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Inputs" sheetId="3" state="visible" r:id="rId3"/>
    <sheet name="Retention curve" sheetId="4" state="visible" r:id="rId4"/>
    <sheet name="Age profile" sheetId="5" state="visible" r:id="rId5"/>
    <sheet name="Cohort x age" sheetId="6" state="visible" r:id="rId6"/>
    <sheet name="Sign-ups by age" sheetId="7" state="visible" r:id="rId7"/>
    <sheet name="Monthly" sheetId="8" state="visible" r:id="rId8"/>
    <sheet name="Cohort triangle" sheetId="9" state="visible" r:id="rId9"/>
  </sheets>
  <definedNames>
    <definedName name="in_signups_run">'Inputs'!$C$3</definedName>
    <definedName name="in_ramp_months">'Inputs'!$C$4</definedName>
    <definedName name="in_r3">'Inputs'!$C$6</definedName>
    <definedName name="in_r12">'Inputs'!$C$7</definedName>
    <definedName name="in_churn_late">'Inputs'!$C$8</definedName>
    <definedName name="in_daily">'Inputs'!$C$10</definedName>
    <definedName name="in_days">'Inputs'!$C$11</definedName>
    <definedName name="in_amount_growth">'Inputs'!$C$12</definedName>
    <definedName name="in_term">'Inputs'!$C$14</definedName>
    <definedName name="in_rollover">'Inputs'!$C$15</definedName>
    <definedName name="in_withdraw_m">'Inputs'!$C$16</definedName>
    <definedName name="in_trail">'Inputs'!$C$17</definedName>
    <definedName name="in_fund_return">'Inputs'!$C$18</definedName>
    <definedName name="in_early_takeup_mult">'Inputs'!$C$20</definedName>
    <definedName name="in_early_approval_mult">'Inputs'!$C$21</definedName>
    <definedName name="in_signup_growth">'Inputs'!$C$23</definedName>
    <definedName name="in_takeup_growth">'Inputs'!$C$24</definedName>
    <definedName name="in_approval_growth">'Inputs'!$C$25</definedName>
    <definedName name="in_ticket_growth">'Inputs'!$C$26</definedName>
    <definedName name="in_topup_share">'Inputs'!$C$27</definedName>
    <definedName name="in_topup_size">'Inputs'!$C$28</definedName>
    <definedName name="in_upi_12">'Inputs'!$C$30</definedName>
    <definedName name="in_upi_ramp">'Inputs'!$C$31</definedName>
    <definedName name="in_visit_every">'Inputs'!$C$32</definedName>
    <definedName name="in_capacity">'Inputs'!$C$33</definedName>
    <definedName name="in_extra_capacity_cost">'Inputs'!$C$34</definedName>
    <definedName name="in_apply">'Inputs'!$C$36</definedName>
    <definedName name="in_eligible">'Inputs'!$C$37</definedName>
    <definedName name="in_approved_first">'Inputs'!$C$38</definedName>
    <definedName name="in_approved_repeat">'Inputs'!$C$39</definedName>
    <definedName name="in_tenure">'Inputs'!$C$40</definedName>
    <definedName name="in_ticket">'Inputs'!$C$41</definedName>
    <definedName name="in_fee">'Inputs'!$C$42</definedName>
    <definedName name="in_taken_back">'Inputs'!$C$43</definedName>
    <definedName name="in_rate">'Inputs'!$C$44</definedName>
    <definedName name="in_loss">'Inputs'!$C$45</definedName>
    <definedName name="in_leaver_loan">'Inputs'!$C$46</definedName>
    <definedName name="in_owed">'Inputs'!$C$48</definedName>
    <definedName name="in_recovered">'Inputs'!$C$49</definedName>
    <definedName name="in_early_cured">'Inputs'!$C$50</definedName>
    <definedName name="in_fee_early">'Inputs'!$C$51</definedName>
    <definedName name="in_fee_b3">'Inputs'!$C$52</definedName>
    <definedName name="in_card_share">'Inputs'!$C$54</definedName>
    <definedName name="in_card_fee">'Inputs'!$C$55</definedName>
    <definedName name="in_hlth_small_takeup">'Inputs'!$C$57</definedName>
    <definedName name="in_hlth_small_ticket">'Inputs'!$C$58</definedName>
    <definedName name="in_hlth_small_comm">'Inputs'!$C$59</definedName>
    <definedName name="in_hlth_small_renew">'Inputs'!$C$60</definedName>
    <definedName name="in_hlth_small_renew_comm">'Inputs'!$C$61</definedName>
    <definedName name="in_hlth_family_takeup">'Inputs'!$C$63</definedName>
    <definedName name="in_hlth_family_ticket">'Inputs'!$C$64</definedName>
    <definedName name="in_hlth_family_comm">'Inputs'!$C$65</definedName>
    <definedName name="in_hlth_family_renew">'Inputs'!$C$66</definedName>
    <definedName name="in_hlth_family_renew_comm">'Inputs'!$C$67</definedName>
    <definedName name="in_life_term_takeup">'Inputs'!$C$69</definedName>
    <definedName name="in_life_term_ticket">'Inputs'!$C$70</definedName>
    <definedName name="in_life_term_comm">'Inputs'!$C$71</definedName>
    <definedName name="in_life_term_renew">'Inputs'!$C$72</definedName>
    <definedName name="in_life_term_renew_comm">'Inputs'!$C$73</definedName>
    <definedName name="in_accident_takeup">'Inputs'!$C$75</definedName>
    <definedName name="in_accident_ticket">'Inputs'!$C$76</definedName>
    <definedName name="in_accident_comm">'Inputs'!$C$77</definedName>
    <definedName name="in_accident_renew">'Inputs'!$C$78</definedName>
    <definedName name="in_accident_renew_comm">'Inputs'!$C$79</definedName>
    <definedName name="in_two_wheeler_takeup">'Inputs'!$C$81</definedName>
    <definedName name="in_two_wheeler_ticket">'Inputs'!$C$82</definedName>
    <definedName name="in_two_wheeler_comm">'Inputs'!$C$83</definedName>
    <definedName name="in_two_wheeler_renew">'Inputs'!$C$84</definedName>
    <definedName name="in_device_takeup">'Inputs'!$C$86</definedName>
    <definedName name="in_device_ticket">'Inputs'!$C$87</definedName>
    <definedName name="in_device_comm">'Inputs'!$C$88</definedName>
    <definedName name="in_shop_takeup">'Inputs'!$C$90</definedName>
    <definedName name="in_shop_ticket">'Inputs'!$C$91</definedName>
    <definedName name="in_shop_comm">'Inputs'!$C$92</definedName>
    <definedName name="in_shop_renew">'Inputs'!$C$93</definedName>
    <definedName name="in_shop_renew_comm">'Inputs'!$C$94</definedName>
    <definedName name="in_sip_takeup">'Inputs'!$C$96</definedName>
    <definedName name="in_sip_ticket">'Inputs'!$C$97</definedName>
    <definedName name="in_sip_comm">'Inputs'!$C$98</definedName>
    <definedName name="in_sip_renew">'Inputs'!$C$99</definedName>
    <definedName name="in_choti_takeup">'Inputs'!$C$101</definedName>
    <definedName name="in_choti_ticket">'Inputs'!$C$102</definedName>
    <definedName name="in_choti_renew">'Inputs'!$C$103</definedName>
    <definedName name="in_nps_takeup">'Inputs'!$C$105</definedName>
    <definedName name="in_nps_ticket">'Inputs'!$C$106</definedName>
    <definedName name="in_nps_comm">'Inputs'!$C$107</definedName>
    <definedName name="in_gold_takeup">'Inputs'!$C$109</definedName>
    <definedName name="in_gold_ticket">'Inputs'!$C$110</definedName>
    <definedName name="in_gold_comm">'Inputs'!$C$111</definedName>
    <definedName name="in_gold_renew">'Inputs'!$C$112</definedName>
    <definedName name="in_fd_takeup">'Inputs'!$C$114</definedName>
    <definedName name="in_fd_ticket">'Inputs'!$C$115</definedName>
    <definedName name="in_fd_comm">'Inputs'!$C$116</definedName>
    <definedName name="in_recharge_takeup">'Inputs'!$C$118</definedName>
    <definedName name="in_recharge_ticket">'Inputs'!$C$119</definedName>
    <definedName name="in_recharge_comm">'Inputs'!$C$120</definedName>
    <definedName name="in_recharge_renew">'Inputs'!$C$121</definedName>
    <definedName name="in_bills_takeup">'Inputs'!$C$123</definedName>
    <definedName name="in_bills_ticket">'Inputs'!$C$124</definedName>
    <definedName name="in_bills_comm">'Inputs'!$C$125</definedName>
    <definedName name="in_bills_renew">'Inputs'!$C$126</definedName>
    <definedName name="in_loan_gold_takeup">'Inputs'!$C$128</definedName>
    <definedName name="in_loan_gold_ticket">'Inputs'!$C$129</definedName>
    <definedName name="in_loan_gold_comm">'Inputs'!$C$130</definedName>
    <definedName name="in_loan_cd_takeup">'Inputs'!$C$132</definedName>
    <definedName name="in_loan_cd_ticket">'Inputs'!$C$133</definedName>
    <definedName name="in_loan_cd_comm">'Inputs'!$C$134</definedName>
    <definedName name="in_loan_vehicle_takeup">'Inputs'!$C$136</definedName>
    <definedName name="in_loan_vehicle_ticket">'Inputs'!$C$137</definedName>
    <definedName name="in_loan_vehicle_comm">'Inputs'!$C$138</definedName>
    <definedName name="in_loan_home_takeup">'Inputs'!$C$140</definedName>
    <definedName name="in_loan_home_ticket">'Inputs'!$C$141</definedName>
    <definedName name="in_loan_home_comm">'Inputs'!$C$142</definedName>
    <definedName name="in_loan_home_approval">'Inputs'!$C$143</definedName>
    <definedName name="in_loan_lap_takeup">'Inputs'!$C$145</definedName>
    <definedName name="in_loan_lap_ticket">'Inputs'!$C$146</definedName>
    <definedName name="in_loan_lap_comm">'Inputs'!$C$147</definedName>
    <definedName name="in_loan_lap_approval">'Inputs'!$C$148</definedName>
    <definedName name="in_salary">'Inputs'!$C$150</definedName>
    <definedName name="in_agent_balance_pay">'Inputs'!$C$151</definedName>
    <definedName name="in_kyc_cost">'Inputs'!$C$152</definedName>
    <definedName name="in_support_cost">'Inputs'!$C$153</definedName>
    <definedName name="in_cash_cover">'Inputs'!$C$154</definedName>
    <definedName name="in_ins_partner_share">'Inputs'!$C$155</definedName>
    <definedName name="in_discount">'Inputs'!$C$156</definedName>
    <definedName name="in_marketplace_from">'Inputs'!$C$157</definedName>
    <definedName name="in_helper_visits">'Inputs'!$C$159</definedName>
    <definedName name="in_dpd_lag">'Inputs'!$C$160</definedName>
    <definedName name="in_rec_lag">'Inputs'!$C$161</definedName>
    <definedName name="in_card_months">'Inputs'!$C$162</definedName>
    <definedName name="in_choti_months">'Inputs'!$C$163</definedName>
    <definedName name="in_legacy_discount">'Inputs'!$C$164</definedName>
    <definedName name="in_agent_pay_after">'Inputs'!$C$165</definedName>
    <definedName name="in_growth_months">'Inputs'!$C$166</definedName>
    <definedName name="in_signup_cap">'Inputs'!$C$167</definedName>
    <definedName name="in_takeup_cap">'Inputs'!$C$168</definedName>
    <definedName name="in_approval_cap">'Inputs'!$C$169</definedName>
    <definedName name="in_ticket_cap">'Inputs'!$C$170</definedName>
    <definedName name="in_topup_lag">'Inputs'!$C$171</definedName>
    <definedName name="in_early_months">'Inputs'!$C$172</definedName>
    <definedName name="d_dm">'Inputs'!$C$175</definedName>
    <definedName name="d_dm20">'Inputs'!$C$176</definedName>
    <definedName name="d_rm">'Inputs'!$C$177</definedName>
    <definedName name="d_h1">'Inputs'!$C$178</definedName>
    <definedName name="d_h2">'Inputs'!$C$179</definedName>
    <definedName name="d_hz">'Inputs'!$C$180</definedName>
    <definedName name="d_q1">'Inputs'!$C$181</definedName>
    <definedName name="d_q2">'Inputs'!$C$182</definedName>
    <definedName name="d_T">'Inputs'!$C$183</definedName>
    <definedName name="d_emi">'Inputs'!$C$184</definedName>
    <definedName name="d_paid">'Inputs'!$C$185</definedName>
    <definedName name="d_orig">'Inputs'!$C$186</definedName>
    <definedName name="d_p90">'Inputs'!$C$187</definedName>
    <definedName name="d_check">'Inputs'!$C$188</definedName>
    <definedName name="d_check_flag">'Inputs'!$C$189</definedName>
    <definedName name="d_dpd">'Inputs'!$C$190</definedName>
    <definedName name="d_rec">'Inputs'!$C$191</definedName>
    <definedName name="d_cured">'Inputs'!$C$192</definedName>
    <definedName name="d_card_rem">'Inputs'!$C$193</definedName>
    <definedName name="d_u">'Inputs'!$C$194</definedName>
    <definedName name="d_udrop">'Inputs'!$C$195</definedName>
    <definedName name="d_rep_ticket">'Inputs'!$C$196</definedName>
    <definedName name="d_topup_amt">'Inputs'!$C$197</definedName>
    <definedName name="d_topup_ratio">'Inputs'!$C$198</definedName>
    <definedName name="d_recd">'Inputs'!$C$199</definedName>
    <definedName name="d_hz_hlth_small">'Inputs'!$C$200</definedName>
    <definedName name="d_hz_hlth_family">'Inputs'!$C$201</definedName>
    <definedName name="d_hz_life_term">'Inputs'!$C$202</definedName>
    <definedName name="d_hz_accident">'Inputs'!$C$203</definedName>
    <definedName name="d_hz_two_wheeler">'Inputs'!$C$204</definedName>
    <definedName name="d_hz_device">'Inputs'!$C$205</definedName>
    <definedName name="d_hz_shop">'Inputs'!$C$206</definedName>
    <definedName name="d_hz_sip">'Inputs'!$C$207</definedName>
    <definedName name="d_rho_sip">'Inputs'!$C$208</definedName>
    <definedName name="d_hz_choti">'Inputs'!$C$209</definedName>
    <definedName name="d_hz_nps">'Inputs'!$C$210</definedName>
    <definedName name="d_hz_gold">'Inputs'!$C$211</definedName>
    <definedName name="d_rho_gold">'Inputs'!$C$212</definedName>
    <definedName name="d_hz_fd">'Inputs'!$C$213</definedName>
    <definedName name="d_hz_recharge">'Inputs'!$C$214</definedName>
    <definedName name="d_rho_recharge">'Inputs'!$C$215</definedName>
    <definedName name="d_hz_bills">'Inputs'!$C$216</definedName>
    <definedName name="d_rho_bills">'Inputs'!$C$217</definedName>
    <definedName name="d_hz_loan_gold">'Inputs'!$C$218</definedName>
    <definedName name="d_hz_loan_cd">'Inputs'!$C$219</definedName>
    <definedName name="d_hz_loan_vehicle">'Inputs'!$C$220</definedName>
    <definedName name="d_hz_loan_home">'Inputs'!$C$221</definedName>
    <definedName name="d_hz_loan_lap">'Inputs'!$C$222</definedName>
  </definedNames>
  <calcPr calcId="124519" fullCalcOnLoad="1"/>
</workbook>
</file>

<file path=xl/styles.xml><?xml version="1.0" encoding="utf-8"?>
<styleSheet xmlns="http://schemas.openxmlformats.org/spreadsheetml/2006/main">
  <numFmts count="14">
    <numFmt numFmtId="164" formatCode="#,##0.##"/>
    <numFmt numFmtId="165" formatCode="0.0%;(0.0%);&quot;-&quot;"/>
    <numFmt numFmtId="166" formatCode="0.00%;(0.00%);&quot;-&quot;"/>
    <numFmt numFmtId="167" formatCode="#,##0.00;(#,##0.00);&quot;-&quot;"/>
    <numFmt numFmtId="168" formatCode="0.0000;(0.0000);&quot;-&quot;"/>
    <numFmt numFmtId="169" formatCode="#,##0;(#,##0);&quot;-&quot;"/>
    <numFmt numFmtId="170" formatCode="#,##0.0;(#,##0.0);&quot;-&quot;"/>
    <numFmt numFmtId="171" formatCode="0.000"/>
    <numFmt numFmtId="172" formatCode="0.000000"/>
    <numFmt numFmtId="173" formatCode="0.0;-0.0;&quot;-&quot;"/>
    <numFmt numFmtId="174" formatCode="0;-0;&quot;-&quot;"/>
    <numFmt numFmtId="175" formatCode="0.000;-0.000;&quot;-&quot;"/>
    <numFmt numFmtId="176" formatCode="#,##0.0"/>
    <numFmt numFmtId="177" formatCode="+0.00;-0.00"/>
  </numFmts>
  <fonts count="9">
    <font>
      <name val="Calibri"/>
      <family val="2"/>
      <color theme="1"/>
      <sz val="11"/>
      <scheme val="minor"/>
    </font>
    <font>
      <name val="Arial"/>
      <b val="1"/>
      <color rgb="00FFFFFF"/>
      <sz val="10"/>
    </font>
    <font>
      <name val="Arial"/>
      <b val="1"/>
      <sz val="10"/>
    </font>
    <font>
      <name val="Arial"/>
      <color rgb="00000000"/>
      <sz val="10"/>
    </font>
    <font>
      <name val="Arial"/>
      <color rgb="000000FF"/>
      <sz val="10"/>
    </font>
    <font>
      <name val="Arial"/>
      <i val="1"/>
      <color rgb="00808080"/>
      <sz val="9"/>
    </font>
    <font>
      <name val="Arial"/>
      <color rgb="00008000"/>
      <sz val="10"/>
    </font>
    <font>
      <name val="Arial"/>
      <b val="1"/>
      <sz val="14"/>
    </font>
    <font>
      <name val="Arial"/>
      <b val="1"/>
      <sz val="12"/>
    </font>
  </fonts>
  <fills count="6">
    <fill>
      <patternFill/>
    </fill>
    <fill>
      <patternFill patternType="gray125"/>
    </fill>
    <fill>
      <patternFill patternType="solid">
        <fgColor rgb="0044546A"/>
      </patternFill>
    </fill>
    <fill>
      <patternFill patternType="solid">
        <fgColor rgb="00F2F2F2"/>
      </patternFill>
    </fill>
    <fill>
      <patternFill patternType="solid">
        <fgColor rgb="00FFFF00"/>
      </patternFill>
    </fill>
    <fill>
      <patternFill patternType="solid">
        <fgColor rgb="00FFF2CC"/>
      </patternFill>
    </fill>
  </fills>
  <borders count="1">
    <border>
      <left/>
      <right/>
      <top/>
      <bottom/>
      <diagonal/>
    </border>
  </borders>
  <cellStyleXfs count="1">
    <xf numFmtId="0" fontId="0" fillId="0" borderId="0"/>
  </cellStyleXfs>
  <cellXfs count="56">
    <xf numFmtId="0" fontId="0" fillId="0" borderId="0" pivotButton="0" quotePrefix="0" xfId="0"/>
    <xf numFmtId="0" fontId="7" fillId="0" borderId="0" pivotButton="0" quotePrefix="0" xfId="0"/>
    <xf numFmtId="0" fontId="3" fillId="0" borderId="0" pivotButton="0" quotePrefix="0" xfId="0"/>
    <xf numFmtId="0" fontId="2" fillId="0" borderId="0" pivotButton="0" quotePrefix="0" xfId="0"/>
    <xf numFmtId="0" fontId="3" fillId="0" borderId="0" applyAlignment="1" pivotButton="0" quotePrefix="0" xfId="0">
      <alignment vertical="top" wrapText="1"/>
    </xf>
    <xf numFmtId="0" fontId="5" fillId="0" borderId="0" pivotButton="0" quotePrefix="0" xfId="0"/>
    <xf numFmtId="0" fontId="1" fillId="2" borderId="0" pivotButton="0" quotePrefix="0" xfId="0"/>
    <xf numFmtId="169" fontId="2" fillId="0" borderId="0" pivotButton="0" quotePrefix="0" xfId="0"/>
    <xf numFmtId="1" fontId="2" fillId="0" borderId="0" pivotButton="0" quotePrefix="0" xfId="0"/>
    <xf numFmtId="169" fontId="3" fillId="0" borderId="0" pivotButton="0" quotePrefix="0" xfId="0"/>
    <xf numFmtId="3" fontId="3" fillId="0" borderId="0" pivotButton="0" quotePrefix="0" xfId="0"/>
    <xf numFmtId="165" fontId="3" fillId="0" borderId="0" pivotButton="0" quotePrefix="0" xfId="0"/>
    <xf numFmtId="2" fontId="3" fillId="0" borderId="0" pivotButton="0" quotePrefix="0" xfId="0"/>
    <xf numFmtId="176" fontId="3" fillId="0" borderId="0" pivotButton="0" quotePrefix="0" xfId="0"/>
    <xf numFmtId="167" fontId="3" fillId="0" borderId="0" pivotButton="0" quotePrefix="0" xfId="0"/>
    <xf numFmtId="0" fontId="8" fillId="5" borderId="0" pivotButton="0" quotePrefix="0" xfId="0"/>
    <xf numFmtId="0" fontId="0" fillId="5" borderId="0" pivotButton="0" quotePrefix="0" xfId="0"/>
    <xf numFmtId="4" fontId="3" fillId="0" borderId="0" pivotButton="0" quotePrefix="0" xfId="0"/>
    <xf numFmtId="1" fontId="0" fillId="0" borderId="0" pivotButton="0" quotePrefix="0" xfId="0"/>
    <xf numFmtId="165" fontId="0" fillId="0" borderId="0" pivotButton="0" quotePrefix="0" xfId="0"/>
    <xf numFmtId="169" fontId="0" fillId="0" borderId="0" pivotButton="0" quotePrefix="0" xfId="0"/>
    <xf numFmtId="177" fontId="0" fillId="0" borderId="0" pivotButton="0" quotePrefix="0" xfId="0"/>
    <xf numFmtId="167"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3" borderId="0" pivotButton="0" quotePrefix="0" xfId="0"/>
    <xf numFmtId="164" fontId="4" fillId="4" borderId="0" pivotButton="0" quotePrefix="0" xfId="0"/>
    <xf numFmtId="164" fontId="5" fillId="0" borderId="0" pivotButton="0" quotePrefix="0" xfId="0"/>
    <xf numFmtId="164" fontId="4" fillId="0" borderId="0" pivotButton="0" quotePrefix="0" xfId="0"/>
    <xf numFmtId="165" fontId="4" fillId="0" borderId="0" pivotButton="0" quotePrefix="0" xfId="0"/>
    <xf numFmtId="165" fontId="5" fillId="0" borderId="0" pivotButton="0" quotePrefix="0" xfId="0"/>
    <xf numFmtId="165" fontId="4" fillId="4" borderId="0" pivotButton="0" quotePrefix="0" xfId="0"/>
    <xf numFmtId="166" fontId="4" fillId="4" borderId="0" pivotButton="0" quotePrefix="0" xfId="0"/>
    <xf numFmtId="166" fontId="5" fillId="0" borderId="0" pivotButton="0" quotePrefix="0" xfId="0"/>
    <xf numFmtId="166" fontId="4" fillId="0" borderId="0" pivotButton="0" quotePrefix="0" xfId="0"/>
    <xf numFmtId="167" fontId="4" fillId="0" borderId="0" pivotButton="0" quotePrefix="0" xfId="0"/>
    <xf numFmtId="167" fontId="5" fillId="0" borderId="0" pivotButton="0" quotePrefix="0" xfId="0"/>
    <xf numFmtId="3" fontId="4" fillId="0" borderId="0" pivotButton="0" quotePrefix="0" xfId="0"/>
    <xf numFmtId="166" fontId="3" fillId="0" borderId="0" pivotButton="0" quotePrefix="0" xfId="0"/>
    <xf numFmtId="1" fontId="3" fillId="0" borderId="0" pivotButton="0" quotePrefix="0" xfId="0"/>
    <xf numFmtId="168" fontId="3" fillId="0" borderId="0" pivotButton="0" quotePrefix="0" xfId="0"/>
    <xf numFmtId="166" fontId="0" fillId="0" borderId="0" pivotButton="0" quotePrefix="0" xfId="0"/>
    <xf numFmtId="165" fontId="6" fillId="0" borderId="0" pivotButton="0" quotePrefix="0" xfId="0"/>
    <xf numFmtId="166" fontId="6" fillId="0" borderId="0" pivotButton="0" quotePrefix="0" xfId="0"/>
    <xf numFmtId="170" fontId="6" fillId="0" borderId="0" pivotButton="0" quotePrefix="0" xfId="0"/>
    <xf numFmtId="171" fontId="3" fillId="0" borderId="0" pivotButton="0" quotePrefix="0" xfId="0"/>
    <xf numFmtId="172" fontId="3" fillId="0" borderId="0" pivotButton="0" quotePrefix="0" xfId="0"/>
    <xf numFmtId="173" fontId="3" fillId="0" borderId="0" pivotButton="0" quotePrefix="0" xfId="0"/>
    <xf numFmtId="170" fontId="3" fillId="0" borderId="0" pivotButton="0" quotePrefix="0" xfId="0"/>
    <xf numFmtId="169" fontId="6" fillId="0" borderId="0" pivotButton="0" quotePrefix="0" xfId="0"/>
    <xf numFmtId="2" fontId="6" fillId="0" borderId="0" pivotButton="0" quotePrefix="0" xfId="0"/>
    <xf numFmtId="170" fontId="2" fillId="0" borderId="0" pivotButton="0" quotePrefix="0" xfId="0"/>
    <xf numFmtId="2" fontId="2" fillId="0" borderId="0" pivotButton="0" quotePrefix="0" xfId="0"/>
    <xf numFmtId="174" fontId="3" fillId="0" borderId="0" pivotButton="0" quotePrefix="0" xfId="0"/>
    <xf numFmtId="3" fontId="0" fillId="0" borderId="0" pivotButton="0" quotePrefix="0" xfId="0"/>
    <xf numFmtId="17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cohort model</author>
  </authors>
  <commentList>
    <comment ref="C3" authorId="0" shapeId="0">
      <text>
        <t>Source: operator (agreed 16 Oct, revised: 30 a month, range 20–45, after the sign-ups sweep); IV-12; yours 30 (about one a working day) (operator); earlier 60 a month (operator); break-even ~22 (5-year P&amp;L, likely values) (cohort_signups_sweep_likely); a janta agent: 6–10 new a month (IV-12)
Shape pert, low 20 / likely 30 / high 45.
dist_agreed_v1.csv</t>
      </text>
    </comment>
    <comment ref="C4" authorId="0" shapeId="0">
      <text>
        <t>Source: judgement; no data; starts at 50% of full speed and rises in a straight line
Shape triangular, low 0 / likely 3 / high 6.
dist_agreed_v1.csv</t>
      </text>
    </comment>
    <comment ref="C6" authorId="0" shapeId="0">
      <text>
        <t>Source: IV-01, IV-12; agent3_survival; XO-05; an app's savers 52% (agent3_survival); a janta book ~92% (an existing book) (IV-12, IV-01); SBI ₹250 SIP, all frequencies: 64% still on at ~6 months (avg age) (XO-05); XO-05 is SBI MF's ₹250 Jan Nivesh SIP (daily, weekly and monthly; not Choti SIP): 35.64% of FY26 sign-ups had stopped by 1 Apr 2026, at an average age of ~6 months, so 64% still on at ~6 months (shown at month 6 on the curve)
Shape pert, low 0.6 / likely 0.8 / high 0.92.
dist_agreed_v1.csv</t>
      </text>
    </comment>
    <comment ref="C7" authorId="0" shapeId="0">
      <text>
        <t>Source: operator (agreed 16 Oct: likely 55%); story_unit; IV-01, IV-11, IV-12; xs_breakeven_v2; an app's savers 24% (story_unit); your bear case 30–40% (operator); last deck needed 37% (xs_breakeven_v2); a janta book ~72% (an existing book) (IV-12, IV-11, IV-01); agreed by the operator 16 Oct (likely 55%); a janta book of 200–400 loses 6–10 a month: 8 of 300 a month is 72% after a year (IV-01, IV-12), an existing book's churn, not a new cohort; most have saved 5+ years (IV-11); 37% is the 5-year break-even on the last deck's inputs
Shape pert, low 0.25 / likely 0.55 / high 0.72.
dist_agreed_v1.csv (file matches the operator decision)</t>
      </text>
    </comment>
    <comment ref="C8" authorId="0" shapeId="0">
      <text>
        <t>Source: TB-11; IV-01, IV-12; distributions.csv churn_late; Acorns ~1–1.3% (TB-11); a janta book ~2.7% (IV-12, IV-01); earlier model 0.8–3% (distributions.csv)
Shape pert, low 0.01 / likely 0.015 / high 0.03.
dist_agreed_v1.csv</t>
      </text>
    </comment>
    <comment ref="C10" authorId="0" shapeId="0">
      <text>
        <t>Source: operator; IV-03; yours ₹350 (operator); a janta agent's savers ₹200–500 (IV-03)
Shape triangular, low 200 / likely 350 / high 500.
dist_agreed_v1.csv</t>
      </text>
    </comment>
    <comment ref="C11" authorId="0" shapeId="0">
      <text>
        <t>Source: judgement; last deck 20 (xs_inputs_v2); shop open ~26 days (our guess) (judgement)
Shape pert, low 16 / likely 20 / high 24.
dist_agreed_v1.csv</t>
      </text>
    </comment>
    <comment ref="C12" authorId="0" shapeId="0">
      <text>
        <t>Source: judgement; last deck 0% (xs_inputs_v2); earlier model 0–20% (distributions.csv)
Shape pert, low 0 / likely 0.05 / high 0.1.
dist_agreed_v1.csv</t>
      </text>
    </comment>
    <comment ref="C14" authorId="0" shapeId="0">
      <text>
        <t>Source: janta yearly terms
Shape fixed, low 12 / likely 12 / high 12.
dist_agreed_v1.csv</t>
      </text>
    </comment>
    <comment ref="C15" authorId="0" shapeId="0">
      <text>
        <t>Source: judgement; last deck 0% (all paid out) (xs_inputs_v2)
Shape pert, low 0 / likely 0.25 / high 0.6.
dist_agreed_v1.csv</t>
      </text>
    </comment>
    <comment ref="C16" authorId="0" shapeId="0">
      <text>
        <t>Source: judgement; last deck 0% (xs_inputs_v2)
Shape pert, low 0 / likely 0.01 / high 0.03.
dist_agreed_v1.csv</t>
      </text>
    </comment>
    <comment ref="C17" authorId="0" shapeId="0">
      <text>
        <t>Source: operator (agreed 16 Oct: debt fund); XB-04, TC-23; fund and adviser blogs: 0.2–0.5% (XB-04); a 2026 guide: 0.20–0.60% (TC-23); last deck 0.35% (xs_inputs_v2)
Shape pert, low 0.002 / likely 0.0035 / high 0.005.
dist_agreed_v1.csv (file matches the operator decision)</t>
      </text>
    </comment>
    <comment ref="C18" authorId="0" shapeId="0">
      <text>
        <t>Source: context: OWN-02; judgement (agreed 16 Oct); liquid funds 5–6% (OWN-02) (OWN-02); operator: 'Hook is high savings rate in debt funds that we offer'; GAP: no short-duration debt-fund return row in research
Shape pert, low 0.06 / likely 0.07 / high 0.075.
dist_agreed_v1.csv</t>
      </text>
    </comment>
    <comment ref="C20" authorId="0" shapeId="0">
      <text>
        <t>Source: judgement (agreed 16 Oct); operator: 'month 1 for marketplace can have low take up rates and approval rates but business starts from there'
Shape pert, low 0.25 / likely 0.5 / high 0.75.
dist_agreed_v1.csv</t>
      </text>
    </comment>
    <comment ref="C21" authorId="0" shapeId="0">
      <text>
        <t>Source: context: XL-41; judgement (agreed 16 Oct); Kissht approves 11% of new applicants vs 74% of repeat ones (XL-41)
Shape pert, low 0.4 / likely 0.6 / high 0.8.
dist_agreed_v1.csv</t>
      </text>
    </comment>
    <comment ref="C23" authorId="0" shapeId="0">
      <text>
        <t>Source: judgement (agreed 16 Oct); cap: 100 sign-ups a month; year y multiplier (1 + g)^(y − 1); more cash visits are paid for by extra_capacity_cost
Shape pert, low 0 / likely 0.1 / high 0.2.
dist_agreed_v1.csv</t>
      </text>
    </comment>
    <comment ref="C24" authorId="0" shapeId="0">
      <text>
        <t>Source: judgement (agreed 16 Oct); cap: 2× the agreed rate; year y multiplier (1 + g)^(y − 1), on top of the early-months factor
Shape pert, low 0 / likely 0.05 / high 0.15.
dist_agreed_v1.csv</t>
      </text>
    </comment>
    <comment ref="C25" authorId="0" shapeId="0">
      <text>
        <t>Source: context: XL-41; judgement (agreed 16 Oct); Kissht approves 74% of repeat applicants (XL-41); cap: 80% absolute; year y multiplier (1 + g)^(y − 1)
Shape pert, low 0 / likely 0.1 / high 0.2.
dist_agreed_v1.csv</t>
      </text>
    </comment>
    <comment ref="C26" authorId="0" shapeId="0">
      <text>
        <t>Source: context: XL-12; judgement (agreed 16 Oct); Bachatt's partners lend up to ₹5 lakh (XL-12); cap: ₹5 lakh (XL-12: Bachatt's partners lend up to ₹5 lakh)
Shape pert, low 0 / likely 0.1 / high 0.2.
dist_agreed_v1.csv</t>
      </text>
    </comment>
    <comment ref="C27" authorId="0" shapeId="0">
      <text>
        <t>Source: context: NG-028; judgement (agreed 16 Oct); over half of Paytm's merchant-loan money goes to repeat borrowers (NG-028); earns the origination fee net of taken back; at most one top-up runs at a time; still-saving borrowers only; the lender's call
Shape pert, low 0.05 / likely 0.15 / high 0.3.
dist_agreed_v1.csv</t>
      </text>
    </comment>
    <comment ref="C28" authorId="0" shapeId="0">
      <text>
        <t>Source: judgement (agreed 16 Oct); adds to the collections base pro rata by size
Shape pert, low 0.25 / likely 0.4 / high 0.6.
dist_agreed_v1.csv</t>
      </text>
    </comment>
    <comment ref="C30" authorId="0" shapeId="0">
      <text>
        <t>Source: operator; IV-06, IV-07; today: under 10% of collections by UPI (IV-07); 9 or 10 of 10 customers have UPI (IV-06) but 90 or more of every ₹100 is collected in cash (IV-07), by habit (IV-08); the share rises in a straight line from 0 at month 1 to this value at month 12, then stays flat
Shape pert, low 0.1 / likely 0.3 / high 0.6.
dist_agreed_v1.csv</t>
      </text>
    </comment>
    <comment ref="C31" authorId="0" shapeId="0">
      <text>
        <t>Source: COHORT_INPUTS
Shape fixed, low 12 / likely 12 / high 12.
dist_agreed_v1.csv</t>
      </text>
    </comment>
    <comment ref="C32" authorId="0" shapeId="0">
      <text>
        <t>Source: operator
Shape fixed, low 2.5 / likely 2.5 / high 2.5.
dist_agreed_v1.csv</t>
      </text>
    </comment>
    <comment ref="C33" authorId="0" shapeId="0">
      <text>
        <t>Source: IV-01; agent_3yr.py; a janta agent's book: 200–400 savers (IV-01); model so far 400 (agent_3yr.py)
Shape triangular, low 300 / likely 400 / high 450.
dist_agreed_v1.csv</t>
      </text>
    </comment>
    <comment ref="C34" authorId="0" shapeId="0">
      <text>
        <t>Source: COHORT_INPUTS
Shape fixed, low 20000 / likely 20000 / high 20000.
dist_agreed_v1.csv</t>
      </text>
    </comment>
    <comment ref="C36" authorId="0" shapeId="0">
      <text>
        <t>Source: XL-42, LS-06, XL-04; founder; Kissht 17.5% ever (XL-42); Brazil 20% year one (LS-06); founder 35% (founder); Paytm, any financial product ~0.9% a quarter (XL-04); XL-42 is cumulative since launch among loan-app users, so a yearly rate is far lower
Shape pert, low 0.08 / likely 0.18 / high 0.35.
dist_agreed_v1.csv</t>
      </text>
    </comment>
    <comment ref="C37" authorId="0" shapeId="0">
      <text>
        <t>Source: context: XL-34, IV-04, XB-09; last deck 50% (xs_inputs_v2); earlier range 30–70% (agent3_funnel_inputs); no direct measure: a ₹10,073 EMI (36 months) needs ₹20,145+ income under the 50% rule (XL-34); his savers earn ₹20–40k (IV-04); 41% of small-business borrowers already have a loan (XB-09)
Shape pert, low 0.25 / likely 0.45 / high 0.65.
dist_agreed_v1.csv</t>
      </text>
    </comment>
    <comment ref="C38" authorId="0" shapeId="0">
      <text>
        <t>Source: XL-41; founder; Kissht: 11% of new applicants (XL-41); founder, one lender: 25% (founder)
Shape pert, low 0.2 / likely 0.35 / high 0.5.
dist_agreed_v1.csv</t>
      </text>
    </comment>
    <comment ref="C39" authorId="0" shapeId="0">
      <text>
        <t>Source: XL-41, NG-028; Kissht: 74% of repeat ones (XL-41); Paytm: &gt;50% of loan money goes to repeat borrowers (NG-028); NG-028 is a share of loan money, not an approval rate; PM SVANidhi: 68% of first-loan repayers took a second (NG-014)
Shape pert, low 0.5 / likely 0.7 / high 0.85.
dist_agreed_v1.csv</t>
      </text>
    </comment>
    <comment ref="C40" authorId="0" shapeId="0">
      <text>
        <t>Source: agent3_funnel_inputs.csv (the ₹10,073 EMI basis); EMI basis ₹10,073 = 36 months (agent3_funnel_inputs); ₹2.5 lakh over 36 months at about 26% a year gives the ₹10,073 EMI
Shape pert, low 24 / likely 36 / high 48.
dist_agreed_v1.csv (file matches the operator decision)</t>
      </text>
    </comment>
    <comment ref="C41" authorId="0" shapeId="0">
      <text>
        <t>Source: operator (agreed 16 Oct: range ₹25,000 to ₹5 lakh); XB-08, XL-42; yours ₹2.5 lakh (operator); Paytm average ₹2.05 lakh (Q4 FY24) (XB-08); segment average ~₹25.6k (Kissht) (XL-42); ticket_growth's cap stays ₹5 lakh
Shape pert, low 25000 / likely 250000 / high 500000.
dist_agreed_v1.csv</t>
      </text>
    </comment>
    <comment ref="C42" authorId="0" shapeId="0">
      <text>
        <t>Source: operator; XL-13, LEV-009, XL-09, LEV-065, XL-07; bank DSA 0.5–1.5% (LEV-009); NBFC DSA 1–3% (LEV-009); yours: 1.5 × a DSA = 2.625% (operator); Paytm 4.5–5% (XL-07); Paisabazaar ≤4.6–4.7%, incl. cards (XL-09, LEV-065)
Shape pert, low 0.015 / likely 0.02625 / high 0.035.
dist_agreed_v1.csv</t>
      </text>
    </comment>
    <comment ref="C43" authorId="0" shapeId="0">
      <text>
        <t>Source: XL-13, XL-47; last deck 2.5% (xs_inputs_v2); fees can be taken back if the loan closes or goes bad within 6 months (XL-47); no published rate
Shape triangular, low 0 / likely 0.025 / high 0.05.
dist_agreed_v1.csv</t>
      </text>
    </comment>
    <comment ref="C44" authorId="0" shapeId="0">
      <text>
        <t>Source: derived: agent3_funnel_inputs.csv
Shape fixed, low 0.26 / likely 0.26 / high 0.26.
dist_agreed_v1.csv</t>
      </text>
    </comment>
    <comment ref="C45" authorId="0" shapeId="0">
      <text>
        <t>Source: XB-07, QM-22, SE-01, EVD-03, SE-02; operator; self-help groups 1.7–2.1% (SE-01, EVD-03); Paytm 4.5–5% (your worst case) (XB-07, QM-22); NBFC-MFI 5.4% (SE-02); the anchor for the collection buckets; Paytm's 4.5–5% is expected credit loss on merchant loans it sources, Q4 FY26, on lenders' books (XB-07, QM-22); SHG figures are gross bad loans (SE-01 1.74%, EVD-03 2.05%); NBFC-MFI 5.4% is gross, a stressed year (SE-02); the loss falls on the lender, not us (no first-loss cover): it moves the fee and approvals a lender gives us
Shape pert, low 0.015 / likely 0.03 / high 0.05.
dist_agreed_v1.csv</t>
      </text>
    </comment>
    <comment ref="C46" authorId="0" shapeId="0">
      <text>
        <t>Source: COHORT_INPUTS
Shape fixed, low 1 / likely 1 / high 1.
dist_agreed_v1.csv</t>
      </text>
    </comment>
    <comment ref="C48" authorId="0" shapeId="0">
      <text>
        <t>Source: addendum 3 (judgement)
Shape fixed, low 0.5 / likely 0.5 / high 0.5.
dist_agreed_v1.csv</t>
      </text>
    </comment>
    <comment ref="C49" authorId="0" shapeId="0">
      <text>
        <t>Source: XB-07, GAP-02; operator; Paytm's figure 30–35% (XB-07); vendor table 30–50% (GAP-02); Published at the low end (Paytm, XB-07); the range above 35% is our judgement
Shape pert, low 0.3 / likely 0.35 / high 0.5.
dist_agreed_v1.csv</t>
      </text>
    </comment>
    <comment ref="C50" authorId="0" shapeId="0">
      <text>
        <t>Source: judgement (no published figure); no published figure; GAP-02's 70–85% / 50–70% are per-spell cure rates, so they cannot be chained into a lifetime share
Shape pert, low 0.1 / likely 0.2 / high 0.35.
dist_agreed_v1.csv</t>
      </text>
    </comment>
    <comment ref="C51" authorId="0" shapeId="0">
      <text>
        <t>Source: GAP-01; vendor table: ₹200–400 at 31–60 days, ₹500–1,000 at 61–90 (GAP-01)
Shape pert, low 200 / likely 450 / high 1000.
dist_agreed_v1.csv</t>
      </text>
    </comment>
    <comment ref="C52" authorId="0" shapeId="0">
      <text>
        <t>Source: GAP-01; vendor table ₹1,000–5,000 (GAP-01)
Shape pert, low 1000 / likely 2500 / high 5000.
dist_agreed_v1.csv</t>
      </text>
    </comment>
    <comment ref="C54" authorId="0" shapeId="0">
      <text>
        <t>Source: operator (agreed 16 Oct: 3%); XL-40, XL-54; 3% of Indians hold a card (XL-40); your first figure 5% (operator); FD-secured card guess 0.5–5% (XL-54); XL-40's 3% is a stock of card holders (PwC 2022), not a take-up rate
Shape pert, low 0.01 / likely 0.03 / high 0.06.
dist_agreed_v1.csv (file matches the operator decision)</t>
      </text>
    </comment>
    <comment ref="C55" authorId="0" shapeId="0">
      <text>
        <t>Source: BM-08, XL-20, XL-54; affiliate guides ₹500–2,000 (BM-08); GroMo sub-agents ₹1,000–2,400 (XL-20); FD-secured guess ₹300–1,500 (XL-54)
Shape pert, low 300 / likely 1000 / high 2000.
dist_agreed_v1.csv</t>
      </text>
    </comment>
    <comment ref="C57" authorId="0" shapeId="0">
      <text>
        <t>Source: XO-31, XO-10; judgement; 62.2% of platform workers have no health cover (XO-31); PhonePe ₹8 insurance revenue a user (XO-10)
Shape pert, low 0.02 / likely 0.06 / high 0.15.
dist_agreed_v1.csv</t>
      </text>
    </comment>
    <comment ref="C58" authorId="0" shapeId="0">
      <text>
        <t>Source: XO-35, XO-30; hospital cash from ₹799 (XO-35); Bima Vistaar ₹1,500 (XO-30)
Shape pert, low 300 / likely 800 / high 1500.
dist_agreed_v1.csv</t>
      </text>
    </comment>
    <comment ref="C59" authorId="0" shapeId="0">
      <text>
        <t>Source: REG-054, XO-19; draft cap 15% (distributors) / 20% (agents) (REG-054); capped at the draft distributor (IDE) cap of 15% (16.5–18% in small towns and rural areas, XO-19); agreed 16 Oct: the draft caps
Shape pert, low 0.1 / likely 0.14 / high 0.15.
dist_agreed_v1.csv</t>
      </text>
    </comment>
    <comment ref="C60" authorId="0" shapeId="0">
      <text>
        <t>Source: XO-24, TB-23; micro-insurance renewals 4–61% (XO-24); auto-debited PMJJBY / PMSBY 51–70% (TB-23)
Shape pert, low 0.3 / likely 0.5 / high 0.7.
dist_agreed_v1.csv</t>
      </text>
    </comment>
    <comment ref="C61" authorId="0" shapeId="0">
      <text>
        <t>Source: REG-054, XO-19, XO-20
Shape fixed, low 0.05 / likely 0.05 / high 0.05.
dist_agreed_v1.csv</t>
      </text>
    </comment>
    <comment ref="C63" authorId="0" shapeId="0">
      <text>
        <t>Source: judgement
Shape pert, low 0.005 / likely 0.02 / high 0.05.
dist_agreed_v1.csv</t>
      </text>
    </comment>
    <comment ref="C64" authorId="0" shapeId="0">
      <text>
        <t>Source: GAP-04; ₹5 lakh floater ₹5,581–6,560 (GAP-04); a family of four at age 35 costs more than GAP-04's 30-year-old
Shape pert, low 5500 / likely 8000 / high 15000.
dist_agreed_v1.csv</t>
      </text>
    </comment>
    <comment ref="C65" authorId="0" shapeId="0">
      <text>
        <t>Source: REG-054; draft cap 15% / 20% (REG-054); capped at the draft distributor cap of 15%
Shape pert, low 0.1 / likely 0.14 / high 0.15.
dist_agreed_v1.csv</t>
      </text>
    </comment>
    <comment ref="C66" authorId="0" shapeId="0">
      <text>
        <t>Source: XO-09; Policybazaar health renewals ~89% (XO-09)
Shape pert, low 0.6 / likely 0.75 / high 0.89.
dist_agreed_v1.csv</t>
      </text>
    </comment>
    <comment ref="C67" authorId="0" shapeId="0">
      <text>
        <t>Source: REG-054, XO-19, XO-20
Shape fixed, low 0.05 / likely 0.05 / high 0.05.
dist_agreed_v1.csv</t>
      </text>
    </comment>
    <comment ref="C69" authorId="0" shapeId="0">
      <text>
        <t>Source: XO-32; 65% of gig workers lack life cover (XO-32)
Shape pert, low 0.01 / likely 0.03 / high 0.06.
dist_agreed_v1.csv</t>
      </text>
    </comment>
    <comment ref="C70" authorId="0" shapeId="0">
      <text>
        <t>Source: judgement; no premium source in research
Shape pert, low 500 / likely 1000 / high 2000.
dist_agreed_v1.csv</t>
      </text>
    </comment>
    <comment ref="C71" authorId="0" shapeId="0">
      <text>
        <t>Source: XO-20; draft caps: single 7.5%, multi-year 25% / 30% (XO-20); capped at the draft distributor cap of 25% for multi-year pure term
Shape pert, low 0.075 / likely 0.2 / high 0.25.
dist_agreed_v1.csv</t>
      </text>
    </comment>
    <comment ref="C72" authorId="0" shapeId="0">
      <text>
        <t>Source: TB-24; 13th-month persistency 64–83% (TB-24)
Shape pert, low 0.6 / likely 0.75 / high 0.85.
dist_agreed_v1.csv</t>
      </text>
    </comment>
    <comment ref="C73" authorId="0" shapeId="0">
      <text>
        <t>Source: REG-054, XO-19, XO-20
Shape fixed, low 0.075 / likely 0.075 / high 0.075.
dist_agreed_v1.csv</t>
      </text>
    </comment>
    <comment ref="C75" authorId="0" shapeId="0">
      <text>
        <t>Source: XO-31; 44% of platform workers have no accident cover (XO-31)
Shape pert, low 0.02 / likely 0.05 / high 0.1.
dist_agreed_v1.csv</t>
      </text>
    </comment>
    <comment ref="C76" authorId="0" shapeId="0">
      <text>
        <t>Source: judgement; no premium source in research
Shape pert, low 100 / likely 250 / high 500.
dist_agreed_v1.csv</t>
      </text>
    </comment>
    <comment ref="C77" authorId="0" shapeId="0">
      <text>
        <t>Source: XO-19; draft cap: retail 15% / 17.5% (XO-19); capped at the draft distributor cap of 15% for retail personal accident
Shape pert, low 0.1 / likely 0.14 / high 0.15.
dist_agreed_v1.csv</t>
      </text>
    </comment>
    <comment ref="C78" authorId="0" shapeId="0">
      <text>
        <t>Source: TB-23; auto-debited PMSBY ~70% (TB-23)
Shape pert, low 0.3 / likely 0.5 / high 0.7.
dist_agreed_v1.csv</t>
      </text>
    </comment>
    <comment ref="C79" authorId="0" shapeId="0">
      <text>
        <t>Source: REG-054, XO-19, XO-20
Shape fixed, low 0.05 / likely 0.05 / high 0.05.
dist_agreed_v1.csv</t>
      </text>
    </comment>
    <comment ref="C81" authorId="0" shapeId="0">
      <text>
        <t>Source: XO-22; 54% of vehicles uninsured (XO-22)
Shape pert, low 0.05 / likely 0.15 / high 0.3.
dist_agreed_v1.csv</t>
      </text>
    </comment>
    <comment ref="C82" authorId="0" shapeId="0">
      <text>
        <t>Source: XO-21; third-party ₹714 (IRDAI) (XO-21)
Shape pert, low 714 / likely 1000 / high 1200.
dist_agreed_v1.csv</t>
      </text>
    </comment>
    <comment ref="C83" authorId="0" shapeId="0">
      <text>
        <t>Source: XO-18; draft caps: motor TP nil–5%, OD 5–15% (XO-18)
Shape pert, low 0.025 / likely 0.0475 / high 0.0905.
dist_agreed_v1.csv</t>
      </text>
    </comment>
    <comment ref="C84" authorId="0" shapeId="0">
      <text>
        <t>Source: judgement; renewals pay two_wheeler_comm (the same rate)
Shape pert, low 0.5 / likely 0.7 / high 0.85.
dist_agreed_v1.csv</t>
      </text>
    </comment>
    <comment ref="C86" authorId="0" shapeId="0">
      <text>
        <t>Source: judgement
Shape pert, low 0.01 / likely 0.03 / high 0.06.
dist_agreed_v1.csv</t>
      </text>
    </comment>
    <comment ref="C87" authorId="0" shapeId="0">
      <text>
        <t>Source: XO-34; plans ₹209–899 (XO-34)
Shape triangular, low 209 / likely 500 / high 899.
dist_agreed_v1.csv</t>
      </text>
    </comment>
    <comment ref="C88" authorId="0" shapeId="0">
      <text>
        <t>Source: XO-19; draft cap: retail 15% / 17.5% (XO-19); capped at the draft distributor cap of 15%
Shape pert, low 0.1 / likely 0.13 / high 0.15.
dist_agreed_v1.csv</t>
      </text>
    </comment>
    <comment ref="C90" authorId="0" shapeId="0">
      <text>
        <t>Source: judgement
Shape pert, low 0.01 / likely 0.03 / high 0.08.
dist_agreed_v1.csv</t>
      </text>
    </comment>
    <comment ref="C91" authorId="0" shapeId="0">
      <text>
        <t>Source: GAP-05; Digit via Fino ₹550–2,600; ICICI Lombard from ₹250 (GAP-05)
Shape pert, low 250 / likely 700 / high 2600.
dist_agreed_v1.csv</t>
      </text>
    </comment>
    <comment ref="C92" authorId="0" shapeId="0">
      <text>
        <t>Source: XO-19; draft cap: retail incl. shopkeepers 15% / 17.5% (XO-19); capped at the draft distributor cap of 15% for retail cover
Shape pert, low 0.1 / likely 0.14 / high 0.15.
dist_agreed_v1.csv</t>
      </text>
    </comment>
    <comment ref="C93" authorId="0" shapeId="0">
      <text>
        <t>Source: judgement
Shape pert, low 0.5 / likely 0.65 / high 0.8.
dist_agreed_v1.csv</t>
      </text>
    </comment>
    <comment ref="C94" authorId="0" shapeId="0">
      <text>
        <t>Source: REG-054, XO-19, XO-20
Shape fixed, low 0.05 / likely 0.05 / high 0.05.
dist_agreed_v1.csv</t>
      </text>
    </comment>
    <comment ref="C96" authorId="0" shapeId="0">
      <text>
        <t>Source: XO-32; 77% of gig workers hold no fund (XO-32)
Shape pert, low 0.05 / likely 0.1 / high 0.2.
dist_agreed_v1.csv</t>
      </text>
    </comment>
    <comment ref="C97" authorId="0" shapeId="0">
      <text>
        <t>Source: XO-07; all-India average SIP ₹3,224 a month (XO-07)
Shape pert, low 250 / likely 500 / high 1000.
dist_agreed_v1.csv</t>
      </text>
    </comment>
    <comment ref="C98" authorId="0" shapeId="0">
      <text>
        <t>Source: XO-08, XO-36; Prudent earns 0.88–0.91% (XO-08); Groww sells direct plans and earns about nothing (XO-36)
Shape pert, low 0.005 / likely 0.0075 / high 0.009.
dist_agreed_v1.csv</t>
      </text>
    </comment>
    <comment ref="C99" authorId="0" shapeId="0">
      <text>
        <t>Source: XO-06; SIP stoppage ratio 81% of new ones (XO-06)
Shape pert, low 0.5 / likely 0.65 / high 0.8.
dist_agreed_v1.csv</t>
      </text>
    </comment>
    <comment ref="C101" authorId="0" shapeId="0">
      <text>
        <t>Source: XO-04; 3.22 lakh Choti SIPs by Jun 2026 (XO-04)
Shape pert, low 0.045 / likely 0.09 / high 0.18.
dist_agreed_v1.csv</t>
      </text>
    </comment>
    <comment ref="C102" authorId="0" shapeId="0">
      <text>
        <t>Source: XO-01
Shape fixed, low 500 / likely 500 / high 500.
dist_agreed_v1.csv</t>
      </text>
    </comment>
    <comment ref="C103" authorId="0" shapeId="0">
      <text>
        <t>Source: XO-04, XO-05; +28,000 / −20,000 a month on 3.22 lakh (XO-04)
Shape pert, low 0.15 / likely 0.25 / high 0.4.
dist_agreed_v1.csv (read from choti_survive24)</t>
      </text>
    </comment>
    <comment ref="C105" authorId="0" shapeId="0">
      <text>
        <t>Source: judgement
Shape pert, low 0.01 / likely 0.03 / high 0.05.
dist_agreed_v1.csv</t>
      </text>
    </comment>
    <comment ref="C106" authorId="0" shapeId="0">
      <text>
        <t>Source: XO-16
Shape fixed, low 200 / likely 200 / high 200.
dist_agreed_v1.csv</t>
      </text>
    </comment>
    <comment ref="C107" authorId="0" shapeId="0">
      <text>
        <t>Source: fallback: COHORT_INPUTS / addendum
Shape fixed, low 1 / likely 1 / high 1.
Fallback: COHORT_INPUTS / addenda (not yet in the distribution file)</t>
      </text>
    </comment>
    <comment ref="C109" authorId="0" shapeId="0">
      <text>
        <t>Source: judgement; SEBI cautioned on digital gold (SAV-11), which also backs the founder's no-gold-at-launch choice
Shape pert, low 0.03 / likely 0.08 / high 0.15.
dist_agreed_v1.csv</t>
      </text>
    </comment>
    <comment ref="C110" authorId="0" shapeId="0">
      <text>
        <t>Source: judgement
Shape pert, low 100 / likely 300 / high 600.
dist_agreed_v1.csv</t>
      </text>
    </comment>
    <comment ref="C111" authorId="0" shapeId="0">
      <text>
        <t>Source: LEV-036, LEV-037
Shape fixed, low 0.024 / likely 0.024 / high 0.024.
dist_agreed_v1.csv</t>
      </text>
    </comment>
    <comment ref="C112" authorId="0" shapeId="0">
      <text>
        <t>Source: judgement
Shape pert, low 0.5 / likely 0.65 / high 0.8.
dist_agreed_v1.csv</t>
      </text>
    </comment>
    <comment ref="C114" authorId="0" shapeId="0">
      <text>
        <t>Source: judgement
Shape pert, low 0.05 / likely 0.1 / high 0.2.
dist_agreed_v1.csv</t>
      </text>
    </comment>
    <comment ref="C115" authorId="0" shapeId="0">
      <text>
        <t>Source: judgement
Shape pert, low 5000 / likely 10000 / high 20000.
dist_agreed_v1.csv</t>
      </text>
    </comment>
    <comment ref="C116" authorId="0" shapeId="0">
      <text>
        <t>Source: XO-37, BM-03; Stable Money 0.11% of FD assets (XO-37); FD platforms ~0.4–1% (BM-03)
Shape pert, low 0.001 / likely 0.005 / high 0.01.
dist_agreed_v1.csv</t>
      </text>
    </comment>
    <comment ref="C118" authorId="0" shapeId="0">
      <text>
        <t>Source: judgement
Shape pert, low 0.1 / likely 0.25 / high 0.5.
dist_agreed_v1.csv</t>
      </text>
    </comment>
    <comment ref="C119" authorId="0" shapeId="0">
      <text>
        <t>Source: XO-33
Shape fixed, low 2600 / likely 2600 / high 2600.
dist_agreed_v1.csv</t>
      </text>
    </comment>
    <comment ref="C120" authorId="0" shapeId="0">
      <text>
        <t>Source: XO-25; Jio retailer margin 2–4% (XO-25); an app usually gets less than a retailer
Shape pert, low 0.01 / likely 0.02 / high 0.03.
dist_agreed_v1.csv</t>
      </text>
    </comment>
    <comment ref="C121" authorId="0" shapeId="0">
      <text>
        <t>Source: fallback: COHORT_INPUTS / addendum
Shape fixed, low 1 / likely 1 / high 1.
Fallback: COHORT_INPUTS / addenda (not yet in the distribution file)</t>
      </text>
    </comment>
    <comment ref="C123" authorId="0" shapeId="0">
      <text>
        <t>Source: judgement
Shape pert, low 0.1 / likely 0.25 / high 0.5.
dist_agreed_v1.csv</t>
      </text>
    </comment>
    <comment ref="C124" authorId="0" shapeId="0">
      <text>
        <t>Source: judgement
Shape pert, low 12 / likely 24 / high 36.
dist_agreed_v1.csv</t>
      </text>
    </comment>
    <comment ref="C125" authorId="0" shapeId="0">
      <text>
        <t>Source: XO-26; agent rate cards ₹1–3 a bill (XO-26)
Shape triangular, low 1 / likely 2 / high 3.
dist_agreed_v1.csv</t>
      </text>
    </comment>
    <comment ref="C126" authorId="0" shapeId="0">
      <text>
        <t>Source: fallback: COHORT_INPUTS / addendum
Shape fixed, low 1 / likely 1 / high 1.
Fallback: COHORT_INPUTS / addenda (not yet in the distribution file)</t>
      </text>
    </comment>
    <comment ref="C128" authorId="0" shapeId="0">
      <text>
        <t>Source: XL-28; gold loans: 381 lakh a quarter, the most by count (XL-28)
Shape pert, low 0.02 / likely 0.05 / high 0.1.
dist_agreed_v1.csv</t>
      </text>
    </comment>
    <comment ref="C129" authorId="0" shapeId="0">
      <text>
        <t>Source: judgement
Shape pert, low 30000 / likely 50000 / high 80000.
dist_agreed_v1.csv</t>
      </text>
    </comment>
    <comment ref="C130" authorId="0" shapeId="0">
      <text>
        <t>Source: GAP-06; no gold-loan payout found; DSA 1–3% in general (GAP-06); gold loans are short and low-margin
Shape pert, low 0.005 / likely 0.01 / high 0.015.
dist_agreed_v1.csv</t>
      </text>
    </comment>
    <comment ref="C132" authorId="0" shapeId="0">
      <text>
        <t>Source: XL-54
Shape pert, low 0.005 / likely 0.02 / high 0.05.
dist_agreed_v1.csv</t>
      </text>
    </comment>
    <comment ref="C133" authorId="0" shapeId="0">
      <text>
        <t>Source: XL-54; ₹10,000–30,000 (assumed) (XL-54)
Shape pert, low 10000 / likely 20000 / high 30000.
dist_agreed_v1.csv</t>
      </text>
    </comment>
    <comment ref="C134" authorId="0" shapeId="0">
      <text>
        <t>Source: XL-54; 1–3% (assumed) (XL-54)
Shape pert, low 0.01 / likely 0.02 / high 0.03.
dist_agreed_v1.csv</t>
      </text>
    </comment>
    <comment ref="C136" authorId="0" shapeId="0">
      <text>
        <t>Source: XL-54; 0.1–1% (assumed) (XL-54)
Shape pert, low 0.001 / likely 0.005 / high 0.01.
dist_agreed_v1.csv</t>
      </text>
    </comment>
    <comment ref="C137" authorId="0" shapeId="0">
      <text>
        <t>Source: judgement; context: XL-54; ₹1.5–6 lakh for autos and e-rickshaws (context) (XL-54); judgement: the ₹80,000 low covers two-wheeler loans; XL-54's ₹1.5–6 lakh is for autos and e-rickshaws
Shape pert, low 80000 / likely 150000 / high 600000.
dist_agreed_v1.csv</t>
      </text>
    </comment>
    <comment ref="C138" authorId="0" shapeId="0">
      <text>
        <t>Source: XL-54; 0.5–2% (assumed) (XL-54)
Shape pert, low 0.005 / likely 0.01 / high 0.02.
dist_agreed_v1.csv</t>
      </text>
    </comment>
    <comment ref="C140" authorId="0" shapeId="0">
      <text>
        <t>Source: XL-24, XL-25; operator (family income counts); judgement; Aavas: 61% of borrowers self-employed (XL-24); Home First serves incomes under ₹50,000 a month (XL-25); a ₹25 lakh loan over 20 years at ~9% has a ₹22,500 EMI, which needs ~₹45,000 a month of income at the 50% rule; his savers earn ₹20–40k (IV-04); family income counts (operator), so co-applicants widen eligibility
Shape pert, low 0.005 / likely 0.015 / high 0.03.
dist_agreed_v1.csv</t>
      </text>
    </comment>
    <comment ref="C141" authorId="0" shapeId="0">
      <text>
        <t>Source: operator ('upto 20-50 lakhs'); XL-29, XL-26; average home loan ₹32 lakh (XL-29); PMAY-U 2.0 subsidy up to ₹1.8 lakh (XL-26)
Shape pert, low 1e+06 / likely 2.5e+06 / high 5e+06.
dist_agreed_v1.csv</t>
      </text>
    </comment>
    <comment ref="C142" authorId="0" shapeId="0">
      <text>
        <t>Source: XL-15; home-loan DSA 0.3–1% (typical 0.4–0.6%) (XL-15)
Shape pert, low 0.003 / likely 0.005 / high 0.01.
dist_agreed_v1.csv</t>
      </text>
    </comment>
    <comment ref="C143" authorId="0" shapeId="0">
      <text>
        <t>Source: judgement; secured, so above unsecured approval; early-months factors and approval_growth (cap 80%) apply; no collection fees, no ticket growth
Shape pert, low 0.3 / likely 0.45 / high 0.6.
dist_agreed_v1.csv</t>
      </text>
    </comment>
    <comment ref="C145" authorId="0" shapeId="0">
      <text>
        <t>Source: judgement
Shape pert, low 0.002 / likely 0.005 / high 0.01.
dist_agreed_v1.csv</t>
      </text>
    </comment>
    <comment ref="C146" authorId="0" shapeId="0">
      <text>
        <t>Source: judgement
Shape pert, low 500000 / likely 1.5e+06 / high 3e+06.
dist_agreed_v1.csv</t>
      </text>
    </comment>
    <comment ref="C147" authorId="0" shapeId="0">
      <text>
        <t>Source: XL-16; LAP DSA 0.5–1.5% (XL-16)
Shape pert, low 0.005 / likely 0.01 / high 0.015.
dist_agreed_v1.csv</t>
      </text>
    </comment>
    <comment ref="C148" authorId="0" shapeId="0">
      <text>
        <t>Source: judgement; secured, so above unsecured approval; early-months factors and approval_growth (cap 80%) apply; no collection fees, no ticket growth
Shape pert, low 0.3 / likely 0.45 / high 0.6.
dist_agreed_v1.csv</t>
      </text>
    </comment>
    <comment ref="C150" authorId="0" shapeId="0">
      <text>
        <t>Source: operator; IV-13
Shape fixed, low 20000 / likely 20000 / high 20000.
dist_agreed_v1.csv</t>
      </text>
    </comment>
    <comment ref="C151" authorId="0" shapeId="0">
      <text>
        <t>Source: operator (16 Oct)
Shape fixed, low 0.001 / likely 0.0025 / high 0.0025.
dist_agreed_v1.csv</t>
      </text>
    </comment>
    <comment ref="C152" authorId="0" shapeId="0">
      <text>
        <t>Source: TC-35, REG-045, REG-069; build-up ₹25–60 (TC-35); fund KYC upload ₹30 (2012) (REG-045); video KYC ₹50–150 (REG-069)
Shape pert, low 25 / likely 40 / high 100.
dist_agreed_v1.csv</t>
      </text>
    </comment>
    <comment ref="C153" authorId="0" shapeId="0">
      <text>
        <t>Source: operator (agreed 16 Oct)
Shape pert, low 0 / likely 5 / high 15.
dist_agreed_v1.csv</t>
      </text>
    </comment>
    <comment ref="C154" authorId="0" shapeId="0">
      <text>
        <t>Source: judgement; GAP (no research row); operator: 'Daily deposit + cover'; GAP: no research row for fidelity or cash-in-transit cover; deposit charges sit inside the ₹5 running cost
Shape pert, low 500 / likely 1000 / high 2000.
dist_agreed_v1.csv</t>
      </text>
    </comment>
    <comment ref="C155" authorId="0" shapeId="0">
      <text>
        <t>Source: operator (partners' licences); judgement; operator: 'Partners' licences'; fund trail (our own ARN), loan and card fees and the other-lender loans stay whole
Shape pert, low 0.6 / likely 0.75 / high 0.9.
dist_agreed_v1.csv</t>
      </text>
    </comment>
    <comment ref="C156" authorId="0" shapeId="0">
      <text>
        <t>Source: operator (16 Oct)
Shape fixed, low 0 / likely 0 / high 0.
dist_agreed_v1.csv (file matches the operator decision)</t>
      </text>
    </comment>
    <comment ref="C157" authorId="0" shapeId="0">
      <text>
        <t>Source: operator (16 Oct)
Shape fixed, low 1 / likely 1 / high 1.
dist_agreed_v1.csv</t>
      </text>
    </comment>
    <comment ref="C159" authorId="0" shapeId="0">
      <text>
        <t>Source: COHORT_INPUTS 5: Rs 20,000 a month per 400 visits a day, pro-rata. A fixed part of the model, not sampled in the Monte Carlo.</t>
      </text>
    </comment>
    <comment ref="C160" authorId="0" shapeId="0">
      <text>
        <t>Source: addendum 2: about 9 months after disbursal. A fixed part of the model, not sampled in the Monte Carlo.</t>
      </text>
    </comment>
    <comment ref="C161" authorId="0" shapeId="0">
      <text>
        <t>Source: COHORT_INPUTS 6 / addendum 2: about 18 months after disbursal. A fixed part of the model, not sampled in the Monte Carlo.</t>
      </text>
    </comment>
    <comment ref="C162" authorId="0" shapeId="0">
      <text>
        <t>Source: Operator 16 Oct: issued once, spread evenly over months 1-6. A fixed part of the model, not sampled in the Monte Carlo.</t>
      </text>
    </comment>
    <comment ref="C163" authorId="0" shapeId="0">
      <text>
        <t>Source: addendum 1: paid at month 24 of the SIP. A fixed part of the model, not sampled in the Monte Carlo.</t>
      </text>
    </comment>
    <comment ref="C164" authorId="0" shapeId="0">
      <text>
        <t>Source: Round 5: 'we dont need to have a discount rate as of now. Let VC calculate it' - cumulative P&amp;L; 20% kept for reference. A fixed part of the model, not sampled in the Monte Carlo.</t>
      </text>
    </comment>
    <comment ref="C165" authorId="0" shapeId="0">
      <text>
        <t>Source: Round 7: 0.10% from company month 61 (outside the 60-month horizon). A fixed part of the model, not sampled in the Monte Carlo.</t>
      </text>
    </comment>
    <comment ref="C166" authorId="0" shapeId="0">
      <text>
        <t>Source: Round 7. A fixed part of the model, not sampled in the Monte Carlo.</t>
      </text>
    </comment>
    <comment ref="C167" authorId="0" shapeId="0">
      <text>
        <t>Source: Addendum 4 cap. A fixed part of the model, not sampled in the Monte Carlo.</t>
      </text>
    </comment>
    <comment ref="C168" authorId="0" shapeId="0">
      <text>
        <t>Source: Addendum 4 cap: 2x the agreed rate. A fixed part of the model, not sampled in the Monte Carlo.</t>
      </text>
    </comment>
    <comment ref="C169" authorId="0" shapeId="0">
      <text>
        <t>Source: Addendum 4 cap: 80% absolute (XL-41 Kissht repeat 74%). A fixed part of the model, not sampled in the Monte Carlo.</t>
      </text>
    </comment>
    <comment ref="C170" authorId="0" shapeId="0">
      <text>
        <t>Source: Addendum 4 cap: Rs 5 lakh (XL-12 Bachatt up to Rs 5 lakh). A fixed part of the model, not sampled in the Monte Carlo.</t>
      </text>
    </comment>
    <comment ref="C171" authorId="0" shapeId="0">
      <text>
        <t>Source: Addendum 4: borrowers with 12+ EMIs paid. A fixed part of the model, not sampled in the Monte Carlo.</t>
      </text>
    </comment>
    <comment ref="C172" authorId="0" shapeId="0">
      <text>
        <t>Source: Operator 16 Oct: months 1-6 can have low take-up and approval rates; 1.0 from month 7. A fixed part of the model, not sampled in the Monte Carlo.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8"/>
  <sheetViews>
    <sheetView zoomScale="90" workbookViewId="0">
      <selection activeCell="A1" sqref="A1"/>
    </sheetView>
  </sheetViews>
  <sheetFormatPr baseColWidth="8" defaultRowHeight="15"/>
  <cols>
    <col width="120" customWidth="1" min="1" max="1"/>
  </cols>
  <sheetData>
    <row r="1">
      <c r="A1" s="1" t="inlineStr">
        <is>
          <t>Cohort model: one street agent, 60 months, one cohort of sign-ups a month</t>
        </is>
      </c>
    </row>
    <row r="2">
      <c r="A2" s="2" t="inlineStr"/>
    </row>
    <row r="3">
      <c r="A3" s="3" t="inlineStr">
        <is>
          <t>WHAT TO EDIT</t>
        </is>
      </c>
    </row>
    <row r="4">
      <c r="A4" s="4" t="inlineStr">
        <is>
          <t>Only the BLUE cells on the Inputs sheet (column C, 'Likely'). Yellow-filled blue cells are operator decisions or open choices (still saving at month 12, the fund commission, card share, loan tenure, sign-ups). Low / High / Shape beside them are the Monte Carlo ranges, shown for reference; the formulas use only the Likely column. Every cell comment says where the number comes from.</t>
        </is>
      </c>
    </row>
    <row r="5">
      <c r="A5" s="2" t="inlineStr">
        <is>
          <t>Example: to test 40 of 100 still saving at month 12, type 0.40 into 'Still saving at month 12'; the Summary NPVs move at once.</t>
        </is>
      </c>
    </row>
    <row r="6">
      <c r="A6" s="2" t="inlineStr">
        <is>
          <t>Black = formulas. Green = a link to another sheet. Nothing else should be typed over.</t>
        </is>
      </c>
    </row>
    <row r="7">
      <c r="A7" s="2" t="inlineStr"/>
    </row>
    <row r="8">
      <c r="A8" s="3" t="inlineStr">
        <is>
          <t>HOW THE SHEETS FLOW</t>
        </is>
      </c>
    </row>
    <row r="9">
      <c r="A9" s="4" t="inlineStr">
        <is>
          <t>Inputs -&gt; Retention curve (ages 1-60) -&gt; Age profile (one sign-up's saving, fund, UPI and KYC lines by age) -&gt; Sign-ups by age (which cohort is which age in each month) -&gt; Cohort x age (the marketplace lines - loans, top-ups, cards, the 17 products and collections - one row per cohort and age, because take-up and approvals grow with the calendar year) -&gt; Monthly (age-profile lines = SUMPRODUCT with Sign-ups by age; marketplace lines = SUMIFS of Cohort x age by calendar month; then salary, extra capacity, KYC, the P&amp;L, the discount factor and NPV) -&gt; Summary. Cohort triangle shows savers still saving by cohort and month.</t>
        </is>
      </c>
    </row>
    <row r="10">
      <c r="A10" s="2" t="inlineStr"/>
    </row>
    <row r="11">
      <c r="A11" s="3" t="inlineStr">
        <is>
          <t>HOW IT IS BUILT (approximations, also in model/cohort_engine.py)</t>
        </is>
      </c>
    </row>
    <row r="12">
      <c r="A12" s="4" t="inlineStr">
        <is>
          <t>Retention: drop-off at a steady monthly rate within months 1-3 (to r3), 4-12 (to r12), then churn_late. A saver who stops withdraws his whole balance. The balance builds over a 12-month term; at a term end the rollover share stays, the rest is paid out; a share is withdrawn mid-term each month.</t>
        </is>
      </c>
    </row>
    <row r="13">
      <c r="A13" s="4" t="inlineStr">
        <is>
          <t>Marketplace: loans, cards and all 17 products are offered from month 1 (Inputs: first month a saver is offered; the operator, 16 Oct: 'the marketplace opens as soon as possible... It's not at our cost'). There is no marketplace cost line: costs are salary, extra capacity, KYC per sign-up and support (0).</t>
        </is>
      </c>
    </row>
    <row r="14">
      <c r="A14" s="4" t="inlineStr">
        <is>
          <t>Loans: savers offered the marketplace (still saving) with no loan running apply at a monthly hazard; first loans use the first-loan approval, repeat loans the repeat approval. A borrower is out of the applicant pool while his loan runs (tenure rounded to whole months) and returns, if still saving, the month after it ends. Churn does not depend on having a loan. A saver who stops keeps paying, gets no repeat.</t>
        </is>
      </c>
    </row>
    <row r="15">
      <c r="A15" s="4" t="inlineStr">
        <is>
          <t>Overdue loans: p90 = loss / (owed x (1 - recovered)) is the share of loans that ever go 90+ days bad. Fees per loan made = early_cured x fee_early, paid ~9 months after the loan, plus p90 x recovered x fee_b3, paid ~18 months after; fees due after month 60 are not counted. The lender carries the loss itself. Insurance commissions sit at the IRDAI draft distributor caps.</t>
        </is>
      </c>
    </row>
    <row r="16">
      <c r="A16" s="4" t="inlineStr">
        <is>
          <t>Cross-sell: 17 products, each with a yearly take-up hazard among savers offered, still saving, who never held it (a lapsed holder is not sold it again). Insurance pays a first-year commission and renewals; SIP, gold, recharge and bills earn while the holder continues; renewals and flows are counted only while he is still saving (conservative).</t>
        </is>
      </c>
    </row>
    <row r="17">
      <c r="A17" s="4" t="inlineStr">
        <is>
          <t>Cards: card share, issued once, evenly over the first 6 marketplace months (months 1-6) to those still saving, under the early factors; the share those factors held back is issued over months 7-12 at full rates (review fix).</t>
        </is>
      </c>
    </row>
    <row r="18">
      <c r="A18" s="4" t="inlineStr">
        <is>
          <t>Early months: in a saver's months 1-6 every take-up (loan applications, cards, the 17 products) is multiplied by the early take-up factor, and first-loan and card approval by the early approval factor; both are 1 from month 7.</t>
        </is>
      </c>
    </row>
    <row r="19">
      <c r="A19" s="4" t="inlineStr">
        <is>
          <t>Basis (round 5): undiscounted cumulative P&amp;L - the operator: 'we dont need to have a discount rate as of now. Let VC calculate it.' The discount input is 0; the 'NPV (legacy, 20% discount)' rows are for reference only. Payback = the first month from which cumulative P&amp;L stays positive; peak cash need = its lowest point.</t>
        </is>
      </c>
    </row>
    <row r="20">
      <c r="A20" s="4" t="inlineStr">
        <is>
          <t>Housing (round 5-6): home loans and loans against property from other lenders, once per saver, take-up x an approval share (cap 80%), fee at disbursal, no collections. Cash cover (fidelity and cash-in-transit insurance) is a cost per agent a month. Insurance commissions reach us through a broker partner, who keeps a share.</t>
        </is>
      </c>
    </row>
    <row r="21">
      <c r="A21" s="4" t="inlineStr">
        <is>
          <t>Fund return: the saver's net return accrues each month on his average balance; rollover and withdrawals include it, so it raises the money in the fund and the commission on it.</t>
        </is>
      </c>
    </row>
    <row r="22">
      <c r="A22" s="4" t="inlineStr">
        <is>
          <t>Growth with the pool's history (addendum 4): sign-ups grow each year from year 2 (cap 100 a month); every take-up rises each calendar year (cap 2x) and first-loan and card approval too (first-loan approval capped at 80%); a repeat loan is bigger by the ticket growth for each year of the loan he repaid (cap Rs 5 lakh); a top-up (share of borrowers with 12+ EMIs paid, still saving, at most one per loan, sized after one year repaid) earns the origination fee and adds to collections pro rata. On 'Cohort x age' the lag look-ups range over the cohort's own rows; only the repeat-loan pool looks at rows above it (that column feeds the loans it looks up), and the first row of each cohort holds its starting values.</t>
        </is>
      </c>
    </row>
    <row r="23">
      <c r="A23" s="4" t="inlineStr">
        <is>
          <t>Capacity: cash visits a day = cash savers / days between visits; above one agent's capacity the extra cost is Rs 20,000 a month per 400 visits a day, pro-rata.</t>
        </is>
      </c>
    </row>
    <row r="24">
      <c r="A24" s="2" t="inlineStr"/>
    </row>
    <row r="25">
      <c r="A25" s="3" t="inlineStr">
        <is>
          <t>CHECKS</t>
        </is>
      </c>
    </row>
    <row r="26">
      <c r="A26" s="4" t="inlineStr">
        <is>
          <t>model/cohort_engine.py computes the same model in Python; tables/cohort_xlsx_check.csv records that this workbook matches it. With legacy=True the engine reproduces the v2 deck's NPVs exactly (tables/cohort_legacy_check.csv).</t>
        </is>
      </c>
    </row>
    <row r="27">
      <c r="A27" s="4" t="inlineStr">
        <is>
          <t>Recalculation note: the workbook is saved with 'recalculate on open'. It was verified with the Python 'formulas' engine because LibreOffice is not installed on the build machine.</t>
        </is>
      </c>
    </row>
    <row r="28">
      <c r="A28" s="4" t="inlineStr">
        <is>
          <t>Inputs not yet in dist_agreed_v1.csv (taken from COHORT_INPUTS and its addenda): 3 keys, e.g. nps_comm, recharge_renew, bills_renew.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1"/>
  <sheetViews>
    <sheetView zoomScale="90" workbookViewId="0">
      <selection activeCell="A1" sqref="A1"/>
    </sheetView>
  </sheetViews>
  <sheetFormatPr baseColWidth="8" defaultRowHeight="15"/>
  <cols>
    <col width="6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One street agent, 60 months: cumulative P&amp;L at the likely values (undiscounted)</t>
        </is>
      </c>
    </row>
    <row r="2">
      <c r="A2" s="5" t="inlineStr">
        <is>
          <t>Every number in this first block is a formula on the other sheets; change a blue cell on Inputs and it moves. Built 2026-10-16 by model/build_cohort_xlsx.py.</t>
        </is>
      </c>
    </row>
    <row r="4">
      <c r="A4" s="6" t="inlineStr">
        <is>
          <t>Measure</t>
        </is>
      </c>
      <c r="B4" s="6" t="inlineStr">
        <is>
          <t>Value</t>
        </is>
      </c>
      <c r="C4" s="6" t="inlineStr">
        <is>
          <t>Unit</t>
        </is>
      </c>
    </row>
    <row r="5">
      <c r="A5" s="3" t="inlineStr">
        <is>
          <t>Cumulative P&amp;L at 36 months</t>
        </is>
      </c>
      <c r="B5" s="7">
        <f>INDEX(Monthly!BH2:BH61,36)</f>
        <v/>
      </c>
      <c r="C5" s="5" t="inlineStr">
        <is>
          <t>Rs, undiscounted (operator, round 5)</t>
        </is>
      </c>
    </row>
    <row r="6">
      <c r="A6" s="3" t="inlineStr">
        <is>
          <t>Cumulative P&amp;L at 60 months</t>
        </is>
      </c>
      <c r="B6" s="7">
        <f>INDEX(Monthly!BH2:BH61,60)</f>
        <v/>
      </c>
      <c r="C6" s="5" t="inlineStr">
        <is>
          <t>Rs, undiscounted</t>
        </is>
      </c>
    </row>
    <row r="7">
      <c r="A7" s="3" t="inlineStr">
        <is>
          <t>Payback month (cumulative P&amp;L turns positive)</t>
        </is>
      </c>
      <c r="B7" s="8">
        <f>IF(MIN(Monthly!BJ2:BJ61)&gt;60,"never within 60 months",MIN(Monthly!BJ2:BJ61))</f>
        <v/>
      </c>
      <c r="C7" s="5" t="inlineStr">
        <is>
          <t>month (and stays positive)</t>
        </is>
      </c>
    </row>
    <row r="8">
      <c r="A8" s="2" t="inlineStr">
        <is>
          <t>Peak cash need (lowest cumulative P&amp;L)</t>
        </is>
      </c>
      <c r="B8" s="9">
        <f>MIN(0,MIN(Monthly!BH2:BH61))</f>
        <v/>
      </c>
      <c r="C8" s="5" t="inlineStr">
        <is>
          <t>Rs (negative: the cash needed is its size)</t>
        </is>
      </c>
    </row>
    <row r="9">
      <c r="A9" s="2" t="inlineStr">
        <is>
          <t>NPV (legacy, 20% discount): NPV at 36 months</t>
        </is>
      </c>
      <c r="B9" s="9">
        <f>SUMPRODUCT(Monthly!BD2:BD37,Monthly!BK2:BK37)</f>
        <v/>
      </c>
      <c r="C9" s="5" t="inlineStr">
        <is>
          <t>Rs, reference only</t>
        </is>
      </c>
    </row>
    <row r="10">
      <c r="A10" s="2" t="inlineStr">
        <is>
          <t>NPV (legacy, 20% discount): NPV at 60 months</t>
        </is>
      </c>
      <c r="B10" s="9">
        <f>SUMPRODUCT(Monthly!BD2:BD61,Monthly!BK2:BK61)</f>
        <v/>
      </c>
      <c r="C10" s="5" t="inlineStr">
        <is>
          <t>Rs, reference only</t>
        </is>
      </c>
    </row>
    <row r="11">
      <c r="A11" s="2" t="inlineStr">
        <is>
          <t>Our fees on home loans and LAP in 60 months</t>
        </is>
      </c>
      <c r="B11" s="9">
        <f>SUM(Monthly!AT2:AT61)+SUM(Monthly!AU2:AU61)</f>
        <v/>
      </c>
      <c r="C11" s="5" t="inlineStr">
        <is>
          <t>Rs</t>
        </is>
      </c>
    </row>
    <row r="12">
      <c r="A12" s="2" t="inlineStr">
        <is>
          <t>Agent pay on balance, 60 months</t>
        </is>
      </c>
      <c r="B12" s="9">
        <f>SUM(Monthly!BB2:BB61)</f>
        <v/>
      </c>
      <c r="C12" s="5" t="inlineStr">
        <is>
          <t>Rs (0.25% a year of his savers' balance)</t>
        </is>
      </c>
    </row>
    <row r="13">
      <c r="A13" s="3" t="inlineStr">
        <is>
          <t>Value per sign-up, his first 5 years, discounted to his sign-up month (a month-1 sign-up)</t>
        </is>
      </c>
      <c r="B13" s="7">
        <f>SUM('Age profile'!U2:U61)+SUMPRODUCT('Cohort x age'!CE2:CE61,'Age profile'!T2:T61)/INDEX(Monthly!B2:B61,1)</f>
        <v/>
      </c>
      <c r="C13" s="5" t="inlineStr">
        <is>
          <t>Rs (before the agent's salary)</t>
        </is>
      </c>
    </row>
    <row r="14">
      <c r="A14" s="2" t="inlineStr">
        <is>
          <t>Agent's salary per sign-up (for comparison)</t>
        </is>
      </c>
      <c r="B14" s="9">
        <f>in_salary/in_signups_run</f>
        <v/>
      </c>
      <c r="C14" s="5" t="inlineStr">
        <is>
          <t>Rs</t>
        </is>
      </c>
    </row>
    <row r="15">
      <c r="A15" s="2" t="inlineStr">
        <is>
          <t>Year-1 P&amp;L (months 1-12)</t>
        </is>
      </c>
      <c r="B15" s="9">
        <f>SUM(Monthly!BD2:BD13)</f>
        <v/>
      </c>
      <c r="C15" s="5" t="inlineStr">
        <is>
          <t>Rs</t>
        </is>
      </c>
    </row>
    <row r="16">
      <c r="A16" s="2" t="inlineStr">
        <is>
          <t>Cumulative cash at month 60</t>
        </is>
      </c>
      <c r="B16" s="9">
        <f>INDEX(Monthly!BH2:BH61,60)</f>
        <v/>
      </c>
      <c r="C16" s="5" t="inlineStr">
        <is>
          <t>Rs</t>
        </is>
      </c>
    </row>
    <row r="17">
      <c r="A17" s="2" t="inlineStr">
        <is>
          <t>Savers still saving at month 60</t>
        </is>
      </c>
      <c r="B17" s="10">
        <f>INDEX(Monthly!C2:C61,60)</f>
        <v/>
      </c>
      <c r="C17" s="5" t="inlineStr">
        <is>
          <t>savers</t>
        </is>
      </c>
    </row>
    <row r="18">
      <c r="A18" s="2" t="inlineStr">
        <is>
          <t>Peak cash visits a day</t>
        </is>
      </c>
      <c r="B18" s="10">
        <f>MAX(Monthly!G2:G61)</f>
        <v/>
      </c>
      <c r="C18" s="5" t="inlineStr">
        <is>
          <t>visits a day</t>
        </is>
      </c>
    </row>
    <row r="19">
      <c r="A19" s="2" t="inlineStr">
        <is>
          <t>Share of savers on UPI at month 60</t>
        </is>
      </c>
      <c r="B19" s="11">
        <f>INDEX(Monthly!H2:H61,60)</f>
        <v/>
      </c>
      <c r="C19" s="5" t="inlineStr">
        <is>
          <t>share</t>
        </is>
      </c>
    </row>
    <row r="20">
      <c r="A20" s="2" t="inlineStr">
        <is>
          <t>UPI share needed at month 60 to stay within one agent's visits</t>
        </is>
      </c>
      <c r="B20" s="11">
        <f>INDEX(Monthly!I2:I61,60)</f>
        <v/>
      </c>
      <c r="C20" s="5" t="inlineStr">
        <is>
          <t>share</t>
        </is>
      </c>
    </row>
    <row r="21">
      <c r="A21" s="2" t="inlineStr">
        <is>
          <t>Extra capacity cost in month 60</t>
        </is>
      </c>
      <c r="B21" s="9">
        <f>INDEX(Monthly!AX2:AX61,60)</f>
        <v/>
      </c>
      <c r="C21" s="5" t="inlineStr">
        <is>
          <t>Rs a month</t>
        </is>
      </c>
    </row>
    <row r="22">
      <c r="A22" s="2" t="inlineStr">
        <is>
          <t>Extra capacity cost, 60 months, not discounted</t>
        </is>
      </c>
      <c r="B22" s="9">
        <f>SUM(Monthly!AX2:AX61)</f>
        <v/>
      </c>
      <c r="C22" s="5" t="inlineStr">
        <is>
          <t>Rs</t>
        </is>
      </c>
    </row>
    <row r="23">
      <c r="A23" s="2" t="inlineStr">
        <is>
          <t>Extra capacity cost, 60 months, discounted</t>
        </is>
      </c>
      <c r="B23" s="9">
        <f>SUMPRODUCT(Monthly!AX2:AX61,Monthly!BE2:BE61)</f>
        <v/>
      </c>
      <c r="C23" s="5" t="inlineStr">
        <is>
          <t>Rs</t>
        </is>
      </c>
    </row>
    <row r="24">
      <c r="A24" s="2" t="inlineStr">
        <is>
          <t>Loans per 100 savers offered the marketplace, a year (first + repeat)</t>
        </is>
      </c>
      <c r="B24" s="12">
        <f>100*SUM(Monthly!O2:O61)/(SUM(Monthly!E2:E61)/12)</f>
        <v/>
      </c>
      <c r="C24" s="5" t="inlineStr">
        <is>
          <t>loans</t>
        </is>
      </c>
    </row>
    <row r="25">
      <c r="A25" s="2" t="inlineStr">
        <is>
          <t>Loans made in 60 months</t>
        </is>
      </c>
      <c r="B25" s="13">
        <f>SUM(Monthly!O2:O61)</f>
        <v/>
      </c>
      <c r="C25" s="5" t="inlineStr">
        <is>
          <t>loans</t>
        </is>
      </c>
    </row>
    <row r="26">
      <c r="A26" s="2" t="inlineStr">
        <is>
          <t>Implied share of loans that ever go 90+ days bad (p90)</t>
        </is>
      </c>
      <c r="B26" s="11">
        <f>d_p90</f>
        <v/>
      </c>
      <c r="C26" s="5" t="inlineStr">
        <is>
          <t>CRIF NG-015 10.2%; MAC-03 3.6%</t>
        </is>
      </c>
    </row>
    <row r="27">
      <c r="A27" s="2" t="inlineStr">
        <is>
          <t>Early brought back + p90</t>
        </is>
      </c>
      <c r="B27" s="11">
        <f>d_check</f>
        <v/>
      </c>
      <c r="C27" s="5" t="inlineStr">
        <is>
          <t>page check: at most 50%</t>
        </is>
      </c>
    </row>
    <row r="28">
      <c r="A28" s="2" t="inlineStr">
        <is>
          <t>Page check</t>
        </is>
      </c>
      <c r="B28" s="2">
        <f>d_check_flag</f>
        <v/>
      </c>
      <c r="C28" s="5" t="inlineStr"/>
    </row>
    <row r="29">
      <c r="A29" s="2" t="inlineStr">
        <is>
          <t>31-90 day collection fees per loan made</t>
        </is>
      </c>
      <c r="B29" s="14">
        <f>d_dpd</f>
        <v/>
      </c>
      <c r="C29" s="5" t="inlineStr">
        <is>
          <t>Rs a loan, paid ~9 months after the loan</t>
        </is>
      </c>
    </row>
    <row r="30">
      <c r="A30" s="2" t="inlineStr">
        <is>
          <t>90+ recovery fees per loan made</t>
        </is>
      </c>
      <c r="B30" s="14">
        <f>d_rec</f>
        <v/>
      </c>
      <c r="C30" s="5" t="inlineStr">
        <is>
          <t>Rs a loan, paid ~18 months after the loan</t>
        </is>
      </c>
    </row>
    <row r="31">
      <c r="A31" s="2" t="inlineStr">
        <is>
          <t>Cross-sell money per saver offered the marketplace, a year, all 17 products (old: Rs 63)</t>
        </is>
      </c>
      <c r="B31" s="14">
        <f>(SUM(Monthly!AC2:AC61)+SUM(Monthly!AD2:AD61)+SUM(Monthly!AE2:AE61)+SUM(Monthly!AF2:AF61)+SUM(Monthly!AG2:AG61)+SUM(Monthly!AH2:AH61)+SUM(Monthly!AI2:AI61)+SUM(Monthly!AJ2:AJ61)+SUM(Monthly!AK2:AK61)+SUM(Monthly!AL2:AL61)+SUM(Monthly!AM2:AM61)+SUM(Monthly!AN2:AN61)+SUM(Monthly!AO2:AO61)+SUM(Monthly!AP2:AP61)+SUM(Monthly!AQ2:AQ61)+SUM(Monthly!AR2:AR61)+SUM(Monthly!AS2:AS61)+SUM(Monthly!AT2:AT61)+SUM(Monthly!AU2:AU61))/(SUM(Monthly!E2:E61)/12)</f>
        <v/>
      </c>
      <c r="C31" s="5" t="inlineStr">
        <is>
          <t>Rs a saver offered, a year (60-month book)</t>
        </is>
      </c>
    </row>
    <row r="32">
      <c r="A32" s="2" t="inlineStr">
        <is>
          <t xml:space="preserve">   Small health / hospital cash</t>
        </is>
      </c>
      <c r="B32" s="14">
        <f>SUM(Monthly!AC2:AC61)/(SUM(Monthly!E2:E61)/12)</f>
        <v/>
      </c>
      <c r="C32" s="5" t="inlineStr">
        <is>
          <t>Rs a saver offered, a year</t>
        </is>
      </c>
    </row>
    <row r="33">
      <c r="A33" s="2" t="inlineStr">
        <is>
          <t xml:space="preserve">   Family health cover</t>
        </is>
      </c>
      <c r="B33" s="14">
        <f>SUM(Monthly!AD2:AD61)/(SUM(Monthly!E2:E61)/12)</f>
        <v/>
      </c>
      <c r="C33" s="5" t="inlineStr">
        <is>
          <t>Rs a saver offered, a year</t>
        </is>
      </c>
    </row>
    <row r="34">
      <c r="A34" s="2" t="inlineStr">
        <is>
          <t xml:space="preserve">   Term life (small cover)</t>
        </is>
      </c>
      <c r="B34" s="14">
        <f>SUM(Monthly!AE2:AE61)/(SUM(Monthly!E2:E61)/12)</f>
        <v/>
      </c>
      <c r="C34" s="5" t="inlineStr">
        <is>
          <t>Rs a saver offered, a year</t>
        </is>
      </c>
    </row>
    <row r="35">
      <c r="A35" s="2" t="inlineStr">
        <is>
          <t xml:space="preserve">   Personal accident</t>
        </is>
      </c>
      <c r="B35" s="14">
        <f>SUM(Monthly!AF2:AF61)/(SUM(Monthly!E2:E61)/12)</f>
        <v/>
      </c>
      <c r="C35" s="5" t="inlineStr">
        <is>
          <t>Rs a saver offered, a year</t>
        </is>
      </c>
    </row>
    <row r="36">
      <c r="A36" s="2" t="inlineStr">
        <is>
          <t xml:space="preserve">   Two-wheeler insurance</t>
        </is>
      </c>
      <c r="B36" s="14">
        <f>SUM(Monthly!AG2:AG61)/(SUM(Monthly!E2:E61)/12)</f>
        <v/>
      </c>
      <c r="C36" s="5" t="inlineStr">
        <is>
          <t>Rs a saver offered, a year</t>
        </is>
      </c>
    </row>
    <row r="37">
      <c r="A37" s="2" t="inlineStr">
        <is>
          <t xml:space="preserve">   Mobile / device insurance</t>
        </is>
      </c>
      <c r="B37" s="14">
        <f>SUM(Monthly!AH2:AH61)/(SUM(Monthly!E2:E61)/12)</f>
        <v/>
      </c>
      <c r="C37" s="5" t="inlineStr">
        <is>
          <t>Rs a saver offered, a year</t>
        </is>
      </c>
    </row>
    <row r="38">
      <c r="A38" s="2" t="inlineStr">
        <is>
          <t xml:space="preserve">   Shop insurance (fire and burglary)</t>
        </is>
      </c>
      <c r="B38" s="14">
        <f>SUM(Monthly!AI2:AI61)/(SUM(Monthly!E2:E61)/12)</f>
        <v/>
      </c>
      <c r="C38" s="5" t="inlineStr">
        <is>
          <t>Rs a saver offered, a year</t>
        </is>
      </c>
    </row>
    <row r="39">
      <c r="A39" s="2" t="inlineStr">
        <is>
          <t xml:space="preserve">   Equity/hybrid SIP trail</t>
        </is>
      </c>
      <c r="B39" s="14">
        <f>SUM(Monthly!AJ2:AJ61)/(SUM(Monthly!E2:E61)/12)</f>
        <v/>
      </c>
      <c r="C39" s="5" t="inlineStr">
        <is>
          <t>Rs a saver offered, a year</t>
        </is>
      </c>
    </row>
    <row r="40">
      <c r="A40" s="2" t="inlineStr">
        <is>
          <t xml:space="preserve">   Choti SIP incentive</t>
        </is>
      </c>
      <c r="B40" s="14">
        <f>SUM(Monthly!AK2:AK61)/(SUM(Monthly!E2:E61)/12)</f>
        <v/>
      </c>
      <c r="C40" s="5" t="inlineStr">
        <is>
          <t>Rs a saver offered, a year</t>
        </is>
      </c>
    </row>
    <row r="41">
      <c r="A41" s="2" t="inlineStr">
        <is>
          <t xml:space="preserve">   NPS</t>
        </is>
      </c>
      <c r="B41" s="14">
        <f>SUM(Monthly!AL2:AL61)/(SUM(Monthly!E2:E61)/12)</f>
        <v/>
      </c>
      <c r="C41" s="5" t="inlineStr">
        <is>
          <t>Rs a saver offered, a year</t>
        </is>
      </c>
    </row>
    <row r="42">
      <c r="A42" s="2" t="inlineStr">
        <is>
          <t xml:space="preserve">   Digital gold</t>
        </is>
      </c>
      <c r="B42" s="14">
        <f>SUM(Monthly!AM2:AM61)/(SUM(Monthly!E2:E61)/12)</f>
        <v/>
      </c>
      <c r="C42" s="5" t="inlineStr">
        <is>
          <t>Rs a saver offered, a year</t>
        </is>
      </c>
    </row>
    <row r="43">
      <c r="A43" s="2" t="inlineStr">
        <is>
          <t xml:space="preserve">   FD via partner banks</t>
        </is>
      </c>
      <c r="B43" s="14">
        <f>SUM(Monthly!AN2:AN61)/(SUM(Monthly!E2:E61)/12)</f>
        <v/>
      </c>
      <c r="C43" s="5" t="inlineStr">
        <is>
          <t>Rs a saver offered, a year</t>
        </is>
      </c>
    </row>
    <row r="44">
      <c r="A44" s="2" t="inlineStr">
        <is>
          <t xml:space="preserve">   Mobile recharge</t>
        </is>
      </c>
      <c r="B44" s="14">
        <f>SUM(Monthly!AO2:AO61)/(SUM(Monthly!E2:E61)/12)</f>
        <v/>
      </c>
      <c r="C44" s="5" t="inlineStr">
        <is>
          <t>Rs a saver offered, a year</t>
        </is>
      </c>
    </row>
    <row r="45">
      <c r="A45" s="2" t="inlineStr">
        <is>
          <t xml:space="preserve">   Bill payments</t>
        </is>
      </c>
      <c r="B45" s="14">
        <f>SUM(Monthly!AP2:AP61)/(SUM(Monthly!E2:E61)/12)</f>
        <v/>
      </c>
      <c r="C45" s="5" t="inlineStr">
        <is>
          <t>Rs a saver offered, a year</t>
        </is>
      </c>
    </row>
    <row r="46">
      <c r="A46" s="2" t="inlineStr">
        <is>
          <t xml:space="preserve">   Gold loan (other lenders)</t>
        </is>
      </c>
      <c r="B46" s="14">
        <f>SUM(Monthly!AQ2:AQ61)/(SUM(Monthly!E2:E61)/12)</f>
        <v/>
      </c>
      <c r="C46" s="5" t="inlineStr">
        <is>
          <t>Rs a saver offered, a year</t>
        </is>
      </c>
    </row>
    <row r="47">
      <c r="A47" s="2" t="inlineStr">
        <is>
          <t xml:space="preserve">   Consumer-durable loan</t>
        </is>
      </c>
      <c r="B47" s="14">
        <f>SUM(Monthly!AR2:AR61)/(SUM(Monthly!E2:E61)/12)</f>
        <v/>
      </c>
      <c r="C47" s="5" t="inlineStr">
        <is>
          <t>Rs a saver offered, a year</t>
        </is>
      </c>
    </row>
    <row r="48">
      <c r="A48" s="2" t="inlineStr">
        <is>
          <t xml:space="preserve">   Two-wheeler / e-rickshaw loan</t>
        </is>
      </c>
      <c r="B48" s="14">
        <f>SUM(Monthly!AS2:AS61)/(SUM(Monthly!E2:E61)/12)</f>
        <v/>
      </c>
      <c r="C48" s="5" t="inlineStr">
        <is>
          <t>Rs a saver offered, a year</t>
        </is>
      </c>
    </row>
    <row r="49">
      <c r="A49" s="2" t="inlineStr">
        <is>
          <t xml:space="preserve">   Home loan (affordable housing)</t>
        </is>
      </c>
      <c r="B49" s="14">
        <f>SUM(Monthly!AT2:AT61)/(SUM(Monthly!E2:E61)/12)</f>
        <v/>
      </c>
      <c r="C49" s="5" t="inlineStr">
        <is>
          <t>Rs a saver offered, a year</t>
        </is>
      </c>
    </row>
    <row r="50">
      <c r="A50" s="2" t="inlineStr">
        <is>
          <t xml:space="preserve">   Loan against property (shop or home)</t>
        </is>
      </c>
      <c r="B50" s="14">
        <f>SUM(Monthly!AU2:AU61)/(SUM(Monthly!E2:E61)/12)</f>
        <v/>
      </c>
      <c r="C50" s="5" t="inlineStr">
        <is>
          <t>Rs a saver offered, a year</t>
        </is>
      </c>
    </row>
    <row r="51">
      <c r="A51" s="2" t="inlineStr">
        <is>
          <t>All-in revenue per active saver a year, 60-month average</t>
        </is>
      </c>
      <c r="B51" s="9">
        <f>SUM(Monthly!AV2:AV61)/(SUM(Monthly!C2:C61)/12)</f>
        <v/>
      </c>
      <c r="C51" s="5" t="inlineStr">
        <is>
          <t>Rs (fund + loans + cards + products + collections)</t>
        </is>
      </c>
    </row>
    <row r="52">
      <c r="A52" s="2" t="inlineStr">
        <is>
          <t>All-in revenue per active saver a year, month-60 run rate</t>
        </is>
      </c>
      <c r="B52" s="9">
        <f>12*INDEX(Monthly!AV2:AV61,60)/INDEX(Monthly!C2:C61,60)</f>
        <v/>
      </c>
      <c r="C52" s="5" t="inlineStr">
        <is>
          <t>Rs</t>
        </is>
      </c>
    </row>
    <row r="53">
      <c r="A53" s="2" t="inlineStr">
        <is>
          <t>Top-ups per 100 borrowers a year (still saving, loan running)</t>
        </is>
      </c>
      <c r="B53" s="12">
        <f>100*SUM(Monthly!P2:P61)/(SUM(Monthly!S2:S61)/12)</f>
        <v/>
      </c>
      <c r="C53" s="5" t="inlineStr">
        <is>
          <t>top-ups</t>
        </is>
      </c>
    </row>
    <row r="54">
      <c r="A54" s="2" t="inlineStr">
        <is>
          <t>Money lent in 60 months (first, repeat and top-up loans)</t>
        </is>
      </c>
      <c r="B54" s="9">
        <f>SUM(Monthly!R2:R61)</f>
        <v/>
      </c>
      <c r="C54" s="5" t="inlineStr">
        <is>
          <t>Rs</t>
        </is>
      </c>
    </row>
    <row r="55">
      <c r="A55" s="2" t="inlineStr">
        <is>
          <t>Cards issued in 60 months</t>
        </is>
      </c>
      <c r="B55" s="13">
        <f>SUM(Monthly!W2:W61)</f>
        <v/>
      </c>
      <c r="C55" s="5" t="inlineStr">
        <is>
          <t>cards</t>
        </is>
      </c>
    </row>
    <row r="56">
      <c r="A56" s="2" t="inlineStr">
        <is>
          <t xml:space="preserve">   money lent in year 1</t>
        </is>
      </c>
      <c r="B56" s="9">
        <f>SUM(Monthly!R2:R13)</f>
        <v/>
      </c>
      <c r="C56" s="5" t="inlineStr">
        <is>
          <t>Rs</t>
        </is>
      </c>
    </row>
    <row r="57">
      <c r="A57" s="2" t="inlineStr">
        <is>
          <t xml:space="preserve">   money lent in year 2</t>
        </is>
      </c>
      <c r="B57" s="9">
        <f>SUM(Monthly!R14:R25)</f>
        <v/>
      </c>
      <c r="C57" s="5" t="inlineStr">
        <is>
          <t>Rs</t>
        </is>
      </c>
    </row>
    <row r="58">
      <c r="A58" s="2" t="inlineStr">
        <is>
          <t xml:space="preserve">   money lent in year 3</t>
        </is>
      </c>
      <c r="B58" s="9">
        <f>SUM(Monthly!R26:R37)</f>
        <v/>
      </c>
      <c r="C58" s="5" t="inlineStr">
        <is>
          <t>Rs</t>
        </is>
      </c>
    </row>
    <row r="59">
      <c r="A59" s="2" t="inlineStr">
        <is>
          <t xml:space="preserve">   money lent in year 4</t>
        </is>
      </c>
      <c r="B59" s="9">
        <f>SUM(Monthly!R38:R49)</f>
        <v/>
      </c>
      <c r="C59" s="5" t="inlineStr">
        <is>
          <t>Rs</t>
        </is>
      </c>
    </row>
    <row r="60">
      <c r="A60" s="2" t="inlineStr">
        <is>
          <t xml:space="preserve">   money lent in year 5</t>
        </is>
      </c>
      <c r="B60" s="9">
        <f>SUM(Monthly!R50:R61)</f>
        <v/>
      </c>
      <c r="C60" s="5" t="inlineStr">
        <is>
          <t>Rs</t>
        </is>
      </c>
    </row>
    <row r="61">
      <c r="A61" s="2" t="inlineStr">
        <is>
          <t xml:space="preserve">   average ticket of first and repeat loans, year 1</t>
        </is>
      </c>
      <c r="B61" s="9">
        <f>IF(SUM(Monthly!O2:O13)&gt;0,SUM(Monthly!Q2:Q13)/SUM(Monthly!O2:O13),0)</f>
        <v/>
      </c>
      <c r="C61" s="5" t="inlineStr">
        <is>
          <t>Rs</t>
        </is>
      </c>
    </row>
    <row r="62">
      <c r="A62" s="2" t="inlineStr">
        <is>
          <t xml:space="preserve">   average ticket of first and repeat loans, year 2</t>
        </is>
      </c>
      <c r="B62" s="9">
        <f>IF(SUM(Monthly!O14:O25)&gt;0,SUM(Monthly!Q14:Q25)/SUM(Monthly!O14:O25),0)</f>
        <v/>
      </c>
      <c r="C62" s="5" t="inlineStr">
        <is>
          <t>Rs</t>
        </is>
      </c>
    </row>
    <row r="63">
      <c r="A63" s="2" t="inlineStr">
        <is>
          <t xml:space="preserve">   average ticket of first and repeat loans, year 3</t>
        </is>
      </c>
      <c r="B63" s="9">
        <f>IF(SUM(Monthly!O26:O37)&gt;0,SUM(Monthly!Q26:Q37)/SUM(Monthly!O26:O37),0)</f>
        <v/>
      </c>
      <c r="C63" s="5" t="inlineStr">
        <is>
          <t>Rs</t>
        </is>
      </c>
    </row>
    <row r="64">
      <c r="A64" s="2" t="inlineStr">
        <is>
          <t xml:space="preserve">   average ticket of first and repeat loans, year 4</t>
        </is>
      </c>
      <c r="B64" s="9">
        <f>IF(SUM(Monthly!O38:O49)&gt;0,SUM(Monthly!Q38:Q49)/SUM(Monthly!O38:O49),0)</f>
        <v/>
      </c>
      <c r="C64" s="5" t="inlineStr">
        <is>
          <t>Rs</t>
        </is>
      </c>
    </row>
    <row r="65">
      <c r="A65" s="2" t="inlineStr">
        <is>
          <t xml:space="preserve">   average ticket of first and repeat loans, year 5</t>
        </is>
      </c>
      <c r="B65" s="9">
        <f>IF(SUM(Monthly!O50:O61)&gt;0,SUM(Monthly!Q50:Q61)/SUM(Monthly!O50:O61),0)</f>
        <v/>
      </c>
      <c r="C65" s="5" t="inlineStr">
        <is>
          <t>Rs</t>
        </is>
      </c>
    </row>
    <row r="66">
      <c r="A66" s="2" t="inlineStr">
        <is>
          <t>Income, 60 months, discounted</t>
        </is>
      </c>
      <c r="B66" s="9">
        <f>SUMPRODUCT(Monthly!AV2:AV61,Monthly!BE2:BE61)</f>
        <v/>
      </c>
      <c r="C66" s="5" t="inlineStr">
        <is>
          <t>Rs</t>
        </is>
      </c>
    </row>
    <row r="67">
      <c r="A67" s="2" t="inlineStr">
        <is>
          <t>Costs, 60 months, discounted</t>
        </is>
      </c>
      <c r="B67" s="9">
        <f>SUMPRODUCT(Monthly!BC2:BC61,Monthly!BE2:BE61)</f>
        <v/>
      </c>
      <c r="C67" s="5" t="inlineStr">
        <is>
          <t>Rs</t>
        </is>
      </c>
    </row>
    <row r="70">
      <c r="A70" s="15" t="inlineStr">
        <is>
          <t>Monte Carlo results (pasted from model/cohort_mc.py, 10,000 draws, 16 Oct 2026)</t>
        </is>
      </c>
      <c r="B70" s="16" t="n"/>
      <c r="C70" s="16" t="n"/>
      <c r="D70" s="16" t="n"/>
      <c r="E70" s="16" t="n"/>
      <c r="F70" s="16" t="n"/>
      <c r="G70" s="16" t="n"/>
      <c r="H70" s="16" t="n"/>
      <c r="I70" s="16" t="n"/>
      <c r="J70" s="16" t="n"/>
      <c r="K70" s="16" t="n"/>
    </row>
    <row r="71">
      <c r="A71" s="5" t="inlineStr">
        <is>
          <t>VALUES ONLY: these do not recalculate when you change Inputs. Re-run model/cohort_mc.py, then this builder, to refresh them. seed 20261016; Latin hypercube sampling; correlation ON (bad years linked, rho -0.5, agreed); 33 r3/r12 pairs redrawn to keep r12 &lt; r3</t>
        </is>
      </c>
    </row>
    <row r="73">
      <c r="A73" s="6" t="inlineStr">
        <is>
          <t>Measure</t>
        </is>
      </c>
      <c r="B73" s="6" t="inlineStr">
        <is>
          <t>p5</t>
        </is>
      </c>
      <c r="C73" s="6" t="inlineStr">
        <is>
          <t>p10</t>
        </is>
      </c>
      <c r="D73" s="6" t="inlineStr">
        <is>
          <t>p25</t>
        </is>
      </c>
      <c r="E73" s="6" t="inlineStr">
        <is>
          <t>p50</t>
        </is>
      </c>
      <c r="F73" s="6" t="inlineStr">
        <is>
          <t>p75</t>
        </is>
      </c>
      <c r="G73" s="6" t="inlineStr">
        <is>
          <t>p90</t>
        </is>
      </c>
      <c r="H73" s="6" t="inlineStr">
        <is>
          <t>p95</t>
        </is>
      </c>
      <c r="I73" s="6" t="inlineStr">
        <is>
          <t>mean</t>
        </is>
      </c>
      <c r="J73" s="6" t="inlineStr">
        <is>
          <t>value</t>
        </is>
      </c>
      <c r="K73" s="6" t="inlineStr">
        <is>
          <t>unit</t>
        </is>
      </c>
    </row>
    <row r="74">
      <c r="A74" s="2" t="inlineStr">
        <is>
          <t>Cumulative P&amp;L at 36 months</t>
        </is>
      </c>
      <c r="B74" s="9" t="n">
        <v>-576520.4573086776</v>
      </c>
      <c r="C74" s="9" t="n">
        <v>-542585.7567637385</v>
      </c>
      <c r="D74" s="9" t="n">
        <v>-475338.075009553</v>
      </c>
      <c r="E74" s="9" t="n">
        <v>-382577.5015100476</v>
      </c>
      <c r="F74" s="9" t="n">
        <v>-269235.8391288156</v>
      </c>
      <c r="G74" s="9" t="n">
        <v>-143777.9059715705</v>
      </c>
      <c r="H74" s="9" t="n">
        <v>-59721.95071484466</v>
      </c>
      <c r="I74" s="9" t="n">
        <v>-358944.1680167383</v>
      </c>
      <c r="K74" s="5" t="inlineStr">
        <is>
          <t>Rs, undiscounted</t>
        </is>
      </c>
    </row>
    <row r="75">
      <c r="A75" s="2" t="inlineStr">
        <is>
          <t>Cumulative P&amp;L at 60 months</t>
        </is>
      </c>
      <c r="B75" s="9" t="n">
        <v>-543603.2333262055</v>
      </c>
      <c r="C75" s="9" t="n">
        <v>-422901.4475453973</v>
      </c>
      <c r="D75" s="9" t="n">
        <v>-193178.8724691892</v>
      </c>
      <c r="E75" s="9" t="n">
        <v>138148.4588486141</v>
      </c>
      <c r="F75" s="9" t="n">
        <v>557789.0969259753</v>
      </c>
      <c r="G75" s="9" t="n">
        <v>1017688.358294692</v>
      </c>
      <c r="H75" s="9" t="n">
        <v>1328446.315945194</v>
      </c>
      <c r="I75" s="9" t="n">
        <v>235614.0962282612</v>
      </c>
      <c r="K75" s="5" t="inlineStr">
        <is>
          <t>Rs, undiscounted</t>
        </is>
      </c>
    </row>
    <row r="76">
      <c r="A76" s="2" t="inlineStr">
        <is>
          <t>P(cumulative P&amp;L at 36 months &gt; 0)</t>
        </is>
      </c>
      <c r="J76" s="11" t="n">
        <v>0.0301</v>
      </c>
      <c r="K76" s="5" t="inlineStr">
        <is>
          <t>share of draws</t>
        </is>
      </c>
    </row>
    <row r="77">
      <c r="A77" s="2" t="inlineStr">
        <is>
          <t>P(cumulative P&amp;L at 60 months &gt; 0)</t>
        </is>
      </c>
      <c r="J77" s="11" t="n">
        <v>0.6054</v>
      </c>
      <c r="K77" s="5" t="inlineStr">
        <is>
          <t>share of draws</t>
        </is>
      </c>
    </row>
    <row r="78">
      <c r="A78" s="2" t="inlineStr">
        <is>
          <t>Payback month (cumulative P&amp;L turns positive)</t>
        </is>
      </c>
      <c r="C78" s="17" t="n">
        <v>41</v>
      </c>
      <c r="E78" s="17" t="n">
        <v>56</v>
      </c>
      <c r="G78" s="2" t="inlineStr">
        <is>
          <t>never within 60 months</t>
        </is>
      </c>
      <c r="K78" s="5" t="inlineStr">
        <is>
          <t>month</t>
        </is>
      </c>
    </row>
    <row r="79">
      <c r="A79" s="2" t="inlineStr">
        <is>
          <t>Peak cash need (lowest cumulative P&amp;L)</t>
        </is>
      </c>
      <c r="B79" s="9" t="n">
        <v>-612116.6229954764</v>
      </c>
      <c r="C79" s="9" t="n">
        <v>-554558.6051736565</v>
      </c>
      <c r="D79" s="9" t="n">
        <v>-475693.8927623248</v>
      </c>
      <c r="E79" s="9" t="n">
        <v>-397851.0421952363</v>
      </c>
      <c r="F79" s="9" t="n">
        <v>-340069.9884702254</v>
      </c>
      <c r="G79" s="9" t="n">
        <v>-293213.9450724974</v>
      </c>
      <c r="H79" s="9" t="n">
        <v>-266934.4475671371</v>
      </c>
      <c r="I79" s="9" t="n">
        <v>-414506.2486603094</v>
      </c>
      <c r="K79" s="5" t="inlineStr">
        <is>
          <t>Rs</t>
        </is>
      </c>
    </row>
    <row r="80">
      <c r="A80" s="2" t="inlineStr">
        <is>
          <t>Year-1 P&amp;L</t>
        </is>
      </c>
      <c r="B80" s="9" t="n">
        <v>-259517.5323783935</v>
      </c>
      <c r="C80" s="9" t="n">
        <v>-255907.2651706485</v>
      </c>
      <c r="D80" s="9" t="n">
        <v>-249319.4954597722</v>
      </c>
      <c r="E80" s="9" t="n">
        <v>-242034.0311853489</v>
      </c>
      <c r="F80" s="9" t="n">
        <v>-233998.7003457443</v>
      </c>
      <c r="G80" s="9" t="n">
        <v>-225110.2631012662</v>
      </c>
      <c r="H80" s="9" t="n">
        <v>-219339.0173053358</v>
      </c>
      <c r="I80" s="9" t="n">
        <v>-241093.5082272491</v>
      </c>
      <c r="K80" s="5" t="inlineStr">
        <is>
          <t>Rs</t>
        </is>
      </c>
    </row>
    <row r="81">
      <c r="A81" s="2" t="inlineStr">
        <is>
          <t>Share of draws that never pay back within 60 months</t>
        </is>
      </c>
      <c r="J81" s="11" t="n">
        <v>0.3946</v>
      </c>
      <c r="K81" s="5" t="inlineStr">
        <is>
          <t>share of draws</t>
        </is>
      </c>
    </row>
    <row r="82">
      <c r="A82" s="2" t="inlineStr">
        <is>
          <t>NPV (legacy, 20% discount): NPV at 36 months</t>
        </is>
      </c>
      <c r="B82" s="9" t="n">
        <v>-460462.0149568805</v>
      </c>
      <c r="C82" s="9" t="n">
        <v>-437517.5904476915</v>
      </c>
      <c r="D82" s="9" t="n">
        <v>-391808.8446078524</v>
      </c>
      <c r="E82" s="9" t="n">
        <v>-328903.5047579057</v>
      </c>
      <c r="F82" s="9" t="n">
        <v>-252241.446100137</v>
      </c>
      <c r="G82" s="9" t="n">
        <v>-166900.5314801777</v>
      </c>
      <c r="H82" s="9" t="n">
        <v>-109157.0448914062</v>
      </c>
      <c r="I82" s="9" t="n">
        <v>-312862.5999045057</v>
      </c>
      <c r="K82" s="5" t="inlineStr">
        <is>
          <t>Rs</t>
        </is>
      </c>
    </row>
    <row r="83">
      <c r="A83" s="2" t="inlineStr">
        <is>
          <t>NPV (legacy, 20% discount): NPV at 60 months</t>
        </is>
      </c>
      <c r="B83" s="9" t="n">
        <v>-449694.4594708137</v>
      </c>
      <c r="C83" s="9" t="n">
        <v>-384898.2453042905</v>
      </c>
      <c r="D83" s="9" t="n">
        <v>-264096.5264062074</v>
      </c>
      <c r="E83" s="9" t="n">
        <v>-88652.19958406092</v>
      </c>
      <c r="F83" s="9" t="n">
        <v>132881.6046973721</v>
      </c>
      <c r="G83" s="9" t="n">
        <v>373356.1248595712</v>
      </c>
      <c r="H83" s="9" t="n">
        <v>535380.1251000087</v>
      </c>
      <c r="I83" s="9" t="n">
        <v>-38077.77565994887</v>
      </c>
      <c r="K83" s="5" t="inlineStr">
        <is>
          <t>Rs</t>
        </is>
      </c>
    </row>
    <row r="84">
      <c r="A84" s="2" t="inlineStr">
        <is>
          <t>Value per sign-up, his first 5 years (undiscounted)</t>
        </is>
      </c>
      <c r="B84" s="9" t="n">
        <v>899.4801784724481</v>
      </c>
      <c r="C84" s="9" t="n">
        <v>1007.506537691517</v>
      </c>
      <c r="D84" s="9" t="n">
        <v>1217.3620514325</v>
      </c>
      <c r="E84" s="9" t="n">
        <v>1491.667448040587</v>
      </c>
      <c r="F84" s="9" t="n">
        <v>1806.160458900149</v>
      </c>
      <c r="G84" s="9" t="n">
        <v>2150.615853029336</v>
      </c>
      <c r="H84" s="9" t="n">
        <v>2368.217567105917</v>
      </c>
      <c r="I84" s="9" t="n">
        <v>1543.619963871182</v>
      </c>
      <c r="K84" s="5" t="inlineStr">
        <is>
          <t>Rs</t>
        </is>
      </c>
    </row>
    <row r="85">
      <c r="A85" s="2" t="inlineStr">
        <is>
          <t>Home loans and LAP made per agent in 60 months</t>
        </is>
      </c>
      <c r="B85" s="17" t="n">
        <v>16.44251633450607</v>
      </c>
      <c r="C85" s="17" t="n">
        <v>18.99113136045426</v>
      </c>
      <c r="D85" s="17" t="n">
        <v>23.91724509942569</v>
      </c>
      <c r="E85" s="17" t="n">
        <v>30.60557914347383</v>
      </c>
      <c r="F85" s="17" t="n">
        <v>38.71640017770979</v>
      </c>
      <c r="G85" s="17" t="n">
        <v>47.45793527588341</v>
      </c>
      <c r="H85" s="17" t="n">
        <v>52.97822094219855</v>
      </c>
      <c r="I85" s="17" t="n">
        <v>32.13690524714981</v>
      </c>
      <c r="K85" s="5" t="inlineStr">
        <is>
          <t>loans</t>
        </is>
      </c>
    </row>
    <row r="86">
      <c r="A86" s="2" t="inlineStr">
        <is>
          <t>Home-loan and LAP money per agent in 60 months</t>
        </is>
      </c>
      <c r="B86" s="9" t="n">
        <v>32645199.16241214</v>
      </c>
      <c r="C86" s="9" t="n">
        <v>38980777.6720076</v>
      </c>
      <c r="D86" s="9" t="n">
        <v>51965398.12613325</v>
      </c>
      <c r="E86" s="9" t="n">
        <v>70730404.09078752</v>
      </c>
      <c r="F86" s="9" t="n">
        <v>95595851.79893515</v>
      </c>
      <c r="G86" s="9" t="n">
        <v>122890447.2243075</v>
      </c>
      <c r="H86" s="9" t="n">
        <v>141334404.5969962</v>
      </c>
      <c r="I86" s="9" t="n">
        <v>76930579.13581684</v>
      </c>
      <c r="K86" s="5" t="inlineStr">
        <is>
          <t>Rs</t>
        </is>
      </c>
    </row>
    <row r="87">
      <c r="A87" s="2" t="inlineStr">
        <is>
          <t>Our fees on home loans and LAP per agent in 60 months</t>
        </is>
      </c>
      <c r="B87" s="9" t="n">
        <v>202522.4103988736</v>
      </c>
      <c r="C87" s="9" t="n">
        <v>240175.392175613</v>
      </c>
      <c r="D87" s="9" t="n">
        <v>319577.7669273968</v>
      </c>
      <c r="E87" s="9" t="n">
        <v>438535.9563814894</v>
      </c>
      <c r="F87" s="9" t="n">
        <v>597577.7324462918</v>
      </c>
      <c r="G87" s="9" t="n">
        <v>774230.9273260336</v>
      </c>
      <c r="H87" s="9" t="n">
        <v>907400.9405710802</v>
      </c>
      <c r="I87" s="9" t="n">
        <v>481413.2651420736</v>
      </c>
      <c r="K87" s="5" t="inlineStr">
        <is>
          <t>Rs</t>
        </is>
      </c>
    </row>
    <row r="88">
      <c r="A88" s="2" t="inlineStr">
        <is>
          <t>Agent pay on balance per agent in 60 months</t>
        </is>
      </c>
      <c r="B88" s="9" t="n">
        <v>193297.7304256053</v>
      </c>
      <c r="C88" s="9" t="n">
        <v>216030.3597176859</v>
      </c>
      <c r="D88" s="9" t="n">
        <v>264406.5868901277</v>
      </c>
      <c r="E88" s="9" t="n">
        <v>327218.6205071688</v>
      </c>
      <c r="F88" s="9" t="n">
        <v>403946.4754408626</v>
      </c>
      <c r="G88" s="9" t="n">
        <v>486991.8938298943</v>
      </c>
      <c r="H88" s="9" t="n">
        <v>540229.7011703255</v>
      </c>
      <c r="I88" s="9" t="n">
        <v>341734.5943904727</v>
      </c>
      <c r="K88" s="5" t="inlineStr">
        <is>
          <t>Rs</t>
        </is>
      </c>
    </row>
    <row r="89">
      <c r="A89" s="2" t="inlineStr">
        <is>
          <t>Agent pay on balance in month 60</t>
        </is>
      </c>
      <c r="B89" s="9" t="n">
        <v>6651.717576226165</v>
      </c>
      <c r="C89" s="9" t="n">
        <v>7518.12568737427</v>
      </c>
      <c r="D89" s="9" t="n">
        <v>9291.784875484063</v>
      </c>
      <c r="E89" s="9" t="n">
        <v>11745.575263956</v>
      </c>
      <c r="F89" s="9" t="n">
        <v>14780.46040108281</v>
      </c>
      <c r="G89" s="9" t="n">
        <v>18086.26945701989</v>
      </c>
      <c r="H89" s="9" t="n">
        <v>20234.83730808713</v>
      </c>
      <c r="I89" s="9" t="n">
        <v>12371.76460037693</v>
      </c>
      <c r="K89" s="5" t="inlineStr">
        <is>
          <t>Rs a month</t>
        </is>
      </c>
    </row>
    <row r="90">
      <c r="A90" s="2" t="inlineStr">
        <is>
          <t>Loans per 100 savers offered the marketplace, a year (first + repeat)</t>
        </is>
      </c>
      <c r="B90" s="17" t="n">
        <v>1.849010243787804</v>
      </c>
      <c r="C90" s="17" t="n">
        <v>2.136459003357283</v>
      </c>
      <c r="D90" s="17" t="n">
        <v>2.76095109336426</v>
      </c>
      <c r="E90" s="17" t="n">
        <v>3.614963771644664</v>
      </c>
      <c r="F90" s="17" t="n">
        <v>4.691348603717375</v>
      </c>
      <c r="G90" s="17" t="n">
        <v>5.812615588303892</v>
      </c>
      <c r="H90" s="17" t="n">
        <v>6.580315671393416</v>
      </c>
      <c r="I90" s="17" t="n">
        <v>3.828335131585138</v>
      </c>
      <c r="K90" s="5" t="inlineStr">
        <is>
          <t>loans</t>
        </is>
      </c>
    </row>
    <row r="91">
      <c r="A91" s="2" t="inlineStr">
        <is>
          <t>First loans per 100 savers offered the marketplace, a year</t>
        </is>
      </c>
      <c r="B91" s="17" t="n">
        <v>1.845393318964169</v>
      </c>
      <c r="C91" s="17" t="n">
        <v>2.132727536972638</v>
      </c>
      <c r="D91" s="17" t="n">
        <v>2.754887035900858</v>
      </c>
      <c r="E91" s="17" t="n">
        <v>3.605529371982124</v>
      </c>
      <c r="F91" s="17" t="n">
        <v>4.681724904966842</v>
      </c>
      <c r="G91" s="17" t="n">
        <v>5.796022628199548</v>
      </c>
      <c r="H91" s="17" t="n">
        <v>6.557109887428582</v>
      </c>
      <c r="I91" s="17" t="n">
        <v>3.818083487125743</v>
      </c>
      <c r="K91" s="5" t="inlineStr">
        <is>
          <t>loans</t>
        </is>
      </c>
    </row>
    <row r="92">
      <c r="A92" s="2" t="inlineStr">
        <is>
          <t>Repeat loans as a share of all loans (60 months)</t>
        </is>
      </c>
      <c r="B92" s="11" t="n">
        <v>0.0003616625063389895</v>
      </c>
      <c r="C92" s="11" t="n">
        <v>0.0005179255918054782</v>
      </c>
      <c r="D92" s="11" t="n">
        <v>0.0009557307794439583</v>
      </c>
      <c r="E92" s="11" t="n">
        <v>0.001859171534026309</v>
      </c>
      <c r="F92" s="11" t="n">
        <v>0.003255339719522324</v>
      </c>
      <c r="G92" s="11" t="n">
        <v>0.005078968972673079</v>
      </c>
      <c r="H92" s="11" t="n">
        <v>0.006282363826846347</v>
      </c>
      <c r="I92" s="11" t="n">
        <v>0.002408539997806525</v>
      </c>
      <c r="K92" s="5" t="inlineStr">
        <is>
          <t>share</t>
        </is>
      </c>
    </row>
    <row r="93">
      <c r="A93" s="2" t="inlineStr">
        <is>
          <t>UPI share needed at month 60 to stay within one agent's cash visits</t>
        </is>
      </c>
      <c r="B93" s="11" t="n">
        <v>0</v>
      </c>
      <c r="C93" s="11" t="n">
        <v>0</v>
      </c>
      <c r="D93" s="11" t="n">
        <v>0</v>
      </c>
      <c r="E93" s="11" t="n">
        <v>0.05554697820925714</v>
      </c>
      <c r="F93" s="11" t="n">
        <v>0.1980666697733682</v>
      </c>
      <c r="G93" s="11" t="n">
        <v>0.2997855587150172</v>
      </c>
      <c r="H93" s="11" t="n">
        <v>0.3574003744871496</v>
      </c>
      <c r="I93" s="11" t="n">
        <v>0.1077201916126937</v>
      </c>
      <c r="K93" s="5" t="inlineStr">
        <is>
          <t>share</t>
        </is>
      </c>
    </row>
    <row r="94">
      <c r="A94" s="2" t="inlineStr">
        <is>
          <t>UPI share at month 60 (modelled)</t>
        </is>
      </c>
      <c r="B94" s="11" t="n">
        <v>0.1318745447529219</v>
      </c>
      <c r="C94" s="11" t="n">
        <v>0.1522807113623408</v>
      </c>
      <c r="D94" s="11" t="n">
        <v>0.191460469960582</v>
      </c>
      <c r="E94" s="11" t="n">
        <v>0.2451774175252717</v>
      </c>
      <c r="F94" s="11" t="n">
        <v>0.3020931666502752</v>
      </c>
      <c r="G94" s="11" t="n">
        <v>0.3489999099644663</v>
      </c>
      <c r="H94" s="11" t="n">
        <v>0.3756476104349799</v>
      </c>
      <c r="I94" s="11" t="n">
        <v>0.2483774524842404</v>
      </c>
      <c r="K94" s="5" t="inlineStr">
        <is>
          <t>share</t>
        </is>
      </c>
    </row>
    <row r="95">
      <c r="A95" s="2" t="inlineStr">
        <is>
          <t>Peak cash visits a day</t>
        </is>
      </c>
      <c r="B95" s="9" t="n">
        <v>203.830740937645</v>
      </c>
      <c r="C95" s="9" t="n">
        <v>221.693649074659</v>
      </c>
      <c r="D95" s="9" t="n">
        <v>257.0525879986698</v>
      </c>
      <c r="E95" s="9" t="n">
        <v>303.6144622196015</v>
      </c>
      <c r="F95" s="9" t="n">
        <v>356.9369059028095</v>
      </c>
      <c r="G95" s="9" t="n">
        <v>406.4782205773007</v>
      </c>
      <c r="H95" s="9" t="n">
        <v>441.0946182415976</v>
      </c>
      <c r="I95" s="9" t="n">
        <v>310.4787375783998</v>
      </c>
      <c r="K95" s="5" t="inlineStr">
        <is>
          <t>visits a day</t>
        </is>
      </c>
    </row>
    <row r="96">
      <c r="A96" s="2" t="inlineStr">
        <is>
          <t>Share of draws that need extra cash-collection capacity</t>
        </is>
      </c>
      <c r="J96" s="11" t="n">
        <v>0.1778</v>
      </c>
      <c r="K96" s="5" t="inlineStr">
        <is>
          <t>share of draws</t>
        </is>
      </c>
    </row>
    <row r="97">
      <c r="A97" s="2" t="inlineStr">
        <is>
          <t>Extra capacity cost in month 60</t>
        </is>
      </c>
      <c r="B97" s="17" t="n">
        <v>0</v>
      </c>
      <c r="C97" s="17" t="n">
        <v>0</v>
      </c>
      <c r="D97" s="17" t="n">
        <v>0</v>
      </c>
      <c r="E97" s="17" t="n">
        <v>0</v>
      </c>
      <c r="F97" s="17" t="n">
        <v>0</v>
      </c>
      <c r="G97" s="9" t="n">
        <v>1705.557094727118</v>
      </c>
      <c r="H97" s="9" t="n">
        <v>3431.289530667985</v>
      </c>
      <c r="I97" s="9" t="n">
        <v>469.8994721573443</v>
      </c>
      <c r="K97" s="5" t="inlineStr">
        <is>
          <t>Rs a month</t>
        </is>
      </c>
    </row>
    <row r="98">
      <c r="A98" s="2" t="inlineStr">
        <is>
          <t>Extra capacity cost, 60 months, discounted</t>
        </is>
      </c>
      <c r="B98" s="17" t="n">
        <v>0</v>
      </c>
      <c r="C98" s="17" t="n">
        <v>0</v>
      </c>
      <c r="D98" s="17" t="n">
        <v>0</v>
      </c>
      <c r="E98" s="17" t="n">
        <v>0</v>
      </c>
      <c r="F98" s="17" t="n">
        <v>0</v>
      </c>
      <c r="G98" s="9" t="n">
        <v>6103.602226895539</v>
      </c>
      <c r="H98" s="9" t="n">
        <v>20041.38216458795</v>
      </c>
      <c r="I98" s="9" t="n">
        <v>3224.976906438738</v>
      </c>
      <c r="K98" s="5" t="inlineStr">
        <is>
          <t>Rs</t>
        </is>
      </c>
    </row>
    <row r="99">
      <c r="A99" s="2" t="inlineStr">
        <is>
          <t>Cross-sell money per saver offered the marketplace, a year, all 17 products</t>
        </is>
      </c>
      <c r="B99" s="9" t="n">
        <v>211.2427748025787</v>
      </c>
      <c r="C99" s="9" t="n">
        <v>228.2715730158782</v>
      </c>
      <c r="D99" s="9" t="n">
        <v>259.7175929207826</v>
      </c>
      <c r="E99" s="9" t="n">
        <v>305.2083097755159</v>
      </c>
      <c r="F99" s="9" t="n">
        <v>358.1199391331495</v>
      </c>
      <c r="G99" s="9" t="n">
        <v>418.2426074202319</v>
      </c>
      <c r="H99" s="9" t="n">
        <v>458.8560885197646</v>
      </c>
      <c r="I99" s="9" t="n">
        <v>315.9879294579356</v>
      </c>
      <c r="K99" s="5" t="inlineStr">
        <is>
          <t>Rs</t>
        </is>
      </c>
    </row>
    <row r="100">
      <c r="A100" s="2" t="inlineStr">
        <is>
          <t>31-90 day collection fees per loan made</t>
        </is>
      </c>
      <c r="B100" s="17" t="n">
        <v>50.0826587242758</v>
      </c>
      <c r="C100" s="17" t="n">
        <v>58.60537934083571</v>
      </c>
      <c r="D100" s="17" t="n">
        <v>74.76883146112201</v>
      </c>
      <c r="E100" s="17" t="n">
        <v>98.87426464898482</v>
      </c>
      <c r="F100" s="9" t="n">
        <v>128.1860363365226</v>
      </c>
      <c r="G100" s="9" t="n">
        <v>157.9333454017858</v>
      </c>
      <c r="H100" s="9" t="n">
        <v>176.1524997327299</v>
      </c>
      <c r="I100" s="9" t="n">
        <v>104.2169396665833</v>
      </c>
      <c r="K100" s="5" t="inlineStr">
        <is>
          <t>Rs a loan</t>
        </is>
      </c>
    </row>
    <row r="101">
      <c r="A101" s="2" t="inlineStr">
        <is>
          <t>90+ recovery fees per loan made</t>
        </is>
      </c>
      <c r="B101" s="17" t="n">
        <v>44.77671395121195</v>
      </c>
      <c r="C101" s="17" t="n">
        <v>52.59410437944684</v>
      </c>
      <c r="D101" s="17" t="n">
        <v>68.11153470062648</v>
      </c>
      <c r="E101" s="17" t="n">
        <v>90.72314685649661</v>
      </c>
      <c r="F101" s="9" t="n">
        <v>117.8907357807106</v>
      </c>
      <c r="G101" s="9" t="n">
        <v>146.8278463786956</v>
      </c>
      <c r="H101" s="9" t="n">
        <v>165.8061120742679</v>
      </c>
      <c r="I101" s="17" t="n">
        <v>96.05074730880978</v>
      </c>
      <c r="K101" s="5" t="inlineStr">
        <is>
          <t>Rs a loan</t>
        </is>
      </c>
    </row>
    <row r="102">
      <c r="A102" s="2" t="inlineStr">
        <is>
          <t>Implied share of loans that ever go 90+ days bad (p90)</t>
        </is>
      </c>
      <c r="B102" s="11" t="n">
        <v>0.06386392065693354</v>
      </c>
      <c r="C102" s="11" t="n">
        <v>0.06982380840904422</v>
      </c>
      <c r="D102" s="11" t="n">
        <v>0.08150646036742087</v>
      </c>
      <c r="E102" s="11" t="n">
        <v>0.09678129665745436</v>
      </c>
      <c r="F102" s="11" t="n">
        <v>0.113152430804882</v>
      </c>
      <c r="G102" s="11" t="n">
        <v>0.1270365623784099</v>
      </c>
      <c r="H102" s="11" t="n">
        <v>0.1344664398865176</v>
      </c>
      <c r="I102" s="11" t="n">
        <v>0.09769165962582513</v>
      </c>
      <c r="K102" s="5" t="inlineStr">
        <is>
          <t>share of loans</t>
        </is>
      </c>
    </row>
    <row r="103">
      <c r="A103" s="2" t="inlineStr">
        <is>
          <t>Early brought back + p90</t>
        </is>
      </c>
      <c r="B103" s="11" t="n">
        <v>0.2255866295791723</v>
      </c>
      <c r="C103" s="11" t="n">
        <v>0.2404268288229096</v>
      </c>
      <c r="D103" s="11" t="n">
        <v>0.268454007974807</v>
      </c>
      <c r="E103" s="11" t="n">
        <v>0.3042322846641585</v>
      </c>
      <c r="F103" s="11" t="n">
        <v>0.3419130792411768</v>
      </c>
      <c r="G103" s="11" t="n">
        <v>0.3749773093185635</v>
      </c>
      <c r="H103" s="11" t="n">
        <v>0.3947888443124919</v>
      </c>
      <c r="I103" s="11" t="n">
        <v>0.3060246811323228</v>
      </c>
      <c r="K103" s="5" t="inlineStr">
        <is>
          <t>share of loans</t>
        </is>
      </c>
    </row>
    <row r="104">
      <c r="A104" s="2" t="inlineStr">
        <is>
          <t>Share of draws where early brought back + p90 is above 50%</t>
        </is>
      </c>
      <c r="J104" s="11" t="n">
        <v>0</v>
      </c>
      <c r="K104" s="5" t="inlineStr">
        <is>
          <t>share of draws</t>
        </is>
      </c>
    </row>
    <row r="105">
      <c r="A105" s="2" t="inlineStr">
        <is>
          <t>Collection fees in the pilot year</t>
        </is>
      </c>
      <c r="B105" s="17" t="n">
        <v>2.819694442648672</v>
      </c>
      <c r="C105" s="17" t="n">
        <v>3.62283677543705</v>
      </c>
      <c r="D105" s="17" t="n">
        <v>5.319226085682029</v>
      </c>
      <c r="E105" s="17" t="n">
        <v>8.105380837479439</v>
      </c>
      <c r="F105" s="17" t="n">
        <v>12.32319918054946</v>
      </c>
      <c r="G105" s="17" t="n">
        <v>17.6676138045067</v>
      </c>
      <c r="H105" s="17" t="n">
        <v>21.54554624634621</v>
      </c>
      <c r="I105" s="17" t="n">
        <v>9.673940739050062</v>
      </c>
      <c r="K105" s="5" t="inlineStr">
        <is>
          <t>Rs</t>
        </is>
      </c>
    </row>
    <row r="106">
      <c r="A106" s="2" t="inlineStr">
        <is>
          <t>All-in revenue per active saver a year (60-month average)</t>
        </is>
      </c>
      <c r="B106" s="9" t="n">
        <v>523.3124250691089</v>
      </c>
      <c r="C106" s="9" t="n">
        <v>563.6395981473948</v>
      </c>
      <c r="D106" s="9" t="n">
        <v>640.6001029732441</v>
      </c>
      <c r="E106" s="9" t="n">
        <v>742.3051575751628</v>
      </c>
      <c r="F106" s="9" t="n">
        <v>865.2943052987958</v>
      </c>
      <c r="G106" s="9" t="n">
        <v>1006.504471468329</v>
      </c>
      <c r="H106" s="9" t="n">
        <v>1092.425599216489</v>
      </c>
      <c r="I106" s="9" t="n">
        <v>766.3748492191316</v>
      </c>
      <c r="K106" s="5" t="inlineStr">
        <is>
          <t>Rs</t>
        </is>
      </c>
    </row>
    <row r="107">
      <c r="A107" s="2" t="inlineStr">
        <is>
          <t>All-in revenue per active saver a year, month-60 run rate</t>
        </is>
      </c>
      <c r="B107" s="9" t="n">
        <v>629.5556943095232</v>
      </c>
      <c r="C107" s="9" t="n">
        <v>682.6402432414312</v>
      </c>
      <c r="D107" s="9" t="n">
        <v>778.0250005905675</v>
      </c>
      <c r="E107" s="9" t="n">
        <v>910.4914027509392</v>
      </c>
      <c r="F107" s="9" t="n">
        <v>1073.054195200118</v>
      </c>
      <c r="G107" s="9" t="n">
        <v>1251.904082386275</v>
      </c>
      <c r="H107" s="9" t="n">
        <v>1370.248803518311</v>
      </c>
      <c r="I107" s="9" t="n">
        <v>943.4041222658321</v>
      </c>
      <c r="K107" s="5" t="inlineStr">
        <is>
          <t>Rs</t>
        </is>
      </c>
    </row>
    <row r="108">
      <c r="A108" s="2" t="inlineStr">
        <is>
          <t>Top-ups per 100 borrowers a year</t>
        </is>
      </c>
      <c r="B108" s="17" t="n">
        <v>2.998583242779209</v>
      </c>
      <c r="C108" s="17" t="n">
        <v>3.437803239139254</v>
      </c>
      <c r="D108" s="17" t="n">
        <v>4.324645930622427</v>
      </c>
      <c r="E108" s="17" t="n">
        <v>5.500972867694347</v>
      </c>
      <c r="F108" s="17" t="n">
        <v>6.717609917390044</v>
      </c>
      <c r="G108" s="17" t="n">
        <v>7.774977575384543</v>
      </c>
      <c r="H108" s="17" t="n">
        <v>8.352406975311416</v>
      </c>
      <c r="I108" s="17" t="n">
        <v>5.560235572134105</v>
      </c>
      <c r="K108" s="5" t="inlineStr">
        <is>
          <t>top-ups</t>
        </is>
      </c>
    </row>
    <row r="109">
      <c r="A109" s="2" t="inlineStr">
        <is>
          <t>Money lent per agent in 60 months</t>
        </is>
      </c>
      <c r="B109" s="9" t="n">
        <v>8421404.324869182</v>
      </c>
      <c r="C109" s="9" t="n">
        <v>10844559.75559708</v>
      </c>
      <c r="D109" s="9" t="n">
        <v>15981294.1808283</v>
      </c>
      <c r="E109" s="9" t="n">
        <v>24488632.50917309</v>
      </c>
      <c r="F109" s="9" t="n">
        <v>36136556.16248719</v>
      </c>
      <c r="G109" s="9" t="n">
        <v>49974951.79814875</v>
      </c>
      <c r="H109" s="9" t="n">
        <v>59451673.11343783</v>
      </c>
      <c r="I109" s="9" t="n">
        <v>28030597.0957819</v>
      </c>
      <c r="K109" s="5" t="inlineStr">
        <is>
          <t>Rs</t>
        </is>
      </c>
    </row>
    <row r="110">
      <c r="A110" s="2" t="inlineStr">
        <is>
          <t>Money lent per agent, year 1</t>
        </is>
      </c>
      <c r="B110" s="9" t="n">
        <v>153500.0249656621</v>
      </c>
      <c r="C110" s="9" t="n">
        <v>195761.0248897843</v>
      </c>
      <c r="D110" s="9" t="n">
        <v>288913.3858912251</v>
      </c>
      <c r="E110" s="9" t="n">
        <v>439169.359459192</v>
      </c>
      <c r="F110" s="9" t="n">
        <v>656987.9305500508</v>
      </c>
      <c r="G110" s="9" t="n">
        <v>902363.9816926265</v>
      </c>
      <c r="H110" s="9" t="n">
        <v>1080974.902831331</v>
      </c>
      <c r="I110" s="9" t="n">
        <v>505606.9924310962</v>
      </c>
      <c r="K110" s="5" t="inlineStr">
        <is>
          <t>Rs</t>
        </is>
      </c>
    </row>
    <row r="111">
      <c r="A111" s="2" t="inlineStr">
        <is>
          <t>Money lent per agent, year 2</t>
        </is>
      </c>
      <c r="B111" s="9" t="n">
        <v>756352.445990072</v>
      </c>
      <c r="C111" s="9" t="n">
        <v>966610.8915084137</v>
      </c>
      <c r="D111" s="9" t="n">
        <v>1427102.404090716</v>
      </c>
      <c r="E111" s="9" t="n">
        <v>2149872.918085502</v>
      </c>
      <c r="F111" s="9" t="n">
        <v>3170420.052246127</v>
      </c>
      <c r="G111" s="9" t="n">
        <v>4353541.815980382</v>
      </c>
      <c r="H111" s="9" t="n">
        <v>5166646.225143173</v>
      </c>
      <c r="I111" s="9" t="n">
        <v>2453207.292833019</v>
      </c>
      <c r="K111" s="5" t="inlineStr">
        <is>
          <t>Rs</t>
        </is>
      </c>
    </row>
    <row r="112">
      <c r="A112" s="2" t="inlineStr">
        <is>
          <t>Money lent per agent, year 3</t>
        </is>
      </c>
      <c r="B112" s="9" t="n">
        <v>1517319.290355527</v>
      </c>
      <c r="C112" s="9" t="n">
        <v>1947611.811991652</v>
      </c>
      <c r="D112" s="9" t="n">
        <v>2870109.506771945</v>
      </c>
      <c r="E112" s="9" t="n">
        <v>4356761.388348509</v>
      </c>
      <c r="F112" s="9" t="n">
        <v>6432399.036803553</v>
      </c>
      <c r="G112" s="9" t="n">
        <v>8852640.481847517</v>
      </c>
      <c r="H112" s="9" t="n">
        <v>10499947.40655708</v>
      </c>
      <c r="I112" s="9" t="n">
        <v>4974623.424273646</v>
      </c>
      <c r="K112" s="5" t="inlineStr">
        <is>
          <t>Rs</t>
        </is>
      </c>
    </row>
    <row r="113">
      <c r="A113" s="2" t="inlineStr">
        <is>
          <t>Money lent per agent, year 4</t>
        </is>
      </c>
      <c r="B113" s="9" t="n">
        <v>2432697.136380292</v>
      </c>
      <c r="C113" s="9" t="n">
        <v>3130981.467852331</v>
      </c>
      <c r="D113" s="9" t="n">
        <v>4617065.627085848</v>
      </c>
      <c r="E113" s="9" t="n">
        <v>7077061.801991068</v>
      </c>
      <c r="F113" s="9" t="n">
        <v>10457624.91085638</v>
      </c>
      <c r="G113" s="9" t="n">
        <v>14468054.80709789</v>
      </c>
      <c r="H113" s="9" t="n">
        <v>17208918.3992156</v>
      </c>
      <c r="I113" s="9" t="n">
        <v>8103121.151818649</v>
      </c>
      <c r="K113" s="5" t="inlineStr">
        <is>
          <t>Rs</t>
        </is>
      </c>
    </row>
    <row r="114">
      <c r="A114" s="2" t="inlineStr">
        <is>
          <t>Money lent per agent, year 5</t>
        </is>
      </c>
      <c r="B114" s="9" t="n">
        <v>3544910.956381568</v>
      </c>
      <c r="C114" s="9" t="n">
        <v>4550177.835789859</v>
      </c>
      <c r="D114" s="9" t="n">
        <v>6719521.596346412</v>
      </c>
      <c r="E114" s="9" t="n">
        <v>10400958.13729104</v>
      </c>
      <c r="F114" s="9" t="n">
        <v>15549280.53639796</v>
      </c>
      <c r="G114" s="9" t="n">
        <v>21460877.62470112</v>
      </c>
      <c r="H114" s="9" t="n">
        <v>25762805.30146035</v>
      </c>
      <c r="I114" s="9" t="n">
        <v>11994038.23442549</v>
      </c>
      <c r="K114" s="5" t="inlineStr">
        <is>
          <t>Rs</t>
        </is>
      </c>
    </row>
    <row r="115">
      <c r="A115" s="2" t="inlineStr">
        <is>
          <t>Average ticket of first and repeat loans, year 1</t>
        </is>
      </c>
      <c r="B115" s="9" t="n">
        <v>108380.4477590404</v>
      </c>
      <c r="C115" s="9" t="n">
        <v>134686.8203166791</v>
      </c>
      <c r="D115" s="9" t="n">
        <v>186991.6456469223</v>
      </c>
      <c r="E115" s="9" t="n">
        <v>253180.6511685061</v>
      </c>
      <c r="F115" s="9" t="n">
        <v>320406.7024960815</v>
      </c>
      <c r="G115" s="9" t="n">
        <v>375143.4316871755</v>
      </c>
      <c r="H115" s="9" t="n">
        <v>403335.3865511986</v>
      </c>
      <c r="I115" s="9" t="n">
        <v>254166.4340051565</v>
      </c>
      <c r="K115" s="5" t="inlineStr">
        <is>
          <t>Rs</t>
        </is>
      </c>
    </row>
    <row r="116">
      <c r="A116" s="2" t="inlineStr">
        <is>
          <t>Average ticket of first and repeat loans, year 2</t>
        </is>
      </c>
      <c r="B116" s="9" t="n">
        <v>108380.4477590404</v>
      </c>
      <c r="C116" s="9" t="n">
        <v>134686.8203166792</v>
      </c>
      <c r="D116" s="9" t="n">
        <v>186991.6456469224</v>
      </c>
      <c r="E116" s="9" t="n">
        <v>253180.6511685061</v>
      </c>
      <c r="F116" s="9" t="n">
        <v>320406.7024960815</v>
      </c>
      <c r="G116" s="9" t="n">
        <v>375143.4316871753</v>
      </c>
      <c r="H116" s="9" t="n">
        <v>403335.3865511985</v>
      </c>
      <c r="I116" s="9" t="n">
        <v>254166.4340051565</v>
      </c>
      <c r="K116" s="5" t="inlineStr">
        <is>
          <t>Rs</t>
        </is>
      </c>
    </row>
    <row r="117">
      <c r="A117" s="2" t="inlineStr">
        <is>
          <t>Average ticket of first and repeat loans, year 3</t>
        </is>
      </c>
      <c r="B117" s="9" t="n">
        <v>108380.5907833744</v>
      </c>
      <c r="C117" s="9" t="n">
        <v>134687.1760656209</v>
      </c>
      <c r="D117" s="9" t="n">
        <v>186991.6456469224</v>
      </c>
      <c r="E117" s="9" t="n">
        <v>253180.6511685062</v>
      </c>
      <c r="F117" s="9" t="n">
        <v>320407.9823674601</v>
      </c>
      <c r="G117" s="9" t="n">
        <v>375143.4316871753</v>
      </c>
      <c r="H117" s="9" t="n">
        <v>403335.3865511986</v>
      </c>
      <c r="I117" s="9" t="n">
        <v>254167.9454172043</v>
      </c>
      <c r="K117" s="5" t="inlineStr">
        <is>
          <t>Rs</t>
        </is>
      </c>
    </row>
    <row r="118">
      <c r="A118" s="2" t="inlineStr">
        <is>
          <t>Average ticket of first and repeat loans, year 4</t>
        </is>
      </c>
      <c r="B118" s="9" t="n">
        <v>108408.9173603622</v>
      </c>
      <c r="C118" s="9" t="n">
        <v>134749.8989807701</v>
      </c>
      <c r="D118" s="9" t="n">
        <v>187034.285883746</v>
      </c>
      <c r="E118" s="9" t="n">
        <v>253244.892121292</v>
      </c>
      <c r="F118" s="9" t="n">
        <v>320554.6680958893</v>
      </c>
      <c r="G118" s="9" t="n">
        <v>375187.2357113977</v>
      </c>
      <c r="H118" s="9" t="n">
        <v>403350.0364087459</v>
      </c>
      <c r="I118" s="9" t="n">
        <v>254229.6220729877</v>
      </c>
      <c r="K118" s="5" t="inlineStr">
        <is>
          <t>Rs</t>
        </is>
      </c>
    </row>
    <row r="119">
      <c r="A119" s="2" t="inlineStr">
        <is>
          <t>Average ticket of first and repeat loans, year 5</t>
        </is>
      </c>
      <c r="B119" s="9" t="n">
        <v>108536.1768475189</v>
      </c>
      <c r="C119" s="9" t="n">
        <v>134854.2097892282</v>
      </c>
      <c r="D119" s="9" t="n">
        <v>187362.638160577</v>
      </c>
      <c r="E119" s="9" t="n">
        <v>253538.8514534066</v>
      </c>
      <c r="F119" s="9" t="n">
        <v>320995.8081548851</v>
      </c>
      <c r="G119" s="9" t="n">
        <v>375563.490723285</v>
      </c>
      <c r="H119" s="9" t="n">
        <v>403803.3003086006</v>
      </c>
      <c r="I119" s="9" t="n">
        <v>254537.7963149368</v>
      </c>
      <c r="K119" s="5" t="inlineStr">
        <is>
          <t>Rs</t>
        </is>
      </c>
    </row>
    <row r="121">
      <c r="A121" s="3" t="inlineStr">
        <is>
          <t>Chance the 5-year NPV is above zero, by still saving at month 12 (every other input still varies)</t>
        </is>
      </c>
    </row>
    <row r="122">
      <c r="A122" s="6" t="inlineStr">
        <is>
          <t>Still saving at month 12</t>
        </is>
      </c>
      <c r="B122" s="6" t="inlineStr">
        <is>
          <t>draws</t>
        </is>
      </c>
      <c r="C122" s="6" t="inlineStr">
        <is>
          <t>chance NPV60 &gt; 0</t>
        </is>
      </c>
      <c r="D122" s="6" t="inlineStr">
        <is>
          <t>median NPV60 (Rs)</t>
        </is>
      </c>
      <c r="E122" s="6" t="inlineStr">
        <is>
          <t>chance NPV36 &gt; 0</t>
        </is>
      </c>
      <c r="F122" s="6" t="inlineStr">
        <is>
          <t>median NPV36 (Rs)</t>
        </is>
      </c>
    </row>
    <row r="123">
      <c r="A123" s="2" t="inlineStr">
        <is>
          <t>25% to 30%</t>
        </is>
      </c>
      <c r="B123" s="18" t="n">
        <v>23</v>
      </c>
      <c r="C123" s="19" t="n">
        <v>0.2608695652173913</v>
      </c>
      <c r="D123" s="20" t="n">
        <v>-351755.394134766</v>
      </c>
      <c r="E123" s="19" t="n">
        <v>0</v>
      </c>
      <c r="F123" s="20" t="n">
        <v>-489669.330404671</v>
      </c>
    </row>
    <row r="124">
      <c r="A124" s="2" t="inlineStr">
        <is>
          <t>30% to 35%</t>
        </is>
      </c>
      <c r="B124" s="18" t="n">
        <v>215</v>
      </c>
      <c r="C124" s="19" t="n">
        <v>0.2697674418604651</v>
      </c>
      <c r="D124" s="20" t="n">
        <v>-287813.8464470917</v>
      </c>
      <c r="E124" s="19" t="n">
        <v>0</v>
      </c>
      <c r="F124" s="20" t="n">
        <v>-489345.0058565674</v>
      </c>
    </row>
    <row r="125">
      <c r="A125" s="2" t="inlineStr">
        <is>
          <t>35% to 40%</t>
        </is>
      </c>
      <c r="B125" s="18" t="n">
        <v>622</v>
      </c>
      <c r="C125" s="19" t="n">
        <v>0.3263665594855306</v>
      </c>
      <c r="D125" s="20" t="n">
        <v>-192388.2187525913</v>
      </c>
      <c r="E125" s="19" t="n">
        <v>0.00482315112540193</v>
      </c>
      <c r="F125" s="20" t="n">
        <v>-467297.3281896508</v>
      </c>
    </row>
    <row r="126">
      <c r="A126" s="2" t="inlineStr">
        <is>
          <t>40% to 45%</t>
        </is>
      </c>
      <c r="B126" s="18" t="n">
        <v>1160</v>
      </c>
      <c r="C126" s="19" t="n">
        <v>0.428448275862069</v>
      </c>
      <c r="D126" s="20" t="n">
        <v>-85229.21467101347</v>
      </c>
      <c r="E126" s="19" t="n">
        <v>0.01206896551724138</v>
      </c>
      <c r="F126" s="20" t="n">
        <v>-440290.5698505853</v>
      </c>
    </row>
    <row r="127">
      <c r="A127" s="2" t="inlineStr">
        <is>
          <t>45% to 50%</t>
        </is>
      </c>
      <c r="B127" s="18" t="n">
        <v>1676</v>
      </c>
      <c r="C127" s="19" t="n">
        <v>0.5286396181384249</v>
      </c>
      <c r="D127" s="20" t="n">
        <v>37984.73409289424</v>
      </c>
      <c r="E127" s="19" t="n">
        <v>0.01193317422434368</v>
      </c>
      <c r="F127" s="20" t="n">
        <v>-409588.7987129495</v>
      </c>
    </row>
    <row r="128">
      <c r="A128" s="2" t="inlineStr">
        <is>
          <t>50% to 55%</t>
        </is>
      </c>
      <c r="B128" s="18" t="n">
        <v>2005</v>
      </c>
      <c r="C128" s="19" t="n">
        <v>0.6339152119700748</v>
      </c>
      <c r="D128" s="20" t="n">
        <v>150795.2949443318</v>
      </c>
      <c r="E128" s="19" t="n">
        <v>0.02493765586034913</v>
      </c>
      <c r="F128" s="20" t="n">
        <v>-380707.6916498626</v>
      </c>
    </row>
    <row r="129">
      <c r="A129" s="2" t="inlineStr">
        <is>
          <t>55% to 60%</t>
        </is>
      </c>
      <c r="B129" s="18" t="n">
        <v>2000</v>
      </c>
      <c r="C129" s="19" t="n">
        <v>0.6840000000000001</v>
      </c>
      <c r="D129" s="20" t="n">
        <v>259493.4709998082</v>
      </c>
      <c r="E129" s="19" t="n">
        <v>0.039</v>
      </c>
      <c r="F129" s="20" t="n">
        <v>-353027.5611040611</v>
      </c>
    </row>
    <row r="130">
      <c r="A130" s="2" t="inlineStr">
        <is>
          <t>60% to 65%</t>
        </is>
      </c>
      <c r="B130" s="18" t="n">
        <v>1556</v>
      </c>
      <c r="C130" s="19" t="n">
        <v>0.7474293059125964</v>
      </c>
      <c r="D130" s="20" t="n">
        <v>377896.9102904379</v>
      </c>
      <c r="E130" s="19" t="n">
        <v>0.05141388174807198</v>
      </c>
      <c r="F130" s="20" t="n">
        <v>-329072.603962758</v>
      </c>
    </row>
    <row r="131">
      <c r="A131" s="2" t="inlineStr">
        <is>
          <t>65% to 70%</t>
        </is>
      </c>
      <c r="B131" s="18" t="n">
        <v>706</v>
      </c>
      <c r="C131" s="19" t="n">
        <v>0.8130311614730878</v>
      </c>
      <c r="D131" s="20" t="n">
        <v>473108.5405043817</v>
      </c>
      <c r="E131" s="19" t="n">
        <v>0.07507082152974505</v>
      </c>
      <c r="F131" s="20" t="n">
        <v>-300936.0248795276</v>
      </c>
    </row>
    <row r="132">
      <c r="A132" s="2" t="inlineStr">
        <is>
          <t>70% to 75%</t>
        </is>
      </c>
      <c r="B132" s="18" t="n">
        <v>37</v>
      </c>
      <c r="C132" s="19" t="n">
        <v>0.7567567567567568</v>
      </c>
      <c r="D132" s="20" t="n">
        <v>322672.8335238186</v>
      </c>
      <c r="E132" s="19" t="n">
        <v>0.08108108108108109</v>
      </c>
      <c r="F132" s="20" t="n">
        <v>-333246.6577124232</v>
      </c>
    </row>
    <row r="134">
      <c r="A134" s="3" t="inlineStr">
        <is>
          <t>What moves the 5-year NPV most (rank correlation; swing = mean NPV60 in the input's top 10% of draws minus its bottom 10%)</t>
        </is>
      </c>
    </row>
    <row r="135">
      <c r="A135" s="6" t="inlineStr">
        <is>
          <t>Input</t>
        </is>
      </c>
      <c r="B135" s="6" t="inlineStr">
        <is>
          <t>rank correlation</t>
        </is>
      </c>
      <c r="C135" s="6" t="inlineStr">
        <is>
          <t>swing (Rs)</t>
        </is>
      </c>
    </row>
    <row r="136">
      <c r="A136" s="2" t="inlineStr">
        <is>
          <t>Loan size (Rs)</t>
        </is>
      </c>
      <c r="B136" s="21" t="n">
        <v>0.4127057715470577</v>
      </c>
      <c r="C136" s="20" t="n">
        <v>827080.3749604103</v>
      </c>
    </row>
    <row r="137">
      <c r="A137" s="2" t="inlineStr">
        <is>
          <t>Sign-ups a month once up to speed</t>
        </is>
      </c>
      <c r="B137" s="21" t="n">
        <v>0.381099598758996</v>
      </c>
      <c r="C137" s="20" t="n">
        <v>795278.6356589347</v>
      </c>
    </row>
    <row r="138">
      <c r="A138" s="2" t="inlineStr">
        <is>
          <t>Still saving at month 12</t>
        </is>
      </c>
      <c r="B138" s="21" t="n">
        <v>0.3496905403729054</v>
      </c>
      <c r="C138" s="20" t="n">
        <v>671764.1214920245</v>
      </c>
    </row>
    <row r="139">
      <c r="A139" s="2" t="inlineStr">
        <is>
          <t>Proven savers with no loan running who apply, a year</t>
        </is>
      </c>
      <c r="B139" s="21" t="n">
        <v>0.333808702826087</v>
      </c>
      <c r="C139" s="20" t="n">
        <v>647976.5596469982</v>
      </c>
    </row>
    <row r="140">
      <c r="A140" s="2" t="inlineStr">
        <is>
          <t>First-loan and card approval rise each calendar year (cap 80% absolute)</t>
        </is>
      </c>
      <c r="B140" s="21" t="n">
        <v>0.2154929247909292</v>
      </c>
      <c r="C140" s="20" t="n">
        <v>455892.3866911854</v>
      </c>
    </row>
    <row r="141">
      <c r="A141" s="2" t="inlineStr">
        <is>
          <t>Every take-up rises each calendar year with the pool's history (cap 2x)</t>
        </is>
      </c>
      <c r="B141" s="21" t="n">
        <v>0.2043296503352965</v>
      </c>
      <c r="C141" s="20" t="n">
        <v>428964.6334322786</v>
      </c>
    </row>
    <row r="142">
      <c r="A142" s="2" t="inlineStr">
        <is>
          <t>Applicants eligible</t>
        </is>
      </c>
      <c r="B142" s="21" t="n">
        <v>0.1840230437922304</v>
      </c>
      <c r="C142" s="20" t="n">
        <v>351372.4582597765</v>
      </c>
    </row>
    <row r="143">
      <c r="A143" s="2" t="inlineStr">
        <is>
          <t>Home loan (affordable housing): take-up a year (savers offered who don't hold it)</t>
        </is>
      </c>
      <c r="B143" s="21" t="n">
        <v>0.1812053249520532</v>
      </c>
      <c r="C143" s="20" t="n">
        <v>326190.9641828078</v>
      </c>
    </row>
    <row r="144">
      <c r="A144" s="2" t="inlineStr">
        <is>
          <t>Approved, first loan</t>
        </is>
      </c>
      <c r="B144" s="21" t="n">
        <v>0.1799586335035863</v>
      </c>
      <c r="C144" s="20" t="n">
        <v>333709.0754308083</v>
      </c>
    </row>
    <row r="145">
      <c r="A145" s="2" t="inlineStr">
        <is>
          <t>Origination fee</t>
        </is>
      </c>
      <c r="B145" s="21" t="n">
        <v>0.1695422537554225</v>
      </c>
      <c r="C145" s="20" t="n">
        <v>374846.9440213116</v>
      </c>
    </row>
    <row r="146">
      <c r="A146" s="2" t="inlineStr">
        <is>
          <t>Support cost per active saver a month (Rs)</t>
        </is>
      </c>
      <c r="B146" s="21" t="n">
        <v>-0.1667496464154964</v>
      </c>
      <c r="C146" s="20" t="n">
        <v>-310128.3374986191</v>
      </c>
    </row>
    <row r="147">
      <c r="A147" s="2" t="inlineStr">
        <is>
          <t>Home loan (affordable housing): loan size (Rs)</t>
        </is>
      </c>
      <c r="B147" s="21" t="n">
        <v>0.1592508372445084</v>
      </c>
      <c r="C147" s="20" t="n">
        <v>324966.2440382172</v>
      </c>
    </row>
    <row r="149">
      <c r="A149" s="3" t="inlineStr">
        <is>
          <t>Cross-sell money per saver offered the marketplace, a year, by product (Rs, 60-month book)</t>
        </is>
      </c>
    </row>
    <row r="150">
      <c r="A150" s="6" t="inlineStr">
        <is>
          <t>Product</t>
        </is>
      </c>
      <c r="B150" s="6" t="inlineStr">
        <is>
          <t>p10</t>
        </is>
      </c>
      <c r="C150" s="6" t="inlineStr">
        <is>
          <t>p50</t>
        </is>
      </c>
      <c r="D150" s="6" t="inlineStr">
        <is>
          <t>p90</t>
        </is>
      </c>
      <c r="E150" s="6" t="inlineStr">
        <is>
          <t>mean</t>
        </is>
      </c>
    </row>
    <row r="151">
      <c r="A151" s="2" t="inlineStr">
        <is>
          <t>Small health / hospital cash</t>
        </is>
      </c>
      <c r="B151" s="22" t="n">
        <v>2.863566678467746</v>
      </c>
      <c r="C151" s="22" t="n">
        <v>5.487808424375903</v>
      </c>
      <c r="D151" s="22" t="n">
        <v>9.565590080423327</v>
      </c>
      <c r="E151" s="22" t="n">
        <v>5.913960082723944</v>
      </c>
    </row>
    <row r="152">
      <c r="A152" s="2" t="inlineStr">
        <is>
          <t>Family health cover</t>
        </is>
      </c>
      <c r="B152" s="22" t="n">
        <v>10.99492859499042</v>
      </c>
      <c r="C152" s="22" t="n">
        <v>21.32660713541236</v>
      </c>
      <c r="D152" s="22" t="n">
        <v>36.36172789525539</v>
      </c>
      <c r="E152" s="22" t="n">
        <v>22.76324380104057</v>
      </c>
    </row>
    <row r="153">
      <c r="A153" s="2" t="inlineStr">
        <is>
          <t>Term life (small cover)</t>
        </is>
      </c>
      <c r="B153" s="22" t="n">
        <v>2.772871523067319</v>
      </c>
      <c r="C153" s="22" t="n">
        <v>5.140801371984434</v>
      </c>
      <c r="D153" s="22" t="n">
        <v>8.826862130012364</v>
      </c>
      <c r="E153" s="22" t="n">
        <v>5.525801725457007</v>
      </c>
    </row>
    <row r="154">
      <c r="A154" s="2" t="inlineStr">
        <is>
          <t>Personal accident</t>
        </is>
      </c>
      <c r="B154" s="22" t="n">
        <v>0.7754138383645629</v>
      </c>
      <c r="C154" s="22" t="n">
        <v>1.406221466321431</v>
      </c>
      <c r="D154" s="22" t="n">
        <v>2.345737518070975</v>
      </c>
      <c r="E154" s="22" t="n">
        <v>1.501237066060227</v>
      </c>
    </row>
    <row r="155">
      <c r="A155" s="2" t="inlineStr">
        <is>
          <t>Two-wheeler insurance</t>
        </is>
      </c>
      <c r="B155" s="22" t="n">
        <v>4.055745273776049</v>
      </c>
      <c r="C155" s="22" t="n">
        <v>7.021401827841546</v>
      </c>
      <c r="D155" s="22" t="n">
        <v>11.39120427262959</v>
      </c>
      <c r="E155" s="22" t="n">
        <v>7.42755663356962</v>
      </c>
    </row>
    <row r="156">
      <c r="A156" s="2" t="inlineStr">
        <is>
          <t>Mobile / device insurance</t>
        </is>
      </c>
      <c r="B156" s="22" t="n">
        <v>0.7922482155637982</v>
      </c>
      <c r="C156" s="22" t="n">
        <v>1.458722369292479</v>
      </c>
      <c r="D156" s="22" t="n">
        <v>2.48705952031564</v>
      </c>
      <c r="E156" s="22" t="n">
        <v>1.56639467166708</v>
      </c>
    </row>
    <row r="157">
      <c r="A157" s="2" t="inlineStr">
        <is>
          <t>Shop insurance (fire and burglary)</t>
        </is>
      </c>
      <c r="B157" s="22" t="n">
        <v>1.392728587647621</v>
      </c>
      <c r="C157" s="22" t="n">
        <v>3.169052527482931</v>
      </c>
      <c r="D157" s="22" t="n">
        <v>6.537440856820702</v>
      </c>
      <c r="E157" s="22" t="n">
        <v>3.657976958178164</v>
      </c>
    </row>
    <row r="158">
      <c r="A158" s="2" t="inlineStr">
        <is>
          <t>Equity/hybrid SIP trail</t>
        </is>
      </c>
      <c r="B158" s="22" t="n">
        <v>1.671869615631863</v>
      </c>
      <c r="C158" s="22" t="n">
        <v>2.879187880236772</v>
      </c>
      <c r="D158" s="22" t="n">
        <v>4.803402351875065</v>
      </c>
      <c r="E158" s="22" t="n">
        <v>3.095764284788057</v>
      </c>
    </row>
    <row r="159">
      <c r="A159" s="2" t="inlineStr">
        <is>
          <t>Choti SIP incentive</t>
        </is>
      </c>
      <c r="B159" s="22" t="n">
        <v>1.456091275562492</v>
      </c>
      <c r="C159" s="22" t="n">
        <v>2.282861452324633</v>
      </c>
      <c r="D159" s="22" t="n">
        <v>3.481380316052125</v>
      </c>
      <c r="E159" s="22" t="n">
        <v>2.392156742320438</v>
      </c>
    </row>
    <row r="160">
      <c r="A160" s="2" t="inlineStr">
        <is>
          <t>NPS</t>
        </is>
      </c>
      <c r="B160" s="22" t="n">
        <v>3.779507164496477</v>
      </c>
      <c r="C160" s="22" t="n">
        <v>5.725263748538008</v>
      </c>
      <c r="D160" s="22" t="n">
        <v>7.744218577531433</v>
      </c>
      <c r="E160" s="22" t="n">
        <v>5.760976562884818</v>
      </c>
    </row>
    <row r="161">
      <c r="A161" s="2" t="inlineStr">
        <is>
          <t>Digital gold</t>
        </is>
      </c>
      <c r="B161" s="22" t="n">
        <v>3.059836111501567</v>
      </c>
      <c r="C161" s="22" t="n">
        <v>5.626741654686728</v>
      </c>
      <c r="D161" s="22" t="n">
        <v>9.362708170425002</v>
      </c>
      <c r="E161" s="22" t="n">
        <v>5.966909214043002</v>
      </c>
    </row>
    <row r="162">
      <c r="A162" s="2" t="inlineStr">
        <is>
          <t>FD via partner banks</t>
        </is>
      </c>
      <c r="B162" s="22" t="n">
        <v>2.452024249661114</v>
      </c>
      <c r="C162" s="22" t="n">
        <v>4.885392589494582</v>
      </c>
      <c r="D162" s="22" t="n">
        <v>9.08108956079365</v>
      </c>
      <c r="E162" s="22" t="n">
        <v>5.411875661134433</v>
      </c>
    </row>
    <row r="163">
      <c r="A163" s="2" t="inlineStr">
        <is>
          <t>Mobile recharge</t>
        </is>
      </c>
      <c r="B163" s="22" t="n">
        <v>8.516039530249216</v>
      </c>
      <c r="C163" s="22" t="n">
        <v>13.45250287355493</v>
      </c>
      <c r="D163" s="22" t="n">
        <v>19.99744717409879</v>
      </c>
      <c r="E163" s="22" t="n">
        <v>13.93006832458796</v>
      </c>
    </row>
    <row r="164">
      <c r="A164" s="2" t="inlineStr">
        <is>
          <t>Bill payments</t>
        </is>
      </c>
      <c r="B164" s="22" t="n">
        <v>7.105607422645841</v>
      </c>
      <c r="C164" s="22" t="n">
        <v>12.19099423532437</v>
      </c>
      <c r="D164" s="22" t="n">
        <v>19.49853323689757</v>
      </c>
      <c r="E164" s="22" t="n">
        <v>12.83904547874046</v>
      </c>
    </row>
    <row r="165">
      <c r="A165" s="2" t="inlineStr">
        <is>
          <t>Gold loan (other lenders)</t>
        </is>
      </c>
      <c r="B165" s="22" t="n">
        <v>14.17537579318024</v>
      </c>
      <c r="C165" s="22" t="n">
        <v>24.45667089658188</v>
      </c>
      <c r="D165" s="22" t="n">
        <v>39.62902188735575</v>
      </c>
      <c r="E165" s="22" t="n">
        <v>25.88569646890168</v>
      </c>
    </row>
    <row r="166">
      <c r="A166" s="2" t="inlineStr">
        <is>
          <t>Consumer-durable loan</t>
        </is>
      </c>
      <c r="B166" s="22" t="n">
        <v>4.063431276722063</v>
      </c>
      <c r="C166" s="22" t="n">
        <v>8.002551724595762</v>
      </c>
      <c r="D166" s="22" t="n">
        <v>14.17900747386131</v>
      </c>
      <c r="E166" s="22" t="n">
        <v>8.678606976617427</v>
      </c>
    </row>
    <row r="167">
      <c r="A167" s="2" t="inlineStr">
        <is>
          <t>Two-wheeler / e-rickshaw loan</t>
        </is>
      </c>
      <c r="B167" s="22" t="n">
        <v>4.422329839859196</v>
      </c>
      <c r="C167" s="22" t="n">
        <v>9.992982215994061</v>
      </c>
      <c r="D167" s="22" t="n">
        <v>21.59079283361003</v>
      </c>
      <c r="E167" s="22" t="n">
        <v>11.74355037468073</v>
      </c>
    </row>
    <row r="168">
      <c r="A168" s="2" t="inlineStr">
        <is>
          <t>Home loan (affordable housing)</t>
        </is>
      </c>
      <c r="B168" s="22" t="n">
        <v>55.06756038062899</v>
      </c>
      <c r="C168" s="22" t="n">
        <v>112.7893259785336</v>
      </c>
      <c r="D168" s="22" t="n">
        <v>215.5764472074771</v>
      </c>
      <c r="E168" s="22" t="n">
        <v>126.086009067563</v>
      </c>
    </row>
    <row r="169">
      <c r="A169" s="2" t="inlineStr">
        <is>
          <t>Loan against property (shop or home)</t>
        </is>
      </c>
      <c r="B169" s="22" t="n">
        <v>21.05439884171457</v>
      </c>
      <c r="C169" s="22" t="n">
        <v>41.22759704156017</v>
      </c>
      <c r="D169" s="22" t="n">
        <v>76.424152096886</v>
      </c>
      <c r="E169" s="22" t="n">
        <v>45.84109936297706</v>
      </c>
    </row>
    <row r="170">
      <c r="A170" s="2" t="inlineStr">
        <is>
          <t>All 17 products</t>
        </is>
      </c>
      <c r="B170" s="22" t="n">
        <v>228.2715730158782</v>
      </c>
      <c r="C170" s="22" t="n">
        <v>305.2083097755159</v>
      </c>
      <c r="D170" s="22" t="n">
        <v>418.2426074202319</v>
      </c>
      <c r="E170" s="22" t="n">
        <v>315.9879294579356</v>
      </c>
    </row>
    <row r="171">
      <c r="A171" s="2" t="inlineStr">
        <is>
          <t>Old single line (XO-39 middle)</t>
        </is>
      </c>
      <c r="C171" s="22" t="n">
        <v>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2"/>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52" customWidth="1" min="2" max="2"/>
    <col width="15" customWidth="1" min="3" max="3"/>
    <col width="11" customWidth="1" min="4" max="4"/>
    <col width="11" customWidth="1" min="5" max="5"/>
    <col width="11" customWidth="1" min="6" max="6"/>
    <col width="20" customWidth="1" min="7" max="7"/>
    <col width="24" customWidth="1" min="8" max="8"/>
    <col width="90" customWidth="1" min="9" max="9"/>
  </cols>
  <sheetData>
    <row r="1" ht="54" customHeight="1">
      <c r="A1" s="23" t="inlineStr">
        <is>
          <t>Group</t>
        </is>
      </c>
      <c r="B1" s="23" t="inlineStr">
        <is>
          <t>Input</t>
        </is>
      </c>
      <c r="C1" s="23" t="inlineStr">
        <is>
          <t>Likely (edit me)</t>
        </is>
      </c>
      <c r="D1" s="23" t="inlineStr">
        <is>
          <t>Low</t>
        </is>
      </c>
      <c r="E1" s="23" t="inlineStr">
        <is>
          <t>High</t>
        </is>
      </c>
      <c r="F1" s="23" t="inlineStr">
        <is>
          <t>Shape</t>
        </is>
      </c>
      <c r="G1" s="23" t="inlineStr">
        <is>
          <t>Unit</t>
        </is>
      </c>
      <c r="H1" s="23" t="inlineStr">
        <is>
          <t>Key</t>
        </is>
      </c>
      <c r="I1" s="23" t="inlineStr">
        <is>
          <t>Where the number comes from</t>
        </is>
      </c>
    </row>
    <row r="2">
      <c r="A2" s="24" t="inlineStr">
        <is>
          <t>Sign-ups</t>
        </is>
      </c>
      <c r="B2" s="25" t="n"/>
      <c r="C2" s="25" t="n"/>
      <c r="D2" s="25" t="n"/>
      <c r="E2" s="25" t="n"/>
      <c r="F2" s="25" t="n"/>
      <c r="G2" s="25" t="n"/>
      <c r="H2" s="25" t="n"/>
      <c r="I2" s="25" t="n"/>
    </row>
    <row r="3">
      <c r="A3" s="2" t="inlineStr"/>
      <c r="B3" s="2" t="inlineStr">
        <is>
          <t>Sign-ups a month once up to speed</t>
        </is>
      </c>
      <c r="C3" s="26" t="n">
        <v>30</v>
      </c>
      <c r="D3" s="27" t="n">
        <v>20</v>
      </c>
      <c r="E3" s="27" t="n">
        <v>45</v>
      </c>
      <c r="F3" s="5" t="inlineStr">
        <is>
          <t>pert</t>
        </is>
      </c>
      <c r="G3" s="5" t="inlineStr">
        <is>
          <t>sign-ups a month</t>
        </is>
      </c>
      <c r="H3" s="5" t="inlineStr">
        <is>
          <t>signups_run</t>
        </is>
      </c>
      <c r="I3" s="5" t="inlineStr">
        <is>
          <t>dist_agreed_v1.csv</t>
        </is>
      </c>
    </row>
    <row r="4">
      <c r="A4" s="2" t="inlineStr"/>
      <c r="B4" s="2" t="inlineStr">
        <is>
          <t>Months for a new agent to reach full speed</t>
        </is>
      </c>
      <c r="C4" s="28" t="n">
        <v>3</v>
      </c>
      <c r="D4" s="27" t="n">
        <v>0</v>
      </c>
      <c r="E4" s="27" t="n">
        <v>6</v>
      </c>
      <c r="F4" s="5" t="inlineStr">
        <is>
          <t>triangular</t>
        </is>
      </c>
      <c r="G4" s="5" t="inlineStr">
        <is>
          <t>months</t>
        </is>
      </c>
      <c r="H4" s="5" t="inlineStr">
        <is>
          <t>ramp_months</t>
        </is>
      </c>
      <c r="I4" s="5" t="inlineStr">
        <is>
          <t>dist_agreed_v1.csv</t>
        </is>
      </c>
    </row>
    <row r="5">
      <c r="A5" s="24" t="inlineStr">
        <is>
          <t>Retention</t>
        </is>
      </c>
      <c r="B5" s="25" t="n"/>
      <c r="C5" s="25" t="n"/>
      <c r="D5" s="25" t="n"/>
      <c r="E5" s="25" t="n"/>
      <c r="F5" s="25" t="n"/>
      <c r="G5" s="25" t="n"/>
      <c r="H5" s="25" t="n"/>
      <c r="I5" s="25" t="n"/>
    </row>
    <row r="6">
      <c r="A6" s="2" t="inlineStr"/>
      <c r="B6" s="2" t="inlineStr">
        <is>
          <t>Still saving at month 3</t>
        </is>
      </c>
      <c r="C6" s="29" t="n">
        <v>0.8</v>
      </c>
      <c r="D6" s="30" t="n">
        <v>0.6</v>
      </c>
      <c r="E6" s="30" t="n">
        <v>0.92</v>
      </c>
      <c r="F6" s="5" t="inlineStr">
        <is>
          <t>pert</t>
        </is>
      </c>
      <c r="G6" s="5" t="inlineStr">
        <is>
          <t>share</t>
        </is>
      </c>
      <c r="H6" s="5" t="inlineStr">
        <is>
          <t>r3</t>
        </is>
      </c>
      <c r="I6" s="5" t="inlineStr">
        <is>
          <t>dist_agreed_v1.csv</t>
        </is>
      </c>
    </row>
    <row r="7">
      <c r="A7" s="2" t="inlineStr"/>
      <c r="B7" s="2" t="inlineStr">
        <is>
          <t>Still saving at month 12</t>
        </is>
      </c>
      <c r="C7" s="31" t="n">
        <v>0.55</v>
      </c>
      <c r="D7" s="30" t="n">
        <v>0.25</v>
      </c>
      <c r="E7" s="30" t="n">
        <v>0.72</v>
      </c>
      <c r="F7" s="5" t="inlineStr">
        <is>
          <t>pert</t>
        </is>
      </c>
      <c r="G7" s="5" t="inlineStr">
        <is>
          <t>share</t>
        </is>
      </c>
      <c r="H7" s="5" t="inlineStr">
        <is>
          <t>r12</t>
        </is>
      </c>
      <c r="I7" s="5" t="inlineStr">
        <is>
          <t>dist_agreed_v1.csv (file matches the operator decision)</t>
        </is>
      </c>
    </row>
    <row r="8">
      <c r="A8" s="2" t="inlineStr"/>
      <c r="B8" s="2" t="inlineStr">
        <is>
          <t>Monthly drop-off after month 12</t>
        </is>
      </c>
      <c r="C8" s="29" t="n">
        <v>0.015</v>
      </c>
      <c r="D8" s="30" t="n">
        <v>0.01</v>
      </c>
      <c r="E8" s="30" t="n">
        <v>0.03</v>
      </c>
      <c r="F8" s="5" t="inlineStr">
        <is>
          <t>pert</t>
        </is>
      </c>
      <c r="G8" s="5" t="inlineStr">
        <is>
          <t>share</t>
        </is>
      </c>
      <c r="H8" s="5" t="inlineStr">
        <is>
          <t>churn_late</t>
        </is>
      </c>
      <c r="I8" s="5" t="inlineStr">
        <is>
          <t>dist_agreed_v1.csv</t>
        </is>
      </c>
    </row>
    <row r="9">
      <c r="A9" s="24" t="inlineStr">
        <is>
          <t>Saving</t>
        </is>
      </c>
      <c r="B9" s="25" t="n"/>
      <c r="C9" s="25" t="n"/>
      <c r="D9" s="25" t="n"/>
      <c r="E9" s="25" t="n"/>
      <c r="F9" s="25" t="n"/>
      <c r="G9" s="25" t="n"/>
      <c r="H9" s="25" t="n"/>
      <c r="I9" s="25" t="n"/>
    </row>
    <row r="10">
      <c r="A10" s="2" t="inlineStr"/>
      <c r="B10" s="2" t="inlineStr">
        <is>
          <t>Daily amount at sign-up (Rs)</t>
        </is>
      </c>
      <c r="C10" s="28" t="n">
        <v>350</v>
      </c>
      <c r="D10" s="27" t="n">
        <v>200</v>
      </c>
      <c r="E10" s="27" t="n">
        <v>500</v>
      </c>
      <c r="F10" s="5" t="inlineStr">
        <is>
          <t>triangular</t>
        </is>
      </c>
      <c r="G10" s="5" t="inlineStr">
        <is>
          <t>Rs a day</t>
        </is>
      </c>
      <c r="H10" s="5" t="inlineStr">
        <is>
          <t>daily</t>
        </is>
      </c>
      <c r="I10" s="5" t="inlineStr">
        <is>
          <t>dist_agreed_v1.csv</t>
        </is>
      </c>
    </row>
    <row r="11">
      <c r="A11" s="2" t="inlineStr"/>
      <c r="B11" s="2" t="inlineStr">
        <is>
          <t>Deposit days a month</t>
        </is>
      </c>
      <c r="C11" s="28" t="n">
        <v>20</v>
      </c>
      <c r="D11" s="27" t="n">
        <v>16</v>
      </c>
      <c r="E11" s="27" t="n">
        <v>24</v>
      </c>
      <c r="F11" s="5" t="inlineStr">
        <is>
          <t>pert</t>
        </is>
      </c>
      <c r="G11" s="5" t="inlineStr">
        <is>
          <t>days a month</t>
        </is>
      </c>
      <c r="H11" s="5" t="inlineStr">
        <is>
          <t>days</t>
        </is>
      </c>
      <c r="I11" s="5" t="inlineStr">
        <is>
          <t>dist_agreed_v1.csv</t>
        </is>
      </c>
    </row>
    <row r="12">
      <c r="A12" s="2" t="inlineStr"/>
      <c r="B12" s="2" t="inlineStr">
        <is>
          <t>Growth in his daily amount per year saved</t>
        </is>
      </c>
      <c r="C12" s="29" t="n">
        <v>0.05</v>
      </c>
      <c r="D12" s="30" t="n">
        <v>0</v>
      </c>
      <c r="E12" s="30" t="n">
        <v>0.1</v>
      </c>
      <c r="F12" s="5" t="inlineStr">
        <is>
          <t>pert</t>
        </is>
      </c>
      <c r="G12" s="5" t="inlineStr">
        <is>
          <t>share</t>
        </is>
      </c>
      <c r="H12" s="5" t="inlineStr">
        <is>
          <t>amount_growth</t>
        </is>
      </c>
      <c r="I12" s="5" t="inlineStr">
        <is>
          <t>dist_agreed_v1.csv</t>
        </is>
      </c>
    </row>
    <row r="13">
      <c r="A13" s="24" t="inlineStr">
        <is>
          <t>The fund</t>
        </is>
      </c>
      <c r="B13" s="25" t="n"/>
      <c r="C13" s="25" t="n"/>
      <c r="D13" s="25" t="n"/>
      <c r="E13" s="25" t="n"/>
      <c r="F13" s="25" t="n"/>
      <c r="G13" s="25" t="n"/>
      <c r="H13" s="25" t="n"/>
      <c r="I13" s="25" t="n"/>
    </row>
    <row r="14">
      <c r="A14" s="2" t="inlineStr"/>
      <c r="B14" s="2" t="inlineStr">
        <is>
          <t>Savings term (months)</t>
        </is>
      </c>
      <c r="C14" s="28" t="n">
        <v>12</v>
      </c>
      <c r="D14" s="27" t="n">
        <v>12</v>
      </c>
      <c r="E14" s="27" t="n">
        <v>12</v>
      </c>
      <c r="F14" s="5" t="inlineStr">
        <is>
          <t>fixed</t>
        </is>
      </c>
      <c r="G14" s="5" t="inlineStr">
        <is>
          <t>months</t>
        </is>
      </c>
      <c r="H14" s="5" t="inlineStr">
        <is>
          <t>term</t>
        </is>
      </c>
      <c r="I14" s="5" t="inlineStr">
        <is>
          <t>dist_agreed_v1.csv</t>
        </is>
      </c>
    </row>
    <row r="15">
      <c r="A15" s="2" t="inlineStr"/>
      <c r="B15" s="2" t="inlineStr">
        <is>
          <t>Share of the balance left in the fund at each term end</t>
        </is>
      </c>
      <c r="C15" s="29" t="n">
        <v>0.25</v>
      </c>
      <c r="D15" s="30" t="n">
        <v>0</v>
      </c>
      <c r="E15" s="30" t="n">
        <v>0.6</v>
      </c>
      <c r="F15" s="5" t="inlineStr">
        <is>
          <t>pert</t>
        </is>
      </c>
      <c r="G15" s="5" t="inlineStr">
        <is>
          <t>share</t>
        </is>
      </c>
      <c r="H15" s="5" t="inlineStr">
        <is>
          <t>rollover</t>
        </is>
      </c>
      <c r="I15" s="5" t="inlineStr">
        <is>
          <t>dist_agreed_v1.csv</t>
        </is>
      </c>
    </row>
    <row r="16">
      <c r="A16" s="2" t="inlineStr"/>
      <c r="B16" s="2" t="inlineStr">
        <is>
          <t>Share of the balance withdrawn mid-term, each month</t>
        </is>
      </c>
      <c r="C16" s="29" t="n">
        <v>0.01</v>
      </c>
      <c r="D16" s="30" t="n">
        <v>0</v>
      </c>
      <c r="E16" s="30" t="n">
        <v>0.03</v>
      </c>
      <c r="F16" s="5" t="inlineStr">
        <is>
          <t>pert</t>
        </is>
      </c>
      <c r="G16" s="5" t="inlineStr">
        <is>
          <t>share</t>
        </is>
      </c>
      <c r="H16" s="5" t="inlineStr">
        <is>
          <t>withdraw_m</t>
        </is>
      </c>
      <c r="I16" s="5" t="inlineStr">
        <is>
          <t>dist_agreed_v1.csv</t>
        </is>
      </c>
    </row>
    <row r="17">
      <c r="A17" s="2" t="inlineStr"/>
      <c r="B17" s="2" t="inlineStr">
        <is>
          <t>Fund commission a year (debt fund)</t>
        </is>
      </c>
      <c r="C17" s="32" t="n">
        <v>0.0035</v>
      </c>
      <c r="D17" s="33" t="n">
        <v>0.002</v>
      </c>
      <c r="E17" s="33" t="n">
        <v>0.005</v>
      </c>
      <c r="F17" s="5" t="inlineStr">
        <is>
          <t>pert</t>
        </is>
      </c>
      <c r="G17" s="5" t="inlineStr">
        <is>
          <t>share</t>
        </is>
      </c>
      <c r="H17" s="5" t="inlineStr">
        <is>
          <t>trail</t>
        </is>
      </c>
      <c r="I17" s="5" t="inlineStr">
        <is>
          <t>dist_agreed_v1.csv (file matches the operator decision)</t>
        </is>
      </c>
    </row>
    <row r="18">
      <c r="A18" s="2" t="inlineStr"/>
      <c r="B18" s="2" t="inlineStr">
        <is>
          <t>Saver's net return on the fund, a year</t>
        </is>
      </c>
      <c r="C18" s="29" t="n">
        <v>0.07000000000000001</v>
      </c>
      <c r="D18" s="30" t="n">
        <v>0.06</v>
      </c>
      <c r="E18" s="30" t="n">
        <v>0.075</v>
      </c>
      <c r="F18" s="5" t="inlineStr">
        <is>
          <t>pert</t>
        </is>
      </c>
      <c r="G18" s="5" t="inlineStr">
        <is>
          <t>share</t>
        </is>
      </c>
      <c r="H18" s="5" t="inlineStr">
        <is>
          <t>fund_return</t>
        </is>
      </c>
      <c r="I18" s="5" t="inlineStr">
        <is>
          <t>dist_agreed_v1.csv</t>
        </is>
      </c>
    </row>
    <row r="19">
      <c r="A19" s="24" t="inlineStr">
        <is>
          <t>Early months (a saver's months 1-6)</t>
        </is>
      </c>
      <c r="B19" s="25" t="n"/>
      <c r="C19" s="25" t="n"/>
      <c r="D19" s="25" t="n"/>
      <c r="E19" s="25" t="n"/>
      <c r="F19" s="25" t="n"/>
      <c r="G19" s="25" t="n"/>
      <c r="H19" s="25" t="n"/>
      <c r="I19" s="25" t="n"/>
    </row>
    <row r="20">
      <c r="A20" s="2" t="inlineStr"/>
      <c r="B20" s="2" t="inlineStr">
        <is>
          <t>Take-up factor in a saver's months 1-6</t>
        </is>
      </c>
      <c r="C20" s="29" t="n">
        <v>0.5</v>
      </c>
      <c r="D20" s="30" t="n">
        <v>0.25</v>
      </c>
      <c r="E20" s="30" t="n">
        <v>0.75</v>
      </c>
      <c r="F20" s="5" t="inlineStr">
        <is>
          <t>pert</t>
        </is>
      </c>
      <c r="G20" s="5" t="inlineStr">
        <is>
          <t>share</t>
        </is>
      </c>
      <c r="H20" s="5" t="inlineStr">
        <is>
          <t>early_takeup_mult</t>
        </is>
      </c>
      <c r="I20" s="5" t="inlineStr">
        <is>
          <t>dist_agreed_v1.csv</t>
        </is>
      </c>
    </row>
    <row r="21">
      <c r="A21" s="2" t="inlineStr"/>
      <c r="B21" s="2" t="inlineStr">
        <is>
          <t>Approval factor in a saver's months 1-6 (first loans, cards)</t>
        </is>
      </c>
      <c r="C21" s="29" t="n">
        <v>0.6</v>
      </c>
      <c r="D21" s="30" t="n">
        <v>0.4</v>
      </c>
      <c r="E21" s="30" t="n">
        <v>0.8</v>
      </c>
      <c r="F21" s="5" t="inlineStr">
        <is>
          <t>pert</t>
        </is>
      </c>
      <c r="G21" s="5" t="inlineStr">
        <is>
          <t>share</t>
        </is>
      </c>
      <c r="H21" s="5" t="inlineStr">
        <is>
          <t>early_approval_mult</t>
        </is>
      </c>
      <c r="I21" s="5" t="inlineStr">
        <is>
          <t>dist_agreed_v1.csv</t>
        </is>
      </c>
    </row>
    <row r="22">
      <c r="A22" s="24" t="inlineStr">
        <is>
          <t>Growth with the pool's history (addendum 4)</t>
        </is>
      </c>
      <c r="B22" s="25" t="n"/>
      <c r="C22" s="25" t="n"/>
      <c r="D22" s="25" t="n"/>
      <c r="E22" s="25" t="n"/>
      <c r="F22" s="25" t="n"/>
      <c r="G22" s="25" t="n"/>
      <c r="H22" s="25" t="n"/>
      <c r="I22" s="25" t="n"/>
    </row>
    <row r="23">
      <c r="A23" s="2" t="inlineStr"/>
      <c r="B23" s="2" t="inlineStr">
        <is>
          <t>Sign-ups grow each year from year 2 (cap 100 a month)</t>
        </is>
      </c>
      <c r="C23" s="29" t="n">
        <v>0.1</v>
      </c>
      <c r="D23" s="30" t="n">
        <v>0</v>
      </c>
      <c r="E23" s="30" t="n">
        <v>0.2</v>
      </c>
      <c r="F23" s="5" t="inlineStr">
        <is>
          <t>pert</t>
        </is>
      </c>
      <c r="G23" s="5" t="inlineStr">
        <is>
          <t>share</t>
        </is>
      </c>
      <c r="H23" s="5" t="inlineStr">
        <is>
          <t>signup_growth</t>
        </is>
      </c>
      <c r="I23" s="5" t="inlineStr">
        <is>
          <t>dist_agreed_v1.csv</t>
        </is>
      </c>
    </row>
    <row r="24">
      <c r="A24" s="2" t="inlineStr"/>
      <c r="B24" s="2" t="inlineStr">
        <is>
          <t>Every take-up rises each calendar year with the pool's history (cap 2x)</t>
        </is>
      </c>
      <c r="C24" s="29" t="n">
        <v>0.05</v>
      </c>
      <c r="D24" s="30" t="n">
        <v>0</v>
      </c>
      <c r="E24" s="30" t="n">
        <v>0.15</v>
      </c>
      <c r="F24" s="5" t="inlineStr">
        <is>
          <t>pert</t>
        </is>
      </c>
      <c r="G24" s="5" t="inlineStr">
        <is>
          <t>share</t>
        </is>
      </c>
      <c r="H24" s="5" t="inlineStr">
        <is>
          <t>takeup_growth</t>
        </is>
      </c>
      <c r="I24" s="5" t="inlineStr">
        <is>
          <t>dist_agreed_v1.csv</t>
        </is>
      </c>
    </row>
    <row r="25">
      <c r="A25" s="2" t="inlineStr"/>
      <c r="B25" s="2" t="inlineStr">
        <is>
          <t>First-loan and card approval rise each calendar year (cap 80% absolute)</t>
        </is>
      </c>
      <c r="C25" s="29" t="n">
        <v>0.1</v>
      </c>
      <c r="D25" s="30" t="n">
        <v>0</v>
      </c>
      <c r="E25" s="30" t="n">
        <v>0.2</v>
      </c>
      <c r="F25" s="5" t="inlineStr">
        <is>
          <t>pert</t>
        </is>
      </c>
      <c r="G25" s="5" t="inlineStr">
        <is>
          <t>share</t>
        </is>
      </c>
      <c r="H25" s="5" t="inlineStr">
        <is>
          <t>approval_growth</t>
        </is>
      </c>
      <c r="I25" s="5" t="inlineStr">
        <is>
          <t>dist_agreed_v1.csv</t>
        </is>
      </c>
    </row>
    <row r="26">
      <c r="A26" s="2" t="inlineStr"/>
      <c r="B26" s="2" t="inlineStr">
        <is>
          <t>Next loan bigger for each year repaid (cap Rs 5 lakh)</t>
        </is>
      </c>
      <c r="C26" s="29" t="n">
        <v>0.1</v>
      </c>
      <c r="D26" s="30" t="n">
        <v>0</v>
      </c>
      <c r="E26" s="30" t="n">
        <v>0.2</v>
      </c>
      <c r="F26" s="5" t="inlineStr">
        <is>
          <t>pert</t>
        </is>
      </c>
      <c r="G26" s="5" t="inlineStr">
        <is>
          <t>share</t>
        </is>
      </c>
      <c r="H26" s="5" t="inlineStr">
        <is>
          <t>ticket_growth</t>
        </is>
      </c>
      <c r="I26" s="5" t="inlineStr">
        <is>
          <t>dist_agreed_v1.csv</t>
        </is>
      </c>
    </row>
    <row r="27">
      <c r="A27" s="2" t="inlineStr"/>
      <c r="B27" s="2" t="inlineStr">
        <is>
          <t>Borrowers with 12+ EMIs paid who take a top-up, a year</t>
        </is>
      </c>
      <c r="C27" s="29" t="n">
        <v>0.15</v>
      </c>
      <c r="D27" s="30" t="n">
        <v>0.05</v>
      </c>
      <c r="E27" s="30" t="n">
        <v>0.3</v>
      </c>
      <c r="F27" s="5" t="inlineStr">
        <is>
          <t>pert</t>
        </is>
      </c>
      <c r="G27" s="5" t="inlineStr">
        <is>
          <t>share</t>
        </is>
      </c>
      <c r="H27" s="5" t="inlineStr">
        <is>
          <t>topup_share</t>
        </is>
      </c>
      <c r="I27" s="5" t="inlineStr">
        <is>
          <t>dist_agreed_v1.csv</t>
        </is>
      </c>
    </row>
    <row r="28">
      <c r="A28" s="2" t="inlineStr"/>
      <c r="B28" s="2" t="inlineStr">
        <is>
          <t>Top-up size, share of his original ticket</t>
        </is>
      </c>
      <c r="C28" s="29" t="n">
        <v>0.4</v>
      </c>
      <c r="D28" s="30" t="n">
        <v>0.25</v>
      </c>
      <c r="E28" s="30" t="n">
        <v>0.6</v>
      </c>
      <c r="F28" s="5" t="inlineStr">
        <is>
          <t>pert</t>
        </is>
      </c>
      <c r="G28" s="5" t="inlineStr">
        <is>
          <t>share</t>
        </is>
      </c>
      <c r="H28" s="5" t="inlineStr">
        <is>
          <t>topup_size</t>
        </is>
      </c>
      <c r="I28" s="5" t="inlineStr">
        <is>
          <t>dist_agreed_v1.csv</t>
        </is>
      </c>
    </row>
    <row r="29">
      <c r="A29" s="24" t="inlineStr">
        <is>
          <t>UPI and cash visits</t>
        </is>
      </c>
      <c r="B29" s="25" t="n"/>
      <c r="C29" s="25" t="n"/>
      <c r="D29" s="25" t="n"/>
      <c r="E29" s="25" t="n"/>
      <c r="F29" s="25" t="n"/>
      <c r="G29" s="25" t="n"/>
      <c r="H29" s="25" t="n"/>
      <c r="I29" s="25" t="n"/>
    </row>
    <row r="30">
      <c r="A30" s="2" t="inlineStr"/>
      <c r="B30" s="2" t="inlineStr">
        <is>
          <t>Share of active savers on UPI by month 12</t>
        </is>
      </c>
      <c r="C30" s="29" t="n">
        <v>0.3</v>
      </c>
      <c r="D30" s="30" t="n">
        <v>0.1</v>
      </c>
      <c r="E30" s="30" t="n">
        <v>0.6</v>
      </c>
      <c r="F30" s="5" t="inlineStr">
        <is>
          <t>pert</t>
        </is>
      </c>
      <c r="G30" s="5" t="inlineStr">
        <is>
          <t>share</t>
        </is>
      </c>
      <c r="H30" s="5" t="inlineStr">
        <is>
          <t>upi_12</t>
        </is>
      </c>
      <c r="I30" s="5" t="inlineStr">
        <is>
          <t>dist_agreed_v1.csv</t>
        </is>
      </c>
    </row>
    <row r="31">
      <c r="A31" s="2" t="inlineStr"/>
      <c r="B31" s="2" t="inlineStr">
        <is>
          <t>Age at which the UPI share reaches its month-12 level</t>
        </is>
      </c>
      <c r="C31" s="28" t="n">
        <v>12</v>
      </c>
      <c r="D31" s="27" t="n">
        <v>12</v>
      </c>
      <c r="E31" s="27" t="n">
        <v>12</v>
      </c>
      <c r="F31" s="5" t="inlineStr">
        <is>
          <t>fixed</t>
        </is>
      </c>
      <c r="G31" s="5" t="inlineStr">
        <is>
          <t>age (months)</t>
        </is>
      </c>
      <c r="H31" s="5" t="inlineStr">
        <is>
          <t>upi_ramp</t>
        </is>
      </c>
      <c r="I31" s="5" t="inlineStr">
        <is>
          <t>dist_agreed_v1.csv</t>
        </is>
      </c>
    </row>
    <row r="32">
      <c r="A32" s="2" t="inlineStr"/>
      <c r="B32" s="2" t="inlineStr">
        <is>
          <t>Days between cash visits</t>
        </is>
      </c>
      <c r="C32" s="28" t="n">
        <v>2.5</v>
      </c>
      <c r="D32" s="27" t="n">
        <v>2.5</v>
      </c>
      <c r="E32" s="27" t="n">
        <v>2.5</v>
      </c>
      <c r="F32" s="5" t="inlineStr">
        <is>
          <t>fixed</t>
        </is>
      </c>
      <c r="G32" s="5" t="inlineStr">
        <is>
          <t>days</t>
        </is>
      </c>
      <c r="H32" s="5" t="inlineStr">
        <is>
          <t>visit_every</t>
        </is>
      </c>
      <c r="I32" s="5" t="inlineStr">
        <is>
          <t>dist_agreed_v1.csv</t>
        </is>
      </c>
    </row>
    <row r="33">
      <c r="A33" s="2" t="inlineStr"/>
      <c r="B33" s="2" t="inlineStr">
        <is>
          <t>Cash visits one agent can make a day</t>
        </is>
      </c>
      <c r="C33" s="28" t="n">
        <v>400</v>
      </c>
      <c r="D33" s="27" t="n">
        <v>300</v>
      </c>
      <c r="E33" s="27" t="n">
        <v>450</v>
      </c>
      <c r="F33" s="5" t="inlineStr">
        <is>
          <t>triangular</t>
        </is>
      </c>
      <c r="G33" s="5" t="inlineStr">
        <is>
          <t>visits a day</t>
        </is>
      </c>
      <c r="H33" s="5" t="inlineStr">
        <is>
          <t>capacity</t>
        </is>
      </c>
      <c r="I33" s="5" t="inlineStr">
        <is>
          <t>dist_agreed_v1.csv</t>
        </is>
      </c>
    </row>
    <row r="34">
      <c r="A34" s="2" t="inlineStr"/>
      <c r="B34" s="2" t="inlineStr">
        <is>
          <t>Extra capacity cost a month per 400 visits a day (Rs)</t>
        </is>
      </c>
      <c r="C34" s="28" t="n">
        <v>20000</v>
      </c>
      <c r="D34" s="27" t="n">
        <v>20000</v>
      </c>
      <c r="E34" s="27" t="n">
        <v>20000</v>
      </c>
      <c r="F34" s="5" t="inlineStr">
        <is>
          <t>fixed</t>
        </is>
      </c>
      <c r="G34" s="5" t="inlineStr">
        <is>
          <t>Rs a month</t>
        </is>
      </c>
      <c r="H34" s="5" t="inlineStr">
        <is>
          <t>extra_capacity_cost</t>
        </is>
      </c>
      <c r="I34" s="5" t="inlineStr">
        <is>
          <t>dist_agreed_v1.csv</t>
        </is>
      </c>
    </row>
    <row r="35">
      <c r="A35" s="24" t="inlineStr">
        <is>
          <t>Loans</t>
        </is>
      </c>
      <c r="B35" s="25" t="n"/>
      <c r="C35" s="25" t="n"/>
      <c r="D35" s="25" t="n"/>
      <c r="E35" s="25" t="n"/>
      <c r="F35" s="25" t="n"/>
      <c r="G35" s="25" t="n"/>
      <c r="H35" s="25" t="n"/>
      <c r="I35" s="25" t="n"/>
    </row>
    <row r="36">
      <c r="A36" s="2" t="inlineStr"/>
      <c r="B36" s="2" t="inlineStr">
        <is>
          <t>Proven savers with no loan running who apply, a year</t>
        </is>
      </c>
      <c r="C36" s="29" t="n">
        <v>0.18</v>
      </c>
      <c r="D36" s="30" t="n">
        <v>0.08</v>
      </c>
      <c r="E36" s="30" t="n">
        <v>0.35</v>
      </c>
      <c r="F36" s="5" t="inlineStr">
        <is>
          <t>pert</t>
        </is>
      </c>
      <c r="G36" s="5" t="inlineStr">
        <is>
          <t>share a year</t>
        </is>
      </c>
      <c r="H36" s="5" t="inlineStr">
        <is>
          <t>apply</t>
        </is>
      </c>
      <c r="I36" s="5" t="inlineStr">
        <is>
          <t>dist_agreed_v1.csv</t>
        </is>
      </c>
    </row>
    <row r="37">
      <c r="A37" s="2" t="inlineStr"/>
      <c r="B37" s="2" t="inlineStr">
        <is>
          <t>Applicants eligible</t>
        </is>
      </c>
      <c r="C37" s="29" t="n">
        <v>0.45</v>
      </c>
      <c r="D37" s="30" t="n">
        <v>0.25</v>
      </c>
      <c r="E37" s="30" t="n">
        <v>0.65</v>
      </c>
      <c r="F37" s="5" t="inlineStr">
        <is>
          <t>pert</t>
        </is>
      </c>
      <c r="G37" s="5" t="inlineStr">
        <is>
          <t>share</t>
        </is>
      </c>
      <c r="H37" s="5" t="inlineStr">
        <is>
          <t>eligible</t>
        </is>
      </c>
      <c r="I37" s="5" t="inlineStr">
        <is>
          <t>dist_agreed_v1.csv</t>
        </is>
      </c>
    </row>
    <row r="38">
      <c r="A38" s="2" t="inlineStr"/>
      <c r="B38" s="2" t="inlineStr">
        <is>
          <t>Approved, first loan</t>
        </is>
      </c>
      <c r="C38" s="29" t="n">
        <v>0.35</v>
      </c>
      <c r="D38" s="30" t="n">
        <v>0.2</v>
      </c>
      <c r="E38" s="30" t="n">
        <v>0.5</v>
      </c>
      <c r="F38" s="5" t="inlineStr">
        <is>
          <t>pert</t>
        </is>
      </c>
      <c r="G38" s="5" t="inlineStr">
        <is>
          <t>share</t>
        </is>
      </c>
      <c r="H38" s="5" t="inlineStr">
        <is>
          <t>approved_first</t>
        </is>
      </c>
      <c r="I38" s="5" t="inlineStr">
        <is>
          <t>dist_agreed_v1.csv</t>
        </is>
      </c>
    </row>
    <row r="39">
      <c r="A39" s="2" t="inlineStr"/>
      <c r="B39" s="2" t="inlineStr">
        <is>
          <t>Approved, repeat loan</t>
        </is>
      </c>
      <c r="C39" s="29" t="n">
        <v>0.7</v>
      </c>
      <c r="D39" s="30" t="n">
        <v>0.5</v>
      </c>
      <c r="E39" s="30" t="n">
        <v>0.85</v>
      </c>
      <c r="F39" s="5" t="inlineStr">
        <is>
          <t>pert</t>
        </is>
      </c>
      <c r="G39" s="5" t="inlineStr">
        <is>
          <t>share</t>
        </is>
      </c>
      <c r="H39" s="5" t="inlineStr">
        <is>
          <t>approved_repeat</t>
        </is>
      </c>
      <c r="I39" s="5" t="inlineStr">
        <is>
          <t>dist_agreed_v1.csv</t>
        </is>
      </c>
    </row>
    <row r="40">
      <c r="A40" s="2" t="inlineStr"/>
      <c r="B40" s="2" t="inlineStr">
        <is>
          <t>Loan tenure (months)</t>
        </is>
      </c>
      <c r="C40" s="26" t="n">
        <v>36</v>
      </c>
      <c r="D40" s="27" t="n">
        <v>24</v>
      </c>
      <c r="E40" s="27" t="n">
        <v>48</v>
      </c>
      <c r="F40" s="5" t="inlineStr">
        <is>
          <t>pert</t>
        </is>
      </c>
      <c r="G40" s="5" t="inlineStr">
        <is>
          <t>months</t>
        </is>
      </c>
      <c r="H40" s="5" t="inlineStr">
        <is>
          <t>tenure</t>
        </is>
      </c>
      <c r="I40" s="5" t="inlineStr">
        <is>
          <t>dist_agreed_v1.csv (file matches the operator decision)</t>
        </is>
      </c>
    </row>
    <row r="41">
      <c r="A41" s="2" t="inlineStr"/>
      <c r="B41" s="2" t="inlineStr">
        <is>
          <t>Loan size (Rs)</t>
        </is>
      </c>
      <c r="C41" s="28" t="n">
        <v>250000</v>
      </c>
      <c r="D41" s="27" t="n">
        <v>25000</v>
      </c>
      <c r="E41" s="27" t="n">
        <v>500000</v>
      </c>
      <c r="F41" s="5" t="inlineStr">
        <is>
          <t>pert</t>
        </is>
      </c>
      <c r="G41" s="5" t="inlineStr">
        <is>
          <t>Rs</t>
        </is>
      </c>
      <c r="H41" s="5" t="inlineStr">
        <is>
          <t>ticket</t>
        </is>
      </c>
      <c r="I41" s="5" t="inlineStr">
        <is>
          <t>dist_agreed_v1.csv</t>
        </is>
      </c>
    </row>
    <row r="42">
      <c r="A42" s="2" t="inlineStr"/>
      <c r="B42" s="2" t="inlineStr">
        <is>
          <t>Origination fee</t>
        </is>
      </c>
      <c r="C42" s="29" t="n">
        <v>0.02625</v>
      </c>
      <c r="D42" s="30" t="n">
        <v>0.015</v>
      </c>
      <c r="E42" s="30" t="n">
        <v>0.035</v>
      </c>
      <c r="F42" s="5" t="inlineStr">
        <is>
          <t>pert</t>
        </is>
      </c>
      <c r="G42" s="5" t="inlineStr">
        <is>
          <t>share</t>
        </is>
      </c>
      <c r="H42" s="5" t="inlineStr">
        <is>
          <t>fee</t>
        </is>
      </c>
      <c r="I42" s="5" t="inlineStr">
        <is>
          <t>dist_agreed_v1.csv</t>
        </is>
      </c>
    </row>
    <row r="43">
      <c r="A43" s="2" t="inlineStr"/>
      <c r="B43" s="2" t="inlineStr">
        <is>
          <t>Fees taken back</t>
        </is>
      </c>
      <c r="C43" s="29" t="n">
        <v>0.025</v>
      </c>
      <c r="D43" s="30" t="n">
        <v>0</v>
      </c>
      <c r="E43" s="30" t="n">
        <v>0.05</v>
      </c>
      <c r="F43" s="5" t="inlineStr">
        <is>
          <t>triangular</t>
        </is>
      </c>
      <c r="G43" s="5" t="inlineStr">
        <is>
          <t>share</t>
        </is>
      </c>
      <c r="H43" s="5" t="inlineStr">
        <is>
          <t>taken_back</t>
        </is>
      </c>
      <c r="I43" s="5" t="inlineStr">
        <is>
          <t>dist_agreed_v1.csv</t>
        </is>
      </c>
    </row>
    <row r="44">
      <c r="A44" s="2" t="inlineStr"/>
      <c r="B44" s="2" t="inlineStr">
        <is>
          <t>Loan interest rate a year (EMI basis)</t>
        </is>
      </c>
      <c r="C44" s="29" t="n">
        <v>0.26</v>
      </c>
      <c r="D44" s="30" t="n">
        <v>0.26</v>
      </c>
      <c r="E44" s="30" t="n">
        <v>0.26</v>
      </c>
      <c r="F44" s="5" t="inlineStr">
        <is>
          <t>fixed</t>
        </is>
      </c>
      <c r="G44" s="5" t="inlineStr">
        <is>
          <t>share</t>
        </is>
      </c>
      <c r="H44" s="5" t="inlineStr">
        <is>
          <t>rate</t>
        </is>
      </c>
      <c r="I44" s="5" t="inlineStr">
        <is>
          <t>dist_agreed_v1.csv</t>
        </is>
      </c>
    </row>
    <row r="45">
      <c r="A45" s="2" t="inlineStr"/>
      <c r="B45" s="2" t="inlineStr">
        <is>
          <t>Money lost on loans, after recoveries</t>
        </is>
      </c>
      <c r="C45" s="29" t="n">
        <v>0.03</v>
      </c>
      <c r="D45" s="30" t="n">
        <v>0.015</v>
      </c>
      <c r="E45" s="30" t="n">
        <v>0.05</v>
      </c>
      <c r="F45" s="5" t="inlineStr">
        <is>
          <t>pert</t>
        </is>
      </c>
      <c r="G45" s="5" t="inlineStr">
        <is>
          <t>share</t>
        </is>
      </c>
      <c r="H45" s="5" t="inlineStr">
        <is>
          <t>loss</t>
        </is>
      </c>
      <c r="I45" s="5" t="inlineStr">
        <is>
          <t>dist_agreed_v1.csv</t>
        </is>
      </c>
    </row>
    <row r="46">
      <c r="A46" s="2" t="inlineStr"/>
      <c r="B46" s="2" t="inlineStr">
        <is>
          <t>A saver who stops keeps paying his loan (1 = yes)</t>
        </is>
      </c>
      <c r="C46" s="28" t="n">
        <v>1</v>
      </c>
      <c r="D46" s="27" t="n">
        <v>1</v>
      </c>
      <c r="E46" s="27" t="n">
        <v>1</v>
      </c>
      <c r="F46" s="5" t="inlineStr">
        <is>
          <t>fixed</t>
        </is>
      </c>
      <c r="G46" s="5" t="inlineStr">
        <is>
          <t>1 = yes</t>
        </is>
      </c>
      <c r="H46" s="5" t="inlineStr">
        <is>
          <t>leaver_loan</t>
        </is>
      </c>
      <c r="I46" s="5" t="inlineStr">
        <is>
          <t>dist_agreed_v1.csv</t>
        </is>
      </c>
    </row>
    <row r="47">
      <c r="A47" s="24" t="inlineStr">
        <is>
          <t>Overdue loans (per account)</t>
        </is>
      </c>
      <c r="B47" s="25" t="n"/>
      <c r="C47" s="25" t="n"/>
      <c r="D47" s="25" t="n"/>
      <c r="E47" s="25" t="n"/>
      <c r="F47" s="25" t="n"/>
      <c r="G47" s="25" t="n"/>
      <c r="H47" s="25" t="n"/>
      <c r="I47" s="25" t="n"/>
    </row>
    <row r="48">
      <c r="A48" s="2" t="inlineStr"/>
      <c r="B48" s="2" t="inlineStr">
        <is>
          <t>Share of the loan still owed when it goes 90+ days bad</t>
        </is>
      </c>
      <c r="C48" s="29" t="n">
        <v>0.5</v>
      </c>
      <c r="D48" s="30" t="n">
        <v>0.5</v>
      </c>
      <c r="E48" s="30" t="n">
        <v>0.5</v>
      </c>
      <c r="F48" s="5" t="inlineStr">
        <is>
          <t>fixed</t>
        </is>
      </c>
      <c r="G48" s="5" t="inlineStr">
        <is>
          <t>share</t>
        </is>
      </c>
      <c r="H48" s="5" t="inlineStr">
        <is>
          <t>owed</t>
        </is>
      </c>
      <c r="I48" s="5" t="inlineStr">
        <is>
          <t>dist_agreed_v1.csv</t>
        </is>
      </c>
    </row>
    <row r="49">
      <c r="A49" s="2" t="inlineStr"/>
      <c r="B49" s="2" t="inlineStr">
        <is>
          <t>Recovered after 90 days</t>
        </is>
      </c>
      <c r="C49" s="29" t="n">
        <v>0.35</v>
      </c>
      <c r="D49" s="30" t="n">
        <v>0.3</v>
      </c>
      <c r="E49" s="30" t="n">
        <v>0.5</v>
      </c>
      <c r="F49" s="5" t="inlineStr">
        <is>
          <t>pert</t>
        </is>
      </c>
      <c r="G49" s="5" t="inlineStr">
        <is>
          <t>share</t>
        </is>
      </c>
      <c r="H49" s="5" t="inlineStr">
        <is>
          <t>recovered</t>
        </is>
      </c>
      <c r="I49" s="5" t="inlineStr">
        <is>
          <t>dist_agreed_v1.csv</t>
        </is>
      </c>
    </row>
    <row r="50">
      <c r="A50" s="2" t="inlineStr"/>
      <c r="B50" s="2" t="inlineStr">
        <is>
          <t>Loans that fall 31-90 days behind and our agent brings back</t>
        </is>
      </c>
      <c r="C50" s="29" t="n">
        <v>0.2</v>
      </c>
      <c r="D50" s="30" t="n">
        <v>0.1</v>
      </c>
      <c r="E50" s="30" t="n">
        <v>0.35</v>
      </c>
      <c r="F50" s="5" t="inlineStr">
        <is>
          <t>pert</t>
        </is>
      </c>
      <c r="G50" s="5" t="inlineStr">
        <is>
          <t>share</t>
        </is>
      </c>
      <c r="H50" s="5" t="inlineStr">
        <is>
          <t>early_cured</t>
        </is>
      </c>
      <c r="I50" s="5" t="inlineStr">
        <is>
          <t>dist_agreed_v1.csv</t>
        </is>
      </c>
    </row>
    <row r="51">
      <c r="A51" s="2" t="inlineStr"/>
      <c r="B51" s="2" t="inlineStr">
        <is>
          <t>Our fee per early account brought back (Rs)</t>
        </is>
      </c>
      <c r="C51" s="28" t="n">
        <v>450</v>
      </c>
      <c r="D51" s="27" t="n">
        <v>200</v>
      </c>
      <c r="E51" s="27" t="n">
        <v>1000</v>
      </c>
      <c r="F51" s="5" t="inlineStr">
        <is>
          <t>pert</t>
        </is>
      </c>
      <c r="G51" s="5" t="inlineStr">
        <is>
          <t>Rs an account</t>
        </is>
      </c>
      <c r="H51" s="5" t="inlineStr">
        <is>
          <t>fee_early</t>
        </is>
      </c>
      <c r="I51" s="5" t="inlineStr">
        <is>
          <t>dist_agreed_v1.csv</t>
        </is>
      </c>
    </row>
    <row r="52">
      <c r="A52" s="2" t="inlineStr"/>
      <c r="B52" s="2" t="inlineStr">
        <is>
          <t>Our fee per 90+ account recovered (Rs)</t>
        </is>
      </c>
      <c r="C52" s="28" t="n">
        <v>2500</v>
      </c>
      <c r="D52" s="27" t="n">
        <v>1000</v>
      </c>
      <c r="E52" s="27" t="n">
        <v>5000</v>
      </c>
      <c r="F52" s="5" t="inlineStr">
        <is>
          <t>pert</t>
        </is>
      </c>
      <c r="G52" s="5" t="inlineStr">
        <is>
          <t>Rs an account</t>
        </is>
      </c>
      <c r="H52" s="5" t="inlineStr">
        <is>
          <t>fee_b3</t>
        </is>
      </c>
      <c r="I52" s="5" t="inlineStr">
        <is>
          <t>dist_agreed_v1.csv</t>
        </is>
      </c>
    </row>
    <row r="53">
      <c r="A53" s="24" t="inlineStr">
        <is>
          <t>Cards</t>
        </is>
      </c>
      <c r="B53" s="25" t="n"/>
      <c r="C53" s="25" t="n"/>
      <c r="D53" s="25" t="n"/>
      <c r="E53" s="25" t="n"/>
      <c r="F53" s="25" t="n"/>
      <c r="G53" s="25" t="n"/>
      <c r="H53" s="25" t="n"/>
      <c r="I53" s="25" t="n"/>
    </row>
    <row r="54">
      <c r="A54" s="2" t="inlineStr"/>
      <c r="B54" s="2" t="inlineStr">
        <is>
          <t>Savers reaching month 7 who get a card</t>
        </is>
      </c>
      <c r="C54" s="31" t="n">
        <v>0.03</v>
      </c>
      <c r="D54" s="30" t="n">
        <v>0.01</v>
      </c>
      <c r="E54" s="30" t="n">
        <v>0.06</v>
      </c>
      <c r="F54" s="5" t="inlineStr">
        <is>
          <t>pert</t>
        </is>
      </c>
      <c r="G54" s="5" t="inlineStr">
        <is>
          <t>share</t>
        </is>
      </c>
      <c r="H54" s="5" t="inlineStr">
        <is>
          <t>card_share</t>
        </is>
      </c>
      <c r="I54" s="5" t="inlineStr">
        <is>
          <t>dist_agreed_v1.csv (file matches the operator decision)</t>
        </is>
      </c>
    </row>
    <row r="55">
      <c r="A55" s="2" t="inlineStr"/>
      <c r="B55" s="2" t="inlineStr">
        <is>
          <t>Fee per card (Rs)</t>
        </is>
      </c>
      <c r="C55" s="28" t="n">
        <v>1000</v>
      </c>
      <c r="D55" s="27" t="n">
        <v>300</v>
      </c>
      <c r="E55" s="27" t="n">
        <v>2000</v>
      </c>
      <c r="F55" s="5" t="inlineStr">
        <is>
          <t>pert</t>
        </is>
      </c>
      <c r="G55" s="5" t="inlineStr">
        <is>
          <t>Rs a card</t>
        </is>
      </c>
      <c r="H55" s="5" t="inlineStr">
        <is>
          <t>card_fee</t>
        </is>
      </c>
      <c r="I55" s="5" t="inlineStr">
        <is>
          <t>dist_agreed_v1.csv</t>
        </is>
      </c>
    </row>
    <row r="56">
      <c r="A56" s="24" t="inlineStr">
        <is>
          <t>Cross-sell: Small health / hospital cash</t>
        </is>
      </c>
      <c r="B56" s="25" t="n"/>
      <c r="C56" s="25" t="n"/>
      <c r="D56" s="25" t="n"/>
      <c r="E56" s="25" t="n"/>
      <c r="F56" s="25" t="n"/>
      <c r="G56" s="25" t="n"/>
      <c r="H56" s="25" t="n"/>
      <c r="I56" s="25" t="n"/>
    </row>
    <row r="57">
      <c r="A57" s="2" t="inlineStr"/>
      <c r="B57" s="2" t="inlineStr">
        <is>
          <t>Small health / hospital cash: take-up a year (savers offered who don't hold it)</t>
        </is>
      </c>
      <c r="C57" s="29" t="n">
        <v>0.06</v>
      </c>
      <c r="D57" s="30" t="n">
        <v>0.02</v>
      </c>
      <c r="E57" s="30" t="n">
        <v>0.15</v>
      </c>
      <c r="F57" s="5" t="inlineStr">
        <is>
          <t>pert</t>
        </is>
      </c>
      <c r="G57" s="5" t="inlineStr">
        <is>
          <t>share a year</t>
        </is>
      </c>
      <c r="H57" s="5" t="inlineStr">
        <is>
          <t>hlth_small_takeup</t>
        </is>
      </c>
      <c r="I57" s="5" t="inlineStr">
        <is>
          <t>dist_agreed_v1.csv</t>
        </is>
      </c>
    </row>
    <row r="58">
      <c r="A58" s="2" t="inlineStr"/>
      <c r="B58" s="2" t="inlineStr">
        <is>
          <t>Small health / hospital cash: ticket</t>
        </is>
      </c>
      <c r="C58" s="28" t="n">
        <v>800</v>
      </c>
      <c r="D58" s="27" t="n">
        <v>300</v>
      </c>
      <c r="E58" s="27" t="n">
        <v>1500</v>
      </c>
      <c r="F58" s="5" t="inlineStr">
        <is>
          <t>pert</t>
        </is>
      </c>
      <c r="G58" s="5" t="inlineStr">
        <is>
          <t>Rs</t>
        </is>
      </c>
      <c r="H58" s="5" t="inlineStr">
        <is>
          <t>hlth_small_ticket</t>
        </is>
      </c>
      <c r="I58" s="5" t="inlineStr">
        <is>
          <t>dist_agreed_v1.csv</t>
        </is>
      </c>
    </row>
    <row r="59">
      <c r="A59" s="2" t="inlineStr"/>
      <c r="B59" s="2" t="inlineStr">
        <is>
          <t>Small health / hospital cash: our commission</t>
        </is>
      </c>
      <c r="C59" s="34" t="n">
        <v>0.14</v>
      </c>
      <c r="D59" s="33" t="n">
        <v>0.1</v>
      </c>
      <c r="E59" s="33" t="n">
        <v>0.15</v>
      </c>
      <c r="F59" s="5" t="inlineStr">
        <is>
          <t>pert</t>
        </is>
      </c>
      <c r="G59" s="5" t="inlineStr">
        <is>
          <t>share</t>
        </is>
      </c>
      <c r="H59" s="5" t="inlineStr">
        <is>
          <t>hlth_small_comm</t>
        </is>
      </c>
      <c r="I59" s="5" t="inlineStr">
        <is>
          <t>dist_agreed_v1.csv</t>
        </is>
      </c>
    </row>
    <row r="60">
      <c r="A60" s="2" t="inlineStr"/>
      <c r="B60" s="2" t="inlineStr">
        <is>
          <t>Small health / hospital cash: renews / continues a year</t>
        </is>
      </c>
      <c r="C60" s="29" t="n">
        <v>0.5</v>
      </c>
      <c r="D60" s="30" t="n">
        <v>0.3</v>
      </c>
      <c r="E60" s="30" t="n">
        <v>0.7</v>
      </c>
      <c r="F60" s="5" t="inlineStr">
        <is>
          <t>pert</t>
        </is>
      </c>
      <c r="G60" s="5" t="inlineStr">
        <is>
          <t>share</t>
        </is>
      </c>
      <c r="H60" s="5" t="inlineStr">
        <is>
          <t>hlth_small_renew</t>
        </is>
      </c>
      <c r="I60" s="5" t="inlineStr">
        <is>
          <t>dist_agreed_v1.csv</t>
        </is>
      </c>
    </row>
    <row r="61">
      <c r="A61" s="2" t="inlineStr"/>
      <c r="B61" s="2" t="inlineStr">
        <is>
          <t>Small health / hospital cash: renewal commission</t>
        </is>
      </c>
      <c r="C61" s="34" t="n">
        <v>0.05</v>
      </c>
      <c r="D61" s="33" t="n">
        <v>0.05</v>
      </c>
      <c r="E61" s="33" t="n">
        <v>0.05</v>
      </c>
      <c r="F61" s="5" t="inlineStr">
        <is>
          <t>fixed</t>
        </is>
      </c>
      <c r="G61" s="5" t="inlineStr">
        <is>
          <t>share</t>
        </is>
      </c>
      <c r="H61" s="5" t="inlineStr">
        <is>
          <t>hlth_small_renew_comm</t>
        </is>
      </c>
      <c r="I61" s="5" t="inlineStr">
        <is>
          <t>dist_agreed_v1.csv</t>
        </is>
      </c>
    </row>
    <row r="62">
      <c r="A62" s="24" t="inlineStr">
        <is>
          <t>Cross-sell: Family health cover</t>
        </is>
      </c>
      <c r="B62" s="25" t="n"/>
      <c r="C62" s="25" t="n"/>
      <c r="D62" s="25" t="n"/>
      <c r="E62" s="25" t="n"/>
      <c r="F62" s="25" t="n"/>
      <c r="G62" s="25" t="n"/>
      <c r="H62" s="25" t="n"/>
      <c r="I62" s="25" t="n"/>
    </row>
    <row r="63">
      <c r="A63" s="2" t="inlineStr"/>
      <c r="B63" s="2" t="inlineStr">
        <is>
          <t>Family health cover: take-up a year (savers offered who don't hold it)</t>
        </is>
      </c>
      <c r="C63" s="29" t="n">
        <v>0.02</v>
      </c>
      <c r="D63" s="30" t="n">
        <v>0.005</v>
      </c>
      <c r="E63" s="30" t="n">
        <v>0.05</v>
      </c>
      <c r="F63" s="5" t="inlineStr">
        <is>
          <t>pert</t>
        </is>
      </c>
      <c r="G63" s="5" t="inlineStr">
        <is>
          <t>share a year</t>
        </is>
      </c>
      <c r="H63" s="5" t="inlineStr">
        <is>
          <t>hlth_family_takeup</t>
        </is>
      </c>
      <c r="I63" s="5" t="inlineStr">
        <is>
          <t>dist_agreed_v1.csv</t>
        </is>
      </c>
    </row>
    <row r="64">
      <c r="A64" s="2" t="inlineStr"/>
      <c r="B64" s="2" t="inlineStr">
        <is>
          <t>Family health cover: ticket</t>
        </is>
      </c>
      <c r="C64" s="28" t="n">
        <v>8000</v>
      </c>
      <c r="D64" s="27" t="n">
        <v>5500</v>
      </c>
      <c r="E64" s="27" t="n">
        <v>15000</v>
      </c>
      <c r="F64" s="5" t="inlineStr">
        <is>
          <t>pert</t>
        </is>
      </c>
      <c r="G64" s="5" t="inlineStr">
        <is>
          <t>Rs</t>
        </is>
      </c>
      <c r="H64" s="5" t="inlineStr">
        <is>
          <t>hlth_family_ticket</t>
        </is>
      </c>
      <c r="I64" s="5" t="inlineStr">
        <is>
          <t>dist_agreed_v1.csv</t>
        </is>
      </c>
    </row>
    <row r="65">
      <c r="A65" s="2" t="inlineStr"/>
      <c r="B65" s="2" t="inlineStr">
        <is>
          <t>Family health cover: our commission</t>
        </is>
      </c>
      <c r="C65" s="34" t="n">
        <v>0.14</v>
      </c>
      <c r="D65" s="33" t="n">
        <v>0.1</v>
      </c>
      <c r="E65" s="33" t="n">
        <v>0.15</v>
      </c>
      <c r="F65" s="5" t="inlineStr">
        <is>
          <t>pert</t>
        </is>
      </c>
      <c r="G65" s="5" t="inlineStr">
        <is>
          <t>share</t>
        </is>
      </c>
      <c r="H65" s="5" t="inlineStr">
        <is>
          <t>hlth_family_comm</t>
        </is>
      </c>
      <c r="I65" s="5" t="inlineStr">
        <is>
          <t>dist_agreed_v1.csv</t>
        </is>
      </c>
    </row>
    <row r="66">
      <c r="A66" s="2" t="inlineStr"/>
      <c r="B66" s="2" t="inlineStr">
        <is>
          <t>Family health cover: renews / continues a year</t>
        </is>
      </c>
      <c r="C66" s="29" t="n">
        <v>0.75</v>
      </c>
      <c r="D66" s="30" t="n">
        <v>0.6</v>
      </c>
      <c r="E66" s="30" t="n">
        <v>0.89</v>
      </c>
      <c r="F66" s="5" t="inlineStr">
        <is>
          <t>pert</t>
        </is>
      </c>
      <c r="G66" s="5" t="inlineStr">
        <is>
          <t>share</t>
        </is>
      </c>
      <c r="H66" s="5" t="inlineStr">
        <is>
          <t>hlth_family_renew</t>
        </is>
      </c>
      <c r="I66" s="5" t="inlineStr">
        <is>
          <t>dist_agreed_v1.csv</t>
        </is>
      </c>
    </row>
    <row r="67">
      <c r="A67" s="2" t="inlineStr"/>
      <c r="B67" s="2" t="inlineStr">
        <is>
          <t>Family health cover: renewal commission</t>
        </is>
      </c>
      <c r="C67" s="34" t="n">
        <v>0.05</v>
      </c>
      <c r="D67" s="33" t="n">
        <v>0.05</v>
      </c>
      <c r="E67" s="33" t="n">
        <v>0.05</v>
      </c>
      <c r="F67" s="5" t="inlineStr">
        <is>
          <t>fixed</t>
        </is>
      </c>
      <c r="G67" s="5" t="inlineStr">
        <is>
          <t>share</t>
        </is>
      </c>
      <c r="H67" s="5" t="inlineStr">
        <is>
          <t>hlth_family_renew_comm</t>
        </is>
      </c>
      <c r="I67" s="5" t="inlineStr">
        <is>
          <t>dist_agreed_v1.csv</t>
        </is>
      </c>
    </row>
    <row r="68">
      <c r="A68" s="24" t="inlineStr">
        <is>
          <t>Cross-sell: Term life (small cover)</t>
        </is>
      </c>
      <c r="B68" s="25" t="n"/>
      <c r="C68" s="25" t="n"/>
      <c r="D68" s="25" t="n"/>
      <c r="E68" s="25" t="n"/>
      <c r="F68" s="25" t="n"/>
      <c r="G68" s="25" t="n"/>
      <c r="H68" s="25" t="n"/>
      <c r="I68" s="25" t="n"/>
    </row>
    <row r="69">
      <c r="A69" s="2" t="inlineStr"/>
      <c r="B69" s="2" t="inlineStr">
        <is>
          <t>Term life (small cover): take-up a year (savers offered who don't hold it)</t>
        </is>
      </c>
      <c r="C69" s="29" t="n">
        <v>0.03</v>
      </c>
      <c r="D69" s="30" t="n">
        <v>0.01</v>
      </c>
      <c r="E69" s="30" t="n">
        <v>0.06</v>
      </c>
      <c r="F69" s="5" t="inlineStr">
        <is>
          <t>pert</t>
        </is>
      </c>
      <c r="G69" s="5" t="inlineStr">
        <is>
          <t>share a year</t>
        </is>
      </c>
      <c r="H69" s="5" t="inlineStr">
        <is>
          <t>life_term_takeup</t>
        </is>
      </c>
      <c r="I69" s="5" t="inlineStr">
        <is>
          <t>dist_agreed_v1.csv</t>
        </is>
      </c>
    </row>
    <row r="70">
      <c r="A70" s="2" t="inlineStr"/>
      <c r="B70" s="2" t="inlineStr">
        <is>
          <t>Term life (small cover): ticket</t>
        </is>
      </c>
      <c r="C70" s="28" t="n">
        <v>1000</v>
      </c>
      <c r="D70" s="27" t="n">
        <v>500</v>
      </c>
      <c r="E70" s="27" t="n">
        <v>2000</v>
      </c>
      <c r="F70" s="5" t="inlineStr">
        <is>
          <t>pert</t>
        </is>
      </c>
      <c r="G70" s="5" t="inlineStr">
        <is>
          <t>Rs</t>
        </is>
      </c>
      <c r="H70" s="5" t="inlineStr">
        <is>
          <t>life_term_ticket</t>
        </is>
      </c>
      <c r="I70" s="5" t="inlineStr">
        <is>
          <t>dist_agreed_v1.csv</t>
        </is>
      </c>
    </row>
    <row r="71">
      <c r="A71" s="2" t="inlineStr"/>
      <c r="B71" s="2" t="inlineStr">
        <is>
          <t>Term life (small cover): our commission</t>
        </is>
      </c>
      <c r="C71" s="34" t="n">
        <v>0.2</v>
      </c>
      <c r="D71" s="33" t="n">
        <v>0.075</v>
      </c>
      <c r="E71" s="33" t="n">
        <v>0.25</v>
      </c>
      <c r="F71" s="5" t="inlineStr">
        <is>
          <t>pert</t>
        </is>
      </c>
      <c r="G71" s="5" t="inlineStr">
        <is>
          <t>share</t>
        </is>
      </c>
      <c r="H71" s="5" t="inlineStr">
        <is>
          <t>life_term_comm</t>
        </is>
      </c>
      <c r="I71" s="5" t="inlineStr">
        <is>
          <t>dist_agreed_v1.csv</t>
        </is>
      </c>
    </row>
    <row r="72">
      <c r="A72" s="2" t="inlineStr"/>
      <c r="B72" s="2" t="inlineStr">
        <is>
          <t>Term life (small cover): renews / continues a year</t>
        </is>
      </c>
      <c r="C72" s="29" t="n">
        <v>0.75</v>
      </c>
      <c r="D72" s="30" t="n">
        <v>0.6</v>
      </c>
      <c r="E72" s="30" t="n">
        <v>0.85</v>
      </c>
      <c r="F72" s="5" t="inlineStr">
        <is>
          <t>pert</t>
        </is>
      </c>
      <c r="G72" s="5" t="inlineStr">
        <is>
          <t>share</t>
        </is>
      </c>
      <c r="H72" s="5" t="inlineStr">
        <is>
          <t>life_term_renew</t>
        </is>
      </c>
      <c r="I72" s="5" t="inlineStr">
        <is>
          <t>dist_agreed_v1.csv</t>
        </is>
      </c>
    </row>
    <row r="73">
      <c r="A73" s="2" t="inlineStr"/>
      <c r="B73" s="2" t="inlineStr">
        <is>
          <t>Term life (small cover): renewal commission</t>
        </is>
      </c>
      <c r="C73" s="34" t="n">
        <v>0.075</v>
      </c>
      <c r="D73" s="33" t="n">
        <v>0.075</v>
      </c>
      <c r="E73" s="33" t="n">
        <v>0.075</v>
      </c>
      <c r="F73" s="5" t="inlineStr">
        <is>
          <t>fixed</t>
        </is>
      </c>
      <c r="G73" s="5" t="inlineStr">
        <is>
          <t>share</t>
        </is>
      </c>
      <c r="H73" s="5" t="inlineStr">
        <is>
          <t>life_term_renew_comm</t>
        </is>
      </c>
      <c r="I73" s="5" t="inlineStr">
        <is>
          <t>dist_agreed_v1.csv</t>
        </is>
      </c>
    </row>
    <row r="74">
      <c r="A74" s="24" t="inlineStr">
        <is>
          <t>Cross-sell: Personal accident</t>
        </is>
      </c>
      <c r="B74" s="25" t="n"/>
      <c r="C74" s="25" t="n"/>
      <c r="D74" s="25" t="n"/>
      <c r="E74" s="25" t="n"/>
      <c r="F74" s="25" t="n"/>
      <c r="G74" s="25" t="n"/>
      <c r="H74" s="25" t="n"/>
      <c r="I74" s="25" t="n"/>
    </row>
    <row r="75">
      <c r="A75" s="2" t="inlineStr"/>
      <c r="B75" s="2" t="inlineStr">
        <is>
          <t>Personal accident: take-up a year (savers offered who don't hold it)</t>
        </is>
      </c>
      <c r="C75" s="29" t="n">
        <v>0.05</v>
      </c>
      <c r="D75" s="30" t="n">
        <v>0.02</v>
      </c>
      <c r="E75" s="30" t="n">
        <v>0.1</v>
      </c>
      <c r="F75" s="5" t="inlineStr">
        <is>
          <t>pert</t>
        </is>
      </c>
      <c r="G75" s="5" t="inlineStr">
        <is>
          <t>share a year</t>
        </is>
      </c>
      <c r="H75" s="5" t="inlineStr">
        <is>
          <t>accident_takeup</t>
        </is>
      </c>
      <c r="I75" s="5" t="inlineStr">
        <is>
          <t>dist_agreed_v1.csv</t>
        </is>
      </c>
    </row>
    <row r="76">
      <c r="A76" s="2" t="inlineStr"/>
      <c r="B76" s="2" t="inlineStr">
        <is>
          <t>Personal accident: ticket</t>
        </is>
      </c>
      <c r="C76" s="28" t="n">
        <v>250</v>
      </c>
      <c r="D76" s="27" t="n">
        <v>100</v>
      </c>
      <c r="E76" s="27" t="n">
        <v>500</v>
      </c>
      <c r="F76" s="5" t="inlineStr">
        <is>
          <t>pert</t>
        </is>
      </c>
      <c r="G76" s="5" t="inlineStr">
        <is>
          <t>Rs</t>
        </is>
      </c>
      <c r="H76" s="5" t="inlineStr">
        <is>
          <t>accident_ticket</t>
        </is>
      </c>
      <c r="I76" s="5" t="inlineStr">
        <is>
          <t>dist_agreed_v1.csv</t>
        </is>
      </c>
    </row>
    <row r="77">
      <c r="A77" s="2" t="inlineStr"/>
      <c r="B77" s="2" t="inlineStr">
        <is>
          <t>Personal accident: our commission</t>
        </is>
      </c>
      <c r="C77" s="34" t="n">
        <v>0.14</v>
      </c>
      <c r="D77" s="33" t="n">
        <v>0.1</v>
      </c>
      <c r="E77" s="33" t="n">
        <v>0.15</v>
      </c>
      <c r="F77" s="5" t="inlineStr">
        <is>
          <t>pert</t>
        </is>
      </c>
      <c r="G77" s="5" t="inlineStr">
        <is>
          <t>share</t>
        </is>
      </c>
      <c r="H77" s="5" t="inlineStr">
        <is>
          <t>accident_comm</t>
        </is>
      </c>
      <c r="I77" s="5" t="inlineStr">
        <is>
          <t>dist_agreed_v1.csv</t>
        </is>
      </c>
    </row>
    <row r="78">
      <c r="A78" s="2" t="inlineStr"/>
      <c r="B78" s="2" t="inlineStr">
        <is>
          <t>Personal accident: renews / continues a year</t>
        </is>
      </c>
      <c r="C78" s="29" t="n">
        <v>0.5</v>
      </c>
      <c r="D78" s="30" t="n">
        <v>0.3</v>
      </c>
      <c r="E78" s="30" t="n">
        <v>0.7</v>
      </c>
      <c r="F78" s="5" t="inlineStr">
        <is>
          <t>pert</t>
        </is>
      </c>
      <c r="G78" s="5" t="inlineStr">
        <is>
          <t>share</t>
        </is>
      </c>
      <c r="H78" s="5" t="inlineStr">
        <is>
          <t>accident_renew</t>
        </is>
      </c>
      <c r="I78" s="5" t="inlineStr">
        <is>
          <t>dist_agreed_v1.csv</t>
        </is>
      </c>
    </row>
    <row r="79">
      <c r="A79" s="2" t="inlineStr"/>
      <c r="B79" s="2" t="inlineStr">
        <is>
          <t>Personal accident: renewal commission</t>
        </is>
      </c>
      <c r="C79" s="34" t="n">
        <v>0.05</v>
      </c>
      <c r="D79" s="33" t="n">
        <v>0.05</v>
      </c>
      <c r="E79" s="33" t="n">
        <v>0.05</v>
      </c>
      <c r="F79" s="5" t="inlineStr">
        <is>
          <t>fixed</t>
        </is>
      </c>
      <c r="G79" s="5" t="inlineStr">
        <is>
          <t>share</t>
        </is>
      </c>
      <c r="H79" s="5" t="inlineStr">
        <is>
          <t>accident_renew_comm</t>
        </is>
      </c>
      <c r="I79" s="5" t="inlineStr">
        <is>
          <t>dist_agreed_v1.csv</t>
        </is>
      </c>
    </row>
    <row r="80">
      <c r="A80" s="24" t="inlineStr">
        <is>
          <t>Cross-sell: Two-wheeler insurance</t>
        </is>
      </c>
      <c r="B80" s="25" t="n"/>
      <c r="C80" s="25" t="n"/>
      <c r="D80" s="25" t="n"/>
      <c r="E80" s="25" t="n"/>
      <c r="F80" s="25" t="n"/>
      <c r="G80" s="25" t="n"/>
      <c r="H80" s="25" t="n"/>
      <c r="I80" s="25" t="n"/>
    </row>
    <row r="81">
      <c r="A81" s="2" t="inlineStr"/>
      <c r="B81" s="2" t="inlineStr">
        <is>
          <t>Two-wheeler insurance: take-up a year (savers offered who don't hold it)</t>
        </is>
      </c>
      <c r="C81" s="29" t="n">
        <v>0.15</v>
      </c>
      <c r="D81" s="30" t="n">
        <v>0.05</v>
      </c>
      <c r="E81" s="30" t="n">
        <v>0.3</v>
      </c>
      <c r="F81" s="5" t="inlineStr">
        <is>
          <t>pert</t>
        </is>
      </c>
      <c r="G81" s="5" t="inlineStr">
        <is>
          <t>share a year</t>
        </is>
      </c>
      <c r="H81" s="5" t="inlineStr">
        <is>
          <t>two_wheeler_takeup</t>
        </is>
      </c>
      <c r="I81" s="5" t="inlineStr">
        <is>
          <t>dist_agreed_v1.csv</t>
        </is>
      </c>
    </row>
    <row r="82">
      <c r="A82" s="2" t="inlineStr"/>
      <c r="B82" s="2" t="inlineStr">
        <is>
          <t>Two-wheeler insurance: ticket</t>
        </is>
      </c>
      <c r="C82" s="28" t="n">
        <v>1000</v>
      </c>
      <c r="D82" s="27" t="n">
        <v>714</v>
      </c>
      <c r="E82" s="27" t="n">
        <v>1200</v>
      </c>
      <c r="F82" s="5" t="inlineStr">
        <is>
          <t>pert</t>
        </is>
      </c>
      <c r="G82" s="5" t="inlineStr">
        <is>
          <t>Rs</t>
        </is>
      </c>
      <c r="H82" s="5" t="inlineStr">
        <is>
          <t>two_wheeler_ticket</t>
        </is>
      </c>
      <c r="I82" s="5" t="inlineStr">
        <is>
          <t>dist_agreed_v1.csv</t>
        </is>
      </c>
    </row>
    <row r="83">
      <c r="A83" s="2" t="inlineStr"/>
      <c r="B83" s="2" t="inlineStr">
        <is>
          <t>Two-wheeler insurance: our commission</t>
        </is>
      </c>
      <c r="C83" s="34" t="n">
        <v>0.0475</v>
      </c>
      <c r="D83" s="33" t="n">
        <v>0.025</v>
      </c>
      <c r="E83" s="33" t="n">
        <v>0.0905</v>
      </c>
      <c r="F83" s="5" t="inlineStr">
        <is>
          <t>pert</t>
        </is>
      </c>
      <c r="G83" s="5" t="inlineStr">
        <is>
          <t>share</t>
        </is>
      </c>
      <c r="H83" s="5" t="inlineStr">
        <is>
          <t>two_wheeler_comm</t>
        </is>
      </c>
      <c r="I83" s="5" t="inlineStr">
        <is>
          <t>dist_agreed_v1.csv</t>
        </is>
      </c>
    </row>
    <row r="84">
      <c r="A84" s="2" t="inlineStr"/>
      <c r="B84" s="2" t="inlineStr">
        <is>
          <t>Two-wheeler insurance: renews / continues a year</t>
        </is>
      </c>
      <c r="C84" s="29" t="n">
        <v>0.7</v>
      </c>
      <c r="D84" s="30" t="n">
        <v>0.5</v>
      </c>
      <c r="E84" s="30" t="n">
        <v>0.85</v>
      </c>
      <c r="F84" s="5" t="inlineStr">
        <is>
          <t>pert</t>
        </is>
      </c>
      <c r="G84" s="5" t="inlineStr">
        <is>
          <t>share</t>
        </is>
      </c>
      <c r="H84" s="5" t="inlineStr">
        <is>
          <t>two_wheeler_renew</t>
        </is>
      </c>
      <c r="I84" s="5" t="inlineStr">
        <is>
          <t>dist_agreed_v1.csv</t>
        </is>
      </c>
    </row>
    <row r="85">
      <c r="A85" s="24" t="inlineStr">
        <is>
          <t>Cross-sell: Mobile / device insurance</t>
        </is>
      </c>
      <c r="B85" s="25" t="n"/>
      <c r="C85" s="25" t="n"/>
      <c r="D85" s="25" t="n"/>
      <c r="E85" s="25" t="n"/>
      <c r="F85" s="25" t="n"/>
      <c r="G85" s="25" t="n"/>
      <c r="H85" s="25" t="n"/>
      <c r="I85" s="25" t="n"/>
    </row>
    <row r="86">
      <c r="A86" s="2" t="inlineStr"/>
      <c r="B86" s="2" t="inlineStr">
        <is>
          <t>Mobile / device insurance: take-up a year (savers offered who don't hold it)</t>
        </is>
      </c>
      <c r="C86" s="29" t="n">
        <v>0.03</v>
      </c>
      <c r="D86" s="30" t="n">
        <v>0.01</v>
      </c>
      <c r="E86" s="30" t="n">
        <v>0.06</v>
      </c>
      <c r="F86" s="5" t="inlineStr">
        <is>
          <t>pert</t>
        </is>
      </c>
      <c r="G86" s="5" t="inlineStr">
        <is>
          <t>share a year</t>
        </is>
      </c>
      <c r="H86" s="5" t="inlineStr">
        <is>
          <t>device_takeup</t>
        </is>
      </c>
      <c r="I86" s="5" t="inlineStr">
        <is>
          <t>dist_agreed_v1.csv</t>
        </is>
      </c>
    </row>
    <row r="87">
      <c r="A87" s="2" t="inlineStr"/>
      <c r="B87" s="2" t="inlineStr">
        <is>
          <t>Mobile / device insurance: ticket</t>
        </is>
      </c>
      <c r="C87" s="28" t="n">
        <v>500</v>
      </c>
      <c r="D87" s="27" t="n">
        <v>209</v>
      </c>
      <c r="E87" s="27" t="n">
        <v>899</v>
      </c>
      <c r="F87" s="5" t="inlineStr">
        <is>
          <t>triangular</t>
        </is>
      </c>
      <c r="G87" s="5" t="inlineStr">
        <is>
          <t>Rs</t>
        </is>
      </c>
      <c r="H87" s="5" t="inlineStr">
        <is>
          <t>device_ticket</t>
        </is>
      </c>
      <c r="I87" s="5" t="inlineStr">
        <is>
          <t>dist_agreed_v1.csv</t>
        </is>
      </c>
    </row>
    <row r="88">
      <c r="A88" s="2" t="inlineStr"/>
      <c r="B88" s="2" t="inlineStr">
        <is>
          <t>Mobile / device insurance: our commission</t>
        </is>
      </c>
      <c r="C88" s="34" t="n">
        <v>0.13</v>
      </c>
      <c r="D88" s="33" t="n">
        <v>0.1</v>
      </c>
      <c r="E88" s="33" t="n">
        <v>0.15</v>
      </c>
      <c r="F88" s="5" t="inlineStr">
        <is>
          <t>pert</t>
        </is>
      </c>
      <c r="G88" s="5" t="inlineStr">
        <is>
          <t>share</t>
        </is>
      </c>
      <c r="H88" s="5" t="inlineStr">
        <is>
          <t>device_comm</t>
        </is>
      </c>
      <c r="I88" s="5" t="inlineStr">
        <is>
          <t>dist_agreed_v1.csv</t>
        </is>
      </c>
    </row>
    <row r="89">
      <c r="A89" s="24" t="inlineStr">
        <is>
          <t>Cross-sell: Shop insurance (fire and burglary)</t>
        </is>
      </c>
      <c r="B89" s="25" t="n"/>
      <c r="C89" s="25" t="n"/>
      <c r="D89" s="25" t="n"/>
      <c r="E89" s="25" t="n"/>
      <c r="F89" s="25" t="n"/>
      <c r="G89" s="25" t="n"/>
      <c r="H89" s="25" t="n"/>
      <c r="I89" s="25" t="n"/>
    </row>
    <row r="90">
      <c r="A90" s="2" t="inlineStr"/>
      <c r="B90" s="2" t="inlineStr">
        <is>
          <t>Shop insurance (fire and burglary): take-up a year (savers offered who don't hold it)</t>
        </is>
      </c>
      <c r="C90" s="29" t="n">
        <v>0.03</v>
      </c>
      <c r="D90" s="30" t="n">
        <v>0.01</v>
      </c>
      <c r="E90" s="30" t="n">
        <v>0.08</v>
      </c>
      <c r="F90" s="5" t="inlineStr">
        <is>
          <t>pert</t>
        </is>
      </c>
      <c r="G90" s="5" t="inlineStr">
        <is>
          <t>share a year</t>
        </is>
      </c>
      <c r="H90" s="5" t="inlineStr">
        <is>
          <t>shop_takeup</t>
        </is>
      </c>
      <c r="I90" s="5" t="inlineStr">
        <is>
          <t>dist_agreed_v1.csv</t>
        </is>
      </c>
    </row>
    <row r="91">
      <c r="A91" s="2" t="inlineStr"/>
      <c r="B91" s="2" t="inlineStr">
        <is>
          <t>Shop insurance (fire and burglary): ticket</t>
        </is>
      </c>
      <c r="C91" s="28" t="n">
        <v>700</v>
      </c>
      <c r="D91" s="27" t="n">
        <v>250</v>
      </c>
      <c r="E91" s="27" t="n">
        <v>2600</v>
      </c>
      <c r="F91" s="5" t="inlineStr">
        <is>
          <t>pert</t>
        </is>
      </c>
      <c r="G91" s="5" t="inlineStr">
        <is>
          <t>Rs</t>
        </is>
      </c>
      <c r="H91" s="5" t="inlineStr">
        <is>
          <t>shop_ticket</t>
        </is>
      </c>
      <c r="I91" s="5" t="inlineStr">
        <is>
          <t>dist_agreed_v1.csv</t>
        </is>
      </c>
    </row>
    <row r="92">
      <c r="A92" s="2" t="inlineStr"/>
      <c r="B92" s="2" t="inlineStr">
        <is>
          <t>Shop insurance (fire and burglary): our commission</t>
        </is>
      </c>
      <c r="C92" s="34" t="n">
        <v>0.14</v>
      </c>
      <c r="D92" s="33" t="n">
        <v>0.1</v>
      </c>
      <c r="E92" s="33" t="n">
        <v>0.15</v>
      </c>
      <c r="F92" s="5" t="inlineStr">
        <is>
          <t>pert</t>
        </is>
      </c>
      <c r="G92" s="5" t="inlineStr">
        <is>
          <t>share</t>
        </is>
      </c>
      <c r="H92" s="5" t="inlineStr">
        <is>
          <t>shop_comm</t>
        </is>
      </c>
      <c r="I92" s="5" t="inlineStr">
        <is>
          <t>dist_agreed_v1.csv</t>
        </is>
      </c>
    </row>
    <row r="93">
      <c r="A93" s="2" t="inlineStr"/>
      <c r="B93" s="2" t="inlineStr">
        <is>
          <t>Shop insurance (fire and burglary): renews / continues a year</t>
        </is>
      </c>
      <c r="C93" s="29" t="n">
        <v>0.65</v>
      </c>
      <c r="D93" s="30" t="n">
        <v>0.5</v>
      </c>
      <c r="E93" s="30" t="n">
        <v>0.8</v>
      </c>
      <c r="F93" s="5" t="inlineStr">
        <is>
          <t>pert</t>
        </is>
      </c>
      <c r="G93" s="5" t="inlineStr">
        <is>
          <t>share</t>
        </is>
      </c>
      <c r="H93" s="5" t="inlineStr">
        <is>
          <t>shop_renew</t>
        </is>
      </c>
      <c r="I93" s="5" t="inlineStr">
        <is>
          <t>dist_agreed_v1.csv</t>
        </is>
      </c>
    </row>
    <row r="94">
      <c r="A94" s="2" t="inlineStr"/>
      <c r="B94" s="2" t="inlineStr">
        <is>
          <t>Shop insurance (fire and burglary): renewal commission</t>
        </is>
      </c>
      <c r="C94" s="34" t="n">
        <v>0.05</v>
      </c>
      <c r="D94" s="33" t="n">
        <v>0.05</v>
      </c>
      <c r="E94" s="33" t="n">
        <v>0.05</v>
      </c>
      <c r="F94" s="5" t="inlineStr">
        <is>
          <t>fixed</t>
        </is>
      </c>
      <c r="G94" s="5" t="inlineStr">
        <is>
          <t>share</t>
        </is>
      </c>
      <c r="H94" s="5" t="inlineStr">
        <is>
          <t>shop_renew_comm</t>
        </is>
      </c>
      <c r="I94" s="5" t="inlineStr">
        <is>
          <t>dist_agreed_v1.csv</t>
        </is>
      </c>
    </row>
    <row r="95">
      <c r="A95" s="24" t="inlineStr">
        <is>
          <t>Cross-sell: Equity/hybrid SIP trail</t>
        </is>
      </c>
      <c r="B95" s="25" t="n"/>
      <c r="C95" s="25" t="n"/>
      <c r="D95" s="25" t="n"/>
      <c r="E95" s="25" t="n"/>
      <c r="F95" s="25" t="n"/>
      <c r="G95" s="25" t="n"/>
      <c r="H95" s="25" t="n"/>
      <c r="I95" s="25" t="n"/>
    </row>
    <row r="96">
      <c r="A96" s="2" t="inlineStr"/>
      <c r="B96" s="2" t="inlineStr">
        <is>
          <t>Equity/hybrid SIP trail: take-up a year (savers offered who don't hold it)</t>
        </is>
      </c>
      <c r="C96" s="29" t="n">
        <v>0.1</v>
      </c>
      <c r="D96" s="30" t="n">
        <v>0.05</v>
      </c>
      <c r="E96" s="30" t="n">
        <v>0.2</v>
      </c>
      <c r="F96" s="5" t="inlineStr">
        <is>
          <t>pert</t>
        </is>
      </c>
      <c r="G96" s="5" t="inlineStr">
        <is>
          <t>share a year</t>
        </is>
      </c>
      <c r="H96" s="5" t="inlineStr">
        <is>
          <t>sip_takeup</t>
        </is>
      </c>
      <c r="I96" s="5" t="inlineStr">
        <is>
          <t>dist_agreed_v1.csv</t>
        </is>
      </c>
    </row>
    <row r="97">
      <c r="A97" s="2" t="inlineStr"/>
      <c r="B97" s="2" t="inlineStr">
        <is>
          <t>Equity/hybrid SIP trail: SIP a month (Rs)</t>
        </is>
      </c>
      <c r="C97" s="28" t="n">
        <v>500</v>
      </c>
      <c r="D97" s="27" t="n">
        <v>250</v>
      </c>
      <c r="E97" s="27" t="n">
        <v>1000</v>
      </c>
      <c r="F97" s="5" t="inlineStr">
        <is>
          <t>pert</t>
        </is>
      </c>
      <c r="G97" s="5" t="inlineStr">
        <is>
          <t>Rs</t>
        </is>
      </c>
      <c r="H97" s="5" t="inlineStr">
        <is>
          <t>sip_ticket</t>
        </is>
      </c>
      <c r="I97" s="5" t="inlineStr">
        <is>
          <t>dist_agreed_v1.csv</t>
        </is>
      </c>
    </row>
    <row r="98">
      <c r="A98" s="2" t="inlineStr"/>
      <c r="B98" s="2" t="inlineStr">
        <is>
          <t>Equity/hybrid SIP trail: trail a year, of the SIP balance</t>
        </is>
      </c>
      <c r="C98" s="34" t="n">
        <v>0.0075</v>
      </c>
      <c r="D98" s="33" t="n">
        <v>0.005</v>
      </c>
      <c r="E98" s="33" t="n">
        <v>0.008999999999999999</v>
      </c>
      <c r="F98" s="5" t="inlineStr">
        <is>
          <t>pert</t>
        </is>
      </c>
      <c r="G98" s="5" t="inlineStr">
        <is>
          <t>share</t>
        </is>
      </c>
      <c r="H98" s="5" t="inlineStr">
        <is>
          <t>sip_comm</t>
        </is>
      </c>
      <c r="I98" s="5" t="inlineStr">
        <is>
          <t>dist_agreed_v1.csv</t>
        </is>
      </c>
    </row>
    <row r="99">
      <c r="A99" s="2" t="inlineStr"/>
      <c r="B99" s="2" t="inlineStr">
        <is>
          <t>Equity/hybrid SIP trail: SIP survives a year</t>
        </is>
      </c>
      <c r="C99" s="29" t="n">
        <v>0.65</v>
      </c>
      <c r="D99" s="30" t="n">
        <v>0.5</v>
      </c>
      <c r="E99" s="30" t="n">
        <v>0.8</v>
      </c>
      <c r="F99" s="5" t="inlineStr">
        <is>
          <t>pert</t>
        </is>
      </c>
      <c r="G99" s="5" t="inlineStr">
        <is>
          <t>share</t>
        </is>
      </c>
      <c r="H99" s="5" t="inlineStr">
        <is>
          <t>sip_renew</t>
        </is>
      </c>
      <c r="I99" s="5" t="inlineStr">
        <is>
          <t>dist_agreed_v1.csv</t>
        </is>
      </c>
    </row>
    <row r="100">
      <c r="A100" s="24" t="inlineStr">
        <is>
          <t>Cross-sell: Choti SIP incentive</t>
        </is>
      </c>
      <c r="B100" s="25" t="n"/>
      <c r="C100" s="25" t="n"/>
      <c r="D100" s="25" t="n"/>
      <c r="E100" s="25" t="n"/>
      <c r="F100" s="25" t="n"/>
      <c r="G100" s="25" t="n"/>
      <c r="H100" s="25" t="n"/>
      <c r="I100" s="25" t="n"/>
    </row>
    <row r="101">
      <c r="A101" s="2" t="inlineStr"/>
      <c r="B101" s="2" t="inlineStr">
        <is>
          <t>Choti SIP incentive: take-up a year (savers offered who don't hold it)</t>
        </is>
      </c>
      <c r="C101" s="29" t="n">
        <v>0.09</v>
      </c>
      <c r="D101" s="30" t="n">
        <v>0.045</v>
      </c>
      <c r="E101" s="30" t="n">
        <v>0.18</v>
      </c>
      <c r="F101" s="5" t="inlineStr">
        <is>
          <t>pert</t>
        </is>
      </c>
      <c r="G101" s="5" t="inlineStr">
        <is>
          <t>share a year</t>
        </is>
      </c>
      <c r="H101" s="5" t="inlineStr">
        <is>
          <t>choti_takeup</t>
        </is>
      </c>
      <c r="I101" s="5" t="inlineStr">
        <is>
          <t>dist_agreed_v1.csv</t>
        </is>
      </c>
    </row>
    <row r="102">
      <c r="A102" s="2" t="inlineStr"/>
      <c r="B102" s="2" t="inlineStr">
        <is>
          <t>Choti SIP incentive: incentive (Rs, once at month 24)</t>
        </is>
      </c>
      <c r="C102" s="28" t="n">
        <v>500</v>
      </c>
      <c r="D102" s="27" t="n">
        <v>500</v>
      </c>
      <c r="E102" s="27" t="n">
        <v>500</v>
      </c>
      <c r="F102" s="5" t="inlineStr">
        <is>
          <t>fixed</t>
        </is>
      </c>
      <c r="G102" s="5" t="inlineStr">
        <is>
          <t>Rs</t>
        </is>
      </c>
      <c r="H102" s="5" t="inlineStr">
        <is>
          <t>choti_ticket</t>
        </is>
      </c>
      <c r="I102" s="5" t="inlineStr">
        <is>
          <t>dist_agreed_v1.csv</t>
        </is>
      </c>
    </row>
    <row r="103">
      <c r="A103" s="2" t="inlineStr"/>
      <c r="B103" s="2" t="inlineStr">
        <is>
          <t>Choti SIP incentive: SIP survives to month 24</t>
        </is>
      </c>
      <c r="C103" s="29" t="n">
        <v>0.25</v>
      </c>
      <c r="D103" s="30" t="n">
        <v>0.15</v>
      </c>
      <c r="E103" s="30" t="n">
        <v>0.4</v>
      </c>
      <c r="F103" s="5" t="inlineStr">
        <is>
          <t>pert</t>
        </is>
      </c>
      <c r="G103" s="5" t="inlineStr">
        <is>
          <t>share</t>
        </is>
      </c>
      <c r="H103" s="5" t="inlineStr">
        <is>
          <t>choti_renew</t>
        </is>
      </c>
      <c r="I103" s="5" t="inlineStr">
        <is>
          <t>dist_agreed_v1.csv (read from choti_survive24)</t>
        </is>
      </c>
    </row>
    <row r="104">
      <c r="A104" s="24" t="inlineStr">
        <is>
          <t>Cross-sell: NPS</t>
        </is>
      </c>
      <c r="B104" s="25" t="n"/>
      <c r="C104" s="25" t="n"/>
      <c r="D104" s="25" t="n"/>
      <c r="E104" s="25" t="n"/>
      <c r="F104" s="25" t="n"/>
      <c r="G104" s="25" t="n"/>
      <c r="H104" s="25" t="n"/>
      <c r="I104" s="25" t="n"/>
    </row>
    <row r="105">
      <c r="A105" s="2" t="inlineStr"/>
      <c r="B105" s="2" t="inlineStr">
        <is>
          <t>NPS: take-up a year (savers offered who don't hold it)</t>
        </is>
      </c>
      <c r="C105" s="29" t="n">
        <v>0.03</v>
      </c>
      <c r="D105" s="30" t="n">
        <v>0.01</v>
      </c>
      <c r="E105" s="30" t="n">
        <v>0.05</v>
      </c>
      <c r="F105" s="5" t="inlineStr">
        <is>
          <t>pert</t>
        </is>
      </c>
      <c r="G105" s="5" t="inlineStr">
        <is>
          <t>share a year</t>
        </is>
      </c>
      <c r="H105" s="5" t="inlineStr">
        <is>
          <t>nps_takeup</t>
        </is>
      </c>
      <c r="I105" s="5" t="inlineStr">
        <is>
          <t>dist_agreed_v1.csv</t>
        </is>
      </c>
    </row>
    <row r="106">
      <c r="A106" s="2" t="inlineStr"/>
      <c r="B106" s="2" t="inlineStr">
        <is>
          <t>NPS: ticket</t>
        </is>
      </c>
      <c r="C106" s="28" t="n">
        <v>200</v>
      </c>
      <c r="D106" s="27" t="n">
        <v>200</v>
      </c>
      <c r="E106" s="27" t="n">
        <v>200</v>
      </c>
      <c r="F106" s="5" t="inlineStr">
        <is>
          <t>fixed</t>
        </is>
      </c>
      <c r="G106" s="5" t="inlineStr">
        <is>
          <t>Rs</t>
        </is>
      </c>
      <c r="H106" s="5" t="inlineStr">
        <is>
          <t>nps_ticket</t>
        </is>
      </c>
      <c r="I106" s="5" t="inlineStr">
        <is>
          <t>dist_agreed_v1.csv</t>
        </is>
      </c>
    </row>
    <row r="107">
      <c r="A107" s="2" t="inlineStr"/>
      <c r="B107" s="2" t="inlineStr">
        <is>
          <t>NPS: our commission</t>
        </is>
      </c>
      <c r="C107" s="28" t="n">
        <v>1</v>
      </c>
      <c r="D107" s="27" t="n">
        <v>1</v>
      </c>
      <c r="E107" s="27" t="n">
        <v>1</v>
      </c>
      <c r="F107" s="5" t="inlineStr">
        <is>
          <t>fixed</t>
        </is>
      </c>
      <c r="G107" s="5" t="inlineStr">
        <is>
          <t>share of the ticket</t>
        </is>
      </c>
      <c r="H107" s="5" t="inlineStr">
        <is>
          <t>nps_comm</t>
        </is>
      </c>
      <c r="I107" s="5" t="inlineStr">
        <is>
          <t>Fallback: COHORT_INPUTS / addenda (not yet in the distribution file)</t>
        </is>
      </c>
    </row>
    <row r="108">
      <c r="A108" s="24" t="inlineStr">
        <is>
          <t>Cross-sell: Digital gold</t>
        </is>
      </c>
      <c r="B108" s="25" t="n"/>
      <c r="C108" s="25" t="n"/>
      <c r="D108" s="25" t="n"/>
      <c r="E108" s="25" t="n"/>
      <c r="F108" s="25" t="n"/>
      <c r="G108" s="25" t="n"/>
      <c r="H108" s="25" t="n"/>
      <c r="I108" s="25" t="n"/>
    </row>
    <row r="109">
      <c r="A109" s="2" t="inlineStr"/>
      <c r="B109" s="2" t="inlineStr">
        <is>
          <t>Digital gold: take-up a year (savers offered who don't hold it)</t>
        </is>
      </c>
      <c r="C109" s="29" t="n">
        <v>0.08</v>
      </c>
      <c r="D109" s="30" t="n">
        <v>0.03</v>
      </c>
      <c r="E109" s="30" t="n">
        <v>0.15</v>
      </c>
      <c r="F109" s="5" t="inlineStr">
        <is>
          <t>pert</t>
        </is>
      </c>
      <c r="G109" s="5" t="inlineStr">
        <is>
          <t>share a year</t>
        </is>
      </c>
      <c r="H109" s="5" t="inlineStr">
        <is>
          <t>gold_takeup</t>
        </is>
      </c>
      <c r="I109" s="5" t="inlineStr">
        <is>
          <t>dist_agreed_v1.csv</t>
        </is>
      </c>
    </row>
    <row r="110">
      <c r="A110" s="2" t="inlineStr"/>
      <c r="B110" s="2" t="inlineStr">
        <is>
          <t>Digital gold: bought a month (Rs)</t>
        </is>
      </c>
      <c r="C110" s="28" t="n">
        <v>300</v>
      </c>
      <c r="D110" s="27" t="n">
        <v>100</v>
      </c>
      <c r="E110" s="27" t="n">
        <v>600</v>
      </c>
      <c r="F110" s="5" t="inlineStr">
        <is>
          <t>pert</t>
        </is>
      </c>
      <c r="G110" s="5" t="inlineStr">
        <is>
          <t>Rs</t>
        </is>
      </c>
      <c r="H110" s="5" t="inlineStr">
        <is>
          <t>gold_ticket</t>
        </is>
      </c>
      <c r="I110" s="5" t="inlineStr">
        <is>
          <t>dist_agreed_v1.csv</t>
        </is>
      </c>
    </row>
    <row r="111">
      <c r="A111" s="2" t="inlineStr"/>
      <c r="B111" s="2" t="inlineStr">
        <is>
          <t>Digital gold: commission on purchases</t>
        </is>
      </c>
      <c r="C111" s="34" t="n">
        <v>0.024</v>
      </c>
      <c r="D111" s="33" t="n">
        <v>0.024</v>
      </c>
      <c r="E111" s="33" t="n">
        <v>0.024</v>
      </c>
      <c r="F111" s="5" t="inlineStr">
        <is>
          <t>fixed</t>
        </is>
      </c>
      <c r="G111" s="5" t="inlineStr">
        <is>
          <t>share</t>
        </is>
      </c>
      <c r="H111" s="5" t="inlineStr">
        <is>
          <t>gold_comm</t>
        </is>
      </c>
      <c r="I111" s="5" t="inlineStr">
        <is>
          <t>dist_agreed_v1.csv</t>
        </is>
      </c>
    </row>
    <row r="112">
      <c r="A112" s="2" t="inlineStr"/>
      <c r="B112" s="2" t="inlineStr">
        <is>
          <t>Digital gold: buying continues a year</t>
        </is>
      </c>
      <c r="C112" s="29" t="n">
        <v>0.65</v>
      </c>
      <c r="D112" s="30" t="n">
        <v>0.5</v>
      </c>
      <c r="E112" s="30" t="n">
        <v>0.8</v>
      </c>
      <c r="F112" s="5" t="inlineStr">
        <is>
          <t>pert</t>
        </is>
      </c>
      <c r="G112" s="5" t="inlineStr">
        <is>
          <t>share</t>
        </is>
      </c>
      <c r="H112" s="5" t="inlineStr">
        <is>
          <t>gold_renew</t>
        </is>
      </c>
      <c r="I112" s="5" t="inlineStr">
        <is>
          <t>dist_agreed_v1.csv</t>
        </is>
      </c>
    </row>
    <row r="113">
      <c r="A113" s="24" t="inlineStr">
        <is>
          <t>Cross-sell: FD via partner banks</t>
        </is>
      </c>
      <c r="B113" s="25" t="n"/>
      <c r="C113" s="25" t="n"/>
      <c r="D113" s="25" t="n"/>
      <c r="E113" s="25" t="n"/>
      <c r="F113" s="25" t="n"/>
      <c r="G113" s="25" t="n"/>
      <c r="H113" s="25" t="n"/>
      <c r="I113" s="25" t="n"/>
    </row>
    <row r="114">
      <c r="A114" s="2" t="inlineStr"/>
      <c r="B114" s="2" t="inlineStr">
        <is>
          <t>FD via partner banks: take-up a year (savers offered who don't hold it)</t>
        </is>
      </c>
      <c r="C114" s="29" t="n">
        <v>0.1</v>
      </c>
      <c r="D114" s="30" t="n">
        <v>0.05</v>
      </c>
      <c r="E114" s="30" t="n">
        <v>0.2</v>
      </c>
      <c r="F114" s="5" t="inlineStr">
        <is>
          <t>pert</t>
        </is>
      </c>
      <c r="G114" s="5" t="inlineStr">
        <is>
          <t>share a year</t>
        </is>
      </c>
      <c r="H114" s="5" t="inlineStr">
        <is>
          <t>fd_takeup</t>
        </is>
      </c>
      <c r="I114" s="5" t="inlineStr">
        <is>
          <t>dist_agreed_v1.csv</t>
        </is>
      </c>
    </row>
    <row r="115">
      <c r="A115" s="2" t="inlineStr"/>
      <c r="B115" s="2" t="inlineStr">
        <is>
          <t>FD via partner banks: FD amount (Rs)</t>
        </is>
      </c>
      <c r="C115" s="28" t="n">
        <v>10000</v>
      </c>
      <c r="D115" s="27" t="n">
        <v>5000</v>
      </c>
      <c r="E115" s="27" t="n">
        <v>20000</v>
      </c>
      <c r="F115" s="5" t="inlineStr">
        <is>
          <t>pert</t>
        </is>
      </c>
      <c r="G115" s="5" t="inlineStr">
        <is>
          <t>Rs</t>
        </is>
      </c>
      <c r="H115" s="5" t="inlineStr">
        <is>
          <t>fd_ticket</t>
        </is>
      </c>
      <c r="I115" s="5" t="inlineStr">
        <is>
          <t>dist_agreed_v1.csv</t>
        </is>
      </c>
    </row>
    <row r="116">
      <c r="A116" s="2" t="inlineStr"/>
      <c r="B116" s="2" t="inlineStr">
        <is>
          <t>FD via partner banks: commission (one year of the FD)</t>
        </is>
      </c>
      <c r="C116" s="34" t="n">
        <v>0.005</v>
      </c>
      <c r="D116" s="33" t="n">
        <v>0.001</v>
      </c>
      <c r="E116" s="33" t="n">
        <v>0.01</v>
      </c>
      <c r="F116" s="5" t="inlineStr">
        <is>
          <t>pert</t>
        </is>
      </c>
      <c r="G116" s="5" t="inlineStr">
        <is>
          <t>share</t>
        </is>
      </c>
      <c r="H116" s="5" t="inlineStr">
        <is>
          <t>fd_comm</t>
        </is>
      </c>
      <c r="I116" s="5" t="inlineStr">
        <is>
          <t>dist_agreed_v1.csv</t>
        </is>
      </c>
    </row>
    <row r="117">
      <c r="A117" s="24" t="inlineStr">
        <is>
          <t>Cross-sell: Mobile recharge</t>
        </is>
      </c>
      <c r="B117" s="25" t="n"/>
      <c r="C117" s="25" t="n"/>
      <c r="D117" s="25" t="n"/>
      <c r="E117" s="25" t="n"/>
      <c r="F117" s="25" t="n"/>
      <c r="G117" s="25" t="n"/>
      <c r="H117" s="25" t="n"/>
      <c r="I117" s="25" t="n"/>
    </row>
    <row r="118">
      <c r="A118" s="2" t="inlineStr"/>
      <c r="B118" s="2" t="inlineStr">
        <is>
          <t>Mobile recharge: take-up a year (savers offered who don't hold it)</t>
        </is>
      </c>
      <c r="C118" s="29" t="n">
        <v>0.25</v>
      </c>
      <c r="D118" s="30" t="n">
        <v>0.1</v>
      </c>
      <c r="E118" s="30" t="n">
        <v>0.5</v>
      </c>
      <c r="F118" s="5" t="inlineStr">
        <is>
          <t>pert</t>
        </is>
      </c>
      <c r="G118" s="5" t="inlineStr">
        <is>
          <t>share a year</t>
        </is>
      </c>
      <c r="H118" s="5" t="inlineStr">
        <is>
          <t>recharge_takeup</t>
        </is>
      </c>
      <c r="I118" s="5" t="inlineStr">
        <is>
          <t>dist_agreed_v1.csv</t>
        </is>
      </c>
    </row>
    <row r="119">
      <c r="A119" s="2" t="inlineStr"/>
      <c r="B119" s="2" t="inlineStr">
        <is>
          <t>Mobile recharge: recharges a year (Rs)</t>
        </is>
      </c>
      <c r="C119" s="28" t="n">
        <v>2600</v>
      </c>
      <c r="D119" s="27" t="n">
        <v>2600</v>
      </c>
      <c r="E119" s="27" t="n">
        <v>2600</v>
      </c>
      <c r="F119" s="5" t="inlineStr">
        <is>
          <t>fixed</t>
        </is>
      </c>
      <c r="G119" s="5" t="inlineStr">
        <is>
          <t>Rs</t>
        </is>
      </c>
      <c r="H119" s="5" t="inlineStr">
        <is>
          <t>recharge_ticket</t>
        </is>
      </c>
      <c r="I119" s="5" t="inlineStr">
        <is>
          <t>dist_agreed_v1.csv</t>
        </is>
      </c>
    </row>
    <row r="120">
      <c r="A120" s="2" t="inlineStr"/>
      <c r="B120" s="2" t="inlineStr">
        <is>
          <t>Mobile recharge: commission</t>
        </is>
      </c>
      <c r="C120" s="34" t="n">
        <v>0.02</v>
      </c>
      <c r="D120" s="33" t="n">
        <v>0.01</v>
      </c>
      <c r="E120" s="33" t="n">
        <v>0.03</v>
      </c>
      <c r="F120" s="5" t="inlineStr">
        <is>
          <t>pert</t>
        </is>
      </c>
      <c r="G120" s="5" t="inlineStr">
        <is>
          <t>share</t>
        </is>
      </c>
      <c r="H120" s="5" t="inlineStr">
        <is>
          <t>recharge_comm</t>
        </is>
      </c>
      <c r="I120" s="5" t="inlineStr">
        <is>
          <t>dist_agreed_v1.csv</t>
        </is>
      </c>
    </row>
    <row r="121">
      <c r="A121" s="2" t="inlineStr"/>
      <c r="B121" s="2" t="inlineStr">
        <is>
          <t>Mobile recharge: renews / continues a year</t>
        </is>
      </c>
      <c r="C121" s="29" t="n">
        <v>1</v>
      </c>
      <c r="D121" s="30" t="n">
        <v>1</v>
      </c>
      <c r="E121" s="30" t="n">
        <v>1</v>
      </c>
      <c r="F121" s="5" t="inlineStr">
        <is>
          <t>fixed</t>
        </is>
      </c>
      <c r="G121" s="5" t="inlineStr">
        <is>
          <t>share</t>
        </is>
      </c>
      <c r="H121" s="5" t="inlineStr">
        <is>
          <t>recharge_renew</t>
        </is>
      </c>
      <c r="I121" s="5" t="inlineStr">
        <is>
          <t>Fallback: COHORT_INPUTS / addenda (not yet in the distribution file)</t>
        </is>
      </c>
    </row>
    <row r="122">
      <c r="A122" s="24" t="inlineStr">
        <is>
          <t>Cross-sell: Bill payments</t>
        </is>
      </c>
      <c r="B122" s="25" t="n"/>
      <c r="C122" s="25" t="n"/>
      <c r="D122" s="25" t="n"/>
      <c r="E122" s="25" t="n"/>
      <c r="F122" s="25" t="n"/>
      <c r="G122" s="25" t="n"/>
      <c r="H122" s="25" t="n"/>
      <c r="I122" s="25" t="n"/>
    </row>
    <row r="123">
      <c r="A123" s="2" t="inlineStr"/>
      <c r="B123" s="2" t="inlineStr">
        <is>
          <t>Bill payments: take-up a year (savers offered who don't hold it)</t>
        </is>
      </c>
      <c r="C123" s="29" t="n">
        <v>0.25</v>
      </c>
      <c r="D123" s="30" t="n">
        <v>0.1</v>
      </c>
      <c r="E123" s="30" t="n">
        <v>0.5</v>
      </c>
      <c r="F123" s="5" t="inlineStr">
        <is>
          <t>pert</t>
        </is>
      </c>
      <c r="G123" s="5" t="inlineStr">
        <is>
          <t>share a year</t>
        </is>
      </c>
      <c r="H123" s="5" t="inlineStr">
        <is>
          <t>bills_takeup</t>
        </is>
      </c>
      <c r="I123" s="5" t="inlineStr">
        <is>
          <t>dist_agreed_v1.csv</t>
        </is>
      </c>
    </row>
    <row r="124">
      <c r="A124" s="2" t="inlineStr"/>
      <c r="B124" s="2" t="inlineStr">
        <is>
          <t>Bill payments: bills a year</t>
        </is>
      </c>
      <c r="C124" s="28" t="n">
        <v>24</v>
      </c>
      <c r="D124" s="27" t="n">
        <v>12</v>
      </c>
      <c r="E124" s="27" t="n">
        <v>36</v>
      </c>
      <c r="F124" s="5" t="inlineStr">
        <is>
          <t>pert</t>
        </is>
      </c>
      <c r="G124" s="5" t="inlineStr">
        <is>
          <t>bills a year</t>
        </is>
      </c>
      <c r="H124" s="5" t="inlineStr">
        <is>
          <t>bills_ticket</t>
        </is>
      </c>
      <c r="I124" s="5" t="inlineStr">
        <is>
          <t>dist_agreed_v1.csv</t>
        </is>
      </c>
    </row>
    <row r="125">
      <c r="A125" s="2" t="inlineStr"/>
      <c r="B125" s="2" t="inlineStr">
        <is>
          <t>Bill payments: Rs a bill</t>
        </is>
      </c>
      <c r="C125" s="35" t="n">
        <v>2</v>
      </c>
      <c r="D125" s="36" t="n">
        <v>1</v>
      </c>
      <c r="E125" s="36" t="n">
        <v>3</v>
      </c>
      <c r="F125" s="5" t="inlineStr">
        <is>
          <t>triangular</t>
        </is>
      </c>
      <c r="G125" s="5" t="inlineStr">
        <is>
          <t>Rs a bill</t>
        </is>
      </c>
      <c r="H125" s="5" t="inlineStr">
        <is>
          <t>bills_comm</t>
        </is>
      </c>
      <c r="I125" s="5" t="inlineStr">
        <is>
          <t>dist_agreed_v1.csv</t>
        </is>
      </c>
    </row>
    <row r="126">
      <c r="A126" s="2" t="inlineStr"/>
      <c r="B126" s="2" t="inlineStr">
        <is>
          <t>Bill payments: renews / continues a year</t>
        </is>
      </c>
      <c r="C126" s="29" t="n">
        <v>1</v>
      </c>
      <c r="D126" s="30" t="n">
        <v>1</v>
      </c>
      <c r="E126" s="30" t="n">
        <v>1</v>
      </c>
      <c r="F126" s="5" t="inlineStr">
        <is>
          <t>fixed</t>
        </is>
      </c>
      <c r="G126" s="5" t="inlineStr">
        <is>
          <t>share</t>
        </is>
      </c>
      <c r="H126" s="5" t="inlineStr">
        <is>
          <t>bills_renew</t>
        </is>
      </c>
      <c r="I126" s="5" t="inlineStr">
        <is>
          <t>Fallback: COHORT_INPUTS / addenda (not yet in the distribution file)</t>
        </is>
      </c>
    </row>
    <row r="127">
      <c r="A127" s="24" t="inlineStr">
        <is>
          <t>Cross-sell: Gold loan (other lenders)</t>
        </is>
      </c>
      <c r="B127" s="25" t="n"/>
      <c r="C127" s="25" t="n"/>
      <c r="D127" s="25" t="n"/>
      <c r="E127" s="25" t="n"/>
      <c r="F127" s="25" t="n"/>
      <c r="G127" s="25" t="n"/>
      <c r="H127" s="25" t="n"/>
      <c r="I127" s="25" t="n"/>
    </row>
    <row r="128">
      <c r="A128" s="2" t="inlineStr"/>
      <c r="B128" s="2" t="inlineStr">
        <is>
          <t>Gold loan (other lenders): take-up a year (savers offered who don't hold it)</t>
        </is>
      </c>
      <c r="C128" s="29" t="n">
        <v>0.05</v>
      </c>
      <c r="D128" s="30" t="n">
        <v>0.02</v>
      </c>
      <c r="E128" s="30" t="n">
        <v>0.1</v>
      </c>
      <c r="F128" s="5" t="inlineStr">
        <is>
          <t>pert</t>
        </is>
      </c>
      <c r="G128" s="5" t="inlineStr">
        <is>
          <t>share a year</t>
        </is>
      </c>
      <c r="H128" s="5" t="inlineStr">
        <is>
          <t>loan_gold_takeup</t>
        </is>
      </c>
      <c r="I128" s="5" t="inlineStr">
        <is>
          <t>dist_agreed_v1.csv</t>
        </is>
      </c>
    </row>
    <row r="129">
      <c r="A129" s="2" t="inlineStr"/>
      <c r="B129" s="2" t="inlineStr">
        <is>
          <t>Gold loan (other lenders): ticket</t>
        </is>
      </c>
      <c r="C129" s="28" t="n">
        <v>50000</v>
      </c>
      <c r="D129" s="27" t="n">
        <v>30000</v>
      </c>
      <c r="E129" s="27" t="n">
        <v>80000</v>
      </c>
      <c r="F129" s="5" t="inlineStr">
        <is>
          <t>pert</t>
        </is>
      </c>
      <c r="G129" s="5" t="inlineStr">
        <is>
          <t>Rs</t>
        </is>
      </c>
      <c r="H129" s="5" t="inlineStr">
        <is>
          <t>loan_gold_ticket</t>
        </is>
      </c>
      <c r="I129" s="5" t="inlineStr">
        <is>
          <t>dist_agreed_v1.csv</t>
        </is>
      </c>
    </row>
    <row r="130">
      <c r="A130" s="2" t="inlineStr"/>
      <c r="B130" s="2" t="inlineStr">
        <is>
          <t>Gold loan (other lenders): our commission</t>
        </is>
      </c>
      <c r="C130" s="34" t="n">
        <v>0.01</v>
      </c>
      <c r="D130" s="33" t="n">
        <v>0.005</v>
      </c>
      <c r="E130" s="33" t="n">
        <v>0.015</v>
      </c>
      <c r="F130" s="5" t="inlineStr">
        <is>
          <t>pert</t>
        </is>
      </c>
      <c r="G130" s="5" t="inlineStr">
        <is>
          <t>share</t>
        </is>
      </c>
      <c r="H130" s="5" t="inlineStr">
        <is>
          <t>loan_gold_comm</t>
        </is>
      </c>
      <c r="I130" s="5" t="inlineStr">
        <is>
          <t>dist_agreed_v1.csv</t>
        </is>
      </c>
    </row>
    <row r="131">
      <c r="A131" s="24" t="inlineStr">
        <is>
          <t>Cross-sell: Consumer-durable loan</t>
        </is>
      </c>
      <c r="B131" s="25" t="n"/>
      <c r="C131" s="25" t="n"/>
      <c r="D131" s="25" t="n"/>
      <c r="E131" s="25" t="n"/>
      <c r="F131" s="25" t="n"/>
      <c r="G131" s="25" t="n"/>
      <c r="H131" s="25" t="n"/>
      <c r="I131" s="25" t="n"/>
    </row>
    <row r="132">
      <c r="A132" s="2" t="inlineStr"/>
      <c r="B132" s="2" t="inlineStr">
        <is>
          <t>Consumer-durable loan: take-up a year (savers offered who don't hold it)</t>
        </is>
      </c>
      <c r="C132" s="29" t="n">
        <v>0.02</v>
      </c>
      <c r="D132" s="30" t="n">
        <v>0.005</v>
      </c>
      <c r="E132" s="30" t="n">
        <v>0.05</v>
      </c>
      <c r="F132" s="5" t="inlineStr">
        <is>
          <t>pert</t>
        </is>
      </c>
      <c r="G132" s="5" t="inlineStr">
        <is>
          <t>share a year</t>
        </is>
      </c>
      <c r="H132" s="5" t="inlineStr">
        <is>
          <t>loan_cd_takeup</t>
        </is>
      </c>
      <c r="I132" s="5" t="inlineStr">
        <is>
          <t>dist_agreed_v1.csv</t>
        </is>
      </c>
    </row>
    <row r="133">
      <c r="A133" s="2" t="inlineStr"/>
      <c r="B133" s="2" t="inlineStr">
        <is>
          <t>Consumer-durable loan: ticket</t>
        </is>
      </c>
      <c r="C133" s="28" t="n">
        <v>20000</v>
      </c>
      <c r="D133" s="27" t="n">
        <v>10000</v>
      </c>
      <c r="E133" s="27" t="n">
        <v>30000</v>
      </c>
      <c r="F133" s="5" t="inlineStr">
        <is>
          <t>pert</t>
        </is>
      </c>
      <c r="G133" s="5" t="inlineStr">
        <is>
          <t>Rs</t>
        </is>
      </c>
      <c r="H133" s="5" t="inlineStr">
        <is>
          <t>loan_cd_ticket</t>
        </is>
      </c>
      <c r="I133" s="5" t="inlineStr">
        <is>
          <t>dist_agreed_v1.csv</t>
        </is>
      </c>
    </row>
    <row r="134">
      <c r="A134" s="2" t="inlineStr"/>
      <c r="B134" s="2" t="inlineStr">
        <is>
          <t>Consumer-durable loan: our commission</t>
        </is>
      </c>
      <c r="C134" s="34" t="n">
        <v>0.02</v>
      </c>
      <c r="D134" s="33" t="n">
        <v>0.01</v>
      </c>
      <c r="E134" s="33" t="n">
        <v>0.03</v>
      </c>
      <c r="F134" s="5" t="inlineStr">
        <is>
          <t>pert</t>
        </is>
      </c>
      <c r="G134" s="5" t="inlineStr">
        <is>
          <t>share</t>
        </is>
      </c>
      <c r="H134" s="5" t="inlineStr">
        <is>
          <t>loan_cd_comm</t>
        </is>
      </c>
      <c r="I134" s="5" t="inlineStr">
        <is>
          <t>dist_agreed_v1.csv</t>
        </is>
      </c>
    </row>
    <row r="135">
      <c r="A135" s="24" t="inlineStr">
        <is>
          <t>Cross-sell: Two-wheeler / e-rickshaw loan</t>
        </is>
      </c>
      <c r="B135" s="25" t="n"/>
      <c r="C135" s="25" t="n"/>
      <c r="D135" s="25" t="n"/>
      <c r="E135" s="25" t="n"/>
      <c r="F135" s="25" t="n"/>
      <c r="G135" s="25" t="n"/>
      <c r="H135" s="25" t="n"/>
      <c r="I135" s="25" t="n"/>
    </row>
    <row r="136">
      <c r="A136" s="2" t="inlineStr"/>
      <c r="B136" s="2" t="inlineStr">
        <is>
          <t>Two-wheeler / e-rickshaw loan: take-up a year (savers offered who don't hold it)</t>
        </is>
      </c>
      <c r="C136" s="29" t="n">
        <v>0.005</v>
      </c>
      <c r="D136" s="30" t="n">
        <v>0.001</v>
      </c>
      <c r="E136" s="30" t="n">
        <v>0.01</v>
      </c>
      <c r="F136" s="5" t="inlineStr">
        <is>
          <t>pert</t>
        </is>
      </c>
      <c r="G136" s="5" t="inlineStr">
        <is>
          <t>share a year</t>
        </is>
      </c>
      <c r="H136" s="5" t="inlineStr">
        <is>
          <t>loan_vehicle_takeup</t>
        </is>
      </c>
      <c r="I136" s="5" t="inlineStr">
        <is>
          <t>dist_agreed_v1.csv</t>
        </is>
      </c>
    </row>
    <row r="137">
      <c r="A137" s="2" t="inlineStr"/>
      <c r="B137" s="2" t="inlineStr">
        <is>
          <t>Two-wheeler / e-rickshaw loan: ticket</t>
        </is>
      </c>
      <c r="C137" s="28" t="n">
        <v>150000</v>
      </c>
      <c r="D137" s="27" t="n">
        <v>80000</v>
      </c>
      <c r="E137" s="27" t="n">
        <v>600000</v>
      </c>
      <c r="F137" s="5" t="inlineStr">
        <is>
          <t>pert</t>
        </is>
      </c>
      <c r="G137" s="5" t="inlineStr">
        <is>
          <t>Rs</t>
        </is>
      </c>
      <c r="H137" s="5" t="inlineStr">
        <is>
          <t>loan_vehicle_ticket</t>
        </is>
      </c>
      <c r="I137" s="5" t="inlineStr">
        <is>
          <t>dist_agreed_v1.csv</t>
        </is>
      </c>
    </row>
    <row r="138">
      <c r="A138" s="2" t="inlineStr"/>
      <c r="B138" s="2" t="inlineStr">
        <is>
          <t>Two-wheeler / e-rickshaw loan: our commission</t>
        </is>
      </c>
      <c r="C138" s="34" t="n">
        <v>0.01</v>
      </c>
      <c r="D138" s="33" t="n">
        <v>0.005</v>
      </c>
      <c r="E138" s="33" t="n">
        <v>0.02</v>
      </c>
      <c r="F138" s="5" t="inlineStr">
        <is>
          <t>pert</t>
        </is>
      </c>
      <c r="G138" s="5" t="inlineStr">
        <is>
          <t>share</t>
        </is>
      </c>
      <c r="H138" s="5" t="inlineStr">
        <is>
          <t>loan_vehicle_comm</t>
        </is>
      </c>
      <c r="I138" s="5" t="inlineStr">
        <is>
          <t>dist_agreed_v1.csv</t>
        </is>
      </c>
    </row>
    <row r="139">
      <c r="A139" s="24" t="inlineStr">
        <is>
          <t>Cross-sell: Home loan (affordable housing)</t>
        </is>
      </c>
      <c r="B139" s="25" t="n"/>
      <c r="C139" s="25" t="n"/>
      <c r="D139" s="25" t="n"/>
      <c r="E139" s="25" t="n"/>
      <c r="F139" s="25" t="n"/>
      <c r="G139" s="25" t="n"/>
      <c r="H139" s="25" t="n"/>
      <c r="I139" s="25" t="n"/>
    </row>
    <row r="140">
      <c r="A140" s="2" t="inlineStr"/>
      <c r="B140" s="2" t="inlineStr">
        <is>
          <t>Home loan (affordable housing): take-up a year (savers offered who don't hold it)</t>
        </is>
      </c>
      <c r="C140" s="29" t="n">
        <v>0.015</v>
      </c>
      <c r="D140" s="30" t="n">
        <v>0.005</v>
      </c>
      <c r="E140" s="30" t="n">
        <v>0.03</v>
      </c>
      <c r="F140" s="5" t="inlineStr">
        <is>
          <t>pert</t>
        </is>
      </c>
      <c r="G140" s="5" t="inlineStr">
        <is>
          <t>share a year</t>
        </is>
      </c>
      <c r="H140" s="5" t="inlineStr">
        <is>
          <t>loan_home_takeup</t>
        </is>
      </c>
      <c r="I140" s="5" t="inlineStr">
        <is>
          <t>dist_agreed_v1.csv</t>
        </is>
      </c>
    </row>
    <row r="141">
      <c r="A141" s="2" t="inlineStr"/>
      <c r="B141" s="2" t="inlineStr">
        <is>
          <t>Home loan (affordable housing): loan size (Rs)</t>
        </is>
      </c>
      <c r="C141" s="28" t="n">
        <v>2500000</v>
      </c>
      <c r="D141" s="27" t="n">
        <v>1000000</v>
      </c>
      <c r="E141" s="27" t="n">
        <v>5000000</v>
      </c>
      <c r="F141" s="5" t="inlineStr">
        <is>
          <t>pert</t>
        </is>
      </c>
      <c r="G141" s="5" t="inlineStr">
        <is>
          <t>Rs</t>
        </is>
      </c>
      <c r="H141" s="5" t="inlineStr">
        <is>
          <t>loan_home_ticket</t>
        </is>
      </c>
      <c r="I141" s="5" t="inlineStr">
        <is>
          <t>dist_agreed_v1.csv</t>
        </is>
      </c>
    </row>
    <row r="142">
      <c r="A142" s="2" t="inlineStr"/>
      <c r="B142" s="2" t="inlineStr">
        <is>
          <t>Home loan (affordable housing): our fee, share of the loan</t>
        </is>
      </c>
      <c r="C142" s="34" t="n">
        <v>0.005</v>
      </c>
      <c r="D142" s="33" t="n">
        <v>0.003</v>
      </c>
      <c r="E142" s="33" t="n">
        <v>0.01</v>
      </c>
      <c r="F142" s="5" t="inlineStr">
        <is>
          <t>pert</t>
        </is>
      </c>
      <c r="G142" s="5" t="inlineStr">
        <is>
          <t>share</t>
        </is>
      </c>
      <c r="H142" s="5" t="inlineStr">
        <is>
          <t>loan_home_comm</t>
        </is>
      </c>
      <c r="I142" s="5" t="inlineStr">
        <is>
          <t>dist_agreed_v1.csv</t>
        </is>
      </c>
    </row>
    <row r="143">
      <c r="A143" s="2" t="inlineStr"/>
      <c r="B143" s="2" t="inlineStr">
        <is>
          <t>Home loan (affordable housing): approval share</t>
        </is>
      </c>
      <c r="C143" s="29" t="n">
        <v>0.45</v>
      </c>
      <c r="D143" s="30" t="n">
        <v>0.3</v>
      </c>
      <c r="E143" s="30" t="n">
        <v>0.6</v>
      </c>
      <c r="F143" s="5" t="inlineStr">
        <is>
          <t>pert</t>
        </is>
      </c>
      <c r="G143" s="5" t="inlineStr">
        <is>
          <t>share</t>
        </is>
      </c>
      <c r="H143" s="5" t="inlineStr">
        <is>
          <t>loan_home_approval</t>
        </is>
      </c>
      <c r="I143" s="5" t="inlineStr">
        <is>
          <t>dist_agreed_v1.csv</t>
        </is>
      </c>
    </row>
    <row r="144">
      <c r="A144" s="24" t="inlineStr">
        <is>
          <t>Cross-sell: Loan against property (shop or home)</t>
        </is>
      </c>
      <c r="B144" s="25" t="n"/>
      <c r="C144" s="25" t="n"/>
      <c r="D144" s="25" t="n"/>
      <c r="E144" s="25" t="n"/>
      <c r="F144" s="25" t="n"/>
      <c r="G144" s="25" t="n"/>
      <c r="H144" s="25" t="n"/>
      <c r="I144" s="25" t="n"/>
    </row>
    <row r="145">
      <c r="A145" s="2" t="inlineStr"/>
      <c r="B145" s="2" t="inlineStr">
        <is>
          <t>Loan against property (shop or home): take-up a year (savers offered who don't hold it)</t>
        </is>
      </c>
      <c r="C145" s="29" t="n">
        <v>0.005</v>
      </c>
      <c r="D145" s="30" t="n">
        <v>0.002</v>
      </c>
      <c r="E145" s="30" t="n">
        <v>0.01</v>
      </c>
      <c r="F145" s="5" t="inlineStr">
        <is>
          <t>pert</t>
        </is>
      </c>
      <c r="G145" s="5" t="inlineStr">
        <is>
          <t>share a year</t>
        </is>
      </c>
      <c r="H145" s="5" t="inlineStr">
        <is>
          <t>loan_lap_takeup</t>
        </is>
      </c>
      <c r="I145" s="5" t="inlineStr">
        <is>
          <t>dist_agreed_v1.csv</t>
        </is>
      </c>
    </row>
    <row r="146">
      <c r="A146" s="2" t="inlineStr"/>
      <c r="B146" s="2" t="inlineStr">
        <is>
          <t>Loan against property (shop or home): loan size (Rs)</t>
        </is>
      </c>
      <c r="C146" s="28" t="n">
        <v>1500000</v>
      </c>
      <c r="D146" s="27" t="n">
        <v>500000</v>
      </c>
      <c r="E146" s="27" t="n">
        <v>3000000</v>
      </c>
      <c r="F146" s="5" t="inlineStr">
        <is>
          <t>pert</t>
        </is>
      </c>
      <c r="G146" s="5" t="inlineStr">
        <is>
          <t>Rs</t>
        </is>
      </c>
      <c r="H146" s="5" t="inlineStr">
        <is>
          <t>loan_lap_ticket</t>
        </is>
      </c>
      <c r="I146" s="5" t="inlineStr">
        <is>
          <t>dist_agreed_v1.csv</t>
        </is>
      </c>
    </row>
    <row r="147">
      <c r="A147" s="2" t="inlineStr"/>
      <c r="B147" s="2" t="inlineStr">
        <is>
          <t>Loan against property (shop or home): our fee, share of the loan</t>
        </is>
      </c>
      <c r="C147" s="34" t="n">
        <v>0.01</v>
      </c>
      <c r="D147" s="33" t="n">
        <v>0.005</v>
      </c>
      <c r="E147" s="33" t="n">
        <v>0.015</v>
      </c>
      <c r="F147" s="5" t="inlineStr">
        <is>
          <t>pert</t>
        </is>
      </c>
      <c r="G147" s="5" t="inlineStr">
        <is>
          <t>share</t>
        </is>
      </c>
      <c r="H147" s="5" t="inlineStr">
        <is>
          <t>loan_lap_comm</t>
        </is>
      </c>
      <c r="I147" s="5" t="inlineStr">
        <is>
          <t>dist_agreed_v1.csv</t>
        </is>
      </c>
    </row>
    <row r="148">
      <c r="A148" s="2" t="inlineStr"/>
      <c r="B148" s="2" t="inlineStr">
        <is>
          <t>Loan against property (shop or home): approval share</t>
        </is>
      </c>
      <c r="C148" s="29" t="n">
        <v>0.45</v>
      </c>
      <c r="D148" s="30" t="n">
        <v>0.3</v>
      </c>
      <c r="E148" s="30" t="n">
        <v>0.6</v>
      </c>
      <c r="F148" s="5" t="inlineStr">
        <is>
          <t>pert</t>
        </is>
      </c>
      <c r="G148" s="5" t="inlineStr">
        <is>
          <t>share</t>
        </is>
      </c>
      <c r="H148" s="5" t="inlineStr">
        <is>
          <t>loan_lap_approval</t>
        </is>
      </c>
      <c r="I148" s="5" t="inlineStr">
        <is>
          <t>dist_agreed_v1.csv</t>
        </is>
      </c>
    </row>
    <row r="149">
      <c r="A149" s="24" t="inlineStr">
        <is>
          <t>Costs and money terms</t>
        </is>
      </c>
      <c r="B149" s="25" t="n"/>
      <c r="C149" s="25" t="n"/>
      <c r="D149" s="25" t="n"/>
      <c r="E149" s="25" t="n"/>
      <c r="F149" s="25" t="n"/>
      <c r="G149" s="25" t="n"/>
      <c r="H149" s="25" t="n"/>
      <c r="I149" s="25" t="n"/>
    </row>
    <row r="150">
      <c r="A150" s="2" t="inlineStr"/>
      <c r="B150" s="2" t="inlineStr">
        <is>
          <t>Agent's salary a month (Rs)</t>
        </is>
      </c>
      <c r="C150" s="28" t="n">
        <v>20000</v>
      </c>
      <c r="D150" s="27" t="n">
        <v>20000</v>
      </c>
      <c r="E150" s="27" t="n">
        <v>20000</v>
      </c>
      <c r="F150" s="5" t="inlineStr">
        <is>
          <t>fixed</t>
        </is>
      </c>
      <c r="G150" s="5" t="inlineStr">
        <is>
          <t>Rs a month</t>
        </is>
      </c>
      <c r="H150" s="5" t="inlineStr">
        <is>
          <t>salary</t>
        </is>
      </c>
      <c r="I150" s="5" t="inlineStr">
        <is>
          <t>dist_agreed_v1.csv</t>
        </is>
      </c>
    </row>
    <row r="151">
      <c r="A151" s="2" t="inlineStr"/>
      <c r="B151" s="2" t="inlineStr">
        <is>
          <t>Agent pay on his savers' average balance, a year (company months 1-60; 0.10% after)</t>
        </is>
      </c>
      <c r="C151" s="34" t="n">
        <v>0.0025</v>
      </c>
      <c r="D151" s="33" t="n">
        <v>0.001</v>
      </c>
      <c r="E151" s="33" t="n">
        <v>0.0025</v>
      </c>
      <c r="F151" s="5" t="inlineStr">
        <is>
          <t>fixed</t>
        </is>
      </c>
      <c r="G151" s="5" t="inlineStr">
        <is>
          <t>share of balance a year</t>
        </is>
      </c>
      <c r="H151" s="5" t="inlineStr">
        <is>
          <t>agent_balance_pay</t>
        </is>
      </c>
      <c r="I151" s="5" t="inlineStr">
        <is>
          <t>dist_agreed_v1.csv</t>
        </is>
      </c>
    </row>
    <row r="152">
      <c r="A152" s="2" t="inlineStr"/>
      <c r="B152" s="2" t="inlineStr">
        <is>
          <t>Onboarding and KYC cost per sign-up (Rs)</t>
        </is>
      </c>
      <c r="C152" s="28" t="n">
        <v>40</v>
      </c>
      <c r="D152" s="27" t="n">
        <v>25</v>
      </c>
      <c r="E152" s="27" t="n">
        <v>100</v>
      </c>
      <c r="F152" s="5" t="inlineStr">
        <is>
          <t>pert</t>
        </is>
      </c>
      <c r="G152" s="5" t="inlineStr">
        <is>
          <t>Rs a sign-up</t>
        </is>
      </c>
      <c r="H152" s="5" t="inlineStr">
        <is>
          <t>kyc_cost</t>
        </is>
      </c>
      <c r="I152" s="5" t="inlineStr">
        <is>
          <t>dist_agreed_v1.csv</t>
        </is>
      </c>
    </row>
    <row r="153">
      <c r="A153" s="2" t="inlineStr"/>
      <c r="B153" s="2" t="inlineStr">
        <is>
          <t>Support cost per active saver a month (Rs)</t>
        </is>
      </c>
      <c r="C153" s="28" t="n">
        <v>5</v>
      </c>
      <c r="D153" s="27" t="n">
        <v>0</v>
      </c>
      <c r="E153" s="27" t="n">
        <v>15</v>
      </c>
      <c r="F153" s="5" t="inlineStr">
        <is>
          <t>pert</t>
        </is>
      </c>
      <c r="G153" s="5" t="inlineStr">
        <is>
          <t>Rs an active saver a month</t>
        </is>
      </c>
      <c r="H153" s="5" t="inlineStr">
        <is>
          <t>support_cost</t>
        </is>
      </c>
      <c r="I153" s="5" t="inlineStr">
        <is>
          <t>dist_agreed_v1.csv</t>
        </is>
      </c>
    </row>
    <row r="154">
      <c r="A154" s="2" t="inlineStr"/>
      <c r="B154" s="2" t="inlineStr">
        <is>
          <t>Cash cover: fidelity and cash-in-transit insurance, per agent a month (Rs)</t>
        </is>
      </c>
      <c r="C154" s="28" t="n">
        <v>1000</v>
      </c>
      <c r="D154" s="27" t="n">
        <v>500</v>
      </c>
      <c r="E154" s="27" t="n">
        <v>2000</v>
      </c>
      <c r="F154" s="5" t="inlineStr">
        <is>
          <t>pert</t>
        </is>
      </c>
      <c r="G154" s="5" t="inlineStr">
        <is>
          <t>Rs an agent a month</t>
        </is>
      </c>
      <c r="H154" s="5" t="inlineStr">
        <is>
          <t>cash_cover</t>
        </is>
      </c>
      <c r="I154" s="5" t="inlineStr">
        <is>
          <t>dist_agreed_v1.csv</t>
        </is>
      </c>
    </row>
    <row r="155">
      <c r="A155" s="2" t="inlineStr"/>
      <c r="B155" s="2" t="inlineStr">
        <is>
          <t>Share of insurance commission that reaches us through a broker partner</t>
        </is>
      </c>
      <c r="C155" s="29" t="n">
        <v>0.75</v>
      </c>
      <c r="D155" s="30" t="n">
        <v>0.6</v>
      </c>
      <c r="E155" s="30" t="n">
        <v>0.9</v>
      </c>
      <c r="F155" s="5" t="inlineStr">
        <is>
          <t>pert</t>
        </is>
      </c>
      <c r="G155" s="5" t="inlineStr">
        <is>
          <t>share</t>
        </is>
      </c>
      <c r="H155" s="5" t="inlineStr">
        <is>
          <t>ins_partner_share</t>
        </is>
      </c>
      <c r="I155" s="5" t="inlineStr">
        <is>
          <t>dist_agreed_v1.csv</t>
        </is>
      </c>
    </row>
    <row r="156">
      <c r="A156" s="2" t="inlineStr"/>
      <c r="B156" s="2" t="inlineStr">
        <is>
          <t>Discount rate a year</t>
        </is>
      </c>
      <c r="C156" s="29" t="n">
        <v>0</v>
      </c>
      <c r="D156" s="30" t="n">
        <v>0</v>
      </c>
      <c r="E156" s="30" t="n">
        <v>0</v>
      </c>
      <c r="F156" s="5" t="inlineStr">
        <is>
          <t>fixed</t>
        </is>
      </c>
      <c r="G156" s="5" t="inlineStr">
        <is>
          <t>share</t>
        </is>
      </c>
      <c r="H156" s="5" t="inlineStr">
        <is>
          <t>discount</t>
        </is>
      </c>
      <c r="I156" s="5" t="inlineStr">
        <is>
          <t>dist_agreed_v1.csv (file matches the operator decision)</t>
        </is>
      </c>
    </row>
    <row r="157">
      <c r="A157" s="2" t="inlineStr"/>
      <c r="B157" s="2" t="inlineStr">
        <is>
          <t>First month a saver is offered loans, cards and cross-sell (age)</t>
        </is>
      </c>
      <c r="C157" s="28" t="n">
        <v>1</v>
      </c>
      <c r="D157" s="27" t="n">
        <v>1</v>
      </c>
      <c r="E157" s="27" t="n">
        <v>1</v>
      </c>
      <c r="F157" s="5" t="inlineStr">
        <is>
          <t>fixed</t>
        </is>
      </c>
      <c r="G157" s="5" t="inlineStr">
        <is>
          <t>age (month)</t>
        </is>
      </c>
      <c r="H157" s="5" t="inlineStr">
        <is>
          <t>marketplace_from</t>
        </is>
      </c>
      <c r="I157" s="5" t="inlineStr">
        <is>
          <t>dist_agreed_v1.csv</t>
        </is>
      </c>
    </row>
    <row r="158">
      <c r="A158" s="24" t="inlineStr">
        <is>
          <t>Model structure (fixed)</t>
        </is>
      </c>
      <c r="B158" s="25" t="n"/>
      <c r="C158" s="25" t="n"/>
      <c r="D158" s="25" t="n"/>
      <c r="E158" s="25" t="n"/>
      <c r="F158" s="25" t="n"/>
      <c r="G158" s="25" t="n"/>
      <c r="H158" s="25" t="n"/>
      <c r="I158" s="25" t="n"/>
    </row>
    <row r="159">
      <c r="B159" s="2" t="inlineStr">
        <is>
          <t>Visits a day the extra capacity cost buys</t>
        </is>
      </c>
      <c r="C159" s="37" t="n">
        <v>400</v>
      </c>
      <c r="F159" s="5" t="inlineStr">
        <is>
          <t>fixed</t>
        </is>
      </c>
      <c r="G159" s="5" t="inlineStr">
        <is>
          <t>visits a day</t>
        </is>
      </c>
      <c r="H159" s="5" t="inlineStr">
        <is>
          <t>helper_visits</t>
        </is>
      </c>
      <c r="I159" s="5" t="inlineStr">
        <is>
          <t>COHORT_INPUTS 5: Rs 20,000 a month per 400 visits a day, pro-rata</t>
        </is>
      </c>
    </row>
    <row r="160">
      <c r="B160" s="2" t="inlineStr">
        <is>
          <t>Months from a loan to its 31-90 day fees</t>
        </is>
      </c>
      <c r="C160" s="37" t="n">
        <v>9</v>
      </c>
      <c r="F160" s="5" t="inlineStr">
        <is>
          <t>fixed</t>
        </is>
      </c>
      <c r="G160" s="5" t="inlineStr">
        <is>
          <t>months</t>
        </is>
      </c>
      <c r="H160" s="5" t="inlineStr">
        <is>
          <t>dpd_lag</t>
        </is>
      </c>
      <c r="I160" s="5" t="inlineStr">
        <is>
          <t>addendum 2: about 9 months after disbursal</t>
        </is>
      </c>
    </row>
    <row r="161">
      <c r="B161" s="2" t="inlineStr">
        <is>
          <t>Months from a loan to its 90+ fees</t>
        </is>
      </c>
      <c r="C161" s="37" t="n">
        <v>18</v>
      </c>
      <c r="F161" s="5" t="inlineStr">
        <is>
          <t>fixed</t>
        </is>
      </c>
      <c r="G161" s="5" t="inlineStr">
        <is>
          <t>months</t>
        </is>
      </c>
      <c r="H161" s="5" t="inlineStr">
        <is>
          <t>rec_lag</t>
        </is>
      </c>
      <c r="I161" s="5" t="inlineStr">
        <is>
          <t>COHORT_INPUTS 6 / addendum 2: about 18 months after disbursal</t>
        </is>
      </c>
    </row>
    <row r="162">
      <c r="B162" s="2" t="inlineStr">
        <is>
          <t>Months over which cards are issued (from the first marketplace month)</t>
        </is>
      </c>
      <c r="C162" s="37" t="n">
        <v>6</v>
      </c>
      <c r="F162" s="5" t="inlineStr">
        <is>
          <t>fixed</t>
        </is>
      </c>
      <c r="G162" s="5" t="inlineStr">
        <is>
          <t>months</t>
        </is>
      </c>
      <c r="H162" s="5" t="inlineStr">
        <is>
          <t>card_months</t>
        </is>
      </c>
      <c r="I162" s="5" t="inlineStr">
        <is>
          <t>Operator 16 Oct: issued once, spread evenly over months 1-6</t>
        </is>
      </c>
    </row>
    <row r="163">
      <c r="B163" s="2" t="inlineStr">
        <is>
          <t>Month of the SIP at which the Choti incentive is paid</t>
        </is>
      </c>
      <c r="C163" s="37" t="n">
        <v>24</v>
      </c>
      <c r="F163" s="5" t="inlineStr">
        <is>
          <t>fixed</t>
        </is>
      </c>
      <c r="G163" s="5" t="inlineStr">
        <is>
          <t>months</t>
        </is>
      </c>
      <c r="H163" s="5" t="inlineStr">
        <is>
          <t>choti_months</t>
        </is>
      </c>
      <c r="I163" s="5" t="inlineStr">
        <is>
          <t>addendum 1: paid at month 24 of the SIP</t>
        </is>
      </c>
    </row>
    <row r="164">
      <c r="B164" s="2" t="inlineStr">
        <is>
          <t>Discount rate for the legacy NPV rows only (the model is undiscounted)</t>
        </is>
      </c>
      <c r="C164" s="37" t="n">
        <v>0.2</v>
      </c>
      <c r="F164" s="5" t="inlineStr">
        <is>
          <t>fixed</t>
        </is>
      </c>
      <c r="G164" s="5" t="inlineStr">
        <is>
          <t>a year</t>
        </is>
      </c>
      <c r="H164" s="5" t="inlineStr">
        <is>
          <t>legacy_discount</t>
        </is>
      </c>
      <c r="I164" s="5" t="inlineStr">
        <is>
          <t>Round 5: 'we dont need to have a discount rate as of now. Let VC calculate it' - cumulative P&amp;L; 20% kept for reference</t>
        </is>
      </c>
    </row>
    <row r="165">
      <c r="B165" s="2" t="inlineStr">
        <is>
          <t>Agent pay on balance after the growth phase, a year</t>
        </is>
      </c>
      <c r="C165" s="37" t="n">
        <v>0.001</v>
      </c>
      <c r="F165" s="5" t="inlineStr">
        <is>
          <t>fixed</t>
        </is>
      </c>
      <c r="G165" s="5" t="inlineStr">
        <is>
          <t>share of balance a year</t>
        </is>
      </c>
      <c r="H165" s="5" t="inlineStr">
        <is>
          <t>agent_pay_after</t>
        </is>
      </c>
      <c r="I165" s="5" t="inlineStr">
        <is>
          <t>Round 7: 0.10% from company month 61 (outside the 60-month horizon)</t>
        </is>
      </c>
    </row>
    <row r="166">
      <c r="B166" s="2" t="inlineStr">
        <is>
          <t>Growth phase (company months at the full agent pay on balance)</t>
        </is>
      </c>
      <c r="C166" s="37" t="n">
        <v>60</v>
      </c>
      <c r="F166" s="5" t="inlineStr">
        <is>
          <t>fixed</t>
        </is>
      </c>
      <c r="G166" s="5" t="inlineStr">
        <is>
          <t>months</t>
        </is>
      </c>
      <c r="H166" s="5" t="inlineStr">
        <is>
          <t>growth_months</t>
        </is>
      </c>
      <c r="I166" s="5" t="inlineStr">
        <is>
          <t>Round 7</t>
        </is>
      </c>
    </row>
    <row r="167">
      <c r="B167" s="2" t="inlineStr">
        <is>
          <t>Sign-ups a month, at most</t>
        </is>
      </c>
      <c r="C167" s="37" t="n">
        <v>100</v>
      </c>
      <c r="F167" s="5" t="inlineStr">
        <is>
          <t>fixed</t>
        </is>
      </c>
      <c r="G167" s="5" t="inlineStr">
        <is>
          <t>sign-ups a month</t>
        </is>
      </c>
      <c r="H167" s="5" t="inlineStr">
        <is>
          <t>signup_cap</t>
        </is>
      </c>
      <c r="I167" s="5" t="inlineStr">
        <is>
          <t>Addendum 4 cap</t>
        </is>
      </c>
    </row>
    <row r="168">
      <c r="B168" s="2" t="inlineStr">
        <is>
          <t>Take-up (and card approval) factor, at most</t>
        </is>
      </c>
      <c r="C168" s="37" t="n">
        <v>2</v>
      </c>
      <c r="F168" s="5" t="inlineStr">
        <is>
          <t>fixed</t>
        </is>
      </c>
      <c r="G168" s="5" t="inlineStr">
        <is>
          <t>x the agreed rate</t>
        </is>
      </c>
      <c r="H168" s="5" t="inlineStr">
        <is>
          <t>takeup_cap</t>
        </is>
      </c>
      <c r="I168" s="5" t="inlineStr">
        <is>
          <t>Addendum 4 cap: 2x the agreed rate</t>
        </is>
      </c>
    </row>
    <row r="169">
      <c r="B169" s="2" t="inlineStr">
        <is>
          <t>First-loan approval, at most</t>
        </is>
      </c>
      <c r="C169" s="37" t="n">
        <v>0.8</v>
      </c>
      <c r="F169" s="5" t="inlineStr">
        <is>
          <t>fixed</t>
        </is>
      </c>
      <c r="G169" s="5" t="inlineStr">
        <is>
          <t>share</t>
        </is>
      </c>
      <c r="H169" s="5" t="inlineStr">
        <is>
          <t>approval_cap</t>
        </is>
      </c>
      <c r="I169" s="5" t="inlineStr">
        <is>
          <t>Addendum 4 cap: 80% absolute (XL-41 Kissht repeat 74%)</t>
        </is>
      </c>
    </row>
    <row r="170">
      <c r="B170" s="2" t="inlineStr">
        <is>
          <t>Repeat loan size, at most</t>
        </is>
      </c>
      <c r="C170" s="37" t="n">
        <v>500000</v>
      </c>
      <c r="F170" s="5" t="inlineStr">
        <is>
          <t>fixed</t>
        </is>
      </c>
      <c r="G170" s="5" t="inlineStr">
        <is>
          <t>Rs</t>
        </is>
      </c>
      <c r="H170" s="5" t="inlineStr">
        <is>
          <t>ticket_cap</t>
        </is>
      </c>
      <c r="I170" s="5" t="inlineStr">
        <is>
          <t>Addendum 4 cap: Rs 5 lakh (XL-12 Bachatt up to Rs 5 lakh)</t>
        </is>
      </c>
    </row>
    <row r="171">
      <c r="B171" s="2" t="inlineStr">
        <is>
          <t>Months after a loan before a top-up (12 EMIs paid)</t>
        </is>
      </c>
      <c r="C171" s="37" t="n">
        <v>13</v>
      </c>
      <c r="F171" s="5" t="inlineStr">
        <is>
          <t>fixed</t>
        </is>
      </c>
      <c r="G171" s="5" t="inlineStr">
        <is>
          <t>months</t>
        </is>
      </c>
      <c r="H171" s="5" t="inlineStr">
        <is>
          <t>topup_lag</t>
        </is>
      </c>
      <c r="I171" s="5" t="inlineStr">
        <is>
          <t>Addendum 4: borrowers with 12+ EMIs paid</t>
        </is>
      </c>
    </row>
    <row r="172">
      <c r="B172" s="2" t="inlineStr">
        <is>
          <t>A saver's early months (the early take-up and approval factors apply)</t>
        </is>
      </c>
      <c r="C172" s="37" t="n">
        <v>6</v>
      </c>
      <c r="F172" s="5" t="inlineStr">
        <is>
          <t>fixed</t>
        </is>
      </c>
      <c r="G172" s="5" t="inlineStr">
        <is>
          <t>months</t>
        </is>
      </c>
      <c r="H172" s="5" t="inlineStr">
        <is>
          <t>early_months</t>
        </is>
      </c>
      <c r="I172" s="5" t="inlineStr">
        <is>
          <t>Operator 16 Oct: months 1-6 can have low take-up and approval rates; 1.0 from month 7</t>
        </is>
      </c>
    </row>
    <row r="174">
      <c r="A174" s="24" t="inlineStr">
        <is>
          <t>Derived (formulas: do not type here)</t>
        </is>
      </c>
      <c r="B174" s="25" t="n"/>
      <c r="C174" s="25" t="n"/>
      <c r="D174" s="25" t="n"/>
      <c r="E174" s="25" t="n"/>
      <c r="F174" s="25" t="n"/>
      <c r="G174" s="25" t="n"/>
      <c r="H174" s="25" t="n"/>
      <c r="I174" s="25" t="n"/>
    </row>
    <row r="175">
      <c r="B175" s="2" t="inlineStr">
        <is>
          <t>Monthly discount rate (0: cumulative P&amp;L)</t>
        </is>
      </c>
      <c r="C175" s="38">
        <f>(1+in_discount)^(1/12)-1</f>
        <v/>
      </c>
      <c r="H175" s="5" t="inlineStr">
        <is>
          <t>d_dm</t>
        </is>
      </c>
    </row>
    <row r="176">
      <c r="B176" s="2" t="inlineStr">
        <is>
          <t>Monthly discount rate for the legacy NPV rows</t>
        </is>
      </c>
      <c r="C176" s="38">
        <f>(1+in_legacy_discount)^(1/12)-1</f>
        <v/>
      </c>
      <c r="H176" s="5" t="inlineStr">
        <is>
          <t>d_dm20</t>
        </is>
      </c>
    </row>
    <row r="177">
      <c r="B177" s="2" t="inlineStr">
        <is>
          <t>Saver's net return, monthly</t>
        </is>
      </c>
      <c r="C177" s="38">
        <f>(1+in_fund_return)^(1/12)-1</f>
        <v/>
      </c>
      <c r="H177" s="5" t="inlineStr">
        <is>
          <t>d_rm</t>
        </is>
      </c>
    </row>
    <row r="178">
      <c r="B178" s="2" t="inlineStr">
        <is>
          <t>Monthly drop-off, months 1-3</t>
        </is>
      </c>
      <c r="C178" s="38">
        <f>1-in_r3^(1/3)</f>
        <v/>
      </c>
      <c r="H178" s="5" t="inlineStr">
        <is>
          <t>d_h1</t>
        </is>
      </c>
    </row>
    <row r="179">
      <c r="B179" s="2" t="inlineStr">
        <is>
          <t>Monthly drop-off, months 4-12</t>
        </is>
      </c>
      <c r="C179" s="38">
        <f>1-(in_r12/in_r3)^(1/9)</f>
        <v/>
      </c>
      <c r="H179" s="5" t="inlineStr">
        <is>
          <t>d_h2</t>
        </is>
      </c>
    </row>
    <row r="180">
      <c r="B180" s="2" t="inlineStr">
        <is>
          <t>Monthly loan-application hazard</t>
        </is>
      </c>
      <c r="C180" s="38">
        <f>1-(1-in_apply)^(1/12)</f>
        <v/>
      </c>
      <c r="H180" s="5" t="inlineStr">
        <is>
          <t>d_hz</t>
        </is>
      </c>
    </row>
    <row r="181">
      <c r="B181" s="2" t="inlineStr">
        <is>
          <t>Monthly first-loan rate (hazard x eligible x approved)</t>
        </is>
      </c>
      <c r="C181" s="38">
        <f>d_hz*in_eligible*in_approved_first</f>
        <v/>
      </c>
      <c r="H181" s="5" t="inlineStr">
        <is>
          <t>d_q1</t>
        </is>
      </c>
    </row>
    <row r="182">
      <c r="B182" s="2" t="inlineStr">
        <is>
          <t>Monthly repeat-loan rate</t>
        </is>
      </c>
      <c r="C182" s="38">
        <f>d_hz*in_eligible*in_approved_repeat</f>
        <v/>
      </c>
      <c r="H182" s="5" t="inlineStr">
        <is>
          <t>d_q2</t>
        </is>
      </c>
    </row>
    <row r="183">
      <c r="B183" s="2" t="inlineStr">
        <is>
          <t>Loan tenure in whole months</t>
        </is>
      </c>
      <c r="C183" s="39">
        <f>MAX(1,ROUND(in_tenure,0))</f>
        <v/>
      </c>
      <c r="H183" s="5" t="inlineStr">
        <is>
          <t>d_T</t>
        </is>
      </c>
    </row>
    <row r="184">
      <c r="B184" s="2" t="inlineStr">
        <is>
          <t>EMI on one loan (Rs a month)</t>
        </is>
      </c>
      <c r="C184" s="14">
        <f>in_ticket*(in_rate/12)/(1-(1+in_rate/12)^(-d_T))</f>
        <v/>
      </c>
      <c r="H184" s="5" t="inlineStr">
        <is>
          <t>d_emi</t>
        </is>
      </c>
    </row>
    <row r="185">
      <c r="B185" s="2" t="inlineStr">
        <is>
          <t>Share of EMIs paid as scheduled</t>
        </is>
      </c>
      <c r="C185" s="11">
        <f>1-in_loss/(1-in_recovered)</f>
        <v/>
      </c>
      <c r="H185" s="5" t="inlineStr">
        <is>
          <t>d_paid</t>
        </is>
      </c>
    </row>
    <row r="186">
      <c r="B186" s="2" t="inlineStr">
        <is>
          <t>Origination fee kept, per loan (Rs)</t>
        </is>
      </c>
      <c r="C186" s="14">
        <f>in_ticket*in_fee*(1-in_taken_back)</f>
        <v/>
      </c>
      <c r="H186" s="5" t="inlineStr">
        <is>
          <t>d_orig</t>
        </is>
      </c>
    </row>
    <row r="187">
      <c r="B187" s="2" t="inlineStr">
        <is>
          <t>Implied share of loans that ever go 90+ days bad (CRIF NG-015 10.2%, MAC-03 3.6%)</t>
        </is>
      </c>
      <c r="C187" s="11">
        <f>in_loss/(in_owed*(1-in_recovered))</f>
        <v/>
      </c>
      <c r="H187" s="5" t="inlineStr">
        <is>
          <t>d_p90</t>
        </is>
      </c>
    </row>
    <row r="188">
      <c r="B188" s="2" t="inlineStr">
        <is>
          <t>Early brought back + p90 (page check: at most 50%)</t>
        </is>
      </c>
      <c r="C188" s="11">
        <f>in_early_cured+d_p90</f>
        <v/>
      </c>
      <c r="H188" s="5" t="inlineStr">
        <is>
          <t>d_check</t>
        </is>
      </c>
    </row>
    <row r="189">
      <c r="B189" s="2" t="inlineStr">
        <is>
          <t>Page check</t>
        </is>
      </c>
      <c r="C189" s="2">
        <f>IF(d_check&gt;0.5,"FLAG: above 50%","ok")</f>
        <v/>
      </c>
      <c r="H189" s="5" t="inlineStr">
        <is>
          <t>d_check_flag</t>
        </is>
      </c>
    </row>
    <row r="190">
      <c r="B190" s="2" t="inlineStr">
        <is>
          <t>31-90 day fees per loan made (Rs)</t>
        </is>
      </c>
      <c r="C190" s="14">
        <f>in_early_cured*in_fee_early</f>
        <v/>
      </c>
      <c r="H190" s="5" t="inlineStr">
        <is>
          <t>d_dpd</t>
        </is>
      </c>
    </row>
    <row r="191">
      <c r="B191" s="2" t="inlineStr">
        <is>
          <t>90+ recovery fees per loan made (Rs)</t>
        </is>
      </c>
      <c r="C191" s="14">
        <f>d_p90*in_recovered*in_fee_b3</f>
        <v/>
      </c>
      <c r="H191" s="5" t="inlineStr">
        <is>
          <t>d_rec</t>
        </is>
      </c>
    </row>
    <row r="192">
      <c r="B192" s="2" t="inlineStr">
        <is>
          <t>Accounts brought back at 31-90 days, per loan</t>
        </is>
      </c>
      <c r="C192" s="40">
        <f>in_early_cured</f>
        <v/>
      </c>
      <c r="H192" s="5" t="inlineStr">
        <is>
          <t>d_cured</t>
        </is>
      </c>
    </row>
    <row r="193">
      <c r="B193" s="2" t="inlineStr">
        <is>
          <t>Card share held back by the early factors, issued in the next 6 months</t>
        </is>
      </c>
      <c r="C193" s="11">
        <f>MAX(0,1-SUM('Age profile'!$P$2:$P$61)/in_card_months)</f>
        <v/>
      </c>
      <c r="H193" s="5" t="inlineStr">
        <is>
          <t>d_card_rem</t>
        </is>
      </c>
    </row>
    <row r="194">
      <c r="B194" s="2" t="inlineStr">
        <is>
          <t>Monthly top-up hazard (borrowers with 12+ EMIs paid)</t>
        </is>
      </c>
      <c r="C194" s="38">
        <f>1-(1-in_topup_share)^(1/12)</f>
        <v/>
      </c>
      <c r="H194" s="5" t="inlineStr">
        <is>
          <t>d_u</t>
        </is>
      </c>
    </row>
    <row r="195">
      <c r="B195" s="2" t="inlineStr">
        <is>
          <t>Top-up window helper: (1 - hazard)^(tenure - 13)</t>
        </is>
      </c>
      <c r="C195" s="40">
        <f>(1-d_u)^MAX(0,d_T-in_topup_lag)</f>
        <v/>
      </c>
      <c r="H195" s="5" t="inlineStr">
        <is>
          <t>d_udrop</t>
        </is>
      </c>
    </row>
    <row r="196">
      <c r="B196" s="2" t="inlineStr">
        <is>
          <t>Repeat loan size after his loan is repaid (Rs)</t>
        </is>
      </c>
      <c r="C196" s="9">
        <f>MIN(in_ticket_cap,in_ticket*(1+in_ticket_growth)^(d_T/12))</f>
        <v/>
      </c>
      <c r="H196" s="5" t="inlineStr">
        <is>
          <t>d_rep_ticket</t>
        </is>
      </c>
    </row>
    <row r="197">
      <c r="B197" s="2" t="inlineStr">
        <is>
          <t>Top-up size (Rs; a year repaid)</t>
        </is>
      </c>
      <c r="C197" s="9">
        <f>in_topup_size*in_ticket*(1+in_ticket_growth)</f>
        <v/>
      </c>
      <c r="H197" s="5" t="inlineStr">
        <is>
          <t>d_topup_amt</t>
        </is>
      </c>
    </row>
    <row r="198">
      <c r="B198" s="2" t="inlineStr">
        <is>
          <t>Top-up size as a share of the base ticket (collections pro rata)</t>
        </is>
      </c>
      <c r="C198" s="11">
        <f>d_topup_amt/in_ticket</f>
        <v/>
      </c>
      <c r="H198" s="5" t="inlineStr">
        <is>
          <t>d_topup_ratio</t>
        </is>
      </c>
    </row>
    <row r="199">
      <c r="B199" s="2" t="inlineStr">
        <is>
          <t>Accounts recovered after 90 days, per loan</t>
        </is>
      </c>
      <c r="C199" s="40">
        <f>d_p90*in_recovered</f>
        <v/>
      </c>
      <c r="H199" s="5" t="inlineStr">
        <is>
          <t>d_recd</t>
        </is>
      </c>
    </row>
    <row r="200">
      <c r="B200" s="2" t="inlineStr">
        <is>
          <t>Small health / hospital cash: monthly take-up hazard</t>
        </is>
      </c>
      <c r="C200" s="38">
        <f>1-(1-in_hlth_small_takeup)^(1/12)</f>
        <v/>
      </c>
      <c r="H200" s="5" t="inlineStr">
        <is>
          <t>d_hz_hlth_small</t>
        </is>
      </c>
    </row>
    <row r="201">
      <c r="B201" s="2" t="inlineStr">
        <is>
          <t>Family health cover: monthly take-up hazard</t>
        </is>
      </c>
      <c r="C201" s="38">
        <f>1-(1-in_hlth_family_takeup)^(1/12)</f>
        <v/>
      </c>
      <c r="H201" s="5" t="inlineStr">
        <is>
          <t>d_hz_hlth_family</t>
        </is>
      </c>
    </row>
    <row r="202">
      <c r="B202" s="2" t="inlineStr">
        <is>
          <t>Term life (small cover): monthly take-up hazard</t>
        </is>
      </c>
      <c r="C202" s="38">
        <f>1-(1-in_life_term_takeup)^(1/12)</f>
        <v/>
      </c>
      <c r="H202" s="5" t="inlineStr">
        <is>
          <t>d_hz_life_term</t>
        </is>
      </c>
    </row>
    <row r="203">
      <c r="B203" s="2" t="inlineStr">
        <is>
          <t>Personal accident: monthly take-up hazard</t>
        </is>
      </c>
      <c r="C203" s="38">
        <f>1-(1-in_accident_takeup)^(1/12)</f>
        <v/>
      </c>
      <c r="H203" s="5" t="inlineStr">
        <is>
          <t>d_hz_accident</t>
        </is>
      </c>
    </row>
    <row r="204">
      <c r="B204" s="2" t="inlineStr">
        <is>
          <t>Two-wheeler insurance: monthly take-up hazard</t>
        </is>
      </c>
      <c r="C204" s="38">
        <f>1-(1-in_two_wheeler_takeup)^(1/12)</f>
        <v/>
      </c>
      <c r="H204" s="5" t="inlineStr">
        <is>
          <t>d_hz_two_wheeler</t>
        </is>
      </c>
    </row>
    <row r="205">
      <c r="B205" s="2" t="inlineStr">
        <is>
          <t>Mobile / device insurance: monthly take-up hazard</t>
        </is>
      </c>
      <c r="C205" s="38">
        <f>1-(1-in_device_takeup)^(1/12)</f>
        <v/>
      </c>
      <c r="H205" s="5" t="inlineStr">
        <is>
          <t>d_hz_device</t>
        </is>
      </c>
    </row>
    <row r="206">
      <c r="B206" s="2" t="inlineStr">
        <is>
          <t>Shop insurance (fire and burglary): monthly take-up hazard</t>
        </is>
      </c>
      <c r="C206" s="38">
        <f>1-(1-in_shop_takeup)^(1/12)</f>
        <v/>
      </c>
      <c r="H206" s="5" t="inlineStr">
        <is>
          <t>d_hz_shop</t>
        </is>
      </c>
    </row>
    <row r="207">
      <c r="B207" s="2" t="inlineStr">
        <is>
          <t>Equity/hybrid SIP trail: monthly take-up hazard</t>
        </is>
      </c>
      <c r="C207" s="38">
        <f>1-(1-in_sip_takeup)^(1/12)</f>
        <v/>
      </c>
      <c r="H207" s="5" t="inlineStr">
        <is>
          <t>d_hz_sip</t>
        </is>
      </c>
    </row>
    <row r="208">
      <c r="B208" s="2" t="inlineStr">
        <is>
          <t>Equity/hybrid SIP trail: monthly persistence</t>
        </is>
      </c>
      <c r="C208" s="40">
        <f>in_sip_renew^(1/12)</f>
        <v/>
      </c>
      <c r="H208" s="5" t="inlineStr">
        <is>
          <t>d_rho_sip</t>
        </is>
      </c>
    </row>
    <row r="209">
      <c r="B209" s="2" t="inlineStr">
        <is>
          <t>Choti SIP incentive: monthly take-up hazard</t>
        </is>
      </c>
      <c r="C209" s="38">
        <f>1-(1-in_choti_takeup)^(1/12)</f>
        <v/>
      </c>
      <c r="H209" s="5" t="inlineStr">
        <is>
          <t>d_hz_choti</t>
        </is>
      </c>
    </row>
    <row r="210">
      <c r="B210" s="2" t="inlineStr">
        <is>
          <t>NPS: monthly take-up hazard</t>
        </is>
      </c>
      <c r="C210" s="38">
        <f>1-(1-in_nps_takeup)^(1/12)</f>
        <v/>
      </c>
      <c r="H210" s="5" t="inlineStr">
        <is>
          <t>d_hz_nps</t>
        </is>
      </c>
    </row>
    <row r="211">
      <c r="B211" s="2" t="inlineStr">
        <is>
          <t>Digital gold: monthly take-up hazard</t>
        </is>
      </c>
      <c r="C211" s="38">
        <f>1-(1-in_gold_takeup)^(1/12)</f>
        <v/>
      </c>
      <c r="H211" s="5" t="inlineStr">
        <is>
          <t>d_hz_gold</t>
        </is>
      </c>
    </row>
    <row r="212">
      <c r="B212" s="2" t="inlineStr">
        <is>
          <t>Digital gold: monthly persistence</t>
        </is>
      </c>
      <c r="C212" s="40">
        <f>in_gold_renew^(1/12)</f>
        <v/>
      </c>
      <c r="H212" s="5" t="inlineStr">
        <is>
          <t>d_rho_gold</t>
        </is>
      </c>
    </row>
    <row r="213">
      <c r="B213" s="2" t="inlineStr">
        <is>
          <t>FD via partner banks: monthly take-up hazard</t>
        </is>
      </c>
      <c r="C213" s="38">
        <f>1-(1-in_fd_takeup)^(1/12)</f>
        <v/>
      </c>
      <c r="H213" s="5" t="inlineStr">
        <is>
          <t>d_hz_fd</t>
        </is>
      </c>
    </row>
    <row r="214">
      <c r="B214" s="2" t="inlineStr">
        <is>
          <t>Mobile recharge: monthly take-up hazard</t>
        </is>
      </c>
      <c r="C214" s="38">
        <f>1-(1-in_recharge_takeup)^(1/12)</f>
        <v/>
      </c>
      <c r="H214" s="5" t="inlineStr">
        <is>
          <t>d_hz_recharge</t>
        </is>
      </c>
    </row>
    <row r="215">
      <c r="B215" s="2" t="inlineStr">
        <is>
          <t>Mobile recharge: monthly persistence</t>
        </is>
      </c>
      <c r="C215" s="40">
        <f>in_recharge_renew^(1/12)</f>
        <v/>
      </c>
      <c r="H215" s="5" t="inlineStr">
        <is>
          <t>d_rho_recharge</t>
        </is>
      </c>
    </row>
    <row r="216">
      <c r="B216" s="2" t="inlineStr">
        <is>
          <t>Bill payments: monthly take-up hazard</t>
        </is>
      </c>
      <c r="C216" s="38">
        <f>1-(1-in_bills_takeup)^(1/12)</f>
        <v/>
      </c>
      <c r="H216" s="5" t="inlineStr">
        <is>
          <t>d_hz_bills</t>
        </is>
      </c>
    </row>
    <row r="217">
      <c r="B217" s="2" t="inlineStr">
        <is>
          <t>Bill payments: monthly persistence</t>
        </is>
      </c>
      <c r="C217" s="40">
        <f>in_bills_renew^(1/12)</f>
        <v/>
      </c>
      <c r="H217" s="5" t="inlineStr">
        <is>
          <t>d_rho_bills</t>
        </is>
      </c>
    </row>
    <row r="218">
      <c r="B218" s="2" t="inlineStr">
        <is>
          <t>Gold loan (other lenders): monthly take-up hazard</t>
        </is>
      </c>
      <c r="C218" s="38">
        <f>1-(1-in_loan_gold_takeup)^(1/12)</f>
        <v/>
      </c>
      <c r="H218" s="5" t="inlineStr">
        <is>
          <t>d_hz_loan_gold</t>
        </is>
      </c>
    </row>
    <row r="219">
      <c r="B219" s="2" t="inlineStr">
        <is>
          <t>Consumer-durable loan: monthly take-up hazard</t>
        </is>
      </c>
      <c r="C219" s="38">
        <f>1-(1-in_loan_cd_takeup)^(1/12)</f>
        <v/>
      </c>
      <c r="H219" s="5" t="inlineStr">
        <is>
          <t>d_hz_loan_cd</t>
        </is>
      </c>
    </row>
    <row r="220">
      <c r="B220" s="2" t="inlineStr">
        <is>
          <t>Two-wheeler / e-rickshaw loan: monthly take-up hazard</t>
        </is>
      </c>
      <c r="C220" s="38">
        <f>1-(1-in_loan_vehicle_takeup)^(1/12)</f>
        <v/>
      </c>
      <c r="H220" s="5" t="inlineStr">
        <is>
          <t>d_hz_loan_vehicle</t>
        </is>
      </c>
    </row>
    <row r="221">
      <c r="B221" s="2" t="inlineStr">
        <is>
          <t>Home loan (affordable housing): monthly take-up hazard</t>
        </is>
      </c>
      <c r="C221" s="38">
        <f>1-(1-in_loan_home_takeup)^(1/12)</f>
        <v/>
      </c>
      <c r="H221" s="5" t="inlineStr">
        <is>
          <t>d_hz_loan_home</t>
        </is>
      </c>
    </row>
    <row r="222">
      <c r="B222" s="2" t="inlineStr">
        <is>
          <t>Loan against property (shop or home): monthly take-up hazard</t>
        </is>
      </c>
      <c r="C222" s="38">
        <f>1-(1-in_loan_lap_takeup)^(1/12)</f>
        <v/>
      </c>
      <c r="H222" s="5" t="inlineStr">
        <is>
          <t>d_hz_loan_lap</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6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16" customWidth="1" min="4" max="4"/>
  </cols>
  <sheetData>
    <row r="1" ht="54" customHeight="1">
      <c r="A1" s="23" t="inlineStr">
        <is>
          <t>Age (month since sign-up)</t>
        </is>
      </c>
      <c r="B1" s="23" t="inlineStr">
        <is>
          <t>Monthly drop-off after this month</t>
        </is>
      </c>
      <c r="C1" s="23" t="inlineStr">
        <is>
          <t>Still saving (share of sign-ups)</t>
        </is>
      </c>
      <c r="D1" s="23" t="inlineStr">
        <is>
          <t>Stopped this month</t>
        </is>
      </c>
    </row>
    <row r="2">
      <c r="A2" s="2" t="n">
        <v>1</v>
      </c>
      <c r="B2" s="41">
        <f>IF(A2&lt;=3,d_h1,IF(A2&lt;=12,d_h2,in_churn_late))</f>
        <v/>
      </c>
      <c r="C2" s="11" t="n">
        <v>1</v>
      </c>
      <c r="D2" s="41" t="n">
        <v>0</v>
      </c>
    </row>
    <row r="3">
      <c r="A3" s="2" t="n">
        <v>2</v>
      </c>
      <c r="B3" s="41">
        <f>IF(A3&lt;=3,d_h1,IF(A3&lt;=12,d_h2,in_churn_late))</f>
        <v/>
      </c>
      <c r="C3" s="19">
        <f>C2*(1-B2)</f>
        <v/>
      </c>
      <c r="D3" s="41">
        <f>C2-C3</f>
        <v/>
      </c>
    </row>
    <row r="4">
      <c r="A4" s="2" t="n">
        <v>3</v>
      </c>
      <c r="B4" s="41">
        <f>IF(A4&lt;=3,d_h1,IF(A4&lt;=12,d_h2,in_churn_late))</f>
        <v/>
      </c>
      <c r="C4" s="19">
        <f>C3*(1-B3)</f>
        <v/>
      </c>
      <c r="D4" s="41">
        <f>C3-C4</f>
        <v/>
      </c>
    </row>
    <row r="5">
      <c r="A5" s="2" t="n">
        <v>4</v>
      </c>
      <c r="B5" s="41">
        <f>IF(A5&lt;=3,d_h1,IF(A5&lt;=12,d_h2,in_churn_late))</f>
        <v/>
      </c>
      <c r="C5" s="19">
        <f>C4*(1-B4)</f>
        <v/>
      </c>
      <c r="D5" s="41">
        <f>C4-C5</f>
        <v/>
      </c>
    </row>
    <row r="6">
      <c r="A6" s="2" t="n">
        <v>5</v>
      </c>
      <c r="B6" s="41">
        <f>IF(A6&lt;=3,d_h1,IF(A6&lt;=12,d_h2,in_churn_late))</f>
        <v/>
      </c>
      <c r="C6" s="19">
        <f>C5*(1-B5)</f>
        <v/>
      </c>
      <c r="D6" s="41">
        <f>C5-C6</f>
        <v/>
      </c>
    </row>
    <row r="7">
      <c r="A7" s="2" t="n">
        <v>6</v>
      </c>
      <c r="B7" s="41">
        <f>IF(A7&lt;=3,d_h1,IF(A7&lt;=12,d_h2,in_churn_late))</f>
        <v/>
      </c>
      <c r="C7" s="19">
        <f>C6*(1-B6)</f>
        <v/>
      </c>
      <c r="D7" s="41">
        <f>C6-C7</f>
        <v/>
      </c>
    </row>
    <row r="8">
      <c r="A8" s="2" t="n">
        <v>7</v>
      </c>
      <c r="B8" s="41">
        <f>IF(A8&lt;=3,d_h1,IF(A8&lt;=12,d_h2,in_churn_late))</f>
        <v/>
      </c>
      <c r="C8" s="19">
        <f>C7*(1-B7)</f>
        <v/>
      </c>
      <c r="D8" s="41">
        <f>C7-C8</f>
        <v/>
      </c>
    </row>
    <row r="9">
      <c r="A9" s="2" t="n">
        <v>8</v>
      </c>
      <c r="B9" s="41">
        <f>IF(A9&lt;=3,d_h1,IF(A9&lt;=12,d_h2,in_churn_late))</f>
        <v/>
      </c>
      <c r="C9" s="19">
        <f>C8*(1-B8)</f>
        <v/>
      </c>
      <c r="D9" s="41">
        <f>C8-C9</f>
        <v/>
      </c>
    </row>
    <row r="10">
      <c r="A10" s="2" t="n">
        <v>9</v>
      </c>
      <c r="B10" s="41">
        <f>IF(A10&lt;=3,d_h1,IF(A10&lt;=12,d_h2,in_churn_late))</f>
        <v/>
      </c>
      <c r="C10" s="19">
        <f>C9*(1-B9)</f>
        <v/>
      </c>
      <c r="D10" s="41">
        <f>C9-C10</f>
        <v/>
      </c>
    </row>
    <row r="11">
      <c r="A11" s="2" t="n">
        <v>10</v>
      </c>
      <c r="B11" s="41">
        <f>IF(A11&lt;=3,d_h1,IF(A11&lt;=12,d_h2,in_churn_late))</f>
        <v/>
      </c>
      <c r="C11" s="19">
        <f>C10*(1-B10)</f>
        <v/>
      </c>
      <c r="D11" s="41">
        <f>C10-C11</f>
        <v/>
      </c>
    </row>
    <row r="12">
      <c r="A12" s="2" t="n">
        <v>11</v>
      </c>
      <c r="B12" s="41">
        <f>IF(A12&lt;=3,d_h1,IF(A12&lt;=12,d_h2,in_churn_late))</f>
        <v/>
      </c>
      <c r="C12" s="19">
        <f>C11*(1-B11)</f>
        <v/>
      </c>
      <c r="D12" s="41">
        <f>C11-C12</f>
        <v/>
      </c>
    </row>
    <row r="13">
      <c r="A13" s="2" t="n">
        <v>12</v>
      </c>
      <c r="B13" s="41">
        <f>IF(A13&lt;=3,d_h1,IF(A13&lt;=12,d_h2,in_churn_late))</f>
        <v/>
      </c>
      <c r="C13" s="19">
        <f>C12*(1-B12)</f>
        <v/>
      </c>
      <c r="D13" s="41">
        <f>C12-C13</f>
        <v/>
      </c>
    </row>
    <row r="14">
      <c r="A14" s="2" t="n">
        <v>13</v>
      </c>
      <c r="B14" s="41">
        <f>IF(A14&lt;=3,d_h1,IF(A14&lt;=12,d_h2,in_churn_late))</f>
        <v/>
      </c>
      <c r="C14" s="19">
        <f>C13*(1-B13)</f>
        <v/>
      </c>
      <c r="D14" s="41">
        <f>C13-C14</f>
        <v/>
      </c>
    </row>
    <row r="15">
      <c r="A15" s="2" t="n">
        <v>14</v>
      </c>
      <c r="B15" s="41">
        <f>IF(A15&lt;=3,d_h1,IF(A15&lt;=12,d_h2,in_churn_late))</f>
        <v/>
      </c>
      <c r="C15" s="19">
        <f>C14*(1-B14)</f>
        <v/>
      </c>
      <c r="D15" s="41">
        <f>C14-C15</f>
        <v/>
      </c>
    </row>
    <row r="16">
      <c r="A16" s="2" t="n">
        <v>15</v>
      </c>
      <c r="B16" s="41">
        <f>IF(A16&lt;=3,d_h1,IF(A16&lt;=12,d_h2,in_churn_late))</f>
        <v/>
      </c>
      <c r="C16" s="19">
        <f>C15*(1-B15)</f>
        <v/>
      </c>
      <c r="D16" s="41">
        <f>C15-C16</f>
        <v/>
      </c>
    </row>
    <row r="17">
      <c r="A17" s="2" t="n">
        <v>16</v>
      </c>
      <c r="B17" s="41">
        <f>IF(A17&lt;=3,d_h1,IF(A17&lt;=12,d_h2,in_churn_late))</f>
        <v/>
      </c>
      <c r="C17" s="19">
        <f>C16*(1-B16)</f>
        <v/>
      </c>
      <c r="D17" s="41">
        <f>C16-C17</f>
        <v/>
      </c>
    </row>
    <row r="18">
      <c r="A18" s="2" t="n">
        <v>17</v>
      </c>
      <c r="B18" s="41">
        <f>IF(A18&lt;=3,d_h1,IF(A18&lt;=12,d_h2,in_churn_late))</f>
        <v/>
      </c>
      <c r="C18" s="19">
        <f>C17*(1-B17)</f>
        <v/>
      </c>
      <c r="D18" s="41">
        <f>C17-C18</f>
        <v/>
      </c>
    </row>
    <row r="19">
      <c r="A19" s="2" t="n">
        <v>18</v>
      </c>
      <c r="B19" s="41">
        <f>IF(A19&lt;=3,d_h1,IF(A19&lt;=12,d_h2,in_churn_late))</f>
        <v/>
      </c>
      <c r="C19" s="19">
        <f>C18*(1-B18)</f>
        <v/>
      </c>
      <c r="D19" s="41">
        <f>C18-C19</f>
        <v/>
      </c>
    </row>
    <row r="20">
      <c r="A20" s="2" t="n">
        <v>19</v>
      </c>
      <c r="B20" s="41">
        <f>IF(A20&lt;=3,d_h1,IF(A20&lt;=12,d_h2,in_churn_late))</f>
        <v/>
      </c>
      <c r="C20" s="19">
        <f>C19*(1-B19)</f>
        <v/>
      </c>
      <c r="D20" s="41">
        <f>C19-C20</f>
        <v/>
      </c>
    </row>
    <row r="21">
      <c r="A21" s="2" t="n">
        <v>20</v>
      </c>
      <c r="B21" s="41">
        <f>IF(A21&lt;=3,d_h1,IF(A21&lt;=12,d_h2,in_churn_late))</f>
        <v/>
      </c>
      <c r="C21" s="19">
        <f>C20*(1-B20)</f>
        <v/>
      </c>
      <c r="D21" s="41">
        <f>C20-C21</f>
        <v/>
      </c>
    </row>
    <row r="22">
      <c r="A22" s="2" t="n">
        <v>21</v>
      </c>
      <c r="B22" s="41">
        <f>IF(A22&lt;=3,d_h1,IF(A22&lt;=12,d_h2,in_churn_late))</f>
        <v/>
      </c>
      <c r="C22" s="19">
        <f>C21*(1-B21)</f>
        <v/>
      </c>
      <c r="D22" s="41">
        <f>C21-C22</f>
        <v/>
      </c>
    </row>
    <row r="23">
      <c r="A23" s="2" t="n">
        <v>22</v>
      </c>
      <c r="B23" s="41">
        <f>IF(A23&lt;=3,d_h1,IF(A23&lt;=12,d_h2,in_churn_late))</f>
        <v/>
      </c>
      <c r="C23" s="19">
        <f>C22*(1-B22)</f>
        <v/>
      </c>
      <c r="D23" s="41">
        <f>C22-C23</f>
        <v/>
      </c>
    </row>
    <row r="24">
      <c r="A24" s="2" t="n">
        <v>23</v>
      </c>
      <c r="B24" s="41">
        <f>IF(A24&lt;=3,d_h1,IF(A24&lt;=12,d_h2,in_churn_late))</f>
        <v/>
      </c>
      <c r="C24" s="19">
        <f>C23*(1-B23)</f>
        <v/>
      </c>
      <c r="D24" s="41">
        <f>C23-C24</f>
        <v/>
      </c>
    </row>
    <row r="25">
      <c r="A25" s="2" t="n">
        <v>24</v>
      </c>
      <c r="B25" s="41">
        <f>IF(A25&lt;=3,d_h1,IF(A25&lt;=12,d_h2,in_churn_late))</f>
        <v/>
      </c>
      <c r="C25" s="19">
        <f>C24*(1-B24)</f>
        <v/>
      </c>
      <c r="D25" s="41">
        <f>C24-C25</f>
        <v/>
      </c>
    </row>
    <row r="26">
      <c r="A26" s="2" t="n">
        <v>25</v>
      </c>
      <c r="B26" s="41">
        <f>IF(A26&lt;=3,d_h1,IF(A26&lt;=12,d_h2,in_churn_late))</f>
        <v/>
      </c>
      <c r="C26" s="19">
        <f>C25*(1-B25)</f>
        <v/>
      </c>
      <c r="D26" s="41">
        <f>C25-C26</f>
        <v/>
      </c>
    </row>
    <row r="27">
      <c r="A27" s="2" t="n">
        <v>26</v>
      </c>
      <c r="B27" s="41">
        <f>IF(A27&lt;=3,d_h1,IF(A27&lt;=12,d_h2,in_churn_late))</f>
        <v/>
      </c>
      <c r="C27" s="19">
        <f>C26*(1-B26)</f>
        <v/>
      </c>
      <c r="D27" s="41">
        <f>C26-C27</f>
        <v/>
      </c>
    </row>
    <row r="28">
      <c r="A28" s="2" t="n">
        <v>27</v>
      </c>
      <c r="B28" s="41">
        <f>IF(A28&lt;=3,d_h1,IF(A28&lt;=12,d_h2,in_churn_late))</f>
        <v/>
      </c>
      <c r="C28" s="19">
        <f>C27*(1-B27)</f>
        <v/>
      </c>
      <c r="D28" s="41">
        <f>C27-C28</f>
        <v/>
      </c>
    </row>
    <row r="29">
      <c r="A29" s="2" t="n">
        <v>28</v>
      </c>
      <c r="B29" s="41">
        <f>IF(A29&lt;=3,d_h1,IF(A29&lt;=12,d_h2,in_churn_late))</f>
        <v/>
      </c>
      <c r="C29" s="19">
        <f>C28*(1-B28)</f>
        <v/>
      </c>
      <c r="D29" s="41">
        <f>C28-C29</f>
        <v/>
      </c>
    </row>
    <row r="30">
      <c r="A30" s="2" t="n">
        <v>29</v>
      </c>
      <c r="B30" s="41">
        <f>IF(A30&lt;=3,d_h1,IF(A30&lt;=12,d_h2,in_churn_late))</f>
        <v/>
      </c>
      <c r="C30" s="19">
        <f>C29*(1-B29)</f>
        <v/>
      </c>
      <c r="D30" s="41">
        <f>C29-C30</f>
        <v/>
      </c>
    </row>
    <row r="31">
      <c r="A31" s="2" t="n">
        <v>30</v>
      </c>
      <c r="B31" s="41">
        <f>IF(A31&lt;=3,d_h1,IF(A31&lt;=12,d_h2,in_churn_late))</f>
        <v/>
      </c>
      <c r="C31" s="19">
        <f>C30*(1-B30)</f>
        <v/>
      </c>
      <c r="D31" s="41">
        <f>C30-C31</f>
        <v/>
      </c>
    </row>
    <row r="32">
      <c r="A32" s="2" t="n">
        <v>31</v>
      </c>
      <c r="B32" s="41">
        <f>IF(A32&lt;=3,d_h1,IF(A32&lt;=12,d_h2,in_churn_late))</f>
        <v/>
      </c>
      <c r="C32" s="19">
        <f>C31*(1-B31)</f>
        <v/>
      </c>
      <c r="D32" s="41">
        <f>C31-C32</f>
        <v/>
      </c>
    </row>
    <row r="33">
      <c r="A33" s="2" t="n">
        <v>32</v>
      </c>
      <c r="B33" s="41">
        <f>IF(A33&lt;=3,d_h1,IF(A33&lt;=12,d_h2,in_churn_late))</f>
        <v/>
      </c>
      <c r="C33" s="19">
        <f>C32*(1-B32)</f>
        <v/>
      </c>
      <c r="D33" s="41">
        <f>C32-C33</f>
        <v/>
      </c>
    </row>
    <row r="34">
      <c r="A34" s="2" t="n">
        <v>33</v>
      </c>
      <c r="B34" s="41">
        <f>IF(A34&lt;=3,d_h1,IF(A34&lt;=12,d_h2,in_churn_late))</f>
        <v/>
      </c>
      <c r="C34" s="19">
        <f>C33*(1-B33)</f>
        <v/>
      </c>
      <c r="D34" s="41">
        <f>C33-C34</f>
        <v/>
      </c>
    </row>
    <row r="35">
      <c r="A35" s="2" t="n">
        <v>34</v>
      </c>
      <c r="B35" s="41">
        <f>IF(A35&lt;=3,d_h1,IF(A35&lt;=12,d_h2,in_churn_late))</f>
        <v/>
      </c>
      <c r="C35" s="19">
        <f>C34*(1-B34)</f>
        <v/>
      </c>
      <c r="D35" s="41">
        <f>C34-C35</f>
        <v/>
      </c>
    </row>
    <row r="36">
      <c r="A36" s="2" t="n">
        <v>35</v>
      </c>
      <c r="B36" s="41">
        <f>IF(A36&lt;=3,d_h1,IF(A36&lt;=12,d_h2,in_churn_late))</f>
        <v/>
      </c>
      <c r="C36" s="19">
        <f>C35*(1-B35)</f>
        <v/>
      </c>
      <c r="D36" s="41">
        <f>C35-C36</f>
        <v/>
      </c>
    </row>
    <row r="37">
      <c r="A37" s="2" t="n">
        <v>36</v>
      </c>
      <c r="B37" s="41">
        <f>IF(A37&lt;=3,d_h1,IF(A37&lt;=12,d_h2,in_churn_late))</f>
        <v/>
      </c>
      <c r="C37" s="19">
        <f>C36*(1-B36)</f>
        <v/>
      </c>
      <c r="D37" s="41">
        <f>C36-C37</f>
        <v/>
      </c>
    </row>
    <row r="38">
      <c r="A38" s="2" t="n">
        <v>37</v>
      </c>
      <c r="B38" s="41">
        <f>IF(A38&lt;=3,d_h1,IF(A38&lt;=12,d_h2,in_churn_late))</f>
        <v/>
      </c>
      <c r="C38" s="19">
        <f>C37*(1-B37)</f>
        <v/>
      </c>
      <c r="D38" s="41">
        <f>C37-C38</f>
        <v/>
      </c>
    </row>
    <row r="39">
      <c r="A39" s="2" t="n">
        <v>38</v>
      </c>
      <c r="B39" s="41">
        <f>IF(A39&lt;=3,d_h1,IF(A39&lt;=12,d_h2,in_churn_late))</f>
        <v/>
      </c>
      <c r="C39" s="19">
        <f>C38*(1-B38)</f>
        <v/>
      </c>
      <c r="D39" s="41">
        <f>C38-C39</f>
        <v/>
      </c>
    </row>
    <row r="40">
      <c r="A40" s="2" t="n">
        <v>39</v>
      </c>
      <c r="B40" s="41">
        <f>IF(A40&lt;=3,d_h1,IF(A40&lt;=12,d_h2,in_churn_late))</f>
        <v/>
      </c>
      <c r="C40" s="19">
        <f>C39*(1-B39)</f>
        <v/>
      </c>
      <c r="D40" s="41">
        <f>C39-C40</f>
        <v/>
      </c>
    </row>
    <row r="41">
      <c r="A41" s="2" t="n">
        <v>40</v>
      </c>
      <c r="B41" s="41">
        <f>IF(A41&lt;=3,d_h1,IF(A41&lt;=12,d_h2,in_churn_late))</f>
        <v/>
      </c>
      <c r="C41" s="19">
        <f>C40*(1-B40)</f>
        <v/>
      </c>
      <c r="D41" s="41">
        <f>C40-C41</f>
        <v/>
      </c>
    </row>
    <row r="42">
      <c r="A42" s="2" t="n">
        <v>41</v>
      </c>
      <c r="B42" s="41">
        <f>IF(A42&lt;=3,d_h1,IF(A42&lt;=12,d_h2,in_churn_late))</f>
        <v/>
      </c>
      <c r="C42" s="19">
        <f>C41*(1-B41)</f>
        <v/>
      </c>
      <c r="D42" s="41">
        <f>C41-C42</f>
        <v/>
      </c>
    </row>
    <row r="43">
      <c r="A43" s="2" t="n">
        <v>42</v>
      </c>
      <c r="B43" s="41">
        <f>IF(A43&lt;=3,d_h1,IF(A43&lt;=12,d_h2,in_churn_late))</f>
        <v/>
      </c>
      <c r="C43" s="19">
        <f>C42*(1-B42)</f>
        <v/>
      </c>
      <c r="D43" s="41">
        <f>C42-C43</f>
        <v/>
      </c>
    </row>
    <row r="44">
      <c r="A44" s="2" t="n">
        <v>43</v>
      </c>
      <c r="B44" s="41">
        <f>IF(A44&lt;=3,d_h1,IF(A44&lt;=12,d_h2,in_churn_late))</f>
        <v/>
      </c>
      <c r="C44" s="19">
        <f>C43*(1-B43)</f>
        <v/>
      </c>
      <c r="D44" s="41">
        <f>C43-C44</f>
        <v/>
      </c>
    </row>
    <row r="45">
      <c r="A45" s="2" t="n">
        <v>44</v>
      </c>
      <c r="B45" s="41">
        <f>IF(A45&lt;=3,d_h1,IF(A45&lt;=12,d_h2,in_churn_late))</f>
        <v/>
      </c>
      <c r="C45" s="19">
        <f>C44*(1-B44)</f>
        <v/>
      </c>
      <c r="D45" s="41">
        <f>C44-C45</f>
        <v/>
      </c>
    </row>
    <row r="46">
      <c r="A46" s="2" t="n">
        <v>45</v>
      </c>
      <c r="B46" s="41">
        <f>IF(A46&lt;=3,d_h1,IF(A46&lt;=12,d_h2,in_churn_late))</f>
        <v/>
      </c>
      <c r="C46" s="19">
        <f>C45*(1-B45)</f>
        <v/>
      </c>
      <c r="D46" s="41">
        <f>C45-C46</f>
        <v/>
      </c>
    </row>
    <row r="47">
      <c r="A47" s="2" t="n">
        <v>46</v>
      </c>
      <c r="B47" s="41">
        <f>IF(A47&lt;=3,d_h1,IF(A47&lt;=12,d_h2,in_churn_late))</f>
        <v/>
      </c>
      <c r="C47" s="19">
        <f>C46*(1-B46)</f>
        <v/>
      </c>
      <c r="D47" s="41">
        <f>C46-C47</f>
        <v/>
      </c>
    </row>
    <row r="48">
      <c r="A48" s="2" t="n">
        <v>47</v>
      </c>
      <c r="B48" s="41">
        <f>IF(A48&lt;=3,d_h1,IF(A48&lt;=12,d_h2,in_churn_late))</f>
        <v/>
      </c>
      <c r="C48" s="19">
        <f>C47*(1-B47)</f>
        <v/>
      </c>
      <c r="D48" s="41">
        <f>C47-C48</f>
        <v/>
      </c>
    </row>
    <row r="49">
      <c r="A49" s="2" t="n">
        <v>48</v>
      </c>
      <c r="B49" s="41">
        <f>IF(A49&lt;=3,d_h1,IF(A49&lt;=12,d_h2,in_churn_late))</f>
        <v/>
      </c>
      <c r="C49" s="19">
        <f>C48*(1-B48)</f>
        <v/>
      </c>
      <c r="D49" s="41">
        <f>C48-C49</f>
        <v/>
      </c>
    </row>
    <row r="50">
      <c r="A50" s="2" t="n">
        <v>49</v>
      </c>
      <c r="B50" s="41">
        <f>IF(A50&lt;=3,d_h1,IF(A50&lt;=12,d_h2,in_churn_late))</f>
        <v/>
      </c>
      <c r="C50" s="19">
        <f>C49*(1-B49)</f>
        <v/>
      </c>
      <c r="D50" s="41">
        <f>C49-C50</f>
        <v/>
      </c>
    </row>
    <row r="51">
      <c r="A51" s="2" t="n">
        <v>50</v>
      </c>
      <c r="B51" s="41">
        <f>IF(A51&lt;=3,d_h1,IF(A51&lt;=12,d_h2,in_churn_late))</f>
        <v/>
      </c>
      <c r="C51" s="19">
        <f>C50*(1-B50)</f>
        <v/>
      </c>
      <c r="D51" s="41">
        <f>C50-C51</f>
        <v/>
      </c>
    </row>
    <row r="52">
      <c r="A52" s="2" t="n">
        <v>51</v>
      </c>
      <c r="B52" s="41">
        <f>IF(A52&lt;=3,d_h1,IF(A52&lt;=12,d_h2,in_churn_late))</f>
        <v/>
      </c>
      <c r="C52" s="19">
        <f>C51*(1-B51)</f>
        <v/>
      </c>
      <c r="D52" s="41">
        <f>C51-C52</f>
        <v/>
      </c>
    </row>
    <row r="53">
      <c r="A53" s="2" t="n">
        <v>52</v>
      </c>
      <c r="B53" s="41">
        <f>IF(A53&lt;=3,d_h1,IF(A53&lt;=12,d_h2,in_churn_late))</f>
        <v/>
      </c>
      <c r="C53" s="19">
        <f>C52*(1-B52)</f>
        <v/>
      </c>
      <c r="D53" s="41">
        <f>C52-C53</f>
        <v/>
      </c>
    </row>
    <row r="54">
      <c r="A54" s="2" t="n">
        <v>53</v>
      </c>
      <c r="B54" s="41">
        <f>IF(A54&lt;=3,d_h1,IF(A54&lt;=12,d_h2,in_churn_late))</f>
        <v/>
      </c>
      <c r="C54" s="19">
        <f>C53*(1-B53)</f>
        <v/>
      </c>
      <c r="D54" s="41">
        <f>C53-C54</f>
        <v/>
      </c>
    </row>
    <row r="55">
      <c r="A55" s="2" t="n">
        <v>54</v>
      </c>
      <c r="B55" s="41">
        <f>IF(A55&lt;=3,d_h1,IF(A55&lt;=12,d_h2,in_churn_late))</f>
        <v/>
      </c>
      <c r="C55" s="19">
        <f>C54*(1-B54)</f>
        <v/>
      </c>
      <c r="D55" s="41">
        <f>C54-C55</f>
        <v/>
      </c>
    </row>
    <row r="56">
      <c r="A56" s="2" t="n">
        <v>55</v>
      </c>
      <c r="B56" s="41">
        <f>IF(A56&lt;=3,d_h1,IF(A56&lt;=12,d_h2,in_churn_late))</f>
        <v/>
      </c>
      <c r="C56" s="19">
        <f>C55*(1-B55)</f>
        <v/>
      </c>
      <c r="D56" s="41">
        <f>C55-C56</f>
        <v/>
      </c>
    </row>
    <row r="57">
      <c r="A57" s="2" t="n">
        <v>56</v>
      </c>
      <c r="B57" s="41">
        <f>IF(A57&lt;=3,d_h1,IF(A57&lt;=12,d_h2,in_churn_late))</f>
        <v/>
      </c>
      <c r="C57" s="19">
        <f>C56*(1-B56)</f>
        <v/>
      </c>
      <c r="D57" s="41">
        <f>C56-C57</f>
        <v/>
      </c>
    </row>
    <row r="58">
      <c r="A58" s="2" t="n">
        <v>57</v>
      </c>
      <c r="B58" s="41">
        <f>IF(A58&lt;=3,d_h1,IF(A58&lt;=12,d_h2,in_churn_late))</f>
        <v/>
      </c>
      <c r="C58" s="19">
        <f>C57*(1-B57)</f>
        <v/>
      </c>
      <c r="D58" s="41">
        <f>C57-C58</f>
        <v/>
      </c>
    </row>
    <row r="59">
      <c r="A59" s="2" t="n">
        <v>58</v>
      </c>
      <c r="B59" s="41">
        <f>IF(A59&lt;=3,d_h1,IF(A59&lt;=12,d_h2,in_churn_late))</f>
        <v/>
      </c>
      <c r="C59" s="19">
        <f>C58*(1-B58)</f>
        <v/>
      </c>
      <c r="D59" s="41">
        <f>C58-C59</f>
        <v/>
      </c>
    </row>
    <row r="60">
      <c r="A60" s="2" t="n">
        <v>59</v>
      </c>
      <c r="B60" s="41">
        <f>IF(A60&lt;=3,d_h1,IF(A60&lt;=12,d_h2,in_churn_late))</f>
        <v/>
      </c>
      <c r="C60" s="19">
        <f>C59*(1-B59)</f>
        <v/>
      </c>
      <c r="D60" s="41">
        <f>C59-C60</f>
        <v/>
      </c>
    </row>
    <row r="61">
      <c r="A61" s="2" t="n">
        <v>60</v>
      </c>
      <c r="B61" s="41">
        <f>IF(A61&lt;=3,d_h1,IF(A61&lt;=12,d_h2,in_churn_late))</f>
        <v/>
      </c>
      <c r="C61" s="19">
        <f>C60*(1-B60)</f>
        <v/>
      </c>
      <c r="D61" s="41">
        <f>C60-C61</f>
        <v/>
      </c>
    </row>
    <row r="63">
      <c r="A63" s="5" t="inlineStr">
        <is>
          <t>Months 1-3 drop at d_h1 (so month 4 = r3), months 4-12 at d_h2 (so month 13 = r12), then churn_late. 'Still saving at month m' = survived m monthly drop-offs (the v2 convention).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s>
  <sheetData>
    <row r="1" ht="54" customHeight="1">
      <c r="A1" s="23" t="inlineStr">
        <is>
          <t>Age (month since sign-up)</t>
        </is>
      </c>
      <c r="B1" s="23" t="inlineStr">
        <is>
          <t>Still saving</t>
        </is>
      </c>
      <c r="C1" s="23" t="inlineStr">
        <is>
          <t>Stopped this month</t>
        </is>
      </c>
      <c r="D1" s="23" t="inlineStr">
        <is>
          <t>Deposit per active saver (Rs)</t>
        </is>
      </c>
      <c r="E1" s="23" t="inlineStr">
        <is>
          <t>Deposits (Rs)</t>
        </is>
      </c>
      <c r="F1" s="23" t="inlineStr">
        <is>
          <t>Balance at the month's start, per active saver (Rs)</t>
        </is>
      </c>
      <c r="G1" s="23" t="inlineStr">
        <is>
          <t>Balance at the month's end, per active saver, with his return (Rs)</t>
        </is>
      </c>
      <c r="H1" s="23" t="inlineStr">
        <is>
          <t>Average balance in the fund (Rs)</t>
        </is>
      </c>
      <c r="I1" s="23" t="inlineStr">
        <is>
          <t>Withdrawn this month (Rs)</t>
        </is>
      </c>
      <c r="J1" s="23" t="inlineStr">
        <is>
          <t>Share on UPI</t>
        </is>
      </c>
      <c r="K1" s="23" t="inlineStr">
        <is>
          <t>Cash savers</t>
        </is>
      </c>
      <c r="L1" s="23" t="inlineStr">
        <is>
          <t>Cash visits a day</t>
        </is>
      </c>
      <c r="M1" s="23" t="inlineStr">
        <is>
          <t>Savers offered the marketplace (still saving)</t>
        </is>
      </c>
      <c r="N1" s="23" t="inlineStr">
        <is>
          <t>Early take-up factor</t>
        </is>
      </c>
      <c r="O1" s="23" t="inlineStr">
        <is>
          <t>Early approval factor</t>
        </is>
      </c>
      <c r="P1" s="23" t="inlineStr">
        <is>
          <t>Card window: early factors in the first card months (helper)</t>
        </is>
      </c>
      <c r="Q1" s="23" t="inlineStr">
        <is>
          <t>Fund commission (Rs)</t>
        </is>
      </c>
      <c r="R1" s="23" t="inlineStr">
        <is>
          <t>KYC cost (Rs)</t>
        </is>
      </c>
      <c r="S1" s="23" t="inlineStr">
        <is>
          <t>Support cost (Rs)</t>
        </is>
      </c>
      <c r="T1" s="23" t="inlineStr">
        <is>
          <t>Discount factor at his age</t>
        </is>
      </c>
      <c r="U1" s="23" t="inlineStr">
        <is>
          <t>Fund commission less KYC and support, discounted to his sign-up month (Rs)</t>
        </is>
      </c>
    </row>
    <row r="2">
      <c r="A2" s="39" t="n">
        <v>1</v>
      </c>
      <c r="B2" s="42">
        <f>'Retention curve'!C2</f>
        <v/>
      </c>
      <c r="C2" s="43">
        <f>'Retention curve'!D2</f>
        <v/>
      </c>
      <c r="D2" s="9">
        <f>in_daily*in_days*(1+in_amount_growth)^INT((A2-1)/in_term)</f>
        <v/>
      </c>
      <c r="E2" s="9">
        <f>B2*D2</f>
        <v/>
      </c>
      <c r="F2" s="9">
        <f>IF(A2=1,0,G1*IF(MOD(A2-1,in_term)=0,in_rollover,1))</f>
        <v/>
      </c>
      <c r="G2" s="9">
        <f>F2*(1-in_withdraw_m)+D2+(F2*(1-in_withdraw_m)+0.5*D2)*d_rm</f>
        <v/>
      </c>
      <c r="H2" s="9">
        <f>B2*(F2*(1-in_withdraw_m)+0.5*D2)</f>
        <v/>
      </c>
      <c r="I2" s="9">
        <f>B2*in_withdraw_m*F2+IF(A2=1,0,C2*G1+IF(MOD(A2-1,in_term)=0,B2*(1-in_rollover)*G1,0))</f>
        <v/>
      </c>
      <c r="J2" s="11">
        <f>in_upi_12*MIN(1,(A2-1)/(in_upi_ramp-1))</f>
        <v/>
      </c>
      <c r="K2" s="11">
        <f>B2*(1-J2)</f>
        <v/>
      </c>
      <c r="L2" s="40">
        <f>K2/in_visit_every</f>
        <v/>
      </c>
      <c r="M2" s="11">
        <f>IF(A2&gt;=in_marketplace_from,B2,0)</f>
        <v/>
      </c>
      <c r="N2" s="12">
        <f>IF(A2&lt;=in_early_months,in_early_takeup_mult,1)</f>
        <v/>
      </c>
      <c r="O2" s="12">
        <f>IF(A2&lt;=in_early_months,in_early_approval_mult,1)</f>
        <v/>
      </c>
      <c r="P2" s="12">
        <f>IF(AND(A2&gt;=in_marketplace_from,A2&lt;in_marketplace_from+in_card_months),N2*O2,0)</f>
        <v/>
      </c>
      <c r="Q2" s="14">
        <f>H2*in_trail/12</f>
        <v/>
      </c>
      <c r="R2" s="14">
        <f>IF(A2=1,in_kyc_cost,0)</f>
        <v/>
      </c>
      <c r="S2" s="14">
        <f>B2*in_support_cost</f>
        <v/>
      </c>
      <c r="T2" s="40">
        <f>1/(1+d_dm)^(A2-1)</f>
        <v/>
      </c>
      <c r="U2" s="14">
        <f>(Q2-R2-S2)*T2</f>
        <v/>
      </c>
    </row>
    <row r="3">
      <c r="A3" s="39" t="n">
        <v>2</v>
      </c>
      <c r="B3" s="42">
        <f>'Retention curve'!C3</f>
        <v/>
      </c>
      <c r="C3" s="43">
        <f>'Retention curve'!D3</f>
        <v/>
      </c>
      <c r="D3" s="9">
        <f>in_daily*in_days*(1+in_amount_growth)^INT((A3-1)/in_term)</f>
        <v/>
      </c>
      <c r="E3" s="9">
        <f>B3*D3</f>
        <v/>
      </c>
      <c r="F3" s="9">
        <f>IF(A3=1,0,G2*IF(MOD(A3-1,in_term)=0,in_rollover,1))</f>
        <v/>
      </c>
      <c r="G3" s="9">
        <f>F3*(1-in_withdraw_m)+D3+(F3*(1-in_withdraw_m)+0.5*D3)*d_rm</f>
        <v/>
      </c>
      <c r="H3" s="9">
        <f>B3*(F3*(1-in_withdraw_m)+0.5*D3)</f>
        <v/>
      </c>
      <c r="I3" s="9">
        <f>B3*in_withdraw_m*F3+IF(A3=1,0,C3*G2+IF(MOD(A3-1,in_term)=0,B3*(1-in_rollover)*G2,0))</f>
        <v/>
      </c>
      <c r="J3" s="11">
        <f>in_upi_12*MIN(1,(A3-1)/(in_upi_ramp-1))</f>
        <v/>
      </c>
      <c r="K3" s="11">
        <f>B3*(1-J3)</f>
        <v/>
      </c>
      <c r="L3" s="40">
        <f>K3/in_visit_every</f>
        <v/>
      </c>
      <c r="M3" s="11">
        <f>IF(A3&gt;=in_marketplace_from,B3,0)</f>
        <v/>
      </c>
      <c r="N3" s="12">
        <f>IF(A3&lt;=in_early_months,in_early_takeup_mult,1)</f>
        <v/>
      </c>
      <c r="O3" s="12">
        <f>IF(A3&lt;=in_early_months,in_early_approval_mult,1)</f>
        <v/>
      </c>
      <c r="P3" s="12">
        <f>IF(AND(A3&gt;=in_marketplace_from,A3&lt;in_marketplace_from+in_card_months),N3*O3,0)</f>
        <v/>
      </c>
      <c r="Q3" s="14">
        <f>H3*in_trail/12</f>
        <v/>
      </c>
      <c r="R3" s="14">
        <f>IF(A3=1,in_kyc_cost,0)</f>
        <v/>
      </c>
      <c r="S3" s="14">
        <f>B3*in_support_cost</f>
        <v/>
      </c>
      <c r="T3" s="40">
        <f>1/(1+d_dm)^(A3-1)</f>
        <v/>
      </c>
      <c r="U3" s="14">
        <f>(Q3-R3-S3)*T3</f>
        <v/>
      </c>
    </row>
    <row r="4">
      <c r="A4" s="39" t="n">
        <v>3</v>
      </c>
      <c r="B4" s="42">
        <f>'Retention curve'!C4</f>
        <v/>
      </c>
      <c r="C4" s="43">
        <f>'Retention curve'!D4</f>
        <v/>
      </c>
      <c r="D4" s="9">
        <f>in_daily*in_days*(1+in_amount_growth)^INT((A4-1)/in_term)</f>
        <v/>
      </c>
      <c r="E4" s="9">
        <f>B4*D4</f>
        <v/>
      </c>
      <c r="F4" s="9">
        <f>IF(A4=1,0,G3*IF(MOD(A4-1,in_term)=0,in_rollover,1))</f>
        <v/>
      </c>
      <c r="G4" s="9">
        <f>F4*(1-in_withdraw_m)+D4+(F4*(1-in_withdraw_m)+0.5*D4)*d_rm</f>
        <v/>
      </c>
      <c r="H4" s="9">
        <f>B4*(F4*(1-in_withdraw_m)+0.5*D4)</f>
        <v/>
      </c>
      <c r="I4" s="9">
        <f>B4*in_withdraw_m*F4+IF(A4=1,0,C4*G3+IF(MOD(A4-1,in_term)=0,B4*(1-in_rollover)*G3,0))</f>
        <v/>
      </c>
      <c r="J4" s="11">
        <f>in_upi_12*MIN(1,(A4-1)/(in_upi_ramp-1))</f>
        <v/>
      </c>
      <c r="K4" s="11">
        <f>B4*(1-J4)</f>
        <v/>
      </c>
      <c r="L4" s="40">
        <f>K4/in_visit_every</f>
        <v/>
      </c>
      <c r="M4" s="11">
        <f>IF(A4&gt;=in_marketplace_from,B4,0)</f>
        <v/>
      </c>
      <c r="N4" s="12">
        <f>IF(A4&lt;=in_early_months,in_early_takeup_mult,1)</f>
        <v/>
      </c>
      <c r="O4" s="12">
        <f>IF(A4&lt;=in_early_months,in_early_approval_mult,1)</f>
        <v/>
      </c>
      <c r="P4" s="12">
        <f>IF(AND(A4&gt;=in_marketplace_from,A4&lt;in_marketplace_from+in_card_months),N4*O4,0)</f>
        <v/>
      </c>
      <c r="Q4" s="14">
        <f>H4*in_trail/12</f>
        <v/>
      </c>
      <c r="R4" s="14">
        <f>IF(A4=1,in_kyc_cost,0)</f>
        <v/>
      </c>
      <c r="S4" s="14">
        <f>B4*in_support_cost</f>
        <v/>
      </c>
      <c r="T4" s="40">
        <f>1/(1+d_dm)^(A4-1)</f>
        <v/>
      </c>
      <c r="U4" s="14">
        <f>(Q4-R4-S4)*T4</f>
        <v/>
      </c>
    </row>
    <row r="5">
      <c r="A5" s="39" t="n">
        <v>4</v>
      </c>
      <c r="B5" s="42">
        <f>'Retention curve'!C5</f>
        <v/>
      </c>
      <c r="C5" s="43">
        <f>'Retention curve'!D5</f>
        <v/>
      </c>
      <c r="D5" s="9">
        <f>in_daily*in_days*(1+in_amount_growth)^INT((A5-1)/in_term)</f>
        <v/>
      </c>
      <c r="E5" s="9">
        <f>B5*D5</f>
        <v/>
      </c>
      <c r="F5" s="9">
        <f>IF(A5=1,0,G4*IF(MOD(A5-1,in_term)=0,in_rollover,1))</f>
        <v/>
      </c>
      <c r="G5" s="9">
        <f>F5*(1-in_withdraw_m)+D5+(F5*(1-in_withdraw_m)+0.5*D5)*d_rm</f>
        <v/>
      </c>
      <c r="H5" s="9">
        <f>B5*(F5*(1-in_withdraw_m)+0.5*D5)</f>
        <v/>
      </c>
      <c r="I5" s="9">
        <f>B5*in_withdraw_m*F5+IF(A5=1,0,C5*G4+IF(MOD(A5-1,in_term)=0,B5*(1-in_rollover)*G4,0))</f>
        <v/>
      </c>
      <c r="J5" s="11">
        <f>in_upi_12*MIN(1,(A5-1)/(in_upi_ramp-1))</f>
        <v/>
      </c>
      <c r="K5" s="11">
        <f>B5*(1-J5)</f>
        <v/>
      </c>
      <c r="L5" s="40">
        <f>K5/in_visit_every</f>
        <v/>
      </c>
      <c r="M5" s="11">
        <f>IF(A5&gt;=in_marketplace_from,B5,0)</f>
        <v/>
      </c>
      <c r="N5" s="12">
        <f>IF(A5&lt;=in_early_months,in_early_takeup_mult,1)</f>
        <v/>
      </c>
      <c r="O5" s="12">
        <f>IF(A5&lt;=in_early_months,in_early_approval_mult,1)</f>
        <v/>
      </c>
      <c r="P5" s="12">
        <f>IF(AND(A5&gt;=in_marketplace_from,A5&lt;in_marketplace_from+in_card_months),N5*O5,0)</f>
        <v/>
      </c>
      <c r="Q5" s="14">
        <f>H5*in_trail/12</f>
        <v/>
      </c>
      <c r="R5" s="14">
        <f>IF(A5=1,in_kyc_cost,0)</f>
        <v/>
      </c>
      <c r="S5" s="14">
        <f>B5*in_support_cost</f>
        <v/>
      </c>
      <c r="T5" s="40">
        <f>1/(1+d_dm)^(A5-1)</f>
        <v/>
      </c>
      <c r="U5" s="14">
        <f>(Q5-R5-S5)*T5</f>
        <v/>
      </c>
    </row>
    <row r="6">
      <c r="A6" s="39" t="n">
        <v>5</v>
      </c>
      <c r="B6" s="42">
        <f>'Retention curve'!C6</f>
        <v/>
      </c>
      <c r="C6" s="43">
        <f>'Retention curve'!D6</f>
        <v/>
      </c>
      <c r="D6" s="9">
        <f>in_daily*in_days*(1+in_amount_growth)^INT((A6-1)/in_term)</f>
        <v/>
      </c>
      <c r="E6" s="9">
        <f>B6*D6</f>
        <v/>
      </c>
      <c r="F6" s="9">
        <f>IF(A6=1,0,G5*IF(MOD(A6-1,in_term)=0,in_rollover,1))</f>
        <v/>
      </c>
      <c r="G6" s="9">
        <f>F6*(1-in_withdraw_m)+D6+(F6*(1-in_withdraw_m)+0.5*D6)*d_rm</f>
        <v/>
      </c>
      <c r="H6" s="9">
        <f>B6*(F6*(1-in_withdraw_m)+0.5*D6)</f>
        <v/>
      </c>
      <c r="I6" s="9">
        <f>B6*in_withdraw_m*F6+IF(A6=1,0,C6*G5+IF(MOD(A6-1,in_term)=0,B6*(1-in_rollover)*G5,0))</f>
        <v/>
      </c>
      <c r="J6" s="11">
        <f>in_upi_12*MIN(1,(A6-1)/(in_upi_ramp-1))</f>
        <v/>
      </c>
      <c r="K6" s="11">
        <f>B6*(1-J6)</f>
        <v/>
      </c>
      <c r="L6" s="40">
        <f>K6/in_visit_every</f>
        <v/>
      </c>
      <c r="M6" s="11">
        <f>IF(A6&gt;=in_marketplace_from,B6,0)</f>
        <v/>
      </c>
      <c r="N6" s="12">
        <f>IF(A6&lt;=in_early_months,in_early_takeup_mult,1)</f>
        <v/>
      </c>
      <c r="O6" s="12">
        <f>IF(A6&lt;=in_early_months,in_early_approval_mult,1)</f>
        <v/>
      </c>
      <c r="P6" s="12">
        <f>IF(AND(A6&gt;=in_marketplace_from,A6&lt;in_marketplace_from+in_card_months),N6*O6,0)</f>
        <v/>
      </c>
      <c r="Q6" s="14">
        <f>H6*in_trail/12</f>
        <v/>
      </c>
      <c r="R6" s="14">
        <f>IF(A6=1,in_kyc_cost,0)</f>
        <v/>
      </c>
      <c r="S6" s="14">
        <f>B6*in_support_cost</f>
        <v/>
      </c>
      <c r="T6" s="40">
        <f>1/(1+d_dm)^(A6-1)</f>
        <v/>
      </c>
      <c r="U6" s="14">
        <f>(Q6-R6-S6)*T6</f>
        <v/>
      </c>
    </row>
    <row r="7">
      <c r="A7" s="39" t="n">
        <v>6</v>
      </c>
      <c r="B7" s="42">
        <f>'Retention curve'!C7</f>
        <v/>
      </c>
      <c r="C7" s="43">
        <f>'Retention curve'!D7</f>
        <v/>
      </c>
      <c r="D7" s="9">
        <f>in_daily*in_days*(1+in_amount_growth)^INT((A7-1)/in_term)</f>
        <v/>
      </c>
      <c r="E7" s="9">
        <f>B7*D7</f>
        <v/>
      </c>
      <c r="F7" s="9">
        <f>IF(A7=1,0,G6*IF(MOD(A7-1,in_term)=0,in_rollover,1))</f>
        <v/>
      </c>
      <c r="G7" s="9">
        <f>F7*(1-in_withdraw_m)+D7+(F7*(1-in_withdraw_m)+0.5*D7)*d_rm</f>
        <v/>
      </c>
      <c r="H7" s="9">
        <f>B7*(F7*(1-in_withdraw_m)+0.5*D7)</f>
        <v/>
      </c>
      <c r="I7" s="9">
        <f>B7*in_withdraw_m*F7+IF(A7=1,0,C7*G6+IF(MOD(A7-1,in_term)=0,B7*(1-in_rollover)*G6,0))</f>
        <v/>
      </c>
      <c r="J7" s="11">
        <f>in_upi_12*MIN(1,(A7-1)/(in_upi_ramp-1))</f>
        <v/>
      </c>
      <c r="K7" s="11">
        <f>B7*(1-J7)</f>
        <v/>
      </c>
      <c r="L7" s="40">
        <f>K7/in_visit_every</f>
        <v/>
      </c>
      <c r="M7" s="11">
        <f>IF(A7&gt;=in_marketplace_from,B7,0)</f>
        <v/>
      </c>
      <c r="N7" s="12">
        <f>IF(A7&lt;=in_early_months,in_early_takeup_mult,1)</f>
        <v/>
      </c>
      <c r="O7" s="12">
        <f>IF(A7&lt;=in_early_months,in_early_approval_mult,1)</f>
        <v/>
      </c>
      <c r="P7" s="12">
        <f>IF(AND(A7&gt;=in_marketplace_from,A7&lt;in_marketplace_from+in_card_months),N7*O7,0)</f>
        <v/>
      </c>
      <c r="Q7" s="14">
        <f>H7*in_trail/12</f>
        <v/>
      </c>
      <c r="R7" s="14">
        <f>IF(A7=1,in_kyc_cost,0)</f>
        <v/>
      </c>
      <c r="S7" s="14">
        <f>B7*in_support_cost</f>
        <v/>
      </c>
      <c r="T7" s="40">
        <f>1/(1+d_dm)^(A7-1)</f>
        <v/>
      </c>
      <c r="U7" s="14">
        <f>(Q7-R7-S7)*T7</f>
        <v/>
      </c>
    </row>
    <row r="8">
      <c r="A8" s="39" t="n">
        <v>7</v>
      </c>
      <c r="B8" s="42">
        <f>'Retention curve'!C8</f>
        <v/>
      </c>
      <c r="C8" s="43">
        <f>'Retention curve'!D8</f>
        <v/>
      </c>
      <c r="D8" s="9">
        <f>in_daily*in_days*(1+in_amount_growth)^INT((A8-1)/in_term)</f>
        <v/>
      </c>
      <c r="E8" s="9">
        <f>B8*D8</f>
        <v/>
      </c>
      <c r="F8" s="9">
        <f>IF(A8=1,0,G7*IF(MOD(A8-1,in_term)=0,in_rollover,1))</f>
        <v/>
      </c>
      <c r="G8" s="9">
        <f>F8*(1-in_withdraw_m)+D8+(F8*(1-in_withdraw_m)+0.5*D8)*d_rm</f>
        <v/>
      </c>
      <c r="H8" s="9">
        <f>B8*(F8*(1-in_withdraw_m)+0.5*D8)</f>
        <v/>
      </c>
      <c r="I8" s="9">
        <f>B8*in_withdraw_m*F8+IF(A8=1,0,C8*G7+IF(MOD(A8-1,in_term)=0,B8*(1-in_rollover)*G7,0))</f>
        <v/>
      </c>
      <c r="J8" s="11">
        <f>in_upi_12*MIN(1,(A8-1)/(in_upi_ramp-1))</f>
        <v/>
      </c>
      <c r="K8" s="11">
        <f>B8*(1-J8)</f>
        <v/>
      </c>
      <c r="L8" s="40">
        <f>K8/in_visit_every</f>
        <v/>
      </c>
      <c r="M8" s="11">
        <f>IF(A8&gt;=in_marketplace_from,B8,0)</f>
        <v/>
      </c>
      <c r="N8" s="12">
        <f>IF(A8&lt;=in_early_months,in_early_takeup_mult,1)</f>
        <v/>
      </c>
      <c r="O8" s="12">
        <f>IF(A8&lt;=in_early_months,in_early_approval_mult,1)</f>
        <v/>
      </c>
      <c r="P8" s="12">
        <f>IF(AND(A8&gt;=in_marketplace_from,A8&lt;in_marketplace_from+in_card_months),N8*O8,0)</f>
        <v/>
      </c>
      <c r="Q8" s="14">
        <f>H8*in_trail/12</f>
        <v/>
      </c>
      <c r="R8" s="14">
        <f>IF(A8=1,in_kyc_cost,0)</f>
        <v/>
      </c>
      <c r="S8" s="14">
        <f>B8*in_support_cost</f>
        <v/>
      </c>
      <c r="T8" s="40">
        <f>1/(1+d_dm)^(A8-1)</f>
        <v/>
      </c>
      <c r="U8" s="14">
        <f>(Q8-R8-S8)*T8</f>
        <v/>
      </c>
    </row>
    <row r="9">
      <c r="A9" s="39" t="n">
        <v>8</v>
      </c>
      <c r="B9" s="42">
        <f>'Retention curve'!C9</f>
        <v/>
      </c>
      <c r="C9" s="43">
        <f>'Retention curve'!D9</f>
        <v/>
      </c>
      <c r="D9" s="9">
        <f>in_daily*in_days*(1+in_amount_growth)^INT((A9-1)/in_term)</f>
        <v/>
      </c>
      <c r="E9" s="9">
        <f>B9*D9</f>
        <v/>
      </c>
      <c r="F9" s="9">
        <f>IF(A9=1,0,G8*IF(MOD(A9-1,in_term)=0,in_rollover,1))</f>
        <v/>
      </c>
      <c r="G9" s="9">
        <f>F9*(1-in_withdraw_m)+D9+(F9*(1-in_withdraw_m)+0.5*D9)*d_rm</f>
        <v/>
      </c>
      <c r="H9" s="9">
        <f>B9*(F9*(1-in_withdraw_m)+0.5*D9)</f>
        <v/>
      </c>
      <c r="I9" s="9">
        <f>B9*in_withdraw_m*F9+IF(A9=1,0,C9*G8+IF(MOD(A9-1,in_term)=0,B9*(1-in_rollover)*G8,0))</f>
        <v/>
      </c>
      <c r="J9" s="11">
        <f>in_upi_12*MIN(1,(A9-1)/(in_upi_ramp-1))</f>
        <v/>
      </c>
      <c r="K9" s="11">
        <f>B9*(1-J9)</f>
        <v/>
      </c>
      <c r="L9" s="40">
        <f>K9/in_visit_every</f>
        <v/>
      </c>
      <c r="M9" s="11">
        <f>IF(A9&gt;=in_marketplace_from,B9,0)</f>
        <v/>
      </c>
      <c r="N9" s="12">
        <f>IF(A9&lt;=in_early_months,in_early_takeup_mult,1)</f>
        <v/>
      </c>
      <c r="O9" s="12">
        <f>IF(A9&lt;=in_early_months,in_early_approval_mult,1)</f>
        <v/>
      </c>
      <c r="P9" s="12">
        <f>IF(AND(A9&gt;=in_marketplace_from,A9&lt;in_marketplace_from+in_card_months),N9*O9,0)</f>
        <v/>
      </c>
      <c r="Q9" s="14">
        <f>H9*in_trail/12</f>
        <v/>
      </c>
      <c r="R9" s="14">
        <f>IF(A9=1,in_kyc_cost,0)</f>
        <v/>
      </c>
      <c r="S9" s="14">
        <f>B9*in_support_cost</f>
        <v/>
      </c>
      <c r="T9" s="40">
        <f>1/(1+d_dm)^(A9-1)</f>
        <v/>
      </c>
      <c r="U9" s="14">
        <f>(Q9-R9-S9)*T9</f>
        <v/>
      </c>
    </row>
    <row r="10">
      <c r="A10" s="39" t="n">
        <v>9</v>
      </c>
      <c r="B10" s="42">
        <f>'Retention curve'!C10</f>
        <v/>
      </c>
      <c r="C10" s="43">
        <f>'Retention curve'!D10</f>
        <v/>
      </c>
      <c r="D10" s="9">
        <f>in_daily*in_days*(1+in_amount_growth)^INT((A10-1)/in_term)</f>
        <v/>
      </c>
      <c r="E10" s="9">
        <f>B10*D10</f>
        <v/>
      </c>
      <c r="F10" s="9">
        <f>IF(A10=1,0,G9*IF(MOD(A10-1,in_term)=0,in_rollover,1))</f>
        <v/>
      </c>
      <c r="G10" s="9">
        <f>F10*(1-in_withdraw_m)+D10+(F10*(1-in_withdraw_m)+0.5*D10)*d_rm</f>
        <v/>
      </c>
      <c r="H10" s="9">
        <f>B10*(F10*(1-in_withdraw_m)+0.5*D10)</f>
        <v/>
      </c>
      <c r="I10" s="9">
        <f>B10*in_withdraw_m*F10+IF(A10=1,0,C10*G9+IF(MOD(A10-1,in_term)=0,B10*(1-in_rollover)*G9,0))</f>
        <v/>
      </c>
      <c r="J10" s="11">
        <f>in_upi_12*MIN(1,(A10-1)/(in_upi_ramp-1))</f>
        <v/>
      </c>
      <c r="K10" s="11">
        <f>B10*(1-J10)</f>
        <v/>
      </c>
      <c r="L10" s="40">
        <f>K10/in_visit_every</f>
        <v/>
      </c>
      <c r="M10" s="11">
        <f>IF(A10&gt;=in_marketplace_from,B10,0)</f>
        <v/>
      </c>
      <c r="N10" s="12">
        <f>IF(A10&lt;=in_early_months,in_early_takeup_mult,1)</f>
        <v/>
      </c>
      <c r="O10" s="12">
        <f>IF(A10&lt;=in_early_months,in_early_approval_mult,1)</f>
        <v/>
      </c>
      <c r="P10" s="12">
        <f>IF(AND(A10&gt;=in_marketplace_from,A10&lt;in_marketplace_from+in_card_months),N10*O10,0)</f>
        <v/>
      </c>
      <c r="Q10" s="14">
        <f>H10*in_trail/12</f>
        <v/>
      </c>
      <c r="R10" s="14">
        <f>IF(A10=1,in_kyc_cost,0)</f>
        <v/>
      </c>
      <c r="S10" s="14">
        <f>B10*in_support_cost</f>
        <v/>
      </c>
      <c r="T10" s="40">
        <f>1/(1+d_dm)^(A10-1)</f>
        <v/>
      </c>
      <c r="U10" s="14">
        <f>(Q10-R10-S10)*T10</f>
        <v/>
      </c>
    </row>
    <row r="11">
      <c r="A11" s="39" t="n">
        <v>10</v>
      </c>
      <c r="B11" s="42">
        <f>'Retention curve'!C11</f>
        <v/>
      </c>
      <c r="C11" s="43">
        <f>'Retention curve'!D11</f>
        <v/>
      </c>
      <c r="D11" s="9">
        <f>in_daily*in_days*(1+in_amount_growth)^INT((A11-1)/in_term)</f>
        <v/>
      </c>
      <c r="E11" s="9">
        <f>B11*D11</f>
        <v/>
      </c>
      <c r="F11" s="9">
        <f>IF(A11=1,0,G10*IF(MOD(A11-1,in_term)=0,in_rollover,1))</f>
        <v/>
      </c>
      <c r="G11" s="9">
        <f>F11*(1-in_withdraw_m)+D11+(F11*(1-in_withdraw_m)+0.5*D11)*d_rm</f>
        <v/>
      </c>
      <c r="H11" s="9">
        <f>B11*(F11*(1-in_withdraw_m)+0.5*D11)</f>
        <v/>
      </c>
      <c r="I11" s="9">
        <f>B11*in_withdraw_m*F11+IF(A11=1,0,C11*G10+IF(MOD(A11-1,in_term)=0,B11*(1-in_rollover)*G10,0))</f>
        <v/>
      </c>
      <c r="J11" s="11">
        <f>in_upi_12*MIN(1,(A11-1)/(in_upi_ramp-1))</f>
        <v/>
      </c>
      <c r="K11" s="11">
        <f>B11*(1-J11)</f>
        <v/>
      </c>
      <c r="L11" s="40">
        <f>K11/in_visit_every</f>
        <v/>
      </c>
      <c r="M11" s="11">
        <f>IF(A11&gt;=in_marketplace_from,B11,0)</f>
        <v/>
      </c>
      <c r="N11" s="12">
        <f>IF(A11&lt;=in_early_months,in_early_takeup_mult,1)</f>
        <v/>
      </c>
      <c r="O11" s="12">
        <f>IF(A11&lt;=in_early_months,in_early_approval_mult,1)</f>
        <v/>
      </c>
      <c r="P11" s="12">
        <f>IF(AND(A11&gt;=in_marketplace_from,A11&lt;in_marketplace_from+in_card_months),N11*O11,0)</f>
        <v/>
      </c>
      <c r="Q11" s="14">
        <f>H11*in_trail/12</f>
        <v/>
      </c>
      <c r="R11" s="14">
        <f>IF(A11=1,in_kyc_cost,0)</f>
        <v/>
      </c>
      <c r="S11" s="14">
        <f>B11*in_support_cost</f>
        <v/>
      </c>
      <c r="T11" s="40">
        <f>1/(1+d_dm)^(A11-1)</f>
        <v/>
      </c>
      <c r="U11" s="14">
        <f>(Q11-R11-S11)*T11</f>
        <v/>
      </c>
    </row>
    <row r="12">
      <c r="A12" s="39" t="n">
        <v>11</v>
      </c>
      <c r="B12" s="42">
        <f>'Retention curve'!C12</f>
        <v/>
      </c>
      <c r="C12" s="43">
        <f>'Retention curve'!D12</f>
        <v/>
      </c>
      <c r="D12" s="9">
        <f>in_daily*in_days*(1+in_amount_growth)^INT((A12-1)/in_term)</f>
        <v/>
      </c>
      <c r="E12" s="9">
        <f>B12*D12</f>
        <v/>
      </c>
      <c r="F12" s="9">
        <f>IF(A12=1,0,G11*IF(MOD(A12-1,in_term)=0,in_rollover,1))</f>
        <v/>
      </c>
      <c r="G12" s="9">
        <f>F12*(1-in_withdraw_m)+D12+(F12*(1-in_withdraw_m)+0.5*D12)*d_rm</f>
        <v/>
      </c>
      <c r="H12" s="9">
        <f>B12*(F12*(1-in_withdraw_m)+0.5*D12)</f>
        <v/>
      </c>
      <c r="I12" s="9">
        <f>B12*in_withdraw_m*F12+IF(A12=1,0,C12*G11+IF(MOD(A12-1,in_term)=0,B12*(1-in_rollover)*G11,0))</f>
        <v/>
      </c>
      <c r="J12" s="11">
        <f>in_upi_12*MIN(1,(A12-1)/(in_upi_ramp-1))</f>
        <v/>
      </c>
      <c r="K12" s="11">
        <f>B12*(1-J12)</f>
        <v/>
      </c>
      <c r="L12" s="40">
        <f>K12/in_visit_every</f>
        <v/>
      </c>
      <c r="M12" s="11">
        <f>IF(A12&gt;=in_marketplace_from,B12,0)</f>
        <v/>
      </c>
      <c r="N12" s="12">
        <f>IF(A12&lt;=in_early_months,in_early_takeup_mult,1)</f>
        <v/>
      </c>
      <c r="O12" s="12">
        <f>IF(A12&lt;=in_early_months,in_early_approval_mult,1)</f>
        <v/>
      </c>
      <c r="P12" s="12">
        <f>IF(AND(A12&gt;=in_marketplace_from,A12&lt;in_marketplace_from+in_card_months),N12*O12,0)</f>
        <v/>
      </c>
      <c r="Q12" s="14">
        <f>H12*in_trail/12</f>
        <v/>
      </c>
      <c r="R12" s="14">
        <f>IF(A12=1,in_kyc_cost,0)</f>
        <v/>
      </c>
      <c r="S12" s="14">
        <f>B12*in_support_cost</f>
        <v/>
      </c>
      <c r="T12" s="40">
        <f>1/(1+d_dm)^(A12-1)</f>
        <v/>
      </c>
      <c r="U12" s="14">
        <f>(Q12-R12-S12)*T12</f>
        <v/>
      </c>
    </row>
    <row r="13">
      <c r="A13" s="39" t="n">
        <v>12</v>
      </c>
      <c r="B13" s="42">
        <f>'Retention curve'!C13</f>
        <v/>
      </c>
      <c r="C13" s="43">
        <f>'Retention curve'!D13</f>
        <v/>
      </c>
      <c r="D13" s="9">
        <f>in_daily*in_days*(1+in_amount_growth)^INT((A13-1)/in_term)</f>
        <v/>
      </c>
      <c r="E13" s="9">
        <f>B13*D13</f>
        <v/>
      </c>
      <c r="F13" s="9">
        <f>IF(A13=1,0,G12*IF(MOD(A13-1,in_term)=0,in_rollover,1))</f>
        <v/>
      </c>
      <c r="G13" s="9">
        <f>F13*(1-in_withdraw_m)+D13+(F13*(1-in_withdraw_m)+0.5*D13)*d_rm</f>
        <v/>
      </c>
      <c r="H13" s="9">
        <f>B13*(F13*(1-in_withdraw_m)+0.5*D13)</f>
        <v/>
      </c>
      <c r="I13" s="9">
        <f>B13*in_withdraw_m*F13+IF(A13=1,0,C13*G12+IF(MOD(A13-1,in_term)=0,B13*(1-in_rollover)*G12,0))</f>
        <v/>
      </c>
      <c r="J13" s="11">
        <f>in_upi_12*MIN(1,(A13-1)/(in_upi_ramp-1))</f>
        <v/>
      </c>
      <c r="K13" s="11">
        <f>B13*(1-J13)</f>
        <v/>
      </c>
      <c r="L13" s="40">
        <f>K13/in_visit_every</f>
        <v/>
      </c>
      <c r="M13" s="11">
        <f>IF(A13&gt;=in_marketplace_from,B13,0)</f>
        <v/>
      </c>
      <c r="N13" s="12">
        <f>IF(A13&lt;=in_early_months,in_early_takeup_mult,1)</f>
        <v/>
      </c>
      <c r="O13" s="12">
        <f>IF(A13&lt;=in_early_months,in_early_approval_mult,1)</f>
        <v/>
      </c>
      <c r="P13" s="12">
        <f>IF(AND(A13&gt;=in_marketplace_from,A13&lt;in_marketplace_from+in_card_months),N13*O13,0)</f>
        <v/>
      </c>
      <c r="Q13" s="14">
        <f>H13*in_trail/12</f>
        <v/>
      </c>
      <c r="R13" s="14">
        <f>IF(A13=1,in_kyc_cost,0)</f>
        <v/>
      </c>
      <c r="S13" s="14">
        <f>B13*in_support_cost</f>
        <v/>
      </c>
      <c r="T13" s="40">
        <f>1/(1+d_dm)^(A13-1)</f>
        <v/>
      </c>
      <c r="U13" s="14">
        <f>(Q13-R13-S13)*T13</f>
        <v/>
      </c>
    </row>
    <row r="14">
      <c r="A14" s="39" t="n">
        <v>13</v>
      </c>
      <c r="B14" s="42">
        <f>'Retention curve'!C14</f>
        <v/>
      </c>
      <c r="C14" s="43">
        <f>'Retention curve'!D14</f>
        <v/>
      </c>
      <c r="D14" s="9">
        <f>in_daily*in_days*(1+in_amount_growth)^INT((A14-1)/in_term)</f>
        <v/>
      </c>
      <c r="E14" s="9">
        <f>B14*D14</f>
        <v/>
      </c>
      <c r="F14" s="9">
        <f>IF(A14=1,0,G13*IF(MOD(A14-1,in_term)=0,in_rollover,1))</f>
        <v/>
      </c>
      <c r="G14" s="9">
        <f>F14*(1-in_withdraw_m)+D14+(F14*(1-in_withdraw_m)+0.5*D14)*d_rm</f>
        <v/>
      </c>
      <c r="H14" s="9">
        <f>B14*(F14*(1-in_withdraw_m)+0.5*D14)</f>
        <v/>
      </c>
      <c r="I14" s="9">
        <f>B14*in_withdraw_m*F14+IF(A14=1,0,C14*G13+IF(MOD(A14-1,in_term)=0,B14*(1-in_rollover)*G13,0))</f>
        <v/>
      </c>
      <c r="J14" s="11">
        <f>in_upi_12*MIN(1,(A14-1)/(in_upi_ramp-1))</f>
        <v/>
      </c>
      <c r="K14" s="11">
        <f>B14*(1-J14)</f>
        <v/>
      </c>
      <c r="L14" s="40">
        <f>K14/in_visit_every</f>
        <v/>
      </c>
      <c r="M14" s="11">
        <f>IF(A14&gt;=in_marketplace_from,B14,0)</f>
        <v/>
      </c>
      <c r="N14" s="12">
        <f>IF(A14&lt;=in_early_months,in_early_takeup_mult,1)</f>
        <v/>
      </c>
      <c r="O14" s="12">
        <f>IF(A14&lt;=in_early_months,in_early_approval_mult,1)</f>
        <v/>
      </c>
      <c r="P14" s="12">
        <f>IF(AND(A14&gt;=in_marketplace_from,A14&lt;in_marketplace_from+in_card_months),N14*O14,0)</f>
        <v/>
      </c>
      <c r="Q14" s="14">
        <f>H14*in_trail/12</f>
        <v/>
      </c>
      <c r="R14" s="14">
        <f>IF(A14=1,in_kyc_cost,0)</f>
        <v/>
      </c>
      <c r="S14" s="14">
        <f>B14*in_support_cost</f>
        <v/>
      </c>
      <c r="T14" s="40">
        <f>1/(1+d_dm)^(A14-1)</f>
        <v/>
      </c>
      <c r="U14" s="14">
        <f>(Q14-R14-S14)*T14</f>
        <v/>
      </c>
    </row>
    <row r="15">
      <c r="A15" s="39" t="n">
        <v>14</v>
      </c>
      <c r="B15" s="42">
        <f>'Retention curve'!C15</f>
        <v/>
      </c>
      <c r="C15" s="43">
        <f>'Retention curve'!D15</f>
        <v/>
      </c>
      <c r="D15" s="9">
        <f>in_daily*in_days*(1+in_amount_growth)^INT((A15-1)/in_term)</f>
        <v/>
      </c>
      <c r="E15" s="9">
        <f>B15*D15</f>
        <v/>
      </c>
      <c r="F15" s="9">
        <f>IF(A15=1,0,G14*IF(MOD(A15-1,in_term)=0,in_rollover,1))</f>
        <v/>
      </c>
      <c r="G15" s="9">
        <f>F15*(1-in_withdraw_m)+D15+(F15*(1-in_withdraw_m)+0.5*D15)*d_rm</f>
        <v/>
      </c>
      <c r="H15" s="9">
        <f>B15*(F15*(1-in_withdraw_m)+0.5*D15)</f>
        <v/>
      </c>
      <c r="I15" s="9">
        <f>B15*in_withdraw_m*F15+IF(A15=1,0,C15*G14+IF(MOD(A15-1,in_term)=0,B15*(1-in_rollover)*G14,0))</f>
        <v/>
      </c>
      <c r="J15" s="11">
        <f>in_upi_12*MIN(1,(A15-1)/(in_upi_ramp-1))</f>
        <v/>
      </c>
      <c r="K15" s="11">
        <f>B15*(1-J15)</f>
        <v/>
      </c>
      <c r="L15" s="40">
        <f>K15/in_visit_every</f>
        <v/>
      </c>
      <c r="M15" s="11">
        <f>IF(A15&gt;=in_marketplace_from,B15,0)</f>
        <v/>
      </c>
      <c r="N15" s="12">
        <f>IF(A15&lt;=in_early_months,in_early_takeup_mult,1)</f>
        <v/>
      </c>
      <c r="O15" s="12">
        <f>IF(A15&lt;=in_early_months,in_early_approval_mult,1)</f>
        <v/>
      </c>
      <c r="P15" s="12">
        <f>IF(AND(A15&gt;=in_marketplace_from,A15&lt;in_marketplace_from+in_card_months),N15*O15,0)</f>
        <v/>
      </c>
      <c r="Q15" s="14">
        <f>H15*in_trail/12</f>
        <v/>
      </c>
      <c r="R15" s="14">
        <f>IF(A15=1,in_kyc_cost,0)</f>
        <v/>
      </c>
      <c r="S15" s="14">
        <f>B15*in_support_cost</f>
        <v/>
      </c>
      <c r="T15" s="40">
        <f>1/(1+d_dm)^(A15-1)</f>
        <v/>
      </c>
      <c r="U15" s="14">
        <f>(Q15-R15-S15)*T15</f>
        <v/>
      </c>
    </row>
    <row r="16">
      <c r="A16" s="39" t="n">
        <v>15</v>
      </c>
      <c r="B16" s="42">
        <f>'Retention curve'!C16</f>
        <v/>
      </c>
      <c r="C16" s="43">
        <f>'Retention curve'!D16</f>
        <v/>
      </c>
      <c r="D16" s="9">
        <f>in_daily*in_days*(1+in_amount_growth)^INT((A16-1)/in_term)</f>
        <v/>
      </c>
      <c r="E16" s="9">
        <f>B16*D16</f>
        <v/>
      </c>
      <c r="F16" s="9">
        <f>IF(A16=1,0,G15*IF(MOD(A16-1,in_term)=0,in_rollover,1))</f>
        <v/>
      </c>
      <c r="G16" s="9">
        <f>F16*(1-in_withdraw_m)+D16+(F16*(1-in_withdraw_m)+0.5*D16)*d_rm</f>
        <v/>
      </c>
      <c r="H16" s="9">
        <f>B16*(F16*(1-in_withdraw_m)+0.5*D16)</f>
        <v/>
      </c>
      <c r="I16" s="9">
        <f>B16*in_withdraw_m*F16+IF(A16=1,0,C16*G15+IF(MOD(A16-1,in_term)=0,B16*(1-in_rollover)*G15,0))</f>
        <v/>
      </c>
      <c r="J16" s="11">
        <f>in_upi_12*MIN(1,(A16-1)/(in_upi_ramp-1))</f>
        <v/>
      </c>
      <c r="K16" s="11">
        <f>B16*(1-J16)</f>
        <v/>
      </c>
      <c r="L16" s="40">
        <f>K16/in_visit_every</f>
        <v/>
      </c>
      <c r="M16" s="11">
        <f>IF(A16&gt;=in_marketplace_from,B16,0)</f>
        <v/>
      </c>
      <c r="N16" s="12">
        <f>IF(A16&lt;=in_early_months,in_early_takeup_mult,1)</f>
        <v/>
      </c>
      <c r="O16" s="12">
        <f>IF(A16&lt;=in_early_months,in_early_approval_mult,1)</f>
        <v/>
      </c>
      <c r="P16" s="12">
        <f>IF(AND(A16&gt;=in_marketplace_from,A16&lt;in_marketplace_from+in_card_months),N16*O16,0)</f>
        <v/>
      </c>
      <c r="Q16" s="14">
        <f>H16*in_trail/12</f>
        <v/>
      </c>
      <c r="R16" s="14">
        <f>IF(A16=1,in_kyc_cost,0)</f>
        <v/>
      </c>
      <c r="S16" s="14">
        <f>B16*in_support_cost</f>
        <v/>
      </c>
      <c r="T16" s="40">
        <f>1/(1+d_dm)^(A16-1)</f>
        <v/>
      </c>
      <c r="U16" s="14">
        <f>(Q16-R16-S16)*T16</f>
        <v/>
      </c>
    </row>
    <row r="17">
      <c r="A17" s="39" t="n">
        <v>16</v>
      </c>
      <c r="B17" s="42">
        <f>'Retention curve'!C17</f>
        <v/>
      </c>
      <c r="C17" s="43">
        <f>'Retention curve'!D17</f>
        <v/>
      </c>
      <c r="D17" s="9">
        <f>in_daily*in_days*(1+in_amount_growth)^INT((A17-1)/in_term)</f>
        <v/>
      </c>
      <c r="E17" s="9">
        <f>B17*D17</f>
        <v/>
      </c>
      <c r="F17" s="9">
        <f>IF(A17=1,0,G16*IF(MOD(A17-1,in_term)=0,in_rollover,1))</f>
        <v/>
      </c>
      <c r="G17" s="9">
        <f>F17*(1-in_withdraw_m)+D17+(F17*(1-in_withdraw_m)+0.5*D17)*d_rm</f>
        <v/>
      </c>
      <c r="H17" s="9">
        <f>B17*(F17*(1-in_withdraw_m)+0.5*D17)</f>
        <v/>
      </c>
      <c r="I17" s="9">
        <f>B17*in_withdraw_m*F17+IF(A17=1,0,C17*G16+IF(MOD(A17-1,in_term)=0,B17*(1-in_rollover)*G16,0))</f>
        <v/>
      </c>
      <c r="J17" s="11">
        <f>in_upi_12*MIN(1,(A17-1)/(in_upi_ramp-1))</f>
        <v/>
      </c>
      <c r="K17" s="11">
        <f>B17*(1-J17)</f>
        <v/>
      </c>
      <c r="L17" s="40">
        <f>K17/in_visit_every</f>
        <v/>
      </c>
      <c r="M17" s="11">
        <f>IF(A17&gt;=in_marketplace_from,B17,0)</f>
        <v/>
      </c>
      <c r="N17" s="12">
        <f>IF(A17&lt;=in_early_months,in_early_takeup_mult,1)</f>
        <v/>
      </c>
      <c r="O17" s="12">
        <f>IF(A17&lt;=in_early_months,in_early_approval_mult,1)</f>
        <v/>
      </c>
      <c r="P17" s="12">
        <f>IF(AND(A17&gt;=in_marketplace_from,A17&lt;in_marketplace_from+in_card_months),N17*O17,0)</f>
        <v/>
      </c>
      <c r="Q17" s="14">
        <f>H17*in_trail/12</f>
        <v/>
      </c>
      <c r="R17" s="14">
        <f>IF(A17=1,in_kyc_cost,0)</f>
        <v/>
      </c>
      <c r="S17" s="14">
        <f>B17*in_support_cost</f>
        <v/>
      </c>
      <c r="T17" s="40">
        <f>1/(1+d_dm)^(A17-1)</f>
        <v/>
      </c>
      <c r="U17" s="14">
        <f>(Q17-R17-S17)*T17</f>
        <v/>
      </c>
    </row>
    <row r="18">
      <c r="A18" s="39" t="n">
        <v>17</v>
      </c>
      <c r="B18" s="42">
        <f>'Retention curve'!C18</f>
        <v/>
      </c>
      <c r="C18" s="43">
        <f>'Retention curve'!D18</f>
        <v/>
      </c>
      <c r="D18" s="9">
        <f>in_daily*in_days*(1+in_amount_growth)^INT((A18-1)/in_term)</f>
        <v/>
      </c>
      <c r="E18" s="9">
        <f>B18*D18</f>
        <v/>
      </c>
      <c r="F18" s="9">
        <f>IF(A18=1,0,G17*IF(MOD(A18-1,in_term)=0,in_rollover,1))</f>
        <v/>
      </c>
      <c r="G18" s="9">
        <f>F18*(1-in_withdraw_m)+D18+(F18*(1-in_withdraw_m)+0.5*D18)*d_rm</f>
        <v/>
      </c>
      <c r="H18" s="9">
        <f>B18*(F18*(1-in_withdraw_m)+0.5*D18)</f>
        <v/>
      </c>
      <c r="I18" s="9">
        <f>B18*in_withdraw_m*F18+IF(A18=1,0,C18*G17+IF(MOD(A18-1,in_term)=0,B18*(1-in_rollover)*G17,0))</f>
        <v/>
      </c>
      <c r="J18" s="11">
        <f>in_upi_12*MIN(1,(A18-1)/(in_upi_ramp-1))</f>
        <v/>
      </c>
      <c r="K18" s="11">
        <f>B18*(1-J18)</f>
        <v/>
      </c>
      <c r="L18" s="40">
        <f>K18/in_visit_every</f>
        <v/>
      </c>
      <c r="M18" s="11">
        <f>IF(A18&gt;=in_marketplace_from,B18,0)</f>
        <v/>
      </c>
      <c r="N18" s="12">
        <f>IF(A18&lt;=in_early_months,in_early_takeup_mult,1)</f>
        <v/>
      </c>
      <c r="O18" s="12">
        <f>IF(A18&lt;=in_early_months,in_early_approval_mult,1)</f>
        <v/>
      </c>
      <c r="P18" s="12">
        <f>IF(AND(A18&gt;=in_marketplace_from,A18&lt;in_marketplace_from+in_card_months),N18*O18,0)</f>
        <v/>
      </c>
      <c r="Q18" s="14">
        <f>H18*in_trail/12</f>
        <v/>
      </c>
      <c r="R18" s="14">
        <f>IF(A18=1,in_kyc_cost,0)</f>
        <v/>
      </c>
      <c r="S18" s="14">
        <f>B18*in_support_cost</f>
        <v/>
      </c>
      <c r="T18" s="40">
        <f>1/(1+d_dm)^(A18-1)</f>
        <v/>
      </c>
      <c r="U18" s="14">
        <f>(Q18-R18-S18)*T18</f>
        <v/>
      </c>
    </row>
    <row r="19">
      <c r="A19" s="39" t="n">
        <v>18</v>
      </c>
      <c r="B19" s="42">
        <f>'Retention curve'!C19</f>
        <v/>
      </c>
      <c r="C19" s="43">
        <f>'Retention curve'!D19</f>
        <v/>
      </c>
      <c r="D19" s="9">
        <f>in_daily*in_days*(1+in_amount_growth)^INT((A19-1)/in_term)</f>
        <v/>
      </c>
      <c r="E19" s="9">
        <f>B19*D19</f>
        <v/>
      </c>
      <c r="F19" s="9">
        <f>IF(A19=1,0,G18*IF(MOD(A19-1,in_term)=0,in_rollover,1))</f>
        <v/>
      </c>
      <c r="G19" s="9">
        <f>F19*(1-in_withdraw_m)+D19+(F19*(1-in_withdraw_m)+0.5*D19)*d_rm</f>
        <v/>
      </c>
      <c r="H19" s="9">
        <f>B19*(F19*(1-in_withdraw_m)+0.5*D19)</f>
        <v/>
      </c>
      <c r="I19" s="9">
        <f>B19*in_withdraw_m*F19+IF(A19=1,0,C19*G18+IF(MOD(A19-1,in_term)=0,B19*(1-in_rollover)*G18,0))</f>
        <v/>
      </c>
      <c r="J19" s="11">
        <f>in_upi_12*MIN(1,(A19-1)/(in_upi_ramp-1))</f>
        <v/>
      </c>
      <c r="K19" s="11">
        <f>B19*(1-J19)</f>
        <v/>
      </c>
      <c r="L19" s="40">
        <f>K19/in_visit_every</f>
        <v/>
      </c>
      <c r="M19" s="11">
        <f>IF(A19&gt;=in_marketplace_from,B19,0)</f>
        <v/>
      </c>
      <c r="N19" s="12">
        <f>IF(A19&lt;=in_early_months,in_early_takeup_mult,1)</f>
        <v/>
      </c>
      <c r="O19" s="12">
        <f>IF(A19&lt;=in_early_months,in_early_approval_mult,1)</f>
        <v/>
      </c>
      <c r="P19" s="12">
        <f>IF(AND(A19&gt;=in_marketplace_from,A19&lt;in_marketplace_from+in_card_months),N19*O19,0)</f>
        <v/>
      </c>
      <c r="Q19" s="14">
        <f>H19*in_trail/12</f>
        <v/>
      </c>
      <c r="R19" s="14">
        <f>IF(A19=1,in_kyc_cost,0)</f>
        <v/>
      </c>
      <c r="S19" s="14">
        <f>B19*in_support_cost</f>
        <v/>
      </c>
      <c r="T19" s="40">
        <f>1/(1+d_dm)^(A19-1)</f>
        <v/>
      </c>
      <c r="U19" s="14">
        <f>(Q19-R19-S19)*T19</f>
        <v/>
      </c>
    </row>
    <row r="20">
      <c r="A20" s="39" t="n">
        <v>19</v>
      </c>
      <c r="B20" s="42">
        <f>'Retention curve'!C20</f>
        <v/>
      </c>
      <c r="C20" s="43">
        <f>'Retention curve'!D20</f>
        <v/>
      </c>
      <c r="D20" s="9">
        <f>in_daily*in_days*(1+in_amount_growth)^INT((A20-1)/in_term)</f>
        <v/>
      </c>
      <c r="E20" s="9">
        <f>B20*D20</f>
        <v/>
      </c>
      <c r="F20" s="9">
        <f>IF(A20=1,0,G19*IF(MOD(A20-1,in_term)=0,in_rollover,1))</f>
        <v/>
      </c>
      <c r="G20" s="9">
        <f>F20*(1-in_withdraw_m)+D20+(F20*(1-in_withdraw_m)+0.5*D20)*d_rm</f>
        <v/>
      </c>
      <c r="H20" s="9">
        <f>B20*(F20*(1-in_withdraw_m)+0.5*D20)</f>
        <v/>
      </c>
      <c r="I20" s="9">
        <f>B20*in_withdraw_m*F20+IF(A20=1,0,C20*G19+IF(MOD(A20-1,in_term)=0,B20*(1-in_rollover)*G19,0))</f>
        <v/>
      </c>
      <c r="J20" s="11">
        <f>in_upi_12*MIN(1,(A20-1)/(in_upi_ramp-1))</f>
        <v/>
      </c>
      <c r="K20" s="11">
        <f>B20*(1-J20)</f>
        <v/>
      </c>
      <c r="L20" s="40">
        <f>K20/in_visit_every</f>
        <v/>
      </c>
      <c r="M20" s="11">
        <f>IF(A20&gt;=in_marketplace_from,B20,0)</f>
        <v/>
      </c>
      <c r="N20" s="12">
        <f>IF(A20&lt;=in_early_months,in_early_takeup_mult,1)</f>
        <v/>
      </c>
      <c r="O20" s="12">
        <f>IF(A20&lt;=in_early_months,in_early_approval_mult,1)</f>
        <v/>
      </c>
      <c r="P20" s="12">
        <f>IF(AND(A20&gt;=in_marketplace_from,A20&lt;in_marketplace_from+in_card_months),N20*O20,0)</f>
        <v/>
      </c>
      <c r="Q20" s="14">
        <f>H20*in_trail/12</f>
        <v/>
      </c>
      <c r="R20" s="14">
        <f>IF(A20=1,in_kyc_cost,0)</f>
        <v/>
      </c>
      <c r="S20" s="14">
        <f>B20*in_support_cost</f>
        <v/>
      </c>
      <c r="T20" s="40">
        <f>1/(1+d_dm)^(A20-1)</f>
        <v/>
      </c>
      <c r="U20" s="14">
        <f>(Q20-R20-S20)*T20</f>
        <v/>
      </c>
    </row>
    <row r="21">
      <c r="A21" s="39" t="n">
        <v>20</v>
      </c>
      <c r="B21" s="42">
        <f>'Retention curve'!C21</f>
        <v/>
      </c>
      <c r="C21" s="43">
        <f>'Retention curve'!D21</f>
        <v/>
      </c>
      <c r="D21" s="9">
        <f>in_daily*in_days*(1+in_amount_growth)^INT((A21-1)/in_term)</f>
        <v/>
      </c>
      <c r="E21" s="9">
        <f>B21*D21</f>
        <v/>
      </c>
      <c r="F21" s="9">
        <f>IF(A21=1,0,G20*IF(MOD(A21-1,in_term)=0,in_rollover,1))</f>
        <v/>
      </c>
      <c r="G21" s="9">
        <f>F21*(1-in_withdraw_m)+D21+(F21*(1-in_withdraw_m)+0.5*D21)*d_rm</f>
        <v/>
      </c>
      <c r="H21" s="9">
        <f>B21*(F21*(1-in_withdraw_m)+0.5*D21)</f>
        <v/>
      </c>
      <c r="I21" s="9">
        <f>B21*in_withdraw_m*F21+IF(A21=1,0,C21*G20+IF(MOD(A21-1,in_term)=0,B21*(1-in_rollover)*G20,0))</f>
        <v/>
      </c>
      <c r="J21" s="11">
        <f>in_upi_12*MIN(1,(A21-1)/(in_upi_ramp-1))</f>
        <v/>
      </c>
      <c r="K21" s="11">
        <f>B21*(1-J21)</f>
        <v/>
      </c>
      <c r="L21" s="40">
        <f>K21/in_visit_every</f>
        <v/>
      </c>
      <c r="M21" s="11">
        <f>IF(A21&gt;=in_marketplace_from,B21,0)</f>
        <v/>
      </c>
      <c r="N21" s="12">
        <f>IF(A21&lt;=in_early_months,in_early_takeup_mult,1)</f>
        <v/>
      </c>
      <c r="O21" s="12">
        <f>IF(A21&lt;=in_early_months,in_early_approval_mult,1)</f>
        <v/>
      </c>
      <c r="P21" s="12">
        <f>IF(AND(A21&gt;=in_marketplace_from,A21&lt;in_marketplace_from+in_card_months),N21*O21,0)</f>
        <v/>
      </c>
      <c r="Q21" s="14">
        <f>H21*in_trail/12</f>
        <v/>
      </c>
      <c r="R21" s="14">
        <f>IF(A21=1,in_kyc_cost,0)</f>
        <v/>
      </c>
      <c r="S21" s="14">
        <f>B21*in_support_cost</f>
        <v/>
      </c>
      <c r="T21" s="40">
        <f>1/(1+d_dm)^(A21-1)</f>
        <v/>
      </c>
      <c r="U21" s="14">
        <f>(Q21-R21-S21)*T21</f>
        <v/>
      </c>
    </row>
    <row r="22">
      <c r="A22" s="39" t="n">
        <v>21</v>
      </c>
      <c r="B22" s="42">
        <f>'Retention curve'!C22</f>
        <v/>
      </c>
      <c r="C22" s="43">
        <f>'Retention curve'!D22</f>
        <v/>
      </c>
      <c r="D22" s="9">
        <f>in_daily*in_days*(1+in_amount_growth)^INT((A22-1)/in_term)</f>
        <v/>
      </c>
      <c r="E22" s="9">
        <f>B22*D22</f>
        <v/>
      </c>
      <c r="F22" s="9">
        <f>IF(A22=1,0,G21*IF(MOD(A22-1,in_term)=0,in_rollover,1))</f>
        <v/>
      </c>
      <c r="G22" s="9">
        <f>F22*(1-in_withdraw_m)+D22+(F22*(1-in_withdraw_m)+0.5*D22)*d_rm</f>
        <v/>
      </c>
      <c r="H22" s="9">
        <f>B22*(F22*(1-in_withdraw_m)+0.5*D22)</f>
        <v/>
      </c>
      <c r="I22" s="9">
        <f>B22*in_withdraw_m*F22+IF(A22=1,0,C22*G21+IF(MOD(A22-1,in_term)=0,B22*(1-in_rollover)*G21,0))</f>
        <v/>
      </c>
      <c r="J22" s="11">
        <f>in_upi_12*MIN(1,(A22-1)/(in_upi_ramp-1))</f>
        <v/>
      </c>
      <c r="K22" s="11">
        <f>B22*(1-J22)</f>
        <v/>
      </c>
      <c r="L22" s="40">
        <f>K22/in_visit_every</f>
        <v/>
      </c>
      <c r="M22" s="11">
        <f>IF(A22&gt;=in_marketplace_from,B22,0)</f>
        <v/>
      </c>
      <c r="N22" s="12">
        <f>IF(A22&lt;=in_early_months,in_early_takeup_mult,1)</f>
        <v/>
      </c>
      <c r="O22" s="12">
        <f>IF(A22&lt;=in_early_months,in_early_approval_mult,1)</f>
        <v/>
      </c>
      <c r="P22" s="12">
        <f>IF(AND(A22&gt;=in_marketplace_from,A22&lt;in_marketplace_from+in_card_months),N22*O22,0)</f>
        <v/>
      </c>
      <c r="Q22" s="14">
        <f>H22*in_trail/12</f>
        <v/>
      </c>
      <c r="R22" s="14">
        <f>IF(A22=1,in_kyc_cost,0)</f>
        <v/>
      </c>
      <c r="S22" s="14">
        <f>B22*in_support_cost</f>
        <v/>
      </c>
      <c r="T22" s="40">
        <f>1/(1+d_dm)^(A22-1)</f>
        <v/>
      </c>
      <c r="U22" s="14">
        <f>(Q22-R22-S22)*T22</f>
        <v/>
      </c>
    </row>
    <row r="23">
      <c r="A23" s="39" t="n">
        <v>22</v>
      </c>
      <c r="B23" s="42">
        <f>'Retention curve'!C23</f>
        <v/>
      </c>
      <c r="C23" s="43">
        <f>'Retention curve'!D23</f>
        <v/>
      </c>
      <c r="D23" s="9">
        <f>in_daily*in_days*(1+in_amount_growth)^INT((A23-1)/in_term)</f>
        <v/>
      </c>
      <c r="E23" s="9">
        <f>B23*D23</f>
        <v/>
      </c>
      <c r="F23" s="9">
        <f>IF(A23=1,0,G22*IF(MOD(A23-1,in_term)=0,in_rollover,1))</f>
        <v/>
      </c>
      <c r="G23" s="9">
        <f>F23*(1-in_withdraw_m)+D23+(F23*(1-in_withdraw_m)+0.5*D23)*d_rm</f>
        <v/>
      </c>
      <c r="H23" s="9">
        <f>B23*(F23*(1-in_withdraw_m)+0.5*D23)</f>
        <v/>
      </c>
      <c r="I23" s="9">
        <f>B23*in_withdraw_m*F23+IF(A23=1,0,C23*G22+IF(MOD(A23-1,in_term)=0,B23*(1-in_rollover)*G22,0))</f>
        <v/>
      </c>
      <c r="J23" s="11">
        <f>in_upi_12*MIN(1,(A23-1)/(in_upi_ramp-1))</f>
        <v/>
      </c>
      <c r="K23" s="11">
        <f>B23*(1-J23)</f>
        <v/>
      </c>
      <c r="L23" s="40">
        <f>K23/in_visit_every</f>
        <v/>
      </c>
      <c r="M23" s="11">
        <f>IF(A23&gt;=in_marketplace_from,B23,0)</f>
        <v/>
      </c>
      <c r="N23" s="12">
        <f>IF(A23&lt;=in_early_months,in_early_takeup_mult,1)</f>
        <v/>
      </c>
      <c r="O23" s="12">
        <f>IF(A23&lt;=in_early_months,in_early_approval_mult,1)</f>
        <v/>
      </c>
      <c r="P23" s="12">
        <f>IF(AND(A23&gt;=in_marketplace_from,A23&lt;in_marketplace_from+in_card_months),N23*O23,0)</f>
        <v/>
      </c>
      <c r="Q23" s="14">
        <f>H23*in_trail/12</f>
        <v/>
      </c>
      <c r="R23" s="14">
        <f>IF(A23=1,in_kyc_cost,0)</f>
        <v/>
      </c>
      <c r="S23" s="14">
        <f>B23*in_support_cost</f>
        <v/>
      </c>
      <c r="T23" s="40">
        <f>1/(1+d_dm)^(A23-1)</f>
        <v/>
      </c>
      <c r="U23" s="14">
        <f>(Q23-R23-S23)*T23</f>
        <v/>
      </c>
    </row>
    <row r="24">
      <c r="A24" s="39" t="n">
        <v>23</v>
      </c>
      <c r="B24" s="42">
        <f>'Retention curve'!C24</f>
        <v/>
      </c>
      <c r="C24" s="43">
        <f>'Retention curve'!D24</f>
        <v/>
      </c>
      <c r="D24" s="9">
        <f>in_daily*in_days*(1+in_amount_growth)^INT((A24-1)/in_term)</f>
        <v/>
      </c>
      <c r="E24" s="9">
        <f>B24*D24</f>
        <v/>
      </c>
      <c r="F24" s="9">
        <f>IF(A24=1,0,G23*IF(MOD(A24-1,in_term)=0,in_rollover,1))</f>
        <v/>
      </c>
      <c r="G24" s="9">
        <f>F24*(1-in_withdraw_m)+D24+(F24*(1-in_withdraw_m)+0.5*D24)*d_rm</f>
        <v/>
      </c>
      <c r="H24" s="9">
        <f>B24*(F24*(1-in_withdraw_m)+0.5*D24)</f>
        <v/>
      </c>
      <c r="I24" s="9">
        <f>B24*in_withdraw_m*F24+IF(A24=1,0,C24*G23+IF(MOD(A24-1,in_term)=0,B24*(1-in_rollover)*G23,0))</f>
        <v/>
      </c>
      <c r="J24" s="11">
        <f>in_upi_12*MIN(1,(A24-1)/(in_upi_ramp-1))</f>
        <v/>
      </c>
      <c r="K24" s="11">
        <f>B24*(1-J24)</f>
        <v/>
      </c>
      <c r="L24" s="40">
        <f>K24/in_visit_every</f>
        <v/>
      </c>
      <c r="M24" s="11">
        <f>IF(A24&gt;=in_marketplace_from,B24,0)</f>
        <v/>
      </c>
      <c r="N24" s="12">
        <f>IF(A24&lt;=in_early_months,in_early_takeup_mult,1)</f>
        <v/>
      </c>
      <c r="O24" s="12">
        <f>IF(A24&lt;=in_early_months,in_early_approval_mult,1)</f>
        <v/>
      </c>
      <c r="P24" s="12">
        <f>IF(AND(A24&gt;=in_marketplace_from,A24&lt;in_marketplace_from+in_card_months),N24*O24,0)</f>
        <v/>
      </c>
      <c r="Q24" s="14">
        <f>H24*in_trail/12</f>
        <v/>
      </c>
      <c r="R24" s="14">
        <f>IF(A24=1,in_kyc_cost,0)</f>
        <v/>
      </c>
      <c r="S24" s="14">
        <f>B24*in_support_cost</f>
        <v/>
      </c>
      <c r="T24" s="40">
        <f>1/(1+d_dm)^(A24-1)</f>
        <v/>
      </c>
      <c r="U24" s="14">
        <f>(Q24-R24-S24)*T24</f>
        <v/>
      </c>
    </row>
    <row r="25">
      <c r="A25" s="39" t="n">
        <v>24</v>
      </c>
      <c r="B25" s="42">
        <f>'Retention curve'!C25</f>
        <v/>
      </c>
      <c r="C25" s="43">
        <f>'Retention curve'!D25</f>
        <v/>
      </c>
      <c r="D25" s="9">
        <f>in_daily*in_days*(1+in_amount_growth)^INT((A25-1)/in_term)</f>
        <v/>
      </c>
      <c r="E25" s="9">
        <f>B25*D25</f>
        <v/>
      </c>
      <c r="F25" s="9">
        <f>IF(A25=1,0,G24*IF(MOD(A25-1,in_term)=0,in_rollover,1))</f>
        <v/>
      </c>
      <c r="G25" s="9">
        <f>F25*(1-in_withdraw_m)+D25+(F25*(1-in_withdraw_m)+0.5*D25)*d_rm</f>
        <v/>
      </c>
      <c r="H25" s="9">
        <f>B25*(F25*(1-in_withdraw_m)+0.5*D25)</f>
        <v/>
      </c>
      <c r="I25" s="9">
        <f>B25*in_withdraw_m*F25+IF(A25=1,0,C25*G24+IF(MOD(A25-1,in_term)=0,B25*(1-in_rollover)*G24,0))</f>
        <v/>
      </c>
      <c r="J25" s="11">
        <f>in_upi_12*MIN(1,(A25-1)/(in_upi_ramp-1))</f>
        <v/>
      </c>
      <c r="K25" s="11">
        <f>B25*(1-J25)</f>
        <v/>
      </c>
      <c r="L25" s="40">
        <f>K25/in_visit_every</f>
        <v/>
      </c>
      <c r="M25" s="11">
        <f>IF(A25&gt;=in_marketplace_from,B25,0)</f>
        <v/>
      </c>
      <c r="N25" s="12">
        <f>IF(A25&lt;=in_early_months,in_early_takeup_mult,1)</f>
        <v/>
      </c>
      <c r="O25" s="12">
        <f>IF(A25&lt;=in_early_months,in_early_approval_mult,1)</f>
        <v/>
      </c>
      <c r="P25" s="12">
        <f>IF(AND(A25&gt;=in_marketplace_from,A25&lt;in_marketplace_from+in_card_months),N25*O25,0)</f>
        <v/>
      </c>
      <c r="Q25" s="14">
        <f>H25*in_trail/12</f>
        <v/>
      </c>
      <c r="R25" s="14">
        <f>IF(A25=1,in_kyc_cost,0)</f>
        <v/>
      </c>
      <c r="S25" s="14">
        <f>B25*in_support_cost</f>
        <v/>
      </c>
      <c r="T25" s="40">
        <f>1/(1+d_dm)^(A25-1)</f>
        <v/>
      </c>
      <c r="U25" s="14">
        <f>(Q25-R25-S25)*T25</f>
        <v/>
      </c>
    </row>
    <row r="26">
      <c r="A26" s="39" t="n">
        <v>25</v>
      </c>
      <c r="B26" s="42">
        <f>'Retention curve'!C26</f>
        <v/>
      </c>
      <c r="C26" s="43">
        <f>'Retention curve'!D26</f>
        <v/>
      </c>
      <c r="D26" s="9">
        <f>in_daily*in_days*(1+in_amount_growth)^INT((A26-1)/in_term)</f>
        <v/>
      </c>
      <c r="E26" s="9">
        <f>B26*D26</f>
        <v/>
      </c>
      <c r="F26" s="9">
        <f>IF(A26=1,0,G25*IF(MOD(A26-1,in_term)=0,in_rollover,1))</f>
        <v/>
      </c>
      <c r="G26" s="9">
        <f>F26*(1-in_withdraw_m)+D26+(F26*(1-in_withdraw_m)+0.5*D26)*d_rm</f>
        <v/>
      </c>
      <c r="H26" s="9">
        <f>B26*(F26*(1-in_withdraw_m)+0.5*D26)</f>
        <v/>
      </c>
      <c r="I26" s="9">
        <f>B26*in_withdraw_m*F26+IF(A26=1,0,C26*G25+IF(MOD(A26-1,in_term)=0,B26*(1-in_rollover)*G25,0))</f>
        <v/>
      </c>
      <c r="J26" s="11">
        <f>in_upi_12*MIN(1,(A26-1)/(in_upi_ramp-1))</f>
        <v/>
      </c>
      <c r="K26" s="11">
        <f>B26*(1-J26)</f>
        <v/>
      </c>
      <c r="L26" s="40">
        <f>K26/in_visit_every</f>
        <v/>
      </c>
      <c r="M26" s="11">
        <f>IF(A26&gt;=in_marketplace_from,B26,0)</f>
        <v/>
      </c>
      <c r="N26" s="12">
        <f>IF(A26&lt;=in_early_months,in_early_takeup_mult,1)</f>
        <v/>
      </c>
      <c r="O26" s="12">
        <f>IF(A26&lt;=in_early_months,in_early_approval_mult,1)</f>
        <v/>
      </c>
      <c r="P26" s="12">
        <f>IF(AND(A26&gt;=in_marketplace_from,A26&lt;in_marketplace_from+in_card_months),N26*O26,0)</f>
        <v/>
      </c>
      <c r="Q26" s="14">
        <f>H26*in_trail/12</f>
        <v/>
      </c>
      <c r="R26" s="14">
        <f>IF(A26=1,in_kyc_cost,0)</f>
        <v/>
      </c>
      <c r="S26" s="14">
        <f>B26*in_support_cost</f>
        <v/>
      </c>
      <c r="T26" s="40">
        <f>1/(1+d_dm)^(A26-1)</f>
        <v/>
      </c>
      <c r="U26" s="14">
        <f>(Q26-R26-S26)*T26</f>
        <v/>
      </c>
    </row>
    <row r="27">
      <c r="A27" s="39" t="n">
        <v>26</v>
      </c>
      <c r="B27" s="42">
        <f>'Retention curve'!C27</f>
        <v/>
      </c>
      <c r="C27" s="43">
        <f>'Retention curve'!D27</f>
        <v/>
      </c>
      <c r="D27" s="9">
        <f>in_daily*in_days*(1+in_amount_growth)^INT((A27-1)/in_term)</f>
        <v/>
      </c>
      <c r="E27" s="9">
        <f>B27*D27</f>
        <v/>
      </c>
      <c r="F27" s="9">
        <f>IF(A27=1,0,G26*IF(MOD(A27-1,in_term)=0,in_rollover,1))</f>
        <v/>
      </c>
      <c r="G27" s="9">
        <f>F27*(1-in_withdraw_m)+D27+(F27*(1-in_withdraw_m)+0.5*D27)*d_rm</f>
        <v/>
      </c>
      <c r="H27" s="9">
        <f>B27*(F27*(1-in_withdraw_m)+0.5*D27)</f>
        <v/>
      </c>
      <c r="I27" s="9">
        <f>B27*in_withdraw_m*F27+IF(A27=1,0,C27*G26+IF(MOD(A27-1,in_term)=0,B27*(1-in_rollover)*G26,0))</f>
        <v/>
      </c>
      <c r="J27" s="11">
        <f>in_upi_12*MIN(1,(A27-1)/(in_upi_ramp-1))</f>
        <v/>
      </c>
      <c r="K27" s="11">
        <f>B27*(1-J27)</f>
        <v/>
      </c>
      <c r="L27" s="40">
        <f>K27/in_visit_every</f>
        <v/>
      </c>
      <c r="M27" s="11">
        <f>IF(A27&gt;=in_marketplace_from,B27,0)</f>
        <v/>
      </c>
      <c r="N27" s="12">
        <f>IF(A27&lt;=in_early_months,in_early_takeup_mult,1)</f>
        <v/>
      </c>
      <c r="O27" s="12">
        <f>IF(A27&lt;=in_early_months,in_early_approval_mult,1)</f>
        <v/>
      </c>
      <c r="P27" s="12">
        <f>IF(AND(A27&gt;=in_marketplace_from,A27&lt;in_marketplace_from+in_card_months),N27*O27,0)</f>
        <v/>
      </c>
      <c r="Q27" s="14">
        <f>H27*in_trail/12</f>
        <v/>
      </c>
      <c r="R27" s="14">
        <f>IF(A27=1,in_kyc_cost,0)</f>
        <v/>
      </c>
      <c r="S27" s="14">
        <f>B27*in_support_cost</f>
        <v/>
      </c>
      <c r="T27" s="40">
        <f>1/(1+d_dm)^(A27-1)</f>
        <v/>
      </c>
      <c r="U27" s="14">
        <f>(Q27-R27-S27)*T27</f>
        <v/>
      </c>
    </row>
    <row r="28">
      <c r="A28" s="39" t="n">
        <v>27</v>
      </c>
      <c r="B28" s="42">
        <f>'Retention curve'!C28</f>
        <v/>
      </c>
      <c r="C28" s="43">
        <f>'Retention curve'!D28</f>
        <v/>
      </c>
      <c r="D28" s="9">
        <f>in_daily*in_days*(1+in_amount_growth)^INT((A28-1)/in_term)</f>
        <v/>
      </c>
      <c r="E28" s="9">
        <f>B28*D28</f>
        <v/>
      </c>
      <c r="F28" s="9">
        <f>IF(A28=1,0,G27*IF(MOD(A28-1,in_term)=0,in_rollover,1))</f>
        <v/>
      </c>
      <c r="G28" s="9">
        <f>F28*(1-in_withdraw_m)+D28+(F28*(1-in_withdraw_m)+0.5*D28)*d_rm</f>
        <v/>
      </c>
      <c r="H28" s="9">
        <f>B28*(F28*(1-in_withdraw_m)+0.5*D28)</f>
        <v/>
      </c>
      <c r="I28" s="9">
        <f>B28*in_withdraw_m*F28+IF(A28=1,0,C28*G27+IF(MOD(A28-1,in_term)=0,B28*(1-in_rollover)*G27,0))</f>
        <v/>
      </c>
      <c r="J28" s="11">
        <f>in_upi_12*MIN(1,(A28-1)/(in_upi_ramp-1))</f>
        <v/>
      </c>
      <c r="K28" s="11">
        <f>B28*(1-J28)</f>
        <v/>
      </c>
      <c r="L28" s="40">
        <f>K28/in_visit_every</f>
        <v/>
      </c>
      <c r="M28" s="11">
        <f>IF(A28&gt;=in_marketplace_from,B28,0)</f>
        <v/>
      </c>
      <c r="N28" s="12">
        <f>IF(A28&lt;=in_early_months,in_early_takeup_mult,1)</f>
        <v/>
      </c>
      <c r="O28" s="12">
        <f>IF(A28&lt;=in_early_months,in_early_approval_mult,1)</f>
        <v/>
      </c>
      <c r="P28" s="12">
        <f>IF(AND(A28&gt;=in_marketplace_from,A28&lt;in_marketplace_from+in_card_months),N28*O28,0)</f>
        <v/>
      </c>
      <c r="Q28" s="14">
        <f>H28*in_trail/12</f>
        <v/>
      </c>
      <c r="R28" s="14">
        <f>IF(A28=1,in_kyc_cost,0)</f>
        <v/>
      </c>
      <c r="S28" s="14">
        <f>B28*in_support_cost</f>
        <v/>
      </c>
      <c r="T28" s="40">
        <f>1/(1+d_dm)^(A28-1)</f>
        <v/>
      </c>
      <c r="U28" s="14">
        <f>(Q28-R28-S28)*T28</f>
        <v/>
      </c>
    </row>
    <row r="29">
      <c r="A29" s="39" t="n">
        <v>28</v>
      </c>
      <c r="B29" s="42">
        <f>'Retention curve'!C29</f>
        <v/>
      </c>
      <c r="C29" s="43">
        <f>'Retention curve'!D29</f>
        <v/>
      </c>
      <c r="D29" s="9">
        <f>in_daily*in_days*(1+in_amount_growth)^INT((A29-1)/in_term)</f>
        <v/>
      </c>
      <c r="E29" s="9">
        <f>B29*D29</f>
        <v/>
      </c>
      <c r="F29" s="9">
        <f>IF(A29=1,0,G28*IF(MOD(A29-1,in_term)=0,in_rollover,1))</f>
        <v/>
      </c>
      <c r="G29" s="9">
        <f>F29*(1-in_withdraw_m)+D29+(F29*(1-in_withdraw_m)+0.5*D29)*d_rm</f>
        <v/>
      </c>
      <c r="H29" s="9">
        <f>B29*(F29*(1-in_withdraw_m)+0.5*D29)</f>
        <v/>
      </c>
      <c r="I29" s="9">
        <f>B29*in_withdraw_m*F29+IF(A29=1,0,C29*G28+IF(MOD(A29-1,in_term)=0,B29*(1-in_rollover)*G28,0))</f>
        <v/>
      </c>
      <c r="J29" s="11">
        <f>in_upi_12*MIN(1,(A29-1)/(in_upi_ramp-1))</f>
        <v/>
      </c>
      <c r="K29" s="11">
        <f>B29*(1-J29)</f>
        <v/>
      </c>
      <c r="L29" s="40">
        <f>K29/in_visit_every</f>
        <v/>
      </c>
      <c r="M29" s="11">
        <f>IF(A29&gt;=in_marketplace_from,B29,0)</f>
        <v/>
      </c>
      <c r="N29" s="12">
        <f>IF(A29&lt;=in_early_months,in_early_takeup_mult,1)</f>
        <v/>
      </c>
      <c r="O29" s="12">
        <f>IF(A29&lt;=in_early_months,in_early_approval_mult,1)</f>
        <v/>
      </c>
      <c r="P29" s="12">
        <f>IF(AND(A29&gt;=in_marketplace_from,A29&lt;in_marketplace_from+in_card_months),N29*O29,0)</f>
        <v/>
      </c>
      <c r="Q29" s="14">
        <f>H29*in_trail/12</f>
        <v/>
      </c>
      <c r="R29" s="14">
        <f>IF(A29=1,in_kyc_cost,0)</f>
        <v/>
      </c>
      <c r="S29" s="14">
        <f>B29*in_support_cost</f>
        <v/>
      </c>
      <c r="T29" s="40">
        <f>1/(1+d_dm)^(A29-1)</f>
        <v/>
      </c>
      <c r="U29" s="14">
        <f>(Q29-R29-S29)*T29</f>
        <v/>
      </c>
    </row>
    <row r="30">
      <c r="A30" s="39" t="n">
        <v>29</v>
      </c>
      <c r="B30" s="42">
        <f>'Retention curve'!C30</f>
        <v/>
      </c>
      <c r="C30" s="43">
        <f>'Retention curve'!D30</f>
        <v/>
      </c>
      <c r="D30" s="9">
        <f>in_daily*in_days*(1+in_amount_growth)^INT((A30-1)/in_term)</f>
        <v/>
      </c>
      <c r="E30" s="9">
        <f>B30*D30</f>
        <v/>
      </c>
      <c r="F30" s="9">
        <f>IF(A30=1,0,G29*IF(MOD(A30-1,in_term)=0,in_rollover,1))</f>
        <v/>
      </c>
      <c r="G30" s="9">
        <f>F30*(1-in_withdraw_m)+D30+(F30*(1-in_withdraw_m)+0.5*D30)*d_rm</f>
        <v/>
      </c>
      <c r="H30" s="9">
        <f>B30*(F30*(1-in_withdraw_m)+0.5*D30)</f>
        <v/>
      </c>
      <c r="I30" s="9">
        <f>B30*in_withdraw_m*F30+IF(A30=1,0,C30*G29+IF(MOD(A30-1,in_term)=0,B30*(1-in_rollover)*G29,0))</f>
        <v/>
      </c>
      <c r="J30" s="11">
        <f>in_upi_12*MIN(1,(A30-1)/(in_upi_ramp-1))</f>
        <v/>
      </c>
      <c r="K30" s="11">
        <f>B30*(1-J30)</f>
        <v/>
      </c>
      <c r="L30" s="40">
        <f>K30/in_visit_every</f>
        <v/>
      </c>
      <c r="M30" s="11">
        <f>IF(A30&gt;=in_marketplace_from,B30,0)</f>
        <v/>
      </c>
      <c r="N30" s="12">
        <f>IF(A30&lt;=in_early_months,in_early_takeup_mult,1)</f>
        <v/>
      </c>
      <c r="O30" s="12">
        <f>IF(A30&lt;=in_early_months,in_early_approval_mult,1)</f>
        <v/>
      </c>
      <c r="P30" s="12">
        <f>IF(AND(A30&gt;=in_marketplace_from,A30&lt;in_marketplace_from+in_card_months),N30*O30,0)</f>
        <v/>
      </c>
      <c r="Q30" s="14">
        <f>H30*in_trail/12</f>
        <v/>
      </c>
      <c r="R30" s="14">
        <f>IF(A30=1,in_kyc_cost,0)</f>
        <v/>
      </c>
      <c r="S30" s="14">
        <f>B30*in_support_cost</f>
        <v/>
      </c>
      <c r="T30" s="40">
        <f>1/(1+d_dm)^(A30-1)</f>
        <v/>
      </c>
      <c r="U30" s="14">
        <f>(Q30-R30-S30)*T30</f>
        <v/>
      </c>
    </row>
    <row r="31">
      <c r="A31" s="39" t="n">
        <v>30</v>
      </c>
      <c r="B31" s="42">
        <f>'Retention curve'!C31</f>
        <v/>
      </c>
      <c r="C31" s="43">
        <f>'Retention curve'!D31</f>
        <v/>
      </c>
      <c r="D31" s="9">
        <f>in_daily*in_days*(1+in_amount_growth)^INT((A31-1)/in_term)</f>
        <v/>
      </c>
      <c r="E31" s="9">
        <f>B31*D31</f>
        <v/>
      </c>
      <c r="F31" s="9">
        <f>IF(A31=1,0,G30*IF(MOD(A31-1,in_term)=0,in_rollover,1))</f>
        <v/>
      </c>
      <c r="G31" s="9">
        <f>F31*(1-in_withdraw_m)+D31+(F31*(1-in_withdraw_m)+0.5*D31)*d_rm</f>
        <v/>
      </c>
      <c r="H31" s="9">
        <f>B31*(F31*(1-in_withdraw_m)+0.5*D31)</f>
        <v/>
      </c>
      <c r="I31" s="9">
        <f>B31*in_withdraw_m*F31+IF(A31=1,0,C31*G30+IF(MOD(A31-1,in_term)=0,B31*(1-in_rollover)*G30,0))</f>
        <v/>
      </c>
      <c r="J31" s="11">
        <f>in_upi_12*MIN(1,(A31-1)/(in_upi_ramp-1))</f>
        <v/>
      </c>
      <c r="K31" s="11">
        <f>B31*(1-J31)</f>
        <v/>
      </c>
      <c r="L31" s="40">
        <f>K31/in_visit_every</f>
        <v/>
      </c>
      <c r="M31" s="11">
        <f>IF(A31&gt;=in_marketplace_from,B31,0)</f>
        <v/>
      </c>
      <c r="N31" s="12">
        <f>IF(A31&lt;=in_early_months,in_early_takeup_mult,1)</f>
        <v/>
      </c>
      <c r="O31" s="12">
        <f>IF(A31&lt;=in_early_months,in_early_approval_mult,1)</f>
        <v/>
      </c>
      <c r="P31" s="12">
        <f>IF(AND(A31&gt;=in_marketplace_from,A31&lt;in_marketplace_from+in_card_months),N31*O31,0)</f>
        <v/>
      </c>
      <c r="Q31" s="14">
        <f>H31*in_trail/12</f>
        <v/>
      </c>
      <c r="R31" s="14">
        <f>IF(A31=1,in_kyc_cost,0)</f>
        <v/>
      </c>
      <c r="S31" s="14">
        <f>B31*in_support_cost</f>
        <v/>
      </c>
      <c r="T31" s="40">
        <f>1/(1+d_dm)^(A31-1)</f>
        <v/>
      </c>
      <c r="U31" s="14">
        <f>(Q31-R31-S31)*T31</f>
        <v/>
      </c>
    </row>
    <row r="32">
      <c r="A32" s="39" t="n">
        <v>31</v>
      </c>
      <c r="B32" s="42">
        <f>'Retention curve'!C32</f>
        <v/>
      </c>
      <c r="C32" s="43">
        <f>'Retention curve'!D32</f>
        <v/>
      </c>
      <c r="D32" s="9">
        <f>in_daily*in_days*(1+in_amount_growth)^INT((A32-1)/in_term)</f>
        <v/>
      </c>
      <c r="E32" s="9">
        <f>B32*D32</f>
        <v/>
      </c>
      <c r="F32" s="9">
        <f>IF(A32=1,0,G31*IF(MOD(A32-1,in_term)=0,in_rollover,1))</f>
        <v/>
      </c>
      <c r="G32" s="9">
        <f>F32*(1-in_withdraw_m)+D32+(F32*(1-in_withdraw_m)+0.5*D32)*d_rm</f>
        <v/>
      </c>
      <c r="H32" s="9">
        <f>B32*(F32*(1-in_withdraw_m)+0.5*D32)</f>
        <v/>
      </c>
      <c r="I32" s="9">
        <f>B32*in_withdraw_m*F32+IF(A32=1,0,C32*G31+IF(MOD(A32-1,in_term)=0,B32*(1-in_rollover)*G31,0))</f>
        <v/>
      </c>
      <c r="J32" s="11">
        <f>in_upi_12*MIN(1,(A32-1)/(in_upi_ramp-1))</f>
        <v/>
      </c>
      <c r="K32" s="11">
        <f>B32*(1-J32)</f>
        <v/>
      </c>
      <c r="L32" s="40">
        <f>K32/in_visit_every</f>
        <v/>
      </c>
      <c r="M32" s="11">
        <f>IF(A32&gt;=in_marketplace_from,B32,0)</f>
        <v/>
      </c>
      <c r="N32" s="12">
        <f>IF(A32&lt;=in_early_months,in_early_takeup_mult,1)</f>
        <v/>
      </c>
      <c r="O32" s="12">
        <f>IF(A32&lt;=in_early_months,in_early_approval_mult,1)</f>
        <v/>
      </c>
      <c r="P32" s="12">
        <f>IF(AND(A32&gt;=in_marketplace_from,A32&lt;in_marketplace_from+in_card_months),N32*O32,0)</f>
        <v/>
      </c>
      <c r="Q32" s="14">
        <f>H32*in_trail/12</f>
        <v/>
      </c>
      <c r="R32" s="14">
        <f>IF(A32=1,in_kyc_cost,0)</f>
        <v/>
      </c>
      <c r="S32" s="14">
        <f>B32*in_support_cost</f>
        <v/>
      </c>
      <c r="T32" s="40">
        <f>1/(1+d_dm)^(A32-1)</f>
        <v/>
      </c>
      <c r="U32" s="14">
        <f>(Q32-R32-S32)*T32</f>
        <v/>
      </c>
    </row>
    <row r="33">
      <c r="A33" s="39" t="n">
        <v>32</v>
      </c>
      <c r="B33" s="42">
        <f>'Retention curve'!C33</f>
        <v/>
      </c>
      <c r="C33" s="43">
        <f>'Retention curve'!D33</f>
        <v/>
      </c>
      <c r="D33" s="9">
        <f>in_daily*in_days*(1+in_amount_growth)^INT((A33-1)/in_term)</f>
        <v/>
      </c>
      <c r="E33" s="9">
        <f>B33*D33</f>
        <v/>
      </c>
      <c r="F33" s="9">
        <f>IF(A33=1,0,G32*IF(MOD(A33-1,in_term)=0,in_rollover,1))</f>
        <v/>
      </c>
      <c r="G33" s="9">
        <f>F33*(1-in_withdraw_m)+D33+(F33*(1-in_withdraw_m)+0.5*D33)*d_rm</f>
        <v/>
      </c>
      <c r="H33" s="9">
        <f>B33*(F33*(1-in_withdraw_m)+0.5*D33)</f>
        <v/>
      </c>
      <c r="I33" s="9">
        <f>B33*in_withdraw_m*F33+IF(A33=1,0,C33*G32+IF(MOD(A33-1,in_term)=0,B33*(1-in_rollover)*G32,0))</f>
        <v/>
      </c>
      <c r="J33" s="11">
        <f>in_upi_12*MIN(1,(A33-1)/(in_upi_ramp-1))</f>
        <v/>
      </c>
      <c r="K33" s="11">
        <f>B33*(1-J33)</f>
        <v/>
      </c>
      <c r="L33" s="40">
        <f>K33/in_visit_every</f>
        <v/>
      </c>
      <c r="M33" s="11">
        <f>IF(A33&gt;=in_marketplace_from,B33,0)</f>
        <v/>
      </c>
      <c r="N33" s="12">
        <f>IF(A33&lt;=in_early_months,in_early_takeup_mult,1)</f>
        <v/>
      </c>
      <c r="O33" s="12">
        <f>IF(A33&lt;=in_early_months,in_early_approval_mult,1)</f>
        <v/>
      </c>
      <c r="P33" s="12">
        <f>IF(AND(A33&gt;=in_marketplace_from,A33&lt;in_marketplace_from+in_card_months),N33*O33,0)</f>
        <v/>
      </c>
      <c r="Q33" s="14">
        <f>H33*in_trail/12</f>
        <v/>
      </c>
      <c r="R33" s="14">
        <f>IF(A33=1,in_kyc_cost,0)</f>
        <v/>
      </c>
      <c r="S33" s="14">
        <f>B33*in_support_cost</f>
        <v/>
      </c>
      <c r="T33" s="40">
        <f>1/(1+d_dm)^(A33-1)</f>
        <v/>
      </c>
      <c r="U33" s="14">
        <f>(Q33-R33-S33)*T33</f>
        <v/>
      </c>
    </row>
    <row r="34">
      <c r="A34" s="39" t="n">
        <v>33</v>
      </c>
      <c r="B34" s="42">
        <f>'Retention curve'!C34</f>
        <v/>
      </c>
      <c r="C34" s="43">
        <f>'Retention curve'!D34</f>
        <v/>
      </c>
      <c r="D34" s="9">
        <f>in_daily*in_days*(1+in_amount_growth)^INT((A34-1)/in_term)</f>
        <v/>
      </c>
      <c r="E34" s="9">
        <f>B34*D34</f>
        <v/>
      </c>
      <c r="F34" s="9">
        <f>IF(A34=1,0,G33*IF(MOD(A34-1,in_term)=0,in_rollover,1))</f>
        <v/>
      </c>
      <c r="G34" s="9">
        <f>F34*(1-in_withdraw_m)+D34+(F34*(1-in_withdraw_m)+0.5*D34)*d_rm</f>
        <v/>
      </c>
      <c r="H34" s="9">
        <f>B34*(F34*(1-in_withdraw_m)+0.5*D34)</f>
        <v/>
      </c>
      <c r="I34" s="9">
        <f>B34*in_withdraw_m*F34+IF(A34=1,0,C34*G33+IF(MOD(A34-1,in_term)=0,B34*(1-in_rollover)*G33,0))</f>
        <v/>
      </c>
      <c r="J34" s="11">
        <f>in_upi_12*MIN(1,(A34-1)/(in_upi_ramp-1))</f>
        <v/>
      </c>
      <c r="K34" s="11">
        <f>B34*(1-J34)</f>
        <v/>
      </c>
      <c r="L34" s="40">
        <f>K34/in_visit_every</f>
        <v/>
      </c>
      <c r="M34" s="11">
        <f>IF(A34&gt;=in_marketplace_from,B34,0)</f>
        <v/>
      </c>
      <c r="N34" s="12">
        <f>IF(A34&lt;=in_early_months,in_early_takeup_mult,1)</f>
        <v/>
      </c>
      <c r="O34" s="12">
        <f>IF(A34&lt;=in_early_months,in_early_approval_mult,1)</f>
        <v/>
      </c>
      <c r="P34" s="12">
        <f>IF(AND(A34&gt;=in_marketplace_from,A34&lt;in_marketplace_from+in_card_months),N34*O34,0)</f>
        <v/>
      </c>
      <c r="Q34" s="14">
        <f>H34*in_trail/12</f>
        <v/>
      </c>
      <c r="R34" s="14">
        <f>IF(A34=1,in_kyc_cost,0)</f>
        <v/>
      </c>
      <c r="S34" s="14">
        <f>B34*in_support_cost</f>
        <v/>
      </c>
      <c r="T34" s="40">
        <f>1/(1+d_dm)^(A34-1)</f>
        <v/>
      </c>
      <c r="U34" s="14">
        <f>(Q34-R34-S34)*T34</f>
        <v/>
      </c>
    </row>
    <row r="35">
      <c r="A35" s="39" t="n">
        <v>34</v>
      </c>
      <c r="B35" s="42">
        <f>'Retention curve'!C35</f>
        <v/>
      </c>
      <c r="C35" s="43">
        <f>'Retention curve'!D35</f>
        <v/>
      </c>
      <c r="D35" s="9">
        <f>in_daily*in_days*(1+in_amount_growth)^INT((A35-1)/in_term)</f>
        <v/>
      </c>
      <c r="E35" s="9">
        <f>B35*D35</f>
        <v/>
      </c>
      <c r="F35" s="9">
        <f>IF(A35=1,0,G34*IF(MOD(A35-1,in_term)=0,in_rollover,1))</f>
        <v/>
      </c>
      <c r="G35" s="9">
        <f>F35*(1-in_withdraw_m)+D35+(F35*(1-in_withdraw_m)+0.5*D35)*d_rm</f>
        <v/>
      </c>
      <c r="H35" s="9">
        <f>B35*(F35*(1-in_withdraw_m)+0.5*D35)</f>
        <v/>
      </c>
      <c r="I35" s="9">
        <f>B35*in_withdraw_m*F35+IF(A35=1,0,C35*G34+IF(MOD(A35-1,in_term)=0,B35*(1-in_rollover)*G34,0))</f>
        <v/>
      </c>
      <c r="J35" s="11">
        <f>in_upi_12*MIN(1,(A35-1)/(in_upi_ramp-1))</f>
        <v/>
      </c>
      <c r="K35" s="11">
        <f>B35*(1-J35)</f>
        <v/>
      </c>
      <c r="L35" s="40">
        <f>K35/in_visit_every</f>
        <v/>
      </c>
      <c r="M35" s="11">
        <f>IF(A35&gt;=in_marketplace_from,B35,0)</f>
        <v/>
      </c>
      <c r="N35" s="12">
        <f>IF(A35&lt;=in_early_months,in_early_takeup_mult,1)</f>
        <v/>
      </c>
      <c r="O35" s="12">
        <f>IF(A35&lt;=in_early_months,in_early_approval_mult,1)</f>
        <v/>
      </c>
      <c r="P35" s="12">
        <f>IF(AND(A35&gt;=in_marketplace_from,A35&lt;in_marketplace_from+in_card_months),N35*O35,0)</f>
        <v/>
      </c>
      <c r="Q35" s="14">
        <f>H35*in_trail/12</f>
        <v/>
      </c>
      <c r="R35" s="14">
        <f>IF(A35=1,in_kyc_cost,0)</f>
        <v/>
      </c>
      <c r="S35" s="14">
        <f>B35*in_support_cost</f>
        <v/>
      </c>
      <c r="T35" s="40">
        <f>1/(1+d_dm)^(A35-1)</f>
        <v/>
      </c>
      <c r="U35" s="14">
        <f>(Q35-R35-S35)*T35</f>
        <v/>
      </c>
    </row>
    <row r="36">
      <c r="A36" s="39" t="n">
        <v>35</v>
      </c>
      <c r="B36" s="42">
        <f>'Retention curve'!C36</f>
        <v/>
      </c>
      <c r="C36" s="43">
        <f>'Retention curve'!D36</f>
        <v/>
      </c>
      <c r="D36" s="9">
        <f>in_daily*in_days*(1+in_amount_growth)^INT((A36-1)/in_term)</f>
        <v/>
      </c>
      <c r="E36" s="9">
        <f>B36*D36</f>
        <v/>
      </c>
      <c r="F36" s="9">
        <f>IF(A36=1,0,G35*IF(MOD(A36-1,in_term)=0,in_rollover,1))</f>
        <v/>
      </c>
      <c r="G36" s="9">
        <f>F36*(1-in_withdraw_m)+D36+(F36*(1-in_withdraw_m)+0.5*D36)*d_rm</f>
        <v/>
      </c>
      <c r="H36" s="9">
        <f>B36*(F36*(1-in_withdraw_m)+0.5*D36)</f>
        <v/>
      </c>
      <c r="I36" s="9">
        <f>B36*in_withdraw_m*F36+IF(A36=1,0,C36*G35+IF(MOD(A36-1,in_term)=0,B36*(1-in_rollover)*G35,0))</f>
        <v/>
      </c>
      <c r="J36" s="11">
        <f>in_upi_12*MIN(1,(A36-1)/(in_upi_ramp-1))</f>
        <v/>
      </c>
      <c r="K36" s="11">
        <f>B36*(1-J36)</f>
        <v/>
      </c>
      <c r="L36" s="40">
        <f>K36/in_visit_every</f>
        <v/>
      </c>
      <c r="M36" s="11">
        <f>IF(A36&gt;=in_marketplace_from,B36,0)</f>
        <v/>
      </c>
      <c r="N36" s="12">
        <f>IF(A36&lt;=in_early_months,in_early_takeup_mult,1)</f>
        <v/>
      </c>
      <c r="O36" s="12">
        <f>IF(A36&lt;=in_early_months,in_early_approval_mult,1)</f>
        <v/>
      </c>
      <c r="P36" s="12">
        <f>IF(AND(A36&gt;=in_marketplace_from,A36&lt;in_marketplace_from+in_card_months),N36*O36,0)</f>
        <v/>
      </c>
      <c r="Q36" s="14">
        <f>H36*in_trail/12</f>
        <v/>
      </c>
      <c r="R36" s="14">
        <f>IF(A36=1,in_kyc_cost,0)</f>
        <v/>
      </c>
      <c r="S36" s="14">
        <f>B36*in_support_cost</f>
        <v/>
      </c>
      <c r="T36" s="40">
        <f>1/(1+d_dm)^(A36-1)</f>
        <v/>
      </c>
      <c r="U36" s="14">
        <f>(Q36-R36-S36)*T36</f>
        <v/>
      </c>
    </row>
    <row r="37">
      <c r="A37" s="39" t="n">
        <v>36</v>
      </c>
      <c r="B37" s="42">
        <f>'Retention curve'!C37</f>
        <v/>
      </c>
      <c r="C37" s="43">
        <f>'Retention curve'!D37</f>
        <v/>
      </c>
      <c r="D37" s="9">
        <f>in_daily*in_days*(1+in_amount_growth)^INT((A37-1)/in_term)</f>
        <v/>
      </c>
      <c r="E37" s="9">
        <f>B37*D37</f>
        <v/>
      </c>
      <c r="F37" s="9">
        <f>IF(A37=1,0,G36*IF(MOD(A37-1,in_term)=0,in_rollover,1))</f>
        <v/>
      </c>
      <c r="G37" s="9">
        <f>F37*(1-in_withdraw_m)+D37+(F37*(1-in_withdraw_m)+0.5*D37)*d_rm</f>
        <v/>
      </c>
      <c r="H37" s="9">
        <f>B37*(F37*(1-in_withdraw_m)+0.5*D37)</f>
        <v/>
      </c>
      <c r="I37" s="9">
        <f>B37*in_withdraw_m*F37+IF(A37=1,0,C37*G36+IF(MOD(A37-1,in_term)=0,B37*(1-in_rollover)*G36,0))</f>
        <v/>
      </c>
      <c r="J37" s="11">
        <f>in_upi_12*MIN(1,(A37-1)/(in_upi_ramp-1))</f>
        <v/>
      </c>
      <c r="K37" s="11">
        <f>B37*(1-J37)</f>
        <v/>
      </c>
      <c r="L37" s="40">
        <f>K37/in_visit_every</f>
        <v/>
      </c>
      <c r="M37" s="11">
        <f>IF(A37&gt;=in_marketplace_from,B37,0)</f>
        <v/>
      </c>
      <c r="N37" s="12">
        <f>IF(A37&lt;=in_early_months,in_early_takeup_mult,1)</f>
        <v/>
      </c>
      <c r="O37" s="12">
        <f>IF(A37&lt;=in_early_months,in_early_approval_mult,1)</f>
        <v/>
      </c>
      <c r="P37" s="12">
        <f>IF(AND(A37&gt;=in_marketplace_from,A37&lt;in_marketplace_from+in_card_months),N37*O37,0)</f>
        <v/>
      </c>
      <c r="Q37" s="14">
        <f>H37*in_trail/12</f>
        <v/>
      </c>
      <c r="R37" s="14">
        <f>IF(A37=1,in_kyc_cost,0)</f>
        <v/>
      </c>
      <c r="S37" s="14">
        <f>B37*in_support_cost</f>
        <v/>
      </c>
      <c r="T37" s="40">
        <f>1/(1+d_dm)^(A37-1)</f>
        <v/>
      </c>
      <c r="U37" s="14">
        <f>(Q37-R37-S37)*T37</f>
        <v/>
      </c>
    </row>
    <row r="38">
      <c r="A38" s="39" t="n">
        <v>37</v>
      </c>
      <c r="B38" s="42">
        <f>'Retention curve'!C38</f>
        <v/>
      </c>
      <c r="C38" s="43">
        <f>'Retention curve'!D38</f>
        <v/>
      </c>
      <c r="D38" s="9">
        <f>in_daily*in_days*(1+in_amount_growth)^INT((A38-1)/in_term)</f>
        <v/>
      </c>
      <c r="E38" s="9">
        <f>B38*D38</f>
        <v/>
      </c>
      <c r="F38" s="9">
        <f>IF(A38=1,0,G37*IF(MOD(A38-1,in_term)=0,in_rollover,1))</f>
        <v/>
      </c>
      <c r="G38" s="9">
        <f>F38*(1-in_withdraw_m)+D38+(F38*(1-in_withdraw_m)+0.5*D38)*d_rm</f>
        <v/>
      </c>
      <c r="H38" s="9">
        <f>B38*(F38*(1-in_withdraw_m)+0.5*D38)</f>
        <v/>
      </c>
      <c r="I38" s="9">
        <f>B38*in_withdraw_m*F38+IF(A38=1,0,C38*G37+IF(MOD(A38-1,in_term)=0,B38*(1-in_rollover)*G37,0))</f>
        <v/>
      </c>
      <c r="J38" s="11">
        <f>in_upi_12*MIN(1,(A38-1)/(in_upi_ramp-1))</f>
        <v/>
      </c>
      <c r="K38" s="11">
        <f>B38*(1-J38)</f>
        <v/>
      </c>
      <c r="L38" s="40">
        <f>K38/in_visit_every</f>
        <v/>
      </c>
      <c r="M38" s="11">
        <f>IF(A38&gt;=in_marketplace_from,B38,0)</f>
        <v/>
      </c>
      <c r="N38" s="12">
        <f>IF(A38&lt;=in_early_months,in_early_takeup_mult,1)</f>
        <v/>
      </c>
      <c r="O38" s="12">
        <f>IF(A38&lt;=in_early_months,in_early_approval_mult,1)</f>
        <v/>
      </c>
      <c r="P38" s="12">
        <f>IF(AND(A38&gt;=in_marketplace_from,A38&lt;in_marketplace_from+in_card_months),N38*O38,0)</f>
        <v/>
      </c>
      <c r="Q38" s="14">
        <f>H38*in_trail/12</f>
        <v/>
      </c>
      <c r="R38" s="14">
        <f>IF(A38=1,in_kyc_cost,0)</f>
        <v/>
      </c>
      <c r="S38" s="14">
        <f>B38*in_support_cost</f>
        <v/>
      </c>
      <c r="T38" s="40">
        <f>1/(1+d_dm)^(A38-1)</f>
        <v/>
      </c>
      <c r="U38" s="14">
        <f>(Q38-R38-S38)*T38</f>
        <v/>
      </c>
    </row>
    <row r="39">
      <c r="A39" s="39" t="n">
        <v>38</v>
      </c>
      <c r="B39" s="42">
        <f>'Retention curve'!C39</f>
        <v/>
      </c>
      <c r="C39" s="43">
        <f>'Retention curve'!D39</f>
        <v/>
      </c>
      <c r="D39" s="9">
        <f>in_daily*in_days*(1+in_amount_growth)^INT((A39-1)/in_term)</f>
        <v/>
      </c>
      <c r="E39" s="9">
        <f>B39*D39</f>
        <v/>
      </c>
      <c r="F39" s="9">
        <f>IF(A39=1,0,G38*IF(MOD(A39-1,in_term)=0,in_rollover,1))</f>
        <v/>
      </c>
      <c r="G39" s="9">
        <f>F39*(1-in_withdraw_m)+D39+(F39*(1-in_withdraw_m)+0.5*D39)*d_rm</f>
        <v/>
      </c>
      <c r="H39" s="9">
        <f>B39*(F39*(1-in_withdraw_m)+0.5*D39)</f>
        <v/>
      </c>
      <c r="I39" s="9">
        <f>B39*in_withdraw_m*F39+IF(A39=1,0,C39*G38+IF(MOD(A39-1,in_term)=0,B39*(1-in_rollover)*G38,0))</f>
        <v/>
      </c>
      <c r="J39" s="11">
        <f>in_upi_12*MIN(1,(A39-1)/(in_upi_ramp-1))</f>
        <v/>
      </c>
      <c r="K39" s="11">
        <f>B39*(1-J39)</f>
        <v/>
      </c>
      <c r="L39" s="40">
        <f>K39/in_visit_every</f>
        <v/>
      </c>
      <c r="M39" s="11">
        <f>IF(A39&gt;=in_marketplace_from,B39,0)</f>
        <v/>
      </c>
      <c r="N39" s="12">
        <f>IF(A39&lt;=in_early_months,in_early_takeup_mult,1)</f>
        <v/>
      </c>
      <c r="O39" s="12">
        <f>IF(A39&lt;=in_early_months,in_early_approval_mult,1)</f>
        <v/>
      </c>
      <c r="P39" s="12">
        <f>IF(AND(A39&gt;=in_marketplace_from,A39&lt;in_marketplace_from+in_card_months),N39*O39,0)</f>
        <v/>
      </c>
      <c r="Q39" s="14">
        <f>H39*in_trail/12</f>
        <v/>
      </c>
      <c r="R39" s="14">
        <f>IF(A39=1,in_kyc_cost,0)</f>
        <v/>
      </c>
      <c r="S39" s="14">
        <f>B39*in_support_cost</f>
        <v/>
      </c>
      <c r="T39" s="40">
        <f>1/(1+d_dm)^(A39-1)</f>
        <v/>
      </c>
      <c r="U39" s="14">
        <f>(Q39-R39-S39)*T39</f>
        <v/>
      </c>
    </row>
    <row r="40">
      <c r="A40" s="39" t="n">
        <v>39</v>
      </c>
      <c r="B40" s="42">
        <f>'Retention curve'!C40</f>
        <v/>
      </c>
      <c r="C40" s="43">
        <f>'Retention curve'!D40</f>
        <v/>
      </c>
      <c r="D40" s="9">
        <f>in_daily*in_days*(1+in_amount_growth)^INT((A40-1)/in_term)</f>
        <v/>
      </c>
      <c r="E40" s="9">
        <f>B40*D40</f>
        <v/>
      </c>
      <c r="F40" s="9">
        <f>IF(A40=1,0,G39*IF(MOD(A40-1,in_term)=0,in_rollover,1))</f>
        <v/>
      </c>
      <c r="G40" s="9">
        <f>F40*(1-in_withdraw_m)+D40+(F40*(1-in_withdraw_m)+0.5*D40)*d_rm</f>
        <v/>
      </c>
      <c r="H40" s="9">
        <f>B40*(F40*(1-in_withdraw_m)+0.5*D40)</f>
        <v/>
      </c>
      <c r="I40" s="9">
        <f>B40*in_withdraw_m*F40+IF(A40=1,0,C40*G39+IF(MOD(A40-1,in_term)=0,B40*(1-in_rollover)*G39,0))</f>
        <v/>
      </c>
      <c r="J40" s="11">
        <f>in_upi_12*MIN(1,(A40-1)/(in_upi_ramp-1))</f>
        <v/>
      </c>
      <c r="K40" s="11">
        <f>B40*(1-J40)</f>
        <v/>
      </c>
      <c r="L40" s="40">
        <f>K40/in_visit_every</f>
        <v/>
      </c>
      <c r="M40" s="11">
        <f>IF(A40&gt;=in_marketplace_from,B40,0)</f>
        <v/>
      </c>
      <c r="N40" s="12">
        <f>IF(A40&lt;=in_early_months,in_early_takeup_mult,1)</f>
        <v/>
      </c>
      <c r="O40" s="12">
        <f>IF(A40&lt;=in_early_months,in_early_approval_mult,1)</f>
        <v/>
      </c>
      <c r="P40" s="12">
        <f>IF(AND(A40&gt;=in_marketplace_from,A40&lt;in_marketplace_from+in_card_months),N40*O40,0)</f>
        <v/>
      </c>
      <c r="Q40" s="14">
        <f>H40*in_trail/12</f>
        <v/>
      </c>
      <c r="R40" s="14">
        <f>IF(A40=1,in_kyc_cost,0)</f>
        <v/>
      </c>
      <c r="S40" s="14">
        <f>B40*in_support_cost</f>
        <v/>
      </c>
      <c r="T40" s="40">
        <f>1/(1+d_dm)^(A40-1)</f>
        <v/>
      </c>
      <c r="U40" s="14">
        <f>(Q40-R40-S40)*T40</f>
        <v/>
      </c>
    </row>
    <row r="41">
      <c r="A41" s="39" t="n">
        <v>40</v>
      </c>
      <c r="B41" s="42">
        <f>'Retention curve'!C41</f>
        <v/>
      </c>
      <c r="C41" s="43">
        <f>'Retention curve'!D41</f>
        <v/>
      </c>
      <c r="D41" s="9">
        <f>in_daily*in_days*(1+in_amount_growth)^INT((A41-1)/in_term)</f>
        <v/>
      </c>
      <c r="E41" s="9">
        <f>B41*D41</f>
        <v/>
      </c>
      <c r="F41" s="9">
        <f>IF(A41=1,0,G40*IF(MOD(A41-1,in_term)=0,in_rollover,1))</f>
        <v/>
      </c>
      <c r="G41" s="9">
        <f>F41*(1-in_withdraw_m)+D41+(F41*(1-in_withdraw_m)+0.5*D41)*d_rm</f>
        <v/>
      </c>
      <c r="H41" s="9">
        <f>B41*(F41*(1-in_withdraw_m)+0.5*D41)</f>
        <v/>
      </c>
      <c r="I41" s="9">
        <f>B41*in_withdraw_m*F41+IF(A41=1,0,C41*G40+IF(MOD(A41-1,in_term)=0,B41*(1-in_rollover)*G40,0))</f>
        <v/>
      </c>
      <c r="J41" s="11">
        <f>in_upi_12*MIN(1,(A41-1)/(in_upi_ramp-1))</f>
        <v/>
      </c>
      <c r="K41" s="11">
        <f>B41*(1-J41)</f>
        <v/>
      </c>
      <c r="L41" s="40">
        <f>K41/in_visit_every</f>
        <v/>
      </c>
      <c r="M41" s="11">
        <f>IF(A41&gt;=in_marketplace_from,B41,0)</f>
        <v/>
      </c>
      <c r="N41" s="12">
        <f>IF(A41&lt;=in_early_months,in_early_takeup_mult,1)</f>
        <v/>
      </c>
      <c r="O41" s="12">
        <f>IF(A41&lt;=in_early_months,in_early_approval_mult,1)</f>
        <v/>
      </c>
      <c r="P41" s="12">
        <f>IF(AND(A41&gt;=in_marketplace_from,A41&lt;in_marketplace_from+in_card_months),N41*O41,0)</f>
        <v/>
      </c>
      <c r="Q41" s="14">
        <f>H41*in_trail/12</f>
        <v/>
      </c>
      <c r="R41" s="14">
        <f>IF(A41=1,in_kyc_cost,0)</f>
        <v/>
      </c>
      <c r="S41" s="14">
        <f>B41*in_support_cost</f>
        <v/>
      </c>
      <c r="T41" s="40">
        <f>1/(1+d_dm)^(A41-1)</f>
        <v/>
      </c>
      <c r="U41" s="14">
        <f>(Q41-R41-S41)*T41</f>
        <v/>
      </c>
    </row>
    <row r="42">
      <c r="A42" s="39" t="n">
        <v>41</v>
      </c>
      <c r="B42" s="42">
        <f>'Retention curve'!C42</f>
        <v/>
      </c>
      <c r="C42" s="43">
        <f>'Retention curve'!D42</f>
        <v/>
      </c>
      <c r="D42" s="9">
        <f>in_daily*in_days*(1+in_amount_growth)^INT((A42-1)/in_term)</f>
        <v/>
      </c>
      <c r="E42" s="9">
        <f>B42*D42</f>
        <v/>
      </c>
      <c r="F42" s="9">
        <f>IF(A42=1,0,G41*IF(MOD(A42-1,in_term)=0,in_rollover,1))</f>
        <v/>
      </c>
      <c r="G42" s="9">
        <f>F42*(1-in_withdraw_m)+D42+(F42*(1-in_withdraw_m)+0.5*D42)*d_rm</f>
        <v/>
      </c>
      <c r="H42" s="9">
        <f>B42*(F42*(1-in_withdraw_m)+0.5*D42)</f>
        <v/>
      </c>
      <c r="I42" s="9">
        <f>B42*in_withdraw_m*F42+IF(A42=1,0,C42*G41+IF(MOD(A42-1,in_term)=0,B42*(1-in_rollover)*G41,0))</f>
        <v/>
      </c>
      <c r="J42" s="11">
        <f>in_upi_12*MIN(1,(A42-1)/(in_upi_ramp-1))</f>
        <v/>
      </c>
      <c r="K42" s="11">
        <f>B42*(1-J42)</f>
        <v/>
      </c>
      <c r="L42" s="40">
        <f>K42/in_visit_every</f>
        <v/>
      </c>
      <c r="M42" s="11">
        <f>IF(A42&gt;=in_marketplace_from,B42,0)</f>
        <v/>
      </c>
      <c r="N42" s="12">
        <f>IF(A42&lt;=in_early_months,in_early_takeup_mult,1)</f>
        <v/>
      </c>
      <c r="O42" s="12">
        <f>IF(A42&lt;=in_early_months,in_early_approval_mult,1)</f>
        <v/>
      </c>
      <c r="P42" s="12">
        <f>IF(AND(A42&gt;=in_marketplace_from,A42&lt;in_marketplace_from+in_card_months),N42*O42,0)</f>
        <v/>
      </c>
      <c r="Q42" s="14">
        <f>H42*in_trail/12</f>
        <v/>
      </c>
      <c r="R42" s="14">
        <f>IF(A42=1,in_kyc_cost,0)</f>
        <v/>
      </c>
      <c r="S42" s="14">
        <f>B42*in_support_cost</f>
        <v/>
      </c>
      <c r="T42" s="40">
        <f>1/(1+d_dm)^(A42-1)</f>
        <v/>
      </c>
      <c r="U42" s="14">
        <f>(Q42-R42-S42)*T42</f>
        <v/>
      </c>
    </row>
    <row r="43">
      <c r="A43" s="39" t="n">
        <v>42</v>
      </c>
      <c r="B43" s="42">
        <f>'Retention curve'!C43</f>
        <v/>
      </c>
      <c r="C43" s="43">
        <f>'Retention curve'!D43</f>
        <v/>
      </c>
      <c r="D43" s="9">
        <f>in_daily*in_days*(1+in_amount_growth)^INT((A43-1)/in_term)</f>
        <v/>
      </c>
      <c r="E43" s="9">
        <f>B43*D43</f>
        <v/>
      </c>
      <c r="F43" s="9">
        <f>IF(A43=1,0,G42*IF(MOD(A43-1,in_term)=0,in_rollover,1))</f>
        <v/>
      </c>
      <c r="G43" s="9">
        <f>F43*(1-in_withdraw_m)+D43+(F43*(1-in_withdraw_m)+0.5*D43)*d_rm</f>
        <v/>
      </c>
      <c r="H43" s="9">
        <f>B43*(F43*(1-in_withdraw_m)+0.5*D43)</f>
        <v/>
      </c>
      <c r="I43" s="9">
        <f>B43*in_withdraw_m*F43+IF(A43=1,0,C43*G42+IF(MOD(A43-1,in_term)=0,B43*(1-in_rollover)*G42,0))</f>
        <v/>
      </c>
      <c r="J43" s="11">
        <f>in_upi_12*MIN(1,(A43-1)/(in_upi_ramp-1))</f>
        <v/>
      </c>
      <c r="K43" s="11">
        <f>B43*(1-J43)</f>
        <v/>
      </c>
      <c r="L43" s="40">
        <f>K43/in_visit_every</f>
        <v/>
      </c>
      <c r="M43" s="11">
        <f>IF(A43&gt;=in_marketplace_from,B43,0)</f>
        <v/>
      </c>
      <c r="N43" s="12">
        <f>IF(A43&lt;=in_early_months,in_early_takeup_mult,1)</f>
        <v/>
      </c>
      <c r="O43" s="12">
        <f>IF(A43&lt;=in_early_months,in_early_approval_mult,1)</f>
        <v/>
      </c>
      <c r="P43" s="12">
        <f>IF(AND(A43&gt;=in_marketplace_from,A43&lt;in_marketplace_from+in_card_months),N43*O43,0)</f>
        <v/>
      </c>
      <c r="Q43" s="14">
        <f>H43*in_trail/12</f>
        <v/>
      </c>
      <c r="R43" s="14">
        <f>IF(A43=1,in_kyc_cost,0)</f>
        <v/>
      </c>
      <c r="S43" s="14">
        <f>B43*in_support_cost</f>
        <v/>
      </c>
      <c r="T43" s="40">
        <f>1/(1+d_dm)^(A43-1)</f>
        <v/>
      </c>
      <c r="U43" s="14">
        <f>(Q43-R43-S43)*T43</f>
        <v/>
      </c>
    </row>
    <row r="44">
      <c r="A44" s="39" t="n">
        <v>43</v>
      </c>
      <c r="B44" s="42">
        <f>'Retention curve'!C44</f>
        <v/>
      </c>
      <c r="C44" s="43">
        <f>'Retention curve'!D44</f>
        <v/>
      </c>
      <c r="D44" s="9">
        <f>in_daily*in_days*(1+in_amount_growth)^INT((A44-1)/in_term)</f>
        <v/>
      </c>
      <c r="E44" s="9">
        <f>B44*D44</f>
        <v/>
      </c>
      <c r="F44" s="9">
        <f>IF(A44=1,0,G43*IF(MOD(A44-1,in_term)=0,in_rollover,1))</f>
        <v/>
      </c>
      <c r="G44" s="9">
        <f>F44*(1-in_withdraw_m)+D44+(F44*(1-in_withdraw_m)+0.5*D44)*d_rm</f>
        <v/>
      </c>
      <c r="H44" s="9">
        <f>B44*(F44*(1-in_withdraw_m)+0.5*D44)</f>
        <v/>
      </c>
      <c r="I44" s="9">
        <f>B44*in_withdraw_m*F44+IF(A44=1,0,C44*G43+IF(MOD(A44-1,in_term)=0,B44*(1-in_rollover)*G43,0))</f>
        <v/>
      </c>
      <c r="J44" s="11">
        <f>in_upi_12*MIN(1,(A44-1)/(in_upi_ramp-1))</f>
        <v/>
      </c>
      <c r="K44" s="11">
        <f>B44*(1-J44)</f>
        <v/>
      </c>
      <c r="L44" s="40">
        <f>K44/in_visit_every</f>
        <v/>
      </c>
      <c r="M44" s="11">
        <f>IF(A44&gt;=in_marketplace_from,B44,0)</f>
        <v/>
      </c>
      <c r="N44" s="12">
        <f>IF(A44&lt;=in_early_months,in_early_takeup_mult,1)</f>
        <v/>
      </c>
      <c r="O44" s="12">
        <f>IF(A44&lt;=in_early_months,in_early_approval_mult,1)</f>
        <v/>
      </c>
      <c r="P44" s="12">
        <f>IF(AND(A44&gt;=in_marketplace_from,A44&lt;in_marketplace_from+in_card_months),N44*O44,0)</f>
        <v/>
      </c>
      <c r="Q44" s="14">
        <f>H44*in_trail/12</f>
        <v/>
      </c>
      <c r="R44" s="14">
        <f>IF(A44=1,in_kyc_cost,0)</f>
        <v/>
      </c>
      <c r="S44" s="14">
        <f>B44*in_support_cost</f>
        <v/>
      </c>
      <c r="T44" s="40">
        <f>1/(1+d_dm)^(A44-1)</f>
        <v/>
      </c>
      <c r="U44" s="14">
        <f>(Q44-R44-S44)*T44</f>
        <v/>
      </c>
    </row>
    <row r="45">
      <c r="A45" s="39" t="n">
        <v>44</v>
      </c>
      <c r="B45" s="42">
        <f>'Retention curve'!C45</f>
        <v/>
      </c>
      <c r="C45" s="43">
        <f>'Retention curve'!D45</f>
        <v/>
      </c>
      <c r="D45" s="9">
        <f>in_daily*in_days*(1+in_amount_growth)^INT((A45-1)/in_term)</f>
        <v/>
      </c>
      <c r="E45" s="9">
        <f>B45*D45</f>
        <v/>
      </c>
      <c r="F45" s="9">
        <f>IF(A45=1,0,G44*IF(MOD(A45-1,in_term)=0,in_rollover,1))</f>
        <v/>
      </c>
      <c r="G45" s="9">
        <f>F45*(1-in_withdraw_m)+D45+(F45*(1-in_withdraw_m)+0.5*D45)*d_rm</f>
        <v/>
      </c>
      <c r="H45" s="9">
        <f>B45*(F45*(1-in_withdraw_m)+0.5*D45)</f>
        <v/>
      </c>
      <c r="I45" s="9">
        <f>B45*in_withdraw_m*F45+IF(A45=1,0,C45*G44+IF(MOD(A45-1,in_term)=0,B45*(1-in_rollover)*G44,0))</f>
        <v/>
      </c>
      <c r="J45" s="11">
        <f>in_upi_12*MIN(1,(A45-1)/(in_upi_ramp-1))</f>
        <v/>
      </c>
      <c r="K45" s="11">
        <f>B45*(1-J45)</f>
        <v/>
      </c>
      <c r="L45" s="40">
        <f>K45/in_visit_every</f>
        <v/>
      </c>
      <c r="M45" s="11">
        <f>IF(A45&gt;=in_marketplace_from,B45,0)</f>
        <v/>
      </c>
      <c r="N45" s="12">
        <f>IF(A45&lt;=in_early_months,in_early_takeup_mult,1)</f>
        <v/>
      </c>
      <c r="O45" s="12">
        <f>IF(A45&lt;=in_early_months,in_early_approval_mult,1)</f>
        <v/>
      </c>
      <c r="P45" s="12">
        <f>IF(AND(A45&gt;=in_marketplace_from,A45&lt;in_marketplace_from+in_card_months),N45*O45,0)</f>
        <v/>
      </c>
      <c r="Q45" s="14">
        <f>H45*in_trail/12</f>
        <v/>
      </c>
      <c r="R45" s="14">
        <f>IF(A45=1,in_kyc_cost,0)</f>
        <v/>
      </c>
      <c r="S45" s="14">
        <f>B45*in_support_cost</f>
        <v/>
      </c>
      <c r="T45" s="40">
        <f>1/(1+d_dm)^(A45-1)</f>
        <v/>
      </c>
      <c r="U45" s="14">
        <f>(Q45-R45-S45)*T45</f>
        <v/>
      </c>
    </row>
    <row r="46">
      <c r="A46" s="39" t="n">
        <v>45</v>
      </c>
      <c r="B46" s="42">
        <f>'Retention curve'!C46</f>
        <v/>
      </c>
      <c r="C46" s="43">
        <f>'Retention curve'!D46</f>
        <v/>
      </c>
      <c r="D46" s="9">
        <f>in_daily*in_days*(1+in_amount_growth)^INT((A46-1)/in_term)</f>
        <v/>
      </c>
      <c r="E46" s="9">
        <f>B46*D46</f>
        <v/>
      </c>
      <c r="F46" s="9">
        <f>IF(A46=1,0,G45*IF(MOD(A46-1,in_term)=0,in_rollover,1))</f>
        <v/>
      </c>
      <c r="G46" s="9">
        <f>F46*(1-in_withdraw_m)+D46+(F46*(1-in_withdraw_m)+0.5*D46)*d_rm</f>
        <v/>
      </c>
      <c r="H46" s="9">
        <f>B46*(F46*(1-in_withdraw_m)+0.5*D46)</f>
        <v/>
      </c>
      <c r="I46" s="9">
        <f>B46*in_withdraw_m*F46+IF(A46=1,0,C46*G45+IF(MOD(A46-1,in_term)=0,B46*(1-in_rollover)*G45,0))</f>
        <v/>
      </c>
      <c r="J46" s="11">
        <f>in_upi_12*MIN(1,(A46-1)/(in_upi_ramp-1))</f>
        <v/>
      </c>
      <c r="K46" s="11">
        <f>B46*(1-J46)</f>
        <v/>
      </c>
      <c r="L46" s="40">
        <f>K46/in_visit_every</f>
        <v/>
      </c>
      <c r="M46" s="11">
        <f>IF(A46&gt;=in_marketplace_from,B46,0)</f>
        <v/>
      </c>
      <c r="N46" s="12">
        <f>IF(A46&lt;=in_early_months,in_early_takeup_mult,1)</f>
        <v/>
      </c>
      <c r="O46" s="12">
        <f>IF(A46&lt;=in_early_months,in_early_approval_mult,1)</f>
        <v/>
      </c>
      <c r="P46" s="12">
        <f>IF(AND(A46&gt;=in_marketplace_from,A46&lt;in_marketplace_from+in_card_months),N46*O46,0)</f>
        <v/>
      </c>
      <c r="Q46" s="14">
        <f>H46*in_trail/12</f>
        <v/>
      </c>
      <c r="R46" s="14">
        <f>IF(A46=1,in_kyc_cost,0)</f>
        <v/>
      </c>
      <c r="S46" s="14">
        <f>B46*in_support_cost</f>
        <v/>
      </c>
      <c r="T46" s="40">
        <f>1/(1+d_dm)^(A46-1)</f>
        <v/>
      </c>
      <c r="U46" s="14">
        <f>(Q46-R46-S46)*T46</f>
        <v/>
      </c>
    </row>
    <row r="47">
      <c r="A47" s="39" t="n">
        <v>46</v>
      </c>
      <c r="B47" s="42">
        <f>'Retention curve'!C47</f>
        <v/>
      </c>
      <c r="C47" s="43">
        <f>'Retention curve'!D47</f>
        <v/>
      </c>
      <c r="D47" s="9">
        <f>in_daily*in_days*(1+in_amount_growth)^INT((A47-1)/in_term)</f>
        <v/>
      </c>
      <c r="E47" s="9">
        <f>B47*D47</f>
        <v/>
      </c>
      <c r="F47" s="9">
        <f>IF(A47=1,0,G46*IF(MOD(A47-1,in_term)=0,in_rollover,1))</f>
        <v/>
      </c>
      <c r="G47" s="9">
        <f>F47*(1-in_withdraw_m)+D47+(F47*(1-in_withdraw_m)+0.5*D47)*d_rm</f>
        <v/>
      </c>
      <c r="H47" s="9">
        <f>B47*(F47*(1-in_withdraw_m)+0.5*D47)</f>
        <v/>
      </c>
      <c r="I47" s="9">
        <f>B47*in_withdraw_m*F47+IF(A47=1,0,C47*G46+IF(MOD(A47-1,in_term)=0,B47*(1-in_rollover)*G46,0))</f>
        <v/>
      </c>
      <c r="J47" s="11">
        <f>in_upi_12*MIN(1,(A47-1)/(in_upi_ramp-1))</f>
        <v/>
      </c>
      <c r="K47" s="11">
        <f>B47*(1-J47)</f>
        <v/>
      </c>
      <c r="L47" s="40">
        <f>K47/in_visit_every</f>
        <v/>
      </c>
      <c r="M47" s="11">
        <f>IF(A47&gt;=in_marketplace_from,B47,0)</f>
        <v/>
      </c>
      <c r="N47" s="12">
        <f>IF(A47&lt;=in_early_months,in_early_takeup_mult,1)</f>
        <v/>
      </c>
      <c r="O47" s="12">
        <f>IF(A47&lt;=in_early_months,in_early_approval_mult,1)</f>
        <v/>
      </c>
      <c r="P47" s="12">
        <f>IF(AND(A47&gt;=in_marketplace_from,A47&lt;in_marketplace_from+in_card_months),N47*O47,0)</f>
        <v/>
      </c>
      <c r="Q47" s="14">
        <f>H47*in_trail/12</f>
        <v/>
      </c>
      <c r="R47" s="14">
        <f>IF(A47=1,in_kyc_cost,0)</f>
        <v/>
      </c>
      <c r="S47" s="14">
        <f>B47*in_support_cost</f>
        <v/>
      </c>
      <c r="T47" s="40">
        <f>1/(1+d_dm)^(A47-1)</f>
        <v/>
      </c>
      <c r="U47" s="14">
        <f>(Q47-R47-S47)*T47</f>
        <v/>
      </c>
    </row>
    <row r="48">
      <c r="A48" s="39" t="n">
        <v>47</v>
      </c>
      <c r="B48" s="42">
        <f>'Retention curve'!C48</f>
        <v/>
      </c>
      <c r="C48" s="43">
        <f>'Retention curve'!D48</f>
        <v/>
      </c>
      <c r="D48" s="9">
        <f>in_daily*in_days*(1+in_amount_growth)^INT((A48-1)/in_term)</f>
        <v/>
      </c>
      <c r="E48" s="9">
        <f>B48*D48</f>
        <v/>
      </c>
      <c r="F48" s="9">
        <f>IF(A48=1,0,G47*IF(MOD(A48-1,in_term)=0,in_rollover,1))</f>
        <v/>
      </c>
      <c r="G48" s="9">
        <f>F48*(1-in_withdraw_m)+D48+(F48*(1-in_withdraw_m)+0.5*D48)*d_rm</f>
        <v/>
      </c>
      <c r="H48" s="9">
        <f>B48*(F48*(1-in_withdraw_m)+0.5*D48)</f>
        <v/>
      </c>
      <c r="I48" s="9">
        <f>B48*in_withdraw_m*F48+IF(A48=1,0,C48*G47+IF(MOD(A48-1,in_term)=0,B48*(1-in_rollover)*G47,0))</f>
        <v/>
      </c>
      <c r="J48" s="11">
        <f>in_upi_12*MIN(1,(A48-1)/(in_upi_ramp-1))</f>
        <v/>
      </c>
      <c r="K48" s="11">
        <f>B48*(1-J48)</f>
        <v/>
      </c>
      <c r="L48" s="40">
        <f>K48/in_visit_every</f>
        <v/>
      </c>
      <c r="M48" s="11">
        <f>IF(A48&gt;=in_marketplace_from,B48,0)</f>
        <v/>
      </c>
      <c r="N48" s="12">
        <f>IF(A48&lt;=in_early_months,in_early_takeup_mult,1)</f>
        <v/>
      </c>
      <c r="O48" s="12">
        <f>IF(A48&lt;=in_early_months,in_early_approval_mult,1)</f>
        <v/>
      </c>
      <c r="P48" s="12">
        <f>IF(AND(A48&gt;=in_marketplace_from,A48&lt;in_marketplace_from+in_card_months),N48*O48,0)</f>
        <v/>
      </c>
      <c r="Q48" s="14">
        <f>H48*in_trail/12</f>
        <v/>
      </c>
      <c r="R48" s="14">
        <f>IF(A48=1,in_kyc_cost,0)</f>
        <v/>
      </c>
      <c r="S48" s="14">
        <f>B48*in_support_cost</f>
        <v/>
      </c>
      <c r="T48" s="40">
        <f>1/(1+d_dm)^(A48-1)</f>
        <v/>
      </c>
      <c r="U48" s="14">
        <f>(Q48-R48-S48)*T48</f>
        <v/>
      </c>
    </row>
    <row r="49">
      <c r="A49" s="39" t="n">
        <v>48</v>
      </c>
      <c r="B49" s="42">
        <f>'Retention curve'!C49</f>
        <v/>
      </c>
      <c r="C49" s="43">
        <f>'Retention curve'!D49</f>
        <v/>
      </c>
      <c r="D49" s="9">
        <f>in_daily*in_days*(1+in_amount_growth)^INT((A49-1)/in_term)</f>
        <v/>
      </c>
      <c r="E49" s="9">
        <f>B49*D49</f>
        <v/>
      </c>
      <c r="F49" s="9">
        <f>IF(A49=1,0,G48*IF(MOD(A49-1,in_term)=0,in_rollover,1))</f>
        <v/>
      </c>
      <c r="G49" s="9">
        <f>F49*(1-in_withdraw_m)+D49+(F49*(1-in_withdraw_m)+0.5*D49)*d_rm</f>
        <v/>
      </c>
      <c r="H49" s="9">
        <f>B49*(F49*(1-in_withdraw_m)+0.5*D49)</f>
        <v/>
      </c>
      <c r="I49" s="9">
        <f>B49*in_withdraw_m*F49+IF(A49=1,0,C49*G48+IF(MOD(A49-1,in_term)=0,B49*(1-in_rollover)*G48,0))</f>
        <v/>
      </c>
      <c r="J49" s="11">
        <f>in_upi_12*MIN(1,(A49-1)/(in_upi_ramp-1))</f>
        <v/>
      </c>
      <c r="K49" s="11">
        <f>B49*(1-J49)</f>
        <v/>
      </c>
      <c r="L49" s="40">
        <f>K49/in_visit_every</f>
        <v/>
      </c>
      <c r="M49" s="11">
        <f>IF(A49&gt;=in_marketplace_from,B49,0)</f>
        <v/>
      </c>
      <c r="N49" s="12">
        <f>IF(A49&lt;=in_early_months,in_early_takeup_mult,1)</f>
        <v/>
      </c>
      <c r="O49" s="12">
        <f>IF(A49&lt;=in_early_months,in_early_approval_mult,1)</f>
        <v/>
      </c>
      <c r="P49" s="12">
        <f>IF(AND(A49&gt;=in_marketplace_from,A49&lt;in_marketplace_from+in_card_months),N49*O49,0)</f>
        <v/>
      </c>
      <c r="Q49" s="14">
        <f>H49*in_trail/12</f>
        <v/>
      </c>
      <c r="R49" s="14">
        <f>IF(A49=1,in_kyc_cost,0)</f>
        <v/>
      </c>
      <c r="S49" s="14">
        <f>B49*in_support_cost</f>
        <v/>
      </c>
      <c r="T49" s="40">
        <f>1/(1+d_dm)^(A49-1)</f>
        <v/>
      </c>
      <c r="U49" s="14">
        <f>(Q49-R49-S49)*T49</f>
        <v/>
      </c>
    </row>
    <row r="50">
      <c r="A50" s="39" t="n">
        <v>49</v>
      </c>
      <c r="B50" s="42">
        <f>'Retention curve'!C50</f>
        <v/>
      </c>
      <c r="C50" s="43">
        <f>'Retention curve'!D50</f>
        <v/>
      </c>
      <c r="D50" s="9">
        <f>in_daily*in_days*(1+in_amount_growth)^INT((A50-1)/in_term)</f>
        <v/>
      </c>
      <c r="E50" s="9">
        <f>B50*D50</f>
        <v/>
      </c>
      <c r="F50" s="9">
        <f>IF(A50=1,0,G49*IF(MOD(A50-1,in_term)=0,in_rollover,1))</f>
        <v/>
      </c>
      <c r="G50" s="9">
        <f>F50*(1-in_withdraw_m)+D50+(F50*(1-in_withdraw_m)+0.5*D50)*d_rm</f>
        <v/>
      </c>
      <c r="H50" s="9">
        <f>B50*(F50*(1-in_withdraw_m)+0.5*D50)</f>
        <v/>
      </c>
      <c r="I50" s="9">
        <f>B50*in_withdraw_m*F50+IF(A50=1,0,C50*G49+IF(MOD(A50-1,in_term)=0,B50*(1-in_rollover)*G49,0))</f>
        <v/>
      </c>
      <c r="J50" s="11">
        <f>in_upi_12*MIN(1,(A50-1)/(in_upi_ramp-1))</f>
        <v/>
      </c>
      <c r="K50" s="11">
        <f>B50*(1-J50)</f>
        <v/>
      </c>
      <c r="L50" s="40">
        <f>K50/in_visit_every</f>
        <v/>
      </c>
      <c r="M50" s="11">
        <f>IF(A50&gt;=in_marketplace_from,B50,0)</f>
        <v/>
      </c>
      <c r="N50" s="12">
        <f>IF(A50&lt;=in_early_months,in_early_takeup_mult,1)</f>
        <v/>
      </c>
      <c r="O50" s="12">
        <f>IF(A50&lt;=in_early_months,in_early_approval_mult,1)</f>
        <v/>
      </c>
      <c r="P50" s="12">
        <f>IF(AND(A50&gt;=in_marketplace_from,A50&lt;in_marketplace_from+in_card_months),N50*O50,0)</f>
        <v/>
      </c>
      <c r="Q50" s="14">
        <f>H50*in_trail/12</f>
        <v/>
      </c>
      <c r="R50" s="14">
        <f>IF(A50=1,in_kyc_cost,0)</f>
        <v/>
      </c>
      <c r="S50" s="14">
        <f>B50*in_support_cost</f>
        <v/>
      </c>
      <c r="T50" s="40">
        <f>1/(1+d_dm)^(A50-1)</f>
        <v/>
      </c>
      <c r="U50" s="14">
        <f>(Q50-R50-S50)*T50</f>
        <v/>
      </c>
    </row>
    <row r="51">
      <c r="A51" s="39" t="n">
        <v>50</v>
      </c>
      <c r="B51" s="42">
        <f>'Retention curve'!C51</f>
        <v/>
      </c>
      <c r="C51" s="43">
        <f>'Retention curve'!D51</f>
        <v/>
      </c>
      <c r="D51" s="9">
        <f>in_daily*in_days*(1+in_amount_growth)^INT((A51-1)/in_term)</f>
        <v/>
      </c>
      <c r="E51" s="9">
        <f>B51*D51</f>
        <v/>
      </c>
      <c r="F51" s="9">
        <f>IF(A51=1,0,G50*IF(MOD(A51-1,in_term)=0,in_rollover,1))</f>
        <v/>
      </c>
      <c r="G51" s="9">
        <f>F51*(1-in_withdraw_m)+D51+(F51*(1-in_withdraw_m)+0.5*D51)*d_rm</f>
        <v/>
      </c>
      <c r="H51" s="9">
        <f>B51*(F51*(1-in_withdraw_m)+0.5*D51)</f>
        <v/>
      </c>
      <c r="I51" s="9">
        <f>B51*in_withdraw_m*F51+IF(A51=1,0,C51*G50+IF(MOD(A51-1,in_term)=0,B51*(1-in_rollover)*G50,0))</f>
        <v/>
      </c>
      <c r="J51" s="11">
        <f>in_upi_12*MIN(1,(A51-1)/(in_upi_ramp-1))</f>
        <v/>
      </c>
      <c r="K51" s="11">
        <f>B51*(1-J51)</f>
        <v/>
      </c>
      <c r="L51" s="40">
        <f>K51/in_visit_every</f>
        <v/>
      </c>
      <c r="M51" s="11">
        <f>IF(A51&gt;=in_marketplace_from,B51,0)</f>
        <v/>
      </c>
      <c r="N51" s="12">
        <f>IF(A51&lt;=in_early_months,in_early_takeup_mult,1)</f>
        <v/>
      </c>
      <c r="O51" s="12">
        <f>IF(A51&lt;=in_early_months,in_early_approval_mult,1)</f>
        <v/>
      </c>
      <c r="P51" s="12">
        <f>IF(AND(A51&gt;=in_marketplace_from,A51&lt;in_marketplace_from+in_card_months),N51*O51,0)</f>
        <v/>
      </c>
      <c r="Q51" s="14">
        <f>H51*in_trail/12</f>
        <v/>
      </c>
      <c r="R51" s="14">
        <f>IF(A51=1,in_kyc_cost,0)</f>
        <v/>
      </c>
      <c r="S51" s="14">
        <f>B51*in_support_cost</f>
        <v/>
      </c>
      <c r="T51" s="40">
        <f>1/(1+d_dm)^(A51-1)</f>
        <v/>
      </c>
      <c r="U51" s="14">
        <f>(Q51-R51-S51)*T51</f>
        <v/>
      </c>
    </row>
    <row r="52">
      <c r="A52" s="39" t="n">
        <v>51</v>
      </c>
      <c r="B52" s="42">
        <f>'Retention curve'!C52</f>
        <v/>
      </c>
      <c r="C52" s="43">
        <f>'Retention curve'!D52</f>
        <v/>
      </c>
      <c r="D52" s="9">
        <f>in_daily*in_days*(1+in_amount_growth)^INT((A52-1)/in_term)</f>
        <v/>
      </c>
      <c r="E52" s="9">
        <f>B52*D52</f>
        <v/>
      </c>
      <c r="F52" s="9">
        <f>IF(A52=1,0,G51*IF(MOD(A52-1,in_term)=0,in_rollover,1))</f>
        <v/>
      </c>
      <c r="G52" s="9">
        <f>F52*(1-in_withdraw_m)+D52+(F52*(1-in_withdraw_m)+0.5*D52)*d_rm</f>
        <v/>
      </c>
      <c r="H52" s="9">
        <f>B52*(F52*(1-in_withdraw_m)+0.5*D52)</f>
        <v/>
      </c>
      <c r="I52" s="9">
        <f>B52*in_withdraw_m*F52+IF(A52=1,0,C52*G51+IF(MOD(A52-1,in_term)=0,B52*(1-in_rollover)*G51,0))</f>
        <v/>
      </c>
      <c r="J52" s="11">
        <f>in_upi_12*MIN(1,(A52-1)/(in_upi_ramp-1))</f>
        <v/>
      </c>
      <c r="K52" s="11">
        <f>B52*(1-J52)</f>
        <v/>
      </c>
      <c r="L52" s="40">
        <f>K52/in_visit_every</f>
        <v/>
      </c>
      <c r="M52" s="11">
        <f>IF(A52&gt;=in_marketplace_from,B52,0)</f>
        <v/>
      </c>
      <c r="N52" s="12">
        <f>IF(A52&lt;=in_early_months,in_early_takeup_mult,1)</f>
        <v/>
      </c>
      <c r="O52" s="12">
        <f>IF(A52&lt;=in_early_months,in_early_approval_mult,1)</f>
        <v/>
      </c>
      <c r="P52" s="12">
        <f>IF(AND(A52&gt;=in_marketplace_from,A52&lt;in_marketplace_from+in_card_months),N52*O52,0)</f>
        <v/>
      </c>
      <c r="Q52" s="14">
        <f>H52*in_trail/12</f>
        <v/>
      </c>
      <c r="R52" s="14">
        <f>IF(A52=1,in_kyc_cost,0)</f>
        <v/>
      </c>
      <c r="S52" s="14">
        <f>B52*in_support_cost</f>
        <v/>
      </c>
      <c r="T52" s="40">
        <f>1/(1+d_dm)^(A52-1)</f>
        <v/>
      </c>
      <c r="U52" s="14">
        <f>(Q52-R52-S52)*T52</f>
        <v/>
      </c>
    </row>
    <row r="53">
      <c r="A53" s="39" t="n">
        <v>52</v>
      </c>
      <c r="B53" s="42">
        <f>'Retention curve'!C53</f>
        <v/>
      </c>
      <c r="C53" s="43">
        <f>'Retention curve'!D53</f>
        <v/>
      </c>
      <c r="D53" s="9">
        <f>in_daily*in_days*(1+in_amount_growth)^INT((A53-1)/in_term)</f>
        <v/>
      </c>
      <c r="E53" s="9">
        <f>B53*D53</f>
        <v/>
      </c>
      <c r="F53" s="9">
        <f>IF(A53=1,0,G52*IF(MOD(A53-1,in_term)=0,in_rollover,1))</f>
        <v/>
      </c>
      <c r="G53" s="9">
        <f>F53*(1-in_withdraw_m)+D53+(F53*(1-in_withdraw_m)+0.5*D53)*d_rm</f>
        <v/>
      </c>
      <c r="H53" s="9">
        <f>B53*(F53*(1-in_withdraw_m)+0.5*D53)</f>
        <v/>
      </c>
      <c r="I53" s="9">
        <f>B53*in_withdraw_m*F53+IF(A53=1,0,C53*G52+IF(MOD(A53-1,in_term)=0,B53*(1-in_rollover)*G52,0))</f>
        <v/>
      </c>
      <c r="J53" s="11">
        <f>in_upi_12*MIN(1,(A53-1)/(in_upi_ramp-1))</f>
        <v/>
      </c>
      <c r="K53" s="11">
        <f>B53*(1-J53)</f>
        <v/>
      </c>
      <c r="L53" s="40">
        <f>K53/in_visit_every</f>
        <v/>
      </c>
      <c r="M53" s="11">
        <f>IF(A53&gt;=in_marketplace_from,B53,0)</f>
        <v/>
      </c>
      <c r="N53" s="12">
        <f>IF(A53&lt;=in_early_months,in_early_takeup_mult,1)</f>
        <v/>
      </c>
      <c r="O53" s="12">
        <f>IF(A53&lt;=in_early_months,in_early_approval_mult,1)</f>
        <v/>
      </c>
      <c r="P53" s="12">
        <f>IF(AND(A53&gt;=in_marketplace_from,A53&lt;in_marketplace_from+in_card_months),N53*O53,0)</f>
        <v/>
      </c>
      <c r="Q53" s="14">
        <f>H53*in_trail/12</f>
        <v/>
      </c>
      <c r="R53" s="14">
        <f>IF(A53=1,in_kyc_cost,0)</f>
        <v/>
      </c>
      <c r="S53" s="14">
        <f>B53*in_support_cost</f>
        <v/>
      </c>
      <c r="T53" s="40">
        <f>1/(1+d_dm)^(A53-1)</f>
        <v/>
      </c>
      <c r="U53" s="14">
        <f>(Q53-R53-S53)*T53</f>
        <v/>
      </c>
    </row>
    <row r="54">
      <c r="A54" s="39" t="n">
        <v>53</v>
      </c>
      <c r="B54" s="42">
        <f>'Retention curve'!C54</f>
        <v/>
      </c>
      <c r="C54" s="43">
        <f>'Retention curve'!D54</f>
        <v/>
      </c>
      <c r="D54" s="9">
        <f>in_daily*in_days*(1+in_amount_growth)^INT((A54-1)/in_term)</f>
        <v/>
      </c>
      <c r="E54" s="9">
        <f>B54*D54</f>
        <v/>
      </c>
      <c r="F54" s="9">
        <f>IF(A54=1,0,G53*IF(MOD(A54-1,in_term)=0,in_rollover,1))</f>
        <v/>
      </c>
      <c r="G54" s="9">
        <f>F54*(1-in_withdraw_m)+D54+(F54*(1-in_withdraw_m)+0.5*D54)*d_rm</f>
        <v/>
      </c>
      <c r="H54" s="9">
        <f>B54*(F54*(1-in_withdraw_m)+0.5*D54)</f>
        <v/>
      </c>
      <c r="I54" s="9">
        <f>B54*in_withdraw_m*F54+IF(A54=1,0,C54*G53+IF(MOD(A54-1,in_term)=0,B54*(1-in_rollover)*G53,0))</f>
        <v/>
      </c>
      <c r="J54" s="11">
        <f>in_upi_12*MIN(1,(A54-1)/(in_upi_ramp-1))</f>
        <v/>
      </c>
      <c r="K54" s="11">
        <f>B54*(1-J54)</f>
        <v/>
      </c>
      <c r="L54" s="40">
        <f>K54/in_visit_every</f>
        <v/>
      </c>
      <c r="M54" s="11">
        <f>IF(A54&gt;=in_marketplace_from,B54,0)</f>
        <v/>
      </c>
      <c r="N54" s="12">
        <f>IF(A54&lt;=in_early_months,in_early_takeup_mult,1)</f>
        <v/>
      </c>
      <c r="O54" s="12">
        <f>IF(A54&lt;=in_early_months,in_early_approval_mult,1)</f>
        <v/>
      </c>
      <c r="P54" s="12">
        <f>IF(AND(A54&gt;=in_marketplace_from,A54&lt;in_marketplace_from+in_card_months),N54*O54,0)</f>
        <v/>
      </c>
      <c r="Q54" s="14">
        <f>H54*in_trail/12</f>
        <v/>
      </c>
      <c r="R54" s="14">
        <f>IF(A54=1,in_kyc_cost,0)</f>
        <v/>
      </c>
      <c r="S54" s="14">
        <f>B54*in_support_cost</f>
        <v/>
      </c>
      <c r="T54" s="40">
        <f>1/(1+d_dm)^(A54-1)</f>
        <v/>
      </c>
      <c r="U54" s="14">
        <f>(Q54-R54-S54)*T54</f>
        <v/>
      </c>
    </row>
    <row r="55">
      <c r="A55" s="39" t="n">
        <v>54</v>
      </c>
      <c r="B55" s="42">
        <f>'Retention curve'!C55</f>
        <v/>
      </c>
      <c r="C55" s="43">
        <f>'Retention curve'!D55</f>
        <v/>
      </c>
      <c r="D55" s="9">
        <f>in_daily*in_days*(1+in_amount_growth)^INT((A55-1)/in_term)</f>
        <v/>
      </c>
      <c r="E55" s="9">
        <f>B55*D55</f>
        <v/>
      </c>
      <c r="F55" s="9">
        <f>IF(A55=1,0,G54*IF(MOD(A55-1,in_term)=0,in_rollover,1))</f>
        <v/>
      </c>
      <c r="G55" s="9">
        <f>F55*(1-in_withdraw_m)+D55+(F55*(1-in_withdraw_m)+0.5*D55)*d_rm</f>
        <v/>
      </c>
      <c r="H55" s="9">
        <f>B55*(F55*(1-in_withdraw_m)+0.5*D55)</f>
        <v/>
      </c>
      <c r="I55" s="9">
        <f>B55*in_withdraw_m*F55+IF(A55=1,0,C55*G54+IF(MOD(A55-1,in_term)=0,B55*(1-in_rollover)*G54,0))</f>
        <v/>
      </c>
      <c r="J55" s="11">
        <f>in_upi_12*MIN(1,(A55-1)/(in_upi_ramp-1))</f>
        <v/>
      </c>
      <c r="K55" s="11">
        <f>B55*(1-J55)</f>
        <v/>
      </c>
      <c r="L55" s="40">
        <f>K55/in_visit_every</f>
        <v/>
      </c>
      <c r="M55" s="11">
        <f>IF(A55&gt;=in_marketplace_from,B55,0)</f>
        <v/>
      </c>
      <c r="N55" s="12">
        <f>IF(A55&lt;=in_early_months,in_early_takeup_mult,1)</f>
        <v/>
      </c>
      <c r="O55" s="12">
        <f>IF(A55&lt;=in_early_months,in_early_approval_mult,1)</f>
        <v/>
      </c>
      <c r="P55" s="12">
        <f>IF(AND(A55&gt;=in_marketplace_from,A55&lt;in_marketplace_from+in_card_months),N55*O55,0)</f>
        <v/>
      </c>
      <c r="Q55" s="14">
        <f>H55*in_trail/12</f>
        <v/>
      </c>
      <c r="R55" s="14">
        <f>IF(A55=1,in_kyc_cost,0)</f>
        <v/>
      </c>
      <c r="S55" s="14">
        <f>B55*in_support_cost</f>
        <v/>
      </c>
      <c r="T55" s="40">
        <f>1/(1+d_dm)^(A55-1)</f>
        <v/>
      </c>
      <c r="U55" s="14">
        <f>(Q55-R55-S55)*T55</f>
        <v/>
      </c>
    </row>
    <row r="56">
      <c r="A56" s="39" t="n">
        <v>55</v>
      </c>
      <c r="B56" s="42">
        <f>'Retention curve'!C56</f>
        <v/>
      </c>
      <c r="C56" s="43">
        <f>'Retention curve'!D56</f>
        <v/>
      </c>
      <c r="D56" s="9">
        <f>in_daily*in_days*(1+in_amount_growth)^INT((A56-1)/in_term)</f>
        <v/>
      </c>
      <c r="E56" s="9">
        <f>B56*D56</f>
        <v/>
      </c>
      <c r="F56" s="9">
        <f>IF(A56=1,0,G55*IF(MOD(A56-1,in_term)=0,in_rollover,1))</f>
        <v/>
      </c>
      <c r="G56" s="9">
        <f>F56*(1-in_withdraw_m)+D56+(F56*(1-in_withdraw_m)+0.5*D56)*d_rm</f>
        <v/>
      </c>
      <c r="H56" s="9">
        <f>B56*(F56*(1-in_withdraw_m)+0.5*D56)</f>
        <v/>
      </c>
      <c r="I56" s="9">
        <f>B56*in_withdraw_m*F56+IF(A56=1,0,C56*G55+IF(MOD(A56-1,in_term)=0,B56*(1-in_rollover)*G55,0))</f>
        <v/>
      </c>
      <c r="J56" s="11">
        <f>in_upi_12*MIN(1,(A56-1)/(in_upi_ramp-1))</f>
        <v/>
      </c>
      <c r="K56" s="11">
        <f>B56*(1-J56)</f>
        <v/>
      </c>
      <c r="L56" s="40">
        <f>K56/in_visit_every</f>
        <v/>
      </c>
      <c r="M56" s="11">
        <f>IF(A56&gt;=in_marketplace_from,B56,0)</f>
        <v/>
      </c>
      <c r="N56" s="12">
        <f>IF(A56&lt;=in_early_months,in_early_takeup_mult,1)</f>
        <v/>
      </c>
      <c r="O56" s="12">
        <f>IF(A56&lt;=in_early_months,in_early_approval_mult,1)</f>
        <v/>
      </c>
      <c r="P56" s="12">
        <f>IF(AND(A56&gt;=in_marketplace_from,A56&lt;in_marketplace_from+in_card_months),N56*O56,0)</f>
        <v/>
      </c>
      <c r="Q56" s="14">
        <f>H56*in_trail/12</f>
        <v/>
      </c>
      <c r="R56" s="14">
        <f>IF(A56=1,in_kyc_cost,0)</f>
        <v/>
      </c>
      <c r="S56" s="14">
        <f>B56*in_support_cost</f>
        <v/>
      </c>
      <c r="T56" s="40">
        <f>1/(1+d_dm)^(A56-1)</f>
        <v/>
      </c>
      <c r="U56" s="14">
        <f>(Q56-R56-S56)*T56</f>
        <v/>
      </c>
    </row>
    <row r="57">
      <c r="A57" s="39" t="n">
        <v>56</v>
      </c>
      <c r="B57" s="42">
        <f>'Retention curve'!C57</f>
        <v/>
      </c>
      <c r="C57" s="43">
        <f>'Retention curve'!D57</f>
        <v/>
      </c>
      <c r="D57" s="9">
        <f>in_daily*in_days*(1+in_amount_growth)^INT((A57-1)/in_term)</f>
        <v/>
      </c>
      <c r="E57" s="9">
        <f>B57*D57</f>
        <v/>
      </c>
      <c r="F57" s="9">
        <f>IF(A57=1,0,G56*IF(MOD(A57-1,in_term)=0,in_rollover,1))</f>
        <v/>
      </c>
      <c r="G57" s="9">
        <f>F57*(1-in_withdraw_m)+D57+(F57*(1-in_withdraw_m)+0.5*D57)*d_rm</f>
        <v/>
      </c>
      <c r="H57" s="9">
        <f>B57*(F57*(1-in_withdraw_m)+0.5*D57)</f>
        <v/>
      </c>
      <c r="I57" s="9">
        <f>B57*in_withdraw_m*F57+IF(A57=1,0,C57*G56+IF(MOD(A57-1,in_term)=0,B57*(1-in_rollover)*G56,0))</f>
        <v/>
      </c>
      <c r="J57" s="11">
        <f>in_upi_12*MIN(1,(A57-1)/(in_upi_ramp-1))</f>
        <v/>
      </c>
      <c r="K57" s="11">
        <f>B57*(1-J57)</f>
        <v/>
      </c>
      <c r="L57" s="40">
        <f>K57/in_visit_every</f>
        <v/>
      </c>
      <c r="M57" s="11">
        <f>IF(A57&gt;=in_marketplace_from,B57,0)</f>
        <v/>
      </c>
      <c r="N57" s="12">
        <f>IF(A57&lt;=in_early_months,in_early_takeup_mult,1)</f>
        <v/>
      </c>
      <c r="O57" s="12">
        <f>IF(A57&lt;=in_early_months,in_early_approval_mult,1)</f>
        <v/>
      </c>
      <c r="P57" s="12">
        <f>IF(AND(A57&gt;=in_marketplace_from,A57&lt;in_marketplace_from+in_card_months),N57*O57,0)</f>
        <v/>
      </c>
      <c r="Q57" s="14">
        <f>H57*in_trail/12</f>
        <v/>
      </c>
      <c r="R57" s="14">
        <f>IF(A57=1,in_kyc_cost,0)</f>
        <v/>
      </c>
      <c r="S57" s="14">
        <f>B57*in_support_cost</f>
        <v/>
      </c>
      <c r="T57" s="40">
        <f>1/(1+d_dm)^(A57-1)</f>
        <v/>
      </c>
      <c r="U57" s="14">
        <f>(Q57-R57-S57)*T57</f>
        <v/>
      </c>
    </row>
    <row r="58">
      <c r="A58" s="39" t="n">
        <v>57</v>
      </c>
      <c r="B58" s="42">
        <f>'Retention curve'!C58</f>
        <v/>
      </c>
      <c r="C58" s="43">
        <f>'Retention curve'!D58</f>
        <v/>
      </c>
      <c r="D58" s="9">
        <f>in_daily*in_days*(1+in_amount_growth)^INT((A58-1)/in_term)</f>
        <v/>
      </c>
      <c r="E58" s="9">
        <f>B58*D58</f>
        <v/>
      </c>
      <c r="F58" s="9">
        <f>IF(A58=1,0,G57*IF(MOD(A58-1,in_term)=0,in_rollover,1))</f>
        <v/>
      </c>
      <c r="G58" s="9">
        <f>F58*(1-in_withdraw_m)+D58+(F58*(1-in_withdraw_m)+0.5*D58)*d_rm</f>
        <v/>
      </c>
      <c r="H58" s="9">
        <f>B58*(F58*(1-in_withdraw_m)+0.5*D58)</f>
        <v/>
      </c>
      <c r="I58" s="9">
        <f>B58*in_withdraw_m*F58+IF(A58=1,0,C58*G57+IF(MOD(A58-1,in_term)=0,B58*(1-in_rollover)*G57,0))</f>
        <v/>
      </c>
      <c r="J58" s="11">
        <f>in_upi_12*MIN(1,(A58-1)/(in_upi_ramp-1))</f>
        <v/>
      </c>
      <c r="K58" s="11">
        <f>B58*(1-J58)</f>
        <v/>
      </c>
      <c r="L58" s="40">
        <f>K58/in_visit_every</f>
        <v/>
      </c>
      <c r="M58" s="11">
        <f>IF(A58&gt;=in_marketplace_from,B58,0)</f>
        <v/>
      </c>
      <c r="N58" s="12">
        <f>IF(A58&lt;=in_early_months,in_early_takeup_mult,1)</f>
        <v/>
      </c>
      <c r="O58" s="12">
        <f>IF(A58&lt;=in_early_months,in_early_approval_mult,1)</f>
        <v/>
      </c>
      <c r="P58" s="12">
        <f>IF(AND(A58&gt;=in_marketplace_from,A58&lt;in_marketplace_from+in_card_months),N58*O58,0)</f>
        <v/>
      </c>
      <c r="Q58" s="14">
        <f>H58*in_trail/12</f>
        <v/>
      </c>
      <c r="R58" s="14">
        <f>IF(A58=1,in_kyc_cost,0)</f>
        <v/>
      </c>
      <c r="S58" s="14">
        <f>B58*in_support_cost</f>
        <v/>
      </c>
      <c r="T58" s="40">
        <f>1/(1+d_dm)^(A58-1)</f>
        <v/>
      </c>
      <c r="U58" s="14">
        <f>(Q58-R58-S58)*T58</f>
        <v/>
      </c>
    </row>
    <row r="59">
      <c r="A59" s="39" t="n">
        <v>58</v>
      </c>
      <c r="B59" s="42">
        <f>'Retention curve'!C59</f>
        <v/>
      </c>
      <c r="C59" s="43">
        <f>'Retention curve'!D59</f>
        <v/>
      </c>
      <c r="D59" s="9">
        <f>in_daily*in_days*(1+in_amount_growth)^INT((A59-1)/in_term)</f>
        <v/>
      </c>
      <c r="E59" s="9">
        <f>B59*D59</f>
        <v/>
      </c>
      <c r="F59" s="9">
        <f>IF(A59=1,0,G58*IF(MOD(A59-1,in_term)=0,in_rollover,1))</f>
        <v/>
      </c>
      <c r="G59" s="9">
        <f>F59*(1-in_withdraw_m)+D59+(F59*(1-in_withdraw_m)+0.5*D59)*d_rm</f>
        <v/>
      </c>
      <c r="H59" s="9">
        <f>B59*(F59*(1-in_withdraw_m)+0.5*D59)</f>
        <v/>
      </c>
      <c r="I59" s="9">
        <f>B59*in_withdraw_m*F59+IF(A59=1,0,C59*G58+IF(MOD(A59-1,in_term)=0,B59*(1-in_rollover)*G58,0))</f>
        <v/>
      </c>
      <c r="J59" s="11">
        <f>in_upi_12*MIN(1,(A59-1)/(in_upi_ramp-1))</f>
        <v/>
      </c>
      <c r="K59" s="11">
        <f>B59*(1-J59)</f>
        <v/>
      </c>
      <c r="L59" s="40">
        <f>K59/in_visit_every</f>
        <v/>
      </c>
      <c r="M59" s="11">
        <f>IF(A59&gt;=in_marketplace_from,B59,0)</f>
        <v/>
      </c>
      <c r="N59" s="12">
        <f>IF(A59&lt;=in_early_months,in_early_takeup_mult,1)</f>
        <v/>
      </c>
      <c r="O59" s="12">
        <f>IF(A59&lt;=in_early_months,in_early_approval_mult,1)</f>
        <v/>
      </c>
      <c r="P59" s="12">
        <f>IF(AND(A59&gt;=in_marketplace_from,A59&lt;in_marketplace_from+in_card_months),N59*O59,0)</f>
        <v/>
      </c>
      <c r="Q59" s="14">
        <f>H59*in_trail/12</f>
        <v/>
      </c>
      <c r="R59" s="14">
        <f>IF(A59=1,in_kyc_cost,0)</f>
        <v/>
      </c>
      <c r="S59" s="14">
        <f>B59*in_support_cost</f>
        <v/>
      </c>
      <c r="T59" s="40">
        <f>1/(1+d_dm)^(A59-1)</f>
        <v/>
      </c>
      <c r="U59" s="14">
        <f>(Q59-R59-S59)*T59</f>
        <v/>
      </c>
    </row>
    <row r="60">
      <c r="A60" s="39" t="n">
        <v>59</v>
      </c>
      <c r="B60" s="42">
        <f>'Retention curve'!C60</f>
        <v/>
      </c>
      <c r="C60" s="43">
        <f>'Retention curve'!D60</f>
        <v/>
      </c>
      <c r="D60" s="9">
        <f>in_daily*in_days*(1+in_amount_growth)^INT((A60-1)/in_term)</f>
        <v/>
      </c>
      <c r="E60" s="9">
        <f>B60*D60</f>
        <v/>
      </c>
      <c r="F60" s="9">
        <f>IF(A60=1,0,G59*IF(MOD(A60-1,in_term)=0,in_rollover,1))</f>
        <v/>
      </c>
      <c r="G60" s="9">
        <f>F60*(1-in_withdraw_m)+D60+(F60*(1-in_withdraw_m)+0.5*D60)*d_rm</f>
        <v/>
      </c>
      <c r="H60" s="9">
        <f>B60*(F60*(1-in_withdraw_m)+0.5*D60)</f>
        <v/>
      </c>
      <c r="I60" s="9">
        <f>B60*in_withdraw_m*F60+IF(A60=1,0,C60*G59+IF(MOD(A60-1,in_term)=0,B60*(1-in_rollover)*G59,0))</f>
        <v/>
      </c>
      <c r="J60" s="11">
        <f>in_upi_12*MIN(1,(A60-1)/(in_upi_ramp-1))</f>
        <v/>
      </c>
      <c r="K60" s="11">
        <f>B60*(1-J60)</f>
        <v/>
      </c>
      <c r="L60" s="40">
        <f>K60/in_visit_every</f>
        <v/>
      </c>
      <c r="M60" s="11">
        <f>IF(A60&gt;=in_marketplace_from,B60,0)</f>
        <v/>
      </c>
      <c r="N60" s="12">
        <f>IF(A60&lt;=in_early_months,in_early_takeup_mult,1)</f>
        <v/>
      </c>
      <c r="O60" s="12">
        <f>IF(A60&lt;=in_early_months,in_early_approval_mult,1)</f>
        <v/>
      </c>
      <c r="P60" s="12">
        <f>IF(AND(A60&gt;=in_marketplace_from,A60&lt;in_marketplace_from+in_card_months),N60*O60,0)</f>
        <v/>
      </c>
      <c r="Q60" s="14">
        <f>H60*in_trail/12</f>
        <v/>
      </c>
      <c r="R60" s="14">
        <f>IF(A60=1,in_kyc_cost,0)</f>
        <v/>
      </c>
      <c r="S60" s="14">
        <f>B60*in_support_cost</f>
        <v/>
      </c>
      <c r="T60" s="40">
        <f>1/(1+d_dm)^(A60-1)</f>
        <v/>
      </c>
      <c r="U60" s="14">
        <f>(Q60-R60-S60)*T60</f>
        <v/>
      </c>
    </row>
    <row r="61">
      <c r="A61" s="39" t="n">
        <v>60</v>
      </c>
      <c r="B61" s="42">
        <f>'Retention curve'!C61</f>
        <v/>
      </c>
      <c r="C61" s="43">
        <f>'Retention curve'!D61</f>
        <v/>
      </c>
      <c r="D61" s="9">
        <f>in_daily*in_days*(1+in_amount_growth)^INT((A61-1)/in_term)</f>
        <v/>
      </c>
      <c r="E61" s="9">
        <f>B61*D61</f>
        <v/>
      </c>
      <c r="F61" s="9">
        <f>IF(A61=1,0,G60*IF(MOD(A61-1,in_term)=0,in_rollover,1))</f>
        <v/>
      </c>
      <c r="G61" s="9">
        <f>F61*(1-in_withdraw_m)+D61+(F61*(1-in_withdraw_m)+0.5*D61)*d_rm</f>
        <v/>
      </c>
      <c r="H61" s="9">
        <f>B61*(F61*(1-in_withdraw_m)+0.5*D61)</f>
        <v/>
      </c>
      <c r="I61" s="9">
        <f>B61*in_withdraw_m*F61+IF(A61=1,0,C61*G60+IF(MOD(A61-1,in_term)=0,B61*(1-in_rollover)*G60,0))</f>
        <v/>
      </c>
      <c r="J61" s="11">
        <f>in_upi_12*MIN(1,(A61-1)/(in_upi_ramp-1))</f>
        <v/>
      </c>
      <c r="K61" s="11">
        <f>B61*(1-J61)</f>
        <v/>
      </c>
      <c r="L61" s="40">
        <f>K61/in_visit_every</f>
        <v/>
      </c>
      <c r="M61" s="11">
        <f>IF(A61&gt;=in_marketplace_from,B61,0)</f>
        <v/>
      </c>
      <c r="N61" s="12">
        <f>IF(A61&lt;=in_early_months,in_early_takeup_mult,1)</f>
        <v/>
      </c>
      <c r="O61" s="12">
        <f>IF(A61&lt;=in_early_months,in_early_approval_mult,1)</f>
        <v/>
      </c>
      <c r="P61" s="12">
        <f>IF(AND(A61&gt;=in_marketplace_from,A61&lt;in_marketplace_from+in_card_months),N61*O61,0)</f>
        <v/>
      </c>
      <c r="Q61" s="14">
        <f>H61*in_trail/12</f>
        <v/>
      </c>
      <c r="R61" s="14">
        <f>IF(A61=1,in_kyc_cost,0)</f>
        <v/>
      </c>
      <c r="S61" s="14">
        <f>B61*in_support_cost</f>
        <v/>
      </c>
      <c r="T61" s="40">
        <f>1/(1+d_dm)^(A61-1)</f>
        <v/>
      </c>
      <c r="U61" s="14">
        <f>(Q61-R61-S61)*T61</f>
        <v/>
      </c>
    </row>
    <row r="63">
      <c r="A63" s="5" t="inlineStr">
        <is>
          <t>Per sign-up. The marketplace lines (loans, top-ups, cards, the 17 products, collections) depend on the calendar year as well as his age, because take-up and approvals grow with the pool's history: they are on 'Cohort x 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E1831"/>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8" customWidth="1" min="3" max="3"/>
    <col width="8"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s>
  <sheetData>
    <row r="1" ht="54" customHeight="1">
      <c r="A1" s="23" t="inlineStr">
        <is>
          <t>Sign-up month (cohort)</t>
        </is>
      </c>
      <c r="B1" s="23" t="inlineStr">
        <is>
          <t>Age</t>
        </is>
      </c>
      <c r="C1" s="23" t="inlineStr">
        <is>
          <t>Calendar month</t>
        </is>
      </c>
      <c r="D1" s="23" t="inlineStr">
        <is>
          <t>Calendar year</t>
        </is>
      </c>
      <c r="E1" s="23" t="inlineStr">
        <is>
          <t>Cohort's sign-ups</t>
        </is>
      </c>
      <c r="F1" s="23" t="inlineStr">
        <is>
          <t>Still saving</t>
        </is>
      </c>
      <c r="G1" s="23" t="inlineStr">
        <is>
          <t>Take-up factor (early months x pool history, cap)</t>
        </is>
      </c>
      <c r="H1" s="23" t="inlineStr">
        <is>
          <t>First-loan approval (cap 80%)</t>
        </is>
      </c>
      <c r="I1" s="23" t="inlineStr">
        <is>
          <t>Card factor (take-up x approval)</t>
        </is>
      </c>
      <c r="J1" s="23" t="inlineStr">
        <is>
          <t>No loan yet</t>
        </is>
      </c>
      <c r="K1" s="23" t="inlineStr">
        <is>
          <t>Repaid a loan, can apply for a repeat</t>
        </is>
      </c>
      <c r="L1" s="23" t="inlineStr">
        <is>
          <t>First loans</t>
        </is>
      </c>
      <c r="M1" s="23" t="inlineStr">
        <is>
          <t>Repeat loans</t>
        </is>
      </c>
      <c r="N1" s="23" t="inlineStr">
        <is>
          <t>Loans made</t>
        </is>
      </c>
      <c r="O1" s="23" t="inlineStr">
        <is>
          <t>Loans per active saver (helper)</t>
        </is>
      </c>
      <c r="P1" s="23" t="inlineStr">
        <is>
          <t>Savers with a loan running</t>
        </is>
      </c>
      <c r="Q1" s="23" t="inlineStr">
        <is>
          <t>Loan applications</t>
        </is>
      </c>
      <c r="R1" s="23" t="inlineStr">
        <is>
          <t>Loans with an EMI due</t>
        </is>
      </c>
      <c r="S1" s="23" t="inlineStr">
        <is>
          <t>Top-up window (helper)</t>
        </is>
      </c>
      <c r="T1" s="23" t="inlineStr">
        <is>
          <t>Top-ups</t>
        </is>
      </c>
      <c r="U1" s="23" t="inlineStr">
        <is>
          <t>Money lent, first and repeat loans (Rs)</t>
        </is>
      </c>
      <c r="V1" s="23" t="inlineStr">
        <is>
          <t>Money lent, with top-ups (Rs)</t>
        </is>
      </c>
      <c r="W1" s="23" t="inlineStr">
        <is>
          <t>Loans for collections (top-ups pro rata)</t>
        </is>
      </c>
      <c r="X1" s="23" t="inlineStr">
        <is>
          <t>Overdue accounts brought back, 31-90 days</t>
        </is>
      </c>
      <c r="Y1" s="23" t="inlineStr">
        <is>
          <t>Overdue accounts recovered, 90+</t>
        </is>
      </c>
      <c r="Z1" s="23" t="inlineStr">
        <is>
          <t>Cards issued (the share held back by the early factors follows in the next 6 months)</t>
        </is>
      </c>
      <c r="AA1" s="23" t="inlineStr">
        <is>
          <t>Origination fees net of taken back (Rs)</t>
        </is>
      </c>
      <c r="AB1" s="23" t="inlineStr">
        <is>
          <t>31-90 day collection fees (Rs)</t>
        </is>
      </c>
      <c r="AC1" s="23" t="inlineStr">
        <is>
          <t>90+ recovery fees (Rs)</t>
        </is>
      </c>
      <c r="AD1" s="23" t="inlineStr">
        <is>
          <t>Card fees (Rs)</t>
        </is>
      </c>
      <c r="AE1" s="23" t="inlineStr">
        <is>
          <t>Small health / hospital cash: never held it (share of active savers)</t>
        </is>
      </c>
      <c r="AF1" s="23" t="inlineStr">
        <is>
          <t>Small health / hospital cash: take-ups per active saver</t>
        </is>
      </c>
      <c r="AG1" s="23" t="inlineStr">
        <is>
          <t>Small health / hospital cash (Rs)</t>
        </is>
      </c>
      <c r="AH1" s="23" t="inlineStr">
        <is>
          <t>Family health cover: never held it (share of active savers)</t>
        </is>
      </c>
      <c r="AI1" s="23" t="inlineStr">
        <is>
          <t>Family health cover: take-ups per active saver</t>
        </is>
      </c>
      <c r="AJ1" s="23" t="inlineStr">
        <is>
          <t>Family health cover (Rs)</t>
        </is>
      </c>
      <c r="AK1" s="23" t="inlineStr">
        <is>
          <t>Term life (small cover): never held it (share of active savers)</t>
        </is>
      </c>
      <c r="AL1" s="23" t="inlineStr">
        <is>
          <t>Term life (small cover): take-ups per active saver</t>
        </is>
      </c>
      <c r="AM1" s="23" t="inlineStr">
        <is>
          <t>Term life (small cover) (Rs)</t>
        </is>
      </c>
      <c r="AN1" s="23" t="inlineStr">
        <is>
          <t>Personal accident: never held it (share of active savers)</t>
        </is>
      </c>
      <c r="AO1" s="23" t="inlineStr">
        <is>
          <t>Personal accident: take-ups per active saver</t>
        </is>
      </c>
      <c r="AP1" s="23" t="inlineStr">
        <is>
          <t>Personal accident (Rs)</t>
        </is>
      </c>
      <c r="AQ1" s="23" t="inlineStr">
        <is>
          <t>Two-wheeler insurance: never held it (share of active savers)</t>
        </is>
      </c>
      <c r="AR1" s="23" t="inlineStr">
        <is>
          <t>Two-wheeler insurance: take-ups per active saver</t>
        </is>
      </c>
      <c r="AS1" s="23" t="inlineStr">
        <is>
          <t>Two-wheeler insurance (Rs)</t>
        </is>
      </c>
      <c r="AT1" s="23" t="inlineStr">
        <is>
          <t>Mobile / device insurance: never held it (share of active savers)</t>
        </is>
      </c>
      <c r="AU1" s="23" t="inlineStr">
        <is>
          <t>Mobile / device insurance (Rs)</t>
        </is>
      </c>
      <c r="AV1" s="23" t="inlineStr">
        <is>
          <t>Shop insurance (fire and burglary): never held it (share of active savers)</t>
        </is>
      </c>
      <c r="AW1" s="23" t="inlineStr">
        <is>
          <t>Shop insurance (fire and burglary): take-ups per active saver</t>
        </is>
      </c>
      <c r="AX1" s="23" t="inlineStr">
        <is>
          <t>Shop insurance (fire and burglary) (Rs)</t>
        </is>
      </c>
      <c r="AY1" s="23" t="inlineStr">
        <is>
          <t>Equity/hybrid SIP trail: never held it (share of active savers)</t>
        </is>
      </c>
      <c r="AZ1" s="23" t="inlineStr">
        <is>
          <t>Equity/hybrid SIP trail: holders per active saver</t>
        </is>
      </c>
      <c r="BA1" s="23" t="inlineStr">
        <is>
          <t>Equity/hybrid SIP trail: SIP months held per active saver (helper)</t>
        </is>
      </c>
      <c r="BB1" s="23" t="inlineStr">
        <is>
          <t>Equity/hybrid SIP trail (Rs)</t>
        </is>
      </c>
      <c r="BC1" s="23" t="inlineStr">
        <is>
          <t>Choti SIP incentive: never held it (share of active savers)</t>
        </is>
      </c>
      <c r="BD1" s="23" t="inlineStr">
        <is>
          <t>Choti SIP incentive: take-ups per active saver</t>
        </is>
      </c>
      <c r="BE1" s="23" t="inlineStr">
        <is>
          <t>Choti SIP incentive (Rs)</t>
        </is>
      </c>
      <c r="BF1" s="23" t="inlineStr">
        <is>
          <t>NPS: never held it (share of active savers)</t>
        </is>
      </c>
      <c r="BG1" s="23" t="inlineStr">
        <is>
          <t>NPS (Rs)</t>
        </is>
      </c>
      <c r="BH1" s="23" t="inlineStr">
        <is>
          <t>Digital gold: never held it (share of active savers)</t>
        </is>
      </c>
      <c r="BI1" s="23" t="inlineStr">
        <is>
          <t>Digital gold: holders per active saver</t>
        </is>
      </c>
      <c r="BJ1" s="23" t="inlineStr">
        <is>
          <t>Digital gold (Rs)</t>
        </is>
      </c>
      <c r="BK1" s="23" t="inlineStr">
        <is>
          <t>FD via partner banks: never held it (share of active savers)</t>
        </is>
      </c>
      <c r="BL1" s="23" t="inlineStr">
        <is>
          <t>FD via partner banks (Rs)</t>
        </is>
      </c>
      <c r="BM1" s="23" t="inlineStr">
        <is>
          <t>Mobile recharge: never held it (share of active savers)</t>
        </is>
      </c>
      <c r="BN1" s="23" t="inlineStr">
        <is>
          <t>Mobile recharge: holders per active saver</t>
        </is>
      </c>
      <c r="BO1" s="23" t="inlineStr">
        <is>
          <t>Mobile recharge (Rs)</t>
        </is>
      </c>
      <c r="BP1" s="23" t="inlineStr">
        <is>
          <t>Bill payments: never held it (share of active savers)</t>
        </is>
      </c>
      <c r="BQ1" s="23" t="inlineStr">
        <is>
          <t>Bill payments: holders per active saver</t>
        </is>
      </c>
      <c r="BR1" s="23" t="inlineStr">
        <is>
          <t>Bill payments (Rs)</t>
        </is>
      </c>
      <c r="BS1" s="23" t="inlineStr">
        <is>
          <t>Gold loan (other lenders): never held it (share of active savers)</t>
        </is>
      </c>
      <c r="BT1" s="23" t="inlineStr">
        <is>
          <t>Gold loan (other lenders) (Rs)</t>
        </is>
      </c>
      <c r="BU1" s="23" t="inlineStr">
        <is>
          <t>Consumer-durable loan: never held it (share of active savers)</t>
        </is>
      </c>
      <c r="BV1" s="23" t="inlineStr">
        <is>
          <t>Consumer-durable loan (Rs)</t>
        </is>
      </c>
      <c r="BW1" s="23" t="inlineStr">
        <is>
          <t>Two-wheeler / e-rickshaw loan: never held it (share of active savers)</t>
        </is>
      </c>
      <c r="BX1" s="23" t="inlineStr">
        <is>
          <t>Two-wheeler / e-rickshaw loan (Rs)</t>
        </is>
      </c>
      <c r="BY1" s="23" t="inlineStr">
        <is>
          <t>Home loan (affordable housing): never had one (share of active savers)</t>
        </is>
      </c>
      <c r="BZ1" s="23" t="inlineStr">
        <is>
          <t>Home loan (affordable housing): approval (cap 80%)</t>
        </is>
      </c>
      <c r="CA1" s="23" t="inlineStr">
        <is>
          <t>Home loan (affordable housing) (Rs)</t>
        </is>
      </c>
      <c r="CB1" s="23" t="inlineStr">
        <is>
          <t>Loan against property (shop or home): never had one (share of active savers)</t>
        </is>
      </c>
      <c r="CC1" s="23" t="inlineStr">
        <is>
          <t>Loan against property (shop or home): approval (cap 80%)</t>
        </is>
      </c>
      <c r="CD1" s="23" t="inlineStr">
        <is>
          <t>Loan against property (shop or home) (Rs)</t>
        </is>
      </c>
      <c r="CE1" s="23" t="inlineStr">
        <is>
          <t>Marketplace income (Rs)</t>
        </is>
      </c>
    </row>
    <row r="2">
      <c r="A2" s="39" t="n">
        <v>1</v>
      </c>
      <c r="B2" s="39" t="n">
        <v>1</v>
      </c>
      <c r="C2" s="39">
        <f>A2+B2-1</f>
        <v/>
      </c>
      <c r="D2" s="39">
        <f>INT((C2-1)/12)+1</f>
        <v/>
      </c>
      <c r="E2" s="44">
        <f>INDEX(Monthly!$B$2:$B$61,A2)</f>
        <v/>
      </c>
      <c r="F2" s="44">
        <f>E2*INDEX('Age profile'!$B$2:$B$61,B2)</f>
        <v/>
      </c>
      <c r="G2" s="45">
        <f>MIN(in_takeup_cap,INDEX('Age profile'!$N$2:$N$61,B2)*(1+in_takeup_growth)^(D2-1))</f>
        <v/>
      </c>
      <c r="H2" s="11">
        <f>MIN(in_approval_cap,in_approved_first*INDEX('Age profile'!$O$2:$O$61,B2)*(1+in_approval_growth)^(D2-1))</f>
        <v/>
      </c>
      <c r="I2" s="45">
        <f>G2*MIN(in_takeup_cap,INDEX('Age profile'!$O$2:$O$61,B2)*(1+in_approval_growth)^(D2-1))</f>
        <v/>
      </c>
      <c r="J2" s="40">
        <f>E2</f>
        <v/>
      </c>
      <c r="K2" s="40" t="n">
        <v>0</v>
      </c>
      <c r="L2" s="40">
        <f>IF(B2&gt;=in_marketplace_from,J2*d_hz*G2*in_eligible*H2,0)</f>
        <v/>
      </c>
      <c r="M2" s="40">
        <f>IF(B2&gt;=in_marketplace_from,K2*d_hz*G2*in_eligible*in_approved_repeat,0)</f>
        <v/>
      </c>
      <c r="N2" s="40">
        <f>L2+M2</f>
        <v/>
      </c>
      <c r="O2" s="46">
        <f>N2/F2</f>
        <v/>
      </c>
      <c r="P2" s="40">
        <f>F2-J2-K2</f>
        <v/>
      </c>
      <c r="Q2" s="40">
        <f>IF(B2&gt;=in_marketplace_from,(J2+K2)*d_hz*G2,0)</f>
        <v/>
      </c>
      <c r="R2" s="40">
        <f>SUMIFS(N2:N61,B2:B61,"&gt;="&amp;(B2-d_T),B2:B61,"&lt;="&amp;(B2-1))</f>
        <v/>
      </c>
      <c r="S2" s="46" t="n">
        <v>0</v>
      </c>
      <c r="T2" s="40">
        <f>F2*d_u*S2</f>
        <v/>
      </c>
      <c r="U2" s="9">
        <f>L2*in_ticket+M2*d_rep_ticket</f>
        <v/>
      </c>
      <c r="V2" s="9">
        <f>U2+T2*d_topup_amt</f>
        <v/>
      </c>
      <c r="W2" s="40">
        <f>N2+T2*d_topup_ratio</f>
        <v/>
      </c>
      <c r="X2" s="40">
        <f>SUMIFS(W2:W61,B2:B61,B2-in_dpd_lag)*d_cured</f>
        <v/>
      </c>
      <c r="Y2" s="40">
        <f>SUMIFS(W2:W61,B2:B61,B2-in_rec_lag)*d_recd</f>
        <v/>
      </c>
      <c r="Z2" s="40">
        <f>IF(AND(B2&gt;=in_marketplace_from,B2&lt;in_marketplace_from+in_card_months),in_card_share/in_card_months*F2*I2,IF(AND(B2&gt;=in_marketplace_from+in_card_months,B2&lt;in_marketplace_from+2*in_card_months),in_card_share*d_card_rem/in_card_months*F2*MIN(in_takeup_cap,(1+in_takeup_growth)^(D2-1))*MIN(in_takeup_cap,(1+in_approval_growth)^(D2-1)),0))</f>
        <v/>
      </c>
      <c r="AA2" s="14">
        <f>V2*in_fee*(1-in_taken_back)</f>
        <v/>
      </c>
      <c r="AB2" s="14">
        <f>SUMIFS(W2:W61,B2:B61,B2-in_dpd_lag)*d_dpd</f>
        <v/>
      </c>
      <c r="AC2" s="14">
        <f>SUMIFS(W2:W61,B2:B61,B2-in_rec_lag)*d_rec</f>
        <v/>
      </c>
      <c r="AD2" s="14">
        <f>Z2*in_card_fee</f>
        <v/>
      </c>
      <c r="AE2" s="40" t="n">
        <v>1</v>
      </c>
      <c r="AF2" s="46">
        <f>AE2*IF(B2&gt;=in_marketplace_from,d_hz_hlth_small*G2,0)</f>
        <v/>
      </c>
      <c r="AG2" s="14">
        <f>F2*AF2*in_hlth_small_ticket*in_hlth_small_comm*in_ins_partner_share+F2*in_hlth_small_ticket*in_hlth_small_renew_comm*in_ins_partner_share*(in_hlth_small_renew^1*SUMIFS(AF2:AF61,B2:B61,B2-12)+in_hlth_small_renew^2*SUMIFS(AF2:AF61,B2:B61,B2-24)+in_hlth_small_renew^3*SUMIFS(AF2:AF61,B2:B61,B2-36)+in_hlth_small_renew^4*SUMIFS(AF2:AF61,B2:B61,B2-48))</f>
        <v/>
      </c>
      <c r="AH2" s="40" t="n">
        <v>1</v>
      </c>
      <c r="AI2" s="46">
        <f>AH2*IF(B2&gt;=in_marketplace_from,d_hz_hlth_family*G2,0)</f>
        <v/>
      </c>
      <c r="AJ2" s="14">
        <f>F2*AI2*in_hlth_family_ticket*in_hlth_family_comm*in_ins_partner_share+F2*in_hlth_family_ticket*in_hlth_family_renew_comm*in_ins_partner_share*(in_hlth_family_renew^1*SUMIFS(AI2:AI61,B2:B61,B2-12)+in_hlth_family_renew^2*SUMIFS(AI2:AI61,B2:B61,B2-24)+in_hlth_family_renew^3*SUMIFS(AI2:AI61,B2:B61,B2-36)+in_hlth_family_renew^4*SUMIFS(AI2:AI61,B2:B61,B2-48))</f>
        <v/>
      </c>
      <c r="AK2" s="40" t="n">
        <v>1</v>
      </c>
      <c r="AL2" s="46">
        <f>AK2*IF(B2&gt;=in_marketplace_from,d_hz_life_term*G2,0)</f>
        <v/>
      </c>
      <c r="AM2" s="14">
        <f>F2*AL2*in_life_term_ticket*in_life_term_comm*in_ins_partner_share+F2*in_life_term_ticket*in_life_term_renew_comm*in_ins_partner_share*(in_life_term_renew^1*SUMIFS(AL2:AL61,B2:B61,B2-12)+in_life_term_renew^2*SUMIFS(AL2:AL61,B2:B61,B2-24)+in_life_term_renew^3*SUMIFS(AL2:AL61,B2:B61,B2-36)+in_life_term_renew^4*SUMIFS(AL2:AL61,B2:B61,B2-48))</f>
        <v/>
      </c>
      <c r="AN2" s="40" t="n">
        <v>1</v>
      </c>
      <c r="AO2" s="46">
        <f>AN2*IF(B2&gt;=in_marketplace_from,d_hz_accident*G2,0)</f>
        <v/>
      </c>
      <c r="AP2" s="14">
        <f>F2*AO2*in_accident_ticket*in_accident_comm*in_ins_partner_share+F2*in_accident_ticket*in_accident_renew_comm*in_ins_partner_share*(in_accident_renew^1*SUMIFS(AO2:AO61,B2:B61,B2-12)+in_accident_renew^2*SUMIFS(AO2:AO61,B2:B61,B2-24)+in_accident_renew^3*SUMIFS(AO2:AO61,B2:B61,B2-36)+in_accident_renew^4*SUMIFS(AO2:AO61,B2:B61,B2-48))</f>
        <v/>
      </c>
      <c r="AQ2" s="40" t="n">
        <v>1</v>
      </c>
      <c r="AR2" s="46">
        <f>AQ2*IF(B2&gt;=in_marketplace_from,d_hz_two_wheeler*G2,0)</f>
        <v/>
      </c>
      <c r="AS2" s="14">
        <f>F2*AR2*in_two_wheeler_ticket*in_two_wheeler_comm*in_ins_partner_share+F2*in_two_wheeler_ticket*in_two_wheeler_comm*in_ins_partner_share*(in_two_wheeler_renew^1*SUMIFS(AR2:AR61,B2:B61,B2-12)+in_two_wheeler_renew^2*SUMIFS(AR2:AR61,B2:B61,B2-24)+in_two_wheeler_renew^3*SUMIFS(AR2:AR61,B2:B61,B2-36)+in_two_wheeler_renew^4*SUMIFS(AR2:AR61,B2:B61,B2-48))</f>
        <v/>
      </c>
      <c r="AT2" s="40" t="n">
        <v>1</v>
      </c>
      <c r="AU2" s="14">
        <f>F2*AT2*IF(B2&gt;=in_marketplace_from,d_hz_device*G2,0)*in_device_ticket*in_device_comm*in_ins_partner_share</f>
        <v/>
      </c>
      <c r="AV2" s="40" t="n">
        <v>1</v>
      </c>
      <c r="AW2" s="46">
        <f>AV2*IF(B2&gt;=in_marketplace_from,d_hz_shop*G2,0)</f>
        <v/>
      </c>
      <c r="AX2" s="14">
        <f>F2*AW2*in_shop_ticket*in_shop_comm*in_ins_partner_share+F2*in_shop_ticket*in_shop_renew_comm*in_ins_partner_share*(in_shop_renew^1*SUMIFS(AW2:AW61,B2:B61,B2-12)+in_shop_renew^2*SUMIFS(AW2:AW61,B2:B61,B2-24)+in_shop_renew^3*SUMIFS(AW2:AW61,B2:B61,B2-36)+in_shop_renew^4*SUMIFS(AW2:AW61,B2:B61,B2-48))</f>
        <v/>
      </c>
      <c r="AY2" s="40" t="n">
        <v>1</v>
      </c>
      <c r="AZ2" s="40">
        <f>AY2*IF(B2&gt;=in_marketplace_from,d_hz_sip*G2,0)</f>
        <v/>
      </c>
      <c r="BA2" s="40" t="n">
        <v>0</v>
      </c>
      <c r="BB2" s="14">
        <f>F2*in_sip_ticket*(BA2+0.5*AZ2)*in_sip_comm/12</f>
        <v/>
      </c>
      <c r="BC2" s="40" t="n">
        <v>1</v>
      </c>
      <c r="BD2" s="46">
        <f>BC2*IF(B2&gt;=in_marketplace_from,d_hz_choti*G2,0)</f>
        <v/>
      </c>
      <c r="BE2" s="14">
        <f>F2*SUMIFS(BD2:BD61,B2:B61,B2-in_choti_months)*in_choti_renew*in_choti_ticket</f>
        <v/>
      </c>
      <c r="BF2" s="40" t="n">
        <v>1</v>
      </c>
      <c r="BG2" s="14">
        <f>F2*BF2*IF(B2&gt;=in_marketplace_from,d_hz_nps*G2,0)*in_nps_ticket*in_nps_comm</f>
        <v/>
      </c>
      <c r="BH2" s="40" t="n">
        <v>1</v>
      </c>
      <c r="BI2" s="40">
        <f>BH2*IF(B2&gt;=in_marketplace_from,d_hz_gold*G2,0)</f>
        <v/>
      </c>
      <c r="BJ2" s="14">
        <f>F2*BI2*in_gold_ticket*in_gold_comm</f>
        <v/>
      </c>
      <c r="BK2" s="40" t="n">
        <v>1</v>
      </c>
      <c r="BL2" s="14">
        <f>F2*BK2*IF(B2&gt;=in_marketplace_from,d_hz_fd*G2,0)*in_fd_ticket*in_fd_comm</f>
        <v/>
      </c>
      <c r="BM2" s="40" t="n">
        <v>1</v>
      </c>
      <c r="BN2" s="40">
        <f>BM2*IF(B2&gt;=in_marketplace_from,d_hz_recharge*G2,0)</f>
        <v/>
      </c>
      <c r="BO2" s="14">
        <f>F2*BN2*in_recharge_ticket*in_recharge_comm/12</f>
        <v/>
      </c>
      <c r="BP2" s="40" t="n">
        <v>1</v>
      </c>
      <c r="BQ2" s="40">
        <f>BP2*IF(B2&gt;=in_marketplace_from,d_hz_bills*G2,0)</f>
        <v/>
      </c>
      <c r="BR2" s="14">
        <f>F2*BQ2*in_bills_ticket*in_bills_comm/12</f>
        <v/>
      </c>
      <c r="BS2" s="40" t="n">
        <v>1</v>
      </c>
      <c r="BT2" s="14">
        <f>F2*BS2*IF(B2&gt;=in_marketplace_from,d_hz_loan_gold*G2,0)*in_loan_gold_ticket*in_loan_gold_comm</f>
        <v/>
      </c>
      <c r="BU2" s="40" t="n">
        <v>1</v>
      </c>
      <c r="BV2" s="14">
        <f>F2*BU2*IF(B2&gt;=in_marketplace_from,d_hz_loan_cd*G2,0)*in_loan_cd_ticket*in_loan_cd_comm</f>
        <v/>
      </c>
      <c r="BW2" s="40" t="n">
        <v>1</v>
      </c>
      <c r="BX2" s="14">
        <f>F2*BW2*IF(B2&gt;=in_marketplace_from,d_hz_loan_vehicle*G2,0)*in_loan_vehicle_ticket*in_loan_vehicle_comm</f>
        <v/>
      </c>
      <c r="BY2" s="40" t="n">
        <v>1</v>
      </c>
      <c r="BZ2" s="11">
        <f>MIN(in_approval_cap,in_loan_home_approval*INDEX('Age profile'!$O$2:$O$61,B2)*(1+in_approval_growth)^(D2-1))</f>
        <v/>
      </c>
      <c r="CA2" s="14">
        <f>F2*BY2*IF(B2&gt;=in_marketplace_from,d_hz_loan_home*G2,0)*BZ2*in_loan_home_ticket*in_loan_home_comm</f>
        <v/>
      </c>
      <c r="CB2" s="40" t="n">
        <v>1</v>
      </c>
      <c r="CC2" s="11">
        <f>MIN(in_approval_cap,in_loan_lap_approval*INDEX('Age profile'!$O$2:$O$61,B2)*(1+in_approval_growth)^(D2-1))</f>
        <v/>
      </c>
      <c r="CD2" s="14">
        <f>F2*CB2*IF(B2&gt;=in_marketplace_from,d_hz_loan_lap*G2,0)*CC2*in_loan_lap_ticket*in_loan_lap_comm</f>
        <v/>
      </c>
      <c r="CE2" s="14">
        <f>AA2+AB2+AC2+AD2+AG2+AJ2+AM2+AP2+AS2+AU2+AX2+BB2+BE2+BG2+BJ2+BL2+BO2+BR2+BT2+BV2+BX2+CA2+CD2</f>
        <v/>
      </c>
    </row>
    <row r="3">
      <c r="A3" s="39" t="n">
        <v>1</v>
      </c>
      <c r="B3" s="39" t="n">
        <v>2</v>
      </c>
      <c r="C3" s="39">
        <f>A3+B3-1</f>
        <v/>
      </c>
      <c r="D3" s="39">
        <f>INT((C3-1)/12)+1</f>
        <v/>
      </c>
      <c r="E3" s="44">
        <f>INDEX(Monthly!$B$2:$B$61,A3)</f>
        <v/>
      </c>
      <c r="F3" s="44">
        <f>E3*INDEX('Age profile'!$B$2:$B$61,B3)</f>
        <v/>
      </c>
      <c r="G3" s="45">
        <f>MIN(in_takeup_cap,INDEX('Age profile'!$N$2:$N$61,B3)*(1+in_takeup_growth)^(D3-1))</f>
        <v/>
      </c>
      <c r="H3" s="11">
        <f>MIN(in_approval_cap,in_approved_first*INDEX('Age profile'!$O$2:$O$61,B3)*(1+in_approval_growth)^(D3-1))</f>
        <v/>
      </c>
      <c r="I3" s="45">
        <f>G3*MIN(in_takeup_cap,INDEX('Age profile'!$O$2:$O$61,B3)*(1+in_approval_growth)^(D3-1))</f>
        <v/>
      </c>
      <c r="J3" s="40">
        <f>(J2-L2)*F3/F2</f>
        <v/>
      </c>
      <c r="K3" s="40">
        <f>(K2-M2)*F3/F2+SUMIFS(O2:O2,B2:B2,B3-1-d_T)*F3</f>
        <v/>
      </c>
      <c r="L3" s="40">
        <f>IF(B3&gt;=in_marketplace_from,J3*d_hz*G3*in_eligible*H3,0)</f>
        <v/>
      </c>
      <c r="M3" s="40">
        <f>IF(B3&gt;=in_marketplace_from,K3*d_hz*G3*in_eligible*in_approved_repeat,0)</f>
        <v/>
      </c>
      <c r="N3" s="40">
        <f>L3+M3</f>
        <v/>
      </c>
      <c r="O3" s="46">
        <f>N3/F3</f>
        <v/>
      </c>
      <c r="P3" s="40">
        <f>F3-J3-K3</f>
        <v/>
      </c>
      <c r="Q3" s="40">
        <f>IF(B3&gt;=in_marketplace_from,(J3+K3)*d_hz*G3,0)</f>
        <v/>
      </c>
      <c r="R3" s="40">
        <f>SUMIFS(N2:N61,B2:B61,"&gt;="&amp;(B3-d_T),B2:B61,"&lt;="&amp;(B3-1))</f>
        <v/>
      </c>
      <c r="S3" s="46">
        <f>(1-d_u)*S2+IF(d_T&gt;in_topup_lag,SUMIFS(O2:O61,B2:B61,B3-in_topup_lag)-d_udrop*SUMIFS(O2:O61,B2:B61,B3-d_T),0)</f>
        <v/>
      </c>
      <c r="T3" s="40">
        <f>F3*d_u*S3</f>
        <v/>
      </c>
      <c r="U3" s="9">
        <f>L3*in_ticket+M3*d_rep_ticket</f>
        <v/>
      </c>
      <c r="V3" s="9">
        <f>U3+T3*d_topup_amt</f>
        <v/>
      </c>
      <c r="W3" s="40">
        <f>N3+T3*d_topup_ratio</f>
        <v/>
      </c>
      <c r="X3" s="40">
        <f>SUMIFS(W2:W61,B2:B61,B3-in_dpd_lag)*d_cured</f>
        <v/>
      </c>
      <c r="Y3" s="40">
        <f>SUMIFS(W2:W61,B2:B61,B3-in_rec_lag)*d_recd</f>
        <v/>
      </c>
      <c r="Z3" s="40">
        <f>IF(AND(B3&gt;=in_marketplace_from,B3&lt;in_marketplace_from+in_card_months),in_card_share/in_card_months*F3*I3,IF(AND(B3&gt;=in_marketplace_from+in_card_months,B3&lt;in_marketplace_from+2*in_card_months),in_card_share*d_card_rem/in_card_months*F3*MIN(in_takeup_cap,(1+in_takeup_growth)^(D3-1))*MIN(in_takeup_cap,(1+in_approval_growth)^(D3-1)),0))</f>
        <v/>
      </c>
      <c r="AA3" s="14">
        <f>V3*in_fee*(1-in_taken_back)</f>
        <v/>
      </c>
      <c r="AB3" s="14">
        <f>SUMIFS(W2:W61,B2:B61,B3-in_dpd_lag)*d_dpd</f>
        <v/>
      </c>
      <c r="AC3" s="14">
        <f>SUMIFS(W2:W61,B2:B61,B3-in_rec_lag)*d_rec</f>
        <v/>
      </c>
      <c r="AD3" s="14">
        <f>Z3*in_card_fee</f>
        <v/>
      </c>
      <c r="AE3" s="40">
        <f>AE2*(1-IF(B2&gt;=in_marketplace_from,d_hz_hlth_small*G2,0))</f>
        <v/>
      </c>
      <c r="AF3" s="46">
        <f>AE3*IF(B3&gt;=in_marketplace_from,d_hz_hlth_small*G3,0)</f>
        <v/>
      </c>
      <c r="AG3" s="14">
        <f>F3*AF3*in_hlth_small_ticket*in_hlth_small_comm*in_ins_partner_share+F3*in_hlth_small_ticket*in_hlth_small_renew_comm*in_ins_partner_share*(in_hlth_small_renew^1*SUMIFS(AF2:AF61,B2:B61,B3-12)+in_hlth_small_renew^2*SUMIFS(AF2:AF61,B2:B61,B3-24)+in_hlth_small_renew^3*SUMIFS(AF2:AF61,B2:B61,B3-36)+in_hlth_small_renew^4*SUMIFS(AF2:AF61,B2:B61,B3-48))</f>
        <v/>
      </c>
      <c r="AH3" s="40">
        <f>AH2*(1-IF(B2&gt;=in_marketplace_from,d_hz_hlth_family*G2,0))</f>
        <v/>
      </c>
      <c r="AI3" s="46">
        <f>AH3*IF(B3&gt;=in_marketplace_from,d_hz_hlth_family*G3,0)</f>
        <v/>
      </c>
      <c r="AJ3" s="14">
        <f>F3*AI3*in_hlth_family_ticket*in_hlth_family_comm*in_ins_partner_share+F3*in_hlth_family_ticket*in_hlth_family_renew_comm*in_ins_partner_share*(in_hlth_family_renew^1*SUMIFS(AI2:AI61,B2:B61,B3-12)+in_hlth_family_renew^2*SUMIFS(AI2:AI61,B2:B61,B3-24)+in_hlth_family_renew^3*SUMIFS(AI2:AI61,B2:B61,B3-36)+in_hlth_family_renew^4*SUMIFS(AI2:AI61,B2:B61,B3-48))</f>
        <v/>
      </c>
      <c r="AK3" s="40">
        <f>AK2*(1-IF(B2&gt;=in_marketplace_from,d_hz_life_term*G2,0))</f>
        <v/>
      </c>
      <c r="AL3" s="46">
        <f>AK3*IF(B3&gt;=in_marketplace_from,d_hz_life_term*G3,0)</f>
        <v/>
      </c>
      <c r="AM3" s="14">
        <f>F3*AL3*in_life_term_ticket*in_life_term_comm*in_ins_partner_share+F3*in_life_term_ticket*in_life_term_renew_comm*in_ins_partner_share*(in_life_term_renew^1*SUMIFS(AL2:AL61,B2:B61,B3-12)+in_life_term_renew^2*SUMIFS(AL2:AL61,B2:B61,B3-24)+in_life_term_renew^3*SUMIFS(AL2:AL61,B2:B61,B3-36)+in_life_term_renew^4*SUMIFS(AL2:AL61,B2:B61,B3-48))</f>
        <v/>
      </c>
      <c r="AN3" s="40">
        <f>AN2*(1-IF(B2&gt;=in_marketplace_from,d_hz_accident*G2,0))</f>
        <v/>
      </c>
      <c r="AO3" s="46">
        <f>AN3*IF(B3&gt;=in_marketplace_from,d_hz_accident*G3,0)</f>
        <v/>
      </c>
      <c r="AP3" s="14">
        <f>F3*AO3*in_accident_ticket*in_accident_comm*in_ins_partner_share+F3*in_accident_ticket*in_accident_renew_comm*in_ins_partner_share*(in_accident_renew^1*SUMIFS(AO2:AO61,B2:B61,B3-12)+in_accident_renew^2*SUMIFS(AO2:AO61,B2:B61,B3-24)+in_accident_renew^3*SUMIFS(AO2:AO61,B2:B61,B3-36)+in_accident_renew^4*SUMIFS(AO2:AO61,B2:B61,B3-48))</f>
        <v/>
      </c>
      <c r="AQ3" s="40">
        <f>AQ2*(1-IF(B2&gt;=in_marketplace_from,d_hz_two_wheeler*G2,0))</f>
        <v/>
      </c>
      <c r="AR3" s="46">
        <f>AQ3*IF(B3&gt;=in_marketplace_from,d_hz_two_wheeler*G3,0)</f>
        <v/>
      </c>
      <c r="AS3" s="14">
        <f>F3*AR3*in_two_wheeler_ticket*in_two_wheeler_comm*in_ins_partner_share+F3*in_two_wheeler_ticket*in_two_wheeler_comm*in_ins_partner_share*(in_two_wheeler_renew^1*SUMIFS(AR2:AR61,B2:B61,B3-12)+in_two_wheeler_renew^2*SUMIFS(AR2:AR61,B2:B61,B3-24)+in_two_wheeler_renew^3*SUMIFS(AR2:AR61,B2:B61,B3-36)+in_two_wheeler_renew^4*SUMIFS(AR2:AR61,B2:B61,B3-48))</f>
        <v/>
      </c>
      <c r="AT3" s="40">
        <f>AT2*(1-IF(B2&gt;=in_marketplace_from,d_hz_device*G2,0))</f>
        <v/>
      </c>
      <c r="AU3" s="14">
        <f>F3*AT3*IF(B3&gt;=in_marketplace_from,d_hz_device*G3,0)*in_device_ticket*in_device_comm*in_ins_partner_share</f>
        <v/>
      </c>
      <c r="AV3" s="40">
        <f>AV2*(1-IF(B2&gt;=in_marketplace_from,d_hz_shop*G2,0))</f>
        <v/>
      </c>
      <c r="AW3" s="46">
        <f>AV3*IF(B3&gt;=in_marketplace_from,d_hz_shop*G3,0)</f>
        <v/>
      </c>
      <c r="AX3" s="14">
        <f>F3*AW3*in_shop_ticket*in_shop_comm*in_ins_partner_share+F3*in_shop_ticket*in_shop_renew_comm*in_ins_partner_share*(in_shop_renew^1*SUMIFS(AW2:AW61,B2:B61,B3-12)+in_shop_renew^2*SUMIFS(AW2:AW61,B2:B61,B3-24)+in_shop_renew^3*SUMIFS(AW2:AW61,B2:B61,B3-36)+in_shop_renew^4*SUMIFS(AW2:AW61,B2:B61,B3-48))</f>
        <v/>
      </c>
      <c r="AY3" s="40">
        <f>AY2*(1-IF(B2&gt;=in_marketplace_from,d_hz_sip*G2,0))</f>
        <v/>
      </c>
      <c r="AZ3" s="40">
        <f>AZ2*d_rho_sip+AY3*IF(B3&gt;=in_marketplace_from,d_hz_sip*G3,0)</f>
        <v/>
      </c>
      <c r="BA3" s="40">
        <f>d_rho_sip*(BA2+AZ2)</f>
        <v/>
      </c>
      <c r="BB3" s="14">
        <f>F3*in_sip_ticket*(BA3+0.5*AZ3)*in_sip_comm/12</f>
        <v/>
      </c>
      <c r="BC3" s="40">
        <f>BC2*(1-IF(B2&gt;=in_marketplace_from,d_hz_choti*G2,0))</f>
        <v/>
      </c>
      <c r="BD3" s="46">
        <f>BC3*IF(B3&gt;=in_marketplace_from,d_hz_choti*G3,0)</f>
        <v/>
      </c>
      <c r="BE3" s="14">
        <f>F3*SUMIFS(BD2:BD61,B2:B61,B3-in_choti_months)*in_choti_renew*in_choti_ticket</f>
        <v/>
      </c>
      <c r="BF3" s="40">
        <f>BF2*(1-IF(B2&gt;=in_marketplace_from,d_hz_nps*G2,0))</f>
        <v/>
      </c>
      <c r="BG3" s="14">
        <f>F3*BF3*IF(B3&gt;=in_marketplace_from,d_hz_nps*G3,0)*in_nps_ticket*in_nps_comm</f>
        <v/>
      </c>
      <c r="BH3" s="40">
        <f>BH2*(1-IF(B2&gt;=in_marketplace_from,d_hz_gold*G2,0))</f>
        <v/>
      </c>
      <c r="BI3" s="40">
        <f>BI2*d_rho_gold+BH3*IF(B3&gt;=in_marketplace_from,d_hz_gold*G3,0)</f>
        <v/>
      </c>
      <c r="BJ3" s="14">
        <f>F3*BI3*in_gold_ticket*in_gold_comm</f>
        <v/>
      </c>
      <c r="BK3" s="40">
        <f>BK2*(1-IF(B2&gt;=in_marketplace_from,d_hz_fd*G2,0))</f>
        <v/>
      </c>
      <c r="BL3" s="14">
        <f>F3*BK3*IF(B3&gt;=in_marketplace_from,d_hz_fd*G3,0)*in_fd_ticket*in_fd_comm</f>
        <v/>
      </c>
      <c r="BM3" s="40">
        <f>BM2*(1-IF(B2&gt;=in_marketplace_from,d_hz_recharge*G2,0))</f>
        <v/>
      </c>
      <c r="BN3" s="40">
        <f>BN2*d_rho_recharge+BM3*IF(B3&gt;=in_marketplace_from,d_hz_recharge*G3,0)</f>
        <v/>
      </c>
      <c r="BO3" s="14">
        <f>F3*BN3*in_recharge_ticket*in_recharge_comm/12</f>
        <v/>
      </c>
      <c r="BP3" s="40">
        <f>BP2*(1-IF(B2&gt;=in_marketplace_from,d_hz_bills*G2,0))</f>
        <v/>
      </c>
      <c r="BQ3" s="40">
        <f>BQ2*d_rho_bills+BP3*IF(B3&gt;=in_marketplace_from,d_hz_bills*G3,0)</f>
        <v/>
      </c>
      <c r="BR3" s="14">
        <f>F3*BQ3*in_bills_ticket*in_bills_comm/12</f>
        <v/>
      </c>
      <c r="BS3" s="40">
        <f>BS2*(1-IF(B2&gt;=in_marketplace_from,d_hz_loan_gold*G2,0))</f>
        <v/>
      </c>
      <c r="BT3" s="14">
        <f>F3*BS3*IF(B3&gt;=in_marketplace_from,d_hz_loan_gold*G3,0)*in_loan_gold_ticket*in_loan_gold_comm</f>
        <v/>
      </c>
      <c r="BU3" s="40">
        <f>BU2*(1-IF(B2&gt;=in_marketplace_from,d_hz_loan_cd*G2,0))</f>
        <v/>
      </c>
      <c r="BV3" s="14">
        <f>F3*BU3*IF(B3&gt;=in_marketplace_from,d_hz_loan_cd*G3,0)*in_loan_cd_ticket*in_loan_cd_comm</f>
        <v/>
      </c>
      <c r="BW3" s="40">
        <f>BW2*(1-IF(B2&gt;=in_marketplace_from,d_hz_loan_vehicle*G2,0))</f>
        <v/>
      </c>
      <c r="BX3" s="14">
        <f>F3*BW3*IF(B3&gt;=in_marketplace_from,d_hz_loan_vehicle*G3,0)*in_loan_vehicle_ticket*in_loan_vehicle_comm</f>
        <v/>
      </c>
      <c r="BY3" s="40">
        <f>BY2*(1-IF(B2&gt;=in_marketplace_from,d_hz_loan_home*G2,0)*BZ2)</f>
        <v/>
      </c>
      <c r="BZ3" s="11">
        <f>MIN(in_approval_cap,in_loan_home_approval*INDEX('Age profile'!$O$2:$O$61,B3)*(1+in_approval_growth)^(D3-1))</f>
        <v/>
      </c>
      <c r="CA3" s="14">
        <f>F3*BY3*IF(B3&gt;=in_marketplace_from,d_hz_loan_home*G3,0)*BZ3*in_loan_home_ticket*in_loan_home_comm</f>
        <v/>
      </c>
      <c r="CB3" s="40">
        <f>CB2*(1-IF(B2&gt;=in_marketplace_from,d_hz_loan_lap*G2,0)*CC2)</f>
        <v/>
      </c>
      <c r="CC3" s="11">
        <f>MIN(in_approval_cap,in_loan_lap_approval*INDEX('Age profile'!$O$2:$O$61,B3)*(1+in_approval_growth)^(D3-1))</f>
        <v/>
      </c>
      <c r="CD3" s="14">
        <f>F3*CB3*IF(B3&gt;=in_marketplace_from,d_hz_loan_lap*G3,0)*CC3*in_loan_lap_ticket*in_loan_lap_comm</f>
        <v/>
      </c>
      <c r="CE3" s="14">
        <f>AA3+AB3+AC3+AD3+AG3+AJ3+AM3+AP3+AS3+AU3+AX3+BB3+BE3+BG3+BJ3+BL3+BO3+BR3+BT3+BV3+BX3+CA3+CD3</f>
        <v/>
      </c>
    </row>
    <row r="4">
      <c r="A4" s="39" t="n">
        <v>1</v>
      </c>
      <c r="B4" s="39" t="n">
        <v>3</v>
      </c>
      <c r="C4" s="39">
        <f>A4+B4-1</f>
        <v/>
      </c>
      <c r="D4" s="39">
        <f>INT((C4-1)/12)+1</f>
        <v/>
      </c>
      <c r="E4" s="44">
        <f>INDEX(Monthly!$B$2:$B$61,A4)</f>
        <v/>
      </c>
      <c r="F4" s="44">
        <f>E4*INDEX('Age profile'!$B$2:$B$61,B4)</f>
        <v/>
      </c>
      <c r="G4" s="45">
        <f>MIN(in_takeup_cap,INDEX('Age profile'!$N$2:$N$61,B4)*(1+in_takeup_growth)^(D4-1))</f>
        <v/>
      </c>
      <c r="H4" s="11">
        <f>MIN(in_approval_cap,in_approved_first*INDEX('Age profile'!$O$2:$O$61,B4)*(1+in_approval_growth)^(D4-1))</f>
        <v/>
      </c>
      <c r="I4" s="45">
        <f>G4*MIN(in_takeup_cap,INDEX('Age profile'!$O$2:$O$61,B4)*(1+in_approval_growth)^(D4-1))</f>
        <v/>
      </c>
      <c r="J4" s="40">
        <f>(J3-L3)*F4/F3</f>
        <v/>
      </c>
      <c r="K4" s="40">
        <f>(K3-M3)*F4/F3+SUMIFS(O2:O3,B2:B3,B4-1-d_T)*F4</f>
        <v/>
      </c>
      <c r="L4" s="40">
        <f>IF(B4&gt;=in_marketplace_from,J4*d_hz*G4*in_eligible*H4,0)</f>
        <v/>
      </c>
      <c r="M4" s="40">
        <f>IF(B4&gt;=in_marketplace_from,K4*d_hz*G4*in_eligible*in_approved_repeat,0)</f>
        <v/>
      </c>
      <c r="N4" s="40">
        <f>L4+M4</f>
        <v/>
      </c>
      <c r="O4" s="46">
        <f>N4/F4</f>
        <v/>
      </c>
      <c r="P4" s="40">
        <f>F4-J4-K4</f>
        <v/>
      </c>
      <c r="Q4" s="40">
        <f>IF(B4&gt;=in_marketplace_from,(J4+K4)*d_hz*G4,0)</f>
        <v/>
      </c>
      <c r="R4" s="40">
        <f>SUMIFS(N2:N61,B2:B61,"&gt;="&amp;(B4-d_T),B2:B61,"&lt;="&amp;(B4-1))</f>
        <v/>
      </c>
      <c r="S4" s="46">
        <f>(1-d_u)*S3+IF(d_T&gt;in_topup_lag,SUMIFS(O2:O61,B2:B61,B4-in_topup_lag)-d_udrop*SUMIFS(O2:O61,B2:B61,B4-d_T),0)</f>
        <v/>
      </c>
      <c r="T4" s="40">
        <f>F4*d_u*S4</f>
        <v/>
      </c>
      <c r="U4" s="9">
        <f>L4*in_ticket+M4*d_rep_ticket</f>
        <v/>
      </c>
      <c r="V4" s="9">
        <f>U4+T4*d_topup_amt</f>
        <v/>
      </c>
      <c r="W4" s="40">
        <f>N4+T4*d_topup_ratio</f>
        <v/>
      </c>
      <c r="X4" s="40">
        <f>SUMIFS(W2:W61,B2:B61,B4-in_dpd_lag)*d_cured</f>
        <v/>
      </c>
      <c r="Y4" s="40">
        <f>SUMIFS(W2:W61,B2:B61,B4-in_rec_lag)*d_recd</f>
        <v/>
      </c>
      <c r="Z4" s="40">
        <f>IF(AND(B4&gt;=in_marketplace_from,B4&lt;in_marketplace_from+in_card_months),in_card_share/in_card_months*F4*I4,IF(AND(B4&gt;=in_marketplace_from+in_card_months,B4&lt;in_marketplace_from+2*in_card_months),in_card_share*d_card_rem/in_card_months*F4*MIN(in_takeup_cap,(1+in_takeup_growth)^(D4-1))*MIN(in_takeup_cap,(1+in_approval_growth)^(D4-1)),0))</f>
        <v/>
      </c>
      <c r="AA4" s="14">
        <f>V4*in_fee*(1-in_taken_back)</f>
        <v/>
      </c>
      <c r="AB4" s="14">
        <f>SUMIFS(W2:W61,B2:B61,B4-in_dpd_lag)*d_dpd</f>
        <v/>
      </c>
      <c r="AC4" s="14">
        <f>SUMIFS(W2:W61,B2:B61,B4-in_rec_lag)*d_rec</f>
        <v/>
      </c>
      <c r="AD4" s="14">
        <f>Z4*in_card_fee</f>
        <v/>
      </c>
      <c r="AE4" s="40">
        <f>AE3*(1-IF(B3&gt;=in_marketplace_from,d_hz_hlth_small*G3,0))</f>
        <v/>
      </c>
      <c r="AF4" s="46">
        <f>AE4*IF(B4&gt;=in_marketplace_from,d_hz_hlth_small*G4,0)</f>
        <v/>
      </c>
      <c r="AG4" s="14">
        <f>F4*AF4*in_hlth_small_ticket*in_hlth_small_comm*in_ins_partner_share+F4*in_hlth_small_ticket*in_hlth_small_renew_comm*in_ins_partner_share*(in_hlth_small_renew^1*SUMIFS(AF2:AF61,B2:B61,B4-12)+in_hlth_small_renew^2*SUMIFS(AF2:AF61,B2:B61,B4-24)+in_hlth_small_renew^3*SUMIFS(AF2:AF61,B2:B61,B4-36)+in_hlth_small_renew^4*SUMIFS(AF2:AF61,B2:B61,B4-48))</f>
        <v/>
      </c>
      <c r="AH4" s="40">
        <f>AH3*(1-IF(B3&gt;=in_marketplace_from,d_hz_hlth_family*G3,0))</f>
        <v/>
      </c>
      <c r="AI4" s="46">
        <f>AH4*IF(B4&gt;=in_marketplace_from,d_hz_hlth_family*G4,0)</f>
        <v/>
      </c>
      <c r="AJ4" s="14">
        <f>F4*AI4*in_hlth_family_ticket*in_hlth_family_comm*in_ins_partner_share+F4*in_hlth_family_ticket*in_hlth_family_renew_comm*in_ins_partner_share*(in_hlth_family_renew^1*SUMIFS(AI2:AI61,B2:B61,B4-12)+in_hlth_family_renew^2*SUMIFS(AI2:AI61,B2:B61,B4-24)+in_hlth_family_renew^3*SUMIFS(AI2:AI61,B2:B61,B4-36)+in_hlth_family_renew^4*SUMIFS(AI2:AI61,B2:B61,B4-48))</f>
        <v/>
      </c>
      <c r="AK4" s="40">
        <f>AK3*(1-IF(B3&gt;=in_marketplace_from,d_hz_life_term*G3,0))</f>
        <v/>
      </c>
      <c r="AL4" s="46">
        <f>AK4*IF(B4&gt;=in_marketplace_from,d_hz_life_term*G4,0)</f>
        <v/>
      </c>
      <c r="AM4" s="14">
        <f>F4*AL4*in_life_term_ticket*in_life_term_comm*in_ins_partner_share+F4*in_life_term_ticket*in_life_term_renew_comm*in_ins_partner_share*(in_life_term_renew^1*SUMIFS(AL2:AL61,B2:B61,B4-12)+in_life_term_renew^2*SUMIFS(AL2:AL61,B2:B61,B4-24)+in_life_term_renew^3*SUMIFS(AL2:AL61,B2:B61,B4-36)+in_life_term_renew^4*SUMIFS(AL2:AL61,B2:B61,B4-48))</f>
        <v/>
      </c>
      <c r="AN4" s="40">
        <f>AN3*(1-IF(B3&gt;=in_marketplace_from,d_hz_accident*G3,0))</f>
        <v/>
      </c>
      <c r="AO4" s="46">
        <f>AN4*IF(B4&gt;=in_marketplace_from,d_hz_accident*G4,0)</f>
        <v/>
      </c>
      <c r="AP4" s="14">
        <f>F4*AO4*in_accident_ticket*in_accident_comm*in_ins_partner_share+F4*in_accident_ticket*in_accident_renew_comm*in_ins_partner_share*(in_accident_renew^1*SUMIFS(AO2:AO61,B2:B61,B4-12)+in_accident_renew^2*SUMIFS(AO2:AO61,B2:B61,B4-24)+in_accident_renew^3*SUMIFS(AO2:AO61,B2:B61,B4-36)+in_accident_renew^4*SUMIFS(AO2:AO61,B2:B61,B4-48))</f>
        <v/>
      </c>
      <c r="AQ4" s="40">
        <f>AQ3*(1-IF(B3&gt;=in_marketplace_from,d_hz_two_wheeler*G3,0))</f>
        <v/>
      </c>
      <c r="AR4" s="46">
        <f>AQ4*IF(B4&gt;=in_marketplace_from,d_hz_two_wheeler*G4,0)</f>
        <v/>
      </c>
      <c r="AS4" s="14">
        <f>F4*AR4*in_two_wheeler_ticket*in_two_wheeler_comm*in_ins_partner_share+F4*in_two_wheeler_ticket*in_two_wheeler_comm*in_ins_partner_share*(in_two_wheeler_renew^1*SUMIFS(AR2:AR61,B2:B61,B4-12)+in_two_wheeler_renew^2*SUMIFS(AR2:AR61,B2:B61,B4-24)+in_two_wheeler_renew^3*SUMIFS(AR2:AR61,B2:B61,B4-36)+in_two_wheeler_renew^4*SUMIFS(AR2:AR61,B2:B61,B4-48))</f>
        <v/>
      </c>
      <c r="AT4" s="40">
        <f>AT3*(1-IF(B3&gt;=in_marketplace_from,d_hz_device*G3,0))</f>
        <v/>
      </c>
      <c r="AU4" s="14">
        <f>F4*AT4*IF(B4&gt;=in_marketplace_from,d_hz_device*G4,0)*in_device_ticket*in_device_comm*in_ins_partner_share</f>
        <v/>
      </c>
      <c r="AV4" s="40">
        <f>AV3*(1-IF(B3&gt;=in_marketplace_from,d_hz_shop*G3,0))</f>
        <v/>
      </c>
      <c r="AW4" s="46">
        <f>AV4*IF(B4&gt;=in_marketplace_from,d_hz_shop*G4,0)</f>
        <v/>
      </c>
      <c r="AX4" s="14">
        <f>F4*AW4*in_shop_ticket*in_shop_comm*in_ins_partner_share+F4*in_shop_ticket*in_shop_renew_comm*in_ins_partner_share*(in_shop_renew^1*SUMIFS(AW2:AW61,B2:B61,B4-12)+in_shop_renew^2*SUMIFS(AW2:AW61,B2:B61,B4-24)+in_shop_renew^3*SUMIFS(AW2:AW61,B2:B61,B4-36)+in_shop_renew^4*SUMIFS(AW2:AW61,B2:B61,B4-48))</f>
        <v/>
      </c>
      <c r="AY4" s="40">
        <f>AY3*(1-IF(B3&gt;=in_marketplace_from,d_hz_sip*G3,0))</f>
        <v/>
      </c>
      <c r="AZ4" s="40">
        <f>AZ3*d_rho_sip+AY4*IF(B4&gt;=in_marketplace_from,d_hz_sip*G4,0)</f>
        <v/>
      </c>
      <c r="BA4" s="40">
        <f>d_rho_sip*(BA3+AZ3)</f>
        <v/>
      </c>
      <c r="BB4" s="14">
        <f>F4*in_sip_ticket*(BA4+0.5*AZ4)*in_sip_comm/12</f>
        <v/>
      </c>
      <c r="BC4" s="40">
        <f>BC3*(1-IF(B3&gt;=in_marketplace_from,d_hz_choti*G3,0))</f>
        <v/>
      </c>
      <c r="BD4" s="46">
        <f>BC4*IF(B4&gt;=in_marketplace_from,d_hz_choti*G4,0)</f>
        <v/>
      </c>
      <c r="BE4" s="14">
        <f>F4*SUMIFS(BD2:BD61,B2:B61,B4-in_choti_months)*in_choti_renew*in_choti_ticket</f>
        <v/>
      </c>
      <c r="BF4" s="40">
        <f>BF3*(1-IF(B3&gt;=in_marketplace_from,d_hz_nps*G3,0))</f>
        <v/>
      </c>
      <c r="BG4" s="14">
        <f>F4*BF4*IF(B4&gt;=in_marketplace_from,d_hz_nps*G4,0)*in_nps_ticket*in_nps_comm</f>
        <v/>
      </c>
      <c r="BH4" s="40">
        <f>BH3*(1-IF(B3&gt;=in_marketplace_from,d_hz_gold*G3,0))</f>
        <v/>
      </c>
      <c r="BI4" s="40">
        <f>BI3*d_rho_gold+BH4*IF(B4&gt;=in_marketplace_from,d_hz_gold*G4,0)</f>
        <v/>
      </c>
      <c r="BJ4" s="14">
        <f>F4*BI4*in_gold_ticket*in_gold_comm</f>
        <v/>
      </c>
      <c r="BK4" s="40">
        <f>BK3*(1-IF(B3&gt;=in_marketplace_from,d_hz_fd*G3,0))</f>
        <v/>
      </c>
      <c r="BL4" s="14">
        <f>F4*BK4*IF(B4&gt;=in_marketplace_from,d_hz_fd*G4,0)*in_fd_ticket*in_fd_comm</f>
        <v/>
      </c>
      <c r="BM4" s="40">
        <f>BM3*(1-IF(B3&gt;=in_marketplace_from,d_hz_recharge*G3,0))</f>
        <v/>
      </c>
      <c r="BN4" s="40">
        <f>BN3*d_rho_recharge+BM4*IF(B4&gt;=in_marketplace_from,d_hz_recharge*G4,0)</f>
        <v/>
      </c>
      <c r="BO4" s="14">
        <f>F4*BN4*in_recharge_ticket*in_recharge_comm/12</f>
        <v/>
      </c>
      <c r="BP4" s="40">
        <f>BP3*(1-IF(B3&gt;=in_marketplace_from,d_hz_bills*G3,0))</f>
        <v/>
      </c>
      <c r="BQ4" s="40">
        <f>BQ3*d_rho_bills+BP4*IF(B4&gt;=in_marketplace_from,d_hz_bills*G4,0)</f>
        <v/>
      </c>
      <c r="BR4" s="14">
        <f>F4*BQ4*in_bills_ticket*in_bills_comm/12</f>
        <v/>
      </c>
      <c r="BS4" s="40">
        <f>BS3*(1-IF(B3&gt;=in_marketplace_from,d_hz_loan_gold*G3,0))</f>
        <v/>
      </c>
      <c r="BT4" s="14">
        <f>F4*BS4*IF(B4&gt;=in_marketplace_from,d_hz_loan_gold*G4,0)*in_loan_gold_ticket*in_loan_gold_comm</f>
        <v/>
      </c>
      <c r="BU4" s="40">
        <f>BU3*(1-IF(B3&gt;=in_marketplace_from,d_hz_loan_cd*G3,0))</f>
        <v/>
      </c>
      <c r="BV4" s="14">
        <f>F4*BU4*IF(B4&gt;=in_marketplace_from,d_hz_loan_cd*G4,0)*in_loan_cd_ticket*in_loan_cd_comm</f>
        <v/>
      </c>
      <c r="BW4" s="40">
        <f>BW3*(1-IF(B3&gt;=in_marketplace_from,d_hz_loan_vehicle*G3,0))</f>
        <v/>
      </c>
      <c r="BX4" s="14">
        <f>F4*BW4*IF(B4&gt;=in_marketplace_from,d_hz_loan_vehicle*G4,0)*in_loan_vehicle_ticket*in_loan_vehicle_comm</f>
        <v/>
      </c>
      <c r="BY4" s="40">
        <f>BY3*(1-IF(B3&gt;=in_marketplace_from,d_hz_loan_home*G3,0)*BZ3)</f>
        <v/>
      </c>
      <c r="BZ4" s="11">
        <f>MIN(in_approval_cap,in_loan_home_approval*INDEX('Age profile'!$O$2:$O$61,B4)*(1+in_approval_growth)^(D4-1))</f>
        <v/>
      </c>
      <c r="CA4" s="14">
        <f>F4*BY4*IF(B4&gt;=in_marketplace_from,d_hz_loan_home*G4,0)*BZ4*in_loan_home_ticket*in_loan_home_comm</f>
        <v/>
      </c>
      <c r="CB4" s="40">
        <f>CB3*(1-IF(B3&gt;=in_marketplace_from,d_hz_loan_lap*G3,0)*CC3)</f>
        <v/>
      </c>
      <c r="CC4" s="11">
        <f>MIN(in_approval_cap,in_loan_lap_approval*INDEX('Age profile'!$O$2:$O$61,B4)*(1+in_approval_growth)^(D4-1))</f>
        <v/>
      </c>
      <c r="CD4" s="14">
        <f>F4*CB4*IF(B4&gt;=in_marketplace_from,d_hz_loan_lap*G4,0)*CC4*in_loan_lap_ticket*in_loan_lap_comm</f>
        <v/>
      </c>
      <c r="CE4" s="14">
        <f>AA4+AB4+AC4+AD4+AG4+AJ4+AM4+AP4+AS4+AU4+AX4+BB4+BE4+BG4+BJ4+BL4+BO4+BR4+BT4+BV4+BX4+CA4+CD4</f>
        <v/>
      </c>
    </row>
    <row r="5">
      <c r="A5" s="39" t="n">
        <v>1</v>
      </c>
      <c r="B5" s="39" t="n">
        <v>4</v>
      </c>
      <c r="C5" s="39">
        <f>A5+B5-1</f>
        <v/>
      </c>
      <c r="D5" s="39">
        <f>INT((C5-1)/12)+1</f>
        <v/>
      </c>
      <c r="E5" s="44">
        <f>INDEX(Monthly!$B$2:$B$61,A5)</f>
        <v/>
      </c>
      <c r="F5" s="44">
        <f>E5*INDEX('Age profile'!$B$2:$B$61,B5)</f>
        <v/>
      </c>
      <c r="G5" s="45">
        <f>MIN(in_takeup_cap,INDEX('Age profile'!$N$2:$N$61,B5)*(1+in_takeup_growth)^(D5-1))</f>
        <v/>
      </c>
      <c r="H5" s="11">
        <f>MIN(in_approval_cap,in_approved_first*INDEX('Age profile'!$O$2:$O$61,B5)*(1+in_approval_growth)^(D5-1))</f>
        <v/>
      </c>
      <c r="I5" s="45">
        <f>G5*MIN(in_takeup_cap,INDEX('Age profile'!$O$2:$O$61,B5)*(1+in_approval_growth)^(D5-1))</f>
        <v/>
      </c>
      <c r="J5" s="40">
        <f>(J4-L4)*F5/F4</f>
        <v/>
      </c>
      <c r="K5" s="40">
        <f>(K4-M4)*F5/F4+SUMIFS(O2:O4,B2:B4,B5-1-d_T)*F5</f>
        <v/>
      </c>
      <c r="L5" s="40">
        <f>IF(B5&gt;=in_marketplace_from,J5*d_hz*G5*in_eligible*H5,0)</f>
        <v/>
      </c>
      <c r="M5" s="40">
        <f>IF(B5&gt;=in_marketplace_from,K5*d_hz*G5*in_eligible*in_approved_repeat,0)</f>
        <v/>
      </c>
      <c r="N5" s="40">
        <f>L5+M5</f>
        <v/>
      </c>
      <c r="O5" s="46">
        <f>N5/F5</f>
        <v/>
      </c>
      <c r="P5" s="40">
        <f>F5-J5-K5</f>
        <v/>
      </c>
      <c r="Q5" s="40">
        <f>IF(B5&gt;=in_marketplace_from,(J5+K5)*d_hz*G5,0)</f>
        <v/>
      </c>
      <c r="R5" s="40">
        <f>SUMIFS(N2:N61,B2:B61,"&gt;="&amp;(B5-d_T),B2:B61,"&lt;="&amp;(B5-1))</f>
        <v/>
      </c>
      <c r="S5" s="46">
        <f>(1-d_u)*S4+IF(d_T&gt;in_topup_lag,SUMIFS(O2:O61,B2:B61,B5-in_topup_lag)-d_udrop*SUMIFS(O2:O61,B2:B61,B5-d_T),0)</f>
        <v/>
      </c>
      <c r="T5" s="40">
        <f>F5*d_u*S5</f>
        <v/>
      </c>
      <c r="U5" s="9">
        <f>L5*in_ticket+M5*d_rep_ticket</f>
        <v/>
      </c>
      <c r="V5" s="9">
        <f>U5+T5*d_topup_amt</f>
        <v/>
      </c>
      <c r="W5" s="40">
        <f>N5+T5*d_topup_ratio</f>
        <v/>
      </c>
      <c r="X5" s="40">
        <f>SUMIFS(W2:W61,B2:B61,B5-in_dpd_lag)*d_cured</f>
        <v/>
      </c>
      <c r="Y5" s="40">
        <f>SUMIFS(W2:W61,B2:B61,B5-in_rec_lag)*d_recd</f>
        <v/>
      </c>
      <c r="Z5" s="40">
        <f>IF(AND(B5&gt;=in_marketplace_from,B5&lt;in_marketplace_from+in_card_months),in_card_share/in_card_months*F5*I5,IF(AND(B5&gt;=in_marketplace_from+in_card_months,B5&lt;in_marketplace_from+2*in_card_months),in_card_share*d_card_rem/in_card_months*F5*MIN(in_takeup_cap,(1+in_takeup_growth)^(D5-1))*MIN(in_takeup_cap,(1+in_approval_growth)^(D5-1)),0))</f>
        <v/>
      </c>
      <c r="AA5" s="14">
        <f>V5*in_fee*(1-in_taken_back)</f>
        <v/>
      </c>
      <c r="AB5" s="14">
        <f>SUMIFS(W2:W61,B2:B61,B5-in_dpd_lag)*d_dpd</f>
        <v/>
      </c>
      <c r="AC5" s="14">
        <f>SUMIFS(W2:W61,B2:B61,B5-in_rec_lag)*d_rec</f>
        <v/>
      </c>
      <c r="AD5" s="14">
        <f>Z5*in_card_fee</f>
        <v/>
      </c>
      <c r="AE5" s="40">
        <f>AE4*(1-IF(B4&gt;=in_marketplace_from,d_hz_hlth_small*G4,0))</f>
        <v/>
      </c>
      <c r="AF5" s="46">
        <f>AE5*IF(B5&gt;=in_marketplace_from,d_hz_hlth_small*G5,0)</f>
        <v/>
      </c>
      <c r="AG5" s="14">
        <f>F5*AF5*in_hlth_small_ticket*in_hlth_small_comm*in_ins_partner_share+F5*in_hlth_small_ticket*in_hlth_small_renew_comm*in_ins_partner_share*(in_hlth_small_renew^1*SUMIFS(AF2:AF61,B2:B61,B5-12)+in_hlth_small_renew^2*SUMIFS(AF2:AF61,B2:B61,B5-24)+in_hlth_small_renew^3*SUMIFS(AF2:AF61,B2:B61,B5-36)+in_hlth_small_renew^4*SUMIFS(AF2:AF61,B2:B61,B5-48))</f>
        <v/>
      </c>
      <c r="AH5" s="40">
        <f>AH4*(1-IF(B4&gt;=in_marketplace_from,d_hz_hlth_family*G4,0))</f>
        <v/>
      </c>
      <c r="AI5" s="46">
        <f>AH5*IF(B5&gt;=in_marketplace_from,d_hz_hlth_family*G5,0)</f>
        <v/>
      </c>
      <c r="AJ5" s="14">
        <f>F5*AI5*in_hlth_family_ticket*in_hlth_family_comm*in_ins_partner_share+F5*in_hlth_family_ticket*in_hlth_family_renew_comm*in_ins_partner_share*(in_hlth_family_renew^1*SUMIFS(AI2:AI61,B2:B61,B5-12)+in_hlth_family_renew^2*SUMIFS(AI2:AI61,B2:B61,B5-24)+in_hlth_family_renew^3*SUMIFS(AI2:AI61,B2:B61,B5-36)+in_hlth_family_renew^4*SUMIFS(AI2:AI61,B2:B61,B5-48))</f>
        <v/>
      </c>
      <c r="AK5" s="40">
        <f>AK4*(1-IF(B4&gt;=in_marketplace_from,d_hz_life_term*G4,0))</f>
        <v/>
      </c>
      <c r="AL5" s="46">
        <f>AK5*IF(B5&gt;=in_marketplace_from,d_hz_life_term*G5,0)</f>
        <v/>
      </c>
      <c r="AM5" s="14">
        <f>F5*AL5*in_life_term_ticket*in_life_term_comm*in_ins_partner_share+F5*in_life_term_ticket*in_life_term_renew_comm*in_ins_partner_share*(in_life_term_renew^1*SUMIFS(AL2:AL61,B2:B61,B5-12)+in_life_term_renew^2*SUMIFS(AL2:AL61,B2:B61,B5-24)+in_life_term_renew^3*SUMIFS(AL2:AL61,B2:B61,B5-36)+in_life_term_renew^4*SUMIFS(AL2:AL61,B2:B61,B5-48))</f>
        <v/>
      </c>
      <c r="AN5" s="40">
        <f>AN4*(1-IF(B4&gt;=in_marketplace_from,d_hz_accident*G4,0))</f>
        <v/>
      </c>
      <c r="AO5" s="46">
        <f>AN5*IF(B5&gt;=in_marketplace_from,d_hz_accident*G5,0)</f>
        <v/>
      </c>
      <c r="AP5" s="14">
        <f>F5*AO5*in_accident_ticket*in_accident_comm*in_ins_partner_share+F5*in_accident_ticket*in_accident_renew_comm*in_ins_partner_share*(in_accident_renew^1*SUMIFS(AO2:AO61,B2:B61,B5-12)+in_accident_renew^2*SUMIFS(AO2:AO61,B2:B61,B5-24)+in_accident_renew^3*SUMIFS(AO2:AO61,B2:B61,B5-36)+in_accident_renew^4*SUMIFS(AO2:AO61,B2:B61,B5-48))</f>
        <v/>
      </c>
      <c r="AQ5" s="40">
        <f>AQ4*(1-IF(B4&gt;=in_marketplace_from,d_hz_two_wheeler*G4,0))</f>
        <v/>
      </c>
      <c r="AR5" s="46">
        <f>AQ5*IF(B5&gt;=in_marketplace_from,d_hz_two_wheeler*G5,0)</f>
        <v/>
      </c>
      <c r="AS5" s="14">
        <f>F5*AR5*in_two_wheeler_ticket*in_two_wheeler_comm*in_ins_partner_share+F5*in_two_wheeler_ticket*in_two_wheeler_comm*in_ins_partner_share*(in_two_wheeler_renew^1*SUMIFS(AR2:AR61,B2:B61,B5-12)+in_two_wheeler_renew^2*SUMIFS(AR2:AR61,B2:B61,B5-24)+in_two_wheeler_renew^3*SUMIFS(AR2:AR61,B2:B61,B5-36)+in_two_wheeler_renew^4*SUMIFS(AR2:AR61,B2:B61,B5-48))</f>
        <v/>
      </c>
      <c r="AT5" s="40">
        <f>AT4*(1-IF(B4&gt;=in_marketplace_from,d_hz_device*G4,0))</f>
        <v/>
      </c>
      <c r="AU5" s="14">
        <f>F5*AT5*IF(B5&gt;=in_marketplace_from,d_hz_device*G5,0)*in_device_ticket*in_device_comm*in_ins_partner_share</f>
        <v/>
      </c>
      <c r="AV5" s="40">
        <f>AV4*(1-IF(B4&gt;=in_marketplace_from,d_hz_shop*G4,0))</f>
        <v/>
      </c>
      <c r="AW5" s="46">
        <f>AV5*IF(B5&gt;=in_marketplace_from,d_hz_shop*G5,0)</f>
        <v/>
      </c>
      <c r="AX5" s="14">
        <f>F5*AW5*in_shop_ticket*in_shop_comm*in_ins_partner_share+F5*in_shop_ticket*in_shop_renew_comm*in_ins_partner_share*(in_shop_renew^1*SUMIFS(AW2:AW61,B2:B61,B5-12)+in_shop_renew^2*SUMIFS(AW2:AW61,B2:B61,B5-24)+in_shop_renew^3*SUMIFS(AW2:AW61,B2:B61,B5-36)+in_shop_renew^4*SUMIFS(AW2:AW61,B2:B61,B5-48))</f>
        <v/>
      </c>
      <c r="AY5" s="40">
        <f>AY4*(1-IF(B4&gt;=in_marketplace_from,d_hz_sip*G4,0))</f>
        <v/>
      </c>
      <c r="AZ5" s="40">
        <f>AZ4*d_rho_sip+AY5*IF(B5&gt;=in_marketplace_from,d_hz_sip*G5,0)</f>
        <v/>
      </c>
      <c r="BA5" s="40">
        <f>d_rho_sip*(BA4+AZ4)</f>
        <v/>
      </c>
      <c r="BB5" s="14">
        <f>F5*in_sip_ticket*(BA5+0.5*AZ5)*in_sip_comm/12</f>
        <v/>
      </c>
      <c r="BC5" s="40">
        <f>BC4*(1-IF(B4&gt;=in_marketplace_from,d_hz_choti*G4,0))</f>
        <v/>
      </c>
      <c r="BD5" s="46">
        <f>BC5*IF(B5&gt;=in_marketplace_from,d_hz_choti*G5,0)</f>
        <v/>
      </c>
      <c r="BE5" s="14">
        <f>F5*SUMIFS(BD2:BD61,B2:B61,B5-in_choti_months)*in_choti_renew*in_choti_ticket</f>
        <v/>
      </c>
      <c r="BF5" s="40">
        <f>BF4*(1-IF(B4&gt;=in_marketplace_from,d_hz_nps*G4,0))</f>
        <v/>
      </c>
      <c r="BG5" s="14">
        <f>F5*BF5*IF(B5&gt;=in_marketplace_from,d_hz_nps*G5,0)*in_nps_ticket*in_nps_comm</f>
        <v/>
      </c>
      <c r="BH5" s="40">
        <f>BH4*(1-IF(B4&gt;=in_marketplace_from,d_hz_gold*G4,0))</f>
        <v/>
      </c>
      <c r="BI5" s="40">
        <f>BI4*d_rho_gold+BH5*IF(B5&gt;=in_marketplace_from,d_hz_gold*G5,0)</f>
        <v/>
      </c>
      <c r="BJ5" s="14">
        <f>F5*BI5*in_gold_ticket*in_gold_comm</f>
        <v/>
      </c>
      <c r="BK5" s="40">
        <f>BK4*(1-IF(B4&gt;=in_marketplace_from,d_hz_fd*G4,0))</f>
        <v/>
      </c>
      <c r="BL5" s="14">
        <f>F5*BK5*IF(B5&gt;=in_marketplace_from,d_hz_fd*G5,0)*in_fd_ticket*in_fd_comm</f>
        <v/>
      </c>
      <c r="BM5" s="40">
        <f>BM4*(1-IF(B4&gt;=in_marketplace_from,d_hz_recharge*G4,0))</f>
        <v/>
      </c>
      <c r="BN5" s="40">
        <f>BN4*d_rho_recharge+BM5*IF(B5&gt;=in_marketplace_from,d_hz_recharge*G5,0)</f>
        <v/>
      </c>
      <c r="BO5" s="14">
        <f>F5*BN5*in_recharge_ticket*in_recharge_comm/12</f>
        <v/>
      </c>
      <c r="BP5" s="40">
        <f>BP4*(1-IF(B4&gt;=in_marketplace_from,d_hz_bills*G4,0))</f>
        <v/>
      </c>
      <c r="BQ5" s="40">
        <f>BQ4*d_rho_bills+BP5*IF(B5&gt;=in_marketplace_from,d_hz_bills*G5,0)</f>
        <v/>
      </c>
      <c r="BR5" s="14">
        <f>F5*BQ5*in_bills_ticket*in_bills_comm/12</f>
        <v/>
      </c>
      <c r="BS5" s="40">
        <f>BS4*(1-IF(B4&gt;=in_marketplace_from,d_hz_loan_gold*G4,0))</f>
        <v/>
      </c>
      <c r="BT5" s="14">
        <f>F5*BS5*IF(B5&gt;=in_marketplace_from,d_hz_loan_gold*G5,0)*in_loan_gold_ticket*in_loan_gold_comm</f>
        <v/>
      </c>
      <c r="BU5" s="40">
        <f>BU4*(1-IF(B4&gt;=in_marketplace_from,d_hz_loan_cd*G4,0))</f>
        <v/>
      </c>
      <c r="BV5" s="14">
        <f>F5*BU5*IF(B5&gt;=in_marketplace_from,d_hz_loan_cd*G5,0)*in_loan_cd_ticket*in_loan_cd_comm</f>
        <v/>
      </c>
      <c r="BW5" s="40">
        <f>BW4*(1-IF(B4&gt;=in_marketplace_from,d_hz_loan_vehicle*G4,0))</f>
        <v/>
      </c>
      <c r="BX5" s="14">
        <f>F5*BW5*IF(B5&gt;=in_marketplace_from,d_hz_loan_vehicle*G5,0)*in_loan_vehicle_ticket*in_loan_vehicle_comm</f>
        <v/>
      </c>
      <c r="BY5" s="40">
        <f>BY4*(1-IF(B4&gt;=in_marketplace_from,d_hz_loan_home*G4,0)*BZ4)</f>
        <v/>
      </c>
      <c r="BZ5" s="11">
        <f>MIN(in_approval_cap,in_loan_home_approval*INDEX('Age profile'!$O$2:$O$61,B5)*(1+in_approval_growth)^(D5-1))</f>
        <v/>
      </c>
      <c r="CA5" s="14">
        <f>F5*BY5*IF(B5&gt;=in_marketplace_from,d_hz_loan_home*G5,0)*BZ5*in_loan_home_ticket*in_loan_home_comm</f>
        <v/>
      </c>
      <c r="CB5" s="40">
        <f>CB4*(1-IF(B4&gt;=in_marketplace_from,d_hz_loan_lap*G4,0)*CC4)</f>
        <v/>
      </c>
      <c r="CC5" s="11">
        <f>MIN(in_approval_cap,in_loan_lap_approval*INDEX('Age profile'!$O$2:$O$61,B5)*(1+in_approval_growth)^(D5-1))</f>
        <v/>
      </c>
      <c r="CD5" s="14">
        <f>F5*CB5*IF(B5&gt;=in_marketplace_from,d_hz_loan_lap*G5,0)*CC5*in_loan_lap_ticket*in_loan_lap_comm</f>
        <v/>
      </c>
      <c r="CE5" s="14">
        <f>AA5+AB5+AC5+AD5+AG5+AJ5+AM5+AP5+AS5+AU5+AX5+BB5+BE5+BG5+BJ5+BL5+BO5+BR5+BT5+BV5+BX5+CA5+CD5</f>
        <v/>
      </c>
    </row>
    <row r="6">
      <c r="A6" s="39" t="n">
        <v>1</v>
      </c>
      <c r="B6" s="39" t="n">
        <v>5</v>
      </c>
      <c r="C6" s="39">
        <f>A6+B6-1</f>
        <v/>
      </c>
      <c r="D6" s="39">
        <f>INT((C6-1)/12)+1</f>
        <v/>
      </c>
      <c r="E6" s="44">
        <f>INDEX(Monthly!$B$2:$B$61,A6)</f>
        <v/>
      </c>
      <c r="F6" s="44">
        <f>E6*INDEX('Age profile'!$B$2:$B$61,B6)</f>
        <v/>
      </c>
      <c r="G6" s="45">
        <f>MIN(in_takeup_cap,INDEX('Age profile'!$N$2:$N$61,B6)*(1+in_takeup_growth)^(D6-1))</f>
        <v/>
      </c>
      <c r="H6" s="11">
        <f>MIN(in_approval_cap,in_approved_first*INDEX('Age profile'!$O$2:$O$61,B6)*(1+in_approval_growth)^(D6-1))</f>
        <v/>
      </c>
      <c r="I6" s="45">
        <f>G6*MIN(in_takeup_cap,INDEX('Age profile'!$O$2:$O$61,B6)*(1+in_approval_growth)^(D6-1))</f>
        <v/>
      </c>
      <c r="J6" s="40">
        <f>(J5-L5)*F6/F5</f>
        <v/>
      </c>
      <c r="K6" s="40">
        <f>(K5-M5)*F6/F5+SUMIFS(O2:O5,B2:B5,B6-1-d_T)*F6</f>
        <v/>
      </c>
      <c r="L6" s="40">
        <f>IF(B6&gt;=in_marketplace_from,J6*d_hz*G6*in_eligible*H6,0)</f>
        <v/>
      </c>
      <c r="M6" s="40">
        <f>IF(B6&gt;=in_marketplace_from,K6*d_hz*G6*in_eligible*in_approved_repeat,0)</f>
        <v/>
      </c>
      <c r="N6" s="40">
        <f>L6+M6</f>
        <v/>
      </c>
      <c r="O6" s="46">
        <f>N6/F6</f>
        <v/>
      </c>
      <c r="P6" s="40">
        <f>F6-J6-K6</f>
        <v/>
      </c>
      <c r="Q6" s="40">
        <f>IF(B6&gt;=in_marketplace_from,(J6+K6)*d_hz*G6,0)</f>
        <v/>
      </c>
      <c r="R6" s="40">
        <f>SUMIFS(N2:N61,B2:B61,"&gt;="&amp;(B6-d_T),B2:B61,"&lt;="&amp;(B6-1))</f>
        <v/>
      </c>
      <c r="S6" s="46">
        <f>(1-d_u)*S5+IF(d_T&gt;in_topup_lag,SUMIFS(O2:O61,B2:B61,B6-in_topup_lag)-d_udrop*SUMIFS(O2:O61,B2:B61,B6-d_T),0)</f>
        <v/>
      </c>
      <c r="T6" s="40">
        <f>F6*d_u*S6</f>
        <v/>
      </c>
      <c r="U6" s="9">
        <f>L6*in_ticket+M6*d_rep_ticket</f>
        <v/>
      </c>
      <c r="V6" s="9">
        <f>U6+T6*d_topup_amt</f>
        <v/>
      </c>
      <c r="W6" s="40">
        <f>N6+T6*d_topup_ratio</f>
        <v/>
      </c>
      <c r="X6" s="40">
        <f>SUMIFS(W2:W61,B2:B61,B6-in_dpd_lag)*d_cured</f>
        <v/>
      </c>
      <c r="Y6" s="40">
        <f>SUMIFS(W2:W61,B2:B61,B6-in_rec_lag)*d_recd</f>
        <v/>
      </c>
      <c r="Z6" s="40">
        <f>IF(AND(B6&gt;=in_marketplace_from,B6&lt;in_marketplace_from+in_card_months),in_card_share/in_card_months*F6*I6,IF(AND(B6&gt;=in_marketplace_from+in_card_months,B6&lt;in_marketplace_from+2*in_card_months),in_card_share*d_card_rem/in_card_months*F6*MIN(in_takeup_cap,(1+in_takeup_growth)^(D6-1))*MIN(in_takeup_cap,(1+in_approval_growth)^(D6-1)),0))</f>
        <v/>
      </c>
      <c r="AA6" s="14">
        <f>V6*in_fee*(1-in_taken_back)</f>
        <v/>
      </c>
      <c r="AB6" s="14">
        <f>SUMIFS(W2:W61,B2:B61,B6-in_dpd_lag)*d_dpd</f>
        <v/>
      </c>
      <c r="AC6" s="14">
        <f>SUMIFS(W2:W61,B2:B61,B6-in_rec_lag)*d_rec</f>
        <v/>
      </c>
      <c r="AD6" s="14">
        <f>Z6*in_card_fee</f>
        <v/>
      </c>
      <c r="AE6" s="40">
        <f>AE5*(1-IF(B5&gt;=in_marketplace_from,d_hz_hlth_small*G5,0))</f>
        <v/>
      </c>
      <c r="AF6" s="46">
        <f>AE6*IF(B6&gt;=in_marketplace_from,d_hz_hlth_small*G6,0)</f>
        <v/>
      </c>
      <c r="AG6" s="14">
        <f>F6*AF6*in_hlth_small_ticket*in_hlth_small_comm*in_ins_partner_share+F6*in_hlth_small_ticket*in_hlth_small_renew_comm*in_ins_partner_share*(in_hlth_small_renew^1*SUMIFS(AF2:AF61,B2:B61,B6-12)+in_hlth_small_renew^2*SUMIFS(AF2:AF61,B2:B61,B6-24)+in_hlth_small_renew^3*SUMIFS(AF2:AF61,B2:B61,B6-36)+in_hlth_small_renew^4*SUMIFS(AF2:AF61,B2:B61,B6-48))</f>
        <v/>
      </c>
      <c r="AH6" s="40">
        <f>AH5*(1-IF(B5&gt;=in_marketplace_from,d_hz_hlth_family*G5,0))</f>
        <v/>
      </c>
      <c r="AI6" s="46">
        <f>AH6*IF(B6&gt;=in_marketplace_from,d_hz_hlth_family*G6,0)</f>
        <v/>
      </c>
      <c r="AJ6" s="14">
        <f>F6*AI6*in_hlth_family_ticket*in_hlth_family_comm*in_ins_partner_share+F6*in_hlth_family_ticket*in_hlth_family_renew_comm*in_ins_partner_share*(in_hlth_family_renew^1*SUMIFS(AI2:AI61,B2:B61,B6-12)+in_hlth_family_renew^2*SUMIFS(AI2:AI61,B2:B61,B6-24)+in_hlth_family_renew^3*SUMIFS(AI2:AI61,B2:B61,B6-36)+in_hlth_family_renew^4*SUMIFS(AI2:AI61,B2:B61,B6-48))</f>
        <v/>
      </c>
      <c r="AK6" s="40">
        <f>AK5*(1-IF(B5&gt;=in_marketplace_from,d_hz_life_term*G5,0))</f>
        <v/>
      </c>
      <c r="AL6" s="46">
        <f>AK6*IF(B6&gt;=in_marketplace_from,d_hz_life_term*G6,0)</f>
        <v/>
      </c>
      <c r="AM6" s="14">
        <f>F6*AL6*in_life_term_ticket*in_life_term_comm*in_ins_partner_share+F6*in_life_term_ticket*in_life_term_renew_comm*in_ins_partner_share*(in_life_term_renew^1*SUMIFS(AL2:AL61,B2:B61,B6-12)+in_life_term_renew^2*SUMIFS(AL2:AL61,B2:B61,B6-24)+in_life_term_renew^3*SUMIFS(AL2:AL61,B2:B61,B6-36)+in_life_term_renew^4*SUMIFS(AL2:AL61,B2:B61,B6-48))</f>
        <v/>
      </c>
      <c r="AN6" s="40">
        <f>AN5*(1-IF(B5&gt;=in_marketplace_from,d_hz_accident*G5,0))</f>
        <v/>
      </c>
      <c r="AO6" s="46">
        <f>AN6*IF(B6&gt;=in_marketplace_from,d_hz_accident*G6,0)</f>
        <v/>
      </c>
      <c r="AP6" s="14">
        <f>F6*AO6*in_accident_ticket*in_accident_comm*in_ins_partner_share+F6*in_accident_ticket*in_accident_renew_comm*in_ins_partner_share*(in_accident_renew^1*SUMIFS(AO2:AO61,B2:B61,B6-12)+in_accident_renew^2*SUMIFS(AO2:AO61,B2:B61,B6-24)+in_accident_renew^3*SUMIFS(AO2:AO61,B2:B61,B6-36)+in_accident_renew^4*SUMIFS(AO2:AO61,B2:B61,B6-48))</f>
        <v/>
      </c>
      <c r="AQ6" s="40">
        <f>AQ5*(1-IF(B5&gt;=in_marketplace_from,d_hz_two_wheeler*G5,0))</f>
        <v/>
      </c>
      <c r="AR6" s="46">
        <f>AQ6*IF(B6&gt;=in_marketplace_from,d_hz_two_wheeler*G6,0)</f>
        <v/>
      </c>
      <c r="AS6" s="14">
        <f>F6*AR6*in_two_wheeler_ticket*in_two_wheeler_comm*in_ins_partner_share+F6*in_two_wheeler_ticket*in_two_wheeler_comm*in_ins_partner_share*(in_two_wheeler_renew^1*SUMIFS(AR2:AR61,B2:B61,B6-12)+in_two_wheeler_renew^2*SUMIFS(AR2:AR61,B2:B61,B6-24)+in_two_wheeler_renew^3*SUMIFS(AR2:AR61,B2:B61,B6-36)+in_two_wheeler_renew^4*SUMIFS(AR2:AR61,B2:B61,B6-48))</f>
        <v/>
      </c>
      <c r="AT6" s="40">
        <f>AT5*(1-IF(B5&gt;=in_marketplace_from,d_hz_device*G5,0))</f>
        <v/>
      </c>
      <c r="AU6" s="14">
        <f>F6*AT6*IF(B6&gt;=in_marketplace_from,d_hz_device*G6,0)*in_device_ticket*in_device_comm*in_ins_partner_share</f>
        <v/>
      </c>
      <c r="AV6" s="40">
        <f>AV5*(1-IF(B5&gt;=in_marketplace_from,d_hz_shop*G5,0))</f>
        <v/>
      </c>
      <c r="AW6" s="46">
        <f>AV6*IF(B6&gt;=in_marketplace_from,d_hz_shop*G6,0)</f>
        <v/>
      </c>
      <c r="AX6" s="14">
        <f>F6*AW6*in_shop_ticket*in_shop_comm*in_ins_partner_share+F6*in_shop_ticket*in_shop_renew_comm*in_ins_partner_share*(in_shop_renew^1*SUMIFS(AW2:AW61,B2:B61,B6-12)+in_shop_renew^2*SUMIFS(AW2:AW61,B2:B61,B6-24)+in_shop_renew^3*SUMIFS(AW2:AW61,B2:B61,B6-36)+in_shop_renew^4*SUMIFS(AW2:AW61,B2:B61,B6-48))</f>
        <v/>
      </c>
      <c r="AY6" s="40">
        <f>AY5*(1-IF(B5&gt;=in_marketplace_from,d_hz_sip*G5,0))</f>
        <v/>
      </c>
      <c r="AZ6" s="40">
        <f>AZ5*d_rho_sip+AY6*IF(B6&gt;=in_marketplace_from,d_hz_sip*G6,0)</f>
        <v/>
      </c>
      <c r="BA6" s="40">
        <f>d_rho_sip*(BA5+AZ5)</f>
        <v/>
      </c>
      <c r="BB6" s="14">
        <f>F6*in_sip_ticket*(BA6+0.5*AZ6)*in_sip_comm/12</f>
        <v/>
      </c>
      <c r="BC6" s="40">
        <f>BC5*(1-IF(B5&gt;=in_marketplace_from,d_hz_choti*G5,0))</f>
        <v/>
      </c>
      <c r="BD6" s="46">
        <f>BC6*IF(B6&gt;=in_marketplace_from,d_hz_choti*G6,0)</f>
        <v/>
      </c>
      <c r="BE6" s="14">
        <f>F6*SUMIFS(BD2:BD61,B2:B61,B6-in_choti_months)*in_choti_renew*in_choti_ticket</f>
        <v/>
      </c>
      <c r="BF6" s="40">
        <f>BF5*(1-IF(B5&gt;=in_marketplace_from,d_hz_nps*G5,0))</f>
        <v/>
      </c>
      <c r="BG6" s="14">
        <f>F6*BF6*IF(B6&gt;=in_marketplace_from,d_hz_nps*G6,0)*in_nps_ticket*in_nps_comm</f>
        <v/>
      </c>
      <c r="BH6" s="40">
        <f>BH5*(1-IF(B5&gt;=in_marketplace_from,d_hz_gold*G5,0))</f>
        <v/>
      </c>
      <c r="BI6" s="40">
        <f>BI5*d_rho_gold+BH6*IF(B6&gt;=in_marketplace_from,d_hz_gold*G6,0)</f>
        <v/>
      </c>
      <c r="BJ6" s="14">
        <f>F6*BI6*in_gold_ticket*in_gold_comm</f>
        <v/>
      </c>
      <c r="BK6" s="40">
        <f>BK5*(1-IF(B5&gt;=in_marketplace_from,d_hz_fd*G5,0))</f>
        <v/>
      </c>
      <c r="BL6" s="14">
        <f>F6*BK6*IF(B6&gt;=in_marketplace_from,d_hz_fd*G6,0)*in_fd_ticket*in_fd_comm</f>
        <v/>
      </c>
      <c r="BM6" s="40">
        <f>BM5*(1-IF(B5&gt;=in_marketplace_from,d_hz_recharge*G5,0))</f>
        <v/>
      </c>
      <c r="BN6" s="40">
        <f>BN5*d_rho_recharge+BM6*IF(B6&gt;=in_marketplace_from,d_hz_recharge*G6,0)</f>
        <v/>
      </c>
      <c r="BO6" s="14">
        <f>F6*BN6*in_recharge_ticket*in_recharge_comm/12</f>
        <v/>
      </c>
      <c r="BP6" s="40">
        <f>BP5*(1-IF(B5&gt;=in_marketplace_from,d_hz_bills*G5,0))</f>
        <v/>
      </c>
      <c r="BQ6" s="40">
        <f>BQ5*d_rho_bills+BP6*IF(B6&gt;=in_marketplace_from,d_hz_bills*G6,0)</f>
        <v/>
      </c>
      <c r="BR6" s="14">
        <f>F6*BQ6*in_bills_ticket*in_bills_comm/12</f>
        <v/>
      </c>
      <c r="BS6" s="40">
        <f>BS5*(1-IF(B5&gt;=in_marketplace_from,d_hz_loan_gold*G5,0))</f>
        <v/>
      </c>
      <c r="BT6" s="14">
        <f>F6*BS6*IF(B6&gt;=in_marketplace_from,d_hz_loan_gold*G6,0)*in_loan_gold_ticket*in_loan_gold_comm</f>
        <v/>
      </c>
      <c r="BU6" s="40">
        <f>BU5*(1-IF(B5&gt;=in_marketplace_from,d_hz_loan_cd*G5,0))</f>
        <v/>
      </c>
      <c r="BV6" s="14">
        <f>F6*BU6*IF(B6&gt;=in_marketplace_from,d_hz_loan_cd*G6,0)*in_loan_cd_ticket*in_loan_cd_comm</f>
        <v/>
      </c>
      <c r="BW6" s="40">
        <f>BW5*(1-IF(B5&gt;=in_marketplace_from,d_hz_loan_vehicle*G5,0))</f>
        <v/>
      </c>
      <c r="BX6" s="14">
        <f>F6*BW6*IF(B6&gt;=in_marketplace_from,d_hz_loan_vehicle*G6,0)*in_loan_vehicle_ticket*in_loan_vehicle_comm</f>
        <v/>
      </c>
      <c r="BY6" s="40">
        <f>BY5*(1-IF(B5&gt;=in_marketplace_from,d_hz_loan_home*G5,0)*BZ5)</f>
        <v/>
      </c>
      <c r="BZ6" s="11">
        <f>MIN(in_approval_cap,in_loan_home_approval*INDEX('Age profile'!$O$2:$O$61,B6)*(1+in_approval_growth)^(D6-1))</f>
        <v/>
      </c>
      <c r="CA6" s="14">
        <f>F6*BY6*IF(B6&gt;=in_marketplace_from,d_hz_loan_home*G6,0)*BZ6*in_loan_home_ticket*in_loan_home_comm</f>
        <v/>
      </c>
      <c r="CB6" s="40">
        <f>CB5*(1-IF(B5&gt;=in_marketplace_from,d_hz_loan_lap*G5,0)*CC5)</f>
        <v/>
      </c>
      <c r="CC6" s="11">
        <f>MIN(in_approval_cap,in_loan_lap_approval*INDEX('Age profile'!$O$2:$O$61,B6)*(1+in_approval_growth)^(D6-1))</f>
        <v/>
      </c>
      <c r="CD6" s="14">
        <f>F6*CB6*IF(B6&gt;=in_marketplace_from,d_hz_loan_lap*G6,0)*CC6*in_loan_lap_ticket*in_loan_lap_comm</f>
        <v/>
      </c>
      <c r="CE6" s="14">
        <f>AA6+AB6+AC6+AD6+AG6+AJ6+AM6+AP6+AS6+AU6+AX6+BB6+BE6+BG6+BJ6+BL6+BO6+BR6+BT6+BV6+BX6+CA6+CD6</f>
        <v/>
      </c>
    </row>
    <row r="7">
      <c r="A7" s="39" t="n">
        <v>1</v>
      </c>
      <c r="B7" s="39" t="n">
        <v>6</v>
      </c>
      <c r="C7" s="39">
        <f>A7+B7-1</f>
        <v/>
      </c>
      <c r="D7" s="39">
        <f>INT((C7-1)/12)+1</f>
        <v/>
      </c>
      <c r="E7" s="44">
        <f>INDEX(Monthly!$B$2:$B$61,A7)</f>
        <v/>
      </c>
      <c r="F7" s="44">
        <f>E7*INDEX('Age profile'!$B$2:$B$61,B7)</f>
        <v/>
      </c>
      <c r="G7" s="45">
        <f>MIN(in_takeup_cap,INDEX('Age profile'!$N$2:$N$61,B7)*(1+in_takeup_growth)^(D7-1))</f>
        <v/>
      </c>
      <c r="H7" s="11">
        <f>MIN(in_approval_cap,in_approved_first*INDEX('Age profile'!$O$2:$O$61,B7)*(1+in_approval_growth)^(D7-1))</f>
        <v/>
      </c>
      <c r="I7" s="45">
        <f>G7*MIN(in_takeup_cap,INDEX('Age profile'!$O$2:$O$61,B7)*(1+in_approval_growth)^(D7-1))</f>
        <v/>
      </c>
      <c r="J7" s="40">
        <f>(J6-L6)*F7/F6</f>
        <v/>
      </c>
      <c r="K7" s="40">
        <f>(K6-M6)*F7/F6+SUMIFS(O2:O6,B2:B6,B7-1-d_T)*F7</f>
        <v/>
      </c>
      <c r="L7" s="40">
        <f>IF(B7&gt;=in_marketplace_from,J7*d_hz*G7*in_eligible*H7,0)</f>
        <v/>
      </c>
      <c r="M7" s="40">
        <f>IF(B7&gt;=in_marketplace_from,K7*d_hz*G7*in_eligible*in_approved_repeat,0)</f>
        <v/>
      </c>
      <c r="N7" s="40">
        <f>L7+M7</f>
        <v/>
      </c>
      <c r="O7" s="46">
        <f>N7/F7</f>
        <v/>
      </c>
      <c r="P7" s="40">
        <f>F7-J7-K7</f>
        <v/>
      </c>
      <c r="Q7" s="40">
        <f>IF(B7&gt;=in_marketplace_from,(J7+K7)*d_hz*G7,0)</f>
        <v/>
      </c>
      <c r="R7" s="40">
        <f>SUMIFS(N2:N61,B2:B61,"&gt;="&amp;(B7-d_T),B2:B61,"&lt;="&amp;(B7-1))</f>
        <v/>
      </c>
      <c r="S7" s="46">
        <f>(1-d_u)*S6+IF(d_T&gt;in_topup_lag,SUMIFS(O2:O61,B2:B61,B7-in_topup_lag)-d_udrop*SUMIFS(O2:O61,B2:B61,B7-d_T),0)</f>
        <v/>
      </c>
      <c r="T7" s="40">
        <f>F7*d_u*S7</f>
        <v/>
      </c>
      <c r="U7" s="9">
        <f>L7*in_ticket+M7*d_rep_ticket</f>
        <v/>
      </c>
      <c r="V7" s="9">
        <f>U7+T7*d_topup_amt</f>
        <v/>
      </c>
      <c r="W7" s="40">
        <f>N7+T7*d_topup_ratio</f>
        <v/>
      </c>
      <c r="X7" s="40">
        <f>SUMIFS(W2:W61,B2:B61,B7-in_dpd_lag)*d_cured</f>
        <v/>
      </c>
      <c r="Y7" s="40">
        <f>SUMIFS(W2:W61,B2:B61,B7-in_rec_lag)*d_recd</f>
        <v/>
      </c>
      <c r="Z7" s="40">
        <f>IF(AND(B7&gt;=in_marketplace_from,B7&lt;in_marketplace_from+in_card_months),in_card_share/in_card_months*F7*I7,IF(AND(B7&gt;=in_marketplace_from+in_card_months,B7&lt;in_marketplace_from+2*in_card_months),in_card_share*d_card_rem/in_card_months*F7*MIN(in_takeup_cap,(1+in_takeup_growth)^(D7-1))*MIN(in_takeup_cap,(1+in_approval_growth)^(D7-1)),0))</f>
        <v/>
      </c>
      <c r="AA7" s="14">
        <f>V7*in_fee*(1-in_taken_back)</f>
        <v/>
      </c>
      <c r="AB7" s="14">
        <f>SUMIFS(W2:W61,B2:B61,B7-in_dpd_lag)*d_dpd</f>
        <v/>
      </c>
      <c r="AC7" s="14">
        <f>SUMIFS(W2:W61,B2:B61,B7-in_rec_lag)*d_rec</f>
        <v/>
      </c>
      <c r="AD7" s="14">
        <f>Z7*in_card_fee</f>
        <v/>
      </c>
      <c r="AE7" s="40">
        <f>AE6*(1-IF(B6&gt;=in_marketplace_from,d_hz_hlth_small*G6,0))</f>
        <v/>
      </c>
      <c r="AF7" s="46">
        <f>AE7*IF(B7&gt;=in_marketplace_from,d_hz_hlth_small*G7,0)</f>
        <v/>
      </c>
      <c r="AG7" s="14">
        <f>F7*AF7*in_hlth_small_ticket*in_hlth_small_comm*in_ins_partner_share+F7*in_hlth_small_ticket*in_hlth_small_renew_comm*in_ins_partner_share*(in_hlth_small_renew^1*SUMIFS(AF2:AF61,B2:B61,B7-12)+in_hlth_small_renew^2*SUMIFS(AF2:AF61,B2:B61,B7-24)+in_hlth_small_renew^3*SUMIFS(AF2:AF61,B2:B61,B7-36)+in_hlth_small_renew^4*SUMIFS(AF2:AF61,B2:B61,B7-48))</f>
        <v/>
      </c>
      <c r="AH7" s="40">
        <f>AH6*(1-IF(B6&gt;=in_marketplace_from,d_hz_hlth_family*G6,0))</f>
        <v/>
      </c>
      <c r="AI7" s="46">
        <f>AH7*IF(B7&gt;=in_marketplace_from,d_hz_hlth_family*G7,0)</f>
        <v/>
      </c>
      <c r="AJ7" s="14">
        <f>F7*AI7*in_hlth_family_ticket*in_hlth_family_comm*in_ins_partner_share+F7*in_hlth_family_ticket*in_hlth_family_renew_comm*in_ins_partner_share*(in_hlth_family_renew^1*SUMIFS(AI2:AI61,B2:B61,B7-12)+in_hlth_family_renew^2*SUMIFS(AI2:AI61,B2:B61,B7-24)+in_hlth_family_renew^3*SUMIFS(AI2:AI61,B2:B61,B7-36)+in_hlth_family_renew^4*SUMIFS(AI2:AI61,B2:B61,B7-48))</f>
        <v/>
      </c>
      <c r="AK7" s="40">
        <f>AK6*(1-IF(B6&gt;=in_marketplace_from,d_hz_life_term*G6,0))</f>
        <v/>
      </c>
      <c r="AL7" s="46">
        <f>AK7*IF(B7&gt;=in_marketplace_from,d_hz_life_term*G7,0)</f>
        <v/>
      </c>
      <c r="AM7" s="14">
        <f>F7*AL7*in_life_term_ticket*in_life_term_comm*in_ins_partner_share+F7*in_life_term_ticket*in_life_term_renew_comm*in_ins_partner_share*(in_life_term_renew^1*SUMIFS(AL2:AL61,B2:B61,B7-12)+in_life_term_renew^2*SUMIFS(AL2:AL61,B2:B61,B7-24)+in_life_term_renew^3*SUMIFS(AL2:AL61,B2:B61,B7-36)+in_life_term_renew^4*SUMIFS(AL2:AL61,B2:B61,B7-48))</f>
        <v/>
      </c>
      <c r="AN7" s="40">
        <f>AN6*(1-IF(B6&gt;=in_marketplace_from,d_hz_accident*G6,0))</f>
        <v/>
      </c>
      <c r="AO7" s="46">
        <f>AN7*IF(B7&gt;=in_marketplace_from,d_hz_accident*G7,0)</f>
        <v/>
      </c>
      <c r="AP7" s="14">
        <f>F7*AO7*in_accident_ticket*in_accident_comm*in_ins_partner_share+F7*in_accident_ticket*in_accident_renew_comm*in_ins_partner_share*(in_accident_renew^1*SUMIFS(AO2:AO61,B2:B61,B7-12)+in_accident_renew^2*SUMIFS(AO2:AO61,B2:B61,B7-24)+in_accident_renew^3*SUMIFS(AO2:AO61,B2:B61,B7-36)+in_accident_renew^4*SUMIFS(AO2:AO61,B2:B61,B7-48))</f>
        <v/>
      </c>
      <c r="AQ7" s="40">
        <f>AQ6*(1-IF(B6&gt;=in_marketplace_from,d_hz_two_wheeler*G6,0))</f>
        <v/>
      </c>
      <c r="AR7" s="46">
        <f>AQ7*IF(B7&gt;=in_marketplace_from,d_hz_two_wheeler*G7,0)</f>
        <v/>
      </c>
      <c r="AS7" s="14">
        <f>F7*AR7*in_two_wheeler_ticket*in_two_wheeler_comm*in_ins_partner_share+F7*in_two_wheeler_ticket*in_two_wheeler_comm*in_ins_partner_share*(in_two_wheeler_renew^1*SUMIFS(AR2:AR61,B2:B61,B7-12)+in_two_wheeler_renew^2*SUMIFS(AR2:AR61,B2:B61,B7-24)+in_two_wheeler_renew^3*SUMIFS(AR2:AR61,B2:B61,B7-36)+in_two_wheeler_renew^4*SUMIFS(AR2:AR61,B2:B61,B7-48))</f>
        <v/>
      </c>
      <c r="AT7" s="40">
        <f>AT6*(1-IF(B6&gt;=in_marketplace_from,d_hz_device*G6,0))</f>
        <v/>
      </c>
      <c r="AU7" s="14">
        <f>F7*AT7*IF(B7&gt;=in_marketplace_from,d_hz_device*G7,0)*in_device_ticket*in_device_comm*in_ins_partner_share</f>
        <v/>
      </c>
      <c r="AV7" s="40">
        <f>AV6*(1-IF(B6&gt;=in_marketplace_from,d_hz_shop*G6,0))</f>
        <v/>
      </c>
      <c r="AW7" s="46">
        <f>AV7*IF(B7&gt;=in_marketplace_from,d_hz_shop*G7,0)</f>
        <v/>
      </c>
      <c r="AX7" s="14">
        <f>F7*AW7*in_shop_ticket*in_shop_comm*in_ins_partner_share+F7*in_shop_ticket*in_shop_renew_comm*in_ins_partner_share*(in_shop_renew^1*SUMIFS(AW2:AW61,B2:B61,B7-12)+in_shop_renew^2*SUMIFS(AW2:AW61,B2:B61,B7-24)+in_shop_renew^3*SUMIFS(AW2:AW61,B2:B61,B7-36)+in_shop_renew^4*SUMIFS(AW2:AW61,B2:B61,B7-48))</f>
        <v/>
      </c>
      <c r="AY7" s="40">
        <f>AY6*(1-IF(B6&gt;=in_marketplace_from,d_hz_sip*G6,0))</f>
        <v/>
      </c>
      <c r="AZ7" s="40">
        <f>AZ6*d_rho_sip+AY7*IF(B7&gt;=in_marketplace_from,d_hz_sip*G7,0)</f>
        <v/>
      </c>
      <c r="BA7" s="40">
        <f>d_rho_sip*(BA6+AZ6)</f>
        <v/>
      </c>
      <c r="BB7" s="14">
        <f>F7*in_sip_ticket*(BA7+0.5*AZ7)*in_sip_comm/12</f>
        <v/>
      </c>
      <c r="BC7" s="40">
        <f>BC6*(1-IF(B6&gt;=in_marketplace_from,d_hz_choti*G6,0))</f>
        <v/>
      </c>
      <c r="BD7" s="46">
        <f>BC7*IF(B7&gt;=in_marketplace_from,d_hz_choti*G7,0)</f>
        <v/>
      </c>
      <c r="BE7" s="14">
        <f>F7*SUMIFS(BD2:BD61,B2:B61,B7-in_choti_months)*in_choti_renew*in_choti_ticket</f>
        <v/>
      </c>
      <c r="BF7" s="40">
        <f>BF6*(1-IF(B6&gt;=in_marketplace_from,d_hz_nps*G6,0))</f>
        <v/>
      </c>
      <c r="BG7" s="14">
        <f>F7*BF7*IF(B7&gt;=in_marketplace_from,d_hz_nps*G7,0)*in_nps_ticket*in_nps_comm</f>
        <v/>
      </c>
      <c r="BH7" s="40">
        <f>BH6*(1-IF(B6&gt;=in_marketplace_from,d_hz_gold*G6,0))</f>
        <v/>
      </c>
      <c r="BI7" s="40">
        <f>BI6*d_rho_gold+BH7*IF(B7&gt;=in_marketplace_from,d_hz_gold*G7,0)</f>
        <v/>
      </c>
      <c r="BJ7" s="14">
        <f>F7*BI7*in_gold_ticket*in_gold_comm</f>
        <v/>
      </c>
      <c r="BK7" s="40">
        <f>BK6*(1-IF(B6&gt;=in_marketplace_from,d_hz_fd*G6,0))</f>
        <v/>
      </c>
      <c r="BL7" s="14">
        <f>F7*BK7*IF(B7&gt;=in_marketplace_from,d_hz_fd*G7,0)*in_fd_ticket*in_fd_comm</f>
        <v/>
      </c>
      <c r="BM7" s="40">
        <f>BM6*(1-IF(B6&gt;=in_marketplace_from,d_hz_recharge*G6,0))</f>
        <v/>
      </c>
      <c r="BN7" s="40">
        <f>BN6*d_rho_recharge+BM7*IF(B7&gt;=in_marketplace_from,d_hz_recharge*G7,0)</f>
        <v/>
      </c>
      <c r="BO7" s="14">
        <f>F7*BN7*in_recharge_ticket*in_recharge_comm/12</f>
        <v/>
      </c>
      <c r="BP7" s="40">
        <f>BP6*(1-IF(B6&gt;=in_marketplace_from,d_hz_bills*G6,0))</f>
        <v/>
      </c>
      <c r="BQ7" s="40">
        <f>BQ6*d_rho_bills+BP7*IF(B7&gt;=in_marketplace_from,d_hz_bills*G7,0)</f>
        <v/>
      </c>
      <c r="BR7" s="14">
        <f>F7*BQ7*in_bills_ticket*in_bills_comm/12</f>
        <v/>
      </c>
      <c r="BS7" s="40">
        <f>BS6*(1-IF(B6&gt;=in_marketplace_from,d_hz_loan_gold*G6,0))</f>
        <v/>
      </c>
      <c r="BT7" s="14">
        <f>F7*BS7*IF(B7&gt;=in_marketplace_from,d_hz_loan_gold*G7,0)*in_loan_gold_ticket*in_loan_gold_comm</f>
        <v/>
      </c>
      <c r="BU7" s="40">
        <f>BU6*(1-IF(B6&gt;=in_marketplace_from,d_hz_loan_cd*G6,0))</f>
        <v/>
      </c>
      <c r="BV7" s="14">
        <f>F7*BU7*IF(B7&gt;=in_marketplace_from,d_hz_loan_cd*G7,0)*in_loan_cd_ticket*in_loan_cd_comm</f>
        <v/>
      </c>
      <c r="BW7" s="40">
        <f>BW6*(1-IF(B6&gt;=in_marketplace_from,d_hz_loan_vehicle*G6,0))</f>
        <v/>
      </c>
      <c r="BX7" s="14">
        <f>F7*BW7*IF(B7&gt;=in_marketplace_from,d_hz_loan_vehicle*G7,0)*in_loan_vehicle_ticket*in_loan_vehicle_comm</f>
        <v/>
      </c>
      <c r="BY7" s="40">
        <f>BY6*(1-IF(B6&gt;=in_marketplace_from,d_hz_loan_home*G6,0)*BZ6)</f>
        <v/>
      </c>
      <c r="BZ7" s="11">
        <f>MIN(in_approval_cap,in_loan_home_approval*INDEX('Age profile'!$O$2:$O$61,B7)*(1+in_approval_growth)^(D7-1))</f>
        <v/>
      </c>
      <c r="CA7" s="14">
        <f>F7*BY7*IF(B7&gt;=in_marketplace_from,d_hz_loan_home*G7,0)*BZ7*in_loan_home_ticket*in_loan_home_comm</f>
        <v/>
      </c>
      <c r="CB7" s="40">
        <f>CB6*(1-IF(B6&gt;=in_marketplace_from,d_hz_loan_lap*G6,0)*CC6)</f>
        <v/>
      </c>
      <c r="CC7" s="11">
        <f>MIN(in_approval_cap,in_loan_lap_approval*INDEX('Age profile'!$O$2:$O$61,B7)*(1+in_approval_growth)^(D7-1))</f>
        <v/>
      </c>
      <c r="CD7" s="14">
        <f>F7*CB7*IF(B7&gt;=in_marketplace_from,d_hz_loan_lap*G7,0)*CC7*in_loan_lap_ticket*in_loan_lap_comm</f>
        <v/>
      </c>
      <c r="CE7" s="14">
        <f>AA7+AB7+AC7+AD7+AG7+AJ7+AM7+AP7+AS7+AU7+AX7+BB7+BE7+BG7+BJ7+BL7+BO7+BR7+BT7+BV7+BX7+CA7+CD7</f>
        <v/>
      </c>
    </row>
    <row r="8">
      <c r="A8" s="39" t="n">
        <v>1</v>
      </c>
      <c r="B8" s="39" t="n">
        <v>7</v>
      </c>
      <c r="C8" s="39">
        <f>A8+B8-1</f>
        <v/>
      </c>
      <c r="D8" s="39">
        <f>INT((C8-1)/12)+1</f>
        <v/>
      </c>
      <c r="E8" s="44">
        <f>INDEX(Monthly!$B$2:$B$61,A8)</f>
        <v/>
      </c>
      <c r="F8" s="44">
        <f>E8*INDEX('Age profile'!$B$2:$B$61,B8)</f>
        <v/>
      </c>
      <c r="G8" s="45">
        <f>MIN(in_takeup_cap,INDEX('Age profile'!$N$2:$N$61,B8)*(1+in_takeup_growth)^(D8-1))</f>
        <v/>
      </c>
      <c r="H8" s="11">
        <f>MIN(in_approval_cap,in_approved_first*INDEX('Age profile'!$O$2:$O$61,B8)*(1+in_approval_growth)^(D8-1))</f>
        <v/>
      </c>
      <c r="I8" s="45">
        <f>G8*MIN(in_takeup_cap,INDEX('Age profile'!$O$2:$O$61,B8)*(1+in_approval_growth)^(D8-1))</f>
        <v/>
      </c>
      <c r="J8" s="40">
        <f>(J7-L7)*F8/F7</f>
        <v/>
      </c>
      <c r="K8" s="40">
        <f>(K7-M7)*F8/F7+SUMIFS(O2:O7,B2:B7,B8-1-d_T)*F8</f>
        <v/>
      </c>
      <c r="L8" s="40">
        <f>IF(B8&gt;=in_marketplace_from,J8*d_hz*G8*in_eligible*H8,0)</f>
        <v/>
      </c>
      <c r="M8" s="40">
        <f>IF(B8&gt;=in_marketplace_from,K8*d_hz*G8*in_eligible*in_approved_repeat,0)</f>
        <v/>
      </c>
      <c r="N8" s="40">
        <f>L8+M8</f>
        <v/>
      </c>
      <c r="O8" s="46">
        <f>N8/F8</f>
        <v/>
      </c>
      <c r="P8" s="40">
        <f>F8-J8-K8</f>
        <v/>
      </c>
      <c r="Q8" s="40">
        <f>IF(B8&gt;=in_marketplace_from,(J8+K8)*d_hz*G8,0)</f>
        <v/>
      </c>
      <c r="R8" s="40">
        <f>SUMIFS(N2:N61,B2:B61,"&gt;="&amp;(B8-d_T),B2:B61,"&lt;="&amp;(B8-1))</f>
        <v/>
      </c>
      <c r="S8" s="46">
        <f>(1-d_u)*S7+IF(d_T&gt;in_topup_lag,SUMIFS(O2:O61,B2:B61,B8-in_topup_lag)-d_udrop*SUMIFS(O2:O61,B2:B61,B8-d_T),0)</f>
        <v/>
      </c>
      <c r="T8" s="40">
        <f>F8*d_u*S8</f>
        <v/>
      </c>
      <c r="U8" s="9">
        <f>L8*in_ticket+M8*d_rep_ticket</f>
        <v/>
      </c>
      <c r="V8" s="9">
        <f>U8+T8*d_topup_amt</f>
        <v/>
      </c>
      <c r="W8" s="40">
        <f>N8+T8*d_topup_ratio</f>
        <v/>
      </c>
      <c r="X8" s="40">
        <f>SUMIFS(W2:W61,B2:B61,B8-in_dpd_lag)*d_cured</f>
        <v/>
      </c>
      <c r="Y8" s="40">
        <f>SUMIFS(W2:W61,B2:B61,B8-in_rec_lag)*d_recd</f>
        <v/>
      </c>
      <c r="Z8" s="40">
        <f>IF(AND(B8&gt;=in_marketplace_from,B8&lt;in_marketplace_from+in_card_months),in_card_share/in_card_months*F8*I8,IF(AND(B8&gt;=in_marketplace_from+in_card_months,B8&lt;in_marketplace_from+2*in_card_months),in_card_share*d_card_rem/in_card_months*F8*MIN(in_takeup_cap,(1+in_takeup_growth)^(D8-1))*MIN(in_takeup_cap,(1+in_approval_growth)^(D8-1)),0))</f>
        <v/>
      </c>
      <c r="AA8" s="14">
        <f>V8*in_fee*(1-in_taken_back)</f>
        <v/>
      </c>
      <c r="AB8" s="14">
        <f>SUMIFS(W2:W61,B2:B61,B8-in_dpd_lag)*d_dpd</f>
        <v/>
      </c>
      <c r="AC8" s="14">
        <f>SUMIFS(W2:W61,B2:B61,B8-in_rec_lag)*d_rec</f>
        <v/>
      </c>
      <c r="AD8" s="14">
        <f>Z8*in_card_fee</f>
        <v/>
      </c>
      <c r="AE8" s="40">
        <f>AE7*(1-IF(B7&gt;=in_marketplace_from,d_hz_hlth_small*G7,0))</f>
        <v/>
      </c>
      <c r="AF8" s="46">
        <f>AE8*IF(B8&gt;=in_marketplace_from,d_hz_hlth_small*G8,0)</f>
        <v/>
      </c>
      <c r="AG8" s="14">
        <f>F8*AF8*in_hlth_small_ticket*in_hlth_small_comm*in_ins_partner_share+F8*in_hlth_small_ticket*in_hlth_small_renew_comm*in_ins_partner_share*(in_hlth_small_renew^1*SUMIFS(AF2:AF61,B2:B61,B8-12)+in_hlth_small_renew^2*SUMIFS(AF2:AF61,B2:B61,B8-24)+in_hlth_small_renew^3*SUMIFS(AF2:AF61,B2:B61,B8-36)+in_hlth_small_renew^4*SUMIFS(AF2:AF61,B2:B61,B8-48))</f>
        <v/>
      </c>
      <c r="AH8" s="40">
        <f>AH7*(1-IF(B7&gt;=in_marketplace_from,d_hz_hlth_family*G7,0))</f>
        <v/>
      </c>
      <c r="AI8" s="46">
        <f>AH8*IF(B8&gt;=in_marketplace_from,d_hz_hlth_family*G8,0)</f>
        <v/>
      </c>
      <c r="AJ8" s="14">
        <f>F8*AI8*in_hlth_family_ticket*in_hlth_family_comm*in_ins_partner_share+F8*in_hlth_family_ticket*in_hlth_family_renew_comm*in_ins_partner_share*(in_hlth_family_renew^1*SUMIFS(AI2:AI61,B2:B61,B8-12)+in_hlth_family_renew^2*SUMIFS(AI2:AI61,B2:B61,B8-24)+in_hlth_family_renew^3*SUMIFS(AI2:AI61,B2:B61,B8-36)+in_hlth_family_renew^4*SUMIFS(AI2:AI61,B2:B61,B8-48))</f>
        <v/>
      </c>
      <c r="AK8" s="40">
        <f>AK7*(1-IF(B7&gt;=in_marketplace_from,d_hz_life_term*G7,0))</f>
        <v/>
      </c>
      <c r="AL8" s="46">
        <f>AK8*IF(B8&gt;=in_marketplace_from,d_hz_life_term*G8,0)</f>
        <v/>
      </c>
      <c r="AM8" s="14">
        <f>F8*AL8*in_life_term_ticket*in_life_term_comm*in_ins_partner_share+F8*in_life_term_ticket*in_life_term_renew_comm*in_ins_partner_share*(in_life_term_renew^1*SUMIFS(AL2:AL61,B2:B61,B8-12)+in_life_term_renew^2*SUMIFS(AL2:AL61,B2:B61,B8-24)+in_life_term_renew^3*SUMIFS(AL2:AL61,B2:B61,B8-36)+in_life_term_renew^4*SUMIFS(AL2:AL61,B2:B61,B8-48))</f>
        <v/>
      </c>
      <c r="AN8" s="40">
        <f>AN7*(1-IF(B7&gt;=in_marketplace_from,d_hz_accident*G7,0))</f>
        <v/>
      </c>
      <c r="AO8" s="46">
        <f>AN8*IF(B8&gt;=in_marketplace_from,d_hz_accident*G8,0)</f>
        <v/>
      </c>
      <c r="AP8" s="14">
        <f>F8*AO8*in_accident_ticket*in_accident_comm*in_ins_partner_share+F8*in_accident_ticket*in_accident_renew_comm*in_ins_partner_share*(in_accident_renew^1*SUMIFS(AO2:AO61,B2:B61,B8-12)+in_accident_renew^2*SUMIFS(AO2:AO61,B2:B61,B8-24)+in_accident_renew^3*SUMIFS(AO2:AO61,B2:B61,B8-36)+in_accident_renew^4*SUMIFS(AO2:AO61,B2:B61,B8-48))</f>
        <v/>
      </c>
      <c r="AQ8" s="40">
        <f>AQ7*(1-IF(B7&gt;=in_marketplace_from,d_hz_two_wheeler*G7,0))</f>
        <v/>
      </c>
      <c r="AR8" s="46">
        <f>AQ8*IF(B8&gt;=in_marketplace_from,d_hz_two_wheeler*G8,0)</f>
        <v/>
      </c>
      <c r="AS8" s="14">
        <f>F8*AR8*in_two_wheeler_ticket*in_two_wheeler_comm*in_ins_partner_share+F8*in_two_wheeler_ticket*in_two_wheeler_comm*in_ins_partner_share*(in_two_wheeler_renew^1*SUMIFS(AR2:AR61,B2:B61,B8-12)+in_two_wheeler_renew^2*SUMIFS(AR2:AR61,B2:B61,B8-24)+in_two_wheeler_renew^3*SUMIFS(AR2:AR61,B2:B61,B8-36)+in_two_wheeler_renew^4*SUMIFS(AR2:AR61,B2:B61,B8-48))</f>
        <v/>
      </c>
      <c r="AT8" s="40">
        <f>AT7*(1-IF(B7&gt;=in_marketplace_from,d_hz_device*G7,0))</f>
        <v/>
      </c>
      <c r="AU8" s="14">
        <f>F8*AT8*IF(B8&gt;=in_marketplace_from,d_hz_device*G8,0)*in_device_ticket*in_device_comm*in_ins_partner_share</f>
        <v/>
      </c>
      <c r="AV8" s="40">
        <f>AV7*(1-IF(B7&gt;=in_marketplace_from,d_hz_shop*G7,0))</f>
        <v/>
      </c>
      <c r="AW8" s="46">
        <f>AV8*IF(B8&gt;=in_marketplace_from,d_hz_shop*G8,0)</f>
        <v/>
      </c>
      <c r="AX8" s="14">
        <f>F8*AW8*in_shop_ticket*in_shop_comm*in_ins_partner_share+F8*in_shop_ticket*in_shop_renew_comm*in_ins_partner_share*(in_shop_renew^1*SUMIFS(AW2:AW61,B2:B61,B8-12)+in_shop_renew^2*SUMIFS(AW2:AW61,B2:B61,B8-24)+in_shop_renew^3*SUMIFS(AW2:AW61,B2:B61,B8-36)+in_shop_renew^4*SUMIFS(AW2:AW61,B2:B61,B8-48))</f>
        <v/>
      </c>
      <c r="AY8" s="40">
        <f>AY7*(1-IF(B7&gt;=in_marketplace_from,d_hz_sip*G7,0))</f>
        <v/>
      </c>
      <c r="AZ8" s="40">
        <f>AZ7*d_rho_sip+AY8*IF(B8&gt;=in_marketplace_from,d_hz_sip*G8,0)</f>
        <v/>
      </c>
      <c r="BA8" s="40">
        <f>d_rho_sip*(BA7+AZ7)</f>
        <v/>
      </c>
      <c r="BB8" s="14">
        <f>F8*in_sip_ticket*(BA8+0.5*AZ8)*in_sip_comm/12</f>
        <v/>
      </c>
      <c r="BC8" s="40">
        <f>BC7*(1-IF(B7&gt;=in_marketplace_from,d_hz_choti*G7,0))</f>
        <v/>
      </c>
      <c r="BD8" s="46">
        <f>BC8*IF(B8&gt;=in_marketplace_from,d_hz_choti*G8,0)</f>
        <v/>
      </c>
      <c r="BE8" s="14">
        <f>F8*SUMIFS(BD2:BD61,B2:B61,B8-in_choti_months)*in_choti_renew*in_choti_ticket</f>
        <v/>
      </c>
      <c r="BF8" s="40">
        <f>BF7*(1-IF(B7&gt;=in_marketplace_from,d_hz_nps*G7,0))</f>
        <v/>
      </c>
      <c r="BG8" s="14">
        <f>F8*BF8*IF(B8&gt;=in_marketplace_from,d_hz_nps*G8,0)*in_nps_ticket*in_nps_comm</f>
        <v/>
      </c>
      <c r="BH8" s="40">
        <f>BH7*(1-IF(B7&gt;=in_marketplace_from,d_hz_gold*G7,0))</f>
        <v/>
      </c>
      <c r="BI8" s="40">
        <f>BI7*d_rho_gold+BH8*IF(B8&gt;=in_marketplace_from,d_hz_gold*G8,0)</f>
        <v/>
      </c>
      <c r="BJ8" s="14">
        <f>F8*BI8*in_gold_ticket*in_gold_comm</f>
        <v/>
      </c>
      <c r="BK8" s="40">
        <f>BK7*(1-IF(B7&gt;=in_marketplace_from,d_hz_fd*G7,0))</f>
        <v/>
      </c>
      <c r="BL8" s="14">
        <f>F8*BK8*IF(B8&gt;=in_marketplace_from,d_hz_fd*G8,0)*in_fd_ticket*in_fd_comm</f>
        <v/>
      </c>
      <c r="BM8" s="40">
        <f>BM7*(1-IF(B7&gt;=in_marketplace_from,d_hz_recharge*G7,0))</f>
        <v/>
      </c>
      <c r="BN8" s="40">
        <f>BN7*d_rho_recharge+BM8*IF(B8&gt;=in_marketplace_from,d_hz_recharge*G8,0)</f>
        <v/>
      </c>
      <c r="BO8" s="14">
        <f>F8*BN8*in_recharge_ticket*in_recharge_comm/12</f>
        <v/>
      </c>
      <c r="BP8" s="40">
        <f>BP7*(1-IF(B7&gt;=in_marketplace_from,d_hz_bills*G7,0))</f>
        <v/>
      </c>
      <c r="BQ8" s="40">
        <f>BQ7*d_rho_bills+BP8*IF(B8&gt;=in_marketplace_from,d_hz_bills*G8,0)</f>
        <v/>
      </c>
      <c r="BR8" s="14">
        <f>F8*BQ8*in_bills_ticket*in_bills_comm/12</f>
        <v/>
      </c>
      <c r="BS8" s="40">
        <f>BS7*(1-IF(B7&gt;=in_marketplace_from,d_hz_loan_gold*G7,0))</f>
        <v/>
      </c>
      <c r="BT8" s="14">
        <f>F8*BS8*IF(B8&gt;=in_marketplace_from,d_hz_loan_gold*G8,0)*in_loan_gold_ticket*in_loan_gold_comm</f>
        <v/>
      </c>
      <c r="BU8" s="40">
        <f>BU7*(1-IF(B7&gt;=in_marketplace_from,d_hz_loan_cd*G7,0))</f>
        <v/>
      </c>
      <c r="BV8" s="14">
        <f>F8*BU8*IF(B8&gt;=in_marketplace_from,d_hz_loan_cd*G8,0)*in_loan_cd_ticket*in_loan_cd_comm</f>
        <v/>
      </c>
      <c r="BW8" s="40">
        <f>BW7*(1-IF(B7&gt;=in_marketplace_from,d_hz_loan_vehicle*G7,0))</f>
        <v/>
      </c>
      <c r="BX8" s="14">
        <f>F8*BW8*IF(B8&gt;=in_marketplace_from,d_hz_loan_vehicle*G8,0)*in_loan_vehicle_ticket*in_loan_vehicle_comm</f>
        <v/>
      </c>
      <c r="BY8" s="40">
        <f>BY7*(1-IF(B7&gt;=in_marketplace_from,d_hz_loan_home*G7,0)*BZ7)</f>
        <v/>
      </c>
      <c r="BZ8" s="11">
        <f>MIN(in_approval_cap,in_loan_home_approval*INDEX('Age profile'!$O$2:$O$61,B8)*(1+in_approval_growth)^(D8-1))</f>
        <v/>
      </c>
      <c r="CA8" s="14">
        <f>F8*BY8*IF(B8&gt;=in_marketplace_from,d_hz_loan_home*G8,0)*BZ8*in_loan_home_ticket*in_loan_home_comm</f>
        <v/>
      </c>
      <c r="CB8" s="40">
        <f>CB7*(1-IF(B7&gt;=in_marketplace_from,d_hz_loan_lap*G7,0)*CC7)</f>
        <v/>
      </c>
      <c r="CC8" s="11">
        <f>MIN(in_approval_cap,in_loan_lap_approval*INDEX('Age profile'!$O$2:$O$61,B8)*(1+in_approval_growth)^(D8-1))</f>
        <v/>
      </c>
      <c r="CD8" s="14">
        <f>F8*CB8*IF(B8&gt;=in_marketplace_from,d_hz_loan_lap*G8,0)*CC8*in_loan_lap_ticket*in_loan_lap_comm</f>
        <v/>
      </c>
      <c r="CE8" s="14">
        <f>AA8+AB8+AC8+AD8+AG8+AJ8+AM8+AP8+AS8+AU8+AX8+BB8+BE8+BG8+BJ8+BL8+BO8+BR8+BT8+BV8+BX8+CA8+CD8</f>
        <v/>
      </c>
    </row>
    <row r="9">
      <c r="A9" s="39" t="n">
        <v>1</v>
      </c>
      <c r="B9" s="39" t="n">
        <v>8</v>
      </c>
      <c r="C9" s="39">
        <f>A9+B9-1</f>
        <v/>
      </c>
      <c r="D9" s="39">
        <f>INT((C9-1)/12)+1</f>
        <v/>
      </c>
      <c r="E9" s="44">
        <f>INDEX(Monthly!$B$2:$B$61,A9)</f>
        <v/>
      </c>
      <c r="F9" s="44">
        <f>E9*INDEX('Age profile'!$B$2:$B$61,B9)</f>
        <v/>
      </c>
      <c r="G9" s="45">
        <f>MIN(in_takeup_cap,INDEX('Age profile'!$N$2:$N$61,B9)*(1+in_takeup_growth)^(D9-1))</f>
        <v/>
      </c>
      <c r="H9" s="11">
        <f>MIN(in_approval_cap,in_approved_first*INDEX('Age profile'!$O$2:$O$61,B9)*(1+in_approval_growth)^(D9-1))</f>
        <v/>
      </c>
      <c r="I9" s="45">
        <f>G9*MIN(in_takeup_cap,INDEX('Age profile'!$O$2:$O$61,B9)*(1+in_approval_growth)^(D9-1))</f>
        <v/>
      </c>
      <c r="J9" s="40">
        <f>(J8-L8)*F9/F8</f>
        <v/>
      </c>
      <c r="K9" s="40">
        <f>(K8-M8)*F9/F8+SUMIFS(O2:O8,B2:B8,B9-1-d_T)*F9</f>
        <v/>
      </c>
      <c r="L9" s="40">
        <f>IF(B9&gt;=in_marketplace_from,J9*d_hz*G9*in_eligible*H9,0)</f>
        <v/>
      </c>
      <c r="M9" s="40">
        <f>IF(B9&gt;=in_marketplace_from,K9*d_hz*G9*in_eligible*in_approved_repeat,0)</f>
        <v/>
      </c>
      <c r="N9" s="40">
        <f>L9+M9</f>
        <v/>
      </c>
      <c r="O9" s="46">
        <f>N9/F9</f>
        <v/>
      </c>
      <c r="P9" s="40">
        <f>F9-J9-K9</f>
        <v/>
      </c>
      <c r="Q9" s="40">
        <f>IF(B9&gt;=in_marketplace_from,(J9+K9)*d_hz*G9,0)</f>
        <v/>
      </c>
      <c r="R9" s="40">
        <f>SUMIFS(N2:N61,B2:B61,"&gt;="&amp;(B9-d_T),B2:B61,"&lt;="&amp;(B9-1))</f>
        <v/>
      </c>
      <c r="S9" s="46">
        <f>(1-d_u)*S8+IF(d_T&gt;in_topup_lag,SUMIFS(O2:O61,B2:B61,B9-in_topup_lag)-d_udrop*SUMIFS(O2:O61,B2:B61,B9-d_T),0)</f>
        <v/>
      </c>
      <c r="T9" s="40">
        <f>F9*d_u*S9</f>
        <v/>
      </c>
      <c r="U9" s="9">
        <f>L9*in_ticket+M9*d_rep_ticket</f>
        <v/>
      </c>
      <c r="V9" s="9">
        <f>U9+T9*d_topup_amt</f>
        <v/>
      </c>
      <c r="W9" s="40">
        <f>N9+T9*d_topup_ratio</f>
        <v/>
      </c>
      <c r="X9" s="40">
        <f>SUMIFS(W2:W61,B2:B61,B9-in_dpd_lag)*d_cured</f>
        <v/>
      </c>
      <c r="Y9" s="40">
        <f>SUMIFS(W2:W61,B2:B61,B9-in_rec_lag)*d_recd</f>
        <v/>
      </c>
      <c r="Z9" s="40">
        <f>IF(AND(B9&gt;=in_marketplace_from,B9&lt;in_marketplace_from+in_card_months),in_card_share/in_card_months*F9*I9,IF(AND(B9&gt;=in_marketplace_from+in_card_months,B9&lt;in_marketplace_from+2*in_card_months),in_card_share*d_card_rem/in_card_months*F9*MIN(in_takeup_cap,(1+in_takeup_growth)^(D9-1))*MIN(in_takeup_cap,(1+in_approval_growth)^(D9-1)),0))</f>
        <v/>
      </c>
      <c r="AA9" s="14">
        <f>V9*in_fee*(1-in_taken_back)</f>
        <v/>
      </c>
      <c r="AB9" s="14">
        <f>SUMIFS(W2:W61,B2:B61,B9-in_dpd_lag)*d_dpd</f>
        <v/>
      </c>
      <c r="AC9" s="14">
        <f>SUMIFS(W2:W61,B2:B61,B9-in_rec_lag)*d_rec</f>
        <v/>
      </c>
      <c r="AD9" s="14">
        <f>Z9*in_card_fee</f>
        <v/>
      </c>
      <c r="AE9" s="40">
        <f>AE8*(1-IF(B8&gt;=in_marketplace_from,d_hz_hlth_small*G8,0))</f>
        <v/>
      </c>
      <c r="AF9" s="46">
        <f>AE9*IF(B9&gt;=in_marketplace_from,d_hz_hlth_small*G9,0)</f>
        <v/>
      </c>
      <c r="AG9" s="14">
        <f>F9*AF9*in_hlth_small_ticket*in_hlth_small_comm*in_ins_partner_share+F9*in_hlth_small_ticket*in_hlth_small_renew_comm*in_ins_partner_share*(in_hlth_small_renew^1*SUMIFS(AF2:AF61,B2:B61,B9-12)+in_hlth_small_renew^2*SUMIFS(AF2:AF61,B2:B61,B9-24)+in_hlth_small_renew^3*SUMIFS(AF2:AF61,B2:B61,B9-36)+in_hlth_small_renew^4*SUMIFS(AF2:AF61,B2:B61,B9-48))</f>
        <v/>
      </c>
      <c r="AH9" s="40">
        <f>AH8*(1-IF(B8&gt;=in_marketplace_from,d_hz_hlth_family*G8,0))</f>
        <v/>
      </c>
      <c r="AI9" s="46">
        <f>AH9*IF(B9&gt;=in_marketplace_from,d_hz_hlth_family*G9,0)</f>
        <v/>
      </c>
      <c r="AJ9" s="14">
        <f>F9*AI9*in_hlth_family_ticket*in_hlth_family_comm*in_ins_partner_share+F9*in_hlth_family_ticket*in_hlth_family_renew_comm*in_ins_partner_share*(in_hlth_family_renew^1*SUMIFS(AI2:AI61,B2:B61,B9-12)+in_hlth_family_renew^2*SUMIFS(AI2:AI61,B2:B61,B9-24)+in_hlth_family_renew^3*SUMIFS(AI2:AI61,B2:B61,B9-36)+in_hlth_family_renew^4*SUMIFS(AI2:AI61,B2:B61,B9-48))</f>
        <v/>
      </c>
      <c r="AK9" s="40">
        <f>AK8*(1-IF(B8&gt;=in_marketplace_from,d_hz_life_term*G8,0))</f>
        <v/>
      </c>
      <c r="AL9" s="46">
        <f>AK9*IF(B9&gt;=in_marketplace_from,d_hz_life_term*G9,0)</f>
        <v/>
      </c>
      <c r="AM9" s="14">
        <f>F9*AL9*in_life_term_ticket*in_life_term_comm*in_ins_partner_share+F9*in_life_term_ticket*in_life_term_renew_comm*in_ins_partner_share*(in_life_term_renew^1*SUMIFS(AL2:AL61,B2:B61,B9-12)+in_life_term_renew^2*SUMIFS(AL2:AL61,B2:B61,B9-24)+in_life_term_renew^3*SUMIFS(AL2:AL61,B2:B61,B9-36)+in_life_term_renew^4*SUMIFS(AL2:AL61,B2:B61,B9-48))</f>
        <v/>
      </c>
      <c r="AN9" s="40">
        <f>AN8*(1-IF(B8&gt;=in_marketplace_from,d_hz_accident*G8,0))</f>
        <v/>
      </c>
      <c r="AO9" s="46">
        <f>AN9*IF(B9&gt;=in_marketplace_from,d_hz_accident*G9,0)</f>
        <v/>
      </c>
      <c r="AP9" s="14">
        <f>F9*AO9*in_accident_ticket*in_accident_comm*in_ins_partner_share+F9*in_accident_ticket*in_accident_renew_comm*in_ins_partner_share*(in_accident_renew^1*SUMIFS(AO2:AO61,B2:B61,B9-12)+in_accident_renew^2*SUMIFS(AO2:AO61,B2:B61,B9-24)+in_accident_renew^3*SUMIFS(AO2:AO61,B2:B61,B9-36)+in_accident_renew^4*SUMIFS(AO2:AO61,B2:B61,B9-48))</f>
        <v/>
      </c>
      <c r="AQ9" s="40">
        <f>AQ8*(1-IF(B8&gt;=in_marketplace_from,d_hz_two_wheeler*G8,0))</f>
        <v/>
      </c>
      <c r="AR9" s="46">
        <f>AQ9*IF(B9&gt;=in_marketplace_from,d_hz_two_wheeler*G9,0)</f>
        <v/>
      </c>
      <c r="AS9" s="14">
        <f>F9*AR9*in_two_wheeler_ticket*in_two_wheeler_comm*in_ins_partner_share+F9*in_two_wheeler_ticket*in_two_wheeler_comm*in_ins_partner_share*(in_two_wheeler_renew^1*SUMIFS(AR2:AR61,B2:B61,B9-12)+in_two_wheeler_renew^2*SUMIFS(AR2:AR61,B2:B61,B9-24)+in_two_wheeler_renew^3*SUMIFS(AR2:AR61,B2:B61,B9-36)+in_two_wheeler_renew^4*SUMIFS(AR2:AR61,B2:B61,B9-48))</f>
        <v/>
      </c>
      <c r="AT9" s="40">
        <f>AT8*(1-IF(B8&gt;=in_marketplace_from,d_hz_device*G8,0))</f>
        <v/>
      </c>
      <c r="AU9" s="14">
        <f>F9*AT9*IF(B9&gt;=in_marketplace_from,d_hz_device*G9,0)*in_device_ticket*in_device_comm*in_ins_partner_share</f>
        <v/>
      </c>
      <c r="AV9" s="40">
        <f>AV8*(1-IF(B8&gt;=in_marketplace_from,d_hz_shop*G8,0))</f>
        <v/>
      </c>
      <c r="AW9" s="46">
        <f>AV9*IF(B9&gt;=in_marketplace_from,d_hz_shop*G9,0)</f>
        <v/>
      </c>
      <c r="AX9" s="14">
        <f>F9*AW9*in_shop_ticket*in_shop_comm*in_ins_partner_share+F9*in_shop_ticket*in_shop_renew_comm*in_ins_partner_share*(in_shop_renew^1*SUMIFS(AW2:AW61,B2:B61,B9-12)+in_shop_renew^2*SUMIFS(AW2:AW61,B2:B61,B9-24)+in_shop_renew^3*SUMIFS(AW2:AW61,B2:B61,B9-36)+in_shop_renew^4*SUMIFS(AW2:AW61,B2:B61,B9-48))</f>
        <v/>
      </c>
      <c r="AY9" s="40">
        <f>AY8*(1-IF(B8&gt;=in_marketplace_from,d_hz_sip*G8,0))</f>
        <v/>
      </c>
      <c r="AZ9" s="40">
        <f>AZ8*d_rho_sip+AY9*IF(B9&gt;=in_marketplace_from,d_hz_sip*G9,0)</f>
        <v/>
      </c>
      <c r="BA9" s="40">
        <f>d_rho_sip*(BA8+AZ8)</f>
        <v/>
      </c>
      <c r="BB9" s="14">
        <f>F9*in_sip_ticket*(BA9+0.5*AZ9)*in_sip_comm/12</f>
        <v/>
      </c>
      <c r="BC9" s="40">
        <f>BC8*(1-IF(B8&gt;=in_marketplace_from,d_hz_choti*G8,0))</f>
        <v/>
      </c>
      <c r="BD9" s="46">
        <f>BC9*IF(B9&gt;=in_marketplace_from,d_hz_choti*G9,0)</f>
        <v/>
      </c>
      <c r="BE9" s="14">
        <f>F9*SUMIFS(BD2:BD61,B2:B61,B9-in_choti_months)*in_choti_renew*in_choti_ticket</f>
        <v/>
      </c>
      <c r="BF9" s="40">
        <f>BF8*(1-IF(B8&gt;=in_marketplace_from,d_hz_nps*G8,0))</f>
        <v/>
      </c>
      <c r="BG9" s="14">
        <f>F9*BF9*IF(B9&gt;=in_marketplace_from,d_hz_nps*G9,0)*in_nps_ticket*in_nps_comm</f>
        <v/>
      </c>
      <c r="BH9" s="40">
        <f>BH8*(1-IF(B8&gt;=in_marketplace_from,d_hz_gold*G8,0))</f>
        <v/>
      </c>
      <c r="BI9" s="40">
        <f>BI8*d_rho_gold+BH9*IF(B9&gt;=in_marketplace_from,d_hz_gold*G9,0)</f>
        <v/>
      </c>
      <c r="BJ9" s="14">
        <f>F9*BI9*in_gold_ticket*in_gold_comm</f>
        <v/>
      </c>
      <c r="BK9" s="40">
        <f>BK8*(1-IF(B8&gt;=in_marketplace_from,d_hz_fd*G8,0))</f>
        <v/>
      </c>
      <c r="BL9" s="14">
        <f>F9*BK9*IF(B9&gt;=in_marketplace_from,d_hz_fd*G9,0)*in_fd_ticket*in_fd_comm</f>
        <v/>
      </c>
      <c r="BM9" s="40">
        <f>BM8*(1-IF(B8&gt;=in_marketplace_from,d_hz_recharge*G8,0))</f>
        <v/>
      </c>
      <c r="BN9" s="40">
        <f>BN8*d_rho_recharge+BM9*IF(B9&gt;=in_marketplace_from,d_hz_recharge*G9,0)</f>
        <v/>
      </c>
      <c r="BO9" s="14">
        <f>F9*BN9*in_recharge_ticket*in_recharge_comm/12</f>
        <v/>
      </c>
      <c r="BP9" s="40">
        <f>BP8*(1-IF(B8&gt;=in_marketplace_from,d_hz_bills*G8,0))</f>
        <v/>
      </c>
      <c r="BQ9" s="40">
        <f>BQ8*d_rho_bills+BP9*IF(B9&gt;=in_marketplace_from,d_hz_bills*G9,0)</f>
        <v/>
      </c>
      <c r="BR9" s="14">
        <f>F9*BQ9*in_bills_ticket*in_bills_comm/12</f>
        <v/>
      </c>
      <c r="BS9" s="40">
        <f>BS8*(1-IF(B8&gt;=in_marketplace_from,d_hz_loan_gold*G8,0))</f>
        <v/>
      </c>
      <c r="BT9" s="14">
        <f>F9*BS9*IF(B9&gt;=in_marketplace_from,d_hz_loan_gold*G9,0)*in_loan_gold_ticket*in_loan_gold_comm</f>
        <v/>
      </c>
      <c r="BU9" s="40">
        <f>BU8*(1-IF(B8&gt;=in_marketplace_from,d_hz_loan_cd*G8,0))</f>
        <v/>
      </c>
      <c r="BV9" s="14">
        <f>F9*BU9*IF(B9&gt;=in_marketplace_from,d_hz_loan_cd*G9,0)*in_loan_cd_ticket*in_loan_cd_comm</f>
        <v/>
      </c>
      <c r="BW9" s="40">
        <f>BW8*(1-IF(B8&gt;=in_marketplace_from,d_hz_loan_vehicle*G8,0))</f>
        <v/>
      </c>
      <c r="BX9" s="14">
        <f>F9*BW9*IF(B9&gt;=in_marketplace_from,d_hz_loan_vehicle*G9,0)*in_loan_vehicle_ticket*in_loan_vehicle_comm</f>
        <v/>
      </c>
      <c r="BY9" s="40">
        <f>BY8*(1-IF(B8&gt;=in_marketplace_from,d_hz_loan_home*G8,0)*BZ8)</f>
        <v/>
      </c>
      <c r="BZ9" s="11">
        <f>MIN(in_approval_cap,in_loan_home_approval*INDEX('Age profile'!$O$2:$O$61,B9)*(1+in_approval_growth)^(D9-1))</f>
        <v/>
      </c>
      <c r="CA9" s="14">
        <f>F9*BY9*IF(B9&gt;=in_marketplace_from,d_hz_loan_home*G9,0)*BZ9*in_loan_home_ticket*in_loan_home_comm</f>
        <v/>
      </c>
      <c r="CB9" s="40">
        <f>CB8*(1-IF(B8&gt;=in_marketplace_from,d_hz_loan_lap*G8,0)*CC8)</f>
        <v/>
      </c>
      <c r="CC9" s="11">
        <f>MIN(in_approval_cap,in_loan_lap_approval*INDEX('Age profile'!$O$2:$O$61,B9)*(1+in_approval_growth)^(D9-1))</f>
        <v/>
      </c>
      <c r="CD9" s="14">
        <f>F9*CB9*IF(B9&gt;=in_marketplace_from,d_hz_loan_lap*G9,0)*CC9*in_loan_lap_ticket*in_loan_lap_comm</f>
        <v/>
      </c>
      <c r="CE9" s="14">
        <f>AA9+AB9+AC9+AD9+AG9+AJ9+AM9+AP9+AS9+AU9+AX9+BB9+BE9+BG9+BJ9+BL9+BO9+BR9+BT9+BV9+BX9+CA9+CD9</f>
        <v/>
      </c>
    </row>
    <row r="10">
      <c r="A10" s="39" t="n">
        <v>1</v>
      </c>
      <c r="B10" s="39" t="n">
        <v>9</v>
      </c>
      <c r="C10" s="39">
        <f>A10+B10-1</f>
        <v/>
      </c>
      <c r="D10" s="39">
        <f>INT((C10-1)/12)+1</f>
        <v/>
      </c>
      <c r="E10" s="44">
        <f>INDEX(Monthly!$B$2:$B$61,A10)</f>
        <v/>
      </c>
      <c r="F10" s="44">
        <f>E10*INDEX('Age profile'!$B$2:$B$61,B10)</f>
        <v/>
      </c>
      <c r="G10" s="45">
        <f>MIN(in_takeup_cap,INDEX('Age profile'!$N$2:$N$61,B10)*(1+in_takeup_growth)^(D10-1))</f>
        <v/>
      </c>
      <c r="H10" s="11">
        <f>MIN(in_approval_cap,in_approved_first*INDEX('Age profile'!$O$2:$O$61,B10)*(1+in_approval_growth)^(D10-1))</f>
        <v/>
      </c>
      <c r="I10" s="45">
        <f>G10*MIN(in_takeup_cap,INDEX('Age profile'!$O$2:$O$61,B10)*(1+in_approval_growth)^(D10-1))</f>
        <v/>
      </c>
      <c r="J10" s="40">
        <f>(J9-L9)*F10/F9</f>
        <v/>
      </c>
      <c r="K10" s="40">
        <f>(K9-M9)*F10/F9+SUMIFS(O2:O9,B2:B9,B10-1-d_T)*F10</f>
        <v/>
      </c>
      <c r="L10" s="40">
        <f>IF(B10&gt;=in_marketplace_from,J10*d_hz*G10*in_eligible*H10,0)</f>
        <v/>
      </c>
      <c r="M10" s="40">
        <f>IF(B10&gt;=in_marketplace_from,K10*d_hz*G10*in_eligible*in_approved_repeat,0)</f>
        <v/>
      </c>
      <c r="N10" s="40">
        <f>L10+M10</f>
        <v/>
      </c>
      <c r="O10" s="46">
        <f>N10/F10</f>
        <v/>
      </c>
      <c r="P10" s="40">
        <f>F10-J10-K10</f>
        <v/>
      </c>
      <c r="Q10" s="40">
        <f>IF(B10&gt;=in_marketplace_from,(J10+K10)*d_hz*G10,0)</f>
        <v/>
      </c>
      <c r="R10" s="40">
        <f>SUMIFS(N2:N61,B2:B61,"&gt;="&amp;(B10-d_T),B2:B61,"&lt;="&amp;(B10-1))</f>
        <v/>
      </c>
      <c r="S10" s="46">
        <f>(1-d_u)*S9+IF(d_T&gt;in_topup_lag,SUMIFS(O2:O61,B2:B61,B10-in_topup_lag)-d_udrop*SUMIFS(O2:O61,B2:B61,B10-d_T),0)</f>
        <v/>
      </c>
      <c r="T10" s="40">
        <f>F10*d_u*S10</f>
        <v/>
      </c>
      <c r="U10" s="9">
        <f>L10*in_ticket+M10*d_rep_ticket</f>
        <v/>
      </c>
      <c r="V10" s="9">
        <f>U10+T10*d_topup_amt</f>
        <v/>
      </c>
      <c r="W10" s="40">
        <f>N10+T10*d_topup_ratio</f>
        <v/>
      </c>
      <c r="X10" s="40">
        <f>SUMIFS(W2:W61,B2:B61,B10-in_dpd_lag)*d_cured</f>
        <v/>
      </c>
      <c r="Y10" s="40">
        <f>SUMIFS(W2:W61,B2:B61,B10-in_rec_lag)*d_recd</f>
        <v/>
      </c>
      <c r="Z10" s="40">
        <f>IF(AND(B10&gt;=in_marketplace_from,B10&lt;in_marketplace_from+in_card_months),in_card_share/in_card_months*F10*I10,IF(AND(B10&gt;=in_marketplace_from+in_card_months,B10&lt;in_marketplace_from+2*in_card_months),in_card_share*d_card_rem/in_card_months*F10*MIN(in_takeup_cap,(1+in_takeup_growth)^(D10-1))*MIN(in_takeup_cap,(1+in_approval_growth)^(D10-1)),0))</f>
        <v/>
      </c>
      <c r="AA10" s="14">
        <f>V10*in_fee*(1-in_taken_back)</f>
        <v/>
      </c>
      <c r="AB10" s="14">
        <f>SUMIFS(W2:W61,B2:B61,B10-in_dpd_lag)*d_dpd</f>
        <v/>
      </c>
      <c r="AC10" s="14">
        <f>SUMIFS(W2:W61,B2:B61,B10-in_rec_lag)*d_rec</f>
        <v/>
      </c>
      <c r="AD10" s="14">
        <f>Z10*in_card_fee</f>
        <v/>
      </c>
      <c r="AE10" s="40">
        <f>AE9*(1-IF(B9&gt;=in_marketplace_from,d_hz_hlth_small*G9,0))</f>
        <v/>
      </c>
      <c r="AF10" s="46">
        <f>AE10*IF(B10&gt;=in_marketplace_from,d_hz_hlth_small*G10,0)</f>
        <v/>
      </c>
      <c r="AG10" s="14">
        <f>F10*AF10*in_hlth_small_ticket*in_hlth_small_comm*in_ins_partner_share+F10*in_hlth_small_ticket*in_hlth_small_renew_comm*in_ins_partner_share*(in_hlth_small_renew^1*SUMIFS(AF2:AF61,B2:B61,B10-12)+in_hlth_small_renew^2*SUMIFS(AF2:AF61,B2:B61,B10-24)+in_hlth_small_renew^3*SUMIFS(AF2:AF61,B2:B61,B10-36)+in_hlth_small_renew^4*SUMIFS(AF2:AF61,B2:B61,B10-48))</f>
        <v/>
      </c>
      <c r="AH10" s="40">
        <f>AH9*(1-IF(B9&gt;=in_marketplace_from,d_hz_hlth_family*G9,0))</f>
        <v/>
      </c>
      <c r="AI10" s="46">
        <f>AH10*IF(B10&gt;=in_marketplace_from,d_hz_hlth_family*G10,0)</f>
        <v/>
      </c>
      <c r="AJ10" s="14">
        <f>F10*AI10*in_hlth_family_ticket*in_hlth_family_comm*in_ins_partner_share+F10*in_hlth_family_ticket*in_hlth_family_renew_comm*in_ins_partner_share*(in_hlth_family_renew^1*SUMIFS(AI2:AI61,B2:B61,B10-12)+in_hlth_family_renew^2*SUMIFS(AI2:AI61,B2:B61,B10-24)+in_hlth_family_renew^3*SUMIFS(AI2:AI61,B2:B61,B10-36)+in_hlth_family_renew^4*SUMIFS(AI2:AI61,B2:B61,B10-48))</f>
        <v/>
      </c>
      <c r="AK10" s="40">
        <f>AK9*(1-IF(B9&gt;=in_marketplace_from,d_hz_life_term*G9,0))</f>
        <v/>
      </c>
      <c r="AL10" s="46">
        <f>AK10*IF(B10&gt;=in_marketplace_from,d_hz_life_term*G10,0)</f>
        <v/>
      </c>
      <c r="AM10" s="14">
        <f>F10*AL10*in_life_term_ticket*in_life_term_comm*in_ins_partner_share+F10*in_life_term_ticket*in_life_term_renew_comm*in_ins_partner_share*(in_life_term_renew^1*SUMIFS(AL2:AL61,B2:B61,B10-12)+in_life_term_renew^2*SUMIFS(AL2:AL61,B2:B61,B10-24)+in_life_term_renew^3*SUMIFS(AL2:AL61,B2:B61,B10-36)+in_life_term_renew^4*SUMIFS(AL2:AL61,B2:B61,B10-48))</f>
        <v/>
      </c>
      <c r="AN10" s="40">
        <f>AN9*(1-IF(B9&gt;=in_marketplace_from,d_hz_accident*G9,0))</f>
        <v/>
      </c>
      <c r="AO10" s="46">
        <f>AN10*IF(B10&gt;=in_marketplace_from,d_hz_accident*G10,0)</f>
        <v/>
      </c>
      <c r="AP10" s="14">
        <f>F10*AO10*in_accident_ticket*in_accident_comm*in_ins_partner_share+F10*in_accident_ticket*in_accident_renew_comm*in_ins_partner_share*(in_accident_renew^1*SUMIFS(AO2:AO61,B2:B61,B10-12)+in_accident_renew^2*SUMIFS(AO2:AO61,B2:B61,B10-24)+in_accident_renew^3*SUMIFS(AO2:AO61,B2:B61,B10-36)+in_accident_renew^4*SUMIFS(AO2:AO61,B2:B61,B10-48))</f>
        <v/>
      </c>
      <c r="AQ10" s="40">
        <f>AQ9*(1-IF(B9&gt;=in_marketplace_from,d_hz_two_wheeler*G9,0))</f>
        <v/>
      </c>
      <c r="AR10" s="46">
        <f>AQ10*IF(B10&gt;=in_marketplace_from,d_hz_two_wheeler*G10,0)</f>
        <v/>
      </c>
      <c r="AS10" s="14">
        <f>F10*AR10*in_two_wheeler_ticket*in_two_wheeler_comm*in_ins_partner_share+F10*in_two_wheeler_ticket*in_two_wheeler_comm*in_ins_partner_share*(in_two_wheeler_renew^1*SUMIFS(AR2:AR61,B2:B61,B10-12)+in_two_wheeler_renew^2*SUMIFS(AR2:AR61,B2:B61,B10-24)+in_two_wheeler_renew^3*SUMIFS(AR2:AR61,B2:B61,B10-36)+in_two_wheeler_renew^4*SUMIFS(AR2:AR61,B2:B61,B10-48))</f>
        <v/>
      </c>
      <c r="AT10" s="40">
        <f>AT9*(1-IF(B9&gt;=in_marketplace_from,d_hz_device*G9,0))</f>
        <v/>
      </c>
      <c r="AU10" s="14">
        <f>F10*AT10*IF(B10&gt;=in_marketplace_from,d_hz_device*G10,0)*in_device_ticket*in_device_comm*in_ins_partner_share</f>
        <v/>
      </c>
      <c r="AV10" s="40">
        <f>AV9*(1-IF(B9&gt;=in_marketplace_from,d_hz_shop*G9,0))</f>
        <v/>
      </c>
      <c r="AW10" s="46">
        <f>AV10*IF(B10&gt;=in_marketplace_from,d_hz_shop*G10,0)</f>
        <v/>
      </c>
      <c r="AX10" s="14">
        <f>F10*AW10*in_shop_ticket*in_shop_comm*in_ins_partner_share+F10*in_shop_ticket*in_shop_renew_comm*in_ins_partner_share*(in_shop_renew^1*SUMIFS(AW2:AW61,B2:B61,B10-12)+in_shop_renew^2*SUMIFS(AW2:AW61,B2:B61,B10-24)+in_shop_renew^3*SUMIFS(AW2:AW61,B2:B61,B10-36)+in_shop_renew^4*SUMIFS(AW2:AW61,B2:B61,B10-48))</f>
        <v/>
      </c>
      <c r="AY10" s="40">
        <f>AY9*(1-IF(B9&gt;=in_marketplace_from,d_hz_sip*G9,0))</f>
        <v/>
      </c>
      <c r="AZ10" s="40">
        <f>AZ9*d_rho_sip+AY10*IF(B10&gt;=in_marketplace_from,d_hz_sip*G10,0)</f>
        <v/>
      </c>
      <c r="BA10" s="40">
        <f>d_rho_sip*(BA9+AZ9)</f>
        <v/>
      </c>
      <c r="BB10" s="14">
        <f>F10*in_sip_ticket*(BA10+0.5*AZ10)*in_sip_comm/12</f>
        <v/>
      </c>
      <c r="BC10" s="40">
        <f>BC9*(1-IF(B9&gt;=in_marketplace_from,d_hz_choti*G9,0))</f>
        <v/>
      </c>
      <c r="BD10" s="46">
        <f>BC10*IF(B10&gt;=in_marketplace_from,d_hz_choti*G10,0)</f>
        <v/>
      </c>
      <c r="BE10" s="14">
        <f>F10*SUMIFS(BD2:BD61,B2:B61,B10-in_choti_months)*in_choti_renew*in_choti_ticket</f>
        <v/>
      </c>
      <c r="BF10" s="40">
        <f>BF9*(1-IF(B9&gt;=in_marketplace_from,d_hz_nps*G9,0))</f>
        <v/>
      </c>
      <c r="BG10" s="14">
        <f>F10*BF10*IF(B10&gt;=in_marketplace_from,d_hz_nps*G10,0)*in_nps_ticket*in_nps_comm</f>
        <v/>
      </c>
      <c r="BH10" s="40">
        <f>BH9*(1-IF(B9&gt;=in_marketplace_from,d_hz_gold*G9,0))</f>
        <v/>
      </c>
      <c r="BI10" s="40">
        <f>BI9*d_rho_gold+BH10*IF(B10&gt;=in_marketplace_from,d_hz_gold*G10,0)</f>
        <v/>
      </c>
      <c r="BJ10" s="14">
        <f>F10*BI10*in_gold_ticket*in_gold_comm</f>
        <v/>
      </c>
      <c r="BK10" s="40">
        <f>BK9*(1-IF(B9&gt;=in_marketplace_from,d_hz_fd*G9,0))</f>
        <v/>
      </c>
      <c r="BL10" s="14">
        <f>F10*BK10*IF(B10&gt;=in_marketplace_from,d_hz_fd*G10,0)*in_fd_ticket*in_fd_comm</f>
        <v/>
      </c>
      <c r="BM10" s="40">
        <f>BM9*(1-IF(B9&gt;=in_marketplace_from,d_hz_recharge*G9,0))</f>
        <v/>
      </c>
      <c r="BN10" s="40">
        <f>BN9*d_rho_recharge+BM10*IF(B10&gt;=in_marketplace_from,d_hz_recharge*G10,0)</f>
        <v/>
      </c>
      <c r="BO10" s="14">
        <f>F10*BN10*in_recharge_ticket*in_recharge_comm/12</f>
        <v/>
      </c>
      <c r="BP10" s="40">
        <f>BP9*(1-IF(B9&gt;=in_marketplace_from,d_hz_bills*G9,0))</f>
        <v/>
      </c>
      <c r="BQ10" s="40">
        <f>BQ9*d_rho_bills+BP10*IF(B10&gt;=in_marketplace_from,d_hz_bills*G10,0)</f>
        <v/>
      </c>
      <c r="BR10" s="14">
        <f>F10*BQ10*in_bills_ticket*in_bills_comm/12</f>
        <v/>
      </c>
      <c r="BS10" s="40">
        <f>BS9*(1-IF(B9&gt;=in_marketplace_from,d_hz_loan_gold*G9,0))</f>
        <v/>
      </c>
      <c r="BT10" s="14">
        <f>F10*BS10*IF(B10&gt;=in_marketplace_from,d_hz_loan_gold*G10,0)*in_loan_gold_ticket*in_loan_gold_comm</f>
        <v/>
      </c>
      <c r="BU10" s="40">
        <f>BU9*(1-IF(B9&gt;=in_marketplace_from,d_hz_loan_cd*G9,0))</f>
        <v/>
      </c>
      <c r="BV10" s="14">
        <f>F10*BU10*IF(B10&gt;=in_marketplace_from,d_hz_loan_cd*G10,0)*in_loan_cd_ticket*in_loan_cd_comm</f>
        <v/>
      </c>
      <c r="BW10" s="40">
        <f>BW9*(1-IF(B9&gt;=in_marketplace_from,d_hz_loan_vehicle*G9,0))</f>
        <v/>
      </c>
      <c r="BX10" s="14">
        <f>F10*BW10*IF(B10&gt;=in_marketplace_from,d_hz_loan_vehicle*G10,0)*in_loan_vehicle_ticket*in_loan_vehicle_comm</f>
        <v/>
      </c>
      <c r="BY10" s="40">
        <f>BY9*(1-IF(B9&gt;=in_marketplace_from,d_hz_loan_home*G9,0)*BZ9)</f>
        <v/>
      </c>
      <c r="BZ10" s="11">
        <f>MIN(in_approval_cap,in_loan_home_approval*INDEX('Age profile'!$O$2:$O$61,B10)*(1+in_approval_growth)^(D10-1))</f>
        <v/>
      </c>
      <c r="CA10" s="14">
        <f>F10*BY10*IF(B10&gt;=in_marketplace_from,d_hz_loan_home*G10,0)*BZ10*in_loan_home_ticket*in_loan_home_comm</f>
        <v/>
      </c>
      <c r="CB10" s="40">
        <f>CB9*(1-IF(B9&gt;=in_marketplace_from,d_hz_loan_lap*G9,0)*CC9)</f>
        <v/>
      </c>
      <c r="CC10" s="11">
        <f>MIN(in_approval_cap,in_loan_lap_approval*INDEX('Age profile'!$O$2:$O$61,B10)*(1+in_approval_growth)^(D10-1))</f>
        <v/>
      </c>
      <c r="CD10" s="14">
        <f>F10*CB10*IF(B10&gt;=in_marketplace_from,d_hz_loan_lap*G10,0)*CC10*in_loan_lap_ticket*in_loan_lap_comm</f>
        <v/>
      </c>
      <c r="CE10" s="14">
        <f>AA10+AB10+AC10+AD10+AG10+AJ10+AM10+AP10+AS10+AU10+AX10+BB10+BE10+BG10+BJ10+BL10+BO10+BR10+BT10+BV10+BX10+CA10+CD10</f>
        <v/>
      </c>
    </row>
    <row r="11">
      <c r="A11" s="39" t="n">
        <v>1</v>
      </c>
      <c r="B11" s="39" t="n">
        <v>10</v>
      </c>
      <c r="C11" s="39">
        <f>A11+B11-1</f>
        <v/>
      </c>
      <c r="D11" s="39">
        <f>INT((C11-1)/12)+1</f>
        <v/>
      </c>
      <c r="E11" s="44">
        <f>INDEX(Monthly!$B$2:$B$61,A11)</f>
        <v/>
      </c>
      <c r="F11" s="44">
        <f>E11*INDEX('Age profile'!$B$2:$B$61,B11)</f>
        <v/>
      </c>
      <c r="G11" s="45">
        <f>MIN(in_takeup_cap,INDEX('Age profile'!$N$2:$N$61,B11)*(1+in_takeup_growth)^(D11-1))</f>
        <v/>
      </c>
      <c r="H11" s="11">
        <f>MIN(in_approval_cap,in_approved_first*INDEX('Age profile'!$O$2:$O$61,B11)*(1+in_approval_growth)^(D11-1))</f>
        <v/>
      </c>
      <c r="I11" s="45">
        <f>G11*MIN(in_takeup_cap,INDEX('Age profile'!$O$2:$O$61,B11)*(1+in_approval_growth)^(D11-1))</f>
        <v/>
      </c>
      <c r="J11" s="40">
        <f>(J10-L10)*F11/F10</f>
        <v/>
      </c>
      <c r="K11" s="40">
        <f>(K10-M10)*F11/F10+SUMIFS(O2:O10,B2:B10,B11-1-d_T)*F11</f>
        <v/>
      </c>
      <c r="L11" s="40">
        <f>IF(B11&gt;=in_marketplace_from,J11*d_hz*G11*in_eligible*H11,0)</f>
        <v/>
      </c>
      <c r="M11" s="40">
        <f>IF(B11&gt;=in_marketplace_from,K11*d_hz*G11*in_eligible*in_approved_repeat,0)</f>
        <v/>
      </c>
      <c r="N11" s="40">
        <f>L11+M11</f>
        <v/>
      </c>
      <c r="O11" s="46">
        <f>N11/F11</f>
        <v/>
      </c>
      <c r="P11" s="40">
        <f>F11-J11-K11</f>
        <v/>
      </c>
      <c r="Q11" s="40">
        <f>IF(B11&gt;=in_marketplace_from,(J11+K11)*d_hz*G11,0)</f>
        <v/>
      </c>
      <c r="R11" s="40">
        <f>SUMIFS(N2:N61,B2:B61,"&gt;="&amp;(B11-d_T),B2:B61,"&lt;="&amp;(B11-1))</f>
        <v/>
      </c>
      <c r="S11" s="46">
        <f>(1-d_u)*S10+IF(d_T&gt;in_topup_lag,SUMIFS(O2:O61,B2:B61,B11-in_topup_lag)-d_udrop*SUMIFS(O2:O61,B2:B61,B11-d_T),0)</f>
        <v/>
      </c>
      <c r="T11" s="40">
        <f>F11*d_u*S11</f>
        <v/>
      </c>
      <c r="U11" s="9">
        <f>L11*in_ticket+M11*d_rep_ticket</f>
        <v/>
      </c>
      <c r="V11" s="9">
        <f>U11+T11*d_topup_amt</f>
        <v/>
      </c>
      <c r="W11" s="40">
        <f>N11+T11*d_topup_ratio</f>
        <v/>
      </c>
      <c r="X11" s="40">
        <f>SUMIFS(W2:W61,B2:B61,B11-in_dpd_lag)*d_cured</f>
        <v/>
      </c>
      <c r="Y11" s="40">
        <f>SUMIFS(W2:W61,B2:B61,B11-in_rec_lag)*d_recd</f>
        <v/>
      </c>
      <c r="Z11" s="40">
        <f>IF(AND(B11&gt;=in_marketplace_from,B11&lt;in_marketplace_from+in_card_months),in_card_share/in_card_months*F11*I11,IF(AND(B11&gt;=in_marketplace_from+in_card_months,B11&lt;in_marketplace_from+2*in_card_months),in_card_share*d_card_rem/in_card_months*F11*MIN(in_takeup_cap,(1+in_takeup_growth)^(D11-1))*MIN(in_takeup_cap,(1+in_approval_growth)^(D11-1)),0))</f>
        <v/>
      </c>
      <c r="AA11" s="14">
        <f>V11*in_fee*(1-in_taken_back)</f>
        <v/>
      </c>
      <c r="AB11" s="14">
        <f>SUMIFS(W2:W61,B2:B61,B11-in_dpd_lag)*d_dpd</f>
        <v/>
      </c>
      <c r="AC11" s="14">
        <f>SUMIFS(W2:W61,B2:B61,B11-in_rec_lag)*d_rec</f>
        <v/>
      </c>
      <c r="AD11" s="14">
        <f>Z11*in_card_fee</f>
        <v/>
      </c>
      <c r="AE11" s="40">
        <f>AE10*(1-IF(B10&gt;=in_marketplace_from,d_hz_hlth_small*G10,0))</f>
        <v/>
      </c>
      <c r="AF11" s="46">
        <f>AE11*IF(B11&gt;=in_marketplace_from,d_hz_hlth_small*G11,0)</f>
        <v/>
      </c>
      <c r="AG11" s="14">
        <f>F11*AF11*in_hlth_small_ticket*in_hlth_small_comm*in_ins_partner_share+F11*in_hlth_small_ticket*in_hlth_small_renew_comm*in_ins_partner_share*(in_hlth_small_renew^1*SUMIFS(AF2:AF61,B2:B61,B11-12)+in_hlth_small_renew^2*SUMIFS(AF2:AF61,B2:B61,B11-24)+in_hlth_small_renew^3*SUMIFS(AF2:AF61,B2:B61,B11-36)+in_hlth_small_renew^4*SUMIFS(AF2:AF61,B2:B61,B11-48))</f>
        <v/>
      </c>
      <c r="AH11" s="40">
        <f>AH10*(1-IF(B10&gt;=in_marketplace_from,d_hz_hlth_family*G10,0))</f>
        <v/>
      </c>
      <c r="AI11" s="46">
        <f>AH11*IF(B11&gt;=in_marketplace_from,d_hz_hlth_family*G11,0)</f>
        <v/>
      </c>
      <c r="AJ11" s="14">
        <f>F11*AI11*in_hlth_family_ticket*in_hlth_family_comm*in_ins_partner_share+F11*in_hlth_family_ticket*in_hlth_family_renew_comm*in_ins_partner_share*(in_hlth_family_renew^1*SUMIFS(AI2:AI61,B2:B61,B11-12)+in_hlth_family_renew^2*SUMIFS(AI2:AI61,B2:B61,B11-24)+in_hlth_family_renew^3*SUMIFS(AI2:AI61,B2:B61,B11-36)+in_hlth_family_renew^4*SUMIFS(AI2:AI61,B2:B61,B11-48))</f>
        <v/>
      </c>
      <c r="AK11" s="40">
        <f>AK10*(1-IF(B10&gt;=in_marketplace_from,d_hz_life_term*G10,0))</f>
        <v/>
      </c>
      <c r="AL11" s="46">
        <f>AK11*IF(B11&gt;=in_marketplace_from,d_hz_life_term*G11,0)</f>
        <v/>
      </c>
      <c r="AM11" s="14">
        <f>F11*AL11*in_life_term_ticket*in_life_term_comm*in_ins_partner_share+F11*in_life_term_ticket*in_life_term_renew_comm*in_ins_partner_share*(in_life_term_renew^1*SUMIFS(AL2:AL61,B2:B61,B11-12)+in_life_term_renew^2*SUMIFS(AL2:AL61,B2:B61,B11-24)+in_life_term_renew^3*SUMIFS(AL2:AL61,B2:B61,B11-36)+in_life_term_renew^4*SUMIFS(AL2:AL61,B2:B61,B11-48))</f>
        <v/>
      </c>
      <c r="AN11" s="40">
        <f>AN10*(1-IF(B10&gt;=in_marketplace_from,d_hz_accident*G10,0))</f>
        <v/>
      </c>
      <c r="AO11" s="46">
        <f>AN11*IF(B11&gt;=in_marketplace_from,d_hz_accident*G11,0)</f>
        <v/>
      </c>
      <c r="AP11" s="14">
        <f>F11*AO11*in_accident_ticket*in_accident_comm*in_ins_partner_share+F11*in_accident_ticket*in_accident_renew_comm*in_ins_partner_share*(in_accident_renew^1*SUMIFS(AO2:AO61,B2:B61,B11-12)+in_accident_renew^2*SUMIFS(AO2:AO61,B2:B61,B11-24)+in_accident_renew^3*SUMIFS(AO2:AO61,B2:B61,B11-36)+in_accident_renew^4*SUMIFS(AO2:AO61,B2:B61,B11-48))</f>
        <v/>
      </c>
      <c r="AQ11" s="40">
        <f>AQ10*(1-IF(B10&gt;=in_marketplace_from,d_hz_two_wheeler*G10,0))</f>
        <v/>
      </c>
      <c r="AR11" s="46">
        <f>AQ11*IF(B11&gt;=in_marketplace_from,d_hz_two_wheeler*G11,0)</f>
        <v/>
      </c>
      <c r="AS11" s="14">
        <f>F11*AR11*in_two_wheeler_ticket*in_two_wheeler_comm*in_ins_partner_share+F11*in_two_wheeler_ticket*in_two_wheeler_comm*in_ins_partner_share*(in_two_wheeler_renew^1*SUMIFS(AR2:AR61,B2:B61,B11-12)+in_two_wheeler_renew^2*SUMIFS(AR2:AR61,B2:B61,B11-24)+in_two_wheeler_renew^3*SUMIFS(AR2:AR61,B2:B61,B11-36)+in_two_wheeler_renew^4*SUMIFS(AR2:AR61,B2:B61,B11-48))</f>
        <v/>
      </c>
      <c r="AT11" s="40">
        <f>AT10*(1-IF(B10&gt;=in_marketplace_from,d_hz_device*G10,0))</f>
        <v/>
      </c>
      <c r="AU11" s="14">
        <f>F11*AT11*IF(B11&gt;=in_marketplace_from,d_hz_device*G11,0)*in_device_ticket*in_device_comm*in_ins_partner_share</f>
        <v/>
      </c>
      <c r="AV11" s="40">
        <f>AV10*(1-IF(B10&gt;=in_marketplace_from,d_hz_shop*G10,0))</f>
        <v/>
      </c>
      <c r="AW11" s="46">
        <f>AV11*IF(B11&gt;=in_marketplace_from,d_hz_shop*G11,0)</f>
        <v/>
      </c>
      <c r="AX11" s="14">
        <f>F11*AW11*in_shop_ticket*in_shop_comm*in_ins_partner_share+F11*in_shop_ticket*in_shop_renew_comm*in_ins_partner_share*(in_shop_renew^1*SUMIFS(AW2:AW61,B2:B61,B11-12)+in_shop_renew^2*SUMIFS(AW2:AW61,B2:B61,B11-24)+in_shop_renew^3*SUMIFS(AW2:AW61,B2:B61,B11-36)+in_shop_renew^4*SUMIFS(AW2:AW61,B2:B61,B11-48))</f>
        <v/>
      </c>
      <c r="AY11" s="40">
        <f>AY10*(1-IF(B10&gt;=in_marketplace_from,d_hz_sip*G10,0))</f>
        <v/>
      </c>
      <c r="AZ11" s="40">
        <f>AZ10*d_rho_sip+AY11*IF(B11&gt;=in_marketplace_from,d_hz_sip*G11,0)</f>
        <v/>
      </c>
      <c r="BA11" s="40">
        <f>d_rho_sip*(BA10+AZ10)</f>
        <v/>
      </c>
      <c r="BB11" s="14">
        <f>F11*in_sip_ticket*(BA11+0.5*AZ11)*in_sip_comm/12</f>
        <v/>
      </c>
      <c r="BC11" s="40">
        <f>BC10*(1-IF(B10&gt;=in_marketplace_from,d_hz_choti*G10,0))</f>
        <v/>
      </c>
      <c r="BD11" s="46">
        <f>BC11*IF(B11&gt;=in_marketplace_from,d_hz_choti*G11,0)</f>
        <v/>
      </c>
      <c r="BE11" s="14">
        <f>F11*SUMIFS(BD2:BD61,B2:B61,B11-in_choti_months)*in_choti_renew*in_choti_ticket</f>
        <v/>
      </c>
      <c r="BF11" s="40">
        <f>BF10*(1-IF(B10&gt;=in_marketplace_from,d_hz_nps*G10,0))</f>
        <v/>
      </c>
      <c r="BG11" s="14">
        <f>F11*BF11*IF(B11&gt;=in_marketplace_from,d_hz_nps*G11,0)*in_nps_ticket*in_nps_comm</f>
        <v/>
      </c>
      <c r="BH11" s="40">
        <f>BH10*(1-IF(B10&gt;=in_marketplace_from,d_hz_gold*G10,0))</f>
        <v/>
      </c>
      <c r="BI11" s="40">
        <f>BI10*d_rho_gold+BH11*IF(B11&gt;=in_marketplace_from,d_hz_gold*G11,0)</f>
        <v/>
      </c>
      <c r="BJ11" s="14">
        <f>F11*BI11*in_gold_ticket*in_gold_comm</f>
        <v/>
      </c>
      <c r="BK11" s="40">
        <f>BK10*(1-IF(B10&gt;=in_marketplace_from,d_hz_fd*G10,0))</f>
        <v/>
      </c>
      <c r="BL11" s="14">
        <f>F11*BK11*IF(B11&gt;=in_marketplace_from,d_hz_fd*G11,0)*in_fd_ticket*in_fd_comm</f>
        <v/>
      </c>
      <c r="BM11" s="40">
        <f>BM10*(1-IF(B10&gt;=in_marketplace_from,d_hz_recharge*G10,0))</f>
        <v/>
      </c>
      <c r="BN11" s="40">
        <f>BN10*d_rho_recharge+BM11*IF(B11&gt;=in_marketplace_from,d_hz_recharge*G11,0)</f>
        <v/>
      </c>
      <c r="BO11" s="14">
        <f>F11*BN11*in_recharge_ticket*in_recharge_comm/12</f>
        <v/>
      </c>
      <c r="BP11" s="40">
        <f>BP10*(1-IF(B10&gt;=in_marketplace_from,d_hz_bills*G10,0))</f>
        <v/>
      </c>
      <c r="BQ11" s="40">
        <f>BQ10*d_rho_bills+BP11*IF(B11&gt;=in_marketplace_from,d_hz_bills*G11,0)</f>
        <v/>
      </c>
      <c r="BR11" s="14">
        <f>F11*BQ11*in_bills_ticket*in_bills_comm/12</f>
        <v/>
      </c>
      <c r="BS11" s="40">
        <f>BS10*(1-IF(B10&gt;=in_marketplace_from,d_hz_loan_gold*G10,0))</f>
        <v/>
      </c>
      <c r="BT11" s="14">
        <f>F11*BS11*IF(B11&gt;=in_marketplace_from,d_hz_loan_gold*G11,0)*in_loan_gold_ticket*in_loan_gold_comm</f>
        <v/>
      </c>
      <c r="BU11" s="40">
        <f>BU10*(1-IF(B10&gt;=in_marketplace_from,d_hz_loan_cd*G10,0))</f>
        <v/>
      </c>
      <c r="BV11" s="14">
        <f>F11*BU11*IF(B11&gt;=in_marketplace_from,d_hz_loan_cd*G11,0)*in_loan_cd_ticket*in_loan_cd_comm</f>
        <v/>
      </c>
      <c r="BW11" s="40">
        <f>BW10*(1-IF(B10&gt;=in_marketplace_from,d_hz_loan_vehicle*G10,0))</f>
        <v/>
      </c>
      <c r="BX11" s="14">
        <f>F11*BW11*IF(B11&gt;=in_marketplace_from,d_hz_loan_vehicle*G11,0)*in_loan_vehicle_ticket*in_loan_vehicle_comm</f>
        <v/>
      </c>
      <c r="BY11" s="40">
        <f>BY10*(1-IF(B10&gt;=in_marketplace_from,d_hz_loan_home*G10,0)*BZ10)</f>
        <v/>
      </c>
      <c r="BZ11" s="11">
        <f>MIN(in_approval_cap,in_loan_home_approval*INDEX('Age profile'!$O$2:$O$61,B11)*(1+in_approval_growth)^(D11-1))</f>
        <v/>
      </c>
      <c r="CA11" s="14">
        <f>F11*BY11*IF(B11&gt;=in_marketplace_from,d_hz_loan_home*G11,0)*BZ11*in_loan_home_ticket*in_loan_home_comm</f>
        <v/>
      </c>
      <c r="CB11" s="40">
        <f>CB10*(1-IF(B10&gt;=in_marketplace_from,d_hz_loan_lap*G10,0)*CC10)</f>
        <v/>
      </c>
      <c r="CC11" s="11">
        <f>MIN(in_approval_cap,in_loan_lap_approval*INDEX('Age profile'!$O$2:$O$61,B11)*(1+in_approval_growth)^(D11-1))</f>
        <v/>
      </c>
      <c r="CD11" s="14">
        <f>F11*CB11*IF(B11&gt;=in_marketplace_from,d_hz_loan_lap*G11,0)*CC11*in_loan_lap_ticket*in_loan_lap_comm</f>
        <v/>
      </c>
      <c r="CE11" s="14">
        <f>AA11+AB11+AC11+AD11+AG11+AJ11+AM11+AP11+AS11+AU11+AX11+BB11+BE11+BG11+BJ11+BL11+BO11+BR11+BT11+BV11+BX11+CA11+CD11</f>
        <v/>
      </c>
    </row>
    <row r="12">
      <c r="A12" s="39" t="n">
        <v>1</v>
      </c>
      <c r="B12" s="39" t="n">
        <v>11</v>
      </c>
      <c r="C12" s="39">
        <f>A12+B12-1</f>
        <v/>
      </c>
      <c r="D12" s="39">
        <f>INT((C12-1)/12)+1</f>
        <v/>
      </c>
      <c r="E12" s="44">
        <f>INDEX(Monthly!$B$2:$B$61,A12)</f>
        <v/>
      </c>
      <c r="F12" s="44">
        <f>E12*INDEX('Age profile'!$B$2:$B$61,B12)</f>
        <v/>
      </c>
      <c r="G12" s="45">
        <f>MIN(in_takeup_cap,INDEX('Age profile'!$N$2:$N$61,B12)*(1+in_takeup_growth)^(D12-1))</f>
        <v/>
      </c>
      <c r="H12" s="11">
        <f>MIN(in_approval_cap,in_approved_first*INDEX('Age profile'!$O$2:$O$61,B12)*(1+in_approval_growth)^(D12-1))</f>
        <v/>
      </c>
      <c r="I12" s="45">
        <f>G12*MIN(in_takeup_cap,INDEX('Age profile'!$O$2:$O$61,B12)*(1+in_approval_growth)^(D12-1))</f>
        <v/>
      </c>
      <c r="J12" s="40">
        <f>(J11-L11)*F12/F11</f>
        <v/>
      </c>
      <c r="K12" s="40">
        <f>(K11-M11)*F12/F11+SUMIFS(O2:O11,B2:B11,B12-1-d_T)*F12</f>
        <v/>
      </c>
      <c r="L12" s="40">
        <f>IF(B12&gt;=in_marketplace_from,J12*d_hz*G12*in_eligible*H12,0)</f>
        <v/>
      </c>
      <c r="M12" s="40">
        <f>IF(B12&gt;=in_marketplace_from,K12*d_hz*G12*in_eligible*in_approved_repeat,0)</f>
        <v/>
      </c>
      <c r="N12" s="40">
        <f>L12+M12</f>
        <v/>
      </c>
      <c r="O12" s="46">
        <f>N12/F12</f>
        <v/>
      </c>
      <c r="P12" s="40">
        <f>F12-J12-K12</f>
        <v/>
      </c>
      <c r="Q12" s="40">
        <f>IF(B12&gt;=in_marketplace_from,(J12+K12)*d_hz*G12,0)</f>
        <v/>
      </c>
      <c r="R12" s="40">
        <f>SUMIFS(N2:N61,B2:B61,"&gt;="&amp;(B12-d_T),B2:B61,"&lt;="&amp;(B12-1))</f>
        <v/>
      </c>
      <c r="S12" s="46">
        <f>(1-d_u)*S11+IF(d_T&gt;in_topup_lag,SUMIFS(O2:O61,B2:B61,B12-in_topup_lag)-d_udrop*SUMIFS(O2:O61,B2:B61,B12-d_T),0)</f>
        <v/>
      </c>
      <c r="T12" s="40">
        <f>F12*d_u*S12</f>
        <v/>
      </c>
      <c r="U12" s="9">
        <f>L12*in_ticket+M12*d_rep_ticket</f>
        <v/>
      </c>
      <c r="V12" s="9">
        <f>U12+T12*d_topup_amt</f>
        <v/>
      </c>
      <c r="W12" s="40">
        <f>N12+T12*d_topup_ratio</f>
        <v/>
      </c>
      <c r="X12" s="40">
        <f>SUMIFS(W2:W61,B2:B61,B12-in_dpd_lag)*d_cured</f>
        <v/>
      </c>
      <c r="Y12" s="40">
        <f>SUMIFS(W2:W61,B2:B61,B12-in_rec_lag)*d_recd</f>
        <v/>
      </c>
      <c r="Z12" s="40">
        <f>IF(AND(B12&gt;=in_marketplace_from,B12&lt;in_marketplace_from+in_card_months),in_card_share/in_card_months*F12*I12,IF(AND(B12&gt;=in_marketplace_from+in_card_months,B12&lt;in_marketplace_from+2*in_card_months),in_card_share*d_card_rem/in_card_months*F12*MIN(in_takeup_cap,(1+in_takeup_growth)^(D12-1))*MIN(in_takeup_cap,(1+in_approval_growth)^(D12-1)),0))</f>
        <v/>
      </c>
      <c r="AA12" s="14">
        <f>V12*in_fee*(1-in_taken_back)</f>
        <v/>
      </c>
      <c r="AB12" s="14">
        <f>SUMIFS(W2:W61,B2:B61,B12-in_dpd_lag)*d_dpd</f>
        <v/>
      </c>
      <c r="AC12" s="14">
        <f>SUMIFS(W2:W61,B2:B61,B12-in_rec_lag)*d_rec</f>
        <v/>
      </c>
      <c r="AD12" s="14">
        <f>Z12*in_card_fee</f>
        <v/>
      </c>
      <c r="AE12" s="40">
        <f>AE11*(1-IF(B11&gt;=in_marketplace_from,d_hz_hlth_small*G11,0))</f>
        <v/>
      </c>
      <c r="AF12" s="46">
        <f>AE12*IF(B12&gt;=in_marketplace_from,d_hz_hlth_small*G12,0)</f>
        <v/>
      </c>
      <c r="AG12" s="14">
        <f>F12*AF12*in_hlth_small_ticket*in_hlth_small_comm*in_ins_partner_share+F12*in_hlth_small_ticket*in_hlth_small_renew_comm*in_ins_partner_share*(in_hlth_small_renew^1*SUMIFS(AF2:AF61,B2:B61,B12-12)+in_hlth_small_renew^2*SUMIFS(AF2:AF61,B2:B61,B12-24)+in_hlth_small_renew^3*SUMIFS(AF2:AF61,B2:B61,B12-36)+in_hlth_small_renew^4*SUMIFS(AF2:AF61,B2:B61,B12-48))</f>
        <v/>
      </c>
      <c r="AH12" s="40">
        <f>AH11*(1-IF(B11&gt;=in_marketplace_from,d_hz_hlth_family*G11,0))</f>
        <v/>
      </c>
      <c r="AI12" s="46">
        <f>AH12*IF(B12&gt;=in_marketplace_from,d_hz_hlth_family*G12,0)</f>
        <v/>
      </c>
      <c r="AJ12" s="14">
        <f>F12*AI12*in_hlth_family_ticket*in_hlth_family_comm*in_ins_partner_share+F12*in_hlth_family_ticket*in_hlth_family_renew_comm*in_ins_partner_share*(in_hlth_family_renew^1*SUMIFS(AI2:AI61,B2:B61,B12-12)+in_hlth_family_renew^2*SUMIFS(AI2:AI61,B2:B61,B12-24)+in_hlth_family_renew^3*SUMIFS(AI2:AI61,B2:B61,B12-36)+in_hlth_family_renew^4*SUMIFS(AI2:AI61,B2:B61,B12-48))</f>
        <v/>
      </c>
      <c r="AK12" s="40">
        <f>AK11*(1-IF(B11&gt;=in_marketplace_from,d_hz_life_term*G11,0))</f>
        <v/>
      </c>
      <c r="AL12" s="46">
        <f>AK12*IF(B12&gt;=in_marketplace_from,d_hz_life_term*G12,0)</f>
        <v/>
      </c>
      <c r="AM12" s="14">
        <f>F12*AL12*in_life_term_ticket*in_life_term_comm*in_ins_partner_share+F12*in_life_term_ticket*in_life_term_renew_comm*in_ins_partner_share*(in_life_term_renew^1*SUMIFS(AL2:AL61,B2:B61,B12-12)+in_life_term_renew^2*SUMIFS(AL2:AL61,B2:B61,B12-24)+in_life_term_renew^3*SUMIFS(AL2:AL61,B2:B61,B12-36)+in_life_term_renew^4*SUMIFS(AL2:AL61,B2:B61,B12-48))</f>
        <v/>
      </c>
      <c r="AN12" s="40">
        <f>AN11*(1-IF(B11&gt;=in_marketplace_from,d_hz_accident*G11,0))</f>
        <v/>
      </c>
      <c r="AO12" s="46">
        <f>AN12*IF(B12&gt;=in_marketplace_from,d_hz_accident*G12,0)</f>
        <v/>
      </c>
      <c r="AP12" s="14">
        <f>F12*AO12*in_accident_ticket*in_accident_comm*in_ins_partner_share+F12*in_accident_ticket*in_accident_renew_comm*in_ins_partner_share*(in_accident_renew^1*SUMIFS(AO2:AO61,B2:B61,B12-12)+in_accident_renew^2*SUMIFS(AO2:AO61,B2:B61,B12-24)+in_accident_renew^3*SUMIFS(AO2:AO61,B2:B61,B12-36)+in_accident_renew^4*SUMIFS(AO2:AO61,B2:B61,B12-48))</f>
        <v/>
      </c>
      <c r="AQ12" s="40">
        <f>AQ11*(1-IF(B11&gt;=in_marketplace_from,d_hz_two_wheeler*G11,0))</f>
        <v/>
      </c>
      <c r="AR12" s="46">
        <f>AQ12*IF(B12&gt;=in_marketplace_from,d_hz_two_wheeler*G12,0)</f>
        <v/>
      </c>
      <c r="AS12" s="14">
        <f>F12*AR12*in_two_wheeler_ticket*in_two_wheeler_comm*in_ins_partner_share+F12*in_two_wheeler_ticket*in_two_wheeler_comm*in_ins_partner_share*(in_two_wheeler_renew^1*SUMIFS(AR2:AR61,B2:B61,B12-12)+in_two_wheeler_renew^2*SUMIFS(AR2:AR61,B2:B61,B12-24)+in_two_wheeler_renew^3*SUMIFS(AR2:AR61,B2:B61,B12-36)+in_two_wheeler_renew^4*SUMIFS(AR2:AR61,B2:B61,B12-48))</f>
        <v/>
      </c>
      <c r="AT12" s="40">
        <f>AT11*(1-IF(B11&gt;=in_marketplace_from,d_hz_device*G11,0))</f>
        <v/>
      </c>
      <c r="AU12" s="14">
        <f>F12*AT12*IF(B12&gt;=in_marketplace_from,d_hz_device*G12,0)*in_device_ticket*in_device_comm*in_ins_partner_share</f>
        <v/>
      </c>
      <c r="AV12" s="40">
        <f>AV11*(1-IF(B11&gt;=in_marketplace_from,d_hz_shop*G11,0))</f>
        <v/>
      </c>
      <c r="AW12" s="46">
        <f>AV12*IF(B12&gt;=in_marketplace_from,d_hz_shop*G12,0)</f>
        <v/>
      </c>
      <c r="AX12" s="14">
        <f>F12*AW12*in_shop_ticket*in_shop_comm*in_ins_partner_share+F12*in_shop_ticket*in_shop_renew_comm*in_ins_partner_share*(in_shop_renew^1*SUMIFS(AW2:AW61,B2:B61,B12-12)+in_shop_renew^2*SUMIFS(AW2:AW61,B2:B61,B12-24)+in_shop_renew^3*SUMIFS(AW2:AW61,B2:B61,B12-36)+in_shop_renew^4*SUMIFS(AW2:AW61,B2:B61,B12-48))</f>
        <v/>
      </c>
      <c r="AY12" s="40">
        <f>AY11*(1-IF(B11&gt;=in_marketplace_from,d_hz_sip*G11,0))</f>
        <v/>
      </c>
      <c r="AZ12" s="40">
        <f>AZ11*d_rho_sip+AY12*IF(B12&gt;=in_marketplace_from,d_hz_sip*G12,0)</f>
        <v/>
      </c>
      <c r="BA12" s="40">
        <f>d_rho_sip*(BA11+AZ11)</f>
        <v/>
      </c>
      <c r="BB12" s="14">
        <f>F12*in_sip_ticket*(BA12+0.5*AZ12)*in_sip_comm/12</f>
        <v/>
      </c>
      <c r="BC12" s="40">
        <f>BC11*(1-IF(B11&gt;=in_marketplace_from,d_hz_choti*G11,0))</f>
        <v/>
      </c>
      <c r="BD12" s="46">
        <f>BC12*IF(B12&gt;=in_marketplace_from,d_hz_choti*G12,0)</f>
        <v/>
      </c>
      <c r="BE12" s="14">
        <f>F12*SUMIFS(BD2:BD61,B2:B61,B12-in_choti_months)*in_choti_renew*in_choti_ticket</f>
        <v/>
      </c>
      <c r="BF12" s="40">
        <f>BF11*(1-IF(B11&gt;=in_marketplace_from,d_hz_nps*G11,0))</f>
        <v/>
      </c>
      <c r="BG12" s="14">
        <f>F12*BF12*IF(B12&gt;=in_marketplace_from,d_hz_nps*G12,0)*in_nps_ticket*in_nps_comm</f>
        <v/>
      </c>
      <c r="BH12" s="40">
        <f>BH11*(1-IF(B11&gt;=in_marketplace_from,d_hz_gold*G11,0))</f>
        <v/>
      </c>
      <c r="BI12" s="40">
        <f>BI11*d_rho_gold+BH12*IF(B12&gt;=in_marketplace_from,d_hz_gold*G12,0)</f>
        <v/>
      </c>
      <c r="BJ12" s="14">
        <f>F12*BI12*in_gold_ticket*in_gold_comm</f>
        <v/>
      </c>
      <c r="BK12" s="40">
        <f>BK11*(1-IF(B11&gt;=in_marketplace_from,d_hz_fd*G11,0))</f>
        <v/>
      </c>
      <c r="BL12" s="14">
        <f>F12*BK12*IF(B12&gt;=in_marketplace_from,d_hz_fd*G12,0)*in_fd_ticket*in_fd_comm</f>
        <v/>
      </c>
      <c r="BM12" s="40">
        <f>BM11*(1-IF(B11&gt;=in_marketplace_from,d_hz_recharge*G11,0))</f>
        <v/>
      </c>
      <c r="BN12" s="40">
        <f>BN11*d_rho_recharge+BM12*IF(B12&gt;=in_marketplace_from,d_hz_recharge*G12,0)</f>
        <v/>
      </c>
      <c r="BO12" s="14">
        <f>F12*BN12*in_recharge_ticket*in_recharge_comm/12</f>
        <v/>
      </c>
      <c r="BP12" s="40">
        <f>BP11*(1-IF(B11&gt;=in_marketplace_from,d_hz_bills*G11,0))</f>
        <v/>
      </c>
      <c r="BQ12" s="40">
        <f>BQ11*d_rho_bills+BP12*IF(B12&gt;=in_marketplace_from,d_hz_bills*G12,0)</f>
        <v/>
      </c>
      <c r="BR12" s="14">
        <f>F12*BQ12*in_bills_ticket*in_bills_comm/12</f>
        <v/>
      </c>
      <c r="BS12" s="40">
        <f>BS11*(1-IF(B11&gt;=in_marketplace_from,d_hz_loan_gold*G11,0))</f>
        <v/>
      </c>
      <c r="BT12" s="14">
        <f>F12*BS12*IF(B12&gt;=in_marketplace_from,d_hz_loan_gold*G12,0)*in_loan_gold_ticket*in_loan_gold_comm</f>
        <v/>
      </c>
      <c r="BU12" s="40">
        <f>BU11*(1-IF(B11&gt;=in_marketplace_from,d_hz_loan_cd*G11,0))</f>
        <v/>
      </c>
      <c r="BV12" s="14">
        <f>F12*BU12*IF(B12&gt;=in_marketplace_from,d_hz_loan_cd*G12,0)*in_loan_cd_ticket*in_loan_cd_comm</f>
        <v/>
      </c>
      <c r="BW12" s="40">
        <f>BW11*(1-IF(B11&gt;=in_marketplace_from,d_hz_loan_vehicle*G11,0))</f>
        <v/>
      </c>
      <c r="BX12" s="14">
        <f>F12*BW12*IF(B12&gt;=in_marketplace_from,d_hz_loan_vehicle*G12,0)*in_loan_vehicle_ticket*in_loan_vehicle_comm</f>
        <v/>
      </c>
      <c r="BY12" s="40">
        <f>BY11*(1-IF(B11&gt;=in_marketplace_from,d_hz_loan_home*G11,0)*BZ11)</f>
        <v/>
      </c>
      <c r="BZ12" s="11">
        <f>MIN(in_approval_cap,in_loan_home_approval*INDEX('Age profile'!$O$2:$O$61,B12)*(1+in_approval_growth)^(D12-1))</f>
        <v/>
      </c>
      <c r="CA12" s="14">
        <f>F12*BY12*IF(B12&gt;=in_marketplace_from,d_hz_loan_home*G12,0)*BZ12*in_loan_home_ticket*in_loan_home_comm</f>
        <v/>
      </c>
      <c r="CB12" s="40">
        <f>CB11*(1-IF(B11&gt;=in_marketplace_from,d_hz_loan_lap*G11,0)*CC11)</f>
        <v/>
      </c>
      <c r="CC12" s="11">
        <f>MIN(in_approval_cap,in_loan_lap_approval*INDEX('Age profile'!$O$2:$O$61,B12)*(1+in_approval_growth)^(D12-1))</f>
        <v/>
      </c>
      <c r="CD12" s="14">
        <f>F12*CB12*IF(B12&gt;=in_marketplace_from,d_hz_loan_lap*G12,0)*CC12*in_loan_lap_ticket*in_loan_lap_comm</f>
        <v/>
      </c>
      <c r="CE12" s="14">
        <f>AA12+AB12+AC12+AD12+AG12+AJ12+AM12+AP12+AS12+AU12+AX12+BB12+BE12+BG12+BJ12+BL12+BO12+BR12+BT12+BV12+BX12+CA12+CD12</f>
        <v/>
      </c>
    </row>
    <row r="13">
      <c r="A13" s="39" t="n">
        <v>1</v>
      </c>
      <c r="B13" s="39" t="n">
        <v>12</v>
      </c>
      <c r="C13" s="39">
        <f>A13+B13-1</f>
        <v/>
      </c>
      <c r="D13" s="39">
        <f>INT((C13-1)/12)+1</f>
        <v/>
      </c>
      <c r="E13" s="44">
        <f>INDEX(Monthly!$B$2:$B$61,A13)</f>
        <v/>
      </c>
      <c r="F13" s="44">
        <f>E13*INDEX('Age profile'!$B$2:$B$61,B13)</f>
        <v/>
      </c>
      <c r="G13" s="45">
        <f>MIN(in_takeup_cap,INDEX('Age profile'!$N$2:$N$61,B13)*(1+in_takeup_growth)^(D13-1))</f>
        <v/>
      </c>
      <c r="H13" s="11">
        <f>MIN(in_approval_cap,in_approved_first*INDEX('Age profile'!$O$2:$O$61,B13)*(1+in_approval_growth)^(D13-1))</f>
        <v/>
      </c>
      <c r="I13" s="45">
        <f>G13*MIN(in_takeup_cap,INDEX('Age profile'!$O$2:$O$61,B13)*(1+in_approval_growth)^(D13-1))</f>
        <v/>
      </c>
      <c r="J13" s="40">
        <f>(J12-L12)*F13/F12</f>
        <v/>
      </c>
      <c r="K13" s="40">
        <f>(K12-M12)*F13/F12+SUMIFS(O2:O12,B2:B12,B13-1-d_T)*F13</f>
        <v/>
      </c>
      <c r="L13" s="40">
        <f>IF(B13&gt;=in_marketplace_from,J13*d_hz*G13*in_eligible*H13,0)</f>
        <v/>
      </c>
      <c r="M13" s="40">
        <f>IF(B13&gt;=in_marketplace_from,K13*d_hz*G13*in_eligible*in_approved_repeat,0)</f>
        <v/>
      </c>
      <c r="N13" s="40">
        <f>L13+M13</f>
        <v/>
      </c>
      <c r="O13" s="46">
        <f>N13/F13</f>
        <v/>
      </c>
      <c r="P13" s="40">
        <f>F13-J13-K13</f>
        <v/>
      </c>
      <c r="Q13" s="40">
        <f>IF(B13&gt;=in_marketplace_from,(J13+K13)*d_hz*G13,0)</f>
        <v/>
      </c>
      <c r="R13" s="40">
        <f>SUMIFS(N2:N61,B2:B61,"&gt;="&amp;(B13-d_T),B2:B61,"&lt;="&amp;(B13-1))</f>
        <v/>
      </c>
      <c r="S13" s="46">
        <f>(1-d_u)*S12+IF(d_T&gt;in_topup_lag,SUMIFS(O2:O61,B2:B61,B13-in_topup_lag)-d_udrop*SUMIFS(O2:O61,B2:B61,B13-d_T),0)</f>
        <v/>
      </c>
      <c r="T13" s="40">
        <f>F13*d_u*S13</f>
        <v/>
      </c>
      <c r="U13" s="9">
        <f>L13*in_ticket+M13*d_rep_ticket</f>
        <v/>
      </c>
      <c r="V13" s="9">
        <f>U13+T13*d_topup_amt</f>
        <v/>
      </c>
      <c r="W13" s="40">
        <f>N13+T13*d_topup_ratio</f>
        <v/>
      </c>
      <c r="X13" s="40">
        <f>SUMIFS(W2:W61,B2:B61,B13-in_dpd_lag)*d_cured</f>
        <v/>
      </c>
      <c r="Y13" s="40">
        <f>SUMIFS(W2:W61,B2:B61,B13-in_rec_lag)*d_recd</f>
        <v/>
      </c>
      <c r="Z13" s="40">
        <f>IF(AND(B13&gt;=in_marketplace_from,B13&lt;in_marketplace_from+in_card_months),in_card_share/in_card_months*F13*I13,IF(AND(B13&gt;=in_marketplace_from+in_card_months,B13&lt;in_marketplace_from+2*in_card_months),in_card_share*d_card_rem/in_card_months*F13*MIN(in_takeup_cap,(1+in_takeup_growth)^(D13-1))*MIN(in_takeup_cap,(1+in_approval_growth)^(D13-1)),0))</f>
        <v/>
      </c>
      <c r="AA13" s="14">
        <f>V13*in_fee*(1-in_taken_back)</f>
        <v/>
      </c>
      <c r="AB13" s="14">
        <f>SUMIFS(W2:W61,B2:B61,B13-in_dpd_lag)*d_dpd</f>
        <v/>
      </c>
      <c r="AC13" s="14">
        <f>SUMIFS(W2:W61,B2:B61,B13-in_rec_lag)*d_rec</f>
        <v/>
      </c>
      <c r="AD13" s="14">
        <f>Z13*in_card_fee</f>
        <v/>
      </c>
      <c r="AE13" s="40">
        <f>AE12*(1-IF(B12&gt;=in_marketplace_from,d_hz_hlth_small*G12,0))</f>
        <v/>
      </c>
      <c r="AF13" s="46">
        <f>AE13*IF(B13&gt;=in_marketplace_from,d_hz_hlth_small*G13,0)</f>
        <v/>
      </c>
      <c r="AG13" s="14">
        <f>F13*AF13*in_hlth_small_ticket*in_hlth_small_comm*in_ins_partner_share+F13*in_hlth_small_ticket*in_hlth_small_renew_comm*in_ins_partner_share*(in_hlth_small_renew^1*SUMIFS(AF2:AF61,B2:B61,B13-12)+in_hlth_small_renew^2*SUMIFS(AF2:AF61,B2:B61,B13-24)+in_hlth_small_renew^3*SUMIFS(AF2:AF61,B2:B61,B13-36)+in_hlth_small_renew^4*SUMIFS(AF2:AF61,B2:B61,B13-48))</f>
        <v/>
      </c>
      <c r="AH13" s="40">
        <f>AH12*(1-IF(B12&gt;=in_marketplace_from,d_hz_hlth_family*G12,0))</f>
        <v/>
      </c>
      <c r="AI13" s="46">
        <f>AH13*IF(B13&gt;=in_marketplace_from,d_hz_hlth_family*G13,0)</f>
        <v/>
      </c>
      <c r="AJ13" s="14">
        <f>F13*AI13*in_hlth_family_ticket*in_hlth_family_comm*in_ins_partner_share+F13*in_hlth_family_ticket*in_hlth_family_renew_comm*in_ins_partner_share*(in_hlth_family_renew^1*SUMIFS(AI2:AI61,B2:B61,B13-12)+in_hlth_family_renew^2*SUMIFS(AI2:AI61,B2:B61,B13-24)+in_hlth_family_renew^3*SUMIFS(AI2:AI61,B2:B61,B13-36)+in_hlth_family_renew^4*SUMIFS(AI2:AI61,B2:B61,B13-48))</f>
        <v/>
      </c>
      <c r="AK13" s="40">
        <f>AK12*(1-IF(B12&gt;=in_marketplace_from,d_hz_life_term*G12,0))</f>
        <v/>
      </c>
      <c r="AL13" s="46">
        <f>AK13*IF(B13&gt;=in_marketplace_from,d_hz_life_term*G13,0)</f>
        <v/>
      </c>
      <c r="AM13" s="14">
        <f>F13*AL13*in_life_term_ticket*in_life_term_comm*in_ins_partner_share+F13*in_life_term_ticket*in_life_term_renew_comm*in_ins_partner_share*(in_life_term_renew^1*SUMIFS(AL2:AL61,B2:B61,B13-12)+in_life_term_renew^2*SUMIFS(AL2:AL61,B2:B61,B13-24)+in_life_term_renew^3*SUMIFS(AL2:AL61,B2:B61,B13-36)+in_life_term_renew^4*SUMIFS(AL2:AL61,B2:B61,B13-48))</f>
        <v/>
      </c>
      <c r="AN13" s="40">
        <f>AN12*(1-IF(B12&gt;=in_marketplace_from,d_hz_accident*G12,0))</f>
        <v/>
      </c>
      <c r="AO13" s="46">
        <f>AN13*IF(B13&gt;=in_marketplace_from,d_hz_accident*G13,0)</f>
        <v/>
      </c>
      <c r="AP13" s="14">
        <f>F13*AO13*in_accident_ticket*in_accident_comm*in_ins_partner_share+F13*in_accident_ticket*in_accident_renew_comm*in_ins_partner_share*(in_accident_renew^1*SUMIFS(AO2:AO61,B2:B61,B13-12)+in_accident_renew^2*SUMIFS(AO2:AO61,B2:B61,B13-24)+in_accident_renew^3*SUMIFS(AO2:AO61,B2:B61,B13-36)+in_accident_renew^4*SUMIFS(AO2:AO61,B2:B61,B13-48))</f>
        <v/>
      </c>
      <c r="AQ13" s="40">
        <f>AQ12*(1-IF(B12&gt;=in_marketplace_from,d_hz_two_wheeler*G12,0))</f>
        <v/>
      </c>
      <c r="AR13" s="46">
        <f>AQ13*IF(B13&gt;=in_marketplace_from,d_hz_two_wheeler*G13,0)</f>
        <v/>
      </c>
      <c r="AS13" s="14">
        <f>F13*AR13*in_two_wheeler_ticket*in_two_wheeler_comm*in_ins_partner_share+F13*in_two_wheeler_ticket*in_two_wheeler_comm*in_ins_partner_share*(in_two_wheeler_renew^1*SUMIFS(AR2:AR61,B2:B61,B13-12)+in_two_wheeler_renew^2*SUMIFS(AR2:AR61,B2:B61,B13-24)+in_two_wheeler_renew^3*SUMIFS(AR2:AR61,B2:B61,B13-36)+in_two_wheeler_renew^4*SUMIFS(AR2:AR61,B2:B61,B13-48))</f>
        <v/>
      </c>
      <c r="AT13" s="40">
        <f>AT12*(1-IF(B12&gt;=in_marketplace_from,d_hz_device*G12,0))</f>
        <v/>
      </c>
      <c r="AU13" s="14">
        <f>F13*AT13*IF(B13&gt;=in_marketplace_from,d_hz_device*G13,0)*in_device_ticket*in_device_comm*in_ins_partner_share</f>
        <v/>
      </c>
      <c r="AV13" s="40">
        <f>AV12*(1-IF(B12&gt;=in_marketplace_from,d_hz_shop*G12,0))</f>
        <v/>
      </c>
      <c r="AW13" s="46">
        <f>AV13*IF(B13&gt;=in_marketplace_from,d_hz_shop*G13,0)</f>
        <v/>
      </c>
      <c r="AX13" s="14">
        <f>F13*AW13*in_shop_ticket*in_shop_comm*in_ins_partner_share+F13*in_shop_ticket*in_shop_renew_comm*in_ins_partner_share*(in_shop_renew^1*SUMIFS(AW2:AW61,B2:B61,B13-12)+in_shop_renew^2*SUMIFS(AW2:AW61,B2:B61,B13-24)+in_shop_renew^3*SUMIFS(AW2:AW61,B2:B61,B13-36)+in_shop_renew^4*SUMIFS(AW2:AW61,B2:B61,B13-48))</f>
        <v/>
      </c>
      <c r="AY13" s="40">
        <f>AY12*(1-IF(B12&gt;=in_marketplace_from,d_hz_sip*G12,0))</f>
        <v/>
      </c>
      <c r="AZ13" s="40">
        <f>AZ12*d_rho_sip+AY13*IF(B13&gt;=in_marketplace_from,d_hz_sip*G13,0)</f>
        <v/>
      </c>
      <c r="BA13" s="40">
        <f>d_rho_sip*(BA12+AZ12)</f>
        <v/>
      </c>
      <c r="BB13" s="14">
        <f>F13*in_sip_ticket*(BA13+0.5*AZ13)*in_sip_comm/12</f>
        <v/>
      </c>
      <c r="BC13" s="40">
        <f>BC12*(1-IF(B12&gt;=in_marketplace_from,d_hz_choti*G12,0))</f>
        <v/>
      </c>
      <c r="BD13" s="46">
        <f>BC13*IF(B13&gt;=in_marketplace_from,d_hz_choti*G13,0)</f>
        <v/>
      </c>
      <c r="BE13" s="14">
        <f>F13*SUMIFS(BD2:BD61,B2:B61,B13-in_choti_months)*in_choti_renew*in_choti_ticket</f>
        <v/>
      </c>
      <c r="BF13" s="40">
        <f>BF12*(1-IF(B12&gt;=in_marketplace_from,d_hz_nps*G12,0))</f>
        <v/>
      </c>
      <c r="BG13" s="14">
        <f>F13*BF13*IF(B13&gt;=in_marketplace_from,d_hz_nps*G13,0)*in_nps_ticket*in_nps_comm</f>
        <v/>
      </c>
      <c r="BH13" s="40">
        <f>BH12*(1-IF(B12&gt;=in_marketplace_from,d_hz_gold*G12,0))</f>
        <v/>
      </c>
      <c r="BI13" s="40">
        <f>BI12*d_rho_gold+BH13*IF(B13&gt;=in_marketplace_from,d_hz_gold*G13,0)</f>
        <v/>
      </c>
      <c r="BJ13" s="14">
        <f>F13*BI13*in_gold_ticket*in_gold_comm</f>
        <v/>
      </c>
      <c r="BK13" s="40">
        <f>BK12*(1-IF(B12&gt;=in_marketplace_from,d_hz_fd*G12,0))</f>
        <v/>
      </c>
      <c r="BL13" s="14">
        <f>F13*BK13*IF(B13&gt;=in_marketplace_from,d_hz_fd*G13,0)*in_fd_ticket*in_fd_comm</f>
        <v/>
      </c>
      <c r="BM13" s="40">
        <f>BM12*(1-IF(B12&gt;=in_marketplace_from,d_hz_recharge*G12,0))</f>
        <v/>
      </c>
      <c r="BN13" s="40">
        <f>BN12*d_rho_recharge+BM13*IF(B13&gt;=in_marketplace_from,d_hz_recharge*G13,0)</f>
        <v/>
      </c>
      <c r="BO13" s="14">
        <f>F13*BN13*in_recharge_ticket*in_recharge_comm/12</f>
        <v/>
      </c>
      <c r="BP13" s="40">
        <f>BP12*(1-IF(B12&gt;=in_marketplace_from,d_hz_bills*G12,0))</f>
        <v/>
      </c>
      <c r="BQ13" s="40">
        <f>BQ12*d_rho_bills+BP13*IF(B13&gt;=in_marketplace_from,d_hz_bills*G13,0)</f>
        <v/>
      </c>
      <c r="BR13" s="14">
        <f>F13*BQ13*in_bills_ticket*in_bills_comm/12</f>
        <v/>
      </c>
      <c r="BS13" s="40">
        <f>BS12*(1-IF(B12&gt;=in_marketplace_from,d_hz_loan_gold*G12,0))</f>
        <v/>
      </c>
      <c r="BT13" s="14">
        <f>F13*BS13*IF(B13&gt;=in_marketplace_from,d_hz_loan_gold*G13,0)*in_loan_gold_ticket*in_loan_gold_comm</f>
        <v/>
      </c>
      <c r="BU13" s="40">
        <f>BU12*(1-IF(B12&gt;=in_marketplace_from,d_hz_loan_cd*G12,0))</f>
        <v/>
      </c>
      <c r="BV13" s="14">
        <f>F13*BU13*IF(B13&gt;=in_marketplace_from,d_hz_loan_cd*G13,0)*in_loan_cd_ticket*in_loan_cd_comm</f>
        <v/>
      </c>
      <c r="BW13" s="40">
        <f>BW12*(1-IF(B12&gt;=in_marketplace_from,d_hz_loan_vehicle*G12,0))</f>
        <v/>
      </c>
      <c r="BX13" s="14">
        <f>F13*BW13*IF(B13&gt;=in_marketplace_from,d_hz_loan_vehicle*G13,0)*in_loan_vehicle_ticket*in_loan_vehicle_comm</f>
        <v/>
      </c>
      <c r="BY13" s="40">
        <f>BY12*(1-IF(B12&gt;=in_marketplace_from,d_hz_loan_home*G12,0)*BZ12)</f>
        <v/>
      </c>
      <c r="BZ13" s="11">
        <f>MIN(in_approval_cap,in_loan_home_approval*INDEX('Age profile'!$O$2:$O$61,B13)*(1+in_approval_growth)^(D13-1))</f>
        <v/>
      </c>
      <c r="CA13" s="14">
        <f>F13*BY13*IF(B13&gt;=in_marketplace_from,d_hz_loan_home*G13,0)*BZ13*in_loan_home_ticket*in_loan_home_comm</f>
        <v/>
      </c>
      <c r="CB13" s="40">
        <f>CB12*(1-IF(B12&gt;=in_marketplace_from,d_hz_loan_lap*G12,0)*CC12)</f>
        <v/>
      </c>
      <c r="CC13" s="11">
        <f>MIN(in_approval_cap,in_loan_lap_approval*INDEX('Age profile'!$O$2:$O$61,B13)*(1+in_approval_growth)^(D13-1))</f>
        <v/>
      </c>
      <c r="CD13" s="14">
        <f>F13*CB13*IF(B13&gt;=in_marketplace_from,d_hz_loan_lap*G13,0)*CC13*in_loan_lap_ticket*in_loan_lap_comm</f>
        <v/>
      </c>
      <c r="CE13" s="14">
        <f>AA13+AB13+AC13+AD13+AG13+AJ13+AM13+AP13+AS13+AU13+AX13+BB13+BE13+BG13+BJ13+BL13+BO13+BR13+BT13+BV13+BX13+CA13+CD13</f>
        <v/>
      </c>
    </row>
    <row r="14">
      <c r="A14" s="39" t="n">
        <v>1</v>
      </c>
      <c r="B14" s="39" t="n">
        <v>13</v>
      </c>
      <c r="C14" s="39">
        <f>A14+B14-1</f>
        <v/>
      </c>
      <c r="D14" s="39">
        <f>INT((C14-1)/12)+1</f>
        <v/>
      </c>
      <c r="E14" s="44">
        <f>INDEX(Monthly!$B$2:$B$61,A14)</f>
        <v/>
      </c>
      <c r="F14" s="44">
        <f>E14*INDEX('Age profile'!$B$2:$B$61,B14)</f>
        <v/>
      </c>
      <c r="G14" s="45">
        <f>MIN(in_takeup_cap,INDEX('Age profile'!$N$2:$N$61,B14)*(1+in_takeup_growth)^(D14-1))</f>
        <v/>
      </c>
      <c r="H14" s="11">
        <f>MIN(in_approval_cap,in_approved_first*INDEX('Age profile'!$O$2:$O$61,B14)*(1+in_approval_growth)^(D14-1))</f>
        <v/>
      </c>
      <c r="I14" s="45">
        <f>G14*MIN(in_takeup_cap,INDEX('Age profile'!$O$2:$O$61,B14)*(1+in_approval_growth)^(D14-1))</f>
        <v/>
      </c>
      <c r="J14" s="40">
        <f>(J13-L13)*F14/F13</f>
        <v/>
      </c>
      <c r="K14" s="40">
        <f>(K13-M13)*F14/F13+SUMIFS(O2:O13,B2:B13,B14-1-d_T)*F14</f>
        <v/>
      </c>
      <c r="L14" s="40">
        <f>IF(B14&gt;=in_marketplace_from,J14*d_hz*G14*in_eligible*H14,0)</f>
        <v/>
      </c>
      <c r="M14" s="40">
        <f>IF(B14&gt;=in_marketplace_from,K14*d_hz*G14*in_eligible*in_approved_repeat,0)</f>
        <v/>
      </c>
      <c r="N14" s="40">
        <f>L14+M14</f>
        <v/>
      </c>
      <c r="O14" s="46">
        <f>N14/F14</f>
        <v/>
      </c>
      <c r="P14" s="40">
        <f>F14-J14-K14</f>
        <v/>
      </c>
      <c r="Q14" s="40">
        <f>IF(B14&gt;=in_marketplace_from,(J14+K14)*d_hz*G14,0)</f>
        <v/>
      </c>
      <c r="R14" s="40">
        <f>SUMIFS(N2:N61,B2:B61,"&gt;="&amp;(B14-d_T),B2:B61,"&lt;="&amp;(B14-1))</f>
        <v/>
      </c>
      <c r="S14" s="46">
        <f>(1-d_u)*S13+IF(d_T&gt;in_topup_lag,SUMIFS(O2:O61,B2:B61,B14-in_topup_lag)-d_udrop*SUMIFS(O2:O61,B2:B61,B14-d_T),0)</f>
        <v/>
      </c>
      <c r="T14" s="40">
        <f>F14*d_u*S14</f>
        <v/>
      </c>
      <c r="U14" s="9">
        <f>L14*in_ticket+M14*d_rep_ticket</f>
        <v/>
      </c>
      <c r="V14" s="9">
        <f>U14+T14*d_topup_amt</f>
        <v/>
      </c>
      <c r="W14" s="40">
        <f>N14+T14*d_topup_ratio</f>
        <v/>
      </c>
      <c r="X14" s="40">
        <f>SUMIFS(W2:W61,B2:B61,B14-in_dpd_lag)*d_cured</f>
        <v/>
      </c>
      <c r="Y14" s="40">
        <f>SUMIFS(W2:W61,B2:B61,B14-in_rec_lag)*d_recd</f>
        <v/>
      </c>
      <c r="Z14" s="40">
        <f>IF(AND(B14&gt;=in_marketplace_from,B14&lt;in_marketplace_from+in_card_months),in_card_share/in_card_months*F14*I14,IF(AND(B14&gt;=in_marketplace_from+in_card_months,B14&lt;in_marketplace_from+2*in_card_months),in_card_share*d_card_rem/in_card_months*F14*MIN(in_takeup_cap,(1+in_takeup_growth)^(D14-1))*MIN(in_takeup_cap,(1+in_approval_growth)^(D14-1)),0))</f>
        <v/>
      </c>
      <c r="AA14" s="14">
        <f>V14*in_fee*(1-in_taken_back)</f>
        <v/>
      </c>
      <c r="AB14" s="14">
        <f>SUMIFS(W2:W61,B2:B61,B14-in_dpd_lag)*d_dpd</f>
        <v/>
      </c>
      <c r="AC14" s="14">
        <f>SUMIFS(W2:W61,B2:B61,B14-in_rec_lag)*d_rec</f>
        <v/>
      </c>
      <c r="AD14" s="14">
        <f>Z14*in_card_fee</f>
        <v/>
      </c>
      <c r="AE14" s="40">
        <f>AE13*(1-IF(B13&gt;=in_marketplace_from,d_hz_hlth_small*G13,0))</f>
        <v/>
      </c>
      <c r="AF14" s="46">
        <f>AE14*IF(B14&gt;=in_marketplace_from,d_hz_hlth_small*G14,0)</f>
        <v/>
      </c>
      <c r="AG14" s="14">
        <f>F14*AF14*in_hlth_small_ticket*in_hlth_small_comm*in_ins_partner_share+F14*in_hlth_small_ticket*in_hlth_small_renew_comm*in_ins_partner_share*(in_hlth_small_renew^1*SUMIFS(AF2:AF61,B2:B61,B14-12)+in_hlth_small_renew^2*SUMIFS(AF2:AF61,B2:B61,B14-24)+in_hlth_small_renew^3*SUMIFS(AF2:AF61,B2:B61,B14-36)+in_hlth_small_renew^4*SUMIFS(AF2:AF61,B2:B61,B14-48))</f>
        <v/>
      </c>
      <c r="AH14" s="40">
        <f>AH13*(1-IF(B13&gt;=in_marketplace_from,d_hz_hlth_family*G13,0))</f>
        <v/>
      </c>
      <c r="AI14" s="46">
        <f>AH14*IF(B14&gt;=in_marketplace_from,d_hz_hlth_family*G14,0)</f>
        <v/>
      </c>
      <c r="AJ14" s="14">
        <f>F14*AI14*in_hlth_family_ticket*in_hlth_family_comm*in_ins_partner_share+F14*in_hlth_family_ticket*in_hlth_family_renew_comm*in_ins_partner_share*(in_hlth_family_renew^1*SUMIFS(AI2:AI61,B2:B61,B14-12)+in_hlth_family_renew^2*SUMIFS(AI2:AI61,B2:B61,B14-24)+in_hlth_family_renew^3*SUMIFS(AI2:AI61,B2:B61,B14-36)+in_hlth_family_renew^4*SUMIFS(AI2:AI61,B2:B61,B14-48))</f>
        <v/>
      </c>
      <c r="AK14" s="40">
        <f>AK13*(1-IF(B13&gt;=in_marketplace_from,d_hz_life_term*G13,0))</f>
        <v/>
      </c>
      <c r="AL14" s="46">
        <f>AK14*IF(B14&gt;=in_marketplace_from,d_hz_life_term*G14,0)</f>
        <v/>
      </c>
      <c r="AM14" s="14">
        <f>F14*AL14*in_life_term_ticket*in_life_term_comm*in_ins_partner_share+F14*in_life_term_ticket*in_life_term_renew_comm*in_ins_partner_share*(in_life_term_renew^1*SUMIFS(AL2:AL61,B2:B61,B14-12)+in_life_term_renew^2*SUMIFS(AL2:AL61,B2:B61,B14-24)+in_life_term_renew^3*SUMIFS(AL2:AL61,B2:B61,B14-36)+in_life_term_renew^4*SUMIFS(AL2:AL61,B2:B61,B14-48))</f>
        <v/>
      </c>
      <c r="AN14" s="40">
        <f>AN13*(1-IF(B13&gt;=in_marketplace_from,d_hz_accident*G13,0))</f>
        <v/>
      </c>
      <c r="AO14" s="46">
        <f>AN14*IF(B14&gt;=in_marketplace_from,d_hz_accident*G14,0)</f>
        <v/>
      </c>
      <c r="AP14" s="14">
        <f>F14*AO14*in_accident_ticket*in_accident_comm*in_ins_partner_share+F14*in_accident_ticket*in_accident_renew_comm*in_ins_partner_share*(in_accident_renew^1*SUMIFS(AO2:AO61,B2:B61,B14-12)+in_accident_renew^2*SUMIFS(AO2:AO61,B2:B61,B14-24)+in_accident_renew^3*SUMIFS(AO2:AO61,B2:B61,B14-36)+in_accident_renew^4*SUMIFS(AO2:AO61,B2:B61,B14-48))</f>
        <v/>
      </c>
      <c r="AQ14" s="40">
        <f>AQ13*(1-IF(B13&gt;=in_marketplace_from,d_hz_two_wheeler*G13,0))</f>
        <v/>
      </c>
      <c r="AR14" s="46">
        <f>AQ14*IF(B14&gt;=in_marketplace_from,d_hz_two_wheeler*G14,0)</f>
        <v/>
      </c>
      <c r="AS14" s="14">
        <f>F14*AR14*in_two_wheeler_ticket*in_two_wheeler_comm*in_ins_partner_share+F14*in_two_wheeler_ticket*in_two_wheeler_comm*in_ins_partner_share*(in_two_wheeler_renew^1*SUMIFS(AR2:AR61,B2:B61,B14-12)+in_two_wheeler_renew^2*SUMIFS(AR2:AR61,B2:B61,B14-24)+in_two_wheeler_renew^3*SUMIFS(AR2:AR61,B2:B61,B14-36)+in_two_wheeler_renew^4*SUMIFS(AR2:AR61,B2:B61,B14-48))</f>
        <v/>
      </c>
      <c r="AT14" s="40">
        <f>AT13*(1-IF(B13&gt;=in_marketplace_from,d_hz_device*G13,0))</f>
        <v/>
      </c>
      <c r="AU14" s="14">
        <f>F14*AT14*IF(B14&gt;=in_marketplace_from,d_hz_device*G14,0)*in_device_ticket*in_device_comm*in_ins_partner_share</f>
        <v/>
      </c>
      <c r="AV14" s="40">
        <f>AV13*(1-IF(B13&gt;=in_marketplace_from,d_hz_shop*G13,0))</f>
        <v/>
      </c>
      <c r="AW14" s="46">
        <f>AV14*IF(B14&gt;=in_marketplace_from,d_hz_shop*G14,0)</f>
        <v/>
      </c>
      <c r="AX14" s="14">
        <f>F14*AW14*in_shop_ticket*in_shop_comm*in_ins_partner_share+F14*in_shop_ticket*in_shop_renew_comm*in_ins_partner_share*(in_shop_renew^1*SUMIFS(AW2:AW61,B2:B61,B14-12)+in_shop_renew^2*SUMIFS(AW2:AW61,B2:B61,B14-24)+in_shop_renew^3*SUMIFS(AW2:AW61,B2:B61,B14-36)+in_shop_renew^4*SUMIFS(AW2:AW61,B2:B61,B14-48))</f>
        <v/>
      </c>
      <c r="AY14" s="40">
        <f>AY13*(1-IF(B13&gt;=in_marketplace_from,d_hz_sip*G13,0))</f>
        <v/>
      </c>
      <c r="AZ14" s="40">
        <f>AZ13*d_rho_sip+AY14*IF(B14&gt;=in_marketplace_from,d_hz_sip*G14,0)</f>
        <v/>
      </c>
      <c r="BA14" s="40">
        <f>d_rho_sip*(BA13+AZ13)</f>
        <v/>
      </c>
      <c r="BB14" s="14">
        <f>F14*in_sip_ticket*(BA14+0.5*AZ14)*in_sip_comm/12</f>
        <v/>
      </c>
      <c r="BC14" s="40">
        <f>BC13*(1-IF(B13&gt;=in_marketplace_from,d_hz_choti*G13,0))</f>
        <v/>
      </c>
      <c r="BD14" s="46">
        <f>BC14*IF(B14&gt;=in_marketplace_from,d_hz_choti*G14,0)</f>
        <v/>
      </c>
      <c r="BE14" s="14">
        <f>F14*SUMIFS(BD2:BD61,B2:B61,B14-in_choti_months)*in_choti_renew*in_choti_ticket</f>
        <v/>
      </c>
      <c r="BF14" s="40">
        <f>BF13*(1-IF(B13&gt;=in_marketplace_from,d_hz_nps*G13,0))</f>
        <v/>
      </c>
      <c r="BG14" s="14">
        <f>F14*BF14*IF(B14&gt;=in_marketplace_from,d_hz_nps*G14,0)*in_nps_ticket*in_nps_comm</f>
        <v/>
      </c>
      <c r="BH14" s="40">
        <f>BH13*(1-IF(B13&gt;=in_marketplace_from,d_hz_gold*G13,0))</f>
        <v/>
      </c>
      <c r="BI14" s="40">
        <f>BI13*d_rho_gold+BH14*IF(B14&gt;=in_marketplace_from,d_hz_gold*G14,0)</f>
        <v/>
      </c>
      <c r="BJ14" s="14">
        <f>F14*BI14*in_gold_ticket*in_gold_comm</f>
        <v/>
      </c>
      <c r="BK14" s="40">
        <f>BK13*(1-IF(B13&gt;=in_marketplace_from,d_hz_fd*G13,0))</f>
        <v/>
      </c>
      <c r="BL14" s="14">
        <f>F14*BK14*IF(B14&gt;=in_marketplace_from,d_hz_fd*G14,0)*in_fd_ticket*in_fd_comm</f>
        <v/>
      </c>
      <c r="BM14" s="40">
        <f>BM13*(1-IF(B13&gt;=in_marketplace_from,d_hz_recharge*G13,0))</f>
        <v/>
      </c>
      <c r="BN14" s="40">
        <f>BN13*d_rho_recharge+BM14*IF(B14&gt;=in_marketplace_from,d_hz_recharge*G14,0)</f>
        <v/>
      </c>
      <c r="BO14" s="14">
        <f>F14*BN14*in_recharge_ticket*in_recharge_comm/12</f>
        <v/>
      </c>
      <c r="BP14" s="40">
        <f>BP13*(1-IF(B13&gt;=in_marketplace_from,d_hz_bills*G13,0))</f>
        <v/>
      </c>
      <c r="BQ14" s="40">
        <f>BQ13*d_rho_bills+BP14*IF(B14&gt;=in_marketplace_from,d_hz_bills*G14,0)</f>
        <v/>
      </c>
      <c r="BR14" s="14">
        <f>F14*BQ14*in_bills_ticket*in_bills_comm/12</f>
        <v/>
      </c>
      <c r="BS14" s="40">
        <f>BS13*(1-IF(B13&gt;=in_marketplace_from,d_hz_loan_gold*G13,0))</f>
        <v/>
      </c>
      <c r="BT14" s="14">
        <f>F14*BS14*IF(B14&gt;=in_marketplace_from,d_hz_loan_gold*G14,0)*in_loan_gold_ticket*in_loan_gold_comm</f>
        <v/>
      </c>
      <c r="BU14" s="40">
        <f>BU13*(1-IF(B13&gt;=in_marketplace_from,d_hz_loan_cd*G13,0))</f>
        <v/>
      </c>
      <c r="BV14" s="14">
        <f>F14*BU14*IF(B14&gt;=in_marketplace_from,d_hz_loan_cd*G14,0)*in_loan_cd_ticket*in_loan_cd_comm</f>
        <v/>
      </c>
      <c r="BW14" s="40">
        <f>BW13*(1-IF(B13&gt;=in_marketplace_from,d_hz_loan_vehicle*G13,0))</f>
        <v/>
      </c>
      <c r="BX14" s="14">
        <f>F14*BW14*IF(B14&gt;=in_marketplace_from,d_hz_loan_vehicle*G14,0)*in_loan_vehicle_ticket*in_loan_vehicle_comm</f>
        <v/>
      </c>
      <c r="BY14" s="40">
        <f>BY13*(1-IF(B13&gt;=in_marketplace_from,d_hz_loan_home*G13,0)*BZ13)</f>
        <v/>
      </c>
      <c r="BZ14" s="11">
        <f>MIN(in_approval_cap,in_loan_home_approval*INDEX('Age profile'!$O$2:$O$61,B14)*(1+in_approval_growth)^(D14-1))</f>
        <v/>
      </c>
      <c r="CA14" s="14">
        <f>F14*BY14*IF(B14&gt;=in_marketplace_from,d_hz_loan_home*G14,0)*BZ14*in_loan_home_ticket*in_loan_home_comm</f>
        <v/>
      </c>
      <c r="CB14" s="40">
        <f>CB13*(1-IF(B13&gt;=in_marketplace_from,d_hz_loan_lap*G13,0)*CC13)</f>
        <v/>
      </c>
      <c r="CC14" s="11">
        <f>MIN(in_approval_cap,in_loan_lap_approval*INDEX('Age profile'!$O$2:$O$61,B14)*(1+in_approval_growth)^(D14-1))</f>
        <v/>
      </c>
      <c r="CD14" s="14">
        <f>F14*CB14*IF(B14&gt;=in_marketplace_from,d_hz_loan_lap*G14,0)*CC14*in_loan_lap_ticket*in_loan_lap_comm</f>
        <v/>
      </c>
      <c r="CE14" s="14">
        <f>AA14+AB14+AC14+AD14+AG14+AJ14+AM14+AP14+AS14+AU14+AX14+BB14+BE14+BG14+BJ14+BL14+BO14+BR14+BT14+BV14+BX14+CA14+CD14</f>
        <v/>
      </c>
    </row>
    <row r="15">
      <c r="A15" s="39" t="n">
        <v>1</v>
      </c>
      <c r="B15" s="39" t="n">
        <v>14</v>
      </c>
      <c r="C15" s="39">
        <f>A15+B15-1</f>
        <v/>
      </c>
      <c r="D15" s="39">
        <f>INT((C15-1)/12)+1</f>
        <v/>
      </c>
      <c r="E15" s="44">
        <f>INDEX(Monthly!$B$2:$B$61,A15)</f>
        <v/>
      </c>
      <c r="F15" s="44">
        <f>E15*INDEX('Age profile'!$B$2:$B$61,B15)</f>
        <v/>
      </c>
      <c r="G15" s="45">
        <f>MIN(in_takeup_cap,INDEX('Age profile'!$N$2:$N$61,B15)*(1+in_takeup_growth)^(D15-1))</f>
        <v/>
      </c>
      <c r="H15" s="11">
        <f>MIN(in_approval_cap,in_approved_first*INDEX('Age profile'!$O$2:$O$61,B15)*(1+in_approval_growth)^(D15-1))</f>
        <v/>
      </c>
      <c r="I15" s="45">
        <f>G15*MIN(in_takeup_cap,INDEX('Age profile'!$O$2:$O$61,B15)*(1+in_approval_growth)^(D15-1))</f>
        <v/>
      </c>
      <c r="J15" s="40">
        <f>(J14-L14)*F15/F14</f>
        <v/>
      </c>
      <c r="K15" s="40">
        <f>(K14-M14)*F15/F14+SUMIFS(O2:O14,B2:B14,B15-1-d_T)*F15</f>
        <v/>
      </c>
      <c r="L15" s="40">
        <f>IF(B15&gt;=in_marketplace_from,J15*d_hz*G15*in_eligible*H15,0)</f>
        <v/>
      </c>
      <c r="M15" s="40">
        <f>IF(B15&gt;=in_marketplace_from,K15*d_hz*G15*in_eligible*in_approved_repeat,0)</f>
        <v/>
      </c>
      <c r="N15" s="40">
        <f>L15+M15</f>
        <v/>
      </c>
      <c r="O15" s="46">
        <f>N15/F15</f>
        <v/>
      </c>
      <c r="P15" s="40">
        <f>F15-J15-K15</f>
        <v/>
      </c>
      <c r="Q15" s="40">
        <f>IF(B15&gt;=in_marketplace_from,(J15+K15)*d_hz*G15,0)</f>
        <v/>
      </c>
      <c r="R15" s="40">
        <f>SUMIFS(N2:N61,B2:B61,"&gt;="&amp;(B15-d_T),B2:B61,"&lt;="&amp;(B15-1))</f>
        <v/>
      </c>
      <c r="S15" s="46">
        <f>(1-d_u)*S14+IF(d_T&gt;in_topup_lag,SUMIFS(O2:O61,B2:B61,B15-in_topup_lag)-d_udrop*SUMIFS(O2:O61,B2:B61,B15-d_T),0)</f>
        <v/>
      </c>
      <c r="T15" s="40">
        <f>F15*d_u*S15</f>
        <v/>
      </c>
      <c r="U15" s="9">
        <f>L15*in_ticket+M15*d_rep_ticket</f>
        <v/>
      </c>
      <c r="V15" s="9">
        <f>U15+T15*d_topup_amt</f>
        <v/>
      </c>
      <c r="W15" s="40">
        <f>N15+T15*d_topup_ratio</f>
        <v/>
      </c>
      <c r="X15" s="40">
        <f>SUMIFS(W2:W61,B2:B61,B15-in_dpd_lag)*d_cured</f>
        <v/>
      </c>
      <c r="Y15" s="40">
        <f>SUMIFS(W2:W61,B2:B61,B15-in_rec_lag)*d_recd</f>
        <v/>
      </c>
      <c r="Z15" s="40">
        <f>IF(AND(B15&gt;=in_marketplace_from,B15&lt;in_marketplace_from+in_card_months),in_card_share/in_card_months*F15*I15,IF(AND(B15&gt;=in_marketplace_from+in_card_months,B15&lt;in_marketplace_from+2*in_card_months),in_card_share*d_card_rem/in_card_months*F15*MIN(in_takeup_cap,(1+in_takeup_growth)^(D15-1))*MIN(in_takeup_cap,(1+in_approval_growth)^(D15-1)),0))</f>
        <v/>
      </c>
      <c r="AA15" s="14">
        <f>V15*in_fee*(1-in_taken_back)</f>
        <v/>
      </c>
      <c r="AB15" s="14">
        <f>SUMIFS(W2:W61,B2:B61,B15-in_dpd_lag)*d_dpd</f>
        <v/>
      </c>
      <c r="AC15" s="14">
        <f>SUMIFS(W2:W61,B2:B61,B15-in_rec_lag)*d_rec</f>
        <v/>
      </c>
      <c r="AD15" s="14">
        <f>Z15*in_card_fee</f>
        <v/>
      </c>
      <c r="AE15" s="40">
        <f>AE14*(1-IF(B14&gt;=in_marketplace_from,d_hz_hlth_small*G14,0))</f>
        <v/>
      </c>
      <c r="AF15" s="46">
        <f>AE15*IF(B15&gt;=in_marketplace_from,d_hz_hlth_small*G15,0)</f>
        <v/>
      </c>
      <c r="AG15" s="14">
        <f>F15*AF15*in_hlth_small_ticket*in_hlth_small_comm*in_ins_partner_share+F15*in_hlth_small_ticket*in_hlth_small_renew_comm*in_ins_partner_share*(in_hlth_small_renew^1*SUMIFS(AF2:AF61,B2:B61,B15-12)+in_hlth_small_renew^2*SUMIFS(AF2:AF61,B2:B61,B15-24)+in_hlth_small_renew^3*SUMIFS(AF2:AF61,B2:B61,B15-36)+in_hlth_small_renew^4*SUMIFS(AF2:AF61,B2:B61,B15-48))</f>
        <v/>
      </c>
      <c r="AH15" s="40">
        <f>AH14*(1-IF(B14&gt;=in_marketplace_from,d_hz_hlth_family*G14,0))</f>
        <v/>
      </c>
      <c r="AI15" s="46">
        <f>AH15*IF(B15&gt;=in_marketplace_from,d_hz_hlth_family*G15,0)</f>
        <v/>
      </c>
      <c r="AJ15" s="14">
        <f>F15*AI15*in_hlth_family_ticket*in_hlth_family_comm*in_ins_partner_share+F15*in_hlth_family_ticket*in_hlth_family_renew_comm*in_ins_partner_share*(in_hlth_family_renew^1*SUMIFS(AI2:AI61,B2:B61,B15-12)+in_hlth_family_renew^2*SUMIFS(AI2:AI61,B2:B61,B15-24)+in_hlth_family_renew^3*SUMIFS(AI2:AI61,B2:B61,B15-36)+in_hlth_family_renew^4*SUMIFS(AI2:AI61,B2:B61,B15-48))</f>
        <v/>
      </c>
      <c r="AK15" s="40">
        <f>AK14*(1-IF(B14&gt;=in_marketplace_from,d_hz_life_term*G14,0))</f>
        <v/>
      </c>
      <c r="AL15" s="46">
        <f>AK15*IF(B15&gt;=in_marketplace_from,d_hz_life_term*G15,0)</f>
        <v/>
      </c>
      <c r="AM15" s="14">
        <f>F15*AL15*in_life_term_ticket*in_life_term_comm*in_ins_partner_share+F15*in_life_term_ticket*in_life_term_renew_comm*in_ins_partner_share*(in_life_term_renew^1*SUMIFS(AL2:AL61,B2:B61,B15-12)+in_life_term_renew^2*SUMIFS(AL2:AL61,B2:B61,B15-24)+in_life_term_renew^3*SUMIFS(AL2:AL61,B2:B61,B15-36)+in_life_term_renew^4*SUMIFS(AL2:AL61,B2:B61,B15-48))</f>
        <v/>
      </c>
      <c r="AN15" s="40">
        <f>AN14*(1-IF(B14&gt;=in_marketplace_from,d_hz_accident*G14,0))</f>
        <v/>
      </c>
      <c r="AO15" s="46">
        <f>AN15*IF(B15&gt;=in_marketplace_from,d_hz_accident*G15,0)</f>
        <v/>
      </c>
      <c r="AP15" s="14">
        <f>F15*AO15*in_accident_ticket*in_accident_comm*in_ins_partner_share+F15*in_accident_ticket*in_accident_renew_comm*in_ins_partner_share*(in_accident_renew^1*SUMIFS(AO2:AO61,B2:B61,B15-12)+in_accident_renew^2*SUMIFS(AO2:AO61,B2:B61,B15-24)+in_accident_renew^3*SUMIFS(AO2:AO61,B2:B61,B15-36)+in_accident_renew^4*SUMIFS(AO2:AO61,B2:B61,B15-48))</f>
        <v/>
      </c>
      <c r="AQ15" s="40">
        <f>AQ14*(1-IF(B14&gt;=in_marketplace_from,d_hz_two_wheeler*G14,0))</f>
        <v/>
      </c>
      <c r="AR15" s="46">
        <f>AQ15*IF(B15&gt;=in_marketplace_from,d_hz_two_wheeler*G15,0)</f>
        <v/>
      </c>
      <c r="AS15" s="14">
        <f>F15*AR15*in_two_wheeler_ticket*in_two_wheeler_comm*in_ins_partner_share+F15*in_two_wheeler_ticket*in_two_wheeler_comm*in_ins_partner_share*(in_two_wheeler_renew^1*SUMIFS(AR2:AR61,B2:B61,B15-12)+in_two_wheeler_renew^2*SUMIFS(AR2:AR61,B2:B61,B15-24)+in_two_wheeler_renew^3*SUMIFS(AR2:AR61,B2:B61,B15-36)+in_two_wheeler_renew^4*SUMIFS(AR2:AR61,B2:B61,B15-48))</f>
        <v/>
      </c>
      <c r="AT15" s="40">
        <f>AT14*(1-IF(B14&gt;=in_marketplace_from,d_hz_device*G14,0))</f>
        <v/>
      </c>
      <c r="AU15" s="14">
        <f>F15*AT15*IF(B15&gt;=in_marketplace_from,d_hz_device*G15,0)*in_device_ticket*in_device_comm*in_ins_partner_share</f>
        <v/>
      </c>
      <c r="AV15" s="40">
        <f>AV14*(1-IF(B14&gt;=in_marketplace_from,d_hz_shop*G14,0))</f>
        <v/>
      </c>
      <c r="AW15" s="46">
        <f>AV15*IF(B15&gt;=in_marketplace_from,d_hz_shop*G15,0)</f>
        <v/>
      </c>
      <c r="AX15" s="14">
        <f>F15*AW15*in_shop_ticket*in_shop_comm*in_ins_partner_share+F15*in_shop_ticket*in_shop_renew_comm*in_ins_partner_share*(in_shop_renew^1*SUMIFS(AW2:AW61,B2:B61,B15-12)+in_shop_renew^2*SUMIFS(AW2:AW61,B2:B61,B15-24)+in_shop_renew^3*SUMIFS(AW2:AW61,B2:B61,B15-36)+in_shop_renew^4*SUMIFS(AW2:AW61,B2:B61,B15-48))</f>
        <v/>
      </c>
      <c r="AY15" s="40">
        <f>AY14*(1-IF(B14&gt;=in_marketplace_from,d_hz_sip*G14,0))</f>
        <v/>
      </c>
      <c r="AZ15" s="40">
        <f>AZ14*d_rho_sip+AY15*IF(B15&gt;=in_marketplace_from,d_hz_sip*G15,0)</f>
        <v/>
      </c>
      <c r="BA15" s="40">
        <f>d_rho_sip*(BA14+AZ14)</f>
        <v/>
      </c>
      <c r="BB15" s="14">
        <f>F15*in_sip_ticket*(BA15+0.5*AZ15)*in_sip_comm/12</f>
        <v/>
      </c>
      <c r="BC15" s="40">
        <f>BC14*(1-IF(B14&gt;=in_marketplace_from,d_hz_choti*G14,0))</f>
        <v/>
      </c>
      <c r="BD15" s="46">
        <f>BC15*IF(B15&gt;=in_marketplace_from,d_hz_choti*G15,0)</f>
        <v/>
      </c>
      <c r="BE15" s="14">
        <f>F15*SUMIFS(BD2:BD61,B2:B61,B15-in_choti_months)*in_choti_renew*in_choti_ticket</f>
        <v/>
      </c>
      <c r="BF15" s="40">
        <f>BF14*(1-IF(B14&gt;=in_marketplace_from,d_hz_nps*G14,0))</f>
        <v/>
      </c>
      <c r="BG15" s="14">
        <f>F15*BF15*IF(B15&gt;=in_marketplace_from,d_hz_nps*G15,0)*in_nps_ticket*in_nps_comm</f>
        <v/>
      </c>
      <c r="BH15" s="40">
        <f>BH14*(1-IF(B14&gt;=in_marketplace_from,d_hz_gold*G14,0))</f>
        <v/>
      </c>
      <c r="BI15" s="40">
        <f>BI14*d_rho_gold+BH15*IF(B15&gt;=in_marketplace_from,d_hz_gold*G15,0)</f>
        <v/>
      </c>
      <c r="BJ15" s="14">
        <f>F15*BI15*in_gold_ticket*in_gold_comm</f>
        <v/>
      </c>
      <c r="BK15" s="40">
        <f>BK14*(1-IF(B14&gt;=in_marketplace_from,d_hz_fd*G14,0))</f>
        <v/>
      </c>
      <c r="BL15" s="14">
        <f>F15*BK15*IF(B15&gt;=in_marketplace_from,d_hz_fd*G15,0)*in_fd_ticket*in_fd_comm</f>
        <v/>
      </c>
      <c r="BM15" s="40">
        <f>BM14*(1-IF(B14&gt;=in_marketplace_from,d_hz_recharge*G14,0))</f>
        <v/>
      </c>
      <c r="BN15" s="40">
        <f>BN14*d_rho_recharge+BM15*IF(B15&gt;=in_marketplace_from,d_hz_recharge*G15,0)</f>
        <v/>
      </c>
      <c r="BO15" s="14">
        <f>F15*BN15*in_recharge_ticket*in_recharge_comm/12</f>
        <v/>
      </c>
      <c r="BP15" s="40">
        <f>BP14*(1-IF(B14&gt;=in_marketplace_from,d_hz_bills*G14,0))</f>
        <v/>
      </c>
      <c r="BQ15" s="40">
        <f>BQ14*d_rho_bills+BP15*IF(B15&gt;=in_marketplace_from,d_hz_bills*G15,0)</f>
        <v/>
      </c>
      <c r="BR15" s="14">
        <f>F15*BQ15*in_bills_ticket*in_bills_comm/12</f>
        <v/>
      </c>
      <c r="BS15" s="40">
        <f>BS14*(1-IF(B14&gt;=in_marketplace_from,d_hz_loan_gold*G14,0))</f>
        <v/>
      </c>
      <c r="BT15" s="14">
        <f>F15*BS15*IF(B15&gt;=in_marketplace_from,d_hz_loan_gold*G15,0)*in_loan_gold_ticket*in_loan_gold_comm</f>
        <v/>
      </c>
      <c r="BU15" s="40">
        <f>BU14*(1-IF(B14&gt;=in_marketplace_from,d_hz_loan_cd*G14,0))</f>
        <v/>
      </c>
      <c r="BV15" s="14">
        <f>F15*BU15*IF(B15&gt;=in_marketplace_from,d_hz_loan_cd*G15,0)*in_loan_cd_ticket*in_loan_cd_comm</f>
        <v/>
      </c>
      <c r="BW15" s="40">
        <f>BW14*(1-IF(B14&gt;=in_marketplace_from,d_hz_loan_vehicle*G14,0))</f>
        <v/>
      </c>
      <c r="BX15" s="14">
        <f>F15*BW15*IF(B15&gt;=in_marketplace_from,d_hz_loan_vehicle*G15,0)*in_loan_vehicle_ticket*in_loan_vehicle_comm</f>
        <v/>
      </c>
      <c r="BY15" s="40">
        <f>BY14*(1-IF(B14&gt;=in_marketplace_from,d_hz_loan_home*G14,0)*BZ14)</f>
        <v/>
      </c>
      <c r="BZ15" s="11">
        <f>MIN(in_approval_cap,in_loan_home_approval*INDEX('Age profile'!$O$2:$O$61,B15)*(1+in_approval_growth)^(D15-1))</f>
        <v/>
      </c>
      <c r="CA15" s="14">
        <f>F15*BY15*IF(B15&gt;=in_marketplace_from,d_hz_loan_home*G15,0)*BZ15*in_loan_home_ticket*in_loan_home_comm</f>
        <v/>
      </c>
      <c r="CB15" s="40">
        <f>CB14*(1-IF(B14&gt;=in_marketplace_from,d_hz_loan_lap*G14,0)*CC14)</f>
        <v/>
      </c>
      <c r="CC15" s="11">
        <f>MIN(in_approval_cap,in_loan_lap_approval*INDEX('Age profile'!$O$2:$O$61,B15)*(1+in_approval_growth)^(D15-1))</f>
        <v/>
      </c>
      <c r="CD15" s="14">
        <f>F15*CB15*IF(B15&gt;=in_marketplace_from,d_hz_loan_lap*G15,0)*CC15*in_loan_lap_ticket*in_loan_lap_comm</f>
        <v/>
      </c>
      <c r="CE15" s="14">
        <f>AA15+AB15+AC15+AD15+AG15+AJ15+AM15+AP15+AS15+AU15+AX15+BB15+BE15+BG15+BJ15+BL15+BO15+BR15+BT15+BV15+BX15+CA15+CD15</f>
        <v/>
      </c>
    </row>
    <row r="16">
      <c r="A16" s="39" t="n">
        <v>1</v>
      </c>
      <c r="B16" s="39" t="n">
        <v>15</v>
      </c>
      <c r="C16" s="39">
        <f>A16+B16-1</f>
        <v/>
      </c>
      <c r="D16" s="39">
        <f>INT((C16-1)/12)+1</f>
        <v/>
      </c>
      <c r="E16" s="44">
        <f>INDEX(Monthly!$B$2:$B$61,A16)</f>
        <v/>
      </c>
      <c r="F16" s="44">
        <f>E16*INDEX('Age profile'!$B$2:$B$61,B16)</f>
        <v/>
      </c>
      <c r="G16" s="45">
        <f>MIN(in_takeup_cap,INDEX('Age profile'!$N$2:$N$61,B16)*(1+in_takeup_growth)^(D16-1))</f>
        <v/>
      </c>
      <c r="H16" s="11">
        <f>MIN(in_approval_cap,in_approved_first*INDEX('Age profile'!$O$2:$O$61,B16)*(1+in_approval_growth)^(D16-1))</f>
        <v/>
      </c>
      <c r="I16" s="45">
        <f>G16*MIN(in_takeup_cap,INDEX('Age profile'!$O$2:$O$61,B16)*(1+in_approval_growth)^(D16-1))</f>
        <v/>
      </c>
      <c r="J16" s="40">
        <f>(J15-L15)*F16/F15</f>
        <v/>
      </c>
      <c r="K16" s="40">
        <f>(K15-M15)*F16/F15+SUMIFS(O2:O15,B2:B15,B16-1-d_T)*F16</f>
        <v/>
      </c>
      <c r="L16" s="40">
        <f>IF(B16&gt;=in_marketplace_from,J16*d_hz*G16*in_eligible*H16,0)</f>
        <v/>
      </c>
      <c r="M16" s="40">
        <f>IF(B16&gt;=in_marketplace_from,K16*d_hz*G16*in_eligible*in_approved_repeat,0)</f>
        <v/>
      </c>
      <c r="N16" s="40">
        <f>L16+M16</f>
        <v/>
      </c>
      <c r="O16" s="46">
        <f>N16/F16</f>
        <v/>
      </c>
      <c r="P16" s="40">
        <f>F16-J16-K16</f>
        <v/>
      </c>
      <c r="Q16" s="40">
        <f>IF(B16&gt;=in_marketplace_from,(J16+K16)*d_hz*G16,0)</f>
        <v/>
      </c>
      <c r="R16" s="40">
        <f>SUMIFS(N2:N61,B2:B61,"&gt;="&amp;(B16-d_T),B2:B61,"&lt;="&amp;(B16-1))</f>
        <v/>
      </c>
      <c r="S16" s="46">
        <f>(1-d_u)*S15+IF(d_T&gt;in_topup_lag,SUMIFS(O2:O61,B2:B61,B16-in_topup_lag)-d_udrop*SUMIFS(O2:O61,B2:B61,B16-d_T),0)</f>
        <v/>
      </c>
      <c r="T16" s="40">
        <f>F16*d_u*S16</f>
        <v/>
      </c>
      <c r="U16" s="9">
        <f>L16*in_ticket+M16*d_rep_ticket</f>
        <v/>
      </c>
      <c r="V16" s="9">
        <f>U16+T16*d_topup_amt</f>
        <v/>
      </c>
      <c r="W16" s="40">
        <f>N16+T16*d_topup_ratio</f>
        <v/>
      </c>
      <c r="X16" s="40">
        <f>SUMIFS(W2:W61,B2:B61,B16-in_dpd_lag)*d_cured</f>
        <v/>
      </c>
      <c r="Y16" s="40">
        <f>SUMIFS(W2:W61,B2:B61,B16-in_rec_lag)*d_recd</f>
        <v/>
      </c>
      <c r="Z16" s="40">
        <f>IF(AND(B16&gt;=in_marketplace_from,B16&lt;in_marketplace_from+in_card_months),in_card_share/in_card_months*F16*I16,IF(AND(B16&gt;=in_marketplace_from+in_card_months,B16&lt;in_marketplace_from+2*in_card_months),in_card_share*d_card_rem/in_card_months*F16*MIN(in_takeup_cap,(1+in_takeup_growth)^(D16-1))*MIN(in_takeup_cap,(1+in_approval_growth)^(D16-1)),0))</f>
        <v/>
      </c>
      <c r="AA16" s="14">
        <f>V16*in_fee*(1-in_taken_back)</f>
        <v/>
      </c>
      <c r="AB16" s="14">
        <f>SUMIFS(W2:W61,B2:B61,B16-in_dpd_lag)*d_dpd</f>
        <v/>
      </c>
      <c r="AC16" s="14">
        <f>SUMIFS(W2:W61,B2:B61,B16-in_rec_lag)*d_rec</f>
        <v/>
      </c>
      <c r="AD16" s="14">
        <f>Z16*in_card_fee</f>
        <v/>
      </c>
      <c r="AE16" s="40">
        <f>AE15*(1-IF(B15&gt;=in_marketplace_from,d_hz_hlth_small*G15,0))</f>
        <v/>
      </c>
      <c r="AF16" s="46">
        <f>AE16*IF(B16&gt;=in_marketplace_from,d_hz_hlth_small*G16,0)</f>
        <v/>
      </c>
      <c r="AG16" s="14">
        <f>F16*AF16*in_hlth_small_ticket*in_hlth_small_comm*in_ins_partner_share+F16*in_hlth_small_ticket*in_hlth_small_renew_comm*in_ins_partner_share*(in_hlth_small_renew^1*SUMIFS(AF2:AF61,B2:B61,B16-12)+in_hlth_small_renew^2*SUMIFS(AF2:AF61,B2:B61,B16-24)+in_hlth_small_renew^3*SUMIFS(AF2:AF61,B2:B61,B16-36)+in_hlth_small_renew^4*SUMIFS(AF2:AF61,B2:B61,B16-48))</f>
        <v/>
      </c>
      <c r="AH16" s="40">
        <f>AH15*(1-IF(B15&gt;=in_marketplace_from,d_hz_hlth_family*G15,0))</f>
        <v/>
      </c>
      <c r="AI16" s="46">
        <f>AH16*IF(B16&gt;=in_marketplace_from,d_hz_hlth_family*G16,0)</f>
        <v/>
      </c>
      <c r="AJ16" s="14">
        <f>F16*AI16*in_hlth_family_ticket*in_hlth_family_comm*in_ins_partner_share+F16*in_hlth_family_ticket*in_hlth_family_renew_comm*in_ins_partner_share*(in_hlth_family_renew^1*SUMIFS(AI2:AI61,B2:B61,B16-12)+in_hlth_family_renew^2*SUMIFS(AI2:AI61,B2:B61,B16-24)+in_hlth_family_renew^3*SUMIFS(AI2:AI61,B2:B61,B16-36)+in_hlth_family_renew^4*SUMIFS(AI2:AI61,B2:B61,B16-48))</f>
        <v/>
      </c>
      <c r="AK16" s="40">
        <f>AK15*(1-IF(B15&gt;=in_marketplace_from,d_hz_life_term*G15,0))</f>
        <v/>
      </c>
      <c r="AL16" s="46">
        <f>AK16*IF(B16&gt;=in_marketplace_from,d_hz_life_term*G16,0)</f>
        <v/>
      </c>
      <c r="AM16" s="14">
        <f>F16*AL16*in_life_term_ticket*in_life_term_comm*in_ins_partner_share+F16*in_life_term_ticket*in_life_term_renew_comm*in_ins_partner_share*(in_life_term_renew^1*SUMIFS(AL2:AL61,B2:B61,B16-12)+in_life_term_renew^2*SUMIFS(AL2:AL61,B2:B61,B16-24)+in_life_term_renew^3*SUMIFS(AL2:AL61,B2:B61,B16-36)+in_life_term_renew^4*SUMIFS(AL2:AL61,B2:B61,B16-48))</f>
        <v/>
      </c>
      <c r="AN16" s="40">
        <f>AN15*(1-IF(B15&gt;=in_marketplace_from,d_hz_accident*G15,0))</f>
        <v/>
      </c>
      <c r="AO16" s="46">
        <f>AN16*IF(B16&gt;=in_marketplace_from,d_hz_accident*G16,0)</f>
        <v/>
      </c>
      <c r="AP16" s="14">
        <f>F16*AO16*in_accident_ticket*in_accident_comm*in_ins_partner_share+F16*in_accident_ticket*in_accident_renew_comm*in_ins_partner_share*(in_accident_renew^1*SUMIFS(AO2:AO61,B2:B61,B16-12)+in_accident_renew^2*SUMIFS(AO2:AO61,B2:B61,B16-24)+in_accident_renew^3*SUMIFS(AO2:AO61,B2:B61,B16-36)+in_accident_renew^4*SUMIFS(AO2:AO61,B2:B61,B16-48))</f>
        <v/>
      </c>
      <c r="AQ16" s="40">
        <f>AQ15*(1-IF(B15&gt;=in_marketplace_from,d_hz_two_wheeler*G15,0))</f>
        <v/>
      </c>
      <c r="AR16" s="46">
        <f>AQ16*IF(B16&gt;=in_marketplace_from,d_hz_two_wheeler*G16,0)</f>
        <v/>
      </c>
      <c r="AS16" s="14">
        <f>F16*AR16*in_two_wheeler_ticket*in_two_wheeler_comm*in_ins_partner_share+F16*in_two_wheeler_ticket*in_two_wheeler_comm*in_ins_partner_share*(in_two_wheeler_renew^1*SUMIFS(AR2:AR61,B2:B61,B16-12)+in_two_wheeler_renew^2*SUMIFS(AR2:AR61,B2:B61,B16-24)+in_two_wheeler_renew^3*SUMIFS(AR2:AR61,B2:B61,B16-36)+in_two_wheeler_renew^4*SUMIFS(AR2:AR61,B2:B61,B16-48))</f>
        <v/>
      </c>
      <c r="AT16" s="40">
        <f>AT15*(1-IF(B15&gt;=in_marketplace_from,d_hz_device*G15,0))</f>
        <v/>
      </c>
      <c r="AU16" s="14">
        <f>F16*AT16*IF(B16&gt;=in_marketplace_from,d_hz_device*G16,0)*in_device_ticket*in_device_comm*in_ins_partner_share</f>
        <v/>
      </c>
      <c r="AV16" s="40">
        <f>AV15*(1-IF(B15&gt;=in_marketplace_from,d_hz_shop*G15,0))</f>
        <v/>
      </c>
      <c r="AW16" s="46">
        <f>AV16*IF(B16&gt;=in_marketplace_from,d_hz_shop*G16,0)</f>
        <v/>
      </c>
      <c r="AX16" s="14">
        <f>F16*AW16*in_shop_ticket*in_shop_comm*in_ins_partner_share+F16*in_shop_ticket*in_shop_renew_comm*in_ins_partner_share*(in_shop_renew^1*SUMIFS(AW2:AW61,B2:B61,B16-12)+in_shop_renew^2*SUMIFS(AW2:AW61,B2:B61,B16-24)+in_shop_renew^3*SUMIFS(AW2:AW61,B2:B61,B16-36)+in_shop_renew^4*SUMIFS(AW2:AW61,B2:B61,B16-48))</f>
        <v/>
      </c>
      <c r="AY16" s="40">
        <f>AY15*(1-IF(B15&gt;=in_marketplace_from,d_hz_sip*G15,0))</f>
        <v/>
      </c>
      <c r="AZ16" s="40">
        <f>AZ15*d_rho_sip+AY16*IF(B16&gt;=in_marketplace_from,d_hz_sip*G16,0)</f>
        <v/>
      </c>
      <c r="BA16" s="40">
        <f>d_rho_sip*(BA15+AZ15)</f>
        <v/>
      </c>
      <c r="BB16" s="14">
        <f>F16*in_sip_ticket*(BA16+0.5*AZ16)*in_sip_comm/12</f>
        <v/>
      </c>
      <c r="BC16" s="40">
        <f>BC15*(1-IF(B15&gt;=in_marketplace_from,d_hz_choti*G15,0))</f>
        <v/>
      </c>
      <c r="BD16" s="46">
        <f>BC16*IF(B16&gt;=in_marketplace_from,d_hz_choti*G16,0)</f>
        <v/>
      </c>
      <c r="BE16" s="14">
        <f>F16*SUMIFS(BD2:BD61,B2:B61,B16-in_choti_months)*in_choti_renew*in_choti_ticket</f>
        <v/>
      </c>
      <c r="BF16" s="40">
        <f>BF15*(1-IF(B15&gt;=in_marketplace_from,d_hz_nps*G15,0))</f>
        <v/>
      </c>
      <c r="BG16" s="14">
        <f>F16*BF16*IF(B16&gt;=in_marketplace_from,d_hz_nps*G16,0)*in_nps_ticket*in_nps_comm</f>
        <v/>
      </c>
      <c r="BH16" s="40">
        <f>BH15*(1-IF(B15&gt;=in_marketplace_from,d_hz_gold*G15,0))</f>
        <v/>
      </c>
      <c r="BI16" s="40">
        <f>BI15*d_rho_gold+BH16*IF(B16&gt;=in_marketplace_from,d_hz_gold*G16,0)</f>
        <v/>
      </c>
      <c r="BJ16" s="14">
        <f>F16*BI16*in_gold_ticket*in_gold_comm</f>
        <v/>
      </c>
      <c r="BK16" s="40">
        <f>BK15*(1-IF(B15&gt;=in_marketplace_from,d_hz_fd*G15,0))</f>
        <v/>
      </c>
      <c r="BL16" s="14">
        <f>F16*BK16*IF(B16&gt;=in_marketplace_from,d_hz_fd*G16,0)*in_fd_ticket*in_fd_comm</f>
        <v/>
      </c>
      <c r="BM16" s="40">
        <f>BM15*(1-IF(B15&gt;=in_marketplace_from,d_hz_recharge*G15,0))</f>
        <v/>
      </c>
      <c r="BN16" s="40">
        <f>BN15*d_rho_recharge+BM16*IF(B16&gt;=in_marketplace_from,d_hz_recharge*G16,0)</f>
        <v/>
      </c>
      <c r="BO16" s="14">
        <f>F16*BN16*in_recharge_ticket*in_recharge_comm/12</f>
        <v/>
      </c>
      <c r="BP16" s="40">
        <f>BP15*(1-IF(B15&gt;=in_marketplace_from,d_hz_bills*G15,0))</f>
        <v/>
      </c>
      <c r="BQ16" s="40">
        <f>BQ15*d_rho_bills+BP16*IF(B16&gt;=in_marketplace_from,d_hz_bills*G16,0)</f>
        <v/>
      </c>
      <c r="BR16" s="14">
        <f>F16*BQ16*in_bills_ticket*in_bills_comm/12</f>
        <v/>
      </c>
      <c r="BS16" s="40">
        <f>BS15*(1-IF(B15&gt;=in_marketplace_from,d_hz_loan_gold*G15,0))</f>
        <v/>
      </c>
      <c r="BT16" s="14">
        <f>F16*BS16*IF(B16&gt;=in_marketplace_from,d_hz_loan_gold*G16,0)*in_loan_gold_ticket*in_loan_gold_comm</f>
        <v/>
      </c>
      <c r="BU16" s="40">
        <f>BU15*(1-IF(B15&gt;=in_marketplace_from,d_hz_loan_cd*G15,0))</f>
        <v/>
      </c>
      <c r="BV16" s="14">
        <f>F16*BU16*IF(B16&gt;=in_marketplace_from,d_hz_loan_cd*G16,0)*in_loan_cd_ticket*in_loan_cd_comm</f>
        <v/>
      </c>
      <c r="BW16" s="40">
        <f>BW15*(1-IF(B15&gt;=in_marketplace_from,d_hz_loan_vehicle*G15,0))</f>
        <v/>
      </c>
      <c r="BX16" s="14">
        <f>F16*BW16*IF(B16&gt;=in_marketplace_from,d_hz_loan_vehicle*G16,0)*in_loan_vehicle_ticket*in_loan_vehicle_comm</f>
        <v/>
      </c>
      <c r="BY16" s="40">
        <f>BY15*(1-IF(B15&gt;=in_marketplace_from,d_hz_loan_home*G15,0)*BZ15)</f>
        <v/>
      </c>
      <c r="BZ16" s="11">
        <f>MIN(in_approval_cap,in_loan_home_approval*INDEX('Age profile'!$O$2:$O$61,B16)*(1+in_approval_growth)^(D16-1))</f>
        <v/>
      </c>
      <c r="CA16" s="14">
        <f>F16*BY16*IF(B16&gt;=in_marketplace_from,d_hz_loan_home*G16,0)*BZ16*in_loan_home_ticket*in_loan_home_comm</f>
        <v/>
      </c>
      <c r="CB16" s="40">
        <f>CB15*(1-IF(B15&gt;=in_marketplace_from,d_hz_loan_lap*G15,0)*CC15)</f>
        <v/>
      </c>
      <c r="CC16" s="11">
        <f>MIN(in_approval_cap,in_loan_lap_approval*INDEX('Age profile'!$O$2:$O$61,B16)*(1+in_approval_growth)^(D16-1))</f>
        <v/>
      </c>
      <c r="CD16" s="14">
        <f>F16*CB16*IF(B16&gt;=in_marketplace_from,d_hz_loan_lap*G16,0)*CC16*in_loan_lap_ticket*in_loan_lap_comm</f>
        <v/>
      </c>
      <c r="CE16" s="14">
        <f>AA16+AB16+AC16+AD16+AG16+AJ16+AM16+AP16+AS16+AU16+AX16+BB16+BE16+BG16+BJ16+BL16+BO16+BR16+BT16+BV16+BX16+CA16+CD16</f>
        <v/>
      </c>
    </row>
    <row r="17">
      <c r="A17" s="39" t="n">
        <v>1</v>
      </c>
      <c r="B17" s="39" t="n">
        <v>16</v>
      </c>
      <c r="C17" s="39">
        <f>A17+B17-1</f>
        <v/>
      </c>
      <c r="D17" s="39">
        <f>INT((C17-1)/12)+1</f>
        <v/>
      </c>
      <c r="E17" s="44">
        <f>INDEX(Monthly!$B$2:$B$61,A17)</f>
        <v/>
      </c>
      <c r="F17" s="44">
        <f>E17*INDEX('Age profile'!$B$2:$B$61,B17)</f>
        <v/>
      </c>
      <c r="G17" s="45">
        <f>MIN(in_takeup_cap,INDEX('Age profile'!$N$2:$N$61,B17)*(1+in_takeup_growth)^(D17-1))</f>
        <v/>
      </c>
      <c r="H17" s="11">
        <f>MIN(in_approval_cap,in_approved_first*INDEX('Age profile'!$O$2:$O$61,B17)*(1+in_approval_growth)^(D17-1))</f>
        <v/>
      </c>
      <c r="I17" s="45">
        <f>G17*MIN(in_takeup_cap,INDEX('Age profile'!$O$2:$O$61,B17)*(1+in_approval_growth)^(D17-1))</f>
        <v/>
      </c>
      <c r="J17" s="40">
        <f>(J16-L16)*F17/F16</f>
        <v/>
      </c>
      <c r="K17" s="40">
        <f>(K16-M16)*F17/F16+SUMIFS(O2:O16,B2:B16,B17-1-d_T)*F17</f>
        <v/>
      </c>
      <c r="L17" s="40">
        <f>IF(B17&gt;=in_marketplace_from,J17*d_hz*G17*in_eligible*H17,0)</f>
        <v/>
      </c>
      <c r="M17" s="40">
        <f>IF(B17&gt;=in_marketplace_from,K17*d_hz*G17*in_eligible*in_approved_repeat,0)</f>
        <v/>
      </c>
      <c r="N17" s="40">
        <f>L17+M17</f>
        <v/>
      </c>
      <c r="O17" s="46">
        <f>N17/F17</f>
        <v/>
      </c>
      <c r="P17" s="40">
        <f>F17-J17-K17</f>
        <v/>
      </c>
      <c r="Q17" s="40">
        <f>IF(B17&gt;=in_marketplace_from,(J17+K17)*d_hz*G17,0)</f>
        <v/>
      </c>
      <c r="R17" s="40">
        <f>SUMIFS(N2:N61,B2:B61,"&gt;="&amp;(B17-d_T),B2:B61,"&lt;="&amp;(B17-1))</f>
        <v/>
      </c>
      <c r="S17" s="46">
        <f>(1-d_u)*S16+IF(d_T&gt;in_topup_lag,SUMIFS(O2:O61,B2:B61,B17-in_topup_lag)-d_udrop*SUMIFS(O2:O61,B2:B61,B17-d_T),0)</f>
        <v/>
      </c>
      <c r="T17" s="40">
        <f>F17*d_u*S17</f>
        <v/>
      </c>
      <c r="U17" s="9">
        <f>L17*in_ticket+M17*d_rep_ticket</f>
        <v/>
      </c>
      <c r="V17" s="9">
        <f>U17+T17*d_topup_amt</f>
        <v/>
      </c>
      <c r="W17" s="40">
        <f>N17+T17*d_topup_ratio</f>
        <v/>
      </c>
      <c r="X17" s="40">
        <f>SUMIFS(W2:W61,B2:B61,B17-in_dpd_lag)*d_cured</f>
        <v/>
      </c>
      <c r="Y17" s="40">
        <f>SUMIFS(W2:W61,B2:B61,B17-in_rec_lag)*d_recd</f>
        <v/>
      </c>
      <c r="Z17" s="40">
        <f>IF(AND(B17&gt;=in_marketplace_from,B17&lt;in_marketplace_from+in_card_months),in_card_share/in_card_months*F17*I17,IF(AND(B17&gt;=in_marketplace_from+in_card_months,B17&lt;in_marketplace_from+2*in_card_months),in_card_share*d_card_rem/in_card_months*F17*MIN(in_takeup_cap,(1+in_takeup_growth)^(D17-1))*MIN(in_takeup_cap,(1+in_approval_growth)^(D17-1)),0))</f>
        <v/>
      </c>
      <c r="AA17" s="14">
        <f>V17*in_fee*(1-in_taken_back)</f>
        <v/>
      </c>
      <c r="AB17" s="14">
        <f>SUMIFS(W2:W61,B2:B61,B17-in_dpd_lag)*d_dpd</f>
        <v/>
      </c>
      <c r="AC17" s="14">
        <f>SUMIFS(W2:W61,B2:B61,B17-in_rec_lag)*d_rec</f>
        <v/>
      </c>
      <c r="AD17" s="14">
        <f>Z17*in_card_fee</f>
        <v/>
      </c>
      <c r="AE17" s="40">
        <f>AE16*(1-IF(B16&gt;=in_marketplace_from,d_hz_hlth_small*G16,0))</f>
        <v/>
      </c>
      <c r="AF17" s="46">
        <f>AE17*IF(B17&gt;=in_marketplace_from,d_hz_hlth_small*G17,0)</f>
        <v/>
      </c>
      <c r="AG17" s="14">
        <f>F17*AF17*in_hlth_small_ticket*in_hlth_small_comm*in_ins_partner_share+F17*in_hlth_small_ticket*in_hlth_small_renew_comm*in_ins_partner_share*(in_hlth_small_renew^1*SUMIFS(AF2:AF61,B2:B61,B17-12)+in_hlth_small_renew^2*SUMIFS(AF2:AF61,B2:B61,B17-24)+in_hlth_small_renew^3*SUMIFS(AF2:AF61,B2:B61,B17-36)+in_hlth_small_renew^4*SUMIFS(AF2:AF61,B2:B61,B17-48))</f>
        <v/>
      </c>
      <c r="AH17" s="40">
        <f>AH16*(1-IF(B16&gt;=in_marketplace_from,d_hz_hlth_family*G16,0))</f>
        <v/>
      </c>
      <c r="AI17" s="46">
        <f>AH17*IF(B17&gt;=in_marketplace_from,d_hz_hlth_family*G17,0)</f>
        <v/>
      </c>
      <c r="AJ17" s="14">
        <f>F17*AI17*in_hlth_family_ticket*in_hlth_family_comm*in_ins_partner_share+F17*in_hlth_family_ticket*in_hlth_family_renew_comm*in_ins_partner_share*(in_hlth_family_renew^1*SUMIFS(AI2:AI61,B2:B61,B17-12)+in_hlth_family_renew^2*SUMIFS(AI2:AI61,B2:B61,B17-24)+in_hlth_family_renew^3*SUMIFS(AI2:AI61,B2:B61,B17-36)+in_hlth_family_renew^4*SUMIFS(AI2:AI61,B2:B61,B17-48))</f>
        <v/>
      </c>
      <c r="AK17" s="40">
        <f>AK16*(1-IF(B16&gt;=in_marketplace_from,d_hz_life_term*G16,0))</f>
        <v/>
      </c>
      <c r="AL17" s="46">
        <f>AK17*IF(B17&gt;=in_marketplace_from,d_hz_life_term*G17,0)</f>
        <v/>
      </c>
      <c r="AM17" s="14">
        <f>F17*AL17*in_life_term_ticket*in_life_term_comm*in_ins_partner_share+F17*in_life_term_ticket*in_life_term_renew_comm*in_ins_partner_share*(in_life_term_renew^1*SUMIFS(AL2:AL61,B2:B61,B17-12)+in_life_term_renew^2*SUMIFS(AL2:AL61,B2:B61,B17-24)+in_life_term_renew^3*SUMIFS(AL2:AL61,B2:B61,B17-36)+in_life_term_renew^4*SUMIFS(AL2:AL61,B2:B61,B17-48))</f>
        <v/>
      </c>
      <c r="AN17" s="40">
        <f>AN16*(1-IF(B16&gt;=in_marketplace_from,d_hz_accident*G16,0))</f>
        <v/>
      </c>
      <c r="AO17" s="46">
        <f>AN17*IF(B17&gt;=in_marketplace_from,d_hz_accident*G17,0)</f>
        <v/>
      </c>
      <c r="AP17" s="14">
        <f>F17*AO17*in_accident_ticket*in_accident_comm*in_ins_partner_share+F17*in_accident_ticket*in_accident_renew_comm*in_ins_partner_share*(in_accident_renew^1*SUMIFS(AO2:AO61,B2:B61,B17-12)+in_accident_renew^2*SUMIFS(AO2:AO61,B2:B61,B17-24)+in_accident_renew^3*SUMIFS(AO2:AO61,B2:B61,B17-36)+in_accident_renew^4*SUMIFS(AO2:AO61,B2:B61,B17-48))</f>
        <v/>
      </c>
      <c r="AQ17" s="40">
        <f>AQ16*(1-IF(B16&gt;=in_marketplace_from,d_hz_two_wheeler*G16,0))</f>
        <v/>
      </c>
      <c r="AR17" s="46">
        <f>AQ17*IF(B17&gt;=in_marketplace_from,d_hz_two_wheeler*G17,0)</f>
        <v/>
      </c>
      <c r="AS17" s="14">
        <f>F17*AR17*in_two_wheeler_ticket*in_two_wheeler_comm*in_ins_partner_share+F17*in_two_wheeler_ticket*in_two_wheeler_comm*in_ins_partner_share*(in_two_wheeler_renew^1*SUMIFS(AR2:AR61,B2:B61,B17-12)+in_two_wheeler_renew^2*SUMIFS(AR2:AR61,B2:B61,B17-24)+in_two_wheeler_renew^3*SUMIFS(AR2:AR61,B2:B61,B17-36)+in_two_wheeler_renew^4*SUMIFS(AR2:AR61,B2:B61,B17-48))</f>
        <v/>
      </c>
      <c r="AT17" s="40">
        <f>AT16*(1-IF(B16&gt;=in_marketplace_from,d_hz_device*G16,0))</f>
        <v/>
      </c>
      <c r="AU17" s="14">
        <f>F17*AT17*IF(B17&gt;=in_marketplace_from,d_hz_device*G17,0)*in_device_ticket*in_device_comm*in_ins_partner_share</f>
        <v/>
      </c>
      <c r="AV17" s="40">
        <f>AV16*(1-IF(B16&gt;=in_marketplace_from,d_hz_shop*G16,0))</f>
        <v/>
      </c>
      <c r="AW17" s="46">
        <f>AV17*IF(B17&gt;=in_marketplace_from,d_hz_shop*G17,0)</f>
        <v/>
      </c>
      <c r="AX17" s="14">
        <f>F17*AW17*in_shop_ticket*in_shop_comm*in_ins_partner_share+F17*in_shop_ticket*in_shop_renew_comm*in_ins_partner_share*(in_shop_renew^1*SUMIFS(AW2:AW61,B2:B61,B17-12)+in_shop_renew^2*SUMIFS(AW2:AW61,B2:B61,B17-24)+in_shop_renew^3*SUMIFS(AW2:AW61,B2:B61,B17-36)+in_shop_renew^4*SUMIFS(AW2:AW61,B2:B61,B17-48))</f>
        <v/>
      </c>
      <c r="AY17" s="40">
        <f>AY16*(1-IF(B16&gt;=in_marketplace_from,d_hz_sip*G16,0))</f>
        <v/>
      </c>
      <c r="AZ17" s="40">
        <f>AZ16*d_rho_sip+AY17*IF(B17&gt;=in_marketplace_from,d_hz_sip*G17,0)</f>
        <v/>
      </c>
      <c r="BA17" s="40">
        <f>d_rho_sip*(BA16+AZ16)</f>
        <v/>
      </c>
      <c r="BB17" s="14">
        <f>F17*in_sip_ticket*(BA17+0.5*AZ17)*in_sip_comm/12</f>
        <v/>
      </c>
      <c r="BC17" s="40">
        <f>BC16*(1-IF(B16&gt;=in_marketplace_from,d_hz_choti*G16,0))</f>
        <v/>
      </c>
      <c r="BD17" s="46">
        <f>BC17*IF(B17&gt;=in_marketplace_from,d_hz_choti*G17,0)</f>
        <v/>
      </c>
      <c r="BE17" s="14">
        <f>F17*SUMIFS(BD2:BD61,B2:B61,B17-in_choti_months)*in_choti_renew*in_choti_ticket</f>
        <v/>
      </c>
      <c r="BF17" s="40">
        <f>BF16*(1-IF(B16&gt;=in_marketplace_from,d_hz_nps*G16,0))</f>
        <v/>
      </c>
      <c r="BG17" s="14">
        <f>F17*BF17*IF(B17&gt;=in_marketplace_from,d_hz_nps*G17,0)*in_nps_ticket*in_nps_comm</f>
        <v/>
      </c>
      <c r="BH17" s="40">
        <f>BH16*(1-IF(B16&gt;=in_marketplace_from,d_hz_gold*G16,0))</f>
        <v/>
      </c>
      <c r="BI17" s="40">
        <f>BI16*d_rho_gold+BH17*IF(B17&gt;=in_marketplace_from,d_hz_gold*G17,0)</f>
        <v/>
      </c>
      <c r="BJ17" s="14">
        <f>F17*BI17*in_gold_ticket*in_gold_comm</f>
        <v/>
      </c>
      <c r="BK17" s="40">
        <f>BK16*(1-IF(B16&gt;=in_marketplace_from,d_hz_fd*G16,0))</f>
        <v/>
      </c>
      <c r="BL17" s="14">
        <f>F17*BK17*IF(B17&gt;=in_marketplace_from,d_hz_fd*G17,0)*in_fd_ticket*in_fd_comm</f>
        <v/>
      </c>
      <c r="BM17" s="40">
        <f>BM16*(1-IF(B16&gt;=in_marketplace_from,d_hz_recharge*G16,0))</f>
        <v/>
      </c>
      <c r="BN17" s="40">
        <f>BN16*d_rho_recharge+BM17*IF(B17&gt;=in_marketplace_from,d_hz_recharge*G17,0)</f>
        <v/>
      </c>
      <c r="BO17" s="14">
        <f>F17*BN17*in_recharge_ticket*in_recharge_comm/12</f>
        <v/>
      </c>
      <c r="BP17" s="40">
        <f>BP16*(1-IF(B16&gt;=in_marketplace_from,d_hz_bills*G16,0))</f>
        <v/>
      </c>
      <c r="BQ17" s="40">
        <f>BQ16*d_rho_bills+BP17*IF(B17&gt;=in_marketplace_from,d_hz_bills*G17,0)</f>
        <v/>
      </c>
      <c r="BR17" s="14">
        <f>F17*BQ17*in_bills_ticket*in_bills_comm/12</f>
        <v/>
      </c>
      <c r="BS17" s="40">
        <f>BS16*(1-IF(B16&gt;=in_marketplace_from,d_hz_loan_gold*G16,0))</f>
        <v/>
      </c>
      <c r="BT17" s="14">
        <f>F17*BS17*IF(B17&gt;=in_marketplace_from,d_hz_loan_gold*G17,0)*in_loan_gold_ticket*in_loan_gold_comm</f>
        <v/>
      </c>
      <c r="BU17" s="40">
        <f>BU16*(1-IF(B16&gt;=in_marketplace_from,d_hz_loan_cd*G16,0))</f>
        <v/>
      </c>
      <c r="BV17" s="14">
        <f>F17*BU17*IF(B17&gt;=in_marketplace_from,d_hz_loan_cd*G17,0)*in_loan_cd_ticket*in_loan_cd_comm</f>
        <v/>
      </c>
      <c r="BW17" s="40">
        <f>BW16*(1-IF(B16&gt;=in_marketplace_from,d_hz_loan_vehicle*G16,0))</f>
        <v/>
      </c>
      <c r="BX17" s="14">
        <f>F17*BW17*IF(B17&gt;=in_marketplace_from,d_hz_loan_vehicle*G17,0)*in_loan_vehicle_ticket*in_loan_vehicle_comm</f>
        <v/>
      </c>
      <c r="BY17" s="40">
        <f>BY16*(1-IF(B16&gt;=in_marketplace_from,d_hz_loan_home*G16,0)*BZ16)</f>
        <v/>
      </c>
      <c r="BZ17" s="11">
        <f>MIN(in_approval_cap,in_loan_home_approval*INDEX('Age profile'!$O$2:$O$61,B17)*(1+in_approval_growth)^(D17-1))</f>
        <v/>
      </c>
      <c r="CA17" s="14">
        <f>F17*BY17*IF(B17&gt;=in_marketplace_from,d_hz_loan_home*G17,0)*BZ17*in_loan_home_ticket*in_loan_home_comm</f>
        <v/>
      </c>
      <c r="CB17" s="40">
        <f>CB16*(1-IF(B16&gt;=in_marketplace_from,d_hz_loan_lap*G16,0)*CC16)</f>
        <v/>
      </c>
      <c r="CC17" s="11">
        <f>MIN(in_approval_cap,in_loan_lap_approval*INDEX('Age profile'!$O$2:$O$61,B17)*(1+in_approval_growth)^(D17-1))</f>
        <v/>
      </c>
      <c r="CD17" s="14">
        <f>F17*CB17*IF(B17&gt;=in_marketplace_from,d_hz_loan_lap*G17,0)*CC17*in_loan_lap_ticket*in_loan_lap_comm</f>
        <v/>
      </c>
      <c r="CE17" s="14">
        <f>AA17+AB17+AC17+AD17+AG17+AJ17+AM17+AP17+AS17+AU17+AX17+BB17+BE17+BG17+BJ17+BL17+BO17+BR17+BT17+BV17+BX17+CA17+CD17</f>
        <v/>
      </c>
    </row>
    <row r="18">
      <c r="A18" s="39" t="n">
        <v>1</v>
      </c>
      <c r="B18" s="39" t="n">
        <v>17</v>
      </c>
      <c r="C18" s="39">
        <f>A18+B18-1</f>
        <v/>
      </c>
      <c r="D18" s="39">
        <f>INT((C18-1)/12)+1</f>
        <v/>
      </c>
      <c r="E18" s="44">
        <f>INDEX(Monthly!$B$2:$B$61,A18)</f>
        <v/>
      </c>
      <c r="F18" s="44">
        <f>E18*INDEX('Age profile'!$B$2:$B$61,B18)</f>
        <v/>
      </c>
      <c r="G18" s="45">
        <f>MIN(in_takeup_cap,INDEX('Age profile'!$N$2:$N$61,B18)*(1+in_takeup_growth)^(D18-1))</f>
        <v/>
      </c>
      <c r="H18" s="11">
        <f>MIN(in_approval_cap,in_approved_first*INDEX('Age profile'!$O$2:$O$61,B18)*(1+in_approval_growth)^(D18-1))</f>
        <v/>
      </c>
      <c r="I18" s="45">
        <f>G18*MIN(in_takeup_cap,INDEX('Age profile'!$O$2:$O$61,B18)*(1+in_approval_growth)^(D18-1))</f>
        <v/>
      </c>
      <c r="J18" s="40">
        <f>(J17-L17)*F18/F17</f>
        <v/>
      </c>
      <c r="K18" s="40">
        <f>(K17-M17)*F18/F17+SUMIFS(O2:O17,B2:B17,B18-1-d_T)*F18</f>
        <v/>
      </c>
      <c r="L18" s="40">
        <f>IF(B18&gt;=in_marketplace_from,J18*d_hz*G18*in_eligible*H18,0)</f>
        <v/>
      </c>
      <c r="M18" s="40">
        <f>IF(B18&gt;=in_marketplace_from,K18*d_hz*G18*in_eligible*in_approved_repeat,0)</f>
        <v/>
      </c>
      <c r="N18" s="40">
        <f>L18+M18</f>
        <v/>
      </c>
      <c r="O18" s="46">
        <f>N18/F18</f>
        <v/>
      </c>
      <c r="P18" s="40">
        <f>F18-J18-K18</f>
        <v/>
      </c>
      <c r="Q18" s="40">
        <f>IF(B18&gt;=in_marketplace_from,(J18+K18)*d_hz*G18,0)</f>
        <v/>
      </c>
      <c r="R18" s="40">
        <f>SUMIFS(N2:N61,B2:B61,"&gt;="&amp;(B18-d_T),B2:B61,"&lt;="&amp;(B18-1))</f>
        <v/>
      </c>
      <c r="S18" s="46">
        <f>(1-d_u)*S17+IF(d_T&gt;in_topup_lag,SUMIFS(O2:O61,B2:B61,B18-in_topup_lag)-d_udrop*SUMIFS(O2:O61,B2:B61,B18-d_T),0)</f>
        <v/>
      </c>
      <c r="T18" s="40">
        <f>F18*d_u*S18</f>
        <v/>
      </c>
      <c r="U18" s="9">
        <f>L18*in_ticket+M18*d_rep_ticket</f>
        <v/>
      </c>
      <c r="V18" s="9">
        <f>U18+T18*d_topup_amt</f>
        <v/>
      </c>
      <c r="W18" s="40">
        <f>N18+T18*d_topup_ratio</f>
        <v/>
      </c>
      <c r="X18" s="40">
        <f>SUMIFS(W2:W61,B2:B61,B18-in_dpd_lag)*d_cured</f>
        <v/>
      </c>
      <c r="Y18" s="40">
        <f>SUMIFS(W2:W61,B2:B61,B18-in_rec_lag)*d_recd</f>
        <v/>
      </c>
      <c r="Z18" s="40">
        <f>IF(AND(B18&gt;=in_marketplace_from,B18&lt;in_marketplace_from+in_card_months),in_card_share/in_card_months*F18*I18,IF(AND(B18&gt;=in_marketplace_from+in_card_months,B18&lt;in_marketplace_from+2*in_card_months),in_card_share*d_card_rem/in_card_months*F18*MIN(in_takeup_cap,(1+in_takeup_growth)^(D18-1))*MIN(in_takeup_cap,(1+in_approval_growth)^(D18-1)),0))</f>
        <v/>
      </c>
      <c r="AA18" s="14">
        <f>V18*in_fee*(1-in_taken_back)</f>
        <v/>
      </c>
      <c r="AB18" s="14">
        <f>SUMIFS(W2:W61,B2:B61,B18-in_dpd_lag)*d_dpd</f>
        <v/>
      </c>
      <c r="AC18" s="14">
        <f>SUMIFS(W2:W61,B2:B61,B18-in_rec_lag)*d_rec</f>
        <v/>
      </c>
      <c r="AD18" s="14">
        <f>Z18*in_card_fee</f>
        <v/>
      </c>
      <c r="AE18" s="40">
        <f>AE17*(1-IF(B17&gt;=in_marketplace_from,d_hz_hlth_small*G17,0))</f>
        <v/>
      </c>
      <c r="AF18" s="46">
        <f>AE18*IF(B18&gt;=in_marketplace_from,d_hz_hlth_small*G18,0)</f>
        <v/>
      </c>
      <c r="AG18" s="14">
        <f>F18*AF18*in_hlth_small_ticket*in_hlth_small_comm*in_ins_partner_share+F18*in_hlth_small_ticket*in_hlth_small_renew_comm*in_ins_partner_share*(in_hlth_small_renew^1*SUMIFS(AF2:AF61,B2:B61,B18-12)+in_hlth_small_renew^2*SUMIFS(AF2:AF61,B2:B61,B18-24)+in_hlth_small_renew^3*SUMIFS(AF2:AF61,B2:B61,B18-36)+in_hlth_small_renew^4*SUMIFS(AF2:AF61,B2:B61,B18-48))</f>
        <v/>
      </c>
      <c r="AH18" s="40">
        <f>AH17*(1-IF(B17&gt;=in_marketplace_from,d_hz_hlth_family*G17,0))</f>
        <v/>
      </c>
      <c r="AI18" s="46">
        <f>AH18*IF(B18&gt;=in_marketplace_from,d_hz_hlth_family*G18,0)</f>
        <v/>
      </c>
      <c r="AJ18" s="14">
        <f>F18*AI18*in_hlth_family_ticket*in_hlth_family_comm*in_ins_partner_share+F18*in_hlth_family_ticket*in_hlth_family_renew_comm*in_ins_partner_share*(in_hlth_family_renew^1*SUMIFS(AI2:AI61,B2:B61,B18-12)+in_hlth_family_renew^2*SUMIFS(AI2:AI61,B2:B61,B18-24)+in_hlth_family_renew^3*SUMIFS(AI2:AI61,B2:B61,B18-36)+in_hlth_family_renew^4*SUMIFS(AI2:AI61,B2:B61,B18-48))</f>
        <v/>
      </c>
      <c r="AK18" s="40">
        <f>AK17*(1-IF(B17&gt;=in_marketplace_from,d_hz_life_term*G17,0))</f>
        <v/>
      </c>
      <c r="AL18" s="46">
        <f>AK18*IF(B18&gt;=in_marketplace_from,d_hz_life_term*G18,0)</f>
        <v/>
      </c>
      <c r="AM18" s="14">
        <f>F18*AL18*in_life_term_ticket*in_life_term_comm*in_ins_partner_share+F18*in_life_term_ticket*in_life_term_renew_comm*in_ins_partner_share*(in_life_term_renew^1*SUMIFS(AL2:AL61,B2:B61,B18-12)+in_life_term_renew^2*SUMIFS(AL2:AL61,B2:B61,B18-24)+in_life_term_renew^3*SUMIFS(AL2:AL61,B2:B61,B18-36)+in_life_term_renew^4*SUMIFS(AL2:AL61,B2:B61,B18-48))</f>
        <v/>
      </c>
      <c r="AN18" s="40">
        <f>AN17*(1-IF(B17&gt;=in_marketplace_from,d_hz_accident*G17,0))</f>
        <v/>
      </c>
      <c r="AO18" s="46">
        <f>AN18*IF(B18&gt;=in_marketplace_from,d_hz_accident*G18,0)</f>
        <v/>
      </c>
      <c r="AP18" s="14">
        <f>F18*AO18*in_accident_ticket*in_accident_comm*in_ins_partner_share+F18*in_accident_ticket*in_accident_renew_comm*in_ins_partner_share*(in_accident_renew^1*SUMIFS(AO2:AO61,B2:B61,B18-12)+in_accident_renew^2*SUMIFS(AO2:AO61,B2:B61,B18-24)+in_accident_renew^3*SUMIFS(AO2:AO61,B2:B61,B18-36)+in_accident_renew^4*SUMIFS(AO2:AO61,B2:B61,B18-48))</f>
        <v/>
      </c>
      <c r="AQ18" s="40">
        <f>AQ17*(1-IF(B17&gt;=in_marketplace_from,d_hz_two_wheeler*G17,0))</f>
        <v/>
      </c>
      <c r="AR18" s="46">
        <f>AQ18*IF(B18&gt;=in_marketplace_from,d_hz_two_wheeler*G18,0)</f>
        <v/>
      </c>
      <c r="AS18" s="14">
        <f>F18*AR18*in_two_wheeler_ticket*in_two_wheeler_comm*in_ins_partner_share+F18*in_two_wheeler_ticket*in_two_wheeler_comm*in_ins_partner_share*(in_two_wheeler_renew^1*SUMIFS(AR2:AR61,B2:B61,B18-12)+in_two_wheeler_renew^2*SUMIFS(AR2:AR61,B2:B61,B18-24)+in_two_wheeler_renew^3*SUMIFS(AR2:AR61,B2:B61,B18-36)+in_two_wheeler_renew^4*SUMIFS(AR2:AR61,B2:B61,B18-48))</f>
        <v/>
      </c>
      <c r="AT18" s="40">
        <f>AT17*(1-IF(B17&gt;=in_marketplace_from,d_hz_device*G17,0))</f>
        <v/>
      </c>
      <c r="AU18" s="14">
        <f>F18*AT18*IF(B18&gt;=in_marketplace_from,d_hz_device*G18,0)*in_device_ticket*in_device_comm*in_ins_partner_share</f>
        <v/>
      </c>
      <c r="AV18" s="40">
        <f>AV17*(1-IF(B17&gt;=in_marketplace_from,d_hz_shop*G17,0))</f>
        <v/>
      </c>
      <c r="AW18" s="46">
        <f>AV18*IF(B18&gt;=in_marketplace_from,d_hz_shop*G18,0)</f>
        <v/>
      </c>
      <c r="AX18" s="14">
        <f>F18*AW18*in_shop_ticket*in_shop_comm*in_ins_partner_share+F18*in_shop_ticket*in_shop_renew_comm*in_ins_partner_share*(in_shop_renew^1*SUMIFS(AW2:AW61,B2:B61,B18-12)+in_shop_renew^2*SUMIFS(AW2:AW61,B2:B61,B18-24)+in_shop_renew^3*SUMIFS(AW2:AW61,B2:B61,B18-36)+in_shop_renew^4*SUMIFS(AW2:AW61,B2:B61,B18-48))</f>
        <v/>
      </c>
      <c r="AY18" s="40">
        <f>AY17*(1-IF(B17&gt;=in_marketplace_from,d_hz_sip*G17,0))</f>
        <v/>
      </c>
      <c r="AZ18" s="40">
        <f>AZ17*d_rho_sip+AY18*IF(B18&gt;=in_marketplace_from,d_hz_sip*G18,0)</f>
        <v/>
      </c>
      <c r="BA18" s="40">
        <f>d_rho_sip*(BA17+AZ17)</f>
        <v/>
      </c>
      <c r="BB18" s="14">
        <f>F18*in_sip_ticket*(BA18+0.5*AZ18)*in_sip_comm/12</f>
        <v/>
      </c>
      <c r="BC18" s="40">
        <f>BC17*(1-IF(B17&gt;=in_marketplace_from,d_hz_choti*G17,0))</f>
        <v/>
      </c>
      <c r="BD18" s="46">
        <f>BC18*IF(B18&gt;=in_marketplace_from,d_hz_choti*G18,0)</f>
        <v/>
      </c>
      <c r="BE18" s="14">
        <f>F18*SUMIFS(BD2:BD61,B2:B61,B18-in_choti_months)*in_choti_renew*in_choti_ticket</f>
        <v/>
      </c>
      <c r="BF18" s="40">
        <f>BF17*(1-IF(B17&gt;=in_marketplace_from,d_hz_nps*G17,0))</f>
        <v/>
      </c>
      <c r="BG18" s="14">
        <f>F18*BF18*IF(B18&gt;=in_marketplace_from,d_hz_nps*G18,0)*in_nps_ticket*in_nps_comm</f>
        <v/>
      </c>
      <c r="BH18" s="40">
        <f>BH17*(1-IF(B17&gt;=in_marketplace_from,d_hz_gold*G17,0))</f>
        <v/>
      </c>
      <c r="BI18" s="40">
        <f>BI17*d_rho_gold+BH18*IF(B18&gt;=in_marketplace_from,d_hz_gold*G18,0)</f>
        <v/>
      </c>
      <c r="BJ18" s="14">
        <f>F18*BI18*in_gold_ticket*in_gold_comm</f>
        <v/>
      </c>
      <c r="BK18" s="40">
        <f>BK17*(1-IF(B17&gt;=in_marketplace_from,d_hz_fd*G17,0))</f>
        <v/>
      </c>
      <c r="BL18" s="14">
        <f>F18*BK18*IF(B18&gt;=in_marketplace_from,d_hz_fd*G18,0)*in_fd_ticket*in_fd_comm</f>
        <v/>
      </c>
      <c r="BM18" s="40">
        <f>BM17*(1-IF(B17&gt;=in_marketplace_from,d_hz_recharge*G17,0))</f>
        <v/>
      </c>
      <c r="BN18" s="40">
        <f>BN17*d_rho_recharge+BM18*IF(B18&gt;=in_marketplace_from,d_hz_recharge*G18,0)</f>
        <v/>
      </c>
      <c r="BO18" s="14">
        <f>F18*BN18*in_recharge_ticket*in_recharge_comm/12</f>
        <v/>
      </c>
      <c r="BP18" s="40">
        <f>BP17*(1-IF(B17&gt;=in_marketplace_from,d_hz_bills*G17,0))</f>
        <v/>
      </c>
      <c r="BQ18" s="40">
        <f>BQ17*d_rho_bills+BP18*IF(B18&gt;=in_marketplace_from,d_hz_bills*G18,0)</f>
        <v/>
      </c>
      <c r="BR18" s="14">
        <f>F18*BQ18*in_bills_ticket*in_bills_comm/12</f>
        <v/>
      </c>
      <c r="BS18" s="40">
        <f>BS17*(1-IF(B17&gt;=in_marketplace_from,d_hz_loan_gold*G17,0))</f>
        <v/>
      </c>
      <c r="BT18" s="14">
        <f>F18*BS18*IF(B18&gt;=in_marketplace_from,d_hz_loan_gold*G18,0)*in_loan_gold_ticket*in_loan_gold_comm</f>
        <v/>
      </c>
      <c r="BU18" s="40">
        <f>BU17*(1-IF(B17&gt;=in_marketplace_from,d_hz_loan_cd*G17,0))</f>
        <v/>
      </c>
      <c r="BV18" s="14">
        <f>F18*BU18*IF(B18&gt;=in_marketplace_from,d_hz_loan_cd*G18,0)*in_loan_cd_ticket*in_loan_cd_comm</f>
        <v/>
      </c>
      <c r="BW18" s="40">
        <f>BW17*(1-IF(B17&gt;=in_marketplace_from,d_hz_loan_vehicle*G17,0))</f>
        <v/>
      </c>
      <c r="BX18" s="14">
        <f>F18*BW18*IF(B18&gt;=in_marketplace_from,d_hz_loan_vehicle*G18,0)*in_loan_vehicle_ticket*in_loan_vehicle_comm</f>
        <v/>
      </c>
      <c r="BY18" s="40">
        <f>BY17*(1-IF(B17&gt;=in_marketplace_from,d_hz_loan_home*G17,0)*BZ17)</f>
        <v/>
      </c>
      <c r="BZ18" s="11">
        <f>MIN(in_approval_cap,in_loan_home_approval*INDEX('Age profile'!$O$2:$O$61,B18)*(1+in_approval_growth)^(D18-1))</f>
        <v/>
      </c>
      <c r="CA18" s="14">
        <f>F18*BY18*IF(B18&gt;=in_marketplace_from,d_hz_loan_home*G18,0)*BZ18*in_loan_home_ticket*in_loan_home_comm</f>
        <v/>
      </c>
      <c r="CB18" s="40">
        <f>CB17*(1-IF(B17&gt;=in_marketplace_from,d_hz_loan_lap*G17,0)*CC17)</f>
        <v/>
      </c>
      <c r="CC18" s="11">
        <f>MIN(in_approval_cap,in_loan_lap_approval*INDEX('Age profile'!$O$2:$O$61,B18)*(1+in_approval_growth)^(D18-1))</f>
        <v/>
      </c>
      <c r="CD18" s="14">
        <f>F18*CB18*IF(B18&gt;=in_marketplace_from,d_hz_loan_lap*G18,0)*CC18*in_loan_lap_ticket*in_loan_lap_comm</f>
        <v/>
      </c>
      <c r="CE18" s="14">
        <f>AA18+AB18+AC18+AD18+AG18+AJ18+AM18+AP18+AS18+AU18+AX18+BB18+BE18+BG18+BJ18+BL18+BO18+BR18+BT18+BV18+BX18+CA18+CD18</f>
        <v/>
      </c>
    </row>
    <row r="19">
      <c r="A19" s="39" t="n">
        <v>1</v>
      </c>
      <c r="B19" s="39" t="n">
        <v>18</v>
      </c>
      <c r="C19" s="39">
        <f>A19+B19-1</f>
        <v/>
      </c>
      <c r="D19" s="39">
        <f>INT((C19-1)/12)+1</f>
        <v/>
      </c>
      <c r="E19" s="44">
        <f>INDEX(Monthly!$B$2:$B$61,A19)</f>
        <v/>
      </c>
      <c r="F19" s="44">
        <f>E19*INDEX('Age profile'!$B$2:$B$61,B19)</f>
        <v/>
      </c>
      <c r="G19" s="45">
        <f>MIN(in_takeup_cap,INDEX('Age profile'!$N$2:$N$61,B19)*(1+in_takeup_growth)^(D19-1))</f>
        <v/>
      </c>
      <c r="H19" s="11">
        <f>MIN(in_approval_cap,in_approved_first*INDEX('Age profile'!$O$2:$O$61,B19)*(1+in_approval_growth)^(D19-1))</f>
        <v/>
      </c>
      <c r="I19" s="45">
        <f>G19*MIN(in_takeup_cap,INDEX('Age profile'!$O$2:$O$61,B19)*(1+in_approval_growth)^(D19-1))</f>
        <v/>
      </c>
      <c r="J19" s="40">
        <f>(J18-L18)*F19/F18</f>
        <v/>
      </c>
      <c r="K19" s="40">
        <f>(K18-M18)*F19/F18+SUMIFS(O2:O18,B2:B18,B19-1-d_T)*F19</f>
        <v/>
      </c>
      <c r="L19" s="40">
        <f>IF(B19&gt;=in_marketplace_from,J19*d_hz*G19*in_eligible*H19,0)</f>
        <v/>
      </c>
      <c r="M19" s="40">
        <f>IF(B19&gt;=in_marketplace_from,K19*d_hz*G19*in_eligible*in_approved_repeat,0)</f>
        <v/>
      </c>
      <c r="N19" s="40">
        <f>L19+M19</f>
        <v/>
      </c>
      <c r="O19" s="46">
        <f>N19/F19</f>
        <v/>
      </c>
      <c r="P19" s="40">
        <f>F19-J19-K19</f>
        <v/>
      </c>
      <c r="Q19" s="40">
        <f>IF(B19&gt;=in_marketplace_from,(J19+K19)*d_hz*G19,0)</f>
        <v/>
      </c>
      <c r="R19" s="40">
        <f>SUMIFS(N2:N61,B2:B61,"&gt;="&amp;(B19-d_T),B2:B61,"&lt;="&amp;(B19-1))</f>
        <v/>
      </c>
      <c r="S19" s="46">
        <f>(1-d_u)*S18+IF(d_T&gt;in_topup_lag,SUMIFS(O2:O61,B2:B61,B19-in_topup_lag)-d_udrop*SUMIFS(O2:O61,B2:B61,B19-d_T),0)</f>
        <v/>
      </c>
      <c r="T19" s="40">
        <f>F19*d_u*S19</f>
        <v/>
      </c>
      <c r="U19" s="9">
        <f>L19*in_ticket+M19*d_rep_ticket</f>
        <v/>
      </c>
      <c r="V19" s="9">
        <f>U19+T19*d_topup_amt</f>
        <v/>
      </c>
      <c r="W19" s="40">
        <f>N19+T19*d_topup_ratio</f>
        <v/>
      </c>
      <c r="X19" s="40">
        <f>SUMIFS(W2:W61,B2:B61,B19-in_dpd_lag)*d_cured</f>
        <v/>
      </c>
      <c r="Y19" s="40">
        <f>SUMIFS(W2:W61,B2:B61,B19-in_rec_lag)*d_recd</f>
        <v/>
      </c>
      <c r="Z19" s="40">
        <f>IF(AND(B19&gt;=in_marketplace_from,B19&lt;in_marketplace_from+in_card_months),in_card_share/in_card_months*F19*I19,IF(AND(B19&gt;=in_marketplace_from+in_card_months,B19&lt;in_marketplace_from+2*in_card_months),in_card_share*d_card_rem/in_card_months*F19*MIN(in_takeup_cap,(1+in_takeup_growth)^(D19-1))*MIN(in_takeup_cap,(1+in_approval_growth)^(D19-1)),0))</f>
        <v/>
      </c>
      <c r="AA19" s="14">
        <f>V19*in_fee*(1-in_taken_back)</f>
        <v/>
      </c>
      <c r="AB19" s="14">
        <f>SUMIFS(W2:W61,B2:B61,B19-in_dpd_lag)*d_dpd</f>
        <v/>
      </c>
      <c r="AC19" s="14">
        <f>SUMIFS(W2:W61,B2:B61,B19-in_rec_lag)*d_rec</f>
        <v/>
      </c>
      <c r="AD19" s="14">
        <f>Z19*in_card_fee</f>
        <v/>
      </c>
      <c r="AE19" s="40">
        <f>AE18*(1-IF(B18&gt;=in_marketplace_from,d_hz_hlth_small*G18,0))</f>
        <v/>
      </c>
      <c r="AF19" s="46">
        <f>AE19*IF(B19&gt;=in_marketplace_from,d_hz_hlth_small*G19,0)</f>
        <v/>
      </c>
      <c r="AG19" s="14">
        <f>F19*AF19*in_hlth_small_ticket*in_hlth_small_comm*in_ins_partner_share+F19*in_hlth_small_ticket*in_hlth_small_renew_comm*in_ins_partner_share*(in_hlth_small_renew^1*SUMIFS(AF2:AF61,B2:B61,B19-12)+in_hlth_small_renew^2*SUMIFS(AF2:AF61,B2:B61,B19-24)+in_hlth_small_renew^3*SUMIFS(AF2:AF61,B2:B61,B19-36)+in_hlth_small_renew^4*SUMIFS(AF2:AF61,B2:B61,B19-48))</f>
        <v/>
      </c>
      <c r="AH19" s="40">
        <f>AH18*(1-IF(B18&gt;=in_marketplace_from,d_hz_hlth_family*G18,0))</f>
        <v/>
      </c>
      <c r="AI19" s="46">
        <f>AH19*IF(B19&gt;=in_marketplace_from,d_hz_hlth_family*G19,0)</f>
        <v/>
      </c>
      <c r="AJ19" s="14">
        <f>F19*AI19*in_hlth_family_ticket*in_hlth_family_comm*in_ins_partner_share+F19*in_hlth_family_ticket*in_hlth_family_renew_comm*in_ins_partner_share*(in_hlth_family_renew^1*SUMIFS(AI2:AI61,B2:B61,B19-12)+in_hlth_family_renew^2*SUMIFS(AI2:AI61,B2:B61,B19-24)+in_hlth_family_renew^3*SUMIFS(AI2:AI61,B2:B61,B19-36)+in_hlth_family_renew^4*SUMIFS(AI2:AI61,B2:B61,B19-48))</f>
        <v/>
      </c>
      <c r="AK19" s="40">
        <f>AK18*(1-IF(B18&gt;=in_marketplace_from,d_hz_life_term*G18,0))</f>
        <v/>
      </c>
      <c r="AL19" s="46">
        <f>AK19*IF(B19&gt;=in_marketplace_from,d_hz_life_term*G19,0)</f>
        <v/>
      </c>
      <c r="AM19" s="14">
        <f>F19*AL19*in_life_term_ticket*in_life_term_comm*in_ins_partner_share+F19*in_life_term_ticket*in_life_term_renew_comm*in_ins_partner_share*(in_life_term_renew^1*SUMIFS(AL2:AL61,B2:B61,B19-12)+in_life_term_renew^2*SUMIFS(AL2:AL61,B2:B61,B19-24)+in_life_term_renew^3*SUMIFS(AL2:AL61,B2:B61,B19-36)+in_life_term_renew^4*SUMIFS(AL2:AL61,B2:B61,B19-48))</f>
        <v/>
      </c>
      <c r="AN19" s="40">
        <f>AN18*(1-IF(B18&gt;=in_marketplace_from,d_hz_accident*G18,0))</f>
        <v/>
      </c>
      <c r="AO19" s="46">
        <f>AN19*IF(B19&gt;=in_marketplace_from,d_hz_accident*G19,0)</f>
        <v/>
      </c>
      <c r="AP19" s="14">
        <f>F19*AO19*in_accident_ticket*in_accident_comm*in_ins_partner_share+F19*in_accident_ticket*in_accident_renew_comm*in_ins_partner_share*(in_accident_renew^1*SUMIFS(AO2:AO61,B2:B61,B19-12)+in_accident_renew^2*SUMIFS(AO2:AO61,B2:B61,B19-24)+in_accident_renew^3*SUMIFS(AO2:AO61,B2:B61,B19-36)+in_accident_renew^4*SUMIFS(AO2:AO61,B2:B61,B19-48))</f>
        <v/>
      </c>
      <c r="AQ19" s="40">
        <f>AQ18*(1-IF(B18&gt;=in_marketplace_from,d_hz_two_wheeler*G18,0))</f>
        <v/>
      </c>
      <c r="AR19" s="46">
        <f>AQ19*IF(B19&gt;=in_marketplace_from,d_hz_two_wheeler*G19,0)</f>
        <v/>
      </c>
      <c r="AS19" s="14">
        <f>F19*AR19*in_two_wheeler_ticket*in_two_wheeler_comm*in_ins_partner_share+F19*in_two_wheeler_ticket*in_two_wheeler_comm*in_ins_partner_share*(in_two_wheeler_renew^1*SUMIFS(AR2:AR61,B2:B61,B19-12)+in_two_wheeler_renew^2*SUMIFS(AR2:AR61,B2:B61,B19-24)+in_two_wheeler_renew^3*SUMIFS(AR2:AR61,B2:B61,B19-36)+in_two_wheeler_renew^4*SUMIFS(AR2:AR61,B2:B61,B19-48))</f>
        <v/>
      </c>
      <c r="AT19" s="40">
        <f>AT18*(1-IF(B18&gt;=in_marketplace_from,d_hz_device*G18,0))</f>
        <v/>
      </c>
      <c r="AU19" s="14">
        <f>F19*AT19*IF(B19&gt;=in_marketplace_from,d_hz_device*G19,0)*in_device_ticket*in_device_comm*in_ins_partner_share</f>
        <v/>
      </c>
      <c r="AV19" s="40">
        <f>AV18*(1-IF(B18&gt;=in_marketplace_from,d_hz_shop*G18,0))</f>
        <v/>
      </c>
      <c r="AW19" s="46">
        <f>AV19*IF(B19&gt;=in_marketplace_from,d_hz_shop*G19,0)</f>
        <v/>
      </c>
      <c r="AX19" s="14">
        <f>F19*AW19*in_shop_ticket*in_shop_comm*in_ins_partner_share+F19*in_shop_ticket*in_shop_renew_comm*in_ins_partner_share*(in_shop_renew^1*SUMIFS(AW2:AW61,B2:B61,B19-12)+in_shop_renew^2*SUMIFS(AW2:AW61,B2:B61,B19-24)+in_shop_renew^3*SUMIFS(AW2:AW61,B2:B61,B19-36)+in_shop_renew^4*SUMIFS(AW2:AW61,B2:B61,B19-48))</f>
        <v/>
      </c>
      <c r="AY19" s="40">
        <f>AY18*(1-IF(B18&gt;=in_marketplace_from,d_hz_sip*G18,0))</f>
        <v/>
      </c>
      <c r="AZ19" s="40">
        <f>AZ18*d_rho_sip+AY19*IF(B19&gt;=in_marketplace_from,d_hz_sip*G19,0)</f>
        <v/>
      </c>
      <c r="BA19" s="40">
        <f>d_rho_sip*(BA18+AZ18)</f>
        <v/>
      </c>
      <c r="BB19" s="14">
        <f>F19*in_sip_ticket*(BA19+0.5*AZ19)*in_sip_comm/12</f>
        <v/>
      </c>
      <c r="BC19" s="40">
        <f>BC18*(1-IF(B18&gt;=in_marketplace_from,d_hz_choti*G18,0))</f>
        <v/>
      </c>
      <c r="BD19" s="46">
        <f>BC19*IF(B19&gt;=in_marketplace_from,d_hz_choti*G19,0)</f>
        <v/>
      </c>
      <c r="BE19" s="14">
        <f>F19*SUMIFS(BD2:BD61,B2:B61,B19-in_choti_months)*in_choti_renew*in_choti_ticket</f>
        <v/>
      </c>
      <c r="BF19" s="40">
        <f>BF18*(1-IF(B18&gt;=in_marketplace_from,d_hz_nps*G18,0))</f>
        <v/>
      </c>
      <c r="BG19" s="14">
        <f>F19*BF19*IF(B19&gt;=in_marketplace_from,d_hz_nps*G19,0)*in_nps_ticket*in_nps_comm</f>
        <v/>
      </c>
      <c r="BH19" s="40">
        <f>BH18*(1-IF(B18&gt;=in_marketplace_from,d_hz_gold*G18,0))</f>
        <v/>
      </c>
      <c r="BI19" s="40">
        <f>BI18*d_rho_gold+BH19*IF(B19&gt;=in_marketplace_from,d_hz_gold*G19,0)</f>
        <v/>
      </c>
      <c r="BJ19" s="14">
        <f>F19*BI19*in_gold_ticket*in_gold_comm</f>
        <v/>
      </c>
      <c r="BK19" s="40">
        <f>BK18*(1-IF(B18&gt;=in_marketplace_from,d_hz_fd*G18,0))</f>
        <v/>
      </c>
      <c r="BL19" s="14">
        <f>F19*BK19*IF(B19&gt;=in_marketplace_from,d_hz_fd*G19,0)*in_fd_ticket*in_fd_comm</f>
        <v/>
      </c>
      <c r="BM19" s="40">
        <f>BM18*(1-IF(B18&gt;=in_marketplace_from,d_hz_recharge*G18,0))</f>
        <v/>
      </c>
      <c r="BN19" s="40">
        <f>BN18*d_rho_recharge+BM19*IF(B19&gt;=in_marketplace_from,d_hz_recharge*G19,0)</f>
        <v/>
      </c>
      <c r="BO19" s="14">
        <f>F19*BN19*in_recharge_ticket*in_recharge_comm/12</f>
        <v/>
      </c>
      <c r="BP19" s="40">
        <f>BP18*(1-IF(B18&gt;=in_marketplace_from,d_hz_bills*G18,0))</f>
        <v/>
      </c>
      <c r="BQ19" s="40">
        <f>BQ18*d_rho_bills+BP19*IF(B19&gt;=in_marketplace_from,d_hz_bills*G19,0)</f>
        <v/>
      </c>
      <c r="BR19" s="14">
        <f>F19*BQ19*in_bills_ticket*in_bills_comm/12</f>
        <v/>
      </c>
      <c r="BS19" s="40">
        <f>BS18*(1-IF(B18&gt;=in_marketplace_from,d_hz_loan_gold*G18,0))</f>
        <v/>
      </c>
      <c r="BT19" s="14">
        <f>F19*BS19*IF(B19&gt;=in_marketplace_from,d_hz_loan_gold*G19,0)*in_loan_gold_ticket*in_loan_gold_comm</f>
        <v/>
      </c>
      <c r="BU19" s="40">
        <f>BU18*(1-IF(B18&gt;=in_marketplace_from,d_hz_loan_cd*G18,0))</f>
        <v/>
      </c>
      <c r="BV19" s="14">
        <f>F19*BU19*IF(B19&gt;=in_marketplace_from,d_hz_loan_cd*G19,0)*in_loan_cd_ticket*in_loan_cd_comm</f>
        <v/>
      </c>
      <c r="BW19" s="40">
        <f>BW18*(1-IF(B18&gt;=in_marketplace_from,d_hz_loan_vehicle*G18,0))</f>
        <v/>
      </c>
      <c r="BX19" s="14">
        <f>F19*BW19*IF(B19&gt;=in_marketplace_from,d_hz_loan_vehicle*G19,0)*in_loan_vehicle_ticket*in_loan_vehicle_comm</f>
        <v/>
      </c>
      <c r="BY19" s="40">
        <f>BY18*(1-IF(B18&gt;=in_marketplace_from,d_hz_loan_home*G18,0)*BZ18)</f>
        <v/>
      </c>
      <c r="BZ19" s="11">
        <f>MIN(in_approval_cap,in_loan_home_approval*INDEX('Age profile'!$O$2:$O$61,B19)*(1+in_approval_growth)^(D19-1))</f>
        <v/>
      </c>
      <c r="CA19" s="14">
        <f>F19*BY19*IF(B19&gt;=in_marketplace_from,d_hz_loan_home*G19,0)*BZ19*in_loan_home_ticket*in_loan_home_comm</f>
        <v/>
      </c>
      <c r="CB19" s="40">
        <f>CB18*(1-IF(B18&gt;=in_marketplace_from,d_hz_loan_lap*G18,0)*CC18)</f>
        <v/>
      </c>
      <c r="CC19" s="11">
        <f>MIN(in_approval_cap,in_loan_lap_approval*INDEX('Age profile'!$O$2:$O$61,B19)*(1+in_approval_growth)^(D19-1))</f>
        <v/>
      </c>
      <c r="CD19" s="14">
        <f>F19*CB19*IF(B19&gt;=in_marketplace_from,d_hz_loan_lap*G19,0)*CC19*in_loan_lap_ticket*in_loan_lap_comm</f>
        <v/>
      </c>
      <c r="CE19" s="14">
        <f>AA19+AB19+AC19+AD19+AG19+AJ19+AM19+AP19+AS19+AU19+AX19+BB19+BE19+BG19+BJ19+BL19+BO19+BR19+BT19+BV19+BX19+CA19+CD19</f>
        <v/>
      </c>
    </row>
    <row r="20">
      <c r="A20" s="39" t="n">
        <v>1</v>
      </c>
      <c r="B20" s="39" t="n">
        <v>19</v>
      </c>
      <c r="C20" s="39">
        <f>A20+B20-1</f>
        <v/>
      </c>
      <c r="D20" s="39">
        <f>INT((C20-1)/12)+1</f>
        <v/>
      </c>
      <c r="E20" s="44">
        <f>INDEX(Monthly!$B$2:$B$61,A20)</f>
        <v/>
      </c>
      <c r="F20" s="44">
        <f>E20*INDEX('Age profile'!$B$2:$B$61,B20)</f>
        <v/>
      </c>
      <c r="G20" s="45">
        <f>MIN(in_takeup_cap,INDEX('Age profile'!$N$2:$N$61,B20)*(1+in_takeup_growth)^(D20-1))</f>
        <v/>
      </c>
      <c r="H20" s="11">
        <f>MIN(in_approval_cap,in_approved_first*INDEX('Age profile'!$O$2:$O$61,B20)*(1+in_approval_growth)^(D20-1))</f>
        <v/>
      </c>
      <c r="I20" s="45">
        <f>G20*MIN(in_takeup_cap,INDEX('Age profile'!$O$2:$O$61,B20)*(1+in_approval_growth)^(D20-1))</f>
        <v/>
      </c>
      <c r="J20" s="40">
        <f>(J19-L19)*F20/F19</f>
        <v/>
      </c>
      <c r="K20" s="40">
        <f>(K19-M19)*F20/F19+SUMIFS(O2:O19,B2:B19,B20-1-d_T)*F20</f>
        <v/>
      </c>
      <c r="L20" s="40">
        <f>IF(B20&gt;=in_marketplace_from,J20*d_hz*G20*in_eligible*H20,0)</f>
        <v/>
      </c>
      <c r="M20" s="40">
        <f>IF(B20&gt;=in_marketplace_from,K20*d_hz*G20*in_eligible*in_approved_repeat,0)</f>
        <v/>
      </c>
      <c r="N20" s="40">
        <f>L20+M20</f>
        <v/>
      </c>
      <c r="O20" s="46">
        <f>N20/F20</f>
        <v/>
      </c>
      <c r="P20" s="40">
        <f>F20-J20-K20</f>
        <v/>
      </c>
      <c r="Q20" s="40">
        <f>IF(B20&gt;=in_marketplace_from,(J20+K20)*d_hz*G20,0)</f>
        <v/>
      </c>
      <c r="R20" s="40">
        <f>SUMIFS(N2:N61,B2:B61,"&gt;="&amp;(B20-d_T),B2:B61,"&lt;="&amp;(B20-1))</f>
        <v/>
      </c>
      <c r="S20" s="46">
        <f>(1-d_u)*S19+IF(d_T&gt;in_topup_lag,SUMIFS(O2:O61,B2:B61,B20-in_topup_lag)-d_udrop*SUMIFS(O2:O61,B2:B61,B20-d_T),0)</f>
        <v/>
      </c>
      <c r="T20" s="40">
        <f>F20*d_u*S20</f>
        <v/>
      </c>
      <c r="U20" s="9">
        <f>L20*in_ticket+M20*d_rep_ticket</f>
        <v/>
      </c>
      <c r="V20" s="9">
        <f>U20+T20*d_topup_amt</f>
        <v/>
      </c>
      <c r="W20" s="40">
        <f>N20+T20*d_topup_ratio</f>
        <v/>
      </c>
      <c r="X20" s="40">
        <f>SUMIFS(W2:W61,B2:B61,B20-in_dpd_lag)*d_cured</f>
        <v/>
      </c>
      <c r="Y20" s="40">
        <f>SUMIFS(W2:W61,B2:B61,B20-in_rec_lag)*d_recd</f>
        <v/>
      </c>
      <c r="Z20" s="40">
        <f>IF(AND(B20&gt;=in_marketplace_from,B20&lt;in_marketplace_from+in_card_months),in_card_share/in_card_months*F20*I20,IF(AND(B20&gt;=in_marketplace_from+in_card_months,B20&lt;in_marketplace_from+2*in_card_months),in_card_share*d_card_rem/in_card_months*F20*MIN(in_takeup_cap,(1+in_takeup_growth)^(D20-1))*MIN(in_takeup_cap,(1+in_approval_growth)^(D20-1)),0))</f>
        <v/>
      </c>
      <c r="AA20" s="14">
        <f>V20*in_fee*(1-in_taken_back)</f>
        <v/>
      </c>
      <c r="AB20" s="14">
        <f>SUMIFS(W2:W61,B2:B61,B20-in_dpd_lag)*d_dpd</f>
        <v/>
      </c>
      <c r="AC20" s="14">
        <f>SUMIFS(W2:W61,B2:B61,B20-in_rec_lag)*d_rec</f>
        <v/>
      </c>
      <c r="AD20" s="14">
        <f>Z20*in_card_fee</f>
        <v/>
      </c>
      <c r="AE20" s="40">
        <f>AE19*(1-IF(B19&gt;=in_marketplace_from,d_hz_hlth_small*G19,0))</f>
        <v/>
      </c>
      <c r="AF20" s="46">
        <f>AE20*IF(B20&gt;=in_marketplace_from,d_hz_hlth_small*G20,0)</f>
        <v/>
      </c>
      <c r="AG20" s="14">
        <f>F20*AF20*in_hlth_small_ticket*in_hlth_small_comm*in_ins_partner_share+F20*in_hlth_small_ticket*in_hlth_small_renew_comm*in_ins_partner_share*(in_hlth_small_renew^1*SUMIFS(AF2:AF61,B2:B61,B20-12)+in_hlth_small_renew^2*SUMIFS(AF2:AF61,B2:B61,B20-24)+in_hlth_small_renew^3*SUMIFS(AF2:AF61,B2:B61,B20-36)+in_hlth_small_renew^4*SUMIFS(AF2:AF61,B2:B61,B20-48))</f>
        <v/>
      </c>
      <c r="AH20" s="40">
        <f>AH19*(1-IF(B19&gt;=in_marketplace_from,d_hz_hlth_family*G19,0))</f>
        <v/>
      </c>
      <c r="AI20" s="46">
        <f>AH20*IF(B20&gt;=in_marketplace_from,d_hz_hlth_family*G20,0)</f>
        <v/>
      </c>
      <c r="AJ20" s="14">
        <f>F20*AI20*in_hlth_family_ticket*in_hlth_family_comm*in_ins_partner_share+F20*in_hlth_family_ticket*in_hlth_family_renew_comm*in_ins_partner_share*(in_hlth_family_renew^1*SUMIFS(AI2:AI61,B2:B61,B20-12)+in_hlth_family_renew^2*SUMIFS(AI2:AI61,B2:B61,B20-24)+in_hlth_family_renew^3*SUMIFS(AI2:AI61,B2:B61,B20-36)+in_hlth_family_renew^4*SUMIFS(AI2:AI61,B2:B61,B20-48))</f>
        <v/>
      </c>
      <c r="AK20" s="40">
        <f>AK19*(1-IF(B19&gt;=in_marketplace_from,d_hz_life_term*G19,0))</f>
        <v/>
      </c>
      <c r="AL20" s="46">
        <f>AK20*IF(B20&gt;=in_marketplace_from,d_hz_life_term*G20,0)</f>
        <v/>
      </c>
      <c r="AM20" s="14">
        <f>F20*AL20*in_life_term_ticket*in_life_term_comm*in_ins_partner_share+F20*in_life_term_ticket*in_life_term_renew_comm*in_ins_partner_share*(in_life_term_renew^1*SUMIFS(AL2:AL61,B2:B61,B20-12)+in_life_term_renew^2*SUMIFS(AL2:AL61,B2:B61,B20-24)+in_life_term_renew^3*SUMIFS(AL2:AL61,B2:B61,B20-36)+in_life_term_renew^4*SUMIFS(AL2:AL61,B2:B61,B20-48))</f>
        <v/>
      </c>
      <c r="AN20" s="40">
        <f>AN19*(1-IF(B19&gt;=in_marketplace_from,d_hz_accident*G19,0))</f>
        <v/>
      </c>
      <c r="AO20" s="46">
        <f>AN20*IF(B20&gt;=in_marketplace_from,d_hz_accident*G20,0)</f>
        <v/>
      </c>
      <c r="AP20" s="14">
        <f>F20*AO20*in_accident_ticket*in_accident_comm*in_ins_partner_share+F20*in_accident_ticket*in_accident_renew_comm*in_ins_partner_share*(in_accident_renew^1*SUMIFS(AO2:AO61,B2:B61,B20-12)+in_accident_renew^2*SUMIFS(AO2:AO61,B2:B61,B20-24)+in_accident_renew^3*SUMIFS(AO2:AO61,B2:B61,B20-36)+in_accident_renew^4*SUMIFS(AO2:AO61,B2:B61,B20-48))</f>
        <v/>
      </c>
      <c r="AQ20" s="40">
        <f>AQ19*(1-IF(B19&gt;=in_marketplace_from,d_hz_two_wheeler*G19,0))</f>
        <v/>
      </c>
      <c r="AR20" s="46">
        <f>AQ20*IF(B20&gt;=in_marketplace_from,d_hz_two_wheeler*G20,0)</f>
        <v/>
      </c>
      <c r="AS20" s="14">
        <f>F20*AR20*in_two_wheeler_ticket*in_two_wheeler_comm*in_ins_partner_share+F20*in_two_wheeler_ticket*in_two_wheeler_comm*in_ins_partner_share*(in_two_wheeler_renew^1*SUMIFS(AR2:AR61,B2:B61,B20-12)+in_two_wheeler_renew^2*SUMIFS(AR2:AR61,B2:B61,B20-24)+in_two_wheeler_renew^3*SUMIFS(AR2:AR61,B2:B61,B20-36)+in_two_wheeler_renew^4*SUMIFS(AR2:AR61,B2:B61,B20-48))</f>
        <v/>
      </c>
      <c r="AT20" s="40">
        <f>AT19*(1-IF(B19&gt;=in_marketplace_from,d_hz_device*G19,0))</f>
        <v/>
      </c>
      <c r="AU20" s="14">
        <f>F20*AT20*IF(B20&gt;=in_marketplace_from,d_hz_device*G20,0)*in_device_ticket*in_device_comm*in_ins_partner_share</f>
        <v/>
      </c>
      <c r="AV20" s="40">
        <f>AV19*(1-IF(B19&gt;=in_marketplace_from,d_hz_shop*G19,0))</f>
        <v/>
      </c>
      <c r="AW20" s="46">
        <f>AV20*IF(B20&gt;=in_marketplace_from,d_hz_shop*G20,0)</f>
        <v/>
      </c>
      <c r="AX20" s="14">
        <f>F20*AW20*in_shop_ticket*in_shop_comm*in_ins_partner_share+F20*in_shop_ticket*in_shop_renew_comm*in_ins_partner_share*(in_shop_renew^1*SUMIFS(AW2:AW61,B2:B61,B20-12)+in_shop_renew^2*SUMIFS(AW2:AW61,B2:B61,B20-24)+in_shop_renew^3*SUMIFS(AW2:AW61,B2:B61,B20-36)+in_shop_renew^4*SUMIFS(AW2:AW61,B2:B61,B20-48))</f>
        <v/>
      </c>
      <c r="AY20" s="40">
        <f>AY19*(1-IF(B19&gt;=in_marketplace_from,d_hz_sip*G19,0))</f>
        <v/>
      </c>
      <c r="AZ20" s="40">
        <f>AZ19*d_rho_sip+AY20*IF(B20&gt;=in_marketplace_from,d_hz_sip*G20,0)</f>
        <v/>
      </c>
      <c r="BA20" s="40">
        <f>d_rho_sip*(BA19+AZ19)</f>
        <v/>
      </c>
      <c r="BB20" s="14">
        <f>F20*in_sip_ticket*(BA20+0.5*AZ20)*in_sip_comm/12</f>
        <v/>
      </c>
      <c r="BC20" s="40">
        <f>BC19*(1-IF(B19&gt;=in_marketplace_from,d_hz_choti*G19,0))</f>
        <v/>
      </c>
      <c r="BD20" s="46">
        <f>BC20*IF(B20&gt;=in_marketplace_from,d_hz_choti*G20,0)</f>
        <v/>
      </c>
      <c r="BE20" s="14">
        <f>F20*SUMIFS(BD2:BD61,B2:B61,B20-in_choti_months)*in_choti_renew*in_choti_ticket</f>
        <v/>
      </c>
      <c r="BF20" s="40">
        <f>BF19*(1-IF(B19&gt;=in_marketplace_from,d_hz_nps*G19,0))</f>
        <v/>
      </c>
      <c r="BG20" s="14">
        <f>F20*BF20*IF(B20&gt;=in_marketplace_from,d_hz_nps*G20,0)*in_nps_ticket*in_nps_comm</f>
        <v/>
      </c>
      <c r="BH20" s="40">
        <f>BH19*(1-IF(B19&gt;=in_marketplace_from,d_hz_gold*G19,0))</f>
        <v/>
      </c>
      <c r="BI20" s="40">
        <f>BI19*d_rho_gold+BH20*IF(B20&gt;=in_marketplace_from,d_hz_gold*G20,0)</f>
        <v/>
      </c>
      <c r="BJ20" s="14">
        <f>F20*BI20*in_gold_ticket*in_gold_comm</f>
        <v/>
      </c>
      <c r="BK20" s="40">
        <f>BK19*(1-IF(B19&gt;=in_marketplace_from,d_hz_fd*G19,0))</f>
        <v/>
      </c>
      <c r="BL20" s="14">
        <f>F20*BK20*IF(B20&gt;=in_marketplace_from,d_hz_fd*G20,0)*in_fd_ticket*in_fd_comm</f>
        <v/>
      </c>
      <c r="BM20" s="40">
        <f>BM19*(1-IF(B19&gt;=in_marketplace_from,d_hz_recharge*G19,0))</f>
        <v/>
      </c>
      <c r="BN20" s="40">
        <f>BN19*d_rho_recharge+BM20*IF(B20&gt;=in_marketplace_from,d_hz_recharge*G20,0)</f>
        <v/>
      </c>
      <c r="BO20" s="14">
        <f>F20*BN20*in_recharge_ticket*in_recharge_comm/12</f>
        <v/>
      </c>
      <c r="BP20" s="40">
        <f>BP19*(1-IF(B19&gt;=in_marketplace_from,d_hz_bills*G19,0))</f>
        <v/>
      </c>
      <c r="BQ20" s="40">
        <f>BQ19*d_rho_bills+BP20*IF(B20&gt;=in_marketplace_from,d_hz_bills*G20,0)</f>
        <v/>
      </c>
      <c r="BR20" s="14">
        <f>F20*BQ20*in_bills_ticket*in_bills_comm/12</f>
        <v/>
      </c>
      <c r="BS20" s="40">
        <f>BS19*(1-IF(B19&gt;=in_marketplace_from,d_hz_loan_gold*G19,0))</f>
        <v/>
      </c>
      <c r="BT20" s="14">
        <f>F20*BS20*IF(B20&gt;=in_marketplace_from,d_hz_loan_gold*G20,0)*in_loan_gold_ticket*in_loan_gold_comm</f>
        <v/>
      </c>
      <c r="BU20" s="40">
        <f>BU19*(1-IF(B19&gt;=in_marketplace_from,d_hz_loan_cd*G19,0))</f>
        <v/>
      </c>
      <c r="BV20" s="14">
        <f>F20*BU20*IF(B20&gt;=in_marketplace_from,d_hz_loan_cd*G20,0)*in_loan_cd_ticket*in_loan_cd_comm</f>
        <v/>
      </c>
      <c r="BW20" s="40">
        <f>BW19*(1-IF(B19&gt;=in_marketplace_from,d_hz_loan_vehicle*G19,0))</f>
        <v/>
      </c>
      <c r="BX20" s="14">
        <f>F20*BW20*IF(B20&gt;=in_marketplace_from,d_hz_loan_vehicle*G20,0)*in_loan_vehicle_ticket*in_loan_vehicle_comm</f>
        <v/>
      </c>
      <c r="BY20" s="40">
        <f>BY19*(1-IF(B19&gt;=in_marketplace_from,d_hz_loan_home*G19,0)*BZ19)</f>
        <v/>
      </c>
      <c r="BZ20" s="11">
        <f>MIN(in_approval_cap,in_loan_home_approval*INDEX('Age profile'!$O$2:$O$61,B20)*(1+in_approval_growth)^(D20-1))</f>
        <v/>
      </c>
      <c r="CA20" s="14">
        <f>F20*BY20*IF(B20&gt;=in_marketplace_from,d_hz_loan_home*G20,0)*BZ20*in_loan_home_ticket*in_loan_home_comm</f>
        <v/>
      </c>
      <c r="CB20" s="40">
        <f>CB19*(1-IF(B19&gt;=in_marketplace_from,d_hz_loan_lap*G19,0)*CC19)</f>
        <v/>
      </c>
      <c r="CC20" s="11">
        <f>MIN(in_approval_cap,in_loan_lap_approval*INDEX('Age profile'!$O$2:$O$61,B20)*(1+in_approval_growth)^(D20-1))</f>
        <v/>
      </c>
      <c r="CD20" s="14">
        <f>F20*CB20*IF(B20&gt;=in_marketplace_from,d_hz_loan_lap*G20,0)*CC20*in_loan_lap_ticket*in_loan_lap_comm</f>
        <v/>
      </c>
      <c r="CE20" s="14">
        <f>AA20+AB20+AC20+AD20+AG20+AJ20+AM20+AP20+AS20+AU20+AX20+BB20+BE20+BG20+BJ20+BL20+BO20+BR20+BT20+BV20+BX20+CA20+CD20</f>
        <v/>
      </c>
    </row>
    <row r="21">
      <c r="A21" s="39" t="n">
        <v>1</v>
      </c>
      <c r="B21" s="39" t="n">
        <v>20</v>
      </c>
      <c r="C21" s="39">
        <f>A21+B21-1</f>
        <v/>
      </c>
      <c r="D21" s="39">
        <f>INT((C21-1)/12)+1</f>
        <v/>
      </c>
      <c r="E21" s="44">
        <f>INDEX(Monthly!$B$2:$B$61,A21)</f>
        <v/>
      </c>
      <c r="F21" s="44">
        <f>E21*INDEX('Age profile'!$B$2:$B$61,B21)</f>
        <v/>
      </c>
      <c r="G21" s="45">
        <f>MIN(in_takeup_cap,INDEX('Age profile'!$N$2:$N$61,B21)*(1+in_takeup_growth)^(D21-1))</f>
        <v/>
      </c>
      <c r="H21" s="11">
        <f>MIN(in_approval_cap,in_approved_first*INDEX('Age profile'!$O$2:$O$61,B21)*(1+in_approval_growth)^(D21-1))</f>
        <v/>
      </c>
      <c r="I21" s="45">
        <f>G21*MIN(in_takeup_cap,INDEX('Age profile'!$O$2:$O$61,B21)*(1+in_approval_growth)^(D21-1))</f>
        <v/>
      </c>
      <c r="J21" s="40">
        <f>(J20-L20)*F21/F20</f>
        <v/>
      </c>
      <c r="K21" s="40">
        <f>(K20-M20)*F21/F20+SUMIFS(O2:O20,B2:B20,B21-1-d_T)*F21</f>
        <v/>
      </c>
      <c r="L21" s="40">
        <f>IF(B21&gt;=in_marketplace_from,J21*d_hz*G21*in_eligible*H21,0)</f>
        <v/>
      </c>
      <c r="M21" s="40">
        <f>IF(B21&gt;=in_marketplace_from,K21*d_hz*G21*in_eligible*in_approved_repeat,0)</f>
        <v/>
      </c>
      <c r="N21" s="40">
        <f>L21+M21</f>
        <v/>
      </c>
      <c r="O21" s="46">
        <f>N21/F21</f>
        <v/>
      </c>
      <c r="P21" s="40">
        <f>F21-J21-K21</f>
        <v/>
      </c>
      <c r="Q21" s="40">
        <f>IF(B21&gt;=in_marketplace_from,(J21+K21)*d_hz*G21,0)</f>
        <v/>
      </c>
      <c r="R21" s="40">
        <f>SUMIFS(N2:N61,B2:B61,"&gt;="&amp;(B21-d_T),B2:B61,"&lt;="&amp;(B21-1))</f>
        <v/>
      </c>
      <c r="S21" s="46">
        <f>(1-d_u)*S20+IF(d_T&gt;in_topup_lag,SUMIFS(O2:O61,B2:B61,B21-in_topup_lag)-d_udrop*SUMIFS(O2:O61,B2:B61,B21-d_T),0)</f>
        <v/>
      </c>
      <c r="T21" s="40">
        <f>F21*d_u*S21</f>
        <v/>
      </c>
      <c r="U21" s="9">
        <f>L21*in_ticket+M21*d_rep_ticket</f>
        <v/>
      </c>
      <c r="V21" s="9">
        <f>U21+T21*d_topup_amt</f>
        <v/>
      </c>
      <c r="W21" s="40">
        <f>N21+T21*d_topup_ratio</f>
        <v/>
      </c>
      <c r="X21" s="40">
        <f>SUMIFS(W2:W61,B2:B61,B21-in_dpd_lag)*d_cured</f>
        <v/>
      </c>
      <c r="Y21" s="40">
        <f>SUMIFS(W2:W61,B2:B61,B21-in_rec_lag)*d_recd</f>
        <v/>
      </c>
      <c r="Z21" s="40">
        <f>IF(AND(B21&gt;=in_marketplace_from,B21&lt;in_marketplace_from+in_card_months),in_card_share/in_card_months*F21*I21,IF(AND(B21&gt;=in_marketplace_from+in_card_months,B21&lt;in_marketplace_from+2*in_card_months),in_card_share*d_card_rem/in_card_months*F21*MIN(in_takeup_cap,(1+in_takeup_growth)^(D21-1))*MIN(in_takeup_cap,(1+in_approval_growth)^(D21-1)),0))</f>
        <v/>
      </c>
      <c r="AA21" s="14">
        <f>V21*in_fee*(1-in_taken_back)</f>
        <v/>
      </c>
      <c r="AB21" s="14">
        <f>SUMIFS(W2:W61,B2:B61,B21-in_dpd_lag)*d_dpd</f>
        <v/>
      </c>
      <c r="AC21" s="14">
        <f>SUMIFS(W2:W61,B2:B61,B21-in_rec_lag)*d_rec</f>
        <v/>
      </c>
      <c r="AD21" s="14">
        <f>Z21*in_card_fee</f>
        <v/>
      </c>
      <c r="AE21" s="40">
        <f>AE20*(1-IF(B20&gt;=in_marketplace_from,d_hz_hlth_small*G20,0))</f>
        <v/>
      </c>
      <c r="AF21" s="46">
        <f>AE21*IF(B21&gt;=in_marketplace_from,d_hz_hlth_small*G21,0)</f>
        <v/>
      </c>
      <c r="AG21" s="14">
        <f>F21*AF21*in_hlth_small_ticket*in_hlth_small_comm*in_ins_partner_share+F21*in_hlth_small_ticket*in_hlth_small_renew_comm*in_ins_partner_share*(in_hlth_small_renew^1*SUMIFS(AF2:AF61,B2:B61,B21-12)+in_hlth_small_renew^2*SUMIFS(AF2:AF61,B2:B61,B21-24)+in_hlth_small_renew^3*SUMIFS(AF2:AF61,B2:B61,B21-36)+in_hlth_small_renew^4*SUMIFS(AF2:AF61,B2:B61,B21-48))</f>
        <v/>
      </c>
      <c r="AH21" s="40">
        <f>AH20*(1-IF(B20&gt;=in_marketplace_from,d_hz_hlth_family*G20,0))</f>
        <v/>
      </c>
      <c r="AI21" s="46">
        <f>AH21*IF(B21&gt;=in_marketplace_from,d_hz_hlth_family*G21,0)</f>
        <v/>
      </c>
      <c r="AJ21" s="14">
        <f>F21*AI21*in_hlth_family_ticket*in_hlth_family_comm*in_ins_partner_share+F21*in_hlth_family_ticket*in_hlth_family_renew_comm*in_ins_partner_share*(in_hlth_family_renew^1*SUMIFS(AI2:AI61,B2:B61,B21-12)+in_hlth_family_renew^2*SUMIFS(AI2:AI61,B2:B61,B21-24)+in_hlth_family_renew^3*SUMIFS(AI2:AI61,B2:B61,B21-36)+in_hlth_family_renew^4*SUMIFS(AI2:AI61,B2:B61,B21-48))</f>
        <v/>
      </c>
      <c r="AK21" s="40">
        <f>AK20*(1-IF(B20&gt;=in_marketplace_from,d_hz_life_term*G20,0))</f>
        <v/>
      </c>
      <c r="AL21" s="46">
        <f>AK21*IF(B21&gt;=in_marketplace_from,d_hz_life_term*G21,0)</f>
        <v/>
      </c>
      <c r="AM21" s="14">
        <f>F21*AL21*in_life_term_ticket*in_life_term_comm*in_ins_partner_share+F21*in_life_term_ticket*in_life_term_renew_comm*in_ins_partner_share*(in_life_term_renew^1*SUMIFS(AL2:AL61,B2:B61,B21-12)+in_life_term_renew^2*SUMIFS(AL2:AL61,B2:B61,B21-24)+in_life_term_renew^3*SUMIFS(AL2:AL61,B2:B61,B21-36)+in_life_term_renew^4*SUMIFS(AL2:AL61,B2:B61,B21-48))</f>
        <v/>
      </c>
      <c r="AN21" s="40">
        <f>AN20*(1-IF(B20&gt;=in_marketplace_from,d_hz_accident*G20,0))</f>
        <v/>
      </c>
      <c r="AO21" s="46">
        <f>AN21*IF(B21&gt;=in_marketplace_from,d_hz_accident*G21,0)</f>
        <v/>
      </c>
      <c r="AP21" s="14">
        <f>F21*AO21*in_accident_ticket*in_accident_comm*in_ins_partner_share+F21*in_accident_ticket*in_accident_renew_comm*in_ins_partner_share*(in_accident_renew^1*SUMIFS(AO2:AO61,B2:B61,B21-12)+in_accident_renew^2*SUMIFS(AO2:AO61,B2:B61,B21-24)+in_accident_renew^3*SUMIFS(AO2:AO61,B2:B61,B21-36)+in_accident_renew^4*SUMIFS(AO2:AO61,B2:B61,B21-48))</f>
        <v/>
      </c>
      <c r="AQ21" s="40">
        <f>AQ20*(1-IF(B20&gt;=in_marketplace_from,d_hz_two_wheeler*G20,0))</f>
        <v/>
      </c>
      <c r="AR21" s="46">
        <f>AQ21*IF(B21&gt;=in_marketplace_from,d_hz_two_wheeler*G21,0)</f>
        <v/>
      </c>
      <c r="AS21" s="14">
        <f>F21*AR21*in_two_wheeler_ticket*in_two_wheeler_comm*in_ins_partner_share+F21*in_two_wheeler_ticket*in_two_wheeler_comm*in_ins_partner_share*(in_two_wheeler_renew^1*SUMIFS(AR2:AR61,B2:B61,B21-12)+in_two_wheeler_renew^2*SUMIFS(AR2:AR61,B2:B61,B21-24)+in_two_wheeler_renew^3*SUMIFS(AR2:AR61,B2:B61,B21-36)+in_two_wheeler_renew^4*SUMIFS(AR2:AR61,B2:B61,B21-48))</f>
        <v/>
      </c>
      <c r="AT21" s="40">
        <f>AT20*(1-IF(B20&gt;=in_marketplace_from,d_hz_device*G20,0))</f>
        <v/>
      </c>
      <c r="AU21" s="14">
        <f>F21*AT21*IF(B21&gt;=in_marketplace_from,d_hz_device*G21,0)*in_device_ticket*in_device_comm*in_ins_partner_share</f>
        <v/>
      </c>
      <c r="AV21" s="40">
        <f>AV20*(1-IF(B20&gt;=in_marketplace_from,d_hz_shop*G20,0))</f>
        <v/>
      </c>
      <c r="AW21" s="46">
        <f>AV21*IF(B21&gt;=in_marketplace_from,d_hz_shop*G21,0)</f>
        <v/>
      </c>
      <c r="AX21" s="14">
        <f>F21*AW21*in_shop_ticket*in_shop_comm*in_ins_partner_share+F21*in_shop_ticket*in_shop_renew_comm*in_ins_partner_share*(in_shop_renew^1*SUMIFS(AW2:AW61,B2:B61,B21-12)+in_shop_renew^2*SUMIFS(AW2:AW61,B2:B61,B21-24)+in_shop_renew^3*SUMIFS(AW2:AW61,B2:B61,B21-36)+in_shop_renew^4*SUMIFS(AW2:AW61,B2:B61,B21-48))</f>
        <v/>
      </c>
      <c r="AY21" s="40">
        <f>AY20*(1-IF(B20&gt;=in_marketplace_from,d_hz_sip*G20,0))</f>
        <v/>
      </c>
      <c r="AZ21" s="40">
        <f>AZ20*d_rho_sip+AY21*IF(B21&gt;=in_marketplace_from,d_hz_sip*G21,0)</f>
        <v/>
      </c>
      <c r="BA21" s="40">
        <f>d_rho_sip*(BA20+AZ20)</f>
        <v/>
      </c>
      <c r="BB21" s="14">
        <f>F21*in_sip_ticket*(BA21+0.5*AZ21)*in_sip_comm/12</f>
        <v/>
      </c>
      <c r="BC21" s="40">
        <f>BC20*(1-IF(B20&gt;=in_marketplace_from,d_hz_choti*G20,0))</f>
        <v/>
      </c>
      <c r="BD21" s="46">
        <f>BC21*IF(B21&gt;=in_marketplace_from,d_hz_choti*G21,0)</f>
        <v/>
      </c>
      <c r="BE21" s="14">
        <f>F21*SUMIFS(BD2:BD61,B2:B61,B21-in_choti_months)*in_choti_renew*in_choti_ticket</f>
        <v/>
      </c>
      <c r="BF21" s="40">
        <f>BF20*(1-IF(B20&gt;=in_marketplace_from,d_hz_nps*G20,0))</f>
        <v/>
      </c>
      <c r="BG21" s="14">
        <f>F21*BF21*IF(B21&gt;=in_marketplace_from,d_hz_nps*G21,0)*in_nps_ticket*in_nps_comm</f>
        <v/>
      </c>
      <c r="BH21" s="40">
        <f>BH20*(1-IF(B20&gt;=in_marketplace_from,d_hz_gold*G20,0))</f>
        <v/>
      </c>
      <c r="BI21" s="40">
        <f>BI20*d_rho_gold+BH21*IF(B21&gt;=in_marketplace_from,d_hz_gold*G21,0)</f>
        <v/>
      </c>
      <c r="BJ21" s="14">
        <f>F21*BI21*in_gold_ticket*in_gold_comm</f>
        <v/>
      </c>
      <c r="BK21" s="40">
        <f>BK20*(1-IF(B20&gt;=in_marketplace_from,d_hz_fd*G20,0))</f>
        <v/>
      </c>
      <c r="BL21" s="14">
        <f>F21*BK21*IF(B21&gt;=in_marketplace_from,d_hz_fd*G21,0)*in_fd_ticket*in_fd_comm</f>
        <v/>
      </c>
      <c r="BM21" s="40">
        <f>BM20*(1-IF(B20&gt;=in_marketplace_from,d_hz_recharge*G20,0))</f>
        <v/>
      </c>
      <c r="BN21" s="40">
        <f>BN20*d_rho_recharge+BM21*IF(B21&gt;=in_marketplace_from,d_hz_recharge*G21,0)</f>
        <v/>
      </c>
      <c r="BO21" s="14">
        <f>F21*BN21*in_recharge_ticket*in_recharge_comm/12</f>
        <v/>
      </c>
      <c r="BP21" s="40">
        <f>BP20*(1-IF(B20&gt;=in_marketplace_from,d_hz_bills*G20,0))</f>
        <v/>
      </c>
      <c r="BQ21" s="40">
        <f>BQ20*d_rho_bills+BP21*IF(B21&gt;=in_marketplace_from,d_hz_bills*G21,0)</f>
        <v/>
      </c>
      <c r="BR21" s="14">
        <f>F21*BQ21*in_bills_ticket*in_bills_comm/12</f>
        <v/>
      </c>
      <c r="BS21" s="40">
        <f>BS20*(1-IF(B20&gt;=in_marketplace_from,d_hz_loan_gold*G20,0))</f>
        <v/>
      </c>
      <c r="BT21" s="14">
        <f>F21*BS21*IF(B21&gt;=in_marketplace_from,d_hz_loan_gold*G21,0)*in_loan_gold_ticket*in_loan_gold_comm</f>
        <v/>
      </c>
      <c r="BU21" s="40">
        <f>BU20*(1-IF(B20&gt;=in_marketplace_from,d_hz_loan_cd*G20,0))</f>
        <v/>
      </c>
      <c r="BV21" s="14">
        <f>F21*BU21*IF(B21&gt;=in_marketplace_from,d_hz_loan_cd*G21,0)*in_loan_cd_ticket*in_loan_cd_comm</f>
        <v/>
      </c>
      <c r="BW21" s="40">
        <f>BW20*(1-IF(B20&gt;=in_marketplace_from,d_hz_loan_vehicle*G20,0))</f>
        <v/>
      </c>
      <c r="BX21" s="14">
        <f>F21*BW21*IF(B21&gt;=in_marketplace_from,d_hz_loan_vehicle*G21,0)*in_loan_vehicle_ticket*in_loan_vehicle_comm</f>
        <v/>
      </c>
      <c r="BY21" s="40">
        <f>BY20*(1-IF(B20&gt;=in_marketplace_from,d_hz_loan_home*G20,0)*BZ20)</f>
        <v/>
      </c>
      <c r="BZ21" s="11">
        <f>MIN(in_approval_cap,in_loan_home_approval*INDEX('Age profile'!$O$2:$O$61,B21)*(1+in_approval_growth)^(D21-1))</f>
        <v/>
      </c>
      <c r="CA21" s="14">
        <f>F21*BY21*IF(B21&gt;=in_marketplace_from,d_hz_loan_home*G21,0)*BZ21*in_loan_home_ticket*in_loan_home_comm</f>
        <v/>
      </c>
      <c r="CB21" s="40">
        <f>CB20*(1-IF(B20&gt;=in_marketplace_from,d_hz_loan_lap*G20,0)*CC20)</f>
        <v/>
      </c>
      <c r="CC21" s="11">
        <f>MIN(in_approval_cap,in_loan_lap_approval*INDEX('Age profile'!$O$2:$O$61,B21)*(1+in_approval_growth)^(D21-1))</f>
        <v/>
      </c>
      <c r="CD21" s="14">
        <f>F21*CB21*IF(B21&gt;=in_marketplace_from,d_hz_loan_lap*G21,0)*CC21*in_loan_lap_ticket*in_loan_lap_comm</f>
        <v/>
      </c>
      <c r="CE21" s="14">
        <f>AA21+AB21+AC21+AD21+AG21+AJ21+AM21+AP21+AS21+AU21+AX21+BB21+BE21+BG21+BJ21+BL21+BO21+BR21+BT21+BV21+BX21+CA21+CD21</f>
        <v/>
      </c>
    </row>
    <row r="22">
      <c r="A22" s="39" t="n">
        <v>1</v>
      </c>
      <c r="B22" s="39" t="n">
        <v>21</v>
      </c>
      <c r="C22" s="39">
        <f>A22+B22-1</f>
        <v/>
      </c>
      <c r="D22" s="39">
        <f>INT((C22-1)/12)+1</f>
        <v/>
      </c>
      <c r="E22" s="44">
        <f>INDEX(Monthly!$B$2:$B$61,A22)</f>
        <v/>
      </c>
      <c r="F22" s="44">
        <f>E22*INDEX('Age profile'!$B$2:$B$61,B22)</f>
        <v/>
      </c>
      <c r="G22" s="45">
        <f>MIN(in_takeup_cap,INDEX('Age profile'!$N$2:$N$61,B22)*(1+in_takeup_growth)^(D22-1))</f>
        <v/>
      </c>
      <c r="H22" s="11">
        <f>MIN(in_approval_cap,in_approved_first*INDEX('Age profile'!$O$2:$O$61,B22)*(1+in_approval_growth)^(D22-1))</f>
        <v/>
      </c>
      <c r="I22" s="45">
        <f>G22*MIN(in_takeup_cap,INDEX('Age profile'!$O$2:$O$61,B22)*(1+in_approval_growth)^(D22-1))</f>
        <v/>
      </c>
      <c r="J22" s="40">
        <f>(J21-L21)*F22/F21</f>
        <v/>
      </c>
      <c r="K22" s="40">
        <f>(K21-M21)*F22/F21+SUMIFS(O2:O21,B2:B21,B22-1-d_T)*F22</f>
        <v/>
      </c>
      <c r="L22" s="40">
        <f>IF(B22&gt;=in_marketplace_from,J22*d_hz*G22*in_eligible*H22,0)</f>
        <v/>
      </c>
      <c r="M22" s="40">
        <f>IF(B22&gt;=in_marketplace_from,K22*d_hz*G22*in_eligible*in_approved_repeat,0)</f>
        <v/>
      </c>
      <c r="N22" s="40">
        <f>L22+M22</f>
        <v/>
      </c>
      <c r="O22" s="46">
        <f>N22/F22</f>
        <v/>
      </c>
      <c r="P22" s="40">
        <f>F22-J22-K22</f>
        <v/>
      </c>
      <c r="Q22" s="40">
        <f>IF(B22&gt;=in_marketplace_from,(J22+K22)*d_hz*G22,0)</f>
        <v/>
      </c>
      <c r="R22" s="40">
        <f>SUMIFS(N2:N61,B2:B61,"&gt;="&amp;(B22-d_T),B2:B61,"&lt;="&amp;(B22-1))</f>
        <v/>
      </c>
      <c r="S22" s="46">
        <f>(1-d_u)*S21+IF(d_T&gt;in_topup_lag,SUMIFS(O2:O61,B2:B61,B22-in_topup_lag)-d_udrop*SUMIFS(O2:O61,B2:B61,B22-d_T),0)</f>
        <v/>
      </c>
      <c r="T22" s="40">
        <f>F22*d_u*S22</f>
        <v/>
      </c>
      <c r="U22" s="9">
        <f>L22*in_ticket+M22*d_rep_ticket</f>
        <v/>
      </c>
      <c r="V22" s="9">
        <f>U22+T22*d_topup_amt</f>
        <v/>
      </c>
      <c r="W22" s="40">
        <f>N22+T22*d_topup_ratio</f>
        <v/>
      </c>
      <c r="X22" s="40">
        <f>SUMIFS(W2:W61,B2:B61,B22-in_dpd_lag)*d_cured</f>
        <v/>
      </c>
      <c r="Y22" s="40">
        <f>SUMIFS(W2:W61,B2:B61,B22-in_rec_lag)*d_recd</f>
        <v/>
      </c>
      <c r="Z22" s="40">
        <f>IF(AND(B22&gt;=in_marketplace_from,B22&lt;in_marketplace_from+in_card_months),in_card_share/in_card_months*F22*I22,IF(AND(B22&gt;=in_marketplace_from+in_card_months,B22&lt;in_marketplace_from+2*in_card_months),in_card_share*d_card_rem/in_card_months*F22*MIN(in_takeup_cap,(1+in_takeup_growth)^(D22-1))*MIN(in_takeup_cap,(1+in_approval_growth)^(D22-1)),0))</f>
        <v/>
      </c>
      <c r="AA22" s="14">
        <f>V22*in_fee*(1-in_taken_back)</f>
        <v/>
      </c>
      <c r="AB22" s="14">
        <f>SUMIFS(W2:W61,B2:B61,B22-in_dpd_lag)*d_dpd</f>
        <v/>
      </c>
      <c r="AC22" s="14">
        <f>SUMIFS(W2:W61,B2:B61,B22-in_rec_lag)*d_rec</f>
        <v/>
      </c>
      <c r="AD22" s="14">
        <f>Z22*in_card_fee</f>
        <v/>
      </c>
      <c r="AE22" s="40">
        <f>AE21*(1-IF(B21&gt;=in_marketplace_from,d_hz_hlth_small*G21,0))</f>
        <v/>
      </c>
      <c r="AF22" s="46">
        <f>AE22*IF(B22&gt;=in_marketplace_from,d_hz_hlth_small*G22,0)</f>
        <v/>
      </c>
      <c r="AG22" s="14">
        <f>F22*AF22*in_hlth_small_ticket*in_hlth_small_comm*in_ins_partner_share+F22*in_hlth_small_ticket*in_hlth_small_renew_comm*in_ins_partner_share*(in_hlth_small_renew^1*SUMIFS(AF2:AF61,B2:B61,B22-12)+in_hlth_small_renew^2*SUMIFS(AF2:AF61,B2:B61,B22-24)+in_hlth_small_renew^3*SUMIFS(AF2:AF61,B2:B61,B22-36)+in_hlth_small_renew^4*SUMIFS(AF2:AF61,B2:B61,B22-48))</f>
        <v/>
      </c>
      <c r="AH22" s="40">
        <f>AH21*(1-IF(B21&gt;=in_marketplace_from,d_hz_hlth_family*G21,0))</f>
        <v/>
      </c>
      <c r="AI22" s="46">
        <f>AH22*IF(B22&gt;=in_marketplace_from,d_hz_hlth_family*G22,0)</f>
        <v/>
      </c>
      <c r="AJ22" s="14">
        <f>F22*AI22*in_hlth_family_ticket*in_hlth_family_comm*in_ins_partner_share+F22*in_hlth_family_ticket*in_hlth_family_renew_comm*in_ins_partner_share*(in_hlth_family_renew^1*SUMIFS(AI2:AI61,B2:B61,B22-12)+in_hlth_family_renew^2*SUMIFS(AI2:AI61,B2:B61,B22-24)+in_hlth_family_renew^3*SUMIFS(AI2:AI61,B2:B61,B22-36)+in_hlth_family_renew^4*SUMIFS(AI2:AI61,B2:B61,B22-48))</f>
        <v/>
      </c>
      <c r="AK22" s="40">
        <f>AK21*(1-IF(B21&gt;=in_marketplace_from,d_hz_life_term*G21,0))</f>
        <v/>
      </c>
      <c r="AL22" s="46">
        <f>AK22*IF(B22&gt;=in_marketplace_from,d_hz_life_term*G22,0)</f>
        <v/>
      </c>
      <c r="AM22" s="14">
        <f>F22*AL22*in_life_term_ticket*in_life_term_comm*in_ins_partner_share+F22*in_life_term_ticket*in_life_term_renew_comm*in_ins_partner_share*(in_life_term_renew^1*SUMIFS(AL2:AL61,B2:B61,B22-12)+in_life_term_renew^2*SUMIFS(AL2:AL61,B2:B61,B22-24)+in_life_term_renew^3*SUMIFS(AL2:AL61,B2:B61,B22-36)+in_life_term_renew^4*SUMIFS(AL2:AL61,B2:B61,B22-48))</f>
        <v/>
      </c>
      <c r="AN22" s="40">
        <f>AN21*(1-IF(B21&gt;=in_marketplace_from,d_hz_accident*G21,0))</f>
        <v/>
      </c>
      <c r="AO22" s="46">
        <f>AN22*IF(B22&gt;=in_marketplace_from,d_hz_accident*G22,0)</f>
        <v/>
      </c>
      <c r="AP22" s="14">
        <f>F22*AO22*in_accident_ticket*in_accident_comm*in_ins_partner_share+F22*in_accident_ticket*in_accident_renew_comm*in_ins_partner_share*(in_accident_renew^1*SUMIFS(AO2:AO61,B2:B61,B22-12)+in_accident_renew^2*SUMIFS(AO2:AO61,B2:B61,B22-24)+in_accident_renew^3*SUMIFS(AO2:AO61,B2:B61,B22-36)+in_accident_renew^4*SUMIFS(AO2:AO61,B2:B61,B22-48))</f>
        <v/>
      </c>
      <c r="AQ22" s="40">
        <f>AQ21*(1-IF(B21&gt;=in_marketplace_from,d_hz_two_wheeler*G21,0))</f>
        <v/>
      </c>
      <c r="AR22" s="46">
        <f>AQ22*IF(B22&gt;=in_marketplace_from,d_hz_two_wheeler*G22,0)</f>
        <v/>
      </c>
      <c r="AS22" s="14">
        <f>F22*AR22*in_two_wheeler_ticket*in_two_wheeler_comm*in_ins_partner_share+F22*in_two_wheeler_ticket*in_two_wheeler_comm*in_ins_partner_share*(in_two_wheeler_renew^1*SUMIFS(AR2:AR61,B2:B61,B22-12)+in_two_wheeler_renew^2*SUMIFS(AR2:AR61,B2:B61,B22-24)+in_two_wheeler_renew^3*SUMIFS(AR2:AR61,B2:B61,B22-36)+in_two_wheeler_renew^4*SUMIFS(AR2:AR61,B2:B61,B22-48))</f>
        <v/>
      </c>
      <c r="AT22" s="40">
        <f>AT21*(1-IF(B21&gt;=in_marketplace_from,d_hz_device*G21,0))</f>
        <v/>
      </c>
      <c r="AU22" s="14">
        <f>F22*AT22*IF(B22&gt;=in_marketplace_from,d_hz_device*G22,0)*in_device_ticket*in_device_comm*in_ins_partner_share</f>
        <v/>
      </c>
      <c r="AV22" s="40">
        <f>AV21*(1-IF(B21&gt;=in_marketplace_from,d_hz_shop*G21,0))</f>
        <v/>
      </c>
      <c r="AW22" s="46">
        <f>AV22*IF(B22&gt;=in_marketplace_from,d_hz_shop*G22,0)</f>
        <v/>
      </c>
      <c r="AX22" s="14">
        <f>F22*AW22*in_shop_ticket*in_shop_comm*in_ins_partner_share+F22*in_shop_ticket*in_shop_renew_comm*in_ins_partner_share*(in_shop_renew^1*SUMIFS(AW2:AW61,B2:B61,B22-12)+in_shop_renew^2*SUMIFS(AW2:AW61,B2:B61,B22-24)+in_shop_renew^3*SUMIFS(AW2:AW61,B2:B61,B22-36)+in_shop_renew^4*SUMIFS(AW2:AW61,B2:B61,B22-48))</f>
        <v/>
      </c>
      <c r="AY22" s="40">
        <f>AY21*(1-IF(B21&gt;=in_marketplace_from,d_hz_sip*G21,0))</f>
        <v/>
      </c>
      <c r="AZ22" s="40">
        <f>AZ21*d_rho_sip+AY22*IF(B22&gt;=in_marketplace_from,d_hz_sip*G22,0)</f>
        <v/>
      </c>
      <c r="BA22" s="40">
        <f>d_rho_sip*(BA21+AZ21)</f>
        <v/>
      </c>
      <c r="BB22" s="14">
        <f>F22*in_sip_ticket*(BA22+0.5*AZ22)*in_sip_comm/12</f>
        <v/>
      </c>
      <c r="BC22" s="40">
        <f>BC21*(1-IF(B21&gt;=in_marketplace_from,d_hz_choti*G21,0))</f>
        <v/>
      </c>
      <c r="BD22" s="46">
        <f>BC22*IF(B22&gt;=in_marketplace_from,d_hz_choti*G22,0)</f>
        <v/>
      </c>
      <c r="BE22" s="14">
        <f>F22*SUMIFS(BD2:BD61,B2:B61,B22-in_choti_months)*in_choti_renew*in_choti_ticket</f>
        <v/>
      </c>
      <c r="BF22" s="40">
        <f>BF21*(1-IF(B21&gt;=in_marketplace_from,d_hz_nps*G21,0))</f>
        <v/>
      </c>
      <c r="BG22" s="14">
        <f>F22*BF22*IF(B22&gt;=in_marketplace_from,d_hz_nps*G22,0)*in_nps_ticket*in_nps_comm</f>
        <v/>
      </c>
      <c r="BH22" s="40">
        <f>BH21*(1-IF(B21&gt;=in_marketplace_from,d_hz_gold*G21,0))</f>
        <v/>
      </c>
      <c r="BI22" s="40">
        <f>BI21*d_rho_gold+BH22*IF(B22&gt;=in_marketplace_from,d_hz_gold*G22,0)</f>
        <v/>
      </c>
      <c r="BJ22" s="14">
        <f>F22*BI22*in_gold_ticket*in_gold_comm</f>
        <v/>
      </c>
      <c r="BK22" s="40">
        <f>BK21*(1-IF(B21&gt;=in_marketplace_from,d_hz_fd*G21,0))</f>
        <v/>
      </c>
      <c r="BL22" s="14">
        <f>F22*BK22*IF(B22&gt;=in_marketplace_from,d_hz_fd*G22,0)*in_fd_ticket*in_fd_comm</f>
        <v/>
      </c>
      <c r="BM22" s="40">
        <f>BM21*(1-IF(B21&gt;=in_marketplace_from,d_hz_recharge*G21,0))</f>
        <v/>
      </c>
      <c r="BN22" s="40">
        <f>BN21*d_rho_recharge+BM22*IF(B22&gt;=in_marketplace_from,d_hz_recharge*G22,0)</f>
        <v/>
      </c>
      <c r="BO22" s="14">
        <f>F22*BN22*in_recharge_ticket*in_recharge_comm/12</f>
        <v/>
      </c>
      <c r="BP22" s="40">
        <f>BP21*(1-IF(B21&gt;=in_marketplace_from,d_hz_bills*G21,0))</f>
        <v/>
      </c>
      <c r="BQ22" s="40">
        <f>BQ21*d_rho_bills+BP22*IF(B22&gt;=in_marketplace_from,d_hz_bills*G22,0)</f>
        <v/>
      </c>
      <c r="BR22" s="14">
        <f>F22*BQ22*in_bills_ticket*in_bills_comm/12</f>
        <v/>
      </c>
      <c r="BS22" s="40">
        <f>BS21*(1-IF(B21&gt;=in_marketplace_from,d_hz_loan_gold*G21,0))</f>
        <v/>
      </c>
      <c r="BT22" s="14">
        <f>F22*BS22*IF(B22&gt;=in_marketplace_from,d_hz_loan_gold*G22,0)*in_loan_gold_ticket*in_loan_gold_comm</f>
        <v/>
      </c>
      <c r="BU22" s="40">
        <f>BU21*(1-IF(B21&gt;=in_marketplace_from,d_hz_loan_cd*G21,0))</f>
        <v/>
      </c>
      <c r="BV22" s="14">
        <f>F22*BU22*IF(B22&gt;=in_marketplace_from,d_hz_loan_cd*G22,0)*in_loan_cd_ticket*in_loan_cd_comm</f>
        <v/>
      </c>
      <c r="BW22" s="40">
        <f>BW21*(1-IF(B21&gt;=in_marketplace_from,d_hz_loan_vehicle*G21,0))</f>
        <v/>
      </c>
      <c r="BX22" s="14">
        <f>F22*BW22*IF(B22&gt;=in_marketplace_from,d_hz_loan_vehicle*G22,0)*in_loan_vehicle_ticket*in_loan_vehicle_comm</f>
        <v/>
      </c>
      <c r="BY22" s="40">
        <f>BY21*(1-IF(B21&gt;=in_marketplace_from,d_hz_loan_home*G21,0)*BZ21)</f>
        <v/>
      </c>
      <c r="BZ22" s="11">
        <f>MIN(in_approval_cap,in_loan_home_approval*INDEX('Age profile'!$O$2:$O$61,B22)*(1+in_approval_growth)^(D22-1))</f>
        <v/>
      </c>
      <c r="CA22" s="14">
        <f>F22*BY22*IF(B22&gt;=in_marketplace_from,d_hz_loan_home*G22,0)*BZ22*in_loan_home_ticket*in_loan_home_comm</f>
        <v/>
      </c>
      <c r="CB22" s="40">
        <f>CB21*(1-IF(B21&gt;=in_marketplace_from,d_hz_loan_lap*G21,0)*CC21)</f>
        <v/>
      </c>
      <c r="CC22" s="11">
        <f>MIN(in_approval_cap,in_loan_lap_approval*INDEX('Age profile'!$O$2:$O$61,B22)*(1+in_approval_growth)^(D22-1))</f>
        <v/>
      </c>
      <c r="CD22" s="14">
        <f>F22*CB22*IF(B22&gt;=in_marketplace_from,d_hz_loan_lap*G22,0)*CC22*in_loan_lap_ticket*in_loan_lap_comm</f>
        <v/>
      </c>
      <c r="CE22" s="14">
        <f>AA22+AB22+AC22+AD22+AG22+AJ22+AM22+AP22+AS22+AU22+AX22+BB22+BE22+BG22+BJ22+BL22+BO22+BR22+BT22+BV22+BX22+CA22+CD22</f>
        <v/>
      </c>
    </row>
    <row r="23">
      <c r="A23" s="39" t="n">
        <v>1</v>
      </c>
      <c r="B23" s="39" t="n">
        <v>22</v>
      </c>
      <c r="C23" s="39">
        <f>A23+B23-1</f>
        <v/>
      </c>
      <c r="D23" s="39">
        <f>INT((C23-1)/12)+1</f>
        <v/>
      </c>
      <c r="E23" s="44">
        <f>INDEX(Monthly!$B$2:$B$61,A23)</f>
        <v/>
      </c>
      <c r="F23" s="44">
        <f>E23*INDEX('Age profile'!$B$2:$B$61,B23)</f>
        <v/>
      </c>
      <c r="G23" s="45">
        <f>MIN(in_takeup_cap,INDEX('Age profile'!$N$2:$N$61,B23)*(1+in_takeup_growth)^(D23-1))</f>
        <v/>
      </c>
      <c r="H23" s="11">
        <f>MIN(in_approval_cap,in_approved_first*INDEX('Age profile'!$O$2:$O$61,B23)*(1+in_approval_growth)^(D23-1))</f>
        <v/>
      </c>
      <c r="I23" s="45">
        <f>G23*MIN(in_takeup_cap,INDEX('Age profile'!$O$2:$O$61,B23)*(1+in_approval_growth)^(D23-1))</f>
        <v/>
      </c>
      <c r="J23" s="40">
        <f>(J22-L22)*F23/F22</f>
        <v/>
      </c>
      <c r="K23" s="40">
        <f>(K22-M22)*F23/F22+SUMIFS(O2:O22,B2:B22,B23-1-d_T)*F23</f>
        <v/>
      </c>
      <c r="L23" s="40">
        <f>IF(B23&gt;=in_marketplace_from,J23*d_hz*G23*in_eligible*H23,0)</f>
        <v/>
      </c>
      <c r="M23" s="40">
        <f>IF(B23&gt;=in_marketplace_from,K23*d_hz*G23*in_eligible*in_approved_repeat,0)</f>
        <v/>
      </c>
      <c r="N23" s="40">
        <f>L23+M23</f>
        <v/>
      </c>
      <c r="O23" s="46">
        <f>N23/F23</f>
        <v/>
      </c>
      <c r="P23" s="40">
        <f>F23-J23-K23</f>
        <v/>
      </c>
      <c r="Q23" s="40">
        <f>IF(B23&gt;=in_marketplace_from,(J23+K23)*d_hz*G23,0)</f>
        <v/>
      </c>
      <c r="R23" s="40">
        <f>SUMIFS(N2:N61,B2:B61,"&gt;="&amp;(B23-d_T),B2:B61,"&lt;="&amp;(B23-1))</f>
        <v/>
      </c>
      <c r="S23" s="46">
        <f>(1-d_u)*S22+IF(d_T&gt;in_topup_lag,SUMIFS(O2:O61,B2:B61,B23-in_topup_lag)-d_udrop*SUMIFS(O2:O61,B2:B61,B23-d_T),0)</f>
        <v/>
      </c>
      <c r="T23" s="40">
        <f>F23*d_u*S23</f>
        <v/>
      </c>
      <c r="U23" s="9">
        <f>L23*in_ticket+M23*d_rep_ticket</f>
        <v/>
      </c>
      <c r="V23" s="9">
        <f>U23+T23*d_topup_amt</f>
        <v/>
      </c>
      <c r="W23" s="40">
        <f>N23+T23*d_topup_ratio</f>
        <v/>
      </c>
      <c r="X23" s="40">
        <f>SUMIFS(W2:W61,B2:B61,B23-in_dpd_lag)*d_cured</f>
        <v/>
      </c>
      <c r="Y23" s="40">
        <f>SUMIFS(W2:W61,B2:B61,B23-in_rec_lag)*d_recd</f>
        <v/>
      </c>
      <c r="Z23" s="40">
        <f>IF(AND(B23&gt;=in_marketplace_from,B23&lt;in_marketplace_from+in_card_months),in_card_share/in_card_months*F23*I23,IF(AND(B23&gt;=in_marketplace_from+in_card_months,B23&lt;in_marketplace_from+2*in_card_months),in_card_share*d_card_rem/in_card_months*F23*MIN(in_takeup_cap,(1+in_takeup_growth)^(D23-1))*MIN(in_takeup_cap,(1+in_approval_growth)^(D23-1)),0))</f>
        <v/>
      </c>
      <c r="AA23" s="14">
        <f>V23*in_fee*(1-in_taken_back)</f>
        <v/>
      </c>
      <c r="AB23" s="14">
        <f>SUMIFS(W2:W61,B2:B61,B23-in_dpd_lag)*d_dpd</f>
        <v/>
      </c>
      <c r="AC23" s="14">
        <f>SUMIFS(W2:W61,B2:B61,B23-in_rec_lag)*d_rec</f>
        <v/>
      </c>
      <c r="AD23" s="14">
        <f>Z23*in_card_fee</f>
        <v/>
      </c>
      <c r="AE23" s="40">
        <f>AE22*(1-IF(B22&gt;=in_marketplace_from,d_hz_hlth_small*G22,0))</f>
        <v/>
      </c>
      <c r="AF23" s="46">
        <f>AE23*IF(B23&gt;=in_marketplace_from,d_hz_hlth_small*G23,0)</f>
        <v/>
      </c>
      <c r="AG23" s="14">
        <f>F23*AF23*in_hlth_small_ticket*in_hlth_small_comm*in_ins_partner_share+F23*in_hlth_small_ticket*in_hlth_small_renew_comm*in_ins_partner_share*(in_hlth_small_renew^1*SUMIFS(AF2:AF61,B2:B61,B23-12)+in_hlth_small_renew^2*SUMIFS(AF2:AF61,B2:B61,B23-24)+in_hlth_small_renew^3*SUMIFS(AF2:AF61,B2:B61,B23-36)+in_hlth_small_renew^4*SUMIFS(AF2:AF61,B2:B61,B23-48))</f>
        <v/>
      </c>
      <c r="AH23" s="40">
        <f>AH22*(1-IF(B22&gt;=in_marketplace_from,d_hz_hlth_family*G22,0))</f>
        <v/>
      </c>
      <c r="AI23" s="46">
        <f>AH23*IF(B23&gt;=in_marketplace_from,d_hz_hlth_family*G23,0)</f>
        <v/>
      </c>
      <c r="AJ23" s="14">
        <f>F23*AI23*in_hlth_family_ticket*in_hlth_family_comm*in_ins_partner_share+F23*in_hlth_family_ticket*in_hlth_family_renew_comm*in_ins_partner_share*(in_hlth_family_renew^1*SUMIFS(AI2:AI61,B2:B61,B23-12)+in_hlth_family_renew^2*SUMIFS(AI2:AI61,B2:B61,B23-24)+in_hlth_family_renew^3*SUMIFS(AI2:AI61,B2:B61,B23-36)+in_hlth_family_renew^4*SUMIFS(AI2:AI61,B2:B61,B23-48))</f>
        <v/>
      </c>
      <c r="AK23" s="40">
        <f>AK22*(1-IF(B22&gt;=in_marketplace_from,d_hz_life_term*G22,0))</f>
        <v/>
      </c>
      <c r="AL23" s="46">
        <f>AK23*IF(B23&gt;=in_marketplace_from,d_hz_life_term*G23,0)</f>
        <v/>
      </c>
      <c r="AM23" s="14">
        <f>F23*AL23*in_life_term_ticket*in_life_term_comm*in_ins_partner_share+F23*in_life_term_ticket*in_life_term_renew_comm*in_ins_partner_share*(in_life_term_renew^1*SUMIFS(AL2:AL61,B2:B61,B23-12)+in_life_term_renew^2*SUMIFS(AL2:AL61,B2:B61,B23-24)+in_life_term_renew^3*SUMIFS(AL2:AL61,B2:B61,B23-36)+in_life_term_renew^4*SUMIFS(AL2:AL61,B2:B61,B23-48))</f>
        <v/>
      </c>
      <c r="AN23" s="40">
        <f>AN22*(1-IF(B22&gt;=in_marketplace_from,d_hz_accident*G22,0))</f>
        <v/>
      </c>
      <c r="AO23" s="46">
        <f>AN23*IF(B23&gt;=in_marketplace_from,d_hz_accident*G23,0)</f>
        <v/>
      </c>
      <c r="AP23" s="14">
        <f>F23*AO23*in_accident_ticket*in_accident_comm*in_ins_partner_share+F23*in_accident_ticket*in_accident_renew_comm*in_ins_partner_share*(in_accident_renew^1*SUMIFS(AO2:AO61,B2:B61,B23-12)+in_accident_renew^2*SUMIFS(AO2:AO61,B2:B61,B23-24)+in_accident_renew^3*SUMIFS(AO2:AO61,B2:B61,B23-36)+in_accident_renew^4*SUMIFS(AO2:AO61,B2:B61,B23-48))</f>
        <v/>
      </c>
      <c r="AQ23" s="40">
        <f>AQ22*(1-IF(B22&gt;=in_marketplace_from,d_hz_two_wheeler*G22,0))</f>
        <v/>
      </c>
      <c r="AR23" s="46">
        <f>AQ23*IF(B23&gt;=in_marketplace_from,d_hz_two_wheeler*G23,0)</f>
        <v/>
      </c>
      <c r="AS23" s="14">
        <f>F23*AR23*in_two_wheeler_ticket*in_two_wheeler_comm*in_ins_partner_share+F23*in_two_wheeler_ticket*in_two_wheeler_comm*in_ins_partner_share*(in_two_wheeler_renew^1*SUMIFS(AR2:AR61,B2:B61,B23-12)+in_two_wheeler_renew^2*SUMIFS(AR2:AR61,B2:B61,B23-24)+in_two_wheeler_renew^3*SUMIFS(AR2:AR61,B2:B61,B23-36)+in_two_wheeler_renew^4*SUMIFS(AR2:AR61,B2:B61,B23-48))</f>
        <v/>
      </c>
      <c r="AT23" s="40">
        <f>AT22*(1-IF(B22&gt;=in_marketplace_from,d_hz_device*G22,0))</f>
        <v/>
      </c>
      <c r="AU23" s="14">
        <f>F23*AT23*IF(B23&gt;=in_marketplace_from,d_hz_device*G23,0)*in_device_ticket*in_device_comm*in_ins_partner_share</f>
        <v/>
      </c>
      <c r="AV23" s="40">
        <f>AV22*(1-IF(B22&gt;=in_marketplace_from,d_hz_shop*G22,0))</f>
        <v/>
      </c>
      <c r="AW23" s="46">
        <f>AV23*IF(B23&gt;=in_marketplace_from,d_hz_shop*G23,0)</f>
        <v/>
      </c>
      <c r="AX23" s="14">
        <f>F23*AW23*in_shop_ticket*in_shop_comm*in_ins_partner_share+F23*in_shop_ticket*in_shop_renew_comm*in_ins_partner_share*(in_shop_renew^1*SUMIFS(AW2:AW61,B2:B61,B23-12)+in_shop_renew^2*SUMIFS(AW2:AW61,B2:B61,B23-24)+in_shop_renew^3*SUMIFS(AW2:AW61,B2:B61,B23-36)+in_shop_renew^4*SUMIFS(AW2:AW61,B2:B61,B23-48))</f>
        <v/>
      </c>
      <c r="AY23" s="40">
        <f>AY22*(1-IF(B22&gt;=in_marketplace_from,d_hz_sip*G22,0))</f>
        <v/>
      </c>
      <c r="AZ23" s="40">
        <f>AZ22*d_rho_sip+AY23*IF(B23&gt;=in_marketplace_from,d_hz_sip*G23,0)</f>
        <v/>
      </c>
      <c r="BA23" s="40">
        <f>d_rho_sip*(BA22+AZ22)</f>
        <v/>
      </c>
      <c r="BB23" s="14">
        <f>F23*in_sip_ticket*(BA23+0.5*AZ23)*in_sip_comm/12</f>
        <v/>
      </c>
      <c r="BC23" s="40">
        <f>BC22*(1-IF(B22&gt;=in_marketplace_from,d_hz_choti*G22,0))</f>
        <v/>
      </c>
      <c r="BD23" s="46">
        <f>BC23*IF(B23&gt;=in_marketplace_from,d_hz_choti*G23,0)</f>
        <v/>
      </c>
      <c r="BE23" s="14">
        <f>F23*SUMIFS(BD2:BD61,B2:B61,B23-in_choti_months)*in_choti_renew*in_choti_ticket</f>
        <v/>
      </c>
      <c r="BF23" s="40">
        <f>BF22*(1-IF(B22&gt;=in_marketplace_from,d_hz_nps*G22,0))</f>
        <v/>
      </c>
      <c r="BG23" s="14">
        <f>F23*BF23*IF(B23&gt;=in_marketplace_from,d_hz_nps*G23,0)*in_nps_ticket*in_nps_comm</f>
        <v/>
      </c>
      <c r="BH23" s="40">
        <f>BH22*(1-IF(B22&gt;=in_marketplace_from,d_hz_gold*G22,0))</f>
        <v/>
      </c>
      <c r="BI23" s="40">
        <f>BI22*d_rho_gold+BH23*IF(B23&gt;=in_marketplace_from,d_hz_gold*G23,0)</f>
        <v/>
      </c>
      <c r="BJ23" s="14">
        <f>F23*BI23*in_gold_ticket*in_gold_comm</f>
        <v/>
      </c>
      <c r="BK23" s="40">
        <f>BK22*(1-IF(B22&gt;=in_marketplace_from,d_hz_fd*G22,0))</f>
        <v/>
      </c>
      <c r="BL23" s="14">
        <f>F23*BK23*IF(B23&gt;=in_marketplace_from,d_hz_fd*G23,0)*in_fd_ticket*in_fd_comm</f>
        <v/>
      </c>
      <c r="BM23" s="40">
        <f>BM22*(1-IF(B22&gt;=in_marketplace_from,d_hz_recharge*G22,0))</f>
        <v/>
      </c>
      <c r="BN23" s="40">
        <f>BN22*d_rho_recharge+BM23*IF(B23&gt;=in_marketplace_from,d_hz_recharge*G23,0)</f>
        <v/>
      </c>
      <c r="BO23" s="14">
        <f>F23*BN23*in_recharge_ticket*in_recharge_comm/12</f>
        <v/>
      </c>
      <c r="BP23" s="40">
        <f>BP22*(1-IF(B22&gt;=in_marketplace_from,d_hz_bills*G22,0))</f>
        <v/>
      </c>
      <c r="BQ23" s="40">
        <f>BQ22*d_rho_bills+BP23*IF(B23&gt;=in_marketplace_from,d_hz_bills*G23,0)</f>
        <v/>
      </c>
      <c r="BR23" s="14">
        <f>F23*BQ23*in_bills_ticket*in_bills_comm/12</f>
        <v/>
      </c>
      <c r="BS23" s="40">
        <f>BS22*(1-IF(B22&gt;=in_marketplace_from,d_hz_loan_gold*G22,0))</f>
        <v/>
      </c>
      <c r="BT23" s="14">
        <f>F23*BS23*IF(B23&gt;=in_marketplace_from,d_hz_loan_gold*G23,0)*in_loan_gold_ticket*in_loan_gold_comm</f>
        <v/>
      </c>
      <c r="BU23" s="40">
        <f>BU22*(1-IF(B22&gt;=in_marketplace_from,d_hz_loan_cd*G22,0))</f>
        <v/>
      </c>
      <c r="BV23" s="14">
        <f>F23*BU23*IF(B23&gt;=in_marketplace_from,d_hz_loan_cd*G23,0)*in_loan_cd_ticket*in_loan_cd_comm</f>
        <v/>
      </c>
      <c r="BW23" s="40">
        <f>BW22*(1-IF(B22&gt;=in_marketplace_from,d_hz_loan_vehicle*G22,0))</f>
        <v/>
      </c>
      <c r="BX23" s="14">
        <f>F23*BW23*IF(B23&gt;=in_marketplace_from,d_hz_loan_vehicle*G23,0)*in_loan_vehicle_ticket*in_loan_vehicle_comm</f>
        <v/>
      </c>
      <c r="BY23" s="40">
        <f>BY22*(1-IF(B22&gt;=in_marketplace_from,d_hz_loan_home*G22,0)*BZ22)</f>
        <v/>
      </c>
      <c r="BZ23" s="11">
        <f>MIN(in_approval_cap,in_loan_home_approval*INDEX('Age profile'!$O$2:$O$61,B23)*(1+in_approval_growth)^(D23-1))</f>
        <v/>
      </c>
      <c r="CA23" s="14">
        <f>F23*BY23*IF(B23&gt;=in_marketplace_from,d_hz_loan_home*G23,0)*BZ23*in_loan_home_ticket*in_loan_home_comm</f>
        <v/>
      </c>
      <c r="CB23" s="40">
        <f>CB22*(1-IF(B22&gt;=in_marketplace_from,d_hz_loan_lap*G22,0)*CC22)</f>
        <v/>
      </c>
      <c r="CC23" s="11">
        <f>MIN(in_approval_cap,in_loan_lap_approval*INDEX('Age profile'!$O$2:$O$61,B23)*(1+in_approval_growth)^(D23-1))</f>
        <v/>
      </c>
      <c r="CD23" s="14">
        <f>F23*CB23*IF(B23&gt;=in_marketplace_from,d_hz_loan_lap*G23,0)*CC23*in_loan_lap_ticket*in_loan_lap_comm</f>
        <v/>
      </c>
      <c r="CE23" s="14">
        <f>AA23+AB23+AC23+AD23+AG23+AJ23+AM23+AP23+AS23+AU23+AX23+BB23+BE23+BG23+BJ23+BL23+BO23+BR23+BT23+BV23+BX23+CA23+CD23</f>
        <v/>
      </c>
    </row>
    <row r="24">
      <c r="A24" s="39" t="n">
        <v>1</v>
      </c>
      <c r="B24" s="39" t="n">
        <v>23</v>
      </c>
      <c r="C24" s="39">
        <f>A24+B24-1</f>
        <v/>
      </c>
      <c r="D24" s="39">
        <f>INT((C24-1)/12)+1</f>
        <v/>
      </c>
      <c r="E24" s="44">
        <f>INDEX(Monthly!$B$2:$B$61,A24)</f>
        <v/>
      </c>
      <c r="F24" s="44">
        <f>E24*INDEX('Age profile'!$B$2:$B$61,B24)</f>
        <v/>
      </c>
      <c r="G24" s="45">
        <f>MIN(in_takeup_cap,INDEX('Age profile'!$N$2:$N$61,B24)*(1+in_takeup_growth)^(D24-1))</f>
        <v/>
      </c>
      <c r="H24" s="11">
        <f>MIN(in_approval_cap,in_approved_first*INDEX('Age profile'!$O$2:$O$61,B24)*(1+in_approval_growth)^(D24-1))</f>
        <v/>
      </c>
      <c r="I24" s="45">
        <f>G24*MIN(in_takeup_cap,INDEX('Age profile'!$O$2:$O$61,B24)*(1+in_approval_growth)^(D24-1))</f>
        <v/>
      </c>
      <c r="J24" s="40">
        <f>(J23-L23)*F24/F23</f>
        <v/>
      </c>
      <c r="K24" s="40">
        <f>(K23-M23)*F24/F23+SUMIFS(O2:O23,B2:B23,B24-1-d_T)*F24</f>
        <v/>
      </c>
      <c r="L24" s="40">
        <f>IF(B24&gt;=in_marketplace_from,J24*d_hz*G24*in_eligible*H24,0)</f>
        <v/>
      </c>
      <c r="M24" s="40">
        <f>IF(B24&gt;=in_marketplace_from,K24*d_hz*G24*in_eligible*in_approved_repeat,0)</f>
        <v/>
      </c>
      <c r="N24" s="40">
        <f>L24+M24</f>
        <v/>
      </c>
      <c r="O24" s="46">
        <f>N24/F24</f>
        <v/>
      </c>
      <c r="P24" s="40">
        <f>F24-J24-K24</f>
        <v/>
      </c>
      <c r="Q24" s="40">
        <f>IF(B24&gt;=in_marketplace_from,(J24+K24)*d_hz*G24,0)</f>
        <v/>
      </c>
      <c r="R24" s="40">
        <f>SUMIFS(N2:N61,B2:B61,"&gt;="&amp;(B24-d_T),B2:B61,"&lt;="&amp;(B24-1))</f>
        <v/>
      </c>
      <c r="S24" s="46">
        <f>(1-d_u)*S23+IF(d_T&gt;in_topup_lag,SUMIFS(O2:O61,B2:B61,B24-in_topup_lag)-d_udrop*SUMIFS(O2:O61,B2:B61,B24-d_T),0)</f>
        <v/>
      </c>
      <c r="T24" s="40">
        <f>F24*d_u*S24</f>
        <v/>
      </c>
      <c r="U24" s="9">
        <f>L24*in_ticket+M24*d_rep_ticket</f>
        <v/>
      </c>
      <c r="V24" s="9">
        <f>U24+T24*d_topup_amt</f>
        <v/>
      </c>
      <c r="W24" s="40">
        <f>N24+T24*d_topup_ratio</f>
        <v/>
      </c>
      <c r="X24" s="40">
        <f>SUMIFS(W2:W61,B2:B61,B24-in_dpd_lag)*d_cured</f>
        <v/>
      </c>
      <c r="Y24" s="40">
        <f>SUMIFS(W2:W61,B2:B61,B24-in_rec_lag)*d_recd</f>
        <v/>
      </c>
      <c r="Z24" s="40">
        <f>IF(AND(B24&gt;=in_marketplace_from,B24&lt;in_marketplace_from+in_card_months),in_card_share/in_card_months*F24*I24,IF(AND(B24&gt;=in_marketplace_from+in_card_months,B24&lt;in_marketplace_from+2*in_card_months),in_card_share*d_card_rem/in_card_months*F24*MIN(in_takeup_cap,(1+in_takeup_growth)^(D24-1))*MIN(in_takeup_cap,(1+in_approval_growth)^(D24-1)),0))</f>
        <v/>
      </c>
      <c r="AA24" s="14">
        <f>V24*in_fee*(1-in_taken_back)</f>
        <v/>
      </c>
      <c r="AB24" s="14">
        <f>SUMIFS(W2:W61,B2:B61,B24-in_dpd_lag)*d_dpd</f>
        <v/>
      </c>
      <c r="AC24" s="14">
        <f>SUMIFS(W2:W61,B2:B61,B24-in_rec_lag)*d_rec</f>
        <v/>
      </c>
      <c r="AD24" s="14">
        <f>Z24*in_card_fee</f>
        <v/>
      </c>
      <c r="AE24" s="40">
        <f>AE23*(1-IF(B23&gt;=in_marketplace_from,d_hz_hlth_small*G23,0))</f>
        <v/>
      </c>
      <c r="AF24" s="46">
        <f>AE24*IF(B24&gt;=in_marketplace_from,d_hz_hlth_small*G24,0)</f>
        <v/>
      </c>
      <c r="AG24" s="14">
        <f>F24*AF24*in_hlth_small_ticket*in_hlth_small_comm*in_ins_partner_share+F24*in_hlth_small_ticket*in_hlth_small_renew_comm*in_ins_partner_share*(in_hlth_small_renew^1*SUMIFS(AF2:AF61,B2:B61,B24-12)+in_hlth_small_renew^2*SUMIFS(AF2:AF61,B2:B61,B24-24)+in_hlth_small_renew^3*SUMIFS(AF2:AF61,B2:B61,B24-36)+in_hlth_small_renew^4*SUMIFS(AF2:AF61,B2:B61,B24-48))</f>
        <v/>
      </c>
      <c r="AH24" s="40">
        <f>AH23*(1-IF(B23&gt;=in_marketplace_from,d_hz_hlth_family*G23,0))</f>
        <v/>
      </c>
      <c r="AI24" s="46">
        <f>AH24*IF(B24&gt;=in_marketplace_from,d_hz_hlth_family*G24,0)</f>
        <v/>
      </c>
      <c r="AJ24" s="14">
        <f>F24*AI24*in_hlth_family_ticket*in_hlth_family_comm*in_ins_partner_share+F24*in_hlth_family_ticket*in_hlth_family_renew_comm*in_ins_partner_share*(in_hlth_family_renew^1*SUMIFS(AI2:AI61,B2:B61,B24-12)+in_hlth_family_renew^2*SUMIFS(AI2:AI61,B2:B61,B24-24)+in_hlth_family_renew^3*SUMIFS(AI2:AI61,B2:B61,B24-36)+in_hlth_family_renew^4*SUMIFS(AI2:AI61,B2:B61,B24-48))</f>
        <v/>
      </c>
      <c r="AK24" s="40">
        <f>AK23*(1-IF(B23&gt;=in_marketplace_from,d_hz_life_term*G23,0))</f>
        <v/>
      </c>
      <c r="AL24" s="46">
        <f>AK24*IF(B24&gt;=in_marketplace_from,d_hz_life_term*G24,0)</f>
        <v/>
      </c>
      <c r="AM24" s="14">
        <f>F24*AL24*in_life_term_ticket*in_life_term_comm*in_ins_partner_share+F24*in_life_term_ticket*in_life_term_renew_comm*in_ins_partner_share*(in_life_term_renew^1*SUMIFS(AL2:AL61,B2:B61,B24-12)+in_life_term_renew^2*SUMIFS(AL2:AL61,B2:B61,B24-24)+in_life_term_renew^3*SUMIFS(AL2:AL61,B2:B61,B24-36)+in_life_term_renew^4*SUMIFS(AL2:AL61,B2:B61,B24-48))</f>
        <v/>
      </c>
      <c r="AN24" s="40">
        <f>AN23*(1-IF(B23&gt;=in_marketplace_from,d_hz_accident*G23,0))</f>
        <v/>
      </c>
      <c r="AO24" s="46">
        <f>AN24*IF(B24&gt;=in_marketplace_from,d_hz_accident*G24,0)</f>
        <v/>
      </c>
      <c r="AP24" s="14">
        <f>F24*AO24*in_accident_ticket*in_accident_comm*in_ins_partner_share+F24*in_accident_ticket*in_accident_renew_comm*in_ins_partner_share*(in_accident_renew^1*SUMIFS(AO2:AO61,B2:B61,B24-12)+in_accident_renew^2*SUMIFS(AO2:AO61,B2:B61,B24-24)+in_accident_renew^3*SUMIFS(AO2:AO61,B2:B61,B24-36)+in_accident_renew^4*SUMIFS(AO2:AO61,B2:B61,B24-48))</f>
        <v/>
      </c>
      <c r="AQ24" s="40">
        <f>AQ23*(1-IF(B23&gt;=in_marketplace_from,d_hz_two_wheeler*G23,0))</f>
        <v/>
      </c>
      <c r="AR24" s="46">
        <f>AQ24*IF(B24&gt;=in_marketplace_from,d_hz_two_wheeler*G24,0)</f>
        <v/>
      </c>
      <c r="AS24" s="14">
        <f>F24*AR24*in_two_wheeler_ticket*in_two_wheeler_comm*in_ins_partner_share+F24*in_two_wheeler_ticket*in_two_wheeler_comm*in_ins_partner_share*(in_two_wheeler_renew^1*SUMIFS(AR2:AR61,B2:B61,B24-12)+in_two_wheeler_renew^2*SUMIFS(AR2:AR61,B2:B61,B24-24)+in_two_wheeler_renew^3*SUMIFS(AR2:AR61,B2:B61,B24-36)+in_two_wheeler_renew^4*SUMIFS(AR2:AR61,B2:B61,B24-48))</f>
        <v/>
      </c>
      <c r="AT24" s="40">
        <f>AT23*(1-IF(B23&gt;=in_marketplace_from,d_hz_device*G23,0))</f>
        <v/>
      </c>
      <c r="AU24" s="14">
        <f>F24*AT24*IF(B24&gt;=in_marketplace_from,d_hz_device*G24,0)*in_device_ticket*in_device_comm*in_ins_partner_share</f>
        <v/>
      </c>
      <c r="AV24" s="40">
        <f>AV23*(1-IF(B23&gt;=in_marketplace_from,d_hz_shop*G23,0))</f>
        <v/>
      </c>
      <c r="AW24" s="46">
        <f>AV24*IF(B24&gt;=in_marketplace_from,d_hz_shop*G24,0)</f>
        <v/>
      </c>
      <c r="AX24" s="14">
        <f>F24*AW24*in_shop_ticket*in_shop_comm*in_ins_partner_share+F24*in_shop_ticket*in_shop_renew_comm*in_ins_partner_share*(in_shop_renew^1*SUMIFS(AW2:AW61,B2:B61,B24-12)+in_shop_renew^2*SUMIFS(AW2:AW61,B2:B61,B24-24)+in_shop_renew^3*SUMIFS(AW2:AW61,B2:B61,B24-36)+in_shop_renew^4*SUMIFS(AW2:AW61,B2:B61,B24-48))</f>
        <v/>
      </c>
      <c r="AY24" s="40">
        <f>AY23*(1-IF(B23&gt;=in_marketplace_from,d_hz_sip*G23,0))</f>
        <v/>
      </c>
      <c r="AZ24" s="40">
        <f>AZ23*d_rho_sip+AY24*IF(B24&gt;=in_marketplace_from,d_hz_sip*G24,0)</f>
        <v/>
      </c>
      <c r="BA24" s="40">
        <f>d_rho_sip*(BA23+AZ23)</f>
        <v/>
      </c>
      <c r="BB24" s="14">
        <f>F24*in_sip_ticket*(BA24+0.5*AZ24)*in_sip_comm/12</f>
        <v/>
      </c>
      <c r="BC24" s="40">
        <f>BC23*(1-IF(B23&gt;=in_marketplace_from,d_hz_choti*G23,0))</f>
        <v/>
      </c>
      <c r="BD24" s="46">
        <f>BC24*IF(B24&gt;=in_marketplace_from,d_hz_choti*G24,0)</f>
        <v/>
      </c>
      <c r="BE24" s="14">
        <f>F24*SUMIFS(BD2:BD61,B2:B61,B24-in_choti_months)*in_choti_renew*in_choti_ticket</f>
        <v/>
      </c>
      <c r="BF24" s="40">
        <f>BF23*(1-IF(B23&gt;=in_marketplace_from,d_hz_nps*G23,0))</f>
        <v/>
      </c>
      <c r="BG24" s="14">
        <f>F24*BF24*IF(B24&gt;=in_marketplace_from,d_hz_nps*G24,0)*in_nps_ticket*in_nps_comm</f>
        <v/>
      </c>
      <c r="BH24" s="40">
        <f>BH23*(1-IF(B23&gt;=in_marketplace_from,d_hz_gold*G23,0))</f>
        <v/>
      </c>
      <c r="BI24" s="40">
        <f>BI23*d_rho_gold+BH24*IF(B24&gt;=in_marketplace_from,d_hz_gold*G24,0)</f>
        <v/>
      </c>
      <c r="BJ24" s="14">
        <f>F24*BI24*in_gold_ticket*in_gold_comm</f>
        <v/>
      </c>
      <c r="BK24" s="40">
        <f>BK23*(1-IF(B23&gt;=in_marketplace_from,d_hz_fd*G23,0))</f>
        <v/>
      </c>
      <c r="BL24" s="14">
        <f>F24*BK24*IF(B24&gt;=in_marketplace_from,d_hz_fd*G24,0)*in_fd_ticket*in_fd_comm</f>
        <v/>
      </c>
      <c r="BM24" s="40">
        <f>BM23*(1-IF(B23&gt;=in_marketplace_from,d_hz_recharge*G23,0))</f>
        <v/>
      </c>
      <c r="BN24" s="40">
        <f>BN23*d_rho_recharge+BM24*IF(B24&gt;=in_marketplace_from,d_hz_recharge*G24,0)</f>
        <v/>
      </c>
      <c r="BO24" s="14">
        <f>F24*BN24*in_recharge_ticket*in_recharge_comm/12</f>
        <v/>
      </c>
      <c r="BP24" s="40">
        <f>BP23*(1-IF(B23&gt;=in_marketplace_from,d_hz_bills*G23,0))</f>
        <v/>
      </c>
      <c r="BQ24" s="40">
        <f>BQ23*d_rho_bills+BP24*IF(B24&gt;=in_marketplace_from,d_hz_bills*G24,0)</f>
        <v/>
      </c>
      <c r="BR24" s="14">
        <f>F24*BQ24*in_bills_ticket*in_bills_comm/12</f>
        <v/>
      </c>
      <c r="BS24" s="40">
        <f>BS23*(1-IF(B23&gt;=in_marketplace_from,d_hz_loan_gold*G23,0))</f>
        <v/>
      </c>
      <c r="BT24" s="14">
        <f>F24*BS24*IF(B24&gt;=in_marketplace_from,d_hz_loan_gold*G24,0)*in_loan_gold_ticket*in_loan_gold_comm</f>
        <v/>
      </c>
      <c r="BU24" s="40">
        <f>BU23*(1-IF(B23&gt;=in_marketplace_from,d_hz_loan_cd*G23,0))</f>
        <v/>
      </c>
      <c r="BV24" s="14">
        <f>F24*BU24*IF(B24&gt;=in_marketplace_from,d_hz_loan_cd*G24,0)*in_loan_cd_ticket*in_loan_cd_comm</f>
        <v/>
      </c>
      <c r="BW24" s="40">
        <f>BW23*(1-IF(B23&gt;=in_marketplace_from,d_hz_loan_vehicle*G23,0))</f>
        <v/>
      </c>
      <c r="BX24" s="14">
        <f>F24*BW24*IF(B24&gt;=in_marketplace_from,d_hz_loan_vehicle*G24,0)*in_loan_vehicle_ticket*in_loan_vehicle_comm</f>
        <v/>
      </c>
      <c r="BY24" s="40">
        <f>BY23*(1-IF(B23&gt;=in_marketplace_from,d_hz_loan_home*G23,0)*BZ23)</f>
        <v/>
      </c>
      <c r="BZ24" s="11">
        <f>MIN(in_approval_cap,in_loan_home_approval*INDEX('Age profile'!$O$2:$O$61,B24)*(1+in_approval_growth)^(D24-1))</f>
        <v/>
      </c>
      <c r="CA24" s="14">
        <f>F24*BY24*IF(B24&gt;=in_marketplace_from,d_hz_loan_home*G24,0)*BZ24*in_loan_home_ticket*in_loan_home_comm</f>
        <v/>
      </c>
      <c r="CB24" s="40">
        <f>CB23*(1-IF(B23&gt;=in_marketplace_from,d_hz_loan_lap*G23,0)*CC23)</f>
        <v/>
      </c>
      <c r="CC24" s="11">
        <f>MIN(in_approval_cap,in_loan_lap_approval*INDEX('Age profile'!$O$2:$O$61,B24)*(1+in_approval_growth)^(D24-1))</f>
        <v/>
      </c>
      <c r="CD24" s="14">
        <f>F24*CB24*IF(B24&gt;=in_marketplace_from,d_hz_loan_lap*G24,0)*CC24*in_loan_lap_ticket*in_loan_lap_comm</f>
        <v/>
      </c>
      <c r="CE24" s="14">
        <f>AA24+AB24+AC24+AD24+AG24+AJ24+AM24+AP24+AS24+AU24+AX24+BB24+BE24+BG24+BJ24+BL24+BO24+BR24+BT24+BV24+BX24+CA24+CD24</f>
        <v/>
      </c>
    </row>
    <row r="25">
      <c r="A25" s="39" t="n">
        <v>1</v>
      </c>
      <c r="B25" s="39" t="n">
        <v>24</v>
      </c>
      <c r="C25" s="39">
        <f>A25+B25-1</f>
        <v/>
      </c>
      <c r="D25" s="39">
        <f>INT((C25-1)/12)+1</f>
        <v/>
      </c>
      <c r="E25" s="44">
        <f>INDEX(Monthly!$B$2:$B$61,A25)</f>
        <v/>
      </c>
      <c r="F25" s="44">
        <f>E25*INDEX('Age profile'!$B$2:$B$61,B25)</f>
        <v/>
      </c>
      <c r="G25" s="45">
        <f>MIN(in_takeup_cap,INDEX('Age profile'!$N$2:$N$61,B25)*(1+in_takeup_growth)^(D25-1))</f>
        <v/>
      </c>
      <c r="H25" s="11">
        <f>MIN(in_approval_cap,in_approved_first*INDEX('Age profile'!$O$2:$O$61,B25)*(1+in_approval_growth)^(D25-1))</f>
        <v/>
      </c>
      <c r="I25" s="45">
        <f>G25*MIN(in_takeup_cap,INDEX('Age profile'!$O$2:$O$61,B25)*(1+in_approval_growth)^(D25-1))</f>
        <v/>
      </c>
      <c r="J25" s="40">
        <f>(J24-L24)*F25/F24</f>
        <v/>
      </c>
      <c r="K25" s="40">
        <f>(K24-M24)*F25/F24+SUMIFS(O2:O24,B2:B24,B25-1-d_T)*F25</f>
        <v/>
      </c>
      <c r="L25" s="40">
        <f>IF(B25&gt;=in_marketplace_from,J25*d_hz*G25*in_eligible*H25,0)</f>
        <v/>
      </c>
      <c r="M25" s="40">
        <f>IF(B25&gt;=in_marketplace_from,K25*d_hz*G25*in_eligible*in_approved_repeat,0)</f>
        <v/>
      </c>
      <c r="N25" s="40">
        <f>L25+M25</f>
        <v/>
      </c>
      <c r="O25" s="46">
        <f>N25/F25</f>
        <v/>
      </c>
      <c r="P25" s="40">
        <f>F25-J25-K25</f>
        <v/>
      </c>
      <c r="Q25" s="40">
        <f>IF(B25&gt;=in_marketplace_from,(J25+K25)*d_hz*G25,0)</f>
        <v/>
      </c>
      <c r="R25" s="40">
        <f>SUMIFS(N2:N61,B2:B61,"&gt;="&amp;(B25-d_T),B2:B61,"&lt;="&amp;(B25-1))</f>
        <v/>
      </c>
      <c r="S25" s="46">
        <f>(1-d_u)*S24+IF(d_T&gt;in_topup_lag,SUMIFS(O2:O61,B2:B61,B25-in_topup_lag)-d_udrop*SUMIFS(O2:O61,B2:B61,B25-d_T),0)</f>
        <v/>
      </c>
      <c r="T25" s="40">
        <f>F25*d_u*S25</f>
        <v/>
      </c>
      <c r="U25" s="9">
        <f>L25*in_ticket+M25*d_rep_ticket</f>
        <v/>
      </c>
      <c r="V25" s="9">
        <f>U25+T25*d_topup_amt</f>
        <v/>
      </c>
      <c r="W25" s="40">
        <f>N25+T25*d_topup_ratio</f>
        <v/>
      </c>
      <c r="X25" s="40">
        <f>SUMIFS(W2:W61,B2:B61,B25-in_dpd_lag)*d_cured</f>
        <v/>
      </c>
      <c r="Y25" s="40">
        <f>SUMIFS(W2:W61,B2:B61,B25-in_rec_lag)*d_recd</f>
        <v/>
      </c>
      <c r="Z25" s="40">
        <f>IF(AND(B25&gt;=in_marketplace_from,B25&lt;in_marketplace_from+in_card_months),in_card_share/in_card_months*F25*I25,IF(AND(B25&gt;=in_marketplace_from+in_card_months,B25&lt;in_marketplace_from+2*in_card_months),in_card_share*d_card_rem/in_card_months*F25*MIN(in_takeup_cap,(1+in_takeup_growth)^(D25-1))*MIN(in_takeup_cap,(1+in_approval_growth)^(D25-1)),0))</f>
        <v/>
      </c>
      <c r="AA25" s="14">
        <f>V25*in_fee*(1-in_taken_back)</f>
        <v/>
      </c>
      <c r="AB25" s="14">
        <f>SUMIFS(W2:W61,B2:B61,B25-in_dpd_lag)*d_dpd</f>
        <v/>
      </c>
      <c r="AC25" s="14">
        <f>SUMIFS(W2:W61,B2:B61,B25-in_rec_lag)*d_rec</f>
        <v/>
      </c>
      <c r="AD25" s="14">
        <f>Z25*in_card_fee</f>
        <v/>
      </c>
      <c r="AE25" s="40">
        <f>AE24*(1-IF(B24&gt;=in_marketplace_from,d_hz_hlth_small*G24,0))</f>
        <v/>
      </c>
      <c r="AF25" s="46">
        <f>AE25*IF(B25&gt;=in_marketplace_from,d_hz_hlth_small*G25,0)</f>
        <v/>
      </c>
      <c r="AG25" s="14">
        <f>F25*AF25*in_hlth_small_ticket*in_hlth_small_comm*in_ins_partner_share+F25*in_hlth_small_ticket*in_hlth_small_renew_comm*in_ins_partner_share*(in_hlth_small_renew^1*SUMIFS(AF2:AF61,B2:B61,B25-12)+in_hlth_small_renew^2*SUMIFS(AF2:AF61,B2:B61,B25-24)+in_hlth_small_renew^3*SUMIFS(AF2:AF61,B2:B61,B25-36)+in_hlth_small_renew^4*SUMIFS(AF2:AF61,B2:B61,B25-48))</f>
        <v/>
      </c>
      <c r="AH25" s="40">
        <f>AH24*(1-IF(B24&gt;=in_marketplace_from,d_hz_hlth_family*G24,0))</f>
        <v/>
      </c>
      <c r="AI25" s="46">
        <f>AH25*IF(B25&gt;=in_marketplace_from,d_hz_hlth_family*G25,0)</f>
        <v/>
      </c>
      <c r="AJ25" s="14">
        <f>F25*AI25*in_hlth_family_ticket*in_hlth_family_comm*in_ins_partner_share+F25*in_hlth_family_ticket*in_hlth_family_renew_comm*in_ins_partner_share*(in_hlth_family_renew^1*SUMIFS(AI2:AI61,B2:B61,B25-12)+in_hlth_family_renew^2*SUMIFS(AI2:AI61,B2:B61,B25-24)+in_hlth_family_renew^3*SUMIFS(AI2:AI61,B2:B61,B25-36)+in_hlth_family_renew^4*SUMIFS(AI2:AI61,B2:B61,B25-48))</f>
        <v/>
      </c>
      <c r="AK25" s="40">
        <f>AK24*(1-IF(B24&gt;=in_marketplace_from,d_hz_life_term*G24,0))</f>
        <v/>
      </c>
      <c r="AL25" s="46">
        <f>AK25*IF(B25&gt;=in_marketplace_from,d_hz_life_term*G25,0)</f>
        <v/>
      </c>
      <c r="AM25" s="14">
        <f>F25*AL25*in_life_term_ticket*in_life_term_comm*in_ins_partner_share+F25*in_life_term_ticket*in_life_term_renew_comm*in_ins_partner_share*(in_life_term_renew^1*SUMIFS(AL2:AL61,B2:B61,B25-12)+in_life_term_renew^2*SUMIFS(AL2:AL61,B2:B61,B25-24)+in_life_term_renew^3*SUMIFS(AL2:AL61,B2:B61,B25-36)+in_life_term_renew^4*SUMIFS(AL2:AL61,B2:B61,B25-48))</f>
        <v/>
      </c>
      <c r="AN25" s="40">
        <f>AN24*(1-IF(B24&gt;=in_marketplace_from,d_hz_accident*G24,0))</f>
        <v/>
      </c>
      <c r="AO25" s="46">
        <f>AN25*IF(B25&gt;=in_marketplace_from,d_hz_accident*G25,0)</f>
        <v/>
      </c>
      <c r="AP25" s="14">
        <f>F25*AO25*in_accident_ticket*in_accident_comm*in_ins_partner_share+F25*in_accident_ticket*in_accident_renew_comm*in_ins_partner_share*(in_accident_renew^1*SUMIFS(AO2:AO61,B2:B61,B25-12)+in_accident_renew^2*SUMIFS(AO2:AO61,B2:B61,B25-24)+in_accident_renew^3*SUMIFS(AO2:AO61,B2:B61,B25-36)+in_accident_renew^4*SUMIFS(AO2:AO61,B2:B61,B25-48))</f>
        <v/>
      </c>
      <c r="AQ25" s="40">
        <f>AQ24*(1-IF(B24&gt;=in_marketplace_from,d_hz_two_wheeler*G24,0))</f>
        <v/>
      </c>
      <c r="AR25" s="46">
        <f>AQ25*IF(B25&gt;=in_marketplace_from,d_hz_two_wheeler*G25,0)</f>
        <v/>
      </c>
      <c r="AS25" s="14">
        <f>F25*AR25*in_two_wheeler_ticket*in_two_wheeler_comm*in_ins_partner_share+F25*in_two_wheeler_ticket*in_two_wheeler_comm*in_ins_partner_share*(in_two_wheeler_renew^1*SUMIFS(AR2:AR61,B2:B61,B25-12)+in_two_wheeler_renew^2*SUMIFS(AR2:AR61,B2:B61,B25-24)+in_two_wheeler_renew^3*SUMIFS(AR2:AR61,B2:B61,B25-36)+in_two_wheeler_renew^4*SUMIFS(AR2:AR61,B2:B61,B25-48))</f>
        <v/>
      </c>
      <c r="AT25" s="40">
        <f>AT24*(1-IF(B24&gt;=in_marketplace_from,d_hz_device*G24,0))</f>
        <v/>
      </c>
      <c r="AU25" s="14">
        <f>F25*AT25*IF(B25&gt;=in_marketplace_from,d_hz_device*G25,0)*in_device_ticket*in_device_comm*in_ins_partner_share</f>
        <v/>
      </c>
      <c r="AV25" s="40">
        <f>AV24*(1-IF(B24&gt;=in_marketplace_from,d_hz_shop*G24,0))</f>
        <v/>
      </c>
      <c r="AW25" s="46">
        <f>AV25*IF(B25&gt;=in_marketplace_from,d_hz_shop*G25,0)</f>
        <v/>
      </c>
      <c r="AX25" s="14">
        <f>F25*AW25*in_shop_ticket*in_shop_comm*in_ins_partner_share+F25*in_shop_ticket*in_shop_renew_comm*in_ins_partner_share*(in_shop_renew^1*SUMIFS(AW2:AW61,B2:B61,B25-12)+in_shop_renew^2*SUMIFS(AW2:AW61,B2:B61,B25-24)+in_shop_renew^3*SUMIFS(AW2:AW61,B2:B61,B25-36)+in_shop_renew^4*SUMIFS(AW2:AW61,B2:B61,B25-48))</f>
        <v/>
      </c>
      <c r="AY25" s="40">
        <f>AY24*(1-IF(B24&gt;=in_marketplace_from,d_hz_sip*G24,0))</f>
        <v/>
      </c>
      <c r="AZ25" s="40">
        <f>AZ24*d_rho_sip+AY25*IF(B25&gt;=in_marketplace_from,d_hz_sip*G25,0)</f>
        <v/>
      </c>
      <c r="BA25" s="40">
        <f>d_rho_sip*(BA24+AZ24)</f>
        <v/>
      </c>
      <c r="BB25" s="14">
        <f>F25*in_sip_ticket*(BA25+0.5*AZ25)*in_sip_comm/12</f>
        <v/>
      </c>
      <c r="BC25" s="40">
        <f>BC24*(1-IF(B24&gt;=in_marketplace_from,d_hz_choti*G24,0))</f>
        <v/>
      </c>
      <c r="BD25" s="46">
        <f>BC25*IF(B25&gt;=in_marketplace_from,d_hz_choti*G25,0)</f>
        <v/>
      </c>
      <c r="BE25" s="14">
        <f>F25*SUMIFS(BD2:BD61,B2:B61,B25-in_choti_months)*in_choti_renew*in_choti_ticket</f>
        <v/>
      </c>
      <c r="BF25" s="40">
        <f>BF24*(1-IF(B24&gt;=in_marketplace_from,d_hz_nps*G24,0))</f>
        <v/>
      </c>
      <c r="BG25" s="14">
        <f>F25*BF25*IF(B25&gt;=in_marketplace_from,d_hz_nps*G25,0)*in_nps_ticket*in_nps_comm</f>
        <v/>
      </c>
      <c r="BH25" s="40">
        <f>BH24*(1-IF(B24&gt;=in_marketplace_from,d_hz_gold*G24,0))</f>
        <v/>
      </c>
      <c r="BI25" s="40">
        <f>BI24*d_rho_gold+BH25*IF(B25&gt;=in_marketplace_from,d_hz_gold*G25,0)</f>
        <v/>
      </c>
      <c r="BJ25" s="14">
        <f>F25*BI25*in_gold_ticket*in_gold_comm</f>
        <v/>
      </c>
      <c r="BK25" s="40">
        <f>BK24*(1-IF(B24&gt;=in_marketplace_from,d_hz_fd*G24,0))</f>
        <v/>
      </c>
      <c r="BL25" s="14">
        <f>F25*BK25*IF(B25&gt;=in_marketplace_from,d_hz_fd*G25,0)*in_fd_ticket*in_fd_comm</f>
        <v/>
      </c>
      <c r="BM25" s="40">
        <f>BM24*(1-IF(B24&gt;=in_marketplace_from,d_hz_recharge*G24,0))</f>
        <v/>
      </c>
      <c r="BN25" s="40">
        <f>BN24*d_rho_recharge+BM25*IF(B25&gt;=in_marketplace_from,d_hz_recharge*G25,0)</f>
        <v/>
      </c>
      <c r="BO25" s="14">
        <f>F25*BN25*in_recharge_ticket*in_recharge_comm/12</f>
        <v/>
      </c>
      <c r="BP25" s="40">
        <f>BP24*(1-IF(B24&gt;=in_marketplace_from,d_hz_bills*G24,0))</f>
        <v/>
      </c>
      <c r="BQ25" s="40">
        <f>BQ24*d_rho_bills+BP25*IF(B25&gt;=in_marketplace_from,d_hz_bills*G25,0)</f>
        <v/>
      </c>
      <c r="BR25" s="14">
        <f>F25*BQ25*in_bills_ticket*in_bills_comm/12</f>
        <v/>
      </c>
      <c r="BS25" s="40">
        <f>BS24*(1-IF(B24&gt;=in_marketplace_from,d_hz_loan_gold*G24,0))</f>
        <v/>
      </c>
      <c r="BT25" s="14">
        <f>F25*BS25*IF(B25&gt;=in_marketplace_from,d_hz_loan_gold*G25,0)*in_loan_gold_ticket*in_loan_gold_comm</f>
        <v/>
      </c>
      <c r="BU25" s="40">
        <f>BU24*(1-IF(B24&gt;=in_marketplace_from,d_hz_loan_cd*G24,0))</f>
        <v/>
      </c>
      <c r="BV25" s="14">
        <f>F25*BU25*IF(B25&gt;=in_marketplace_from,d_hz_loan_cd*G25,0)*in_loan_cd_ticket*in_loan_cd_comm</f>
        <v/>
      </c>
      <c r="BW25" s="40">
        <f>BW24*(1-IF(B24&gt;=in_marketplace_from,d_hz_loan_vehicle*G24,0))</f>
        <v/>
      </c>
      <c r="BX25" s="14">
        <f>F25*BW25*IF(B25&gt;=in_marketplace_from,d_hz_loan_vehicle*G25,0)*in_loan_vehicle_ticket*in_loan_vehicle_comm</f>
        <v/>
      </c>
      <c r="BY25" s="40">
        <f>BY24*(1-IF(B24&gt;=in_marketplace_from,d_hz_loan_home*G24,0)*BZ24)</f>
        <v/>
      </c>
      <c r="BZ25" s="11">
        <f>MIN(in_approval_cap,in_loan_home_approval*INDEX('Age profile'!$O$2:$O$61,B25)*(1+in_approval_growth)^(D25-1))</f>
        <v/>
      </c>
      <c r="CA25" s="14">
        <f>F25*BY25*IF(B25&gt;=in_marketplace_from,d_hz_loan_home*G25,0)*BZ25*in_loan_home_ticket*in_loan_home_comm</f>
        <v/>
      </c>
      <c r="CB25" s="40">
        <f>CB24*(1-IF(B24&gt;=in_marketplace_from,d_hz_loan_lap*G24,0)*CC24)</f>
        <v/>
      </c>
      <c r="CC25" s="11">
        <f>MIN(in_approval_cap,in_loan_lap_approval*INDEX('Age profile'!$O$2:$O$61,B25)*(1+in_approval_growth)^(D25-1))</f>
        <v/>
      </c>
      <c r="CD25" s="14">
        <f>F25*CB25*IF(B25&gt;=in_marketplace_from,d_hz_loan_lap*G25,0)*CC25*in_loan_lap_ticket*in_loan_lap_comm</f>
        <v/>
      </c>
      <c r="CE25" s="14">
        <f>AA25+AB25+AC25+AD25+AG25+AJ25+AM25+AP25+AS25+AU25+AX25+BB25+BE25+BG25+BJ25+BL25+BO25+BR25+BT25+BV25+BX25+CA25+CD25</f>
        <v/>
      </c>
    </row>
    <row r="26">
      <c r="A26" s="39" t="n">
        <v>1</v>
      </c>
      <c r="B26" s="39" t="n">
        <v>25</v>
      </c>
      <c r="C26" s="39">
        <f>A26+B26-1</f>
        <v/>
      </c>
      <c r="D26" s="39">
        <f>INT((C26-1)/12)+1</f>
        <v/>
      </c>
      <c r="E26" s="44">
        <f>INDEX(Monthly!$B$2:$B$61,A26)</f>
        <v/>
      </c>
      <c r="F26" s="44">
        <f>E26*INDEX('Age profile'!$B$2:$B$61,B26)</f>
        <v/>
      </c>
      <c r="G26" s="45">
        <f>MIN(in_takeup_cap,INDEX('Age profile'!$N$2:$N$61,B26)*(1+in_takeup_growth)^(D26-1))</f>
        <v/>
      </c>
      <c r="H26" s="11">
        <f>MIN(in_approval_cap,in_approved_first*INDEX('Age profile'!$O$2:$O$61,B26)*(1+in_approval_growth)^(D26-1))</f>
        <v/>
      </c>
      <c r="I26" s="45">
        <f>G26*MIN(in_takeup_cap,INDEX('Age profile'!$O$2:$O$61,B26)*(1+in_approval_growth)^(D26-1))</f>
        <v/>
      </c>
      <c r="J26" s="40">
        <f>(J25-L25)*F26/F25</f>
        <v/>
      </c>
      <c r="K26" s="40">
        <f>(K25-M25)*F26/F25+SUMIFS(O2:O25,B2:B25,B26-1-d_T)*F26</f>
        <v/>
      </c>
      <c r="L26" s="40">
        <f>IF(B26&gt;=in_marketplace_from,J26*d_hz*G26*in_eligible*H26,0)</f>
        <v/>
      </c>
      <c r="M26" s="40">
        <f>IF(B26&gt;=in_marketplace_from,K26*d_hz*G26*in_eligible*in_approved_repeat,0)</f>
        <v/>
      </c>
      <c r="N26" s="40">
        <f>L26+M26</f>
        <v/>
      </c>
      <c r="O26" s="46">
        <f>N26/F26</f>
        <v/>
      </c>
      <c r="P26" s="40">
        <f>F26-J26-K26</f>
        <v/>
      </c>
      <c r="Q26" s="40">
        <f>IF(B26&gt;=in_marketplace_from,(J26+K26)*d_hz*G26,0)</f>
        <v/>
      </c>
      <c r="R26" s="40">
        <f>SUMIFS(N2:N61,B2:B61,"&gt;="&amp;(B26-d_T),B2:B61,"&lt;="&amp;(B26-1))</f>
        <v/>
      </c>
      <c r="S26" s="46">
        <f>(1-d_u)*S25+IF(d_T&gt;in_topup_lag,SUMIFS(O2:O61,B2:B61,B26-in_topup_lag)-d_udrop*SUMIFS(O2:O61,B2:B61,B26-d_T),0)</f>
        <v/>
      </c>
      <c r="T26" s="40">
        <f>F26*d_u*S26</f>
        <v/>
      </c>
      <c r="U26" s="9">
        <f>L26*in_ticket+M26*d_rep_ticket</f>
        <v/>
      </c>
      <c r="V26" s="9">
        <f>U26+T26*d_topup_amt</f>
        <v/>
      </c>
      <c r="W26" s="40">
        <f>N26+T26*d_topup_ratio</f>
        <v/>
      </c>
      <c r="X26" s="40">
        <f>SUMIFS(W2:W61,B2:B61,B26-in_dpd_lag)*d_cured</f>
        <v/>
      </c>
      <c r="Y26" s="40">
        <f>SUMIFS(W2:W61,B2:B61,B26-in_rec_lag)*d_recd</f>
        <v/>
      </c>
      <c r="Z26" s="40">
        <f>IF(AND(B26&gt;=in_marketplace_from,B26&lt;in_marketplace_from+in_card_months),in_card_share/in_card_months*F26*I26,IF(AND(B26&gt;=in_marketplace_from+in_card_months,B26&lt;in_marketplace_from+2*in_card_months),in_card_share*d_card_rem/in_card_months*F26*MIN(in_takeup_cap,(1+in_takeup_growth)^(D26-1))*MIN(in_takeup_cap,(1+in_approval_growth)^(D26-1)),0))</f>
        <v/>
      </c>
      <c r="AA26" s="14">
        <f>V26*in_fee*(1-in_taken_back)</f>
        <v/>
      </c>
      <c r="AB26" s="14">
        <f>SUMIFS(W2:W61,B2:B61,B26-in_dpd_lag)*d_dpd</f>
        <v/>
      </c>
      <c r="AC26" s="14">
        <f>SUMIFS(W2:W61,B2:B61,B26-in_rec_lag)*d_rec</f>
        <v/>
      </c>
      <c r="AD26" s="14">
        <f>Z26*in_card_fee</f>
        <v/>
      </c>
      <c r="AE26" s="40">
        <f>AE25*(1-IF(B25&gt;=in_marketplace_from,d_hz_hlth_small*G25,0))</f>
        <v/>
      </c>
      <c r="AF26" s="46">
        <f>AE26*IF(B26&gt;=in_marketplace_from,d_hz_hlth_small*G26,0)</f>
        <v/>
      </c>
      <c r="AG26" s="14">
        <f>F26*AF26*in_hlth_small_ticket*in_hlth_small_comm*in_ins_partner_share+F26*in_hlth_small_ticket*in_hlth_small_renew_comm*in_ins_partner_share*(in_hlth_small_renew^1*SUMIFS(AF2:AF61,B2:B61,B26-12)+in_hlth_small_renew^2*SUMIFS(AF2:AF61,B2:B61,B26-24)+in_hlth_small_renew^3*SUMIFS(AF2:AF61,B2:B61,B26-36)+in_hlth_small_renew^4*SUMIFS(AF2:AF61,B2:B61,B26-48))</f>
        <v/>
      </c>
      <c r="AH26" s="40">
        <f>AH25*(1-IF(B25&gt;=in_marketplace_from,d_hz_hlth_family*G25,0))</f>
        <v/>
      </c>
      <c r="AI26" s="46">
        <f>AH26*IF(B26&gt;=in_marketplace_from,d_hz_hlth_family*G26,0)</f>
        <v/>
      </c>
      <c r="AJ26" s="14">
        <f>F26*AI26*in_hlth_family_ticket*in_hlth_family_comm*in_ins_partner_share+F26*in_hlth_family_ticket*in_hlth_family_renew_comm*in_ins_partner_share*(in_hlth_family_renew^1*SUMIFS(AI2:AI61,B2:B61,B26-12)+in_hlth_family_renew^2*SUMIFS(AI2:AI61,B2:B61,B26-24)+in_hlth_family_renew^3*SUMIFS(AI2:AI61,B2:B61,B26-36)+in_hlth_family_renew^4*SUMIFS(AI2:AI61,B2:B61,B26-48))</f>
        <v/>
      </c>
      <c r="AK26" s="40">
        <f>AK25*(1-IF(B25&gt;=in_marketplace_from,d_hz_life_term*G25,0))</f>
        <v/>
      </c>
      <c r="AL26" s="46">
        <f>AK26*IF(B26&gt;=in_marketplace_from,d_hz_life_term*G26,0)</f>
        <v/>
      </c>
      <c r="AM26" s="14">
        <f>F26*AL26*in_life_term_ticket*in_life_term_comm*in_ins_partner_share+F26*in_life_term_ticket*in_life_term_renew_comm*in_ins_partner_share*(in_life_term_renew^1*SUMIFS(AL2:AL61,B2:B61,B26-12)+in_life_term_renew^2*SUMIFS(AL2:AL61,B2:B61,B26-24)+in_life_term_renew^3*SUMIFS(AL2:AL61,B2:B61,B26-36)+in_life_term_renew^4*SUMIFS(AL2:AL61,B2:B61,B26-48))</f>
        <v/>
      </c>
      <c r="AN26" s="40">
        <f>AN25*(1-IF(B25&gt;=in_marketplace_from,d_hz_accident*G25,0))</f>
        <v/>
      </c>
      <c r="AO26" s="46">
        <f>AN26*IF(B26&gt;=in_marketplace_from,d_hz_accident*G26,0)</f>
        <v/>
      </c>
      <c r="AP26" s="14">
        <f>F26*AO26*in_accident_ticket*in_accident_comm*in_ins_partner_share+F26*in_accident_ticket*in_accident_renew_comm*in_ins_partner_share*(in_accident_renew^1*SUMIFS(AO2:AO61,B2:B61,B26-12)+in_accident_renew^2*SUMIFS(AO2:AO61,B2:B61,B26-24)+in_accident_renew^3*SUMIFS(AO2:AO61,B2:B61,B26-36)+in_accident_renew^4*SUMIFS(AO2:AO61,B2:B61,B26-48))</f>
        <v/>
      </c>
      <c r="AQ26" s="40">
        <f>AQ25*(1-IF(B25&gt;=in_marketplace_from,d_hz_two_wheeler*G25,0))</f>
        <v/>
      </c>
      <c r="AR26" s="46">
        <f>AQ26*IF(B26&gt;=in_marketplace_from,d_hz_two_wheeler*G26,0)</f>
        <v/>
      </c>
      <c r="AS26" s="14">
        <f>F26*AR26*in_two_wheeler_ticket*in_two_wheeler_comm*in_ins_partner_share+F26*in_two_wheeler_ticket*in_two_wheeler_comm*in_ins_partner_share*(in_two_wheeler_renew^1*SUMIFS(AR2:AR61,B2:B61,B26-12)+in_two_wheeler_renew^2*SUMIFS(AR2:AR61,B2:B61,B26-24)+in_two_wheeler_renew^3*SUMIFS(AR2:AR61,B2:B61,B26-36)+in_two_wheeler_renew^4*SUMIFS(AR2:AR61,B2:B61,B26-48))</f>
        <v/>
      </c>
      <c r="AT26" s="40">
        <f>AT25*(1-IF(B25&gt;=in_marketplace_from,d_hz_device*G25,0))</f>
        <v/>
      </c>
      <c r="AU26" s="14">
        <f>F26*AT26*IF(B26&gt;=in_marketplace_from,d_hz_device*G26,0)*in_device_ticket*in_device_comm*in_ins_partner_share</f>
        <v/>
      </c>
      <c r="AV26" s="40">
        <f>AV25*(1-IF(B25&gt;=in_marketplace_from,d_hz_shop*G25,0))</f>
        <v/>
      </c>
      <c r="AW26" s="46">
        <f>AV26*IF(B26&gt;=in_marketplace_from,d_hz_shop*G26,0)</f>
        <v/>
      </c>
      <c r="AX26" s="14">
        <f>F26*AW26*in_shop_ticket*in_shop_comm*in_ins_partner_share+F26*in_shop_ticket*in_shop_renew_comm*in_ins_partner_share*(in_shop_renew^1*SUMIFS(AW2:AW61,B2:B61,B26-12)+in_shop_renew^2*SUMIFS(AW2:AW61,B2:B61,B26-24)+in_shop_renew^3*SUMIFS(AW2:AW61,B2:B61,B26-36)+in_shop_renew^4*SUMIFS(AW2:AW61,B2:B61,B26-48))</f>
        <v/>
      </c>
      <c r="AY26" s="40">
        <f>AY25*(1-IF(B25&gt;=in_marketplace_from,d_hz_sip*G25,0))</f>
        <v/>
      </c>
      <c r="AZ26" s="40">
        <f>AZ25*d_rho_sip+AY26*IF(B26&gt;=in_marketplace_from,d_hz_sip*G26,0)</f>
        <v/>
      </c>
      <c r="BA26" s="40">
        <f>d_rho_sip*(BA25+AZ25)</f>
        <v/>
      </c>
      <c r="BB26" s="14">
        <f>F26*in_sip_ticket*(BA26+0.5*AZ26)*in_sip_comm/12</f>
        <v/>
      </c>
      <c r="BC26" s="40">
        <f>BC25*(1-IF(B25&gt;=in_marketplace_from,d_hz_choti*G25,0))</f>
        <v/>
      </c>
      <c r="BD26" s="46">
        <f>BC26*IF(B26&gt;=in_marketplace_from,d_hz_choti*G26,0)</f>
        <v/>
      </c>
      <c r="BE26" s="14">
        <f>F26*SUMIFS(BD2:BD61,B2:B61,B26-in_choti_months)*in_choti_renew*in_choti_ticket</f>
        <v/>
      </c>
      <c r="BF26" s="40">
        <f>BF25*(1-IF(B25&gt;=in_marketplace_from,d_hz_nps*G25,0))</f>
        <v/>
      </c>
      <c r="BG26" s="14">
        <f>F26*BF26*IF(B26&gt;=in_marketplace_from,d_hz_nps*G26,0)*in_nps_ticket*in_nps_comm</f>
        <v/>
      </c>
      <c r="BH26" s="40">
        <f>BH25*(1-IF(B25&gt;=in_marketplace_from,d_hz_gold*G25,0))</f>
        <v/>
      </c>
      <c r="BI26" s="40">
        <f>BI25*d_rho_gold+BH26*IF(B26&gt;=in_marketplace_from,d_hz_gold*G26,0)</f>
        <v/>
      </c>
      <c r="BJ26" s="14">
        <f>F26*BI26*in_gold_ticket*in_gold_comm</f>
        <v/>
      </c>
      <c r="BK26" s="40">
        <f>BK25*(1-IF(B25&gt;=in_marketplace_from,d_hz_fd*G25,0))</f>
        <v/>
      </c>
      <c r="BL26" s="14">
        <f>F26*BK26*IF(B26&gt;=in_marketplace_from,d_hz_fd*G26,0)*in_fd_ticket*in_fd_comm</f>
        <v/>
      </c>
      <c r="BM26" s="40">
        <f>BM25*(1-IF(B25&gt;=in_marketplace_from,d_hz_recharge*G25,0))</f>
        <v/>
      </c>
      <c r="BN26" s="40">
        <f>BN25*d_rho_recharge+BM26*IF(B26&gt;=in_marketplace_from,d_hz_recharge*G26,0)</f>
        <v/>
      </c>
      <c r="BO26" s="14">
        <f>F26*BN26*in_recharge_ticket*in_recharge_comm/12</f>
        <v/>
      </c>
      <c r="BP26" s="40">
        <f>BP25*(1-IF(B25&gt;=in_marketplace_from,d_hz_bills*G25,0))</f>
        <v/>
      </c>
      <c r="BQ26" s="40">
        <f>BQ25*d_rho_bills+BP26*IF(B26&gt;=in_marketplace_from,d_hz_bills*G26,0)</f>
        <v/>
      </c>
      <c r="BR26" s="14">
        <f>F26*BQ26*in_bills_ticket*in_bills_comm/12</f>
        <v/>
      </c>
      <c r="BS26" s="40">
        <f>BS25*(1-IF(B25&gt;=in_marketplace_from,d_hz_loan_gold*G25,0))</f>
        <v/>
      </c>
      <c r="BT26" s="14">
        <f>F26*BS26*IF(B26&gt;=in_marketplace_from,d_hz_loan_gold*G26,0)*in_loan_gold_ticket*in_loan_gold_comm</f>
        <v/>
      </c>
      <c r="BU26" s="40">
        <f>BU25*(1-IF(B25&gt;=in_marketplace_from,d_hz_loan_cd*G25,0))</f>
        <v/>
      </c>
      <c r="BV26" s="14">
        <f>F26*BU26*IF(B26&gt;=in_marketplace_from,d_hz_loan_cd*G26,0)*in_loan_cd_ticket*in_loan_cd_comm</f>
        <v/>
      </c>
      <c r="BW26" s="40">
        <f>BW25*(1-IF(B25&gt;=in_marketplace_from,d_hz_loan_vehicle*G25,0))</f>
        <v/>
      </c>
      <c r="BX26" s="14">
        <f>F26*BW26*IF(B26&gt;=in_marketplace_from,d_hz_loan_vehicle*G26,0)*in_loan_vehicle_ticket*in_loan_vehicle_comm</f>
        <v/>
      </c>
      <c r="BY26" s="40">
        <f>BY25*(1-IF(B25&gt;=in_marketplace_from,d_hz_loan_home*G25,0)*BZ25)</f>
        <v/>
      </c>
      <c r="BZ26" s="11">
        <f>MIN(in_approval_cap,in_loan_home_approval*INDEX('Age profile'!$O$2:$O$61,B26)*(1+in_approval_growth)^(D26-1))</f>
        <v/>
      </c>
      <c r="CA26" s="14">
        <f>F26*BY26*IF(B26&gt;=in_marketplace_from,d_hz_loan_home*G26,0)*BZ26*in_loan_home_ticket*in_loan_home_comm</f>
        <v/>
      </c>
      <c r="CB26" s="40">
        <f>CB25*(1-IF(B25&gt;=in_marketplace_from,d_hz_loan_lap*G25,0)*CC25)</f>
        <v/>
      </c>
      <c r="CC26" s="11">
        <f>MIN(in_approval_cap,in_loan_lap_approval*INDEX('Age profile'!$O$2:$O$61,B26)*(1+in_approval_growth)^(D26-1))</f>
        <v/>
      </c>
      <c r="CD26" s="14">
        <f>F26*CB26*IF(B26&gt;=in_marketplace_from,d_hz_loan_lap*G26,0)*CC26*in_loan_lap_ticket*in_loan_lap_comm</f>
        <v/>
      </c>
      <c r="CE26" s="14">
        <f>AA26+AB26+AC26+AD26+AG26+AJ26+AM26+AP26+AS26+AU26+AX26+BB26+BE26+BG26+BJ26+BL26+BO26+BR26+BT26+BV26+BX26+CA26+CD26</f>
        <v/>
      </c>
    </row>
    <row r="27">
      <c r="A27" s="39" t="n">
        <v>1</v>
      </c>
      <c r="B27" s="39" t="n">
        <v>26</v>
      </c>
      <c r="C27" s="39">
        <f>A27+B27-1</f>
        <v/>
      </c>
      <c r="D27" s="39">
        <f>INT((C27-1)/12)+1</f>
        <v/>
      </c>
      <c r="E27" s="44">
        <f>INDEX(Monthly!$B$2:$B$61,A27)</f>
        <v/>
      </c>
      <c r="F27" s="44">
        <f>E27*INDEX('Age profile'!$B$2:$B$61,B27)</f>
        <v/>
      </c>
      <c r="G27" s="45">
        <f>MIN(in_takeup_cap,INDEX('Age profile'!$N$2:$N$61,B27)*(1+in_takeup_growth)^(D27-1))</f>
        <v/>
      </c>
      <c r="H27" s="11">
        <f>MIN(in_approval_cap,in_approved_first*INDEX('Age profile'!$O$2:$O$61,B27)*(1+in_approval_growth)^(D27-1))</f>
        <v/>
      </c>
      <c r="I27" s="45">
        <f>G27*MIN(in_takeup_cap,INDEX('Age profile'!$O$2:$O$61,B27)*(1+in_approval_growth)^(D27-1))</f>
        <v/>
      </c>
      <c r="J27" s="40">
        <f>(J26-L26)*F27/F26</f>
        <v/>
      </c>
      <c r="K27" s="40">
        <f>(K26-M26)*F27/F26+SUMIFS(O2:O26,B2:B26,B27-1-d_T)*F27</f>
        <v/>
      </c>
      <c r="L27" s="40">
        <f>IF(B27&gt;=in_marketplace_from,J27*d_hz*G27*in_eligible*H27,0)</f>
        <v/>
      </c>
      <c r="M27" s="40">
        <f>IF(B27&gt;=in_marketplace_from,K27*d_hz*G27*in_eligible*in_approved_repeat,0)</f>
        <v/>
      </c>
      <c r="N27" s="40">
        <f>L27+M27</f>
        <v/>
      </c>
      <c r="O27" s="46">
        <f>N27/F27</f>
        <v/>
      </c>
      <c r="P27" s="40">
        <f>F27-J27-K27</f>
        <v/>
      </c>
      <c r="Q27" s="40">
        <f>IF(B27&gt;=in_marketplace_from,(J27+K27)*d_hz*G27,0)</f>
        <v/>
      </c>
      <c r="R27" s="40">
        <f>SUMIFS(N2:N61,B2:B61,"&gt;="&amp;(B27-d_T),B2:B61,"&lt;="&amp;(B27-1))</f>
        <v/>
      </c>
      <c r="S27" s="46">
        <f>(1-d_u)*S26+IF(d_T&gt;in_topup_lag,SUMIFS(O2:O61,B2:B61,B27-in_topup_lag)-d_udrop*SUMIFS(O2:O61,B2:B61,B27-d_T),0)</f>
        <v/>
      </c>
      <c r="T27" s="40">
        <f>F27*d_u*S27</f>
        <v/>
      </c>
      <c r="U27" s="9">
        <f>L27*in_ticket+M27*d_rep_ticket</f>
        <v/>
      </c>
      <c r="V27" s="9">
        <f>U27+T27*d_topup_amt</f>
        <v/>
      </c>
      <c r="W27" s="40">
        <f>N27+T27*d_topup_ratio</f>
        <v/>
      </c>
      <c r="X27" s="40">
        <f>SUMIFS(W2:W61,B2:B61,B27-in_dpd_lag)*d_cured</f>
        <v/>
      </c>
      <c r="Y27" s="40">
        <f>SUMIFS(W2:W61,B2:B61,B27-in_rec_lag)*d_recd</f>
        <v/>
      </c>
      <c r="Z27" s="40">
        <f>IF(AND(B27&gt;=in_marketplace_from,B27&lt;in_marketplace_from+in_card_months),in_card_share/in_card_months*F27*I27,IF(AND(B27&gt;=in_marketplace_from+in_card_months,B27&lt;in_marketplace_from+2*in_card_months),in_card_share*d_card_rem/in_card_months*F27*MIN(in_takeup_cap,(1+in_takeup_growth)^(D27-1))*MIN(in_takeup_cap,(1+in_approval_growth)^(D27-1)),0))</f>
        <v/>
      </c>
      <c r="AA27" s="14">
        <f>V27*in_fee*(1-in_taken_back)</f>
        <v/>
      </c>
      <c r="AB27" s="14">
        <f>SUMIFS(W2:W61,B2:B61,B27-in_dpd_lag)*d_dpd</f>
        <v/>
      </c>
      <c r="AC27" s="14">
        <f>SUMIFS(W2:W61,B2:B61,B27-in_rec_lag)*d_rec</f>
        <v/>
      </c>
      <c r="AD27" s="14">
        <f>Z27*in_card_fee</f>
        <v/>
      </c>
      <c r="AE27" s="40">
        <f>AE26*(1-IF(B26&gt;=in_marketplace_from,d_hz_hlth_small*G26,0))</f>
        <v/>
      </c>
      <c r="AF27" s="46">
        <f>AE27*IF(B27&gt;=in_marketplace_from,d_hz_hlth_small*G27,0)</f>
        <v/>
      </c>
      <c r="AG27" s="14">
        <f>F27*AF27*in_hlth_small_ticket*in_hlth_small_comm*in_ins_partner_share+F27*in_hlth_small_ticket*in_hlth_small_renew_comm*in_ins_partner_share*(in_hlth_small_renew^1*SUMIFS(AF2:AF61,B2:B61,B27-12)+in_hlth_small_renew^2*SUMIFS(AF2:AF61,B2:B61,B27-24)+in_hlth_small_renew^3*SUMIFS(AF2:AF61,B2:B61,B27-36)+in_hlth_small_renew^4*SUMIFS(AF2:AF61,B2:B61,B27-48))</f>
        <v/>
      </c>
      <c r="AH27" s="40">
        <f>AH26*(1-IF(B26&gt;=in_marketplace_from,d_hz_hlth_family*G26,0))</f>
        <v/>
      </c>
      <c r="AI27" s="46">
        <f>AH27*IF(B27&gt;=in_marketplace_from,d_hz_hlth_family*G27,0)</f>
        <v/>
      </c>
      <c r="AJ27" s="14">
        <f>F27*AI27*in_hlth_family_ticket*in_hlth_family_comm*in_ins_partner_share+F27*in_hlth_family_ticket*in_hlth_family_renew_comm*in_ins_partner_share*(in_hlth_family_renew^1*SUMIFS(AI2:AI61,B2:B61,B27-12)+in_hlth_family_renew^2*SUMIFS(AI2:AI61,B2:B61,B27-24)+in_hlth_family_renew^3*SUMIFS(AI2:AI61,B2:B61,B27-36)+in_hlth_family_renew^4*SUMIFS(AI2:AI61,B2:B61,B27-48))</f>
        <v/>
      </c>
      <c r="AK27" s="40">
        <f>AK26*(1-IF(B26&gt;=in_marketplace_from,d_hz_life_term*G26,0))</f>
        <v/>
      </c>
      <c r="AL27" s="46">
        <f>AK27*IF(B27&gt;=in_marketplace_from,d_hz_life_term*G27,0)</f>
        <v/>
      </c>
      <c r="AM27" s="14">
        <f>F27*AL27*in_life_term_ticket*in_life_term_comm*in_ins_partner_share+F27*in_life_term_ticket*in_life_term_renew_comm*in_ins_partner_share*(in_life_term_renew^1*SUMIFS(AL2:AL61,B2:B61,B27-12)+in_life_term_renew^2*SUMIFS(AL2:AL61,B2:B61,B27-24)+in_life_term_renew^3*SUMIFS(AL2:AL61,B2:B61,B27-36)+in_life_term_renew^4*SUMIFS(AL2:AL61,B2:B61,B27-48))</f>
        <v/>
      </c>
      <c r="AN27" s="40">
        <f>AN26*(1-IF(B26&gt;=in_marketplace_from,d_hz_accident*G26,0))</f>
        <v/>
      </c>
      <c r="AO27" s="46">
        <f>AN27*IF(B27&gt;=in_marketplace_from,d_hz_accident*G27,0)</f>
        <v/>
      </c>
      <c r="AP27" s="14">
        <f>F27*AO27*in_accident_ticket*in_accident_comm*in_ins_partner_share+F27*in_accident_ticket*in_accident_renew_comm*in_ins_partner_share*(in_accident_renew^1*SUMIFS(AO2:AO61,B2:B61,B27-12)+in_accident_renew^2*SUMIFS(AO2:AO61,B2:B61,B27-24)+in_accident_renew^3*SUMIFS(AO2:AO61,B2:B61,B27-36)+in_accident_renew^4*SUMIFS(AO2:AO61,B2:B61,B27-48))</f>
        <v/>
      </c>
      <c r="AQ27" s="40">
        <f>AQ26*(1-IF(B26&gt;=in_marketplace_from,d_hz_two_wheeler*G26,0))</f>
        <v/>
      </c>
      <c r="AR27" s="46">
        <f>AQ27*IF(B27&gt;=in_marketplace_from,d_hz_two_wheeler*G27,0)</f>
        <v/>
      </c>
      <c r="AS27" s="14">
        <f>F27*AR27*in_two_wheeler_ticket*in_two_wheeler_comm*in_ins_partner_share+F27*in_two_wheeler_ticket*in_two_wheeler_comm*in_ins_partner_share*(in_two_wheeler_renew^1*SUMIFS(AR2:AR61,B2:B61,B27-12)+in_two_wheeler_renew^2*SUMIFS(AR2:AR61,B2:B61,B27-24)+in_two_wheeler_renew^3*SUMIFS(AR2:AR61,B2:B61,B27-36)+in_two_wheeler_renew^4*SUMIFS(AR2:AR61,B2:B61,B27-48))</f>
        <v/>
      </c>
      <c r="AT27" s="40">
        <f>AT26*(1-IF(B26&gt;=in_marketplace_from,d_hz_device*G26,0))</f>
        <v/>
      </c>
      <c r="AU27" s="14">
        <f>F27*AT27*IF(B27&gt;=in_marketplace_from,d_hz_device*G27,0)*in_device_ticket*in_device_comm*in_ins_partner_share</f>
        <v/>
      </c>
      <c r="AV27" s="40">
        <f>AV26*(1-IF(B26&gt;=in_marketplace_from,d_hz_shop*G26,0))</f>
        <v/>
      </c>
      <c r="AW27" s="46">
        <f>AV27*IF(B27&gt;=in_marketplace_from,d_hz_shop*G27,0)</f>
        <v/>
      </c>
      <c r="AX27" s="14">
        <f>F27*AW27*in_shop_ticket*in_shop_comm*in_ins_partner_share+F27*in_shop_ticket*in_shop_renew_comm*in_ins_partner_share*(in_shop_renew^1*SUMIFS(AW2:AW61,B2:B61,B27-12)+in_shop_renew^2*SUMIFS(AW2:AW61,B2:B61,B27-24)+in_shop_renew^3*SUMIFS(AW2:AW61,B2:B61,B27-36)+in_shop_renew^4*SUMIFS(AW2:AW61,B2:B61,B27-48))</f>
        <v/>
      </c>
      <c r="AY27" s="40">
        <f>AY26*(1-IF(B26&gt;=in_marketplace_from,d_hz_sip*G26,0))</f>
        <v/>
      </c>
      <c r="AZ27" s="40">
        <f>AZ26*d_rho_sip+AY27*IF(B27&gt;=in_marketplace_from,d_hz_sip*G27,0)</f>
        <v/>
      </c>
      <c r="BA27" s="40">
        <f>d_rho_sip*(BA26+AZ26)</f>
        <v/>
      </c>
      <c r="BB27" s="14">
        <f>F27*in_sip_ticket*(BA27+0.5*AZ27)*in_sip_comm/12</f>
        <v/>
      </c>
      <c r="BC27" s="40">
        <f>BC26*(1-IF(B26&gt;=in_marketplace_from,d_hz_choti*G26,0))</f>
        <v/>
      </c>
      <c r="BD27" s="46">
        <f>BC27*IF(B27&gt;=in_marketplace_from,d_hz_choti*G27,0)</f>
        <v/>
      </c>
      <c r="BE27" s="14">
        <f>F27*SUMIFS(BD2:BD61,B2:B61,B27-in_choti_months)*in_choti_renew*in_choti_ticket</f>
        <v/>
      </c>
      <c r="BF27" s="40">
        <f>BF26*(1-IF(B26&gt;=in_marketplace_from,d_hz_nps*G26,0))</f>
        <v/>
      </c>
      <c r="BG27" s="14">
        <f>F27*BF27*IF(B27&gt;=in_marketplace_from,d_hz_nps*G27,0)*in_nps_ticket*in_nps_comm</f>
        <v/>
      </c>
      <c r="BH27" s="40">
        <f>BH26*(1-IF(B26&gt;=in_marketplace_from,d_hz_gold*G26,0))</f>
        <v/>
      </c>
      <c r="BI27" s="40">
        <f>BI26*d_rho_gold+BH27*IF(B27&gt;=in_marketplace_from,d_hz_gold*G27,0)</f>
        <v/>
      </c>
      <c r="BJ27" s="14">
        <f>F27*BI27*in_gold_ticket*in_gold_comm</f>
        <v/>
      </c>
      <c r="BK27" s="40">
        <f>BK26*(1-IF(B26&gt;=in_marketplace_from,d_hz_fd*G26,0))</f>
        <v/>
      </c>
      <c r="BL27" s="14">
        <f>F27*BK27*IF(B27&gt;=in_marketplace_from,d_hz_fd*G27,0)*in_fd_ticket*in_fd_comm</f>
        <v/>
      </c>
      <c r="BM27" s="40">
        <f>BM26*(1-IF(B26&gt;=in_marketplace_from,d_hz_recharge*G26,0))</f>
        <v/>
      </c>
      <c r="BN27" s="40">
        <f>BN26*d_rho_recharge+BM27*IF(B27&gt;=in_marketplace_from,d_hz_recharge*G27,0)</f>
        <v/>
      </c>
      <c r="BO27" s="14">
        <f>F27*BN27*in_recharge_ticket*in_recharge_comm/12</f>
        <v/>
      </c>
      <c r="BP27" s="40">
        <f>BP26*(1-IF(B26&gt;=in_marketplace_from,d_hz_bills*G26,0))</f>
        <v/>
      </c>
      <c r="BQ27" s="40">
        <f>BQ26*d_rho_bills+BP27*IF(B27&gt;=in_marketplace_from,d_hz_bills*G27,0)</f>
        <v/>
      </c>
      <c r="BR27" s="14">
        <f>F27*BQ27*in_bills_ticket*in_bills_comm/12</f>
        <v/>
      </c>
      <c r="BS27" s="40">
        <f>BS26*(1-IF(B26&gt;=in_marketplace_from,d_hz_loan_gold*G26,0))</f>
        <v/>
      </c>
      <c r="BT27" s="14">
        <f>F27*BS27*IF(B27&gt;=in_marketplace_from,d_hz_loan_gold*G27,0)*in_loan_gold_ticket*in_loan_gold_comm</f>
        <v/>
      </c>
      <c r="BU27" s="40">
        <f>BU26*(1-IF(B26&gt;=in_marketplace_from,d_hz_loan_cd*G26,0))</f>
        <v/>
      </c>
      <c r="BV27" s="14">
        <f>F27*BU27*IF(B27&gt;=in_marketplace_from,d_hz_loan_cd*G27,0)*in_loan_cd_ticket*in_loan_cd_comm</f>
        <v/>
      </c>
      <c r="BW27" s="40">
        <f>BW26*(1-IF(B26&gt;=in_marketplace_from,d_hz_loan_vehicle*G26,0))</f>
        <v/>
      </c>
      <c r="BX27" s="14">
        <f>F27*BW27*IF(B27&gt;=in_marketplace_from,d_hz_loan_vehicle*G27,0)*in_loan_vehicle_ticket*in_loan_vehicle_comm</f>
        <v/>
      </c>
      <c r="BY27" s="40">
        <f>BY26*(1-IF(B26&gt;=in_marketplace_from,d_hz_loan_home*G26,0)*BZ26)</f>
        <v/>
      </c>
      <c r="BZ27" s="11">
        <f>MIN(in_approval_cap,in_loan_home_approval*INDEX('Age profile'!$O$2:$O$61,B27)*(1+in_approval_growth)^(D27-1))</f>
        <v/>
      </c>
      <c r="CA27" s="14">
        <f>F27*BY27*IF(B27&gt;=in_marketplace_from,d_hz_loan_home*G27,0)*BZ27*in_loan_home_ticket*in_loan_home_comm</f>
        <v/>
      </c>
      <c r="CB27" s="40">
        <f>CB26*(1-IF(B26&gt;=in_marketplace_from,d_hz_loan_lap*G26,0)*CC26)</f>
        <v/>
      </c>
      <c r="CC27" s="11">
        <f>MIN(in_approval_cap,in_loan_lap_approval*INDEX('Age profile'!$O$2:$O$61,B27)*(1+in_approval_growth)^(D27-1))</f>
        <v/>
      </c>
      <c r="CD27" s="14">
        <f>F27*CB27*IF(B27&gt;=in_marketplace_from,d_hz_loan_lap*G27,0)*CC27*in_loan_lap_ticket*in_loan_lap_comm</f>
        <v/>
      </c>
      <c r="CE27" s="14">
        <f>AA27+AB27+AC27+AD27+AG27+AJ27+AM27+AP27+AS27+AU27+AX27+BB27+BE27+BG27+BJ27+BL27+BO27+BR27+BT27+BV27+BX27+CA27+CD27</f>
        <v/>
      </c>
    </row>
    <row r="28">
      <c r="A28" s="39" t="n">
        <v>1</v>
      </c>
      <c r="B28" s="39" t="n">
        <v>27</v>
      </c>
      <c r="C28" s="39">
        <f>A28+B28-1</f>
        <v/>
      </c>
      <c r="D28" s="39">
        <f>INT((C28-1)/12)+1</f>
        <v/>
      </c>
      <c r="E28" s="44">
        <f>INDEX(Monthly!$B$2:$B$61,A28)</f>
        <v/>
      </c>
      <c r="F28" s="44">
        <f>E28*INDEX('Age profile'!$B$2:$B$61,B28)</f>
        <v/>
      </c>
      <c r="G28" s="45">
        <f>MIN(in_takeup_cap,INDEX('Age profile'!$N$2:$N$61,B28)*(1+in_takeup_growth)^(D28-1))</f>
        <v/>
      </c>
      <c r="H28" s="11">
        <f>MIN(in_approval_cap,in_approved_first*INDEX('Age profile'!$O$2:$O$61,B28)*(1+in_approval_growth)^(D28-1))</f>
        <v/>
      </c>
      <c r="I28" s="45">
        <f>G28*MIN(in_takeup_cap,INDEX('Age profile'!$O$2:$O$61,B28)*(1+in_approval_growth)^(D28-1))</f>
        <v/>
      </c>
      <c r="J28" s="40">
        <f>(J27-L27)*F28/F27</f>
        <v/>
      </c>
      <c r="K28" s="40">
        <f>(K27-M27)*F28/F27+SUMIFS(O2:O27,B2:B27,B28-1-d_T)*F28</f>
        <v/>
      </c>
      <c r="L28" s="40">
        <f>IF(B28&gt;=in_marketplace_from,J28*d_hz*G28*in_eligible*H28,0)</f>
        <v/>
      </c>
      <c r="M28" s="40">
        <f>IF(B28&gt;=in_marketplace_from,K28*d_hz*G28*in_eligible*in_approved_repeat,0)</f>
        <v/>
      </c>
      <c r="N28" s="40">
        <f>L28+M28</f>
        <v/>
      </c>
      <c r="O28" s="46">
        <f>N28/F28</f>
        <v/>
      </c>
      <c r="P28" s="40">
        <f>F28-J28-K28</f>
        <v/>
      </c>
      <c r="Q28" s="40">
        <f>IF(B28&gt;=in_marketplace_from,(J28+K28)*d_hz*G28,0)</f>
        <v/>
      </c>
      <c r="R28" s="40">
        <f>SUMIFS(N2:N61,B2:B61,"&gt;="&amp;(B28-d_T),B2:B61,"&lt;="&amp;(B28-1))</f>
        <v/>
      </c>
      <c r="S28" s="46">
        <f>(1-d_u)*S27+IF(d_T&gt;in_topup_lag,SUMIFS(O2:O61,B2:B61,B28-in_topup_lag)-d_udrop*SUMIFS(O2:O61,B2:B61,B28-d_T),0)</f>
        <v/>
      </c>
      <c r="T28" s="40">
        <f>F28*d_u*S28</f>
        <v/>
      </c>
      <c r="U28" s="9">
        <f>L28*in_ticket+M28*d_rep_ticket</f>
        <v/>
      </c>
      <c r="V28" s="9">
        <f>U28+T28*d_topup_amt</f>
        <v/>
      </c>
      <c r="W28" s="40">
        <f>N28+T28*d_topup_ratio</f>
        <v/>
      </c>
      <c r="X28" s="40">
        <f>SUMIFS(W2:W61,B2:B61,B28-in_dpd_lag)*d_cured</f>
        <v/>
      </c>
      <c r="Y28" s="40">
        <f>SUMIFS(W2:W61,B2:B61,B28-in_rec_lag)*d_recd</f>
        <v/>
      </c>
      <c r="Z28" s="40">
        <f>IF(AND(B28&gt;=in_marketplace_from,B28&lt;in_marketplace_from+in_card_months),in_card_share/in_card_months*F28*I28,IF(AND(B28&gt;=in_marketplace_from+in_card_months,B28&lt;in_marketplace_from+2*in_card_months),in_card_share*d_card_rem/in_card_months*F28*MIN(in_takeup_cap,(1+in_takeup_growth)^(D28-1))*MIN(in_takeup_cap,(1+in_approval_growth)^(D28-1)),0))</f>
        <v/>
      </c>
      <c r="AA28" s="14">
        <f>V28*in_fee*(1-in_taken_back)</f>
        <v/>
      </c>
      <c r="AB28" s="14">
        <f>SUMIFS(W2:W61,B2:B61,B28-in_dpd_lag)*d_dpd</f>
        <v/>
      </c>
      <c r="AC28" s="14">
        <f>SUMIFS(W2:W61,B2:B61,B28-in_rec_lag)*d_rec</f>
        <v/>
      </c>
      <c r="AD28" s="14">
        <f>Z28*in_card_fee</f>
        <v/>
      </c>
      <c r="AE28" s="40">
        <f>AE27*(1-IF(B27&gt;=in_marketplace_from,d_hz_hlth_small*G27,0))</f>
        <v/>
      </c>
      <c r="AF28" s="46">
        <f>AE28*IF(B28&gt;=in_marketplace_from,d_hz_hlth_small*G28,0)</f>
        <v/>
      </c>
      <c r="AG28" s="14">
        <f>F28*AF28*in_hlth_small_ticket*in_hlth_small_comm*in_ins_partner_share+F28*in_hlth_small_ticket*in_hlth_small_renew_comm*in_ins_partner_share*(in_hlth_small_renew^1*SUMIFS(AF2:AF61,B2:B61,B28-12)+in_hlth_small_renew^2*SUMIFS(AF2:AF61,B2:B61,B28-24)+in_hlth_small_renew^3*SUMIFS(AF2:AF61,B2:B61,B28-36)+in_hlth_small_renew^4*SUMIFS(AF2:AF61,B2:B61,B28-48))</f>
        <v/>
      </c>
      <c r="AH28" s="40">
        <f>AH27*(1-IF(B27&gt;=in_marketplace_from,d_hz_hlth_family*G27,0))</f>
        <v/>
      </c>
      <c r="AI28" s="46">
        <f>AH28*IF(B28&gt;=in_marketplace_from,d_hz_hlth_family*G28,0)</f>
        <v/>
      </c>
      <c r="AJ28" s="14">
        <f>F28*AI28*in_hlth_family_ticket*in_hlth_family_comm*in_ins_partner_share+F28*in_hlth_family_ticket*in_hlth_family_renew_comm*in_ins_partner_share*(in_hlth_family_renew^1*SUMIFS(AI2:AI61,B2:B61,B28-12)+in_hlth_family_renew^2*SUMIFS(AI2:AI61,B2:B61,B28-24)+in_hlth_family_renew^3*SUMIFS(AI2:AI61,B2:B61,B28-36)+in_hlth_family_renew^4*SUMIFS(AI2:AI61,B2:B61,B28-48))</f>
        <v/>
      </c>
      <c r="AK28" s="40">
        <f>AK27*(1-IF(B27&gt;=in_marketplace_from,d_hz_life_term*G27,0))</f>
        <v/>
      </c>
      <c r="AL28" s="46">
        <f>AK28*IF(B28&gt;=in_marketplace_from,d_hz_life_term*G28,0)</f>
        <v/>
      </c>
      <c r="AM28" s="14">
        <f>F28*AL28*in_life_term_ticket*in_life_term_comm*in_ins_partner_share+F28*in_life_term_ticket*in_life_term_renew_comm*in_ins_partner_share*(in_life_term_renew^1*SUMIFS(AL2:AL61,B2:B61,B28-12)+in_life_term_renew^2*SUMIFS(AL2:AL61,B2:B61,B28-24)+in_life_term_renew^3*SUMIFS(AL2:AL61,B2:B61,B28-36)+in_life_term_renew^4*SUMIFS(AL2:AL61,B2:B61,B28-48))</f>
        <v/>
      </c>
      <c r="AN28" s="40">
        <f>AN27*(1-IF(B27&gt;=in_marketplace_from,d_hz_accident*G27,0))</f>
        <v/>
      </c>
      <c r="AO28" s="46">
        <f>AN28*IF(B28&gt;=in_marketplace_from,d_hz_accident*G28,0)</f>
        <v/>
      </c>
      <c r="AP28" s="14">
        <f>F28*AO28*in_accident_ticket*in_accident_comm*in_ins_partner_share+F28*in_accident_ticket*in_accident_renew_comm*in_ins_partner_share*(in_accident_renew^1*SUMIFS(AO2:AO61,B2:B61,B28-12)+in_accident_renew^2*SUMIFS(AO2:AO61,B2:B61,B28-24)+in_accident_renew^3*SUMIFS(AO2:AO61,B2:B61,B28-36)+in_accident_renew^4*SUMIFS(AO2:AO61,B2:B61,B28-48))</f>
        <v/>
      </c>
      <c r="AQ28" s="40">
        <f>AQ27*(1-IF(B27&gt;=in_marketplace_from,d_hz_two_wheeler*G27,0))</f>
        <v/>
      </c>
      <c r="AR28" s="46">
        <f>AQ28*IF(B28&gt;=in_marketplace_from,d_hz_two_wheeler*G28,0)</f>
        <v/>
      </c>
      <c r="AS28" s="14">
        <f>F28*AR28*in_two_wheeler_ticket*in_two_wheeler_comm*in_ins_partner_share+F28*in_two_wheeler_ticket*in_two_wheeler_comm*in_ins_partner_share*(in_two_wheeler_renew^1*SUMIFS(AR2:AR61,B2:B61,B28-12)+in_two_wheeler_renew^2*SUMIFS(AR2:AR61,B2:B61,B28-24)+in_two_wheeler_renew^3*SUMIFS(AR2:AR61,B2:B61,B28-36)+in_two_wheeler_renew^4*SUMIFS(AR2:AR61,B2:B61,B28-48))</f>
        <v/>
      </c>
      <c r="AT28" s="40">
        <f>AT27*(1-IF(B27&gt;=in_marketplace_from,d_hz_device*G27,0))</f>
        <v/>
      </c>
      <c r="AU28" s="14">
        <f>F28*AT28*IF(B28&gt;=in_marketplace_from,d_hz_device*G28,0)*in_device_ticket*in_device_comm*in_ins_partner_share</f>
        <v/>
      </c>
      <c r="AV28" s="40">
        <f>AV27*(1-IF(B27&gt;=in_marketplace_from,d_hz_shop*G27,0))</f>
        <v/>
      </c>
      <c r="AW28" s="46">
        <f>AV28*IF(B28&gt;=in_marketplace_from,d_hz_shop*G28,0)</f>
        <v/>
      </c>
      <c r="AX28" s="14">
        <f>F28*AW28*in_shop_ticket*in_shop_comm*in_ins_partner_share+F28*in_shop_ticket*in_shop_renew_comm*in_ins_partner_share*(in_shop_renew^1*SUMIFS(AW2:AW61,B2:B61,B28-12)+in_shop_renew^2*SUMIFS(AW2:AW61,B2:B61,B28-24)+in_shop_renew^3*SUMIFS(AW2:AW61,B2:B61,B28-36)+in_shop_renew^4*SUMIFS(AW2:AW61,B2:B61,B28-48))</f>
        <v/>
      </c>
      <c r="AY28" s="40">
        <f>AY27*(1-IF(B27&gt;=in_marketplace_from,d_hz_sip*G27,0))</f>
        <v/>
      </c>
      <c r="AZ28" s="40">
        <f>AZ27*d_rho_sip+AY28*IF(B28&gt;=in_marketplace_from,d_hz_sip*G28,0)</f>
        <v/>
      </c>
      <c r="BA28" s="40">
        <f>d_rho_sip*(BA27+AZ27)</f>
        <v/>
      </c>
      <c r="BB28" s="14">
        <f>F28*in_sip_ticket*(BA28+0.5*AZ28)*in_sip_comm/12</f>
        <v/>
      </c>
      <c r="BC28" s="40">
        <f>BC27*(1-IF(B27&gt;=in_marketplace_from,d_hz_choti*G27,0))</f>
        <v/>
      </c>
      <c r="BD28" s="46">
        <f>BC28*IF(B28&gt;=in_marketplace_from,d_hz_choti*G28,0)</f>
        <v/>
      </c>
      <c r="BE28" s="14">
        <f>F28*SUMIFS(BD2:BD61,B2:B61,B28-in_choti_months)*in_choti_renew*in_choti_ticket</f>
        <v/>
      </c>
      <c r="BF28" s="40">
        <f>BF27*(1-IF(B27&gt;=in_marketplace_from,d_hz_nps*G27,0))</f>
        <v/>
      </c>
      <c r="BG28" s="14">
        <f>F28*BF28*IF(B28&gt;=in_marketplace_from,d_hz_nps*G28,0)*in_nps_ticket*in_nps_comm</f>
        <v/>
      </c>
      <c r="BH28" s="40">
        <f>BH27*(1-IF(B27&gt;=in_marketplace_from,d_hz_gold*G27,0))</f>
        <v/>
      </c>
      <c r="BI28" s="40">
        <f>BI27*d_rho_gold+BH28*IF(B28&gt;=in_marketplace_from,d_hz_gold*G28,0)</f>
        <v/>
      </c>
      <c r="BJ28" s="14">
        <f>F28*BI28*in_gold_ticket*in_gold_comm</f>
        <v/>
      </c>
      <c r="BK28" s="40">
        <f>BK27*(1-IF(B27&gt;=in_marketplace_from,d_hz_fd*G27,0))</f>
        <v/>
      </c>
      <c r="BL28" s="14">
        <f>F28*BK28*IF(B28&gt;=in_marketplace_from,d_hz_fd*G28,0)*in_fd_ticket*in_fd_comm</f>
        <v/>
      </c>
      <c r="BM28" s="40">
        <f>BM27*(1-IF(B27&gt;=in_marketplace_from,d_hz_recharge*G27,0))</f>
        <v/>
      </c>
      <c r="BN28" s="40">
        <f>BN27*d_rho_recharge+BM28*IF(B28&gt;=in_marketplace_from,d_hz_recharge*G28,0)</f>
        <v/>
      </c>
      <c r="BO28" s="14">
        <f>F28*BN28*in_recharge_ticket*in_recharge_comm/12</f>
        <v/>
      </c>
      <c r="BP28" s="40">
        <f>BP27*(1-IF(B27&gt;=in_marketplace_from,d_hz_bills*G27,0))</f>
        <v/>
      </c>
      <c r="BQ28" s="40">
        <f>BQ27*d_rho_bills+BP28*IF(B28&gt;=in_marketplace_from,d_hz_bills*G28,0)</f>
        <v/>
      </c>
      <c r="BR28" s="14">
        <f>F28*BQ28*in_bills_ticket*in_bills_comm/12</f>
        <v/>
      </c>
      <c r="BS28" s="40">
        <f>BS27*(1-IF(B27&gt;=in_marketplace_from,d_hz_loan_gold*G27,0))</f>
        <v/>
      </c>
      <c r="BT28" s="14">
        <f>F28*BS28*IF(B28&gt;=in_marketplace_from,d_hz_loan_gold*G28,0)*in_loan_gold_ticket*in_loan_gold_comm</f>
        <v/>
      </c>
      <c r="BU28" s="40">
        <f>BU27*(1-IF(B27&gt;=in_marketplace_from,d_hz_loan_cd*G27,0))</f>
        <v/>
      </c>
      <c r="BV28" s="14">
        <f>F28*BU28*IF(B28&gt;=in_marketplace_from,d_hz_loan_cd*G28,0)*in_loan_cd_ticket*in_loan_cd_comm</f>
        <v/>
      </c>
      <c r="BW28" s="40">
        <f>BW27*(1-IF(B27&gt;=in_marketplace_from,d_hz_loan_vehicle*G27,0))</f>
        <v/>
      </c>
      <c r="BX28" s="14">
        <f>F28*BW28*IF(B28&gt;=in_marketplace_from,d_hz_loan_vehicle*G28,0)*in_loan_vehicle_ticket*in_loan_vehicle_comm</f>
        <v/>
      </c>
      <c r="BY28" s="40">
        <f>BY27*(1-IF(B27&gt;=in_marketplace_from,d_hz_loan_home*G27,0)*BZ27)</f>
        <v/>
      </c>
      <c r="BZ28" s="11">
        <f>MIN(in_approval_cap,in_loan_home_approval*INDEX('Age profile'!$O$2:$O$61,B28)*(1+in_approval_growth)^(D28-1))</f>
        <v/>
      </c>
      <c r="CA28" s="14">
        <f>F28*BY28*IF(B28&gt;=in_marketplace_from,d_hz_loan_home*G28,0)*BZ28*in_loan_home_ticket*in_loan_home_comm</f>
        <v/>
      </c>
      <c r="CB28" s="40">
        <f>CB27*(1-IF(B27&gt;=in_marketplace_from,d_hz_loan_lap*G27,0)*CC27)</f>
        <v/>
      </c>
      <c r="CC28" s="11">
        <f>MIN(in_approval_cap,in_loan_lap_approval*INDEX('Age profile'!$O$2:$O$61,B28)*(1+in_approval_growth)^(D28-1))</f>
        <v/>
      </c>
      <c r="CD28" s="14">
        <f>F28*CB28*IF(B28&gt;=in_marketplace_from,d_hz_loan_lap*G28,0)*CC28*in_loan_lap_ticket*in_loan_lap_comm</f>
        <v/>
      </c>
      <c r="CE28" s="14">
        <f>AA28+AB28+AC28+AD28+AG28+AJ28+AM28+AP28+AS28+AU28+AX28+BB28+BE28+BG28+BJ28+BL28+BO28+BR28+BT28+BV28+BX28+CA28+CD28</f>
        <v/>
      </c>
    </row>
    <row r="29">
      <c r="A29" s="39" t="n">
        <v>1</v>
      </c>
      <c r="B29" s="39" t="n">
        <v>28</v>
      </c>
      <c r="C29" s="39">
        <f>A29+B29-1</f>
        <v/>
      </c>
      <c r="D29" s="39">
        <f>INT((C29-1)/12)+1</f>
        <v/>
      </c>
      <c r="E29" s="44">
        <f>INDEX(Monthly!$B$2:$B$61,A29)</f>
        <v/>
      </c>
      <c r="F29" s="44">
        <f>E29*INDEX('Age profile'!$B$2:$B$61,B29)</f>
        <v/>
      </c>
      <c r="G29" s="45">
        <f>MIN(in_takeup_cap,INDEX('Age profile'!$N$2:$N$61,B29)*(1+in_takeup_growth)^(D29-1))</f>
        <v/>
      </c>
      <c r="H29" s="11">
        <f>MIN(in_approval_cap,in_approved_first*INDEX('Age profile'!$O$2:$O$61,B29)*(1+in_approval_growth)^(D29-1))</f>
        <v/>
      </c>
      <c r="I29" s="45">
        <f>G29*MIN(in_takeup_cap,INDEX('Age profile'!$O$2:$O$61,B29)*(1+in_approval_growth)^(D29-1))</f>
        <v/>
      </c>
      <c r="J29" s="40">
        <f>(J28-L28)*F29/F28</f>
        <v/>
      </c>
      <c r="K29" s="40">
        <f>(K28-M28)*F29/F28+SUMIFS(O2:O28,B2:B28,B29-1-d_T)*F29</f>
        <v/>
      </c>
      <c r="L29" s="40">
        <f>IF(B29&gt;=in_marketplace_from,J29*d_hz*G29*in_eligible*H29,0)</f>
        <v/>
      </c>
      <c r="M29" s="40">
        <f>IF(B29&gt;=in_marketplace_from,K29*d_hz*G29*in_eligible*in_approved_repeat,0)</f>
        <v/>
      </c>
      <c r="N29" s="40">
        <f>L29+M29</f>
        <v/>
      </c>
      <c r="O29" s="46">
        <f>N29/F29</f>
        <v/>
      </c>
      <c r="P29" s="40">
        <f>F29-J29-K29</f>
        <v/>
      </c>
      <c r="Q29" s="40">
        <f>IF(B29&gt;=in_marketplace_from,(J29+K29)*d_hz*G29,0)</f>
        <v/>
      </c>
      <c r="R29" s="40">
        <f>SUMIFS(N2:N61,B2:B61,"&gt;="&amp;(B29-d_T),B2:B61,"&lt;="&amp;(B29-1))</f>
        <v/>
      </c>
      <c r="S29" s="46">
        <f>(1-d_u)*S28+IF(d_T&gt;in_topup_lag,SUMIFS(O2:O61,B2:B61,B29-in_topup_lag)-d_udrop*SUMIFS(O2:O61,B2:B61,B29-d_T),0)</f>
        <v/>
      </c>
      <c r="T29" s="40">
        <f>F29*d_u*S29</f>
        <v/>
      </c>
      <c r="U29" s="9">
        <f>L29*in_ticket+M29*d_rep_ticket</f>
        <v/>
      </c>
      <c r="V29" s="9">
        <f>U29+T29*d_topup_amt</f>
        <v/>
      </c>
      <c r="W29" s="40">
        <f>N29+T29*d_topup_ratio</f>
        <v/>
      </c>
      <c r="X29" s="40">
        <f>SUMIFS(W2:W61,B2:B61,B29-in_dpd_lag)*d_cured</f>
        <v/>
      </c>
      <c r="Y29" s="40">
        <f>SUMIFS(W2:W61,B2:B61,B29-in_rec_lag)*d_recd</f>
        <v/>
      </c>
      <c r="Z29" s="40">
        <f>IF(AND(B29&gt;=in_marketplace_from,B29&lt;in_marketplace_from+in_card_months),in_card_share/in_card_months*F29*I29,IF(AND(B29&gt;=in_marketplace_from+in_card_months,B29&lt;in_marketplace_from+2*in_card_months),in_card_share*d_card_rem/in_card_months*F29*MIN(in_takeup_cap,(1+in_takeup_growth)^(D29-1))*MIN(in_takeup_cap,(1+in_approval_growth)^(D29-1)),0))</f>
        <v/>
      </c>
      <c r="AA29" s="14">
        <f>V29*in_fee*(1-in_taken_back)</f>
        <v/>
      </c>
      <c r="AB29" s="14">
        <f>SUMIFS(W2:W61,B2:B61,B29-in_dpd_lag)*d_dpd</f>
        <v/>
      </c>
      <c r="AC29" s="14">
        <f>SUMIFS(W2:W61,B2:B61,B29-in_rec_lag)*d_rec</f>
        <v/>
      </c>
      <c r="AD29" s="14">
        <f>Z29*in_card_fee</f>
        <v/>
      </c>
      <c r="AE29" s="40">
        <f>AE28*(1-IF(B28&gt;=in_marketplace_from,d_hz_hlth_small*G28,0))</f>
        <v/>
      </c>
      <c r="AF29" s="46">
        <f>AE29*IF(B29&gt;=in_marketplace_from,d_hz_hlth_small*G29,0)</f>
        <v/>
      </c>
      <c r="AG29" s="14">
        <f>F29*AF29*in_hlth_small_ticket*in_hlth_small_comm*in_ins_partner_share+F29*in_hlth_small_ticket*in_hlth_small_renew_comm*in_ins_partner_share*(in_hlth_small_renew^1*SUMIFS(AF2:AF61,B2:B61,B29-12)+in_hlth_small_renew^2*SUMIFS(AF2:AF61,B2:B61,B29-24)+in_hlth_small_renew^3*SUMIFS(AF2:AF61,B2:B61,B29-36)+in_hlth_small_renew^4*SUMIFS(AF2:AF61,B2:B61,B29-48))</f>
        <v/>
      </c>
      <c r="AH29" s="40">
        <f>AH28*(1-IF(B28&gt;=in_marketplace_from,d_hz_hlth_family*G28,0))</f>
        <v/>
      </c>
      <c r="AI29" s="46">
        <f>AH29*IF(B29&gt;=in_marketplace_from,d_hz_hlth_family*G29,0)</f>
        <v/>
      </c>
      <c r="AJ29" s="14">
        <f>F29*AI29*in_hlth_family_ticket*in_hlth_family_comm*in_ins_partner_share+F29*in_hlth_family_ticket*in_hlth_family_renew_comm*in_ins_partner_share*(in_hlth_family_renew^1*SUMIFS(AI2:AI61,B2:B61,B29-12)+in_hlth_family_renew^2*SUMIFS(AI2:AI61,B2:B61,B29-24)+in_hlth_family_renew^3*SUMIFS(AI2:AI61,B2:B61,B29-36)+in_hlth_family_renew^4*SUMIFS(AI2:AI61,B2:B61,B29-48))</f>
        <v/>
      </c>
      <c r="AK29" s="40">
        <f>AK28*(1-IF(B28&gt;=in_marketplace_from,d_hz_life_term*G28,0))</f>
        <v/>
      </c>
      <c r="AL29" s="46">
        <f>AK29*IF(B29&gt;=in_marketplace_from,d_hz_life_term*G29,0)</f>
        <v/>
      </c>
      <c r="AM29" s="14">
        <f>F29*AL29*in_life_term_ticket*in_life_term_comm*in_ins_partner_share+F29*in_life_term_ticket*in_life_term_renew_comm*in_ins_partner_share*(in_life_term_renew^1*SUMIFS(AL2:AL61,B2:B61,B29-12)+in_life_term_renew^2*SUMIFS(AL2:AL61,B2:B61,B29-24)+in_life_term_renew^3*SUMIFS(AL2:AL61,B2:B61,B29-36)+in_life_term_renew^4*SUMIFS(AL2:AL61,B2:B61,B29-48))</f>
        <v/>
      </c>
      <c r="AN29" s="40">
        <f>AN28*(1-IF(B28&gt;=in_marketplace_from,d_hz_accident*G28,0))</f>
        <v/>
      </c>
      <c r="AO29" s="46">
        <f>AN29*IF(B29&gt;=in_marketplace_from,d_hz_accident*G29,0)</f>
        <v/>
      </c>
      <c r="AP29" s="14">
        <f>F29*AO29*in_accident_ticket*in_accident_comm*in_ins_partner_share+F29*in_accident_ticket*in_accident_renew_comm*in_ins_partner_share*(in_accident_renew^1*SUMIFS(AO2:AO61,B2:B61,B29-12)+in_accident_renew^2*SUMIFS(AO2:AO61,B2:B61,B29-24)+in_accident_renew^3*SUMIFS(AO2:AO61,B2:B61,B29-36)+in_accident_renew^4*SUMIFS(AO2:AO61,B2:B61,B29-48))</f>
        <v/>
      </c>
      <c r="AQ29" s="40">
        <f>AQ28*(1-IF(B28&gt;=in_marketplace_from,d_hz_two_wheeler*G28,0))</f>
        <v/>
      </c>
      <c r="AR29" s="46">
        <f>AQ29*IF(B29&gt;=in_marketplace_from,d_hz_two_wheeler*G29,0)</f>
        <v/>
      </c>
      <c r="AS29" s="14">
        <f>F29*AR29*in_two_wheeler_ticket*in_two_wheeler_comm*in_ins_partner_share+F29*in_two_wheeler_ticket*in_two_wheeler_comm*in_ins_partner_share*(in_two_wheeler_renew^1*SUMIFS(AR2:AR61,B2:B61,B29-12)+in_two_wheeler_renew^2*SUMIFS(AR2:AR61,B2:B61,B29-24)+in_two_wheeler_renew^3*SUMIFS(AR2:AR61,B2:B61,B29-36)+in_two_wheeler_renew^4*SUMIFS(AR2:AR61,B2:B61,B29-48))</f>
        <v/>
      </c>
      <c r="AT29" s="40">
        <f>AT28*(1-IF(B28&gt;=in_marketplace_from,d_hz_device*G28,0))</f>
        <v/>
      </c>
      <c r="AU29" s="14">
        <f>F29*AT29*IF(B29&gt;=in_marketplace_from,d_hz_device*G29,0)*in_device_ticket*in_device_comm*in_ins_partner_share</f>
        <v/>
      </c>
      <c r="AV29" s="40">
        <f>AV28*(1-IF(B28&gt;=in_marketplace_from,d_hz_shop*G28,0))</f>
        <v/>
      </c>
      <c r="AW29" s="46">
        <f>AV29*IF(B29&gt;=in_marketplace_from,d_hz_shop*G29,0)</f>
        <v/>
      </c>
      <c r="AX29" s="14">
        <f>F29*AW29*in_shop_ticket*in_shop_comm*in_ins_partner_share+F29*in_shop_ticket*in_shop_renew_comm*in_ins_partner_share*(in_shop_renew^1*SUMIFS(AW2:AW61,B2:B61,B29-12)+in_shop_renew^2*SUMIFS(AW2:AW61,B2:B61,B29-24)+in_shop_renew^3*SUMIFS(AW2:AW61,B2:B61,B29-36)+in_shop_renew^4*SUMIFS(AW2:AW61,B2:B61,B29-48))</f>
        <v/>
      </c>
      <c r="AY29" s="40">
        <f>AY28*(1-IF(B28&gt;=in_marketplace_from,d_hz_sip*G28,0))</f>
        <v/>
      </c>
      <c r="AZ29" s="40">
        <f>AZ28*d_rho_sip+AY29*IF(B29&gt;=in_marketplace_from,d_hz_sip*G29,0)</f>
        <v/>
      </c>
      <c r="BA29" s="40">
        <f>d_rho_sip*(BA28+AZ28)</f>
        <v/>
      </c>
      <c r="BB29" s="14">
        <f>F29*in_sip_ticket*(BA29+0.5*AZ29)*in_sip_comm/12</f>
        <v/>
      </c>
      <c r="BC29" s="40">
        <f>BC28*(1-IF(B28&gt;=in_marketplace_from,d_hz_choti*G28,0))</f>
        <v/>
      </c>
      <c r="BD29" s="46">
        <f>BC29*IF(B29&gt;=in_marketplace_from,d_hz_choti*G29,0)</f>
        <v/>
      </c>
      <c r="BE29" s="14">
        <f>F29*SUMIFS(BD2:BD61,B2:B61,B29-in_choti_months)*in_choti_renew*in_choti_ticket</f>
        <v/>
      </c>
      <c r="BF29" s="40">
        <f>BF28*(1-IF(B28&gt;=in_marketplace_from,d_hz_nps*G28,0))</f>
        <v/>
      </c>
      <c r="BG29" s="14">
        <f>F29*BF29*IF(B29&gt;=in_marketplace_from,d_hz_nps*G29,0)*in_nps_ticket*in_nps_comm</f>
        <v/>
      </c>
      <c r="BH29" s="40">
        <f>BH28*(1-IF(B28&gt;=in_marketplace_from,d_hz_gold*G28,0))</f>
        <v/>
      </c>
      <c r="BI29" s="40">
        <f>BI28*d_rho_gold+BH29*IF(B29&gt;=in_marketplace_from,d_hz_gold*G29,0)</f>
        <v/>
      </c>
      <c r="BJ29" s="14">
        <f>F29*BI29*in_gold_ticket*in_gold_comm</f>
        <v/>
      </c>
      <c r="BK29" s="40">
        <f>BK28*(1-IF(B28&gt;=in_marketplace_from,d_hz_fd*G28,0))</f>
        <v/>
      </c>
      <c r="BL29" s="14">
        <f>F29*BK29*IF(B29&gt;=in_marketplace_from,d_hz_fd*G29,0)*in_fd_ticket*in_fd_comm</f>
        <v/>
      </c>
      <c r="BM29" s="40">
        <f>BM28*(1-IF(B28&gt;=in_marketplace_from,d_hz_recharge*G28,0))</f>
        <v/>
      </c>
      <c r="BN29" s="40">
        <f>BN28*d_rho_recharge+BM29*IF(B29&gt;=in_marketplace_from,d_hz_recharge*G29,0)</f>
        <v/>
      </c>
      <c r="BO29" s="14">
        <f>F29*BN29*in_recharge_ticket*in_recharge_comm/12</f>
        <v/>
      </c>
      <c r="BP29" s="40">
        <f>BP28*(1-IF(B28&gt;=in_marketplace_from,d_hz_bills*G28,0))</f>
        <v/>
      </c>
      <c r="BQ29" s="40">
        <f>BQ28*d_rho_bills+BP29*IF(B29&gt;=in_marketplace_from,d_hz_bills*G29,0)</f>
        <v/>
      </c>
      <c r="BR29" s="14">
        <f>F29*BQ29*in_bills_ticket*in_bills_comm/12</f>
        <v/>
      </c>
      <c r="BS29" s="40">
        <f>BS28*(1-IF(B28&gt;=in_marketplace_from,d_hz_loan_gold*G28,0))</f>
        <v/>
      </c>
      <c r="BT29" s="14">
        <f>F29*BS29*IF(B29&gt;=in_marketplace_from,d_hz_loan_gold*G29,0)*in_loan_gold_ticket*in_loan_gold_comm</f>
        <v/>
      </c>
      <c r="BU29" s="40">
        <f>BU28*(1-IF(B28&gt;=in_marketplace_from,d_hz_loan_cd*G28,0))</f>
        <v/>
      </c>
      <c r="BV29" s="14">
        <f>F29*BU29*IF(B29&gt;=in_marketplace_from,d_hz_loan_cd*G29,0)*in_loan_cd_ticket*in_loan_cd_comm</f>
        <v/>
      </c>
      <c r="BW29" s="40">
        <f>BW28*(1-IF(B28&gt;=in_marketplace_from,d_hz_loan_vehicle*G28,0))</f>
        <v/>
      </c>
      <c r="BX29" s="14">
        <f>F29*BW29*IF(B29&gt;=in_marketplace_from,d_hz_loan_vehicle*G29,0)*in_loan_vehicle_ticket*in_loan_vehicle_comm</f>
        <v/>
      </c>
      <c r="BY29" s="40">
        <f>BY28*(1-IF(B28&gt;=in_marketplace_from,d_hz_loan_home*G28,0)*BZ28)</f>
        <v/>
      </c>
      <c r="BZ29" s="11">
        <f>MIN(in_approval_cap,in_loan_home_approval*INDEX('Age profile'!$O$2:$O$61,B29)*(1+in_approval_growth)^(D29-1))</f>
        <v/>
      </c>
      <c r="CA29" s="14">
        <f>F29*BY29*IF(B29&gt;=in_marketplace_from,d_hz_loan_home*G29,0)*BZ29*in_loan_home_ticket*in_loan_home_comm</f>
        <v/>
      </c>
      <c r="CB29" s="40">
        <f>CB28*(1-IF(B28&gt;=in_marketplace_from,d_hz_loan_lap*G28,0)*CC28)</f>
        <v/>
      </c>
      <c r="CC29" s="11">
        <f>MIN(in_approval_cap,in_loan_lap_approval*INDEX('Age profile'!$O$2:$O$61,B29)*(1+in_approval_growth)^(D29-1))</f>
        <v/>
      </c>
      <c r="CD29" s="14">
        <f>F29*CB29*IF(B29&gt;=in_marketplace_from,d_hz_loan_lap*G29,0)*CC29*in_loan_lap_ticket*in_loan_lap_comm</f>
        <v/>
      </c>
      <c r="CE29" s="14">
        <f>AA29+AB29+AC29+AD29+AG29+AJ29+AM29+AP29+AS29+AU29+AX29+BB29+BE29+BG29+BJ29+BL29+BO29+BR29+BT29+BV29+BX29+CA29+CD29</f>
        <v/>
      </c>
    </row>
    <row r="30">
      <c r="A30" s="39" t="n">
        <v>1</v>
      </c>
      <c r="B30" s="39" t="n">
        <v>29</v>
      </c>
      <c r="C30" s="39">
        <f>A30+B30-1</f>
        <v/>
      </c>
      <c r="D30" s="39">
        <f>INT((C30-1)/12)+1</f>
        <v/>
      </c>
      <c r="E30" s="44">
        <f>INDEX(Monthly!$B$2:$B$61,A30)</f>
        <v/>
      </c>
      <c r="F30" s="44">
        <f>E30*INDEX('Age profile'!$B$2:$B$61,B30)</f>
        <v/>
      </c>
      <c r="G30" s="45">
        <f>MIN(in_takeup_cap,INDEX('Age profile'!$N$2:$N$61,B30)*(1+in_takeup_growth)^(D30-1))</f>
        <v/>
      </c>
      <c r="H30" s="11">
        <f>MIN(in_approval_cap,in_approved_first*INDEX('Age profile'!$O$2:$O$61,B30)*(1+in_approval_growth)^(D30-1))</f>
        <v/>
      </c>
      <c r="I30" s="45">
        <f>G30*MIN(in_takeup_cap,INDEX('Age profile'!$O$2:$O$61,B30)*(1+in_approval_growth)^(D30-1))</f>
        <v/>
      </c>
      <c r="J30" s="40">
        <f>(J29-L29)*F30/F29</f>
        <v/>
      </c>
      <c r="K30" s="40">
        <f>(K29-M29)*F30/F29+SUMIFS(O2:O29,B2:B29,B30-1-d_T)*F30</f>
        <v/>
      </c>
      <c r="L30" s="40">
        <f>IF(B30&gt;=in_marketplace_from,J30*d_hz*G30*in_eligible*H30,0)</f>
        <v/>
      </c>
      <c r="M30" s="40">
        <f>IF(B30&gt;=in_marketplace_from,K30*d_hz*G30*in_eligible*in_approved_repeat,0)</f>
        <v/>
      </c>
      <c r="N30" s="40">
        <f>L30+M30</f>
        <v/>
      </c>
      <c r="O30" s="46">
        <f>N30/F30</f>
        <v/>
      </c>
      <c r="P30" s="40">
        <f>F30-J30-K30</f>
        <v/>
      </c>
      <c r="Q30" s="40">
        <f>IF(B30&gt;=in_marketplace_from,(J30+K30)*d_hz*G30,0)</f>
        <v/>
      </c>
      <c r="R30" s="40">
        <f>SUMIFS(N2:N61,B2:B61,"&gt;="&amp;(B30-d_T),B2:B61,"&lt;="&amp;(B30-1))</f>
        <v/>
      </c>
      <c r="S30" s="46">
        <f>(1-d_u)*S29+IF(d_T&gt;in_topup_lag,SUMIFS(O2:O61,B2:B61,B30-in_topup_lag)-d_udrop*SUMIFS(O2:O61,B2:B61,B30-d_T),0)</f>
        <v/>
      </c>
      <c r="T30" s="40">
        <f>F30*d_u*S30</f>
        <v/>
      </c>
      <c r="U30" s="9">
        <f>L30*in_ticket+M30*d_rep_ticket</f>
        <v/>
      </c>
      <c r="V30" s="9">
        <f>U30+T30*d_topup_amt</f>
        <v/>
      </c>
      <c r="W30" s="40">
        <f>N30+T30*d_topup_ratio</f>
        <v/>
      </c>
      <c r="X30" s="40">
        <f>SUMIFS(W2:W61,B2:B61,B30-in_dpd_lag)*d_cured</f>
        <v/>
      </c>
      <c r="Y30" s="40">
        <f>SUMIFS(W2:W61,B2:B61,B30-in_rec_lag)*d_recd</f>
        <v/>
      </c>
      <c r="Z30" s="40">
        <f>IF(AND(B30&gt;=in_marketplace_from,B30&lt;in_marketplace_from+in_card_months),in_card_share/in_card_months*F30*I30,IF(AND(B30&gt;=in_marketplace_from+in_card_months,B30&lt;in_marketplace_from+2*in_card_months),in_card_share*d_card_rem/in_card_months*F30*MIN(in_takeup_cap,(1+in_takeup_growth)^(D30-1))*MIN(in_takeup_cap,(1+in_approval_growth)^(D30-1)),0))</f>
        <v/>
      </c>
      <c r="AA30" s="14">
        <f>V30*in_fee*(1-in_taken_back)</f>
        <v/>
      </c>
      <c r="AB30" s="14">
        <f>SUMIFS(W2:W61,B2:B61,B30-in_dpd_lag)*d_dpd</f>
        <v/>
      </c>
      <c r="AC30" s="14">
        <f>SUMIFS(W2:W61,B2:B61,B30-in_rec_lag)*d_rec</f>
        <v/>
      </c>
      <c r="AD30" s="14">
        <f>Z30*in_card_fee</f>
        <v/>
      </c>
      <c r="AE30" s="40">
        <f>AE29*(1-IF(B29&gt;=in_marketplace_from,d_hz_hlth_small*G29,0))</f>
        <v/>
      </c>
      <c r="AF30" s="46">
        <f>AE30*IF(B30&gt;=in_marketplace_from,d_hz_hlth_small*G30,0)</f>
        <v/>
      </c>
      <c r="AG30" s="14">
        <f>F30*AF30*in_hlth_small_ticket*in_hlth_small_comm*in_ins_partner_share+F30*in_hlth_small_ticket*in_hlth_small_renew_comm*in_ins_partner_share*(in_hlth_small_renew^1*SUMIFS(AF2:AF61,B2:B61,B30-12)+in_hlth_small_renew^2*SUMIFS(AF2:AF61,B2:B61,B30-24)+in_hlth_small_renew^3*SUMIFS(AF2:AF61,B2:B61,B30-36)+in_hlth_small_renew^4*SUMIFS(AF2:AF61,B2:B61,B30-48))</f>
        <v/>
      </c>
      <c r="AH30" s="40">
        <f>AH29*(1-IF(B29&gt;=in_marketplace_from,d_hz_hlth_family*G29,0))</f>
        <v/>
      </c>
      <c r="AI30" s="46">
        <f>AH30*IF(B30&gt;=in_marketplace_from,d_hz_hlth_family*G30,0)</f>
        <v/>
      </c>
      <c r="AJ30" s="14">
        <f>F30*AI30*in_hlth_family_ticket*in_hlth_family_comm*in_ins_partner_share+F30*in_hlth_family_ticket*in_hlth_family_renew_comm*in_ins_partner_share*(in_hlth_family_renew^1*SUMIFS(AI2:AI61,B2:B61,B30-12)+in_hlth_family_renew^2*SUMIFS(AI2:AI61,B2:B61,B30-24)+in_hlth_family_renew^3*SUMIFS(AI2:AI61,B2:B61,B30-36)+in_hlth_family_renew^4*SUMIFS(AI2:AI61,B2:B61,B30-48))</f>
        <v/>
      </c>
      <c r="AK30" s="40">
        <f>AK29*(1-IF(B29&gt;=in_marketplace_from,d_hz_life_term*G29,0))</f>
        <v/>
      </c>
      <c r="AL30" s="46">
        <f>AK30*IF(B30&gt;=in_marketplace_from,d_hz_life_term*G30,0)</f>
        <v/>
      </c>
      <c r="AM30" s="14">
        <f>F30*AL30*in_life_term_ticket*in_life_term_comm*in_ins_partner_share+F30*in_life_term_ticket*in_life_term_renew_comm*in_ins_partner_share*(in_life_term_renew^1*SUMIFS(AL2:AL61,B2:B61,B30-12)+in_life_term_renew^2*SUMIFS(AL2:AL61,B2:B61,B30-24)+in_life_term_renew^3*SUMIFS(AL2:AL61,B2:B61,B30-36)+in_life_term_renew^4*SUMIFS(AL2:AL61,B2:B61,B30-48))</f>
        <v/>
      </c>
      <c r="AN30" s="40">
        <f>AN29*(1-IF(B29&gt;=in_marketplace_from,d_hz_accident*G29,0))</f>
        <v/>
      </c>
      <c r="AO30" s="46">
        <f>AN30*IF(B30&gt;=in_marketplace_from,d_hz_accident*G30,0)</f>
        <v/>
      </c>
      <c r="AP30" s="14">
        <f>F30*AO30*in_accident_ticket*in_accident_comm*in_ins_partner_share+F30*in_accident_ticket*in_accident_renew_comm*in_ins_partner_share*(in_accident_renew^1*SUMIFS(AO2:AO61,B2:B61,B30-12)+in_accident_renew^2*SUMIFS(AO2:AO61,B2:B61,B30-24)+in_accident_renew^3*SUMIFS(AO2:AO61,B2:B61,B30-36)+in_accident_renew^4*SUMIFS(AO2:AO61,B2:B61,B30-48))</f>
        <v/>
      </c>
      <c r="AQ30" s="40">
        <f>AQ29*(1-IF(B29&gt;=in_marketplace_from,d_hz_two_wheeler*G29,0))</f>
        <v/>
      </c>
      <c r="AR30" s="46">
        <f>AQ30*IF(B30&gt;=in_marketplace_from,d_hz_two_wheeler*G30,0)</f>
        <v/>
      </c>
      <c r="AS30" s="14">
        <f>F30*AR30*in_two_wheeler_ticket*in_two_wheeler_comm*in_ins_partner_share+F30*in_two_wheeler_ticket*in_two_wheeler_comm*in_ins_partner_share*(in_two_wheeler_renew^1*SUMIFS(AR2:AR61,B2:B61,B30-12)+in_two_wheeler_renew^2*SUMIFS(AR2:AR61,B2:B61,B30-24)+in_two_wheeler_renew^3*SUMIFS(AR2:AR61,B2:B61,B30-36)+in_two_wheeler_renew^4*SUMIFS(AR2:AR61,B2:B61,B30-48))</f>
        <v/>
      </c>
      <c r="AT30" s="40">
        <f>AT29*(1-IF(B29&gt;=in_marketplace_from,d_hz_device*G29,0))</f>
        <v/>
      </c>
      <c r="AU30" s="14">
        <f>F30*AT30*IF(B30&gt;=in_marketplace_from,d_hz_device*G30,0)*in_device_ticket*in_device_comm*in_ins_partner_share</f>
        <v/>
      </c>
      <c r="AV30" s="40">
        <f>AV29*(1-IF(B29&gt;=in_marketplace_from,d_hz_shop*G29,0))</f>
        <v/>
      </c>
      <c r="AW30" s="46">
        <f>AV30*IF(B30&gt;=in_marketplace_from,d_hz_shop*G30,0)</f>
        <v/>
      </c>
      <c r="AX30" s="14">
        <f>F30*AW30*in_shop_ticket*in_shop_comm*in_ins_partner_share+F30*in_shop_ticket*in_shop_renew_comm*in_ins_partner_share*(in_shop_renew^1*SUMIFS(AW2:AW61,B2:B61,B30-12)+in_shop_renew^2*SUMIFS(AW2:AW61,B2:B61,B30-24)+in_shop_renew^3*SUMIFS(AW2:AW61,B2:B61,B30-36)+in_shop_renew^4*SUMIFS(AW2:AW61,B2:B61,B30-48))</f>
        <v/>
      </c>
      <c r="AY30" s="40">
        <f>AY29*(1-IF(B29&gt;=in_marketplace_from,d_hz_sip*G29,0))</f>
        <v/>
      </c>
      <c r="AZ30" s="40">
        <f>AZ29*d_rho_sip+AY30*IF(B30&gt;=in_marketplace_from,d_hz_sip*G30,0)</f>
        <v/>
      </c>
      <c r="BA30" s="40">
        <f>d_rho_sip*(BA29+AZ29)</f>
        <v/>
      </c>
      <c r="BB30" s="14">
        <f>F30*in_sip_ticket*(BA30+0.5*AZ30)*in_sip_comm/12</f>
        <v/>
      </c>
      <c r="BC30" s="40">
        <f>BC29*(1-IF(B29&gt;=in_marketplace_from,d_hz_choti*G29,0))</f>
        <v/>
      </c>
      <c r="BD30" s="46">
        <f>BC30*IF(B30&gt;=in_marketplace_from,d_hz_choti*G30,0)</f>
        <v/>
      </c>
      <c r="BE30" s="14">
        <f>F30*SUMIFS(BD2:BD61,B2:B61,B30-in_choti_months)*in_choti_renew*in_choti_ticket</f>
        <v/>
      </c>
      <c r="BF30" s="40">
        <f>BF29*(1-IF(B29&gt;=in_marketplace_from,d_hz_nps*G29,0))</f>
        <v/>
      </c>
      <c r="BG30" s="14">
        <f>F30*BF30*IF(B30&gt;=in_marketplace_from,d_hz_nps*G30,0)*in_nps_ticket*in_nps_comm</f>
        <v/>
      </c>
      <c r="BH30" s="40">
        <f>BH29*(1-IF(B29&gt;=in_marketplace_from,d_hz_gold*G29,0))</f>
        <v/>
      </c>
      <c r="BI30" s="40">
        <f>BI29*d_rho_gold+BH30*IF(B30&gt;=in_marketplace_from,d_hz_gold*G30,0)</f>
        <v/>
      </c>
      <c r="BJ30" s="14">
        <f>F30*BI30*in_gold_ticket*in_gold_comm</f>
        <v/>
      </c>
      <c r="BK30" s="40">
        <f>BK29*(1-IF(B29&gt;=in_marketplace_from,d_hz_fd*G29,0))</f>
        <v/>
      </c>
      <c r="BL30" s="14">
        <f>F30*BK30*IF(B30&gt;=in_marketplace_from,d_hz_fd*G30,0)*in_fd_ticket*in_fd_comm</f>
        <v/>
      </c>
      <c r="BM30" s="40">
        <f>BM29*(1-IF(B29&gt;=in_marketplace_from,d_hz_recharge*G29,0))</f>
        <v/>
      </c>
      <c r="BN30" s="40">
        <f>BN29*d_rho_recharge+BM30*IF(B30&gt;=in_marketplace_from,d_hz_recharge*G30,0)</f>
        <v/>
      </c>
      <c r="BO30" s="14">
        <f>F30*BN30*in_recharge_ticket*in_recharge_comm/12</f>
        <v/>
      </c>
      <c r="BP30" s="40">
        <f>BP29*(1-IF(B29&gt;=in_marketplace_from,d_hz_bills*G29,0))</f>
        <v/>
      </c>
      <c r="BQ30" s="40">
        <f>BQ29*d_rho_bills+BP30*IF(B30&gt;=in_marketplace_from,d_hz_bills*G30,0)</f>
        <v/>
      </c>
      <c r="BR30" s="14">
        <f>F30*BQ30*in_bills_ticket*in_bills_comm/12</f>
        <v/>
      </c>
      <c r="BS30" s="40">
        <f>BS29*(1-IF(B29&gt;=in_marketplace_from,d_hz_loan_gold*G29,0))</f>
        <v/>
      </c>
      <c r="BT30" s="14">
        <f>F30*BS30*IF(B30&gt;=in_marketplace_from,d_hz_loan_gold*G30,0)*in_loan_gold_ticket*in_loan_gold_comm</f>
        <v/>
      </c>
      <c r="BU30" s="40">
        <f>BU29*(1-IF(B29&gt;=in_marketplace_from,d_hz_loan_cd*G29,0))</f>
        <v/>
      </c>
      <c r="BV30" s="14">
        <f>F30*BU30*IF(B30&gt;=in_marketplace_from,d_hz_loan_cd*G30,0)*in_loan_cd_ticket*in_loan_cd_comm</f>
        <v/>
      </c>
      <c r="BW30" s="40">
        <f>BW29*(1-IF(B29&gt;=in_marketplace_from,d_hz_loan_vehicle*G29,0))</f>
        <v/>
      </c>
      <c r="BX30" s="14">
        <f>F30*BW30*IF(B30&gt;=in_marketplace_from,d_hz_loan_vehicle*G30,0)*in_loan_vehicle_ticket*in_loan_vehicle_comm</f>
        <v/>
      </c>
      <c r="BY30" s="40">
        <f>BY29*(1-IF(B29&gt;=in_marketplace_from,d_hz_loan_home*G29,0)*BZ29)</f>
        <v/>
      </c>
      <c r="BZ30" s="11">
        <f>MIN(in_approval_cap,in_loan_home_approval*INDEX('Age profile'!$O$2:$O$61,B30)*(1+in_approval_growth)^(D30-1))</f>
        <v/>
      </c>
      <c r="CA30" s="14">
        <f>F30*BY30*IF(B30&gt;=in_marketplace_from,d_hz_loan_home*G30,0)*BZ30*in_loan_home_ticket*in_loan_home_comm</f>
        <v/>
      </c>
      <c r="CB30" s="40">
        <f>CB29*(1-IF(B29&gt;=in_marketplace_from,d_hz_loan_lap*G29,0)*CC29)</f>
        <v/>
      </c>
      <c r="CC30" s="11">
        <f>MIN(in_approval_cap,in_loan_lap_approval*INDEX('Age profile'!$O$2:$O$61,B30)*(1+in_approval_growth)^(D30-1))</f>
        <v/>
      </c>
      <c r="CD30" s="14">
        <f>F30*CB30*IF(B30&gt;=in_marketplace_from,d_hz_loan_lap*G30,0)*CC30*in_loan_lap_ticket*in_loan_lap_comm</f>
        <v/>
      </c>
      <c r="CE30" s="14">
        <f>AA30+AB30+AC30+AD30+AG30+AJ30+AM30+AP30+AS30+AU30+AX30+BB30+BE30+BG30+BJ30+BL30+BO30+BR30+BT30+BV30+BX30+CA30+CD30</f>
        <v/>
      </c>
    </row>
    <row r="31">
      <c r="A31" s="39" t="n">
        <v>1</v>
      </c>
      <c r="B31" s="39" t="n">
        <v>30</v>
      </c>
      <c r="C31" s="39">
        <f>A31+B31-1</f>
        <v/>
      </c>
      <c r="D31" s="39">
        <f>INT((C31-1)/12)+1</f>
        <v/>
      </c>
      <c r="E31" s="44">
        <f>INDEX(Monthly!$B$2:$B$61,A31)</f>
        <v/>
      </c>
      <c r="F31" s="44">
        <f>E31*INDEX('Age profile'!$B$2:$B$61,B31)</f>
        <v/>
      </c>
      <c r="G31" s="45">
        <f>MIN(in_takeup_cap,INDEX('Age profile'!$N$2:$N$61,B31)*(1+in_takeup_growth)^(D31-1))</f>
        <v/>
      </c>
      <c r="H31" s="11">
        <f>MIN(in_approval_cap,in_approved_first*INDEX('Age profile'!$O$2:$O$61,B31)*(1+in_approval_growth)^(D31-1))</f>
        <v/>
      </c>
      <c r="I31" s="45">
        <f>G31*MIN(in_takeup_cap,INDEX('Age profile'!$O$2:$O$61,B31)*(1+in_approval_growth)^(D31-1))</f>
        <v/>
      </c>
      <c r="J31" s="40">
        <f>(J30-L30)*F31/F30</f>
        <v/>
      </c>
      <c r="K31" s="40">
        <f>(K30-M30)*F31/F30+SUMIFS(O2:O30,B2:B30,B31-1-d_T)*F31</f>
        <v/>
      </c>
      <c r="L31" s="40">
        <f>IF(B31&gt;=in_marketplace_from,J31*d_hz*G31*in_eligible*H31,0)</f>
        <v/>
      </c>
      <c r="M31" s="40">
        <f>IF(B31&gt;=in_marketplace_from,K31*d_hz*G31*in_eligible*in_approved_repeat,0)</f>
        <v/>
      </c>
      <c r="N31" s="40">
        <f>L31+M31</f>
        <v/>
      </c>
      <c r="O31" s="46">
        <f>N31/F31</f>
        <v/>
      </c>
      <c r="P31" s="40">
        <f>F31-J31-K31</f>
        <v/>
      </c>
      <c r="Q31" s="40">
        <f>IF(B31&gt;=in_marketplace_from,(J31+K31)*d_hz*G31,0)</f>
        <v/>
      </c>
      <c r="R31" s="40">
        <f>SUMIFS(N2:N61,B2:B61,"&gt;="&amp;(B31-d_T),B2:B61,"&lt;="&amp;(B31-1))</f>
        <v/>
      </c>
      <c r="S31" s="46">
        <f>(1-d_u)*S30+IF(d_T&gt;in_topup_lag,SUMIFS(O2:O61,B2:B61,B31-in_topup_lag)-d_udrop*SUMIFS(O2:O61,B2:B61,B31-d_T),0)</f>
        <v/>
      </c>
      <c r="T31" s="40">
        <f>F31*d_u*S31</f>
        <v/>
      </c>
      <c r="U31" s="9">
        <f>L31*in_ticket+M31*d_rep_ticket</f>
        <v/>
      </c>
      <c r="V31" s="9">
        <f>U31+T31*d_topup_amt</f>
        <v/>
      </c>
      <c r="W31" s="40">
        <f>N31+T31*d_topup_ratio</f>
        <v/>
      </c>
      <c r="X31" s="40">
        <f>SUMIFS(W2:W61,B2:B61,B31-in_dpd_lag)*d_cured</f>
        <v/>
      </c>
      <c r="Y31" s="40">
        <f>SUMIFS(W2:W61,B2:B61,B31-in_rec_lag)*d_recd</f>
        <v/>
      </c>
      <c r="Z31" s="40">
        <f>IF(AND(B31&gt;=in_marketplace_from,B31&lt;in_marketplace_from+in_card_months),in_card_share/in_card_months*F31*I31,IF(AND(B31&gt;=in_marketplace_from+in_card_months,B31&lt;in_marketplace_from+2*in_card_months),in_card_share*d_card_rem/in_card_months*F31*MIN(in_takeup_cap,(1+in_takeup_growth)^(D31-1))*MIN(in_takeup_cap,(1+in_approval_growth)^(D31-1)),0))</f>
        <v/>
      </c>
      <c r="AA31" s="14">
        <f>V31*in_fee*(1-in_taken_back)</f>
        <v/>
      </c>
      <c r="AB31" s="14">
        <f>SUMIFS(W2:W61,B2:B61,B31-in_dpd_lag)*d_dpd</f>
        <v/>
      </c>
      <c r="AC31" s="14">
        <f>SUMIFS(W2:W61,B2:B61,B31-in_rec_lag)*d_rec</f>
        <v/>
      </c>
      <c r="AD31" s="14">
        <f>Z31*in_card_fee</f>
        <v/>
      </c>
      <c r="AE31" s="40">
        <f>AE30*(1-IF(B30&gt;=in_marketplace_from,d_hz_hlth_small*G30,0))</f>
        <v/>
      </c>
      <c r="AF31" s="46">
        <f>AE31*IF(B31&gt;=in_marketplace_from,d_hz_hlth_small*G31,0)</f>
        <v/>
      </c>
      <c r="AG31" s="14">
        <f>F31*AF31*in_hlth_small_ticket*in_hlth_small_comm*in_ins_partner_share+F31*in_hlth_small_ticket*in_hlth_small_renew_comm*in_ins_partner_share*(in_hlth_small_renew^1*SUMIFS(AF2:AF61,B2:B61,B31-12)+in_hlth_small_renew^2*SUMIFS(AF2:AF61,B2:B61,B31-24)+in_hlth_small_renew^3*SUMIFS(AF2:AF61,B2:B61,B31-36)+in_hlth_small_renew^4*SUMIFS(AF2:AF61,B2:B61,B31-48))</f>
        <v/>
      </c>
      <c r="AH31" s="40">
        <f>AH30*(1-IF(B30&gt;=in_marketplace_from,d_hz_hlth_family*G30,0))</f>
        <v/>
      </c>
      <c r="AI31" s="46">
        <f>AH31*IF(B31&gt;=in_marketplace_from,d_hz_hlth_family*G31,0)</f>
        <v/>
      </c>
      <c r="AJ31" s="14">
        <f>F31*AI31*in_hlth_family_ticket*in_hlth_family_comm*in_ins_partner_share+F31*in_hlth_family_ticket*in_hlth_family_renew_comm*in_ins_partner_share*(in_hlth_family_renew^1*SUMIFS(AI2:AI61,B2:B61,B31-12)+in_hlth_family_renew^2*SUMIFS(AI2:AI61,B2:B61,B31-24)+in_hlth_family_renew^3*SUMIFS(AI2:AI61,B2:B61,B31-36)+in_hlth_family_renew^4*SUMIFS(AI2:AI61,B2:B61,B31-48))</f>
        <v/>
      </c>
      <c r="AK31" s="40">
        <f>AK30*(1-IF(B30&gt;=in_marketplace_from,d_hz_life_term*G30,0))</f>
        <v/>
      </c>
      <c r="AL31" s="46">
        <f>AK31*IF(B31&gt;=in_marketplace_from,d_hz_life_term*G31,0)</f>
        <v/>
      </c>
      <c r="AM31" s="14">
        <f>F31*AL31*in_life_term_ticket*in_life_term_comm*in_ins_partner_share+F31*in_life_term_ticket*in_life_term_renew_comm*in_ins_partner_share*(in_life_term_renew^1*SUMIFS(AL2:AL61,B2:B61,B31-12)+in_life_term_renew^2*SUMIFS(AL2:AL61,B2:B61,B31-24)+in_life_term_renew^3*SUMIFS(AL2:AL61,B2:B61,B31-36)+in_life_term_renew^4*SUMIFS(AL2:AL61,B2:B61,B31-48))</f>
        <v/>
      </c>
      <c r="AN31" s="40">
        <f>AN30*(1-IF(B30&gt;=in_marketplace_from,d_hz_accident*G30,0))</f>
        <v/>
      </c>
      <c r="AO31" s="46">
        <f>AN31*IF(B31&gt;=in_marketplace_from,d_hz_accident*G31,0)</f>
        <v/>
      </c>
      <c r="AP31" s="14">
        <f>F31*AO31*in_accident_ticket*in_accident_comm*in_ins_partner_share+F31*in_accident_ticket*in_accident_renew_comm*in_ins_partner_share*(in_accident_renew^1*SUMIFS(AO2:AO61,B2:B61,B31-12)+in_accident_renew^2*SUMIFS(AO2:AO61,B2:B61,B31-24)+in_accident_renew^3*SUMIFS(AO2:AO61,B2:B61,B31-36)+in_accident_renew^4*SUMIFS(AO2:AO61,B2:B61,B31-48))</f>
        <v/>
      </c>
      <c r="AQ31" s="40">
        <f>AQ30*(1-IF(B30&gt;=in_marketplace_from,d_hz_two_wheeler*G30,0))</f>
        <v/>
      </c>
      <c r="AR31" s="46">
        <f>AQ31*IF(B31&gt;=in_marketplace_from,d_hz_two_wheeler*G31,0)</f>
        <v/>
      </c>
      <c r="AS31" s="14">
        <f>F31*AR31*in_two_wheeler_ticket*in_two_wheeler_comm*in_ins_partner_share+F31*in_two_wheeler_ticket*in_two_wheeler_comm*in_ins_partner_share*(in_two_wheeler_renew^1*SUMIFS(AR2:AR61,B2:B61,B31-12)+in_two_wheeler_renew^2*SUMIFS(AR2:AR61,B2:B61,B31-24)+in_two_wheeler_renew^3*SUMIFS(AR2:AR61,B2:B61,B31-36)+in_two_wheeler_renew^4*SUMIFS(AR2:AR61,B2:B61,B31-48))</f>
        <v/>
      </c>
      <c r="AT31" s="40">
        <f>AT30*(1-IF(B30&gt;=in_marketplace_from,d_hz_device*G30,0))</f>
        <v/>
      </c>
      <c r="AU31" s="14">
        <f>F31*AT31*IF(B31&gt;=in_marketplace_from,d_hz_device*G31,0)*in_device_ticket*in_device_comm*in_ins_partner_share</f>
        <v/>
      </c>
      <c r="AV31" s="40">
        <f>AV30*(1-IF(B30&gt;=in_marketplace_from,d_hz_shop*G30,0))</f>
        <v/>
      </c>
      <c r="AW31" s="46">
        <f>AV31*IF(B31&gt;=in_marketplace_from,d_hz_shop*G31,0)</f>
        <v/>
      </c>
      <c r="AX31" s="14">
        <f>F31*AW31*in_shop_ticket*in_shop_comm*in_ins_partner_share+F31*in_shop_ticket*in_shop_renew_comm*in_ins_partner_share*(in_shop_renew^1*SUMIFS(AW2:AW61,B2:B61,B31-12)+in_shop_renew^2*SUMIFS(AW2:AW61,B2:B61,B31-24)+in_shop_renew^3*SUMIFS(AW2:AW61,B2:B61,B31-36)+in_shop_renew^4*SUMIFS(AW2:AW61,B2:B61,B31-48))</f>
        <v/>
      </c>
      <c r="AY31" s="40">
        <f>AY30*(1-IF(B30&gt;=in_marketplace_from,d_hz_sip*G30,0))</f>
        <v/>
      </c>
      <c r="AZ31" s="40">
        <f>AZ30*d_rho_sip+AY31*IF(B31&gt;=in_marketplace_from,d_hz_sip*G31,0)</f>
        <v/>
      </c>
      <c r="BA31" s="40">
        <f>d_rho_sip*(BA30+AZ30)</f>
        <v/>
      </c>
      <c r="BB31" s="14">
        <f>F31*in_sip_ticket*(BA31+0.5*AZ31)*in_sip_comm/12</f>
        <v/>
      </c>
      <c r="BC31" s="40">
        <f>BC30*(1-IF(B30&gt;=in_marketplace_from,d_hz_choti*G30,0))</f>
        <v/>
      </c>
      <c r="BD31" s="46">
        <f>BC31*IF(B31&gt;=in_marketplace_from,d_hz_choti*G31,0)</f>
        <v/>
      </c>
      <c r="BE31" s="14">
        <f>F31*SUMIFS(BD2:BD61,B2:B61,B31-in_choti_months)*in_choti_renew*in_choti_ticket</f>
        <v/>
      </c>
      <c r="BF31" s="40">
        <f>BF30*(1-IF(B30&gt;=in_marketplace_from,d_hz_nps*G30,0))</f>
        <v/>
      </c>
      <c r="BG31" s="14">
        <f>F31*BF31*IF(B31&gt;=in_marketplace_from,d_hz_nps*G31,0)*in_nps_ticket*in_nps_comm</f>
        <v/>
      </c>
      <c r="BH31" s="40">
        <f>BH30*(1-IF(B30&gt;=in_marketplace_from,d_hz_gold*G30,0))</f>
        <v/>
      </c>
      <c r="BI31" s="40">
        <f>BI30*d_rho_gold+BH31*IF(B31&gt;=in_marketplace_from,d_hz_gold*G31,0)</f>
        <v/>
      </c>
      <c r="BJ31" s="14">
        <f>F31*BI31*in_gold_ticket*in_gold_comm</f>
        <v/>
      </c>
      <c r="BK31" s="40">
        <f>BK30*(1-IF(B30&gt;=in_marketplace_from,d_hz_fd*G30,0))</f>
        <v/>
      </c>
      <c r="BL31" s="14">
        <f>F31*BK31*IF(B31&gt;=in_marketplace_from,d_hz_fd*G31,0)*in_fd_ticket*in_fd_comm</f>
        <v/>
      </c>
      <c r="BM31" s="40">
        <f>BM30*(1-IF(B30&gt;=in_marketplace_from,d_hz_recharge*G30,0))</f>
        <v/>
      </c>
      <c r="BN31" s="40">
        <f>BN30*d_rho_recharge+BM31*IF(B31&gt;=in_marketplace_from,d_hz_recharge*G31,0)</f>
        <v/>
      </c>
      <c r="BO31" s="14">
        <f>F31*BN31*in_recharge_ticket*in_recharge_comm/12</f>
        <v/>
      </c>
      <c r="BP31" s="40">
        <f>BP30*(1-IF(B30&gt;=in_marketplace_from,d_hz_bills*G30,0))</f>
        <v/>
      </c>
      <c r="BQ31" s="40">
        <f>BQ30*d_rho_bills+BP31*IF(B31&gt;=in_marketplace_from,d_hz_bills*G31,0)</f>
        <v/>
      </c>
      <c r="BR31" s="14">
        <f>F31*BQ31*in_bills_ticket*in_bills_comm/12</f>
        <v/>
      </c>
      <c r="BS31" s="40">
        <f>BS30*(1-IF(B30&gt;=in_marketplace_from,d_hz_loan_gold*G30,0))</f>
        <v/>
      </c>
      <c r="BT31" s="14">
        <f>F31*BS31*IF(B31&gt;=in_marketplace_from,d_hz_loan_gold*G31,0)*in_loan_gold_ticket*in_loan_gold_comm</f>
        <v/>
      </c>
      <c r="BU31" s="40">
        <f>BU30*(1-IF(B30&gt;=in_marketplace_from,d_hz_loan_cd*G30,0))</f>
        <v/>
      </c>
      <c r="BV31" s="14">
        <f>F31*BU31*IF(B31&gt;=in_marketplace_from,d_hz_loan_cd*G31,0)*in_loan_cd_ticket*in_loan_cd_comm</f>
        <v/>
      </c>
      <c r="BW31" s="40">
        <f>BW30*(1-IF(B30&gt;=in_marketplace_from,d_hz_loan_vehicle*G30,0))</f>
        <v/>
      </c>
      <c r="BX31" s="14">
        <f>F31*BW31*IF(B31&gt;=in_marketplace_from,d_hz_loan_vehicle*G31,0)*in_loan_vehicle_ticket*in_loan_vehicle_comm</f>
        <v/>
      </c>
      <c r="BY31" s="40">
        <f>BY30*(1-IF(B30&gt;=in_marketplace_from,d_hz_loan_home*G30,0)*BZ30)</f>
        <v/>
      </c>
      <c r="BZ31" s="11">
        <f>MIN(in_approval_cap,in_loan_home_approval*INDEX('Age profile'!$O$2:$O$61,B31)*(1+in_approval_growth)^(D31-1))</f>
        <v/>
      </c>
      <c r="CA31" s="14">
        <f>F31*BY31*IF(B31&gt;=in_marketplace_from,d_hz_loan_home*G31,0)*BZ31*in_loan_home_ticket*in_loan_home_comm</f>
        <v/>
      </c>
      <c r="CB31" s="40">
        <f>CB30*(1-IF(B30&gt;=in_marketplace_from,d_hz_loan_lap*G30,0)*CC30)</f>
        <v/>
      </c>
      <c r="CC31" s="11">
        <f>MIN(in_approval_cap,in_loan_lap_approval*INDEX('Age profile'!$O$2:$O$61,B31)*(1+in_approval_growth)^(D31-1))</f>
        <v/>
      </c>
      <c r="CD31" s="14">
        <f>F31*CB31*IF(B31&gt;=in_marketplace_from,d_hz_loan_lap*G31,0)*CC31*in_loan_lap_ticket*in_loan_lap_comm</f>
        <v/>
      </c>
      <c r="CE31" s="14">
        <f>AA31+AB31+AC31+AD31+AG31+AJ31+AM31+AP31+AS31+AU31+AX31+BB31+BE31+BG31+BJ31+BL31+BO31+BR31+BT31+BV31+BX31+CA31+CD31</f>
        <v/>
      </c>
    </row>
    <row r="32">
      <c r="A32" s="39" t="n">
        <v>1</v>
      </c>
      <c r="B32" s="39" t="n">
        <v>31</v>
      </c>
      <c r="C32" s="39">
        <f>A32+B32-1</f>
        <v/>
      </c>
      <c r="D32" s="39">
        <f>INT((C32-1)/12)+1</f>
        <v/>
      </c>
      <c r="E32" s="44">
        <f>INDEX(Monthly!$B$2:$B$61,A32)</f>
        <v/>
      </c>
      <c r="F32" s="44">
        <f>E32*INDEX('Age profile'!$B$2:$B$61,B32)</f>
        <v/>
      </c>
      <c r="G32" s="45">
        <f>MIN(in_takeup_cap,INDEX('Age profile'!$N$2:$N$61,B32)*(1+in_takeup_growth)^(D32-1))</f>
        <v/>
      </c>
      <c r="H32" s="11">
        <f>MIN(in_approval_cap,in_approved_first*INDEX('Age profile'!$O$2:$O$61,B32)*(1+in_approval_growth)^(D32-1))</f>
        <v/>
      </c>
      <c r="I32" s="45">
        <f>G32*MIN(in_takeup_cap,INDEX('Age profile'!$O$2:$O$61,B32)*(1+in_approval_growth)^(D32-1))</f>
        <v/>
      </c>
      <c r="J32" s="40">
        <f>(J31-L31)*F32/F31</f>
        <v/>
      </c>
      <c r="K32" s="40">
        <f>(K31-M31)*F32/F31+SUMIFS(O2:O31,B2:B31,B32-1-d_T)*F32</f>
        <v/>
      </c>
      <c r="L32" s="40">
        <f>IF(B32&gt;=in_marketplace_from,J32*d_hz*G32*in_eligible*H32,0)</f>
        <v/>
      </c>
      <c r="M32" s="40">
        <f>IF(B32&gt;=in_marketplace_from,K32*d_hz*G32*in_eligible*in_approved_repeat,0)</f>
        <v/>
      </c>
      <c r="N32" s="40">
        <f>L32+M32</f>
        <v/>
      </c>
      <c r="O32" s="46">
        <f>N32/F32</f>
        <v/>
      </c>
      <c r="P32" s="40">
        <f>F32-J32-K32</f>
        <v/>
      </c>
      <c r="Q32" s="40">
        <f>IF(B32&gt;=in_marketplace_from,(J32+K32)*d_hz*G32,0)</f>
        <v/>
      </c>
      <c r="R32" s="40">
        <f>SUMIFS(N2:N61,B2:B61,"&gt;="&amp;(B32-d_T),B2:B61,"&lt;="&amp;(B32-1))</f>
        <v/>
      </c>
      <c r="S32" s="46">
        <f>(1-d_u)*S31+IF(d_T&gt;in_topup_lag,SUMIFS(O2:O61,B2:B61,B32-in_topup_lag)-d_udrop*SUMIFS(O2:O61,B2:B61,B32-d_T),0)</f>
        <v/>
      </c>
      <c r="T32" s="40">
        <f>F32*d_u*S32</f>
        <v/>
      </c>
      <c r="U32" s="9">
        <f>L32*in_ticket+M32*d_rep_ticket</f>
        <v/>
      </c>
      <c r="V32" s="9">
        <f>U32+T32*d_topup_amt</f>
        <v/>
      </c>
      <c r="W32" s="40">
        <f>N32+T32*d_topup_ratio</f>
        <v/>
      </c>
      <c r="X32" s="40">
        <f>SUMIFS(W2:W61,B2:B61,B32-in_dpd_lag)*d_cured</f>
        <v/>
      </c>
      <c r="Y32" s="40">
        <f>SUMIFS(W2:W61,B2:B61,B32-in_rec_lag)*d_recd</f>
        <v/>
      </c>
      <c r="Z32" s="40">
        <f>IF(AND(B32&gt;=in_marketplace_from,B32&lt;in_marketplace_from+in_card_months),in_card_share/in_card_months*F32*I32,IF(AND(B32&gt;=in_marketplace_from+in_card_months,B32&lt;in_marketplace_from+2*in_card_months),in_card_share*d_card_rem/in_card_months*F32*MIN(in_takeup_cap,(1+in_takeup_growth)^(D32-1))*MIN(in_takeup_cap,(1+in_approval_growth)^(D32-1)),0))</f>
        <v/>
      </c>
      <c r="AA32" s="14">
        <f>V32*in_fee*(1-in_taken_back)</f>
        <v/>
      </c>
      <c r="AB32" s="14">
        <f>SUMIFS(W2:W61,B2:B61,B32-in_dpd_lag)*d_dpd</f>
        <v/>
      </c>
      <c r="AC32" s="14">
        <f>SUMIFS(W2:W61,B2:B61,B32-in_rec_lag)*d_rec</f>
        <v/>
      </c>
      <c r="AD32" s="14">
        <f>Z32*in_card_fee</f>
        <v/>
      </c>
      <c r="AE32" s="40">
        <f>AE31*(1-IF(B31&gt;=in_marketplace_from,d_hz_hlth_small*G31,0))</f>
        <v/>
      </c>
      <c r="AF32" s="46">
        <f>AE32*IF(B32&gt;=in_marketplace_from,d_hz_hlth_small*G32,0)</f>
        <v/>
      </c>
      <c r="AG32" s="14">
        <f>F32*AF32*in_hlth_small_ticket*in_hlth_small_comm*in_ins_partner_share+F32*in_hlth_small_ticket*in_hlth_small_renew_comm*in_ins_partner_share*(in_hlth_small_renew^1*SUMIFS(AF2:AF61,B2:B61,B32-12)+in_hlth_small_renew^2*SUMIFS(AF2:AF61,B2:B61,B32-24)+in_hlth_small_renew^3*SUMIFS(AF2:AF61,B2:B61,B32-36)+in_hlth_small_renew^4*SUMIFS(AF2:AF61,B2:B61,B32-48))</f>
        <v/>
      </c>
      <c r="AH32" s="40">
        <f>AH31*(1-IF(B31&gt;=in_marketplace_from,d_hz_hlth_family*G31,0))</f>
        <v/>
      </c>
      <c r="AI32" s="46">
        <f>AH32*IF(B32&gt;=in_marketplace_from,d_hz_hlth_family*G32,0)</f>
        <v/>
      </c>
      <c r="AJ32" s="14">
        <f>F32*AI32*in_hlth_family_ticket*in_hlth_family_comm*in_ins_partner_share+F32*in_hlth_family_ticket*in_hlth_family_renew_comm*in_ins_partner_share*(in_hlth_family_renew^1*SUMIFS(AI2:AI61,B2:B61,B32-12)+in_hlth_family_renew^2*SUMIFS(AI2:AI61,B2:B61,B32-24)+in_hlth_family_renew^3*SUMIFS(AI2:AI61,B2:B61,B32-36)+in_hlth_family_renew^4*SUMIFS(AI2:AI61,B2:B61,B32-48))</f>
        <v/>
      </c>
      <c r="AK32" s="40">
        <f>AK31*(1-IF(B31&gt;=in_marketplace_from,d_hz_life_term*G31,0))</f>
        <v/>
      </c>
      <c r="AL32" s="46">
        <f>AK32*IF(B32&gt;=in_marketplace_from,d_hz_life_term*G32,0)</f>
        <v/>
      </c>
      <c r="AM32" s="14">
        <f>F32*AL32*in_life_term_ticket*in_life_term_comm*in_ins_partner_share+F32*in_life_term_ticket*in_life_term_renew_comm*in_ins_partner_share*(in_life_term_renew^1*SUMIFS(AL2:AL61,B2:B61,B32-12)+in_life_term_renew^2*SUMIFS(AL2:AL61,B2:B61,B32-24)+in_life_term_renew^3*SUMIFS(AL2:AL61,B2:B61,B32-36)+in_life_term_renew^4*SUMIFS(AL2:AL61,B2:B61,B32-48))</f>
        <v/>
      </c>
      <c r="AN32" s="40">
        <f>AN31*(1-IF(B31&gt;=in_marketplace_from,d_hz_accident*G31,0))</f>
        <v/>
      </c>
      <c r="AO32" s="46">
        <f>AN32*IF(B32&gt;=in_marketplace_from,d_hz_accident*G32,0)</f>
        <v/>
      </c>
      <c r="AP32" s="14">
        <f>F32*AO32*in_accident_ticket*in_accident_comm*in_ins_partner_share+F32*in_accident_ticket*in_accident_renew_comm*in_ins_partner_share*(in_accident_renew^1*SUMIFS(AO2:AO61,B2:B61,B32-12)+in_accident_renew^2*SUMIFS(AO2:AO61,B2:B61,B32-24)+in_accident_renew^3*SUMIFS(AO2:AO61,B2:B61,B32-36)+in_accident_renew^4*SUMIFS(AO2:AO61,B2:B61,B32-48))</f>
        <v/>
      </c>
      <c r="AQ32" s="40">
        <f>AQ31*(1-IF(B31&gt;=in_marketplace_from,d_hz_two_wheeler*G31,0))</f>
        <v/>
      </c>
      <c r="AR32" s="46">
        <f>AQ32*IF(B32&gt;=in_marketplace_from,d_hz_two_wheeler*G32,0)</f>
        <v/>
      </c>
      <c r="AS32" s="14">
        <f>F32*AR32*in_two_wheeler_ticket*in_two_wheeler_comm*in_ins_partner_share+F32*in_two_wheeler_ticket*in_two_wheeler_comm*in_ins_partner_share*(in_two_wheeler_renew^1*SUMIFS(AR2:AR61,B2:B61,B32-12)+in_two_wheeler_renew^2*SUMIFS(AR2:AR61,B2:B61,B32-24)+in_two_wheeler_renew^3*SUMIFS(AR2:AR61,B2:B61,B32-36)+in_two_wheeler_renew^4*SUMIFS(AR2:AR61,B2:B61,B32-48))</f>
        <v/>
      </c>
      <c r="AT32" s="40">
        <f>AT31*(1-IF(B31&gt;=in_marketplace_from,d_hz_device*G31,0))</f>
        <v/>
      </c>
      <c r="AU32" s="14">
        <f>F32*AT32*IF(B32&gt;=in_marketplace_from,d_hz_device*G32,0)*in_device_ticket*in_device_comm*in_ins_partner_share</f>
        <v/>
      </c>
      <c r="AV32" s="40">
        <f>AV31*(1-IF(B31&gt;=in_marketplace_from,d_hz_shop*G31,0))</f>
        <v/>
      </c>
      <c r="AW32" s="46">
        <f>AV32*IF(B32&gt;=in_marketplace_from,d_hz_shop*G32,0)</f>
        <v/>
      </c>
      <c r="AX32" s="14">
        <f>F32*AW32*in_shop_ticket*in_shop_comm*in_ins_partner_share+F32*in_shop_ticket*in_shop_renew_comm*in_ins_partner_share*(in_shop_renew^1*SUMIFS(AW2:AW61,B2:B61,B32-12)+in_shop_renew^2*SUMIFS(AW2:AW61,B2:B61,B32-24)+in_shop_renew^3*SUMIFS(AW2:AW61,B2:B61,B32-36)+in_shop_renew^4*SUMIFS(AW2:AW61,B2:B61,B32-48))</f>
        <v/>
      </c>
      <c r="AY32" s="40">
        <f>AY31*(1-IF(B31&gt;=in_marketplace_from,d_hz_sip*G31,0))</f>
        <v/>
      </c>
      <c r="AZ32" s="40">
        <f>AZ31*d_rho_sip+AY32*IF(B32&gt;=in_marketplace_from,d_hz_sip*G32,0)</f>
        <v/>
      </c>
      <c r="BA32" s="40">
        <f>d_rho_sip*(BA31+AZ31)</f>
        <v/>
      </c>
      <c r="BB32" s="14">
        <f>F32*in_sip_ticket*(BA32+0.5*AZ32)*in_sip_comm/12</f>
        <v/>
      </c>
      <c r="BC32" s="40">
        <f>BC31*(1-IF(B31&gt;=in_marketplace_from,d_hz_choti*G31,0))</f>
        <v/>
      </c>
      <c r="BD32" s="46">
        <f>BC32*IF(B32&gt;=in_marketplace_from,d_hz_choti*G32,0)</f>
        <v/>
      </c>
      <c r="BE32" s="14">
        <f>F32*SUMIFS(BD2:BD61,B2:B61,B32-in_choti_months)*in_choti_renew*in_choti_ticket</f>
        <v/>
      </c>
      <c r="BF32" s="40">
        <f>BF31*(1-IF(B31&gt;=in_marketplace_from,d_hz_nps*G31,0))</f>
        <v/>
      </c>
      <c r="BG32" s="14">
        <f>F32*BF32*IF(B32&gt;=in_marketplace_from,d_hz_nps*G32,0)*in_nps_ticket*in_nps_comm</f>
        <v/>
      </c>
      <c r="BH32" s="40">
        <f>BH31*(1-IF(B31&gt;=in_marketplace_from,d_hz_gold*G31,0))</f>
        <v/>
      </c>
      <c r="BI32" s="40">
        <f>BI31*d_rho_gold+BH32*IF(B32&gt;=in_marketplace_from,d_hz_gold*G32,0)</f>
        <v/>
      </c>
      <c r="BJ32" s="14">
        <f>F32*BI32*in_gold_ticket*in_gold_comm</f>
        <v/>
      </c>
      <c r="BK32" s="40">
        <f>BK31*(1-IF(B31&gt;=in_marketplace_from,d_hz_fd*G31,0))</f>
        <v/>
      </c>
      <c r="BL32" s="14">
        <f>F32*BK32*IF(B32&gt;=in_marketplace_from,d_hz_fd*G32,0)*in_fd_ticket*in_fd_comm</f>
        <v/>
      </c>
      <c r="BM32" s="40">
        <f>BM31*(1-IF(B31&gt;=in_marketplace_from,d_hz_recharge*G31,0))</f>
        <v/>
      </c>
      <c r="BN32" s="40">
        <f>BN31*d_rho_recharge+BM32*IF(B32&gt;=in_marketplace_from,d_hz_recharge*G32,0)</f>
        <v/>
      </c>
      <c r="BO32" s="14">
        <f>F32*BN32*in_recharge_ticket*in_recharge_comm/12</f>
        <v/>
      </c>
      <c r="BP32" s="40">
        <f>BP31*(1-IF(B31&gt;=in_marketplace_from,d_hz_bills*G31,0))</f>
        <v/>
      </c>
      <c r="BQ32" s="40">
        <f>BQ31*d_rho_bills+BP32*IF(B32&gt;=in_marketplace_from,d_hz_bills*G32,0)</f>
        <v/>
      </c>
      <c r="BR32" s="14">
        <f>F32*BQ32*in_bills_ticket*in_bills_comm/12</f>
        <v/>
      </c>
      <c r="BS32" s="40">
        <f>BS31*(1-IF(B31&gt;=in_marketplace_from,d_hz_loan_gold*G31,0))</f>
        <v/>
      </c>
      <c r="BT32" s="14">
        <f>F32*BS32*IF(B32&gt;=in_marketplace_from,d_hz_loan_gold*G32,0)*in_loan_gold_ticket*in_loan_gold_comm</f>
        <v/>
      </c>
      <c r="BU32" s="40">
        <f>BU31*(1-IF(B31&gt;=in_marketplace_from,d_hz_loan_cd*G31,0))</f>
        <v/>
      </c>
      <c r="BV32" s="14">
        <f>F32*BU32*IF(B32&gt;=in_marketplace_from,d_hz_loan_cd*G32,0)*in_loan_cd_ticket*in_loan_cd_comm</f>
        <v/>
      </c>
      <c r="BW32" s="40">
        <f>BW31*(1-IF(B31&gt;=in_marketplace_from,d_hz_loan_vehicle*G31,0))</f>
        <v/>
      </c>
      <c r="BX32" s="14">
        <f>F32*BW32*IF(B32&gt;=in_marketplace_from,d_hz_loan_vehicle*G32,0)*in_loan_vehicle_ticket*in_loan_vehicle_comm</f>
        <v/>
      </c>
      <c r="BY32" s="40">
        <f>BY31*(1-IF(B31&gt;=in_marketplace_from,d_hz_loan_home*G31,0)*BZ31)</f>
        <v/>
      </c>
      <c r="BZ32" s="11">
        <f>MIN(in_approval_cap,in_loan_home_approval*INDEX('Age profile'!$O$2:$O$61,B32)*(1+in_approval_growth)^(D32-1))</f>
        <v/>
      </c>
      <c r="CA32" s="14">
        <f>F32*BY32*IF(B32&gt;=in_marketplace_from,d_hz_loan_home*G32,0)*BZ32*in_loan_home_ticket*in_loan_home_comm</f>
        <v/>
      </c>
      <c r="CB32" s="40">
        <f>CB31*(1-IF(B31&gt;=in_marketplace_from,d_hz_loan_lap*G31,0)*CC31)</f>
        <v/>
      </c>
      <c r="CC32" s="11">
        <f>MIN(in_approval_cap,in_loan_lap_approval*INDEX('Age profile'!$O$2:$O$61,B32)*(1+in_approval_growth)^(D32-1))</f>
        <v/>
      </c>
      <c r="CD32" s="14">
        <f>F32*CB32*IF(B32&gt;=in_marketplace_from,d_hz_loan_lap*G32,0)*CC32*in_loan_lap_ticket*in_loan_lap_comm</f>
        <v/>
      </c>
      <c r="CE32" s="14">
        <f>AA32+AB32+AC32+AD32+AG32+AJ32+AM32+AP32+AS32+AU32+AX32+BB32+BE32+BG32+BJ32+BL32+BO32+BR32+BT32+BV32+BX32+CA32+CD32</f>
        <v/>
      </c>
    </row>
    <row r="33">
      <c r="A33" s="39" t="n">
        <v>1</v>
      </c>
      <c r="B33" s="39" t="n">
        <v>32</v>
      </c>
      <c r="C33" s="39">
        <f>A33+B33-1</f>
        <v/>
      </c>
      <c r="D33" s="39">
        <f>INT((C33-1)/12)+1</f>
        <v/>
      </c>
      <c r="E33" s="44">
        <f>INDEX(Monthly!$B$2:$B$61,A33)</f>
        <v/>
      </c>
      <c r="F33" s="44">
        <f>E33*INDEX('Age profile'!$B$2:$B$61,B33)</f>
        <v/>
      </c>
      <c r="G33" s="45">
        <f>MIN(in_takeup_cap,INDEX('Age profile'!$N$2:$N$61,B33)*(1+in_takeup_growth)^(D33-1))</f>
        <v/>
      </c>
      <c r="H33" s="11">
        <f>MIN(in_approval_cap,in_approved_first*INDEX('Age profile'!$O$2:$O$61,B33)*(1+in_approval_growth)^(D33-1))</f>
        <v/>
      </c>
      <c r="I33" s="45">
        <f>G33*MIN(in_takeup_cap,INDEX('Age profile'!$O$2:$O$61,B33)*(1+in_approval_growth)^(D33-1))</f>
        <v/>
      </c>
      <c r="J33" s="40">
        <f>(J32-L32)*F33/F32</f>
        <v/>
      </c>
      <c r="K33" s="40">
        <f>(K32-M32)*F33/F32+SUMIFS(O2:O32,B2:B32,B33-1-d_T)*F33</f>
        <v/>
      </c>
      <c r="L33" s="40">
        <f>IF(B33&gt;=in_marketplace_from,J33*d_hz*G33*in_eligible*H33,0)</f>
        <v/>
      </c>
      <c r="M33" s="40">
        <f>IF(B33&gt;=in_marketplace_from,K33*d_hz*G33*in_eligible*in_approved_repeat,0)</f>
        <v/>
      </c>
      <c r="N33" s="40">
        <f>L33+M33</f>
        <v/>
      </c>
      <c r="O33" s="46">
        <f>N33/F33</f>
        <v/>
      </c>
      <c r="P33" s="40">
        <f>F33-J33-K33</f>
        <v/>
      </c>
      <c r="Q33" s="40">
        <f>IF(B33&gt;=in_marketplace_from,(J33+K33)*d_hz*G33,0)</f>
        <v/>
      </c>
      <c r="R33" s="40">
        <f>SUMIFS(N2:N61,B2:B61,"&gt;="&amp;(B33-d_T),B2:B61,"&lt;="&amp;(B33-1))</f>
        <v/>
      </c>
      <c r="S33" s="46">
        <f>(1-d_u)*S32+IF(d_T&gt;in_topup_lag,SUMIFS(O2:O61,B2:B61,B33-in_topup_lag)-d_udrop*SUMIFS(O2:O61,B2:B61,B33-d_T),0)</f>
        <v/>
      </c>
      <c r="T33" s="40">
        <f>F33*d_u*S33</f>
        <v/>
      </c>
      <c r="U33" s="9">
        <f>L33*in_ticket+M33*d_rep_ticket</f>
        <v/>
      </c>
      <c r="V33" s="9">
        <f>U33+T33*d_topup_amt</f>
        <v/>
      </c>
      <c r="W33" s="40">
        <f>N33+T33*d_topup_ratio</f>
        <v/>
      </c>
      <c r="X33" s="40">
        <f>SUMIFS(W2:W61,B2:B61,B33-in_dpd_lag)*d_cured</f>
        <v/>
      </c>
      <c r="Y33" s="40">
        <f>SUMIFS(W2:W61,B2:B61,B33-in_rec_lag)*d_recd</f>
        <v/>
      </c>
      <c r="Z33" s="40">
        <f>IF(AND(B33&gt;=in_marketplace_from,B33&lt;in_marketplace_from+in_card_months),in_card_share/in_card_months*F33*I33,IF(AND(B33&gt;=in_marketplace_from+in_card_months,B33&lt;in_marketplace_from+2*in_card_months),in_card_share*d_card_rem/in_card_months*F33*MIN(in_takeup_cap,(1+in_takeup_growth)^(D33-1))*MIN(in_takeup_cap,(1+in_approval_growth)^(D33-1)),0))</f>
        <v/>
      </c>
      <c r="AA33" s="14">
        <f>V33*in_fee*(1-in_taken_back)</f>
        <v/>
      </c>
      <c r="AB33" s="14">
        <f>SUMIFS(W2:W61,B2:B61,B33-in_dpd_lag)*d_dpd</f>
        <v/>
      </c>
      <c r="AC33" s="14">
        <f>SUMIFS(W2:W61,B2:B61,B33-in_rec_lag)*d_rec</f>
        <v/>
      </c>
      <c r="AD33" s="14">
        <f>Z33*in_card_fee</f>
        <v/>
      </c>
      <c r="AE33" s="40">
        <f>AE32*(1-IF(B32&gt;=in_marketplace_from,d_hz_hlth_small*G32,0))</f>
        <v/>
      </c>
      <c r="AF33" s="46">
        <f>AE33*IF(B33&gt;=in_marketplace_from,d_hz_hlth_small*G33,0)</f>
        <v/>
      </c>
      <c r="AG33" s="14">
        <f>F33*AF33*in_hlth_small_ticket*in_hlth_small_comm*in_ins_partner_share+F33*in_hlth_small_ticket*in_hlth_small_renew_comm*in_ins_partner_share*(in_hlth_small_renew^1*SUMIFS(AF2:AF61,B2:B61,B33-12)+in_hlth_small_renew^2*SUMIFS(AF2:AF61,B2:B61,B33-24)+in_hlth_small_renew^3*SUMIFS(AF2:AF61,B2:B61,B33-36)+in_hlth_small_renew^4*SUMIFS(AF2:AF61,B2:B61,B33-48))</f>
        <v/>
      </c>
      <c r="AH33" s="40">
        <f>AH32*(1-IF(B32&gt;=in_marketplace_from,d_hz_hlth_family*G32,0))</f>
        <v/>
      </c>
      <c r="AI33" s="46">
        <f>AH33*IF(B33&gt;=in_marketplace_from,d_hz_hlth_family*G33,0)</f>
        <v/>
      </c>
      <c r="AJ33" s="14">
        <f>F33*AI33*in_hlth_family_ticket*in_hlth_family_comm*in_ins_partner_share+F33*in_hlth_family_ticket*in_hlth_family_renew_comm*in_ins_partner_share*(in_hlth_family_renew^1*SUMIFS(AI2:AI61,B2:B61,B33-12)+in_hlth_family_renew^2*SUMIFS(AI2:AI61,B2:B61,B33-24)+in_hlth_family_renew^3*SUMIFS(AI2:AI61,B2:B61,B33-36)+in_hlth_family_renew^4*SUMIFS(AI2:AI61,B2:B61,B33-48))</f>
        <v/>
      </c>
      <c r="AK33" s="40">
        <f>AK32*(1-IF(B32&gt;=in_marketplace_from,d_hz_life_term*G32,0))</f>
        <v/>
      </c>
      <c r="AL33" s="46">
        <f>AK33*IF(B33&gt;=in_marketplace_from,d_hz_life_term*G33,0)</f>
        <v/>
      </c>
      <c r="AM33" s="14">
        <f>F33*AL33*in_life_term_ticket*in_life_term_comm*in_ins_partner_share+F33*in_life_term_ticket*in_life_term_renew_comm*in_ins_partner_share*(in_life_term_renew^1*SUMIFS(AL2:AL61,B2:B61,B33-12)+in_life_term_renew^2*SUMIFS(AL2:AL61,B2:B61,B33-24)+in_life_term_renew^3*SUMIFS(AL2:AL61,B2:B61,B33-36)+in_life_term_renew^4*SUMIFS(AL2:AL61,B2:B61,B33-48))</f>
        <v/>
      </c>
      <c r="AN33" s="40">
        <f>AN32*(1-IF(B32&gt;=in_marketplace_from,d_hz_accident*G32,0))</f>
        <v/>
      </c>
      <c r="AO33" s="46">
        <f>AN33*IF(B33&gt;=in_marketplace_from,d_hz_accident*G33,0)</f>
        <v/>
      </c>
      <c r="AP33" s="14">
        <f>F33*AO33*in_accident_ticket*in_accident_comm*in_ins_partner_share+F33*in_accident_ticket*in_accident_renew_comm*in_ins_partner_share*(in_accident_renew^1*SUMIFS(AO2:AO61,B2:B61,B33-12)+in_accident_renew^2*SUMIFS(AO2:AO61,B2:B61,B33-24)+in_accident_renew^3*SUMIFS(AO2:AO61,B2:B61,B33-36)+in_accident_renew^4*SUMIFS(AO2:AO61,B2:B61,B33-48))</f>
        <v/>
      </c>
      <c r="AQ33" s="40">
        <f>AQ32*(1-IF(B32&gt;=in_marketplace_from,d_hz_two_wheeler*G32,0))</f>
        <v/>
      </c>
      <c r="AR33" s="46">
        <f>AQ33*IF(B33&gt;=in_marketplace_from,d_hz_two_wheeler*G33,0)</f>
        <v/>
      </c>
      <c r="AS33" s="14">
        <f>F33*AR33*in_two_wheeler_ticket*in_two_wheeler_comm*in_ins_partner_share+F33*in_two_wheeler_ticket*in_two_wheeler_comm*in_ins_partner_share*(in_two_wheeler_renew^1*SUMIFS(AR2:AR61,B2:B61,B33-12)+in_two_wheeler_renew^2*SUMIFS(AR2:AR61,B2:B61,B33-24)+in_two_wheeler_renew^3*SUMIFS(AR2:AR61,B2:B61,B33-36)+in_two_wheeler_renew^4*SUMIFS(AR2:AR61,B2:B61,B33-48))</f>
        <v/>
      </c>
      <c r="AT33" s="40">
        <f>AT32*(1-IF(B32&gt;=in_marketplace_from,d_hz_device*G32,0))</f>
        <v/>
      </c>
      <c r="AU33" s="14">
        <f>F33*AT33*IF(B33&gt;=in_marketplace_from,d_hz_device*G33,0)*in_device_ticket*in_device_comm*in_ins_partner_share</f>
        <v/>
      </c>
      <c r="AV33" s="40">
        <f>AV32*(1-IF(B32&gt;=in_marketplace_from,d_hz_shop*G32,0))</f>
        <v/>
      </c>
      <c r="AW33" s="46">
        <f>AV33*IF(B33&gt;=in_marketplace_from,d_hz_shop*G33,0)</f>
        <v/>
      </c>
      <c r="AX33" s="14">
        <f>F33*AW33*in_shop_ticket*in_shop_comm*in_ins_partner_share+F33*in_shop_ticket*in_shop_renew_comm*in_ins_partner_share*(in_shop_renew^1*SUMIFS(AW2:AW61,B2:B61,B33-12)+in_shop_renew^2*SUMIFS(AW2:AW61,B2:B61,B33-24)+in_shop_renew^3*SUMIFS(AW2:AW61,B2:B61,B33-36)+in_shop_renew^4*SUMIFS(AW2:AW61,B2:B61,B33-48))</f>
        <v/>
      </c>
      <c r="AY33" s="40">
        <f>AY32*(1-IF(B32&gt;=in_marketplace_from,d_hz_sip*G32,0))</f>
        <v/>
      </c>
      <c r="AZ33" s="40">
        <f>AZ32*d_rho_sip+AY33*IF(B33&gt;=in_marketplace_from,d_hz_sip*G33,0)</f>
        <v/>
      </c>
      <c r="BA33" s="40">
        <f>d_rho_sip*(BA32+AZ32)</f>
        <v/>
      </c>
      <c r="BB33" s="14">
        <f>F33*in_sip_ticket*(BA33+0.5*AZ33)*in_sip_comm/12</f>
        <v/>
      </c>
      <c r="BC33" s="40">
        <f>BC32*(1-IF(B32&gt;=in_marketplace_from,d_hz_choti*G32,0))</f>
        <v/>
      </c>
      <c r="BD33" s="46">
        <f>BC33*IF(B33&gt;=in_marketplace_from,d_hz_choti*G33,0)</f>
        <v/>
      </c>
      <c r="BE33" s="14">
        <f>F33*SUMIFS(BD2:BD61,B2:B61,B33-in_choti_months)*in_choti_renew*in_choti_ticket</f>
        <v/>
      </c>
      <c r="BF33" s="40">
        <f>BF32*(1-IF(B32&gt;=in_marketplace_from,d_hz_nps*G32,0))</f>
        <v/>
      </c>
      <c r="BG33" s="14">
        <f>F33*BF33*IF(B33&gt;=in_marketplace_from,d_hz_nps*G33,0)*in_nps_ticket*in_nps_comm</f>
        <v/>
      </c>
      <c r="BH33" s="40">
        <f>BH32*(1-IF(B32&gt;=in_marketplace_from,d_hz_gold*G32,0))</f>
        <v/>
      </c>
      <c r="BI33" s="40">
        <f>BI32*d_rho_gold+BH33*IF(B33&gt;=in_marketplace_from,d_hz_gold*G33,0)</f>
        <v/>
      </c>
      <c r="BJ33" s="14">
        <f>F33*BI33*in_gold_ticket*in_gold_comm</f>
        <v/>
      </c>
      <c r="BK33" s="40">
        <f>BK32*(1-IF(B32&gt;=in_marketplace_from,d_hz_fd*G32,0))</f>
        <v/>
      </c>
      <c r="BL33" s="14">
        <f>F33*BK33*IF(B33&gt;=in_marketplace_from,d_hz_fd*G33,0)*in_fd_ticket*in_fd_comm</f>
        <v/>
      </c>
      <c r="BM33" s="40">
        <f>BM32*(1-IF(B32&gt;=in_marketplace_from,d_hz_recharge*G32,0))</f>
        <v/>
      </c>
      <c r="BN33" s="40">
        <f>BN32*d_rho_recharge+BM33*IF(B33&gt;=in_marketplace_from,d_hz_recharge*G33,0)</f>
        <v/>
      </c>
      <c r="BO33" s="14">
        <f>F33*BN33*in_recharge_ticket*in_recharge_comm/12</f>
        <v/>
      </c>
      <c r="BP33" s="40">
        <f>BP32*(1-IF(B32&gt;=in_marketplace_from,d_hz_bills*G32,0))</f>
        <v/>
      </c>
      <c r="BQ33" s="40">
        <f>BQ32*d_rho_bills+BP33*IF(B33&gt;=in_marketplace_from,d_hz_bills*G33,0)</f>
        <v/>
      </c>
      <c r="BR33" s="14">
        <f>F33*BQ33*in_bills_ticket*in_bills_comm/12</f>
        <v/>
      </c>
      <c r="BS33" s="40">
        <f>BS32*(1-IF(B32&gt;=in_marketplace_from,d_hz_loan_gold*G32,0))</f>
        <v/>
      </c>
      <c r="BT33" s="14">
        <f>F33*BS33*IF(B33&gt;=in_marketplace_from,d_hz_loan_gold*G33,0)*in_loan_gold_ticket*in_loan_gold_comm</f>
        <v/>
      </c>
      <c r="BU33" s="40">
        <f>BU32*(1-IF(B32&gt;=in_marketplace_from,d_hz_loan_cd*G32,0))</f>
        <v/>
      </c>
      <c r="BV33" s="14">
        <f>F33*BU33*IF(B33&gt;=in_marketplace_from,d_hz_loan_cd*G33,0)*in_loan_cd_ticket*in_loan_cd_comm</f>
        <v/>
      </c>
      <c r="BW33" s="40">
        <f>BW32*(1-IF(B32&gt;=in_marketplace_from,d_hz_loan_vehicle*G32,0))</f>
        <v/>
      </c>
      <c r="BX33" s="14">
        <f>F33*BW33*IF(B33&gt;=in_marketplace_from,d_hz_loan_vehicle*G33,0)*in_loan_vehicle_ticket*in_loan_vehicle_comm</f>
        <v/>
      </c>
      <c r="BY33" s="40">
        <f>BY32*(1-IF(B32&gt;=in_marketplace_from,d_hz_loan_home*G32,0)*BZ32)</f>
        <v/>
      </c>
      <c r="BZ33" s="11">
        <f>MIN(in_approval_cap,in_loan_home_approval*INDEX('Age profile'!$O$2:$O$61,B33)*(1+in_approval_growth)^(D33-1))</f>
        <v/>
      </c>
      <c r="CA33" s="14">
        <f>F33*BY33*IF(B33&gt;=in_marketplace_from,d_hz_loan_home*G33,0)*BZ33*in_loan_home_ticket*in_loan_home_comm</f>
        <v/>
      </c>
      <c r="CB33" s="40">
        <f>CB32*(1-IF(B32&gt;=in_marketplace_from,d_hz_loan_lap*G32,0)*CC32)</f>
        <v/>
      </c>
      <c r="CC33" s="11">
        <f>MIN(in_approval_cap,in_loan_lap_approval*INDEX('Age profile'!$O$2:$O$61,B33)*(1+in_approval_growth)^(D33-1))</f>
        <v/>
      </c>
      <c r="CD33" s="14">
        <f>F33*CB33*IF(B33&gt;=in_marketplace_from,d_hz_loan_lap*G33,0)*CC33*in_loan_lap_ticket*in_loan_lap_comm</f>
        <v/>
      </c>
      <c r="CE33" s="14">
        <f>AA33+AB33+AC33+AD33+AG33+AJ33+AM33+AP33+AS33+AU33+AX33+BB33+BE33+BG33+BJ33+BL33+BO33+BR33+BT33+BV33+BX33+CA33+CD33</f>
        <v/>
      </c>
    </row>
    <row r="34">
      <c r="A34" s="39" t="n">
        <v>1</v>
      </c>
      <c r="B34" s="39" t="n">
        <v>33</v>
      </c>
      <c r="C34" s="39">
        <f>A34+B34-1</f>
        <v/>
      </c>
      <c r="D34" s="39">
        <f>INT((C34-1)/12)+1</f>
        <v/>
      </c>
      <c r="E34" s="44">
        <f>INDEX(Monthly!$B$2:$B$61,A34)</f>
        <v/>
      </c>
      <c r="F34" s="44">
        <f>E34*INDEX('Age profile'!$B$2:$B$61,B34)</f>
        <v/>
      </c>
      <c r="G34" s="45">
        <f>MIN(in_takeup_cap,INDEX('Age profile'!$N$2:$N$61,B34)*(1+in_takeup_growth)^(D34-1))</f>
        <v/>
      </c>
      <c r="H34" s="11">
        <f>MIN(in_approval_cap,in_approved_first*INDEX('Age profile'!$O$2:$O$61,B34)*(1+in_approval_growth)^(D34-1))</f>
        <v/>
      </c>
      <c r="I34" s="45">
        <f>G34*MIN(in_takeup_cap,INDEX('Age profile'!$O$2:$O$61,B34)*(1+in_approval_growth)^(D34-1))</f>
        <v/>
      </c>
      <c r="J34" s="40">
        <f>(J33-L33)*F34/F33</f>
        <v/>
      </c>
      <c r="K34" s="40">
        <f>(K33-M33)*F34/F33+SUMIFS(O2:O33,B2:B33,B34-1-d_T)*F34</f>
        <v/>
      </c>
      <c r="L34" s="40">
        <f>IF(B34&gt;=in_marketplace_from,J34*d_hz*G34*in_eligible*H34,0)</f>
        <v/>
      </c>
      <c r="M34" s="40">
        <f>IF(B34&gt;=in_marketplace_from,K34*d_hz*G34*in_eligible*in_approved_repeat,0)</f>
        <v/>
      </c>
      <c r="N34" s="40">
        <f>L34+M34</f>
        <v/>
      </c>
      <c r="O34" s="46">
        <f>N34/F34</f>
        <v/>
      </c>
      <c r="P34" s="40">
        <f>F34-J34-K34</f>
        <v/>
      </c>
      <c r="Q34" s="40">
        <f>IF(B34&gt;=in_marketplace_from,(J34+K34)*d_hz*G34,0)</f>
        <v/>
      </c>
      <c r="R34" s="40">
        <f>SUMIFS(N2:N61,B2:B61,"&gt;="&amp;(B34-d_T),B2:B61,"&lt;="&amp;(B34-1))</f>
        <v/>
      </c>
      <c r="S34" s="46">
        <f>(1-d_u)*S33+IF(d_T&gt;in_topup_lag,SUMIFS(O2:O61,B2:B61,B34-in_topup_lag)-d_udrop*SUMIFS(O2:O61,B2:B61,B34-d_T),0)</f>
        <v/>
      </c>
      <c r="T34" s="40">
        <f>F34*d_u*S34</f>
        <v/>
      </c>
      <c r="U34" s="9">
        <f>L34*in_ticket+M34*d_rep_ticket</f>
        <v/>
      </c>
      <c r="V34" s="9">
        <f>U34+T34*d_topup_amt</f>
        <v/>
      </c>
      <c r="W34" s="40">
        <f>N34+T34*d_topup_ratio</f>
        <v/>
      </c>
      <c r="X34" s="40">
        <f>SUMIFS(W2:W61,B2:B61,B34-in_dpd_lag)*d_cured</f>
        <v/>
      </c>
      <c r="Y34" s="40">
        <f>SUMIFS(W2:W61,B2:B61,B34-in_rec_lag)*d_recd</f>
        <v/>
      </c>
      <c r="Z34" s="40">
        <f>IF(AND(B34&gt;=in_marketplace_from,B34&lt;in_marketplace_from+in_card_months),in_card_share/in_card_months*F34*I34,IF(AND(B34&gt;=in_marketplace_from+in_card_months,B34&lt;in_marketplace_from+2*in_card_months),in_card_share*d_card_rem/in_card_months*F34*MIN(in_takeup_cap,(1+in_takeup_growth)^(D34-1))*MIN(in_takeup_cap,(1+in_approval_growth)^(D34-1)),0))</f>
        <v/>
      </c>
      <c r="AA34" s="14">
        <f>V34*in_fee*(1-in_taken_back)</f>
        <v/>
      </c>
      <c r="AB34" s="14">
        <f>SUMIFS(W2:W61,B2:B61,B34-in_dpd_lag)*d_dpd</f>
        <v/>
      </c>
      <c r="AC34" s="14">
        <f>SUMIFS(W2:W61,B2:B61,B34-in_rec_lag)*d_rec</f>
        <v/>
      </c>
      <c r="AD34" s="14">
        <f>Z34*in_card_fee</f>
        <v/>
      </c>
      <c r="AE34" s="40">
        <f>AE33*(1-IF(B33&gt;=in_marketplace_from,d_hz_hlth_small*G33,0))</f>
        <v/>
      </c>
      <c r="AF34" s="46">
        <f>AE34*IF(B34&gt;=in_marketplace_from,d_hz_hlth_small*G34,0)</f>
        <v/>
      </c>
      <c r="AG34" s="14">
        <f>F34*AF34*in_hlth_small_ticket*in_hlth_small_comm*in_ins_partner_share+F34*in_hlth_small_ticket*in_hlth_small_renew_comm*in_ins_partner_share*(in_hlth_small_renew^1*SUMIFS(AF2:AF61,B2:B61,B34-12)+in_hlth_small_renew^2*SUMIFS(AF2:AF61,B2:B61,B34-24)+in_hlth_small_renew^3*SUMIFS(AF2:AF61,B2:B61,B34-36)+in_hlth_small_renew^4*SUMIFS(AF2:AF61,B2:B61,B34-48))</f>
        <v/>
      </c>
      <c r="AH34" s="40">
        <f>AH33*(1-IF(B33&gt;=in_marketplace_from,d_hz_hlth_family*G33,0))</f>
        <v/>
      </c>
      <c r="AI34" s="46">
        <f>AH34*IF(B34&gt;=in_marketplace_from,d_hz_hlth_family*G34,0)</f>
        <v/>
      </c>
      <c r="AJ34" s="14">
        <f>F34*AI34*in_hlth_family_ticket*in_hlth_family_comm*in_ins_partner_share+F34*in_hlth_family_ticket*in_hlth_family_renew_comm*in_ins_partner_share*(in_hlth_family_renew^1*SUMIFS(AI2:AI61,B2:B61,B34-12)+in_hlth_family_renew^2*SUMIFS(AI2:AI61,B2:B61,B34-24)+in_hlth_family_renew^3*SUMIFS(AI2:AI61,B2:B61,B34-36)+in_hlth_family_renew^4*SUMIFS(AI2:AI61,B2:B61,B34-48))</f>
        <v/>
      </c>
      <c r="AK34" s="40">
        <f>AK33*(1-IF(B33&gt;=in_marketplace_from,d_hz_life_term*G33,0))</f>
        <v/>
      </c>
      <c r="AL34" s="46">
        <f>AK34*IF(B34&gt;=in_marketplace_from,d_hz_life_term*G34,0)</f>
        <v/>
      </c>
      <c r="AM34" s="14">
        <f>F34*AL34*in_life_term_ticket*in_life_term_comm*in_ins_partner_share+F34*in_life_term_ticket*in_life_term_renew_comm*in_ins_partner_share*(in_life_term_renew^1*SUMIFS(AL2:AL61,B2:B61,B34-12)+in_life_term_renew^2*SUMIFS(AL2:AL61,B2:B61,B34-24)+in_life_term_renew^3*SUMIFS(AL2:AL61,B2:B61,B34-36)+in_life_term_renew^4*SUMIFS(AL2:AL61,B2:B61,B34-48))</f>
        <v/>
      </c>
      <c r="AN34" s="40">
        <f>AN33*(1-IF(B33&gt;=in_marketplace_from,d_hz_accident*G33,0))</f>
        <v/>
      </c>
      <c r="AO34" s="46">
        <f>AN34*IF(B34&gt;=in_marketplace_from,d_hz_accident*G34,0)</f>
        <v/>
      </c>
      <c r="AP34" s="14">
        <f>F34*AO34*in_accident_ticket*in_accident_comm*in_ins_partner_share+F34*in_accident_ticket*in_accident_renew_comm*in_ins_partner_share*(in_accident_renew^1*SUMIFS(AO2:AO61,B2:B61,B34-12)+in_accident_renew^2*SUMIFS(AO2:AO61,B2:B61,B34-24)+in_accident_renew^3*SUMIFS(AO2:AO61,B2:B61,B34-36)+in_accident_renew^4*SUMIFS(AO2:AO61,B2:B61,B34-48))</f>
        <v/>
      </c>
      <c r="AQ34" s="40">
        <f>AQ33*(1-IF(B33&gt;=in_marketplace_from,d_hz_two_wheeler*G33,0))</f>
        <v/>
      </c>
      <c r="AR34" s="46">
        <f>AQ34*IF(B34&gt;=in_marketplace_from,d_hz_two_wheeler*G34,0)</f>
        <v/>
      </c>
      <c r="AS34" s="14">
        <f>F34*AR34*in_two_wheeler_ticket*in_two_wheeler_comm*in_ins_partner_share+F34*in_two_wheeler_ticket*in_two_wheeler_comm*in_ins_partner_share*(in_two_wheeler_renew^1*SUMIFS(AR2:AR61,B2:B61,B34-12)+in_two_wheeler_renew^2*SUMIFS(AR2:AR61,B2:B61,B34-24)+in_two_wheeler_renew^3*SUMIFS(AR2:AR61,B2:B61,B34-36)+in_two_wheeler_renew^4*SUMIFS(AR2:AR61,B2:B61,B34-48))</f>
        <v/>
      </c>
      <c r="AT34" s="40">
        <f>AT33*(1-IF(B33&gt;=in_marketplace_from,d_hz_device*G33,0))</f>
        <v/>
      </c>
      <c r="AU34" s="14">
        <f>F34*AT34*IF(B34&gt;=in_marketplace_from,d_hz_device*G34,0)*in_device_ticket*in_device_comm*in_ins_partner_share</f>
        <v/>
      </c>
      <c r="AV34" s="40">
        <f>AV33*(1-IF(B33&gt;=in_marketplace_from,d_hz_shop*G33,0))</f>
        <v/>
      </c>
      <c r="AW34" s="46">
        <f>AV34*IF(B34&gt;=in_marketplace_from,d_hz_shop*G34,0)</f>
        <v/>
      </c>
      <c r="AX34" s="14">
        <f>F34*AW34*in_shop_ticket*in_shop_comm*in_ins_partner_share+F34*in_shop_ticket*in_shop_renew_comm*in_ins_partner_share*(in_shop_renew^1*SUMIFS(AW2:AW61,B2:B61,B34-12)+in_shop_renew^2*SUMIFS(AW2:AW61,B2:B61,B34-24)+in_shop_renew^3*SUMIFS(AW2:AW61,B2:B61,B34-36)+in_shop_renew^4*SUMIFS(AW2:AW61,B2:B61,B34-48))</f>
        <v/>
      </c>
      <c r="AY34" s="40">
        <f>AY33*(1-IF(B33&gt;=in_marketplace_from,d_hz_sip*G33,0))</f>
        <v/>
      </c>
      <c r="AZ34" s="40">
        <f>AZ33*d_rho_sip+AY34*IF(B34&gt;=in_marketplace_from,d_hz_sip*G34,0)</f>
        <v/>
      </c>
      <c r="BA34" s="40">
        <f>d_rho_sip*(BA33+AZ33)</f>
        <v/>
      </c>
      <c r="BB34" s="14">
        <f>F34*in_sip_ticket*(BA34+0.5*AZ34)*in_sip_comm/12</f>
        <v/>
      </c>
      <c r="BC34" s="40">
        <f>BC33*(1-IF(B33&gt;=in_marketplace_from,d_hz_choti*G33,0))</f>
        <v/>
      </c>
      <c r="BD34" s="46">
        <f>BC34*IF(B34&gt;=in_marketplace_from,d_hz_choti*G34,0)</f>
        <v/>
      </c>
      <c r="BE34" s="14">
        <f>F34*SUMIFS(BD2:BD61,B2:B61,B34-in_choti_months)*in_choti_renew*in_choti_ticket</f>
        <v/>
      </c>
      <c r="BF34" s="40">
        <f>BF33*(1-IF(B33&gt;=in_marketplace_from,d_hz_nps*G33,0))</f>
        <v/>
      </c>
      <c r="BG34" s="14">
        <f>F34*BF34*IF(B34&gt;=in_marketplace_from,d_hz_nps*G34,0)*in_nps_ticket*in_nps_comm</f>
        <v/>
      </c>
      <c r="BH34" s="40">
        <f>BH33*(1-IF(B33&gt;=in_marketplace_from,d_hz_gold*G33,0))</f>
        <v/>
      </c>
      <c r="BI34" s="40">
        <f>BI33*d_rho_gold+BH34*IF(B34&gt;=in_marketplace_from,d_hz_gold*G34,0)</f>
        <v/>
      </c>
      <c r="BJ34" s="14">
        <f>F34*BI34*in_gold_ticket*in_gold_comm</f>
        <v/>
      </c>
      <c r="BK34" s="40">
        <f>BK33*(1-IF(B33&gt;=in_marketplace_from,d_hz_fd*G33,0))</f>
        <v/>
      </c>
      <c r="BL34" s="14">
        <f>F34*BK34*IF(B34&gt;=in_marketplace_from,d_hz_fd*G34,0)*in_fd_ticket*in_fd_comm</f>
        <v/>
      </c>
      <c r="BM34" s="40">
        <f>BM33*(1-IF(B33&gt;=in_marketplace_from,d_hz_recharge*G33,0))</f>
        <v/>
      </c>
      <c r="BN34" s="40">
        <f>BN33*d_rho_recharge+BM34*IF(B34&gt;=in_marketplace_from,d_hz_recharge*G34,0)</f>
        <v/>
      </c>
      <c r="BO34" s="14">
        <f>F34*BN34*in_recharge_ticket*in_recharge_comm/12</f>
        <v/>
      </c>
      <c r="BP34" s="40">
        <f>BP33*(1-IF(B33&gt;=in_marketplace_from,d_hz_bills*G33,0))</f>
        <v/>
      </c>
      <c r="BQ34" s="40">
        <f>BQ33*d_rho_bills+BP34*IF(B34&gt;=in_marketplace_from,d_hz_bills*G34,0)</f>
        <v/>
      </c>
      <c r="BR34" s="14">
        <f>F34*BQ34*in_bills_ticket*in_bills_comm/12</f>
        <v/>
      </c>
      <c r="BS34" s="40">
        <f>BS33*(1-IF(B33&gt;=in_marketplace_from,d_hz_loan_gold*G33,0))</f>
        <v/>
      </c>
      <c r="BT34" s="14">
        <f>F34*BS34*IF(B34&gt;=in_marketplace_from,d_hz_loan_gold*G34,0)*in_loan_gold_ticket*in_loan_gold_comm</f>
        <v/>
      </c>
      <c r="BU34" s="40">
        <f>BU33*(1-IF(B33&gt;=in_marketplace_from,d_hz_loan_cd*G33,0))</f>
        <v/>
      </c>
      <c r="BV34" s="14">
        <f>F34*BU34*IF(B34&gt;=in_marketplace_from,d_hz_loan_cd*G34,0)*in_loan_cd_ticket*in_loan_cd_comm</f>
        <v/>
      </c>
      <c r="BW34" s="40">
        <f>BW33*(1-IF(B33&gt;=in_marketplace_from,d_hz_loan_vehicle*G33,0))</f>
        <v/>
      </c>
      <c r="BX34" s="14">
        <f>F34*BW34*IF(B34&gt;=in_marketplace_from,d_hz_loan_vehicle*G34,0)*in_loan_vehicle_ticket*in_loan_vehicle_comm</f>
        <v/>
      </c>
      <c r="BY34" s="40">
        <f>BY33*(1-IF(B33&gt;=in_marketplace_from,d_hz_loan_home*G33,0)*BZ33)</f>
        <v/>
      </c>
      <c r="BZ34" s="11">
        <f>MIN(in_approval_cap,in_loan_home_approval*INDEX('Age profile'!$O$2:$O$61,B34)*(1+in_approval_growth)^(D34-1))</f>
        <v/>
      </c>
      <c r="CA34" s="14">
        <f>F34*BY34*IF(B34&gt;=in_marketplace_from,d_hz_loan_home*G34,0)*BZ34*in_loan_home_ticket*in_loan_home_comm</f>
        <v/>
      </c>
      <c r="CB34" s="40">
        <f>CB33*(1-IF(B33&gt;=in_marketplace_from,d_hz_loan_lap*G33,0)*CC33)</f>
        <v/>
      </c>
      <c r="CC34" s="11">
        <f>MIN(in_approval_cap,in_loan_lap_approval*INDEX('Age profile'!$O$2:$O$61,B34)*(1+in_approval_growth)^(D34-1))</f>
        <v/>
      </c>
      <c r="CD34" s="14">
        <f>F34*CB34*IF(B34&gt;=in_marketplace_from,d_hz_loan_lap*G34,0)*CC34*in_loan_lap_ticket*in_loan_lap_comm</f>
        <v/>
      </c>
      <c r="CE34" s="14">
        <f>AA34+AB34+AC34+AD34+AG34+AJ34+AM34+AP34+AS34+AU34+AX34+BB34+BE34+BG34+BJ34+BL34+BO34+BR34+BT34+BV34+BX34+CA34+CD34</f>
        <v/>
      </c>
    </row>
    <row r="35">
      <c r="A35" s="39" t="n">
        <v>1</v>
      </c>
      <c r="B35" s="39" t="n">
        <v>34</v>
      </c>
      <c r="C35" s="39">
        <f>A35+B35-1</f>
        <v/>
      </c>
      <c r="D35" s="39">
        <f>INT((C35-1)/12)+1</f>
        <v/>
      </c>
      <c r="E35" s="44">
        <f>INDEX(Monthly!$B$2:$B$61,A35)</f>
        <v/>
      </c>
      <c r="F35" s="44">
        <f>E35*INDEX('Age profile'!$B$2:$B$61,B35)</f>
        <v/>
      </c>
      <c r="G35" s="45">
        <f>MIN(in_takeup_cap,INDEX('Age profile'!$N$2:$N$61,B35)*(1+in_takeup_growth)^(D35-1))</f>
        <v/>
      </c>
      <c r="H35" s="11">
        <f>MIN(in_approval_cap,in_approved_first*INDEX('Age profile'!$O$2:$O$61,B35)*(1+in_approval_growth)^(D35-1))</f>
        <v/>
      </c>
      <c r="I35" s="45">
        <f>G35*MIN(in_takeup_cap,INDEX('Age profile'!$O$2:$O$61,B35)*(1+in_approval_growth)^(D35-1))</f>
        <v/>
      </c>
      <c r="J35" s="40">
        <f>(J34-L34)*F35/F34</f>
        <v/>
      </c>
      <c r="K35" s="40">
        <f>(K34-M34)*F35/F34+SUMIFS(O2:O34,B2:B34,B35-1-d_T)*F35</f>
        <v/>
      </c>
      <c r="L35" s="40">
        <f>IF(B35&gt;=in_marketplace_from,J35*d_hz*G35*in_eligible*H35,0)</f>
        <v/>
      </c>
      <c r="M35" s="40">
        <f>IF(B35&gt;=in_marketplace_from,K35*d_hz*G35*in_eligible*in_approved_repeat,0)</f>
        <v/>
      </c>
      <c r="N35" s="40">
        <f>L35+M35</f>
        <v/>
      </c>
      <c r="O35" s="46">
        <f>N35/F35</f>
        <v/>
      </c>
      <c r="P35" s="40">
        <f>F35-J35-K35</f>
        <v/>
      </c>
      <c r="Q35" s="40">
        <f>IF(B35&gt;=in_marketplace_from,(J35+K35)*d_hz*G35,0)</f>
        <v/>
      </c>
      <c r="R35" s="40">
        <f>SUMIFS(N2:N61,B2:B61,"&gt;="&amp;(B35-d_T),B2:B61,"&lt;="&amp;(B35-1))</f>
        <v/>
      </c>
      <c r="S35" s="46">
        <f>(1-d_u)*S34+IF(d_T&gt;in_topup_lag,SUMIFS(O2:O61,B2:B61,B35-in_topup_lag)-d_udrop*SUMIFS(O2:O61,B2:B61,B35-d_T),0)</f>
        <v/>
      </c>
      <c r="T35" s="40">
        <f>F35*d_u*S35</f>
        <v/>
      </c>
      <c r="U35" s="9">
        <f>L35*in_ticket+M35*d_rep_ticket</f>
        <v/>
      </c>
      <c r="V35" s="9">
        <f>U35+T35*d_topup_amt</f>
        <v/>
      </c>
      <c r="W35" s="40">
        <f>N35+T35*d_topup_ratio</f>
        <v/>
      </c>
      <c r="X35" s="40">
        <f>SUMIFS(W2:W61,B2:B61,B35-in_dpd_lag)*d_cured</f>
        <v/>
      </c>
      <c r="Y35" s="40">
        <f>SUMIFS(W2:W61,B2:B61,B35-in_rec_lag)*d_recd</f>
        <v/>
      </c>
      <c r="Z35" s="40">
        <f>IF(AND(B35&gt;=in_marketplace_from,B35&lt;in_marketplace_from+in_card_months),in_card_share/in_card_months*F35*I35,IF(AND(B35&gt;=in_marketplace_from+in_card_months,B35&lt;in_marketplace_from+2*in_card_months),in_card_share*d_card_rem/in_card_months*F35*MIN(in_takeup_cap,(1+in_takeup_growth)^(D35-1))*MIN(in_takeup_cap,(1+in_approval_growth)^(D35-1)),0))</f>
        <v/>
      </c>
      <c r="AA35" s="14">
        <f>V35*in_fee*(1-in_taken_back)</f>
        <v/>
      </c>
      <c r="AB35" s="14">
        <f>SUMIFS(W2:W61,B2:B61,B35-in_dpd_lag)*d_dpd</f>
        <v/>
      </c>
      <c r="AC35" s="14">
        <f>SUMIFS(W2:W61,B2:B61,B35-in_rec_lag)*d_rec</f>
        <v/>
      </c>
      <c r="AD35" s="14">
        <f>Z35*in_card_fee</f>
        <v/>
      </c>
      <c r="AE35" s="40">
        <f>AE34*(1-IF(B34&gt;=in_marketplace_from,d_hz_hlth_small*G34,0))</f>
        <v/>
      </c>
      <c r="AF35" s="46">
        <f>AE35*IF(B35&gt;=in_marketplace_from,d_hz_hlth_small*G35,0)</f>
        <v/>
      </c>
      <c r="AG35" s="14">
        <f>F35*AF35*in_hlth_small_ticket*in_hlth_small_comm*in_ins_partner_share+F35*in_hlth_small_ticket*in_hlth_small_renew_comm*in_ins_partner_share*(in_hlth_small_renew^1*SUMIFS(AF2:AF61,B2:B61,B35-12)+in_hlth_small_renew^2*SUMIFS(AF2:AF61,B2:B61,B35-24)+in_hlth_small_renew^3*SUMIFS(AF2:AF61,B2:B61,B35-36)+in_hlth_small_renew^4*SUMIFS(AF2:AF61,B2:B61,B35-48))</f>
        <v/>
      </c>
      <c r="AH35" s="40">
        <f>AH34*(1-IF(B34&gt;=in_marketplace_from,d_hz_hlth_family*G34,0))</f>
        <v/>
      </c>
      <c r="AI35" s="46">
        <f>AH35*IF(B35&gt;=in_marketplace_from,d_hz_hlth_family*G35,0)</f>
        <v/>
      </c>
      <c r="AJ35" s="14">
        <f>F35*AI35*in_hlth_family_ticket*in_hlth_family_comm*in_ins_partner_share+F35*in_hlth_family_ticket*in_hlth_family_renew_comm*in_ins_partner_share*(in_hlth_family_renew^1*SUMIFS(AI2:AI61,B2:B61,B35-12)+in_hlth_family_renew^2*SUMIFS(AI2:AI61,B2:B61,B35-24)+in_hlth_family_renew^3*SUMIFS(AI2:AI61,B2:B61,B35-36)+in_hlth_family_renew^4*SUMIFS(AI2:AI61,B2:B61,B35-48))</f>
        <v/>
      </c>
      <c r="AK35" s="40">
        <f>AK34*(1-IF(B34&gt;=in_marketplace_from,d_hz_life_term*G34,0))</f>
        <v/>
      </c>
      <c r="AL35" s="46">
        <f>AK35*IF(B35&gt;=in_marketplace_from,d_hz_life_term*G35,0)</f>
        <v/>
      </c>
      <c r="AM35" s="14">
        <f>F35*AL35*in_life_term_ticket*in_life_term_comm*in_ins_partner_share+F35*in_life_term_ticket*in_life_term_renew_comm*in_ins_partner_share*(in_life_term_renew^1*SUMIFS(AL2:AL61,B2:B61,B35-12)+in_life_term_renew^2*SUMIFS(AL2:AL61,B2:B61,B35-24)+in_life_term_renew^3*SUMIFS(AL2:AL61,B2:B61,B35-36)+in_life_term_renew^4*SUMIFS(AL2:AL61,B2:B61,B35-48))</f>
        <v/>
      </c>
      <c r="AN35" s="40">
        <f>AN34*(1-IF(B34&gt;=in_marketplace_from,d_hz_accident*G34,0))</f>
        <v/>
      </c>
      <c r="AO35" s="46">
        <f>AN35*IF(B35&gt;=in_marketplace_from,d_hz_accident*G35,0)</f>
        <v/>
      </c>
      <c r="AP35" s="14">
        <f>F35*AO35*in_accident_ticket*in_accident_comm*in_ins_partner_share+F35*in_accident_ticket*in_accident_renew_comm*in_ins_partner_share*(in_accident_renew^1*SUMIFS(AO2:AO61,B2:B61,B35-12)+in_accident_renew^2*SUMIFS(AO2:AO61,B2:B61,B35-24)+in_accident_renew^3*SUMIFS(AO2:AO61,B2:B61,B35-36)+in_accident_renew^4*SUMIFS(AO2:AO61,B2:B61,B35-48))</f>
        <v/>
      </c>
      <c r="AQ35" s="40">
        <f>AQ34*(1-IF(B34&gt;=in_marketplace_from,d_hz_two_wheeler*G34,0))</f>
        <v/>
      </c>
      <c r="AR35" s="46">
        <f>AQ35*IF(B35&gt;=in_marketplace_from,d_hz_two_wheeler*G35,0)</f>
        <v/>
      </c>
      <c r="AS35" s="14">
        <f>F35*AR35*in_two_wheeler_ticket*in_two_wheeler_comm*in_ins_partner_share+F35*in_two_wheeler_ticket*in_two_wheeler_comm*in_ins_partner_share*(in_two_wheeler_renew^1*SUMIFS(AR2:AR61,B2:B61,B35-12)+in_two_wheeler_renew^2*SUMIFS(AR2:AR61,B2:B61,B35-24)+in_two_wheeler_renew^3*SUMIFS(AR2:AR61,B2:B61,B35-36)+in_two_wheeler_renew^4*SUMIFS(AR2:AR61,B2:B61,B35-48))</f>
        <v/>
      </c>
      <c r="AT35" s="40">
        <f>AT34*(1-IF(B34&gt;=in_marketplace_from,d_hz_device*G34,0))</f>
        <v/>
      </c>
      <c r="AU35" s="14">
        <f>F35*AT35*IF(B35&gt;=in_marketplace_from,d_hz_device*G35,0)*in_device_ticket*in_device_comm*in_ins_partner_share</f>
        <v/>
      </c>
      <c r="AV35" s="40">
        <f>AV34*(1-IF(B34&gt;=in_marketplace_from,d_hz_shop*G34,0))</f>
        <v/>
      </c>
      <c r="AW35" s="46">
        <f>AV35*IF(B35&gt;=in_marketplace_from,d_hz_shop*G35,0)</f>
        <v/>
      </c>
      <c r="AX35" s="14">
        <f>F35*AW35*in_shop_ticket*in_shop_comm*in_ins_partner_share+F35*in_shop_ticket*in_shop_renew_comm*in_ins_partner_share*(in_shop_renew^1*SUMIFS(AW2:AW61,B2:B61,B35-12)+in_shop_renew^2*SUMIFS(AW2:AW61,B2:B61,B35-24)+in_shop_renew^3*SUMIFS(AW2:AW61,B2:B61,B35-36)+in_shop_renew^4*SUMIFS(AW2:AW61,B2:B61,B35-48))</f>
        <v/>
      </c>
      <c r="AY35" s="40">
        <f>AY34*(1-IF(B34&gt;=in_marketplace_from,d_hz_sip*G34,0))</f>
        <v/>
      </c>
      <c r="AZ35" s="40">
        <f>AZ34*d_rho_sip+AY35*IF(B35&gt;=in_marketplace_from,d_hz_sip*G35,0)</f>
        <v/>
      </c>
      <c r="BA35" s="40">
        <f>d_rho_sip*(BA34+AZ34)</f>
        <v/>
      </c>
      <c r="BB35" s="14">
        <f>F35*in_sip_ticket*(BA35+0.5*AZ35)*in_sip_comm/12</f>
        <v/>
      </c>
      <c r="BC35" s="40">
        <f>BC34*(1-IF(B34&gt;=in_marketplace_from,d_hz_choti*G34,0))</f>
        <v/>
      </c>
      <c r="BD35" s="46">
        <f>BC35*IF(B35&gt;=in_marketplace_from,d_hz_choti*G35,0)</f>
        <v/>
      </c>
      <c r="BE35" s="14">
        <f>F35*SUMIFS(BD2:BD61,B2:B61,B35-in_choti_months)*in_choti_renew*in_choti_ticket</f>
        <v/>
      </c>
      <c r="BF35" s="40">
        <f>BF34*(1-IF(B34&gt;=in_marketplace_from,d_hz_nps*G34,0))</f>
        <v/>
      </c>
      <c r="BG35" s="14">
        <f>F35*BF35*IF(B35&gt;=in_marketplace_from,d_hz_nps*G35,0)*in_nps_ticket*in_nps_comm</f>
        <v/>
      </c>
      <c r="BH35" s="40">
        <f>BH34*(1-IF(B34&gt;=in_marketplace_from,d_hz_gold*G34,0))</f>
        <v/>
      </c>
      <c r="BI35" s="40">
        <f>BI34*d_rho_gold+BH35*IF(B35&gt;=in_marketplace_from,d_hz_gold*G35,0)</f>
        <v/>
      </c>
      <c r="BJ35" s="14">
        <f>F35*BI35*in_gold_ticket*in_gold_comm</f>
        <v/>
      </c>
      <c r="BK35" s="40">
        <f>BK34*(1-IF(B34&gt;=in_marketplace_from,d_hz_fd*G34,0))</f>
        <v/>
      </c>
      <c r="BL35" s="14">
        <f>F35*BK35*IF(B35&gt;=in_marketplace_from,d_hz_fd*G35,0)*in_fd_ticket*in_fd_comm</f>
        <v/>
      </c>
      <c r="BM35" s="40">
        <f>BM34*(1-IF(B34&gt;=in_marketplace_from,d_hz_recharge*G34,0))</f>
        <v/>
      </c>
      <c r="BN35" s="40">
        <f>BN34*d_rho_recharge+BM35*IF(B35&gt;=in_marketplace_from,d_hz_recharge*G35,0)</f>
        <v/>
      </c>
      <c r="BO35" s="14">
        <f>F35*BN35*in_recharge_ticket*in_recharge_comm/12</f>
        <v/>
      </c>
      <c r="BP35" s="40">
        <f>BP34*(1-IF(B34&gt;=in_marketplace_from,d_hz_bills*G34,0))</f>
        <v/>
      </c>
      <c r="BQ35" s="40">
        <f>BQ34*d_rho_bills+BP35*IF(B35&gt;=in_marketplace_from,d_hz_bills*G35,0)</f>
        <v/>
      </c>
      <c r="BR35" s="14">
        <f>F35*BQ35*in_bills_ticket*in_bills_comm/12</f>
        <v/>
      </c>
      <c r="BS35" s="40">
        <f>BS34*(1-IF(B34&gt;=in_marketplace_from,d_hz_loan_gold*G34,0))</f>
        <v/>
      </c>
      <c r="BT35" s="14">
        <f>F35*BS35*IF(B35&gt;=in_marketplace_from,d_hz_loan_gold*G35,0)*in_loan_gold_ticket*in_loan_gold_comm</f>
        <v/>
      </c>
      <c r="BU35" s="40">
        <f>BU34*(1-IF(B34&gt;=in_marketplace_from,d_hz_loan_cd*G34,0))</f>
        <v/>
      </c>
      <c r="BV35" s="14">
        <f>F35*BU35*IF(B35&gt;=in_marketplace_from,d_hz_loan_cd*G35,0)*in_loan_cd_ticket*in_loan_cd_comm</f>
        <v/>
      </c>
      <c r="BW35" s="40">
        <f>BW34*(1-IF(B34&gt;=in_marketplace_from,d_hz_loan_vehicle*G34,0))</f>
        <v/>
      </c>
      <c r="BX35" s="14">
        <f>F35*BW35*IF(B35&gt;=in_marketplace_from,d_hz_loan_vehicle*G35,0)*in_loan_vehicle_ticket*in_loan_vehicle_comm</f>
        <v/>
      </c>
      <c r="BY35" s="40">
        <f>BY34*(1-IF(B34&gt;=in_marketplace_from,d_hz_loan_home*G34,0)*BZ34)</f>
        <v/>
      </c>
      <c r="BZ35" s="11">
        <f>MIN(in_approval_cap,in_loan_home_approval*INDEX('Age profile'!$O$2:$O$61,B35)*(1+in_approval_growth)^(D35-1))</f>
        <v/>
      </c>
      <c r="CA35" s="14">
        <f>F35*BY35*IF(B35&gt;=in_marketplace_from,d_hz_loan_home*G35,0)*BZ35*in_loan_home_ticket*in_loan_home_comm</f>
        <v/>
      </c>
      <c r="CB35" s="40">
        <f>CB34*(1-IF(B34&gt;=in_marketplace_from,d_hz_loan_lap*G34,0)*CC34)</f>
        <v/>
      </c>
      <c r="CC35" s="11">
        <f>MIN(in_approval_cap,in_loan_lap_approval*INDEX('Age profile'!$O$2:$O$61,B35)*(1+in_approval_growth)^(D35-1))</f>
        <v/>
      </c>
      <c r="CD35" s="14">
        <f>F35*CB35*IF(B35&gt;=in_marketplace_from,d_hz_loan_lap*G35,0)*CC35*in_loan_lap_ticket*in_loan_lap_comm</f>
        <v/>
      </c>
      <c r="CE35" s="14">
        <f>AA35+AB35+AC35+AD35+AG35+AJ35+AM35+AP35+AS35+AU35+AX35+BB35+BE35+BG35+BJ35+BL35+BO35+BR35+BT35+BV35+BX35+CA35+CD35</f>
        <v/>
      </c>
    </row>
    <row r="36">
      <c r="A36" s="39" t="n">
        <v>1</v>
      </c>
      <c r="B36" s="39" t="n">
        <v>35</v>
      </c>
      <c r="C36" s="39">
        <f>A36+B36-1</f>
        <v/>
      </c>
      <c r="D36" s="39">
        <f>INT((C36-1)/12)+1</f>
        <v/>
      </c>
      <c r="E36" s="44">
        <f>INDEX(Monthly!$B$2:$B$61,A36)</f>
        <v/>
      </c>
      <c r="F36" s="44">
        <f>E36*INDEX('Age profile'!$B$2:$B$61,B36)</f>
        <v/>
      </c>
      <c r="G36" s="45">
        <f>MIN(in_takeup_cap,INDEX('Age profile'!$N$2:$N$61,B36)*(1+in_takeup_growth)^(D36-1))</f>
        <v/>
      </c>
      <c r="H36" s="11">
        <f>MIN(in_approval_cap,in_approved_first*INDEX('Age profile'!$O$2:$O$61,B36)*(1+in_approval_growth)^(D36-1))</f>
        <v/>
      </c>
      <c r="I36" s="45">
        <f>G36*MIN(in_takeup_cap,INDEX('Age profile'!$O$2:$O$61,B36)*(1+in_approval_growth)^(D36-1))</f>
        <v/>
      </c>
      <c r="J36" s="40">
        <f>(J35-L35)*F36/F35</f>
        <v/>
      </c>
      <c r="K36" s="40">
        <f>(K35-M35)*F36/F35+SUMIFS(O2:O35,B2:B35,B36-1-d_T)*F36</f>
        <v/>
      </c>
      <c r="L36" s="40">
        <f>IF(B36&gt;=in_marketplace_from,J36*d_hz*G36*in_eligible*H36,0)</f>
        <v/>
      </c>
      <c r="M36" s="40">
        <f>IF(B36&gt;=in_marketplace_from,K36*d_hz*G36*in_eligible*in_approved_repeat,0)</f>
        <v/>
      </c>
      <c r="N36" s="40">
        <f>L36+M36</f>
        <v/>
      </c>
      <c r="O36" s="46">
        <f>N36/F36</f>
        <v/>
      </c>
      <c r="P36" s="40">
        <f>F36-J36-K36</f>
        <v/>
      </c>
      <c r="Q36" s="40">
        <f>IF(B36&gt;=in_marketplace_from,(J36+K36)*d_hz*G36,0)</f>
        <v/>
      </c>
      <c r="R36" s="40">
        <f>SUMIFS(N2:N61,B2:B61,"&gt;="&amp;(B36-d_T),B2:B61,"&lt;="&amp;(B36-1))</f>
        <v/>
      </c>
      <c r="S36" s="46">
        <f>(1-d_u)*S35+IF(d_T&gt;in_topup_lag,SUMIFS(O2:O61,B2:B61,B36-in_topup_lag)-d_udrop*SUMIFS(O2:O61,B2:B61,B36-d_T),0)</f>
        <v/>
      </c>
      <c r="T36" s="40">
        <f>F36*d_u*S36</f>
        <v/>
      </c>
      <c r="U36" s="9">
        <f>L36*in_ticket+M36*d_rep_ticket</f>
        <v/>
      </c>
      <c r="V36" s="9">
        <f>U36+T36*d_topup_amt</f>
        <v/>
      </c>
      <c r="W36" s="40">
        <f>N36+T36*d_topup_ratio</f>
        <v/>
      </c>
      <c r="X36" s="40">
        <f>SUMIFS(W2:W61,B2:B61,B36-in_dpd_lag)*d_cured</f>
        <v/>
      </c>
      <c r="Y36" s="40">
        <f>SUMIFS(W2:W61,B2:B61,B36-in_rec_lag)*d_recd</f>
        <v/>
      </c>
      <c r="Z36" s="40">
        <f>IF(AND(B36&gt;=in_marketplace_from,B36&lt;in_marketplace_from+in_card_months),in_card_share/in_card_months*F36*I36,IF(AND(B36&gt;=in_marketplace_from+in_card_months,B36&lt;in_marketplace_from+2*in_card_months),in_card_share*d_card_rem/in_card_months*F36*MIN(in_takeup_cap,(1+in_takeup_growth)^(D36-1))*MIN(in_takeup_cap,(1+in_approval_growth)^(D36-1)),0))</f>
        <v/>
      </c>
      <c r="AA36" s="14">
        <f>V36*in_fee*(1-in_taken_back)</f>
        <v/>
      </c>
      <c r="AB36" s="14">
        <f>SUMIFS(W2:W61,B2:B61,B36-in_dpd_lag)*d_dpd</f>
        <v/>
      </c>
      <c r="AC36" s="14">
        <f>SUMIFS(W2:W61,B2:B61,B36-in_rec_lag)*d_rec</f>
        <v/>
      </c>
      <c r="AD36" s="14">
        <f>Z36*in_card_fee</f>
        <v/>
      </c>
      <c r="AE36" s="40">
        <f>AE35*(1-IF(B35&gt;=in_marketplace_from,d_hz_hlth_small*G35,0))</f>
        <v/>
      </c>
      <c r="AF36" s="46">
        <f>AE36*IF(B36&gt;=in_marketplace_from,d_hz_hlth_small*G36,0)</f>
        <v/>
      </c>
      <c r="AG36" s="14">
        <f>F36*AF36*in_hlth_small_ticket*in_hlth_small_comm*in_ins_partner_share+F36*in_hlth_small_ticket*in_hlth_small_renew_comm*in_ins_partner_share*(in_hlth_small_renew^1*SUMIFS(AF2:AF61,B2:B61,B36-12)+in_hlth_small_renew^2*SUMIFS(AF2:AF61,B2:B61,B36-24)+in_hlth_small_renew^3*SUMIFS(AF2:AF61,B2:B61,B36-36)+in_hlth_small_renew^4*SUMIFS(AF2:AF61,B2:B61,B36-48))</f>
        <v/>
      </c>
      <c r="AH36" s="40">
        <f>AH35*(1-IF(B35&gt;=in_marketplace_from,d_hz_hlth_family*G35,0))</f>
        <v/>
      </c>
      <c r="AI36" s="46">
        <f>AH36*IF(B36&gt;=in_marketplace_from,d_hz_hlth_family*G36,0)</f>
        <v/>
      </c>
      <c r="AJ36" s="14">
        <f>F36*AI36*in_hlth_family_ticket*in_hlth_family_comm*in_ins_partner_share+F36*in_hlth_family_ticket*in_hlth_family_renew_comm*in_ins_partner_share*(in_hlth_family_renew^1*SUMIFS(AI2:AI61,B2:B61,B36-12)+in_hlth_family_renew^2*SUMIFS(AI2:AI61,B2:B61,B36-24)+in_hlth_family_renew^3*SUMIFS(AI2:AI61,B2:B61,B36-36)+in_hlth_family_renew^4*SUMIFS(AI2:AI61,B2:B61,B36-48))</f>
        <v/>
      </c>
      <c r="AK36" s="40">
        <f>AK35*(1-IF(B35&gt;=in_marketplace_from,d_hz_life_term*G35,0))</f>
        <v/>
      </c>
      <c r="AL36" s="46">
        <f>AK36*IF(B36&gt;=in_marketplace_from,d_hz_life_term*G36,0)</f>
        <v/>
      </c>
      <c r="AM36" s="14">
        <f>F36*AL36*in_life_term_ticket*in_life_term_comm*in_ins_partner_share+F36*in_life_term_ticket*in_life_term_renew_comm*in_ins_partner_share*(in_life_term_renew^1*SUMIFS(AL2:AL61,B2:B61,B36-12)+in_life_term_renew^2*SUMIFS(AL2:AL61,B2:B61,B36-24)+in_life_term_renew^3*SUMIFS(AL2:AL61,B2:B61,B36-36)+in_life_term_renew^4*SUMIFS(AL2:AL61,B2:B61,B36-48))</f>
        <v/>
      </c>
      <c r="AN36" s="40">
        <f>AN35*(1-IF(B35&gt;=in_marketplace_from,d_hz_accident*G35,0))</f>
        <v/>
      </c>
      <c r="AO36" s="46">
        <f>AN36*IF(B36&gt;=in_marketplace_from,d_hz_accident*G36,0)</f>
        <v/>
      </c>
      <c r="AP36" s="14">
        <f>F36*AO36*in_accident_ticket*in_accident_comm*in_ins_partner_share+F36*in_accident_ticket*in_accident_renew_comm*in_ins_partner_share*(in_accident_renew^1*SUMIFS(AO2:AO61,B2:B61,B36-12)+in_accident_renew^2*SUMIFS(AO2:AO61,B2:B61,B36-24)+in_accident_renew^3*SUMIFS(AO2:AO61,B2:B61,B36-36)+in_accident_renew^4*SUMIFS(AO2:AO61,B2:B61,B36-48))</f>
        <v/>
      </c>
      <c r="AQ36" s="40">
        <f>AQ35*(1-IF(B35&gt;=in_marketplace_from,d_hz_two_wheeler*G35,0))</f>
        <v/>
      </c>
      <c r="AR36" s="46">
        <f>AQ36*IF(B36&gt;=in_marketplace_from,d_hz_two_wheeler*G36,0)</f>
        <v/>
      </c>
      <c r="AS36" s="14">
        <f>F36*AR36*in_two_wheeler_ticket*in_two_wheeler_comm*in_ins_partner_share+F36*in_two_wheeler_ticket*in_two_wheeler_comm*in_ins_partner_share*(in_two_wheeler_renew^1*SUMIFS(AR2:AR61,B2:B61,B36-12)+in_two_wheeler_renew^2*SUMIFS(AR2:AR61,B2:B61,B36-24)+in_two_wheeler_renew^3*SUMIFS(AR2:AR61,B2:B61,B36-36)+in_two_wheeler_renew^4*SUMIFS(AR2:AR61,B2:B61,B36-48))</f>
        <v/>
      </c>
      <c r="AT36" s="40">
        <f>AT35*(1-IF(B35&gt;=in_marketplace_from,d_hz_device*G35,0))</f>
        <v/>
      </c>
      <c r="AU36" s="14">
        <f>F36*AT36*IF(B36&gt;=in_marketplace_from,d_hz_device*G36,0)*in_device_ticket*in_device_comm*in_ins_partner_share</f>
        <v/>
      </c>
      <c r="AV36" s="40">
        <f>AV35*(1-IF(B35&gt;=in_marketplace_from,d_hz_shop*G35,0))</f>
        <v/>
      </c>
      <c r="AW36" s="46">
        <f>AV36*IF(B36&gt;=in_marketplace_from,d_hz_shop*G36,0)</f>
        <v/>
      </c>
      <c r="AX36" s="14">
        <f>F36*AW36*in_shop_ticket*in_shop_comm*in_ins_partner_share+F36*in_shop_ticket*in_shop_renew_comm*in_ins_partner_share*(in_shop_renew^1*SUMIFS(AW2:AW61,B2:B61,B36-12)+in_shop_renew^2*SUMIFS(AW2:AW61,B2:B61,B36-24)+in_shop_renew^3*SUMIFS(AW2:AW61,B2:B61,B36-36)+in_shop_renew^4*SUMIFS(AW2:AW61,B2:B61,B36-48))</f>
        <v/>
      </c>
      <c r="AY36" s="40">
        <f>AY35*(1-IF(B35&gt;=in_marketplace_from,d_hz_sip*G35,0))</f>
        <v/>
      </c>
      <c r="AZ36" s="40">
        <f>AZ35*d_rho_sip+AY36*IF(B36&gt;=in_marketplace_from,d_hz_sip*G36,0)</f>
        <v/>
      </c>
      <c r="BA36" s="40">
        <f>d_rho_sip*(BA35+AZ35)</f>
        <v/>
      </c>
      <c r="BB36" s="14">
        <f>F36*in_sip_ticket*(BA36+0.5*AZ36)*in_sip_comm/12</f>
        <v/>
      </c>
      <c r="BC36" s="40">
        <f>BC35*(1-IF(B35&gt;=in_marketplace_from,d_hz_choti*G35,0))</f>
        <v/>
      </c>
      <c r="BD36" s="46">
        <f>BC36*IF(B36&gt;=in_marketplace_from,d_hz_choti*G36,0)</f>
        <v/>
      </c>
      <c r="BE36" s="14">
        <f>F36*SUMIFS(BD2:BD61,B2:B61,B36-in_choti_months)*in_choti_renew*in_choti_ticket</f>
        <v/>
      </c>
      <c r="BF36" s="40">
        <f>BF35*(1-IF(B35&gt;=in_marketplace_from,d_hz_nps*G35,0))</f>
        <v/>
      </c>
      <c r="BG36" s="14">
        <f>F36*BF36*IF(B36&gt;=in_marketplace_from,d_hz_nps*G36,0)*in_nps_ticket*in_nps_comm</f>
        <v/>
      </c>
      <c r="BH36" s="40">
        <f>BH35*(1-IF(B35&gt;=in_marketplace_from,d_hz_gold*G35,0))</f>
        <v/>
      </c>
      <c r="BI36" s="40">
        <f>BI35*d_rho_gold+BH36*IF(B36&gt;=in_marketplace_from,d_hz_gold*G36,0)</f>
        <v/>
      </c>
      <c r="BJ36" s="14">
        <f>F36*BI36*in_gold_ticket*in_gold_comm</f>
        <v/>
      </c>
      <c r="BK36" s="40">
        <f>BK35*(1-IF(B35&gt;=in_marketplace_from,d_hz_fd*G35,0))</f>
        <v/>
      </c>
      <c r="BL36" s="14">
        <f>F36*BK36*IF(B36&gt;=in_marketplace_from,d_hz_fd*G36,0)*in_fd_ticket*in_fd_comm</f>
        <v/>
      </c>
      <c r="BM36" s="40">
        <f>BM35*(1-IF(B35&gt;=in_marketplace_from,d_hz_recharge*G35,0))</f>
        <v/>
      </c>
      <c r="BN36" s="40">
        <f>BN35*d_rho_recharge+BM36*IF(B36&gt;=in_marketplace_from,d_hz_recharge*G36,0)</f>
        <v/>
      </c>
      <c r="BO36" s="14">
        <f>F36*BN36*in_recharge_ticket*in_recharge_comm/12</f>
        <v/>
      </c>
      <c r="BP36" s="40">
        <f>BP35*(1-IF(B35&gt;=in_marketplace_from,d_hz_bills*G35,0))</f>
        <v/>
      </c>
      <c r="BQ36" s="40">
        <f>BQ35*d_rho_bills+BP36*IF(B36&gt;=in_marketplace_from,d_hz_bills*G36,0)</f>
        <v/>
      </c>
      <c r="BR36" s="14">
        <f>F36*BQ36*in_bills_ticket*in_bills_comm/12</f>
        <v/>
      </c>
      <c r="BS36" s="40">
        <f>BS35*(1-IF(B35&gt;=in_marketplace_from,d_hz_loan_gold*G35,0))</f>
        <v/>
      </c>
      <c r="BT36" s="14">
        <f>F36*BS36*IF(B36&gt;=in_marketplace_from,d_hz_loan_gold*G36,0)*in_loan_gold_ticket*in_loan_gold_comm</f>
        <v/>
      </c>
      <c r="BU36" s="40">
        <f>BU35*(1-IF(B35&gt;=in_marketplace_from,d_hz_loan_cd*G35,0))</f>
        <v/>
      </c>
      <c r="BV36" s="14">
        <f>F36*BU36*IF(B36&gt;=in_marketplace_from,d_hz_loan_cd*G36,0)*in_loan_cd_ticket*in_loan_cd_comm</f>
        <v/>
      </c>
      <c r="BW36" s="40">
        <f>BW35*(1-IF(B35&gt;=in_marketplace_from,d_hz_loan_vehicle*G35,0))</f>
        <v/>
      </c>
      <c r="BX36" s="14">
        <f>F36*BW36*IF(B36&gt;=in_marketplace_from,d_hz_loan_vehicle*G36,0)*in_loan_vehicle_ticket*in_loan_vehicle_comm</f>
        <v/>
      </c>
      <c r="BY36" s="40">
        <f>BY35*(1-IF(B35&gt;=in_marketplace_from,d_hz_loan_home*G35,0)*BZ35)</f>
        <v/>
      </c>
      <c r="BZ36" s="11">
        <f>MIN(in_approval_cap,in_loan_home_approval*INDEX('Age profile'!$O$2:$O$61,B36)*(1+in_approval_growth)^(D36-1))</f>
        <v/>
      </c>
      <c r="CA36" s="14">
        <f>F36*BY36*IF(B36&gt;=in_marketplace_from,d_hz_loan_home*G36,0)*BZ36*in_loan_home_ticket*in_loan_home_comm</f>
        <v/>
      </c>
      <c r="CB36" s="40">
        <f>CB35*(1-IF(B35&gt;=in_marketplace_from,d_hz_loan_lap*G35,0)*CC35)</f>
        <v/>
      </c>
      <c r="CC36" s="11">
        <f>MIN(in_approval_cap,in_loan_lap_approval*INDEX('Age profile'!$O$2:$O$61,B36)*(1+in_approval_growth)^(D36-1))</f>
        <v/>
      </c>
      <c r="CD36" s="14">
        <f>F36*CB36*IF(B36&gt;=in_marketplace_from,d_hz_loan_lap*G36,0)*CC36*in_loan_lap_ticket*in_loan_lap_comm</f>
        <v/>
      </c>
      <c r="CE36" s="14">
        <f>AA36+AB36+AC36+AD36+AG36+AJ36+AM36+AP36+AS36+AU36+AX36+BB36+BE36+BG36+BJ36+BL36+BO36+BR36+BT36+BV36+BX36+CA36+CD36</f>
        <v/>
      </c>
    </row>
    <row r="37">
      <c r="A37" s="39" t="n">
        <v>1</v>
      </c>
      <c r="B37" s="39" t="n">
        <v>36</v>
      </c>
      <c r="C37" s="39">
        <f>A37+B37-1</f>
        <v/>
      </c>
      <c r="D37" s="39">
        <f>INT((C37-1)/12)+1</f>
        <v/>
      </c>
      <c r="E37" s="44">
        <f>INDEX(Monthly!$B$2:$B$61,A37)</f>
        <v/>
      </c>
      <c r="F37" s="44">
        <f>E37*INDEX('Age profile'!$B$2:$B$61,B37)</f>
        <v/>
      </c>
      <c r="G37" s="45">
        <f>MIN(in_takeup_cap,INDEX('Age profile'!$N$2:$N$61,B37)*(1+in_takeup_growth)^(D37-1))</f>
        <v/>
      </c>
      <c r="H37" s="11">
        <f>MIN(in_approval_cap,in_approved_first*INDEX('Age profile'!$O$2:$O$61,B37)*(1+in_approval_growth)^(D37-1))</f>
        <v/>
      </c>
      <c r="I37" s="45">
        <f>G37*MIN(in_takeup_cap,INDEX('Age profile'!$O$2:$O$61,B37)*(1+in_approval_growth)^(D37-1))</f>
        <v/>
      </c>
      <c r="J37" s="40">
        <f>(J36-L36)*F37/F36</f>
        <v/>
      </c>
      <c r="K37" s="40">
        <f>(K36-M36)*F37/F36+SUMIFS(O2:O36,B2:B36,B37-1-d_T)*F37</f>
        <v/>
      </c>
      <c r="L37" s="40">
        <f>IF(B37&gt;=in_marketplace_from,J37*d_hz*G37*in_eligible*H37,0)</f>
        <v/>
      </c>
      <c r="M37" s="40">
        <f>IF(B37&gt;=in_marketplace_from,K37*d_hz*G37*in_eligible*in_approved_repeat,0)</f>
        <v/>
      </c>
      <c r="N37" s="40">
        <f>L37+M37</f>
        <v/>
      </c>
      <c r="O37" s="46">
        <f>N37/F37</f>
        <v/>
      </c>
      <c r="P37" s="40">
        <f>F37-J37-K37</f>
        <v/>
      </c>
      <c r="Q37" s="40">
        <f>IF(B37&gt;=in_marketplace_from,(J37+K37)*d_hz*G37,0)</f>
        <v/>
      </c>
      <c r="R37" s="40">
        <f>SUMIFS(N2:N61,B2:B61,"&gt;="&amp;(B37-d_T),B2:B61,"&lt;="&amp;(B37-1))</f>
        <v/>
      </c>
      <c r="S37" s="46">
        <f>(1-d_u)*S36+IF(d_T&gt;in_topup_lag,SUMIFS(O2:O61,B2:B61,B37-in_topup_lag)-d_udrop*SUMIFS(O2:O61,B2:B61,B37-d_T),0)</f>
        <v/>
      </c>
      <c r="T37" s="40">
        <f>F37*d_u*S37</f>
        <v/>
      </c>
      <c r="U37" s="9">
        <f>L37*in_ticket+M37*d_rep_ticket</f>
        <v/>
      </c>
      <c r="V37" s="9">
        <f>U37+T37*d_topup_amt</f>
        <v/>
      </c>
      <c r="W37" s="40">
        <f>N37+T37*d_topup_ratio</f>
        <v/>
      </c>
      <c r="X37" s="40">
        <f>SUMIFS(W2:W61,B2:B61,B37-in_dpd_lag)*d_cured</f>
        <v/>
      </c>
      <c r="Y37" s="40">
        <f>SUMIFS(W2:W61,B2:B61,B37-in_rec_lag)*d_recd</f>
        <v/>
      </c>
      <c r="Z37" s="40">
        <f>IF(AND(B37&gt;=in_marketplace_from,B37&lt;in_marketplace_from+in_card_months),in_card_share/in_card_months*F37*I37,IF(AND(B37&gt;=in_marketplace_from+in_card_months,B37&lt;in_marketplace_from+2*in_card_months),in_card_share*d_card_rem/in_card_months*F37*MIN(in_takeup_cap,(1+in_takeup_growth)^(D37-1))*MIN(in_takeup_cap,(1+in_approval_growth)^(D37-1)),0))</f>
        <v/>
      </c>
      <c r="AA37" s="14">
        <f>V37*in_fee*(1-in_taken_back)</f>
        <v/>
      </c>
      <c r="AB37" s="14">
        <f>SUMIFS(W2:W61,B2:B61,B37-in_dpd_lag)*d_dpd</f>
        <v/>
      </c>
      <c r="AC37" s="14">
        <f>SUMIFS(W2:W61,B2:B61,B37-in_rec_lag)*d_rec</f>
        <v/>
      </c>
      <c r="AD37" s="14">
        <f>Z37*in_card_fee</f>
        <v/>
      </c>
      <c r="AE37" s="40">
        <f>AE36*(1-IF(B36&gt;=in_marketplace_from,d_hz_hlth_small*G36,0))</f>
        <v/>
      </c>
      <c r="AF37" s="46">
        <f>AE37*IF(B37&gt;=in_marketplace_from,d_hz_hlth_small*G37,0)</f>
        <v/>
      </c>
      <c r="AG37" s="14">
        <f>F37*AF37*in_hlth_small_ticket*in_hlth_small_comm*in_ins_partner_share+F37*in_hlth_small_ticket*in_hlth_small_renew_comm*in_ins_partner_share*(in_hlth_small_renew^1*SUMIFS(AF2:AF61,B2:B61,B37-12)+in_hlth_small_renew^2*SUMIFS(AF2:AF61,B2:B61,B37-24)+in_hlth_small_renew^3*SUMIFS(AF2:AF61,B2:B61,B37-36)+in_hlth_small_renew^4*SUMIFS(AF2:AF61,B2:B61,B37-48))</f>
        <v/>
      </c>
      <c r="AH37" s="40">
        <f>AH36*(1-IF(B36&gt;=in_marketplace_from,d_hz_hlth_family*G36,0))</f>
        <v/>
      </c>
      <c r="AI37" s="46">
        <f>AH37*IF(B37&gt;=in_marketplace_from,d_hz_hlth_family*G37,0)</f>
        <v/>
      </c>
      <c r="AJ37" s="14">
        <f>F37*AI37*in_hlth_family_ticket*in_hlth_family_comm*in_ins_partner_share+F37*in_hlth_family_ticket*in_hlth_family_renew_comm*in_ins_partner_share*(in_hlth_family_renew^1*SUMIFS(AI2:AI61,B2:B61,B37-12)+in_hlth_family_renew^2*SUMIFS(AI2:AI61,B2:B61,B37-24)+in_hlth_family_renew^3*SUMIFS(AI2:AI61,B2:B61,B37-36)+in_hlth_family_renew^4*SUMIFS(AI2:AI61,B2:B61,B37-48))</f>
        <v/>
      </c>
      <c r="AK37" s="40">
        <f>AK36*(1-IF(B36&gt;=in_marketplace_from,d_hz_life_term*G36,0))</f>
        <v/>
      </c>
      <c r="AL37" s="46">
        <f>AK37*IF(B37&gt;=in_marketplace_from,d_hz_life_term*G37,0)</f>
        <v/>
      </c>
      <c r="AM37" s="14">
        <f>F37*AL37*in_life_term_ticket*in_life_term_comm*in_ins_partner_share+F37*in_life_term_ticket*in_life_term_renew_comm*in_ins_partner_share*(in_life_term_renew^1*SUMIFS(AL2:AL61,B2:B61,B37-12)+in_life_term_renew^2*SUMIFS(AL2:AL61,B2:B61,B37-24)+in_life_term_renew^3*SUMIFS(AL2:AL61,B2:B61,B37-36)+in_life_term_renew^4*SUMIFS(AL2:AL61,B2:B61,B37-48))</f>
        <v/>
      </c>
      <c r="AN37" s="40">
        <f>AN36*(1-IF(B36&gt;=in_marketplace_from,d_hz_accident*G36,0))</f>
        <v/>
      </c>
      <c r="AO37" s="46">
        <f>AN37*IF(B37&gt;=in_marketplace_from,d_hz_accident*G37,0)</f>
        <v/>
      </c>
      <c r="AP37" s="14">
        <f>F37*AO37*in_accident_ticket*in_accident_comm*in_ins_partner_share+F37*in_accident_ticket*in_accident_renew_comm*in_ins_partner_share*(in_accident_renew^1*SUMIFS(AO2:AO61,B2:B61,B37-12)+in_accident_renew^2*SUMIFS(AO2:AO61,B2:B61,B37-24)+in_accident_renew^3*SUMIFS(AO2:AO61,B2:B61,B37-36)+in_accident_renew^4*SUMIFS(AO2:AO61,B2:B61,B37-48))</f>
        <v/>
      </c>
      <c r="AQ37" s="40">
        <f>AQ36*(1-IF(B36&gt;=in_marketplace_from,d_hz_two_wheeler*G36,0))</f>
        <v/>
      </c>
      <c r="AR37" s="46">
        <f>AQ37*IF(B37&gt;=in_marketplace_from,d_hz_two_wheeler*G37,0)</f>
        <v/>
      </c>
      <c r="AS37" s="14">
        <f>F37*AR37*in_two_wheeler_ticket*in_two_wheeler_comm*in_ins_partner_share+F37*in_two_wheeler_ticket*in_two_wheeler_comm*in_ins_partner_share*(in_two_wheeler_renew^1*SUMIFS(AR2:AR61,B2:B61,B37-12)+in_two_wheeler_renew^2*SUMIFS(AR2:AR61,B2:B61,B37-24)+in_two_wheeler_renew^3*SUMIFS(AR2:AR61,B2:B61,B37-36)+in_two_wheeler_renew^4*SUMIFS(AR2:AR61,B2:B61,B37-48))</f>
        <v/>
      </c>
      <c r="AT37" s="40">
        <f>AT36*(1-IF(B36&gt;=in_marketplace_from,d_hz_device*G36,0))</f>
        <v/>
      </c>
      <c r="AU37" s="14">
        <f>F37*AT37*IF(B37&gt;=in_marketplace_from,d_hz_device*G37,0)*in_device_ticket*in_device_comm*in_ins_partner_share</f>
        <v/>
      </c>
      <c r="AV37" s="40">
        <f>AV36*(1-IF(B36&gt;=in_marketplace_from,d_hz_shop*G36,0))</f>
        <v/>
      </c>
      <c r="AW37" s="46">
        <f>AV37*IF(B37&gt;=in_marketplace_from,d_hz_shop*G37,0)</f>
        <v/>
      </c>
      <c r="AX37" s="14">
        <f>F37*AW37*in_shop_ticket*in_shop_comm*in_ins_partner_share+F37*in_shop_ticket*in_shop_renew_comm*in_ins_partner_share*(in_shop_renew^1*SUMIFS(AW2:AW61,B2:B61,B37-12)+in_shop_renew^2*SUMIFS(AW2:AW61,B2:B61,B37-24)+in_shop_renew^3*SUMIFS(AW2:AW61,B2:B61,B37-36)+in_shop_renew^4*SUMIFS(AW2:AW61,B2:B61,B37-48))</f>
        <v/>
      </c>
      <c r="AY37" s="40">
        <f>AY36*(1-IF(B36&gt;=in_marketplace_from,d_hz_sip*G36,0))</f>
        <v/>
      </c>
      <c r="AZ37" s="40">
        <f>AZ36*d_rho_sip+AY37*IF(B37&gt;=in_marketplace_from,d_hz_sip*G37,0)</f>
        <v/>
      </c>
      <c r="BA37" s="40">
        <f>d_rho_sip*(BA36+AZ36)</f>
        <v/>
      </c>
      <c r="BB37" s="14">
        <f>F37*in_sip_ticket*(BA37+0.5*AZ37)*in_sip_comm/12</f>
        <v/>
      </c>
      <c r="BC37" s="40">
        <f>BC36*(1-IF(B36&gt;=in_marketplace_from,d_hz_choti*G36,0))</f>
        <v/>
      </c>
      <c r="BD37" s="46">
        <f>BC37*IF(B37&gt;=in_marketplace_from,d_hz_choti*G37,0)</f>
        <v/>
      </c>
      <c r="BE37" s="14">
        <f>F37*SUMIFS(BD2:BD61,B2:B61,B37-in_choti_months)*in_choti_renew*in_choti_ticket</f>
        <v/>
      </c>
      <c r="BF37" s="40">
        <f>BF36*(1-IF(B36&gt;=in_marketplace_from,d_hz_nps*G36,0))</f>
        <v/>
      </c>
      <c r="BG37" s="14">
        <f>F37*BF37*IF(B37&gt;=in_marketplace_from,d_hz_nps*G37,0)*in_nps_ticket*in_nps_comm</f>
        <v/>
      </c>
      <c r="BH37" s="40">
        <f>BH36*(1-IF(B36&gt;=in_marketplace_from,d_hz_gold*G36,0))</f>
        <v/>
      </c>
      <c r="BI37" s="40">
        <f>BI36*d_rho_gold+BH37*IF(B37&gt;=in_marketplace_from,d_hz_gold*G37,0)</f>
        <v/>
      </c>
      <c r="BJ37" s="14">
        <f>F37*BI37*in_gold_ticket*in_gold_comm</f>
        <v/>
      </c>
      <c r="BK37" s="40">
        <f>BK36*(1-IF(B36&gt;=in_marketplace_from,d_hz_fd*G36,0))</f>
        <v/>
      </c>
      <c r="BL37" s="14">
        <f>F37*BK37*IF(B37&gt;=in_marketplace_from,d_hz_fd*G37,0)*in_fd_ticket*in_fd_comm</f>
        <v/>
      </c>
      <c r="BM37" s="40">
        <f>BM36*(1-IF(B36&gt;=in_marketplace_from,d_hz_recharge*G36,0))</f>
        <v/>
      </c>
      <c r="BN37" s="40">
        <f>BN36*d_rho_recharge+BM37*IF(B37&gt;=in_marketplace_from,d_hz_recharge*G37,0)</f>
        <v/>
      </c>
      <c r="BO37" s="14">
        <f>F37*BN37*in_recharge_ticket*in_recharge_comm/12</f>
        <v/>
      </c>
      <c r="BP37" s="40">
        <f>BP36*(1-IF(B36&gt;=in_marketplace_from,d_hz_bills*G36,0))</f>
        <v/>
      </c>
      <c r="BQ37" s="40">
        <f>BQ36*d_rho_bills+BP37*IF(B37&gt;=in_marketplace_from,d_hz_bills*G37,0)</f>
        <v/>
      </c>
      <c r="BR37" s="14">
        <f>F37*BQ37*in_bills_ticket*in_bills_comm/12</f>
        <v/>
      </c>
      <c r="BS37" s="40">
        <f>BS36*(1-IF(B36&gt;=in_marketplace_from,d_hz_loan_gold*G36,0))</f>
        <v/>
      </c>
      <c r="BT37" s="14">
        <f>F37*BS37*IF(B37&gt;=in_marketplace_from,d_hz_loan_gold*G37,0)*in_loan_gold_ticket*in_loan_gold_comm</f>
        <v/>
      </c>
      <c r="BU37" s="40">
        <f>BU36*(1-IF(B36&gt;=in_marketplace_from,d_hz_loan_cd*G36,0))</f>
        <v/>
      </c>
      <c r="BV37" s="14">
        <f>F37*BU37*IF(B37&gt;=in_marketplace_from,d_hz_loan_cd*G37,0)*in_loan_cd_ticket*in_loan_cd_comm</f>
        <v/>
      </c>
      <c r="BW37" s="40">
        <f>BW36*(1-IF(B36&gt;=in_marketplace_from,d_hz_loan_vehicle*G36,0))</f>
        <v/>
      </c>
      <c r="BX37" s="14">
        <f>F37*BW37*IF(B37&gt;=in_marketplace_from,d_hz_loan_vehicle*G37,0)*in_loan_vehicle_ticket*in_loan_vehicle_comm</f>
        <v/>
      </c>
      <c r="BY37" s="40">
        <f>BY36*(1-IF(B36&gt;=in_marketplace_from,d_hz_loan_home*G36,0)*BZ36)</f>
        <v/>
      </c>
      <c r="BZ37" s="11">
        <f>MIN(in_approval_cap,in_loan_home_approval*INDEX('Age profile'!$O$2:$O$61,B37)*(1+in_approval_growth)^(D37-1))</f>
        <v/>
      </c>
      <c r="CA37" s="14">
        <f>F37*BY37*IF(B37&gt;=in_marketplace_from,d_hz_loan_home*G37,0)*BZ37*in_loan_home_ticket*in_loan_home_comm</f>
        <v/>
      </c>
      <c r="CB37" s="40">
        <f>CB36*(1-IF(B36&gt;=in_marketplace_from,d_hz_loan_lap*G36,0)*CC36)</f>
        <v/>
      </c>
      <c r="CC37" s="11">
        <f>MIN(in_approval_cap,in_loan_lap_approval*INDEX('Age profile'!$O$2:$O$61,B37)*(1+in_approval_growth)^(D37-1))</f>
        <v/>
      </c>
      <c r="CD37" s="14">
        <f>F37*CB37*IF(B37&gt;=in_marketplace_from,d_hz_loan_lap*G37,0)*CC37*in_loan_lap_ticket*in_loan_lap_comm</f>
        <v/>
      </c>
      <c r="CE37" s="14">
        <f>AA37+AB37+AC37+AD37+AG37+AJ37+AM37+AP37+AS37+AU37+AX37+BB37+BE37+BG37+BJ37+BL37+BO37+BR37+BT37+BV37+BX37+CA37+CD37</f>
        <v/>
      </c>
    </row>
    <row r="38">
      <c r="A38" s="39" t="n">
        <v>1</v>
      </c>
      <c r="B38" s="39" t="n">
        <v>37</v>
      </c>
      <c r="C38" s="39">
        <f>A38+B38-1</f>
        <v/>
      </c>
      <c r="D38" s="39">
        <f>INT((C38-1)/12)+1</f>
        <v/>
      </c>
      <c r="E38" s="44">
        <f>INDEX(Monthly!$B$2:$B$61,A38)</f>
        <v/>
      </c>
      <c r="F38" s="44">
        <f>E38*INDEX('Age profile'!$B$2:$B$61,B38)</f>
        <v/>
      </c>
      <c r="G38" s="45">
        <f>MIN(in_takeup_cap,INDEX('Age profile'!$N$2:$N$61,B38)*(1+in_takeup_growth)^(D38-1))</f>
        <v/>
      </c>
      <c r="H38" s="11">
        <f>MIN(in_approval_cap,in_approved_first*INDEX('Age profile'!$O$2:$O$61,B38)*(1+in_approval_growth)^(D38-1))</f>
        <v/>
      </c>
      <c r="I38" s="45">
        <f>G38*MIN(in_takeup_cap,INDEX('Age profile'!$O$2:$O$61,B38)*(1+in_approval_growth)^(D38-1))</f>
        <v/>
      </c>
      <c r="J38" s="40">
        <f>(J37-L37)*F38/F37</f>
        <v/>
      </c>
      <c r="K38" s="40">
        <f>(K37-M37)*F38/F37+SUMIFS(O2:O37,B2:B37,B38-1-d_T)*F38</f>
        <v/>
      </c>
      <c r="L38" s="40">
        <f>IF(B38&gt;=in_marketplace_from,J38*d_hz*G38*in_eligible*H38,0)</f>
        <v/>
      </c>
      <c r="M38" s="40">
        <f>IF(B38&gt;=in_marketplace_from,K38*d_hz*G38*in_eligible*in_approved_repeat,0)</f>
        <v/>
      </c>
      <c r="N38" s="40">
        <f>L38+M38</f>
        <v/>
      </c>
      <c r="O38" s="46">
        <f>N38/F38</f>
        <v/>
      </c>
      <c r="P38" s="40">
        <f>F38-J38-K38</f>
        <v/>
      </c>
      <c r="Q38" s="40">
        <f>IF(B38&gt;=in_marketplace_from,(J38+K38)*d_hz*G38,0)</f>
        <v/>
      </c>
      <c r="R38" s="40">
        <f>SUMIFS(N2:N61,B2:B61,"&gt;="&amp;(B38-d_T),B2:B61,"&lt;="&amp;(B38-1))</f>
        <v/>
      </c>
      <c r="S38" s="46">
        <f>(1-d_u)*S37+IF(d_T&gt;in_topup_lag,SUMIFS(O2:O61,B2:B61,B38-in_topup_lag)-d_udrop*SUMIFS(O2:O61,B2:B61,B38-d_T),0)</f>
        <v/>
      </c>
      <c r="T38" s="40">
        <f>F38*d_u*S38</f>
        <v/>
      </c>
      <c r="U38" s="9">
        <f>L38*in_ticket+M38*d_rep_ticket</f>
        <v/>
      </c>
      <c r="V38" s="9">
        <f>U38+T38*d_topup_amt</f>
        <v/>
      </c>
      <c r="W38" s="40">
        <f>N38+T38*d_topup_ratio</f>
        <v/>
      </c>
      <c r="X38" s="40">
        <f>SUMIFS(W2:W61,B2:B61,B38-in_dpd_lag)*d_cured</f>
        <v/>
      </c>
      <c r="Y38" s="40">
        <f>SUMIFS(W2:W61,B2:B61,B38-in_rec_lag)*d_recd</f>
        <v/>
      </c>
      <c r="Z38" s="40">
        <f>IF(AND(B38&gt;=in_marketplace_from,B38&lt;in_marketplace_from+in_card_months),in_card_share/in_card_months*F38*I38,IF(AND(B38&gt;=in_marketplace_from+in_card_months,B38&lt;in_marketplace_from+2*in_card_months),in_card_share*d_card_rem/in_card_months*F38*MIN(in_takeup_cap,(1+in_takeup_growth)^(D38-1))*MIN(in_takeup_cap,(1+in_approval_growth)^(D38-1)),0))</f>
        <v/>
      </c>
      <c r="AA38" s="14">
        <f>V38*in_fee*(1-in_taken_back)</f>
        <v/>
      </c>
      <c r="AB38" s="14">
        <f>SUMIFS(W2:W61,B2:B61,B38-in_dpd_lag)*d_dpd</f>
        <v/>
      </c>
      <c r="AC38" s="14">
        <f>SUMIFS(W2:W61,B2:B61,B38-in_rec_lag)*d_rec</f>
        <v/>
      </c>
      <c r="AD38" s="14">
        <f>Z38*in_card_fee</f>
        <v/>
      </c>
      <c r="AE38" s="40">
        <f>AE37*(1-IF(B37&gt;=in_marketplace_from,d_hz_hlth_small*G37,0))</f>
        <v/>
      </c>
      <c r="AF38" s="46">
        <f>AE38*IF(B38&gt;=in_marketplace_from,d_hz_hlth_small*G38,0)</f>
        <v/>
      </c>
      <c r="AG38" s="14">
        <f>F38*AF38*in_hlth_small_ticket*in_hlth_small_comm*in_ins_partner_share+F38*in_hlth_small_ticket*in_hlth_small_renew_comm*in_ins_partner_share*(in_hlth_small_renew^1*SUMIFS(AF2:AF61,B2:B61,B38-12)+in_hlth_small_renew^2*SUMIFS(AF2:AF61,B2:B61,B38-24)+in_hlth_small_renew^3*SUMIFS(AF2:AF61,B2:B61,B38-36)+in_hlth_small_renew^4*SUMIFS(AF2:AF61,B2:B61,B38-48))</f>
        <v/>
      </c>
      <c r="AH38" s="40">
        <f>AH37*(1-IF(B37&gt;=in_marketplace_from,d_hz_hlth_family*G37,0))</f>
        <v/>
      </c>
      <c r="AI38" s="46">
        <f>AH38*IF(B38&gt;=in_marketplace_from,d_hz_hlth_family*G38,0)</f>
        <v/>
      </c>
      <c r="AJ38" s="14">
        <f>F38*AI38*in_hlth_family_ticket*in_hlth_family_comm*in_ins_partner_share+F38*in_hlth_family_ticket*in_hlth_family_renew_comm*in_ins_partner_share*(in_hlth_family_renew^1*SUMIFS(AI2:AI61,B2:B61,B38-12)+in_hlth_family_renew^2*SUMIFS(AI2:AI61,B2:B61,B38-24)+in_hlth_family_renew^3*SUMIFS(AI2:AI61,B2:B61,B38-36)+in_hlth_family_renew^4*SUMIFS(AI2:AI61,B2:B61,B38-48))</f>
        <v/>
      </c>
      <c r="AK38" s="40">
        <f>AK37*(1-IF(B37&gt;=in_marketplace_from,d_hz_life_term*G37,0))</f>
        <v/>
      </c>
      <c r="AL38" s="46">
        <f>AK38*IF(B38&gt;=in_marketplace_from,d_hz_life_term*G38,0)</f>
        <v/>
      </c>
      <c r="AM38" s="14">
        <f>F38*AL38*in_life_term_ticket*in_life_term_comm*in_ins_partner_share+F38*in_life_term_ticket*in_life_term_renew_comm*in_ins_partner_share*(in_life_term_renew^1*SUMIFS(AL2:AL61,B2:B61,B38-12)+in_life_term_renew^2*SUMIFS(AL2:AL61,B2:B61,B38-24)+in_life_term_renew^3*SUMIFS(AL2:AL61,B2:B61,B38-36)+in_life_term_renew^4*SUMIFS(AL2:AL61,B2:B61,B38-48))</f>
        <v/>
      </c>
      <c r="AN38" s="40">
        <f>AN37*(1-IF(B37&gt;=in_marketplace_from,d_hz_accident*G37,0))</f>
        <v/>
      </c>
      <c r="AO38" s="46">
        <f>AN38*IF(B38&gt;=in_marketplace_from,d_hz_accident*G38,0)</f>
        <v/>
      </c>
      <c r="AP38" s="14">
        <f>F38*AO38*in_accident_ticket*in_accident_comm*in_ins_partner_share+F38*in_accident_ticket*in_accident_renew_comm*in_ins_partner_share*(in_accident_renew^1*SUMIFS(AO2:AO61,B2:B61,B38-12)+in_accident_renew^2*SUMIFS(AO2:AO61,B2:B61,B38-24)+in_accident_renew^3*SUMIFS(AO2:AO61,B2:B61,B38-36)+in_accident_renew^4*SUMIFS(AO2:AO61,B2:B61,B38-48))</f>
        <v/>
      </c>
      <c r="AQ38" s="40">
        <f>AQ37*(1-IF(B37&gt;=in_marketplace_from,d_hz_two_wheeler*G37,0))</f>
        <v/>
      </c>
      <c r="AR38" s="46">
        <f>AQ38*IF(B38&gt;=in_marketplace_from,d_hz_two_wheeler*G38,0)</f>
        <v/>
      </c>
      <c r="AS38" s="14">
        <f>F38*AR38*in_two_wheeler_ticket*in_two_wheeler_comm*in_ins_partner_share+F38*in_two_wheeler_ticket*in_two_wheeler_comm*in_ins_partner_share*(in_two_wheeler_renew^1*SUMIFS(AR2:AR61,B2:B61,B38-12)+in_two_wheeler_renew^2*SUMIFS(AR2:AR61,B2:B61,B38-24)+in_two_wheeler_renew^3*SUMIFS(AR2:AR61,B2:B61,B38-36)+in_two_wheeler_renew^4*SUMIFS(AR2:AR61,B2:B61,B38-48))</f>
        <v/>
      </c>
      <c r="AT38" s="40">
        <f>AT37*(1-IF(B37&gt;=in_marketplace_from,d_hz_device*G37,0))</f>
        <v/>
      </c>
      <c r="AU38" s="14">
        <f>F38*AT38*IF(B38&gt;=in_marketplace_from,d_hz_device*G38,0)*in_device_ticket*in_device_comm*in_ins_partner_share</f>
        <v/>
      </c>
      <c r="AV38" s="40">
        <f>AV37*(1-IF(B37&gt;=in_marketplace_from,d_hz_shop*G37,0))</f>
        <v/>
      </c>
      <c r="AW38" s="46">
        <f>AV38*IF(B38&gt;=in_marketplace_from,d_hz_shop*G38,0)</f>
        <v/>
      </c>
      <c r="AX38" s="14">
        <f>F38*AW38*in_shop_ticket*in_shop_comm*in_ins_partner_share+F38*in_shop_ticket*in_shop_renew_comm*in_ins_partner_share*(in_shop_renew^1*SUMIFS(AW2:AW61,B2:B61,B38-12)+in_shop_renew^2*SUMIFS(AW2:AW61,B2:B61,B38-24)+in_shop_renew^3*SUMIFS(AW2:AW61,B2:B61,B38-36)+in_shop_renew^4*SUMIFS(AW2:AW61,B2:B61,B38-48))</f>
        <v/>
      </c>
      <c r="AY38" s="40">
        <f>AY37*(1-IF(B37&gt;=in_marketplace_from,d_hz_sip*G37,0))</f>
        <v/>
      </c>
      <c r="AZ38" s="40">
        <f>AZ37*d_rho_sip+AY38*IF(B38&gt;=in_marketplace_from,d_hz_sip*G38,0)</f>
        <v/>
      </c>
      <c r="BA38" s="40">
        <f>d_rho_sip*(BA37+AZ37)</f>
        <v/>
      </c>
      <c r="BB38" s="14">
        <f>F38*in_sip_ticket*(BA38+0.5*AZ38)*in_sip_comm/12</f>
        <v/>
      </c>
      <c r="BC38" s="40">
        <f>BC37*(1-IF(B37&gt;=in_marketplace_from,d_hz_choti*G37,0))</f>
        <v/>
      </c>
      <c r="BD38" s="46">
        <f>BC38*IF(B38&gt;=in_marketplace_from,d_hz_choti*G38,0)</f>
        <v/>
      </c>
      <c r="BE38" s="14">
        <f>F38*SUMIFS(BD2:BD61,B2:B61,B38-in_choti_months)*in_choti_renew*in_choti_ticket</f>
        <v/>
      </c>
      <c r="BF38" s="40">
        <f>BF37*(1-IF(B37&gt;=in_marketplace_from,d_hz_nps*G37,0))</f>
        <v/>
      </c>
      <c r="BG38" s="14">
        <f>F38*BF38*IF(B38&gt;=in_marketplace_from,d_hz_nps*G38,0)*in_nps_ticket*in_nps_comm</f>
        <v/>
      </c>
      <c r="BH38" s="40">
        <f>BH37*(1-IF(B37&gt;=in_marketplace_from,d_hz_gold*G37,0))</f>
        <v/>
      </c>
      <c r="BI38" s="40">
        <f>BI37*d_rho_gold+BH38*IF(B38&gt;=in_marketplace_from,d_hz_gold*G38,0)</f>
        <v/>
      </c>
      <c r="BJ38" s="14">
        <f>F38*BI38*in_gold_ticket*in_gold_comm</f>
        <v/>
      </c>
      <c r="BK38" s="40">
        <f>BK37*(1-IF(B37&gt;=in_marketplace_from,d_hz_fd*G37,0))</f>
        <v/>
      </c>
      <c r="BL38" s="14">
        <f>F38*BK38*IF(B38&gt;=in_marketplace_from,d_hz_fd*G38,0)*in_fd_ticket*in_fd_comm</f>
        <v/>
      </c>
      <c r="BM38" s="40">
        <f>BM37*(1-IF(B37&gt;=in_marketplace_from,d_hz_recharge*G37,0))</f>
        <v/>
      </c>
      <c r="BN38" s="40">
        <f>BN37*d_rho_recharge+BM38*IF(B38&gt;=in_marketplace_from,d_hz_recharge*G38,0)</f>
        <v/>
      </c>
      <c r="BO38" s="14">
        <f>F38*BN38*in_recharge_ticket*in_recharge_comm/12</f>
        <v/>
      </c>
      <c r="BP38" s="40">
        <f>BP37*(1-IF(B37&gt;=in_marketplace_from,d_hz_bills*G37,0))</f>
        <v/>
      </c>
      <c r="BQ38" s="40">
        <f>BQ37*d_rho_bills+BP38*IF(B38&gt;=in_marketplace_from,d_hz_bills*G38,0)</f>
        <v/>
      </c>
      <c r="BR38" s="14">
        <f>F38*BQ38*in_bills_ticket*in_bills_comm/12</f>
        <v/>
      </c>
      <c r="BS38" s="40">
        <f>BS37*(1-IF(B37&gt;=in_marketplace_from,d_hz_loan_gold*G37,0))</f>
        <v/>
      </c>
      <c r="BT38" s="14">
        <f>F38*BS38*IF(B38&gt;=in_marketplace_from,d_hz_loan_gold*G38,0)*in_loan_gold_ticket*in_loan_gold_comm</f>
        <v/>
      </c>
      <c r="BU38" s="40">
        <f>BU37*(1-IF(B37&gt;=in_marketplace_from,d_hz_loan_cd*G37,0))</f>
        <v/>
      </c>
      <c r="BV38" s="14">
        <f>F38*BU38*IF(B38&gt;=in_marketplace_from,d_hz_loan_cd*G38,0)*in_loan_cd_ticket*in_loan_cd_comm</f>
        <v/>
      </c>
      <c r="BW38" s="40">
        <f>BW37*(1-IF(B37&gt;=in_marketplace_from,d_hz_loan_vehicle*G37,0))</f>
        <v/>
      </c>
      <c r="BX38" s="14">
        <f>F38*BW38*IF(B38&gt;=in_marketplace_from,d_hz_loan_vehicle*G38,0)*in_loan_vehicle_ticket*in_loan_vehicle_comm</f>
        <v/>
      </c>
      <c r="BY38" s="40">
        <f>BY37*(1-IF(B37&gt;=in_marketplace_from,d_hz_loan_home*G37,0)*BZ37)</f>
        <v/>
      </c>
      <c r="BZ38" s="11">
        <f>MIN(in_approval_cap,in_loan_home_approval*INDEX('Age profile'!$O$2:$O$61,B38)*(1+in_approval_growth)^(D38-1))</f>
        <v/>
      </c>
      <c r="CA38" s="14">
        <f>F38*BY38*IF(B38&gt;=in_marketplace_from,d_hz_loan_home*G38,0)*BZ38*in_loan_home_ticket*in_loan_home_comm</f>
        <v/>
      </c>
      <c r="CB38" s="40">
        <f>CB37*(1-IF(B37&gt;=in_marketplace_from,d_hz_loan_lap*G37,0)*CC37)</f>
        <v/>
      </c>
      <c r="CC38" s="11">
        <f>MIN(in_approval_cap,in_loan_lap_approval*INDEX('Age profile'!$O$2:$O$61,B38)*(1+in_approval_growth)^(D38-1))</f>
        <v/>
      </c>
      <c r="CD38" s="14">
        <f>F38*CB38*IF(B38&gt;=in_marketplace_from,d_hz_loan_lap*G38,0)*CC38*in_loan_lap_ticket*in_loan_lap_comm</f>
        <v/>
      </c>
      <c r="CE38" s="14">
        <f>AA38+AB38+AC38+AD38+AG38+AJ38+AM38+AP38+AS38+AU38+AX38+BB38+BE38+BG38+BJ38+BL38+BO38+BR38+BT38+BV38+BX38+CA38+CD38</f>
        <v/>
      </c>
    </row>
    <row r="39">
      <c r="A39" s="39" t="n">
        <v>1</v>
      </c>
      <c r="B39" s="39" t="n">
        <v>38</v>
      </c>
      <c r="C39" s="39">
        <f>A39+B39-1</f>
        <v/>
      </c>
      <c r="D39" s="39">
        <f>INT((C39-1)/12)+1</f>
        <v/>
      </c>
      <c r="E39" s="44">
        <f>INDEX(Monthly!$B$2:$B$61,A39)</f>
        <v/>
      </c>
      <c r="F39" s="44">
        <f>E39*INDEX('Age profile'!$B$2:$B$61,B39)</f>
        <v/>
      </c>
      <c r="G39" s="45">
        <f>MIN(in_takeup_cap,INDEX('Age profile'!$N$2:$N$61,B39)*(1+in_takeup_growth)^(D39-1))</f>
        <v/>
      </c>
      <c r="H39" s="11">
        <f>MIN(in_approval_cap,in_approved_first*INDEX('Age profile'!$O$2:$O$61,B39)*(1+in_approval_growth)^(D39-1))</f>
        <v/>
      </c>
      <c r="I39" s="45">
        <f>G39*MIN(in_takeup_cap,INDEX('Age profile'!$O$2:$O$61,B39)*(1+in_approval_growth)^(D39-1))</f>
        <v/>
      </c>
      <c r="J39" s="40">
        <f>(J38-L38)*F39/F38</f>
        <v/>
      </c>
      <c r="K39" s="40">
        <f>(K38-M38)*F39/F38+SUMIFS(O2:O38,B2:B38,B39-1-d_T)*F39</f>
        <v/>
      </c>
      <c r="L39" s="40">
        <f>IF(B39&gt;=in_marketplace_from,J39*d_hz*G39*in_eligible*H39,0)</f>
        <v/>
      </c>
      <c r="M39" s="40">
        <f>IF(B39&gt;=in_marketplace_from,K39*d_hz*G39*in_eligible*in_approved_repeat,0)</f>
        <v/>
      </c>
      <c r="N39" s="40">
        <f>L39+M39</f>
        <v/>
      </c>
      <c r="O39" s="46">
        <f>N39/F39</f>
        <v/>
      </c>
      <c r="P39" s="40">
        <f>F39-J39-K39</f>
        <v/>
      </c>
      <c r="Q39" s="40">
        <f>IF(B39&gt;=in_marketplace_from,(J39+K39)*d_hz*G39,0)</f>
        <v/>
      </c>
      <c r="R39" s="40">
        <f>SUMIFS(N2:N61,B2:B61,"&gt;="&amp;(B39-d_T),B2:B61,"&lt;="&amp;(B39-1))</f>
        <v/>
      </c>
      <c r="S39" s="46">
        <f>(1-d_u)*S38+IF(d_T&gt;in_topup_lag,SUMIFS(O2:O61,B2:B61,B39-in_topup_lag)-d_udrop*SUMIFS(O2:O61,B2:B61,B39-d_T),0)</f>
        <v/>
      </c>
      <c r="T39" s="40">
        <f>F39*d_u*S39</f>
        <v/>
      </c>
      <c r="U39" s="9">
        <f>L39*in_ticket+M39*d_rep_ticket</f>
        <v/>
      </c>
      <c r="V39" s="9">
        <f>U39+T39*d_topup_amt</f>
        <v/>
      </c>
      <c r="W39" s="40">
        <f>N39+T39*d_topup_ratio</f>
        <v/>
      </c>
      <c r="X39" s="40">
        <f>SUMIFS(W2:W61,B2:B61,B39-in_dpd_lag)*d_cured</f>
        <v/>
      </c>
      <c r="Y39" s="40">
        <f>SUMIFS(W2:W61,B2:B61,B39-in_rec_lag)*d_recd</f>
        <v/>
      </c>
      <c r="Z39" s="40">
        <f>IF(AND(B39&gt;=in_marketplace_from,B39&lt;in_marketplace_from+in_card_months),in_card_share/in_card_months*F39*I39,IF(AND(B39&gt;=in_marketplace_from+in_card_months,B39&lt;in_marketplace_from+2*in_card_months),in_card_share*d_card_rem/in_card_months*F39*MIN(in_takeup_cap,(1+in_takeup_growth)^(D39-1))*MIN(in_takeup_cap,(1+in_approval_growth)^(D39-1)),0))</f>
        <v/>
      </c>
      <c r="AA39" s="14">
        <f>V39*in_fee*(1-in_taken_back)</f>
        <v/>
      </c>
      <c r="AB39" s="14">
        <f>SUMIFS(W2:W61,B2:B61,B39-in_dpd_lag)*d_dpd</f>
        <v/>
      </c>
      <c r="AC39" s="14">
        <f>SUMIFS(W2:W61,B2:B61,B39-in_rec_lag)*d_rec</f>
        <v/>
      </c>
      <c r="AD39" s="14">
        <f>Z39*in_card_fee</f>
        <v/>
      </c>
      <c r="AE39" s="40">
        <f>AE38*(1-IF(B38&gt;=in_marketplace_from,d_hz_hlth_small*G38,0))</f>
        <v/>
      </c>
      <c r="AF39" s="46">
        <f>AE39*IF(B39&gt;=in_marketplace_from,d_hz_hlth_small*G39,0)</f>
        <v/>
      </c>
      <c r="AG39" s="14">
        <f>F39*AF39*in_hlth_small_ticket*in_hlth_small_comm*in_ins_partner_share+F39*in_hlth_small_ticket*in_hlth_small_renew_comm*in_ins_partner_share*(in_hlth_small_renew^1*SUMIFS(AF2:AF61,B2:B61,B39-12)+in_hlth_small_renew^2*SUMIFS(AF2:AF61,B2:B61,B39-24)+in_hlth_small_renew^3*SUMIFS(AF2:AF61,B2:B61,B39-36)+in_hlth_small_renew^4*SUMIFS(AF2:AF61,B2:B61,B39-48))</f>
        <v/>
      </c>
      <c r="AH39" s="40">
        <f>AH38*(1-IF(B38&gt;=in_marketplace_from,d_hz_hlth_family*G38,0))</f>
        <v/>
      </c>
      <c r="AI39" s="46">
        <f>AH39*IF(B39&gt;=in_marketplace_from,d_hz_hlth_family*G39,0)</f>
        <v/>
      </c>
      <c r="AJ39" s="14">
        <f>F39*AI39*in_hlth_family_ticket*in_hlth_family_comm*in_ins_partner_share+F39*in_hlth_family_ticket*in_hlth_family_renew_comm*in_ins_partner_share*(in_hlth_family_renew^1*SUMIFS(AI2:AI61,B2:B61,B39-12)+in_hlth_family_renew^2*SUMIFS(AI2:AI61,B2:B61,B39-24)+in_hlth_family_renew^3*SUMIFS(AI2:AI61,B2:B61,B39-36)+in_hlth_family_renew^4*SUMIFS(AI2:AI61,B2:B61,B39-48))</f>
        <v/>
      </c>
      <c r="AK39" s="40">
        <f>AK38*(1-IF(B38&gt;=in_marketplace_from,d_hz_life_term*G38,0))</f>
        <v/>
      </c>
      <c r="AL39" s="46">
        <f>AK39*IF(B39&gt;=in_marketplace_from,d_hz_life_term*G39,0)</f>
        <v/>
      </c>
      <c r="AM39" s="14">
        <f>F39*AL39*in_life_term_ticket*in_life_term_comm*in_ins_partner_share+F39*in_life_term_ticket*in_life_term_renew_comm*in_ins_partner_share*(in_life_term_renew^1*SUMIFS(AL2:AL61,B2:B61,B39-12)+in_life_term_renew^2*SUMIFS(AL2:AL61,B2:B61,B39-24)+in_life_term_renew^3*SUMIFS(AL2:AL61,B2:B61,B39-36)+in_life_term_renew^4*SUMIFS(AL2:AL61,B2:B61,B39-48))</f>
        <v/>
      </c>
      <c r="AN39" s="40">
        <f>AN38*(1-IF(B38&gt;=in_marketplace_from,d_hz_accident*G38,0))</f>
        <v/>
      </c>
      <c r="AO39" s="46">
        <f>AN39*IF(B39&gt;=in_marketplace_from,d_hz_accident*G39,0)</f>
        <v/>
      </c>
      <c r="AP39" s="14">
        <f>F39*AO39*in_accident_ticket*in_accident_comm*in_ins_partner_share+F39*in_accident_ticket*in_accident_renew_comm*in_ins_partner_share*(in_accident_renew^1*SUMIFS(AO2:AO61,B2:B61,B39-12)+in_accident_renew^2*SUMIFS(AO2:AO61,B2:B61,B39-24)+in_accident_renew^3*SUMIFS(AO2:AO61,B2:B61,B39-36)+in_accident_renew^4*SUMIFS(AO2:AO61,B2:B61,B39-48))</f>
        <v/>
      </c>
      <c r="AQ39" s="40">
        <f>AQ38*(1-IF(B38&gt;=in_marketplace_from,d_hz_two_wheeler*G38,0))</f>
        <v/>
      </c>
      <c r="AR39" s="46">
        <f>AQ39*IF(B39&gt;=in_marketplace_from,d_hz_two_wheeler*G39,0)</f>
        <v/>
      </c>
      <c r="AS39" s="14">
        <f>F39*AR39*in_two_wheeler_ticket*in_two_wheeler_comm*in_ins_partner_share+F39*in_two_wheeler_ticket*in_two_wheeler_comm*in_ins_partner_share*(in_two_wheeler_renew^1*SUMIFS(AR2:AR61,B2:B61,B39-12)+in_two_wheeler_renew^2*SUMIFS(AR2:AR61,B2:B61,B39-24)+in_two_wheeler_renew^3*SUMIFS(AR2:AR61,B2:B61,B39-36)+in_two_wheeler_renew^4*SUMIFS(AR2:AR61,B2:B61,B39-48))</f>
        <v/>
      </c>
      <c r="AT39" s="40">
        <f>AT38*(1-IF(B38&gt;=in_marketplace_from,d_hz_device*G38,0))</f>
        <v/>
      </c>
      <c r="AU39" s="14">
        <f>F39*AT39*IF(B39&gt;=in_marketplace_from,d_hz_device*G39,0)*in_device_ticket*in_device_comm*in_ins_partner_share</f>
        <v/>
      </c>
      <c r="AV39" s="40">
        <f>AV38*(1-IF(B38&gt;=in_marketplace_from,d_hz_shop*G38,0))</f>
        <v/>
      </c>
      <c r="AW39" s="46">
        <f>AV39*IF(B39&gt;=in_marketplace_from,d_hz_shop*G39,0)</f>
        <v/>
      </c>
      <c r="AX39" s="14">
        <f>F39*AW39*in_shop_ticket*in_shop_comm*in_ins_partner_share+F39*in_shop_ticket*in_shop_renew_comm*in_ins_partner_share*(in_shop_renew^1*SUMIFS(AW2:AW61,B2:B61,B39-12)+in_shop_renew^2*SUMIFS(AW2:AW61,B2:B61,B39-24)+in_shop_renew^3*SUMIFS(AW2:AW61,B2:B61,B39-36)+in_shop_renew^4*SUMIFS(AW2:AW61,B2:B61,B39-48))</f>
        <v/>
      </c>
      <c r="AY39" s="40">
        <f>AY38*(1-IF(B38&gt;=in_marketplace_from,d_hz_sip*G38,0))</f>
        <v/>
      </c>
      <c r="AZ39" s="40">
        <f>AZ38*d_rho_sip+AY39*IF(B39&gt;=in_marketplace_from,d_hz_sip*G39,0)</f>
        <v/>
      </c>
      <c r="BA39" s="40">
        <f>d_rho_sip*(BA38+AZ38)</f>
        <v/>
      </c>
      <c r="BB39" s="14">
        <f>F39*in_sip_ticket*(BA39+0.5*AZ39)*in_sip_comm/12</f>
        <v/>
      </c>
      <c r="BC39" s="40">
        <f>BC38*(1-IF(B38&gt;=in_marketplace_from,d_hz_choti*G38,0))</f>
        <v/>
      </c>
      <c r="BD39" s="46">
        <f>BC39*IF(B39&gt;=in_marketplace_from,d_hz_choti*G39,0)</f>
        <v/>
      </c>
      <c r="BE39" s="14">
        <f>F39*SUMIFS(BD2:BD61,B2:B61,B39-in_choti_months)*in_choti_renew*in_choti_ticket</f>
        <v/>
      </c>
      <c r="BF39" s="40">
        <f>BF38*(1-IF(B38&gt;=in_marketplace_from,d_hz_nps*G38,0))</f>
        <v/>
      </c>
      <c r="BG39" s="14">
        <f>F39*BF39*IF(B39&gt;=in_marketplace_from,d_hz_nps*G39,0)*in_nps_ticket*in_nps_comm</f>
        <v/>
      </c>
      <c r="BH39" s="40">
        <f>BH38*(1-IF(B38&gt;=in_marketplace_from,d_hz_gold*G38,0))</f>
        <v/>
      </c>
      <c r="BI39" s="40">
        <f>BI38*d_rho_gold+BH39*IF(B39&gt;=in_marketplace_from,d_hz_gold*G39,0)</f>
        <v/>
      </c>
      <c r="BJ39" s="14">
        <f>F39*BI39*in_gold_ticket*in_gold_comm</f>
        <v/>
      </c>
      <c r="BK39" s="40">
        <f>BK38*(1-IF(B38&gt;=in_marketplace_from,d_hz_fd*G38,0))</f>
        <v/>
      </c>
      <c r="BL39" s="14">
        <f>F39*BK39*IF(B39&gt;=in_marketplace_from,d_hz_fd*G39,0)*in_fd_ticket*in_fd_comm</f>
        <v/>
      </c>
      <c r="BM39" s="40">
        <f>BM38*(1-IF(B38&gt;=in_marketplace_from,d_hz_recharge*G38,0))</f>
        <v/>
      </c>
      <c r="BN39" s="40">
        <f>BN38*d_rho_recharge+BM39*IF(B39&gt;=in_marketplace_from,d_hz_recharge*G39,0)</f>
        <v/>
      </c>
      <c r="BO39" s="14">
        <f>F39*BN39*in_recharge_ticket*in_recharge_comm/12</f>
        <v/>
      </c>
      <c r="BP39" s="40">
        <f>BP38*(1-IF(B38&gt;=in_marketplace_from,d_hz_bills*G38,0))</f>
        <v/>
      </c>
      <c r="BQ39" s="40">
        <f>BQ38*d_rho_bills+BP39*IF(B39&gt;=in_marketplace_from,d_hz_bills*G39,0)</f>
        <v/>
      </c>
      <c r="BR39" s="14">
        <f>F39*BQ39*in_bills_ticket*in_bills_comm/12</f>
        <v/>
      </c>
      <c r="BS39" s="40">
        <f>BS38*(1-IF(B38&gt;=in_marketplace_from,d_hz_loan_gold*G38,0))</f>
        <v/>
      </c>
      <c r="BT39" s="14">
        <f>F39*BS39*IF(B39&gt;=in_marketplace_from,d_hz_loan_gold*G39,0)*in_loan_gold_ticket*in_loan_gold_comm</f>
        <v/>
      </c>
      <c r="BU39" s="40">
        <f>BU38*(1-IF(B38&gt;=in_marketplace_from,d_hz_loan_cd*G38,0))</f>
        <v/>
      </c>
      <c r="BV39" s="14">
        <f>F39*BU39*IF(B39&gt;=in_marketplace_from,d_hz_loan_cd*G39,0)*in_loan_cd_ticket*in_loan_cd_comm</f>
        <v/>
      </c>
      <c r="BW39" s="40">
        <f>BW38*(1-IF(B38&gt;=in_marketplace_from,d_hz_loan_vehicle*G38,0))</f>
        <v/>
      </c>
      <c r="BX39" s="14">
        <f>F39*BW39*IF(B39&gt;=in_marketplace_from,d_hz_loan_vehicle*G39,0)*in_loan_vehicle_ticket*in_loan_vehicle_comm</f>
        <v/>
      </c>
      <c r="BY39" s="40">
        <f>BY38*(1-IF(B38&gt;=in_marketplace_from,d_hz_loan_home*G38,0)*BZ38)</f>
        <v/>
      </c>
      <c r="BZ39" s="11">
        <f>MIN(in_approval_cap,in_loan_home_approval*INDEX('Age profile'!$O$2:$O$61,B39)*(1+in_approval_growth)^(D39-1))</f>
        <v/>
      </c>
      <c r="CA39" s="14">
        <f>F39*BY39*IF(B39&gt;=in_marketplace_from,d_hz_loan_home*G39,0)*BZ39*in_loan_home_ticket*in_loan_home_comm</f>
        <v/>
      </c>
      <c r="CB39" s="40">
        <f>CB38*(1-IF(B38&gt;=in_marketplace_from,d_hz_loan_lap*G38,0)*CC38)</f>
        <v/>
      </c>
      <c r="CC39" s="11">
        <f>MIN(in_approval_cap,in_loan_lap_approval*INDEX('Age profile'!$O$2:$O$61,B39)*(1+in_approval_growth)^(D39-1))</f>
        <v/>
      </c>
      <c r="CD39" s="14">
        <f>F39*CB39*IF(B39&gt;=in_marketplace_from,d_hz_loan_lap*G39,0)*CC39*in_loan_lap_ticket*in_loan_lap_comm</f>
        <v/>
      </c>
      <c r="CE39" s="14">
        <f>AA39+AB39+AC39+AD39+AG39+AJ39+AM39+AP39+AS39+AU39+AX39+BB39+BE39+BG39+BJ39+BL39+BO39+BR39+BT39+BV39+BX39+CA39+CD39</f>
        <v/>
      </c>
    </row>
    <row r="40">
      <c r="A40" s="39" t="n">
        <v>1</v>
      </c>
      <c r="B40" s="39" t="n">
        <v>39</v>
      </c>
      <c r="C40" s="39">
        <f>A40+B40-1</f>
        <v/>
      </c>
      <c r="D40" s="39">
        <f>INT((C40-1)/12)+1</f>
        <v/>
      </c>
      <c r="E40" s="44">
        <f>INDEX(Monthly!$B$2:$B$61,A40)</f>
        <v/>
      </c>
      <c r="F40" s="44">
        <f>E40*INDEX('Age profile'!$B$2:$B$61,B40)</f>
        <v/>
      </c>
      <c r="G40" s="45">
        <f>MIN(in_takeup_cap,INDEX('Age profile'!$N$2:$N$61,B40)*(1+in_takeup_growth)^(D40-1))</f>
        <v/>
      </c>
      <c r="H40" s="11">
        <f>MIN(in_approval_cap,in_approved_first*INDEX('Age profile'!$O$2:$O$61,B40)*(1+in_approval_growth)^(D40-1))</f>
        <v/>
      </c>
      <c r="I40" s="45">
        <f>G40*MIN(in_takeup_cap,INDEX('Age profile'!$O$2:$O$61,B40)*(1+in_approval_growth)^(D40-1))</f>
        <v/>
      </c>
      <c r="J40" s="40">
        <f>(J39-L39)*F40/F39</f>
        <v/>
      </c>
      <c r="K40" s="40">
        <f>(K39-M39)*F40/F39+SUMIFS(O2:O39,B2:B39,B40-1-d_T)*F40</f>
        <v/>
      </c>
      <c r="L40" s="40">
        <f>IF(B40&gt;=in_marketplace_from,J40*d_hz*G40*in_eligible*H40,0)</f>
        <v/>
      </c>
      <c r="M40" s="40">
        <f>IF(B40&gt;=in_marketplace_from,K40*d_hz*G40*in_eligible*in_approved_repeat,0)</f>
        <v/>
      </c>
      <c r="N40" s="40">
        <f>L40+M40</f>
        <v/>
      </c>
      <c r="O40" s="46">
        <f>N40/F40</f>
        <v/>
      </c>
      <c r="P40" s="40">
        <f>F40-J40-K40</f>
        <v/>
      </c>
      <c r="Q40" s="40">
        <f>IF(B40&gt;=in_marketplace_from,(J40+K40)*d_hz*G40,0)</f>
        <v/>
      </c>
      <c r="R40" s="40">
        <f>SUMIFS(N2:N61,B2:B61,"&gt;="&amp;(B40-d_T),B2:B61,"&lt;="&amp;(B40-1))</f>
        <v/>
      </c>
      <c r="S40" s="46">
        <f>(1-d_u)*S39+IF(d_T&gt;in_topup_lag,SUMIFS(O2:O61,B2:B61,B40-in_topup_lag)-d_udrop*SUMIFS(O2:O61,B2:B61,B40-d_T),0)</f>
        <v/>
      </c>
      <c r="T40" s="40">
        <f>F40*d_u*S40</f>
        <v/>
      </c>
      <c r="U40" s="9">
        <f>L40*in_ticket+M40*d_rep_ticket</f>
        <v/>
      </c>
      <c r="V40" s="9">
        <f>U40+T40*d_topup_amt</f>
        <v/>
      </c>
      <c r="W40" s="40">
        <f>N40+T40*d_topup_ratio</f>
        <v/>
      </c>
      <c r="X40" s="40">
        <f>SUMIFS(W2:W61,B2:B61,B40-in_dpd_lag)*d_cured</f>
        <v/>
      </c>
      <c r="Y40" s="40">
        <f>SUMIFS(W2:W61,B2:B61,B40-in_rec_lag)*d_recd</f>
        <v/>
      </c>
      <c r="Z40" s="40">
        <f>IF(AND(B40&gt;=in_marketplace_from,B40&lt;in_marketplace_from+in_card_months),in_card_share/in_card_months*F40*I40,IF(AND(B40&gt;=in_marketplace_from+in_card_months,B40&lt;in_marketplace_from+2*in_card_months),in_card_share*d_card_rem/in_card_months*F40*MIN(in_takeup_cap,(1+in_takeup_growth)^(D40-1))*MIN(in_takeup_cap,(1+in_approval_growth)^(D40-1)),0))</f>
        <v/>
      </c>
      <c r="AA40" s="14">
        <f>V40*in_fee*(1-in_taken_back)</f>
        <v/>
      </c>
      <c r="AB40" s="14">
        <f>SUMIFS(W2:W61,B2:B61,B40-in_dpd_lag)*d_dpd</f>
        <v/>
      </c>
      <c r="AC40" s="14">
        <f>SUMIFS(W2:W61,B2:B61,B40-in_rec_lag)*d_rec</f>
        <v/>
      </c>
      <c r="AD40" s="14">
        <f>Z40*in_card_fee</f>
        <v/>
      </c>
      <c r="AE40" s="40">
        <f>AE39*(1-IF(B39&gt;=in_marketplace_from,d_hz_hlth_small*G39,0))</f>
        <v/>
      </c>
      <c r="AF40" s="46">
        <f>AE40*IF(B40&gt;=in_marketplace_from,d_hz_hlth_small*G40,0)</f>
        <v/>
      </c>
      <c r="AG40" s="14">
        <f>F40*AF40*in_hlth_small_ticket*in_hlth_small_comm*in_ins_partner_share+F40*in_hlth_small_ticket*in_hlth_small_renew_comm*in_ins_partner_share*(in_hlth_small_renew^1*SUMIFS(AF2:AF61,B2:B61,B40-12)+in_hlth_small_renew^2*SUMIFS(AF2:AF61,B2:B61,B40-24)+in_hlth_small_renew^3*SUMIFS(AF2:AF61,B2:B61,B40-36)+in_hlth_small_renew^4*SUMIFS(AF2:AF61,B2:B61,B40-48))</f>
        <v/>
      </c>
      <c r="AH40" s="40">
        <f>AH39*(1-IF(B39&gt;=in_marketplace_from,d_hz_hlth_family*G39,0))</f>
        <v/>
      </c>
      <c r="AI40" s="46">
        <f>AH40*IF(B40&gt;=in_marketplace_from,d_hz_hlth_family*G40,0)</f>
        <v/>
      </c>
      <c r="AJ40" s="14">
        <f>F40*AI40*in_hlth_family_ticket*in_hlth_family_comm*in_ins_partner_share+F40*in_hlth_family_ticket*in_hlth_family_renew_comm*in_ins_partner_share*(in_hlth_family_renew^1*SUMIFS(AI2:AI61,B2:B61,B40-12)+in_hlth_family_renew^2*SUMIFS(AI2:AI61,B2:B61,B40-24)+in_hlth_family_renew^3*SUMIFS(AI2:AI61,B2:B61,B40-36)+in_hlth_family_renew^4*SUMIFS(AI2:AI61,B2:B61,B40-48))</f>
        <v/>
      </c>
      <c r="AK40" s="40">
        <f>AK39*(1-IF(B39&gt;=in_marketplace_from,d_hz_life_term*G39,0))</f>
        <v/>
      </c>
      <c r="AL40" s="46">
        <f>AK40*IF(B40&gt;=in_marketplace_from,d_hz_life_term*G40,0)</f>
        <v/>
      </c>
      <c r="AM40" s="14">
        <f>F40*AL40*in_life_term_ticket*in_life_term_comm*in_ins_partner_share+F40*in_life_term_ticket*in_life_term_renew_comm*in_ins_partner_share*(in_life_term_renew^1*SUMIFS(AL2:AL61,B2:B61,B40-12)+in_life_term_renew^2*SUMIFS(AL2:AL61,B2:B61,B40-24)+in_life_term_renew^3*SUMIFS(AL2:AL61,B2:B61,B40-36)+in_life_term_renew^4*SUMIFS(AL2:AL61,B2:B61,B40-48))</f>
        <v/>
      </c>
      <c r="AN40" s="40">
        <f>AN39*(1-IF(B39&gt;=in_marketplace_from,d_hz_accident*G39,0))</f>
        <v/>
      </c>
      <c r="AO40" s="46">
        <f>AN40*IF(B40&gt;=in_marketplace_from,d_hz_accident*G40,0)</f>
        <v/>
      </c>
      <c r="AP40" s="14">
        <f>F40*AO40*in_accident_ticket*in_accident_comm*in_ins_partner_share+F40*in_accident_ticket*in_accident_renew_comm*in_ins_partner_share*(in_accident_renew^1*SUMIFS(AO2:AO61,B2:B61,B40-12)+in_accident_renew^2*SUMIFS(AO2:AO61,B2:B61,B40-24)+in_accident_renew^3*SUMIFS(AO2:AO61,B2:B61,B40-36)+in_accident_renew^4*SUMIFS(AO2:AO61,B2:B61,B40-48))</f>
        <v/>
      </c>
      <c r="AQ40" s="40">
        <f>AQ39*(1-IF(B39&gt;=in_marketplace_from,d_hz_two_wheeler*G39,0))</f>
        <v/>
      </c>
      <c r="AR40" s="46">
        <f>AQ40*IF(B40&gt;=in_marketplace_from,d_hz_two_wheeler*G40,0)</f>
        <v/>
      </c>
      <c r="AS40" s="14">
        <f>F40*AR40*in_two_wheeler_ticket*in_two_wheeler_comm*in_ins_partner_share+F40*in_two_wheeler_ticket*in_two_wheeler_comm*in_ins_partner_share*(in_two_wheeler_renew^1*SUMIFS(AR2:AR61,B2:B61,B40-12)+in_two_wheeler_renew^2*SUMIFS(AR2:AR61,B2:B61,B40-24)+in_two_wheeler_renew^3*SUMIFS(AR2:AR61,B2:B61,B40-36)+in_two_wheeler_renew^4*SUMIFS(AR2:AR61,B2:B61,B40-48))</f>
        <v/>
      </c>
      <c r="AT40" s="40">
        <f>AT39*(1-IF(B39&gt;=in_marketplace_from,d_hz_device*G39,0))</f>
        <v/>
      </c>
      <c r="AU40" s="14">
        <f>F40*AT40*IF(B40&gt;=in_marketplace_from,d_hz_device*G40,0)*in_device_ticket*in_device_comm*in_ins_partner_share</f>
        <v/>
      </c>
      <c r="AV40" s="40">
        <f>AV39*(1-IF(B39&gt;=in_marketplace_from,d_hz_shop*G39,0))</f>
        <v/>
      </c>
      <c r="AW40" s="46">
        <f>AV40*IF(B40&gt;=in_marketplace_from,d_hz_shop*G40,0)</f>
        <v/>
      </c>
      <c r="AX40" s="14">
        <f>F40*AW40*in_shop_ticket*in_shop_comm*in_ins_partner_share+F40*in_shop_ticket*in_shop_renew_comm*in_ins_partner_share*(in_shop_renew^1*SUMIFS(AW2:AW61,B2:B61,B40-12)+in_shop_renew^2*SUMIFS(AW2:AW61,B2:B61,B40-24)+in_shop_renew^3*SUMIFS(AW2:AW61,B2:B61,B40-36)+in_shop_renew^4*SUMIFS(AW2:AW61,B2:B61,B40-48))</f>
        <v/>
      </c>
      <c r="AY40" s="40">
        <f>AY39*(1-IF(B39&gt;=in_marketplace_from,d_hz_sip*G39,0))</f>
        <v/>
      </c>
      <c r="AZ40" s="40">
        <f>AZ39*d_rho_sip+AY40*IF(B40&gt;=in_marketplace_from,d_hz_sip*G40,0)</f>
        <v/>
      </c>
      <c r="BA40" s="40">
        <f>d_rho_sip*(BA39+AZ39)</f>
        <v/>
      </c>
      <c r="BB40" s="14">
        <f>F40*in_sip_ticket*(BA40+0.5*AZ40)*in_sip_comm/12</f>
        <v/>
      </c>
      <c r="BC40" s="40">
        <f>BC39*(1-IF(B39&gt;=in_marketplace_from,d_hz_choti*G39,0))</f>
        <v/>
      </c>
      <c r="BD40" s="46">
        <f>BC40*IF(B40&gt;=in_marketplace_from,d_hz_choti*G40,0)</f>
        <v/>
      </c>
      <c r="BE40" s="14">
        <f>F40*SUMIFS(BD2:BD61,B2:B61,B40-in_choti_months)*in_choti_renew*in_choti_ticket</f>
        <v/>
      </c>
      <c r="BF40" s="40">
        <f>BF39*(1-IF(B39&gt;=in_marketplace_from,d_hz_nps*G39,0))</f>
        <v/>
      </c>
      <c r="BG40" s="14">
        <f>F40*BF40*IF(B40&gt;=in_marketplace_from,d_hz_nps*G40,0)*in_nps_ticket*in_nps_comm</f>
        <v/>
      </c>
      <c r="BH40" s="40">
        <f>BH39*(1-IF(B39&gt;=in_marketplace_from,d_hz_gold*G39,0))</f>
        <v/>
      </c>
      <c r="BI40" s="40">
        <f>BI39*d_rho_gold+BH40*IF(B40&gt;=in_marketplace_from,d_hz_gold*G40,0)</f>
        <v/>
      </c>
      <c r="BJ40" s="14">
        <f>F40*BI40*in_gold_ticket*in_gold_comm</f>
        <v/>
      </c>
      <c r="BK40" s="40">
        <f>BK39*(1-IF(B39&gt;=in_marketplace_from,d_hz_fd*G39,0))</f>
        <v/>
      </c>
      <c r="BL40" s="14">
        <f>F40*BK40*IF(B40&gt;=in_marketplace_from,d_hz_fd*G40,0)*in_fd_ticket*in_fd_comm</f>
        <v/>
      </c>
      <c r="BM40" s="40">
        <f>BM39*(1-IF(B39&gt;=in_marketplace_from,d_hz_recharge*G39,0))</f>
        <v/>
      </c>
      <c r="BN40" s="40">
        <f>BN39*d_rho_recharge+BM40*IF(B40&gt;=in_marketplace_from,d_hz_recharge*G40,0)</f>
        <v/>
      </c>
      <c r="BO40" s="14">
        <f>F40*BN40*in_recharge_ticket*in_recharge_comm/12</f>
        <v/>
      </c>
      <c r="BP40" s="40">
        <f>BP39*(1-IF(B39&gt;=in_marketplace_from,d_hz_bills*G39,0))</f>
        <v/>
      </c>
      <c r="BQ40" s="40">
        <f>BQ39*d_rho_bills+BP40*IF(B40&gt;=in_marketplace_from,d_hz_bills*G40,0)</f>
        <v/>
      </c>
      <c r="BR40" s="14">
        <f>F40*BQ40*in_bills_ticket*in_bills_comm/12</f>
        <v/>
      </c>
      <c r="BS40" s="40">
        <f>BS39*(1-IF(B39&gt;=in_marketplace_from,d_hz_loan_gold*G39,0))</f>
        <v/>
      </c>
      <c r="BT40" s="14">
        <f>F40*BS40*IF(B40&gt;=in_marketplace_from,d_hz_loan_gold*G40,0)*in_loan_gold_ticket*in_loan_gold_comm</f>
        <v/>
      </c>
      <c r="BU40" s="40">
        <f>BU39*(1-IF(B39&gt;=in_marketplace_from,d_hz_loan_cd*G39,0))</f>
        <v/>
      </c>
      <c r="BV40" s="14">
        <f>F40*BU40*IF(B40&gt;=in_marketplace_from,d_hz_loan_cd*G40,0)*in_loan_cd_ticket*in_loan_cd_comm</f>
        <v/>
      </c>
      <c r="BW40" s="40">
        <f>BW39*(1-IF(B39&gt;=in_marketplace_from,d_hz_loan_vehicle*G39,0))</f>
        <v/>
      </c>
      <c r="BX40" s="14">
        <f>F40*BW40*IF(B40&gt;=in_marketplace_from,d_hz_loan_vehicle*G40,0)*in_loan_vehicle_ticket*in_loan_vehicle_comm</f>
        <v/>
      </c>
      <c r="BY40" s="40">
        <f>BY39*(1-IF(B39&gt;=in_marketplace_from,d_hz_loan_home*G39,0)*BZ39)</f>
        <v/>
      </c>
      <c r="BZ40" s="11">
        <f>MIN(in_approval_cap,in_loan_home_approval*INDEX('Age profile'!$O$2:$O$61,B40)*(1+in_approval_growth)^(D40-1))</f>
        <v/>
      </c>
      <c r="CA40" s="14">
        <f>F40*BY40*IF(B40&gt;=in_marketplace_from,d_hz_loan_home*G40,0)*BZ40*in_loan_home_ticket*in_loan_home_comm</f>
        <v/>
      </c>
      <c r="CB40" s="40">
        <f>CB39*(1-IF(B39&gt;=in_marketplace_from,d_hz_loan_lap*G39,0)*CC39)</f>
        <v/>
      </c>
      <c r="CC40" s="11">
        <f>MIN(in_approval_cap,in_loan_lap_approval*INDEX('Age profile'!$O$2:$O$61,B40)*(1+in_approval_growth)^(D40-1))</f>
        <v/>
      </c>
      <c r="CD40" s="14">
        <f>F40*CB40*IF(B40&gt;=in_marketplace_from,d_hz_loan_lap*G40,0)*CC40*in_loan_lap_ticket*in_loan_lap_comm</f>
        <v/>
      </c>
      <c r="CE40" s="14">
        <f>AA40+AB40+AC40+AD40+AG40+AJ40+AM40+AP40+AS40+AU40+AX40+BB40+BE40+BG40+BJ40+BL40+BO40+BR40+BT40+BV40+BX40+CA40+CD40</f>
        <v/>
      </c>
    </row>
    <row r="41">
      <c r="A41" s="39" t="n">
        <v>1</v>
      </c>
      <c r="B41" s="39" t="n">
        <v>40</v>
      </c>
      <c r="C41" s="39">
        <f>A41+B41-1</f>
        <v/>
      </c>
      <c r="D41" s="39">
        <f>INT((C41-1)/12)+1</f>
        <v/>
      </c>
      <c r="E41" s="44">
        <f>INDEX(Monthly!$B$2:$B$61,A41)</f>
        <v/>
      </c>
      <c r="F41" s="44">
        <f>E41*INDEX('Age profile'!$B$2:$B$61,B41)</f>
        <v/>
      </c>
      <c r="G41" s="45">
        <f>MIN(in_takeup_cap,INDEX('Age profile'!$N$2:$N$61,B41)*(1+in_takeup_growth)^(D41-1))</f>
        <v/>
      </c>
      <c r="H41" s="11">
        <f>MIN(in_approval_cap,in_approved_first*INDEX('Age profile'!$O$2:$O$61,B41)*(1+in_approval_growth)^(D41-1))</f>
        <v/>
      </c>
      <c r="I41" s="45">
        <f>G41*MIN(in_takeup_cap,INDEX('Age profile'!$O$2:$O$61,B41)*(1+in_approval_growth)^(D41-1))</f>
        <v/>
      </c>
      <c r="J41" s="40">
        <f>(J40-L40)*F41/F40</f>
        <v/>
      </c>
      <c r="K41" s="40">
        <f>(K40-M40)*F41/F40+SUMIFS(O2:O40,B2:B40,B41-1-d_T)*F41</f>
        <v/>
      </c>
      <c r="L41" s="40">
        <f>IF(B41&gt;=in_marketplace_from,J41*d_hz*G41*in_eligible*H41,0)</f>
        <v/>
      </c>
      <c r="M41" s="40">
        <f>IF(B41&gt;=in_marketplace_from,K41*d_hz*G41*in_eligible*in_approved_repeat,0)</f>
        <v/>
      </c>
      <c r="N41" s="40">
        <f>L41+M41</f>
        <v/>
      </c>
      <c r="O41" s="46">
        <f>N41/F41</f>
        <v/>
      </c>
      <c r="P41" s="40">
        <f>F41-J41-K41</f>
        <v/>
      </c>
      <c r="Q41" s="40">
        <f>IF(B41&gt;=in_marketplace_from,(J41+K41)*d_hz*G41,0)</f>
        <v/>
      </c>
      <c r="R41" s="40">
        <f>SUMIFS(N2:N61,B2:B61,"&gt;="&amp;(B41-d_T),B2:B61,"&lt;="&amp;(B41-1))</f>
        <v/>
      </c>
      <c r="S41" s="46">
        <f>(1-d_u)*S40+IF(d_T&gt;in_topup_lag,SUMIFS(O2:O61,B2:B61,B41-in_topup_lag)-d_udrop*SUMIFS(O2:O61,B2:B61,B41-d_T),0)</f>
        <v/>
      </c>
      <c r="T41" s="40">
        <f>F41*d_u*S41</f>
        <v/>
      </c>
      <c r="U41" s="9">
        <f>L41*in_ticket+M41*d_rep_ticket</f>
        <v/>
      </c>
      <c r="V41" s="9">
        <f>U41+T41*d_topup_amt</f>
        <v/>
      </c>
      <c r="W41" s="40">
        <f>N41+T41*d_topup_ratio</f>
        <v/>
      </c>
      <c r="X41" s="40">
        <f>SUMIFS(W2:W61,B2:B61,B41-in_dpd_lag)*d_cured</f>
        <v/>
      </c>
      <c r="Y41" s="40">
        <f>SUMIFS(W2:W61,B2:B61,B41-in_rec_lag)*d_recd</f>
        <v/>
      </c>
      <c r="Z41" s="40">
        <f>IF(AND(B41&gt;=in_marketplace_from,B41&lt;in_marketplace_from+in_card_months),in_card_share/in_card_months*F41*I41,IF(AND(B41&gt;=in_marketplace_from+in_card_months,B41&lt;in_marketplace_from+2*in_card_months),in_card_share*d_card_rem/in_card_months*F41*MIN(in_takeup_cap,(1+in_takeup_growth)^(D41-1))*MIN(in_takeup_cap,(1+in_approval_growth)^(D41-1)),0))</f>
        <v/>
      </c>
      <c r="AA41" s="14">
        <f>V41*in_fee*(1-in_taken_back)</f>
        <v/>
      </c>
      <c r="AB41" s="14">
        <f>SUMIFS(W2:W61,B2:B61,B41-in_dpd_lag)*d_dpd</f>
        <v/>
      </c>
      <c r="AC41" s="14">
        <f>SUMIFS(W2:W61,B2:B61,B41-in_rec_lag)*d_rec</f>
        <v/>
      </c>
      <c r="AD41" s="14">
        <f>Z41*in_card_fee</f>
        <v/>
      </c>
      <c r="AE41" s="40">
        <f>AE40*(1-IF(B40&gt;=in_marketplace_from,d_hz_hlth_small*G40,0))</f>
        <v/>
      </c>
      <c r="AF41" s="46">
        <f>AE41*IF(B41&gt;=in_marketplace_from,d_hz_hlth_small*G41,0)</f>
        <v/>
      </c>
      <c r="AG41" s="14">
        <f>F41*AF41*in_hlth_small_ticket*in_hlth_small_comm*in_ins_partner_share+F41*in_hlth_small_ticket*in_hlth_small_renew_comm*in_ins_partner_share*(in_hlth_small_renew^1*SUMIFS(AF2:AF61,B2:B61,B41-12)+in_hlth_small_renew^2*SUMIFS(AF2:AF61,B2:B61,B41-24)+in_hlth_small_renew^3*SUMIFS(AF2:AF61,B2:B61,B41-36)+in_hlth_small_renew^4*SUMIFS(AF2:AF61,B2:B61,B41-48))</f>
        <v/>
      </c>
      <c r="AH41" s="40">
        <f>AH40*(1-IF(B40&gt;=in_marketplace_from,d_hz_hlth_family*G40,0))</f>
        <v/>
      </c>
      <c r="AI41" s="46">
        <f>AH41*IF(B41&gt;=in_marketplace_from,d_hz_hlth_family*G41,0)</f>
        <v/>
      </c>
      <c r="AJ41" s="14">
        <f>F41*AI41*in_hlth_family_ticket*in_hlth_family_comm*in_ins_partner_share+F41*in_hlth_family_ticket*in_hlth_family_renew_comm*in_ins_partner_share*(in_hlth_family_renew^1*SUMIFS(AI2:AI61,B2:B61,B41-12)+in_hlth_family_renew^2*SUMIFS(AI2:AI61,B2:B61,B41-24)+in_hlth_family_renew^3*SUMIFS(AI2:AI61,B2:B61,B41-36)+in_hlth_family_renew^4*SUMIFS(AI2:AI61,B2:B61,B41-48))</f>
        <v/>
      </c>
      <c r="AK41" s="40">
        <f>AK40*(1-IF(B40&gt;=in_marketplace_from,d_hz_life_term*G40,0))</f>
        <v/>
      </c>
      <c r="AL41" s="46">
        <f>AK41*IF(B41&gt;=in_marketplace_from,d_hz_life_term*G41,0)</f>
        <v/>
      </c>
      <c r="AM41" s="14">
        <f>F41*AL41*in_life_term_ticket*in_life_term_comm*in_ins_partner_share+F41*in_life_term_ticket*in_life_term_renew_comm*in_ins_partner_share*(in_life_term_renew^1*SUMIFS(AL2:AL61,B2:B61,B41-12)+in_life_term_renew^2*SUMIFS(AL2:AL61,B2:B61,B41-24)+in_life_term_renew^3*SUMIFS(AL2:AL61,B2:B61,B41-36)+in_life_term_renew^4*SUMIFS(AL2:AL61,B2:B61,B41-48))</f>
        <v/>
      </c>
      <c r="AN41" s="40">
        <f>AN40*(1-IF(B40&gt;=in_marketplace_from,d_hz_accident*G40,0))</f>
        <v/>
      </c>
      <c r="AO41" s="46">
        <f>AN41*IF(B41&gt;=in_marketplace_from,d_hz_accident*G41,0)</f>
        <v/>
      </c>
      <c r="AP41" s="14">
        <f>F41*AO41*in_accident_ticket*in_accident_comm*in_ins_partner_share+F41*in_accident_ticket*in_accident_renew_comm*in_ins_partner_share*(in_accident_renew^1*SUMIFS(AO2:AO61,B2:B61,B41-12)+in_accident_renew^2*SUMIFS(AO2:AO61,B2:B61,B41-24)+in_accident_renew^3*SUMIFS(AO2:AO61,B2:B61,B41-36)+in_accident_renew^4*SUMIFS(AO2:AO61,B2:B61,B41-48))</f>
        <v/>
      </c>
      <c r="AQ41" s="40">
        <f>AQ40*(1-IF(B40&gt;=in_marketplace_from,d_hz_two_wheeler*G40,0))</f>
        <v/>
      </c>
      <c r="AR41" s="46">
        <f>AQ41*IF(B41&gt;=in_marketplace_from,d_hz_two_wheeler*G41,0)</f>
        <v/>
      </c>
      <c r="AS41" s="14">
        <f>F41*AR41*in_two_wheeler_ticket*in_two_wheeler_comm*in_ins_partner_share+F41*in_two_wheeler_ticket*in_two_wheeler_comm*in_ins_partner_share*(in_two_wheeler_renew^1*SUMIFS(AR2:AR61,B2:B61,B41-12)+in_two_wheeler_renew^2*SUMIFS(AR2:AR61,B2:B61,B41-24)+in_two_wheeler_renew^3*SUMIFS(AR2:AR61,B2:B61,B41-36)+in_two_wheeler_renew^4*SUMIFS(AR2:AR61,B2:B61,B41-48))</f>
        <v/>
      </c>
      <c r="AT41" s="40">
        <f>AT40*(1-IF(B40&gt;=in_marketplace_from,d_hz_device*G40,0))</f>
        <v/>
      </c>
      <c r="AU41" s="14">
        <f>F41*AT41*IF(B41&gt;=in_marketplace_from,d_hz_device*G41,0)*in_device_ticket*in_device_comm*in_ins_partner_share</f>
        <v/>
      </c>
      <c r="AV41" s="40">
        <f>AV40*(1-IF(B40&gt;=in_marketplace_from,d_hz_shop*G40,0))</f>
        <v/>
      </c>
      <c r="AW41" s="46">
        <f>AV41*IF(B41&gt;=in_marketplace_from,d_hz_shop*G41,0)</f>
        <v/>
      </c>
      <c r="AX41" s="14">
        <f>F41*AW41*in_shop_ticket*in_shop_comm*in_ins_partner_share+F41*in_shop_ticket*in_shop_renew_comm*in_ins_partner_share*(in_shop_renew^1*SUMIFS(AW2:AW61,B2:B61,B41-12)+in_shop_renew^2*SUMIFS(AW2:AW61,B2:B61,B41-24)+in_shop_renew^3*SUMIFS(AW2:AW61,B2:B61,B41-36)+in_shop_renew^4*SUMIFS(AW2:AW61,B2:B61,B41-48))</f>
        <v/>
      </c>
      <c r="AY41" s="40">
        <f>AY40*(1-IF(B40&gt;=in_marketplace_from,d_hz_sip*G40,0))</f>
        <v/>
      </c>
      <c r="AZ41" s="40">
        <f>AZ40*d_rho_sip+AY41*IF(B41&gt;=in_marketplace_from,d_hz_sip*G41,0)</f>
        <v/>
      </c>
      <c r="BA41" s="40">
        <f>d_rho_sip*(BA40+AZ40)</f>
        <v/>
      </c>
      <c r="BB41" s="14">
        <f>F41*in_sip_ticket*(BA41+0.5*AZ41)*in_sip_comm/12</f>
        <v/>
      </c>
      <c r="BC41" s="40">
        <f>BC40*(1-IF(B40&gt;=in_marketplace_from,d_hz_choti*G40,0))</f>
        <v/>
      </c>
      <c r="BD41" s="46">
        <f>BC41*IF(B41&gt;=in_marketplace_from,d_hz_choti*G41,0)</f>
        <v/>
      </c>
      <c r="BE41" s="14">
        <f>F41*SUMIFS(BD2:BD61,B2:B61,B41-in_choti_months)*in_choti_renew*in_choti_ticket</f>
        <v/>
      </c>
      <c r="BF41" s="40">
        <f>BF40*(1-IF(B40&gt;=in_marketplace_from,d_hz_nps*G40,0))</f>
        <v/>
      </c>
      <c r="BG41" s="14">
        <f>F41*BF41*IF(B41&gt;=in_marketplace_from,d_hz_nps*G41,0)*in_nps_ticket*in_nps_comm</f>
        <v/>
      </c>
      <c r="BH41" s="40">
        <f>BH40*(1-IF(B40&gt;=in_marketplace_from,d_hz_gold*G40,0))</f>
        <v/>
      </c>
      <c r="BI41" s="40">
        <f>BI40*d_rho_gold+BH41*IF(B41&gt;=in_marketplace_from,d_hz_gold*G41,0)</f>
        <v/>
      </c>
      <c r="BJ41" s="14">
        <f>F41*BI41*in_gold_ticket*in_gold_comm</f>
        <v/>
      </c>
      <c r="BK41" s="40">
        <f>BK40*(1-IF(B40&gt;=in_marketplace_from,d_hz_fd*G40,0))</f>
        <v/>
      </c>
      <c r="BL41" s="14">
        <f>F41*BK41*IF(B41&gt;=in_marketplace_from,d_hz_fd*G41,0)*in_fd_ticket*in_fd_comm</f>
        <v/>
      </c>
      <c r="BM41" s="40">
        <f>BM40*(1-IF(B40&gt;=in_marketplace_from,d_hz_recharge*G40,0))</f>
        <v/>
      </c>
      <c r="BN41" s="40">
        <f>BN40*d_rho_recharge+BM41*IF(B41&gt;=in_marketplace_from,d_hz_recharge*G41,0)</f>
        <v/>
      </c>
      <c r="BO41" s="14">
        <f>F41*BN41*in_recharge_ticket*in_recharge_comm/12</f>
        <v/>
      </c>
      <c r="BP41" s="40">
        <f>BP40*(1-IF(B40&gt;=in_marketplace_from,d_hz_bills*G40,0))</f>
        <v/>
      </c>
      <c r="BQ41" s="40">
        <f>BQ40*d_rho_bills+BP41*IF(B41&gt;=in_marketplace_from,d_hz_bills*G41,0)</f>
        <v/>
      </c>
      <c r="BR41" s="14">
        <f>F41*BQ41*in_bills_ticket*in_bills_comm/12</f>
        <v/>
      </c>
      <c r="BS41" s="40">
        <f>BS40*(1-IF(B40&gt;=in_marketplace_from,d_hz_loan_gold*G40,0))</f>
        <v/>
      </c>
      <c r="BT41" s="14">
        <f>F41*BS41*IF(B41&gt;=in_marketplace_from,d_hz_loan_gold*G41,0)*in_loan_gold_ticket*in_loan_gold_comm</f>
        <v/>
      </c>
      <c r="BU41" s="40">
        <f>BU40*(1-IF(B40&gt;=in_marketplace_from,d_hz_loan_cd*G40,0))</f>
        <v/>
      </c>
      <c r="BV41" s="14">
        <f>F41*BU41*IF(B41&gt;=in_marketplace_from,d_hz_loan_cd*G41,0)*in_loan_cd_ticket*in_loan_cd_comm</f>
        <v/>
      </c>
      <c r="BW41" s="40">
        <f>BW40*(1-IF(B40&gt;=in_marketplace_from,d_hz_loan_vehicle*G40,0))</f>
        <v/>
      </c>
      <c r="BX41" s="14">
        <f>F41*BW41*IF(B41&gt;=in_marketplace_from,d_hz_loan_vehicle*G41,0)*in_loan_vehicle_ticket*in_loan_vehicle_comm</f>
        <v/>
      </c>
      <c r="BY41" s="40">
        <f>BY40*(1-IF(B40&gt;=in_marketplace_from,d_hz_loan_home*G40,0)*BZ40)</f>
        <v/>
      </c>
      <c r="BZ41" s="11">
        <f>MIN(in_approval_cap,in_loan_home_approval*INDEX('Age profile'!$O$2:$O$61,B41)*(1+in_approval_growth)^(D41-1))</f>
        <v/>
      </c>
      <c r="CA41" s="14">
        <f>F41*BY41*IF(B41&gt;=in_marketplace_from,d_hz_loan_home*G41,0)*BZ41*in_loan_home_ticket*in_loan_home_comm</f>
        <v/>
      </c>
      <c r="CB41" s="40">
        <f>CB40*(1-IF(B40&gt;=in_marketplace_from,d_hz_loan_lap*G40,0)*CC40)</f>
        <v/>
      </c>
      <c r="CC41" s="11">
        <f>MIN(in_approval_cap,in_loan_lap_approval*INDEX('Age profile'!$O$2:$O$61,B41)*(1+in_approval_growth)^(D41-1))</f>
        <v/>
      </c>
      <c r="CD41" s="14">
        <f>F41*CB41*IF(B41&gt;=in_marketplace_from,d_hz_loan_lap*G41,0)*CC41*in_loan_lap_ticket*in_loan_lap_comm</f>
        <v/>
      </c>
      <c r="CE41" s="14">
        <f>AA41+AB41+AC41+AD41+AG41+AJ41+AM41+AP41+AS41+AU41+AX41+BB41+BE41+BG41+BJ41+BL41+BO41+BR41+BT41+BV41+BX41+CA41+CD41</f>
        <v/>
      </c>
    </row>
    <row r="42">
      <c r="A42" s="39" t="n">
        <v>1</v>
      </c>
      <c r="B42" s="39" t="n">
        <v>41</v>
      </c>
      <c r="C42" s="39">
        <f>A42+B42-1</f>
        <v/>
      </c>
      <c r="D42" s="39">
        <f>INT((C42-1)/12)+1</f>
        <v/>
      </c>
      <c r="E42" s="44">
        <f>INDEX(Monthly!$B$2:$B$61,A42)</f>
        <v/>
      </c>
      <c r="F42" s="44">
        <f>E42*INDEX('Age profile'!$B$2:$B$61,B42)</f>
        <v/>
      </c>
      <c r="G42" s="45">
        <f>MIN(in_takeup_cap,INDEX('Age profile'!$N$2:$N$61,B42)*(1+in_takeup_growth)^(D42-1))</f>
        <v/>
      </c>
      <c r="H42" s="11">
        <f>MIN(in_approval_cap,in_approved_first*INDEX('Age profile'!$O$2:$O$61,B42)*(1+in_approval_growth)^(D42-1))</f>
        <v/>
      </c>
      <c r="I42" s="45">
        <f>G42*MIN(in_takeup_cap,INDEX('Age profile'!$O$2:$O$61,B42)*(1+in_approval_growth)^(D42-1))</f>
        <v/>
      </c>
      <c r="J42" s="40">
        <f>(J41-L41)*F42/F41</f>
        <v/>
      </c>
      <c r="K42" s="40">
        <f>(K41-M41)*F42/F41+SUMIFS(O2:O41,B2:B41,B42-1-d_T)*F42</f>
        <v/>
      </c>
      <c r="L42" s="40">
        <f>IF(B42&gt;=in_marketplace_from,J42*d_hz*G42*in_eligible*H42,0)</f>
        <v/>
      </c>
      <c r="M42" s="40">
        <f>IF(B42&gt;=in_marketplace_from,K42*d_hz*G42*in_eligible*in_approved_repeat,0)</f>
        <v/>
      </c>
      <c r="N42" s="40">
        <f>L42+M42</f>
        <v/>
      </c>
      <c r="O42" s="46">
        <f>N42/F42</f>
        <v/>
      </c>
      <c r="P42" s="40">
        <f>F42-J42-K42</f>
        <v/>
      </c>
      <c r="Q42" s="40">
        <f>IF(B42&gt;=in_marketplace_from,(J42+K42)*d_hz*G42,0)</f>
        <v/>
      </c>
      <c r="R42" s="40">
        <f>SUMIFS(N2:N61,B2:B61,"&gt;="&amp;(B42-d_T),B2:B61,"&lt;="&amp;(B42-1))</f>
        <v/>
      </c>
      <c r="S42" s="46">
        <f>(1-d_u)*S41+IF(d_T&gt;in_topup_lag,SUMIFS(O2:O61,B2:B61,B42-in_topup_lag)-d_udrop*SUMIFS(O2:O61,B2:B61,B42-d_T),0)</f>
        <v/>
      </c>
      <c r="T42" s="40">
        <f>F42*d_u*S42</f>
        <v/>
      </c>
      <c r="U42" s="9">
        <f>L42*in_ticket+M42*d_rep_ticket</f>
        <v/>
      </c>
      <c r="V42" s="9">
        <f>U42+T42*d_topup_amt</f>
        <v/>
      </c>
      <c r="W42" s="40">
        <f>N42+T42*d_topup_ratio</f>
        <v/>
      </c>
      <c r="X42" s="40">
        <f>SUMIFS(W2:W61,B2:B61,B42-in_dpd_lag)*d_cured</f>
        <v/>
      </c>
      <c r="Y42" s="40">
        <f>SUMIFS(W2:W61,B2:B61,B42-in_rec_lag)*d_recd</f>
        <v/>
      </c>
      <c r="Z42" s="40">
        <f>IF(AND(B42&gt;=in_marketplace_from,B42&lt;in_marketplace_from+in_card_months),in_card_share/in_card_months*F42*I42,IF(AND(B42&gt;=in_marketplace_from+in_card_months,B42&lt;in_marketplace_from+2*in_card_months),in_card_share*d_card_rem/in_card_months*F42*MIN(in_takeup_cap,(1+in_takeup_growth)^(D42-1))*MIN(in_takeup_cap,(1+in_approval_growth)^(D42-1)),0))</f>
        <v/>
      </c>
      <c r="AA42" s="14">
        <f>V42*in_fee*(1-in_taken_back)</f>
        <v/>
      </c>
      <c r="AB42" s="14">
        <f>SUMIFS(W2:W61,B2:B61,B42-in_dpd_lag)*d_dpd</f>
        <v/>
      </c>
      <c r="AC42" s="14">
        <f>SUMIFS(W2:W61,B2:B61,B42-in_rec_lag)*d_rec</f>
        <v/>
      </c>
      <c r="AD42" s="14">
        <f>Z42*in_card_fee</f>
        <v/>
      </c>
      <c r="AE42" s="40">
        <f>AE41*(1-IF(B41&gt;=in_marketplace_from,d_hz_hlth_small*G41,0))</f>
        <v/>
      </c>
      <c r="AF42" s="46">
        <f>AE42*IF(B42&gt;=in_marketplace_from,d_hz_hlth_small*G42,0)</f>
        <v/>
      </c>
      <c r="AG42" s="14">
        <f>F42*AF42*in_hlth_small_ticket*in_hlth_small_comm*in_ins_partner_share+F42*in_hlth_small_ticket*in_hlth_small_renew_comm*in_ins_partner_share*(in_hlth_small_renew^1*SUMIFS(AF2:AF61,B2:B61,B42-12)+in_hlth_small_renew^2*SUMIFS(AF2:AF61,B2:B61,B42-24)+in_hlth_small_renew^3*SUMIFS(AF2:AF61,B2:B61,B42-36)+in_hlth_small_renew^4*SUMIFS(AF2:AF61,B2:B61,B42-48))</f>
        <v/>
      </c>
      <c r="AH42" s="40">
        <f>AH41*(1-IF(B41&gt;=in_marketplace_from,d_hz_hlth_family*G41,0))</f>
        <v/>
      </c>
      <c r="AI42" s="46">
        <f>AH42*IF(B42&gt;=in_marketplace_from,d_hz_hlth_family*G42,0)</f>
        <v/>
      </c>
      <c r="AJ42" s="14">
        <f>F42*AI42*in_hlth_family_ticket*in_hlth_family_comm*in_ins_partner_share+F42*in_hlth_family_ticket*in_hlth_family_renew_comm*in_ins_partner_share*(in_hlth_family_renew^1*SUMIFS(AI2:AI61,B2:B61,B42-12)+in_hlth_family_renew^2*SUMIFS(AI2:AI61,B2:B61,B42-24)+in_hlth_family_renew^3*SUMIFS(AI2:AI61,B2:B61,B42-36)+in_hlth_family_renew^4*SUMIFS(AI2:AI61,B2:B61,B42-48))</f>
        <v/>
      </c>
      <c r="AK42" s="40">
        <f>AK41*(1-IF(B41&gt;=in_marketplace_from,d_hz_life_term*G41,0))</f>
        <v/>
      </c>
      <c r="AL42" s="46">
        <f>AK42*IF(B42&gt;=in_marketplace_from,d_hz_life_term*G42,0)</f>
        <v/>
      </c>
      <c r="AM42" s="14">
        <f>F42*AL42*in_life_term_ticket*in_life_term_comm*in_ins_partner_share+F42*in_life_term_ticket*in_life_term_renew_comm*in_ins_partner_share*(in_life_term_renew^1*SUMIFS(AL2:AL61,B2:B61,B42-12)+in_life_term_renew^2*SUMIFS(AL2:AL61,B2:B61,B42-24)+in_life_term_renew^3*SUMIFS(AL2:AL61,B2:B61,B42-36)+in_life_term_renew^4*SUMIFS(AL2:AL61,B2:B61,B42-48))</f>
        <v/>
      </c>
      <c r="AN42" s="40">
        <f>AN41*(1-IF(B41&gt;=in_marketplace_from,d_hz_accident*G41,0))</f>
        <v/>
      </c>
      <c r="AO42" s="46">
        <f>AN42*IF(B42&gt;=in_marketplace_from,d_hz_accident*G42,0)</f>
        <v/>
      </c>
      <c r="AP42" s="14">
        <f>F42*AO42*in_accident_ticket*in_accident_comm*in_ins_partner_share+F42*in_accident_ticket*in_accident_renew_comm*in_ins_partner_share*(in_accident_renew^1*SUMIFS(AO2:AO61,B2:B61,B42-12)+in_accident_renew^2*SUMIFS(AO2:AO61,B2:B61,B42-24)+in_accident_renew^3*SUMIFS(AO2:AO61,B2:B61,B42-36)+in_accident_renew^4*SUMIFS(AO2:AO61,B2:B61,B42-48))</f>
        <v/>
      </c>
      <c r="AQ42" s="40">
        <f>AQ41*(1-IF(B41&gt;=in_marketplace_from,d_hz_two_wheeler*G41,0))</f>
        <v/>
      </c>
      <c r="AR42" s="46">
        <f>AQ42*IF(B42&gt;=in_marketplace_from,d_hz_two_wheeler*G42,0)</f>
        <v/>
      </c>
      <c r="AS42" s="14">
        <f>F42*AR42*in_two_wheeler_ticket*in_two_wheeler_comm*in_ins_partner_share+F42*in_two_wheeler_ticket*in_two_wheeler_comm*in_ins_partner_share*(in_two_wheeler_renew^1*SUMIFS(AR2:AR61,B2:B61,B42-12)+in_two_wheeler_renew^2*SUMIFS(AR2:AR61,B2:B61,B42-24)+in_two_wheeler_renew^3*SUMIFS(AR2:AR61,B2:B61,B42-36)+in_two_wheeler_renew^4*SUMIFS(AR2:AR61,B2:B61,B42-48))</f>
        <v/>
      </c>
      <c r="AT42" s="40">
        <f>AT41*(1-IF(B41&gt;=in_marketplace_from,d_hz_device*G41,0))</f>
        <v/>
      </c>
      <c r="AU42" s="14">
        <f>F42*AT42*IF(B42&gt;=in_marketplace_from,d_hz_device*G42,0)*in_device_ticket*in_device_comm*in_ins_partner_share</f>
        <v/>
      </c>
      <c r="AV42" s="40">
        <f>AV41*(1-IF(B41&gt;=in_marketplace_from,d_hz_shop*G41,0))</f>
        <v/>
      </c>
      <c r="AW42" s="46">
        <f>AV42*IF(B42&gt;=in_marketplace_from,d_hz_shop*G42,0)</f>
        <v/>
      </c>
      <c r="AX42" s="14">
        <f>F42*AW42*in_shop_ticket*in_shop_comm*in_ins_partner_share+F42*in_shop_ticket*in_shop_renew_comm*in_ins_partner_share*(in_shop_renew^1*SUMIFS(AW2:AW61,B2:B61,B42-12)+in_shop_renew^2*SUMIFS(AW2:AW61,B2:B61,B42-24)+in_shop_renew^3*SUMIFS(AW2:AW61,B2:B61,B42-36)+in_shop_renew^4*SUMIFS(AW2:AW61,B2:B61,B42-48))</f>
        <v/>
      </c>
      <c r="AY42" s="40">
        <f>AY41*(1-IF(B41&gt;=in_marketplace_from,d_hz_sip*G41,0))</f>
        <v/>
      </c>
      <c r="AZ42" s="40">
        <f>AZ41*d_rho_sip+AY42*IF(B42&gt;=in_marketplace_from,d_hz_sip*G42,0)</f>
        <v/>
      </c>
      <c r="BA42" s="40">
        <f>d_rho_sip*(BA41+AZ41)</f>
        <v/>
      </c>
      <c r="BB42" s="14">
        <f>F42*in_sip_ticket*(BA42+0.5*AZ42)*in_sip_comm/12</f>
        <v/>
      </c>
      <c r="BC42" s="40">
        <f>BC41*(1-IF(B41&gt;=in_marketplace_from,d_hz_choti*G41,0))</f>
        <v/>
      </c>
      <c r="BD42" s="46">
        <f>BC42*IF(B42&gt;=in_marketplace_from,d_hz_choti*G42,0)</f>
        <v/>
      </c>
      <c r="BE42" s="14">
        <f>F42*SUMIFS(BD2:BD61,B2:B61,B42-in_choti_months)*in_choti_renew*in_choti_ticket</f>
        <v/>
      </c>
      <c r="BF42" s="40">
        <f>BF41*(1-IF(B41&gt;=in_marketplace_from,d_hz_nps*G41,0))</f>
        <v/>
      </c>
      <c r="BG42" s="14">
        <f>F42*BF42*IF(B42&gt;=in_marketplace_from,d_hz_nps*G42,0)*in_nps_ticket*in_nps_comm</f>
        <v/>
      </c>
      <c r="BH42" s="40">
        <f>BH41*(1-IF(B41&gt;=in_marketplace_from,d_hz_gold*G41,0))</f>
        <v/>
      </c>
      <c r="BI42" s="40">
        <f>BI41*d_rho_gold+BH42*IF(B42&gt;=in_marketplace_from,d_hz_gold*G42,0)</f>
        <v/>
      </c>
      <c r="BJ42" s="14">
        <f>F42*BI42*in_gold_ticket*in_gold_comm</f>
        <v/>
      </c>
      <c r="BK42" s="40">
        <f>BK41*(1-IF(B41&gt;=in_marketplace_from,d_hz_fd*G41,0))</f>
        <v/>
      </c>
      <c r="BL42" s="14">
        <f>F42*BK42*IF(B42&gt;=in_marketplace_from,d_hz_fd*G42,0)*in_fd_ticket*in_fd_comm</f>
        <v/>
      </c>
      <c r="BM42" s="40">
        <f>BM41*(1-IF(B41&gt;=in_marketplace_from,d_hz_recharge*G41,0))</f>
        <v/>
      </c>
      <c r="BN42" s="40">
        <f>BN41*d_rho_recharge+BM42*IF(B42&gt;=in_marketplace_from,d_hz_recharge*G42,0)</f>
        <v/>
      </c>
      <c r="BO42" s="14">
        <f>F42*BN42*in_recharge_ticket*in_recharge_comm/12</f>
        <v/>
      </c>
      <c r="BP42" s="40">
        <f>BP41*(1-IF(B41&gt;=in_marketplace_from,d_hz_bills*G41,0))</f>
        <v/>
      </c>
      <c r="BQ42" s="40">
        <f>BQ41*d_rho_bills+BP42*IF(B42&gt;=in_marketplace_from,d_hz_bills*G42,0)</f>
        <v/>
      </c>
      <c r="BR42" s="14">
        <f>F42*BQ42*in_bills_ticket*in_bills_comm/12</f>
        <v/>
      </c>
      <c r="BS42" s="40">
        <f>BS41*(1-IF(B41&gt;=in_marketplace_from,d_hz_loan_gold*G41,0))</f>
        <v/>
      </c>
      <c r="BT42" s="14">
        <f>F42*BS42*IF(B42&gt;=in_marketplace_from,d_hz_loan_gold*G42,0)*in_loan_gold_ticket*in_loan_gold_comm</f>
        <v/>
      </c>
      <c r="BU42" s="40">
        <f>BU41*(1-IF(B41&gt;=in_marketplace_from,d_hz_loan_cd*G41,0))</f>
        <v/>
      </c>
      <c r="BV42" s="14">
        <f>F42*BU42*IF(B42&gt;=in_marketplace_from,d_hz_loan_cd*G42,0)*in_loan_cd_ticket*in_loan_cd_comm</f>
        <v/>
      </c>
      <c r="BW42" s="40">
        <f>BW41*(1-IF(B41&gt;=in_marketplace_from,d_hz_loan_vehicle*G41,0))</f>
        <v/>
      </c>
      <c r="BX42" s="14">
        <f>F42*BW42*IF(B42&gt;=in_marketplace_from,d_hz_loan_vehicle*G42,0)*in_loan_vehicle_ticket*in_loan_vehicle_comm</f>
        <v/>
      </c>
      <c r="BY42" s="40">
        <f>BY41*(1-IF(B41&gt;=in_marketplace_from,d_hz_loan_home*G41,0)*BZ41)</f>
        <v/>
      </c>
      <c r="BZ42" s="11">
        <f>MIN(in_approval_cap,in_loan_home_approval*INDEX('Age profile'!$O$2:$O$61,B42)*(1+in_approval_growth)^(D42-1))</f>
        <v/>
      </c>
      <c r="CA42" s="14">
        <f>F42*BY42*IF(B42&gt;=in_marketplace_from,d_hz_loan_home*G42,0)*BZ42*in_loan_home_ticket*in_loan_home_comm</f>
        <v/>
      </c>
      <c r="CB42" s="40">
        <f>CB41*(1-IF(B41&gt;=in_marketplace_from,d_hz_loan_lap*G41,0)*CC41)</f>
        <v/>
      </c>
      <c r="CC42" s="11">
        <f>MIN(in_approval_cap,in_loan_lap_approval*INDEX('Age profile'!$O$2:$O$61,B42)*(1+in_approval_growth)^(D42-1))</f>
        <v/>
      </c>
      <c r="CD42" s="14">
        <f>F42*CB42*IF(B42&gt;=in_marketplace_from,d_hz_loan_lap*G42,0)*CC42*in_loan_lap_ticket*in_loan_lap_comm</f>
        <v/>
      </c>
      <c r="CE42" s="14">
        <f>AA42+AB42+AC42+AD42+AG42+AJ42+AM42+AP42+AS42+AU42+AX42+BB42+BE42+BG42+BJ42+BL42+BO42+BR42+BT42+BV42+BX42+CA42+CD42</f>
        <v/>
      </c>
    </row>
    <row r="43">
      <c r="A43" s="39" t="n">
        <v>1</v>
      </c>
      <c r="B43" s="39" t="n">
        <v>42</v>
      </c>
      <c r="C43" s="39">
        <f>A43+B43-1</f>
        <v/>
      </c>
      <c r="D43" s="39">
        <f>INT((C43-1)/12)+1</f>
        <v/>
      </c>
      <c r="E43" s="44">
        <f>INDEX(Monthly!$B$2:$B$61,A43)</f>
        <v/>
      </c>
      <c r="F43" s="44">
        <f>E43*INDEX('Age profile'!$B$2:$B$61,B43)</f>
        <v/>
      </c>
      <c r="G43" s="45">
        <f>MIN(in_takeup_cap,INDEX('Age profile'!$N$2:$N$61,B43)*(1+in_takeup_growth)^(D43-1))</f>
        <v/>
      </c>
      <c r="H43" s="11">
        <f>MIN(in_approval_cap,in_approved_first*INDEX('Age profile'!$O$2:$O$61,B43)*(1+in_approval_growth)^(D43-1))</f>
        <v/>
      </c>
      <c r="I43" s="45">
        <f>G43*MIN(in_takeup_cap,INDEX('Age profile'!$O$2:$O$61,B43)*(1+in_approval_growth)^(D43-1))</f>
        <v/>
      </c>
      <c r="J43" s="40">
        <f>(J42-L42)*F43/F42</f>
        <v/>
      </c>
      <c r="K43" s="40">
        <f>(K42-M42)*F43/F42+SUMIFS(O2:O42,B2:B42,B43-1-d_T)*F43</f>
        <v/>
      </c>
      <c r="L43" s="40">
        <f>IF(B43&gt;=in_marketplace_from,J43*d_hz*G43*in_eligible*H43,0)</f>
        <v/>
      </c>
      <c r="M43" s="40">
        <f>IF(B43&gt;=in_marketplace_from,K43*d_hz*G43*in_eligible*in_approved_repeat,0)</f>
        <v/>
      </c>
      <c r="N43" s="40">
        <f>L43+M43</f>
        <v/>
      </c>
      <c r="O43" s="46">
        <f>N43/F43</f>
        <v/>
      </c>
      <c r="P43" s="40">
        <f>F43-J43-K43</f>
        <v/>
      </c>
      <c r="Q43" s="40">
        <f>IF(B43&gt;=in_marketplace_from,(J43+K43)*d_hz*G43,0)</f>
        <v/>
      </c>
      <c r="R43" s="40">
        <f>SUMIFS(N2:N61,B2:B61,"&gt;="&amp;(B43-d_T),B2:B61,"&lt;="&amp;(B43-1))</f>
        <v/>
      </c>
      <c r="S43" s="46">
        <f>(1-d_u)*S42+IF(d_T&gt;in_topup_lag,SUMIFS(O2:O61,B2:B61,B43-in_topup_lag)-d_udrop*SUMIFS(O2:O61,B2:B61,B43-d_T),0)</f>
        <v/>
      </c>
      <c r="T43" s="40">
        <f>F43*d_u*S43</f>
        <v/>
      </c>
      <c r="U43" s="9">
        <f>L43*in_ticket+M43*d_rep_ticket</f>
        <v/>
      </c>
      <c r="V43" s="9">
        <f>U43+T43*d_topup_amt</f>
        <v/>
      </c>
      <c r="W43" s="40">
        <f>N43+T43*d_topup_ratio</f>
        <v/>
      </c>
      <c r="X43" s="40">
        <f>SUMIFS(W2:W61,B2:B61,B43-in_dpd_lag)*d_cured</f>
        <v/>
      </c>
      <c r="Y43" s="40">
        <f>SUMIFS(W2:W61,B2:B61,B43-in_rec_lag)*d_recd</f>
        <v/>
      </c>
      <c r="Z43" s="40">
        <f>IF(AND(B43&gt;=in_marketplace_from,B43&lt;in_marketplace_from+in_card_months),in_card_share/in_card_months*F43*I43,IF(AND(B43&gt;=in_marketplace_from+in_card_months,B43&lt;in_marketplace_from+2*in_card_months),in_card_share*d_card_rem/in_card_months*F43*MIN(in_takeup_cap,(1+in_takeup_growth)^(D43-1))*MIN(in_takeup_cap,(1+in_approval_growth)^(D43-1)),0))</f>
        <v/>
      </c>
      <c r="AA43" s="14">
        <f>V43*in_fee*(1-in_taken_back)</f>
        <v/>
      </c>
      <c r="AB43" s="14">
        <f>SUMIFS(W2:W61,B2:B61,B43-in_dpd_lag)*d_dpd</f>
        <v/>
      </c>
      <c r="AC43" s="14">
        <f>SUMIFS(W2:W61,B2:B61,B43-in_rec_lag)*d_rec</f>
        <v/>
      </c>
      <c r="AD43" s="14">
        <f>Z43*in_card_fee</f>
        <v/>
      </c>
      <c r="AE43" s="40">
        <f>AE42*(1-IF(B42&gt;=in_marketplace_from,d_hz_hlth_small*G42,0))</f>
        <v/>
      </c>
      <c r="AF43" s="46">
        <f>AE43*IF(B43&gt;=in_marketplace_from,d_hz_hlth_small*G43,0)</f>
        <v/>
      </c>
      <c r="AG43" s="14">
        <f>F43*AF43*in_hlth_small_ticket*in_hlth_small_comm*in_ins_partner_share+F43*in_hlth_small_ticket*in_hlth_small_renew_comm*in_ins_partner_share*(in_hlth_small_renew^1*SUMIFS(AF2:AF61,B2:B61,B43-12)+in_hlth_small_renew^2*SUMIFS(AF2:AF61,B2:B61,B43-24)+in_hlth_small_renew^3*SUMIFS(AF2:AF61,B2:B61,B43-36)+in_hlth_small_renew^4*SUMIFS(AF2:AF61,B2:B61,B43-48))</f>
        <v/>
      </c>
      <c r="AH43" s="40">
        <f>AH42*(1-IF(B42&gt;=in_marketplace_from,d_hz_hlth_family*G42,0))</f>
        <v/>
      </c>
      <c r="AI43" s="46">
        <f>AH43*IF(B43&gt;=in_marketplace_from,d_hz_hlth_family*G43,0)</f>
        <v/>
      </c>
      <c r="AJ43" s="14">
        <f>F43*AI43*in_hlth_family_ticket*in_hlth_family_comm*in_ins_partner_share+F43*in_hlth_family_ticket*in_hlth_family_renew_comm*in_ins_partner_share*(in_hlth_family_renew^1*SUMIFS(AI2:AI61,B2:B61,B43-12)+in_hlth_family_renew^2*SUMIFS(AI2:AI61,B2:B61,B43-24)+in_hlth_family_renew^3*SUMIFS(AI2:AI61,B2:B61,B43-36)+in_hlth_family_renew^4*SUMIFS(AI2:AI61,B2:B61,B43-48))</f>
        <v/>
      </c>
      <c r="AK43" s="40">
        <f>AK42*(1-IF(B42&gt;=in_marketplace_from,d_hz_life_term*G42,0))</f>
        <v/>
      </c>
      <c r="AL43" s="46">
        <f>AK43*IF(B43&gt;=in_marketplace_from,d_hz_life_term*G43,0)</f>
        <v/>
      </c>
      <c r="AM43" s="14">
        <f>F43*AL43*in_life_term_ticket*in_life_term_comm*in_ins_partner_share+F43*in_life_term_ticket*in_life_term_renew_comm*in_ins_partner_share*(in_life_term_renew^1*SUMIFS(AL2:AL61,B2:B61,B43-12)+in_life_term_renew^2*SUMIFS(AL2:AL61,B2:B61,B43-24)+in_life_term_renew^3*SUMIFS(AL2:AL61,B2:B61,B43-36)+in_life_term_renew^4*SUMIFS(AL2:AL61,B2:B61,B43-48))</f>
        <v/>
      </c>
      <c r="AN43" s="40">
        <f>AN42*(1-IF(B42&gt;=in_marketplace_from,d_hz_accident*G42,0))</f>
        <v/>
      </c>
      <c r="AO43" s="46">
        <f>AN43*IF(B43&gt;=in_marketplace_from,d_hz_accident*G43,0)</f>
        <v/>
      </c>
      <c r="AP43" s="14">
        <f>F43*AO43*in_accident_ticket*in_accident_comm*in_ins_partner_share+F43*in_accident_ticket*in_accident_renew_comm*in_ins_partner_share*(in_accident_renew^1*SUMIFS(AO2:AO61,B2:B61,B43-12)+in_accident_renew^2*SUMIFS(AO2:AO61,B2:B61,B43-24)+in_accident_renew^3*SUMIFS(AO2:AO61,B2:B61,B43-36)+in_accident_renew^4*SUMIFS(AO2:AO61,B2:B61,B43-48))</f>
        <v/>
      </c>
      <c r="AQ43" s="40">
        <f>AQ42*(1-IF(B42&gt;=in_marketplace_from,d_hz_two_wheeler*G42,0))</f>
        <v/>
      </c>
      <c r="AR43" s="46">
        <f>AQ43*IF(B43&gt;=in_marketplace_from,d_hz_two_wheeler*G43,0)</f>
        <v/>
      </c>
      <c r="AS43" s="14">
        <f>F43*AR43*in_two_wheeler_ticket*in_two_wheeler_comm*in_ins_partner_share+F43*in_two_wheeler_ticket*in_two_wheeler_comm*in_ins_partner_share*(in_two_wheeler_renew^1*SUMIFS(AR2:AR61,B2:B61,B43-12)+in_two_wheeler_renew^2*SUMIFS(AR2:AR61,B2:B61,B43-24)+in_two_wheeler_renew^3*SUMIFS(AR2:AR61,B2:B61,B43-36)+in_two_wheeler_renew^4*SUMIFS(AR2:AR61,B2:B61,B43-48))</f>
        <v/>
      </c>
      <c r="AT43" s="40">
        <f>AT42*(1-IF(B42&gt;=in_marketplace_from,d_hz_device*G42,0))</f>
        <v/>
      </c>
      <c r="AU43" s="14">
        <f>F43*AT43*IF(B43&gt;=in_marketplace_from,d_hz_device*G43,0)*in_device_ticket*in_device_comm*in_ins_partner_share</f>
        <v/>
      </c>
      <c r="AV43" s="40">
        <f>AV42*(1-IF(B42&gt;=in_marketplace_from,d_hz_shop*G42,0))</f>
        <v/>
      </c>
      <c r="AW43" s="46">
        <f>AV43*IF(B43&gt;=in_marketplace_from,d_hz_shop*G43,0)</f>
        <v/>
      </c>
      <c r="AX43" s="14">
        <f>F43*AW43*in_shop_ticket*in_shop_comm*in_ins_partner_share+F43*in_shop_ticket*in_shop_renew_comm*in_ins_partner_share*(in_shop_renew^1*SUMIFS(AW2:AW61,B2:B61,B43-12)+in_shop_renew^2*SUMIFS(AW2:AW61,B2:B61,B43-24)+in_shop_renew^3*SUMIFS(AW2:AW61,B2:B61,B43-36)+in_shop_renew^4*SUMIFS(AW2:AW61,B2:B61,B43-48))</f>
        <v/>
      </c>
      <c r="AY43" s="40">
        <f>AY42*(1-IF(B42&gt;=in_marketplace_from,d_hz_sip*G42,0))</f>
        <v/>
      </c>
      <c r="AZ43" s="40">
        <f>AZ42*d_rho_sip+AY43*IF(B43&gt;=in_marketplace_from,d_hz_sip*G43,0)</f>
        <v/>
      </c>
      <c r="BA43" s="40">
        <f>d_rho_sip*(BA42+AZ42)</f>
        <v/>
      </c>
      <c r="BB43" s="14">
        <f>F43*in_sip_ticket*(BA43+0.5*AZ43)*in_sip_comm/12</f>
        <v/>
      </c>
      <c r="BC43" s="40">
        <f>BC42*(1-IF(B42&gt;=in_marketplace_from,d_hz_choti*G42,0))</f>
        <v/>
      </c>
      <c r="BD43" s="46">
        <f>BC43*IF(B43&gt;=in_marketplace_from,d_hz_choti*G43,0)</f>
        <v/>
      </c>
      <c r="BE43" s="14">
        <f>F43*SUMIFS(BD2:BD61,B2:B61,B43-in_choti_months)*in_choti_renew*in_choti_ticket</f>
        <v/>
      </c>
      <c r="BF43" s="40">
        <f>BF42*(1-IF(B42&gt;=in_marketplace_from,d_hz_nps*G42,0))</f>
        <v/>
      </c>
      <c r="BG43" s="14">
        <f>F43*BF43*IF(B43&gt;=in_marketplace_from,d_hz_nps*G43,0)*in_nps_ticket*in_nps_comm</f>
        <v/>
      </c>
      <c r="BH43" s="40">
        <f>BH42*(1-IF(B42&gt;=in_marketplace_from,d_hz_gold*G42,0))</f>
        <v/>
      </c>
      <c r="BI43" s="40">
        <f>BI42*d_rho_gold+BH43*IF(B43&gt;=in_marketplace_from,d_hz_gold*G43,0)</f>
        <v/>
      </c>
      <c r="BJ43" s="14">
        <f>F43*BI43*in_gold_ticket*in_gold_comm</f>
        <v/>
      </c>
      <c r="BK43" s="40">
        <f>BK42*(1-IF(B42&gt;=in_marketplace_from,d_hz_fd*G42,0))</f>
        <v/>
      </c>
      <c r="BL43" s="14">
        <f>F43*BK43*IF(B43&gt;=in_marketplace_from,d_hz_fd*G43,0)*in_fd_ticket*in_fd_comm</f>
        <v/>
      </c>
      <c r="BM43" s="40">
        <f>BM42*(1-IF(B42&gt;=in_marketplace_from,d_hz_recharge*G42,0))</f>
        <v/>
      </c>
      <c r="BN43" s="40">
        <f>BN42*d_rho_recharge+BM43*IF(B43&gt;=in_marketplace_from,d_hz_recharge*G43,0)</f>
        <v/>
      </c>
      <c r="BO43" s="14">
        <f>F43*BN43*in_recharge_ticket*in_recharge_comm/12</f>
        <v/>
      </c>
      <c r="BP43" s="40">
        <f>BP42*(1-IF(B42&gt;=in_marketplace_from,d_hz_bills*G42,0))</f>
        <v/>
      </c>
      <c r="BQ43" s="40">
        <f>BQ42*d_rho_bills+BP43*IF(B43&gt;=in_marketplace_from,d_hz_bills*G43,0)</f>
        <v/>
      </c>
      <c r="BR43" s="14">
        <f>F43*BQ43*in_bills_ticket*in_bills_comm/12</f>
        <v/>
      </c>
      <c r="BS43" s="40">
        <f>BS42*(1-IF(B42&gt;=in_marketplace_from,d_hz_loan_gold*G42,0))</f>
        <v/>
      </c>
      <c r="BT43" s="14">
        <f>F43*BS43*IF(B43&gt;=in_marketplace_from,d_hz_loan_gold*G43,0)*in_loan_gold_ticket*in_loan_gold_comm</f>
        <v/>
      </c>
      <c r="BU43" s="40">
        <f>BU42*(1-IF(B42&gt;=in_marketplace_from,d_hz_loan_cd*G42,0))</f>
        <v/>
      </c>
      <c r="BV43" s="14">
        <f>F43*BU43*IF(B43&gt;=in_marketplace_from,d_hz_loan_cd*G43,0)*in_loan_cd_ticket*in_loan_cd_comm</f>
        <v/>
      </c>
      <c r="BW43" s="40">
        <f>BW42*(1-IF(B42&gt;=in_marketplace_from,d_hz_loan_vehicle*G42,0))</f>
        <v/>
      </c>
      <c r="BX43" s="14">
        <f>F43*BW43*IF(B43&gt;=in_marketplace_from,d_hz_loan_vehicle*G43,0)*in_loan_vehicle_ticket*in_loan_vehicle_comm</f>
        <v/>
      </c>
      <c r="BY43" s="40">
        <f>BY42*(1-IF(B42&gt;=in_marketplace_from,d_hz_loan_home*G42,0)*BZ42)</f>
        <v/>
      </c>
      <c r="BZ43" s="11">
        <f>MIN(in_approval_cap,in_loan_home_approval*INDEX('Age profile'!$O$2:$O$61,B43)*(1+in_approval_growth)^(D43-1))</f>
        <v/>
      </c>
      <c r="CA43" s="14">
        <f>F43*BY43*IF(B43&gt;=in_marketplace_from,d_hz_loan_home*G43,0)*BZ43*in_loan_home_ticket*in_loan_home_comm</f>
        <v/>
      </c>
      <c r="CB43" s="40">
        <f>CB42*(1-IF(B42&gt;=in_marketplace_from,d_hz_loan_lap*G42,0)*CC42)</f>
        <v/>
      </c>
      <c r="CC43" s="11">
        <f>MIN(in_approval_cap,in_loan_lap_approval*INDEX('Age profile'!$O$2:$O$61,B43)*(1+in_approval_growth)^(D43-1))</f>
        <v/>
      </c>
      <c r="CD43" s="14">
        <f>F43*CB43*IF(B43&gt;=in_marketplace_from,d_hz_loan_lap*G43,0)*CC43*in_loan_lap_ticket*in_loan_lap_comm</f>
        <v/>
      </c>
      <c r="CE43" s="14">
        <f>AA43+AB43+AC43+AD43+AG43+AJ43+AM43+AP43+AS43+AU43+AX43+BB43+BE43+BG43+BJ43+BL43+BO43+BR43+BT43+BV43+BX43+CA43+CD43</f>
        <v/>
      </c>
    </row>
    <row r="44">
      <c r="A44" s="39" t="n">
        <v>1</v>
      </c>
      <c r="B44" s="39" t="n">
        <v>43</v>
      </c>
      <c r="C44" s="39">
        <f>A44+B44-1</f>
        <v/>
      </c>
      <c r="D44" s="39">
        <f>INT((C44-1)/12)+1</f>
        <v/>
      </c>
      <c r="E44" s="44">
        <f>INDEX(Monthly!$B$2:$B$61,A44)</f>
        <v/>
      </c>
      <c r="F44" s="44">
        <f>E44*INDEX('Age profile'!$B$2:$B$61,B44)</f>
        <v/>
      </c>
      <c r="G44" s="45">
        <f>MIN(in_takeup_cap,INDEX('Age profile'!$N$2:$N$61,B44)*(1+in_takeup_growth)^(D44-1))</f>
        <v/>
      </c>
      <c r="H44" s="11">
        <f>MIN(in_approval_cap,in_approved_first*INDEX('Age profile'!$O$2:$O$61,B44)*(1+in_approval_growth)^(D44-1))</f>
        <v/>
      </c>
      <c r="I44" s="45">
        <f>G44*MIN(in_takeup_cap,INDEX('Age profile'!$O$2:$O$61,B44)*(1+in_approval_growth)^(D44-1))</f>
        <v/>
      </c>
      <c r="J44" s="40">
        <f>(J43-L43)*F44/F43</f>
        <v/>
      </c>
      <c r="K44" s="40">
        <f>(K43-M43)*F44/F43+SUMIFS(O2:O43,B2:B43,B44-1-d_T)*F44</f>
        <v/>
      </c>
      <c r="L44" s="40">
        <f>IF(B44&gt;=in_marketplace_from,J44*d_hz*G44*in_eligible*H44,0)</f>
        <v/>
      </c>
      <c r="M44" s="40">
        <f>IF(B44&gt;=in_marketplace_from,K44*d_hz*G44*in_eligible*in_approved_repeat,0)</f>
        <v/>
      </c>
      <c r="N44" s="40">
        <f>L44+M44</f>
        <v/>
      </c>
      <c r="O44" s="46">
        <f>N44/F44</f>
        <v/>
      </c>
      <c r="P44" s="40">
        <f>F44-J44-K44</f>
        <v/>
      </c>
      <c r="Q44" s="40">
        <f>IF(B44&gt;=in_marketplace_from,(J44+K44)*d_hz*G44,0)</f>
        <v/>
      </c>
      <c r="R44" s="40">
        <f>SUMIFS(N2:N61,B2:B61,"&gt;="&amp;(B44-d_T),B2:B61,"&lt;="&amp;(B44-1))</f>
        <v/>
      </c>
      <c r="S44" s="46">
        <f>(1-d_u)*S43+IF(d_T&gt;in_topup_lag,SUMIFS(O2:O61,B2:B61,B44-in_topup_lag)-d_udrop*SUMIFS(O2:O61,B2:B61,B44-d_T),0)</f>
        <v/>
      </c>
      <c r="T44" s="40">
        <f>F44*d_u*S44</f>
        <v/>
      </c>
      <c r="U44" s="9">
        <f>L44*in_ticket+M44*d_rep_ticket</f>
        <v/>
      </c>
      <c r="V44" s="9">
        <f>U44+T44*d_topup_amt</f>
        <v/>
      </c>
      <c r="W44" s="40">
        <f>N44+T44*d_topup_ratio</f>
        <v/>
      </c>
      <c r="X44" s="40">
        <f>SUMIFS(W2:W61,B2:B61,B44-in_dpd_lag)*d_cured</f>
        <v/>
      </c>
      <c r="Y44" s="40">
        <f>SUMIFS(W2:W61,B2:B61,B44-in_rec_lag)*d_recd</f>
        <v/>
      </c>
      <c r="Z44" s="40">
        <f>IF(AND(B44&gt;=in_marketplace_from,B44&lt;in_marketplace_from+in_card_months),in_card_share/in_card_months*F44*I44,IF(AND(B44&gt;=in_marketplace_from+in_card_months,B44&lt;in_marketplace_from+2*in_card_months),in_card_share*d_card_rem/in_card_months*F44*MIN(in_takeup_cap,(1+in_takeup_growth)^(D44-1))*MIN(in_takeup_cap,(1+in_approval_growth)^(D44-1)),0))</f>
        <v/>
      </c>
      <c r="AA44" s="14">
        <f>V44*in_fee*(1-in_taken_back)</f>
        <v/>
      </c>
      <c r="AB44" s="14">
        <f>SUMIFS(W2:W61,B2:B61,B44-in_dpd_lag)*d_dpd</f>
        <v/>
      </c>
      <c r="AC44" s="14">
        <f>SUMIFS(W2:W61,B2:B61,B44-in_rec_lag)*d_rec</f>
        <v/>
      </c>
      <c r="AD44" s="14">
        <f>Z44*in_card_fee</f>
        <v/>
      </c>
      <c r="AE44" s="40">
        <f>AE43*(1-IF(B43&gt;=in_marketplace_from,d_hz_hlth_small*G43,0))</f>
        <v/>
      </c>
      <c r="AF44" s="46">
        <f>AE44*IF(B44&gt;=in_marketplace_from,d_hz_hlth_small*G44,0)</f>
        <v/>
      </c>
      <c r="AG44" s="14">
        <f>F44*AF44*in_hlth_small_ticket*in_hlth_small_comm*in_ins_partner_share+F44*in_hlth_small_ticket*in_hlth_small_renew_comm*in_ins_partner_share*(in_hlth_small_renew^1*SUMIFS(AF2:AF61,B2:B61,B44-12)+in_hlth_small_renew^2*SUMIFS(AF2:AF61,B2:B61,B44-24)+in_hlth_small_renew^3*SUMIFS(AF2:AF61,B2:B61,B44-36)+in_hlth_small_renew^4*SUMIFS(AF2:AF61,B2:B61,B44-48))</f>
        <v/>
      </c>
      <c r="AH44" s="40">
        <f>AH43*(1-IF(B43&gt;=in_marketplace_from,d_hz_hlth_family*G43,0))</f>
        <v/>
      </c>
      <c r="AI44" s="46">
        <f>AH44*IF(B44&gt;=in_marketplace_from,d_hz_hlth_family*G44,0)</f>
        <v/>
      </c>
      <c r="AJ44" s="14">
        <f>F44*AI44*in_hlth_family_ticket*in_hlth_family_comm*in_ins_partner_share+F44*in_hlth_family_ticket*in_hlth_family_renew_comm*in_ins_partner_share*(in_hlth_family_renew^1*SUMIFS(AI2:AI61,B2:B61,B44-12)+in_hlth_family_renew^2*SUMIFS(AI2:AI61,B2:B61,B44-24)+in_hlth_family_renew^3*SUMIFS(AI2:AI61,B2:B61,B44-36)+in_hlth_family_renew^4*SUMIFS(AI2:AI61,B2:B61,B44-48))</f>
        <v/>
      </c>
      <c r="AK44" s="40">
        <f>AK43*(1-IF(B43&gt;=in_marketplace_from,d_hz_life_term*G43,0))</f>
        <v/>
      </c>
      <c r="AL44" s="46">
        <f>AK44*IF(B44&gt;=in_marketplace_from,d_hz_life_term*G44,0)</f>
        <v/>
      </c>
      <c r="AM44" s="14">
        <f>F44*AL44*in_life_term_ticket*in_life_term_comm*in_ins_partner_share+F44*in_life_term_ticket*in_life_term_renew_comm*in_ins_partner_share*(in_life_term_renew^1*SUMIFS(AL2:AL61,B2:B61,B44-12)+in_life_term_renew^2*SUMIFS(AL2:AL61,B2:B61,B44-24)+in_life_term_renew^3*SUMIFS(AL2:AL61,B2:B61,B44-36)+in_life_term_renew^4*SUMIFS(AL2:AL61,B2:B61,B44-48))</f>
        <v/>
      </c>
      <c r="AN44" s="40">
        <f>AN43*(1-IF(B43&gt;=in_marketplace_from,d_hz_accident*G43,0))</f>
        <v/>
      </c>
      <c r="AO44" s="46">
        <f>AN44*IF(B44&gt;=in_marketplace_from,d_hz_accident*G44,0)</f>
        <v/>
      </c>
      <c r="AP44" s="14">
        <f>F44*AO44*in_accident_ticket*in_accident_comm*in_ins_partner_share+F44*in_accident_ticket*in_accident_renew_comm*in_ins_partner_share*(in_accident_renew^1*SUMIFS(AO2:AO61,B2:B61,B44-12)+in_accident_renew^2*SUMIFS(AO2:AO61,B2:B61,B44-24)+in_accident_renew^3*SUMIFS(AO2:AO61,B2:B61,B44-36)+in_accident_renew^4*SUMIFS(AO2:AO61,B2:B61,B44-48))</f>
        <v/>
      </c>
      <c r="AQ44" s="40">
        <f>AQ43*(1-IF(B43&gt;=in_marketplace_from,d_hz_two_wheeler*G43,0))</f>
        <v/>
      </c>
      <c r="AR44" s="46">
        <f>AQ44*IF(B44&gt;=in_marketplace_from,d_hz_two_wheeler*G44,0)</f>
        <v/>
      </c>
      <c r="AS44" s="14">
        <f>F44*AR44*in_two_wheeler_ticket*in_two_wheeler_comm*in_ins_partner_share+F44*in_two_wheeler_ticket*in_two_wheeler_comm*in_ins_partner_share*(in_two_wheeler_renew^1*SUMIFS(AR2:AR61,B2:B61,B44-12)+in_two_wheeler_renew^2*SUMIFS(AR2:AR61,B2:B61,B44-24)+in_two_wheeler_renew^3*SUMIFS(AR2:AR61,B2:B61,B44-36)+in_two_wheeler_renew^4*SUMIFS(AR2:AR61,B2:B61,B44-48))</f>
        <v/>
      </c>
      <c r="AT44" s="40">
        <f>AT43*(1-IF(B43&gt;=in_marketplace_from,d_hz_device*G43,0))</f>
        <v/>
      </c>
      <c r="AU44" s="14">
        <f>F44*AT44*IF(B44&gt;=in_marketplace_from,d_hz_device*G44,0)*in_device_ticket*in_device_comm*in_ins_partner_share</f>
        <v/>
      </c>
      <c r="AV44" s="40">
        <f>AV43*(1-IF(B43&gt;=in_marketplace_from,d_hz_shop*G43,0))</f>
        <v/>
      </c>
      <c r="AW44" s="46">
        <f>AV44*IF(B44&gt;=in_marketplace_from,d_hz_shop*G44,0)</f>
        <v/>
      </c>
      <c r="AX44" s="14">
        <f>F44*AW44*in_shop_ticket*in_shop_comm*in_ins_partner_share+F44*in_shop_ticket*in_shop_renew_comm*in_ins_partner_share*(in_shop_renew^1*SUMIFS(AW2:AW61,B2:B61,B44-12)+in_shop_renew^2*SUMIFS(AW2:AW61,B2:B61,B44-24)+in_shop_renew^3*SUMIFS(AW2:AW61,B2:B61,B44-36)+in_shop_renew^4*SUMIFS(AW2:AW61,B2:B61,B44-48))</f>
        <v/>
      </c>
      <c r="AY44" s="40">
        <f>AY43*(1-IF(B43&gt;=in_marketplace_from,d_hz_sip*G43,0))</f>
        <v/>
      </c>
      <c r="AZ44" s="40">
        <f>AZ43*d_rho_sip+AY44*IF(B44&gt;=in_marketplace_from,d_hz_sip*G44,0)</f>
        <v/>
      </c>
      <c r="BA44" s="40">
        <f>d_rho_sip*(BA43+AZ43)</f>
        <v/>
      </c>
      <c r="BB44" s="14">
        <f>F44*in_sip_ticket*(BA44+0.5*AZ44)*in_sip_comm/12</f>
        <v/>
      </c>
      <c r="BC44" s="40">
        <f>BC43*(1-IF(B43&gt;=in_marketplace_from,d_hz_choti*G43,0))</f>
        <v/>
      </c>
      <c r="BD44" s="46">
        <f>BC44*IF(B44&gt;=in_marketplace_from,d_hz_choti*G44,0)</f>
        <v/>
      </c>
      <c r="BE44" s="14">
        <f>F44*SUMIFS(BD2:BD61,B2:B61,B44-in_choti_months)*in_choti_renew*in_choti_ticket</f>
        <v/>
      </c>
      <c r="BF44" s="40">
        <f>BF43*(1-IF(B43&gt;=in_marketplace_from,d_hz_nps*G43,0))</f>
        <v/>
      </c>
      <c r="BG44" s="14">
        <f>F44*BF44*IF(B44&gt;=in_marketplace_from,d_hz_nps*G44,0)*in_nps_ticket*in_nps_comm</f>
        <v/>
      </c>
      <c r="BH44" s="40">
        <f>BH43*(1-IF(B43&gt;=in_marketplace_from,d_hz_gold*G43,0))</f>
        <v/>
      </c>
      <c r="BI44" s="40">
        <f>BI43*d_rho_gold+BH44*IF(B44&gt;=in_marketplace_from,d_hz_gold*G44,0)</f>
        <v/>
      </c>
      <c r="BJ44" s="14">
        <f>F44*BI44*in_gold_ticket*in_gold_comm</f>
        <v/>
      </c>
      <c r="BK44" s="40">
        <f>BK43*(1-IF(B43&gt;=in_marketplace_from,d_hz_fd*G43,0))</f>
        <v/>
      </c>
      <c r="BL44" s="14">
        <f>F44*BK44*IF(B44&gt;=in_marketplace_from,d_hz_fd*G44,0)*in_fd_ticket*in_fd_comm</f>
        <v/>
      </c>
      <c r="BM44" s="40">
        <f>BM43*(1-IF(B43&gt;=in_marketplace_from,d_hz_recharge*G43,0))</f>
        <v/>
      </c>
      <c r="BN44" s="40">
        <f>BN43*d_rho_recharge+BM44*IF(B44&gt;=in_marketplace_from,d_hz_recharge*G44,0)</f>
        <v/>
      </c>
      <c r="BO44" s="14">
        <f>F44*BN44*in_recharge_ticket*in_recharge_comm/12</f>
        <v/>
      </c>
      <c r="BP44" s="40">
        <f>BP43*(1-IF(B43&gt;=in_marketplace_from,d_hz_bills*G43,0))</f>
        <v/>
      </c>
      <c r="BQ44" s="40">
        <f>BQ43*d_rho_bills+BP44*IF(B44&gt;=in_marketplace_from,d_hz_bills*G44,0)</f>
        <v/>
      </c>
      <c r="BR44" s="14">
        <f>F44*BQ44*in_bills_ticket*in_bills_comm/12</f>
        <v/>
      </c>
      <c r="BS44" s="40">
        <f>BS43*(1-IF(B43&gt;=in_marketplace_from,d_hz_loan_gold*G43,0))</f>
        <v/>
      </c>
      <c r="BT44" s="14">
        <f>F44*BS44*IF(B44&gt;=in_marketplace_from,d_hz_loan_gold*G44,0)*in_loan_gold_ticket*in_loan_gold_comm</f>
        <v/>
      </c>
      <c r="BU44" s="40">
        <f>BU43*(1-IF(B43&gt;=in_marketplace_from,d_hz_loan_cd*G43,0))</f>
        <v/>
      </c>
      <c r="BV44" s="14">
        <f>F44*BU44*IF(B44&gt;=in_marketplace_from,d_hz_loan_cd*G44,0)*in_loan_cd_ticket*in_loan_cd_comm</f>
        <v/>
      </c>
      <c r="BW44" s="40">
        <f>BW43*(1-IF(B43&gt;=in_marketplace_from,d_hz_loan_vehicle*G43,0))</f>
        <v/>
      </c>
      <c r="BX44" s="14">
        <f>F44*BW44*IF(B44&gt;=in_marketplace_from,d_hz_loan_vehicle*G44,0)*in_loan_vehicle_ticket*in_loan_vehicle_comm</f>
        <v/>
      </c>
      <c r="BY44" s="40">
        <f>BY43*(1-IF(B43&gt;=in_marketplace_from,d_hz_loan_home*G43,0)*BZ43)</f>
        <v/>
      </c>
      <c r="BZ44" s="11">
        <f>MIN(in_approval_cap,in_loan_home_approval*INDEX('Age profile'!$O$2:$O$61,B44)*(1+in_approval_growth)^(D44-1))</f>
        <v/>
      </c>
      <c r="CA44" s="14">
        <f>F44*BY44*IF(B44&gt;=in_marketplace_from,d_hz_loan_home*G44,0)*BZ44*in_loan_home_ticket*in_loan_home_comm</f>
        <v/>
      </c>
      <c r="CB44" s="40">
        <f>CB43*(1-IF(B43&gt;=in_marketplace_from,d_hz_loan_lap*G43,0)*CC43)</f>
        <v/>
      </c>
      <c r="CC44" s="11">
        <f>MIN(in_approval_cap,in_loan_lap_approval*INDEX('Age profile'!$O$2:$O$61,B44)*(1+in_approval_growth)^(D44-1))</f>
        <v/>
      </c>
      <c r="CD44" s="14">
        <f>F44*CB44*IF(B44&gt;=in_marketplace_from,d_hz_loan_lap*G44,0)*CC44*in_loan_lap_ticket*in_loan_lap_comm</f>
        <v/>
      </c>
      <c r="CE44" s="14">
        <f>AA44+AB44+AC44+AD44+AG44+AJ44+AM44+AP44+AS44+AU44+AX44+BB44+BE44+BG44+BJ44+BL44+BO44+BR44+BT44+BV44+BX44+CA44+CD44</f>
        <v/>
      </c>
    </row>
    <row r="45">
      <c r="A45" s="39" t="n">
        <v>1</v>
      </c>
      <c r="B45" s="39" t="n">
        <v>44</v>
      </c>
      <c r="C45" s="39">
        <f>A45+B45-1</f>
        <v/>
      </c>
      <c r="D45" s="39">
        <f>INT((C45-1)/12)+1</f>
        <v/>
      </c>
      <c r="E45" s="44">
        <f>INDEX(Monthly!$B$2:$B$61,A45)</f>
        <v/>
      </c>
      <c r="F45" s="44">
        <f>E45*INDEX('Age profile'!$B$2:$B$61,B45)</f>
        <v/>
      </c>
      <c r="G45" s="45">
        <f>MIN(in_takeup_cap,INDEX('Age profile'!$N$2:$N$61,B45)*(1+in_takeup_growth)^(D45-1))</f>
        <v/>
      </c>
      <c r="H45" s="11">
        <f>MIN(in_approval_cap,in_approved_first*INDEX('Age profile'!$O$2:$O$61,B45)*(1+in_approval_growth)^(D45-1))</f>
        <v/>
      </c>
      <c r="I45" s="45">
        <f>G45*MIN(in_takeup_cap,INDEX('Age profile'!$O$2:$O$61,B45)*(1+in_approval_growth)^(D45-1))</f>
        <v/>
      </c>
      <c r="J45" s="40">
        <f>(J44-L44)*F45/F44</f>
        <v/>
      </c>
      <c r="K45" s="40">
        <f>(K44-M44)*F45/F44+SUMIFS(O2:O44,B2:B44,B45-1-d_T)*F45</f>
        <v/>
      </c>
      <c r="L45" s="40">
        <f>IF(B45&gt;=in_marketplace_from,J45*d_hz*G45*in_eligible*H45,0)</f>
        <v/>
      </c>
      <c r="M45" s="40">
        <f>IF(B45&gt;=in_marketplace_from,K45*d_hz*G45*in_eligible*in_approved_repeat,0)</f>
        <v/>
      </c>
      <c r="N45" s="40">
        <f>L45+M45</f>
        <v/>
      </c>
      <c r="O45" s="46">
        <f>N45/F45</f>
        <v/>
      </c>
      <c r="P45" s="40">
        <f>F45-J45-K45</f>
        <v/>
      </c>
      <c r="Q45" s="40">
        <f>IF(B45&gt;=in_marketplace_from,(J45+K45)*d_hz*G45,0)</f>
        <v/>
      </c>
      <c r="R45" s="40">
        <f>SUMIFS(N2:N61,B2:B61,"&gt;="&amp;(B45-d_T),B2:B61,"&lt;="&amp;(B45-1))</f>
        <v/>
      </c>
      <c r="S45" s="46">
        <f>(1-d_u)*S44+IF(d_T&gt;in_topup_lag,SUMIFS(O2:O61,B2:B61,B45-in_topup_lag)-d_udrop*SUMIFS(O2:O61,B2:B61,B45-d_T),0)</f>
        <v/>
      </c>
      <c r="T45" s="40">
        <f>F45*d_u*S45</f>
        <v/>
      </c>
      <c r="U45" s="9">
        <f>L45*in_ticket+M45*d_rep_ticket</f>
        <v/>
      </c>
      <c r="V45" s="9">
        <f>U45+T45*d_topup_amt</f>
        <v/>
      </c>
      <c r="W45" s="40">
        <f>N45+T45*d_topup_ratio</f>
        <v/>
      </c>
      <c r="X45" s="40">
        <f>SUMIFS(W2:W61,B2:B61,B45-in_dpd_lag)*d_cured</f>
        <v/>
      </c>
      <c r="Y45" s="40">
        <f>SUMIFS(W2:W61,B2:B61,B45-in_rec_lag)*d_recd</f>
        <v/>
      </c>
      <c r="Z45" s="40">
        <f>IF(AND(B45&gt;=in_marketplace_from,B45&lt;in_marketplace_from+in_card_months),in_card_share/in_card_months*F45*I45,IF(AND(B45&gt;=in_marketplace_from+in_card_months,B45&lt;in_marketplace_from+2*in_card_months),in_card_share*d_card_rem/in_card_months*F45*MIN(in_takeup_cap,(1+in_takeup_growth)^(D45-1))*MIN(in_takeup_cap,(1+in_approval_growth)^(D45-1)),0))</f>
        <v/>
      </c>
      <c r="AA45" s="14">
        <f>V45*in_fee*(1-in_taken_back)</f>
        <v/>
      </c>
      <c r="AB45" s="14">
        <f>SUMIFS(W2:W61,B2:B61,B45-in_dpd_lag)*d_dpd</f>
        <v/>
      </c>
      <c r="AC45" s="14">
        <f>SUMIFS(W2:W61,B2:B61,B45-in_rec_lag)*d_rec</f>
        <v/>
      </c>
      <c r="AD45" s="14">
        <f>Z45*in_card_fee</f>
        <v/>
      </c>
      <c r="AE45" s="40">
        <f>AE44*(1-IF(B44&gt;=in_marketplace_from,d_hz_hlth_small*G44,0))</f>
        <v/>
      </c>
      <c r="AF45" s="46">
        <f>AE45*IF(B45&gt;=in_marketplace_from,d_hz_hlth_small*G45,0)</f>
        <v/>
      </c>
      <c r="AG45" s="14">
        <f>F45*AF45*in_hlth_small_ticket*in_hlth_small_comm*in_ins_partner_share+F45*in_hlth_small_ticket*in_hlth_small_renew_comm*in_ins_partner_share*(in_hlth_small_renew^1*SUMIFS(AF2:AF61,B2:B61,B45-12)+in_hlth_small_renew^2*SUMIFS(AF2:AF61,B2:B61,B45-24)+in_hlth_small_renew^3*SUMIFS(AF2:AF61,B2:B61,B45-36)+in_hlth_small_renew^4*SUMIFS(AF2:AF61,B2:B61,B45-48))</f>
        <v/>
      </c>
      <c r="AH45" s="40">
        <f>AH44*(1-IF(B44&gt;=in_marketplace_from,d_hz_hlth_family*G44,0))</f>
        <v/>
      </c>
      <c r="AI45" s="46">
        <f>AH45*IF(B45&gt;=in_marketplace_from,d_hz_hlth_family*G45,0)</f>
        <v/>
      </c>
      <c r="AJ45" s="14">
        <f>F45*AI45*in_hlth_family_ticket*in_hlth_family_comm*in_ins_partner_share+F45*in_hlth_family_ticket*in_hlth_family_renew_comm*in_ins_partner_share*(in_hlth_family_renew^1*SUMIFS(AI2:AI61,B2:B61,B45-12)+in_hlth_family_renew^2*SUMIFS(AI2:AI61,B2:B61,B45-24)+in_hlth_family_renew^3*SUMIFS(AI2:AI61,B2:B61,B45-36)+in_hlth_family_renew^4*SUMIFS(AI2:AI61,B2:B61,B45-48))</f>
        <v/>
      </c>
      <c r="AK45" s="40">
        <f>AK44*(1-IF(B44&gt;=in_marketplace_from,d_hz_life_term*G44,0))</f>
        <v/>
      </c>
      <c r="AL45" s="46">
        <f>AK45*IF(B45&gt;=in_marketplace_from,d_hz_life_term*G45,0)</f>
        <v/>
      </c>
      <c r="AM45" s="14">
        <f>F45*AL45*in_life_term_ticket*in_life_term_comm*in_ins_partner_share+F45*in_life_term_ticket*in_life_term_renew_comm*in_ins_partner_share*(in_life_term_renew^1*SUMIFS(AL2:AL61,B2:B61,B45-12)+in_life_term_renew^2*SUMIFS(AL2:AL61,B2:B61,B45-24)+in_life_term_renew^3*SUMIFS(AL2:AL61,B2:B61,B45-36)+in_life_term_renew^4*SUMIFS(AL2:AL61,B2:B61,B45-48))</f>
        <v/>
      </c>
      <c r="AN45" s="40">
        <f>AN44*(1-IF(B44&gt;=in_marketplace_from,d_hz_accident*G44,0))</f>
        <v/>
      </c>
      <c r="AO45" s="46">
        <f>AN45*IF(B45&gt;=in_marketplace_from,d_hz_accident*G45,0)</f>
        <v/>
      </c>
      <c r="AP45" s="14">
        <f>F45*AO45*in_accident_ticket*in_accident_comm*in_ins_partner_share+F45*in_accident_ticket*in_accident_renew_comm*in_ins_partner_share*(in_accident_renew^1*SUMIFS(AO2:AO61,B2:B61,B45-12)+in_accident_renew^2*SUMIFS(AO2:AO61,B2:B61,B45-24)+in_accident_renew^3*SUMIFS(AO2:AO61,B2:B61,B45-36)+in_accident_renew^4*SUMIFS(AO2:AO61,B2:B61,B45-48))</f>
        <v/>
      </c>
      <c r="AQ45" s="40">
        <f>AQ44*(1-IF(B44&gt;=in_marketplace_from,d_hz_two_wheeler*G44,0))</f>
        <v/>
      </c>
      <c r="AR45" s="46">
        <f>AQ45*IF(B45&gt;=in_marketplace_from,d_hz_two_wheeler*G45,0)</f>
        <v/>
      </c>
      <c r="AS45" s="14">
        <f>F45*AR45*in_two_wheeler_ticket*in_two_wheeler_comm*in_ins_partner_share+F45*in_two_wheeler_ticket*in_two_wheeler_comm*in_ins_partner_share*(in_two_wheeler_renew^1*SUMIFS(AR2:AR61,B2:B61,B45-12)+in_two_wheeler_renew^2*SUMIFS(AR2:AR61,B2:B61,B45-24)+in_two_wheeler_renew^3*SUMIFS(AR2:AR61,B2:B61,B45-36)+in_two_wheeler_renew^4*SUMIFS(AR2:AR61,B2:B61,B45-48))</f>
        <v/>
      </c>
      <c r="AT45" s="40">
        <f>AT44*(1-IF(B44&gt;=in_marketplace_from,d_hz_device*G44,0))</f>
        <v/>
      </c>
      <c r="AU45" s="14">
        <f>F45*AT45*IF(B45&gt;=in_marketplace_from,d_hz_device*G45,0)*in_device_ticket*in_device_comm*in_ins_partner_share</f>
        <v/>
      </c>
      <c r="AV45" s="40">
        <f>AV44*(1-IF(B44&gt;=in_marketplace_from,d_hz_shop*G44,0))</f>
        <v/>
      </c>
      <c r="AW45" s="46">
        <f>AV45*IF(B45&gt;=in_marketplace_from,d_hz_shop*G45,0)</f>
        <v/>
      </c>
      <c r="AX45" s="14">
        <f>F45*AW45*in_shop_ticket*in_shop_comm*in_ins_partner_share+F45*in_shop_ticket*in_shop_renew_comm*in_ins_partner_share*(in_shop_renew^1*SUMIFS(AW2:AW61,B2:B61,B45-12)+in_shop_renew^2*SUMIFS(AW2:AW61,B2:B61,B45-24)+in_shop_renew^3*SUMIFS(AW2:AW61,B2:B61,B45-36)+in_shop_renew^4*SUMIFS(AW2:AW61,B2:B61,B45-48))</f>
        <v/>
      </c>
      <c r="AY45" s="40">
        <f>AY44*(1-IF(B44&gt;=in_marketplace_from,d_hz_sip*G44,0))</f>
        <v/>
      </c>
      <c r="AZ45" s="40">
        <f>AZ44*d_rho_sip+AY45*IF(B45&gt;=in_marketplace_from,d_hz_sip*G45,0)</f>
        <v/>
      </c>
      <c r="BA45" s="40">
        <f>d_rho_sip*(BA44+AZ44)</f>
        <v/>
      </c>
      <c r="BB45" s="14">
        <f>F45*in_sip_ticket*(BA45+0.5*AZ45)*in_sip_comm/12</f>
        <v/>
      </c>
      <c r="BC45" s="40">
        <f>BC44*(1-IF(B44&gt;=in_marketplace_from,d_hz_choti*G44,0))</f>
        <v/>
      </c>
      <c r="BD45" s="46">
        <f>BC45*IF(B45&gt;=in_marketplace_from,d_hz_choti*G45,0)</f>
        <v/>
      </c>
      <c r="BE45" s="14">
        <f>F45*SUMIFS(BD2:BD61,B2:B61,B45-in_choti_months)*in_choti_renew*in_choti_ticket</f>
        <v/>
      </c>
      <c r="BF45" s="40">
        <f>BF44*(1-IF(B44&gt;=in_marketplace_from,d_hz_nps*G44,0))</f>
        <v/>
      </c>
      <c r="BG45" s="14">
        <f>F45*BF45*IF(B45&gt;=in_marketplace_from,d_hz_nps*G45,0)*in_nps_ticket*in_nps_comm</f>
        <v/>
      </c>
      <c r="BH45" s="40">
        <f>BH44*(1-IF(B44&gt;=in_marketplace_from,d_hz_gold*G44,0))</f>
        <v/>
      </c>
      <c r="BI45" s="40">
        <f>BI44*d_rho_gold+BH45*IF(B45&gt;=in_marketplace_from,d_hz_gold*G45,0)</f>
        <v/>
      </c>
      <c r="BJ45" s="14">
        <f>F45*BI45*in_gold_ticket*in_gold_comm</f>
        <v/>
      </c>
      <c r="BK45" s="40">
        <f>BK44*(1-IF(B44&gt;=in_marketplace_from,d_hz_fd*G44,0))</f>
        <v/>
      </c>
      <c r="BL45" s="14">
        <f>F45*BK45*IF(B45&gt;=in_marketplace_from,d_hz_fd*G45,0)*in_fd_ticket*in_fd_comm</f>
        <v/>
      </c>
      <c r="BM45" s="40">
        <f>BM44*(1-IF(B44&gt;=in_marketplace_from,d_hz_recharge*G44,0))</f>
        <v/>
      </c>
      <c r="BN45" s="40">
        <f>BN44*d_rho_recharge+BM45*IF(B45&gt;=in_marketplace_from,d_hz_recharge*G45,0)</f>
        <v/>
      </c>
      <c r="BO45" s="14">
        <f>F45*BN45*in_recharge_ticket*in_recharge_comm/12</f>
        <v/>
      </c>
      <c r="BP45" s="40">
        <f>BP44*(1-IF(B44&gt;=in_marketplace_from,d_hz_bills*G44,0))</f>
        <v/>
      </c>
      <c r="BQ45" s="40">
        <f>BQ44*d_rho_bills+BP45*IF(B45&gt;=in_marketplace_from,d_hz_bills*G45,0)</f>
        <v/>
      </c>
      <c r="BR45" s="14">
        <f>F45*BQ45*in_bills_ticket*in_bills_comm/12</f>
        <v/>
      </c>
      <c r="BS45" s="40">
        <f>BS44*(1-IF(B44&gt;=in_marketplace_from,d_hz_loan_gold*G44,0))</f>
        <v/>
      </c>
      <c r="BT45" s="14">
        <f>F45*BS45*IF(B45&gt;=in_marketplace_from,d_hz_loan_gold*G45,0)*in_loan_gold_ticket*in_loan_gold_comm</f>
        <v/>
      </c>
      <c r="BU45" s="40">
        <f>BU44*(1-IF(B44&gt;=in_marketplace_from,d_hz_loan_cd*G44,0))</f>
        <v/>
      </c>
      <c r="BV45" s="14">
        <f>F45*BU45*IF(B45&gt;=in_marketplace_from,d_hz_loan_cd*G45,0)*in_loan_cd_ticket*in_loan_cd_comm</f>
        <v/>
      </c>
      <c r="BW45" s="40">
        <f>BW44*(1-IF(B44&gt;=in_marketplace_from,d_hz_loan_vehicle*G44,0))</f>
        <v/>
      </c>
      <c r="BX45" s="14">
        <f>F45*BW45*IF(B45&gt;=in_marketplace_from,d_hz_loan_vehicle*G45,0)*in_loan_vehicle_ticket*in_loan_vehicle_comm</f>
        <v/>
      </c>
      <c r="BY45" s="40">
        <f>BY44*(1-IF(B44&gt;=in_marketplace_from,d_hz_loan_home*G44,0)*BZ44)</f>
        <v/>
      </c>
      <c r="BZ45" s="11">
        <f>MIN(in_approval_cap,in_loan_home_approval*INDEX('Age profile'!$O$2:$O$61,B45)*(1+in_approval_growth)^(D45-1))</f>
        <v/>
      </c>
      <c r="CA45" s="14">
        <f>F45*BY45*IF(B45&gt;=in_marketplace_from,d_hz_loan_home*G45,0)*BZ45*in_loan_home_ticket*in_loan_home_comm</f>
        <v/>
      </c>
      <c r="CB45" s="40">
        <f>CB44*(1-IF(B44&gt;=in_marketplace_from,d_hz_loan_lap*G44,0)*CC44)</f>
        <v/>
      </c>
      <c r="CC45" s="11">
        <f>MIN(in_approval_cap,in_loan_lap_approval*INDEX('Age profile'!$O$2:$O$61,B45)*(1+in_approval_growth)^(D45-1))</f>
        <v/>
      </c>
      <c r="CD45" s="14">
        <f>F45*CB45*IF(B45&gt;=in_marketplace_from,d_hz_loan_lap*G45,0)*CC45*in_loan_lap_ticket*in_loan_lap_comm</f>
        <v/>
      </c>
      <c r="CE45" s="14">
        <f>AA45+AB45+AC45+AD45+AG45+AJ45+AM45+AP45+AS45+AU45+AX45+BB45+BE45+BG45+BJ45+BL45+BO45+BR45+BT45+BV45+BX45+CA45+CD45</f>
        <v/>
      </c>
    </row>
    <row r="46">
      <c r="A46" s="39" t="n">
        <v>1</v>
      </c>
      <c r="B46" s="39" t="n">
        <v>45</v>
      </c>
      <c r="C46" s="39">
        <f>A46+B46-1</f>
        <v/>
      </c>
      <c r="D46" s="39">
        <f>INT((C46-1)/12)+1</f>
        <v/>
      </c>
      <c r="E46" s="44">
        <f>INDEX(Monthly!$B$2:$B$61,A46)</f>
        <v/>
      </c>
      <c r="F46" s="44">
        <f>E46*INDEX('Age profile'!$B$2:$B$61,B46)</f>
        <v/>
      </c>
      <c r="G46" s="45">
        <f>MIN(in_takeup_cap,INDEX('Age profile'!$N$2:$N$61,B46)*(1+in_takeup_growth)^(D46-1))</f>
        <v/>
      </c>
      <c r="H46" s="11">
        <f>MIN(in_approval_cap,in_approved_first*INDEX('Age profile'!$O$2:$O$61,B46)*(1+in_approval_growth)^(D46-1))</f>
        <v/>
      </c>
      <c r="I46" s="45">
        <f>G46*MIN(in_takeup_cap,INDEX('Age profile'!$O$2:$O$61,B46)*(1+in_approval_growth)^(D46-1))</f>
        <v/>
      </c>
      <c r="J46" s="40">
        <f>(J45-L45)*F46/F45</f>
        <v/>
      </c>
      <c r="K46" s="40">
        <f>(K45-M45)*F46/F45+SUMIFS(O2:O45,B2:B45,B46-1-d_T)*F46</f>
        <v/>
      </c>
      <c r="L46" s="40">
        <f>IF(B46&gt;=in_marketplace_from,J46*d_hz*G46*in_eligible*H46,0)</f>
        <v/>
      </c>
      <c r="M46" s="40">
        <f>IF(B46&gt;=in_marketplace_from,K46*d_hz*G46*in_eligible*in_approved_repeat,0)</f>
        <v/>
      </c>
      <c r="N46" s="40">
        <f>L46+M46</f>
        <v/>
      </c>
      <c r="O46" s="46">
        <f>N46/F46</f>
        <v/>
      </c>
      <c r="P46" s="40">
        <f>F46-J46-K46</f>
        <v/>
      </c>
      <c r="Q46" s="40">
        <f>IF(B46&gt;=in_marketplace_from,(J46+K46)*d_hz*G46,0)</f>
        <v/>
      </c>
      <c r="R46" s="40">
        <f>SUMIFS(N2:N61,B2:B61,"&gt;="&amp;(B46-d_T),B2:B61,"&lt;="&amp;(B46-1))</f>
        <v/>
      </c>
      <c r="S46" s="46">
        <f>(1-d_u)*S45+IF(d_T&gt;in_topup_lag,SUMIFS(O2:O61,B2:B61,B46-in_topup_lag)-d_udrop*SUMIFS(O2:O61,B2:B61,B46-d_T),0)</f>
        <v/>
      </c>
      <c r="T46" s="40">
        <f>F46*d_u*S46</f>
        <v/>
      </c>
      <c r="U46" s="9">
        <f>L46*in_ticket+M46*d_rep_ticket</f>
        <v/>
      </c>
      <c r="V46" s="9">
        <f>U46+T46*d_topup_amt</f>
        <v/>
      </c>
      <c r="W46" s="40">
        <f>N46+T46*d_topup_ratio</f>
        <v/>
      </c>
      <c r="X46" s="40">
        <f>SUMIFS(W2:W61,B2:B61,B46-in_dpd_lag)*d_cured</f>
        <v/>
      </c>
      <c r="Y46" s="40">
        <f>SUMIFS(W2:W61,B2:B61,B46-in_rec_lag)*d_recd</f>
        <v/>
      </c>
      <c r="Z46" s="40">
        <f>IF(AND(B46&gt;=in_marketplace_from,B46&lt;in_marketplace_from+in_card_months),in_card_share/in_card_months*F46*I46,IF(AND(B46&gt;=in_marketplace_from+in_card_months,B46&lt;in_marketplace_from+2*in_card_months),in_card_share*d_card_rem/in_card_months*F46*MIN(in_takeup_cap,(1+in_takeup_growth)^(D46-1))*MIN(in_takeup_cap,(1+in_approval_growth)^(D46-1)),0))</f>
        <v/>
      </c>
      <c r="AA46" s="14">
        <f>V46*in_fee*(1-in_taken_back)</f>
        <v/>
      </c>
      <c r="AB46" s="14">
        <f>SUMIFS(W2:W61,B2:B61,B46-in_dpd_lag)*d_dpd</f>
        <v/>
      </c>
      <c r="AC46" s="14">
        <f>SUMIFS(W2:W61,B2:B61,B46-in_rec_lag)*d_rec</f>
        <v/>
      </c>
      <c r="AD46" s="14">
        <f>Z46*in_card_fee</f>
        <v/>
      </c>
      <c r="AE46" s="40">
        <f>AE45*(1-IF(B45&gt;=in_marketplace_from,d_hz_hlth_small*G45,0))</f>
        <v/>
      </c>
      <c r="AF46" s="46">
        <f>AE46*IF(B46&gt;=in_marketplace_from,d_hz_hlth_small*G46,0)</f>
        <v/>
      </c>
      <c r="AG46" s="14">
        <f>F46*AF46*in_hlth_small_ticket*in_hlth_small_comm*in_ins_partner_share+F46*in_hlth_small_ticket*in_hlth_small_renew_comm*in_ins_partner_share*(in_hlth_small_renew^1*SUMIFS(AF2:AF61,B2:B61,B46-12)+in_hlth_small_renew^2*SUMIFS(AF2:AF61,B2:B61,B46-24)+in_hlth_small_renew^3*SUMIFS(AF2:AF61,B2:B61,B46-36)+in_hlth_small_renew^4*SUMIFS(AF2:AF61,B2:B61,B46-48))</f>
        <v/>
      </c>
      <c r="AH46" s="40">
        <f>AH45*(1-IF(B45&gt;=in_marketplace_from,d_hz_hlth_family*G45,0))</f>
        <v/>
      </c>
      <c r="AI46" s="46">
        <f>AH46*IF(B46&gt;=in_marketplace_from,d_hz_hlth_family*G46,0)</f>
        <v/>
      </c>
      <c r="AJ46" s="14">
        <f>F46*AI46*in_hlth_family_ticket*in_hlth_family_comm*in_ins_partner_share+F46*in_hlth_family_ticket*in_hlth_family_renew_comm*in_ins_partner_share*(in_hlth_family_renew^1*SUMIFS(AI2:AI61,B2:B61,B46-12)+in_hlth_family_renew^2*SUMIFS(AI2:AI61,B2:B61,B46-24)+in_hlth_family_renew^3*SUMIFS(AI2:AI61,B2:B61,B46-36)+in_hlth_family_renew^4*SUMIFS(AI2:AI61,B2:B61,B46-48))</f>
        <v/>
      </c>
      <c r="AK46" s="40">
        <f>AK45*(1-IF(B45&gt;=in_marketplace_from,d_hz_life_term*G45,0))</f>
        <v/>
      </c>
      <c r="AL46" s="46">
        <f>AK46*IF(B46&gt;=in_marketplace_from,d_hz_life_term*G46,0)</f>
        <v/>
      </c>
      <c r="AM46" s="14">
        <f>F46*AL46*in_life_term_ticket*in_life_term_comm*in_ins_partner_share+F46*in_life_term_ticket*in_life_term_renew_comm*in_ins_partner_share*(in_life_term_renew^1*SUMIFS(AL2:AL61,B2:B61,B46-12)+in_life_term_renew^2*SUMIFS(AL2:AL61,B2:B61,B46-24)+in_life_term_renew^3*SUMIFS(AL2:AL61,B2:B61,B46-36)+in_life_term_renew^4*SUMIFS(AL2:AL61,B2:B61,B46-48))</f>
        <v/>
      </c>
      <c r="AN46" s="40">
        <f>AN45*(1-IF(B45&gt;=in_marketplace_from,d_hz_accident*G45,0))</f>
        <v/>
      </c>
      <c r="AO46" s="46">
        <f>AN46*IF(B46&gt;=in_marketplace_from,d_hz_accident*G46,0)</f>
        <v/>
      </c>
      <c r="AP46" s="14">
        <f>F46*AO46*in_accident_ticket*in_accident_comm*in_ins_partner_share+F46*in_accident_ticket*in_accident_renew_comm*in_ins_partner_share*(in_accident_renew^1*SUMIFS(AO2:AO61,B2:B61,B46-12)+in_accident_renew^2*SUMIFS(AO2:AO61,B2:B61,B46-24)+in_accident_renew^3*SUMIFS(AO2:AO61,B2:B61,B46-36)+in_accident_renew^4*SUMIFS(AO2:AO61,B2:B61,B46-48))</f>
        <v/>
      </c>
      <c r="AQ46" s="40">
        <f>AQ45*(1-IF(B45&gt;=in_marketplace_from,d_hz_two_wheeler*G45,0))</f>
        <v/>
      </c>
      <c r="AR46" s="46">
        <f>AQ46*IF(B46&gt;=in_marketplace_from,d_hz_two_wheeler*G46,0)</f>
        <v/>
      </c>
      <c r="AS46" s="14">
        <f>F46*AR46*in_two_wheeler_ticket*in_two_wheeler_comm*in_ins_partner_share+F46*in_two_wheeler_ticket*in_two_wheeler_comm*in_ins_partner_share*(in_two_wheeler_renew^1*SUMIFS(AR2:AR61,B2:B61,B46-12)+in_two_wheeler_renew^2*SUMIFS(AR2:AR61,B2:B61,B46-24)+in_two_wheeler_renew^3*SUMIFS(AR2:AR61,B2:B61,B46-36)+in_two_wheeler_renew^4*SUMIFS(AR2:AR61,B2:B61,B46-48))</f>
        <v/>
      </c>
      <c r="AT46" s="40">
        <f>AT45*(1-IF(B45&gt;=in_marketplace_from,d_hz_device*G45,0))</f>
        <v/>
      </c>
      <c r="AU46" s="14">
        <f>F46*AT46*IF(B46&gt;=in_marketplace_from,d_hz_device*G46,0)*in_device_ticket*in_device_comm*in_ins_partner_share</f>
        <v/>
      </c>
      <c r="AV46" s="40">
        <f>AV45*(1-IF(B45&gt;=in_marketplace_from,d_hz_shop*G45,0))</f>
        <v/>
      </c>
      <c r="AW46" s="46">
        <f>AV46*IF(B46&gt;=in_marketplace_from,d_hz_shop*G46,0)</f>
        <v/>
      </c>
      <c r="AX46" s="14">
        <f>F46*AW46*in_shop_ticket*in_shop_comm*in_ins_partner_share+F46*in_shop_ticket*in_shop_renew_comm*in_ins_partner_share*(in_shop_renew^1*SUMIFS(AW2:AW61,B2:B61,B46-12)+in_shop_renew^2*SUMIFS(AW2:AW61,B2:B61,B46-24)+in_shop_renew^3*SUMIFS(AW2:AW61,B2:B61,B46-36)+in_shop_renew^4*SUMIFS(AW2:AW61,B2:B61,B46-48))</f>
        <v/>
      </c>
      <c r="AY46" s="40">
        <f>AY45*(1-IF(B45&gt;=in_marketplace_from,d_hz_sip*G45,0))</f>
        <v/>
      </c>
      <c r="AZ46" s="40">
        <f>AZ45*d_rho_sip+AY46*IF(B46&gt;=in_marketplace_from,d_hz_sip*G46,0)</f>
        <v/>
      </c>
      <c r="BA46" s="40">
        <f>d_rho_sip*(BA45+AZ45)</f>
        <v/>
      </c>
      <c r="BB46" s="14">
        <f>F46*in_sip_ticket*(BA46+0.5*AZ46)*in_sip_comm/12</f>
        <v/>
      </c>
      <c r="BC46" s="40">
        <f>BC45*(1-IF(B45&gt;=in_marketplace_from,d_hz_choti*G45,0))</f>
        <v/>
      </c>
      <c r="BD46" s="46">
        <f>BC46*IF(B46&gt;=in_marketplace_from,d_hz_choti*G46,0)</f>
        <v/>
      </c>
      <c r="BE46" s="14">
        <f>F46*SUMIFS(BD2:BD61,B2:B61,B46-in_choti_months)*in_choti_renew*in_choti_ticket</f>
        <v/>
      </c>
      <c r="BF46" s="40">
        <f>BF45*(1-IF(B45&gt;=in_marketplace_from,d_hz_nps*G45,0))</f>
        <v/>
      </c>
      <c r="BG46" s="14">
        <f>F46*BF46*IF(B46&gt;=in_marketplace_from,d_hz_nps*G46,0)*in_nps_ticket*in_nps_comm</f>
        <v/>
      </c>
      <c r="BH46" s="40">
        <f>BH45*(1-IF(B45&gt;=in_marketplace_from,d_hz_gold*G45,0))</f>
        <v/>
      </c>
      <c r="BI46" s="40">
        <f>BI45*d_rho_gold+BH46*IF(B46&gt;=in_marketplace_from,d_hz_gold*G46,0)</f>
        <v/>
      </c>
      <c r="BJ46" s="14">
        <f>F46*BI46*in_gold_ticket*in_gold_comm</f>
        <v/>
      </c>
      <c r="BK46" s="40">
        <f>BK45*(1-IF(B45&gt;=in_marketplace_from,d_hz_fd*G45,0))</f>
        <v/>
      </c>
      <c r="BL46" s="14">
        <f>F46*BK46*IF(B46&gt;=in_marketplace_from,d_hz_fd*G46,0)*in_fd_ticket*in_fd_comm</f>
        <v/>
      </c>
      <c r="BM46" s="40">
        <f>BM45*(1-IF(B45&gt;=in_marketplace_from,d_hz_recharge*G45,0))</f>
        <v/>
      </c>
      <c r="BN46" s="40">
        <f>BN45*d_rho_recharge+BM46*IF(B46&gt;=in_marketplace_from,d_hz_recharge*G46,0)</f>
        <v/>
      </c>
      <c r="BO46" s="14">
        <f>F46*BN46*in_recharge_ticket*in_recharge_comm/12</f>
        <v/>
      </c>
      <c r="BP46" s="40">
        <f>BP45*(1-IF(B45&gt;=in_marketplace_from,d_hz_bills*G45,0))</f>
        <v/>
      </c>
      <c r="BQ46" s="40">
        <f>BQ45*d_rho_bills+BP46*IF(B46&gt;=in_marketplace_from,d_hz_bills*G46,0)</f>
        <v/>
      </c>
      <c r="BR46" s="14">
        <f>F46*BQ46*in_bills_ticket*in_bills_comm/12</f>
        <v/>
      </c>
      <c r="BS46" s="40">
        <f>BS45*(1-IF(B45&gt;=in_marketplace_from,d_hz_loan_gold*G45,0))</f>
        <v/>
      </c>
      <c r="BT46" s="14">
        <f>F46*BS46*IF(B46&gt;=in_marketplace_from,d_hz_loan_gold*G46,0)*in_loan_gold_ticket*in_loan_gold_comm</f>
        <v/>
      </c>
      <c r="BU46" s="40">
        <f>BU45*(1-IF(B45&gt;=in_marketplace_from,d_hz_loan_cd*G45,0))</f>
        <v/>
      </c>
      <c r="BV46" s="14">
        <f>F46*BU46*IF(B46&gt;=in_marketplace_from,d_hz_loan_cd*G46,0)*in_loan_cd_ticket*in_loan_cd_comm</f>
        <v/>
      </c>
      <c r="BW46" s="40">
        <f>BW45*(1-IF(B45&gt;=in_marketplace_from,d_hz_loan_vehicle*G45,0))</f>
        <v/>
      </c>
      <c r="BX46" s="14">
        <f>F46*BW46*IF(B46&gt;=in_marketplace_from,d_hz_loan_vehicle*G46,0)*in_loan_vehicle_ticket*in_loan_vehicle_comm</f>
        <v/>
      </c>
      <c r="BY46" s="40">
        <f>BY45*(1-IF(B45&gt;=in_marketplace_from,d_hz_loan_home*G45,0)*BZ45)</f>
        <v/>
      </c>
      <c r="BZ46" s="11">
        <f>MIN(in_approval_cap,in_loan_home_approval*INDEX('Age profile'!$O$2:$O$61,B46)*(1+in_approval_growth)^(D46-1))</f>
        <v/>
      </c>
      <c r="CA46" s="14">
        <f>F46*BY46*IF(B46&gt;=in_marketplace_from,d_hz_loan_home*G46,0)*BZ46*in_loan_home_ticket*in_loan_home_comm</f>
        <v/>
      </c>
      <c r="CB46" s="40">
        <f>CB45*(1-IF(B45&gt;=in_marketplace_from,d_hz_loan_lap*G45,0)*CC45)</f>
        <v/>
      </c>
      <c r="CC46" s="11">
        <f>MIN(in_approval_cap,in_loan_lap_approval*INDEX('Age profile'!$O$2:$O$61,B46)*(1+in_approval_growth)^(D46-1))</f>
        <v/>
      </c>
      <c r="CD46" s="14">
        <f>F46*CB46*IF(B46&gt;=in_marketplace_from,d_hz_loan_lap*G46,0)*CC46*in_loan_lap_ticket*in_loan_lap_comm</f>
        <v/>
      </c>
      <c r="CE46" s="14">
        <f>AA46+AB46+AC46+AD46+AG46+AJ46+AM46+AP46+AS46+AU46+AX46+BB46+BE46+BG46+BJ46+BL46+BO46+BR46+BT46+BV46+BX46+CA46+CD46</f>
        <v/>
      </c>
    </row>
    <row r="47">
      <c r="A47" s="39" t="n">
        <v>1</v>
      </c>
      <c r="B47" s="39" t="n">
        <v>46</v>
      </c>
      <c r="C47" s="39">
        <f>A47+B47-1</f>
        <v/>
      </c>
      <c r="D47" s="39">
        <f>INT((C47-1)/12)+1</f>
        <v/>
      </c>
      <c r="E47" s="44">
        <f>INDEX(Monthly!$B$2:$B$61,A47)</f>
        <v/>
      </c>
      <c r="F47" s="44">
        <f>E47*INDEX('Age profile'!$B$2:$B$61,B47)</f>
        <v/>
      </c>
      <c r="G47" s="45">
        <f>MIN(in_takeup_cap,INDEX('Age profile'!$N$2:$N$61,B47)*(1+in_takeup_growth)^(D47-1))</f>
        <v/>
      </c>
      <c r="H47" s="11">
        <f>MIN(in_approval_cap,in_approved_first*INDEX('Age profile'!$O$2:$O$61,B47)*(1+in_approval_growth)^(D47-1))</f>
        <v/>
      </c>
      <c r="I47" s="45">
        <f>G47*MIN(in_takeup_cap,INDEX('Age profile'!$O$2:$O$61,B47)*(1+in_approval_growth)^(D47-1))</f>
        <v/>
      </c>
      <c r="J47" s="40">
        <f>(J46-L46)*F47/F46</f>
        <v/>
      </c>
      <c r="K47" s="40">
        <f>(K46-M46)*F47/F46+SUMIFS(O2:O46,B2:B46,B47-1-d_T)*F47</f>
        <v/>
      </c>
      <c r="L47" s="40">
        <f>IF(B47&gt;=in_marketplace_from,J47*d_hz*G47*in_eligible*H47,0)</f>
        <v/>
      </c>
      <c r="M47" s="40">
        <f>IF(B47&gt;=in_marketplace_from,K47*d_hz*G47*in_eligible*in_approved_repeat,0)</f>
        <v/>
      </c>
      <c r="N47" s="40">
        <f>L47+M47</f>
        <v/>
      </c>
      <c r="O47" s="46">
        <f>N47/F47</f>
        <v/>
      </c>
      <c r="P47" s="40">
        <f>F47-J47-K47</f>
        <v/>
      </c>
      <c r="Q47" s="40">
        <f>IF(B47&gt;=in_marketplace_from,(J47+K47)*d_hz*G47,0)</f>
        <v/>
      </c>
      <c r="R47" s="40">
        <f>SUMIFS(N2:N61,B2:B61,"&gt;="&amp;(B47-d_T),B2:B61,"&lt;="&amp;(B47-1))</f>
        <v/>
      </c>
      <c r="S47" s="46">
        <f>(1-d_u)*S46+IF(d_T&gt;in_topup_lag,SUMIFS(O2:O61,B2:B61,B47-in_topup_lag)-d_udrop*SUMIFS(O2:O61,B2:B61,B47-d_T),0)</f>
        <v/>
      </c>
      <c r="T47" s="40">
        <f>F47*d_u*S47</f>
        <v/>
      </c>
      <c r="U47" s="9">
        <f>L47*in_ticket+M47*d_rep_ticket</f>
        <v/>
      </c>
      <c r="V47" s="9">
        <f>U47+T47*d_topup_amt</f>
        <v/>
      </c>
      <c r="W47" s="40">
        <f>N47+T47*d_topup_ratio</f>
        <v/>
      </c>
      <c r="X47" s="40">
        <f>SUMIFS(W2:W61,B2:B61,B47-in_dpd_lag)*d_cured</f>
        <v/>
      </c>
      <c r="Y47" s="40">
        <f>SUMIFS(W2:W61,B2:B61,B47-in_rec_lag)*d_recd</f>
        <v/>
      </c>
      <c r="Z47" s="40">
        <f>IF(AND(B47&gt;=in_marketplace_from,B47&lt;in_marketplace_from+in_card_months),in_card_share/in_card_months*F47*I47,IF(AND(B47&gt;=in_marketplace_from+in_card_months,B47&lt;in_marketplace_from+2*in_card_months),in_card_share*d_card_rem/in_card_months*F47*MIN(in_takeup_cap,(1+in_takeup_growth)^(D47-1))*MIN(in_takeup_cap,(1+in_approval_growth)^(D47-1)),0))</f>
        <v/>
      </c>
      <c r="AA47" s="14">
        <f>V47*in_fee*(1-in_taken_back)</f>
        <v/>
      </c>
      <c r="AB47" s="14">
        <f>SUMIFS(W2:W61,B2:B61,B47-in_dpd_lag)*d_dpd</f>
        <v/>
      </c>
      <c r="AC47" s="14">
        <f>SUMIFS(W2:W61,B2:B61,B47-in_rec_lag)*d_rec</f>
        <v/>
      </c>
      <c r="AD47" s="14">
        <f>Z47*in_card_fee</f>
        <v/>
      </c>
      <c r="AE47" s="40">
        <f>AE46*(1-IF(B46&gt;=in_marketplace_from,d_hz_hlth_small*G46,0))</f>
        <v/>
      </c>
      <c r="AF47" s="46">
        <f>AE47*IF(B47&gt;=in_marketplace_from,d_hz_hlth_small*G47,0)</f>
        <v/>
      </c>
      <c r="AG47" s="14">
        <f>F47*AF47*in_hlth_small_ticket*in_hlth_small_comm*in_ins_partner_share+F47*in_hlth_small_ticket*in_hlth_small_renew_comm*in_ins_partner_share*(in_hlth_small_renew^1*SUMIFS(AF2:AF61,B2:B61,B47-12)+in_hlth_small_renew^2*SUMIFS(AF2:AF61,B2:B61,B47-24)+in_hlth_small_renew^3*SUMIFS(AF2:AF61,B2:B61,B47-36)+in_hlth_small_renew^4*SUMIFS(AF2:AF61,B2:B61,B47-48))</f>
        <v/>
      </c>
      <c r="AH47" s="40">
        <f>AH46*(1-IF(B46&gt;=in_marketplace_from,d_hz_hlth_family*G46,0))</f>
        <v/>
      </c>
      <c r="AI47" s="46">
        <f>AH47*IF(B47&gt;=in_marketplace_from,d_hz_hlth_family*G47,0)</f>
        <v/>
      </c>
      <c r="AJ47" s="14">
        <f>F47*AI47*in_hlth_family_ticket*in_hlth_family_comm*in_ins_partner_share+F47*in_hlth_family_ticket*in_hlth_family_renew_comm*in_ins_partner_share*(in_hlth_family_renew^1*SUMIFS(AI2:AI61,B2:B61,B47-12)+in_hlth_family_renew^2*SUMIFS(AI2:AI61,B2:B61,B47-24)+in_hlth_family_renew^3*SUMIFS(AI2:AI61,B2:B61,B47-36)+in_hlth_family_renew^4*SUMIFS(AI2:AI61,B2:B61,B47-48))</f>
        <v/>
      </c>
      <c r="AK47" s="40">
        <f>AK46*(1-IF(B46&gt;=in_marketplace_from,d_hz_life_term*G46,0))</f>
        <v/>
      </c>
      <c r="AL47" s="46">
        <f>AK47*IF(B47&gt;=in_marketplace_from,d_hz_life_term*G47,0)</f>
        <v/>
      </c>
      <c r="AM47" s="14">
        <f>F47*AL47*in_life_term_ticket*in_life_term_comm*in_ins_partner_share+F47*in_life_term_ticket*in_life_term_renew_comm*in_ins_partner_share*(in_life_term_renew^1*SUMIFS(AL2:AL61,B2:B61,B47-12)+in_life_term_renew^2*SUMIFS(AL2:AL61,B2:B61,B47-24)+in_life_term_renew^3*SUMIFS(AL2:AL61,B2:B61,B47-36)+in_life_term_renew^4*SUMIFS(AL2:AL61,B2:B61,B47-48))</f>
        <v/>
      </c>
      <c r="AN47" s="40">
        <f>AN46*(1-IF(B46&gt;=in_marketplace_from,d_hz_accident*G46,0))</f>
        <v/>
      </c>
      <c r="AO47" s="46">
        <f>AN47*IF(B47&gt;=in_marketplace_from,d_hz_accident*G47,0)</f>
        <v/>
      </c>
      <c r="AP47" s="14">
        <f>F47*AO47*in_accident_ticket*in_accident_comm*in_ins_partner_share+F47*in_accident_ticket*in_accident_renew_comm*in_ins_partner_share*(in_accident_renew^1*SUMIFS(AO2:AO61,B2:B61,B47-12)+in_accident_renew^2*SUMIFS(AO2:AO61,B2:B61,B47-24)+in_accident_renew^3*SUMIFS(AO2:AO61,B2:B61,B47-36)+in_accident_renew^4*SUMIFS(AO2:AO61,B2:B61,B47-48))</f>
        <v/>
      </c>
      <c r="AQ47" s="40">
        <f>AQ46*(1-IF(B46&gt;=in_marketplace_from,d_hz_two_wheeler*G46,0))</f>
        <v/>
      </c>
      <c r="AR47" s="46">
        <f>AQ47*IF(B47&gt;=in_marketplace_from,d_hz_two_wheeler*G47,0)</f>
        <v/>
      </c>
      <c r="AS47" s="14">
        <f>F47*AR47*in_two_wheeler_ticket*in_two_wheeler_comm*in_ins_partner_share+F47*in_two_wheeler_ticket*in_two_wheeler_comm*in_ins_partner_share*(in_two_wheeler_renew^1*SUMIFS(AR2:AR61,B2:B61,B47-12)+in_two_wheeler_renew^2*SUMIFS(AR2:AR61,B2:B61,B47-24)+in_two_wheeler_renew^3*SUMIFS(AR2:AR61,B2:B61,B47-36)+in_two_wheeler_renew^4*SUMIFS(AR2:AR61,B2:B61,B47-48))</f>
        <v/>
      </c>
      <c r="AT47" s="40">
        <f>AT46*(1-IF(B46&gt;=in_marketplace_from,d_hz_device*G46,0))</f>
        <v/>
      </c>
      <c r="AU47" s="14">
        <f>F47*AT47*IF(B47&gt;=in_marketplace_from,d_hz_device*G47,0)*in_device_ticket*in_device_comm*in_ins_partner_share</f>
        <v/>
      </c>
      <c r="AV47" s="40">
        <f>AV46*(1-IF(B46&gt;=in_marketplace_from,d_hz_shop*G46,0))</f>
        <v/>
      </c>
      <c r="AW47" s="46">
        <f>AV47*IF(B47&gt;=in_marketplace_from,d_hz_shop*G47,0)</f>
        <v/>
      </c>
      <c r="AX47" s="14">
        <f>F47*AW47*in_shop_ticket*in_shop_comm*in_ins_partner_share+F47*in_shop_ticket*in_shop_renew_comm*in_ins_partner_share*(in_shop_renew^1*SUMIFS(AW2:AW61,B2:B61,B47-12)+in_shop_renew^2*SUMIFS(AW2:AW61,B2:B61,B47-24)+in_shop_renew^3*SUMIFS(AW2:AW61,B2:B61,B47-36)+in_shop_renew^4*SUMIFS(AW2:AW61,B2:B61,B47-48))</f>
        <v/>
      </c>
      <c r="AY47" s="40">
        <f>AY46*(1-IF(B46&gt;=in_marketplace_from,d_hz_sip*G46,0))</f>
        <v/>
      </c>
      <c r="AZ47" s="40">
        <f>AZ46*d_rho_sip+AY47*IF(B47&gt;=in_marketplace_from,d_hz_sip*G47,0)</f>
        <v/>
      </c>
      <c r="BA47" s="40">
        <f>d_rho_sip*(BA46+AZ46)</f>
        <v/>
      </c>
      <c r="BB47" s="14">
        <f>F47*in_sip_ticket*(BA47+0.5*AZ47)*in_sip_comm/12</f>
        <v/>
      </c>
      <c r="BC47" s="40">
        <f>BC46*(1-IF(B46&gt;=in_marketplace_from,d_hz_choti*G46,0))</f>
        <v/>
      </c>
      <c r="BD47" s="46">
        <f>BC47*IF(B47&gt;=in_marketplace_from,d_hz_choti*G47,0)</f>
        <v/>
      </c>
      <c r="BE47" s="14">
        <f>F47*SUMIFS(BD2:BD61,B2:B61,B47-in_choti_months)*in_choti_renew*in_choti_ticket</f>
        <v/>
      </c>
      <c r="BF47" s="40">
        <f>BF46*(1-IF(B46&gt;=in_marketplace_from,d_hz_nps*G46,0))</f>
        <v/>
      </c>
      <c r="BG47" s="14">
        <f>F47*BF47*IF(B47&gt;=in_marketplace_from,d_hz_nps*G47,0)*in_nps_ticket*in_nps_comm</f>
        <v/>
      </c>
      <c r="BH47" s="40">
        <f>BH46*(1-IF(B46&gt;=in_marketplace_from,d_hz_gold*G46,0))</f>
        <v/>
      </c>
      <c r="BI47" s="40">
        <f>BI46*d_rho_gold+BH47*IF(B47&gt;=in_marketplace_from,d_hz_gold*G47,0)</f>
        <v/>
      </c>
      <c r="BJ47" s="14">
        <f>F47*BI47*in_gold_ticket*in_gold_comm</f>
        <v/>
      </c>
      <c r="BK47" s="40">
        <f>BK46*(1-IF(B46&gt;=in_marketplace_from,d_hz_fd*G46,0))</f>
        <v/>
      </c>
      <c r="BL47" s="14">
        <f>F47*BK47*IF(B47&gt;=in_marketplace_from,d_hz_fd*G47,0)*in_fd_ticket*in_fd_comm</f>
        <v/>
      </c>
      <c r="BM47" s="40">
        <f>BM46*(1-IF(B46&gt;=in_marketplace_from,d_hz_recharge*G46,0))</f>
        <v/>
      </c>
      <c r="BN47" s="40">
        <f>BN46*d_rho_recharge+BM47*IF(B47&gt;=in_marketplace_from,d_hz_recharge*G47,0)</f>
        <v/>
      </c>
      <c r="BO47" s="14">
        <f>F47*BN47*in_recharge_ticket*in_recharge_comm/12</f>
        <v/>
      </c>
      <c r="BP47" s="40">
        <f>BP46*(1-IF(B46&gt;=in_marketplace_from,d_hz_bills*G46,0))</f>
        <v/>
      </c>
      <c r="BQ47" s="40">
        <f>BQ46*d_rho_bills+BP47*IF(B47&gt;=in_marketplace_from,d_hz_bills*G47,0)</f>
        <v/>
      </c>
      <c r="BR47" s="14">
        <f>F47*BQ47*in_bills_ticket*in_bills_comm/12</f>
        <v/>
      </c>
      <c r="BS47" s="40">
        <f>BS46*(1-IF(B46&gt;=in_marketplace_from,d_hz_loan_gold*G46,0))</f>
        <v/>
      </c>
      <c r="BT47" s="14">
        <f>F47*BS47*IF(B47&gt;=in_marketplace_from,d_hz_loan_gold*G47,0)*in_loan_gold_ticket*in_loan_gold_comm</f>
        <v/>
      </c>
      <c r="BU47" s="40">
        <f>BU46*(1-IF(B46&gt;=in_marketplace_from,d_hz_loan_cd*G46,0))</f>
        <v/>
      </c>
      <c r="BV47" s="14">
        <f>F47*BU47*IF(B47&gt;=in_marketplace_from,d_hz_loan_cd*G47,0)*in_loan_cd_ticket*in_loan_cd_comm</f>
        <v/>
      </c>
      <c r="BW47" s="40">
        <f>BW46*(1-IF(B46&gt;=in_marketplace_from,d_hz_loan_vehicle*G46,0))</f>
        <v/>
      </c>
      <c r="BX47" s="14">
        <f>F47*BW47*IF(B47&gt;=in_marketplace_from,d_hz_loan_vehicle*G47,0)*in_loan_vehicle_ticket*in_loan_vehicle_comm</f>
        <v/>
      </c>
      <c r="BY47" s="40">
        <f>BY46*(1-IF(B46&gt;=in_marketplace_from,d_hz_loan_home*G46,0)*BZ46)</f>
        <v/>
      </c>
      <c r="BZ47" s="11">
        <f>MIN(in_approval_cap,in_loan_home_approval*INDEX('Age profile'!$O$2:$O$61,B47)*(1+in_approval_growth)^(D47-1))</f>
        <v/>
      </c>
      <c r="CA47" s="14">
        <f>F47*BY47*IF(B47&gt;=in_marketplace_from,d_hz_loan_home*G47,0)*BZ47*in_loan_home_ticket*in_loan_home_comm</f>
        <v/>
      </c>
      <c r="CB47" s="40">
        <f>CB46*(1-IF(B46&gt;=in_marketplace_from,d_hz_loan_lap*G46,0)*CC46)</f>
        <v/>
      </c>
      <c r="CC47" s="11">
        <f>MIN(in_approval_cap,in_loan_lap_approval*INDEX('Age profile'!$O$2:$O$61,B47)*(1+in_approval_growth)^(D47-1))</f>
        <v/>
      </c>
      <c r="CD47" s="14">
        <f>F47*CB47*IF(B47&gt;=in_marketplace_from,d_hz_loan_lap*G47,0)*CC47*in_loan_lap_ticket*in_loan_lap_comm</f>
        <v/>
      </c>
      <c r="CE47" s="14">
        <f>AA47+AB47+AC47+AD47+AG47+AJ47+AM47+AP47+AS47+AU47+AX47+BB47+BE47+BG47+BJ47+BL47+BO47+BR47+BT47+BV47+BX47+CA47+CD47</f>
        <v/>
      </c>
    </row>
    <row r="48">
      <c r="A48" s="39" t="n">
        <v>1</v>
      </c>
      <c r="B48" s="39" t="n">
        <v>47</v>
      </c>
      <c r="C48" s="39">
        <f>A48+B48-1</f>
        <v/>
      </c>
      <c r="D48" s="39">
        <f>INT((C48-1)/12)+1</f>
        <v/>
      </c>
      <c r="E48" s="44">
        <f>INDEX(Monthly!$B$2:$B$61,A48)</f>
        <v/>
      </c>
      <c r="F48" s="44">
        <f>E48*INDEX('Age profile'!$B$2:$B$61,B48)</f>
        <v/>
      </c>
      <c r="G48" s="45">
        <f>MIN(in_takeup_cap,INDEX('Age profile'!$N$2:$N$61,B48)*(1+in_takeup_growth)^(D48-1))</f>
        <v/>
      </c>
      <c r="H48" s="11">
        <f>MIN(in_approval_cap,in_approved_first*INDEX('Age profile'!$O$2:$O$61,B48)*(1+in_approval_growth)^(D48-1))</f>
        <v/>
      </c>
      <c r="I48" s="45">
        <f>G48*MIN(in_takeup_cap,INDEX('Age profile'!$O$2:$O$61,B48)*(1+in_approval_growth)^(D48-1))</f>
        <v/>
      </c>
      <c r="J48" s="40">
        <f>(J47-L47)*F48/F47</f>
        <v/>
      </c>
      <c r="K48" s="40">
        <f>(K47-M47)*F48/F47+SUMIFS(O2:O47,B2:B47,B48-1-d_T)*F48</f>
        <v/>
      </c>
      <c r="L48" s="40">
        <f>IF(B48&gt;=in_marketplace_from,J48*d_hz*G48*in_eligible*H48,0)</f>
        <v/>
      </c>
      <c r="M48" s="40">
        <f>IF(B48&gt;=in_marketplace_from,K48*d_hz*G48*in_eligible*in_approved_repeat,0)</f>
        <v/>
      </c>
      <c r="N48" s="40">
        <f>L48+M48</f>
        <v/>
      </c>
      <c r="O48" s="46">
        <f>N48/F48</f>
        <v/>
      </c>
      <c r="P48" s="40">
        <f>F48-J48-K48</f>
        <v/>
      </c>
      <c r="Q48" s="40">
        <f>IF(B48&gt;=in_marketplace_from,(J48+K48)*d_hz*G48,0)</f>
        <v/>
      </c>
      <c r="R48" s="40">
        <f>SUMIFS(N2:N61,B2:B61,"&gt;="&amp;(B48-d_T),B2:B61,"&lt;="&amp;(B48-1))</f>
        <v/>
      </c>
      <c r="S48" s="46">
        <f>(1-d_u)*S47+IF(d_T&gt;in_topup_lag,SUMIFS(O2:O61,B2:B61,B48-in_topup_lag)-d_udrop*SUMIFS(O2:O61,B2:B61,B48-d_T),0)</f>
        <v/>
      </c>
      <c r="T48" s="40">
        <f>F48*d_u*S48</f>
        <v/>
      </c>
      <c r="U48" s="9">
        <f>L48*in_ticket+M48*d_rep_ticket</f>
        <v/>
      </c>
      <c r="V48" s="9">
        <f>U48+T48*d_topup_amt</f>
        <v/>
      </c>
      <c r="W48" s="40">
        <f>N48+T48*d_topup_ratio</f>
        <v/>
      </c>
      <c r="X48" s="40">
        <f>SUMIFS(W2:W61,B2:B61,B48-in_dpd_lag)*d_cured</f>
        <v/>
      </c>
      <c r="Y48" s="40">
        <f>SUMIFS(W2:W61,B2:B61,B48-in_rec_lag)*d_recd</f>
        <v/>
      </c>
      <c r="Z48" s="40">
        <f>IF(AND(B48&gt;=in_marketplace_from,B48&lt;in_marketplace_from+in_card_months),in_card_share/in_card_months*F48*I48,IF(AND(B48&gt;=in_marketplace_from+in_card_months,B48&lt;in_marketplace_from+2*in_card_months),in_card_share*d_card_rem/in_card_months*F48*MIN(in_takeup_cap,(1+in_takeup_growth)^(D48-1))*MIN(in_takeup_cap,(1+in_approval_growth)^(D48-1)),0))</f>
        <v/>
      </c>
      <c r="AA48" s="14">
        <f>V48*in_fee*(1-in_taken_back)</f>
        <v/>
      </c>
      <c r="AB48" s="14">
        <f>SUMIFS(W2:W61,B2:B61,B48-in_dpd_lag)*d_dpd</f>
        <v/>
      </c>
      <c r="AC48" s="14">
        <f>SUMIFS(W2:W61,B2:B61,B48-in_rec_lag)*d_rec</f>
        <v/>
      </c>
      <c r="AD48" s="14">
        <f>Z48*in_card_fee</f>
        <v/>
      </c>
      <c r="AE48" s="40">
        <f>AE47*(1-IF(B47&gt;=in_marketplace_from,d_hz_hlth_small*G47,0))</f>
        <v/>
      </c>
      <c r="AF48" s="46">
        <f>AE48*IF(B48&gt;=in_marketplace_from,d_hz_hlth_small*G48,0)</f>
        <v/>
      </c>
      <c r="AG48" s="14">
        <f>F48*AF48*in_hlth_small_ticket*in_hlth_small_comm*in_ins_partner_share+F48*in_hlth_small_ticket*in_hlth_small_renew_comm*in_ins_partner_share*(in_hlth_small_renew^1*SUMIFS(AF2:AF61,B2:B61,B48-12)+in_hlth_small_renew^2*SUMIFS(AF2:AF61,B2:B61,B48-24)+in_hlth_small_renew^3*SUMIFS(AF2:AF61,B2:B61,B48-36)+in_hlth_small_renew^4*SUMIFS(AF2:AF61,B2:B61,B48-48))</f>
        <v/>
      </c>
      <c r="AH48" s="40">
        <f>AH47*(1-IF(B47&gt;=in_marketplace_from,d_hz_hlth_family*G47,0))</f>
        <v/>
      </c>
      <c r="AI48" s="46">
        <f>AH48*IF(B48&gt;=in_marketplace_from,d_hz_hlth_family*G48,0)</f>
        <v/>
      </c>
      <c r="AJ48" s="14">
        <f>F48*AI48*in_hlth_family_ticket*in_hlth_family_comm*in_ins_partner_share+F48*in_hlth_family_ticket*in_hlth_family_renew_comm*in_ins_partner_share*(in_hlth_family_renew^1*SUMIFS(AI2:AI61,B2:B61,B48-12)+in_hlth_family_renew^2*SUMIFS(AI2:AI61,B2:B61,B48-24)+in_hlth_family_renew^3*SUMIFS(AI2:AI61,B2:B61,B48-36)+in_hlth_family_renew^4*SUMIFS(AI2:AI61,B2:B61,B48-48))</f>
        <v/>
      </c>
      <c r="AK48" s="40">
        <f>AK47*(1-IF(B47&gt;=in_marketplace_from,d_hz_life_term*G47,0))</f>
        <v/>
      </c>
      <c r="AL48" s="46">
        <f>AK48*IF(B48&gt;=in_marketplace_from,d_hz_life_term*G48,0)</f>
        <v/>
      </c>
      <c r="AM48" s="14">
        <f>F48*AL48*in_life_term_ticket*in_life_term_comm*in_ins_partner_share+F48*in_life_term_ticket*in_life_term_renew_comm*in_ins_partner_share*(in_life_term_renew^1*SUMIFS(AL2:AL61,B2:B61,B48-12)+in_life_term_renew^2*SUMIFS(AL2:AL61,B2:B61,B48-24)+in_life_term_renew^3*SUMIFS(AL2:AL61,B2:B61,B48-36)+in_life_term_renew^4*SUMIFS(AL2:AL61,B2:B61,B48-48))</f>
        <v/>
      </c>
      <c r="AN48" s="40">
        <f>AN47*(1-IF(B47&gt;=in_marketplace_from,d_hz_accident*G47,0))</f>
        <v/>
      </c>
      <c r="AO48" s="46">
        <f>AN48*IF(B48&gt;=in_marketplace_from,d_hz_accident*G48,0)</f>
        <v/>
      </c>
      <c r="AP48" s="14">
        <f>F48*AO48*in_accident_ticket*in_accident_comm*in_ins_partner_share+F48*in_accident_ticket*in_accident_renew_comm*in_ins_partner_share*(in_accident_renew^1*SUMIFS(AO2:AO61,B2:B61,B48-12)+in_accident_renew^2*SUMIFS(AO2:AO61,B2:B61,B48-24)+in_accident_renew^3*SUMIFS(AO2:AO61,B2:B61,B48-36)+in_accident_renew^4*SUMIFS(AO2:AO61,B2:B61,B48-48))</f>
        <v/>
      </c>
      <c r="AQ48" s="40">
        <f>AQ47*(1-IF(B47&gt;=in_marketplace_from,d_hz_two_wheeler*G47,0))</f>
        <v/>
      </c>
      <c r="AR48" s="46">
        <f>AQ48*IF(B48&gt;=in_marketplace_from,d_hz_two_wheeler*G48,0)</f>
        <v/>
      </c>
      <c r="AS48" s="14">
        <f>F48*AR48*in_two_wheeler_ticket*in_two_wheeler_comm*in_ins_partner_share+F48*in_two_wheeler_ticket*in_two_wheeler_comm*in_ins_partner_share*(in_two_wheeler_renew^1*SUMIFS(AR2:AR61,B2:B61,B48-12)+in_two_wheeler_renew^2*SUMIFS(AR2:AR61,B2:B61,B48-24)+in_two_wheeler_renew^3*SUMIFS(AR2:AR61,B2:B61,B48-36)+in_two_wheeler_renew^4*SUMIFS(AR2:AR61,B2:B61,B48-48))</f>
        <v/>
      </c>
      <c r="AT48" s="40">
        <f>AT47*(1-IF(B47&gt;=in_marketplace_from,d_hz_device*G47,0))</f>
        <v/>
      </c>
      <c r="AU48" s="14">
        <f>F48*AT48*IF(B48&gt;=in_marketplace_from,d_hz_device*G48,0)*in_device_ticket*in_device_comm*in_ins_partner_share</f>
        <v/>
      </c>
      <c r="AV48" s="40">
        <f>AV47*(1-IF(B47&gt;=in_marketplace_from,d_hz_shop*G47,0))</f>
        <v/>
      </c>
      <c r="AW48" s="46">
        <f>AV48*IF(B48&gt;=in_marketplace_from,d_hz_shop*G48,0)</f>
        <v/>
      </c>
      <c r="AX48" s="14">
        <f>F48*AW48*in_shop_ticket*in_shop_comm*in_ins_partner_share+F48*in_shop_ticket*in_shop_renew_comm*in_ins_partner_share*(in_shop_renew^1*SUMIFS(AW2:AW61,B2:B61,B48-12)+in_shop_renew^2*SUMIFS(AW2:AW61,B2:B61,B48-24)+in_shop_renew^3*SUMIFS(AW2:AW61,B2:B61,B48-36)+in_shop_renew^4*SUMIFS(AW2:AW61,B2:B61,B48-48))</f>
        <v/>
      </c>
      <c r="AY48" s="40">
        <f>AY47*(1-IF(B47&gt;=in_marketplace_from,d_hz_sip*G47,0))</f>
        <v/>
      </c>
      <c r="AZ48" s="40">
        <f>AZ47*d_rho_sip+AY48*IF(B48&gt;=in_marketplace_from,d_hz_sip*G48,0)</f>
        <v/>
      </c>
      <c r="BA48" s="40">
        <f>d_rho_sip*(BA47+AZ47)</f>
        <v/>
      </c>
      <c r="BB48" s="14">
        <f>F48*in_sip_ticket*(BA48+0.5*AZ48)*in_sip_comm/12</f>
        <v/>
      </c>
      <c r="BC48" s="40">
        <f>BC47*(1-IF(B47&gt;=in_marketplace_from,d_hz_choti*G47,0))</f>
        <v/>
      </c>
      <c r="BD48" s="46">
        <f>BC48*IF(B48&gt;=in_marketplace_from,d_hz_choti*G48,0)</f>
        <v/>
      </c>
      <c r="BE48" s="14">
        <f>F48*SUMIFS(BD2:BD61,B2:B61,B48-in_choti_months)*in_choti_renew*in_choti_ticket</f>
        <v/>
      </c>
      <c r="BF48" s="40">
        <f>BF47*(1-IF(B47&gt;=in_marketplace_from,d_hz_nps*G47,0))</f>
        <v/>
      </c>
      <c r="BG48" s="14">
        <f>F48*BF48*IF(B48&gt;=in_marketplace_from,d_hz_nps*G48,0)*in_nps_ticket*in_nps_comm</f>
        <v/>
      </c>
      <c r="BH48" s="40">
        <f>BH47*(1-IF(B47&gt;=in_marketplace_from,d_hz_gold*G47,0))</f>
        <v/>
      </c>
      <c r="BI48" s="40">
        <f>BI47*d_rho_gold+BH48*IF(B48&gt;=in_marketplace_from,d_hz_gold*G48,0)</f>
        <v/>
      </c>
      <c r="BJ48" s="14">
        <f>F48*BI48*in_gold_ticket*in_gold_comm</f>
        <v/>
      </c>
      <c r="BK48" s="40">
        <f>BK47*(1-IF(B47&gt;=in_marketplace_from,d_hz_fd*G47,0))</f>
        <v/>
      </c>
      <c r="BL48" s="14">
        <f>F48*BK48*IF(B48&gt;=in_marketplace_from,d_hz_fd*G48,0)*in_fd_ticket*in_fd_comm</f>
        <v/>
      </c>
      <c r="BM48" s="40">
        <f>BM47*(1-IF(B47&gt;=in_marketplace_from,d_hz_recharge*G47,0))</f>
        <v/>
      </c>
      <c r="BN48" s="40">
        <f>BN47*d_rho_recharge+BM48*IF(B48&gt;=in_marketplace_from,d_hz_recharge*G48,0)</f>
        <v/>
      </c>
      <c r="BO48" s="14">
        <f>F48*BN48*in_recharge_ticket*in_recharge_comm/12</f>
        <v/>
      </c>
      <c r="BP48" s="40">
        <f>BP47*(1-IF(B47&gt;=in_marketplace_from,d_hz_bills*G47,0))</f>
        <v/>
      </c>
      <c r="BQ48" s="40">
        <f>BQ47*d_rho_bills+BP48*IF(B48&gt;=in_marketplace_from,d_hz_bills*G48,0)</f>
        <v/>
      </c>
      <c r="BR48" s="14">
        <f>F48*BQ48*in_bills_ticket*in_bills_comm/12</f>
        <v/>
      </c>
      <c r="BS48" s="40">
        <f>BS47*(1-IF(B47&gt;=in_marketplace_from,d_hz_loan_gold*G47,0))</f>
        <v/>
      </c>
      <c r="BT48" s="14">
        <f>F48*BS48*IF(B48&gt;=in_marketplace_from,d_hz_loan_gold*G48,0)*in_loan_gold_ticket*in_loan_gold_comm</f>
        <v/>
      </c>
      <c r="BU48" s="40">
        <f>BU47*(1-IF(B47&gt;=in_marketplace_from,d_hz_loan_cd*G47,0))</f>
        <v/>
      </c>
      <c r="BV48" s="14">
        <f>F48*BU48*IF(B48&gt;=in_marketplace_from,d_hz_loan_cd*G48,0)*in_loan_cd_ticket*in_loan_cd_comm</f>
        <v/>
      </c>
      <c r="BW48" s="40">
        <f>BW47*(1-IF(B47&gt;=in_marketplace_from,d_hz_loan_vehicle*G47,0))</f>
        <v/>
      </c>
      <c r="BX48" s="14">
        <f>F48*BW48*IF(B48&gt;=in_marketplace_from,d_hz_loan_vehicle*G48,0)*in_loan_vehicle_ticket*in_loan_vehicle_comm</f>
        <v/>
      </c>
      <c r="BY48" s="40">
        <f>BY47*(1-IF(B47&gt;=in_marketplace_from,d_hz_loan_home*G47,0)*BZ47)</f>
        <v/>
      </c>
      <c r="BZ48" s="11">
        <f>MIN(in_approval_cap,in_loan_home_approval*INDEX('Age profile'!$O$2:$O$61,B48)*(1+in_approval_growth)^(D48-1))</f>
        <v/>
      </c>
      <c r="CA48" s="14">
        <f>F48*BY48*IF(B48&gt;=in_marketplace_from,d_hz_loan_home*G48,0)*BZ48*in_loan_home_ticket*in_loan_home_comm</f>
        <v/>
      </c>
      <c r="CB48" s="40">
        <f>CB47*(1-IF(B47&gt;=in_marketplace_from,d_hz_loan_lap*G47,0)*CC47)</f>
        <v/>
      </c>
      <c r="CC48" s="11">
        <f>MIN(in_approval_cap,in_loan_lap_approval*INDEX('Age profile'!$O$2:$O$61,B48)*(1+in_approval_growth)^(D48-1))</f>
        <v/>
      </c>
      <c r="CD48" s="14">
        <f>F48*CB48*IF(B48&gt;=in_marketplace_from,d_hz_loan_lap*G48,0)*CC48*in_loan_lap_ticket*in_loan_lap_comm</f>
        <v/>
      </c>
      <c r="CE48" s="14">
        <f>AA48+AB48+AC48+AD48+AG48+AJ48+AM48+AP48+AS48+AU48+AX48+BB48+BE48+BG48+BJ48+BL48+BO48+BR48+BT48+BV48+BX48+CA48+CD48</f>
        <v/>
      </c>
    </row>
    <row r="49">
      <c r="A49" s="39" t="n">
        <v>1</v>
      </c>
      <c r="B49" s="39" t="n">
        <v>48</v>
      </c>
      <c r="C49" s="39">
        <f>A49+B49-1</f>
        <v/>
      </c>
      <c r="D49" s="39">
        <f>INT((C49-1)/12)+1</f>
        <v/>
      </c>
      <c r="E49" s="44">
        <f>INDEX(Monthly!$B$2:$B$61,A49)</f>
        <v/>
      </c>
      <c r="F49" s="44">
        <f>E49*INDEX('Age profile'!$B$2:$B$61,B49)</f>
        <v/>
      </c>
      <c r="G49" s="45">
        <f>MIN(in_takeup_cap,INDEX('Age profile'!$N$2:$N$61,B49)*(1+in_takeup_growth)^(D49-1))</f>
        <v/>
      </c>
      <c r="H49" s="11">
        <f>MIN(in_approval_cap,in_approved_first*INDEX('Age profile'!$O$2:$O$61,B49)*(1+in_approval_growth)^(D49-1))</f>
        <v/>
      </c>
      <c r="I49" s="45">
        <f>G49*MIN(in_takeup_cap,INDEX('Age profile'!$O$2:$O$61,B49)*(1+in_approval_growth)^(D49-1))</f>
        <v/>
      </c>
      <c r="J49" s="40">
        <f>(J48-L48)*F49/F48</f>
        <v/>
      </c>
      <c r="K49" s="40">
        <f>(K48-M48)*F49/F48+SUMIFS(O2:O48,B2:B48,B49-1-d_T)*F49</f>
        <v/>
      </c>
      <c r="L49" s="40">
        <f>IF(B49&gt;=in_marketplace_from,J49*d_hz*G49*in_eligible*H49,0)</f>
        <v/>
      </c>
      <c r="M49" s="40">
        <f>IF(B49&gt;=in_marketplace_from,K49*d_hz*G49*in_eligible*in_approved_repeat,0)</f>
        <v/>
      </c>
      <c r="N49" s="40">
        <f>L49+M49</f>
        <v/>
      </c>
      <c r="O49" s="46">
        <f>N49/F49</f>
        <v/>
      </c>
      <c r="P49" s="40">
        <f>F49-J49-K49</f>
        <v/>
      </c>
      <c r="Q49" s="40">
        <f>IF(B49&gt;=in_marketplace_from,(J49+K49)*d_hz*G49,0)</f>
        <v/>
      </c>
      <c r="R49" s="40">
        <f>SUMIFS(N2:N61,B2:B61,"&gt;="&amp;(B49-d_T),B2:B61,"&lt;="&amp;(B49-1))</f>
        <v/>
      </c>
      <c r="S49" s="46">
        <f>(1-d_u)*S48+IF(d_T&gt;in_topup_lag,SUMIFS(O2:O61,B2:B61,B49-in_topup_lag)-d_udrop*SUMIFS(O2:O61,B2:B61,B49-d_T),0)</f>
        <v/>
      </c>
      <c r="T49" s="40">
        <f>F49*d_u*S49</f>
        <v/>
      </c>
      <c r="U49" s="9">
        <f>L49*in_ticket+M49*d_rep_ticket</f>
        <v/>
      </c>
      <c r="V49" s="9">
        <f>U49+T49*d_topup_amt</f>
        <v/>
      </c>
      <c r="W49" s="40">
        <f>N49+T49*d_topup_ratio</f>
        <v/>
      </c>
      <c r="X49" s="40">
        <f>SUMIFS(W2:W61,B2:B61,B49-in_dpd_lag)*d_cured</f>
        <v/>
      </c>
      <c r="Y49" s="40">
        <f>SUMIFS(W2:W61,B2:B61,B49-in_rec_lag)*d_recd</f>
        <v/>
      </c>
      <c r="Z49" s="40">
        <f>IF(AND(B49&gt;=in_marketplace_from,B49&lt;in_marketplace_from+in_card_months),in_card_share/in_card_months*F49*I49,IF(AND(B49&gt;=in_marketplace_from+in_card_months,B49&lt;in_marketplace_from+2*in_card_months),in_card_share*d_card_rem/in_card_months*F49*MIN(in_takeup_cap,(1+in_takeup_growth)^(D49-1))*MIN(in_takeup_cap,(1+in_approval_growth)^(D49-1)),0))</f>
        <v/>
      </c>
      <c r="AA49" s="14">
        <f>V49*in_fee*(1-in_taken_back)</f>
        <v/>
      </c>
      <c r="AB49" s="14">
        <f>SUMIFS(W2:W61,B2:B61,B49-in_dpd_lag)*d_dpd</f>
        <v/>
      </c>
      <c r="AC49" s="14">
        <f>SUMIFS(W2:W61,B2:B61,B49-in_rec_lag)*d_rec</f>
        <v/>
      </c>
      <c r="AD49" s="14">
        <f>Z49*in_card_fee</f>
        <v/>
      </c>
      <c r="AE49" s="40">
        <f>AE48*(1-IF(B48&gt;=in_marketplace_from,d_hz_hlth_small*G48,0))</f>
        <v/>
      </c>
      <c r="AF49" s="46">
        <f>AE49*IF(B49&gt;=in_marketplace_from,d_hz_hlth_small*G49,0)</f>
        <v/>
      </c>
      <c r="AG49" s="14">
        <f>F49*AF49*in_hlth_small_ticket*in_hlth_small_comm*in_ins_partner_share+F49*in_hlth_small_ticket*in_hlth_small_renew_comm*in_ins_partner_share*(in_hlth_small_renew^1*SUMIFS(AF2:AF61,B2:B61,B49-12)+in_hlth_small_renew^2*SUMIFS(AF2:AF61,B2:B61,B49-24)+in_hlth_small_renew^3*SUMIFS(AF2:AF61,B2:B61,B49-36)+in_hlth_small_renew^4*SUMIFS(AF2:AF61,B2:B61,B49-48))</f>
        <v/>
      </c>
      <c r="AH49" s="40">
        <f>AH48*(1-IF(B48&gt;=in_marketplace_from,d_hz_hlth_family*G48,0))</f>
        <v/>
      </c>
      <c r="AI49" s="46">
        <f>AH49*IF(B49&gt;=in_marketplace_from,d_hz_hlth_family*G49,0)</f>
        <v/>
      </c>
      <c r="AJ49" s="14">
        <f>F49*AI49*in_hlth_family_ticket*in_hlth_family_comm*in_ins_partner_share+F49*in_hlth_family_ticket*in_hlth_family_renew_comm*in_ins_partner_share*(in_hlth_family_renew^1*SUMIFS(AI2:AI61,B2:B61,B49-12)+in_hlth_family_renew^2*SUMIFS(AI2:AI61,B2:B61,B49-24)+in_hlth_family_renew^3*SUMIFS(AI2:AI61,B2:B61,B49-36)+in_hlth_family_renew^4*SUMIFS(AI2:AI61,B2:B61,B49-48))</f>
        <v/>
      </c>
      <c r="AK49" s="40">
        <f>AK48*(1-IF(B48&gt;=in_marketplace_from,d_hz_life_term*G48,0))</f>
        <v/>
      </c>
      <c r="AL49" s="46">
        <f>AK49*IF(B49&gt;=in_marketplace_from,d_hz_life_term*G49,0)</f>
        <v/>
      </c>
      <c r="AM49" s="14">
        <f>F49*AL49*in_life_term_ticket*in_life_term_comm*in_ins_partner_share+F49*in_life_term_ticket*in_life_term_renew_comm*in_ins_partner_share*(in_life_term_renew^1*SUMIFS(AL2:AL61,B2:B61,B49-12)+in_life_term_renew^2*SUMIFS(AL2:AL61,B2:B61,B49-24)+in_life_term_renew^3*SUMIFS(AL2:AL61,B2:B61,B49-36)+in_life_term_renew^4*SUMIFS(AL2:AL61,B2:B61,B49-48))</f>
        <v/>
      </c>
      <c r="AN49" s="40">
        <f>AN48*(1-IF(B48&gt;=in_marketplace_from,d_hz_accident*G48,0))</f>
        <v/>
      </c>
      <c r="AO49" s="46">
        <f>AN49*IF(B49&gt;=in_marketplace_from,d_hz_accident*G49,0)</f>
        <v/>
      </c>
      <c r="AP49" s="14">
        <f>F49*AO49*in_accident_ticket*in_accident_comm*in_ins_partner_share+F49*in_accident_ticket*in_accident_renew_comm*in_ins_partner_share*(in_accident_renew^1*SUMIFS(AO2:AO61,B2:B61,B49-12)+in_accident_renew^2*SUMIFS(AO2:AO61,B2:B61,B49-24)+in_accident_renew^3*SUMIFS(AO2:AO61,B2:B61,B49-36)+in_accident_renew^4*SUMIFS(AO2:AO61,B2:B61,B49-48))</f>
        <v/>
      </c>
      <c r="AQ49" s="40">
        <f>AQ48*(1-IF(B48&gt;=in_marketplace_from,d_hz_two_wheeler*G48,0))</f>
        <v/>
      </c>
      <c r="AR49" s="46">
        <f>AQ49*IF(B49&gt;=in_marketplace_from,d_hz_two_wheeler*G49,0)</f>
        <v/>
      </c>
      <c r="AS49" s="14">
        <f>F49*AR49*in_two_wheeler_ticket*in_two_wheeler_comm*in_ins_partner_share+F49*in_two_wheeler_ticket*in_two_wheeler_comm*in_ins_partner_share*(in_two_wheeler_renew^1*SUMIFS(AR2:AR61,B2:B61,B49-12)+in_two_wheeler_renew^2*SUMIFS(AR2:AR61,B2:B61,B49-24)+in_two_wheeler_renew^3*SUMIFS(AR2:AR61,B2:B61,B49-36)+in_two_wheeler_renew^4*SUMIFS(AR2:AR61,B2:B61,B49-48))</f>
        <v/>
      </c>
      <c r="AT49" s="40">
        <f>AT48*(1-IF(B48&gt;=in_marketplace_from,d_hz_device*G48,0))</f>
        <v/>
      </c>
      <c r="AU49" s="14">
        <f>F49*AT49*IF(B49&gt;=in_marketplace_from,d_hz_device*G49,0)*in_device_ticket*in_device_comm*in_ins_partner_share</f>
        <v/>
      </c>
      <c r="AV49" s="40">
        <f>AV48*(1-IF(B48&gt;=in_marketplace_from,d_hz_shop*G48,0))</f>
        <v/>
      </c>
      <c r="AW49" s="46">
        <f>AV49*IF(B49&gt;=in_marketplace_from,d_hz_shop*G49,0)</f>
        <v/>
      </c>
      <c r="AX49" s="14">
        <f>F49*AW49*in_shop_ticket*in_shop_comm*in_ins_partner_share+F49*in_shop_ticket*in_shop_renew_comm*in_ins_partner_share*(in_shop_renew^1*SUMIFS(AW2:AW61,B2:B61,B49-12)+in_shop_renew^2*SUMIFS(AW2:AW61,B2:B61,B49-24)+in_shop_renew^3*SUMIFS(AW2:AW61,B2:B61,B49-36)+in_shop_renew^4*SUMIFS(AW2:AW61,B2:B61,B49-48))</f>
        <v/>
      </c>
      <c r="AY49" s="40">
        <f>AY48*(1-IF(B48&gt;=in_marketplace_from,d_hz_sip*G48,0))</f>
        <v/>
      </c>
      <c r="AZ49" s="40">
        <f>AZ48*d_rho_sip+AY49*IF(B49&gt;=in_marketplace_from,d_hz_sip*G49,0)</f>
        <v/>
      </c>
      <c r="BA49" s="40">
        <f>d_rho_sip*(BA48+AZ48)</f>
        <v/>
      </c>
      <c r="BB49" s="14">
        <f>F49*in_sip_ticket*(BA49+0.5*AZ49)*in_sip_comm/12</f>
        <v/>
      </c>
      <c r="BC49" s="40">
        <f>BC48*(1-IF(B48&gt;=in_marketplace_from,d_hz_choti*G48,0))</f>
        <v/>
      </c>
      <c r="BD49" s="46">
        <f>BC49*IF(B49&gt;=in_marketplace_from,d_hz_choti*G49,0)</f>
        <v/>
      </c>
      <c r="BE49" s="14">
        <f>F49*SUMIFS(BD2:BD61,B2:B61,B49-in_choti_months)*in_choti_renew*in_choti_ticket</f>
        <v/>
      </c>
      <c r="BF49" s="40">
        <f>BF48*(1-IF(B48&gt;=in_marketplace_from,d_hz_nps*G48,0))</f>
        <v/>
      </c>
      <c r="BG49" s="14">
        <f>F49*BF49*IF(B49&gt;=in_marketplace_from,d_hz_nps*G49,0)*in_nps_ticket*in_nps_comm</f>
        <v/>
      </c>
      <c r="BH49" s="40">
        <f>BH48*(1-IF(B48&gt;=in_marketplace_from,d_hz_gold*G48,0))</f>
        <v/>
      </c>
      <c r="BI49" s="40">
        <f>BI48*d_rho_gold+BH49*IF(B49&gt;=in_marketplace_from,d_hz_gold*G49,0)</f>
        <v/>
      </c>
      <c r="BJ49" s="14">
        <f>F49*BI49*in_gold_ticket*in_gold_comm</f>
        <v/>
      </c>
      <c r="BK49" s="40">
        <f>BK48*(1-IF(B48&gt;=in_marketplace_from,d_hz_fd*G48,0))</f>
        <v/>
      </c>
      <c r="BL49" s="14">
        <f>F49*BK49*IF(B49&gt;=in_marketplace_from,d_hz_fd*G49,0)*in_fd_ticket*in_fd_comm</f>
        <v/>
      </c>
      <c r="BM49" s="40">
        <f>BM48*(1-IF(B48&gt;=in_marketplace_from,d_hz_recharge*G48,0))</f>
        <v/>
      </c>
      <c r="BN49" s="40">
        <f>BN48*d_rho_recharge+BM49*IF(B49&gt;=in_marketplace_from,d_hz_recharge*G49,0)</f>
        <v/>
      </c>
      <c r="BO49" s="14">
        <f>F49*BN49*in_recharge_ticket*in_recharge_comm/12</f>
        <v/>
      </c>
      <c r="BP49" s="40">
        <f>BP48*(1-IF(B48&gt;=in_marketplace_from,d_hz_bills*G48,0))</f>
        <v/>
      </c>
      <c r="BQ49" s="40">
        <f>BQ48*d_rho_bills+BP49*IF(B49&gt;=in_marketplace_from,d_hz_bills*G49,0)</f>
        <v/>
      </c>
      <c r="BR49" s="14">
        <f>F49*BQ49*in_bills_ticket*in_bills_comm/12</f>
        <v/>
      </c>
      <c r="BS49" s="40">
        <f>BS48*(1-IF(B48&gt;=in_marketplace_from,d_hz_loan_gold*G48,0))</f>
        <v/>
      </c>
      <c r="BT49" s="14">
        <f>F49*BS49*IF(B49&gt;=in_marketplace_from,d_hz_loan_gold*G49,0)*in_loan_gold_ticket*in_loan_gold_comm</f>
        <v/>
      </c>
      <c r="BU49" s="40">
        <f>BU48*(1-IF(B48&gt;=in_marketplace_from,d_hz_loan_cd*G48,0))</f>
        <v/>
      </c>
      <c r="BV49" s="14">
        <f>F49*BU49*IF(B49&gt;=in_marketplace_from,d_hz_loan_cd*G49,0)*in_loan_cd_ticket*in_loan_cd_comm</f>
        <v/>
      </c>
      <c r="BW49" s="40">
        <f>BW48*(1-IF(B48&gt;=in_marketplace_from,d_hz_loan_vehicle*G48,0))</f>
        <v/>
      </c>
      <c r="BX49" s="14">
        <f>F49*BW49*IF(B49&gt;=in_marketplace_from,d_hz_loan_vehicle*G49,0)*in_loan_vehicle_ticket*in_loan_vehicle_comm</f>
        <v/>
      </c>
      <c r="BY49" s="40">
        <f>BY48*(1-IF(B48&gt;=in_marketplace_from,d_hz_loan_home*G48,0)*BZ48)</f>
        <v/>
      </c>
      <c r="BZ49" s="11">
        <f>MIN(in_approval_cap,in_loan_home_approval*INDEX('Age profile'!$O$2:$O$61,B49)*(1+in_approval_growth)^(D49-1))</f>
        <v/>
      </c>
      <c r="CA49" s="14">
        <f>F49*BY49*IF(B49&gt;=in_marketplace_from,d_hz_loan_home*G49,0)*BZ49*in_loan_home_ticket*in_loan_home_comm</f>
        <v/>
      </c>
      <c r="CB49" s="40">
        <f>CB48*(1-IF(B48&gt;=in_marketplace_from,d_hz_loan_lap*G48,0)*CC48)</f>
        <v/>
      </c>
      <c r="CC49" s="11">
        <f>MIN(in_approval_cap,in_loan_lap_approval*INDEX('Age profile'!$O$2:$O$61,B49)*(1+in_approval_growth)^(D49-1))</f>
        <v/>
      </c>
      <c r="CD49" s="14">
        <f>F49*CB49*IF(B49&gt;=in_marketplace_from,d_hz_loan_lap*G49,0)*CC49*in_loan_lap_ticket*in_loan_lap_comm</f>
        <v/>
      </c>
      <c r="CE49" s="14">
        <f>AA49+AB49+AC49+AD49+AG49+AJ49+AM49+AP49+AS49+AU49+AX49+BB49+BE49+BG49+BJ49+BL49+BO49+BR49+BT49+BV49+BX49+CA49+CD49</f>
        <v/>
      </c>
    </row>
    <row r="50">
      <c r="A50" s="39" t="n">
        <v>1</v>
      </c>
      <c r="B50" s="39" t="n">
        <v>49</v>
      </c>
      <c r="C50" s="39">
        <f>A50+B50-1</f>
        <v/>
      </c>
      <c r="D50" s="39">
        <f>INT((C50-1)/12)+1</f>
        <v/>
      </c>
      <c r="E50" s="44">
        <f>INDEX(Monthly!$B$2:$B$61,A50)</f>
        <v/>
      </c>
      <c r="F50" s="44">
        <f>E50*INDEX('Age profile'!$B$2:$B$61,B50)</f>
        <v/>
      </c>
      <c r="G50" s="45">
        <f>MIN(in_takeup_cap,INDEX('Age profile'!$N$2:$N$61,B50)*(1+in_takeup_growth)^(D50-1))</f>
        <v/>
      </c>
      <c r="H50" s="11">
        <f>MIN(in_approval_cap,in_approved_first*INDEX('Age profile'!$O$2:$O$61,B50)*(1+in_approval_growth)^(D50-1))</f>
        <v/>
      </c>
      <c r="I50" s="45">
        <f>G50*MIN(in_takeup_cap,INDEX('Age profile'!$O$2:$O$61,B50)*(1+in_approval_growth)^(D50-1))</f>
        <v/>
      </c>
      <c r="J50" s="40">
        <f>(J49-L49)*F50/F49</f>
        <v/>
      </c>
      <c r="K50" s="40">
        <f>(K49-M49)*F50/F49+SUMIFS(O2:O49,B2:B49,B50-1-d_T)*F50</f>
        <v/>
      </c>
      <c r="L50" s="40">
        <f>IF(B50&gt;=in_marketplace_from,J50*d_hz*G50*in_eligible*H50,0)</f>
        <v/>
      </c>
      <c r="M50" s="40">
        <f>IF(B50&gt;=in_marketplace_from,K50*d_hz*G50*in_eligible*in_approved_repeat,0)</f>
        <v/>
      </c>
      <c r="N50" s="40">
        <f>L50+M50</f>
        <v/>
      </c>
      <c r="O50" s="46">
        <f>N50/F50</f>
        <v/>
      </c>
      <c r="P50" s="40">
        <f>F50-J50-K50</f>
        <v/>
      </c>
      <c r="Q50" s="40">
        <f>IF(B50&gt;=in_marketplace_from,(J50+K50)*d_hz*G50,0)</f>
        <v/>
      </c>
      <c r="R50" s="40">
        <f>SUMIFS(N2:N61,B2:B61,"&gt;="&amp;(B50-d_T),B2:B61,"&lt;="&amp;(B50-1))</f>
        <v/>
      </c>
      <c r="S50" s="46">
        <f>(1-d_u)*S49+IF(d_T&gt;in_topup_lag,SUMIFS(O2:O61,B2:B61,B50-in_topup_lag)-d_udrop*SUMIFS(O2:O61,B2:B61,B50-d_T),0)</f>
        <v/>
      </c>
      <c r="T50" s="40">
        <f>F50*d_u*S50</f>
        <v/>
      </c>
      <c r="U50" s="9">
        <f>L50*in_ticket+M50*d_rep_ticket</f>
        <v/>
      </c>
      <c r="V50" s="9">
        <f>U50+T50*d_topup_amt</f>
        <v/>
      </c>
      <c r="W50" s="40">
        <f>N50+T50*d_topup_ratio</f>
        <v/>
      </c>
      <c r="X50" s="40">
        <f>SUMIFS(W2:W61,B2:B61,B50-in_dpd_lag)*d_cured</f>
        <v/>
      </c>
      <c r="Y50" s="40">
        <f>SUMIFS(W2:W61,B2:B61,B50-in_rec_lag)*d_recd</f>
        <v/>
      </c>
      <c r="Z50" s="40">
        <f>IF(AND(B50&gt;=in_marketplace_from,B50&lt;in_marketplace_from+in_card_months),in_card_share/in_card_months*F50*I50,IF(AND(B50&gt;=in_marketplace_from+in_card_months,B50&lt;in_marketplace_from+2*in_card_months),in_card_share*d_card_rem/in_card_months*F50*MIN(in_takeup_cap,(1+in_takeup_growth)^(D50-1))*MIN(in_takeup_cap,(1+in_approval_growth)^(D50-1)),0))</f>
        <v/>
      </c>
      <c r="AA50" s="14">
        <f>V50*in_fee*(1-in_taken_back)</f>
        <v/>
      </c>
      <c r="AB50" s="14">
        <f>SUMIFS(W2:W61,B2:B61,B50-in_dpd_lag)*d_dpd</f>
        <v/>
      </c>
      <c r="AC50" s="14">
        <f>SUMIFS(W2:W61,B2:B61,B50-in_rec_lag)*d_rec</f>
        <v/>
      </c>
      <c r="AD50" s="14">
        <f>Z50*in_card_fee</f>
        <v/>
      </c>
      <c r="AE50" s="40">
        <f>AE49*(1-IF(B49&gt;=in_marketplace_from,d_hz_hlth_small*G49,0))</f>
        <v/>
      </c>
      <c r="AF50" s="46">
        <f>AE50*IF(B50&gt;=in_marketplace_from,d_hz_hlth_small*G50,0)</f>
        <v/>
      </c>
      <c r="AG50" s="14">
        <f>F50*AF50*in_hlth_small_ticket*in_hlth_small_comm*in_ins_partner_share+F50*in_hlth_small_ticket*in_hlth_small_renew_comm*in_ins_partner_share*(in_hlth_small_renew^1*SUMIFS(AF2:AF61,B2:B61,B50-12)+in_hlth_small_renew^2*SUMIFS(AF2:AF61,B2:B61,B50-24)+in_hlth_small_renew^3*SUMIFS(AF2:AF61,B2:B61,B50-36)+in_hlth_small_renew^4*SUMIFS(AF2:AF61,B2:B61,B50-48))</f>
        <v/>
      </c>
      <c r="AH50" s="40">
        <f>AH49*(1-IF(B49&gt;=in_marketplace_from,d_hz_hlth_family*G49,0))</f>
        <v/>
      </c>
      <c r="AI50" s="46">
        <f>AH50*IF(B50&gt;=in_marketplace_from,d_hz_hlth_family*G50,0)</f>
        <v/>
      </c>
      <c r="AJ50" s="14">
        <f>F50*AI50*in_hlth_family_ticket*in_hlth_family_comm*in_ins_partner_share+F50*in_hlth_family_ticket*in_hlth_family_renew_comm*in_ins_partner_share*(in_hlth_family_renew^1*SUMIFS(AI2:AI61,B2:B61,B50-12)+in_hlth_family_renew^2*SUMIFS(AI2:AI61,B2:B61,B50-24)+in_hlth_family_renew^3*SUMIFS(AI2:AI61,B2:B61,B50-36)+in_hlth_family_renew^4*SUMIFS(AI2:AI61,B2:B61,B50-48))</f>
        <v/>
      </c>
      <c r="AK50" s="40">
        <f>AK49*(1-IF(B49&gt;=in_marketplace_from,d_hz_life_term*G49,0))</f>
        <v/>
      </c>
      <c r="AL50" s="46">
        <f>AK50*IF(B50&gt;=in_marketplace_from,d_hz_life_term*G50,0)</f>
        <v/>
      </c>
      <c r="AM50" s="14">
        <f>F50*AL50*in_life_term_ticket*in_life_term_comm*in_ins_partner_share+F50*in_life_term_ticket*in_life_term_renew_comm*in_ins_partner_share*(in_life_term_renew^1*SUMIFS(AL2:AL61,B2:B61,B50-12)+in_life_term_renew^2*SUMIFS(AL2:AL61,B2:B61,B50-24)+in_life_term_renew^3*SUMIFS(AL2:AL61,B2:B61,B50-36)+in_life_term_renew^4*SUMIFS(AL2:AL61,B2:B61,B50-48))</f>
        <v/>
      </c>
      <c r="AN50" s="40">
        <f>AN49*(1-IF(B49&gt;=in_marketplace_from,d_hz_accident*G49,0))</f>
        <v/>
      </c>
      <c r="AO50" s="46">
        <f>AN50*IF(B50&gt;=in_marketplace_from,d_hz_accident*G50,0)</f>
        <v/>
      </c>
      <c r="AP50" s="14">
        <f>F50*AO50*in_accident_ticket*in_accident_comm*in_ins_partner_share+F50*in_accident_ticket*in_accident_renew_comm*in_ins_partner_share*(in_accident_renew^1*SUMIFS(AO2:AO61,B2:B61,B50-12)+in_accident_renew^2*SUMIFS(AO2:AO61,B2:B61,B50-24)+in_accident_renew^3*SUMIFS(AO2:AO61,B2:B61,B50-36)+in_accident_renew^4*SUMIFS(AO2:AO61,B2:B61,B50-48))</f>
        <v/>
      </c>
      <c r="AQ50" s="40">
        <f>AQ49*(1-IF(B49&gt;=in_marketplace_from,d_hz_two_wheeler*G49,0))</f>
        <v/>
      </c>
      <c r="AR50" s="46">
        <f>AQ50*IF(B50&gt;=in_marketplace_from,d_hz_two_wheeler*G50,0)</f>
        <v/>
      </c>
      <c r="AS50" s="14">
        <f>F50*AR50*in_two_wheeler_ticket*in_two_wheeler_comm*in_ins_partner_share+F50*in_two_wheeler_ticket*in_two_wheeler_comm*in_ins_partner_share*(in_two_wheeler_renew^1*SUMIFS(AR2:AR61,B2:B61,B50-12)+in_two_wheeler_renew^2*SUMIFS(AR2:AR61,B2:B61,B50-24)+in_two_wheeler_renew^3*SUMIFS(AR2:AR61,B2:B61,B50-36)+in_two_wheeler_renew^4*SUMIFS(AR2:AR61,B2:B61,B50-48))</f>
        <v/>
      </c>
      <c r="AT50" s="40">
        <f>AT49*(1-IF(B49&gt;=in_marketplace_from,d_hz_device*G49,0))</f>
        <v/>
      </c>
      <c r="AU50" s="14">
        <f>F50*AT50*IF(B50&gt;=in_marketplace_from,d_hz_device*G50,0)*in_device_ticket*in_device_comm*in_ins_partner_share</f>
        <v/>
      </c>
      <c r="AV50" s="40">
        <f>AV49*(1-IF(B49&gt;=in_marketplace_from,d_hz_shop*G49,0))</f>
        <v/>
      </c>
      <c r="AW50" s="46">
        <f>AV50*IF(B50&gt;=in_marketplace_from,d_hz_shop*G50,0)</f>
        <v/>
      </c>
      <c r="AX50" s="14">
        <f>F50*AW50*in_shop_ticket*in_shop_comm*in_ins_partner_share+F50*in_shop_ticket*in_shop_renew_comm*in_ins_partner_share*(in_shop_renew^1*SUMIFS(AW2:AW61,B2:B61,B50-12)+in_shop_renew^2*SUMIFS(AW2:AW61,B2:B61,B50-24)+in_shop_renew^3*SUMIFS(AW2:AW61,B2:B61,B50-36)+in_shop_renew^4*SUMIFS(AW2:AW61,B2:B61,B50-48))</f>
        <v/>
      </c>
      <c r="AY50" s="40">
        <f>AY49*(1-IF(B49&gt;=in_marketplace_from,d_hz_sip*G49,0))</f>
        <v/>
      </c>
      <c r="AZ50" s="40">
        <f>AZ49*d_rho_sip+AY50*IF(B50&gt;=in_marketplace_from,d_hz_sip*G50,0)</f>
        <v/>
      </c>
      <c r="BA50" s="40">
        <f>d_rho_sip*(BA49+AZ49)</f>
        <v/>
      </c>
      <c r="BB50" s="14">
        <f>F50*in_sip_ticket*(BA50+0.5*AZ50)*in_sip_comm/12</f>
        <v/>
      </c>
      <c r="BC50" s="40">
        <f>BC49*(1-IF(B49&gt;=in_marketplace_from,d_hz_choti*G49,0))</f>
        <v/>
      </c>
      <c r="BD50" s="46">
        <f>BC50*IF(B50&gt;=in_marketplace_from,d_hz_choti*G50,0)</f>
        <v/>
      </c>
      <c r="BE50" s="14">
        <f>F50*SUMIFS(BD2:BD61,B2:B61,B50-in_choti_months)*in_choti_renew*in_choti_ticket</f>
        <v/>
      </c>
      <c r="BF50" s="40">
        <f>BF49*(1-IF(B49&gt;=in_marketplace_from,d_hz_nps*G49,0))</f>
        <v/>
      </c>
      <c r="BG50" s="14">
        <f>F50*BF50*IF(B50&gt;=in_marketplace_from,d_hz_nps*G50,0)*in_nps_ticket*in_nps_comm</f>
        <v/>
      </c>
      <c r="BH50" s="40">
        <f>BH49*(1-IF(B49&gt;=in_marketplace_from,d_hz_gold*G49,0))</f>
        <v/>
      </c>
      <c r="BI50" s="40">
        <f>BI49*d_rho_gold+BH50*IF(B50&gt;=in_marketplace_from,d_hz_gold*G50,0)</f>
        <v/>
      </c>
      <c r="BJ50" s="14">
        <f>F50*BI50*in_gold_ticket*in_gold_comm</f>
        <v/>
      </c>
      <c r="BK50" s="40">
        <f>BK49*(1-IF(B49&gt;=in_marketplace_from,d_hz_fd*G49,0))</f>
        <v/>
      </c>
      <c r="BL50" s="14">
        <f>F50*BK50*IF(B50&gt;=in_marketplace_from,d_hz_fd*G50,0)*in_fd_ticket*in_fd_comm</f>
        <v/>
      </c>
      <c r="BM50" s="40">
        <f>BM49*(1-IF(B49&gt;=in_marketplace_from,d_hz_recharge*G49,0))</f>
        <v/>
      </c>
      <c r="BN50" s="40">
        <f>BN49*d_rho_recharge+BM50*IF(B50&gt;=in_marketplace_from,d_hz_recharge*G50,0)</f>
        <v/>
      </c>
      <c r="BO50" s="14">
        <f>F50*BN50*in_recharge_ticket*in_recharge_comm/12</f>
        <v/>
      </c>
      <c r="BP50" s="40">
        <f>BP49*(1-IF(B49&gt;=in_marketplace_from,d_hz_bills*G49,0))</f>
        <v/>
      </c>
      <c r="BQ50" s="40">
        <f>BQ49*d_rho_bills+BP50*IF(B50&gt;=in_marketplace_from,d_hz_bills*G50,0)</f>
        <v/>
      </c>
      <c r="BR50" s="14">
        <f>F50*BQ50*in_bills_ticket*in_bills_comm/12</f>
        <v/>
      </c>
      <c r="BS50" s="40">
        <f>BS49*(1-IF(B49&gt;=in_marketplace_from,d_hz_loan_gold*G49,0))</f>
        <v/>
      </c>
      <c r="BT50" s="14">
        <f>F50*BS50*IF(B50&gt;=in_marketplace_from,d_hz_loan_gold*G50,0)*in_loan_gold_ticket*in_loan_gold_comm</f>
        <v/>
      </c>
      <c r="BU50" s="40">
        <f>BU49*(1-IF(B49&gt;=in_marketplace_from,d_hz_loan_cd*G49,0))</f>
        <v/>
      </c>
      <c r="BV50" s="14">
        <f>F50*BU50*IF(B50&gt;=in_marketplace_from,d_hz_loan_cd*G50,0)*in_loan_cd_ticket*in_loan_cd_comm</f>
        <v/>
      </c>
      <c r="BW50" s="40">
        <f>BW49*(1-IF(B49&gt;=in_marketplace_from,d_hz_loan_vehicle*G49,0))</f>
        <v/>
      </c>
      <c r="BX50" s="14">
        <f>F50*BW50*IF(B50&gt;=in_marketplace_from,d_hz_loan_vehicle*G50,0)*in_loan_vehicle_ticket*in_loan_vehicle_comm</f>
        <v/>
      </c>
      <c r="BY50" s="40">
        <f>BY49*(1-IF(B49&gt;=in_marketplace_from,d_hz_loan_home*G49,0)*BZ49)</f>
        <v/>
      </c>
      <c r="BZ50" s="11">
        <f>MIN(in_approval_cap,in_loan_home_approval*INDEX('Age profile'!$O$2:$O$61,B50)*(1+in_approval_growth)^(D50-1))</f>
        <v/>
      </c>
      <c r="CA50" s="14">
        <f>F50*BY50*IF(B50&gt;=in_marketplace_from,d_hz_loan_home*G50,0)*BZ50*in_loan_home_ticket*in_loan_home_comm</f>
        <v/>
      </c>
      <c r="CB50" s="40">
        <f>CB49*(1-IF(B49&gt;=in_marketplace_from,d_hz_loan_lap*G49,0)*CC49)</f>
        <v/>
      </c>
      <c r="CC50" s="11">
        <f>MIN(in_approval_cap,in_loan_lap_approval*INDEX('Age profile'!$O$2:$O$61,B50)*(1+in_approval_growth)^(D50-1))</f>
        <v/>
      </c>
      <c r="CD50" s="14">
        <f>F50*CB50*IF(B50&gt;=in_marketplace_from,d_hz_loan_lap*G50,0)*CC50*in_loan_lap_ticket*in_loan_lap_comm</f>
        <v/>
      </c>
      <c r="CE50" s="14">
        <f>AA50+AB50+AC50+AD50+AG50+AJ50+AM50+AP50+AS50+AU50+AX50+BB50+BE50+BG50+BJ50+BL50+BO50+BR50+BT50+BV50+BX50+CA50+CD50</f>
        <v/>
      </c>
    </row>
    <row r="51">
      <c r="A51" s="39" t="n">
        <v>1</v>
      </c>
      <c r="B51" s="39" t="n">
        <v>50</v>
      </c>
      <c r="C51" s="39">
        <f>A51+B51-1</f>
        <v/>
      </c>
      <c r="D51" s="39">
        <f>INT((C51-1)/12)+1</f>
        <v/>
      </c>
      <c r="E51" s="44">
        <f>INDEX(Monthly!$B$2:$B$61,A51)</f>
        <v/>
      </c>
      <c r="F51" s="44">
        <f>E51*INDEX('Age profile'!$B$2:$B$61,B51)</f>
        <v/>
      </c>
      <c r="G51" s="45">
        <f>MIN(in_takeup_cap,INDEX('Age profile'!$N$2:$N$61,B51)*(1+in_takeup_growth)^(D51-1))</f>
        <v/>
      </c>
      <c r="H51" s="11">
        <f>MIN(in_approval_cap,in_approved_first*INDEX('Age profile'!$O$2:$O$61,B51)*(1+in_approval_growth)^(D51-1))</f>
        <v/>
      </c>
      <c r="I51" s="45">
        <f>G51*MIN(in_takeup_cap,INDEX('Age profile'!$O$2:$O$61,B51)*(1+in_approval_growth)^(D51-1))</f>
        <v/>
      </c>
      <c r="J51" s="40">
        <f>(J50-L50)*F51/F50</f>
        <v/>
      </c>
      <c r="K51" s="40">
        <f>(K50-M50)*F51/F50+SUMIFS(O2:O50,B2:B50,B51-1-d_T)*F51</f>
        <v/>
      </c>
      <c r="L51" s="40">
        <f>IF(B51&gt;=in_marketplace_from,J51*d_hz*G51*in_eligible*H51,0)</f>
        <v/>
      </c>
      <c r="M51" s="40">
        <f>IF(B51&gt;=in_marketplace_from,K51*d_hz*G51*in_eligible*in_approved_repeat,0)</f>
        <v/>
      </c>
      <c r="N51" s="40">
        <f>L51+M51</f>
        <v/>
      </c>
      <c r="O51" s="46">
        <f>N51/F51</f>
        <v/>
      </c>
      <c r="P51" s="40">
        <f>F51-J51-K51</f>
        <v/>
      </c>
      <c r="Q51" s="40">
        <f>IF(B51&gt;=in_marketplace_from,(J51+K51)*d_hz*G51,0)</f>
        <v/>
      </c>
      <c r="R51" s="40">
        <f>SUMIFS(N2:N61,B2:B61,"&gt;="&amp;(B51-d_T),B2:B61,"&lt;="&amp;(B51-1))</f>
        <v/>
      </c>
      <c r="S51" s="46">
        <f>(1-d_u)*S50+IF(d_T&gt;in_topup_lag,SUMIFS(O2:O61,B2:B61,B51-in_topup_lag)-d_udrop*SUMIFS(O2:O61,B2:B61,B51-d_T),0)</f>
        <v/>
      </c>
      <c r="T51" s="40">
        <f>F51*d_u*S51</f>
        <v/>
      </c>
      <c r="U51" s="9">
        <f>L51*in_ticket+M51*d_rep_ticket</f>
        <v/>
      </c>
      <c r="V51" s="9">
        <f>U51+T51*d_topup_amt</f>
        <v/>
      </c>
      <c r="W51" s="40">
        <f>N51+T51*d_topup_ratio</f>
        <v/>
      </c>
      <c r="X51" s="40">
        <f>SUMIFS(W2:W61,B2:B61,B51-in_dpd_lag)*d_cured</f>
        <v/>
      </c>
      <c r="Y51" s="40">
        <f>SUMIFS(W2:W61,B2:B61,B51-in_rec_lag)*d_recd</f>
        <v/>
      </c>
      <c r="Z51" s="40">
        <f>IF(AND(B51&gt;=in_marketplace_from,B51&lt;in_marketplace_from+in_card_months),in_card_share/in_card_months*F51*I51,IF(AND(B51&gt;=in_marketplace_from+in_card_months,B51&lt;in_marketplace_from+2*in_card_months),in_card_share*d_card_rem/in_card_months*F51*MIN(in_takeup_cap,(1+in_takeup_growth)^(D51-1))*MIN(in_takeup_cap,(1+in_approval_growth)^(D51-1)),0))</f>
        <v/>
      </c>
      <c r="AA51" s="14">
        <f>V51*in_fee*(1-in_taken_back)</f>
        <v/>
      </c>
      <c r="AB51" s="14">
        <f>SUMIFS(W2:W61,B2:B61,B51-in_dpd_lag)*d_dpd</f>
        <v/>
      </c>
      <c r="AC51" s="14">
        <f>SUMIFS(W2:W61,B2:B61,B51-in_rec_lag)*d_rec</f>
        <v/>
      </c>
      <c r="AD51" s="14">
        <f>Z51*in_card_fee</f>
        <v/>
      </c>
      <c r="AE51" s="40">
        <f>AE50*(1-IF(B50&gt;=in_marketplace_from,d_hz_hlth_small*G50,0))</f>
        <v/>
      </c>
      <c r="AF51" s="46">
        <f>AE51*IF(B51&gt;=in_marketplace_from,d_hz_hlth_small*G51,0)</f>
        <v/>
      </c>
      <c r="AG51" s="14">
        <f>F51*AF51*in_hlth_small_ticket*in_hlth_small_comm*in_ins_partner_share+F51*in_hlth_small_ticket*in_hlth_small_renew_comm*in_ins_partner_share*(in_hlth_small_renew^1*SUMIFS(AF2:AF61,B2:B61,B51-12)+in_hlth_small_renew^2*SUMIFS(AF2:AF61,B2:B61,B51-24)+in_hlth_small_renew^3*SUMIFS(AF2:AF61,B2:B61,B51-36)+in_hlth_small_renew^4*SUMIFS(AF2:AF61,B2:B61,B51-48))</f>
        <v/>
      </c>
      <c r="AH51" s="40">
        <f>AH50*(1-IF(B50&gt;=in_marketplace_from,d_hz_hlth_family*G50,0))</f>
        <v/>
      </c>
      <c r="AI51" s="46">
        <f>AH51*IF(B51&gt;=in_marketplace_from,d_hz_hlth_family*G51,0)</f>
        <v/>
      </c>
      <c r="AJ51" s="14">
        <f>F51*AI51*in_hlth_family_ticket*in_hlth_family_comm*in_ins_partner_share+F51*in_hlth_family_ticket*in_hlth_family_renew_comm*in_ins_partner_share*(in_hlth_family_renew^1*SUMIFS(AI2:AI61,B2:B61,B51-12)+in_hlth_family_renew^2*SUMIFS(AI2:AI61,B2:B61,B51-24)+in_hlth_family_renew^3*SUMIFS(AI2:AI61,B2:B61,B51-36)+in_hlth_family_renew^4*SUMIFS(AI2:AI61,B2:B61,B51-48))</f>
        <v/>
      </c>
      <c r="AK51" s="40">
        <f>AK50*(1-IF(B50&gt;=in_marketplace_from,d_hz_life_term*G50,0))</f>
        <v/>
      </c>
      <c r="AL51" s="46">
        <f>AK51*IF(B51&gt;=in_marketplace_from,d_hz_life_term*G51,0)</f>
        <v/>
      </c>
      <c r="AM51" s="14">
        <f>F51*AL51*in_life_term_ticket*in_life_term_comm*in_ins_partner_share+F51*in_life_term_ticket*in_life_term_renew_comm*in_ins_partner_share*(in_life_term_renew^1*SUMIFS(AL2:AL61,B2:B61,B51-12)+in_life_term_renew^2*SUMIFS(AL2:AL61,B2:B61,B51-24)+in_life_term_renew^3*SUMIFS(AL2:AL61,B2:B61,B51-36)+in_life_term_renew^4*SUMIFS(AL2:AL61,B2:B61,B51-48))</f>
        <v/>
      </c>
      <c r="AN51" s="40">
        <f>AN50*(1-IF(B50&gt;=in_marketplace_from,d_hz_accident*G50,0))</f>
        <v/>
      </c>
      <c r="AO51" s="46">
        <f>AN51*IF(B51&gt;=in_marketplace_from,d_hz_accident*G51,0)</f>
        <v/>
      </c>
      <c r="AP51" s="14">
        <f>F51*AO51*in_accident_ticket*in_accident_comm*in_ins_partner_share+F51*in_accident_ticket*in_accident_renew_comm*in_ins_partner_share*(in_accident_renew^1*SUMIFS(AO2:AO61,B2:B61,B51-12)+in_accident_renew^2*SUMIFS(AO2:AO61,B2:B61,B51-24)+in_accident_renew^3*SUMIFS(AO2:AO61,B2:B61,B51-36)+in_accident_renew^4*SUMIFS(AO2:AO61,B2:B61,B51-48))</f>
        <v/>
      </c>
      <c r="AQ51" s="40">
        <f>AQ50*(1-IF(B50&gt;=in_marketplace_from,d_hz_two_wheeler*G50,0))</f>
        <v/>
      </c>
      <c r="AR51" s="46">
        <f>AQ51*IF(B51&gt;=in_marketplace_from,d_hz_two_wheeler*G51,0)</f>
        <v/>
      </c>
      <c r="AS51" s="14">
        <f>F51*AR51*in_two_wheeler_ticket*in_two_wheeler_comm*in_ins_partner_share+F51*in_two_wheeler_ticket*in_two_wheeler_comm*in_ins_partner_share*(in_two_wheeler_renew^1*SUMIFS(AR2:AR61,B2:B61,B51-12)+in_two_wheeler_renew^2*SUMIFS(AR2:AR61,B2:B61,B51-24)+in_two_wheeler_renew^3*SUMIFS(AR2:AR61,B2:B61,B51-36)+in_two_wheeler_renew^4*SUMIFS(AR2:AR61,B2:B61,B51-48))</f>
        <v/>
      </c>
      <c r="AT51" s="40">
        <f>AT50*(1-IF(B50&gt;=in_marketplace_from,d_hz_device*G50,0))</f>
        <v/>
      </c>
      <c r="AU51" s="14">
        <f>F51*AT51*IF(B51&gt;=in_marketplace_from,d_hz_device*G51,0)*in_device_ticket*in_device_comm*in_ins_partner_share</f>
        <v/>
      </c>
      <c r="AV51" s="40">
        <f>AV50*(1-IF(B50&gt;=in_marketplace_from,d_hz_shop*G50,0))</f>
        <v/>
      </c>
      <c r="AW51" s="46">
        <f>AV51*IF(B51&gt;=in_marketplace_from,d_hz_shop*G51,0)</f>
        <v/>
      </c>
      <c r="AX51" s="14">
        <f>F51*AW51*in_shop_ticket*in_shop_comm*in_ins_partner_share+F51*in_shop_ticket*in_shop_renew_comm*in_ins_partner_share*(in_shop_renew^1*SUMIFS(AW2:AW61,B2:B61,B51-12)+in_shop_renew^2*SUMIFS(AW2:AW61,B2:B61,B51-24)+in_shop_renew^3*SUMIFS(AW2:AW61,B2:B61,B51-36)+in_shop_renew^4*SUMIFS(AW2:AW61,B2:B61,B51-48))</f>
        <v/>
      </c>
      <c r="AY51" s="40">
        <f>AY50*(1-IF(B50&gt;=in_marketplace_from,d_hz_sip*G50,0))</f>
        <v/>
      </c>
      <c r="AZ51" s="40">
        <f>AZ50*d_rho_sip+AY51*IF(B51&gt;=in_marketplace_from,d_hz_sip*G51,0)</f>
        <v/>
      </c>
      <c r="BA51" s="40">
        <f>d_rho_sip*(BA50+AZ50)</f>
        <v/>
      </c>
      <c r="BB51" s="14">
        <f>F51*in_sip_ticket*(BA51+0.5*AZ51)*in_sip_comm/12</f>
        <v/>
      </c>
      <c r="BC51" s="40">
        <f>BC50*(1-IF(B50&gt;=in_marketplace_from,d_hz_choti*G50,0))</f>
        <v/>
      </c>
      <c r="BD51" s="46">
        <f>BC51*IF(B51&gt;=in_marketplace_from,d_hz_choti*G51,0)</f>
        <v/>
      </c>
      <c r="BE51" s="14">
        <f>F51*SUMIFS(BD2:BD61,B2:B61,B51-in_choti_months)*in_choti_renew*in_choti_ticket</f>
        <v/>
      </c>
      <c r="BF51" s="40">
        <f>BF50*(1-IF(B50&gt;=in_marketplace_from,d_hz_nps*G50,0))</f>
        <v/>
      </c>
      <c r="BG51" s="14">
        <f>F51*BF51*IF(B51&gt;=in_marketplace_from,d_hz_nps*G51,0)*in_nps_ticket*in_nps_comm</f>
        <v/>
      </c>
      <c r="BH51" s="40">
        <f>BH50*(1-IF(B50&gt;=in_marketplace_from,d_hz_gold*G50,0))</f>
        <v/>
      </c>
      <c r="BI51" s="40">
        <f>BI50*d_rho_gold+BH51*IF(B51&gt;=in_marketplace_from,d_hz_gold*G51,0)</f>
        <v/>
      </c>
      <c r="BJ51" s="14">
        <f>F51*BI51*in_gold_ticket*in_gold_comm</f>
        <v/>
      </c>
      <c r="BK51" s="40">
        <f>BK50*(1-IF(B50&gt;=in_marketplace_from,d_hz_fd*G50,0))</f>
        <v/>
      </c>
      <c r="BL51" s="14">
        <f>F51*BK51*IF(B51&gt;=in_marketplace_from,d_hz_fd*G51,0)*in_fd_ticket*in_fd_comm</f>
        <v/>
      </c>
      <c r="BM51" s="40">
        <f>BM50*(1-IF(B50&gt;=in_marketplace_from,d_hz_recharge*G50,0))</f>
        <v/>
      </c>
      <c r="BN51" s="40">
        <f>BN50*d_rho_recharge+BM51*IF(B51&gt;=in_marketplace_from,d_hz_recharge*G51,0)</f>
        <v/>
      </c>
      <c r="BO51" s="14">
        <f>F51*BN51*in_recharge_ticket*in_recharge_comm/12</f>
        <v/>
      </c>
      <c r="BP51" s="40">
        <f>BP50*(1-IF(B50&gt;=in_marketplace_from,d_hz_bills*G50,0))</f>
        <v/>
      </c>
      <c r="BQ51" s="40">
        <f>BQ50*d_rho_bills+BP51*IF(B51&gt;=in_marketplace_from,d_hz_bills*G51,0)</f>
        <v/>
      </c>
      <c r="BR51" s="14">
        <f>F51*BQ51*in_bills_ticket*in_bills_comm/12</f>
        <v/>
      </c>
      <c r="BS51" s="40">
        <f>BS50*(1-IF(B50&gt;=in_marketplace_from,d_hz_loan_gold*G50,0))</f>
        <v/>
      </c>
      <c r="BT51" s="14">
        <f>F51*BS51*IF(B51&gt;=in_marketplace_from,d_hz_loan_gold*G51,0)*in_loan_gold_ticket*in_loan_gold_comm</f>
        <v/>
      </c>
      <c r="BU51" s="40">
        <f>BU50*(1-IF(B50&gt;=in_marketplace_from,d_hz_loan_cd*G50,0))</f>
        <v/>
      </c>
      <c r="BV51" s="14">
        <f>F51*BU51*IF(B51&gt;=in_marketplace_from,d_hz_loan_cd*G51,0)*in_loan_cd_ticket*in_loan_cd_comm</f>
        <v/>
      </c>
      <c r="BW51" s="40">
        <f>BW50*(1-IF(B50&gt;=in_marketplace_from,d_hz_loan_vehicle*G50,0))</f>
        <v/>
      </c>
      <c r="BX51" s="14">
        <f>F51*BW51*IF(B51&gt;=in_marketplace_from,d_hz_loan_vehicle*G51,0)*in_loan_vehicle_ticket*in_loan_vehicle_comm</f>
        <v/>
      </c>
      <c r="BY51" s="40">
        <f>BY50*(1-IF(B50&gt;=in_marketplace_from,d_hz_loan_home*G50,0)*BZ50)</f>
        <v/>
      </c>
      <c r="BZ51" s="11">
        <f>MIN(in_approval_cap,in_loan_home_approval*INDEX('Age profile'!$O$2:$O$61,B51)*(1+in_approval_growth)^(D51-1))</f>
        <v/>
      </c>
      <c r="CA51" s="14">
        <f>F51*BY51*IF(B51&gt;=in_marketplace_from,d_hz_loan_home*G51,0)*BZ51*in_loan_home_ticket*in_loan_home_comm</f>
        <v/>
      </c>
      <c r="CB51" s="40">
        <f>CB50*(1-IF(B50&gt;=in_marketplace_from,d_hz_loan_lap*G50,0)*CC50)</f>
        <v/>
      </c>
      <c r="CC51" s="11">
        <f>MIN(in_approval_cap,in_loan_lap_approval*INDEX('Age profile'!$O$2:$O$61,B51)*(1+in_approval_growth)^(D51-1))</f>
        <v/>
      </c>
      <c r="CD51" s="14">
        <f>F51*CB51*IF(B51&gt;=in_marketplace_from,d_hz_loan_lap*G51,0)*CC51*in_loan_lap_ticket*in_loan_lap_comm</f>
        <v/>
      </c>
      <c r="CE51" s="14">
        <f>AA51+AB51+AC51+AD51+AG51+AJ51+AM51+AP51+AS51+AU51+AX51+BB51+BE51+BG51+BJ51+BL51+BO51+BR51+BT51+BV51+BX51+CA51+CD51</f>
        <v/>
      </c>
    </row>
    <row r="52">
      <c r="A52" s="39" t="n">
        <v>1</v>
      </c>
      <c r="B52" s="39" t="n">
        <v>51</v>
      </c>
      <c r="C52" s="39">
        <f>A52+B52-1</f>
        <v/>
      </c>
      <c r="D52" s="39">
        <f>INT((C52-1)/12)+1</f>
        <v/>
      </c>
      <c r="E52" s="44">
        <f>INDEX(Monthly!$B$2:$B$61,A52)</f>
        <v/>
      </c>
      <c r="F52" s="44">
        <f>E52*INDEX('Age profile'!$B$2:$B$61,B52)</f>
        <v/>
      </c>
      <c r="G52" s="45">
        <f>MIN(in_takeup_cap,INDEX('Age profile'!$N$2:$N$61,B52)*(1+in_takeup_growth)^(D52-1))</f>
        <v/>
      </c>
      <c r="H52" s="11">
        <f>MIN(in_approval_cap,in_approved_first*INDEX('Age profile'!$O$2:$O$61,B52)*(1+in_approval_growth)^(D52-1))</f>
        <v/>
      </c>
      <c r="I52" s="45">
        <f>G52*MIN(in_takeup_cap,INDEX('Age profile'!$O$2:$O$61,B52)*(1+in_approval_growth)^(D52-1))</f>
        <v/>
      </c>
      <c r="J52" s="40">
        <f>(J51-L51)*F52/F51</f>
        <v/>
      </c>
      <c r="K52" s="40">
        <f>(K51-M51)*F52/F51+SUMIFS(O2:O51,B2:B51,B52-1-d_T)*F52</f>
        <v/>
      </c>
      <c r="L52" s="40">
        <f>IF(B52&gt;=in_marketplace_from,J52*d_hz*G52*in_eligible*H52,0)</f>
        <v/>
      </c>
      <c r="M52" s="40">
        <f>IF(B52&gt;=in_marketplace_from,K52*d_hz*G52*in_eligible*in_approved_repeat,0)</f>
        <v/>
      </c>
      <c r="N52" s="40">
        <f>L52+M52</f>
        <v/>
      </c>
      <c r="O52" s="46">
        <f>N52/F52</f>
        <v/>
      </c>
      <c r="P52" s="40">
        <f>F52-J52-K52</f>
        <v/>
      </c>
      <c r="Q52" s="40">
        <f>IF(B52&gt;=in_marketplace_from,(J52+K52)*d_hz*G52,0)</f>
        <v/>
      </c>
      <c r="R52" s="40">
        <f>SUMIFS(N2:N61,B2:B61,"&gt;="&amp;(B52-d_T),B2:B61,"&lt;="&amp;(B52-1))</f>
        <v/>
      </c>
      <c r="S52" s="46">
        <f>(1-d_u)*S51+IF(d_T&gt;in_topup_lag,SUMIFS(O2:O61,B2:B61,B52-in_topup_lag)-d_udrop*SUMIFS(O2:O61,B2:B61,B52-d_T),0)</f>
        <v/>
      </c>
      <c r="T52" s="40">
        <f>F52*d_u*S52</f>
        <v/>
      </c>
      <c r="U52" s="9">
        <f>L52*in_ticket+M52*d_rep_ticket</f>
        <v/>
      </c>
      <c r="V52" s="9">
        <f>U52+T52*d_topup_amt</f>
        <v/>
      </c>
      <c r="W52" s="40">
        <f>N52+T52*d_topup_ratio</f>
        <v/>
      </c>
      <c r="X52" s="40">
        <f>SUMIFS(W2:W61,B2:B61,B52-in_dpd_lag)*d_cured</f>
        <v/>
      </c>
      <c r="Y52" s="40">
        <f>SUMIFS(W2:W61,B2:B61,B52-in_rec_lag)*d_recd</f>
        <v/>
      </c>
      <c r="Z52" s="40">
        <f>IF(AND(B52&gt;=in_marketplace_from,B52&lt;in_marketplace_from+in_card_months),in_card_share/in_card_months*F52*I52,IF(AND(B52&gt;=in_marketplace_from+in_card_months,B52&lt;in_marketplace_from+2*in_card_months),in_card_share*d_card_rem/in_card_months*F52*MIN(in_takeup_cap,(1+in_takeup_growth)^(D52-1))*MIN(in_takeup_cap,(1+in_approval_growth)^(D52-1)),0))</f>
        <v/>
      </c>
      <c r="AA52" s="14">
        <f>V52*in_fee*(1-in_taken_back)</f>
        <v/>
      </c>
      <c r="AB52" s="14">
        <f>SUMIFS(W2:W61,B2:B61,B52-in_dpd_lag)*d_dpd</f>
        <v/>
      </c>
      <c r="AC52" s="14">
        <f>SUMIFS(W2:W61,B2:B61,B52-in_rec_lag)*d_rec</f>
        <v/>
      </c>
      <c r="AD52" s="14">
        <f>Z52*in_card_fee</f>
        <v/>
      </c>
      <c r="AE52" s="40">
        <f>AE51*(1-IF(B51&gt;=in_marketplace_from,d_hz_hlth_small*G51,0))</f>
        <v/>
      </c>
      <c r="AF52" s="46">
        <f>AE52*IF(B52&gt;=in_marketplace_from,d_hz_hlth_small*G52,0)</f>
        <v/>
      </c>
      <c r="AG52" s="14">
        <f>F52*AF52*in_hlth_small_ticket*in_hlth_small_comm*in_ins_partner_share+F52*in_hlth_small_ticket*in_hlth_small_renew_comm*in_ins_partner_share*(in_hlth_small_renew^1*SUMIFS(AF2:AF61,B2:B61,B52-12)+in_hlth_small_renew^2*SUMIFS(AF2:AF61,B2:B61,B52-24)+in_hlth_small_renew^3*SUMIFS(AF2:AF61,B2:B61,B52-36)+in_hlth_small_renew^4*SUMIFS(AF2:AF61,B2:B61,B52-48))</f>
        <v/>
      </c>
      <c r="AH52" s="40">
        <f>AH51*(1-IF(B51&gt;=in_marketplace_from,d_hz_hlth_family*G51,0))</f>
        <v/>
      </c>
      <c r="AI52" s="46">
        <f>AH52*IF(B52&gt;=in_marketplace_from,d_hz_hlth_family*G52,0)</f>
        <v/>
      </c>
      <c r="AJ52" s="14">
        <f>F52*AI52*in_hlth_family_ticket*in_hlth_family_comm*in_ins_partner_share+F52*in_hlth_family_ticket*in_hlth_family_renew_comm*in_ins_partner_share*(in_hlth_family_renew^1*SUMIFS(AI2:AI61,B2:B61,B52-12)+in_hlth_family_renew^2*SUMIFS(AI2:AI61,B2:B61,B52-24)+in_hlth_family_renew^3*SUMIFS(AI2:AI61,B2:B61,B52-36)+in_hlth_family_renew^4*SUMIFS(AI2:AI61,B2:B61,B52-48))</f>
        <v/>
      </c>
      <c r="AK52" s="40">
        <f>AK51*(1-IF(B51&gt;=in_marketplace_from,d_hz_life_term*G51,0))</f>
        <v/>
      </c>
      <c r="AL52" s="46">
        <f>AK52*IF(B52&gt;=in_marketplace_from,d_hz_life_term*G52,0)</f>
        <v/>
      </c>
      <c r="AM52" s="14">
        <f>F52*AL52*in_life_term_ticket*in_life_term_comm*in_ins_partner_share+F52*in_life_term_ticket*in_life_term_renew_comm*in_ins_partner_share*(in_life_term_renew^1*SUMIFS(AL2:AL61,B2:B61,B52-12)+in_life_term_renew^2*SUMIFS(AL2:AL61,B2:B61,B52-24)+in_life_term_renew^3*SUMIFS(AL2:AL61,B2:B61,B52-36)+in_life_term_renew^4*SUMIFS(AL2:AL61,B2:B61,B52-48))</f>
        <v/>
      </c>
      <c r="AN52" s="40">
        <f>AN51*(1-IF(B51&gt;=in_marketplace_from,d_hz_accident*G51,0))</f>
        <v/>
      </c>
      <c r="AO52" s="46">
        <f>AN52*IF(B52&gt;=in_marketplace_from,d_hz_accident*G52,0)</f>
        <v/>
      </c>
      <c r="AP52" s="14">
        <f>F52*AO52*in_accident_ticket*in_accident_comm*in_ins_partner_share+F52*in_accident_ticket*in_accident_renew_comm*in_ins_partner_share*(in_accident_renew^1*SUMIFS(AO2:AO61,B2:B61,B52-12)+in_accident_renew^2*SUMIFS(AO2:AO61,B2:B61,B52-24)+in_accident_renew^3*SUMIFS(AO2:AO61,B2:B61,B52-36)+in_accident_renew^4*SUMIFS(AO2:AO61,B2:B61,B52-48))</f>
        <v/>
      </c>
      <c r="AQ52" s="40">
        <f>AQ51*(1-IF(B51&gt;=in_marketplace_from,d_hz_two_wheeler*G51,0))</f>
        <v/>
      </c>
      <c r="AR52" s="46">
        <f>AQ52*IF(B52&gt;=in_marketplace_from,d_hz_two_wheeler*G52,0)</f>
        <v/>
      </c>
      <c r="AS52" s="14">
        <f>F52*AR52*in_two_wheeler_ticket*in_two_wheeler_comm*in_ins_partner_share+F52*in_two_wheeler_ticket*in_two_wheeler_comm*in_ins_partner_share*(in_two_wheeler_renew^1*SUMIFS(AR2:AR61,B2:B61,B52-12)+in_two_wheeler_renew^2*SUMIFS(AR2:AR61,B2:B61,B52-24)+in_two_wheeler_renew^3*SUMIFS(AR2:AR61,B2:B61,B52-36)+in_two_wheeler_renew^4*SUMIFS(AR2:AR61,B2:B61,B52-48))</f>
        <v/>
      </c>
      <c r="AT52" s="40">
        <f>AT51*(1-IF(B51&gt;=in_marketplace_from,d_hz_device*G51,0))</f>
        <v/>
      </c>
      <c r="AU52" s="14">
        <f>F52*AT52*IF(B52&gt;=in_marketplace_from,d_hz_device*G52,0)*in_device_ticket*in_device_comm*in_ins_partner_share</f>
        <v/>
      </c>
      <c r="AV52" s="40">
        <f>AV51*(1-IF(B51&gt;=in_marketplace_from,d_hz_shop*G51,0))</f>
        <v/>
      </c>
      <c r="AW52" s="46">
        <f>AV52*IF(B52&gt;=in_marketplace_from,d_hz_shop*G52,0)</f>
        <v/>
      </c>
      <c r="AX52" s="14">
        <f>F52*AW52*in_shop_ticket*in_shop_comm*in_ins_partner_share+F52*in_shop_ticket*in_shop_renew_comm*in_ins_partner_share*(in_shop_renew^1*SUMIFS(AW2:AW61,B2:B61,B52-12)+in_shop_renew^2*SUMIFS(AW2:AW61,B2:B61,B52-24)+in_shop_renew^3*SUMIFS(AW2:AW61,B2:B61,B52-36)+in_shop_renew^4*SUMIFS(AW2:AW61,B2:B61,B52-48))</f>
        <v/>
      </c>
      <c r="AY52" s="40">
        <f>AY51*(1-IF(B51&gt;=in_marketplace_from,d_hz_sip*G51,0))</f>
        <v/>
      </c>
      <c r="AZ52" s="40">
        <f>AZ51*d_rho_sip+AY52*IF(B52&gt;=in_marketplace_from,d_hz_sip*G52,0)</f>
        <v/>
      </c>
      <c r="BA52" s="40">
        <f>d_rho_sip*(BA51+AZ51)</f>
        <v/>
      </c>
      <c r="BB52" s="14">
        <f>F52*in_sip_ticket*(BA52+0.5*AZ52)*in_sip_comm/12</f>
        <v/>
      </c>
      <c r="BC52" s="40">
        <f>BC51*(1-IF(B51&gt;=in_marketplace_from,d_hz_choti*G51,0))</f>
        <v/>
      </c>
      <c r="BD52" s="46">
        <f>BC52*IF(B52&gt;=in_marketplace_from,d_hz_choti*G52,0)</f>
        <v/>
      </c>
      <c r="BE52" s="14">
        <f>F52*SUMIFS(BD2:BD61,B2:B61,B52-in_choti_months)*in_choti_renew*in_choti_ticket</f>
        <v/>
      </c>
      <c r="BF52" s="40">
        <f>BF51*(1-IF(B51&gt;=in_marketplace_from,d_hz_nps*G51,0))</f>
        <v/>
      </c>
      <c r="BG52" s="14">
        <f>F52*BF52*IF(B52&gt;=in_marketplace_from,d_hz_nps*G52,0)*in_nps_ticket*in_nps_comm</f>
        <v/>
      </c>
      <c r="BH52" s="40">
        <f>BH51*(1-IF(B51&gt;=in_marketplace_from,d_hz_gold*G51,0))</f>
        <v/>
      </c>
      <c r="BI52" s="40">
        <f>BI51*d_rho_gold+BH52*IF(B52&gt;=in_marketplace_from,d_hz_gold*G52,0)</f>
        <v/>
      </c>
      <c r="BJ52" s="14">
        <f>F52*BI52*in_gold_ticket*in_gold_comm</f>
        <v/>
      </c>
      <c r="BK52" s="40">
        <f>BK51*(1-IF(B51&gt;=in_marketplace_from,d_hz_fd*G51,0))</f>
        <v/>
      </c>
      <c r="BL52" s="14">
        <f>F52*BK52*IF(B52&gt;=in_marketplace_from,d_hz_fd*G52,0)*in_fd_ticket*in_fd_comm</f>
        <v/>
      </c>
      <c r="BM52" s="40">
        <f>BM51*(1-IF(B51&gt;=in_marketplace_from,d_hz_recharge*G51,0))</f>
        <v/>
      </c>
      <c r="BN52" s="40">
        <f>BN51*d_rho_recharge+BM52*IF(B52&gt;=in_marketplace_from,d_hz_recharge*G52,0)</f>
        <v/>
      </c>
      <c r="BO52" s="14">
        <f>F52*BN52*in_recharge_ticket*in_recharge_comm/12</f>
        <v/>
      </c>
      <c r="BP52" s="40">
        <f>BP51*(1-IF(B51&gt;=in_marketplace_from,d_hz_bills*G51,0))</f>
        <v/>
      </c>
      <c r="BQ52" s="40">
        <f>BQ51*d_rho_bills+BP52*IF(B52&gt;=in_marketplace_from,d_hz_bills*G52,0)</f>
        <v/>
      </c>
      <c r="BR52" s="14">
        <f>F52*BQ52*in_bills_ticket*in_bills_comm/12</f>
        <v/>
      </c>
      <c r="BS52" s="40">
        <f>BS51*(1-IF(B51&gt;=in_marketplace_from,d_hz_loan_gold*G51,0))</f>
        <v/>
      </c>
      <c r="BT52" s="14">
        <f>F52*BS52*IF(B52&gt;=in_marketplace_from,d_hz_loan_gold*G52,0)*in_loan_gold_ticket*in_loan_gold_comm</f>
        <v/>
      </c>
      <c r="BU52" s="40">
        <f>BU51*(1-IF(B51&gt;=in_marketplace_from,d_hz_loan_cd*G51,0))</f>
        <v/>
      </c>
      <c r="BV52" s="14">
        <f>F52*BU52*IF(B52&gt;=in_marketplace_from,d_hz_loan_cd*G52,0)*in_loan_cd_ticket*in_loan_cd_comm</f>
        <v/>
      </c>
      <c r="BW52" s="40">
        <f>BW51*(1-IF(B51&gt;=in_marketplace_from,d_hz_loan_vehicle*G51,0))</f>
        <v/>
      </c>
      <c r="BX52" s="14">
        <f>F52*BW52*IF(B52&gt;=in_marketplace_from,d_hz_loan_vehicle*G52,0)*in_loan_vehicle_ticket*in_loan_vehicle_comm</f>
        <v/>
      </c>
      <c r="BY52" s="40">
        <f>BY51*(1-IF(B51&gt;=in_marketplace_from,d_hz_loan_home*G51,0)*BZ51)</f>
        <v/>
      </c>
      <c r="BZ52" s="11">
        <f>MIN(in_approval_cap,in_loan_home_approval*INDEX('Age profile'!$O$2:$O$61,B52)*(1+in_approval_growth)^(D52-1))</f>
        <v/>
      </c>
      <c r="CA52" s="14">
        <f>F52*BY52*IF(B52&gt;=in_marketplace_from,d_hz_loan_home*G52,0)*BZ52*in_loan_home_ticket*in_loan_home_comm</f>
        <v/>
      </c>
      <c r="CB52" s="40">
        <f>CB51*(1-IF(B51&gt;=in_marketplace_from,d_hz_loan_lap*G51,0)*CC51)</f>
        <v/>
      </c>
      <c r="CC52" s="11">
        <f>MIN(in_approval_cap,in_loan_lap_approval*INDEX('Age profile'!$O$2:$O$61,B52)*(1+in_approval_growth)^(D52-1))</f>
        <v/>
      </c>
      <c r="CD52" s="14">
        <f>F52*CB52*IF(B52&gt;=in_marketplace_from,d_hz_loan_lap*G52,0)*CC52*in_loan_lap_ticket*in_loan_lap_comm</f>
        <v/>
      </c>
      <c r="CE52" s="14">
        <f>AA52+AB52+AC52+AD52+AG52+AJ52+AM52+AP52+AS52+AU52+AX52+BB52+BE52+BG52+BJ52+BL52+BO52+BR52+BT52+BV52+BX52+CA52+CD52</f>
        <v/>
      </c>
    </row>
    <row r="53">
      <c r="A53" s="39" t="n">
        <v>1</v>
      </c>
      <c r="B53" s="39" t="n">
        <v>52</v>
      </c>
      <c r="C53" s="39">
        <f>A53+B53-1</f>
        <v/>
      </c>
      <c r="D53" s="39">
        <f>INT((C53-1)/12)+1</f>
        <v/>
      </c>
      <c r="E53" s="44">
        <f>INDEX(Monthly!$B$2:$B$61,A53)</f>
        <v/>
      </c>
      <c r="F53" s="44">
        <f>E53*INDEX('Age profile'!$B$2:$B$61,B53)</f>
        <v/>
      </c>
      <c r="G53" s="45">
        <f>MIN(in_takeup_cap,INDEX('Age profile'!$N$2:$N$61,B53)*(1+in_takeup_growth)^(D53-1))</f>
        <v/>
      </c>
      <c r="H53" s="11">
        <f>MIN(in_approval_cap,in_approved_first*INDEX('Age profile'!$O$2:$O$61,B53)*(1+in_approval_growth)^(D53-1))</f>
        <v/>
      </c>
      <c r="I53" s="45">
        <f>G53*MIN(in_takeup_cap,INDEX('Age profile'!$O$2:$O$61,B53)*(1+in_approval_growth)^(D53-1))</f>
        <v/>
      </c>
      <c r="J53" s="40">
        <f>(J52-L52)*F53/F52</f>
        <v/>
      </c>
      <c r="K53" s="40">
        <f>(K52-M52)*F53/F52+SUMIFS(O2:O52,B2:B52,B53-1-d_T)*F53</f>
        <v/>
      </c>
      <c r="L53" s="40">
        <f>IF(B53&gt;=in_marketplace_from,J53*d_hz*G53*in_eligible*H53,0)</f>
        <v/>
      </c>
      <c r="M53" s="40">
        <f>IF(B53&gt;=in_marketplace_from,K53*d_hz*G53*in_eligible*in_approved_repeat,0)</f>
        <v/>
      </c>
      <c r="N53" s="40">
        <f>L53+M53</f>
        <v/>
      </c>
      <c r="O53" s="46">
        <f>N53/F53</f>
        <v/>
      </c>
      <c r="P53" s="40">
        <f>F53-J53-K53</f>
        <v/>
      </c>
      <c r="Q53" s="40">
        <f>IF(B53&gt;=in_marketplace_from,(J53+K53)*d_hz*G53,0)</f>
        <v/>
      </c>
      <c r="R53" s="40">
        <f>SUMIFS(N2:N61,B2:B61,"&gt;="&amp;(B53-d_T),B2:B61,"&lt;="&amp;(B53-1))</f>
        <v/>
      </c>
      <c r="S53" s="46">
        <f>(1-d_u)*S52+IF(d_T&gt;in_topup_lag,SUMIFS(O2:O61,B2:B61,B53-in_topup_lag)-d_udrop*SUMIFS(O2:O61,B2:B61,B53-d_T),0)</f>
        <v/>
      </c>
      <c r="T53" s="40">
        <f>F53*d_u*S53</f>
        <v/>
      </c>
      <c r="U53" s="9">
        <f>L53*in_ticket+M53*d_rep_ticket</f>
        <v/>
      </c>
      <c r="V53" s="9">
        <f>U53+T53*d_topup_amt</f>
        <v/>
      </c>
      <c r="W53" s="40">
        <f>N53+T53*d_topup_ratio</f>
        <v/>
      </c>
      <c r="X53" s="40">
        <f>SUMIFS(W2:W61,B2:B61,B53-in_dpd_lag)*d_cured</f>
        <v/>
      </c>
      <c r="Y53" s="40">
        <f>SUMIFS(W2:W61,B2:B61,B53-in_rec_lag)*d_recd</f>
        <v/>
      </c>
      <c r="Z53" s="40">
        <f>IF(AND(B53&gt;=in_marketplace_from,B53&lt;in_marketplace_from+in_card_months),in_card_share/in_card_months*F53*I53,IF(AND(B53&gt;=in_marketplace_from+in_card_months,B53&lt;in_marketplace_from+2*in_card_months),in_card_share*d_card_rem/in_card_months*F53*MIN(in_takeup_cap,(1+in_takeup_growth)^(D53-1))*MIN(in_takeup_cap,(1+in_approval_growth)^(D53-1)),0))</f>
        <v/>
      </c>
      <c r="AA53" s="14">
        <f>V53*in_fee*(1-in_taken_back)</f>
        <v/>
      </c>
      <c r="AB53" s="14">
        <f>SUMIFS(W2:W61,B2:B61,B53-in_dpd_lag)*d_dpd</f>
        <v/>
      </c>
      <c r="AC53" s="14">
        <f>SUMIFS(W2:W61,B2:B61,B53-in_rec_lag)*d_rec</f>
        <v/>
      </c>
      <c r="AD53" s="14">
        <f>Z53*in_card_fee</f>
        <v/>
      </c>
      <c r="AE53" s="40">
        <f>AE52*(1-IF(B52&gt;=in_marketplace_from,d_hz_hlth_small*G52,0))</f>
        <v/>
      </c>
      <c r="AF53" s="46">
        <f>AE53*IF(B53&gt;=in_marketplace_from,d_hz_hlth_small*G53,0)</f>
        <v/>
      </c>
      <c r="AG53" s="14">
        <f>F53*AF53*in_hlth_small_ticket*in_hlth_small_comm*in_ins_partner_share+F53*in_hlth_small_ticket*in_hlth_small_renew_comm*in_ins_partner_share*(in_hlth_small_renew^1*SUMIFS(AF2:AF61,B2:B61,B53-12)+in_hlth_small_renew^2*SUMIFS(AF2:AF61,B2:B61,B53-24)+in_hlth_small_renew^3*SUMIFS(AF2:AF61,B2:B61,B53-36)+in_hlth_small_renew^4*SUMIFS(AF2:AF61,B2:B61,B53-48))</f>
        <v/>
      </c>
      <c r="AH53" s="40">
        <f>AH52*(1-IF(B52&gt;=in_marketplace_from,d_hz_hlth_family*G52,0))</f>
        <v/>
      </c>
      <c r="AI53" s="46">
        <f>AH53*IF(B53&gt;=in_marketplace_from,d_hz_hlth_family*G53,0)</f>
        <v/>
      </c>
      <c r="AJ53" s="14">
        <f>F53*AI53*in_hlth_family_ticket*in_hlth_family_comm*in_ins_partner_share+F53*in_hlth_family_ticket*in_hlth_family_renew_comm*in_ins_partner_share*(in_hlth_family_renew^1*SUMIFS(AI2:AI61,B2:B61,B53-12)+in_hlth_family_renew^2*SUMIFS(AI2:AI61,B2:B61,B53-24)+in_hlth_family_renew^3*SUMIFS(AI2:AI61,B2:B61,B53-36)+in_hlth_family_renew^4*SUMIFS(AI2:AI61,B2:B61,B53-48))</f>
        <v/>
      </c>
      <c r="AK53" s="40">
        <f>AK52*(1-IF(B52&gt;=in_marketplace_from,d_hz_life_term*G52,0))</f>
        <v/>
      </c>
      <c r="AL53" s="46">
        <f>AK53*IF(B53&gt;=in_marketplace_from,d_hz_life_term*G53,0)</f>
        <v/>
      </c>
      <c r="AM53" s="14">
        <f>F53*AL53*in_life_term_ticket*in_life_term_comm*in_ins_partner_share+F53*in_life_term_ticket*in_life_term_renew_comm*in_ins_partner_share*(in_life_term_renew^1*SUMIFS(AL2:AL61,B2:B61,B53-12)+in_life_term_renew^2*SUMIFS(AL2:AL61,B2:B61,B53-24)+in_life_term_renew^3*SUMIFS(AL2:AL61,B2:B61,B53-36)+in_life_term_renew^4*SUMIFS(AL2:AL61,B2:B61,B53-48))</f>
        <v/>
      </c>
      <c r="AN53" s="40">
        <f>AN52*(1-IF(B52&gt;=in_marketplace_from,d_hz_accident*G52,0))</f>
        <v/>
      </c>
      <c r="AO53" s="46">
        <f>AN53*IF(B53&gt;=in_marketplace_from,d_hz_accident*G53,0)</f>
        <v/>
      </c>
      <c r="AP53" s="14">
        <f>F53*AO53*in_accident_ticket*in_accident_comm*in_ins_partner_share+F53*in_accident_ticket*in_accident_renew_comm*in_ins_partner_share*(in_accident_renew^1*SUMIFS(AO2:AO61,B2:B61,B53-12)+in_accident_renew^2*SUMIFS(AO2:AO61,B2:B61,B53-24)+in_accident_renew^3*SUMIFS(AO2:AO61,B2:B61,B53-36)+in_accident_renew^4*SUMIFS(AO2:AO61,B2:B61,B53-48))</f>
        <v/>
      </c>
      <c r="AQ53" s="40">
        <f>AQ52*(1-IF(B52&gt;=in_marketplace_from,d_hz_two_wheeler*G52,0))</f>
        <v/>
      </c>
      <c r="AR53" s="46">
        <f>AQ53*IF(B53&gt;=in_marketplace_from,d_hz_two_wheeler*G53,0)</f>
        <v/>
      </c>
      <c r="AS53" s="14">
        <f>F53*AR53*in_two_wheeler_ticket*in_two_wheeler_comm*in_ins_partner_share+F53*in_two_wheeler_ticket*in_two_wheeler_comm*in_ins_partner_share*(in_two_wheeler_renew^1*SUMIFS(AR2:AR61,B2:B61,B53-12)+in_two_wheeler_renew^2*SUMIFS(AR2:AR61,B2:B61,B53-24)+in_two_wheeler_renew^3*SUMIFS(AR2:AR61,B2:B61,B53-36)+in_two_wheeler_renew^4*SUMIFS(AR2:AR61,B2:B61,B53-48))</f>
        <v/>
      </c>
      <c r="AT53" s="40">
        <f>AT52*(1-IF(B52&gt;=in_marketplace_from,d_hz_device*G52,0))</f>
        <v/>
      </c>
      <c r="AU53" s="14">
        <f>F53*AT53*IF(B53&gt;=in_marketplace_from,d_hz_device*G53,0)*in_device_ticket*in_device_comm*in_ins_partner_share</f>
        <v/>
      </c>
      <c r="AV53" s="40">
        <f>AV52*(1-IF(B52&gt;=in_marketplace_from,d_hz_shop*G52,0))</f>
        <v/>
      </c>
      <c r="AW53" s="46">
        <f>AV53*IF(B53&gt;=in_marketplace_from,d_hz_shop*G53,0)</f>
        <v/>
      </c>
      <c r="AX53" s="14">
        <f>F53*AW53*in_shop_ticket*in_shop_comm*in_ins_partner_share+F53*in_shop_ticket*in_shop_renew_comm*in_ins_partner_share*(in_shop_renew^1*SUMIFS(AW2:AW61,B2:B61,B53-12)+in_shop_renew^2*SUMIFS(AW2:AW61,B2:B61,B53-24)+in_shop_renew^3*SUMIFS(AW2:AW61,B2:B61,B53-36)+in_shop_renew^4*SUMIFS(AW2:AW61,B2:B61,B53-48))</f>
        <v/>
      </c>
      <c r="AY53" s="40">
        <f>AY52*(1-IF(B52&gt;=in_marketplace_from,d_hz_sip*G52,0))</f>
        <v/>
      </c>
      <c r="AZ53" s="40">
        <f>AZ52*d_rho_sip+AY53*IF(B53&gt;=in_marketplace_from,d_hz_sip*G53,0)</f>
        <v/>
      </c>
      <c r="BA53" s="40">
        <f>d_rho_sip*(BA52+AZ52)</f>
        <v/>
      </c>
      <c r="BB53" s="14">
        <f>F53*in_sip_ticket*(BA53+0.5*AZ53)*in_sip_comm/12</f>
        <v/>
      </c>
      <c r="BC53" s="40">
        <f>BC52*(1-IF(B52&gt;=in_marketplace_from,d_hz_choti*G52,0))</f>
        <v/>
      </c>
      <c r="BD53" s="46">
        <f>BC53*IF(B53&gt;=in_marketplace_from,d_hz_choti*G53,0)</f>
        <v/>
      </c>
      <c r="BE53" s="14">
        <f>F53*SUMIFS(BD2:BD61,B2:B61,B53-in_choti_months)*in_choti_renew*in_choti_ticket</f>
        <v/>
      </c>
      <c r="BF53" s="40">
        <f>BF52*(1-IF(B52&gt;=in_marketplace_from,d_hz_nps*G52,0))</f>
        <v/>
      </c>
      <c r="BG53" s="14">
        <f>F53*BF53*IF(B53&gt;=in_marketplace_from,d_hz_nps*G53,0)*in_nps_ticket*in_nps_comm</f>
        <v/>
      </c>
      <c r="BH53" s="40">
        <f>BH52*(1-IF(B52&gt;=in_marketplace_from,d_hz_gold*G52,0))</f>
        <v/>
      </c>
      <c r="BI53" s="40">
        <f>BI52*d_rho_gold+BH53*IF(B53&gt;=in_marketplace_from,d_hz_gold*G53,0)</f>
        <v/>
      </c>
      <c r="BJ53" s="14">
        <f>F53*BI53*in_gold_ticket*in_gold_comm</f>
        <v/>
      </c>
      <c r="BK53" s="40">
        <f>BK52*(1-IF(B52&gt;=in_marketplace_from,d_hz_fd*G52,0))</f>
        <v/>
      </c>
      <c r="BL53" s="14">
        <f>F53*BK53*IF(B53&gt;=in_marketplace_from,d_hz_fd*G53,0)*in_fd_ticket*in_fd_comm</f>
        <v/>
      </c>
      <c r="BM53" s="40">
        <f>BM52*(1-IF(B52&gt;=in_marketplace_from,d_hz_recharge*G52,0))</f>
        <v/>
      </c>
      <c r="BN53" s="40">
        <f>BN52*d_rho_recharge+BM53*IF(B53&gt;=in_marketplace_from,d_hz_recharge*G53,0)</f>
        <v/>
      </c>
      <c r="BO53" s="14">
        <f>F53*BN53*in_recharge_ticket*in_recharge_comm/12</f>
        <v/>
      </c>
      <c r="BP53" s="40">
        <f>BP52*(1-IF(B52&gt;=in_marketplace_from,d_hz_bills*G52,0))</f>
        <v/>
      </c>
      <c r="BQ53" s="40">
        <f>BQ52*d_rho_bills+BP53*IF(B53&gt;=in_marketplace_from,d_hz_bills*G53,0)</f>
        <v/>
      </c>
      <c r="BR53" s="14">
        <f>F53*BQ53*in_bills_ticket*in_bills_comm/12</f>
        <v/>
      </c>
      <c r="BS53" s="40">
        <f>BS52*(1-IF(B52&gt;=in_marketplace_from,d_hz_loan_gold*G52,0))</f>
        <v/>
      </c>
      <c r="BT53" s="14">
        <f>F53*BS53*IF(B53&gt;=in_marketplace_from,d_hz_loan_gold*G53,0)*in_loan_gold_ticket*in_loan_gold_comm</f>
        <v/>
      </c>
      <c r="BU53" s="40">
        <f>BU52*(1-IF(B52&gt;=in_marketplace_from,d_hz_loan_cd*G52,0))</f>
        <v/>
      </c>
      <c r="BV53" s="14">
        <f>F53*BU53*IF(B53&gt;=in_marketplace_from,d_hz_loan_cd*G53,0)*in_loan_cd_ticket*in_loan_cd_comm</f>
        <v/>
      </c>
      <c r="BW53" s="40">
        <f>BW52*(1-IF(B52&gt;=in_marketplace_from,d_hz_loan_vehicle*G52,0))</f>
        <v/>
      </c>
      <c r="BX53" s="14">
        <f>F53*BW53*IF(B53&gt;=in_marketplace_from,d_hz_loan_vehicle*G53,0)*in_loan_vehicle_ticket*in_loan_vehicle_comm</f>
        <v/>
      </c>
      <c r="BY53" s="40">
        <f>BY52*(1-IF(B52&gt;=in_marketplace_from,d_hz_loan_home*G52,0)*BZ52)</f>
        <v/>
      </c>
      <c r="BZ53" s="11">
        <f>MIN(in_approval_cap,in_loan_home_approval*INDEX('Age profile'!$O$2:$O$61,B53)*(1+in_approval_growth)^(D53-1))</f>
        <v/>
      </c>
      <c r="CA53" s="14">
        <f>F53*BY53*IF(B53&gt;=in_marketplace_from,d_hz_loan_home*G53,0)*BZ53*in_loan_home_ticket*in_loan_home_comm</f>
        <v/>
      </c>
      <c r="CB53" s="40">
        <f>CB52*(1-IF(B52&gt;=in_marketplace_from,d_hz_loan_lap*G52,0)*CC52)</f>
        <v/>
      </c>
      <c r="CC53" s="11">
        <f>MIN(in_approval_cap,in_loan_lap_approval*INDEX('Age profile'!$O$2:$O$61,B53)*(1+in_approval_growth)^(D53-1))</f>
        <v/>
      </c>
      <c r="CD53" s="14">
        <f>F53*CB53*IF(B53&gt;=in_marketplace_from,d_hz_loan_lap*G53,0)*CC53*in_loan_lap_ticket*in_loan_lap_comm</f>
        <v/>
      </c>
      <c r="CE53" s="14">
        <f>AA53+AB53+AC53+AD53+AG53+AJ53+AM53+AP53+AS53+AU53+AX53+BB53+BE53+BG53+BJ53+BL53+BO53+BR53+BT53+BV53+BX53+CA53+CD53</f>
        <v/>
      </c>
    </row>
    <row r="54">
      <c r="A54" s="39" t="n">
        <v>1</v>
      </c>
      <c r="B54" s="39" t="n">
        <v>53</v>
      </c>
      <c r="C54" s="39">
        <f>A54+B54-1</f>
        <v/>
      </c>
      <c r="D54" s="39">
        <f>INT((C54-1)/12)+1</f>
        <v/>
      </c>
      <c r="E54" s="44">
        <f>INDEX(Monthly!$B$2:$B$61,A54)</f>
        <v/>
      </c>
      <c r="F54" s="44">
        <f>E54*INDEX('Age profile'!$B$2:$B$61,B54)</f>
        <v/>
      </c>
      <c r="G54" s="45">
        <f>MIN(in_takeup_cap,INDEX('Age profile'!$N$2:$N$61,B54)*(1+in_takeup_growth)^(D54-1))</f>
        <v/>
      </c>
      <c r="H54" s="11">
        <f>MIN(in_approval_cap,in_approved_first*INDEX('Age profile'!$O$2:$O$61,B54)*(1+in_approval_growth)^(D54-1))</f>
        <v/>
      </c>
      <c r="I54" s="45">
        <f>G54*MIN(in_takeup_cap,INDEX('Age profile'!$O$2:$O$61,B54)*(1+in_approval_growth)^(D54-1))</f>
        <v/>
      </c>
      <c r="J54" s="40">
        <f>(J53-L53)*F54/F53</f>
        <v/>
      </c>
      <c r="K54" s="40">
        <f>(K53-M53)*F54/F53+SUMIFS(O2:O53,B2:B53,B54-1-d_T)*F54</f>
        <v/>
      </c>
      <c r="L54" s="40">
        <f>IF(B54&gt;=in_marketplace_from,J54*d_hz*G54*in_eligible*H54,0)</f>
        <v/>
      </c>
      <c r="M54" s="40">
        <f>IF(B54&gt;=in_marketplace_from,K54*d_hz*G54*in_eligible*in_approved_repeat,0)</f>
        <v/>
      </c>
      <c r="N54" s="40">
        <f>L54+M54</f>
        <v/>
      </c>
      <c r="O54" s="46">
        <f>N54/F54</f>
        <v/>
      </c>
      <c r="P54" s="40">
        <f>F54-J54-K54</f>
        <v/>
      </c>
      <c r="Q54" s="40">
        <f>IF(B54&gt;=in_marketplace_from,(J54+K54)*d_hz*G54,0)</f>
        <v/>
      </c>
      <c r="R54" s="40">
        <f>SUMIFS(N2:N61,B2:B61,"&gt;="&amp;(B54-d_T),B2:B61,"&lt;="&amp;(B54-1))</f>
        <v/>
      </c>
      <c r="S54" s="46">
        <f>(1-d_u)*S53+IF(d_T&gt;in_topup_lag,SUMIFS(O2:O61,B2:B61,B54-in_topup_lag)-d_udrop*SUMIFS(O2:O61,B2:B61,B54-d_T),0)</f>
        <v/>
      </c>
      <c r="T54" s="40">
        <f>F54*d_u*S54</f>
        <v/>
      </c>
      <c r="U54" s="9">
        <f>L54*in_ticket+M54*d_rep_ticket</f>
        <v/>
      </c>
      <c r="V54" s="9">
        <f>U54+T54*d_topup_amt</f>
        <v/>
      </c>
      <c r="W54" s="40">
        <f>N54+T54*d_topup_ratio</f>
        <v/>
      </c>
      <c r="X54" s="40">
        <f>SUMIFS(W2:W61,B2:B61,B54-in_dpd_lag)*d_cured</f>
        <v/>
      </c>
      <c r="Y54" s="40">
        <f>SUMIFS(W2:W61,B2:B61,B54-in_rec_lag)*d_recd</f>
        <v/>
      </c>
      <c r="Z54" s="40">
        <f>IF(AND(B54&gt;=in_marketplace_from,B54&lt;in_marketplace_from+in_card_months),in_card_share/in_card_months*F54*I54,IF(AND(B54&gt;=in_marketplace_from+in_card_months,B54&lt;in_marketplace_from+2*in_card_months),in_card_share*d_card_rem/in_card_months*F54*MIN(in_takeup_cap,(1+in_takeup_growth)^(D54-1))*MIN(in_takeup_cap,(1+in_approval_growth)^(D54-1)),0))</f>
        <v/>
      </c>
      <c r="AA54" s="14">
        <f>V54*in_fee*(1-in_taken_back)</f>
        <v/>
      </c>
      <c r="AB54" s="14">
        <f>SUMIFS(W2:W61,B2:B61,B54-in_dpd_lag)*d_dpd</f>
        <v/>
      </c>
      <c r="AC54" s="14">
        <f>SUMIFS(W2:W61,B2:B61,B54-in_rec_lag)*d_rec</f>
        <v/>
      </c>
      <c r="AD54" s="14">
        <f>Z54*in_card_fee</f>
        <v/>
      </c>
      <c r="AE54" s="40">
        <f>AE53*(1-IF(B53&gt;=in_marketplace_from,d_hz_hlth_small*G53,0))</f>
        <v/>
      </c>
      <c r="AF54" s="46">
        <f>AE54*IF(B54&gt;=in_marketplace_from,d_hz_hlth_small*G54,0)</f>
        <v/>
      </c>
      <c r="AG54" s="14">
        <f>F54*AF54*in_hlth_small_ticket*in_hlth_small_comm*in_ins_partner_share+F54*in_hlth_small_ticket*in_hlth_small_renew_comm*in_ins_partner_share*(in_hlth_small_renew^1*SUMIFS(AF2:AF61,B2:B61,B54-12)+in_hlth_small_renew^2*SUMIFS(AF2:AF61,B2:B61,B54-24)+in_hlth_small_renew^3*SUMIFS(AF2:AF61,B2:B61,B54-36)+in_hlth_small_renew^4*SUMIFS(AF2:AF61,B2:B61,B54-48))</f>
        <v/>
      </c>
      <c r="AH54" s="40">
        <f>AH53*(1-IF(B53&gt;=in_marketplace_from,d_hz_hlth_family*G53,0))</f>
        <v/>
      </c>
      <c r="AI54" s="46">
        <f>AH54*IF(B54&gt;=in_marketplace_from,d_hz_hlth_family*G54,0)</f>
        <v/>
      </c>
      <c r="AJ54" s="14">
        <f>F54*AI54*in_hlth_family_ticket*in_hlth_family_comm*in_ins_partner_share+F54*in_hlth_family_ticket*in_hlth_family_renew_comm*in_ins_partner_share*(in_hlth_family_renew^1*SUMIFS(AI2:AI61,B2:B61,B54-12)+in_hlth_family_renew^2*SUMIFS(AI2:AI61,B2:B61,B54-24)+in_hlth_family_renew^3*SUMIFS(AI2:AI61,B2:B61,B54-36)+in_hlth_family_renew^4*SUMIFS(AI2:AI61,B2:B61,B54-48))</f>
        <v/>
      </c>
      <c r="AK54" s="40">
        <f>AK53*(1-IF(B53&gt;=in_marketplace_from,d_hz_life_term*G53,0))</f>
        <v/>
      </c>
      <c r="AL54" s="46">
        <f>AK54*IF(B54&gt;=in_marketplace_from,d_hz_life_term*G54,0)</f>
        <v/>
      </c>
      <c r="AM54" s="14">
        <f>F54*AL54*in_life_term_ticket*in_life_term_comm*in_ins_partner_share+F54*in_life_term_ticket*in_life_term_renew_comm*in_ins_partner_share*(in_life_term_renew^1*SUMIFS(AL2:AL61,B2:B61,B54-12)+in_life_term_renew^2*SUMIFS(AL2:AL61,B2:B61,B54-24)+in_life_term_renew^3*SUMIFS(AL2:AL61,B2:B61,B54-36)+in_life_term_renew^4*SUMIFS(AL2:AL61,B2:B61,B54-48))</f>
        <v/>
      </c>
      <c r="AN54" s="40">
        <f>AN53*(1-IF(B53&gt;=in_marketplace_from,d_hz_accident*G53,0))</f>
        <v/>
      </c>
      <c r="AO54" s="46">
        <f>AN54*IF(B54&gt;=in_marketplace_from,d_hz_accident*G54,0)</f>
        <v/>
      </c>
      <c r="AP54" s="14">
        <f>F54*AO54*in_accident_ticket*in_accident_comm*in_ins_partner_share+F54*in_accident_ticket*in_accident_renew_comm*in_ins_partner_share*(in_accident_renew^1*SUMIFS(AO2:AO61,B2:B61,B54-12)+in_accident_renew^2*SUMIFS(AO2:AO61,B2:B61,B54-24)+in_accident_renew^3*SUMIFS(AO2:AO61,B2:B61,B54-36)+in_accident_renew^4*SUMIFS(AO2:AO61,B2:B61,B54-48))</f>
        <v/>
      </c>
      <c r="AQ54" s="40">
        <f>AQ53*(1-IF(B53&gt;=in_marketplace_from,d_hz_two_wheeler*G53,0))</f>
        <v/>
      </c>
      <c r="AR54" s="46">
        <f>AQ54*IF(B54&gt;=in_marketplace_from,d_hz_two_wheeler*G54,0)</f>
        <v/>
      </c>
      <c r="AS54" s="14">
        <f>F54*AR54*in_two_wheeler_ticket*in_two_wheeler_comm*in_ins_partner_share+F54*in_two_wheeler_ticket*in_two_wheeler_comm*in_ins_partner_share*(in_two_wheeler_renew^1*SUMIFS(AR2:AR61,B2:B61,B54-12)+in_two_wheeler_renew^2*SUMIFS(AR2:AR61,B2:B61,B54-24)+in_two_wheeler_renew^3*SUMIFS(AR2:AR61,B2:B61,B54-36)+in_two_wheeler_renew^4*SUMIFS(AR2:AR61,B2:B61,B54-48))</f>
        <v/>
      </c>
      <c r="AT54" s="40">
        <f>AT53*(1-IF(B53&gt;=in_marketplace_from,d_hz_device*G53,0))</f>
        <v/>
      </c>
      <c r="AU54" s="14">
        <f>F54*AT54*IF(B54&gt;=in_marketplace_from,d_hz_device*G54,0)*in_device_ticket*in_device_comm*in_ins_partner_share</f>
        <v/>
      </c>
      <c r="AV54" s="40">
        <f>AV53*(1-IF(B53&gt;=in_marketplace_from,d_hz_shop*G53,0))</f>
        <v/>
      </c>
      <c r="AW54" s="46">
        <f>AV54*IF(B54&gt;=in_marketplace_from,d_hz_shop*G54,0)</f>
        <v/>
      </c>
      <c r="AX54" s="14">
        <f>F54*AW54*in_shop_ticket*in_shop_comm*in_ins_partner_share+F54*in_shop_ticket*in_shop_renew_comm*in_ins_partner_share*(in_shop_renew^1*SUMIFS(AW2:AW61,B2:B61,B54-12)+in_shop_renew^2*SUMIFS(AW2:AW61,B2:B61,B54-24)+in_shop_renew^3*SUMIFS(AW2:AW61,B2:B61,B54-36)+in_shop_renew^4*SUMIFS(AW2:AW61,B2:B61,B54-48))</f>
        <v/>
      </c>
      <c r="AY54" s="40">
        <f>AY53*(1-IF(B53&gt;=in_marketplace_from,d_hz_sip*G53,0))</f>
        <v/>
      </c>
      <c r="AZ54" s="40">
        <f>AZ53*d_rho_sip+AY54*IF(B54&gt;=in_marketplace_from,d_hz_sip*G54,0)</f>
        <v/>
      </c>
      <c r="BA54" s="40">
        <f>d_rho_sip*(BA53+AZ53)</f>
        <v/>
      </c>
      <c r="BB54" s="14">
        <f>F54*in_sip_ticket*(BA54+0.5*AZ54)*in_sip_comm/12</f>
        <v/>
      </c>
      <c r="BC54" s="40">
        <f>BC53*(1-IF(B53&gt;=in_marketplace_from,d_hz_choti*G53,0))</f>
        <v/>
      </c>
      <c r="BD54" s="46">
        <f>BC54*IF(B54&gt;=in_marketplace_from,d_hz_choti*G54,0)</f>
        <v/>
      </c>
      <c r="BE54" s="14">
        <f>F54*SUMIFS(BD2:BD61,B2:B61,B54-in_choti_months)*in_choti_renew*in_choti_ticket</f>
        <v/>
      </c>
      <c r="BF54" s="40">
        <f>BF53*(1-IF(B53&gt;=in_marketplace_from,d_hz_nps*G53,0))</f>
        <v/>
      </c>
      <c r="BG54" s="14">
        <f>F54*BF54*IF(B54&gt;=in_marketplace_from,d_hz_nps*G54,0)*in_nps_ticket*in_nps_comm</f>
        <v/>
      </c>
      <c r="BH54" s="40">
        <f>BH53*(1-IF(B53&gt;=in_marketplace_from,d_hz_gold*G53,0))</f>
        <v/>
      </c>
      <c r="BI54" s="40">
        <f>BI53*d_rho_gold+BH54*IF(B54&gt;=in_marketplace_from,d_hz_gold*G54,0)</f>
        <v/>
      </c>
      <c r="BJ54" s="14">
        <f>F54*BI54*in_gold_ticket*in_gold_comm</f>
        <v/>
      </c>
      <c r="BK54" s="40">
        <f>BK53*(1-IF(B53&gt;=in_marketplace_from,d_hz_fd*G53,0))</f>
        <v/>
      </c>
      <c r="BL54" s="14">
        <f>F54*BK54*IF(B54&gt;=in_marketplace_from,d_hz_fd*G54,0)*in_fd_ticket*in_fd_comm</f>
        <v/>
      </c>
      <c r="BM54" s="40">
        <f>BM53*(1-IF(B53&gt;=in_marketplace_from,d_hz_recharge*G53,0))</f>
        <v/>
      </c>
      <c r="BN54" s="40">
        <f>BN53*d_rho_recharge+BM54*IF(B54&gt;=in_marketplace_from,d_hz_recharge*G54,0)</f>
        <v/>
      </c>
      <c r="BO54" s="14">
        <f>F54*BN54*in_recharge_ticket*in_recharge_comm/12</f>
        <v/>
      </c>
      <c r="BP54" s="40">
        <f>BP53*(1-IF(B53&gt;=in_marketplace_from,d_hz_bills*G53,0))</f>
        <v/>
      </c>
      <c r="BQ54" s="40">
        <f>BQ53*d_rho_bills+BP54*IF(B54&gt;=in_marketplace_from,d_hz_bills*G54,0)</f>
        <v/>
      </c>
      <c r="BR54" s="14">
        <f>F54*BQ54*in_bills_ticket*in_bills_comm/12</f>
        <v/>
      </c>
      <c r="BS54" s="40">
        <f>BS53*(1-IF(B53&gt;=in_marketplace_from,d_hz_loan_gold*G53,0))</f>
        <v/>
      </c>
      <c r="BT54" s="14">
        <f>F54*BS54*IF(B54&gt;=in_marketplace_from,d_hz_loan_gold*G54,0)*in_loan_gold_ticket*in_loan_gold_comm</f>
        <v/>
      </c>
      <c r="BU54" s="40">
        <f>BU53*(1-IF(B53&gt;=in_marketplace_from,d_hz_loan_cd*G53,0))</f>
        <v/>
      </c>
      <c r="BV54" s="14">
        <f>F54*BU54*IF(B54&gt;=in_marketplace_from,d_hz_loan_cd*G54,0)*in_loan_cd_ticket*in_loan_cd_comm</f>
        <v/>
      </c>
      <c r="BW54" s="40">
        <f>BW53*(1-IF(B53&gt;=in_marketplace_from,d_hz_loan_vehicle*G53,0))</f>
        <v/>
      </c>
      <c r="BX54" s="14">
        <f>F54*BW54*IF(B54&gt;=in_marketplace_from,d_hz_loan_vehicle*G54,0)*in_loan_vehicle_ticket*in_loan_vehicle_comm</f>
        <v/>
      </c>
      <c r="BY54" s="40">
        <f>BY53*(1-IF(B53&gt;=in_marketplace_from,d_hz_loan_home*G53,0)*BZ53)</f>
        <v/>
      </c>
      <c r="BZ54" s="11">
        <f>MIN(in_approval_cap,in_loan_home_approval*INDEX('Age profile'!$O$2:$O$61,B54)*(1+in_approval_growth)^(D54-1))</f>
        <v/>
      </c>
      <c r="CA54" s="14">
        <f>F54*BY54*IF(B54&gt;=in_marketplace_from,d_hz_loan_home*G54,0)*BZ54*in_loan_home_ticket*in_loan_home_comm</f>
        <v/>
      </c>
      <c r="CB54" s="40">
        <f>CB53*(1-IF(B53&gt;=in_marketplace_from,d_hz_loan_lap*G53,0)*CC53)</f>
        <v/>
      </c>
      <c r="CC54" s="11">
        <f>MIN(in_approval_cap,in_loan_lap_approval*INDEX('Age profile'!$O$2:$O$61,B54)*(1+in_approval_growth)^(D54-1))</f>
        <v/>
      </c>
      <c r="CD54" s="14">
        <f>F54*CB54*IF(B54&gt;=in_marketplace_from,d_hz_loan_lap*G54,0)*CC54*in_loan_lap_ticket*in_loan_lap_comm</f>
        <v/>
      </c>
      <c r="CE54" s="14">
        <f>AA54+AB54+AC54+AD54+AG54+AJ54+AM54+AP54+AS54+AU54+AX54+BB54+BE54+BG54+BJ54+BL54+BO54+BR54+BT54+BV54+BX54+CA54+CD54</f>
        <v/>
      </c>
    </row>
    <row r="55">
      <c r="A55" s="39" t="n">
        <v>1</v>
      </c>
      <c r="B55" s="39" t="n">
        <v>54</v>
      </c>
      <c r="C55" s="39">
        <f>A55+B55-1</f>
        <v/>
      </c>
      <c r="D55" s="39">
        <f>INT((C55-1)/12)+1</f>
        <v/>
      </c>
      <c r="E55" s="44">
        <f>INDEX(Monthly!$B$2:$B$61,A55)</f>
        <v/>
      </c>
      <c r="F55" s="44">
        <f>E55*INDEX('Age profile'!$B$2:$B$61,B55)</f>
        <v/>
      </c>
      <c r="G55" s="45">
        <f>MIN(in_takeup_cap,INDEX('Age profile'!$N$2:$N$61,B55)*(1+in_takeup_growth)^(D55-1))</f>
        <v/>
      </c>
      <c r="H55" s="11">
        <f>MIN(in_approval_cap,in_approved_first*INDEX('Age profile'!$O$2:$O$61,B55)*(1+in_approval_growth)^(D55-1))</f>
        <v/>
      </c>
      <c r="I55" s="45">
        <f>G55*MIN(in_takeup_cap,INDEX('Age profile'!$O$2:$O$61,B55)*(1+in_approval_growth)^(D55-1))</f>
        <v/>
      </c>
      <c r="J55" s="40">
        <f>(J54-L54)*F55/F54</f>
        <v/>
      </c>
      <c r="K55" s="40">
        <f>(K54-M54)*F55/F54+SUMIFS(O2:O54,B2:B54,B55-1-d_T)*F55</f>
        <v/>
      </c>
      <c r="L55" s="40">
        <f>IF(B55&gt;=in_marketplace_from,J55*d_hz*G55*in_eligible*H55,0)</f>
        <v/>
      </c>
      <c r="M55" s="40">
        <f>IF(B55&gt;=in_marketplace_from,K55*d_hz*G55*in_eligible*in_approved_repeat,0)</f>
        <v/>
      </c>
      <c r="N55" s="40">
        <f>L55+M55</f>
        <v/>
      </c>
      <c r="O55" s="46">
        <f>N55/F55</f>
        <v/>
      </c>
      <c r="P55" s="40">
        <f>F55-J55-K55</f>
        <v/>
      </c>
      <c r="Q55" s="40">
        <f>IF(B55&gt;=in_marketplace_from,(J55+K55)*d_hz*G55,0)</f>
        <v/>
      </c>
      <c r="R55" s="40">
        <f>SUMIFS(N2:N61,B2:B61,"&gt;="&amp;(B55-d_T),B2:B61,"&lt;="&amp;(B55-1))</f>
        <v/>
      </c>
      <c r="S55" s="46">
        <f>(1-d_u)*S54+IF(d_T&gt;in_topup_lag,SUMIFS(O2:O61,B2:B61,B55-in_topup_lag)-d_udrop*SUMIFS(O2:O61,B2:B61,B55-d_T),0)</f>
        <v/>
      </c>
      <c r="T55" s="40">
        <f>F55*d_u*S55</f>
        <v/>
      </c>
      <c r="U55" s="9">
        <f>L55*in_ticket+M55*d_rep_ticket</f>
        <v/>
      </c>
      <c r="V55" s="9">
        <f>U55+T55*d_topup_amt</f>
        <v/>
      </c>
      <c r="W55" s="40">
        <f>N55+T55*d_topup_ratio</f>
        <v/>
      </c>
      <c r="X55" s="40">
        <f>SUMIFS(W2:W61,B2:B61,B55-in_dpd_lag)*d_cured</f>
        <v/>
      </c>
      <c r="Y55" s="40">
        <f>SUMIFS(W2:W61,B2:B61,B55-in_rec_lag)*d_recd</f>
        <v/>
      </c>
      <c r="Z55" s="40">
        <f>IF(AND(B55&gt;=in_marketplace_from,B55&lt;in_marketplace_from+in_card_months),in_card_share/in_card_months*F55*I55,IF(AND(B55&gt;=in_marketplace_from+in_card_months,B55&lt;in_marketplace_from+2*in_card_months),in_card_share*d_card_rem/in_card_months*F55*MIN(in_takeup_cap,(1+in_takeup_growth)^(D55-1))*MIN(in_takeup_cap,(1+in_approval_growth)^(D55-1)),0))</f>
        <v/>
      </c>
      <c r="AA55" s="14">
        <f>V55*in_fee*(1-in_taken_back)</f>
        <v/>
      </c>
      <c r="AB55" s="14">
        <f>SUMIFS(W2:W61,B2:B61,B55-in_dpd_lag)*d_dpd</f>
        <v/>
      </c>
      <c r="AC55" s="14">
        <f>SUMIFS(W2:W61,B2:B61,B55-in_rec_lag)*d_rec</f>
        <v/>
      </c>
      <c r="AD55" s="14">
        <f>Z55*in_card_fee</f>
        <v/>
      </c>
      <c r="AE55" s="40">
        <f>AE54*(1-IF(B54&gt;=in_marketplace_from,d_hz_hlth_small*G54,0))</f>
        <v/>
      </c>
      <c r="AF55" s="46">
        <f>AE55*IF(B55&gt;=in_marketplace_from,d_hz_hlth_small*G55,0)</f>
        <v/>
      </c>
      <c r="AG55" s="14">
        <f>F55*AF55*in_hlth_small_ticket*in_hlth_small_comm*in_ins_partner_share+F55*in_hlth_small_ticket*in_hlth_small_renew_comm*in_ins_partner_share*(in_hlth_small_renew^1*SUMIFS(AF2:AF61,B2:B61,B55-12)+in_hlth_small_renew^2*SUMIFS(AF2:AF61,B2:B61,B55-24)+in_hlth_small_renew^3*SUMIFS(AF2:AF61,B2:B61,B55-36)+in_hlth_small_renew^4*SUMIFS(AF2:AF61,B2:B61,B55-48))</f>
        <v/>
      </c>
      <c r="AH55" s="40">
        <f>AH54*(1-IF(B54&gt;=in_marketplace_from,d_hz_hlth_family*G54,0))</f>
        <v/>
      </c>
      <c r="AI55" s="46">
        <f>AH55*IF(B55&gt;=in_marketplace_from,d_hz_hlth_family*G55,0)</f>
        <v/>
      </c>
      <c r="AJ55" s="14">
        <f>F55*AI55*in_hlth_family_ticket*in_hlth_family_comm*in_ins_partner_share+F55*in_hlth_family_ticket*in_hlth_family_renew_comm*in_ins_partner_share*(in_hlth_family_renew^1*SUMIFS(AI2:AI61,B2:B61,B55-12)+in_hlth_family_renew^2*SUMIFS(AI2:AI61,B2:B61,B55-24)+in_hlth_family_renew^3*SUMIFS(AI2:AI61,B2:B61,B55-36)+in_hlth_family_renew^4*SUMIFS(AI2:AI61,B2:B61,B55-48))</f>
        <v/>
      </c>
      <c r="AK55" s="40">
        <f>AK54*(1-IF(B54&gt;=in_marketplace_from,d_hz_life_term*G54,0))</f>
        <v/>
      </c>
      <c r="AL55" s="46">
        <f>AK55*IF(B55&gt;=in_marketplace_from,d_hz_life_term*G55,0)</f>
        <v/>
      </c>
      <c r="AM55" s="14">
        <f>F55*AL55*in_life_term_ticket*in_life_term_comm*in_ins_partner_share+F55*in_life_term_ticket*in_life_term_renew_comm*in_ins_partner_share*(in_life_term_renew^1*SUMIFS(AL2:AL61,B2:B61,B55-12)+in_life_term_renew^2*SUMIFS(AL2:AL61,B2:B61,B55-24)+in_life_term_renew^3*SUMIFS(AL2:AL61,B2:B61,B55-36)+in_life_term_renew^4*SUMIFS(AL2:AL61,B2:B61,B55-48))</f>
        <v/>
      </c>
      <c r="AN55" s="40">
        <f>AN54*(1-IF(B54&gt;=in_marketplace_from,d_hz_accident*G54,0))</f>
        <v/>
      </c>
      <c r="AO55" s="46">
        <f>AN55*IF(B55&gt;=in_marketplace_from,d_hz_accident*G55,0)</f>
        <v/>
      </c>
      <c r="AP55" s="14">
        <f>F55*AO55*in_accident_ticket*in_accident_comm*in_ins_partner_share+F55*in_accident_ticket*in_accident_renew_comm*in_ins_partner_share*(in_accident_renew^1*SUMIFS(AO2:AO61,B2:B61,B55-12)+in_accident_renew^2*SUMIFS(AO2:AO61,B2:B61,B55-24)+in_accident_renew^3*SUMIFS(AO2:AO61,B2:B61,B55-36)+in_accident_renew^4*SUMIFS(AO2:AO61,B2:B61,B55-48))</f>
        <v/>
      </c>
      <c r="AQ55" s="40">
        <f>AQ54*(1-IF(B54&gt;=in_marketplace_from,d_hz_two_wheeler*G54,0))</f>
        <v/>
      </c>
      <c r="AR55" s="46">
        <f>AQ55*IF(B55&gt;=in_marketplace_from,d_hz_two_wheeler*G55,0)</f>
        <v/>
      </c>
      <c r="AS55" s="14">
        <f>F55*AR55*in_two_wheeler_ticket*in_two_wheeler_comm*in_ins_partner_share+F55*in_two_wheeler_ticket*in_two_wheeler_comm*in_ins_partner_share*(in_two_wheeler_renew^1*SUMIFS(AR2:AR61,B2:B61,B55-12)+in_two_wheeler_renew^2*SUMIFS(AR2:AR61,B2:B61,B55-24)+in_two_wheeler_renew^3*SUMIFS(AR2:AR61,B2:B61,B55-36)+in_two_wheeler_renew^4*SUMIFS(AR2:AR61,B2:B61,B55-48))</f>
        <v/>
      </c>
      <c r="AT55" s="40">
        <f>AT54*(1-IF(B54&gt;=in_marketplace_from,d_hz_device*G54,0))</f>
        <v/>
      </c>
      <c r="AU55" s="14">
        <f>F55*AT55*IF(B55&gt;=in_marketplace_from,d_hz_device*G55,0)*in_device_ticket*in_device_comm*in_ins_partner_share</f>
        <v/>
      </c>
      <c r="AV55" s="40">
        <f>AV54*(1-IF(B54&gt;=in_marketplace_from,d_hz_shop*G54,0))</f>
        <v/>
      </c>
      <c r="AW55" s="46">
        <f>AV55*IF(B55&gt;=in_marketplace_from,d_hz_shop*G55,0)</f>
        <v/>
      </c>
      <c r="AX55" s="14">
        <f>F55*AW55*in_shop_ticket*in_shop_comm*in_ins_partner_share+F55*in_shop_ticket*in_shop_renew_comm*in_ins_partner_share*(in_shop_renew^1*SUMIFS(AW2:AW61,B2:B61,B55-12)+in_shop_renew^2*SUMIFS(AW2:AW61,B2:B61,B55-24)+in_shop_renew^3*SUMIFS(AW2:AW61,B2:B61,B55-36)+in_shop_renew^4*SUMIFS(AW2:AW61,B2:B61,B55-48))</f>
        <v/>
      </c>
      <c r="AY55" s="40">
        <f>AY54*(1-IF(B54&gt;=in_marketplace_from,d_hz_sip*G54,0))</f>
        <v/>
      </c>
      <c r="AZ55" s="40">
        <f>AZ54*d_rho_sip+AY55*IF(B55&gt;=in_marketplace_from,d_hz_sip*G55,0)</f>
        <v/>
      </c>
      <c r="BA55" s="40">
        <f>d_rho_sip*(BA54+AZ54)</f>
        <v/>
      </c>
      <c r="BB55" s="14">
        <f>F55*in_sip_ticket*(BA55+0.5*AZ55)*in_sip_comm/12</f>
        <v/>
      </c>
      <c r="BC55" s="40">
        <f>BC54*(1-IF(B54&gt;=in_marketplace_from,d_hz_choti*G54,0))</f>
        <v/>
      </c>
      <c r="BD55" s="46">
        <f>BC55*IF(B55&gt;=in_marketplace_from,d_hz_choti*G55,0)</f>
        <v/>
      </c>
      <c r="BE55" s="14">
        <f>F55*SUMIFS(BD2:BD61,B2:B61,B55-in_choti_months)*in_choti_renew*in_choti_ticket</f>
        <v/>
      </c>
      <c r="BF55" s="40">
        <f>BF54*(1-IF(B54&gt;=in_marketplace_from,d_hz_nps*G54,0))</f>
        <v/>
      </c>
      <c r="BG55" s="14">
        <f>F55*BF55*IF(B55&gt;=in_marketplace_from,d_hz_nps*G55,0)*in_nps_ticket*in_nps_comm</f>
        <v/>
      </c>
      <c r="BH55" s="40">
        <f>BH54*(1-IF(B54&gt;=in_marketplace_from,d_hz_gold*G54,0))</f>
        <v/>
      </c>
      <c r="BI55" s="40">
        <f>BI54*d_rho_gold+BH55*IF(B55&gt;=in_marketplace_from,d_hz_gold*G55,0)</f>
        <v/>
      </c>
      <c r="BJ55" s="14">
        <f>F55*BI55*in_gold_ticket*in_gold_comm</f>
        <v/>
      </c>
      <c r="BK55" s="40">
        <f>BK54*(1-IF(B54&gt;=in_marketplace_from,d_hz_fd*G54,0))</f>
        <v/>
      </c>
      <c r="BL55" s="14">
        <f>F55*BK55*IF(B55&gt;=in_marketplace_from,d_hz_fd*G55,0)*in_fd_ticket*in_fd_comm</f>
        <v/>
      </c>
      <c r="BM55" s="40">
        <f>BM54*(1-IF(B54&gt;=in_marketplace_from,d_hz_recharge*G54,0))</f>
        <v/>
      </c>
      <c r="BN55" s="40">
        <f>BN54*d_rho_recharge+BM55*IF(B55&gt;=in_marketplace_from,d_hz_recharge*G55,0)</f>
        <v/>
      </c>
      <c r="BO55" s="14">
        <f>F55*BN55*in_recharge_ticket*in_recharge_comm/12</f>
        <v/>
      </c>
      <c r="BP55" s="40">
        <f>BP54*(1-IF(B54&gt;=in_marketplace_from,d_hz_bills*G54,0))</f>
        <v/>
      </c>
      <c r="BQ55" s="40">
        <f>BQ54*d_rho_bills+BP55*IF(B55&gt;=in_marketplace_from,d_hz_bills*G55,0)</f>
        <v/>
      </c>
      <c r="BR55" s="14">
        <f>F55*BQ55*in_bills_ticket*in_bills_comm/12</f>
        <v/>
      </c>
      <c r="BS55" s="40">
        <f>BS54*(1-IF(B54&gt;=in_marketplace_from,d_hz_loan_gold*G54,0))</f>
        <v/>
      </c>
      <c r="BT55" s="14">
        <f>F55*BS55*IF(B55&gt;=in_marketplace_from,d_hz_loan_gold*G55,0)*in_loan_gold_ticket*in_loan_gold_comm</f>
        <v/>
      </c>
      <c r="BU55" s="40">
        <f>BU54*(1-IF(B54&gt;=in_marketplace_from,d_hz_loan_cd*G54,0))</f>
        <v/>
      </c>
      <c r="BV55" s="14">
        <f>F55*BU55*IF(B55&gt;=in_marketplace_from,d_hz_loan_cd*G55,0)*in_loan_cd_ticket*in_loan_cd_comm</f>
        <v/>
      </c>
      <c r="BW55" s="40">
        <f>BW54*(1-IF(B54&gt;=in_marketplace_from,d_hz_loan_vehicle*G54,0))</f>
        <v/>
      </c>
      <c r="BX55" s="14">
        <f>F55*BW55*IF(B55&gt;=in_marketplace_from,d_hz_loan_vehicle*G55,0)*in_loan_vehicle_ticket*in_loan_vehicle_comm</f>
        <v/>
      </c>
      <c r="BY55" s="40">
        <f>BY54*(1-IF(B54&gt;=in_marketplace_from,d_hz_loan_home*G54,0)*BZ54)</f>
        <v/>
      </c>
      <c r="BZ55" s="11">
        <f>MIN(in_approval_cap,in_loan_home_approval*INDEX('Age profile'!$O$2:$O$61,B55)*(1+in_approval_growth)^(D55-1))</f>
        <v/>
      </c>
      <c r="CA55" s="14">
        <f>F55*BY55*IF(B55&gt;=in_marketplace_from,d_hz_loan_home*G55,0)*BZ55*in_loan_home_ticket*in_loan_home_comm</f>
        <v/>
      </c>
      <c r="CB55" s="40">
        <f>CB54*(1-IF(B54&gt;=in_marketplace_from,d_hz_loan_lap*G54,0)*CC54)</f>
        <v/>
      </c>
      <c r="CC55" s="11">
        <f>MIN(in_approval_cap,in_loan_lap_approval*INDEX('Age profile'!$O$2:$O$61,B55)*(1+in_approval_growth)^(D55-1))</f>
        <v/>
      </c>
      <c r="CD55" s="14">
        <f>F55*CB55*IF(B55&gt;=in_marketplace_from,d_hz_loan_lap*G55,0)*CC55*in_loan_lap_ticket*in_loan_lap_comm</f>
        <v/>
      </c>
      <c r="CE55" s="14">
        <f>AA55+AB55+AC55+AD55+AG55+AJ55+AM55+AP55+AS55+AU55+AX55+BB55+BE55+BG55+BJ55+BL55+BO55+BR55+BT55+BV55+BX55+CA55+CD55</f>
        <v/>
      </c>
    </row>
    <row r="56">
      <c r="A56" s="39" t="n">
        <v>1</v>
      </c>
      <c r="B56" s="39" t="n">
        <v>55</v>
      </c>
      <c r="C56" s="39">
        <f>A56+B56-1</f>
        <v/>
      </c>
      <c r="D56" s="39">
        <f>INT((C56-1)/12)+1</f>
        <v/>
      </c>
      <c r="E56" s="44">
        <f>INDEX(Monthly!$B$2:$B$61,A56)</f>
        <v/>
      </c>
      <c r="F56" s="44">
        <f>E56*INDEX('Age profile'!$B$2:$B$61,B56)</f>
        <v/>
      </c>
      <c r="G56" s="45">
        <f>MIN(in_takeup_cap,INDEX('Age profile'!$N$2:$N$61,B56)*(1+in_takeup_growth)^(D56-1))</f>
        <v/>
      </c>
      <c r="H56" s="11">
        <f>MIN(in_approval_cap,in_approved_first*INDEX('Age profile'!$O$2:$O$61,B56)*(1+in_approval_growth)^(D56-1))</f>
        <v/>
      </c>
      <c r="I56" s="45">
        <f>G56*MIN(in_takeup_cap,INDEX('Age profile'!$O$2:$O$61,B56)*(1+in_approval_growth)^(D56-1))</f>
        <v/>
      </c>
      <c r="J56" s="40">
        <f>(J55-L55)*F56/F55</f>
        <v/>
      </c>
      <c r="K56" s="40">
        <f>(K55-M55)*F56/F55+SUMIFS(O2:O55,B2:B55,B56-1-d_T)*F56</f>
        <v/>
      </c>
      <c r="L56" s="40">
        <f>IF(B56&gt;=in_marketplace_from,J56*d_hz*G56*in_eligible*H56,0)</f>
        <v/>
      </c>
      <c r="M56" s="40">
        <f>IF(B56&gt;=in_marketplace_from,K56*d_hz*G56*in_eligible*in_approved_repeat,0)</f>
        <v/>
      </c>
      <c r="N56" s="40">
        <f>L56+M56</f>
        <v/>
      </c>
      <c r="O56" s="46">
        <f>N56/F56</f>
        <v/>
      </c>
      <c r="P56" s="40">
        <f>F56-J56-K56</f>
        <v/>
      </c>
      <c r="Q56" s="40">
        <f>IF(B56&gt;=in_marketplace_from,(J56+K56)*d_hz*G56,0)</f>
        <v/>
      </c>
      <c r="R56" s="40">
        <f>SUMIFS(N2:N61,B2:B61,"&gt;="&amp;(B56-d_T),B2:B61,"&lt;="&amp;(B56-1))</f>
        <v/>
      </c>
      <c r="S56" s="46">
        <f>(1-d_u)*S55+IF(d_T&gt;in_topup_lag,SUMIFS(O2:O61,B2:B61,B56-in_topup_lag)-d_udrop*SUMIFS(O2:O61,B2:B61,B56-d_T),0)</f>
        <v/>
      </c>
      <c r="T56" s="40">
        <f>F56*d_u*S56</f>
        <v/>
      </c>
      <c r="U56" s="9">
        <f>L56*in_ticket+M56*d_rep_ticket</f>
        <v/>
      </c>
      <c r="V56" s="9">
        <f>U56+T56*d_topup_amt</f>
        <v/>
      </c>
      <c r="W56" s="40">
        <f>N56+T56*d_topup_ratio</f>
        <v/>
      </c>
      <c r="X56" s="40">
        <f>SUMIFS(W2:W61,B2:B61,B56-in_dpd_lag)*d_cured</f>
        <v/>
      </c>
      <c r="Y56" s="40">
        <f>SUMIFS(W2:W61,B2:B61,B56-in_rec_lag)*d_recd</f>
        <v/>
      </c>
      <c r="Z56" s="40">
        <f>IF(AND(B56&gt;=in_marketplace_from,B56&lt;in_marketplace_from+in_card_months),in_card_share/in_card_months*F56*I56,IF(AND(B56&gt;=in_marketplace_from+in_card_months,B56&lt;in_marketplace_from+2*in_card_months),in_card_share*d_card_rem/in_card_months*F56*MIN(in_takeup_cap,(1+in_takeup_growth)^(D56-1))*MIN(in_takeup_cap,(1+in_approval_growth)^(D56-1)),0))</f>
        <v/>
      </c>
      <c r="AA56" s="14">
        <f>V56*in_fee*(1-in_taken_back)</f>
        <v/>
      </c>
      <c r="AB56" s="14">
        <f>SUMIFS(W2:W61,B2:B61,B56-in_dpd_lag)*d_dpd</f>
        <v/>
      </c>
      <c r="AC56" s="14">
        <f>SUMIFS(W2:W61,B2:B61,B56-in_rec_lag)*d_rec</f>
        <v/>
      </c>
      <c r="AD56" s="14">
        <f>Z56*in_card_fee</f>
        <v/>
      </c>
      <c r="AE56" s="40">
        <f>AE55*(1-IF(B55&gt;=in_marketplace_from,d_hz_hlth_small*G55,0))</f>
        <v/>
      </c>
      <c r="AF56" s="46">
        <f>AE56*IF(B56&gt;=in_marketplace_from,d_hz_hlth_small*G56,0)</f>
        <v/>
      </c>
      <c r="AG56" s="14">
        <f>F56*AF56*in_hlth_small_ticket*in_hlth_small_comm*in_ins_partner_share+F56*in_hlth_small_ticket*in_hlth_small_renew_comm*in_ins_partner_share*(in_hlth_small_renew^1*SUMIFS(AF2:AF61,B2:B61,B56-12)+in_hlth_small_renew^2*SUMIFS(AF2:AF61,B2:B61,B56-24)+in_hlth_small_renew^3*SUMIFS(AF2:AF61,B2:B61,B56-36)+in_hlth_small_renew^4*SUMIFS(AF2:AF61,B2:B61,B56-48))</f>
        <v/>
      </c>
      <c r="AH56" s="40">
        <f>AH55*(1-IF(B55&gt;=in_marketplace_from,d_hz_hlth_family*G55,0))</f>
        <v/>
      </c>
      <c r="AI56" s="46">
        <f>AH56*IF(B56&gt;=in_marketplace_from,d_hz_hlth_family*G56,0)</f>
        <v/>
      </c>
      <c r="AJ56" s="14">
        <f>F56*AI56*in_hlth_family_ticket*in_hlth_family_comm*in_ins_partner_share+F56*in_hlth_family_ticket*in_hlth_family_renew_comm*in_ins_partner_share*(in_hlth_family_renew^1*SUMIFS(AI2:AI61,B2:B61,B56-12)+in_hlth_family_renew^2*SUMIFS(AI2:AI61,B2:B61,B56-24)+in_hlth_family_renew^3*SUMIFS(AI2:AI61,B2:B61,B56-36)+in_hlth_family_renew^4*SUMIFS(AI2:AI61,B2:B61,B56-48))</f>
        <v/>
      </c>
      <c r="AK56" s="40">
        <f>AK55*(1-IF(B55&gt;=in_marketplace_from,d_hz_life_term*G55,0))</f>
        <v/>
      </c>
      <c r="AL56" s="46">
        <f>AK56*IF(B56&gt;=in_marketplace_from,d_hz_life_term*G56,0)</f>
        <v/>
      </c>
      <c r="AM56" s="14">
        <f>F56*AL56*in_life_term_ticket*in_life_term_comm*in_ins_partner_share+F56*in_life_term_ticket*in_life_term_renew_comm*in_ins_partner_share*(in_life_term_renew^1*SUMIFS(AL2:AL61,B2:B61,B56-12)+in_life_term_renew^2*SUMIFS(AL2:AL61,B2:B61,B56-24)+in_life_term_renew^3*SUMIFS(AL2:AL61,B2:B61,B56-36)+in_life_term_renew^4*SUMIFS(AL2:AL61,B2:B61,B56-48))</f>
        <v/>
      </c>
      <c r="AN56" s="40">
        <f>AN55*(1-IF(B55&gt;=in_marketplace_from,d_hz_accident*G55,0))</f>
        <v/>
      </c>
      <c r="AO56" s="46">
        <f>AN56*IF(B56&gt;=in_marketplace_from,d_hz_accident*G56,0)</f>
        <v/>
      </c>
      <c r="AP56" s="14">
        <f>F56*AO56*in_accident_ticket*in_accident_comm*in_ins_partner_share+F56*in_accident_ticket*in_accident_renew_comm*in_ins_partner_share*(in_accident_renew^1*SUMIFS(AO2:AO61,B2:B61,B56-12)+in_accident_renew^2*SUMIFS(AO2:AO61,B2:B61,B56-24)+in_accident_renew^3*SUMIFS(AO2:AO61,B2:B61,B56-36)+in_accident_renew^4*SUMIFS(AO2:AO61,B2:B61,B56-48))</f>
        <v/>
      </c>
      <c r="AQ56" s="40">
        <f>AQ55*(1-IF(B55&gt;=in_marketplace_from,d_hz_two_wheeler*G55,0))</f>
        <v/>
      </c>
      <c r="AR56" s="46">
        <f>AQ56*IF(B56&gt;=in_marketplace_from,d_hz_two_wheeler*G56,0)</f>
        <v/>
      </c>
      <c r="AS56" s="14">
        <f>F56*AR56*in_two_wheeler_ticket*in_two_wheeler_comm*in_ins_partner_share+F56*in_two_wheeler_ticket*in_two_wheeler_comm*in_ins_partner_share*(in_two_wheeler_renew^1*SUMIFS(AR2:AR61,B2:B61,B56-12)+in_two_wheeler_renew^2*SUMIFS(AR2:AR61,B2:B61,B56-24)+in_two_wheeler_renew^3*SUMIFS(AR2:AR61,B2:B61,B56-36)+in_two_wheeler_renew^4*SUMIFS(AR2:AR61,B2:B61,B56-48))</f>
        <v/>
      </c>
      <c r="AT56" s="40">
        <f>AT55*(1-IF(B55&gt;=in_marketplace_from,d_hz_device*G55,0))</f>
        <v/>
      </c>
      <c r="AU56" s="14">
        <f>F56*AT56*IF(B56&gt;=in_marketplace_from,d_hz_device*G56,0)*in_device_ticket*in_device_comm*in_ins_partner_share</f>
        <v/>
      </c>
      <c r="AV56" s="40">
        <f>AV55*(1-IF(B55&gt;=in_marketplace_from,d_hz_shop*G55,0))</f>
        <v/>
      </c>
      <c r="AW56" s="46">
        <f>AV56*IF(B56&gt;=in_marketplace_from,d_hz_shop*G56,0)</f>
        <v/>
      </c>
      <c r="AX56" s="14">
        <f>F56*AW56*in_shop_ticket*in_shop_comm*in_ins_partner_share+F56*in_shop_ticket*in_shop_renew_comm*in_ins_partner_share*(in_shop_renew^1*SUMIFS(AW2:AW61,B2:B61,B56-12)+in_shop_renew^2*SUMIFS(AW2:AW61,B2:B61,B56-24)+in_shop_renew^3*SUMIFS(AW2:AW61,B2:B61,B56-36)+in_shop_renew^4*SUMIFS(AW2:AW61,B2:B61,B56-48))</f>
        <v/>
      </c>
      <c r="AY56" s="40">
        <f>AY55*(1-IF(B55&gt;=in_marketplace_from,d_hz_sip*G55,0))</f>
        <v/>
      </c>
      <c r="AZ56" s="40">
        <f>AZ55*d_rho_sip+AY56*IF(B56&gt;=in_marketplace_from,d_hz_sip*G56,0)</f>
        <v/>
      </c>
      <c r="BA56" s="40">
        <f>d_rho_sip*(BA55+AZ55)</f>
        <v/>
      </c>
      <c r="BB56" s="14">
        <f>F56*in_sip_ticket*(BA56+0.5*AZ56)*in_sip_comm/12</f>
        <v/>
      </c>
      <c r="BC56" s="40">
        <f>BC55*(1-IF(B55&gt;=in_marketplace_from,d_hz_choti*G55,0))</f>
        <v/>
      </c>
      <c r="BD56" s="46">
        <f>BC56*IF(B56&gt;=in_marketplace_from,d_hz_choti*G56,0)</f>
        <v/>
      </c>
      <c r="BE56" s="14">
        <f>F56*SUMIFS(BD2:BD61,B2:B61,B56-in_choti_months)*in_choti_renew*in_choti_ticket</f>
        <v/>
      </c>
      <c r="BF56" s="40">
        <f>BF55*(1-IF(B55&gt;=in_marketplace_from,d_hz_nps*G55,0))</f>
        <v/>
      </c>
      <c r="BG56" s="14">
        <f>F56*BF56*IF(B56&gt;=in_marketplace_from,d_hz_nps*G56,0)*in_nps_ticket*in_nps_comm</f>
        <v/>
      </c>
      <c r="BH56" s="40">
        <f>BH55*(1-IF(B55&gt;=in_marketplace_from,d_hz_gold*G55,0))</f>
        <v/>
      </c>
      <c r="BI56" s="40">
        <f>BI55*d_rho_gold+BH56*IF(B56&gt;=in_marketplace_from,d_hz_gold*G56,0)</f>
        <v/>
      </c>
      <c r="BJ56" s="14">
        <f>F56*BI56*in_gold_ticket*in_gold_comm</f>
        <v/>
      </c>
      <c r="BK56" s="40">
        <f>BK55*(1-IF(B55&gt;=in_marketplace_from,d_hz_fd*G55,0))</f>
        <v/>
      </c>
      <c r="BL56" s="14">
        <f>F56*BK56*IF(B56&gt;=in_marketplace_from,d_hz_fd*G56,0)*in_fd_ticket*in_fd_comm</f>
        <v/>
      </c>
      <c r="BM56" s="40">
        <f>BM55*(1-IF(B55&gt;=in_marketplace_from,d_hz_recharge*G55,0))</f>
        <v/>
      </c>
      <c r="BN56" s="40">
        <f>BN55*d_rho_recharge+BM56*IF(B56&gt;=in_marketplace_from,d_hz_recharge*G56,0)</f>
        <v/>
      </c>
      <c r="BO56" s="14">
        <f>F56*BN56*in_recharge_ticket*in_recharge_comm/12</f>
        <v/>
      </c>
      <c r="BP56" s="40">
        <f>BP55*(1-IF(B55&gt;=in_marketplace_from,d_hz_bills*G55,0))</f>
        <v/>
      </c>
      <c r="BQ56" s="40">
        <f>BQ55*d_rho_bills+BP56*IF(B56&gt;=in_marketplace_from,d_hz_bills*G56,0)</f>
        <v/>
      </c>
      <c r="BR56" s="14">
        <f>F56*BQ56*in_bills_ticket*in_bills_comm/12</f>
        <v/>
      </c>
      <c r="BS56" s="40">
        <f>BS55*(1-IF(B55&gt;=in_marketplace_from,d_hz_loan_gold*G55,0))</f>
        <v/>
      </c>
      <c r="BT56" s="14">
        <f>F56*BS56*IF(B56&gt;=in_marketplace_from,d_hz_loan_gold*G56,0)*in_loan_gold_ticket*in_loan_gold_comm</f>
        <v/>
      </c>
      <c r="BU56" s="40">
        <f>BU55*(1-IF(B55&gt;=in_marketplace_from,d_hz_loan_cd*G55,0))</f>
        <v/>
      </c>
      <c r="BV56" s="14">
        <f>F56*BU56*IF(B56&gt;=in_marketplace_from,d_hz_loan_cd*G56,0)*in_loan_cd_ticket*in_loan_cd_comm</f>
        <v/>
      </c>
      <c r="BW56" s="40">
        <f>BW55*(1-IF(B55&gt;=in_marketplace_from,d_hz_loan_vehicle*G55,0))</f>
        <v/>
      </c>
      <c r="BX56" s="14">
        <f>F56*BW56*IF(B56&gt;=in_marketplace_from,d_hz_loan_vehicle*G56,0)*in_loan_vehicle_ticket*in_loan_vehicle_comm</f>
        <v/>
      </c>
      <c r="BY56" s="40">
        <f>BY55*(1-IF(B55&gt;=in_marketplace_from,d_hz_loan_home*G55,0)*BZ55)</f>
        <v/>
      </c>
      <c r="BZ56" s="11">
        <f>MIN(in_approval_cap,in_loan_home_approval*INDEX('Age profile'!$O$2:$O$61,B56)*(1+in_approval_growth)^(D56-1))</f>
        <v/>
      </c>
      <c r="CA56" s="14">
        <f>F56*BY56*IF(B56&gt;=in_marketplace_from,d_hz_loan_home*G56,0)*BZ56*in_loan_home_ticket*in_loan_home_comm</f>
        <v/>
      </c>
      <c r="CB56" s="40">
        <f>CB55*(1-IF(B55&gt;=in_marketplace_from,d_hz_loan_lap*G55,0)*CC55)</f>
        <v/>
      </c>
      <c r="CC56" s="11">
        <f>MIN(in_approval_cap,in_loan_lap_approval*INDEX('Age profile'!$O$2:$O$61,B56)*(1+in_approval_growth)^(D56-1))</f>
        <v/>
      </c>
      <c r="CD56" s="14">
        <f>F56*CB56*IF(B56&gt;=in_marketplace_from,d_hz_loan_lap*G56,0)*CC56*in_loan_lap_ticket*in_loan_lap_comm</f>
        <v/>
      </c>
      <c r="CE56" s="14">
        <f>AA56+AB56+AC56+AD56+AG56+AJ56+AM56+AP56+AS56+AU56+AX56+BB56+BE56+BG56+BJ56+BL56+BO56+BR56+BT56+BV56+BX56+CA56+CD56</f>
        <v/>
      </c>
    </row>
    <row r="57">
      <c r="A57" s="39" t="n">
        <v>1</v>
      </c>
      <c r="B57" s="39" t="n">
        <v>56</v>
      </c>
      <c r="C57" s="39">
        <f>A57+B57-1</f>
        <v/>
      </c>
      <c r="D57" s="39">
        <f>INT((C57-1)/12)+1</f>
        <v/>
      </c>
      <c r="E57" s="44">
        <f>INDEX(Monthly!$B$2:$B$61,A57)</f>
        <v/>
      </c>
      <c r="F57" s="44">
        <f>E57*INDEX('Age profile'!$B$2:$B$61,B57)</f>
        <v/>
      </c>
      <c r="G57" s="45">
        <f>MIN(in_takeup_cap,INDEX('Age profile'!$N$2:$N$61,B57)*(1+in_takeup_growth)^(D57-1))</f>
        <v/>
      </c>
      <c r="H57" s="11">
        <f>MIN(in_approval_cap,in_approved_first*INDEX('Age profile'!$O$2:$O$61,B57)*(1+in_approval_growth)^(D57-1))</f>
        <v/>
      </c>
      <c r="I57" s="45">
        <f>G57*MIN(in_takeup_cap,INDEX('Age profile'!$O$2:$O$61,B57)*(1+in_approval_growth)^(D57-1))</f>
        <v/>
      </c>
      <c r="J57" s="40">
        <f>(J56-L56)*F57/F56</f>
        <v/>
      </c>
      <c r="K57" s="40">
        <f>(K56-M56)*F57/F56+SUMIFS(O2:O56,B2:B56,B57-1-d_T)*F57</f>
        <v/>
      </c>
      <c r="L57" s="40">
        <f>IF(B57&gt;=in_marketplace_from,J57*d_hz*G57*in_eligible*H57,0)</f>
        <v/>
      </c>
      <c r="M57" s="40">
        <f>IF(B57&gt;=in_marketplace_from,K57*d_hz*G57*in_eligible*in_approved_repeat,0)</f>
        <v/>
      </c>
      <c r="N57" s="40">
        <f>L57+M57</f>
        <v/>
      </c>
      <c r="O57" s="46">
        <f>N57/F57</f>
        <v/>
      </c>
      <c r="P57" s="40">
        <f>F57-J57-K57</f>
        <v/>
      </c>
      <c r="Q57" s="40">
        <f>IF(B57&gt;=in_marketplace_from,(J57+K57)*d_hz*G57,0)</f>
        <v/>
      </c>
      <c r="R57" s="40">
        <f>SUMIFS(N2:N61,B2:B61,"&gt;="&amp;(B57-d_T),B2:B61,"&lt;="&amp;(B57-1))</f>
        <v/>
      </c>
      <c r="S57" s="46">
        <f>(1-d_u)*S56+IF(d_T&gt;in_topup_lag,SUMIFS(O2:O61,B2:B61,B57-in_topup_lag)-d_udrop*SUMIFS(O2:O61,B2:B61,B57-d_T),0)</f>
        <v/>
      </c>
      <c r="T57" s="40">
        <f>F57*d_u*S57</f>
        <v/>
      </c>
      <c r="U57" s="9">
        <f>L57*in_ticket+M57*d_rep_ticket</f>
        <v/>
      </c>
      <c r="V57" s="9">
        <f>U57+T57*d_topup_amt</f>
        <v/>
      </c>
      <c r="W57" s="40">
        <f>N57+T57*d_topup_ratio</f>
        <v/>
      </c>
      <c r="X57" s="40">
        <f>SUMIFS(W2:W61,B2:B61,B57-in_dpd_lag)*d_cured</f>
        <v/>
      </c>
      <c r="Y57" s="40">
        <f>SUMIFS(W2:W61,B2:B61,B57-in_rec_lag)*d_recd</f>
        <v/>
      </c>
      <c r="Z57" s="40">
        <f>IF(AND(B57&gt;=in_marketplace_from,B57&lt;in_marketplace_from+in_card_months),in_card_share/in_card_months*F57*I57,IF(AND(B57&gt;=in_marketplace_from+in_card_months,B57&lt;in_marketplace_from+2*in_card_months),in_card_share*d_card_rem/in_card_months*F57*MIN(in_takeup_cap,(1+in_takeup_growth)^(D57-1))*MIN(in_takeup_cap,(1+in_approval_growth)^(D57-1)),0))</f>
        <v/>
      </c>
      <c r="AA57" s="14">
        <f>V57*in_fee*(1-in_taken_back)</f>
        <v/>
      </c>
      <c r="AB57" s="14">
        <f>SUMIFS(W2:W61,B2:B61,B57-in_dpd_lag)*d_dpd</f>
        <v/>
      </c>
      <c r="AC57" s="14">
        <f>SUMIFS(W2:W61,B2:B61,B57-in_rec_lag)*d_rec</f>
        <v/>
      </c>
      <c r="AD57" s="14">
        <f>Z57*in_card_fee</f>
        <v/>
      </c>
      <c r="AE57" s="40">
        <f>AE56*(1-IF(B56&gt;=in_marketplace_from,d_hz_hlth_small*G56,0))</f>
        <v/>
      </c>
      <c r="AF57" s="46">
        <f>AE57*IF(B57&gt;=in_marketplace_from,d_hz_hlth_small*G57,0)</f>
        <v/>
      </c>
      <c r="AG57" s="14">
        <f>F57*AF57*in_hlth_small_ticket*in_hlth_small_comm*in_ins_partner_share+F57*in_hlth_small_ticket*in_hlth_small_renew_comm*in_ins_partner_share*(in_hlth_small_renew^1*SUMIFS(AF2:AF61,B2:B61,B57-12)+in_hlth_small_renew^2*SUMIFS(AF2:AF61,B2:B61,B57-24)+in_hlth_small_renew^3*SUMIFS(AF2:AF61,B2:B61,B57-36)+in_hlth_small_renew^4*SUMIFS(AF2:AF61,B2:B61,B57-48))</f>
        <v/>
      </c>
      <c r="AH57" s="40">
        <f>AH56*(1-IF(B56&gt;=in_marketplace_from,d_hz_hlth_family*G56,0))</f>
        <v/>
      </c>
      <c r="AI57" s="46">
        <f>AH57*IF(B57&gt;=in_marketplace_from,d_hz_hlth_family*G57,0)</f>
        <v/>
      </c>
      <c r="AJ57" s="14">
        <f>F57*AI57*in_hlth_family_ticket*in_hlth_family_comm*in_ins_partner_share+F57*in_hlth_family_ticket*in_hlth_family_renew_comm*in_ins_partner_share*(in_hlth_family_renew^1*SUMIFS(AI2:AI61,B2:B61,B57-12)+in_hlth_family_renew^2*SUMIFS(AI2:AI61,B2:B61,B57-24)+in_hlth_family_renew^3*SUMIFS(AI2:AI61,B2:B61,B57-36)+in_hlth_family_renew^4*SUMIFS(AI2:AI61,B2:B61,B57-48))</f>
        <v/>
      </c>
      <c r="AK57" s="40">
        <f>AK56*(1-IF(B56&gt;=in_marketplace_from,d_hz_life_term*G56,0))</f>
        <v/>
      </c>
      <c r="AL57" s="46">
        <f>AK57*IF(B57&gt;=in_marketplace_from,d_hz_life_term*G57,0)</f>
        <v/>
      </c>
      <c r="AM57" s="14">
        <f>F57*AL57*in_life_term_ticket*in_life_term_comm*in_ins_partner_share+F57*in_life_term_ticket*in_life_term_renew_comm*in_ins_partner_share*(in_life_term_renew^1*SUMIFS(AL2:AL61,B2:B61,B57-12)+in_life_term_renew^2*SUMIFS(AL2:AL61,B2:B61,B57-24)+in_life_term_renew^3*SUMIFS(AL2:AL61,B2:B61,B57-36)+in_life_term_renew^4*SUMIFS(AL2:AL61,B2:B61,B57-48))</f>
        <v/>
      </c>
      <c r="AN57" s="40">
        <f>AN56*(1-IF(B56&gt;=in_marketplace_from,d_hz_accident*G56,0))</f>
        <v/>
      </c>
      <c r="AO57" s="46">
        <f>AN57*IF(B57&gt;=in_marketplace_from,d_hz_accident*G57,0)</f>
        <v/>
      </c>
      <c r="AP57" s="14">
        <f>F57*AO57*in_accident_ticket*in_accident_comm*in_ins_partner_share+F57*in_accident_ticket*in_accident_renew_comm*in_ins_partner_share*(in_accident_renew^1*SUMIFS(AO2:AO61,B2:B61,B57-12)+in_accident_renew^2*SUMIFS(AO2:AO61,B2:B61,B57-24)+in_accident_renew^3*SUMIFS(AO2:AO61,B2:B61,B57-36)+in_accident_renew^4*SUMIFS(AO2:AO61,B2:B61,B57-48))</f>
        <v/>
      </c>
      <c r="AQ57" s="40">
        <f>AQ56*(1-IF(B56&gt;=in_marketplace_from,d_hz_two_wheeler*G56,0))</f>
        <v/>
      </c>
      <c r="AR57" s="46">
        <f>AQ57*IF(B57&gt;=in_marketplace_from,d_hz_two_wheeler*G57,0)</f>
        <v/>
      </c>
      <c r="AS57" s="14">
        <f>F57*AR57*in_two_wheeler_ticket*in_two_wheeler_comm*in_ins_partner_share+F57*in_two_wheeler_ticket*in_two_wheeler_comm*in_ins_partner_share*(in_two_wheeler_renew^1*SUMIFS(AR2:AR61,B2:B61,B57-12)+in_two_wheeler_renew^2*SUMIFS(AR2:AR61,B2:B61,B57-24)+in_two_wheeler_renew^3*SUMIFS(AR2:AR61,B2:B61,B57-36)+in_two_wheeler_renew^4*SUMIFS(AR2:AR61,B2:B61,B57-48))</f>
        <v/>
      </c>
      <c r="AT57" s="40">
        <f>AT56*(1-IF(B56&gt;=in_marketplace_from,d_hz_device*G56,0))</f>
        <v/>
      </c>
      <c r="AU57" s="14">
        <f>F57*AT57*IF(B57&gt;=in_marketplace_from,d_hz_device*G57,0)*in_device_ticket*in_device_comm*in_ins_partner_share</f>
        <v/>
      </c>
      <c r="AV57" s="40">
        <f>AV56*(1-IF(B56&gt;=in_marketplace_from,d_hz_shop*G56,0))</f>
        <v/>
      </c>
      <c r="AW57" s="46">
        <f>AV57*IF(B57&gt;=in_marketplace_from,d_hz_shop*G57,0)</f>
        <v/>
      </c>
      <c r="AX57" s="14">
        <f>F57*AW57*in_shop_ticket*in_shop_comm*in_ins_partner_share+F57*in_shop_ticket*in_shop_renew_comm*in_ins_partner_share*(in_shop_renew^1*SUMIFS(AW2:AW61,B2:B61,B57-12)+in_shop_renew^2*SUMIFS(AW2:AW61,B2:B61,B57-24)+in_shop_renew^3*SUMIFS(AW2:AW61,B2:B61,B57-36)+in_shop_renew^4*SUMIFS(AW2:AW61,B2:B61,B57-48))</f>
        <v/>
      </c>
      <c r="AY57" s="40">
        <f>AY56*(1-IF(B56&gt;=in_marketplace_from,d_hz_sip*G56,0))</f>
        <v/>
      </c>
      <c r="AZ57" s="40">
        <f>AZ56*d_rho_sip+AY57*IF(B57&gt;=in_marketplace_from,d_hz_sip*G57,0)</f>
        <v/>
      </c>
      <c r="BA57" s="40">
        <f>d_rho_sip*(BA56+AZ56)</f>
        <v/>
      </c>
      <c r="BB57" s="14">
        <f>F57*in_sip_ticket*(BA57+0.5*AZ57)*in_sip_comm/12</f>
        <v/>
      </c>
      <c r="BC57" s="40">
        <f>BC56*(1-IF(B56&gt;=in_marketplace_from,d_hz_choti*G56,0))</f>
        <v/>
      </c>
      <c r="BD57" s="46">
        <f>BC57*IF(B57&gt;=in_marketplace_from,d_hz_choti*G57,0)</f>
        <v/>
      </c>
      <c r="BE57" s="14">
        <f>F57*SUMIFS(BD2:BD61,B2:B61,B57-in_choti_months)*in_choti_renew*in_choti_ticket</f>
        <v/>
      </c>
      <c r="BF57" s="40">
        <f>BF56*(1-IF(B56&gt;=in_marketplace_from,d_hz_nps*G56,0))</f>
        <v/>
      </c>
      <c r="BG57" s="14">
        <f>F57*BF57*IF(B57&gt;=in_marketplace_from,d_hz_nps*G57,0)*in_nps_ticket*in_nps_comm</f>
        <v/>
      </c>
      <c r="BH57" s="40">
        <f>BH56*(1-IF(B56&gt;=in_marketplace_from,d_hz_gold*G56,0))</f>
        <v/>
      </c>
      <c r="BI57" s="40">
        <f>BI56*d_rho_gold+BH57*IF(B57&gt;=in_marketplace_from,d_hz_gold*G57,0)</f>
        <v/>
      </c>
      <c r="BJ57" s="14">
        <f>F57*BI57*in_gold_ticket*in_gold_comm</f>
        <v/>
      </c>
      <c r="BK57" s="40">
        <f>BK56*(1-IF(B56&gt;=in_marketplace_from,d_hz_fd*G56,0))</f>
        <v/>
      </c>
      <c r="BL57" s="14">
        <f>F57*BK57*IF(B57&gt;=in_marketplace_from,d_hz_fd*G57,0)*in_fd_ticket*in_fd_comm</f>
        <v/>
      </c>
      <c r="BM57" s="40">
        <f>BM56*(1-IF(B56&gt;=in_marketplace_from,d_hz_recharge*G56,0))</f>
        <v/>
      </c>
      <c r="BN57" s="40">
        <f>BN56*d_rho_recharge+BM57*IF(B57&gt;=in_marketplace_from,d_hz_recharge*G57,0)</f>
        <v/>
      </c>
      <c r="BO57" s="14">
        <f>F57*BN57*in_recharge_ticket*in_recharge_comm/12</f>
        <v/>
      </c>
      <c r="BP57" s="40">
        <f>BP56*(1-IF(B56&gt;=in_marketplace_from,d_hz_bills*G56,0))</f>
        <v/>
      </c>
      <c r="BQ57" s="40">
        <f>BQ56*d_rho_bills+BP57*IF(B57&gt;=in_marketplace_from,d_hz_bills*G57,0)</f>
        <v/>
      </c>
      <c r="BR57" s="14">
        <f>F57*BQ57*in_bills_ticket*in_bills_comm/12</f>
        <v/>
      </c>
      <c r="BS57" s="40">
        <f>BS56*(1-IF(B56&gt;=in_marketplace_from,d_hz_loan_gold*G56,0))</f>
        <v/>
      </c>
      <c r="BT57" s="14">
        <f>F57*BS57*IF(B57&gt;=in_marketplace_from,d_hz_loan_gold*G57,0)*in_loan_gold_ticket*in_loan_gold_comm</f>
        <v/>
      </c>
      <c r="BU57" s="40">
        <f>BU56*(1-IF(B56&gt;=in_marketplace_from,d_hz_loan_cd*G56,0))</f>
        <v/>
      </c>
      <c r="BV57" s="14">
        <f>F57*BU57*IF(B57&gt;=in_marketplace_from,d_hz_loan_cd*G57,0)*in_loan_cd_ticket*in_loan_cd_comm</f>
        <v/>
      </c>
      <c r="BW57" s="40">
        <f>BW56*(1-IF(B56&gt;=in_marketplace_from,d_hz_loan_vehicle*G56,0))</f>
        <v/>
      </c>
      <c r="BX57" s="14">
        <f>F57*BW57*IF(B57&gt;=in_marketplace_from,d_hz_loan_vehicle*G57,0)*in_loan_vehicle_ticket*in_loan_vehicle_comm</f>
        <v/>
      </c>
      <c r="BY57" s="40">
        <f>BY56*(1-IF(B56&gt;=in_marketplace_from,d_hz_loan_home*G56,0)*BZ56)</f>
        <v/>
      </c>
      <c r="BZ57" s="11">
        <f>MIN(in_approval_cap,in_loan_home_approval*INDEX('Age profile'!$O$2:$O$61,B57)*(1+in_approval_growth)^(D57-1))</f>
        <v/>
      </c>
      <c r="CA57" s="14">
        <f>F57*BY57*IF(B57&gt;=in_marketplace_from,d_hz_loan_home*G57,0)*BZ57*in_loan_home_ticket*in_loan_home_comm</f>
        <v/>
      </c>
      <c r="CB57" s="40">
        <f>CB56*(1-IF(B56&gt;=in_marketplace_from,d_hz_loan_lap*G56,0)*CC56)</f>
        <v/>
      </c>
      <c r="CC57" s="11">
        <f>MIN(in_approval_cap,in_loan_lap_approval*INDEX('Age profile'!$O$2:$O$61,B57)*(1+in_approval_growth)^(D57-1))</f>
        <v/>
      </c>
      <c r="CD57" s="14">
        <f>F57*CB57*IF(B57&gt;=in_marketplace_from,d_hz_loan_lap*G57,0)*CC57*in_loan_lap_ticket*in_loan_lap_comm</f>
        <v/>
      </c>
      <c r="CE57" s="14">
        <f>AA57+AB57+AC57+AD57+AG57+AJ57+AM57+AP57+AS57+AU57+AX57+BB57+BE57+BG57+BJ57+BL57+BO57+BR57+BT57+BV57+BX57+CA57+CD57</f>
        <v/>
      </c>
    </row>
    <row r="58">
      <c r="A58" s="39" t="n">
        <v>1</v>
      </c>
      <c r="B58" s="39" t="n">
        <v>57</v>
      </c>
      <c r="C58" s="39">
        <f>A58+B58-1</f>
        <v/>
      </c>
      <c r="D58" s="39">
        <f>INT((C58-1)/12)+1</f>
        <v/>
      </c>
      <c r="E58" s="44">
        <f>INDEX(Monthly!$B$2:$B$61,A58)</f>
        <v/>
      </c>
      <c r="F58" s="44">
        <f>E58*INDEX('Age profile'!$B$2:$B$61,B58)</f>
        <v/>
      </c>
      <c r="G58" s="45">
        <f>MIN(in_takeup_cap,INDEX('Age profile'!$N$2:$N$61,B58)*(1+in_takeup_growth)^(D58-1))</f>
        <v/>
      </c>
      <c r="H58" s="11">
        <f>MIN(in_approval_cap,in_approved_first*INDEX('Age profile'!$O$2:$O$61,B58)*(1+in_approval_growth)^(D58-1))</f>
        <v/>
      </c>
      <c r="I58" s="45">
        <f>G58*MIN(in_takeup_cap,INDEX('Age profile'!$O$2:$O$61,B58)*(1+in_approval_growth)^(D58-1))</f>
        <v/>
      </c>
      <c r="J58" s="40">
        <f>(J57-L57)*F58/F57</f>
        <v/>
      </c>
      <c r="K58" s="40">
        <f>(K57-M57)*F58/F57+SUMIFS(O2:O57,B2:B57,B58-1-d_T)*F58</f>
        <v/>
      </c>
      <c r="L58" s="40">
        <f>IF(B58&gt;=in_marketplace_from,J58*d_hz*G58*in_eligible*H58,0)</f>
        <v/>
      </c>
      <c r="M58" s="40">
        <f>IF(B58&gt;=in_marketplace_from,K58*d_hz*G58*in_eligible*in_approved_repeat,0)</f>
        <v/>
      </c>
      <c r="N58" s="40">
        <f>L58+M58</f>
        <v/>
      </c>
      <c r="O58" s="46">
        <f>N58/F58</f>
        <v/>
      </c>
      <c r="P58" s="40">
        <f>F58-J58-K58</f>
        <v/>
      </c>
      <c r="Q58" s="40">
        <f>IF(B58&gt;=in_marketplace_from,(J58+K58)*d_hz*G58,0)</f>
        <v/>
      </c>
      <c r="R58" s="40">
        <f>SUMIFS(N2:N61,B2:B61,"&gt;="&amp;(B58-d_T),B2:B61,"&lt;="&amp;(B58-1))</f>
        <v/>
      </c>
      <c r="S58" s="46">
        <f>(1-d_u)*S57+IF(d_T&gt;in_topup_lag,SUMIFS(O2:O61,B2:B61,B58-in_topup_lag)-d_udrop*SUMIFS(O2:O61,B2:B61,B58-d_T),0)</f>
        <v/>
      </c>
      <c r="T58" s="40">
        <f>F58*d_u*S58</f>
        <v/>
      </c>
      <c r="U58" s="9">
        <f>L58*in_ticket+M58*d_rep_ticket</f>
        <v/>
      </c>
      <c r="V58" s="9">
        <f>U58+T58*d_topup_amt</f>
        <v/>
      </c>
      <c r="W58" s="40">
        <f>N58+T58*d_topup_ratio</f>
        <v/>
      </c>
      <c r="X58" s="40">
        <f>SUMIFS(W2:W61,B2:B61,B58-in_dpd_lag)*d_cured</f>
        <v/>
      </c>
      <c r="Y58" s="40">
        <f>SUMIFS(W2:W61,B2:B61,B58-in_rec_lag)*d_recd</f>
        <v/>
      </c>
      <c r="Z58" s="40">
        <f>IF(AND(B58&gt;=in_marketplace_from,B58&lt;in_marketplace_from+in_card_months),in_card_share/in_card_months*F58*I58,IF(AND(B58&gt;=in_marketplace_from+in_card_months,B58&lt;in_marketplace_from+2*in_card_months),in_card_share*d_card_rem/in_card_months*F58*MIN(in_takeup_cap,(1+in_takeup_growth)^(D58-1))*MIN(in_takeup_cap,(1+in_approval_growth)^(D58-1)),0))</f>
        <v/>
      </c>
      <c r="AA58" s="14">
        <f>V58*in_fee*(1-in_taken_back)</f>
        <v/>
      </c>
      <c r="AB58" s="14">
        <f>SUMIFS(W2:W61,B2:B61,B58-in_dpd_lag)*d_dpd</f>
        <v/>
      </c>
      <c r="AC58" s="14">
        <f>SUMIFS(W2:W61,B2:B61,B58-in_rec_lag)*d_rec</f>
        <v/>
      </c>
      <c r="AD58" s="14">
        <f>Z58*in_card_fee</f>
        <v/>
      </c>
      <c r="AE58" s="40">
        <f>AE57*(1-IF(B57&gt;=in_marketplace_from,d_hz_hlth_small*G57,0))</f>
        <v/>
      </c>
      <c r="AF58" s="46">
        <f>AE58*IF(B58&gt;=in_marketplace_from,d_hz_hlth_small*G58,0)</f>
        <v/>
      </c>
      <c r="AG58" s="14">
        <f>F58*AF58*in_hlth_small_ticket*in_hlth_small_comm*in_ins_partner_share+F58*in_hlth_small_ticket*in_hlth_small_renew_comm*in_ins_partner_share*(in_hlth_small_renew^1*SUMIFS(AF2:AF61,B2:B61,B58-12)+in_hlth_small_renew^2*SUMIFS(AF2:AF61,B2:B61,B58-24)+in_hlth_small_renew^3*SUMIFS(AF2:AF61,B2:B61,B58-36)+in_hlth_small_renew^4*SUMIFS(AF2:AF61,B2:B61,B58-48))</f>
        <v/>
      </c>
      <c r="AH58" s="40">
        <f>AH57*(1-IF(B57&gt;=in_marketplace_from,d_hz_hlth_family*G57,0))</f>
        <v/>
      </c>
      <c r="AI58" s="46">
        <f>AH58*IF(B58&gt;=in_marketplace_from,d_hz_hlth_family*G58,0)</f>
        <v/>
      </c>
      <c r="AJ58" s="14">
        <f>F58*AI58*in_hlth_family_ticket*in_hlth_family_comm*in_ins_partner_share+F58*in_hlth_family_ticket*in_hlth_family_renew_comm*in_ins_partner_share*(in_hlth_family_renew^1*SUMIFS(AI2:AI61,B2:B61,B58-12)+in_hlth_family_renew^2*SUMIFS(AI2:AI61,B2:B61,B58-24)+in_hlth_family_renew^3*SUMIFS(AI2:AI61,B2:B61,B58-36)+in_hlth_family_renew^4*SUMIFS(AI2:AI61,B2:B61,B58-48))</f>
        <v/>
      </c>
      <c r="AK58" s="40">
        <f>AK57*(1-IF(B57&gt;=in_marketplace_from,d_hz_life_term*G57,0))</f>
        <v/>
      </c>
      <c r="AL58" s="46">
        <f>AK58*IF(B58&gt;=in_marketplace_from,d_hz_life_term*G58,0)</f>
        <v/>
      </c>
      <c r="AM58" s="14">
        <f>F58*AL58*in_life_term_ticket*in_life_term_comm*in_ins_partner_share+F58*in_life_term_ticket*in_life_term_renew_comm*in_ins_partner_share*(in_life_term_renew^1*SUMIFS(AL2:AL61,B2:B61,B58-12)+in_life_term_renew^2*SUMIFS(AL2:AL61,B2:B61,B58-24)+in_life_term_renew^3*SUMIFS(AL2:AL61,B2:B61,B58-36)+in_life_term_renew^4*SUMIFS(AL2:AL61,B2:B61,B58-48))</f>
        <v/>
      </c>
      <c r="AN58" s="40">
        <f>AN57*(1-IF(B57&gt;=in_marketplace_from,d_hz_accident*G57,0))</f>
        <v/>
      </c>
      <c r="AO58" s="46">
        <f>AN58*IF(B58&gt;=in_marketplace_from,d_hz_accident*G58,0)</f>
        <v/>
      </c>
      <c r="AP58" s="14">
        <f>F58*AO58*in_accident_ticket*in_accident_comm*in_ins_partner_share+F58*in_accident_ticket*in_accident_renew_comm*in_ins_partner_share*(in_accident_renew^1*SUMIFS(AO2:AO61,B2:B61,B58-12)+in_accident_renew^2*SUMIFS(AO2:AO61,B2:B61,B58-24)+in_accident_renew^3*SUMIFS(AO2:AO61,B2:B61,B58-36)+in_accident_renew^4*SUMIFS(AO2:AO61,B2:B61,B58-48))</f>
        <v/>
      </c>
      <c r="AQ58" s="40">
        <f>AQ57*(1-IF(B57&gt;=in_marketplace_from,d_hz_two_wheeler*G57,0))</f>
        <v/>
      </c>
      <c r="AR58" s="46">
        <f>AQ58*IF(B58&gt;=in_marketplace_from,d_hz_two_wheeler*G58,0)</f>
        <v/>
      </c>
      <c r="AS58" s="14">
        <f>F58*AR58*in_two_wheeler_ticket*in_two_wheeler_comm*in_ins_partner_share+F58*in_two_wheeler_ticket*in_two_wheeler_comm*in_ins_partner_share*(in_two_wheeler_renew^1*SUMIFS(AR2:AR61,B2:B61,B58-12)+in_two_wheeler_renew^2*SUMIFS(AR2:AR61,B2:B61,B58-24)+in_two_wheeler_renew^3*SUMIFS(AR2:AR61,B2:B61,B58-36)+in_two_wheeler_renew^4*SUMIFS(AR2:AR61,B2:B61,B58-48))</f>
        <v/>
      </c>
      <c r="AT58" s="40">
        <f>AT57*(1-IF(B57&gt;=in_marketplace_from,d_hz_device*G57,0))</f>
        <v/>
      </c>
      <c r="AU58" s="14">
        <f>F58*AT58*IF(B58&gt;=in_marketplace_from,d_hz_device*G58,0)*in_device_ticket*in_device_comm*in_ins_partner_share</f>
        <v/>
      </c>
      <c r="AV58" s="40">
        <f>AV57*(1-IF(B57&gt;=in_marketplace_from,d_hz_shop*G57,0))</f>
        <v/>
      </c>
      <c r="AW58" s="46">
        <f>AV58*IF(B58&gt;=in_marketplace_from,d_hz_shop*G58,0)</f>
        <v/>
      </c>
      <c r="AX58" s="14">
        <f>F58*AW58*in_shop_ticket*in_shop_comm*in_ins_partner_share+F58*in_shop_ticket*in_shop_renew_comm*in_ins_partner_share*(in_shop_renew^1*SUMIFS(AW2:AW61,B2:B61,B58-12)+in_shop_renew^2*SUMIFS(AW2:AW61,B2:B61,B58-24)+in_shop_renew^3*SUMIFS(AW2:AW61,B2:B61,B58-36)+in_shop_renew^4*SUMIFS(AW2:AW61,B2:B61,B58-48))</f>
        <v/>
      </c>
      <c r="AY58" s="40">
        <f>AY57*(1-IF(B57&gt;=in_marketplace_from,d_hz_sip*G57,0))</f>
        <v/>
      </c>
      <c r="AZ58" s="40">
        <f>AZ57*d_rho_sip+AY58*IF(B58&gt;=in_marketplace_from,d_hz_sip*G58,0)</f>
        <v/>
      </c>
      <c r="BA58" s="40">
        <f>d_rho_sip*(BA57+AZ57)</f>
        <v/>
      </c>
      <c r="BB58" s="14">
        <f>F58*in_sip_ticket*(BA58+0.5*AZ58)*in_sip_comm/12</f>
        <v/>
      </c>
      <c r="BC58" s="40">
        <f>BC57*(1-IF(B57&gt;=in_marketplace_from,d_hz_choti*G57,0))</f>
        <v/>
      </c>
      <c r="BD58" s="46">
        <f>BC58*IF(B58&gt;=in_marketplace_from,d_hz_choti*G58,0)</f>
        <v/>
      </c>
      <c r="BE58" s="14">
        <f>F58*SUMIFS(BD2:BD61,B2:B61,B58-in_choti_months)*in_choti_renew*in_choti_ticket</f>
        <v/>
      </c>
      <c r="BF58" s="40">
        <f>BF57*(1-IF(B57&gt;=in_marketplace_from,d_hz_nps*G57,0))</f>
        <v/>
      </c>
      <c r="BG58" s="14">
        <f>F58*BF58*IF(B58&gt;=in_marketplace_from,d_hz_nps*G58,0)*in_nps_ticket*in_nps_comm</f>
        <v/>
      </c>
      <c r="BH58" s="40">
        <f>BH57*(1-IF(B57&gt;=in_marketplace_from,d_hz_gold*G57,0))</f>
        <v/>
      </c>
      <c r="BI58" s="40">
        <f>BI57*d_rho_gold+BH58*IF(B58&gt;=in_marketplace_from,d_hz_gold*G58,0)</f>
        <v/>
      </c>
      <c r="BJ58" s="14">
        <f>F58*BI58*in_gold_ticket*in_gold_comm</f>
        <v/>
      </c>
      <c r="BK58" s="40">
        <f>BK57*(1-IF(B57&gt;=in_marketplace_from,d_hz_fd*G57,0))</f>
        <v/>
      </c>
      <c r="BL58" s="14">
        <f>F58*BK58*IF(B58&gt;=in_marketplace_from,d_hz_fd*G58,0)*in_fd_ticket*in_fd_comm</f>
        <v/>
      </c>
      <c r="BM58" s="40">
        <f>BM57*(1-IF(B57&gt;=in_marketplace_from,d_hz_recharge*G57,0))</f>
        <v/>
      </c>
      <c r="BN58" s="40">
        <f>BN57*d_rho_recharge+BM58*IF(B58&gt;=in_marketplace_from,d_hz_recharge*G58,0)</f>
        <v/>
      </c>
      <c r="BO58" s="14">
        <f>F58*BN58*in_recharge_ticket*in_recharge_comm/12</f>
        <v/>
      </c>
      <c r="BP58" s="40">
        <f>BP57*(1-IF(B57&gt;=in_marketplace_from,d_hz_bills*G57,0))</f>
        <v/>
      </c>
      <c r="BQ58" s="40">
        <f>BQ57*d_rho_bills+BP58*IF(B58&gt;=in_marketplace_from,d_hz_bills*G58,0)</f>
        <v/>
      </c>
      <c r="BR58" s="14">
        <f>F58*BQ58*in_bills_ticket*in_bills_comm/12</f>
        <v/>
      </c>
      <c r="BS58" s="40">
        <f>BS57*(1-IF(B57&gt;=in_marketplace_from,d_hz_loan_gold*G57,0))</f>
        <v/>
      </c>
      <c r="BT58" s="14">
        <f>F58*BS58*IF(B58&gt;=in_marketplace_from,d_hz_loan_gold*G58,0)*in_loan_gold_ticket*in_loan_gold_comm</f>
        <v/>
      </c>
      <c r="BU58" s="40">
        <f>BU57*(1-IF(B57&gt;=in_marketplace_from,d_hz_loan_cd*G57,0))</f>
        <v/>
      </c>
      <c r="BV58" s="14">
        <f>F58*BU58*IF(B58&gt;=in_marketplace_from,d_hz_loan_cd*G58,0)*in_loan_cd_ticket*in_loan_cd_comm</f>
        <v/>
      </c>
      <c r="BW58" s="40">
        <f>BW57*(1-IF(B57&gt;=in_marketplace_from,d_hz_loan_vehicle*G57,0))</f>
        <v/>
      </c>
      <c r="BX58" s="14">
        <f>F58*BW58*IF(B58&gt;=in_marketplace_from,d_hz_loan_vehicle*G58,0)*in_loan_vehicle_ticket*in_loan_vehicle_comm</f>
        <v/>
      </c>
      <c r="BY58" s="40">
        <f>BY57*(1-IF(B57&gt;=in_marketplace_from,d_hz_loan_home*G57,0)*BZ57)</f>
        <v/>
      </c>
      <c r="BZ58" s="11">
        <f>MIN(in_approval_cap,in_loan_home_approval*INDEX('Age profile'!$O$2:$O$61,B58)*(1+in_approval_growth)^(D58-1))</f>
        <v/>
      </c>
      <c r="CA58" s="14">
        <f>F58*BY58*IF(B58&gt;=in_marketplace_from,d_hz_loan_home*G58,0)*BZ58*in_loan_home_ticket*in_loan_home_comm</f>
        <v/>
      </c>
      <c r="CB58" s="40">
        <f>CB57*(1-IF(B57&gt;=in_marketplace_from,d_hz_loan_lap*G57,0)*CC57)</f>
        <v/>
      </c>
      <c r="CC58" s="11">
        <f>MIN(in_approval_cap,in_loan_lap_approval*INDEX('Age profile'!$O$2:$O$61,B58)*(1+in_approval_growth)^(D58-1))</f>
        <v/>
      </c>
      <c r="CD58" s="14">
        <f>F58*CB58*IF(B58&gt;=in_marketplace_from,d_hz_loan_lap*G58,0)*CC58*in_loan_lap_ticket*in_loan_lap_comm</f>
        <v/>
      </c>
      <c r="CE58" s="14">
        <f>AA58+AB58+AC58+AD58+AG58+AJ58+AM58+AP58+AS58+AU58+AX58+BB58+BE58+BG58+BJ58+BL58+BO58+BR58+BT58+BV58+BX58+CA58+CD58</f>
        <v/>
      </c>
    </row>
    <row r="59">
      <c r="A59" s="39" t="n">
        <v>1</v>
      </c>
      <c r="B59" s="39" t="n">
        <v>58</v>
      </c>
      <c r="C59" s="39">
        <f>A59+B59-1</f>
        <v/>
      </c>
      <c r="D59" s="39">
        <f>INT((C59-1)/12)+1</f>
        <v/>
      </c>
      <c r="E59" s="44">
        <f>INDEX(Monthly!$B$2:$B$61,A59)</f>
        <v/>
      </c>
      <c r="F59" s="44">
        <f>E59*INDEX('Age profile'!$B$2:$B$61,B59)</f>
        <v/>
      </c>
      <c r="G59" s="45">
        <f>MIN(in_takeup_cap,INDEX('Age profile'!$N$2:$N$61,B59)*(1+in_takeup_growth)^(D59-1))</f>
        <v/>
      </c>
      <c r="H59" s="11">
        <f>MIN(in_approval_cap,in_approved_first*INDEX('Age profile'!$O$2:$O$61,B59)*(1+in_approval_growth)^(D59-1))</f>
        <v/>
      </c>
      <c r="I59" s="45">
        <f>G59*MIN(in_takeup_cap,INDEX('Age profile'!$O$2:$O$61,B59)*(1+in_approval_growth)^(D59-1))</f>
        <v/>
      </c>
      <c r="J59" s="40">
        <f>(J58-L58)*F59/F58</f>
        <v/>
      </c>
      <c r="K59" s="40">
        <f>(K58-M58)*F59/F58+SUMIFS(O2:O58,B2:B58,B59-1-d_T)*F59</f>
        <v/>
      </c>
      <c r="L59" s="40">
        <f>IF(B59&gt;=in_marketplace_from,J59*d_hz*G59*in_eligible*H59,0)</f>
        <v/>
      </c>
      <c r="M59" s="40">
        <f>IF(B59&gt;=in_marketplace_from,K59*d_hz*G59*in_eligible*in_approved_repeat,0)</f>
        <v/>
      </c>
      <c r="N59" s="40">
        <f>L59+M59</f>
        <v/>
      </c>
      <c r="O59" s="46">
        <f>N59/F59</f>
        <v/>
      </c>
      <c r="P59" s="40">
        <f>F59-J59-K59</f>
        <v/>
      </c>
      <c r="Q59" s="40">
        <f>IF(B59&gt;=in_marketplace_from,(J59+K59)*d_hz*G59,0)</f>
        <v/>
      </c>
      <c r="R59" s="40">
        <f>SUMIFS(N2:N61,B2:B61,"&gt;="&amp;(B59-d_T),B2:B61,"&lt;="&amp;(B59-1))</f>
        <v/>
      </c>
      <c r="S59" s="46">
        <f>(1-d_u)*S58+IF(d_T&gt;in_topup_lag,SUMIFS(O2:O61,B2:B61,B59-in_topup_lag)-d_udrop*SUMIFS(O2:O61,B2:B61,B59-d_T),0)</f>
        <v/>
      </c>
      <c r="T59" s="40">
        <f>F59*d_u*S59</f>
        <v/>
      </c>
      <c r="U59" s="9">
        <f>L59*in_ticket+M59*d_rep_ticket</f>
        <v/>
      </c>
      <c r="V59" s="9">
        <f>U59+T59*d_topup_amt</f>
        <v/>
      </c>
      <c r="W59" s="40">
        <f>N59+T59*d_topup_ratio</f>
        <v/>
      </c>
      <c r="X59" s="40">
        <f>SUMIFS(W2:W61,B2:B61,B59-in_dpd_lag)*d_cured</f>
        <v/>
      </c>
      <c r="Y59" s="40">
        <f>SUMIFS(W2:W61,B2:B61,B59-in_rec_lag)*d_recd</f>
        <v/>
      </c>
      <c r="Z59" s="40">
        <f>IF(AND(B59&gt;=in_marketplace_from,B59&lt;in_marketplace_from+in_card_months),in_card_share/in_card_months*F59*I59,IF(AND(B59&gt;=in_marketplace_from+in_card_months,B59&lt;in_marketplace_from+2*in_card_months),in_card_share*d_card_rem/in_card_months*F59*MIN(in_takeup_cap,(1+in_takeup_growth)^(D59-1))*MIN(in_takeup_cap,(1+in_approval_growth)^(D59-1)),0))</f>
        <v/>
      </c>
      <c r="AA59" s="14">
        <f>V59*in_fee*(1-in_taken_back)</f>
        <v/>
      </c>
      <c r="AB59" s="14">
        <f>SUMIFS(W2:W61,B2:B61,B59-in_dpd_lag)*d_dpd</f>
        <v/>
      </c>
      <c r="AC59" s="14">
        <f>SUMIFS(W2:W61,B2:B61,B59-in_rec_lag)*d_rec</f>
        <v/>
      </c>
      <c r="AD59" s="14">
        <f>Z59*in_card_fee</f>
        <v/>
      </c>
      <c r="AE59" s="40">
        <f>AE58*(1-IF(B58&gt;=in_marketplace_from,d_hz_hlth_small*G58,0))</f>
        <v/>
      </c>
      <c r="AF59" s="46">
        <f>AE59*IF(B59&gt;=in_marketplace_from,d_hz_hlth_small*G59,0)</f>
        <v/>
      </c>
      <c r="AG59" s="14">
        <f>F59*AF59*in_hlth_small_ticket*in_hlth_small_comm*in_ins_partner_share+F59*in_hlth_small_ticket*in_hlth_small_renew_comm*in_ins_partner_share*(in_hlth_small_renew^1*SUMIFS(AF2:AF61,B2:B61,B59-12)+in_hlth_small_renew^2*SUMIFS(AF2:AF61,B2:B61,B59-24)+in_hlth_small_renew^3*SUMIFS(AF2:AF61,B2:B61,B59-36)+in_hlth_small_renew^4*SUMIFS(AF2:AF61,B2:B61,B59-48))</f>
        <v/>
      </c>
      <c r="AH59" s="40">
        <f>AH58*(1-IF(B58&gt;=in_marketplace_from,d_hz_hlth_family*G58,0))</f>
        <v/>
      </c>
      <c r="AI59" s="46">
        <f>AH59*IF(B59&gt;=in_marketplace_from,d_hz_hlth_family*G59,0)</f>
        <v/>
      </c>
      <c r="AJ59" s="14">
        <f>F59*AI59*in_hlth_family_ticket*in_hlth_family_comm*in_ins_partner_share+F59*in_hlth_family_ticket*in_hlth_family_renew_comm*in_ins_partner_share*(in_hlth_family_renew^1*SUMIFS(AI2:AI61,B2:B61,B59-12)+in_hlth_family_renew^2*SUMIFS(AI2:AI61,B2:B61,B59-24)+in_hlth_family_renew^3*SUMIFS(AI2:AI61,B2:B61,B59-36)+in_hlth_family_renew^4*SUMIFS(AI2:AI61,B2:B61,B59-48))</f>
        <v/>
      </c>
      <c r="AK59" s="40">
        <f>AK58*(1-IF(B58&gt;=in_marketplace_from,d_hz_life_term*G58,0))</f>
        <v/>
      </c>
      <c r="AL59" s="46">
        <f>AK59*IF(B59&gt;=in_marketplace_from,d_hz_life_term*G59,0)</f>
        <v/>
      </c>
      <c r="AM59" s="14">
        <f>F59*AL59*in_life_term_ticket*in_life_term_comm*in_ins_partner_share+F59*in_life_term_ticket*in_life_term_renew_comm*in_ins_partner_share*(in_life_term_renew^1*SUMIFS(AL2:AL61,B2:B61,B59-12)+in_life_term_renew^2*SUMIFS(AL2:AL61,B2:B61,B59-24)+in_life_term_renew^3*SUMIFS(AL2:AL61,B2:B61,B59-36)+in_life_term_renew^4*SUMIFS(AL2:AL61,B2:B61,B59-48))</f>
        <v/>
      </c>
      <c r="AN59" s="40">
        <f>AN58*(1-IF(B58&gt;=in_marketplace_from,d_hz_accident*G58,0))</f>
        <v/>
      </c>
      <c r="AO59" s="46">
        <f>AN59*IF(B59&gt;=in_marketplace_from,d_hz_accident*G59,0)</f>
        <v/>
      </c>
      <c r="AP59" s="14">
        <f>F59*AO59*in_accident_ticket*in_accident_comm*in_ins_partner_share+F59*in_accident_ticket*in_accident_renew_comm*in_ins_partner_share*(in_accident_renew^1*SUMIFS(AO2:AO61,B2:B61,B59-12)+in_accident_renew^2*SUMIFS(AO2:AO61,B2:B61,B59-24)+in_accident_renew^3*SUMIFS(AO2:AO61,B2:B61,B59-36)+in_accident_renew^4*SUMIFS(AO2:AO61,B2:B61,B59-48))</f>
        <v/>
      </c>
      <c r="AQ59" s="40">
        <f>AQ58*(1-IF(B58&gt;=in_marketplace_from,d_hz_two_wheeler*G58,0))</f>
        <v/>
      </c>
      <c r="AR59" s="46">
        <f>AQ59*IF(B59&gt;=in_marketplace_from,d_hz_two_wheeler*G59,0)</f>
        <v/>
      </c>
      <c r="AS59" s="14">
        <f>F59*AR59*in_two_wheeler_ticket*in_two_wheeler_comm*in_ins_partner_share+F59*in_two_wheeler_ticket*in_two_wheeler_comm*in_ins_partner_share*(in_two_wheeler_renew^1*SUMIFS(AR2:AR61,B2:B61,B59-12)+in_two_wheeler_renew^2*SUMIFS(AR2:AR61,B2:B61,B59-24)+in_two_wheeler_renew^3*SUMIFS(AR2:AR61,B2:B61,B59-36)+in_two_wheeler_renew^4*SUMIFS(AR2:AR61,B2:B61,B59-48))</f>
        <v/>
      </c>
      <c r="AT59" s="40">
        <f>AT58*(1-IF(B58&gt;=in_marketplace_from,d_hz_device*G58,0))</f>
        <v/>
      </c>
      <c r="AU59" s="14">
        <f>F59*AT59*IF(B59&gt;=in_marketplace_from,d_hz_device*G59,0)*in_device_ticket*in_device_comm*in_ins_partner_share</f>
        <v/>
      </c>
      <c r="AV59" s="40">
        <f>AV58*(1-IF(B58&gt;=in_marketplace_from,d_hz_shop*G58,0))</f>
        <v/>
      </c>
      <c r="AW59" s="46">
        <f>AV59*IF(B59&gt;=in_marketplace_from,d_hz_shop*G59,0)</f>
        <v/>
      </c>
      <c r="AX59" s="14">
        <f>F59*AW59*in_shop_ticket*in_shop_comm*in_ins_partner_share+F59*in_shop_ticket*in_shop_renew_comm*in_ins_partner_share*(in_shop_renew^1*SUMIFS(AW2:AW61,B2:B61,B59-12)+in_shop_renew^2*SUMIFS(AW2:AW61,B2:B61,B59-24)+in_shop_renew^3*SUMIFS(AW2:AW61,B2:B61,B59-36)+in_shop_renew^4*SUMIFS(AW2:AW61,B2:B61,B59-48))</f>
        <v/>
      </c>
      <c r="AY59" s="40">
        <f>AY58*(1-IF(B58&gt;=in_marketplace_from,d_hz_sip*G58,0))</f>
        <v/>
      </c>
      <c r="AZ59" s="40">
        <f>AZ58*d_rho_sip+AY59*IF(B59&gt;=in_marketplace_from,d_hz_sip*G59,0)</f>
        <v/>
      </c>
      <c r="BA59" s="40">
        <f>d_rho_sip*(BA58+AZ58)</f>
        <v/>
      </c>
      <c r="BB59" s="14">
        <f>F59*in_sip_ticket*(BA59+0.5*AZ59)*in_sip_comm/12</f>
        <v/>
      </c>
      <c r="BC59" s="40">
        <f>BC58*(1-IF(B58&gt;=in_marketplace_from,d_hz_choti*G58,0))</f>
        <v/>
      </c>
      <c r="BD59" s="46">
        <f>BC59*IF(B59&gt;=in_marketplace_from,d_hz_choti*G59,0)</f>
        <v/>
      </c>
      <c r="BE59" s="14">
        <f>F59*SUMIFS(BD2:BD61,B2:B61,B59-in_choti_months)*in_choti_renew*in_choti_ticket</f>
        <v/>
      </c>
      <c r="BF59" s="40">
        <f>BF58*(1-IF(B58&gt;=in_marketplace_from,d_hz_nps*G58,0))</f>
        <v/>
      </c>
      <c r="BG59" s="14">
        <f>F59*BF59*IF(B59&gt;=in_marketplace_from,d_hz_nps*G59,0)*in_nps_ticket*in_nps_comm</f>
        <v/>
      </c>
      <c r="BH59" s="40">
        <f>BH58*(1-IF(B58&gt;=in_marketplace_from,d_hz_gold*G58,0))</f>
        <v/>
      </c>
      <c r="BI59" s="40">
        <f>BI58*d_rho_gold+BH59*IF(B59&gt;=in_marketplace_from,d_hz_gold*G59,0)</f>
        <v/>
      </c>
      <c r="BJ59" s="14">
        <f>F59*BI59*in_gold_ticket*in_gold_comm</f>
        <v/>
      </c>
      <c r="BK59" s="40">
        <f>BK58*(1-IF(B58&gt;=in_marketplace_from,d_hz_fd*G58,0))</f>
        <v/>
      </c>
      <c r="BL59" s="14">
        <f>F59*BK59*IF(B59&gt;=in_marketplace_from,d_hz_fd*G59,0)*in_fd_ticket*in_fd_comm</f>
        <v/>
      </c>
      <c r="BM59" s="40">
        <f>BM58*(1-IF(B58&gt;=in_marketplace_from,d_hz_recharge*G58,0))</f>
        <v/>
      </c>
      <c r="BN59" s="40">
        <f>BN58*d_rho_recharge+BM59*IF(B59&gt;=in_marketplace_from,d_hz_recharge*G59,0)</f>
        <v/>
      </c>
      <c r="BO59" s="14">
        <f>F59*BN59*in_recharge_ticket*in_recharge_comm/12</f>
        <v/>
      </c>
      <c r="BP59" s="40">
        <f>BP58*(1-IF(B58&gt;=in_marketplace_from,d_hz_bills*G58,0))</f>
        <v/>
      </c>
      <c r="BQ59" s="40">
        <f>BQ58*d_rho_bills+BP59*IF(B59&gt;=in_marketplace_from,d_hz_bills*G59,0)</f>
        <v/>
      </c>
      <c r="BR59" s="14">
        <f>F59*BQ59*in_bills_ticket*in_bills_comm/12</f>
        <v/>
      </c>
      <c r="BS59" s="40">
        <f>BS58*(1-IF(B58&gt;=in_marketplace_from,d_hz_loan_gold*G58,0))</f>
        <v/>
      </c>
      <c r="BT59" s="14">
        <f>F59*BS59*IF(B59&gt;=in_marketplace_from,d_hz_loan_gold*G59,0)*in_loan_gold_ticket*in_loan_gold_comm</f>
        <v/>
      </c>
      <c r="BU59" s="40">
        <f>BU58*(1-IF(B58&gt;=in_marketplace_from,d_hz_loan_cd*G58,0))</f>
        <v/>
      </c>
      <c r="BV59" s="14">
        <f>F59*BU59*IF(B59&gt;=in_marketplace_from,d_hz_loan_cd*G59,0)*in_loan_cd_ticket*in_loan_cd_comm</f>
        <v/>
      </c>
      <c r="BW59" s="40">
        <f>BW58*(1-IF(B58&gt;=in_marketplace_from,d_hz_loan_vehicle*G58,0))</f>
        <v/>
      </c>
      <c r="BX59" s="14">
        <f>F59*BW59*IF(B59&gt;=in_marketplace_from,d_hz_loan_vehicle*G59,0)*in_loan_vehicle_ticket*in_loan_vehicle_comm</f>
        <v/>
      </c>
      <c r="BY59" s="40">
        <f>BY58*(1-IF(B58&gt;=in_marketplace_from,d_hz_loan_home*G58,0)*BZ58)</f>
        <v/>
      </c>
      <c r="BZ59" s="11">
        <f>MIN(in_approval_cap,in_loan_home_approval*INDEX('Age profile'!$O$2:$O$61,B59)*(1+in_approval_growth)^(D59-1))</f>
        <v/>
      </c>
      <c r="CA59" s="14">
        <f>F59*BY59*IF(B59&gt;=in_marketplace_from,d_hz_loan_home*G59,0)*BZ59*in_loan_home_ticket*in_loan_home_comm</f>
        <v/>
      </c>
      <c r="CB59" s="40">
        <f>CB58*(1-IF(B58&gt;=in_marketplace_from,d_hz_loan_lap*G58,0)*CC58)</f>
        <v/>
      </c>
      <c r="CC59" s="11">
        <f>MIN(in_approval_cap,in_loan_lap_approval*INDEX('Age profile'!$O$2:$O$61,B59)*(1+in_approval_growth)^(D59-1))</f>
        <v/>
      </c>
      <c r="CD59" s="14">
        <f>F59*CB59*IF(B59&gt;=in_marketplace_from,d_hz_loan_lap*G59,0)*CC59*in_loan_lap_ticket*in_loan_lap_comm</f>
        <v/>
      </c>
      <c r="CE59" s="14">
        <f>AA59+AB59+AC59+AD59+AG59+AJ59+AM59+AP59+AS59+AU59+AX59+BB59+BE59+BG59+BJ59+BL59+BO59+BR59+BT59+BV59+BX59+CA59+CD59</f>
        <v/>
      </c>
    </row>
    <row r="60">
      <c r="A60" s="39" t="n">
        <v>1</v>
      </c>
      <c r="B60" s="39" t="n">
        <v>59</v>
      </c>
      <c r="C60" s="39">
        <f>A60+B60-1</f>
        <v/>
      </c>
      <c r="D60" s="39">
        <f>INT((C60-1)/12)+1</f>
        <v/>
      </c>
      <c r="E60" s="44">
        <f>INDEX(Monthly!$B$2:$B$61,A60)</f>
        <v/>
      </c>
      <c r="F60" s="44">
        <f>E60*INDEX('Age profile'!$B$2:$B$61,B60)</f>
        <v/>
      </c>
      <c r="G60" s="45">
        <f>MIN(in_takeup_cap,INDEX('Age profile'!$N$2:$N$61,B60)*(1+in_takeup_growth)^(D60-1))</f>
        <v/>
      </c>
      <c r="H60" s="11">
        <f>MIN(in_approval_cap,in_approved_first*INDEX('Age profile'!$O$2:$O$61,B60)*(1+in_approval_growth)^(D60-1))</f>
        <v/>
      </c>
      <c r="I60" s="45">
        <f>G60*MIN(in_takeup_cap,INDEX('Age profile'!$O$2:$O$61,B60)*(1+in_approval_growth)^(D60-1))</f>
        <v/>
      </c>
      <c r="J60" s="40">
        <f>(J59-L59)*F60/F59</f>
        <v/>
      </c>
      <c r="K60" s="40">
        <f>(K59-M59)*F60/F59+SUMIFS(O2:O59,B2:B59,B60-1-d_T)*F60</f>
        <v/>
      </c>
      <c r="L60" s="40">
        <f>IF(B60&gt;=in_marketplace_from,J60*d_hz*G60*in_eligible*H60,0)</f>
        <v/>
      </c>
      <c r="M60" s="40">
        <f>IF(B60&gt;=in_marketplace_from,K60*d_hz*G60*in_eligible*in_approved_repeat,0)</f>
        <v/>
      </c>
      <c r="N60" s="40">
        <f>L60+M60</f>
        <v/>
      </c>
      <c r="O60" s="46">
        <f>N60/F60</f>
        <v/>
      </c>
      <c r="P60" s="40">
        <f>F60-J60-K60</f>
        <v/>
      </c>
      <c r="Q60" s="40">
        <f>IF(B60&gt;=in_marketplace_from,(J60+K60)*d_hz*G60,0)</f>
        <v/>
      </c>
      <c r="R60" s="40">
        <f>SUMIFS(N2:N61,B2:B61,"&gt;="&amp;(B60-d_T),B2:B61,"&lt;="&amp;(B60-1))</f>
        <v/>
      </c>
      <c r="S60" s="46">
        <f>(1-d_u)*S59+IF(d_T&gt;in_topup_lag,SUMIFS(O2:O61,B2:B61,B60-in_topup_lag)-d_udrop*SUMIFS(O2:O61,B2:B61,B60-d_T),0)</f>
        <v/>
      </c>
      <c r="T60" s="40">
        <f>F60*d_u*S60</f>
        <v/>
      </c>
      <c r="U60" s="9">
        <f>L60*in_ticket+M60*d_rep_ticket</f>
        <v/>
      </c>
      <c r="V60" s="9">
        <f>U60+T60*d_topup_amt</f>
        <v/>
      </c>
      <c r="W60" s="40">
        <f>N60+T60*d_topup_ratio</f>
        <v/>
      </c>
      <c r="X60" s="40">
        <f>SUMIFS(W2:W61,B2:B61,B60-in_dpd_lag)*d_cured</f>
        <v/>
      </c>
      <c r="Y60" s="40">
        <f>SUMIFS(W2:W61,B2:B61,B60-in_rec_lag)*d_recd</f>
        <v/>
      </c>
      <c r="Z60" s="40">
        <f>IF(AND(B60&gt;=in_marketplace_from,B60&lt;in_marketplace_from+in_card_months),in_card_share/in_card_months*F60*I60,IF(AND(B60&gt;=in_marketplace_from+in_card_months,B60&lt;in_marketplace_from+2*in_card_months),in_card_share*d_card_rem/in_card_months*F60*MIN(in_takeup_cap,(1+in_takeup_growth)^(D60-1))*MIN(in_takeup_cap,(1+in_approval_growth)^(D60-1)),0))</f>
        <v/>
      </c>
      <c r="AA60" s="14">
        <f>V60*in_fee*(1-in_taken_back)</f>
        <v/>
      </c>
      <c r="AB60" s="14">
        <f>SUMIFS(W2:W61,B2:B61,B60-in_dpd_lag)*d_dpd</f>
        <v/>
      </c>
      <c r="AC60" s="14">
        <f>SUMIFS(W2:W61,B2:B61,B60-in_rec_lag)*d_rec</f>
        <v/>
      </c>
      <c r="AD60" s="14">
        <f>Z60*in_card_fee</f>
        <v/>
      </c>
      <c r="AE60" s="40">
        <f>AE59*(1-IF(B59&gt;=in_marketplace_from,d_hz_hlth_small*G59,0))</f>
        <v/>
      </c>
      <c r="AF60" s="46">
        <f>AE60*IF(B60&gt;=in_marketplace_from,d_hz_hlth_small*G60,0)</f>
        <v/>
      </c>
      <c r="AG60" s="14">
        <f>F60*AF60*in_hlth_small_ticket*in_hlth_small_comm*in_ins_partner_share+F60*in_hlth_small_ticket*in_hlth_small_renew_comm*in_ins_partner_share*(in_hlth_small_renew^1*SUMIFS(AF2:AF61,B2:B61,B60-12)+in_hlth_small_renew^2*SUMIFS(AF2:AF61,B2:B61,B60-24)+in_hlth_small_renew^3*SUMIFS(AF2:AF61,B2:B61,B60-36)+in_hlth_small_renew^4*SUMIFS(AF2:AF61,B2:B61,B60-48))</f>
        <v/>
      </c>
      <c r="AH60" s="40">
        <f>AH59*(1-IF(B59&gt;=in_marketplace_from,d_hz_hlth_family*G59,0))</f>
        <v/>
      </c>
      <c r="AI60" s="46">
        <f>AH60*IF(B60&gt;=in_marketplace_from,d_hz_hlth_family*G60,0)</f>
        <v/>
      </c>
      <c r="AJ60" s="14">
        <f>F60*AI60*in_hlth_family_ticket*in_hlth_family_comm*in_ins_partner_share+F60*in_hlth_family_ticket*in_hlth_family_renew_comm*in_ins_partner_share*(in_hlth_family_renew^1*SUMIFS(AI2:AI61,B2:B61,B60-12)+in_hlth_family_renew^2*SUMIFS(AI2:AI61,B2:B61,B60-24)+in_hlth_family_renew^3*SUMIFS(AI2:AI61,B2:B61,B60-36)+in_hlth_family_renew^4*SUMIFS(AI2:AI61,B2:B61,B60-48))</f>
        <v/>
      </c>
      <c r="AK60" s="40">
        <f>AK59*(1-IF(B59&gt;=in_marketplace_from,d_hz_life_term*G59,0))</f>
        <v/>
      </c>
      <c r="AL60" s="46">
        <f>AK60*IF(B60&gt;=in_marketplace_from,d_hz_life_term*G60,0)</f>
        <v/>
      </c>
      <c r="AM60" s="14">
        <f>F60*AL60*in_life_term_ticket*in_life_term_comm*in_ins_partner_share+F60*in_life_term_ticket*in_life_term_renew_comm*in_ins_partner_share*(in_life_term_renew^1*SUMIFS(AL2:AL61,B2:B61,B60-12)+in_life_term_renew^2*SUMIFS(AL2:AL61,B2:B61,B60-24)+in_life_term_renew^3*SUMIFS(AL2:AL61,B2:B61,B60-36)+in_life_term_renew^4*SUMIFS(AL2:AL61,B2:B61,B60-48))</f>
        <v/>
      </c>
      <c r="AN60" s="40">
        <f>AN59*(1-IF(B59&gt;=in_marketplace_from,d_hz_accident*G59,0))</f>
        <v/>
      </c>
      <c r="AO60" s="46">
        <f>AN60*IF(B60&gt;=in_marketplace_from,d_hz_accident*G60,0)</f>
        <v/>
      </c>
      <c r="AP60" s="14">
        <f>F60*AO60*in_accident_ticket*in_accident_comm*in_ins_partner_share+F60*in_accident_ticket*in_accident_renew_comm*in_ins_partner_share*(in_accident_renew^1*SUMIFS(AO2:AO61,B2:B61,B60-12)+in_accident_renew^2*SUMIFS(AO2:AO61,B2:B61,B60-24)+in_accident_renew^3*SUMIFS(AO2:AO61,B2:B61,B60-36)+in_accident_renew^4*SUMIFS(AO2:AO61,B2:B61,B60-48))</f>
        <v/>
      </c>
      <c r="AQ60" s="40">
        <f>AQ59*(1-IF(B59&gt;=in_marketplace_from,d_hz_two_wheeler*G59,0))</f>
        <v/>
      </c>
      <c r="AR60" s="46">
        <f>AQ60*IF(B60&gt;=in_marketplace_from,d_hz_two_wheeler*G60,0)</f>
        <v/>
      </c>
      <c r="AS60" s="14">
        <f>F60*AR60*in_two_wheeler_ticket*in_two_wheeler_comm*in_ins_partner_share+F60*in_two_wheeler_ticket*in_two_wheeler_comm*in_ins_partner_share*(in_two_wheeler_renew^1*SUMIFS(AR2:AR61,B2:B61,B60-12)+in_two_wheeler_renew^2*SUMIFS(AR2:AR61,B2:B61,B60-24)+in_two_wheeler_renew^3*SUMIFS(AR2:AR61,B2:B61,B60-36)+in_two_wheeler_renew^4*SUMIFS(AR2:AR61,B2:B61,B60-48))</f>
        <v/>
      </c>
      <c r="AT60" s="40">
        <f>AT59*(1-IF(B59&gt;=in_marketplace_from,d_hz_device*G59,0))</f>
        <v/>
      </c>
      <c r="AU60" s="14">
        <f>F60*AT60*IF(B60&gt;=in_marketplace_from,d_hz_device*G60,0)*in_device_ticket*in_device_comm*in_ins_partner_share</f>
        <v/>
      </c>
      <c r="AV60" s="40">
        <f>AV59*(1-IF(B59&gt;=in_marketplace_from,d_hz_shop*G59,0))</f>
        <v/>
      </c>
      <c r="AW60" s="46">
        <f>AV60*IF(B60&gt;=in_marketplace_from,d_hz_shop*G60,0)</f>
        <v/>
      </c>
      <c r="AX60" s="14">
        <f>F60*AW60*in_shop_ticket*in_shop_comm*in_ins_partner_share+F60*in_shop_ticket*in_shop_renew_comm*in_ins_partner_share*(in_shop_renew^1*SUMIFS(AW2:AW61,B2:B61,B60-12)+in_shop_renew^2*SUMIFS(AW2:AW61,B2:B61,B60-24)+in_shop_renew^3*SUMIFS(AW2:AW61,B2:B61,B60-36)+in_shop_renew^4*SUMIFS(AW2:AW61,B2:B61,B60-48))</f>
        <v/>
      </c>
      <c r="AY60" s="40">
        <f>AY59*(1-IF(B59&gt;=in_marketplace_from,d_hz_sip*G59,0))</f>
        <v/>
      </c>
      <c r="AZ60" s="40">
        <f>AZ59*d_rho_sip+AY60*IF(B60&gt;=in_marketplace_from,d_hz_sip*G60,0)</f>
        <v/>
      </c>
      <c r="BA60" s="40">
        <f>d_rho_sip*(BA59+AZ59)</f>
        <v/>
      </c>
      <c r="BB60" s="14">
        <f>F60*in_sip_ticket*(BA60+0.5*AZ60)*in_sip_comm/12</f>
        <v/>
      </c>
      <c r="BC60" s="40">
        <f>BC59*(1-IF(B59&gt;=in_marketplace_from,d_hz_choti*G59,0))</f>
        <v/>
      </c>
      <c r="BD60" s="46">
        <f>BC60*IF(B60&gt;=in_marketplace_from,d_hz_choti*G60,0)</f>
        <v/>
      </c>
      <c r="BE60" s="14">
        <f>F60*SUMIFS(BD2:BD61,B2:B61,B60-in_choti_months)*in_choti_renew*in_choti_ticket</f>
        <v/>
      </c>
      <c r="BF60" s="40">
        <f>BF59*(1-IF(B59&gt;=in_marketplace_from,d_hz_nps*G59,0))</f>
        <v/>
      </c>
      <c r="BG60" s="14">
        <f>F60*BF60*IF(B60&gt;=in_marketplace_from,d_hz_nps*G60,0)*in_nps_ticket*in_nps_comm</f>
        <v/>
      </c>
      <c r="BH60" s="40">
        <f>BH59*(1-IF(B59&gt;=in_marketplace_from,d_hz_gold*G59,0))</f>
        <v/>
      </c>
      <c r="BI60" s="40">
        <f>BI59*d_rho_gold+BH60*IF(B60&gt;=in_marketplace_from,d_hz_gold*G60,0)</f>
        <v/>
      </c>
      <c r="BJ60" s="14">
        <f>F60*BI60*in_gold_ticket*in_gold_comm</f>
        <v/>
      </c>
      <c r="BK60" s="40">
        <f>BK59*(1-IF(B59&gt;=in_marketplace_from,d_hz_fd*G59,0))</f>
        <v/>
      </c>
      <c r="BL60" s="14">
        <f>F60*BK60*IF(B60&gt;=in_marketplace_from,d_hz_fd*G60,0)*in_fd_ticket*in_fd_comm</f>
        <v/>
      </c>
      <c r="BM60" s="40">
        <f>BM59*(1-IF(B59&gt;=in_marketplace_from,d_hz_recharge*G59,0))</f>
        <v/>
      </c>
      <c r="BN60" s="40">
        <f>BN59*d_rho_recharge+BM60*IF(B60&gt;=in_marketplace_from,d_hz_recharge*G60,0)</f>
        <v/>
      </c>
      <c r="BO60" s="14">
        <f>F60*BN60*in_recharge_ticket*in_recharge_comm/12</f>
        <v/>
      </c>
      <c r="BP60" s="40">
        <f>BP59*(1-IF(B59&gt;=in_marketplace_from,d_hz_bills*G59,0))</f>
        <v/>
      </c>
      <c r="BQ60" s="40">
        <f>BQ59*d_rho_bills+BP60*IF(B60&gt;=in_marketplace_from,d_hz_bills*G60,0)</f>
        <v/>
      </c>
      <c r="BR60" s="14">
        <f>F60*BQ60*in_bills_ticket*in_bills_comm/12</f>
        <v/>
      </c>
      <c r="BS60" s="40">
        <f>BS59*(1-IF(B59&gt;=in_marketplace_from,d_hz_loan_gold*G59,0))</f>
        <v/>
      </c>
      <c r="BT60" s="14">
        <f>F60*BS60*IF(B60&gt;=in_marketplace_from,d_hz_loan_gold*G60,0)*in_loan_gold_ticket*in_loan_gold_comm</f>
        <v/>
      </c>
      <c r="BU60" s="40">
        <f>BU59*(1-IF(B59&gt;=in_marketplace_from,d_hz_loan_cd*G59,0))</f>
        <v/>
      </c>
      <c r="BV60" s="14">
        <f>F60*BU60*IF(B60&gt;=in_marketplace_from,d_hz_loan_cd*G60,0)*in_loan_cd_ticket*in_loan_cd_comm</f>
        <v/>
      </c>
      <c r="BW60" s="40">
        <f>BW59*(1-IF(B59&gt;=in_marketplace_from,d_hz_loan_vehicle*G59,0))</f>
        <v/>
      </c>
      <c r="BX60" s="14">
        <f>F60*BW60*IF(B60&gt;=in_marketplace_from,d_hz_loan_vehicle*G60,0)*in_loan_vehicle_ticket*in_loan_vehicle_comm</f>
        <v/>
      </c>
      <c r="BY60" s="40">
        <f>BY59*(1-IF(B59&gt;=in_marketplace_from,d_hz_loan_home*G59,0)*BZ59)</f>
        <v/>
      </c>
      <c r="BZ60" s="11">
        <f>MIN(in_approval_cap,in_loan_home_approval*INDEX('Age profile'!$O$2:$O$61,B60)*(1+in_approval_growth)^(D60-1))</f>
        <v/>
      </c>
      <c r="CA60" s="14">
        <f>F60*BY60*IF(B60&gt;=in_marketplace_from,d_hz_loan_home*G60,0)*BZ60*in_loan_home_ticket*in_loan_home_comm</f>
        <v/>
      </c>
      <c r="CB60" s="40">
        <f>CB59*(1-IF(B59&gt;=in_marketplace_from,d_hz_loan_lap*G59,0)*CC59)</f>
        <v/>
      </c>
      <c r="CC60" s="11">
        <f>MIN(in_approval_cap,in_loan_lap_approval*INDEX('Age profile'!$O$2:$O$61,B60)*(1+in_approval_growth)^(D60-1))</f>
        <v/>
      </c>
      <c r="CD60" s="14">
        <f>F60*CB60*IF(B60&gt;=in_marketplace_from,d_hz_loan_lap*G60,0)*CC60*in_loan_lap_ticket*in_loan_lap_comm</f>
        <v/>
      </c>
      <c r="CE60" s="14">
        <f>AA60+AB60+AC60+AD60+AG60+AJ60+AM60+AP60+AS60+AU60+AX60+BB60+BE60+BG60+BJ60+BL60+BO60+BR60+BT60+BV60+BX60+CA60+CD60</f>
        <v/>
      </c>
    </row>
    <row r="61">
      <c r="A61" s="39" t="n">
        <v>1</v>
      </c>
      <c r="B61" s="39" t="n">
        <v>60</v>
      </c>
      <c r="C61" s="39">
        <f>A61+B61-1</f>
        <v/>
      </c>
      <c r="D61" s="39">
        <f>INT((C61-1)/12)+1</f>
        <v/>
      </c>
      <c r="E61" s="44">
        <f>INDEX(Monthly!$B$2:$B$61,A61)</f>
        <v/>
      </c>
      <c r="F61" s="44">
        <f>E61*INDEX('Age profile'!$B$2:$B$61,B61)</f>
        <v/>
      </c>
      <c r="G61" s="45">
        <f>MIN(in_takeup_cap,INDEX('Age profile'!$N$2:$N$61,B61)*(1+in_takeup_growth)^(D61-1))</f>
        <v/>
      </c>
      <c r="H61" s="11">
        <f>MIN(in_approval_cap,in_approved_first*INDEX('Age profile'!$O$2:$O$61,B61)*(1+in_approval_growth)^(D61-1))</f>
        <v/>
      </c>
      <c r="I61" s="45">
        <f>G61*MIN(in_takeup_cap,INDEX('Age profile'!$O$2:$O$61,B61)*(1+in_approval_growth)^(D61-1))</f>
        <v/>
      </c>
      <c r="J61" s="40">
        <f>(J60-L60)*F61/F60</f>
        <v/>
      </c>
      <c r="K61" s="40">
        <f>(K60-M60)*F61/F60+SUMIFS(O2:O60,B2:B60,B61-1-d_T)*F61</f>
        <v/>
      </c>
      <c r="L61" s="40">
        <f>IF(B61&gt;=in_marketplace_from,J61*d_hz*G61*in_eligible*H61,0)</f>
        <v/>
      </c>
      <c r="M61" s="40">
        <f>IF(B61&gt;=in_marketplace_from,K61*d_hz*G61*in_eligible*in_approved_repeat,0)</f>
        <v/>
      </c>
      <c r="N61" s="40">
        <f>L61+M61</f>
        <v/>
      </c>
      <c r="O61" s="46">
        <f>N61/F61</f>
        <v/>
      </c>
      <c r="P61" s="40">
        <f>F61-J61-K61</f>
        <v/>
      </c>
      <c r="Q61" s="40">
        <f>IF(B61&gt;=in_marketplace_from,(J61+K61)*d_hz*G61,0)</f>
        <v/>
      </c>
      <c r="R61" s="40">
        <f>SUMIFS(N2:N61,B2:B61,"&gt;="&amp;(B61-d_T),B2:B61,"&lt;="&amp;(B61-1))</f>
        <v/>
      </c>
      <c r="S61" s="46">
        <f>(1-d_u)*S60+IF(d_T&gt;in_topup_lag,SUMIFS(O2:O61,B2:B61,B61-in_topup_lag)-d_udrop*SUMIFS(O2:O61,B2:B61,B61-d_T),0)</f>
        <v/>
      </c>
      <c r="T61" s="40">
        <f>F61*d_u*S61</f>
        <v/>
      </c>
      <c r="U61" s="9">
        <f>L61*in_ticket+M61*d_rep_ticket</f>
        <v/>
      </c>
      <c r="V61" s="9">
        <f>U61+T61*d_topup_amt</f>
        <v/>
      </c>
      <c r="W61" s="40">
        <f>N61+T61*d_topup_ratio</f>
        <v/>
      </c>
      <c r="X61" s="40">
        <f>SUMIFS(W2:W61,B2:B61,B61-in_dpd_lag)*d_cured</f>
        <v/>
      </c>
      <c r="Y61" s="40">
        <f>SUMIFS(W2:W61,B2:B61,B61-in_rec_lag)*d_recd</f>
        <v/>
      </c>
      <c r="Z61" s="40">
        <f>IF(AND(B61&gt;=in_marketplace_from,B61&lt;in_marketplace_from+in_card_months),in_card_share/in_card_months*F61*I61,IF(AND(B61&gt;=in_marketplace_from+in_card_months,B61&lt;in_marketplace_from+2*in_card_months),in_card_share*d_card_rem/in_card_months*F61*MIN(in_takeup_cap,(1+in_takeup_growth)^(D61-1))*MIN(in_takeup_cap,(1+in_approval_growth)^(D61-1)),0))</f>
        <v/>
      </c>
      <c r="AA61" s="14">
        <f>V61*in_fee*(1-in_taken_back)</f>
        <v/>
      </c>
      <c r="AB61" s="14">
        <f>SUMIFS(W2:W61,B2:B61,B61-in_dpd_lag)*d_dpd</f>
        <v/>
      </c>
      <c r="AC61" s="14">
        <f>SUMIFS(W2:W61,B2:B61,B61-in_rec_lag)*d_rec</f>
        <v/>
      </c>
      <c r="AD61" s="14">
        <f>Z61*in_card_fee</f>
        <v/>
      </c>
      <c r="AE61" s="40">
        <f>AE60*(1-IF(B60&gt;=in_marketplace_from,d_hz_hlth_small*G60,0))</f>
        <v/>
      </c>
      <c r="AF61" s="46">
        <f>AE61*IF(B61&gt;=in_marketplace_from,d_hz_hlth_small*G61,0)</f>
        <v/>
      </c>
      <c r="AG61" s="14">
        <f>F61*AF61*in_hlth_small_ticket*in_hlth_small_comm*in_ins_partner_share+F61*in_hlth_small_ticket*in_hlth_small_renew_comm*in_ins_partner_share*(in_hlth_small_renew^1*SUMIFS(AF2:AF61,B2:B61,B61-12)+in_hlth_small_renew^2*SUMIFS(AF2:AF61,B2:B61,B61-24)+in_hlth_small_renew^3*SUMIFS(AF2:AF61,B2:B61,B61-36)+in_hlth_small_renew^4*SUMIFS(AF2:AF61,B2:B61,B61-48))</f>
        <v/>
      </c>
      <c r="AH61" s="40">
        <f>AH60*(1-IF(B60&gt;=in_marketplace_from,d_hz_hlth_family*G60,0))</f>
        <v/>
      </c>
      <c r="AI61" s="46">
        <f>AH61*IF(B61&gt;=in_marketplace_from,d_hz_hlth_family*G61,0)</f>
        <v/>
      </c>
      <c r="AJ61" s="14">
        <f>F61*AI61*in_hlth_family_ticket*in_hlth_family_comm*in_ins_partner_share+F61*in_hlth_family_ticket*in_hlth_family_renew_comm*in_ins_partner_share*(in_hlth_family_renew^1*SUMIFS(AI2:AI61,B2:B61,B61-12)+in_hlth_family_renew^2*SUMIFS(AI2:AI61,B2:B61,B61-24)+in_hlth_family_renew^3*SUMIFS(AI2:AI61,B2:B61,B61-36)+in_hlth_family_renew^4*SUMIFS(AI2:AI61,B2:B61,B61-48))</f>
        <v/>
      </c>
      <c r="AK61" s="40">
        <f>AK60*(1-IF(B60&gt;=in_marketplace_from,d_hz_life_term*G60,0))</f>
        <v/>
      </c>
      <c r="AL61" s="46">
        <f>AK61*IF(B61&gt;=in_marketplace_from,d_hz_life_term*G61,0)</f>
        <v/>
      </c>
      <c r="AM61" s="14">
        <f>F61*AL61*in_life_term_ticket*in_life_term_comm*in_ins_partner_share+F61*in_life_term_ticket*in_life_term_renew_comm*in_ins_partner_share*(in_life_term_renew^1*SUMIFS(AL2:AL61,B2:B61,B61-12)+in_life_term_renew^2*SUMIFS(AL2:AL61,B2:B61,B61-24)+in_life_term_renew^3*SUMIFS(AL2:AL61,B2:B61,B61-36)+in_life_term_renew^4*SUMIFS(AL2:AL61,B2:B61,B61-48))</f>
        <v/>
      </c>
      <c r="AN61" s="40">
        <f>AN60*(1-IF(B60&gt;=in_marketplace_from,d_hz_accident*G60,0))</f>
        <v/>
      </c>
      <c r="AO61" s="46">
        <f>AN61*IF(B61&gt;=in_marketplace_from,d_hz_accident*G61,0)</f>
        <v/>
      </c>
      <c r="AP61" s="14">
        <f>F61*AO61*in_accident_ticket*in_accident_comm*in_ins_partner_share+F61*in_accident_ticket*in_accident_renew_comm*in_ins_partner_share*(in_accident_renew^1*SUMIFS(AO2:AO61,B2:B61,B61-12)+in_accident_renew^2*SUMIFS(AO2:AO61,B2:B61,B61-24)+in_accident_renew^3*SUMIFS(AO2:AO61,B2:B61,B61-36)+in_accident_renew^4*SUMIFS(AO2:AO61,B2:B61,B61-48))</f>
        <v/>
      </c>
      <c r="AQ61" s="40">
        <f>AQ60*(1-IF(B60&gt;=in_marketplace_from,d_hz_two_wheeler*G60,0))</f>
        <v/>
      </c>
      <c r="AR61" s="46">
        <f>AQ61*IF(B61&gt;=in_marketplace_from,d_hz_two_wheeler*G61,0)</f>
        <v/>
      </c>
      <c r="AS61" s="14">
        <f>F61*AR61*in_two_wheeler_ticket*in_two_wheeler_comm*in_ins_partner_share+F61*in_two_wheeler_ticket*in_two_wheeler_comm*in_ins_partner_share*(in_two_wheeler_renew^1*SUMIFS(AR2:AR61,B2:B61,B61-12)+in_two_wheeler_renew^2*SUMIFS(AR2:AR61,B2:B61,B61-24)+in_two_wheeler_renew^3*SUMIFS(AR2:AR61,B2:B61,B61-36)+in_two_wheeler_renew^4*SUMIFS(AR2:AR61,B2:B61,B61-48))</f>
        <v/>
      </c>
      <c r="AT61" s="40">
        <f>AT60*(1-IF(B60&gt;=in_marketplace_from,d_hz_device*G60,0))</f>
        <v/>
      </c>
      <c r="AU61" s="14">
        <f>F61*AT61*IF(B61&gt;=in_marketplace_from,d_hz_device*G61,0)*in_device_ticket*in_device_comm*in_ins_partner_share</f>
        <v/>
      </c>
      <c r="AV61" s="40">
        <f>AV60*(1-IF(B60&gt;=in_marketplace_from,d_hz_shop*G60,0))</f>
        <v/>
      </c>
      <c r="AW61" s="46">
        <f>AV61*IF(B61&gt;=in_marketplace_from,d_hz_shop*G61,0)</f>
        <v/>
      </c>
      <c r="AX61" s="14">
        <f>F61*AW61*in_shop_ticket*in_shop_comm*in_ins_partner_share+F61*in_shop_ticket*in_shop_renew_comm*in_ins_partner_share*(in_shop_renew^1*SUMIFS(AW2:AW61,B2:B61,B61-12)+in_shop_renew^2*SUMIFS(AW2:AW61,B2:B61,B61-24)+in_shop_renew^3*SUMIFS(AW2:AW61,B2:B61,B61-36)+in_shop_renew^4*SUMIFS(AW2:AW61,B2:B61,B61-48))</f>
        <v/>
      </c>
      <c r="AY61" s="40">
        <f>AY60*(1-IF(B60&gt;=in_marketplace_from,d_hz_sip*G60,0))</f>
        <v/>
      </c>
      <c r="AZ61" s="40">
        <f>AZ60*d_rho_sip+AY61*IF(B61&gt;=in_marketplace_from,d_hz_sip*G61,0)</f>
        <v/>
      </c>
      <c r="BA61" s="40">
        <f>d_rho_sip*(BA60+AZ60)</f>
        <v/>
      </c>
      <c r="BB61" s="14">
        <f>F61*in_sip_ticket*(BA61+0.5*AZ61)*in_sip_comm/12</f>
        <v/>
      </c>
      <c r="BC61" s="40">
        <f>BC60*(1-IF(B60&gt;=in_marketplace_from,d_hz_choti*G60,0))</f>
        <v/>
      </c>
      <c r="BD61" s="46">
        <f>BC61*IF(B61&gt;=in_marketplace_from,d_hz_choti*G61,0)</f>
        <v/>
      </c>
      <c r="BE61" s="14">
        <f>F61*SUMIFS(BD2:BD61,B2:B61,B61-in_choti_months)*in_choti_renew*in_choti_ticket</f>
        <v/>
      </c>
      <c r="BF61" s="40">
        <f>BF60*(1-IF(B60&gt;=in_marketplace_from,d_hz_nps*G60,0))</f>
        <v/>
      </c>
      <c r="BG61" s="14">
        <f>F61*BF61*IF(B61&gt;=in_marketplace_from,d_hz_nps*G61,0)*in_nps_ticket*in_nps_comm</f>
        <v/>
      </c>
      <c r="BH61" s="40">
        <f>BH60*(1-IF(B60&gt;=in_marketplace_from,d_hz_gold*G60,0))</f>
        <v/>
      </c>
      <c r="BI61" s="40">
        <f>BI60*d_rho_gold+BH61*IF(B61&gt;=in_marketplace_from,d_hz_gold*G61,0)</f>
        <v/>
      </c>
      <c r="BJ61" s="14">
        <f>F61*BI61*in_gold_ticket*in_gold_comm</f>
        <v/>
      </c>
      <c r="BK61" s="40">
        <f>BK60*(1-IF(B60&gt;=in_marketplace_from,d_hz_fd*G60,0))</f>
        <v/>
      </c>
      <c r="BL61" s="14">
        <f>F61*BK61*IF(B61&gt;=in_marketplace_from,d_hz_fd*G61,0)*in_fd_ticket*in_fd_comm</f>
        <v/>
      </c>
      <c r="BM61" s="40">
        <f>BM60*(1-IF(B60&gt;=in_marketplace_from,d_hz_recharge*G60,0))</f>
        <v/>
      </c>
      <c r="BN61" s="40">
        <f>BN60*d_rho_recharge+BM61*IF(B61&gt;=in_marketplace_from,d_hz_recharge*G61,0)</f>
        <v/>
      </c>
      <c r="BO61" s="14">
        <f>F61*BN61*in_recharge_ticket*in_recharge_comm/12</f>
        <v/>
      </c>
      <c r="BP61" s="40">
        <f>BP60*(1-IF(B60&gt;=in_marketplace_from,d_hz_bills*G60,0))</f>
        <v/>
      </c>
      <c r="BQ61" s="40">
        <f>BQ60*d_rho_bills+BP61*IF(B61&gt;=in_marketplace_from,d_hz_bills*G61,0)</f>
        <v/>
      </c>
      <c r="BR61" s="14">
        <f>F61*BQ61*in_bills_ticket*in_bills_comm/12</f>
        <v/>
      </c>
      <c r="BS61" s="40">
        <f>BS60*(1-IF(B60&gt;=in_marketplace_from,d_hz_loan_gold*G60,0))</f>
        <v/>
      </c>
      <c r="BT61" s="14">
        <f>F61*BS61*IF(B61&gt;=in_marketplace_from,d_hz_loan_gold*G61,0)*in_loan_gold_ticket*in_loan_gold_comm</f>
        <v/>
      </c>
      <c r="BU61" s="40">
        <f>BU60*(1-IF(B60&gt;=in_marketplace_from,d_hz_loan_cd*G60,0))</f>
        <v/>
      </c>
      <c r="BV61" s="14">
        <f>F61*BU61*IF(B61&gt;=in_marketplace_from,d_hz_loan_cd*G61,0)*in_loan_cd_ticket*in_loan_cd_comm</f>
        <v/>
      </c>
      <c r="BW61" s="40">
        <f>BW60*(1-IF(B60&gt;=in_marketplace_from,d_hz_loan_vehicle*G60,0))</f>
        <v/>
      </c>
      <c r="BX61" s="14">
        <f>F61*BW61*IF(B61&gt;=in_marketplace_from,d_hz_loan_vehicle*G61,0)*in_loan_vehicle_ticket*in_loan_vehicle_comm</f>
        <v/>
      </c>
      <c r="BY61" s="40">
        <f>BY60*(1-IF(B60&gt;=in_marketplace_from,d_hz_loan_home*G60,0)*BZ60)</f>
        <v/>
      </c>
      <c r="BZ61" s="11">
        <f>MIN(in_approval_cap,in_loan_home_approval*INDEX('Age profile'!$O$2:$O$61,B61)*(1+in_approval_growth)^(D61-1))</f>
        <v/>
      </c>
      <c r="CA61" s="14">
        <f>F61*BY61*IF(B61&gt;=in_marketplace_from,d_hz_loan_home*G61,0)*BZ61*in_loan_home_ticket*in_loan_home_comm</f>
        <v/>
      </c>
      <c r="CB61" s="40">
        <f>CB60*(1-IF(B60&gt;=in_marketplace_from,d_hz_loan_lap*G60,0)*CC60)</f>
        <v/>
      </c>
      <c r="CC61" s="11">
        <f>MIN(in_approval_cap,in_loan_lap_approval*INDEX('Age profile'!$O$2:$O$61,B61)*(1+in_approval_growth)^(D61-1))</f>
        <v/>
      </c>
      <c r="CD61" s="14">
        <f>F61*CB61*IF(B61&gt;=in_marketplace_from,d_hz_loan_lap*G61,0)*CC61*in_loan_lap_ticket*in_loan_lap_comm</f>
        <v/>
      </c>
      <c r="CE61" s="14">
        <f>AA61+AB61+AC61+AD61+AG61+AJ61+AM61+AP61+AS61+AU61+AX61+BB61+BE61+BG61+BJ61+BL61+BO61+BR61+BT61+BV61+BX61+CA61+CD61</f>
        <v/>
      </c>
    </row>
    <row r="62">
      <c r="A62" s="39" t="n">
        <v>2</v>
      </c>
      <c r="B62" s="39" t="n">
        <v>1</v>
      </c>
      <c r="C62" s="39">
        <f>A62+B62-1</f>
        <v/>
      </c>
      <c r="D62" s="39">
        <f>INT((C62-1)/12)+1</f>
        <v/>
      </c>
      <c r="E62" s="44">
        <f>INDEX(Monthly!$B$2:$B$61,A62)</f>
        <v/>
      </c>
      <c r="F62" s="44">
        <f>E62*INDEX('Age profile'!$B$2:$B$61,B62)</f>
        <v/>
      </c>
      <c r="G62" s="45">
        <f>MIN(in_takeup_cap,INDEX('Age profile'!$N$2:$N$61,B62)*(1+in_takeup_growth)^(D62-1))</f>
        <v/>
      </c>
      <c r="H62" s="11">
        <f>MIN(in_approval_cap,in_approved_first*INDEX('Age profile'!$O$2:$O$61,B62)*(1+in_approval_growth)^(D62-1))</f>
        <v/>
      </c>
      <c r="I62" s="45">
        <f>G62*MIN(in_takeup_cap,INDEX('Age profile'!$O$2:$O$61,B62)*(1+in_approval_growth)^(D62-1))</f>
        <v/>
      </c>
      <c r="J62" s="40">
        <f>E62</f>
        <v/>
      </c>
      <c r="K62" s="40" t="n">
        <v>0</v>
      </c>
      <c r="L62" s="40">
        <f>IF(B62&gt;=in_marketplace_from,J62*d_hz*G62*in_eligible*H62,0)</f>
        <v/>
      </c>
      <c r="M62" s="40">
        <f>IF(B62&gt;=in_marketplace_from,K62*d_hz*G62*in_eligible*in_approved_repeat,0)</f>
        <v/>
      </c>
      <c r="N62" s="40">
        <f>L62+M62</f>
        <v/>
      </c>
      <c r="O62" s="46">
        <f>N62/F62</f>
        <v/>
      </c>
      <c r="P62" s="40">
        <f>F62-J62-K62</f>
        <v/>
      </c>
      <c r="Q62" s="40">
        <f>IF(B62&gt;=in_marketplace_from,(J62+K62)*d_hz*G62,0)</f>
        <v/>
      </c>
      <c r="R62" s="40">
        <f>SUMIFS(N62:N120,B62:B120,"&gt;="&amp;(B62-d_T),B62:B120,"&lt;="&amp;(B62-1))</f>
        <v/>
      </c>
      <c r="S62" s="46" t="n">
        <v>0</v>
      </c>
      <c r="T62" s="40">
        <f>F62*d_u*S62</f>
        <v/>
      </c>
      <c r="U62" s="9">
        <f>L62*in_ticket+M62*d_rep_ticket</f>
        <v/>
      </c>
      <c r="V62" s="9">
        <f>U62+T62*d_topup_amt</f>
        <v/>
      </c>
      <c r="W62" s="40">
        <f>N62+T62*d_topup_ratio</f>
        <v/>
      </c>
      <c r="X62" s="40">
        <f>SUMIFS(W62:W120,B62:B120,B62-in_dpd_lag)*d_cured</f>
        <v/>
      </c>
      <c r="Y62" s="40">
        <f>SUMIFS(W62:W120,B62:B120,B62-in_rec_lag)*d_recd</f>
        <v/>
      </c>
      <c r="Z62" s="40">
        <f>IF(AND(B62&gt;=in_marketplace_from,B62&lt;in_marketplace_from+in_card_months),in_card_share/in_card_months*F62*I62,IF(AND(B62&gt;=in_marketplace_from+in_card_months,B62&lt;in_marketplace_from+2*in_card_months),in_card_share*d_card_rem/in_card_months*F62*MIN(in_takeup_cap,(1+in_takeup_growth)^(D62-1))*MIN(in_takeup_cap,(1+in_approval_growth)^(D62-1)),0))</f>
        <v/>
      </c>
      <c r="AA62" s="14">
        <f>V62*in_fee*(1-in_taken_back)</f>
        <v/>
      </c>
      <c r="AB62" s="14">
        <f>SUMIFS(W62:W120,B62:B120,B62-in_dpd_lag)*d_dpd</f>
        <v/>
      </c>
      <c r="AC62" s="14">
        <f>SUMIFS(W62:W120,B62:B120,B62-in_rec_lag)*d_rec</f>
        <v/>
      </c>
      <c r="AD62" s="14">
        <f>Z62*in_card_fee</f>
        <v/>
      </c>
      <c r="AE62" s="40" t="n">
        <v>1</v>
      </c>
      <c r="AF62" s="46">
        <f>AE62*IF(B62&gt;=in_marketplace_from,d_hz_hlth_small*G62,0)</f>
        <v/>
      </c>
      <c r="AG62" s="14">
        <f>F62*AF62*in_hlth_small_ticket*in_hlth_small_comm*in_ins_partner_share+F62*in_hlth_small_ticket*in_hlth_small_renew_comm*in_ins_partner_share*(in_hlth_small_renew^1*SUMIFS(AF62:AF120,B62:B120,B62-12)+in_hlth_small_renew^2*SUMIFS(AF62:AF120,B62:B120,B62-24)+in_hlth_small_renew^3*SUMIFS(AF62:AF120,B62:B120,B62-36)+in_hlth_small_renew^4*SUMIFS(AF62:AF120,B62:B120,B62-48))</f>
        <v/>
      </c>
      <c r="AH62" s="40" t="n">
        <v>1</v>
      </c>
      <c r="AI62" s="46">
        <f>AH62*IF(B62&gt;=in_marketplace_from,d_hz_hlth_family*G62,0)</f>
        <v/>
      </c>
      <c r="AJ62" s="14">
        <f>F62*AI62*in_hlth_family_ticket*in_hlth_family_comm*in_ins_partner_share+F62*in_hlth_family_ticket*in_hlth_family_renew_comm*in_ins_partner_share*(in_hlth_family_renew^1*SUMIFS(AI62:AI120,B62:B120,B62-12)+in_hlth_family_renew^2*SUMIFS(AI62:AI120,B62:B120,B62-24)+in_hlth_family_renew^3*SUMIFS(AI62:AI120,B62:B120,B62-36)+in_hlth_family_renew^4*SUMIFS(AI62:AI120,B62:B120,B62-48))</f>
        <v/>
      </c>
      <c r="AK62" s="40" t="n">
        <v>1</v>
      </c>
      <c r="AL62" s="46">
        <f>AK62*IF(B62&gt;=in_marketplace_from,d_hz_life_term*G62,0)</f>
        <v/>
      </c>
      <c r="AM62" s="14">
        <f>F62*AL62*in_life_term_ticket*in_life_term_comm*in_ins_partner_share+F62*in_life_term_ticket*in_life_term_renew_comm*in_ins_partner_share*(in_life_term_renew^1*SUMIFS(AL62:AL120,B62:B120,B62-12)+in_life_term_renew^2*SUMIFS(AL62:AL120,B62:B120,B62-24)+in_life_term_renew^3*SUMIFS(AL62:AL120,B62:B120,B62-36)+in_life_term_renew^4*SUMIFS(AL62:AL120,B62:B120,B62-48))</f>
        <v/>
      </c>
      <c r="AN62" s="40" t="n">
        <v>1</v>
      </c>
      <c r="AO62" s="46">
        <f>AN62*IF(B62&gt;=in_marketplace_from,d_hz_accident*G62,0)</f>
        <v/>
      </c>
      <c r="AP62" s="14">
        <f>F62*AO62*in_accident_ticket*in_accident_comm*in_ins_partner_share+F62*in_accident_ticket*in_accident_renew_comm*in_ins_partner_share*(in_accident_renew^1*SUMIFS(AO62:AO120,B62:B120,B62-12)+in_accident_renew^2*SUMIFS(AO62:AO120,B62:B120,B62-24)+in_accident_renew^3*SUMIFS(AO62:AO120,B62:B120,B62-36)+in_accident_renew^4*SUMIFS(AO62:AO120,B62:B120,B62-48))</f>
        <v/>
      </c>
      <c r="AQ62" s="40" t="n">
        <v>1</v>
      </c>
      <c r="AR62" s="46">
        <f>AQ62*IF(B62&gt;=in_marketplace_from,d_hz_two_wheeler*G62,0)</f>
        <v/>
      </c>
      <c r="AS62" s="14">
        <f>F62*AR62*in_two_wheeler_ticket*in_two_wheeler_comm*in_ins_partner_share+F62*in_two_wheeler_ticket*in_two_wheeler_comm*in_ins_partner_share*(in_two_wheeler_renew^1*SUMIFS(AR62:AR120,B62:B120,B62-12)+in_two_wheeler_renew^2*SUMIFS(AR62:AR120,B62:B120,B62-24)+in_two_wheeler_renew^3*SUMIFS(AR62:AR120,B62:B120,B62-36)+in_two_wheeler_renew^4*SUMIFS(AR62:AR120,B62:B120,B62-48))</f>
        <v/>
      </c>
      <c r="AT62" s="40" t="n">
        <v>1</v>
      </c>
      <c r="AU62" s="14">
        <f>F62*AT62*IF(B62&gt;=in_marketplace_from,d_hz_device*G62,0)*in_device_ticket*in_device_comm*in_ins_partner_share</f>
        <v/>
      </c>
      <c r="AV62" s="40" t="n">
        <v>1</v>
      </c>
      <c r="AW62" s="46">
        <f>AV62*IF(B62&gt;=in_marketplace_from,d_hz_shop*G62,0)</f>
        <v/>
      </c>
      <c r="AX62" s="14">
        <f>F62*AW62*in_shop_ticket*in_shop_comm*in_ins_partner_share+F62*in_shop_ticket*in_shop_renew_comm*in_ins_partner_share*(in_shop_renew^1*SUMIFS(AW62:AW120,B62:B120,B62-12)+in_shop_renew^2*SUMIFS(AW62:AW120,B62:B120,B62-24)+in_shop_renew^3*SUMIFS(AW62:AW120,B62:B120,B62-36)+in_shop_renew^4*SUMIFS(AW62:AW120,B62:B120,B62-48))</f>
        <v/>
      </c>
      <c r="AY62" s="40" t="n">
        <v>1</v>
      </c>
      <c r="AZ62" s="40">
        <f>AY62*IF(B62&gt;=in_marketplace_from,d_hz_sip*G62,0)</f>
        <v/>
      </c>
      <c r="BA62" s="40" t="n">
        <v>0</v>
      </c>
      <c r="BB62" s="14">
        <f>F62*in_sip_ticket*(BA62+0.5*AZ62)*in_sip_comm/12</f>
        <v/>
      </c>
      <c r="BC62" s="40" t="n">
        <v>1</v>
      </c>
      <c r="BD62" s="46">
        <f>BC62*IF(B62&gt;=in_marketplace_from,d_hz_choti*G62,0)</f>
        <v/>
      </c>
      <c r="BE62" s="14">
        <f>F62*SUMIFS(BD62:BD120,B62:B120,B62-in_choti_months)*in_choti_renew*in_choti_ticket</f>
        <v/>
      </c>
      <c r="BF62" s="40" t="n">
        <v>1</v>
      </c>
      <c r="BG62" s="14">
        <f>F62*BF62*IF(B62&gt;=in_marketplace_from,d_hz_nps*G62,0)*in_nps_ticket*in_nps_comm</f>
        <v/>
      </c>
      <c r="BH62" s="40" t="n">
        <v>1</v>
      </c>
      <c r="BI62" s="40">
        <f>BH62*IF(B62&gt;=in_marketplace_from,d_hz_gold*G62,0)</f>
        <v/>
      </c>
      <c r="BJ62" s="14">
        <f>F62*BI62*in_gold_ticket*in_gold_comm</f>
        <v/>
      </c>
      <c r="BK62" s="40" t="n">
        <v>1</v>
      </c>
      <c r="BL62" s="14">
        <f>F62*BK62*IF(B62&gt;=in_marketplace_from,d_hz_fd*G62,0)*in_fd_ticket*in_fd_comm</f>
        <v/>
      </c>
      <c r="BM62" s="40" t="n">
        <v>1</v>
      </c>
      <c r="BN62" s="40">
        <f>BM62*IF(B62&gt;=in_marketplace_from,d_hz_recharge*G62,0)</f>
        <v/>
      </c>
      <c r="BO62" s="14">
        <f>F62*BN62*in_recharge_ticket*in_recharge_comm/12</f>
        <v/>
      </c>
      <c r="BP62" s="40" t="n">
        <v>1</v>
      </c>
      <c r="BQ62" s="40">
        <f>BP62*IF(B62&gt;=in_marketplace_from,d_hz_bills*G62,0)</f>
        <v/>
      </c>
      <c r="BR62" s="14">
        <f>F62*BQ62*in_bills_ticket*in_bills_comm/12</f>
        <v/>
      </c>
      <c r="BS62" s="40" t="n">
        <v>1</v>
      </c>
      <c r="BT62" s="14">
        <f>F62*BS62*IF(B62&gt;=in_marketplace_from,d_hz_loan_gold*G62,0)*in_loan_gold_ticket*in_loan_gold_comm</f>
        <v/>
      </c>
      <c r="BU62" s="40" t="n">
        <v>1</v>
      </c>
      <c r="BV62" s="14">
        <f>F62*BU62*IF(B62&gt;=in_marketplace_from,d_hz_loan_cd*G62,0)*in_loan_cd_ticket*in_loan_cd_comm</f>
        <v/>
      </c>
      <c r="BW62" s="40" t="n">
        <v>1</v>
      </c>
      <c r="BX62" s="14">
        <f>F62*BW62*IF(B62&gt;=in_marketplace_from,d_hz_loan_vehicle*G62,0)*in_loan_vehicle_ticket*in_loan_vehicle_comm</f>
        <v/>
      </c>
      <c r="BY62" s="40" t="n">
        <v>1</v>
      </c>
      <c r="BZ62" s="11">
        <f>MIN(in_approval_cap,in_loan_home_approval*INDEX('Age profile'!$O$2:$O$61,B62)*(1+in_approval_growth)^(D62-1))</f>
        <v/>
      </c>
      <c r="CA62" s="14">
        <f>F62*BY62*IF(B62&gt;=in_marketplace_from,d_hz_loan_home*G62,0)*BZ62*in_loan_home_ticket*in_loan_home_comm</f>
        <v/>
      </c>
      <c r="CB62" s="40" t="n">
        <v>1</v>
      </c>
      <c r="CC62" s="11">
        <f>MIN(in_approval_cap,in_loan_lap_approval*INDEX('Age profile'!$O$2:$O$61,B62)*(1+in_approval_growth)^(D62-1))</f>
        <v/>
      </c>
      <c r="CD62" s="14">
        <f>F62*CB62*IF(B62&gt;=in_marketplace_from,d_hz_loan_lap*G62,0)*CC62*in_loan_lap_ticket*in_loan_lap_comm</f>
        <v/>
      </c>
      <c r="CE62" s="14">
        <f>AA62+AB62+AC62+AD62+AG62+AJ62+AM62+AP62+AS62+AU62+AX62+BB62+BE62+BG62+BJ62+BL62+BO62+BR62+BT62+BV62+BX62+CA62+CD62</f>
        <v/>
      </c>
    </row>
    <row r="63">
      <c r="A63" s="39" t="n">
        <v>2</v>
      </c>
      <c r="B63" s="39" t="n">
        <v>2</v>
      </c>
      <c r="C63" s="39">
        <f>A63+B63-1</f>
        <v/>
      </c>
      <c r="D63" s="39">
        <f>INT((C63-1)/12)+1</f>
        <v/>
      </c>
      <c r="E63" s="44">
        <f>INDEX(Monthly!$B$2:$B$61,A63)</f>
        <v/>
      </c>
      <c r="F63" s="44">
        <f>E63*INDEX('Age profile'!$B$2:$B$61,B63)</f>
        <v/>
      </c>
      <c r="G63" s="45">
        <f>MIN(in_takeup_cap,INDEX('Age profile'!$N$2:$N$61,B63)*(1+in_takeup_growth)^(D63-1))</f>
        <v/>
      </c>
      <c r="H63" s="11">
        <f>MIN(in_approval_cap,in_approved_first*INDEX('Age profile'!$O$2:$O$61,B63)*(1+in_approval_growth)^(D63-1))</f>
        <v/>
      </c>
      <c r="I63" s="45">
        <f>G63*MIN(in_takeup_cap,INDEX('Age profile'!$O$2:$O$61,B63)*(1+in_approval_growth)^(D63-1))</f>
        <v/>
      </c>
      <c r="J63" s="40">
        <f>(J62-L62)*F63/F62</f>
        <v/>
      </c>
      <c r="K63" s="40">
        <f>(K62-M62)*F63/F62+SUMIFS(O62:O62,B62:B62,B63-1-d_T)*F63</f>
        <v/>
      </c>
      <c r="L63" s="40">
        <f>IF(B63&gt;=in_marketplace_from,J63*d_hz*G63*in_eligible*H63,0)</f>
        <v/>
      </c>
      <c r="M63" s="40">
        <f>IF(B63&gt;=in_marketplace_from,K63*d_hz*G63*in_eligible*in_approved_repeat,0)</f>
        <v/>
      </c>
      <c r="N63" s="40">
        <f>L63+M63</f>
        <v/>
      </c>
      <c r="O63" s="46">
        <f>N63/F63</f>
        <v/>
      </c>
      <c r="P63" s="40">
        <f>F63-J63-K63</f>
        <v/>
      </c>
      <c r="Q63" s="40">
        <f>IF(B63&gt;=in_marketplace_from,(J63+K63)*d_hz*G63,0)</f>
        <v/>
      </c>
      <c r="R63" s="40">
        <f>SUMIFS(N62:N120,B62:B120,"&gt;="&amp;(B63-d_T),B62:B120,"&lt;="&amp;(B63-1))</f>
        <v/>
      </c>
      <c r="S63" s="46">
        <f>(1-d_u)*S62+IF(d_T&gt;in_topup_lag,SUMIFS(O62:O120,B62:B120,B63-in_topup_lag)-d_udrop*SUMIFS(O62:O120,B62:B120,B63-d_T),0)</f>
        <v/>
      </c>
      <c r="T63" s="40">
        <f>F63*d_u*S63</f>
        <v/>
      </c>
      <c r="U63" s="9">
        <f>L63*in_ticket+M63*d_rep_ticket</f>
        <v/>
      </c>
      <c r="V63" s="9">
        <f>U63+T63*d_topup_amt</f>
        <v/>
      </c>
      <c r="W63" s="40">
        <f>N63+T63*d_topup_ratio</f>
        <v/>
      </c>
      <c r="X63" s="40">
        <f>SUMIFS(W62:W120,B62:B120,B63-in_dpd_lag)*d_cured</f>
        <v/>
      </c>
      <c r="Y63" s="40">
        <f>SUMIFS(W62:W120,B62:B120,B63-in_rec_lag)*d_recd</f>
        <v/>
      </c>
      <c r="Z63" s="40">
        <f>IF(AND(B63&gt;=in_marketplace_from,B63&lt;in_marketplace_from+in_card_months),in_card_share/in_card_months*F63*I63,IF(AND(B63&gt;=in_marketplace_from+in_card_months,B63&lt;in_marketplace_from+2*in_card_months),in_card_share*d_card_rem/in_card_months*F63*MIN(in_takeup_cap,(1+in_takeup_growth)^(D63-1))*MIN(in_takeup_cap,(1+in_approval_growth)^(D63-1)),0))</f>
        <v/>
      </c>
      <c r="AA63" s="14">
        <f>V63*in_fee*(1-in_taken_back)</f>
        <v/>
      </c>
      <c r="AB63" s="14">
        <f>SUMIFS(W62:W120,B62:B120,B63-in_dpd_lag)*d_dpd</f>
        <v/>
      </c>
      <c r="AC63" s="14">
        <f>SUMIFS(W62:W120,B62:B120,B63-in_rec_lag)*d_rec</f>
        <v/>
      </c>
      <c r="AD63" s="14">
        <f>Z63*in_card_fee</f>
        <v/>
      </c>
      <c r="AE63" s="40">
        <f>AE62*(1-IF(B62&gt;=in_marketplace_from,d_hz_hlth_small*G62,0))</f>
        <v/>
      </c>
      <c r="AF63" s="46">
        <f>AE63*IF(B63&gt;=in_marketplace_from,d_hz_hlth_small*G63,0)</f>
        <v/>
      </c>
      <c r="AG63" s="14">
        <f>F63*AF63*in_hlth_small_ticket*in_hlth_small_comm*in_ins_partner_share+F63*in_hlth_small_ticket*in_hlth_small_renew_comm*in_ins_partner_share*(in_hlth_small_renew^1*SUMIFS(AF62:AF120,B62:B120,B63-12)+in_hlth_small_renew^2*SUMIFS(AF62:AF120,B62:B120,B63-24)+in_hlth_small_renew^3*SUMIFS(AF62:AF120,B62:B120,B63-36)+in_hlth_small_renew^4*SUMIFS(AF62:AF120,B62:B120,B63-48))</f>
        <v/>
      </c>
      <c r="AH63" s="40">
        <f>AH62*(1-IF(B62&gt;=in_marketplace_from,d_hz_hlth_family*G62,0))</f>
        <v/>
      </c>
      <c r="AI63" s="46">
        <f>AH63*IF(B63&gt;=in_marketplace_from,d_hz_hlth_family*G63,0)</f>
        <v/>
      </c>
      <c r="AJ63" s="14">
        <f>F63*AI63*in_hlth_family_ticket*in_hlth_family_comm*in_ins_partner_share+F63*in_hlth_family_ticket*in_hlth_family_renew_comm*in_ins_partner_share*(in_hlth_family_renew^1*SUMIFS(AI62:AI120,B62:B120,B63-12)+in_hlth_family_renew^2*SUMIFS(AI62:AI120,B62:B120,B63-24)+in_hlth_family_renew^3*SUMIFS(AI62:AI120,B62:B120,B63-36)+in_hlth_family_renew^4*SUMIFS(AI62:AI120,B62:B120,B63-48))</f>
        <v/>
      </c>
      <c r="AK63" s="40">
        <f>AK62*(1-IF(B62&gt;=in_marketplace_from,d_hz_life_term*G62,0))</f>
        <v/>
      </c>
      <c r="AL63" s="46">
        <f>AK63*IF(B63&gt;=in_marketplace_from,d_hz_life_term*G63,0)</f>
        <v/>
      </c>
      <c r="AM63" s="14">
        <f>F63*AL63*in_life_term_ticket*in_life_term_comm*in_ins_partner_share+F63*in_life_term_ticket*in_life_term_renew_comm*in_ins_partner_share*(in_life_term_renew^1*SUMIFS(AL62:AL120,B62:B120,B63-12)+in_life_term_renew^2*SUMIFS(AL62:AL120,B62:B120,B63-24)+in_life_term_renew^3*SUMIFS(AL62:AL120,B62:B120,B63-36)+in_life_term_renew^4*SUMIFS(AL62:AL120,B62:B120,B63-48))</f>
        <v/>
      </c>
      <c r="AN63" s="40">
        <f>AN62*(1-IF(B62&gt;=in_marketplace_from,d_hz_accident*G62,0))</f>
        <v/>
      </c>
      <c r="AO63" s="46">
        <f>AN63*IF(B63&gt;=in_marketplace_from,d_hz_accident*G63,0)</f>
        <v/>
      </c>
      <c r="AP63" s="14">
        <f>F63*AO63*in_accident_ticket*in_accident_comm*in_ins_partner_share+F63*in_accident_ticket*in_accident_renew_comm*in_ins_partner_share*(in_accident_renew^1*SUMIFS(AO62:AO120,B62:B120,B63-12)+in_accident_renew^2*SUMIFS(AO62:AO120,B62:B120,B63-24)+in_accident_renew^3*SUMIFS(AO62:AO120,B62:B120,B63-36)+in_accident_renew^4*SUMIFS(AO62:AO120,B62:B120,B63-48))</f>
        <v/>
      </c>
      <c r="AQ63" s="40">
        <f>AQ62*(1-IF(B62&gt;=in_marketplace_from,d_hz_two_wheeler*G62,0))</f>
        <v/>
      </c>
      <c r="AR63" s="46">
        <f>AQ63*IF(B63&gt;=in_marketplace_from,d_hz_two_wheeler*G63,0)</f>
        <v/>
      </c>
      <c r="AS63" s="14">
        <f>F63*AR63*in_two_wheeler_ticket*in_two_wheeler_comm*in_ins_partner_share+F63*in_two_wheeler_ticket*in_two_wheeler_comm*in_ins_partner_share*(in_two_wheeler_renew^1*SUMIFS(AR62:AR120,B62:B120,B63-12)+in_two_wheeler_renew^2*SUMIFS(AR62:AR120,B62:B120,B63-24)+in_two_wheeler_renew^3*SUMIFS(AR62:AR120,B62:B120,B63-36)+in_two_wheeler_renew^4*SUMIFS(AR62:AR120,B62:B120,B63-48))</f>
        <v/>
      </c>
      <c r="AT63" s="40">
        <f>AT62*(1-IF(B62&gt;=in_marketplace_from,d_hz_device*G62,0))</f>
        <v/>
      </c>
      <c r="AU63" s="14">
        <f>F63*AT63*IF(B63&gt;=in_marketplace_from,d_hz_device*G63,0)*in_device_ticket*in_device_comm*in_ins_partner_share</f>
        <v/>
      </c>
      <c r="AV63" s="40">
        <f>AV62*(1-IF(B62&gt;=in_marketplace_from,d_hz_shop*G62,0))</f>
        <v/>
      </c>
      <c r="AW63" s="46">
        <f>AV63*IF(B63&gt;=in_marketplace_from,d_hz_shop*G63,0)</f>
        <v/>
      </c>
      <c r="AX63" s="14">
        <f>F63*AW63*in_shop_ticket*in_shop_comm*in_ins_partner_share+F63*in_shop_ticket*in_shop_renew_comm*in_ins_partner_share*(in_shop_renew^1*SUMIFS(AW62:AW120,B62:B120,B63-12)+in_shop_renew^2*SUMIFS(AW62:AW120,B62:B120,B63-24)+in_shop_renew^3*SUMIFS(AW62:AW120,B62:B120,B63-36)+in_shop_renew^4*SUMIFS(AW62:AW120,B62:B120,B63-48))</f>
        <v/>
      </c>
      <c r="AY63" s="40">
        <f>AY62*(1-IF(B62&gt;=in_marketplace_from,d_hz_sip*G62,0))</f>
        <v/>
      </c>
      <c r="AZ63" s="40">
        <f>AZ62*d_rho_sip+AY63*IF(B63&gt;=in_marketplace_from,d_hz_sip*G63,0)</f>
        <v/>
      </c>
      <c r="BA63" s="40">
        <f>d_rho_sip*(BA62+AZ62)</f>
        <v/>
      </c>
      <c r="BB63" s="14">
        <f>F63*in_sip_ticket*(BA63+0.5*AZ63)*in_sip_comm/12</f>
        <v/>
      </c>
      <c r="BC63" s="40">
        <f>BC62*(1-IF(B62&gt;=in_marketplace_from,d_hz_choti*G62,0))</f>
        <v/>
      </c>
      <c r="BD63" s="46">
        <f>BC63*IF(B63&gt;=in_marketplace_from,d_hz_choti*G63,0)</f>
        <v/>
      </c>
      <c r="BE63" s="14">
        <f>F63*SUMIFS(BD62:BD120,B62:B120,B63-in_choti_months)*in_choti_renew*in_choti_ticket</f>
        <v/>
      </c>
      <c r="BF63" s="40">
        <f>BF62*(1-IF(B62&gt;=in_marketplace_from,d_hz_nps*G62,0))</f>
        <v/>
      </c>
      <c r="BG63" s="14">
        <f>F63*BF63*IF(B63&gt;=in_marketplace_from,d_hz_nps*G63,0)*in_nps_ticket*in_nps_comm</f>
        <v/>
      </c>
      <c r="BH63" s="40">
        <f>BH62*(1-IF(B62&gt;=in_marketplace_from,d_hz_gold*G62,0))</f>
        <v/>
      </c>
      <c r="BI63" s="40">
        <f>BI62*d_rho_gold+BH63*IF(B63&gt;=in_marketplace_from,d_hz_gold*G63,0)</f>
        <v/>
      </c>
      <c r="BJ63" s="14">
        <f>F63*BI63*in_gold_ticket*in_gold_comm</f>
        <v/>
      </c>
      <c r="BK63" s="40">
        <f>BK62*(1-IF(B62&gt;=in_marketplace_from,d_hz_fd*G62,0))</f>
        <v/>
      </c>
      <c r="BL63" s="14">
        <f>F63*BK63*IF(B63&gt;=in_marketplace_from,d_hz_fd*G63,0)*in_fd_ticket*in_fd_comm</f>
        <v/>
      </c>
      <c r="BM63" s="40">
        <f>BM62*(1-IF(B62&gt;=in_marketplace_from,d_hz_recharge*G62,0))</f>
        <v/>
      </c>
      <c r="BN63" s="40">
        <f>BN62*d_rho_recharge+BM63*IF(B63&gt;=in_marketplace_from,d_hz_recharge*G63,0)</f>
        <v/>
      </c>
      <c r="BO63" s="14">
        <f>F63*BN63*in_recharge_ticket*in_recharge_comm/12</f>
        <v/>
      </c>
      <c r="BP63" s="40">
        <f>BP62*(1-IF(B62&gt;=in_marketplace_from,d_hz_bills*G62,0))</f>
        <v/>
      </c>
      <c r="BQ63" s="40">
        <f>BQ62*d_rho_bills+BP63*IF(B63&gt;=in_marketplace_from,d_hz_bills*G63,0)</f>
        <v/>
      </c>
      <c r="BR63" s="14">
        <f>F63*BQ63*in_bills_ticket*in_bills_comm/12</f>
        <v/>
      </c>
      <c r="BS63" s="40">
        <f>BS62*(1-IF(B62&gt;=in_marketplace_from,d_hz_loan_gold*G62,0))</f>
        <v/>
      </c>
      <c r="BT63" s="14">
        <f>F63*BS63*IF(B63&gt;=in_marketplace_from,d_hz_loan_gold*G63,0)*in_loan_gold_ticket*in_loan_gold_comm</f>
        <v/>
      </c>
      <c r="BU63" s="40">
        <f>BU62*(1-IF(B62&gt;=in_marketplace_from,d_hz_loan_cd*G62,0))</f>
        <v/>
      </c>
      <c r="BV63" s="14">
        <f>F63*BU63*IF(B63&gt;=in_marketplace_from,d_hz_loan_cd*G63,0)*in_loan_cd_ticket*in_loan_cd_comm</f>
        <v/>
      </c>
      <c r="BW63" s="40">
        <f>BW62*(1-IF(B62&gt;=in_marketplace_from,d_hz_loan_vehicle*G62,0))</f>
        <v/>
      </c>
      <c r="BX63" s="14">
        <f>F63*BW63*IF(B63&gt;=in_marketplace_from,d_hz_loan_vehicle*G63,0)*in_loan_vehicle_ticket*in_loan_vehicle_comm</f>
        <v/>
      </c>
      <c r="BY63" s="40">
        <f>BY62*(1-IF(B62&gt;=in_marketplace_from,d_hz_loan_home*G62,0)*BZ62)</f>
        <v/>
      </c>
      <c r="BZ63" s="11">
        <f>MIN(in_approval_cap,in_loan_home_approval*INDEX('Age profile'!$O$2:$O$61,B63)*(1+in_approval_growth)^(D63-1))</f>
        <v/>
      </c>
      <c r="CA63" s="14">
        <f>F63*BY63*IF(B63&gt;=in_marketplace_from,d_hz_loan_home*G63,0)*BZ63*in_loan_home_ticket*in_loan_home_comm</f>
        <v/>
      </c>
      <c r="CB63" s="40">
        <f>CB62*(1-IF(B62&gt;=in_marketplace_from,d_hz_loan_lap*G62,0)*CC62)</f>
        <v/>
      </c>
      <c r="CC63" s="11">
        <f>MIN(in_approval_cap,in_loan_lap_approval*INDEX('Age profile'!$O$2:$O$61,B63)*(1+in_approval_growth)^(D63-1))</f>
        <v/>
      </c>
      <c r="CD63" s="14">
        <f>F63*CB63*IF(B63&gt;=in_marketplace_from,d_hz_loan_lap*G63,0)*CC63*in_loan_lap_ticket*in_loan_lap_comm</f>
        <v/>
      </c>
      <c r="CE63" s="14">
        <f>AA63+AB63+AC63+AD63+AG63+AJ63+AM63+AP63+AS63+AU63+AX63+BB63+BE63+BG63+BJ63+BL63+BO63+BR63+BT63+BV63+BX63+CA63+CD63</f>
        <v/>
      </c>
    </row>
    <row r="64">
      <c r="A64" s="39" t="n">
        <v>2</v>
      </c>
      <c r="B64" s="39" t="n">
        <v>3</v>
      </c>
      <c r="C64" s="39">
        <f>A64+B64-1</f>
        <v/>
      </c>
      <c r="D64" s="39">
        <f>INT((C64-1)/12)+1</f>
        <v/>
      </c>
      <c r="E64" s="44">
        <f>INDEX(Monthly!$B$2:$B$61,A64)</f>
        <v/>
      </c>
      <c r="F64" s="44">
        <f>E64*INDEX('Age profile'!$B$2:$B$61,B64)</f>
        <v/>
      </c>
      <c r="G64" s="45">
        <f>MIN(in_takeup_cap,INDEX('Age profile'!$N$2:$N$61,B64)*(1+in_takeup_growth)^(D64-1))</f>
        <v/>
      </c>
      <c r="H64" s="11">
        <f>MIN(in_approval_cap,in_approved_first*INDEX('Age profile'!$O$2:$O$61,B64)*(1+in_approval_growth)^(D64-1))</f>
        <v/>
      </c>
      <c r="I64" s="45">
        <f>G64*MIN(in_takeup_cap,INDEX('Age profile'!$O$2:$O$61,B64)*(1+in_approval_growth)^(D64-1))</f>
        <v/>
      </c>
      <c r="J64" s="40">
        <f>(J63-L63)*F64/F63</f>
        <v/>
      </c>
      <c r="K64" s="40">
        <f>(K63-M63)*F64/F63+SUMIFS(O62:O63,B62:B63,B64-1-d_T)*F64</f>
        <v/>
      </c>
      <c r="L64" s="40">
        <f>IF(B64&gt;=in_marketplace_from,J64*d_hz*G64*in_eligible*H64,0)</f>
        <v/>
      </c>
      <c r="M64" s="40">
        <f>IF(B64&gt;=in_marketplace_from,K64*d_hz*G64*in_eligible*in_approved_repeat,0)</f>
        <v/>
      </c>
      <c r="N64" s="40">
        <f>L64+M64</f>
        <v/>
      </c>
      <c r="O64" s="46">
        <f>N64/F64</f>
        <v/>
      </c>
      <c r="P64" s="40">
        <f>F64-J64-K64</f>
        <v/>
      </c>
      <c r="Q64" s="40">
        <f>IF(B64&gt;=in_marketplace_from,(J64+K64)*d_hz*G64,0)</f>
        <v/>
      </c>
      <c r="R64" s="40">
        <f>SUMIFS(N62:N120,B62:B120,"&gt;="&amp;(B64-d_T),B62:B120,"&lt;="&amp;(B64-1))</f>
        <v/>
      </c>
      <c r="S64" s="46">
        <f>(1-d_u)*S63+IF(d_T&gt;in_topup_lag,SUMIFS(O62:O120,B62:B120,B64-in_topup_lag)-d_udrop*SUMIFS(O62:O120,B62:B120,B64-d_T),0)</f>
        <v/>
      </c>
      <c r="T64" s="40">
        <f>F64*d_u*S64</f>
        <v/>
      </c>
      <c r="U64" s="9">
        <f>L64*in_ticket+M64*d_rep_ticket</f>
        <v/>
      </c>
      <c r="V64" s="9">
        <f>U64+T64*d_topup_amt</f>
        <v/>
      </c>
      <c r="W64" s="40">
        <f>N64+T64*d_topup_ratio</f>
        <v/>
      </c>
      <c r="X64" s="40">
        <f>SUMIFS(W62:W120,B62:B120,B64-in_dpd_lag)*d_cured</f>
        <v/>
      </c>
      <c r="Y64" s="40">
        <f>SUMIFS(W62:W120,B62:B120,B64-in_rec_lag)*d_recd</f>
        <v/>
      </c>
      <c r="Z64" s="40">
        <f>IF(AND(B64&gt;=in_marketplace_from,B64&lt;in_marketplace_from+in_card_months),in_card_share/in_card_months*F64*I64,IF(AND(B64&gt;=in_marketplace_from+in_card_months,B64&lt;in_marketplace_from+2*in_card_months),in_card_share*d_card_rem/in_card_months*F64*MIN(in_takeup_cap,(1+in_takeup_growth)^(D64-1))*MIN(in_takeup_cap,(1+in_approval_growth)^(D64-1)),0))</f>
        <v/>
      </c>
      <c r="AA64" s="14">
        <f>V64*in_fee*(1-in_taken_back)</f>
        <v/>
      </c>
      <c r="AB64" s="14">
        <f>SUMIFS(W62:W120,B62:B120,B64-in_dpd_lag)*d_dpd</f>
        <v/>
      </c>
      <c r="AC64" s="14">
        <f>SUMIFS(W62:W120,B62:B120,B64-in_rec_lag)*d_rec</f>
        <v/>
      </c>
      <c r="AD64" s="14">
        <f>Z64*in_card_fee</f>
        <v/>
      </c>
      <c r="AE64" s="40">
        <f>AE63*(1-IF(B63&gt;=in_marketplace_from,d_hz_hlth_small*G63,0))</f>
        <v/>
      </c>
      <c r="AF64" s="46">
        <f>AE64*IF(B64&gt;=in_marketplace_from,d_hz_hlth_small*G64,0)</f>
        <v/>
      </c>
      <c r="AG64" s="14">
        <f>F64*AF64*in_hlth_small_ticket*in_hlth_small_comm*in_ins_partner_share+F64*in_hlth_small_ticket*in_hlth_small_renew_comm*in_ins_partner_share*(in_hlth_small_renew^1*SUMIFS(AF62:AF120,B62:B120,B64-12)+in_hlth_small_renew^2*SUMIFS(AF62:AF120,B62:B120,B64-24)+in_hlth_small_renew^3*SUMIFS(AF62:AF120,B62:B120,B64-36)+in_hlth_small_renew^4*SUMIFS(AF62:AF120,B62:B120,B64-48))</f>
        <v/>
      </c>
      <c r="AH64" s="40">
        <f>AH63*(1-IF(B63&gt;=in_marketplace_from,d_hz_hlth_family*G63,0))</f>
        <v/>
      </c>
      <c r="AI64" s="46">
        <f>AH64*IF(B64&gt;=in_marketplace_from,d_hz_hlth_family*G64,0)</f>
        <v/>
      </c>
      <c r="AJ64" s="14">
        <f>F64*AI64*in_hlth_family_ticket*in_hlth_family_comm*in_ins_partner_share+F64*in_hlth_family_ticket*in_hlth_family_renew_comm*in_ins_partner_share*(in_hlth_family_renew^1*SUMIFS(AI62:AI120,B62:B120,B64-12)+in_hlth_family_renew^2*SUMIFS(AI62:AI120,B62:B120,B64-24)+in_hlth_family_renew^3*SUMIFS(AI62:AI120,B62:B120,B64-36)+in_hlth_family_renew^4*SUMIFS(AI62:AI120,B62:B120,B64-48))</f>
        <v/>
      </c>
      <c r="AK64" s="40">
        <f>AK63*(1-IF(B63&gt;=in_marketplace_from,d_hz_life_term*G63,0))</f>
        <v/>
      </c>
      <c r="AL64" s="46">
        <f>AK64*IF(B64&gt;=in_marketplace_from,d_hz_life_term*G64,0)</f>
        <v/>
      </c>
      <c r="AM64" s="14">
        <f>F64*AL64*in_life_term_ticket*in_life_term_comm*in_ins_partner_share+F64*in_life_term_ticket*in_life_term_renew_comm*in_ins_partner_share*(in_life_term_renew^1*SUMIFS(AL62:AL120,B62:B120,B64-12)+in_life_term_renew^2*SUMIFS(AL62:AL120,B62:B120,B64-24)+in_life_term_renew^3*SUMIFS(AL62:AL120,B62:B120,B64-36)+in_life_term_renew^4*SUMIFS(AL62:AL120,B62:B120,B64-48))</f>
        <v/>
      </c>
      <c r="AN64" s="40">
        <f>AN63*(1-IF(B63&gt;=in_marketplace_from,d_hz_accident*G63,0))</f>
        <v/>
      </c>
      <c r="AO64" s="46">
        <f>AN64*IF(B64&gt;=in_marketplace_from,d_hz_accident*G64,0)</f>
        <v/>
      </c>
      <c r="AP64" s="14">
        <f>F64*AO64*in_accident_ticket*in_accident_comm*in_ins_partner_share+F64*in_accident_ticket*in_accident_renew_comm*in_ins_partner_share*(in_accident_renew^1*SUMIFS(AO62:AO120,B62:B120,B64-12)+in_accident_renew^2*SUMIFS(AO62:AO120,B62:B120,B64-24)+in_accident_renew^3*SUMIFS(AO62:AO120,B62:B120,B64-36)+in_accident_renew^4*SUMIFS(AO62:AO120,B62:B120,B64-48))</f>
        <v/>
      </c>
      <c r="AQ64" s="40">
        <f>AQ63*(1-IF(B63&gt;=in_marketplace_from,d_hz_two_wheeler*G63,0))</f>
        <v/>
      </c>
      <c r="AR64" s="46">
        <f>AQ64*IF(B64&gt;=in_marketplace_from,d_hz_two_wheeler*G64,0)</f>
        <v/>
      </c>
      <c r="AS64" s="14">
        <f>F64*AR64*in_two_wheeler_ticket*in_two_wheeler_comm*in_ins_partner_share+F64*in_two_wheeler_ticket*in_two_wheeler_comm*in_ins_partner_share*(in_two_wheeler_renew^1*SUMIFS(AR62:AR120,B62:B120,B64-12)+in_two_wheeler_renew^2*SUMIFS(AR62:AR120,B62:B120,B64-24)+in_two_wheeler_renew^3*SUMIFS(AR62:AR120,B62:B120,B64-36)+in_two_wheeler_renew^4*SUMIFS(AR62:AR120,B62:B120,B64-48))</f>
        <v/>
      </c>
      <c r="AT64" s="40">
        <f>AT63*(1-IF(B63&gt;=in_marketplace_from,d_hz_device*G63,0))</f>
        <v/>
      </c>
      <c r="AU64" s="14">
        <f>F64*AT64*IF(B64&gt;=in_marketplace_from,d_hz_device*G64,0)*in_device_ticket*in_device_comm*in_ins_partner_share</f>
        <v/>
      </c>
      <c r="AV64" s="40">
        <f>AV63*(1-IF(B63&gt;=in_marketplace_from,d_hz_shop*G63,0))</f>
        <v/>
      </c>
      <c r="AW64" s="46">
        <f>AV64*IF(B64&gt;=in_marketplace_from,d_hz_shop*G64,0)</f>
        <v/>
      </c>
      <c r="AX64" s="14">
        <f>F64*AW64*in_shop_ticket*in_shop_comm*in_ins_partner_share+F64*in_shop_ticket*in_shop_renew_comm*in_ins_partner_share*(in_shop_renew^1*SUMIFS(AW62:AW120,B62:B120,B64-12)+in_shop_renew^2*SUMIFS(AW62:AW120,B62:B120,B64-24)+in_shop_renew^3*SUMIFS(AW62:AW120,B62:B120,B64-36)+in_shop_renew^4*SUMIFS(AW62:AW120,B62:B120,B64-48))</f>
        <v/>
      </c>
      <c r="AY64" s="40">
        <f>AY63*(1-IF(B63&gt;=in_marketplace_from,d_hz_sip*G63,0))</f>
        <v/>
      </c>
      <c r="AZ64" s="40">
        <f>AZ63*d_rho_sip+AY64*IF(B64&gt;=in_marketplace_from,d_hz_sip*G64,0)</f>
        <v/>
      </c>
      <c r="BA64" s="40">
        <f>d_rho_sip*(BA63+AZ63)</f>
        <v/>
      </c>
      <c r="BB64" s="14">
        <f>F64*in_sip_ticket*(BA64+0.5*AZ64)*in_sip_comm/12</f>
        <v/>
      </c>
      <c r="BC64" s="40">
        <f>BC63*(1-IF(B63&gt;=in_marketplace_from,d_hz_choti*G63,0))</f>
        <v/>
      </c>
      <c r="BD64" s="46">
        <f>BC64*IF(B64&gt;=in_marketplace_from,d_hz_choti*G64,0)</f>
        <v/>
      </c>
      <c r="BE64" s="14">
        <f>F64*SUMIFS(BD62:BD120,B62:B120,B64-in_choti_months)*in_choti_renew*in_choti_ticket</f>
        <v/>
      </c>
      <c r="BF64" s="40">
        <f>BF63*(1-IF(B63&gt;=in_marketplace_from,d_hz_nps*G63,0))</f>
        <v/>
      </c>
      <c r="BG64" s="14">
        <f>F64*BF64*IF(B64&gt;=in_marketplace_from,d_hz_nps*G64,0)*in_nps_ticket*in_nps_comm</f>
        <v/>
      </c>
      <c r="BH64" s="40">
        <f>BH63*(1-IF(B63&gt;=in_marketplace_from,d_hz_gold*G63,0))</f>
        <v/>
      </c>
      <c r="BI64" s="40">
        <f>BI63*d_rho_gold+BH64*IF(B64&gt;=in_marketplace_from,d_hz_gold*G64,0)</f>
        <v/>
      </c>
      <c r="BJ64" s="14">
        <f>F64*BI64*in_gold_ticket*in_gold_comm</f>
        <v/>
      </c>
      <c r="BK64" s="40">
        <f>BK63*(1-IF(B63&gt;=in_marketplace_from,d_hz_fd*G63,0))</f>
        <v/>
      </c>
      <c r="BL64" s="14">
        <f>F64*BK64*IF(B64&gt;=in_marketplace_from,d_hz_fd*G64,0)*in_fd_ticket*in_fd_comm</f>
        <v/>
      </c>
      <c r="BM64" s="40">
        <f>BM63*(1-IF(B63&gt;=in_marketplace_from,d_hz_recharge*G63,0))</f>
        <v/>
      </c>
      <c r="BN64" s="40">
        <f>BN63*d_rho_recharge+BM64*IF(B64&gt;=in_marketplace_from,d_hz_recharge*G64,0)</f>
        <v/>
      </c>
      <c r="BO64" s="14">
        <f>F64*BN64*in_recharge_ticket*in_recharge_comm/12</f>
        <v/>
      </c>
      <c r="BP64" s="40">
        <f>BP63*(1-IF(B63&gt;=in_marketplace_from,d_hz_bills*G63,0))</f>
        <v/>
      </c>
      <c r="BQ64" s="40">
        <f>BQ63*d_rho_bills+BP64*IF(B64&gt;=in_marketplace_from,d_hz_bills*G64,0)</f>
        <v/>
      </c>
      <c r="BR64" s="14">
        <f>F64*BQ64*in_bills_ticket*in_bills_comm/12</f>
        <v/>
      </c>
      <c r="BS64" s="40">
        <f>BS63*(1-IF(B63&gt;=in_marketplace_from,d_hz_loan_gold*G63,0))</f>
        <v/>
      </c>
      <c r="BT64" s="14">
        <f>F64*BS64*IF(B64&gt;=in_marketplace_from,d_hz_loan_gold*G64,0)*in_loan_gold_ticket*in_loan_gold_comm</f>
        <v/>
      </c>
      <c r="BU64" s="40">
        <f>BU63*(1-IF(B63&gt;=in_marketplace_from,d_hz_loan_cd*G63,0))</f>
        <v/>
      </c>
      <c r="BV64" s="14">
        <f>F64*BU64*IF(B64&gt;=in_marketplace_from,d_hz_loan_cd*G64,0)*in_loan_cd_ticket*in_loan_cd_comm</f>
        <v/>
      </c>
      <c r="BW64" s="40">
        <f>BW63*(1-IF(B63&gt;=in_marketplace_from,d_hz_loan_vehicle*G63,0))</f>
        <v/>
      </c>
      <c r="BX64" s="14">
        <f>F64*BW64*IF(B64&gt;=in_marketplace_from,d_hz_loan_vehicle*G64,0)*in_loan_vehicle_ticket*in_loan_vehicle_comm</f>
        <v/>
      </c>
      <c r="BY64" s="40">
        <f>BY63*(1-IF(B63&gt;=in_marketplace_from,d_hz_loan_home*G63,0)*BZ63)</f>
        <v/>
      </c>
      <c r="BZ64" s="11">
        <f>MIN(in_approval_cap,in_loan_home_approval*INDEX('Age profile'!$O$2:$O$61,B64)*(1+in_approval_growth)^(D64-1))</f>
        <v/>
      </c>
      <c r="CA64" s="14">
        <f>F64*BY64*IF(B64&gt;=in_marketplace_from,d_hz_loan_home*G64,0)*BZ64*in_loan_home_ticket*in_loan_home_comm</f>
        <v/>
      </c>
      <c r="CB64" s="40">
        <f>CB63*(1-IF(B63&gt;=in_marketplace_from,d_hz_loan_lap*G63,0)*CC63)</f>
        <v/>
      </c>
      <c r="CC64" s="11">
        <f>MIN(in_approval_cap,in_loan_lap_approval*INDEX('Age profile'!$O$2:$O$61,B64)*(1+in_approval_growth)^(D64-1))</f>
        <v/>
      </c>
      <c r="CD64" s="14">
        <f>F64*CB64*IF(B64&gt;=in_marketplace_from,d_hz_loan_lap*G64,0)*CC64*in_loan_lap_ticket*in_loan_lap_comm</f>
        <v/>
      </c>
      <c r="CE64" s="14">
        <f>AA64+AB64+AC64+AD64+AG64+AJ64+AM64+AP64+AS64+AU64+AX64+BB64+BE64+BG64+BJ64+BL64+BO64+BR64+BT64+BV64+BX64+CA64+CD64</f>
        <v/>
      </c>
    </row>
    <row r="65">
      <c r="A65" s="39" t="n">
        <v>2</v>
      </c>
      <c r="B65" s="39" t="n">
        <v>4</v>
      </c>
      <c r="C65" s="39">
        <f>A65+B65-1</f>
        <v/>
      </c>
      <c r="D65" s="39">
        <f>INT((C65-1)/12)+1</f>
        <v/>
      </c>
      <c r="E65" s="44">
        <f>INDEX(Monthly!$B$2:$B$61,A65)</f>
        <v/>
      </c>
      <c r="F65" s="44">
        <f>E65*INDEX('Age profile'!$B$2:$B$61,B65)</f>
        <v/>
      </c>
      <c r="G65" s="45">
        <f>MIN(in_takeup_cap,INDEX('Age profile'!$N$2:$N$61,B65)*(1+in_takeup_growth)^(D65-1))</f>
        <v/>
      </c>
      <c r="H65" s="11">
        <f>MIN(in_approval_cap,in_approved_first*INDEX('Age profile'!$O$2:$O$61,B65)*(1+in_approval_growth)^(D65-1))</f>
        <v/>
      </c>
      <c r="I65" s="45">
        <f>G65*MIN(in_takeup_cap,INDEX('Age profile'!$O$2:$O$61,B65)*(1+in_approval_growth)^(D65-1))</f>
        <v/>
      </c>
      <c r="J65" s="40">
        <f>(J64-L64)*F65/F64</f>
        <v/>
      </c>
      <c r="K65" s="40">
        <f>(K64-M64)*F65/F64+SUMIFS(O62:O64,B62:B64,B65-1-d_T)*F65</f>
        <v/>
      </c>
      <c r="L65" s="40">
        <f>IF(B65&gt;=in_marketplace_from,J65*d_hz*G65*in_eligible*H65,0)</f>
        <v/>
      </c>
      <c r="M65" s="40">
        <f>IF(B65&gt;=in_marketplace_from,K65*d_hz*G65*in_eligible*in_approved_repeat,0)</f>
        <v/>
      </c>
      <c r="N65" s="40">
        <f>L65+M65</f>
        <v/>
      </c>
      <c r="O65" s="46">
        <f>N65/F65</f>
        <v/>
      </c>
      <c r="P65" s="40">
        <f>F65-J65-K65</f>
        <v/>
      </c>
      <c r="Q65" s="40">
        <f>IF(B65&gt;=in_marketplace_from,(J65+K65)*d_hz*G65,0)</f>
        <v/>
      </c>
      <c r="R65" s="40">
        <f>SUMIFS(N62:N120,B62:B120,"&gt;="&amp;(B65-d_T),B62:B120,"&lt;="&amp;(B65-1))</f>
        <v/>
      </c>
      <c r="S65" s="46">
        <f>(1-d_u)*S64+IF(d_T&gt;in_topup_lag,SUMIFS(O62:O120,B62:B120,B65-in_topup_lag)-d_udrop*SUMIFS(O62:O120,B62:B120,B65-d_T),0)</f>
        <v/>
      </c>
      <c r="T65" s="40">
        <f>F65*d_u*S65</f>
        <v/>
      </c>
      <c r="U65" s="9">
        <f>L65*in_ticket+M65*d_rep_ticket</f>
        <v/>
      </c>
      <c r="V65" s="9">
        <f>U65+T65*d_topup_amt</f>
        <v/>
      </c>
      <c r="W65" s="40">
        <f>N65+T65*d_topup_ratio</f>
        <v/>
      </c>
      <c r="X65" s="40">
        <f>SUMIFS(W62:W120,B62:B120,B65-in_dpd_lag)*d_cured</f>
        <v/>
      </c>
      <c r="Y65" s="40">
        <f>SUMIFS(W62:W120,B62:B120,B65-in_rec_lag)*d_recd</f>
        <v/>
      </c>
      <c r="Z65" s="40">
        <f>IF(AND(B65&gt;=in_marketplace_from,B65&lt;in_marketplace_from+in_card_months),in_card_share/in_card_months*F65*I65,IF(AND(B65&gt;=in_marketplace_from+in_card_months,B65&lt;in_marketplace_from+2*in_card_months),in_card_share*d_card_rem/in_card_months*F65*MIN(in_takeup_cap,(1+in_takeup_growth)^(D65-1))*MIN(in_takeup_cap,(1+in_approval_growth)^(D65-1)),0))</f>
        <v/>
      </c>
      <c r="AA65" s="14">
        <f>V65*in_fee*(1-in_taken_back)</f>
        <v/>
      </c>
      <c r="AB65" s="14">
        <f>SUMIFS(W62:W120,B62:B120,B65-in_dpd_lag)*d_dpd</f>
        <v/>
      </c>
      <c r="AC65" s="14">
        <f>SUMIFS(W62:W120,B62:B120,B65-in_rec_lag)*d_rec</f>
        <v/>
      </c>
      <c r="AD65" s="14">
        <f>Z65*in_card_fee</f>
        <v/>
      </c>
      <c r="AE65" s="40">
        <f>AE64*(1-IF(B64&gt;=in_marketplace_from,d_hz_hlth_small*G64,0))</f>
        <v/>
      </c>
      <c r="AF65" s="46">
        <f>AE65*IF(B65&gt;=in_marketplace_from,d_hz_hlth_small*G65,0)</f>
        <v/>
      </c>
      <c r="AG65" s="14">
        <f>F65*AF65*in_hlth_small_ticket*in_hlth_small_comm*in_ins_partner_share+F65*in_hlth_small_ticket*in_hlth_small_renew_comm*in_ins_partner_share*(in_hlth_small_renew^1*SUMIFS(AF62:AF120,B62:B120,B65-12)+in_hlth_small_renew^2*SUMIFS(AF62:AF120,B62:B120,B65-24)+in_hlth_small_renew^3*SUMIFS(AF62:AF120,B62:B120,B65-36)+in_hlth_small_renew^4*SUMIFS(AF62:AF120,B62:B120,B65-48))</f>
        <v/>
      </c>
      <c r="AH65" s="40">
        <f>AH64*(1-IF(B64&gt;=in_marketplace_from,d_hz_hlth_family*G64,0))</f>
        <v/>
      </c>
      <c r="AI65" s="46">
        <f>AH65*IF(B65&gt;=in_marketplace_from,d_hz_hlth_family*G65,0)</f>
        <v/>
      </c>
      <c r="AJ65" s="14">
        <f>F65*AI65*in_hlth_family_ticket*in_hlth_family_comm*in_ins_partner_share+F65*in_hlth_family_ticket*in_hlth_family_renew_comm*in_ins_partner_share*(in_hlth_family_renew^1*SUMIFS(AI62:AI120,B62:B120,B65-12)+in_hlth_family_renew^2*SUMIFS(AI62:AI120,B62:B120,B65-24)+in_hlth_family_renew^3*SUMIFS(AI62:AI120,B62:B120,B65-36)+in_hlth_family_renew^4*SUMIFS(AI62:AI120,B62:B120,B65-48))</f>
        <v/>
      </c>
      <c r="AK65" s="40">
        <f>AK64*(1-IF(B64&gt;=in_marketplace_from,d_hz_life_term*G64,0))</f>
        <v/>
      </c>
      <c r="AL65" s="46">
        <f>AK65*IF(B65&gt;=in_marketplace_from,d_hz_life_term*G65,0)</f>
        <v/>
      </c>
      <c r="AM65" s="14">
        <f>F65*AL65*in_life_term_ticket*in_life_term_comm*in_ins_partner_share+F65*in_life_term_ticket*in_life_term_renew_comm*in_ins_partner_share*(in_life_term_renew^1*SUMIFS(AL62:AL120,B62:B120,B65-12)+in_life_term_renew^2*SUMIFS(AL62:AL120,B62:B120,B65-24)+in_life_term_renew^3*SUMIFS(AL62:AL120,B62:B120,B65-36)+in_life_term_renew^4*SUMIFS(AL62:AL120,B62:B120,B65-48))</f>
        <v/>
      </c>
      <c r="AN65" s="40">
        <f>AN64*(1-IF(B64&gt;=in_marketplace_from,d_hz_accident*G64,0))</f>
        <v/>
      </c>
      <c r="AO65" s="46">
        <f>AN65*IF(B65&gt;=in_marketplace_from,d_hz_accident*G65,0)</f>
        <v/>
      </c>
      <c r="AP65" s="14">
        <f>F65*AO65*in_accident_ticket*in_accident_comm*in_ins_partner_share+F65*in_accident_ticket*in_accident_renew_comm*in_ins_partner_share*(in_accident_renew^1*SUMIFS(AO62:AO120,B62:B120,B65-12)+in_accident_renew^2*SUMIFS(AO62:AO120,B62:B120,B65-24)+in_accident_renew^3*SUMIFS(AO62:AO120,B62:B120,B65-36)+in_accident_renew^4*SUMIFS(AO62:AO120,B62:B120,B65-48))</f>
        <v/>
      </c>
      <c r="AQ65" s="40">
        <f>AQ64*(1-IF(B64&gt;=in_marketplace_from,d_hz_two_wheeler*G64,0))</f>
        <v/>
      </c>
      <c r="AR65" s="46">
        <f>AQ65*IF(B65&gt;=in_marketplace_from,d_hz_two_wheeler*G65,0)</f>
        <v/>
      </c>
      <c r="AS65" s="14">
        <f>F65*AR65*in_two_wheeler_ticket*in_two_wheeler_comm*in_ins_partner_share+F65*in_two_wheeler_ticket*in_two_wheeler_comm*in_ins_partner_share*(in_two_wheeler_renew^1*SUMIFS(AR62:AR120,B62:B120,B65-12)+in_two_wheeler_renew^2*SUMIFS(AR62:AR120,B62:B120,B65-24)+in_two_wheeler_renew^3*SUMIFS(AR62:AR120,B62:B120,B65-36)+in_two_wheeler_renew^4*SUMIFS(AR62:AR120,B62:B120,B65-48))</f>
        <v/>
      </c>
      <c r="AT65" s="40">
        <f>AT64*(1-IF(B64&gt;=in_marketplace_from,d_hz_device*G64,0))</f>
        <v/>
      </c>
      <c r="AU65" s="14">
        <f>F65*AT65*IF(B65&gt;=in_marketplace_from,d_hz_device*G65,0)*in_device_ticket*in_device_comm*in_ins_partner_share</f>
        <v/>
      </c>
      <c r="AV65" s="40">
        <f>AV64*(1-IF(B64&gt;=in_marketplace_from,d_hz_shop*G64,0))</f>
        <v/>
      </c>
      <c r="AW65" s="46">
        <f>AV65*IF(B65&gt;=in_marketplace_from,d_hz_shop*G65,0)</f>
        <v/>
      </c>
      <c r="AX65" s="14">
        <f>F65*AW65*in_shop_ticket*in_shop_comm*in_ins_partner_share+F65*in_shop_ticket*in_shop_renew_comm*in_ins_partner_share*(in_shop_renew^1*SUMIFS(AW62:AW120,B62:B120,B65-12)+in_shop_renew^2*SUMIFS(AW62:AW120,B62:B120,B65-24)+in_shop_renew^3*SUMIFS(AW62:AW120,B62:B120,B65-36)+in_shop_renew^4*SUMIFS(AW62:AW120,B62:B120,B65-48))</f>
        <v/>
      </c>
      <c r="AY65" s="40">
        <f>AY64*(1-IF(B64&gt;=in_marketplace_from,d_hz_sip*G64,0))</f>
        <v/>
      </c>
      <c r="AZ65" s="40">
        <f>AZ64*d_rho_sip+AY65*IF(B65&gt;=in_marketplace_from,d_hz_sip*G65,0)</f>
        <v/>
      </c>
      <c r="BA65" s="40">
        <f>d_rho_sip*(BA64+AZ64)</f>
        <v/>
      </c>
      <c r="BB65" s="14">
        <f>F65*in_sip_ticket*(BA65+0.5*AZ65)*in_sip_comm/12</f>
        <v/>
      </c>
      <c r="BC65" s="40">
        <f>BC64*(1-IF(B64&gt;=in_marketplace_from,d_hz_choti*G64,0))</f>
        <v/>
      </c>
      <c r="BD65" s="46">
        <f>BC65*IF(B65&gt;=in_marketplace_from,d_hz_choti*G65,0)</f>
        <v/>
      </c>
      <c r="BE65" s="14">
        <f>F65*SUMIFS(BD62:BD120,B62:B120,B65-in_choti_months)*in_choti_renew*in_choti_ticket</f>
        <v/>
      </c>
      <c r="BF65" s="40">
        <f>BF64*(1-IF(B64&gt;=in_marketplace_from,d_hz_nps*G64,0))</f>
        <v/>
      </c>
      <c r="BG65" s="14">
        <f>F65*BF65*IF(B65&gt;=in_marketplace_from,d_hz_nps*G65,0)*in_nps_ticket*in_nps_comm</f>
        <v/>
      </c>
      <c r="BH65" s="40">
        <f>BH64*(1-IF(B64&gt;=in_marketplace_from,d_hz_gold*G64,0))</f>
        <v/>
      </c>
      <c r="BI65" s="40">
        <f>BI64*d_rho_gold+BH65*IF(B65&gt;=in_marketplace_from,d_hz_gold*G65,0)</f>
        <v/>
      </c>
      <c r="BJ65" s="14">
        <f>F65*BI65*in_gold_ticket*in_gold_comm</f>
        <v/>
      </c>
      <c r="BK65" s="40">
        <f>BK64*(1-IF(B64&gt;=in_marketplace_from,d_hz_fd*G64,0))</f>
        <v/>
      </c>
      <c r="BL65" s="14">
        <f>F65*BK65*IF(B65&gt;=in_marketplace_from,d_hz_fd*G65,0)*in_fd_ticket*in_fd_comm</f>
        <v/>
      </c>
      <c r="BM65" s="40">
        <f>BM64*(1-IF(B64&gt;=in_marketplace_from,d_hz_recharge*G64,0))</f>
        <v/>
      </c>
      <c r="BN65" s="40">
        <f>BN64*d_rho_recharge+BM65*IF(B65&gt;=in_marketplace_from,d_hz_recharge*G65,0)</f>
        <v/>
      </c>
      <c r="BO65" s="14">
        <f>F65*BN65*in_recharge_ticket*in_recharge_comm/12</f>
        <v/>
      </c>
      <c r="BP65" s="40">
        <f>BP64*(1-IF(B64&gt;=in_marketplace_from,d_hz_bills*G64,0))</f>
        <v/>
      </c>
      <c r="BQ65" s="40">
        <f>BQ64*d_rho_bills+BP65*IF(B65&gt;=in_marketplace_from,d_hz_bills*G65,0)</f>
        <v/>
      </c>
      <c r="BR65" s="14">
        <f>F65*BQ65*in_bills_ticket*in_bills_comm/12</f>
        <v/>
      </c>
      <c r="BS65" s="40">
        <f>BS64*(1-IF(B64&gt;=in_marketplace_from,d_hz_loan_gold*G64,0))</f>
        <v/>
      </c>
      <c r="BT65" s="14">
        <f>F65*BS65*IF(B65&gt;=in_marketplace_from,d_hz_loan_gold*G65,0)*in_loan_gold_ticket*in_loan_gold_comm</f>
        <v/>
      </c>
      <c r="BU65" s="40">
        <f>BU64*(1-IF(B64&gt;=in_marketplace_from,d_hz_loan_cd*G64,0))</f>
        <v/>
      </c>
      <c r="BV65" s="14">
        <f>F65*BU65*IF(B65&gt;=in_marketplace_from,d_hz_loan_cd*G65,0)*in_loan_cd_ticket*in_loan_cd_comm</f>
        <v/>
      </c>
      <c r="BW65" s="40">
        <f>BW64*(1-IF(B64&gt;=in_marketplace_from,d_hz_loan_vehicle*G64,0))</f>
        <v/>
      </c>
      <c r="BX65" s="14">
        <f>F65*BW65*IF(B65&gt;=in_marketplace_from,d_hz_loan_vehicle*G65,0)*in_loan_vehicle_ticket*in_loan_vehicle_comm</f>
        <v/>
      </c>
      <c r="BY65" s="40">
        <f>BY64*(1-IF(B64&gt;=in_marketplace_from,d_hz_loan_home*G64,0)*BZ64)</f>
        <v/>
      </c>
      <c r="BZ65" s="11">
        <f>MIN(in_approval_cap,in_loan_home_approval*INDEX('Age profile'!$O$2:$O$61,B65)*(1+in_approval_growth)^(D65-1))</f>
        <v/>
      </c>
      <c r="CA65" s="14">
        <f>F65*BY65*IF(B65&gt;=in_marketplace_from,d_hz_loan_home*G65,0)*BZ65*in_loan_home_ticket*in_loan_home_comm</f>
        <v/>
      </c>
      <c r="CB65" s="40">
        <f>CB64*(1-IF(B64&gt;=in_marketplace_from,d_hz_loan_lap*G64,0)*CC64)</f>
        <v/>
      </c>
      <c r="CC65" s="11">
        <f>MIN(in_approval_cap,in_loan_lap_approval*INDEX('Age profile'!$O$2:$O$61,B65)*(1+in_approval_growth)^(D65-1))</f>
        <v/>
      </c>
      <c r="CD65" s="14">
        <f>F65*CB65*IF(B65&gt;=in_marketplace_from,d_hz_loan_lap*G65,0)*CC65*in_loan_lap_ticket*in_loan_lap_comm</f>
        <v/>
      </c>
      <c r="CE65" s="14">
        <f>AA65+AB65+AC65+AD65+AG65+AJ65+AM65+AP65+AS65+AU65+AX65+BB65+BE65+BG65+BJ65+BL65+BO65+BR65+BT65+BV65+BX65+CA65+CD65</f>
        <v/>
      </c>
    </row>
    <row r="66">
      <c r="A66" s="39" t="n">
        <v>2</v>
      </c>
      <c r="B66" s="39" t="n">
        <v>5</v>
      </c>
      <c r="C66" s="39">
        <f>A66+B66-1</f>
        <v/>
      </c>
      <c r="D66" s="39">
        <f>INT((C66-1)/12)+1</f>
        <v/>
      </c>
      <c r="E66" s="44">
        <f>INDEX(Monthly!$B$2:$B$61,A66)</f>
        <v/>
      </c>
      <c r="F66" s="44">
        <f>E66*INDEX('Age profile'!$B$2:$B$61,B66)</f>
        <v/>
      </c>
      <c r="G66" s="45">
        <f>MIN(in_takeup_cap,INDEX('Age profile'!$N$2:$N$61,B66)*(1+in_takeup_growth)^(D66-1))</f>
        <v/>
      </c>
      <c r="H66" s="11">
        <f>MIN(in_approval_cap,in_approved_first*INDEX('Age profile'!$O$2:$O$61,B66)*(1+in_approval_growth)^(D66-1))</f>
        <v/>
      </c>
      <c r="I66" s="45">
        <f>G66*MIN(in_takeup_cap,INDEX('Age profile'!$O$2:$O$61,B66)*(1+in_approval_growth)^(D66-1))</f>
        <v/>
      </c>
      <c r="J66" s="40">
        <f>(J65-L65)*F66/F65</f>
        <v/>
      </c>
      <c r="K66" s="40">
        <f>(K65-M65)*F66/F65+SUMIFS(O62:O65,B62:B65,B66-1-d_T)*F66</f>
        <v/>
      </c>
      <c r="L66" s="40">
        <f>IF(B66&gt;=in_marketplace_from,J66*d_hz*G66*in_eligible*H66,0)</f>
        <v/>
      </c>
      <c r="M66" s="40">
        <f>IF(B66&gt;=in_marketplace_from,K66*d_hz*G66*in_eligible*in_approved_repeat,0)</f>
        <v/>
      </c>
      <c r="N66" s="40">
        <f>L66+M66</f>
        <v/>
      </c>
      <c r="O66" s="46">
        <f>N66/F66</f>
        <v/>
      </c>
      <c r="P66" s="40">
        <f>F66-J66-K66</f>
        <v/>
      </c>
      <c r="Q66" s="40">
        <f>IF(B66&gt;=in_marketplace_from,(J66+K66)*d_hz*G66,0)</f>
        <v/>
      </c>
      <c r="R66" s="40">
        <f>SUMIFS(N62:N120,B62:B120,"&gt;="&amp;(B66-d_T),B62:B120,"&lt;="&amp;(B66-1))</f>
        <v/>
      </c>
      <c r="S66" s="46">
        <f>(1-d_u)*S65+IF(d_T&gt;in_topup_lag,SUMIFS(O62:O120,B62:B120,B66-in_topup_lag)-d_udrop*SUMIFS(O62:O120,B62:B120,B66-d_T),0)</f>
        <v/>
      </c>
      <c r="T66" s="40">
        <f>F66*d_u*S66</f>
        <v/>
      </c>
      <c r="U66" s="9">
        <f>L66*in_ticket+M66*d_rep_ticket</f>
        <v/>
      </c>
      <c r="V66" s="9">
        <f>U66+T66*d_topup_amt</f>
        <v/>
      </c>
      <c r="W66" s="40">
        <f>N66+T66*d_topup_ratio</f>
        <v/>
      </c>
      <c r="X66" s="40">
        <f>SUMIFS(W62:W120,B62:B120,B66-in_dpd_lag)*d_cured</f>
        <v/>
      </c>
      <c r="Y66" s="40">
        <f>SUMIFS(W62:W120,B62:B120,B66-in_rec_lag)*d_recd</f>
        <v/>
      </c>
      <c r="Z66" s="40">
        <f>IF(AND(B66&gt;=in_marketplace_from,B66&lt;in_marketplace_from+in_card_months),in_card_share/in_card_months*F66*I66,IF(AND(B66&gt;=in_marketplace_from+in_card_months,B66&lt;in_marketplace_from+2*in_card_months),in_card_share*d_card_rem/in_card_months*F66*MIN(in_takeup_cap,(1+in_takeup_growth)^(D66-1))*MIN(in_takeup_cap,(1+in_approval_growth)^(D66-1)),0))</f>
        <v/>
      </c>
      <c r="AA66" s="14">
        <f>V66*in_fee*(1-in_taken_back)</f>
        <v/>
      </c>
      <c r="AB66" s="14">
        <f>SUMIFS(W62:W120,B62:B120,B66-in_dpd_lag)*d_dpd</f>
        <v/>
      </c>
      <c r="AC66" s="14">
        <f>SUMIFS(W62:W120,B62:B120,B66-in_rec_lag)*d_rec</f>
        <v/>
      </c>
      <c r="AD66" s="14">
        <f>Z66*in_card_fee</f>
        <v/>
      </c>
      <c r="AE66" s="40">
        <f>AE65*(1-IF(B65&gt;=in_marketplace_from,d_hz_hlth_small*G65,0))</f>
        <v/>
      </c>
      <c r="AF66" s="46">
        <f>AE66*IF(B66&gt;=in_marketplace_from,d_hz_hlth_small*G66,0)</f>
        <v/>
      </c>
      <c r="AG66" s="14">
        <f>F66*AF66*in_hlth_small_ticket*in_hlth_small_comm*in_ins_partner_share+F66*in_hlth_small_ticket*in_hlth_small_renew_comm*in_ins_partner_share*(in_hlth_small_renew^1*SUMIFS(AF62:AF120,B62:B120,B66-12)+in_hlth_small_renew^2*SUMIFS(AF62:AF120,B62:B120,B66-24)+in_hlth_small_renew^3*SUMIFS(AF62:AF120,B62:B120,B66-36)+in_hlth_small_renew^4*SUMIFS(AF62:AF120,B62:B120,B66-48))</f>
        <v/>
      </c>
      <c r="AH66" s="40">
        <f>AH65*(1-IF(B65&gt;=in_marketplace_from,d_hz_hlth_family*G65,0))</f>
        <v/>
      </c>
      <c r="AI66" s="46">
        <f>AH66*IF(B66&gt;=in_marketplace_from,d_hz_hlth_family*G66,0)</f>
        <v/>
      </c>
      <c r="AJ66" s="14">
        <f>F66*AI66*in_hlth_family_ticket*in_hlth_family_comm*in_ins_partner_share+F66*in_hlth_family_ticket*in_hlth_family_renew_comm*in_ins_partner_share*(in_hlth_family_renew^1*SUMIFS(AI62:AI120,B62:B120,B66-12)+in_hlth_family_renew^2*SUMIFS(AI62:AI120,B62:B120,B66-24)+in_hlth_family_renew^3*SUMIFS(AI62:AI120,B62:B120,B66-36)+in_hlth_family_renew^4*SUMIFS(AI62:AI120,B62:B120,B66-48))</f>
        <v/>
      </c>
      <c r="AK66" s="40">
        <f>AK65*(1-IF(B65&gt;=in_marketplace_from,d_hz_life_term*G65,0))</f>
        <v/>
      </c>
      <c r="AL66" s="46">
        <f>AK66*IF(B66&gt;=in_marketplace_from,d_hz_life_term*G66,0)</f>
        <v/>
      </c>
      <c r="AM66" s="14">
        <f>F66*AL66*in_life_term_ticket*in_life_term_comm*in_ins_partner_share+F66*in_life_term_ticket*in_life_term_renew_comm*in_ins_partner_share*(in_life_term_renew^1*SUMIFS(AL62:AL120,B62:B120,B66-12)+in_life_term_renew^2*SUMIFS(AL62:AL120,B62:B120,B66-24)+in_life_term_renew^3*SUMIFS(AL62:AL120,B62:B120,B66-36)+in_life_term_renew^4*SUMIFS(AL62:AL120,B62:B120,B66-48))</f>
        <v/>
      </c>
      <c r="AN66" s="40">
        <f>AN65*(1-IF(B65&gt;=in_marketplace_from,d_hz_accident*G65,0))</f>
        <v/>
      </c>
      <c r="AO66" s="46">
        <f>AN66*IF(B66&gt;=in_marketplace_from,d_hz_accident*G66,0)</f>
        <v/>
      </c>
      <c r="AP66" s="14">
        <f>F66*AO66*in_accident_ticket*in_accident_comm*in_ins_partner_share+F66*in_accident_ticket*in_accident_renew_comm*in_ins_partner_share*(in_accident_renew^1*SUMIFS(AO62:AO120,B62:B120,B66-12)+in_accident_renew^2*SUMIFS(AO62:AO120,B62:B120,B66-24)+in_accident_renew^3*SUMIFS(AO62:AO120,B62:B120,B66-36)+in_accident_renew^4*SUMIFS(AO62:AO120,B62:B120,B66-48))</f>
        <v/>
      </c>
      <c r="AQ66" s="40">
        <f>AQ65*(1-IF(B65&gt;=in_marketplace_from,d_hz_two_wheeler*G65,0))</f>
        <v/>
      </c>
      <c r="AR66" s="46">
        <f>AQ66*IF(B66&gt;=in_marketplace_from,d_hz_two_wheeler*G66,0)</f>
        <v/>
      </c>
      <c r="AS66" s="14">
        <f>F66*AR66*in_two_wheeler_ticket*in_two_wheeler_comm*in_ins_partner_share+F66*in_two_wheeler_ticket*in_two_wheeler_comm*in_ins_partner_share*(in_two_wheeler_renew^1*SUMIFS(AR62:AR120,B62:B120,B66-12)+in_two_wheeler_renew^2*SUMIFS(AR62:AR120,B62:B120,B66-24)+in_two_wheeler_renew^3*SUMIFS(AR62:AR120,B62:B120,B66-36)+in_two_wheeler_renew^4*SUMIFS(AR62:AR120,B62:B120,B66-48))</f>
        <v/>
      </c>
      <c r="AT66" s="40">
        <f>AT65*(1-IF(B65&gt;=in_marketplace_from,d_hz_device*G65,0))</f>
        <v/>
      </c>
      <c r="AU66" s="14">
        <f>F66*AT66*IF(B66&gt;=in_marketplace_from,d_hz_device*G66,0)*in_device_ticket*in_device_comm*in_ins_partner_share</f>
        <v/>
      </c>
      <c r="AV66" s="40">
        <f>AV65*(1-IF(B65&gt;=in_marketplace_from,d_hz_shop*G65,0))</f>
        <v/>
      </c>
      <c r="AW66" s="46">
        <f>AV66*IF(B66&gt;=in_marketplace_from,d_hz_shop*G66,0)</f>
        <v/>
      </c>
      <c r="AX66" s="14">
        <f>F66*AW66*in_shop_ticket*in_shop_comm*in_ins_partner_share+F66*in_shop_ticket*in_shop_renew_comm*in_ins_partner_share*(in_shop_renew^1*SUMIFS(AW62:AW120,B62:B120,B66-12)+in_shop_renew^2*SUMIFS(AW62:AW120,B62:B120,B66-24)+in_shop_renew^3*SUMIFS(AW62:AW120,B62:B120,B66-36)+in_shop_renew^4*SUMIFS(AW62:AW120,B62:B120,B66-48))</f>
        <v/>
      </c>
      <c r="AY66" s="40">
        <f>AY65*(1-IF(B65&gt;=in_marketplace_from,d_hz_sip*G65,0))</f>
        <v/>
      </c>
      <c r="AZ66" s="40">
        <f>AZ65*d_rho_sip+AY66*IF(B66&gt;=in_marketplace_from,d_hz_sip*G66,0)</f>
        <v/>
      </c>
      <c r="BA66" s="40">
        <f>d_rho_sip*(BA65+AZ65)</f>
        <v/>
      </c>
      <c r="BB66" s="14">
        <f>F66*in_sip_ticket*(BA66+0.5*AZ66)*in_sip_comm/12</f>
        <v/>
      </c>
      <c r="BC66" s="40">
        <f>BC65*(1-IF(B65&gt;=in_marketplace_from,d_hz_choti*G65,0))</f>
        <v/>
      </c>
      <c r="BD66" s="46">
        <f>BC66*IF(B66&gt;=in_marketplace_from,d_hz_choti*G66,0)</f>
        <v/>
      </c>
      <c r="BE66" s="14">
        <f>F66*SUMIFS(BD62:BD120,B62:B120,B66-in_choti_months)*in_choti_renew*in_choti_ticket</f>
        <v/>
      </c>
      <c r="BF66" s="40">
        <f>BF65*(1-IF(B65&gt;=in_marketplace_from,d_hz_nps*G65,0))</f>
        <v/>
      </c>
      <c r="BG66" s="14">
        <f>F66*BF66*IF(B66&gt;=in_marketplace_from,d_hz_nps*G66,0)*in_nps_ticket*in_nps_comm</f>
        <v/>
      </c>
      <c r="BH66" s="40">
        <f>BH65*(1-IF(B65&gt;=in_marketplace_from,d_hz_gold*G65,0))</f>
        <v/>
      </c>
      <c r="BI66" s="40">
        <f>BI65*d_rho_gold+BH66*IF(B66&gt;=in_marketplace_from,d_hz_gold*G66,0)</f>
        <v/>
      </c>
      <c r="BJ66" s="14">
        <f>F66*BI66*in_gold_ticket*in_gold_comm</f>
        <v/>
      </c>
      <c r="BK66" s="40">
        <f>BK65*(1-IF(B65&gt;=in_marketplace_from,d_hz_fd*G65,0))</f>
        <v/>
      </c>
      <c r="BL66" s="14">
        <f>F66*BK66*IF(B66&gt;=in_marketplace_from,d_hz_fd*G66,0)*in_fd_ticket*in_fd_comm</f>
        <v/>
      </c>
      <c r="BM66" s="40">
        <f>BM65*(1-IF(B65&gt;=in_marketplace_from,d_hz_recharge*G65,0))</f>
        <v/>
      </c>
      <c r="BN66" s="40">
        <f>BN65*d_rho_recharge+BM66*IF(B66&gt;=in_marketplace_from,d_hz_recharge*G66,0)</f>
        <v/>
      </c>
      <c r="BO66" s="14">
        <f>F66*BN66*in_recharge_ticket*in_recharge_comm/12</f>
        <v/>
      </c>
      <c r="BP66" s="40">
        <f>BP65*(1-IF(B65&gt;=in_marketplace_from,d_hz_bills*G65,0))</f>
        <v/>
      </c>
      <c r="BQ66" s="40">
        <f>BQ65*d_rho_bills+BP66*IF(B66&gt;=in_marketplace_from,d_hz_bills*G66,0)</f>
        <v/>
      </c>
      <c r="BR66" s="14">
        <f>F66*BQ66*in_bills_ticket*in_bills_comm/12</f>
        <v/>
      </c>
      <c r="BS66" s="40">
        <f>BS65*(1-IF(B65&gt;=in_marketplace_from,d_hz_loan_gold*G65,0))</f>
        <v/>
      </c>
      <c r="BT66" s="14">
        <f>F66*BS66*IF(B66&gt;=in_marketplace_from,d_hz_loan_gold*G66,0)*in_loan_gold_ticket*in_loan_gold_comm</f>
        <v/>
      </c>
      <c r="BU66" s="40">
        <f>BU65*(1-IF(B65&gt;=in_marketplace_from,d_hz_loan_cd*G65,0))</f>
        <v/>
      </c>
      <c r="BV66" s="14">
        <f>F66*BU66*IF(B66&gt;=in_marketplace_from,d_hz_loan_cd*G66,0)*in_loan_cd_ticket*in_loan_cd_comm</f>
        <v/>
      </c>
      <c r="BW66" s="40">
        <f>BW65*(1-IF(B65&gt;=in_marketplace_from,d_hz_loan_vehicle*G65,0))</f>
        <v/>
      </c>
      <c r="BX66" s="14">
        <f>F66*BW66*IF(B66&gt;=in_marketplace_from,d_hz_loan_vehicle*G66,0)*in_loan_vehicle_ticket*in_loan_vehicle_comm</f>
        <v/>
      </c>
      <c r="BY66" s="40">
        <f>BY65*(1-IF(B65&gt;=in_marketplace_from,d_hz_loan_home*G65,0)*BZ65)</f>
        <v/>
      </c>
      <c r="BZ66" s="11">
        <f>MIN(in_approval_cap,in_loan_home_approval*INDEX('Age profile'!$O$2:$O$61,B66)*(1+in_approval_growth)^(D66-1))</f>
        <v/>
      </c>
      <c r="CA66" s="14">
        <f>F66*BY66*IF(B66&gt;=in_marketplace_from,d_hz_loan_home*G66,0)*BZ66*in_loan_home_ticket*in_loan_home_comm</f>
        <v/>
      </c>
      <c r="CB66" s="40">
        <f>CB65*(1-IF(B65&gt;=in_marketplace_from,d_hz_loan_lap*G65,0)*CC65)</f>
        <v/>
      </c>
      <c r="CC66" s="11">
        <f>MIN(in_approval_cap,in_loan_lap_approval*INDEX('Age profile'!$O$2:$O$61,B66)*(1+in_approval_growth)^(D66-1))</f>
        <v/>
      </c>
      <c r="CD66" s="14">
        <f>F66*CB66*IF(B66&gt;=in_marketplace_from,d_hz_loan_lap*G66,0)*CC66*in_loan_lap_ticket*in_loan_lap_comm</f>
        <v/>
      </c>
      <c r="CE66" s="14">
        <f>AA66+AB66+AC66+AD66+AG66+AJ66+AM66+AP66+AS66+AU66+AX66+BB66+BE66+BG66+BJ66+BL66+BO66+BR66+BT66+BV66+BX66+CA66+CD66</f>
        <v/>
      </c>
    </row>
    <row r="67">
      <c r="A67" s="39" t="n">
        <v>2</v>
      </c>
      <c r="B67" s="39" t="n">
        <v>6</v>
      </c>
      <c r="C67" s="39">
        <f>A67+B67-1</f>
        <v/>
      </c>
      <c r="D67" s="39">
        <f>INT((C67-1)/12)+1</f>
        <v/>
      </c>
      <c r="E67" s="44">
        <f>INDEX(Monthly!$B$2:$B$61,A67)</f>
        <v/>
      </c>
      <c r="F67" s="44">
        <f>E67*INDEX('Age profile'!$B$2:$B$61,B67)</f>
        <v/>
      </c>
      <c r="G67" s="45">
        <f>MIN(in_takeup_cap,INDEX('Age profile'!$N$2:$N$61,B67)*(1+in_takeup_growth)^(D67-1))</f>
        <v/>
      </c>
      <c r="H67" s="11">
        <f>MIN(in_approval_cap,in_approved_first*INDEX('Age profile'!$O$2:$O$61,B67)*(1+in_approval_growth)^(D67-1))</f>
        <v/>
      </c>
      <c r="I67" s="45">
        <f>G67*MIN(in_takeup_cap,INDEX('Age profile'!$O$2:$O$61,B67)*(1+in_approval_growth)^(D67-1))</f>
        <v/>
      </c>
      <c r="J67" s="40">
        <f>(J66-L66)*F67/F66</f>
        <v/>
      </c>
      <c r="K67" s="40">
        <f>(K66-M66)*F67/F66+SUMIFS(O62:O66,B62:B66,B67-1-d_T)*F67</f>
        <v/>
      </c>
      <c r="L67" s="40">
        <f>IF(B67&gt;=in_marketplace_from,J67*d_hz*G67*in_eligible*H67,0)</f>
        <v/>
      </c>
      <c r="M67" s="40">
        <f>IF(B67&gt;=in_marketplace_from,K67*d_hz*G67*in_eligible*in_approved_repeat,0)</f>
        <v/>
      </c>
      <c r="N67" s="40">
        <f>L67+M67</f>
        <v/>
      </c>
      <c r="O67" s="46">
        <f>N67/F67</f>
        <v/>
      </c>
      <c r="P67" s="40">
        <f>F67-J67-K67</f>
        <v/>
      </c>
      <c r="Q67" s="40">
        <f>IF(B67&gt;=in_marketplace_from,(J67+K67)*d_hz*G67,0)</f>
        <v/>
      </c>
      <c r="R67" s="40">
        <f>SUMIFS(N62:N120,B62:B120,"&gt;="&amp;(B67-d_T),B62:B120,"&lt;="&amp;(B67-1))</f>
        <v/>
      </c>
      <c r="S67" s="46">
        <f>(1-d_u)*S66+IF(d_T&gt;in_topup_lag,SUMIFS(O62:O120,B62:B120,B67-in_topup_lag)-d_udrop*SUMIFS(O62:O120,B62:B120,B67-d_T),0)</f>
        <v/>
      </c>
      <c r="T67" s="40">
        <f>F67*d_u*S67</f>
        <v/>
      </c>
      <c r="U67" s="9">
        <f>L67*in_ticket+M67*d_rep_ticket</f>
        <v/>
      </c>
      <c r="V67" s="9">
        <f>U67+T67*d_topup_amt</f>
        <v/>
      </c>
      <c r="W67" s="40">
        <f>N67+T67*d_topup_ratio</f>
        <v/>
      </c>
      <c r="X67" s="40">
        <f>SUMIFS(W62:W120,B62:B120,B67-in_dpd_lag)*d_cured</f>
        <v/>
      </c>
      <c r="Y67" s="40">
        <f>SUMIFS(W62:W120,B62:B120,B67-in_rec_lag)*d_recd</f>
        <v/>
      </c>
      <c r="Z67" s="40">
        <f>IF(AND(B67&gt;=in_marketplace_from,B67&lt;in_marketplace_from+in_card_months),in_card_share/in_card_months*F67*I67,IF(AND(B67&gt;=in_marketplace_from+in_card_months,B67&lt;in_marketplace_from+2*in_card_months),in_card_share*d_card_rem/in_card_months*F67*MIN(in_takeup_cap,(1+in_takeup_growth)^(D67-1))*MIN(in_takeup_cap,(1+in_approval_growth)^(D67-1)),0))</f>
        <v/>
      </c>
      <c r="AA67" s="14">
        <f>V67*in_fee*(1-in_taken_back)</f>
        <v/>
      </c>
      <c r="AB67" s="14">
        <f>SUMIFS(W62:W120,B62:B120,B67-in_dpd_lag)*d_dpd</f>
        <v/>
      </c>
      <c r="AC67" s="14">
        <f>SUMIFS(W62:W120,B62:B120,B67-in_rec_lag)*d_rec</f>
        <v/>
      </c>
      <c r="AD67" s="14">
        <f>Z67*in_card_fee</f>
        <v/>
      </c>
      <c r="AE67" s="40">
        <f>AE66*(1-IF(B66&gt;=in_marketplace_from,d_hz_hlth_small*G66,0))</f>
        <v/>
      </c>
      <c r="AF67" s="46">
        <f>AE67*IF(B67&gt;=in_marketplace_from,d_hz_hlth_small*G67,0)</f>
        <v/>
      </c>
      <c r="AG67" s="14">
        <f>F67*AF67*in_hlth_small_ticket*in_hlth_small_comm*in_ins_partner_share+F67*in_hlth_small_ticket*in_hlth_small_renew_comm*in_ins_partner_share*(in_hlth_small_renew^1*SUMIFS(AF62:AF120,B62:B120,B67-12)+in_hlth_small_renew^2*SUMIFS(AF62:AF120,B62:B120,B67-24)+in_hlth_small_renew^3*SUMIFS(AF62:AF120,B62:B120,B67-36)+in_hlth_small_renew^4*SUMIFS(AF62:AF120,B62:B120,B67-48))</f>
        <v/>
      </c>
      <c r="AH67" s="40">
        <f>AH66*(1-IF(B66&gt;=in_marketplace_from,d_hz_hlth_family*G66,0))</f>
        <v/>
      </c>
      <c r="AI67" s="46">
        <f>AH67*IF(B67&gt;=in_marketplace_from,d_hz_hlth_family*G67,0)</f>
        <v/>
      </c>
      <c r="AJ67" s="14">
        <f>F67*AI67*in_hlth_family_ticket*in_hlth_family_comm*in_ins_partner_share+F67*in_hlth_family_ticket*in_hlth_family_renew_comm*in_ins_partner_share*(in_hlth_family_renew^1*SUMIFS(AI62:AI120,B62:B120,B67-12)+in_hlth_family_renew^2*SUMIFS(AI62:AI120,B62:B120,B67-24)+in_hlth_family_renew^3*SUMIFS(AI62:AI120,B62:B120,B67-36)+in_hlth_family_renew^4*SUMIFS(AI62:AI120,B62:B120,B67-48))</f>
        <v/>
      </c>
      <c r="AK67" s="40">
        <f>AK66*(1-IF(B66&gt;=in_marketplace_from,d_hz_life_term*G66,0))</f>
        <v/>
      </c>
      <c r="AL67" s="46">
        <f>AK67*IF(B67&gt;=in_marketplace_from,d_hz_life_term*G67,0)</f>
        <v/>
      </c>
      <c r="AM67" s="14">
        <f>F67*AL67*in_life_term_ticket*in_life_term_comm*in_ins_partner_share+F67*in_life_term_ticket*in_life_term_renew_comm*in_ins_partner_share*(in_life_term_renew^1*SUMIFS(AL62:AL120,B62:B120,B67-12)+in_life_term_renew^2*SUMIFS(AL62:AL120,B62:B120,B67-24)+in_life_term_renew^3*SUMIFS(AL62:AL120,B62:B120,B67-36)+in_life_term_renew^4*SUMIFS(AL62:AL120,B62:B120,B67-48))</f>
        <v/>
      </c>
      <c r="AN67" s="40">
        <f>AN66*(1-IF(B66&gt;=in_marketplace_from,d_hz_accident*G66,0))</f>
        <v/>
      </c>
      <c r="AO67" s="46">
        <f>AN67*IF(B67&gt;=in_marketplace_from,d_hz_accident*G67,0)</f>
        <v/>
      </c>
      <c r="AP67" s="14">
        <f>F67*AO67*in_accident_ticket*in_accident_comm*in_ins_partner_share+F67*in_accident_ticket*in_accident_renew_comm*in_ins_partner_share*(in_accident_renew^1*SUMIFS(AO62:AO120,B62:B120,B67-12)+in_accident_renew^2*SUMIFS(AO62:AO120,B62:B120,B67-24)+in_accident_renew^3*SUMIFS(AO62:AO120,B62:B120,B67-36)+in_accident_renew^4*SUMIFS(AO62:AO120,B62:B120,B67-48))</f>
        <v/>
      </c>
      <c r="AQ67" s="40">
        <f>AQ66*(1-IF(B66&gt;=in_marketplace_from,d_hz_two_wheeler*G66,0))</f>
        <v/>
      </c>
      <c r="AR67" s="46">
        <f>AQ67*IF(B67&gt;=in_marketplace_from,d_hz_two_wheeler*G67,0)</f>
        <v/>
      </c>
      <c r="AS67" s="14">
        <f>F67*AR67*in_two_wheeler_ticket*in_two_wheeler_comm*in_ins_partner_share+F67*in_two_wheeler_ticket*in_two_wheeler_comm*in_ins_partner_share*(in_two_wheeler_renew^1*SUMIFS(AR62:AR120,B62:B120,B67-12)+in_two_wheeler_renew^2*SUMIFS(AR62:AR120,B62:B120,B67-24)+in_two_wheeler_renew^3*SUMIFS(AR62:AR120,B62:B120,B67-36)+in_two_wheeler_renew^4*SUMIFS(AR62:AR120,B62:B120,B67-48))</f>
        <v/>
      </c>
      <c r="AT67" s="40">
        <f>AT66*(1-IF(B66&gt;=in_marketplace_from,d_hz_device*G66,0))</f>
        <v/>
      </c>
      <c r="AU67" s="14">
        <f>F67*AT67*IF(B67&gt;=in_marketplace_from,d_hz_device*G67,0)*in_device_ticket*in_device_comm*in_ins_partner_share</f>
        <v/>
      </c>
      <c r="AV67" s="40">
        <f>AV66*(1-IF(B66&gt;=in_marketplace_from,d_hz_shop*G66,0))</f>
        <v/>
      </c>
      <c r="AW67" s="46">
        <f>AV67*IF(B67&gt;=in_marketplace_from,d_hz_shop*G67,0)</f>
        <v/>
      </c>
      <c r="AX67" s="14">
        <f>F67*AW67*in_shop_ticket*in_shop_comm*in_ins_partner_share+F67*in_shop_ticket*in_shop_renew_comm*in_ins_partner_share*(in_shop_renew^1*SUMIFS(AW62:AW120,B62:B120,B67-12)+in_shop_renew^2*SUMIFS(AW62:AW120,B62:B120,B67-24)+in_shop_renew^3*SUMIFS(AW62:AW120,B62:B120,B67-36)+in_shop_renew^4*SUMIFS(AW62:AW120,B62:B120,B67-48))</f>
        <v/>
      </c>
      <c r="AY67" s="40">
        <f>AY66*(1-IF(B66&gt;=in_marketplace_from,d_hz_sip*G66,0))</f>
        <v/>
      </c>
      <c r="AZ67" s="40">
        <f>AZ66*d_rho_sip+AY67*IF(B67&gt;=in_marketplace_from,d_hz_sip*G67,0)</f>
        <v/>
      </c>
      <c r="BA67" s="40">
        <f>d_rho_sip*(BA66+AZ66)</f>
        <v/>
      </c>
      <c r="BB67" s="14">
        <f>F67*in_sip_ticket*(BA67+0.5*AZ67)*in_sip_comm/12</f>
        <v/>
      </c>
      <c r="BC67" s="40">
        <f>BC66*(1-IF(B66&gt;=in_marketplace_from,d_hz_choti*G66,0))</f>
        <v/>
      </c>
      <c r="BD67" s="46">
        <f>BC67*IF(B67&gt;=in_marketplace_from,d_hz_choti*G67,0)</f>
        <v/>
      </c>
      <c r="BE67" s="14">
        <f>F67*SUMIFS(BD62:BD120,B62:B120,B67-in_choti_months)*in_choti_renew*in_choti_ticket</f>
        <v/>
      </c>
      <c r="BF67" s="40">
        <f>BF66*(1-IF(B66&gt;=in_marketplace_from,d_hz_nps*G66,0))</f>
        <v/>
      </c>
      <c r="BG67" s="14">
        <f>F67*BF67*IF(B67&gt;=in_marketplace_from,d_hz_nps*G67,0)*in_nps_ticket*in_nps_comm</f>
        <v/>
      </c>
      <c r="BH67" s="40">
        <f>BH66*(1-IF(B66&gt;=in_marketplace_from,d_hz_gold*G66,0))</f>
        <v/>
      </c>
      <c r="BI67" s="40">
        <f>BI66*d_rho_gold+BH67*IF(B67&gt;=in_marketplace_from,d_hz_gold*G67,0)</f>
        <v/>
      </c>
      <c r="BJ67" s="14">
        <f>F67*BI67*in_gold_ticket*in_gold_comm</f>
        <v/>
      </c>
      <c r="BK67" s="40">
        <f>BK66*(1-IF(B66&gt;=in_marketplace_from,d_hz_fd*G66,0))</f>
        <v/>
      </c>
      <c r="BL67" s="14">
        <f>F67*BK67*IF(B67&gt;=in_marketplace_from,d_hz_fd*G67,0)*in_fd_ticket*in_fd_comm</f>
        <v/>
      </c>
      <c r="BM67" s="40">
        <f>BM66*(1-IF(B66&gt;=in_marketplace_from,d_hz_recharge*G66,0))</f>
        <v/>
      </c>
      <c r="BN67" s="40">
        <f>BN66*d_rho_recharge+BM67*IF(B67&gt;=in_marketplace_from,d_hz_recharge*G67,0)</f>
        <v/>
      </c>
      <c r="BO67" s="14">
        <f>F67*BN67*in_recharge_ticket*in_recharge_comm/12</f>
        <v/>
      </c>
      <c r="BP67" s="40">
        <f>BP66*(1-IF(B66&gt;=in_marketplace_from,d_hz_bills*G66,0))</f>
        <v/>
      </c>
      <c r="BQ67" s="40">
        <f>BQ66*d_rho_bills+BP67*IF(B67&gt;=in_marketplace_from,d_hz_bills*G67,0)</f>
        <v/>
      </c>
      <c r="BR67" s="14">
        <f>F67*BQ67*in_bills_ticket*in_bills_comm/12</f>
        <v/>
      </c>
      <c r="BS67" s="40">
        <f>BS66*(1-IF(B66&gt;=in_marketplace_from,d_hz_loan_gold*G66,0))</f>
        <v/>
      </c>
      <c r="BT67" s="14">
        <f>F67*BS67*IF(B67&gt;=in_marketplace_from,d_hz_loan_gold*G67,0)*in_loan_gold_ticket*in_loan_gold_comm</f>
        <v/>
      </c>
      <c r="BU67" s="40">
        <f>BU66*(1-IF(B66&gt;=in_marketplace_from,d_hz_loan_cd*G66,0))</f>
        <v/>
      </c>
      <c r="BV67" s="14">
        <f>F67*BU67*IF(B67&gt;=in_marketplace_from,d_hz_loan_cd*G67,0)*in_loan_cd_ticket*in_loan_cd_comm</f>
        <v/>
      </c>
      <c r="BW67" s="40">
        <f>BW66*(1-IF(B66&gt;=in_marketplace_from,d_hz_loan_vehicle*G66,0))</f>
        <v/>
      </c>
      <c r="BX67" s="14">
        <f>F67*BW67*IF(B67&gt;=in_marketplace_from,d_hz_loan_vehicle*G67,0)*in_loan_vehicle_ticket*in_loan_vehicle_comm</f>
        <v/>
      </c>
      <c r="BY67" s="40">
        <f>BY66*(1-IF(B66&gt;=in_marketplace_from,d_hz_loan_home*G66,0)*BZ66)</f>
        <v/>
      </c>
      <c r="BZ67" s="11">
        <f>MIN(in_approval_cap,in_loan_home_approval*INDEX('Age profile'!$O$2:$O$61,B67)*(1+in_approval_growth)^(D67-1))</f>
        <v/>
      </c>
      <c r="CA67" s="14">
        <f>F67*BY67*IF(B67&gt;=in_marketplace_from,d_hz_loan_home*G67,0)*BZ67*in_loan_home_ticket*in_loan_home_comm</f>
        <v/>
      </c>
      <c r="CB67" s="40">
        <f>CB66*(1-IF(B66&gt;=in_marketplace_from,d_hz_loan_lap*G66,0)*CC66)</f>
        <v/>
      </c>
      <c r="CC67" s="11">
        <f>MIN(in_approval_cap,in_loan_lap_approval*INDEX('Age profile'!$O$2:$O$61,B67)*(1+in_approval_growth)^(D67-1))</f>
        <v/>
      </c>
      <c r="CD67" s="14">
        <f>F67*CB67*IF(B67&gt;=in_marketplace_from,d_hz_loan_lap*G67,0)*CC67*in_loan_lap_ticket*in_loan_lap_comm</f>
        <v/>
      </c>
      <c r="CE67" s="14">
        <f>AA67+AB67+AC67+AD67+AG67+AJ67+AM67+AP67+AS67+AU67+AX67+BB67+BE67+BG67+BJ67+BL67+BO67+BR67+BT67+BV67+BX67+CA67+CD67</f>
        <v/>
      </c>
    </row>
    <row r="68">
      <c r="A68" s="39" t="n">
        <v>2</v>
      </c>
      <c r="B68" s="39" t="n">
        <v>7</v>
      </c>
      <c r="C68" s="39">
        <f>A68+B68-1</f>
        <v/>
      </c>
      <c r="D68" s="39">
        <f>INT((C68-1)/12)+1</f>
        <v/>
      </c>
      <c r="E68" s="44">
        <f>INDEX(Monthly!$B$2:$B$61,A68)</f>
        <v/>
      </c>
      <c r="F68" s="44">
        <f>E68*INDEX('Age profile'!$B$2:$B$61,B68)</f>
        <v/>
      </c>
      <c r="G68" s="45">
        <f>MIN(in_takeup_cap,INDEX('Age profile'!$N$2:$N$61,B68)*(1+in_takeup_growth)^(D68-1))</f>
        <v/>
      </c>
      <c r="H68" s="11">
        <f>MIN(in_approval_cap,in_approved_first*INDEX('Age profile'!$O$2:$O$61,B68)*(1+in_approval_growth)^(D68-1))</f>
        <v/>
      </c>
      <c r="I68" s="45">
        <f>G68*MIN(in_takeup_cap,INDEX('Age profile'!$O$2:$O$61,B68)*(1+in_approval_growth)^(D68-1))</f>
        <v/>
      </c>
      <c r="J68" s="40">
        <f>(J67-L67)*F68/F67</f>
        <v/>
      </c>
      <c r="K68" s="40">
        <f>(K67-M67)*F68/F67+SUMIFS(O62:O67,B62:B67,B68-1-d_T)*F68</f>
        <v/>
      </c>
      <c r="L68" s="40">
        <f>IF(B68&gt;=in_marketplace_from,J68*d_hz*G68*in_eligible*H68,0)</f>
        <v/>
      </c>
      <c r="M68" s="40">
        <f>IF(B68&gt;=in_marketplace_from,K68*d_hz*G68*in_eligible*in_approved_repeat,0)</f>
        <v/>
      </c>
      <c r="N68" s="40">
        <f>L68+M68</f>
        <v/>
      </c>
      <c r="O68" s="46">
        <f>N68/F68</f>
        <v/>
      </c>
      <c r="P68" s="40">
        <f>F68-J68-K68</f>
        <v/>
      </c>
      <c r="Q68" s="40">
        <f>IF(B68&gt;=in_marketplace_from,(J68+K68)*d_hz*G68,0)</f>
        <v/>
      </c>
      <c r="R68" s="40">
        <f>SUMIFS(N62:N120,B62:B120,"&gt;="&amp;(B68-d_T),B62:B120,"&lt;="&amp;(B68-1))</f>
        <v/>
      </c>
      <c r="S68" s="46">
        <f>(1-d_u)*S67+IF(d_T&gt;in_topup_lag,SUMIFS(O62:O120,B62:B120,B68-in_topup_lag)-d_udrop*SUMIFS(O62:O120,B62:B120,B68-d_T),0)</f>
        <v/>
      </c>
      <c r="T68" s="40">
        <f>F68*d_u*S68</f>
        <v/>
      </c>
      <c r="U68" s="9">
        <f>L68*in_ticket+M68*d_rep_ticket</f>
        <v/>
      </c>
      <c r="V68" s="9">
        <f>U68+T68*d_topup_amt</f>
        <v/>
      </c>
      <c r="W68" s="40">
        <f>N68+T68*d_topup_ratio</f>
        <v/>
      </c>
      <c r="X68" s="40">
        <f>SUMIFS(W62:W120,B62:B120,B68-in_dpd_lag)*d_cured</f>
        <v/>
      </c>
      <c r="Y68" s="40">
        <f>SUMIFS(W62:W120,B62:B120,B68-in_rec_lag)*d_recd</f>
        <v/>
      </c>
      <c r="Z68" s="40">
        <f>IF(AND(B68&gt;=in_marketplace_from,B68&lt;in_marketplace_from+in_card_months),in_card_share/in_card_months*F68*I68,IF(AND(B68&gt;=in_marketplace_from+in_card_months,B68&lt;in_marketplace_from+2*in_card_months),in_card_share*d_card_rem/in_card_months*F68*MIN(in_takeup_cap,(1+in_takeup_growth)^(D68-1))*MIN(in_takeup_cap,(1+in_approval_growth)^(D68-1)),0))</f>
        <v/>
      </c>
      <c r="AA68" s="14">
        <f>V68*in_fee*(1-in_taken_back)</f>
        <v/>
      </c>
      <c r="AB68" s="14">
        <f>SUMIFS(W62:W120,B62:B120,B68-in_dpd_lag)*d_dpd</f>
        <v/>
      </c>
      <c r="AC68" s="14">
        <f>SUMIFS(W62:W120,B62:B120,B68-in_rec_lag)*d_rec</f>
        <v/>
      </c>
      <c r="AD68" s="14">
        <f>Z68*in_card_fee</f>
        <v/>
      </c>
      <c r="AE68" s="40">
        <f>AE67*(1-IF(B67&gt;=in_marketplace_from,d_hz_hlth_small*G67,0))</f>
        <v/>
      </c>
      <c r="AF68" s="46">
        <f>AE68*IF(B68&gt;=in_marketplace_from,d_hz_hlth_small*G68,0)</f>
        <v/>
      </c>
      <c r="AG68" s="14">
        <f>F68*AF68*in_hlth_small_ticket*in_hlth_small_comm*in_ins_partner_share+F68*in_hlth_small_ticket*in_hlth_small_renew_comm*in_ins_partner_share*(in_hlth_small_renew^1*SUMIFS(AF62:AF120,B62:B120,B68-12)+in_hlth_small_renew^2*SUMIFS(AF62:AF120,B62:B120,B68-24)+in_hlth_small_renew^3*SUMIFS(AF62:AF120,B62:B120,B68-36)+in_hlth_small_renew^4*SUMIFS(AF62:AF120,B62:B120,B68-48))</f>
        <v/>
      </c>
      <c r="AH68" s="40">
        <f>AH67*(1-IF(B67&gt;=in_marketplace_from,d_hz_hlth_family*G67,0))</f>
        <v/>
      </c>
      <c r="AI68" s="46">
        <f>AH68*IF(B68&gt;=in_marketplace_from,d_hz_hlth_family*G68,0)</f>
        <v/>
      </c>
      <c r="AJ68" s="14">
        <f>F68*AI68*in_hlth_family_ticket*in_hlth_family_comm*in_ins_partner_share+F68*in_hlth_family_ticket*in_hlth_family_renew_comm*in_ins_partner_share*(in_hlth_family_renew^1*SUMIFS(AI62:AI120,B62:B120,B68-12)+in_hlth_family_renew^2*SUMIFS(AI62:AI120,B62:B120,B68-24)+in_hlth_family_renew^3*SUMIFS(AI62:AI120,B62:B120,B68-36)+in_hlth_family_renew^4*SUMIFS(AI62:AI120,B62:B120,B68-48))</f>
        <v/>
      </c>
      <c r="AK68" s="40">
        <f>AK67*(1-IF(B67&gt;=in_marketplace_from,d_hz_life_term*G67,0))</f>
        <v/>
      </c>
      <c r="AL68" s="46">
        <f>AK68*IF(B68&gt;=in_marketplace_from,d_hz_life_term*G68,0)</f>
        <v/>
      </c>
      <c r="AM68" s="14">
        <f>F68*AL68*in_life_term_ticket*in_life_term_comm*in_ins_partner_share+F68*in_life_term_ticket*in_life_term_renew_comm*in_ins_partner_share*(in_life_term_renew^1*SUMIFS(AL62:AL120,B62:B120,B68-12)+in_life_term_renew^2*SUMIFS(AL62:AL120,B62:B120,B68-24)+in_life_term_renew^3*SUMIFS(AL62:AL120,B62:B120,B68-36)+in_life_term_renew^4*SUMIFS(AL62:AL120,B62:B120,B68-48))</f>
        <v/>
      </c>
      <c r="AN68" s="40">
        <f>AN67*(1-IF(B67&gt;=in_marketplace_from,d_hz_accident*G67,0))</f>
        <v/>
      </c>
      <c r="AO68" s="46">
        <f>AN68*IF(B68&gt;=in_marketplace_from,d_hz_accident*G68,0)</f>
        <v/>
      </c>
      <c r="AP68" s="14">
        <f>F68*AO68*in_accident_ticket*in_accident_comm*in_ins_partner_share+F68*in_accident_ticket*in_accident_renew_comm*in_ins_partner_share*(in_accident_renew^1*SUMIFS(AO62:AO120,B62:B120,B68-12)+in_accident_renew^2*SUMIFS(AO62:AO120,B62:B120,B68-24)+in_accident_renew^3*SUMIFS(AO62:AO120,B62:B120,B68-36)+in_accident_renew^4*SUMIFS(AO62:AO120,B62:B120,B68-48))</f>
        <v/>
      </c>
      <c r="AQ68" s="40">
        <f>AQ67*(1-IF(B67&gt;=in_marketplace_from,d_hz_two_wheeler*G67,0))</f>
        <v/>
      </c>
      <c r="AR68" s="46">
        <f>AQ68*IF(B68&gt;=in_marketplace_from,d_hz_two_wheeler*G68,0)</f>
        <v/>
      </c>
      <c r="AS68" s="14">
        <f>F68*AR68*in_two_wheeler_ticket*in_two_wheeler_comm*in_ins_partner_share+F68*in_two_wheeler_ticket*in_two_wheeler_comm*in_ins_partner_share*(in_two_wheeler_renew^1*SUMIFS(AR62:AR120,B62:B120,B68-12)+in_two_wheeler_renew^2*SUMIFS(AR62:AR120,B62:B120,B68-24)+in_two_wheeler_renew^3*SUMIFS(AR62:AR120,B62:B120,B68-36)+in_two_wheeler_renew^4*SUMIFS(AR62:AR120,B62:B120,B68-48))</f>
        <v/>
      </c>
      <c r="AT68" s="40">
        <f>AT67*(1-IF(B67&gt;=in_marketplace_from,d_hz_device*G67,0))</f>
        <v/>
      </c>
      <c r="AU68" s="14">
        <f>F68*AT68*IF(B68&gt;=in_marketplace_from,d_hz_device*G68,0)*in_device_ticket*in_device_comm*in_ins_partner_share</f>
        <v/>
      </c>
      <c r="AV68" s="40">
        <f>AV67*(1-IF(B67&gt;=in_marketplace_from,d_hz_shop*G67,0))</f>
        <v/>
      </c>
      <c r="AW68" s="46">
        <f>AV68*IF(B68&gt;=in_marketplace_from,d_hz_shop*G68,0)</f>
        <v/>
      </c>
      <c r="AX68" s="14">
        <f>F68*AW68*in_shop_ticket*in_shop_comm*in_ins_partner_share+F68*in_shop_ticket*in_shop_renew_comm*in_ins_partner_share*(in_shop_renew^1*SUMIFS(AW62:AW120,B62:B120,B68-12)+in_shop_renew^2*SUMIFS(AW62:AW120,B62:B120,B68-24)+in_shop_renew^3*SUMIFS(AW62:AW120,B62:B120,B68-36)+in_shop_renew^4*SUMIFS(AW62:AW120,B62:B120,B68-48))</f>
        <v/>
      </c>
      <c r="AY68" s="40">
        <f>AY67*(1-IF(B67&gt;=in_marketplace_from,d_hz_sip*G67,0))</f>
        <v/>
      </c>
      <c r="AZ68" s="40">
        <f>AZ67*d_rho_sip+AY68*IF(B68&gt;=in_marketplace_from,d_hz_sip*G68,0)</f>
        <v/>
      </c>
      <c r="BA68" s="40">
        <f>d_rho_sip*(BA67+AZ67)</f>
        <v/>
      </c>
      <c r="BB68" s="14">
        <f>F68*in_sip_ticket*(BA68+0.5*AZ68)*in_sip_comm/12</f>
        <v/>
      </c>
      <c r="BC68" s="40">
        <f>BC67*(1-IF(B67&gt;=in_marketplace_from,d_hz_choti*G67,0))</f>
        <v/>
      </c>
      <c r="BD68" s="46">
        <f>BC68*IF(B68&gt;=in_marketplace_from,d_hz_choti*G68,0)</f>
        <v/>
      </c>
      <c r="BE68" s="14">
        <f>F68*SUMIFS(BD62:BD120,B62:B120,B68-in_choti_months)*in_choti_renew*in_choti_ticket</f>
        <v/>
      </c>
      <c r="BF68" s="40">
        <f>BF67*(1-IF(B67&gt;=in_marketplace_from,d_hz_nps*G67,0))</f>
        <v/>
      </c>
      <c r="BG68" s="14">
        <f>F68*BF68*IF(B68&gt;=in_marketplace_from,d_hz_nps*G68,0)*in_nps_ticket*in_nps_comm</f>
        <v/>
      </c>
      <c r="BH68" s="40">
        <f>BH67*(1-IF(B67&gt;=in_marketplace_from,d_hz_gold*G67,0))</f>
        <v/>
      </c>
      <c r="BI68" s="40">
        <f>BI67*d_rho_gold+BH68*IF(B68&gt;=in_marketplace_from,d_hz_gold*G68,0)</f>
        <v/>
      </c>
      <c r="BJ68" s="14">
        <f>F68*BI68*in_gold_ticket*in_gold_comm</f>
        <v/>
      </c>
      <c r="BK68" s="40">
        <f>BK67*(1-IF(B67&gt;=in_marketplace_from,d_hz_fd*G67,0))</f>
        <v/>
      </c>
      <c r="BL68" s="14">
        <f>F68*BK68*IF(B68&gt;=in_marketplace_from,d_hz_fd*G68,0)*in_fd_ticket*in_fd_comm</f>
        <v/>
      </c>
      <c r="BM68" s="40">
        <f>BM67*(1-IF(B67&gt;=in_marketplace_from,d_hz_recharge*G67,0))</f>
        <v/>
      </c>
      <c r="BN68" s="40">
        <f>BN67*d_rho_recharge+BM68*IF(B68&gt;=in_marketplace_from,d_hz_recharge*G68,0)</f>
        <v/>
      </c>
      <c r="BO68" s="14">
        <f>F68*BN68*in_recharge_ticket*in_recharge_comm/12</f>
        <v/>
      </c>
      <c r="BP68" s="40">
        <f>BP67*(1-IF(B67&gt;=in_marketplace_from,d_hz_bills*G67,0))</f>
        <v/>
      </c>
      <c r="BQ68" s="40">
        <f>BQ67*d_rho_bills+BP68*IF(B68&gt;=in_marketplace_from,d_hz_bills*G68,0)</f>
        <v/>
      </c>
      <c r="BR68" s="14">
        <f>F68*BQ68*in_bills_ticket*in_bills_comm/12</f>
        <v/>
      </c>
      <c r="BS68" s="40">
        <f>BS67*(1-IF(B67&gt;=in_marketplace_from,d_hz_loan_gold*G67,0))</f>
        <v/>
      </c>
      <c r="BT68" s="14">
        <f>F68*BS68*IF(B68&gt;=in_marketplace_from,d_hz_loan_gold*G68,0)*in_loan_gold_ticket*in_loan_gold_comm</f>
        <v/>
      </c>
      <c r="BU68" s="40">
        <f>BU67*(1-IF(B67&gt;=in_marketplace_from,d_hz_loan_cd*G67,0))</f>
        <v/>
      </c>
      <c r="BV68" s="14">
        <f>F68*BU68*IF(B68&gt;=in_marketplace_from,d_hz_loan_cd*G68,0)*in_loan_cd_ticket*in_loan_cd_comm</f>
        <v/>
      </c>
      <c r="BW68" s="40">
        <f>BW67*(1-IF(B67&gt;=in_marketplace_from,d_hz_loan_vehicle*G67,0))</f>
        <v/>
      </c>
      <c r="BX68" s="14">
        <f>F68*BW68*IF(B68&gt;=in_marketplace_from,d_hz_loan_vehicle*G68,0)*in_loan_vehicle_ticket*in_loan_vehicle_comm</f>
        <v/>
      </c>
      <c r="BY68" s="40">
        <f>BY67*(1-IF(B67&gt;=in_marketplace_from,d_hz_loan_home*G67,0)*BZ67)</f>
        <v/>
      </c>
      <c r="BZ68" s="11">
        <f>MIN(in_approval_cap,in_loan_home_approval*INDEX('Age profile'!$O$2:$O$61,B68)*(1+in_approval_growth)^(D68-1))</f>
        <v/>
      </c>
      <c r="CA68" s="14">
        <f>F68*BY68*IF(B68&gt;=in_marketplace_from,d_hz_loan_home*G68,0)*BZ68*in_loan_home_ticket*in_loan_home_comm</f>
        <v/>
      </c>
      <c r="CB68" s="40">
        <f>CB67*(1-IF(B67&gt;=in_marketplace_from,d_hz_loan_lap*G67,0)*CC67)</f>
        <v/>
      </c>
      <c r="CC68" s="11">
        <f>MIN(in_approval_cap,in_loan_lap_approval*INDEX('Age profile'!$O$2:$O$61,B68)*(1+in_approval_growth)^(D68-1))</f>
        <v/>
      </c>
      <c r="CD68" s="14">
        <f>F68*CB68*IF(B68&gt;=in_marketplace_from,d_hz_loan_lap*G68,0)*CC68*in_loan_lap_ticket*in_loan_lap_comm</f>
        <v/>
      </c>
      <c r="CE68" s="14">
        <f>AA68+AB68+AC68+AD68+AG68+AJ68+AM68+AP68+AS68+AU68+AX68+BB68+BE68+BG68+BJ68+BL68+BO68+BR68+BT68+BV68+BX68+CA68+CD68</f>
        <v/>
      </c>
    </row>
    <row r="69">
      <c r="A69" s="39" t="n">
        <v>2</v>
      </c>
      <c r="B69" s="39" t="n">
        <v>8</v>
      </c>
      <c r="C69" s="39">
        <f>A69+B69-1</f>
        <v/>
      </c>
      <c r="D69" s="39">
        <f>INT((C69-1)/12)+1</f>
        <v/>
      </c>
      <c r="E69" s="44">
        <f>INDEX(Monthly!$B$2:$B$61,A69)</f>
        <v/>
      </c>
      <c r="F69" s="44">
        <f>E69*INDEX('Age profile'!$B$2:$B$61,B69)</f>
        <v/>
      </c>
      <c r="G69" s="45">
        <f>MIN(in_takeup_cap,INDEX('Age profile'!$N$2:$N$61,B69)*(1+in_takeup_growth)^(D69-1))</f>
        <v/>
      </c>
      <c r="H69" s="11">
        <f>MIN(in_approval_cap,in_approved_first*INDEX('Age profile'!$O$2:$O$61,B69)*(1+in_approval_growth)^(D69-1))</f>
        <v/>
      </c>
      <c r="I69" s="45">
        <f>G69*MIN(in_takeup_cap,INDEX('Age profile'!$O$2:$O$61,B69)*(1+in_approval_growth)^(D69-1))</f>
        <v/>
      </c>
      <c r="J69" s="40">
        <f>(J68-L68)*F69/F68</f>
        <v/>
      </c>
      <c r="K69" s="40">
        <f>(K68-M68)*F69/F68+SUMIFS(O62:O68,B62:B68,B69-1-d_T)*F69</f>
        <v/>
      </c>
      <c r="L69" s="40">
        <f>IF(B69&gt;=in_marketplace_from,J69*d_hz*G69*in_eligible*H69,0)</f>
        <v/>
      </c>
      <c r="M69" s="40">
        <f>IF(B69&gt;=in_marketplace_from,K69*d_hz*G69*in_eligible*in_approved_repeat,0)</f>
        <v/>
      </c>
      <c r="N69" s="40">
        <f>L69+M69</f>
        <v/>
      </c>
      <c r="O69" s="46">
        <f>N69/F69</f>
        <v/>
      </c>
      <c r="P69" s="40">
        <f>F69-J69-K69</f>
        <v/>
      </c>
      <c r="Q69" s="40">
        <f>IF(B69&gt;=in_marketplace_from,(J69+K69)*d_hz*G69,0)</f>
        <v/>
      </c>
      <c r="R69" s="40">
        <f>SUMIFS(N62:N120,B62:B120,"&gt;="&amp;(B69-d_T),B62:B120,"&lt;="&amp;(B69-1))</f>
        <v/>
      </c>
      <c r="S69" s="46">
        <f>(1-d_u)*S68+IF(d_T&gt;in_topup_lag,SUMIFS(O62:O120,B62:B120,B69-in_topup_lag)-d_udrop*SUMIFS(O62:O120,B62:B120,B69-d_T),0)</f>
        <v/>
      </c>
      <c r="T69" s="40">
        <f>F69*d_u*S69</f>
        <v/>
      </c>
      <c r="U69" s="9">
        <f>L69*in_ticket+M69*d_rep_ticket</f>
        <v/>
      </c>
      <c r="V69" s="9">
        <f>U69+T69*d_topup_amt</f>
        <v/>
      </c>
      <c r="W69" s="40">
        <f>N69+T69*d_topup_ratio</f>
        <v/>
      </c>
      <c r="X69" s="40">
        <f>SUMIFS(W62:W120,B62:B120,B69-in_dpd_lag)*d_cured</f>
        <v/>
      </c>
      <c r="Y69" s="40">
        <f>SUMIFS(W62:W120,B62:B120,B69-in_rec_lag)*d_recd</f>
        <v/>
      </c>
      <c r="Z69" s="40">
        <f>IF(AND(B69&gt;=in_marketplace_from,B69&lt;in_marketplace_from+in_card_months),in_card_share/in_card_months*F69*I69,IF(AND(B69&gt;=in_marketplace_from+in_card_months,B69&lt;in_marketplace_from+2*in_card_months),in_card_share*d_card_rem/in_card_months*F69*MIN(in_takeup_cap,(1+in_takeup_growth)^(D69-1))*MIN(in_takeup_cap,(1+in_approval_growth)^(D69-1)),0))</f>
        <v/>
      </c>
      <c r="AA69" s="14">
        <f>V69*in_fee*(1-in_taken_back)</f>
        <v/>
      </c>
      <c r="AB69" s="14">
        <f>SUMIFS(W62:W120,B62:B120,B69-in_dpd_lag)*d_dpd</f>
        <v/>
      </c>
      <c r="AC69" s="14">
        <f>SUMIFS(W62:W120,B62:B120,B69-in_rec_lag)*d_rec</f>
        <v/>
      </c>
      <c r="AD69" s="14">
        <f>Z69*in_card_fee</f>
        <v/>
      </c>
      <c r="AE69" s="40">
        <f>AE68*(1-IF(B68&gt;=in_marketplace_from,d_hz_hlth_small*G68,0))</f>
        <v/>
      </c>
      <c r="AF69" s="46">
        <f>AE69*IF(B69&gt;=in_marketplace_from,d_hz_hlth_small*G69,0)</f>
        <v/>
      </c>
      <c r="AG69" s="14">
        <f>F69*AF69*in_hlth_small_ticket*in_hlth_small_comm*in_ins_partner_share+F69*in_hlth_small_ticket*in_hlth_small_renew_comm*in_ins_partner_share*(in_hlth_small_renew^1*SUMIFS(AF62:AF120,B62:B120,B69-12)+in_hlth_small_renew^2*SUMIFS(AF62:AF120,B62:B120,B69-24)+in_hlth_small_renew^3*SUMIFS(AF62:AF120,B62:B120,B69-36)+in_hlth_small_renew^4*SUMIFS(AF62:AF120,B62:B120,B69-48))</f>
        <v/>
      </c>
      <c r="AH69" s="40">
        <f>AH68*(1-IF(B68&gt;=in_marketplace_from,d_hz_hlth_family*G68,0))</f>
        <v/>
      </c>
      <c r="AI69" s="46">
        <f>AH69*IF(B69&gt;=in_marketplace_from,d_hz_hlth_family*G69,0)</f>
        <v/>
      </c>
      <c r="AJ69" s="14">
        <f>F69*AI69*in_hlth_family_ticket*in_hlth_family_comm*in_ins_partner_share+F69*in_hlth_family_ticket*in_hlth_family_renew_comm*in_ins_partner_share*(in_hlth_family_renew^1*SUMIFS(AI62:AI120,B62:B120,B69-12)+in_hlth_family_renew^2*SUMIFS(AI62:AI120,B62:B120,B69-24)+in_hlth_family_renew^3*SUMIFS(AI62:AI120,B62:B120,B69-36)+in_hlth_family_renew^4*SUMIFS(AI62:AI120,B62:B120,B69-48))</f>
        <v/>
      </c>
      <c r="AK69" s="40">
        <f>AK68*(1-IF(B68&gt;=in_marketplace_from,d_hz_life_term*G68,0))</f>
        <v/>
      </c>
      <c r="AL69" s="46">
        <f>AK69*IF(B69&gt;=in_marketplace_from,d_hz_life_term*G69,0)</f>
        <v/>
      </c>
      <c r="AM69" s="14">
        <f>F69*AL69*in_life_term_ticket*in_life_term_comm*in_ins_partner_share+F69*in_life_term_ticket*in_life_term_renew_comm*in_ins_partner_share*(in_life_term_renew^1*SUMIFS(AL62:AL120,B62:B120,B69-12)+in_life_term_renew^2*SUMIFS(AL62:AL120,B62:B120,B69-24)+in_life_term_renew^3*SUMIFS(AL62:AL120,B62:B120,B69-36)+in_life_term_renew^4*SUMIFS(AL62:AL120,B62:B120,B69-48))</f>
        <v/>
      </c>
      <c r="AN69" s="40">
        <f>AN68*(1-IF(B68&gt;=in_marketplace_from,d_hz_accident*G68,0))</f>
        <v/>
      </c>
      <c r="AO69" s="46">
        <f>AN69*IF(B69&gt;=in_marketplace_from,d_hz_accident*G69,0)</f>
        <v/>
      </c>
      <c r="AP69" s="14">
        <f>F69*AO69*in_accident_ticket*in_accident_comm*in_ins_partner_share+F69*in_accident_ticket*in_accident_renew_comm*in_ins_partner_share*(in_accident_renew^1*SUMIFS(AO62:AO120,B62:B120,B69-12)+in_accident_renew^2*SUMIFS(AO62:AO120,B62:B120,B69-24)+in_accident_renew^3*SUMIFS(AO62:AO120,B62:B120,B69-36)+in_accident_renew^4*SUMIFS(AO62:AO120,B62:B120,B69-48))</f>
        <v/>
      </c>
      <c r="AQ69" s="40">
        <f>AQ68*(1-IF(B68&gt;=in_marketplace_from,d_hz_two_wheeler*G68,0))</f>
        <v/>
      </c>
      <c r="AR69" s="46">
        <f>AQ69*IF(B69&gt;=in_marketplace_from,d_hz_two_wheeler*G69,0)</f>
        <v/>
      </c>
      <c r="AS69" s="14">
        <f>F69*AR69*in_two_wheeler_ticket*in_two_wheeler_comm*in_ins_partner_share+F69*in_two_wheeler_ticket*in_two_wheeler_comm*in_ins_partner_share*(in_two_wheeler_renew^1*SUMIFS(AR62:AR120,B62:B120,B69-12)+in_two_wheeler_renew^2*SUMIFS(AR62:AR120,B62:B120,B69-24)+in_two_wheeler_renew^3*SUMIFS(AR62:AR120,B62:B120,B69-36)+in_two_wheeler_renew^4*SUMIFS(AR62:AR120,B62:B120,B69-48))</f>
        <v/>
      </c>
      <c r="AT69" s="40">
        <f>AT68*(1-IF(B68&gt;=in_marketplace_from,d_hz_device*G68,0))</f>
        <v/>
      </c>
      <c r="AU69" s="14">
        <f>F69*AT69*IF(B69&gt;=in_marketplace_from,d_hz_device*G69,0)*in_device_ticket*in_device_comm*in_ins_partner_share</f>
        <v/>
      </c>
      <c r="AV69" s="40">
        <f>AV68*(1-IF(B68&gt;=in_marketplace_from,d_hz_shop*G68,0))</f>
        <v/>
      </c>
      <c r="AW69" s="46">
        <f>AV69*IF(B69&gt;=in_marketplace_from,d_hz_shop*G69,0)</f>
        <v/>
      </c>
      <c r="AX69" s="14">
        <f>F69*AW69*in_shop_ticket*in_shop_comm*in_ins_partner_share+F69*in_shop_ticket*in_shop_renew_comm*in_ins_partner_share*(in_shop_renew^1*SUMIFS(AW62:AW120,B62:B120,B69-12)+in_shop_renew^2*SUMIFS(AW62:AW120,B62:B120,B69-24)+in_shop_renew^3*SUMIFS(AW62:AW120,B62:B120,B69-36)+in_shop_renew^4*SUMIFS(AW62:AW120,B62:B120,B69-48))</f>
        <v/>
      </c>
      <c r="AY69" s="40">
        <f>AY68*(1-IF(B68&gt;=in_marketplace_from,d_hz_sip*G68,0))</f>
        <v/>
      </c>
      <c r="AZ69" s="40">
        <f>AZ68*d_rho_sip+AY69*IF(B69&gt;=in_marketplace_from,d_hz_sip*G69,0)</f>
        <v/>
      </c>
      <c r="BA69" s="40">
        <f>d_rho_sip*(BA68+AZ68)</f>
        <v/>
      </c>
      <c r="BB69" s="14">
        <f>F69*in_sip_ticket*(BA69+0.5*AZ69)*in_sip_comm/12</f>
        <v/>
      </c>
      <c r="BC69" s="40">
        <f>BC68*(1-IF(B68&gt;=in_marketplace_from,d_hz_choti*G68,0))</f>
        <v/>
      </c>
      <c r="BD69" s="46">
        <f>BC69*IF(B69&gt;=in_marketplace_from,d_hz_choti*G69,0)</f>
        <v/>
      </c>
      <c r="BE69" s="14">
        <f>F69*SUMIFS(BD62:BD120,B62:B120,B69-in_choti_months)*in_choti_renew*in_choti_ticket</f>
        <v/>
      </c>
      <c r="BF69" s="40">
        <f>BF68*(1-IF(B68&gt;=in_marketplace_from,d_hz_nps*G68,0))</f>
        <v/>
      </c>
      <c r="BG69" s="14">
        <f>F69*BF69*IF(B69&gt;=in_marketplace_from,d_hz_nps*G69,0)*in_nps_ticket*in_nps_comm</f>
        <v/>
      </c>
      <c r="BH69" s="40">
        <f>BH68*(1-IF(B68&gt;=in_marketplace_from,d_hz_gold*G68,0))</f>
        <v/>
      </c>
      <c r="BI69" s="40">
        <f>BI68*d_rho_gold+BH69*IF(B69&gt;=in_marketplace_from,d_hz_gold*G69,0)</f>
        <v/>
      </c>
      <c r="BJ69" s="14">
        <f>F69*BI69*in_gold_ticket*in_gold_comm</f>
        <v/>
      </c>
      <c r="BK69" s="40">
        <f>BK68*(1-IF(B68&gt;=in_marketplace_from,d_hz_fd*G68,0))</f>
        <v/>
      </c>
      <c r="BL69" s="14">
        <f>F69*BK69*IF(B69&gt;=in_marketplace_from,d_hz_fd*G69,0)*in_fd_ticket*in_fd_comm</f>
        <v/>
      </c>
      <c r="BM69" s="40">
        <f>BM68*(1-IF(B68&gt;=in_marketplace_from,d_hz_recharge*G68,0))</f>
        <v/>
      </c>
      <c r="BN69" s="40">
        <f>BN68*d_rho_recharge+BM69*IF(B69&gt;=in_marketplace_from,d_hz_recharge*G69,0)</f>
        <v/>
      </c>
      <c r="BO69" s="14">
        <f>F69*BN69*in_recharge_ticket*in_recharge_comm/12</f>
        <v/>
      </c>
      <c r="BP69" s="40">
        <f>BP68*(1-IF(B68&gt;=in_marketplace_from,d_hz_bills*G68,0))</f>
        <v/>
      </c>
      <c r="BQ69" s="40">
        <f>BQ68*d_rho_bills+BP69*IF(B69&gt;=in_marketplace_from,d_hz_bills*G69,0)</f>
        <v/>
      </c>
      <c r="BR69" s="14">
        <f>F69*BQ69*in_bills_ticket*in_bills_comm/12</f>
        <v/>
      </c>
      <c r="BS69" s="40">
        <f>BS68*(1-IF(B68&gt;=in_marketplace_from,d_hz_loan_gold*G68,0))</f>
        <v/>
      </c>
      <c r="BT69" s="14">
        <f>F69*BS69*IF(B69&gt;=in_marketplace_from,d_hz_loan_gold*G69,0)*in_loan_gold_ticket*in_loan_gold_comm</f>
        <v/>
      </c>
      <c r="BU69" s="40">
        <f>BU68*(1-IF(B68&gt;=in_marketplace_from,d_hz_loan_cd*G68,0))</f>
        <v/>
      </c>
      <c r="BV69" s="14">
        <f>F69*BU69*IF(B69&gt;=in_marketplace_from,d_hz_loan_cd*G69,0)*in_loan_cd_ticket*in_loan_cd_comm</f>
        <v/>
      </c>
      <c r="BW69" s="40">
        <f>BW68*(1-IF(B68&gt;=in_marketplace_from,d_hz_loan_vehicle*G68,0))</f>
        <v/>
      </c>
      <c r="BX69" s="14">
        <f>F69*BW69*IF(B69&gt;=in_marketplace_from,d_hz_loan_vehicle*G69,0)*in_loan_vehicle_ticket*in_loan_vehicle_comm</f>
        <v/>
      </c>
      <c r="BY69" s="40">
        <f>BY68*(1-IF(B68&gt;=in_marketplace_from,d_hz_loan_home*G68,0)*BZ68)</f>
        <v/>
      </c>
      <c r="BZ69" s="11">
        <f>MIN(in_approval_cap,in_loan_home_approval*INDEX('Age profile'!$O$2:$O$61,B69)*(1+in_approval_growth)^(D69-1))</f>
        <v/>
      </c>
      <c r="CA69" s="14">
        <f>F69*BY69*IF(B69&gt;=in_marketplace_from,d_hz_loan_home*G69,0)*BZ69*in_loan_home_ticket*in_loan_home_comm</f>
        <v/>
      </c>
      <c r="CB69" s="40">
        <f>CB68*(1-IF(B68&gt;=in_marketplace_from,d_hz_loan_lap*G68,0)*CC68)</f>
        <v/>
      </c>
      <c r="CC69" s="11">
        <f>MIN(in_approval_cap,in_loan_lap_approval*INDEX('Age profile'!$O$2:$O$61,B69)*(1+in_approval_growth)^(D69-1))</f>
        <v/>
      </c>
      <c r="CD69" s="14">
        <f>F69*CB69*IF(B69&gt;=in_marketplace_from,d_hz_loan_lap*G69,0)*CC69*in_loan_lap_ticket*in_loan_lap_comm</f>
        <v/>
      </c>
      <c r="CE69" s="14">
        <f>AA69+AB69+AC69+AD69+AG69+AJ69+AM69+AP69+AS69+AU69+AX69+BB69+BE69+BG69+BJ69+BL69+BO69+BR69+BT69+BV69+BX69+CA69+CD69</f>
        <v/>
      </c>
    </row>
    <row r="70">
      <c r="A70" s="39" t="n">
        <v>2</v>
      </c>
      <c r="B70" s="39" t="n">
        <v>9</v>
      </c>
      <c r="C70" s="39">
        <f>A70+B70-1</f>
        <v/>
      </c>
      <c r="D70" s="39">
        <f>INT((C70-1)/12)+1</f>
        <v/>
      </c>
      <c r="E70" s="44">
        <f>INDEX(Monthly!$B$2:$B$61,A70)</f>
        <v/>
      </c>
      <c r="F70" s="44">
        <f>E70*INDEX('Age profile'!$B$2:$B$61,B70)</f>
        <v/>
      </c>
      <c r="G70" s="45">
        <f>MIN(in_takeup_cap,INDEX('Age profile'!$N$2:$N$61,B70)*(1+in_takeup_growth)^(D70-1))</f>
        <v/>
      </c>
      <c r="H70" s="11">
        <f>MIN(in_approval_cap,in_approved_first*INDEX('Age profile'!$O$2:$O$61,B70)*(1+in_approval_growth)^(D70-1))</f>
        <v/>
      </c>
      <c r="I70" s="45">
        <f>G70*MIN(in_takeup_cap,INDEX('Age profile'!$O$2:$O$61,B70)*(1+in_approval_growth)^(D70-1))</f>
        <v/>
      </c>
      <c r="J70" s="40">
        <f>(J69-L69)*F70/F69</f>
        <v/>
      </c>
      <c r="K70" s="40">
        <f>(K69-M69)*F70/F69+SUMIFS(O62:O69,B62:B69,B70-1-d_T)*F70</f>
        <v/>
      </c>
      <c r="L70" s="40">
        <f>IF(B70&gt;=in_marketplace_from,J70*d_hz*G70*in_eligible*H70,0)</f>
        <v/>
      </c>
      <c r="M70" s="40">
        <f>IF(B70&gt;=in_marketplace_from,K70*d_hz*G70*in_eligible*in_approved_repeat,0)</f>
        <v/>
      </c>
      <c r="N70" s="40">
        <f>L70+M70</f>
        <v/>
      </c>
      <c r="O70" s="46">
        <f>N70/F70</f>
        <v/>
      </c>
      <c r="P70" s="40">
        <f>F70-J70-K70</f>
        <v/>
      </c>
      <c r="Q70" s="40">
        <f>IF(B70&gt;=in_marketplace_from,(J70+K70)*d_hz*G70,0)</f>
        <v/>
      </c>
      <c r="R70" s="40">
        <f>SUMIFS(N62:N120,B62:B120,"&gt;="&amp;(B70-d_T),B62:B120,"&lt;="&amp;(B70-1))</f>
        <v/>
      </c>
      <c r="S70" s="46">
        <f>(1-d_u)*S69+IF(d_T&gt;in_topup_lag,SUMIFS(O62:O120,B62:B120,B70-in_topup_lag)-d_udrop*SUMIFS(O62:O120,B62:B120,B70-d_T),0)</f>
        <v/>
      </c>
      <c r="T70" s="40">
        <f>F70*d_u*S70</f>
        <v/>
      </c>
      <c r="U70" s="9">
        <f>L70*in_ticket+M70*d_rep_ticket</f>
        <v/>
      </c>
      <c r="V70" s="9">
        <f>U70+T70*d_topup_amt</f>
        <v/>
      </c>
      <c r="W70" s="40">
        <f>N70+T70*d_topup_ratio</f>
        <v/>
      </c>
      <c r="X70" s="40">
        <f>SUMIFS(W62:W120,B62:B120,B70-in_dpd_lag)*d_cured</f>
        <v/>
      </c>
      <c r="Y70" s="40">
        <f>SUMIFS(W62:W120,B62:B120,B70-in_rec_lag)*d_recd</f>
        <v/>
      </c>
      <c r="Z70" s="40">
        <f>IF(AND(B70&gt;=in_marketplace_from,B70&lt;in_marketplace_from+in_card_months),in_card_share/in_card_months*F70*I70,IF(AND(B70&gt;=in_marketplace_from+in_card_months,B70&lt;in_marketplace_from+2*in_card_months),in_card_share*d_card_rem/in_card_months*F70*MIN(in_takeup_cap,(1+in_takeup_growth)^(D70-1))*MIN(in_takeup_cap,(1+in_approval_growth)^(D70-1)),0))</f>
        <v/>
      </c>
      <c r="AA70" s="14">
        <f>V70*in_fee*(1-in_taken_back)</f>
        <v/>
      </c>
      <c r="AB70" s="14">
        <f>SUMIFS(W62:W120,B62:B120,B70-in_dpd_lag)*d_dpd</f>
        <v/>
      </c>
      <c r="AC70" s="14">
        <f>SUMIFS(W62:W120,B62:B120,B70-in_rec_lag)*d_rec</f>
        <v/>
      </c>
      <c r="AD70" s="14">
        <f>Z70*in_card_fee</f>
        <v/>
      </c>
      <c r="AE70" s="40">
        <f>AE69*(1-IF(B69&gt;=in_marketplace_from,d_hz_hlth_small*G69,0))</f>
        <v/>
      </c>
      <c r="AF70" s="46">
        <f>AE70*IF(B70&gt;=in_marketplace_from,d_hz_hlth_small*G70,0)</f>
        <v/>
      </c>
      <c r="AG70" s="14">
        <f>F70*AF70*in_hlth_small_ticket*in_hlth_small_comm*in_ins_partner_share+F70*in_hlth_small_ticket*in_hlth_small_renew_comm*in_ins_partner_share*(in_hlth_small_renew^1*SUMIFS(AF62:AF120,B62:B120,B70-12)+in_hlth_small_renew^2*SUMIFS(AF62:AF120,B62:B120,B70-24)+in_hlth_small_renew^3*SUMIFS(AF62:AF120,B62:B120,B70-36)+in_hlth_small_renew^4*SUMIFS(AF62:AF120,B62:B120,B70-48))</f>
        <v/>
      </c>
      <c r="AH70" s="40">
        <f>AH69*(1-IF(B69&gt;=in_marketplace_from,d_hz_hlth_family*G69,0))</f>
        <v/>
      </c>
      <c r="AI70" s="46">
        <f>AH70*IF(B70&gt;=in_marketplace_from,d_hz_hlth_family*G70,0)</f>
        <v/>
      </c>
      <c r="AJ70" s="14">
        <f>F70*AI70*in_hlth_family_ticket*in_hlth_family_comm*in_ins_partner_share+F70*in_hlth_family_ticket*in_hlth_family_renew_comm*in_ins_partner_share*(in_hlth_family_renew^1*SUMIFS(AI62:AI120,B62:B120,B70-12)+in_hlth_family_renew^2*SUMIFS(AI62:AI120,B62:B120,B70-24)+in_hlth_family_renew^3*SUMIFS(AI62:AI120,B62:B120,B70-36)+in_hlth_family_renew^4*SUMIFS(AI62:AI120,B62:B120,B70-48))</f>
        <v/>
      </c>
      <c r="AK70" s="40">
        <f>AK69*(1-IF(B69&gt;=in_marketplace_from,d_hz_life_term*G69,0))</f>
        <v/>
      </c>
      <c r="AL70" s="46">
        <f>AK70*IF(B70&gt;=in_marketplace_from,d_hz_life_term*G70,0)</f>
        <v/>
      </c>
      <c r="AM70" s="14">
        <f>F70*AL70*in_life_term_ticket*in_life_term_comm*in_ins_partner_share+F70*in_life_term_ticket*in_life_term_renew_comm*in_ins_partner_share*(in_life_term_renew^1*SUMIFS(AL62:AL120,B62:B120,B70-12)+in_life_term_renew^2*SUMIFS(AL62:AL120,B62:B120,B70-24)+in_life_term_renew^3*SUMIFS(AL62:AL120,B62:B120,B70-36)+in_life_term_renew^4*SUMIFS(AL62:AL120,B62:B120,B70-48))</f>
        <v/>
      </c>
      <c r="AN70" s="40">
        <f>AN69*(1-IF(B69&gt;=in_marketplace_from,d_hz_accident*G69,0))</f>
        <v/>
      </c>
      <c r="AO70" s="46">
        <f>AN70*IF(B70&gt;=in_marketplace_from,d_hz_accident*G70,0)</f>
        <v/>
      </c>
      <c r="AP70" s="14">
        <f>F70*AO70*in_accident_ticket*in_accident_comm*in_ins_partner_share+F70*in_accident_ticket*in_accident_renew_comm*in_ins_partner_share*(in_accident_renew^1*SUMIFS(AO62:AO120,B62:B120,B70-12)+in_accident_renew^2*SUMIFS(AO62:AO120,B62:B120,B70-24)+in_accident_renew^3*SUMIFS(AO62:AO120,B62:B120,B70-36)+in_accident_renew^4*SUMIFS(AO62:AO120,B62:B120,B70-48))</f>
        <v/>
      </c>
      <c r="AQ70" s="40">
        <f>AQ69*(1-IF(B69&gt;=in_marketplace_from,d_hz_two_wheeler*G69,0))</f>
        <v/>
      </c>
      <c r="AR70" s="46">
        <f>AQ70*IF(B70&gt;=in_marketplace_from,d_hz_two_wheeler*G70,0)</f>
        <v/>
      </c>
      <c r="AS70" s="14">
        <f>F70*AR70*in_two_wheeler_ticket*in_two_wheeler_comm*in_ins_partner_share+F70*in_two_wheeler_ticket*in_two_wheeler_comm*in_ins_partner_share*(in_two_wheeler_renew^1*SUMIFS(AR62:AR120,B62:B120,B70-12)+in_two_wheeler_renew^2*SUMIFS(AR62:AR120,B62:B120,B70-24)+in_two_wheeler_renew^3*SUMIFS(AR62:AR120,B62:B120,B70-36)+in_two_wheeler_renew^4*SUMIFS(AR62:AR120,B62:B120,B70-48))</f>
        <v/>
      </c>
      <c r="AT70" s="40">
        <f>AT69*(1-IF(B69&gt;=in_marketplace_from,d_hz_device*G69,0))</f>
        <v/>
      </c>
      <c r="AU70" s="14">
        <f>F70*AT70*IF(B70&gt;=in_marketplace_from,d_hz_device*G70,0)*in_device_ticket*in_device_comm*in_ins_partner_share</f>
        <v/>
      </c>
      <c r="AV70" s="40">
        <f>AV69*(1-IF(B69&gt;=in_marketplace_from,d_hz_shop*G69,0))</f>
        <v/>
      </c>
      <c r="AW70" s="46">
        <f>AV70*IF(B70&gt;=in_marketplace_from,d_hz_shop*G70,0)</f>
        <v/>
      </c>
      <c r="AX70" s="14">
        <f>F70*AW70*in_shop_ticket*in_shop_comm*in_ins_partner_share+F70*in_shop_ticket*in_shop_renew_comm*in_ins_partner_share*(in_shop_renew^1*SUMIFS(AW62:AW120,B62:B120,B70-12)+in_shop_renew^2*SUMIFS(AW62:AW120,B62:B120,B70-24)+in_shop_renew^3*SUMIFS(AW62:AW120,B62:B120,B70-36)+in_shop_renew^4*SUMIFS(AW62:AW120,B62:B120,B70-48))</f>
        <v/>
      </c>
      <c r="AY70" s="40">
        <f>AY69*(1-IF(B69&gt;=in_marketplace_from,d_hz_sip*G69,0))</f>
        <v/>
      </c>
      <c r="AZ70" s="40">
        <f>AZ69*d_rho_sip+AY70*IF(B70&gt;=in_marketplace_from,d_hz_sip*G70,0)</f>
        <v/>
      </c>
      <c r="BA70" s="40">
        <f>d_rho_sip*(BA69+AZ69)</f>
        <v/>
      </c>
      <c r="BB70" s="14">
        <f>F70*in_sip_ticket*(BA70+0.5*AZ70)*in_sip_comm/12</f>
        <v/>
      </c>
      <c r="BC70" s="40">
        <f>BC69*(1-IF(B69&gt;=in_marketplace_from,d_hz_choti*G69,0))</f>
        <v/>
      </c>
      <c r="BD70" s="46">
        <f>BC70*IF(B70&gt;=in_marketplace_from,d_hz_choti*G70,0)</f>
        <v/>
      </c>
      <c r="BE70" s="14">
        <f>F70*SUMIFS(BD62:BD120,B62:B120,B70-in_choti_months)*in_choti_renew*in_choti_ticket</f>
        <v/>
      </c>
      <c r="BF70" s="40">
        <f>BF69*(1-IF(B69&gt;=in_marketplace_from,d_hz_nps*G69,0))</f>
        <v/>
      </c>
      <c r="BG70" s="14">
        <f>F70*BF70*IF(B70&gt;=in_marketplace_from,d_hz_nps*G70,0)*in_nps_ticket*in_nps_comm</f>
        <v/>
      </c>
      <c r="BH70" s="40">
        <f>BH69*(1-IF(B69&gt;=in_marketplace_from,d_hz_gold*G69,0))</f>
        <v/>
      </c>
      <c r="BI70" s="40">
        <f>BI69*d_rho_gold+BH70*IF(B70&gt;=in_marketplace_from,d_hz_gold*G70,0)</f>
        <v/>
      </c>
      <c r="BJ70" s="14">
        <f>F70*BI70*in_gold_ticket*in_gold_comm</f>
        <v/>
      </c>
      <c r="BK70" s="40">
        <f>BK69*(1-IF(B69&gt;=in_marketplace_from,d_hz_fd*G69,0))</f>
        <v/>
      </c>
      <c r="BL70" s="14">
        <f>F70*BK70*IF(B70&gt;=in_marketplace_from,d_hz_fd*G70,0)*in_fd_ticket*in_fd_comm</f>
        <v/>
      </c>
      <c r="BM70" s="40">
        <f>BM69*(1-IF(B69&gt;=in_marketplace_from,d_hz_recharge*G69,0))</f>
        <v/>
      </c>
      <c r="BN70" s="40">
        <f>BN69*d_rho_recharge+BM70*IF(B70&gt;=in_marketplace_from,d_hz_recharge*G70,0)</f>
        <v/>
      </c>
      <c r="BO70" s="14">
        <f>F70*BN70*in_recharge_ticket*in_recharge_comm/12</f>
        <v/>
      </c>
      <c r="BP70" s="40">
        <f>BP69*(1-IF(B69&gt;=in_marketplace_from,d_hz_bills*G69,0))</f>
        <v/>
      </c>
      <c r="BQ70" s="40">
        <f>BQ69*d_rho_bills+BP70*IF(B70&gt;=in_marketplace_from,d_hz_bills*G70,0)</f>
        <v/>
      </c>
      <c r="BR70" s="14">
        <f>F70*BQ70*in_bills_ticket*in_bills_comm/12</f>
        <v/>
      </c>
      <c r="BS70" s="40">
        <f>BS69*(1-IF(B69&gt;=in_marketplace_from,d_hz_loan_gold*G69,0))</f>
        <v/>
      </c>
      <c r="BT70" s="14">
        <f>F70*BS70*IF(B70&gt;=in_marketplace_from,d_hz_loan_gold*G70,0)*in_loan_gold_ticket*in_loan_gold_comm</f>
        <v/>
      </c>
      <c r="BU70" s="40">
        <f>BU69*(1-IF(B69&gt;=in_marketplace_from,d_hz_loan_cd*G69,0))</f>
        <v/>
      </c>
      <c r="BV70" s="14">
        <f>F70*BU70*IF(B70&gt;=in_marketplace_from,d_hz_loan_cd*G70,0)*in_loan_cd_ticket*in_loan_cd_comm</f>
        <v/>
      </c>
      <c r="BW70" s="40">
        <f>BW69*(1-IF(B69&gt;=in_marketplace_from,d_hz_loan_vehicle*G69,0))</f>
        <v/>
      </c>
      <c r="BX70" s="14">
        <f>F70*BW70*IF(B70&gt;=in_marketplace_from,d_hz_loan_vehicle*G70,0)*in_loan_vehicle_ticket*in_loan_vehicle_comm</f>
        <v/>
      </c>
      <c r="BY70" s="40">
        <f>BY69*(1-IF(B69&gt;=in_marketplace_from,d_hz_loan_home*G69,0)*BZ69)</f>
        <v/>
      </c>
      <c r="BZ70" s="11">
        <f>MIN(in_approval_cap,in_loan_home_approval*INDEX('Age profile'!$O$2:$O$61,B70)*(1+in_approval_growth)^(D70-1))</f>
        <v/>
      </c>
      <c r="CA70" s="14">
        <f>F70*BY70*IF(B70&gt;=in_marketplace_from,d_hz_loan_home*G70,0)*BZ70*in_loan_home_ticket*in_loan_home_comm</f>
        <v/>
      </c>
      <c r="CB70" s="40">
        <f>CB69*(1-IF(B69&gt;=in_marketplace_from,d_hz_loan_lap*G69,0)*CC69)</f>
        <v/>
      </c>
      <c r="CC70" s="11">
        <f>MIN(in_approval_cap,in_loan_lap_approval*INDEX('Age profile'!$O$2:$O$61,B70)*(1+in_approval_growth)^(D70-1))</f>
        <v/>
      </c>
      <c r="CD70" s="14">
        <f>F70*CB70*IF(B70&gt;=in_marketplace_from,d_hz_loan_lap*G70,0)*CC70*in_loan_lap_ticket*in_loan_lap_comm</f>
        <v/>
      </c>
      <c r="CE70" s="14">
        <f>AA70+AB70+AC70+AD70+AG70+AJ70+AM70+AP70+AS70+AU70+AX70+BB70+BE70+BG70+BJ70+BL70+BO70+BR70+BT70+BV70+BX70+CA70+CD70</f>
        <v/>
      </c>
    </row>
    <row r="71">
      <c r="A71" s="39" t="n">
        <v>2</v>
      </c>
      <c r="B71" s="39" t="n">
        <v>10</v>
      </c>
      <c r="C71" s="39">
        <f>A71+B71-1</f>
        <v/>
      </c>
      <c r="D71" s="39">
        <f>INT((C71-1)/12)+1</f>
        <v/>
      </c>
      <c r="E71" s="44">
        <f>INDEX(Monthly!$B$2:$B$61,A71)</f>
        <v/>
      </c>
      <c r="F71" s="44">
        <f>E71*INDEX('Age profile'!$B$2:$B$61,B71)</f>
        <v/>
      </c>
      <c r="G71" s="45">
        <f>MIN(in_takeup_cap,INDEX('Age profile'!$N$2:$N$61,B71)*(1+in_takeup_growth)^(D71-1))</f>
        <v/>
      </c>
      <c r="H71" s="11">
        <f>MIN(in_approval_cap,in_approved_first*INDEX('Age profile'!$O$2:$O$61,B71)*(1+in_approval_growth)^(D71-1))</f>
        <v/>
      </c>
      <c r="I71" s="45">
        <f>G71*MIN(in_takeup_cap,INDEX('Age profile'!$O$2:$O$61,B71)*(1+in_approval_growth)^(D71-1))</f>
        <v/>
      </c>
      <c r="J71" s="40">
        <f>(J70-L70)*F71/F70</f>
        <v/>
      </c>
      <c r="K71" s="40">
        <f>(K70-M70)*F71/F70+SUMIFS(O62:O70,B62:B70,B71-1-d_T)*F71</f>
        <v/>
      </c>
      <c r="L71" s="40">
        <f>IF(B71&gt;=in_marketplace_from,J71*d_hz*G71*in_eligible*H71,0)</f>
        <v/>
      </c>
      <c r="M71" s="40">
        <f>IF(B71&gt;=in_marketplace_from,K71*d_hz*G71*in_eligible*in_approved_repeat,0)</f>
        <v/>
      </c>
      <c r="N71" s="40">
        <f>L71+M71</f>
        <v/>
      </c>
      <c r="O71" s="46">
        <f>N71/F71</f>
        <v/>
      </c>
      <c r="P71" s="40">
        <f>F71-J71-K71</f>
        <v/>
      </c>
      <c r="Q71" s="40">
        <f>IF(B71&gt;=in_marketplace_from,(J71+K71)*d_hz*G71,0)</f>
        <v/>
      </c>
      <c r="R71" s="40">
        <f>SUMIFS(N62:N120,B62:B120,"&gt;="&amp;(B71-d_T),B62:B120,"&lt;="&amp;(B71-1))</f>
        <v/>
      </c>
      <c r="S71" s="46">
        <f>(1-d_u)*S70+IF(d_T&gt;in_topup_lag,SUMIFS(O62:O120,B62:B120,B71-in_topup_lag)-d_udrop*SUMIFS(O62:O120,B62:B120,B71-d_T),0)</f>
        <v/>
      </c>
      <c r="T71" s="40">
        <f>F71*d_u*S71</f>
        <v/>
      </c>
      <c r="U71" s="9">
        <f>L71*in_ticket+M71*d_rep_ticket</f>
        <v/>
      </c>
      <c r="V71" s="9">
        <f>U71+T71*d_topup_amt</f>
        <v/>
      </c>
      <c r="W71" s="40">
        <f>N71+T71*d_topup_ratio</f>
        <v/>
      </c>
      <c r="X71" s="40">
        <f>SUMIFS(W62:W120,B62:B120,B71-in_dpd_lag)*d_cured</f>
        <v/>
      </c>
      <c r="Y71" s="40">
        <f>SUMIFS(W62:W120,B62:B120,B71-in_rec_lag)*d_recd</f>
        <v/>
      </c>
      <c r="Z71" s="40">
        <f>IF(AND(B71&gt;=in_marketplace_from,B71&lt;in_marketplace_from+in_card_months),in_card_share/in_card_months*F71*I71,IF(AND(B71&gt;=in_marketplace_from+in_card_months,B71&lt;in_marketplace_from+2*in_card_months),in_card_share*d_card_rem/in_card_months*F71*MIN(in_takeup_cap,(1+in_takeup_growth)^(D71-1))*MIN(in_takeup_cap,(1+in_approval_growth)^(D71-1)),0))</f>
        <v/>
      </c>
      <c r="AA71" s="14">
        <f>V71*in_fee*(1-in_taken_back)</f>
        <v/>
      </c>
      <c r="AB71" s="14">
        <f>SUMIFS(W62:W120,B62:B120,B71-in_dpd_lag)*d_dpd</f>
        <v/>
      </c>
      <c r="AC71" s="14">
        <f>SUMIFS(W62:W120,B62:B120,B71-in_rec_lag)*d_rec</f>
        <v/>
      </c>
      <c r="AD71" s="14">
        <f>Z71*in_card_fee</f>
        <v/>
      </c>
      <c r="AE71" s="40">
        <f>AE70*(1-IF(B70&gt;=in_marketplace_from,d_hz_hlth_small*G70,0))</f>
        <v/>
      </c>
      <c r="AF71" s="46">
        <f>AE71*IF(B71&gt;=in_marketplace_from,d_hz_hlth_small*G71,0)</f>
        <v/>
      </c>
      <c r="AG71" s="14">
        <f>F71*AF71*in_hlth_small_ticket*in_hlth_small_comm*in_ins_partner_share+F71*in_hlth_small_ticket*in_hlth_small_renew_comm*in_ins_partner_share*(in_hlth_small_renew^1*SUMIFS(AF62:AF120,B62:B120,B71-12)+in_hlth_small_renew^2*SUMIFS(AF62:AF120,B62:B120,B71-24)+in_hlth_small_renew^3*SUMIFS(AF62:AF120,B62:B120,B71-36)+in_hlth_small_renew^4*SUMIFS(AF62:AF120,B62:B120,B71-48))</f>
        <v/>
      </c>
      <c r="AH71" s="40">
        <f>AH70*(1-IF(B70&gt;=in_marketplace_from,d_hz_hlth_family*G70,0))</f>
        <v/>
      </c>
      <c r="AI71" s="46">
        <f>AH71*IF(B71&gt;=in_marketplace_from,d_hz_hlth_family*G71,0)</f>
        <v/>
      </c>
      <c r="AJ71" s="14">
        <f>F71*AI71*in_hlth_family_ticket*in_hlth_family_comm*in_ins_partner_share+F71*in_hlth_family_ticket*in_hlth_family_renew_comm*in_ins_partner_share*(in_hlth_family_renew^1*SUMIFS(AI62:AI120,B62:B120,B71-12)+in_hlth_family_renew^2*SUMIFS(AI62:AI120,B62:B120,B71-24)+in_hlth_family_renew^3*SUMIFS(AI62:AI120,B62:B120,B71-36)+in_hlth_family_renew^4*SUMIFS(AI62:AI120,B62:B120,B71-48))</f>
        <v/>
      </c>
      <c r="AK71" s="40">
        <f>AK70*(1-IF(B70&gt;=in_marketplace_from,d_hz_life_term*G70,0))</f>
        <v/>
      </c>
      <c r="AL71" s="46">
        <f>AK71*IF(B71&gt;=in_marketplace_from,d_hz_life_term*G71,0)</f>
        <v/>
      </c>
      <c r="AM71" s="14">
        <f>F71*AL71*in_life_term_ticket*in_life_term_comm*in_ins_partner_share+F71*in_life_term_ticket*in_life_term_renew_comm*in_ins_partner_share*(in_life_term_renew^1*SUMIFS(AL62:AL120,B62:B120,B71-12)+in_life_term_renew^2*SUMIFS(AL62:AL120,B62:B120,B71-24)+in_life_term_renew^3*SUMIFS(AL62:AL120,B62:B120,B71-36)+in_life_term_renew^4*SUMIFS(AL62:AL120,B62:B120,B71-48))</f>
        <v/>
      </c>
      <c r="AN71" s="40">
        <f>AN70*(1-IF(B70&gt;=in_marketplace_from,d_hz_accident*G70,0))</f>
        <v/>
      </c>
      <c r="AO71" s="46">
        <f>AN71*IF(B71&gt;=in_marketplace_from,d_hz_accident*G71,0)</f>
        <v/>
      </c>
      <c r="AP71" s="14">
        <f>F71*AO71*in_accident_ticket*in_accident_comm*in_ins_partner_share+F71*in_accident_ticket*in_accident_renew_comm*in_ins_partner_share*(in_accident_renew^1*SUMIFS(AO62:AO120,B62:B120,B71-12)+in_accident_renew^2*SUMIFS(AO62:AO120,B62:B120,B71-24)+in_accident_renew^3*SUMIFS(AO62:AO120,B62:B120,B71-36)+in_accident_renew^4*SUMIFS(AO62:AO120,B62:B120,B71-48))</f>
        <v/>
      </c>
      <c r="AQ71" s="40">
        <f>AQ70*(1-IF(B70&gt;=in_marketplace_from,d_hz_two_wheeler*G70,0))</f>
        <v/>
      </c>
      <c r="AR71" s="46">
        <f>AQ71*IF(B71&gt;=in_marketplace_from,d_hz_two_wheeler*G71,0)</f>
        <v/>
      </c>
      <c r="AS71" s="14">
        <f>F71*AR71*in_two_wheeler_ticket*in_two_wheeler_comm*in_ins_partner_share+F71*in_two_wheeler_ticket*in_two_wheeler_comm*in_ins_partner_share*(in_two_wheeler_renew^1*SUMIFS(AR62:AR120,B62:B120,B71-12)+in_two_wheeler_renew^2*SUMIFS(AR62:AR120,B62:B120,B71-24)+in_two_wheeler_renew^3*SUMIFS(AR62:AR120,B62:B120,B71-36)+in_two_wheeler_renew^4*SUMIFS(AR62:AR120,B62:B120,B71-48))</f>
        <v/>
      </c>
      <c r="AT71" s="40">
        <f>AT70*(1-IF(B70&gt;=in_marketplace_from,d_hz_device*G70,0))</f>
        <v/>
      </c>
      <c r="AU71" s="14">
        <f>F71*AT71*IF(B71&gt;=in_marketplace_from,d_hz_device*G71,0)*in_device_ticket*in_device_comm*in_ins_partner_share</f>
        <v/>
      </c>
      <c r="AV71" s="40">
        <f>AV70*(1-IF(B70&gt;=in_marketplace_from,d_hz_shop*G70,0))</f>
        <v/>
      </c>
      <c r="AW71" s="46">
        <f>AV71*IF(B71&gt;=in_marketplace_from,d_hz_shop*G71,0)</f>
        <v/>
      </c>
      <c r="AX71" s="14">
        <f>F71*AW71*in_shop_ticket*in_shop_comm*in_ins_partner_share+F71*in_shop_ticket*in_shop_renew_comm*in_ins_partner_share*(in_shop_renew^1*SUMIFS(AW62:AW120,B62:B120,B71-12)+in_shop_renew^2*SUMIFS(AW62:AW120,B62:B120,B71-24)+in_shop_renew^3*SUMIFS(AW62:AW120,B62:B120,B71-36)+in_shop_renew^4*SUMIFS(AW62:AW120,B62:B120,B71-48))</f>
        <v/>
      </c>
      <c r="AY71" s="40">
        <f>AY70*(1-IF(B70&gt;=in_marketplace_from,d_hz_sip*G70,0))</f>
        <v/>
      </c>
      <c r="AZ71" s="40">
        <f>AZ70*d_rho_sip+AY71*IF(B71&gt;=in_marketplace_from,d_hz_sip*G71,0)</f>
        <v/>
      </c>
      <c r="BA71" s="40">
        <f>d_rho_sip*(BA70+AZ70)</f>
        <v/>
      </c>
      <c r="BB71" s="14">
        <f>F71*in_sip_ticket*(BA71+0.5*AZ71)*in_sip_comm/12</f>
        <v/>
      </c>
      <c r="BC71" s="40">
        <f>BC70*(1-IF(B70&gt;=in_marketplace_from,d_hz_choti*G70,0))</f>
        <v/>
      </c>
      <c r="BD71" s="46">
        <f>BC71*IF(B71&gt;=in_marketplace_from,d_hz_choti*G71,0)</f>
        <v/>
      </c>
      <c r="BE71" s="14">
        <f>F71*SUMIFS(BD62:BD120,B62:B120,B71-in_choti_months)*in_choti_renew*in_choti_ticket</f>
        <v/>
      </c>
      <c r="BF71" s="40">
        <f>BF70*(1-IF(B70&gt;=in_marketplace_from,d_hz_nps*G70,0))</f>
        <v/>
      </c>
      <c r="BG71" s="14">
        <f>F71*BF71*IF(B71&gt;=in_marketplace_from,d_hz_nps*G71,0)*in_nps_ticket*in_nps_comm</f>
        <v/>
      </c>
      <c r="BH71" s="40">
        <f>BH70*(1-IF(B70&gt;=in_marketplace_from,d_hz_gold*G70,0))</f>
        <v/>
      </c>
      <c r="BI71" s="40">
        <f>BI70*d_rho_gold+BH71*IF(B71&gt;=in_marketplace_from,d_hz_gold*G71,0)</f>
        <v/>
      </c>
      <c r="BJ71" s="14">
        <f>F71*BI71*in_gold_ticket*in_gold_comm</f>
        <v/>
      </c>
      <c r="BK71" s="40">
        <f>BK70*(1-IF(B70&gt;=in_marketplace_from,d_hz_fd*G70,0))</f>
        <v/>
      </c>
      <c r="BL71" s="14">
        <f>F71*BK71*IF(B71&gt;=in_marketplace_from,d_hz_fd*G71,0)*in_fd_ticket*in_fd_comm</f>
        <v/>
      </c>
      <c r="BM71" s="40">
        <f>BM70*(1-IF(B70&gt;=in_marketplace_from,d_hz_recharge*G70,0))</f>
        <v/>
      </c>
      <c r="BN71" s="40">
        <f>BN70*d_rho_recharge+BM71*IF(B71&gt;=in_marketplace_from,d_hz_recharge*G71,0)</f>
        <v/>
      </c>
      <c r="BO71" s="14">
        <f>F71*BN71*in_recharge_ticket*in_recharge_comm/12</f>
        <v/>
      </c>
      <c r="BP71" s="40">
        <f>BP70*(1-IF(B70&gt;=in_marketplace_from,d_hz_bills*G70,0))</f>
        <v/>
      </c>
      <c r="BQ71" s="40">
        <f>BQ70*d_rho_bills+BP71*IF(B71&gt;=in_marketplace_from,d_hz_bills*G71,0)</f>
        <v/>
      </c>
      <c r="BR71" s="14">
        <f>F71*BQ71*in_bills_ticket*in_bills_comm/12</f>
        <v/>
      </c>
      <c r="BS71" s="40">
        <f>BS70*(1-IF(B70&gt;=in_marketplace_from,d_hz_loan_gold*G70,0))</f>
        <v/>
      </c>
      <c r="BT71" s="14">
        <f>F71*BS71*IF(B71&gt;=in_marketplace_from,d_hz_loan_gold*G71,0)*in_loan_gold_ticket*in_loan_gold_comm</f>
        <v/>
      </c>
      <c r="BU71" s="40">
        <f>BU70*(1-IF(B70&gt;=in_marketplace_from,d_hz_loan_cd*G70,0))</f>
        <v/>
      </c>
      <c r="BV71" s="14">
        <f>F71*BU71*IF(B71&gt;=in_marketplace_from,d_hz_loan_cd*G71,0)*in_loan_cd_ticket*in_loan_cd_comm</f>
        <v/>
      </c>
      <c r="BW71" s="40">
        <f>BW70*(1-IF(B70&gt;=in_marketplace_from,d_hz_loan_vehicle*G70,0))</f>
        <v/>
      </c>
      <c r="BX71" s="14">
        <f>F71*BW71*IF(B71&gt;=in_marketplace_from,d_hz_loan_vehicle*G71,0)*in_loan_vehicle_ticket*in_loan_vehicle_comm</f>
        <v/>
      </c>
      <c r="BY71" s="40">
        <f>BY70*(1-IF(B70&gt;=in_marketplace_from,d_hz_loan_home*G70,0)*BZ70)</f>
        <v/>
      </c>
      <c r="BZ71" s="11">
        <f>MIN(in_approval_cap,in_loan_home_approval*INDEX('Age profile'!$O$2:$O$61,B71)*(1+in_approval_growth)^(D71-1))</f>
        <v/>
      </c>
      <c r="CA71" s="14">
        <f>F71*BY71*IF(B71&gt;=in_marketplace_from,d_hz_loan_home*G71,0)*BZ71*in_loan_home_ticket*in_loan_home_comm</f>
        <v/>
      </c>
      <c r="CB71" s="40">
        <f>CB70*(1-IF(B70&gt;=in_marketplace_from,d_hz_loan_lap*G70,0)*CC70)</f>
        <v/>
      </c>
      <c r="CC71" s="11">
        <f>MIN(in_approval_cap,in_loan_lap_approval*INDEX('Age profile'!$O$2:$O$61,B71)*(1+in_approval_growth)^(D71-1))</f>
        <v/>
      </c>
      <c r="CD71" s="14">
        <f>F71*CB71*IF(B71&gt;=in_marketplace_from,d_hz_loan_lap*G71,0)*CC71*in_loan_lap_ticket*in_loan_lap_comm</f>
        <v/>
      </c>
      <c r="CE71" s="14">
        <f>AA71+AB71+AC71+AD71+AG71+AJ71+AM71+AP71+AS71+AU71+AX71+BB71+BE71+BG71+BJ71+BL71+BO71+BR71+BT71+BV71+BX71+CA71+CD71</f>
        <v/>
      </c>
    </row>
    <row r="72">
      <c r="A72" s="39" t="n">
        <v>2</v>
      </c>
      <c r="B72" s="39" t="n">
        <v>11</v>
      </c>
      <c r="C72" s="39">
        <f>A72+B72-1</f>
        <v/>
      </c>
      <c r="D72" s="39">
        <f>INT((C72-1)/12)+1</f>
        <v/>
      </c>
      <c r="E72" s="44">
        <f>INDEX(Monthly!$B$2:$B$61,A72)</f>
        <v/>
      </c>
      <c r="F72" s="44">
        <f>E72*INDEX('Age profile'!$B$2:$B$61,B72)</f>
        <v/>
      </c>
      <c r="G72" s="45">
        <f>MIN(in_takeup_cap,INDEX('Age profile'!$N$2:$N$61,B72)*(1+in_takeup_growth)^(D72-1))</f>
        <v/>
      </c>
      <c r="H72" s="11">
        <f>MIN(in_approval_cap,in_approved_first*INDEX('Age profile'!$O$2:$O$61,B72)*(1+in_approval_growth)^(D72-1))</f>
        <v/>
      </c>
      <c r="I72" s="45">
        <f>G72*MIN(in_takeup_cap,INDEX('Age profile'!$O$2:$O$61,B72)*(1+in_approval_growth)^(D72-1))</f>
        <v/>
      </c>
      <c r="J72" s="40">
        <f>(J71-L71)*F72/F71</f>
        <v/>
      </c>
      <c r="K72" s="40">
        <f>(K71-M71)*F72/F71+SUMIFS(O62:O71,B62:B71,B72-1-d_T)*F72</f>
        <v/>
      </c>
      <c r="L72" s="40">
        <f>IF(B72&gt;=in_marketplace_from,J72*d_hz*G72*in_eligible*H72,0)</f>
        <v/>
      </c>
      <c r="M72" s="40">
        <f>IF(B72&gt;=in_marketplace_from,K72*d_hz*G72*in_eligible*in_approved_repeat,0)</f>
        <v/>
      </c>
      <c r="N72" s="40">
        <f>L72+M72</f>
        <v/>
      </c>
      <c r="O72" s="46">
        <f>N72/F72</f>
        <v/>
      </c>
      <c r="P72" s="40">
        <f>F72-J72-K72</f>
        <v/>
      </c>
      <c r="Q72" s="40">
        <f>IF(B72&gt;=in_marketplace_from,(J72+K72)*d_hz*G72,0)</f>
        <v/>
      </c>
      <c r="R72" s="40">
        <f>SUMIFS(N62:N120,B62:B120,"&gt;="&amp;(B72-d_T),B62:B120,"&lt;="&amp;(B72-1))</f>
        <v/>
      </c>
      <c r="S72" s="46">
        <f>(1-d_u)*S71+IF(d_T&gt;in_topup_lag,SUMIFS(O62:O120,B62:B120,B72-in_topup_lag)-d_udrop*SUMIFS(O62:O120,B62:B120,B72-d_T),0)</f>
        <v/>
      </c>
      <c r="T72" s="40">
        <f>F72*d_u*S72</f>
        <v/>
      </c>
      <c r="U72" s="9">
        <f>L72*in_ticket+M72*d_rep_ticket</f>
        <v/>
      </c>
      <c r="V72" s="9">
        <f>U72+T72*d_topup_amt</f>
        <v/>
      </c>
      <c r="W72" s="40">
        <f>N72+T72*d_topup_ratio</f>
        <v/>
      </c>
      <c r="X72" s="40">
        <f>SUMIFS(W62:W120,B62:B120,B72-in_dpd_lag)*d_cured</f>
        <v/>
      </c>
      <c r="Y72" s="40">
        <f>SUMIFS(W62:W120,B62:B120,B72-in_rec_lag)*d_recd</f>
        <v/>
      </c>
      <c r="Z72" s="40">
        <f>IF(AND(B72&gt;=in_marketplace_from,B72&lt;in_marketplace_from+in_card_months),in_card_share/in_card_months*F72*I72,IF(AND(B72&gt;=in_marketplace_from+in_card_months,B72&lt;in_marketplace_from+2*in_card_months),in_card_share*d_card_rem/in_card_months*F72*MIN(in_takeup_cap,(1+in_takeup_growth)^(D72-1))*MIN(in_takeup_cap,(1+in_approval_growth)^(D72-1)),0))</f>
        <v/>
      </c>
      <c r="AA72" s="14">
        <f>V72*in_fee*(1-in_taken_back)</f>
        <v/>
      </c>
      <c r="AB72" s="14">
        <f>SUMIFS(W62:W120,B62:B120,B72-in_dpd_lag)*d_dpd</f>
        <v/>
      </c>
      <c r="AC72" s="14">
        <f>SUMIFS(W62:W120,B62:B120,B72-in_rec_lag)*d_rec</f>
        <v/>
      </c>
      <c r="AD72" s="14">
        <f>Z72*in_card_fee</f>
        <v/>
      </c>
      <c r="AE72" s="40">
        <f>AE71*(1-IF(B71&gt;=in_marketplace_from,d_hz_hlth_small*G71,0))</f>
        <v/>
      </c>
      <c r="AF72" s="46">
        <f>AE72*IF(B72&gt;=in_marketplace_from,d_hz_hlth_small*G72,0)</f>
        <v/>
      </c>
      <c r="AG72" s="14">
        <f>F72*AF72*in_hlth_small_ticket*in_hlth_small_comm*in_ins_partner_share+F72*in_hlth_small_ticket*in_hlth_small_renew_comm*in_ins_partner_share*(in_hlth_small_renew^1*SUMIFS(AF62:AF120,B62:B120,B72-12)+in_hlth_small_renew^2*SUMIFS(AF62:AF120,B62:B120,B72-24)+in_hlth_small_renew^3*SUMIFS(AF62:AF120,B62:B120,B72-36)+in_hlth_small_renew^4*SUMIFS(AF62:AF120,B62:B120,B72-48))</f>
        <v/>
      </c>
      <c r="AH72" s="40">
        <f>AH71*(1-IF(B71&gt;=in_marketplace_from,d_hz_hlth_family*G71,0))</f>
        <v/>
      </c>
      <c r="AI72" s="46">
        <f>AH72*IF(B72&gt;=in_marketplace_from,d_hz_hlth_family*G72,0)</f>
        <v/>
      </c>
      <c r="AJ72" s="14">
        <f>F72*AI72*in_hlth_family_ticket*in_hlth_family_comm*in_ins_partner_share+F72*in_hlth_family_ticket*in_hlth_family_renew_comm*in_ins_partner_share*(in_hlth_family_renew^1*SUMIFS(AI62:AI120,B62:B120,B72-12)+in_hlth_family_renew^2*SUMIFS(AI62:AI120,B62:B120,B72-24)+in_hlth_family_renew^3*SUMIFS(AI62:AI120,B62:B120,B72-36)+in_hlth_family_renew^4*SUMIFS(AI62:AI120,B62:B120,B72-48))</f>
        <v/>
      </c>
      <c r="AK72" s="40">
        <f>AK71*(1-IF(B71&gt;=in_marketplace_from,d_hz_life_term*G71,0))</f>
        <v/>
      </c>
      <c r="AL72" s="46">
        <f>AK72*IF(B72&gt;=in_marketplace_from,d_hz_life_term*G72,0)</f>
        <v/>
      </c>
      <c r="AM72" s="14">
        <f>F72*AL72*in_life_term_ticket*in_life_term_comm*in_ins_partner_share+F72*in_life_term_ticket*in_life_term_renew_comm*in_ins_partner_share*(in_life_term_renew^1*SUMIFS(AL62:AL120,B62:B120,B72-12)+in_life_term_renew^2*SUMIFS(AL62:AL120,B62:B120,B72-24)+in_life_term_renew^3*SUMIFS(AL62:AL120,B62:B120,B72-36)+in_life_term_renew^4*SUMIFS(AL62:AL120,B62:B120,B72-48))</f>
        <v/>
      </c>
      <c r="AN72" s="40">
        <f>AN71*(1-IF(B71&gt;=in_marketplace_from,d_hz_accident*G71,0))</f>
        <v/>
      </c>
      <c r="AO72" s="46">
        <f>AN72*IF(B72&gt;=in_marketplace_from,d_hz_accident*G72,0)</f>
        <v/>
      </c>
      <c r="AP72" s="14">
        <f>F72*AO72*in_accident_ticket*in_accident_comm*in_ins_partner_share+F72*in_accident_ticket*in_accident_renew_comm*in_ins_partner_share*(in_accident_renew^1*SUMIFS(AO62:AO120,B62:B120,B72-12)+in_accident_renew^2*SUMIFS(AO62:AO120,B62:B120,B72-24)+in_accident_renew^3*SUMIFS(AO62:AO120,B62:B120,B72-36)+in_accident_renew^4*SUMIFS(AO62:AO120,B62:B120,B72-48))</f>
        <v/>
      </c>
      <c r="AQ72" s="40">
        <f>AQ71*(1-IF(B71&gt;=in_marketplace_from,d_hz_two_wheeler*G71,0))</f>
        <v/>
      </c>
      <c r="AR72" s="46">
        <f>AQ72*IF(B72&gt;=in_marketplace_from,d_hz_two_wheeler*G72,0)</f>
        <v/>
      </c>
      <c r="AS72" s="14">
        <f>F72*AR72*in_two_wheeler_ticket*in_two_wheeler_comm*in_ins_partner_share+F72*in_two_wheeler_ticket*in_two_wheeler_comm*in_ins_partner_share*(in_two_wheeler_renew^1*SUMIFS(AR62:AR120,B62:B120,B72-12)+in_two_wheeler_renew^2*SUMIFS(AR62:AR120,B62:B120,B72-24)+in_two_wheeler_renew^3*SUMIFS(AR62:AR120,B62:B120,B72-36)+in_two_wheeler_renew^4*SUMIFS(AR62:AR120,B62:B120,B72-48))</f>
        <v/>
      </c>
      <c r="AT72" s="40">
        <f>AT71*(1-IF(B71&gt;=in_marketplace_from,d_hz_device*G71,0))</f>
        <v/>
      </c>
      <c r="AU72" s="14">
        <f>F72*AT72*IF(B72&gt;=in_marketplace_from,d_hz_device*G72,0)*in_device_ticket*in_device_comm*in_ins_partner_share</f>
        <v/>
      </c>
      <c r="AV72" s="40">
        <f>AV71*(1-IF(B71&gt;=in_marketplace_from,d_hz_shop*G71,0))</f>
        <v/>
      </c>
      <c r="AW72" s="46">
        <f>AV72*IF(B72&gt;=in_marketplace_from,d_hz_shop*G72,0)</f>
        <v/>
      </c>
      <c r="AX72" s="14">
        <f>F72*AW72*in_shop_ticket*in_shop_comm*in_ins_partner_share+F72*in_shop_ticket*in_shop_renew_comm*in_ins_partner_share*(in_shop_renew^1*SUMIFS(AW62:AW120,B62:B120,B72-12)+in_shop_renew^2*SUMIFS(AW62:AW120,B62:B120,B72-24)+in_shop_renew^3*SUMIFS(AW62:AW120,B62:B120,B72-36)+in_shop_renew^4*SUMIFS(AW62:AW120,B62:B120,B72-48))</f>
        <v/>
      </c>
      <c r="AY72" s="40">
        <f>AY71*(1-IF(B71&gt;=in_marketplace_from,d_hz_sip*G71,0))</f>
        <v/>
      </c>
      <c r="AZ72" s="40">
        <f>AZ71*d_rho_sip+AY72*IF(B72&gt;=in_marketplace_from,d_hz_sip*G72,0)</f>
        <v/>
      </c>
      <c r="BA72" s="40">
        <f>d_rho_sip*(BA71+AZ71)</f>
        <v/>
      </c>
      <c r="BB72" s="14">
        <f>F72*in_sip_ticket*(BA72+0.5*AZ72)*in_sip_comm/12</f>
        <v/>
      </c>
      <c r="BC72" s="40">
        <f>BC71*(1-IF(B71&gt;=in_marketplace_from,d_hz_choti*G71,0))</f>
        <v/>
      </c>
      <c r="BD72" s="46">
        <f>BC72*IF(B72&gt;=in_marketplace_from,d_hz_choti*G72,0)</f>
        <v/>
      </c>
      <c r="BE72" s="14">
        <f>F72*SUMIFS(BD62:BD120,B62:B120,B72-in_choti_months)*in_choti_renew*in_choti_ticket</f>
        <v/>
      </c>
      <c r="BF72" s="40">
        <f>BF71*(1-IF(B71&gt;=in_marketplace_from,d_hz_nps*G71,0))</f>
        <v/>
      </c>
      <c r="BG72" s="14">
        <f>F72*BF72*IF(B72&gt;=in_marketplace_from,d_hz_nps*G72,0)*in_nps_ticket*in_nps_comm</f>
        <v/>
      </c>
      <c r="BH72" s="40">
        <f>BH71*(1-IF(B71&gt;=in_marketplace_from,d_hz_gold*G71,0))</f>
        <v/>
      </c>
      <c r="BI72" s="40">
        <f>BI71*d_rho_gold+BH72*IF(B72&gt;=in_marketplace_from,d_hz_gold*G72,0)</f>
        <v/>
      </c>
      <c r="BJ72" s="14">
        <f>F72*BI72*in_gold_ticket*in_gold_comm</f>
        <v/>
      </c>
      <c r="BK72" s="40">
        <f>BK71*(1-IF(B71&gt;=in_marketplace_from,d_hz_fd*G71,0))</f>
        <v/>
      </c>
      <c r="BL72" s="14">
        <f>F72*BK72*IF(B72&gt;=in_marketplace_from,d_hz_fd*G72,0)*in_fd_ticket*in_fd_comm</f>
        <v/>
      </c>
      <c r="BM72" s="40">
        <f>BM71*(1-IF(B71&gt;=in_marketplace_from,d_hz_recharge*G71,0))</f>
        <v/>
      </c>
      <c r="BN72" s="40">
        <f>BN71*d_rho_recharge+BM72*IF(B72&gt;=in_marketplace_from,d_hz_recharge*G72,0)</f>
        <v/>
      </c>
      <c r="BO72" s="14">
        <f>F72*BN72*in_recharge_ticket*in_recharge_comm/12</f>
        <v/>
      </c>
      <c r="BP72" s="40">
        <f>BP71*(1-IF(B71&gt;=in_marketplace_from,d_hz_bills*G71,0))</f>
        <v/>
      </c>
      <c r="BQ72" s="40">
        <f>BQ71*d_rho_bills+BP72*IF(B72&gt;=in_marketplace_from,d_hz_bills*G72,0)</f>
        <v/>
      </c>
      <c r="BR72" s="14">
        <f>F72*BQ72*in_bills_ticket*in_bills_comm/12</f>
        <v/>
      </c>
      <c r="BS72" s="40">
        <f>BS71*(1-IF(B71&gt;=in_marketplace_from,d_hz_loan_gold*G71,0))</f>
        <v/>
      </c>
      <c r="BT72" s="14">
        <f>F72*BS72*IF(B72&gt;=in_marketplace_from,d_hz_loan_gold*G72,0)*in_loan_gold_ticket*in_loan_gold_comm</f>
        <v/>
      </c>
      <c r="BU72" s="40">
        <f>BU71*(1-IF(B71&gt;=in_marketplace_from,d_hz_loan_cd*G71,0))</f>
        <v/>
      </c>
      <c r="BV72" s="14">
        <f>F72*BU72*IF(B72&gt;=in_marketplace_from,d_hz_loan_cd*G72,0)*in_loan_cd_ticket*in_loan_cd_comm</f>
        <v/>
      </c>
      <c r="BW72" s="40">
        <f>BW71*(1-IF(B71&gt;=in_marketplace_from,d_hz_loan_vehicle*G71,0))</f>
        <v/>
      </c>
      <c r="BX72" s="14">
        <f>F72*BW72*IF(B72&gt;=in_marketplace_from,d_hz_loan_vehicle*G72,0)*in_loan_vehicle_ticket*in_loan_vehicle_comm</f>
        <v/>
      </c>
      <c r="BY72" s="40">
        <f>BY71*(1-IF(B71&gt;=in_marketplace_from,d_hz_loan_home*G71,0)*BZ71)</f>
        <v/>
      </c>
      <c r="BZ72" s="11">
        <f>MIN(in_approval_cap,in_loan_home_approval*INDEX('Age profile'!$O$2:$O$61,B72)*(1+in_approval_growth)^(D72-1))</f>
        <v/>
      </c>
      <c r="CA72" s="14">
        <f>F72*BY72*IF(B72&gt;=in_marketplace_from,d_hz_loan_home*G72,0)*BZ72*in_loan_home_ticket*in_loan_home_comm</f>
        <v/>
      </c>
      <c r="CB72" s="40">
        <f>CB71*(1-IF(B71&gt;=in_marketplace_from,d_hz_loan_lap*G71,0)*CC71)</f>
        <v/>
      </c>
      <c r="CC72" s="11">
        <f>MIN(in_approval_cap,in_loan_lap_approval*INDEX('Age profile'!$O$2:$O$61,B72)*(1+in_approval_growth)^(D72-1))</f>
        <v/>
      </c>
      <c r="CD72" s="14">
        <f>F72*CB72*IF(B72&gt;=in_marketplace_from,d_hz_loan_lap*G72,0)*CC72*in_loan_lap_ticket*in_loan_lap_comm</f>
        <v/>
      </c>
      <c r="CE72" s="14">
        <f>AA72+AB72+AC72+AD72+AG72+AJ72+AM72+AP72+AS72+AU72+AX72+BB72+BE72+BG72+BJ72+BL72+BO72+BR72+BT72+BV72+BX72+CA72+CD72</f>
        <v/>
      </c>
    </row>
    <row r="73">
      <c r="A73" s="39" t="n">
        <v>2</v>
      </c>
      <c r="B73" s="39" t="n">
        <v>12</v>
      </c>
      <c r="C73" s="39">
        <f>A73+B73-1</f>
        <v/>
      </c>
      <c r="D73" s="39">
        <f>INT((C73-1)/12)+1</f>
        <v/>
      </c>
      <c r="E73" s="44">
        <f>INDEX(Monthly!$B$2:$B$61,A73)</f>
        <v/>
      </c>
      <c r="F73" s="44">
        <f>E73*INDEX('Age profile'!$B$2:$B$61,B73)</f>
        <v/>
      </c>
      <c r="G73" s="45">
        <f>MIN(in_takeup_cap,INDEX('Age profile'!$N$2:$N$61,B73)*(1+in_takeup_growth)^(D73-1))</f>
        <v/>
      </c>
      <c r="H73" s="11">
        <f>MIN(in_approval_cap,in_approved_first*INDEX('Age profile'!$O$2:$O$61,B73)*(1+in_approval_growth)^(D73-1))</f>
        <v/>
      </c>
      <c r="I73" s="45">
        <f>G73*MIN(in_takeup_cap,INDEX('Age profile'!$O$2:$O$61,B73)*(1+in_approval_growth)^(D73-1))</f>
        <v/>
      </c>
      <c r="J73" s="40">
        <f>(J72-L72)*F73/F72</f>
        <v/>
      </c>
      <c r="K73" s="40">
        <f>(K72-M72)*F73/F72+SUMIFS(O62:O72,B62:B72,B73-1-d_T)*F73</f>
        <v/>
      </c>
      <c r="L73" s="40">
        <f>IF(B73&gt;=in_marketplace_from,J73*d_hz*G73*in_eligible*H73,0)</f>
        <v/>
      </c>
      <c r="M73" s="40">
        <f>IF(B73&gt;=in_marketplace_from,K73*d_hz*G73*in_eligible*in_approved_repeat,0)</f>
        <v/>
      </c>
      <c r="N73" s="40">
        <f>L73+M73</f>
        <v/>
      </c>
      <c r="O73" s="46">
        <f>N73/F73</f>
        <v/>
      </c>
      <c r="P73" s="40">
        <f>F73-J73-K73</f>
        <v/>
      </c>
      <c r="Q73" s="40">
        <f>IF(B73&gt;=in_marketplace_from,(J73+K73)*d_hz*G73,0)</f>
        <v/>
      </c>
      <c r="R73" s="40">
        <f>SUMIFS(N62:N120,B62:B120,"&gt;="&amp;(B73-d_T),B62:B120,"&lt;="&amp;(B73-1))</f>
        <v/>
      </c>
      <c r="S73" s="46">
        <f>(1-d_u)*S72+IF(d_T&gt;in_topup_lag,SUMIFS(O62:O120,B62:B120,B73-in_topup_lag)-d_udrop*SUMIFS(O62:O120,B62:B120,B73-d_T),0)</f>
        <v/>
      </c>
      <c r="T73" s="40">
        <f>F73*d_u*S73</f>
        <v/>
      </c>
      <c r="U73" s="9">
        <f>L73*in_ticket+M73*d_rep_ticket</f>
        <v/>
      </c>
      <c r="V73" s="9">
        <f>U73+T73*d_topup_amt</f>
        <v/>
      </c>
      <c r="W73" s="40">
        <f>N73+T73*d_topup_ratio</f>
        <v/>
      </c>
      <c r="X73" s="40">
        <f>SUMIFS(W62:W120,B62:B120,B73-in_dpd_lag)*d_cured</f>
        <v/>
      </c>
      <c r="Y73" s="40">
        <f>SUMIFS(W62:W120,B62:B120,B73-in_rec_lag)*d_recd</f>
        <v/>
      </c>
      <c r="Z73" s="40">
        <f>IF(AND(B73&gt;=in_marketplace_from,B73&lt;in_marketplace_from+in_card_months),in_card_share/in_card_months*F73*I73,IF(AND(B73&gt;=in_marketplace_from+in_card_months,B73&lt;in_marketplace_from+2*in_card_months),in_card_share*d_card_rem/in_card_months*F73*MIN(in_takeup_cap,(1+in_takeup_growth)^(D73-1))*MIN(in_takeup_cap,(1+in_approval_growth)^(D73-1)),0))</f>
        <v/>
      </c>
      <c r="AA73" s="14">
        <f>V73*in_fee*(1-in_taken_back)</f>
        <v/>
      </c>
      <c r="AB73" s="14">
        <f>SUMIFS(W62:W120,B62:B120,B73-in_dpd_lag)*d_dpd</f>
        <v/>
      </c>
      <c r="AC73" s="14">
        <f>SUMIFS(W62:W120,B62:B120,B73-in_rec_lag)*d_rec</f>
        <v/>
      </c>
      <c r="AD73" s="14">
        <f>Z73*in_card_fee</f>
        <v/>
      </c>
      <c r="AE73" s="40">
        <f>AE72*(1-IF(B72&gt;=in_marketplace_from,d_hz_hlth_small*G72,0))</f>
        <v/>
      </c>
      <c r="AF73" s="46">
        <f>AE73*IF(B73&gt;=in_marketplace_from,d_hz_hlth_small*G73,0)</f>
        <v/>
      </c>
      <c r="AG73" s="14">
        <f>F73*AF73*in_hlth_small_ticket*in_hlth_small_comm*in_ins_partner_share+F73*in_hlth_small_ticket*in_hlth_small_renew_comm*in_ins_partner_share*(in_hlth_small_renew^1*SUMIFS(AF62:AF120,B62:B120,B73-12)+in_hlth_small_renew^2*SUMIFS(AF62:AF120,B62:B120,B73-24)+in_hlth_small_renew^3*SUMIFS(AF62:AF120,B62:B120,B73-36)+in_hlth_small_renew^4*SUMIFS(AF62:AF120,B62:B120,B73-48))</f>
        <v/>
      </c>
      <c r="AH73" s="40">
        <f>AH72*(1-IF(B72&gt;=in_marketplace_from,d_hz_hlth_family*G72,0))</f>
        <v/>
      </c>
      <c r="AI73" s="46">
        <f>AH73*IF(B73&gt;=in_marketplace_from,d_hz_hlth_family*G73,0)</f>
        <v/>
      </c>
      <c r="AJ73" s="14">
        <f>F73*AI73*in_hlth_family_ticket*in_hlth_family_comm*in_ins_partner_share+F73*in_hlth_family_ticket*in_hlth_family_renew_comm*in_ins_partner_share*(in_hlth_family_renew^1*SUMIFS(AI62:AI120,B62:B120,B73-12)+in_hlth_family_renew^2*SUMIFS(AI62:AI120,B62:B120,B73-24)+in_hlth_family_renew^3*SUMIFS(AI62:AI120,B62:B120,B73-36)+in_hlth_family_renew^4*SUMIFS(AI62:AI120,B62:B120,B73-48))</f>
        <v/>
      </c>
      <c r="AK73" s="40">
        <f>AK72*(1-IF(B72&gt;=in_marketplace_from,d_hz_life_term*G72,0))</f>
        <v/>
      </c>
      <c r="AL73" s="46">
        <f>AK73*IF(B73&gt;=in_marketplace_from,d_hz_life_term*G73,0)</f>
        <v/>
      </c>
      <c r="AM73" s="14">
        <f>F73*AL73*in_life_term_ticket*in_life_term_comm*in_ins_partner_share+F73*in_life_term_ticket*in_life_term_renew_comm*in_ins_partner_share*(in_life_term_renew^1*SUMIFS(AL62:AL120,B62:B120,B73-12)+in_life_term_renew^2*SUMIFS(AL62:AL120,B62:B120,B73-24)+in_life_term_renew^3*SUMIFS(AL62:AL120,B62:B120,B73-36)+in_life_term_renew^4*SUMIFS(AL62:AL120,B62:B120,B73-48))</f>
        <v/>
      </c>
      <c r="AN73" s="40">
        <f>AN72*(1-IF(B72&gt;=in_marketplace_from,d_hz_accident*G72,0))</f>
        <v/>
      </c>
      <c r="AO73" s="46">
        <f>AN73*IF(B73&gt;=in_marketplace_from,d_hz_accident*G73,0)</f>
        <v/>
      </c>
      <c r="AP73" s="14">
        <f>F73*AO73*in_accident_ticket*in_accident_comm*in_ins_partner_share+F73*in_accident_ticket*in_accident_renew_comm*in_ins_partner_share*(in_accident_renew^1*SUMIFS(AO62:AO120,B62:B120,B73-12)+in_accident_renew^2*SUMIFS(AO62:AO120,B62:B120,B73-24)+in_accident_renew^3*SUMIFS(AO62:AO120,B62:B120,B73-36)+in_accident_renew^4*SUMIFS(AO62:AO120,B62:B120,B73-48))</f>
        <v/>
      </c>
      <c r="AQ73" s="40">
        <f>AQ72*(1-IF(B72&gt;=in_marketplace_from,d_hz_two_wheeler*G72,0))</f>
        <v/>
      </c>
      <c r="AR73" s="46">
        <f>AQ73*IF(B73&gt;=in_marketplace_from,d_hz_two_wheeler*G73,0)</f>
        <v/>
      </c>
      <c r="AS73" s="14">
        <f>F73*AR73*in_two_wheeler_ticket*in_two_wheeler_comm*in_ins_partner_share+F73*in_two_wheeler_ticket*in_two_wheeler_comm*in_ins_partner_share*(in_two_wheeler_renew^1*SUMIFS(AR62:AR120,B62:B120,B73-12)+in_two_wheeler_renew^2*SUMIFS(AR62:AR120,B62:B120,B73-24)+in_two_wheeler_renew^3*SUMIFS(AR62:AR120,B62:B120,B73-36)+in_two_wheeler_renew^4*SUMIFS(AR62:AR120,B62:B120,B73-48))</f>
        <v/>
      </c>
      <c r="AT73" s="40">
        <f>AT72*(1-IF(B72&gt;=in_marketplace_from,d_hz_device*G72,0))</f>
        <v/>
      </c>
      <c r="AU73" s="14">
        <f>F73*AT73*IF(B73&gt;=in_marketplace_from,d_hz_device*G73,0)*in_device_ticket*in_device_comm*in_ins_partner_share</f>
        <v/>
      </c>
      <c r="AV73" s="40">
        <f>AV72*(1-IF(B72&gt;=in_marketplace_from,d_hz_shop*G72,0))</f>
        <v/>
      </c>
      <c r="AW73" s="46">
        <f>AV73*IF(B73&gt;=in_marketplace_from,d_hz_shop*G73,0)</f>
        <v/>
      </c>
      <c r="AX73" s="14">
        <f>F73*AW73*in_shop_ticket*in_shop_comm*in_ins_partner_share+F73*in_shop_ticket*in_shop_renew_comm*in_ins_partner_share*(in_shop_renew^1*SUMIFS(AW62:AW120,B62:B120,B73-12)+in_shop_renew^2*SUMIFS(AW62:AW120,B62:B120,B73-24)+in_shop_renew^3*SUMIFS(AW62:AW120,B62:B120,B73-36)+in_shop_renew^4*SUMIFS(AW62:AW120,B62:B120,B73-48))</f>
        <v/>
      </c>
      <c r="AY73" s="40">
        <f>AY72*(1-IF(B72&gt;=in_marketplace_from,d_hz_sip*G72,0))</f>
        <v/>
      </c>
      <c r="AZ73" s="40">
        <f>AZ72*d_rho_sip+AY73*IF(B73&gt;=in_marketplace_from,d_hz_sip*G73,0)</f>
        <v/>
      </c>
      <c r="BA73" s="40">
        <f>d_rho_sip*(BA72+AZ72)</f>
        <v/>
      </c>
      <c r="BB73" s="14">
        <f>F73*in_sip_ticket*(BA73+0.5*AZ73)*in_sip_comm/12</f>
        <v/>
      </c>
      <c r="BC73" s="40">
        <f>BC72*(1-IF(B72&gt;=in_marketplace_from,d_hz_choti*G72,0))</f>
        <v/>
      </c>
      <c r="BD73" s="46">
        <f>BC73*IF(B73&gt;=in_marketplace_from,d_hz_choti*G73,0)</f>
        <v/>
      </c>
      <c r="BE73" s="14">
        <f>F73*SUMIFS(BD62:BD120,B62:B120,B73-in_choti_months)*in_choti_renew*in_choti_ticket</f>
        <v/>
      </c>
      <c r="BF73" s="40">
        <f>BF72*(1-IF(B72&gt;=in_marketplace_from,d_hz_nps*G72,0))</f>
        <v/>
      </c>
      <c r="BG73" s="14">
        <f>F73*BF73*IF(B73&gt;=in_marketplace_from,d_hz_nps*G73,0)*in_nps_ticket*in_nps_comm</f>
        <v/>
      </c>
      <c r="BH73" s="40">
        <f>BH72*(1-IF(B72&gt;=in_marketplace_from,d_hz_gold*G72,0))</f>
        <v/>
      </c>
      <c r="BI73" s="40">
        <f>BI72*d_rho_gold+BH73*IF(B73&gt;=in_marketplace_from,d_hz_gold*G73,0)</f>
        <v/>
      </c>
      <c r="BJ73" s="14">
        <f>F73*BI73*in_gold_ticket*in_gold_comm</f>
        <v/>
      </c>
      <c r="BK73" s="40">
        <f>BK72*(1-IF(B72&gt;=in_marketplace_from,d_hz_fd*G72,0))</f>
        <v/>
      </c>
      <c r="BL73" s="14">
        <f>F73*BK73*IF(B73&gt;=in_marketplace_from,d_hz_fd*G73,0)*in_fd_ticket*in_fd_comm</f>
        <v/>
      </c>
      <c r="BM73" s="40">
        <f>BM72*(1-IF(B72&gt;=in_marketplace_from,d_hz_recharge*G72,0))</f>
        <v/>
      </c>
      <c r="BN73" s="40">
        <f>BN72*d_rho_recharge+BM73*IF(B73&gt;=in_marketplace_from,d_hz_recharge*G73,0)</f>
        <v/>
      </c>
      <c r="BO73" s="14">
        <f>F73*BN73*in_recharge_ticket*in_recharge_comm/12</f>
        <v/>
      </c>
      <c r="BP73" s="40">
        <f>BP72*(1-IF(B72&gt;=in_marketplace_from,d_hz_bills*G72,0))</f>
        <v/>
      </c>
      <c r="BQ73" s="40">
        <f>BQ72*d_rho_bills+BP73*IF(B73&gt;=in_marketplace_from,d_hz_bills*G73,0)</f>
        <v/>
      </c>
      <c r="BR73" s="14">
        <f>F73*BQ73*in_bills_ticket*in_bills_comm/12</f>
        <v/>
      </c>
      <c r="BS73" s="40">
        <f>BS72*(1-IF(B72&gt;=in_marketplace_from,d_hz_loan_gold*G72,0))</f>
        <v/>
      </c>
      <c r="BT73" s="14">
        <f>F73*BS73*IF(B73&gt;=in_marketplace_from,d_hz_loan_gold*G73,0)*in_loan_gold_ticket*in_loan_gold_comm</f>
        <v/>
      </c>
      <c r="BU73" s="40">
        <f>BU72*(1-IF(B72&gt;=in_marketplace_from,d_hz_loan_cd*G72,0))</f>
        <v/>
      </c>
      <c r="BV73" s="14">
        <f>F73*BU73*IF(B73&gt;=in_marketplace_from,d_hz_loan_cd*G73,0)*in_loan_cd_ticket*in_loan_cd_comm</f>
        <v/>
      </c>
      <c r="BW73" s="40">
        <f>BW72*(1-IF(B72&gt;=in_marketplace_from,d_hz_loan_vehicle*G72,0))</f>
        <v/>
      </c>
      <c r="BX73" s="14">
        <f>F73*BW73*IF(B73&gt;=in_marketplace_from,d_hz_loan_vehicle*G73,0)*in_loan_vehicle_ticket*in_loan_vehicle_comm</f>
        <v/>
      </c>
      <c r="BY73" s="40">
        <f>BY72*(1-IF(B72&gt;=in_marketplace_from,d_hz_loan_home*G72,0)*BZ72)</f>
        <v/>
      </c>
      <c r="BZ73" s="11">
        <f>MIN(in_approval_cap,in_loan_home_approval*INDEX('Age profile'!$O$2:$O$61,B73)*(1+in_approval_growth)^(D73-1))</f>
        <v/>
      </c>
      <c r="CA73" s="14">
        <f>F73*BY73*IF(B73&gt;=in_marketplace_from,d_hz_loan_home*G73,0)*BZ73*in_loan_home_ticket*in_loan_home_comm</f>
        <v/>
      </c>
      <c r="CB73" s="40">
        <f>CB72*(1-IF(B72&gt;=in_marketplace_from,d_hz_loan_lap*G72,0)*CC72)</f>
        <v/>
      </c>
      <c r="CC73" s="11">
        <f>MIN(in_approval_cap,in_loan_lap_approval*INDEX('Age profile'!$O$2:$O$61,B73)*(1+in_approval_growth)^(D73-1))</f>
        <v/>
      </c>
      <c r="CD73" s="14">
        <f>F73*CB73*IF(B73&gt;=in_marketplace_from,d_hz_loan_lap*G73,0)*CC73*in_loan_lap_ticket*in_loan_lap_comm</f>
        <v/>
      </c>
      <c r="CE73" s="14">
        <f>AA73+AB73+AC73+AD73+AG73+AJ73+AM73+AP73+AS73+AU73+AX73+BB73+BE73+BG73+BJ73+BL73+BO73+BR73+BT73+BV73+BX73+CA73+CD73</f>
        <v/>
      </c>
    </row>
    <row r="74">
      <c r="A74" s="39" t="n">
        <v>2</v>
      </c>
      <c r="B74" s="39" t="n">
        <v>13</v>
      </c>
      <c r="C74" s="39">
        <f>A74+B74-1</f>
        <v/>
      </c>
      <c r="D74" s="39">
        <f>INT((C74-1)/12)+1</f>
        <v/>
      </c>
      <c r="E74" s="44">
        <f>INDEX(Monthly!$B$2:$B$61,A74)</f>
        <v/>
      </c>
      <c r="F74" s="44">
        <f>E74*INDEX('Age profile'!$B$2:$B$61,B74)</f>
        <v/>
      </c>
      <c r="G74" s="45">
        <f>MIN(in_takeup_cap,INDEX('Age profile'!$N$2:$N$61,B74)*(1+in_takeup_growth)^(D74-1))</f>
        <v/>
      </c>
      <c r="H74" s="11">
        <f>MIN(in_approval_cap,in_approved_first*INDEX('Age profile'!$O$2:$O$61,B74)*(1+in_approval_growth)^(D74-1))</f>
        <v/>
      </c>
      <c r="I74" s="45">
        <f>G74*MIN(in_takeup_cap,INDEX('Age profile'!$O$2:$O$61,B74)*(1+in_approval_growth)^(D74-1))</f>
        <v/>
      </c>
      <c r="J74" s="40">
        <f>(J73-L73)*F74/F73</f>
        <v/>
      </c>
      <c r="K74" s="40">
        <f>(K73-M73)*F74/F73+SUMIFS(O62:O73,B62:B73,B74-1-d_T)*F74</f>
        <v/>
      </c>
      <c r="L74" s="40">
        <f>IF(B74&gt;=in_marketplace_from,J74*d_hz*G74*in_eligible*H74,0)</f>
        <v/>
      </c>
      <c r="M74" s="40">
        <f>IF(B74&gt;=in_marketplace_from,K74*d_hz*G74*in_eligible*in_approved_repeat,0)</f>
        <v/>
      </c>
      <c r="N74" s="40">
        <f>L74+M74</f>
        <v/>
      </c>
      <c r="O74" s="46">
        <f>N74/F74</f>
        <v/>
      </c>
      <c r="P74" s="40">
        <f>F74-J74-K74</f>
        <v/>
      </c>
      <c r="Q74" s="40">
        <f>IF(B74&gt;=in_marketplace_from,(J74+K74)*d_hz*G74,0)</f>
        <v/>
      </c>
      <c r="R74" s="40">
        <f>SUMIFS(N62:N120,B62:B120,"&gt;="&amp;(B74-d_T),B62:B120,"&lt;="&amp;(B74-1))</f>
        <v/>
      </c>
      <c r="S74" s="46">
        <f>(1-d_u)*S73+IF(d_T&gt;in_topup_lag,SUMIFS(O62:O120,B62:B120,B74-in_topup_lag)-d_udrop*SUMIFS(O62:O120,B62:B120,B74-d_T),0)</f>
        <v/>
      </c>
      <c r="T74" s="40">
        <f>F74*d_u*S74</f>
        <v/>
      </c>
      <c r="U74" s="9">
        <f>L74*in_ticket+M74*d_rep_ticket</f>
        <v/>
      </c>
      <c r="V74" s="9">
        <f>U74+T74*d_topup_amt</f>
        <v/>
      </c>
      <c r="W74" s="40">
        <f>N74+T74*d_topup_ratio</f>
        <v/>
      </c>
      <c r="X74" s="40">
        <f>SUMIFS(W62:W120,B62:B120,B74-in_dpd_lag)*d_cured</f>
        <v/>
      </c>
      <c r="Y74" s="40">
        <f>SUMIFS(W62:W120,B62:B120,B74-in_rec_lag)*d_recd</f>
        <v/>
      </c>
      <c r="Z74" s="40">
        <f>IF(AND(B74&gt;=in_marketplace_from,B74&lt;in_marketplace_from+in_card_months),in_card_share/in_card_months*F74*I74,IF(AND(B74&gt;=in_marketplace_from+in_card_months,B74&lt;in_marketplace_from+2*in_card_months),in_card_share*d_card_rem/in_card_months*F74*MIN(in_takeup_cap,(1+in_takeup_growth)^(D74-1))*MIN(in_takeup_cap,(1+in_approval_growth)^(D74-1)),0))</f>
        <v/>
      </c>
      <c r="AA74" s="14">
        <f>V74*in_fee*(1-in_taken_back)</f>
        <v/>
      </c>
      <c r="AB74" s="14">
        <f>SUMIFS(W62:W120,B62:B120,B74-in_dpd_lag)*d_dpd</f>
        <v/>
      </c>
      <c r="AC74" s="14">
        <f>SUMIFS(W62:W120,B62:B120,B74-in_rec_lag)*d_rec</f>
        <v/>
      </c>
      <c r="AD74" s="14">
        <f>Z74*in_card_fee</f>
        <v/>
      </c>
      <c r="AE74" s="40">
        <f>AE73*(1-IF(B73&gt;=in_marketplace_from,d_hz_hlth_small*G73,0))</f>
        <v/>
      </c>
      <c r="AF74" s="46">
        <f>AE74*IF(B74&gt;=in_marketplace_from,d_hz_hlth_small*G74,0)</f>
        <v/>
      </c>
      <c r="AG74" s="14">
        <f>F74*AF74*in_hlth_small_ticket*in_hlth_small_comm*in_ins_partner_share+F74*in_hlth_small_ticket*in_hlth_small_renew_comm*in_ins_partner_share*(in_hlth_small_renew^1*SUMIFS(AF62:AF120,B62:B120,B74-12)+in_hlth_small_renew^2*SUMIFS(AF62:AF120,B62:B120,B74-24)+in_hlth_small_renew^3*SUMIFS(AF62:AF120,B62:B120,B74-36)+in_hlth_small_renew^4*SUMIFS(AF62:AF120,B62:B120,B74-48))</f>
        <v/>
      </c>
      <c r="AH74" s="40">
        <f>AH73*(1-IF(B73&gt;=in_marketplace_from,d_hz_hlth_family*G73,0))</f>
        <v/>
      </c>
      <c r="AI74" s="46">
        <f>AH74*IF(B74&gt;=in_marketplace_from,d_hz_hlth_family*G74,0)</f>
        <v/>
      </c>
      <c r="AJ74" s="14">
        <f>F74*AI74*in_hlth_family_ticket*in_hlth_family_comm*in_ins_partner_share+F74*in_hlth_family_ticket*in_hlth_family_renew_comm*in_ins_partner_share*(in_hlth_family_renew^1*SUMIFS(AI62:AI120,B62:B120,B74-12)+in_hlth_family_renew^2*SUMIFS(AI62:AI120,B62:B120,B74-24)+in_hlth_family_renew^3*SUMIFS(AI62:AI120,B62:B120,B74-36)+in_hlth_family_renew^4*SUMIFS(AI62:AI120,B62:B120,B74-48))</f>
        <v/>
      </c>
      <c r="AK74" s="40">
        <f>AK73*(1-IF(B73&gt;=in_marketplace_from,d_hz_life_term*G73,0))</f>
        <v/>
      </c>
      <c r="AL74" s="46">
        <f>AK74*IF(B74&gt;=in_marketplace_from,d_hz_life_term*G74,0)</f>
        <v/>
      </c>
      <c r="AM74" s="14">
        <f>F74*AL74*in_life_term_ticket*in_life_term_comm*in_ins_partner_share+F74*in_life_term_ticket*in_life_term_renew_comm*in_ins_partner_share*(in_life_term_renew^1*SUMIFS(AL62:AL120,B62:B120,B74-12)+in_life_term_renew^2*SUMIFS(AL62:AL120,B62:B120,B74-24)+in_life_term_renew^3*SUMIFS(AL62:AL120,B62:B120,B74-36)+in_life_term_renew^4*SUMIFS(AL62:AL120,B62:B120,B74-48))</f>
        <v/>
      </c>
      <c r="AN74" s="40">
        <f>AN73*(1-IF(B73&gt;=in_marketplace_from,d_hz_accident*G73,0))</f>
        <v/>
      </c>
      <c r="AO74" s="46">
        <f>AN74*IF(B74&gt;=in_marketplace_from,d_hz_accident*G74,0)</f>
        <v/>
      </c>
      <c r="AP74" s="14">
        <f>F74*AO74*in_accident_ticket*in_accident_comm*in_ins_partner_share+F74*in_accident_ticket*in_accident_renew_comm*in_ins_partner_share*(in_accident_renew^1*SUMIFS(AO62:AO120,B62:B120,B74-12)+in_accident_renew^2*SUMIFS(AO62:AO120,B62:B120,B74-24)+in_accident_renew^3*SUMIFS(AO62:AO120,B62:B120,B74-36)+in_accident_renew^4*SUMIFS(AO62:AO120,B62:B120,B74-48))</f>
        <v/>
      </c>
      <c r="AQ74" s="40">
        <f>AQ73*(1-IF(B73&gt;=in_marketplace_from,d_hz_two_wheeler*G73,0))</f>
        <v/>
      </c>
      <c r="AR74" s="46">
        <f>AQ74*IF(B74&gt;=in_marketplace_from,d_hz_two_wheeler*G74,0)</f>
        <v/>
      </c>
      <c r="AS74" s="14">
        <f>F74*AR74*in_two_wheeler_ticket*in_two_wheeler_comm*in_ins_partner_share+F74*in_two_wheeler_ticket*in_two_wheeler_comm*in_ins_partner_share*(in_two_wheeler_renew^1*SUMIFS(AR62:AR120,B62:B120,B74-12)+in_two_wheeler_renew^2*SUMIFS(AR62:AR120,B62:B120,B74-24)+in_two_wheeler_renew^3*SUMIFS(AR62:AR120,B62:B120,B74-36)+in_two_wheeler_renew^4*SUMIFS(AR62:AR120,B62:B120,B74-48))</f>
        <v/>
      </c>
      <c r="AT74" s="40">
        <f>AT73*(1-IF(B73&gt;=in_marketplace_from,d_hz_device*G73,0))</f>
        <v/>
      </c>
      <c r="AU74" s="14">
        <f>F74*AT74*IF(B74&gt;=in_marketplace_from,d_hz_device*G74,0)*in_device_ticket*in_device_comm*in_ins_partner_share</f>
        <v/>
      </c>
      <c r="AV74" s="40">
        <f>AV73*(1-IF(B73&gt;=in_marketplace_from,d_hz_shop*G73,0))</f>
        <v/>
      </c>
      <c r="AW74" s="46">
        <f>AV74*IF(B74&gt;=in_marketplace_from,d_hz_shop*G74,0)</f>
        <v/>
      </c>
      <c r="AX74" s="14">
        <f>F74*AW74*in_shop_ticket*in_shop_comm*in_ins_partner_share+F74*in_shop_ticket*in_shop_renew_comm*in_ins_partner_share*(in_shop_renew^1*SUMIFS(AW62:AW120,B62:B120,B74-12)+in_shop_renew^2*SUMIFS(AW62:AW120,B62:B120,B74-24)+in_shop_renew^3*SUMIFS(AW62:AW120,B62:B120,B74-36)+in_shop_renew^4*SUMIFS(AW62:AW120,B62:B120,B74-48))</f>
        <v/>
      </c>
      <c r="AY74" s="40">
        <f>AY73*(1-IF(B73&gt;=in_marketplace_from,d_hz_sip*G73,0))</f>
        <v/>
      </c>
      <c r="AZ74" s="40">
        <f>AZ73*d_rho_sip+AY74*IF(B74&gt;=in_marketplace_from,d_hz_sip*G74,0)</f>
        <v/>
      </c>
      <c r="BA74" s="40">
        <f>d_rho_sip*(BA73+AZ73)</f>
        <v/>
      </c>
      <c r="BB74" s="14">
        <f>F74*in_sip_ticket*(BA74+0.5*AZ74)*in_sip_comm/12</f>
        <v/>
      </c>
      <c r="BC74" s="40">
        <f>BC73*(1-IF(B73&gt;=in_marketplace_from,d_hz_choti*G73,0))</f>
        <v/>
      </c>
      <c r="BD74" s="46">
        <f>BC74*IF(B74&gt;=in_marketplace_from,d_hz_choti*G74,0)</f>
        <v/>
      </c>
      <c r="BE74" s="14">
        <f>F74*SUMIFS(BD62:BD120,B62:B120,B74-in_choti_months)*in_choti_renew*in_choti_ticket</f>
        <v/>
      </c>
      <c r="BF74" s="40">
        <f>BF73*(1-IF(B73&gt;=in_marketplace_from,d_hz_nps*G73,0))</f>
        <v/>
      </c>
      <c r="BG74" s="14">
        <f>F74*BF74*IF(B74&gt;=in_marketplace_from,d_hz_nps*G74,0)*in_nps_ticket*in_nps_comm</f>
        <v/>
      </c>
      <c r="BH74" s="40">
        <f>BH73*(1-IF(B73&gt;=in_marketplace_from,d_hz_gold*G73,0))</f>
        <v/>
      </c>
      <c r="BI74" s="40">
        <f>BI73*d_rho_gold+BH74*IF(B74&gt;=in_marketplace_from,d_hz_gold*G74,0)</f>
        <v/>
      </c>
      <c r="BJ74" s="14">
        <f>F74*BI74*in_gold_ticket*in_gold_comm</f>
        <v/>
      </c>
      <c r="BK74" s="40">
        <f>BK73*(1-IF(B73&gt;=in_marketplace_from,d_hz_fd*G73,0))</f>
        <v/>
      </c>
      <c r="BL74" s="14">
        <f>F74*BK74*IF(B74&gt;=in_marketplace_from,d_hz_fd*G74,0)*in_fd_ticket*in_fd_comm</f>
        <v/>
      </c>
      <c r="BM74" s="40">
        <f>BM73*(1-IF(B73&gt;=in_marketplace_from,d_hz_recharge*G73,0))</f>
        <v/>
      </c>
      <c r="BN74" s="40">
        <f>BN73*d_rho_recharge+BM74*IF(B74&gt;=in_marketplace_from,d_hz_recharge*G74,0)</f>
        <v/>
      </c>
      <c r="BO74" s="14">
        <f>F74*BN74*in_recharge_ticket*in_recharge_comm/12</f>
        <v/>
      </c>
      <c r="BP74" s="40">
        <f>BP73*(1-IF(B73&gt;=in_marketplace_from,d_hz_bills*G73,0))</f>
        <v/>
      </c>
      <c r="BQ74" s="40">
        <f>BQ73*d_rho_bills+BP74*IF(B74&gt;=in_marketplace_from,d_hz_bills*G74,0)</f>
        <v/>
      </c>
      <c r="BR74" s="14">
        <f>F74*BQ74*in_bills_ticket*in_bills_comm/12</f>
        <v/>
      </c>
      <c r="BS74" s="40">
        <f>BS73*(1-IF(B73&gt;=in_marketplace_from,d_hz_loan_gold*G73,0))</f>
        <v/>
      </c>
      <c r="BT74" s="14">
        <f>F74*BS74*IF(B74&gt;=in_marketplace_from,d_hz_loan_gold*G74,0)*in_loan_gold_ticket*in_loan_gold_comm</f>
        <v/>
      </c>
      <c r="BU74" s="40">
        <f>BU73*(1-IF(B73&gt;=in_marketplace_from,d_hz_loan_cd*G73,0))</f>
        <v/>
      </c>
      <c r="BV74" s="14">
        <f>F74*BU74*IF(B74&gt;=in_marketplace_from,d_hz_loan_cd*G74,0)*in_loan_cd_ticket*in_loan_cd_comm</f>
        <v/>
      </c>
      <c r="BW74" s="40">
        <f>BW73*(1-IF(B73&gt;=in_marketplace_from,d_hz_loan_vehicle*G73,0))</f>
        <v/>
      </c>
      <c r="BX74" s="14">
        <f>F74*BW74*IF(B74&gt;=in_marketplace_from,d_hz_loan_vehicle*G74,0)*in_loan_vehicle_ticket*in_loan_vehicle_comm</f>
        <v/>
      </c>
      <c r="BY74" s="40">
        <f>BY73*(1-IF(B73&gt;=in_marketplace_from,d_hz_loan_home*G73,0)*BZ73)</f>
        <v/>
      </c>
      <c r="BZ74" s="11">
        <f>MIN(in_approval_cap,in_loan_home_approval*INDEX('Age profile'!$O$2:$O$61,B74)*(1+in_approval_growth)^(D74-1))</f>
        <v/>
      </c>
      <c r="CA74" s="14">
        <f>F74*BY74*IF(B74&gt;=in_marketplace_from,d_hz_loan_home*G74,0)*BZ74*in_loan_home_ticket*in_loan_home_comm</f>
        <v/>
      </c>
      <c r="CB74" s="40">
        <f>CB73*(1-IF(B73&gt;=in_marketplace_from,d_hz_loan_lap*G73,0)*CC73)</f>
        <v/>
      </c>
      <c r="CC74" s="11">
        <f>MIN(in_approval_cap,in_loan_lap_approval*INDEX('Age profile'!$O$2:$O$61,B74)*(1+in_approval_growth)^(D74-1))</f>
        <v/>
      </c>
      <c r="CD74" s="14">
        <f>F74*CB74*IF(B74&gt;=in_marketplace_from,d_hz_loan_lap*G74,0)*CC74*in_loan_lap_ticket*in_loan_lap_comm</f>
        <v/>
      </c>
      <c r="CE74" s="14">
        <f>AA74+AB74+AC74+AD74+AG74+AJ74+AM74+AP74+AS74+AU74+AX74+BB74+BE74+BG74+BJ74+BL74+BO74+BR74+BT74+BV74+BX74+CA74+CD74</f>
        <v/>
      </c>
    </row>
    <row r="75">
      <c r="A75" s="39" t="n">
        <v>2</v>
      </c>
      <c r="B75" s="39" t="n">
        <v>14</v>
      </c>
      <c r="C75" s="39">
        <f>A75+B75-1</f>
        <v/>
      </c>
      <c r="D75" s="39">
        <f>INT((C75-1)/12)+1</f>
        <v/>
      </c>
      <c r="E75" s="44">
        <f>INDEX(Monthly!$B$2:$B$61,A75)</f>
        <v/>
      </c>
      <c r="F75" s="44">
        <f>E75*INDEX('Age profile'!$B$2:$B$61,B75)</f>
        <v/>
      </c>
      <c r="G75" s="45">
        <f>MIN(in_takeup_cap,INDEX('Age profile'!$N$2:$N$61,B75)*(1+in_takeup_growth)^(D75-1))</f>
        <v/>
      </c>
      <c r="H75" s="11">
        <f>MIN(in_approval_cap,in_approved_first*INDEX('Age profile'!$O$2:$O$61,B75)*(1+in_approval_growth)^(D75-1))</f>
        <v/>
      </c>
      <c r="I75" s="45">
        <f>G75*MIN(in_takeup_cap,INDEX('Age profile'!$O$2:$O$61,B75)*(1+in_approval_growth)^(D75-1))</f>
        <v/>
      </c>
      <c r="J75" s="40">
        <f>(J74-L74)*F75/F74</f>
        <v/>
      </c>
      <c r="K75" s="40">
        <f>(K74-M74)*F75/F74+SUMIFS(O62:O74,B62:B74,B75-1-d_T)*F75</f>
        <v/>
      </c>
      <c r="L75" s="40">
        <f>IF(B75&gt;=in_marketplace_from,J75*d_hz*G75*in_eligible*H75,0)</f>
        <v/>
      </c>
      <c r="M75" s="40">
        <f>IF(B75&gt;=in_marketplace_from,K75*d_hz*G75*in_eligible*in_approved_repeat,0)</f>
        <v/>
      </c>
      <c r="N75" s="40">
        <f>L75+M75</f>
        <v/>
      </c>
      <c r="O75" s="46">
        <f>N75/F75</f>
        <v/>
      </c>
      <c r="P75" s="40">
        <f>F75-J75-K75</f>
        <v/>
      </c>
      <c r="Q75" s="40">
        <f>IF(B75&gt;=in_marketplace_from,(J75+K75)*d_hz*G75,0)</f>
        <v/>
      </c>
      <c r="R75" s="40">
        <f>SUMIFS(N62:N120,B62:B120,"&gt;="&amp;(B75-d_T),B62:B120,"&lt;="&amp;(B75-1))</f>
        <v/>
      </c>
      <c r="S75" s="46">
        <f>(1-d_u)*S74+IF(d_T&gt;in_topup_lag,SUMIFS(O62:O120,B62:B120,B75-in_topup_lag)-d_udrop*SUMIFS(O62:O120,B62:B120,B75-d_T),0)</f>
        <v/>
      </c>
      <c r="T75" s="40">
        <f>F75*d_u*S75</f>
        <v/>
      </c>
      <c r="U75" s="9">
        <f>L75*in_ticket+M75*d_rep_ticket</f>
        <v/>
      </c>
      <c r="V75" s="9">
        <f>U75+T75*d_topup_amt</f>
        <v/>
      </c>
      <c r="W75" s="40">
        <f>N75+T75*d_topup_ratio</f>
        <v/>
      </c>
      <c r="X75" s="40">
        <f>SUMIFS(W62:W120,B62:B120,B75-in_dpd_lag)*d_cured</f>
        <v/>
      </c>
      <c r="Y75" s="40">
        <f>SUMIFS(W62:W120,B62:B120,B75-in_rec_lag)*d_recd</f>
        <v/>
      </c>
      <c r="Z75" s="40">
        <f>IF(AND(B75&gt;=in_marketplace_from,B75&lt;in_marketplace_from+in_card_months),in_card_share/in_card_months*F75*I75,IF(AND(B75&gt;=in_marketplace_from+in_card_months,B75&lt;in_marketplace_from+2*in_card_months),in_card_share*d_card_rem/in_card_months*F75*MIN(in_takeup_cap,(1+in_takeup_growth)^(D75-1))*MIN(in_takeup_cap,(1+in_approval_growth)^(D75-1)),0))</f>
        <v/>
      </c>
      <c r="AA75" s="14">
        <f>V75*in_fee*(1-in_taken_back)</f>
        <v/>
      </c>
      <c r="AB75" s="14">
        <f>SUMIFS(W62:W120,B62:B120,B75-in_dpd_lag)*d_dpd</f>
        <v/>
      </c>
      <c r="AC75" s="14">
        <f>SUMIFS(W62:W120,B62:B120,B75-in_rec_lag)*d_rec</f>
        <v/>
      </c>
      <c r="AD75" s="14">
        <f>Z75*in_card_fee</f>
        <v/>
      </c>
      <c r="AE75" s="40">
        <f>AE74*(1-IF(B74&gt;=in_marketplace_from,d_hz_hlth_small*G74,0))</f>
        <v/>
      </c>
      <c r="AF75" s="46">
        <f>AE75*IF(B75&gt;=in_marketplace_from,d_hz_hlth_small*G75,0)</f>
        <v/>
      </c>
      <c r="AG75" s="14">
        <f>F75*AF75*in_hlth_small_ticket*in_hlth_small_comm*in_ins_partner_share+F75*in_hlth_small_ticket*in_hlth_small_renew_comm*in_ins_partner_share*(in_hlth_small_renew^1*SUMIFS(AF62:AF120,B62:B120,B75-12)+in_hlth_small_renew^2*SUMIFS(AF62:AF120,B62:B120,B75-24)+in_hlth_small_renew^3*SUMIFS(AF62:AF120,B62:B120,B75-36)+in_hlth_small_renew^4*SUMIFS(AF62:AF120,B62:B120,B75-48))</f>
        <v/>
      </c>
      <c r="AH75" s="40">
        <f>AH74*(1-IF(B74&gt;=in_marketplace_from,d_hz_hlth_family*G74,0))</f>
        <v/>
      </c>
      <c r="AI75" s="46">
        <f>AH75*IF(B75&gt;=in_marketplace_from,d_hz_hlth_family*G75,0)</f>
        <v/>
      </c>
      <c r="AJ75" s="14">
        <f>F75*AI75*in_hlth_family_ticket*in_hlth_family_comm*in_ins_partner_share+F75*in_hlth_family_ticket*in_hlth_family_renew_comm*in_ins_partner_share*(in_hlth_family_renew^1*SUMIFS(AI62:AI120,B62:B120,B75-12)+in_hlth_family_renew^2*SUMIFS(AI62:AI120,B62:B120,B75-24)+in_hlth_family_renew^3*SUMIFS(AI62:AI120,B62:B120,B75-36)+in_hlth_family_renew^4*SUMIFS(AI62:AI120,B62:B120,B75-48))</f>
        <v/>
      </c>
      <c r="AK75" s="40">
        <f>AK74*(1-IF(B74&gt;=in_marketplace_from,d_hz_life_term*G74,0))</f>
        <v/>
      </c>
      <c r="AL75" s="46">
        <f>AK75*IF(B75&gt;=in_marketplace_from,d_hz_life_term*G75,0)</f>
        <v/>
      </c>
      <c r="AM75" s="14">
        <f>F75*AL75*in_life_term_ticket*in_life_term_comm*in_ins_partner_share+F75*in_life_term_ticket*in_life_term_renew_comm*in_ins_partner_share*(in_life_term_renew^1*SUMIFS(AL62:AL120,B62:B120,B75-12)+in_life_term_renew^2*SUMIFS(AL62:AL120,B62:B120,B75-24)+in_life_term_renew^3*SUMIFS(AL62:AL120,B62:B120,B75-36)+in_life_term_renew^4*SUMIFS(AL62:AL120,B62:B120,B75-48))</f>
        <v/>
      </c>
      <c r="AN75" s="40">
        <f>AN74*(1-IF(B74&gt;=in_marketplace_from,d_hz_accident*G74,0))</f>
        <v/>
      </c>
      <c r="AO75" s="46">
        <f>AN75*IF(B75&gt;=in_marketplace_from,d_hz_accident*G75,0)</f>
        <v/>
      </c>
      <c r="AP75" s="14">
        <f>F75*AO75*in_accident_ticket*in_accident_comm*in_ins_partner_share+F75*in_accident_ticket*in_accident_renew_comm*in_ins_partner_share*(in_accident_renew^1*SUMIFS(AO62:AO120,B62:B120,B75-12)+in_accident_renew^2*SUMIFS(AO62:AO120,B62:B120,B75-24)+in_accident_renew^3*SUMIFS(AO62:AO120,B62:B120,B75-36)+in_accident_renew^4*SUMIFS(AO62:AO120,B62:B120,B75-48))</f>
        <v/>
      </c>
      <c r="AQ75" s="40">
        <f>AQ74*(1-IF(B74&gt;=in_marketplace_from,d_hz_two_wheeler*G74,0))</f>
        <v/>
      </c>
      <c r="AR75" s="46">
        <f>AQ75*IF(B75&gt;=in_marketplace_from,d_hz_two_wheeler*G75,0)</f>
        <v/>
      </c>
      <c r="AS75" s="14">
        <f>F75*AR75*in_two_wheeler_ticket*in_two_wheeler_comm*in_ins_partner_share+F75*in_two_wheeler_ticket*in_two_wheeler_comm*in_ins_partner_share*(in_two_wheeler_renew^1*SUMIFS(AR62:AR120,B62:B120,B75-12)+in_two_wheeler_renew^2*SUMIFS(AR62:AR120,B62:B120,B75-24)+in_two_wheeler_renew^3*SUMIFS(AR62:AR120,B62:B120,B75-36)+in_two_wheeler_renew^4*SUMIFS(AR62:AR120,B62:B120,B75-48))</f>
        <v/>
      </c>
      <c r="AT75" s="40">
        <f>AT74*(1-IF(B74&gt;=in_marketplace_from,d_hz_device*G74,0))</f>
        <v/>
      </c>
      <c r="AU75" s="14">
        <f>F75*AT75*IF(B75&gt;=in_marketplace_from,d_hz_device*G75,0)*in_device_ticket*in_device_comm*in_ins_partner_share</f>
        <v/>
      </c>
      <c r="AV75" s="40">
        <f>AV74*(1-IF(B74&gt;=in_marketplace_from,d_hz_shop*G74,0))</f>
        <v/>
      </c>
      <c r="AW75" s="46">
        <f>AV75*IF(B75&gt;=in_marketplace_from,d_hz_shop*G75,0)</f>
        <v/>
      </c>
      <c r="AX75" s="14">
        <f>F75*AW75*in_shop_ticket*in_shop_comm*in_ins_partner_share+F75*in_shop_ticket*in_shop_renew_comm*in_ins_partner_share*(in_shop_renew^1*SUMIFS(AW62:AW120,B62:B120,B75-12)+in_shop_renew^2*SUMIFS(AW62:AW120,B62:B120,B75-24)+in_shop_renew^3*SUMIFS(AW62:AW120,B62:B120,B75-36)+in_shop_renew^4*SUMIFS(AW62:AW120,B62:B120,B75-48))</f>
        <v/>
      </c>
      <c r="AY75" s="40">
        <f>AY74*(1-IF(B74&gt;=in_marketplace_from,d_hz_sip*G74,0))</f>
        <v/>
      </c>
      <c r="AZ75" s="40">
        <f>AZ74*d_rho_sip+AY75*IF(B75&gt;=in_marketplace_from,d_hz_sip*G75,0)</f>
        <v/>
      </c>
      <c r="BA75" s="40">
        <f>d_rho_sip*(BA74+AZ74)</f>
        <v/>
      </c>
      <c r="BB75" s="14">
        <f>F75*in_sip_ticket*(BA75+0.5*AZ75)*in_sip_comm/12</f>
        <v/>
      </c>
      <c r="BC75" s="40">
        <f>BC74*(1-IF(B74&gt;=in_marketplace_from,d_hz_choti*G74,0))</f>
        <v/>
      </c>
      <c r="BD75" s="46">
        <f>BC75*IF(B75&gt;=in_marketplace_from,d_hz_choti*G75,0)</f>
        <v/>
      </c>
      <c r="BE75" s="14">
        <f>F75*SUMIFS(BD62:BD120,B62:B120,B75-in_choti_months)*in_choti_renew*in_choti_ticket</f>
        <v/>
      </c>
      <c r="BF75" s="40">
        <f>BF74*(1-IF(B74&gt;=in_marketplace_from,d_hz_nps*G74,0))</f>
        <v/>
      </c>
      <c r="BG75" s="14">
        <f>F75*BF75*IF(B75&gt;=in_marketplace_from,d_hz_nps*G75,0)*in_nps_ticket*in_nps_comm</f>
        <v/>
      </c>
      <c r="BH75" s="40">
        <f>BH74*(1-IF(B74&gt;=in_marketplace_from,d_hz_gold*G74,0))</f>
        <v/>
      </c>
      <c r="BI75" s="40">
        <f>BI74*d_rho_gold+BH75*IF(B75&gt;=in_marketplace_from,d_hz_gold*G75,0)</f>
        <v/>
      </c>
      <c r="BJ75" s="14">
        <f>F75*BI75*in_gold_ticket*in_gold_comm</f>
        <v/>
      </c>
      <c r="BK75" s="40">
        <f>BK74*(1-IF(B74&gt;=in_marketplace_from,d_hz_fd*G74,0))</f>
        <v/>
      </c>
      <c r="BL75" s="14">
        <f>F75*BK75*IF(B75&gt;=in_marketplace_from,d_hz_fd*G75,0)*in_fd_ticket*in_fd_comm</f>
        <v/>
      </c>
      <c r="BM75" s="40">
        <f>BM74*(1-IF(B74&gt;=in_marketplace_from,d_hz_recharge*G74,0))</f>
        <v/>
      </c>
      <c r="BN75" s="40">
        <f>BN74*d_rho_recharge+BM75*IF(B75&gt;=in_marketplace_from,d_hz_recharge*G75,0)</f>
        <v/>
      </c>
      <c r="BO75" s="14">
        <f>F75*BN75*in_recharge_ticket*in_recharge_comm/12</f>
        <v/>
      </c>
      <c r="BP75" s="40">
        <f>BP74*(1-IF(B74&gt;=in_marketplace_from,d_hz_bills*G74,0))</f>
        <v/>
      </c>
      <c r="BQ75" s="40">
        <f>BQ74*d_rho_bills+BP75*IF(B75&gt;=in_marketplace_from,d_hz_bills*G75,0)</f>
        <v/>
      </c>
      <c r="BR75" s="14">
        <f>F75*BQ75*in_bills_ticket*in_bills_comm/12</f>
        <v/>
      </c>
      <c r="BS75" s="40">
        <f>BS74*(1-IF(B74&gt;=in_marketplace_from,d_hz_loan_gold*G74,0))</f>
        <v/>
      </c>
      <c r="BT75" s="14">
        <f>F75*BS75*IF(B75&gt;=in_marketplace_from,d_hz_loan_gold*G75,0)*in_loan_gold_ticket*in_loan_gold_comm</f>
        <v/>
      </c>
      <c r="BU75" s="40">
        <f>BU74*(1-IF(B74&gt;=in_marketplace_from,d_hz_loan_cd*G74,0))</f>
        <v/>
      </c>
      <c r="BV75" s="14">
        <f>F75*BU75*IF(B75&gt;=in_marketplace_from,d_hz_loan_cd*G75,0)*in_loan_cd_ticket*in_loan_cd_comm</f>
        <v/>
      </c>
      <c r="BW75" s="40">
        <f>BW74*(1-IF(B74&gt;=in_marketplace_from,d_hz_loan_vehicle*G74,0))</f>
        <v/>
      </c>
      <c r="BX75" s="14">
        <f>F75*BW75*IF(B75&gt;=in_marketplace_from,d_hz_loan_vehicle*G75,0)*in_loan_vehicle_ticket*in_loan_vehicle_comm</f>
        <v/>
      </c>
      <c r="BY75" s="40">
        <f>BY74*(1-IF(B74&gt;=in_marketplace_from,d_hz_loan_home*G74,0)*BZ74)</f>
        <v/>
      </c>
      <c r="BZ75" s="11">
        <f>MIN(in_approval_cap,in_loan_home_approval*INDEX('Age profile'!$O$2:$O$61,B75)*(1+in_approval_growth)^(D75-1))</f>
        <v/>
      </c>
      <c r="CA75" s="14">
        <f>F75*BY75*IF(B75&gt;=in_marketplace_from,d_hz_loan_home*G75,0)*BZ75*in_loan_home_ticket*in_loan_home_comm</f>
        <v/>
      </c>
      <c r="CB75" s="40">
        <f>CB74*(1-IF(B74&gt;=in_marketplace_from,d_hz_loan_lap*G74,0)*CC74)</f>
        <v/>
      </c>
      <c r="CC75" s="11">
        <f>MIN(in_approval_cap,in_loan_lap_approval*INDEX('Age profile'!$O$2:$O$61,B75)*(1+in_approval_growth)^(D75-1))</f>
        <v/>
      </c>
      <c r="CD75" s="14">
        <f>F75*CB75*IF(B75&gt;=in_marketplace_from,d_hz_loan_lap*G75,0)*CC75*in_loan_lap_ticket*in_loan_lap_comm</f>
        <v/>
      </c>
      <c r="CE75" s="14">
        <f>AA75+AB75+AC75+AD75+AG75+AJ75+AM75+AP75+AS75+AU75+AX75+BB75+BE75+BG75+BJ75+BL75+BO75+BR75+BT75+BV75+BX75+CA75+CD75</f>
        <v/>
      </c>
    </row>
    <row r="76">
      <c r="A76" s="39" t="n">
        <v>2</v>
      </c>
      <c r="B76" s="39" t="n">
        <v>15</v>
      </c>
      <c r="C76" s="39">
        <f>A76+B76-1</f>
        <v/>
      </c>
      <c r="D76" s="39">
        <f>INT((C76-1)/12)+1</f>
        <v/>
      </c>
      <c r="E76" s="44">
        <f>INDEX(Monthly!$B$2:$B$61,A76)</f>
        <v/>
      </c>
      <c r="F76" s="44">
        <f>E76*INDEX('Age profile'!$B$2:$B$61,B76)</f>
        <v/>
      </c>
      <c r="G76" s="45">
        <f>MIN(in_takeup_cap,INDEX('Age profile'!$N$2:$N$61,B76)*(1+in_takeup_growth)^(D76-1))</f>
        <v/>
      </c>
      <c r="H76" s="11">
        <f>MIN(in_approval_cap,in_approved_first*INDEX('Age profile'!$O$2:$O$61,B76)*(1+in_approval_growth)^(D76-1))</f>
        <v/>
      </c>
      <c r="I76" s="45">
        <f>G76*MIN(in_takeup_cap,INDEX('Age profile'!$O$2:$O$61,B76)*(1+in_approval_growth)^(D76-1))</f>
        <v/>
      </c>
      <c r="J76" s="40">
        <f>(J75-L75)*F76/F75</f>
        <v/>
      </c>
      <c r="K76" s="40">
        <f>(K75-M75)*F76/F75+SUMIFS(O62:O75,B62:B75,B76-1-d_T)*F76</f>
        <v/>
      </c>
      <c r="L76" s="40">
        <f>IF(B76&gt;=in_marketplace_from,J76*d_hz*G76*in_eligible*H76,0)</f>
        <v/>
      </c>
      <c r="M76" s="40">
        <f>IF(B76&gt;=in_marketplace_from,K76*d_hz*G76*in_eligible*in_approved_repeat,0)</f>
        <v/>
      </c>
      <c r="N76" s="40">
        <f>L76+M76</f>
        <v/>
      </c>
      <c r="O76" s="46">
        <f>N76/F76</f>
        <v/>
      </c>
      <c r="P76" s="40">
        <f>F76-J76-K76</f>
        <v/>
      </c>
      <c r="Q76" s="40">
        <f>IF(B76&gt;=in_marketplace_from,(J76+K76)*d_hz*G76,0)</f>
        <v/>
      </c>
      <c r="R76" s="40">
        <f>SUMIFS(N62:N120,B62:B120,"&gt;="&amp;(B76-d_T),B62:B120,"&lt;="&amp;(B76-1))</f>
        <v/>
      </c>
      <c r="S76" s="46">
        <f>(1-d_u)*S75+IF(d_T&gt;in_topup_lag,SUMIFS(O62:O120,B62:B120,B76-in_topup_lag)-d_udrop*SUMIFS(O62:O120,B62:B120,B76-d_T),0)</f>
        <v/>
      </c>
      <c r="T76" s="40">
        <f>F76*d_u*S76</f>
        <v/>
      </c>
      <c r="U76" s="9">
        <f>L76*in_ticket+M76*d_rep_ticket</f>
        <v/>
      </c>
      <c r="V76" s="9">
        <f>U76+T76*d_topup_amt</f>
        <v/>
      </c>
      <c r="W76" s="40">
        <f>N76+T76*d_topup_ratio</f>
        <v/>
      </c>
      <c r="X76" s="40">
        <f>SUMIFS(W62:W120,B62:B120,B76-in_dpd_lag)*d_cured</f>
        <v/>
      </c>
      <c r="Y76" s="40">
        <f>SUMIFS(W62:W120,B62:B120,B76-in_rec_lag)*d_recd</f>
        <v/>
      </c>
      <c r="Z76" s="40">
        <f>IF(AND(B76&gt;=in_marketplace_from,B76&lt;in_marketplace_from+in_card_months),in_card_share/in_card_months*F76*I76,IF(AND(B76&gt;=in_marketplace_from+in_card_months,B76&lt;in_marketplace_from+2*in_card_months),in_card_share*d_card_rem/in_card_months*F76*MIN(in_takeup_cap,(1+in_takeup_growth)^(D76-1))*MIN(in_takeup_cap,(1+in_approval_growth)^(D76-1)),0))</f>
        <v/>
      </c>
      <c r="AA76" s="14">
        <f>V76*in_fee*(1-in_taken_back)</f>
        <v/>
      </c>
      <c r="AB76" s="14">
        <f>SUMIFS(W62:W120,B62:B120,B76-in_dpd_lag)*d_dpd</f>
        <v/>
      </c>
      <c r="AC76" s="14">
        <f>SUMIFS(W62:W120,B62:B120,B76-in_rec_lag)*d_rec</f>
        <v/>
      </c>
      <c r="AD76" s="14">
        <f>Z76*in_card_fee</f>
        <v/>
      </c>
      <c r="AE76" s="40">
        <f>AE75*(1-IF(B75&gt;=in_marketplace_from,d_hz_hlth_small*G75,0))</f>
        <v/>
      </c>
      <c r="AF76" s="46">
        <f>AE76*IF(B76&gt;=in_marketplace_from,d_hz_hlth_small*G76,0)</f>
        <v/>
      </c>
      <c r="AG76" s="14">
        <f>F76*AF76*in_hlth_small_ticket*in_hlth_small_comm*in_ins_partner_share+F76*in_hlth_small_ticket*in_hlth_small_renew_comm*in_ins_partner_share*(in_hlth_small_renew^1*SUMIFS(AF62:AF120,B62:B120,B76-12)+in_hlth_small_renew^2*SUMIFS(AF62:AF120,B62:B120,B76-24)+in_hlth_small_renew^3*SUMIFS(AF62:AF120,B62:B120,B76-36)+in_hlth_small_renew^4*SUMIFS(AF62:AF120,B62:B120,B76-48))</f>
        <v/>
      </c>
      <c r="AH76" s="40">
        <f>AH75*(1-IF(B75&gt;=in_marketplace_from,d_hz_hlth_family*G75,0))</f>
        <v/>
      </c>
      <c r="AI76" s="46">
        <f>AH76*IF(B76&gt;=in_marketplace_from,d_hz_hlth_family*G76,0)</f>
        <v/>
      </c>
      <c r="AJ76" s="14">
        <f>F76*AI76*in_hlth_family_ticket*in_hlth_family_comm*in_ins_partner_share+F76*in_hlth_family_ticket*in_hlth_family_renew_comm*in_ins_partner_share*(in_hlth_family_renew^1*SUMIFS(AI62:AI120,B62:B120,B76-12)+in_hlth_family_renew^2*SUMIFS(AI62:AI120,B62:B120,B76-24)+in_hlth_family_renew^3*SUMIFS(AI62:AI120,B62:B120,B76-36)+in_hlth_family_renew^4*SUMIFS(AI62:AI120,B62:B120,B76-48))</f>
        <v/>
      </c>
      <c r="AK76" s="40">
        <f>AK75*(1-IF(B75&gt;=in_marketplace_from,d_hz_life_term*G75,0))</f>
        <v/>
      </c>
      <c r="AL76" s="46">
        <f>AK76*IF(B76&gt;=in_marketplace_from,d_hz_life_term*G76,0)</f>
        <v/>
      </c>
      <c r="AM76" s="14">
        <f>F76*AL76*in_life_term_ticket*in_life_term_comm*in_ins_partner_share+F76*in_life_term_ticket*in_life_term_renew_comm*in_ins_partner_share*(in_life_term_renew^1*SUMIFS(AL62:AL120,B62:B120,B76-12)+in_life_term_renew^2*SUMIFS(AL62:AL120,B62:B120,B76-24)+in_life_term_renew^3*SUMIFS(AL62:AL120,B62:B120,B76-36)+in_life_term_renew^4*SUMIFS(AL62:AL120,B62:B120,B76-48))</f>
        <v/>
      </c>
      <c r="AN76" s="40">
        <f>AN75*(1-IF(B75&gt;=in_marketplace_from,d_hz_accident*G75,0))</f>
        <v/>
      </c>
      <c r="AO76" s="46">
        <f>AN76*IF(B76&gt;=in_marketplace_from,d_hz_accident*G76,0)</f>
        <v/>
      </c>
      <c r="AP76" s="14">
        <f>F76*AO76*in_accident_ticket*in_accident_comm*in_ins_partner_share+F76*in_accident_ticket*in_accident_renew_comm*in_ins_partner_share*(in_accident_renew^1*SUMIFS(AO62:AO120,B62:B120,B76-12)+in_accident_renew^2*SUMIFS(AO62:AO120,B62:B120,B76-24)+in_accident_renew^3*SUMIFS(AO62:AO120,B62:B120,B76-36)+in_accident_renew^4*SUMIFS(AO62:AO120,B62:B120,B76-48))</f>
        <v/>
      </c>
      <c r="AQ76" s="40">
        <f>AQ75*(1-IF(B75&gt;=in_marketplace_from,d_hz_two_wheeler*G75,0))</f>
        <v/>
      </c>
      <c r="AR76" s="46">
        <f>AQ76*IF(B76&gt;=in_marketplace_from,d_hz_two_wheeler*G76,0)</f>
        <v/>
      </c>
      <c r="AS76" s="14">
        <f>F76*AR76*in_two_wheeler_ticket*in_two_wheeler_comm*in_ins_partner_share+F76*in_two_wheeler_ticket*in_two_wheeler_comm*in_ins_partner_share*(in_two_wheeler_renew^1*SUMIFS(AR62:AR120,B62:B120,B76-12)+in_two_wheeler_renew^2*SUMIFS(AR62:AR120,B62:B120,B76-24)+in_two_wheeler_renew^3*SUMIFS(AR62:AR120,B62:B120,B76-36)+in_two_wheeler_renew^4*SUMIFS(AR62:AR120,B62:B120,B76-48))</f>
        <v/>
      </c>
      <c r="AT76" s="40">
        <f>AT75*(1-IF(B75&gt;=in_marketplace_from,d_hz_device*G75,0))</f>
        <v/>
      </c>
      <c r="AU76" s="14">
        <f>F76*AT76*IF(B76&gt;=in_marketplace_from,d_hz_device*G76,0)*in_device_ticket*in_device_comm*in_ins_partner_share</f>
        <v/>
      </c>
      <c r="AV76" s="40">
        <f>AV75*(1-IF(B75&gt;=in_marketplace_from,d_hz_shop*G75,0))</f>
        <v/>
      </c>
      <c r="AW76" s="46">
        <f>AV76*IF(B76&gt;=in_marketplace_from,d_hz_shop*G76,0)</f>
        <v/>
      </c>
      <c r="AX76" s="14">
        <f>F76*AW76*in_shop_ticket*in_shop_comm*in_ins_partner_share+F76*in_shop_ticket*in_shop_renew_comm*in_ins_partner_share*(in_shop_renew^1*SUMIFS(AW62:AW120,B62:B120,B76-12)+in_shop_renew^2*SUMIFS(AW62:AW120,B62:B120,B76-24)+in_shop_renew^3*SUMIFS(AW62:AW120,B62:B120,B76-36)+in_shop_renew^4*SUMIFS(AW62:AW120,B62:B120,B76-48))</f>
        <v/>
      </c>
      <c r="AY76" s="40">
        <f>AY75*(1-IF(B75&gt;=in_marketplace_from,d_hz_sip*G75,0))</f>
        <v/>
      </c>
      <c r="AZ76" s="40">
        <f>AZ75*d_rho_sip+AY76*IF(B76&gt;=in_marketplace_from,d_hz_sip*G76,0)</f>
        <v/>
      </c>
      <c r="BA76" s="40">
        <f>d_rho_sip*(BA75+AZ75)</f>
        <v/>
      </c>
      <c r="BB76" s="14">
        <f>F76*in_sip_ticket*(BA76+0.5*AZ76)*in_sip_comm/12</f>
        <v/>
      </c>
      <c r="BC76" s="40">
        <f>BC75*(1-IF(B75&gt;=in_marketplace_from,d_hz_choti*G75,0))</f>
        <v/>
      </c>
      <c r="BD76" s="46">
        <f>BC76*IF(B76&gt;=in_marketplace_from,d_hz_choti*G76,0)</f>
        <v/>
      </c>
      <c r="BE76" s="14">
        <f>F76*SUMIFS(BD62:BD120,B62:B120,B76-in_choti_months)*in_choti_renew*in_choti_ticket</f>
        <v/>
      </c>
      <c r="BF76" s="40">
        <f>BF75*(1-IF(B75&gt;=in_marketplace_from,d_hz_nps*G75,0))</f>
        <v/>
      </c>
      <c r="BG76" s="14">
        <f>F76*BF76*IF(B76&gt;=in_marketplace_from,d_hz_nps*G76,0)*in_nps_ticket*in_nps_comm</f>
        <v/>
      </c>
      <c r="BH76" s="40">
        <f>BH75*(1-IF(B75&gt;=in_marketplace_from,d_hz_gold*G75,0))</f>
        <v/>
      </c>
      <c r="BI76" s="40">
        <f>BI75*d_rho_gold+BH76*IF(B76&gt;=in_marketplace_from,d_hz_gold*G76,0)</f>
        <v/>
      </c>
      <c r="BJ76" s="14">
        <f>F76*BI76*in_gold_ticket*in_gold_comm</f>
        <v/>
      </c>
      <c r="BK76" s="40">
        <f>BK75*(1-IF(B75&gt;=in_marketplace_from,d_hz_fd*G75,0))</f>
        <v/>
      </c>
      <c r="BL76" s="14">
        <f>F76*BK76*IF(B76&gt;=in_marketplace_from,d_hz_fd*G76,0)*in_fd_ticket*in_fd_comm</f>
        <v/>
      </c>
      <c r="BM76" s="40">
        <f>BM75*(1-IF(B75&gt;=in_marketplace_from,d_hz_recharge*G75,0))</f>
        <v/>
      </c>
      <c r="BN76" s="40">
        <f>BN75*d_rho_recharge+BM76*IF(B76&gt;=in_marketplace_from,d_hz_recharge*G76,0)</f>
        <v/>
      </c>
      <c r="BO76" s="14">
        <f>F76*BN76*in_recharge_ticket*in_recharge_comm/12</f>
        <v/>
      </c>
      <c r="BP76" s="40">
        <f>BP75*(1-IF(B75&gt;=in_marketplace_from,d_hz_bills*G75,0))</f>
        <v/>
      </c>
      <c r="BQ76" s="40">
        <f>BQ75*d_rho_bills+BP76*IF(B76&gt;=in_marketplace_from,d_hz_bills*G76,0)</f>
        <v/>
      </c>
      <c r="BR76" s="14">
        <f>F76*BQ76*in_bills_ticket*in_bills_comm/12</f>
        <v/>
      </c>
      <c r="BS76" s="40">
        <f>BS75*(1-IF(B75&gt;=in_marketplace_from,d_hz_loan_gold*G75,0))</f>
        <v/>
      </c>
      <c r="BT76" s="14">
        <f>F76*BS76*IF(B76&gt;=in_marketplace_from,d_hz_loan_gold*G76,0)*in_loan_gold_ticket*in_loan_gold_comm</f>
        <v/>
      </c>
      <c r="BU76" s="40">
        <f>BU75*(1-IF(B75&gt;=in_marketplace_from,d_hz_loan_cd*G75,0))</f>
        <v/>
      </c>
      <c r="BV76" s="14">
        <f>F76*BU76*IF(B76&gt;=in_marketplace_from,d_hz_loan_cd*G76,0)*in_loan_cd_ticket*in_loan_cd_comm</f>
        <v/>
      </c>
      <c r="BW76" s="40">
        <f>BW75*(1-IF(B75&gt;=in_marketplace_from,d_hz_loan_vehicle*G75,0))</f>
        <v/>
      </c>
      <c r="BX76" s="14">
        <f>F76*BW76*IF(B76&gt;=in_marketplace_from,d_hz_loan_vehicle*G76,0)*in_loan_vehicle_ticket*in_loan_vehicle_comm</f>
        <v/>
      </c>
      <c r="BY76" s="40">
        <f>BY75*(1-IF(B75&gt;=in_marketplace_from,d_hz_loan_home*G75,0)*BZ75)</f>
        <v/>
      </c>
      <c r="BZ76" s="11">
        <f>MIN(in_approval_cap,in_loan_home_approval*INDEX('Age profile'!$O$2:$O$61,B76)*(1+in_approval_growth)^(D76-1))</f>
        <v/>
      </c>
      <c r="CA76" s="14">
        <f>F76*BY76*IF(B76&gt;=in_marketplace_from,d_hz_loan_home*G76,0)*BZ76*in_loan_home_ticket*in_loan_home_comm</f>
        <v/>
      </c>
      <c r="CB76" s="40">
        <f>CB75*(1-IF(B75&gt;=in_marketplace_from,d_hz_loan_lap*G75,0)*CC75)</f>
        <v/>
      </c>
      <c r="CC76" s="11">
        <f>MIN(in_approval_cap,in_loan_lap_approval*INDEX('Age profile'!$O$2:$O$61,B76)*(1+in_approval_growth)^(D76-1))</f>
        <v/>
      </c>
      <c r="CD76" s="14">
        <f>F76*CB76*IF(B76&gt;=in_marketplace_from,d_hz_loan_lap*G76,0)*CC76*in_loan_lap_ticket*in_loan_lap_comm</f>
        <v/>
      </c>
      <c r="CE76" s="14">
        <f>AA76+AB76+AC76+AD76+AG76+AJ76+AM76+AP76+AS76+AU76+AX76+BB76+BE76+BG76+BJ76+BL76+BO76+BR76+BT76+BV76+BX76+CA76+CD76</f>
        <v/>
      </c>
    </row>
    <row r="77">
      <c r="A77" s="39" t="n">
        <v>2</v>
      </c>
      <c r="B77" s="39" t="n">
        <v>16</v>
      </c>
      <c r="C77" s="39">
        <f>A77+B77-1</f>
        <v/>
      </c>
      <c r="D77" s="39">
        <f>INT((C77-1)/12)+1</f>
        <v/>
      </c>
      <c r="E77" s="44">
        <f>INDEX(Monthly!$B$2:$B$61,A77)</f>
        <v/>
      </c>
      <c r="F77" s="44">
        <f>E77*INDEX('Age profile'!$B$2:$B$61,B77)</f>
        <v/>
      </c>
      <c r="G77" s="45">
        <f>MIN(in_takeup_cap,INDEX('Age profile'!$N$2:$N$61,B77)*(1+in_takeup_growth)^(D77-1))</f>
        <v/>
      </c>
      <c r="H77" s="11">
        <f>MIN(in_approval_cap,in_approved_first*INDEX('Age profile'!$O$2:$O$61,B77)*(1+in_approval_growth)^(D77-1))</f>
        <v/>
      </c>
      <c r="I77" s="45">
        <f>G77*MIN(in_takeup_cap,INDEX('Age profile'!$O$2:$O$61,B77)*(1+in_approval_growth)^(D77-1))</f>
        <v/>
      </c>
      <c r="J77" s="40">
        <f>(J76-L76)*F77/F76</f>
        <v/>
      </c>
      <c r="K77" s="40">
        <f>(K76-M76)*F77/F76+SUMIFS(O62:O76,B62:B76,B77-1-d_T)*F77</f>
        <v/>
      </c>
      <c r="L77" s="40">
        <f>IF(B77&gt;=in_marketplace_from,J77*d_hz*G77*in_eligible*H77,0)</f>
        <v/>
      </c>
      <c r="M77" s="40">
        <f>IF(B77&gt;=in_marketplace_from,K77*d_hz*G77*in_eligible*in_approved_repeat,0)</f>
        <v/>
      </c>
      <c r="N77" s="40">
        <f>L77+M77</f>
        <v/>
      </c>
      <c r="O77" s="46">
        <f>N77/F77</f>
        <v/>
      </c>
      <c r="P77" s="40">
        <f>F77-J77-K77</f>
        <v/>
      </c>
      <c r="Q77" s="40">
        <f>IF(B77&gt;=in_marketplace_from,(J77+K77)*d_hz*G77,0)</f>
        <v/>
      </c>
      <c r="R77" s="40">
        <f>SUMIFS(N62:N120,B62:B120,"&gt;="&amp;(B77-d_T),B62:B120,"&lt;="&amp;(B77-1))</f>
        <v/>
      </c>
      <c r="S77" s="46">
        <f>(1-d_u)*S76+IF(d_T&gt;in_topup_lag,SUMIFS(O62:O120,B62:B120,B77-in_topup_lag)-d_udrop*SUMIFS(O62:O120,B62:B120,B77-d_T),0)</f>
        <v/>
      </c>
      <c r="T77" s="40">
        <f>F77*d_u*S77</f>
        <v/>
      </c>
      <c r="U77" s="9">
        <f>L77*in_ticket+M77*d_rep_ticket</f>
        <v/>
      </c>
      <c r="V77" s="9">
        <f>U77+T77*d_topup_amt</f>
        <v/>
      </c>
      <c r="W77" s="40">
        <f>N77+T77*d_topup_ratio</f>
        <v/>
      </c>
      <c r="X77" s="40">
        <f>SUMIFS(W62:W120,B62:B120,B77-in_dpd_lag)*d_cured</f>
        <v/>
      </c>
      <c r="Y77" s="40">
        <f>SUMIFS(W62:W120,B62:B120,B77-in_rec_lag)*d_recd</f>
        <v/>
      </c>
      <c r="Z77" s="40">
        <f>IF(AND(B77&gt;=in_marketplace_from,B77&lt;in_marketplace_from+in_card_months),in_card_share/in_card_months*F77*I77,IF(AND(B77&gt;=in_marketplace_from+in_card_months,B77&lt;in_marketplace_from+2*in_card_months),in_card_share*d_card_rem/in_card_months*F77*MIN(in_takeup_cap,(1+in_takeup_growth)^(D77-1))*MIN(in_takeup_cap,(1+in_approval_growth)^(D77-1)),0))</f>
        <v/>
      </c>
      <c r="AA77" s="14">
        <f>V77*in_fee*(1-in_taken_back)</f>
        <v/>
      </c>
      <c r="AB77" s="14">
        <f>SUMIFS(W62:W120,B62:B120,B77-in_dpd_lag)*d_dpd</f>
        <v/>
      </c>
      <c r="AC77" s="14">
        <f>SUMIFS(W62:W120,B62:B120,B77-in_rec_lag)*d_rec</f>
        <v/>
      </c>
      <c r="AD77" s="14">
        <f>Z77*in_card_fee</f>
        <v/>
      </c>
      <c r="AE77" s="40">
        <f>AE76*(1-IF(B76&gt;=in_marketplace_from,d_hz_hlth_small*G76,0))</f>
        <v/>
      </c>
      <c r="AF77" s="46">
        <f>AE77*IF(B77&gt;=in_marketplace_from,d_hz_hlth_small*G77,0)</f>
        <v/>
      </c>
      <c r="AG77" s="14">
        <f>F77*AF77*in_hlth_small_ticket*in_hlth_small_comm*in_ins_partner_share+F77*in_hlth_small_ticket*in_hlth_small_renew_comm*in_ins_partner_share*(in_hlth_small_renew^1*SUMIFS(AF62:AF120,B62:B120,B77-12)+in_hlth_small_renew^2*SUMIFS(AF62:AF120,B62:B120,B77-24)+in_hlth_small_renew^3*SUMIFS(AF62:AF120,B62:B120,B77-36)+in_hlth_small_renew^4*SUMIFS(AF62:AF120,B62:B120,B77-48))</f>
        <v/>
      </c>
      <c r="AH77" s="40">
        <f>AH76*(1-IF(B76&gt;=in_marketplace_from,d_hz_hlth_family*G76,0))</f>
        <v/>
      </c>
      <c r="AI77" s="46">
        <f>AH77*IF(B77&gt;=in_marketplace_from,d_hz_hlth_family*G77,0)</f>
        <v/>
      </c>
      <c r="AJ77" s="14">
        <f>F77*AI77*in_hlth_family_ticket*in_hlth_family_comm*in_ins_partner_share+F77*in_hlth_family_ticket*in_hlth_family_renew_comm*in_ins_partner_share*(in_hlth_family_renew^1*SUMIFS(AI62:AI120,B62:B120,B77-12)+in_hlth_family_renew^2*SUMIFS(AI62:AI120,B62:B120,B77-24)+in_hlth_family_renew^3*SUMIFS(AI62:AI120,B62:B120,B77-36)+in_hlth_family_renew^4*SUMIFS(AI62:AI120,B62:B120,B77-48))</f>
        <v/>
      </c>
      <c r="AK77" s="40">
        <f>AK76*(1-IF(B76&gt;=in_marketplace_from,d_hz_life_term*G76,0))</f>
        <v/>
      </c>
      <c r="AL77" s="46">
        <f>AK77*IF(B77&gt;=in_marketplace_from,d_hz_life_term*G77,0)</f>
        <v/>
      </c>
      <c r="AM77" s="14">
        <f>F77*AL77*in_life_term_ticket*in_life_term_comm*in_ins_partner_share+F77*in_life_term_ticket*in_life_term_renew_comm*in_ins_partner_share*(in_life_term_renew^1*SUMIFS(AL62:AL120,B62:B120,B77-12)+in_life_term_renew^2*SUMIFS(AL62:AL120,B62:B120,B77-24)+in_life_term_renew^3*SUMIFS(AL62:AL120,B62:B120,B77-36)+in_life_term_renew^4*SUMIFS(AL62:AL120,B62:B120,B77-48))</f>
        <v/>
      </c>
      <c r="AN77" s="40">
        <f>AN76*(1-IF(B76&gt;=in_marketplace_from,d_hz_accident*G76,0))</f>
        <v/>
      </c>
      <c r="AO77" s="46">
        <f>AN77*IF(B77&gt;=in_marketplace_from,d_hz_accident*G77,0)</f>
        <v/>
      </c>
      <c r="AP77" s="14">
        <f>F77*AO77*in_accident_ticket*in_accident_comm*in_ins_partner_share+F77*in_accident_ticket*in_accident_renew_comm*in_ins_partner_share*(in_accident_renew^1*SUMIFS(AO62:AO120,B62:B120,B77-12)+in_accident_renew^2*SUMIFS(AO62:AO120,B62:B120,B77-24)+in_accident_renew^3*SUMIFS(AO62:AO120,B62:B120,B77-36)+in_accident_renew^4*SUMIFS(AO62:AO120,B62:B120,B77-48))</f>
        <v/>
      </c>
      <c r="AQ77" s="40">
        <f>AQ76*(1-IF(B76&gt;=in_marketplace_from,d_hz_two_wheeler*G76,0))</f>
        <v/>
      </c>
      <c r="AR77" s="46">
        <f>AQ77*IF(B77&gt;=in_marketplace_from,d_hz_two_wheeler*G77,0)</f>
        <v/>
      </c>
      <c r="AS77" s="14">
        <f>F77*AR77*in_two_wheeler_ticket*in_two_wheeler_comm*in_ins_partner_share+F77*in_two_wheeler_ticket*in_two_wheeler_comm*in_ins_partner_share*(in_two_wheeler_renew^1*SUMIFS(AR62:AR120,B62:B120,B77-12)+in_two_wheeler_renew^2*SUMIFS(AR62:AR120,B62:B120,B77-24)+in_two_wheeler_renew^3*SUMIFS(AR62:AR120,B62:B120,B77-36)+in_two_wheeler_renew^4*SUMIFS(AR62:AR120,B62:B120,B77-48))</f>
        <v/>
      </c>
      <c r="AT77" s="40">
        <f>AT76*(1-IF(B76&gt;=in_marketplace_from,d_hz_device*G76,0))</f>
        <v/>
      </c>
      <c r="AU77" s="14">
        <f>F77*AT77*IF(B77&gt;=in_marketplace_from,d_hz_device*G77,0)*in_device_ticket*in_device_comm*in_ins_partner_share</f>
        <v/>
      </c>
      <c r="AV77" s="40">
        <f>AV76*(1-IF(B76&gt;=in_marketplace_from,d_hz_shop*G76,0))</f>
        <v/>
      </c>
      <c r="AW77" s="46">
        <f>AV77*IF(B77&gt;=in_marketplace_from,d_hz_shop*G77,0)</f>
        <v/>
      </c>
      <c r="AX77" s="14">
        <f>F77*AW77*in_shop_ticket*in_shop_comm*in_ins_partner_share+F77*in_shop_ticket*in_shop_renew_comm*in_ins_partner_share*(in_shop_renew^1*SUMIFS(AW62:AW120,B62:B120,B77-12)+in_shop_renew^2*SUMIFS(AW62:AW120,B62:B120,B77-24)+in_shop_renew^3*SUMIFS(AW62:AW120,B62:B120,B77-36)+in_shop_renew^4*SUMIFS(AW62:AW120,B62:B120,B77-48))</f>
        <v/>
      </c>
      <c r="AY77" s="40">
        <f>AY76*(1-IF(B76&gt;=in_marketplace_from,d_hz_sip*G76,0))</f>
        <v/>
      </c>
      <c r="AZ77" s="40">
        <f>AZ76*d_rho_sip+AY77*IF(B77&gt;=in_marketplace_from,d_hz_sip*G77,0)</f>
        <v/>
      </c>
      <c r="BA77" s="40">
        <f>d_rho_sip*(BA76+AZ76)</f>
        <v/>
      </c>
      <c r="BB77" s="14">
        <f>F77*in_sip_ticket*(BA77+0.5*AZ77)*in_sip_comm/12</f>
        <v/>
      </c>
      <c r="BC77" s="40">
        <f>BC76*(1-IF(B76&gt;=in_marketplace_from,d_hz_choti*G76,0))</f>
        <v/>
      </c>
      <c r="BD77" s="46">
        <f>BC77*IF(B77&gt;=in_marketplace_from,d_hz_choti*G77,0)</f>
        <v/>
      </c>
      <c r="BE77" s="14">
        <f>F77*SUMIFS(BD62:BD120,B62:B120,B77-in_choti_months)*in_choti_renew*in_choti_ticket</f>
        <v/>
      </c>
      <c r="BF77" s="40">
        <f>BF76*(1-IF(B76&gt;=in_marketplace_from,d_hz_nps*G76,0))</f>
        <v/>
      </c>
      <c r="BG77" s="14">
        <f>F77*BF77*IF(B77&gt;=in_marketplace_from,d_hz_nps*G77,0)*in_nps_ticket*in_nps_comm</f>
        <v/>
      </c>
      <c r="BH77" s="40">
        <f>BH76*(1-IF(B76&gt;=in_marketplace_from,d_hz_gold*G76,0))</f>
        <v/>
      </c>
      <c r="BI77" s="40">
        <f>BI76*d_rho_gold+BH77*IF(B77&gt;=in_marketplace_from,d_hz_gold*G77,0)</f>
        <v/>
      </c>
      <c r="BJ77" s="14">
        <f>F77*BI77*in_gold_ticket*in_gold_comm</f>
        <v/>
      </c>
      <c r="BK77" s="40">
        <f>BK76*(1-IF(B76&gt;=in_marketplace_from,d_hz_fd*G76,0))</f>
        <v/>
      </c>
      <c r="BL77" s="14">
        <f>F77*BK77*IF(B77&gt;=in_marketplace_from,d_hz_fd*G77,0)*in_fd_ticket*in_fd_comm</f>
        <v/>
      </c>
      <c r="BM77" s="40">
        <f>BM76*(1-IF(B76&gt;=in_marketplace_from,d_hz_recharge*G76,0))</f>
        <v/>
      </c>
      <c r="BN77" s="40">
        <f>BN76*d_rho_recharge+BM77*IF(B77&gt;=in_marketplace_from,d_hz_recharge*G77,0)</f>
        <v/>
      </c>
      <c r="BO77" s="14">
        <f>F77*BN77*in_recharge_ticket*in_recharge_comm/12</f>
        <v/>
      </c>
      <c r="BP77" s="40">
        <f>BP76*(1-IF(B76&gt;=in_marketplace_from,d_hz_bills*G76,0))</f>
        <v/>
      </c>
      <c r="BQ77" s="40">
        <f>BQ76*d_rho_bills+BP77*IF(B77&gt;=in_marketplace_from,d_hz_bills*G77,0)</f>
        <v/>
      </c>
      <c r="BR77" s="14">
        <f>F77*BQ77*in_bills_ticket*in_bills_comm/12</f>
        <v/>
      </c>
      <c r="BS77" s="40">
        <f>BS76*(1-IF(B76&gt;=in_marketplace_from,d_hz_loan_gold*G76,0))</f>
        <v/>
      </c>
      <c r="BT77" s="14">
        <f>F77*BS77*IF(B77&gt;=in_marketplace_from,d_hz_loan_gold*G77,0)*in_loan_gold_ticket*in_loan_gold_comm</f>
        <v/>
      </c>
      <c r="BU77" s="40">
        <f>BU76*(1-IF(B76&gt;=in_marketplace_from,d_hz_loan_cd*G76,0))</f>
        <v/>
      </c>
      <c r="BV77" s="14">
        <f>F77*BU77*IF(B77&gt;=in_marketplace_from,d_hz_loan_cd*G77,0)*in_loan_cd_ticket*in_loan_cd_comm</f>
        <v/>
      </c>
      <c r="BW77" s="40">
        <f>BW76*(1-IF(B76&gt;=in_marketplace_from,d_hz_loan_vehicle*G76,0))</f>
        <v/>
      </c>
      <c r="BX77" s="14">
        <f>F77*BW77*IF(B77&gt;=in_marketplace_from,d_hz_loan_vehicle*G77,0)*in_loan_vehicle_ticket*in_loan_vehicle_comm</f>
        <v/>
      </c>
      <c r="BY77" s="40">
        <f>BY76*(1-IF(B76&gt;=in_marketplace_from,d_hz_loan_home*G76,0)*BZ76)</f>
        <v/>
      </c>
      <c r="BZ77" s="11">
        <f>MIN(in_approval_cap,in_loan_home_approval*INDEX('Age profile'!$O$2:$O$61,B77)*(1+in_approval_growth)^(D77-1))</f>
        <v/>
      </c>
      <c r="CA77" s="14">
        <f>F77*BY77*IF(B77&gt;=in_marketplace_from,d_hz_loan_home*G77,0)*BZ77*in_loan_home_ticket*in_loan_home_comm</f>
        <v/>
      </c>
      <c r="CB77" s="40">
        <f>CB76*(1-IF(B76&gt;=in_marketplace_from,d_hz_loan_lap*G76,0)*CC76)</f>
        <v/>
      </c>
      <c r="CC77" s="11">
        <f>MIN(in_approval_cap,in_loan_lap_approval*INDEX('Age profile'!$O$2:$O$61,B77)*(1+in_approval_growth)^(D77-1))</f>
        <v/>
      </c>
      <c r="CD77" s="14">
        <f>F77*CB77*IF(B77&gt;=in_marketplace_from,d_hz_loan_lap*G77,0)*CC77*in_loan_lap_ticket*in_loan_lap_comm</f>
        <v/>
      </c>
      <c r="CE77" s="14">
        <f>AA77+AB77+AC77+AD77+AG77+AJ77+AM77+AP77+AS77+AU77+AX77+BB77+BE77+BG77+BJ77+BL77+BO77+BR77+BT77+BV77+BX77+CA77+CD77</f>
        <v/>
      </c>
    </row>
    <row r="78">
      <c r="A78" s="39" t="n">
        <v>2</v>
      </c>
      <c r="B78" s="39" t="n">
        <v>17</v>
      </c>
      <c r="C78" s="39">
        <f>A78+B78-1</f>
        <v/>
      </c>
      <c r="D78" s="39">
        <f>INT((C78-1)/12)+1</f>
        <v/>
      </c>
      <c r="E78" s="44">
        <f>INDEX(Monthly!$B$2:$B$61,A78)</f>
        <v/>
      </c>
      <c r="F78" s="44">
        <f>E78*INDEX('Age profile'!$B$2:$B$61,B78)</f>
        <v/>
      </c>
      <c r="G78" s="45">
        <f>MIN(in_takeup_cap,INDEX('Age profile'!$N$2:$N$61,B78)*(1+in_takeup_growth)^(D78-1))</f>
        <v/>
      </c>
      <c r="H78" s="11">
        <f>MIN(in_approval_cap,in_approved_first*INDEX('Age profile'!$O$2:$O$61,B78)*(1+in_approval_growth)^(D78-1))</f>
        <v/>
      </c>
      <c r="I78" s="45">
        <f>G78*MIN(in_takeup_cap,INDEX('Age profile'!$O$2:$O$61,B78)*(1+in_approval_growth)^(D78-1))</f>
        <v/>
      </c>
      <c r="J78" s="40">
        <f>(J77-L77)*F78/F77</f>
        <v/>
      </c>
      <c r="K78" s="40">
        <f>(K77-M77)*F78/F77+SUMIFS(O62:O77,B62:B77,B78-1-d_T)*F78</f>
        <v/>
      </c>
      <c r="L78" s="40">
        <f>IF(B78&gt;=in_marketplace_from,J78*d_hz*G78*in_eligible*H78,0)</f>
        <v/>
      </c>
      <c r="M78" s="40">
        <f>IF(B78&gt;=in_marketplace_from,K78*d_hz*G78*in_eligible*in_approved_repeat,0)</f>
        <v/>
      </c>
      <c r="N78" s="40">
        <f>L78+M78</f>
        <v/>
      </c>
      <c r="O78" s="46">
        <f>N78/F78</f>
        <v/>
      </c>
      <c r="P78" s="40">
        <f>F78-J78-K78</f>
        <v/>
      </c>
      <c r="Q78" s="40">
        <f>IF(B78&gt;=in_marketplace_from,(J78+K78)*d_hz*G78,0)</f>
        <v/>
      </c>
      <c r="R78" s="40">
        <f>SUMIFS(N62:N120,B62:B120,"&gt;="&amp;(B78-d_T),B62:B120,"&lt;="&amp;(B78-1))</f>
        <v/>
      </c>
      <c r="S78" s="46">
        <f>(1-d_u)*S77+IF(d_T&gt;in_topup_lag,SUMIFS(O62:O120,B62:B120,B78-in_topup_lag)-d_udrop*SUMIFS(O62:O120,B62:B120,B78-d_T),0)</f>
        <v/>
      </c>
      <c r="T78" s="40">
        <f>F78*d_u*S78</f>
        <v/>
      </c>
      <c r="U78" s="9">
        <f>L78*in_ticket+M78*d_rep_ticket</f>
        <v/>
      </c>
      <c r="V78" s="9">
        <f>U78+T78*d_topup_amt</f>
        <v/>
      </c>
      <c r="W78" s="40">
        <f>N78+T78*d_topup_ratio</f>
        <v/>
      </c>
      <c r="X78" s="40">
        <f>SUMIFS(W62:W120,B62:B120,B78-in_dpd_lag)*d_cured</f>
        <v/>
      </c>
      <c r="Y78" s="40">
        <f>SUMIFS(W62:W120,B62:B120,B78-in_rec_lag)*d_recd</f>
        <v/>
      </c>
      <c r="Z78" s="40">
        <f>IF(AND(B78&gt;=in_marketplace_from,B78&lt;in_marketplace_from+in_card_months),in_card_share/in_card_months*F78*I78,IF(AND(B78&gt;=in_marketplace_from+in_card_months,B78&lt;in_marketplace_from+2*in_card_months),in_card_share*d_card_rem/in_card_months*F78*MIN(in_takeup_cap,(1+in_takeup_growth)^(D78-1))*MIN(in_takeup_cap,(1+in_approval_growth)^(D78-1)),0))</f>
        <v/>
      </c>
      <c r="AA78" s="14">
        <f>V78*in_fee*(1-in_taken_back)</f>
        <v/>
      </c>
      <c r="AB78" s="14">
        <f>SUMIFS(W62:W120,B62:B120,B78-in_dpd_lag)*d_dpd</f>
        <v/>
      </c>
      <c r="AC78" s="14">
        <f>SUMIFS(W62:W120,B62:B120,B78-in_rec_lag)*d_rec</f>
        <v/>
      </c>
      <c r="AD78" s="14">
        <f>Z78*in_card_fee</f>
        <v/>
      </c>
      <c r="AE78" s="40">
        <f>AE77*(1-IF(B77&gt;=in_marketplace_from,d_hz_hlth_small*G77,0))</f>
        <v/>
      </c>
      <c r="AF78" s="46">
        <f>AE78*IF(B78&gt;=in_marketplace_from,d_hz_hlth_small*G78,0)</f>
        <v/>
      </c>
      <c r="AG78" s="14">
        <f>F78*AF78*in_hlth_small_ticket*in_hlth_small_comm*in_ins_partner_share+F78*in_hlth_small_ticket*in_hlth_small_renew_comm*in_ins_partner_share*(in_hlth_small_renew^1*SUMIFS(AF62:AF120,B62:B120,B78-12)+in_hlth_small_renew^2*SUMIFS(AF62:AF120,B62:B120,B78-24)+in_hlth_small_renew^3*SUMIFS(AF62:AF120,B62:B120,B78-36)+in_hlth_small_renew^4*SUMIFS(AF62:AF120,B62:B120,B78-48))</f>
        <v/>
      </c>
      <c r="AH78" s="40">
        <f>AH77*(1-IF(B77&gt;=in_marketplace_from,d_hz_hlth_family*G77,0))</f>
        <v/>
      </c>
      <c r="AI78" s="46">
        <f>AH78*IF(B78&gt;=in_marketplace_from,d_hz_hlth_family*G78,0)</f>
        <v/>
      </c>
      <c r="AJ78" s="14">
        <f>F78*AI78*in_hlth_family_ticket*in_hlth_family_comm*in_ins_partner_share+F78*in_hlth_family_ticket*in_hlth_family_renew_comm*in_ins_partner_share*(in_hlth_family_renew^1*SUMIFS(AI62:AI120,B62:B120,B78-12)+in_hlth_family_renew^2*SUMIFS(AI62:AI120,B62:B120,B78-24)+in_hlth_family_renew^3*SUMIFS(AI62:AI120,B62:B120,B78-36)+in_hlth_family_renew^4*SUMIFS(AI62:AI120,B62:B120,B78-48))</f>
        <v/>
      </c>
      <c r="AK78" s="40">
        <f>AK77*(1-IF(B77&gt;=in_marketplace_from,d_hz_life_term*G77,0))</f>
        <v/>
      </c>
      <c r="AL78" s="46">
        <f>AK78*IF(B78&gt;=in_marketplace_from,d_hz_life_term*G78,0)</f>
        <v/>
      </c>
      <c r="AM78" s="14">
        <f>F78*AL78*in_life_term_ticket*in_life_term_comm*in_ins_partner_share+F78*in_life_term_ticket*in_life_term_renew_comm*in_ins_partner_share*(in_life_term_renew^1*SUMIFS(AL62:AL120,B62:B120,B78-12)+in_life_term_renew^2*SUMIFS(AL62:AL120,B62:B120,B78-24)+in_life_term_renew^3*SUMIFS(AL62:AL120,B62:B120,B78-36)+in_life_term_renew^4*SUMIFS(AL62:AL120,B62:B120,B78-48))</f>
        <v/>
      </c>
      <c r="AN78" s="40">
        <f>AN77*(1-IF(B77&gt;=in_marketplace_from,d_hz_accident*G77,0))</f>
        <v/>
      </c>
      <c r="AO78" s="46">
        <f>AN78*IF(B78&gt;=in_marketplace_from,d_hz_accident*G78,0)</f>
        <v/>
      </c>
      <c r="AP78" s="14">
        <f>F78*AO78*in_accident_ticket*in_accident_comm*in_ins_partner_share+F78*in_accident_ticket*in_accident_renew_comm*in_ins_partner_share*(in_accident_renew^1*SUMIFS(AO62:AO120,B62:B120,B78-12)+in_accident_renew^2*SUMIFS(AO62:AO120,B62:B120,B78-24)+in_accident_renew^3*SUMIFS(AO62:AO120,B62:B120,B78-36)+in_accident_renew^4*SUMIFS(AO62:AO120,B62:B120,B78-48))</f>
        <v/>
      </c>
      <c r="AQ78" s="40">
        <f>AQ77*(1-IF(B77&gt;=in_marketplace_from,d_hz_two_wheeler*G77,0))</f>
        <v/>
      </c>
      <c r="AR78" s="46">
        <f>AQ78*IF(B78&gt;=in_marketplace_from,d_hz_two_wheeler*G78,0)</f>
        <v/>
      </c>
      <c r="AS78" s="14">
        <f>F78*AR78*in_two_wheeler_ticket*in_two_wheeler_comm*in_ins_partner_share+F78*in_two_wheeler_ticket*in_two_wheeler_comm*in_ins_partner_share*(in_two_wheeler_renew^1*SUMIFS(AR62:AR120,B62:B120,B78-12)+in_two_wheeler_renew^2*SUMIFS(AR62:AR120,B62:B120,B78-24)+in_two_wheeler_renew^3*SUMIFS(AR62:AR120,B62:B120,B78-36)+in_two_wheeler_renew^4*SUMIFS(AR62:AR120,B62:B120,B78-48))</f>
        <v/>
      </c>
      <c r="AT78" s="40">
        <f>AT77*(1-IF(B77&gt;=in_marketplace_from,d_hz_device*G77,0))</f>
        <v/>
      </c>
      <c r="AU78" s="14">
        <f>F78*AT78*IF(B78&gt;=in_marketplace_from,d_hz_device*G78,0)*in_device_ticket*in_device_comm*in_ins_partner_share</f>
        <v/>
      </c>
      <c r="AV78" s="40">
        <f>AV77*(1-IF(B77&gt;=in_marketplace_from,d_hz_shop*G77,0))</f>
        <v/>
      </c>
      <c r="AW78" s="46">
        <f>AV78*IF(B78&gt;=in_marketplace_from,d_hz_shop*G78,0)</f>
        <v/>
      </c>
      <c r="AX78" s="14">
        <f>F78*AW78*in_shop_ticket*in_shop_comm*in_ins_partner_share+F78*in_shop_ticket*in_shop_renew_comm*in_ins_partner_share*(in_shop_renew^1*SUMIFS(AW62:AW120,B62:B120,B78-12)+in_shop_renew^2*SUMIFS(AW62:AW120,B62:B120,B78-24)+in_shop_renew^3*SUMIFS(AW62:AW120,B62:B120,B78-36)+in_shop_renew^4*SUMIFS(AW62:AW120,B62:B120,B78-48))</f>
        <v/>
      </c>
      <c r="AY78" s="40">
        <f>AY77*(1-IF(B77&gt;=in_marketplace_from,d_hz_sip*G77,0))</f>
        <v/>
      </c>
      <c r="AZ78" s="40">
        <f>AZ77*d_rho_sip+AY78*IF(B78&gt;=in_marketplace_from,d_hz_sip*G78,0)</f>
        <v/>
      </c>
      <c r="BA78" s="40">
        <f>d_rho_sip*(BA77+AZ77)</f>
        <v/>
      </c>
      <c r="BB78" s="14">
        <f>F78*in_sip_ticket*(BA78+0.5*AZ78)*in_sip_comm/12</f>
        <v/>
      </c>
      <c r="BC78" s="40">
        <f>BC77*(1-IF(B77&gt;=in_marketplace_from,d_hz_choti*G77,0))</f>
        <v/>
      </c>
      <c r="BD78" s="46">
        <f>BC78*IF(B78&gt;=in_marketplace_from,d_hz_choti*G78,0)</f>
        <v/>
      </c>
      <c r="BE78" s="14">
        <f>F78*SUMIFS(BD62:BD120,B62:B120,B78-in_choti_months)*in_choti_renew*in_choti_ticket</f>
        <v/>
      </c>
      <c r="BF78" s="40">
        <f>BF77*(1-IF(B77&gt;=in_marketplace_from,d_hz_nps*G77,0))</f>
        <v/>
      </c>
      <c r="BG78" s="14">
        <f>F78*BF78*IF(B78&gt;=in_marketplace_from,d_hz_nps*G78,0)*in_nps_ticket*in_nps_comm</f>
        <v/>
      </c>
      <c r="BH78" s="40">
        <f>BH77*(1-IF(B77&gt;=in_marketplace_from,d_hz_gold*G77,0))</f>
        <v/>
      </c>
      <c r="BI78" s="40">
        <f>BI77*d_rho_gold+BH78*IF(B78&gt;=in_marketplace_from,d_hz_gold*G78,0)</f>
        <v/>
      </c>
      <c r="BJ78" s="14">
        <f>F78*BI78*in_gold_ticket*in_gold_comm</f>
        <v/>
      </c>
      <c r="BK78" s="40">
        <f>BK77*(1-IF(B77&gt;=in_marketplace_from,d_hz_fd*G77,0))</f>
        <v/>
      </c>
      <c r="BL78" s="14">
        <f>F78*BK78*IF(B78&gt;=in_marketplace_from,d_hz_fd*G78,0)*in_fd_ticket*in_fd_comm</f>
        <v/>
      </c>
      <c r="BM78" s="40">
        <f>BM77*(1-IF(B77&gt;=in_marketplace_from,d_hz_recharge*G77,0))</f>
        <v/>
      </c>
      <c r="BN78" s="40">
        <f>BN77*d_rho_recharge+BM78*IF(B78&gt;=in_marketplace_from,d_hz_recharge*G78,0)</f>
        <v/>
      </c>
      <c r="BO78" s="14">
        <f>F78*BN78*in_recharge_ticket*in_recharge_comm/12</f>
        <v/>
      </c>
      <c r="BP78" s="40">
        <f>BP77*(1-IF(B77&gt;=in_marketplace_from,d_hz_bills*G77,0))</f>
        <v/>
      </c>
      <c r="BQ78" s="40">
        <f>BQ77*d_rho_bills+BP78*IF(B78&gt;=in_marketplace_from,d_hz_bills*G78,0)</f>
        <v/>
      </c>
      <c r="BR78" s="14">
        <f>F78*BQ78*in_bills_ticket*in_bills_comm/12</f>
        <v/>
      </c>
      <c r="BS78" s="40">
        <f>BS77*(1-IF(B77&gt;=in_marketplace_from,d_hz_loan_gold*G77,0))</f>
        <v/>
      </c>
      <c r="BT78" s="14">
        <f>F78*BS78*IF(B78&gt;=in_marketplace_from,d_hz_loan_gold*G78,0)*in_loan_gold_ticket*in_loan_gold_comm</f>
        <v/>
      </c>
      <c r="BU78" s="40">
        <f>BU77*(1-IF(B77&gt;=in_marketplace_from,d_hz_loan_cd*G77,0))</f>
        <v/>
      </c>
      <c r="BV78" s="14">
        <f>F78*BU78*IF(B78&gt;=in_marketplace_from,d_hz_loan_cd*G78,0)*in_loan_cd_ticket*in_loan_cd_comm</f>
        <v/>
      </c>
      <c r="BW78" s="40">
        <f>BW77*(1-IF(B77&gt;=in_marketplace_from,d_hz_loan_vehicle*G77,0))</f>
        <v/>
      </c>
      <c r="BX78" s="14">
        <f>F78*BW78*IF(B78&gt;=in_marketplace_from,d_hz_loan_vehicle*G78,0)*in_loan_vehicle_ticket*in_loan_vehicle_comm</f>
        <v/>
      </c>
      <c r="BY78" s="40">
        <f>BY77*(1-IF(B77&gt;=in_marketplace_from,d_hz_loan_home*G77,0)*BZ77)</f>
        <v/>
      </c>
      <c r="BZ78" s="11">
        <f>MIN(in_approval_cap,in_loan_home_approval*INDEX('Age profile'!$O$2:$O$61,B78)*(1+in_approval_growth)^(D78-1))</f>
        <v/>
      </c>
      <c r="CA78" s="14">
        <f>F78*BY78*IF(B78&gt;=in_marketplace_from,d_hz_loan_home*G78,0)*BZ78*in_loan_home_ticket*in_loan_home_comm</f>
        <v/>
      </c>
      <c r="CB78" s="40">
        <f>CB77*(1-IF(B77&gt;=in_marketplace_from,d_hz_loan_lap*G77,0)*CC77)</f>
        <v/>
      </c>
      <c r="CC78" s="11">
        <f>MIN(in_approval_cap,in_loan_lap_approval*INDEX('Age profile'!$O$2:$O$61,B78)*(1+in_approval_growth)^(D78-1))</f>
        <v/>
      </c>
      <c r="CD78" s="14">
        <f>F78*CB78*IF(B78&gt;=in_marketplace_from,d_hz_loan_lap*G78,0)*CC78*in_loan_lap_ticket*in_loan_lap_comm</f>
        <v/>
      </c>
      <c r="CE78" s="14">
        <f>AA78+AB78+AC78+AD78+AG78+AJ78+AM78+AP78+AS78+AU78+AX78+BB78+BE78+BG78+BJ78+BL78+BO78+BR78+BT78+BV78+BX78+CA78+CD78</f>
        <v/>
      </c>
    </row>
    <row r="79">
      <c r="A79" s="39" t="n">
        <v>2</v>
      </c>
      <c r="B79" s="39" t="n">
        <v>18</v>
      </c>
      <c r="C79" s="39">
        <f>A79+B79-1</f>
        <v/>
      </c>
      <c r="D79" s="39">
        <f>INT((C79-1)/12)+1</f>
        <v/>
      </c>
      <c r="E79" s="44">
        <f>INDEX(Monthly!$B$2:$B$61,A79)</f>
        <v/>
      </c>
      <c r="F79" s="44">
        <f>E79*INDEX('Age profile'!$B$2:$B$61,B79)</f>
        <v/>
      </c>
      <c r="G79" s="45">
        <f>MIN(in_takeup_cap,INDEX('Age profile'!$N$2:$N$61,B79)*(1+in_takeup_growth)^(D79-1))</f>
        <v/>
      </c>
      <c r="H79" s="11">
        <f>MIN(in_approval_cap,in_approved_first*INDEX('Age profile'!$O$2:$O$61,B79)*(1+in_approval_growth)^(D79-1))</f>
        <v/>
      </c>
      <c r="I79" s="45">
        <f>G79*MIN(in_takeup_cap,INDEX('Age profile'!$O$2:$O$61,B79)*(1+in_approval_growth)^(D79-1))</f>
        <v/>
      </c>
      <c r="J79" s="40">
        <f>(J78-L78)*F79/F78</f>
        <v/>
      </c>
      <c r="K79" s="40">
        <f>(K78-M78)*F79/F78+SUMIFS(O62:O78,B62:B78,B79-1-d_T)*F79</f>
        <v/>
      </c>
      <c r="L79" s="40">
        <f>IF(B79&gt;=in_marketplace_from,J79*d_hz*G79*in_eligible*H79,0)</f>
        <v/>
      </c>
      <c r="M79" s="40">
        <f>IF(B79&gt;=in_marketplace_from,K79*d_hz*G79*in_eligible*in_approved_repeat,0)</f>
        <v/>
      </c>
      <c r="N79" s="40">
        <f>L79+M79</f>
        <v/>
      </c>
      <c r="O79" s="46">
        <f>N79/F79</f>
        <v/>
      </c>
      <c r="P79" s="40">
        <f>F79-J79-K79</f>
        <v/>
      </c>
      <c r="Q79" s="40">
        <f>IF(B79&gt;=in_marketplace_from,(J79+K79)*d_hz*G79,0)</f>
        <v/>
      </c>
      <c r="R79" s="40">
        <f>SUMIFS(N62:N120,B62:B120,"&gt;="&amp;(B79-d_T),B62:B120,"&lt;="&amp;(B79-1))</f>
        <v/>
      </c>
      <c r="S79" s="46">
        <f>(1-d_u)*S78+IF(d_T&gt;in_topup_lag,SUMIFS(O62:O120,B62:B120,B79-in_topup_lag)-d_udrop*SUMIFS(O62:O120,B62:B120,B79-d_T),0)</f>
        <v/>
      </c>
      <c r="T79" s="40">
        <f>F79*d_u*S79</f>
        <v/>
      </c>
      <c r="U79" s="9">
        <f>L79*in_ticket+M79*d_rep_ticket</f>
        <v/>
      </c>
      <c r="V79" s="9">
        <f>U79+T79*d_topup_amt</f>
        <v/>
      </c>
      <c r="W79" s="40">
        <f>N79+T79*d_topup_ratio</f>
        <v/>
      </c>
      <c r="X79" s="40">
        <f>SUMIFS(W62:W120,B62:B120,B79-in_dpd_lag)*d_cured</f>
        <v/>
      </c>
      <c r="Y79" s="40">
        <f>SUMIFS(W62:W120,B62:B120,B79-in_rec_lag)*d_recd</f>
        <v/>
      </c>
      <c r="Z79" s="40">
        <f>IF(AND(B79&gt;=in_marketplace_from,B79&lt;in_marketplace_from+in_card_months),in_card_share/in_card_months*F79*I79,IF(AND(B79&gt;=in_marketplace_from+in_card_months,B79&lt;in_marketplace_from+2*in_card_months),in_card_share*d_card_rem/in_card_months*F79*MIN(in_takeup_cap,(1+in_takeup_growth)^(D79-1))*MIN(in_takeup_cap,(1+in_approval_growth)^(D79-1)),0))</f>
        <v/>
      </c>
      <c r="AA79" s="14">
        <f>V79*in_fee*(1-in_taken_back)</f>
        <v/>
      </c>
      <c r="AB79" s="14">
        <f>SUMIFS(W62:W120,B62:B120,B79-in_dpd_lag)*d_dpd</f>
        <v/>
      </c>
      <c r="AC79" s="14">
        <f>SUMIFS(W62:W120,B62:B120,B79-in_rec_lag)*d_rec</f>
        <v/>
      </c>
      <c r="AD79" s="14">
        <f>Z79*in_card_fee</f>
        <v/>
      </c>
      <c r="AE79" s="40">
        <f>AE78*(1-IF(B78&gt;=in_marketplace_from,d_hz_hlth_small*G78,0))</f>
        <v/>
      </c>
      <c r="AF79" s="46">
        <f>AE79*IF(B79&gt;=in_marketplace_from,d_hz_hlth_small*G79,0)</f>
        <v/>
      </c>
      <c r="AG79" s="14">
        <f>F79*AF79*in_hlth_small_ticket*in_hlth_small_comm*in_ins_partner_share+F79*in_hlth_small_ticket*in_hlth_small_renew_comm*in_ins_partner_share*(in_hlth_small_renew^1*SUMIFS(AF62:AF120,B62:B120,B79-12)+in_hlth_small_renew^2*SUMIFS(AF62:AF120,B62:B120,B79-24)+in_hlth_small_renew^3*SUMIFS(AF62:AF120,B62:B120,B79-36)+in_hlth_small_renew^4*SUMIFS(AF62:AF120,B62:B120,B79-48))</f>
        <v/>
      </c>
      <c r="AH79" s="40">
        <f>AH78*(1-IF(B78&gt;=in_marketplace_from,d_hz_hlth_family*G78,0))</f>
        <v/>
      </c>
      <c r="AI79" s="46">
        <f>AH79*IF(B79&gt;=in_marketplace_from,d_hz_hlth_family*G79,0)</f>
        <v/>
      </c>
      <c r="AJ79" s="14">
        <f>F79*AI79*in_hlth_family_ticket*in_hlth_family_comm*in_ins_partner_share+F79*in_hlth_family_ticket*in_hlth_family_renew_comm*in_ins_partner_share*(in_hlth_family_renew^1*SUMIFS(AI62:AI120,B62:B120,B79-12)+in_hlth_family_renew^2*SUMIFS(AI62:AI120,B62:B120,B79-24)+in_hlth_family_renew^3*SUMIFS(AI62:AI120,B62:B120,B79-36)+in_hlth_family_renew^4*SUMIFS(AI62:AI120,B62:B120,B79-48))</f>
        <v/>
      </c>
      <c r="AK79" s="40">
        <f>AK78*(1-IF(B78&gt;=in_marketplace_from,d_hz_life_term*G78,0))</f>
        <v/>
      </c>
      <c r="AL79" s="46">
        <f>AK79*IF(B79&gt;=in_marketplace_from,d_hz_life_term*G79,0)</f>
        <v/>
      </c>
      <c r="AM79" s="14">
        <f>F79*AL79*in_life_term_ticket*in_life_term_comm*in_ins_partner_share+F79*in_life_term_ticket*in_life_term_renew_comm*in_ins_partner_share*(in_life_term_renew^1*SUMIFS(AL62:AL120,B62:B120,B79-12)+in_life_term_renew^2*SUMIFS(AL62:AL120,B62:B120,B79-24)+in_life_term_renew^3*SUMIFS(AL62:AL120,B62:B120,B79-36)+in_life_term_renew^4*SUMIFS(AL62:AL120,B62:B120,B79-48))</f>
        <v/>
      </c>
      <c r="AN79" s="40">
        <f>AN78*(1-IF(B78&gt;=in_marketplace_from,d_hz_accident*G78,0))</f>
        <v/>
      </c>
      <c r="AO79" s="46">
        <f>AN79*IF(B79&gt;=in_marketplace_from,d_hz_accident*G79,0)</f>
        <v/>
      </c>
      <c r="AP79" s="14">
        <f>F79*AO79*in_accident_ticket*in_accident_comm*in_ins_partner_share+F79*in_accident_ticket*in_accident_renew_comm*in_ins_partner_share*(in_accident_renew^1*SUMIFS(AO62:AO120,B62:B120,B79-12)+in_accident_renew^2*SUMIFS(AO62:AO120,B62:B120,B79-24)+in_accident_renew^3*SUMIFS(AO62:AO120,B62:B120,B79-36)+in_accident_renew^4*SUMIFS(AO62:AO120,B62:B120,B79-48))</f>
        <v/>
      </c>
      <c r="AQ79" s="40">
        <f>AQ78*(1-IF(B78&gt;=in_marketplace_from,d_hz_two_wheeler*G78,0))</f>
        <v/>
      </c>
      <c r="AR79" s="46">
        <f>AQ79*IF(B79&gt;=in_marketplace_from,d_hz_two_wheeler*G79,0)</f>
        <v/>
      </c>
      <c r="AS79" s="14">
        <f>F79*AR79*in_two_wheeler_ticket*in_two_wheeler_comm*in_ins_partner_share+F79*in_two_wheeler_ticket*in_two_wheeler_comm*in_ins_partner_share*(in_two_wheeler_renew^1*SUMIFS(AR62:AR120,B62:B120,B79-12)+in_two_wheeler_renew^2*SUMIFS(AR62:AR120,B62:B120,B79-24)+in_two_wheeler_renew^3*SUMIFS(AR62:AR120,B62:B120,B79-36)+in_two_wheeler_renew^4*SUMIFS(AR62:AR120,B62:B120,B79-48))</f>
        <v/>
      </c>
      <c r="AT79" s="40">
        <f>AT78*(1-IF(B78&gt;=in_marketplace_from,d_hz_device*G78,0))</f>
        <v/>
      </c>
      <c r="AU79" s="14">
        <f>F79*AT79*IF(B79&gt;=in_marketplace_from,d_hz_device*G79,0)*in_device_ticket*in_device_comm*in_ins_partner_share</f>
        <v/>
      </c>
      <c r="AV79" s="40">
        <f>AV78*(1-IF(B78&gt;=in_marketplace_from,d_hz_shop*G78,0))</f>
        <v/>
      </c>
      <c r="AW79" s="46">
        <f>AV79*IF(B79&gt;=in_marketplace_from,d_hz_shop*G79,0)</f>
        <v/>
      </c>
      <c r="AX79" s="14">
        <f>F79*AW79*in_shop_ticket*in_shop_comm*in_ins_partner_share+F79*in_shop_ticket*in_shop_renew_comm*in_ins_partner_share*(in_shop_renew^1*SUMIFS(AW62:AW120,B62:B120,B79-12)+in_shop_renew^2*SUMIFS(AW62:AW120,B62:B120,B79-24)+in_shop_renew^3*SUMIFS(AW62:AW120,B62:B120,B79-36)+in_shop_renew^4*SUMIFS(AW62:AW120,B62:B120,B79-48))</f>
        <v/>
      </c>
      <c r="AY79" s="40">
        <f>AY78*(1-IF(B78&gt;=in_marketplace_from,d_hz_sip*G78,0))</f>
        <v/>
      </c>
      <c r="AZ79" s="40">
        <f>AZ78*d_rho_sip+AY79*IF(B79&gt;=in_marketplace_from,d_hz_sip*G79,0)</f>
        <v/>
      </c>
      <c r="BA79" s="40">
        <f>d_rho_sip*(BA78+AZ78)</f>
        <v/>
      </c>
      <c r="BB79" s="14">
        <f>F79*in_sip_ticket*(BA79+0.5*AZ79)*in_sip_comm/12</f>
        <v/>
      </c>
      <c r="BC79" s="40">
        <f>BC78*(1-IF(B78&gt;=in_marketplace_from,d_hz_choti*G78,0))</f>
        <v/>
      </c>
      <c r="BD79" s="46">
        <f>BC79*IF(B79&gt;=in_marketplace_from,d_hz_choti*G79,0)</f>
        <v/>
      </c>
      <c r="BE79" s="14">
        <f>F79*SUMIFS(BD62:BD120,B62:B120,B79-in_choti_months)*in_choti_renew*in_choti_ticket</f>
        <v/>
      </c>
      <c r="BF79" s="40">
        <f>BF78*(1-IF(B78&gt;=in_marketplace_from,d_hz_nps*G78,0))</f>
        <v/>
      </c>
      <c r="BG79" s="14">
        <f>F79*BF79*IF(B79&gt;=in_marketplace_from,d_hz_nps*G79,0)*in_nps_ticket*in_nps_comm</f>
        <v/>
      </c>
      <c r="BH79" s="40">
        <f>BH78*(1-IF(B78&gt;=in_marketplace_from,d_hz_gold*G78,0))</f>
        <v/>
      </c>
      <c r="BI79" s="40">
        <f>BI78*d_rho_gold+BH79*IF(B79&gt;=in_marketplace_from,d_hz_gold*G79,0)</f>
        <v/>
      </c>
      <c r="BJ79" s="14">
        <f>F79*BI79*in_gold_ticket*in_gold_comm</f>
        <v/>
      </c>
      <c r="BK79" s="40">
        <f>BK78*(1-IF(B78&gt;=in_marketplace_from,d_hz_fd*G78,0))</f>
        <v/>
      </c>
      <c r="BL79" s="14">
        <f>F79*BK79*IF(B79&gt;=in_marketplace_from,d_hz_fd*G79,0)*in_fd_ticket*in_fd_comm</f>
        <v/>
      </c>
      <c r="BM79" s="40">
        <f>BM78*(1-IF(B78&gt;=in_marketplace_from,d_hz_recharge*G78,0))</f>
        <v/>
      </c>
      <c r="BN79" s="40">
        <f>BN78*d_rho_recharge+BM79*IF(B79&gt;=in_marketplace_from,d_hz_recharge*G79,0)</f>
        <v/>
      </c>
      <c r="BO79" s="14">
        <f>F79*BN79*in_recharge_ticket*in_recharge_comm/12</f>
        <v/>
      </c>
      <c r="BP79" s="40">
        <f>BP78*(1-IF(B78&gt;=in_marketplace_from,d_hz_bills*G78,0))</f>
        <v/>
      </c>
      <c r="BQ79" s="40">
        <f>BQ78*d_rho_bills+BP79*IF(B79&gt;=in_marketplace_from,d_hz_bills*G79,0)</f>
        <v/>
      </c>
      <c r="BR79" s="14">
        <f>F79*BQ79*in_bills_ticket*in_bills_comm/12</f>
        <v/>
      </c>
      <c r="BS79" s="40">
        <f>BS78*(1-IF(B78&gt;=in_marketplace_from,d_hz_loan_gold*G78,0))</f>
        <v/>
      </c>
      <c r="BT79" s="14">
        <f>F79*BS79*IF(B79&gt;=in_marketplace_from,d_hz_loan_gold*G79,0)*in_loan_gold_ticket*in_loan_gold_comm</f>
        <v/>
      </c>
      <c r="BU79" s="40">
        <f>BU78*(1-IF(B78&gt;=in_marketplace_from,d_hz_loan_cd*G78,0))</f>
        <v/>
      </c>
      <c r="BV79" s="14">
        <f>F79*BU79*IF(B79&gt;=in_marketplace_from,d_hz_loan_cd*G79,0)*in_loan_cd_ticket*in_loan_cd_comm</f>
        <v/>
      </c>
      <c r="BW79" s="40">
        <f>BW78*(1-IF(B78&gt;=in_marketplace_from,d_hz_loan_vehicle*G78,0))</f>
        <v/>
      </c>
      <c r="BX79" s="14">
        <f>F79*BW79*IF(B79&gt;=in_marketplace_from,d_hz_loan_vehicle*G79,0)*in_loan_vehicle_ticket*in_loan_vehicle_comm</f>
        <v/>
      </c>
      <c r="BY79" s="40">
        <f>BY78*(1-IF(B78&gt;=in_marketplace_from,d_hz_loan_home*G78,0)*BZ78)</f>
        <v/>
      </c>
      <c r="BZ79" s="11">
        <f>MIN(in_approval_cap,in_loan_home_approval*INDEX('Age profile'!$O$2:$O$61,B79)*(1+in_approval_growth)^(D79-1))</f>
        <v/>
      </c>
      <c r="CA79" s="14">
        <f>F79*BY79*IF(B79&gt;=in_marketplace_from,d_hz_loan_home*G79,0)*BZ79*in_loan_home_ticket*in_loan_home_comm</f>
        <v/>
      </c>
      <c r="CB79" s="40">
        <f>CB78*(1-IF(B78&gt;=in_marketplace_from,d_hz_loan_lap*G78,0)*CC78)</f>
        <v/>
      </c>
      <c r="CC79" s="11">
        <f>MIN(in_approval_cap,in_loan_lap_approval*INDEX('Age profile'!$O$2:$O$61,B79)*(1+in_approval_growth)^(D79-1))</f>
        <v/>
      </c>
      <c r="CD79" s="14">
        <f>F79*CB79*IF(B79&gt;=in_marketplace_from,d_hz_loan_lap*G79,0)*CC79*in_loan_lap_ticket*in_loan_lap_comm</f>
        <v/>
      </c>
      <c r="CE79" s="14">
        <f>AA79+AB79+AC79+AD79+AG79+AJ79+AM79+AP79+AS79+AU79+AX79+BB79+BE79+BG79+BJ79+BL79+BO79+BR79+BT79+BV79+BX79+CA79+CD79</f>
        <v/>
      </c>
    </row>
    <row r="80">
      <c r="A80" s="39" t="n">
        <v>2</v>
      </c>
      <c r="B80" s="39" t="n">
        <v>19</v>
      </c>
      <c r="C80" s="39">
        <f>A80+B80-1</f>
        <v/>
      </c>
      <c r="D80" s="39">
        <f>INT((C80-1)/12)+1</f>
        <v/>
      </c>
      <c r="E80" s="44">
        <f>INDEX(Monthly!$B$2:$B$61,A80)</f>
        <v/>
      </c>
      <c r="F80" s="44">
        <f>E80*INDEX('Age profile'!$B$2:$B$61,B80)</f>
        <v/>
      </c>
      <c r="G80" s="45">
        <f>MIN(in_takeup_cap,INDEX('Age profile'!$N$2:$N$61,B80)*(1+in_takeup_growth)^(D80-1))</f>
        <v/>
      </c>
      <c r="H80" s="11">
        <f>MIN(in_approval_cap,in_approved_first*INDEX('Age profile'!$O$2:$O$61,B80)*(1+in_approval_growth)^(D80-1))</f>
        <v/>
      </c>
      <c r="I80" s="45">
        <f>G80*MIN(in_takeup_cap,INDEX('Age profile'!$O$2:$O$61,B80)*(1+in_approval_growth)^(D80-1))</f>
        <v/>
      </c>
      <c r="J80" s="40">
        <f>(J79-L79)*F80/F79</f>
        <v/>
      </c>
      <c r="K80" s="40">
        <f>(K79-M79)*F80/F79+SUMIFS(O62:O79,B62:B79,B80-1-d_T)*F80</f>
        <v/>
      </c>
      <c r="L80" s="40">
        <f>IF(B80&gt;=in_marketplace_from,J80*d_hz*G80*in_eligible*H80,0)</f>
        <v/>
      </c>
      <c r="M80" s="40">
        <f>IF(B80&gt;=in_marketplace_from,K80*d_hz*G80*in_eligible*in_approved_repeat,0)</f>
        <v/>
      </c>
      <c r="N80" s="40">
        <f>L80+M80</f>
        <v/>
      </c>
      <c r="O80" s="46">
        <f>N80/F80</f>
        <v/>
      </c>
      <c r="P80" s="40">
        <f>F80-J80-K80</f>
        <v/>
      </c>
      <c r="Q80" s="40">
        <f>IF(B80&gt;=in_marketplace_from,(J80+K80)*d_hz*G80,0)</f>
        <v/>
      </c>
      <c r="R80" s="40">
        <f>SUMIFS(N62:N120,B62:B120,"&gt;="&amp;(B80-d_T),B62:B120,"&lt;="&amp;(B80-1))</f>
        <v/>
      </c>
      <c r="S80" s="46">
        <f>(1-d_u)*S79+IF(d_T&gt;in_topup_lag,SUMIFS(O62:O120,B62:B120,B80-in_topup_lag)-d_udrop*SUMIFS(O62:O120,B62:B120,B80-d_T),0)</f>
        <v/>
      </c>
      <c r="T80" s="40">
        <f>F80*d_u*S80</f>
        <v/>
      </c>
      <c r="U80" s="9">
        <f>L80*in_ticket+M80*d_rep_ticket</f>
        <v/>
      </c>
      <c r="V80" s="9">
        <f>U80+T80*d_topup_amt</f>
        <v/>
      </c>
      <c r="W80" s="40">
        <f>N80+T80*d_topup_ratio</f>
        <v/>
      </c>
      <c r="X80" s="40">
        <f>SUMIFS(W62:W120,B62:B120,B80-in_dpd_lag)*d_cured</f>
        <v/>
      </c>
      <c r="Y80" s="40">
        <f>SUMIFS(W62:W120,B62:B120,B80-in_rec_lag)*d_recd</f>
        <v/>
      </c>
      <c r="Z80" s="40">
        <f>IF(AND(B80&gt;=in_marketplace_from,B80&lt;in_marketplace_from+in_card_months),in_card_share/in_card_months*F80*I80,IF(AND(B80&gt;=in_marketplace_from+in_card_months,B80&lt;in_marketplace_from+2*in_card_months),in_card_share*d_card_rem/in_card_months*F80*MIN(in_takeup_cap,(1+in_takeup_growth)^(D80-1))*MIN(in_takeup_cap,(1+in_approval_growth)^(D80-1)),0))</f>
        <v/>
      </c>
      <c r="AA80" s="14">
        <f>V80*in_fee*(1-in_taken_back)</f>
        <v/>
      </c>
      <c r="AB80" s="14">
        <f>SUMIFS(W62:W120,B62:B120,B80-in_dpd_lag)*d_dpd</f>
        <v/>
      </c>
      <c r="AC80" s="14">
        <f>SUMIFS(W62:W120,B62:B120,B80-in_rec_lag)*d_rec</f>
        <v/>
      </c>
      <c r="AD80" s="14">
        <f>Z80*in_card_fee</f>
        <v/>
      </c>
      <c r="AE80" s="40">
        <f>AE79*(1-IF(B79&gt;=in_marketplace_from,d_hz_hlth_small*G79,0))</f>
        <v/>
      </c>
      <c r="AF80" s="46">
        <f>AE80*IF(B80&gt;=in_marketplace_from,d_hz_hlth_small*G80,0)</f>
        <v/>
      </c>
      <c r="AG80" s="14">
        <f>F80*AF80*in_hlth_small_ticket*in_hlth_small_comm*in_ins_partner_share+F80*in_hlth_small_ticket*in_hlth_small_renew_comm*in_ins_partner_share*(in_hlth_small_renew^1*SUMIFS(AF62:AF120,B62:B120,B80-12)+in_hlth_small_renew^2*SUMIFS(AF62:AF120,B62:B120,B80-24)+in_hlth_small_renew^3*SUMIFS(AF62:AF120,B62:B120,B80-36)+in_hlth_small_renew^4*SUMIFS(AF62:AF120,B62:B120,B80-48))</f>
        <v/>
      </c>
      <c r="AH80" s="40">
        <f>AH79*(1-IF(B79&gt;=in_marketplace_from,d_hz_hlth_family*G79,0))</f>
        <v/>
      </c>
      <c r="AI80" s="46">
        <f>AH80*IF(B80&gt;=in_marketplace_from,d_hz_hlth_family*G80,0)</f>
        <v/>
      </c>
      <c r="AJ80" s="14">
        <f>F80*AI80*in_hlth_family_ticket*in_hlth_family_comm*in_ins_partner_share+F80*in_hlth_family_ticket*in_hlth_family_renew_comm*in_ins_partner_share*(in_hlth_family_renew^1*SUMIFS(AI62:AI120,B62:B120,B80-12)+in_hlth_family_renew^2*SUMIFS(AI62:AI120,B62:B120,B80-24)+in_hlth_family_renew^3*SUMIFS(AI62:AI120,B62:B120,B80-36)+in_hlth_family_renew^4*SUMIFS(AI62:AI120,B62:B120,B80-48))</f>
        <v/>
      </c>
      <c r="AK80" s="40">
        <f>AK79*(1-IF(B79&gt;=in_marketplace_from,d_hz_life_term*G79,0))</f>
        <v/>
      </c>
      <c r="AL80" s="46">
        <f>AK80*IF(B80&gt;=in_marketplace_from,d_hz_life_term*G80,0)</f>
        <v/>
      </c>
      <c r="AM80" s="14">
        <f>F80*AL80*in_life_term_ticket*in_life_term_comm*in_ins_partner_share+F80*in_life_term_ticket*in_life_term_renew_comm*in_ins_partner_share*(in_life_term_renew^1*SUMIFS(AL62:AL120,B62:B120,B80-12)+in_life_term_renew^2*SUMIFS(AL62:AL120,B62:B120,B80-24)+in_life_term_renew^3*SUMIFS(AL62:AL120,B62:B120,B80-36)+in_life_term_renew^4*SUMIFS(AL62:AL120,B62:B120,B80-48))</f>
        <v/>
      </c>
      <c r="AN80" s="40">
        <f>AN79*(1-IF(B79&gt;=in_marketplace_from,d_hz_accident*G79,0))</f>
        <v/>
      </c>
      <c r="AO80" s="46">
        <f>AN80*IF(B80&gt;=in_marketplace_from,d_hz_accident*G80,0)</f>
        <v/>
      </c>
      <c r="AP80" s="14">
        <f>F80*AO80*in_accident_ticket*in_accident_comm*in_ins_partner_share+F80*in_accident_ticket*in_accident_renew_comm*in_ins_partner_share*(in_accident_renew^1*SUMIFS(AO62:AO120,B62:B120,B80-12)+in_accident_renew^2*SUMIFS(AO62:AO120,B62:B120,B80-24)+in_accident_renew^3*SUMIFS(AO62:AO120,B62:B120,B80-36)+in_accident_renew^4*SUMIFS(AO62:AO120,B62:B120,B80-48))</f>
        <v/>
      </c>
      <c r="AQ80" s="40">
        <f>AQ79*(1-IF(B79&gt;=in_marketplace_from,d_hz_two_wheeler*G79,0))</f>
        <v/>
      </c>
      <c r="AR80" s="46">
        <f>AQ80*IF(B80&gt;=in_marketplace_from,d_hz_two_wheeler*G80,0)</f>
        <v/>
      </c>
      <c r="AS80" s="14">
        <f>F80*AR80*in_two_wheeler_ticket*in_two_wheeler_comm*in_ins_partner_share+F80*in_two_wheeler_ticket*in_two_wheeler_comm*in_ins_partner_share*(in_two_wheeler_renew^1*SUMIFS(AR62:AR120,B62:B120,B80-12)+in_two_wheeler_renew^2*SUMIFS(AR62:AR120,B62:B120,B80-24)+in_two_wheeler_renew^3*SUMIFS(AR62:AR120,B62:B120,B80-36)+in_two_wheeler_renew^4*SUMIFS(AR62:AR120,B62:B120,B80-48))</f>
        <v/>
      </c>
      <c r="AT80" s="40">
        <f>AT79*(1-IF(B79&gt;=in_marketplace_from,d_hz_device*G79,0))</f>
        <v/>
      </c>
      <c r="AU80" s="14">
        <f>F80*AT80*IF(B80&gt;=in_marketplace_from,d_hz_device*G80,0)*in_device_ticket*in_device_comm*in_ins_partner_share</f>
        <v/>
      </c>
      <c r="AV80" s="40">
        <f>AV79*(1-IF(B79&gt;=in_marketplace_from,d_hz_shop*G79,0))</f>
        <v/>
      </c>
      <c r="AW80" s="46">
        <f>AV80*IF(B80&gt;=in_marketplace_from,d_hz_shop*G80,0)</f>
        <v/>
      </c>
      <c r="AX80" s="14">
        <f>F80*AW80*in_shop_ticket*in_shop_comm*in_ins_partner_share+F80*in_shop_ticket*in_shop_renew_comm*in_ins_partner_share*(in_shop_renew^1*SUMIFS(AW62:AW120,B62:B120,B80-12)+in_shop_renew^2*SUMIFS(AW62:AW120,B62:B120,B80-24)+in_shop_renew^3*SUMIFS(AW62:AW120,B62:B120,B80-36)+in_shop_renew^4*SUMIFS(AW62:AW120,B62:B120,B80-48))</f>
        <v/>
      </c>
      <c r="AY80" s="40">
        <f>AY79*(1-IF(B79&gt;=in_marketplace_from,d_hz_sip*G79,0))</f>
        <v/>
      </c>
      <c r="AZ80" s="40">
        <f>AZ79*d_rho_sip+AY80*IF(B80&gt;=in_marketplace_from,d_hz_sip*G80,0)</f>
        <v/>
      </c>
      <c r="BA80" s="40">
        <f>d_rho_sip*(BA79+AZ79)</f>
        <v/>
      </c>
      <c r="BB80" s="14">
        <f>F80*in_sip_ticket*(BA80+0.5*AZ80)*in_sip_comm/12</f>
        <v/>
      </c>
      <c r="BC80" s="40">
        <f>BC79*(1-IF(B79&gt;=in_marketplace_from,d_hz_choti*G79,0))</f>
        <v/>
      </c>
      <c r="BD80" s="46">
        <f>BC80*IF(B80&gt;=in_marketplace_from,d_hz_choti*G80,0)</f>
        <v/>
      </c>
      <c r="BE80" s="14">
        <f>F80*SUMIFS(BD62:BD120,B62:B120,B80-in_choti_months)*in_choti_renew*in_choti_ticket</f>
        <v/>
      </c>
      <c r="BF80" s="40">
        <f>BF79*(1-IF(B79&gt;=in_marketplace_from,d_hz_nps*G79,0))</f>
        <v/>
      </c>
      <c r="BG80" s="14">
        <f>F80*BF80*IF(B80&gt;=in_marketplace_from,d_hz_nps*G80,0)*in_nps_ticket*in_nps_comm</f>
        <v/>
      </c>
      <c r="BH80" s="40">
        <f>BH79*(1-IF(B79&gt;=in_marketplace_from,d_hz_gold*G79,0))</f>
        <v/>
      </c>
      <c r="BI80" s="40">
        <f>BI79*d_rho_gold+BH80*IF(B80&gt;=in_marketplace_from,d_hz_gold*G80,0)</f>
        <v/>
      </c>
      <c r="BJ80" s="14">
        <f>F80*BI80*in_gold_ticket*in_gold_comm</f>
        <v/>
      </c>
      <c r="BK80" s="40">
        <f>BK79*(1-IF(B79&gt;=in_marketplace_from,d_hz_fd*G79,0))</f>
        <v/>
      </c>
      <c r="BL80" s="14">
        <f>F80*BK80*IF(B80&gt;=in_marketplace_from,d_hz_fd*G80,0)*in_fd_ticket*in_fd_comm</f>
        <v/>
      </c>
      <c r="BM80" s="40">
        <f>BM79*(1-IF(B79&gt;=in_marketplace_from,d_hz_recharge*G79,0))</f>
        <v/>
      </c>
      <c r="BN80" s="40">
        <f>BN79*d_rho_recharge+BM80*IF(B80&gt;=in_marketplace_from,d_hz_recharge*G80,0)</f>
        <v/>
      </c>
      <c r="BO80" s="14">
        <f>F80*BN80*in_recharge_ticket*in_recharge_comm/12</f>
        <v/>
      </c>
      <c r="BP80" s="40">
        <f>BP79*(1-IF(B79&gt;=in_marketplace_from,d_hz_bills*G79,0))</f>
        <v/>
      </c>
      <c r="BQ80" s="40">
        <f>BQ79*d_rho_bills+BP80*IF(B80&gt;=in_marketplace_from,d_hz_bills*G80,0)</f>
        <v/>
      </c>
      <c r="BR80" s="14">
        <f>F80*BQ80*in_bills_ticket*in_bills_comm/12</f>
        <v/>
      </c>
      <c r="BS80" s="40">
        <f>BS79*(1-IF(B79&gt;=in_marketplace_from,d_hz_loan_gold*G79,0))</f>
        <v/>
      </c>
      <c r="BT80" s="14">
        <f>F80*BS80*IF(B80&gt;=in_marketplace_from,d_hz_loan_gold*G80,0)*in_loan_gold_ticket*in_loan_gold_comm</f>
        <v/>
      </c>
      <c r="BU80" s="40">
        <f>BU79*(1-IF(B79&gt;=in_marketplace_from,d_hz_loan_cd*G79,0))</f>
        <v/>
      </c>
      <c r="BV80" s="14">
        <f>F80*BU80*IF(B80&gt;=in_marketplace_from,d_hz_loan_cd*G80,0)*in_loan_cd_ticket*in_loan_cd_comm</f>
        <v/>
      </c>
      <c r="BW80" s="40">
        <f>BW79*(1-IF(B79&gt;=in_marketplace_from,d_hz_loan_vehicle*G79,0))</f>
        <v/>
      </c>
      <c r="BX80" s="14">
        <f>F80*BW80*IF(B80&gt;=in_marketplace_from,d_hz_loan_vehicle*G80,0)*in_loan_vehicle_ticket*in_loan_vehicle_comm</f>
        <v/>
      </c>
      <c r="BY80" s="40">
        <f>BY79*(1-IF(B79&gt;=in_marketplace_from,d_hz_loan_home*G79,0)*BZ79)</f>
        <v/>
      </c>
      <c r="BZ80" s="11">
        <f>MIN(in_approval_cap,in_loan_home_approval*INDEX('Age profile'!$O$2:$O$61,B80)*(1+in_approval_growth)^(D80-1))</f>
        <v/>
      </c>
      <c r="CA80" s="14">
        <f>F80*BY80*IF(B80&gt;=in_marketplace_from,d_hz_loan_home*G80,0)*BZ80*in_loan_home_ticket*in_loan_home_comm</f>
        <v/>
      </c>
      <c r="CB80" s="40">
        <f>CB79*(1-IF(B79&gt;=in_marketplace_from,d_hz_loan_lap*G79,0)*CC79)</f>
        <v/>
      </c>
      <c r="CC80" s="11">
        <f>MIN(in_approval_cap,in_loan_lap_approval*INDEX('Age profile'!$O$2:$O$61,B80)*(1+in_approval_growth)^(D80-1))</f>
        <v/>
      </c>
      <c r="CD80" s="14">
        <f>F80*CB80*IF(B80&gt;=in_marketplace_from,d_hz_loan_lap*G80,0)*CC80*in_loan_lap_ticket*in_loan_lap_comm</f>
        <v/>
      </c>
      <c r="CE80" s="14">
        <f>AA80+AB80+AC80+AD80+AG80+AJ80+AM80+AP80+AS80+AU80+AX80+BB80+BE80+BG80+BJ80+BL80+BO80+BR80+BT80+BV80+BX80+CA80+CD80</f>
        <v/>
      </c>
    </row>
    <row r="81">
      <c r="A81" s="39" t="n">
        <v>2</v>
      </c>
      <c r="B81" s="39" t="n">
        <v>20</v>
      </c>
      <c r="C81" s="39">
        <f>A81+B81-1</f>
        <v/>
      </c>
      <c r="D81" s="39">
        <f>INT((C81-1)/12)+1</f>
        <v/>
      </c>
      <c r="E81" s="44">
        <f>INDEX(Monthly!$B$2:$B$61,A81)</f>
        <v/>
      </c>
      <c r="F81" s="44">
        <f>E81*INDEX('Age profile'!$B$2:$B$61,B81)</f>
        <v/>
      </c>
      <c r="G81" s="45">
        <f>MIN(in_takeup_cap,INDEX('Age profile'!$N$2:$N$61,B81)*(1+in_takeup_growth)^(D81-1))</f>
        <v/>
      </c>
      <c r="H81" s="11">
        <f>MIN(in_approval_cap,in_approved_first*INDEX('Age profile'!$O$2:$O$61,B81)*(1+in_approval_growth)^(D81-1))</f>
        <v/>
      </c>
      <c r="I81" s="45">
        <f>G81*MIN(in_takeup_cap,INDEX('Age profile'!$O$2:$O$61,B81)*(1+in_approval_growth)^(D81-1))</f>
        <v/>
      </c>
      <c r="J81" s="40">
        <f>(J80-L80)*F81/F80</f>
        <v/>
      </c>
      <c r="K81" s="40">
        <f>(K80-M80)*F81/F80+SUMIFS(O62:O80,B62:B80,B81-1-d_T)*F81</f>
        <v/>
      </c>
      <c r="L81" s="40">
        <f>IF(B81&gt;=in_marketplace_from,J81*d_hz*G81*in_eligible*H81,0)</f>
        <v/>
      </c>
      <c r="M81" s="40">
        <f>IF(B81&gt;=in_marketplace_from,K81*d_hz*G81*in_eligible*in_approved_repeat,0)</f>
        <v/>
      </c>
      <c r="N81" s="40">
        <f>L81+M81</f>
        <v/>
      </c>
      <c r="O81" s="46">
        <f>N81/F81</f>
        <v/>
      </c>
      <c r="P81" s="40">
        <f>F81-J81-K81</f>
        <v/>
      </c>
      <c r="Q81" s="40">
        <f>IF(B81&gt;=in_marketplace_from,(J81+K81)*d_hz*G81,0)</f>
        <v/>
      </c>
      <c r="R81" s="40">
        <f>SUMIFS(N62:N120,B62:B120,"&gt;="&amp;(B81-d_T),B62:B120,"&lt;="&amp;(B81-1))</f>
        <v/>
      </c>
      <c r="S81" s="46">
        <f>(1-d_u)*S80+IF(d_T&gt;in_topup_lag,SUMIFS(O62:O120,B62:B120,B81-in_topup_lag)-d_udrop*SUMIFS(O62:O120,B62:B120,B81-d_T),0)</f>
        <v/>
      </c>
      <c r="T81" s="40">
        <f>F81*d_u*S81</f>
        <v/>
      </c>
      <c r="U81" s="9">
        <f>L81*in_ticket+M81*d_rep_ticket</f>
        <v/>
      </c>
      <c r="V81" s="9">
        <f>U81+T81*d_topup_amt</f>
        <v/>
      </c>
      <c r="W81" s="40">
        <f>N81+T81*d_topup_ratio</f>
        <v/>
      </c>
      <c r="X81" s="40">
        <f>SUMIFS(W62:W120,B62:B120,B81-in_dpd_lag)*d_cured</f>
        <v/>
      </c>
      <c r="Y81" s="40">
        <f>SUMIFS(W62:W120,B62:B120,B81-in_rec_lag)*d_recd</f>
        <v/>
      </c>
      <c r="Z81" s="40">
        <f>IF(AND(B81&gt;=in_marketplace_from,B81&lt;in_marketplace_from+in_card_months),in_card_share/in_card_months*F81*I81,IF(AND(B81&gt;=in_marketplace_from+in_card_months,B81&lt;in_marketplace_from+2*in_card_months),in_card_share*d_card_rem/in_card_months*F81*MIN(in_takeup_cap,(1+in_takeup_growth)^(D81-1))*MIN(in_takeup_cap,(1+in_approval_growth)^(D81-1)),0))</f>
        <v/>
      </c>
      <c r="AA81" s="14">
        <f>V81*in_fee*(1-in_taken_back)</f>
        <v/>
      </c>
      <c r="AB81" s="14">
        <f>SUMIFS(W62:W120,B62:B120,B81-in_dpd_lag)*d_dpd</f>
        <v/>
      </c>
      <c r="AC81" s="14">
        <f>SUMIFS(W62:W120,B62:B120,B81-in_rec_lag)*d_rec</f>
        <v/>
      </c>
      <c r="AD81" s="14">
        <f>Z81*in_card_fee</f>
        <v/>
      </c>
      <c r="AE81" s="40">
        <f>AE80*(1-IF(B80&gt;=in_marketplace_from,d_hz_hlth_small*G80,0))</f>
        <v/>
      </c>
      <c r="AF81" s="46">
        <f>AE81*IF(B81&gt;=in_marketplace_from,d_hz_hlth_small*G81,0)</f>
        <v/>
      </c>
      <c r="AG81" s="14">
        <f>F81*AF81*in_hlth_small_ticket*in_hlth_small_comm*in_ins_partner_share+F81*in_hlth_small_ticket*in_hlth_small_renew_comm*in_ins_partner_share*(in_hlth_small_renew^1*SUMIFS(AF62:AF120,B62:B120,B81-12)+in_hlth_small_renew^2*SUMIFS(AF62:AF120,B62:B120,B81-24)+in_hlth_small_renew^3*SUMIFS(AF62:AF120,B62:B120,B81-36)+in_hlth_small_renew^4*SUMIFS(AF62:AF120,B62:B120,B81-48))</f>
        <v/>
      </c>
      <c r="AH81" s="40">
        <f>AH80*(1-IF(B80&gt;=in_marketplace_from,d_hz_hlth_family*G80,0))</f>
        <v/>
      </c>
      <c r="AI81" s="46">
        <f>AH81*IF(B81&gt;=in_marketplace_from,d_hz_hlth_family*G81,0)</f>
        <v/>
      </c>
      <c r="AJ81" s="14">
        <f>F81*AI81*in_hlth_family_ticket*in_hlth_family_comm*in_ins_partner_share+F81*in_hlth_family_ticket*in_hlth_family_renew_comm*in_ins_partner_share*(in_hlth_family_renew^1*SUMIFS(AI62:AI120,B62:B120,B81-12)+in_hlth_family_renew^2*SUMIFS(AI62:AI120,B62:B120,B81-24)+in_hlth_family_renew^3*SUMIFS(AI62:AI120,B62:B120,B81-36)+in_hlth_family_renew^4*SUMIFS(AI62:AI120,B62:B120,B81-48))</f>
        <v/>
      </c>
      <c r="AK81" s="40">
        <f>AK80*(1-IF(B80&gt;=in_marketplace_from,d_hz_life_term*G80,0))</f>
        <v/>
      </c>
      <c r="AL81" s="46">
        <f>AK81*IF(B81&gt;=in_marketplace_from,d_hz_life_term*G81,0)</f>
        <v/>
      </c>
      <c r="AM81" s="14">
        <f>F81*AL81*in_life_term_ticket*in_life_term_comm*in_ins_partner_share+F81*in_life_term_ticket*in_life_term_renew_comm*in_ins_partner_share*(in_life_term_renew^1*SUMIFS(AL62:AL120,B62:B120,B81-12)+in_life_term_renew^2*SUMIFS(AL62:AL120,B62:B120,B81-24)+in_life_term_renew^3*SUMIFS(AL62:AL120,B62:B120,B81-36)+in_life_term_renew^4*SUMIFS(AL62:AL120,B62:B120,B81-48))</f>
        <v/>
      </c>
      <c r="AN81" s="40">
        <f>AN80*(1-IF(B80&gt;=in_marketplace_from,d_hz_accident*G80,0))</f>
        <v/>
      </c>
      <c r="AO81" s="46">
        <f>AN81*IF(B81&gt;=in_marketplace_from,d_hz_accident*G81,0)</f>
        <v/>
      </c>
      <c r="AP81" s="14">
        <f>F81*AO81*in_accident_ticket*in_accident_comm*in_ins_partner_share+F81*in_accident_ticket*in_accident_renew_comm*in_ins_partner_share*(in_accident_renew^1*SUMIFS(AO62:AO120,B62:B120,B81-12)+in_accident_renew^2*SUMIFS(AO62:AO120,B62:B120,B81-24)+in_accident_renew^3*SUMIFS(AO62:AO120,B62:B120,B81-36)+in_accident_renew^4*SUMIFS(AO62:AO120,B62:B120,B81-48))</f>
        <v/>
      </c>
      <c r="AQ81" s="40">
        <f>AQ80*(1-IF(B80&gt;=in_marketplace_from,d_hz_two_wheeler*G80,0))</f>
        <v/>
      </c>
      <c r="AR81" s="46">
        <f>AQ81*IF(B81&gt;=in_marketplace_from,d_hz_two_wheeler*G81,0)</f>
        <v/>
      </c>
      <c r="AS81" s="14">
        <f>F81*AR81*in_two_wheeler_ticket*in_two_wheeler_comm*in_ins_partner_share+F81*in_two_wheeler_ticket*in_two_wheeler_comm*in_ins_partner_share*(in_two_wheeler_renew^1*SUMIFS(AR62:AR120,B62:B120,B81-12)+in_two_wheeler_renew^2*SUMIFS(AR62:AR120,B62:B120,B81-24)+in_two_wheeler_renew^3*SUMIFS(AR62:AR120,B62:B120,B81-36)+in_two_wheeler_renew^4*SUMIFS(AR62:AR120,B62:B120,B81-48))</f>
        <v/>
      </c>
      <c r="AT81" s="40">
        <f>AT80*(1-IF(B80&gt;=in_marketplace_from,d_hz_device*G80,0))</f>
        <v/>
      </c>
      <c r="AU81" s="14">
        <f>F81*AT81*IF(B81&gt;=in_marketplace_from,d_hz_device*G81,0)*in_device_ticket*in_device_comm*in_ins_partner_share</f>
        <v/>
      </c>
      <c r="AV81" s="40">
        <f>AV80*(1-IF(B80&gt;=in_marketplace_from,d_hz_shop*G80,0))</f>
        <v/>
      </c>
      <c r="AW81" s="46">
        <f>AV81*IF(B81&gt;=in_marketplace_from,d_hz_shop*G81,0)</f>
        <v/>
      </c>
      <c r="AX81" s="14">
        <f>F81*AW81*in_shop_ticket*in_shop_comm*in_ins_partner_share+F81*in_shop_ticket*in_shop_renew_comm*in_ins_partner_share*(in_shop_renew^1*SUMIFS(AW62:AW120,B62:B120,B81-12)+in_shop_renew^2*SUMIFS(AW62:AW120,B62:B120,B81-24)+in_shop_renew^3*SUMIFS(AW62:AW120,B62:B120,B81-36)+in_shop_renew^4*SUMIFS(AW62:AW120,B62:B120,B81-48))</f>
        <v/>
      </c>
      <c r="AY81" s="40">
        <f>AY80*(1-IF(B80&gt;=in_marketplace_from,d_hz_sip*G80,0))</f>
        <v/>
      </c>
      <c r="AZ81" s="40">
        <f>AZ80*d_rho_sip+AY81*IF(B81&gt;=in_marketplace_from,d_hz_sip*G81,0)</f>
        <v/>
      </c>
      <c r="BA81" s="40">
        <f>d_rho_sip*(BA80+AZ80)</f>
        <v/>
      </c>
      <c r="BB81" s="14">
        <f>F81*in_sip_ticket*(BA81+0.5*AZ81)*in_sip_comm/12</f>
        <v/>
      </c>
      <c r="BC81" s="40">
        <f>BC80*(1-IF(B80&gt;=in_marketplace_from,d_hz_choti*G80,0))</f>
        <v/>
      </c>
      <c r="BD81" s="46">
        <f>BC81*IF(B81&gt;=in_marketplace_from,d_hz_choti*G81,0)</f>
        <v/>
      </c>
      <c r="BE81" s="14">
        <f>F81*SUMIFS(BD62:BD120,B62:B120,B81-in_choti_months)*in_choti_renew*in_choti_ticket</f>
        <v/>
      </c>
      <c r="BF81" s="40">
        <f>BF80*(1-IF(B80&gt;=in_marketplace_from,d_hz_nps*G80,0))</f>
        <v/>
      </c>
      <c r="BG81" s="14">
        <f>F81*BF81*IF(B81&gt;=in_marketplace_from,d_hz_nps*G81,0)*in_nps_ticket*in_nps_comm</f>
        <v/>
      </c>
      <c r="BH81" s="40">
        <f>BH80*(1-IF(B80&gt;=in_marketplace_from,d_hz_gold*G80,0))</f>
        <v/>
      </c>
      <c r="BI81" s="40">
        <f>BI80*d_rho_gold+BH81*IF(B81&gt;=in_marketplace_from,d_hz_gold*G81,0)</f>
        <v/>
      </c>
      <c r="BJ81" s="14">
        <f>F81*BI81*in_gold_ticket*in_gold_comm</f>
        <v/>
      </c>
      <c r="BK81" s="40">
        <f>BK80*(1-IF(B80&gt;=in_marketplace_from,d_hz_fd*G80,0))</f>
        <v/>
      </c>
      <c r="BL81" s="14">
        <f>F81*BK81*IF(B81&gt;=in_marketplace_from,d_hz_fd*G81,0)*in_fd_ticket*in_fd_comm</f>
        <v/>
      </c>
      <c r="BM81" s="40">
        <f>BM80*(1-IF(B80&gt;=in_marketplace_from,d_hz_recharge*G80,0))</f>
        <v/>
      </c>
      <c r="BN81" s="40">
        <f>BN80*d_rho_recharge+BM81*IF(B81&gt;=in_marketplace_from,d_hz_recharge*G81,0)</f>
        <v/>
      </c>
      <c r="BO81" s="14">
        <f>F81*BN81*in_recharge_ticket*in_recharge_comm/12</f>
        <v/>
      </c>
      <c r="BP81" s="40">
        <f>BP80*(1-IF(B80&gt;=in_marketplace_from,d_hz_bills*G80,0))</f>
        <v/>
      </c>
      <c r="BQ81" s="40">
        <f>BQ80*d_rho_bills+BP81*IF(B81&gt;=in_marketplace_from,d_hz_bills*G81,0)</f>
        <v/>
      </c>
      <c r="BR81" s="14">
        <f>F81*BQ81*in_bills_ticket*in_bills_comm/12</f>
        <v/>
      </c>
      <c r="BS81" s="40">
        <f>BS80*(1-IF(B80&gt;=in_marketplace_from,d_hz_loan_gold*G80,0))</f>
        <v/>
      </c>
      <c r="BT81" s="14">
        <f>F81*BS81*IF(B81&gt;=in_marketplace_from,d_hz_loan_gold*G81,0)*in_loan_gold_ticket*in_loan_gold_comm</f>
        <v/>
      </c>
      <c r="BU81" s="40">
        <f>BU80*(1-IF(B80&gt;=in_marketplace_from,d_hz_loan_cd*G80,0))</f>
        <v/>
      </c>
      <c r="BV81" s="14">
        <f>F81*BU81*IF(B81&gt;=in_marketplace_from,d_hz_loan_cd*G81,0)*in_loan_cd_ticket*in_loan_cd_comm</f>
        <v/>
      </c>
      <c r="BW81" s="40">
        <f>BW80*(1-IF(B80&gt;=in_marketplace_from,d_hz_loan_vehicle*G80,0))</f>
        <v/>
      </c>
      <c r="BX81" s="14">
        <f>F81*BW81*IF(B81&gt;=in_marketplace_from,d_hz_loan_vehicle*G81,0)*in_loan_vehicle_ticket*in_loan_vehicle_comm</f>
        <v/>
      </c>
      <c r="BY81" s="40">
        <f>BY80*(1-IF(B80&gt;=in_marketplace_from,d_hz_loan_home*G80,0)*BZ80)</f>
        <v/>
      </c>
      <c r="BZ81" s="11">
        <f>MIN(in_approval_cap,in_loan_home_approval*INDEX('Age profile'!$O$2:$O$61,B81)*(1+in_approval_growth)^(D81-1))</f>
        <v/>
      </c>
      <c r="CA81" s="14">
        <f>F81*BY81*IF(B81&gt;=in_marketplace_from,d_hz_loan_home*G81,0)*BZ81*in_loan_home_ticket*in_loan_home_comm</f>
        <v/>
      </c>
      <c r="CB81" s="40">
        <f>CB80*(1-IF(B80&gt;=in_marketplace_from,d_hz_loan_lap*G80,0)*CC80)</f>
        <v/>
      </c>
      <c r="CC81" s="11">
        <f>MIN(in_approval_cap,in_loan_lap_approval*INDEX('Age profile'!$O$2:$O$61,B81)*(1+in_approval_growth)^(D81-1))</f>
        <v/>
      </c>
      <c r="CD81" s="14">
        <f>F81*CB81*IF(B81&gt;=in_marketplace_from,d_hz_loan_lap*G81,0)*CC81*in_loan_lap_ticket*in_loan_lap_comm</f>
        <v/>
      </c>
      <c r="CE81" s="14">
        <f>AA81+AB81+AC81+AD81+AG81+AJ81+AM81+AP81+AS81+AU81+AX81+BB81+BE81+BG81+BJ81+BL81+BO81+BR81+BT81+BV81+BX81+CA81+CD81</f>
        <v/>
      </c>
    </row>
    <row r="82">
      <c r="A82" s="39" t="n">
        <v>2</v>
      </c>
      <c r="B82" s="39" t="n">
        <v>21</v>
      </c>
      <c r="C82" s="39">
        <f>A82+B82-1</f>
        <v/>
      </c>
      <c r="D82" s="39">
        <f>INT((C82-1)/12)+1</f>
        <v/>
      </c>
      <c r="E82" s="44">
        <f>INDEX(Monthly!$B$2:$B$61,A82)</f>
        <v/>
      </c>
      <c r="F82" s="44">
        <f>E82*INDEX('Age profile'!$B$2:$B$61,B82)</f>
        <v/>
      </c>
      <c r="G82" s="45">
        <f>MIN(in_takeup_cap,INDEX('Age profile'!$N$2:$N$61,B82)*(1+in_takeup_growth)^(D82-1))</f>
        <v/>
      </c>
      <c r="H82" s="11">
        <f>MIN(in_approval_cap,in_approved_first*INDEX('Age profile'!$O$2:$O$61,B82)*(1+in_approval_growth)^(D82-1))</f>
        <v/>
      </c>
      <c r="I82" s="45">
        <f>G82*MIN(in_takeup_cap,INDEX('Age profile'!$O$2:$O$61,B82)*(1+in_approval_growth)^(D82-1))</f>
        <v/>
      </c>
      <c r="J82" s="40">
        <f>(J81-L81)*F82/F81</f>
        <v/>
      </c>
      <c r="K82" s="40">
        <f>(K81-M81)*F82/F81+SUMIFS(O62:O81,B62:B81,B82-1-d_T)*F82</f>
        <v/>
      </c>
      <c r="L82" s="40">
        <f>IF(B82&gt;=in_marketplace_from,J82*d_hz*G82*in_eligible*H82,0)</f>
        <v/>
      </c>
      <c r="M82" s="40">
        <f>IF(B82&gt;=in_marketplace_from,K82*d_hz*G82*in_eligible*in_approved_repeat,0)</f>
        <v/>
      </c>
      <c r="N82" s="40">
        <f>L82+M82</f>
        <v/>
      </c>
      <c r="O82" s="46">
        <f>N82/F82</f>
        <v/>
      </c>
      <c r="P82" s="40">
        <f>F82-J82-K82</f>
        <v/>
      </c>
      <c r="Q82" s="40">
        <f>IF(B82&gt;=in_marketplace_from,(J82+K82)*d_hz*G82,0)</f>
        <v/>
      </c>
      <c r="R82" s="40">
        <f>SUMIFS(N62:N120,B62:B120,"&gt;="&amp;(B82-d_T),B62:B120,"&lt;="&amp;(B82-1))</f>
        <v/>
      </c>
      <c r="S82" s="46">
        <f>(1-d_u)*S81+IF(d_T&gt;in_topup_lag,SUMIFS(O62:O120,B62:B120,B82-in_topup_lag)-d_udrop*SUMIFS(O62:O120,B62:B120,B82-d_T),0)</f>
        <v/>
      </c>
      <c r="T82" s="40">
        <f>F82*d_u*S82</f>
        <v/>
      </c>
      <c r="U82" s="9">
        <f>L82*in_ticket+M82*d_rep_ticket</f>
        <v/>
      </c>
      <c r="V82" s="9">
        <f>U82+T82*d_topup_amt</f>
        <v/>
      </c>
      <c r="W82" s="40">
        <f>N82+T82*d_topup_ratio</f>
        <v/>
      </c>
      <c r="X82" s="40">
        <f>SUMIFS(W62:W120,B62:B120,B82-in_dpd_lag)*d_cured</f>
        <v/>
      </c>
      <c r="Y82" s="40">
        <f>SUMIFS(W62:W120,B62:B120,B82-in_rec_lag)*d_recd</f>
        <v/>
      </c>
      <c r="Z82" s="40">
        <f>IF(AND(B82&gt;=in_marketplace_from,B82&lt;in_marketplace_from+in_card_months),in_card_share/in_card_months*F82*I82,IF(AND(B82&gt;=in_marketplace_from+in_card_months,B82&lt;in_marketplace_from+2*in_card_months),in_card_share*d_card_rem/in_card_months*F82*MIN(in_takeup_cap,(1+in_takeup_growth)^(D82-1))*MIN(in_takeup_cap,(1+in_approval_growth)^(D82-1)),0))</f>
        <v/>
      </c>
      <c r="AA82" s="14">
        <f>V82*in_fee*(1-in_taken_back)</f>
        <v/>
      </c>
      <c r="AB82" s="14">
        <f>SUMIFS(W62:W120,B62:B120,B82-in_dpd_lag)*d_dpd</f>
        <v/>
      </c>
      <c r="AC82" s="14">
        <f>SUMIFS(W62:W120,B62:B120,B82-in_rec_lag)*d_rec</f>
        <v/>
      </c>
      <c r="AD82" s="14">
        <f>Z82*in_card_fee</f>
        <v/>
      </c>
      <c r="AE82" s="40">
        <f>AE81*(1-IF(B81&gt;=in_marketplace_from,d_hz_hlth_small*G81,0))</f>
        <v/>
      </c>
      <c r="AF82" s="46">
        <f>AE82*IF(B82&gt;=in_marketplace_from,d_hz_hlth_small*G82,0)</f>
        <v/>
      </c>
      <c r="AG82" s="14">
        <f>F82*AF82*in_hlth_small_ticket*in_hlth_small_comm*in_ins_partner_share+F82*in_hlth_small_ticket*in_hlth_small_renew_comm*in_ins_partner_share*(in_hlth_small_renew^1*SUMIFS(AF62:AF120,B62:B120,B82-12)+in_hlth_small_renew^2*SUMIFS(AF62:AF120,B62:B120,B82-24)+in_hlth_small_renew^3*SUMIFS(AF62:AF120,B62:B120,B82-36)+in_hlth_small_renew^4*SUMIFS(AF62:AF120,B62:B120,B82-48))</f>
        <v/>
      </c>
      <c r="AH82" s="40">
        <f>AH81*(1-IF(B81&gt;=in_marketplace_from,d_hz_hlth_family*G81,0))</f>
        <v/>
      </c>
      <c r="AI82" s="46">
        <f>AH82*IF(B82&gt;=in_marketplace_from,d_hz_hlth_family*G82,0)</f>
        <v/>
      </c>
      <c r="AJ82" s="14">
        <f>F82*AI82*in_hlth_family_ticket*in_hlth_family_comm*in_ins_partner_share+F82*in_hlth_family_ticket*in_hlth_family_renew_comm*in_ins_partner_share*(in_hlth_family_renew^1*SUMIFS(AI62:AI120,B62:B120,B82-12)+in_hlth_family_renew^2*SUMIFS(AI62:AI120,B62:B120,B82-24)+in_hlth_family_renew^3*SUMIFS(AI62:AI120,B62:B120,B82-36)+in_hlth_family_renew^4*SUMIFS(AI62:AI120,B62:B120,B82-48))</f>
        <v/>
      </c>
      <c r="AK82" s="40">
        <f>AK81*(1-IF(B81&gt;=in_marketplace_from,d_hz_life_term*G81,0))</f>
        <v/>
      </c>
      <c r="AL82" s="46">
        <f>AK82*IF(B82&gt;=in_marketplace_from,d_hz_life_term*G82,0)</f>
        <v/>
      </c>
      <c r="AM82" s="14">
        <f>F82*AL82*in_life_term_ticket*in_life_term_comm*in_ins_partner_share+F82*in_life_term_ticket*in_life_term_renew_comm*in_ins_partner_share*(in_life_term_renew^1*SUMIFS(AL62:AL120,B62:B120,B82-12)+in_life_term_renew^2*SUMIFS(AL62:AL120,B62:B120,B82-24)+in_life_term_renew^3*SUMIFS(AL62:AL120,B62:B120,B82-36)+in_life_term_renew^4*SUMIFS(AL62:AL120,B62:B120,B82-48))</f>
        <v/>
      </c>
      <c r="AN82" s="40">
        <f>AN81*(1-IF(B81&gt;=in_marketplace_from,d_hz_accident*G81,0))</f>
        <v/>
      </c>
      <c r="AO82" s="46">
        <f>AN82*IF(B82&gt;=in_marketplace_from,d_hz_accident*G82,0)</f>
        <v/>
      </c>
      <c r="AP82" s="14">
        <f>F82*AO82*in_accident_ticket*in_accident_comm*in_ins_partner_share+F82*in_accident_ticket*in_accident_renew_comm*in_ins_partner_share*(in_accident_renew^1*SUMIFS(AO62:AO120,B62:B120,B82-12)+in_accident_renew^2*SUMIFS(AO62:AO120,B62:B120,B82-24)+in_accident_renew^3*SUMIFS(AO62:AO120,B62:B120,B82-36)+in_accident_renew^4*SUMIFS(AO62:AO120,B62:B120,B82-48))</f>
        <v/>
      </c>
      <c r="AQ82" s="40">
        <f>AQ81*(1-IF(B81&gt;=in_marketplace_from,d_hz_two_wheeler*G81,0))</f>
        <v/>
      </c>
      <c r="AR82" s="46">
        <f>AQ82*IF(B82&gt;=in_marketplace_from,d_hz_two_wheeler*G82,0)</f>
        <v/>
      </c>
      <c r="AS82" s="14">
        <f>F82*AR82*in_two_wheeler_ticket*in_two_wheeler_comm*in_ins_partner_share+F82*in_two_wheeler_ticket*in_two_wheeler_comm*in_ins_partner_share*(in_two_wheeler_renew^1*SUMIFS(AR62:AR120,B62:B120,B82-12)+in_two_wheeler_renew^2*SUMIFS(AR62:AR120,B62:B120,B82-24)+in_two_wheeler_renew^3*SUMIFS(AR62:AR120,B62:B120,B82-36)+in_two_wheeler_renew^4*SUMIFS(AR62:AR120,B62:B120,B82-48))</f>
        <v/>
      </c>
      <c r="AT82" s="40">
        <f>AT81*(1-IF(B81&gt;=in_marketplace_from,d_hz_device*G81,0))</f>
        <v/>
      </c>
      <c r="AU82" s="14">
        <f>F82*AT82*IF(B82&gt;=in_marketplace_from,d_hz_device*G82,0)*in_device_ticket*in_device_comm*in_ins_partner_share</f>
        <v/>
      </c>
      <c r="AV82" s="40">
        <f>AV81*(1-IF(B81&gt;=in_marketplace_from,d_hz_shop*G81,0))</f>
        <v/>
      </c>
      <c r="AW82" s="46">
        <f>AV82*IF(B82&gt;=in_marketplace_from,d_hz_shop*G82,0)</f>
        <v/>
      </c>
      <c r="AX82" s="14">
        <f>F82*AW82*in_shop_ticket*in_shop_comm*in_ins_partner_share+F82*in_shop_ticket*in_shop_renew_comm*in_ins_partner_share*(in_shop_renew^1*SUMIFS(AW62:AW120,B62:B120,B82-12)+in_shop_renew^2*SUMIFS(AW62:AW120,B62:B120,B82-24)+in_shop_renew^3*SUMIFS(AW62:AW120,B62:B120,B82-36)+in_shop_renew^4*SUMIFS(AW62:AW120,B62:B120,B82-48))</f>
        <v/>
      </c>
      <c r="AY82" s="40">
        <f>AY81*(1-IF(B81&gt;=in_marketplace_from,d_hz_sip*G81,0))</f>
        <v/>
      </c>
      <c r="AZ82" s="40">
        <f>AZ81*d_rho_sip+AY82*IF(B82&gt;=in_marketplace_from,d_hz_sip*G82,0)</f>
        <v/>
      </c>
      <c r="BA82" s="40">
        <f>d_rho_sip*(BA81+AZ81)</f>
        <v/>
      </c>
      <c r="BB82" s="14">
        <f>F82*in_sip_ticket*(BA82+0.5*AZ82)*in_sip_comm/12</f>
        <v/>
      </c>
      <c r="BC82" s="40">
        <f>BC81*(1-IF(B81&gt;=in_marketplace_from,d_hz_choti*G81,0))</f>
        <v/>
      </c>
      <c r="BD82" s="46">
        <f>BC82*IF(B82&gt;=in_marketplace_from,d_hz_choti*G82,0)</f>
        <v/>
      </c>
      <c r="BE82" s="14">
        <f>F82*SUMIFS(BD62:BD120,B62:B120,B82-in_choti_months)*in_choti_renew*in_choti_ticket</f>
        <v/>
      </c>
      <c r="BF82" s="40">
        <f>BF81*(1-IF(B81&gt;=in_marketplace_from,d_hz_nps*G81,0))</f>
        <v/>
      </c>
      <c r="BG82" s="14">
        <f>F82*BF82*IF(B82&gt;=in_marketplace_from,d_hz_nps*G82,0)*in_nps_ticket*in_nps_comm</f>
        <v/>
      </c>
      <c r="BH82" s="40">
        <f>BH81*(1-IF(B81&gt;=in_marketplace_from,d_hz_gold*G81,0))</f>
        <v/>
      </c>
      <c r="BI82" s="40">
        <f>BI81*d_rho_gold+BH82*IF(B82&gt;=in_marketplace_from,d_hz_gold*G82,0)</f>
        <v/>
      </c>
      <c r="BJ82" s="14">
        <f>F82*BI82*in_gold_ticket*in_gold_comm</f>
        <v/>
      </c>
      <c r="BK82" s="40">
        <f>BK81*(1-IF(B81&gt;=in_marketplace_from,d_hz_fd*G81,0))</f>
        <v/>
      </c>
      <c r="BL82" s="14">
        <f>F82*BK82*IF(B82&gt;=in_marketplace_from,d_hz_fd*G82,0)*in_fd_ticket*in_fd_comm</f>
        <v/>
      </c>
      <c r="BM82" s="40">
        <f>BM81*(1-IF(B81&gt;=in_marketplace_from,d_hz_recharge*G81,0))</f>
        <v/>
      </c>
      <c r="BN82" s="40">
        <f>BN81*d_rho_recharge+BM82*IF(B82&gt;=in_marketplace_from,d_hz_recharge*G82,0)</f>
        <v/>
      </c>
      <c r="BO82" s="14">
        <f>F82*BN82*in_recharge_ticket*in_recharge_comm/12</f>
        <v/>
      </c>
      <c r="BP82" s="40">
        <f>BP81*(1-IF(B81&gt;=in_marketplace_from,d_hz_bills*G81,0))</f>
        <v/>
      </c>
      <c r="BQ82" s="40">
        <f>BQ81*d_rho_bills+BP82*IF(B82&gt;=in_marketplace_from,d_hz_bills*G82,0)</f>
        <v/>
      </c>
      <c r="BR82" s="14">
        <f>F82*BQ82*in_bills_ticket*in_bills_comm/12</f>
        <v/>
      </c>
      <c r="BS82" s="40">
        <f>BS81*(1-IF(B81&gt;=in_marketplace_from,d_hz_loan_gold*G81,0))</f>
        <v/>
      </c>
      <c r="BT82" s="14">
        <f>F82*BS82*IF(B82&gt;=in_marketplace_from,d_hz_loan_gold*G82,0)*in_loan_gold_ticket*in_loan_gold_comm</f>
        <v/>
      </c>
      <c r="BU82" s="40">
        <f>BU81*(1-IF(B81&gt;=in_marketplace_from,d_hz_loan_cd*G81,0))</f>
        <v/>
      </c>
      <c r="BV82" s="14">
        <f>F82*BU82*IF(B82&gt;=in_marketplace_from,d_hz_loan_cd*G82,0)*in_loan_cd_ticket*in_loan_cd_comm</f>
        <v/>
      </c>
      <c r="BW82" s="40">
        <f>BW81*(1-IF(B81&gt;=in_marketplace_from,d_hz_loan_vehicle*G81,0))</f>
        <v/>
      </c>
      <c r="BX82" s="14">
        <f>F82*BW82*IF(B82&gt;=in_marketplace_from,d_hz_loan_vehicle*G82,0)*in_loan_vehicle_ticket*in_loan_vehicle_comm</f>
        <v/>
      </c>
      <c r="BY82" s="40">
        <f>BY81*(1-IF(B81&gt;=in_marketplace_from,d_hz_loan_home*G81,0)*BZ81)</f>
        <v/>
      </c>
      <c r="BZ82" s="11">
        <f>MIN(in_approval_cap,in_loan_home_approval*INDEX('Age profile'!$O$2:$O$61,B82)*(1+in_approval_growth)^(D82-1))</f>
        <v/>
      </c>
      <c r="CA82" s="14">
        <f>F82*BY82*IF(B82&gt;=in_marketplace_from,d_hz_loan_home*G82,0)*BZ82*in_loan_home_ticket*in_loan_home_comm</f>
        <v/>
      </c>
      <c r="CB82" s="40">
        <f>CB81*(1-IF(B81&gt;=in_marketplace_from,d_hz_loan_lap*G81,0)*CC81)</f>
        <v/>
      </c>
      <c r="CC82" s="11">
        <f>MIN(in_approval_cap,in_loan_lap_approval*INDEX('Age profile'!$O$2:$O$61,B82)*(1+in_approval_growth)^(D82-1))</f>
        <v/>
      </c>
      <c r="CD82" s="14">
        <f>F82*CB82*IF(B82&gt;=in_marketplace_from,d_hz_loan_lap*G82,0)*CC82*in_loan_lap_ticket*in_loan_lap_comm</f>
        <v/>
      </c>
      <c r="CE82" s="14">
        <f>AA82+AB82+AC82+AD82+AG82+AJ82+AM82+AP82+AS82+AU82+AX82+BB82+BE82+BG82+BJ82+BL82+BO82+BR82+BT82+BV82+BX82+CA82+CD82</f>
        <v/>
      </c>
    </row>
    <row r="83">
      <c r="A83" s="39" t="n">
        <v>2</v>
      </c>
      <c r="B83" s="39" t="n">
        <v>22</v>
      </c>
      <c r="C83" s="39">
        <f>A83+B83-1</f>
        <v/>
      </c>
      <c r="D83" s="39">
        <f>INT((C83-1)/12)+1</f>
        <v/>
      </c>
      <c r="E83" s="44">
        <f>INDEX(Monthly!$B$2:$B$61,A83)</f>
        <v/>
      </c>
      <c r="F83" s="44">
        <f>E83*INDEX('Age profile'!$B$2:$B$61,B83)</f>
        <v/>
      </c>
      <c r="G83" s="45">
        <f>MIN(in_takeup_cap,INDEX('Age profile'!$N$2:$N$61,B83)*(1+in_takeup_growth)^(D83-1))</f>
        <v/>
      </c>
      <c r="H83" s="11">
        <f>MIN(in_approval_cap,in_approved_first*INDEX('Age profile'!$O$2:$O$61,B83)*(1+in_approval_growth)^(D83-1))</f>
        <v/>
      </c>
      <c r="I83" s="45">
        <f>G83*MIN(in_takeup_cap,INDEX('Age profile'!$O$2:$O$61,B83)*(1+in_approval_growth)^(D83-1))</f>
        <v/>
      </c>
      <c r="J83" s="40">
        <f>(J82-L82)*F83/F82</f>
        <v/>
      </c>
      <c r="K83" s="40">
        <f>(K82-M82)*F83/F82+SUMIFS(O62:O82,B62:B82,B83-1-d_T)*F83</f>
        <v/>
      </c>
      <c r="L83" s="40">
        <f>IF(B83&gt;=in_marketplace_from,J83*d_hz*G83*in_eligible*H83,0)</f>
        <v/>
      </c>
      <c r="M83" s="40">
        <f>IF(B83&gt;=in_marketplace_from,K83*d_hz*G83*in_eligible*in_approved_repeat,0)</f>
        <v/>
      </c>
      <c r="N83" s="40">
        <f>L83+M83</f>
        <v/>
      </c>
      <c r="O83" s="46">
        <f>N83/F83</f>
        <v/>
      </c>
      <c r="P83" s="40">
        <f>F83-J83-K83</f>
        <v/>
      </c>
      <c r="Q83" s="40">
        <f>IF(B83&gt;=in_marketplace_from,(J83+K83)*d_hz*G83,0)</f>
        <v/>
      </c>
      <c r="R83" s="40">
        <f>SUMIFS(N62:N120,B62:B120,"&gt;="&amp;(B83-d_T),B62:B120,"&lt;="&amp;(B83-1))</f>
        <v/>
      </c>
      <c r="S83" s="46">
        <f>(1-d_u)*S82+IF(d_T&gt;in_topup_lag,SUMIFS(O62:O120,B62:B120,B83-in_topup_lag)-d_udrop*SUMIFS(O62:O120,B62:B120,B83-d_T),0)</f>
        <v/>
      </c>
      <c r="T83" s="40">
        <f>F83*d_u*S83</f>
        <v/>
      </c>
      <c r="U83" s="9">
        <f>L83*in_ticket+M83*d_rep_ticket</f>
        <v/>
      </c>
      <c r="V83" s="9">
        <f>U83+T83*d_topup_amt</f>
        <v/>
      </c>
      <c r="W83" s="40">
        <f>N83+T83*d_topup_ratio</f>
        <v/>
      </c>
      <c r="X83" s="40">
        <f>SUMIFS(W62:W120,B62:B120,B83-in_dpd_lag)*d_cured</f>
        <v/>
      </c>
      <c r="Y83" s="40">
        <f>SUMIFS(W62:W120,B62:B120,B83-in_rec_lag)*d_recd</f>
        <v/>
      </c>
      <c r="Z83" s="40">
        <f>IF(AND(B83&gt;=in_marketplace_from,B83&lt;in_marketplace_from+in_card_months),in_card_share/in_card_months*F83*I83,IF(AND(B83&gt;=in_marketplace_from+in_card_months,B83&lt;in_marketplace_from+2*in_card_months),in_card_share*d_card_rem/in_card_months*F83*MIN(in_takeup_cap,(1+in_takeup_growth)^(D83-1))*MIN(in_takeup_cap,(1+in_approval_growth)^(D83-1)),0))</f>
        <v/>
      </c>
      <c r="AA83" s="14">
        <f>V83*in_fee*(1-in_taken_back)</f>
        <v/>
      </c>
      <c r="AB83" s="14">
        <f>SUMIFS(W62:W120,B62:B120,B83-in_dpd_lag)*d_dpd</f>
        <v/>
      </c>
      <c r="AC83" s="14">
        <f>SUMIFS(W62:W120,B62:B120,B83-in_rec_lag)*d_rec</f>
        <v/>
      </c>
      <c r="AD83" s="14">
        <f>Z83*in_card_fee</f>
        <v/>
      </c>
      <c r="AE83" s="40">
        <f>AE82*(1-IF(B82&gt;=in_marketplace_from,d_hz_hlth_small*G82,0))</f>
        <v/>
      </c>
      <c r="AF83" s="46">
        <f>AE83*IF(B83&gt;=in_marketplace_from,d_hz_hlth_small*G83,0)</f>
        <v/>
      </c>
      <c r="AG83" s="14">
        <f>F83*AF83*in_hlth_small_ticket*in_hlth_small_comm*in_ins_partner_share+F83*in_hlth_small_ticket*in_hlth_small_renew_comm*in_ins_partner_share*(in_hlth_small_renew^1*SUMIFS(AF62:AF120,B62:B120,B83-12)+in_hlth_small_renew^2*SUMIFS(AF62:AF120,B62:B120,B83-24)+in_hlth_small_renew^3*SUMIFS(AF62:AF120,B62:B120,B83-36)+in_hlth_small_renew^4*SUMIFS(AF62:AF120,B62:B120,B83-48))</f>
        <v/>
      </c>
      <c r="AH83" s="40">
        <f>AH82*(1-IF(B82&gt;=in_marketplace_from,d_hz_hlth_family*G82,0))</f>
        <v/>
      </c>
      <c r="AI83" s="46">
        <f>AH83*IF(B83&gt;=in_marketplace_from,d_hz_hlth_family*G83,0)</f>
        <v/>
      </c>
      <c r="AJ83" s="14">
        <f>F83*AI83*in_hlth_family_ticket*in_hlth_family_comm*in_ins_partner_share+F83*in_hlth_family_ticket*in_hlth_family_renew_comm*in_ins_partner_share*(in_hlth_family_renew^1*SUMIFS(AI62:AI120,B62:B120,B83-12)+in_hlth_family_renew^2*SUMIFS(AI62:AI120,B62:B120,B83-24)+in_hlth_family_renew^3*SUMIFS(AI62:AI120,B62:B120,B83-36)+in_hlth_family_renew^4*SUMIFS(AI62:AI120,B62:B120,B83-48))</f>
        <v/>
      </c>
      <c r="AK83" s="40">
        <f>AK82*(1-IF(B82&gt;=in_marketplace_from,d_hz_life_term*G82,0))</f>
        <v/>
      </c>
      <c r="AL83" s="46">
        <f>AK83*IF(B83&gt;=in_marketplace_from,d_hz_life_term*G83,0)</f>
        <v/>
      </c>
      <c r="AM83" s="14">
        <f>F83*AL83*in_life_term_ticket*in_life_term_comm*in_ins_partner_share+F83*in_life_term_ticket*in_life_term_renew_comm*in_ins_partner_share*(in_life_term_renew^1*SUMIFS(AL62:AL120,B62:B120,B83-12)+in_life_term_renew^2*SUMIFS(AL62:AL120,B62:B120,B83-24)+in_life_term_renew^3*SUMIFS(AL62:AL120,B62:B120,B83-36)+in_life_term_renew^4*SUMIFS(AL62:AL120,B62:B120,B83-48))</f>
        <v/>
      </c>
      <c r="AN83" s="40">
        <f>AN82*(1-IF(B82&gt;=in_marketplace_from,d_hz_accident*G82,0))</f>
        <v/>
      </c>
      <c r="AO83" s="46">
        <f>AN83*IF(B83&gt;=in_marketplace_from,d_hz_accident*G83,0)</f>
        <v/>
      </c>
      <c r="AP83" s="14">
        <f>F83*AO83*in_accident_ticket*in_accident_comm*in_ins_partner_share+F83*in_accident_ticket*in_accident_renew_comm*in_ins_partner_share*(in_accident_renew^1*SUMIFS(AO62:AO120,B62:B120,B83-12)+in_accident_renew^2*SUMIFS(AO62:AO120,B62:B120,B83-24)+in_accident_renew^3*SUMIFS(AO62:AO120,B62:B120,B83-36)+in_accident_renew^4*SUMIFS(AO62:AO120,B62:B120,B83-48))</f>
        <v/>
      </c>
      <c r="AQ83" s="40">
        <f>AQ82*(1-IF(B82&gt;=in_marketplace_from,d_hz_two_wheeler*G82,0))</f>
        <v/>
      </c>
      <c r="AR83" s="46">
        <f>AQ83*IF(B83&gt;=in_marketplace_from,d_hz_two_wheeler*G83,0)</f>
        <v/>
      </c>
      <c r="AS83" s="14">
        <f>F83*AR83*in_two_wheeler_ticket*in_two_wheeler_comm*in_ins_partner_share+F83*in_two_wheeler_ticket*in_two_wheeler_comm*in_ins_partner_share*(in_two_wheeler_renew^1*SUMIFS(AR62:AR120,B62:B120,B83-12)+in_two_wheeler_renew^2*SUMIFS(AR62:AR120,B62:B120,B83-24)+in_two_wheeler_renew^3*SUMIFS(AR62:AR120,B62:B120,B83-36)+in_two_wheeler_renew^4*SUMIFS(AR62:AR120,B62:B120,B83-48))</f>
        <v/>
      </c>
      <c r="AT83" s="40">
        <f>AT82*(1-IF(B82&gt;=in_marketplace_from,d_hz_device*G82,0))</f>
        <v/>
      </c>
      <c r="AU83" s="14">
        <f>F83*AT83*IF(B83&gt;=in_marketplace_from,d_hz_device*G83,0)*in_device_ticket*in_device_comm*in_ins_partner_share</f>
        <v/>
      </c>
      <c r="AV83" s="40">
        <f>AV82*(1-IF(B82&gt;=in_marketplace_from,d_hz_shop*G82,0))</f>
        <v/>
      </c>
      <c r="AW83" s="46">
        <f>AV83*IF(B83&gt;=in_marketplace_from,d_hz_shop*G83,0)</f>
        <v/>
      </c>
      <c r="AX83" s="14">
        <f>F83*AW83*in_shop_ticket*in_shop_comm*in_ins_partner_share+F83*in_shop_ticket*in_shop_renew_comm*in_ins_partner_share*(in_shop_renew^1*SUMIFS(AW62:AW120,B62:B120,B83-12)+in_shop_renew^2*SUMIFS(AW62:AW120,B62:B120,B83-24)+in_shop_renew^3*SUMIFS(AW62:AW120,B62:B120,B83-36)+in_shop_renew^4*SUMIFS(AW62:AW120,B62:B120,B83-48))</f>
        <v/>
      </c>
      <c r="AY83" s="40">
        <f>AY82*(1-IF(B82&gt;=in_marketplace_from,d_hz_sip*G82,0))</f>
        <v/>
      </c>
      <c r="AZ83" s="40">
        <f>AZ82*d_rho_sip+AY83*IF(B83&gt;=in_marketplace_from,d_hz_sip*G83,0)</f>
        <v/>
      </c>
      <c r="BA83" s="40">
        <f>d_rho_sip*(BA82+AZ82)</f>
        <v/>
      </c>
      <c r="BB83" s="14">
        <f>F83*in_sip_ticket*(BA83+0.5*AZ83)*in_sip_comm/12</f>
        <v/>
      </c>
      <c r="BC83" s="40">
        <f>BC82*(1-IF(B82&gt;=in_marketplace_from,d_hz_choti*G82,0))</f>
        <v/>
      </c>
      <c r="BD83" s="46">
        <f>BC83*IF(B83&gt;=in_marketplace_from,d_hz_choti*G83,0)</f>
        <v/>
      </c>
      <c r="BE83" s="14">
        <f>F83*SUMIFS(BD62:BD120,B62:B120,B83-in_choti_months)*in_choti_renew*in_choti_ticket</f>
        <v/>
      </c>
      <c r="BF83" s="40">
        <f>BF82*(1-IF(B82&gt;=in_marketplace_from,d_hz_nps*G82,0))</f>
        <v/>
      </c>
      <c r="BG83" s="14">
        <f>F83*BF83*IF(B83&gt;=in_marketplace_from,d_hz_nps*G83,0)*in_nps_ticket*in_nps_comm</f>
        <v/>
      </c>
      <c r="BH83" s="40">
        <f>BH82*(1-IF(B82&gt;=in_marketplace_from,d_hz_gold*G82,0))</f>
        <v/>
      </c>
      <c r="BI83" s="40">
        <f>BI82*d_rho_gold+BH83*IF(B83&gt;=in_marketplace_from,d_hz_gold*G83,0)</f>
        <v/>
      </c>
      <c r="BJ83" s="14">
        <f>F83*BI83*in_gold_ticket*in_gold_comm</f>
        <v/>
      </c>
      <c r="BK83" s="40">
        <f>BK82*(1-IF(B82&gt;=in_marketplace_from,d_hz_fd*G82,0))</f>
        <v/>
      </c>
      <c r="BL83" s="14">
        <f>F83*BK83*IF(B83&gt;=in_marketplace_from,d_hz_fd*G83,0)*in_fd_ticket*in_fd_comm</f>
        <v/>
      </c>
      <c r="BM83" s="40">
        <f>BM82*(1-IF(B82&gt;=in_marketplace_from,d_hz_recharge*G82,0))</f>
        <v/>
      </c>
      <c r="BN83" s="40">
        <f>BN82*d_rho_recharge+BM83*IF(B83&gt;=in_marketplace_from,d_hz_recharge*G83,0)</f>
        <v/>
      </c>
      <c r="BO83" s="14">
        <f>F83*BN83*in_recharge_ticket*in_recharge_comm/12</f>
        <v/>
      </c>
      <c r="BP83" s="40">
        <f>BP82*(1-IF(B82&gt;=in_marketplace_from,d_hz_bills*G82,0))</f>
        <v/>
      </c>
      <c r="BQ83" s="40">
        <f>BQ82*d_rho_bills+BP83*IF(B83&gt;=in_marketplace_from,d_hz_bills*G83,0)</f>
        <v/>
      </c>
      <c r="BR83" s="14">
        <f>F83*BQ83*in_bills_ticket*in_bills_comm/12</f>
        <v/>
      </c>
      <c r="BS83" s="40">
        <f>BS82*(1-IF(B82&gt;=in_marketplace_from,d_hz_loan_gold*G82,0))</f>
        <v/>
      </c>
      <c r="BT83" s="14">
        <f>F83*BS83*IF(B83&gt;=in_marketplace_from,d_hz_loan_gold*G83,0)*in_loan_gold_ticket*in_loan_gold_comm</f>
        <v/>
      </c>
      <c r="BU83" s="40">
        <f>BU82*(1-IF(B82&gt;=in_marketplace_from,d_hz_loan_cd*G82,0))</f>
        <v/>
      </c>
      <c r="BV83" s="14">
        <f>F83*BU83*IF(B83&gt;=in_marketplace_from,d_hz_loan_cd*G83,0)*in_loan_cd_ticket*in_loan_cd_comm</f>
        <v/>
      </c>
      <c r="BW83" s="40">
        <f>BW82*(1-IF(B82&gt;=in_marketplace_from,d_hz_loan_vehicle*G82,0))</f>
        <v/>
      </c>
      <c r="BX83" s="14">
        <f>F83*BW83*IF(B83&gt;=in_marketplace_from,d_hz_loan_vehicle*G83,0)*in_loan_vehicle_ticket*in_loan_vehicle_comm</f>
        <v/>
      </c>
      <c r="BY83" s="40">
        <f>BY82*(1-IF(B82&gt;=in_marketplace_from,d_hz_loan_home*G82,0)*BZ82)</f>
        <v/>
      </c>
      <c r="BZ83" s="11">
        <f>MIN(in_approval_cap,in_loan_home_approval*INDEX('Age profile'!$O$2:$O$61,B83)*(1+in_approval_growth)^(D83-1))</f>
        <v/>
      </c>
      <c r="CA83" s="14">
        <f>F83*BY83*IF(B83&gt;=in_marketplace_from,d_hz_loan_home*G83,0)*BZ83*in_loan_home_ticket*in_loan_home_comm</f>
        <v/>
      </c>
      <c r="CB83" s="40">
        <f>CB82*(1-IF(B82&gt;=in_marketplace_from,d_hz_loan_lap*G82,0)*CC82)</f>
        <v/>
      </c>
      <c r="CC83" s="11">
        <f>MIN(in_approval_cap,in_loan_lap_approval*INDEX('Age profile'!$O$2:$O$61,B83)*(1+in_approval_growth)^(D83-1))</f>
        <v/>
      </c>
      <c r="CD83" s="14">
        <f>F83*CB83*IF(B83&gt;=in_marketplace_from,d_hz_loan_lap*G83,0)*CC83*in_loan_lap_ticket*in_loan_lap_comm</f>
        <v/>
      </c>
      <c r="CE83" s="14">
        <f>AA83+AB83+AC83+AD83+AG83+AJ83+AM83+AP83+AS83+AU83+AX83+BB83+BE83+BG83+BJ83+BL83+BO83+BR83+BT83+BV83+BX83+CA83+CD83</f>
        <v/>
      </c>
    </row>
    <row r="84">
      <c r="A84" s="39" t="n">
        <v>2</v>
      </c>
      <c r="B84" s="39" t="n">
        <v>23</v>
      </c>
      <c r="C84" s="39">
        <f>A84+B84-1</f>
        <v/>
      </c>
      <c r="D84" s="39">
        <f>INT((C84-1)/12)+1</f>
        <v/>
      </c>
      <c r="E84" s="44">
        <f>INDEX(Monthly!$B$2:$B$61,A84)</f>
        <v/>
      </c>
      <c r="F84" s="44">
        <f>E84*INDEX('Age profile'!$B$2:$B$61,B84)</f>
        <v/>
      </c>
      <c r="G84" s="45">
        <f>MIN(in_takeup_cap,INDEX('Age profile'!$N$2:$N$61,B84)*(1+in_takeup_growth)^(D84-1))</f>
        <v/>
      </c>
      <c r="H84" s="11">
        <f>MIN(in_approval_cap,in_approved_first*INDEX('Age profile'!$O$2:$O$61,B84)*(1+in_approval_growth)^(D84-1))</f>
        <v/>
      </c>
      <c r="I84" s="45">
        <f>G84*MIN(in_takeup_cap,INDEX('Age profile'!$O$2:$O$61,B84)*(1+in_approval_growth)^(D84-1))</f>
        <v/>
      </c>
      <c r="J84" s="40">
        <f>(J83-L83)*F84/F83</f>
        <v/>
      </c>
      <c r="K84" s="40">
        <f>(K83-M83)*F84/F83+SUMIFS(O62:O83,B62:B83,B84-1-d_T)*F84</f>
        <v/>
      </c>
      <c r="L84" s="40">
        <f>IF(B84&gt;=in_marketplace_from,J84*d_hz*G84*in_eligible*H84,0)</f>
        <v/>
      </c>
      <c r="M84" s="40">
        <f>IF(B84&gt;=in_marketplace_from,K84*d_hz*G84*in_eligible*in_approved_repeat,0)</f>
        <v/>
      </c>
      <c r="N84" s="40">
        <f>L84+M84</f>
        <v/>
      </c>
      <c r="O84" s="46">
        <f>N84/F84</f>
        <v/>
      </c>
      <c r="P84" s="40">
        <f>F84-J84-K84</f>
        <v/>
      </c>
      <c r="Q84" s="40">
        <f>IF(B84&gt;=in_marketplace_from,(J84+K84)*d_hz*G84,0)</f>
        <v/>
      </c>
      <c r="R84" s="40">
        <f>SUMIFS(N62:N120,B62:B120,"&gt;="&amp;(B84-d_T),B62:B120,"&lt;="&amp;(B84-1))</f>
        <v/>
      </c>
      <c r="S84" s="46">
        <f>(1-d_u)*S83+IF(d_T&gt;in_topup_lag,SUMIFS(O62:O120,B62:B120,B84-in_topup_lag)-d_udrop*SUMIFS(O62:O120,B62:B120,B84-d_T),0)</f>
        <v/>
      </c>
      <c r="T84" s="40">
        <f>F84*d_u*S84</f>
        <v/>
      </c>
      <c r="U84" s="9">
        <f>L84*in_ticket+M84*d_rep_ticket</f>
        <v/>
      </c>
      <c r="V84" s="9">
        <f>U84+T84*d_topup_amt</f>
        <v/>
      </c>
      <c r="W84" s="40">
        <f>N84+T84*d_topup_ratio</f>
        <v/>
      </c>
      <c r="X84" s="40">
        <f>SUMIFS(W62:W120,B62:B120,B84-in_dpd_lag)*d_cured</f>
        <v/>
      </c>
      <c r="Y84" s="40">
        <f>SUMIFS(W62:W120,B62:B120,B84-in_rec_lag)*d_recd</f>
        <v/>
      </c>
      <c r="Z84" s="40">
        <f>IF(AND(B84&gt;=in_marketplace_from,B84&lt;in_marketplace_from+in_card_months),in_card_share/in_card_months*F84*I84,IF(AND(B84&gt;=in_marketplace_from+in_card_months,B84&lt;in_marketplace_from+2*in_card_months),in_card_share*d_card_rem/in_card_months*F84*MIN(in_takeup_cap,(1+in_takeup_growth)^(D84-1))*MIN(in_takeup_cap,(1+in_approval_growth)^(D84-1)),0))</f>
        <v/>
      </c>
      <c r="AA84" s="14">
        <f>V84*in_fee*(1-in_taken_back)</f>
        <v/>
      </c>
      <c r="AB84" s="14">
        <f>SUMIFS(W62:W120,B62:B120,B84-in_dpd_lag)*d_dpd</f>
        <v/>
      </c>
      <c r="AC84" s="14">
        <f>SUMIFS(W62:W120,B62:B120,B84-in_rec_lag)*d_rec</f>
        <v/>
      </c>
      <c r="AD84" s="14">
        <f>Z84*in_card_fee</f>
        <v/>
      </c>
      <c r="AE84" s="40">
        <f>AE83*(1-IF(B83&gt;=in_marketplace_from,d_hz_hlth_small*G83,0))</f>
        <v/>
      </c>
      <c r="AF84" s="46">
        <f>AE84*IF(B84&gt;=in_marketplace_from,d_hz_hlth_small*G84,0)</f>
        <v/>
      </c>
      <c r="AG84" s="14">
        <f>F84*AF84*in_hlth_small_ticket*in_hlth_small_comm*in_ins_partner_share+F84*in_hlth_small_ticket*in_hlth_small_renew_comm*in_ins_partner_share*(in_hlth_small_renew^1*SUMIFS(AF62:AF120,B62:B120,B84-12)+in_hlth_small_renew^2*SUMIFS(AF62:AF120,B62:B120,B84-24)+in_hlth_small_renew^3*SUMIFS(AF62:AF120,B62:B120,B84-36)+in_hlth_small_renew^4*SUMIFS(AF62:AF120,B62:B120,B84-48))</f>
        <v/>
      </c>
      <c r="AH84" s="40">
        <f>AH83*(1-IF(B83&gt;=in_marketplace_from,d_hz_hlth_family*G83,0))</f>
        <v/>
      </c>
      <c r="AI84" s="46">
        <f>AH84*IF(B84&gt;=in_marketplace_from,d_hz_hlth_family*G84,0)</f>
        <v/>
      </c>
      <c r="AJ84" s="14">
        <f>F84*AI84*in_hlth_family_ticket*in_hlth_family_comm*in_ins_partner_share+F84*in_hlth_family_ticket*in_hlth_family_renew_comm*in_ins_partner_share*(in_hlth_family_renew^1*SUMIFS(AI62:AI120,B62:B120,B84-12)+in_hlth_family_renew^2*SUMIFS(AI62:AI120,B62:B120,B84-24)+in_hlth_family_renew^3*SUMIFS(AI62:AI120,B62:B120,B84-36)+in_hlth_family_renew^4*SUMIFS(AI62:AI120,B62:B120,B84-48))</f>
        <v/>
      </c>
      <c r="AK84" s="40">
        <f>AK83*(1-IF(B83&gt;=in_marketplace_from,d_hz_life_term*G83,0))</f>
        <v/>
      </c>
      <c r="AL84" s="46">
        <f>AK84*IF(B84&gt;=in_marketplace_from,d_hz_life_term*G84,0)</f>
        <v/>
      </c>
      <c r="AM84" s="14">
        <f>F84*AL84*in_life_term_ticket*in_life_term_comm*in_ins_partner_share+F84*in_life_term_ticket*in_life_term_renew_comm*in_ins_partner_share*(in_life_term_renew^1*SUMIFS(AL62:AL120,B62:B120,B84-12)+in_life_term_renew^2*SUMIFS(AL62:AL120,B62:B120,B84-24)+in_life_term_renew^3*SUMIFS(AL62:AL120,B62:B120,B84-36)+in_life_term_renew^4*SUMIFS(AL62:AL120,B62:B120,B84-48))</f>
        <v/>
      </c>
      <c r="AN84" s="40">
        <f>AN83*(1-IF(B83&gt;=in_marketplace_from,d_hz_accident*G83,0))</f>
        <v/>
      </c>
      <c r="AO84" s="46">
        <f>AN84*IF(B84&gt;=in_marketplace_from,d_hz_accident*G84,0)</f>
        <v/>
      </c>
      <c r="AP84" s="14">
        <f>F84*AO84*in_accident_ticket*in_accident_comm*in_ins_partner_share+F84*in_accident_ticket*in_accident_renew_comm*in_ins_partner_share*(in_accident_renew^1*SUMIFS(AO62:AO120,B62:B120,B84-12)+in_accident_renew^2*SUMIFS(AO62:AO120,B62:B120,B84-24)+in_accident_renew^3*SUMIFS(AO62:AO120,B62:B120,B84-36)+in_accident_renew^4*SUMIFS(AO62:AO120,B62:B120,B84-48))</f>
        <v/>
      </c>
      <c r="AQ84" s="40">
        <f>AQ83*(1-IF(B83&gt;=in_marketplace_from,d_hz_two_wheeler*G83,0))</f>
        <v/>
      </c>
      <c r="AR84" s="46">
        <f>AQ84*IF(B84&gt;=in_marketplace_from,d_hz_two_wheeler*G84,0)</f>
        <v/>
      </c>
      <c r="AS84" s="14">
        <f>F84*AR84*in_two_wheeler_ticket*in_two_wheeler_comm*in_ins_partner_share+F84*in_two_wheeler_ticket*in_two_wheeler_comm*in_ins_partner_share*(in_two_wheeler_renew^1*SUMIFS(AR62:AR120,B62:B120,B84-12)+in_two_wheeler_renew^2*SUMIFS(AR62:AR120,B62:B120,B84-24)+in_two_wheeler_renew^3*SUMIFS(AR62:AR120,B62:B120,B84-36)+in_two_wheeler_renew^4*SUMIFS(AR62:AR120,B62:B120,B84-48))</f>
        <v/>
      </c>
      <c r="AT84" s="40">
        <f>AT83*(1-IF(B83&gt;=in_marketplace_from,d_hz_device*G83,0))</f>
        <v/>
      </c>
      <c r="AU84" s="14">
        <f>F84*AT84*IF(B84&gt;=in_marketplace_from,d_hz_device*G84,0)*in_device_ticket*in_device_comm*in_ins_partner_share</f>
        <v/>
      </c>
      <c r="AV84" s="40">
        <f>AV83*(1-IF(B83&gt;=in_marketplace_from,d_hz_shop*G83,0))</f>
        <v/>
      </c>
      <c r="AW84" s="46">
        <f>AV84*IF(B84&gt;=in_marketplace_from,d_hz_shop*G84,0)</f>
        <v/>
      </c>
      <c r="AX84" s="14">
        <f>F84*AW84*in_shop_ticket*in_shop_comm*in_ins_partner_share+F84*in_shop_ticket*in_shop_renew_comm*in_ins_partner_share*(in_shop_renew^1*SUMIFS(AW62:AW120,B62:B120,B84-12)+in_shop_renew^2*SUMIFS(AW62:AW120,B62:B120,B84-24)+in_shop_renew^3*SUMIFS(AW62:AW120,B62:B120,B84-36)+in_shop_renew^4*SUMIFS(AW62:AW120,B62:B120,B84-48))</f>
        <v/>
      </c>
      <c r="AY84" s="40">
        <f>AY83*(1-IF(B83&gt;=in_marketplace_from,d_hz_sip*G83,0))</f>
        <v/>
      </c>
      <c r="AZ84" s="40">
        <f>AZ83*d_rho_sip+AY84*IF(B84&gt;=in_marketplace_from,d_hz_sip*G84,0)</f>
        <v/>
      </c>
      <c r="BA84" s="40">
        <f>d_rho_sip*(BA83+AZ83)</f>
        <v/>
      </c>
      <c r="BB84" s="14">
        <f>F84*in_sip_ticket*(BA84+0.5*AZ84)*in_sip_comm/12</f>
        <v/>
      </c>
      <c r="BC84" s="40">
        <f>BC83*(1-IF(B83&gt;=in_marketplace_from,d_hz_choti*G83,0))</f>
        <v/>
      </c>
      <c r="BD84" s="46">
        <f>BC84*IF(B84&gt;=in_marketplace_from,d_hz_choti*G84,0)</f>
        <v/>
      </c>
      <c r="BE84" s="14">
        <f>F84*SUMIFS(BD62:BD120,B62:B120,B84-in_choti_months)*in_choti_renew*in_choti_ticket</f>
        <v/>
      </c>
      <c r="BF84" s="40">
        <f>BF83*(1-IF(B83&gt;=in_marketplace_from,d_hz_nps*G83,0))</f>
        <v/>
      </c>
      <c r="BG84" s="14">
        <f>F84*BF84*IF(B84&gt;=in_marketplace_from,d_hz_nps*G84,0)*in_nps_ticket*in_nps_comm</f>
        <v/>
      </c>
      <c r="BH84" s="40">
        <f>BH83*(1-IF(B83&gt;=in_marketplace_from,d_hz_gold*G83,0))</f>
        <v/>
      </c>
      <c r="BI84" s="40">
        <f>BI83*d_rho_gold+BH84*IF(B84&gt;=in_marketplace_from,d_hz_gold*G84,0)</f>
        <v/>
      </c>
      <c r="BJ84" s="14">
        <f>F84*BI84*in_gold_ticket*in_gold_comm</f>
        <v/>
      </c>
      <c r="BK84" s="40">
        <f>BK83*(1-IF(B83&gt;=in_marketplace_from,d_hz_fd*G83,0))</f>
        <v/>
      </c>
      <c r="BL84" s="14">
        <f>F84*BK84*IF(B84&gt;=in_marketplace_from,d_hz_fd*G84,0)*in_fd_ticket*in_fd_comm</f>
        <v/>
      </c>
      <c r="BM84" s="40">
        <f>BM83*(1-IF(B83&gt;=in_marketplace_from,d_hz_recharge*G83,0))</f>
        <v/>
      </c>
      <c r="BN84" s="40">
        <f>BN83*d_rho_recharge+BM84*IF(B84&gt;=in_marketplace_from,d_hz_recharge*G84,0)</f>
        <v/>
      </c>
      <c r="BO84" s="14">
        <f>F84*BN84*in_recharge_ticket*in_recharge_comm/12</f>
        <v/>
      </c>
      <c r="BP84" s="40">
        <f>BP83*(1-IF(B83&gt;=in_marketplace_from,d_hz_bills*G83,0))</f>
        <v/>
      </c>
      <c r="BQ84" s="40">
        <f>BQ83*d_rho_bills+BP84*IF(B84&gt;=in_marketplace_from,d_hz_bills*G84,0)</f>
        <v/>
      </c>
      <c r="BR84" s="14">
        <f>F84*BQ84*in_bills_ticket*in_bills_comm/12</f>
        <v/>
      </c>
      <c r="BS84" s="40">
        <f>BS83*(1-IF(B83&gt;=in_marketplace_from,d_hz_loan_gold*G83,0))</f>
        <v/>
      </c>
      <c r="BT84" s="14">
        <f>F84*BS84*IF(B84&gt;=in_marketplace_from,d_hz_loan_gold*G84,0)*in_loan_gold_ticket*in_loan_gold_comm</f>
        <v/>
      </c>
      <c r="BU84" s="40">
        <f>BU83*(1-IF(B83&gt;=in_marketplace_from,d_hz_loan_cd*G83,0))</f>
        <v/>
      </c>
      <c r="BV84" s="14">
        <f>F84*BU84*IF(B84&gt;=in_marketplace_from,d_hz_loan_cd*G84,0)*in_loan_cd_ticket*in_loan_cd_comm</f>
        <v/>
      </c>
      <c r="BW84" s="40">
        <f>BW83*(1-IF(B83&gt;=in_marketplace_from,d_hz_loan_vehicle*G83,0))</f>
        <v/>
      </c>
      <c r="BX84" s="14">
        <f>F84*BW84*IF(B84&gt;=in_marketplace_from,d_hz_loan_vehicle*G84,0)*in_loan_vehicle_ticket*in_loan_vehicle_comm</f>
        <v/>
      </c>
      <c r="BY84" s="40">
        <f>BY83*(1-IF(B83&gt;=in_marketplace_from,d_hz_loan_home*G83,0)*BZ83)</f>
        <v/>
      </c>
      <c r="BZ84" s="11">
        <f>MIN(in_approval_cap,in_loan_home_approval*INDEX('Age profile'!$O$2:$O$61,B84)*(1+in_approval_growth)^(D84-1))</f>
        <v/>
      </c>
      <c r="CA84" s="14">
        <f>F84*BY84*IF(B84&gt;=in_marketplace_from,d_hz_loan_home*G84,0)*BZ84*in_loan_home_ticket*in_loan_home_comm</f>
        <v/>
      </c>
      <c r="CB84" s="40">
        <f>CB83*(1-IF(B83&gt;=in_marketplace_from,d_hz_loan_lap*G83,0)*CC83)</f>
        <v/>
      </c>
      <c r="CC84" s="11">
        <f>MIN(in_approval_cap,in_loan_lap_approval*INDEX('Age profile'!$O$2:$O$61,B84)*(1+in_approval_growth)^(D84-1))</f>
        <v/>
      </c>
      <c r="CD84" s="14">
        <f>F84*CB84*IF(B84&gt;=in_marketplace_from,d_hz_loan_lap*G84,0)*CC84*in_loan_lap_ticket*in_loan_lap_comm</f>
        <v/>
      </c>
      <c r="CE84" s="14">
        <f>AA84+AB84+AC84+AD84+AG84+AJ84+AM84+AP84+AS84+AU84+AX84+BB84+BE84+BG84+BJ84+BL84+BO84+BR84+BT84+BV84+BX84+CA84+CD84</f>
        <v/>
      </c>
    </row>
    <row r="85">
      <c r="A85" s="39" t="n">
        <v>2</v>
      </c>
      <c r="B85" s="39" t="n">
        <v>24</v>
      </c>
      <c r="C85" s="39">
        <f>A85+B85-1</f>
        <v/>
      </c>
      <c r="D85" s="39">
        <f>INT((C85-1)/12)+1</f>
        <v/>
      </c>
      <c r="E85" s="44">
        <f>INDEX(Monthly!$B$2:$B$61,A85)</f>
        <v/>
      </c>
      <c r="F85" s="44">
        <f>E85*INDEX('Age profile'!$B$2:$B$61,B85)</f>
        <v/>
      </c>
      <c r="G85" s="45">
        <f>MIN(in_takeup_cap,INDEX('Age profile'!$N$2:$N$61,B85)*(1+in_takeup_growth)^(D85-1))</f>
        <v/>
      </c>
      <c r="H85" s="11">
        <f>MIN(in_approval_cap,in_approved_first*INDEX('Age profile'!$O$2:$O$61,B85)*(1+in_approval_growth)^(D85-1))</f>
        <v/>
      </c>
      <c r="I85" s="45">
        <f>G85*MIN(in_takeup_cap,INDEX('Age profile'!$O$2:$O$61,B85)*(1+in_approval_growth)^(D85-1))</f>
        <v/>
      </c>
      <c r="J85" s="40">
        <f>(J84-L84)*F85/F84</f>
        <v/>
      </c>
      <c r="K85" s="40">
        <f>(K84-M84)*F85/F84+SUMIFS(O62:O84,B62:B84,B85-1-d_T)*F85</f>
        <v/>
      </c>
      <c r="L85" s="40">
        <f>IF(B85&gt;=in_marketplace_from,J85*d_hz*G85*in_eligible*H85,0)</f>
        <v/>
      </c>
      <c r="M85" s="40">
        <f>IF(B85&gt;=in_marketplace_from,K85*d_hz*G85*in_eligible*in_approved_repeat,0)</f>
        <v/>
      </c>
      <c r="N85" s="40">
        <f>L85+M85</f>
        <v/>
      </c>
      <c r="O85" s="46">
        <f>N85/F85</f>
        <v/>
      </c>
      <c r="P85" s="40">
        <f>F85-J85-K85</f>
        <v/>
      </c>
      <c r="Q85" s="40">
        <f>IF(B85&gt;=in_marketplace_from,(J85+K85)*d_hz*G85,0)</f>
        <v/>
      </c>
      <c r="R85" s="40">
        <f>SUMIFS(N62:N120,B62:B120,"&gt;="&amp;(B85-d_T),B62:B120,"&lt;="&amp;(B85-1))</f>
        <v/>
      </c>
      <c r="S85" s="46">
        <f>(1-d_u)*S84+IF(d_T&gt;in_topup_lag,SUMIFS(O62:O120,B62:B120,B85-in_topup_lag)-d_udrop*SUMIFS(O62:O120,B62:B120,B85-d_T),0)</f>
        <v/>
      </c>
      <c r="T85" s="40">
        <f>F85*d_u*S85</f>
        <v/>
      </c>
      <c r="U85" s="9">
        <f>L85*in_ticket+M85*d_rep_ticket</f>
        <v/>
      </c>
      <c r="V85" s="9">
        <f>U85+T85*d_topup_amt</f>
        <v/>
      </c>
      <c r="W85" s="40">
        <f>N85+T85*d_topup_ratio</f>
        <v/>
      </c>
      <c r="X85" s="40">
        <f>SUMIFS(W62:W120,B62:B120,B85-in_dpd_lag)*d_cured</f>
        <v/>
      </c>
      <c r="Y85" s="40">
        <f>SUMIFS(W62:W120,B62:B120,B85-in_rec_lag)*d_recd</f>
        <v/>
      </c>
      <c r="Z85" s="40">
        <f>IF(AND(B85&gt;=in_marketplace_from,B85&lt;in_marketplace_from+in_card_months),in_card_share/in_card_months*F85*I85,IF(AND(B85&gt;=in_marketplace_from+in_card_months,B85&lt;in_marketplace_from+2*in_card_months),in_card_share*d_card_rem/in_card_months*F85*MIN(in_takeup_cap,(1+in_takeup_growth)^(D85-1))*MIN(in_takeup_cap,(1+in_approval_growth)^(D85-1)),0))</f>
        <v/>
      </c>
      <c r="AA85" s="14">
        <f>V85*in_fee*(1-in_taken_back)</f>
        <v/>
      </c>
      <c r="AB85" s="14">
        <f>SUMIFS(W62:W120,B62:B120,B85-in_dpd_lag)*d_dpd</f>
        <v/>
      </c>
      <c r="AC85" s="14">
        <f>SUMIFS(W62:W120,B62:B120,B85-in_rec_lag)*d_rec</f>
        <v/>
      </c>
      <c r="AD85" s="14">
        <f>Z85*in_card_fee</f>
        <v/>
      </c>
      <c r="AE85" s="40">
        <f>AE84*(1-IF(B84&gt;=in_marketplace_from,d_hz_hlth_small*G84,0))</f>
        <v/>
      </c>
      <c r="AF85" s="46">
        <f>AE85*IF(B85&gt;=in_marketplace_from,d_hz_hlth_small*G85,0)</f>
        <v/>
      </c>
      <c r="AG85" s="14">
        <f>F85*AF85*in_hlth_small_ticket*in_hlth_small_comm*in_ins_partner_share+F85*in_hlth_small_ticket*in_hlth_small_renew_comm*in_ins_partner_share*(in_hlth_small_renew^1*SUMIFS(AF62:AF120,B62:B120,B85-12)+in_hlth_small_renew^2*SUMIFS(AF62:AF120,B62:B120,B85-24)+in_hlth_small_renew^3*SUMIFS(AF62:AF120,B62:B120,B85-36)+in_hlth_small_renew^4*SUMIFS(AF62:AF120,B62:B120,B85-48))</f>
        <v/>
      </c>
      <c r="AH85" s="40">
        <f>AH84*(1-IF(B84&gt;=in_marketplace_from,d_hz_hlth_family*G84,0))</f>
        <v/>
      </c>
      <c r="AI85" s="46">
        <f>AH85*IF(B85&gt;=in_marketplace_from,d_hz_hlth_family*G85,0)</f>
        <v/>
      </c>
      <c r="AJ85" s="14">
        <f>F85*AI85*in_hlth_family_ticket*in_hlth_family_comm*in_ins_partner_share+F85*in_hlth_family_ticket*in_hlth_family_renew_comm*in_ins_partner_share*(in_hlth_family_renew^1*SUMIFS(AI62:AI120,B62:B120,B85-12)+in_hlth_family_renew^2*SUMIFS(AI62:AI120,B62:B120,B85-24)+in_hlth_family_renew^3*SUMIFS(AI62:AI120,B62:B120,B85-36)+in_hlth_family_renew^4*SUMIFS(AI62:AI120,B62:B120,B85-48))</f>
        <v/>
      </c>
      <c r="AK85" s="40">
        <f>AK84*(1-IF(B84&gt;=in_marketplace_from,d_hz_life_term*G84,0))</f>
        <v/>
      </c>
      <c r="AL85" s="46">
        <f>AK85*IF(B85&gt;=in_marketplace_from,d_hz_life_term*G85,0)</f>
        <v/>
      </c>
      <c r="AM85" s="14">
        <f>F85*AL85*in_life_term_ticket*in_life_term_comm*in_ins_partner_share+F85*in_life_term_ticket*in_life_term_renew_comm*in_ins_partner_share*(in_life_term_renew^1*SUMIFS(AL62:AL120,B62:B120,B85-12)+in_life_term_renew^2*SUMIFS(AL62:AL120,B62:B120,B85-24)+in_life_term_renew^3*SUMIFS(AL62:AL120,B62:B120,B85-36)+in_life_term_renew^4*SUMIFS(AL62:AL120,B62:B120,B85-48))</f>
        <v/>
      </c>
      <c r="AN85" s="40">
        <f>AN84*(1-IF(B84&gt;=in_marketplace_from,d_hz_accident*G84,0))</f>
        <v/>
      </c>
      <c r="AO85" s="46">
        <f>AN85*IF(B85&gt;=in_marketplace_from,d_hz_accident*G85,0)</f>
        <v/>
      </c>
      <c r="AP85" s="14">
        <f>F85*AO85*in_accident_ticket*in_accident_comm*in_ins_partner_share+F85*in_accident_ticket*in_accident_renew_comm*in_ins_partner_share*(in_accident_renew^1*SUMIFS(AO62:AO120,B62:B120,B85-12)+in_accident_renew^2*SUMIFS(AO62:AO120,B62:B120,B85-24)+in_accident_renew^3*SUMIFS(AO62:AO120,B62:B120,B85-36)+in_accident_renew^4*SUMIFS(AO62:AO120,B62:B120,B85-48))</f>
        <v/>
      </c>
      <c r="AQ85" s="40">
        <f>AQ84*(1-IF(B84&gt;=in_marketplace_from,d_hz_two_wheeler*G84,0))</f>
        <v/>
      </c>
      <c r="AR85" s="46">
        <f>AQ85*IF(B85&gt;=in_marketplace_from,d_hz_two_wheeler*G85,0)</f>
        <v/>
      </c>
      <c r="AS85" s="14">
        <f>F85*AR85*in_two_wheeler_ticket*in_two_wheeler_comm*in_ins_partner_share+F85*in_two_wheeler_ticket*in_two_wheeler_comm*in_ins_partner_share*(in_two_wheeler_renew^1*SUMIFS(AR62:AR120,B62:B120,B85-12)+in_two_wheeler_renew^2*SUMIFS(AR62:AR120,B62:B120,B85-24)+in_two_wheeler_renew^3*SUMIFS(AR62:AR120,B62:B120,B85-36)+in_two_wheeler_renew^4*SUMIFS(AR62:AR120,B62:B120,B85-48))</f>
        <v/>
      </c>
      <c r="AT85" s="40">
        <f>AT84*(1-IF(B84&gt;=in_marketplace_from,d_hz_device*G84,0))</f>
        <v/>
      </c>
      <c r="AU85" s="14">
        <f>F85*AT85*IF(B85&gt;=in_marketplace_from,d_hz_device*G85,0)*in_device_ticket*in_device_comm*in_ins_partner_share</f>
        <v/>
      </c>
      <c r="AV85" s="40">
        <f>AV84*(1-IF(B84&gt;=in_marketplace_from,d_hz_shop*G84,0))</f>
        <v/>
      </c>
      <c r="AW85" s="46">
        <f>AV85*IF(B85&gt;=in_marketplace_from,d_hz_shop*G85,0)</f>
        <v/>
      </c>
      <c r="AX85" s="14">
        <f>F85*AW85*in_shop_ticket*in_shop_comm*in_ins_partner_share+F85*in_shop_ticket*in_shop_renew_comm*in_ins_partner_share*(in_shop_renew^1*SUMIFS(AW62:AW120,B62:B120,B85-12)+in_shop_renew^2*SUMIFS(AW62:AW120,B62:B120,B85-24)+in_shop_renew^3*SUMIFS(AW62:AW120,B62:B120,B85-36)+in_shop_renew^4*SUMIFS(AW62:AW120,B62:B120,B85-48))</f>
        <v/>
      </c>
      <c r="AY85" s="40">
        <f>AY84*(1-IF(B84&gt;=in_marketplace_from,d_hz_sip*G84,0))</f>
        <v/>
      </c>
      <c r="AZ85" s="40">
        <f>AZ84*d_rho_sip+AY85*IF(B85&gt;=in_marketplace_from,d_hz_sip*G85,0)</f>
        <v/>
      </c>
      <c r="BA85" s="40">
        <f>d_rho_sip*(BA84+AZ84)</f>
        <v/>
      </c>
      <c r="BB85" s="14">
        <f>F85*in_sip_ticket*(BA85+0.5*AZ85)*in_sip_comm/12</f>
        <v/>
      </c>
      <c r="BC85" s="40">
        <f>BC84*(1-IF(B84&gt;=in_marketplace_from,d_hz_choti*G84,0))</f>
        <v/>
      </c>
      <c r="BD85" s="46">
        <f>BC85*IF(B85&gt;=in_marketplace_from,d_hz_choti*G85,0)</f>
        <v/>
      </c>
      <c r="BE85" s="14">
        <f>F85*SUMIFS(BD62:BD120,B62:B120,B85-in_choti_months)*in_choti_renew*in_choti_ticket</f>
        <v/>
      </c>
      <c r="BF85" s="40">
        <f>BF84*(1-IF(B84&gt;=in_marketplace_from,d_hz_nps*G84,0))</f>
        <v/>
      </c>
      <c r="BG85" s="14">
        <f>F85*BF85*IF(B85&gt;=in_marketplace_from,d_hz_nps*G85,0)*in_nps_ticket*in_nps_comm</f>
        <v/>
      </c>
      <c r="BH85" s="40">
        <f>BH84*(1-IF(B84&gt;=in_marketplace_from,d_hz_gold*G84,0))</f>
        <v/>
      </c>
      <c r="BI85" s="40">
        <f>BI84*d_rho_gold+BH85*IF(B85&gt;=in_marketplace_from,d_hz_gold*G85,0)</f>
        <v/>
      </c>
      <c r="BJ85" s="14">
        <f>F85*BI85*in_gold_ticket*in_gold_comm</f>
        <v/>
      </c>
      <c r="BK85" s="40">
        <f>BK84*(1-IF(B84&gt;=in_marketplace_from,d_hz_fd*G84,0))</f>
        <v/>
      </c>
      <c r="BL85" s="14">
        <f>F85*BK85*IF(B85&gt;=in_marketplace_from,d_hz_fd*G85,0)*in_fd_ticket*in_fd_comm</f>
        <v/>
      </c>
      <c r="BM85" s="40">
        <f>BM84*(1-IF(B84&gt;=in_marketplace_from,d_hz_recharge*G84,0))</f>
        <v/>
      </c>
      <c r="BN85" s="40">
        <f>BN84*d_rho_recharge+BM85*IF(B85&gt;=in_marketplace_from,d_hz_recharge*G85,0)</f>
        <v/>
      </c>
      <c r="BO85" s="14">
        <f>F85*BN85*in_recharge_ticket*in_recharge_comm/12</f>
        <v/>
      </c>
      <c r="BP85" s="40">
        <f>BP84*(1-IF(B84&gt;=in_marketplace_from,d_hz_bills*G84,0))</f>
        <v/>
      </c>
      <c r="BQ85" s="40">
        <f>BQ84*d_rho_bills+BP85*IF(B85&gt;=in_marketplace_from,d_hz_bills*G85,0)</f>
        <v/>
      </c>
      <c r="BR85" s="14">
        <f>F85*BQ85*in_bills_ticket*in_bills_comm/12</f>
        <v/>
      </c>
      <c r="BS85" s="40">
        <f>BS84*(1-IF(B84&gt;=in_marketplace_from,d_hz_loan_gold*G84,0))</f>
        <v/>
      </c>
      <c r="BT85" s="14">
        <f>F85*BS85*IF(B85&gt;=in_marketplace_from,d_hz_loan_gold*G85,0)*in_loan_gold_ticket*in_loan_gold_comm</f>
        <v/>
      </c>
      <c r="BU85" s="40">
        <f>BU84*(1-IF(B84&gt;=in_marketplace_from,d_hz_loan_cd*G84,0))</f>
        <v/>
      </c>
      <c r="BV85" s="14">
        <f>F85*BU85*IF(B85&gt;=in_marketplace_from,d_hz_loan_cd*G85,0)*in_loan_cd_ticket*in_loan_cd_comm</f>
        <v/>
      </c>
      <c r="BW85" s="40">
        <f>BW84*(1-IF(B84&gt;=in_marketplace_from,d_hz_loan_vehicle*G84,0))</f>
        <v/>
      </c>
      <c r="BX85" s="14">
        <f>F85*BW85*IF(B85&gt;=in_marketplace_from,d_hz_loan_vehicle*G85,0)*in_loan_vehicle_ticket*in_loan_vehicle_comm</f>
        <v/>
      </c>
      <c r="BY85" s="40">
        <f>BY84*(1-IF(B84&gt;=in_marketplace_from,d_hz_loan_home*G84,0)*BZ84)</f>
        <v/>
      </c>
      <c r="BZ85" s="11">
        <f>MIN(in_approval_cap,in_loan_home_approval*INDEX('Age profile'!$O$2:$O$61,B85)*(1+in_approval_growth)^(D85-1))</f>
        <v/>
      </c>
      <c r="CA85" s="14">
        <f>F85*BY85*IF(B85&gt;=in_marketplace_from,d_hz_loan_home*G85,0)*BZ85*in_loan_home_ticket*in_loan_home_comm</f>
        <v/>
      </c>
      <c r="CB85" s="40">
        <f>CB84*(1-IF(B84&gt;=in_marketplace_from,d_hz_loan_lap*G84,0)*CC84)</f>
        <v/>
      </c>
      <c r="CC85" s="11">
        <f>MIN(in_approval_cap,in_loan_lap_approval*INDEX('Age profile'!$O$2:$O$61,B85)*(1+in_approval_growth)^(D85-1))</f>
        <v/>
      </c>
      <c r="CD85" s="14">
        <f>F85*CB85*IF(B85&gt;=in_marketplace_from,d_hz_loan_lap*G85,0)*CC85*in_loan_lap_ticket*in_loan_lap_comm</f>
        <v/>
      </c>
      <c r="CE85" s="14">
        <f>AA85+AB85+AC85+AD85+AG85+AJ85+AM85+AP85+AS85+AU85+AX85+BB85+BE85+BG85+BJ85+BL85+BO85+BR85+BT85+BV85+BX85+CA85+CD85</f>
        <v/>
      </c>
    </row>
    <row r="86">
      <c r="A86" s="39" t="n">
        <v>2</v>
      </c>
      <c r="B86" s="39" t="n">
        <v>25</v>
      </c>
      <c r="C86" s="39">
        <f>A86+B86-1</f>
        <v/>
      </c>
      <c r="D86" s="39">
        <f>INT((C86-1)/12)+1</f>
        <v/>
      </c>
      <c r="E86" s="44">
        <f>INDEX(Monthly!$B$2:$B$61,A86)</f>
        <v/>
      </c>
      <c r="F86" s="44">
        <f>E86*INDEX('Age profile'!$B$2:$B$61,B86)</f>
        <v/>
      </c>
      <c r="G86" s="45">
        <f>MIN(in_takeup_cap,INDEX('Age profile'!$N$2:$N$61,B86)*(1+in_takeup_growth)^(D86-1))</f>
        <v/>
      </c>
      <c r="H86" s="11">
        <f>MIN(in_approval_cap,in_approved_first*INDEX('Age profile'!$O$2:$O$61,B86)*(1+in_approval_growth)^(D86-1))</f>
        <v/>
      </c>
      <c r="I86" s="45">
        <f>G86*MIN(in_takeup_cap,INDEX('Age profile'!$O$2:$O$61,B86)*(1+in_approval_growth)^(D86-1))</f>
        <v/>
      </c>
      <c r="J86" s="40">
        <f>(J85-L85)*F86/F85</f>
        <v/>
      </c>
      <c r="K86" s="40">
        <f>(K85-M85)*F86/F85+SUMIFS(O62:O85,B62:B85,B86-1-d_T)*F86</f>
        <v/>
      </c>
      <c r="L86" s="40">
        <f>IF(B86&gt;=in_marketplace_from,J86*d_hz*G86*in_eligible*H86,0)</f>
        <v/>
      </c>
      <c r="M86" s="40">
        <f>IF(B86&gt;=in_marketplace_from,K86*d_hz*G86*in_eligible*in_approved_repeat,0)</f>
        <v/>
      </c>
      <c r="N86" s="40">
        <f>L86+M86</f>
        <v/>
      </c>
      <c r="O86" s="46">
        <f>N86/F86</f>
        <v/>
      </c>
      <c r="P86" s="40">
        <f>F86-J86-K86</f>
        <v/>
      </c>
      <c r="Q86" s="40">
        <f>IF(B86&gt;=in_marketplace_from,(J86+K86)*d_hz*G86,0)</f>
        <v/>
      </c>
      <c r="R86" s="40">
        <f>SUMIFS(N62:N120,B62:B120,"&gt;="&amp;(B86-d_T),B62:B120,"&lt;="&amp;(B86-1))</f>
        <v/>
      </c>
      <c r="S86" s="46">
        <f>(1-d_u)*S85+IF(d_T&gt;in_topup_lag,SUMIFS(O62:O120,B62:B120,B86-in_topup_lag)-d_udrop*SUMIFS(O62:O120,B62:B120,B86-d_T),0)</f>
        <v/>
      </c>
      <c r="T86" s="40">
        <f>F86*d_u*S86</f>
        <v/>
      </c>
      <c r="U86" s="9">
        <f>L86*in_ticket+M86*d_rep_ticket</f>
        <v/>
      </c>
      <c r="V86" s="9">
        <f>U86+T86*d_topup_amt</f>
        <v/>
      </c>
      <c r="W86" s="40">
        <f>N86+T86*d_topup_ratio</f>
        <v/>
      </c>
      <c r="X86" s="40">
        <f>SUMIFS(W62:W120,B62:B120,B86-in_dpd_lag)*d_cured</f>
        <v/>
      </c>
      <c r="Y86" s="40">
        <f>SUMIFS(W62:W120,B62:B120,B86-in_rec_lag)*d_recd</f>
        <v/>
      </c>
      <c r="Z86" s="40">
        <f>IF(AND(B86&gt;=in_marketplace_from,B86&lt;in_marketplace_from+in_card_months),in_card_share/in_card_months*F86*I86,IF(AND(B86&gt;=in_marketplace_from+in_card_months,B86&lt;in_marketplace_from+2*in_card_months),in_card_share*d_card_rem/in_card_months*F86*MIN(in_takeup_cap,(1+in_takeup_growth)^(D86-1))*MIN(in_takeup_cap,(1+in_approval_growth)^(D86-1)),0))</f>
        <v/>
      </c>
      <c r="AA86" s="14">
        <f>V86*in_fee*(1-in_taken_back)</f>
        <v/>
      </c>
      <c r="AB86" s="14">
        <f>SUMIFS(W62:W120,B62:B120,B86-in_dpd_lag)*d_dpd</f>
        <v/>
      </c>
      <c r="AC86" s="14">
        <f>SUMIFS(W62:W120,B62:B120,B86-in_rec_lag)*d_rec</f>
        <v/>
      </c>
      <c r="AD86" s="14">
        <f>Z86*in_card_fee</f>
        <v/>
      </c>
      <c r="AE86" s="40">
        <f>AE85*(1-IF(B85&gt;=in_marketplace_from,d_hz_hlth_small*G85,0))</f>
        <v/>
      </c>
      <c r="AF86" s="46">
        <f>AE86*IF(B86&gt;=in_marketplace_from,d_hz_hlth_small*G86,0)</f>
        <v/>
      </c>
      <c r="AG86" s="14">
        <f>F86*AF86*in_hlth_small_ticket*in_hlth_small_comm*in_ins_partner_share+F86*in_hlth_small_ticket*in_hlth_small_renew_comm*in_ins_partner_share*(in_hlth_small_renew^1*SUMIFS(AF62:AF120,B62:B120,B86-12)+in_hlth_small_renew^2*SUMIFS(AF62:AF120,B62:B120,B86-24)+in_hlth_small_renew^3*SUMIFS(AF62:AF120,B62:B120,B86-36)+in_hlth_small_renew^4*SUMIFS(AF62:AF120,B62:B120,B86-48))</f>
        <v/>
      </c>
      <c r="AH86" s="40">
        <f>AH85*(1-IF(B85&gt;=in_marketplace_from,d_hz_hlth_family*G85,0))</f>
        <v/>
      </c>
      <c r="AI86" s="46">
        <f>AH86*IF(B86&gt;=in_marketplace_from,d_hz_hlth_family*G86,0)</f>
        <v/>
      </c>
      <c r="AJ86" s="14">
        <f>F86*AI86*in_hlth_family_ticket*in_hlth_family_comm*in_ins_partner_share+F86*in_hlth_family_ticket*in_hlth_family_renew_comm*in_ins_partner_share*(in_hlth_family_renew^1*SUMIFS(AI62:AI120,B62:B120,B86-12)+in_hlth_family_renew^2*SUMIFS(AI62:AI120,B62:B120,B86-24)+in_hlth_family_renew^3*SUMIFS(AI62:AI120,B62:B120,B86-36)+in_hlth_family_renew^4*SUMIFS(AI62:AI120,B62:B120,B86-48))</f>
        <v/>
      </c>
      <c r="AK86" s="40">
        <f>AK85*(1-IF(B85&gt;=in_marketplace_from,d_hz_life_term*G85,0))</f>
        <v/>
      </c>
      <c r="AL86" s="46">
        <f>AK86*IF(B86&gt;=in_marketplace_from,d_hz_life_term*G86,0)</f>
        <v/>
      </c>
      <c r="AM86" s="14">
        <f>F86*AL86*in_life_term_ticket*in_life_term_comm*in_ins_partner_share+F86*in_life_term_ticket*in_life_term_renew_comm*in_ins_partner_share*(in_life_term_renew^1*SUMIFS(AL62:AL120,B62:B120,B86-12)+in_life_term_renew^2*SUMIFS(AL62:AL120,B62:B120,B86-24)+in_life_term_renew^3*SUMIFS(AL62:AL120,B62:B120,B86-36)+in_life_term_renew^4*SUMIFS(AL62:AL120,B62:B120,B86-48))</f>
        <v/>
      </c>
      <c r="AN86" s="40">
        <f>AN85*(1-IF(B85&gt;=in_marketplace_from,d_hz_accident*G85,0))</f>
        <v/>
      </c>
      <c r="AO86" s="46">
        <f>AN86*IF(B86&gt;=in_marketplace_from,d_hz_accident*G86,0)</f>
        <v/>
      </c>
      <c r="AP86" s="14">
        <f>F86*AO86*in_accident_ticket*in_accident_comm*in_ins_partner_share+F86*in_accident_ticket*in_accident_renew_comm*in_ins_partner_share*(in_accident_renew^1*SUMIFS(AO62:AO120,B62:B120,B86-12)+in_accident_renew^2*SUMIFS(AO62:AO120,B62:B120,B86-24)+in_accident_renew^3*SUMIFS(AO62:AO120,B62:B120,B86-36)+in_accident_renew^4*SUMIFS(AO62:AO120,B62:B120,B86-48))</f>
        <v/>
      </c>
      <c r="AQ86" s="40">
        <f>AQ85*(1-IF(B85&gt;=in_marketplace_from,d_hz_two_wheeler*G85,0))</f>
        <v/>
      </c>
      <c r="AR86" s="46">
        <f>AQ86*IF(B86&gt;=in_marketplace_from,d_hz_two_wheeler*G86,0)</f>
        <v/>
      </c>
      <c r="AS86" s="14">
        <f>F86*AR86*in_two_wheeler_ticket*in_two_wheeler_comm*in_ins_partner_share+F86*in_two_wheeler_ticket*in_two_wheeler_comm*in_ins_partner_share*(in_two_wheeler_renew^1*SUMIFS(AR62:AR120,B62:B120,B86-12)+in_two_wheeler_renew^2*SUMIFS(AR62:AR120,B62:B120,B86-24)+in_two_wheeler_renew^3*SUMIFS(AR62:AR120,B62:B120,B86-36)+in_two_wheeler_renew^4*SUMIFS(AR62:AR120,B62:B120,B86-48))</f>
        <v/>
      </c>
      <c r="AT86" s="40">
        <f>AT85*(1-IF(B85&gt;=in_marketplace_from,d_hz_device*G85,0))</f>
        <v/>
      </c>
      <c r="AU86" s="14">
        <f>F86*AT86*IF(B86&gt;=in_marketplace_from,d_hz_device*G86,0)*in_device_ticket*in_device_comm*in_ins_partner_share</f>
        <v/>
      </c>
      <c r="AV86" s="40">
        <f>AV85*(1-IF(B85&gt;=in_marketplace_from,d_hz_shop*G85,0))</f>
        <v/>
      </c>
      <c r="AW86" s="46">
        <f>AV86*IF(B86&gt;=in_marketplace_from,d_hz_shop*G86,0)</f>
        <v/>
      </c>
      <c r="AX86" s="14">
        <f>F86*AW86*in_shop_ticket*in_shop_comm*in_ins_partner_share+F86*in_shop_ticket*in_shop_renew_comm*in_ins_partner_share*(in_shop_renew^1*SUMIFS(AW62:AW120,B62:B120,B86-12)+in_shop_renew^2*SUMIFS(AW62:AW120,B62:B120,B86-24)+in_shop_renew^3*SUMIFS(AW62:AW120,B62:B120,B86-36)+in_shop_renew^4*SUMIFS(AW62:AW120,B62:B120,B86-48))</f>
        <v/>
      </c>
      <c r="AY86" s="40">
        <f>AY85*(1-IF(B85&gt;=in_marketplace_from,d_hz_sip*G85,0))</f>
        <v/>
      </c>
      <c r="AZ86" s="40">
        <f>AZ85*d_rho_sip+AY86*IF(B86&gt;=in_marketplace_from,d_hz_sip*G86,0)</f>
        <v/>
      </c>
      <c r="BA86" s="40">
        <f>d_rho_sip*(BA85+AZ85)</f>
        <v/>
      </c>
      <c r="BB86" s="14">
        <f>F86*in_sip_ticket*(BA86+0.5*AZ86)*in_sip_comm/12</f>
        <v/>
      </c>
      <c r="BC86" s="40">
        <f>BC85*(1-IF(B85&gt;=in_marketplace_from,d_hz_choti*G85,0))</f>
        <v/>
      </c>
      <c r="BD86" s="46">
        <f>BC86*IF(B86&gt;=in_marketplace_from,d_hz_choti*G86,0)</f>
        <v/>
      </c>
      <c r="BE86" s="14">
        <f>F86*SUMIFS(BD62:BD120,B62:B120,B86-in_choti_months)*in_choti_renew*in_choti_ticket</f>
        <v/>
      </c>
      <c r="BF86" s="40">
        <f>BF85*(1-IF(B85&gt;=in_marketplace_from,d_hz_nps*G85,0))</f>
        <v/>
      </c>
      <c r="BG86" s="14">
        <f>F86*BF86*IF(B86&gt;=in_marketplace_from,d_hz_nps*G86,0)*in_nps_ticket*in_nps_comm</f>
        <v/>
      </c>
      <c r="BH86" s="40">
        <f>BH85*(1-IF(B85&gt;=in_marketplace_from,d_hz_gold*G85,0))</f>
        <v/>
      </c>
      <c r="BI86" s="40">
        <f>BI85*d_rho_gold+BH86*IF(B86&gt;=in_marketplace_from,d_hz_gold*G86,0)</f>
        <v/>
      </c>
      <c r="BJ86" s="14">
        <f>F86*BI86*in_gold_ticket*in_gold_comm</f>
        <v/>
      </c>
      <c r="BK86" s="40">
        <f>BK85*(1-IF(B85&gt;=in_marketplace_from,d_hz_fd*G85,0))</f>
        <v/>
      </c>
      <c r="BL86" s="14">
        <f>F86*BK86*IF(B86&gt;=in_marketplace_from,d_hz_fd*G86,0)*in_fd_ticket*in_fd_comm</f>
        <v/>
      </c>
      <c r="BM86" s="40">
        <f>BM85*(1-IF(B85&gt;=in_marketplace_from,d_hz_recharge*G85,0))</f>
        <v/>
      </c>
      <c r="BN86" s="40">
        <f>BN85*d_rho_recharge+BM86*IF(B86&gt;=in_marketplace_from,d_hz_recharge*G86,0)</f>
        <v/>
      </c>
      <c r="BO86" s="14">
        <f>F86*BN86*in_recharge_ticket*in_recharge_comm/12</f>
        <v/>
      </c>
      <c r="BP86" s="40">
        <f>BP85*(1-IF(B85&gt;=in_marketplace_from,d_hz_bills*G85,0))</f>
        <v/>
      </c>
      <c r="BQ86" s="40">
        <f>BQ85*d_rho_bills+BP86*IF(B86&gt;=in_marketplace_from,d_hz_bills*G86,0)</f>
        <v/>
      </c>
      <c r="BR86" s="14">
        <f>F86*BQ86*in_bills_ticket*in_bills_comm/12</f>
        <v/>
      </c>
      <c r="BS86" s="40">
        <f>BS85*(1-IF(B85&gt;=in_marketplace_from,d_hz_loan_gold*G85,0))</f>
        <v/>
      </c>
      <c r="BT86" s="14">
        <f>F86*BS86*IF(B86&gt;=in_marketplace_from,d_hz_loan_gold*G86,0)*in_loan_gold_ticket*in_loan_gold_comm</f>
        <v/>
      </c>
      <c r="BU86" s="40">
        <f>BU85*(1-IF(B85&gt;=in_marketplace_from,d_hz_loan_cd*G85,0))</f>
        <v/>
      </c>
      <c r="BV86" s="14">
        <f>F86*BU86*IF(B86&gt;=in_marketplace_from,d_hz_loan_cd*G86,0)*in_loan_cd_ticket*in_loan_cd_comm</f>
        <v/>
      </c>
      <c r="BW86" s="40">
        <f>BW85*(1-IF(B85&gt;=in_marketplace_from,d_hz_loan_vehicle*G85,0))</f>
        <v/>
      </c>
      <c r="BX86" s="14">
        <f>F86*BW86*IF(B86&gt;=in_marketplace_from,d_hz_loan_vehicle*G86,0)*in_loan_vehicle_ticket*in_loan_vehicle_comm</f>
        <v/>
      </c>
      <c r="BY86" s="40">
        <f>BY85*(1-IF(B85&gt;=in_marketplace_from,d_hz_loan_home*G85,0)*BZ85)</f>
        <v/>
      </c>
      <c r="BZ86" s="11">
        <f>MIN(in_approval_cap,in_loan_home_approval*INDEX('Age profile'!$O$2:$O$61,B86)*(1+in_approval_growth)^(D86-1))</f>
        <v/>
      </c>
      <c r="CA86" s="14">
        <f>F86*BY86*IF(B86&gt;=in_marketplace_from,d_hz_loan_home*G86,0)*BZ86*in_loan_home_ticket*in_loan_home_comm</f>
        <v/>
      </c>
      <c r="CB86" s="40">
        <f>CB85*(1-IF(B85&gt;=in_marketplace_from,d_hz_loan_lap*G85,0)*CC85)</f>
        <v/>
      </c>
      <c r="CC86" s="11">
        <f>MIN(in_approval_cap,in_loan_lap_approval*INDEX('Age profile'!$O$2:$O$61,B86)*(1+in_approval_growth)^(D86-1))</f>
        <v/>
      </c>
      <c r="CD86" s="14">
        <f>F86*CB86*IF(B86&gt;=in_marketplace_from,d_hz_loan_lap*G86,0)*CC86*in_loan_lap_ticket*in_loan_lap_comm</f>
        <v/>
      </c>
      <c r="CE86" s="14">
        <f>AA86+AB86+AC86+AD86+AG86+AJ86+AM86+AP86+AS86+AU86+AX86+BB86+BE86+BG86+BJ86+BL86+BO86+BR86+BT86+BV86+BX86+CA86+CD86</f>
        <v/>
      </c>
    </row>
    <row r="87">
      <c r="A87" s="39" t="n">
        <v>2</v>
      </c>
      <c r="B87" s="39" t="n">
        <v>26</v>
      </c>
      <c r="C87" s="39">
        <f>A87+B87-1</f>
        <v/>
      </c>
      <c r="D87" s="39">
        <f>INT((C87-1)/12)+1</f>
        <v/>
      </c>
      <c r="E87" s="44">
        <f>INDEX(Monthly!$B$2:$B$61,A87)</f>
        <v/>
      </c>
      <c r="F87" s="44">
        <f>E87*INDEX('Age profile'!$B$2:$B$61,B87)</f>
        <v/>
      </c>
      <c r="G87" s="45">
        <f>MIN(in_takeup_cap,INDEX('Age profile'!$N$2:$N$61,B87)*(1+in_takeup_growth)^(D87-1))</f>
        <v/>
      </c>
      <c r="H87" s="11">
        <f>MIN(in_approval_cap,in_approved_first*INDEX('Age profile'!$O$2:$O$61,B87)*(1+in_approval_growth)^(D87-1))</f>
        <v/>
      </c>
      <c r="I87" s="45">
        <f>G87*MIN(in_takeup_cap,INDEX('Age profile'!$O$2:$O$61,B87)*(1+in_approval_growth)^(D87-1))</f>
        <v/>
      </c>
      <c r="J87" s="40">
        <f>(J86-L86)*F87/F86</f>
        <v/>
      </c>
      <c r="K87" s="40">
        <f>(K86-M86)*F87/F86+SUMIFS(O62:O86,B62:B86,B87-1-d_T)*F87</f>
        <v/>
      </c>
      <c r="L87" s="40">
        <f>IF(B87&gt;=in_marketplace_from,J87*d_hz*G87*in_eligible*H87,0)</f>
        <v/>
      </c>
      <c r="M87" s="40">
        <f>IF(B87&gt;=in_marketplace_from,K87*d_hz*G87*in_eligible*in_approved_repeat,0)</f>
        <v/>
      </c>
      <c r="N87" s="40">
        <f>L87+M87</f>
        <v/>
      </c>
      <c r="O87" s="46">
        <f>N87/F87</f>
        <v/>
      </c>
      <c r="P87" s="40">
        <f>F87-J87-K87</f>
        <v/>
      </c>
      <c r="Q87" s="40">
        <f>IF(B87&gt;=in_marketplace_from,(J87+K87)*d_hz*G87,0)</f>
        <v/>
      </c>
      <c r="R87" s="40">
        <f>SUMIFS(N62:N120,B62:B120,"&gt;="&amp;(B87-d_T),B62:B120,"&lt;="&amp;(B87-1))</f>
        <v/>
      </c>
      <c r="S87" s="46">
        <f>(1-d_u)*S86+IF(d_T&gt;in_topup_lag,SUMIFS(O62:O120,B62:B120,B87-in_topup_lag)-d_udrop*SUMIFS(O62:O120,B62:B120,B87-d_T),0)</f>
        <v/>
      </c>
      <c r="T87" s="40">
        <f>F87*d_u*S87</f>
        <v/>
      </c>
      <c r="U87" s="9">
        <f>L87*in_ticket+M87*d_rep_ticket</f>
        <v/>
      </c>
      <c r="V87" s="9">
        <f>U87+T87*d_topup_amt</f>
        <v/>
      </c>
      <c r="W87" s="40">
        <f>N87+T87*d_topup_ratio</f>
        <v/>
      </c>
      <c r="X87" s="40">
        <f>SUMIFS(W62:W120,B62:B120,B87-in_dpd_lag)*d_cured</f>
        <v/>
      </c>
      <c r="Y87" s="40">
        <f>SUMIFS(W62:W120,B62:B120,B87-in_rec_lag)*d_recd</f>
        <v/>
      </c>
      <c r="Z87" s="40">
        <f>IF(AND(B87&gt;=in_marketplace_from,B87&lt;in_marketplace_from+in_card_months),in_card_share/in_card_months*F87*I87,IF(AND(B87&gt;=in_marketplace_from+in_card_months,B87&lt;in_marketplace_from+2*in_card_months),in_card_share*d_card_rem/in_card_months*F87*MIN(in_takeup_cap,(1+in_takeup_growth)^(D87-1))*MIN(in_takeup_cap,(1+in_approval_growth)^(D87-1)),0))</f>
        <v/>
      </c>
      <c r="AA87" s="14">
        <f>V87*in_fee*(1-in_taken_back)</f>
        <v/>
      </c>
      <c r="AB87" s="14">
        <f>SUMIFS(W62:W120,B62:B120,B87-in_dpd_lag)*d_dpd</f>
        <v/>
      </c>
      <c r="AC87" s="14">
        <f>SUMIFS(W62:W120,B62:B120,B87-in_rec_lag)*d_rec</f>
        <v/>
      </c>
      <c r="AD87" s="14">
        <f>Z87*in_card_fee</f>
        <v/>
      </c>
      <c r="AE87" s="40">
        <f>AE86*(1-IF(B86&gt;=in_marketplace_from,d_hz_hlth_small*G86,0))</f>
        <v/>
      </c>
      <c r="AF87" s="46">
        <f>AE87*IF(B87&gt;=in_marketplace_from,d_hz_hlth_small*G87,0)</f>
        <v/>
      </c>
      <c r="AG87" s="14">
        <f>F87*AF87*in_hlth_small_ticket*in_hlth_small_comm*in_ins_partner_share+F87*in_hlth_small_ticket*in_hlth_small_renew_comm*in_ins_partner_share*(in_hlth_small_renew^1*SUMIFS(AF62:AF120,B62:B120,B87-12)+in_hlth_small_renew^2*SUMIFS(AF62:AF120,B62:B120,B87-24)+in_hlth_small_renew^3*SUMIFS(AF62:AF120,B62:B120,B87-36)+in_hlth_small_renew^4*SUMIFS(AF62:AF120,B62:B120,B87-48))</f>
        <v/>
      </c>
      <c r="AH87" s="40">
        <f>AH86*(1-IF(B86&gt;=in_marketplace_from,d_hz_hlth_family*G86,0))</f>
        <v/>
      </c>
      <c r="AI87" s="46">
        <f>AH87*IF(B87&gt;=in_marketplace_from,d_hz_hlth_family*G87,0)</f>
        <v/>
      </c>
      <c r="AJ87" s="14">
        <f>F87*AI87*in_hlth_family_ticket*in_hlth_family_comm*in_ins_partner_share+F87*in_hlth_family_ticket*in_hlth_family_renew_comm*in_ins_partner_share*(in_hlth_family_renew^1*SUMIFS(AI62:AI120,B62:B120,B87-12)+in_hlth_family_renew^2*SUMIFS(AI62:AI120,B62:B120,B87-24)+in_hlth_family_renew^3*SUMIFS(AI62:AI120,B62:B120,B87-36)+in_hlth_family_renew^4*SUMIFS(AI62:AI120,B62:B120,B87-48))</f>
        <v/>
      </c>
      <c r="AK87" s="40">
        <f>AK86*(1-IF(B86&gt;=in_marketplace_from,d_hz_life_term*G86,0))</f>
        <v/>
      </c>
      <c r="AL87" s="46">
        <f>AK87*IF(B87&gt;=in_marketplace_from,d_hz_life_term*G87,0)</f>
        <v/>
      </c>
      <c r="AM87" s="14">
        <f>F87*AL87*in_life_term_ticket*in_life_term_comm*in_ins_partner_share+F87*in_life_term_ticket*in_life_term_renew_comm*in_ins_partner_share*(in_life_term_renew^1*SUMIFS(AL62:AL120,B62:B120,B87-12)+in_life_term_renew^2*SUMIFS(AL62:AL120,B62:B120,B87-24)+in_life_term_renew^3*SUMIFS(AL62:AL120,B62:B120,B87-36)+in_life_term_renew^4*SUMIFS(AL62:AL120,B62:B120,B87-48))</f>
        <v/>
      </c>
      <c r="AN87" s="40">
        <f>AN86*(1-IF(B86&gt;=in_marketplace_from,d_hz_accident*G86,0))</f>
        <v/>
      </c>
      <c r="AO87" s="46">
        <f>AN87*IF(B87&gt;=in_marketplace_from,d_hz_accident*G87,0)</f>
        <v/>
      </c>
      <c r="AP87" s="14">
        <f>F87*AO87*in_accident_ticket*in_accident_comm*in_ins_partner_share+F87*in_accident_ticket*in_accident_renew_comm*in_ins_partner_share*(in_accident_renew^1*SUMIFS(AO62:AO120,B62:B120,B87-12)+in_accident_renew^2*SUMIFS(AO62:AO120,B62:B120,B87-24)+in_accident_renew^3*SUMIFS(AO62:AO120,B62:B120,B87-36)+in_accident_renew^4*SUMIFS(AO62:AO120,B62:B120,B87-48))</f>
        <v/>
      </c>
      <c r="AQ87" s="40">
        <f>AQ86*(1-IF(B86&gt;=in_marketplace_from,d_hz_two_wheeler*G86,0))</f>
        <v/>
      </c>
      <c r="AR87" s="46">
        <f>AQ87*IF(B87&gt;=in_marketplace_from,d_hz_two_wheeler*G87,0)</f>
        <v/>
      </c>
      <c r="AS87" s="14">
        <f>F87*AR87*in_two_wheeler_ticket*in_two_wheeler_comm*in_ins_partner_share+F87*in_two_wheeler_ticket*in_two_wheeler_comm*in_ins_partner_share*(in_two_wheeler_renew^1*SUMIFS(AR62:AR120,B62:B120,B87-12)+in_two_wheeler_renew^2*SUMIFS(AR62:AR120,B62:B120,B87-24)+in_two_wheeler_renew^3*SUMIFS(AR62:AR120,B62:B120,B87-36)+in_two_wheeler_renew^4*SUMIFS(AR62:AR120,B62:B120,B87-48))</f>
        <v/>
      </c>
      <c r="AT87" s="40">
        <f>AT86*(1-IF(B86&gt;=in_marketplace_from,d_hz_device*G86,0))</f>
        <v/>
      </c>
      <c r="AU87" s="14">
        <f>F87*AT87*IF(B87&gt;=in_marketplace_from,d_hz_device*G87,0)*in_device_ticket*in_device_comm*in_ins_partner_share</f>
        <v/>
      </c>
      <c r="AV87" s="40">
        <f>AV86*(1-IF(B86&gt;=in_marketplace_from,d_hz_shop*G86,0))</f>
        <v/>
      </c>
      <c r="AW87" s="46">
        <f>AV87*IF(B87&gt;=in_marketplace_from,d_hz_shop*G87,0)</f>
        <v/>
      </c>
      <c r="AX87" s="14">
        <f>F87*AW87*in_shop_ticket*in_shop_comm*in_ins_partner_share+F87*in_shop_ticket*in_shop_renew_comm*in_ins_partner_share*(in_shop_renew^1*SUMIFS(AW62:AW120,B62:B120,B87-12)+in_shop_renew^2*SUMIFS(AW62:AW120,B62:B120,B87-24)+in_shop_renew^3*SUMIFS(AW62:AW120,B62:B120,B87-36)+in_shop_renew^4*SUMIFS(AW62:AW120,B62:B120,B87-48))</f>
        <v/>
      </c>
      <c r="AY87" s="40">
        <f>AY86*(1-IF(B86&gt;=in_marketplace_from,d_hz_sip*G86,0))</f>
        <v/>
      </c>
      <c r="AZ87" s="40">
        <f>AZ86*d_rho_sip+AY87*IF(B87&gt;=in_marketplace_from,d_hz_sip*G87,0)</f>
        <v/>
      </c>
      <c r="BA87" s="40">
        <f>d_rho_sip*(BA86+AZ86)</f>
        <v/>
      </c>
      <c r="BB87" s="14">
        <f>F87*in_sip_ticket*(BA87+0.5*AZ87)*in_sip_comm/12</f>
        <v/>
      </c>
      <c r="BC87" s="40">
        <f>BC86*(1-IF(B86&gt;=in_marketplace_from,d_hz_choti*G86,0))</f>
        <v/>
      </c>
      <c r="BD87" s="46">
        <f>BC87*IF(B87&gt;=in_marketplace_from,d_hz_choti*G87,0)</f>
        <v/>
      </c>
      <c r="BE87" s="14">
        <f>F87*SUMIFS(BD62:BD120,B62:B120,B87-in_choti_months)*in_choti_renew*in_choti_ticket</f>
        <v/>
      </c>
      <c r="BF87" s="40">
        <f>BF86*(1-IF(B86&gt;=in_marketplace_from,d_hz_nps*G86,0))</f>
        <v/>
      </c>
      <c r="BG87" s="14">
        <f>F87*BF87*IF(B87&gt;=in_marketplace_from,d_hz_nps*G87,0)*in_nps_ticket*in_nps_comm</f>
        <v/>
      </c>
      <c r="BH87" s="40">
        <f>BH86*(1-IF(B86&gt;=in_marketplace_from,d_hz_gold*G86,0))</f>
        <v/>
      </c>
      <c r="BI87" s="40">
        <f>BI86*d_rho_gold+BH87*IF(B87&gt;=in_marketplace_from,d_hz_gold*G87,0)</f>
        <v/>
      </c>
      <c r="BJ87" s="14">
        <f>F87*BI87*in_gold_ticket*in_gold_comm</f>
        <v/>
      </c>
      <c r="BK87" s="40">
        <f>BK86*(1-IF(B86&gt;=in_marketplace_from,d_hz_fd*G86,0))</f>
        <v/>
      </c>
      <c r="BL87" s="14">
        <f>F87*BK87*IF(B87&gt;=in_marketplace_from,d_hz_fd*G87,0)*in_fd_ticket*in_fd_comm</f>
        <v/>
      </c>
      <c r="BM87" s="40">
        <f>BM86*(1-IF(B86&gt;=in_marketplace_from,d_hz_recharge*G86,0))</f>
        <v/>
      </c>
      <c r="BN87" s="40">
        <f>BN86*d_rho_recharge+BM87*IF(B87&gt;=in_marketplace_from,d_hz_recharge*G87,0)</f>
        <v/>
      </c>
      <c r="BO87" s="14">
        <f>F87*BN87*in_recharge_ticket*in_recharge_comm/12</f>
        <v/>
      </c>
      <c r="BP87" s="40">
        <f>BP86*(1-IF(B86&gt;=in_marketplace_from,d_hz_bills*G86,0))</f>
        <v/>
      </c>
      <c r="BQ87" s="40">
        <f>BQ86*d_rho_bills+BP87*IF(B87&gt;=in_marketplace_from,d_hz_bills*G87,0)</f>
        <v/>
      </c>
      <c r="BR87" s="14">
        <f>F87*BQ87*in_bills_ticket*in_bills_comm/12</f>
        <v/>
      </c>
      <c r="BS87" s="40">
        <f>BS86*(1-IF(B86&gt;=in_marketplace_from,d_hz_loan_gold*G86,0))</f>
        <v/>
      </c>
      <c r="BT87" s="14">
        <f>F87*BS87*IF(B87&gt;=in_marketplace_from,d_hz_loan_gold*G87,0)*in_loan_gold_ticket*in_loan_gold_comm</f>
        <v/>
      </c>
      <c r="BU87" s="40">
        <f>BU86*(1-IF(B86&gt;=in_marketplace_from,d_hz_loan_cd*G86,0))</f>
        <v/>
      </c>
      <c r="BV87" s="14">
        <f>F87*BU87*IF(B87&gt;=in_marketplace_from,d_hz_loan_cd*G87,0)*in_loan_cd_ticket*in_loan_cd_comm</f>
        <v/>
      </c>
      <c r="BW87" s="40">
        <f>BW86*(1-IF(B86&gt;=in_marketplace_from,d_hz_loan_vehicle*G86,0))</f>
        <v/>
      </c>
      <c r="BX87" s="14">
        <f>F87*BW87*IF(B87&gt;=in_marketplace_from,d_hz_loan_vehicle*G87,0)*in_loan_vehicle_ticket*in_loan_vehicle_comm</f>
        <v/>
      </c>
      <c r="BY87" s="40">
        <f>BY86*(1-IF(B86&gt;=in_marketplace_from,d_hz_loan_home*G86,0)*BZ86)</f>
        <v/>
      </c>
      <c r="BZ87" s="11">
        <f>MIN(in_approval_cap,in_loan_home_approval*INDEX('Age profile'!$O$2:$O$61,B87)*(1+in_approval_growth)^(D87-1))</f>
        <v/>
      </c>
      <c r="CA87" s="14">
        <f>F87*BY87*IF(B87&gt;=in_marketplace_from,d_hz_loan_home*G87,0)*BZ87*in_loan_home_ticket*in_loan_home_comm</f>
        <v/>
      </c>
      <c r="CB87" s="40">
        <f>CB86*(1-IF(B86&gt;=in_marketplace_from,d_hz_loan_lap*G86,0)*CC86)</f>
        <v/>
      </c>
      <c r="CC87" s="11">
        <f>MIN(in_approval_cap,in_loan_lap_approval*INDEX('Age profile'!$O$2:$O$61,B87)*(1+in_approval_growth)^(D87-1))</f>
        <v/>
      </c>
      <c r="CD87" s="14">
        <f>F87*CB87*IF(B87&gt;=in_marketplace_from,d_hz_loan_lap*G87,0)*CC87*in_loan_lap_ticket*in_loan_lap_comm</f>
        <v/>
      </c>
      <c r="CE87" s="14">
        <f>AA87+AB87+AC87+AD87+AG87+AJ87+AM87+AP87+AS87+AU87+AX87+BB87+BE87+BG87+BJ87+BL87+BO87+BR87+BT87+BV87+BX87+CA87+CD87</f>
        <v/>
      </c>
    </row>
    <row r="88">
      <c r="A88" s="39" t="n">
        <v>2</v>
      </c>
      <c r="B88" s="39" t="n">
        <v>27</v>
      </c>
      <c r="C88" s="39">
        <f>A88+B88-1</f>
        <v/>
      </c>
      <c r="D88" s="39">
        <f>INT((C88-1)/12)+1</f>
        <v/>
      </c>
      <c r="E88" s="44">
        <f>INDEX(Monthly!$B$2:$B$61,A88)</f>
        <v/>
      </c>
      <c r="F88" s="44">
        <f>E88*INDEX('Age profile'!$B$2:$B$61,B88)</f>
        <v/>
      </c>
      <c r="G88" s="45">
        <f>MIN(in_takeup_cap,INDEX('Age profile'!$N$2:$N$61,B88)*(1+in_takeup_growth)^(D88-1))</f>
        <v/>
      </c>
      <c r="H88" s="11">
        <f>MIN(in_approval_cap,in_approved_first*INDEX('Age profile'!$O$2:$O$61,B88)*(1+in_approval_growth)^(D88-1))</f>
        <v/>
      </c>
      <c r="I88" s="45">
        <f>G88*MIN(in_takeup_cap,INDEX('Age profile'!$O$2:$O$61,B88)*(1+in_approval_growth)^(D88-1))</f>
        <v/>
      </c>
      <c r="J88" s="40">
        <f>(J87-L87)*F88/F87</f>
        <v/>
      </c>
      <c r="K88" s="40">
        <f>(K87-M87)*F88/F87+SUMIFS(O62:O87,B62:B87,B88-1-d_T)*F88</f>
        <v/>
      </c>
      <c r="L88" s="40">
        <f>IF(B88&gt;=in_marketplace_from,J88*d_hz*G88*in_eligible*H88,0)</f>
        <v/>
      </c>
      <c r="M88" s="40">
        <f>IF(B88&gt;=in_marketplace_from,K88*d_hz*G88*in_eligible*in_approved_repeat,0)</f>
        <v/>
      </c>
      <c r="N88" s="40">
        <f>L88+M88</f>
        <v/>
      </c>
      <c r="O88" s="46">
        <f>N88/F88</f>
        <v/>
      </c>
      <c r="P88" s="40">
        <f>F88-J88-K88</f>
        <v/>
      </c>
      <c r="Q88" s="40">
        <f>IF(B88&gt;=in_marketplace_from,(J88+K88)*d_hz*G88,0)</f>
        <v/>
      </c>
      <c r="R88" s="40">
        <f>SUMIFS(N62:N120,B62:B120,"&gt;="&amp;(B88-d_T),B62:B120,"&lt;="&amp;(B88-1))</f>
        <v/>
      </c>
      <c r="S88" s="46">
        <f>(1-d_u)*S87+IF(d_T&gt;in_topup_lag,SUMIFS(O62:O120,B62:B120,B88-in_topup_lag)-d_udrop*SUMIFS(O62:O120,B62:B120,B88-d_T),0)</f>
        <v/>
      </c>
      <c r="T88" s="40">
        <f>F88*d_u*S88</f>
        <v/>
      </c>
      <c r="U88" s="9">
        <f>L88*in_ticket+M88*d_rep_ticket</f>
        <v/>
      </c>
      <c r="V88" s="9">
        <f>U88+T88*d_topup_amt</f>
        <v/>
      </c>
      <c r="W88" s="40">
        <f>N88+T88*d_topup_ratio</f>
        <v/>
      </c>
      <c r="X88" s="40">
        <f>SUMIFS(W62:W120,B62:B120,B88-in_dpd_lag)*d_cured</f>
        <v/>
      </c>
      <c r="Y88" s="40">
        <f>SUMIFS(W62:W120,B62:B120,B88-in_rec_lag)*d_recd</f>
        <v/>
      </c>
      <c r="Z88" s="40">
        <f>IF(AND(B88&gt;=in_marketplace_from,B88&lt;in_marketplace_from+in_card_months),in_card_share/in_card_months*F88*I88,IF(AND(B88&gt;=in_marketplace_from+in_card_months,B88&lt;in_marketplace_from+2*in_card_months),in_card_share*d_card_rem/in_card_months*F88*MIN(in_takeup_cap,(1+in_takeup_growth)^(D88-1))*MIN(in_takeup_cap,(1+in_approval_growth)^(D88-1)),0))</f>
        <v/>
      </c>
      <c r="AA88" s="14">
        <f>V88*in_fee*(1-in_taken_back)</f>
        <v/>
      </c>
      <c r="AB88" s="14">
        <f>SUMIFS(W62:W120,B62:B120,B88-in_dpd_lag)*d_dpd</f>
        <v/>
      </c>
      <c r="AC88" s="14">
        <f>SUMIFS(W62:W120,B62:B120,B88-in_rec_lag)*d_rec</f>
        <v/>
      </c>
      <c r="AD88" s="14">
        <f>Z88*in_card_fee</f>
        <v/>
      </c>
      <c r="AE88" s="40">
        <f>AE87*(1-IF(B87&gt;=in_marketplace_from,d_hz_hlth_small*G87,0))</f>
        <v/>
      </c>
      <c r="AF88" s="46">
        <f>AE88*IF(B88&gt;=in_marketplace_from,d_hz_hlth_small*G88,0)</f>
        <v/>
      </c>
      <c r="AG88" s="14">
        <f>F88*AF88*in_hlth_small_ticket*in_hlth_small_comm*in_ins_partner_share+F88*in_hlth_small_ticket*in_hlth_small_renew_comm*in_ins_partner_share*(in_hlth_small_renew^1*SUMIFS(AF62:AF120,B62:B120,B88-12)+in_hlth_small_renew^2*SUMIFS(AF62:AF120,B62:B120,B88-24)+in_hlth_small_renew^3*SUMIFS(AF62:AF120,B62:B120,B88-36)+in_hlth_small_renew^4*SUMIFS(AF62:AF120,B62:B120,B88-48))</f>
        <v/>
      </c>
      <c r="AH88" s="40">
        <f>AH87*(1-IF(B87&gt;=in_marketplace_from,d_hz_hlth_family*G87,0))</f>
        <v/>
      </c>
      <c r="AI88" s="46">
        <f>AH88*IF(B88&gt;=in_marketplace_from,d_hz_hlth_family*G88,0)</f>
        <v/>
      </c>
      <c r="AJ88" s="14">
        <f>F88*AI88*in_hlth_family_ticket*in_hlth_family_comm*in_ins_partner_share+F88*in_hlth_family_ticket*in_hlth_family_renew_comm*in_ins_partner_share*(in_hlth_family_renew^1*SUMIFS(AI62:AI120,B62:B120,B88-12)+in_hlth_family_renew^2*SUMIFS(AI62:AI120,B62:B120,B88-24)+in_hlth_family_renew^3*SUMIFS(AI62:AI120,B62:B120,B88-36)+in_hlth_family_renew^4*SUMIFS(AI62:AI120,B62:B120,B88-48))</f>
        <v/>
      </c>
      <c r="AK88" s="40">
        <f>AK87*(1-IF(B87&gt;=in_marketplace_from,d_hz_life_term*G87,0))</f>
        <v/>
      </c>
      <c r="AL88" s="46">
        <f>AK88*IF(B88&gt;=in_marketplace_from,d_hz_life_term*G88,0)</f>
        <v/>
      </c>
      <c r="AM88" s="14">
        <f>F88*AL88*in_life_term_ticket*in_life_term_comm*in_ins_partner_share+F88*in_life_term_ticket*in_life_term_renew_comm*in_ins_partner_share*(in_life_term_renew^1*SUMIFS(AL62:AL120,B62:B120,B88-12)+in_life_term_renew^2*SUMIFS(AL62:AL120,B62:B120,B88-24)+in_life_term_renew^3*SUMIFS(AL62:AL120,B62:B120,B88-36)+in_life_term_renew^4*SUMIFS(AL62:AL120,B62:B120,B88-48))</f>
        <v/>
      </c>
      <c r="AN88" s="40">
        <f>AN87*(1-IF(B87&gt;=in_marketplace_from,d_hz_accident*G87,0))</f>
        <v/>
      </c>
      <c r="AO88" s="46">
        <f>AN88*IF(B88&gt;=in_marketplace_from,d_hz_accident*G88,0)</f>
        <v/>
      </c>
      <c r="AP88" s="14">
        <f>F88*AO88*in_accident_ticket*in_accident_comm*in_ins_partner_share+F88*in_accident_ticket*in_accident_renew_comm*in_ins_partner_share*(in_accident_renew^1*SUMIFS(AO62:AO120,B62:B120,B88-12)+in_accident_renew^2*SUMIFS(AO62:AO120,B62:B120,B88-24)+in_accident_renew^3*SUMIFS(AO62:AO120,B62:B120,B88-36)+in_accident_renew^4*SUMIFS(AO62:AO120,B62:B120,B88-48))</f>
        <v/>
      </c>
      <c r="AQ88" s="40">
        <f>AQ87*(1-IF(B87&gt;=in_marketplace_from,d_hz_two_wheeler*G87,0))</f>
        <v/>
      </c>
      <c r="AR88" s="46">
        <f>AQ88*IF(B88&gt;=in_marketplace_from,d_hz_two_wheeler*G88,0)</f>
        <v/>
      </c>
      <c r="AS88" s="14">
        <f>F88*AR88*in_two_wheeler_ticket*in_two_wheeler_comm*in_ins_partner_share+F88*in_two_wheeler_ticket*in_two_wheeler_comm*in_ins_partner_share*(in_two_wheeler_renew^1*SUMIFS(AR62:AR120,B62:B120,B88-12)+in_two_wheeler_renew^2*SUMIFS(AR62:AR120,B62:B120,B88-24)+in_two_wheeler_renew^3*SUMIFS(AR62:AR120,B62:B120,B88-36)+in_two_wheeler_renew^4*SUMIFS(AR62:AR120,B62:B120,B88-48))</f>
        <v/>
      </c>
      <c r="AT88" s="40">
        <f>AT87*(1-IF(B87&gt;=in_marketplace_from,d_hz_device*G87,0))</f>
        <v/>
      </c>
      <c r="AU88" s="14">
        <f>F88*AT88*IF(B88&gt;=in_marketplace_from,d_hz_device*G88,0)*in_device_ticket*in_device_comm*in_ins_partner_share</f>
        <v/>
      </c>
      <c r="AV88" s="40">
        <f>AV87*(1-IF(B87&gt;=in_marketplace_from,d_hz_shop*G87,0))</f>
        <v/>
      </c>
      <c r="AW88" s="46">
        <f>AV88*IF(B88&gt;=in_marketplace_from,d_hz_shop*G88,0)</f>
        <v/>
      </c>
      <c r="AX88" s="14">
        <f>F88*AW88*in_shop_ticket*in_shop_comm*in_ins_partner_share+F88*in_shop_ticket*in_shop_renew_comm*in_ins_partner_share*(in_shop_renew^1*SUMIFS(AW62:AW120,B62:B120,B88-12)+in_shop_renew^2*SUMIFS(AW62:AW120,B62:B120,B88-24)+in_shop_renew^3*SUMIFS(AW62:AW120,B62:B120,B88-36)+in_shop_renew^4*SUMIFS(AW62:AW120,B62:B120,B88-48))</f>
        <v/>
      </c>
      <c r="AY88" s="40">
        <f>AY87*(1-IF(B87&gt;=in_marketplace_from,d_hz_sip*G87,0))</f>
        <v/>
      </c>
      <c r="AZ88" s="40">
        <f>AZ87*d_rho_sip+AY88*IF(B88&gt;=in_marketplace_from,d_hz_sip*G88,0)</f>
        <v/>
      </c>
      <c r="BA88" s="40">
        <f>d_rho_sip*(BA87+AZ87)</f>
        <v/>
      </c>
      <c r="BB88" s="14">
        <f>F88*in_sip_ticket*(BA88+0.5*AZ88)*in_sip_comm/12</f>
        <v/>
      </c>
      <c r="BC88" s="40">
        <f>BC87*(1-IF(B87&gt;=in_marketplace_from,d_hz_choti*G87,0))</f>
        <v/>
      </c>
      <c r="BD88" s="46">
        <f>BC88*IF(B88&gt;=in_marketplace_from,d_hz_choti*G88,0)</f>
        <v/>
      </c>
      <c r="BE88" s="14">
        <f>F88*SUMIFS(BD62:BD120,B62:B120,B88-in_choti_months)*in_choti_renew*in_choti_ticket</f>
        <v/>
      </c>
      <c r="BF88" s="40">
        <f>BF87*(1-IF(B87&gt;=in_marketplace_from,d_hz_nps*G87,0))</f>
        <v/>
      </c>
      <c r="BG88" s="14">
        <f>F88*BF88*IF(B88&gt;=in_marketplace_from,d_hz_nps*G88,0)*in_nps_ticket*in_nps_comm</f>
        <v/>
      </c>
      <c r="BH88" s="40">
        <f>BH87*(1-IF(B87&gt;=in_marketplace_from,d_hz_gold*G87,0))</f>
        <v/>
      </c>
      <c r="BI88" s="40">
        <f>BI87*d_rho_gold+BH88*IF(B88&gt;=in_marketplace_from,d_hz_gold*G88,0)</f>
        <v/>
      </c>
      <c r="BJ88" s="14">
        <f>F88*BI88*in_gold_ticket*in_gold_comm</f>
        <v/>
      </c>
      <c r="BK88" s="40">
        <f>BK87*(1-IF(B87&gt;=in_marketplace_from,d_hz_fd*G87,0))</f>
        <v/>
      </c>
      <c r="BL88" s="14">
        <f>F88*BK88*IF(B88&gt;=in_marketplace_from,d_hz_fd*G88,0)*in_fd_ticket*in_fd_comm</f>
        <v/>
      </c>
      <c r="BM88" s="40">
        <f>BM87*(1-IF(B87&gt;=in_marketplace_from,d_hz_recharge*G87,0))</f>
        <v/>
      </c>
      <c r="BN88" s="40">
        <f>BN87*d_rho_recharge+BM88*IF(B88&gt;=in_marketplace_from,d_hz_recharge*G88,0)</f>
        <v/>
      </c>
      <c r="BO88" s="14">
        <f>F88*BN88*in_recharge_ticket*in_recharge_comm/12</f>
        <v/>
      </c>
      <c r="BP88" s="40">
        <f>BP87*(1-IF(B87&gt;=in_marketplace_from,d_hz_bills*G87,0))</f>
        <v/>
      </c>
      <c r="BQ88" s="40">
        <f>BQ87*d_rho_bills+BP88*IF(B88&gt;=in_marketplace_from,d_hz_bills*G88,0)</f>
        <v/>
      </c>
      <c r="BR88" s="14">
        <f>F88*BQ88*in_bills_ticket*in_bills_comm/12</f>
        <v/>
      </c>
      <c r="BS88" s="40">
        <f>BS87*(1-IF(B87&gt;=in_marketplace_from,d_hz_loan_gold*G87,0))</f>
        <v/>
      </c>
      <c r="BT88" s="14">
        <f>F88*BS88*IF(B88&gt;=in_marketplace_from,d_hz_loan_gold*G88,0)*in_loan_gold_ticket*in_loan_gold_comm</f>
        <v/>
      </c>
      <c r="BU88" s="40">
        <f>BU87*(1-IF(B87&gt;=in_marketplace_from,d_hz_loan_cd*G87,0))</f>
        <v/>
      </c>
      <c r="BV88" s="14">
        <f>F88*BU88*IF(B88&gt;=in_marketplace_from,d_hz_loan_cd*G88,0)*in_loan_cd_ticket*in_loan_cd_comm</f>
        <v/>
      </c>
      <c r="BW88" s="40">
        <f>BW87*(1-IF(B87&gt;=in_marketplace_from,d_hz_loan_vehicle*G87,0))</f>
        <v/>
      </c>
      <c r="BX88" s="14">
        <f>F88*BW88*IF(B88&gt;=in_marketplace_from,d_hz_loan_vehicle*G88,0)*in_loan_vehicle_ticket*in_loan_vehicle_comm</f>
        <v/>
      </c>
      <c r="BY88" s="40">
        <f>BY87*(1-IF(B87&gt;=in_marketplace_from,d_hz_loan_home*G87,0)*BZ87)</f>
        <v/>
      </c>
      <c r="BZ88" s="11">
        <f>MIN(in_approval_cap,in_loan_home_approval*INDEX('Age profile'!$O$2:$O$61,B88)*(1+in_approval_growth)^(D88-1))</f>
        <v/>
      </c>
      <c r="CA88" s="14">
        <f>F88*BY88*IF(B88&gt;=in_marketplace_from,d_hz_loan_home*G88,0)*BZ88*in_loan_home_ticket*in_loan_home_comm</f>
        <v/>
      </c>
      <c r="CB88" s="40">
        <f>CB87*(1-IF(B87&gt;=in_marketplace_from,d_hz_loan_lap*G87,0)*CC87)</f>
        <v/>
      </c>
      <c r="CC88" s="11">
        <f>MIN(in_approval_cap,in_loan_lap_approval*INDEX('Age profile'!$O$2:$O$61,B88)*(1+in_approval_growth)^(D88-1))</f>
        <v/>
      </c>
      <c r="CD88" s="14">
        <f>F88*CB88*IF(B88&gt;=in_marketplace_from,d_hz_loan_lap*G88,0)*CC88*in_loan_lap_ticket*in_loan_lap_comm</f>
        <v/>
      </c>
      <c r="CE88" s="14">
        <f>AA88+AB88+AC88+AD88+AG88+AJ88+AM88+AP88+AS88+AU88+AX88+BB88+BE88+BG88+BJ88+BL88+BO88+BR88+BT88+BV88+BX88+CA88+CD88</f>
        <v/>
      </c>
    </row>
    <row r="89">
      <c r="A89" s="39" t="n">
        <v>2</v>
      </c>
      <c r="B89" s="39" t="n">
        <v>28</v>
      </c>
      <c r="C89" s="39">
        <f>A89+B89-1</f>
        <v/>
      </c>
      <c r="D89" s="39">
        <f>INT((C89-1)/12)+1</f>
        <v/>
      </c>
      <c r="E89" s="44">
        <f>INDEX(Monthly!$B$2:$B$61,A89)</f>
        <v/>
      </c>
      <c r="F89" s="44">
        <f>E89*INDEX('Age profile'!$B$2:$B$61,B89)</f>
        <v/>
      </c>
      <c r="G89" s="45">
        <f>MIN(in_takeup_cap,INDEX('Age profile'!$N$2:$N$61,B89)*(1+in_takeup_growth)^(D89-1))</f>
        <v/>
      </c>
      <c r="H89" s="11">
        <f>MIN(in_approval_cap,in_approved_first*INDEX('Age profile'!$O$2:$O$61,B89)*(1+in_approval_growth)^(D89-1))</f>
        <v/>
      </c>
      <c r="I89" s="45">
        <f>G89*MIN(in_takeup_cap,INDEX('Age profile'!$O$2:$O$61,B89)*(1+in_approval_growth)^(D89-1))</f>
        <v/>
      </c>
      <c r="J89" s="40">
        <f>(J88-L88)*F89/F88</f>
        <v/>
      </c>
      <c r="K89" s="40">
        <f>(K88-M88)*F89/F88+SUMIFS(O62:O88,B62:B88,B89-1-d_T)*F89</f>
        <v/>
      </c>
      <c r="L89" s="40">
        <f>IF(B89&gt;=in_marketplace_from,J89*d_hz*G89*in_eligible*H89,0)</f>
        <v/>
      </c>
      <c r="M89" s="40">
        <f>IF(B89&gt;=in_marketplace_from,K89*d_hz*G89*in_eligible*in_approved_repeat,0)</f>
        <v/>
      </c>
      <c r="N89" s="40">
        <f>L89+M89</f>
        <v/>
      </c>
      <c r="O89" s="46">
        <f>N89/F89</f>
        <v/>
      </c>
      <c r="P89" s="40">
        <f>F89-J89-K89</f>
        <v/>
      </c>
      <c r="Q89" s="40">
        <f>IF(B89&gt;=in_marketplace_from,(J89+K89)*d_hz*G89,0)</f>
        <v/>
      </c>
      <c r="R89" s="40">
        <f>SUMIFS(N62:N120,B62:B120,"&gt;="&amp;(B89-d_T),B62:B120,"&lt;="&amp;(B89-1))</f>
        <v/>
      </c>
      <c r="S89" s="46">
        <f>(1-d_u)*S88+IF(d_T&gt;in_topup_lag,SUMIFS(O62:O120,B62:B120,B89-in_topup_lag)-d_udrop*SUMIFS(O62:O120,B62:B120,B89-d_T),0)</f>
        <v/>
      </c>
      <c r="T89" s="40">
        <f>F89*d_u*S89</f>
        <v/>
      </c>
      <c r="U89" s="9">
        <f>L89*in_ticket+M89*d_rep_ticket</f>
        <v/>
      </c>
      <c r="V89" s="9">
        <f>U89+T89*d_topup_amt</f>
        <v/>
      </c>
      <c r="W89" s="40">
        <f>N89+T89*d_topup_ratio</f>
        <v/>
      </c>
      <c r="X89" s="40">
        <f>SUMIFS(W62:W120,B62:B120,B89-in_dpd_lag)*d_cured</f>
        <v/>
      </c>
      <c r="Y89" s="40">
        <f>SUMIFS(W62:W120,B62:B120,B89-in_rec_lag)*d_recd</f>
        <v/>
      </c>
      <c r="Z89" s="40">
        <f>IF(AND(B89&gt;=in_marketplace_from,B89&lt;in_marketplace_from+in_card_months),in_card_share/in_card_months*F89*I89,IF(AND(B89&gt;=in_marketplace_from+in_card_months,B89&lt;in_marketplace_from+2*in_card_months),in_card_share*d_card_rem/in_card_months*F89*MIN(in_takeup_cap,(1+in_takeup_growth)^(D89-1))*MIN(in_takeup_cap,(1+in_approval_growth)^(D89-1)),0))</f>
        <v/>
      </c>
      <c r="AA89" s="14">
        <f>V89*in_fee*(1-in_taken_back)</f>
        <v/>
      </c>
      <c r="AB89" s="14">
        <f>SUMIFS(W62:W120,B62:B120,B89-in_dpd_lag)*d_dpd</f>
        <v/>
      </c>
      <c r="AC89" s="14">
        <f>SUMIFS(W62:W120,B62:B120,B89-in_rec_lag)*d_rec</f>
        <v/>
      </c>
      <c r="AD89" s="14">
        <f>Z89*in_card_fee</f>
        <v/>
      </c>
      <c r="AE89" s="40">
        <f>AE88*(1-IF(B88&gt;=in_marketplace_from,d_hz_hlth_small*G88,0))</f>
        <v/>
      </c>
      <c r="AF89" s="46">
        <f>AE89*IF(B89&gt;=in_marketplace_from,d_hz_hlth_small*G89,0)</f>
        <v/>
      </c>
      <c r="AG89" s="14">
        <f>F89*AF89*in_hlth_small_ticket*in_hlth_small_comm*in_ins_partner_share+F89*in_hlth_small_ticket*in_hlth_small_renew_comm*in_ins_partner_share*(in_hlth_small_renew^1*SUMIFS(AF62:AF120,B62:B120,B89-12)+in_hlth_small_renew^2*SUMIFS(AF62:AF120,B62:B120,B89-24)+in_hlth_small_renew^3*SUMIFS(AF62:AF120,B62:B120,B89-36)+in_hlth_small_renew^4*SUMIFS(AF62:AF120,B62:B120,B89-48))</f>
        <v/>
      </c>
      <c r="AH89" s="40">
        <f>AH88*(1-IF(B88&gt;=in_marketplace_from,d_hz_hlth_family*G88,0))</f>
        <v/>
      </c>
      <c r="AI89" s="46">
        <f>AH89*IF(B89&gt;=in_marketplace_from,d_hz_hlth_family*G89,0)</f>
        <v/>
      </c>
      <c r="AJ89" s="14">
        <f>F89*AI89*in_hlth_family_ticket*in_hlth_family_comm*in_ins_partner_share+F89*in_hlth_family_ticket*in_hlth_family_renew_comm*in_ins_partner_share*(in_hlth_family_renew^1*SUMIFS(AI62:AI120,B62:B120,B89-12)+in_hlth_family_renew^2*SUMIFS(AI62:AI120,B62:B120,B89-24)+in_hlth_family_renew^3*SUMIFS(AI62:AI120,B62:B120,B89-36)+in_hlth_family_renew^4*SUMIFS(AI62:AI120,B62:B120,B89-48))</f>
        <v/>
      </c>
      <c r="AK89" s="40">
        <f>AK88*(1-IF(B88&gt;=in_marketplace_from,d_hz_life_term*G88,0))</f>
        <v/>
      </c>
      <c r="AL89" s="46">
        <f>AK89*IF(B89&gt;=in_marketplace_from,d_hz_life_term*G89,0)</f>
        <v/>
      </c>
      <c r="AM89" s="14">
        <f>F89*AL89*in_life_term_ticket*in_life_term_comm*in_ins_partner_share+F89*in_life_term_ticket*in_life_term_renew_comm*in_ins_partner_share*(in_life_term_renew^1*SUMIFS(AL62:AL120,B62:B120,B89-12)+in_life_term_renew^2*SUMIFS(AL62:AL120,B62:B120,B89-24)+in_life_term_renew^3*SUMIFS(AL62:AL120,B62:B120,B89-36)+in_life_term_renew^4*SUMIFS(AL62:AL120,B62:B120,B89-48))</f>
        <v/>
      </c>
      <c r="AN89" s="40">
        <f>AN88*(1-IF(B88&gt;=in_marketplace_from,d_hz_accident*G88,0))</f>
        <v/>
      </c>
      <c r="AO89" s="46">
        <f>AN89*IF(B89&gt;=in_marketplace_from,d_hz_accident*G89,0)</f>
        <v/>
      </c>
      <c r="AP89" s="14">
        <f>F89*AO89*in_accident_ticket*in_accident_comm*in_ins_partner_share+F89*in_accident_ticket*in_accident_renew_comm*in_ins_partner_share*(in_accident_renew^1*SUMIFS(AO62:AO120,B62:B120,B89-12)+in_accident_renew^2*SUMIFS(AO62:AO120,B62:B120,B89-24)+in_accident_renew^3*SUMIFS(AO62:AO120,B62:B120,B89-36)+in_accident_renew^4*SUMIFS(AO62:AO120,B62:B120,B89-48))</f>
        <v/>
      </c>
      <c r="AQ89" s="40">
        <f>AQ88*(1-IF(B88&gt;=in_marketplace_from,d_hz_two_wheeler*G88,0))</f>
        <v/>
      </c>
      <c r="AR89" s="46">
        <f>AQ89*IF(B89&gt;=in_marketplace_from,d_hz_two_wheeler*G89,0)</f>
        <v/>
      </c>
      <c r="AS89" s="14">
        <f>F89*AR89*in_two_wheeler_ticket*in_two_wheeler_comm*in_ins_partner_share+F89*in_two_wheeler_ticket*in_two_wheeler_comm*in_ins_partner_share*(in_two_wheeler_renew^1*SUMIFS(AR62:AR120,B62:B120,B89-12)+in_two_wheeler_renew^2*SUMIFS(AR62:AR120,B62:B120,B89-24)+in_two_wheeler_renew^3*SUMIFS(AR62:AR120,B62:B120,B89-36)+in_two_wheeler_renew^4*SUMIFS(AR62:AR120,B62:B120,B89-48))</f>
        <v/>
      </c>
      <c r="AT89" s="40">
        <f>AT88*(1-IF(B88&gt;=in_marketplace_from,d_hz_device*G88,0))</f>
        <v/>
      </c>
      <c r="AU89" s="14">
        <f>F89*AT89*IF(B89&gt;=in_marketplace_from,d_hz_device*G89,0)*in_device_ticket*in_device_comm*in_ins_partner_share</f>
        <v/>
      </c>
      <c r="AV89" s="40">
        <f>AV88*(1-IF(B88&gt;=in_marketplace_from,d_hz_shop*G88,0))</f>
        <v/>
      </c>
      <c r="AW89" s="46">
        <f>AV89*IF(B89&gt;=in_marketplace_from,d_hz_shop*G89,0)</f>
        <v/>
      </c>
      <c r="AX89" s="14">
        <f>F89*AW89*in_shop_ticket*in_shop_comm*in_ins_partner_share+F89*in_shop_ticket*in_shop_renew_comm*in_ins_partner_share*(in_shop_renew^1*SUMIFS(AW62:AW120,B62:B120,B89-12)+in_shop_renew^2*SUMIFS(AW62:AW120,B62:B120,B89-24)+in_shop_renew^3*SUMIFS(AW62:AW120,B62:B120,B89-36)+in_shop_renew^4*SUMIFS(AW62:AW120,B62:B120,B89-48))</f>
        <v/>
      </c>
      <c r="AY89" s="40">
        <f>AY88*(1-IF(B88&gt;=in_marketplace_from,d_hz_sip*G88,0))</f>
        <v/>
      </c>
      <c r="AZ89" s="40">
        <f>AZ88*d_rho_sip+AY89*IF(B89&gt;=in_marketplace_from,d_hz_sip*G89,0)</f>
        <v/>
      </c>
      <c r="BA89" s="40">
        <f>d_rho_sip*(BA88+AZ88)</f>
        <v/>
      </c>
      <c r="BB89" s="14">
        <f>F89*in_sip_ticket*(BA89+0.5*AZ89)*in_sip_comm/12</f>
        <v/>
      </c>
      <c r="BC89" s="40">
        <f>BC88*(1-IF(B88&gt;=in_marketplace_from,d_hz_choti*G88,0))</f>
        <v/>
      </c>
      <c r="BD89" s="46">
        <f>BC89*IF(B89&gt;=in_marketplace_from,d_hz_choti*G89,0)</f>
        <v/>
      </c>
      <c r="BE89" s="14">
        <f>F89*SUMIFS(BD62:BD120,B62:B120,B89-in_choti_months)*in_choti_renew*in_choti_ticket</f>
        <v/>
      </c>
      <c r="BF89" s="40">
        <f>BF88*(1-IF(B88&gt;=in_marketplace_from,d_hz_nps*G88,0))</f>
        <v/>
      </c>
      <c r="BG89" s="14">
        <f>F89*BF89*IF(B89&gt;=in_marketplace_from,d_hz_nps*G89,0)*in_nps_ticket*in_nps_comm</f>
        <v/>
      </c>
      <c r="BH89" s="40">
        <f>BH88*(1-IF(B88&gt;=in_marketplace_from,d_hz_gold*G88,0))</f>
        <v/>
      </c>
      <c r="BI89" s="40">
        <f>BI88*d_rho_gold+BH89*IF(B89&gt;=in_marketplace_from,d_hz_gold*G89,0)</f>
        <v/>
      </c>
      <c r="BJ89" s="14">
        <f>F89*BI89*in_gold_ticket*in_gold_comm</f>
        <v/>
      </c>
      <c r="BK89" s="40">
        <f>BK88*(1-IF(B88&gt;=in_marketplace_from,d_hz_fd*G88,0))</f>
        <v/>
      </c>
      <c r="BL89" s="14">
        <f>F89*BK89*IF(B89&gt;=in_marketplace_from,d_hz_fd*G89,0)*in_fd_ticket*in_fd_comm</f>
        <v/>
      </c>
      <c r="BM89" s="40">
        <f>BM88*(1-IF(B88&gt;=in_marketplace_from,d_hz_recharge*G88,0))</f>
        <v/>
      </c>
      <c r="BN89" s="40">
        <f>BN88*d_rho_recharge+BM89*IF(B89&gt;=in_marketplace_from,d_hz_recharge*G89,0)</f>
        <v/>
      </c>
      <c r="BO89" s="14">
        <f>F89*BN89*in_recharge_ticket*in_recharge_comm/12</f>
        <v/>
      </c>
      <c r="BP89" s="40">
        <f>BP88*(1-IF(B88&gt;=in_marketplace_from,d_hz_bills*G88,0))</f>
        <v/>
      </c>
      <c r="BQ89" s="40">
        <f>BQ88*d_rho_bills+BP89*IF(B89&gt;=in_marketplace_from,d_hz_bills*G89,0)</f>
        <v/>
      </c>
      <c r="BR89" s="14">
        <f>F89*BQ89*in_bills_ticket*in_bills_comm/12</f>
        <v/>
      </c>
      <c r="BS89" s="40">
        <f>BS88*(1-IF(B88&gt;=in_marketplace_from,d_hz_loan_gold*G88,0))</f>
        <v/>
      </c>
      <c r="BT89" s="14">
        <f>F89*BS89*IF(B89&gt;=in_marketplace_from,d_hz_loan_gold*G89,0)*in_loan_gold_ticket*in_loan_gold_comm</f>
        <v/>
      </c>
      <c r="BU89" s="40">
        <f>BU88*(1-IF(B88&gt;=in_marketplace_from,d_hz_loan_cd*G88,0))</f>
        <v/>
      </c>
      <c r="BV89" s="14">
        <f>F89*BU89*IF(B89&gt;=in_marketplace_from,d_hz_loan_cd*G89,0)*in_loan_cd_ticket*in_loan_cd_comm</f>
        <v/>
      </c>
      <c r="BW89" s="40">
        <f>BW88*(1-IF(B88&gt;=in_marketplace_from,d_hz_loan_vehicle*G88,0))</f>
        <v/>
      </c>
      <c r="BX89" s="14">
        <f>F89*BW89*IF(B89&gt;=in_marketplace_from,d_hz_loan_vehicle*G89,0)*in_loan_vehicle_ticket*in_loan_vehicle_comm</f>
        <v/>
      </c>
      <c r="BY89" s="40">
        <f>BY88*(1-IF(B88&gt;=in_marketplace_from,d_hz_loan_home*G88,0)*BZ88)</f>
        <v/>
      </c>
      <c r="BZ89" s="11">
        <f>MIN(in_approval_cap,in_loan_home_approval*INDEX('Age profile'!$O$2:$O$61,B89)*(1+in_approval_growth)^(D89-1))</f>
        <v/>
      </c>
      <c r="CA89" s="14">
        <f>F89*BY89*IF(B89&gt;=in_marketplace_from,d_hz_loan_home*G89,0)*BZ89*in_loan_home_ticket*in_loan_home_comm</f>
        <v/>
      </c>
      <c r="CB89" s="40">
        <f>CB88*(1-IF(B88&gt;=in_marketplace_from,d_hz_loan_lap*G88,0)*CC88)</f>
        <v/>
      </c>
      <c r="CC89" s="11">
        <f>MIN(in_approval_cap,in_loan_lap_approval*INDEX('Age profile'!$O$2:$O$61,B89)*(1+in_approval_growth)^(D89-1))</f>
        <v/>
      </c>
      <c r="CD89" s="14">
        <f>F89*CB89*IF(B89&gt;=in_marketplace_from,d_hz_loan_lap*G89,0)*CC89*in_loan_lap_ticket*in_loan_lap_comm</f>
        <v/>
      </c>
      <c r="CE89" s="14">
        <f>AA89+AB89+AC89+AD89+AG89+AJ89+AM89+AP89+AS89+AU89+AX89+BB89+BE89+BG89+BJ89+BL89+BO89+BR89+BT89+BV89+BX89+CA89+CD89</f>
        <v/>
      </c>
    </row>
    <row r="90">
      <c r="A90" s="39" t="n">
        <v>2</v>
      </c>
      <c r="B90" s="39" t="n">
        <v>29</v>
      </c>
      <c r="C90" s="39">
        <f>A90+B90-1</f>
        <v/>
      </c>
      <c r="D90" s="39">
        <f>INT((C90-1)/12)+1</f>
        <v/>
      </c>
      <c r="E90" s="44">
        <f>INDEX(Monthly!$B$2:$B$61,A90)</f>
        <v/>
      </c>
      <c r="F90" s="44">
        <f>E90*INDEX('Age profile'!$B$2:$B$61,B90)</f>
        <v/>
      </c>
      <c r="G90" s="45">
        <f>MIN(in_takeup_cap,INDEX('Age profile'!$N$2:$N$61,B90)*(1+in_takeup_growth)^(D90-1))</f>
        <v/>
      </c>
      <c r="H90" s="11">
        <f>MIN(in_approval_cap,in_approved_first*INDEX('Age profile'!$O$2:$O$61,B90)*(1+in_approval_growth)^(D90-1))</f>
        <v/>
      </c>
      <c r="I90" s="45">
        <f>G90*MIN(in_takeup_cap,INDEX('Age profile'!$O$2:$O$61,B90)*(1+in_approval_growth)^(D90-1))</f>
        <v/>
      </c>
      <c r="J90" s="40">
        <f>(J89-L89)*F90/F89</f>
        <v/>
      </c>
      <c r="K90" s="40">
        <f>(K89-M89)*F90/F89+SUMIFS(O62:O89,B62:B89,B90-1-d_T)*F90</f>
        <v/>
      </c>
      <c r="L90" s="40">
        <f>IF(B90&gt;=in_marketplace_from,J90*d_hz*G90*in_eligible*H90,0)</f>
        <v/>
      </c>
      <c r="M90" s="40">
        <f>IF(B90&gt;=in_marketplace_from,K90*d_hz*G90*in_eligible*in_approved_repeat,0)</f>
        <v/>
      </c>
      <c r="N90" s="40">
        <f>L90+M90</f>
        <v/>
      </c>
      <c r="O90" s="46">
        <f>N90/F90</f>
        <v/>
      </c>
      <c r="P90" s="40">
        <f>F90-J90-K90</f>
        <v/>
      </c>
      <c r="Q90" s="40">
        <f>IF(B90&gt;=in_marketplace_from,(J90+K90)*d_hz*G90,0)</f>
        <v/>
      </c>
      <c r="R90" s="40">
        <f>SUMIFS(N62:N120,B62:B120,"&gt;="&amp;(B90-d_T),B62:B120,"&lt;="&amp;(B90-1))</f>
        <v/>
      </c>
      <c r="S90" s="46">
        <f>(1-d_u)*S89+IF(d_T&gt;in_topup_lag,SUMIFS(O62:O120,B62:B120,B90-in_topup_lag)-d_udrop*SUMIFS(O62:O120,B62:B120,B90-d_T),0)</f>
        <v/>
      </c>
      <c r="T90" s="40">
        <f>F90*d_u*S90</f>
        <v/>
      </c>
      <c r="U90" s="9">
        <f>L90*in_ticket+M90*d_rep_ticket</f>
        <v/>
      </c>
      <c r="V90" s="9">
        <f>U90+T90*d_topup_amt</f>
        <v/>
      </c>
      <c r="W90" s="40">
        <f>N90+T90*d_topup_ratio</f>
        <v/>
      </c>
      <c r="X90" s="40">
        <f>SUMIFS(W62:W120,B62:B120,B90-in_dpd_lag)*d_cured</f>
        <v/>
      </c>
      <c r="Y90" s="40">
        <f>SUMIFS(W62:W120,B62:B120,B90-in_rec_lag)*d_recd</f>
        <v/>
      </c>
      <c r="Z90" s="40">
        <f>IF(AND(B90&gt;=in_marketplace_from,B90&lt;in_marketplace_from+in_card_months),in_card_share/in_card_months*F90*I90,IF(AND(B90&gt;=in_marketplace_from+in_card_months,B90&lt;in_marketplace_from+2*in_card_months),in_card_share*d_card_rem/in_card_months*F90*MIN(in_takeup_cap,(1+in_takeup_growth)^(D90-1))*MIN(in_takeup_cap,(1+in_approval_growth)^(D90-1)),0))</f>
        <v/>
      </c>
      <c r="AA90" s="14">
        <f>V90*in_fee*(1-in_taken_back)</f>
        <v/>
      </c>
      <c r="AB90" s="14">
        <f>SUMIFS(W62:W120,B62:B120,B90-in_dpd_lag)*d_dpd</f>
        <v/>
      </c>
      <c r="AC90" s="14">
        <f>SUMIFS(W62:W120,B62:B120,B90-in_rec_lag)*d_rec</f>
        <v/>
      </c>
      <c r="AD90" s="14">
        <f>Z90*in_card_fee</f>
        <v/>
      </c>
      <c r="AE90" s="40">
        <f>AE89*(1-IF(B89&gt;=in_marketplace_from,d_hz_hlth_small*G89,0))</f>
        <v/>
      </c>
      <c r="AF90" s="46">
        <f>AE90*IF(B90&gt;=in_marketplace_from,d_hz_hlth_small*G90,0)</f>
        <v/>
      </c>
      <c r="AG90" s="14">
        <f>F90*AF90*in_hlth_small_ticket*in_hlth_small_comm*in_ins_partner_share+F90*in_hlth_small_ticket*in_hlth_small_renew_comm*in_ins_partner_share*(in_hlth_small_renew^1*SUMIFS(AF62:AF120,B62:B120,B90-12)+in_hlth_small_renew^2*SUMIFS(AF62:AF120,B62:B120,B90-24)+in_hlth_small_renew^3*SUMIFS(AF62:AF120,B62:B120,B90-36)+in_hlth_small_renew^4*SUMIFS(AF62:AF120,B62:B120,B90-48))</f>
        <v/>
      </c>
      <c r="AH90" s="40">
        <f>AH89*(1-IF(B89&gt;=in_marketplace_from,d_hz_hlth_family*G89,0))</f>
        <v/>
      </c>
      <c r="AI90" s="46">
        <f>AH90*IF(B90&gt;=in_marketplace_from,d_hz_hlth_family*G90,0)</f>
        <v/>
      </c>
      <c r="AJ90" s="14">
        <f>F90*AI90*in_hlth_family_ticket*in_hlth_family_comm*in_ins_partner_share+F90*in_hlth_family_ticket*in_hlth_family_renew_comm*in_ins_partner_share*(in_hlth_family_renew^1*SUMIFS(AI62:AI120,B62:B120,B90-12)+in_hlth_family_renew^2*SUMIFS(AI62:AI120,B62:B120,B90-24)+in_hlth_family_renew^3*SUMIFS(AI62:AI120,B62:B120,B90-36)+in_hlth_family_renew^4*SUMIFS(AI62:AI120,B62:B120,B90-48))</f>
        <v/>
      </c>
      <c r="AK90" s="40">
        <f>AK89*(1-IF(B89&gt;=in_marketplace_from,d_hz_life_term*G89,0))</f>
        <v/>
      </c>
      <c r="AL90" s="46">
        <f>AK90*IF(B90&gt;=in_marketplace_from,d_hz_life_term*G90,0)</f>
        <v/>
      </c>
      <c r="AM90" s="14">
        <f>F90*AL90*in_life_term_ticket*in_life_term_comm*in_ins_partner_share+F90*in_life_term_ticket*in_life_term_renew_comm*in_ins_partner_share*(in_life_term_renew^1*SUMIFS(AL62:AL120,B62:B120,B90-12)+in_life_term_renew^2*SUMIFS(AL62:AL120,B62:B120,B90-24)+in_life_term_renew^3*SUMIFS(AL62:AL120,B62:B120,B90-36)+in_life_term_renew^4*SUMIFS(AL62:AL120,B62:B120,B90-48))</f>
        <v/>
      </c>
      <c r="AN90" s="40">
        <f>AN89*(1-IF(B89&gt;=in_marketplace_from,d_hz_accident*G89,0))</f>
        <v/>
      </c>
      <c r="AO90" s="46">
        <f>AN90*IF(B90&gt;=in_marketplace_from,d_hz_accident*G90,0)</f>
        <v/>
      </c>
      <c r="AP90" s="14">
        <f>F90*AO90*in_accident_ticket*in_accident_comm*in_ins_partner_share+F90*in_accident_ticket*in_accident_renew_comm*in_ins_partner_share*(in_accident_renew^1*SUMIFS(AO62:AO120,B62:B120,B90-12)+in_accident_renew^2*SUMIFS(AO62:AO120,B62:B120,B90-24)+in_accident_renew^3*SUMIFS(AO62:AO120,B62:B120,B90-36)+in_accident_renew^4*SUMIFS(AO62:AO120,B62:B120,B90-48))</f>
        <v/>
      </c>
      <c r="AQ90" s="40">
        <f>AQ89*(1-IF(B89&gt;=in_marketplace_from,d_hz_two_wheeler*G89,0))</f>
        <v/>
      </c>
      <c r="AR90" s="46">
        <f>AQ90*IF(B90&gt;=in_marketplace_from,d_hz_two_wheeler*G90,0)</f>
        <v/>
      </c>
      <c r="AS90" s="14">
        <f>F90*AR90*in_two_wheeler_ticket*in_two_wheeler_comm*in_ins_partner_share+F90*in_two_wheeler_ticket*in_two_wheeler_comm*in_ins_partner_share*(in_two_wheeler_renew^1*SUMIFS(AR62:AR120,B62:B120,B90-12)+in_two_wheeler_renew^2*SUMIFS(AR62:AR120,B62:B120,B90-24)+in_two_wheeler_renew^3*SUMIFS(AR62:AR120,B62:B120,B90-36)+in_two_wheeler_renew^4*SUMIFS(AR62:AR120,B62:B120,B90-48))</f>
        <v/>
      </c>
      <c r="AT90" s="40">
        <f>AT89*(1-IF(B89&gt;=in_marketplace_from,d_hz_device*G89,0))</f>
        <v/>
      </c>
      <c r="AU90" s="14">
        <f>F90*AT90*IF(B90&gt;=in_marketplace_from,d_hz_device*G90,0)*in_device_ticket*in_device_comm*in_ins_partner_share</f>
        <v/>
      </c>
      <c r="AV90" s="40">
        <f>AV89*(1-IF(B89&gt;=in_marketplace_from,d_hz_shop*G89,0))</f>
        <v/>
      </c>
      <c r="AW90" s="46">
        <f>AV90*IF(B90&gt;=in_marketplace_from,d_hz_shop*G90,0)</f>
        <v/>
      </c>
      <c r="AX90" s="14">
        <f>F90*AW90*in_shop_ticket*in_shop_comm*in_ins_partner_share+F90*in_shop_ticket*in_shop_renew_comm*in_ins_partner_share*(in_shop_renew^1*SUMIFS(AW62:AW120,B62:B120,B90-12)+in_shop_renew^2*SUMIFS(AW62:AW120,B62:B120,B90-24)+in_shop_renew^3*SUMIFS(AW62:AW120,B62:B120,B90-36)+in_shop_renew^4*SUMIFS(AW62:AW120,B62:B120,B90-48))</f>
        <v/>
      </c>
      <c r="AY90" s="40">
        <f>AY89*(1-IF(B89&gt;=in_marketplace_from,d_hz_sip*G89,0))</f>
        <v/>
      </c>
      <c r="AZ90" s="40">
        <f>AZ89*d_rho_sip+AY90*IF(B90&gt;=in_marketplace_from,d_hz_sip*G90,0)</f>
        <v/>
      </c>
      <c r="BA90" s="40">
        <f>d_rho_sip*(BA89+AZ89)</f>
        <v/>
      </c>
      <c r="BB90" s="14">
        <f>F90*in_sip_ticket*(BA90+0.5*AZ90)*in_sip_comm/12</f>
        <v/>
      </c>
      <c r="BC90" s="40">
        <f>BC89*(1-IF(B89&gt;=in_marketplace_from,d_hz_choti*G89,0))</f>
        <v/>
      </c>
      <c r="BD90" s="46">
        <f>BC90*IF(B90&gt;=in_marketplace_from,d_hz_choti*G90,0)</f>
        <v/>
      </c>
      <c r="BE90" s="14">
        <f>F90*SUMIFS(BD62:BD120,B62:B120,B90-in_choti_months)*in_choti_renew*in_choti_ticket</f>
        <v/>
      </c>
      <c r="BF90" s="40">
        <f>BF89*(1-IF(B89&gt;=in_marketplace_from,d_hz_nps*G89,0))</f>
        <v/>
      </c>
      <c r="BG90" s="14">
        <f>F90*BF90*IF(B90&gt;=in_marketplace_from,d_hz_nps*G90,0)*in_nps_ticket*in_nps_comm</f>
        <v/>
      </c>
      <c r="BH90" s="40">
        <f>BH89*(1-IF(B89&gt;=in_marketplace_from,d_hz_gold*G89,0))</f>
        <v/>
      </c>
      <c r="BI90" s="40">
        <f>BI89*d_rho_gold+BH90*IF(B90&gt;=in_marketplace_from,d_hz_gold*G90,0)</f>
        <v/>
      </c>
      <c r="BJ90" s="14">
        <f>F90*BI90*in_gold_ticket*in_gold_comm</f>
        <v/>
      </c>
      <c r="BK90" s="40">
        <f>BK89*(1-IF(B89&gt;=in_marketplace_from,d_hz_fd*G89,0))</f>
        <v/>
      </c>
      <c r="BL90" s="14">
        <f>F90*BK90*IF(B90&gt;=in_marketplace_from,d_hz_fd*G90,0)*in_fd_ticket*in_fd_comm</f>
        <v/>
      </c>
      <c r="BM90" s="40">
        <f>BM89*(1-IF(B89&gt;=in_marketplace_from,d_hz_recharge*G89,0))</f>
        <v/>
      </c>
      <c r="BN90" s="40">
        <f>BN89*d_rho_recharge+BM90*IF(B90&gt;=in_marketplace_from,d_hz_recharge*G90,0)</f>
        <v/>
      </c>
      <c r="BO90" s="14">
        <f>F90*BN90*in_recharge_ticket*in_recharge_comm/12</f>
        <v/>
      </c>
      <c r="BP90" s="40">
        <f>BP89*(1-IF(B89&gt;=in_marketplace_from,d_hz_bills*G89,0))</f>
        <v/>
      </c>
      <c r="BQ90" s="40">
        <f>BQ89*d_rho_bills+BP90*IF(B90&gt;=in_marketplace_from,d_hz_bills*G90,0)</f>
        <v/>
      </c>
      <c r="BR90" s="14">
        <f>F90*BQ90*in_bills_ticket*in_bills_comm/12</f>
        <v/>
      </c>
      <c r="BS90" s="40">
        <f>BS89*(1-IF(B89&gt;=in_marketplace_from,d_hz_loan_gold*G89,0))</f>
        <v/>
      </c>
      <c r="BT90" s="14">
        <f>F90*BS90*IF(B90&gt;=in_marketplace_from,d_hz_loan_gold*G90,0)*in_loan_gold_ticket*in_loan_gold_comm</f>
        <v/>
      </c>
      <c r="BU90" s="40">
        <f>BU89*(1-IF(B89&gt;=in_marketplace_from,d_hz_loan_cd*G89,0))</f>
        <v/>
      </c>
      <c r="BV90" s="14">
        <f>F90*BU90*IF(B90&gt;=in_marketplace_from,d_hz_loan_cd*G90,0)*in_loan_cd_ticket*in_loan_cd_comm</f>
        <v/>
      </c>
      <c r="BW90" s="40">
        <f>BW89*(1-IF(B89&gt;=in_marketplace_from,d_hz_loan_vehicle*G89,0))</f>
        <v/>
      </c>
      <c r="BX90" s="14">
        <f>F90*BW90*IF(B90&gt;=in_marketplace_from,d_hz_loan_vehicle*G90,0)*in_loan_vehicle_ticket*in_loan_vehicle_comm</f>
        <v/>
      </c>
      <c r="BY90" s="40">
        <f>BY89*(1-IF(B89&gt;=in_marketplace_from,d_hz_loan_home*G89,0)*BZ89)</f>
        <v/>
      </c>
      <c r="BZ90" s="11">
        <f>MIN(in_approval_cap,in_loan_home_approval*INDEX('Age profile'!$O$2:$O$61,B90)*(1+in_approval_growth)^(D90-1))</f>
        <v/>
      </c>
      <c r="CA90" s="14">
        <f>F90*BY90*IF(B90&gt;=in_marketplace_from,d_hz_loan_home*G90,0)*BZ90*in_loan_home_ticket*in_loan_home_comm</f>
        <v/>
      </c>
      <c r="CB90" s="40">
        <f>CB89*(1-IF(B89&gt;=in_marketplace_from,d_hz_loan_lap*G89,0)*CC89)</f>
        <v/>
      </c>
      <c r="CC90" s="11">
        <f>MIN(in_approval_cap,in_loan_lap_approval*INDEX('Age profile'!$O$2:$O$61,B90)*(1+in_approval_growth)^(D90-1))</f>
        <v/>
      </c>
      <c r="CD90" s="14">
        <f>F90*CB90*IF(B90&gt;=in_marketplace_from,d_hz_loan_lap*G90,0)*CC90*in_loan_lap_ticket*in_loan_lap_comm</f>
        <v/>
      </c>
      <c r="CE90" s="14">
        <f>AA90+AB90+AC90+AD90+AG90+AJ90+AM90+AP90+AS90+AU90+AX90+BB90+BE90+BG90+BJ90+BL90+BO90+BR90+BT90+BV90+BX90+CA90+CD90</f>
        <v/>
      </c>
    </row>
    <row r="91">
      <c r="A91" s="39" t="n">
        <v>2</v>
      </c>
      <c r="B91" s="39" t="n">
        <v>30</v>
      </c>
      <c r="C91" s="39">
        <f>A91+B91-1</f>
        <v/>
      </c>
      <c r="D91" s="39">
        <f>INT((C91-1)/12)+1</f>
        <v/>
      </c>
      <c r="E91" s="44">
        <f>INDEX(Monthly!$B$2:$B$61,A91)</f>
        <v/>
      </c>
      <c r="F91" s="44">
        <f>E91*INDEX('Age profile'!$B$2:$B$61,B91)</f>
        <v/>
      </c>
      <c r="G91" s="45">
        <f>MIN(in_takeup_cap,INDEX('Age profile'!$N$2:$N$61,B91)*(1+in_takeup_growth)^(D91-1))</f>
        <v/>
      </c>
      <c r="H91" s="11">
        <f>MIN(in_approval_cap,in_approved_first*INDEX('Age profile'!$O$2:$O$61,B91)*(1+in_approval_growth)^(D91-1))</f>
        <v/>
      </c>
      <c r="I91" s="45">
        <f>G91*MIN(in_takeup_cap,INDEX('Age profile'!$O$2:$O$61,B91)*(1+in_approval_growth)^(D91-1))</f>
        <v/>
      </c>
      <c r="J91" s="40">
        <f>(J90-L90)*F91/F90</f>
        <v/>
      </c>
      <c r="K91" s="40">
        <f>(K90-M90)*F91/F90+SUMIFS(O62:O90,B62:B90,B91-1-d_T)*F91</f>
        <v/>
      </c>
      <c r="L91" s="40">
        <f>IF(B91&gt;=in_marketplace_from,J91*d_hz*G91*in_eligible*H91,0)</f>
        <v/>
      </c>
      <c r="M91" s="40">
        <f>IF(B91&gt;=in_marketplace_from,K91*d_hz*G91*in_eligible*in_approved_repeat,0)</f>
        <v/>
      </c>
      <c r="N91" s="40">
        <f>L91+M91</f>
        <v/>
      </c>
      <c r="O91" s="46">
        <f>N91/F91</f>
        <v/>
      </c>
      <c r="P91" s="40">
        <f>F91-J91-K91</f>
        <v/>
      </c>
      <c r="Q91" s="40">
        <f>IF(B91&gt;=in_marketplace_from,(J91+K91)*d_hz*G91,0)</f>
        <v/>
      </c>
      <c r="R91" s="40">
        <f>SUMIFS(N62:N120,B62:B120,"&gt;="&amp;(B91-d_T),B62:B120,"&lt;="&amp;(B91-1))</f>
        <v/>
      </c>
      <c r="S91" s="46">
        <f>(1-d_u)*S90+IF(d_T&gt;in_topup_lag,SUMIFS(O62:O120,B62:B120,B91-in_topup_lag)-d_udrop*SUMIFS(O62:O120,B62:B120,B91-d_T),0)</f>
        <v/>
      </c>
      <c r="T91" s="40">
        <f>F91*d_u*S91</f>
        <v/>
      </c>
      <c r="U91" s="9">
        <f>L91*in_ticket+M91*d_rep_ticket</f>
        <v/>
      </c>
      <c r="V91" s="9">
        <f>U91+T91*d_topup_amt</f>
        <v/>
      </c>
      <c r="W91" s="40">
        <f>N91+T91*d_topup_ratio</f>
        <v/>
      </c>
      <c r="X91" s="40">
        <f>SUMIFS(W62:W120,B62:B120,B91-in_dpd_lag)*d_cured</f>
        <v/>
      </c>
      <c r="Y91" s="40">
        <f>SUMIFS(W62:W120,B62:B120,B91-in_rec_lag)*d_recd</f>
        <v/>
      </c>
      <c r="Z91" s="40">
        <f>IF(AND(B91&gt;=in_marketplace_from,B91&lt;in_marketplace_from+in_card_months),in_card_share/in_card_months*F91*I91,IF(AND(B91&gt;=in_marketplace_from+in_card_months,B91&lt;in_marketplace_from+2*in_card_months),in_card_share*d_card_rem/in_card_months*F91*MIN(in_takeup_cap,(1+in_takeup_growth)^(D91-1))*MIN(in_takeup_cap,(1+in_approval_growth)^(D91-1)),0))</f>
        <v/>
      </c>
      <c r="AA91" s="14">
        <f>V91*in_fee*(1-in_taken_back)</f>
        <v/>
      </c>
      <c r="AB91" s="14">
        <f>SUMIFS(W62:W120,B62:B120,B91-in_dpd_lag)*d_dpd</f>
        <v/>
      </c>
      <c r="AC91" s="14">
        <f>SUMIFS(W62:W120,B62:B120,B91-in_rec_lag)*d_rec</f>
        <v/>
      </c>
      <c r="AD91" s="14">
        <f>Z91*in_card_fee</f>
        <v/>
      </c>
      <c r="AE91" s="40">
        <f>AE90*(1-IF(B90&gt;=in_marketplace_from,d_hz_hlth_small*G90,0))</f>
        <v/>
      </c>
      <c r="AF91" s="46">
        <f>AE91*IF(B91&gt;=in_marketplace_from,d_hz_hlth_small*G91,0)</f>
        <v/>
      </c>
      <c r="AG91" s="14">
        <f>F91*AF91*in_hlth_small_ticket*in_hlth_small_comm*in_ins_partner_share+F91*in_hlth_small_ticket*in_hlth_small_renew_comm*in_ins_partner_share*(in_hlth_small_renew^1*SUMIFS(AF62:AF120,B62:B120,B91-12)+in_hlth_small_renew^2*SUMIFS(AF62:AF120,B62:B120,B91-24)+in_hlth_small_renew^3*SUMIFS(AF62:AF120,B62:B120,B91-36)+in_hlth_small_renew^4*SUMIFS(AF62:AF120,B62:B120,B91-48))</f>
        <v/>
      </c>
      <c r="AH91" s="40">
        <f>AH90*(1-IF(B90&gt;=in_marketplace_from,d_hz_hlth_family*G90,0))</f>
        <v/>
      </c>
      <c r="AI91" s="46">
        <f>AH91*IF(B91&gt;=in_marketplace_from,d_hz_hlth_family*G91,0)</f>
        <v/>
      </c>
      <c r="AJ91" s="14">
        <f>F91*AI91*in_hlth_family_ticket*in_hlth_family_comm*in_ins_partner_share+F91*in_hlth_family_ticket*in_hlth_family_renew_comm*in_ins_partner_share*(in_hlth_family_renew^1*SUMIFS(AI62:AI120,B62:B120,B91-12)+in_hlth_family_renew^2*SUMIFS(AI62:AI120,B62:B120,B91-24)+in_hlth_family_renew^3*SUMIFS(AI62:AI120,B62:B120,B91-36)+in_hlth_family_renew^4*SUMIFS(AI62:AI120,B62:B120,B91-48))</f>
        <v/>
      </c>
      <c r="AK91" s="40">
        <f>AK90*(1-IF(B90&gt;=in_marketplace_from,d_hz_life_term*G90,0))</f>
        <v/>
      </c>
      <c r="AL91" s="46">
        <f>AK91*IF(B91&gt;=in_marketplace_from,d_hz_life_term*G91,0)</f>
        <v/>
      </c>
      <c r="AM91" s="14">
        <f>F91*AL91*in_life_term_ticket*in_life_term_comm*in_ins_partner_share+F91*in_life_term_ticket*in_life_term_renew_comm*in_ins_partner_share*(in_life_term_renew^1*SUMIFS(AL62:AL120,B62:B120,B91-12)+in_life_term_renew^2*SUMIFS(AL62:AL120,B62:B120,B91-24)+in_life_term_renew^3*SUMIFS(AL62:AL120,B62:B120,B91-36)+in_life_term_renew^4*SUMIFS(AL62:AL120,B62:B120,B91-48))</f>
        <v/>
      </c>
      <c r="AN91" s="40">
        <f>AN90*(1-IF(B90&gt;=in_marketplace_from,d_hz_accident*G90,0))</f>
        <v/>
      </c>
      <c r="AO91" s="46">
        <f>AN91*IF(B91&gt;=in_marketplace_from,d_hz_accident*G91,0)</f>
        <v/>
      </c>
      <c r="AP91" s="14">
        <f>F91*AO91*in_accident_ticket*in_accident_comm*in_ins_partner_share+F91*in_accident_ticket*in_accident_renew_comm*in_ins_partner_share*(in_accident_renew^1*SUMIFS(AO62:AO120,B62:B120,B91-12)+in_accident_renew^2*SUMIFS(AO62:AO120,B62:B120,B91-24)+in_accident_renew^3*SUMIFS(AO62:AO120,B62:B120,B91-36)+in_accident_renew^4*SUMIFS(AO62:AO120,B62:B120,B91-48))</f>
        <v/>
      </c>
      <c r="AQ91" s="40">
        <f>AQ90*(1-IF(B90&gt;=in_marketplace_from,d_hz_two_wheeler*G90,0))</f>
        <v/>
      </c>
      <c r="AR91" s="46">
        <f>AQ91*IF(B91&gt;=in_marketplace_from,d_hz_two_wheeler*G91,0)</f>
        <v/>
      </c>
      <c r="AS91" s="14">
        <f>F91*AR91*in_two_wheeler_ticket*in_two_wheeler_comm*in_ins_partner_share+F91*in_two_wheeler_ticket*in_two_wheeler_comm*in_ins_partner_share*(in_two_wheeler_renew^1*SUMIFS(AR62:AR120,B62:B120,B91-12)+in_two_wheeler_renew^2*SUMIFS(AR62:AR120,B62:B120,B91-24)+in_two_wheeler_renew^3*SUMIFS(AR62:AR120,B62:B120,B91-36)+in_two_wheeler_renew^4*SUMIFS(AR62:AR120,B62:B120,B91-48))</f>
        <v/>
      </c>
      <c r="AT91" s="40">
        <f>AT90*(1-IF(B90&gt;=in_marketplace_from,d_hz_device*G90,0))</f>
        <v/>
      </c>
      <c r="AU91" s="14">
        <f>F91*AT91*IF(B91&gt;=in_marketplace_from,d_hz_device*G91,0)*in_device_ticket*in_device_comm*in_ins_partner_share</f>
        <v/>
      </c>
      <c r="AV91" s="40">
        <f>AV90*(1-IF(B90&gt;=in_marketplace_from,d_hz_shop*G90,0))</f>
        <v/>
      </c>
      <c r="AW91" s="46">
        <f>AV91*IF(B91&gt;=in_marketplace_from,d_hz_shop*G91,0)</f>
        <v/>
      </c>
      <c r="AX91" s="14">
        <f>F91*AW91*in_shop_ticket*in_shop_comm*in_ins_partner_share+F91*in_shop_ticket*in_shop_renew_comm*in_ins_partner_share*(in_shop_renew^1*SUMIFS(AW62:AW120,B62:B120,B91-12)+in_shop_renew^2*SUMIFS(AW62:AW120,B62:B120,B91-24)+in_shop_renew^3*SUMIFS(AW62:AW120,B62:B120,B91-36)+in_shop_renew^4*SUMIFS(AW62:AW120,B62:B120,B91-48))</f>
        <v/>
      </c>
      <c r="AY91" s="40">
        <f>AY90*(1-IF(B90&gt;=in_marketplace_from,d_hz_sip*G90,0))</f>
        <v/>
      </c>
      <c r="AZ91" s="40">
        <f>AZ90*d_rho_sip+AY91*IF(B91&gt;=in_marketplace_from,d_hz_sip*G91,0)</f>
        <v/>
      </c>
      <c r="BA91" s="40">
        <f>d_rho_sip*(BA90+AZ90)</f>
        <v/>
      </c>
      <c r="BB91" s="14">
        <f>F91*in_sip_ticket*(BA91+0.5*AZ91)*in_sip_comm/12</f>
        <v/>
      </c>
      <c r="BC91" s="40">
        <f>BC90*(1-IF(B90&gt;=in_marketplace_from,d_hz_choti*G90,0))</f>
        <v/>
      </c>
      <c r="BD91" s="46">
        <f>BC91*IF(B91&gt;=in_marketplace_from,d_hz_choti*G91,0)</f>
        <v/>
      </c>
      <c r="BE91" s="14">
        <f>F91*SUMIFS(BD62:BD120,B62:B120,B91-in_choti_months)*in_choti_renew*in_choti_ticket</f>
        <v/>
      </c>
      <c r="BF91" s="40">
        <f>BF90*(1-IF(B90&gt;=in_marketplace_from,d_hz_nps*G90,0))</f>
        <v/>
      </c>
      <c r="BG91" s="14">
        <f>F91*BF91*IF(B91&gt;=in_marketplace_from,d_hz_nps*G91,0)*in_nps_ticket*in_nps_comm</f>
        <v/>
      </c>
      <c r="BH91" s="40">
        <f>BH90*(1-IF(B90&gt;=in_marketplace_from,d_hz_gold*G90,0))</f>
        <v/>
      </c>
      <c r="BI91" s="40">
        <f>BI90*d_rho_gold+BH91*IF(B91&gt;=in_marketplace_from,d_hz_gold*G91,0)</f>
        <v/>
      </c>
      <c r="BJ91" s="14">
        <f>F91*BI91*in_gold_ticket*in_gold_comm</f>
        <v/>
      </c>
      <c r="BK91" s="40">
        <f>BK90*(1-IF(B90&gt;=in_marketplace_from,d_hz_fd*G90,0))</f>
        <v/>
      </c>
      <c r="BL91" s="14">
        <f>F91*BK91*IF(B91&gt;=in_marketplace_from,d_hz_fd*G91,0)*in_fd_ticket*in_fd_comm</f>
        <v/>
      </c>
      <c r="BM91" s="40">
        <f>BM90*(1-IF(B90&gt;=in_marketplace_from,d_hz_recharge*G90,0))</f>
        <v/>
      </c>
      <c r="BN91" s="40">
        <f>BN90*d_rho_recharge+BM91*IF(B91&gt;=in_marketplace_from,d_hz_recharge*G91,0)</f>
        <v/>
      </c>
      <c r="BO91" s="14">
        <f>F91*BN91*in_recharge_ticket*in_recharge_comm/12</f>
        <v/>
      </c>
      <c r="BP91" s="40">
        <f>BP90*(1-IF(B90&gt;=in_marketplace_from,d_hz_bills*G90,0))</f>
        <v/>
      </c>
      <c r="BQ91" s="40">
        <f>BQ90*d_rho_bills+BP91*IF(B91&gt;=in_marketplace_from,d_hz_bills*G91,0)</f>
        <v/>
      </c>
      <c r="BR91" s="14">
        <f>F91*BQ91*in_bills_ticket*in_bills_comm/12</f>
        <v/>
      </c>
      <c r="BS91" s="40">
        <f>BS90*(1-IF(B90&gt;=in_marketplace_from,d_hz_loan_gold*G90,0))</f>
        <v/>
      </c>
      <c r="BT91" s="14">
        <f>F91*BS91*IF(B91&gt;=in_marketplace_from,d_hz_loan_gold*G91,0)*in_loan_gold_ticket*in_loan_gold_comm</f>
        <v/>
      </c>
      <c r="BU91" s="40">
        <f>BU90*(1-IF(B90&gt;=in_marketplace_from,d_hz_loan_cd*G90,0))</f>
        <v/>
      </c>
      <c r="BV91" s="14">
        <f>F91*BU91*IF(B91&gt;=in_marketplace_from,d_hz_loan_cd*G91,0)*in_loan_cd_ticket*in_loan_cd_comm</f>
        <v/>
      </c>
      <c r="BW91" s="40">
        <f>BW90*(1-IF(B90&gt;=in_marketplace_from,d_hz_loan_vehicle*G90,0))</f>
        <v/>
      </c>
      <c r="BX91" s="14">
        <f>F91*BW91*IF(B91&gt;=in_marketplace_from,d_hz_loan_vehicle*G91,0)*in_loan_vehicle_ticket*in_loan_vehicle_comm</f>
        <v/>
      </c>
      <c r="BY91" s="40">
        <f>BY90*(1-IF(B90&gt;=in_marketplace_from,d_hz_loan_home*G90,0)*BZ90)</f>
        <v/>
      </c>
      <c r="BZ91" s="11">
        <f>MIN(in_approval_cap,in_loan_home_approval*INDEX('Age profile'!$O$2:$O$61,B91)*(1+in_approval_growth)^(D91-1))</f>
        <v/>
      </c>
      <c r="CA91" s="14">
        <f>F91*BY91*IF(B91&gt;=in_marketplace_from,d_hz_loan_home*G91,0)*BZ91*in_loan_home_ticket*in_loan_home_comm</f>
        <v/>
      </c>
      <c r="CB91" s="40">
        <f>CB90*(1-IF(B90&gt;=in_marketplace_from,d_hz_loan_lap*G90,0)*CC90)</f>
        <v/>
      </c>
      <c r="CC91" s="11">
        <f>MIN(in_approval_cap,in_loan_lap_approval*INDEX('Age profile'!$O$2:$O$61,B91)*(1+in_approval_growth)^(D91-1))</f>
        <v/>
      </c>
      <c r="CD91" s="14">
        <f>F91*CB91*IF(B91&gt;=in_marketplace_from,d_hz_loan_lap*G91,0)*CC91*in_loan_lap_ticket*in_loan_lap_comm</f>
        <v/>
      </c>
      <c r="CE91" s="14">
        <f>AA91+AB91+AC91+AD91+AG91+AJ91+AM91+AP91+AS91+AU91+AX91+BB91+BE91+BG91+BJ91+BL91+BO91+BR91+BT91+BV91+BX91+CA91+CD91</f>
        <v/>
      </c>
    </row>
    <row r="92">
      <c r="A92" s="39" t="n">
        <v>2</v>
      </c>
      <c r="B92" s="39" t="n">
        <v>31</v>
      </c>
      <c r="C92" s="39">
        <f>A92+B92-1</f>
        <v/>
      </c>
      <c r="D92" s="39">
        <f>INT((C92-1)/12)+1</f>
        <v/>
      </c>
      <c r="E92" s="44">
        <f>INDEX(Monthly!$B$2:$B$61,A92)</f>
        <v/>
      </c>
      <c r="F92" s="44">
        <f>E92*INDEX('Age profile'!$B$2:$B$61,B92)</f>
        <v/>
      </c>
      <c r="G92" s="45">
        <f>MIN(in_takeup_cap,INDEX('Age profile'!$N$2:$N$61,B92)*(1+in_takeup_growth)^(D92-1))</f>
        <v/>
      </c>
      <c r="H92" s="11">
        <f>MIN(in_approval_cap,in_approved_first*INDEX('Age profile'!$O$2:$O$61,B92)*(1+in_approval_growth)^(D92-1))</f>
        <v/>
      </c>
      <c r="I92" s="45">
        <f>G92*MIN(in_takeup_cap,INDEX('Age profile'!$O$2:$O$61,B92)*(1+in_approval_growth)^(D92-1))</f>
        <v/>
      </c>
      <c r="J92" s="40">
        <f>(J91-L91)*F92/F91</f>
        <v/>
      </c>
      <c r="K92" s="40">
        <f>(K91-M91)*F92/F91+SUMIFS(O62:O91,B62:B91,B92-1-d_T)*F92</f>
        <v/>
      </c>
      <c r="L92" s="40">
        <f>IF(B92&gt;=in_marketplace_from,J92*d_hz*G92*in_eligible*H92,0)</f>
        <v/>
      </c>
      <c r="M92" s="40">
        <f>IF(B92&gt;=in_marketplace_from,K92*d_hz*G92*in_eligible*in_approved_repeat,0)</f>
        <v/>
      </c>
      <c r="N92" s="40">
        <f>L92+M92</f>
        <v/>
      </c>
      <c r="O92" s="46">
        <f>N92/F92</f>
        <v/>
      </c>
      <c r="P92" s="40">
        <f>F92-J92-K92</f>
        <v/>
      </c>
      <c r="Q92" s="40">
        <f>IF(B92&gt;=in_marketplace_from,(J92+K92)*d_hz*G92,0)</f>
        <v/>
      </c>
      <c r="R92" s="40">
        <f>SUMIFS(N62:N120,B62:B120,"&gt;="&amp;(B92-d_T),B62:B120,"&lt;="&amp;(B92-1))</f>
        <v/>
      </c>
      <c r="S92" s="46">
        <f>(1-d_u)*S91+IF(d_T&gt;in_topup_lag,SUMIFS(O62:O120,B62:B120,B92-in_topup_lag)-d_udrop*SUMIFS(O62:O120,B62:B120,B92-d_T),0)</f>
        <v/>
      </c>
      <c r="T92" s="40">
        <f>F92*d_u*S92</f>
        <v/>
      </c>
      <c r="U92" s="9">
        <f>L92*in_ticket+M92*d_rep_ticket</f>
        <v/>
      </c>
      <c r="V92" s="9">
        <f>U92+T92*d_topup_amt</f>
        <v/>
      </c>
      <c r="W92" s="40">
        <f>N92+T92*d_topup_ratio</f>
        <v/>
      </c>
      <c r="X92" s="40">
        <f>SUMIFS(W62:W120,B62:B120,B92-in_dpd_lag)*d_cured</f>
        <v/>
      </c>
      <c r="Y92" s="40">
        <f>SUMIFS(W62:W120,B62:B120,B92-in_rec_lag)*d_recd</f>
        <v/>
      </c>
      <c r="Z92" s="40">
        <f>IF(AND(B92&gt;=in_marketplace_from,B92&lt;in_marketplace_from+in_card_months),in_card_share/in_card_months*F92*I92,IF(AND(B92&gt;=in_marketplace_from+in_card_months,B92&lt;in_marketplace_from+2*in_card_months),in_card_share*d_card_rem/in_card_months*F92*MIN(in_takeup_cap,(1+in_takeup_growth)^(D92-1))*MIN(in_takeup_cap,(1+in_approval_growth)^(D92-1)),0))</f>
        <v/>
      </c>
      <c r="AA92" s="14">
        <f>V92*in_fee*(1-in_taken_back)</f>
        <v/>
      </c>
      <c r="AB92" s="14">
        <f>SUMIFS(W62:W120,B62:B120,B92-in_dpd_lag)*d_dpd</f>
        <v/>
      </c>
      <c r="AC92" s="14">
        <f>SUMIFS(W62:W120,B62:B120,B92-in_rec_lag)*d_rec</f>
        <v/>
      </c>
      <c r="AD92" s="14">
        <f>Z92*in_card_fee</f>
        <v/>
      </c>
      <c r="AE92" s="40">
        <f>AE91*(1-IF(B91&gt;=in_marketplace_from,d_hz_hlth_small*G91,0))</f>
        <v/>
      </c>
      <c r="AF92" s="46">
        <f>AE92*IF(B92&gt;=in_marketplace_from,d_hz_hlth_small*G92,0)</f>
        <v/>
      </c>
      <c r="AG92" s="14">
        <f>F92*AF92*in_hlth_small_ticket*in_hlth_small_comm*in_ins_partner_share+F92*in_hlth_small_ticket*in_hlth_small_renew_comm*in_ins_partner_share*(in_hlth_small_renew^1*SUMIFS(AF62:AF120,B62:B120,B92-12)+in_hlth_small_renew^2*SUMIFS(AF62:AF120,B62:B120,B92-24)+in_hlth_small_renew^3*SUMIFS(AF62:AF120,B62:B120,B92-36)+in_hlth_small_renew^4*SUMIFS(AF62:AF120,B62:B120,B92-48))</f>
        <v/>
      </c>
      <c r="AH92" s="40">
        <f>AH91*(1-IF(B91&gt;=in_marketplace_from,d_hz_hlth_family*G91,0))</f>
        <v/>
      </c>
      <c r="AI92" s="46">
        <f>AH92*IF(B92&gt;=in_marketplace_from,d_hz_hlth_family*G92,0)</f>
        <v/>
      </c>
      <c r="AJ92" s="14">
        <f>F92*AI92*in_hlth_family_ticket*in_hlth_family_comm*in_ins_partner_share+F92*in_hlth_family_ticket*in_hlth_family_renew_comm*in_ins_partner_share*(in_hlth_family_renew^1*SUMIFS(AI62:AI120,B62:B120,B92-12)+in_hlth_family_renew^2*SUMIFS(AI62:AI120,B62:B120,B92-24)+in_hlth_family_renew^3*SUMIFS(AI62:AI120,B62:B120,B92-36)+in_hlth_family_renew^4*SUMIFS(AI62:AI120,B62:B120,B92-48))</f>
        <v/>
      </c>
      <c r="AK92" s="40">
        <f>AK91*(1-IF(B91&gt;=in_marketplace_from,d_hz_life_term*G91,0))</f>
        <v/>
      </c>
      <c r="AL92" s="46">
        <f>AK92*IF(B92&gt;=in_marketplace_from,d_hz_life_term*G92,0)</f>
        <v/>
      </c>
      <c r="AM92" s="14">
        <f>F92*AL92*in_life_term_ticket*in_life_term_comm*in_ins_partner_share+F92*in_life_term_ticket*in_life_term_renew_comm*in_ins_partner_share*(in_life_term_renew^1*SUMIFS(AL62:AL120,B62:B120,B92-12)+in_life_term_renew^2*SUMIFS(AL62:AL120,B62:B120,B92-24)+in_life_term_renew^3*SUMIFS(AL62:AL120,B62:B120,B92-36)+in_life_term_renew^4*SUMIFS(AL62:AL120,B62:B120,B92-48))</f>
        <v/>
      </c>
      <c r="AN92" s="40">
        <f>AN91*(1-IF(B91&gt;=in_marketplace_from,d_hz_accident*G91,0))</f>
        <v/>
      </c>
      <c r="AO92" s="46">
        <f>AN92*IF(B92&gt;=in_marketplace_from,d_hz_accident*G92,0)</f>
        <v/>
      </c>
      <c r="AP92" s="14">
        <f>F92*AO92*in_accident_ticket*in_accident_comm*in_ins_partner_share+F92*in_accident_ticket*in_accident_renew_comm*in_ins_partner_share*(in_accident_renew^1*SUMIFS(AO62:AO120,B62:B120,B92-12)+in_accident_renew^2*SUMIFS(AO62:AO120,B62:B120,B92-24)+in_accident_renew^3*SUMIFS(AO62:AO120,B62:B120,B92-36)+in_accident_renew^4*SUMIFS(AO62:AO120,B62:B120,B92-48))</f>
        <v/>
      </c>
      <c r="AQ92" s="40">
        <f>AQ91*(1-IF(B91&gt;=in_marketplace_from,d_hz_two_wheeler*G91,0))</f>
        <v/>
      </c>
      <c r="AR92" s="46">
        <f>AQ92*IF(B92&gt;=in_marketplace_from,d_hz_two_wheeler*G92,0)</f>
        <v/>
      </c>
      <c r="AS92" s="14">
        <f>F92*AR92*in_two_wheeler_ticket*in_two_wheeler_comm*in_ins_partner_share+F92*in_two_wheeler_ticket*in_two_wheeler_comm*in_ins_partner_share*(in_two_wheeler_renew^1*SUMIFS(AR62:AR120,B62:B120,B92-12)+in_two_wheeler_renew^2*SUMIFS(AR62:AR120,B62:B120,B92-24)+in_two_wheeler_renew^3*SUMIFS(AR62:AR120,B62:B120,B92-36)+in_two_wheeler_renew^4*SUMIFS(AR62:AR120,B62:B120,B92-48))</f>
        <v/>
      </c>
      <c r="AT92" s="40">
        <f>AT91*(1-IF(B91&gt;=in_marketplace_from,d_hz_device*G91,0))</f>
        <v/>
      </c>
      <c r="AU92" s="14">
        <f>F92*AT92*IF(B92&gt;=in_marketplace_from,d_hz_device*G92,0)*in_device_ticket*in_device_comm*in_ins_partner_share</f>
        <v/>
      </c>
      <c r="AV92" s="40">
        <f>AV91*(1-IF(B91&gt;=in_marketplace_from,d_hz_shop*G91,0))</f>
        <v/>
      </c>
      <c r="AW92" s="46">
        <f>AV92*IF(B92&gt;=in_marketplace_from,d_hz_shop*G92,0)</f>
        <v/>
      </c>
      <c r="AX92" s="14">
        <f>F92*AW92*in_shop_ticket*in_shop_comm*in_ins_partner_share+F92*in_shop_ticket*in_shop_renew_comm*in_ins_partner_share*(in_shop_renew^1*SUMIFS(AW62:AW120,B62:B120,B92-12)+in_shop_renew^2*SUMIFS(AW62:AW120,B62:B120,B92-24)+in_shop_renew^3*SUMIFS(AW62:AW120,B62:B120,B92-36)+in_shop_renew^4*SUMIFS(AW62:AW120,B62:B120,B92-48))</f>
        <v/>
      </c>
      <c r="AY92" s="40">
        <f>AY91*(1-IF(B91&gt;=in_marketplace_from,d_hz_sip*G91,0))</f>
        <v/>
      </c>
      <c r="AZ92" s="40">
        <f>AZ91*d_rho_sip+AY92*IF(B92&gt;=in_marketplace_from,d_hz_sip*G92,0)</f>
        <v/>
      </c>
      <c r="BA92" s="40">
        <f>d_rho_sip*(BA91+AZ91)</f>
        <v/>
      </c>
      <c r="BB92" s="14">
        <f>F92*in_sip_ticket*(BA92+0.5*AZ92)*in_sip_comm/12</f>
        <v/>
      </c>
      <c r="BC92" s="40">
        <f>BC91*(1-IF(B91&gt;=in_marketplace_from,d_hz_choti*G91,0))</f>
        <v/>
      </c>
      <c r="BD92" s="46">
        <f>BC92*IF(B92&gt;=in_marketplace_from,d_hz_choti*G92,0)</f>
        <v/>
      </c>
      <c r="BE92" s="14">
        <f>F92*SUMIFS(BD62:BD120,B62:B120,B92-in_choti_months)*in_choti_renew*in_choti_ticket</f>
        <v/>
      </c>
      <c r="BF92" s="40">
        <f>BF91*(1-IF(B91&gt;=in_marketplace_from,d_hz_nps*G91,0))</f>
        <v/>
      </c>
      <c r="BG92" s="14">
        <f>F92*BF92*IF(B92&gt;=in_marketplace_from,d_hz_nps*G92,0)*in_nps_ticket*in_nps_comm</f>
        <v/>
      </c>
      <c r="BH92" s="40">
        <f>BH91*(1-IF(B91&gt;=in_marketplace_from,d_hz_gold*G91,0))</f>
        <v/>
      </c>
      <c r="BI92" s="40">
        <f>BI91*d_rho_gold+BH92*IF(B92&gt;=in_marketplace_from,d_hz_gold*G92,0)</f>
        <v/>
      </c>
      <c r="BJ92" s="14">
        <f>F92*BI92*in_gold_ticket*in_gold_comm</f>
        <v/>
      </c>
      <c r="BK92" s="40">
        <f>BK91*(1-IF(B91&gt;=in_marketplace_from,d_hz_fd*G91,0))</f>
        <v/>
      </c>
      <c r="BL92" s="14">
        <f>F92*BK92*IF(B92&gt;=in_marketplace_from,d_hz_fd*G92,0)*in_fd_ticket*in_fd_comm</f>
        <v/>
      </c>
      <c r="BM92" s="40">
        <f>BM91*(1-IF(B91&gt;=in_marketplace_from,d_hz_recharge*G91,0))</f>
        <v/>
      </c>
      <c r="BN92" s="40">
        <f>BN91*d_rho_recharge+BM92*IF(B92&gt;=in_marketplace_from,d_hz_recharge*G92,0)</f>
        <v/>
      </c>
      <c r="BO92" s="14">
        <f>F92*BN92*in_recharge_ticket*in_recharge_comm/12</f>
        <v/>
      </c>
      <c r="BP92" s="40">
        <f>BP91*(1-IF(B91&gt;=in_marketplace_from,d_hz_bills*G91,0))</f>
        <v/>
      </c>
      <c r="BQ92" s="40">
        <f>BQ91*d_rho_bills+BP92*IF(B92&gt;=in_marketplace_from,d_hz_bills*G92,0)</f>
        <v/>
      </c>
      <c r="BR92" s="14">
        <f>F92*BQ92*in_bills_ticket*in_bills_comm/12</f>
        <v/>
      </c>
      <c r="BS92" s="40">
        <f>BS91*(1-IF(B91&gt;=in_marketplace_from,d_hz_loan_gold*G91,0))</f>
        <v/>
      </c>
      <c r="BT92" s="14">
        <f>F92*BS92*IF(B92&gt;=in_marketplace_from,d_hz_loan_gold*G92,0)*in_loan_gold_ticket*in_loan_gold_comm</f>
        <v/>
      </c>
      <c r="BU92" s="40">
        <f>BU91*(1-IF(B91&gt;=in_marketplace_from,d_hz_loan_cd*G91,0))</f>
        <v/>
      </c>
      <c r="BV92" s="14">
        <f>F92*BU92*IF(B92&gt;=in_marketplace_from,d_hz_loan_cd*G92,0)*in_loan_cd_ticket*in_loan_cd_comm</f>
        <v/>
      </c>
      <c r="BW92" s="40">
        <f>BW91*(1-IF(B91&gt;=in_marketplace_from,d_hz_loan_vehicle*G91,0))</f>
        <v/>
      </c>
      <c r="BX92" s="14">
        <f>F92*BW92*IF(B92&gt;=in_marketplace_from,d_hz_loan_vehicle*G92,0)*in_loan_vehicle_ticket*in_loan_vehicle_comm</f>
        <v/>
      </c>
      <c r="BY92" s="40">
        <f>BY91*(1-IF(B91&gt;=in_marketplace_from,d_hz_loan_home*G91,0)*BZ91)</f>
        <v/>
      </c>
      <c r="BZ92" s="11">
        <f>MIN(in_approval_cap,in_loan_home_approval*INDEX('Age profile'!$O$2:$O$61,B92)*(1+in_approval_growth)^(D92-1))</f>
        <v/>
      </c>
      <c r="CA92" s="14">
        <f>F92*BY92*IF(B92&gt;=in_marketplace_from,d_hz_loan_home*G92,0)*BZ92*in_loan_home_ticket*in_loan_home_comm</f>
        <v/>
      </c>
      <c r="CB92" s="40">
        <f>CB91*(1-IF(B91&gt;=in_marketplace_from,d_hz_loan_lap*G91,0)*CC91)</f>
        <v/>
      </c>
      <c r="CC92" s="11">
        <f>MIN(in_approval_cap,in_loan_lap_approval*INDEX('Age profile'!$O$2:$O$61,B92)*(1+in_approval_growth)^(D92-1))</f>
        <v/>
      </c>
      <c r="CD92" s="14">
        <f>F92*CB92*IF(B92&gt;=in_marketplace_from,d_hz_loan_lap*G92,0)*CC92*in_loan_lap_ticket*in_loan_lap_comm</f>
        <v/>
      </c>
      <c r="CE92" s="14">
        <f>AA92+AB92+AC92+AD92+AG92+AJ92+AM92+AP92+AS92+AU92+AX92+BB92+BE92+BG92+BJ92+BL92+BO92+BR92+BT92+BV92+BX92+CA92+CD92</f>
        <v/>
      </c>
    </row>
    <row r="93">
      <c r="A93" s="39" t="n">
        <v>2</v>
      </c>
      <c r="B93" s="39" t="n">
        <v>32</v>
      </c>
      <c r="C93" s="39">
        <f>A93+B93-1</f>
        <v/>
      </c>
      <c r="D93" s="39">
        <f>INT((C93-1)/12)+1</f>
        <v/>
      </c>
      <c r="E93" s="44">
        <f>INDEX(Monthly!$B$2:$B$61,A93)</f>
        <v/>
      </c>
      <c r="F93" s="44">
        <f>E93*INDEX('Age profile'!$B$2:$B$61,B93)</f>
        <v/>
      </c>
      <c r="G93" s="45">
        <f>MIN(in_takeup_cap,INDEX('Age profile'!$N$2:$N$61,B93)*(1+in_takeup_growth)^(D93-1))</f>
        <v/>
      </c>
      <c r="H93" s="11">
        <f>MIN(in_approval_cap,in_approved_first*INDEX('Age profile'!$O$2:$O$61,B93)*(1+in_approval_growth)^(D93-1))</f>
        <v/>
      </c>
      <c r="I93" s="45">
        <f>G93*MIN(in_takeup_cap,INDEX('Age profile'!$O$2:$O$61,B93)*(1+in_approval_growth)^(D93-1))</f>
        <v/>
      </c>
      <c r="J93" s="40">
        <f>(J92-L92)*F93/F92</f>
        <v/>
      </c>
      <c r="K93" s="40">
        <f>(K92-M92)*F93/F92+SUMIFS(O62:O92,B62:B92,B93-1-d_T)*F93</f>
        <v/>
      </c>
      <c r="L93" s="40">
        <f>IF(B93&gt;=in_marketplace_from,J93*d_hz*G93*in_eligible*H93,0)</f>
        <v/>
      </c>
      <c r="M93" s="40">
        <f>IF(B93&gt;=in_marketplace_from,K93*d_hz*G93*in_eligible*in_approved_repeat,0)</f>
        <v/>
      </c>
      <c r="N93" s="40">
        <f>L93+M93</f>
        <v/>
      </c>
      <c r="O93" s="46">
        <f>N93/F93</f>
        <v/>
      </c>
      <c r="P93" s="40">
        <f>F93-J93-K93</f>
        <v/>
      </c>
      <c r="Q93" s="40">
        <f>IF(B93&gt;=in_marketplace_from,(J93+K93)*d_hz*G93,0)</f>
        <v/>
      </c>
      <c r="R93" s="40">
        <f>SUMIFS(N62:N120,B62:B120,"&gt;="&amp;(B93-d_T),B62:B120,"&lt;="&amp;(B93-1))</f>
        <v/>
      </c>
      <c r="S93" s="46">
        <f>(1-d_u)*S92+IF(d_T&gt;in_topup_lag,SUMIFS(O62:O120,B62:B120,B93-in_topup_lag)-d_udrop*SUMIFS(O62:O120,B62:B120,B93-d_T),0)</f>
        <v/>
      </c>
      <c r="T93" s="40">
        <f>F93*d_u*S93</f>
        <v/>
      </c>
      <c r="U93" s="9">
        <f>L93*in_ticket+M93*d_rep_ticket</f>
        <v/>
      </c>
      <c r="V93" s="9">
        <f>U93+T93*d_topup_amt</f>
        <v/>
      </c>
      <c r="W93" s="40">
        <f>N93+T93*d_topup_ratio</f>
        <v/>
      </c>
      <c r="X93" s="40">
        <f>SUMIFS(W62:W120,B62:B120,B93-in_dpd_lag)*d_cured</f>
        <v/>
      </c>
      <c r="Y93" s="40">
        <f>SUMIFS(W62:W120,B62:B120,B93-in_rec_lag)*d_recd</f>
        <v/>
      </c>
      <c r="Z93" s="40">
        <f>IF(AND(B93&gt;=in_marketplace_from,B93&lt;in_marketplace_from+in_card_months),in_card_share/in_card_months*F93*I93,IF(AND(B93&gt;=in_marketplace_from+in_card_months,B93&lt;in_marketplace_from+2*in_card_months),in_card_share*d_card_rem/in_card_months*F93*MIN(in_takeup_cap,(1+in_takeup_growth)^(D93-1))*MIN(in_takeup_cap,(1+in_approval_growth)^(D93-1)),0))</f>
        <v/>
      </c>
      <c r="AA93" s="14">
        <f>V93*in_fee*(1-in_taken_back)</f>
        <v/>
      </c>
      <c r="AB93" s="14">
        <f>SUMIFS(W62:W120,B62:B120,B93-in_dpd_lag)*d_dpd</f>
        <v/>
      </c>
      <c r="AC93" s="14">
        <f>SUMIFS(W62:W120,B62:B120,B93-in_rec_lag)*d_rec</f>
        <v/>
      </c>
      <c r="AD93" s="14">
        <f>Z93*in_card_fee</f>
        <v/>
      </c>
      <c r="AE93" s="40">
        <f>AE92*(1-IF(B92&gt;=in_marketplace_from,d_hz_hlth_small*G92,0))</f>
        <v/>
      </c>
      <c r="AF93" s="46">
        <f>AE93*IF(B93&gt;=in_marketplace_from,d_hz_hlth_small*G93,0)</f>
        <v/>
      </c>
      <c r="AG93" s="14">
        <f>F93*AF93*in_hlth_small_ticket*in_hlth_small_comm*in_ins_partner_share+F93*in_hlth_small_ticket*in_hlth_small_renew_comm*in_ins_partner_share*(in_hlth_small_renew^1*SUMIFS(AF62:AF120,B62:B120,B93-12)+in_hlth_small_renew^2*SUMIFS(AF62:AF120,B62:B120,B93-24)+in_hlth_small_renew^3*SUMIFS(AF62:AF120,B62:B120,B93-36)+in_hlth_small_renew^4*SUMIFS(AF62:AF120,B62:B120,B93-48))</f>
        <v/>
      </c>
      <c r="AH93" s="40">
        <f>AH92*(1-IF(B92&gt;=in_marketplace_from,d_hz_hlth_family*G92,0))</f>
        <v/>
      </c>
      <c r="AI93" s="46">
        <f>AH93*IF(B93&gt;=in_marketplace_from,d_hz_hlth_family*G93,0)</f>
        <v/>
      </c>
      <c r="AJ93" s="14">
        <f>F93*AI93*in_hlth_family_ticket*in_hlth_family_comm*in_ins_partner_share+F93*in_hlth_family_ticket*in_hlth_family_renew_comm*in_ins_partner_share*(in_hlth_family_renew^1*SUMIFS(AI62:AI120,B62:B120,B93-12)+in_hlth_family_renew^2*SUMIFS(AI62:AI120,B62:B120,B93-24)+in_hlth_family_renew^3*SUMIFS(AI62:AI120,B62:B120,B93-36)+in_hlth_family_renew^4*SUMIFS(AI62:AI120,B62:B120,B93-48))</f>
        <v/>
      </c>
      <c r="AK93" s="40">
        <f>AK92*(1-IF(B92&gt;=in_marketplace_from,d_hz_life_term*G92,0))</f>
        <v/>
      </c>
      <c r="AL93" s="46">
        <f>AK93*IF(B93&gt;=in_marketplace_from,d_hz_life_term*G93,0)</f>
        <v/>
      </c>
      <c r="AM93" s="14">
        <f>F93*AL93*in_life_term_ticket*in_life_term_comm*in_ins_partner_share+F93*in_life_term_ticket*in_life_term_renew_comm*in_ins_partner_share*(in_life_term_renew^1*SUMIFS(AL62:AL120,B62:B120,B93-12)+in_life_term_renew^2*SUMIFS(AL62:AL120,B62:B120,B93-24)+in_life_term_renew^3*SUMIFS(AL62:AL120,B62:B120,B93-36)+in_life_term_renew^4*SUMIFS(AL62:AL120,B62:B120,B93-48))</f>
        <v/>
      </c>
      <c r="AN93" s="40">
        <f>AN92*(1-IF(B92&gt;=in_marketplace_from,d_hz_accident*G92,0))</f>
        <v/>
      </c>
      <c r="AO93" s="46">
        <f>AN93*IF(B93&gt;=in_marketplace_from,d_hz_accident*G93,0)</f>
        <v/>
      </c>
      <c r="AP93" s="14">
        <f>F93*AO93*in_accident_ticket*in_accident_comm*in_ins_partner_share+F93*in_accident_ticket*in_accident_renew_comm*in_ins_partner_share*(in_accident_renew^1*SUMIFS(AO62:AO120,B62:B120,B93-12)+in_accident_renew^2*SUMIFS(AO62:AO120,B62:B120,B93-24)+in_accident_renew^3*SUMIFS(AO62:AO120,B62:B120,B93-36)+in_accident_renew^4*SUMIFS(AO62:AO120,B62:B120,B93-48))</f>
        <v/>
      </c>
      <c r="AQ93" s="40">
        <f>AQ92*(1-IF(B92&gt;=in_marketplace_from,d_hz_two_wheeler*G92,0))</f>
        <v/>
      </c>
      <c r="AR93" s="46">
        <f>AQ93*IF(B93&gt;=in_marketplace_from,d_hz_two_wheeler*G93,0)</f>
        <v/>
      </c>
      <c r="AS93" s="14">
        <f>F93*AR93*in_two_wheeler_ticket*in_two_wheeler_comm*in_ins_partner_share+F93*in_two_wheeler_ticket*in_two_wheeler_comm*in_ins_partner_share*(in_two_wheeler_renew^1*SUMIFS(AR62:AR120,B62:B120,B93-12)+in_two_wheeler_renew^2*SUMIFS(AR62:AR120,B62:B120,B93-24)+in_two_wheeler_renew^3*SUMIFS(AR62:AR120,B62:B120,B93-36)+in_two_wheeler_renew^4*SUMIFS(AR62:AR120,B62:B120,B93-48))</f>
        <v/>
      </c>
      <c r="AT93" s="40">
        <f>AT92*(1-IF(B92&gt;=in_marketplace_from,d_hz_device*G92,0))</f>
        <v/>
      </c>
      <c r="AU93" s="14">
        <f>F93*AT93*IF(B93&gt;=in_marketplace_from,d_hz_device*G93,0)*in_device_ticket*in_device_comm*in_ins_partner_share</f>
        <v/>
      </c>
      <c r="AV93" s="40">
        <f>AV92*(1-IF(B92&gt;=in_marketplace_from,d_hz_shop*G92,0))</f>
        <v/>
      </c>
      <c r="AW93" s="46">
        <f>AV93*IF(B93&gt;=in_marketplace_from,d_hz_shop*G93,0)</f>
        <v/>
      </c>
      <c r="AX93" s="14">
        <f>F93*AW93*in_shop_ticket*in_shop_comm*in_ins_partner_share+F93*in_shop_ticket*in_shop_renew_comm*in_ins_partner_share*(in_shop_renew^1*SUMIFS(AW62:AW120,B62:B120,B93-12)+in_shop_renew^2*SUMIFS(AW62:AW120,B62:B120,B93-24)+in_shop_renew^3*SUMIFS(AW62:AW120,B62:B120,B93-36)+in_shop_renew^4*SUMIFS(AW62:AW120,B62:B120,B93-48))</f>
        <v/>
      </c>
      <c r="AY93" s="40">
        <f>AY92*(1-IF(B92&gt;=in_marketplace_from,d_hz_sip*G92,0))</f>
        <v/>
      </c>
      <c r="AZ93" s="40">
        <f>AZ92*d_rho_sip+AY93*IF(B93&gt;=in_marketplace_from,d_hz_sip*G93,0)</f>
        <v/>
      </c>
      <c r="BA93" s="40">
        <f>d_rho_sip*(BA92+AZ92)</f>
        <v/>
      </c>
      <c r="BB93" s="14">
        <f>F93*in_sip_ticket*(BA93+0.5*AZ93)*in_sip_comm/12</f>
        <v/>
      </c>
      <c r="BC93" s="40">
        <f>BC92*(1-IF(B92&gt;=in_marketplace_from,d_hz_choti*G92,0))</f>
        <v/>
      </c>
      <c r="BD93" s="46">
        <f>BC93*IF(B93&gt;=in_marketplace_from,d_hz_choti*G93,0)</f>
        <v/>
      </c>
      <c r="BE93" s="14">
        <f>F93*SUMIFS(BD62:BD120,B62:B120,B93-in_choti_months)*in_choti_renew*in_choti_ticket</f>
        <v/>
      </c>
      <c r="BF93" s="40">
        <f>BF92*(1-IF(B92&gt;=in_marketplace_from,d_hz_nps*G92,0))</f>
        <v/>
      </c>
      <c r="BG93" s="14">
        <f>F93*BF93*IF(B93&gt;=in_marketplace_from,d_hz_nps*G93,0)*in_nps_ticket*in_nps_comm</f>
        <v/>
      </c>
      <c r="BH93" s="40">
        <f>BH92*(1-IF(B92&gt;=in_marketplace_from,d_hz_gold*G92,0))</f>
        <v/>
      </c>
      <c r="BI93" s="40">
        <f>BI92*d_rho_gold+BH93*IF(B93&gt;=in_marketplace_from,d_hz_gold*G93,0)</f>
        <v/>
      </c>
      <c r="BJ93" s="14">
        <f>F93*BI93*in_gold_ticket*in_gold_comm</f>
        <v/>
      </c>
      <c r="BK93" s="40">
        <f>BK92*(1-IF(B92&gt;=in_marketplace_from,d_hz_fd*G92,0))</f>
        <v/>
      </c>
      <c r="BL93" s="14">
        <f>F93*BK93*IF(B93&gt;=in_marketplace_from,d_hz_fd*G93,0)*in_fd_ticket*in_fd_comm</f>
        <v/>
      </c>
      <c r="BM93" s="40">
        <f>BM92*(1-IF(B92&gt;=in_marketplace_from,d_hz_recharge*G92,0))</f>
        <v/>
      </c>
      <c r="BN93" s="40">
        <f>BN92*d_rho_recharge+BM93*IF(B93&gt;=in_marketplace_from,d_hz_recharge*G93,0)</f>
        <v/>
      </c>
      <c r="BO93" s="14">
        <f>F93*BN93*in_recharge_ticket*in_recharge_comm/12</f>
        <v/>
      </c>
      <c r="BP93" s="40">
        <f>BP92*(1-IF(B92&gt;=in_marketplace_from,d_hz_bills*G92,0))</f>
        <v/>
      </c>
      <c r="BQ93" s="40">
        <f>BQ92*d_rho_bills+BP93*IF(B93&gt;=in_marketplace_from,d_hz_bills*G93,0)</f>
        <v/>
      </c>
      <c r="BR93" s="14">
        <f>F93*BQ93*in_bills_ticket*in_bills_comm/12</f>
        <v/>
      </c>
      <c r="BS93" s="40">
        <f>BS92*(1-IF(B92&gt;=in_marketplace_from,d_hz_loan_gold*G92,0))</f>
        <v/>
      </c>
      <c r="BT93" s="14">
        <f>F93*BS93*IF(B93&gt;=in_marketplace_from,d_hz_loan_gold*G93,0)*in_loan_gold_ticket*in_loan_gold_comm</f>
        <v/>
      </c>
      <c r="BU93" s="40">
        <f>BU92*(1-IF(B92&gt;=in_marketplace_from,d_hz_loan_cd*G92,0))</f>
        <v/>
      </c>
      <c r="BV93" s="14">
        <f>F93*BU93*IF(B93&gt;=in_marketplace_from,d_hz_loan_cd*G93,0)*in_loan_cd_ticket*in_loan_cd_comm</f>
        <v/>
      </c>
      <c r="BW93" s="40">
        <f>BW92*(1-IF(B92&gt;=in_marketplace_from,d_hz_loan_vehicle*G92,0))</f>
        <v/>
      </c>
      <c r="BX93" s="14">
        <f>F93*BW93*IF(B93&gt;=in_marketplace_from,d_hz_loan_vehicle*G93,0)*in_loan_vehicle_ticket*in_loan_vehicle_comm</f>
        <v/>
      </c>
      <c r="BY93" s="40">
        <f>BY92*(1-IF(B92&gt;=in_marketplace_from,d_hz_loan_home*G92,0)*BZ92)</f>
        <v/>
      </c>
      <c r="BZ93" s="11">
        <f>MIN(in_approval_cap,in_loan_home_approval*INDEX('Age profile'!$O$2:$O$61,B93)*(1+in_approval_growth)^(D93-1))</f>
        <v/>
      </c>
      <c r="CA93" s="14">
        <f>F93*BY93*IF(B93&gt;=in_marketplace_from,d_hz_loan_home*G93,0)*BZ93*in_loan_home_ticket*in_loan_home_comm</f>
        <v/>
      </c>
      <c r="CB93" s="40">
        <f>CB92*(1-IF(B92&gt;=in_marketplace_from,d_hz_loan_lap*G92,0)*CC92)</f>
        <v/>
      </c>
      <c r="CC93" s="11">
        <f>MIN(in_approval_cap,in_loan_lap_approval*INDEX('Age profile'!$O$2:$O$61,B93)*(1+in_approval_growth)^(D93-1))</f>
        <v/>
      </c>
      <c r="CD93" s="14">
        <f>F93*CB93*IF(B93&gt;=in_marketplace_from,d_hz_loan_lap*G93,0)*CC93*in_loan_lap_ticket*in_loan_lap_comm</f>
        <v/>
      </c>
      <c r="CE93" s="14">
        <f>AA93+AB93+AC93+AD93+AG93+AJ93+AM93+AP93+AS93+AU93+AX93+BB93+BE93+BG93+BJ93+BL93+BO93+BR93+BT93+BV93+BX93+CA93+CD93</f>
        <v/>
      </c>
    </row>
    <row r="94">
      <c r="A94" s="39" t="n">
        <v>2</v>
      </c>
      <c r="B94" s="39" t="n">
        <v>33</v>
      </c>
      <c r="C94" s="39">
        <f>A94+B94-1</f>
        <v/>
      </c>
      <c r="D94" s="39">
        <f>INT((C94-1)/12)+1</f>
        <v/>
      </c>
      <c r="E94" s="44">
        <f>INDEX(Monthly!$B$2:$B$61,A94)</f>
        <v/>
      </c>
      <c r="F94" s="44">
        <f>E94*INDEX('Age profile'!$B$2:$B$61,B94)</f>
        <v/>
      </c>
      <c r="G94" s="45">
        <f>MIN(in_takeup_cap,INDEX('Age profile'!$N$2:$N$61,B94)*(1+in_takeup_growth)^(D94-1))</f>
        <v/>
      </c>
      <c r="H94" s="11">
        <f>MIN(in_approval_cap,in_approved_first*INDEX('Age profile'!$O$2:$O$61,B94)*(1+in_approval_growth)^(D94-1))</f>
        <v/>
      </c>
      <c r="I94" s="45">
        <f>G94*MIN(in_takeup_cap,INDEX('Age profile'!$O$2:$O$61,B94)*(1+in_approval_growth)^(D94-1))</f>
        <v/>
      </c>
      <c r="J94" s="40">
        <f>(J93-L93)*F94/F93</f>
        <v/>
      </c>
      <c r="K94" s="40">
        <f>(K93-M93)*F94/F93+SUMIFS(O62:O93,B62:B93,B94-1-d_T)*F94</f>
        <v/>
      </c>
      <c r="L94" s="40">
        <f>IF(B94&gt;=in_marketplace_from,J94*d_hz*G94*in_eligible*H94,0)</f>
        <v/>
      </c>
      <c r="M94" s="40">
        <f>IF(B94&gt;=in_marketplace_from,K94*d_hz*G94*in_eligible*in_approved_repeat,0)</f>
        <v/>
      </c>
      <c r="N94" s="40">
        <f>L94+M94</f>
        <v/>
      </c>
      <c r="O94" s="46">
        <f>N94/F94</f>
        <v/>
      </c>
      <c r="P94" s="40">
        <f>F94-J94-K94</f>
        <v/>
      </c>
      <c r="Q94" s="40">
        <f>IF(B94&gt;=in_marketplace_from,(J94+K94)*d_hz*G94,0)</f>
        <v/>
      </c>
      <c r="R94" s="40">
        <f>SUMIFS(N62:N120,B62:B120,"&gt;="&amp;(B94-d_T),B62:B120,"&lt;="&amp;(B94-1))</f>
        <v/>
      </c>
      <c r="S94" s="46">
        <f>(1-d_u)*S93+IF(d_T&gt;in_topup_lag,SUMIFS(O62:O120,B62:B120,B94-in_topup_lag)-d_udrop*SUMIFS(O62:O120,B62:B120,B94-d_T),0)</f>
        <v/>
      </c>
      <c r="T94" s="40">
        <f>F94*d_u*S94</f>
        <v/>
      </c>
      <c r="U94" s="9">
        <f>L94*in_ticket+M94*d_rep_ticket</f>
        <v/>
      </c>
      <c r="V94" s="9">
        <f>U94+T94*d_topup_amt</f>
        <v/>
      </c>
      <c r="W94" s="40">
        <f>N94+T94*d_topup_ratio</f>
        <v/>
      </c>
      <c r="X94" s="40">
        <f>SUMIFS(W62:W120,B62:B120,B94-in_dpd_lag)*d_cured</f>
        <v/>
      </c>
      <c r="Y94" s="40">
        <f>SUMIFS(W62:W120,B62:B120,B94-in_rec_lag)*d_recd</f>
        <v/>
      </c>
      <c r="Z94" s="40">
        <f>IF(AND(B94&gt;=in_marketplace_from,B94&lt;in_marketplace_from+in_card_months),in_card_share/in_card_months*F94*I94,IF(AND(B94&gt;=in_marketplace_from+in_card_months,B94&lt;in_marketplace_from+2*in_card_months),in_card_share*d_card_rem/in_card_months*F94*MIN(in_takeup_cap,(1+in_takeup_growth)^(D94-1))*MIN(in_takeup_cap,(1+in_approval_growth)^(D94-1)),0))</f>
        <v/>
      </c>
      <c r="AA94" s="14">
        <f>V94*in_fee*(1-in_taken_back)</f>
        <v/>
      </c>
      <c r="AB94" s="14">
        <f>SUMIFS(W62:W120,B62:B120,B94-in_dpd_lag)*d_dpd</f>
        <v/>
      </c>
      <c r="AC94" s="14">
        <f>SUMIFS(W62:W120,B62:B120,B94-in_rec_lag)*d_rec</f>
        <v/>
      </c>
      <c r="AD94" s="14">
        <f>Z94*in_card_fee</f>
        <v/>
      </c>
      <c r="AE94" s="40">
        <f>AE93*(1-IF(B93&gt;=in_marketplace_from,d_hz_hlth_small*G93,0))</f>
        <v/>
      </c>
      <c r="AF94" s="46">
        <f>AE94*IF(B94&gt;=in_marketplace_from,d_hz_hlth_small*G94,0)</f>
        <v/>
      </c>
      <c r="AG94" s="14">
        <f>F94*AF94*in_hlth_small_ticket*in_hlth_small_comm*in_ins_partner_share+F94*in_hlth_small_ticket*in_hlth_small_renew_comm*in_ins_partner_share*(in_hlth_small_renew^1*SUMIFS(AF62:AF120,B62:B120,B94-12)+in_hlth_small_renew^2*SUMIFS(AF62:AF120,B62:B120,B94-24)+in_hlth_small_renew^3*SUMIFS(AF62:AF120,B62:B120,B94-36)+in_hlth_small_renew^4*SUMIFS(AF62:AF120,B62:B120,B94-48))</f>
        <v/>
      </c>
      <c r="AH94" s="40">
        <f>AH93*(1-IF(B93&gt;=in_marketplace_from,d_hz_hlth_family*G93,0))</f>
        <v/>
      </c>
      <c r="AI94" s="46">
        <f>AH94*IF(B94&gt;=in_marketplace_from,d_hz_hlth_family*G94,0)</f>
        <v/>
      </c>
      <c r="AJ94" s="14">
        <f>F94*AI94*in_hlth_family_ticket*in_hlth_family_comm*in_ins_partner_share+F94*in_hlth_family_ticket*in_hlth_family_renew_comm*in_ins_partner_share*(in_hlth_family_renew^1*SUMIFS(AI62:AI120,B62:B120,B94-12)+in_hlth_family_renew^2*SUMIFS(AI62:AI120,B62:B120,B94-24)+in_hlth_family_renew^3*SUMIFS(AI62:AI120,B62:B120,B94-36)+in_hlth_family_renew^4*SUMIFS(AI62:AI120,B62:B120,B94-48))</f>
        <v/>
      </c>
      <c r="AK94" s="40">
        <f>AK93*(1-IF(B93&gt;=in_marketplace_from,d_hz_life_term*G93,0))</f>
        <v/>
      </c>
      <c r="AL94" s="46">
        <f>AK94*IF(B94&gt;=in_marketplace_from,d_hz_life_term*G94,0)</f>
        <v/>
      </c>
      <c r="AM94" s="14">
        <f>F94*AL94*in_life_term_ticket*in_life_term_comm*in_ins_partner_share+F94*in_life_term_ticket*in_life_term_renew_comm*in_ins_partner_share*(in_life_term_renew^1*SUMIFS(AL62:AL120,B62:B120,B94-12)+in_life_term_renew^2*SUMIFS(AL62:AL120,B62:B120,B94-24)+in_life_term_renew^3*SUMIFS(AL62:AL120,B62:B120,B94-36)+in_life_term_renew^4*SUMIFS(AL62:AL120,B62:B120,B94-48))</f>
        <v/>
      </c>
      <c r="AN94" s="40">
        <f>AN93*(1-IF(B93&gt;=in_marketplace_from,d_hz_accident*G93,0))</f>
        <v/>
      </c>
      <c r="AO94" s="46">
        <f>AN94*IF(B94&gt;=in_marketplace_from,d_hz_accident*G94,0)</f>
        <v/>
      </c>
      <c r="AP94" s="14">
        <f>F94*AO94*in_accident_ticket*in_accident_comm*in_ins_partner_share+F94*in_accident_ticket*in_accident_renew_comm*in_ins_partner_share*(in_accident_renew^1*SUMIFS(AO62:AO120,B62:B120,B94-12)+in_accident_renew^2*SUMIFS(AO62:AO120,B62:B120,B94-24)+in_accident_renew^3*SUMIFS(AO62:AO120,B62:B120,B94-36)+in_accident_renew^4*SUMIFS(AO62:AO120,B62:B120,B94-48))</f>
        <v/>
      </c>
      <c r="AQ94" s="40">
        <f>AQ93*(1-IF(B93&gt;=in_marketplace_from,d_hz_two_wheeler*G93,0))</f>
        <v/>
      </c>
      <c r="AR94" s="46">
        <f>AQ94*IF(B94&gt;=in_marketplace_from,d_hz_two_wheeler*G94,0)</f>
        <v/>
      </c>
      <c r="AS94" s="14">
        <f>F94*AR94*in_two_wheeler_ticket*in_two_wheeler_comm*in_ins_partner_share+F94*in_two_wheeler_ticket*in_two_wheeler_comm*in_ins_partner_share*(in_two_wheeler_renew^1*SUMIFS(AR62:AR120,B62:B120,B94-12)+in_two_wheeler_renew^2*SUMIFS(AR62:AR120,B62:B120,B94-24)+in_two_wheeler_renew^3*SUMIFS(AR62:AR120,B62:B120,B94-36)+in_two_wheeler_renew^4*SUMIFS(AR62:AR120,B62:B120,B94-48))</f>
        <v/>
      </c>
      <c r="AT94" s="40">
        <f>AT93*(1-IF(B93&gt;=in_marketplace_from,d_hz_device*G93,0))</f>
        <v/>
      </c>
      <c r="AU94" s="14">
        <f>F94*AT94*IF(B94&gt;=in_marketplace_from,d_hz_device*G94,0)*in_device_ticket*in_device_comm*in_ins_partner_share</f>
        <v/>
      </c>
      <c r="AV94" s="40">
        <f>AV93*(1-IF(B93&gt;=in_marketplace_from,d_hz_shop*G93,0))</f>
        <v/>
      </c>
      <c r="AW94" s="46">
        <f>AV94*IF(B94&gt;=in_marketplace_from,d_hz_shop*G94,0)</f>
        <v/>
      </c>
      <c r="AX94" s="14">
        <f>F94*AW94*in_shop_ticket*in_shop_comm*in_ins_partner_share+F94*in_shop_ticket*in_shop_renew_comm*in_ins_partner_share*(in_shop_renew^1*SUMIFS(AW62:AW120,B62:B120,B94-12)+in_shop_renew^2*SUMIFS(AW62:AW120,B62:B120,B94-24)+in_shop_renew^3*SUMIFS(AW62:AW120,B62:B120,B94-36)+in_shop_renew^4*SUMIFS(AW62:AW120,B62:B120,B94-48))</f>
        <v/>
      </c>
      <c r="AY94" s="40">
        <f>AY93*(1-IF(B93&gt;=in_marketplace_from,d_hz_sip*G93,0))</f>
        <v/>
      </c>
      <c r="AZ94" s="40">
        <f>AZ93*d_rho_sip+AY94*IF(B94&gt;=in_marketplace_from,d_hz_sip*G94,0)</f>
        <v/>
      </c>
      <c r="BA94" s="40">
        <f>d_rho_sip*(BA93+AZ93)</f>
        <v/>
      </c>
      <c r="BB94" s="14">
        <f>F94*in_sip_ticket*(BA94+0.5*AZ94)*in_sip_comm/12</f>
        <v/>
      </c>
      <c r="BC94" s="40">
        <f>BC93*(1-IF(B93&gt;=in_marketplace_from,d_hz_choti*G93,0))</f>
        <v/>
      </c>
      <c r="BD94" s="46">
        <f>BC94*IF(B94&gt;=in_marketplace_from,d_hz_choti*G94,0)</f>
        <v/>
      </c>
      <c r="BE94" s="14">
        <f>F94*SUMIFS(BD62:BD120,B62:B120,B94-in_choti_months)*in_choti_renew*in_choti_ticket</f>
        <v/>
      </c>
      <c r="BF94" s="40">
        <f>BF93*(1-IF(B93&gt;=in_marketplace_from,d_hz_nps*G93,0))</f>
        <v/>
      </c>
      <c r="BG94" s="14">
        <f>F94*BF94*IF(B94&gt;=in_marketplace_from,d_hz_nps*G94,0)*in_nps_ticket*in_nps_comm</f>
        <v/>
      </c>
      <c r="BH94" s="40">
        <f>BH93*(1-IF(B93&gt;=in_marketplace_from,d_hz_gold*G93,0))</f>
        <v/>
      </c>
      <c r="BI94" s="40">
        <f>BI93*d_rho_gold+BH94*IF(B94&gt;=in_marketplace_from,d_hz_gold*G94,0)</f>
        <v/>
      </c>
      <c r="BJ94" s="14">
        <f>F94*BI94*in_gold_ticket*in_gold_comm</f>
        <v/>
      </c>
      <c r="BK94" s="40">
        <f>BK93*(1-IF(B93&gt;=in_marketplace_from,d_hz_fd*G93,0))</f>
        <v/>
      </c>
      <c r="BL94" s="14">
        <f>F94*BK94*IF(B94&gt;=in_marketplace_from,d_hz_fd*G94,0)*in_fd_ticket*in_fd_comm</f>
        <v/>
      </c>
      <c r="BM94" s="40">
        <f>BM93*(1-IF(B93&gt;=in_marketplace_from,d_hz_recharge*G93,0))</f>
        <v/>
      </c>
      <c r="BN94" s="40">
        <f>BN93*d_rho_recharge+BM94*IF(B94&gt;=in_marketplace_from,d_hz_recharge*G94,0)</f>
        <v/>
      </c>
      <c r="BO94" s="14">
        <f>F94*BN94*in_recharge_ticket*in_recharge_comm/12</f>
        <v/>
      </c>
      <c r="BP94" s="40">
        <f>BP93*(1-IF(B93&gt;=in_marketplace_from,d_hz_bills*G93,0))</f>
        <v/>
      </c>
      <c r="BQ94" s="40">
        <f>BQ93*d_rho_bills+BP94*IF(B94&gt;=in_marketplace_from,d_hz_bills*G94,0)</f>
        <v/>
      </c>
      <c r="BR94" s="14">
        <f>F94*BQ94*in_bills_ticket*in_bills_comm/12</f>
        <v/>
      </c>
      <c r="BS94" s="40">
        <f>BS93*(1-IF(B93&gt;=in_marketplace_from,d_hz_loan_gold*G93,0))</f>
        <v/>
      </c>
      <c r="BT94" s="14">
        <f>F94*BS94*IF(B94&gt;=in_marketplace_from,d_hz_loan_gold*G94,0)*in_loan_gold_ticket*in_loan_gold_comm</f>
        <v/>
      </c>
      <c r="BU94" s="40">
        <f>BU93*(1-IF(B93&gt;=in_marketplace_from,d_hz_loan_cd*G93,0))</f>
        <v/>
      </c>
      <c r="BV94" s="14">
        <f>F94*BU94*IF(B94&gt;=in_marketplace_from,d_hz_loan_cd*G94,0)*in_loan_cd_ticket*in_loan_cd_comm</f>
        <v/>
      </c>
      <c r="BW94" s="40">
        <f>BW93*(1-IF(B93&gt;=in_marketplace_from,d_hz_loan_vehicle*G93,0))</f>
        <v/>
      </c>
      <c r="BX94" s="14">
        <f>F94*BW94*IF(B94&gt;=in_marketplace_from,d_hz_loan_vehicle*G94,0)*in_loan_vehicle_ticket*in_loan_vehicle_comm</f>
        <v/>
      </c>
      <c r="BY94" s="40">
        <f>BY93*(1-IF(B93&gt;=in_marketplace_from,d_hz_loan_home*G93,0)*BZ93)</f>
        <v/>
      </c>
      <c r="BZ94" s="11">
        <f>MIN(in_approval_cap,in_loan_home_approval*INDEX('Age profile'!$O$2:$O$61,B94)*(1+in_approval_growth)^(D94-1))</f>
        <v/>
      </c>
      <c r="CA94" s="14">
        <f>F94*BY94*IF(B94&gt;=in_marketplace_from,d_hz_loan_home*G94,0)*BZ94*in_loan_home_ticket*in_loan_home_comm</f>
        <v/>
      </c>
      <c r="CB94" s="40">
        <f>CB93*(1-IF(B93&gt;=in_marketplace_from,d_hz_loan_lap*G93,0)*CC93)</f>
        <v/>
      </c>
      <c r="CC94" s="11">
        <f>MIN(in_approval_cap,in_loan_lap_approval*INDEX('Age profile'!$O$2:$O$61,B94)*(1+in_approval_growth)^(D94-1))</f>
        <v/>
      </c>
      <c r="CD94" s="14">
        <f>F94*CB94*IF(B94&gt;=in_marketplace_from,d_hz_loan_lap*G94,0)*CC94*in_loan_lap_ticket*in_loan_lap_comm</f>
        <v/>
      </c>
      <c r="CE94" s="14">
        <f>AA94+AB94+AC94+AD94+AG94+AJ94+AM94+AP94+AS94+AU94+AX94+BB94+BE94+BG94+BJ94+BL94+BO94+BR94+BT94+BV94+BX94+CA94+CD94</f>
        <v/>
      </c>
    </row>
    <row r="95">
      <c r="A95" s="39" t="n">
        <v>2</v>
      </c>
      <c r="B95" s="39" t="n">
        <v>34</v>
      </c>
      <c r="C95" s="39">
        <f>A95+B95-1</f>
        <v/>
      </c>
      <c r="D95" s="39">
        <f>INT((C95-1)/12)+1</f>
        <v/>
      </c>
      <c r="E95" s="44">
        <f>INDEX(Monthly!$B$2:$B$61,A95)</f>
        <v/>
      </c>
      <c r="F95" s="44">
        <f>E95*INDEX('Age profile'!$B$2:$B$61,B95)</f>
        <v/>
      </c>
      <c r="G95" s="45">
        <f>MIN(in_takeup_cap,INDEX('Age profile'!$N$2:$N$61,B95)*(1+in_takeup_growth)^(D95-1))</f>
        <v/>
      </c>
      <c r="H95" s="11">
        <f>MIN(in_approval_cap,in_approved_first*INDEX('Age profile'!$O$2:$O$61,B95)*(1+in_approval_growth)^(D95-1))</f>
        <v/>
      </c>
      <c r="I95" s="45">
        <f>G95*MIN(in_takeup_cap,INDEX('Age profile'!$O$2:$O$61,B95)*(1+in_approval_growth)^(D95-1))</f>
        <v/>
      </c>
      <c r="J95" s="40">
        <f>(J94-L94)*F95/F94</f>
        <v/>
      </c>
      <c r="K95" s="40">
        <f>(K94-M94)*F95/F94+SUMIFS(O62:O94,B62:B94,B95-1-d_T)*F95</f>
        <v/>
      </c>
      <c r="L95" s="40">
        <f>IF(B95&gt;=in_marketplace_from,J95*d_hz*G95*in_eligible*H95,0)</f>
        <v/>
      </c>
      <c r="M95" s="40">
        <f>IF(B95&gt;=in_marketplace_from,K95*d_hz*G95*in_eligible*in_approved_repeat,0)</f>
        <v/>
      </c>
      <c r="N95" s="40">
        <f>L95+M95</f>
        <v/>
      </c>
      <c r="O95" s="46">
        <f>N95/F95</f>
        <v/>
      </c>
      <c r="P95" s="40">
        <f>F95-J95-K95</f>
        <v/>
      </c>
      <c r="Q95" s="40">
        <f>IF(B95&gt;=in_marketplace_from,(J95+K95)*d_hz*G95,0)</f>
        <v/>
      </c>
      <c r="R95" s="40">
        <f>SUMIFS(N62:N120,B62:B120,"&gt;="&amp;(B95-d_T),B62:B120,"&lt;="&amp;(B95-1))</f>
        <v/>
      </c>
      <c r="S95" s="46">
        <f>(1-d_u)*S94+IF(d_T&gt;in_topup_lag,SUMIFS(O62:O120,B62:B120,B95-in_topup_lag)-d_udrop*SUMIFS(O62:O120,B62:B120,B95-d_T),0)</f>
        <v/>
      </c>
      <c r="T95" s="40">
        <f>F95*d_u*S95</f>
        <v/>
      </c>
      <c r="U95" s="9">
        <f>L95*in_ticket+M95*d_rep_ticket</f>
        <v/>
      </c>
      <c r="V95" s="9">
        <f>U95+T95*d_topup_amt</f>
        <v/>
      </c>
      <c r="W95" s="40">
        <f>N95+T95*d_topup_ratio</f>
        <v/>
      </c>
      <c r="X95" s="40">
        <f>SUMIFS(W62:W120,B62:B120,B95-in_dpd_lag)*d_cured</f>
        <v/>
      </c>
      <c r="Y95" s="40">
        <f>SUMIFS(W62:W120,B62:B120,B95-in_rec_lag)*d_recd</f>
        <v/>
      </c>
      <c r="Z95" s="40">
        <f>IF(AND(B95&gt;=in_marketplace_from,B95&lt;in_marketplace_from+in_card_months),in_card_share/in_card_months*F95*I95,IF(AND(B95&gt;=in_marketplace_from+in_card_months,B95&lt;in_marketplace_from+2*in_card_months),in_card_share*d_card_rem/in_card_months*F95*MIN(in_takeup_cap,(1+in_takeup_growth)^(D95-1))*MIN(in_takeup_cap,(1+in_approval_growth)^(D95-1)),0))</f>
        <v/>
      </c>
      <c r="AA95" s="14">
        <f>V95*in_fee*(1-in_taken_back)</f>
        <v/>
      </c>
      <c r="AB95" s="14">
        <f>SUMIFS(W62:W120,B62:B120,B95-in_dpd_lag)*d_dpd</f>
        <v/>
      </c>
      <c r="AC95" s="14">
        <f>SUMIFS(W62:W120,B62:B120,B95-in_rec_lag)*d_rec</f>
        <v/>
      </c>
      <c r="AD95" s="14">
        <f>Z95*in_card_fee</f>
        <v/>
      </c>
      <c r="AE95" s="40">
        <f>AE94*(1-IF(B94&gt;=in_marketplace_from,d_hz_hlth_small*G94,0))</f>
        <v/>
      </c>
      <c r="AF95" s="46">
        <f>AE95*IF(B95&gt;=in_marketplace_from,d_hz_hlth_small*G95,0)</f>
        <v/>
      </c>
      <c r="AG95" s="14">
        <f>F95*AF95*in_hlth_small_ticket*in_hlth_small_comm*in_ins_partner_share+F95*in_hlth_small_ticket*in_hlth_small_renew_comm*in_ins_partner_share*(in_hlth_small_renew^1*SUMIFS(AF62:AF120,B62:B120,B95-12)+in_hlth_small_renew^2*SUMIFS(AF62:AF120,B62:B120,B95-24)+in_hlth_small_renew^3*SUMIFS(AF62:AF120,B62:B120,B95-36)+in_hlth_small_renew^4*SUMIFS(AF62:AF120,B62:B120,B95-48))</f>
        <v/>
      </c>
      <c r="AH95" s="40">
        <f>AH94*(1-IF(B94&gt;=in_marketplace_from,d_hz_hlth_family*G94,0))</f>
        <v/>
      </c>
      <c r="AI95" s="46">
        <f>AH95*IF(B95&gt;=in_marketplace_from,d_hz_hlth_family*G95,0)</f>
        <v/>
      </c>
      <c r="AJ95" s="14">
        <f>F95*AI95*in_hlth_family_ticket*in_hlth_family_comm*in_ins_partner_share+F95*in_hlth_family_ticket*in_hlth_family_renew_comm*in_ins_partner_share*(in_hlth_family_renew^1*SUMIFS(AI62:AI120,B62:B120,B95-12)+in_hlth_family_renew^2*SUMIFS(AI62:AI120,B62:B120,B95-24)+in_hlth_family_renew^3*SUMIFS(AI62:AI120,B62:B120,B95-36)+in_hlth_family_renew^4*SUMIFS(AI62:AI120,B62:B120,B95-48))</f>
        <v/>
      </c>
      <c r="AK95" s="40">
        <f>AK94*(1-IF(B94&gt;=in_marketplace_from,d_hz_life_term*G94,0))</f>
        <v/>
      </c>
      <c r="AL95" s="46">
        <f>AK95*IF(B95&gt;=in_marketplace_from,d_hz_life_term*G95,0)</f>
        <v/>
      </c>
      <c r="AM95" s="14">
        <f>F95*AL95*in_life_term_ticket*in_life_term_comm*in_ins_partner_share+F95*in_life_term_ticket*in_life_term_renew_comm*in_ins_partner_share*(in_life_term_renew^1*SUMIFS(AL62:AL120,B62:B120,B95-12)+in_life_term_renew^2*SUMIFS(AL62:AL120,B62:B120,B95-24)+in_life_term_renew^3*SUMIFS(AL62:AL120,B62:B120,B95-36)+in_life_term_renew^4*SUMIFS(AL62:AL120,B62:B120,B95-48))</f>
        <v/>
      </c>
      <c r="AN95" s="40">
        <f>AN94*(1-IF(B94&gt;=in_marketplace_from,d_hz_accident*G94,0))</f>
        <v/>
      </c>
      <c r="AO95" s="46">
        <f>AN95*IF(B95&gt;=in_marketplace_from,d_hz_accident*G95,0)</f>
        <v/>
      </c>
      <c r="AP95" s="14">
        <f>F95*AO95*in_accident_ticket*in_accident_comm*in_ins_partner_share+F95*in_accident_ticket*in_accident_renew_comm*in_ins_partner_share*(in_accident_renew^1*SUMIFS(AO62:AO120,B62:B120,B95-12)+in_accident_renew^2*SUMIFS(AO62:AO120,B62:B120,B95-24)+in_accident_renew^3*SUMIFS(AO62:AO120,B62:B120,B95-36)+in_accident_renew^4*SUMIFS(AO62:AO120,B62:B120,B95-48))</f>
        <v/>
      </c>
      <c r="AQ95" s="40">
        <f>AQ94*(1-IF(B94&gt;=in_marketplace_from,d_hz_two_wheeler*G94,0))</f>
        <v/>
      </c>
      <c r="AR95" s="46">
        <f>AQ95*IF(B95&gt;=in_marketplace_from,d_hz_two_wheeler*G95,0)</f>
        <v/>
      </c>
      <c r="AS95" s="14">
        <f>F95*AR95*in_two_wheeler_ticket*in_two_wheeler_comm*in_ins_partner_share+F95*in_two_wheeler_ticket*in_two_wheeler_comm*in_ins_partner_share*(in_two_wheeler_renew^1*SUMIFS(AR62:AR120,B62:B120,B95-12)+in_two_wheeler_renew^2*SUMIFS(AR62:AR120,B62:B120,B95-24)+in_two_wheeler_renew^3*SUMIFS(AR62:AR120,B62:B120,B95-36)+in_two_wheeler_renew^4*SUMIFS(AR62:AR120,B62:B120,B95-48))</f>
        <v/>
      </c>
      <c r="AT95" s="40">
        <f>AT94*(1-IF(B94&gt;=in_marketplace_from,d_hz_device*G94,0))</f>
        <v/>
      </c>
      <c r="AU95" s="14">
        <f>F95*AT95*IF(B95&gt;=in_marketplace_from,d_hz_device*G95,0)*in_device_ticket*in_device_comm*in_ins_partner_share</f>
        <v/>
      </c>
      <c r="AV95" s="40">
        <f>AV94*(1-IF(B94&gt;=in_marketplace_from,d_hz_shop*G94,0))</f>
        <v/>
      </c>
      <c r="AW95" s="46">
        <f>AV95*IF(B95&gt;=in_marketplace_from,d_hz_shop*G95,0)</f>
        <v/>
      </c>
      <c r="AX95" s="14">
        <f>F95*AW95*in_shop_ticket*in_shop_comm*in_ins_partner_share+F95*in_shop_ticket*in_shop_renew_comm*in_ins_partner_share*(in_shop_renew^1*SUMIFS(AW62:AW120,B62:B120,B95-12)+in_shop_renew^2*SUMIFS(AW62:AW120,B62:B120,B95-24)+in_shop_renew^3*SUMIFS(AW62:AW120,B62:B120,B95-36)+in_shop_renew^4*SUMIFS(AW62:AW120,B62:B120,B95-48))</f>
        <v/>
      </c>
      <c r="AY95" s="40">
        <f>AY94*(1-IF(B94&gt;=in_marketplace_from,d_hz_sip*G94,0))</f>
        <v/>
      </c>
      <c r="AZ95" s="40">
        <f>AZ94*d_rho_sip+AY95*IF(B95&gt;=in_marketplace_from,d_hz_sip*G95,0)</f>
        <v/>
      </c>
      <c r="BA95" s="40">
        <f>d_rho_sip*(BA94+AZ94)</f>
        <v/>
      </c>
      <c r="BB95" s="14">
        <f>F95*in_sip_ticket*(BA95+0.5*AZ95)*in_sip_comm/12</f>
        <v/>
      </c>
      <c r="BC95" s="40">
        <f>BC94*(1-IF(B94&gt;=in_marketplace_from,d_hz_choti*G94,0))</f>
        <v/>
      </c>
      <c r="BD95" s="46">
        <f>BC95*IF(B95&gt;=in_marketplace_from,d_hz_choti*G95,0)</f>
        <v/>
      </c>
      <c r="BE95" s="14">
        <f>F95*SUMIFS(BD62:BD120,B62:B120,B95-in_choti_months)*in_choti_renew*in_choti_ticket</f>
        <v/>
      </c>
      <c r="BF95" s="40">
        <f>BF94*(1-IF(B94&gt;=in_marketplace_from,d_hz_nps*G94,0))</f>
        <v/>
      </c>
      <c r="BG95" s="14">
        <f>F95*BF95*IF(B95&gt;=in_marketplace_from,d_hz_nps*G95,0)*in_nps_ticket*in_nps_comm</f>
        <v/>
      </c>
      <c r="BH95" s="40">
        <f>BH94*(1-IF(B94&gt;=in_marketplace_from,d_hz_gold*G94,0))</f>
        <v/>
      </c>
      <c r="BI95" s="40">
        <f>BI94*d_rho_gold+BH95*IF(B95&gt;=in_marketplace_from,d_hz_gold*G95,0)</f>
        <v/>
      </c>
      <c r="BJ95" s="14">
        <f>F95*BI95*in_gold_ticket*in_gold_comm</f>
        <v/>
      </c>
      <c r="BK95" s="40">
        <f>BK94*(1-IF(B94&gt;=in_marketplace_from,d_hz_fd*G94,0))</f>
        <v/>
      </c>
      <c r="BL95" s="14">
        <f>F95*BK95*IF(B95&gt;=in_marketplace_from,d_hz_fd*G95,0)*in_fd_ticket*in_fd_comm</f>
        <v/>
      </c>
      <c r="BM95" s="40">
        <f>BM94*(1-IF(B94&gt;=in_marketplace_from,d_hz_recharge*G94,0))</f>
        <v/>
      </c>
      <c r="BN95" s="40">
        <f>BN94*d_rho_recharge+BM95*IF(B95&gt;=in_marketplace_from,d_hz_recharge*G95,0)</f>
        <v/>
      </c>
      <c r="BO95" s="14">
        <f>F95*BN95*in_recharge_ticket*in_recharge_comm/12</f>
        <v/>
      </c>
      <c r="BP95" s="40">
        <f>BP94*(1-IF(B94&gt;=in_marketplace_from,d_hz_bills*G94,0))</f>
        <v/>
      </c>
      <c r="BQ95" s="40">
        <f>BQ94*d_rho_bills+BP95*IF(B95&gt;=in_marketplace_from,d_hz_bills*G95,0)</f>
        <v/>
      </c>
      <c r="BR95" s="14">
        <f>F95*BQ95*in_bills_ticket*in_bills_comm/12</f>
        <v/>
      </c>
      <c r="BS95" s="40">
        <f>BS94*(1-IF(B94&gt;=in_marketplace_from,d_hz_loan_gold*G94,0))</f>
        <v/>
      </c>
      <c r="BT95" s="14">
        <f>F95*BS95*IF(B95&gt;=in_marketplace_from,d_hz_loan_gold*G95,0)*in_loan_gold_ticket*in_loan_gold_comm</f>
        <v/>
      </c>
      <c r="BU95" s="40">
        <f>BU94*(1-IF(B94&gt;=in_marketplace_from,d_hz_loan_cd*G94,0))</f>
        <v/>
      </c>
      <c r="BV95" s="14">
        <f>F95*BU95*IF(B95&gt;=in_marketplace_from,d_hz_loan_cd*G95,0)*in_loan_cd_ticket*in_loan_cd_comm</f>
        <v/>
      </c>
      <c r="BW95" s="40">
        <f>BW94*(1-IF(B94&gt;=in_marketplace_from,d_hz_loan_vehicle*G94,0))</f>
        <v/>
      </c>
      <c r="BX95" s="14">
        <f>F95*BW95*IF(B95&gt;=in_marketplace_from,d_hz_loan_vehicle*G95,0)*in_loan_vehicle_ticket*in_loan_vehicle_comm</f>
        <v/>
      </c>
      <c r="BY95" s="40">
        <f>BY94*(1-IF(B94&gt;=in_marketplace_from,d_hz_loan_home*G94,0)*BZ94)</f>
        <v/>
      </c>
      <c r="BZ95" s="11">
        <f>MIN(in_approval_cap,in_loan_home_approval*INDEX('Age profile'!$O$2:$O$61,B95)*(1+in_approval_growth)^(D95-1))</f>
        <v/>
      </c>
      <c r="CA95" s="14">
        <f>F95*BY95*IF(B95&gt;=in_marketplace_from,d_hz_loan_home*G95,0)*BZ95*in_loan_home_ticket*in_loan_home_comm</f>
        <v/>
      </c>
      <c r="CB95" s="40">
        <f>CB94*(1-IF(B94&gt;=in_marketplace_from,d_hz_loan_lap*G94,0)*CC94)</f>
        <v/>
      </c>
      <c r="CC95" s="11">
        <f>MIN(in_approval_cap,in_loan_lap_approval*INDEX('Age profile'!$O$2:$O$61,B95)*(1+in_approval_growth)^(D95-1))</f>
        <v/>
      </c>
      <c r="CD95" s="14">
        <f>F95*CB95*IF(B95&gt;=in_marketplace_from,d_hz_loan_lap*G95,0)*CC95*in_loan_lap_ticket*in_loan_lap_comm</f>
        <v/>
      </c>
      <c r="CE95" s="14">
        <f>AA95+AB95+AC95+AD95+AG95+AJ95+AM95+AP95+AS95+AU95+AX95+BB95+BE95+BG95+BJ95+BL95+BO95+BR95+BT95+BV95+BX95+CA95+CD95</f>
        <v/>
      </c>
    </row>
    <row r="96">
      <c r="A96" s="39" t="n">
        <v>2</v>
      </c>
      <c r="B96" s="39" t="n">
        <v>35</v>
      </c>
      <c r="C96" s="39">
        <f>A96+B96-1</f>
        <v/>
      </c>
      <c r="D96" s="39">
        <f>INT((C96-1)/12)+1</f>
        <v/>
      </c>
      <c r="E96" s="44">
        <f>INDEX(Monthly!$B$2:$B$61,A96)</f>
        <v/>
      </c>
      <c r="F96" s="44">
        <f>E96*INDEX('Age profile'!$B$2:$B$61,B96)</f>
        <v/>
      </c>
      <c r="G96" s="45">
        <f>MIN(in_takeup_cap,INDEX('Age profile'!$N$2:$N$61,B96)*(1+in_takeup_growth)^(D96-1))</f>
        <v/>
      </c>
      <c r="H96" s="11">
        <f>MIN(in_approval_cap,in_approved_first*INDEX('Age profile'!$O$2:$O$61,B96)*(1+in_approval_growth)^(D96-1))</f>
        <v/>
      </c>
      <c r="I96" s="45">
        <f>G96*MIN(in_takeup_cap,INDEX('Age profile'!$O$2:$O$61,B96)*(1+in_approval_growth)^(D96-1))</f>
        <v/>
      </c>
      <c r="J96" s="40">
        <f>(J95-L95)*F96/F95</f>
        <v/>
      </c>
      <c r="K96" s="40">
        <f>(K95-M95)*F96/F95+SUMIFS(O62:O95,B62:B95,B96-1-d_T)*F96</f>
        <v/>
      </c>
      <c r="L96" s="40">
        <f>IF(B96&gt;=in_marketplace_from,J96*d_hz*G96*in_eligible*H96,0)</f>
        <v/>
      </c>
      <c r="M96" s="40">
        <f>IF(B96&gt;=in_marketplace_from,K96*d_hz*G96*in_eligible*in_approved_repeat,0)</f>
        <v/>
      </c>
      <c r="N96" s="40">
        <f>L96+M96</f>
        <v/>
      </c>
      <c r="O96" s="46">
        <f>N96/F96</f>
        <v/>
      </c>
      <c r="P96" s="40">
        <f>F96-J96-K96</f>
        <v/>
      </c>
      <c r="Q96" s="40">
        <f>IF(B96&gt;=in_marketplace_from,(J96+K96)*d_hz*G96,0)</f>
        <v/>
      </c>
      <c r="R96" s="40">
        <f>SUMIFS(N62:N120,B62:B120,"&gt;="&amp;(B96-d_T),B62:B120,"&lt;="&amp;(B96-1))</f>
        <v/>
      </c>
      <c r="S96" s="46">
        <f>(1-d_u)*S95+IF(d_T&gt;in_topup_lag,SUMIFS(O62:O120,B62:B120,B96-in_topup_lag)-d_udrop*SUMIFS(O62:O120,B62:B120,B96-d_T),0)</f>
        <v/>
      </c>
      <c r="T96" s="40">
        <f>F96*d_u*S96</f>
        <v/>
      </c>
      <c r="U96" s="9">
        <f>L96*in_ticket+M96*d_rep_ticket</f>
        <v/>
      </c>
      <c r="V96" s="9">
        <f>U96+T96*d_topup_amt</f>
        <v/>
      </c>
      <c r="W96" s="40">
        <f>N96+T96*d_topup_ratio</f>
        <v/>
      </c>
      <c r="X96" s="40">
        <f>SUMIFS(W62:W120,B62:B120,B96-in_dpd_lag)*d_cured</f>
        <v/>
      </c>
      <c r="Y96" s="40">
        <f>SUMIFS(W62:W120,B62:B120,B96-in_rec_lag)*d_recd</f>
        <v/>
      </c>
      <c r="Z96" s="40">
        <f>IF(AND(B96&gt;=in_marketplace_from,B96&lt;in_marketplace_from+in_card_months),in_card_share/in_card_months*F96*I96,IF(AND(B96&gt;=in_marketplace_from+in_card_months,B96&lt;in_marketplace_from+2*in_card_months),in_card_share*d_card_rem/in_card_months*F96*MIN(in_takeup_cap,(1+in_takeup_growth)^(D96-1))*MIN(in_takeup_cap,(1+in_approval_growth)^(D96-1)),0))</f>
        <v/>
      </c>
      <c r="AA96" s="14">
        <f>V96*in_fee*(1-in_taken_back)</f>
        <v/>
      </c>
      <c r="AB96" s="14">
        <f>SUMIFS(W62:W120,B62:B120,B96-in_dpd_lag)*d_dpd</f>
        <v/>
      </c>
      <c r="AC96" s="14">
        <f>SUMIFS(W62:W120,B62:B120,B96-in_rec_lag)*d_rec</f>
        <v/>
      </c>
      <c r="AD96" s="14">
        <f>Z96*in_card_fee</f>
        <v/>
      </c>
      <c r="AE96" s="40">
        <f>AE95*(1-IF(B95&gt;=in_marketplace_from,d_hz_hlth_small*G95,0))</f>
        <v/>
      </c>
      <c r="AF96" s="46">
        <f>AE96*IF(B96&gt;=in_marketplace_from,d_hz_hlth_small*G96,0)</f>
        <v/>
      </c>
      <c r="AG96" s="14">
        <f>F96*AF96*in_hlth_small_ticket*in_hlth_small_comm*in_ins_partner_share+F96*in_hlth_small_ticket*in_hlth_small_renew_comm*in_ins_partner_share*(in_hlth_small_renew^1*SUMIFS(AF62:AF120,B62:B120,B96-12)+in_hlth_small_renew^2*SUMIFS(AF62:AF120,B62:B120,B96-24)+in_hlth_small_renew^3*SUMIFS(AF62:AF120,B62:B120,B96-36)+in_hlth_small_renew^4*SUMIFS(AF62:AF120,B62:B120,B96-48))</f>
        <v/>
      </c>
      <c r="AH96" s="40">
        <f>AH95*(1-IF(B95&gt;=in_marketplace_from,d_hz_hlth_family*G95,0))</f>
        <v/>
      </c>
      <c r="AI96" s="46">
        <f>AH96*IF(B96&gt;=in_marketplace_from,d_hz_hlth_family*G96,0)</f>
        <v/>
      </c>
      <c r="AJ96" s="14">
        <f>F96*AI96*in_hlth_family_ticket*in_hlth_family_comm*in_ins_partner_share+F96*in_hlth_family_ticket*in_hlth_family_renew_comm*in_ins_partner_share*(in_hlth_family_renew^1*SUMIFS(AI62:AI120,B62:B120,B96-12)+in_hlth_family_renew^2*SUMIFS(AI62:AI120,B62:B120,B96-24)+in_hlth_family_renew^3*SUMIFS(AI62:AI120,B62:B120,B96-36)+in_hlth_family_renew^4*SUMIFS(AI62:AI120,B62:B120,B96-48))</f>
        <v/>
      </c>
      <c r="AK96" s="40">
        <f>AK95*(1-IF(B95&gt;=in_marketplace_from,d_hz_life_term*G95,0))</f>
        <v/>
      </c>
      <c r="AL96" s="46">
        <f>AK96*IF(B96&gt;=in_marketplace_from,d_hz_life_term*G96,0)</f>
        <v/>
      </c>
      <c r="AM96" s="14">
        <f>F96*AL96*in_life_term_ticket*in_life_term_comm*in_ins_partner_share+F96*in_life_term_ticket*in_life_term_renew_comm*in_ins_partner_share*(in_life_term_renew^1*SUMIFS(AL62:AL120,B62:B120,B96-12)+in_life_term_renew^2*SUMIFS(AL62:AL120,B62:B120,B96-24)+in_life_term_renew^3*SUMIFS(AL62:AL120,B62:B120,B96-36)+in_life_term_renew^4*SUMIFS(AL62:AL120,B62:B120,B96-48))</f>
        <v/>
      </c>
      <c r="AN96" s="40">
        <f>AN95*(1-IF(B95&gt;=in_marketplace_from,d_hz_accident*G95,0))</f>
        <v/>
      </c>
      <c r="AO96" s="46">
        <f>AN96*IF(B96&gt;=in_marketplace_from,d_hz_accident*G96,0)</f>
        <v/>
      </c>
      <c r="AP96" s="14">
        <f>F96*AO96*in_accident_ticket*in_accident_comm*in_ins_partner_share+F96*in_accident_ticket*in_accident_renew_comm*in_ins_partner_share*(in_accident_renew^1*SUMIFS(AO62:AO120,B62:B120,B96-12)+in_accident_renew^2*SUMIFS(AO62:AO120,B62:B120,B96-24)+in_accident_renew^3*SUMIFS(AO62:AO120,B62:B120,B96-36)+in_accident_renew^4*SUMIFS(AO62:AO120,B62:B120,B96-48))</f>
        <v/>
      </c>
      <c r="AQ96" s="40">
        <f>AQ95*(1-IF(B95&gt;=in_marketplace_from,d_hz_two_wheeler*G95,0))</f>
        <v/>
      </c>
      <c r="AR96" s="46">
        <f>AQ96*IF(B96&gt;=in_marketplace_from,d_hz_two_wheeler*G96,0)</f>
        <v/>
      </c>
      <c r="AS96" s="14">
        <f>F96*AR96*in_two_wheeler_ticket*in_two_wheeler_comm*in_ins_partner_share+F96*in_two_wheeler_ticket*in_two_wheeler_comm*in_ins_partner_share*(in_two_wheeler_renew^1*SUMIFS(AR62:AR120,B62:B120,B96-12)+in_two_wheeler_renew^2*SUMIFS(AR62:AR120,B62:B120,B96-24)+in_two_wheeler_renew^3*SUMIFS(AR62:AR120,B62:B120,B96-36)+in_two_wheeler_renew^4*SUMIFS(AR62:AR120,B62:B120,B96-48))</f>
        <v/>
      </c>
      <c r="AT96" s="40">
        <f>AT95*(1-IF(B95&gt;=in_marketplace_from,d_hz_device*G95,0))</f>
        <v/>
      </c>
      <c r="AU96" s="14">
        <f>F96*AT96*IF(B96&gt;=in_marketplace_from,d_hz_device*G96,0)*in_device_ticket*in_device_comm*in_ins_partner_share</f>
        <v/>
      </c>
      <c r="AV96" s="40">
        <f>AV95*(1-IF(B95&gt;=in_marketplace_from,d_hz_shop*G95,0))</f>
        <v/>
      </c>
      <c r="AW96" s="46">
        <f>AV96*IF(B96&gt;=in_marketplace_from,d_hz_shop*G96,0)</f>
        <v/>
      </c>
      <c r="AX96" s="14">
        <f>F96*AW96*in_shop_ticket*in_shop_comm*in_ins_partner_share+F96*in_shop_ticket*in_shop_renew_comm*in_ins_partner_share*(in_shop_renew^1*SUMIFS(AW62:AW120,B62:B120,B96-12)+in_shop_renew^2*SUMIFS(AW62:AW120,B62:B120,B96-24)+in_shop_renew^3*SUMIFS(AW62:AW120,B62:B120,B96-36)+in_shop_renew^4*SUMIFS(AW62:AW120,B62:B120,B96-48))</f>
        <v/>
      </c>
      <c r="AY96" s="40">
        <f>AY95*(1-IF(B95&gt;=in_marketplace_from,d_hz_sip*G95,0))</f>
        <v/>
      </c>
      <c r="AZ96" s="40">
        <f>AZ95*d_rho_sip+AY96*IF(B96&gt;=in_marketplace_from,d_hz_sip*G96,0)</f>
        <v/>
      </c>
      <c r="BA96" s="40">
        <f>d_rho_sip*(BA95+AZ95)</f>
        <v/>
      </c>
      <c r="BB96" s="14">
        <f>F96*in_sip_ticket*(BA96+0.5*AZ96)*in_sip_comm/12</f>
        <v/>
      </c>
      <c r="BC96" s="40">
        <f>BC95*(1-IF(B95&gt;=in_marketplace_from,d_hz_choti*G95,0))</f>
        <v/>
      </c>
      <c r="BD96" s="46">
        <f>BC96*IF(B96&gt;=in_marketplace_from,d_hz_choti*G96,0)</f>
        <v/>
      </c>
      <c r="BE96" s="14">
        <f>F96*SUMIFS(BD62:BD120,B62:B120,B96-in_choti_months)*in_choti_renew*in_choti_ticket</f>
        <v/>
      </c>
      <c r="BF96" s="40">
        <f>BF95*(1-IF(B95&gt;=in_marketplace_from,d_hz_nps*G95,0))</f>
        <v/>
      </c>
      <c r="BG96" s="14">
        <f>F96*BF96*IF(B96&gt;=in_marketplace_from,d_hz_nps*G96,0)*in_nps_ticket*in_nps_comm</f>
        <v/>
      </c>
      <c r="BH96" s="40">
        <f>BH95*(1-IF(B95&gt;=in_marketplace_from,d_hz_gold*G95,0))</f>
        <v/>
      </c>
      <c r="BI96" s="40">
        <f>BI95*d_rho_gold+BH96*IF(B96&gt;=in_marketplace_from,d_hz_gold*G96,0)</f>
        <v/>
      </c>
      <c r="BJ96" s="14">
        <f>F96*BI96*in_gold_ticket*in_gold_comm</f>
        <v/>
      </c>
      <c r="BK96" s="40">
        <f>BK95*(1-IF(B95&gt;=in_marketplace_from,d_hz_fd*G95,0))</f>
        <v/>
      </c>
      <c r="BL96" s="14">
        <f>F96*BK96*IF(B96&gt;=in_marketplace_from,d_hz_fd*G96,0)*in_fd_ticket*in_fd_comm</f>
        <v/>
      </c>
      <c r="BM96" s="40">
        <f>BM95*(1-IF(B95&gt;=in_marketplace_from,d_hz_recharge*G95,0))</f>
        <v/>
      </c>
      <c r="BN96" s="40">
        <f>BN95*d_rho_recharge+BM96*IF(B96&gt;=in_marketplace_from,d_hz_recharge*G96,0)</f>
        <v/>
      </c>
      <c r="BO96" s="14">
        <f>F96*BN96*in_recharge_ticket*in_recharge_comm/12</f>
        <v/>
      </c>
      <c r="BP96" s="40">
        <f>BP95*(1-IF(B95&gt;=in_marketplace_from,d_hz_bills*G95,0))</f>
        <v/>
      </c>
      <c r="BQ96" s="40">
        <f>BQ95*d_rho_bills+BP96*IF(B96&gt;=in_marketplace_from,d_hz_bills*G96,0)</f>
        <v/>
      </c>
      <c r="BR96" s="14">
        <f>F96*BQ96*in_bills_ticket*in_bills_comm/12</f>
        <v/>
      </c>
      <c r="BS96" s="40">
        <f>BS95*(1-IF(B95&gt;=in_marketplace_from,d_hz_loan_gold*G95,0))</f>
        <v/>
      </c>
      <c r="BT96" s="14">
        <f>F96*BS96*IF(B96&gt;=in_marketplace_from,d_hz_loan_gold*G96,0)*in_loan_gold_ticket*in_loan_gold_comm</f>
        <v/>
      </c>
      <c r="BU96" s="40">
        <f>BU95*(1-IF(B95&gt;=in_marketplace_from,d_hz_loan_cd*G95,0))</f>
        <v/>
      </c>
      <c r="BV96" s="14">
        <f>F96*BU96*IF(B96&gt;=in_marketplace_from,d_hz_loan_cd*G96,0)*in_loan_cd_ticket*in_loan_cd_comm</f>
        <v/>
      </c>
      <c r="BW96" s="40">
        <f>BW95*(1-IF(B95&gt;=in_marketplace_from,d_hz_loan_vehicle*G95,0))</f>
        <v/>
      </c>
      <c r="BX96" s="14">
        <f>F96*BW96*IF(B96&gt;=in_marketplace_from,d_hz_loan_vehicle*G96,0)*in_loan_vehicle_ticket*in_loan_vehicle_comm</f>
        <v/>
      </c>
      <c r="BY96" s="40">
        <f>BY95*(1-IF(B95&gt;=in_marketplace_from,d_hz_loan_home*G95,0)*BZ95)</f>
        <v/>
      </c>
      <c r="BZ96" s="11">
        <f>MIN(in_approval_cap,in_loan_home_approval*INDEX('Age profile'!$O$2:$O$61,B96)*(1+in_approval_growth)^(D96-1))</f>
        <v/>
      </c>
      <c r="CA96" s="14">
        <f>F96*BY96*IF(B96&gt;=in_marketplace_from,d_hz_loan_home*G96,0)*BZ96*in_loan_home_ticket*in_loan_home_comm</f>
        <v/>
      </c>
      <c r="CB96" s="40">
        <f>CB95*(1-IF(B95&gt;=in_marketplace_from,d_hz_loan_lap*G95,0)*CC95)</f>
        <v/>
      </c>
      <c r="CC96" s="11">
        <f>MIN(in_approval_cap,in_loan_lap_approval*INDEX('Age profile'!$O$2:$O$61,B96)*(1+in_approval_growth)^(D96-1))</f>
        <v/>
      </c>
      <c r="CD96" s="14">
        <f>F96*CB96*IF(B96&gt;=in_marketplace_from,d_hz_loan_lap*G96,0)*CC96*in_loan_lap_ticket*in_loan_lap_comm</f>
        <v/>
      </c>
      <c r="CE96" s="14">
        <f>AA96+AB96+AC96+AD96+AG96+AJ96+AM96+AP96+AS96+AU96+AX96+BB96+BE96+BG96+BJ96+BL96+BO96+BR96+BT96+BV96+BX96+CA96+CD96</f>
        <v/>
      </c>
    </row>
    <row r="97">
      <c r="A97" s="39" t="n">
        <v>2</v>
      </c>
      <c r="B97" s="39" t="n">
        <v>36</v>
      </c>
      <c r="C97" s="39">
        <f>A97+B97-1</f>
        <v/>
      </c>
      <c r="D97" s="39">
        <f>INT((C97-1)/12)+1</f>
        <v/>
      </c>
      <c r="E97" s="44">
        <f>INDEX(Monthly!$B$2:$B$61,A97)</f>
        <v/>
      </c>
      <c r="F97" s="44">
        <f>E97*INDEX('Age profile'!$B$2:$B$61,B97)</f>
        <v/>
      </c>
      <c r="G97" s="45">
        <f>MIN(in_takeup_cap,INDEX('Age profile'!$N$2:$N$61,B97)*(1+in_takeup_growth)^(D97-1))</f>
        <v/>
      </c>
      <c r="H97" s="11">
        <f>MIN(in_approval_cap,in_approved_first*INDEX('Age profile'!$O$2:$O$61,B97)*(1+in_approval_growth)^(D97-1))</f>
        <v/>
      </c>
      <c r="I97" s="45">
        <f>G97*MIN(in_takeup_cap,INDEX('Age profile'!$O$2:$O$61,B97)*(1+in_approval_growth)^(D97-1))</f>
        <v/>
      </c>
      <c r="J97" s="40">
        <f>(J96-L96)*F97/F96</f>
        <v/>
      </c>
      <c r="K97" s="40">
        <f>(K96-M96)*F97/F96+SUMIFS(O62:O96,B62:B96,B97-1-d_T)*F97</f>
        <v/>
      </c>
      <c r="L97" s="40">
        <f>IF(B97&gt;=in_marketplace_from,J97*d_hz*G97*in_eligible*H97,0)</f>
        <v/>
      </c>
      <c r="M97" s="40">
        <f>IF(B97&gt;=in_marketplace_from,K97*d_hz*G97*in_eligible*in_approved_repeat,0)</f>
        <v/>
      </c>
      <c r="N97" s="40">
        <f>L97+M97</f>
        <v/>
      </c>
      <c r="O97" s="46">
        <f>N97/F97</f>
        <v/>
      </c>
      <c r="P97" s="40">
        <f>F97-J97-K97</f>
        <v/>
      </c>
      <c r="Q97" s="40">
        <f>IF(B97&gt;=in_marketplace_from,(J97+K97)*d_hz*G97,0)</f>
        <v/>
      </c>
      <c r="R97" s="40">
        <f>SUMIFS(N62:N120,B62:B120,"&gt;="&amp;(B97-d_T),B62:B120,"&lt;="&amp;(B97-1))</f>
        <v/>
      </c>
      <c r="S97" s="46">
        <f>(1-d_u)*S96+IF(d_T&gt;in_topup_lag,SUMIFS(O62:O120,B62:B120,B97-in_topup_lag)-d_udrop*SUMIFS(O62:O120,B62:B120,B97-d_T),0)</f>
        <v/>
      </c>
      <c r="T97" s="40">
        <f>F97*d_u*S97</f>
        <v/>
      </c>
      <c r="U97" s="9">
        <f>L97*in_ticket+M97*d_rep_ticket</f>
        <v/>
      </c>
      <c r="V97" s="9">
        <f>U97+T97*d_topup_amt</f>
        <v/>
      </c>
      <c r="W97" s="40">
        <f>N97+T97*d_topup_ratio</f>
        <v/>
      </c>
      <c r="X97" s="40">
        <f>SUMIFS(W62:W120,B62:B120,B97-in_dpd_lag)*d_cured</f>
        <v/>
      </c>
      <c r="Y97" s="40">
        <f>SUMIFS(W62:W120,B62:B120,B97-in_rec_lag)*d_recd</f>
        <v/>
      </c>
      <c r="Z97" s="40">
        <f>IF(AND(B97&gt;=in_marketplace_from,B97&lt;in_marketplace_from+in_card_months),in_card_share/in_card_months*F97*I97,IF(AND(B97&gt;=in_marketplace_from+in_card_months,B97&lt;in_marketplace_from+2*in_card_months),in_card_share*d_card_rem/in_card_months*F97*MIN(in_takeup_cap,(1+in_takeup_growth)^(D97-1))*MIN(in_takeup_cap,(1+in_approval_growth)^(D97-1)),0))</f>
        <v/>
      </c>
      <c r="AA97" s="14">
        <f>V97*in_fee*(1-in_taken_back)</f>
        <v/>
      </c>
      <c r="AB97" s="14">
        <f>SUMIFS(W62:W120,B62:B120,B97-in_dpd_lag)*d_dpd</f>
        <v/>
      </c>
      <c r="AC97" s="14">
        <f>SUMIFS(W62:W120,B62:B120,B97-in_rec_lag)*d_rec</f>
        <v/>
      </c>
      <c r="AD97" s="14">
        <f>Z97*in_card_fee</f>
        <v/>
      </c>
      <c r="AE97" s="40">
        <f>AE96*(1-IF(B96&gt;=in_marketplace_from,d_hz_hlth_small*G96,0))</f>
        <v/>
      </c>
      <c r="AF97" s="46">
        <f>AE97*IF(B97&gt;=in_marketplace_from,d_hz_hlth_small*G97,0)</f>
        <v/>
      </c>
      <c r="AG97" s="14">
        <f>F97*AF97*in_hlth_small_ticket*in_hlth_small_comm*in_ins_partner_share+F97*in_hlth_small_ticket*in_hlth_small_renew_comm*in_ins_partner_share*(in_hlth_small_renew^1*SUMIFS(AF62:AF120,B62:B120,B97-12)+in_hlth_small_renew^2*SUMIFS(AF62:AF120,B62:B120,B97-24)+in_hlth_small_renew^3*SUMIFS(AF62:AF120,B62:B120,B97-36)+in_hlth_small_renew^4*SUMIFS(AF62:AF120,B62:B120,B97-48))</f>
        <v/>
      </c>
      <c r="AH97" s="40">
        <f>AH96*(1-IF(B96&gt;=in_marketplace_from,d_hz_hlth_family*G96,0))</f>
        <v/>
      </c>
      <c r="AI97" s="46">
        <f>AH97*IF(B97&gt;=in_marketplace_from,d_hz_hlth_family*G97,0)</f>
        <v/>
      </c>
      <c r="AJ97" s="14">
        <f>F97*AI97*in_hlth_family_ticket*in_hlth_family_comm*in_ins_partner_share+F97*in_hlth_family_ticket*in_hlth_family_renew_comm*in_ins_partner_share*(in_hlth_family_renew^1*SUMIFS(AI62:AI120,B62:B120,B97-12)+in_hlth_family_renew^2*SUMIFS(AI62:AI120,B62:B120,B97-24)+in_hlth_family_renew^3*SUMIFS(AI62:AI120,B62:B120,B97-36)+in_hlth_family_renew^4*SUMIFS(AI62:AI120,B62:B120,B97-48))</f>
        <v/>
      </c>
      <c r="AK97" s="40">
        <f>AK96*(1-IF(B96&gt;=in_marketplace_from,d_hz_life_term*G96,0))</f>
        <v/>
      </c>
      <c r="AL97" s="46">
        <f>AK97*IF(B97&gt;=in_marketplace_from,d_hz_life_term*G97,0)</f>
        <v/>
      </c>
      <c r="AM97" s="14">
        <f>F97*AL97*in_life_term_ticket*in_life_term_comm*in_ins_partner_share+F97*in_life_term_ticket*in_life_term_renew_comm*in_ins_partner_share*(in_life_term_renew^1*SUMIFS(AL62:AL120,B62:B120,B97-12)+in_life_term_renew^2*SUMIFS(AL62:AL120,B62:B120,B97-24)+in_life_term_renew^3*SUMIFS(AL62:AL120,B62:B120,B97-36)+in_life_term_renew^4*SUMIFS(AL62:AL120,B62:B120,B97-48))</f>
        <v/>
      </c>
      <c r="AN97" s="40">
        <f>AN96*(1-IF(B96&gt;=in_marketplace_from,d_hz_accident*G96,0))</f>
        <v/>
      </c>
      <c r="AO97" s="46">
        <f>AN97*IF(B97&gt;=in_marketplace_from,d_hz_accident*G97,0)</f>
        <v/>
      </c>
      <c r="AP97" s="14">
        <f>F97*AO97*in_accident_ticket*in_accident_comm*in_ins_partner_share+F97*in_accident_ticket*in_accident_renew_comm*in_ins_partner_share*(in_accident_renew^1*SUMIFS(AO62:AO120,B62:B120,B97-12)+in_accident_renew^2*SUMIFS(AO62:AO120,B62:B120,B97-24)+in_accident_renew^3*SUMIFS(AO62:AO120,B62:B120,B97-36)+in_accident_renew^4*SUMIFS(AO62:AO120,B62:B120,B97-48))</f>
        <v/>
      </c>
      <c r="AQ97" s="40">
        <f>AQ96*(1-IF(B96&gt;=in_marketplace_from,d_hz_two_wheeler*G96,0))</f>
        <v/>
      </c>
      <c r="AR97" s="46">
        <f>AQ97*IF(B97&gt;=in_marketplace_from,d_hz_two_wheeler*G97,0)</f>
        <v/>
      </c>
      <c r="AS97" s="14">
        <f>F97*AR97*in_two_wheeler_ticket*in_two_wheeler_comm*in_ins_partner_share+F97*in_two_wheeler_ticket*in_two_wheeler_comm*in_ins_partner_share*(in_two_wheeler_renew^1*SUMIFS(AR62:AR120,B62:B120,B97-12)+in_two_wheeler_renew^2*SUMIFS(AR62:AR120,B62:B120,B97-24)+in_two_wheeler_renew^3*SUMIFS(AR62:AR120,B62:B120,B97-36)+in_two_wheeler_renew^4*SUMIFS(AR62:AR120,B62:B120,B97-48))</f>
        <v/>
      </c>
      <c r="AT97" s="40">
        <f>AT96*(1-IF(B96&gt;=in_marketplace_from,d_hz_device*G96,0))</f>
        <v/>
      </c>
      <c r="AU97" s="14">
        <f>F97*AT97*IF(B97&gt;=in_marketplace_from,d_hz_device*G97,0)*in_device_ticket*in_device_comm*in_ins_partner_share</f>
        <v/>
      </c>
      <c r="AV97" s="40">
        <f>AV96*(1-IF(B96&gt;=in_marketplace_from,d_hz_shop*G96,0))</f>
        <v/>
      </c>
      <c r="AW97" s="46">
        <f>AV97*IF(B97&gt;=in_marketplace_from,d_hz_shop*G97,0)</f>
        <v/>
      </c>
      <c r="AX97" s="14">
        <f>F97*AW97*in_shop_ticket*in_shop_comm*in_ins_partner_share+F97*in_shop_ticket*in_shop_renew_comm*in_ins_partner_share*(in_shop_renew^1*SUMIFS(AW62:AW120,B62:B120,B97-12)+in_shop_renew^2*SUMIFS(AW62:AW120,B62:B120,B97-24)+in_shop_renew^3*SUMIFS(AW62:AW120,B62:B120,B97-36)+in_shop_renew^4*SUMIFS(AW62:AW120,B62:B120,B97-48))</f>
        <v/>
      </c>
      <c r="AY97" s="40">
        <f>AY96*(1-IF(B96&gt;=in_marketplace_from,d_hz_sip*G96,0))</f>
        <v/>
      </c>
      <c r="AZ97" s="40">
        <f>AZ96*d_rho_sip+AY97*IF(B97&gt;=in_marketplace_from,d_hz_sip*G97,0)</f>
        <v/>
      </c>
      <c r="BA97" s="40">
        <f>d_rho_sip*(BA96+AZ96)</f>
        <v/>
      </c>
      <c r="BB97" s="14">
        <f>F97*in_sip_ticket*(BA97+0.5*AZ97)*in_sip_comm/12</f>
        <v/>
      </c>
      <c r="BC97" s="40">
        <f>BC96*(1-IF(B96&gt;=in_marketplace_from,d_hz_choti*G96,0))</f>
        <v/>
      </c>
      <c r="BD97" s="46">
        <f>BC97*IF(B97&gt;=in_marketplace_from,d_hz_choti*G97,0)</f>
        <v/>
      </c>
      <c r="BE97" s="14">
        <f>F97*SUMIFS(BD62:BD120,B62:B120,B97-in_choti_months)*in_choti_renew*in_choti_ticket</f>
        <v/>
      </c>
      <c r="BF97" s="40">
        <f>BF96*(1-IF(B96&gt;=in_marketplace_from,d_hz_nps*G96,0))</f>
        <v/>
      </c>
      <c r="BG97" s="14">
        <f>F97*BF97*IF(B97&gt;=in_marketplace_from,d_hz_nps*G97,0)*in_nps_ticket*in_nps_comm</f>
        <v/>
      </c>
      <c r="BH97" s="40">
        <f>BH96*(1-IF(B96&gt;=in_marketplace_from,d_hz_gold*G96,0))</f>
        <v/>
      </c>
      <c r="BI97" s="40">
        <f>BI96*d_rho_gold+BH97*IF(B97&gt;=in_marketplace_from,d_hz_gold*G97,0)</f>
        <v/>
      </c>
      <c r="BJ97" s="14">
        <f>F97*BI97*in_gold_ticket*in_gold_comm</f>
        <v/>
      </c>
      <c r="BK97" s="40">
        <f>BK96*(1-IF(B96&gt;=in_marketplace_from,d_hz_fd*G96,0))</f>
        <v/>
      </c>
      <c r="BL97" s="14">
        <f>F97*BK97*IF(B97&gt;=in_marketplace_from,d_hz_fd*G97,0)*in_fd_ticket*in_fd_comm</f>
        <v/>
      </c>
      <c r="BM97" s="40">
        <f>BM96*(1-IF(B96&gt;=in_marketplace_from,d_hz_recharge*G96,0))</f>
        <v/>
      </c>
      <c r="BN97" s="40">
        <f>BN96*d_rho_recharge+BM97*IF(B97&gt;=in_marketplace_from,d_hz_recharge*G97,0)</f>
        <v/>
      </c>
      <c r="BO97" s="14">
        <f>F97*BN97*in_recharge_ticket*in_recharge_comm/12</f>
        <v/>
      </c>
      <c r="BP97" s="40">
        <f>BP96*(1-IF(B96&gt;=in_marketplace_from,d_hz_bills*G96,0))</f>
        <v/>
      </c>
      <c r="BQ97" s="40">
        <f>BQ96*d_rho_bills+BP97*IF(B97&gt;=in_marketplace_from,d_hz_bills*G97,0)</f>
        <v/>
      </c>
      <c r="BR97" s="14">
        <f>F97*BQ97*in_bills_ticket*in_bills_comm/12</f>
        <v/>
      </c>
      <c r="BS97" s="40">
        <f>BS96*(1-IF(B96&gt;=in_marketplace_from,d_hz_loan_gold*G96,0))</f>
        <v/>
      </c>
      <c r="BT97" s="14">
        <f>F97*BS97*IF(B97&gt;=in_marketplace_from,d_hz_loan_gold*G97,0)*in_loan_gold_ticket*in_loan_gold_comm</f>
        <v/>
      </c>
      <c r="BU97" s="40">
        <f>BU96*(1-IF(B96&gt;=in_marketplace_from,d_hz_loan_cd*G96,0))</f>
        <v/>
      </c>
      <c r="BV97" s="14">
        <f>F97*BU97*IF(B97&gt;=in_marketplace_from,d_hz_loan_cd*G97,0)*in_loan_cd_ticket*in_loan_cd_comm</f>
        <v/>
      </c>
      <c r="BW97" s="40">
        <f>BW96*(1-IF(B96&gt;=in_marketplace_from,d_hz_loan_vehicle*G96,0))</f>
        <v/>
      </c>
      <c r="BX97" s="14">
        <f>F97*BW97*IF(B97&gt;=in_marketplace_from,d_hz_loan_vehicle*G97,0)*in_loan_vehicle_ticket*in_loan_vehicle_comm</f>
        <v/>
      </c>
      <c r="BY97" s="40">
        <f>BY96*(1-IF(B96&gt;=in_marketplace_from,d_hz_loan_home*G96,0)*BZ96)</f>
        <v/>
      </c>
      <c r="BZ97" s="11">
        <f>MIN(in_approval_cap,in_loan_home_approval*INDEX('Age profile'!$O$2:$O$61,B97)*(1+in_approval_growth)^(D97-1))</f>
        <v/>
      </c>
      <c r="CA97" s="14">
        <f>F97*BY97*IF(B97&gt;=in_marketplace_from,d_hz_loan_home*G97,0)*BZ97*in_loan_home_ticket*in_loan_home_comm</f>
        <v/>
      </c>
      <c r="CB97" s="40">
        <f>CB96*(1-IF(B96&gt;=in_marketplace_from,d_hz_loan_lap*G96,0)*CC96)</f>
        <v/>
      </c>
      <c r="CC97" s="11">
        <f>MIN(in_approval_cap,in_loan_lap_approval*INDEX('Age profile'!$O$2:$O$61,B97)*(1+in_approval_growth)^(D97-1))</f>
        <v/>
      </c>
      <c r="CD97" s="14">
        <f>F97*CB97*IF(B97&gt;=in_marketplace_from,d_hz_loan_lap*G97,0)*CC97*in_loan_lap_ticket*in_loan_lap_comm</f>
        <v/>
      </c>
      <c r="CE97" s="14">
        <f>AA97+AB97+AC97+AD97+AG97+AJ97+AM97+AP97+AS97+AU97+AX97+BB97+BE97+BG97+BJ97+BL97+BO97+BR97+BT97+BV97+BX97+CA97+CD97</f>
        <v/>
      </c>
    </row>
    <row r="98">
      <c r="A98" s="39" t="n">
        <v>2</v>
      </c>
      <c r="B98" s="39" t="n">
        <v>37</v>
      </c>
      <c r="C98" s="39">
        <f>A98+B98-1</f>
        <v/>
      </c>
      <c r="D98" s="39">
        <f>INT((C98-1)/12)+1</f>
        <v/>
      </c>
      <c r="E98" s="44">
        <f>INDEX(Monthly!$B$2:$B$61,A98)</f>
        <v/>
      </c>
      <c r="F98" s="44">
        <f>E98*INDEX('Age profile'!$B$2:$B$61,B98)</f>
        <v/>
      </c>
      <c r="G98" s="45">
        <f>MIN(in_takeup_cap,INDEX('Age profile'!$N$2:$N$61,B98)*(1+in_takeup_growth)^(D98-1))</f>
        <v/>
      </c>
      <c r="H98" s="11">
        <f>MIN(in_approval_cap,in_approved_first*INDEX('Age profile'!$O$2:$O$61,B98)*(1+in_approval_growth)^(D98-1))</f>
        <v/>
      </c>
      <c r="I98" s="45">
        <f>G98*MIN(in_takeup_cap,INDEX('Age profile'!$O$2:$O$61,B98)*(1+in_approval_growth)^(D98-1))</f>
        <v/>
      </c>
      <c r="J98" s="40">
        <f>(J97-L97)*F98/F97</f>
        <v/>
      </c>
      <c r="K98" s="40">
        <f>(K97-M97)*F98/F97+SUMIFS(O62:O97,B62:B97,B98-1-d_T)*F98</f>
        <v/>
      </c>
      <c r="L98" s="40">
        <f>IF(B98&gt;=in_marketplace_from,J98*d_hz*G98*in_eligible*H98,0)</f>
        <v/>
      </c>
      <c r="M98" s="40">
        <f>IF(B98&gt;=in_marketplace_from,K98*d_hz*G98*in_eligible*in_approved_repeat,0)</f>
        <v/>
      </c>
      <c r="N98" s="40">
        <f>L98+M98</f>
        <v/>
      </c>
      <c r="O98" s="46">
        <f>N98/F98</f>
        <v/>
      </c>
      <c r="P98" s="40">
        <f>F98-J98-K98</f>
        <v/>
      </c>
      <c r="Q98" s="40">
        <f>IF(B98&gt;=in_marketplace_from,(J98+K98)*d_hz*G98,0)</f>
        <v/>
      </c>
      <c r="R98" s="40">
        <f>SUMIFS(N62:N120,B62:B120,"&gt;="&amp;(B98-d_T),B62:B120,"&lt;="&amp;(B98-1))</f>
        <v/>
      </c>
      <c r="S98" s="46">
        <f>(1-d_u)*S97+IF(d_T&gt;in_topup_lag,SUMIFS(O62:O120,B62:B120,B98-in_topup_lag)-d_udrop*SUMIFS(O62:O120,B62:B120,B98-d_T),0)</f>
        <v/>
      </c>
      <c r="T98" s="40">
        <f>F98*d_u*S98</f>
        <v/>
      </c>
      <c r="U98" s="9">
        <f>L98*in_ticket+M98*d_rep_ticket</f>
        <v/>
      </c>
      <c r="V98" s="9">
        <f>U98+T98*d_topup_amt</f>
        <v/>
      </c>
      <c r="W98" s="40">
        <f>N98+T98*d_topup_ratio</f>
        <v/>
      </c>
      <c r="X98" s="40">
        <f>SUMIFS(W62:W120,B62:B120,B98-in_dpd_lag)*d_cured</f>
        <v/>
      </c>
      <c r="Y98" s="40">
        <f>SUMIFS(W62:W120,B62:B120,B98-in_rec_lag)*d_recd</f>
        <v/>
      </c>
      <c r="Z98" s="40">
        <f>IF(AND(B98&gt;=in_marketplace_from,B98&lt;in_marketplace_from+in_card_months),in_card_share/in_card_months*F98*I98,IF(AND(B98&gt;=in_marketplace_from+in_card_months,B98&lt;in_marketplace_from+2*in_card_months),in_card_share*d_card_rem/in_card_months*F98*MIN(in_takeup_cap,(1+in_takeup_growth)^(D98-1))*MIN(in_takeup_cap,(1+in_approval_growth)^(D98-1)),0))</f>
        <v/>
      </c>
      <c r="AA98" s="14">
        <f>V98*in_fee*(1-in_taken_back)</f>
        <v/>
      </c>
      <c r="AB98" s="14">
        <f>SUMIFS(W62:W120,B62:B120,B98-in_dpd_lag)*d_dpd</f>
        <v/>
      </c>
      <c r="AC98" s="14">
        <f>SUMIFS(W62:W120,B62:B120,B98-in_rec_lag)*d_rec</f>
        <v/>
      </c>
      <c r="AD98" s="14">
        <f>Z98*in_card_fee</f>
        <v/>
      </c>
      <c r="AE98" s="40">
        <f>AE97*(1-IF(B97&gt;=in_marketplace_from,d_hz_hlth_small*G97,0))</f>
        <v/>
      </c>
      <c r="AF98" s="46">
        <f>AE98*IF(B98&gt;=in_marketplace_from,d_hz_hlth_small*G98,0)</f>
        <v/>
      </c>
      <c r="AG98" s="14">
        <f>F98*AF98*in_hlth_small_ticket*in_hlth_small_comm*in_ins_partner_share+F98*in_hlth_small_ticket*in_hlth_small_renew_comm*in_ins_partner_share*(in_hlth_small_renew^1*SUMIFS(AF62:AF120,B62:B120,B98-12)+in_hlth_small_renew^2*SUMIFS(AF62:AF120,B62:B120,B98-24)+in_hlth_small_renew^3*SUMIFS(AF62:AF120,B62:B120,B98-36)+in_hlth_small_renew^4*SUMIFS(AF62:AF120,B62:B120,B98-48))</f>
        <v/>
      </c>
      <c r="AH98" s="40">
        <f>AH97*(1-IF(B97&gt;=in_marketplace_from,d_hz_hlth_family*G97,0))</f>
        <v/>
      </c>
      <c r="AI98" s="46">
        <f>AH98*IF(B98&gt;=in_marketplace_from,d_hz_hlth_family*G98,0)</f>
        <v/>
      </c>
      <c r="AJ98" s="14">
        <f>F98*AI98*in_hlth_family_ticket*in_hlth_family_comm*in_ins_partner_share+F98*in_hlth_family_ticket*in_hlth_family_renew_comm*in_ins_partner_share*(in_hlth_family_renew^1*SUMIFS(AI62:AI120,B62:B120,B98-12)+in_hlth_family_renew^2*SUMIFS(AI62:AI120,B62:B120,B98-24)+in_hlth_family_renew^3*SUMIFS(AI62:AI120,B62:B120,B98-36)+in_hlth_family_renew^4*SUMIFS(AI62:AI120,B62:B120,B98-48))</f>
        <v/>
      </c>
      <c r="AK98" s="40">
        <f>AK97*(1-IF(B97&gt;=in_marketplace_from,d_hz_life_term*G97,0))</f>
        <v/>
      </c>
      <c r="AL98" s="46">
        <f>AK98*IF(B98&gt;=in_marketplace_from,d_hz_life_term*G98,0)</f>
        <v/>
      </c>
      <c r="AM98" s="14">
        <f>F98*AL98*in_life_term_ticket*in_life_term_comm*in_ins_partner_share+F98*in_life_term_ticket*in_life_term_renew_comm*in_ins_partner_share*(in_life_term_renew^1*SUMIFS(AL62:AL120,B62:B120,B98-12)+in_life_term_renew^2*SUMIFS(AL62:AL120,B62:B120,B98-24)+in_life_term_renew^3*SUMIFS(AL62:AL120,B62:B120,B98-36)+in_life_term_renew^4*SUMIFS(AL62:AL120,B62:B120,B98-48))</f>
        <v/>
      </c>
      <c r="AN98" s="40">
        <f>AN97*(1-IF(B97&gt;=in_marketplace_from,d_hz_accident*G97,0))</f>
        <v/>
      </c>
      <c r="AO98" s="46">
        <f>AN98*IF(B98&gt;=in_marketplace_from,d_hz_accident*G98,0)</f>
        <v/>
      </c>
      <c r="AP98" s="14">
        <f>F98*AO98*in_accident_ticket*in_accident_comm*in_ins_partner_share+F98*in_accident_ticket*in_accident_renew_comm*in_ins_partner_share*(in_accident_renew^1*SUMIFS(AO62:AO120,B62:B120,B98-12)+in_accident_renew^2*SUMIFS(AO62:AO120,B62:B120,B98-24)+in_accident_renew^3*SUMIFS(AO62:AO120,B62:B120,B98-36)+in_accident_renew^4*SUMIFS(AO62:AO120,B62:B120,B98-48))</f>
        <v/>
      </c>
      <c r="AQ98" s="40">
        <f>AQ97*(1-IF(B97&gt;=in_marketplace_from,d_hz_two_wheeler*G97,0))</f>
        <v/>
      </c>
      <c r="AR98" s="46">
        <f>AQ98*IF(B98&gt;=in_marketplace_from,d_hz_two_wheeler*G98,0)</f>
        <v/>
      </c>
      <c r="AS98" s="14">
        <f>F98*AR98*in_two_wheeler_ticket*in_two_wheeler_comm*in_ins_partner_share+F98*in_two_wheeler_ticket*in_two_wheeler_comm*in_ins_partner_share*(in_two_wheeler_renew^1*SUMIFS(AR62:AR120,B62:B120,B98-12)+in_two_wheeler_renew^2*SUMIFS(AR62:AR120,B62:B120,B98-24)+in_two_wheeler_renew^3*SUMIFS(AR62:AR120,B62:B120,B98-36)+in_two_wheeler_renew^4*SUMIFS(AR62:AR120,B62:B120,B98-48))</f>
        <v/>
      </c>
      <c r="AT98" s="40">
        <f>AT97*(1-IF(B97&gt;=in_marketplace_from,d_hz_device*G97,0))</f>
        <v/>
      </c>
      <c r="AU98" s="14">
        <f>F98*AT98*IF(B98&gt;=in_marketplace_from,d_hz_device*G98,0)*in_device_ticket*in_device_comm*in_ins_partner_share</f>
        <v/>
      </c>
      <c r="AV98" s="40">
        <f>AV97*(1-IF(B97&gt;=in_marketplace_from,d_hz_shop*G97,0))</f>
        <v/>
      </c>
      <c r="AW98" s="46">
        <f>AV98*IF(B98&gt;=in_marketplace_from,d_hz_shop*G98,0)</f>
        <v/>
      </c>
      <c r="AX98" s="14">
        <f>F98*AW98*in_shop_ticket*in_shop_comm*in_ins_partner_share+F98*in_shop_ticket*in_shop_renew_comm*in_ins_partner_share*(in_shop_renew^1*SUMIFS(AW62:AW120,B62:B120,B98-12)+in_shop_renew^2*SUMIFS(AW62:AW120,B62:B120,B98-24)+in_shop_renew^3*SUMIFS(AW62:AW120,B62:B120,B98-36)+in_shop_renew^4*SUMIFS(AW62:AW120,B62:B120,B98-48))</f>
        <v/>
      </c>
      <c r="AY98" s="40">
        <f>AY97*(1-IF(B97&gt;=in_marketplace_from,d_hz_sip*G97,0))</f>
        <v/>
      </c>
      <c r="AZ98" s="40">
        <f>AZ97*d_rho_sip+AY98*IF(B98&gt;=in_marketplace_from,d_hz_sip*G98,0)</f>
        <v/>
      </c>
      <c r="BA98" s="40">
        <f>d_rho_sip*(BA97+AZ97)</f>
        <v/>
      </c>
      <c r="BB98" s="14">
        <f>F98*in_sip_ticket*(BA98+0.5*AZ98)*in_sip_comm/12</f>
        <v/>
      </c>
      <c r="BC98" s="40">
        <f>BC97*(1-IF(B97&gt;=in_marketplace_from,d_hz_choti*G97,0))</f>
        <v/>
      </c>
      <c r="BD98" s="46">
        <f>BC98*IF(B98&gt;=in_marketplace_from,d_hz_choti*G98,0)</f>
        <v/>
      </c>
      <c r="BE98" s="14">
        <f>F98*SUMIFS(BD62:BD120,B62:B120,B98-in_choti_months)*in_choti_renew*in_choti_ticket</f>
        <v/>
      </c>
      <c r="BF98" s="40">
        <f>BF97*(1-IF(B97&gt;=in_marketplace_from,d_hz_nps*G97,0))</f>
        <v/>
      </c>
      <c r="BG98" s="14">
        <f>F98*BF98*IF(B98&gt;=in_marketplace_from,d_hz_nps*G98,0)*in_nps_ticket*in_nps_comm</f>
        <v/>
      </c>
      <c r="BH98" s="40">
        <f>BH97*(1-IF(B97&gt;=in_marketplace_from,d_hz_gold*G97,0))</f>
        <v/>
      </c>
      <c r="BI98" s="40">
        <f>BI97*d_rho_gold+BH98*IF(B98&gt;=in_marketplace_from,d_hz_gold*G98,0)</f>
        <v/>
      </c>
      <c r="BJ98" s="14">
        <f>F98*BI98*in_gold_ticket*in_gold_comm</f>
        <v/>
      </c>
      <c r="BK98" s="40">
        <f>BK97*(1-IF(B97&gt;=in_marketplace_from,d_hz_fd*G97,0))</f>
        <v/>
      </c>
      <c r="BL98" s="14">
        <f>F98*BK98*IF(B98&gt;=in_marketplace_from,d_hz_fd*G98,0)*in_fd_ticket*in_fd_comm</f>
        <v/>
      </c>
      <c r="BM98" s="40">
        <f>BM97*(1-IF(B97&gt;=in_marketplace_from,d_hz_recharge*G97,0))</f>
        <v/>
      </c>
      <c r="BN98" s="40">
        <f>BN97*d_rho_recharge+BM98*IF(B98&gt;=in_marketplace_from,d_hz_recharge*G98,0)</f>
        <v/>
      </c>
      <c r="BO98" s="14">
        <f>F98*BN98*in_recharge_ticket*in_recharge_comm/12</f>
        <v/>
      </c>
      <c r="BP98" s="40">
        <f>BP97*(1-IF(B97&gt;=in_marketplace_from,d_hz_bills*G97,0))</f>
        <v/>
      </c>
      <c r="BQ98" s="40">
        <f>BQ97*d_rho_bills+BP98*IF(B98&gt;=in_marketplace_from,d_hz_bills*G98,0)</f>
        <v/>
      </c>
      <c r="BR98" s="14">
        <f>F98*BQ98*in_bills_ticket*in_bills_comm/12</f>
        <v/>
      </c>
      <c r="BS98" s="40">
        <f>BS97*(1-IF(B97&gt;=in_marketplace_from,d_hz_loan_gold*G97,0))</f>
        <v/>
      </c>
      <c r="BT98" s="14">
        <f>F98*BS98*IF(B98&gt;=in_marketplace_from,d_hz_loan_gold*G98,0)*in_loan_gold_ticket*in_loan_gold_comm</f>
        <v/>
      </c>
      <c r="BU98" s="40">
        <f>BU97*(1-IF(B97&gt;=in_marketplace_from,d_hz_loan_cd*G97,0))</f>
        <v/>
      </c>
      <c r="BV98" s="14">
        <f>F98*BU98*IF(B98&gt;=in_marketplace_from,d_hz_loan_cd*G98,0)*in_loan_cd_ticket*in_loan_cd_comm</f>
        <v/>
      </c>
      <c r="BW98" s="40">
        <f>BW97*(1-IF(B97&gt;=in_marketplace_from,d_hz_loan_vehicle*G97,0))</f>
        <v/>
      </c>
      <c r="BX98" s="14">
        <f>F98*BW98*IF(B98&gt;=in_marketplace_from,d_hz_loan_vehicle*G98,0)*in_loan_vehicle_ticket*in_loan_vehicle_comm</f>
        <v/>
      </c>
      <c r="BY98" s="40">
        <f>BY97*(1-IF(B97&gt;=in_marketplace_from,d_hz_loan_home*G97,0)*BZ97)</f>
        <v/>
      </c>
      <c r="BZ98" s="11">
        <f>MIN(in_approval_cap,in_loan_home_approval*INDEX('Age profile'!$O$2:$O$61,B98)*(1+in_approval_growth)^(D98-1))</f>
        <v/>
      </c>
      <c r="CA98" s="14">
        <f>F98*BY98*IF(B98&gt;=in_marketplace_from,d_hz_loan_home*G98,0)*BZ98*in_loan_home_ticket*in_loan_home_comm</f>
        <v/>
      </c>
      <c r="CB98" s="40">
        <f>CB97*(1-IF(B97&gt;=in_marketplace_from,d_hz_loan_lap*G97,0)*CC97)</f>
        <v/>
      </c>
      <c r="CC98" s="11">
        <f>MIN(in_approval_cap,in_loan_lap_approval*INDEX('Age profile'!$O$2:$O$61,B98)*(1+in_approval_growth)^(D98-1))</f>
        <v/>
      </c>
      <c r="CD98" s="14">
        <f>F98*CB98*IF(B98&gt;=in_marketplace_from,d_hz_loan_lap*G98,0)*CC98*in_loan_lap_ticket*in_loan_lap_comm</f>
        <v/>
      </c>
      <c r="CE98" s="14">
        <f>AA98+AB98+AC98+AD98+AG98+AJ98+AM98+AP98+AS98+AU98+AX98+BB98+BE98+BG98+BJ98+BL98+BO98+BR98+BT98+BV98+BX98+CA98+CD98</f>
        <v/>
      </c>
    </row>
    <row r="99">
      <c r="A99" s="39" t="n">
        <v>2</v>
      </c>
      <c r="B99" s="39" t="n">
        <v>38</v>
      </c>
      <c r="C99" s="39">
        <f>A99+B99-1</f>
        <v/>
      </c>
      <c r="D99" s="39">
        <f>INT((C99-1)/12)+1</f>
        <v/>
      </c>
      <c r="E99" s="44">
        <f>INDEX(Monthly!$B$2:$B$61,A99)</f>
        <v/>
      </c>
      <c r="F99" s="44">
        <f>E99*INDEX('Age profile'!$B$2:$B$61,B99)</f>
        <v/>
      </c>
      <c r="G99" s="45">
        <f>MIN(in_takeup_cap,INDEX('Age profile'!$N$2:$N$61,B99)*(1+in_takeup_growth)^(D99-1))</f>
        <v/>
      </c>
      <c r="H99" s="11">
        <f>MIN(in_approval_cap,in_approved_first*INDEX('Age profile'!$O$2:$O$61,B99)*(1+in_approval_growth)^(D99-1))</f>
        <v/>
      </c>
      <c r="I99" s="45">
        <f>G99*MIN(in_takeup_cap,INDEX('Age profile'!$O$2:$O$61,B99)*(1+in_approval_growth)^(D99-1))</f>
        <v/>
      </c>
      <c r="J99" s="40">
        <f>(J98-L98)*F99/F98</f>
        <v/>
      </c>
      <c r="K99" s="40">
        <f>(K98-M98)*F99/F98+SUMIFS(O62:O98,B62:B98,B99-1-d_T)*F99</f>
        <v/>
      </c>
      <c r="L99" s="40">
        <f>IF(B99&gt;=in_marketplace_from,J99*d_hz*G99*in_eligible*H99,0)</f>
        <v/>
      </c>
      <c r="M99" s="40">
        <f>IF(B99&gt;=in_marketplace_from,K99*d_hz*G99*in_eligible*in_approved_repeat,0)</f>
        <v/>
      </c>
      <c r="N99" s="40">
        <f>L99+M99</f>
        <v/>
      </c>
      <c r="O99" s="46">
        <f>N99/F99</f>
        <v/>
      </c>
      <c r="P99" s="40">
        <f>F99-J99-K99</f>
        <v/>
      </c>
      <c r="Q99" s="40">
        <f>IF(B99&gt;=in_marketplace_from,(J99+K99)*d_hz*G99,0)</f>
        <v/>
      </c>
      <c r="R99" s="40">
        <f>SUMIFS(N62:N120,B62:B120,"&gt;="&amp;(B99-d_T),B62:B120,"&lt;="&amp;(B99-1))</f>
        <v/>
      </c>
      <c r="S99" s="46">
        <f>(1-d_u)*S98+IF(d_T&gt;in_topup_lag,SUMIFS(O62:O120,B62:B120,B99-in_topup_lag)-d_udrop*SUMIFS(O62:O120,B62:B120,B99-d_T),0)</f>
        <v/>
      </c>
      <c r="T99" s="40">
        <f>F99*d_u*S99</f>
        <v/>
      </c>
      <c r="U99" s="9">
        <f>L99*in_ticket+M99*d_rep_ticket</f>
        <v/>
      </c>
      <c r="V99" s="9">
        <f>U99+T99*d_topup_amt</f>
        <v/>
      </c>
      <c r="W99" s="40">
        <f>N99+T99*d_topup_ratio</f>
        <v/>
      </c>
      <c r="X99" s="40">
        <f>SUMIFS(W62:W120,B62:B120,B99-in_dpd_lag)*d_cured</f>
        <v/>
      </c>
      <c r="Y99" s="40">
        <f>SUMIFS(W62:W120,B62:B120,B99-in_rec_lag)*d_recd</f>
        <v/>
      </c>
      <c r="Z99" s="40">
        <f>IF(AND(B99&gt;=in_marketplace_from,B99&lt;in_marketplace_from+in_card_months),in_card_share/in_card_months*F99*I99,IF(AND(B99&gt;=in_marketplace_from+in_card_months,B99&lt;in_marketplace_from+2*in_card_months),in_card_share*d_card_rem/in_card_months*F99*MIN(in_takeup_cap,(1+in_takeup_growth)^(D99-1))*MIN(in_takeup_cap,(1+in_approval_growth)^(D99-1)),0))</f>
        <v/>
      </c>
      <c r="AA99" s="14">
        <f>V99*in_fee*(1-in_taken_back)</f>
        <v/>
      </c>
      <c r="AB99" s="14">
        <f>SUMIFS(W62:W120,B62:B120,B99-in_dpd_lag)*d_dpd</f>
        <v/>
      </c>
      <c r="AC99" s="14">
        <f>SUMIFS(W62:W120,B62:B120,B99-in_rec_lag)*d_rec</f>
        <v/>
      </c>
      <c r="AD99" s="14">
        <f>Z99*in_card_fee</f>
        <v/>
      </c>
      <c r="AE99" s="40">
        <f>AE98*(1-IF(B98&gt;=in_marketplace_from,d_hz_hlth_small*G98,0))</f>
        <v/>
      </c>
      <c r="AF99" s="46">
        <f>AE99*IF(B99&gt;=in_marketplace_from,d_hz_hlth_small*G99,0)</f>
        <v/>
      </c>
      <c r="AG99" s="14">
        <f>F99*AF99*in_hlth_small_ticket*in_hlth_small_comm*in_ins_partner_share+F99*in_hlth_small_ticket*in_hlth_small_renew_comm*in_ins_partner_share*(in_hlth_small_renew^1*SUMIFS(AF62:AF120,B62:B120,B99-12)+in_hlth_small_renew^2*SUMIFS(AF62:AF120,B62:B120,B99-24)+in_hlth_small_renew^3*SUMIFS(AF62:AF120,B62:B120,B99-36)+in_hlth_small_renew^4*SUMIFS(AF62:AF120,B62:B120,B99-48))</f>
        <v/>
      </c>
      <c r="AH99" s="40">
        <f>AH98*(1-IF(B98&gt;=in_marketplace_from,d_hz_hlth_family*G98,0))</f>
        <v/>
      </c>
      <c r="AI99" s="46">
        <f>AH99*IF(B99&gt;=in_marketplace_from,d_hz_hlth_family*G99,0)</f>
        <v/>
      </c>
      <c r="AJ99" s="14">
        <f>F99*AI99*in_hlth_family_ticket*in_hlth_family_comm*in_ins_partner_share+F99*in_hlth_family_ticket*in_hlth_family_renew_comm*in_ins_partner_share*(in_hlth_family_renew^1*SUMIFS(AI62:AI120,B62:B120,B99-12)+in_hlth_family_renew^2*SUMIFS(AI62:AI120,B62:B120,B99-24)+in_hlth_family_renew^3*SUMIFS(AI62:AI120,B62:B120,B99-36)+in_hlth_family_renew^4*SUMIFS(AI62:AI120,B62:B120,B99-48))</f>
        <v/>
      </c>
      <c r="AK99" s="40">
        <f>AK98*(1-IF(B98&gt;=in_marketplace_from,d_hz_life_term*G98,0))</f>
        <v/>
      </c>
      <c r="AL99" s="46">
        <f>AK99*IF(B99&gt;=in_marketplace_from,d_hz_life_term*G99,0)</f>
        <v/>
      </c>
      <c r="AM99" s="14">
        <f>F99*AL99*in_life_term_ticket*in_life_term_comm*in_ins_partner_share+F99*in_life_term_ticket*in_life_term_renew_comm*in_ins_partner_share*(in_life_term_renew^1*SUMIFS(AL62:AL120,B62:B120,B99-12)+in_life_term_renew^2*SUMIFS(AL62:AL120,B62:B120,B99-24)+in_life_term_renew^3*SUMIFS(AL62:AL120,B62:B120,B99-36)+in_life_term_renew^4*SUMIFS(AL62:AL120,B62:B120,B99-48))</f>
        <v/>
      </c>
      <c r="AN99" s="40">
        <f>AN98*(1-IF(B98&gt;=in_marketplace_from,d_hz_accident*G98,0))</f>
        <v/>
      </c>
      <c r="AO99" s="46">
        <f>AN99*IF(B99&gt;=in_marketplace_from,d_hz_accident*G99,0)</f>
        <v/>
      </c>
      <c r="AP99" s="14">
        <f>F99*AO99*in_accident_ticket*in_accident_comm*in_ins_partner_share+F99*in_accident_ticket*in_accident_renew_comm*in_ins_partner_share*(in_accident_renew^1*SUMIFS(AO62:AO120,B62:B120,B99-12)+in_accident_renew^2*SUMIFS(AO62:AO120,B62:B120,B99-24)+in_accident_renew^3*SUMIFS(AO62:AO120,B62:B120,B99-36)+in_accident_renew^4*SUMIFS(AO62:AO120,B62:B120,B99-48))</f>
        <v/>
      </c>
      <c r="AQ99" s="40">
        <f>AQ98*(1-IF(B98&gt;=in_marketplace_from,d_hz_two_wheeler*G98,0))</f>
        <v/>
      </c>
      <c r="AR99" s="46">
        <f>AQ99*IF(B99&gt;=in_marketplace_from,d_hz_two_wheeler*G99,0)</f>
        <v/>
      </c>
      <c r="AS99" s="14">
        <f>F99*AR99*in_two_wheeler_ticket*in_two_wheeler_comm*in_ins_partner_share+F99*in_two_wheeler_ticket*in_two_wheeler_comm*in_ins_partner_share*(in_two_wheeler_renew^1*SUMIFS(AR62:AR120,B62:B120,B99-12)+in_two_wheeler_renew^2*SUMIFS(AR62:AR120,B62:B120,B99-24)+in_two_wheeler_renew^3*SUMIFS(AR62:AR120,B62:B120,B99-36)+in_two_wheeler_renew^4*SUMIFS(AR62:AR120,B62:B120,B99-48))</f>
        <v/>
      </c>
      <c r="AT99" s="40">
        <f>AT98*(1-IF(B98&gt;=in_marketplace_from,d_hz_device*G98,0))</f>
        <v/>
      </c>
      <c r="AU99" s="14">
        <f>F99*AT99*IF(B99&gt;=in_marketplace_from,d_hz_device*G99,0)*in_device_ticket*in_device_comm*in_ins_partner_share</f>
        <v/>
      </c>
      <c r="AV99" s="40">
        <f>AV98*(1-IF(B98&gt;=in_marketplace_from,d_hz_shop*G98,0))</f>
        <v/>
      </c>
      <c r="AW99" s="46">
        <f>AV99*IF(B99&gt;=in_marketplace_from,d_hz_shop*G99,0)</f>
        <v/>
      </c>
      <c r="AX99" s="14">
        <f>F99*AW99*in_shop_ticket*in_shop_comm*in_ins_partner_share+F99*in_shop_ticket*in_shop_renew_comm*in_ins_partner_share*(in_shop_renew^1*SUMIFS(AW62:AW120,B62:B120,B99-12)+in_shop_renew^2*SUMIFS(AW62:AW120,B62:B120,B99-24)+in_shop_renew^3*SUMIFS(AW62:AW120,B62:B120,B99-36)+in_shop_renew^4*SUMIFS(AW62:AW120,B62:B120,B99-48))</f>
        <v/>
      </c>
      <c r="AY99" s="40">
        <f>AY98*(1-IF(B98&gt;=in_marketplace_from,d_hz_sip*G98,0))</f>
        <v/>
      </c>
      <c r="AZ99" s="40">
        <f>AZ98*d_rho_sip+AY99*IF(B99&gt;=in_marketplace_from,d_hz_sip*G99,0)</f>
        <v/>
      </c>
      <c r="BA99" s="40">
        <f>d_rho_sip*(BA98+AZ98)</f>
        <v/>
      </c>
      <c r="BB99" s="14">
        <f>F99*in_sip_ticket*(BA99+0.5*AZ99)*in_sip_comm/12</f>
        <v/>
      </c>
      <c r="BC99" s="40">
        <f>BC98*(1-IF(B98&gt;=in_marketplace_from,d_hz_choti*G98,0))</f>
        <v/>
      </c>
      <c r="BD99" s="46">
        <f>BC99*IF(B99&gt;=in_marketplace_from,d_hz_choti*G99,0)</f>
        <v/>
      </c>
      <c r="BE99" s="14">
        <f>F99*SUMIFS(BD62:BD120,B62:B120,B99-in_choti_months)*in_choti_renew*in_choti_ticket</f>
        <v/>
      </c>
      <c r="BF99" s="40">
        <f>BF98*(1-IF(B98&gt;=in_marketplace_from,d_hz_nps*G98,0))</f>
        <v/>
      </c>
      <c r="BG99" s="14">
        <f>F99*BF99*IF(B99&gt;=in_marketplace_from,d_hz_nps*G99,0)*in_nps_ticket*in_nps_comm</f>
        <v/>
      </c>
      <c r="BH99" s="40">
        <f>BH98*(1-IF(B98&gt;=in_marketplace_from,d_hz_gold*G98,0))</f>
        <v/>
      </c>
      <c r="BI99" s="40">
        <f>BI98*d_rho_gold+BH99*IF(B99&gt;=in_marketplace_from,d_hz_gold*G99,0)</f>
        <v/>
      </c>
      <c r="BJ99" s="14">
        <f>F99*BI99*in_gold_ticket*in_gold_comm</f>
        <v/>
      </c>
      <c r="BK99" s="40">
        <f>BK98*(1-IF(B98&gt;=in_marketplace_from,d_hz_fd*G98,0))</f>
        <v/>
      </c>
      <c r="BL99" s="14">
        <f>F99*BK99*IF(B99&gt;=in_marketplace_from,d_hz_fd*G99,0)*in_fd_ticket*in_fd_comm</f>
        <v/>
      </c>
      <c r="BM99" s="40">
        <f>BM98*(1-IF(B98&gt;=in_marketplace_from,d_hz_recharge*G98,0))</f>
        <v/>
      </c>
      <c r="BN99" s="40">
        <f>BN98*d_rho_recharge+BM99*IF(B99&gt;=in_marketplace_from,d_hz_recharge*G99,0)</f>
        <v/>
      </c>
      <c r="BO99" s="14">
        <f>F99*BN99*in_recharge_ticket*in_recharge_comm/12</f>
        <v/>
      </c>
      <c r="BP99" s="40">
        <f>BP98*(1-IF(B98&gt;=in_marketplace_from,d_hz_bills*G98,0))</f>
        <v/>
      </c>
      <c r="BQ99" s="40">
        <f>BQ98*d_rho_bills+BP99*IF(B99&gt;=in_marketplace_from,d_hz_bills*G99,0)</f>
        <v/>
      </c>
      <c r="BR99" s="14">
        <f>F99*BQ99*in_bills_ticket*in_bills_comm/12</f>
        <v/>
      </c>
      <c r="BS99" s="40">
        <f>BS98*(1-IF(B98&gt;=in_marketplace_from,d_hz_loan_gold*G98,0))</f>
        <v/>
      </c>
      <c r="BT99" s="14">
        <f>F99*BS99*IF(B99&gt;=in_marketplace_from,d_hz_loan_gold*G99,0)*in_loan_gold_ticket*in_loan_gold_comm</f>
        <v/>
      </c>
      <c r="BU99" s="40">
        <f>BU98*(1-IF(B98&gt;=in_marketplace_from,d_hz_loan_cd*G98,0))</f>
        <v/>
      </c>
      <c r="BV99" s="14">
        <f>F99*BU99*IF(B99&gt;=in_marketplace_from,d_hz_loan_cd*G99,0)*in_loan_cd_ticket*in_loan_cd_comm</f>
        <v/>
      </c>
      <c r="BW99" s="40">
        <f>BW98*(1-IF(B98&gt;=in_marketplace_from,d_hz_loan_vehicle*G98,0))</f>
        <v/>
      </c>
      <c r="BX99" s="14">
        <f>F99*BW99*IF(B99&gt;=in_marketplace_from,d_hz_loan_vehicle*G99,0)*in_loan_vehicle_ticket*in_loan_vehicle_comm</f>
        <v/>
      </c>
      <c r="BY99" s="40">
        <f>BY98*(1-IF(B98&gt;=in_marketplace_from,d_hz_loan_home*G98,0)*BZ98)</f>
        <v/>
      </c>
      <c r="BZ99" s="11">
        <f>MIN(in_approval_cap,in_loan_home_approval*INDEX('Age profile'!$O$2:$O$61,B99)*(1+in_approval_growth)^(D99-1))</f>
        <v/>
      </c>
      <c r="CA99" s="14">
        <f>F99*BY99*IF(B99&gt;=in_marketplace_from,d_hz_loan_home*G99,0)*BZ99*in_loan_home_ticket*in_loan_home_comm</f>
        <v/>
      </c>
      <c r="CB99" s="40">
        <f>CB98*(1-IF(B98&gt;=in_marketplace_from,d_hz_loan_lap*G98,0)*CC98)</f>
        <v/>
      </c>
      <c r="CC99" s="11">
        <f>MIN(in_approval_cap,in_loan_lap_approval*INDEX('Age profile'!$O$2:$O$61,B99)*(1+in_approval_growth)^(D99-1))</f>
        <v/>
      </c>
      <c r="CD99" s="14">
        <f>F99*CB99*IF(B99&gt;=in_marketplace_from,d_hz_loan_lap*G99,0)*CC99*in_loan_lap_ticket*in_loan_lap_comm</f>
        <v/>
      </c>
      <c r="CE99" s="14">
        <f>AA99+AB99+AC99+AD99+AG99+AJ99+AM99+AP99+AS99+AU99+AX99+BB99+BE99+BG99+BJ99+BL99+BO99+BR99+BT99+BV99+BX99+CA99+CD99</f>
        <v/>
      </c>
    </row>
    <row r="100">
      <c r="A100" s="39" t="n">
        <v>2</v>
      </c>
      <c r="B100" s="39" t="n">
        <v>39</v>
      </c>
      <c r="C100" s="39">
        <f>A100+B100-1</f>
        <v/>
      </c>
      <c r="D100" s="39">
        <f>INT((C100-1)/12)+1</f>
        <v/>
      </c>
      <c r="E100" s="44">
        <f>INDEX(Monthly!$B$2:$B$61,A100)</f>
        <v/>
      </c>
      <c r="F100" s="44">
        <f>E100*INDEX('Age profile'!$B$2:$B$61,B100)</f>
        <v/>
      </c>
      <c r="G100" s="45">
        <f>MIN(in_takeup_cap,INDEX('Age profile'!$N$2:$N$61,B100)*(1+in_takeup_growth)^(D100-1))</f>
        <v/>
      </c>
      <c r="H100" s="11">
        <f>MIN(in_approval_cap,in_approved_first*INDEX('Age profile'!$O$2:$O$61,B100)*(1+in_approval_growth)^(D100-1))</f>
        <v/>
      </c>
      <c r="I100" s="45">
        <f>G100*MIN(in_takeup_cap,INDEX('Age profile'!$O$2:$O$61,B100)*(1+in_approval_growth)^(D100-1))</f>
        <v/>
      </c>
      <c r="J100" s="40">
        <f>(J99-L99)*F100/F99</f>
        <v/>
      </c>
      <c r="K100" s="40">
        <f>(K99-M99)*F100/F99+SUMIFS(O62:O99,B62:B99,B100-1-d_T)*F100</f>
        <v/>
      </c>
      <c r="L100" s="40">
        <f>IF(B100&gt;=in_marketplace_from,J100*d_hz*G100*in_eligible*H100,0)</f>
        <v/>
      </c>
      <c r="M100" s="40">
        <f>IF(B100&gt;=in_marketplace_from,K100*d_hz*G100*in_eligible*in_approved_repeat,0)</f>
        <v/>
      </c>
      <c r="N100" s="40">
        <f>L100+M100</f>
        <v/>
      </c>
      <c r="O100" s="46">
        <f>N100/F100</f>
        <v/>
      </c>
      <c r="P100" s="40">
        <f>F100-J100-K100</f>
        <v/>
      </c>
      <c r="Q100" s="40">
        <f>IF(B100&gt;=in_marketplace_from,(J100+K100)*d_hz*G100,0)</f>
        <v/>
      </c>
      <c r="R100" s="40">
        <f>SUMIFS(N62:N120,B62:B120,"&gt;="&amp;(B100-d_T),B62:B120,"&lt;="&amp;(B100-1))</f>
        <v/>
      </c>
      <c r="S100" s="46">
        <f>(1-d_u)*S99+IF(d_T&gt;in_topup_lag,SUMIFS(O62:O120,B62:B120,B100-in_topup_lag)-d_udrop*SUMIFS(O62:O120,B62:B120,B100-d_T),0)</f>
        <v/>
      </c>
      <c r="T100" s="40">
        <f>F100*d_u*S100</f>
        <v/>
      </c>
      <c r="U100" s="9">
        <f>L100*in_ticket+M100*d_rep_ticket</f>
        <v/>
      </c>
      <c r="V100" s="9">
        <f>U100+T100*d_topup_amt</f>
        <v/>
      </c>
      <c r="W100" s="40">
        <f>N100+T100*d_topup_ratio</f>
        <v/>
      </c>
      <c r="X100" s="40">
        <f>SUMIFS(W62:W120,B62:B120,B100-in_dpd_lag)*d_cured</f>
        <v/>
      </c>
      <c r="Y100" s="40">
        <f>SUMIFS(W62:W120,B62:B120,B100-in_rec_lag)*d_recd</f>
        <v/>
      </c>
      <c r="Z100" s="40">
        <f>IF(AND(B100&gt;=in_marketplace_from,B100&lt;in_marketplace_from+in_card_months),in_card_share/in_card_months*F100*I100,IF(AND(B100&gt;=in_marketplace_from+in_card_months,B100&lt;in_marketplace_from+2*in_card_months),in_card_share*d_card_rem/in_card_months*F100*MIN(in_takeup_cap,(1+in_takeup_growth)^(D100-1))*MIN(in_takeup_cap,(1+in_approval_growth)^(D100-1)),0))</f>
        <v/>
      </c>
      <c r="AA100" s="14">
        <f>V100*in_fee*(1-in_taken_back)</f>
        <v/>
      </c>
      <c r="AB100" s="14">
        <f>SUMIFS(W62:W120,B62:B120,B100-in_dpd_lag)*d_dpd</f>
        <v/>
      </c>
      <c r="AC100" s="14">
        <f>SUMIFS(W62:W120,B62:B120,B100-in_rec_lag)*d_rec</f>
        <v/>
      </c>
      <c r="AD100" s="14">
        <f>Z100*in_card_fee</f>
        <v/>
      </c>
      <c r="AE100" s="40">
        <f>AE99*(1-IF(B99&gt;=in_marketplace_from,d_hz_hlth_small*G99,0))</f>
        <v/>
      </c>
      <c r="AF100" s="46">
        <f>AE100*IF(B100&gt;=in_marketplace_from,d_hz_hlth_small*G100,0)</f>
        <v/>
      </c>
      <c r="AG100" s="14">
        <f>F100*AF100*in_hlth_small_ticket*in_hlth_small_comm*in_ins_partner_share+F100*in_hlth_small_ticket*in_hlth_small_renew_comm*in_ins_partner_share*(in_hlth_small_renew^1*SUMIFS(AF62:AF120,B62:B120,B100-12)+in_hlth_small_renew^2*SUMIFS(AF62:AF120,B62:B120,B100-24)+in_hlth_small_renew^3*SUMIFS(AF62:AF120,B62:B120,B100-36)+in_hlth_small_renew^4*SUMIFS(AF62:AF120,B62:B120,B100-48))</f>
        <v/>
      </c>
      <c r="AH100" s="40">
        <f>AH99*(1-IF(B99&gt;=in_marketplace_from,d_hz_hlth_family*G99,0))</f>
        <v/>
      </c>
      <c r="AI100" s="46">
        <f>AH100*IF(B100&gt;=in_marketplace_from,d_hz_hlth_family*G100,0)</f>
        <v/>
      </c>
      <c r="AJ100" s="14">
        <f>F100*AI100*in_hlth_family_ticket*in_hlth_family_comm*in_ins_partner_share+F100*in_hlth_family_ticket*in_hlth_family_renew_comm*in_ins_partner_share*(in_hlth_family_renew^1*SUMIFS(AI62:AI120,B62:B120,B100-12)+in_hlth_family_renew^2*SUMIFS(AI62:AI120,B62:B120,B100-24)+in_hlth_family_renew^3*SUMIFS(AI62:AI120,B62:B120,B100-36)+in_hlth_family_renew^4*SUMIFS(AI62:AI120,B62:B120,B100-48))</f>
        <v/>
      </c>
      <c r="AK100" s="40">
        <f>AK99*(1-IF(B99&gt;=in_marketplace_from,d_hz_life_term*G99,0))</f>
        <v/>
      </c>
      <c r="AL100" s="46">
        <f>AK100*IF(B100&gt;=in_marketplace_from,d_hz_life_term*G100,0)</f>
        <v/>
      </c>
      <c r="AM100" s="14">
        <f>F100*AL100*in_life_term_ticket*in_life_term_comm*in_ins_partner_share+F100*in_life_term_ticket*in_life_term_renew_comm*in_ins_partner_share*(in_life_term_renew^1*SUMIFS(AL62:AL120,B62:B120,B100-12)+in_life_term_renew^2*SUMIFS(AL62:AL120,B62:B120,B100-24)+in_life_term_renew^3*SUMIFS(AL62:AL120,B62:B120,B100-36)+in_life_term_renew^4*SUMIFS(AL62:AL120,B62:B120,B100-48))</f>
        <v/>
      </c>
      <c r="AN100" s="40">
        <f>AN99*(1-IF(B99&gt;=in_marketplace_from,d_hz_accident*G99,0))</f>
        <v/>
      </c>
      <c r="AO100" s="46">
        <f>AN100*IF(B100&gt;=in_marketplace_from,d_hz_accident*G100,0)</f>
        <v/>
      </c>
      <c r="AP100" s="14">
        <f>F100*AO100*in_accident_ticket*in_accident_comm*in_ins_partner_share+F100*in_accident_ticket*in_accident_renew_comm*in_ins_partner_share*(in_accident_renew^1*SUMIFS(AO62:AO120,B62:B120,B100-12)+in_accident_renew^2*SUMIFS(AO62:AO120,B62:B120,B100-24)+in_accident_renew^3*SUMIFS(AO62:AO120,B62:B120,B100-36)+in_accident_renew^4*SUMIFS(AO62:AO120,B62:B120,B100-48))</f>
        <v/>
      </c>
      <c r="AQ100" s="40">
        <f>AQ99*(1-IF(B99&gt;=in_marketplace_from,d_hz_two_wheeler*G99,0))</f>
        <v/>
      </c>
      <c r="AR100" s="46">
        <f>AQ100*IF(B100&gt;=in_marketplace_from,d_hz_two_wheeler*G100,0)</f>
        <v/>
      </c>
      <c r="AS100" s="14">
        <f>F100*AR100*in_two_wheeler_ticket*in_two_wheeler_comm*in_ins_partner_share+F100*in_two_wheeler_ticket*in_two_wheeler_comm*in_ins_partner_share*(in_two_wheeler_renew^1*SUMIFS(AR62:AR120,B62:B120,B100-12)+in_two_wheeler_renew^2*SUMIFS(AR62:AR120,B62:B120,B100-24)+in_two_wheeler_renew^3*SUMIFS(AR62:AR120,B62:B120,B100-36)+in_two_wheeler_renew^4*SUMIFS(AR62:AR120,B62:B120,B100-48))</f>
        <v/>
      </c>
      <c r="AT100" s="40">
        <f>AT99*(1-IF(B99&gt;=in_marketplace_from,d_hz_device*G99,0))</f>
        <v/>
      </c>
      <c r="AU100" s="14">
        <f>F100*AT100*IF(B100&gt;=in_marketplace_from,d_hz_device*G100,0)*in_device_ticket*in_device_comm*in_ins_partner_share</f>
        <v/>
      </c>
      <c r="AV100" s="40">
        <f>AV99*(1-IF(B99&gt;=in_marketplace_from,d_hz_shop*G99,0))</f>
        <v/>
      </c>
      <c r="AW100" s="46">
        <f>AV100*IF(B100&gt;=in_marketplace_from,d_hz_shop*G100,0)</f>
        <v/>
      </c>
      <c r="AX100" s="14">
        <f>F100*AW100*in_shop_ticket*in_shop_comm*in_ins_partner_share+F100*in_shop_ticket*in_shop_renew_comm*in_ins_partner_share*(in_shop_renew^1*SUMIFS(AW62:AW120,B62:B120,B100-12)+in_shop_renew^2*SUMIFS(AW62:AW120,B62:B120,B100-24)+in_shop_renew^3*SUMIFS(AW62:AW120,B62:B120,B100-36)+in_shop_renew^4*SUMIFS(AW62:AW120,B62:B120,B100-48))</f>
        <v/>
      </c>
      <c r="AY100" s="40">
        <f>AY99*(1-IF(B99&gt;=in_marketplace_from,d_hz_sip*G99,0))</f>
        <v/>
      </c>
      <c r="AZ100" s="40">
        <f>AZ99*d_rho_sip+AY100*IF(B100&gt;=in_marketplace_from,d_hz_sip*G100,0)</f>
        <v/>
      </c>
      <c r="BA100" s="40">
        <f>d_rho_sip*(BA99+AZ99)</f>
        <v/>
      </c>
      <c r="BB100" s="14">
        <f>F100*in_sip_ticket*(BA100+0.5*AZ100)*in_sip_comm/12</f>
        <v/>
      </c>
      <c r="BC100" s="40">
        <f>BC99*(1-IF(B99&gt;=in_marketplace_from,d_hz_choti*G99,0))</f>
        <v/>
      </c>
      <c r="BD100" s="46">
        <f>BC100*IF(B100&gt;=in_marketplace_from,d_hz_choti*G100,0)</f>
        <v/>
      </c>
      <c r="BE100" s="14">
        <f>F100*SUMIFS(BD62:BD120,B62:B120,B100-in_choti_months)*in_choti_renew*in_choti_ticket</f>
        <v/>
      </c>
      <c r="BF100" s="40">
        <f>BF99*(1-IF(B99&gt;=in_marketplace_from,d_hz_nps*G99,0))</f>
        <v/>
      </c>
      <c r="BG100" s="14">
        <f>F100*BF100*IF(B100&gt;=in_marketplace_from,d_hz_nps*G100,0)*in_nps_ticket*in_nps_comm</f>
        <v/>
      </c>
      <c r="BH100" s="40">
        <f>BH99*(1-IF(B99&gt;=in_marketplace_from,d_hz_gold*G99,0))</f>
        <v/>
      </c>
      <c r="BI100" s="40">
        <f>BI99*d_rho_gold+BH100*IF(B100&gt;=in_marketplace_from,d_hz_gold*G100,0)</f>
        <v/>
      </c>
      <c r="BJ100" s="14">
        <f>F100*BI100*in_gold_ticket*in_gold_comm</f>
        <v/>
      </c>
      <c r="BK100" s="40">
        <f>BK99*(1-IF(B99&gt;=in_marketplace_from,d_hz_fd*G99,0))</f>
        <v/>
      </c>
      <c r="BL100" s="14">
        <f>F100*BK100*IF(B100&gt;=in_marketplace_from,d_hz_fd*G100,0)*in_fd_ticket*in_fd_comm</f>
        <v/>
      </c>
      <c r="BM100" s="40">
        <f>BM99*(1-IF(B99&gt;=in_marketplace_from,d_hz_recharge*G99,0))</f>
        <v/>
      </c>
      <c r="BN100" s="40">
        <f>BN99*d_rho_recharge+BM100*IF(B100&gt;=in_marketplace_from,d_hz_recharge*G100,0)</f>
        <v/>
      </c>
      <c r="BO100" s="14">
        <f>F100*BN100*in_recharge_ticket*in_recharge_comm/12</f>
        <v/>
      </c>
      <c r="BP100" s="40">
        <f>BP99*(1-IF(B99&gt;=in_marketplace_from,d_hz_bills*G99,0))</f>
        <v/>
      </c>
      <c r="BQ100" s="40">
        <f>BQ99*d_rho_bills+BP100*IF(B100&gt;=in_marketplace_from,d_hz_bills*G100,0)</f>
        <v/>
      </c>
      <c r="BR100" s="14">
        <f>F100*BQ100*in_bills_ticket*in_bills_comm/12</f>
        <v/>
      </c>
      <c r="BS100" s="40">
        <f>BS99*(1-IF(B99&gt;=in_marketplace_from,d_hz_loan_gold*G99,0))</f>
        <v/>
      </c>
      <c r="BT100" s="14">
        <f>F100*BS100*IF(B100&gt;=in_marketplace_from,d_hz_loan_gold*G100,0)*in_loan_gold_ticket*in_loan_gold_comm</f>
        <v/>
      </c>
      <c r="BU100" s="40">
        <f>BU99*(1-IF(B99&gt;=in_marketplace_from,d_hz_loan_cd*G99,0))</f>
        <v/>
      </c>
      <c r="BV100" s="14">
        <f>F100*BU100*IF(B100&gt;=in_marketplace_from,d_hz_loan_cd*G100,0)*in_loan_cd_ticket*in_loan_cd_comm</f>
        <v/>
      </c>
      <c r="BW100" s="40">
        <f>BW99*(1-IF(B99&gt;=in_marketplace_from,d_hz_loan_vehicle*G99,0))</f>
        <v/>
      </c>
      <c r="BX100" s="14">
        <f>F100*BW100*IF(B100&gt;=in_marketplace_from,d_hz_loan_vehicle*G100,0)*in_loan_vehicle_ticket*in_loan_vehicle_comm</f>
        <v/>
      </c>
      <c r="BY100" s="40">
        <f>BY99*(1-IF(B99&gt;=in_marketplace_from,d_hz_loan_home*G99,0)*BZ99)</f>
        <v/>
      </c>
      <c r="BZ100" s="11">
        <f>MIN(in_approval_cap,in_loan_home_approval*INDEX('Age profile'!$O$2:$O$61,B100)*(1+in_approval_growth)^(D100-1))</f>
        <v/>
      </c>
      <c r="CA100" s="14">
        <f>F100*BY100*IF(B100&gt;=in_marketplace_from,d_hz_loan_home*G100,0)*BZ100*in_loan_home_ticket*in_loan_home_comm</f>
        <v/>
      </c>
      <c r="CB100" s="40">
        <f>CB99*(1-IF(B99&gt;=in_marketplace_from,d_hz_loan_lap*G99,0)*CC99)</f>
        <v/>
      </c>
      <c r="CC100" s="11">
        <f>MIN(in_approval_cap,in_loan_lap_approval*INDEX('Age profile'!$O$2:$O$61,B100)*(1+in_approval_growth)^(D100-1))</f>
        <v/>
      </c>
      <c r="CD100" s="14">
        <f>F100*CB100*IF(B100&gt;=in_marketplace_from,d_hz_loan_lap*G100,0)*CC100*in_loan_lap_ticket*in_loan_lap_comm</f>
        <v/>
      </c>
      <c r="CE100" s="14">
        <f>AA100+AB100+AC100+AD100+AG100+AJ100+AM100+AP100+AS100+AU100+AX100+BB100+BE100+BG100+BJ100+BL100+BO100+BR100+BT100+BV100+BX100+CA100+CD100</f>
        <v/>
      </c>
    </row>
    <row r="101">
      <c r="A101" s="39" t="n">
        <v>2</v>
      </c>
      <c r="B101" s="39" t="n">
        <v>40</v>
      </c>
      <c r="C101" s="39">
        <f>A101+B101-1</f>
        <v/>
      </c>
      <c r="D101" s="39">
        <f>INT((C101-1)/12)+1</f>
        <v/>
      </c>
      <c r="E101" s="44">
        <f>INDEX(Monthly!$B$2:$B$61,A101)</f>
        <v/>
      </c>
      <c r="F101" s="44">
        <f>E101*INDEX('Age profile'!$B$2:$B$61,B101)</f>
        <v/>
      </c>
      <c r="G101" s="45">
        <f>MIN(in_takeup_cap,INDEX('Age profile'!$N$2:$N$61,B101)*(1+in_takeup_growth)^(D101-1))</f>
        <v/>
      </c>
      <c r="H101" s="11">
        <f>MIN(in_approval_cap,in_approved_first*INDEX('Age profile'!$O$2:$O$61,B101)*(1+in_approval_growth)^(D101-1))</f>
        <v/>
      </c>
      <c r="I101" s="45">
        <f>G101*MIN(in_takeup_cap,INDEX('Age profile'!$O$2:$O$61,B101)*(1+in_approval_growth)^(D101-1))</f>
        <v/>
      </c>
      <c r="J101" s="40">
        <f>(J100-L100)*F101/F100</f>
        <v/>
      </c>
      <c r="K101" s="40">
        <f>(K100-M100)*F101/F100+SUMIFS(O62:O100,B62:B100,B101-1-d_T)*F101</f>
        <v/>
      </c>
      <c r="L101" s="40">
        <f>IF(B101&gt;=in_marketplace_from,J101*d_hz*G101*in_eligible*H101,0)</f>
        <v/>
      </c>
      <c r="M101" s="40">
        <f>IF(B101&gt;=in_marketplace_from,K101*d_hz*G101*in_eligible*in_approved_repeat,0)</f>
        <v/>
      </c>
      <c r="N101" s="40">
        <f>L101+M101</f>
        <v/>
      </c>
      <c r="O101" s="46">
        <f>N101/F101</f>
        <v/>
      </c>
      <c r="P101" s="40">
        <f>F101-J101-K101</f>
        <v/>
      </c>
      <c r="Q101" s="40">
        <f>IF(B101&gt;=in_marketplace_from,(J101+K101)*d_hz*G101,0)</f>
        <v/>
      </c>
      <c r="R101" s="40">
        <f>SUMIFS(N62:N120,B62:B120,"&gt;="&amp;(B101-d_T),B62:B120,"&lt;="&amp;(B101-1))</f>
        <v/>
      </c>
      <c r="S101" s="46">
        <f>(1-d_u)*S100+IF(d_T&gt;in_topup_lag,SUMIFS(O62:O120,B62:B120,B101-in_topup_lag)-d_udrop*SUMIFS(O62:O120,B62:B120,B101-d_T),0)</f>
        <v/>
      </c>
      <c r="T101" s="40">
        <f>F101*d_u*S101</f>
        <v/>
      </c>
      <c r="U101" s="9">
        <f>L101*in_ticket+M101*d_rep_ticket</f>
        <v/>
      </c>
      <c r="V101" s="9">
        <f>U101+T101*d_topup_amt</f>
        <v/>
      </c>
      <c r="W101" s="40">
        <f>N101+T101*d_topup_ratio</f>
        <v/>
      </c>
      <c r="X101" s="40">
        <f>SUMIFS(W62:W120,B62:B120,B101-in_dpd_lag)*d_cured</f>
        <v/>
      </c>
      <c r="Y101" s="40">
        <f>SUMIFS(W62:W120,B62:B120,B101-in_rec_lag)*d_recd</f>
        <v/>
      </c>
      <c r="Z101" s="40">
        <f>IF(AND(B101&gt;=in_marketplace_from,B101&lt;in_marketplace_from+in_card_months),in_card_share/in_card_months*F101*I101,IF(AND(B101&gt;=in_marketplace_from+in_card_months,B101&lt;in_marketplace_from+2*in_card_months),in_card_share*d_card_rem/in_card_months*F101*MIN(in_takeup_cap,(1+in_takeup_growth)^(D101-1))*MIN(in_takeup_cap,(1+in_approval_growth)^(D101-1)),0))</f>
        <v/>
      </c>
      <c r="AA101" s="14">
        <f>V101*in_fee*(1-in_taken_back)</f>
        <v/>
      </c>
      <c r="AB101" s="14">
        <f>SUMIFS(W62:W120,B62:B120,B101-in_dpd_lag)*d_dpd</f>
        <v/>
      </c>
      <c r="AC101" s="14">
        <f>SUMIFS(W62:W120,B62:B120,B101-in_rec_lag)*d_rec</f>
        <v/>
      </c>
      <c r="AD101" s="14">
        <f>Z101*in_card_fee</f>
        <v/>
      </c>
      <c r="AE101" s="40">
        <f>AE100*(1-IF(B100&gt;=in_marketplace_from,d_hz_hlth_small*G100,0))</f>
        <v/>
      </c>
      <c r="AF101" s="46">
        <f>AE101*IF(B101&gt;=in_marketplace_from,d_hz_hlth_small*G101,0)</f>
        <v/>
      </c>
      <c r="AG101" s="14">
        <f>F101*AF101*in_hlth_small_ticket*in_hlth_small_comm*in_ins_partner_share+F101*in_hlth_small_ticket*in_hlth_small_renew_comm*in_ins_partner_share*(in_hlth_small_renew^1*SUMIFS(AF62:AF120,B62:B120,B101-12)+in_hlth_small_renew^2*SUMIFS(AF62:AF120,B62:B120,B101-24)+in_hlth_small_renew^3*SUMIFS(AF62:AF120,B62:B120,B101-36)+in_hlth_small_renew^4*SUMIFS(AF62:AF120,B62:B120,B101-48))</f>
        <v/>
      </c>
      <c r="AH101" s="40">
        <f>AH100*(1-IF(B100&gt;=in_marketplace_from,d_hz_hlth_family*G100,0))</f>
        <v/>
      </c>
      <c r="AI101" s="46">
        <f>AH101*IF(B101&gt;=in_marketplace_from,d_hz_hlth_family*G101,0)</f>
        <v/>
      </c>
      <c r="AJ101" s="14">
        <f>F101*AI101*in_hlth_family_ticket*in_hlth_family_comm*in_ins_partner_share+F101*in_hlth_family_ticket*in_hlth_family_renew_comm*in_ins_partner_share*(in_hlth_family_renew^1*SUMIFS(AI62:AI120,B62:B120,B101-12)+in_hlth_family_renew^2*SUMIFS(AI62:AI120,B62:B120,B101-24)+in_hlth_family_renew^3*SUMIFS(AI62:AI120,B62:B120,B101-36)+in_hlth_family_renew^4*SUMIFS(AI62:AI120,B62:B120,B101-48))</f>
        <v/>
      </c>
      <c r="AK101" s="40">
        <f>AK100*(1-IF(B100&gt;=in_marketplace_from,d_hz_life_term*G100,0))</f>
        <v/>
      </c>
      <c r="AL101" s="46">
        <f>AK101*IF(B101&gt;=in_marketplace_from,d_hz_life_term*G101,0)</f>
        <v/>
      </c>
      <c r="AM101" s="14">
        <f>F101*AL101*in_life_term_ticket*in_life_term_comm*in_ins_partner_share+F101*in_life_term_ticket*in_life_term_renew_comm*in_ins_partner_share*(in_life_term_renew^1*SUMIFS(AL62:AL120,B62:B120,B101-12)+in_life_term_renew^2*SUMIFS(AL62:AL120,B62:B120,B101-24)+in_life_term_renew^3*SUMIFS(AL62:AL120,B62:B120,B101-36)+in_life_term_renew^4*SUMIFS(AL62:AL120,B62:B120,B101-48))</f>
        <v/>
      </c>
      <c r="AN101" s="40">
        <f>AN100*(1-IF(B100&gt;=in_marketplace_from,d_hz_accident*G100,0))</f>
        <v/>
      </c>
      <c r="AO101" s="46">
        <f>AN101*IF(B101&gt;=in_marketplace_from,d_hz_accident*G101,0)</f>
        <v/>
      </c>
      <c r="AP101" s="14">
        <f>F101*AO101*in_accident_ticket*in_accident_comm*in_ins_partner_share+F101*in_accident_ticket*in_accident_renew_comm*in_ins_partner_share*(in_accident_renew^1*SUMIFS(AO62:AO120,B62:B120,B101-12)+in_accident_renew^2*SUMIFS(AO62:AO120,B62:B120,B101-24)+in_accident_renew^3*SUMIFS(AO62:AO120,B62:B120,B101-36)+in_accident_renew^4*SUMIFS(AO62:AO120,B62:B120,B101-48))</f>
        <v/>
      </c>
      <c r="AQ101" s="40">
        <f>AQ100*(1-IF(B100&gt;=in_marketplace_from,d_hz_two_wheeler*G100,0))</f>
        <v/>
      </c>
      <c r="AR101" s="46">
        <f>AQ101*IF(B101&gt;=in_marketplace_from,d_hz_two_wheeler*G101,0)</f>
        <v/>
      </c>
      <c r="AS101" s="14">
        <f>F101*AR101*in_two_wheeler_ticket*in_two_wheeler_comm*in_ins_partner_share+F101*in_two_wheeler_ticket*in_two_wheeler_comm*in_ins_partner_share*(in_two_wheeler_renew^1*SUMIFS(AR62:AR120,B62:B120,B101-12)+in_two_wheeler_renew^2*SUMIFS(AR62:AR120,B62:B120,B101-24)+in_two_wheeler_renew^3*SUMIFS(AR62:AR120,B62:B120,B101-36)+in_two_wheeler_renew^4*SUMIFS(AR62:AR120,B62:B120,B101-48))</f>
        <v/>
      </c>
      <c r="AT101" s="40">
        <f>AT100*(1-IF(B100&gt;=in_marketplace_from,d_hz_device*G100,0))</f>
        <v/>
      </c>
      <c r="AU101" s="14">
        <f>F101*AT101*IF(B101&gt;=in_marketplace_from,d_hz_device*G101,0)*in_device_ticket*in_device_comm*in_ins_partner_share</f>
        <v/>
      </c>
      <c r="AV101" s="40">
        <f>AV100*(1-IF(B100&gt;=in_marketplace_from,d_hz_shop*G100,0))</f>
        <v/>
      </c>
      <c r="AW101" s="46">
        <f>AV101*IF(B101&gt;=in_marketplace_from,d_hz_shop*G101,0)</f>
        <v/>
      </c>
      <c r="AX101" s="14">
        <f>F101*AW101*in_shop_ticket*in_shop_comm*in_ins_partner_share+F101*in_shop_ticket*in_shop_renew_comm*in_ins_partner_share*(in_shop_renew^1*SUMIFS(AW62:AW120,B62:B120,B101-12)+in_shop_renew^2*SUMIFS(AW62:AW120,B62:B120,B101-24)+in_shop_renew^3*SUMIFS(AW62:AW120,B62:B120,B101-36)+in_shop_renew^4*SUMIFS(AW62:AW120,B62:B120,B101-48))</f>
        <v/>
      </c>
      <c r="AY101" s="40">
        <f>AY100*(1-IF(B100&gt;=in_marketplace_from,d_hz_sip*G100,0))</f>
        <v/>
      </c>
      <c r="AZ101" s="40">
        <f>AZ100*d_rho_sip+AY101*IF(B101&gt;=in_marketplace_from,d_hz_sip*G101,0)</f>
        <v/>
      </c>
      <c r="BA101" s="40">
        <f>d_rho_sip*(BA100+AZ100)</f>
        <v/>
      </c>
      <c r="BB101" s="14">
        <f>F101*in_sip_ticket*(BA101+0.5*AZ101)*in_sip_comm/12</f>
        <v/>
      </c>
      <c r="BC101" s="40">
        <f>BC100*(1-IF(B100&gt;=in_marketplace_from,d_hz_choti*G100,0))</f>
        <v/>
      </c>
      <c r="BD101" s="46">
        <f>BC101*IF(B101&gt;=in_marketplace_from,d_hz_choti*G101,0)</f>
        <v/>
      </c>
      <c r="BE101" s="14">
        <f>F101*SUMIFS(BD62:BD120,B62:B120,B101-in_choti_months)*in_choti_renew*in_choti_ticket</f>
        <v/>
      </c>
      <c r="BF101" s="40">
        <f>BF100*(1-IF(B100&gt;=in_marketplace_from,d_hz_nps*G100,0))</f>
        <v/>
      </c>
      <c r="BG101" s="14">
        <f>F101*BF101*IF(B101&gt;=in_marketplace_from,d_hz_nps*G101,0)*in_nps_ticket*in_nps_comm</f>
        <v/>
      </c>
      <c r="BH101" s="40">
        <f>BH100*(1-IF(B100&gt;=in_marketplace_from,d_hz_gold*G100,0))</f>
        <v/>
      </c>
      <c r="BI101" s="40">
        <f>BI100*d_rho_gold+BH101*IF(B101&gt;=in_marketplace_from,d_hz_gold*G101,0)</f>
        <v/>
      </c>
      <c r="BJ101" s="14">
        <f>F101*BI101*in_gold_ticket*in_gold_comm</f>
        <v/>
      </c>
      <c r="BK101" s="40">
        <f>BK100*(1-IF(B100&gt;=in_marketplace_from,d_hz_fd*G100,0))</f>
        <v/>
      </c>
      <c r="BL101" s="14">
        <f>F101*BK101*IF(B101&gt;=in_marketplace_from,d_hz_fd*G101,0)*in_fd_ticket*in_fd_comm</f>
        <v/>
      </c>
      <c r="BM101" s="40">
        <f>BM100*(1-IF(B100&gt;=in_marketplace_from,d_hz_recharge*G100,0))</f>
        <v/>
      </c>
      <c r="BN101" s="40">
        <f>BN100*d_rho_recharge+BM101*IF(B101&gt;=in_marketplace_from,d_hz_recharge*G101,0)</f>
        <v/>
      </c>
      <c r="BO101" s="14">
        <f>F101*BN101*in_recharge_ticket*in_recharge_comm/12</f>
        <v/>
      </c>
      <c r="BP101" s="40">
        <f>BP100*(1-IF(B100&gt;=in_marketplace_from,d_hz_bills*G100,0))</f>
        <v/>
      </c>
      <c r="BQ101" s="40">
        <f>BQ100*d_rho_bills+BP101*IF(B101&gt;=in_marketplace_from,d_hz_bills*G101,0)</f>
        <v/>
      </c>
      <c r="BR101" s="14">
        <f>F101*BQ101*in_bills_ticket*in_bills_comm/12</f>
        <v/>
      </c>
      <c r="BS101" s="40">
        <f>BS100*(1-IF(B100&gt;=in_marketplace_from,d_hz_loan_gold*G100,0))</f>
        <v/>
      </c>
      <c r="BT101" s="14">
        <f>F101*BS101*IF(B101&gt;=in_marketplace_from,d_hz_loan_gold*G101,0)*in_loan_gold_ticket*in_loan_gold_comm</f>
        <v/>
      </c>
      <c r="BU101" s="40">
        <f>BU100*(1-IF(B100&gt;=in_marketplace_from,d_hz_loan_cd*G100,0))</f>
        <v/>
      </c>
      <c r="BV101" s="14">
        <f>F101*BU101*IF(B101&gt;=in_marketplace_from,d_hz_loan_cd*G101,0)*in_loan_cd_ticket*in_loan_cd_comm</f>
        <v/>
      </c>
      <c r="BW101" s="40">
        <f>BW100*(1-IF(B100&gt;=in_marketplace_from,d_hz_loan_vehicle*G100,0))</f>
        <v/>
      </c>
      <c r="BX101" s="14">
        <f>F101*BW101*IF(B101&gt;=in_marketplace_from,d_hz_loan_vehicle*G101,0)*in_loan_vehicle_ticket*in_loan_vehicle_comm</f>
        <v/>
      </c>
      <c r="BY101" s="40">
        <f>BY100*(1-IF(B100&gt;=in_marketplace_from,d_hz_loan_home*G100,0)*BZ100)</f>
        <v/>
      </c>
      <c r="BZ101" s="11">
        <f>MIN(in_approval_cap,in_loan_home_approval*INDEX('Age profile'!$O$2:$O$61,B101)*(1+in_approval_growth)^(D101-1))</f>
        <v/>
      </c>
      <c r="CA101" s="14">
        <f>F101*BY101*IF(B101&gt;=in_marketplace_from,d_hz_loan_home*G101,0)*BZ101*in_loan_home_ticket*in_loan_home_comm</f>
        <v/>
      </c>
      <c r="CB101" s="40">
        <f>CB100*(1-IF(B100&gt;=in_marketplace_from,d_hz_loan_lap*G100,0)*CC100)</f>
        <v/>
      </c>
      <c r="CC101" s="11">
        <f>MIN(in_approval_cap,in_loan_lap_approval*INDEX('Age profile'!$O$2:$O$61,B101)*(1+in_approval_growth)^(D101-1))</f>
        <v/>
      </c>
      <c r="CD101" s="14">
        <f>F101*CB101*IF(B101&gt;=in_marketplace_from,d_hz_loan_lap*G101,0)*CC101*in_loan_lap_ticket*in_loan_lap_comm</f>
        <v/>
      </c>
      <c r="CE101" s="14">
        <f>AA101+AB101+AC101+AD101+AG101+AJ101+AM101+AP101+AS101+AU101+AX101+BB101+BE101+BG101+BJ101+BL101+BO101+BR101+BT101+BV101+BX101+CA101+CD101</f>
        <v/>
      </c>
    </row>
    <row r="102">
      <c r="A102" s="39" t="n">
        <v>2</v>
      </c>
      <c r="B102" s="39" t="n">
        <v>41</v>
      </c>
      <c r="C102" s="39">
        <f>A102+B102-1</f>
        <v/>
      </c>
      <c r="D102" s="39">
        <f>INT((C102-1)/12)+1</f>
        <v/>
      </c>
      <c r="E102" s="44">
        <f>INDEX(Monthly!$B$2:$B$61,A102)</f>
        <v/>
      </c>
      <c r="F102" s="44">
        <f>E102*INDEX('Age profile'!$B$2:$B$61,B102)</f>
        <v/>
      </c>
      <c r="G102" s="45">
        <f>MIN(in_takeup_cap,INDEX('Age profile'!$N$2:$N$61,B102)*(1+in_takeup_growth)^(D102-1))</f>
        <v/>
      </c>
      <c r="H102" s="11">
        <f>MIN(in_approval_cap,in_approved_first*INDEX('Age profile'!$O$2:$O$61,B102)*(1+in_approval_growth)^(D102-1))</f>
        <v/>
      </c>
      <c r="I102" s="45">
        <f>G102*MIN(in_takeup_cap,INDEX('Age profile'!$O$2:$O$61,B102)*(1+in_approval_growth)^(D102-1))</f>
        <v/>
      </c>
      <c r="J102" s="40">
        <f>(J101-L101)*F102/F101</f>
        <v/>
      </c>
      <c r="K102" s="40">
        <f>(K101-M101)*F102/F101+SUMIFS(O62:O101,B62:B101,B102-1-d_T)*F102</f>
        <v/>
      </c>
      <c r="L102" s="40">
        <f>IF(B102&gt;=in_marketplace_from,J102*d_hz*G102*in_eligible*H102,0)</f>
        <v/>
      </c>
      <c r="M102" s="40">
        <f>IF(B102&gt;=in_marketplace_from,K102*d_hz*G102*in_eligible*in_approved_repeat,0)</f>
        <v/>
      </c>
      <c r="N102" s="40">
        <f>L102+M102</f>
        <v/>
      </c>
      <c r="O102" s="46">
        <f>N102/F102</f>
        <v/>
      </c>
      <c r="P102" s="40">
        <f>F102-J102-K102</f>
        <v/>
      </c>
      <c r="Q102" s="40">
        <f>IF(B102&gt;=in_marketplace_from,(J102+K102)*d_hz*G102,0)</f>
        <v/>
      </c>
      <c r="R102" s="40">
        <f>SUMIFS(N62:N120,B62:B120,"&gt;="&amp;(B102-d_T),B62:B120,"&lt;="&amp;(B102-1))</f>
        <v/>
      </c>
      <c r="S102" s="46">
        <f>(1-d_u)*S101+IF(d_T&gt;in_topup_lag,SUMIFS(O62:O120,B62:B120,B102-in_topup_lag)-d_udrop*SUMIFS(O62:O120,B62:B120,B102-d_T),0)</f>
        <v/>
      </c>
      <c r="T102" s="40">
        <f>F102*d_u*S102</f>
        <v/>
      </c>
      <c r="U102" s="9">
        <f>L102*in_ticket+M102*d_rep_ticket</f>
        <v/>
      </c>
      <c r="V102" s="9">
        <f>U102+T102*d_topup_amt</f>
        <v/>
      </c>
      <c r="W102" s="40">
        <f>N102+T102*d_topup_ratio</f>
        <v/>
      </c>
      <c r="X102" s="40">
        <f>SUMIFS(W62:W120,B62:B120,B102-in_dpd_lag)*d_cured</f>
        <v/>
      </c>
      <c r="Y102" s="40">
        <f>SUMIFS(W62:W120,B62:B120,B102-in_rec_lag)*d_recd</f>
        <v/>
      </c>
      <c r="Z102" s="40">
        <f>IF(AND(B102&gt;=in_marketplace_from,B102&lt;in_marketplace_from+in_card_months),in_card_share/in_card_months*F102*I102,IF(AND(B102&gt;=in_marketplace_from+in_card_months,B102&lt;in_marketplace_from+2*in_card_months),in_card_share*d_card_rem/in_card_months*F102*MIN(in_takeup_cap,(1+in_takeup_growth)^(D102-1))*MIN(in_takeup_cap,(1+in_approval_growth)^(D102-1)),0))</f>
        <v/>
      </c>
      <c r="AA102" s="14">
        <f>V102*in_fee*(1-in_taken_back)</f>
        <v/>
      </c>
      <c r="AB102" s="14">
        <f>SUMIFS(W62:W120,B62:B120,B102-in_dpd_lag)*d_dpd</f>
        <v/>
      </c>
      <c r="AC102" s="14">
        <f>SUMIFS(W62:W120,B62:B120,B102-in_rec_lag)*d_rec</f>
        <v/>
      </c>
      <c r="AD102" s="14">
        <f>Z102*in_card_fee</f>
        <v/>
      </c>
      <c r="AE102" s="40">
        <f>AE101*(1-IF(B101&gt;=in_marketplace_from,d_hz_hlth_small*G101,0))</f>
        <v/>
      </c>
      <c r="AF102" s="46">
        <f>AE102*IF(B102&gt;=in_marketplace_from,d_hz_hlth_small*G102,0)</f>
        <v/>
      </c>
      <c r="AG102" s="14">
        <f>F102*AF102*in_hlth_small_ticket*in_hlth_small_comm*in_ins_partner_share+F102*in_hlth_small_ticket*in_hlth_small_renew_comm*in_ins_partner_share*(in_hlth_small_renew^1*SUMIFS(AF62:AF120,B62:B120,B102-12)+in_hlth_small_renew^2*SUMIFS(AF62:AF120,B62:B120,B102-24)+in_hlth_small_renew^3*SUMIFS(AF62:AF120,B62:B120,B102-36)+in_hlth_small_renew^4*SUMIFS(AF62:AF120,B62:B120,B102-48))</f>
        <v/>
      </c>
      <c r="AH102" s="40">
        <f>AH101*(1-IF(B101&gt;=in_marketplace_from,d_hz_hlth_family*G101,0))</f>
        <v/>
      </c>
      <c r="AI102" s="46">
        <f>AH102*IF(B102&gt;=in_marketplace_from,d_hz_hlth_family*G102,0)</f>
        <v/>
      </c>
      <c r="AJ102" s="14">
        <f>F102*AI102*in_hlth_family_ticket*in_hlth_family_comm*in_ins_partner_share+F102*in_hlth_family_ticket*in_hlth_family_renew_comm*in_ins_partner_share*(in_hlth_family_renew^1*SUMIFS(AI62:AI120,B62:B120,B102-12)+in_hlth_family_renew^2*SUMIFS(AI62:AI120,B62:B120,B102-24)+in_hlth_family_renew^3*SUMIFS(AI62:AI120,B62:B120,B102-36)+in_hlth_family_renew^4*SUMIFS(AI62:AI120,B62:B120,B102-48))</f>
        <v/>
      </c>
      <c r="AK102" s="40">
        <f>AK101*(1-IF(B101&gt;=in_marketplace_from,d_hz_life_term*G101,0))</f>
        <v/>
      </c>
      <c r="AL102" s="46">
        <f>AK102*IF(B102&gt;=in_marketplace_from,d_hz_life_term*G102,0)</f>
        <v/>
      </c>
      <c r="AM102" s="14">
        <f>F102*AL102*in_life_term_ticket*in_life_term_comm*in_ins_partner_share+F102*in_life_term_ticket*in_life_term_renew_comm*in_ins_partner_share*(in_life_term_renew^1*SUMIFS(AL62:AL120,B62:B120,B102-12)+in_life_term_renew^2*SUMIFS(AL62:AL120,B62:B120,B102-24)+in_life_term_renew^3*SUMIFS(AL62:AL120,B62:B120,B102-36)+in_life_term_renew^4*SUMIFS(AL62:AL120,B62:B120,B102-48))</f>
        <v/>
      </c>
      <c r="AN102" s="40">
        <f>AN101*(1-IF(B101&gt;=in_marketplace_from,d_hz_accident*G101,0))</f>
        <v/>
      </c>
      <c r="AO102" s="46">
        <f>AN102*IF(B102&gt;=in_marketplace_from,d_hz_accident*G102,0)</f>
        <v/>
      </c>
      <c r="AP102" s="14">
        <f>F102*AO102*in_accident_ticket*in_accident_comm*in_ins_partner_share+F102*in_accident_ticket*in_accident_renew_comm*in_ins_partner_share*(in_accident_renew^1*SUMIFS(AO62:AO120,B62:B120,B102-12)+in_accident_renew^2*SUMIFS(AO62:AO120,B62:B120,B102-24)+in_accident_renew^3*SUMIFS(AO62:AO120,B62:B120,B102-36)+in_accident_renew^4*SUMIFS(AO62:AO120,B62:B120,B102-48))</f>
        <v/>
      </c>
      <c r="AQ102" s="40">
        <f>AQ101*(1-IF(B101&gt;=in_marketplace_from,d_hz_two_wheeler*G101,0))</f>
        <v/>
      </c>
      <c r="AR102" s="46">
        <f>AQ102*IF(B102&gt;=in_marketplace_from,d_hz_two_wheeler*G102,0)</f>
        <v/>
      </c>
      <c r="AS102" s="14">
        <f>F102*AR102*in_two_wheeler_ticket*in_two_wheeler_comm*in_ins_partner_share+F102*in_two_wheeler_ticket*in_two_wheeler_comm*in_ins_partner_share*(in_two_wheeler_renew^1*SUMIFS(AR62:AR120,B62:B120,B102-12)+in_two_wheeler_renew^2*SUMIFS(AR62:AR120,B62:B120,B102-24)+in_two_wheeler_renew^3*SUMIFS(AR62:AR120,B62:B120,B102-36)+in_two_wheeler_renew^4*SUMIFS(AR62:AR120,B62:B120,B102-48))</f>
        <v/>
      </c>
      <c r="AT102" s="40">
        <f>AT101*(1-IF(B101&gt;=in_marketplace_from,d_hz_device*G101,0))</f>
        <v/>
      </c>
      <c r="AU102" s="14">
        <f>F102*AT102*IF(B102&gt;=in_marketplace_from,d_hz_device*G102,0)*in_device_ticket*in_device_comm*in_ins_partner_share</f>
        <v/>
      </c>
      <c r="AV102" s="40">
        <f>AV101*(1-IF(B101&gt;=in_marketplace_from,d_hz_shop*G101,0))</f>
        <v/>
      </c>
      <c r="AW102" s="46">
        <f>AV102*IF(B102&gt;=in_marketplace_from,d_hz_shop*G102,0)</f>
        <v/>
      </c>
      <c r="AX102" s="14">
        <f>F102*AW102*in_shop_ticket*in_shop_comm*in_ins_partner_share+F102*in_shop_ticket*in_shop_renew_comm*in_ins_partner_share*(in_shop_renew^1*SUMIFS(AW62:AW120,B62:B120,B102-12)+in_shop_renew^2*SUMIFS(AW62:AW120,B62:B120,B102-24)+in_shop_renew^3*SUMIFS(AW62:AW120,B62:B120,B102-36)+in_shop_renew^4*SUMIFS(AW62:AW120,B62:B120,B102-48))</f>
        <v/>
      </c>
      <c r="AY102" s="40">
        <f>AY101*(1-IF(B101&gt;=in_marketplace_from,d_hz_sip*G101,0))</f>
        <v/>
      </c>
      <c r="AZ102" s="40">
        <f>AZ101*d_rho_sip+AY102*IF(B102&gt;=in_marketplace_from,d_hz_sip*G102,0)</f>
        <v/>
      </c>
      <c r="BA102" s="40">
        <f>d_rho_sip*(BA101+AZ101)</f>
        <v/>
      </c>
      <c r="BB102" s="14">
        <f>F102*in_sip_ticket*(BA102+0.5*AZ102)*in_sip_comm/12</f>
        <v/>
      </c>
      <c r="BC102" s="40">
        <f>BC101*(1-IF(B101&gt;=in_marketplace_from,d_hz_choti*G101,0))</f>
        <v/>
      </c>
      <c r="BD102" s="46">
        <f>BC102*IF(B102&gt;=in_marketplace_from,d_hz_choti*G102,0)</f>
        <v/>
      </c>
      <c r="BE102" s="14">
        <f>F102*SUMIFS(BD62:BD120,B62:B120,B102-in_choti_months)*in_choti_renew*in_choti_ticket</f>
        <v/>
      </c>
      <c r="BF102" s="40">
        <f>BF101*(1-IF(B101&gt;=in_marketplace_from,d_hz_nps*G101,0))</f>
        <v/>
      </c>
      <c r="BG102" s="14">
        <f>F102*BF102*IF(B102&gt;=in_marketplace_from,d_hz_nps*G102,0)*in_nps_ticket*in_nps_comm</f>
        <v/>
      </c>
      <c r="BH102" s="40">
        <f>BH101*(1-IF(B101&gt;=in_marketplace_from,d_hz_gold*G101,0))</f>
        <v/>
      </c>
      <c r="BI102" s="40">
        <f>BI101*d_rho_gold+BH102*IF(B102&gt;=in_marketplace_from,d_hz_gold*G102,0)</f>
        <v/>
      </c>
      <c r="BJ102" s="14">
        <f>F102*BI102*in_gold_ticket*in_gold_comm</f>
        <v/>
      </c>
      <c r="BK102" s="40">
        <f>BK101*(1-IF(B101&gt;=in_marketplace_from,d_hz_fd*G101,0))</f>
        <v/>
      </c>
      <c r="BL102" s="14">
        <f>F102*BK102*IF(B102&gt;=in_marketplace_from,d_hz_fd*G102,0)*in_fd_ticket*in_fd_comm</f>
        <v/>
      </c>
      <c r="BM102" s="40">
        <f>BM101*(1-IF(B101&gt;=in_marketplace_from,d_hz_recharge*G101,0))</f>
        <v/>
      </c>
      <c r="BN102" s="40">
        <f>BN101*d_rho_recharge+BM102*IF(B102&gt;=in_marketplace_from,d_hz_recharge*G102,0)</f>
        <v/>
      </c>
      <c r="BO102" s="14">
        <f>F102*BN102*in_recharge_ticket*in_recharge_comm/12</f>
        <v/>
      </c>
      <c r="BP102" s="40">
        <f>BP101*(1-IF(B101&gt;=in_marketplace_from,d_hz_bills*G101,0))</f>
        <v/>
      </c>
      <c r="BQ102" s="40">
        <f>BQ101*d_rho_bills+BP102*IF(B102&gt;=in_marketplace_from,d_hz_bills*G102,0)</f>
        <v/>
      </c>
      <c r="BR102" s="14">
        <f>F102*BQ102*in_bills_ticket*in_bills_comm/12</f>
        <v/>
      </c>
      <c r="BS102" s="40">
        <f>BS101*(1-IF(B101&gt;=in_marketplace_from,d_hz_loan_gold*G101,0))</f>
        <v/>
      </c>
      <c r="BT102" s="14">
        <f>F102*BS102*IF(B102&gt;=in_marketplace_from,d_hz_loan_gold*G102,0)*in_loan_gold_ticket*in_loan_gold_comm</f>
        <v/>
      </c>
      <c r="BU102" s="40">
        <f>BU101*(1-IF(B101&gt;=in_marketplace_from,d_hz_loan_cd*G101,0))</f>
        <v/>
      </c>
      <c r="BV102" s="14">
        <f>F102*BU102*IF(B102&gt;=in_marketplace_from,d_hz_loan_cd*G102,0)*in_loan_cd_ticket*in_loan_cd_comm</f>
        <v/>
      </c>
      <c r="BW102" s="40">
        <f>BW101*(1-IF(B101&gt;=in_marketplace_from,d_hz_loan_vehicle*G101,0))</f>
        <v/>
      </c>
      <c r="BX102" s="14">
        <f>F102*BW102*IF(B102&gt;=in_marketplace_from,d_hz_loan_vehicle*G102,0)*in_loan_vehicle_ticket*in_loan_vehicle_comm</f>
        <v/>
      </c>
      <c r="BY102" s="40">
        <f>BY101*(1-IF(B101&gt;=in_marketplace_from,d_hz_loan_home*G101,0)*BZ101)</f>
        <v/>
      </c>
      <c r="BZ102" s="11">
        <f>MIN(in_approval_cap,in_loan_home_approval*INDEX('Age profile'!$O$2:$O$61,B102)*(1+in_approval_growth)^(D102-1))</f>
        <v/>
      </c>
      <c r="CA102" s="14">
        <f>F102*BY102*IF(B102&gt;=in_marketplace_from,d_hz_loan_home*G102,0)*BZ102*in_loan_home_ticket*in_loan_home_comm</f>
        <v/>
      </c>
      <c r="CB102" s="40">
        <f>CB101*(1-IF(B101&gt;=in_marketplace_from,d_hz_loan_lap*G101,0)*CC101)</f>
        <v/>
      </c>
      <c r="CC102" s="11">
        <f>MIN(in_approval_cap,in_loan_lap_approval*INDEX('Age profile'!$O$2:$O$61,B102)*(1+in_approval_growth)^(D102-1))</f>
        <v/>
      </c>
      <c r="CD102" s="14">
        <f>F102*CB102*IF(B102&gt;=in_marketplace_from,d_hz_loan_lap*G102,0)*CC102*in_loan_lap_ticket*in_loan_lap_comm</f>
        <v/>
      </c>
      <c r="CE102" s="14">
        <f>AA102+AB102+AC102+AD102+AG102+AJ102+AM102+AP102+AS102+AU102+AX102+BB102+BE102+BG102+BJ102+BL102+BO102+BR102+BT102+BV102+BX102+CA102+CD102</f>
        <v/>
      </c>
    </row>
    <row r="103">
      <c r="A103" s="39" t="n">
        <v>2</v>
      </c>
      <c r="B103" s="39" t="n">
        <v>42</v>
      </c>
      <c r="C103" s="39">
        <f>A103+B103-1</f>
        <v/>
      </c>
      <c r="D103" s="39">
        <f>INT((C103-1)/12)+1</f>
        <v/>
      </c>
      <c r="E103" s="44">
        <f>INDEX(Monthly!$B$2:$B$61,A103)</f>
        <v/>
      </c>
      <c r="F103" s="44">
        <f>E103*INDEX('Age profile'!$B$2:$B$61,B103)</f>
        <v/>
      </c>
      <c r="G103" s="45">
        <f>MIN(in_takeup_cap,INDEX('Age profile'!$N$2:$N$61,B103)*(1+in_takeup_growth)^(D103-1))</f>
        <v/>
      </c>
      <c r="H103" s="11">
        <f>MIN(in_approval_cap,in_approved_first*INDEX('Age profile'!$O$2:$O$61,B103)*(1+in_approval_growth)^(D103-1))</f>
        <v/>
      </c>
      <c r="I103" s="45">
        <f>G103*MIN(in_takeup_cap,INDEX('Age profile'!$O$2:$O$61,B103)*(1+in_approval_growth)^(D103-1))</f>
        <v/>
      </c>
      <c r="J103" s="40">
        <f>(J102-L102)*F103/F102</f>
        <v/>
      </c>
      <c r="K103" s="40">
        <f>(K102-M102)*F103/F102+SUMIFS(O62:O102,B62:B102,B103-1-d_T)*F103</f>
        <v/>
      </c>
      <c r="L103" s="40">
        <f>IF(B103&gt;=in_marketplace_from,J103*d_hz*G103*in_eligible*H103,0)</f>
        <v/>
      </c>
      <c r="M103" s="40">
        <f>IF(B103&gt;=in_marketplace_from,K103*d_hz*G103*in_eligible*in_approved_repeat,0)</f>
        <v/>
      </c>
      <c r="N103" s="40">
        <f>L103+M103</f>
        <v/>
      </c>
      <c r="O103" s="46">
        <f>N103/F103</f>
        <v/>
      </c>
      <c r="P103" s="40">
        <f>F103-J103-K103</f>
        <v/>
      </c>
      <c r="Q103" s="40">
        <f>IF(B103&gt;=in_marketplace_from,(J103+K103)*d_hz*G103,0)</f>
        <v/>
      </c>
      <c r="R103" s="40">
        <f>SUMIFS(N62:N120,B62:B120,"&gt;="&amp;(B103-d_T),B62:B120,"&lt;="&amp;(B103-1))</f>
        <v/>
      </c>
      <c r="S103" s="46">
        <f>(1-d_u)*S102+IF(d_T&gt;in_topup_lag,SUMIFS(O62:O120,B62:B120,B103-in_topup_lag)-d_udrop*SUMIFS(O62:O120,B62:B120,B103-d_T),0)</f>
        <v/>
      </c>
      <c r="T103" s="40">
        <f>F103*d_u*S103</f>
        <v/>
      </c>
      <c r="U103" s="9">
        <f>L103*in_ticket+M103*d_rep_ticket</f>
        <v/>
      </c>
      <c r="V103" s="9">
        <f>U103+T103*d_topup_amt</f>
        <v/>
      </c>
      <c r="W103" s="40">
        <f>N103+T103*d_topup_ratio</f>
        <v/>
      </c>
      <c r="X103" s="40">
        <f>SUMIFS(W62:W120,B62:B120,B103-in_dpd_lag)*d_cured</f>
        <v/>
      </c>
      <c r="Y103" s="40">
        <f>SUMIFS(W62:W120,B62:B120,B103-in_rec_lag)*d_recd</f>
        <v/>
      </c>
      <c r="Z103" s="40">
        <f>IF(AND(B103&gt;=in_marketplace_from,B103&lt;in_marketplace_from+in_card_months),in_card_share/in_card_months*F103*I103,IF(AND(B103&gt;=in_marketplace_from+in_card_months,B103&lt;in_marketplace_from+2*in_card_months),in_card_share*d_card_rem/in_card_months*F103*MIN(in_takeup_cap,(1+in_takeup_growth)^(D103-1))*MIN(in_takeup_cap,(1+in_approval_growth)^(D103-1)),0))</f>
        <v/>
      </c>
      <c r="AA103" s="14">
        <f>V103*in_fee*(1-in_taken_back)</f>
        <v/>
      </c>
      <c r="AB103" s="14">
        <f>SUMIFS(W62:W120,B62:B120,B103-in_dpd_lag)*d_dpd</f>
        <v/>
      </c>
      <c r="AC103" s="14">
        <f>SUMIFS(W62:W120,B62:B120,B103-in_rec_lag)*d_rec</f>
        <v/>
      </c>
      <c r="AD103" s="14">
        <f>Z103*in_card_fee</f>
        <v/>
      </c>
      <c r="AE103" s="40">
        <f>AE102*(1-IF(B102&gt;=in_marketplace_from,d_hz_hlth_small*G102,0))</f>
        <v/>
      </c>
      <c r="AF103" s="46">
        <f>AE103*IF(B103&gt;=in_marketplace_from,d_hz_hlth_small*G103,0)</f>
        <v/>
      </c>
      <c r="AG103" s="14">
        <f>F103*AF103*in_hlth_small_ticket*in_hlth_small_comm*in_ins_partner_share+F103*in_hlth_small_ticket*in_hlth_small_renew_comm*in_ins_partner_share*(in_hlth_small_renew^1*SUMIFS(AF62:AF120,B62:B120,B103-12)+in_hlth_small_renew^2*SUMIFS(AF62:AF120,B62:B120,B103-24)+in_hlth_small_renew^3*SUMIFS(AF62:AF120,B62:B120,B103-36)+in_hlth_small_renew^4*SUMIFS(AF62:AF120,B62:B120,B103-48))</f>
        <v/>
      </c>
      <c r="AH103" s="40">
        <f>AH102*(1-IF(B102&gt;=in_marketplace_from,d_hz_hlth_family*G102,0))</f>
        <v/>
      </c>
      <c r="AI103" s="46">
        <f>AH103*IF(B103&gt;=in_marketplace_from,d_hz_hlth_family*G103,0)</f>
        <v/>
      </c>
      <c r="AJ103" s="14">
        <f>F103*AI103*in_hlth_family_ticket*in_hlth_family_comm*in_ins_partner_share+F103*in_hlth_family_ticket*in_hlth_family_renew_comm*in_ins_partner_share*(in_hlth_family_renew^1*SUMIFS(AI62:AI120,B62:B120,B103-12)+in_hlth_family_renew^2*SUMIFS(AI62:AI120,B62:B120,B103-24)+in_hlth_family_renew^3*SUMIFS(AI62:AI120,B62:B120,B103-36)+in_hlth_family_renew^4*SUMIFS(AI62:AI120,B62:B120,B103-48))</f>
        <v/>
      </c>
      <c r="AK103" s="40">
        <f>AK102*(1-IF(B102&gt;=in_marketplace_from,d_hz_life_term*G102,0))</f>
        <v/>
      </c>
      <c r="AL103" s="46">
        <f>AK103*IF(B103&gt;=in_marketplace_from,d_hz_life_term*G103,0)</f>
        <v/>
      </c>
      <c r="AM103" s="14">
        <f>F103*AL103*in_life_term_ticket*in_life_term_comm*in_ins_partner_share+F103*in_life_term_ticket*in_life_term_renew_comm*in_ins_partner_share*(in_life_term_renew^1*SUMIFS(AL62:AL120,B62:B120,B103-12)+in_life_term_renew^2*SUMIFS(AL62:AL120,B62:B120,B103-24)+in_life_term_renew^3*SUMIFS(AL62:AL120,B62:B120,B103-36)+in_life_term_renew^4*SUMIFS(AL62:AL120,B62:B120,B103-48))</f>
        <v/>
      </c>
      <c r="AN103" s="40">
        <f>AN102*(1-IF(B102&gt;=in_marketplace_from,d_hz_accident*G102,0))</f>
        <v/>
      </c>
      <c r="AO103" s="46">
        <f>AN103*IF(B103&gt;=in_marketplace_from,d_hz_accident*G103,0)</f>
        <v/>
      </c>
      <c r="AP103" s="14">
        <f>F103*AO103*in_accident_ticket*in_accident_comm*in_ins_partner_share+F103*in_accident_ticket*in_accident_renew_comm*in_ins_partner_share*(in_accident_renew^1*SUMIFS(AO62:AO120,B62:B120,B103-12)+in_accident_renew^2*SUMIFS(AO62:AO120,B62:B120,B103-24)+in_accident_renew^3*SUMIFS(AO62:AO120,B62:B120,B103-36)+in_accident_renew^4*SUMIFS(AO62:AO120,B62:B120,B103-48))</f>
        <v/>
      </c>
      <c r="AQ103" s="40">
        <f>AQ102*(1-IF(B102&gt;=in_marketplace_from,d_hz_two_wheeler*G102,0))</f>
        <v/>
      </c>
      <c r="AR103" s="46">
        <f>AQ103*IF(B103&gt;=in_marketplace_from,d_hz_two_wheeler*G103,0)</f>
        <v/>
      </c>
      <c r="AS103" s="14">
        <f>F103*AR103*in_two_wheeler_ticket*in_two_wheeler_comm*in_ins_partner_share+F103*in_two_wheeler_ticket*in_two_wheeler_comm*in_ins_partner_share*(in_two_wheeler_renew^1*SUMIFS(AR62:AR120,B62:B120,B103-12)+in_two_wheeler_renew^2*SUMIFS(AR62:AR120,B62:B120,B103-24)+in_two_wheeler_renew^3*SUMIFS(AR62:AR120,B62:B120,B103-36)+in_two_wheeler_renew^4*SUMIFS(AR62:AR120,B62:B120,B103-48))</f>
        <v/>
      </c>
      <c r="AT103" s="40">
        <f>AT102*(1-IF(B102&gt;=in_marketplace_from,d_hz_device*G102,0))</f>
        <v/>
      </c>
      <c r="AU103" s="14">
        <f>F103*AT103*IF(B103&gt;=in_marketplace_from,d_hz_device*G103,0)*in_device_ticket*in_device_comm*in_ins_partner_share</f>
        <v/>
      </c>
      <c r="AV103" s="40">
        <f>AV102*(1-IF(B102&gt;=in_marketplace_from,d_hz_shop*G102,0))</f>
        <v/>
      </c>
      <c r="AW103" s="46">
        <f>AV103*IF(B103&gt;=in_marketplace_from,d_hz_shop*G103,0)</f>
        <v/>
      </c>
      <c r="AX103" s="14">
        <f>F103*AW103*in_shop_ticket*in_shop_comm*in_ins_partner_share+F103*in_shop_ticket*in_shop_renew_comm*in_ins_partner_share*(in_shop_renew^1*SUMIFS(AW62:AW120,B62:B120,B103-12)+in_shop_renew^2*SUMIFS(AW62:AW120,B62:B120,B103-24)+in_shop_renew^3*SUMIFS(AW62:AW120,B62:B120,B103-36)+in_shop_renew^4*SUMIFS(AW62:AW120,B62:B120,B103-48))</f>
        <v/>
      </c>
      <c r="AY103" s="40">
        <f>AY102*(1-IF(B102&gt;=in_marketplace_from,d_hz_sip*G102,0))</f>
        <v/>
      </c>
      <c r="AZ103" s="40">
        <f>AZ102*d_rho_sip+AY103*IF(B103&gt;=in_marketplace_from,d_hz_sip*G103,0)</f>
        <v/>
      </c>
      <c r="BA103" s="40">
        <f>d_rho_sip*(BA102+AZ102)</f>
        <v/>
      </c>
      <c r="BB103" s="14">
        <f>F103*in_sip_ticket*(BA103+0.5*AZ103)*in_sip_comm/12</f>
        <v/>
      </c>
      <c r="BC103" s="40">
        <f>BC102*(1-IF(B102&gt;=in_marketplace_from,d_hz_choti*G102,0))</f>
        <v/>
      </c>
      <c r="BD103" s="46">
        <f>BC103*IF(B103&gt;=in_marketplace_from,d_hz_choti*G103,0)</f>
        <v/>
      </c>
      <c r="BE103" s="14">
        <f>F103*SUMIFS(BD62:BD120,B62:B120,B103-in_choti_months)*in_choti_renew*in_choti_ticket</f>
        <v/>
      </c>
      <c r="BF103" s="40">
        <f>BF102*(1-IF(B102&gt;=in_marketplace_from,d_hz_nps*G102,0))</f>
        <v/>
      </c>
      <c r="BG103" s="14">
        <f>F103*BF103*IF(B103&gt;=in_marketplace_from,d_hz_nps*G103,0)*in_nps_ticket*in_nps_comm</f>
        <v/>
      </c>
      <c r="BH103" s="40">
        <f>BH102*(1-IF(B102&gt;=in_marketplace_from,d_hz_gold*G102,0))</f>
        <v/>
      </c>
      <c r="BI103" s="40">
        <f>BI102*d_rho_gold+BH103*IF(B103&gt;=in_marketplace_from,d_hz_gold*G103,0)</f>
        <v/>
      </c>
      <c r="BJ103" s="14">
        <f>F103*BI103*in_gold_ticket*in_gold_comm</f>
        <v/>
      </c>
      <c r="BK103" s="40">
        <f>BK102*(1-IF(B102&gt;=in_marketplace_from,d_hz_fd*G102,0))</f>
        <v/>
      </c>
      <c r="BL103" s="14">
        <f>F103*BK103*IF(B103&gt;=in_marketplace_from,d_hz_fd*G103,0)*in_fd_ticket*in_fd_comm</f>
        <v/>
      </c>
      <c r="BM103" s="40">
        <f>BM102*(1-IF(B102&gt;=in_marketplace_from,d_hz_recharge*G102,0))</f>
        <v/>
      </c>
      <c r="BN103" s="40">
        <f>BN102*d_rho_recharge+BM103*IF(B103&gt;=in_marketplace_from,d_hz_recharge*G103,0)</f>
        <v/>
      </c>
      <c r="BO103" s="14">
        <f>F103*BN103*in_recharge_ticket*in_recharge_comm/12</f>
        <v/>
      </c>
      <c r="BP103" s="40">
        <f>BP102*(1-IF(B102&gt;=in_marketplace_from,d_hz_bills*G102,0))</f>
        <v/>
      </c>
      <c r="BQ103" s="40">
        <f>BQ102*d_rho_bills+BP103*IF(B103&gt;=in_marketplace_from,d_hz_bills*G103,0)</f>
        <v/>
      </c>
      <c r="BR103" s="14">
        <f>F103*BQ103*in_bills_ticket*in_bills_comm/12</f>
        <v/>
      </c>
      <c r="BS103" s="40">
        <f>BS102*(1-IF(B102&gt;=in_marketplace_from,d_hz_loan_gold*G102,0))</f>
        <v/>
      </c>
      <c r="BT103" s="14">
        <f>F103*BS103*IF(B103&gt;=in_marketplace_from,d_hz_loan_gold*G103,0)*in_loan_gold_ticket*in_loan_gold_comm</f>
        <v/>
      </c>
      <c r="BU103" s="40">
        <f>BU102*(1-IF(B102&gt;=in_marketplace_from,d_hz_loan_cd*G102,0))</f>
        <v/>
      </c>
      <c r="BV103" s="14">
        <f>F103*BU103*IF(B103&gt;=in_marketplace_from,d_hz_loan_cd*G103,0)*in_loan_cd_ticket*in_loan_cd_comm</f>
        <v/>
      </c>
      <c r="BW103" s="40">
        <f>BW102*(1-IF(B102&gt;=in_marketplace_from,d_hz_loan_vehicle*G102,0))</f>
        <v/>
      </c>
      <c r="BX103" s="14">
        <f>F103*BW103*IF(B103&gt;=in_marketplace_from,d_hz_loan_vehicle*G103,0)*in_loan_vehicle_ticket*in_loan_vehicle_comm</f>
        <v/>
      </c>
      <c r="BY103" s="40">
        <f>BY102*(1-IF(B102&gt;=in_marketplace_from,d_hz_loan_home*G102,0)*BZ102)</f>
        <v/>
      </c>
      <c r="BZ103" s="11">
        <f>MIN(in_approval_cap,in_loan_home_approval*INDEX('Age profile'!$O$2:$O$61,B103)*(1+in_approval_growth)^(D103-1))</f>
        <v/>
      </c>
      <c r="CA103" s="14">
        <f>F103*BY103*IF(B103&gt;=in_marketplace_from,d_hz_loan_home*G103,0)*BZ103*in_loan_home_ticket*in_loan_home_comm</f>
        <v/>
      </c>
      <c r="CB103" s="40">
        <f>CB102*(1-IF(B102&gt;=in_marketplace_from,d_hz_loan_lap*G102,0)*CC102)</f>
        <v/>
      </c>
      <c r="CC103" s="11">
        <f>MIN(in_approval_cap,in_loan_lap_approval*INDEX('Age profile'!$O$2:$O$61,B103)*(1+in_approval_growth)^(D103-1))</f>
        <v/>
      </c>
      <c r="CD103" s="14">
        <f>F103*CB103*IF(B103&gt;=in_marketplace_from,d_hz_loan_lap*G103,0)*CC103*in_loan_lap_ticket*in_loan_lap_comm</f>
        <v/>
      </c>
      <c r="CE103" s="14">
        <f>AA103+AB103+AC103+AD103+AG103+AJ103+AM103+AP103+AS103+AU103+AX103+BB103+BE103+BG103+BJ103+BL103+BO103+BR103+BT103+BV103+BX103+CA103+CD103</f>
        <v/>
      </c>
    </row>
    <row r="104">
      <c r="A104" s="39" t="n">
        <v>2</v>
      </c>
      <c r="B104" s="39" t="n">
        <v>43</v>
      </c>
      <c r="C104" s="39">
        <f>A104+B104-1</f>
        <v/>
      </c>
      <c r="D104" s="39">
        <f>INT((C104-1)/12)+1</f>
        <v/>
      </c>
      <c r="E104" s="44">
        <f>INDEX(Monthly!$B$2:$B$61,A104)</f>
        <v/>
      </c>
      <c r="F104" s="44">
        <f>E104*INDEX('Age profile'!$B$2:$B$61,B104)</f>
        <v/>
      </c>
      <c r="G104" s="45">
        <f>MIN(in_takeup_cap,INDEX('Age profile'!$N$2:$N$61,B104)*(1+in_takeup_growth)^(D104-1))</f>
        <v/>
      </c>
      <c r="H104" s="11">
        <f>MIN(in_approval_cap,in_approved_first*INDEX('Age profile'!$O$2:$O$61,B104)*(1+in_approval_growth)^(D104-1))</f>
        <v/>
      </c>
      <c r="I104" s="45">
        <f>G104*MIN(in_takeup_cap,INDEX('Age profile'!$O$2:$O$61,B104)*(1+in_approval_growth)^(D104-1))</f>
        <v/>
      </c>
      <c r="J104" s="40">
        <f>(J103-L103)*F104/F103</f>
        <v/>
      </c>
      <c r="K104" s="40">
        <f>(K103-M103)*F104/F103+SUMIFS(O62:O103,B62:B103,B104-1-d_T)*F104</f>
        <v/>
      </c>
      <c r="L104" s="40">
        <f>IF(B104&gt;=in_marketplace_from,J104*d_hz*G104*in_eligible*H104,0)</f>
        <v/>
      </c>
      <c r="M104" s="40">
        <f>IF(B104&gt;=in_marketplace_from,K104*d_hz*G104*in_eligible*in_approved_repeat,0)</f>
        <v/>
      </c>
      <c r="N104" s="40">
        <f>L104+M104</f>
        <v/>
      </c>
      <c r="O104" s="46">
        <f>N104/F104</f>
        <v/>
      </c>
      <c r="P104" s="40">
        <f>F104-J104-K104</f>
        <v/>
      </c>
      <c r="Q104" s="40">
        <f>IF(B104&gt;=in_marketplace_from,(J104+K104)*d_hz*G104,0)</f>
        <v/>
      </c>
      <c r="R104" s="40">
        <f>SUMIFS(N62:N120,B62:B120,"&gt;="&amp;(B104-d_T),B62:B120,"&lt;="&amp;(B104-1))</f>
        <v/>
      </c>
      <c r="S104" s="46">
        <f>(1-d_u)*S103+IF(d_T&gt;in_topup_lag,SUMIFS(O62:O120,B62:B120,B104-in_topup_lag)-d_udrop*SUMIFS(O62:O120,B62:B120,B104-d_T),0)</f>
        <v/>
      </c>
      <c r="T104" s="40">
        <f>F104*d_u*S104</f>
        <v/>
      </c>
      <c r="U104" s="9">
        <f>L104*in_ticket+M104*d_rep_ticket</f>
        <v/>
      </c>
      <c r="V104" s="9">
        <f>U104+T104*d_topup_amt</f>
        <v/>
      </c>
      <c r="W104" s="40">
        <f>N104+T104*d_topup_ratio</f>
        <v/>
      </c>
      <c r="X104" s="40">
        <f>SUMIFS(W62:W120,B62:B120,B104-in_dpd_lag)*d_cured</f>
        <v/>
      </c>
      <c r="Y104" s="40">
        <f>SUMIFS(W62:W120,B62:B120,B104-in_rec_lag)*d_recd</f>
        <v/>
      </c>
      <c r="Z104" s="40">
        <f>IF(AND(B104&gt;=in_marketplace_from,B104&lt;in_marketplace_from+in_card_months),in_card_share/in_card_months*F104*I104,IF(AND(B104&gt;=in_marketplace_from+in_card_months,B104&lt;in_marketplace_from+2*in_card_months),in_card_share*d_card_rem/in_card_months*F104*MIN(in_takeup_cap,(1+in_takeup_growth)^(D104-1))*MIN(in_takeup_cap,(1+in_approval_growth)^(D104-1)),0))</f>
        <v/>
      </c>
      <c r="AA104" s="14">
        <f>V104*in_fee*(1-in_taken_back)</f>
        <v/>
      </c>
      <c r="AB104" s="14">
        <f>SUMIFS(W62:W120,B62:B120,B104-in_dpd_lag)*d_dpd</f>
        <v/>
      </c>
      <c r="AC104" s="14">
        <f>SUMIFS(W62:W120,B62:B120,B104-in_rec_lag)*d_rec</f>
        <v/>
      </c>
      <c r="AD104" s="14">
        <f>Z104*in_card_fee</f>
        <v/>
      </c>
      <c r="AE104" s="40">
        <f>AE103*(1-IF(B103&gt;=in_marketplace_from,d_hz_hlth_small*G103,0))</f>
        <v/>
      </c>
      <c r="AF104" s="46">
        <f>AE104*IF(B104&gt;=in_marketplace_from,d_hz_hlth_small*G104,0)</f>
        <v/>
      </c>
      <c r="AG104" s="14">
        <f>F104*AF104*in_hlth_small_ticket*in_hlth_small_comm*in_ins_partner_share+F104*in_hlth_small_ticket*in_hlth_small_renew_comm*in_ins_partner_share*(in_hlth_small_renew^1*SUMIFS(AF62:AF120,B62:B120,B104-12)+in_hlth_small_renew^2*SUMIFS(AF62:AF120,B62:B120,B104-24)+in_hlth_small_renew^3*SUMIFS(AF62:AF120,B62:B120,B104-36)+in_hlth_small_renew^4*SUMIFS(AF62:AF120,B62:B120,B104-48))</f>
        <v/>
      </c>
      <c r="AH104" s="40">
        <f>AH103*(1-IF(B103&gt;=in_marketplace_from,d_hz_hlth_family*G103,0))</f>
        <v/>
      </c>
      <c r="AI104" s="46">
        <f>AH104*IF(B104&gt;=in_marketplace_from,d_hz_hlth_family*G104,0)</f>
        <v/>
      </c>
      <c r="AJ104" s="14">
        <f>F104*AI104*in_hlth_family_ticket*in_hlth_family_comm*in_ins_partner_share+F104*in_hlth_family_ticket*in_hlth_family_renew_comm*in_ins_partner_share*(in_hlth_family_renew^1*SUMIFS(AI62:AI120,B62:B120,B104-12)+in_hlth_family_renew^2*SUMIFS(AI62:AI120,B62:B120,B104-24)+in_hlth_family_renew^3*SUMIFS(AI62:AI120,B62:B120,B104-36)+in_hlth_family_renew^4*SUMIFS(AI62:AI120,B62:B120,B104-48))</f>
        <v/>
      </c>
      <c r="AK104" s="40">
        <f>AK103*(1-IF(B103&gt;=in_marketplace_from,d_hz_life_term*G103,0))</f>
        <v/>
      </c>
      <c r="AL104" s="46">
        <f>AK104*IF(B104&gt;=in_marketplace_from,d_hz_life_term*G104,0)</f>
        <v/>
      </c>
      <c r="AM104" s="14">
        <f>F104*AL104*in_life_term_ticket*in_life_term_comm*in_ins_partner_share+F104*in_life_term_ticket*in_life_term_renew_comm*in_ins_partner_share*(in_life_term_renew^1*SUMIFS(AL62:AL120,B62:B120,B104-12)+in_life_term_renew^2*SUMIFS(AL62:AL120,B62:B120,B104-24)+in_life_term_renew^3*SUMIFS(AL62:AL120,B62:B120,B104-36)+in_life_term_renew^4*SUMIFS(AL62:AL120,B62:B120,B104-48))</f>
        <v/>
      </c>
      <c r="AN104" s="40">
        <f>AN103*(1-IF(B103&gt;=in_marketplace_from,d_hz_accident*G103,0))</f>
        <v/>
      </c>
      <c r="AO104" s="46">
        <f>AN104*IF(B104&gt;=in_marketplace_from,d_hz_accident*G104,0)</f>
        <v/>
      </c>
      <c r="AP104" s="14">
        <f>F104*AO104*in_accident_ticket*in_accident_comm*in_ins_partner_share+F104*in_accident_ticket*in_accident_renew_comm*in_ins_partner_share*(in_accident_renew^1*SUMIFS(AO62:AO120,B62:B120,B104-12)+in_accident_renew^2*SUMIFS(AO62:AO120,B62:B120,B104-24)+in_accident_renew^3*SUMIFS(AO62:AO120,B62:B120,B104-36)+in_accident_renew^4*SUMIFS(AO62:AO120,B62:B120,B104-48))</f>
        <v/>
      </c>
      <c r="AQ104" s="40">
        <f>AQ103*(1-IF(B103&gt;=in_marketplace_from,d_hz_two_wheeler*G103,0))</f>
        <v/>
      </c>
      <c r="AR104" s="46">
        <f>AQ104*IF(B104&gt;=in_marketplace_from,d_hz_two_wheeler*G104,0)</f>
        <v/>
      </c>
      <c r="AS104" s="14">
        <f>F104*AR104*in_two_wheeler_ticket*in_two_wheeler_comm*in_ins_partner_share+F104*in_two_wheeler_ticket*in_two_wheeler_comm*in_ins_partner_share*(in_two_wheeler_renew^1*SUMIFS(AR62:AR120,B62:B120,B104-12)+in_two_wheeler_renew^2*SUMIFS(AR62:AR120,B62:B120,B104-24)+in_two_wheeler_renew^3*SUMIFS(AR62:AR120,B62:B120,B104-36)+in_two_wheeler_renew^4*SUMIFS(AR62:AR120,B62:B120,B104-48))</f>
        <v/>
      </c>
      <c r="AT104" s="40">
        <f>AT103*(1-IF(B103&gt;=in_marketplace_from,d_hz_device*G103,0))</f>
        <v/>
      </c>
      <c r="AU104" s="14">
        <f>F104*AT104*IF(B104&gt;=in_marketplace_from,d_hz_device*G104,0)*in_device_ticket*in_device_comm*in_ins_partner_share</f>
        <v/>
      </c>
      <c r="AV104" s="40">
        <f>AV103*(1-IF(B103&gt;=in_marketplace_from,d_hz_shop*G103,0))</f>
        <v/>
      </c>
      <c r="AW104" s="46">
        <f>AV104*IF(B104&gt;=in_marketplace_from,d_hz_shop*G104,0)</f>
        <v/>
      </c>
      <c r="AX104" s="14">
        <f>F104*AW104*in_shop_ticket*in_shop_comm*in_ins_partner_share+F104*in_shop_ticket*in_shop_renew_comm*in_ins_partner_share*(in_shop_renew^1*SUMIFS(AW62:AW120,B62:B120,B104-12)+in_shop_renew^2*SUMIFS(AW62:AW120,B62:B120,B104-24)+in_shop_renew^3*SUMIFS(AW62:AW120,B62:B120,B104-36)+in_shop_renew^4*SUMIFS(AW62:AW120,B62:B120,B104-48))</f>
        <v/>
      </c>
      <c r="AY104" s="40">
        <f>AY103*(1-IF(B103&gt;=in_marketplace_from,d_hz_sip*G103,0))</f>
        <v/>
      </c>
      <c r="AZ104" s="40">
        <f>AZ103*d_rho_sip+AY104*IF(B104&gt;=in_marketplace_from,d_hz_sip*G104,0)</f>
        <v/>
      </c>
      <c r="BA104" s="40">
        <f>d_rho_sip*(BA103+AZ103)</f>
        <v/>
      </c>
      <c r="BB104" s="14">
        <f>F104*in_sip_ticket*(BA104+0.5*AZ104)*in_sip_comm/12</f>
        <v/>
      </c>
      <c r="BC104" s="40">
        <f>BC103*(1-IF(B103&gt;=in_marketplace_from,d_hz_choti*G103,0))</f>
        <v/>
      </c>
      <c r="BD104" s="46">
        <f>BC104*IF(B104&gt;=in_marketplace_from,d_hz_choti*G104,0)</f>
        <v/>
      </c>
      <c r="BE104" s="14">
        <f>F104*SUMIFS(BD62:BD120,B62:B120,B104-in_choti_months)*in_choti_renew*in_choti_ticket</f>
        <v/>
      </c>
      <c r="BF104" s="40">
        <f>BF103*(1-IF(B103&gt;=in_marketplace_from,d_hz_nps*G103,0))</f>
        <v/>
      </c>
      <c r="BG104" s="14">
        <f>F104*BF104*IF(B104&gt;=in_marketplace_from,d_hz_nps*G104,0)*in_nps_ticket*in_nps_comm</f>
        <v/>
      </c>
      <c r="BH104" s="40">
        <f>BH103*(1-IF(B103&gt;=in_marketplace_from,d_hz_gold*G103,0))</f>
        <v/>
      </c>
      <c r="BI104" s="40">
        <f>BI103*d_rho_gold+BH104*IF(B104&gt;=in_marketplace_from,d_hz_gold*G104,0)</f>
        <v/>
      </c>
      <c r="BJ104" s="14">
        <f>F104*BI104*in_gold_ticket*in_gold_comm</f>
        <v/>
      </c>
      <c r="BK104" s="40">
        <f>BK103*(1-IF(B103&gt;=in_marketplace_from,d_hz_fd*G103,0))</f>
        <v/>
      </c>
      <c r="BL104" s="14">
        <f>F104*BK104*IF(B104&gt;=in_marketplace_from,d_hz_fd*G104,0)*in_fd_ticket*in_fd_comm</f>
        <v/>
      </c>
      <c r="BM104" s="40">
        <f>BM103*(1-IF(B103&gt;=in_marketplace_from,d_hz_recharge*G103,0))</f>
        <v/>
      </c>
      <c r="BN104" s="40">
        <f>BN103*d_rho_recharge+BM104*IF(B104&gt;=in_marketplace_from,d_hz_recharge*G104,0)</f>
        <v/>
      </c>
      <c r="BO104" s="14">
        <f>F104*BN104*in_recharge_ticket*in_recharge_comm/12</f>
        <v/>
      </c>
      <c r="BP104" s="40">
        <f>BP103*(1-IF(B103&gt;=in_marketplace_from,d_hz_bills*G103,0))</f>
        <v/>
      </c>
      <c r="BQ104" s="40">
        <f>BQ103*d_rho_bills+BP104*IF(B104&gt;=in_marketplace_from,d_hz_bills*G104,0)</f>
        <v/>
      </c>
      <c r="BR104" s="14">
        <f>F104*BQ104*in_bills_ticket*in_bills_comm/12</f>
        <v/>
      </c>
      <c r="BS104" s="40">
        <f>BS103*(1-IF(B103&gt;=in_marketplace_from,d_hz_loan_gold*G103,0))</f>
        <v/>
      </c>
      <c r="BT104" s="14">
        <f>F104*BS104*IF(B104&gt;=in_marketplace_from,d_hz_loan_gold*G104,0)*in_loan_gold_ticket*in_loan_gold_comm</f>
        <v/>
      </c>
      <c r="BU104" s="40">
        <f>BU103*(1-IF(B103&gt;=in_marketplace_from,d_hz_loan_cd*G103,0))</f>
        <v/>
      </c>
      <c r="BV104" s="14">
        <f>F104*BU104*IF(B104&gt;=in_marketplace_from,d_hz_loan_cd*G104,0)*in_loan_cd_ticket*in_loan_cd_comm</f>
        <v/>
      </c>
      <c r="BW104" s="40">
        <f>BW103*(1-IF(B103&gt;=in_marketplace_from,d_hz_loan_vehicle*G103,0))</f>
        <v/>
      </c>
      <c r="BX104" s="14">
        <f>F104*BW104*IF(B104&gt;=in_marketplace_from,d_hz_loan_vehicle*G104,0)*in_loan_vehicle_ticket*in_loan_vehicle_comm</f>
        <v/>
      </c>
      <c r="BY104" s="40">
        <f>BY103*(1-IF(B103&gt;=in_marketplace_from,d_hz_loan_home*G103,0)*BZ103)</f>
        <v/>
      </c>
      <c r="BZ104" s="11">
        <f>MIN(in_approval_cap,in_loan_home_approval*INDEX('Age profile'!$O$2:$O$61,B104)*(1+in_approval_growth)^(D104-1))</f>
        <v/>
      </c>
      <c r="CA104" s="14">
        <f>F104*BY104*IF(B104&gt;=in_marketplace_from,d_hz_loan_home*G104,0)*BZ104*in_loan_home_ticket*in_loan_home_comm</f>
        <v/>
      </c>
      <c r="CB104" s="40">
        <f>CB103*(1-IF(B103&gt;=in_marketplace_from,d_hz_loan_lap*G103,0)*CC103)</f>
        <v/>
      </c>
      <c r="CC104" s="11">
        <f>MIN(in_approval_cap,in_loan_lap_approval*INDEX('Age profile'!$O$2:$O$61,B104)*(1+in_approval_growth)^(D104-1))</f>
        <v/>
      </c>
      <c r="CD104" s="14">
        <f>F104*CB104*IF(B104&gt;=in_marketplace_from,d_hz_loan_lap*G104,0)*CC104*in_loan_lap_ticket*in_loan_lap_comm</f>
        <v/>
      </c>
      <c r="CE104" s="14">
        <f>AA104+AB104+AC104+AD104+AG104+AJ104+AM104+AP104+AS104+AU104+AX104+BB104+BE104+BG104+BJ104+BL104+BO104+BR104+BT104+BV104+BX104+CA104+CD104</f>
        <v/>
      </c>
    </row>
    <row r="105">
      <c r="A105" s="39" t="n">
        <v>2</v>
      </c>
      <c r="B105" s="39" t="n">
        <v>44</v>
      </c>
      <c r="C105" s="39">
        <f>A105+B105-1</f>
        <v/>
      </c>
      <c r="D105" s="39">
        <f>INT((C105-1)/12)+1</f>
        <v/>
      </c>
      <c r="E105" s="44">
        <f>INDEX(Monthly!$B$2:$B$61,A105)</f>
        <v/>
      </c>
      <c r="F105" s="44">
        <f>E105*INDEX('Age profile'!$B$2:$B$61,B105)</f>
        <v/>
      </c>
      <c r="G105" s="45">
        <f>MIN(in_takeup_cap,INDEX('Age profile'!$N$2:$N$61,B105)*(1+in_takeup_growth)^(D105-1))</f>
        <v/>
      </c>
      <c r="H105" s="11">
        <f>MIN(in_approval_cap,in_approved_first*INDEX('Age profile'!$O$2:$O$61,B105)*(1+in_approval_growth)^(D105-1))</f>
        <v/>
      </c>
      <c r="I105" s="45">
        <f>G105*MIN(in_takeup_cap,INDEX('Age profile'!$O$2:$O$61,B105)*(1+in_approval_growth)^(D105-1))</f>
        <v/>
      </c>
      <c r="J105" s="40">
        <f>(J104-L104)*F105/F104</f>
        <v/>
      </c>
      <c r="K105" s="40">
        <f>(K104-M104)*F105/F104+SUMIFS(O62:O104,B62:B104,B105-1-d_T)*F105</f>
        <v/>
      </c>
      <c r="L105" s="40">
        <f>IF(B105&gt;=in_marketplace_from,J105*d_hz*G105*in_eligible*H105,0)</f>
        <v/>
      </c>
      <c r="M105" s="40">
        <f>IF(B105&gt;=in_marketplace_from,K105*d_hz*G105*in_eligible*in_approved_repeat,0)</f>
        <v/>
      </c>
      <c r="N105" s="40">
        <f>L105+M105</f>
        <v/>
      </c>
      <c r="O105" s="46">
        <f>N105/F105</f>
        <v/>
      </c>
      <c r="P105" s="40">
        <f>F105-J105-K105</f>
        <v/>
      </c>
      <c r="Q105" s="40">
        <f>IF(B105&gt;=in_marketplace_from,(J105+K105)*d_hz*G105,0)</f>
        <v/>
      </c>
      <c r="R105" s="40">
        <f>SUMIFS(N62:N120,B62:B120,"&gt;="&amp;(B105-d_T),B62:B120,"&lt;="&amp;(B105-1))</f>
        <v/>
      </c>
      <c r="S105" s="46">
        <f>(1-d_u)*S104+IF(d_T&gt;in_topup_lag,SUMIFS(O62:O120,B62:B120,B105-in_topup_lag)-d_udrop*SUMIFS(O62:O120,B62:B120,B105-d_T),0)</f>
        <v/>
      </c>
      <c r="T105" s="40">
        <f>F105*d_u*S105</f>
        <v/>
      </c>
      <c r="U105" s="9">
        <f>L105*in_ticket+M105*d_rep_ticket</f>
        <v/>
      </c>
      <c r="V105" s="9">
        <f>U105+T105*d_topup_amt</f>
        <v/>
      </c>
      <c r="W105" s="40">
        <f>N105+T105*d_topup_ratio</f>
        <v/>
      </c>
      <c r="X105" s="40">
        <f>SUMIFS(W62:W120,B62:B120,B105-in_dpd_lag)*d_cured</f>
        <v/>
      </c>
      <c r="Y105" s="40">
        <f>SUMIFS(W62:W120,B62:B120,B105-in_rec_lag)*d_recd</f>
        <v/>
      </c>
      <c r="Z105" s="40">
        <f>IF(AND(B105&gt;=in_marketplace_from,B105&lt;in_marketplace_from+in_card_months),in_card_share/in_card_months*F105*I105,IF(AND(B105&gt;=in_marketplace_from+in_card_months,B105&lt;in_marketplace_from+2*in_card_months),in_card_share*d_card_rem/in_card_months*F105*MIN(in_takeup_cap,(1+in_takeup_growth)^(D105-1))*MIN(in_takeup_cap,(1+in_approval_growth)^(D105-1)),0))</f>
        <v/>
      </c>
      <c r="AA105" s="14">
        <f>V105*in_fee*(1-in_taken_back)</f>
        <v/>
      </c>
      <c r="AB105" s="14">
        <f>SUMIFS(W62:W120,B62:B120,B105-in_dpd_lag)*d_dpd</f>
        <v/>
      </c>
      <c r="AC105" s="14">
        <f>SUMIFS(W62:W120,B62:B120,B105-in_rec_lag)*d_rec</f>
        <v/>
      </c>
      <c r="AD105" s="14">
        <f>Z105*in_card_fee</f>
        <v/>
      </c>
      <c r="AE105" s="40">
        <f>AE104*(1-IF(B104&gt;=in_marketplace_from,d_hz_hlth_small*G104,0))</f>
        <v/>
      </c>
      <c r="AF105" s="46">
        <f>AE105*IF(B105&gt;=in_marketplace_from,d_hz_hlth_small*G105,0)</f>
        <v/>
      </c>
      <c r="AG105" s="14">
        <f>F105*AF105*in_hlth_small_ticket*in_hlth_small_comm*in_ins_partner_share+F105*in_hlth_small_ticket*in_hlth_small_renew_comm*in_ins_partner_share*(in_hlth_small_renew^1*SUMIFS(AF62:AF120,B62:B120,B105-12)+in_hlth_small_renew^2*SUMIFS(AF62:AF120,B62:B120,B105-24)+in_hlth_small_renew^3*SUMIFS(AF62:AF120,B62:B120,B105-36)+in_hlth_small_renew^4*SUMIFS(AF62:AF120,B62:B120,B105-48))</f>
        <v/>
      </c>
      <c r="AH105" s="40">
        <f>AH104*(1-IF(B104&gt;=in_marketplace_from,d_hz_hlth_family*G104,0))</f>
        <v/>
      </c>
      <c r="AI105" s="46">
        <f>AH105*IF(B105&gt;=in_marketplace_from,d_hz_hlth_family*G105,0)</f>
        <v/>
      </c>
      <c r="AJ105" s="14">
        <f>F105*AI105*in_hlth_family_ticket*in_hlth_family_comm*in_ins_partner_share+F105*in_hlth_family_ticket*in_hlth_family_renew_comm*in_ins_partner_share*(in_hlth_family_renew^1*SUMIFS(AI62:AI120,B62:B120,B105-12)+in_hlth_family_renew^2*SUMIFS(AI62:AI120,B62:B120,B105-24)+in_hlth_family_renew^3*SUMIFS(AI62:AI120,B62:B120,B105-36)+in_hlth_family_renew^4*SUMIFS(AI62:AI120,B62:B120,B105-48))</f>
        <v/>
      </c>
      <c r="AK105" s="40">
        <f>AK104*(1-IF(B104&gt;=in_marketplace_from,d_hz_life_term*G104,0))</f>
        <v/>
      </c>
      <c r="AL105" s="46">
        <f>AK105*IF(B105&gt;=in_marketplace_from,d_hz_life_term*G105,0)</f>
        <v/>
      </c>
      <c r="AM105" s="14">
        <f>F105*AL105*in_life_term_ticket*in_life_term_comm*in_ins_partner_share+F105*in_life_term_ticket*in_life_term_renew_comm*in_ins_partner_share*(in_life_term_renew^1*SUMIFS(AL62:AL120,B62:B120,B105-12)+in_life_term_renew^2*SUMIFS(AL62:AL120,B62:B120,B105-24)+in_life_term_renew^3*SUMIFS(AL62:AL120,B62:B120,B105-36)+in_life_term_renew^4*SUMIFS(AL62:AL120,B62:B120,B105-48))</f>
        <v/>
      </c>
      <c r="AN105" s="40">
        <f>AN104*(1-IF(B104&gt;=in_marketplace_from,d_hz_accident*G104,0))</f>
        <v/>
      </c>
      <c r="AO105" s="46">
        <f>AN105*IF(B105&gt;=in_marketplace_from,d_hz_accident*G105,0)</f>
        <v/>
      </c>
      <c r="AP105" s="14">
        <f>F105*AO105*in_accident_ticket*in_accident_comm*in_ins_partner_share+F105*in_accident_ticket*in_accident_renew_comm*in_ins_partner_share*(in_accident_renew^1*SUMIFS(AO62:AO120,B62:B120,B105-12)+in_accident_renew^2*SUMIFS(AO62:AO120,B62:B120,B105-24)+in_accident_renew^3*SUMIFS(AO62:AO120,B62:B120,B105-36)+in_accident_renew^4*SUMIFS(AO62:AO120,B62:B120,B105-48))</f>
        <v/>
      </c>
      <c r="AQ105" s="40">
        <f>AQ104*(1-IF(B104&gt;=in_marketplace_from,d_hz_two_wheeler*G104,0))</f>
        <v/>
      </c>
      <c r="AR105" s="46">
        <f>AQ105*IF(B105&gt;=in_marketplace_from,d_hz_two_wheeler*G105,0)</f>
        <v/>
      </c>
      <c r="AS105" s="14">
        <f>F105*AR105*in_two_wheeler_ticket*in_two_wheeler_comm*in_ins_partner_share+F105*in_two_wheeler_ticket*in_two_wheeler_comm*in_ins_partner_share*(in_two_wheeler_renew^1*SUMIFS(AR62:AR120,B62:B120,B105-12)+in_two_wheeler_renew^2*SUMIFS(AR62:AR120,B62:B120,B105-24)+in_two_wheeler_renew^3*SUMIFS(AR62:AR120,B62:B120,B105-36)+in_two_wheeler_renew^4*SUMIFS(AR62:AR120,B62:B120,B105-48))</f>
        <v/>
      </c>
      <c r="AT105" s="40">
        <f>AT104*(1-IF(B104&gt;=in_marketplace_from,d_hz_device*G104,0))</f>
        <v/>
      </c>
      <c r="AU105" s="14">
        <f>F105*AT105*IF(B105&gt;=in_marketplace_from,d_hz_device*G105,0)*in_device_ticket*in_device_comm*in_ins_partner_share</f>
        <v/>
      </c>
      <c r="AV105" s="40">
        <f>AV104*(1-IF(B104&gt;=in_marketplace_from,d_hz_shop*G104,0))</f>
        <v/>
      </c>
      <c r="AW105" s="46">
        <f>AV105*IF(B105&gt;=in_marketplace_from,d_hz_shop*G105,0)</f>
        <v/>
      </c>
      <c r="AX105" s="14">
        <f>F105*AW105*in_shop_ticket*in_shop_comm*in_ins_partner_share+F105*in_shop_ticket*in_shop_renew_comm*in_ins_partner_share*(in_shop_renew^1*SUMIFS(AW62:AW120,B62:B120,B105-12)+in_shop_renew^2*SUMIFS(AW62:AW120,B62:B120,B105-24)+in_shop_renew^3*SUMIFS(AW62:AW120,B62:B120,B105-36)+in_shop_renew^4*SUMIFS(AW62:AW120,B62:B120,B105-48))</f>
        <v/>
      </c>
      <c r="AY105" s="40">
        <f>AY104*(1-IF(B104&gt;=in_marketplace_from,d_hz_sip*G104,0))</f>
        <v/>
      </c>
      <c r="AZ105" s="40">
        <f>AZ104*d_rho_sip+AY105*IF(B105&gt;=in_marketplace_from,d_hz_sip*G105,0)</f>
        <v/>
      </c>
      <c r="BA105" s="40">
        <f>d_rho_sip*(BA104+AZ104)</f>
        <v/>
      </c>
      <c r="BB105" s="14">
        <f>F105*in_sip_ticket*(BA105+0.5*AZ105)*in_sip_comm/12</f>
        <v/>
      </c>
      <c r="BC105" s="40">
        <f>BC104*(1-IF(B104&gt;=in_marketplace_from,d_hz_choti*G104,0))</f>
        <v/>
      </c>
      <c r="BD105" s="46">
        <f>BC105*IF(B105&gt;=in_marketplace_from,d_hz_choti*G105,0)</f>
        <v/>
      </c>
      <c r="BE105" s="14">
        <f>F105*SUMIFS(BD62:BD120,B62:B120,B105-in_choti_months)*in_choti_renew*in_choti_ticket</f>
        <v/>
      </c>
      <c r="BF105" s="40">
        <f>BF104*(1-IF(B104&gt;=in_marketplace_from,d_hz_nps*G104,0))</f>
        <v/>
      </c>
      <c r="BG105" s="14">
        <f>F105*BF105*IF(B105&gt;=in_marketplace_from,d_hz_nps*G105,0)*in_nps_ticket*in_nps_comm</f>
        <v/>
      </c>
      <c r="BH105" s="40">
        <f>BH104*(1-IF(B104&gt;=in_marketplace_from,d_hz_gold*G104,0))</f>
        <v/>
      </c>
      <c r="BI105" s="40">
        <f>BI104*d_rho_gold+BH105*IF(B105&gt;=in_marketplace_from,d_hz_gold*G105,0)</f>
        <v/>
      </c>
      <c r="BJ105" s="14">
        <f>F105*BI105*in_gold_ticket*in_gold_comm</f>
        <v/>
      </c>
      <c r="BK105" s="40">
        <f>BK104*(1-IF(B104&gt;=in_marketplace_from,d_hz_fd*G104,0))</f>
        <v/>
      </c>
      <c r="BL105" s="14">
        <f>F105*BK105*IF(B105&gt;=in_marketplace_from,d_hz_fd*G105,0)*in_fd_ticket*in_fd_comm</f>
        <v/>
      </c>
      <c r="BM105" s="40">
        <f>BM104*(1-IF(B104&gt;=in_marketplace_from,d_hz_recharge*G104,0))</f>
        <v/>
      </c>
      <c r="BN105" s="40">
        <f>BN104*d_rho_recharge+BM105*IF(B105&gt;=in_marketplace_from,d_hz_recharge*G105,0)</f>
        <v/>
      </c>
      <c r="BO105" s="14">
        <f>F105*BN105*in_recharge_ticket*in_recharge_comm/12</f>
        <v/>
      </c>
      <c r="BP105" s="40">
        <f>BP104*(1-IF(B104&gt;=in_marketplace_from,d_hz_bills*G104,0))</f>
        <v/>
      </c>
      <c r="BQ105" s="40">
        <f>BQ104*d_rho_bills+BP105*IF(B105&gt;=in_marketplace_from,d_hz_bills*G105,0)</f>
        <v/>
      </c>
      <c r="BR105" s="14">
        <f>F105*BQ105*in_bills_ticket*in_bills_comm/12</f>
        <v/>
      </c>
      <c r="BS105" s="40">
        <f>BS104*(1-IF(B104&gt;=in_marketplace_from,d_hz_loan_gold*G104,0))</f>
        <v/>
      </c>
      <c r="BT105" s="14">
        <f>F105*BS105*IF(B105&gt;=in_marketplace_from,d_hz_loan_gold*G105,0)*in_loan_gold_ticket*in_loan_gold_comm</f>
        <v/>
      </c>
      <c r="BU105" s="40">
        <f>BU104*(1-IF(B104&gt;=in_marketplace_from,d_hz_loan_cd*G104,0))</f>
        <v/>
      </c>
      <c r="BV105" s="14">
        <f>F105*BU105*IF(B105&gt;=in_marketplace_from,d_hz_loan_cd*G105,0)*in_loan_cd_ticket*in_loan_cd_comm</f>
        <v/>
      </c>
      <c r="BW105" s="40">
        <f>BW104*(1-IF(B104&gt;=in_marketplace_from,d_hz_loan_vehicle*G104,0))</f>
        <v/>
      </c>
      <c r="BX105" s="14">
        <f>F105*BW105*IF(B105&gt;=in_marketplace_from,d_hz_loan_vehicle*G105,0)*in_loan_vehicle_ticket*in_loan_vehicle_comm</f>
        <v/>
      </c>
      <c r="BY105" s="40">
        <f>BY104*(1-IF(B104&gt;=in_marketplace_from,d_hz_loan_home*G104,0)*BZ104)</f>
        <v/>
      </c>
      <c r="BZ105" s="11">
        <f>MIN(in_approval_cap,in_loan_home_approval*INDEX('Age profile'!$O$2:$O$61,B105)*(1+in_approval_growth)^(D105-1))</f>
        <v/>
      </c>
      <c r="CA105" s="14">
        <f>F105*BY105*IF(B105&gt;=in_marketplace_from,d_hz_loan_home*G105,0)*BZ105*in_loan_home_ticket*in_loan_home_comm</f>
        <v/>
      </c>
      <c r="CB105" s="40">
        <f>CB104*(1-IF(B104&gt;=in_marketplace_from,d_hz_loan_lap*G104,0)*CC104)</f>
        <v/>
      </c>
      <c r="CC105" s="11">
        <f>MIN(in_approval_cap,in_loan_lap_approval*INDEX('Age profile'!$O$2:$O$61,B105)*(1+in_approval_growth)^(D105-1))</f>
        <v/>
      </c>
      <c r="CD105" s="14">
        <f>F105*CB105*IF(B105&gt;=in_marketplace_from,d_hz_loan_lap*G105,0)*CC105*in_loan_lap_ticket*in_loan_lap_comm</f>
        <v/>
      </c>
      <c r="CE105" s="14">
        <f>AA105+AB105+AC105+AD105+AG105+AJ105+AM105+AP105+AS105+AU105+AX105+BB105+BE105+BG105+BJ105+BL105+BO105+BR105+BT105+BV105+BX105+CA105+CD105</f>
        <v/>
      </c>
    </row>
    <row r="106">
      <c r="A106" s="39" t="n">
        <v>2</v>
      </c>
      <c r="B106" s="39" t="n">
        <v>45</v>
      </c>
      <c r="C106" s="39">
        <f>A106+B106-1</f>
        <v/>
      </c>
      <c r="D106" s="39">
        <f>INT((C106-1)/12)+1</f>
        <v/>
      </c>
      <c r="E106" s="44">
        <f>INDEX(Monthly!$B$2:$B$61,A106)</f>
        <v/>
      </c>
      <c r="F106" s="44">
        <f>E106*INDEX('Age profile'!$B$2:$B$61,B106)</f>
        <v/>
      </c>
      <c r="G106" s="45">
        <f>MIN(in_takeup_cap,INDEX('Age profile'!$N$2:$N$61,B106)*(1+in_takeup_growth)^(D106-1))</f>
        <v/>
      </c>
      <c r="H106" s="11">
        <f>MIN(in_approval_cap,in_approved_first*INDEX('Age profile'!$O$2:$O$61,B106)*(1+in_approval_growth)^(D106-1))</f>
        <v/>
      </c>
      <c r="I106" s="45">
        <f>G106*MIN(in_takeup_cap,INDEX('Age profile'!$O$2:$O$61,B106)*(1+in_approval_growth)^(D106-1))</f>
        <v/>
      </c>
      <c r="J106" s="40">
        <f>(J105-L105)*F106/F105</f>
        <v/>
      </c>
      <c r="K106" s="40">
        <f>(K105-M105)*F106/F105+SUMIFS(O62:O105,B62:B105,B106-1-d_T)*F106</f>
        <v/>
      </c>
      <c r="L106" s="40">
        <f>IF(B106&gt;=in_marketplace_from,J106*d_hz*G106*in_eligible*H106,0)</f>
        <v/>
      </c>
      <c r="M106" s="40">
        <f>IF(B106&gt;=in_marketplace_from,K106*d_hz*G106*in_eligible*in_approved_repeat,0)</f>
        <v/>
      </c>
      <c r="N106" s="40">
        <f>L106+M106</f>
        <v/>
      </c>
      <c r="O106" s="46">
        <f>N106/F106</f>
        <v/>
      </c>
      <c r="P106" s="40">
        <f>F106-J106-K106</f>
        <v/>
      </c>
      <c r="Q106" s="40">
        <f>IF(B106&gt;=in_marketplace_from,(J106+K106)*d_hz*G106,0)</f>
        <v/>
      </c>
      <c r="R106" s="40">
        <f>SUMIFS(N62:N120,B62:B120,"&gt;="&amp;(B106-d_T),B62:B120,"&lt;="&amp;(B106-1))</f>
        <v/>
      </c>
      <c r="S106" s="46">
        <f>(1-d_u)*S105+IF(d_T&gt;in_topup_lag,SUMIFS(O62:O120,B62:B120,B106-in_topup_lag)-d_udrop*SUMIFS(O62:O120,B62:B120,B106-d_T),0)</f>
        <v/>
      </c>
      <c r="T106" s="40">
        <f>F106*d_u*S106</f>
        <v/>
      </c>
      <c r="U106" s="9">
        <f>L106*in_ticket+M106*d_rep_ticket</f>
        <v/>
      </c>
      <c r="V106" s="9">
        <f>U106+T106*d_topup_amt</f>
        <v/>
      </c>
      <c r="W106" s="40">
        <f>N106+T106*d_topup_ratio</f>
        <v/>
      </c>
      <c r="X106" s="40">
        <f>SUMIFS(W62:W120,B62:B120,B106-in_dpd_lag)*d_cured</f>
        <v/>
      </c>
      <c r="Y106" s="40">
        <f>SUMIFS(W62:W120,B62:B120,B106-in_rec_lag)*d_recd</f>
        <v/>
      </c>
      <c r="Z106" s="40">
        <f>IF(AND(B106&gt;=in_marketplace_from,B106&lt;in_marketplace_from+in_card_months),in_card_share/in_card_months*F106*I106,IF(AND(B106&gt;=in_marketplace_from+in_card_months,B106&lt;in_marketplace_from+2*in_card_months),in_card_share*d_card_rem/in_card_months*F106*MIN(in_takeup_cap,(1+in_takeup_growth)^(D106-1))*MIN(in_takeup_cap,(1+in_approval_growth)^(D106-1)),0))</f>
        <v/>
      </c>
      <c r="AA106" s="14">
        <f>V106*in_fee*(1-in_taken_back)</f>
        <v/>
      </c>
      <c r="AB106" s="14">
        <f>SUMIFS(W62:W120,B62:B120,B106-in_dpd_lag)*d_dpd</f>
        <v/>
      </c>
      <c r="AC106" s="14">
        <f>SUMIFS(W62:W120,B62:B120,B106-in_rec_lag)*d_rec</f>
        <v/>
      </c>
      <c r="AD106" s="14">
        <f>Z106*in_card_fee</f>
        <v/>
      </c>
      <c r="AE106" s="40">
        <f>AE105*(1-IF(B105&gt;=in_marketplace_from,d_hz_hlth_small*G105,0))</f>
        <v/>
      </c>
      <c r="AF106" s="46">
        <f>AE106*IF(B106&gt;=in_marketplace_from,d_hz_hlth_small*G106,0)</f>
        <v/>
      </c>
      <c r="AG106" s="14">
        <f>F106*AF106*in_hlth_small_ticket*in_hlth_small_comm*in_ins_partner_share+F106*in_hlth_small_ticket*in_hlth_small_renew_comm*in_ins_partner_share*(in_hlth_small_renew^1*SUMIFS(AF62:AF120,B62:B120,B106-12)+in_hlth_small_renew^2*SUMIFS(AF62:AF120,B62:B120,B106-24)+in_hlth_small_renew^3*SUMIFS(AF62:AF120,B62:B120,B106-36)+in_hlth_small_renew^4*SUMIFS(AF62:AF120,B62:B120,B106-48))</f>
        <v/>
      </c>
      <c r="AH106" s="40">
        <f>AH105*(1-IF(B105&gt;=in_marketplace_from,d_hz_hlth_family*G105,0))</f>
        <v/>
      </c>
      <c r="AI106" s="46">
        <f>AH106*IF(B106&gt;=in_marketplace_from,d_hz_hlth_family*G106,0)</f>
        <v/>
      </c>
      <c r="AJ106" s="14">
        <f>F106*AI106*in_hlth_family_ticket*in_hlth_family_comm*in_ins_partner_share+F106*in_hlth_family_ticket*in_hlth_family_renew_comm*in_ins_partner_share*(in_hlth_family_renew^1*SUMIFS(AI62:AI120,B62:B120,B106-12)+in_hlth_family_renew^2*SUMIFS(AI62:AI120,B62:B120,B106-24)+in_hlth_family_renew^3*SUMIFS(AI62:AI120,B62:B120,B106-36)+in_hlth_family_renew^4*SUMIFS(AI62:AI120,B62:B120,B106-48))</f>
        <v/>
      </c>
      <c r="AK106" s="40">
        <f>AK105*(1-IF(B105&gt;=in_marketplace_from,d_hz_life_term*G105,0))</f>
        <v/>
      </c>
      <c r="AL106" s="46">
        <f>AK106*IF(B106&gt;=in_marketplace_from,d_hz_life_term*G106,0)</f>
        <v/>
      </c>
      <c r="AM106" s="14">
        <f>F106*AL106*in_life_term_ticket*in_life_term_comm*in_ins_partner_share+F106*in_life_term_ticket*in_life_term_renew_comm*in_ins_partner_share*(in_life_term_renew^1*SUMIFS(AL62:AL120,B62:B120,B106-12)+in_life_term_renew^2*SUMIFS(AL62:AL120,B62:B120,B106-24)+in_life_term_renew^3*SUMIFS(AL62:AL120,B62:B120,B106-36)+in_life_term_renew^4*SUMIFS(AL62:AL120,B62:B120,B106-48))</f>
        <v/>
      </c>
      <c r="AN106" s="40">
        <f>AN105*(1-IF(B105&gt;=in_marketplace_from,d_hz_accident*G105,0))</f>
        <v/>
      </c>
      <c r="AO106" s="46">
        <f>AN106*IF(B106&gt;=in_marketplace_from,d_hz_accident*G106,0)</f>
        <v/>
      </c>
      <c r="AP106" s="14">
        <f>F106*AO106*in_accident_ticket*in_accident_comm*in_ins_partner_share+F106*in_accident_ticket*in_accident_renew_comm*in_ins_partner_share*(in_accident_renew^1*SUMIFS(AO62:AO120,B62:B120,B106-12)+in_accident_renew^2*SUMIFS(AO62:AO120,B62:B120,B106-24)+in_accident_renew^3*SUMIFS(AO62:AO120,B62:B120,B106-36)+in_accident_renew^4*SUMIFS(AO62:AO120,B62:B120,B106-48))</f>
        <v/>
      </c>
      <c r="AQ106" s="40">
        <f>AQ105*(1-IF(B105&gt;=in_marketplace_from,d_hz_two_wheeler*G105,0))</f>
        <v/>
      </c>
      <c r="AR106" s="46">
        <f>AQ106*IF(B106&gt;=in_marketplace_from,d_hz_two_wheeler*G106,0)</f>
        <v/>
      </c>
      <c r="AS106" s="14">
        <f>F106*AR106*in_two_wheeler_ticket*in_two_wheeler_comm*in_ins_partner_share+F106*in_two_wheeler_ticket*in_two_wheeler_comm*in_ins_partner_share*(in_two_wheeler_renew^1*SUMIFS(AR62:AR120,B62:B120,B106-12)+in_two_wheeler_renew^2*SUMIFS(AR62:AR120,B62:B120,B106-24)+in_two_wheeler_renew^3*SUMIFS(AR62:AR120,B62:B120,B106-36)+in_two_wheeler_renew^4*SUMIFS(AR62:AR120,B62:B120,B106-48))</f>
        <v/>
      </c>
      <c r="AT106" s="40">
        <f>AT105*(1-IF(B105&gt;=in_marketplace_from,d_hz_device*G105,0))</f>
        <v/>
      </c>
      <c r="AU106" s="14">
        <f>F106*AT106*IF(B106&gt;=in_marketplace_from,d_hz_device*G106,0)*in_device_ticket*in_device_comm*in_ins_partner_share</f>
        <v/>
      </c>
      <c r="AV106" s="40">
        <f>AV105*(1-IF(B105&gt;=in_marketplace_from,d_hz_shop*G105,0))</f>
        <v/>
      </c>
      <c r="AW106" s="46">
        <f>AV106*IF(B106&gt;=in_marketplace_from,d_hz_shop*G106,0)</f>
        <v/>
      </c>
      <c r="AX106" s="14">
        <f>F106*AW106*in_shop_ticket*in_shop_comm*in_ins_partner_share+F106*in_shop_ticket*in_shop_renew_comm*in_ins_partner_share*(in_shop_renew^1*SUMIFS(AW62:AW120,B62:B120,B106-12)+in_shop_renew^2*SUMIFS(AW62:AW120,B62:B120,B106-24)+in_shop_renew^3*SUMIFS(AW62:AW120,B62:B120,B106-36)+in_shop_renew^4*SUMIFS(AW62:AW120,B62:B120,B106-48))</f>
        <v/>
      </c>
      <c r="AY106" s="40">
        <f>AY105*(1-IF(B105&gt;=in_marketplace_from,d_hz_sip*G105,0))</f>
        <v/>
      </c>
      <c r="AZ106" s="40">
        <f>AZ105*d_rho_sip+AY106*IF(B106&gt;=in_marketplace_from,d_hz_sip*G106,0)</f>
        <v/>
      </c>
      <c r="BA106" s="40">
        <f>d_rho_sip*(BA105+AZ105)</f>
        <v/>
      </c>
      <c r="BB106" s="14">
        <f>F106*in_sip_ticket*(BA106+0.5*AZ106)*in_sip_comm/12</f>
        <v/>
      </c>
      <c r="BC106" s="40">
        <f>BC105*(1-IF(B105&gt;=in_marketplace_from,d_hz_choti*G105,0))</f>
        <v/>
      </c>
      <c r="BD106" s="46">
        <f>BC106*IF(B106&gt;=in_marketplace_from,d_hz_choti*G106,0)</f>
        <v/>
      </c>
      <c r="BE106" s="14">
        <f>F106*SUMIFS(BD62:BD120,B62:B120,B106-in_choti_months)*in_choti_renew*in_choti_ticket</f>
        <v/>
      </c>
      <c r="BF106" s="40">
        <f>BF105*(1-IF(B105&gt;=in_marketplace_from,d_hz_nps*G105,0))</f>
        <v/>
      </c>
      <c r="BG106" s="14">
        <f>F106*BF106*IF(B106&gt;=in_marketplace_from,d_hz_nps*G106,0)*in_nps_ticket*in_nps_comm</f>
        <v/>
      </c>
      <c r="BH106" s="40">
        <f>BH105*(1-IF(B105&gt;=in_marketplace_from,d_hz_gold*G105,0))</f>
        <v/>
      </c>
      <c r="BI106" s="40">
        <f>BI105*d_rho_gold+BH106*IF(B106&gt;=in_marketplace_from,d_hz_gold*G106,0)</f>
        <v/>
      </c>
      <c r="BJ106" s="14">
        <f>F106*BI106*in_gold_ticket*in_gold_comm</f>
        <v/>
      </c>
      <c r="BK106" s="40">
        <f>BK105*(1-IF(B105&gt;=in_marketplace_from,d_hz_fd*G105,0))</f>
        <v/>
      </c>
      <c r="BL106" s="14">
        <f>F106*BK106*IF(B106&gt;=in_marketplace_from,d_hz_fd*G106,0)*in_fd_ticket*in_fd_comm</f>
        <v/>
      </c>
      <c r="BM106" s="40">
        <f>BM105*(1-IF(B105&gt;=in_marketplace_from,d_hz_recharge*G105,0))</f>
        <v/>
      </c>
      <c r="BN106" s="40">
        <f>BN105*d_rho_recharge+BM106*IF(B106&gt;=in_marketplace_from,d_hz_recharge*G106,0)</f>
        <v/>
      </c>
      <c r="BO106" s="14">
        <f>F106*BN106*in_recharge_ticket*in_recharge_comm/12</f>
        <v/>
      </c>
      <c r="BP106" s="40">
        <f>BP105*(1-IF(B105&gt;=in_marketplace_from,d_hz_bills*G105,0))</f>
        <v/>
      </c>
      <c r="BQ106" s="40">
        <f>BQ105*d_rho_bills+BP106*IF(B106&gt;=in_marketplace_from,d_hz_bills*G106,0)</f>
        <v/>
      </c>
      <c r="BR106" s="14">
        <f>F106*BQ106*in_bills_ticket*in_bills_comm/12</f>
        <v/>
      </c>
      <c r="BS106" s="40">
        <f>BS105*(1-IF(B105&gt;=in_marketplace_from,d_hz_loan_gold*G105,0))</f>
        <v/>
      </c>
      <c r="BT106" s="14">
        <f>F106*BS106*IF(B106&gt;=in_marketplace_from,d_hz_loan_gold*G106,0)*in_loan_gold_ticket*in_loan_gold_comm</f>
        <v/>
      </c>
      <c r="BU106" s="40">
        <f>BU105*(1-IF(B105&gt;=in_marketplace_from,d_hz_loan_cd*G105,0))</f>
        <v/>
      </c>
      <c r="BV106" s="14">
        <f>F106*BU106*IF(B106&gt;=in_marketplace_from,d_hz_loan_cd*G106,0)*in_loan_cd_ticket*in_loan_cd_comm</f>
        <v/>
      </c>
      <c r="BW106" s="40">
        <f>BW105*(1-IF(B105&gt;=in_marketplace_from,d_hz_loan_vehicle*G105,0))</f>
        <v/>
      </c>
      <c r="BX106" s="14">
        <f>F106*BW106*IF(B106&gt;=in_marketplace_from,d_hz_loan_vehicle*G106,0)*in_loan_vehicle_ticket*in_loan_vehicle_comm</f>
        <v/>
      </c>
      <c r="BY106" s="40">
        <f>BY105*(1-IF(B105&gt;=in_marketplace_from,d_hz_loan_home*G105,0)*BZ105)</f>
        <v/>
      </c>
      <c r="BZ106" s="11">
        <f>MIN(in_approval_cap,in_loan_home_approval*INDEX('Age profile'!$O$2:$O$61,B106)*(1+in_approval_growth)^(D106-1))</f>
        <v/>
      </c>
      <c r="CA106" s="14">
        <f>F106*BY106*IF(B106&gt;=in_marketplace_from,d_hz_loan_home*G106,0)*BZ106*in_loan_home_ticket*in_loan_home_comm</f>
        <v/>
      </c>
      <c r="CB106" s="40">
        <f>CB105*(1-IF(B105&gt;=in_marketplace_from,d_hz_loan_lap*G105,0)*CC105)</f>
        <v/>
      </c>
      <c r="CC106" s="11">
        <f>MIN(in_approval_cap,in_loan_lap_approval*INDEX('Age profile'!$O$2:$O$61,B106)*(1+in_approval_growth)^(D106-1))</f>
        <v/>
      </c>
      <c r="CD106" s="14">
        <f>F106*CB106*IF(B106&gt;=in_marketplace_from,d_hz_loan_lap*G106,0)*CC106*in_loan_lap_ticket*in_loan_lap_comm</f>
        <v/>
      </c>
      <c r="CE106" s="14">
        <f>AA106+AB106+AC106+AD106+AG106+AJ106+AM106+AP106+AS106+AU106+AX106+BB106+BE106+BG106+BJ106+BL106+BO106+BR106+BT106+BV106+BX106+CA106+CD106</f>
        <v/>
      </c>
    </row>
    <row r="107">
      <c r="A107" s="39" t="n">
        <v>2</v>
      </c>
      <c r="B107" s="39" t="n">
        <v>46</v>
      </c>
      <c r="C107" s="39">
        <f>A107+B107-1</f>
        <v/>
      </c>
      <c r="D107" s="39">
        <f>INT((C107-1)/12)+1</f>
        <v/>
      </c>
      <c r="E107" s="44">
        <f>INDEX(Monthly!$B$2:$B$61,A107)</f>
        <v/>
      </c>
      <c r="F107" s="44">
        <f>E107*INDEX('Age profile'!$B$2:$B$61,B107)</f>
        <v/>
      </c>
      <c r="G107" s="45">
        <f>MIN(in_takeup_cap,INDEX('Age profile'!$N$2:$N$61,B107)*(1+in_takeup_growth)^(D107-1))</f>
        <v/>
      </c>
      <c r="H107" s="11">
        <f>MIN(in_approval_cap,in_approved_first*INDEX('Age profile'!$O$2:$O$61,B107)*(1+in_approval_growth)^(D107-1))</f>
        <v/>
      </c>
      <c r="I107" s="45">
        <f>G107*MIN(in_takeup_cap,INDEX('Age profile'!$O$2:$O$61,B107)*(1+in_approval_growth)^(D107-1))</f>
        <v/>
      </c>
      <c r="J107" s="40">
        <f>(J106-L106)*F107/F106</f>
        <v/>
      </c>
      <c r="K107" s="40">
        <f>(K106-M106)*F107/F106+SUMIFS(O62:O106,B62:B106,B107-1-d_T)*F107</f>
        <v/>
      </c>
      <c r="L107" s="40">
        <f>IF(B107&gt;=in_marketplace_from,J107*d_hz*G107*in_eligible*H107,0)</f>
        <v/>
      </c>
      <c r="M107" s="40">
        <f>IF(B107&gt;=in_marketplace_from,K107*d_hz*G107*in_eligible*in_approved_repeat,0)</f>
        <v/>
      </c>
      <c r="N107" s="40">
        <f>L107+M107</f>
        <v/>
      </c>
      <c r="O107" s="46">
        <f>N107/F107</f>
        <v/>
      </c>
      <c r="P107" s="40">
        <f>F107-J107-K107</f>
        <v/>
      </c>
      <c r="Q107" s="40">
        <f>IF(B107&gt;=in_marketplace_from,(J107+K107)*d_hz*G107,0)</f>
        <v/>
      </c>
      <c r="R107" s="40">
        <f>SUMIFS(N62:N120,B62:B120,"&gt;="&amp;(B107-d_T),B62:B120,"&lt;="&amp;(B107-1))</f>
        <v/>
      </c>
      <c r="S107" s="46">
        <f>(1-d_u)*S106+IF(d_T&gt;in_topup_lag,SUMIFS(O62:O120,B62:B120,B107-in_topup_lag)-d_udrop*SUMIFS(O62:O120,B62:B120,B107-d_T),0)</f>
        <v/>
      </c>
      <c r="T107" s="40">
        <f>F107*d_u*S107</f>
        <v/>
      </c>
      <c r="U107" s="9">
        <f>L107*in_ticket+M107*d_rep_ticket</f>
        <v/>
      </c>
      <c r="V107" s="9">
        <f>U107+T107*d_topup_amt</f>
        <v/>
      </c>
      <c r="W107" s="40">
        <f>N107+T107*d_topup_ratio</f>
        <v/>
      </c>
      <c r="X107" s="40">
        <f>SUMIFS(W62:W120,B62:B120,B107-in_dpd_lag)*d_cured</f>
        <v/>
      </c>
      <c r="Y107" s="40">
        <f>SUMIFS(W62:W120,B62:B120,B107-in_rec_lag)*d_recd</f>
        <v/>
      </c>
      <c r="Z107" s="40">
        <f>IF(AND(B107&gt;=in_marketplace_from,B107&lt;in_marketplace_from+in_card_months),in_card_share/in_card_months*F107*I107,IF(AND(B107&gt;=in_marketplace_from+in_card_months,B107&lt;in_marketplace_from+2*in_card_months),in_card_share*d_card_rem/in_card_months*F107*MIN(in_takeup_cap,(1+in_takeup_growth)^(D107-1))*MIN(in_takeup_cap,(1+in_approval_growth)^(D107-1)),0))</f>
        <v/>
      </c>
      <c r="AA107" s="14">
        <f>V107*in_fee*(1-in_taken_back)</f>
        <v/>
      </c>
      <c r="AB107" s="14">
        <f>SUMIFS(W62:W120,B62:B120,B107-in_dpd_lag)*d_dpd</f>
        <v/>
      </c>
      <c r="AC107" s="14">
        <f>SUMIFS(W62:W120,B62:B120,B107-in_rec_lag)*d_rec</f>
        <v/>
      </c>
      <c r="AD107" s="14">
        <f>Z107*in_card_fee</f>
        <v/>
      </c>
      <c r="AE107" s="40">
        <f>AE106*(1-IF(B106&gt;=in_marketplace_from,d_hz_hlth_small*G106,0))</f>
        <v/>
      </c>
      <c r="AF107" s="46">
        <f>AE107*IF(B107&gt;=in_marketplace_from,d_hz_hlth_small*G107,0)</f>
        <v/>
      </c>
      <c r="AG107" s="14">
        <f>F107*AF107*in_hlth_small_ticket*in_hlth_small_comm*in_ins_partner_share+F107*in_hlth_small_ticket*in_hlth_small_renew_comm*in_ins_partner_share*(in_hlth_small_renew^1*SUMIFS(AF62:AF120,B62:B120,B107-12)+in_hlth_small_renew^2*SUMIFS(AF62:AF120,B62:B120,B107-24)+in_hlth_small_renew^3*SUMIFS(AF62:AF120,B62:B120,B107-36)+in_hlth_small_renew^4*SUMIFS(AF62:AF120,B62:B120,B107-48))</f>
        <v/>
      </c>
      <c r="AH107" s="40">
        <f>AH106*(1-IF(B106&gt;=in_marketplace_from,d_hz_hlth_family*G106,0))</f>
        <v/>
      </c>
      <c r="AI107" s="46">
        <f>AH107*IF(B107&gt;=in_marketplace_from,d_hz_hlth_family*G107,0)</f>
        <v/>
      </c>
      <c r="AJ107" s="14">
        <f>F107*AI107*in_hlth_family_ticket*in_hlth_family_comm*in_ins_partner_share+F107*in_hlth_family_ticket*in_hlth_family_renew_comm*in_ins_partner_share*(in_hlth_family_renew^1*SUMIFS(AI62:AI120,B62:B120,B107-12)+in_hlth_family_renew^2*SUMIFS(AI62:AI120,B62:B120,B107-24)+in_hlth_family_renew^3*SUMIFS(AI62:AI120,B62:B120,B107-36)+in_hlth_family_renew^4*SUMIFS(AI62:AI120,B62:B120,B107-48))</f>
        <v/>
      </c>
      <c r="AK107" s="40">
        <f>AK106*(1-IF(B106&gt;=in_marketplace_from,d_hz_life_term*G106,0))</f>
        <v/>
      </c>
      <c r="AL107" s="46">
        <f>AK107*IF(B107&gt;=in_marketplace_from,d_hz_life_term*G107,0)</f>
        <v/>
      </c>
      <c r="AM107" s="14">
        <f>F107*AL107*in_life_term_ticket*in_life_term_comm*in_ins_partner_share+F107*in_life_term_ticket*in_life_term_renew_comm*in_ins_partner_share*(in_life_term_renew^1*SUMIFS(AL62:AL120,B62:B120,B107-12)+in_life_term_renew^2*SUMIFS(AL62:AL120,B62:B120,B107-24)+in_life_term_renew^3*SUMIFS(AL62:AL120,B62:B120,B107-36)+in_life_term_renew^4*SUMIFS(AL62:AL120,B62:B120,B107-48))</f>
        <v/>
      </c>
      <c r="AN107" s="40">
        <f>AN106*(1-IF(B106&gt;=in_marketplace_from,d_hz_accident*G106,0))</f>
        <v/>
      </c>
      <c r="AO107" s="46">
        <f>AN107*IF(B107&gt;=in_marketplace_from,d_hz_accident*G107,0)</f>
        <v/>
      </c>
      <c r="AP107" s="14">
        <f>F107*AO107*in_accident_ticket*in_accident_comm*in_ins_partner_share+F107*in_accident_ticket*in_accident_renew_comm*in_ins_partner_share*(in_accident_renew^1*SUMIFS(AO62:AO120,B62:B120,B107-12)+in_accident_renew^2*SUMIFS(AO62:AO120,B62:B120,B107-24)+in_accident_renew^3*SUMIFS(AO62:AO120,B62:B120,B107-36)+in_accident_renew^4*SUMIFS(AO62:AO120,B62:B120,B107-48))</f>
        <v/>
      </c>
      <c r="AQ107" s="40">
        <f>AQ106*(1-IF(B106&gt;=in_marketplace_from,d_hz_two_wheeler*G106,0))</f>
        <v/>
      </c>
      <c r="AR107" s="46">
        <f>AQ107*IF(B107&gt;=in_marketplace_from,d_hz_two_wheeler*G107,0)</f>
        <v/>
      </c>
      <c r="AS107" s="14">
        <f>F107*AR107*in_two_wheeler_ticket*in_two_wheeler_comm*in_ins_partner_share+F107*in_two_wheeler_ticket*in_two_wheeler_comm*in_ins_partner_share*(in_two_wheeler_renew^1*SUMIFS(AR62:AR120,B62:B120,B107-12)+in_two_wheeler_renew^2*SUMIFS(AR62:AR120,B62:B120,B107-24)+in_two_wheeler_renew^3*SUMIFS(AR62:AR120,B62:B120,B107-36)+in_two_wheeler_renew^4*SUMIFS(AR62:AR120,B62:B120,B107-48))</f>
        <v/>
      </c>
      <c r="AT107" s="40">
        <f>AT106*(1-IF(B106&gt;=in_marketplace_from,d_hz_device*G106,0))</f>
        <v/>
      </c>
      <c r="AU107" s="14">
        <f>F107*AT107*IF(B107&gt;=in_marketplace_from,d_hz_device*G107,0)*in_device_ticket*in_device_comm*in_ins_partner_share</f>
        <v/>
      </c>
      <c r="AV107" s="40">
        <f>AV106*(1-IF(B106&gt;=in_marketplace_from,d_hz_shop*G106,0))</f>
        <v/>
      </c>
      <c r="AW107" s="46">
        <f>AV107*IF(B107&gt;=in_marketplace_from,d_hz_shop*G107,0)</f>
        <v/>
      </c>
      <c r="AX107" s="14">
        <f>F107*AW107*in_shop_ticket*in_shop_comm*in_ins_partner_share+F107*in_shop_ticket*in_shop_renew_comm*in_ins_partner_share*(in_shop_renew^1*SUMIFS(AW62:AW120,B62:B120,B107-12)+in_shop_renew^2*SUMIFS(AW62:AW120,B62:B120,B107-24)+in_shop_renew^3*SUMIFS(AW62:AW120,B62:B120,B107-36)+in_shop_renew^4*SUMIFS(AW62:AW120,B62:B120,B107-48))</f>
        <v/>
      </c>
      <c r="AY107" s="40">
        <f>AY106*(1-IF(B106&gt;=in_marketplace_from,d_hz_sip*G106,0))</f>
        <v/>
      </c>
      <c r="AZ107" s="40">
        <f>AZ106*d_rho_sip+AY107*IF(B107&gt;=in_marketplace_from,d_hz_sip*G107,0)</f>
        <v/>
      </c>
      <c r="BA107" s="40">
        <f>d_rho_sip*(BA106+AZ106)</f>
        <v/>
      </c>
      <c r="BB107" s="14">
        <f>F107*in_sip_ticket*(BA107+0.5*AZ107)*in_sip_comm/12</f>
        <v/>
      </c>
      <c r="BC107" s="40">
        <f>BC106*(1-IF(B106&gt;=in_marketplace_from,d_hz_choti*G106,0))</f>
        <v/>
      </c>
      <c r="BD107" s="46">
        <f>BC107*IF(B107&gt;=in_marketplace_from,d_hz_choti*G107,0)</f>
        <v/>
      </c>
      <c r="BE107" s="14">
        <f>F107*SUMIFS(BD62:BD120,B62:B120,B107-in_choti_months)*in_choti_renew*in_choti_ticket</f>
        <v/>
      </c>
      <c r="BF107" s="40">
        <f>BF106*(1-IF(B106&gt;=in_marketplace_from,d_hz_nps*G106,0))</f>
        <v/>
      </c>
      <c r="BG107" s="14">
        <f>F107*BF107*IF(B107&gt;=in_marketplace_from,d_hz_nps*G107,0)*in_nps_ticket*in_nps_comm</f>
        <v/>
      </c>
      <c r="BH107" s="40">
        <f>BH106*(1-IF(B106&gt;=in_marketplace_from,d_hz_gold*G106,0))</f>
        <v/>
      </c>
      <c r="BI107" s="40">
        <f>BI106*d_rho_gold+BH107*IF(B107&gt;=in_marketplace_from,d_hz_gold*G107,0)</f>
        <v/>
      </c>
      <c r="BJ107" s="14">
        <f>F107*BI107*in_gold_ticket*in_gold_comm</f>
        <v/>
      </c>
      <c r="BK107" s="40">
        <f>BK106*(1-IF(B106&gt;=in_marketplace_from,d_hz_fd*G106,0))</f>
        <v/>
      </c>
      <c r="BL107" s="14">
        <f>F107*BK107*IF(B107&gt;=in_marketplace_from,d_hz_fd*G107,0)*in_fd_ticket*in_fd_comm</f>
        <v/>
      </c>
      <c r="BM107" s="40">
        <f>BM106*(1-IF(B106&gt;=in_marketplace_from,d_hz_recharge*G106,0))</f>
        <v/>
      </c>
      <c r="BN107" s="40">
        <f>BN106*d_rho_recharge+BM107*IF(B107&gt;=in_marketplace_from,d_hz_recharge*G107,0)</f>
        <v/>
      </c>
      <c r="BO107" s="14">
        <f>F107*BN107*in_recharge_ticket*in_recharge_comm/12</f>
        <v/>
      </c>
      <c r="BP107" s="40">
        <f>BP106*(1-IF(B106&gt;=in_marketplace_from,d_hz_bills*G106,0))</f>
        <v/>
      </c>
      <c r="BQ107" s="40">
        <f>BQ106*d_rho_bills+BP107*IF(B107&gt;=in_marketplace_from,d_hz_bills*G107,0)</f>
        <v/>
      </c>
      <c r="BR107" s="14">
        <f>F107*BQ107*in_bills_ticket*in_bills_comm/12</f>
        <v/>
      </c>
      <c r="BS107" s="40">
        <f>BS106*(1-IF(B106&gt;=in_marketplace_from,d_hz_loan_gold*G106,0))</f>
        <v/>
      </c>
      <c r="BT107" s="14">
        <f>F107*BS107*IF(B107&gt;=in_marketplace_from,d_hz_loan_gold*G107,0)*in_loan_gold_ticket*in_loan_gold_comm</f>
        <v/>
      </c>
      <c r="BU107" s="40">
        <f>BU106*(1-IF(B106&gt;=in_marketplace_from,d_hz_loan_cd*G106,0))</f>
        <v/>
      </c>
      <c r="BV107" s="14">
        <f>F107*BU107*IF(B107&gt;=in_marketplace_from,d_hz_loan_cd*G107,0)*in_loan_cd_ticket*in_loan_cd_comm</f>
        <v/>
      </c>
      <c r="BW107" s="40">
        <f>BW106*(1-IF(B106&gt;=in_marketplace_from,d_hz_loan_vehicle*G106,0))</f>
        <v/>
      </c>
      <c r="BX107" s="14">
        <f>F107*BW107*IF(B107&gt;=in_marketplace_from,d_hz_loan_vehicle*G107,0)*in_loan_vehicle_ticket*in_loan_vehicle_comm</f>
        <v/>
      </c>
      <c r="BY107" s="40">
        <f>BY106*(1-IF(B106&gt;=in_marketplace_from,d_hz_loan_home*G106,0)*BZ106)</f>
        <v/>
      </c>
      <c r="BZ107" s="11">
        <f>MIN(in_approval_cap,in_loan_home_approval*INDEX('Age profile'!$O$2:$O$61,B107)*(1+in_approval_growth)^(D107-1))</f>
        <v/>
      </c>
      <c r="CA107" s="14">
        <f>F107*BY107*IF(B107&gt;=in_marketplace_from,d_hz_loan_home*G107,0)*BZ107*in_loan_home_ticket*in_loan_home_comm</f>
        <v/>
      </c>
      <c r="CB107" s="40">
        <f>CB106*(1-IF(B106&gt;=in_marketplace_from,d_hz_loan_lap*G106,0)*CC106)</f>
        <v/>
      </c>
      <c r="CC107" s="11">
        <f>MIN(in_approval_cap,in_loan_lap_approval*INDEX('Age profile'!$O$2:$O$61,B107)*(1+in_approval_growth)^(D107-1))</f>
        <v/>
      </c>
      <c r="CD107" s="14">
        <f>F107*CB107*IF(B107&gt;=in_marketplace_from,d_hz_loan_lap*G107,0)*CC107*in_loan_lap_ticket*in_loan_lap_comm</f>
        <v/>
      </c>
      <c r="CE107" s="14">
        <f>AA107+AB107+AC107+AD107+AG107+AJ107+AM107+AP107+AS107+AU107+AX107+BB107+BE107+BG107+BJ107+BL107+BO107+BR107+BT107+BV107+BX107+CA107+CD107</f>
        <v/>
      </c>
    </row>
    <row r="108">
      <c r="A108" s="39" t="n">
        <v>2</v>
      </c>
      <c r="B108" s="39" t="n">
        <v>47</v>
      </c>
      <c r="C108" s="39">
        <f>A108+B108-1</f>
        <v/>
      </c>
      <c r="D108" s="39">
        <f>INT((C108-1)/12)+1</f>
        <v/>
      </c>
      <c r="E108" s="44">
        <f>INDEX(Monthly!$B$2:$B$61,A108)</f>
        <v/>
      </c>
      <c r="F108" s="44">
        <f>E108*INDEX('Age profile'!$B$2:$B$61,B108)</f>
        <v/>
      </c>
      <c r="G108" s="45">
        <f>MIN(in_takeup_cap,INDEX('Age profile'!$N$2:$N$61,B108)*(1+in_takeup_growth)^(D108-1))</f>
        <v/>
      </c>
      <c r="H108" s="11">
        <f>MIN(in_approval_cap,in_approved_first*INDEX('Age profile'!$O$2:$O$61,B108)*(1+in_approval_growth)^(D108-1))</f>
        <v/>
      </c>
      <c r="I108" s="45">
        <f>G108*MIN(in_takeup_cap,INDEX('Age profile'!$O$2:$O$61,B108)*(1+in_approval_growth)^(D108-1))</f>
        <v/>
      </c>
      <c r="J108" s="40">
        <f>(J107-L107)*F108/F107</f>
        <v/>
      </c>
      <c r="K108" s="40">
        <f>(K107-M107)*F108/F107+SUMIFS(O62:O107,B62:B107,B108-1-d_T)*F108</f>
        <v/>
      </c>
      <c r="L108" s="40">
        <f>IF(B108&gt;=in_marketplace_from,J108*d_hz*G108*in_eligible*H108,0)</f>
        <v/>
      </c>
      <c r="M108" s="40">
        <f>IF(B108&gt;=in_marketplace_from,K108*d_hz*G108*in_eligible*in_approved_repeat,0)</f>
        <v/>
      </c>
      <c r="N108" s="40">
        <f>L108+M108</f>
        <v/>
      </c>
      <c r="O108" s="46">
        <f>N108/F108</f>
        <v/>
      </c>
      <c r="P108" s="40">
        <f>F108-J108-K108</f>
        <v/>
      </c>
      <c r="Q108" s="40">
        <f>IF(B108&gt;=in_marketplace_from,(J108+K108)*d_hz*G108,0)</f>
        <v/>
      </c>
      <c r="R108" s="40">
        <f>SUMIFS(N62:N120,B62:B120,"&gt;="&amp;(B108-d_T),B62:B120,"&lt;="&amp;(B108-1))</f>
        <v/>
      </c>
      <c r="S108" s="46">
        <f>(1-d_u)*S107+IF(d_T&gt;in_topup_lag,SUMIFS(O62:O120,B62:B120,B108-in_topup_lag)-d_udrop*SUMIFS(O62:O120,B62:B120,B108-d_T),0)</f>
        <v/>
      </c>
      <c r="T108" s="40">
        <f>F108*d_u*S108</f>
        <v/>
      </c>
      <c r="U108" s="9">
        <f>L108*in_ticket+M108*d_rep_ticket</f>
        <v/>
      </c>
      <c r="V108" s="9">
        <f>U108+T108*d_topup_amt</f>
        <v/>
      </c>
      <c r="W108" s="40">
        <f>N108+T108*d_topup_ratio</f>
        <v/>
      </c>
      <c r="X108" s="40">
        <f>SUMIFS(W62:W120,B62:B120,B108-in_dpd_lag)*d_cured</f>
        <v/>
      </c>
      <c r="Y108" s="40">
        <f>SUMIFS(W62:W120,B62:B120,B108-in_rec_lag)*d_recd</f>
        <v/>
      </c>
      <c r="Z108" s="40">
        <f>IF(AND(B108&gt;=in_marketplace_from,B108&lt;in_marketplace_from+in_card_months),in_card_share/in_card_months*F108*I108,IF(AND(B108&gt;=in_marketplace_from+in_card_months,B108&lt;in_marketplace_from+2*in_card_months),in_card_share*d_card_rem/in_card_months*F108*MIN(in_takeup_cap,(1+in_takeup_growth)^(D108-1))*MIN(in_takeup_cap,(1+in_approval_growth)^(D108-1)),0))</f>
        <v/>
      </c>
      <c r="AA108" s="14">
        <f>V108*in_fee*(1-in_taken_back)</f>
        <v/>
      </c>
      <c r="AB108" s="14">
        <f>SUMIFS(W62:W120,B62:B120,B108-in_dpd_lag)*d_dpd</f>
        <v/>
      </c>
      <c r="AC108" s="14">
        <f>SUMIFS(W62:W120,B62:B120,B108-in_rec_lag)*d_rec</f>
        <v/>
      </c>
      <c r="AD108" s="14">
        <f>Z108*in_card_fee</f>
        <v/>
      </c>
      <c r="AE108" s="40">
        <f>AE107*(1-IF(B107&gt;=in_marketplace_from,d_hz_hlth_small*G107,0))</f>
        <v/>
      </c>
      <c r="AF108" s="46">
        <f>AE108*IF(B108&gt;=in_marketplace_from,d_hz_hlth_small*G108,0)</f>
        <v/>
      </c>
      <c r="AG108" s="14">
        <f>F108*AF108*in_hlth_small_ticket*in_hlth_small_comm*in_ins_partner_share+F108*in_hlth_small_ticket*in_hlth_small_renew_comm*in_ins_partner_share*(in_hlth_small_renew^1*SUMIFS(AF62:AF120,B62:B120,B108-12)+in_hlth_small_renew^2*SUMIFS(AF62:AF120,B62:B120,B108-24)+in_hlth_small_renew^3*SUMIFS(AF62:AF120,B62:B120,B108-36)+in_hlth_small_renew^4*SUMIFS(AF62:AF120,B62:B120,B108-48))</f>
        <v/>
      </c>
      <c r="AH108" s="40">
        <f>AH107*(1-IF(B107&gt;=in_marketplace_from,d_hz_hlth_family*G107,0))</f>
        <v/>
      </c>
      <c r="AI108" s="46">
        <f>AH108*IF(B108&gt;=in_marketplace_from,d_hz_hlth_family*G108,0)</f>
        <v/>
      </c>
      <c r="AJ108" s="14">
        <f>F108*AI108*in_hlth_family_ticket*in_hlth_family_comm*in_ins_partner_share+F108*in_hlth_family_ticket*in_hlth_family_renew_comm*in_ins_partner_share*(in_hlth_family_renew^1*SUMIFS(AI62:AI120,B62:B120,B108-12)+in_hlth_family_renew^2*SUMIFS(AI62:AI120,B62:B120,B108-24)+in_hlth_family_renew^3*SUMIFS(AI62:AI120,B62:B120,B108-36)+in_hlth_family_renew^4*SUMIFS(AI62:AI120,B62:B120,B108-48))</f>
        <v/>
      </c>
      <c r="AK108" s="40">
        <f>AK107*(1-IF(B107&gt;=in_marketplace_from,d_hz_life_term*G107,0))</f>
        <v/>
      </c>
      <c r="AL108" s="46">
        <f>AK108*IF(B108&gt;=in_marketplace_from,d_hz_life_term*G108,0)</f>
        <v/>
      </c>
      <c r="AM108" s="14">
        <f>F108*AL108*in_life_term_ticket*in_life_term_comm*in_ins_partner_share+F108*in_life_term_ticket*in_life_term_renew_comm*in_ins_partner_share*(in_life_term_renew^1*SUMIFS(AL62:AL120,B62:B120,B108-12)+in_life_term_renew^2*SUMIFS(AL62:AL120,B62:B120,B108-24)+in_life_term_renew^3*SUMIFS(AL62:AL120,B62:B120,B108-36)+in_life_term_renew^4*SUMIFS(AL62:AL120,B62:B120,B108-48))</f>
        <v/>
      </c>
      <c r="AN108" s="40">
        <f>AN107*(1-IF(B107&gt;=in_marketplace_from,d_hz_accident*G107,0))</f>
        <v/>
      </c>
      <c r="AO108" s="46">
        <f>AN108*IF(B108&gt;=in_marketplace_from,d_hz_accident*G108,0)</f>
        <v/>
      </c>
      <c r="AP108" s="14">
        <f>F108*AO108*in_accident_ticket*in_accident_comm*in_ins_partner_share+F108*in_accident_ticket*in_accident_renew_comm*in_ins_partner_share*(in_accident_renew^1*SUMIFS(AO62:AO120,B62:B120,B108-12)+in_accident_renew^2*SUMIFS(AO62:AO120,B62:B120,B108-24)+in_accident_renew^3*SUMIFS(AO62:AO120,B62:B120,B108-36)+in_accident_renew^4*SUMIFS(AO62:AO120,B62:B120,B108-48))</f>
        <v/>
      </c>
      <c r="AQ108" s="40">
        <f>AQ107*(1-IF(B107&gt;=in_marketplace_from,d_hz_two_wheeler*G107,0))</f>
        <v/>
      </c>
      <c r="AR108" s="46">
        <f>AQ108*IF(B108&gt;=in_marketplace_from,d_hz_two_wheeler*G108,0)</f>
        <v/>
      </c>
      <c r="AS108" s="14">
        <f>F108*AR108*in_two_wheeler_ticket*in_two_wheeler_comm*in_ins_partner_share+F108*in_two_wheeler_ticket*in_two_wheeler_comm*in_ins_partner_share*(in_two_wheeler_renew^1*SUMIFS(AR62:AR120,B62:B120,B108-12)+in_two_wheeler_renew^2*SUMIFS(AR62:AR120,B62:B120,B108-24)+in_two_wheeler_renew^3*SUMIFS(AR62:AR120,B62:B120,B108-36)+in_two_wheeler_renew^4*SUMIFS(AR62:AR120,B62:B120,B108-48))</f>
        <v/>
      </c>
      <c r="AT108" s="40">
        <f>AT107*(1-IF(B107&gt;=in_marketplace_from,d_hz_device*G107,0))</f>
        <v/>
      </c>
      <c r="AU108" s="14">
        <f>F108*AT108*IF(B108&gt;=in_marketplace_from,d_hz_device*G108,0)*in_device_ticket*in_device_comm*in_ins_partner_share</f>
        <v/>
      </c>
      <c r="AV108" s="40">
        <f>AV107*(1-IF(B107&gt;=in_marketplace_from,d_hz_shop*G107,0))</f>
        <v/>
      </c>
      <c r="AW108" s="46">
        <f>AV108*IF(B108&gt;=in_marketplace_from,d_hz_shop*G108,0)</f>
        <v/>
      </c>
      <c r="AX108" s="14">
        <f>F108*AW108*in_shop_ticket*in_shop_comm*in_ins_partner_share+F108*in_shop_ticket*in_shop_renew_comm*in_ins_partner_share*(in_shop_renew^1*SUMIFS(AW62:AW120,B62:B120,B108-12)+in_shop_renew^2*SUMIFS(AW62:AW120,B62:B120,B108-24)+in_shop_renew^3*SUMIFS(AW62:AW120,B62:B120,B108-36)+in_shop_renew^4*SUMIFS(AW62:AW120,B62:B120,B108-48))</f>
        <v/>
      </c>
      <c r="AY108" s="40">
        <f>AY107*(1-IF(B107&gt;=in_marketplace_from,d_hz_sip*G107,0))</f>
        <v/>
      </c>
      <c r="AZ108" s="40">
        <f>AZ107*d_rho_sip+AY108*IF(B108&gt;=in_marketplace_from,d_hz_sip*G108,0)</f>
        <v/>
      </c>
      <c r="BA108" s="40">
        <f>d_rho_sip*(BA107+AZ107)</f>
        <v/>
      </c>
      <c r="BB108" s="14">
        <f>F108*in_sip_ticket*(BA108+0.5*AZ108)*in_sip_comm/12</f>
        <v/>
      </c>
      <c r="BC108" s="40">
        <f>BC107*(1-IF(B107&gt;=in_marketplace_from,d_hz_choti*G107,0))</f>
        <v/>
      </c>
      <c r="BD108" s="46">
        <f>BC108*IF(B108&gt;=in_marketplace_from,d_hz_choti*G108,0)</f>
        <v/>
      </c>
      <c r="BE108" s="14">
        <f>F108*SUMIFS(BD62:BD120,B62:B120,B108-in_choti_months)*in_choti_renew*in_choti_ticket</f>
        <v/>
      </c>
      <c r="BF108" s="40">
        <f>BF107*(1-IF(B107&gt;=in_marketplace_from,d_hz_nps*G107,0))</f>
        <v/>
      </c>
      <c r="BG108" s="14">
        <f>F108*BF108*IF(B108&gt;=in_marketplace_from,d_hz_nps*G108,0)*in_nps_ticket*in_nps_comm</f>
        <v/>
      </c>
      <c r="BH108" s="40">
        <f>BH107*(1-IF(B107&gt;=in_marketplace_from,d_hz_gold*G107,0))</f>
        <v/>
      </c>
      <c r="BI108" s="40">
        <f>BI107*d_rho_gold+BH108*IF(B108&gt;=in_marketplace_from,d_hz_gold*G108,0)</f>
        <v/>
      </c>
      <c r="BJ108" s="14">
        <f>F108*BI108*in_gold_ticket*in_gold_comm</f>
        <v/>
      </c>
      <c r="BK108" s="40">
        <f>BK107*(1-IF(B107&gt;=in_marketplace_from,d_hz_fd*G107,0))</f>
        <v/>
      </c>
      <c r="BL108" s="14">
        <f>F108*BK108*IF(B108&gt;=in_marketplace_from,d_hz_fd*G108,0)*in_fd_ticket*in_fd_comm</f>
        <v/>
      </c>
      <c r="BM108" s="40">
        <f>BM107*(1-IF(B107&gt;=in_marketplace_from,d_hz_recharge*G107,0))</f>
        <v/>
      </c>
      <c r="BN108" s="40">
        <f>BN107*d_rho_recharge+BM108*IF(B108&gt;=in_marketplace_from,d_hz_recharge*G108,0)</f>
        <v/>
      </c>
      <c r="BO108" s="14">
        <f>F108*BN108*in_recharge_ticket*in_recharge_comm/12</f>
        <v/>
      </c>
      <c r="BP108" s="40">
        <f>BP107*(1-IF(B107&gt;=in_marketplace_from,d_hz_bills*G107,0))</f>
        <v/>
      </c>
      <c r="BQ108" s="40">
        <f>BQ107*d_rho_bills+BP108*IF(B108&gt;=in_marketplace_from,d_hz_bills*G108,0)</f>
        <v/>
      </c>
      <c r="BR108" s="14">
        <f>F108*BQ108*in_bills_ticket*in_bills_comm/12</f>
        <v/>
      </c>
      <c r="BS108" s="40">
        <f>BS107*(1-IF(B107&gt;=in_marketplace_from,d_hz_loan_gold*G107,0))</f>
        <v/>
      </c>
      <c r="BT108" s="14">
        <f>F108*BS108*IF(B108&gt;=in_marketplace_from,d_hz_loan_gold*G108,0)*in_loan_gold_ticket*in_loan_gold_comm</f>
        <v/>
      </c>
      <c r="BU108" s="40">
        <f>BU107*(1-IF(B107&gt;=in_marketplace_from,d_hz_loan_cd*G107,0))</f>
        <v/>
      </c>
      <c r="BV108" s="14">
        <f>F108*BU108*IF(B108&gt;=in_marketplace_from,d_hz_loan_cd*G108,0)*in_loan_cd_ticket*in_loan_cd_comm</f>
        <v/>
      </c>
      <c r="BW108" s="40">
        <f>BW107*(1-IF(B107&gt;=in_marketplace_from,d_hz_loan_vehicle*G107,0))</f>
        <v/>
      </c>
      <c r="BX108" s="14">
        <f>F108*BW108*IF(B108&gt;=in_marketplace_from,d_hz_loan_vehicle*G108,0)*in_loan_vehicle_ticket*in_loan_vehicle_comm</f>
        <v/>
      </c>
      <c r="BY108" s="40">
        <f>BY107*(1-IF(B107&gt;=in_marketplace_from,d_hz_loan_home*G107,0)*BZ107)</f>
        <v/>
      </c>
      <c r="BZ108" s="11">
        <f>MIN(in_approval_cap,in_loan_home_approval*INDEX('Age profile'!$O$2:$O$61,B108)*(1+in_approval_growth)^(D108-1))</f>
        <v/>
      </c>
      <c r="CA108" s="14">
        <f>F108*BY108*IF(B108&gt;=in_marketplace_from,d_hz_loan_home*G108,0)*BZ108*in_loan_home_ticket*in_loan_home_comm</f>
        <v/>
      </c>
      <c r="CB108" s="40">
        <f>CB107*(1-IF(B107&gt;=in_marketplace_from,d_hz_loan_lap*G107,0)*CC107)</f>
        <v/>
      </c>
      <c r="CC108" s="11">
        <f>MIN(in_approval_cap,in_loan_lap_approval*INDEX('Age profile'!$O$2:$O$61,B108)*(1+in_approval_growth)^(D108-1))</f>
        <v/>
      </c>
      <c r="CD108" s="14">
        <f>F108*CB108*IF(B108&gt;=in_marketplace_from,d_hz_loan_lap*G108,0)*CC108*in_loan_lap_ticket*in_loan_lap_comm</f>
        <v/>
      </c>
      <c r="CE108" s="14">
        <f>AA108+AB108+AC108+AD108+AG108+AJ108+AM108+AP108+AS108+AU108+AX108+BB108+BE108+BG108+BJ108+BL108+BO108+BR108+BT108+BV108+BX108+CA108+CD108</f>
        <v/>
      </c>
    </row>
    <row r="109">
      <c r="A109" s="39" t="n">
        <v>2</v>
      </c>
      <c r="B109" s="39" t="n">
        <v>48</v>
      </c>
      <c r="C109" s="39">
        <f>A109+B109-1</f>
        <v/>
      </c>
      <c r="D109" s="39">
        <f>INT((C109-1)/12)+1</f>
        <v/>
      </c>
      <c r="E109" s="44">
        <f>INDEX(Monthly!$B$2:$B$61,A109)</f>
        <v/>
      </c>
      <c r="F109" s="44">
        <f>E109*INDEX('Age profile'!$B$2:$B$61,B109)</f>
        <v/>
      </c>
      <c r="G109" s="45">
        <f>MIN(in_takeup_cap,INDEX('Age profile'!$N$2:$N$61,B109)*(1+in_takeup_growth)^(D109-1))</f>
        <v/>
      </c>
      <c r="H109" s="11">
        <f>MIN(in_approval_cap,in_approved_first*INDEX('Age profile'!$O$2:$O$61,B109)*(1+in_approval_growth)^(D109-1))</f>
        <v/>
      </c>
      <c r="I109" s="45">
        <f>G109*MIN(in_takeup_cap,INDEX('Age profile'!$O$2:$O$61,B109)*(1+in_approval_growth)^(D109-1))</f>
        <v/>
      </c>
      <c r="J109" s="40">
        <f>(J108-L108)*F109/F108</f>
        <v/>
      </c>
      <c r="K109" s="40">
        <f>(K108-M108)*F109/F108+SUMIFS(O62:O108,B62:B108,B109-1-d_T)*F109</f>
        <v/>
      </c>
      <c r="L109" s="40">
        <f>IF(B109&gt;=in_marketplace_from,J109*d_hz*G109*in_eligible*H109,0)</f>
        <v/>
      </c>
      <c r="M109" s="40">
        <f>IF(B109&gt;=in_marketplace_from,K109*d_hz*G109*in_eligible*in_approved_repeat,0)</f>
        <v/>
      </c>
      <c r="N109" s="40">
        <f>L109+M109</f>
        <v/>
      </c>
      <c r="O109" s="46">
        <f>N109/F109</f>
        <v/>
      </c>
      <c r="P109" s="40">
        <f>F109-J109-K109</f>
        <v/>
      </c>
      <c r="Q109" s="40">
        <f>IF(B109&gt;=in_marketplace_from,(J109+K109)*d_hz*G109,0)</f>
        <v/>
      </c>
      <c r="R109" s="40">
        <f>SUMIFS(N62:N120,B62:B120,"&gt;="&amp;(B109-d_T),B62:B120,"&lt;="&amp;(B109-1))</f>
        <v/>
      </c>
      <c r="S109" s="46">
        <f>(1-d_u)*S108+IF(d_T&gt;in_topup_lag,SUMIFS(O62:O120,B62:B120,B109-in_topup_lag)-d_udrop*SUMIFS(O62:O120,B62:B120,B109-d_T),0)</f>
        <v/>
      </c>
      <c r="T109" s="40">
        <f>F109*d_u*S109</f>
        <v/>
      </c>
      <c r="U109" s="9">
        <f>L109*in_ticket+M109*d_rep_ticket</f>
        <v/>
      </c>
      <c r="V109" s="9">
        <f>U109+T109*d_topup_amt</f>
        <v/>
      </c>
      <c r="W109" s="40">
        <f>N109+T109*d_topup_ratio</f>
        <v/>
      </c>
      <c r="X109" s="40">
        <f>SUMIFS(W62:W120,B62:B120,B109-in_dpd_lag)*d_cured</f>
        <v/>
      </c>
      <c r="Y109" s="40">
        <f>SUMIFS(W62:W120,B62:B120,B109-in_rec_lag)*d_recd</f>
        <v/>
      </c>
      <c r="Z109" s="40">
        <f>IF(AND(B109&gt;=in_marketplace_from,B109&lt;in_marketplace_from+in_card_months),in_card_share/in_card_months*F109*I109,IF(AND(B109&gt;=in_marketplace_from+in_card_months,B109&lt;in_marketplace_from+2*in_card_months),in_card_share*d_card_rem/in_card_months*F109*MIN(in_takeup_cap,(1+in_takeup_growth)^(D109-1))*MIN(in_takeup_cap,(1+in_approval_growth)^(D109-1)),0))</f>
        <v/>
      </c>
      <c r="AA109" s="14">
        <f>V109*in_fee*(1-in_taken_back)</f>
        <v/>
      </c>
      <c r="AB109" s="14">
        <f>SUMIFS(W62:W120,B62:B120,B109-in_dpd_lag)*d_dpd</f>
        <v/>
      </c>
      <c r="AC109" s="14">
        <f>SUMIFS(W62:W120,B62:B120,B109-in_rec_lag)*d_rec</f>
        <v/>
      </c>
      <c r="AD109" s="14">
        <f>Z109*in_card_fee</f>
        <v/>
      </c>
      <c r="AE109" s="40">
        <f>AE108*(1-IF(B108&gt;=in_marketplace_from,d_hz_hlth_small*G108,0))</f>
        <v/>
      </c>
      <c r="AF109" s="46">
        <f>AE109*IF(B109&gt;=in_marketplace_from,d_hz_hlth_small*G109,0)</f>
        <v/>
      </c>
      <c r="AG109" s="14">
        <f>F109*AF109*in_hlth_small_ticket*in_hlth_small_comm*in_ins_partner_share+F109*in_hlth_small_ticket*in_hlth_small_renew_comm*in_ins_partner_share*(in_hlth_small_renew^1*SUMIFS(AF62:AF120,B62:B120,B109-12)+in_hlth_small_renew^2*SUMIFS(AF62:AF120,B62:B120,B109-24)+in_hlth_small_renew^3*SUMIFS(AF62:AF120,B62:B120,B109-36)+in_hlth_small_renew^4*SUMIFS(AF62:AF120,B62:B120,B109-48))</f>
        <v/>
      </c>
      <c r="AH109" s="40">
        <f>AH108*(1-IF(B108&gt;=in_marketplace_from,d_hz_hlth_family*G108,0))</f>
        <v/>
      </c>
      <c r="AI109" s="46">
        <f>AH109*IF(B109&gt;=in_marketplace_from,d_hz_hlth_family*G109,0)</f>
        <v/>
      </c>
      <c r="AJ109" s="14">
        <f>F109*AI109*in_hlth_family_ticket*in_hlth_family_comm*in_ins_partner_share+F109*in_hlth_family_ticket*in_hlth_family_renew_comm*in_ins_partner_share*(in_hlth_family_renew^1*SUMIFS(AI62:AI120,B62:B120,B109-12)+in_hlth_family_renew^2*SUMIFS(AI62:AI120,B62:B120,B109-24)+in_hlth_family_renew^3*SUMIFS(AI62:AI120,B62:B120,B109-36)+in_hlth_family_renew^4*SUMIFS(AI62:AI120,B62:B120,B109-48))</f>
        <v/>
      </c>
      <c r="AK109" s="40">
        <f>AK108*(1-IF(B108&gt;=in_marketplace_from,d_hz_life_term*G108,0))</f>
        <v/>
      </c>
      <c r="AL109" s="46">
        <f>AK109*IF(B109&gt;=in_marketplace_from,d_hz_life_term*G109,0)</f>
        <v/>
      </c>
      <c r="AM109" s="14">
        <f>F109*AL109*in_life_term_ticket*in_life_term_comm*in_ins_partner_share+F109*in_life_term_ticket*in_life_term_renew_comm*in_ins_partner_share*(in_life_term_renew^1*SUMIFS(AL62:AL120,B62:B120,B109-12)+in_life_term_renew^2*SUMIFS(AL62:AL120,B62:B120,B109-24)+in_life_term_renew^3*SUMIFS(AL62:AL120,B62:B120,B109-36)+in_life_term_renew^4*SUMIFS(AL62:AL120,B62:B120,B109-48))</f>
        <v/>
      </c>
      <c r="AN109" s="40">
        <f>AN108*(1-IF(B108&gt;=in_marketplace_from,d_hz_accident*G108,0))</f>
        <v/>
      </c>
      <c r="AO109" s="46">
        <f>AN109*IF(B109&gt;=in_marketplace_from,d_hz_accident*G109,0)</f>
        <v/>
      </c>
      <c r="AP109" s="14">
        <f>F109*AO109*in_accident_ticket*in_accident_comm*in_ins_partner_share+F109*in_accident_ticket*in_accident_renew_comm*in_ins_partner_share*(in_accident_renew^1*SUMIFS(AO62:AO120,B62:B120,B109-12)+in_accident_renew^2*SUMIFS(AO62:AO120,B62:B120,B109-24)+in_accident_renew^3*SUMIFS(AO62:AO120,B62:B120,B109-36)+in_accident_renew^4*SUMIFS(AO62:AO120,B62:B120,B109-48))</f>
        <v/>
      </c>
      <c r="AQ109" s="40">
        <f>AQ108*(1-IF(B108&gt;=in_marketplace_from,d_hz_two_wheeler*G108,0))</f>
        <v/>
      </c>
      <c r="AR109" s="46">
        <f>AQ109*IF(B109&gt;=in_marketplace_from,d_hz_two_wheeler*G109,0)</f>
        <v/>
      </c>
      <c r="AS109" s="14">
        <f>F109*AR109*in_two_wheeler_ticket*in_two_wheeler_comm*in_ins_partner_share+F109*in_two_wheeler_ticket*in_two_wheeler_comm*in_ins_partner_share*(in_two_wheeler_renew^1*SUMIFS(AR62:AR120,B62:B120,B109-12)+in_two_wheeler_renew^2*SUMIFS(AR62:AR120,B62:B120,B109-24)+in_two_wheeler_renew^3*SUMIFS(AR62:AR120,B62:B120,B109-36)+in_two_wheeler_renew^4*SUMIFS(AR62:AR120,B62:B120,B109-48))</f>
        <v/>
      </c>
      <c r="AT109" s="40">
        <f>AT108*(1-IF(B108&gt;=in_marketplace_from,d_hz_device*G108,0))</f>
        <v/>
      </c>
      <c r="AU109" s="14">
        <f>F109*AT109*IF(B109&gt;=in_marketplace_from,d_hz_device*G109,0)*in_device_ticket*in_device_comm*in_ins_partner_share</f>
        <v/>
      </c>
      <c r="AV109" s="40">
        <f>AV108*(1-IF(B108&gt;=in_marketplace_from,d_hz_shop*G108,0))</f>
        <v/>
      </c>
      <c r="AW109" s="46">
        <f>AV109*IF(B109&gt;=in_marketplace_from,d_hz_shop*G109,0)</f>
        <v/>
      </c>
      <c r="AX109" s="14">
        <f>F109*AW109*in_shop_ticket*in_shop_comm*in_ins_partner_share+F109*in_shop_ticket*in_shop_renew_comm*in_ins_partner_share*(in_shop_renew^1*SUMIFS(AW62:AW120,B62:B120,B109-12)+in_shop_renew^2*SUMIFS(AW62:AW120,B62:B120,B109-24)+in_shop_renew^3*SUMIFS(AW62:AW120,B62:B120,B109-36)+in_shop_renew^4*SUMIFS(AW62:AW120,B62:B120,B109-48))</f>
        <v/>
      </c>
      <c r="AY109" s="40">
        <f>AY108*(1-IF(B108&gt;=in_marketplace_from,d_hz_sip*G108,0))</f>
        <v/>
      </c>
      <c r="AZ109" s="40">
        <f>AZ108*d_rho_sip+AY109*IF(B109&gt;=in_marketplace_from,d_hz_sip*G109,0)</f>
        <v/>
      </c>
      <c r="BA109" s="40">
        <f>d_rho_sip*(BA108+AZ108)</f>
        <v/>
      </c>
      <c r="BB109" s="14">
        <f>F109*in_sip_ticket*(BA109+0.5*AZ109)*in_sip_comm/12</f>
        <v/>
      </c>
      <c r="BC109" s="40">
        <f>BC108*(1-IF(B108&gt;=in_marketplace_from,d_hz_choti*G108,0))</f>
        <v/>
      </c>
      <c r="BD109" s="46">
        <f>BC109*IF(B109&gt;=in_marketplace_from,d_hz_choti*G109,0)</f>
        <v/>
      </c>
      <c r="BE109" s="14">
        <f>F109*SUMIFS(BD62:BD120,B62:B120,B109-in_choti_months)*in_choti_renew*in_choti_ticket</f>
        <v/>
      </c>
      <c r="BF109" s="40">
        <f>BF108*(1-IF(B108&gt;=in_marketplace_from,d_hz_nps*G108,0))</f>
        <v/>
      </c>
      <c r="BG109" s="14">
        <f>F109*BF109*IF(B109&gt;=in_marketplace_from,d_hz_nps*G109,0)*in_nps_ticket*in_nps_comm</f>
        <v/>
      </c>
      <c r="BH109" s="40">
        <f>BH108*(1-IF(B108&gt;=in_marketplace_from,d_hz_gold*G108,0))</f>
        <v/>
      </c>
      <c r="BI109" s="40">
        <f>BI108*d_rho_gold+BH109*IF(B109&gt;=in_marketplace_from,d_hz_gold*G109,0)</f>
        <v/>
      </c>
      <c r="BJ109" s="14">
        <f>F109*BI109*in_gold_ticket*in_gold_comm</f>
        <v/>
      </c>
      <c r="BK109" s="40">
        <f>BK108*(1-IF(B108&gt;=in_marketplace_from,d_hz_fd*G108,0))</f>
        <v/>
      </c>
      <c r="BL109" s="14">
        <f>F109*BK109*IF(B109&gt;=in_marketplace_from,d_hz_fd*G109,0)*in_fd_ticket*in_fd_comm</f>
        <v/>
      </c>
      <c r="BM109" s="40">
        <f>BM108*(1-IF(B108&gt;=in_marketplace_from,d_hz_recharge*G108,0))</f>
        <v/>
      </c>
      <c r="BN109" s="40">
        <f>BN108*d_rho_recharge+BM109*IF(B109&gt;=in_marketplace_from,d_hz_recharge*G109,0)</f>
        <v/>
      </c>
      <c r="BO109" s="14">
        <f>F109*BN109*in_recharge_ticket*in_recharge_comm/12</f>
        <v/>
      </c>
      <c r="BP109" s="40">
        <f>BP108*(1-IF(B108&gt;=in_marketplace_from,d_hz_bills*G108,0))</f>
        <v/>
      </c>
      <c r="BQ109" s="40">
        <f>BQ108*d_rho_bills+BP109*IF(B109&gt;=in_marketplace_from,d_hz_bills*G109,0)</f>
        <v/>
      </c>
      <c r="BR109" s="14">
        <f>F109*BQ109*in_bills_ticket*in_bills_comm/12</f>
        <v/>
      </c>
      <c r="BS109" s="40">
        <f>BS108*(1-IF(B108&gt;=in_marketplace_from,d_hz_loan_gold*G108,0))</f>
        <v/>
      </c>
      <c r="BT109" s="14">
        <f>F109*BS109*IF(B109&gt;=in_marketplace_from,d_hz_loan_gold*G109,0)*in_loan_gold_ticket*in_loan_gold_comm</f>
        <v/>
      </c>
      <c r="BU109" s="40">
        <f>BU108*(1-IF(B108&gt;=in_marketplace_from,d_hz_loan_cd*G108,0))</f>
        <v/>
      </c>
      <c r="BV109" s="14">
        <f>F109*BU109*IF(B109&gt;=in_marketplace_from,d_hz_loan_cd*G109,0)*in_loan_cd_ticket*in_loan_cd_comm</f>
        <v/>
      </c>
      <c r="BW109" s="40">
        <f>BW108*(1-IF(B108&gt;=in_marketplace_from,d_hz_loan_vehicle*G108,0))</f>
        <v/>
      </c>
      <c r="BX109" s="14">
        <f>F109*BW109*IF(B109&gt;=in_marketplace_from,d_hz_loan_vehicle*G109,0)*in_loan_vehicle_ticket*in_loan_vehicle_comm</f>
        <v/>
      </c>
      <c r="BY109" s="40">
        <f>BY108*(1-IF(B108&gt;=in_marketplace_from,d_hz_loan_home*G108,0)*BZ108)</f>
        <v/>
      </c>
      <c r="BZ109" s="11">
        <f>MIN(in_approval_cap,in_loan_home_approval*INDEX('Age profile'!$O$2:$O$61,B109)*(1+in_approval_growth)^(D109-1))</f>
        <v/>
      </c>
      <c r="CA109" s="14">
        <f>F109*BY109*IF(B109&gt;=in_marketplace_from,d_hz_loan_home*G109,0)*BZ109*in_loan_home_ticket*in_loan_home_comm</f>
        <v/>
      </c>
      <c r="CB109" s="40">
        <f>CB108*(1-IF(B108&gt;=in_marketplace_from,d_hz_loan_lap*G108,0)*CC108)</f>
        <v/>
      </c>
      <c r="CC109" s="11">
        <f>MIN(in_approval_cap,in_loan_lap_approval*INDEX('Age profile'!$O$2:$O$61,B109)*(1+in_approval_growth)^(D109-1))</f>
        <v/>
      </c>
      <c r="CD109" s="14">
        <f>F109*CB109*IF(B109&gt;=in_marketplace_from,d_hz_loan_lap*G109,0)*CC109*in_loan_lap_ticket*in_loan_lap_comm</f>
        <v/>
      </c>
      <c r="CE109" s="14">
        <f>AA109+AB109+AC109+AD109+AG109+AJ109+AM109+AP109+AS109+AU109+AX109+BB109+BE109+BG109+BJ109+BL109+BO109+BR109+BT109+BV109+BX109+CA109+CD109</f>
        <v/>
      </c>
    </row>
    <row r="110">
      <c r="A110" s="39" t="n">
        <v>2</v>
      </c>
      <c r="B110" s="39" t="n">
        <v>49</v>
      </c>
      <c r="C110" s="39">
        <f>A110+B110-1</f>
        <v/>
      </c>
      <c r="D110" s="39">
        <f>INT((C110-1)/12)+1</f>
        <v/>
      </c>
      <c r="E110" s="44">
        <f>INDEX(Monthly!$B$2:$B$61,A110)</f>
        <v/>
      </c>
      <c r="F110" s="44">
        <f>E110*INDEX('Age profile'!$B$2:$B$61,B110)</f>
        <v/>
      </c>
      <c r="G110" s="45">
        <f>MIN(in_takeup_cap,INDEX('Age profile'!$N$2:$N$61,B110)*(1+in_takeup_growth)^(D110-1))</f>
        <v/>
      </c>
      <c r="H110" s="11">
        <f>MIN(in_approval_cap,in_approved_first*INDEX('Age profile'!$O$2:$O$61,B110)*(1+in_approval_growth)^(D110-1))</f>
        <v/>
      </c>
      <c r="I110" s="45">
        <f>G110*MIN(in_takeup_cap,INDEX('Age profile'!$O$2:$O$61,B110)*(1+in_approval_growth)^(D110-1))</f>
        <v/>
      </c>
      <c r="J110" s="40">
        <f>(J109-L109)*F110/F109</f>
        <v/>
      </c>
      <c r="K110" s="40">
        <f>(K109-M109)*F110/F109+SUMIFS(O62:O109,B62:B109,B110-1-d_T)*F110</f>
        <v/>
      </c>
      <c r="L110" s="40">
        <f>IF(B110&gt;=in_marketplace_from,J110*d_hz*G110*in_eligible*H110,0)</f>
        <v/>
      </c>
      <c r="M110" s="40">
        <f>IF(B110&gt;=in_marketplace_from,K110*d_hz*G110*in_eligible*in_approved_repeat,0)</f>
        <v/>
      </c>
      <c r="N110" s="40">
        <f>L110+M110</f>
        <v/>
      </c>
      <c r="O110" s="46">
        <f>N110/F110</f>
        <v/>
      </c>
      <c r="P110" s="40">
        <f>F110-J110-K110</f>
        <v/>
      </c>
      <c r="Q110" s="40">
        <f>IF(B110&gt;=in_marketplace_from,(J110+K110)*d_hz*G110,0)</f>
        <v/>
      </c>
      <c r="R110" s="40">
        <f>SUMIFS(N62:N120,B62:B120,"&gt;="&amp;(B110-d_T),B62:B120,"&lt;="&amp;(B110-1))</f>
        <v/>
      </c>
      <c r="S110" s="46">
        <f>(1-d_u)*S109+IF(d_T&gt;in_topup_lag,SUMIFS(O62:O120,B62:B120,B110-in_topup_lag)-d_udrop*SUMIFS(O62:O120,B62:B120,B110-d_T),0)</f>
        <v/>
      </c>
      <c r="T110" s="40">
        <f>F110*d_u*S110</f>
        <v/>
      </c>
      <c r="U110" s="9">
        <f>L110*in_ticket+M110*d_rep_ticket</f>
        <v/>
      </c>
      <c r="V110" s="9">
        <f>U110+T110*d_topup_amt</f>
        <v/>
      </c>
      <c r="W110" s="40">
        <f>N110+T110*d_topup_ratio</f>
        <v/>
      </c>
      <c r="X110" s="40">
        <f>SUMIFS(W62:W120,B62:B120,B110-in_dpd_lag)*d_cured</f>
        <v/>
      </c>
      <c r="Y110" s="40">
        <f>SUMIFS(W62:W120,B62:B120,B110-in_rec_lag)*d_recd</f>
        <v/>
      </c>
      <c r="Z110" s="40">
        <f>IF(AND(B110&gt;=in_marketplace_from,B110&lt;in_marketplace_from+in_card_months),in_card_share/in_card_months*F110*I110,IF(AND(B110&gt;=in_marketplace_from+in_card_months,B110&lt;in_marketplace_from+2*in_card_months),in_card_share*d_card_rem/in_card_months*F110*MIN(in_takeup_cap,(1+in_takeup_growth)^(D110-1))*MIN(in_takeup_cap,(1+in_approval_growth)^(D110-1)),0))</f>
        <v/>
      </c>
      <c r="AA110" s="14">
        <f>V110*in_fee*(1-in_taken_back)</f>
        <v/>
      </c>
      <c r="AB110" s="14">
        <f>SUMIFS(W62:W120,B62:B120,B110-in_dpd_lag)*d_dpd</f>
        <v/>
      </c>
      <c r="AC110" s="14">
        <f>SUMIFS(W62:W120,B62:B120,B110-in_rec_lag)*d_rec</f>
        <v/>
      </c>
      <c r="AD110" s="14">
        <f>Z110*in_card_fee</f>
        <v/>
      </c>
      <c r="AE110" s="40">
        <f>AE109*(1-IF(B109&gt;=in_marketplace_from,d_hz_hlth_small*G109,0))</f>
        <v/>
      </c>
      <c r="AF110" s="46">
        <f>AE110*IF(B110&gt;=in_marketplace_from,d_hz_hlth_small*G110,0)</f>
        <v/>
      </c>
      <c r="AG110" s="14">
        <f>F110*AF110*in_hlth_small_ticket*in_hlth_small_comm*in_ins_partner_share+F110*in_hlth_small_ticket*in_hlth_small_renew_comm*in_ins_partner_share*(in_hlth_small_renew^1*SUMIFS(AF62:AF120,B62:B120,B110-12)+in_hlth_small_renew^2*SUMIFS(AF62:AF120,B62:B120,B110-24)+in_hlth_small_renew^3*SUMIFS(AF62:AF120,B62:B120,B110-36)+in_hlth_small_renew^4*SUMIFS(AF62:AF120,B62:B120,B110-48))</f>
        <v/>
      </c>
      <c r="AH110" s="40">
        <f>AH109*(1-IF(B109&gt;=in_marketplace_from,d_hz_hlth_family*G109,0))</f>
        <v/>
      </c>
      <c r="AI110" s="46">
        <f>AH110*IF(B110&gt;=in_marketplace_from,d_hz_hlth_family*G110,0)</f>
        <v/>
      </c>
      <c r="AJ110" s="14">
        <f>F110*AI110*in_hlth_family_ticket*in_hlth_family_comm*in_ins_partner_share+F110*in_hlth_family_ticket*in_hlth_family_renew_comm*in_ins_partner_share*(in_hlth_family_renew^1*SUMIFS(AI62:AI120,B62:B120,B110-12)+in_hlth_family_renew^2*SUMIFS(AI62:AI120,B62:B120,B110-24)+in_hlth_family_renew^3*SUMIFS(AI62:AI120,B62:B120,B110-36)+in_hlth_family_renew^4*SUMIFS(AI62:AI120,B62:B120,B110-48))</f>
        <v/>
      </c>
      <c r="AK110" s="40">
        <f>AK109*(1-IF(B109&gt;=in_marketplace_from,d_hz_life_term*G109,0))</f>
        <v/>
      </c>
      <c r="AL110" s="46">
        <f>AK110*IF(B110&gt;=in_marketplace_from,d_hz_life_term*G110,0)</f>
        <v/>
      </c>
      <c r="AM110" s="14">
        <f>F110*AL110*in_life_term_ticket*in_life_term_comm*in_ins_partner_share+F110*in_life_term_ticket*in_life_term_renew_comm*in_ins_partner_share*(in_life_term_renew^1*SUMIFS(AL62:AL120,B62:B120,B110-12)+in_life_term_renew^2*SUMIFS(AL62:AL120,B62:B120,B110-24)+in_life_term_renew^3*SUMIFS(AL62:AL120,B62:B120,B110-36)+in_life_term_renew^4*SUMIFS(AL62:AL120,B62:B120,B110-48))</f>
        <v/>
      </c>
      <c r="AN110" s="40">
        <f>AN109*(1-IF(B109&gt;=in_marketplace_from,d_hz_accident*G109,0))</f>
        <v/>
      </c>
      <c r="AO110" s="46">
        <f>AN110*IF(B110&gt;=in_marketplace_from,d_hz_accident*G110,0)</f>
        <v/>
      </c>
      <c r="AP110" s="14">
        <f>F110*AO110*in_accident_ticket*in_accident_comm*in_ins_partner_share+F110*in_accident_ticket*in_accident_renew_comm*in_ins_partner_share*(in_accident_renew^1*SUMIFS(AO62:AO120,B62:B120,B110-12)+in_accident_renew^2*SUMIFS(AO62:AO120,B62:B120,B110-24)+in_accident_renew^3*SUMIFS(AO62:AO120,B62:B120,B110-36)+in_accident_renew^4*SUMIFS(AO62:AO120,B62:B120,B110-48))</f>
        <v/>
      </c>
      <c r="AQ110" s="40">
        <f>AQ109*(1-IF(B109&gt;=in_marketplace_from,d_hz_two_wheeler*G109,0))</f>
        <v/>
      </c>
      <c r="AR110" s="46">
        <f>AQ110*IF(B110&gt;=in_marketplace_from,d_hz_two_wheeler*G110,0)</f>
        <v/>
      </c>
      <c r="AS110" s="14">
        <f>F110*AR110*in_two_wheeler_ticket*in_two_wheeler_comm*in_ins_partner_share+F110*in_two_wheeler_ticket*in_two_wheeler_comm*in_ins_partner_share*(in_two_wheeler_renew^1*SUMIFS(AR62:AR120,B62:B120,B110-12)+in_two_wheeler_renew^2*SUMIFS(AR62:AR120,B62:B120,B110-24)+in_two_wheeler_renew^3*SUMIFS(AR62:AR120,B62:B120,B110-36)+in_two_wheeler_renew^4*SUMIFS(AR62:AR120,B62:B120,B110-48))</f>
        <v/>
      </c>
      <c r="AT110" s="40">
        <f>AT109*(1-IF(B109&gt;=in_marketplace_from,d_hz_device*G109,0))</f>
        <v/>
      </c>
      <c r="AU110" s="14">
        <f>F110*AT110*IF(B110&gt;=in_marketplace_from,d_hz_device*G110,0)*in_device_ticket*in_device_comm*in_ins_partner_share</f>
        <v/>
      </c>
      <c r="AV110" s="40">
        <f>AV109*(1-IF(B109&gt;=in_marketplace_from,d_hz_shop*G109,0))</f>
        <v/>
      </c>
      <c r="AW110" s="46">
        <f>AV110*IF(B110&gt;=in_marketplace_from,d_hz_shop*G110,0)</f>
        <v/>
      </c>
      <c r="AX110" s="14">
        <f>F110*AW110*in_shop_ticket*in_shop_comm*in_ins_partner_share+F110*in_shop_ticket*in_shop_renew_comm*in_ins_partner_share*(in_shop_renew^1*SUMIFS(AW62:AW120,B62:B120,B110-12)+in_shop_renew^2*SUMIFS(AW62:AW120,B62:B120,B110-24)+in_shop_renew^3*SUMIFS(AW62:AW120,B62:B120,B110-36)+in_shop_renew^4*SUMIFS(AW62:AW120,B62:B120,B110-48))</f>
        <v/>
      </c>
      <c r="AY110" s="40">
        <f>AY109*(1-IF(B109&gt;=in_marketplace_from,d_hz_sip*G109,0))</f>
        <v/>
      </c>
      <c r="AZ110" s="40">
        <f>AZ109*d_rho_sip+AY110*IF(B110&gt;=in_marketplace_from,d_hz_sip*G110,0)</f>
        <v/>
      </c>
      <c r="BA110" s="40">
        <f>d_rho_sip*(BA109+AZ109)</f>
        <v/>
      </c>
      <c r="BB110" s="14">
        <f>F110*in_sip_ticket*(BA110+0.5*AZ110)*in_sip_comm/12</f>
        <v/>
      </c>
      <c r="BC110" s="40">
        <f>BC109*(1-IF(B109&gt;=in_marketplace_from,d_hz_choti*G109,0))</f>
        <v/>
      </c>
      <c r="BD110" s="46">
        <f>BC110*IF(B110&gt;=in_marketplace_from,d_hz_choti*G110,0)</f>
        <v/>
      </c>
      <c r="BE110" s="14">
        <f>F110*SUMIFS(BD62:BD120,B62:B120,B110-in_choti_months)*in_choti_renew*in_choti_ticket</f>
        <v/>
      </c>
      <c r="BF110" s="40">
        <f>BF109*(1-IF(B109&gt;=in_marketplace_from,d_hz_nps*G109,0))</f>
        <v/>
      </c>
      <c r="BG110" s="14">
        <f>F110*BF110*IF(B110&gt;=in_marketplace_from,d_hz_nps*G110,0)*in_nps_ticket*in_nps_comm</f>
        <v/>
      </c>
      <c r="BH110" s="40">
        <f>BH109*(1-IF(B109&gt;=in_marketplace_from,d_hz_gold*G109,0))</f>
        <v/>
      </c>
      <c r="BI110" s="40">
        <f>BI109*d_rho_gold+BH110*IF(B110&gt;=in_marketplace_from,d_hz_gold*G110,0)</f>
        <v/>
      </c>
      <c r="BJ110" s="14">
        <f>F110*BI110*in_gold_ticket*in_gold_comm</f>
        <v/>
      </c>
      <c r="BK110" s="40">
        <f>BK109*(1-IF(B109&gt;=in_marketplace_from,d_hz_fd*G109,0))</f>
        <v/>
      </c>
      <c r="BL110" s="14">
        <f>F110*BK110*IF(B110&gt;=in_marketplace_from,d_hz_fd*G110,0)*in_fd_ticket*in_fd_comm</f>
        <v/>
      </c>
      <c r="BM110" s="40">
        <f>BM109*(1-IF(B109&gt;=in_marketplace_from,d_hz_recharge*G109,0))</f>
        <v/>
      </c>
      <c r="BN110" s="40">
        <f>BN109*d_rho_recharge+BM110*IF(B110&gt;=in_marketplace_from,d_hz_recharge*G110,0)</f>
        <v/>
      </c>
      <c r="BO110" s="14">
        <f>F110*BN110*in_recharge_ticket*in_recharge_comm/12</f>
        <v/>
      </c>
      <c r="BP110" s="40">
        <f>BP109*(1-IF(B109&gt;=in_marketplace_from,d_hz_bills*G109,0))</f>
        <v/>
      </c>
      <c r="BQ110" s="40">
        <f>BQ109*d_rho_bills+BP110*IF(B110&gt;=in_marketplace_from,d_hz_bills*G110,0)</f>
        <v/>
      </c>
      <c r="BR110" s="14">
        <f>F110*BQ110*in_bills_ticket*in_bills_comm/12</f>
        <v/>
      </c>
      <c r="BS110" s="40">
        <f>BS109*(1-IF(B109&gt;=in_marketplace_from,d_hz_loan_gold*G109,0))</f>
        <v/>
      </c>
      <c r="BT110" s="14">
        <f>F110*BS110*IF(B110&gt;=in_marketplace_from,d_hz_loan_gold*G110,0)*in_loan_gold_ticket*in_loan_gold_comm</f>
        <v/>
      </c>
      <c r="BU110" s="40">
        <f>BU109*(1-IF(B109&gt;=in_marketplace_from,d_hz_loan_cd*G109,0))</f>
        <v/>
      </c>
      <c r="BV110" s="14">
        <f>F110*BU110*IF(B110&gt;=in_marketplace_from,d_hz_loan_cd*G110,0)*in_loan_cd_ticket*in_loan_cd_comm</f>
        <v/>
      </c>
      <c r="BW110" s="40">
        <f>BW109*(1-IF(B109&gt;=in_marketplace_from,d_hz_loan_vehicle*G109,0))</f>
        <v/>
      </c>
      <c r="BX110" s="14">
        <f>F110*BW110*IF(B110&gt;=in_marketplace_from,d_hz_loan_vehicle*G110,0)*in_loan_vehicle_ticket*in_loan_vehicle_comm</f>
        <v/>
      </c>
      <c r="BY110" s="40">
        <f>BY109*(1-IF(B109&gt;=in_marketplace_from,d_hz_loan_home*G109,0)*BZ109)</f>
        <v/>
      </c>
      <c r="BZ110" s="11">
        <f>MIN(in_approval_cap,in_loan_home_approval*INDEX('Age profile'!$O$2:$O$61,B110)*(1+in_approval_growth)^(D110-1))</f>
        <v/>
      </c>
      <c r="CA110" s="14">
        <f>F110*BY110*IF(B110&gt;=in_marketplace_from,d_hz_loan_home*G110,0)*BZ110*in_loan_home_ticket*in_loan_home_comm</f>
        <v/>
      </c>
      <c r="CB110" s="40">
        <f>CB109*(1-IF(B109&gt;=in_marketplace_from,d_hz_loan_lap*G109,0)*CC109)</f>
        <v/>
      </c>
      <c r="CC110" s="11">
        <f>MIN(in_approval_cap,in_loan_lap_approval*INDEX('Age profile'!$O$2:$O$61,B110)*(1+in_approval_growth)^(D110-1))</f>
        <v/>
      </c>
      <c r="CD110" s="14">
        <f>F110*CB110*IF(B110&gt;=in_marketplace_from,d_hz_loan_lap*G110,0)*CC110*in_loan_lap_ticket*in_loan_lap_comm</f>
        <v/>
      </c>
      <c r="CE110" s="14">
        <f>AA110+AB110+AC110+AD110+AG110+AJ110+AM110+AP110+AS110+AU110+AX110+BB110+BE110+BG110+BJ110+BL110+BO110+BR110+BT110+BV110+BX110+CA110+CD110</f>
        <v/>
      </c>
    </row>
    <row r="111">
      <c r="A111" s="39" t="n">
        <v>2</v>
      </c>
      <c r="B111" s="39" t="n">
        <v>50</v>
      </c>
      <c r="C111" s="39">
        <f>A111+B111-1</f>
        <v/>
      </c>
      <c r="D111" s="39">
        <f>INT((C111-1)/12)+1</f>
        <v/>
      </c>
      <c r="E111" s="44">
        <f>INDEX(Monthly!$B$2:$B$61,A111)</f>
        <v/>
      </c>
      <c r="F111" s="44">
        <f>E111*INDEX('Age profile'!$B$2:$B$61,B111)</f>
        <v/>
      </c>
      <c r="G111" s="45">
        <f>MIN(in_takeup_cap,INDEX('Age profile'!$N$2:$N$61,B111)*(1+in_takeup_growth)^(D111-1))</f>
        <v/>
      </c>
      <c r="H111" s="11">
        <f>MIN(in_approval_cap,in_approved_first*INDEX('Age profile'!$O$2:$O$61,B111)*(1+in_approval_growth)^(D111-1))</f>
        <v/>
      </c>
      <c r="I111" s="45">
        <f>G111*MIN(in_takeup_cap,INDEX('Age profile'!$O$2:$O$61,B111)*(1+in_approval_growth)^(D111-1))</f>
        <v/>
      </c>
      <c r="J111" s="40">
        <f>(J110-L110)*F111/F110</f>
        <v/>
      </c>
      <c r="K111" s="40">
        <f>(K110-M110)*F111/F110+SUMIFS(O62:O110,B62:B110,B111-1-d_T)*F111</f>
        <v/>
      </c>
      <c r="L111" s="40">
        <f>IF(B111&gt;=in_marketplace_from,J111*d_hz*G111*in_eligible*H111,0)</f>
        <v/>
      </c>
      <c r="M111" s="40">
        <f>IF(B111&gt;=in_marketplace_from,K111*d_hz*G111*in_eligible*in_approved_repeat,0)</f>
        <v/>
      </c>
      <c r="N111" s="40">
        <f>L111+M111</f>
        <v/>
      </c>
      <c r="O111" s="46">
        <f>N111/F111</f>
        <v/>
      </c>
      <c r="P111" s="40">
        <f>F111-J111-K111</f>
        <v/>
      </c>
      <c r="Q111" s="40">
        <f>IF(B111&gt;=in_marketplace_from,(J111+K111)*d_hz*G111,0)</f>
        <v/>
      </c>
      <c r="R111" s="40">
        <f>SUMIFS(N62:N120,B62:B120,"&gt;="&amp;(B111-d_T),B62:B120,"&lt;="&amp;(B111-1))</f>
        <v/>
      </c>
      <c r="S111" s="46">
        <f>(1-d_u)*S110+IF(d_T&gt;in_topup_lag,SUMIFS(O62:O120,B62:B120,B111-in_topup_lag)-d_udrop*SUMIFS(O62:O120,B62:B120,B111-d_T),0)</f>
        <v/>
      </c>
      <c r="T111" s="40">
        <f>F111*d_u*S111</f>
        <v/>
      </c>
      <c r="U111" s="9">
        <f>L111*in_ticket+M111*d_rep_ticket</f>
        <v/>
      </c>
      <c r="V111" s="9">
        <f>U111+T111*d_topup_amt</f>
        <v/>
      </c>
      <c r="W111" s="40">
        <f>N111+T111*d_topup_ratio</f>
        <v/>
      </c>
      <c r="X111" s="40">
        <f>SUMIFS(W62:W120,B62:B120,B111-in_dpd_lag)*d_cured</f>
        <v/>
      </c>
      <c r="Y111" s="40">
        <f>SUMIFS(W62:W120,B62:B120,B111-in_rec_lag)*d_recd</f>
        <v/>
      </c>
      <c r="Z111" s="40">
        <f>IF(AND(B111&gt;=in_marketplace_from,B111&lt;in_marketplace_from+in_card_months),in_card_share/in_card_months*F111*I111,IF(AND(B111&gt;=in_marketplace_from+in_card_months,B111&lt;in_marketplace_from+2*in_card_months),in_card_share*d_card_rem/in_card_months*F111*MIN(in_takeup_cap,(1+in_takeup_growth)^(D111-1))*MIN(in_takeup_cap,(1+in_approval_growth)^(D111-1)),0))</f>
        <v/>
      </c>
      <c r="AA111" s="14">
        <f>V111*in_fee*(1-in_taken_back)</f>
        <v/>
      </c>
      <c r="AB111" s="14">
        <f>SUMIFS(W62:W120,B62:B120,B111-in_dpd_lag)*d_dpd</f>
        <v/>
      </c>
      <c r="AC111" s="14">
        <f>SUMIFS(W62:W120,B62:B120,B111-in_rec_lag)*d_rec</f>
        <v/>
      </c>
      <c r="AD111" s="14">
        <f>Z111*in_card_fee</f>
        <v/>
      </c>
      <c r="AE111" s="40">
        <f>AE110*(1-IF(B110&gt;=in_marketplace_from,d_hz_hlth_small*G110,0))</f>
        <v/>
      </c>
      <c r="AF111" s="46">
        <f>AE111*IF(B111&gt;=in_marketplace_from,d_hz_hlth_small*G111,0)</f>
        <v/>
      </c>
      <c r="AG111" s="14">
        <f>F111*AF111*in_hlth_small_ticket*in_hlth_small_comm*in_ins_partner_share+F111*in_hlth_small_ticket*in_hlth_small_renew_comm*in_ins_partner_share*(in_hlth_small_renew^1*SUMIFS(AF62:AF120,B62:B120,B111-12)+in_hlth_small_renew^2*SUMIFS(AF62:AF120,B62:B120,B111-24)+in_hlth_small_renew^3*SUMIFS(AF62:AF120,B62:B120,B111-36)+in_hlth_small_renew^4*SUMIFS(AF62:AF120,B62:B120,B111-48))</f>
        <v/>
      </c>
      <c r="AH111" s="40">
        <f>AH110*(1-IF(B110&gt;=in_marketplace_from,d_hz_hlth_family*G110,0))</f>
        <v/>
      </c>
      <c r="AI111" s="46">
        <f>AH111*IF(B111&gt;=in_marketplace_from,d_hz_hlth_family*G111,0)</f>
        <v/>
      </c>
      <c r="AJ111" s="14">
        <f>F111*AI111*in_hlth_family_ticket*in_hlth_family_comm*in_ins_partner_share+F111*in_hlth_family_ticket*in_hlth_family_renew_comm*in_ins_partner_share*(in_hlth_family_renew^1*SUMIFS(AI62:AI120,B62:B120,B111-12)+in_hlth_family_renew^2*SUMIFS(AI62:AI120,B62:B120,B111-24)+in_hlth_family_renew^3*SUMIFS(AI62:AI120,B62:B120,B111-36)+in_hlth_family_renew^4*SUMIFS(AI62:AI120,B62:B120,B111-48))</f>
        <v/>
      </c>
      <c r="AK111" s="40">
        <f>AK110*(1-IF(B110&gt;=in_marketplace_from,d_hz_life_term*G110,0))</f>
        <v/>
      </c>
      <c r="AL111" s="46">
        <f>AK111*IF(B111&gt;=in_marketplace_from,d_hz_life_term*G111,0)</f>
        <v/>
      </c>
      <c r="AM111" s="14">
        <f>F111*AL111*in_life_term_ticket*in_life_term_comm*in_ins_partner_share+F111*in_life_term_ticket*in_life_term_renew_comm*in_ins_partner_share*(in_life_term_renew^1*SUMIFS(AL62:AL120,B62:B120,B111-12)+in_life_term_renew^2*SUMIFS(AL62:AL120,B62:B120,B111-24)+in_life_term_renew^3*SUMIFS(AL62:AL120,B62:B120,B111-36)+in_life_term_renew^4*SUMIFS(AL62:AL120,B62:B120,B111-48))</f>
        <v/>
      </c>
      <c r="AN111" s="40">
        <f>AN110*(1-IF(B110&gt;=in_marketplace_from,d_hz_accident*G110,0))</f>
        <v/>
      </c>
      <c r="AO111" s="46">
        <f>AN111*IF(B111&gt;=in_marketplace_from,d_hz_accident*G111,0)</f>
        <v/>
      </c>
      <c r="AP111" s="14">
        <f>F111*AO111*in_accident_ticket*in_accident_comm*in_ins_partner_share+F111*in_accident_ticket*in_accident_renew_comm*in_ins_partner_share*(in_accident_renew^1*SUMIFS(AO62:AO120,B62:B120,B111-12)+in_accident_renew^2*SUMIFS(AO62:AO120,B62:B120,B111-24)+in_accident_renew^3*SUMIFS(AO62:AO120,B62:B120,B111-36)+in_accident_renew^4*SUMIFS(AO62:AO120,B62:B120,B111-48))</f>
        <v/>
      </c>
      <c r="AQ111" s="40">
        <f>AQ110*(1-IF(B110&gt;=in_marketplace_from,d_hz_two_wheeler*G110,0))</f>
        <v/>
      </c>
      <c r="AR111" s="46">
        <f>AQ111*IF(B111&gt;=in_marketplace_from,d_hz_two_wheeler*G111,0)</f>
        <v/>
      </c>
      <c r="AS111" s="14">
        <f>F111*AR111*in_two_wheeler_ticket*in_two_wheeler_comm*in_ins_partner_share+F111*in_two_wheeler_ticket*in_two_wheeler_comm*in_ins_partner_share*(in_two_wheeler_renew^1*SUMIFS(AR62:AR120,B62:B120,B111-12)+in_two_wheeler_renew^2*SUMIFS(AR62:AR120,B62:B120,B111-24)+in_two_wheeler_renew^3*SUMIFS(AR62:AR120,B62:B120,B111-36)+in_two_wheeler_renew^4*SUMIFS(AR62:AR120,B62:B120,B111-48))</f>
        <v/>
      </c>
      <c r="AT111" s="40">
        <f>AT110*(1-IF(B110&gt;=in_marketplace_from,d_hz_device*G110,0))</f>
        <v/>
      </c>
      <c r="AU111" s="14">
        <f>F111*AT111*IF(B111&gt;=in_marketplace_from,d_hz_device*G111,0)*in_device_ticket*in_device_comm*in_ins_partner_share</f>
        <v/>
      </c>
      <c r="AV111" s="40">
        <f>AV110*(1-IF(B110&gt;=in_marketplace_from,d_hz_shop*G110,0))</f>
        <v/>
      </c>
      <c r="AW111" s="46">
        <f>AV111*IF(B111&gt;=in_marketplace_from,d_hz_shop*G111,0)</f>
        <v/>
      </c>
      <c r="AX111" s="14">
        <f>F111*AW111*in_shop_ticket*in_shop_comm*in_ins_partner_share+F111*in_shop_ticket*in_shop_renew_comm*in_ins_partner_share*(in_shop_renew^1*SUMIFS(AW62:AW120,B62:B120,B111-12)+in_shop_renew^2*SUMIFS(AW62:AW120,B62:B120,B111-24)+in_shop_renew^3*SUMIFS(AW62:AW120,B62:B120,B111-36)+in_shop_renew^4*SUMIFS(AW62:AW120,B62:B120,B111-48))</f>
        <v/>
      </c>
      <c r="AY111" s="40">
        <f>AY110*(1-IF(B110&gt;=in_marketplace_from,d_hz_sip*G110,0))</f>
        <v/>
      </c>
      <c r="AZ111" s="40">
        <f>AZ110*d_rho_sip+AY111*IF(B111&gt;=in_marketplace_from,d_hz_sip*G111,0)</f>
        <v/>
      </c>
      <c r="BA111" s="40">
        <f>d_rho_sip*(BA110+AZ110)</f>
        <v/>
      </c>
      <c r="BB111" s="14">
        <f>F111*in_sip_ticket*(BA111+0.5*AZ111)*in_sip_comm/12</f>
        <v/>
      </c>
      <c r="BC111" s="40">
        <f>BC110*(1-IF(B110&gt;=in_marketplace_from,d_hz_choti*G110,0))</f>
        <v/>
      </c>
      <c r="BD111" s="46">
        <f>BC111*IF(B111&gt;=in_marketplace_from,d_hz_choti*G111,0)</f>
        <v/>
      </c>
      <c r="BE111" s="14">
        <f>F111*SUMIFS(BD62:BD120,B62:B120,B111-in_choti_months)*in_choti_renew*in_choti_ticket</f>
        <v/>
      </c>
      <c r="BF111" s="40">
        <f>BF110*(1-IF(B110&gt;=in_marketplace_from,d_hz_nps*G110,0))</f>
        <v/>
      </c>
      <c r="BG111" s="14">
        <f>F111*BF111*IF(B111&gt;=in_marketplace_from,d_hz_nps*G111,0)*in_nps_ticket*in_nps_comm</f>
        <v/>
      </c>
      <c r="BH111" s="40">
        <f>BH110*(1-IF(B110&gt;=in_marketplace_from,d_hz_gold*G110,0))</f>
        <v/>
      </c>
      <c r="BI111" s="40">
        <f>BI110*d_rho_gold+BH111*IF(B111&gt;=in_marketplace_from,d_hz_gold*G111,0)</f>
        <v/>
      </c>
      <c r="BJ111" s="14">
        <f>F111*BI111*in_gold_ticket*in_gold_comm</f>
        <v/>
      </c>
      <c r="BK111" s="40">
        <f>BK110*(1-IF(B110&gt;=in_marketplace_from,d_hz_fd*G110,0))</f>
        <v/>
      </c>
      <c r="BL111" s="14">
        <f>F111*BK111*IF(B111&gt;=in_marketplace_from,d_hz_fd*G111,0)*in_fd_ticket*in_fd_comm</f>
        <v/>
      </c>
      <c r="BM111" s="40">
        <f>BM110*(1-IF(B110&gt;=in_marketplace_from,d_hz_recharge*G110,0))</f>
        <v/>
      </c>
      <c r="BN111" s="40">
        <f>BN110*d_rho_recharge+BM111*IF(B111&gt;=in_marketplace_from,d_hz_recharge*G111,0)</f>
        <v/>
      </c>
      <c r="BO111" s="14">
        <f>F111*BN111*in_recharge_ticket*in_recharge_comm/12</f>
        <v/>
      </c>
      <c r="BP111" s="40">
        <f>BP110*(1-IF(B110&gt;=in_marketplace_from,d_hz_bills*G110,0))</f>
        <v/>
      </c>
      <c r="BQ111" s="40">
        <f>BQ110*d_rho_bills+BP111*IF(B111&gt;=in_marketplace_from,d_hz_bills*G111,0)</f>
        <v/>
      </c>
      <c r="BR111" s="14">
        <f>F111*BQ111*in_bills_ticket*in_bills_comm/12</f>
        <v/>
      </c>
      <c r="BS111" s="40">
        <f>BS110*(1-IF(B110&gt;=in_marketplace_from,d_hz_loan_gold*G110,0))</f>
        <v/>
      </c>
      <c r="BT111" s="14">
        <f>F111*BS111*IF(B111&gt;=in_marketplace_from,d_hz_loan_gold*G111,0)*in_loan_gold_ticket*in_loan_gold_comm</f>
        <v/>
      </c>
      <c r="BU111" s="40">
        <f>BU110*(1-IF(B110&gt;=in_marketplace_from,d_hz_loan_cd*G110,0))</f>
        <v/>
      </c>
      <c r="BV111" s="14">
        <f>F111*BU111*IF(B111&gt;=in_marketplace_from,d_hz_loan_cd*G111,0)*in_loan_cd_ticket*in_loan_cd_comm</f>
        <v/>
      </c>
      <c r="BW111" s="40">
        <f>BW110*(1-IF(B110&gt;=in_marketplace_from,d_hz_loan_vehicle*G110,0))</f>
        <v/>
      </c>
      <c r="BX111" s="14">
        <f>F111*BW111*IF(B111&gt;=in_marketplace_from,d_hz_loan_vehicle*G111,0)*in_loan_vehicle_ticket*in_loan_vehicle_comm</f>
        <v/>
      </c>
      <c r="BY111" s="40">
        <f>BY110*(1-IF(B110&gt;=in_marketplace_from,d_hz_loan_home*G110,0)*BZ110)</f>
        <v/>
      </c>
      <c r="BZ111" s="11">
        <f>MIN(in_approval_cap,in_loan_home_approval*INDEX('Age profile'!$O$2:$O$61,B111)*(1+in_approval_growth)^(D111-1))</f>
        <v/>
      </c>
      <c r="CA111" s="14">
        <f>F111*BY111*IF(B111&gt;=in_marketplace_from,d_hz_loan_home*G111,0)*BZ111*in_loan_home_ticket*in_loan_home_comm</f>
        <v/>
      </c>
      <c r="CB111" s="40">
        <f>CB110*(1-IF(B110&gt;=in_marketplace_from,d_hz_loan_lap*G110,0)*CC110)</f>
        <v/>
      </c>
      <c r="CC111" s="11">
        <f>MIN(in_approval_cap,in_loan_lap_approval*INDEX('Age profile'!$O$2:$O$61,B111)*(1+in_approval_growth)^(D111-1))</f>
        <v/>
      </c>
      <c r="CD111" s="14">
        <f>F111*CB111*IF(B111&gt;=in_marketplace_from,d_hz_loan_lap*G111,0)*CC111*in_loan_lap_ticket*in_loan_lap_comm</f>
        <v/>
      </c>
      <c r="CE111" s="14">
        <f>AA111+AB111+AC111+AD111+AG111+AJ111+AM111+AP111+AS111+AU111+AX111+BB111+BE111+BG111+BJ111+BL111+BO111+BR111+BT111+BV111+BX111+CA111+CD111</f>
        <v/>
      </c>
    </row>
    <row r="112">
      <c r="A112" s="39" t="n">
        <v>2</v>
      </c>
      <c r="B112" s="39" t="n">
        <v>51</v>
      </c>
      <c r="C112" s="39">
        <f>A112+B112-1</f>
        <v/>
      </c>
      <c r="D112" s="39">
        <f>INT((C112-1)/12)+1</f>
        <v/>
      </c>
      <c r="E112" s="44">
        <f>INDEX(Monthly!$B$2:$B$61,A112)</f>
        <v/>
      </c>
      <c r="F112" s="44">
        <f>E112*INDEX('Age profile'!$B$2:$B$61,B112)</f>
        <v/>
      </c>
      <c r="G112" s="45">
        <f>MIN(in_takeup_cap,INDEX('Age profile'!$N$2:$N$61,B112)*(1+in_takeup_growth)^(D112-1))</f>
        <v/>
      </c>
      <c r="H112" s="11">
        <f>MIN(in_approval_cap,in_approved_first*INDEX('Age profile'!$O$2:$O$61,B112)*(1+in_approval_growth)^(D112-1))</f>
        <v/>
      </c>
      <c r="I112" s="45">
        <f>G112*MIN(in_takeup_cap,INDEX('Age profile'!$O$2:$O$61,B112)*(1+in_approval_growth)^(D112-1))</f>
        <v/>
      </c>
      <c r="J112" s="40">
        <f>(J111-L111)*F112/F111</f>
        <v/>
      </c>
      <c r="K112" s="40">
        <f>(K111-M111)*F112/F111+SUMIFS(O62:O111,B62:B111,B112-1-d_T)*F112</f>
        <v/>
      </c>
      <c r="L112" s="40">
        <f>IF(B112&gt;=in_marketplace_from,J112*d_hz*G112*in_eligible*H112,0)</f>
        <v/>
      </c>
      <c r="M112" s="40">
        <f>IF(B112&gt;=in_marketplace_from,K112*d_hz*G112*in_eligible*in_approved_repeat,0)</f>
        <v/>
      </c>
      <c r="N112" s="40">
        <f>L112+M112</f>
        <v/>
      </c>
      <c r="O112" s="46">
        <f>N112/F112</f>
        <v/>
      </c>
      <c r="P112" s="40">
        <f>F112-J112-K112</f>
        <v/>
      </c>
      <c r="Q112" s="40">
        <f>IF(B112&gt;=in_marketplace_from,(J112+K112)*d_hz*G112,0)</f>
        <v/>
      </c>
      <c r="R112" s="40">
        <f>SUMIFS(N62:N120,B62:B120,"&gt;="&amp;(B112-d_T),B62:B120,"&lt;="&amp;(B112-1))</f>
        <v/>
      </c>
      <c r="S112" s="46">
        <f>(1-d_u)*S111+IF(d_T&gt;in_topup_lag,SUMIFS(O62:O120,B62:B120,B112-in_topup_lag)-d_udrop*SUMIFS(O62:O120,B62:B120,B112-d_T),0)</f>
        <v/>
      </c>
      <c r="T112" s="40">
        <f>F112*d_u*S112</f>
        <v/>
      </c>
      <c r="U112" s="9">
        <f>L112*in_ticket+M112*d_rep_ticket</f>
        <v/>
      </c>
      <c r="V112" s="9">
        <f>U112+T112*d_topup_amt</f>
        <v/>
      </c>
      <c r="W112" s="40">
        <f>N112+T112*d_topup_ratio</f>
        <v/>
      </c>
      <c r="X112" s="40">
        <f>SUMIFS(W62:W120,B62:B120,B112-in_dpd_lag)*d_cured</f>
        <v/>
      </c>
      <c r="Y112" s="40">
        <f>SUMIFS(W62:W120,B62:B120,B112-in_rec_lag)*d_recd</f>
        <v/>
      </c>
      <c r="Z112" s="40">
        <f>IF(AND(B112&gt;=in_marketplace_from,B112&lt;in_marketplace_from+in_card_months),in_card_share/in_card_months*F112*I112,IF(AND(B112&gt;=in_marketplace_from+in_card_months,B112&lt;in_marketplace_from+2*in_card_months),in_card_share*d_card_rem/in_card_months*F112*MIN(in_takeup_cap,(1+in_takeup_growth)^(D112-1))*MIN(in_takeup_cap,(1+in_approval_growth)^(D112-1)),0))</f>
        <v/>
      </c>
      <c r="AA112" s="14">
        <f>V112*in_fee*(1-in_taken_back)</f>
        <v/>
      </c>
      <c r="AB112" s="14">
        <f>SUMIFS(W62:W120,B62:B120,B112-in_dpd_lag)*d_dpd</f>
        <v/>
      </c>
      <c r="AC112" s="14">
        <f>SUMIFS(W62:W120,B62:B120,B112-in_rec_lag)*d_rec</f>
        <v/>
      </c>
      <c r="AD112" s="14">
        <f>Z112*in_card_fee</f>
        <v/>
      </c>
      <c r="AE112" s="40">
        <f>AE111*(1-IF(B111&gt;=in_marketplace_from,d_hz_hlth_small*G111,0))</f>
        <v/>
      </c>
      <c r="AF112" s="46">
        <f>AE112*IF(B112&gt;=in_marketplace_from,d_hz_hlth_small*G112,0)</f>
        <v/>
      </c>
      <c r="AG112" s="14">
        <f>F112*AF112*in_hlth_small_ticket*in_hlth_small_comm*in_ins_partner_share+F112*in_hlth_small_ticket*in_hlth_small_renew_comm*in_ins_partner_share*(in_hlth_small_renew^1*SUMIFS(AF62:AF120,B62:B120,B112-12)+in_hlth_small_renew^2*SUMIFS(AF62:AF120,B62:B120,B112-24)+in_hlth_small_renew^3*SUMIFS(AF62:AF120,B62:B120,B112-36)+in_hlth_small_renew^4*SUMIFS(AF62:AF120,B62:B120,B112-48))</f>
        <v/>
      </c>
      <c r="AH112" s="40">
        <f>AH111*(1-IF(B111&gt;=in_marketplace_from,d_hz_hlth_family*G111,0))</f>
        <v/>
      </c>
      <c r="AI112" s="46">
        <f>AH112*IF(B112&gt;=in_marketplace_from,d_hz_hlth_family*G112,0)</f>
        <v/>
      </c>
      <c r="AJ112" s="14">
        <f>F112*AI112*in_hlth_family_ticket*in_hlth_family_comm*in_ins_partner_share+F112*in_hlth_family_ticket*in_hlth_family_renew_comm*in_ins_partner_share*(in_hlth_family_renew^1*SUMIFS(AI62:AI120,B62:B120,B112-12)+in_hlth_family_renew^2*SUMIFS(AI62:AI120,B62:B120,B112-24)+in_hlth_family_renew^3*SUMIFS(AI62:AI120,B62:B120,B112-36)+in_hlth_family_renew^4*SUMIFS(AI62:AI120,B62:B120,B112-48))</f>
        <v/>
      </c>
      <c r="AK112" s="40">
        <f>AK111*(1-IF(B111&gt;=in_marketplace_from,d_hz_life_term*G111,0))</f>
        <v/>
      </c>
      <c r="AL112" s="46">
        <f>AK112*IF(B112&gt;=in_marketplace_from,d_hz_life_term*G112,0)</f>
        <v/>
      </c>
      <c r="AM112" s="14">
        <f>F112*AL112*in_life_term_ticket*in_life_term_comm*in_ins_partner_share+F112*in_life_term_ticket*in_life_term_renew_comm*in_ins_partner_share*(in_life_term_renew^1*SUMIFS(AL62:AL120,B62:B120,B112-12)+in_life_term_renew^2*SUMIFS(AL62:AL120,B62:B120,B112-24)+in_life_term_renew^3*SUMIFS(AL62:AL120,B62:B120,B112-36)+in_life_term_renew^4*SUMIFS(AL62:AL120,B62:B120,B112-48))</f>
        <v/>
      </c>
      <c r="AN112" s="40">
        <f>AN111*(1-IF(B111&gt;=in_marketplace_from,d_hz_accident*G111,0))</f>
        <v/>
      </c>
      <c r="AO112" s="46">
        <f>AN112*IF(B112&gt;=in_marketplace_from,d_hz_accident*G112,0)</f>
        <v/>
      </c>
      <c r="AP112" s="14">
        <f>F112*AO112*in_accident_ticket*in_accident_comm*in_ins_partner_share+F112*in_accident_ticket*in_accident_renew_comm*in_ins_partner_share*(in_accident_renew^1*SUMIFS(AO62:AO120,B62:B120,B112-12)+in_accident_renew^2*SUMIFS(AO62:AO120,B62:B120,B112-24)+in_accident_renew^3*SUMIFS(AO62:AO120,B62:B120,B112-36)+in_accident_renew^4*SUMIFS(AO62:AO120,B62:B120,B112-48))</f>
        <v/>
      </c>
      <c r="AQ112" s="40">
        <f>AQ111*(1-IF(B111&gt;=in_marketplace_from,d_hz_two_wheeler*G111,0))</f>
        <v/>
      </c>
      <c r="AR112" s="46">
        <f>AQ112*IF(B112&gt;=in_marketplace_from,d_hz_two_wheeler*G112,0)</f>
        <v/>
      </c>
      <c r="AS112" s="14">
        <f>F112*AR112*in_two_wheeler_ticket*in_two_wheeler_comm*in_ins_partner_share+F112*in_two_wheeler_ticket*in_two_wheeler_comm*in_ins_partner_share*(in_two_wheeler_renew^1*SUMIFS(AR62:AR120,B62:B120,B112-12)+in_two_wheeler_renew^2*SUMIFS(AR62:AR120,B62:B120,B112-24)+in_two_wheeler_renew^3*SUMIFS(AR62:AR120,B62:B120,B112-36)+in_two_wheeler_renew^4*SUMIFS(AR62:AR120,B62:B120,B112-48))</f>
        <v/>
      </c>
      <c r="AT112" s="40">
        <f>AT111*(1-IF(B111&gt;=in_marketplace_from,d_hz_device*G111,0))</f>
        <v/>
      </c>
      <c r="AU112" s="14">
        <f>F112*AT112*IF(B112&gt;=in_marketplace_from,d_hz_device*G112,0)*in_device_ticket*in_device_comm*in_ins_partner_share</f>
        <v/>
      </c>
      <c r="AV112" s="40">
        <f>AV111*(1-IF(B111&gt;=in_marketplace_from,d_hz_shop*G111,0))</f>
        <v/>
      </c>
      <c r="AW112" s="46">
        <f>AV112*IF(B112&gt;=in_marketplace_from,d_hz_shop*G112,0)</f>
        <v/>
      </c>
      <c r="AX112" s="14">
        <f>F112*AW112*in_shop_ticket*in_shop_comm*in_ins_partner_share+F112*in_shop_ticket*in_shop_renew_comm*in_ins_partner_share*(in_shop_renew^1*SUMIFS(AW62:AW120,B62:B120,B112-12)+in_shop_renew^2*SUMIFS(AW62:AW120,B62:B120,B112-24)+in_shop_renew^3*SUMIFS(AW62:AW120,B62:B120,B112-36)+in_shop_renew^4*SUMIFS(AW62:AW120,B62:B120,B112-48))</f>
        <v/>
      </c>
      <c r="AY112" s="40">
        <f>AY111*(1-IF(B111&gt;=in_marketplace_from,d_hz_sip*G111,0))</f>
        <v/>
      </c>
      <c r="AZ112" s="40">
        <f>AZ111*d_rho_sip+AY112*IF(B112&gt;=in_marketplace_from,d_hz_sip*G112,0)</f>
        <v/>
      </c>
      <c r="BA112" s="40">
        <f>d_rho_sip*(BA111+AZ111)</f>
        <v/>
      </c>
      <c r="BB112" s="14">
        <f>F112*in_sip_ticket*(BA112+0.5*AZ112)*in_sip_comm/12</f>
        <v/>
      </c>
      <c r="BC112" s="40">
        <f>BC111*(1-IF(B111&gt;=in_marketplace_from,d_hz_choti*G111,0))</f>
        <v/>
      </c>
      <c r="BD112" s="46">
        <f>BC112*IF(B112&gt;=in_marketplace_from,d_hz_choti*G112,0)</f>
        <v/>
      </c>
      <c r="BE112" s="14">
        <f>F112*SUMIFS(BD62:BD120,B62:B120,B112-in_choti_months)*in_choti_renew*in_choti_ticket</f>
        <v/>
      </c>
      <c r="BF112" s="40">
        <f>BF111*(1-IF(B111&gt;=in_marketplace_from,d_hz_nps*G111,0))</f>
        <v/>
      </c>
      <c r="BG112" s="14">
        <f>F112*BF112*IF(B112&gt;=in_marketplace_from,d_hz_nps*G112,0)*in_nps_ticket*in_nps_comm</f>
        <v/>
      </c>
      <c r="BH112" s="40">
        <f>BH111*(1-IF(B111&gt;=in_marketplace_from,d_hz_gold*G111,0))</f>
        <v/>
      </c>
      <c r="BI112" s="40">
        <f>BI111*d_rho_gold+BH112*IF(B112&gt;=in_marketplace_from,d_hz_gold*G112,0)</f>
        <v/>
      </c>
      <c r="BJ112" s="14">
        <f>F112*BI112*in_gold_ticket*in_gold_comm</f>
        <v/>
      </c>
      <c r="BK112" s="40">
        <f>BK111*(1-IF(B111&gt;=in_marketplace_from,d_hz_fd*G111,0))</f>
        <v/>
      </c>
      <c r="BL112" s="14">
        <f>F112*BK112*IF(B112&gt;=in_marketplace_from,d_hz_fd*G112,0)*in_fd_ticket*in_fd_comm</f>
        <v/>
      </c>
      <c r="BM112" s="40">
        <f>BM111*(1-IF(B111&gt;=in_marketplace_from,d_hz_recharge*G111,0))</f>
        <v/>
      </c>
      <c r="BN112" s="40">
        <f>BN111*d_rho_recharge+BM112*IF(B112&gt;=in_marketplace_from,d_hz_recharge*G112,0)</f>
        <v/>
      </c>
      <c r="BO112" s="14">
        <f>F112*BN112*in_recharge_ticket*in_recharge_comm/12</f>
        <v/>
      </c>
      <c r="BP112" s="40">
        <f>BP111*(1-IF(B111&gt;=in_marketplace_from,d_hz_bills*G111,0))</f>
        <v/>
      </c>
      <c r="BQ112" s="40">
        <f>BQ111*d_rho_bills+BP112*IF(B112&gt;=in_marketplace_from,d_hz_bills*G112,0)</f>
        <v/>
      </c>
      <c r="BR112" s="14">
        <f>F112*BQ112*in_bills_ticket*in_bills_comm/12</f>
        <v/>
      </c>
      <c r="BS112" s="40">
        <f>BS111*(1-IF(B111&gt;=in_marketplace_from,d_hz_loan_gold*G111,0))</f>
        <v/>
      </c>
      <c r="BT112" s="14">
        <f>F112*BS112*IF(B112&gt;=in_marketplace_from,d_hz_loan_gold*G112,0)*in_loan_gold_ticket*in_loan_gold_comm</f>
        <v/>
      </c>
      <c r="BU112" s="40">
        <f>BU111*(1-IF(B111&gt;=in_marketplace_from,d_hz_loan_cd*G111,0))</f>
        <v/>
      </c>
      <c r="BV112" s="14">
        <f>F112*BU112*IF(B112&gt;=in_marketplace_from,d_hz_loan_cd*G112,0)*in_loan_cd_ticket*in_loan_cd_comm</f>
        <v/>
      </c>
      <c r="BW112" s="40">
        <f>BW111*(1-IF(B111&gt;=in_marketplace_from,d_hz_loan_vehicle*G111,0))</f>
        <v/>
      </c>
      <c r="BX112" s="14">
        <f>F112*BW112*IF(B112&gt;=in_marketplace_from,d_hz_loan_vehicle*G112,0)*in_loan_vehicle_ticket*in_loan_vehicle_comm</f>
        <v/>
      </c>
      <c r="BY112" s="40">
        <f>BY111*(1-IF(B111&gt;=in_marketplace_from,d_hz_loan_home*G111,0)*BZ111)</f>
        <v/>
      </c>
      <c r="BZ112" s="11">
        <f>MIN(in_approval_cap,in_loan_home_approval*INDEX('Age profile'!$O$2:$O$61,B112)*(1+in_approval_growth)^(D112-1))</f>
        <v/>
      </c>
      <c r="CA112" s="14">
        <f>F112*BY112*IF(B112&gt;=in_marketplace_from,d_hz_loan_home*G112,0)*BZ112*in_loan_home_ticket*in_loan_home_comm</f>
        <v/>
      </c>
      <c r="CB112" s="40">
        <f>CB111*(1-IF(B111&gt;=in_marketplace_from,d_hz_loan_lap*G111,0)*CC111)</f>
        <v/>
      </c>
      <c r="CC112" s="11">
        <f>MIN(in_approval_cap,in_loan_lap_approval*INDEX('Age profile'!$O$2:$O$61,B112)*(1+in_approval_growth)^(D112-1))</f>
        <v/>
      </c>
      <c r="CD112" s="14">
        <f>F112*CB112*IF(B112&gt;=in_marketplace_from,d_hz_loan_lap*G112,0)*CC112*in_loan_lap_ticket*in_loan_lap_comm</f>
        <v/>
      </c>
      <c r="CE112" s="14">
        <f>AA112+AB112+AC112+AD112+AG112+AJ112+AM112+AP112+AS112+AU112+AX112+BB112+BE112+BG112+BJ112+BL112+BO112+BR112+BT112+BV112+BX112+CA112+CD112</f>
        <v/>
      </c>
    </row>
    <row r="113">
      <c r="A113" s="39" t="n">
        <v>2</v>
      </c>
      <c r="B113" s="39" t="n">
        <v>52</v>
      </c>
      <c r="C113" s="39">
        <f>A113+B113-1</f>
        <v/>
      </c>
      <c r="D113" s="39">
        <f>INT((C113-1)/12)+1</f>
        <v/>
      </c>
      <c r="E113" s="44">
        <f>INDEX(Monthly!$B$2:$B$61,A113)</f>
        <v/>
      </c>
      <c r="F113" s="44">
        <f>E113*INDEX('Age profile'!$B$2:$B$61,B113)</f>
        <v/>
      </c>
      <c r="G113" s="45">
        <f>MIN(in_takeup_cap,INDEX('Age profile'!$N$2:$N$61,B113)*(1+in_takeup_growth)^(D113-1))</f>
        <v/>
      </c>
      <c r="H113" s="11">
        <f>MIN(in_approval_cap,in_approved_first*INDEX('Age profile'!$O$2:$O$61,B113)*(1+in_approval_growth)^(D113-1))</f>
        <v/>
      </c>
      <c r="I113" s="45">
        <f>G113*MIN(in_takeup_cap,INDEX('Age profile'!$O$2:$O$61,B113)*(1+in_approval_growth)^(D113-1))</f>
        <v/>
      </c>
      <c r="J113" s="40">
        <f>(J112-L112)*F113/F112</f>
        <v/>
      </c>
      <c r="K113" s="40">
        <f>(K112-M112)*F113/F112+SUMIFS(O62:O112,B62:B112,B113-1-d_T)*F113</f>
        <v/>
      </c>
      <c r="L113" s="40">
        <f>IF(B113&gt;=in_marketplace_from,J113*d_hz*G113*in_eligible*H113,0)</f>
        <v/>
      </c>
      <c r="M113" s="40">
        <f>IF(B113&gt;=in_marketplace_from,K113*d_hz*G113*in_eligible*in_approved_repeat,0)</f>
        <v/>
      </c>
      <c r="N113" s="40">
        <f>L113+M113</f>
        <v/>
      </c>
      <c r="O113" s="46">
        <f>N113/F113</f>
        <v/>
      </c>
      <c r="P113" s="40">
        <f>F113-J113-K113</f>
        <v/>
      </c>
      <c r="Q113" s="40">
        <f>IF(B113&gt;=in_marketplace_from,(J113+K113)*d_hz*G113,0)</f>
        <v/>
      </c>
      <c r="R113" s="40">
        <f>SUMIFS(N62:N120,B62:B120,"&gt;="&amp;(B113-d_T),B62:B120,"&lt;="&amp;(B113-1))</f>
        <v/>
      </c>
      <c r="S113" s="46">
        <f>(1-d_u)*S112+IF(d_T&gt;in_topup_lag,SUMIFS(O62:O120,B62:B120,B113-in_topup_lag)-d_udrop*SUMIFS(O62:O120,B62:B120,B113-d_T),0)</f>
        <v/>
      </c>
      <c r="T113" s="40">
        <f>F113*d_u*S113</f>
        <v/>
      </c>
      <c r="U113" s="9">
        <f>L113*in_ticket+M113*d_rep_ticket</f>
        <v/>
      </c>
      <c r="V113" s="9">
        <f>U113+T113*d_topup_amt</f>
        <v/>
      </c>
      <c r="W113" s="40">
        <f>N113+T113*d_topup_ratio</f>
        <v/>
      </c>
      <c r="X113" s="40">
        <f>SUMIFS(W62:W120,B62:B120,B113-in_dpd_lag)*d_cured</f>
        <v/>
      </c>
      <c r="Y113" s="40">
        <f>SUMIFS(W62:W120,B62:B120,B113-in_rec_lag)*d_recd</f>
        <v/>
      </c>
      <c r="Z113" s="40">
        <f>IF(AND(B113&gt;=in_marketplace_from,B113&lt;in_marketplace_from+in_card_months),in_card_share/in_card_months*F113*I113,IF(AND(B113&gt;=in_marketplace_from+in_card_months,B113&lt;in_marketplace_from+2*in_card_months),in_card_share*d_card_rem/in_card_months*F113*MIN(in_takeup_cap,(1+in_takeup_growth)^(D113-1))*MIN(in_takeup_cap,(1+in_approval_growth)^(D113-1)),0))</f>
        <v/>
      </c>
      <c r="AA113" s="14">
        <f>V113*in_fee*(1-in_taken_back)</f>
        <v/>
      </c>
      <c r="AB113" s="14">
        <f>SUMIFS(W62:W120,B62:B120,B113-in_dpd_lag)*d_dpd</f>
        <v/>
      </c>
      <c r="AC113" s="14">
        <f>SUMIFS(W62:W120,B62:B120,B113-in_rec_lag)*d_rec</f>
        <v/>
      </c>
      <c r="AD113" s="14">
        <f>Z113*in_card_fee</f>
        <v/>
      </c>
      <c r="AE113" s="40">
        <f>AE112*(1-IF(B112&gt;=in_marketplace_from,d_hz_hlth_small*G112,0))</f>
        <v/>
      </c>
      <c r="AF113" s="46">
        <f>AE113*IF(B113&gt;=in_marketplace_from,d_hz_hlth_small*G113,0)</f>
        <v/>
      </c>
      <c r="AG113" s="14">
        <f>F113*AF113*in_hlth_small_ticket*in_hlth_small_comm*in_ins_partner_share+F113*in_hlth_small_ticket*in_hlth_small_renew_comm*in_ins_partner_share*(in_hlth_small_renew^1*SUMIFS(AF62:AF120,B62:B120,B113-12)+in_hlth_small_renew^2*SUMIFS(AF62:AF120,B62:B120,B113-24)+in_hlth_small_renew^3*SUMIFS(AF62:AF120,B62:B120,B113-36)+in_hlth_small_renew^4*SUMIFS(AF62:AF120,B62:B120,B113-48))</f>
        <v/>
      </c>
      <c r="AH113" s="40">
        <f>AH112*(1-IF(B112&gt;=in_marketplace_from,d_hz_hlth_family*G112,0))</f>
        <v/>
      </c>
      <c r="AI113" s="46">
        <f>AH113*IF(B113&gt;=in_marketplace_from,d_hz_hlth_family*G113,0)</f>
        <v/>
      </c>
      <c r="AJ113" s="14">
        <f>F113*AI113*in_hlth_family_ticket*in_hlth_family_comm*in_ins_partner_share+F113*in_hlth_family_ticket*in_hlth_family_renew_comm*in_ins_partner_share*(in_hlth_family_renew^1*SUMIFS(AI62:AI120,B62:B120,B113-12)+in_hlth_family_renew^2*SUMIFS(AI62:AI120,B62:B120,B113-24)+in_hlth_family_renew^3*SUMIFS(AI62:AI120,B62:B120,B113-36)+in_hlth_family_renew^4*SUMIFS(AI62:AI120,B62:B120,B113-48))</f>
        <v/>
      </c>
      <c r="AK113" s="40">
        <f>AK112*(1-IF(B112&gt;=in_marketplace_from,d_hz_life_term*G112,0))</f>
        <v/>
      </c>
      <c r="AL113" s="46">
        <f>AK113*IF(B113&gt;=in_marketplace_from,d_hz_life_term*G113,0)</f>
        <v/>
      </c>
      <c r="AM113" s="14">
        <f>F113*AL113*in_life_term_ticket*in_life_term_comm*in_ins_partner_share+F113*in_life_term_ticket*in_life_term_renew_comm*in_ins_partner_share*(in_life_term_renew^1*SUMIFS(AL62:AL120,B62:B120,B113-12)+in_life_term_renew^2*SUMIFS(AL62:AL120,B62:B120,B113-24)+in_life_term_renew^3*SUMIFS(AL62:AL120,B62:B120,B113-36)+in_life_term_renew^4*SUMIFS(AL62:AL120,B62:B120,B113-48))</f>
        <v/>
      </c>
      <c r="AN113" s="40">
        <f>AN112*(1-IF(B112&gt;=in_marketplace_from,d_hz_accident*G112,0))</f>
        <v/>
      </c>
      <c r="AO113" s="46">
        <f>AN113*IF(B113&gt;=in_marketplace_from,d_hz_accident*G113,0)</f>
        <v/>
      </c>
      <c r="AP113" s="14">
        <f>F113*AO113*in_accident_ticket*in_accident_comm*in_ins_partner_share+F113*in_accident_ticket*in_accident_renew_comm*in_ins_partner_share*(in_accident_renew^1*SUMIFS(AO62:AO120,B62:B120,B113-12)+in_accident_renew^2*SUMIFS(AO62:AO120,B62:B120,B113-24)+in_accident_renew^3*SUMIFS(AO62:AO120,B62:B120,B113-36)+in_accident_renew^4*SUMIFS(AO62:AO120,B62:B120,B113-48))</f>
        <v/>
      </c>
      <c r="AQ113" s="40">
        <f>AQ112*(1-IF(B112&gt;=in_marketplace_from,d_hz_two_wheeler*G112,0))</f>
        <v/>
      </c>
      <c r="AR113" s="46">
        <f>AQ113*IF(B113&gt;=in_marketplace_from,d_hz_two_wheeler*G113,0)</f>
        <v/>
      </c>
      <c r="AS113" s="14">
        <f>F113*AR113*in_two_wheeler_ticket*in_two_wheeler_comm*in_ins_partner_share+F113*in_two_wheeler_ticket*in_two_wheeler_comm*in_ins_partner_share*(in_two_wheeler_renew^1*SUMIFS(AR62:AR120,B62:B120,B113-12)+in_two_wheeler_renew^2*SUMIFS(AR62:AR120,B62:B120,B113-24)+in_two_wheeler_renew^3*SUMIFS(AR62:AR120,B62:B120,B113-36)+in_two_wheeler_renew^4*SUMIFS(AR62:AR120,B62:B120,B113-48))</f>
        <v/>
      </c>
      <c r="AT113" s="40">
        <f>AT112*(1-IF(B112&gt;=in_marketplace_from,d_hz_device*G112,0))</f>
        <v/>
      </c>
      <c r="AU113" s="14">
        <f>F113*AT113*IF(B113&gt;=in_marketplace_from,d_hz_device*G113,0)*in_device_ticket*in_device_comm*in_ins_partner_share</f>
        <v/>
      </c>
      <c r="AV113" s="40">
        <f>AV112*(1-IF(B112&gt;=in_marketplace_from,d_hz_shop*G112,0))</f>
        <v/>
      </c>
      <c r="AW113" s="46">
        <f>AV113*IF(B113&gt;=in_marketplace_from,d_hz_shop*G113,0)</f>
        <v/>
      </c>
      <c r="AX113" s="14">
        <f>F113*AW113*in_shop_ticket*in_shop_comm*in_ins_partner_share+F113*in_shop_ticket*in_shop_renew_comm*in_ins_partner_share*(in_shop_renew^1*SUMIFS(AW62:AW120,B62:B120,B113-12)+in_shop_renew^2*SUMIFS(AW62:AW120,B62:B120,B113-24)+in_shop_renew^3*SUMIFS(AW62:AW120,B62:B120,B113-36)+in_shop_renew^4*SUMIFS(AW62:AW120,B62:B120,B113-48))</f>
        <v/>
      </c>
      <c r="AY113" s="40">
        <f>AY112*(1-IF(B112&gt;=in_marketplace_from,d_hz_sip*G112,0))</f>
        <v/>
      </c>
      <c r="AZ113" s="40">
        <f>AZ112*d_rho_sip+AY113*IF(B113&gt;=in_marketplace_from,d_hz_sip*G113,0)</f>
        <v/>
      </c>
      <c r="BA113" s="40">
        <f>d_rho_sip*(BA112+AZ112)</f>
        <v/>
      </c>
      <c r="BB113" s="14">
        <f>F113*in_sip_ticket*(BA113+0.5*AZ113)*in_sip_comm/12</f>
        <v/>
      </c>
      <c r="BC113" s="40">
        <f>BC112*(1-IF(B112&gt;=in_marketplace_from,d_hz_choti*G112,0))</f>
        <v/>
      </c>
      <c r="BD113" s="46">
        <f>BC113*IF(B113&gt;=in_marketplace_from,d_hz_choti*G113,0)</f>
        <v/>
      </c>
      <c r="BE113" s="14">
        <f>F113*SUMIFS(BD62:BD120,B62:B120,B113-in_choti_months)*in_choti_renew*in_choti_ticket</f>
        <v/>
      </c>
      <c r="BF113" s="40">
        <f>BF112*(1-IF(B112&gt;=in_marketplace_from,d_hz_nps*G112,0))</f>
        <v/>
      </c>
      <c r="BG113" s="14">
        <f>F113*BF113*IF(B113&gt;=in_marketplace_from,d_hz_nps*G113,0)*in_nps_ticket*in_nps_comm</f>
        <v/>
      </c>
      <c r="BH113" s="40">
        <f>BH112*(1-IF(B112&gt;=in_marketplace_from,d_hz_gold*G112,0))</f>
        <v/>
      </c>
      <c r="BI113" s="40">
        <f>BI112*d_rho_gold+BH113*IF(B113&gt;=in_marketplace_from,d_hz_gold*G113,0)</f>
        <v/>
      </c>
      <c r="BJ113" s="14">
        <f>F113*BI113*in_gold_ticket*in_gold_comm</f>
        <v/>
      </c>
      <c r="BK113" s="40">
        <f>BK112*(1-IF(B112&gt;=in_marketplace_from,d_hz_fd*G112,0))</f>
        <v/>
      </c>
      <c r="BL113" s="14">
        <f>F113*BK113*IF(B113&gt;=in_marketplace_from,d_hz_fd*G113,0)*in_fd_ticket*in_fd_comm</f>
        <v/>
      </c>
      <c r="BM113" s="40">
        <f>BM112*(1-IF(B112&gt;=in_marketplace_from,d_hz_recharge*G112,0))</f>
        <v/>
      </c>
      <c r="BN113" s="40">
        <f>BN112*d_rho_recharge+BM113*IF(B113&gt;=in_marketplace_from,d_hz_recharge*G113,0)</f>
        <v/>
      </c>
      <c r="BO113" s="14">
        <f>F113*BN113*in_recharge_ticket*in_recharge_comm/12</f>
        <v/>
      </c>
      <c r="BP113" s="40">
        <f>BP112*(1-IF(B112&gt;=in_marketplace_from,d_hz_bills*G112,0))</f>
        <v/>
      </c>
      <c r="BQ113" s="40">
        <f>BQ112*d_rho_bills+BP113*IF(B113&gt;=in_marketplace_from,d_hz_bills*G113,0)</f>
        <v/>
      </c>
      <c r="BR113" s="14">
        <f>F113*BQ113*in_bills_ticket*in_bills_comm/12</f>
        <v/>
      </c>
      <c r="BS113" s="40">
        <f>BS112*(1-IF(B112&gt;=in_marketplace_from,d_hz_loan_gold*G112,0))</f>
        <v/>
      </c>
      <c r="BT113" s="14">
        <f>F113*BS113*IF(B113&gt;=in_marketplace_from,d_hz_loan_gold*G113,0)*in_loan_gold_ticket*in_loan_gold_comm</f>
        <v/>
      </c>
      <c r="BU113" s="40">
        <f>BU112*(1-IF(B112&gt;=in_marketplace_from,d_hz_loan_cd*G112,0))</f>
        <v/>
      </c>
      <c r="BV113" s="14">
        <f>F113*BU113*IF(B113&gt;=in_marketplace_from,d_hz_loan_cd*G113,0)*in_loan_cd_ticket*in_loan_cd_comm</f>
        <v/>
      </c>
      <c r="BW113" s="40">
        <f>BW112*(1-IF(B112&gt;=in_marketplace_from,d_hz_loan_vehicle*G112,0))</f>
        <v/>
      </c>
      <c r="BX113" s="14">
        <f>F113*BW113*IF(B113&gt;=in_marketplace_from,d_hz_loan_vehicle*G113,0)*in_loan_vehicle_ticket*in_loan_vehicle_comm</f>
        <v/>
      </c>
      <c r="BY113" s="40">
        <f>BY112*(1-IF(B112&gt;=in_marketplace_from,d_hz_loan_home*G112,0)*BZ112)</f>
        <v/>
      </c>
      <c r="BZ113" s="11">
        <f>MIN(in_approval_cap,in_loan_home_approval*INDEX('Age profile'!$O$2:$O$61,B113)*(1+in_approval_growth)^(D113-1))</f>
        <v/>
      </c>
      <c r="CA113" s="14">
        <f>F113*BY113*IF(B113&gt;=in_marketplace_from,d_hz_loan_home*G113,0)*BZ113*in_loan_home_ticket*in_loan_home_comm</f>
        <v/>
      </c>
      <c r="CB113" s="40">
        <f>CB112*(1-IF(B112&gt;=in_marketplace_from,d_hz_loan_lap*G112,0)*CC112)</f>
        <v/>
      </c>
      <c r="CC113" s="11">
        <f>MIN(in_approval_cap,in_loan_lap_approval*INDEX('Age profile'!$O$2:$O$61,B113)*(1+in_approval_growth)^(D113-1))</f>
        <v/>
      </c>
      <c r="CD113" s="14">
        <f>F113*CB113*IF(B113&gt;=in_marketplace_from,d_hz_loan_lap*G113,0)*CC113*in_loan_lap_ticket*in_loan_lap_comm</f>
        <v/>
      </c>
      <c r="CE113" s="14">
        <f>AA113+AB113+AC113+AD113+AG113+AJ113+AM113+AP113+AS113+AU113+AX113+BB113+BE113+BG113+BJ113+BL113+BO113+BR113+BT113+BV113+BX113+CA113+CD113</f>
        <v/>
      </c>
    </row>
    <row r="114">
      <c r="A114" s="39" t="n">
        <v>2</v>
      </c>
      <c r="B114" s="39" t="n">
        <v>53</v>
      </c>
      <c r="C114" s="39">
        <f>A114+B114-1</f>
        <v/>
      </c>
      <c r="D114" s="39">
        <f>INT((C114-1)/12)+1</f>
        <v/>
      </c>
      <c r="E114" s="44">
        <f>INDEX(Monthly!$B$2:$B$61,A114)</f>
        <v/>
      </c>
      <c r="F114" s="44">
        <f>E114*INDEX('Age profile'!$B$2:$B$61,B114)</f>
        <v/>
      </c>
      <c r="G114" s="45">
        <f>MIN(in_takeup_cap,INDEX('Age profile'!$N$2:$N$61,B114)*(1+in_takeup_growth)^(D114-1))</f>
        <v/>
      </c>
      <c r="H114" s="11">
        <f>MIN(in_approval_cap,in_approved_first*INDEX('Age profile'!$O$2:$O$61,B114)*(1+in_approval_growth)^(D114-1))</f>
        <v/>
      </c>
      <c r="I114" s="45">
        <f>G114*MIN(in_takeup_cap,INDEX('Age profile'!$O$2:$O$61,B114)*(1+in_approval_growth)^(D114-1))</f>
        <v/>
      </c>
      <c r="J114" s="40">
        <f>(J113-L113)*F114/F113</f>
        <v/>
      </c>
      <c r="K114" s="40">
        <f>(K113-M113)*F114/F113+SUMIFS(O62:O113,B62:B113,B114-1-d_T)*F114</f>
        <v/>
      </c>
      <c r="L114" s="40">
        <f>IF(B114&gt;=in_marketplace_from,J114*d_hz*G114*in_eligible*H114,0)</f>
        <v/>
      </c>
      <c r="M114" s="40">
        <f>IF(B114&gt;=in_marketplace_from,K114*d_hz*G114*in_eligible*in_approved_repeat,0)</f>
        <v/>
      </c>
      <c r="N114" s="40">
        <f>L114+M114</f>
        <v/>
      </c>
      <c r="O114" s="46">
        <f>N114/F114</f>
        <v/>
      </c>
      <c r="P114" s="40">
        <f>F114-J114-K114</f>
        <v/>
      </c>
      <c r="Q114" s="40">
        <f>IF(B114&gt;=in_marketplace_from,(J114+K114)*d_hz*G114,0)</f>
        <v/>
      </c>
      <c r="R114" s="40">
        <f>SUMIFS(N62:N120,B62:B120,"&gt;="&amp;(B114-d_T),B62:B120,"&lt;="&amp;(B114-1))</f>
        <v/>
      </c>
      <c r="S114" s="46">
        <f>(1-d_u)*S113+IF(d_T&gt;in_topup_lag,SUMIFS(O62:O120,B62:B120,B114-in_topup_lag)-d_udrop*SUMIFS(O62:O120,B62:B120,B114-d_T),0)</f>
        <v/>
      </c>
      <c r="T114" s="40">
        <f>F114*d_u*S114</f>
        <v/>
      </c>
      <c r="U114" s="9">
        <f>L114*in_ticket+M114*d_rep_ticket</f>
        <v/>
      </c>
      <c r="V114" s="9">
        <f>U114+T114*d_topup_amt</f>
        <v/>
      </c>
      <c r="W114" s="40">
        <f>N114+T114*d_topup_ratio</f>
        <v/>
      </c>
      <c r="X114" s="40">
        <f>SUMIFS(W62:W120,B62:B120,B114-in_dpd_lag)*d_cured</f>
        <v/>
      </c>
      <c r="Y114" s="40">
        <f>SUMIFS(W62:W120,B62:B120,B114-in_rec_lag)*d_recd</f>
        <v/>
      </c>
      <c r="Z114" s="40">
        <f>IF(AND(B114&gt;=in_marketplace_from,B114&lt;in_marketplace_from+in_card_months),in_card_share/in_card_months*F114*I114,IF(AND(B114&gt;=in_marketplace_from+in_card_months,B114&lt;in_marketplace_from+2*in_card_months),in_card_share*d_card_rem/in_card_months*F114*MIN(in_takeup_cap,(1+in_takeup_growth)^(D114-1))*MIN(in_takeup_cap,(1+in_approval_growth)^(D114-1)),0))</f>
        <v/>
      </c>
      <c r="AA114" s="14">
        <f>V114*in_fee*(1-in_taken_back)</f>
        <v/>
      </c>
      <c r="AB114" s="14">
        <f>SUMIFS(W62:W120,B62:B120,B114-in_dpd_lag)*d_dpd</f>
        <v/>
      </c>
      <c r="AC114" s="14">
        <f>SUMIFS(W62:W120,B62:B120,B114-in_rec_lag)*d_rec</f>
        <v/>
      </c>
      <c r="AD114" s="14">
        <f>Z114*in_card_fee</f>
        <v/>
      </c>
      <c r="AE114" s="40">
        <f>AE113*(1-IF(B113&gt;=in_marketplace_from,d_hz_hlth_small*G113,0))</f>
        <v/>
      </c>
      <c r="AF114" s="46">
        <f>AE114*IF(B114&gt;=in_marketplace_from,d_hz_hlth_small*G114,0)</f>
        <v/>
      </c>
      <c r="AG114" s="14">
        <f>F114*AF114*in_hlth_small_ticket*in_hlth_small_comm*in_ins_partner_share+F114*in_hlth_small_ticket*in_hlth_small_renew_comm*in_ins_partner_share*(in_hlth_small_renew^1*SUMIFS(AF62:AF120,B62:B120,B114-12)+in_hlth_small_renew^2*SUMIFS(AF62:AF120,B62:B120,B114-24)+in_hlth_small_renew^3*SUMIFS(AF62:AF120,B62:B120,B114-36)+in_hlth_small_renew^4*SUMIFS(AF62:AF120,B62:B120,B114-48))</f>
        <v/>
      </c>
      <c r="AH114" s="40">
        <f>AH113*(1-IF(B113&gt;=in_marketplace_from,d_hz_hlth_family*G113,0))</f>
        <v/>
      </c>
      <c r="AI114" s="46">
        <f>AH114*IF(B114&gt;=in_marketplace_from,d_hz_hlth_family*G114,0)</f>
        <v/>
      </c>
      <c r="AJ114" s="14">
        <f>F114*AI114*in_hlth_family_ticket*in_hlth_family_comm*in_ins_partner_share+F114*in_hlth_family_ticket*in_hlth_family_renew_comm*in_ins_partner_share*(in_hlth_family_renew^1*SUMIFS(AI62:AI120,B62:B120,B114-12)+in_hlth_family_renew^2*SUMIFS(AI62:AI120,B62:B120,B114-24)+in_hlth_family_renew^3*SUMIFS(AI62:AI120,B62:B120,B114-36)+in_hlth_family_renew^4*SUMIFS(AI62:AI120,B62:B120,B114-48))</f>
        <v/>
      </c>
      <c r="AK114" s="40">
        <f>AK113*(1-IF(B113&gt;=in_marketplace_from,d_hz_life_term*G113,0))</f>
        <v/>
      </c>
      <c r="AL114" s="46">
        <f>AK114*IF(B114&gt;=in_marketplace_from,d_hz_life_term*G114,0)</f>
        <v/>
      </c>
      <c r="AM114" s="14">
        <f>F114*AL114*in_life_term_ticket*in_life_term_comm*in_ins_partner_share+F114*in_life_term_ticket*in_life_term_renew_comm*in_ins_partner_share*(in_life_term_renew^1*SUMIFS(AL62:AL120,B62:B120,B114-12)+in_life_term_renew^2*SUMIFS(AL62:AL120,B62:B120,B114-24)+in_life_term_renew^3*SUMIFS(AL62:AL120,B62:B120,B114-36)+in_life_term_renew^4*SUMIFS(AL62:AL120,B62:B120,B114-48))</f>
        <v/>
      </c>
      <c r="AN114" s="40">
        <f>AN113*(1-IF(B113&gt;=in_marketplace_from,d_hz_accident*G113,0))</f>
        <v/>
      </c>
      <c r="AO114" s="46">
        <f>AN114*IF(B114&gt;=in_marketplace_from,d_hz_accident*G114,0)</f>
        <v/>
      </c>
      <c r="AP114" s="14">
        <f>F114*AO114*in_accident_ticket*in_accident_comm*in_ins_partner_share+F114*in_accident_ticket*in_accident_renew_comm*in_ins_partner_share*(in_accident_renew^1*SUMIFS(AO62:AO120,B62:B120,B114-12)+in_accident_renew^2*SUMIFS(AO62:AO120,B62:B120,B114-24)+in_accident_renew^3*SUMIFS(AO62:AO120,B62:B120,B114-36)+in_accident_renew^4*SUMIFS(AO62:AO120,B62:B120,B114-48))</f>
        <v/>
      </c>
      <c r="AQ114" s="40">
        <f>AQ113*(1-IF(B113&gt;=in_marketplace_from,d_hz_two_wheeler*G113,0))</f>
        <v/>
      </c>
      <c r="AR114" s="46">
        <f>AQ114*IF(B114&gt;=in_marketplace_from,d_hz_two_wheeler*G114,0)</f>
        <v/>
      </c>
      <c r="AS114" s="14">
        <f>F114*AR114*in_two_wheeler_ticket*in_two_wheeler_comm*in_ins_partner_share+F114*in_two_wheeler_ticket*in_two_wheeler_comm*in_ins_partner_share*(in_two_wheeler_renew^1*SUMIFS(AR62:AR120,B62:B120,B114-12)+in_two_wheeler_renew^2*SUMIFS(AR62:AR120,B62:B120,B114-24)+in_two_wheeler_renew^3*SUMIFS(AR62:AR120,B62:B120,B114-36)+in_two_wheeler_renew^4*SUMIFS(AR62:AR120,B62:B120,B114-48))</f>
        <v/>
      </c>
      <c r="AT114" s="40">
        <f>AT113*(1-IF(B113&gt;=in_marketplace_from,d_hz_device*G113,0))</f>
        <v/>
      </c>
      <c r="AU114" s="14">
        <f>F114*AT114*IF(B114&gt;=in_marketplace_from,d_hz_device*G114,0)*in_device_ticket*in_device_comm*in_ins_partner_share</f>
        <v/>
      </c>
      <c r="AV114" s="40">
        <f>AV113*(1-IF(B113&gt;=in_marketplace_from,d_hz_shop*G113,0))</f>
        <v/>
      </c>
      <c r="AW114" s="46">
        <f>AV114*IF(B114&gt;=in_marketplace_from,d_hz_shop*G114,0)</f>
        <v/>
      </c>
      <c r="AX114" s="14">
        <f>F114*AW114*in_shop_ticket*in_shop_comm*in_ins_partner_share+F114*in_shop_ticket*in_shop_renew_comm*in_ins_partner_share*(in_shop_renew^1*SUMIFS(AW62:AW120,B62:B120,B114-12)+in_shop_renew^2*SUMIFS(AW62:AW120,B62:B120,B114-24)+in_shop_renew^3*SUMIFS(AW62:AW120,B62:B120,B114-36)+in_shop_renew^4*SUMIFS(AW62:AW120,B62:B120,B114-48))</f>
        <v/>
      </c>
      <c r="AY114" s="40">
        <f>AY113*(1-IF(B113&gt;=in_marketplace_from,d_hz_sip*G113,0))</f>
        <v/>
      </c>
      <c r="AZ114" s="40">
        <f>AZ113*d_rho_sip+AY114*IF(B114&gt;=in_marketplace_from,d_hz_sip*G114,0)</f>
        <v/>
      </c>
      <c r="BA114" s="40">
        <f>d_rho_sip*(BA113+AZ113)</f>
        <v/>
      </c>
      <c r="BB114" s="14">
        <f>F114*in_sip_ticket*(BA114+0.5*AZ114)*in_sip_comm/12</f>
        <v/>
      </c>
      <c r="BC114" s="40">
        <f>BC113*(1-IF(B113&gt;=in_marketplace_from,d_hz_choti*G113,0))</f>
        <v/>
      </c>
      <c r="BD114" s="46">
        <f>BC114*IF(B114&gt;=in_marketplace_from,d_hz_choti*G114,0)</f>
        <v/>
      </c>
      <c r="BE114" s="14">
        <f>F114*SUMIFS(BD62:BD120,B62:B120,B114-in_choti_months)*in_choti_renew*in_choti_ticket</f>
        <v/>
      </c>
      <c r="BF114" s="40">
        <f>BF113*(1-IF(B113&gt;=in_marketplace_from,d_hz_nps*G113,0))</f>
        <v/>
      </c>
      <c r="BG114" s="14">
        <f>F114*BF114*IF(B114&gt;=in_marketplace_from,d_hz_nps*G114,0)*in_nps_ticket*in_nps_comm</f>
        <v/>
      </c>
      <c r="BH114" s="40">
        <f>BH113*(1-IF(B113&gt;=in_marketplace_from,d_hz_gold*G113,0))</f>
        <v/>
      </c>
      <c r="BI114" s="40">
        <f>BI113*d_rho_gold+BH114*IF(B114&gt;=in_marketplace_from,d_hz_gold*G114,0)</f>
        <v/>
      </c>
      <c r="BJ114" s="14">
        <f>F114*BI114*in_gold_ticket*in_gold_comm</f>
        <v/>
      </c>
      <c r="BK114" s="40">
        <f>BK113*(1-IF(B113&gt;=in_marketplace_from,d_hz_fd*G113,0))</f>
        <v/>
      </c>
      <c r="BL114" s="14">
        <f>F114*BK114*IF(B114&gt;=in_marketplace_from,d_hz_fd*G114,0)*in_fd_ticket*in_fd_comm</f>
        <v/>
      </c>
      <c r="BM114" s="40">
        <f>BM113*(1-IF(B113&gt;=in_marketplace_from,d_hz_recharge*G113,0))</f>
        <v/>
      </c>
      <c r="BN114" s="40">
        <f>BN113*d_rho_recharge+BM114*IF(B114&gt;=in_marketplace_from,d_hz_recharge*G114,0)</f>
        <v/>
      </c>
      <c r="BO114" s="14">
        <f>F114*BN114*in_recharge_ticket*in_recharge_comm/12</f>
        <v/>
      </c>
      <c r="BP114" s="40">
        <f>BP113*(1-IF(B113&gt;=in_marketplace_from,d_hz_bills*G113,0))</f>
        <v/>
      </c>
      <c r="BQ114" s="40">
        <f>BQ113*d_rho_bills+BP114*IF(B114&gt;=in_marketplace_from,d_hz_bills*G114,0)</f>
        <v/>
      </c>
      <c r="BR114" s="14">
        <f>F114*BQ114*in_bills_ticket*in_bills_comm/12</f>
        <v/>
      </c>
      <c r="BS114" s="40">
        <f>BS113*(1-IF(B113&gt;=in_marketplace_from,d_hz_loan_gold*G113,0))</f>
        <v/>
      </c>
      <c r="BT114" s="14">
        <f>F114*BS114*IF(B114&gt;=in_marketplace_from,d_hz_loan_gold*G114,0)*in_loan_gold_ticket*in_loan_gold_comm</f>
        <v/>
      </c>
      <c r="BU114" s="40">
        <f>BU113*(1-IF(B113&gt;=in_marketplace_from,d_hz_loan_cd*G113,0))</f>
        <v/>
      </c>
      <c r="BV114" s="14">
        <f>F114*BU114*IF(B114&gt;=in_marketplace_from,d_hz_loan_cd*G114,0)*in_loan_cd_ticket*in_loan_cd_comm</f>
        <v/>
      </c>
      <c r="BW114" s="40">
        <f>BW113*(1-IF(B113&gt;=in_marketplace_from,d_hz_loan_vehicle*G113,0))</f>
        <v/>
      </c>
      <c r="BX114" s="14">
        <f>F114*BW114*IF(B114&gt;=in_marketplace_from,d_hz_loan_vehicle*G114,0)*in_loan_vehicle_ticket*in_loan_vehicle_comm</f>
        <v/>
      </c>
      <c r="BY114" s="40">
        <f>BY113*(1-IF(B113&gt;=in_marketplace_from,d_hz_loan_home*G113,0)*BZ113)</f>
        <v/>
      </c>
      <c r="BZ114" s="11">
        <f>MIN(in_approval_cap,in_loan_home_approval*INDEX('Age profile'!$O$2:$O$61,B114)*(1+in_approval_growth)^(D114-1))</f>
        <v/>
      </c>
      <c r="CA114" s="14">
        <f>F114*BY114*IF(B114&gt;=in_marketplace_from,d_hz_loan_home*G114,0)*BZ114*in_loan_home_ticket*in_loan_home_comm</f>
        <v/>
      </c>
      <c r="CB114" s="40">
        <f>CB113*(1-IF(B113&gt;=in_marketplace_from,d_hz_loan_lap*G113,0)*CC113)</f>
        <v/>
      </c>
      <c r="CC114" s="11">
        <f>MIN(in_approval_cap,in_loan_lap_approval*INDEX('Age profile'!$O$2:$O$61,B114)*(1+in_approval_growth)^(D114-1))</f>
        <v/>
      </c>
      <c r="CD114" s="14">
        <f>F114*CB114*IF(B114&gt;=in_marketplace_from,d_hz_loan_lap*G114,0)*CC114*in_loan_lap_ticket*in_loan_lap_comm</f>
        <v/>
      </c>
      <c r="CE114" s="14">
        <f>AA114+AB114+AC114+AD114+AG114+AJ114+AM114+AP114+AS114+AU114+AX114+BB114+BE114+BG114+BJ114+BL114+BO114+BR114+BT114+BV114+BX114+CA114+CD114</f>
        <v/>
      </c>
    </row>
    <row r="115">
      <c r="A115" s="39" t="n">
        <v>2</v>
      </c>
      <c r="B115" s="39" t="n">
        <v>54</v>
      </c>
      <c r="C115" s="39">
        <f>A115+B115-1</f>
        <v/>
      </c>
      <c r="D115" s="39">
        <f>INT((C115-1)/12)+1</f>
        <v/>
      </c>
      <c r="E115" s="44">
        <f>INDEX(Monthly!$B$2:$B$61,A115)</f>
        <v/>
      </c>
      <c r="F115" s="44">
        <f>E115*INDEX('Age profile'!$B$2:$B$61,B115)</f>
        <v/>
      </c>
      <c r="G115" s="45">
        <f>MIN(in_takeup_cap,INDEX('Age profile'!$N$2:$N$61,B115)*(1+in_takeup_growth)^(D115-1))</f>
        <v/>
      </c>
      <c r="H115" s="11">
        <f>MIN(in_approval_cap,in_approved_first*INDEX('Age profile'!$O$2:$O$61,B115)*(1+in_approval_growth)^(D115-1))</f>
        <v/>
      </c>
      <c r="I115" s="45">
        <f>G115*MIN(in_takeup_cap,INDEX('Age profile'!$O$2:$O$61,B115)*(1+in_approval_growth)^(D115-1))</f>
        <v/>
      </c>
      <c r="J115" s="40">
        <f>(J114-L114)*F115/F114</f>
        <v/>
      </c>
      <c r="K115" s="40">
        <f>(K114-M114)*F115/F114+SUMIFS(O62:O114,B62:B114,B115-1-d_T)*F115</f>
        <v/>
      </c>
      <c r="L115" s="40">
        <f>IF(B115&gt;=in_marketplace_from,J115*d_hz*G115*in_eligible*H115,0)</f>
        <v/>
      </c>
      <c r="M115" s="40">
        <f>IF(B115&gt;=in_marketplace_from,K115*d_hz*G115*in_eligible*in_approved_repeat,0)</f>
        <v/>
      </c>
      <c r="N115" s="40">
        <f>L115+M115</f>
        <v/>
      </c>
      <c r="O115" s="46">
        <f>N115/F115</f>
        <v/>
      </c>
      <c r="P115" s="40">
        <f>F115-J115-K115</f>
        <v/>
      </c>
      <c r="Q115" s="40">
        <f>IF(B115&gt;=in_marketplace_from,(J115+K115)*d_hz*G115,0)</f>
        <v/>
      </c>
      <c r="R115" s="40">
        <f>SUMIFS(N62:N120,B62:B120,"&gt;="&amp;(B115-d_T),B62:B120,"&lt;="&amp;(B115-1))</f>
        <v/>
      </c>
      <c r="S115" s="46">
        <f>(1-d_u)*S114+IF(d_T&gt;in_topup_lag,SUMIFS(O62:O120,B62:B120,B115-in_topup_lag)-d_udrop*SUMIFS(O62:O120,B62:B120,B115-d_T),0)</f>
        <v/>
      </c>
      <c r="T115" s="40">
        <f>F115*d_u*S115</f>
        <v/>
      </c>
      <c r="U115" s="9">
        <f>L115*in_ticket+M115*d_rep_ticket</f>
        <v/>
      </c>
      <c r="V115" s="9">
        <f>U115+T115*d_topup_amt</f>
        <v/>
      </c>
      <c r="W115" s="40">
        <f>N115+T115*d_topup_ratio</f>
        <v/>
      </c>
      <c r="X115" s="40">
        <f>SUMIFS(W62:W120,B62:B120,B115-in_dpd_lag)*d_cured</f>
        <v/>
      </c>
      <c r="Y115" s="40">
        <f>SUMIFS(W62:W120,B62:B120,B115-in_rec_lag)*d_recd</f>
        <v/>
      </c>
      <c r="Z115" s="40">
        <f>IF(AND(B115&gt;=in_marketplace_from,B115&lt;in_marketplace_from+in_card_months),in_card_share/in_card_months*F115*I115,IF(AND(B115&gt;=in_marketplace_from+in_card_months,B115&lt;in_marketplace_from+2*in_card_months),in_card_share*d_card_rem/in_card_months*F115*MIN(in_takeup_cap,(1+in_takeup_growth)^(D115-1))*MIN(in_takeup_cap,(1+in_approval_growth)^(D115-1)),0))</f>
        <v/>
      </c>
      <c r="AA115" s="14">
        <f>V115*in_fee*(1-in_taken_back)</f>
        <v/>
      </c>
      <c r="AB115" s="14">
        <f>SUMIFS(W62:W120,B62:B120,B115-in_dpd_lag)*d_dpd</f>
        <v/>
      </c>
      <c r="AC115" s="14">
        <f>SUMIFS(W62:W120,B62:B120,B115-in_rec_lag)*d_rec</f>
        <v/>
      </c>
      <c r="AD115" s="14">
        <f>Z115*in_card_fee</f>
        <v/>
      </c>
      <c r="AE115" s="40">
        <f>AE114*(1-IF(B114&gt;=in_marketplace_from,d_hz_hlth_small*G114,0))</f>
        <v/>
      </c>
      <c r="AF115" s="46">
        <f>AE115*IF(B115&gt;=in_marketplace_from,d_hz_hlth_small*G115,0)</f>
        <v/>
      </c>
      <c r="AG115" s="14">
        <f>F115*AF115*in_hlth_small_ticket*in_hlth_small_comm*in_ins_partner_share+F115*in_hlth_small_ticket*in_hlth_small_renew_comm*in_ins_partner_share*(in_hlth_small_renew^1*SUMIFS(AF62:AF120,B62:B120,B115-12)+in_hlth_small_renew^2*SUMIFS(AF62:AF120,B62:B120,B115-24)+in_hlth_small_renew^3*SUMIFS(AF62:AF120,B62:B120,B115-36)+in_hlth_small_renew^4*SUMIFS(AF62:AF120,B62:B120,B115-48))</f>
        <v/>
      </c>
      <c r="AH115" s="40">
        <f>AH114*(1-IF(B114&gt;=in_marketplace_from,d_hz_hlth_family*G114,0))</f>
        <v/>
      </c>
      <c r="AI115" s="46">
        <f>AH115*IF(B115&gt;=in_marketplace_from,d_hz_hlth_family*G115,0)</f>
        <v/>
      </c>
      <c r="AJ115" s="14">
        <f>F115*AI115*in_hlth_family_ticket*in_hlth_family_comm*in_ins_partner_share+F115*in_hlth_family_ticket*in_hlth_family_renew_comm*in_ins_partner_share*(in_hlth_family_renew^1*SUMIFS(AI62:AI120,B62:B120,B115-12)+in_hlth_family_renew^2*SUMIFS(AI62:AI120,B62:B120,B115-24)+in_hlth_family_renew^3*SUMIFS(AI62:AI120,B62:B120,B115-36)+in_hlth_family_renew^4*SUMIFS(AI62:AI120,B62:B120,B115-48))</f>
        <v/>
      </c>
      <c r="AK115" s="40">
        <f>AK114*(1-IF(B114&gt;=in_marketplace_from,d_hz_life_term*G114,0))</f>
        <v/>
      </c>
      <c r="AL115" s="46">
        <f>AK115*IF(B115&gt;=in_marketplace_from,d_hz_life_term*G115,0)</f>
        <v/>
      </c>
      <c r="AM115" s="14">
        <f>F115*AL115*in_life_term_ticket*in_life_term_comm*in_ins_partner_share+F115*in_life_term_ticket*in_life_term_renew_comm*in_ins_partner_share*(in_life_term_renew^1*SUMIFS(AL62:AL120,B62:B120,B115-12)+in_life_term_renew^2*SUMIFS(AL62:AL120,B62:B120,B115-24)+in_life_term_renew^3*SUMIFS(AL62:AL120,B62:B120,B115-36)+in_life_term_renew^4*SUMIFS(AL62:AL120,B62:B120,B115-48))</f>
        <v/>
      </c>
      <c r="AN115" s="40">
        <f>AN114*(1-IF(B114&gt;=in_marketplace_from,d_hz_accident*G114,0))</f>
        <v/>
      </c>
      <c r="AO115" s="46">
        <f>AN115*IF(B115&gt;=in_marketplace_from,d_hz_accident*G115,0)</f>
        <v/>
      </c>
      <c r="AP115" s="14">
        <f>F115*AO115*in_accident_ticket*in_accident_comm*in_ins_partner_share+F115*in_accident_ticket*in_accident_renew_comm*in_ins_partner_share*(in_accident_renew^1*SUMIFS(AO62:AO120,B62:B120,B115-12)+in_accident_renew^2*SUMIFS(AO62:AO120,B62:B120,B115-24)+in_accident_renew^3*SUMIFS(AO62:AO120,B62:B120,B115-36)+in_accident_renew^4*SUMIFS(AO62:AO120,B62:B120,B115-48))</f>
        <v/>
      </c>
      <c r="AQ115" s="40">
        <f>AQ114*(1-IF(B114&gt;=in_marketplace_from,d_hz_two_wheeler*G114,0))</f>
        <v/>
      </c>
      <c r="AR115" s="46">
        <f>AQ115*IF(B115&gt;=in_marketplace_from,d_hz_two_wheeler*G115,0)</f>
        <v/>
      </c>
      <c r="AS115" s="14">
        <f>F115*AR115*in_two_wheeler_ticket*in_two_wheeler_comm*in_ins_partner_share+F115*in_two_wheeler_ticket*in_two_wheeler_comm*in_ins_partner_share*(in_two_wheeler_renew^1*SUMIFS(AR62:AR120,B62:B120,B115-12)+in_two_wheeler_renew^2*SUMIFS(AR62:AR120,B62:B120,B115-24)+in_two_wheeler_renew^3*SUMIFS(AR62:AR120,B62:B120,B115-36)+in_two_wheeler_renew^4*SUMIFS(AR62:AR120,B62:B120,B115-48))</f>
        <v/>
      </c>
      <c r="AT115" s="40">
        <f>AT114*(1-IF(B114&gt;=in_marketplace_from,d_hz_device*G114,0))</f>
        <v/>
      </c>
      <c r="AU115" s="14">
        <f>F115*AT115*IF(B115&gt;=in_marketplace_from,d_hz_device*G115,0)*in_device_ticket*in_device_comm*in_ins_partner_share</f>
        <v/>
      </c>
      <c r="AV115" s="40">
        <f>AV114*(1-IF(B114&gt;=in_marketplace_from,d_hz_shop*G114,0))</f>
        <v/>
      </c>
      <c r="AW115" s="46">
        <f>AV115*IF(B115&gt;=in_marketplace_from,d_hz_shop*G115,0)</f>
        <v/>
      </c>
      <c r="AX115" s="14">
        <f>F115*AW115*in_shop_ticket*in_shop_comm*in_ins_partner_share+F115*in_shop_ticket*in_shop_renew_comm*in_ins_partner_share*(in_shop_renew^1*SUMIFS(AW62:AW120,B62:B120,B115-12)+in_shop_renew^2*SUMIFS(AW62:AW120,B62:B120,B115-24)+in_shop_renew^3*SUMIFS(AW62:AW120,B62:B120,B115-36)+in_shop_renew^4*SUMIFS(AW62:AW120,B62:B120,B115-48))</f>
        <v/>
      </c>
      <c r="AY115" s="40">
        <f>AY114*(1-IF(B114&gt;=in_marketplace_from,d_hz_sip*G114,0))</f>
        <v/>
      </c>
      <c r="AZ115" s="40">
        <f>AZ114*d_rho_sip+AY115*IF(B115&gt;=in_marketplace_from,d_hz_sip*G115,0)</f>
        <v/>
      </c>
      <c r="BA115" s="40">
        <f>d_rho_sip*(BA114+AZ114)</f>
        <v/>
      </c>
      <c r="BB115" s="14">
        <f>F115*in_sip_ticket*(BA115+0.5*AZ115)*in_sip_comm/12</f>
        <v/>
      </c>
      <c r="BC115" s="40">
        <f>BC114*(1-IF(B114&gt;=in_marketplace_from,d_hz_choti*G114,0))</f>
        <v/>
      </c>
      <c r="BD115" s="46">
        <f>BC115*IF(B115&gt;=in_marketplace_from,d_hz_choti*G115,0)</f>
        <v/>
      </c>
      <c r="BE115" s="14">
        <f>F115*SUMIFS(BD62:BD120,B62:B120,B115-in_choti_months)*in_choti_renew*in_choti_ticket</f>
        <v/>
      </c>
      <c r="BF115" s="40">
        <f>BF114*(1-IF(B114&gt;=in_marketplace_from,d_hz_nps*G114,0))</f>
        <v/>
      </c>
      <c r="BG115" s="14">
        <f>F115*BF115*IF(B115&gt;=in_marketplace_from,d_hz_nps*G115,0)*in_nps_ticket*in_nps_comm</f>
        <v/>
      </c>
      <c r="BH115" s="40">
        <f>BH114*(1-IF(B114&gt;=in_marketplace_from,d_hz_gold*G114,0))</f>
        <v/>
      </c>
      <c r="BI115" s="40">
        <f>BI114*d_rho_gold+BH115*IF(B115&gt;=in_marketplace_from,d_hz_gold*G115,0)</f>
        <v/>
      </c>
      <c r="BJ115" s="14">
        <f>F115*BI115*in_gold_ticket*in_gold_comm</f>
        <v/>
      </c>
      <c r="BK115" s="40">
        <f>BK114*(1-IF(B114&gt;=in_marketplace_from,d_hz_fd*G114,0))</f>
        <v/>
      </c>
      <c r="BL115" s="14">
        <f>F115*BK115*IF(B115&gt;=in_marketplace_from,d_hz_fd*G115,0)*in_fd_ticket*in_fd_comm</f>
        <v/>
      </c>
      <c r="BM115" s="40">
        <f>BM114*(1-IF(B114&gt;=in_marketplace_from,d_hz_recharge*G114,0))</f>
        <v/>
      </c>
      <c r="BN115" s="40">
        <f>BN114*d_rho_recharge+BM115*IF(B115&gt;=in_marketplace_from,d_hz_recharge*G115,0)</f>
        <v/>
      </c>
      <c r="BO115" s="14">
        <f>F115*BN115*in_recharge_ticket*in_recharge_comm/12</f>
        <v/>
      </c>
      <c r="BP115" s="40">
        <f>BP114*(1-IF(B114&gt;=in_marketplace_from,d_hz_bills*G114,0))</f>
        <v/>
      </c>
      <c r="BQ115" s="40">
        <f>BQ114*d_rho_bills+BP115*IF(B115&gt;=in_marketplace_from,d_hz_bills*G115,0)</f>
        <v/>
      </c>
      <c r="BR115" s="14">
        <f>F115*BQ115*in_bills_ticket*in_bills_comm/12</f>
        <v/>
      </c>
      <c r="BS115" s="40">
        <f>BS114*(1-IF(B114&gt;=in_marketplace_from,d_hz_loan_gold*G114,0))</f>
        <v/>
      </c>
      <c r="BT115" s="14">
        <f>F115*BS115*IF(B115&gt;=in_marketplace_from,d_hz_loan_gold*G115,0)*in_loan_gold_ticket*in_loan_gold_comm</f>
        <v/>
      </c>
      <c r="BU115" s="40">
        <f>BU114*(1-IF(B114&gt;=in_marketplace_from,d_hz_loan_cd*G114,0))</f>
        <v/>
      </c>
      <c r="BV115" s="14">
        <f>F115*BU115*IF(B115&gt;=in_marketplace_from,d_hz_loan_cd*G115,0)*in_loan_cd_ticket*in_loan_cd_comm</f>
        <v/>
      </c>
      <c r="BW115" s="40">
        <f>BW114*(1-IF(B114&gt;=in_marketplace_from,d_hz_loan_vehicle*G114,0))</f>
        <v/>
      </c>
      <c r="BX115" s="14">
        <f>F115*BW115*IF(B115&gt;=in_marketplace_from,d_hz_loan_vehicle*G115,0)*in_loan_vehicle_ticket*in_loan_vehicle_comm</f>
        <v/>
      </c>
      <c r="BY115" s="40">
        <f>BY114*(1-IF(B114&gt;=in_marketplace_from,d_hz_loan_home*G114,0)*BZ114)</f>
        <v/>
      </c>
      <c r="BZ115" s="11">
        <f>MIN(in_approval_cap,in_loan_home_approval*INDEX('Age profile'!$O$2:$O$61,B115)*(1+in_approval_growth)^(D115-1))</f>
        <v/>
      </c>
      <c r="CA115" s="14">
        <f>F115*BY115*IF(B115&gt;=in_marketplace_from,d_hz_loan_home*G115,0)*BZ115*in_loan_home_ticket*in_loan_home_comm</f>
        <v/>
      </c>
      <c r="CB115" s="40">
        <f>CB114*(1-IF(B114&gt;=in_marketplace_from,d_hz_loan_lap*G114,0)*CC114)</f>
        <v/>
      </c>
      <c r="CC115" s="11">
        <f>MIN(in_approval_cap,in_loan_lap_approval*INDEX('Age profile'!$O$2:$O$61,B115)*(1+in_approval_growth)^(D115-1))</f>
        <v/>
      </c>
      <c r="CD115" s="14">
        <f>F115*CB115*IF(B115&gt;=in_marketplace_from,d_hz_loan_lap*G115,0)*CC115*in_loan_lap_ticket*in_loan_lap_comm</f>
        <v/>
      </c>
      <c r="CE115" s="14">
        <f>AA115+AB115+AC115+AD115+AG115+AJ115+AM115+AP115+AS115+AU115+AX115+BB115+BE115+BG115+BJ115+BL115+BO115+BR115+BT115+BV115+BX115+CA115+CD115</f>
        <v/>
      </c>
    </row>
    <row r="116">
      <c r="A116" s="39" t="n">
        <v>2</v>
      </c>
      <c r="B116" s="39" t="n">
        <v>55</v>
      </c>
      <c r="C116" s="39">
        <f>A116+B116-1</f>
        <v/>
      </c>
      <c r="D116" s="39">
        <f>INT((C116-1)/12)+1</f>
        <v/>
      </c>
      <c r="E116" s="44">
        <f>INDEX(Monthly!$B$2:$B$61,A116)</f>
        <v/>
      </c>
      <c r="F116" s="44">
        <f>E116*INDEX('Age profile'!$B$2:$B$61,B116)</f>
        <v/>
      </c>
      <c r="G116" s="45">
        <f>MIN(in_takeup_cap,INDEX('Age profile'!$N$2:$N$61,B116)*(1+in_takeup_growth)^(D116-1))</f>
        <v/>
      </c>
      <c r="H116" s="11">
        <f>MIN(in_approval_cap,in_approved_first*INDEX('Age profile'!$O$2:$O$61,B116)*(1+in_approval_growth)^(D116-1))</f>
        <v/>
      </c>
      <c r="I116" s="45">
        <f>G116*MIN(in_takeup_cap,INDEX('Age profile'!$O$2:$O$61,B116)*(1+in_approval_growth)^(D116-1))</f>
        <v/>
      </c>
      <c r="J116" s="40">
        <f>(J115-L115)*F116/F115</f>
        <v/>
      </c>
      <c r="K116" s="40">
        <f>(K115-M115)*F116/F115+SUMIFS(O62:O115,B62:B115,B116-1-d_T)*F116</f>
        <v/>
      </c>
      <c r="L116" s="40">
        <f>IF(B116&gt;=in_marketplace_from,J116*d_hz*G116*in_eligible*H116,0)</f>
        <v/>
      </c>
      <c r="M116" s="40">
        <f>IF(B116&gt;=in_marketplace_from,K116*d_hz*G116*in_eligible*in_approved_repeat,0)</f>
        <v/>
      </c>
      <c r="N116" s="40">
        <f>L116+M116</f>
        <v/>
      </c>
      <c r="O116" s="46">
        <f>N116/F116</f>
        <v/>
      </c>
      <c r="P116" s="40">
        <f>F116-J116-K116</f>
        <v/>
      </c>
      <c r="Q116" s="40">
        <f>IF(B116&gt;=in_marketplace_from,(J116+K116)*d_hz*G116,0)</f>
        <v/>
      </c>
      <c r="R116" s="40">
        <f>SUMIFS(N62:N120,B62:B120,"&gt;="&amp;(B116-d_T),B62:B120,"&lt;="&amp;(B116-1))</f>
        <v/>
      </c>
      <c r="S116" s="46">
        <f>(1-d_u)*S115+IF(d_T&gt;in_topup_lag,SUMIFS(O62:O120,B62:B120,B116-in_topup_lag)-d_udrop*SUMIFS(O62:O120,B62:B120,B116-d_T),0)</f>
        <v/>
      </c>
      <c r="T116" s="40">
        <f>F116*d_u*S116</f>
        <v/>
      </c>
      <c r="U116" s="9">
        <f>L116*in_ticket+M116*d_rep_ticket</f>
        <v/>
      </c>
      <c r="V116" s="9">
        <f>U116+T116*d_topup_amt</f>
        <v/>
      </c>
      <c r="W116" s="40">
        <f>N116+T116*d_topup_ratio</f>
        <v/>
      </c>
      <c r="X116" s="40">
        <f>SUMIFS(W62:W120,B62:B120,B116-in_dpd_lag)*d_cured</f>
        <v/>
      </c>
      <c r="Y116" s="40">
        <f>SUMIFS(W62:W120,B62:B120,B116-in_rec_lag)*d_recd</f>
        <v/>
      </c>
      <c r="Z116" s="40">
        <f>IF(AND(B116&gt;=in_marketplace_from,B116&lt;in_marketplace_from+in_card_months),in_card_share/in_card_months*F116*I116,IF(AND(B116&gt;=in_marketplace_from+in_card_months,B116&lt;in_marketplace_from+2*in_card_months),in_card_share*d_card_rem/in_card_months*F116*MIN(in_takeup_cap,(1+in_takeup_growth)^(D116-1))*MIN(in_takeup_cap,(1+in_approval_growth)^(D116-1)),0))</f>
        <v/>
      </c>
      <c r="AA116" s="14">
        <f>V116*in_fee*(1-in_taken_back)</f>
        <v/>
      </c>
      <c r="AB116" s="14">
        <f>SUMIFS(W62:W120,B62:B120,B116-in_dpd_lag)*d_dpd</f>
        <v/>
      </c>
      <c r="AC116" s="14">
        <f>SUMIFS(W62:W120,B62:B120,B116-in_rec_lag)*d_rec</f>
        <v/>
      </c>
      <c r="AD116" s="14">
        <f>Z116*in_card_fee</f>
        <v/>
      </c>
      <c r="AE116" s="40">
        <f>AE115*(1-IF(B115&gt;=in_marketplace_from,d_hz_hlth_small*G115,0))</f>
        <v/>
      </c>
      <c r="AF116" s="46">
        <f>AE116*IF(B116&gt;=in_marketplace_from,d_hz_hlth_small*G116,0)</f>
        <v/>
      </c>
      <c r="AG116" s="14">
        <f>F116*AF116*in_hlth_small_ticket*in_hlth_small_comm*in_ins_partner_share+F116*in_hlth_small_ticket*in_hlth_small_renew_comm*in_ins_partner_share*(in_hlth_small_renew^1*SUMIFS(AF62:AF120,B62:B120,B116-12)+in_hlth_small_renew^2*SUMIFS(AF62:AF120,B62:B120,B116-24)+in_hlth_small_renew^3*SUMIFS(AF62:AF120,B62:B120,B116-36)+in_hlth_small_renew^4*SUMIFS(AF62:AF120,B62:B120,B116-48))</f>
        <v/>
      </c>
      <c r="AH116" s="40">
        <f>AH115*(1-IF(B115&gt;=in_marketplace_from,d_hz_hlth_family*G115,0))</f>
        <v/>
      </c>
      <c r="AI116" s="46">
        <f>AH116*IF(B116&gt;=in_marketplace_from,d_hz_hlth_family*G116,0)</f>
        <v/>
      </c>
      <c r="AJ116" s="14">
        <f>F116*AI116*in_hlth_family_ticket*in_hlth_family_comm*in_ins_partner_share+F116*in_hlth_family_ticket*in_hlth_family_renew_comm*in_ins_partner_share*(in_hlth_family_renew^1*SUMIFS(AI62:AI120,B62:B120,B116-12)+in_hlth_family_renew^2*SUMIFS(AI62:AI120,B62:B120,B116-24)+in_hlth_family_renew^3*SUMIFS(AI62:AI120,B62:B120,B116-36)+in_hlth_family_renew^4*SUMIFS(AI62:AI120,B62:B120,B116-48))</f>
        <v/>
      </c>
      <c r="AK116" s="40">
        <f>AK115*(1-IF(B115&gt;=in_marketplace_from,d_hz_life_term*G115,0))</f>
        <v/>
      </c>
      <c r="AL116" s="46">
        <f>AK116*IF(B116&gt;=in_marketplace_from,d_hz_life_term*G116,0)</f>
        <v/>
      </c>
      <c r="AM116" s="14">
        <f>F116*AL116*in_life_term_ticket*in_life_term_comm*in_ins_partner_share+F116*in_life_term_ticket*in_life_term_renew_comm*in_ins_partner_share*(in_life_term_renew^1*SUMIFS(AL62:AL120,B62:B120,B116-12)+in_life_term_renew^2*SUMIFS(AL62:AL120,B62:B120,B116-24)+in_life_term_renew^3*SUMIFS(AL62:AL120,B62:B120,B116-36)+in_life_term_renew^4*SUMIFS(AL62:AL120,B62:B120,B116-48))</f>
        <v/>
      </c>
      <c r="AN116" s="40">
        <f>AN115*(1-IF(B115&gt;=in_marketplace_from,d_hz_accident*G115,0))</f>
        <v/>
      </c>
      <c r="AO116" s="46">
        <f>AN116*IF(B116&gt;=in_marketplace_from,d_hz_accident*G116,0)</f>
        <v/>
      </c>
      <c r="AP116" s="14">
        <f>F116*AO116*in_accident_ticket*in_accident_comm*in_ins_partner_share+F116*in_accident_ticket*in_accident_renew_comm*in_ins_partner_share*(in_accident_renew^1*SUMIFS(AO62:AO120,B62:B120,B116-12)+in_accident_renew^2*SUMIFS(AO62:AO120,B62:B120,B116-24)+in_accident_renew^3*SUMIFS(AO62:AO120,B62:B120,B116-36)+in_accident_renew^4*SUMIFS(AO62:AO120,B62:B120,B116-48))</f>
        <v/>
      </c>
      <c r="AQ116" s="40">
        <f>AQ115*(1-IF(B115&gt;=in_marketplace_from,d_hz_two_wheeler*G115,0))</f>
        <v/>
      </c>
      <c r="AR116" s="46">
        <f>AQ116*IF(B116&gt;=in_marketplace_from,d_hz_two_wheeler*G116,0)</f>
        <v/>
      </c>
      <c r="AS116" s="14">
        <f>F116*AR116*in_two_wheeler_ticket*in_two_wheeler_comm*in_ins_partner_share+F116*in_two_wheeler_ticket*in_two_wheeler_comm*in_ins_partner_share*(in_two_wheeler_renew^1*SUMIFS(AR62:AR120,B62:B120,B116-12)+in_two_wheeler_renew^2*SUMIFS(AR62:AR120,B62:B120,B116-24)+in_two_wheeler_renew^3*SUMIFS(AR62:AR120,B62:B120,B116-36)+in_two_wheeler_renew^4*SUMIFS(AR62:AR120,B62:B120,B116-48))</f>
        <v/>
      </c>
      <c r="AT116" s="40">
        <f>AT115*(1-IF(B115&gt;=in_marketplace_from,d_hz_device*G115,0))</f>
        <v/>
      </c>
      <c r="AU116" s="14">
        <f>F116*AT116*IF(B116&gt;=in_marketplace_from,d_hz_device*G116,0)*in_device_ticket*in_device_comm*in_ins_partner_share</f>
        <v/>
      </c>
      <c r="AV116" s="40">
        <f>AV115*(1-IF(B115&gt;=in_marketplace_from,d_hz_shop*G115,0))</f>
        <v/>
      </c>
      <c r="AW116" s="46">
        <f>AV116*IF(B116&gt;=in_marketplace_from,d_hz_shop*G116,0)</f>
        <v/>
      </c>
      <c r="AX116" s="14">
        <f>F116*AW116*in_shop_ticket*in_shop_comm*in_ins_partner_share+F116*in_shop_ticket*in_shop_renew_comm*in_ins_partner_share*(in_shop_renew^1*SUMIFS(AW62:AW120,B62:B120,B116-12)+in_shop_renew^2*SUMIFS(AW62:AW120,B62:B120,B116-24)+in_shop_renew^3*SUMIFS(AW62:AW120,B62:B120,B116-36)+in_shop_renew^4*SUMIFS(AW62:AW120,B62:B120,B116-48))</f>
        <v/>
      </c>
      <c r="AY116" s="40">
        <f>AY115*(1-IF(B115&gt;=in_marketplace_from,d_hz_sip*G115,0))</f>
        <v/>
      </c>
      <c r="AZ116" s="40">
        <f>AZ115*d_rho_sip+AY116*IF(B116&gt;=in_marketplace_from,d_hz_sip*G116,0)</f>
        <v/>
      </c>
      <c r="BA116" s="40">
        <f>d_rho_sip*(BA115+AZ115)</f>
        <v/>
      </c>
      <c r="BB116" s="14">
        <f>F116*in_sip_ticket*(BA116+0.5*AZ116)*in_sip_comm/12</f>
        <v/>
      </c>
      <c r="BC116" s="40">
        <f>BC115*(1-IF(B115&gt;=in_marketplace_from,d_hz_choti*G115,0))</f>
        <v/>
      </c>
      <c r="BD116" s="46">
        <f>BC116*IF(B116&gt;=in_marketplace_from,d_hz_choti*G116,0)</f>
        <v/>
      </c>
      <c r="BE116" s="14">
        <f>F116*SUMIFS(BD62:BD120,B62:B120,B116-in_choti_months)*in_choti_renew*in_choti_ticket</f>
        <v/>
      </c>
      <c r="BF116" s="40">
        <f>BF115*(1-IF(B115&gt;=in_marketplace_from,d_hz_nps*G115,0))</f>
        <v/>
      </c>
      <c r="BG116" s="14">
        <f>F116*BF116*IF(B116&gt;=in_marketplace_from,d_hz_nps*G116,0)*in_nps_ticket*in_nps_comm</f>
        <v/>
      </c>
      <c r="BH116" s="40">
        <f>BH115*(1-IF(B115&gt;=in_marketplace_from,d_hz_gold*G115,0))</f>
        <v/>
      </c>
      <c r="BI116" s="40">
        <f>BI115*d_rho_gold+BH116*IF(B116&gt;=in_marketplace_from,d_hz_gold*G116,0)</f>
        <v/>
      </c>
      <c r="BJ116" s="14">
        <f>F116*BI116*in_gold_ticket*in_gold_comm</f>
        <v/>
      </c>
      <c r="BK116" s="40">
        <f>BK115*(1-IF(B115&gt;=in_marketplace_from,d_hz_fd*G115,0))</f>
        <v/>
      </c>
      <c r="BL116" s="14">
        <f>F116*BK116*IF(B116&gt;=in_marketplace_from,d_hz_fd*G116,0)*in_fd_ticket*in_fd_comm</f>
        <v/>
      </c>
      <c r="BM116" s="40">
        <f>BM115*(1-IF(B115&gt;=in_marketplace_from,d_hz_recharge*G115,0))</f>
        <v/>
      </c>
      <c r="BN116" s="40">
        <f>BN115*d_rho_recharge+BM116*IF(B116&gt;=in_marketplace_from,d_hz_recharge*G116,0)</f>
        <v/>
      </c>
      <c r="BO116" s="14">
        <f>F116*BN116*in_recharge_ticket*in_recharge_comm/12</f>
        <v/>
      </c>
      <c r="BP116" s="40">
        <f>BP115*(1-IF(B115&gt;=in_marketplace_from,d_hz_bills*G115,0))</f>
        <v/>
      </c>
      <c r="BQ116" s="40">
        <f>BQ115*d_rho_bills+BP116*IF(B116&gt;=in_marketplace_from,d_hz_bills*G116,0)</f>
        <v/>
      </c>
      <c r="BR116" s="14">
        <f>F116*BQ116*in_bills_ticket*in_bills_comm/12</f>
        <v/>
      </c>
      <c r="BS116" s="40">
        <f>BS115*(1-IF(B115&gt;=in_marketplace_from,d_hz_loan_gold*G115,0))</f>
        <v/>
      </c>
      <c r="BT116" s="14">
        <f>F116*BS116*IF(B116&gt;=in_marketplace_from,d_hz_loan_gold*G116,0)*in_loan_gold_ticket*in_loan_gold_comm</f>
        <v/>
      </c>
      <c r="BU116" s="40">
        <f>BU115*(1-IF(B115&gt;=in_marketplace_from,d_hz_loan_cd*G115,0))</f>
        <v/>
      </c>
      <c r="BV116" s="14">
        <f>F116*BU116*IF(B116&gt;=in_marketplace_from,d_hz_loan_cd*G116,0)*in_loan_cd_ticket*in_loan_cd_comm</f>
        <v/>
      </c>
      <c r="BW116" s="40">
        <f>BW115*(1-IF(B115&gt;=in_marketplace_from,d_hz_loan_vehicle*G115,0))</f>
        <v/>
      </c>
      <c r="BX116" s="14">
        <f>F116*BW116*IF(B116&gt;=in_marketplace_from,d_hz_loan_vehicle*G116,0)*in_loan_vehicle_ticket*in_loan_vehicle_comm</f>
        <v/>
      </c>
      <c r="BY116" s="40">
        <f>BY115*(1-IF(B115&gt;=in_marketplace_from,d_hz_loan_home*G115,0)*BZ115)</f>
        <v/>
      </c>
      <c r="BZ116" s="11">
        <f>MIN(in_approval_cap,in_loan_home_approval*INDEX('Age profile'!$O$2:$O$61,B116)*(1+in_approval_growth)^(D116-1))</f>
        <v/>
      </c>
      <c r="CA116" s="14">
        <f>F116*BY116*IF(B116&gt;=in_marketplace_from,d_hz_loan_home*G116,0)*BZ116*in_loan_home_ticket*in_loan_home_comm</f>
        <v/>
      </c>
      <c r="CB116" s="40">
        <f>CB115*(1-IF(B115&gt;=in_marketplace_from,d_hz_loan_lap*G115,0)*CC115)</f>
        <v/>
      </c>
      <c r="CC116" s="11">
        <f>MIN(in_approval_cap,in_loan_lap_approval*INDEX('Age profile'!$O$2:$O$61,B116)*(1+in_approval_growth)^(D116-1))</f>
        <v/>
      </c>
      <c r="CD116" s="14">
        <f>F116*CB116*IF(B116&gt;=in_marketplace_from,d_hz_loan_lap*G116,0)*CC116*in_loan_lap_ticket*in_loan_lap_comm</f>
        <v/>
      </c>
      <c r="CE116" s="14">
        <f>AA116+AB116+AC116+AD116+AG116+AJ116+AM116+AP116+AS116+AU116+AX116+BB116+BE116+BG116+BJ116+BL116+BO116+BR116+BT116+BV116+BX116+CA116+CD116</f>
        <v/>
      </c>
    </row>
    <row r="117">
      <c r="A117" s="39" t="n">
        <v>2</v>
      </c>
      <c r="B117" s="39" t="n">
        <v>56</v>
      </c>
      <c r="C117" s="39">
        <f>A117+B117-1</f>
        <v/>
      </c>
      <c r="D117" s="39">
        <f>INT((C117-1)/12)+1</f>
        <v/>
      </c>
      <c r="E117" s="44">
        <f>INDEX(Monthly!$B$2:$B$61,A117)</f>
        <v/>
      </c>
      <c r="F117" s="44">
        <f>E117*INDEX('Age profile'!$B$2:$B$61,B117)</f>
        <v/>
      </c>
      <c r="G117" s="45">
        <f>MIN(in_takeup_cap,INDEX('Age profile'!$N$2:$N$61,B117)*(1+in_takeup_growth)^(D117-1))</f>
        <v/>
      </c>
      <c r="H117" s="11">
        <f>MIN(in_approval_cap,in_approved_first*INDEX('Age profile'!$O$2:$O$61,B117)*(1+in_approval_growth)^(D117-1))</f>
        <v/>
      </c>
      <c r="I117" s="45">
        <f>G117*MIN(in_takeup_cap,INDEX('Age profile'!$O$2:$O$61,B117)*(1+in_approval_growth)^(D117-1))</f>
        <v/>
      </c>
      <c r="J117" s="40">
        <f>(J116-L116)*F117/F116</f>
        <v/>
      </c>
      <c r="K117" s="40">
        <f>(K116-M116)*F117/F116+SUMIFS(O62:O116,B62:B116,B117-1-d_T)*F117</f>
        <v/>
      </c>
      <c r="L117" s="40">
        <f>IF(B117&gt;=in_marketplace_from,J117*d_hz*G117*in_eligible*H117,0)</f>
        <v/>
      </c>
      <c r="M117" s="40">
        <f>IF(B117&gt;=in_marketplace_from,K117*d_hz*G117*in_eligible*in_approved_repeat,0)</f>
        <v/>
      </c>
      <c r="N117" s="40">
        <f>L117+M117</f>
        <v/>
      </c>
      <c r="O117" s="46">
        <f>N117/F117</f>
        <v/>
      </c>
      <c r="P117" s="40">
        <f>F117-J117-K117</f>
        <v/>
      </c>
      <c r="Q117" s="40">
        <f>IF(B117&gt;=in_marketplace_from,(J117+K117)*d_hz*G117,0)</f>
        <v/>
      </c>
      <c r="R117" s="40">
        <f>SUMIFS(N62:N120,B62:B120,"&gt;="&amp;(B117-d_T),B62:B120,"&lt;="&amp;(B117-1))</f>
        <v/>
      </c>
      <c r="S117" s="46">
        <f>(1-d_u)*S116+IF(d_T&gt;in_topup_lag,SUMIFS(O62:O120,B62:B120,B117-in_topup_lag)-d_udrop*SUMIFS(O62:O120,B62:B120,B117-d_T),0)</f>
        <v/>
      </c>
      <c r="T117" s="40">
        <f>F117*d_u*S117</f>
        <v/>
      </c>
      <c r="U117" s="9">
        <f>L117*in_ticket+M117*d_rep_ticket</f>
        <v/>
      </c>
      <c r="V117" s="9">
        <f>U117+T117*d_topup_amt</f>
        <v/>
      </c>
      <c r="W117" s="40">
        <f>N117+T117*d_topup_ratio</f>
        <v/>
      </c>
      <c r="X117" s="40">
        <f>SUMIFS(W62:W120,B62:B120,B117-in_dpd_lag)*d_cured</f>
        <v/>
      </c>
      <c r="Y117" s="40">
        <f>SUMIFS(W62:W120,B62:B120,B117-in_rec_lag)*d_recd</f>
        <v/>
      </c>
      <c r="Z117" s="40">
        <f>IF(AND(B117&gt;=in_marketplace_from,B117&lt;in_marketplace_from+in_card_months),in_card_share/in_card_months*F117*I117,IF(AND(B117&gt;=in_marketplace_from+in_card_months,B117&lt;in_marketplace_from+2*in_card_months),in_card_share*d_card_rem/in_card_months*F117*MIN(in_takeup_cap,(1+in_takeup_growth)^(D117-1))*MIN(in_takeup_cap,(1+in_approval_growth)^(D117-1)),0))</f>
        <v/>
      </c>
      <c r="AA117" s="14">
        <f>V117*in_fee*(1-in_taken_back)</f>
        <v/>
      </c>
      <c r="AB117" s="14">
        <f>SUMIFS(W62:W120,B62:B120,B117-in_dpd_lag)*d_dpd</f>
        <v/>
      </c>
      <c r="AC117" s="14">
        <f>SUMIFS(W62:W120,B62:B120,B117-in_rec_lag)*d_rec</f>
        <v/>
      </c>
      <c r="AD117" s="14">
        <f>Z117*in_card_fee</f>
        <v/>
      </c>
      <c r="AE117" s="40">
        <f>AE116*(1-IF(B116&gt;=in_marketplace_from,d_hz_hlth_small*G116,0))</f>
        <v/>
      </c>
      <c r="AF117" s="46">
        <f>AE117*IF(B117&gt;=in_marketplace_from,d_hz_hlth_small*G117,0)</f>
        <v/>
      </c>
      <c r="AG117" s="14">
        <f>F117*AF117*in_hlth_small_ticket*in_hlth_small_comm*in_ins_partner_share+F117*in_hlth_small_ticket*in_hlth_small_renew_comm*in_ins_partner_share*(in_hlth_small_renew^1*SUMIFS(AF62:AF120,B62:B120,B117-12)+in_hlth_small_renew^2*SUMIFS(AF62:AF120,B62:B120,B117-24)+in_hlth_small_renew^3*SUMIFS(AF62:AF120,B62:B120,B117-36)+in_hlth_small_renew^4*SUMIFS(AF62:AF120,B62:B120,B117-48))</f>
        <v/>
      </c>
      <c r="AH117" s="40">
        <f>AH116*(1-IF(B116&gt;=in_marketplace_from,d_hz_hlth_family*G116,0))</f>
        <v/>
      </c>
      <c r="AI117" s="46">
        <f>AH117*IF(B117&gt;=in_marketplace_from,d_hz_hlth_family*G117,0)</f>
        <v/>
      </c>
      <c r="AJ117" s="14">
        <f>F117*AI117*in_hlth_family_ticket*in_hlth_family_comm*in_ins_partner_share+F117*in_hlth_family_ticket*in_hlth_family_renew_comm*in_ins_partner_share*(in_hlth_family_renew^1*SUMIFS(AI62:AI120,B62:B120,B117-12)+in_hlth_family_renew^2*SUMIFS(AI62:AI120,B62:B120,B117-24)+in_hlth_family_renew^3*SUMIFS(AI62:AI120,B62:B120,B117-36)+in_hlth_family_renew^4*SUMIFS(AI62:AI120,B62:B120,B117-48))</f>
        <v/>
      </c>
      <c r="AK117" s="40">
        <f>AK116*(1-IF(B116&gt;=in_marketplace_from,d_hz_life_term*G116,0))</f>
        <v/>
      </c>
      <c r="AL117" s="46">
        <f>AK117*IF(B117&gt;=in_marketplace_from,d_hz_life_term*G117,0)</f>
        <v/>
      </c>
      <c r="AM117" s="14">
        <f>F117*AL117*in_life_term_ticket*in_life_term_comm*in_ins_partner_share+F117*in_life_term_ticket*in_life_term_renew_comm*in_ins_partner_share*(in_life_term_renew^1*SUMIFS(AL62:AL120,B62:B120,B117-12)+in_life_term_renew^2*SUMIFS(AL62:AL120,B62:B120,B117-24)+in_life_term_renew^3*SUMIFS(AL62:AL120,B62:B120,B117-36)+in_life_term_renew^4*SUMIFS(AL62:AL120,B62:B120,B117-48))</f>
        <v/>
      </c>
      <c r="AN117" s="40">
        <f>AN116*(1-IF(B116&gt;=in_marketplace_from,d_hz_accident*G116,0))</f>
        <v/>
      </c>
      <c r="AO117" s="46">
        <f>AN117*IF(B117&gt;=in_marketplace_from,d_hz_accident*G117,0)</f>
        <v/>
      </c>
      <c r="AP117" s="14">
        <f>F117*AO117*in_accident_ticket*in_accident_comm*in_ins_partner_share+F117*in_accident_ticket*in_accident_renew_comm*in_ins_partner_share*(in_accident_renew^1*SUMIFS(AO62:AO120,B62:B120,B117-12)+in_accident_renew^2*SUMIFS(AO62:AO120,B62:B120,B117-24)+in_accident_renew^3*SUMIFS(AO62:AO120,B62:B120,B117-36)+in_accident_renew^4*SUMIFS(AO62:AO120,B62:B120,B117-48))</f>
        <v/>
      </c>
      <c r="AQ117" s="40">
        <f>AQ116*(1-IF(B116&gt;=in_marketplace_from,d_hz_two_wheeler*G116,0))</f>
        <v/>
      </c>
      <c r="AR117" s="46">
        <f>AQ117*IF(B117&gt;=in_marketplace_from,d_hz_two_wheeler*G117,0)</f>
        <v/>
      </c>
      <c r="AS117" s="14">
        <f>F117*AR117*in_two_wheeler_ticket*in_two_wheeler_comm*in_ins_partner_share+F117*in_two_wheeler_ticket*in_two_wheeler_comm*in_ins_partner_share*(in_two_wheeler_renew^1*SUMIFS(AR62:AR120,B62:B120,B117-12)+in_two_wheeler_renew^2*SUMIFS(AR62:AR120,B62:B120,B117-24)+in_two_wheeler_renew^3*SUMIFS(AR62:AR120,B62:B120,B117-36)+in_two_wheeler_renew^4*SUMIFS(AR62:AR120,B62:B120,B117-48))</f>
        <v/>
      </c>
      <c r="AT117" s="40">
        <f>AT116*(1-IF(B116&gt;=in_marketplace_from,d_hz_device*G116,0))</f>
        <v/>
      </c>
      <c r="AU117" s="14">
        <f>F117*AT117*IF(B117&gt;=in_marketplace_from,d_hz_device*G117,0)*in_device_ticket*in_device_comm*in_ins_partner_share</f>
        <v/>
      </c>
      <c r="AV117" s="40">
        <f>AV116*(1-IF(B116&gt;=in_marketplace_from,d_hz_shop*G116,0))</f>
        <v/>
      </c>
      <c r="AW117" s="46">
        <f>AV117*IF(B117&gt;=in_marketplace_from,d_hz_shop*G117,0)</f>
        <v/>
      </c>
      <c r="AX117" s="14">
        <f>F117*AW117*in_shop_ticket*in_shop_comm*in_ins_partner_share+F117*in_shop_ticket*in_shop_renew_comm*in_ins_partner_share*(in_shop_renew^1*SUMIFS(AW62:AW120,B62:B120,B117-12)+in_shop_renew^2*SUMIFS(AW62:AW120,B62:B120,B117-24)+in_shop_renew^3*SUMIFS(AW62:AW120,B62:B120,B117-36)+in_shop_renew^4*SUMIFS(AW62:AW120,B62:B120,B117-48))</f>
        <v/>
      </c>
      <c r="AY117" s="40">
        <f>AY116*(1-IF(B116&gt;=in_marketplace_from,d_hz_sip*G116,0))</f>
        <v/>
      </c>
      <c r="AZ117" s="40">
        <f>AZ116*d_rho_sip+AY117*IF(B117&gt;=in_marketplace_from,d_hz_sip*G117,0)</f>
        <v/>
      </c>
      <c r="BA117" s="40">
        <f>d_rho_sip*(BA116+AZ116)</f>
        <v/>
      </c>
      <c r="BB117" s="14">
        <f>F117*in_sip_ticket*(BA117+0.5*AZ117)*in_sip_comm/12</f>
        <v/>
      </c>
      <c r="BC117" s="40">
        <f>BC116*(1-IF(B116&gt;=in_marketplace_from,d_hz_choti*G116,0))</f>
        <v/>
      </c>
      <c r="BD117" s="46">
        <f>BC117*IF(B117&gt;=in_marketplace_from,d_hz_choti*G117,0)</f>
        <v/>
      </c>
      <c r="BE117" s="14">
        <f>F117*SUMIFS(BD62:BD120,B62:B120,B117-in_choti_months)*in_choti_renew*in_choti_ticket</f>
        <v/>
      </c>
      <c r="BF117" s="40">
        <f>BF116*(1-IF(B116&gt;=in_marketplace_from,d_hz_nps*G116,0))</f>
        <v/>
      </c>
      <c r="BG117" s="14">
        <f>F117*BF117*IF(B117&gt;=in_marketplace_from,d_hz_nps*G117,0)*in_nps_ticket*in_nps_comm</f>
        <v/>
      </c>
      <c r="BH117" s="40">
        <f>BH116*(1-IF(B116&gt;=in_marketplace_from,d_hz_gold*G116,0))</f>
        <v/>
      </c>
      <c r="BI117" s="40">
        <f>BI116*d_rho_gold+BH117*IF(B117&gt;=in_marketplace_from,d_hz_gold*G117,0)</f>
        <v/>
      </c>
      <c r="BJ117" s="14">
        <f>F117*BI117*in_gold_ticket*in_gold_comm</f>
        <v/>
      </c>
      <c r="BK117" s="40">
        <f>BK116*(1-IF(B116&gt;=in_marketplace_from,d_hz_fd*G116,0))</f>
        <v/>
      </c>
      <c r="BL117" s="14">
        <f>F117*BK117*IF(B117&gt;=in_marketplace_from,d_hz_fd*G117,0)*in_fd_ticket*in_fd_comm</f>
        <v/>
      </c>
      <c r="BM117" s="40">
        <f>BM116*(1-IF(B116&gt;=in_marketplace_from,d_hz_recharge*G116,0))</f>
        <v/>
      </c>
      <c r="BN117" s="40">
        <f>BN116*d_rho_recharge+BM117*IF(B117&gt;=in_marketplace_from,d_hz_recharge*G117,0)</f>
        <v/>
      </c>
      <c r="BO117" s="14">
        <f>F117*BN117*in_recharge_ticket*in_recharge_comm/12</f>
        <v/>
      </c>
      <c r="BP117" s="40">
        <f>BP116*(1-IF(B116&gt;=in_marketplace_from,d_hz_bills*G116,0))</f>
        <v/>
      </c>
      <c r="BQ117" s="40">
        <f>BQ116*d_rho_bills+BP117*IF(B117&gt;=in_marketplace_from,d_hz_bills*G117,0)</f>
        <v/>
      </c>
      <c r="BR117" s="14">
        <f>F117*BQ117*in_bills_ticket*in_bills_comm/12</f>
        <v/>
      </c>
      <c r="BS117" s="40">
        <f>BS116*(1-IF(B116&gt;=in_marketplace_from,d_hz_loan_gold*G116,0))</f>
        <v/>
      </c>
      <c r="BT117" s="14">
        <f>F117*BS117*IF(B117&gt;=in_marketplace_from,d_hz_loan_gold*G117,0)*in_loan_gold_ticket*in_loan_gold_comm</f>
        <v/>
      </c>
      <c r="BU117" s="40">
        <f>BU116*(1-IF(B116&gt;=in_marketplace_from,d_hz_loan_cd*G116,0))</f>
        <v/>
      </c>
      <c r="BV117" s="14">
        <f>F117*BU117*IF(B117&gt;=in_marketplace_from,d_hz_loan_cd*G117,0)*in_loan_cd_ticket*in_loan_cd_comm</f>
        <v/>
      </c>
      <c r="BW117" s="40">
        <f>BW116*(1-IF(B116&gt;=in_marketplace_from,d_hz_loan_vehicle*G116,0))</f>
        <v/>
      </c>
      <c r="BX117" s="14">
        <f>F117*BW117*IF(B117&gt;=in_marketplace_from,d_hz_loan_vehicle*G117,0)*in_loan_vehicle_ticket*in_loan_vehicle_comm</f>
        <v/>
      </c>
      <c r="BY117" s="40">
        <f>BY116*(1-IF(B116&gt;=in_marketplace_from,d_hz_loan_home*G116,0)*BZ116)</f>
        <v/>
      </c>
      <c r="BZ117" s="11">
        <f>MIN(in_approval_cap,in_loan_home_approval*INDEX('Age profile'!$O$2:$O$61,B117)*(1+in_approval_growth)^(D117-1))</f>
        <v/>
      </c>
      <c r="CA117" s="14">
        <f>F117*BY117*IF(B117&gt;=in_marketplace_from,d_hz_loan_home*G117,0)*BZ117*in_loan_home_ticket*in_loan_home_comm</f>
        <v/>
      </c>
      <c r="CB117" s="40">
        <f>CB116*(1-IF(B116&gt;=in_marketplace_from,d_hz_loan_lap*G116,0)*CC116)</f>
        <v/>
      </c>
      <c r="CC117" s="11">
        <f>MIN(in_approval_cap,in_loan_lap_approval*INDEX('Age profile'!$O$2:$O$61,B117)*(1+in_approval_growth)^(D117-1))</f>
        <v/>
      </c>
      <c r="CD117" s="14">
        <f>F117*CB117*IF(B117&gt;=in_marketplace_from,d_hz_loan_lap*G117,0)*CC117*in_loan_lap_ticket*in_loan_lap_comm</f>
        <v/>
      </c>
      <c r="CE117" s="14">
        <f>AA117+AB117+AC117+AD117+AG117+AJ117+AM117+AP117+AS117+AU117+AX117+BB117+BE117+BG117+BJ117+BL117+BO117+BR117+BT117+BV117+BX117+CA117+CD117</f>
        <v/>
      </c>
    </row>
    <row r="118">
      <c r="A118" s="39" t="n">
        <v>2</v>
      </c>
      <c r="B118" s="39" t="n">
        <v>57</v>
      </c>
      <c r="C118" s="39">
        <f>A118+B118-1</f>
        <v/>
      </c>
      <c r="D118" s="39">
        <f>INT((C118-1)/12)+1</f>
        <v/>
      </c>
      <c r="E118" s="44">
        <f>INDEX(Monthly!$B$2:$B$61,A118)</f>
        <v/>
      </c>
      <c r="F118" s="44">
        <f>E118*INDEX('Age profile'!$B$2:$B$61,B118)</f>
        <v/>
      </c>
      <c r="G118" s="45">
        <f>MIN(in_takeup_cap,INDEX('Age profile'!$N$2:$N$61,B118)*(1+in_takeup_growth)^(D118-1))</f>
        <v/>
      </c>
      <c r="H118" s="11">
        <f>MIN(in_approval_cap,in_approved_first*INDEX('Age profile'!$O$2:$O$61,B118)*(1+in_approval_growth)^(D118-1))</f>
        <v/>
      </c>
      <c r="I118" s="45">
        <f>G118*MIN(in_takeup_cap,INDEX('Age profile'!$O$2:$O$61,B118)*(1+in_approval_growth)^(D118-1))</f>
        <v/>
      </c>
      <c r="J118" s="40">
        <f>(J117-L117)*F118/F117</f>
        <v/>
      </c>
      <c r="K118" s="40">
        <f>(K117-M117)*F118/F117+SUMIFS(O62:O117,B62:B117,B118-1-d_T)*F118</f>
        <v/>
      </c>
      <c r="L118" s="40">
        <f>IF(B118&gt;=in_marketplace_from,J118*d_hz*G118*in_eligible*H118,0)</f>
        <v/>
      </c>
      <c r="M118" s="40">
        <f>IF(B118&gt;=in_marketplace_from,K118*d_hz*G118*in_eligible*in_approved_repeat,0)</f>
        <v/>
      </c>
      <c r="N118" s="40">
        <f>L118+M118</f>
        <v/>
      </c>
      <c r="O118" s="46">
        <f>N118/F118</f>
        <v/>
      </c>
      <c r="P118" s="40">
        <f>F118-J118-K118</f>
        <v/>
      </c>
      <c r="Q118" s="40">
        <f>IF(B118&gt;=in_marketplace_from,(J118+K118)*d_hz*G118,0)</f>
        <v/>
      </c>
      <c r="R118" s="40">
        <f>SUMIFS(N62:N120,B62:B120,"&gt;="&amp;(B118-d_T),B62:B120,"&lt;="&amp;(B118-1))</f>
        <v/>
      </c>
      <c r="S118" s="46">
        <f>(1-d_u)*S117+IF(d_T&gt;in_topup_lag,SUMIFS(O62:O120,B62:B120,B118-in_topup_lag)-d_udrop*SUMIFS(O62:O120,B62:B120,B118-d_T),0)</f>
        <v/>
      </c>
      <c r="T118" s="40">
        <f>F118*d_u*S118</f>
        <v/>
      </c>
      <c r="U118" s="9">
        <f>L118*in_ticket+M118*d_rep_ticket</f>
        <v/>
      </c>
      <c r="V118" s="9">
        <f>U118+T118*d_topup_amt</f>
        <v/>
      </c>
      <c r="W118" s="40">
        <f>N118+T118*d_topup_ratio</f>
        <v/>
      </c>
      <c r="X118" s="40">
        <f>SUMIFS(W62:W120,B62:B120,B118-in_dpd_lag)*d_cured</f>
        <v/>
      </c>
      <c r="Y118" s="40">
        <f>SUMIFS(W62:W120,B62:B120,B118-in_rec_lag)*d_recd</f>
        <v/>
      </c>
      <c r="Z118" s="40">
        <f>IF(AND(B118&gt;=in_marketplace_from,B118&lt;in_marketplace_from+in_card_months),in_card_share/in_card_months*F118*I118,IF(AND(B118&gt;=in_marketplace_from+in_card_months,B118&lt;in_marketplace_from+2*in_card_months),in_card_share*d_card_rem/in_card_months*F118*MIN(in_takeup_cap,(1+in_takeup_growth)^(D118-1))*MIN(in_takeup_cap,(1+in_approval_growth)^(D118-1)),0))</f>
        <v/>
      </c>
      <c r="AA118" s="14">
        <f>V118*in_fee*(1-in_taken_back)</f>
        <v/>
      </c>
      <c r="AB118" s="14">
        <f>SUMIFS(W62:W120,B62:B120,B118-in_dpd_lag)*d_dpd</f>
        <v/>
      </c>
      <c r="AC118" s="14">
        <f>SUMIFS(W62:W120,B62:B120,B118-in_rec_lag)*d_rec</f>
        <v/>
      </c>
      <c r="AD118" s="14">
        <f>Z118*in_card_fee</f>
        <v/>
      </c>
      <c r="AE118" s="40">
        <f>AE117*(1-IF(B117&gt;=in_marketplace_from,d_hz_hlth_small*G117,0))</f>
        <v/>
      </c>
      <c r="AF118" s="46">
        <f>AE118*IF(B118&gt;=in_marketplace_from,d_hz_hlth_small*G118,0)</f>
        <v/>
      </c>
      <c r="AG118" s="14">
        <f>F118*AF118*in_hlth_small_ticket*in_hlth_small_comm*in_ins_partner_share+F118*in_hlth_small_ticket*in_hlth_small_renew_comm*in_ins_partner_share*(in_hlth_small_renew^1*SUMIFS(AF62:AF120,B62:B120,B118-12)+in_hlth_small_renew^2*SUMIFS(AF62:AF120,B62:B120,B118-24)+in_hlth_small_renew^3*SUMIFS(AF62:AF120,B62:B120,B118-36)+in_hlth_small_renew^4*SUMIFS(AF62:AF120,B62:B120,B118-48))</f>
        <v/>
      </c>
      <c r="AH118" s="40">
        <f>AH117*(1-IF(B117&gt;=in_marketplace_from,d_hz_hlth_family*G117,0))</f>
        <v/>
      </c>
      <c r="AI118" s="46">
        <f>AH118*IF(B118&gt;=in_marketplace_from,d_hz_hlth_family*G118,0)</f>
        <v/>
      </c>
      <c r="AJ118" s="14">
        <f>F118*AI118*in_hlth_family_ticket*in_hlth_family_comm*in_ins_partner_share+F118*in_hlth_family_ticket*in_hlth_family_renew_comm*in_ins_partner_share*(in_hlth_family_renew^1*SUMIFS(AI62:AI120,B62:B120,B118-12)+in_hlth_family_renew^2*SUMIFS(AI62:AI120,B62:B120,B118-24)+in_hlth_family_renew^3*SUMIFS(AI62:AI120,B62:B120,B118-36)+in_hlth_family_renew^4*SUMIFS(AI62:AI120,B62:B120,B118-48))</f>
        <v/>
      </c>
      <c r="AK118" s="40">
        <f>AK117*(1-IF(B117&gt;=in_marketplace_from,d_hz_life_term*G117,0))</f>
        <v/>
      </c>
      <c r="AL118" s="46">
        <f>AK118*IF(B118&gt;=in_marketplace_from,d_hz_life_term*G118,0)</f>
        <v/>
      </c>
      <c r="AM118" s="14">
        <f>F118*AL118*in_life_term_ticket*in_life_term_comm*in_ins_partner_share+F118*in_life_term_ticket*in_life_term_renew_comm*in_ins_partner_share*(in_life_term_renew^1*SUMIFS(AL62:AL120,B62:B120,B118-12)+in_life_term_renew^2*SUMIFS(AL62:AL120,B62:B120,B118-24)+in_life_term_renew^3*SUMIFS(AL62:AL120,B62:B120,B118-36)+in_life_term_renew^4*SUMIFS(AL62:AL120,B62:B120,B118-48))</f>
        <v/>
      </c>
      <c r="AN118" s="40">
        <f>AN117*(1-IF(B117&gt;=in_marketplace_from,d_hz_accident*G117,0))</f>
        <v/>
      </c>
      <c r="AO118" s="46">
        <f>AN118*IF(B118&gt;=in_marketplace_from,d_hz_accident*G118,0)</f>
        <v/>
      </c>
      <c r="AP118" s="14">
        <f>F118*AO118*in_accident_ticket*in_accident_comm*in_ins_partner_share+F118*in_accident_ticket*in_accident_renew_comm*in_ins_partner_share*(in_accident_renew^1*SUMIFS(AO62:AO120,B62:B120,B118-12)+in_accident_renew^2*SUMIFS(AO62:AO120,B62:B120,B118-24)+in_accident_renew^3*SUMIFS(AO62:AO120,B62:B120,B118-36)+in_accident_renew^4*SUMIFS(AO62:AO120,B62:B120,B118-48))</f>
        <v/>
      </c>
      <c r="AQ118" s="40">
        <f>AQ117*(1-IF(B117&gt;=in_marketplace_from,d_hz_two_wheeler*G117,0))</f>
        <v/>
      </c>
      <c r="AR118" s="46">
        <f>AQ118*IF(B118&gt;=in_marketplace_from,d_hz_two_wheeler*G118,0)</f>
        <v/>
      </c>
      <c r="AS118" s="14">
        <f>F118*AR118*in_two_wheeler_ticket*in_two_wheeler_comm*in_ins_partner_share+F118*in_two_wheeler_ticket*in_two_wheeler_comm*in_ins_partner_share*(in_two_wheeler_renew^1*SUMIFS(AR62:AR120,B62:B120,B118-12)+in_two_wheeler_renew^2*SUMIFS(AR62:AR120,B62:B120,B118-24)+in_two_wheeler_renew^3*SUMIFS(AR62:AR120,B62:B120,B118-36)+in_two_wheeler_renew^4*SUMIFS(AR62:AR120,B62:B120,B118-48))</f>
        <v/>
      </c>
      <c r="AT118" s="40">
        <f>AT117*(1-IF(B117&gt;=in_marketplace_from,d_hz_device*G117,0))</f>
        <v/>
      </c>
      <c r="AU118" s="14">
        <f>F118*AT118*IF(B118&gt;=in_marketplace_from,d_hz_device*G118,0)*in_device_ticket*in_device_comm*in_ins_partner_share</f>
        <v/>
      </c>
      <c r="AV118" s="40">
        <f>AV117*(1-IF(B117&gt;=in_marketplace_from,d_hz_shop*G117,0))</f>
        <v/>
      </c>
      <c r="AW118" s="46">
        <f>AV118*IF(B118&gt;=in_marketplace_from,d_hz_shop*G118,0)</f>
        <v/>
      </c>
      <c r="AX118" s="14">
        <f>F118*AW118*in_shop_ticket*in_shop_comm*in_ins_partner_share+F118*in_shop_ticket*in_shop_renew_comm*in_ins_partner_share*(in_shop_renew^1*SUMIFS(AW62:AW120,B62:B120,B118-12)+in_shop_renew^2*SUMIFS(AW62:AW120,B62:B120,B118-24)+in_shop_renew^3*SUMIFS(AW62:AW120,B62:B120,B118-36)+in_shop_renew^4*SUMIFS(AW62:AW120,B62:B120,B118-48))</f>
        <v/>
      </c>
      <c r="AY118" s="40">
        <f>AY117*(1-IF(B117&gt;=in_marketplace_from,d_hz_sip*G117,0))</f>
        <v/>
      </c>
      <c r="AZ118" s="40">
        <f>AZ117*d_rho_sip+AY118*IF(B118&gt;=in_marketplace_from,d_hz_sip*G118,0)</f>
        <v/>
      </c>
      <c r="BA118" s="40">
        <f>d_rho_sip*(BA117+AZ117)</f>
        <v/>
      </c>
      <c r="BB118" s="14">
        <f>F118*in_sip_ticket*(BA118+0.5*AZ118)*in_sip_comm/12</f>
        <v/>
      </c>
      <c r="BC118" s="40">
        <f>BC117*(1-IF(B117&gt;=in_marketplace_from,d_hz_choti*G117,0))</f>
        <v/>
      </c>
      <c r="BD118" s="46">
        <f>BC118*IF(B118&gt;=in_marketplace_from,d_hz_choti*G118,0)</f>
        <v/>
      </c>
      <c r="BE118" s="14">
        <f>F118*SUMIFS(BD62:BD120,B62:B120,B118-in_choti_months)*in_choti_renew*in_choti_ticket</f>
        <v/>
      </c>
      <c r="BF118" s="40">
        <f>BF117*(1-IF(B117&gt;=in_marketplace_from,d_hz_nps*G117,0))</f>
        <v/>
      </c>
      <c r="BG118" s="14">
        <f>F118*BF118*IF(B118&gt;=in_marketplace_from,d_hz_nps*G118,0)*in_nps_ticket*in_nps_comm</f>
        <v/>
      </c>
      <c r="BH118" s="40">
        <f>BH117*(1-IF(B117&gt;=in_marketplace_from,d_hz_gold*G117,0))</f>
        <v/>
      </c>
      <c r="BI118" s="40">
        <f>BI117*d_rho_gold+BH118*IF(B118&gt;=in_marketplace_from,d_hz_gold*G118,0)</f>
        <v/>
      </c>
      <c r="BJ118" s="14">
        <f>F118*BI118*in_gold_ticket*in_gold_comm</f>
        <v/>
      </c>
      <c r="BK118" s="40">
        <f>BK117*(1-IF(B117&gt;=in_marketplace_from,d_hz_fd*G117,0))</f>
        <v/>
      </c>
      <c r="BL118" s="14">
        <f>F118*BK118*IF(B118&gt;=in_marketplace_from,d_hz_fd*G118,0)*in_fd_ticket*in_fd_comm</f>
        <v/>
      </c>
      <c r="BM118" s="40">
        <f>BM117*(1-IF(B117&gt;=in_marketplace_from,d_hz_recharge*G117,0))</f>
        <v/>
      </c>
      <c r="BN118" s="40">
        <f>BN117*d_rho_recharge+BM118*IF(B118&gt;=in_marketplace_from,d_hz_recharge*G118,0)</f>
        <v/>
      </c>
      <c r="BO118" s="14">
        <f>F118*BN118*in_recharge_ticket*in_recharge_comm/12</f>
        <v/>
      </c>
      <c r="BP118" s="40">
        <f>BP117*(1-IF(B117&gt;=in_marketplace_from,d_hz_bills*G117,0))</f>
        <v/>
      </c>
      <c r="BQ118" s="40">
        <f>BQ117*d_rho_bills+BP118*IF(B118&gt;=in_marketplace_from,d_hz_bills*G118,0)</f>
        <v/>
      </c>
      <c r="BR118" s="14">
        <f>F118*BQ118*in_bills_ticket*in_bills_comm/12</f>
        <v/>
      </c>
      <c r="BS118" s="40">
        <f>BS117*(1-IF(B117&gt;=in_marketplace_from,d_hz_loan_gold*G117,0))</f>
        <v/>
      </c>
      <c r="BT118" s="14">
        <f>F118*BS118*IF(B118&gt;=in_marketplace_from,d_hz_loan_gold*G118,0)*in_loan_gold_ticket*in_loan_gold_comm</f>
        <v/>
      </c>
      <c r="BU118" s="40">
        <f>BU117*(1-IF(B117&gt;=in_marketplace_from,d_hz_loan_cd*G117,0))</f>
        <v/>
      </c>
      <c r="BV118" s="14">
        <f>F118*BU118*IF(B118&gt;=in_marketplace_from,d_hz_loan_cd*G118,0)*in_loan_cd_ticket*in_loan_cd_comm</f>
        <v/>
      </c>
      <c r="BW118" s="40">
        <f>BW117*(1-IF(B117&gt;=in_marketplace_from,d_hz_loan_vehicle*G117,0))</f>
        <v/>
      </c>
      <c r="BX118" s="14">
        <f>F118*BW118*IF(B118&gt;=in_marketplace_from,d_hz_loan_vehicle*G118,0)*in_loan_vehicle_ticket*in_loan_vehicle_comm</f>
        <v/>
      </c>
      <c r="BY118" s="40">
        <f>BY117*(1-IF(B117&gt;=in_marketplace_from,d_hz_loan_home*G117,0)*BZ117)</f>
        <v/>
      </c>
      <c r="BZ118" s="11">
        <f>MIN(in_approval_cap,in_loan_home_approval*INDEX('Age profile'!$O$2:$O$61,B118)*(1+in_approval_growth)^(D118-1))</f>
        <v/>
      </c>
      <c r="CA118" s="14">
        <f>F118*BY118*IF(B118&gt;=in_marketplace_from,d_hz_loan_home*G118,0)*BZ118*in_loan_home_ticket*in_loan_home_comm</f>
        <v/>
      </c>
      <c r="CB118" s="40">
        <f>CB117*(1-IF(B117&gt;=in_marketplace_from,d_hz_loan_lap*G117,0)*CC117)</f>
        <v/>
      </c>
      <c r="CC118" s="11">
        <f>MIN(in_approval_cap,in_loan_lap_approval*INDEX('Age profile'!$O$2:$O$61,B118)*(1+in_approval_growth)^(D118-1))</f>
        <v/>
      </c>
      <c r="CD118" s="14">
        <f>F118*CB118*IF(B118&gt;=in_marketplace_from,d_hz_loan_lap*G118,0)*CC118*in_loan_lap_ticket*in_loan_lap_comm</f>
        <v/>
      </c>
      <c r="CE118" s="14">
        <f>AA118+AB118+AC118+AD118+AG118+AJ118+AM118+AP118+AS118+AU118+AX118+BB118+BE118+BG118+BJ118+BL118+BO118+BR118+BT118+BV118+BX118+CA118+CD118</f>
        <v/>
      </c>
    </row>
    <row r="119">
      <c r="A119" s="39" t="n">
        <v>2</v>
      </c>
      <c r="B119" s="39" t="n">
        <v>58</v>
      </c>
      <c r="C119" s="39">
        <f>A119+B119-1</f>
        <v/>
      </c>
      <c r="D119" s="39">
        <f>INT((C119-1)/12)+1</f>
        <v/>
      </c>
      <c r="E119" s="44">
        <f>INDEX(Monthly!$B$2:$B$61,A119)</f>
        <v/>
      </c>
      <c r="F119" s="44">
        <f>E119*INDEX('Age profile'!$B$2:$B$61,B119)</f>
        <v/>
      </c>
      <c r="G119" s="45">
        <f>MIN(in_takeup_cap,INDEX('Age profile'!$N$2:$N$61,B119)*(1+in_takeup_growth)^(D119-1))</f>
        <v/>
      </c>
      <c r="H119" s="11">
        <f>MIN(in_approval_cap,in_approved_first*INDEX('Age profile'!$O$2:$O$61,B119)*(1+in_approval_growth)^(D119-1))</f>
        <v/>
      </c>
      <c r="I119" s="45">
        <f>G119*MIN(in_takeup_cap,INDEX('Age profile'!$O$2:$O$61,B119)*(1+in_approval_growth)^(D119-1))</f>
        <v/>
      </c>
      <c r="J119" s="40">
        <f>(J118-L118)*F119/F118</f>
        <v/>
      </c>
      <c r="K119" s="40">
        <f>(K118-M118)*F119/F118+SUMIFS(O62:O118,B62:B118,B119-1-d_T)*F119</f>
        <v/>
      </c>
      <c r="L119" s="40">
        <f>IF(B119&gt;=in_marketplace_from,J119*d_hz*G119*in_eligible*H119,0)</f>
        <v/>
      </c>
      <c r="M119" s="40">
        <f>IF(B119&gt;=in_marketplace_from,K119*d_hz*G119*in_eligible*in_approved_repeat,0)</f>
        <v/>
      </c>
      <c r="N119" s="40">
        <f>L119+M119</f>
        <v/>
      </c>
      <c r="O119" s="46">
        <f>N119/F119</f>
        <v/>
      </c>
      <c r="P119" s="40">
        <f>F119-J119-K119</f>
        <v/>
      </c>
      <c r="Q119" s="40">
        <f>IF(B119&gt;=in_marketplace_from,(J119+K119)*d_hz*G119,0)</f>
        <v/>
      </c>
      <c r="R119" s="40">
        <f>SUMIFS(N62:N120,B62:B120,"&gt;="&amp;(B119-d_T),B62:B120,"&lt;="&amp;(B119-1))</f>
        <v/>
      </c>
      <c r="S119" s="46">
        <f>(1-d_u)*S118+IF(d_T&gt;in_topup_lag,SUMIFS(O62:O120,B62:B120,B119-in_topup_lag)-d_udrop*SUMIFS(O62:O120,B62:B120,B119-d_T),0)</f>
        <v/>
      </c>
      <c r="T119" s="40">
        <f>F119*d_u*S119</f>
        <v/>
      </c>
      <c r="U119" s="9">
        <f>L119*in_ticket+M119*d_rep_ticket</f>
        <v/>
      </c>
      <c r="V119" s="9">
        <f>U119+T119*d_topup_amt</f>
        <v/>
      </c>
      <c r="W119" s="40">
        <f>N119+T119*d_topup_ratio</f>
        <v/>
      </c>
      <c r="X119" s="40">
        <f>SUMIFS(W62:W120,B62:B120,B119-in_dpd_lag)*d_cured</f>
        <v/>
      </c>
      <c r="Y119" s="40">
        <f>SUMIFS(W62:W120,B62:B120,B119-in_rec_lag)*d_recd</f>
        <v/>
      </c>
      <c r="Z119" s="40">
        <f>IF(AND(B119&gt;=in_marketplace_from,B119&lt;in_marketplace_from+in_card_months),in_card_share/in_card_months*F119*I119,IF(AND(B119&gt;=in_marketplace_from+in_card_months,B119&lt;in_marketplace_from+2*in_card_months),in_card_share*d_card_rem/in_card_months*F119*MIN(in_takeup_cap,(1+in_takeup_growth)^(D119-1))*MIN(in_takeup_cap,(1+in_approval_growth)^(D119-1)),0))</f>
        <v/>
      </c>
      <c r="AA119" s="14">
        <f>V119*in_fee*(1-in_taken_back)</f>
        <v/>
      </c>
      <c r="AB119" s="14">
        <f>SUMIFS(W62:W120,B62:B120,B119-in_dpd_lag)*d_dpd</f>
        <v/>
      </c>
      <c r="AC119" s="14">
        <f>SUMIFS(W62:W120,B62:B120,B119-in_rec_lag)*d_rec</f>
        <v/>
      </c>
      <c r="AD119" s="14">
        <f>Z119*in_card_fee</f>
        <v/>
      </c>
      <c r="AE119" s="40">
        <f>AE118*(1-IF(B118&gt;=in_marketplace_from,d_hz_hlth_small*G118,0))</f>
        <v/>
      </c>
      <c r="AF119" s="46">
        <f>AE119*IF(B119&gt;=in_marketplace_from,d_hz_hlth_small*G119,0)</f>
        <v/>
      </c>
      <c r="AG119" s="14">
        <f>F119*AF119*in_hlth_small_ticket*in_hlth_small_comm*in_ins_partner_share+F119*in_hlth_small_ticket*in_hlth_small_renew_comm*in_ins_partner_share*(in_hlth_small_renew^1*SUMIFS(AF62:AF120,B62:B120,B119-12)+in_hlth_small_renew^2*SUMIFS(AF62:AF120,B62:B120,B119-24)+in_hlth_small_renew^3*SUMIFS(AF62:AF120,B62:B120,B119-36)+in_hlth_small_renew^4*SUMIFS(AF62:AF120,B62:B120,B119-48))</f>
        <v/>
      </c>
      <c r="AH119" s="40">
        <f>AH118*(1-IF(B118&gt;=in_marketplace_from,d_hz_hlth_family*G118,0))</f>
        <v/>
      </c>
      <c r="AI119" s="46">
        <f>AH119*IF(B119&gt;=in_marketplace_from,d_hz_hlth_family*G119,0)</f>
        <v/>
      </c>
      <c r="AJ119" s="14">
        <f>F119*AI119*in_hlth_family_ticket*in_hlth_family_comm*in_ins_partner_share+F119*in_hlth_family_ticket*in_hlth_family_renew_comm*in_ins_partner_share*(in_hlth_family_renew^1*SUMIFS(AI62:AI120,B62:B120,B119-12)+in_hlth_family_renew^2*SUMIFS(AI62:AI120,B62:B120,B119-24)+in_hlth_family_renew^3*SUMIFS(AI62:AI120,B62:B120,B119-36)+in_hlth_family_renew^4*SUMIFS(AI62:AI120,B62:B120,B119-48))</f>
        <v/>
      </c>
      <c r="AK119" s="40">
        <f>AK118*(1-IF(B118&gt;=in_marketplace_from,d_hz_life_term*G118,0))</f>
        <v/>
      </c>
      <c r="AL119" s="46">
        <f>AK119*IF(B119&gt;=in_marketplace_from,d_hz_life_term*G119,0)</f>
        <v/>
      </c>
      <c r="AM119" s="14">
        <f>F119*AL119*in_life_term_ticket*in_life_term_comm*in_ins_partner_share+F119*in_life_term_ticket*in_life_term_renew_comm*in_ins_partner_share*(in_life_term_renew^1*SUMIFS(AL62:AL120,B62:B120,B119-12)+in_life_term_renew^2*SUMIFS(AL62:AL120,B62:B120,B119-24)+in_life_term_renew^3*SUMIFS(AL62:AL120,B62:B120,B119-36)+in_life_term_renew^4*SUMIFS(AL62:AL120,B62:B120,B119-48))</f>
        <v/>
      </c>
      <c r="AN119" s="40">
        <f>AN118*(1-IF(B118&gt;=in_marketplace_from,d_hz_accident*G118,0))</f>
        <v/>
      </c>
      <c r="AO119" s="46">
        <f>AN119*IF(B119&gt;=in_marketplace_from,d_hz_accident*G119,0)</f>
        <v/>
      </c>
      <c r="AP119" s="14">
        <f>F119*AO119*in_accident_ticket*in_accident_comm*in_ins_partner_share+F119*in_accident_ticket*in_accident_renew_comm*in_ins_partner_share*(in_accident_renew^1*SUMIFS(AO62:AO120,B62:B120,B119-12)+in_accident_renew^2*SUMIFS(AO62:AO120,B62:B120,B119-24)+in_accident_renew^3*SUMIFS(AO62:AO120,B62:B120,B119-36)+in_accident_renew^4*SUMIFS(AO62:AO120,B62:B120,B119-48))</f>
        <v/>
      </c>
      <c r="AQ119" s="40">
        <f>AQ118*(1-IF(B118&gt;=in_marketplace_from,d_hz_two_wheeler*G118,0))</f>
        <v/>
      </c>
      <c r="AR119" s="46">
        <f>AQ119*IF(B119&gt;=in_marketplace_from,d_hz_two_wheeler*G119,0)</f>
        <v/>
      </c>
      <c r="AS119" s="14">
        <f>F119*AR119*in_two_wheeler_ticket*in_two_wheeler_comm*in_ins_partner_share+F119*in_two_wheeler_ticket*in_two_wheeler_comm*in_ins_partner_share*(in_two_wheeler_renew^1*SUMIFS(AR62:AR120,B62:B120,B119-12)+in_two_wheeler_renew^2*SUMIFS(AR62:AR120,B62:B120,B119-24)+in_two_wheeler_renew^3*SUMIFS(AR62:AR120,B62:B120,B119-36)+in_two_wheeler_renew^4*SUMIFS(AR62:AR120,B62:B120,B119-48))</f>
        <v/>
      </c>
      <c r="AT119" s="40">
        <f>AT118*(1-IF(B118&gt;=in_marketplace_from,d_hz_device*G118,0))</f>
        <v/>
      </c>
      <c r="AU119" s="14">
        <f>F119*AT119*IF(B119&gt;=in_marketplace_from,d_hz_device*G119,0)*in_device_ticket*in_device_comm*in_ins_partner_share</f>
        <v/>
      </c>
      <c r="AV119" s="40">
        <f>AV118*(1-IF(B118&gt;=in_marketplace_from,d_hz_shop*G118,0))</f>
        <v/>
      </c>
      <c r="AW119" s="46">
        <f>AV119*IF(B119&gt;=in_marketplace_from,d_hz_shop*G119,0)</f>
        <v/>
      </c>
      <c r="AX119" s="14">
        <f>F119*AW119*in_shop_ticket*in_shop_comm*in_ins_partner_share+F119*in_shop_ticket*in_shop_renew_comm*in_ins_partner_share*(in_shop_renew^1*SUMIFS(AW62:AW120,B62:B120,B119-12)+in_shop_renew^2*SUMIFS(AW62:AW120,B62:B120,B119-24)+in_shop_renew^3*SUMIFS(AW62:AW120,B62:B120,B119-36)+in_shop_renew^4*SUMIFS(AW62:AW120,B62:B120,B119-48))</f>
        <v/>
      </c>
      <c r="AY119" s="40">
        <f>AY118*(1-IF(B118&gt;=in_marketplace_from,d_hz_sip*G118,0))</f>
        <v/>
      </c>
      <c r="AZ119" s="40">
        <f>AZ118*d_rho_sip+AY119*IF(B119&gt;=in_marketplace_from,d_hz_sip*G119,0)</f>
        <v/>
      </c>
      <c r="BA119" s="40">
        <f>d_rho_sip*(BA118+AZ118)</f>
        <v/>
      </c>
      <c r="BB119" s="14">
        <f>F119*in_sip_ticket*(BA119+0.5*AZ119)*in_sip_comm/12</f>
        <v/>
      </c>
      <c r="BC119" s="40">
        <f>BC118*(1-IF(B118&gt;=in_marketplace_from,d_hz_choti*G118,0))</f>
        <v/>
      </c>
      <c r="BD119" s="46">
        <f>BC119*IF(B119&gt;=in_marketplace_from,d_hz_choti*G119,0)</f>
        <v/>
      </c>
      <c r="BE119" s="14">
        <f>F119*SUMIFS(BD62:BD120,B62:B120,B119-in_choti_months)*in_choti_renew*in_choti_ticket</f>
        <v/>
      </c>
      <c r="BF119" s="40">
        <f>BF118*(1-IF(B118&gt;=in_marketplace_from,d_hz_nps*G118,0))</f>
        <v/>
      </c>
      <c r="BG119" s="14">
        <f>F119*BF119*IF(B119&gt;=in_marketplace_from,d_hz_nps*G119,0)*in_nps_ticket*in_nps_comm</f>
        <v/>
      </c>
      <c r="BH119" s="40">
        <f>BH118*(1-IF(B118&gt;=in_marketplace_from,d_hz_gold*G118,0))</f>
        <v/>
      </c>
      <c r="BI119" s="40">
        <f>BI118*d_rho_gold+BH119*IF(B119&gt;=in_marketplace_from,d_hz_gold*G119,0)</f>
        <v/>
      </c>
      <c r="BJ119" s="14">
        <f>F119*BI119*in_gold_ticket*in_gold_comm</f>
        <v/>
      </c>
      <c r="BK119" s="40">
        <f>BK118*(1-IF(B118&gt;=in_marketplace_from,d_hz_fd*G118,0))</f>
        <v/>
      </c>
      <c r="BL119" s="14">
        <f>F119*BK119*IF(B119&gt;=in_marketplace_from,d_hz_fd*G119,0)*in_fd_ticket*in_fd_comm</f>
        <v/>
      </c>
      <c r="BM119" s="40">
        <f>BM118*(1-IF(B118&gt;=in_marketplace_from,d_hz_recharge*G118,0))</f>
        <v/>
      </c>
      <c r="BN119" s="40">
        <f>BN118*d_rho_recharge+BM119*IF(B119&gt;=in_marketplace_from,d_hz_recharge*G119,0)</f>
        <v/>
      </c>
      <c r="BO119" s="14">
        <f>F119*BN119*in_recharge_ticket*in_recharge_comm/12</f>
        <v/>
      </c>
      <c r="BP119" s="40">
        <f>BP118*(1-IF(B118&gt;=in_marketplace_from,d_hz_bills*G118,0))</f>
        <v/>
      </c>
      <c r="BQ119" s="40">
        <f>BQ118*d_rho_bills+BP119*IF(B119&gt;=in_marketplace_from,d_hz_bills*G119,0)</f>
        <v/>
      </c>
      <c r="BR119" s="14">
        <f>F119*BQ119*in_bills_ticket*in_bills_comm/12</f>
        <v/>
      </c>
      <c r="BS119" s="40">
        <f>BS118*(1-IF(B118&gt;=in_marketplace_from,d_hz_loan_gold*G118,0))</f>
        <v/>
      </c>
      <c r="BT119" s="14">
        <f>F119*BS119*IF(B119&gt;=in_marketplace_from,d_hz_loan_gold*G119,0)*in_loan_gold_ticket*in_loan_gold_comm</f>
        <v/>
      </c>
      <c r="BU119" s="40">
        <f>BU118*(1-IF(B118&gt;=in_marketplace_from,d_hz_loan_cd*G118,0))</f>
        <v/>
      </c>
      <c r="BV119" s="14">
        <f>F119*BU119*IF(B119&gt;=in_marketplace_from,d_hz_loan_cd*G119,0)*in_loan_cd_ticket*in_loan_cd_comm</f>
        <v/>
      </c>
      <c r="BW119" s="40">
        <f>BW118*(1-IF(B118&gt;=in_marketplace_from,d_hz_loan_vehicle*G118,0))</f>
        <v/>
      </c>
      <c r="BX119" s="14">
        <f>F119*BW119*IF(B119&gt;=in_marketplace_from,d_hz_loan_vehicle*G119,0)*in_loan_vehicle_ticket*in_loan_vehicle_comm</f>
        <v/>
      </c>
      <c r="BY119" s="40">
        <f>BY118*(1-IF(B118&gt;=in_marketplace_from,d_hz_loan_home*G118,0)*BZ118)</f>
        <v/>
      </c>
      <c r="BZ119" s="11">
        <f>MIN(in_approval_cap,in_loan_home_approval*INDEX('Age profile'!$O$2:$O$61,B119)*(1+in_approval_growth)^(D119-1))</f>
        <v/>
      </c>
      <c r="CA119" s="14">
        <f>F119*BY119*IF(B119&gt;=in_marketplace_from,d_hz_loan_home*G119,0)*BZ119*in_loan_home_ticket*in_loan_home_comm</f>
        <v/>
      </c>
      <c r="CB119" s="40">
        <f>CB118*(1-IF(B118&gt;=in_marketplace_from,d_hz_loan_lap*G118,0)*CC118)</f>
        <v/>
      </c>
      <c r="CC119" s="11">
        <f>MIN(in_approval_cap,in_loan_lap_approval*INDEX('Age profile'!$O$2:$O$61,B119)*(1+in_approval_growth)^(D119-1))</f>
        <v/>
      </c>
      <c r="CD119" s="14">
        <f>F119*CB119*IF(B119&gt;=in_marketplace_from,d_hz_loan_lap*G119,0)*CC119*in_loan_lap_ticket*in_loan_lap_comm</f>
        <v/>
      </c>
      <c r="CE119" s="14">
        <f>AA119+AB119+AC119+AD119+AG119+AJ119+AM119+AP119+AS119+AU119+AX119+BB119+BE119+BG119+BJ119+BL119+BO119+BR119+BT119+BV119+BX119+CA119+CD119</f>
        <v/>
      </c>
    </row>
    <row r="120">
      <c r="A120" s="39" t="n">
        <v>2</v>
      </c>
      <c r="B120" s="39" t="n">
        <v>59</v>
      </c>
      <c r="C120" s="39">
        <f>A120+B120-1</f>
        <v/>
      </c>
      <c r="D120" s="39">
        <f>INT((C120-1)/12)+1</f>
        <v/>
      </c>
      <c r="E120" s="44">
        <f>INDEX(Monthly!$B$2:$B$61,A120)</f>
        <v/>
      </c>
      <c r="F120" s="44">
        <f>E120*INDEX('Age profile'!$B$2:$B$61,B120)</f>
        <v/>
      </c>
      <c r="G120" s="45">
        <f>MIN(in_takeup_cap,INDEX('Age profile'!$N$2:$N$61,B120)*(1+in_takeup_growth)^(D120-1))</f>
        <v/>
      </c>
      <c r="H120" s="11">
        <f>MIN(in_approval_cap,in_approved_first*INDEX('Age profile'!$O$2:$O$61,B120)*(1+in_approval_growth)^(D120-1))</f>
        <v/>
      </c>
      <c r="I120" s="45">
        <f>G120*MIN(in_takeup_cap,INDEX('Age profile'!$O$2:$O$61,B120)*(1+in_approval_growth)^(D120-1))</f>
        <v/>
      </c>
      <c r="J120" s="40">
        <f>(J119-L119)*F120/F119</f>
        <v/>
      </c>
      <c r="K120" s="40">
        <f>(K119-M119)*F120/F119+SUMIFS(O62:O119,B62:B119,B120-1-d_T)*F120</f>
        <v/>
      </c>
      <c r="L120" s="40">
        <f>IF(B120&gt;=in_marketplace_from,J120*d_hz*G120*in_eligible*H120,0)</f>
        <v/>
      </c>
      <c r="M120" s="40">
        <f>IF(B120&gt;=in_marketplace_from,K120*d_hz*G120*in_eligible*in_approved_repeat,0)</f>
        <v/>
      </c>
      <c r="N120" s="40">
        <f>L120+M120</f>
        <v/>
      </c>
      <c r="O120" s="46">
        <f>N120/F120</f>
        <v/>
      </c>
      <c r="P120" s="40">
        <f>F120-J120-K120</f>
        <v/>
      </c>
      <c r="Q120" s="40">
        <f>IF(B120&gt;=in_marketplace_from,(J120+K120)*d_hz*G120,0)</f>
        <v/>
      </c>
      <c r="R120" s="40">
        <f>SUMIFS(N62:N120,B62:B120,"&gt;="&amp;(B120-d_T),B62:B120,"&lt;="&amp;(B120-1))</f>
        <v/>
      </c>
      <c r="S120" s="46">
        <f>(1-d_u)*S119+IF(d_T&gt;in_topup_lag,SUMIFS(O62:O120,B62:B120,B120-in_topup_lag)-d_udrop*SUMIFS(O62:O120,B62:B120,B120-d_T),0)</f>
        <v/>
      </c>
      <c r="T120" s="40">
        <f>F120*d_u*S120</f>
        <v/>
      </c>
      <c r="U120" s="9">
        <f>L120*in_ticket+M120*d_rep_ticket</f>
        <v/>
      </c>
      <c r="V120" s="9">
        <f>U120+T120*d_topup_amt</f>
        <v/>
      </c>
      <c r="W120" s="40">
        <f>N120+T120*d_topup_ratio</f>
        <v/>
      </c>
      <c r="X120" s="40">
        <f>SUMIFS(W62:W120,B62:B120,B120-in_dpd_lag)*d_cured</f>
        <v/>
      </c>
      <c r="Y120" s="40">
        <f>SUMIFS(W62:W120,B62:B120,B120-in_rec_lag)*d_recd</f>
        <v/>
      </c>
      <c r="Z120" s="40">
        <f>IF(AND(B120&gt;=in_marketplace_from,B120&lt;in_marketplace_from+in_card_months),in_card_share/in_card_months*F120*I120,IF(AND(B120&gt;=in_marketplace_from+in_card_months,B120&lt;in_marketplace_from+2*in_card_months),in_card_share*d_card_rem/in_card_months*F120*MIN(in_takeup_cap,(1+in_takeup_growth)^(D120-1))*MIN(in_takeup_cap,(1+in_approval_growth)^(D120-1)),0))</f>
        <v/>
      </c>
      <c r="AA120" s="14">
        <f>V120*in_fee*(1-in_taken_back)</f>
        <v/>
      </c>
      <c r="AB120" s="14">
        <f>SUMIFS(W62:W120,B62:B120,B120-in_dpd_lag)*d_dpd</f>
        <v/>
      </c>
      <c r="AC120" s="14">
        <f>SUMIFS(W62:W120,B62:B120,B120-in_rec_lag)*d_rec</f>
        <v/>
      </c>
      <c r="AD120" s="14">
        <f>Z120*in_card_fee</f>
        <v/>
      </c>
      <c r="AE120" s="40">
        <f>AE119*(1-IF(B119&gt;=in_marketplace_from,d_hz_hlth_small*G119,0))</f>
        <v/>
      </c>
      <c r="AF120" s="46">
        <f>AE120*IF(B120&gt;=in_marketplace_from,d_hz_hlth_small*G120,0)</f>
        <v/>
      </c>
      <c r="AG120" s="14">
        <f>F120*AF120*in_hlth_small_ticket*in_hlth_small_comm*in_ins_partner_share+F120*in_hlth_small_ticket*in_hlth_small_renew_comm*in_ins_partner_share*(in_hlth_small_renew^1*SUMIFS(AF62:AF120,B62:B120,B120-12)+in_hlth_small_renew^2*SUMIFS(AF62:AF120,B62:B120,B120-24)+in_hlth_small_renew^3*SUMIFS(AF62:AF120,B62:B120,B120-36)+in_hlth_small_renew^4*SUMIFS(AF62:AF120,B62:B120,B120-48))</f>
        <v/>
      </c>
      <c r="AH120" s="40">
        <f>AH119*(1-IF(B119&gt;=in_marketplace_from,d_hz_hlth_family*G119,0))</f>
        <v/>
      </c>
      <c r="AI120" s="46">
        <f>AH120*IF(B120&gt;=in_marketplace_from,d_hz_hlth_family*G120,0)</f>
        <v/>
      </c>
      <c r="AJ120" s="14">
        <f>F120*AI120*in_hlth_family_ticket*in_hlth_family_comm*in_ins_partner_share+F120*in_hlth_family_ticket*in_hlth_family_renew_comm*in_ins_partner_share*(in_hlth_family_renew^1*SUMIFS(AI62:AI120,B62:B120,B120-12)+in_hlth_family_renew^2*SUMIFS(AI62:AI120,B62:B120,B120-24)+in_hlth_family_renew^3*SUMIFS(AI62:AI120,B62:B120,B120-36)+in_hlth_family_renew^4*SUMIFS(AI62:AI120,B62:B120,B120-48))</f>
        <v/>
      </c>
      <c r="AK120" s="40">
        <f>AK119*(1-IF(B119&gt;=in_marketplace_from,d_hz_life_term*G119,0))</f>
        <v/>
      </c>
      <c r="AL120" s="46">
        <f>AK120*IF(B120&gt;=in_marketplace_from,d_hz_life_term*G120,0)</f>
        <v/>
      </c>
      <c r="AM120" s="14">
        <f>F120*AL120*in_life_term_ticket*in_life_term_comm*in_ins_partner_share+F120*in_life_term_ticket*in_life_term_renew_comm*in_ins_partner_share*(in_life_term_renew^1*SUMIFS(AL62:AL120,B62:B120,B120-12)+in_life_term_renew^2*SUMIFS(AL62:AL120,B62:B120,B120-24)+in_life_term_renew^3*SUMIFS(AL62:AL120,B62:B120,B120-36)+in_life_term_renew^4*SUMIFS(AL62:AL120,B62:B120,B120-48))</f>
        <v/>
      </c>
      <c r="AN120" s="40">
        <f>AN119*(1-IF(B119&gt;=in_marketplace_from,d_hz_accident*G119,0))</f>
        <v/>
      </c>
      <c r="AO120" s="46">
        <f>AN120*IF(B120&gt;=in_marketplace_from,d_hz_accident*G120,0)</f>
        <v/>
      </c>
      <c r="AP120" s="14">
        <f>F120*AO120*in_accident_ticket*in_accident_comm*in_ins_partner_share+F120*in_accident_ticket*in_accident_renew_comm*in_ins_partner_share*(in_accident_renew^1*SUMIFS(AO62:AO120,B62:B120,B120-12)+in_accident_renew^2*SUMIFS(AO62:AO120,B62:B120,B120-24)+in_accident_renew^3*SUMIFS(AO62:AO120,B62:B120,B120-36)+in_accident_renew^4*SUMIFS(AO62:AO120,B62:B120,B120-48))</f>
        <v/>
      </c>
      <c r="AQ120" s="40">
        <f>AQ119*(1-IF(B119&gt;=in_marketplace_from,d_hz_two_wheeler*G119,0))</f>
        <v/>
      </c>
      <c r="AR120" s="46">
        <f>AQ120*IF(B120&gt;=in_marketplace_from,d_hz_two_wheeler*G120,0)</f>
        <v/>
      </c>
      <c r="AS120" s="14">
        <f>F120*AR120*in_two_wheeler_ticket*in_two_wheeler_comm*in_ins_partner_share+F120*in_two_wheeler_ticket*in_two_wheeler_comm*in_ins_partner_share*(in_two_wheeler_renew^1*SUMIFS(AR62:AR120,B62:B120,B120-12)+in_two_wheeler_renew^2*SUMIFS(AR62:AR120,B62:B120,B120-24)+in_two_wheeler_renew^3*SUMIFS(AR62:AR120,B62:B120,B120-36)+in_two_wheeler_renew^4*SUMIFS(AR62:AR120,B62:B120,B120-48))</f>
        <v/>
      </c>
      <c r="AT120" s="40">
        <f>AT119*(1-IF(B119&gt;=in_marketplace_from,d_hz_device*G119,0))</f>
        <v/>
      </c>
      <c r="AU120" s="14">
        <f>F120*AT120*IF(B120&gt;=in_marketplace_from,d_hz_device*G120,0)*in_device_ticket*in_device_comm*in_ins_partner_share</f>
        <v/>
      </c>
      <c r="AV120" s="40">
        <f>AV119*(1-IF(B119&gt;=in_marketplace_from,d_hz_shop*G119,0))</f>
        <v/>
      </c>
      <c r="AW120" s="46">
        <f>AV120*IF(B120&gt;=in_marketplace_from,d_hz_shop*G120,0)</f>
        <v/>
      </c>
      <c r="AX120" s="14">
        <f>F120*AW120*in_shop_ticket*in_shop_comm*in_ins_partner_share+F120*in_shop_ticket*in_shop_renew_comm*in_ins_partner_share*(in_shop_renew^1*SUMIFS(AW62:AW120,B62:B120,B120-12)+in_shop_renew^2*SUMIFS(AW62:AW120,B62:B120,B120-24)+in_shop_renew^3*SUMIFS(AW62:AW120,B62:B120,B120-36)+in_shop_renew^4*SUMIFS(AW62:AW120,B62:B120,B120-48))</f>
        <v/>
      </c>
      <c r="AY120" s="40">
        <f>AY119*(1-IF(B119&gt;=in_marketplace_from,d_hz_sip*G119,0))</f>
        <v/>
      </c>
      <c r="AZ120" s="40">
        <f>AZ119*d_rho_sip+AY120*IF(B120&gt;=in_marketplace_from,d_hz_sip*G120,0)</f>
        <v/>
      </c>
      <c r="BA120" s="40">
        <f>d_rho_sip*(BA119+AZ119)</f>
        <v/>
      </c>
      <c r="BB120" s="14">
        <f>F120*in_sip_ticket*(BA120+0.5*AZ120)*in_sip_comm/12</f>
        <v/>
      </c>
      <c r="BC120" s="40">
        <f>BC119*(1-IF(B119&gt;=in_marketplace_from,d_hz_choti*G119,0))</f>
        <v/>
      </c>
      <c r="BD120" s="46">
        <f>BC120*IF(B120&gt;=in_marketplace_from,d_hz_choti*G120,0)</f>
        <v/>
      </c>
      <c r="BE120" s="14">
        <f>F120*SUMIFS(BD62:BD120,B62:B120,B120-in_choti_months)*in_choti_renew*in_choti_ticket</f>
        <v/>
      </c>
      <c r="BF120" s="40">
        <f>BF119*(1-IF(B119&gt;=in_marketplace_from,d_hz_nps*G119,0))</f>
        <v/>
      </c>
      <c r="BG120" s="14">
        <f>F120*BF120*IF(B120&gt;=in_marketplace_from,d_hz_nps*G120,0)*in_nps_ticket*in_nps_comm</f>
        <v/>
      </c>
      <c r="BH120" s="40">
        <f>BH119*(1-IF(B119&gt;=in_marketplace_from,d_hz_gold*G119,0))</f>
        <v/>
      </c>
      <c r="BI120" s="40">
        <f>BI119*d_rho_gold+BH120*IF(B120&gt;=in_marketplace_from,d_hz_gold*G120,0)</f>
        <v/>
      </c>
      <c r="BJ120" s="14">
        <f>F120*BI120*in_gold_ticket*in_gold_comm</f>
        <v/>
      </c>
      <c r="BK120" s="40">
        <f>BK119*(1-IF(B119&gt;=in_marketplace_from,d_hz_fd*G119,0))</f>
        <v/>
      </c>
      <c r="BL120" s="14">
        <f>F120*BK120*IF(B120&gt;=in_marketplace_from,d_hz_fd*G120,0)*in_fd_ticket*in_fd_comm</f>
        <v/>
      </c>
      <c r="BM120" s="40">
        <f>BM119*(1-IF(B119&gt;=in_marketplace_from,d_hz_recharge*G119,0))</f>
        <v/>
      </c>
      <c r="BN120" s="40">
        <f>BN119*d_rho_recharge+BM120*IF(B120&gt;=in_marketplace_from,d_hz_recharge*G120,0)</f>
        <v/>
      </c>
      <c r="BO120" s="14">
        <f>F120*BN120*in_recharge_ticket*in_recharge_comm/12</f>
        <v/>
      </c>
      <c r="BP120" s="40">
        <f>BP119*(1-IF(B119&gt;=in_marketplace_from,d_hz_bills*G119,0))</f>
        <v/>
      </c>
      <c r="BQ120" s="40">
        <f>BQ119*d_rho_bills+BP120*IF(B120&gt;=in_marketplace_from,d_hz_bills*G120,0)</f>
        <v/>
      </c>
      <c r="BR120" s="14">
        <f>F120*BQ120*in_bills_ticket*in_bills_comm/12</f>
        <v/>
      </c>
      <c r="BS120" s="40">
        <f>BS119*(1-IF(B119&gt;=in_marketplace_from,d_hz_loan_gold*G119,0))</f>
        <v/>
      </c>
      <c r="BT120" s="14">
        <f>F120*BS120*IF(B120&gt;=in_marketplace_from,d_hz_loan_gold*G120,0)*in_loan_gold_ticket*in_loan_gold_comm</f>
        <v/>
      </c>
      <c r="BU120" s="40">
        <f>BU119*(1-IF(B119&gt;=in_marketplace_from,d_hz_loan_cd*G119,0))</f>
        <v/>
      </c>
      <c r="BV120" s="14">
        <f>F120*BU120*IF(B120&gt;=in_marketplace_from,d_hz_loan_cd*G120,0)*in_loan_cd_ticket*in_loan_cd_comm</f>
        <v/>
      </c>
      <c r="BW120" s="40">
        <f>BW119*(1-IF(B119&gt;=in_marketplace_from,d_hz_loan_vehicle*G119,0))</f>
        <v/>
      </c>
      <c r="BX120" s="14">
        <f>F120*BW120*IF(B120&gt;=in_marketplace_from,d_hz_loan_vehicle*G120,0)*in_loan_vehicle_ticket*in_loan_vehicle_comm</f>
        <v/>
      </c>
      <c r="BY120" s="40">
        <f>BY119*(1-IF(B119&gt;=in_marketplace_from,d_hz_loan_home*G119,0)*BZ119)</f>
        <v/>
      </c>
      <c r="BZ120" s="11">
        <f>MIN(in_approval_cap,in_loan_home_approval*INDEX('Age profile'!$O$2:$O$61,B120)*(1+in_approval_growth)^(D120-1))</f>
        <v/>
      </c>
      <c r="CA120" s="14">
        <f>F120*BY120*IF(B120&gt;=in_marketplace_from,d_hz_loan_home*G120,0)*BZ120*in_loan_home_ticket*in_loan_home_comm</f>
        <v/>
      </c>
      <c r="CB120" s="40">
        <f>CB119*(1-IF(B119&gt;=in_marketplace_from,d_hz_loan_lap*G119,0)*CC119)</f>
        <v/>
      </c>
      <c r="CC120" s="11">
        <f>MIN(in_approval_cap,in_loan_lap_approval*INDEX('Age profile'!$O$2:$O$61,B120)*(1+in_approval_growth)^(D120-1))</f>
        <v/>
      </c>
      <c r="CD120" s="14">
        <f>F120*CB120*IF(B120&gt;=in_marketplace_from,d_hz_loan_lap*G120,0)*CC120*in_loan_lap_ticket*in_loan_lap_comm</f>
        <v/>
      </c>
      <c r="CE120" s="14">
        <f>AA120+AB120+AC120+AD120+AG120+AJ120+AM120+AP120+AS120+AU120+AX120+BB120+BE120+BG120+BJ120+BL120+BO120+BR120+BT120+BV120+BX120+CA120+CD120</f>
        <v/>
      </c>
    </row>
    <row r="121">
      <c r="A121" s="39" t="n">
        <v>3</v>
      </c>
      <c r="B121" s="39" t="n">
        <v>1</v>
      </c>
      <c r="C121" s="39">
        <f>A121+B121-1</f>
        <v/>
      </c>
      <c r="D121" s="39">
        <f>INT((C121-1)/12)+1</f>
        <v/>
      </c>
      <c r="E121" s="44">
        <f>INDEX(Monthly!$B$2:$B$61,A121)</f>
        <v/>
      </c>
      <c r="F121" s="44">
        <f>E121*INDEX('Age profile'!$B$2:$B$61,B121)</f>
        <v/>
      </c>
      <c r="G121" s="45">
        <f>MIN(in_takeup_cap,INDEX('Age profile'!$N$2:$N$61,B121)*(1+in_takeup_growth)^(D121-1))</f>
        <v/>
      </c>
      <c r="H121" s="11">
        <f>MIN(in_approval_cap,in_approved_first*INDEX('Age profile'!$O$2:$O$61,B121)*(1+in_approval_growth)^(D121-1))</f>
        <v/>
      </c>
      <c r="I121" s="45">
        <f>G121*MIN(in_takeup_cap,INDEX('Age profile'!$O$2:$O$61,B121)*(1+in_approval_growth)^(D121-1))</f>
        <v/>
      </c>
      <c r="J121" s="40">
        <f>E121</f>
        <v/>
      </c>
      <c r="K121" s="40" t="n">
        <v>0</v>
      </c>
      <c r="L121" s="40">
        <f>IF(B121&gt;=in_marketplace_from,J121*d_hz*G121*in_eligible*H121,0)</f>
        <v/>
      </c>
      <c r="M121" s="40">
        <f>IF(B121&gt;=in_marketplace_from,K121*d_hz*G121*in_eligible*in_approved_repeat,0)</f>
        <v/>
      </c>
      <c r="N121" s="40">
        <f>L121+M121</f>
        <v/>
      </c>
      <c r="O121" s="46">
        <f>N121/F121</f>
        <v/>
      </c>
      <c r="P121" s="40">
        <f>F121-J121-K121</f>
        <v/>
      </c>
      <c r="Q121" s="40">
        <f>IF(B121&gt;=in_marketplace_from,(J121+K121)*d_hz*G121,0)</f>
        <v/>
      </c>
      <c r="R121" s="40">
        <f>SUMIFS(N121:N178,B121:B178,"&gt;="&amp;(B121-d_T),B121:B178,"&lt;="&amp;(B121-1))</f>
        <v/>
      </c>
      <c r="S121" s="46" t="n">
        <v>0</v>
      </c>
      <c r="T121" s="40">
        <f>F121*d_u*S121</f>
        <v/>
      </c>
      <c r="U121" s="9">
        <f>L121*in_ticket+M121*d_rep_ticket</f>
        <v/>
      </c>
      <c r="V121" s="9">
        <f>U121+T121*d_topup_amt</f>
        <v/>
      </c>
      <c r="W121" s="40">
        <f>N121+T121*d_topup_ratio</f>
        <v/>
      </c>
      <c r="X121" s="40">
        <f>SUMIFS(W121:W178,B121:B178,B121-in_dpd_lag)*d_cured</f>
        <v/>
      </c>
      <c r="Y121" s="40">
        <f>SUMIFS(W121:W178,B121:B178,B121-in_rec_lag)*d_recd</f>
        <v/>
      </c>
      <c r="Z121" s="40">
        <f>IF(AND(B121&gt;=in_marketplace_from,B121&lt;in_marketplace_from+in_card_months),in_card_share/in_card_months*F121*I121,IF(AND(B121&gt;=in_marketplace_from+in_card_months,B121&lt;in_marketplace_from+2*in_card_months),in_card_share*d_card_rem/in_card_months*F121*MIN(in_takeup_cap,(1+in_takeup_growth)^(D121-1))*MIN(in_takeup_cap,(1+in_approval_growth)^(D121-1)),0))</f>
        <v/>
      </c>
      <c r="AA121" s="14">
        <f>V121*in_fee*(1-in_taken_back)</f>
        <v/>
      </c>
      <c r="AB121" s="14">
        <f>SUMIFS(W121:W178,B121:B178,B121-in_dpd_lag)*d_dpd</f>
        <v/>
      </c>
      <c r="AC121" s="14">
        <f>SUMIFS(W121:W178,B121:B178,B121-in_rec_lag)*d_rec</f>
        <v/>
      </c>
      <c r="AD121" s="14">
        <f>Z121*in_card_fee</f>
        <v/>
      </c>
      <c r="AE121" s="40" t="n">
        <v>1</v>
      </c>
      <c r="AF121" s="46">
        <f>AE121*IF(B121&gt;=in_marketplace_from,d_hz_hlth_small*G121,0)</f>
        <v/>
      </c>
      <c r="AG121" s="14">
        <f>F121*AF121*in_hlth_small_ticket*in_hlth_small_comm*in_ins_partner_share+F121*in_hlth_small_ticket*in_hlth_small_renew_comm*in_ins_partner_share*(in_hlth_small_renew^1*SUMIFS(AF121:AF178,B121:B178,B121-12)+in_hlth_small_renew^2*SUMIFS(AF121:AF178,B121:B178,B121-24)+in_hlth_small_renew^3*SUMIFS(AF121:AF178,B121:B178,B121-36)+in_hlth_small_renew^4*SUMIFS(AF121:AF178,B121:B178,B121-48))</f>
        <v/>
      </c>
      <c r="AH121" s="40" t="n">
        <v>1</v>
      </c>
      <c r="AI121" s="46">
        <f>AH121*IF(B121&gt;=in_marketplace_from,d_hz_hlth_family*G121,0)</f>
        <v/>
      </c>
      <c r="AJ121" s="14">
        <f>F121*AI121*in_hlth_family_ticket*in_hlth_family_comm*in_ins_partner_share+F121*in_hlth_family_ticket*in_hlth_family_renew_comm*in_ins_partner_share*(in_hlth_family_renew^1*SUMIFS(AI121:AI178,B121:B178,B121-12)+in_hlth_family_renew^2*SUMIFS(AI121:AI178,B121:B178,B121-24)+in_hlth_family_renew^3*SUMIFS(AI121:AI178,B121:B178,B121-36)+in_hlth_family_renew^4*SUMIFS(AI121:AI178,B121:B178,B121-48))</f>
        <v/>
      </c>
      <c r="AK121" s="40" t="n">
        <v>1</v>
      </c>
      <c r="AL121" s="46">
        <f>AK121*IF(B121&gt;=in_marketplace_from,d_hz_life_term*G121,0)</f>
        <v/>
      </c>
      <c r="AM121" s="14">
        <f>F121*AL121*in_life_term_ticket*in_life_term_comm*in_ins_partner_share+F121*in_life_term_ticket*in_life_term_renew_comm*in_ins_partner_share*(in_life_term_renew^1*SUMIFS(AL121:AL178,B121:B178,B121-12)+in_life_term_renew^2*SUMIFS(AL121:AL178,B121:B178,B121-24)+in_life_term_renew^3*SUMIFS(AL121:AL178,B121:B178,B121-36)+in_life_term_renew^4*SUMIFS(AL121:AL178,B121:B178,B121-48))</f>
        <v/>
      </c>
      <c r="AN121" s="40" t="n">
        <v>1</v>
      </c>
      <c r="AO121" s="46">
        <f>AN121*IF(B121&gt;=in_marketplace_from,d_hz_accident*G121,0)</f>
        <v/>
      </c>
      <c r="AP121" s="14">
        <f>F121*AO121*in_accident_ticket*in_accident_comm*in_ins_partner_share+F121*in_accident_ticket*in_accident_renew_comm*in_ins_partner_share*(in_accident_renew^1*SUMIFS(AO121:AO178,B121:B178,B121-12)+in_accident_renew^2*SUMIFS(AO121:AO178,B121:B178,B121-24)+in_accident_renew^3*SUMIFS(AO121:AO178,B121:B178,B121-36)+in_accident_renew^4*SUMIFS(AO121:AO178,B121:B178,B121-48))</f>
        <v/>
      </c>
      <c r="AQ121" s="40" t="n">
        <v>1</v>
      </c>
      <c r="AR121" s="46">
        <f>AQ121*IF(B121&gt;=in_marketplace_from,d_hz_two_wheeler*G121,0)</f>
        <v/>
      </c>
      <c r="AS121" s="14">
        <f>F121*AR121*in_two_wheeler_ticket*in_two_wheeler_comm*in_ins_partner_share+F121*in_two_wheeler_ticket*in_two_wheeler_comm*in_ins_partner_share*(in_two_wheeler_renew^1*SUMIFS(AR121:AR178,B121:B178,B121-12)+in_two_wheeler_renew^2*SUMIFS(AR121:AR178,B121:B178,B121-24)+in_two_wheeler_renew^3*SUMIFS(AR121:AR178,B121:B178,B121-36)+in_two_wheeler_renew^4*SUMIFS(AR121:AR178,B121:B178,B121-48))</f>
        <v/>
      </c>
      <c r="AT121" s="40" t="n">
        <v>1</v>
      </c>
      <c r="AU121" s="14">
        <f>F121*AT121*IF(B121&gt;=in_marketplace_from,d_hz_device*G121,0)*in_device_ticket*in_device_comm*in_ins_partner_share</f>
        <v/>
      </c>
      <c r="AV121" s="40" t="n">
        <v>1</v>
      </c>
      <c r="AW121" s="46">
        <f>AV121*IF(B121&gt;=in_marketplace_from,d_hz_shop*G121,0)</f>
        <v/>
      </c>
      <c r="AX121" s="14">
        <f>F121*AW121*in_shop_ticket*in_shop_comm*in_ins_partner_share+F121*in_shop_ticket*in_shop_renew_comm*in_ins_partner_share*(in_shop_renew^1*SUMIFS(AW121:AW178,B121:B178,B121-12)+in_shop_renew^2*SUMIFS(AW121:AW178,B121:B178,B121-24)+in_shop_renew^3*SUMIFS(AW121:AW178,B121:B178,B121-36)+in_shop_renew^4*SUMIFS(AW121:AW178,B121:B178,B121-48))</f>
        <v/>
      </c>
      <c r="AY121" s="40" t="n">
        <v>1</v>
      </c>
      <c r="AZ121" s="40">
        <f>AY121*IF(B121&gt;=in_marketplace_from,d_hz_sip*G121,0)</f>
        <v/>
      </c>
      <c r="BA121" s="40" t="n">
        <v>0</v>
      </c>
      <c r="BB121" s="14">
        <f>F121*in_sip_ticket*(BA121+0.5*AZ121)*in_sip_comm/12</f>
        <v/>
      </c>
      <c r="BC121" s="40" t="n">
        <v>1</v>
      </c>
      <c r="BD121" s="46">
        <f>BC121*IF(B121&gt;=in_marketplace_from,d_hz_choti*G121,0)</f>
        <v/>
      </c>
      <c r="BE121" s="14">
        <f>F121*SUMIFS(BD121:BD178,B121:B178,B121-in_choti_months)*in_choti_renew*in_choti_ticket</f>
        <v/>
      </c>
      <c r="BF121" s="40" t="n">
        <v>1</v>
      </c>
      <c r="BG121" s="14">
        <f>F121*BF121*IF(B121&gt;=in_marketplace_from,d_hz_nps*G121,0)*in_nps_ticket*in_nps_comm</f>
        <v/>
      </c>
      <c r="BH121" s="40" t="n">
        <v>1</v>
      </c>
      <c r="BI121" s="40">
        <f>BH121*IF(B121&gt;=in_marketplace_from,d_hz_gold*G121,0)</f>
        <v/>
      </c>
      <c r="BJ121" s="14">
        <f>F121*BI121*in_gold_ticket*in_gold_comm</f>
        <v/>
      </c>
      <c r="BK121" s="40" t="n">
        <v>1</v>
      </c>
      <c r="BL121" s="14">
        <f>F121*BK121*IF(B121&gt;=in_marketplace_from,d_hz_fd*G121,0)*in_fd_ticket*in_fd_comm</f>
        <v/>
      </c>
      <c r="BM121" s="40" t="n">
        <v>1</v>
      </c>
      <c r="BN121" s="40">
        <f>BM121*IF(B121&gt;=in_marketplace_from,d_hz_recharge*G121,0)</f>
        <v/>
      </c>
      <c r="BO121" s="14">
        <f>F121*BN121*in_recharge_ticket*in_recharge_comm/12</f>
        <v/>
      </c>
      <c r="BP121" s="40" t="n">
        <v>1</v>
      </c>
      <c r="BQ121" s="40">
        <f>BP121*IF(B121&gt;=in_marketplace_from,d_hz_bills*G121,0)</f>
        <v/>
      </c>
      <c r="BR121" s="14">
        <f>F121*BQ121*in_bills_ticket*in_bills_comm/12</f>
        <v/>
      </c>
      <c r="BS121" s="40" t="n">
        <v>1</v>
      </c>
      <c r="BT121" s="14">
        <f>F121*BS121*IF(B121&gt;=in_marketplace_from,d_hz_loan_gold*G121,0)*in_loan_gold_ticket*in_loan_gold_comm</f>
        <v/>
      </c>
      <c r="BU121" s="40" t="n">
        <v>1</v>
      </c>
      <c r="BV121" s="14">
        <f>F121*BU121*IF(B121&gt;=in_marketplace_from,d_hz_loan_cd*G121,0)*in_loan_cd_ticket*in_loan_cd_comm</f>
        <v/>
      </c>
      <c r="BW121" s="40" t="n">
        <v>1</v>
      </c>
      <c r="BX121" s="14">
        <f>F121*BW121*IF(B121&gt;=in_marketplace_from,d_hz_loan_vehicle*G121,0)*in_loan_vehicle_ticket*in_loan_vehicle_comm</f>
        <v/>
      </c>
      <c r="BY121" s="40" t="n">
        <v>1</v>
      </c>
      <c r="BZ121" s="11">
        <f>MIN(in_approval_cap,in_loan_home_approval*INDEX('Age profile'!$O$2:$O$61,B121)*(1+in_approval_growth)^(D121-1))</f>
        <v/>
      </c>
      <c r="CA121" s="14">
        <f>F121*BY121*IF(B121&gt;=in_marketplace_from,d_hz_loan_home*G121,0)*BZ121*in_loan_home_ticket*in_loan_home_comm</f>
        <v/>
      </c>
      <c r="CB121" s="40" t="n">
        <v>1</v>
      </c>
      <c r="CC121" s="11">
        <f>MIN(in_approval_cap,in_loan_lap_approval*INDEX('Age profile'!$O$2:$O$61,B121)*(1+in_approval_growth)^(D121-1))</f>
        <v/>
      </c>
      <c r="CD121" s="14">
        <f>F121*CB121*IF(B121&gt;=in_marketplace_from,d_hz_loan_lap*G121,0)*CC121*in_loan_lap_ticket*in_loan_lap_comm</f>
        <v/>
      </c>
      <c r="CE121" s="14">
        <f>AA121+AB121+AC121+AD121+AG121+AJ121+AM121+AP121+AS121+AU121+AX121+BB121+BE121+BG121+BJ121+BL121+BO121+BR121+BT121+BV121+BX121+CA121+CD121</f>
        <v/>
      </c>
    </row>
    <row r="122">
      <c r="A122" s="39" t="n">
        <v>3</v>
      </c>
      <c r="B122" s="39" t="n">
        <v>2</v>
      </c>
      <c r="C122" s="39">
        <f>A122+B122-1</f>
        <v/>
      </c>
      <c r="D122" s="39">
        <f>INT((C122-1)/12)+1</f>
        <v/>
      </c>
      <c r="E122" s="44">
        <f>INDEX(Monthly!$B$2:$B$61,A122)</f>
        <v/>
      </c>
      <c r="F122" s="44">
        <f>E122*INDEX('Age profile'!$B$2:$B$61,B122)</f>
        <v/>
      </c>
      <c r="G122" s="45">
        <f>MIN(in_takeup_cap,INDEX('Age profile'!$N$2:$N$61,B122)*(1+in_takeup_growth)^(D122-1))</f>
        <v/>
      </c>
      <c r="H122" s="11">
        <f>MIN(in_approval_cap,in_approved_first*INDEX('Age profile'!$O$2:$O$61,B122)*(1+in_approval_growth)^(D122-1))</f>
        <v/>
      </c>
      <c r="I122" s="45">
        <f>G122*MIN(in_takeup_cap,INDEX('Age profile'!$O$2:$O$61,B122)*(1+in_approval_growth)^(D122-1))</f>
        <v/>
      </c>
      <c r="J122" s="40">
        <f>(J121-L121)*F122/F121</f>
        <v/>
      </c>
      <c r="K122" s="40">
        <f>(K121-M121)*F122/F121+SUMIFS(O121:O121,B121:B121,B122-1-d_T)*F122</f>
        <v/>
      </c>
      <c r="L122" s="40">
        <f>IF(B122&gt;=in_marketplace_from,J122*d_hz*G122*in_eligible*H122,0)</f>
        <v/>
      </c>
      <c r="M122" s="40">
        <f>IF(B122&gt;=in_marketplace_from,K122*d_hz*G122*in_eligible*in_approved_repeat,0)</f>
        <v/>
      </c>
      <c r="N122" s="40">
        <f>L122+M122</f>
        <v/>
      </c>
      <c r="O122" s="46">
        <f>N122/F122</f>
        <v/>
      </c>
      <c r="P122" s="40">
        <f>F122-J122-K122</f>
        <v/>
      </c>
      <c r="Q122" s="40">
        <f>IF(B122&gt;=in_marketplace_from,(J122+K122)*d_hz*G122,0)</f>
        <v/>
      </c>
      <c r="R122" s="40">
        <f>SUMIFS(N121:N178,B121:B178,"&gt;="&amp;(B122-d_T),B121:B178,"&lt;="&amp;(B122-1))</f>
        <v/>
      </c>
      <c r="S122" s="46">
        <f>(1-d_u)*S121+IF(d_T&gt;in_topup_lag,SUMIFS(O121:O178,B121:B178,B122-in_topup_lag)-d_udrop*SUMIFS(O121:O178,B121:B178,B122-d_T),0)</f>
        <v/>
      </c>
      <c r="T122" s="40">
        <f>F122*d_u*S122</f>
        <v/>
      </c>
      <c r="U122" s="9">
        <f>L122*in_ticket+M122*d_rep_ticket</f>
        <v/>
      </c>
      <c r="V122" s="9">
        <f>U122+T122*d_topup_amt</f>
        <v/>
      </c>
      <c r="W122" s="40">
        <f>N122+T122*d_topup_ratio</f>
        <v/>
      </c>
      <c r="X122" s="40">
        <f>SUMIFS(W121:W178,B121:B178,B122-in_dpd_lag)*d_cured</f>
        <v/>
      </c>
      <c r="Y122" s="40">
        <f>SUMIFS(W121:W178,B121:B178,B122-in_rec_lag)*d_recd</f>
        <v/>
      </c>
      <c r="Z122" s="40">
        <f>IF(AND(B122&gt;=in_marketplace_from,B122&lt;in_marketplace_from+in_card_months),in_card_share/in_card_months*F122*I122,IF(AND(B122&gt;=in_marketplace_from+in_card_months,B122&lt;in_marketplace_from+2*in_card_months),in_card_share*d_card_rem/in_card_months*F122*MIN(in_takeup_cap,(1+in_takeup_growth)^(D122-1))*MIN(in_takeup_cap,(1+in_approval_growth)^(D122-1)),0))</f>
        <v/>
      </c>
      <c r="AA122" s="14">
        <f>V122*in_fee*(1-in_taken_back)</f>
        <v/>
      </c>
      <c r="AB122" s="14">
        <f>SUMIFS(W121:W178,B121:B178,B122-in_dpd_lag)*d_dpd</f>
        <v/>
      </c>
      <c r="AC122" s="14">
        <f>SUMIFS(W121:W178,B121:B178,B122-in_rec_lag)*d_rec</f>
        <v/>
      </c>
      <c r="AD122" s="14">
        <f>Z122*in_card_fee</f>
        <v/>
      </c>
      <c r="AE122" s="40">
        <f>AE121*(1-IF(B121&gt;=in_marketplace_from,d_hz_hlth_small*G121,0))</f>
        <v/>
      </c>
      <c r="AF122" s="46">
        <f>AE122*IF(B122&gt;=in_marketplace_from,d_hz_hlth_small*G122,0)</f>
        <v/>
      </c>
      <c r="AG122" s="14">
        <f>F122*AF122*in_hlth_small_ticket*in_hlth_small_comm*in_ins_partner_share+F122*in_hlth_small_ticket*in_hlth_small_renew_comm*in_ins_partner_share*(in_hlth_small_renew^1*SUMIFS(AF121:AF178,B121:B178,B122-12)+in_hlth_small_renew^2*SUMIFS(AF121:AF178,B121:B178,B122-24)+in_hlth_small_renew^3*SUMIFS(AF121:AF178,B121:B178,B122-36)+in_hlth_small_renew^4*SUMIFS(AF121:AF178,B121:B178,B122-48))</f>
        <v/>
      </c>
      <c r="AH122" s="40">
        <f>AH121*(1-IF(B121&gt;=in_marketplace_from,d_hz_hlth_family*G121,0))</f>
        <v/>
      </c>
      <c r="AI122" s="46">
        <f>AH122*IF(B122&gt;=in_marketplace_from,d_hz_hlth_family*G122,0)</f>
        <v/>
      </c>
      <c r="AJ122" s="14">
        <f>F122*AI122*in_hlth_family_ticket*in_hlth_family_comm*in_ins_partner_share+F122*in_hlth_family_ticket*in_hlth_family_renew_comm*in_ins_partner_share*(in_hlth_family_renew^1*SUMIFS(AI121:AI178,B121:B178,B122-12)+in_hlth_family_renew^2*SUMIFS(AI121:AI178,B121:B178,B122-24)+in_hlth_family_renew^3*SUMIFS(AI121:AI178,B121:B178,B122-36)+in_hlth_family_renew^4*SUMIFS(AI121:AI178,B121:B178,B122-48))</f>
        <v/>
      </c>
      <c r="AK122" s="40">
        <f>AK121*(1-IF(B121&gt;=in_marketplace_from,d_hz_life_term*G121,0))</f>
        <v/>
      </c>
      <c r="AL122" s="46">
        <f>AK122*IF(B122&gt;=in_marketplace_from,d_hz_life_term*G122,0)</f>
        <v/>
      </c>
      <c r="AM122" s="14">
        <f>F122*AL122*in_life_term_ticket*in_life_term_comm*in_ins_partner_share+F122*in_life_term_ticket*in_life_term_renew_comm*in_ins_partner_share*(in_life_term_renew^1*SUMIFS(AL121:AL178,B121:B178,B122-12)+in_life_term_renew^2*SUMIFS(AL121:AL178,B121:B178,B122-24)+in_life_term_renew^3*SUMIFS(AL121:AL178,B121:B178,B122-36)+in_life_term_renew^4*SUMIFS(AL121:AL178,B121:B178,B122-48))</f>
        <v/>
      </c>
      <c r="AN122" s="40">
        <f>AN121*(1-IF(B121&gt;=in_marketplace_from,d_hz_accident*G121,0))</f>
        <v/>
      </c>
      <c r="AO122" s="46">
        <f>AN122*IF(B122&gt;=in_marketplace_from,d_hz_accident*G122,0)</f>
        <v/>
      </c>
      <c r="AP122" s="14">
        <f>F122*AO122*in_accident_ticket*in_accident_comm*in_ins_partner_share+F122*in_accident_ticket*in_accident_renew_comm*in_ins_partner_share*(in_accident_renew^1*SUMIFS(AO121:AO178,B121:B178,B122-12)+in_accident_renew^2*SUMIFS(AO121:AO178,B121:B178,B122-24)+in_accident_renew^3*SUMIFS(AO121:AO178,B121:B178,B122-36)+in_accident_renew^4*SUMIFS(AO121:AO178,B121:B178,B122-48))</f>
        <v/>
      </c>
      <c r="AQ122" s="40">
        <f>AQ121*(1-IF(B121&gt;=in_marketplace_from,d_hz_two_wheeler*G121,0))</f>
        <v/>
      </c>
      <c r="AR122" s="46">
        <f>AQ122*IF(B122&gt;=in_marketplace_from,d_hz_two_wheeler*G122,0)</f>
        <v/>
      </c>
      <c r="AS122" s="14">
        <f>F122*AR122*in_two_wheeler_ticket*in_two_wheeler_comm*in_ins_partner_share+F122*in_two_wheeler_ticket*in_two_wheeler_comm*in_ins_partner_share*(in_two_wheeler_renew^1*SUMIFS(AR121:AR178,B121:B178,B122-12)+in_two_wheeler_renew^2*SUMIFS(AR121:AR178,B121:B178,B122-24)+in_two_wheeler_renew^3*SUMIFS(AR121:AR178,B121:B178,B122-36)+in_two_wheeler_renew^4*SUMIFS(AR121:AR178,B121:B178,B122-48))</f>
        <v/>
      </c>
      <c r="AT122" s="40">
        <f>AT121*(1-IF(B121&gt;=in_marketplace_from,d_hz_device*G121,0))</f>
        <v/>
      </c>
      <c r="AU122" s="14">
        <f>F122*AT122*IF(B122&gt;=in_marketplace_from,d_hz_device*G122,0)*in_device_ticket*in_device_comm*in_ins_partner_share</f>
        <v/>
      </c>
      <c r="AV122" s="40">
        <f>AV121*(1-IF(B121&gt;=in_marketplace_from,d_hz_shop*G121,0))</f>
        <v/>
      </c>
      <c r="AW122" s="46">
        <f>AV122*IF(B122&gt;=in_marketplace_from,d_hz_shop*G122,0)</f>
        <v/>
      </c>
      <c r="AX122" s="14">
        <f>F122*AW122*in_shop_ticket*in_shop_comm*in_ins_partner_share+F122*in_shop_ticket*in_shop_renew_comm*in_ins_partner_share*(in_shop_renew^1*SUMIFS(AW121:AW178,B121:B178,B122-12)+in_shop_renew^2*SUMIFS(AW121:AW178,B121:B178,B122-24)+in_shop_renew^3*SUMIFS(AW121:AW178,B121:B178,B122-36)+in_shop_renew^4*SUMIFS(AW121:AW178,B121:B178,B122-48))</f>
        <v/>
      </c>
      <c r="AY122" s="40">
        <f>AY121*(1-IF(B121&gt;=in_marketplace_from,d_hz_sip*G121,0))</f>
        <v/>
      </c>
      <c r="AZ122" s="40">
        <f>AZ121*d_rho_sip+AY122*IF(B122&gt;=in_marketplace_from,d_hz_sip*G122,0)</f>
        <v/>
      </c>
      <c r="BA122" s="40">
        <f>d_rho_sip*(BA121+AZ121)</f>
        <v/>
      </c>
      <c r="BB122" s="14">
        <f>F122*in_sip_ticket*(BA122+0.5*AZ122)*in_sip_comm/12</f>
        <v/>
      </c>
      <c r="BC122" s="40">
        <f>BC121*(1-IF(B121&gt;=in_marketplace_from,d_hz_choti*G121,0))</f>
        <v/>
      </c>
      <c r="BD122" s="46">
        <f>BC122*IF(B122&gt;=in_marketplace_from,d_hz_choti*G122,0)</f>
        <v/>
      </c>
      <c r="BE122" s="14">
        <f>F122*SUMIFS(BD121:BD178,B121:B178,B122-in_choti_months)*in_choti_renew*in_choti_ticket</f>
        <v/>
      </c>
      <c r="BF122" s="40">
        <f>BF121*(1-IF(B121&gt;=in_marketplace_from,d_hz_nps*G121,0))</f>
        <v/>
      </c>
      <c r="BG122" s="14">
        <f>F122*BF122*IF(B122&gt;=in_marketplace_from,d_hz_nps*G122,0)*in_nps_ticket*in_nps_comm</f>
        <v/>
      </c>
      <c r="BH122" s="40">
        <f>BH121*(1-IF(B121&gt;=in_marketplace_from,d_hz_gold*G121,0))</f>
        <v/>
      </c>
      <c r="BI122" s="40">
        <f>BI121*d_rho_gold+BH122*IF(B122&gt;=in_marketplace_from,d_hz_gold*G122,0)</f>
        <v/>
      </c>
      <c r="BJ122" s="14">
        <f>F122*BI122*in_gold_ticket*in_gold_comm</f>
        <v/>
      </c>
      <c r="BK122" s="40">
        <f>BK121*(1-IF(B121&gt;=in_marketplace_from,d_hz_fd*G121,0))</f>
        <v/>
      </c>
      <c r="BL122" s="14">
        <f>F122*BK122*IF(B122&gt;=in_marketplace_from,d_hz_fd*G122,0)*in_fd_ticket*in_fd_comm</f>
        <v/>
      </c>
      <c r="BM122" s="40">
        <f>BM121*(1-IF(B121&gt;=in_marketplace_from,d_hz_recharge*G121,0))</f>
        <v/>
      </c>
      <c r="BN122" s="40">
        <f>BN121*d_rho_recharge+BM122*IF(B122&gt;=in_marketplace_from,d_hz_recharge*G122,0)</f>
        <v/>
      </c>
      <c r="BO122" s="14">
        <f>F122*BN122*in_recharge_ticket*in_recharge_comm/12</f>
        <v/>
      </c>
      <c r="BP122" s="40">
        <f>BP121*(1-IF(B121&gt;=in_marketplace_from,d_hz_bills*G121,0))</f>
        <v/>
      </c>
      <c r="BQ122" s="40">
        <f>BQ121*d_rho_bills+BP122*IF(B122&gt;=in_marketplace_from,d_hz_bills*G122,0)</f>
        <v/>
      </c>
      <c r="BR122" s="14">
        <f>F122*BQ122*in_bills_ticket*in_bills_comm/12</f>
        <v/>
      </c>
      <c r="BS122" s="40">
        <f>BS121*(1-IF(B121&gt;=in_marketplace_from,d_hz_loan_gold*G121,0))</f>
        <v/>
      </c>
      <c r="BT122" s="14">
        <f>F122*BS122*IF(B122&gt;=in_marketplace_from,d_hz_loan_gold*G122,0)*in_loan_gold_ticket*in_loan_gold_comm</f>
        <v/>
      </c>
      <c r="BU122" s="40">
        <f>BU121*(1-IF(B121&gt;=in_marketplace_from,d_hz_loan_cd*G121,0))</f>
        <v/>
      </c>
      <c r="BV122" s="14">
        <f>F122*BU122*IF(B122&gt;=in_marketplace_from,d_hz_loan_cd*G122,0)*in_loan_cd_ticket*in_loan_cd_comm</f>
        <v/>
      </c>
      <c r="BW122" s="40">
        <f>BW121*(1-IF(B121&gt;=in_marketplace_from,d_hz_loan_vehicle*G121,0))</f>
        <v/>
      </c>
      <c r="BX122" s="14">
        <f>F122*BW122*IF(B122&gt;=in_marketplace_from,d_hz_loan_vehicle*G122,0)*in_loan_vehicle_ticket*in_loan_vehicle_comm</f>
        <v/>
      </c>
      <c r="BY122" s="40">
        <f>BY121*(1-IF(B121&gt;=in_marketplace_from,d_hz_loan_home*G121,0)*BZ121)</f>
        <v/>
      </c>
      <c r="BZ122" s="11">
        <f>MIN(in_approval_cap,in_loan_home_approval*INDEX('Age profile'!$O$2:$O$61,B122)*(1+in_approval_growth)^(D122-1))</f>
        <v/>
      </c>
      <c r="CA122" s="14">
        <f>F122*BY122*IF(B122&gt;=in_marketplace_from,d_hz_loan_home*G122,0)*BZ122*in_loan_home_ticket*in_loan_home_comm</f>
        <v/>
      </c>
      <c r="CB122" s="40">
        <f>CB121*(1-IF(B121&gt;=in_marketplace_from,d_hz_loan_lap*G121,0)*CC121)</f>
        <v/>
      </c>
      <c r="CC122" s="11">
        <f>MIN(in_approval_cap,in_loan_lap_approval*INDEX('Age profile'!$O$2:$O$61,B122)*(1+in_approval_growth)^(D122-1))</f>
        <v/>
      </c>
      <c r="CD122" s="14">
        <f>F122*CB122*IF(B122&gt;=in_marketplace_from,d_hz_loan_lap*G122,0)*CC122*in_loan_lap_ticket*in_loan_lap_comm</f>
        <v/>
      </c>
      <c r="CE122" s="14">
        <f>AA122+AB122+AC122+AD122+AG122+AJ122+AM122+AP122+AS122+AU122+AX122+BB122+BE122+BG122+BJ122+BL122+BO122+BR122+BT122+BV122+BX122+CA122+CD122</f>
        <v/>
      </c>
    </row>
    <row r="123">
      <c r="A123" s="39" t="n">
        <v>3</v>
      </c>
      <c r="B123" s="39" t="n">
        <v>3</v>
      </c>
      <c r="C123" s="39">
        <f>A123+B123-1</f>
        <v/>
      </c>
      <c r="D123" s="39">
        <f>INT((C123-1)/12)+1</f>
        <v/>
      </c>
      <c r="E123" s="44">
        <f>INDEX(Monthly!$B$2:$B$61,A123)</f>
        <v/>
      </c>
      <c r="F123" s="44">
        <f>E123*INDEX('Age profile'!$B$2:$B$61,B123)</f>
        <v/>
      </c>
      <c r="G123" s="45">
        <f>MIN(in_takeup_cap,INDEX('Age profile'!$N$2:$N$61,B123)*(1+in_takeup_growth)^(D123-1))</f>
        <v/>
      </c>
      <c r="H123" s="11">
        <f>MIN(in_approval_cap,in_approved_first*INDEX('Age profile'!$O$2:$O$61,B123)*(1+in_approval_growth)^(D123-1))</f>
        <v/>
      </c>
      <c r="I123" s="45">
        <f>G123*MIN(in_takeup_cap,INDEX('Age profile'!$O$2:$O$61,B123)*(1+in_approval_growth)^(D123-1))</f>
        <v/>
      </c>
      <c r="J123" s="40">
        <f>(J122-L122)*F123/F122</f>
        <v/>
      </c>
      <c r="K123" s="40">
        <f>(K122-M122)*F123/F122+SUMIFS(O121:O122,B121:B122,B123-1-d_T)*F123</f>
        <v/>
      </c>
      <c r="L123" s="40">
        <f>IF(B123&gt;=in_marketplace_from,J123*d_hz*G123*in_eligible*H123,0)</f>
        <v/>
      </c>
      <c r="M123" s="40">
        <f>IF(B123&gt;=in_marketplace_from,K123*d_hz*G123*in_eligible*in_approved_repeat,0)</f>
        <v/>
      </c>
      <c r="N123" s="40">
        <f>L123+M123</f>
        <v/>
      </c>
      <c r="O123" s="46">
        <f>N123/F123</f>
        <v/>
      </c>
      <c r="P123" s="40">
        <f>F123-J123-K123</f>
        <v/>
      </c>
      <c r="Q123" s="40">
        <f>IF(B123&gt;=in_marketplace_from,(J123+K123)*d_hz*G123,0)</f>
        <v/>
      </c>
      <c r="R123" s="40">
        <f>SUMIFS(N121:N178,B121:B178,"&gt;="&amp;(B123-d_T),B121:B178,"&lt;="&amp;(B123-1))</f>
        <v/>
      </c>
      <c r="S123" s="46">
        <f>(1-d_u)*S122+IF(d_T&gt;in_topup_lag,SUMIFS(O121:O178,B121:B178,B123-in_topup_lag)-d_udrop*SUMIFS(O121:O178,B121:B178,B123-d_T),0)</f>
        <v/>
      </c>
      <c r="T123" s="40">
        <f>F123*d_u*S123</f>
        <v/>
      </c>
      <c r="U123" s="9">
        <f>L123*in_ticket+M123*d_rep_ticket</f>
        <v/>
      </c>
      <c r="V123" s="9">
        <f>U123+T123*d_topup_amt</f>
        <v/>
      </c>
      <c r="W123" s="40">
        <f>N123+T123*d_topup_ratio</f>
        <v/>
      </c>
      <c r="X123" s="40">
        <f>SUMIFS(W121:W178,B121:B178,B123-in_dpd_lag)*d_cured</f>
        <v/>
      </c>
      <c r="Y123" s="40">
        <f>SUMIFS(W121:W178,B121:B178,B123-in_rec_lag)*d_recd</f>
        <v/>
      </c>
      <c r="Z123" s="40">
        <f>IF(AND(B123&gt;=in_marketplace_from,B123&lt;in_marketplace_from+in_card_months),in_card_share/in_card_months*F123*I123,IF(AND(B123&gt;=in_marketplace_from+in_card_months,B123&lt;in_marketplace_from+2*in_card_months),in_card_share*d_card_rem/in_card_months*F123*MIN(in_takeup_cap,(1+in_takeup_growth)^(D123-1))*MIN(in_takeup_cap,(1+in_approval_growth)^(D123-1)),0))</f>
        <v/>
      </c>
      <c r="AA123" s="14">
        <f>V123*in_fee*(1-in_taken_back)</f>
        <v/>
      </c>
      <c r="AB123" s="14">
        <f>SUMIFS(W121:W178,B121:B178,B123-in_dpd_lag)*d_dpd</f>
        <v/>
      </c>
      <c r="AC123" s="14">
        <f>SUMIFS(W121:W178,B121:B178,B123-in_rec_lag)*d_rec</f>
        <v/>
      </c>
      <c r="AD123" s="14">
        <f>Z123*in_card_fee</f>
        <v/>
      </c>
      <c r="AE123" s="40">
        <f>AE122*(1-IF(B122&gt;=in_marketplace_from,d_hz_hlth_small*G122,0))</f>
        <v/>
      </c>
      <c r="AF123" s="46">
        <f>AE123*IF(B123&gt;=in_marketplace_from,d_hz_hlth_small*G123,0)</f>
        <v/>
      </c>
      <c r="AG123" s="14">
        <f>F123*AF123*in_hlth_small_ticket*in_hlth_small_comm*in_ins_partner_share+F123*in_hlth_small_ticket*in_hlth_small_renew_comm*in_ins_partner_share*(in_hlth_small_renew^1*SUMIFS(AF121:AF178,B121:B178,B123-12)+in_hlth_small_renew^2*SUMIFS(AF121:AF178,B121:B178,B123-24)+in_hlth_small_renew^3*SUMIFS(AF121:AF178,B121:B178,B123-36)+in_hlth_small_renew^4*SUMIFS(AF121:AF178,B121:B178,B123-48))</f>
        <v/>
      </c>
      <c r="AH123" s="40">
        <f>AH122*(1-IF(B122&gt;=in_marketplace_from,d_hz_hlth_family*G122,0))</f>
        <v/>
      </c>
      <c r="AI123" s="46">
        <f>AH123*IF(B123&gt;=in_marketplace_from,d_hz_hlth_family*G123,0)</f>
        <v/>
      </c>
      <c r="AJ123" s="14">
        <f>F123*AI123*in_hlth_family_ticket*in_hlth_family_comm*in_ins_partner_share+F123*in_hlth_family_ticket*in_hlth_family_renew_comm*in_ins_partner_share*(in_hlth_family_renew^1*SUMIFS(AI121:AI178,B121:B178,B123-12)+in_hlth_family_renew^2*SUMIFS(AI121:AI178,B121:B178,B123-24)+in_hlth_family_renew^3*SUMIFS(AI121:AI178,B121:B178,B123-36)+in_hlth_family_renew^4*SUMIFS(AI121:AI178,B121:B178,B123-48))</f>
        <v/>
      </c>
      <c r="AK123" s="40">
        <f>AK122*(1-IF(B122&gt;=in_marketplace_from,d_hz_life_term*G122,0))</f>
        <v/>
      </c>
      <c r="AL123" s="46">
        <f>AK123*IF(B123&gt;=in_marketplace_from,d_hz_life_term*G123,0)</f>
        <v/>
      </c>
      <c r="AM123" s="14">
        <f>F123*AL123*in_life_term_ticket*in_life_term_comm*in_ins_partner_share+F123*in_life_term_ticket*in_life_term_renew_comm*in_ins_partner_share*(in_life_term_renew^1*SUMIFS(AL121:AL178,B121:B178,B123-12)+in_life_term_renew^2*SUMIFS(AL121:AL178,B121:B178,B123-24)+in_life_term_renew^3*SUMIFS(AL121:AL178,B121:B178,B123-36)+in_life_term_renew^4*SUMIFS(AL121:AL178,B121:B178,B123-48))</f>
        <v/>
      </c>
      <c r="AN123" s="40">
        <f>AN122*(1-IF(B122&gt;=in_marketplace_from,d_hz_accident*G122,0))</f>
        <v/>
      </c>
      <c r="AO123" s="46">
        <f>AN123*IF(B123&gt;=in_marketplace_from,d_hz_accident*G123,0)</f>
        <v/>
      </c>
      <c r="AP123" s="14">
        <f>F123*AO123*in_accident_ticket*in_accident_comm*in_ins_partner_share+F123*in_accident_ticket*in_accident_renew_comm*in_ins_partner_share*(in_accident_renew^1*SUMIFS(AO121:AO178,B121:B178,B123-12)+in_accident_renew^2*SUMIFS(AO121:AO178,B121:B178,B123-24)+in_accident_renew^3*SUMIFS(AO121:AO178,B121:B178,B123-36)+in_accident_renew^4*SUMIFS(AO121:AO178,B121:B178,B123-48))</f>
        <v/>
      </c>
      <c r="AQ123" s="40">
        <f>AQ122*(1-IF(B122&gt;=in_marketplace_from,d_hz_two_wheeler*G122,0))</f>
        <v/>
      </c>
      <c r="AR123" s="46">
        <f>AQ123*IF(B123&gt;=in_marketplace_from,d_hz_two_wheeler*G123,0)</f>
        <v/>
      </c>
      <c r="AS123" s="14">
        <f>F123*AR123*in_two_wheeler_ticket*in_two_wheeler_comm*in_ins_partner_share+F123*in_two_wheeler_ticket*in_two_wheeler_comm*in_ins_partner_share*(in_two_wheeler_renew^1*SUMIFS(AR121:AR178,B121:B178,B123-12)+in_two_wheeler_renew^2*SUMIFS(AR121:AR178,B121:B178,B123-24)+in_two_wheeler_renew^3*SUMIFS(AR121:AR178,B121:B178,B123-36)+in_two_wheeler_renew^4*SUMIFS(AR121:AR178,B121:B178,B123-48))</f>
        <v/>
      </c>
      <c r="AT123" s="40">
        <f>AT122*(1-IF(B122&gt;=in_marketplace_from,d_hz_device*G122,0))</f>
        <v/>
      </c>
      <c r="AU123" s="14">
        <f>F123*AT123*IF(B123&gt;=in_marketplace_from,d_hz_device*G123,0)*in_device_ticket*in_device_comm*in_ins_partner_share</f>
        <v/>
      </c>
      <c r="AV123" s="40">
        <f>AV122*(1-IF(B122&gt;=in_marketplace_from,d_hz_shop*G122,0))</f>
        <v/>
      </c>
      <c r="AW123" s="46">
        <f>AV123*IF(B123&gt;=in_marketplace_from,d_hz_shop*G123,0)</f>
        <v/>
      </c>
      <c r="AX123" s="14">
        <f>F123*AW123*in_shop_ticket*in_shop_comm*in_ins_partner_share+F123*in_shop_ticket*in_shop_renew_comm*in_ins_partner_share*(in_shop_renew^1*SUMIFS(AW121:AW178,B121:B178,B123-12)+in_shop_renew^2*SUMIFS(AW121:AW178,B121:B178,B123-24)+in_shop_renew^3*SUMIFS(AW121:AW178,B121:B178,B123-36)+in_shop_renew^4*SUMIFS(AW121:AW178,B121:B178,B123-48))</f>
        <v/>
      </c>
      <c r="AY123" s="40">
        <f>AY122*(1-IF(B122&gt;=in_marketplace_from,d_hz_sip*G122,0))</f>
        <v/>
      </c>
      <c r="AZ123" s="40">
        <f>AZ122*d_rho_sip+AY123*IF(B123&gt;=in_marketplace_from,d_hz_sip*G123,0)</f>
        <v/>
      </c>
      <c r="BA123" s="40">
        <f>d_rho_sip*(BA122+AZ122)</f>
        <v/>
      </c>
      <c r="BB123" s="14">
        <f>F123*in_sip_ticket*(BA123+0.5*AZ123)*in_sip_comm/12</f>
        <v/>
      </c>
      <c r="BC123" s="40">
        <f>BC122*(1-IF(B122&gt;=in_marketplace_from,d_hz_choti*G122,0))</f>
        <v/>
      </c>
      <c r="BD123" s="46">
        <f>BC123*IF(B123&gt;=in_marketplace_from,d_hz_choti*G123,0)</f>
        <v/>
      </c>
      <c r="BE123" s="14">
        <f>F123*SUMIFS(BD121:BD178,B121:B178,B123-in_choti_months)*in_choti_renew*in_choti_ticket</f>
        <v/>
      </c>
      <c r="BF123" s="40">
        <f>BF122*(1-IF(B122&gt;=in_marketplace_from,d_hz_nps*G122,0))</f>
        <v/>
      </c>
      <c r="BG123" s="14">
        <f>F123*BF123*IF(B123&gt;=in_marketplace_from,d_hz_nps*G123,0)*in_nps_ticket*in_nps_comm</f>
        <v/>
      </c>
      <c r="BH123" s="40">
        <f>BH122*(1-IF(B122&gt;=in_marketplace_from,d_hz_gold*G122,0))</f>
        <v/>
      </c>
      <c r="BI123" s="40">
        <f>BI122*d_rho_gold+BH123*IF(B123&gt;=in_marketplace_from,d_hz_gold*G123,0)</f>
        <v/>
      </c>
      <c r="BJ123" s="14">
        <f>F123*BI123*in_gold_ticket*in_gold_comm</f>
        <v/>
      </c>
      <c r="BK123" s="40">
        <f>BK122*(1-IF(B122&gt;=in_marketplace_from,d_hz_fd*G122,0))</f>
        <v/>
      </c>
      <c r="BL123" s="14">
        <f>F123*BK123*IF(B123&gt;=in_marketplace_from,d_hz_fd*G123,0)*in_fd_ticket*in_fd_comm</f>
        <v/>
      </c>
      <c r="BM123" s="40">
        <f>BM122*(1-IF(B122&gt;=in_marketplace_from,d_hz_recharge*G122,0))</f>
        <v/>
      </c>
      <c r="BN123" s="40">
        <f>BN122*d_rho_recharge+BM123*IF(B123&gt;=in_marketplace_from,d_hz_recharge*G123,0)</f>
        <v/>
      </c>
      <c r="BO123" s="14">
        <f>F123*BN123*in_recharge_ticket*in_recharge_comm/12</f>
        <v/>
      </c>
      <c r="BP123" s="40">
        <f>BP122*(1-IF(B122&gt;=in_marketplace_from,d_hz_bills*G122,0))</f>
        <v/>
      </c>
      <c r="BQ123" s="40">
        <f>BQ122*d_rho_bills+BP123*IF(B123&gt;=in_marketplace_from,d_hz_bills*G123,0)</f>
        <v/>
      </c>
      <c r="BR123" s="14">
        <f>F123*BQ123*in_bills_ticket*in_bills_comm/12</f>
        <v/>
      </c>
      <c r="BS123" s="40">
        <f>BS122*(1-IF(B122&gt;=in_marketplace_from,d_hz_loan_gold*G122,0))</f>
        <v/>
      </c>
      <c r="BT123" s="14">
        <f>F123*BS123*IF(B123&gt;=in_marketplace_from,d_hz_loan_gold*G123,0)*in_loan_gold_ticket*in_loan_gold_comm</f>
        <v/>
      </c>
      <c r="BU123" s="40">
        <f>BU122*(1-IF(B122&gt;=in_marketplace_from,d_hz_loan_cd*G122,0))</f>
        <v/>
      </c>
      <c r="BV123" s="14">
        <f>F123*BU123*IF(B123&gt;=in_marketplace_from,d_hz_loan_cd*G123,0)*in_loan_cd_ticket*in_loan_cd_comm</f>
        <v/>
      </c>
      <c r="BW123" s="40">
        <f>BW122*(1-IF(B122&gt;=in_marketplace_from,d_hz_loan_vehicle*G122,0))</f>
        <v/>
      </c>
      <c r="BX123" s="14">
        <f>F123*BW123*IF(B123&gt;=in_marketplace_from,d_hz_loan_vehicle*G123,0)*in_loan_vehicle_ticket*in_loan_vehicle_comm</f>
        <v/>
      </c>
      <c r="BY123" s="40">
        <f>BY122*(1-IF(B122&gt;=in_marketplace_from,d_hz_loan_home*G122,0)*BZ122)</f>
        <v/>
      </c>
      <c r="BZ123" s="11">
        <f>MIN(in_approval_cap,in_loan_home_approval*INDEX('Age profile'!$O$2:$O$61,B123)*(1+in_approval_growth)^(D123-1))</f>
        <v/>
      </c>
      <c r="CA123" s="14">
        <f>F123*BY123*IF(B123&gt;=in_marketplace_from,d_hz_loan_home*G123,0)*BZ123*in_loan_home_ticket*in_loan_home_comm</f>
        <v/>
      </c>
      <c r="CB123" s="40">
        <f>CB122*(1-IF(B122&gt;=in_marketplace_from,d_hz_loan_lap*G122,0)*CC122)</f>
        <v/>
      </c>
      <c r="CC123" s="11">
        <f>MIN(in_approval_cap,in_loan_lap_approval*INDEX('Age profile'!$O$2:$O$61,B123)*(1+in_approval_growth)^(D123-1))</f>
        <v/>
      </c>
      <c r="CD123" s="14">
        <f>F123*CB123*IF(B123&gt;=in_marketplace_from,d_hz_loan_lap*G123,0)*CC123*in_loan_lap_ticket*in_loan_lap_comm</f>
        <v/>
      </c>
      <c r="CE123" s="14">
        <f>AA123+AB123+AC123+AD123+AG123+AJ123+AM123+AP123+AS123+AU123+AX123+BB123+BE123+BG123+BJ123+BL123+BO123+BR123+BT123+BV123+BX123+CA123+CD123</f>
        <v/>
      </c>
    </row>
    <row r="124">
      <c r="A124" s="39" t="n">
        <v>3</v>
      </c>
      <c r="B124" s="39" t="n">
        <v>4</v>
      </c>
      <c r="C124" s="39">
        <f>A124+B124-1</f>
        <v/>
      </c>
      <c r="D124" s="39">
        <f>INT((C124-1)/12)+1</f>
        <v/>
      </c>
      <c r="E124" s="44">
        <f>INDEX(Monthly!$B$2:$B$61,A124)</f>
        <v/>
      </c>
      <c r="F124" s="44">
        <f>E124*INDEX('Age profile'!$B$2:$B$61,B124)</f>
        <v/>
      </c>
      <c r="G124" s="45">
        <f>MIN(in_takeup_cap,INDEX('Age profile'!$N$2:$N$61,B124)*(1+in_takeup_growth)^(D124-1))</f>
        <v/>
      </c>
      <c r="H124" s="11">
        <f>MIN(in_approval_cap,in_approved_first*INDEX('Age profile'!$O$2:$O$61,B124)*(1+in_approval_growth)^(D124-1))</f>
        <v/>
      </c>
      <c r="I124" s="45">
        <f>G124*MIN(in_takeup_cap,INDEX('Age profile'!$O$2:$O$61,B124)*(1+in_approval_growth)^(D124-1))</f>
        <v/>
      </c>
      <c r="J124" s="40">
        <f>(J123-L123)*F124/F123</f>
        <v/>
      </c>
      <c r="K124" s="40">
        <f>(K123-M123)*F124/F123+SUMIFS(O121:O123,B121:B123,B124-1-d_T)*F124</f>
        <v/>
      </c>
      <c r="L124" s="40">
        <f>IF(B124&gt;=in_marketplace_from,J124*d_hz*G124*in_eligible*H124,0)</f>
        <v/>
      </c>
      <c r="M124" s="40">
        <f>IF(B124&gt;=in_marketplace_from,K124*d_hz*G124*in_eligible*in_approved_repeat,0)</f>
        <v/>
      </c>
      <c r="N124" s="40">
        <f>L124+M124</f>
        <v/>
      </c>
      <c r="O124" s="46">
        <f>N124/F124</f>
        <v/>
      </c>
      <c r="P124" s="40">
        <f>F124-J124-K124</f>
        <v/>
      </c>
      <c r="Q124" s="40">
        <f>IF(B124&gt;=in_marketplace_from,(J124+K124)*d_hz*G124,0)</f>
        <v/>
      </c>
      <c r="R124" s="40">
        <f>SUMIFS(N121:N178,B121:B178,"&gt;="&amp;(B124-d_T),B121:B178,"&lt;="&amp;(B124-1))</f>
        <v/>
      </c>
      <c r="S124" s="46">
        <f>(1-d_u)*S123+IF(d_T&gt;in_topup_lag,SUMIFS(O121:O178,B121:B178,B124-in_topup_lag)-d_udrop*SUMIFS(O121:O178,B121:B178,B124-d_T),0)</f>
        <v/>
      </c>
      <c r="T124" s="40">
        <f>F124*d_u*S124</f>
        <v/>
      </c>
      <c r="U124" s="9">
        <f>L124*in_ticket+M124*d_rep_ticket</f>
        <v/>
      </c>
      <c r="V124" s="9">
        <f>U124+T124*d_topup_amt</f>
        <v/>
      </c>
      <c r="W124" s="40">
        <f>N124+T124*d_topup_ratio</f>
        <v/>
      </c>
      <c r="X124" s="40">
        <f>SUMIFS(W121:W178,B121:B178,B124-in_dpd_lag)*d_cured</f>
        <v/>
      </c>
      <c r="Y124" s="40">
        <f>SUMIFS(W121:W178,B121:B178,B124-in_rec_lag)*d_recd</f>
        <v/>
      </c>
      <c r="Z124" s="40">
        <f>IF(AND(B124&gt;=in_marketplace_from,B124&lt;in_marketplace_from+in_card_months),in_card_share/in_card_months*F124*I124,IF(AND(B124&gt;=in_marketplace_from+in_card_months,B124&lt;in_marketplace_from+2*in_card_months),in_card_share*d_card_rem/in_card_months*F124*MIN(in_takeup_cap,(1+in_takeup_growth)^(D124-1))*MIN(in_takeup_cap,(1+in_approval_growth)^(D124-1)),0))</f>
        <v/>
      </c>
      <c r="AA124" s="14">
        <f>V124*in_fee*(1-in_taken_back)</f>
        <v/>
      </c>
      <c r="AB124" s="14">
        <f>SUMIFS(W121:W178,B121:B178,B124-in_dpd_lag)*d_dpd</f>
        <v/>
      </c>
      <c r="AC124" s="14">
        <f>SUMIFS(W121:W178,B121:B178,B124-in_rec_lag)*d_rec</f>
        <v/>
      </c>
      <c r="AD124" s="14">
        <f>Z124*in_card_fee</f>
        <v/>
      </c>
      <c r="AE124" s="40">
        <f>AE123*(1-IF(B123&gt;=in_marketplace_from,d_hz_hlth_small*G123,0))</f>
        <v/>
      </c>
      <c r="AF124" s="46">
        <f>AE124*IF(B124&gt;=in_marketplace_from,d_hz_hlth_small*G124,0)</f>
        <v/>
      </c>
      <c r="AG124" s="14">
        <f>F124*AF124*in_hlth_small_ticket*in_hlth_small_comm*in_ins_partner_share+F124*in_hlth_small_ticket*in_hlth_small_renew_comm*in_ins_partner_share*(in_hlth_small_renew^1*SUMIFS(AF121:AF178,B121:B178,B124-12)+in_hlth_small_renew^2*SUMIFS(AF121:AF178,B121:B178,B124-24)+in_hlth_small_renew^3*SUMIFS(AF121:AF178,B121:B178,B124-36)+in_hlth_small_renew^4*SUMIFS(AF121:AF178,B121:B178,B124-48))</f>
        <v/>
      </c>
      <c r="AH124" s="40">
        <f>AH123*(1-IF(B123&gt;=in_marketplace_from,d_hz_hlth_family*G123,0))</f>
        <v/>
      </c>
      <c r="AI124" s="46">
        <f>AH124*IF(B124&gt;=in_marketplace_from,d_hz_hlth_family*G124,0)</f>
        <v/>
      </c>
      <c r="AJ124" s="14">
        <f>F124*AI124*in_hlth_family_ticket*in_hlth_family_comm*in_ins_partner_share+F124*in_hlth_family_ticket*in_hlth_family_renew_comm*in_ins_partner_share*(in_hlth_family_renew^1*SUMIFS(AI121:AI178,B121:B178,B124-12)+in_hlth_family_renew^2*SUMIFS(AI121:AI178,B121:B178,B124-24)+in_hlth_family_renew^3*SUMIFS(AI121:AI178,B121:B178,B124-36)+in_hlth_family_renew^4*SUMIFS(AI121:AI178,B121:B178,B124-48))</f>
        <v/>
      </c>
      <c r="AK124" s="40">
        <f>AK123*(1-IF(B123&gt;=in_marketplace_from,d_hz_life_term*G123,0))</f>
        <v/>
      </c>
      <c r="AL124" s="46">
        <f>AK124*IF(B124&gt;=in_marketplace_from,d_hz_life_term*G124,0)</f>
        <v/>
      </c>
      <c r="AM124" s="14">
        <f>F124*AL124*in_life_term_ticket*in_life_term_comm*in_ins_partner_share+F124*in_life_term_ticket*in_life_term_renew_comm*in_ins_partner_share*(in_life_term_renew^1*SUMIFS(AL121:AL178,B121:B178,B124-12)+in_life_term_renew^2*SUMIFS(AL121:AL178,B121:B178,B124-24)+in_life_term_renew^3*SUMIFS(AL121:AL178,B121:B178,B124-36)+in_life_term_renew^4*SUMIFS(AL121:AL178,B121:B178,B124-48))</f>
        <v/>
      </c>
      <c r="AN124" s="40">
        <f>AN123*(1-IF(B123&gt;=in_marketplace_from,d_hz_accident*G123,0))</f>
        <v/>
      </c>
      <c r="AO124" s="46">
        <f>AN124*IF(B124&gt;=in_marketplace_from,d_hz_accident*G124,0)</f>
        <v/>
      </c>
      <c r="AP124" s="14">
        <f>F124*AO124*in_accident_ticket*in_accident_comm*in_ins_partner_share+F124*in_accident_ticket*in_accident_renew_comm*in_ins_partner_share*(in_accident_renew^1*SUMIFS(AO121:AO178,B121:B178,B124-12)+in_accident_renew^2*SUMIFS(AO121:AO178,B121:B178,B124-24)+in_accident_renew^3*SUMIFS(AO121:AO178,B121:B178,B124-36)+in_accident_renew^4*SUMIFS(AO121:AO178,B121:B178,B124-48))</f>
        <v/>
      </c>
      <c r="AQ124" s="40">
        <f>AQ123*(1-IF(B123&gt;=in_marketplace_from,d_hz_two_wheeler*G123,0))</f>
        <v/>
      </c>
      <c r="AR124" s="46">
        <f>AQ124*IF(B124&gt;=in_marketplace_from,d_hz_two_wheeler*G124,0)</f>
        <v/>
      </c>
      <c r="AS124" s="14">
        <f>F124*AR124*in_two_wheeler_ticket*in_two_wheeler_comm*in_ins_partner_share+F124*in_two_wheeler_ticket*in_two_wheeler_comm*in_ins_partner_share*(in_two_wheeler_renew^1*SUMIFS(AR121:AR178,B121:B178,B124-12)+in_two_wheeler_renew^2*SUMIFS(AR121:AR178,B121:B178,B124-24)+in_two_wheeler_renew^3*SUMIFS(AR121:AR178,B121:B178,B124-36)+in_two_wheeler_renew^4*SUMIFS(AR121:AR178,B121:B178,B124-48))</f>
        <v/>
      </c>
      <c r="AT124" s="40">
        <f>AT123*(1-IF(B123&gt;=in_marketplace_from,d_hz_device*G123,0))</f>
        <v/>
      </c>
      <c r="AU124" s="14">
        <f>F124*AT124*IF(B124&gt;=in_marketplace_from,d_hz_device*G124,0)*in_device_ticket*in_device_comm*in_ins_partner_share</f>
        <v/>
      </c>
      <c r="AV124" s="40">
        <f>AV123*(1-IF(B123&gt;=in_marketplace_from,d_hz_shop*G123,0))</f>
        <v/>
      </c>
      <c r="AW124" s="46">
        <f>AV124*IF(B124&gt;=in_marketplace_from,d_hz_shop*G124,0)</f>
        <v/>
      </c>
      <c r="AX124" s="14">
        <f>F124*AW124*in_shop_ticket*in_shop_comm*in_ins_partner_share+F124*in_shop_ticket*in_shop_renew_comm*in_ins_partner_share*(in_shop_renew^1*SUMIFS(AW121:AW178,B121:B178,B124-12)+in_shop_renew^2*SUMIFS(AW121:AW178,B121:B178,B124-24)+in_shop_renew^3*SUMIFS(AW121:AW178,B121:B178,B124-36)+in_shop_renew^4*SUMIFS(AW121:AW178,B121:B178,B124-48))</f>
        <v/>
      </c>
      <c r="AY124" s="40">
        <f>AY123*(1-IF(B123&gt;=in_marketplace_from,d_hz_sip*G123,0))</f>
        <v/>
      </c>
      <c r="AZ124" s="40">
        <f>AZ123*d_rho_sip+AY124*IF(B124&gt;=in_marketplace_from,d_hz_sip*G124,0)</f>
        <v/>
      </c>
      <c r="BA124" s="40">
        <f>d_rho_sip*(BA123+AZ123)</f>
        <v/>
      </c>
      <c r="BB124" s="14">
        <f>F124*in_sip_ticket*(BA124+0.5*AZ124)*in_sip_comm/12</f>
        <v/>
      </c>
      <c r="BC124" s="40">
        <f>BC123*(1-IF(B123&gt;=in_marketplace_from,d_hz_choti*G123,0))</f>
        <v/>
      </c>
      <c r="BD124" s="46">
        <f>BC124*IF(B124&gt;=in_marketplace_from,d_hz_choti*G124,0)</f>
        <v/>
      </c>
      <c r="BE124" s="14">
        <f>F124*SUMIFS(BD121:BD178,B121:B178,B124-in_choti_months)*in_choti_renew*in_choti_ticket</f>
        <v/>
      </c>
      <c r="BF124" s="40">
        <f>BF123*(1-IF(B123&gt;=in_marketplace_from,d_hz_nps*G123,0))</f>
        <v/>
      </c>
      <c r="BG124" s="14">
        <f>F124*BF124*IF(B124&gt;=in_marketplace_from,d_hz_nps*G124,0)*in_nps_ticket*in_nps_comm</f>
        <v/>
      </c>
      <c r="BH124" s="40">
        <f>BH123*(1-IF(B123&gt;=in_marketplace_from,d_hz_gold*G123,0))</f>
        <v/>
      </c>
      <c r="BI124" s="40">
        <f>BI123*d_rho_gold+BH124*IF(B124&gt;=in_marketplace_from,d_hz_gold*G124,0)</f>
        <v/>
      </c>
      <c r="BJ124" s="14">
        <f>F124*BI124*in_gold_ticket*in_gold_comm</f>
        <v/>
      </c>
      <c r="BK124" s="40">
        <f>BK123*(1-IF(B123&gt;=in_marketplace_from,d_hz_fd*G123,0))</f>
        <v/>
      </c>
      <c r="BL124" s="14">
        <f>F124*BK124*IF(B124&gt;=in_marketplace_from,d_hz_fd*G124,0)*in_fd_ticket*in_fd_comm</f>
        <v/>
      </c>
      <c r="BM124" s="40">
        <f>BM123*(1-IF(B123&gt;=in_marketplace_from,d_hz_recharge*G123,0))</f>
        <v/>
      </c>
      <c r="BN124" s="40">
        <f>BN123*d_rho_recharge+BM124*IF(B124&gt;=in_marketplace_from,d_hz_recharge*G124,0)</f>
        <v/>
      </c>
      <c r="BO124" s="14">
        <f>F124*BN124*in_recharge_ticket*in_recharge_comm/12</f>
        <v/>
      </c>
      <c r="BP124" s="40">
        <f>BP123*(1-IF(B123&gt;=in_marketplace_from,d_hz_bills*G123,0))</f>
        <v/>
      </c>
      <c r="BQ124" s="40">
        <f>BQ123*d_rho_bills+BP124*IF(B124&gt;=in_marketplace_from,d_hz_bills*G124,0)</f>
        <v/>
      </c>
      <c r="BR124" s="14">
        <f>F124*BQ124*in_bills_ticket*in_bills_comm/12</f>
        <v/>
      </c>
      <c r="BS124" s="40">
        <f>BS123*(1-IF(B123&gt;=in_marketplace_from,d_hz_loan_gold*G123,0))</f>
        <v/>
      </c>
      <c r="BT124" s="14">
        <f>F124*BS124*IF(B124&gt;=in_marketplace_from,d_hz_loan_gold*G124,0)*in_loan_gold_ticket*in_loan_gold_comm</f>
        <v/>
      </c>
      <c r="BU124" s="40">
        <f>BU123*(1-IF(B123&gt;=in_marketplace_from,d_hz_loan_cd*G123,0))</f>
        <v/>
      </c>
      <c r="BV124" s="14">
        <f>F124*BU124*IF(B124&gt;=in_marketplace_from,d_hz_loan_cd*G124,0)*in_loan_cd_ticket*in_loan_cd_comm</f>
        <v/>
      </c>
      <c r="BW124" s="40">
        <f>BW123*(1-IF(B123&gt;=in_marketplace_from,d_hz_loan_vehicle*G123,0))</f>
        <v/>
      </c>
      <c r="BX124" s="14">
        <f>F124*BW124*IF(B124&gt;=in_marketplace_from,d_hz_loan_vehicle*G124,0)*in_loan_vehicle_ticket*in_loan_vehicle_comm</f>
        <v/>
      </c>
      <c r="BY124" s="40">
        <f>BY123*(1-IF(B123&gt;=in_marketplace_from,d_hz_loan_home*G123,0)*BZ123)</f>
        <v/>
      </c>
      <c r="BZ124" s="11">
        <f>MIN(in_approval_cap,in_loan_home_approval*INDEX('Age profile'!$O$2:$O$61,B124)*(1+in_approval_growth)^(D124-1))</f>
        <v/>
      </c>
      <c r="CA124" s="14">
        <f>F124*BY124*IF(B124&gt;=in_marketplace_from,d_hz_loan_home*G124,0)*BZ124*in_loan_home_ticket*in_loan_home_comm</f>
        <v/>
      </c>
      <c r="CB124" s="40">
        <f>CB123*(1-IF(B123&gt;=in_marketplace_from,d_hz_loan_lap*G123,0)*CC123)</f>
        <v/>
      </c>
      <c r="CC124" s="11">
        <f>MIN(in_approval_cap,in_loan_lap_approval*INDEX('Age profile'!$O$2:$O$61,B124)*(1+in_approval_growth)^(D124-1))</f>
        <v/>
      </c>
      <c r="CD124" s="14">
        <f>F124*CB124*IF(B124&gt;=in_marketplace_from,d_hz_loan_lap*G124,0)*CC124*in_loan_lap_ticket*in_loan_lap_comm</f>
        <v/>
      </c>
      <c r="CE124" s="14">
        <f>AA124+AB124+AC124+AD124+AG124+AJ124+AM124+AP124+AS124+AU124+AX124+BB124+BE124+BG124+BJ124+BL124+BO124+BR124+BT124+BV124+BX124+CA124+CD124</f>
        <v/>
      </c>
    </row>
    <row r="125">
      <c r="A125" s="39" t="n">
        <v>3</v>
      </c>
      <c r="B125" s="39" t="n">
        <v>5</v>
      </c>
      <c r="C125" s="39">
        <f>A125+B125-1</f>
        <v/>
      </c>
      <c r="D125" s="39">
        <f>INT((C125-1)/12)+1</f>
        <v/>
      </c>
      <c r="E125" s="44">
        <f>INDEX(Monthly!$B$2:$B$61,A125)</f>
        <v/>
      </c>
      <c r="F125" s="44">
        <f>E125*INDEX('Age profile'!$B$2:$B$61,B125)</f>
        <v/>
      </c>
      <c r="G125" s="45">
        <f>MIN(in_takeup_cap,INDEX('Age profile'!$N$2:$N$61,B125)*(1+in_takeup_growth)^(D125-1))</f>
        <v/>
      </c>
      <c r="H125" s="11">
        <f>MIN(in_approval_cap,in_approved_first*INDEX('Age profile'!$O$2:$O$61,B125)*(1+in_approval_growth)^(D125-1))</f>
        <v/>
      </c>
      <c r="I125" s="45">
        <f>G125*MIN(in_takeup_cap,INDEX('Age profile'!$O$2:$O$61,B125)*(1+in_approval_growth)^(D125-1))</f>
        <v/>
      </c>
      <c r="J125" s="40">
        <f>(J124-L124)*F125/F124</f>
        <v/>
      </c>
      <c r="K125" s="40">
        <f>(K124-M124)*F125/F124+SUMIFS(O121:O124,B121:B124,B125-1-d_T)*F125</f>
        <v/>
      </c>
      <c r="L125" s="40">
        <f>IF(B125&gt;=in_marketplace_from,J125*d_hz*G125*in_eligible*H125,0)</f>
        <v/>
      </c>
      <c r="M125" s="40">
        <f>IF(B125&gt;=in_marketplace_from,K125*d_hz*G125*in_eligible*in_approved_repeat,0)</f>
        <v/>
      </c>
      <c r="N125" s="40">
        <f>L125+M125</f>
        <v/>
      </c>
      <c r="O125" s="46">
        <f>N125/F125</f>
        <v/>
      </c>
      <c r="P125" s="40">
        <f>F125-J125-K125</f>
        <v/>
      </c>
      <c r="Q125" s="40">
        <f>IF(B125&gt;=in_marketplace_from,(J125+K125)*d_hz*G125,0)</f>
        <v/>
      </c>
      <c r="R125" s="40">
        <f>SUMIFS(N121:N178,B121:B178,"&gt;="&amp;(B125-d_T),B121:B178,"&lt;="&amp;(B125-1))</f>
        <v/>
      </c>
      <c r="S125" s="46">
        <f>(1-d_u)*S124+IF(d_T&gt;in_topup_lag,SUMIFS(O121:O178,B121:B178,B125-in_topup_lag)-d_udrop*SUMIFS(O121:O178,B121:B178,B125-d_T),0)</f>
        <v/>
      </c>
      <c r="T125" s="40">
        <f>F125*d_u*S125</f>
        <v/>
      </c>
      <c r="U125" s="9">
        <f>L125*in_ticket+M125*d_rep_ticket</f>
        <v/>
      </c>
      <c r="V125" s="9">
        <f>U125+T125*d_topup_amt</f>
        <v/>
      </c>
      <c r="W125" s="40">
        <f>N125+T125*d_topup_ratio</f>
        <v/>
      </c>
      <c r="X125" s="40">
        <f>SUMIFS(W121:W178,B121:B178,B125-in_dpd_lag)*d_cured</f>
        <v/>
      </c>
      <c r="Y125" s="40">
        <f>SUMIFS(W121:W178,B121:B178,B125-in_rec_lag)*d_recd</f>
        <v/>
      </c>
      <c r="Z125" s="40">
        <f>IF(AND(B125&gt;=in_marketplace_from,B125&lt;in_marketplace_from+in_card_months),in_card_share/in_card_months*F125*I125,IF(AND(B125&gt;=in_marketplace_from+in_card_months,B125&lt;in_marketplace_from+2*in_card_months),in_card_share*d_card_rem/in_card_months*F125*MIN(in_takeup_cap,(1+in_takeup_growth)^(D125-1))*MIN(in_takeup_cap,(1+in_approval_growth)^(D125-1)),0))</f>
        <v/>
      </c>
      <c r="AA125" s="14">
        <f>V125*in_fee*(1-in_taken_back)</f>
        <v/>
      </c>
      <c r="AB125" s="14">
        <f>SUMIFS(W121:W178,B121:B178,B125-in_dpd_lag)*d_dpd</f>
        <v/>
      </c>
      <c r="AC125" s="14">
        <f>SUMIFS(W121:W178,B121:B178,B125-in_rec_lag)*d_rec</f>
        <v/>
      </c>
      <c r="AD125" s="14">
        <f>Z125*in_card_fee</f>
        <v/>
      </c>
      <c r="AE125" s="40">
        <f>AE124*(1-IF(B124&gt;=in_marketplace_from,d_hz_hlth_small*G124,0))</f>
        <v/>
      </c>
      <c r="AF125" s="46">
        <f>AE125*IF(B125&gt;=in_marketplace_from,d_hz_hlth_small*G125,0)</f>
        <v/>
      </c>
      <c r="AG125" s="14">
        <f>F125*AF125*in_hlth_small_ticket*in_hlth_small_comm*in_ins_partner_share+F125*in_hlth_small_ticket*in_hlth_small_renew_comm*in_ins_partner_share*(in_hlth_small_renew^1*SUMIFS(AF121:AF178,B121:B178,B125-12)+in_hlth_small_renew^2*SUMIFS(AF121:AF178,B121:B178,B125-24)+in_hlth_small_renew^3*SUMIFS(AF121:AF178,B121:B178,B125-36)+in_hlth_small_renew^4*SUMIFS(AF121:AF178,B121:B178,B125-48))</f>
        <v/>
      </c>
      <c r="AH125" s="40">
        <f>AH124*(1-IF(B124&gt;=in_marketplace_from,d_hz_hlth_family*G124,0))</f>
        <v/>
      </c>
      <c r="AI125" s="46">
        <f>AH125*IF(B125&gt;=in_marketplace_from,d_hz_hlth_family*G125,0)</f>
        <v/>
      </c>
      <c r="AJ125" s="14">
        <f>F125*AI125*in_hlth_family_ticket*in_hlth_family_comm*in_ins_partner_share+F125*in_hlth_family_ticket*in_hlth_family_renew_comm*in_ins_partner_share*(in_hlth_family_renew^1*SUMIFS(AI121:AI178,B121:B178,B125-12)+in_hlth_family_renew^2*SUMIFS(AI121:AI178,B121:B178,B125-24)+in_hlth_family_renew^3*SUMIFS(AI121:AI178,B121:B178,B125-36)+in_hlth_family_renew^4*SUMIFS(AI121:AI178,B121:B178,B125-48))</f>
        <v/>
      </c>
      <c r="AK125" s="40">
        <f>AK124*(1-IF(B124&gt;=in_marketplace_from,d_hz_life_term*G124,0))</f>
        <v/>
      </c>
      <c r="AL125" s="46">
        <f>AK125*IF(B125&gt;=in_marketplace_from,d_hz_life_term*G125,0)</f>
        <v/>
      </c>
      <c r="AM125" s="14">
        <f>F125*AL125*in_life_term_ticket*in_life_term_comm*in_ins_partner_share+F125*in_life_term_ticket*in_life_term_renew_comm*in_ins_partner_share*(in_life_term_renew^1*SUMIFS(AL121:AL178,B121:B178,B125-12)+in_life_term_renew^2*SUMIFS(AL121:AL178,B121:B178,B125-24)+in_life_term_renew^3*SUMIFS(AL121:AL178,B121:B178,B125-36)+in_life_term_renew^4*SUMIFS(AL121:AL178,B121:B178,B125-48))</f>
        <v/>
      </c>
      <c r="AN125" s="40">
        <f>AN124*(1-IF(B124&gt;=in_marketplace_from,d_hz_accident*G124,0))</f>
        <v/>
      </c>
      <c r="AO125" s="46">
        <f>AN125*IF(B125&gt;=in_marketplace_from,d_hz_accident*G125,0)</f>
        <v/>
      </c>
      <c r="AP125" s="14">
        <f>F125*AO125*in_accident_ticket*in_accident_comm*in_ins_partner_share+F125*in_accident_ticket*in_accident_renew_comm*in_ins_partner_share*(in_accident_renew^1*SUMIFS(AO121:AO178,B121:B178,B125-12)+in_accident_renew^2*SUMIFS(AO121:AO178,B121:B178,B125-24)+in_accident_renew^3*SUMIFS(AO121:AO178,B121:B178,B125-36)+in_accident_renew^4*SUMIFS(AO121:AO178,B121:B178,B125-48))</f>
        <v/>
      </c>
      <c r="AQ125" s="40">
        <f>AQ124*(1-IF(B124&gt;=in_marketplace_from,d_hz_two_wheeler*G124,0))</f>
        <v/>
      </c>
      <c r="AR125" s="46">
        <f>AQ125*IF(B125&gt;=in_marketplace_from,d_hz_two_wheeler*G125,0)</f>
        <v/>
      </c>
      <c r="AS125" s="14">
        <f>F125*AR125*in_two_wheeler_ticket*in_two_wheeler_comm*in_ins_partner_share+F125*in_two_wheeler_ticket*in_two_wheeler_comm*in_ins_partner_share*(in_two_wheeler_renew^1*SUMIFS(AR121:AR178,B121:B178,B125-12)+in_two_wheeler_renew^2*SUMIFS(AR121:AR178,B121:B178,B125-24)+in_two_wheeler_renew^3*SUMIFS(AR121:AR178,B121:B178,B125-36)+in_two_wheeler_renew^4*SUMIFS(AR121:AR178,B121:B178,B125-48))</f>
        <v/>
      </c>
      <c r="AT125" s="40">
        <f>AT124*(1-IF(B124&gt;=in_marketplace_from,d_hz_device*G124,0))</f>
        <v/>
      </c>
      <c r="AU125" s="14">
        <f>F125*AT125*IF(B125&gt;=in_marketplace_from,d_hz_device*G125,0)*in_device_ticket*in_device_comm*in_ins_partner_share</f>
        <v/>
      </c>
      <c r="AV125" s="40">
        <f>AV124*(1-IF(B124&gt;=in_marketplace_from,d_hz_shop*G124,0))</f>
        <v/>
      </c>
      <c r="AW125" s="46">
        <f>AV125*IF(B125&gt;=in_marketplace_from,d_hz_shop*G125,0)</f>
        <v/>
      </c>
      <c r="AX125" s="14">
        <f>F125*AW125*in_shop_ticket*in_shop_comm*in_ins_partner_share+F125*in_shop_ticket*in_shop_renew_comm*in_ins_partner_share*(in_shop_renew^1*SUMIFS(AW121:AW178,B121:B178,B125-12)+in_shop_renew^2*SUMIFS(AW121:AW178,B121:B178,B125-24)+in_shop_renew^3*SUMIFS(AW121:AW178,B121:B178,B125-36)+in_shop_renew^4*SUMIFS(AW121:AW178,B121:B178,B125-48))</f>
        <v/>
      </c>
      <c r="AY125" s="40">
        <f>AY124*(1-IF(B124&gt;=in_marketplace_from,d_hz_sip*G124,0))</f>
        <v/>
      </c>
      <c r="AZ125" s="40">
        <f>AZ124*d_rho_sip+AY125*IF(B125&gt;=in_marketplace_from,d_hz_sip*G125,0)</f>
        <v/>
      </c>
      <c r="BA125" s="40">
        <f>d_rho_sip*(BA124+AZ124)</f>
        <v/>
      </c>
      <c r="BB125" s="14">
        <f>F125*in_sip_ticket*(BA125+0.5*AZ125)*in_sip_comm/12</f>
        <v/>
      </c>
      <c r="BC125" s="40">
        <f>BC124*(1-IF(B124&gt;=in_marketplace_from,d_hz_choti*G124,0))</f>
        <v/>
      </c>
      <c r="BD125" s="46">
        <f>BC125*IF(B125&gt;=in_marketplace_from,d_hz_choti*G125,0)</f>
        <v/>
      </c>
      <c r="BE125" s="14">
        <f>F125*SUMIFS(BD121:BD178,B121:B178,B125-in_choti_months)*in_choti_renew*in_choti_ticket</f>
        <v/>
      </c>
      <c r="BF125" s="40">
        <f>BF124*(1-IF(B124&gt;=in_marketplace_from,d_hz_nps*G124,0))</f>
        <v/>
      </c>
      <c r="BG125" s="14">
        <f>F125*BF125*IF(B125&gt;=in_marketplace_from,d_hz_nps*G125,0)*in_nps_ticket*in_nps_comm</f>
        <v/>
      </c>
      <c r="BH125" s="40">
        <f>BH124*(1-IF(B124&gt;=in_marketplace_from,d_hz_gold*G124,0))</f>
        <v/>
      </c>
      <c r="BI125" s="40">
        <f>BI124*d_rho_gold+BH125*IF(B125&gt;=in_marketplace_from,d_hz_gold*G125,0)</f>
        <v/>
      </c>
      <c r="BJ125" s="14">
        <f>F125*BI125*in_gold_ticket*in_gold_comm</f>
        <v/>
      </c>
      <c r="BK125" s="40">
        <f>BK124*(1-IF(B124&gt;=in_marketplace_from,d_hz_fd*G124,0))</f>
        <v/>
      </c>
      <c r="BL125" s="14">
        <f>F125*BK125*IF(B125&gt;=in_marketplace_from,d_hz_fd*G125,0)*in_fd_ticket*in_fd_comm</f>
        <v/>
      </c>
      <c r="BM125" s="40">
        <f>BM124*(1-IF(B124&gt;=in_marketplace_from,d_hz_recharge*G124,0))</f>
        <v/>
      </c>
      <c r="BN125" s="40">
        <f>BN124*d_rho_recharge+BM125*IF(B125&gt;=in_marketplace_from,d_hz_recharge*G125,0)</f>
        <v/>
      </c>
      <c r="BO125" s="14">
        <f>F125*BN125*in_recharge_ticket*in_recharge_comm/12</f>
        <v/>
      </c>
      <c r="BP125" s="40">
        <f>BP124*(1-IF(B124&gt;=in_marketplace_from,d_hz_bills*G124,0))</f>
        <v/>
      </c>
      <c r="BQ125" s="40">
        <f>BQ124*d_rho_bills+BP125*IF(B125&gt;=in_marketplace_from,d_hz_bills*G125,0)</f>
        <v/>
      </c>
      <c r="BR125" s="14">
        <f>F125*BQ125*in_bills_ticket*in_bills_comm/12</f>
        <v/>
      </c>
      <c r="BS125" s="40">
        <f>BS124*(1-IF(B124&gt;=in_marketplace_from,d_hz_loan_gold*G124,0))</f>
        <v/>
      </c>
      <c r="BT125" s="14">
        <f>F125*BS125*IF(B125&gt;=in_marketplace_from,d_hz_loan_gold*G125,0)*in_loan_gold_ticket*in_loan_gold_comm</f>
        <v/>
      </c>
      <c r="BU125" s="40">
        <f>BU124*(1-IF(B124&gt;=in_marketplace_from,d_hz_loan_cd*G124,0))</f>
        <v/>
      </c>
      <c r="BV125" s="14">
        <f>F125*BU125*IF(B125&gt;=in_marketplace_from,d_hz_loan_cd*G125,0)*in_loan_cd_ticket*in_loan_cd_comm</f>
        <v/>
      </c>
      <c r="BW125" s="40">
        <f>BW124*(1-IF(B124&gt;=in_marketplace_from,d_hz_loan_vehicle*G124,0))</f>
        <v/>
      </c>
      <c r="BX125" s="14">
        <f>F125*BW125*IF(B125&gt;=in_marketplace_from,d_hz_loan_vehicle*G125,0)*in_loan_vehicle_ticket*in_loan_vehicle_comm</f>
        <v/>
      </c>
      <c r="BY125" s="40">
        <f>BY124*(1-IF(B124&gt;=in_marketplace_from,d_hz_loan_home*G124,0)*BZ124)</f>
        <v/>
      </c>
      <c r="BZ125" s="11">
        <f>MIN(in_approval_cap,in_loan_home_approval*INDEX('Age profile'!$O$2:$O$61,B125)*(1+in_approval_growth)^(D125-1))</f>
        <v/>
      </c>
      <c r="CA125" s="14">
        <f>F125*BY125*IF(B125&gt;=in_marketplace_from,d_hz_loan_home*G125,0)*BZ125*in_loan_home_ticket*in_loan_home_comm</f>
        <v/>
      </c>
      <c r="CB125" s="40">
        <f>CB124*(1-IF(B124&gt;=in_marketplace_from,d_hz_loan_lap*G124,0)*CC124)</f>
        <v/>
      </c>
      <c r="CC125" s="11">
        <f>MIN(in_approval_cap,in_loan_lap_approval*INDEX('Age profile'!$O$2:$O$61,B125)*(1+in_approval_growth)^(D125-1))</f>
        <v/>
      </c>
      <c r="CD125" s="14">
        <f>F125*CB125*IF(B125&gt;=in_marketplace_from,d_hz_loan_lap*G125,0)*CC125*in_loan_lap_ticket*in_loan_lap_comm</f>
        <v/>
      </c>
      <c r="CE125" s="14">
        <f>AA125+AB125+AC125+AD125+AG125+AJ125+AM125+AP125+AS125+AU125+AX125+BB125+BE125+BG125+BJ125+BL125+BO125+BR125+BT125+BV125+BX125+CA125+CD125</f>
        <v/>
      </c>
    </row>
    <row r="126">
      <c r="A126" s="39" t="n">
        <v>3</v>
      </c>
      <c r="B126" s="39" t="n">
        <v>6</v>
      </c>
      <c r="C126" s="39">
        <f>A126+B126-1</f>
        <v/>
      </c>
      <c r="D126" s="39">
        <f>INT((C126-1)/12)+1</f>
        <v/>
      </c>
      <c r="E126" s="44">
        <f>INDEX(Monthly!$B$2:$B$61,A126)</f>
        <v/>
      </c>
      <c r="F126" s="44">
        <f>E126*INDEX('Age profile'!$B$2:$B$61,B126)</f>
        <v/>
      </c>
      <c r="G126" s="45">
        <f>MIN(in_takeup_cap,INDEX('Age profile'!$N$2:$N$61,B126)*(1+in_takeup_growth)^(D126-1))</f>
        <v/>
      </c>
      <c r="H126" s="11">
        <f>MIN(in_approval_cap,in_approved_first*INDEX('Age profile'!$O$2:$O$61,B126)*(1+in_approval_growth)^(D126-1))</f>
        <v/>
      </c>
      <c r="I126" s="45">
        <f>G126*MIN(in_takeup_cap,INDEX('Age profile'!$O$2:$O$61,B126)*(1+in_approval_growth)^(D126-1))</f>
        <v/>
      </c>
      <c r="J126" s="40">
        <f>(J125-L125)*F126/F125</f>
        <v/>
      </c>
      <c r="K126" s="40">
        <f>(K125-M125)*F126/F125+SUMIFS(O121:O125,B121:B125,B126-1-d_T)*F126</f>
        <v/>
      </c>
      <c r="L126" s="40">
        <f>IF(B126&gt;=in_marketplace_from,J126*d_hz*G126*in_eligible*H126,0)</f>
        <v/>
      </c>
      <c r="M126" s="40">
        <f>IF(B126&gt;=in_marketplace_from,K126*d_hz*G126*in_eligible*in_approved_repeat,0)</f>
        <v/>
      </c>
      <c r="N126" s="40">
        <f>L126+M126</f>
        <v/>
      </c>
      <c r="O126" s="46">
        <f>N126/F126</f>
        <v/>
      </c>
      <c r="P126" s="40">
        <f>F126-J126-K126</f>
        <v/>
      </c>
      <c r="Q126" s="40">
        <f>IF(B126&gt;=in_marketplace_from,(J126+K126)*d_hz*G126,0)</f>
        <v/>
      </c>
      <c r="R126" s="40">
        <f>SUMIFS(N121:N178,B121:B178,"&gt;="&amp;(B126-d_T),B121:B178,"&lt;="&amp;(B126-1))</f>
        <v/>
      </c>
      <c r="S126" s="46">
        <f>(1-d_u)*S125+IF(d_T&gt;in_topup_lag,SUMIFS(O121:O178,B121:B178,B126-in_topup_lag)-d_udrop*SUMIFS(O121:O178,B121:B178,B126-d_T),0)</f>
        <v/>
      </c>
      <c r="T126" s="40">
        <f>F126*d_u*S126</f>
        <v/>
      </c>
      <c r="U126" s="9">
        <f>L126*in_ticket+M126*d_rep_ticket</f>
        <v/>
      </c>
      <c r="V126" s="9">
        <f>U126+T126*d_topup_amt</f>
        <v/>
      </c>
      <c r="W126" s="40">
        <f>N126+T126*d_topup_ratio</f>
        <v/>
      </c>
      <c r="X126" s="40">
        <f>SUMIFS(W121:W178,B121:B178,B126-in_dpd_lag)*d_cured</f>
        <v/>
      </c>
      <c r="Y126" s="40">
        <f>SUMIFS(W121:W178,B121:B178,B126-in_rec_lag)*d_recd</f>
        <v/>
      </c>
      <c r="Z126" s="40">
        <f>IF(AND(B126&gt;=in_marketplace_from,B126&lt;in_marketplace_from+in_card_months),in_card_share/in_card_months*F126*I126,IF(AND(B126&gt;=in_marketplace_from+in_card_months,B126&lt;in_marketplace_from+2*in_card_months),in_card_share*d_card_rem/in_card_months*F126*MIN(in_takeup_cap,(1+in_takeup_growth)^(D126-1))*MIN(in_takeup_cap,(1+in_approval_growth)^(D126-1)),0))</f>
        <v/>
      </c>
      <c r="AA126" s="14">
        <f>V126*in_fee*(1-in_taken_back)</f>
        <v/>
      </c>
      <c r="AB126" s="14">
        <f>SUMIFS(W121:W178,B121:B178,B126-in_dpd_lag)*d_dpd</f>
        <v/>
      </c>
      <c r="AC126" s="14">
        <f>SUMIFS(W121:W178,B121:B178,B126-in_rec_lag)*d_rec</f>
        <v/>
      </c>
      <c r="AD126" s="14">
        <f>Z126*in_card_fee</f>
        <v/>
      </c>
      <c r="AE126" s="40">
        <f>AE125*(1-IF(B125&gt;=in_marketplace_from,d_hz_hlth_small*G125,0))</f>
        <v/>
      </c>
      <c r="AF126" s="46">
        <f>AE126*IF(B126&gt;=in_marketplace_from,d_hz_hlth_small*G126,0)</f>
        <v/>
      </c>
      <c r="AG126" s="14">
        <f>F126*AF126*in_hlth_small_ticket*in_hlth_small_comm*in_ins_partner_share+F126*in_hlth_small_ticket*in_hlth_small_renew_comm*in_ins_partner_share*(in_hlth_small_renew^1*SUMIFS(AF121:AF178,B121:B178,B126-12)+in_hlth_small_renew^2*SUMIFS(AF121:AF178,B121:B178,B126-24)+in_hlth_small_renew^3*SUMIFS(AF121:AF178,B121:B178,B126-36)+in_hlth_small_renew^4*SUMIFS(AF121:AF178,B121:B178,B126-48))</f>
        <v/>
      </c>
      <c r="AH126" s="40">
        <f>AH125*(1-IF(B125&gt;=in_marketplace_from,d_hz_hlth_family*G125,0))</f>
        <v/>
      </c>
      <c r="AI126" s="46">
        <f>AH126*IF(B126&gt;=in_marketplace_from,d_hz_hlth_family*G126,0)</f>
        <v/>
      </c>
      <c r="AJ126" s="14">
        <f>F126*AI126*in_hlth_family_ticket*in_hlth_family_comm*in_ins_partner_share+F126*in_hlth_family_ticket*in_hlth_family_renew_comm*in_ins_partner_share*(in_hlth_family_renew^1*SUMIFS(AI121:AI178,B121:B178,B126-12)+in_hlth_family_renew^2*SUMIFS(AI121:AI178,B121:B178,B126-24)+in_hlth_family_renew^3*SUMIFS(AI121:AI178,B121:B178,B126-36)+in_hlth_family_renew^4*SUMIFS(AI121:AI178,B121:B178,B126-48))</f>
        <v/>
      </c>
      <c r="AK126" s="40">
        <f>AK125*(1-IF(B125&gt;=in_marketplace_from,d_hz_life_term*G125,0))</f>
        <v/>
      </c>
      <c r="AL126" s="46">
        <f>AK126*IF(B126&gt;=in_marketplace_from,d_hz_life_term*G126,0)</f>
        <v/>
      </c>
      <c r="AM126" s="14">
        <f>F126*AL126*in_life_term_ticket*in_life_term_comm*in_ins_partner_share+F126*in_life_term_ticket*in_life_term_renew_comm*in_ins_partner_share*(in_life_term_renew^1*SUMIFS(AL121:AL178,B121:B178,B126-12)+in_life_term_renew^2*SUMIFS(AL121:AL178,B121:B178,B126-24)+in_life_term_renew^3*SUMIFS(AL121:AL178,B121:B178,B126-36)+in_life_term_renew^4*SUMIFS(AL121:AL178,B121:B178,B126-48))</f>
        <v/>
      </c>
      <c r="AN126" s="40">
        <f>AN125*(1-IF(B125&gt;=in_marketplace_from,d_hz_accident*G125,0))</f>
        <v/>
      </c>
      <c r="AO126" s="46">
        <f>AN126*IF(B126&gt;=in_marketplace_from,d_hz_accident*G126,0)</f>
        <v/>
      </c>
      <c r="AP126" s="14">
        <f>F126*AO126*in_accident_ticket*in_accident_comm*in_ins_partner_share+F126*in_accident_ticket*in_accident_renew_comm*in_ins_partner_share*(in_accident_renew^1*SUMIFS(AO121:AO178,B121:B178,B126-12)+in_accident_renew^2*SUMIFS(AO121:AO178,B121:B178,B126-24)+in_accident_renew^3*SUMIFS(AO121:AO178,B121:B178,B126-36)+in_accident_renew^4*SUMIFS(AO121:AO178,B121:B178,B126-48))</f>
        <v/>
      </c>
      <c r="AQ126" s="40">
        <f>AQ125*(1-IF(B125&gt;=in_marketplace_from,d_hz_two_wheeler*G125,0))</f>
        <v/>
      </c>
      <c r="AR126" s="46">
        <f>AQ126*IF(B126&gt;=in_marketplace_from,d_hz_two_wheeler*G126,0)</f>
        <v/>
      </c>
      <c r="AS126" s="14">
        <f>F126*AR126*in_two_wheeler_ticket*in_two_wheeler_comm*in_ins_partner_share+F126*in_two_wheeler_ticket*in_two_wheeler_comm*in_ins_partner_share*(in_two_wheeler_renew^1*SUMIFS(AR121:AR178,B121:B178,B126-12)+in_two_wheeler_renew^2*SUMIFS(AR121:AR178,B121:B178,B126-24)+in_two_wheeler_renew^3*SUMIFS(AR121:AR178,B121:B178,B126-36)+in_two_wheeler_renew^4*SUMIFS(AR121:AR178,B121:B178,B126-48))</f>
        <v/>
      </c>
      <c r="AT126" s="40">
        <f>AT125*(1-IF(B125&gt;=in_marketplace_from,d_hz_device*G125,0))</f>
        <v/>
      </c>
      <c r="AU126" s="14">
        <f>F126*AT126*IF(B126&gt;=in_marketplace_from,d_hz_device*G126,0)*in_device_ticket*in_device_comm*in_ins_partner_share</f>
        <v/>
      </c>
      <c r="AV126" s="40">
        <f>AV125*(1-IF(B125&gt;=in_marketplace_from,d_hz_shop*G125,0))</f>
        <v/>
      </c>
      <c r="AW126" s="46">
        <f>AV126*IF(B126&gt;=in_marketplace_from,d_hz_shop*G126,0)</f>
        <v/>
      </c>
      <c r="AX126" s="14">
        <f>F126*AW126*in_shop_ticket*in_shop_comm*in_ins_partner_share+F126*in_shop_ticket*in_shop_renew_comm*in_ins_partner_share*(in_shop_renew^1*SUMIFS(AW121:AW178,B121:B178,B126-12)+in_shop_renew^2*SUMIFS(AW121:AW178,B121:B178,B126-24)+in_shop_renew^3*SUMIFS(AW121:AW178,B121:B178,B126-36)+in_shop_renew^4*SUMIFS(AW121:AW178,B121:B178,B126-48))</f>
        <v/>
      </c>
      <c r="AY126" s="40">
        <f>AY125*(1-IF(B125&gt;=in_marketplace_from,d_hz_sip*G125,0))</f>
        <v/>
      </c>
      <c r="AZ126" s="40">
        <f>AZ125*d_rho_sip+AY126*IF(B126&gt;=in_marketplace_from,d_hz_sip*G126,0)</f>
        <v/>
      </c>
      <c r="BA126" s="40">
        <f>d_rho_sip*(BA125+AZ125)</f>
        <v/>
      </c>
      <c r="BB126" s="14">
        <f>F126*in_sip_ticket*(BA126+0.5*AZ126)*in_sip_comm/12</f>
        <v/>
      </c>
      <c r="BC126" s="40">
        <f>BC125*(1-IF(B125&gt;=in_marketplace_from,d_hz_choti*G125,0))</f>
        <v/>
      </c>
      <c r="BD126" s="46">
        <f>BC126*IF(B126&gt;=in_marketplace_from,d_hz_choti*G126,0)</f>
        <v/>
      </c>
      <c r="BE126" s="14">
        <f>F126*SUMIFS(BD121:BD178,B121:B178,B126-in_choti_months)*in_choti_renew*in_choti_ticket</f>
        <v/>
      </c>
      <c r="BF126" s="40">
        <f>BF125*(1-IF(B125&gt;=in_marketplace_from,d_hz_nps*G125,0))</f>
        <v/>
      </c>
      <c r="BG126" s="14">
        <f>F126*BF126*IF(B126&gt;=in_marketplace_from,d_hz_nps*G126,0)*in_nps_ticket*in_nps_comm</f>
        <v/>
      </c>
      <c r="BH126" s="40">
        <f>BH125*(1-IF(B125&gt;=in_marketplace_from,d_hz_gold*G125,0))</f>
        <v/>
      </c>
      <c r="BI126" s="40">
        <f>BI125*d_rho_gold+BH126*IF(B126&gt;=in_marketplace_from,d_hz_gold*G126,0)</f>
        <v/>
      </c>
      <c r="BJ126" s="14">
        <f>F126*BI126*in_gold_ticket*in_gold_comm</f>
        <v/>
      </c>
      <c r="BK126" s="40">
        <f>BK125*(1-IF(B125&gt;=in_marketplace_from,d_hz_fd*G125,0))</f>
        <v/>
      </c>
      <c r="BL126" s="14">
        <f>F126*BK126*IF(B126&gt;=in_marketplace_from,d_hz_fd*G126,0)*in_fd_ticket*in_fd_comm</f>
        <v/>
      </c>
      <c r="BM126" s="40">
        <f>BM125*(1-IF(B125&gt;=in_marketplace_from,d_hz_recharge*G125,0))</f>
        <v/>
      </c>
      <c r="BN126" s="40">
        <f>BN125*d_rho_recharge+BM126*IF(B126&gt;=in_marketplace_from,d_hz_recharge*G126,0)</f>
        <v/>
      </c>
      <c r="BO126" s="14">
        <f>F126*BN126*in_recharge_ticket*in_recharge_comm/12</f>
        <v/>
      </c>
      <c r="BP126" s="40">
        <f>BP125*(1-IF(B125&gt;=in_marketplace_from,d_hz_bills*G125,0))</f>
        <v/>
      </c>
      <c r="BQ126" s="40">
        <f>BQ125*d_rho_bills+BP126*IF(B126&gt;=in_marketplace_from,d_hz_bills*G126,0)</f>
        <v/>
      </c>
      <c r="BR126" s="14">
        <f>F126*BQ126*in_bills_ticket*in_bills_comm/12</f>
        <v/>
      </c>
      <c r="BS126" s="40">
        <f>BS125*(1-IF(B125&gt;=in_marketplace_from,d_hz_loan_gold*G125,0))</f>
        <v/>
      </c>
      <c r="BT126" s="14">
        <f>F126*BS126*IF(B126&gt;=in_marketplace_from,d_hz_loan_gold*G126,0)*in_loan_gold_ticket*in_loan_gold_comm</f>
        <v/>
      </c>
      <c r="BU126" s="40">
        <f>BU125*(1-IF(B125&gt;=in_marketplace_from,d_hz_loan_cd*G125,0))</f>
        <v/>
      </c>
      <c r="BV126" s="14">
        <f>F126*BU126*IF(B126&gt;=in_marketplace_from,d_hz_loan_cd*G126,0)*in_loan_cd_ticket*in_loan_cd_comm</f>
        <v/>
      </c>
      <c r="BW126" s="40">
        <f>BW125*(1-IF(B125&gt;=in_marketplace_from,d_hz_loan_vehicle*G125,0))</f>
        <v/>
      </c>
      <c r="BX126" s="14">
        <f>F126*BW126*IF(B126&gt;=in_marketplace_from,d_hz_loan_vehicle*G126,0)*in_loan_vehicle_ticket*in_loan_vehicle_comm</f>
        <v/>
      </c>
      <c r="BY126" s="40">
        <f>BY125*(1-IF(B125&gt;=in_marketplace_from,d_hz_loan_home*G125,0)*BZ125)</f>
        <v/>
      </c>
      <c r="BZ126" s="11">
        <f>MIN(in_approval_cap,in_loan_home_approval*INDEX('Age profile'!$O$2:$O$61,B126)*(1+in_approval_growth)^(D126-1))</f>
        <v/>
      </c>
      <c r="CA126" s="14">
        <f>F126*BY126*IF(B126&gt;=in_marketplace_from,d_hz_loan_home*G126,0)*BZ126*in_loan_home_ticket*in_loan_home_comm</f>
        <v/>
      </c>
      <c r="CB126" s="40">
        <f>CB125*(1-IF(B125&gt;=in_marketplace_from,d_hz_loan_lap*G125,0)*CC125)</f>
        <v/>
      </c>
      <c r="CC126" s="11">
        <f>MIN(in_approval_cap,in_loan_lap_approval*INDEX('Age profile'!$O$2:$O$61,B126)*(1+in_approval_growth)^(D126-1))</f>
        <v/>
      </c>
      <c r="CD126" s="14">
        <f>F126*CB126*IF(B126&gt;=in_marketplace_from,d_hz_loan_lap*G126,0)*CC126*in_loan_lap_ticket*in_loan_lap_comm</f>
        <v/>
      </c>
      <c r="CE126" s="14">
        <f>AA126+AB126+AC126+AD126+AG126+AJ126+AM126+AP126+AS126+AU126+AX126+BB126+BE126+BG126+BJ126+BL126+BO126+BR126+BT126+BV126+BX126+CA126+CD126</f>
        <v/>
      </c>
    </row>
    <row r="127">
      <c r="A127" s="39" t="n">
        <v>3</v>
      </c>
      <c r="B127" s="39" t="n">
        <v>7</v>
      </c>
      <c r="C127" s="39">
        <f>A127+B127-1</f>
        <v/>
      </c>
      <c r="D127" s="39">
        <f>INT((C127-1)/12)+1</f>
        <v/>
      </c>
      <c r="E127" s="44">
        <f>INDEX(Monthly!$B$2:$B$61,A127)</f>
        <v/>
      </c>
      <c r="F127" s="44">
        <f>E127*INDEX('Age profile'!$B$2:$B$61,B127)</f>
        <v/>
      </c>
      <c r="G127" s="45">
        <f>MIN(in_takeup_cap,INDEX('Age profile'!$N$2:$N$61,B127)*(1+in_takeup_growth)^(D127-1))</f>
        <v/>
      </c>
      <c r="H127" s="11">
        <f>MIN(in_approval_cap,in_approved_first*INDEX('Age profile'!$O$2:$O$61,B127)*(1+in_approval_growth)^(D127-1))</f>
        <v/>
      </c>
      <c r="I127" s="45">
        <f>G127*MIN(in_takeup_cap,INDEX('Age profile'!$O$2:$O$61,B127)*(1+in_approval_growth)^(D127-1))</f>
        <v/>
      </c>
      <c r="J127" s="40">
        <f>(J126-L126)*F127/F126</f>
        <v/>
      </c>
      <c r="K127" s="40">
        <f>(K126-M126)*F127/F126+SUMIFS(O121:O126,B121:B126,B127-1-d_T)*F127</f>
        <v/>
      </c>
      <c r="L127" s="40">
        <f>IF(B127&gt;=in_marketplace_from,J127*d_hz*G127*in_eligible*H127,0)</f>
        <v/>
      </c>
      <c r="M127" s="40">
        <f>IF(B127&gt;=in_marketplace_from,K127*d_hz*G127*in_eligible*in_approved_repeat,0)</f>
        <v/>
      </c>
      <c r="N127" s="40">
        <f>L127+M127</f>
        <v/>
      </c>
      <c r="O127" s="46">
        <f>N127/F127</f>
        <v/>
      </c>
      <c r="P127" s="40">
        <f>F127-J127-K127</f>
        <v/>
      </c>
      <c r="Q127" s="40">
        <f>IF(B127&gt;=in_marketplace_from,(J127+K127)*d_hz*G127,0)</f>
        <v/>
      </c>
      <c r="R127" s="40">
        <f>SUMIFS(N121:N178,B121:B178,"&gt;="&amp;(B127-d_T),B121:B178,"&lt;="&amp;(B127-1))</f>
        <v/>
      </c>
      <c r="S127" s="46">
        <f>(1-d_u)*S126+IF(d_T&gt;in_topup_lag,SUMIFS(O121:O178,B121:B178,B127-in_topup_lag)-d_udrop*SUMIFS(O121:O178,B121:B178,B127-d_T),0)</f>
        <v/>
      </c>
      <c r="T127" s="40">
        <f>F127*d_u*S127</f>
        <v/>
      </c>
      <c r="U127" s="9">
        <f>L127*in_ticket+M127*d_rep_ticket</f>
        <v/>
      </c>
      <c r="V127" s="9">
        <f>U127+T127*d_topup_amt</f>
        <v/>
      </c>
      <c r="W127" s="40">
        <f>N127+T127*d_topup_ratio</f>
        <v/>
      </c>
      <c r="X127" s="40">
        <f>SUMIFS(W121:W178,B121:B178,B127-in_dpd_lag)*d_cured</f>
        <v/>
      </c>
      <c r="Y127" s="40">
        <f>SUMIFS(W121:W178,B121:B178,B127-in_rec_lag)*d_recd</f>
        <v/>
      </c>
      <c r="Z127" s="40">
        <f>IF(AND(B127&gt;=in_marketplace_from,B127&lt;in_marketplace_from+in_card_months),in_card_share/in_card_months*F127*I127,IF(AND(B127&gt;=in_marketplace_from+in_card_months,B127&lt;in_marketplace_from+2*in_card_months),in_card_share*d_card_rem/in_card_months*F127*MIN(in_takeup_cap,(1+in_takeup_growth)^(D127-1))*MIN(in_takeup_cap,(1+in_approval_growth)^(D127-1)),0))</f>
        <v/>
      </c>
      <c r="AA127" s="14">
        <f>V127*in_fee*(1-in_taken_back)</f>
        <v/>
      </c>
      <c r="AB127" s="14">
        <f>SUMIFS(W121:W178,B121:B178,B127-in_dpd_lag)*d_dpd</f>
        <v/>
      </c>
      <c r="AC127" s="14">
        <f>SUMIFS(W121:W178,B121:B178,B127-in_rec_lag)*d_rec</f>
        <v/>
      </c>
      <c r="AD127" s="14">
        <f>Z127*in_card_fee</f>
        <v/>
      </c>
      <c r="AE127" s="40">
        <f>AE126*(1-IF(B126&gt;=in_marketplace_from,d_hz_hlth_small*G126,0))</f>
        <v/>
      </c>
      <c r="AF127" s="46">
        <f>AE127*IF(B127&gt;=in_marketplace_from,d_hz_hlth_small*G127,0)</f>
        <v/>
      </c>
      <c r="AG127" s="14">
        <f>F127*AF127*in_hlth_small_ticket*in_hlth_small_comm*in_ins_partner_share+F127*in_hlth_small_ticket*in_hlth_small_renew_comm*in_ins_partner_share*(in_hlth_small_renew^1*SUMIFS(AF121:AF178,B121:B178,B127-12)+in_hlth_small_renew^2*SUMIFS(AF121:AF178,B121:B178,B127-24)+in_hlth_small_renew^3*SUMIFS(AF121:AF178,B121:B178,B127-36)+in_hlth_small_renew^4*SUMIFS(AF121:AF178,B121:B178,B127-48))</f>
        <v/>
      </c>
      <c r="AH127" s="40">
        <f>AH126*(1-IF(B126&gt;=in_marketplace_from,d_hz_hlth_family*G126,0))</f>
        <v/>
      </c>
      <c r="AI127" s="46">
        <f>AH127*IF(B127&gt;=in_marketplace_from,d_hz_hlth_family*G127,0)</f>
        <v/>
      </c>
      <c r="AJ127" s="14">
        <f>F127*AI127*in_hlth_family_ticket*in_hlth_family_comm*in_ins_partner_share+F127*in_hlth_family_ticket*in_hlth_family_renew_comm*in_ins_partner_share*(in_hlth_family_renew^1*SUMIFS(AI121:AI178,B121:B178,B127-12)+in_hlth_family_renew^2*SUMIFS(AI121:AI178,B121:B178,B127-24)+in_hlth_family_renew^3*SUMIFS(AI121:AI178,B121:B178,B127-36)+in_hlth_family_renew^4*SUMIFS(AI121:AI178,B121:B178,B127-48))</f>
        <v/>
      </c>
      <c r="AK127" s="40">
        <f>AK126*(1-IF(B126&gt;=in_marketplace_from,d_hz_life_term*G126,0))</f>
        <v/>
      </c>
      <c r="AL127" s="46">
        <f>AK127*IF(B127&gt;=in_marketplace_from,d_hz_life_term*G127,0)</f>
        <v/>
      </c>
      <c r="AM127" s="14">
        <f>F127*AL127*in_life_term_ticket*in_life_term_comm*in_ins_partner_share+F127*in_life_term_ticket*in_life_term_renew_comm*in_ins_partner_share*(in_life_term_renew^1*SUMIFS(AL121:AL178,B121:B178,B127-12)+in_life_term_renew^2*SUMIFS(AL121:AL178,B121:B178,B127-24)+in_life_term_renew^3*SUMIFS(AL121:AL178,B121:B178,B127-36)+in_life_term_renew^4*SUMIFS(AL121:AL178,B121:B178,B127-48))</f>
        <v/>
      </c>
      <c r="AN127" s="40">
        <f>AN126*(1-IF(B126&gt;=in_marketplace_from,d_hz_accident*G126,0))</f>
        <v/>
      </c>
      <c r="AO127" s="46">
        <f>AN127*IF(B127&gt;=in_marketplace_from,d_hz_accident*G127,0)</f>
        <v/>
      </c>
      <c r="AP127" s="14">
        <f>F127*AO127*in_accident_ticket*in_accident_comm*in_ins_partner_share+F127*in_accident_ticket*in_accident_renew_comm*in_ins_partner_share*(in_accident_renew^1*SUMIFS(AO121:AO178,B121:B178,B127-12)+in_accident_renew^2*SUMIFS(AO121:AO178,B121:B178,B127-24)+in_accident_renew^3*SUMIFS(AO121:AO178,B121:B178,B127-36)+in_accident_renew^4*SUMIFS(AO121:AO178,B121:B178,B127-48))</f>
        <v/>
      </c>
      <c r="AQ127" s="40">
        <f>AQ126*(1-IF(B126&gt;=in_marketplace_from,d_hz_two_wheeler*G126,0))</f>
        <v/>
      </c>
      <c r="AR127" s="46">
        <f>AQ127*IF(B127&gt;=in_marketplace_from,d_hz_two_wheeler*G127,0)</f>
        <v/>
      </c>
      <c r="AS127" s="14">
        <f>F127*AR127*in_two_wheeler_ticket*in_two_wheeler_comm*in_ins_partner_share+F127*in_two_wheeler_ticket*in_two_wheeler_comm*in_ins_partner_share*(in_two_wheeler_renew^1*SUMIFS(AR121:AR178,B121:B178,B127-12)+in_two_wheeler_renew^2*SUMIFS(AR121:AR178,B121:B178,B127-24)+in_two_wheeler_renew^3*SUMIFS(AR121:AR178,B121:B178,B127-36)+in_two_wheeler_renew^4*SUMIFS(AR121:AR178,B121:B178,B127-48))</f>
        <v/>
      </c>
      <c r="AT127" s="40">
        <f>AT126*(1-IF(B126&gt;=in_marketplace_from,d_hz_device*G126,0))</f>
        <v/>
      </c>
      <c r="AU127" s="14">
        <f>F127*AT127*IF(B127&gt;=in_marketplace_from,d_hz_device*G127,0)*in_device_ticket*in_device_comm*in_ins_partner_share</f>
        <v/>
      </c>
      <c r="AV127" s="40">
        <f>AV126*(1-IF(B126&gt;=in_marketplace_from,d_hz_shop*G126,0))</f>
        <v/>
      </c>
      <c r="AW127" s="46">
        <f>AV127*IF(B127&gt;=in_marketplace_from,d_hz_shop*G127,0)</f>
        <v/>
      </c>
      <c r="AX127" s="14">
        <f>F127*AW127*in_shop_ticket*in_shop_comm*in_ins_partner_share+F127*in_shop_ticket*in_shop_renew_comm*in_ins_partner_share*(in_shop_renew^1*SUMIFS(AW121:AW178,B121:B178,B127-12)+in_shop_renew^2*SUMIFS(AW121:AW178,B121:B178,B127-24)+in_shop_renew^3*SUMIFS(AW121:AW178,B121:B178,B127-36)+in_shop_renew^4*SUMIFS(AW121:AW178,B121:B178,B127-48))</f>
        <v/>
      </c>
      <c r="AY127" s="40">
        <f>AY126*(1-IF(B126&gt;=in_marketplace_from,d_hz_sip*G126,0))</f>
        <v/>
      </c>
      <c r="AZ127" s="40">
        <f>AZ126*d_rho_sip+AY127*IF(B127&gt;=in_marketplace_from,d_hz_sip*G127,0)</f>
        <v/>
      </c>
      <c r="BA127" s="40">
        <f>d_rho_sip*(BA126+AZ126)</f>
        <v/>
      </c>
      <c r="BB127" s="14">
        <f>F127*in_sip_ticket*(BA127+0.5*AZ127)*in_sip_comm/12</f>
        <v/>
      </c>
      <c r="BC127" s="40">
        <f>BC126*(1-IF(B126&gt;=in_marketplace_from,d_hz_choti*G126,0))</f>
        <v/>
      </c>
      <c r="BD127" s="46">
        <f>BC127*IF(B127&gt;=in_marketplace_from,d_hz_choti*G127,0)</f>
        <v/>
      </c>
      <c r="BE127" s="14">
        <f>F127*SUMIFS(BD121:BD178,B121:B178,B127-in_choti_months)*in_choti_renew*in_choti_ticket</f>
        <v/>
      </c>
      <c r="BF127" s="40">
        <f>BF126*(1-IF(B126&gt;=in_marketplace_from,d_hz_nps*G126,0))</f>
        <v/>
      </c>
      <c r="BG127" s="14">
        <f>F127*BF127*IF(B127&gt;=in_marketplace_from,d_hz_nps*G127,0)*in_nps_ticket*in_nps_comm</f>
        <v/>
      </c>
      <c r="BH127" s="40">
        <f>BH126*(1-IF(B126&gt;=in_marketplace_from,d_hz_gold*G126,0))</f>
        <v/>
      </c>
      <c r="BI127" s="40">
        <f>BI126*d_rho_gold+BH127*IF(B127&gt;=in_marketplace_from,d_hz_gold*G127,0)</f>
        <v/>
      </c>
      <c r="BJ127" s="14">
        <f>F127*BI127*in_gold_ticket*in_gold_comm</f>
        <v/>
      </c>
      <c r="BK127" s="40">
        <f>BK126*(1-IF(B126&gt;=in_marketplace_from,d_hz_fd*G126,0))</f>
        <v/>
      </c>
      <c r="BL127" s="14">
        <f>F127*BK127*IF(B127&gt;=in_marketplace_from,d_hz_fd*G127,0)*in_fd_ticket*in_fd_comm</f>
        <v/>
      </c>
      <c r="BM127" s="40">
        <f>BM126*(1-IF(B126&gt;=in_marketplace_from,d_hz_recharge*G126,0))</f>
        <v/>
      </c>
      <c r="BN127" s="40">
        <f>BN126*d_rho_recharge+BM127*IF(B127&gt;=in_marketplace_from,d_hz_recharge*G127,0)</f>
        <v/>
      </c>
      <c r="BO127" s="14">
        <f>F127*BN127*in_recharge_ticket*in_recharge_comm/12</f>
        <v/>
      </c>
      <c r="BP127" s="40">
        <f>BP126*(1-IF(B126&gt;=in_marketplace_from,d_hz_bills*G126,0))</f>
        <v/>
      </c>
      <c r="BQ127" s="40">
        <f>BQ126*d_rho_bills+BP127*IF(B127&gt;=in_marketplace_from,d_hz_bills*G127,0)</f>
        <v/>
      </c>
      <c r="BR127" s="14">
        <f>F127*BQ127*in_bills_ticket*in_bills_comm/12</f>
        <v/>
      </c>
      <c r="BS127" s="40">
        <f>BS126*(1-IF(B126&gt;=in_marketplace_from,d_hz_loan_gold*G126,0))</f>
        <v/>
      </c>
      <c r="BT127" s="14">
        <f>F127*BS127*IF(B127&gt;=in_marketplace_from,d_hz_loan_gold*G127,0)*in_loan_gold_ticket*in_loan_gold_comm</f>
        <v/>
      </c>
      <c r="BU127" s="40">
        <f>BU126*(1-IF(B126&gt;=in_marketplace_from,d_hz_loan_cd*G126,0))</f>
        <v/>
      </c>
      <c r="BV127" s="14">
        <f>F127*BU127*IF(B127&gt;=in_marketplace_from,d_hz_loan_cd*G127,0)*in_loan_cd_ticket*in_loan_cd_comm</f>
        <v/>
      </c>
      <c r="BW127" s="40">
        <f>BW126*(1-IF(B126&gt;=in_marketplace_from,d_hz_loan_vehicle*G126,0))</f>
        <v/>
      </c>
      <c r="BX127" s="14">
        <f>F127*BW127*IF(B127&gt;=in_marketplace_from,d_hz_loan_vehicle*G127,0)*in_loan_vehicle_ticket*in_loan_vehicle_comm</f>
        <v/>
      </c>
      <c r="BY127" s="40">
        <f>BY126*(1-IF(B126&gt;=in_marketplace_from,d_hz_loan_home*G126,0)*BZ126)</f>
        <v/>
      </c>
      <c r="BZ127" s="11">
        <f>MIN(in_approval_cap,in_loan_home_approval*INDEX('Age profile'!$O$2:$O$61,B127)*(1+in_approval_growth)^(D127-1))</f>
        <v/>
      </c>
      <c r="CA127" s="14">
        <f>F127*BY127*IF(B127&gt;=in_marketplace_from,d_hz_loan_home*G127,0)*BZ127*in_loan_home_ticket*in_loan_home_comm</f>
        <v/>
      </c>
      <c r="CB127" s="40">
        <f>CB126*(1-IF(B126&gt;=in_marketplace_from,d_hz_loan_lap*G126,0)*CC126)</f>
        <v/>
      </c>
      <c r="CC127" s="11">
        <f>MIN(in_approval_cap,in_loan_lap_approval*INDEX('Age profile'!$O$2:$O$61,B127)*(1+in_approval_growth)^(D127-1))</f>
        <v/>
      </c>
      <c r="CD127" s="14">
        <f>F127*CB127*IF(B127&gt;=in_marketplace_from,d_hz_loan_lap*G127,0)*CC127*in_loan_lap_ticket*in_loan_lap_comm</f>
        <v/>
      </c>
      <c r="CE127" s="14">
        <f>AA127+AB127+AC127+AD127+AG127+AJ127+AM127+AP127+AS127+AU127+AX127+BB127+BE127+BG127+BJ127+BL127+BO127+BR127+BT127+BV127+BX127+CA127+CD127</f>
        <v/>
      </c>
    </row>
    <row r="128">
      <c r="A128" s="39" t="n">
        <v>3</v>
      </c>
      <c r="B128" s="39" t="n">
        <v>8</v>
      </c>
      <c r="C128" s="39">
        <f>A128+B128-1</f>
        <v/>
      </c>
      <c r="D128" s="39">
        <f>INT((C128-1)/12)+1</f>
        <v/>
      </c>
      <c r="E128" s="44">
        <f>INDEX(Monthly!$B$2:$B$61,A128)</f>
        <v/>
      </c>
      <c r="F128" s="44">
        <f>E128*INDEX('Age profile'!$B$2:$B$61,B128)</f>
        <v/>
      </c>
      <c r="G128" s="45">
        <f>MIN(in_takeup_cap,INDEX('Age profile'!$N$2:$N$61,B128)*(1+in_takeup_growth)^(D128-1))</f>
        <v/>
      </c>
      <c r="H128" s="11">
        <f>MIN(in_approval_cap,in_approved_first*INDEX('Age profile'!$O$2:$O$61,B128)*(1+in_approval_growth)^(D128-1))</f>
        <v/>
      </c>
      <c r="I128" s="45">
        <f>G128*MIN(in_takeup_cap,INDEX('Age profile'!$O$2:$O$61,B128)*(1+in_approval_growth)^(D128-1))</f>
        <v/>
      </c>
      <c r="J128" s="40">
        <f>(J127-L127)*F128/F127</f>
        <v/>
      </c>
      <c r="K128" s="40">
        <f>(K127-M127)*F128/F127+SUMIFS(O121:O127,B121:B127,B128-1-d_T)*F128</f>
        <v/>
      </c>
      <c r="L128" s="40">
        <f>IF(B128&gt;=in_marketplace_from,J128*d_hz*G128*in_eligible*H128,0)</f>
        <v/>
      </c>
      <c r="M128" s="40">
        <f>IF(B128&gt;=in_marketplace_from,K128*d_hz*G128*in_eligible*in_approved_repeat,0)</f>
        <v/>
      </c>
      <c r="N128" s="40">
        <f>L128+M128</f>
        <v/>
      </c>
      <c r="O128" s="46">
        <f>N128/F128</f>
        <v/>
      </c>
      <c r="P128" s="40">
        <f>F128-J128-K128</f>
        <v/>
      </c>
      <c r="Q128" s="40">
        <f>IF(B128&gt;=in_marketplace_from,(J128+K128)*d_hz*G128,0)</f>
        <v/>
      </c>
      <c r="R128" s="40">
        <f>SUMIFS(N121:N178,B121:B178,"&gt;="&amp;(B128-d_T),B121:B178,"&lt;="&amp;(B128-1))</f>
        <v/>
      </c>
      <c r="S128" s="46">
        <f>(1-d_u)*S127+IF(d_T&gt;in_topup_lag,SUMIFS(O121:O178,B121:B178,B128-in_topup_lag)-d_udrop*SUMIFS(O121:O178,B121:B178,B128-d_T),0)</f>
        <v/>
      </c>
      <c r="T128" s="40">
        <f>F128*d_u*S128</f>
        <v/>
      </c>
      <c r="U128" s="9">
        <f>L128*in_ticket+M128*d_rep_ticket</f>
        <v/>
      </c>
      <c r="V128" s="9">
        <f>U128+T128*d_topup_amt</f>
        <v/>
      </c>
      <c r="W128" s="40">
        <f>N128+T128*d_topup_ratio</f>
        <v/>
      </c>
      <c r="X128" s="40">
        <f>SUMIFS(W121:W178,B121:B178,B128-in_dpd_lag)*d_cured</f>
        <v/>
      </c>
      <c r="Y128" s="40">
        <f>SUMIFS(W121:W178,B121:B178,B128-in_rec_lag)*d_recd</f>
        <v/>
      </c>
      <c r="Z128" s="40">
        <f>IF(AND(B128&gt;=in_marketplace_from,B128&lt;in_marketplace_from+in_card_months),in_card_share/in_card_months*F128*I128,IF(AND(B128&gt;=in_marketplace_from+in_card_months,B128&lt;in_marketplace_from+2*in_card_months),in_card_share*d_card_rem/in_card_months*F128*MIN(in_takeup_cap,(1+in_takeup_growth)^(D128-1))*MIN(in_takeup_cap,(1+in_approval_growth)^(D128-1)),0))</f>
        <v/>
      </c>
      <c r="AA128" s="14">
        <f>V128*in_fee*(1-in_taken_back)</f>
        <v/>
      </c>
      <c r="AB128" s="14">
        <f>SUMIFS(W121:W178,B121:B178,B128-in_dpd_lag)*d_dpd</f>
        <v/>
      </c>
      <c r="AC128" s="14">
        <f>SUMIFS(W121:W178,B121:B178,B128-in_rec_lag)*d_rec</f>
        <v/>
      </c>
      <c r="AD128" s="14">
        <f>Z128*in_card_fee</f>
        <v/>
      </c>
      <c r="AE128" s="40">
        <f>AE127*(1-IF(B127&gt;=in_marketplace_from,d_hz_hlth_small*G127,0))</f>
        <v/>
      </c>
      <c r="AF128" s="46">
        <f>AE128*IF(B128&gt;=in_marketplace_from,d_hz_hlth_small*G128,0)</f>
        <v/>
      </c>
      <c r="AG128" s="14">
        <f>F128*AF128*in_hlth_small_ticket*in_hlth_small_comm*in_ins_partner_share+F128*in_hlth_small_ticket*in_hlth_small_renew_comm*in_ins_partner_share*(in_hlth_small_renew^1*SUMIFS(AF121:AF178,B121:B178,B128-12)+in_hlth_small_renew^2*SUMIFS(AF121:AF178,B121:B178,B128-24)+in_hlth_small_renew^3*SUMIFS(AF121:AF178,B121:B178,B128-36)+in_hlth_small_renew^4*SUMIFS(AF121:AF178,B121:B178,B128-48))</f>
        <v/>
      </c>
      <c r="AH128" s="40">
        <f>AH127*(1-IF(B127&gt;=in_marketplace_from,d_hz_hlth_family*G127,0))</f>
        <v/>
      </c>
      <c r="AI128" s="46">
        <f>AH128*IF(B128&gt;=in_marketplace_from,d_hz_hlth_family*G128,0)</f>
        <v/>
      </c>
      <c r="AJ128" s="14">
        <f>F128*AI128*in_hlth_family_ticket*in_hlth_family_comm*in_ins_partner_share+F128*in_hlth_family_ticket*in_hlth_family_renew_comm*in_ins_partner_share*(in_hlth_family_renew^1*SUMIFS(AI121:AI178,B121:B178,B128-12)+in_hlth_family_renew^2*SUMIFS(AI121:AI178,B121:B178,B128-24)+in_hlth_family_renew^3*SUMIFS(AI121:AI178,B121:B178,B128-36)+in_hlth_family_renew^4*SUMIFS(AI121:AI178,B121:B178,B128-48))</f>
        <v/>
      </c>
      <c r="AK128" s="40">
        <f>AK127*(1-IF(B127&gt;=in_marketplace_from,d_hz_life_term*G127,0))</f>
        <v/>
      </c>
      <c r="AL128" s="46">
        <f>AK128*IF(B128&gt;=in_marketplace_from,d_hz_life_term*G128,0)</f>
        <v/>
      </c>
      <c r="AM128" s="14">
        <f>F128*AL128*in_life_term_ticket*in_life_term_comm*in_ins_partner_share+F128*in_life_term_ticket*in_life_term_renew_comm*in_ins_partner_share*(in_life_term_renew^1*SUMIFS(AL121:AL178,B121:B178,B128-12)+in_life_term_renew^2*SUMIFS(AL121:AL178,B121:B178,B128-24)+in_life_term_renew^3*SUMIFS(AL121:AL178,B121:B178,B128-36)+in_life_term_renew^4*SUMIFS(AL121:AL178,B121:B178,B128-48))</f>
        <v/>
      </c>
      <c r="AN128" s="40">
        <f>AN127*(1-IF(B127&gt;=in_marketplace_from,d_hz_accident*G127,0))</f>
        <v/>
      </c>
      <c r="AO128" s="46">
        <f>AN128*IF(B128&gt;=in_marketplace_from,d_hz_accident*G128,0)</f>
        <v/>
      </c>
      <c r="AP128" s="14">
        <f>F128*AO128*in_accident_ticket*in_accident_comm*in_ins_partner_share+F128*in_accident_ticket*in_accident_renew_comm*in_ins_partner_share*(in_accident_renew^1*SUMIFS(AO121:AO178,B121:B178,B128-12)+in_accident_renew^2*SUMIFS(AO121:AO178,B121:B178,B128-24)+in_accident_renew^3*SUMIFS(AO121:AO178,B121:B178,B128-36)+in_accident_renew^4*SUMIFS(AO121:AO178,B121:B178,B128-48))</f>
        <v/>
      </c>
      <c r="AQ128" s="40">
        <f>AQ127*(1-IF(B127&gt;=in_marketplace_from,d_hz_two_wheeler*G127,0))</f>
        <v/>
      </c>
      <c r="AR128" s="46">
        <f>AQ128*IF(B128&gt;=in_marketplace_from,d_hz_two_wheeler*G128,0)</f>
        <v/>
      </c>
      <c r="AS128" s="14">
        <f>F128*AR128*in_two_wheeler_ticket*in_two_wheeler_comm*in_ins_partner_share+F128*in_two_wheeler_ticket*in_two_wheeler_comm*in_ins_partner_share*(in_two_wheeler_renew^1*SUMIFS(AR121:AR178,B121:B178,B128-12)+in_two_wheeler_renew^2*SUMIFS(AR121:AR178,B121:B178,B128-24)+in_two_wheeler_renew^3*SUMIFS(AR121:AR178,B121:B178,B128-36)+in_two_wheeler_renew^4*SUMIFS(AR121:AR178,B121:B178,B128-48))</f>
        <v/>
      </c>
      <c r="AT128" s="40">
        <f>AT127*(1-IF(B127&gt;=in_marketplace_from,d_hz_device*G127,0))</f>
        <v/>
      </c>
      <c r="AU128" s="14">
        <f>F128*AT128*IF(B128&gt;=in_marketplace_from,d_hz_device*G128,0)*in_device_ticket*in_device_comm*in_ins_partner_share</f>
        <v/>
      </c>
      <c r="AV128" s="40">
        <f>AV127*(1-IF(B127&gt;=in_marketplace_from,d_hz_shop*G127,0))</f>
        <v/>
      </c>
      <c r="AW128" s="46">
        <f>AV128*IF(B128&gt;=in_marketplace_from,d_hz_shop*G128,0)</f>
        <v/>
      </c>
      <c r="AX128" s="14">
        <f>F128*AW128*in_shop_ticket*in_shop_comm*in_ins_partner_share+F128*in_shop_ticket*in_shop_renew_comm*in_ins_partner_share*(in_shop_renew^1*SUMIFS(AW121:AW178,B121:B178,B128-12)+in_shop_renew^2*SUMIFS(AW121:AW178,B121:B178,B128-24)+in_shop_renew^3*SUMIFS(AW121:AW178,B121:B178,B128-36)+in_shop_renew^4*SUMIFS(AW121:AW178,B121:B178,B128-48))</f>
        <v/>
      </c>
      <c r="AY128" s="40">
        <f>AY127*(1-IF(B127&gt;=in_marketplace_from,d_hz_sip*G127,0))</f>
        <v/>
      </c>
      <c r="AZ128" s="40">
        <f>AZ127*d_rho_sip+AY128*IF(B128&gt;=in_marketplace_from,d_hz_sip*G128,0)</f>
        <v/>
      </c>
      <c r="BA128" s="40">
        <f>d_rho_sip*(BA127+AZ127)</f>
        <v/>
      </c>
      <c r="BB128" s="14">
        <f>F128*in_sip_ticket*(BA128+0.5*AZ128)*in_sip_comm/12</f>
        <v/>
      </c>
      <c r="BC128" s="40">
        <f>BC127*(1-IF(B127&gt;=in_marketplace_from,d_hz_choti*G127,0))</f>
        <v/>
      </c>
      <c r="BD128" s="46">
        <f>BC128*IF(B128&gt;=in_marketplace_from,d_hz_choti*G128,0)</f>
        <v/>
      </c>
      <c r="BE128" s="14">
        <f>F128*SUMIFS(BD121:BD178,B121:B178,B128-in_choti_months)*in_choti_renew*in_choti_ticket</f>
        <v/>
      </c>
      <c r="BF128" s="40">
        <f>BF127*(1-IF(B127&gt;=in_marketplace_from,d_hz_nps*G127,0))</f>
        <v/>
      </c>
      <c r="BG128" s="14">
        <f>F128*BF128*IF(B128&gt;=in_marketplace_from,d_hz_nps*G128,0)*in_nps_ticket*in_nps_comm</f>
        <v/>
      </c>
      <c r="BH128" s="40">
        <f>BH127*(1-IF(B127&gt;=in_marketplace_from,d_hz_gold*G127,0))</f>
        <v/>
      </c>
      <c r="BI128" s="40">
        <f>BI127*d_rho_gold+BH128*IF(B128&gt;=in_marketplace_from,d_hz_gold*G128,0)</f>
        <v/>
      </c>
      <c r="BJ128" s="14">
        <f>F128*BI128*in_gold_ticket*in_gold_comm</f>
        <v/>
      </c>
      <c r="BK128" s="40">
        <f>BK127*(1-IF(B127&gt;=in_marketplace_from,d_hz_fd*G127,0))</f>
        <v/>
      </c>
      <c r="BL128" s="14">
        <f>F128*BK128*IF(B128&gt;=in_marketplace_from,d_hz_fd*G128,0)*in_fd_ticket*in_fd_comm</f>
        <v/>
      </c>
      <c r="BM128" s="40">
        <f>BM127*(1-IF(B127&gt;=in_marketplace_from,d_hz_recharge*G127,0))</f>
        <v/>
      </c>
      <c r="BN128" s="40">
        <f>BN127*d_rho_recharge+BM128*IF(B128&gt;=in_marketplace_from,d_hz_recharge*G128,0)</f>
        <v/>
      </c>
      <c r="BO128" s="14">
        <f>F128*BN128*in_recharge_ticket*in_recharge_comm/12</f>
        <v/>
      </c>
      <c r="BP128" s="40">
        <f>BP127*(1-IF(B127&gt;=in_marketplace_from,d_hz_bills*G127,0))</f>
        <v/>
      </c>
      <c r="BQ128" s="40">
        <f>BQ127*d_rho_bills+BP128*IF(B128&gt;=in_marketplace_from,d_hz_bills*G128,0)</f>
        <v/>
      </c>
      <c r="BR128" s="14">
        <f>F128*BQ128*in_bills_ticket*in_bills_comm/12</f>
        <v/>
      </c>
      <c r="BS128" s="40">
        <f>BS127*(1-IF(B127&gt;=in_marketplace_from,d_hz_loan_gold*G127,0))</f>
        <v/>
      </c>
      <c r="BT128" s="14">
        <f>F128*BS128*IF(B128&gt;=in_marketplace_from,d_hz_loan_gold*G128,0)*in_loan_gold_ticket*in_loan_gold_comm</f>
        <v/>
      </c>
      <c r="BU128" s="40">
        <f>BU127*(1-IF(B127&gt;=in_marketplace_from,d_hz_loan_cd*G127,0))</f>
        <v/>
      </c>
      <c r="BV128" s="14">
        <f>F128*BU128*IF(B128&gt;=in_marketplace_from,d_hz_loan_cd*G128,0)*in_loan_cd_ticket*in_loan_cd_comm</f>
        <v/>
      </c>
      <c r="BW128" s="40">
        <f>BW127*(1-IF(B127&gt;=in_marketplace_from,d_hz_loan_vehicle*G127,0))</f>
        <v/>
      </c>
      <c r="BX128" s="14">
        <f>F128*BW128*IF(B128&gt;=in_marketplace_from,d_hz_loan_vehicle*G128,0)*in_loan_vehicle_ticket*in_loan_vehicle_comm</f>
        <v/>
      </c>
      <c r="BY128" s="40">
        <f>BY127*(1-IF(B127&gt;=in_marketplace_from,d_hz_loan_home*G127,0)*BZ127)</f>
        <v/>
      </c>
      <c r="BZ128" s="11">
        <f>MIN(in_approval_cap,in_loan_home_approval*INDEX('Age profile'!$O$2:$O$61,B128)*(1+in_approval_growth)^(D128-1))</f>
        <v/>
      </c>
      <c r="CA128" s="14">
        <f>F128*BY128*IF(B128&gt;=in_marketplace_from,d_hz_loan_home*G128,0)*BZ128*in_loan_home_ticket*in_loan_home_comm</f>
        <v/>
      </c>
      <c r="CB128" s="40">
        <f>CB127*(1-IF(B127&gt;=in_marketplace_from,d_hz_loan_lap*G127,0)*CC127)</f>
        <v/>
      </c>
      <c r="CC128" s="11">
        <f>MIN(in_approval_cap,in_loan_lap_approval*INDEX('Age profile'!$O$2:$O$61,B128)*(1+in_approval_growth)^(D128-1))</f>
        <v/>
      </c>
      <c r="CD128" s="14">
        <f>F128*CB128*IF(B128&gt;=in_marketplace_from,d_hz_loan_lap*G128,0)*CC128*in_loan_lap_ticket*in_loan_lap_comm</f>
        <v/>
      </c>
      <c r="CE128" s="14">
        <f>AA128+AB128+AC128+AD128+AG128+AJ128+AM128+AP128+AS128+AU128+AX128+BB128+BE128+BG128+BJ128+BL128+BO128+BR128+BT128+BV128+BX128+CA128+CD128</f>
        <v/>
      </c>
    </row>
    <row r="129">
      <c r="A129" s="39" t="n">
        <v>3</v>
      </c>
      <c r="B129" s="39" t="n">
        <v>9</v>
      </c>
      <c r="C129" s="39">
        <f>A129+B129-1</f>
        <v/>
      </c>
      <c r="D129" s="39">
        <f>INT((C129-1)/12)+1</f>
        <v/>
      </c>
      <c r="E129" s="44">
        <f>INDEX(Monthly!$B$2:$B$61,A129)</f>
        <v/>
      </c>
      <c r="F129" s="44">
        <f>E129*INDEX('Age profile'!$B$2:$B$61,B129)</f>
        <v/>
      </c>
      <c r="G129" s="45">
        <f>MIN(in_takeup_cap,INDEX('Age profile'!$N$2:$N$61,B129)*(1+in_takeup_growth)^(D129-1))</f>
        <v/>
      </c>
      <c r="H129" s="11">
        <f>MIN(in_approval_cap,in_approved_first*INDEX('Age profile'!$O$2:$O$61,B129)*(1+in_approval_growth)^(D129-1))</f>
        <v/>
      </c>
      <c r="I129" s="45">
        <f>G129*MIN(in_takeup_cap,INDEX('Age profile'!$O$2:$O$61,B129)*(1+in_approval_growth)^(D129-1))</f>
        <v/>
      </c>
      <c r="J129" s="40">
        <f>(J128-L128)*F129/F128</f>
        <v/>
      </c>
      <c r="K129" s="40">
        <f>(K128-M128)*F129/F128+SUMIFS(O121:O128,B121:B128,B129-1-d_T)*F129</f>
        <v/>
      </c>
      <c r="L129" s="40">
        <f>IF(B129&gt;=in_marketplace_from,J129*d_hz*G129*in_eligible*H129,0)</f>
        <v/>
      </c>
      <c r="M129" s="40">
        <f>IF(B129&gt;=in_marketplace_from,K129*d_hz*G129*in_eligible*in_approved_repeat,0)</f>
        <v/>
      </c>
      <c r="N129" s="40">
        <f>L129+M129</f>
        <v/>
      </c>
      <c r="O129" s="46">
        <f>N129/F129</f>
        <v/>
      </c>
      <c r="P129" s="40">
        <f>F129-J129-K129</f>
        <v/>
      </c>
      <c r="Q129" s="40">
        <f>IF(B129&gt;=in_marketplace_from,(J129+K129)*d_hz*G129,0)</f>
        <v/>
      </c>
      <c r="R129" s="40">
        <f>SUMIFS(N121:N178,B121:B178,"&gt;="&amp;(B129-d_T),B121:B178,"&lt;="&amp;(B129-1))</f>
        <v/>
      </c>
      <c r="S129" s="46">
        <f>(1-d_u)*S128+IF(d_T&gt;in_topup_lag,SUMIFS(O121:O178,B121:B178,B129-in_topup_lag)-d_udrop*SUMIFS(O121:O178,B121:B178,B129-d_T),0)</f>
        <v/>
      </c>
      <c r="T129" s="40">
        <f>F129*d_u*S129</f>
        <v/>
      </c>
      <c r="U129" s="9">
        <f>L129*in_ticket+M129*d_rep_ticket</f>
        <v/>
      </c>
      <c r="V129" s="9">
        <f>U129+T129*d_topup_amt</f>
        <v/>
      </c>
      <c r="W129" s="40">
        <f>N129+T129*d_topup_ratio</f>
        <v/>
      </c>
      <c r="X129" s="40">
        <f>SUMIFS(W121:W178,B121:B178,B129-in_dpd_lag)*d_cured</f>
        <v/>
      </c>
      <c r="Y129" s="40">
        <f>SUMIFS(W121:W178,B121:B178,B129-in_rec_lag)*d_recd</f>
        <v/>
      </c>
      <c r="Z129" s="40">
        <f>IF(AND(B129&gt;=in_marketplace_from,B129&lt;in_marketplace_from+in_card_months),in_card_share/in_card_months*F129*I129,IF(AND(B129&gt;=in_marketplace_from+in_card_months,B129&lt;in_marketplace_from+2*in_card_months),in_card_share*d_card_rem/in_card_months*F129*MIN(in_takeup_cap,(1+in_takeup_growth)^(D129-1))*MIN(in_takeup_cap,(1+in_approval_growth)^(D129-1)),0))</f>
        <v/>
      </c>
      <c r="AA129" s="14">
        <f>V129*in_fee*(1-in_taken_back)</f>
        <v/>
      </c>
      <c r="AB129" s="14">
        <f>SUMIFS(W121:W178,B121:B178,B129-in_dpd_lag)*d_dpd</f>
        <v/>
      </c>
      <c r="AC129" s="14">
        <f>SUMIFS(W121:W178,B121:B178,B129-in_rec_lag)*d_rec</f>
        <v/>
      </c>
      <c r="AD129" s="14">
        <f>Z129*in_card_fee</f>
        <v/>
      </c>
      <c r="AE129" s="40">
        <f>AE128*(1-IF(B128&gt;=in_marketplace_from,d_hz_hlth_small*G128,0))</f>
        <v/>
      </c>
      <c r="AF129" s="46">
        <f>AE129*IF(B129&gt;=in_marketplace_from,d_hz_hlth_small*G129,0)</f>
        <v/>
      </c>
      <c r="AG129" s="14">
        <f>F129*AF129*in_hlth_small_ticket*in_hlth_small_comm*in_ins_partner_share+F129*in_hlth_small_ticket*in_hlth_small_renew_comm*in_ins_partner_share*(in_hlth_small_renew^1*SUMIFS(AF121:AF178,B121:B178,B129-12)+in_hlth_small_renew^2*SUMIFS(AF121:AF178,B121:B178,B129-24)+in_hlth_small_renew^3*SUMIFS(AF121:AF178,B121:B178,B129-36)+in_hlth_small_renew^4*SUMIFS(AF121:AF178,B121:B178,B129-48))</f>
        <v/>
      </c>
      <c r="AH129" s="40">
        <f>AH128*(1-IF(B128&gt;=in_marketplace_from,d_hz_hlth_family*G128,0))</f>
        <v/>
      </c>
      <c r="AI129" s="46">
        <f>AH129*IF(B129&gt;=in_marketplace_from,d_hz_hlth_family*G129,0)</f>
        <v/>
      </c>
      <c r="AJ129" s="14">
        <f>F129*AI129*in_hlth_family_ticket*in_hlth_family_comm*in_ins_partner_share+F129*in_hlth_family_ticket*in_hlth_family_renew_comm*in_ins_partner_share*(in_hlth_family_renew^1*SUMIFS(AI121:AI178,B121:B178,B129-12)+in_hlth_family_renew^2*SUMIFS(AI121:AI178,B121:B178,B129-24)+in_hlth_family_renew^3*SUMIFS(AI121:AI178,B121:B178,B129-36)+in_hlth_family_renew^4*SUMIFS(AI121:AI178,B121:B178,B129-48))</f>
        <v/>
      </c>
      <c r="AK129" s="40">
        <f>AK128*(1-IF(B128&gt;=in_marketplace_from,d_hz_life_term*G128,0))</f>
        <v/>
      </c>
      <c r="AL129" s="46">
        <f>AK129*IF(B129&gt;=in_marketplace_from,d_hz_life_term*G129,0)</f>
        <v/>
      </c>
      <c r="AM129" s="14">
        <f>F129*AL129*in_life_term_ticket*in_life_term_comm*in_ins_partner_share+F129*in_life_term_ticket*in_life_term_renew_comm*in_ins_partner_share*(in_life_term_renew^1*SUMIFS(AL121:AL178,B121:B178,B129-12)+in_life_term_renew^2*SUMIFS(AL121:AL178,B121:B178,B129-24)+in_life_term_renew^3*SUMIFS(AL121:AL178,B121:B178,B129-36)+in_life_term_renew^4*SUMIFS(AL121:AL178,B121:B178,B129-48))</f>
        <v/>
      </c>
      <c r="AN129" s="40">
        <f>AN128*(1-IF(B128&gt;=in_marketplace_from,d_hz_accident*G128,0))</f>
        <v/>
      </c>
      <c r="AO129" s="46">
        <f>AN129*IF(B129&gt;=in_marketplace_from,d_hz_accident*G129,0)</f>
        <v/>
      </c>
      <c r="AP129" s="14">
        <f>F129*AO129*in_accident_ticket*in_accident_comm*in_ins_partner_share+F129*in_accident_ticket*in_accident_renew_comm*in_ins_partner_share*(in_accident_renew^1*SUMIFS(AO121:AO178,B121:B178,B129-12)+in_accident_renew^2*SUMIFS(AO121:AO178,B121:B178,B129-24)+in_accident_renew^3*SUMIFS(AO121:AO178,B121:B178,B129-36)+in_accident_renew^4*SUMIFS(AO121:AO178,B121:B178,B129-48))</f>
        <v/>
      </c>
      <c r="AQ129" s="40">
        <f>AQ128*(1-IF(B128&gt;=in_marketplace_from,d_hz_two_wheeler*G128,0))</f>
        <v/>
      </c>
      <c r="AR129" s="46">
        <f>AQ129*IF(B129&gt;=in_marketplace_from,d_hz_two_wheeler*G129,0)</f>
        <v/>
      </c>
      <c r="AS129" s="14">
        <f>F129*AR129*in_two_wheeler_ticket*in_two_wheeler_comm*in_ins_partner_share+F129*in_two_wheeler_ticket*in_two_wheeler_comm*in_ins_partner_share*(in_two_wheeler_renew^1*SUMIFS(AR121:AR178,B121:B178,B129-12)+in_two_wheeler_renew^2*SUMIFS(AR121:AR178,B121:B178,B129-24)+in_two_wheeler_renew^3*SUMIFS(AR121:AR178,B121:B178,B129-36)+in_two_wheeler_renew^4*SUMIFS(AR121:AR178,B121:B178,B129-48))</f>
        <v/>
      </c>
      <c r="AT129" s="40">
        <f>AT128*(1-IF(B128&gt;=in_marketplace_from,d_hz_device*G128,0))</f>
        <v/>
      </c>
      <c r="AU129" s="14">
        <f>F129*AT129*IF(B129&gt;=in_marketplace_from,d_hz_device*G129,0)*in_device_ticket*in_device_comm*in_ins_partner_share</f>
        <v/>
      </c>
      <c r="AV129" s="40">
        <f>AV128*(1-IF(B128&gt;=in_marketplace_from,d_hz_shop*G128,0))</f>
        <v/>
      </c>
      <c r="AW129" s="46">
        <f>AV129*IF(B129&gt;=in_marketplace_from,d_hz_shop*G129,0)</f>
        <v/>
      </c>
      <c r="AX129" s="14">
        <f>F129*AW129*in_shop_ticket*in_shop_comm*in_ins_partner_share+F129*in_shop_ticket*in_shop_renew_comm*in_ins_partner_share*(in_shop_renew^1*SUMIFS(AW121:AW178,B121:B178,B129-12)+in_shop_renew^2*SUMIFS(AW121:AW178,B121:B178,B129-24)+in_shop_renew^3*SUMIFS(AW121:AW178,B121:B178,B129-36)+in_shop_renew^4*SUMIFS(AW121:AW178,B121:B178,B129-48))</f>
        <v/>
      </c>
      <c r="AY129" s="40">
        <f>AY128*(1-IF(B128&gt;=in_marketplace_from,d_hz_sip*G128,0))</f>
        <v/>
      </c>
      <c r="AZ129" s="40">
        <f>AZ128*d_rho_sip+AY129*IF(B129&gt;=in_marketplace_from,d_hz_sip*G129,0)</f>
        <v/>
      </c>
      <c r="BA129" s="40">
        <f>d_rho_sip*(BA128+AZ128)</f>
        <v/>
      </c>
      <c r="BB129" s="14">
        <f>F129*in_sip_ticket*(BA129+0.5*AZ129)*in_sip_comm/12</f>
        <v/>
      </c>
      <c r="BC129" s="40">
        <f>BC128*(1-IF(B128&gt;=in_marketplace_from,d_hz_choti*G128,0))</f>
        <v/>
      </c>
      <c r="BD129" s="46">
        <f>BC129*IF(B129&gt;=in_marketplace_from,d_hz_choti*G129,0)</f>
        <v/>
      </c>
      <c r="BE129" s="14">
        <f>F129*SUMIFS(BD121:BD178,B121:B178,B129-in_choti_months)*in_choti_renew*in_choti_ticket</f>
        <v/>
      </c>
      <c r="BF129" s="40">
        <f>BF128*(1-IF(B128&gt;=in_marketplace_from,d_hz_nps*G128,0))</f>
        <v/>
      </c>
      <c r="BG129" s="14">
        <f>F129*BF129*IF(B129&gt;=in_marketplace_from,d_hz_nps*G129,0)*in_nps_ticket*in_nps_comm</f>
        <v/>
      </c>
      <c r="BH129" s="40">
        <f>BH128*(1-IF(B128&gt;=in_marketplace_from,d_hz_gold*G128,0))</f>
        <v/>
      </c>
      <c r="BI129" s="40">
        <f>BI128*d_rho_gold+BH129*IF(B129&gt;=in_marketplace_from,d_hz_gold*G129,0)</f>
        <v/>
      </c>
      <c r="BJ129" s="14">
        <f>F129*BI129*in_gold_ticket*in_gold_comm</f>
        <v/>
      </c>
      <c r="BK129" s="40">
        <f>BK128*(1-IF(B128&gt;=in_marketplace_from,d_hz_fd*G128,0))</f>
        <v/>
      </c>
      <c r="BL129" s="14">
        <f>F129*BK129*IF(B129&gt;=in_marketplace_from,d_hz_fd*G129,0)*in_fd_ticket*in_fd_comm</f>
        <v/>
      </c>
      <c r="BM129" s="40">
        <f>BM128*(1-IF(B128&gt;=in_marketplace_from,d_hz_recharge*G128,0))</f>
        <v/>
      </c>
      <c r="BN129" s="40">
        <f>BN128*d_rho_recharge+BM129*IF(B129&gt;=in_marketplace_from,d_hz_recharge*G129,0)</f>
        <v/>
      </c>
      <c r="BO129" s="14">
        <f>F129*BN129*in_recharge_ticket*in_recharge_comm/12</f>
        <v/>
      </c>
      <c r="BP129" s="40">
        <f>BP128*(1-IF(B128&gt;=in_marketplace_from,d_hz_bills*G128,0))</f>
        <v/>
      </c>
      <c r="BQ129" s="40">
        <f>BQ128*d_rho_bills+BP129*IF(B129&gt;=in_marketplace_from,d_hz_bills*G129,0)</f>
        <v/>
      </c>
      <c r="BR129" s="14">
        <f>F129*BQ129*in_bills_ticket*in_bills_comm/12</f>
        <v/>
      </c>
      <c r="BS129" s="40">
        <f>BS128*(1-IF(B128&gt;=in_marketplace_from,d_hz_loan_gold*G128,0))</f>
        <v/>
      </c>
      <c r="BT129" s="14">
        <f>F129*BS129*IF(B129&gt;=in_marketplace_from,d_hz_loan_gold*G129,0)*in_loan_gold_ticket*in_loan_gold_comm</f>
        <v/>
      </c>
      <c r="BU129" s="40">
        <f>BU128*(1-IF(B128&gt;=in_marketplace_from,d_hz_loan_cd*G128,0))</f>
        <v/>
      </c>
      <c r="BV129" s="14">
        <f>F129*BU129*IF(B129&gt;=in_marketplace_from,d_hz_loan_cd*G129,0)*in_loan_cd_ticket*in_loan_cd_comm</f>
        <v/>
      </c>
      <c r="BW129" s="40">
        <f>BW128*(1-IF(B128&gt;=in_marketplace_from,d_hz_loan_vehicle*G128,0))</f>
        <v/>
      </c>
      <c r="BX129" s="14">
        <f>F129*BW129*IF(B129&gt;=in_marketplace_from,d_hz_loan_vehicle*G129,0)*in_loan_vehicle_ticket*in_loan_vehicle_comm</f>
        <v/>
      </c>
      <c r="BY129" s="40">
        <f>BY128*(1-IF(B128&gt;=in_marketplace_from,d_hz_loan_home*G128,0)*BZ128)</f>
        <v/>
      </c>
      <c r="BZ129" s="11">
        <f>MIN(in_approval_cap,in_loan_home_approval*INDEX('Age profile'!$O$2:$O$61,B129)*(1+in_approval_growth)^(D129-1))</f>
        <v/>
      </c>
      <c r="CA129" s="14">
        <f>F129*BY129*IF(B129&gt;=in_marketplace_from,d_hz_loan_home*G129,0)*BZ129*in_loan_home_ticket*in_loan_home_comm</f>
        <v/>
      </c>
      <c r="CB129" s="40">
        <f>CB128*(1-IF(B128&gt;=in_marketplace_from,d_hz_loan_lap*G128,0)*CC128)</f>
        <v/>
      </c>
      <c r="CC129" s="11">
        <f>MIN(in_approval_cap,in_loan_lap_approval*INDEX('Age profile'!$O$2:$O$61,B129)*(1+in_approval_growth)^(D129-1))</f>
        <v/>
      </c>
      <c r="CD129" s="14">
        <f>F129*CB129*IF(B129&gt;=in_marketplace_from,d_hz_loan_lap*G129,0)*CC129*in_loan_lap_ticket*in_loan_lap_comm</f>
        <v/>
      </c>
      <c r="CE129" s="14">
        <f>AA129+AB129+AC129+AD129+AG129+AJ129+AM129+AP129+AS129+AU129+AX129+BB129+BE129+BG129+BJ129+BL129+BO129+BR129+BT129+BV129+BX129+CA129+CD129</f>
        <v/>
      </c>
    </row>
    <row r="130">
      <c r="A130" s="39" t="n">
        <v>3</v>
      </c>
      <c r="B130" s="39" t="n">
        <v>10</v>
      </c>
      <c r="C130" s="39">
        <f>A130+B130-1</f>
        <v/>
      </c>
      <c r="D130" s="39">
        <f>INT((C130-1)/12)+1</f>
        <v/>
      </c>
      <c r="E130" s="44">
        <f>INDEX(Monthly!$B$2:$B$61,A130)</f>
        <v/>
      </c>
      <c r="F130" s="44">
        <f>E130*INDEX('Age profile'!$B$2:$B$61,B130)</f>
        <v/>
      </c>
      <c r="G130" s="45">
        <f>MIN(in_takeup_cap,INDEX('Age profile'!$N$2:$N$61,B130)*(1+in_takeup_growth)^(D130-1))</f>
        <v/>
      </c>
      <c r="H130" s="11">
        <f>MIN(in_approval_cap,in_approved_first*INDEX('Age profile'!$O$2:$O$61,B130)*(1+in_approval_growth)^(D130-1))</f>
        <v/>
      </c>
      <c r="I130" s="45">
        <f>G130*MIN(in_takeup_cap,INDEX('Age profile'!$O$2:$O$61,B130)*(1+in_approval_growth)^(D130-1))</f>
        <v/>
      </c>
      <c r="J130" s="40">
        <f>(J129-L129)*F130/F129</f>
        <v/>
      </c>
      <c r="K130" s="40">
        <f>(K129-M129)*F130/F129+SUMIFS(O121:O129,B121:B129,B130-1-d_T)*F130</f>
        <v/>
      </c>
      <c r="L130" s="40">
        <f>IF(B130&gt;=in_marketplace_from,J130*d_hz*G130*in_eligible*H130,0)</f>
        <v/>
      </c>
      <c r="M130" s="40">
        <f>IF(B130&gt;=in_marketplace_from,K130*d_hz*G130*in_eligible*in_approved_repeat,0)</f>
        <v/>
      </c>
      <c r="N130" s="40">
        <f>L130+M130</f>
        <v/>
      </c>
      <c r="O130" s="46">
        <f>N130/F130</f>
        <v/>
      </c>
      <c r="P130" s="40">
        <f>F130-J130-K130</f>
        <v/>
      </c>
      <c r="Q130" s="40">
        <f>IF(B130&gt;=in_marketplace_from,(J130+K130)*d_hz*G130,0)</f>
        <v/>
      </c>
      <c r="R130" s="40">
        <f>SUMIFS(N121:N178,B121:B178,"&gt;="&amp;(B130-d_T),B121:B178,"&lt;="&amp;(B130-1))</f>
        <v/>
      </c>
      <c r="S130" s="46">
        <f>(1-d_u)*S129+IF(d_T&gt;in_topup_lag,SUMIFS(O121:O178,B121:B178,B130-in_topup_lag)-d_udrop*SUMIFS(O121:O178,B121:B178,B130-d_T),0)</f>
        <v/>
      </c>
      <c r="T130" s="40">
        <f>F130*d_u*S130</f>
        <v/>
      </c>
      <c r="U130" s="9">
        <f>L130*in_ticket+M130*d_rep_ticket</f>
        <v/>
      </c>
      <c r="V130" s="9">
        <f>U130+T130*d_topup_amt</f>
        <v/>
      </c>
      <c r="W130" s="40">
        <f>N130+T130*d_topup_ratio</f>
        <v/>
      </c>
      <c r="X130" s="40">
        <f>SUMIFS(W121:W178,B121:B178,B130-in_dpd_lag)*d_cured</f>
        <v/>
      </c>
      <c r="Y130" s="40">
        <f>SUMIFS(W121:W178,B121:B178,B130-in_rec_lag)*d_recd</f>
        <v/>
      </c>
      <c r="Z130" s="40">
        <f>IF(AND(B130&gt;=in_marketplace_from,B130&lt;in_marketplace_from+in_card_months),in_card_share/in_card_months*F130*I130,IF(AND(B130&gt;=in_marketplace_from+in_card_months,B130&lt;in_marketplace_from+2*in_card_months),in_card_share*d_card_rem/in_card_months*F130*MIN(in_takeup_cap,(1+in_takeup_growth)^(D130-1))*MIN(in_takeup_cap,(1+in_approval_growth)^(D130-1)),0))</f>
        <v/>
      </c>
      <c r="AA130" s="14">
        <f>V130*in_fee*(1-in_taken_back)</f>
        <v/>
      </c>
      <c r="AB130" s="14">
        <f>SUMIFS(W121:W178,B121:B178,B130-in_dpd_lag)*d_dpd</f>
        <v/>
      </c>
      <c r="AC130" s="14">
        <f>SUMIFS(W121:W178,B121:B178,B130-in_rec_lag)*d_rec</f>
        <v/>
      </c>
      <c r="AD130" s="14">
        <f>Z130*in_card_fee</f>
        <v/>
      </c>
      <c r="AE130" s="40">
        <f>AE129*(1-IF(B129&gt;=in_marketplace_from,d_hz_hlth_small*G129,0))</f>
        <v/>
      </c>
      <c r="AF130" s="46">
        <f>AE130*IF(B130&gt;=in_marketplace_from,d_hz_hlth_small*G130,0)</f>
        <v/>
      </c>
      <c r="AG130" s="14">
        <f>F130*AF130*in_hlth_small_ticket*in_hlth_small_comm*in_ins_partner_share+F130*in_hlth_small_ticket*in_hlth_small_renew_comm*in_ins_partner_share*(in_hlth_small_renew^1*SUMIFS(AF121:AF178,B121:B178,B130-12)+in_hlth_small_renew^2*SUMIFS(AF121:AF178,B121:B178,B130-24)+in_hlth_small_renew^3*SUMIFS(AF121:AF178,B121:B178,B130-36)+in_hlth_small_renew^4*SUMIFS(AF121:AF178,B121:B178,B130-48))</f>
        <v/>
      </c>
      <c r="AH130" s="40">
        <f>AH129*(1-IF(B129&gt;=in_marketplace_from,d_hz_hlth_family*G129,0))</f>
        <v/>
      </c>
      <c r="AI130" s="46">
        <f>AH130*IF(B130&gt;=in_marketplace_from,d_hz_hlth_family*G130,0)</f>
        <v/>
      </c>
      <c r="AJ130" s="14">
        <f>F130*AI130*in_hlth_family_ticket*in_hlth_family_comm*in_ins_partner_share+F130*in_hlth_family_ticket*in_hlth_family_renew_comm*in_ins_partner_share*(in_hlth_family_renew^1*SUMIFS(AI121:AI178,B121:B178,B130-12)+in_hlth_family_renew^2*SUMIFS(AI121:AI178,B121:B178,B130-24)+in_hlth_family_renew^3*SUMIFS(AI121:AI178,B121:B178,B130-36)+in_hlth_family_renew^4*SUMIFS(AI121:AI178,B121:B178,B130-48))</f>
        <v/>
      </c>
      <c r="AK130" s="40">
        <f>AK129*(1-IF(B129&gt;=in_marketplace_from,d_hz_life_term*G129,0))</f>
        <v/>
      </c>
      <c r="AL130" s="46">
        <f>AK130*IF(B130&gt;=in_marketplace_from,d_hz_life_term*G130,0)</f>
        <v/>
      </c>
      <c r="AM130" s="14">
        <f>F130*AL130*in_life_term_ticket*in_life_term_comm*in_ins_partner_share+F130*in_life_term_ticket*in_life_term_renew_comm*in_ins_partner_share*(in_life_term_renew^1*SUMIFS(AL121:AL178,B121:B178,B130-12)+in_life_term_renew^2*SUMIFS(AL121:AL178,B121:B178,B130-24)+in_life_term_renew^3*SUMIFS(AL121:AL178,B121:B178,B130-36)+in_life_term_renew^4*SUMIFS(AL121:AL178,B121:B178,B130-48))</f>
        <v/>
      </c>
      <c r="AN130" s="40">
        <f>AN129*(1-IF(B129&gt;=in_marketplace_from,d_hz_accident*G129,0))</f>
        <v/>
      </c>
      <c r="AO130" s="46">
        <f>AN130*IF(B130&gt;=in_marketplace_from,d_hz_accident*G130,0)</f>
        <v/>
      </c>
      <c r="AP130" s="14">
        <f>F130*AO130*in_accident_ticket*in_accident_comm*in_ins_partner_share+F130*in_accident_ticket*in_accident_renew_comm*in_ins_partner_share*(in_accident_renew^1*SUMIFS(AO121:AO178,B121:B178,B130-12)+in_accident_renew^2*SUMIFS(AO121:AO178,B121:B178,B130-24)+in_accident_renew^3*SUMIFS(AO121:AO178,B121:B178,B130-36)+in_accident_renew^4*SUMIFS(AO121:AO178,B121:B178,B130-48))</f>
        <v/>
      </c>
      <c r="AQ130" s="40">
        <f>AQ129*(1-IF(B129&gt;=in_marketplace_from,d_hz_two_wheeler*G129,0))</f>
        <v/>
      </c>
      <c r="AR130" s="46">
        <f>AQ130*IF(B130&gt;=in_marketplace_from,d_hz_two_wheeler*G130,0)</f>
        <v/>
      </c>
      <c r="AS130" s="14">
        <f>F130*AR130*in_two_wheeler_ticket*in_two_wheeler_comm*in_ins_partner_share+F130*in_two_wheeler_ticket*in_two_wheeler_comm*in_ins_partner_share*(in_two_wheeler_renew^1*SUMIFS(AR121:AR178,B121:B178,B130-12)+in_two_wheeler_renew^2*SUMIFS(AR121:AR178,B121:B178,B130-24)+in_two_wheeler_renew^3*SUMIFS(AR121:AR178,B121:B178,B130-36)+in_two_wheeler_renew^4*SUMIFS(AR121:AR178,B121:B178,B130-48))</f>
        <v/>
      </c>
      <c r="AT130" s="40">
        <f>AT129*(1-IF(B129&gt;=in_marketplace_from,d_hz_device*G129,0))</f>
        <v/>
      </c>
      <c r="AU130" s="14">
        <f>F130*AT130*IF(B130&gt;=in_marketplace_from,d_hz_device*G130,0)*in_device_ticket*in_device_comm*in_ins_partner_share</f>
        <v/>
      </c>
      <c r="AV130" s="40">
        <f>AV129*(1-IF(B129&gt;=in_marketplace_from,d_hz_shop*G129,0))</f>
        <v/>
      </c>
      <c r="AW130" s="46">
        <f>AV130*IF(B130&gt;=in_marketplace_from,d_hz_shop*G130,0)</f>
        <v/>
      </c>
      <c r="AX130" s="14">
        <f>F130*AW130*in_shop_ticket*in_shop_comm*in_ins_partner_share+F130*in_shop_ticket*in_shop_renew_comm*in_ins_partner_share*(in_shop_renew^1*SUMIFS(AW121:AW178,B121:B178,B130-12)+in_shop_renew^2*SUMIFS(AW121:AW178,B121:B178,B130-24)+in_shop_renew^3*SUMIFS(AW121:AW178,B121:B178,B130-36)+in_shop_renew^4*SUMIFS(AW121:AW178,B121:B178,B130-48))</f>
        <v/>
      </c>
      <c r="AY130" s="40">
        <f>AY129*(1-IF(B129&gt;=in_marketplace_from,d_hz_sip*G129,0))</f>
        <v/>
      </c>
      <c r="AZ130" s="40">
        <f>AZ129*d_rho_sip+AY130*IF(B130&gt;=in_marketplace_from,d_hz_sip*G130,0)</f>
        <v/>
      </c>
      <c r="BA130" s="40">
        <f>d_rho_sip*(BA129+AZ129)</f>
        <v/>
      </c>
      <c r="BB130" s="14">
        <f>F130*in_sip_ticket*(BA130+0.5*AZ130)*in_sip_comm/12</f>
        <v/>
      </c>
      <c r="BC130" s="40">
        <f>BC129*(1-IF(B129&gt;=in_marketplace_from,d_hz_choti*G129,0))</f>
        <v/>
      </c>
      <c r="BD130" s="46">
        <f>BC130*IF(B130&gt;=in_marketplace_from,d_hz_choti*G130,0)</f>
        <v/>
      </c>
      <c r="BE130" s="14">
        <f>F130*SUMIFS(BD121:BD178,B121:B178,B130-in_choti_months)*in_choti_renew*in_choti_ticket</f>
        <v/>
      </c>
      <c r="BF130" s="40">
        <f>BF129*(1-IF(B129&gt;=in_marketplace_from,d_hz_nps*G129,0))</f>
        <v/>
      </c>
      <c r="BG130" s="14">
        <f>F130*BF130*IF(B130&gt;=in_marketplace_from,d_hz_nps*G130,0)*in_nps_ticket*in_nps_comm</f>
        <v/>
      </c>
      <c r="BH130" s="40">
        <f>BH129*(1-IF(B129&gt;=in_marketplace_from,d_hz_gold*G129,0))</f>
        <v/>
      </c>
      <c r="BI130" s="40">
        <f>BI129*d_rho_gold+BH130*IF(B130&gt;=in_marketplace_from,d_hz_gold*G130,0)</f>
        <v/>
      </c>
      <c r="BJ130" s="14">
        <f>F130*BI130*in_gold_ticket*in_gold_comm</f>
        <v/>
      </c>
      <c r="BK130" s="40">
        <f>BK129*(1-IF(B129&gt;=in_marketplace_from,d_hz_fd*G129,0))</f>
        <v/>
      </c>
      <c r="BL130" s="14">
        <f>F130*BK130*IF(B130&gt;=in_marketplace_from,d_hz_fd*G130,0)*in_fd_ticket*in_fd_comm</f>
        <v/>
      </c>
      <c r="BM130" s="40">
        <f>BM129*(1-IF(B129&gt;=in_marketplace_from,d_hz_recharge*G129,0))</f>
        <v/>
      </c>
      <c r="BN130" s="40">
        <f>BN129*d_rho_recharge+BM130*IF(B130&gt;=in_marketplace_from,d_hz_recharge*G130,0)</f>
        <v/>
      </c>
      <c r="BO130" s="14">
        <f>F130*BN130*in_recharge_ticket*in_recharge_comm/12</f>
        <v/>
      </c>
      <c r="BP130" s="40">
        <f>BP129*(1-IF(B129&gt;=in_marketplace_from,d_hz_bills*G129,0))</f>
        <v/>
      </c>
      <c r="BQ130" s="40">
        <f>BQ129*d_rho_bills+BP130*IF(B130&gt;=in_marketplace_from,d_hz_bills*G130,0)</f>
        <v/>
      </c>
      <c r="BR130" s="14">
        <f>F130*BQ130*in_bills_ticket*in_bills_comm/12</f>
        <v/>
      </c>
      <c r="BS130" s="40">
        <f>BS129*(1-IF(B129&gt;=in_marketplace_from,d_hz_loan_gold*G129,0))</f>
        <v/>
      </c>
      <c r="BT130" s="14">
        <f>F130*BS130*IF(B130&gt;=in_marketplace_from,d_hz_loan_gold*G130,0)*in_loan_gold_ticket*in_loan_gold_comm</f>
        <v/>
      </c>
      <c r="BU130" s="40">
        <f>BU129*(1-IF(B129&gt;=in_marketplace_from,d_hz_loan_cd*G129,0))</f>
        <v/>
      </c>
      <c r="BV130" s="14">
        <f>F130*BU130*IF(B130&gt;=in_marketplace_from,d_hz_loan_cd*G130,0)*in_loan_cd_ticket*in_loan_cd_comm</f>
        <v/>
      </c>
      <c r="BW130" s="40">
        <f>BW129*(1-IF(B129&gt;=in_marketplace_from,d_hz_loan_vehicle*G129,0))</f>
        <v/>
      </c>
      <c r="BX130" s="14">
        <f>F130*BW130*IF(B130&gt;=in_marketplace_from,d_hz_loan_vehicle*G130,0)*in_loan_vehicle_ticket*in_loan_vehicle_comm</f>
        <v/>
      </c>
      <c r="BY130" s="40">
        <f>BY129*(1-IF(B129&gt;=in_marketplace_from,d_hz_loan_home*G129,0)*BZ129)</f>
        <v/>
      </c>
      <c r="BZ130" s="11">
        <f>MIN(in_approval_cap,in_loan_home_approval*INDEX('Age profile'!$O$2:$O$61,B130)*(1+in_approval_growth)^(D130-1))</f>
        <v/>
      </c>
      <c r="CA130" s="14">
        <f>F130*BY130*IF(B130&gt;=in_marketplace_from,d_hz_loan_home*G130,0)*BZ130*in_loan_home_ticket*in_loan_home_comm</f>
        <v/>
      </c>
      <c r="CB130" s="40">
        <f>CB129*(1-IF(B129&gt;=in_marketplace_from,d_hz_loan_lap*G129,0)*CC129)</f>
        <v/>
      </c>
      <c r="CC130" s="11">
        <f>MIN(in_approval_cap,in_loan_lap_approval*INDEX('Age profile'!$O$2:$O$61,B130)*(1+in_approval_growth)^(D130-1))</f>
        <v/>
      </c>
      <c r="CD130" s="14">
        <f>F130*CB130*IF(B130&gt;=in_marketplace_from,d_hz_loan_lap*G130,0)*CC130*in_loan_lap_ticket*in_loan_lap_comm</f>
        <v/>
      </c>
      <c r="CE130" s="14">
        <f>AA130+AB130+AC130+AD130+AG130+AJ130+AM130+AP130+AS130+AU130+AX130+BB130+BE130+BG130+BJ130+BL130+BO130+BR130+BT130+BV130+BX130+CA130+CD130</f>
        <v/>
      </c>
    </row>
    <row r="131">
      <c r="A131" s="39" t="n">
        <v>3</v>
      </c>
      <c r="B131" s="39" t="n">
        <v>11</v>
      </c>
      <c r="C131" s="39">
        <f>A131+B131-1</f>
        <v/>
      </c>
      <c r="D131" s="39">
        <f>INT((C131-1)/12)+1</f>
        <v/>
      </c>
      <c r="E131" s="44">
        <f>INDEX(Monthly!$B$2:$B$61,A131)</f>
        <v/>
      </c>
      <c r="F131" s="44">
        <f>E131*INDEX('Age profile'!$B$2:$B$61,B131)</f>
        <v/>
      </c>
      <c r="G131" s="45">
        <f>MIN(in_takeup_cap,INDEX('Age profile'!$N$2:$N$61,B131)*(1+in_takeup_growth)^(D131-1))</f>
        <v/>
      </c>
      <c r="H131" s="11">
        <f>MIN(in_approval_cap,in_approved_first*INDEX('Age profile'!$O$2:$O$61,B131)*(1+in_approval_growth)^(D131-1))</f>
        <v/>
      </c>
      <c r="I131" s="45">
        <f>G131*MIN(in_takeup_cap,INDEX('Age profile'!$O$2:$O$61,B131)*(1+in_approval_growth)^(D131-1))</f>
        <v/>
      </c>
      <c r="J131" s="40">
        <f>(J130-L130)*F131/F130</f>
        <v/>
      </c>
      <c r="K131" s="40">
        <f>(K130-M130)*F131/F130+SUMIFS(O121:O130,B121:B130,B131-1-d_T)*F131</f>
        <v/>
      </c>
      <c r="L131" s="40">
        <f>IF(B131&gt;=in_marketplace_from,J131*d_hz*G131*in_eligible*H131,0)</f>
        <v/>
      </c>
      <c r="M131" s="40">
        <f>IF(B131&gt;=in_marketplace_from,K131*d_hz*G131*in_eligible*in_approved_repeat,0)</f>
        <v/>
      </c>
      <c r="N131" s="40">
        <f>L131+M131</f>
        <v/>
      </c>
      <c r="O131" s="46">
        <f>N131/F131</f>
        <v/>
      </c>
      <c r="P131" s="40">
        <f>F131-J131-K131</f>
        <v/>
      </c>
      <c r="Q131" s="40">
        <f>IF(B131&gt;=in_marketplace_from,(J131+K131)*d_hz*G131,0)</f>
        <v/>
      </c>
      <c r="R131" s="40">
        <f>SUMIFS(N121:N178,B121:B178,"&gt;="&amp;(B131-d_T),B121:B178,"&lt;="&amp;(B131-1))</f>
        <v/>
      </c>
      <c r="S131" s="46">
        <f>(1-d_u)*S130+IF(d_T&gt;in_topup_lag,SUMIFS(O121:O178,B121:B178,B131-in_topup_lag)-d_udrop*SUMIFS(O121:O178,B121:B178,B131-d_T),0)</f>
        <v/>
      </c>
      <c r="T131" s="40">
        <f>F131*d_u*S131</f>
        <v/>
      </c>
      <c r="U131" s="9">
        <f>L131*in_ticket+M131*d_rep_ticket</f>
        <v/>
      </c>
      <c r="V131" s="9">
        <f>U131+T131*d_topup_amt</f>
        <v/>
      </c>
      <c r="W131" s="40">
        <f>N131+T131*d_topup_ratio</f>
        <v/>
      </c>
      <c r="X131" s="40">
        <f>SUMIFS(W121:W178,B121:B178,B131-in_dpd_lag)*d_cured</f>
        <v/>
      </c>
      <c r="Y131" s="40">
        <f>SUMIFS(W121:W178,B121:B178,B131-in_rec_lag)*d_recd</f>
        <v/>
      </c>
      <c r="Z131" s="40">
        <f>IF(AND(B131&gt;=in_marketplace_from,B131&lt;in_marketplace_from+in_card_months),in_card_share/in_card_months*F131*I131,IF(AND(B131&gt;=in_marketplace_from+in_card_months,B131&lt;in_marketplace_from+2*in_card_months),in_card_share*d_card_rem/in_card_months*F131*MIN(in_takeup_cap,(1+in_takeup_growth)^(D131-1))*MIN(in_takeup_cap,(1+in_approval_growth)^(D131-1)),0))</f>
        <v/>
      </c>
      <c r="AA131" s="14">
        <f>V131*in_fee*(1-in_taken_back)</f>
        <v/>
      </c>
      <c r="AB131" s="14">
        <f>SUMIFS(W121:W178,B121:B178,B131-in_dpd_lag)*d_dpd</f>
        <v/>
      </c>
      <c r="AC131" s="14">
        <f>SUMIFS(W121:W178,B121:B178,B131-in_rec_lag)*d_rec</f>
        <v/>
      </c>
      <c r="AD131" s="14">
        <f>Z131*in_card_fee</f>
        <v/>
      </c>
      <c r="AE131" s="40">
        <f>AE130*(1-IF(B130&gt;=in_marketplace_from,d_hz_hlth_small*G130,0))</f>
        <v/>
      </c>
      <c r="AF131" s="46">
        <f>AE131*IF(B131&gt;=in_marketplace_from,d_hz_hlth_small*G131,0)</f>
        <v/>
      </c>
      <c r="AG131" s="14">
        <f>F131*AF131*in_hlth_small_ticket*in_hlth_small_comm*in_ins_partner_share+F131*in_hlth_small_ticket*in_hlth_small_renew_comm*in_ins_partner_share*(in_hlth_small_renew^1*SUMIFS(AF121:AF178,B121:B178,B131-12)+in_hlth_small_renew^2*SUMIFS(AF121:AF178,B121:B178,B131-24)+in_hlth_small_renew^3*SUMIFS(AF121:AF178,B121:B178,B131-36)+in_hlth_small_renew^4*SUMIFS(AF121:AF178,B121:B178,B131-48))</f>
        <v/>
      </c>
      <c r="AH131" s="40">
        <f>AH130*(1-IF(B130&gt;=in_marketplace_from,d_hz_hlth_family*G130,0))</f>
        <v/>
      </c>
      <c r="AI131" s="46">
        <f>AH131*IF(B131&gt;=in_marketplace_from,d_hz_hlth_family*G131,0)</f>
        <v/>
      </c>
      <c r="AJ131" s="14">
        <f>F131*AI131*in_hlth_family_ticket*in_hlth_family_comm*in_ins_partner_share+F131*in_hlth_family_ticket*in_hlth_family_renew_comm*in_ins_partner_share*(in_hlth_family_renew^1*SUMIFS(AI121:AI178,B121:B178,B131-12)+in_hlth_family_renew^2*SUMIFS(AI121:AI178,B121:B178,B131-24)+in_hlth_family_renew^3*SUMIFS(AI121:AI178,B121:B178,B131-36)+in_hlth_family_renew^4*SUMIFS(AI121:AI178,B121:B178,B131-48))</f>
        <v/>
      </c>
      <c r="AK131" s="40">
        <f>AK130*(1-IF(B130&gt;=in_marketplace_from,d_hz_life_term*G130,0))</f>
        <v/>
      </c>
      <c r="AL131" s="46">
        <f>AK131*IF(B131&gt;=in_marketplace_from,d_hz_life_term*G131,0)</f>
        <v/>
      </c>
      <c r="AM131" s="14">
        <f>F131*AL131*in_life_term_ticket*in_life_term_comm*in_ins_partner_share+F131*in_life_term_ticket*in_life_term_renew_comm*in_ins_partner_share*(in_life_term_renew^1*SUMIFS(AL121:AL178,B121:B178,B131-12)+in_life_term_renew^2*SUMIFS(AL121:AL178,B121:B178,B131-24)+in_life_term_renew^3*SUMIFS(AL121:AL178,B121:B178,B131-36)+in_life_term_renew^4*SUMIFS(AL121:AL178,B121:B178,B131-48))</f>
        <v/>
      </c>
      <c r="AN131" s="40">
        <f>AN130*(1-IF(B130&gt;=in_marketplace_from,d_hz_accident*G130,0))</f>
        <v/>
      </c>
      <c r="AO131" s="46">
        <f>AN131*IF(B131&gt;=in_marketplace_from,d_hz_accident*G131,0)</f>
        <v/>
      </c>
      <c r="AP131" s="14">
        <f>F131*AO131*in_accident_ticket*in_accident_comm*in_ins_partner_share+F131*in_accident_ticket*in_accident_renew_comm*in_ins_partner_share*(in_accident_renew^1*SUMIFS(AO121:AO178,B121:B178,B131-12)+in_accident_renew^2*SUMIFS(AO121:AO178,B121:B178,B131-24)+in_accident_renew^3*SUMIFS(AO121:AO178,B121:B178,B131-36)+in_accident_renew^4*SUMIFS(AO121:AO178,B121:B178,B131-48))</f>
        <v/>
      </c>
      <c r="AQ131" s="40">
        <f>AQ130*(1-IF(B130&gt;=in_marketplace_from,d_hz_two_wheeler*G130,0))</f>
        <v/>
      </c>
      <c r="AR131" s="46">
        <f>AQ131*IF(B131&gt;=in_marketplace_from,d_hz_two_wheeler*G131,0)</f>
        <v/>
      </c>
      <c r="AS131" s="14">
        <f>F131*AR131*in_two_wheeler_ticket*in_two_wheeler_comm*in_ins_partner_share+F131*in_two_wheeler_ticket*in_two_wheeler_comm*in_ins_partner_share*(in_two_wheeler_renew^1*SUMIFS(AR121:AR178,B121:B178,B131-12)+in_two_wheeler_renew^2*SUMIFS(AR121:AR178,B121:B178,B131-24)+in_two_wheeler_renew^3*SUMIFS(AR121:AR178,B121:B178,B131-36)+in_two_wheeler_renew^4*SUMIFS(AR121:AR178,B121:B178,B131-48))</f>
        <v/>
      </c>
      <c r="AT131" s="40">
        <f>AT130*(1-IF(B130&gt;=in_marketplace_from,d_hz_device*G130,0))</f>
        <v/>
      </c>
      <c r="AU131" s="14">
        <f>F131*AT131*IF(B131&gt;=in_marketplace_from,d_hz_device*G131,0)*in_device_ticket*in_device_comm*in_ins_partner_share</f>
        <v/>
      </c>
      <c r="AV131" s="40">
        <f>AV130*(1-IF(B130&gt;=in_marketplace_from,d_hz_shop*G130,0))</f>
        <v/>
      </c>
      <c r="AW131" s="46">
        <f>AV131*IF(B131&gt;=in_marketplace_from,d_hz_shop*G131,0)</f>
        <v/>
      </c>
      <c r="AX131" s="14">
        <f>F131*AW131*in_shop_ticket*in_shop_comm*in_ins_partner_share+F131*in_shop_ticket*in_shop_renew_comm*in_ins_partner_share*(in_shop_renew^1*SUMIFS(AW121:AW178,B121:B178,B131-12)+in_shop_renew^2*SUMIFS(AW121:AW178,B121:B178,B131-24)+in_shop_renew^3*SUMIFS(AW121:AW178,B121:B178,B131-36)+in_shop_renew^4*SUMIFS(AW121:AW178,B121:B178,B131-48))</f>
        <v/>
      </c>
      <c r="AY131" s="40">
        <f>AY130*(1-IF(B130&gt;=in_marketplace_from,d_hz_sip*G130,0))</f>
        <v/>
      </c>
      <c r="AZ131" s="40">
        <f>AZ130*d_rho_sip+AY131*IF(B131&gt;=in_marketplace_from,d_hz_sip*G131,0)</f>
        <v/>
      </c>
      <c r="BA131" s="40">
        <f>d_rho_sip*(BA130+AZ130)</f>
        <v/>
      </c>
      <c r="BB131" s="14">
        <f>F131*in_sip_ticket*(BA131+0.5*AZ131)*in_sip_comm/12</f>
        <v/>
      </c>
      <c r="BC131" s="40">
        <f>BC130*(1-IF(B130&gt;=in_marketplace_from,d_hz_choti*G130,0))</f>
        <v/>
      </c>
      <c r="BD131" s="46">
        <f>BC131*IF(B131&gt;=in_marketplace_from,d_hz_choti*G131,0)</f>
        <v/>
      </c>
      <c r="BE131" s="14">
        <f>F131*SUMIFS(BD121:BD178,B121:B178,B131-in_choti_months)*in_choti_renew*in_choti_ticket</f>
        <v/>
      </c>
      <c r="BF131" s="40">
        <f>BF130*(1-IF(B130&gt;=in_marketplace_from,d_hz_nps*G130,0))</f>
        <v/>
      </c>
      <c r="BG131" s="14">
        <f>F131*BF131*IF(B131&gt;=in_marketplace_from,d_hz_nps*G131,0)*in_nps_ticket*in_nps_comm</f>
        <v/>
      </c>
      <c r="BH131" s="40">
        <f>BH130*(1-IF(B130&gt;=in_marketplace_from,d_hz_gold*G130,0))</f>
        <v/>
      </c>
      <c r="BI131" s="40">
        <f>BI130*d_rho_gold+BH131*IF(B131&gt;=in_marketplace_from,d_hz_gold*G131,0)</f>
        <v/>
      </c>
      <c r="BJ131" s="14">
        <f>F131*BI131*in_gold_ticket*in_gold_comm</f>
        <v/>
      </c>
      <c r="BK131" s="40">
        <f>BK130*(1-IF(B130&gt;=in_marketplace_from,d_hz_fd*G130,0))</f>
        <v/>
      </c>
      <c r="BL131" s="14">
        <f>F131*BK131*IF(B131&gt;=in_marketplace_from,d_hz_fd*G131,0)*in_fd_ticket*in_fd_comm</f>
        <v/>
      </c>
      <c r="BM131" s="40">
        <f>BM130*(1-IF(B130&gt;=in_marketplace_from,d_hz_recharge*G130,0))</f>
        <v/>
      </c>
      <c r="BN131" s="40">
        <f>BN130*d_rho_recharge+BM131*IF(B131&gt;=in_marketplace_from,d_hz_recharge*G131,0)</f>
        <v/>
      </c>
      <c r="BO131" s="14">
        <f>F131*BN131*in_recharge_ticket*in_recharge_comm/12</f>
        <v/>
      </c>
      <c r="BP131" s="40">
        <f>BP130*(1-IF(B130&gt;=in_marketplace_from,d_hz_bills*G130,0))</f>
        <v/>
      </c>
      <c r="BQ131" s="40">
        <f>BQ130*d_rho_bills+BP131*IF(B131&gt;=in_marketplace_from,d_hz_bills*G131,0)</f>
        <v/>
      </c>
      <c r="BR131" s="14">
        <f>F131*BQ131*in_bills_ticket*in_bills_comm/12</f>
        <v/>
      </c>
      <c r="BS131" s="40">
        <f>BS130*(1-IF(B130&gt;=in_marketplace_from,d_hz_loan_gold*G130,0))</f>
        <v/>
      </c>
      <c r="BT131" s="14">
        <f>F131*BS131*IF(B131&gt;=in_marketplace_from,d_hz_loan_gold*G131,0)*in_loan_gold_ticket*in_loan_gold_comm</f>
        <v/>
      </c>
      <c r="BU131" s="40">
        <f>BU130*(1-IF(B130&gt;=in_marketplace_from,d_hz_loan_cd*G130,0))</f>
        <v/>
      </c>
      <c r="BV131" s="14">
        <f>F131*BU131*IF(B131&gt;=in_marketplace_from,d_hz_loan_cd*G131,0)*in_loan_cd_ticket*in_loan_cd_comm</f>
        <v/>
      </c>
      <c r="BW131" s="40">
        <f>BW130*(1-IF(B130&gt;=in_marketplace_from,d_hz_loan_vehicle*G130,0))</f>
        <v/>
      </c>
      <c r="BX131" s="14">
        <f>F131*BW131*IF(B131&gt;=in_marketplace_from,d_hz_loan_vehicle*G131,0)*in_loan_vehicle_ticket*in_loan_vehicle_comm</f>
        <v/>
      </c>
      <c r="BY131" s="40">
        <f>BY130*(1-IF(B130&gt;=in_marketplace_from,d_hz_loan_home*G130,0)*BZ130)</f>
        <v/>
      </c>
      <c r="BZ131" s="11">
        <f>MIN(in_approval_cap,in_loan_home_approval*INDEX('Age profile'!$O$2:$O$61,B131)*(1+in_approval_growth)^(D131-1))</f>
        <v/>
      </c>
      <c r="CA131" s="14">
        <f>F131*BY131*IF(B131&gt;=in_marketplace_from,d_hz_loan_home*G131,0)*BZ131*in_loan_home_ticket*in_loan_home_comm</f>
        <v/>
      </c>
      <c r="CB131" s="40">
        <f>CB130*(1-IF(B130&gt;=in_marketplace_from,d_hz_loan_lap*G130,0)*CC130)</f>
        <v/>
      </c>
      <c r="CC131" s="11">
        <f>MIN(in_approval_cap,in_loan_lap_approval*INDEX('Age profile'!$O$2:$O$61,B131)*(1+in_approval_growth)^(D131-1))</f>
        <v/>
      </c>
      <c r="CD131" s="14">
        <f>F131*CB131*IF(B131&gt;=in_marketplace_from,d_hz_loan_lap*G131,0)*CC131*in_loan_lap_ticket*in_loan_lap_comm</f>
        <v/>
      </c>
      <c r="CE131" s="14">
        <f>AA131+AB131+AC131+AD131+AG131+AJ131+AM131+AP131+AS131+AU131+AX131+BB131+BE131+BG131+BJ131+BL131+BO131+BR131+BT131+BV131+BX131+CA131+CD131</f>
        <v/>
      </c>
    </row>
    <row r="132">
      <c r="A132" s="39" t="n">
        <v>3</v>
      </c>
      <c r="B132" s="39" t="n">
        <v>12</v>
      </c>
      <c r="C132" s="39">
        <f>A132+B132-1</f>
        <v/>
      </c>
      <c r="D132" s="39">
        <f>INT((C132-1)/12)+1</f>
        <v/>
      </c>
      <c r="E132" s="44">
        <f>INDEX(Monthly!$B$2:$B$61,A132)</f>
        <v/>
      </c>
      <c r="F132" s="44">
        <f>E132*INDEX('Age profile'!$B$2:$B$61,B132)</f>
        <v/>
      </c>
      <c r="G132" s="45">
        <f>MIN(in_takeup_cap,INDEX('Age profile'!$N$2:$N$61,B132)*(1+in_takeup_growth)^(D132-1))</f>
        <v/>
      </c>
      <c r="H132" s="11">
        <f>MIN(in_approval_cap,in_approved_first*INDEX('Age profile'!$O$2:$O$61,B132)*(1+in_approval_growth)^(D132-1))</f>
        <v/>
      </c>
      <c r="I132" s="45">
        <f>G132*MIN(in_takeup_cap,INDEX('Age profile'!$O$2:$O$61,B132)*(1+in_approval_growth)^(D132-1))</f>
        <v/>
      </c>
      <c r="J132" s="40">
        <f>(J131-L131)*F132/F131</f>
        <v/>
      </c>
      <c r="K132" s="40">
        <f>(K131-M131)*F132/F131+SUMIFS(O121:O131,B121:B131,B132-1-d_T)*F132</f>
        <v/>
      </c>
      <c r="L132" s="40">
        <f>IF(B132&gt;=in_marketplace_from,J132*d_hz*G132*in_eligible*H132,0)</f>
        <v/>
      </c>
      <c r="M132" s="40">
        <f>IF(B132&gt;=in_marketplace_from,K132*d_hz*G132*in_eligible*in_approved_repeat,0)</f>
        <v/>
      </c>
      <c r="N132" s="40">
        <f>L132+M132</f>
        <v/>
      </c>
      <c r="O132" s="46">
        <f>N132/F132</f>
        <v/>
      </c>
      <c r="P132" s="40">
        <f>F132-J132-K132</f>
        <v/>
      </c>
      <c r="Q132" s="40">
        <f>IF(B132&gt;=in_marketplace_from,(J132+K132)*d_hz*G132,0)</f>
        <v/>
      </c>
      <c r="R132" s="40">
        <f>SUMIFS(N121:N178,B121:B178,"&gt;="&amp;(B132-d_T),B121:B178,"&lt;="&amp;(B132-1))</f>
        <v/>
      </c>
      <c r="S132" s="46">
        <f>(1-d_u)*S131+IF(d_T&gt;in_topup_lag,SUMIFS(O121:O178,B121:B178,B132-in_topup_lag)-d_udrop*SUMIFS(O121:O178,B121:B178,B132-d_T),0)</f>
        <v/>
      </c>
      <c r="T132" s="40">
        <f>F132*d_u*S132</f>
        <v/>
      </c>
      <c r="U132" s="9">
        <f>L132*in_ticket+M132*d_rep_ticket</f>
        <v/>
      </c>
      <c r="V132" s="9">
        <f>U132+T132*d_topup_amt</f>
        <v/>
      </c>
      <c r="W132" s="40">
        <f>N132+T132*d_topup_ratio</f>
        <v/>
      </c>
      <c r="X132" s="40">
        <f>SUMIFS(W121:W178,B121:B178,B132-in_dpd_lag)*d_cured</f>
        <v/>
      </c>
      <c r="Y132" s="40">
        <f>SUMIFS(W121:W178,B121:B178,B132-in_rec_lag)*d_recd</f>
        <v/>
      </c>
      <c r="Z132" s="40">
        <f>IF(AND(B132&gt;=in_marketplace_from,B132&lt;in_marketplace_from+in_card_months),in_card_share/in_card_months*F132*I132,IF(AND(B132&gt;=in_marketplace_from+in_card_months,B132&lt;in_marketplace_from+2*in_card_months),in_card_share*d_card_rem/in_card_months*F132*MIN(in_takeup_cap,(1+in_takeup_growth)^(D132-1))*MIN(in_takeup_cap,(1+in_approval_growth)^(D132-1)),0))</f>
        <v/>
      </c>
      <c r="AA132" s="14">
        <f>V132*in_fee*(1-in_taken_back)</f>
        <v/>
      </c>
      <c r="AB132" s="14">
        <f>SUMIFS(W121:W178,B121:B178,B132-in_dpd_lag)*d_dpd</f>
        <v/>
      </c>
      <c r="AC132" s="14">
        <f>SUMIFS(W121:W178,B121:B178,B132-in_rec_lag)*d_rec</f>
        <v/>
      </c>
      <c r="AD132" s="14">
        <f>Z132*in_card_fee</f>
        <v/>
      </c>
      <c r="AE132" s="40">
        <f>AE131*(1-IF(B131&gt;=in_marketplace_from,d_hz_hlth_small*G131,0))</f>
        <v/>
      </c>
      <c r="AF132" s="46">
        <f>AE132*IF(B132&gt;=in_marketplace_from,d_hz_hlth_small*G132,0)</f>
        <v/>
      </c>
      <c r="AG132" s="14">
        <f>F132*AF132*in_hlth_small_ticket*in_hlth_small_comm*in_ins_partner_share+F132*in_hlth_small_ticket*in_hlth_small_renew_comm*in_ins_partner_share*(in_hlth_small_renew^1*SUMIFS(AF121:AF178,B121:B178,B132-12)+in_hlth_small_renew^2*SUMIFS(AF121:AF178,B121:B178,B132-24)+in_hlth_small_renew^3*SUMIFS(AF121:AF178,B121:B178,B132-36)+in_hlth_small_renew^4*SUMIFS(AF121:AF178,B121:B178,B132-48))</f>
        <v/>
      </c>
      <c r="AH132" s="40">
        <f>AH131*(1-IF(B131&gt;=in_marketplace_from,d_hz_hlth_family*G131,0))</f>
        <v/>
      </c>
      <c r="AI132" s="46">
        <f>AH132*IF(B132&gt;=in_marketplace_from,d_hz_hlth_family*G132,0)</f>
        <v/>
      </c>
      <c r="AJ132" s="14">
        <f>F132*AI132*in_hlth_family_ticket*in_hlth_family_comm*in_ins_partner_share+F132*in_hlth_family_ticket*in_hlth_family_renew_comm*in_ins_partner_share*(in_hlth_family_renew^1*SUMIFS(AI121:AI178,B121:B178,B132-12)+in_hlth_family_renew^2*SUMIFS(AI121:AI178,B121:B178,B132-24)+in_hlth_family_renew^3*SUMIFS(AI121:AI178,B121:B178,B132-36)+in_hlth_family_renew^4*SUMIFS(AI121:AI178,B121:B178,B132-48))</f>
        <v/>
      </c>
      <c r="AK132" s="40">
        <f>AK131*(1-IF(B131&gt;=in_marketplace_from,d_hz_life_term*G131,0))</f>
        <v/>
      </c>
      <c r="AL132" s="46">
        <f>AK132*IF(B132&gt;=in_marketplace_from,d_hz_life_term*G132,0)</f>
        <v/>
      </c>
      <c r="AM132" s="14">
        <f>F132*AL132*in_life_term_ticket*in_life_term_comm*in_ins_partner_share+F132*in_life_term_ticket*in_life_term_renew_comm*in_ins_partner_share*(in_life_term_renew^1*SUMIFS(AL121:AL178,B121:B178,B132-12)+in_life_term_renew^2*SUMIFS(AL121:AL178,B121:B178,B132-24)+in_life_term_renew^3*SUMIFS(AL121:AL178,B121:B178,B132-36)+in_life_term_renew^4*SUMIFS(AL121:AL178,B121:B178,B132-48))</f>
        <v/>
      </c>
      <c r="AN132" s="40">
        <f>AN131*(1-IF(B131&gt;=in_marketplace_from,d_hz_accident*G131,0))</f>
        <v/>
      </c>
      <c r="AO132" s="46">
        <f>AN132*IF(B132&gt;=in_marketplace_from,d_hz_accident*G132,0)</f>
        <v/>
      </c>
      <c r="AP132" s="14">
        <f>F132*AO132*in_accident_ticket*in_accident_comm*in_ins_partner_share+F132*in_accident_ticket*in_accident_renew_comm*in_ins_partner_share*(in_accident_renew^1*SUMIFS(AO121:AO178,B121:B178,B132-12)+in_accident_renew^2*SUMIFS(AO121:AO178,B121:B178,B132-24)+in_accident_renew^3*SUMIFS(AO121:AO178,B121:B178,B132-36)+in_accident_renew^4*SUMIFS(AO121:AO178,B121:B178,B132-48))</f>
        <v/>
      </c>
      <c r="AQ132" s="40">
        <f>AQ131*(1-IF(B131&gt;=in_marketplace_from,d_hz_two_wheeler*G131,0))</f>
        <v/>
      </c>
      <c r="AR132" s="46">
        <f>AQ132*IF(B132&gt;=in_marketplace_from,d_hz_two_wheeler*G132,0)</f>
        <v/>
      </c>
      <c r="AS132" s="14">
        <f>F132*AR132*in_two_wheeler_ticket*in_two_wheeler_comm*in_ins_partner_share+F132*in_two_wheeler_ticket*in_two_wheeler_comm*in_ins_partner_share*(in_two_wheeler_renew^1*SUMIFS(AR121:AR178,B121:B178,B132-12)+in_two_wheeler_renew^2*SUMIFS(AR121:AR178,B121:B178,B132-24)+in_two_wheeler_renew^3*SUMIFS(AR121:AR178,B121:B178,B132-36)+in_two_wheeler_renew^4*SUMIFS(AR121:AR178,B121:B178,B132-48))</f>
        <v/>
      </c>
      <c r="AT132" s="40">
        <f>AT131*(1-IF(B131&gt;=in_marketplace_from,d_hz_device*G131,0))</f>
        <v/>
      </c>
      <c r="AU132" s="14">
        <f>F132*AT132*IF(B132&gt;=in_marketplace_from,d_hz_device*G132,0)*in_device_ticket*in_device_comm*in_ins_partner_share</f>
        <v/>
      </c>
      <c r="AV132" s="40">
        <f>AV131*(1-IF(B131&gt;=in_marketplace_from,d_hz_shop*G131,0))</f>
        <v/>
      </c>
      <c r="AW132" s="46">
        <f>AV132*IF(B132&gt;=in_marketplace_from,d_hz_shop*G132,0)</f>
        <v/>
      </c>
      <c r="AX132" s="14">
        <f>F132*AW132*in_shop_ticket*in_shop_comm*in_ins_partner_share+F132*in_shop_ticket*in_shop_renew_comm*in_ins_partner_share*(in_shop_renew^1*SUMIFS(AW121:AW178,B121:B178,B132-12)+in_shop_renew^2*SUMIFS(AW121:AW178,B121:B178,B132-24)+in_shop_renew^3*SUMIFS(AW121:AW178,B121:B178,B132-36)+in_shop_renew^4*SUMIFS(AW121:AW178,B121:B178,B132-48))</f>
        <v/>
      </c>
      <c r="AY132" s="40">
        <f>AY131*(1-IF(B131&gt;=in_marketplace_from,d_hz_sip*G131,0))</f>
        <v/>
      </c>
      <c r="AZ132" s="40">
        <f>AZ131*d_rho_sip+AY132*IF(B132&gt;=in_marketplace_from,d_hz_sip*G132,0)</f>
        <v/>
      </c>
      <c r="BA132" s="40">
        <f>d_rho_sip*(BA131+AZ131)</f>
        <v/>
      </c>
      <c r="BB132" s="14">
        <f>F132*in_sip_ticket*(BA132+0.5*AZ132)*in_sip_comm/12</f>
        <v/>
      </c>
      <c r="BC132" s="40">
        <f>BC131*(1-IF(B131&gt;=in_marketplace_from,d_hz_choti*G131,0))</f>
        <v/>
      </c>
      <c r="BD132" s="46">
        <f>BC132*IF(B132&gt;=in_marketplace_from,d_hz_choti*G132,0)</f>
        <v/>
      </c>
      <c r="BE132" s="14">
        <f>F132*SUMIFS(BD121:BD178,B121:B178,B132-in_choti_months)*in_choti_renew*in_choti_ticket</f>
        <v/>
      </c>
      <c r="BF132" s="40">
        <f>BF131*(1-IF(B131&gt;=in_marketplace_from,d_hz_nps*G131,0))</f>
        <v/>
      </c>
      <c r="BG132" s="14">
        <f>F132*BF132*IF(B132&gt;=in_marketplace_from,d_hz_nps*G132,0)*in_nps_ticket*in_nps_comm</f>
        <v/>
      </c>
      <c r="BH132" s="40">
        <f>BH131*(1-IF(B131&gt;=in_marketplace_from,d_hz_gold*G131,0))</f>
        <v/>
      </c>
      <c r="BI132" s="40">
        <f>BI131*d_rho_gold+BH132*IF(B132&gt;=in_marketplace_from,d_hz_gold*G132,0)</f>
        <v/>
      </c>
      <c r="BJ132" s="14">
        <f>F132*BI132*in_gold_ticket*in_gold_comm</f>
        <v/>
      </c>
      <c r="BK132" s="40">
        <f>BK131*(1-IF(B131&gt;=in_marketplace_from,d_hz_fd*G131,0))</f>
        <v/>
      </c>
      <c r="BL132" s="14">
        <f>F132*BK132*IF(B132&gt;=in_marketplace_from,d_hz_fd*G132,0)*in_fd_ticket*in_fd_comm</f>
        <v/>
      </c>
      <c r="BM132" s="40">
        <f>BM131*(1-IF(B131&gt;=in_marketplace_from,d_hz_recharge*G131,0))</f>
        <v/>
      </c>
      <c r="BN132" s="40">
        <f>BN131*d_rho_recharge+BM132*IF(B132&gt;=in_marketplace_from,d_hz_recharge*G132,0)</f>
        <v/>
      </c>
      <c r="BO132" s="14">
        <f>F132*BN132*in_recharge_ticket*in_recharge_comm/12</f>
        <v/>
      </c>
      <c r="BP132" s="40">
        <f>BP131*(1-IF(B131&gt;=in_marketplace_from,d_hz_bills*G131,0))</f>
        <v/>
      </c>
      <c r="BQ132" s="40">
        <f>BQ131*d_rho_bills+BP132*IF(B132&gt;=in_marketplace_from,d_hz_bills*G132,0)</f>
        <v/>
      </c>
      <c r="BR132" s="14">
        <f>F132*BQ132*in_bills_ticket*in_bills_comm/12</f>
        <v/>
      </c>
      <c r="BS132" s="40">
        <f>BS131*(1-IF(B131&gt;=in_marketplace_from,d_hz_loan_gold*G131,0))</f>
        <v/>
      </c>
      <c r="BT132" s="14">
        <f>F132*BS132*IF(B132&gt;=in_marketplace_from,d_hz_loan_gold*G132,0)*in_loan_gold_ticket*in_loan_gold_comm</f>
        <v/>
      </c>
      <c r="BU132" s="40">
        <f>BU131*(1-IF(B131&gt;=in_marketplace_from,d_hz_loan_cd*G131,0))</f>
        <v/>
      </c>
      <c r="BV132" s="14">
        <f>F132*BU132*IF(B132&gt;=in_marketplace_from,d_hz_loan_cd*G132,0)*in_loan_cd_ticket*in_loan_cd_comm</f>
        <v/>
      </c>
      <c r="BW132" s="40">
        <f>BW131*(1-IF(B131&gt;=in_marketplace_from,d_hz_loan_vehicle*G131,0))</f>
        <v/>
      </c>
      <c r="BX132" s="14">
        <f>F132*BW132*IF(B132&gt;=in_marketplace_from,d_hz_loan_vehicle*G132,0)*in_loan_vehicle_ticket*in_loan_vehicle_comm</f>
        <v/>
      </c>
      <c r="BY132" s="40">
        <f>BY131*(1-IF(B131&gt;=in_marketplace_from,d_hz_loan_home*G131,0)*BZ131)</f>
        <v/>
      </c>
      <c r="BZ132" s="11">
        <f>MIN(in_approval_cap,in_loan_home_approval*INDEX('Age profile'!$O$2:$O$61,B132)*(1+in_approval_growth)^(D132-1))</f>
        <v/>
      </c>
      <c r="CA132" s="14">
        <f>F132*BY132*IF(B132&gt;=in_marketplace_from,d_hz_loan_home*G132,0)*BZ132*in_loan_home_ticket*in_loan_home_comm</f>
        <v/>
      </c>
      <c r="CB132" s="40">
        <f>CB131*(1-IF(B131&gt;=in_marketplace_from,d_hz_loan_lap*G131,0)*CC131)</f>
        <v/>
      </c>
      <c r="CC132" s="11">
        <f>MIN(in_approval_cap,in_loan_lap_approval*INDEX('Age profile'!$O$2:$O$61,B132)*(1+in_approval_growth)^(D132-1))</f>
        <v/>
      </c>
      <c r="CD132" s="14">
        <f>F132*CB132*IF(B132&gt;=in_marketplace_from,d_hz_loan_lap*G132,0)*CC132*in_loan_lap_ticket*in_loan_lap_comm</f>
        <v/>
      </c>
      <c r="CE132" s="14">
        <f>AA132+AB132+AC132+AD132+AG132+AJ132+AM132+AP132+AS132+AU132+AX132+BB132+BE132+BG132+BJ132+BL132+BO132+BR132+BT132+BV132+BX132+CA132+CD132</f>
        <v/>
      </c>
    </row>
    <row r="133">
      <c r="A133" s="39" t="n">
        <v>3</v>
      </c>
      <c r="B133" s="39" t="n">
        <v>13</v>
      </c>
      <c r="C133" s="39">
        <f>A133+B133-1</f>
        <v/>
      </c>
      <c r="D133" s="39">
        <f>INT((C133-1)/12)+1</f>
        <v/>
      </c>
      <c r="E133" s="44">
        <f>INDEX(Monthly!$B$2:$B$61,A133)</f>
        <v/>
      </c>
      <c r="F133" s="44">
        <f>E133*INDEX('Age profile'!$B$2:$B$61,B133)</f>
        <v/>
      </c>
      <c r="G133" s="45">
        <f>MIN(in_takeup_cap,INDEX('Age profile'!$N$2:$N$61,B133)*(1+in_takeup_growth)^(D133-1))</f>
        <v/>
      </c>
      <c r="H133" s="11">
        <f>MIN(in_approval_cap,in_approved_first*INDEX('Age profile'!$O$2:$O$61,B133)*(1+in_approval_growth)^(D133-1))</f>
        <v/>
      </c>
      <c r="I133" s="45">
        <f>G133*MIN(in_takeup_cap,INDEX('Age profile'!$O$2:$O$61,B133)*(1+in_approval_growth)^(D133-1))</f>
        <v/>
      </c>
      <c r="J133" s="40">
        <f>(J132-L132)*F133/F132</f>
        <v/>
      </c>
      <c r="K133" s="40">
        <f>(K132-M132)*F133/F132+SUMIFS(O121:O132,B121:B132,B133-1-d_T)*F133</f>
        <v/>
      </c>
      <c r="L133" s="40">
        <f>IF(B133&gt;=in_marketplace_from,J133*d_hz*G133*in_eligible*H133,0)</f>
        <v/>
      </c>
      <c r="M133" s="40">
        <f>IF(B133&gt;=in_marketplace_from,K133*d_hz*G133*in_eligible*in_approved_repeat,0)</f>
        <v/>
      </c>
      <c r="N133" s="40">
        <f>L133+M133</f>
        <v/>
      </c>
      <c r="O133" s="46">
        <f>N133/F133</f>
        <v/>
      </c>
      <c r="P133" s="40">
        <f>F133-J133-K133</f>
        <v/>
      </c>
      <c r="Q133" s="40">
        <f>IF(B133&gt;=in_marketplace_from,(J133+K133)*d_hz*G133,0)</f>
        <v/>
      </c>
      <c r="R133" s="40">
        <f>SUMIFS(N121:N178,B121:B178,"&gt;="&amp;(B133-d_T),B121:B178,"&lt;="&amp;(B133-1))</f>
        <v/>
      </c>
      <c r="S133" s="46">
        <f>(1-d_u)*S132+IF(d_T&gt;in_topup_lag,SUMIFS(O121:O178,B121:B178,B133-in_topup_lag)-d_udrop*SUMIFS(O121:O178,B121:B178,B133-d_T),0)</f>
        <v/>
      </c>
      <c r="T133" s="40">
        <f>F133*d_u*S133</f>
        <v/>
      </c>
      <c r="U133" s="9">
        <f>L133*in_ticket+M133*d_rep_ticket</f>
        <v/>
      </c>
      <c r="V133" s="9">
        <f>U133+T133*d_topup_amt</f>
        <v/>
      </c>
      <c r="W133" s="40">
        <f>N133+T133*d_topup_ratio</f>
        <v/>
      </c>
      <c r="X133" s="40">
        <f>SUMIFS(W121:W178,B121:B178,B133-in_dpd_lag)*d_cured</f>
        <v/>
      </c>
      <c r="Y133" s="40">
        <f>SUMIFS(W121:W178,B121:B178,B133-in_rec_lag)*d_recd</f>
        <v/>
      </c>
      <c r="Z133" s="40">
        <f>IF(AND(B133&gt;=in_marketplace_from,B133&lt;in_marketplace_from+in_card_months),in_card_share/in_card_months*F133*I133,IF(AND(B133&gt;=in_marketplace_from+in_card_months,B133&lt;in_marketplace_from+2*in_card_months),in_card_share*d_card_rem/in_card_months*F133*MIN(in_takeup_cap,(1+in_takeup_growth)^(D133-1))*MIN(in_takeup_cap,(1+in_approval_growth)^(D133-1)),0))</f>
        <v/>
      </c>
      <c r="AA133" s="14">
        <f>V133*in_fee*(1-in_taken_back)</f>
        <v/>
      </c>
      <c r="AB133" s="14">
        <f>SUMIFS(W121:W178,B121:B178,B133-in_dpd_lag)*d_dpd</f>
        <v/>
      </c>
      <c r="AC133" s="14">
        <f>SUMIFS(W121:W178,B121:B178,B133-in_rec_lag)*d_rec</f>
        <v/>
      </c>
      <c r="AD133" s="14">
        <f>Z133*in_card_fee</f>
        <v/>
      </c>
      <c r="AE133" s="40">
        <f>AE132*(1-IF(B132&gt;=in_marketplace_from,d_hz_hlth_small*G132,0))</f>
        <v/>
      </c>
      <c r="AF133" s="46">
        <f>AE133*IF(B133&gt;=in_marketplace_from,d_hz_hlth_small*G133,0)</f>
        <v/>
      </c>
      <c r="AG133" s="14">
        <f>F133*AF133*in_hlth_small_ticket*in_hlth_small_comm*in_ins_partner_share+F133*in_hlth_small_ticket*in_hlth_small_renew_comm*in_ins_partner_share*(in_hlth_small_renew^1*SUMIFS(AF121:AF178,B121:B178,B133-12)+in_hlth_small_renew^2*SUMIFS(AF121:AF178,B121:B178,B133-24)+in_hlth_small_renew^3*SUMIFS(AF121:AF178,B121:B178,B133-36)+in_hlth_small_renew^4*SUMIFS(AF121:AF178,B121:B178,B133-48))</f>
        <v/>
      </c>
      <c r="AH133" s="40">
        <f>AH132*(1-IF(B132&gt;=in_marketplace_from,d_hz_hlth_family*G132,0))</f>
        <v/>
      </c>
      <c r="AI133" s="46">
        <f>AH133*IF(B133&gt;=in_marketplace_from,d_hz_hlth_family*G133,0)</f>
        <v/>
      </c>
      <c r="AJ133" s="14">
        <f>F133*AI133*in_hlth_family_ticket*in_hlth_family_comm*in_ins_partner_share+F133*in_hlth_family_ticket*in_hlth_family_renew_comm*in_ins_partner_share*(in_hlth_family_renew^1*SUMIFS(AI121:AI178,B121:B178,B133-12)+in_hlth_family_renew^2*SUMIFS(AI121:AI178,B121:B178,B133-24)+in_hlth_family_renew^3*SUMIFS(AI121:AI178,B121:B178,B133-36)+in_hlth_family_renew^4*SUMIFS(AI121:AI178,B121:B178,B133-48))</f>
        <v/>
      </c>
      <c r="AK133" s="40">
        <f>AK132*(1-IF(B132&gt;=in_marketplace_from,d_hz_life_term*G132,0))</f>
        <v/>
      </c>
      <c r="AL133" s="46">
        <f>AK133*IF(B133&gt;=in_marketplace_from,d_hz_life_term*G133,0)</f>
        <v/>
      </c>
      <c r="AM133" s="14">
        <f>F133*AL133*in_life_term_ticket*in_life_term_comm*in_ins_partner_share+F133*in_life_term_ticket*in_life_term_renew_comm*in_ins_partner_share*(in_life_term_renew^1*SUMIFS(AL121:AL178,B121:B178,B133-12)+in_life_term_renew^2*SUMIFS(AL121:AL178,B121:B178,B133-24)+in_life_term_renew^3*SUMIFS(AL121:AL178,B121:B178,B133-36)+in_life_term_renew^4*SUMIFS(AL121:AL178,B121:B178,B133-48))</f>
        <v/>
      </c>
      <c r="AN133" s="40">
        <f>AN132*(1-IF(B132&gt;=in_marketplace_from,d_hz_accident*G132,0))</f>
        <v/>
      </c>
      <c r="AO133" s="46">
        <f>AN133*IF(B133&gt;=in_marketplace_from,d_hz_accident*G133,0)</f>
        <v/>
      </c>
      <c r="AP133" s="14">
        <f>F133*AO133*in_accident_ticket*in_accident_comm*in_ins_partner_share+F133*in_accident_ticket*in_accident_renew_comm*in_ins_partner_share*(in_accident_renew^1*SUMIFS(AO121:AO178,B121:B178,B133-12)+in_accident_renew^2*SUMIFS(AO121:AO178,B121:B178,B133-24)+in_accident_renew^3*SUMIFS(AO121:AO178,B121:B178,B133-36)+in_accident_renew^4*SUMIFS(AO121:AO178,B121:B178,B133-48))</f>
        <v/>
      </c>
      <c r="AQ133" s="40">
        <f>AQ132*(1-IF(B132&gt;=in_marketplace_from,d_hz_two_wheeler*G132,0))</f>
        <v/>
      </c>
      <c r="AR133" s="46">
        <f>AQ133*IF(B133&gt;=in_marketplace_from,d_hz_two_wheeler*G133,0)</f>
        <v/>
      </c>
      <c r="AS133" s="14">
        <f>F133*AR133*in_two_wheeler_ticket*in_two_wheeler_comm*in_ins_partner_share+F133*in_two_wheeler_ticket*in_two_wheeler_comm*in_ins_partner_share*(in_two_wheeler_renew^1*SUMIFS(AR121:AR178,B121:B178,B133-12)+in_two_wheeler_renew^2*SUMIFS(AR121:AR178,B121:B178,B133-24)+in_two_wheeler_renew^3*SUMIFS(AR121:AR178,B121:B178,B133-36)+in_two_wheeler_renew^4*SUMIFS(AR121:AR178,B121:B178,B133-48))</f>
        <v/>
      </c>
      <c r="AT133" s="40">
        <f>AT132*(1-IF(B132&gt;=in_marketplace_from,d_hz_device*G132,0))</f>
        <v/>
      </c>
      <c r="AU133" s="14">
        <f>F133*AT133*IF(B133&gt;=in_marketplace_from,d_hz_device*G133,0)*in_device_ticket*in_device_comm*in_ins_partner_share</f>
        <v/>
      </c>
      <c r="AV133" s="40">
        <f>AV132*(1-IF(B132&gt;=in_marketplace_from,d_hz_shop*G132,0))</f>
        <v/>
      </c>
      <c r="AW133" s="46">
        <f>AV133*IF(B133&gt;=in_marketplace_from,d_hz_shop*G133,0)</f>
        <v/>
      </c>
      <c r="AX133" s="14">
        <f>F133*AW133*in_shop_ticket*in_shop_comm*in_ins_partner_share+F133*in_shop_ticket*in_shop_renew_comm*in_ins_partner_share*(in_shop_renew^1*SUMIFS(AW121:AW178,B121:B178,B133-12)+in_shop_renew^2*SUMIFS(AW121:AW178,B121:B178,B133-24)+in_shop_renew^3*SUMIFS(AW121:AW178,B121:B178,B133-36)+in_shop_renew^4*SUMIFS(AW121:AW178,B121:B178,B133-48))</f>
        <v/>
      </c>
      <c r="AY133" s="40">
        <f>AY132*(1-IF(B132&gt;=in_marketplace_from,d_hz_sip*G132,0))</f>
        <v/>
      </c>
      <c r="AZ133" s="40">
        <f>AZ132*d_rho_sip+AY133*IF(B133&gt;=in_marketplace_from,d_hz_sip*G133,0)</f>
        <v/>
      </c>
      <c r="BA133" s="40">
        <f>d_rho_sip*(BA132+AZ132)</f>
        <v/>
      </c>
      <c r="BB133" s="14">
        <f>F133*in_sip_ticket*(BA133+0.5*AZ133)*in_sip_comm/12</f>
        <v/>
      </c>
      <c r="BC133" s="40">
        <f>BC132*(1-IF(B132&gt;=in_marketplace_from,d_hz_choti*G132,0))</f>
        <v/>
      </c>
      <c r="BD133" s="46">
        <f>BC133*IF(B133&gt;=in_marketplace_from,d_hz_choti*G133,0)</f>
        <v/>
      </c>
      <c r="BE133" s="14">
        <f>F133*SUMIFS(BD121:BD178,B121:B178,B133-in_choti_months)*in_choti_renew*in_choti_ticket</f>
        <v/>
      </c>
      <c r="BF133" s="40">
        <f>BF132*(1-IF(B132&gt;=in_marketplace_from,d_hz_nps*G132,0))</f>
        <v/>
      </c>
      <c r="BG133" s="14">
        <f>F133*BF133*IF(B133&gt;=in_marketplace_from,d_hz_nps*G133,0)*in_nps_ticket*in_nps_comm</f>
        <v/>
      </c>
      <c r="BH133" s="40">
        <f>BH132*(1-IF(B132&gt;=in_marketplace_from,d_hz_gold*G132,0))</f>
        <v/>
      </c>
      <c r="BI133" s="40">
        <f>BI132*d_rho_gold+BH133*IF(B133&gt;=in_marketplace_from,d_hz_gold*G133,0)</f>
        <v/>
      </c>
      <c r="BJ133" s="14">
        <f>F133*BI133*in_gold_ticket*in_gold_comm</f>
        <v/>
      </c>
      <c r="BK133" s="40">
        <f>BK132*(1-IF(B132&gt;=in_marketplace_from,d_hz_fd*G132,0))</f>
        <v/>
      </c>
      <c r="BL133" s="14">
        <f>F133*BK133*IF(B133&gt;=in_marketplace_from,d_hz_fd*G133,0)*in_fd_ticket*in_fd_comm</f>
        <v/>
      </c>
      <c r="BM133" s="40">
        <f>BM132*(1-IF(B132&gt;=in_marketplace_from,d_hz_recharge*G132,0))</f>
        <v/>
      </c>
      <c r="BN133" s="40">
        <f>BN132*d_rho_recharge+BM133*IF(B133&gt;=in_marketplace_from,d_hz_recharge*G133,0)</f>
        <v/>
      </c>
      <c r="BO133" s="14">
        <f>F133*BN133*in_recharge_ticket*in_recharge_comm/12</f>
        <v/>
      </c>
      <c r="BP133" s="40">
        <f>BP132*(1-IF(B132&gt;=in_marketplace_from,d_hz_bills*G132,0))</f>
        <v/>
      </c>
      <c r="BQ133" s="40">
        <f>BQ132*d_rho_bills+BP133*IF(B133&gt;=in_marketplace_from,d_hz_bills*G133,0)</f>
        <v/>
      </c>
      <c r="BR133" s="14">
        <f>F133*BQ133*in_bills_ticket*in_bills_comm/12</f>
        <v/>
      </c>
      <c r="BS133" s="40">
        <f>BS132*(1-IF(B132&gt;=in_marketplace_from,d_hz_loan_gold*G132,0))</f>
        <v/>
      </c>
      <c r="BT133" s="14">
        <f>F133*BS133*IF(B133&gt;=in_marketplace_from,d_hz_loan_gold*G133,0)*in_loan_gold_ticket*in_loan_gold_comm</f>
        <v/>
      </c>
      <c r="BU133" s="40">
        <f>BU132*(1-IF(B132&gt;=in_marketplace_from,d_hz_loan_cd*G132,0))</f>
        <v/>
      </c>
      <c r="BV133" s="14">
        <f>F133*BU133*IF(B133&gt;=in_marketplace_from,d_hz_loan_cd*G133,0)*in_loan_cd_ticket*in_loan_cd_comm</f>
        <v/>
      </c>
      <c r="BW133" s="40">
        <f>BW132*(1-IF(B132&gt;=in_marketplace_from,d_hz_loan_vehicle*G132,0))</f>
        <v/>
      </c>
      <c r="BX133" s="14">
        <f>F133*BW133*IF(B133&gt;=in_marketplace_from,d_hz_loan_vehicle*G133,0)*in_loan_vehicle_ticket*in_loan_vehicle_comm</f>
        <v/>
      </c>
      <c r="BY133" s="40">
        <f>BY132*(1-IF(B132&gt;=in_marketplace_from,d_hz_loan_home*G132,0)*BZ132)</f>
        <v/>
      </c>
      <c r="BZ133" s="11">
        <f>MIN(in_approval_cap,in_loan_home_approval*INDEX('Age profile'!$O$2:$O$61,B133)*(1+in_approval_growth)^(D133-1))</f>
        <v/>
      </c>
      <c r="CA133" s="14">
        <f>F133*BY133*IF(B133&gt;=in_marketplace_from,d_hz_loan_home*G133,0)*BZ133*in_loan_home_ticket*in_loan_home_comm</f>
        <v/>
      </c>
      <c r="CB133" s="40">
        <f>CB132*(1-IF(B132&gt;=in_marketplace_from,d_hz_loan_lap*G132,0)*CC132)</f>
        <v/>
      </c>
      <c r="CC133" s="11">
        <f>MIN(in_approval_cap,in_loan_lap_approval*INDEX('Age profile'!$O$2:$O$61,B133)*(1+in_approval_growth)^(D133-1))</f>
        <v/>
      </c>
      <c r="CD133" s="14">
        <f>F133*CB133*IF(B133&gt;=in_marketplace_from,d_hz_loan_lap*G133,0)*CC133*in_loan_lap_ticket*in_loan_lap_comm</f>
        <v/>
      </c>
      <c r="CE133" s="14">
        <f>AA133+AB133+AC133+AD133+AG133+AJ133+AM133+AP133+AS133+AU133+AX133+BB133+BE133+BG133+BJ133+BL133+BO133+BR133+BT133+BV133+BX133+CA133+CD133</f>
        <v/>
      </c>
    </row>
    <row r="134">
      <c r="A134" s="39" t="n">
        <v>3</v>
      </c>
      <c r="B134" s="39" t="n">
        <v>14</v>
      </c>
      <c r="C134" s="39">
        <f>A134+B134-1</f>
        <v/>
      </c>
      <c r="D134" s="39">
        <f>INT((C134-1)/12)+1</f>
        <v/>
      </c>
      <c r="E134" s="44">
        <f>INDEX(Monthly!$B$2:$B$61,A134)</f>
        <v/>
      </c>
      <c r="F134" s="44">
        <f>E134*INDEX('Age profile'!$B$2:$B$61,B134)</f>
        <v/>
      </c>
      <c r="G134" s="45">
        <f>MIN(in_takeup_cap,INDEX('Age profile'!$N$2:$N$61,B134)*(1+in_takeup_growth)^(D134-1))</f>
        <v/>
      </c>
      <c r="H134" s="11">
        <f>MIN(in_approval_cap,in_approved_first*INDEX('Age profile'!$O$2:$O$61,B134)*(1+in_approval_growth)^(D134-1))</f>
        <v/>
      </c>
      <c r="I134" s="45">
        <f>G134*MIN(in_takeup_cap,INDEX('Age profile'!$O$2:$O$61,B134)*(1+in_approval_growth)^(D134-1))</f>
        <v/>
      </c>
      <c r="J134" s="40">
        <f>(J133-L133)*F134/F133</f>
        <v/>
      </c>
      <c r="K134" s="40">
        <f>(K133-M133)*F134/F133+SUMIFS(O121:O133,B121:B133,B134-1-d_T)*F134</f>
        <v/>
      </c>
      <c r="L134" s="40">
        <f>IF(B134&gt;=in_marketplace_from,J134*d_hz*G134*in_eligible*H134,0)</f>
        <v/>
      </c>
      <c r="M134" s="40">
        <f>IF(B134&gt;=in_marketplace_from,K134*d_hz*G134*in_eligible*in_approved_repeat,0)</f>
        <v/>
      </c>
      <c r="N134" s="40">
        <f>L134+M134</f>
        <v/>
      </c>
      <c r="O134" s="46">
        <f>N134/F134</f>
        <v/>
      </c>
      <c r="P134" s="40">
        <f>F134-J134-K134</f>
        <v/>
      </c>
      <c r="Q134" s="40">
        <f>IF(B134&gt;=in_marketplace_from,(J134+K134)*d_hz*G134,0)</f>
        <v/>
      </c>
      <c r="R134" s="40">
        <f>SUMIFS(N121:N178,B121:B178,"&gt;="&amp;(B134-d_T),B121:B178,"&lt;="&amp;(B134-1))</f>
        <v/>
      </c>
      <c r="S134" s="46">
        <f>(1-d_u)*S133+IF(d_T&gt;in_topup_lag,SUMIFS(O121:O178,B121:B178,B134-in_topup_lag)-d_udrop*SUMIFS(O121:O178,B121:B178,B134-d_T),0)</f>
        <v/>
      </c>
      <c r="T134" s="40">
        <f>F134*d_u*S134</f>
        <v/>
      </c>
      <c r="U134" s="9">
        <f>L134*in_ticket+M134*d_rep_ticket</f>
        <v/>
      </c>
      <c r="V134" s="9">
        <f>U134+T134*d_topup_amt</f>
        <v/>
      </c>
      <c r="W134" s="40">
        <f>N134+T134*d_topup_ratio</f>
        <v/>
      </c>
      <c r="X134" s="40">
        <f>SUMIFS(W121:W178,B121:B178,B134-in_dpd_lag)*d_cured</f>
        <v/>
      </c>
      <c r="Y134" s="40">
        <f>SUMIFS(W121:W178,B121:B178,B134-in_rec_lag)*d_recd</f>
        <v/>
      </c>
      <c r="Z134" s="40">
        <f>IF(AND(B134&gt;=in_marketplace_from,B134&lt;in_marketplace_from+in_card_months),in_card_share/in_card_months*F134*I134,IF(AND(B134&gt;=in_marketplace_from+in_card_months,B134&lt;in_marketplace_from+2*in_card_months),in_card_share*d_card_rem/in_card_months*F134*MIN(in_takeup_cap,(1+in_takeup_growth)^(D134-1))*MIN(in_takeup_cap,(1+in_approval_growth)^(D134-1)),0))</f>
        <v/>
      </c>
      <c r="AA134" s="14">
        <f>V134*in_fee*(1-in_taken_back)</f>
        <v/>
      </c>
      <c r="AB134" s="14">
        <f>SUMIFS(W121:W178,B121:B178,B134-in_dpd_lag)*d_dpd</f>
        <v/>
      </c>
      <c r="AC134" s="14">
        <f>SUMIFS(W121:W178,B121:B178,B134-in_rec_lag)*d_rec</f>
        <v/>
      </c>
      <c r="AD134" s="14">
        <f>Z134*in_card_fee</f>
        <v/>
      </c>
      <c r="AE134" s="40">
        <f>AE133*(1-IF(B133&gt;=in_marketplace_from,d_hz_hlth_small*G133,0))</f>
        <v/>
      </c>
      <c r="AF134" s="46">
        <f>AE134*IF(B134&gt;=in_marketplace_from,d_hz_hlth_small*G134,0)</f>
        <v/>
      </c>
      <c r="AG134" s="14">
        <f>F134*AF134*in_hlth_small_ticket*in_hlth_small_comm*in_ins_partner_share+F134*in_hlth_small_ticket*in_hlth_small_renew_comm*in_ins_partner_share*(in_hlth_small_renew^1*SUMIFS(AF121:AF178,B121:B178,B134-12)+in_hlth_small_renew^2*SUMIFS(AF121:AF178,B121:B178,B134-24)+in_hlth_small_renew^3*SUMIFS(AF121:AF178,B121:B178,B134-36)+in_hlth_small_renew^4*SUMIFS(AF121:AF178,B121:B178,B134-48))</f>
        <v/>
      </c>
      <c r="AH134" s="40">
        <f>AH133*(1-IF(B133&gt;=in_marketplace_from,d_hz_hlth_family*G133,0))</f>
        <v/>
      </c>
      <c r="AI134" s="46">
        <f>AH134*IF(B134&gt;=in_marketplace_from,d_hz_hlth_family*G134,0)</f>
        <v/>
      </c>
      <c r="AJ134" s="14">
        <f>F134*AI134*in_hlth_family_ticket*in_hlth_family_comm*in_ins_partner_share+F134*in_hlth_family_ticket*in_hlth_family_renew_comm*in_ins_partner_share*(in_hlth_family_renew^1*SUMIFS(AI121:AI178,B121:B178,B134-12)+in_hlth_family_renew^2*SUMIFS(AI121:AI178,B121:B178,B134-24)+in_hlth_family_renew^3*SUMIFS(AI121:AI178,B121:B178,B134-36)+in_hlth_family_renew^4*SUMIFS(AI121:AI178,B121:B178,B134-48))</f>
        <v/>
      </c>
      <c r="AK134" s="40">
        <f>AK133*(1-IF(B133&gt;=in_marketplace_from,d_hz_life_term*G133,0))</f>
        <v/>
      </c>
      <c r="AL134" s="46">
        <f>AK134*IF(B134&gt;=in_marketplace_from,d_hz_life_term*G134,0)</f>
        <v/>
      </c>
      <c r="AM134" s="14">
        <f>F134*AL134*in_life_term_ticket*in_life_term_comm*in_ins_partner_share+F134*in_life_term_ticket*in_life_term_renew_comm*in_ins_partner_share*(in_life_term_renew^1*SUMIFS(AL121:AL178,B121:B178,B134-12)+in_life_term_renew^2*SUMIFS(AL121:AL178,B121:B178,B134-24)+in_life_term_renew^3*SUMIFS(AL121:AL178,B121:B178,B134-36)+in_life_term_renew^4*SUMIFS(AL121:AL178,B121:B178,B134-48))</f>
        <v/>
      </c>
      <c r="AN134" s="40">
        <f>AN133*(1-IF(B133&gt;=in_marketplace_from,d_hz_accident*G133,0))</f>
        <v/>
      </c>
      <c r="AO134" s="46">
        <f>AN134*IF(B134&gt;=in_marketplace_from,d_hz_accident*G134,0)</f>
        <v/>
      </c>
      <c r="AP134" s="14">
        <f>F134*AO134*in_accident_ticket*in_accident_comm*in_ins_partner_share+F134*in_accident_ticket*in_accident_renew_comm*in_ins_partner_share*(in_accident_renew^1*SUMIFS(AO121:AO178,B121:B178,B134-12)+in_accident_renew^2*SUMIFS(AO121:AO178,B121:B178,B134-24)+in_accident_renew^3*SUMIFS(AO121:AO178,B121:B178,B134-36)+in_accident_renew^4*SUMIFS(AO121:AO178,B121:B178,B134-48))</f>
        <v/>
      </c>
      <c r="AQ134" s="40">
        <f>AQ133*(1-IF(B133&gt;=in_marketplace_from,d_hz_two_wheeler*G133,0))</f>
        <v/>
      </c>
      <c r="AR134" s="46">
        <f>AQ134*IF(B134&gt;=in_marketplace_from,d_hz_two_wheeler*G134,0)</f>
        <v/>
      </c>
      <c r="AS134" s="14">
        <f>F134*AR134*in_two_wheeler_ticket*in_two_wheeler_comm*in_ins_partner_share+F134*in_two_wheeler_ticket*in_two_wheeler_comm*in_ins_partner_share*(in_two_wheeler_renew^1*SUMIFS(AR121:AR178,B121:B178,B134-12)+in_two_wheeler_renew^2*SUMIFS(AR121:AR178,B121:B178,B134-24)+in_two_wheeler_renew^3*SUMIFS(AR121:AR178,B121:B178,B134-36)+in_two_wheeler_renew^4*SUMIFS(AR121:AR178,B121:B178,B134-48))</f>
        <v/>
      </c>
      <c r="AT134" s="40">
        <f>AT133*(1-IF(B133&gt;=in_marketplace_from,d_hz_device*G133,0))</f>
        <v/>
      </c>
      <c r="AU134" s="14">
        <f>F134*AT134*IF(B134&gt;=in_marketplace_from,d_hz_device*G134,0)*in_device_ticket*in_device_comm*in_ins_partner_share</f>
        <v/>
      </c>
      <c r="AV134" s="40">
        <f>AV133*(1-IF(B133&gt;=in_marketplace_from,d_hz_shop*G133,0))</f>
        <v/>
      </c>
      <c r="AW134" s="46">
        <f>AV134*IF(B134&gt;=in_marketplace_from,d_hz_shop*G134,0)</f>
        <v/>
      </c>
      <c r="AX134" s="14">
        <f>F134*AW134*in_shop_ticket*in_shop_comm*in_ins_partner_share+F134*in_shop_ticket*in_shop_renew_comm*in_ins_partner_share*(in_shop_renew^1*SUMIFS(AW121:AW178,B121:B178,B134-12)+in_shop_renew^2*SUMIFS(AW121:AW178,B121:B178,B134-24)+in_shop_renew^3*SUMIFS(AW121:AW178,B121:B178,B134-36)+in_shop_renew^4*SUMIFS(AW121:AW178,B121:B178,B134-48))</f>
        <v/>
      </c>
      <c r="AY134" s="40">
        <f>AY133*(1-IF(B133&gt;=in_marketplace_from,d_hz_sip*G133,0))</f>
        <v/>
      </c>
      <c r="AZ134" s="40">
        <f>AZ133*d_rho_sip+AY134*IF(B134&gt;=in_marketplace_from,d_hz_sip*G134,0)</f>
        <v/>
      </c>
      <c r="BA134" s="40">
        <f>d_rho_sip*(BA133+AZ133)</f>
        <v/>
      </c>
      <c r="BB134" s="14">
        <f>F134*in_sip_ticket*(BA134+0.5*AZ134)*in_sip_comm/12</f>
        <v/>
      </c>
      <c r="BC134" s="40">
        <f>BC133*(1-IF(B133&gt;=in_marketplace_from,d_hz_choti*G133,0))</f>
        <v/>
      </c>
      <c r="BD134" s="46">
        <f>BC134*IF(B134&gt;=in_marketplace_from,d_hz_choti*G134,0)</f>
        <v/>
      </c>
      <c r="BE134" s="14">
        <f>F134*SUMIFS(BD121:BD178,B121:B178,B134-in_choti_months)*in_choti_renew*in_choti_ticket</f>
        <v/>
      </c>
      <c r="BF134" s="40">
        <f>BF133*(1-IF(B133&gt;=in_marketplace_from,d_hz_nps*G133,0))</f>
        <v/>
      </c>
      <c r="BG134" s="14">
        <f>F134*BF134*IF(B134&gt;=in_marketplace_from,d_hz_nps*G134,0)*in_nps_ticket*in_nps_comm</f>
        <v/>
      </c>
      <c r="BH134" s="40">
        <f>BH133*(1-IF(B133&gt;=in_marketplace_from,d_hz_gold*G133,0))</f>
        <v/>
      </c>
      <c r="BI134" s="40">
        <f>BI133*d_rho_gold+BH134*IF(B134&gt;=in_marketplace_from,d_hz_gold*G134,0)</f>
        <v/>
      </c>
      <c r="BJ134" s="14">
        <f>F134*BI134*in_gold_ticket*in_gold_comm</f>
        <v/>
      </c>
      <c r="BK134" s="40">
        <f>BK133*(1-IF(B133&gt;=in_marketplace_from,d_hz_fd*G133,0))</f>
        <v/>
      </c>
      <c r="BL134" s="14">
        <f>F134*BK134*IF(B134&gt;=in_marketplace_from,d_hz_fd*G134,0)*in_fd_ticket*in_fd_comm</f>
        <v/>
      </c>
      <c r="BM134" s="40">
        <f>BM133*(1-IF(B133&gt;=in_marketplace_from,d_hz_recharge*G133,0))</f>
        <v/>
      </c>
      <c r="BN134" s="40">
        <f>BN133*d_rho_recharge+BM134*IF(B134&gt;=in_marketplace_from,d_hz_recharge*G134,0)</f>
        <v/>
      </c>
      <c r="BO134" s="14">
        <f>F134*BN134*in_recharge_ticket*in_recharge_comm/12</f>
        <v/>
      </c>
      <c r="BP134" s="40">
        <f>BP133*(1-IF(B133&gt;=in_marketplace_from,d_hz_bills*G133,0))</f>
        <v/>
      </c>
      <c r="BQ134" s="40">
        <f>BQ133*d_rho_bills+BP134*IF(B134&gt;=in_marketplace_from,d_hz_bills*G134,0)</f>
        <v/>
      </c>
      <c r="BR134" s="14">
        <f>F134*BQ134*in_bills_ticket*in_bills_comm/12</f>
        <v/>
      </c>
      <c r="BS134" s="40">
        <f>BS133*(1-IF(B133&gt;=in_marketplace_from,d_hz_loan_gold*G133,0))</f>
        <v/>
      </c>
      <c r="BT134" s="14">
        <f>F134*BS134*IF(B134&gt;=in_marketplace_from,d_hz_loan_gold*G134,0)*in_loan_gold_ticket*in_loan_gold_comm</f>
        <v/>
      </c>
      <c r="BU134" s="40">
        <f>BU133*(1-IF(B133&gt;=in_marketplace_from,d_hz_loan_cd*G133,0))</f>
        <v/>
      </c>
      <c r="BV134" s="14">
        <f>F134*BU134*IF(B134&gt;=in_marketplace_from,d_hz_loan_cd*G134,0)*in_loan_cd_ticket*in_loan_cd_comm</f>
        <v/>
      </c>
      <c r="BW134" s="40">
        <f>BW133*(1-IF(B133&gt;=in_marketplace_from,d_hz_loan_vehicle*G133,0))</f>
        <v/>
      </c>
      <c r="BX134" s="14">
        <f>F134*BW134*IF(B134&gt;=in_marketplace_from,d_hz_loan_vehicle*G134,0)*in_loan_vehicle_ticket*in_loan_vehicle_comm</f>
        <v/>
      </c>
      <c r="BY134" s="40">
        <f>BY133*(1-IF(B133&gt;=in_marketplace_from,d_hz_loan_home*G133,0)*BZ133)</f>
        <v/>
      </c>
      <c r="BZ134" s="11">
        <f>MIN(in_approval_cap,in_loan_home_approval*INDEX('Age profile'!$O$2:$O$61,B134)*(1+in_approval_growth)^(D134-1))</f>
        <v/>
      </c>
      <c r="CA134" s="14">
        <f>F134*BY134*IF(B134&gt;=in_marketplace_from,d_hz_loan_home*G134,0)*BZ134*in_loan_home_ticket*in_loan_home_comm</f>
        <v/>
      </c>
      <c r="CB134" s="40">
        <f>CB133*(1-IF(B133&gt;=in_marketplace_from,d_hz_loan_lap*G133,0)*CC133)</f>
        <v/>
      </c>
      <c r="CC134" s="11">
        <f>MIN(in_approval_cap,in_loan_lap_approval*INDEX('Age profile'!$O$2:$O$61,B134)*(1+in_approval_growth)^(D134-1))</f>
        <v/>
      </c>
      <c r="CD134" s="14">
        <f>F134*CB134*IF(B134&gt;=in_marketplace_from,d_hz_loan_lap*G134,0)*CC134*in_loan_lap_ticket*in_loan_lap_comm</f>
        <v/>
      </c>
      <c r="CE134" s="14">
        <f>AA134+AB134+AC134+AD134+AG134+AJ134+AM134+AP134+AS134+AU134+AX134+BB134+BE134+BG134+BJ134+BL134+BO134+BR134+BT134+BV134+BX134+CA134+CD134</f>
        <v/>
      </c>
    </row>
    <row r="135">
      <c r="A135" s="39" t="n">
        <v>3</v>
      </c>
      <c r="B135" s="39" t="n">
        <v>15</v>
      </c>
      <c r="C135" s="39">
        <f>A135+B135-1</f>
        <v/>
      </c>
      <c r="D135" s="39">
        <f>INT((C135-1)/12)+1</f>
        <v/>
      </c>
      <c r="E135" s="44">
        <f>INDEX(Monthly!$B$2:$B$61,A135)</f>
        <v/>
      </c>
      <c r="F135" s="44">
        <f>E135*INDEX('Age profile'!$B$2:$B$61,B135)</f>
        <v/>
      </c>
      <c r="G135" s="45">
        <f>MIN(in_takeup_cap,INDEX('Age profile'!$N$2:$N$61,B135)*(1+in_takeup_growth)^(D135-1))</f>
        <v/>
      </c>
      <c r="H135" s="11">
        <f>MIN(in_approval_cap,in_approved_first*INDEX('Age profile'!$O$2:$O$61,B135)*(1+in_approval_growth)^(D135-1))</f>
        <v/>
      </c>
      <c r="I135" s="45">
        <f>G135*MIN(in_takeup_cap,INDEX('Age profile'!$O$2:$O$61,B135)*(1+in_approval_growth)^(D135-1))</f>
        <v/>
      </c>
      <c r="J135" s="40">
        <f>(J134-L134)*F135/F134</f>
        <v/>
      </c>
      <c r="K135" s="40">
        <f>(K134-M134)*F135/F134+SUMIFS(O121:O134,B121:B134,B135-1-d_T)*F135</f>
        <v/>
      </c>
      <c r="L135" s="40">
        <f>IF(B135&gt;=in_marketplace_from,J135*d_hz*G135*in_eligible*H135,0)</f>
        <v/>
      </c>
      <c r="M135" s="40">
        <f>IF(B135&gt;=in_marketplace_from,K135*d_hz*G135*in_eligible*in_approved_repeat,0)</f>
        <v/>
      </c>
      <c r="N135" s="40">
        <f>L135+M135</f>
        <v/>
      </c>
      <c r="O135" s="46">
        <f>N135/F135</f>
        <v/>
      </c>
      <c r="P135" s="40">
        <f>F135-J135-K135</f>
        <v/>
      </c>
      <c r="Q135" s="40">
        <f>IF(B135&gt;=in_marketplace_from,(J135+K135)*d_hz*G135,0)</f>
        <v/>
      </c>
      <c r="R135" s="40">
        <f>SUMIFS(N121:N178,B121:B178,"&gt;="&amp;(B135-d_T),B121:B178,"&lt;="&amp;(B135-1))</f>
        <v/>
      </c>
      <c r="S135" s="46">
        <f>(1-d_u)*S134+IF(d_T&gt;in_topup_lag,SUMIFS(O121:O178,B121:B178,B135-in_topup_lag)-d_udrop*SUMIFS(O121:O178,B121:B178,B135-d_T),0)</f>
        <v/>
      </c>
      <c r="T135" s="40">
        <f>F135*d_u*S135</f>
        <v/>
      </c>
      <c r="U135" s="9">
        <f>L135*in_ticket+M135*d_rep_ticket</f>
        <v/>
      </c>
      <c r="V135" s="9">
        <f>U135+T135*d_topup_amt</f>
        <v/>
      </c>
      <c r="W135" s="40">
        <f>N135+T135*d_topup_ratio</f>
        <v/>
      </c>
      <c r="X135" s="40">
        <f>SUMIFS(W121:W178,B121:B178,B135-in_dpd_lag)*d_cured</f>
        <v/>
      </c>
      <c r="Y135" s="40">
        <f>SUMIFS(W121:W178,B121:B178,B135-in_rec_lag)*d_recd</f>
        <v/>
      </c>
      <c r="Z135" s="40">
        <f>IF(AND(B135&gt;=in_marketplace_from,B135&lt;in_marketplace_from+in_card_months),in_card_share/in_card_months*F135*I135,IF(AND(B135&gt;=in_marketplace_from+in_card_months,B135&lt;in_marketplace_from+2*in_card_months),in_card_share*d_card_rem/in_card_months*F135*MIN(in_takeup_cap,(1+in_takeup_growth)^(D135-1))*MIN(in_takeup_cap,(1+in_approval_growth)^(D135-1)),0))</f>
        <v/>
      </c>
      <c r="AA135" s="14">
        <f>V135*in_fee*(1-in_taken_back)</f>
        <v/>
      </c>
      <c r="AB135" s="14">
        <f>SUMIFS(W121:W178,B121:B178,B135-in_dpd_lag)*d_dpd</f>
        <v/>
      </c>
      <c r="AC135" s="14">
        <f>SUMIFS(W121:W178,B121:B178,B135-in_rec_lag)*d_rec</f>
        <v/>
      </c>
      <c r="AD135" s="14">
        <f>Z135*in_card_fee</f>
        <v/>
      </c>
      <c r="AE135" s="40">
        <f>AE134*(1-IF(B134&gt;=in_marketplace_from,d_hz_hlth_small*G134,0))</f>
        <v/>
      </c>
      <c r="AF135" s="46">
        <f>AE135*IF(B135&gt;=in_marketplace_from,d_hz_hlth_small*G135,0)</f>
        <v/>
      </c>
      <c r="AG135" s="14">
        <f>F135*AF135*in_hlth_small_ticket*in_hlth_small_comm*in_ins_partner_share+F135*in_hlth_small_ticket*in_hlth_small_renew_comm*in_ins_partner_share*(in_hlth_small_renew^1*SUMIFS(AF121:AF178,B121:B178,B135-12)+in_hlth_small_renew^2*SUMIFS(AF121:AF178,B121:B178,B135-24)+in_hlth_small_renew^3*SUMIFS(AF121:AF178,B121:B178,B135-36)+in_hlth_small_renew^4*SUMIFS(AF121:AF178,B121:B178,B135-48))</f>
        <v/>
      </c>
      <c r="AH135" s="40">
        <f>AH134*(1-IF(B134&gt;=in_marketplace_from,d_hz_hlth_family*G134,0))</f>
        <v/>
      </c>
      <c r="AI135" s="46">
        <f>AH135*IF(B135&gt;=in_marketplace_from,d_hz_hlth_family*G135,0)</f>
        <v/>
      </c>
      <c r="AJ135" s="14">
        <f>F135*AI135*in_hlth_family_ticket*in_hlth_family_comm*in_ins_partner_share+F135*in_hlth_family_ticket*in_hlth_family_renew_comm*in_ins_partner_share*(in_hlth_family_renew^1*SUMIFS(AI121:AI178,B121:B178,B135-12)+in_hlth_family_renew^2*SUMIFS(AI121:AI178,B121:B178,B135-24)+in_hlth_family_renew^3*SUMIFS(AI121:AI178,B121:B178,B135-36)+in_hlth_family_renew^4*SUMIFS(AI121:AI178,B121:B178,B135-48))</f>
        <v/>
      </c>
      <c r="AK135" s="40">
        <f>AK134*(1-IF(B134&gt;=in_marketplace_from,d_hz_life_term*G134,0))</f>
        <v/>
      </c>
      <c r="AL135" s="46">
        <f>AK135*IF(B135&gt;=in_marketplace_from,d_hz_life_term*G135,0)</f>
        <v/>
      </c>
      <c r="AM135" s="14">
        <f>F135*AL135*in_life_term_ticket*in_life_term_comm*in_ins_partner_share+F135*in_life_term_ticket*in_life_term_renew_comm*in_ins_partner_share*(in_life_term_renew^1*SUMIFS(AL121:AL178,B121:B178,B135-12)+in_life_term_renew^2*SUMIFS(AL121:AL178,B121:B178,B135-24)+in_life_term_renew^3*SUMIFS(AL121:AL178,B121:B178,B135-36)+in_life_term_renew^4*SUMIFS(AL121:AL178,B121:B178,B135-48))</f>
        <v/>
      </c>
      <c r="AN135" s="40">
        <f>AN134*(1-IF(B134&gt;=in_marketplace_from,d_hz_accident*G134,0))</f>
        <v/>
      </c>
      <c r="AO135" s="46">
        <f>AN135*IF(B135&gt;=in_marketplace_from,d_hz_accident*G135,0)</f>
        <v/>
      </c>
      <c r="AP135" s="14">
        <f>F135*AO135*in_accident_ticket*in_accident_comm*in_ins_partner_share+F135*in_accident_ticket*in_accident_renew_comm*in_ins_partner_share*(in_accident_renew^1*SUMIFS(AO121:AO178,B121:B178,B135-12)+in_accident_renew^2*SUMIFS(AO121:AO178,B121:B178,B135-24)+in_accident_renew^3*SUMIFS(AO121:AO178,B121:B178,B135-36)+in_accident_renew^4*SUMIFS(AO121:AO178,B121:B178,B135-48))</f>
        <v/>
      </c>
      <c r="AQ135" s="40">
        <f>AQ134*(1-IF(B134&gt;=in_marketplace_from,d_hz_two_wheeler*G134,0))</f>
        <v/>
      </c>
      <c r="AR135" s="46">
        <f>AQ135*IF(B135&gt;=in_marketplace_from,d_hz_two_wheeler*G135,0)</f>
        <v/>
      </c>
      <c r="AS135" s="14">
        <f>F135*AR135*in_two_wheeler_ticket*in_two_wheeler_comm*in_ins_partner_share+F135*in_two_wheeler_ticket*in_two_wheeler_comm*in_ins_partner_share*(in_two_wheeler_renew^1*SUMIFS(AR121:AR178,B121:B178,B135-12)+in_two_wheeler_renew^2*SUMIFS(AR121:AR178,B121:B178,B135-24)+in_two_wheeler_renew^3*SUMIFS(AR121:AR178,B121:B178,B135-36)+in_two_wheeler_renew^4*SUMIFS(AR121:AR178,B121:B178,B135-48))</f>
        <v/>
      </c>
      <c r="AT135" s="40">
        <f>AT134*(1-IF(B134&gt;=in_marketplace_from,d_hz_device*G134,0))</f>
        <v/>
      </c>
      <c r="AU135" s="14">
        <f>F135*AT135*IF(B135&gt;=in_marketplace_from,d_hz_device*G135,0)*in_device_ticket*in_device_comm*in_ins_partner_share</f>
        <v/>
      </c>
      <c r="AV135" s="40">
        <f>AV134*(1-IF(B134&gt;=in_marketplace_from,d_hz_shop*G134,0))</f>
        <v/>
      </c>
      <c r="AW135" s="46">
        <f>AV135*IF(B135&gt;=in_marketplace_from,d_hz_shop*G135,0)</f>
        <v/>
      </c>
      <c r="AX135" s="14">
        <f>F135*AW135*in_shop_ticket*in_shop_comm*in_ins_partner_share+F135*in_shop_ticket*in_shop_renew_comm*in_ins_partner_share*(in_shop_renew^1*SUMIFS(AW121:AW178,B121:B178,B135-12)+in_shop_renew^2*SUMIFS(AW121:AW178,B121:B178,B135-24)+in_shop_renew^3*SUMIFS(AW121:AW178,B121:B178,B135-36)+in_shop_renew^4*SUMIFS(AW121:AW178,B121:B178,B135-48))</f>
        <v/>
      </c>
      <c r="AY135" s="40">
        <f>AY134*(1-IF(B134&gt;=in_marketplace_from,d_hz_sip*G134,0))</f>
        <v/>
      </c>
      <c r="AZ135" s="40">
        <f>AZ134*d_rho_sip+AY135*IF(B135&gt;=in_marketplace_from,d_hz_sip*G135,0)</f>
        <v/>
      </c>
      <c r="BA135" s="40">
        <f>d_rho_sip*(BA134+AZ134)</f>
        <v/>
      </c>
      <c r="BB135" s="14">
        <f>F135*in_sip_ticket*(BA135+0.5*AZ135)*in_sip_comm/12</f>
        <v/>
      </c>
      <c r="BC135" s="40">
        <f>BC134*(1-IF(B134&gt;=in_marketplace_from,d_hz_choti*G134,0))</f>
        <v/>
      </c>
      <c r="BD135" s="46">
        <f>BC135*IF(B135&gt;=in_marketplace_from,d_hz_choti*G135,0)</f>
        <v/>
      </c>
      <c r="BE135" s="14">
        <f>F135*SUMIFS(BD121:BD178,B121:B178,B135-in_choti_months)*in_choti_renew*in_choti_ticket</f>
        <v/>
      </c>
      <c r="BF135" s="40">
        <f>BF134*(1-IF(B134&gt;=in_marketplace_from,d_hz_nps*G134,0))</f>
        <v/>
      </c>
      <c r="BG135" s="14">
        <f>F135*BF135*IF(B135&gt;=in_marketplace_from,d_hz_nps*G135,0)*in_nps_ticket*in_nps_comm</f>
        <v/>
      </c>
      <c r="BH135" s="40">
        <f>BH134*(1-IF(B134&gt;=in_marketplace_from,d_hz_gold*G134,0))</f>
        <v/>
      </c>
      <c r="BI135" s="40">
        <f>BI134*d_rho_gold+BH135*IF(B135&gt;=in_marketplace_from,d_hz_gold*G135,0)</f>
        <v/>
      </c>
      <c r="BJ135" s="14">
        <f>F135*BI135*in_gold_ticket*in_gold_comm</f>
        <v/>
      </c>
      <c r="BK135" s="40">
        <f>BK134*(1-IF(B134&gt;=in_marketplace_from,d_hz_fd*G134,0))</f>
        <v/>
      </c>
      <c r="BL135" s="14">
        <f>F135*BK135*IF(B135&gt;=in_marketplace_from,d_hz_fd*G135,0)*in_fd_ticket*in_fd_comm</f>
        <v/>
      </c>
      <c r="BM135" s="40">
        <f>BM134*(1-IF(B134&gt;=in_marketplace_from,d_hz_recharge*G134,0))</f>
        <v/>
      </c>
      <c r="BN135" s="40">
        <f>BN134*d_rho_recharge+BM135*IF(B135&gt;=in_marketplace_from,d_hz_recharge*G135,0)</f>
        <v/>
      </c>
      <c r="BO135" s="14">
        <f>F135*BN135*in_recharge_ticket*in_recharge_comm/12</f>
        <v/>
      </c>
      <c r="BP135" s="40">
        <f>BP134*(1-IF(B134&gt;=in_marketplace_from,d_hz_bills*G134,0))</f>
        <v/>
      </c>
      <c r="BQ135" s="40">
        <f>BQ134*d_rho_bills+BP135*IF(B135&gt;=in_marketplace_from,d_hz_bills*G135,0)</f>
        <v/>
      </c>
      <c r="BR135" s="14">
        <f>F135*BQ135*in_bills_ticket*in_bills_comm/12</f>
        <v/>
      </c>
      <c r="BS135" s="40">
        <f>BS134*(1-IF(B134&gt;=in_marketplace_from,d_hz_loan_gold*G134,0))</f>
        <v/>
      </c>
      <c r="BT135" s="14">
        <f>F135*BS135*IF(B135&gt;=in_marketplace_from,d_hz_loan_gold*G135,0)*in_loan_gold_ticket*in_loan_gold_comm</f>
        <v/>
      </c>
      <c r="BU135" s="40">
        <f>BU134*(1-IF(B134&gt;=in_marketplace_from,d_hz_loan_cd*G134,0))</f>
        <v/>
      </c>
      <c r="BV135" s="14">
        <f>F135*BU135*IF(B135&gt;=in_marketplace_from,d_hz_loan_cd*G135,0)*in_loan_cd_ticket*in_loan_cd_comm</f>
        <v/>
      </c>
      <c r="BW135" s="40">
        <f>BW134*(1-IF(B134&gt;=in_marketplace_from,d_hz_loan_vehicle*G134,0))</f>
        <v/>
      </c>
      <c r="BX135" s="14">
        <f>F135*BW135*IF(B135&gt;=in_marketplace_from,d_hz_loan_vehicle*G135,0)*in_loan_vehicle_ticket*in_loan_vehicle_comm</f>
        <v/>
      </c>
      <c r="BY135" s="40">
        <f>BY134*(1-IF(B134&gt;=in_marketplace_from,d_hz_loan_home*G134,0)*BZ134)</f>
        <v/>
      </c>
      <c r="BZ135" s="11">
        <f>MIN(in_approval_cap,in_loan_home_approval*INDEX('Age profile'!$O$2:$O$61,B135)*(1+in_approval_growth)^(D135-1))</f>
        <v/>
      </c>
      <c r="CA135" s="14">
        <f>F135*BY135*IF(B135&gt;=in_marketplace_from,d_hz_loan_home*G135,0)*BZ135*in_loan_home_ticket*in_loan_home_comm</f>
        <v/>
      </c>
      <c r="CB135" s="40">
        <f>CB134*(1-IF(B134&gt;=in_marketplace_from,d_hz_loan_lap*G134,0)*CC134)</f>
        <v/>
      </c>
      <c r="CC135" s="11">
        <f>MIN(in_approval_cap,in_loan_lap_approval*INDEX('Age profile'!$O$2:$O$61,B135)*(1+in_approval_growth)^(D135-1))</f>
        <v/>
      </c>
      <c r="CD135" s="14">
        <f>F135*CB135*IF(B135&gt;=in_marketplace_from,d_hz_loan_lap*G135,0)*CC135*in_loan_lap_ticket*in_loan_lap_comm</f>
        <v/>
      </c>
      <c r="CE135" s="14">
        <f>AA135+AB135+AC135+AD135+AG135+AJ135+AM135+AP135+AS135+AU135+AX135+BB135+BE135+BG135+BJ135+BL135+BO135+BR135+BT135+BV135+BX135+CA135+CD135</f>
        <v/>
      </c>
    </row>
    <row r="136">
      <c r="A136" s="39" t="n">
        <v>3</v>
      </c>
      <c r="B136" s="39" t="n">
        <v>16</v>
      </c>
      <c r="C136" s="39">
        <f>A136+B136-1</f>
        <v/>
      </c>
      <c r="D136" s="39">
        <f>INT((C136-1)/12)+1</f>
        <v/>
      </c>
      <c r="E136" s="44">
        <f>INDEX(Monthly!$B$2:$B$61,A136)</f>
        <v/>
      </c>
      <c r="F136" s="44">
        <f>E136*INDEX('Age profile'!$B$2:$B$61,B136)</f>
        <v/>
      </c>
      <c r="G136" s="45">
        <f>MIN(in_takeup_cap,INDEX('Age profile'!$N$2:$N$61,B136)*(1+in_takeup_growth)^(D136-1))</f>
        <v/>
      </c>
      <c r="H136" s="11">
        <f>MIN(in_approval_cap,in_approved_first*INDEX('Age profile'!$O$2:$O$61,B136)*(1+in_approval_growth)^(D136-1))</f>
        <v/>
      </c>
      <c r="I136" s="45">
        <f>G136*MIN(in_takeup_cap,INDEX('Age profile'!$O$2:$O$61,B136)*(1+in_approval_growth)^(D136-1))</f>
        <v/>
      </c>
      <c r="J136" s="40">
        <f>(J135-L135)*F136/F135</f>
        <v/>
      </c>
      <c r="K136" s="40">
        <f>(K135-M135)*F136/F135+SUMIFS(O121:O135,B121:B135,B136-1-d_T)*F136</f>
        <v/>
      </c>
      <c r="L136" s="40">
        <f>IF(B136&gt;=in_marketplace_from,J136*d_hz*G136*in_eligible*H136,0)</f>
        <v/>
      </c>
      <c r="M136" s="40">
        <f>IF(B136&gt;=in_marketplace_from,K136*d_hz*G136*in_eligible*in_approved_repeat,0)</f>
        <v/>
      </c>
      <c r="N136" s="40">
        <f>L136+M136</f>
        <v/>
      </c>
      <c r="O136" s="46">
        <f>N136/F136</f>
        <v/>
      </c>
      <c r="P136" s="40">
        <f>F136-J136-K136</f>
        <v/>
      </c>
      <c r="Q136" s="40">
        <f>IF(B136&gt;=in_marketplace_from,(J136+K136)*d_hz*G136,0)</f>
        <v/>
      </c>
      <c r="R136" s="40">
        <f>SUMIFS(N121:N178,B121:B178,"&gt;="&amp;(B136-d_T),B121:B178,"&lt;="&amp;(B136-1))</f>
        <v/>
      </c>
      <c r="S136" s="46">
        <f>(1-d_u)*S135+IF(d_T&gt;in_topup_lag,SUMIFS(O121:O178,B121:B178,B136-in_topup_lag)-d_udrop*SUMIFS(O121:O178,B121:B178,B136-d_T),0)</f>
        <v/>
      </c>
      <c r="T136" s="40">
        <f>F136*d_u*S136</f>
        <v/>
      </c>
      <c r="U136" s="9">
        <f>L136*in_ticket+M136*d_rep_ticket</f>
        <v/>
      </c>
      <c r="V136" s="9">
        <f>U136+T136*d_topup_amt</f>
        <v/>
      </c>
      <c r="W136" s="40">
        <f>N136+T136*d_topup_ratio</f>
        <v/>
      </c>
      <c r="X136" s="40">
        <f>SUMIFS(W121:W178,B121:B178,B136-in_dpd_lag)*d_cured</f>
        <v/>
      </c>
      <c r="Y136" s="40">
        <f>SUMIFS(W121:W178,B121:B178,B136-in_rec_lag)*d_recd</f>
        <v/>
      </c>
      <c r="Z136" s="40">
        <f>IF(AND(B136&gt;=in_marketplace_from,B136&lt;in_marketplace_from+in_card_months),in_card_share/in_card_months*F136*I136,IF(AND(B136&gt;=in_marketplace_from+in_card_months,B136&lt;in_marketplace_from+2*in_card_months),in_card_share*d_card_rem/in_card_months*F136*MIN(in_takeup_cap,(1+in_takeup_growth)^(D136-1))*MIN(in_takeup_cap,(1+in_approval_growth)^(D136-1)),0))</f>
        <v/>
      </c>
      <c r="AA136" s="14">
        <f>V136*in_fee*(1-in_taken_back)</f>
        <v/>
      </c>
      <c r="AB136" s="14">
        <f>SUMIFS(W121:W178,B121:B178,B136-in_dpd_lag)*d_dpd</f>
        <v/>
      </c>
      <c r="AC136" s="14">
        <f>SUMIFS(W121:W178,B121:B178,B136-in_rec_lag)*d_rec</f>
        <v/>
      </c>
      <c r="AD136" s="14">
        <f>Z136*in_card_fee</f>
        <v/>
      </c>
      <c r="AE136" s="40">
        <f>AE135*(1-IF(B135&gt;=in_marketplace_from,d_hz_hlth_small*G135,0))</f>
        <v/>
      </c>
      <c r="AF136" s="46">
        <f>AE136*IF(B136&gt;=in_marketplace_from,d_hz_hlth_small*G136,0)</f>
        <v/>
      </c>
      <c r="AG136" s="14">
        <f>F136*AF136*in_hlth_small_ticket*in_hlth_small_comm*in_ins_partner_share+F136*in_hlth_small_ticket*in_hlth_small_renew_comm*in_ins_partner_share*(in_hlth_small_renew^1*SUMIFS(AF121:AF178,B121:B178,B136-12)+in_hlth_small_renew^2*SUMIFS(AF121:AF178,B121:B178,B136-24)+in_hlth_small_renew^3*SUMIFS(AF121:AF178,B121:B178,B136-36)+in_hlth_small_renew^4*SUMIFS(AF121:AF178,B121:B178,B136-48))</f>
        <v/>
      </c>
      <c r="AH136" s="40">
        <f>AH135*(1-IF(B135&gt;=in_marketplace_from,d_hz_hlth_family*G135,0))</f>
        <v/>
      </c>
      <c r="AI136" s="46">
        <f>AH136*IF(B136&gt;=in_marketplace_from,d_hz_hlth_family*G136,0)</f>
        <v/>
      </c>
      <c r="AJ136" s="14">
        <f>F136*AI136*in_hlth_family_ticket*in_hlth_family_comm*in_ins_partner_share+F136*in_hlth_family_ticket*in_hlth_family_renew_comm*in_ins_partner_share*(in_hlth_family_renew^1*SUMIFS(AI121:AI178,B121:B178,B136-12)+in_hlth_family_renew^2*SUMIFS(AI121:AI178,B121:B178,B136-24)+in_hlth_family_renew^3*SUMIFS(AI121:AI178,B121:B178,B136-36)+in_hlth_family_renew^4*SUMIFS(AI121:AI178,B121:B178,B136-48))</f>
        <v/>
      </c>
      <c r="AK136" s="40">
        <f>AK135*(1-IF(B135&gt;=in_marketplace_from,d_hz_life_term*G135,0))</f>
        <v/>
      </c>
      <c r="AL136" s="46">
        <f>AK136*IF(B136&gt;=in_marketplace_from,d_hz_life_term*G136,0)</f>
        <v/>
      </c>
      <c r="AM136" s="14">
        <f>F136*AL136*in_life_term_ticket*in_life_term_comm*in_ins_partner_share+F136*in_life_term_ticket*in_life_term_renew_comm*in_ins_partner_share*(in_life_term_renew^1*SUMIFS(AL121:AL178,B121:B178,B136-12)+in_life_term_renew^2*SUMIFS(AL121:AL178,B121:B178,B136-24)+in_life_term_renew^3*SUMIFS(AL121:AL178,B121:B178,B136-36)+in_life_term_renew^4*SUMIFS(AL121:AL178,B121:B178,B136-48))</f>
        <v/>
      </c>
      <c r="AN136" s="40">
        <f>AN135*(1-IF(B135&gt;=in_marketplace_from,d_hz_accident*G135,0))</f>
        <v/>
      </c>
      <c r="AO136" s="46">
        <f>AN136*IF(B136&gt;=in_marketplace_from,d_hz_accident*G136,0)</f>
        <v/>
      </c>
      <c r="AP136" s="14">
        <f>F136*AO136*in_accident_ticket*in_accident_comm*in_ins_partner_share+F136*in_accident_ticket*in_accident_renew_comm*in_ins_partner_share*(in_accident_renew^1*SUMIFS(AO121:AO178,B121:B178,B136-12)+in_accident_renew^2*SUMIFS(AO121:AO178,B121:B178,B136-24)+in_accident_renew^3*SUMIFS(AO121:AO178,B121:B178,B136-36)+in_accident_renew^4*SUMIFS(AO121:AO178,B121:B178,B136-48))</f>
        <v/>
      </c>
      <c r="AQ136" s="40">
        <f>AQ135*(1-IF(B135&gt;=in_marketplace_from,d_hz_two_wheeler*G135,0))</f>
        <v/>
      </c>
      <c r="AR136" s="46">
        <f>AQ136*IF(B136&gt;=in_marketplace_from,d_hz_two_wheeler*G136,0)</f>
        <v/>
      </c>
      <c r="AS136" s="14">
        <f>F136*AR136*in_two_wheeler_ticket*in_two_wheeler_comm*in_ins_partner_share+F136*in_two_wheeler_ticket*in_two_wheeler_comm*in_ins_partner_share*(in_two_wheeler_renew^1*SUMIFS(AR121:AR178,B121:B178,B136-12)+in_two_wheeler_renew^2*SUMIFS(AR121:AR178,B121:B178,B136-24)+in_two_wheeler_renew^3*SUMIFS(AR121:AR178,B121:B178,B136-36)+in_two_wheeler_renew^4*SUMIFS(AR121:AR178,B121:B178,B136-48))</f>
        <v/>
      </c>
      <c r="AT136" s="40">
        <f>AT135*(1-IF(B135&gt;=in_marketplace_from,d_hz_device*G135,0))</f>
        <v/>
      </c>
      <c r="AU136" s="14">
        <f>F136*AT136*IF(B136&gt;=in_marketplace_from,d_hz_device*G136,0)*in_device_ticket*in_device_comm*in_ins_partner_share</f>
        <v/>
      </c>
      <c r="AV136" s="40">
        <f>AV135*(1-IF(B135&gt;=in_marketplace_from,d_hz_shop*G135,0))</f>
        <v/>
      </c>
      <c r="AW136" s="46">
        <f>AV136*IF(B136&gt;=in_marketplace_from,d_hz_shop*G136,0)</f>
        <v/>
      </c>
      <c r="AX136" s="14">
        <f>F136*AW136*in_shop_ticket*in_shop_comm*in_ins_partner_share+F136*in_shop_ticket*in_shop_renew_comm*in_ins_partner_share*(in_shop_renew^1*SUMIFS(AW121:AW178,B121:B178,B136-12)+in_shop_renew^2*SUMIFS(AW121:AW178,B121:B178,B136-24)+in_shop_renew^3*SUMIFS(AW121:AW178,B121:B178,B136-36)+in_shop_renew^4*SUMIFS(AW121:AW178,B121:B178,B136-48))</f>
        <v/>
      </c>
      <c r="AY136" s="40">
        <f>AY135*(1-IF(B135&gt;=in_marketplace_from,d_hz_sip*G135,0))</f>
        <v/>
      </c>
      <c r="AZ136" s="40">
        <f>AZ135*d_rho_sip+AY136*IF(B136&gt;=in_marketplace_from,d_hz_sip*G136,0)</f>
        <v/>
      </c>
      <c r="BA136" s="40">
        <f>d_rho_sip*(BA135+AZ135)</f>
        <v/>
      </c>
      <c r="BB136" s="14">
        <f>F136*in_sip_ticket*(BA136+0.5*AZ136)*in_sip_comm/12</f>
        <v/>
      </c>
      <c r="BC136" s="40">
        <f>BC135*(1-IF(B135&gt;=in_marketplace_from,d_hz_choti*G135,0))</f>
        <v/>
      </c>
      <c r="BD136" s="46">
        <f>BC136*IF(B136&gt;=in_marketplace_from,d_hz_choti*G136,0)</f>
        <v/>
      </c>
      <c r="BE136" s="14">
        <f>F136*SUMIFS(BD121:BD178,B121:B178,B136-in_choti_months)*in_choti_renew*in_choti_ticket</f>
        <v/>
      </c>
      <c r="BF136" s="40">
        <f>BF135*(1-IF(B135&gt;=in_marketplace_from,d_hz_nps*G135,0))</f>
        <v/>
      </c>
      <c r="BG136" s="14">
        <f>F136*BF136*IF(B136&gt;=in_marketplace_from,d_hz_nps*G136,0)*in_nps_ticket*in_nps_comm</f>
        <v/>
      </c>
      <c r="BH136" s="40">
        <f>BH135*(1-IF(B135&gt;=in_marketplace_from,d_hz_gold*G135,0))</f>
        <v/>
      </c>
      <c r="BI136" s="40">
        <f>BI135*d_rho_gold+BH136*IF(B136&gt;=in_marketplace_from,d_hz_gold*G136,0)</f>
        <v/>
      </c>
      <c r="BJ136" s="14">
        <f>F136*BI136*in_gold_ticket*in_gold_comm</f>
        <v/>
      </c>
      <c r="BK136" s="40">
        <f>BK135*(1-IF(B135&gt;=in_marketplace_from,d_hz_fd*G135,0))</f>
        <v/>
      </c>
      <c r="BL136" s="14">
        <f>F136*BK136*IF(B136&gt;=in_marketplace_from,d_hz_fd*G136,0)*in_fd_ticket*in_fd_comm</f>
        <v/>
      </c>
      <c r="BM136" s="40">
        <f>BM135*(1-IF(B135&gt;=in_marketplace_from,d_hz_recharge*G135,0))</f>
        <v/>
      </c>
      <c r="BN136" s="40">
        <f>BN135*d_rho_recharge+BM136*IF(B136&gt;=in_marketplace_from,d_hz_recharge*G136,0)</f>
        <v/>
      </c>
      <c r="BO136" s="14">
        <f>F136*BN136*in_recharge_ticket*in_recharge_comm/12</f>
        <v/>
      </c>
      <c r="BP136" s="40">
        <f>BP135*(1-IF(B135&gt;=in_marketplace_from,d_hz_bills*G135,0))</f>
        <v/>
      </c>
      <c r="BQ136" s="40">
        <f>BQ135*d_rho_bills+BP136*IF(B136&gt;=in_marketplace_from,d_hz_bills*G136,0)</f>
        <v/>
      </c>
      <c r="BR136" s="14">
        <f>F136*BQ136*in_bills_ticket*in_bills_comm/12</f>
        <v/>
      </c>
      <c r="BS136" s="40">
        <f>BS135*(1-IF(B135&gt;=in_marketplace_from,d_hz_loan_gold*G135,0))</f>
        <v/>
      </c>
      <c r="BT136" s="14">
        <f>F136*BS136*IF(B136&gt;=in_marketplace_from,d_hz_loan_gold*G136,0)*in_loan_gold_ticket*in_loan_gold_comm</f>
        <v/>
      </c>
      <c r="BU136" s="40">
        <f>BU135*(1-IF(B135&gt;=in_marketplace_from,d_hz_loan_cd*G135,0))</f>
        <v/>
      </c>
      <c r="BV136" s="14">
        <f>F136*BU136*IF(B136&gt;=in_marketplace_from,d_hz_loan_cd*G136,0)*in_loan_cd_ticket*in_loan_cd_comm</f>
        <v/>
      </c>
      <c r="BW136" s="40">
        <f>BW135*(1-IF(B135&gt;=in_marketplace_from,d_hz_loan_vehicle*G135,0))</f>
        <v/>
      </c>
      <c r="BX136" s="14">
        <f>F136*BW136*IF(B136&gt;=in_marketplace_from,d_hz_loan_vehicle*G136,0)*in_loan_vehicle_ticket*in_loan_vehicle_comm</f>
        <v/>
      </c>
      <c r="BY136" s="40">
        <f>BY135*(1-IF(B135&gt;=in_marketplace_from,d_hz_loan_home*G135,0)*BZ135)</f>
        <v/>
      </c>
      <c r="BZ136" s="11">
        <f>MIN(in_approval_cap,in_loan_home_approval*INDEX('Age profile'!$O$2:$O$61,B136)*(1+in_approval_growth)^(D136-1))</f>
        <v/>
      </c>
      <c r="CA136" s="14">
        <f>F136*BY136*IF(B136&gt;=in_marketplace_from,d_hz_loan_home*G136,0)*BZ136*in_loan_home_ticket*in_loan_home_comm</f>
        <v/>
      </c>
      <c r="CB136" s="40">
        <f>CB135*(1-IF(B135&gt;=in_marketplace_from,d_hz_loan_lap*G135,0)*CC135)</f>
        <v/>
      </c>
      <c r="CC136" s="11">
        <f>MIN(in_approval_cap,in_loan_lap_approval*INDEX('Age profile'!$O$2:$O$61,B136)*(1+in_approval_growth)^(D136-1))</f>
        <v/>
      </c>
      <c r="CD136" s="14">
        <f>F136*CB136*IF(B136&gt;=in_marketplace_from,d_hz_loan_lap*G136,0)*CC136*in_loan_lap_ticket*in_loan_lap_comm</f>
        <v/>
      </c>
      <c r="CE136" s="14">
        <f>AA136+AB136+AC136+AD136+AG136+AJ136+AM136+AP136+AS136+AU136+AX136+BB136+BE136+BG136+BJ136+BL136+BO136+BR136+BT136+BV136+BX136+CA136+CD136</f>
        <v/>
      </c>
    </row>
    <row r="137">
      <c r="A137" s="39" t="n">
        <v>3</v>
      </c>
      <c r="B137" s="39" t="n">
        <v>17</v>
      </c>
      <c r="C137" s="39">
        <f>A137+B137-1</f>
        <v/>
      </c>
      <c r="D137" s="39">
        <f>INT((C137-1)/12)+1</f>
        <v/>
      </c>
      <c r="E137" s="44">
        <f>INDEX(Monthly!$B$2:$B$61,A137)</f>
        <v/>
      </c>
      <c r="F137" s="44">
        <f>E137*INDEX('Age profile'!$B$2:$B$61,B137)</f>
        <v/>
      </c>
      <c r="G137" s="45">
        <f>MIN(in_takeup_cap,INDEX('Age profile'!$N$2:$N$61,B137)*(1+in_takeup_growth)^(D137-1))</f>
        <v/>
      </c>
      <c r="H137" s="11">
        <f>MIN(in_approval_cap,in_approved_first*INDEX('Age profile'!$O$2:$O$61,B137)*(1+in_approval_growth)^(D137-1))</f>
        <v/>
      </c>
      <c r="I137" s="45">
        <f>G137*MIN(in_takeup_cap,INDEX('Age profile'!$O$2:$O$61,B137)*(1+in_approval_growth)^(D137-1))</f>
        <v/>
      </c>
      <c r="J137" s="40">
        <f>(J136-L136)*F137/F136</f>
        <v/>
      </c>
      <c r="K137" s="40">
        <f>(K136-M136)*F137/F136+SUMIFS(O121:O136,B121:B136,B137-1-d_T)*F137</f>
        <v/>
      </c>
      <c r="L137" s="40">
        <f>IF(B137&gt;=in_marketplace_from,J137*d_hz*G137*in_eligible*H137,0)</f>
        <v/>
      </c>
      <c r="M137" s="40">
        <f>IF(B137&gt;=in_marketplace_from,K137*d_hz*G137*in_eligible*in_approved_repeat,0)</f>
        <v/>
      </c>
      <c r="N137" s="40">
        <f>L137+M137</f>
        <v/>
      </c>
      <c r="O137" s="46">
        <f>N137/F137</f>
        <v/>
      </c>
      <c r="P137" s="40">
        <f>F137-J137-K137</f>
        <v/>
      </c>
      <c r="Q137" s="40">
        <f>IF(B137&gt;=in_marketplace_from,(J137+K137)*d_hz*G137,0)</f>
        <v/>
      </c>
      <c r="R137" s="40">
        <f>SUMIFS(N121:N178,B121:B178,"&gt;="&amp;(B137-d_T),B121:B178,"&lt;="&amp;(B137-1))</f>
        <v/>
      </c>
      <c r="S137" s="46">
        <f>(1-d_u)*S136+IF(d_T&gt;in_topup_lag,SUMIFS(O121:O178,B121:B178,B137-in_topup_lag)-d_udrop*SUMIFS(O121:O178,B121:B178,B137-d_T),0)</f>
        <v/>
      </c>
      <c r="T137" s="40">
        <f>F137*d_u*S137</f>
        <v/>
      </c>
      <c r="U137" s="9">
        <f>L137*in_ticket+M137*d_rep_ticket</f>
        <v/>
      </c>
      <c r="V137" s="9">
        <f>U137+T137*d_topup_amt</f>
        <v/>
      </c>
      <c r="W137" s="40">
        <f>N137+T137*d_topup_ratio</f>
        <v/>
      </c>
      <c r="X137" s="40">
        <f>SUMIFS(W121:W178,B121:B178,B137-in_dpd_lag)*d_cured</f>
        <v/>
      </c>
      <c r="Y137" s="40">
        <f>SUMIFS(W121:W178,B121:B178,B137-in_rec_lag)*d_recd</f>
        <v/>
      </c>
      <c r="Z137" s="40">
        <f>IF(AND(B137&gt;=in_marketplace_from,B137&lt;in_marketplace_from+in_card_months),in_card_share/in_card_months*F137*I137,IF(AND(B137&gt;=in_marketplace_from+in_card_months,B137&lt;in_marketplace_from+2*in_card_months),in_card_share*d_card_rem/in_card_months*F137*MIN(in_takeup_cap,(1+in_takeup_growth)^(D137-1))*MIN(in_takeup_cap,(1+in_approval_growth)^(D137-1)),0))</f>
        <v/>
      </c>
      <c r="AA137" s="14">
        <f>V137*in_fee*(1-in_taken_back)</f>
        <v/>
      </c>
      <c r="AB137" s="14">
        <f>SUMIFS(W121:W178,B121:B178,B137-in_dpd_lag)*d_dpd</f>
        <v/>
      </c>
      <c r="AC137" s="14">
        <f>SUMIFS(W121:W178,B121:B178,B137-in_rec_lag)*d_rec</f>
        <v/>
      </c>
      <c r="AD137" s="14">
        <f>Z137*in_card_fee</f>
        <v/>
      </c>
      <c r="AE137" s="40">
        <f>AE136*(1-IF(B136&gt;=in_marketplace_from,d_hz_hlth_small*G136,0))</f>
        <v/>
      </c>
      <c r="AF137" s="46">
        <f>AE137*IF(B137&gt;=in_marketplace_from,d_hz_hlth_small*G137,0)</f>
        <v/>
      </c>
      <c r="AG137" s="14">
        <f>F137*AF137*in_hlth_small_ticket*in_hlth_small_comm*in_ins_partner_share+F137*in_hlth_small_ticket*in_hlth_small_renew_comm*in_ins_partner_share*(in_hlth_small_renew^1*SUMIFS(AF121:AF178,B121:B178,B137-12)+in_hlth_small_renew^2*SUMIFS(AF121:AF178,B121:B178,B137-24)+in_hlth_small_renew^3*SUMIFS(AF121:AF178,B121:B178,B137-36)+in_hlth_small_renew^4*SUMIFS(AF121:AF178,B121:B178,B137-48))</f>
        <v/>
      </c>
      <c r="AH137" s="40">
        <f>AH136*(1-IF(B136&gt;=in_marketplace_from,d_hz_hlth_family*G136,0))</f>
        <v/>
      </c>
      <c r="AI137" s="46">
        <f>AH137*IF(B137&gt;=in_marketplace_from,d_hz_hlth_family*G137,0)</f>
        <v/>
      </c>
      <c r="AJ137" s="14">
        <f>F137*AI137*in_hlth_family_ticket*in_hlth_family_comm*in_ins_partner_share+F137*in_hlth_family_ticket*in_hlth_family_renew_comm*in_ins_partner_share*(in_hlth_family_renew^1*SUMIFS(AI121:AI178,B121:B178,B137-12)+in_hlth_family_renew^2*SUMIFS(AI121:AI178,B121:B178,B137-24)+in_hlth_family_renew^3*SUMIFS(AI121:AI178,B121:B178,B137-36)+in_hlth_family_renew^4*SUMIFS(AI121:AI178,B121:B178,B137-48))</f>
        <v/>
      </c>
      <c r="AK137" s="40">
        <f>AK136*(1-IF(B136&gt;=in_marketplace_from,d_hz_life_term*G136,0))</f>
        <v/>
      </c>
      <c r="AL137" s="46">
        <f>AK137*IF(B137&gt;=in_marketplace_from,d_hz_life_term*G137,0)</f>
        <v/>
      </c>
      <c r="AM137" s="14">
        <f>F137*AL137*in_life_term_ticket*in_life_term_comm*in_ins_partner_share+F137*in_life_term_ticket*in_life_term_renew_comm*in_ins_partner_share*(in_life_term_renew^1*SUMIFS(AL121:AL178,B121:B178,B137-12)+in_life_term_renew^2*SUMIFS(AL121:AL178,B121:B178,B137-24)+in_life_term_renew^3*SUMIFS(AL121:AL178,B121:B178,B137-36)+in_life_term_renew^4*SUMIFS(AL121:AL178,B121:B178,B137-48))</f>
        <v/>
      </c>
      <c r="AN137" s="40">
        <f>AN136*(1-IF(B136&gt;=in_marketplace_from,d_hz_accident*G136,0))</f>
        <v/>
      </c>
      <c r="AO137" s="46">
        <f>AN137*IF(B137&gt;=in_marketplace_from,d_hz_accident*G137,0)</f>
        <v/>
      </c>
      <c r="AP137" s="14">
        <f>F137*AO137*in_accident_ticket*in_accident_comm*in_ins_partner_share+F137*in_accident_ticket*in_accident_renew_comm*in_ins_partner_share*(in_accident_renew^1*SUMIFS(AO121:AO178,B121:B178,B137-12)+in_accident_renew^2*SUMIFS(AO121:AO178,B121:B178,B137-24)+in_accident_renew^3*SUMIFS(AO121:AO178,B121:B178,B137-36)+in_accident_renew^4*SUMIFS(AO121:AO178,B121:B178,B137-48))</f>
        <v/>
      </c>
      <c r="AQ137" s="40">
        <f>AQ136*(1-IF(B136&gt;=in_marketplace_from,d_hz_two_wheeler*G136,0))</f>
        <v/>
      </c>
      <c r="AR137" s="46">
        <f>AQ137*IF(B137&gt;=in_marketplace_from,d_hz_two_wheeler*G137,0)</f>
        <v/>
      </c>
      <c r="AS137" s="14">
        <f>F137*AR137*in_two_wheeler_ticket*in_two_wheeler_comm*in_ins_partner_share+F137*in_two_wheeler_ticket*in_two_wheeler_comm*in_ins_partner_share*(in_two_wheeler_renew^1*SUMIFS(AR121:AR178,B121:B178,B137-12)+in_two_wheeler_renew^2*SUMIFS(AR121:AR178,B121:B178,B137-24)+in_two_wheeler_renew^3*SUMIFS(AR121:AR178,B121:B178,B137-36)+in_two_wheeler_renew^4*SUMIFS(AR121:AR178,B121:B178,B137-48))</f>
        <v/>
      </c>
      <c r="AT137" s="40">
        <f>AT136*(1-IF(B136&gt;=in_marketplace_from,d_hz_device*G136,0))</f>
        <v/>
      </c>
      <c r="AU137" s="14">
        <f>F137*AT137*IF(B137&gt;=in_marketplace_from,d_hz_device*G137,0)*in_device_ticket*in_device_comm*in_ins_partner_share</f>
        <v/>
      </c>
      <c r="AV137" s="40">
        <f>AV136*(1-IF(B136&gt;=in_marketplace_from,d_hz_shop*G136,0))</f>
        <v/>
      </c>
      <c r="AW137" s="46">
        <f>AV137*IF(B137&gt;=in_marketplace_from,d_hz_shop*G137,0)</f>
        <v/>
      </c>
      <c r="AX137" s="14">
        <f>F137*AW137*in_shop_ticket*in_shop_comm*in_ins_partner_share+F137*in_shop_ticket*in_shop_renew_comm*in_ins_partner_share*(in_shop_renew^1*SUMIFS(AW121:AW178,B121:B178,B137-12)+in_shop_renew^2*SUMIFS(AW121:AW178,B121:B178,B137-24)+in_shop_renew^3*SUMIFS(AW121:AW178,B121:B178,B137-36)+in_shop_renew^4*SUMIFS(AW121:AW178,B121:B178,B137-48))</f>
        <v/>
      </c>
      <c r="AY137" s="40">
        <f>AY136*(1-IF(B136&gt;=in_marketplace_from,d_hz_sip*G136,0))</f>
        <v/>
      </c>
      <c r="AZ137" s="40">
        <f>AZ136*d_rho_sip+AY137*IF(B137&gt;=in_marketplace_from,d_hz_sip*G137,0)</f>
        <v/>
      </c>
      <c r="BA137" s="40">
        <f>d_rho_sip*(BA136+AZ136)</f>
        <v/>
      </c>
      <c r="BB137" s="14">
        <f>F137*in_sip_ticket*(BA137+0.5*AZ137)*in_sip_comm/12</f>
        <v/>
      </c>
      <c r="BC137" s="40">
        <f>BC136*(1-IF(B136&gt;=in_marketplace_from,d_hz_choti*G136,0))</f>
        <v/>
      </c>
      <c r="BD137" s="46">
        <f>BC137*IF(B137&gt;=in_marketplace_from,d_hz_choti*G137,0)</f>
        <v/>
      </c>
      <c r="BE137" s="14">
        <f>F137*SUMIFS(BD121:BD178,B121:B178,B137-in_choti_months)*in_choti_renew*in_choti_ticket</f>
        <v/>
      </c>
      <c r="BF137" s="40">
        <f>BF136*(1-IF(B136&gt;=in_marketplace_from,d_hz_nps*G136,0))</f>
        <v/>
      </c>
      <c r="BG137" s="14">
        <f>F137*BF137*IF(B137&gt;=in_marketplace_from,d_hz_nps*G137,0)*in_nps_ticket*in_nps_comm</f>
        <v/>
      </c>
      <c r="BH137" s="40">
        <f>BH136*(1-IF(B136&gt;=in_marketplace_from,d_hz_gold*G136,0))</f>
        <v/>
      </c>
      <c r="BI137" s="40">
        <f>BI136*d_rho_gold+BH137*IF(B137&gt;=in_marketplace_from,d_hz_gold*G137,0)</f>
        <v/>
      </c>
      <c r="BJ137" s="14">
        <f>F137*BI137*in_gold_ticket*in_gold_comm</f>
        <v/>
      </c>
      <c r="BK137" s="40">
        <f>BK136*(1-IF(B136&gt;=in_marketplace_from,d_hz_fd*G136,0))</f>
        <v/>
      </c>
      <c r="BL137" s="14">
        <f>F137*BK137*IF(B137&gt;=in_marketplace_from,d_hz_fd*G137,0)*in_fd_ticket*in_fd_comm</f>
        <v/>
      </c>
      <c r="BM137" s="40">
        <f>BM136*(1-IF(B136&gt;=in_marketplace_from,d_hz_recharge*G136,0))</f>
        <v/>
      </c>
      <c r="BN137" s="40">
        <f>BN136*d_rho_recharge+BM137*IF(B137&gt;=in_marketplace_from,d_hz_recharge*G137,0)</f>
        <v/>
      </c>
      <c r="BO137" s="14">
        <f>F137*BN137*in_recharge_ticket*in_recharge_comm/12</f>
        <v/>
      </c>
      <c r="BP137" s="40">
        <f>BP136*(1-IF(B136&gt;=in_marketplace_from,d_hz_bills*G136,0))</f>
        <v/>
      </c>
      <c r="BQ137" s="40">
        <f>BQ136*d_rho_bills+BP137*IF(B137&gt;=in_marketplace_from,d_hz_bills*G137,0)</f>
        <v/>
      </c>
      <c r="BR137" s="14">
        <f>F137*BQ137*in_bills_ticket*in_bills_comm/12</f>
        <v/>
      </c>
      <c r="BS137" s="40">
        <f>BS136*(1-IF(B136&gt;=in_marketplace_from,d_hz_loan_gold*G136,0))</f>
        <v/>
      </c>
      <c r="BT137" s="14">
        <f>F137*BS137*IF(B137&gt;=in_marketplace_from,d_hz_loan_gold*G137,0)*in_loan_gold_ticket*in_loan_gold_comm</f>
        <v/>
      </c>
      <c r="BU137" s="40">
        <f>BU136*(1-IF(B136&gt;=in_marketplace_from,d_hz_loan_cd*G136,0))</f>
        <v/>
      </c>
      <c r="BV137" s="14">
        <f>F137*BU137*IF(B137&gt;=in_marketplace_from,d_hz_loan_cd*G137,0)*in_loan_cd_ticket*in_loan_cd_comm</f>
        <v/>
      </c>
      <c r="BW137" s="40">
        <f>BW136*(1-IF(B136&gt;=in_marketplace_from,d_hz_loan_vehicle*G136,0))</f>
        <v/>
      </c>
      <c r="BX137" s="14">
        <f>F137*BW137*IF(B137&gt;=in_marketplace_from,d_hz_loan_vehicle*G137,0)*in_loan_vehicle_ticket*in_loan_vehicle_comm</f>
        <v/>
      </c>
      <c r="BY137" s="40">
        <f>BY136*(1-IF(B136&gt;=in_marketplace_from,d_hz_loan_home*G136,0)*BZ136)</f>
        <v/>
      </c>
      <c r="BZ137" s="11">
        <f>MIN(in_approval_cap,in_loan_home_approval*INDEX('Age profile'!$O$2:$O$61,B137)*(1+in_approval_growth)^(D137-1))</f>
        <v/>
      </c>
      <c r="CA137" s="14">
        <f>F137*BY137*IF(B137&gt;=in_marketplace_from,d_hz_loan_home*G137,0)*BZ137*in_loan_home_ticket*in_loan_home_comm</f>
        <v/>
      </c>
      <c r="CB137" s="40">
        <f>CB136*(1-IF(B136&gt;=in_marketplace_from,d_hz_loan_lap*G136,0)*CC136)</f>
        <v/>
      </c>
      <c r="CC137" s="11">
        <f>MIN(in_approval_cap,in_loan_lap_approval*INDEX('Age profile'!$O$2:$O$61,B137)*(1+in_approval_growth)^(D137-1))</f>
        <v/>
      </c>
      <c r="CD137" s="14">
        <f>F137*CB137*IF(B137&gt;=in_marketplace_from,d_hz_loan_lap*G137,0)*CC137*in_loan_lap_ticket*in_loan_lap_comm</f>
        <v/>
      </c>
      <c r="CE137" s="14">
        <f>AA137+AB137+AC137+AD137+AG137+AJ137+AM137+AP137+AS137+AU137+AX137+BB137+BE137+BG137+BJ137+BL137+BO137+BR137+BT137+BV137+BX137+CA137+CD137</f>
        <v/>
      </c>
    </row>
    <row r="138">
      <c r="A138" s="39" t="n">
        <v>3</v>
      </c>
      <c r="B138" s="39" t="n">
        <v>18</v>
      </c>
      <c r="C138" s="39">
        <f>A138+B138-1</f>
        <v/>
      </c>
      <c r="D138" s="39">
        <f>INT((C138-1)/12)+1</f>
        <v/>
      </c>
      <c r="E138" s="44">
        <f>INDEX(Monthly!$B$2:$B$61,A138)</f>
        <v/>
      </c>
      <c r="F138" s="44">
        <f>E138*INDEX('Age profile'!$B$2:$B$61,B138)</f>
        <v/>
      </c>
      <c r="G138" s="45">
        <f>MIN(in_takeup_cap,INDEX('Age profile'!$N$2:$N$61,B138)*(1+in_takeup_growth)^(D138-1))</f>
        <v/>
      </c>
      <c r="H138" s="11">
        <f>MIN(in_approval_cap,in_approved_first*INDEX('Age profile'!$O$2:$O$61,B138)*(1+in_approval_growth)^(D138-1))</f>
        <v/>
      </c>
      <c r="I138" s="45">
        <f>G138*MIN(in_takeup_cap,INDEX('Age profile'!$O$2:$O$61,B138)*(1+in_approval_growth)^(D138-1))</f>
        <v/>
      </c>
      <c r="J138" s="40">
        <f>(J137-L137)*F138/F137</f>
        <v/>
      </c>
      <c r="K138" s="40">
        <f>(K137-M137)*F138/F137+SUMIFS(O121:O137,B121:B137,B138-1-d_T)*F138</f>
        <v/>
      </c>
      <c r="L138" s="40">
        <f>IF(B138&gt;=in_marketplace_from,J138*d_hz*G138*in_eligible*H138,0)</f>
        <v/>
      </c>
      <c r="M138" s="40">
        <f>IF(B138&gt;=in_marketplace_from,K138*d_hz*G138*in_eligible*in_approved_repeat,0)</f>
        <v/>
      </c>
      <c r="N138" s="40">
        <f>L138+M138</f>
        <v/>
      </c>
      <c r="O138" s="46">
        <f>N138/F138</f>
        <v/>
      </c>
      <c r="P138" s="40">
        <f>F138-J138-K138</f>
        <v/>
      </c>
      <c r="Q138" s="40">
        <f>IF(B138&gt;=in_marketplace_from,(J138+K138)*d_hz*G138,0)</f>
        <v/>
      </c>
      <c r="R138" s="40">
        <f>SUMIFS(N121:N178,B121:B178,"&gt;="&amp;(B138-d_T),B121:B178,"&lt;="&amp;(B138-1))</f>
        <v/>
      </c>
      <c r="S138" s="46">
        <f>(1-d_u)*S137+IF(d_T&gt;in_topup_lag,SUMIFS(O121:O178,B121:B178,B138-in_topup_lag)-d_udrop*SUMIFS(O121:O178,B121:B178,B138-d_T),0)</f>
        <v/>
      </c>
      <c r="T138" s="40">
        <f>F138*d_u*S138</f>
        <v/>
      </c>
      <c r="U138" s="9">
        <f>L138*in_ticket+M138*d_rep_ticket</f>
        <v/>
      </c>
      <c r="V138" s="9">
        <f>U138+T138*d_topup_amt</f>
        <v/>
      </c>
      <c r="W138" s="40">
        <f>N138+T138*d_topup_ratio</f>
        <v/>
      </c>
      <c r="X138" s="40">
        <f>SUMIFS(W121:W178,B121:B178,B138-in_dpd_lag)*d_cured</f>
        <v/>
      </c>
      <c r="Y138" s="40">
        <f>SUMIFS(W121:W178,B121:B178,B138-in_rec_lag)*d_recd</f>
        <v/>
      </c>
      <c r="Z138" s="40">
        <f>IF(AND(B138&gt;=in_marketplace_from,B138&lt;in_marketplace_from+in_card_months),in_card_share/in_card_months*F138*I138,IF(AND(B138&gt;=in_marketplace_from+in_card_months,B138&lt;in_marketplace_from+2*in_card_months),in_card_share*d_card_rem/in_card_months*F138*MIN(in_takeup_cap,(1+in_takeup_growth)^(D138-1))*MIN(in_takeup_cap,(1+in_approval_growth)^(D138-1)),0))</f>
        <v/>
      </c>
      <c r="AA138" s="14">
        <f>V138*in_fee*(1-in_taken_back)</f>
        <v/>
      </c>
      <c r="AB138" s="14">
        <f>SUMIFS(W121:W178,B121:B178,B138-in_dpd_lag)*d_dpd</f>
        <v/>
      </c>
      <c r="AC138" s="14">
        <f>SUMIFS(W121:W178,B121:B178,B138-in_rec_lag)*d_rec</f>
        <v/>
      </c>
      <c r="AD138" s="14">
        <f>Z138*in_card_fee</f>
        <v/>
      </c>
      <c r="AE138" s="40">
        <f>AE137*(1-IF(B137&gt;=in_marketplace_from,d_hz_hlth_small*G137,0))</f>
        <v/>
      </c>
      <c r="AF138" s="46">
        <f>AE138*IF(B138&gt;=in_marketplace_from,d_hz_hlth_small*G138,0)</f>
        <v/>
      </c>
      <c r="AG138" s="14">
        <f>F138*AF138*in_hlth_small_ticket*in_hlth_small_comm*in_ins_partner_share+F138*in_hlth_small_ticket*in_hlth_small_renew_comm*in_ins_partner_share*(in_hlth_small_renew^1*SUMIFS(AF121:AF178,B121:B178,B138-12)+in_hlth_small_renew^2*SUMIFS(AF121:AF178,B121:B178,B138-24)+in_hlth_small_renew^3*SUMIFS(AF121:AF178,B121:B178,B138-36)+in_hlth_small_renew^4*SUMIFS(AF121:AF178,B121:B178,B138-48))</f>
        <v/>
      </c>
      <c r="AH138" s="40">
        <f>AH137*(1-IF(B137&gt;=in_marketplace_from,d_hz_hlth_family*G137,0))</f>
        <v/>
      </c>
      <c r="AI138" s="46">
        <f>AH138*IF(B138&gt;=in_marketplace_from,d_hz_hlth_family*G138,0)</f>
        <v/>
      </c>
      <c r="AJ138" s="14">
        <f>F138*AI138*in_hlth_family_ticket*in_hlth_family_comm*in_ins_partner_share+F138*in_hlth_family_ticket*in_hlth_family_renew_comm*in_ins_partner_share*(in_hlth_family_renew^1*SUMIFS(AI121:AI178,B121:B178,B138-12)+in_hlth_family_renew^2*SUMIFS(AI121:AI178,B121:B178,B138-24)+in_hlth_family_renew^3*SUMIFS(AI121:AI178,B121:B178,B138-36)+in_hlth_family_renew^4*SUMIFS(AI121:AI178,B121:B178,B138-48))</f>
        <v/>
      </c>
      <c r="AK138" s="40">
        <f>AK137*(1-IF(B137&gt;=in_marketplace_from,d_hz_life_term*G137,0))</f>
        <v/>
      </c>
      <c r="AL138" s="46">
        <f>AK138*IF(B138&gt;=in_marketplace_from,d_hz_life_term*G138,0)</f>
        <v/>
      </c>
      <c r="AM138" s="14">
        <f>F138*AL138*in_life_term_ticket*in_life_term_comm*in_ins_partner_share+F138*in_life_term_ticket*in_life_term_renew_comm*in_ins_partner_share*(in_life_term_renew^1*SUMIFS(AL121:AL178,B121:B178,B138-12)+in_life_term_renew^2*SUMIFS(AL121:AL178,B121:B178,B138-24)+in_life_term_renew^3*SUMIFS(AL121:AL178,B121:B178,B138-36)+in_life_term_renew^4*SUMIFS(AL121:AL178,B121:B178,B138-48))</f>
        <v/>
      </c>
      <c r="AN138" s="40">
        <f>AN137*(1-IF(B137&gt;=in_marketplace_from,d_hz_accident*G137,0))</f>
        <v/>
      </c>
      <c r="AO138" s="46">
        <f>AN138*IF(B138&gt;=in_marketplace_from,d_hz_accident*G138,0)</f>
        <v/>
      </c>
      <c r="AP138" s="14">
        <f>F138*AO138*in_accident_ticket*in_accident_comm*in_ins_partner_share+F138*in_accident_ticket*in_accident_renew_comm*in_ins_partner_share*(in_accident_renew^1*SUMIFS(AO121:AO178,B121:B178,B138-12)+in_accident_renew^2*SUMIFS(AO121:AO178,B121:B178,B138-24)+in_accident_renew^3*SUMIFS(AO121:AO178,B121:B178,B138-36)+in_accident_renew^4*SUMIFS(AO121:AO178,B121:B178,B138-48))</f>
        <v/>
      </c>
      <c r="AQ138" s="40">
        <f>AQ137*(1-IF(B137&gt;=in_marketplace_from,d_hz_two_wheeler*G137,0))</f>
        <v/>
      </c>
      <c r="AR138" s="46">
        <f>AQ138*IF(B138&gt;=in_marketplace_from,d_hz_two_wheeler*G138,0)</f>
        <v/>
      </c>
      <c r="AS138" s="14">
        <f>F138*AR138*in_two_wheeler_ticket*in_two_wheeler_comm*in_ins_partner_share+F138*in_two_wheeler_ticket*in_two_wheeler_comm*in_ins_partner_share*(in_two_wheeler_renew^1*SUMIFS(AR121:AR178,B121:B178,B138-12)+in_two_wheeler_renew^2*SUMIFS(AR121:AR178,B121:B178,B138-24)+in_two_wheeler_renew^3*SUMIFS(AR121:AR178,B121:B178,B138-36)+in_two_wheeler_renew^4*SUMIFS(AR121:AR178,B121:B178,B138-48))</f>
        <v/>
      </c>
      <c r="AT138" s="40">
        <f>AT137*(1-IF(B137&gt;=in_marketplace_from,d_hz_device*G137,0))</f>
        <v/>
      </c>
      <c r="AU138" s="14">
        <f>F138*AT138*IF(B138&gt;=in_marketplace_from,d_hz_device*G138,0)*in_device_ticket*in_device_comm*in_ins_partner_share</f>
        <v/>
      </c>
      <c r="AV138" s="40">
        <f>AV137*(1-IF(B137&gt;=in_marketplace_from,d_hz_shop*G137,0))</f>
        <v/>
      </c>
      <c r="AW138" s="46">
        <f>AV138*IF(B138&gt;=in_marketplace_from,d_hz_shop*G138,0)</f>
        <v/>
      </c>
      <c r="AX138" s="14">
        <f>F138*AW138*in_shop_ticket*in_shop_comm*in_ins_partner_share+F138*in_shop_ticket*in_shop_renew_comm*in_ins_partner_share*(in_shop_renew^1*SUMIFS(AW121:AW178,B121:B178,B138-12)+in_shop_renew^2*SUMIFS(AW121:AW178,B121:B178,B138-24)+in_shop_renew^3*SUMIFS(AW121:AW178,B121:B178,B138-36)+in_shop_renew^4*SUMIFS(AW121:AW178,B121:B178,B138-48))</f>
        <v/>
      </c>
      <c r="AY138" s="40">
        <f>AY137*(1-IF(B137&gt;=in_marketplace_from,d_hz_sip*G137,0))</f>
        <v/>
      </c>
      <c r="AZ138" s="40">
        <f>AZ137*d_rho_sip+AY138*IF(B138&gt;=in_marketplace_from,d_hz_sip*G138,0)</f>
        <v/>
      </c>
      <c r="BA138" s="40">
        <f>d_rho_sip*(BA137+AZ137)</f>
        <v/>
      </c>
      <c r="BB138" s="14">
        <f>F138*in_sip_ticket*(BA138+0.5*AZ138)*in_sip_comm/12</f>
        <v/>
      </c>
      <c r="BC138" s="40">
        <f>BC137*(1-IF(B137&gt;=in_marketplace_from,d_hz_choti*G137,0))</f>
        <v/>
      </c>
      <c r="BD138" s="46">
        <f>BC138*IF(B138&gt;=in_marketplace_from,d_hz_choti*G138,0)</f>
        <v/>
      </c>
      <c r="BE138" s="14">
        <f>F138*SUMIFS(BD121:BD178,B121:B178,B138-in_choti_months)*in_choti_renew*in_choti_ticket</f>
        <v/>
      </c>
      <c r="BF138" s="40">
        <f>BF137*(1-IF(B137&gt;=in_marketplace_from,d_hz_nps*G137,0))</f>
        <v/>
      </c>
      <c r="BG138" s="14">
        <f>F138*BF138*IF(B138&gt;=in_marketplace_from,d_hz_nps*G138,0)*in_nps_ticket*in_nps_comm</f>
        <v/>
      </c>
      <c r="BH138" s="40">
        <f>BH137*(1-IF(B137&gt;=in_marketplace_from,d_hz_gold*G137,0))</f>
        <v/>
      </c>
      <c r="BI138" s="40">
        <f>BI137*d_rho_gold+BH138*IF(B138&gt;=in_marketplace_from,d_hz_gold*G138,0)</f>
        <v/>
      </c>
      <c r="BJ138" s="14">
        <f>F138*BI138*in_gold_ticket*in_gold_comm</f>
        <v/>
      </c>
      <c r="BK138" s="40">
        <f>BK137*(1-IF(B137&gt;=in_marketplace_from,d_hz_fd*G137,0))</f>
        <v/>
      </c>
      <c r="BL138" s="14">
        <f>F138*BK138*IF(B138&gt;=in_marketplace_from,d_hz_fd*G138,0)*in_fd_ticket*in_fd_comm</f>
        <v/>
      </c>
      <c r="BM138" s="40">
        <f>BM137*(1-IF(B137&gt;=in_marketplace_from,d_hz_recharge*G137,0))</f>
        <v/>
      </c>
      <c r="BN138" s="40">
        <f>BN137*d_rho_recharge+BM138*IF(B138&gt;=in_marketplace_from,d_hz_recharge*G138,0)</f>
        <v/>
      </c>
      <c r="BO138" s="14">
        <f>F138*BN138*in_recharge_ticket*in_recharge_comm/12</f>
        <v/>
      </c>
      <c r="BP138" s="40">
        <f>BP137*(1-IF(B137&gt;=in_marketplace_from,d_hz_bills*G137,0))</f>
        <v/>
      </c>
      <c r="BQ138" s="40">
        <f>BQ137*d_rho_bills+BP138*IF(B138&gt;=in_marketplace_from,d_hz_bills*G138,0)</f>
        <v/>
      </c>
      <c r="BR138" s="14">
        <f>F138*BQ138*in_bills_ticket*in_bills_comm/12</f>
        <v/>
      </c>
      <c r="BS138" s="40">
        <f>BS137*(1-IF(B137&gt;=in_marketplace_from,d_hz_loan_gold*G137,0))</f>
        <v/>
      </c>
      <c r="BT138" s="14">
        <f>F138*BS138*IF(B138&gt;=in_marketplace_from,d_hz_loan_gold*G138,0)*in_loan_gold_ticket*in_loan_gold_comm</f>
        <v/>
      </c>
      <c r="BU138" s="40">
        <f>BU137*(1-IF(B137&gt;=in_marketplace_from,d_hz_loan_cd*G137,0))</f>
        <v/>
      </c>
      <c r="BV138" s="14">
        <f>F138*BU138*IF(B138&gt;=in_marketplace_from,d_hz_loan_cd*G138,0)*in_loan_cd_ticket*in_loan_cd_comm</f>
        <v/>
      </c>
      <c r="BW138" s="40">
        <f>BW137*(1-IF(B137&gt;=in_marketplace_from,d_hz_loan_vehicle*G137,0))</f>
        <v/>
      </c>
      <c r="BX138" s="14">
        <f>F138*BW138*IF(B138&gt;=in_marketplace_from,d_hz_loan_vehicle*G138,0)*in_loan_vehicle_ticket*in_loan_vehicle_comm</f>
        <v/>
      </c>
      <c r="BY138" s="40">
        <f>BY137*(1-IF(B137&gt;=in_marketplace_from,d_hz_loan_home*G137,0)*BZ137)</f>
        <v/>
      </c>
      <c r="BZ138" s="11">
        <f>MIN(in_approval_cap,in_loan_home_approval*INDEX('Age profile'!$O$2:$O$61,B138)*(1+in_approval_growth)^(D138-1))</f>
        <v/>
      </c>
      <c r="CA138" s="14">
        <f>F138*BY138*IF(B138&gt;=in_marketplace_from,d_hz_loan_home*G138,0)*BZ138*in_loan_home_ticket*in_loan_home_comm</f>
        <v/>
      </c>
      <c r="CB138" s="40">
        <f>CB137*(1-IF(B137&gt;=in_marketplace_from,d_hz_loan_lap*G137,0)*CC137)</f>
        <v/>
      </c>
      <c r="CC138" s="11">
        <f>MIN(in_approval_cap,in_loan_lap_approval*INDEX('Age profile'!$O$2:$O$61,B138)*(1+in_approval_growth)^(D138-1))</f>
        <v/>
      </c>
      <c r="CD138" s="14">
        <f>F138*CB138*IF(B138&gt;=in_marketplace_from,d_hz_loan_lap*G138,0)*CC138*in_loan_lap_ticket*in_loan_lap_comm</f>
        <v/>
      </c>
      <c r="CE138" s="14">
        <f>AA138+AB138+AC138+AD138+AG138+AJ138+AM138+AP138+AS138+AU138+AX138+BB138+BE138+BG138+BJ138+BL138+BO138+BR138+BT138+BV138+BX138+CA138+CD138</f>
        <v/>
      </c>
    </row>
    <row r="139">
      <c r="A139" s="39" t="n">
        <v>3</v>
      </c>
      <c r="B139" s="39" t="n">
        <v>19</v>
      </c>
      <c r="C139" s="39">
        <f>A139+B139-1</f>
        <v/>
      </c>
      <c r="D139" s="39">
        <f>INT((C139-1)/12)+1</f>
        <v/>
      </c>
      <c r="E139" s="44">
        <f>INDEX(Monthly!$B$2:$B$61,A139)</f>
        <v/>
      </c>
      <c r="F139" s="44">
        <f>E139*INDEX('Age profile'!$B$2:$B$61,B139)</f>
        <v/>
      </c>
      <c r="G139" s="45">
        <f>MIN(in_takeup_cap,INDEX('Age profile'!$N$2:$N$61,B139)*(1+in_takeup_growth)^(D139-1))</f>
        <v/>
      </c>
      <c r="H139" s="11">
        <f>MIN(in_approval_cap,in_approved_first*INDEX('Age profile'!$O$2:$O$61,B139)*(1+in_approval_growth)^(D139-1))</f>
        <v/>
      </c>
      <c r="I139" s="45">
        <f>G139*MIN(in_takeup_cap,INDEX('Age profile'!$O$2:$O$61,B139)*(1+in_approval_growth)^(D139-1))</f>
        <v/>
      </c>
      <c r="J139" s="40">
        <f>(J138-L138)*F139/F138</f>
        <v/>
      </c>
      <c r="K139" s="40">
        <f>(K138-M138)*F139/F138+SUMIFS(O121:O138,B121:B138,B139-1-d_T)*F139</f>
        <v/>
      </c>
      <c r="L139" s="40">
        <f>IF(B139&gt;=in_marketplace_from,J139*d_hz*G139*in_eligible*H139,0)</f>
        <v/>
      </c>
      <c r="M139" s="40">
        <f>IF(B139&gt;=in_marketplace_from,K139*d_hz*G139*in_eligible*in_approved_repeat,0)</f>
        <v/>
      </c>
      <c r="N139" s="40">
        <f>L139+M139</f>
        <v/>
      </c>
      <c r="O139" s="46">
        <f>N139/F139</f>
        <v/>
      </c>
      <c r="P139" s="40">
        <f>F139-J139-K139</f>
        <v/>
      </c>
      <c r="Q139" s="40">
        <f>IF(B139&gt;=in_marketplace_from,(J139+K139)*d_hz*G139,0)</f>
        <v/>
      </c>
      <c r="R139" s="40">
        <f>SUMIFS(N121:N178,B121:B178,"&gt;="&amp;(B139-d_T),B121:B178,"&lt;="&amp;(B139-1))</f>
        <v/>
      </c>
      <c r="S139" s="46">
        <f>(1-d_u)*S138+IF(d_T&gt;in_topup_lag,SUMIFS(O121:O178,B121:B178,B139-in_topup_lag)-d_udrop*SUMIFS(O121:O178,B121:B178,B139-d_T),0)</f>
        <v/>
      </c>
      <c r="T139" s="40">
        <f>F139*d_u*S139</f>
        <v/>
      </c>
      <c r="U139" s="9">
        <f>L139*in_ticket+M139*d_rep_ticket</f>
        <v/>
      </c>
      <c r="V139" s="9">
        <f>U139+T139*d_topup_amt</f>
        <v/>
      </c>
      <c r="W139" s="40">
        <f>N139+T139*d_topup_ratio</f>
        <v/>
      </c>
      <c r="X139" s="40">
        <f>SUMIFS(W121:W178,B121:B178,B139-in_dpd_lag)*d_cured</f>
        <v/>
      </c>
      <c r="Y139" s="40">
        <f>SUMIFS(W121:W178,B121:B178,B139-in_rec_lag)*d_recd</f>
        <v/>
      </c>
      <c r="Z139" s="40">
        <f>IF(AND(B139&gt;=in_marketplace_from,B139&lt;in_marketplace_from+in_card_months),in_card_share/in_card_months*F139*I139,IF(AND(B139&gt;=in_marketplace_from+in_card_months,B139&lt;in_marketplace_from+2*in_card_months),in_card_share*d_card_rem/in_card_months*F139*MIN(in_takeup_cap,(1+in_takeup_growth)^(D139-1))*MIN(in_takeup_cap,(1+in_approval_growth)^(D139-1)),0))</f>
        <v/>
      </c>
      <c r="AA139" s="14">
        <f>V139*in_fee*(1-in_taken_back)</f>
        <v/>
      </c>
      <c r="AB139" s="14">
        <f>SUMIFS(W121:W178,B121:B178,B139-in_dpd_lag)*d_dpd</f>
        <v/>
      </c>
      <c r="AC139" s="14">
        <f>SUMIFS(W121:W178,B121:B178,B139-in_rec_lag)*d_rec</f>
        <v/>
      </c>
      <c r="AD139" s="14">
        <f>Z139*in_card_fee</f>
        <v/>
      </c>
      <c r="AE139" s="40">
        <f>AE138*(1-IF(B138&gt;=in_marketplace_from,d_hz_hlth_small*G138,0))</f>
        <v/>
      </c>
      <c r="AF139" s="46">
        <f>AE139*IF(B139&gt;=in_marketplace_from,d_hz_hlth_small*G139,0)</f>
        <v/>
      </c>
      <c r="AG139" s="14">
        <f>F139*AF139*in_hlth_small_ticket*in_hlth_small_comm*in_ins_partner_share+F139*in_hlth_small_ticket*in_hlth_small_renew_comm*in_ins_partner_share*(in_hlth_small_renew^1*SUMIFS(AF121:AF178,B121:B178,B139-12)+in_hlth_small_renew^2*SUMIFS(AF121:AF178,B121:B178,B139-24)+in_hlth_small_renew^3*SUMIFS(AF121:AF178,B121:B178,B139-36)+in_hlth_small_renew^4*SUMIFS(AF121:AF178,B121:B178,B139-48))</f>
        <v/>
      </c>
      <c r="AH139" s="40">
        <f>AH138*(1-IF(B138&gt;=in_marketplace_from,d_hz_hlth_family*G138,0))</f>
        <v/>
      </c>
      <c r="AI139" s="46">
        <f>AH139*IF(B139&gt;=in_marketplace_from,d_hz_hlth_family*G139,0)</f>
        <v/>
      </c>
      <c r="AJ139" s="14">
        <f>F139*AI139*in_hlth_family_ticket*in_hlth_family_comm*in_ins_partner_share+F139*in_hlth_family_ticket*in_hlth_family_renew_comm*in_ins_partner_share*(in_hlth_family_renew^1*SUMIFS(AI121:AI178,B121:B178,B139-12)+in_hlth_family_renew^2*SUMIFS(AI121:AI178,B121:B178,B139-24)+in_hlth_family_renew^3*SUMIFS(AI121:AI178,B121:B178,B139-36)+in_hlth_family_renew^4*SUMIFS(AI121:AI178,B121:B178,B139-48))</f>
        <v/>
      </c>
      <c r="AK139" s="40">
        <f>AK138*(1-IF(B138&gt;=in_marketplace_from,d_hz_life_term*G138,0))</f>
        <v/>
      </c>
      <c r="AL139" s="46">
        <f>AK139*IF(B139&gt;=in_marketplace_from,d_hz_life_term*G139,0)</f>
        <v/>
      </c>
      <c r="AM139" s="14">
        <f>F139*AL139*in_life_term_ticket*in_life_term_comm*in_ins_partner_share+F139*in_life_term_ticket*in_life_term_renew_comm*in_ins_partner_share*(in_life_term_renew^1*SUMIFS(AL121:AL178,B121:B178,B139-12)+in_life_term_renew^2*SUMIFS(AL121:AL178,B121:B178,B139-24)+in_life_term_renew^3*SUMIFS(AL121:AL178,B121:B178,B139-36)+in_life_term_renew^4*SUMIFS(AL121:AL178,B121:B178,B139-48))</f>
        <v/>
      </c>
      <c r="AN139" s="40">
        <f>AN138*(1-IF(B138&gt;=in_marketplace_from,d_hz_accident*G138,0))</f>
        <v/>
      </c>
      <c r="AO139" s="46">
        <f>AN139*IF(B139&gt;=in_marketplace_from,d_hz_accident*G139,0)</f>
        <v/>
      </c>
      <c r="AP139" s="14">
        <f>F139*AO139*in_accident_ticket*in_accident_comm*in_ins_partner_share+F139*in_accident_ticket*in_accident_renew_comm*in_ins_partner_share*(in_accident_renew^1*SUMIFS(AO121:AO178,B121:B178,B139-12)+in_accident_renew^2*SUMIFS(AO121:AO178,B121:B178,B139-24)+in_accident_renew^3*SUMIFS(AO121:AO178,B121:B178,B139-36)+in_accident_renew^4*SUMIFS(AO121:AO178,B121:B178,B139-48))</f>
        <v/>
      </c>
      <c r="AQ139" s="40">
        <f>AQ138*(1-IF(B138&gt;=in_marketplace_from,d_hz_two_wheeler*G138,0))</f>
        <v/>
      </c>
      <c r="AR139" s="46">
        <f>AQ139*IF(B139&gt;=in_marketplace_from,d_hz_two_wheeler*G139,0)</f>
        <v/>
      </c>
      <c r="AS139" s="14">
        <f>F139*AR139*in_two_wheeler_ticket*in_two_wheeler_comm*in_ins_partner_share+F139*in_two_wheeler_ticket*in_two_wheeler_comm*in_ins_partner_share*(in_two_wheeler_renew^1*SUMIFS(AR121:AR178,B121:B178,B139-12)+in_two_wheeler_renew^2*SUMIFS(AR121:AR178,B121:B178,B139-24)+in_two_wheeler_renew^3*SUMIFS(AR121:AR178,B121:B178,B139-36)+in_two_wheeler_renew^4*SUMIFS(AR121:AR178,B121:B178,B139-48))</f>
        <v/>
      </c>
      <c r="AT139" s="40">
        <f>AT138*(1-IF(B138&gt;=in_marketplace_from,d_hz_device*G138,0))</f>
        <v/>
      </c>
      <c r="AU139" s="14">
        <f>F139*AT139*IF(B139&gt;=in_marketplace_from,d_hz_device*G139,0)*in_device_ticket*in_device_comm*in_ins_partner_share</f>
        <v/>
      </c>
      <c r="AV139" s="40">
        <f>AV138*(1-IF(B138&gt;=in_marketplace_from,d_hz_shop*G138,0))</f>
        <v/>
      </c>
      <c r="AW139" s="46">
        <f>AV139*IF(B139&gt;=in_marketplace_from,d_hz_shop*G139,0)</f>
        <v/>
      </c>
      <c r="AX139" s="14">
        <f>F139*AW139*in_shop_ticket*in_shop_comm*in_ins_partner_share+F139*in_shop_ticket*in_shop_renew_comm*in_ins_partner_share*(in_shop_renew^1*SUMIFS(AW121:AW178,B121:B178,B139-12)+in_shop_renew^2*SUMIFS(AW121:AW178,B121:B178,B139-24)+in_shop_renew^3*SUMIFS(AW121:AW178,B121:B178,B139-36)+in_shop_renew^4*SUMIFS(AW121:AW178,B121:B178,B139-48))</f>
        <v/>
      </c>
      <c r="AY139" s="40">
        <f>AY138*(1-IF(B138&gt;=in_marketplace_from,d_hz_sip*G138,0))</f>
        <v/>
      </c>
      <c r="AZ139" s="40">
        <f>AZ138*d_rho_sip+AY139*IF(B139&gt;=in_marketplace_from,d_hz_sip*G139,0)</f>
        <v/>
      </c>
      <c r="BA139" s="40">
        <f>d_rho_sip*(BA138+AZ138)</f>
        <v/>
      </c>
      <c r="BB139" s="14">
        <f>F139*in_sip_ticket*(BA139+0.5*AZ139)*in_sip_comm/12</f>
        <v/>
      </c>
      <c r="BC139" s="40">
        <f>BC138*(1-IF(B138&gt;=in_marketplace_from,d_hz_choti*G138,0))</f>
        <v/>
      </c>
      <c r="BD139" s="46">
        <f>BC139*IF(B139&gt;=in_marketplace_from,d_hz_choti*G139,0)</f>
        <v/>
      </c>
      <c r="BE139" s="14">
        <f>F139*SUMIFS(BD121:BD178,B121:B178,B139-in_choti_months)*in_choti_renew*in_choti_ticket</f>
        <v/>
      </c>
      <c r="BF139" s="40">
        <f>BF138*(1-IF(B138&gt;=in_marketplace_from,d_hz_nps*G138,0))</f>
        <v/>
      </c>
      <c r="BG139" s="14">
        <f>F139*BF139*IF(B139&gt;=in_marketplace_from,d_hz_nps*G139,0)*in_nps_ticket*in_nps_comm</f>
        <v/>
      </c>
      <c r="BH139" s="40">
        <f>BH138*(1-IF(B138&gt;=in_marketplace_from,d_hz_gold*G138,0))</f>
        <v/>
      </c>
      <c r="BI139" s="40">
        <f>BI138*d_rho_gold+BH139*IF(B139&gt;=in_marketplace_from,d_hz_gold*G139,0)</f>
        <v/>
      </c>
      <c r="BJ139" s="14">
        <f>F139*BI139*in_gold_ticket*in_gold_comm</f>
        <v/>
      </c>
      <c r="BK139" s="40">
        <f>BK138*(1-IF(B138&gt;=in_marketplace_from,d_hz_fd*G138,0))</f>
        <v/>
      </c>
      <c r="BL139" s="14">
        <f>F139*BK139*IF(B139&gt;=in_marketplace_from,d_hz_fd*G139,0)*in_fd_ticket*in_fd_comm</f>
        <v/>
      </c>
      <c r="BM139" s="40">
        <f>BM138*(1-IF(B138&gt;=in_marketplace_from,d_hz_recharge*G138,0))</f>
        <v/>
      </c>
      <c r="BN139" s="40">
        <f>BN138*d_rho_recharge+BM139*IF(B139&gt;=in_marketplace_from,d_hz_recharge*G139,0)</f>
        <v/>
      </c>
      <c r="BO139" s="14">
        <f>F139*BN139*in_recharge_ticket*in_recharge_comm/12</f>
        <v/>
      </c>
      <c r="BP139" s="40">
        <f>BP138*(1-IF(B138&gt;=in_marketplace_from,d_hz_bills*G138,0))</f>
        <v/>
      </c>
      <c r="BQ139" s="40">
        <f>BQ138*d_rho_bills+BP139*IF(B139&gt;=in_marketplace_from,d_hz_bills*G139,0)</f>
        <v/>
      </c>
      <c r="BR139" s="14">
        <f>F139*BQ139*in_bills_ticket*in_bills_comm/12</f>
        <v/>
      </c>
      <c r="BS139" s="40">
        <f>BS138*(1-IF(B138&gt;=in_marketplace_from,d_hz_loan_gold*G138,0))</f>
        <v/>
      </c>
      <c r="BT139" s="14">
        <f>F139*BS139*IF(B139&gt;=in_marketplace_from,d_hz_loan_gold*G139,0)*in_loan_gold_ticket*in_loan_gold_comm</f>
        <v/>
      </c>
      <c r="BU139" s="40">
        <f>BU138*(1-IF(B138&gt;=in_marketplace_from,d_hz_loan_cd*G138,0))</f>
        <v/>
      </c>
      <c r="BV139" s="14">
        <f>F139*BU139*IF(B139&gt;=in_marketplace_from,d_hz_loan_cd*G139,0)*in_loan_cd_ticket*in_loan_cd_comm</f>
        <v/>
      </c>
      <c r="BW139" s="40">
        <f>BW138*(1-IF(B138&gt;=in_marketplace_from,d_hz_loan_vehicle*G138,0))</f>
        <v/>
      </c>
      <c r="BX139" s="14">
        <f>F139*BW139*IF(B139&gt;=in_marketplace_from,d_hz_loan_vehicle*G139,0)*in_loan_vehicle_ticket*in_loan_vehicle_comm</f>
        <v/>
      </c>
      <c r="BY139" s="40">
        <f>BY138*(1-IF(B138&gt;=in_marketplace_from,d_hz_loan_home*G138,0)*BZ138)</f>
        <v/>
      </c>
      <c r="BZ139" s="11">
        <f>MIN(in_approval_cap,in_loan_home_approval*INDEX('Age profile'!$O$2:$O$61,B139)*(1+in_approval_growth)^(D139-1))</f>
        <v/>
      </c>
      <c r="CA139" s="14">
        <f>F139*BY139*IF(B139&gt;=in_marketplace_from,d_hz_loan_home*G139,0)*BZ139*in_loan_home_ticket*in_loan_home_comm</f>
        <v/>
      </c>
      <c r="CB139" s="40">
        <f>CB138*(1-IF(B138&gt;=in_marketplace_from,d_hz_loan_lap*G138,0)*CC138)</f>
        <v/>
      </c>
      <c r="CC139" s="11">
        <f>MIN(in_approval_cap,in_loan_lap_approval*INDEX('Age profile'!$O$2:$O$61,B139)*(1+in_approval_growth)^(D139-1))</f>
        <v/>
      </c>
      <c r="CD139" s="14">
        <f>F139*CB139*IF(B139&gt;=in_marketplace_from,d_hz_loan_lap*G139,0)*CC139*in_loan_lap_ticket*in_loan_lap_comm</f>
        <v/>
      </c>
      <c r="CE139" s="14">
        <f>AA139+AB139+AC139+AD139+AG139+AJ139+AM139+AP139+AS139+AU139+AX139+BB139+BE139+BG139+BJ139+BL139+BO139+BR139+BT139+BV139+BX139+CA139+CD139</f>
        <v/>
      </c>
    </row>
    <row r="140">
      <c r="A140" s="39" t="n">
        <v>3</v>
      </c>
      <c r="B140" s="39" t="n">
        <v>20</v>
      </c>
      <c r="C140" s="39">
        <f>A140+B140-1</f>
        <v/>
      </c>
      <c r="D140" s="39">
        <f>INT((C140-1)/12)+1</f>
        <v/>
      </c>
      <c r="E140" s="44">
        <f>INDEX(Monthly!$B$2:$B$61,A140)</f>
        <v/>
      </c>
      <c r="F140" s="44">
        <f>E140*INDEX('Age profile'!$B$2:$B$61,B140)</f>
        <v/>
      </c>
      <c r="G140" s="45">
        <f>MIN(in_takeup_cap,INDEX('Age profile'!$N$2:$N$61,B140)*(1+in_takeup_growth)^(D140-1))</f>
        <v/>
      </c>
      <c r="H140" s="11">
        <f>MIN(in_approval_cap,in_approved_first*INDEX('Age profile'!$O$2:$O$61,B140)*(1+in_approval_growth)^(D140-1))</f>
        <v/>
      </c>
      <c r="I140" s="45">
        <f>G140*MIN(in_takeup_cap,INDEX('Age profile'!$O$2:$O$61,B140)*(1+in_approval_growth)^(D140-1))</f>
        <v/>
      </c>
      <c r="J140" s="40">
        <f>(J139-L139)*F140/F139</f>
        <v/>
      </c>
      <c r="K140" s="40">
        <f>(K139-M139)*F140/F139+SUMIFS(O121:O139,B121:B139,B140-1-d_T)*F140</f>
        <v/>
      </c>
      <c r="L140" s="40">
        <f>IF(B140&gt;=in_marketplace_from,J140*d_hz*G140*in_eligible*H140,0)</f>
        <v/>
      </c>
      <c r="M140" s="40">
        <f>IF(B140&gt;=in_marketplace_from,K140*d_hz*G140*in_eligible*in_approved_repeat,0)</f>
        <v/>
      </c>
      <c r="N140" s="40">
        <f>L140+M140</f>
        <v/>
      </c>
      <c r="O140" s="46">
        <f>N140/F140</f>
        <v/>
      </c>
      <c r="P140" s="40">
        <f>F140-J140-K140</f>
        <v/>
      </c>
      <c r="Q140" s="40">
        <f>IF(B140&gt;=in_marketplace_from,(J140+K140)*d_hz*G140,0)</f>
        <v/>
      </c>
      <c r="R140" s="40">
        <f>SUMIFS(N121:N178,B121:B178,"&gt;="&amp;(B140-d_T),B121:B178,"&lt;="&amp;(B140-1))</f>
        <v/>
      </c>
      <c r="S140" s="46">
        <f>(1-d_u)*S139+IF(d_T&gt;in_topup_lag,SUMIFS(O121:O178,B121:B178,B140-in_topup_lag)-d_udrop*SUMIFS(O121:O178,B121:B178,B140-d_T),0)</f>
        <v/>
      </c>
      <c r="T140" s="40">
        <f>F140*d_u*S140</f>
        <v/>
      </c>
      <c r="U140" s="9">
        <f>L140*in_ticket+M140*d_rep_ticket</f>
        <v/>
      </c>
      <c r="V140" s="9">
        <f>U140+T140*d_topup_amt</f>
        <v/>
      </c>
      <c r="W140" s="40">
        <f>N140+T140*d_topup_ratio</f>
        <v/>
      </c>
      <c r="X140" s="40">
        <f>SUMIFS(W121:W178,B121:B178,B140-in_dpd_lag)*d_cured</f>
        <v/>
      </c>
      <c r="Y140" s="40">
        <f>SUMIFS(W121:W178,B121:B178,B140-in_rec_lag)*d_recd</f>
        <v/>
      </c>
      <c r="Z140" s="40">
        <f>IF(AND(B140&gt;=in_marketplace_from,B140&lt;in_marketplace_from+in_card_months),in_card_share/in_card_months*F140*I140,IF(AND(B140&gt;=in_marketplace_from+in_card_months,B140&lt;in_marketplace_from+2*in_card_months),in_card_share*d_card_rem/in_card_months*F140*MIN(in_takeup_cap,(1+in_takeup_growth)^(D140-1))*MIN(in_takeup_cap,(1+in_approval_growth)^(D140-1)),0))</f>
        <v/>
      </c>
      <c r="AA140" s="14">
        <f>V140*in_fee*(1-in_taken_back)</f>
        <v/>
      </c>
      <c r="AB140" s="14">
        <f>SUMIFS(W121:W178,B121:B178,B140-in_dpd_lag)*d_dpd</f>
        <v/>
      </c>
      <c r="AC140" s="14">
        <f>SUMIFS(W121:W178,B121:B178,B140-in_rec_lag)*d_rec</f>
        <v/>
      </c>
      <c r="AD140" s="14">
        <f>Z140*in_card_fee</f>
        <v/>
      </c>
      <c r="AE140" s="40">
        <f>AE139*(1-IF(B139&gt;=in_marketplace_from,d_hz_hlth_small*G139,0))</f>
        <v/>
      </c>
      <c r="AF140" s="46">
        <f>AE140*IF(B140&gt;=in_marketplace_from,d_hz_hlth_small*G140,0)</f>
        <v/>
      </c>
      <c r="AG140" s="14">
        <f>F140*AF140*in_hlth_small_ticket*in_hlth_small_comm*in_ins_partner_share+F140*in_hlth_small_ticket*in_hlth_small_renew_comm*in_ins_partner_share*(in_hlth_small_renew^1*SUMIFS(AF121:AF178,B121:B178,B140-12)+in_hlth_small_renew^2*SUMIFS(AF121:AF178,B121:B178,B140-24)+in_hlth_small_renew^3*SUMIFS(AF121:AF178,B121:B178,B140-36)+in_hlth_small_renew^4*SUMIFS(AF121:AF178,B121:B178,B140-48))</f>
        <v/>
      </c>
      <c r="AH140" s="40">
        <f>AH139*(1-IF(B139&gt;=in_marketplace_from,d_hz_hlth_family*G139,0))</f>
        <v/>
      </c>
      <c r="AI140" s="46">
        <f>AH140*IF(B140&gt;=in_marketplace_from,d_hz_hlth_family*G140,0)</f>
        <v/>
      </c>
      <c r="AJ140" s="14">
        <f>F140*AI140*in_hlth_family_ticket*in_hlth_family_comm*in_ins_partner_share+F140*in_hlth_family_ticket*in_hlth_family_renew_comm*in_ins_partner_share*(in_hlth_family_renew^1*SUMIFS(AI121:AI178,B121:B178,B140-12)+in_hlth_family_renew^2*SUMIFS(AI121:AI178,B121:B178,B140-24)+in_hlth_family_renew^3*SUMIFS(AI121:AI178,B121:B178,B140-36)+in_hlth_family_renew^4*SUMIFS(AI121:AI178,B121:B178,B140-48))</f>
        <v/>
      </c>
      <c r="AK140" s="40">
        <f>AK139*(1-IF(B139&gt;=in_marketplace_from,d_hz_life_term*G139,0))</f>
        <v/>
      </c>
      <c r="AL140" s="46">
        <f>AK140*IF(B140&gt;=in_marketplace_from,d_hz_life_term*G140,0)</f>
        <v/>
      </c>
      <c r="AM140" s="14">
        <f>F140*AL140*in_life_term_ticket*in_life_term_comm*in_ins_partner_share+F140*in_life_term_ticket*in_life_term_renew_comm*in_ins_partner_share*(in_life_term_renew^1*SUMIFS(AL121:AL178,B121:B178,B140-12)+in_life_term_renew^2*SUMIFS(AL121:AL178,B121:B178,B140-24)+in_life_term_renew^3*SUMIFS(AL121:AL178,B121:B178,B140-36)+in_life_term_renew^4*SUMIFS(AL121:AL178,B121:B178,B140-48))</f>
        <v/>
      </c>
      <c r="AN140" s="40">
        <f>AN139*(1-IF(B139&gt;=in_marketplace_from,d_hz_accident*G139,0))</f>
        <v/>
      </c>
      <c r="AO140" s="46">
        <f>AN140*IF(B140&gt;=in_marketplace_from,d_hz_accident*G140,0)</f>
        <v/>
      </c>
      <c r="AP140" s="14">
        <f>F140*AO140*in_accident_ticket*in_accident_comm*in_ins_partner_share+F140*in_accident_ticket*in_accident_renew_comm*in_ins_partner_share*(in_accident_renew^1*SUMIFS(AO121:AO178,B121:B178,B140-12)+in_accident_renew^2*SUMIFS(AO121:AO178,B121:B178,B140-24)+in_accident_renew^3*SUMIFS(AO121:AO178,B121:B178,B140-36)+in_accident_renew^4*SUMIFS(AO121:AO178,B121:B178,B140-48))</f>
        <v/>
      </c>
      <c r="AQ140" s="40">
        <f>AQ139*(1-IF(B139&gt;=in_marketplace_from,d_hz_two_wheeler*G139,0))</f>
        <v/>
      </c>
      <c r="AR140" s="46">
        <f>AQ140*IF(B140&gt;=in_marketplace_from,d_hz_two_wheeler*G140,0)</f>
        <v/>
      </c>
      <c r="AS140" s="14">
        <f>F140*AR140*in_two_wheeler_ticket*in_two_wheeler_comm*in_ins_partner_share+F140*in_two_wheeler_ticket*in_two_wheeler_comm*in_ins_partner_share*(in_two_wheeler_renew^1*SUMIFS(AR121:AR178,B121:B178,B140-12)+in_two_wheeler_renew^2*SUMIFS(AR121:AR178,B121:B178,B140-24)+in_two_wheeler_renew^3*SUMIFS(AR121:AR178,B121:B178,B140-36)+in_two_wheeler_renew^4*SUMIFS(AR121:AR178,B121:B178,B140-48))</f>
        <v/>
      </c>
      <c r="AT140" s="40">
        <f>AT139*(1-IF(B139&gt;=in_marketplace_from,d_hz_device*G139,0))</f>
        <v/>
      </c>
      <c r="AU140" s="14">
        <f>F140*AT140*IF(B140&gt;=in_marketplace_from,d_hz_device*G140,0)*in_device_ticket*in_device_comm*in_ins_partner_share</f>
        <v/>
      </c>
      <c r="AV140" s="40">
        <f>AV139*(1-IF(B139&gt;=in_marketplace_from,d_hz_shop*G139,0))</f>
        <v/>
      </c>
      <c r="AW140" s="46">
        <f>AV140*IF(B140&gt;=in_marketplace_from,d_hz_shop*G140,0)</f>
        <v/>
      </c>
      <c r="AX140" s="14">
        <f>F140*AW140*in_shop_ticket*in_shop_comm*in_ins_partner_share+F140*in_shop_ticket*in_shop_renew_comm*in_ins_partner_share*(in_shop_renew^1*SUMIFS(AW121:AW178,B121:B178,B140-12)+in_shop_renew^2*SUMIFS(AW121:AW178,B121:B178,B140-24)+in_shop_renew^3*SUMIFS(AW121:AW178,B121:B178,B140-36)+in_shop_renew^4*SUMIFS(AW121:AW178,B121:B178,B140-48))</f>
        <v/>
      </c>
      <c r="AY140" s="40">
        <f>AY139*(1-IF(B139&gt;=in_marketplace_from,d_hz_sip*G139,0))</f>
        <v/>
      </c>
      <c r="AZ140" s="40">
        <f>AZ139*d_rho_sip+AY140*IF(B140&gt;=in_marketplace_from,d_hz_sip*G140,0)</f>
        <v/>
      </c>
      <c r="BA140" s="40">
        <f>d_rho_sip*(BA139+AZ139)</f>
        <v/>
      </c>
      <c r="BB140" s="14">
        <f>F140*in_sip_ticket*(BA140+0.5*AZ140)*in_sip_comm/12</f>
        <v/>
      </c>
      <c r="BC140" s="40">
        <f>BC139*(1-IF(B139&gt;=in_marketplace_from,d_hz_choti*G139,0))</f>
        <v/>
      </c>
      <c r="BD140" s="46">
        <f>BC140*IF(B140&gt;=in_marketplace_from,d_hz_choti*G140,0)</f>
        <v/>
      </c>
      <c r="BE140" s="14">
        <f>F140*SUMIFS(BD121:BD178,B121:B178,B140-in_choti_months)*in_choti_renew*in_choti_ticket</f>
        <v/>
      </c>
      <c r="BF140" s="40">
        <f>BF139*(1-IF(B139&gt;=in_marketplace_from,d_hz_nps*G139,0))</f>
        <v/>
      </c>
      <c r="BG140" s="14">
        <f>F140*BF140*IF(B140&gt;=in_marketplace_from,d_hz_nps*G140,0)*in_nps_ticket*in_nps_comm</f>
        <v/>
      </c>
      <c r="BH140" s="40">
        <f>BH139*(1-IF(B139&gt;=in_marketplace_from,d_hz_gold*G139,0))</f>
        <v/>
      </c>
      <c r="BI140" s="40">
        <f>BI139*d_rho_gold+BH140*IF(B140&gt;=in_marketplace_from,d_hz_gold*G140,0)</f>
        <v/>
      </c>
      <c r="BJ140" s="14">
        <f>F140*BI140*in_gold_ticket*in_gold_comm</f>
        <v/>
      </c>
      <c r="BK140" s="40">
        <f>BK139*(1-IF(B139&gt;=in_marketplace_from,d_hz_fd*G139,0))</f>
        <v/>
      </c>
      <c r="BL140" s="14">
        <f>F140*BK140*IF(B140&gt;=in_marketplace_from,d_hz_fd*G140,0)*in_fd_ticket*in_fd_comm</f>
        <v/>
      </c>
      <c r="BM140" s="40">
        <f>BM139*(1-IF(B139&gt;=in_marketplace_from,d_hz_recharge*G139,0))</f>
        <v/>
      </c>
      <c r="BN140" s="40">
        <f>BN139*d_rho_recharge+BM140*IF(B140&gt;=in_marketplace_from,d_hz_recharge*G140,0)</f>
        <v/>
      </c>
      <c r="BO140" s="14">
        <f>F140*BN140*in_recharge_ticket*in_recharge_comm/12</f>
        <v/>
      </c>
      <c r="BP140" s="40">
        <f>BP139*(1-IF(B139&gt;=in_marketplace_from,d_hz_bills*G139,0))</f>
        <v/>
      </c>
      <c r="BQ140" s="40">
        <f>BQ139*d_rho_bills+BP140*IF(B140&gt;=in_marketplace_from,d_hz_bills*G140,0)</f>
        <v/>
      </c>
      <c r="BR140" s="14">
        <f>F140*BQ140*in_bills_ticket*in_bills_comm/12</f>
        <v/>
      </c>
      <c r="BS140" s="40">
        <f>BS139*(1-IF(B139&gt;=in_marketplace_from,d_hz_loan_gold*G139,0))</f>
        <v/>
      </c>
      <c r="BT140" s="14">
        <f>F140*BS140*IF(B140&gt;=in_marketplace_from,d_hz_loan_gold*G140,0)*in_loan_gold_ticket*in_loan_gold_comm</f>
        <v/>
      </c>
      <c r="BU140" s="40">
        <f>BU139*(1-IF(B139&gt;=in_marketplace_from,d_hz_loan_cd*G139,0))</f>
        <v/>
      </c>
      <c r="BV140" s="14">
        <f>F140*BU140*IF(B140&gt;=in_marketplace_from,d_hz_loan_cd*G140,0)*in_loan_cd_ticket*in_loan_cd_comm</f>
        <v/>
      </c>
      <c r="BW140" s="40">
        <f>BW139*(1-IF(B139&gt;=in_marketplace_from,d_hz_loan_vehicle*G139,0))</f>
        <v/>
      </c>
      <c r="BX140" s="14">
        <f>F140*BW140*IF(B140&gt;=in_marketplace_from,d_hz_loan_vehicle*G140,0)*in_loan_vehicle_ticket*in_loan_vehicle_comm</f>
        <v/>
      </c>
      <c r="BY140" s="40">
        <f>BY139*(1-IF(B139&gt;=in_marketplace_from,d_hz_loan_home*G139,0)*BZ139)</f>
        <v/>
      </c>
      <c r="BZ140" s="11">
        <f>MIN(in_approval_cap,in_loan_home_approval*INDEX('Age profile'!$O$2:$O$61,B140)*(1+in_approval_growth)^(D140-1))</f>
        <v/>
      </c>
      <c r="CA140" s="14">
        <f>F140*BY140*IF(B140&gt;=in_marketplace_from,d_hz_loan_home*G140,0)*BZ140*in_loan_home_ticket*in_loan_home_comm</f>
        <v/>
      </c>
      <c r="CB140" s="40">
        <f>CB139*(1-IF(B139&gt;=in_marketplace_from,d_hz_loan_lap*G139,0)*CC139)</f>
        <v/>
      </c>
      <c r="CC140" s="11">
        <f>MIN(in_approval_cap,in_loan_lap_approval*INDEX('Age profile'!$O$2:$O$61,B140)*(1+in_approval_growth)^(D140-1))</f>
        <v/>
      </c>
      <c r="CD140" s="14">
        <f>F140*CB140*IF(B140&gt;=in_marketplace_from,d_hz_loan_lap*G140,0)*CC140*in_loan_lap_ticket*in_loan_lap_comm</f>
        <v/>
      </c>
      <c r="CE140" s="14">
        <f>AA140+AB140+AC140+AD140+AG140+AJ140+AM140+AP140+AS140+AU140+AX140+BB140+BE140+BG140+BJ140+BL140+BO140+BR140+BT140+BV140+BX140+CA140+CD140</f>
        <v/>
      </c>
    </row>
    <row r="141">
      <c r="A141" s="39" t="n">
        <v>3</v>
      </c>
      <c r="B141" s="39" t="n">
        <v>21</v>
      </c>
      <c r="C141" s="39">
        <f>A141+B141-1</f>
        <v/>
      </c>
      <c r="D141" s="39">
        <f>INT((C141-1)/12)+1</f>
        <v/>
      </c>
      <c r="E141" s="44">
        <f>INDEX(Monthly!$B$2:$B$61,A141)</f>
        <v/>
      </c>
      <c r="F141" s="44">
        <f>E141*INDEX('Age profile'!$B$2:$B$61,B141)</f>
        <v/>
      </c>
      <c r="G141" s="45">
        <f>MIN(in_takeup_cap,INDEX('Age profile'!$N$2:$N$61,B141)*(1+in_takeup_growth)^(D141-1))</f>
        <v/>
      </c>
      <c r="H141" s="11">
        <f>MIN(in_approval_cap,in_approved_first*INDEX('Age profile'!$O$2:$O$61,B141)*(1+in_approval_growth)^(D141-1))</f>
        <v/>
      </c>
      <c r="I141" s="45">
        <f>G141*MIN(in_takeup_cap,INDEX('Age profile'!$O$2:$O$61,B141)*(1+in_approval_growth)^(D141-1))</f>
        <v/>
      </c>
      <c r="J141" s="40">
        <f>(J140-L140)*F141/F140</f>
        <v/>
      </c>
      <c r="K141" s="40">
        <f>(K140-M140)*F141/F140+SUMIFS(O121:O140,B121:B140,B141-1-d_T)*F141</f>
        <v/>
      </c>
      <c r="L141" s="40">
        <f>IF(B141&gt;=in_marketplace_from,J141*d_hz*G141*in_eligible*H141,0)</f>
        <v/>
      </c>
      <c r="M141" s="40">
        <f>IF(B141&gt;=in_marketplace_from,K141*d_hz*G141*in_eligible*in_approved_repeat,0)</f>
        <v/>
      </c>
      <c r="N141" s="40">
        <f>L141+M141</f>
        <v/>
      </c>
      <c r="O141" s="46">
        <f>N141/F141</f>
        <v/>
      </c>
      <c r="P141" s="40">
        <f>F141-J141-K141</f>
        <v/>
      </c>
      <c r="Q141" s="40">
        <f>IF(B141&gt;=in_marketplace_from,(J141+K141)*d_hz*G141,0)</f>
        <v/>
      </c>
      <c r="R141" s="40">
        <f>SUMIFS(N121:N178,B121:B178,"&gt;="&amp;(B141-d_T),B121:B178,"&lt;="&amp;(B141-1))</f>
        <v/>
      </c>
      <c r="S141" s="46">
        <f>(1-d_u)*S140+IF(d_T&gt;in_topup_lag,SUMIFS(O121:O178,B121:B178,B141-in_topup_lag)-d_udrop*SUMIFS(O121:O178,B121:B178,B141-d_T),0)</f>
        <v/>
      </c>
      <c r="T141" s="40">
        <f>F141*d_u*S141</f>
        <v/>
      </c>
      <c r="U141" s="9">
        <f>L141*in_ticket+M141*d_rep_ticket</f>
        <v/>
      </c>
      <c r="V141" s="9">
        <f>U141+T141*d_topup_amt</f>
        <v/>
      </c>
      <c r="W141" s="40">
        <f>N141+T141*d_topup_ratio</f>
        <v/>
      </c>
      <c r="X141" s="40">
        <f>SUMIFS(W121:W178,B121:B178,B141-in_dpd_lag)*d_cured</f>
        <v/>
      </c>
      <c r="Y141" s="40">
        <f>SUMIFS(W121:W178,B121:B178,B141-in_rec_lag)*d_recd</f>
        <v/>
      </c>
      <c r="Z141" s="40">
        <f>IF(AND(B141&gt;=in_marketplace_from,B141&lt;in_marketplace_from+in_card_months),in_card_share/in_card_months*F141*I141,IF(AND(B141&gt;=in_marketplace_from+in_card_months,B141&lt;in_marketplace_from+2*in_card_months),in_card_share*d_card_rem/in_card_months*F141*MIN(in_takeup_cap,(1+in_takeup_growth)^(D141-1))*MIN(in_takeup_cap,(1+in_approval_growth)^(D141-1)),0))</f>
        <v/>
      </c>
      <c r="AA141" s="14">
        <f>V141*in_fee*(1-in_taken_back)</f>
        <v/>
      </c>
      <c r="AB141" s="14">
        <f>SUMIFS(W121:W178,B121:B178,B141-in_dpd_lag)*d_dpd</f>
        <v/>
      </c>
      <c r="AC141" s="14">
        <f>SUMIFS(W121:W178,B121:B178,B141-in_rec_lag)*d_rec</f>
        <v/>
      </c>
      <c r="AD141" s="14">
        <f>Z141*in_card_fee</f>
        <v/>
      </c>
      <c r="AE141" s="40">
        <f>AE140*(1-IF(B140&gt;=in_marketplace_from,d_hz_hlth_small*G140,0))</f>
        <v/>
      </c>
      <c r="AF141" s="46">
        <f>AE141*IF(B141&gt;=in_marketplace_from,d_hz_hlth_small*G141,0)</f>
        <v/>
      </c>
      <c r="AG141" s="14">
        <f>F141*AF141*in_hlth_small_ticket*in_hlth_small_comm*in_ins_partner_share+F141*in_hlth_small_ticket*in_hlth_small_renew_comm*in_ins_partner_share*(in_hlth_small_renew^1*SUMIFS(AF121:AF178,B121:B178,B141-12)+in_hlth_small_renew^2*SUMIFS(AF121:AF178,B121:B178,B141-24)+in_hlth_small_renew^3*SUMIFS(AF121:AF178,B121:B178,B141-36)+in_hlth_small_renew^4*SUMIFS(AF121:AF178,B121:B178,B141-48))</f>
        <v/>
      </c>
      <c r="AH141" s="40">
        <f>AH140*(1-IF(B140&gt;=in_marketplace_from,d_hz_hlth_family*G140,0))</f>
        <v/>
      </c>
      <c r="AI141" s="46">
        <f>AH141*IF(B141&gt;=in_marketplace_from,d_hz_hlth_family*G141,0)</f>
        <v/>
      </c>
      <c r="AJ141" s="14">
        <f>F141*AI141*in_hlth_family_ticket*in_hlth_family_comm*in_ins_partner_share+F141*in_hlth_family_ticket*in_hlth_family_renew_comm*in_ins_partner_share*(in_hlth_family_renew^1*SUMIFS(AI121:AI178,B121:B178,B141-12)+in_hlth_family_renew^2*SUMIFS(AI121:AI178,B121:B178,B141-24)+in_hlth_family_renew^3*SUMIFS(AI121:AI178,B121:B178,B141-36)+in_hlth_family_renew^4*SUMIFS(AI121:AI178,B121:B178,B141-48))</f>
        <v/>
      </c>
      <c r="AK141" s="40">
        <f>AK140*(1-IF(B140&gt;=in_marketplace_from,d_hz_life_term*G140,0))</f>
        <v/>
      </c>
      <c r="AL141" s="46">
        <f>AK141*IF(B141&gt;=in_marketplace_from,d_hz_life_term*G141,0)</f>
        <v/>
      </c>
      <c r="AM141" s="14">
        <f>F141*AL141*in_life_term_ticket*in_life_term_comm*in_ins_partner_share+F141*in_life_term_ticket*in_life_term_renew_comm*in_ins_partner_share*(in_life_term_renew^1*SUMIFS(AL121:AL178,B121:B178,B141-12)+in_life_term_renew^2*SUMIFS(AL121:AL178,B121:B178,B141-24)+in_life_term_renew^3*SUMIFS(AL121:AL178,B121:B178,B141-36)+in_life_term_renew^4*SUMIFS(AL121:AL178,B121:B178,B141-48))</f>
        <v/>
      </c>
      <c r="AN141" s="40">
        <f>AN140*(1-IF(B140&gt;=in_marketplace_from,d_hz_accident*G140,0))</f>
        <v/>
      </c>
      <c r="AO141" s="46">
        <f>AN141*IF(B141&gt;=in_marketplace_from,d_hz_accident*G141,0)</f>
        <v/>
      </c>
      <c r="AP141" s="14">
        <f>F141*AO141*in_accident_ticket*in_accident_comm*in_ins_partner_share+F141*in_accident_ticket*in_accident_renew_comm*in_ins_partner_share*(in_accident_renew^1*SUMIFS(AO121:AO178,B121:B178,B141-12)+in_accident_renew^2*SUMIFS(AO121:AO178,B121:B178,B141-24)+in_accident_renew^3*SUMIFS(AO121:AO178,B121:B178,B141-36)+in_accident_renew^4*SUMIFS(AO121:AO178,B121:B178,B141-48))</f>
        <v/>
      </c>
      <c r="AQ141" s="40">
        <f>AQ140*(1-IF(B140&gt;=in_marketplace_from,d_hz_two_wheeler*G140,0))</f>
        <v/>
      </c>
      <c r="AR141" s="46">
        <f>AQ141*IF(B141&gt;=in_marketplace_from,d_hz_two_wheeler*G141,0)</f>
        <v/>
      </c>
      <c r="AS141" s="14">
        <f>F141*AR141*in_two_wheeler_ticket*in_two_wheeler_comm*in_ins_partner_share+F141*in_two_wheeler_ticket*in_two_wheeler_comm*in_ins_partner_share*(in_two_wheeler_renew^1*SUMIFS(AR121:AR178,B121:B178,B141-12)+in_two_wheeler_renew^2*SUMIFS(AR121:AR178,B121:B178,B141-24)+in_two_wheeler_renew^3*SUMIFS(AR121:AR178,B121:B178,B141-36)+in_two_wheeler_renew^4*SUMIFS(AR121:AR178,B121:B178,B141-48))</f>
        <v/>
      </c>
      <c r="AT141" s="40">
        <f>AT140*(1-IF(B140&gt;=in_marketplace_from,d_hz_device*G140,0))</f>
        <v/>
      </c>
      <c r="AU141" s="14">
        <f>F141*AT141*IF(B141&gt;=in_marketplace_from,d_hz_device*G141,0)*in_device_ticket*in_device_comm*in_ins_partner_share</f>
        <v/>
      </c>
      <c r="AV141" s="40">
        <f>AV140*(1-IF(B140&gt;=in_marketplace_from,d_hz_shop*G140,0))</f>
        <v/>
      </c>
      <c r="AW141" s="46">
        <f>AV141*IF(B141&gt;=in_marketplace_from,d_hz_shop*G141,0)</f>
        <v/>
      </c>
      <c r="AX141" s="14">
        <f>F141*AW141*in_shop_ticket*in_shop_comm*in_ins_partner_share+F141*in_shop_ticket*in_shop_renew_comm*in_ins_partner_share*(in_shop_renew^1*SUMIFS(AW121:AW178,B121:B178,B141-12)+in_shop_renew^2*SUMIFS(AW121:AW178,B121:B178,B141-24)+in_shop_renew^3*SUMIFS(AW121:AW178,B121:B178,B141-36)+in_shop_renew^4*SUMIFS(AW121:AW178,B121:B178,B141-48))</f>
        <v/>
      </c>
      <c r="AY141" s="40">
        <f>AY140*(1-IF(B140&gt;=in_marketplace_from,d_hz_sip*G140,0))</f>
        <v/>
      </c>
      <c r="AZ141" s="40">
        <f>AZ140*d_rho_sip+AY141*IF(B141&gt;=in_marketplace_from,d_hz_sip*G141,0)</f>
        <v/>
      </c>
      <c r="BA141" s="40">
        <f>d_rho_sip*(BA140+AZ140)</f>
        <v/>
      </c>
      <c r="BB141" s="14">
        <f>F141*in_sip_ticket*(BA141+0.5*AZ141)*in_sip_comm/12</f>
        <v/>
      </c>
      <c r="BC141" s="40">
        <f>BC140*(1-IF(B140&gt;=in_marketplace_from,d_hz_choti*G140,0))</f>
        <v/>
      </c>
      <c r="BD141" s="46">
        <f>BC141*IF(B141&gt;=in_marketplace_from,d_hz_choti*G141,0)</f>
        <v/>
      </c>
      <c r="BE141" s="14">
        <f>F141*SUMIFS(BD121:BD178,B121:B178,B141-in_choti_months)*in_choti_renew*in_choti_ticket</f>
        <v/>
      </c>
      <c r="BF141" s="40">
        <f>BF140*(1-IF(B140&gt;=in_marketplace_from,d_hz_nps*G140,0))</f>
        <v/>
      </c>
      <c r="BG141" s="14">
        <f>F141*BF141*IF(B141&gt;=in_marketplace_from,d_hz_nps*G141,0)*in_nps_ticket*in_nps_comm</f>
        <v/>
      </c>
      <c r="BH141" s="40">
        <f>BH140*(1-IF(B140&gt;=in_marketplace_from,d_hz_gold*G140,0))</f>
        <v/>
      </c>
      <c r="BI141" s="40">
        <f>BI140*d_rho_gold+BH141*IF(B141&gt;=in_marketplace_from,d_hz_gold*G141,0)</f>
        <v/>
      </c>
      <c r="BJ141" s="14">
        <f>F141*BI141*in_gold_ticket*in_gold_comm</f>
        <v/>
      </c>
      <c r="BK141" s="40">
        <f>BK140*(1-IF(B140&gt;=in_marketplace_from,d_hz_fd*G140,0))</f>
        <v/>
      </c>
      <c r="BL141" s="14">
        <f>F141*BK141*IF(B141&gt;=in_marketplace_from,d_hz_fd*G141,0)*in_fd_ticket*in_fd_comm</f>
        <v/>
      </c>
      <c r="BM141" s="40">
        <f>BM140*(1-IF(B140&gt;=in_marketplace_from,d_hz_recharge*G140,0))</f>
        <v/>
      </c>
      <c r="BN141" s="40">
        <f>BN140*d_rho_recharge+BM141*IF(B141&gt;=in_marketplace_from,d_hz_recharge*G141,0)</f>
        <v/>
      </c>
      <c r="BO141" s="14">
        <f>F141*BN141*in_recharge_ticket*in_recharge_comm/12</f>
        <v/>
      </c>
      <c r="BP141" s="40">
        <f>BP140*(1-IF(B140&gt;=in_marketplace_from,d_hz_bills*G140,0))</f>
        <v/>
      </c>
      <c r="BQ141" s="40">
        <f>BQ140*d_rho_bills+BP141*IF(B141&gt;=in_marketplace_from,d_hz_bills*G141,0)</f>
        <v/>
      </c>
      <c r="BR141" s="14">
        <f>F141*BQ141*in_bills_ticket*in_bills_comm/12</f>
        <v/>
      </c>
      <c r="BS141" s="40">
        <f>BS140*(1-IF(B140&gt;=in_marketplace_from,d_hz_loan_gold*G140,0))</f>
        <v/>
      </c>
      <c r="BT141" s="14">
        <f>F141*BS141*IF(B141&gt;=in_marketplace_from,d_hz_loan_gold*G141,0)*in_loan_gold_ticket*in_loan_gold_comm</f>
        <v/>
      </c>
      <c r="BU141" s="40">
        <f>BU140*(1-IF(B140&gt;=in_marketplace_from,d_hz_loan_cd*G140,0))</f>
        <v/>
      </c>
      <c r="BV141" s="14">
        <f>F141*BU141*IF(B141&gt;=in_marketplace_from,d_hz_loan_cd*G141,0)*in_loan_cd_ticket*in_loan_cd_comm</f>
        <v/>
      </c>
      <c r="BW141" s="40">
        <f>BW140*(1-IF(B140&gt;=in_marketplace_from,d_hz_loan_vehicle*G140,0))</f>
        <v/>
      </c>
      <c r="BX141" s="14">
        <f>F141*BW141*IF(B141&gt;=in_marketplace_from,d_hz_loan_vehicle*G141,0)*in_loan_vehicle_ticket*in_loan_vehicle_comm</f>
        <v/>
      </c>
      <c r="BY141" s="40">
        <f>BY140*(1-IF(B140&gt;=in_marketplace_from,d_hz_loan_home*G140,0)*BZ140)</f>
        <v/>
      </c>
      <c r="BZ141" s="11">
        <f>MIN(in_approval_cap,in_loan_home_approval*INDEX('Age profile'!$O$2:$O$61,B141)*(1+in_approval_growth)^(D141-1))</f>
        <v/>
      </c>
      <c r="CA141" s="14">
        <f>F141*BY141*IF(B141&gt;=in_marketplace_from,d_hz_loan_home*G141,0)*BZ141*in_loan_home_ticket*in_loan_home_comm</f>
        <v/>
      </c>
      <c r="CB141" s="40">
        <f>CB140*(1-IF(B140&gt;=in_marketplace_from,d_hz_loan_lap*G140,0)*CC140)</f>
        <v/>
      </c>
      <c r="CC141" s="11">
        <f>MIN(in_approval_cap,in_loan_lap_approval*INDEX('Age profile'!$O$2:$O$61,B141)*(1+in_approval_growth)^(D141-1))</f>
        <v/>
      </c>
      <c r="CD141" s="14">
        <f>F141*CB141*IF(B141&gt;=in_marketplace_from,d_hz_loan_lap*G141,0)*CC141*in_loan_lap_ticket*in_loan_lap_comm</f>
        <v/>
      </c>
      <c r="CE141" s="14">
        <f>AA141+AB141+AC141+AD141+AG141+AJ141+AM141+AP141+AS141+AU141+AX141+BB141+BE141+BG141+BJ141+BL141+BO141+BR141+BT141+BV141+BX141+CA141+CD141</f>
        <v/>
      </c>
    </row>
    <row r="142">
      <c r="A142" s="39" t="n">
        <v>3</v>
      </c>
      <c r="B142" s="39" t="n">
        <v>22</v>
      </c>
      <c r="C142" s="39">
        <f>A142+B142-1</f>
        <v/>
      </c>
      <c r="D142" s="39">
        <f>INT((C142-1)/12)+1</f>
        <v/>
      </c>
      <c r="E142" s="44">
        <f>INDEX(Monthly!$B$2:$B$61,A142)</f>
        <v/>
      </c>
      <c r="F142" s="44">
        <f>E142*INDEX('Age profile'!$B$2:$B$61,B142)</f>
        <v/>
      </c>
      <c r="G142" s="45">
        <f>MIN(in_takeup_cap,INDEX('Age profile'!$N$2:$N$61,B142)*(1+in_takeup_growth)^(D142-1))</f>
        <v/>
      </c>
      <c r="H142" s="11">
        <f>MIN(in_approval_cap,in_approved_first*INDEX('Age profile'!$O$2:$O$61,B142)*(1+in_approval_growth)^(D142-1))</f>
        <v/>
      </c>
      <c r="I142" s="45">
        <f>G142*MIN(in_takeup_cap,INDEX('Age profile'!$O$2:$O$61,B142)*(1+in_approval_growth)^(D142-1))</f>
        <v/>
      </c>
      <c r="J142" s="40">
        <f>(J141-L141)*F142/F141</f>
        <v/>
      </c>
      <c r="K142" s="40">
        <f>(K141-M141)*F142/F141+SUMIFS(O121:O141,B121:B141,B142-1-d_T)*F142</f>
        <v/>
      </c>
      <c r="L142" s="40">
        <f>IF(B142&gt;=in_marketplace_from,J142*d_hz*G142*in_eligible*H142,0)</f>
        <v/>
      </c>
      <c r="M142" s="40">
        <f>IF(B142&gt;=in_marketplace_from,K142*d_hz*G142*in_eligible*in_approved_repeat,0)</f>
        <v/>
      </c>
      <c r="N142" s="40">
        <f>L142+M142</f>
        <v/>
      </c>
      <c r="O142" s="46">
        <f>N142/F142</f>
        <v/>
      </c>
      <c r="P142" s="40">
        <f>F142-J142-K142</f>
        <v/>
      </c>
      <c r="Q142" s="40">
        <f>IF(B142&gt;=in_marketplace_from,(J142+K142)*d_hz*G142,0)</f>
        <v/>
      </c>
      <c r="R142" s="40">
        <f>SUMIFS(N121:N178,B121:B178,"&gt;="&amp;(B142-d_T),B121:B178,"&lt;="&amp;(B142-1))</f>
        <v/>
      </c>
      <c r="S142" s="46">
        <f>(1-d_u)*S141+IF(d_T&gt;in_topup_lag,SUMIFS(O121:O178,B121:B178,B142-in_topup_lag)-d_udrop*SUMIFS(O121:O178,B121:B178,B142-d_T),0)</f>
        <v/>
      </c>
      <c r="T142" s="40">
        <f>F142*d_u*S142</f>
        <v/>
      </c>
      <c r="U142" s="9">
        <f>L142*in_ticket+M142*d_rep_ticket</f>
        <v/>
      </c>
      <c r="V142" s="9">
        <f>U142+T142*d_topup_amt</f>
        <v/>
      </c>
      <c r="W142" s="40">
        <f>N142+T142*d_topup_ratio</f>
        <v/>
      </c>
      <c r="X142" s="40">
        <f>SUMIFS(W121:W178,B121:B178,B142-in_dpd_lag)*d_cured</f>
        <v/>
      </c>
      <c r="Y142" s="40">
        <f>SUMIFS(W121:W178,B121:B178,B142-in_rec_lag)*d_recd</f>
        <v/>
      </c>
      <c r="Z142" s="40">
        <f>IF(AND(B142&gt;=in_marketplace_from,B142&lt;in_marketplace_from+in_card_months),in_card_share/in_card_months*F142*I142,IF(AND(B142&gt;=in_marketplace_from+in_card_months,B142&lt;in_marketplace_from+2*in_card_months),in_card_share*d_card_rem/in_card_months*F142*MIN(in_takeup_cap,(1+in_takeup_growth)^(D142-1))*MIN(in_takeup_cap,(1+in_approval_growth)^(D142-1)),0))</f>
        <v/>
      </c>
      <c r="AA142" s="14">
        <f>V142*in_fee*(1-in_taken_back)</f>
        <v/>
      </c>
      <c r="AB142" s="14">
        <f>SUMIFS(W121:W178,B121:B178,B142-in_dpd_lag)*d_dpd</f>
        <v/>
      </c>
      <c r="AC142" s="14">
        <f>SUMIFS(W121:W178,B121:B178,B142-in_rec_lag)*d_rec</f>
        <v/>
      </c>
      <c r="AD142" s="14">
        <f>Z142*in_card_fee</f>
        <v/>
      </c>
      <c r="AE142" s="40">
        <f>AE141*(1-IF(B141&gt;=in_marketplace_from,d_hz_hlth_small*G141,0))</f>
        <v/>
      </c>
      <c r="AF142" s="46">
        <f>AE142*IF(B142&gt;=in_marketplace_from,d_hz_hlth_small*G142,0)</f>
        <v/>
      </c>
      <c r="AG142" s="14">
        <f>F142*AF142*in_hlth_small_ticket*in_hlth_small_comm*in_ins_partner_share+F142*in_hlth_small_ticket*in_hlth_small_renew_comm*in_ins_partner_share*(in_hlth_small_renew^1*SUMIFS(AF121:AF178,B121:B178,B142-12)+in_hlth_small_renew^2*SUMIFS(AF121:AF178,B121:B178,B142-24)+in_hlth_small_renew^3*SUMIFS(AF121:AF178,B121:B178,B142-36)+in_hlth_small_renew^4*SUMIFS(AF121:AF178,B121:B178,B142-48))</f>
        <v/>
      </c>
      <c r="AH142" s="40">
        <f>AH141*(1-IF(B141&gt;=in_marketplace_from,d_hz_hlth_family*G141,0))</f>
        <v/>
      </c>
      <c r="AI142" s="46">
        <f>AH142*IF(B142&gt;=in_marketplace_from,d_hz_hlth_family*G142,0)</f>
        <v/>
      </c>
      <c r="AJ142" s="14">
        <f>F142*AI142*in_hlth_family_ticket*in_hlth_family_comm*in_ins_partner_share+F142*in_hlth_family_ticket*in_hlth_family_renew_comm*in_ins_partner_share*(in_hlth_family_renew^1*SUMIFS(AI121:AI178,B121:B178,B142-12)+in_hlth_family_renew^2*SUMIFS(AI121:AI178,B121:B178,B142-24)+in_hlth_family_renew^3*SUMIFS(AI121:AI178,B121:B178,B142-36)+in_hlth_family_renew^4*SUMIFS(AI121:AI178,B121:B178,B142-48))</f>
        <v/>
      </c>
      <c r="AK142" s="40">
        <f>AK141*(1-IF(B141&gt;=in_marketplace_from,d_hz_life_term*G141,0))</f>
        <v/>
      </c>
      <c r="AL142" s="46">
        <f>AK142*IF(B142&gt;=in_marketplace_from,d_hz_life_term*G142,0)</f>
        <v/>
      </c>
      <c r="AM142" s="14">
        <f>F142*AL142*in_life_term_ticket*in_life_term_comm*in_ins_partner_share+F142*in_life_term_ticket*in_life_term_renew_comm*in_ins_partner_share*(in_life_term_renew^1*SUMIFS(AL121:AL178,B121:B178,B142-12)+in_life_term_renew^2*SUMIFS(AL121:AL178,B121:B178,B142-24)+in_life_term_renew^3*SUMIFS(AL121:AL178,B121:B178,B142-36)+in_life_term_renew^4*SUMIFS(AL121:AL178,B121:B178,B142-48))</f>
        <v/>
      </c>
      <c r="AN142" s="40">
        <f>AN141*(1-IF(B141&gt;=in_marketplace_from,d_hz_accident*G141,0))</f>
        <v/>
      </c>
      <c r="AO142" s="46">
        <f>AN142*IF(B142&gt;=in_marketplace_from,d_hz_accident*G142,0)</f>
        <v/>
      </c>
      <c r="AP142" s="14">
        <f>F142*AO142*in_accident_ticket*in_accident_comm*in_ins_partner_share+F142*in_accident_ticket*in_accident_renew_comm*in_ins_partner_share*(in_accident_renew^1*SUMIFS(AO121:AO178,B121:B178,B142-12)+in_accident_renew^2*SUMIFS(AO121:AO178,B121:B178,B142-24)+in_accident_renew^3*SUMIFS(AO121:AO178,B121:B178,B142-36)+in_accident_renew^4*SUMIFS(AO121:AO178,B121:B178,B142-48))</f>
        <v/>
      </c>
      <c r="AQ142" s="40">
        <f>AQ141*(1-IF(B141&gt;=in_marketplace_from,d_hz_two_wheeler*G141,0))</f>
        <v/>
      </c>
      <c r="AR142" s="46">
        <f>AQ142*IF(B142&gt;=in_marketplace_from,d_hz_two_wheeler*G142,0)</f>
        <v/>
      </c>
      <c r="AS142" s="14">
        <f>F142*AR142*in_two_wheeler_ticket*in_two_wheeler_comm*in_ins_partner_share+F142*in_two_wheeler_ticket*in_two_wheeler_comm*in_ins_partner_share*(in_two_wheeler_renew^1*SUMIFS(AR121:AR178,B121:B178,B142-12)+in_two_wheeler_renew^2*SUMIFS(AR121:AR178,B121:B178,B142-24)+in_two_wheeler_renew^3*SUMIFS(AR121:AR178,B121:B178,B142-36)+in_two_wheeler_renew^4*SUMIFS(AR121:AR178,B121:B178,B142-48))</f>
        <v/>
      </c>
      <c r="AT142" s="40">
        <f>AT141*(1-IF(B141&gt;=in_marketplace_from,d_hz_device*G141,0))</f>
        <v/>
      </c>
      <c r="AU142" s="14">
        <f>F142*AT142*IF(B142&gt;=in_marketplace_from,d_hz_device*G142,0)*in_device_ticket*in_device_comm*in_ins_partner_share</f>
        <v/>
      </c>
      <c r="AV142" s="40">
        <f>AV141*(1-IF(B141&gt;=in_marketplace_from,d_hz_shop*G141,0))</f>
        <v/>
      </c>
      <c r="AW142" s="46">
        <f>AV142*IF(B142&gt;=in_marketplace_from,d_hz_shop*G142,0)</f>
        <v/>
      </c>
      <c r="AX142" s="14">
        <f>F142*AW142*in_shop_ticket*in_shop_comm*in_ins_partner_share+F142*in_shop_ticket*in_shop_renew_comm*in_ins_partner_share*(in_shop_renew^1*SUMIFS(AW121:AW178,B121:B178,B142-12)+in_shop_renew^2*SUMIFS(AW121:AW178,B121:B178,B142-24)+in_shop_renew^3*SUMIFS(AW121:AW178,B121:B178,B142-36)+in_shop_renew^4*SUMIFS(AW121:AW178,B121:B178,B142-48))</f>
        <v/>
      </c>
      <c r="AY142" s="40">
        <f>AY141*(1-IF(B141&gt;=in_marketplace_from,d_hz_sip*G141,0))</f>
        <v/>
      </c>
      <c r="AZ142" s="40">
        <f>AZ141*d_rho_sip+AY142*IF(B142&gt;=in_marketplace_from,d_hz_sip*G142,0)</f>
        <v/>
      </c>
      <c r="BA142" s="40">
        <f>d_rho_sip*(BA141+AZ141)</f>
        <v/>
      </c>
      <c r="BB142" s="14">
        <f>F142*in_sip_ticket*(BA142+0.5*AZ142)*in_sip_comm/12</f>
        <v/>
      </c>
      <c r="BC142" s="40">
        <f>BC141*(1-IF(B141&gt;=in_marketplace_from,d_hz_choti*G141,0))</f>
        <v/>
      </c>
      <c r="BD142" s="46">
        <f>BC142*IF(B142&gt;=in_marketplace_from,d_hz_choti*G142,0)</f>
        <v/>
      </c>
      <c r="BE142" s="14">
        <f>F142*SUMIFS(BD121:BD178,B121:B178,B142-in_choti_months)*in_choti_renew*in_choti_ticket</f>
        <v/>
      </c>
      <c r="BF142" s="40">
        <f>BF141*(1-IF(B141&gt;=in_marketplace_from,d_hz_nps*G141,0))</f>
        <v/>
      </c>
      <c r="BG142" s="14">
        <f>F142*BF142*IF(B142&gt;=in_marketplace_from,d_hz_nps*G142,0)*in_nps_ticket*in_nps_comm</f>
        <v/>
      </c>
      <c r="BH142" s="40">
        <f>BH141*(1-IF(B141&gt;=in_marketplace_from,d_hz_gold*G141,0))</f>
        <v/>
      </c>
      <c r="BI142" s="40">
        <f>BI141*d_rho_gold+BH142*IF(B142&gt;=in_marketplace_from,d_hz_gold*G142,0)</f>
        <v/>
      </c>
      <c r="BJ142" s="14">
        <f>F142*BI142*in_gold_ticket*in_gold_comm</f>
        <v/>
      </c>
      <c r="BK142" s="40">
        <f>BK141*(1-IF(B141&gt;=in_marketplace_from,d_hz_fd*G141,0))</f>
        <v/>
      </c>
      <c r="BL142" s="14">
        <f>F142*BK142*IF(B142&gt;=in_marketplace_from,d_hz_fd*G142,0)*in_fd_ticket*in_fd_comm</f>
        <v/>
      </c>
      <c r="BM142" s="40">
        <f>BM141*(1-IF(B141&gt;=in_marketplace_from,d_hz_recharge*G141,0))</f>
        <v/>
      </c>
      <c r="BN142" s="40">
        <f>BN141*d_rho_recharge+BM142*IF(B142&gt;=in_marketplace_from,d_hz_recharge*G142,0)</f>
        <v/>
      </c>
      <c r="BO142" s="14">
        <f>F142*BN142*in_recharge_ticket*in_recharge_comm/12</f>
        <v/>
      </c>
      <c r="BP142" s="40">
        <f>BP141*(1-IF(B141&gt;=in_marketplace_from,d_hz_bills*G141,0))</f>
        <v/>
      </c>
      <c r="BQ142" s="40">
        <f>BQ141*d_rho_bills+BP142*IF(B142&gt;=in_marketplace_from,d_hz_bills*G142,0)</f>
        <v/>
      </c>
      <c r="BR142" s="14">
        <f>F142*BQ142*in_bills_ticket*in_bills_comm/12</f>
        <v/>
      </c>
      <c r="BS142" s="40">
        <f>BS141*(1-IF(B141&gt;=in_marketplace_from,d_hz_loan_gold*G141,0))</f>
        <v/>
      </c>
      <c r="BT142" s="14">
        <f>F142*BS142*IF(B142&gt;=in_marketplace_from,d_hz_loan_gold*G142,0)*in_loan_gold_ticket*in_loan_gold_comm</f>
        <v/>
      </c>
      <c r="BU142" s="40">
        <f>BU141*(1-IF(B141&gt;=in_marketplace_from,d_hz_loan_cd*G141,0))</f>
        <v/>
      </c>
      <c r="BV142" s="14">
        <f>F142*BU142*IF(B142&gt;=in_marketplace_from,d_hz_loan_cd*G142,0)*in_loan_cd_ticket*in_loan_cd_comm</f>
        <v/>
      </c>
      <c r="BW142" s="40">
        <f>BW141*(1-IF(B141&gt;=in_marketplace_from,d_hz_loan_vehicle*G141,0))</f>
        <v/>
      </c>
      <c r="BX142" s="14">
        <f>F142*BW142*IF(B142&gt;=in_marketplace_from,d_hz_loan_vehicle*G142,0)*in_loan_vehicle_ticket*in_loan_vehicle_comm</f>
        <v/>
      </c>
      <c r="BY142" s="40">
        <f>BY141*(1-IF(B141&gt;=in_marketplace_from,d_hz_loan_home*G141,0)*BZ141)</f>
        <v/>
      </c>
      <c r="BZ142" s="11">
        <f>MIN(in_approval_cap,in_loan_home_approval*INDEX('Age profile'!$O$2:$O$61,B142)*(1+in_approval_growth)^(D142-1))</f>
        <v/>
      </c>
      <c r="CA142" s="14">
        <f>F142*BY142*IF(B142&gt;=in_marketplace_from,d_hz_loan_home*G142,0)*BZ142*in_loan_home_ticket*in_loan_home_comm</f>
        <v/>
      </c>
      <c r="CB142" s="40">
        <f>CB141*(1-IF(B141&gt;=in_marketplace_from,d_hz_loan_lap*G141,0)*CC141)</f>
        <v/>
      </c>
      <c r="CC142" s="11">
        <f>MIN(in_approval_cap,in_loan_lap_approval*INDEX('Age profile'!$O$2:$O$61,B142)*(1+in_approval_growth)^(D142-1))</f>
        <v/>
      </c>
      <c r="CD142" s="14">
        <f>F142*CB142*IF(B142&gt;=in_marketplace_from,d_hz_loan_lap*G142,0)*CC142*in_loan_lap_ticket*in_loan_lap_comm</f>
        <v/>
      </c>
      <c r="CE142" s="14">
        <f>AA142+AB142+AC142+AD142+AG142+AJ142+AM142+AP142+AS142+AU142+AX142+BB142+BE142+BG142+BJ142+BL142+BO142+BR142+BT142+BV142+BX142+CA142+CD142</f>
        <v/>
      </c>
    </row>
    <row r="143">
      <c r="A143" s="39" t="n">
        <v>3</v>
      </c>
      <c r="B143" s="39" t="n">
        <v>23</v>
      </c>
      <c r="C143" s="39">
        <f>A143+B143-1</f>
        <v/>
      </c>
      <c r="D143" s="39">
        <f>INT((C143-1)/12)+1</f>
        <v/>
      </c>
      <c r="E143" s="44">
        <f>INDEX(Monthly!$B$2:$B$61,A143)</f>
        <v/>
      </c>
      <c r="F143" s="44">
        <f>E143*INDEX('Age profile'!$B$2:$B$61,B143)</f>
        <v/>
      </c>
      <c r="G143" s="45">
        <f>MIN(in_takeup_cap,INDEX('Age profile'!$N$2:$N$61,B143)*(1+in_takeup_growth)^(D143-1))</f>
        <v/>
      </c>
      <c r="H143" s="11">
        <f>MIN(in_approval_cap,in_approved_first*INDEX('Age profile'!$O$2:$O$61,B143)*(1+in_approval_growth)^(D143-1))</f>
        <v/>
      </c>
      <c r="I143" s="45">
        <f>G143*MIN(in_takeup_cap,INDEX('Age profile'!$O$2:$O$61,B143)*(1+in_approval_growth)^(D143-1))</f>
        <v/>
      </c>
      <c r="J143" s="40">
        <f>(J142-L142)*F143/F142</f>
        <v/>
      </c>
      <c r="K143" s="40">
        <f>(K142-M142)*F143/F142+SUMIFS(O121:O142,B121:B142,B143-1-d_T)*F143</f>
        <v/>
      </c>
      <c r="L143" s="40">
        <f>IF(B143&gt;=in_marketplace_from,J143*d_hz*G143*in_eligible*H143,0)</f>
        <v/>
      </c>
      <c r="M143" s="40">
        <f>IF(B143&gt;=in_marketplace_from,K143*d_hz*G143*in_eligible*in_approved_repeat,0)</f>
        <v/>
      </c>
      <c r="N143" s="40">
        <f>L143+M143</f>
        <v/>
      </c>
      <c r="O143" s="46">
        <f>N143/F143</f>
        <v/>
      </c>
      <c r="P143" s="40">
        <f>F143-J143-K143</f>
        <v/>
      </c>
      <c r="Q143" s="40">
        <f>IF(B143&gt;=in_marketplace_from,(J143+K143)*d_hz*G143,0)</f>
        <v/>
      </c>
      <c r="R143" s="40">
        <f>SUMIFS(N121:N178,B121:B178,"&gt;="&amp;(B143-d_T),B121:B178,"&lt;="&amp;(B143-1))</f>
        <v/>
      </c>
      <c r="S143" s="46">
        <f>(1-d_u)*S142+IF(d_T&gt;in_topup_lag,SUMIFS(O121:O178,B121:B178,B143-in_topup_lag)-d_udrop*SUMIFS(O121:O178,B121:B178,B143-d_T),0)</f>
        <v/>
      </c>
      <c r="T143" s="40">
        <f>F143*d_u*S143</f>
        <v/>
      </c>
      <c r="U143" s="9">
        <f>L143*in_ticket+M143*d_rep_ticket</f>
        <v/>
      </c>
      <c r="V143" s="9">
        <f>U143+T143*d_topup_amt</f>
        <v/>
      </c>
      <c r="W143" s="40">
        <f>N143+T143*d_topup_ratio</f>
        <v/>
      </c>
      <c r="X143" s="40">
        <f>SUMIFS(W121:W178,B121:B178,B143-in_dpd_lag)*d_cured</f>
        <v/>
      </c>
      <c r="Y143" s="40">
        <f>SUMIFS(W121:W178,B121:B178,B143-in_rec_lag)*d_recd</f>
        <v/>
      </c>
      <c r="Z143" s="40">
        <f>IF(AND(B143&gt;=in_marketplace_from,B143&lt;in_marketplace_from+in_card_months),in_card_share/in_card_months*F143*I143,IF(AND(B143&gt;=in_marketplace_from+in_card_months,B143&lt;in_marketplace_from+2*in_card_months),in_card_share*d_card_rem/in_card_months*F143*MIN(in_takeup_cap,(1+in_takeup_growth)^(D143-1))*MIN(in_takeup_cap,(1+in_approval_growth)^(D143-1)),0))</f>
        <v/>
      </c>
      <c r="AA143" s="14">
        <f>V143*in_fee*(1-in_taken_back)</f>
        <v/>
      </c>
      <c r="AB143" s="14">
        <f>SUMIFS(W121:W178,B121:B178,B143-in_dpd_lag)*d_dpd</f>
        <v/>
      </c>
      <c r="AC143" s="14">
        <f>SUMIFS(W121:W178,B121:B178,B143-in_rec_lag)*d_rec</f>
        <v/>
      </c>
      <c r="AD143" s="14">
        <f>Z143*in_card_fee</f>
        <v/>
      </c>
      <c r="AE143" s="40">
        <f>AE142*(1-IF(B142&gt;=in_marketplace_from,d_hz_hlth_small*G142,0))</f>
        <v/>
      </c>
      <c r="AF143" s="46">
        <f>AE143*IF(B143&gt;=in_marketplace_from,d_hz_hlth_small*G143,0)</f>
        <v/>
      </c>
      <c r="AG143" s="14">
        <f>F143*AF143*in_hlth_small_ticket*in_hlth_small_comm*in_ins_partner_share+F143*in_hlth_small_ticket*in_hlth_small_renew_comm*in_ins_partner_share*(in_hlth_small_renew^1*SUMIFS(AF121:AF178,B121:B178,B143-12)+in_hlth_small_renew^2*SUMIFS(AF121:AF178,B121:B178,B143-24)+in_hlth_small_renew^3*SUMIFS(AF121:AF178,B121:B178,B143-36)+in_hlth_small_renew^4*SUMIFS(AF121:AF178,B121:B178,B143-48))</f>
        <v/>
      </c>
      <c r="AH143" s="40">
        <f>AH142*(1-IF(B142&gt;=in_marketplace_from,d_hz_hlth_family*G142,0))</f>
        <v/>
      </c>
      <c r="AI143" s="46">
        <f>AH143*IF(B143&gt;=in_marketplace_from,d_hz_hlth_family*G143,0)</f>
        <v/>
      </c>
      <c r="AJ143" s="14">
        <f>F143*AI143*in_hlth_family_ticket*in_hlth_family_comm*in_ins_partner_share+F143*in_hlth_family_ticket*in_hlth_family_renew_comm*in_ins_partner_share*(in_hlth_family_renew^1*SUMIFS(AI121:AI178,B121:B178,B143-12)+in_hlth_family_renew^2*SUMIFS(AI121:AI178,B121:B178,B143-24)+in_hlth_family_renew^3*SUMIFS(AI121:AI178,B121:B178,B143-36)+in_hlth_family_renew^4*SUMIFS(AI121:AI178,B121:B178,B143-48))</f>
        <v/>
      </c>
      <c r="AK143" s="40">
        <f>AK142*(1-IF(B142&gt;=in_marketplace_from,d_hz_life_term*G142,0))</f>
        <v/>
      </c>
      <c r="AL143" s="46">
        <f>AK143*IF(B143&gt;=in_marketplace_from,d_hz_life_term*G143,0)</f>
        <v/>
      </c>
      <c r="AM143" s="14">
        <f>F143*AL143*in_life_term_ticket*in_life_term_comm*in_ins_partner_share+F143*in_life_term_ticket*in_life_term_renew_comm*in_ins_partner_share*(in_life_term_renew^1*SUMIFS(AL121:AL178,B121:B178,B143-12)+in_life_term_renew^2*SUMIFS(AL121:AL178,B121:B178,B143-24)+in_life_term_renew^3*SUMIFS(AL121:AL178,B121:B178,B143-36)+in_life_term_renew^4*SUMIFS(AL121:AL178,B121:B178,B143-48))</f>
        <v/>
      </c>
      <c r="AN143" s="40">
        <f>AN142*(1-IF(B142&gt;=in_marketplace_from,d_hz_accident*G142,0))</f>
        <v/>
      </c>
      <c r="AO143" s="46">
        <f>AN143*IF(B143&gt;=in_marketplace_from,d_hz_accident*G143,0)</f>
        <v/>
      </c>
      <c r="AP143" s="14">
        <f>F143*AO143*in_accident_ticket*in_accident_comm*in_ins_partner_share+F143*in_accident_ticket*in_accident_renew_comm*in_ins_partner_share*(in_accident_renew^1*SUMIFS(AO121:AO178,B121:B178,B143-12)+in_accident_renew^2*SUMIFS(AO121:AO178,B121:B178,B143-24)+in_accident_renew^3*SUMIFS(AO121:AO178,B121:B178,B143-36)+in_accident_renew^4*SUMIFS(AO121:AO178,B121:B178,B143-48))</f>
        <v/>
      </c>
      <c r="AQ143" s="40">
        <f>AQ142*(1-IF(B142&gt;=in_marketplace_from,d_hz_two_wheeler*G142,0))</f>
        <v/>
      </c>
      <c r="AR143" s="46">
        <f>AQ143*IF(B143&gt;=in_marketplace_from,d_hz_two_wheeler*G143,0)</f>
        <v/>
      </c>
      <c r="AS143" s="14">
        <f>F143*AR143*in_two_wheeler_ticket*in_two_wheeler_comm*in_ins_partner_share+F143*in_two_wheeler_ticket*in_two_wheeler_comm*in_ins_partner_share*(in_two_wheeler_renew^1*SUMIFS(AR121:AR178,B121:B178,B143-12)+in_two_wheeler_renew^2*SUMIFS(AR121:AR178,B121:B178,B143-24)+in_two_wheeler_renew^3*SUMIFS(AR121:AR178,B121:B178,B143-36)+in_two_wheeler_renew^4*SUMIFS(AR121:AR178,B121:B178,B143-48))</f>
        <v/>
      </c>
      <c r="AT143" s="40">
        <f>AT142*(1-IF(B142&gt;=in_marketplace_from,d_hz_device*G142,0))</f>
        <v/>
      </c>
      <c r="AU143" s="14">
        <f>F143*AT143*IF(B143&gt;=in_marketplace_from,d_hz_device*G143,0)*in_device_ticket*in_device_comm*in_ins_partner_share</f>
        <v/>
      </c>
      <c r="AV143" s="40">
        <f>AV142*(1-IF(B142&gt;=in_marketplace_from,d_hz_shop*G142,0))</f>
        <v/>
      </c>
      <c r="AW143" s="46">
        <f>AV143*IF(B143&gt;=in_marketplace_from,d_hz_shop*G143,0)</f>
        <v/>
      </c>
      <c r="AX143" s="14">
        <f>F143*AW143*in_shop_ticket*in_shop_comm*in_ins_partner_share+F143*in_shop_ticket*in_shop_renew_comm*in_ins_partner_share*(in_shop_renew^1*SUMIFS(AW121:AW178,B121:B178,B143-12)+in_shop_renew^2*SUMIFS(AW121:AW178,B121:B178,B143-24)+in_shop_renew^3*SUMIFS(AW121:AW178,B121:B178,B143-36)+in_shop_renew^4*SUMIFS(AW121:AW178,B121:B178,B143-48))</f>
        <v/>
      </c>
      <c r="AY143" s="40">
        <f>AY142*(1-IF(B142&gt;=in_marketplace_from,d_hz_sip*G142,0))</f>
        <v/>
      </c>
      <c r="AZ143" s="40">
        <f>AZ142*d_rho_sip+AY143*IF(B143&gt;=in_marketplace_from,d_hz_sip*G143,0)</f>
        <v/>
      </c>
      <c r="BA143" s="40">
        <f>d_rho_sip*(BA142+AZ142)</f>
        <v/>
      </c>
      <c r="BB143" s="14">
        <f>F143*in_sip_ticket*(BA143+0.5*AZ143)*in_sip_comm/12</f>
        <v/>
      </c>
      <c r="BC143" s="40">
        <f>BC142*(1-IF(B142&gt;=in_marketplace_from,d_hz_choti*G142,0))</f>
        <v/>
      </c>
      <c r="BD143" s="46">
        <f>BC143*IF(B143&gt;=in_marketplace_from,d_hz_choti*G143,0)</f>
        <v/>
      </c>
      <c r="BE143" s="14">
        <f>F143*SUMIFS(BD121:BD178,B121:B178,B143-in_choti_months)*in_choti_renew*in_choti_ticket</f>
        <v/>
      </c>
      <c r="BF143" s="40">
        <f>BF142*(1-IF(B142&gt;=in_marketplace_from,d_hz_nps*G142,0))</f>
        <v/>
      </c>
      <c r="BG143" s="14">
        <f>F143*BF143*IF(B143&gt;=in_marketplace_from,d_hz_nps*G143,0)*in_nps_ticket*in_nps_comm</f>
        <v/>
      </c>
      <c r="BH143" s="40">
        <f>BH142*(1-IF(B142&gt;=in_marketplace_from,d_hz_gold*G142,0))</f>
        <v/>
      </c>
      <c r="BI143" s="40">
        <f>BI142*d_rho_gold+BH143*IF(B143&gt;=in_marketplace_from,d_hz_gold*G143,0)</f>
        <v/>
      </c>
      <c r="BJ143" s="14">
        <f>F143*BI143*in_gold_ticket*in_gold_comm</f>
        <v/>
      </c>
      <c r="BK143" s="40">
        <f>BK142*(1-IF(B142&gt;=in_marketplace_from,d_hz_fd*G142,0))</f>
        <v/>
      </c>
      <c r="BL143" s="14">
        <f>F143*BK143*IF(B143&gt;=in_marketplace_from,d_hz_fd*G143,0)*in_fd_ticket*in_fd_comm</f>
        <v/>
      </c>
      <c r="BM143" s="40">
        <f>BM142*(1-IF(B142&gt;=in_marketplace_from,d_hz_recharge*G142,0))</f>
        <v/>
      </c>
      <c r="BN143" s="40">
        <f>BN142*d_rho_recharge+BM143*IF(B143&gt;=in_marketplace_from,d_hz_recharge*G143,0)</f>
        <v/>
      </c>
      <c r="BO143" s="14">
        <f>F143*BN143*in_recharge_ticket*in_recharge_comm/12</f>
        <v/>
      </c>
      <c r="BP143" s="40">
        <f>BP142*(1-IF(B142&gt;=in_marketplace_from,d_hz_bills*G142,0))</f>
        <v/>
      </c>
      <c r="BQ143" s="40">
        <f>BQ142*d_rho_bills+BP143*IF(B143&gt;=in_marketplace_from,d_hz_bills*G143,0)</f>
        <v/>
      </c>
      <c r="BR143" s="14">
        <f>F143*BQ143*in_bills_ticket*in_bills_comm/12</f>
        <v/>
      </c>
      <c r="BS143" s="40">
        <f>BS142*(1-IF(B142&gt;=in_marketplace_from,d_hz_loan_gold*G142,0))</f>
        <v/>
      </c>
      <c r="BT143" s="14">
        <f>F143*BS143*IF(B143&gt;=in_marketplace_from,d_hz_loan_gold*G143,0)*in_loan_gold_ticket*in_loan_gold_comm</f>
        <v/>
      </c>
      <c r="BU143" s="40">
        <f>BU142*(1-IF(B142&gt;=in_marketplace_from,d_hz_loan_cd*G142,0))</f>
        <v/>
      </c>
      <c r="BV143" s="14">
        <f>F143*BU143*IF(B143&gt;=in_marketplace_from,d_hz_loan_cd*G143,0)*in_loan_cd_ticket*in_loan_cd_comm</f>
        <v/>
      </c>
      <c r="BW143" s="40">
        <f>BW142*(1-IF(B142&gt;=in_marketplace_from,d_hz_loan_vehicle*G142,0))</f>
        <v/>
      </c>
      <c r="BX143" s="14">
        <f>F143*BW143*IF(B143&gt;=in_marketplace_from,d_hz_loan_vehicle*G143,0)*in_loan_vehicle_ticket*in_loan_vehicle_comm</f>
        <v/>
      </c>
      <c r="BY143" s="40">
        <f>BY142*(1-IF(B142&gt;=in_marketplace_from,d_hz_loan_home*G142,0)*BZ142)</f>
        <v/>
      </c>
      <c r="BZ143" s="11">
        <f>MIN(in_approval_cap,in_loan_home_approval*INDEX('Age profile'!$O$2:$O$61,B143)*(1+in_approval_growth)^(D143-1))</f>
        <v/>
      </c>
      <c r="CA143" s="14">
        <f>F143*BY143*IF(B143&gt;=in_marketplace_from,d_hz_loan_home*G143,0)*BZ143*in_loan_home_ticket*in_loan_home_comm</f>
        <v/>
      </c>
      <c r="CB143" s="40">
        <f>CB142*(1-IF(B142&gt;=in_marketplace_from,d_hz_loan_lap*G142,0)*CC142)</f>
        <v/>
      </c>
      <c r="CC143" s="11">
        <f>MIN(in_approval_cap,in_loan_lap_approval*INDEX('Age profile'!$O$2:$O$61,B143)*(1+in_approval_growth)^(D143-1))</f>
        <v/>
      </c>
      <c r="CD143" s="14">
        <f>F143*CB143*IF(B143&gt;=in_marketplace_from,d_hz_loan_lap*G143,0)*CC143*in_loan_lap_ticket*in_loan_lap_comm</f>
        <v/>
      </c>
      <c r="CE143" s="14">
        <f>AA143+AB143+AC143+AD143+AG143+AJ143+AM143+AP143+AS143+AU143+AX143+BB143+BE143+BG143+BJ143+BL143+BO143+BR143+BT143+BV143+BX143+CA143+CD143</f>
        <v/>
      </c>
    </row>
    <row r="144">
      <c r="A144" s="39" t="n">
        <v>3</v>
      </c>
      <c r="B144" s="39" t="n">
        <v>24</v>
      </c>
      <c r="C144" s="39">
        <f>A144+B144-1</f>
        <v/>
      </c>
      <c r="D144" s="39">
        <f>INT((C144-1)/12)+1</f>
        <v/>
      </c>
      <c r="E144" s="44">
        <f>INDEX(Monthly!$B$2:$B$61,A144)</f>
        <v/>
      </c>
      <c r="F144" s="44">
        <f>E144*INDEX('Age profile'!$B$2:$B$61,B144)</f>
        <v/>
      </c>
      <c r="G144" s="45">
        <f>MIN(in_takeup_cap,INDEX('Age profile'!$N$2:$N$61,B144)*(1+in_takeup_growth)^(D144-1))</f>
        <v/>
      </c>
      <c r="H144" s="11">
        <f>MIN(in_approval_cap,in_approved_first*INDEX('Age profile'!$O$2:$O$61,B144)*(1+in_approval_growth)^(D144-1))</f>
        <v/>
      </c>
      <c r="I144" s="45">
        <f>G144*MIN(in_takeup_cap,INDEX('Age profile'!$O$2:$O$61,B144)*(1+in_approval_growth)^(D144-1))</f>
        <v/>
      </c>
      <c r="J144" s="40">
        <f>(J143-L143)*F144/F143</f>
        <v/>
      </c>
      <c r="K144" s="40">
        <f>(K143-M143)*F144/F143+SUMIFS(O121:O143,B121:B143,B144-1-d_T)*F144</f>
        <v/>
      </c>
      <c r="L144" s="40">
        <f>IF(B144&gt;=in_marketplace_from,J144*d_hz*G144*in_eligible*H144,0)</f>
        <v/>
      </c>
      <c r="M144" s="40">
        <f>IF(B144&gt;=in_marketplace_from,K144*d_hz*G144*in_eligible*in_approved_repeat,0)</f>
        <v/>
      </c>
      <c r="N144" s="40">
        <f>L144+M144</f>
        <v/>
      </c>
      <c r="O144" s="46">
        <f>N144/F144</f>
        <v/>
      </c>
      <c r="P144" s="40">
        <f>F144-J144-K144</f>
        <v/>
      </c>
      <c r="Q144" s="40">
        <f>IF(B144&gt;=in_marketplace_from,(J144+K144)*d_hz*G144,0)</f>
        <v/>
      </c>
      <c r="R144" s="40">
        <f>SUMIFS(N121:N178,B121:B178,"&gt;="&amp;(B144-d_T),B121:B178,"&lt;="&amp;(B144-1))</f>
        <v/>
      </c>
      <c r="S144" s="46">
        <f>(1-d_u)*S143+IF(d_T&gt;in_topup_lag,SUMIFS(O121:O178,B121:B178,B144-in_topup_lag)-d_udrop*SUMIFS(O121:O178,B121:B178,B144-d_T),0)</f>
        <v/>
      </c>
      <c r="T144" s="40">
        <f>F144*d_u*S144</f>
        <v/>
      </c>
      <c r="U144" s="9">
        <f>L144*in_ticket+M144*d_rep_ticket</f>
        <v/>
      </c>
      <c r="V144" s="9">
        <f>U144+T144*d_topup_amt</f>
        <v/>
      </c>
      <c r="W144" s="40">
        <f>N144+T144*d_topup_ratio</f>
        <v/>
      </c>
      <c r="X144" s="40">
        <f>SUMIFS(W121:W178,B121:B178,B144-in_dpd_lag)*d_cured</f>
        <v/>
      </c>
      <c r="Y144" s="40">
        <f>SUMIFS(W121:W178,B121:B178,B144-in_rec_lag)*d_recd</f>
        <v/>
      </c>
      <c r="Z144" s="40">
        <f>IF(AND(B144&gt;=in_marketplace_from,B144&lt;in_marketplace_from+in_card_months),in_card_share/in_card_months*F144*I144,IF(AND(B144&gt;=in_marketplace_from+in_card_months,B144&lt;in_marketplace_from+2*in_card_months),in_card_share*d_card_rem/in_card_months*F144*MIN(in_takeup_cap,(1+in_takeup_growth)^(D144-1))*MIN(in_takeup_cap,(1+in_approval_growth)^(D144-1)),0))</f>
        <v/>
      </c>
      <c r="AA144" s="14">
        <f>V144*in_fee*(1-in_taken_back)</f>
        <v/>
      </c>
      <c r="AB144" s="14">
        <f>SUMIFS(W121:W178,B121:B178,B144-in_dpd_lag)*d_dpd</f>
        <v/>
      </c>
      <c r="AC144" s="14">
        <f>SUMIFS(W121:W178,B121:B178,B144-in_rec_lag)*d_rec</f>
        <v/>
      </c>
      <c r="AD144" s="14">
        <f>Z144*in_card_fee</f>
        <v/>
      </c>
      <c r="AE144" s="40">
        <f>AE143*(1-IF(B143&gt;=in_marketplace_from,d_hz_hlth_small*G143,0))</f>
        <v/>
      </c>
      <c r="AF144" s="46">
        <f>AE144*IF(B144&gt;=in_marketplace_from,d_hz_hlth_small*G144,0)</f>
        <v/>
      </c>
      <c r="AG144" s="14">
        <f>F144*AF144*in_hlth_small_ticket*in_hlth_small_comm*in_ins_partner_share+F144*in_hlth_small_ticket*in_hlth_small_renew_comm*in_ins_partner_share*(in_hlth_small_renew^1*SUMIFS(AF121:AF178,B121:B178,B144-12)+in_hlth_small_renew^2*SUMIFS(AF121:AF178,B121:B178,B144-24)+in_hlth_small_renew^3*SUMIFS(AF121:AF178,B121:B178,B144-36)+in_hlth_small_renew^4*SUMIFS(AF121:AF178,B121:B178,B144-48))</f>
        <v/>
      </c>
      <c r="AH144" s="40">
        <f>AH143*(1-IF(B143&gt;=in_marketplace_from,d_hz_hlth_family*G143,0))</f>
        <v/>
      </c>
      <c r="AI144" s="46">
        <f>AH144*IF(B144&gt;=in_marketplace_from,d_hz_hlth_family*G144,0)</f>
        <v/>
      </c>
      <c r="AJ144" s="14">
        <f>F144*AI144*in_hlth_family_ticket*in_hlth_family_comm*in_ins_partner_share+F144*in_hlth_family_ticket*in_hlth_family_renew_comm*in_ins_partner_share*(in_hlth_family_renew^1*SUMIFS(AI121:AI178,B121:B178,B144-12)+in_hlth_family_renew^2*SUMIFS(AI121:AI178,B121:B178,B144-24)+in_hlth_family_renew^3*SUMIFS(AI121:AI178,B121:B178,B144-36)+in_hlth_family_renew^4*SUMIFS(AI121:AI178,B121:B178,B144-48))</f>
        <v/>
      </c>
      <c r="AK144" s="40">
        <f>AK143*(1-IF(B143&gt;=in_marketplace_from,d_hz_life_term*G143,0))</f>
        <v/>
      </c>
      <c r="AL144" s="46">
        <f>AK144*IF(B144&gt;=in_marketplace_from,d_hz_life_term*G144,0)</f>
        <v/>
      </c>
      <c r="AM144" s="14">
        <f>F144*AL144*in_life_term_ticket*in_life_term_comm*in_ins_partner_share+F144*in_life_term_ticket*in_life_term_renew_comm*in_ins_partner_share*(in_life_term_renew^1*SUMIFS(AL121:AL178,B121:B178,B144-12)+in_life_term_renew^2*SUMIFS(AL121:AL178,B121:B178,B144-24)+in_life_term_renew^3*SUMIFS(AL121:AL178,B121:B178,B144-36)+in_life_term_renew^4*SUMIFS(AL121:AL178,B121:B178,B144-48))</f>
        <v/>
      </c>
      <c r="AN144" s="40">
        <f>AN143*(1-IF(B143&gt;=in_marketplace_from,d_hz_accident*G143,0))</f>
        <v/>
      </c>
      <c r="AO144" s="46">
        <f>AN144*IF(B144&gt;=in_marketplace_from,d_hz_accident*G144,0)</f>
        <v/>
      </c>
      <c r="AP144" s="14">
        <f>F144*AO144*in_accident_ticket*in_accident_comm*in_ins_partner_share+F144*in_accident_ticket*in_accident_renew_comm*in_ins_partner_share*(in_accident_renew^1*SUMIFS(AO121:AO178,B121:B178,B144-12)+in_accident_renew^2*SUMIFS(AO121:AO178,B121:B178,B144-24)+in_accident_renew^3*SUMIFS(AO121:AO178,B121:B178,B144-36)+in_accident_renew^4*SUMIFS(AO121:AO178,B121:B178,B144-48))</f>
        <v/>
      </c>
      <c r="AQ144" s="40">
        <f>AQ143*(1-IF(B143&gt;=in_marketplace_from,d_hz_two_wheeler*G143,0))</f>
        <v/>
      </c>
      <c r="AR144" s="46">
        <f>AQ144*IF(B144&gt;=in_marketplace_from,d_hz_two_wheeler*G144,0)</f>
        <v/>
      </c>
      <c r="AS144" s="14">
        <f>F144*AR144*in_two_wheeler_ticket*in_two_wheeler_comm*in_ins_partner_share+F144*in_two_wheeler_ticket*in_two_wheeler_comm*in_ins_partner_share*(in_two_wheeler_renew^1*SUMIFS(AR121:AR178,B121:B178,B144-12)+in_two_wheeler_renew^2*SUMIFS(AR121:AR178,B121:B178,B144-24)+in_two_wheeler_renew^3*SUMIFS(AR121:AR178,B121:B178,B144-36)+in_two_wheeler_renew^4*SUMIFS(AR121:AR178,B121:B178,B144-48))</f>
        <v/>
      </c>
      <c r="AT144" s="40">
        <f>AT143*(1-IF(B143&gt;=in_marketplace_from,d_hz_device*G143,0))</f>
        <v/>
      </c>
      <c r="AU144" s="14">
        <f>F144*AT144*IF(B144&gt;=in_marketplace_from,d_hz_device*G144,0)*in_device_ticket*in_device_comm*in_ins_partner_share</f>
        <v/>
      </c>
      <c r="AV144" s="40">
        <f>AV143*(1-IF(B143&gt;=in_marketplace_from,d_hz_shop*G143,0))</f>
        <v/>
      </c>
      <c r="AW144" s="46">
        <f>AV144*IF(B144&gt;=in_marketplace_from,d_hz_shop*G144,0)</f>
        <v/>
      </c>
      <c r="AX144" s="14">
        <f>F144*AW144*in_shop_ticket*in_shop_comm*in_ins_partner_share+F144*in_shop_ticket*in_shop_renew_comm*in_ins_partner_share*(in_shop_renew^1*SUMIFS(AW121:AW178,B121:B178,B144-12)+in_shop_renew^2*SUMIFS(AW121:AW178,B121:B178,B144-24)+in_shop_renew^3*SUMIFS(AW121:AW178,B121:B178,B144-36)+in_shop_renew^4*SUMIFS(AW121:AW178,B121:B178,B144-48))</f>
        <v/>
      </c>
      <c r="AY144" s="40">
        <f>AY143*(1-IF(B143&gt;=in_marketplace_from,d_hz_sip*G143,0))</f>
        <v/>
      </c>
      <c r="AZ144" s="40">
        <f>AZ143*d_rho_sip+AY144*IF(B144&gt;=in_marketplace_from,d_hz_sip*G144,0)</f>
        <v/>
      </c>
      <c r="BA144" s="40">
        <f>d_rho_sip*(BA143+AZ143)</f>
        <v/>
      </c>
      <c r="BB144" s="14">
        <f>F144*in_sip_ticket*(BA144+0.5*AZ144)*in_sip_comm/12</f>
        <v/>
      </c>
      <c r="BC144" s="40">
        <f>BC143*(1-IF(B143&gt;=in_marketplace_from,d_hz_choti*G143,0))</f>
        <v/>
      </c>
      <c r="BD144" s="46">
        <f>BC144*IF(B144&gt;=in_marketplace_from,d_hz_choti*G144,0)</f>
        <v/>
      </c>
      <c r="BE144" s="14">
        <f>F144*SUMIFS(BD121:BD178,B121:B178,B144-in_choti_months)*in_choti_renew*in_choti_ticket</f>
        <v/>
      </c>
      <c r="BF144" s="40">
        <f>BF143*(1-IF(B143&gt;=in_marketplace_from,d_hz_nps*G143,0))</f>
        <v/>
      </c>
      <c r="BG144" s="14">
        <f>F144*BF144*IF(B144&gt;=in_marketplace_from,d_hz_nps*G144,0)*in_nps_ticket*in_nps_comm</f>
        <v/>
      </c>
      <c r="BH144" s="40">
        <f>BH143*(1-IF(B143&gt;=in_marketplace_from,d_hz_gold*G143,0))</f>
        <v/>
      </c>
      <c r="BI144" s="40">
        <f>BI143*d_rho_gold+BH144*IF(B144&gt;=in_marketplace_from,d_hz_gold*G144,0)</f>
        <v/>
      </c>
      <c r="BJ144" s="14">
        <f>F144*BI144*in_gold_ticket*in_gold_comm</f>
        <v/>
      </c>
      <c r="BK144" s="40">
        <f>BK143*(1-IF(B143&gt;=in_marketplace_from,d_hz_fd*G143,0))</f>
        <v/>
      </c>
      <c r="BL144" s="14">
        <f>F144*BK144*IF(B144&gt;=in_marketplace_from,d_hz_fd*G144,0)*in_fd_ticket*in_fd_comm</f>
        <v/>
      </c>
      <c r="BM144" s="40">
        <f>BM143*(1-IF(B143&gt;=in_marketplace_from,d_hz_recharge*G143,0))</f>
        <v/>
      </c>
      <c r="BN144" s="40">
        <f>BN143*d_rho_recharge+BM144*IF(B144&gt;=in_marketplace_from,d_hz_recharge*G144,0)</f>
        <v/>
      </c>
      <c r="BO144" s="14">
        <f>F144*BN144*in_recharge_ticket*in_recharge_comm/12</f>
        <v/>
      </c>
      <c r="BP144" s="40">
        <f>BP143*(1-IF(B143&gt;=in_marketplace_from,d_hz_bills*G143,0))</f>
        <v/>
      </c>
      <c r="BQ144" s="40">
        <f>BQ143*d_rho_bills+BP144*IF(B144&gt;=in_marketplace_from,d_hz_bills*G144,0)</f>
        <v/>
      </c>
      <c r="BR144" s="14">
        <f>F144*BQ144*in_bills_ticket*in_bills_comm/12</f>
        <v/>
      </c>
      <c r="BS144" s="40">
        <f>BS143*(1-IF(B143&gt;=in_marketplace_from,d_hz_loan_gold*G143,0))</f>
        <v/>
      </c>
      <c r="BT144" s="14">
        <f>F144*BS144*IF(B144&gt;=in_marketplace_from,d_hz_loan_gold*G144,0)*in_loan_gold_ticket*in_loan_gold_comm</f>
        <v/>
      </c>
      <c r="BU144" s="40">
        <f>BU143*(1-IF(B143&gt;=in_marketplace_from,d_hz_loan_cd*G143,0))</f>
        <v/>
      </c>
      <c r="BV144" s="14">
        <f>F144*BU144*IF(B144&gt;=in_marketplace_from,d_hz_loan_cd*G144,0)*in_loan_cd_ticket*in_loan_cd_comm</f>
        <v/>
      </c>
      <c r="BW144" s="40">
        <f>BW143*(1-IF(B143&gt;=in_marketplace_from,d_hz_loan_vehicle*G143,0))</f>
        <v/>
      </c>
      <c r="BX144" s="14">
        <f>F144*BW144*IF(B144&gt;=in_marketplace_from,d_hz_loan_vehicle*G144,0)*in_loan_vehicle_ticket*in_loan_vehicle_comm</f>
        <v/>
      </c>
      <c r="BY144" s="40">
        <f>BY143*(1-IF(B143&gt;=in_marketplace_from,d_hz_loan_home*G143,0)*BZ143)</f>
        <v/>
      </c>
      <c r="BZ144" s="11">
        <f>MIN(in_approval_cap,in_loan_home_approval*INDEX('Age profile'!$O$2:$O$61,B144)*(1+in_approval_growth)^(D144-1))</f>
        <v/>
      </c>
      <c r="CA144" s="14">
        <f>F144*BY144*IF(B144&gt;=in_marketplace_from,d_hz_loan_home*G144,0)*BZ144*in_loan_home_ticket*in_loan_home_comm</f>
        <v/>
      </c>
      <c r="CB144" s="40">
        <f>CB143*(1-IF(B143&gt;=in_marketplace_from,d_hz_loan_lap*G143,0)*CC143)</f>
        <v/>
      </c>
      <c r="CC144" s="11">
        <f>MIN(in_approval_cap,in_loan_lap_approval*INDEX('Age profile'!$O$2:$O$61,B144)*(1+in_approval_growth)^(D144-1))</f>
        <v/>
      </c>
      <c r="CD144" s="14">
        <f>F144*CB144*IF(B144&gt;=in_marketplace_from,d_hz_loan_lap*G144,0)*CC144*in_loan_lap_ticket*in_loan_lap_comm</f>
        <v/>
      </c>
      <c r="CE144" s="14">
        <f>AA144+AB144+AC144+AD144+AG144+AJ144+AM144+AP144+AS144+AU144+AX144+BB144+BE144+BG144+BJ144+BL144+BO144+BR144+BT144+BV144+BX144+CA144+CD144</f>
        <v/>
      </c>
    </row>
    <row r="145">
      <c r="A145" s="39" t="n">
        <v>3</v>
      </c>
      <c r="B145" s="39" t="n">
        <v>25</v>
      </c>
      <c r="C145" s="39">
        <f>A145+B145-1</f>
        <v/>
      </c>
      <c r="D145" s="39">
        <f>INT((C145-1)/12)+1</f>
        <v/>
      </c>
      <c r="E145" s="44">
        <f>INDEX(Monthly!$B$2:$B$61,A145)</f>
        <v/>
      </c>
      <c r="F145" s="44">
        <f>E145*INDEX('Age profile'!$B$2:$B$61,B145)</f>
        <v/>
      </c>
      <c r="G145" s="45">
        <f>MIN(in_takeup_cap,INDEX('Age profile'!$N$2:$N$61,B145)*(1+in_takeup_growth)^(D145-1))</f>
        <v/>
      </c>
      <c r="H145" s="11">
        <f>MIN(in_approval_cap,in_approved_first*INDEX('Age profile'!$O$2:$O$61,B145)*(1+in_approval_growth)^(D145-1))</f>
        <v/>
      </c>
      <c r="I145" s="45">
        <f>G145*MIN(in_takeup_cap,INDEX('Age profile'!$O$2:$O$61,B145)*(1+in_approval_growth)^(D145-1))</f>
        <v/>
      </c>
      <c r="J145" s="40">
        <f>(J144-L144)*F145/F144</f>
        <v/>
      </c>
      <c r="K145" s="40">
        <f>(K144-M144)*F145/F144+SUMIFS(O121:O144,B121:B144,B145-1-d_T)*F145</f>
        <v/>
      </c>
      <c r="L145" s="40">
        <f>IF(B145&gt;=in_marketplace_from,J145*d_hz*G145*in_eligible*H145,0)</f>
        <v/>
      </c>
      <c r="M145" s="40">
        <f>IF(B145&gt;=in_marketplace_from,K145*d_hz*G145*in_eligible*in_approved_repeat,0)</f>
        <v/>
      </c>
      <c r="N145" s="40">
        <f>L145+M145</f>
        <v/>
      </c>
      <c r="O145" s="46">
        <f>N145/F145</f>
        <v/>
      </c>
      <c r="P145" s="40">
        <f>F145-J145-K145</f>
        <v/>
      </c>
      <c r="Q145" s="40">
        <f>IF(B145&gt;=in_marketplace_from,(J145+K145)*d_hz*G145,0)</f>
        <v/>
      </c>
      <c r="R145" s="40">
        <f>SUMIFS(N121:N178,B121:B178,"&gt;="&amp;(B145-d_T),B121:B178,"&lt;="&amp;(B145-1))</f>
        <v/>
      </c>
      <c r="S145" s="46">
        <f>(1-d_u)*S144+IF(d_T&gt;in_topup_lag,SUMIFS(O121:O178,B121:B178,B145-in_topup_lag)-d_udrop*SUMIFS(O121:O178,B121:B178,B145-d_T),0)</f>
        <v/>
      </c>
      <c r="T145" s="40">
        <f>F145*d_u*S145</f>
        <v/>
      </c>
      <c r="U145" s="9">
        <f>L145*in_ticket+M145*d_rep_ticket</f>
        <v/>
      </c>
      <c r="V145" s="9">
        <f>U145+T145*d_topup_amt</f>
        <v/>
      </c>
      <c r="W145" s="40">
        <f>N145+T145*d_topup_ratio</f>
        <v/>
      </c>
      <c r="X145" s="40">
        <f>SUMIFS(W121:W178,B121:B178,B145-in_dpd_lag)*d_cured</f>
        <v/>
      </c>
      <c r="Y145" s="40">
        <f>SUMIFS(W121:W178,B121:B178,B145-in_rec_lag)*d_recd</f>
        <v/>
      </c>
      <c r="Z145" s="40">
        <f>IF(AND(B145&gt;=in_marketplace_from,B145&lt;in_marketplace_from+in_card_months),in_card_share/in_card_months*F145*I145,IF(AND(B145&gt;=in_marketplace_from+in_card_months,B145&lt;in_marketplace_from+2*in_card_months),in_card_share*d_card_rem/in_card_months*F145*MIN(in_takeup_cap,(1+in_takeup_growth)^(D145-1))*MIN(in_takeup_cap,(1+in_approval_growth)^(D145-1)),0))</f>
        <v/>
      </c>
      <c r="AA145" s="14">
        <f>V145*in_fee*(1-in_taken_back)</f>
        <v/>
      </c>
      <c r="AB145" s="14">
        <f>SUMIFS(W121:W178,B121:B178,B145-in_dpd_lag)*d_dpd</f>
        <v/>
      </c>
      <c r="AC145" s="14">
        <f>SUMIFS(W121:W178,B121:B178,B145-in_rec_lag)*d_rec</f>
        <v/>
      </c>
      <c r="AD145" s="14">
        <f>Z145*in_card_fee</f>
        <v/>
      </c>
      <c r="AE145" s="40">
        <f>AE144*(1-IF(B144&gt;=in_marketplace_from,d_hz_hlth_small*G144,0))</f>
        <v/>
      </c>
      <c r="AF145" s="46">
        <f>AE145*IF(B145&gt;=in_marketplace_from,d_hz_hlth_small*G145,0)</f>
        <v/>
      </c>
      <c r="AG145" s="14">
        <f>F145*AF145*in_hlth_small_ticket*in_hlth_small_comm*in_ins_partner_share+F145*in_hlth_small_ticket*in_hlth_small_renew_comm*in_ins_partner_share*(in_hlth_small_renew^1*SUMIFS(AF121:AF178,B121:B178,B145-12)+in_hlth_small_renew^2*SUMIFS(AF121:AF178,B121:B178,B145-24)+in_hlth_small_renew^3*SUMIFS(AF121:AF178,B121:B178,B145-36)+in_hlth_small_renew^4*SUMIFS(AF121:AF178,B121:B178,B145-48))</f>
        <v/>
      </c>
      <c r="AH145" s="40">
        <f>AH144*(1-IF(B144&gt;=in_marketplace_from,d_hz_hlth_family*G144,0))</f>
        <v/>
      </c>
      <c r="AI145" s="46">
        <f>AH145*IF(B145&gt;=in_marketplace_from,d_hz_hlth_family*G145,0)</f>
        <v/>
      </c>
      <c r="AJ145" s="14">
        <f>F145*AI145*in_hlth_family_ticket*in_hlth_family_comm*in_ins_partner_share+F145*in_hlth_family_ticket*in_hlth_family_renew_comm*in_ins_partner_share*(in_hlth_family_renew^1*SUMIFS(AI121:AI178,B121:B178,B145-12)+in_hlth_family_renew^2*SUMIFS(AI121:AI178,B121:B178,B145-24)+in_hlth_family_renew^3*SUMIFS(AI121:AI178,B121:B178,B145-36)+in_hlth_family_renew^4*SUMIFS(AI121:AI178,B121:B178,B145-48))</f>
        <v/>
      </c>
      <c r="AK145" s="40">
        <f>AK144*(1-IF(B144&gt;=in_marketplace_from,d_hz_life_term*G144,0))</f>
        <v/>
      </c>
      <c r="AL145" s="46">
        <f>AK145*IF(B145&gt;=in_marketplace_from,d_hz_life_term*G145,0)</f>
        <v/>
      </c>
      <c r="AM145" s="14">
        <f>F145*AL145*in_life_term_ticket*in_life_term_comm*in_ins_partner_share+F145*in_life_term_ticket*in_life_term_renew_comm*in_ins_partner_share*(in_life_term_renew^1*SUMIFS(AL121:AL178,B121:B178,B145-12)+in_life_term_renew^2*SUMIFS(AL121:AL178,B121:B178,B145-24)+in_life_term_renew^3*SUMIFS(AL121:AL178,B121:B178,B145-36)+in_life_term_renew^4*SUMIFS(AL121:AL178,B121:B178,B145-48))</f>
        <v/>
      </c>
      <c r="AN145" s="40">
        <f>AN144*(1-IF(B144&gt;=in_marketplace_from,d_hz_accident*G144,0))</f>
        <v/>
      </c>
      <c r="AO145" s="46">
        <f>AN145*IF(B145&gt;=in_marketplace_from,d_hz_accident*G145,0)</f>
        <v/>
      </c>
      <c r="AP145" s="14">
        <f>F145*AO145*in_accident_ticket*in_accident_comm*in_ins_partner_share+F145*in_accident_ticket*in_accident_renew_comm*in_ins_partner_share*(in_accident_renew^1*SUMIFS(AO121:AO178,B121:B178,B145-12)+in_accident_renew^2*SUMIFS(AO121:AO178,B121:B178,B145-24)+in_accident_renew^3*SUMIFS(AO121:AO178,B121:B178,B145-36)+in_accident_renew^4*SUMIFS(AO121:AO178,B121:B178,B145-48))</f>
        <v/>
      </c>
      <c r="AQ145" s="40">
        <f>AQ144*(1-IF(B144&gt;=in_marketplace_from,d_hz_two_wheeler*G144,0))</f>
        <v/>
      </c>
      <c r="AR145" s="46">
        <f>AQ145*IF(B145&gt;=in_marketplace_from,d_hz_two_wheeler*G145,0)</f>
        <v/>
      </c>
      <c r="AS145" s="14">
        <f>F145*AR145*in_two_wheeler_ticket*in_two_wheeler_comm*in_ins_partner_share+F145*in_two_wheeler_ticket*in_two_wheeler_comm*in_ins_partner_share*(in_two_wheeler_renew^1*SUMIFS(AR121:AR178,B121:B178,B145-12)+in_two_wheeler_renew^2*SUMIFS(AR121:AR178,B121:B178,B145-24)+in_two_wheeler_renew^3*SUMIFS(AR121:AR178,B121:B178,B145-36)+in_two_wheeler_renew^4*SUMIFS(AR121:AR178,B121:B178,B145-48))</f>
        <v/>
      </c>
      <c r="AT145" s="40">
        <f>AT144*(1-IF(B144&gt;=in_marketplace_from,d_hz_device*G144,0))</f>
        <v/>
      </c>
      <c r="AU145" s="14">
        <f>F145*AT145*IF(B145&gt;=in_marketplace_from,d_hz_device*G145,0)*in_device_ticket*in_device_comm*in_ins_partner_share</f>
        <v/>
      </c>
      <c r="AV145" s="40">
        <f>AV144*(1-IF(B144&gt;=in_marketplace_from,d_hz_shop*G144,0))</f>
        <v/>
      </c>
      <c r="AW145" s="46">
        <f>AV145*IF(B145&gt;=in_marketplace_from,d_hz_shop*G145,0)</f>
        <v/>
      </c>
      <c r="AX145" s="14">
        <f>F145*AW145*in_shop_ticket*in_shop_comm*in_ins_partner_share+F145*in_shop_ticket*in_shop_renew_comm*in_ins_partner_share*(in_shop_renew^1*SUMIFS(AW121:AW178,B121:B178,B145-12)+in_shop_renew^2*SUMIFS(AW121:AW178,B121:B178,B145-24)+in_shop_renew^3*SUMIFS(AW121:AW178,B121:B178,B145-36)+in_shop_renew^4*SUMIFS(AW121:AW178,B121:B178,B145-48))</f>
        <v/>
      </c>
      <c r="AY145" s="40">
        <f>AY144*(1-IF(B144&gt;=in_marketplace_from,d_hz_sip*G144,0))</f>
        <v/>
      </c>
      <c r="AZ145" s="40">
        <f>AZ144*d_rho_sip+AY145*IF(B145&gt;=in_marketplace_from,d_hz_sip*G145,0)</f>
        <v/>
      </c>
      <c r="BA145" s="40">
        <f>d_rho_sip*(BA144+AZ144)</f>
        <v/>
      </c>
      <c r="BB145" s="14">
        <f>F145*in_sip_ticket*(BA145+0.5*AZ145)*in_sip_comm/12</f>
        <v/>
      </c>
      <c r="BC145" s="40">
        <f>BC144*(1-IF(B144&gt;=in_marketplace_from,d_hz_choti*G144,0))</f>
        <v/>
      </c>
      <c r="BD145" s="46">
        <f>BC145*IF(B145&gt;=in_marketplace_from,d_hz_choti*G145,0)</f>
        <v/>
      </c>
      <c r="BE145" s="14">
        <f>F145*SUMIFS(BD121:BD178,B121:B178,B145-in_choti_months)*in_choti_renew*in_choti_ticket</f>
        <v/>
      </c>
      <c r="BF145" s="40">
        <f>BF144*(1-IF(B144&gt;=in_marketplace_from,d_hz_nps*G144,0))</f>
        <v/>
      </c>
      <c r="BG145" s="14">
        <f>F145*BF145*IF(B145&gt;=in_marketplace_from,d_hz_nps*G145,0)*in_nps_ticket*in_nps_comm</f>
        <v/>
      </c>
      <c r="BH145" s="40">
        <f>BH144*(1-IF(B144&gt;=in_marketplace_from,d_hz_gold*G144,0))</f>
        <v/>
      </c>
      <c r="BI145" s="40">
        <f>BI144*d_rho_gold+BH145*IF(B145&gt;=in_marketplace_from,d_hz_gold*G145,0)</f>
        <v/>
      </c>
      <c r="BJ145" s="14">
        <f>F145*BI145*in_gold_ticket*in_gold_comm</f>
        <v/>
      </c>
      <c r="BK145" s="40">
        <f>BK144*(1-IF(B144&gt;=in_marketplace_from,d_hz_fd*G144,0))</f>
        <v/>
      </c>
      <c r="BL145" s="14">
        <f>F145*BK145*IF(B145&gt;=in_marketplace_from,d_hz_fd*G145,0)*in_fd_ticket*in_fd_comm</f>
        <v/>
      </c>
      <c r="BM145" s="40">
        <f>BM144*(1-IF(B144&gt;=in_marketplace_from,d_hz_recharge*G144,0))</f>
        <v/>
      </c>
      <c r="BN145" s="40">
        <f>BN144*d_rho_recharge+BM145*IF(B145&gt;=in_marketplace_from,d_hz_recharge*G145,0)</f>
        <v/>
      </c>
      <c r="BO145" s="14">
        <f>F145*BN145*in_recharge_ticket*in_recharge_comm/12</f>
        <v/>
      </c>
      <c r="BP145" s="40">
        <f>BP144*(1-IF(B144&gt;=in_marketplace_from,d_hz_bills*G144,0))</f>
        <v/>
      </c>
      <c r="BQ145" s="40">
        <f>BQ144*d_rho_bills+BP145*IF(B145&gt;=in_marketplace_from,d_hz_bills*G145,0)</f>
        <v/>
      </c>
      <c r="BR145" s="14">
        <f>F145*BQ145*in_bills_ticket*in_bills_comm/12</f>
        <v/>
      </c>
      <c r="BS145" s="40">
        <f>BS144*(1-IF(B144&gt;=in_marketplace_from,d_hz_loan_gold*G144,0))</f>
        <v/>
      </c>
      <c r="BT145" s="14">
        <f>F145*BS145*IF(B145&gt;=in_marketplace_from,d_hz_loan_gold*G145,0)*in_loan_gold_ticket*in_loan_gold_comm</f>
        <v/>
      </c>
      <c r="BU145" s="40">
        <f>BU144*(1-IF(B144&gt;=in_marketplace_from,d_hz_loan_cd*G144,0))</f>
        <v/>
      </c>
      <c r="BV145" s="14">
        <f>F145*BU145*IF(B145&gt;=in_marketplace_from,d_hz_loan_cd*G145,0)*in_loan_cd_ticket*in_loan_cd_comm</f>
        <v/>
      </c>
      <c r="BW145" s="40">
        <f>BW144*(1-IF(B144&gt;=in_marketplace_from,d_hz_loan_vehicle*G144,0))</f>
        <v/>
      </c>
      <c r="BX145" s="14">
        <f>F145*BW145*IF(B145&gt;=in_marketplace_from,d_hz_loan_vehicle*G145,0)*in_loan_vehicle_ticket*in_loan_vehicle_comm</f>
        <v/>
      </c>
      <c r="BY145" s="40">
        <f>BY144*(1-IF(B144&gt;=in_marketplace_from,d_hz_loan_home*G144,0)*BZ144)</f>
        <v/>
      </c>
      <c r="BZ145" s="11">
        <f>MIN(in_approval_cap,in_loan_home_approval*INDEX('Age profile'!$O$2:$O$61,B145)*(1+in_approval_growth)^(D145-1))</f>
        <v/>
      </c>
      <c r="CA145" s="14">
        <f>F145*BY145*IF(B145&gt;=in_marketplace_from,d_hz_loan_home*G145,0)*BZ145*in_loan_home_ticket*in_loan_home_comm</f>
        <v/>
      </c>
      <c r="CB145" s="40">
        <f>CB144*(1-IF(B144&gt;=in_marketplace_from,d_hz_loan_lap*G144,0)*CC144)</f>
        <v/>
      </c>
      <c r="CC145" s="11">
        <f>MIN(in_approval_cap,in_loan_lap_approval*INDEX('Age profile'!$O$2:$O$61,B145)*(1+in_approval_growth)^(D145-1))</f>
        <v/>
      </c>
      <c r="CD145" s="14">
        <f>F145*CB145*IF(B145&gt;=in_marketplace_from,d_hz_loan_lap*G145,0)*CC145*in_loan_lap_ticket*in_loan_lap_comm</f>
        <v/>
      </c>
      <c r="CE145" s="14">
        <f>AA145+AB145+AC145+AD145+AG145+AJ145+AM145+AP145+AS145+AU145+AX145+BB145+BE145+BG145+BJ145+BL145+BO145+BR145+BT145+BV145+BX145+CA145+CD145</f>
        <v/>
      </c>
    </row>
    <row r="146">
      <c r="A146" s="39" t="n">
        <v>3</v>
      </c>
      <c r="B146" s="39" t="n">
        <v>26</v>
      </c>
      <c r="C146" s="39">
        <f>A146+B146-1</f>
        <v/>
      </c>
      <c r="D146" s="39">
        <f>INT((C146-1)/12)+1</f>
        <v/>
      </c>
      <c r="E146" s="44">
        <f>INDEX(Monthly!$B$2:$B$61,A146)</f>
        <v/>
      </c>
      <c r="F146" s="44">
        <f>E146*INDEX('Age profile'!$B$2:$B$61,B146)</f>
        <v/>
      </c>
      <c r="G146" s="45">
        <f>MIN(in_takeup_cap,INDEX('Age profile'!$N$2:$N$61,B146)*(1+in_takeup_growth)^(D146-1))</f>
        <v/>
      </c>
      <c r="H146" s="11">
        <f>MIN(in_approval_cap,in_approved_first*INDEX('Age profile'!$O$2:$O$61,B146)*(1+in_approval_growth)^(D146-1))</f>
        <v/>
      </c>
      <c r="I146" s="45">
        <f>G146*MIN(in_takeup_cap,INDEX('Age profile'!$O$2:$O$61,B146)*(1+in_approval_growth)^(D146-1))</f>
        <v/>
      </c>
      <c r="J146" s="40">
        <f>(J145-L145)*F146/F145</f>
        <v/>
      </c>
      <c r="K146" s="40">
        <f>(K145-M145)*F146/F145+SUMIFS(O121:O145,B121:B145,B146-1-d_T)*F146</f>
        <v/>
      </c>
      <c r="L146" s="40">
        <f>IF(B146&gt;=in_marketplace_from,J146*d_hz*G146*in_eligible*H146,0)</f>
        <v/>
      </c>
      <c r="M146" s="40">
        <f>IF(B146&gt;=in_marketplace_from,K146*d_hz*G146*in_eligible*in_approved_repeat,0)</f>
        <v/>
      </c>
      <c r="N146" s="40">
        <f>L146+M146</f>
        <v/>
      </c>
      <c r="O146" s="46">
        <f>N146/F146</f>
        <v/>
      </c>
      <c r="P146" s="40">
        <f>F146-J146-K146</f>
        <v/>
      </c>
      <c r="Q146" s="40">
        <f>IF(B146&gt;=in_marketplace_from,(J146+K146)*d_hz*G146,0)</f>
        <v/>
      </c>
      <c r="R146" s="40">
        <f>SUMIFS(N121:N178,B121:B178,"&gt;="&amp;(B146-d_T),B121:B178,"&lt;="&amp;(B146-1))</f>
        <v/>
      </c>
      <c r="S146" s="46">
        <f>(1-d_u)*S145+IF(d_T&gt;in_topup_lag,SUMIFS(O121:O178,B121:B178,B146-in_topup_lag)-d_udrop*SUMIFS(O121:O178,B121:B178,B146-d_T),0)</f>
        <v/>
      </c>
      <c r="T146" s="40">
        <f>F146*d_u*S146</f>
        <v/>
      </c>
      <c r="U146" s="9">
        <f>L146*in_ticket+M146*d_rep_ticket</f>
        <v/>
      </c>
      <c r="V146" s="9">
        <f>U146+T146*d_topup_amt</f>
        <v/>
      </c>
      <c r="W146" s="40">
        <f>N146+T146*d_topup_ratio</f>
        <v/>
      </c>
      <c r="X146" s="40">
        <f>SUMIFS(W121:W178,B121:B178,B146-in_dpd_lag)*d_cured</f>
        <v/>
      </c>
      <c r="Y146" s="40">
        <f>SUMIFS(W121:W178,B121:B178,B146-in_rec_lag)*d_recd</f>
        <v/>
      </c>
      <c r="Z146" s="40">
        <f>IF(AND(B146&gt;=in_marketplace_from,B146&lt;in_marketplace_from+in_card_months),in_card_share/in_card_months*F146*I146,IF(AND(B146&gt;=in_marketplace_from+in_card_months,B146&lt;in_marketplace_from+2*in_card_months),in_card_share*d_card_rem/in_card_months*F146*MIN(in_takeup_cap,(1+in_takeup_growth)^(D146-1))*MIN(in_takeup_cap,(1+in_approval_growth)^(D146-1)),0))</f>
        <v/>
      </c>
      <c r="AA146" s="14">
        <f>V146*in_fee*(1-in_taken_back)</f>
        <v/>
      </c>
      <c r="AB146" s="14">
        <f>SUMIFS(W121:W178,B121:B178,B146-in_dpd_lag)*d_dpd</f>
        <v/>
      </c>
      <c r="AC146" s="14">
        <f>SUMIFS(W121:W178,B121:B178,B146-in_rec_lag)*d_rec</f>
        <v/>
      </c>
      <c r="AD146" s="14">
        <f>Z146*in_card_fee</f>
        <v/>
      </c>
      <c r="AE146" s="40">
        <f>AE145*(1-IF(B145&gt;=in_marketplace_from,d_hz_hlth_small*G145,0))</f>
        <v/>
      </c>
      <c r="AF146" s="46">
        <f>AE146*IF(B146&gt;=in_marketplace_from,d_hz_hlth_small*G146,0)</f>
        <v/>
      </c>
      <c r="AG146" s="14">
        <f>F146*AF146*in_hlth_small_ticket*in_hlth_small_comm*in_ins_partner_share+F146*in_hlth_small_ticket*in_hlth_small_renew_comm*in_ins_partner_share*(in_hlth_small_renew^1*SUMIFS(AF121:AF178,B121:B178,B146-12)+in_hlth_small_renew^2*SUMIFS(AF121:AF178,B121:B178,B146-24)+in_hlth_small_renew^3*SUMIFS(AF121:AF178,B121:B178,B146-36)+in_hlth_small_renew^4*SUMIFS(AF121:AF178,B121:B178,B146-48))</f>
        <v/>
      </c>
      <c r="AH146" s="40">
        <f>AH145*(1-IF(B145&gt;=in_marketplace_from,d_hz_hlth_family*G145,0))</f>
        <v/>
      </c>
      <c r="AI146" s="46">
        <f>AH146*IF(B146&gt;=in_marketplace_from,d_hz_hlth_family*G146,0)</f>
        <v/>
      </c>
      <c r="AJ146" s="14">
        <f>F146*AI146*in_hlth_family_ticket*in_hlth_family_comm*in_ins_partner_share+F146*in_hlth_family_ticket*in_hlth_family_renew_comm*in_ins_partner_share*(in_hlth_family_renew^1*SUMIFS(AI121:AI178,B121:B178,B146-12)+in_hlth_family_renew^2*SUMIFS(AI121:AI178,B121:B178,B146-24)+in_hlth_family_renew^3*SUMIFS(AI121:AI178,B121:B178,B146-36)+in_hlth_family_renew^4*SUMIFS(AI121:AI178,B121:B178,B146-48))</f>
        <v/>
      </c>
      <c r="AK146" s="40">
        <f>AK145*(1-IF(B145&gt;=in_marketplace_from,d_hz_life_term*G145,0))</f>
        <v/>
      </c>
      <c r="AL146" s="46">
        <f>AK146*IF(B146&gt;=in_marketplace_from,d_hz_life_term*G146,0)</f>
        <v/>
      </c>
      <c r="AM146" s="14">
        <f>F146*AL146*in_life_term_ticket*in_life_term_comm*in_ins_partner_share+F146*in_life_term_ticket*in_life_term_renew_comm*in_ins_partner_share*(in_life_term_renew^1*SUMIFS(AL121:AL178,B121:B178,B146-12)+in_life_term_renew^2*SUMIFS(AL121:AL178,B121:B178,B146-24)+in_life_term_renew^3*SUMIFS(AL121:AL178,B121:B178,B146-36)+in_life_term_renew^4*SUMIFS(AL121:AL178,B121:B178,B146-48))</f>
        <v/>
      </c>
      <c r="AN146" s="40">
        <f>AN145*(1-IF(B145&gt;=in_marketplace_from,d_hz_accident*G145,0))</f>
        <v/>
      </c>
      <c r="AO146" s="46">
        <f>AN146*IF(B146&gt;=in_marketplace_from,d_hz_accident*G146,0)</f>
        <v/>
      </c>
      <c r="AP146" s="14">
        <f>F146*AO146*in_accident_ticket*in_accident_comm*in_ins_partner_share+F146*in_accident_ticket*in_accident_renew_comm*in_ins_partner_share*(in_accident_renew^1*SUMIFS(AO121:AO178,B121:B178,B146-12)+in_accident_renew^2*SUMIFS(AO121:AO178,B121:B178,B146-24)+in_accident_renew^3*SUMIFS(AO121:AO178,B121:B178,B146-36)+in_accident_renew^4*SUMIFS(AO121:AO178,B121:B178,B146-48))</f>
        <v/>
      </c>
      <c r="AQ146" s="40">
        <f>AQ145*(1-IF(B145&gt;=in_marketplace_from,d_hz_two_wheeler*G145,0))</f>
        <v/>
      </c>
      <c r="AR146" s="46">
        <f>AQ146*IF(B146&gt;=in_marketplace_from,d_hz_two_wheeler*G146,0)</f>
        <v/>
      </c>
      <c r="AS146" s="14">
        <f>F146*AR146*in_two_wheeler_ticket*in_two_wheeler_comm*in_ins_partner_share+F146*in_two_wheeler_ticket*in_two_wheeler_comm*in_ins_partner_share*(in_two_wheeler_renew^1*SUMIFS(AR121:AR178,B121:B178,B146-12)+in_two_wheeler_renew^2*SUMIFS(AR121:AR178,B121:B178,B146-24)+in_two_wheeler_renew^3*SUMIFS(AR121:AR178,B121:B178,B146-36)+in_two_wheeler_renew^4*SUMIFS(AR121:AR178,B121:B178,B146-48))</f>
        <v/>
      </c>
      <c r="AT146" s="40">
        <f>AT145*(1-IF(B145&gt;=in_marketplace_from,d_hz_device*G145,0))</f>
        <v/>
      </c>
      <c r="AU146" s="14">
        <f>F146*AT146*IF(B146&gt;=in_marketplace_from,d_hz_device*G146,0)*in_device_ticket*in_device_comm*in_ins_partner_share</f>
        <v/>
      </c>
      <c r="AV146" s="40">
        <f>AV145*(1-IF(B145&gt;=in_marketplace_from,d_hz_shop*G145,0))</f>
        <v/>
      </c>
      <c r="AW146" s="46">
        <f>AV146*IF(B146&gt;=in_marketplace_from,d_hz_shop*G146,0)</f>
        <v/>
      </c>
      <c r="AX146" s="14">
        <f>F146*AW146*in_shop_ticket*in_shop_comm*in_ins_partner_share+F146*in_shop_ticket*in_shop_renew_comm*in_ins_partner_share*(in_shop_renew^1*SUMIFS(AW121:AW178,B121:B178,B146-12)+in_shop_renew^2*SUMIFS(AW121:AW178,B121:B178,B146-24)+in_shop_renew^3*SUMIFS(AW121:AW178,B121:B178,B146-36)+in_shop_renew^4*SUMIFS(AW121:AW178,B121:B178,B146-48))</f>
        <v/>
      </c>
      <c r="AY146" s="40">
        <f>AY145*(1-IF(B145&gt;=in_marketplace_from,d_hz_sip*G145,0))</f>
        <v/>
      </c>
      <c r="AZ146" s="40">
        <f>AZ145*d_rho_sip+AY146*IF(B146&gt;=in_marketplace_from,d_hz_sip*G146,0)</f>
        <v/>
      </c>
      <c r="BA146" s="40">
        <f>d_rho_sip*(BA145+AZ145)</f>
        <v/>
      </c>
      <c r="BB146" s="14">
        <f>F146*in_sip_ticket*(BA146+0.5*AZ146)*in_sip_comm/12</f>
        <v/>
      </c>
      <c r="BC146" s="40">
        <f>BC145*(1-IF(B145&gt;=in_marketplace_from,d_hz_choti*G145,0))</f>
        <v/>
      </c>
      <c r="BD146" s="46">
        <f>BC146*IF(B146&gt;=in_marketplace_from,d_hz_choti*G146,0)</f>
        <v/>
      </c>
      <c r="BE146" s="14">
        <f>F146*SUMIFS(BD121:BD178,B121:B178,B146-in_choti_months)*in_choti_renew*in_choti_ticket</f>
        <v/>
      </c>
      <c r="BF146" s="40">
        <f>BF145*(1-IF(B145&gt;=in_marketplace_from,d_hz_nps*G145,0))</f>
        <v/>
      </c>
      <c r="BG146" s="14">
        <f>F146*BF146*IF(B146&gt;=in_marketplace_from,d_hz_nps*G146,0)*in_nps_ticket*in_nps_comm</f>
        <v/>
      </c>
      <c r="BH146" s="40">
        <f>BH145*(1-IF(B145&gt;=in_marketplace_from,d_hz_gold*G145,0))</f>
        <v/>
      </c>
      <c r="BI146" s="40">
        <f>BI145*d_rho_gold+BH146*IF(B146&gt;=in_marketplace_from,d_hz_gold*G146,0)</f>
        <v/>
      </c>
      <c r="BJ146" s="14">
        <f>F146*BI146*in_gold_ticket*in_gold_comm</f>
        <v/>
      </c>
      <c r="BK146" s="40">
        <f>BK145*(1-IF(B145&gt;=in_marketplace_from,d_hz_fd*G145,0))</f>
        <v/>
      </c>
      <c r="BL146" s="14">
        <f>F146*BK146*IF(B146&gt;=in_marketplace_from,d_hz_fd*G146,0)*in_fd_ticket*in_fd_comm</f>
        <v/>
      </c>
      <c r="BM146" s="40">
        <f>BM145*(1-IF(B145&gt;=in_marketplace_from,d_hz_recharge*G145,0))</f>
        <v/>
      </c>
      <c r="BN146" s="40">
        <f>BN145*d_rho_recharge+BM146*IF(B146&gt;=in_marketplace_from,d_hz_recharge*G146,0)</f>
        <v/>
      </c>
      <c r="BO146" s="14">
        <f>F146*BN146*in_recharge_ticket*in_recharge_comm/12</f>
        <v/>
      </c>
      <c r="BP146" s="40">
        <f>BP145*(1-IF(B145&gt;=in_marketplace_from,d_hz_bills*G145,0))</f>
        <v/>
      </c>
      <c r="BQ146" s="40">
        <f>BQ145*d_rho_bills+BP146*IF(B146&gt;=in_marketplace_from,d_hz_bills*G146,0)</f>
        <v/>
      </c>
      <c r="BR146" s="14">
        <f>F146*BQ146*in_bills_ticket*in_bills_comm/12</f>
        <v/>
      </c>
      <c r="BS146" s="40">
        <f>BS145*(1-IF(B145&gt;=in_marketplace_from,d_hz_loan_gold*G145,0))</f>
        <v/>
      </c>
      <c r="BT146" s="14">
        <f>F146*BS146*IF(B146&gt;=in_marketplace_from,d_hz_loan_gold*G146,0)*in_loan_gold_ticket*in_loan_gold_comm</f>
        <v/>
      </c>
      <c r="BU146" s="40">
        <f>BU145*(1-IF(B145&gt;=in_marketplace_from,d_hz_loan_cd*G145,0))</f>
        <v/>
      </c>
      <c r="BV146" s="14">
        <f>F146*BU146*IF(B146&gt;=in_marketplace_from,d_hz_loan_cd*G146,0)*in_loan_cd_ticket*in_loan_cd_comm</f>
        <v/>
      </c>
      <c r="BW146" s="40">
        <f>BW145*(1-IF(B145&gt;=in_marketplace_from,d_hz_loan_vehicle*G145,0))</f>
        <v/>
      </c>
      <c r="BX146" s="14">
        <f>F146*BW146*IF(B146&gt;=in_marketplace_from,d_hz_loan_vehicle*G146,0)*in_loan_vehicle_ticket*in_loan_vehicle_comm</f>
        <v/>
      </c>
      <c r="BY146" s="40">
        <f>BY145*(1-IF(B145&gt;=in_marketplace_from,d_hz_loan_home*G145,0)*BZ145)</f>
        <v/>
      </c>
      <c r="BZ146" s="11">
        <f>MIN(in_approval_cap,in_loan_home_approval*INDEX('Age profile'!$O$2:$O$61,B146)*(1+in_approval_growth)^(D146-1))</f>
        <v/>
      </c>
      <c r="CA146" s="14">
        <f>F146*BY146*IF(B146&gt;=in_marketplace_from,d_hz_loan_home*G146,0)*BZ146*in_loan_home_ticket*in_loan_home_comm</f>
        <v/>
      </c>
      <c r="CB146" s="40">
        <f>CB145*(1-IF(B145&gt;=in_marketplace_from,d_hz_loan_lap*G145,0)*CC145)</f>
        <v/>
      </c>
      <c r="CC146" s="11">
        <f>MIN(in_approval_cap,in_loan_lap_approval*INDEX('Age profile'!$O$2:$O$61,B146)*(1+in_approval_growth)^(D146-1))</f>
        <v/>
      </c>
      <c r="CD146" s="14">
        <f>F146*CB146*IF(B146&gt;=in_marketplace_from,d_hz_loan_lap*G146,0)*CC146*in_loan_lap_ticket*in_loan_lap_comm</f>
        <v/>
      </c>
      <c r="CE146" s="14">
        <f>AA146+AB146+AC146+AD146+AG146+AJ146+AM146+AP146+AS146+AU146+AX146+BB146+BE146+BG146+BJ146+BL146+BO146+BR146+BT146+BV146+BX146+CA146+CD146</f>
        <v/>
      </c>
    </row>
    <row r="147">
      <c r="A147" s="39" t="n">
        <v>3</v>
      </c>
      <c r="B147" s="39" t="n">
        <v>27</v>
      </c>
      <c r="C147" s="39">
        <f>A147+B147-1</f>
        <v/>
      </c>
      <c r="D147" s="39">
        <f>INT((C147-1)/12)+1</f>
        <v/>
      </c>
      <c r="E147" s="44">
        <f>INDEX(Monthly!$B$2:$B$61,A147)</f>
        <v/>
      </c>
      <c r="F147" s="44">
        <f>E147*INDEX('Age profile'!$B$2:$B$61,B147)</f>
        <v/>
      </c>
      <c r="G147" s="45">
        <f>MIN(in_takeup_cap,INDEX('Age profile'!$N$2:$N$61,B147)*(1+in_takeup_growth)^(D147-1))</f>
        <v/>
      </c>
      <c r="H147" s="11">
        <f>MIN(in_approval_cap,in_approved_first*INDEX('Age profile'!$O$2:$O$61,B147)*(1+in_approval_growth)^(D147-1))</f>
        <v/>
      </c>
      <c r="I147" s="45">
        <f>G147*MIN(in_takeup_cap,INDEX('Age profile'!$O$2:$O$61,B147)*(1+in_approval_growth)^(D147-1))</f>
        <v/>
      </c>
      <c r="J147" s="40">
        <f>(J146-L146)*F147/F146</f>
        <v/>
      </c>
      <c r="K147" s="40">
        <f>(K146-M146)*F147/F146+SUMIFS(O121:O146,B121:B146,B147-1-d_T)*F147</f>
        <v/>
      </c>
      <c r="L147" s="40">
        <f>IF(B147&gt;=in_marketplace_from,J147*d_hz*G147*in_eligible*H147,0)</f>
        <v/>
      </c>
      <c r="M147" s="40">
        <f>IF(B147&gt;=in_marketplace_from,K147*d_hz*G147*in_eligible*in_approved_repeat,0)</f>
        <v/>
      </c>
      <c r="N147" s="40">
        <f>L147+M147</f>
        <v/>
      </c>
      <c r="O147" s="46">
        <f>N147/F147</f>
        <v/>
      </c>
      <c r="P147" s="40">
        <f>F147-J147-K147</f>
        <v/>
      </c>
      <c r="Q147" s="40">
        <f>IF(B147&gt;=in_marketplace_from,(J147+K147)*d_hz*G147,0)</f>
        <v/>
      </c>
      <c r="R147" s="40">
        <f>SUMIFS(N121:N178,B121:B178,"&gt;="&amp;(B147-d_T),B121:B178,"&lt;="&amp;(B147-1))</f>
        <v/>
      </c>
      <c r="S147" s="46">
        <f>(1-d_u)*S146+IF(d_T&gt;in_topup_lag,SUMIFS(O121:O178,B121:B178,B147-in_topup_lag)-d_udrop*SUMIFS(O121:O178,B121:B178,B147-d_T),0)</f>
        <v/>
      </c>
      <c r="T147" s="40">
        <f>F147*d_u*S147</f>
        <v/>
      </c>
      <c r="U147" s="9">
        <f>L147*in_ticket+M147*d_rep_ticket</f>
        <v/>
      </c>
      <c r="V147" s="9">
        <f>U147+T147*d_topup_amt</f>
        <v/>
      </c>
      <c r="W147" s="40">
        <f>N147+T147*d_topup_ratio</f>
        <v/>
      </c>
      <c r="X147" s="40">
        <f>SUMIFS(W121:W178,B121:B178,B147-in_dpd_lag)*d_cured</f>
        <v/>
      </c>
      <c r="Y147" s="40">
        <f>SUMIFS(W121:W178,B121:B178,B147-in_rec_lag)*d_recd</f>
        <v/>
      </c>
      <c r="Z147" s="40">
        <f>IF(AND(B147&gt;=in_marketplace_from,B147&lt;in_marketplace_from+in_card_months),in_card_share/in_card_months*F147*I147,IF(AND(B147&gt;=in_marketplace_from+in_card_months,B147&lt;in_marketplace_from+2*in_card_months),in_card_share*d_card_rem/in_card_months*F147*MIN(in_takeup_cap,(1+in_takeup_growth)^(D147-1))*MIN(in_takeup_cap,(1+in_approval_growth)^(D147-1)),0))</f>
        <v/>
      </c>
      <c r="AA147" s="14">
        <f>V147*in_fee*(1-in_taken_back)</f>
        <v/>
      </c>
      <c r="AB147" s="14">
        <f>SUMIFS(W121:W178,B121:B178,B147-in_dpd_lag)*d_dpd</f>
        <v/>
      </c>
      <c r="AC147" s="14">
        <f>SUMIFS(W121:W178,B121:B178,B147-in_rec_lag)*d_rec</f>
        <v/>
      </c>
      <c r="AD147" s="14">
        <f>Z147*in_card_fee</f>
        <v/>
      </c>
      <c r="AE147" s="40">
        <f>AE146*(1-IF(B146&gt;=in_marketplace_from,d_hz_hlth_small*G146,0))</f>
        <v/>
      </c>
      <c r="AF147" s="46">
        <f>AE147*IF(B147&gt;=in_marketplace_from,d_hz_hlth_small*G147,0)</f>
        <v/>
      </c>
      <c r="AG147" s="14">
        <f>F147*AF147*in_hlth_small_ticket*in_hlth_small_comm*in_ins_partner_share+F147*in_hlth_small_ticket*in_hlth_small_renew_comm*in_ins_partner_share*(in_hlth_small_renew^1*SUMIFS(AF121:AF178,B121:B178,B147-12)+in_hlth_small_renew^2*SUMIFS(AF121:AF178,B121:B178,B147-24)+in_hlth_small_renew^3*SUMIFS(AF121:AF178,B121:B178,B147-36)+in_hlth_small_renew^4*SUMIFS(AF121:AF178,B121:B178,B147-48))</f>
        <v/>
      </c>
      <c r="AH147" s="40">
        <f>AH146*(1-IF(B146&gt;=in_marketplace_from,d_hz_hlth_family*G146,0))</f>
        <v/>
      </c>
      <c r="AI147" s="46">
        <f>AH147*IF(B147&gt;=in_marketplace_from,d_hz_hlth_family*G147,0)</f>
        <v/>
      </c>
      <c r="AJ147" s="14">
        <f>F147*AI147*in_hlth_family_ticket*in_hlth_family_comm*in_ins_partner_share+F147*in_hlth_family_ticket*in_hlth_family_renew_comm*in_ins_partner_share*(in_hlth_family_renew^1*SUMIFS(AI121:AI178,B121:B178,B147-12)+in_hlth_family_renew^2*SUMIFS(AI121:AI178,B121:B178,B147-24)+in_hlth_family_renew^3*SUMIFS(AI121:AI178,B121:B178,B147-36)+in_hlth_family_renew^4*SUMIFS(AI121:AI178,B121:B178,B147-48))</f>
        <v/>
      </c>
      <c r="AK147" s="40">
        <f>AK146*(1-IF(B146&gt;=in_marketplace_from,d_hz_life_term*G146,0))</f>
        <v/>
      </c>
      <c r="AL147" s="46">
        <f>AK147*IF(B147&gt;=in_marketplace_from,d_hz_life_term*G147,0)</f>
        <v/>
      </c>
      <c r="AM147" s="14">
        <f>F147*AL147*in_life_term_ticket*in_life_term_comm*in_ins_partner_share+F147*in_life_term_ticket*in_life_term_renew_comm*in_ins_partner_share*(in_life_term_renew^1*SUMIFS(AL121:AL178,B121:B178,B147-12)+in_life_term_renew^2*SUMIFS(AL121:AL178,B121:B178,B147-24)+in_life_term_renew^3*SUMIFS(AL121:AL178,B121:B178,B147-36)+in_life_term_renew^4*SUMIFS(AL121:AL178,B121:B178,B147-48))</f>
        <v/>
      </c>
      <c r="AN147" s="40">
        <f>AN146*(1-IF(B146&gt;=in_marketplace_from,d_hz_accident*G146,0))</f>
        <v/>
      </c>
      <c r="AO147" s="46">
        <f>AN147*IF(B147&gt;=in_marketplace_from,d_hz_accident*G147,0)</f>
        <v/>
      </c>
      <c r="AP147" s="14">
        <f>F147*AO147*in_accident_ticket*in_accident_comm*in_ins_partner_share+F147*in_accident_ticket*in_accident_renew_comm*in_ins_partner_share*(in_accident_renew^1*SUMIFS(AO121:AO178,B121:B178,B147-12)+in_accident_renew^2*SUMIFS(AO121:AO178,B121:B178,B147-24)+in_accident_renew^3*SUMIFS(AO121:AO178,B121:B178,B147-36)+in_accident_renew^4*SUMIFS(AO121:AO178,B121:B178,B147-48))</f>
        <v/>
      </c>
      <c r="AQ147" s="40">
        <f>AQ146*(1-IF(B146&gt;=in_marketplace_from,d_hz_two_wheeler*G146,0))</f>
        <v/>
      </c>
      <c r="AR147" s="46">
        <f>AQ147*IF(B147&gt;=in_marketplace_from,d_hz_two_wheeler*G147,0)</f>
        <v/>
      </c>
      <c r="AS147" s="14">
        <f>F147*AR147*in_two_wheeler_ticket*in_two_wheeler_comm*in_ins_partner_share+F147*in_two_wheeler_ticket*in_two_wheeler_comm*in_ins_partner_share*(in_two_wheeler_renew^1*SUMIFS(AR121:AR178,B121:B178,B147-12)+in_two_wheeler_renew^2*SUMIFS(AR121:AR178,B121:B178,B147-24)+in_two_wheeler_renew^3*SUMIFS(AR121:AR178,B121:B178,B147-36)+in_two_wheeler_renew^4*SUMIFS(AR121:AR178,B121:B178,B147-48))</f>
        <v/>
      </c>
      <c r="AT147" s="40">
        <f>AT146*(1-IF(B146&gt;=in_marketplace_from,d_hz_device*G146,0))</f>
        <v/>
      </c>
      <c r="AU147" s="14">
        <f>F147*AT147*IF(B147&gt;=in_marketplace_from,d_hz_device*G147,0)*in_device_ticket*in_device_comm*in_ins_partner_share</f>
        <v/>
      </c>
      <c r="AV147" s="40">
        <f>AV146*(1-IF(B146&gt;=in_marketplace_from,d_hz_shop*G146,0))</f>
        <v/>
      </c>
      <c r="AW147" s="46">
        <f>AV147*IF(B147&gt;=in_marketplace_from,d_hz_shop*G147,0)</f>
        <v/>
      </c>
      <c r="AX147" s="14">
        <f>F147*AW147*in_shop_ticket*in_shop_comm*in_ins_partner_share+F147*in_shop_ticket*in_shop_renew_comm*in_ins_partner_share*(in_shop_renew^1*SUMIFS(AW121:AW178,B121:B178,B147-12)+in_shop_renew^2*SUMIFS(AW121:AW178,B121:B178,B147-24)+in_shop_renew^3*SUMIFS(AW121:AW178,B121:B178,B147-36)+in_shop_renew^4*SUMIFS(AW121:AW178,B121:B178,B147-48))</f>
        <v/>
      </c>
      <c r="AY147" s="40">
        <f>AY146*(1-IF(B146&gt;=in_marketplace_from,d_hz_sip*G146,0))</f>
        <v/>
      </c>
      <c r="AZ147" s="40">
        <f>AZ146*d_rho_sip+AY147*IF(B147&gt;=in_marketplace_from,d_hz_sip*G147,0)</f>
        <v/>
      </c>
      <c r="BA147" s="40">
        <f>d_rho_sip*(BA146+AZ146)</f>
        <v/>
      </c>
      <c r="BB147" s="14">
        <f>F147*in_sip_ticket*(BA147+0.5*AZ147)*in_sip_comm/12</f>
        <v/>
      </c>
      <c r="BC147" s="40">
        <f>BC146*(1-IF(B146&gt;=in_marketplace_from,d_hz_choti*G146,0))</f>
        <v/>
      </c>
      <c r="BD147" s="46">
        <f>BC147*IF(B147&gt;=in_marketplace_from,d_hz_choti*G147,0)</f>
        <v/>
      </c>
      <c r="BE147" s="14">
        <f>F147*SUMIFS(BD121:BD178,B121:B178,B147-in_choti_months)*in_choti_renew*in_choti_ticket</f>
        <v/>
      </c>
      <c r="BF147" s="40">
        <f>BF146*(1-IF(B146&gt;=in_marketplace_from,d_hz_nps*G146,0))</f>
        <v/>
      </c>
      <c r="BG147" s="14">
        <f>F147*BF147*IF(B147&gt;=in_marketplace_from,d_hz_nps*G147,0)*in_nps_ticket*in_nps_comm</f>
        <v/>
      </c>
      <c r="BH147" s="40">
        <f>BH146*(1-IF(B146&gt;=in_marketplace_from,d_hz_gold*G146,0))</f>
        <v/>
      </c>
      <c r="BI147" s="40">
        <f>BI146*d_rho_gold+BH147*IF(B147&gt;=in_marketplace_from,d_hz_gold*G147,0)</f>
        <v/>
      </c>
      <c r="BJ147" s="14">
        <f>F147*BI147*in_gold_ticket*in_gold_comm</f>
        <v/>
      </c>
      <c r="BK147" s="40">
        <f>BK146*(1-IF(B146&gt;=in_marketplace_from,d_hz_fd*G146,0))</f>
        <v/>
      </c>
      <c r="BL147" s="14">
        <f>F147*BK147*IF(B147&gt;=in_marketplace_from,d_hz_fd*G147,0)*in_fd_ticket*in_fd_comm</f>
        <v/>
      </c>
      <c r="BM147" s="40">
        <f>BM146*(1-IF(B146&gt;=in_marketplace_from,d_hz_recharge*G146,0))</f>
        <v/>
      </c>
      <c r="BN147" s="40">
        <f>BN146*d_rho_recharge+BM147*IF(B147&gt;=in_marketplace_from,d_hz_recharge*G147,0)</f>
        <v/>
      </c>
      <c r="BO147" s="14">
        <f>F147*BN147*in_recharge_ticket*in_recharge_comm/12</f>
        <v/>
      </c>
      <c r="BP147" s="40">
        <f>BP146*(1-IF(B146&gt;=in_marketplace_from,d_hz_bills*G146,0))</f>
        <v/>
      </c>
      <c r="BQ147" s="40">
        <f>BQ146*d_rho_bills+BP147*IF(B147&gt;=in_marketplace_from,d_hz_bills*G147,0)</f>
        <v/>
      </c>
      <c r="BR147" s="14">
        <f>F147*BQ147*in_bills_ticket*in_bills_comm/12</f>
        <v/>
      </c>
      <c r="BS147" s="40">
        <f>BS146*(1-IF(B146&gt;=in_marketplace_from,d_hz_loan_gold*G146,0))</f>
        <v/>
      </c>
      <c r="BT147" s="14">
        <f>F147*BS147*IF(B147&gt;=in_marketplace_from,d_hz_loan_gold*G147,0)*in_loan_gold_ticket*in_loan_gold_comm</f>
        <v/>
      </c>
      <c r="BU147" s="40">
        <f>BU146*(1-IF(B146&gt;=in_marketplace_from,d_hz_loan_cd*G146,0))</f>
        <v/>
      </c>
      <c r="BV147" s="14">
        <f>F147*BU147*IF(B147&gt;=in_marketplace_from,d_hz_loan_cd*G147,0)*in_loan_cd_ticket*in_loan_cd_comm</f>
        <v/>
      </c>
      <c r="BW147" s="40">
        <f>BW146*(1-IF(B146&gt;=in_marketplace_from,d_hz_loan_vehicle*G146,0))</f>
        <v/>
      </c>
      <c r="BX147" s="14">
        <f>F147*BW147*IF(B147&gt;=in_marketplace_from,d_hz_loan_vehicle*G147,0)*in_loan_vehicle_ticket*in_loan_vehicle_comm</f>
        <v/>
      </c>
      <c r="BY147" s="40">
        <f>BY146*(1-IF(B146&gt;=in_marketplace_from,d_hz_loan_home*G146,0)*BZ146)</f>
        <v/>
      </c>
      <c r="BZ147" s="11">
        <f>MIN(in_approval_cap,in_loan_home_approval*INDEX('Age profile'!$O$2:$O$61,B147)*(1+in_approval_growth)^(D147-1))</f>
        <v/>
      </c>
      <c r="CA147" s="14">
        <f>F147*BY147*IF(B147&gt;=in_marketplace_from,d_hz_loan_home*G147,0)*BZ147*in_loan_home_ticket*in_loan_home_comm</f>
        <v/>
      </c>
      <c r="CB147" s="40">
        <f>CB146*(1-IF(B146&gt;=in_marketplace_from,d_hz_loan_lap*G146,0)*CC146)</f>
        <v/>
      </c>
      <c r="CC147" s="11">
        <f>MIN(in_approval_cap,in_loan_lap_approval*INDEX('Age profile'!$O$2:$O$61,B147)*(1+in_approval_growth)^(D147-1))</f>
        <v/>
      </c>
      <c r="CD147" s="14">
        <f>F147*CB147*IF(B147&gt;=in_marketplace_from,d_hz_loan_lap*G147,0)*CC147*in_loan_lap_ticket*in_loan_lap_comm</f>
        <v/>
      </c>
      <c r="CE147" s="14">
        <f>AA147+AB147+AC147+AD147+AG147+AJ147+AM147+AP147+AS147+AU147+AX147+BB147+BE147+BG147+BJ147+BL147+BO147+BR147+BT147+BV147+BX147+CA147+CD147</f>
        <v/>
      </c>
    </row>
    <row r="148">
      <c r="A148" s="39" t="n">
        <v>3</v>
      </c>
      <c r="B148" s="39" t="n">
        <v>28</v>
      </c>
      <c r="C148" s="39">
        <f>A148+B148-1</f>
        <v/>
      </c>
      <c r="D148" s="39">
        <f>INT((C148-1)/12)+1</f>
        <v/>
      </c>
      <c r="E148" s="44">
        <f>INDEX(Monthly!$B$2:$B$61,A148)</f>
        <v/>
      </c>
      <c r="F148" s="44">
        <f>E148*INDEX('Age profile'!$B$2:$B$61,B148)</f>
        <v/>
      </c>
      <c r="G148" s="45">
        <f>MIN(in_takeup_cap,INDEX('Age profile'!$N$2:$N$61,B148)*(1+in_takeup_growth)^(D148-1))</f>
        <v/>
      </c>
      <c r="H148" s="11">
        <f>MIN(in_approval_cap,in_approved_first*INDEX('Age profile'!$O$2:$O$61,B148)*(1+in_approval_growth)^(D148-1))</f>
        <v/>
      </c>
      <c r="I148" s="45">
        <f>G148*MIN(in_takeup_cap,INDEX('Age profile'!$O$2:$O$61,B148)*(1+in_approval_growth)^(D148-1))</f>
        <v/>
      </c>
      <c r="J148" s="40">
        <f>(J147-L147)*F148/F147</f>
        <v/>
      </c>
      <c r="K148" s="40">
        <f>(K147-M147)*F148/F147+SUMIFS(O121:O147,B121:B147,B148-1-d_T)*F148</f>
        <v/>
      </c>
      <c r="L148" s="40">
        <f>IF(B148&gt;=in_marketplace_from,J148*d_hz*G148*in_eligible*H148,0)</f>
        <v/>
      </c>
      <c r="M148" s="40">
        <f>IF(B148&gt;=in_marketplace_from,K148*d_hz*G148*in_eligible*in_approved_repeat,0)</f>
        <v/>
      </c>
      <c r="N148" s="40">
        <f>L148+M148</f>
        <v/>
      </c>
      <c r="O148" s="46">
        <f>N148/F148</f>
        <v/>
      </c>
      <c r="P148" s="40">
        <f>F148-J148-K148</f>
        <v/>
      </c>
      <c r="Q148" s="40">
        <f>IF(B148&gt;=in_marketplace_from,(J148+K148)*d_hz*G148,0)</f>
        <v/>
      </c>
      <c r="R148" s="40">
        <f>SUMIFS(N121:N178,B121:B178,"&gt;="&amp;(B148-d_T),B121:B178,"&lt;="&amp;(B148-1))</f>
        <v/>
      </c>
      <c r="S148" s="46">
        <f>(1-d_u)*S147+IF(d_T&gt;in_topup_lag,SUMIFS(O121:O178,B121:B178,B148-in_topup_lag)-d_udrop*SUMIFS(O121:O178,B121:B178,B148-d_T),0)</f>
        <v/>
      </c>
      <c r="T148" s="40">
        <f>F148*d_u*S148</f>
        <v/>
      </c>
      <c r="U148" s="9">
        <f>L148*in_ticket+M148*d_rep_ticket</f>
        <v/>
      </c>
      <c r="V148" s="9">
        <f>U148+T148*d_topup_amt</f>
        <v/>
      </c>
      <c r="W148" s="40">
        <f>N148+T148*d_topup_ratio</f>
        <v/>
      </c>
      <c r="X148" s="40">
        <f>SUMIFS(W121:W178,B121:B178,B148-in_dpd_lag)*d_cured</f>
        <v/>
      </c>
      <c r="Y148" s="40">
        <f>SUMIFS(W121:W178,B121:B178,B148-in_rec_lag)*d_recd</f>
        <v/>
      </c>
      <c r="Z148" s="40">
        <f>IF(AND(B148&gt;=in_marketplace_from,B148&lt;in_marketplace_from+in_card_months),in_card_share/in_card_months*F148*I148,IF(AND(B148&gt;=in_marketplace_from+in_card_months,B148&lt;in_marketplace_from+2*in_card_months),in_card_share*d_card_rem/in_card_months*F148*MIN(in_takeup_cap,(1+in_takeup_growth)^(D148-1))*MIN(in_takeup_cap,(1+in_approval_growth)^(D148-1)),0))</f>
        <v/>
      </c>
      <c r="AA148" s="14">
        <f>V148*in_fee*(1-in_taken_back)</f>
        <v/>
      </c>
      <c r="AB148" s="14">
        <f>SUMIFS(W121:W178,B121:B178,B148-in_dpd_lag)*d_dpd</f>
        <v/>
      </c>
      <c r="AC148" s="14">
        <f>SUMIFS(W121:W178,B121:B178,B148-in_rec_lag)*d_rec</f>
        <v/>
      </c>
      <c r="AD148" s="14">
        <f>Z148*in_card_fee</f>
        <v/>
      </c>
      <c r="AE148" s="40">
        <f>AE147*(1-IF(B147&gt;=in_marketplace_from,d_hz_hlth_small*G147,0))</f>
        <v/>
      </c>
      <c r="AF148" s="46">
        <f>AE148*IF(B148&gt;=in_marketplace_from,d_hz_hlth_small*G148,0)</f>
        <v/>
      </c>
      <c r="AG148" s="14">
        <f>F148*AF148*in_hlth_small_ticket*in_hlth_small_comm*in_ins_partner_share+F148*in_hlth_small_ticket*in_hlth_small_renew_comm*in_ins_partner_share*(in_hlth_small_renew^1*SUMIFS(AF121:AF178,B121:B178,B148-12)+in_hlth_small_renew^2*SUMIFS(AF121:AF178,B121:B178,B148-24)+in_hlth_small_renew^3*SUMIFS(AF121:AF178,B121:B178,B148-36)+in_hlth_small_renew^4*SUMIFS(AF121:AF178,B121:B178,B148-48))</f>
        <v/>
      </c>
      <c r="AH148" s="40">
        <f>AH147*(1-IF(B147&gt;=in_marketplace_from,d_hz_hlth_family*G147,0))</f>
        <v/>
      </c>
      <c r="AI148" s="46">
        <f>AH148*IF(B148&gt;=in_marketplace_from,d_hz_hlth_family*G148,0)</f>
        <v/>
      </c>
      <c r="AJ148" s="14">
        <f>F148*AI148*in_hlth_family_ticket*in_hlth_family_comm*in_ins_partner_share+F148*in_hlth_family_ticket*in_hlth_family_renew_comm*in_ins_partner_share*(in_hlth_family_renew^1*SUMIFS(AI121:AI178,B121:B178,B148-12)+in_hlth_family_renew^2*SUMIFS(AI121:AI178,B121:B178,B148-24)+in_hlth_family_renew^3*SUMIFS(AI121:AI178,B121:B178,B148-36)+in_hlth_family_renew^4*SUMIFS(AI121:AI178,B121:B178,B148-48))</f>
        <v/>
      </c>
      <c r="AK148" s="40">
        <f>AK147*(1-IF(B147&gt;=in_marketplace_from,d_hz_life_term*G147,0))</f>
        <v/>
      </c>
      <c r="AL148" s="46">
        <f>AK148*IF(B148&gt;=in_marketplace_from,d_hz_life_term*G148,0)</f>
        <v/>
      </c>
      <c r="AM148" s="14">
        <f>F148*AL148*in_life_term_ticket*in_life_term_comm*in_ins_partner_share+F148*in_life_term_ticket*in_life_term_renew_comm*in_ins_partner_share*(in_life_term_renew^1*SUMIFS(AL121:AL178,B121:B178,B148-12)+in_life_term_renew^2*SUMIFS(AL121:AL178,B121:B178,B148-24)+in_life_term_renew^3*SUMIFS(AL121:AL178,B121:B178,B148-36)+in_life_term_renew^4*SUMIFS(AL121:AL178,B121:B178,B148-48))</f>
        <v/>
      </c>
      <c r="AN148" s="40">
        <f>AN147*(1-IF(B147&gt;=in_marketplace_from,d_hz_accident*G147,0))</f>
        <v/>
      </c>
      <c r="AO148" s="46">
        <f>AN148*IF(B148&gt;=in_marketplace_from,d_hz_accident*G148,0)</f>
        <v/>
      </c>
      <c r="AP148" s="14">
        <f>F148*AO148*in_accident_ticket*in_accident_comm*in_ins_partner_share+F148*in_accident_ticket*in_accident_renew_comm*in_ins_partner_share*(in_accident_renew^1*SUMIFS(AO121:AO178,B121:B178,B148-12)+in_accident_renew^2*SUMIFS(AO121:AO178,B121:B178,B148-24)+in_accident_renew^3*SUMIFS(AO121:AO178,B121:B178,B148-36)+in_accident_renew^4*SUMIFS(AO121:AO178,B121:B178,B148-48))</f>
        <v/>
      </c>
      <c r="AQ148" s="40">
        <f>AQ147*(1-IF(B147&gt;=in_marketplace_from,d_hz_two_wheeler*G147,0))</f>
        <v/>
      </c>
      <c r="AR148" s="46">
        <f>AQ148*IF(B148&gt;=in_marketplace_from,d_hz_two_wheeler*G148,0)</f>
        <v/>
      </c>
      <c r="AS148" s="14">
        <f>F148*AR148*in_two_wheeler_ticket*in_two_wheeler_comm*in_ins_partner_share+F148*in_two_wheeler_ticket*in_two_wheeler_comm*in_ins_partner_share*(in_two_wheeler_renew^1*SUMIFS(AR121:AR178,B121:B178,B148-12)+in_two_wheeler_renew^2*SUMIFS(AR121:AR178,B121:B178,B148-24)+in_two_wheeler_renew^3*SUMIFS(AR121:AR178,B121:B178,B148-36)+in_two_wheeler_renew^4*SUMIFS(AR121:AR178,B121:B178,B148-48))</f>
        <v/>
      </c>
      <c r="AT148" s="40">
        <f>AT147*(1-IF(B147&gt;=in_marketplace_from,d_hz_device*G147,0))</f>
        <v/>
      </c>
      <c r="AU148" s="14">
        <f>F148*AT148*IF(B148&gt;=in_marketplace_from,d_hz_device*G148,0)*in_device_ticket*in_device_comm*in_ins_partner_share</f>
        <v/>
      </c>
      <c r="AV148" s="40">
        <f>AV147*(1-IF(B147&gt;=in_marketplace_from,d_hz_shop*G147,0))</f>
        <v/>
      </c>
      <c r="AW148" s="46">
        <f>AV148*IF(B148&gt;=in_marketplace_from,d_hz_shop*G148,0)</f>
        <v/>
      </c>
      <c r="AX148" s="14">
        <f>F148*AW148*in_shop_ticket*in_shop_comm*in_ins_partner_share+F148*in_shop_ticket*in_shop_renew_comm*in_ins_partner_share*(in_shop_renew^1*SUMIFS(AW121:AW178,B121:B178,B148-12)+in_shop_renew^2*SUMIFS(AW121:AW178,B121:B178,B148-24)+in_shop_renew^3*SUMIFS(AW121:AW178,B121:B178,B148-36)+in_shop_renew^4*SUMIFS(AW121:AW178,B121:B178,B148-48))</f>
        <v/>
      </c>
      <c r="AY148" s="40">
        <f>AY147*(1-IF(B147&gt;=in_marketplace_from,d_hz_sip*G147,0))</f>
        <v/>
      </c>
      <c r="AZ148" s="40">
        <f>AZ147*d_rho_sip+AY148*IF(B148&gt;=in_marketplace_from,d_hz_sip*G148,0)</f>
        <v/>
      </c>
      <c r="BA148" s="40">
        <f>d_rho_sip*(BA147+AZ147)</f>
        <v/>
      </c>
      <c r="BB148" s="14">
        <f>F148*in_sip_ticket*(BA148+0.5*AZ148)*in_sip_comm/12</f>
        <v/>
      </c>
      <c r="BC148" s="40">
        <f>BC147*(1-IF(B147&gt;=in_marketplace_from,d_hz_choti*G147,0))</f>
        <v/>
      </c>
      <c r="BD148" s="46">
        <f>BC148*IF(B148&gt;=in_marketplace_from,d_hz_choti*G148,0)</f>
        <v/>
      </c>
      <c r="BE148" s="14">
        <f>F148*SUMIFS(BD121:BD178,B121:B178,B148-in_choti_months)*in_choti_renew*in_choti_ticket</f>
        <v/>
      </c>
      <c r="BF148" s="40">
        <f>BF147*(1-IF(B147&gt;=in_marketplace_from,d_hz_nps*G147,0))</f>
        <v/>
      </c>
      <c r="BG148" s="14">
        <f>F148*BF148*IF(B148&gt;=in_marketplace_from,d_hz_nps*G148,0)*in_nps_ticket*in_nps_comm</f>
        <v/>
      </c>
      <c r="BH148" s="40">
        <f>BH147*(1-IF(B147&gt;=in_marketplace_from,d_hz_gold*G147,0))</f>
        <v/>
      </c>
      <c r="BI148" s="40">
        <f>BI147*d_rho_gold+BH148*IF(B148&gt;=in_marketplace_from,d_hz_gold*G148,0)</f>
        <v/>
      </c>
      <c r="BJ148" s="14">
        <f>F148*BI148*in_gold_ticket*in_gold_comm</f>
        <v/>
      </c>
      <c r="BK148" s="40">
        <f>BK147*(1-IF(B147&gt;=in_marketplace_from,d_hz_fd*G147,0))</f>
        <v/>
      </c>
      <c r="BL148" s="14">
        <f>F148*BK148*IF(B148&gt;=in_marketplace_from,d_hz_fd*G148,0)*in_fd_ticket*in_fd_comm</f>
        <v/>
      </c>
      <c r="BM148" s="40">
        <f>BM147*(1-IF(B147&gt;=in_marketplace_from,d_hz_recharge*G147,0))</f>
        <v/>
      </c>
      <c r="BN148" s="40">
        <f>BN147*d_rho_recharge+BM148*IF(B148&gt;=in_marketplace_from,d_hz_recharge*G148,0)</f>
        <v/>
      </c>
      <c r="BO148" s="14">
        <f>F148*BN148*in_recharge_ticket*in_recharge_comm/12</f>
        <v/>
      </c>
      <c r="BP148" s="40">
        <f>BP147*(1-IF(B147&gt;=in_marketplace_from,d_hz_bills*G147,0))</f>
        <v/>
      </c>
      <c r="BQ148" s="40">
        <f>BQ147*d_rho_bills+BP148*IF(B148&gt;=in_marketplace_from,d_hz_bills*G148,0)</f>
        <v/>
      </c>
      <c r="BR148" s="14">
        <f>F148*BQ148*in_bills_ticket*in_bills_comm/12</f>
        <v/>
      </c>
      <c r="BS148" s="40">
        <f>BS147*(1-IF(B147&gt;=in_marketplace_from,d_hz_loan_gold*G147,0))</f>
        <v/>
      </c>
      <c r="BT148" s="14">
        <f>F148*BS148*IF(B148&gt;=in_marketplace_from,d_hz_loan_gold*G148,0)*in_loan_gold_ticket*in_loan_gold_comm</f>
        <v/>
      </c>
      <c r="BU148" s="40">
        <f>BU147*(1-IF(B147&gt;=in_marketplace_from,d_hz_loan_cd*G147,0))</f>
        <v/>
      </c>
      <c r="BV148" s="14">
        <f>F148*BU148*IF(B148&gt;=in_marketplace_from,d_hz_loan_cd*G148,0)*in_loan_cd_ticket*in_loan_cd_comm</f>
        <v/>
      </c>
      <c r="BW148" s="40">
        <f>BW147*(1-IF(B147&gt;=in_marketplace_from,d_hz_loan_vehicle*G147,0))</f>
        <v/>
      </c>
      <c r="BX148" s="14">
        <f>F148*BW148*IF(B148&gt;=in_marketplace_from,d_hz_loan_vehicle*G148,0)*in_loan_vehicle_ticket*in_loan_vehicle_comm</f>
        <v/>
      </c>
      <c r="BY148" s="40">
        <f>BY147*(1-IF(B147&gt;=in_marketplace_from,d_hz_loan_home*G147,0)*BZ147)</f>
        <v/>
      </c>
      <c r="BZ148" s="11">
        <f>MIN(in_approval_cap,in_loan_home_approval*INDEX('Age profile'!$O$2:$O$61,B148)*(1+in_approval_growth)^(D148-1))</f>
        <v/>
      </c>
      <c r="CA148" s="14">
        <f>F148*BY148*IF(B148&gt;=in_marketplace_from,d_hz_loan_home*G148,0)*BZ148*in_loan_home_ticket*in_loan_home_comm</f>
        <v/>
      </c>
      <c r="CB148" s="40">
        <f>CB147*(1-IF(B147&gt;=in_marketplace_from,d_hz_loan_lap*G147,0)*CC147)</f>
        <v/>
      </c>
      <c r="CC148" s="11">
        <f>MIN(in_approval_cap,in_loan_lap_approval*INDEX('Age profile'!$O$2:$O$61,B148)*(1+in_approval_growth)^(D148-1))</f>
        <v/>
      </c>
      <c r="CD148" s="14">
        <f>F148*CB148*IF(B148&gt;=in_marketplace_from,d_hz_loan_lap*G148,0)*CC148*in_loan_lap_ticket*in_loan_lap_comm</f>
        <v/>
      </c>
      <c r="CE148" s="14">
        <f>AA148+AB148+AC148+AD148+AG148+AJ148+AM148+AP148+AS148+AU148+AX148+BB148+BE148+BG148+BJ148+BL148+BO148+BR148+BT148+BV148+BX148+CA148+CD148</f>
        <v/>
      </c>
    </row>
    <row r="149">
      <c r="A149" s="39" t="n">
        <v>3</v>
      </c>
      <c r="B149" s="39" t="n">
        <v>29</v>
      </c>
      <c r="C149" s="39">
        <f>A149+B149-1</f>
        <v/>
      </c>
      <c r="D149" s="39">
        <f>INT((C149-1)/12)+1</f>
        <v/>
      </c>
      <c r="E149" s="44">
        <f>INDEX(Monthly!$B$2:$B$61,A149)</f>
        <v/>
      </c>
      <c r="F149" s="44">
        <f>E149*INDEX('Age profile'!$B$2:$B$61,B149)</f>
        <v/>
      </c>
      <c r="G149" s="45">
        <f>MIN(in_takeup_cap,INDEX('Age profile'!$N$2:$N$61,B149)*(1+in_takeup_growth)^(D149-1))</f>
        <v/>
      </c>
      <c r="H149" s="11">
        <f>MIN(in_approval_cap,in_approved_first*INDEX('Age profile'!$O$2:$O$61,B149)*(1+in_approval_growth)^(D149-1))</f>
        <v/>
      </c>
      <c r="I149" s="45">
        <f>G149*MIN(in_takeup_cap,INDEX('Age profile'!$O$2:$O$61,B149)*(1+in_approval_growth)^(D149-1))</f>
        <v/>
      </c>
      <c r="J149" s="40">
        <f>(J148-L148)*F149/F148</f>
        <v/>
      </c>
      <c r="K149" s="40">
        <f>(K148-M148)*F149/F148+SUMIFS(O121:O148,B121:B148,B149-1-d_T)*F149</f>
        <v/>
      </c>
      <c r="L149" s="40">
        <f>IF(B149&gt;=in_marketplace_from,J149*d_hz*G149*in_eligible*H149,0)</f>
        <v/>
      </c>
      <c r="M149" s="40">
        <f>IF(B149&gt;=in_marketplace_from,K149*d_hz*G149*in_eligible*in_approved_repeat,0)</f>
        <v/>
      </c>
      <c r="N149" s="40">
        <f>L149+M149</f>
        <v/>
      </c>
      <c r="O149" s="46">
        <f>N149/F149</f>
        <v/>
      </c>
      <c r="P149" s="40">
        <f>F149-J149-K149</f>
        <v/>
      </c>
      <c r="Q149" s="40">
        <f>IF(B149&gt;=in_marketplace_from,(J149+K149)*d_hz*G149,0)</f>
        <v/>
      </c>
      <c r="R149" s="40">
        <f>SUMIFS(N121:N178,B121:B178,"&gt;="&amp;(B149-d_T),B121:B178,"&lt;="&amp;(B149-1))</f>
        <v/>
      </c>
      <c r="S149" s="46">
        <f>(1-d_u)*S148+IF(d_T&gt;in_topup_lag,SUMIFS(O121:O178,B121:B178,B149-in_topup_lag)-d_udrop*SUMIFS(O121:O178,B121:B178,B149-d_T),0)</f>
        <v/>
      </c>
      <c r="T149" s="40">
        <f>F149*d_u*S149</f>
        <v/>
      </c>
      <c r="U149" s="9">
        <f>L149*in_ticket+M149*d_rep_ticket</f>
        <v/>
      </c>
      <c r="V149" s="9">
        <f>U149+T149*d_topup_amt</f>
        <v/>
      </c>
      <c r="W149" s="40">
        <f>N149+T149*d_topup_ratio</f>
        <v/>
      </c>
      <c r="X149" s="40">
        <f>SUMIFS(W121:W178,B121:B178,B149-in_dpd_lag)*d_cured</f>
        <v/>
      </c>
      <c r="Y149" s="40">
        <f>SUMIFS(W121:W178,B121:B178,B149-in_rec_lag)*d_recd</f>
        <v/>
      </c>
      <c r="Z149" s="40">
        <f>IF(AND(B149&gt;=in_marketplace_from,B149&lt;in_marketplace_from+in_card_months),in_card_share/in_card_months*F149*I149,IF(AND(B149&gt;=in_marketplace_from+in_card_months,B149&lt;in_marketplace_from+2*in_card_months),in_card_share*d_card_rem/in_card_months*F149*MIN(in_takeup_cap,(1+in_takeup_growth)^(D149-1))*MIN(in_takeup_cap,(1+in_approval_growth)^(D149-1)),0))</f>
        <v/>
      </c>
      <c r="AA149" s="14">
        <f>V149*in_fee*(1-in_taken_back)</f>
        <v/>
      </c>
      <c r="AB149" s="14">
        <f>SUMIFS(W121:W178,B121:B178,B149-in_dpd_lag)*d_dpd</f>
        <v/>
      </c>
      <c r="AC149" s="14">
        <f>SUMIFS(W121:W178,B121:B178,B149-in_rec_lag)*d_rec</f>
        <v/>
      </c>
      <c r="AD149" s="14">
        <f>Z149*in_card_fee</f>
        <v/>
      </c>
      <c r="AE149" s="40">
        <f>AE148*(1-IF(B148&gt;=in_marketplace_from,d_hz_hlth_small*G148,0))</f>
        <v/>
      </c>
      <c r="AF149" s="46">
        <f>AE149*IF(B149&gt;=in_marketplace_from,d_hz_hlth_small*G149,0)</f>
        <v/>
      </c>
      <c r="AG149" s="14">
        <f>F149*AF149*in_hlth_small_ticket*in_hlth_small_comm*in_ins_partner_share+F149*in_hlth_small_ticket*in_hlth_small_renew_comm*in_ins_partner_share*(in_hlth_small_renew^1*SUMIFS(AF121:AF178,B121:B178,B149-12)+in_hlth_small_renew^2*SUMIFS(AF121:AF178,B121:B178,B149-24)+in_hlth_small_renew^3*SUMIFS(AF121:AF178,B121:B178,B149-36)+in_hlth_small_renew^4*SUMIFS(AF121:AF178,B121:B178,B149-48))</f>
        <v/>
      </c>
      <c r="AH149" s="40">
        <f>AH148*(1-IF(B148&gt;=in_marketplace_from,d_hz_hlth_family*G148,0))</f>
        <v/>
      </c>
      <c r="AI149" s="46">
        <f>AH149*IF(B149&gt;=in_marketplace_from,d_hz_hlth_family*G149,0)</f>
        <v/>
      </c>
      <c r="AJ149" s="14">
        <f>F149*AI149*in_hlth_family_ticket*in_hlth_family_comm*in_ins_partner_share+F149*in_hlth_family_ticket*in_hlth_family_renew_comm*in_ins_partner_share*(in_hlth_family_renew^1*SUMIFS(AI121:AI178,B121:B178,B149-12)+in_hlth_family_renew^2*SUMIFS(AI121:AI178,B121:B178,B149-24)+in_hlth_family_renew^3*SUMIFS(AI121:AI178,B121:B178,B149-36)+in_hlth_family_renew^4*SUMIFS(AI121:AI178,B121:B178,B149-48))</f>
        <v/>
      </c>
      <c r="AK149" s="40">
        <f>AK148*(1-IF(B148&gt;=in_marketplace_from,d_hz_life_term*G148,0))</f>
        <v/>
      </c>
      <c r="AL149" s="46">
        <f>AK149*IF(B149&gt;=in_marketplace_from,d_hz_life_term*G149,0)</f>
        <v/>
      </c>
      <c r="AM149" s="14">
        <f>F149*AL149*in_life_term_ticket*in_life_term_comm*in_ins_partner_share+F149*in_life_term_ticket*in_life_term_renew_comm*in_ins_partner_share*(in_life_term_renew^1*SUMIFS(AL121:AL178,B121:B178,B149-12)+in_life_term_renew^2*SUMIFS(AL121:AL178,B121:B178,B149-24)+in_life_term_renew^3*SUMIFS(AL121:AL178,B121:B178,B149-36)+in_life_term_renew^4*SUMIFS(AL121:AL178,B121:B178,B149-48))</f>
        <v/>
      </c>
      <c r="AN149" s="40">
        <f>AN148*(1-IF(B148&gt;=in_marketplace_from,d_hz_accident*G148,0))</f>
        <v/>
      </c>
      <c r="AO149" s="46">
        <f>AN149*IF(B149&gt;=in_marketplace_from,d_hz_accident*G149,0)</f>
        <v/>
      </c>
      <c r="AP149" s="14">
        <f>F149*AO149*in_accident_ticket*in_accident_comm*in_ins_partner_share+F149*in_accident_ticket*in_accident_renew_comm*in_ins_partner_share*(in_accident_renew^1*SUMIFS(AO121:AO178,B121:B178,B149-12)+in_accident_renew^2*SUMIFS(AO121:AO178,B121:B178,B149-24)+in_accident_renew^3*SUMIFS(AO121:AO178,B121:B178,B149-36)+in_accident_renew^4*SUMIFS(AO121:AO178,B121:B178,B149-48))</f>
        <v/>
      </c>
      <c r="AQ149" s="40">
        <f>AQ148*(1-IF(B148&gt;=in_marketplace_from,d_hz_two_wheeler*G148,0))</f>
        <v/>
      </c>
      <c r="AR149" s="46">
        <f>AQ149*IF(B149&gt;=in_marketplace_from,d_hz_two_wheeler*G149,0)</f>
        <v/>
      </c>
      <c r="AS149" s="14">
        <f>F149*AR149*in_two_wheeler_ticket*in_two_wheeler_comm*in_ins_partner_share+F149*in_two_wheeler_ticket*in_two_wheeler_comm*in_ins_partner_share*(in_two_wheeler_renew^1*SUMIFS(AR121:AR178,B121:B178,B149-12)+in_two_wheeler_renew^2*SUMIFS(AR121:AR178,B121:B178,B149-24)+in_two_wheeler_renew^3*SUMIFS(AR121:AR178,B121:B178,B149-36)+in_two_wheeler_renew^4*SUMIFS(AR121:AR178,B121:B178,B149-48))</f>
        <v/>
      </c>
      <c r="AT149" s="40">
        <f>AT148*(1-IF(B148&gt;=in_marketplace_from,d_hz_device*G148,0))</f>
        <v/>
      </c>
      <c r="AU149" s="14">
        <f>F149*AT149*IF(B149&gt;=in_marketplace_from,d_hz_device*G149,0)*in_device_ticket*in_device_comm*in_ins_partner_share</f>
        <v/>
      </c>
      <c r="AV149" s="40">
        <f>AV148*(1-IF(B148&gt;=in_marketplace_from,d_hz_shop*G148,0))</f>
        <v/>
      </c>
      <c r="AW149" s="46">
        <f>AV149*IF(B149&gt;=in_marketplace_from,d_hz_shop*G149,0)</f>
        <v/>
      </c>
      <c r="AX149" s="14">
        <f>F149*AW149*in_shop_ticket*in_shop_comm*in_ins_partner_share+F149*in_shop_ticket*in_shop_renew_comm*in_ins_partner_share*(in_shop_renew^1*SUMIFS(AW121:AW178,B121:B178,B149-12)+in_shop_renew^2*SUMIFS(AW121:AW178,B121:B178,B149-24)+in_shop_renew^3*SUMIFS(AW121:AW178,B121:B178,B149-36)+in_shop_renew^4*SUMIFS(AW121:AW178,B121:B178,B149-48))</f>
        <v/>
      </c>
      <c r="AY149" s="40">
        <f>AY148*(1-IF(B148&gt;=in_marketplace_from,d_hz_sip*G148,0))</f>
        <v/>
      </c>
      <c r="AZ149" s="40">
        <f>AZ148*d_rho_sip+AY149*IF(B149&gt;=in_marketplace_from,d_hz_sip*G149,0)</f>
        <v/>
      </c>
      <c r="BA149" s="40">
        <f>d_rho_sip*(BA148+AZ148)</f>
        <v/>
      </c>
      <c r="BB149" s="14">
        <f>F149*in_sip_ticket*(BA149+0.5*AZ149)*in_sip_comm/12</f>
        <v/>
      </c>
      <c r="BC149" s="40">
        <f>BC148*(1-IF(B148&gt;=in_marketplace_from,d_hz_choti*G148,0))</f>
        <v/>
      </c>
      <c r="BD149" s="46">
        <f>BC149*IF(B149&gt;=in_marketplace_from,d_hz_choti*G149,0)</f>
        <v/>
      </c>
      <c r="BE149" s="14">
        <f>F149*SUMIFS(BD121:BD178,B121:B178,B149-in_choti_months)*in_choti_renew*in_choti_ticket</f>
        <v/>
      </c>
      <c r="BF149" s="40">
        <f>BF148*(1-IF(B148&gt;=in_marketplace_from,d_hz_nps*G148,0))</f>
        <v/>
      </c>
      <c r="BG149" s="14">
        <f>F149*BF149*IF(B149&gt;=in_marketplace_from,d_hz_nps*G149,0)*in_nps_ticket*in_nps_comm</f>
        <v/>
      </c>
      <c r="BH149" s="40">
        <f>BH148*(1-IF(B148&gt;=in_marketplace_from,d_hz_gold*G148,0))</f>
        <v/>
      </c>
      <c r="BI149" s="40">
        <f>BI148*d_rho_gold+BH149*IF(B149&gt;=in_marketplace_from,d_hz_gold*G149,0)</f>
        <v/>
      </c>
      <c r="BJ149" s="14">
        <f>F149*BI149*in_gold_ticket*in_gold_comm</f>
        <v/>
      </c>
      <c r="BK149" s="40">
        <f>BK148*(1-IF(B148&gt;=in_marketplace_from,d_hz_fd*G148,0))</f>
        <v/>
      </c>
      <c r="BL149" s="14">
        <f>F149*BK149*IF(B149&gt;=in_marketplace_from,d_hz_fd*G149,0)*in_fd_ticket*in_fd_comm</f>
        <v/>
      </c>
      <c r="BM149" s="40">
        <f>BM148*(1-IF(B148&gt;=in_marketplace_from,d_hz_recharge*G148,0))</f>
        <v/>
      </c>
      <c r="BN149" s="40">
        <f>BN148*d_rho_recharge+BM149*IF(B149&gt;=in_marketplace_from,d_hz_recharge*G149,0)</f>
        <v/>
      </c>
      <c r="BO149" s="14">
        <f>F149*BN149*in_recharge_ticket*in_recharge_comm/12</f>
        <v/>
      </c>
      <c r="BP149" s="40">
        <f>BP148*(1-IF(B148&gt;=in_marketplace_from,d_hz_bills*G148,0))</f>
        <v/>
      </c>
      <c r="BQ149" s="40">
        <f>BQ148*d_rho_bills+BP149*IF(B149&gt;=in_marketplace_from,d_hz_bills*G149,0)</f>
        <v/>
      </c>
      <c r="BR149" s="14">
        <f>F149*BQ149*in_bills_ticket*in_bills_comm/12</f>
        <v/>
      </c>
      <c r="BS149" s="40">
        <f>BS148*(1-IF(B148&gt;=in_marketplace_from,d_hz_loan_gold*G148,0))</f>
        <v/>
      </c>
      <c r="BT149" s="14">
        <f>F149*BS149*IF(B149&gt;=in_marketplace_from,d_hz_loan_gold*G149,0)*in_loan_gold_ticket*in_loan_gold_comm</f>
        <v/>
      </c>
      <c r="BU149" s="40">
        <f>BU148*(1-IF(B148&gt;=in_marketplace_from,d_hz_loan_cd*G148,0))</f>
        <v/>
      </c>
      <c r="BV149" s="14">
        <f>F149*BU149*IF(B149&gt;=in_marketplace_from,d_hz_loan_cd*G149,0)*in_loan_cd_ticket*in_loan_cd_comm</f>
        <v/>
      </c>
      <c r="BW149" s="40">
        <f>BW148*(1-IF(B148&gt;=in_marketplace_from,d_hz_loan_vehicle*G148,0))</f>
        <v/>
      </c>
      <c r="BX149" s="14">
        <f>F149*BW149*IF(B149&gt;=in_marketplace_from,d_hz_loan_vehicle*G149,0)*in_loan_vehicle_ticket*in_loan_vehicle_comm</f>
        <v/>
      </c>
      <c r="BY149" s="40">
        <f>BY148*(1-IF(B148&gt;=in_marketplace_from,d_hz_loan_home*G148,0)*BZ148)</f>
        <v/>
      </c>
      <c r="BZ149" s="11">
        <f>MIN(in_approval_cap,in_loan_home_approval*INDEX('Age profile'!$O$2:$O$61,B149)*(1+in_approval_growth)^(D149-1))</f>
        <v/>
      </c>
      <c r="CA149" s="14">
        <f>F149*BY149*IF(B149&gt;=in_marketplace_from,d_hz_loan_home*G149,0)*BZ149*in_loan_home_ticket*in_loan_home_comm</f>
        <v/>
      </c>
      <c r="CB149" s="40">
        <f>CB148*(1-IF(B148&gt;=in_marketplace_from,d_hz_loan_lap*G148,0)*CC148)</f>
        <v/>
      </c>
      <c r="CC149" s="11">
        <f>MIN(in_approval_cap,in_loan_lap_approval*INDEX('Age profile'!$O$2:$O$61,B149)*(1+in_approval_growth)^(D149-1))</f>
        <v/>
      </c>
      <c r="CD149" s="14">
        <f>F149*CB149*IF(B149&gt;=in_marketplace_from,d_hz_loan_lap*G149,0)*CC149*in_loan_lap_ticket*in_loan_lap_comm</f>
        <v/>
      </c>
      <c r="CE149" s="14">
        <f>AA149+AB149+AC149+AD149+AG149+AJ149+AM149+AP149+AS149+AU149+AX149+BB149+BE149+BG149+BJ149+BL149+BO149+BR149+BT149+BV149+BX149+CA149+CD149</f>
        <v/>
      </c>
    </row>
    <row r="150">
      <c r="A150" s="39" t="n">
        <v>3</v>
      </c>
      <c r="B150" s="39" t="n">
        <v>30</v>
      </c>
      <c r="C150" s="39">
        <f>A150+B150-1</f>
        <v/>
      </c>
      <c r="D150" s="39">
        <f>INT((C150-1)/12)+1</f>
        <v/>
      </c>
      <c r="E150" s="44">
        <f>INDEX(Monthly!$B$2:$B$61,A150)</f>
        <v/>
      </c>
      <c r="F150" s="44">
        <f>E150*INDEX('Age profile'!$B$2:$B$61,B150)</f>
        <v/>
      </c>
      <c r="G150" s="45">
        <f>MIN(in_takeup_cap,INDEX('Age profile'!$N$2:$N$61,B150)*(1+in_takeup_growth)^(D150-1))</f>
        <v/>
      </c>
      <c r="H150" s="11">
        <f>MIN(in_approval_cap,in_approved_first*INDEX('Age profile'!$O$2:$O$61,B150)*(1+in_approval_growth)^(D150-1))</f>
        <v/>
      </c>
      <c r="I150" s="45">
        <f>G150*MIN(in_takeup_cap,INDEX('Age profile'!$O$2:$O$61,B150)*(1+in_approval_growth)^(D150-1))</f>
        <v/>
      </c>
      <c r="J150" s="40">
        <f>(J149-L149)*F150/F149</f>
        <v/>
      </c>
      <c r="K150" s="40">
        <f>(K149-M149)*F150/F149+SUMIFS(O121:O149,B121:B149,B150-1-d_T)*F150</f>
        <v/>
      </c>
      <c r="L150" s="40">
        <f>IF(B150&gt;=in_marketplace_from,J150*d_hz*G150*in_eligible*H150,0)</f>
        <v/>
      </c>
      <c r="M150" s="40">
        <f>IF(B150&gt;=in_marketplace_from,K150*d_hz*G150*in_eligible*in_approved_repeat,0)</f>
        <v/>
      </c>
      <c r="N150" s="40">
        <f>L150+M150</f>
        <v/>
      </c>
      <c r="O150" s="46">
        <f>N150/F150</f>
        <v/>
      </c>
      <c r="P150" s="40">
        <f>F150-J150-K150</f>
        <v/>
      </c>
      <c r="Q150" s="40">
        <f>IF(B150&gt;=in_marketplace_from,(J150+K150)*d_hz*G150,0)</f>
        <v/>
      </c>
      <c r="R150" s="40">
        <f>SUMIFS(N121:N178,B121:B178,"&gt;="&amp;(B150-d_T),B121:B178,"&lt;="&amp;(B150-1))</f>
        <v/>
      </c>
      <c r="S150" s="46">
        <f>(1-d_u)*S149+IF(d_T&gt;in_topup_lag,SUMIFS(O121:O178,B121:B178,B150-in_topup_lag)-d_udrop*SUMIFS(O121:O178,B121:B178,B150-d_T),0)</f>
        <v/>
      </c>
      <c r="T150" s="40">
        <f>F150*d_u*S150</f>
        <v/>
      </c>
      <c r="U150" s="9">
        <f>L150*in_ticket+M150*d_rep_ticket</f>
        <v/>
      </c>
      <c r="V150" s="9">
        <f>U150+T150*d_topup_amt</f>
        <v/>
      </c>
      <c r="W150" s="40">
        <f>N150+T150*d_topup_ratio</f>
        <v/>
      </c>
      <c r="X150" s="40">
        <f>SUMIFS(W121:W178,B121:B178,B150-in_dpd_lag)*d_cured</f>
        <v/>
      </c>
      <c r="Y150" s="40">
        <f>SUMIFS(W121:W178,B121:B178,B150-in_rec_lag)*d_recd</f>
        <v/>
      </c>
      <c r="Z150" s="40">
        <f>IF(AND(B150&gt;=in_marketplace_from,B150&lt;in_marketplace_from+in_card_months),in_card_share/in_card_months*F150*I150,IF(AND(B150&gt;=in_marketplace_from+in_card_months,B150&lt;in_marketplace_from+2*in_card_months),in_card_share*d_card_rem/in_card_months*F150*MIN(in_takeup_cap,(1+in_takeup_growth)^(D150-1))*MIN(in_takeup_cap,(1+in_approval_growth)^(D150-1)),0))</f>
        <v/>
      </c>
      <c r="AA150" s="14">
        <f>V150*in_fee*(1-in_taken_back)</f>
        <v/>
      </c>
      <c r="AB150" s="14">
        <f>SUMIFS(W121:W178,B121:B178,B150-in_dpd_lag)*d_dpd</f>
        <v/>
      </c>
      <c r="AC150" s="14">
        <f>SUMIFS(W121:W178,B121:B178,B150-in_rec_lag)*d_rec</f>
        <v/>
      </c>
      <c r="AD150" s="14">
        <f>Z150*in_card_fee</f>
        <v/>
      </c>
      <c r="AE150" s="40">
        <f>AE149*(1-IF(B149&gt;=in_marketplace_from,d_hz_hlth_small*G149,0))</f>
        <v/>
      </c>
      <c r="AF150" s="46">
        <f>AE150*IF(B150&gt;=in_marketplace_from,d_hz_hlth_small*G150,0)</f>
        <v/>
      </c>
      <c r="AG150" s="14">
        <f>F150*AF150*in_hlth_small_ticket*in_hlth_small_comm*in_ins_partner_share+F150*in_hlth_small_ticket*in_hlth_small_renew_comm*in_ins_partner_share*(in_hlth_small_renew^1*SUMIFS(AF121:AF178,B121:B178,B150-12)+in_hlth_small_renew^2*SUMIFS(AF121:AF178,B121:B178,B150-24)+in_hlth_small_renew^3*SUMIFS(AF121:AF178,B121:B178,B150-36)+in_hlth_small_renew^4*SUMIFS(AF121:AF178,B121:B178,B150-48))</f>
        <v/>
      </c>
      <c r="AH150" s="40">
        <f>AH149*(1-IF(B149&gt;=in_marketplace_from,d_hz_hlth_family*G149,0))</f>
        <v/>
      </c>
      <c r="AI150" s="46">
        <f>AH150*IF(B150&gt;=in_marketplace_from,d_hz_hlth_family*G150,0)</f>
        <v/>
      </c>
      <c r="AJ150" s="14">
        <f>F150*AI150*in_hlth_family_ticket*in_hlth_family_comm*in_ins_partner_share+F150*in_hlth_family_ticket*in_hlth_family_renew_comm*in_ins_partner_share*(in_hlth_family_renew^1*SUMIFS(AI121:AI178,B121:B178,B150-12)+in_hlth_family_renew^2*SUMIFS(AI121:AI178,B121:B178,B150-24)+in_hlth_family_renew^3*SUMIFS(AI121:AI178,B121:B178,B150-36)+in_hlth_family_renew^4*SUMIFS(AI121:AI178,B121:B178,B150-48))</f>
        <v/>
      </c>
      <c r="AK150" s="40">
        <f>AK149*(1-IF(B149&gt;=in_marketplace_from,d_hz_life_term*G149,0))</f>
        <v/>
      </c>
      <c r="AL150" s="46">
        <f>AK150*IF(B150&gt;=in_marketplace_from,d_hz_life_term*G150,0)</f>
        <v/>
      </c>
      <c r="AM150" s="14">
        <f>F150*AL150*in_life_term_ticket*in_life_term_comm*in_ins_partner_share+F150*in_life_term_ticket*in_life_term_renew_comm*in_ins_partner_share*(in_life_term_renew^1*SUMIFS(AL121:AL178,B121:B178,B150-12)+in_life_term_renew^2*SUMIFS(AL121:AL178,B121:B178,B150-24)+in_life_term_renew^3*SUMIFS(AL121:AL178,B121:B178,B150-36)+in_life_term_renew^4*SUMIFS(AL121:AL178,B121:B178,B150-48))</f>
        <v/>
      </c>
      <c r="AN150" s="40">
        <f>AN149*(1-IF(B149&gt;=in_marketplace_from,d_hz_accident*G149,0))</f>
        <v/>
      </c>
      <c r="AO150" s="46">
        <f>AN150*IF(B150&gt;=in_marketplace_from,d_hz_accident*G150,0)</f>
        <v/>
      </c>
      <c r="AP150" s="14">
        <f>F150*AO150*in_accident_ticket*in_accident_comm*in_ins_partner_share+F150*in_accident_ticket*in_accident_renew_comm*in_ins_partner_share*(in_accident_renew^1*SUMIFS(AO121:AO178,B121:B178,B150-12)+in_accident_renew^2*SUMIFS(AO121:AO178,B121:B178,B150-24)+in_accident_renew^3*SUMIFS(AO121:AO178,B121:B178,B150-36)+in_accident_renew^4*SUMIFS(AO121:AO178,B121:B178,B150-48))</f>
        <v/>
      </c>
      <c r="AQ150" s="40">
        <f>AQ149*(1-IF(B149&gt;=in_marketplace_from,d_hz_two_wheeler*G149,0))</f>
        <v/>
      </c>
      <c r="AR150" s="46">
        <f>AQ150*IF(B150&gt;=in_marketplace_from,d_hz_two_wheeler*G150,0)</f>
        <v/>
      </c>
      <c r="AS150" s="14">
        <f>F150*AR150*in_two_wheeler_ticket*in_two_wheeler_comm*in_ins_partner_share+F150*in_two_wheeler_ticket*in_two_wheeler_comm*in_ins_partner_share*(in_two_wheeler_renew^1*SUMIFS(AR121:AR178,B121:B178,B150-12)+in_two_wheeler_renew^2*SUMIFS(AR121:AR178,B121:B178,B150-24)+in_two_wheeler_renew^3*SUMIFS(AR121:AR178,B121:B178,B150-36)+in_two_wheeler_renew^4*SUMIFS(AR121:AR178,B121:B178,B150-48))</f>
        <v/>
      </c>
      <c r="AT150" s="40">
        <f>AT149*(1-IF(B149&gt;=in_marketplace_from,d_hz_device*G149,0))</f>
        <v/>
      </c>
      <c r="AU150" s="14">
        <f>F150*AT150*IF(B150&gt;=in_marketplace_from,d_hz_device*G150,0)*in_device_ticket*in_device_comm*in_ins_partner_share</f>
        <v/>
      </c>
      <c r="AV150" s="40">
        <f>AV149*(1-IF(B149&gt;=in_marketplace_from,d_hz_shop*G149,0))</f>
        <v/>
      </c>
      <c r="AW150" s="46">
        <f>AV150*IF(B150&gt;=in_marketplace_from,d_hz_shop*G150,0)</f>
        <v/>
      </c>
      <c r="AX150" s="14">
        <f>F150*AW150*in_shop_ticket*in_shop_comm*in_ins_partner_share+F150*in_shop_ticket*in_shop_renew_comm*in_ins_partner_share*(in_shop_renew^1*SUMIFS(AW121:AW178,B121:B178,B150-12)+in_shop_renew^2*SUMIFS(AW121:AW178,B121:B178,B150-24)+in_shop_renew^3*SUMIFS(AW121:AW178,B121:B178,B150-36)+in_shop_renew^4*SUMIFS(AW121:AW178,B121:B178,B150-48))</f>
        <v/>
      </c>
      <c r="AY150" s="40">
        <f>AY149*(1-IF(B149&gt;=in_marketplace_from,d_hz_sip*G149,0))</f>
        <v/>
      </c>
      <c r="AZ150" s="40">
        <f>AZ149*d_rho_sip+AY150*IF(B150&gt;=in_marketplace_from,d_hz_sip*G150,0)</f>
        <v/>
      </c>
      <c r="BA150" s="40">
        <f>d_rho_sip*(BA149+AZ149)</f>
        <v/>
      </c>
      <c r="BB150" s="14">
        <f>F150*in_sip_ticket*(BA150+0.5*AZ150)*in_sip_comm/12</f>
        <v/>
      </c>
      <c r="BC150" s="40">
        <f>BC149*(1-IF(B149&gt;=in_marketplace_from,d_hz_choti*G149,0))</f>
        <v/>
      </c>
      <c r="BD150" s="46">
        <f>BC150*IF(B150&gt;=in_marketplace_from,d_hz_choti*G150,0)</f>
        <v/>
      </c>
      <c r="BE150" s="14">
        <f>F150*SUMIFS(BD121:BD178,B121:B178,B150-in_choti_months)*in_choti_renew*in_choti_ticket</f>
        <v/>
      </c>
      <c r="BF150" s="40">
        <f>BF149*(1-IF(B149&gt;=in_marketplace_from,d_hz_nps*G149,0))</f>
        <v/>
      </c>
      <c r="BG150" s="14">
        <f>F150*BF150*IF(B150&gt;=in_marketplace_from,d_hz_nps*G150,0)*in_nps_ticket*in_nps_comm</f>
        <v/>
      </c>
      <c r="BH150" s="40">
        <f>BH149*(1-IF(B149&gt;=in_marketplace_from,d_hz_gold*G149,0))</f>
        <v/>
      </c>
      <c r="BI150" s="40">
        <f>BI149*d_rho_gold+BH150*IF(B150&gt;=in_marketplace_from,d_hz_gold*G150,0)</f>
        <v/>
      </c>
      <c r="BJ150" s="14">
        <f>F150*BI150*in_gold_ticket*in_gold_comm</f>
        <v/>
      </c>
      <c r="BK150" s="40">
        <f>BK149*(1-IF(B149&gt;=in_marketplace_from,d_hz_fd*G149,0))</f>
        <v/>
      </c>
      <c r="BL150" s="14">
        <f>F150*BK150*IF(B150&gt;=in_marketplace_from,d_hz_fd*G150,0)*in_fd_ticket*in_fd_comm</f>
        <v/>
      </c>
      <c r="BM150" s="40">
        <f>BM149*(1-IF(B149&gt;=in_marketplace_from,d_hz_recharge*G149,0))</f>
        <v/>
      </c>
      <c r="BN150" s="40">
        <f>BN149*d_rho_recharge+BM150*IF(B150&gt;=in_marketplace_from,d_hz_recharge*G150,0)</f>
        <v/>
      </c>
      <c r="BO150" s="14">
        <f>F150*BN150*in_recharge_ticket*in_recharge_comm/12</f>
        <v/>
      </c>
      <c r="BP150" s="40">
        <f>BP149*(1-IF(B149&gt;=in_marketplace_from,d_hz_bills*G149,0))</f>
        <v/>
      </c>
      <c r="BQ150" s="40">
        <f>BQ149*d_rho_bills+BP150*IF(B150&gt;=in_marketplace_from,d_hz_bills*G150,0)</f>
        <v/>
      </c>
      <c r="BR150" s="14">
        <f>F150*BQ150*in_bills_ticket*in_bills_comm/12</f>
        <v/>
      </c>
      <c r="BS150" s="40">
        <f>BS149*(1-IF(B149&gt;=in_marketplace_from,d_hz_loan_gold*G149,0))</f>
        <v/>
      </c>
      <c r="BT150" s="14">
        <f>F150*BS150*IF(B150&gt;=in_marketplace_from,d_hz_loan_gold*G150,0)*in_loan_gold_ticket*in_loan_gold_comm</f>
        <v/>
      </c>
      <c r="BU150" s="40">
        <f>BU149*(1-IF(B149&gt;=in_marketplace_from,d_hz_loan_cd*G149,0))</f>
        <v/>
      </c>
      <c r="BV150" s="14">
        <f>F150*BU150*IF(B150&gt;=in_marketplace_from,d_hz_loan_cd*G150,0)*in_loan_cd_ticket*in_loan_cd_comm</f>
        <v/>
      </c>
      <c r="BW150" s="40">
        <f>BW149*(1-IF(B149&gt;=in_marketplace_from,d_hz_loan_vehicle*G149,0))</f>
        <v/>
      </c>
      <c r="BX150" s="14">
        <f>F150*BW150*IF(B150&gt;=in_marketplace_from,d_hz_loan_vehicle*G150,0)*in_loan_vehicle_ticket*in_loan_vehicle_comm</f>
        <v/>
      </c>
      <c r="BY150" s="40">
        <f>BY149*(1-IF(B149&gt;=in_marketplace_from,d_hz_loan_home*G149,0)*BZ149)</f>
        <v/>
      </c>
      <c r="BZ150" s="11">
        <f>MIN(in_approval_cap,in_loan_home_approval*INDEX('Age profile'!$O$2:$O$61,B150)*(1+in_approval_growth)^(D150-1))</f>
        <v/>
      </c>
      <c r="CA150" s="14">
        <f>F150*BY150*IF(B150&gt;=in_marketplace_from,d_hz_loan_home*G150,0)*BZ150*in_loan_home_ticket*in_loan_home_comm</f>
        <v/>
      </c>
      <c r="CB150" s="40">
        <f>CB149*(1-IF(B149&gt;=in_marketplace_from,d_hz_loan_lap*G149,0)*CC149)</f>
        <v/>
      </c>
      <c r="CC150" s="11">
        <f>MIN(in_approval_cap,in_loan_lap_approval*INDEX('Age profile'!$O$2:$O$61,B150)*(1+in_approval_growth)^(D150-1))</f>
        <v/>
      </c>
      <c r="CD150" s="14">
        <f>F150*CB150*IF(B150&gt;=in_marketplace_from,d_hz_loan_lap*G150,0)*CC150*in_loan_lap_ticket*in_loan_lap_comm</f>
        <v/>
      </c>
      <c r="CE150" s="14">
        <f>AA150+AB150+AC150+AD150+AG150+AJ150+AM150+AP150+AS150+AU150+AX150+BB150+BE150+BG150+BJ150+BL150+BO150+BR150+BT150+BV150+BX150+CA150+CD150</f>
        <v/>
      </c>
    </row>
    <row r="151">
      <c r="A151" s="39" t="n">
        <v>3</v>
      </c>
      <c r="B151" s="39" t="n">
        <v>31</v>
      </c>
      <c r="C151" s="39">
        <f>A151+B151-1</f>
        <v/>
      </c>
      <c r="D151" s="39">
        <f>INT((C151-1)/12)+1</f>
        <v/>
      </c>
      <c r="E151" s="44">
        <f>INDEX(Monthly!$B$2:$B$61,A151)</f>
        <v/>
      </c>
      <c r="F151" s="44">
        <f>E151*INDEX('Age profile'!$B$2:$B$61,B151)</f>
        <v/>
      </c>
      <c r="G151" s="45">
        <f>MIN(in_takeup_cap,INDEX('Age profile'!$N$2:$N$61,B151)*(1+in_takeup_growth)^(D151-1))</f>
        <v/>
      </c>
      <c r="H151" s="11">
        <f>MIN(in_approval_cap,in_approved_first*INDEX('Age profile'!$O$2:$O$61,B151)*(1+in_approval_growth)^(D151-1))</f>
        <v/>
      </c>
      <c r="I151" s="45">
        <f>G151*MIN(in_takeup_cap,INDEX('Age profile'!$O$2:$O$61,B151)*(1+in_approval_growth)^(D151-1))</f>
        <v/>
      </c>
      <c r="J151" s="40">
        <f>(J150-L150)*F151/F150</f>
        <v/>
      </c>
      <c r="K151" s="40">
        <f>(K150-M150)*F151/F150+SUMIFS(O121:O150,B121:B150,B151-1-d_T)*F151</f>
        <v/>
      </c>
      <c r="L151" s="40">
        <f>IF(B151&gt;=in_marketplace_from,J151*d_hz*G151*in_eligible*H151,0)</f>
        <v/>
      </c>
      <c r="M151" s="40">
        <f>IF(B151&gt;=in_marketplace_from,K151*d_hz*G151*in_eligible*in_approved_repeat,0)</f>
        <v/>
      </c>
      <c r="N151" s="40">
        <f>L151+M151</f>
        <v/>
      </c>
      <c r="O151" s="46">
        <f>N151/F151</f>
        <v/>
      </c>
      <c r="P151" s="40">
        <f>F151-J151-K151</f>
        <v/>
      </c>
      <c r="Q151" s="40">
        <f>IF(B151&gt;=in_marketplace_from,(J151+K151)*d_hz*G151,0)</f>
        <v/>
      </c>
      <c r="R151" s="40">
        <f>SUMIFS(N121:N178,B121:B178,"&gt;="&amp;(B151-d_T),B121:B178,"&lt;="&amp;(B151-1))</f>
        <v/>
      </c>
      <c r="S151" s="46">
        <f>(1-d_u)*S150+IF(d_T&gt;in_topup_lag,SUMIFS(O121:O178,B121:B178,B151-in_topup_lag)-d_udrop*SUMIFS(O121:O178,B121:B178,B151-d_T),0)</f>
        <v/>
      </c>
      <c r="T151" s="40">
        <f>F151*d_u*S151</f>
        <v/>
      </c>
      <c r="U151" s="9">
        <f>L151*in_ticket+M151*d_rep_ticket</f>
        <v/>
      </c>
      <c r="V151" s="9">
        <f>U151+T151*d_topup_amt</f>
        <v/>
      </c>
      <c r="W151" s="40">
        <f>N151+T151*d_topup_ratio</f>
        <v/>
      </c>
      <c r="X151" s="40">
        <f>SUMIFS(W121:W178,B121:B178,B151-in_dpd_lag)*d_cured</f>
        <v/>
      </c>
      <c r="Y151" s="40">
        <f>SUMIFS(W121:W178,B121:B178,B151-in_rec_lag)*d_recd</f>
        <v/>
      </c>
      <c r="Z151" s="40">
        <f>IF(AND(B151&gt;=in_marketplace_from,B151&lt;in_marketplace_from+in_card_months),in_card_share/in_card_months*F151*I151,IF(AND(B151&gt;=in_marketplace_from+in_card_months,B151&lt;in_marketplace_from+2*in_card_months),in_card_share*d_card_rem/in_card_months*F151*MIN(in_takeup_cap,(1+in_takeup_growth)^(D151-1))*MIN(in_takeup_cap,(1+in_approval_growth)^(D151-1)),0))</f>
        <v/>
      </c>
      <c r="AA151" s="14">
        <f>V151*in_fee*(1-in_taken_back)</f>
        <v/>
      </c>
      <c r="AB151" s="14">
        <f>SUMIFS(W121:W178,B121:B178,B151-in_dpd_lag)*d_dpd</f>
        <v/>
      </c>
      <c r="AC151" s="14">
        <f>SUMIFS(W121:W178,B121:B178,B151-in_rec_lag)*d_rec</f>
        <v/>
      </c>
      <c r="AD151" s="14">
        <f>Z151*in_card_fee</f>
        <v/>
      </c>
      <c r="AE151" s="40">
        <f>AE150*(1-IF(B150&gt;=in_marketplace_from,d_hz_hlth_small*G150,0))</f>
        <v/>
      </c>
      <c r="AF151" s="46">
        <f>AE151*IF(B151&gt;=in_marketplace_from,d_hz_hlth_small*G151,0)</f>
        <v/>
      </c>
      <c r="AG151" s="14">
        <f>F151*AF151*in_hlth_small_ticket*in_hlth_small_comm*in_ins_partner_share+F151*in_hlth_small_ticket*in_hlth_small_renew_comm*in_ins_partner_share*(in_hlth_small_renew^1*SUMIFS(AF121:AF178,B121:B178,B151-12)+in_hlth_small_renew^2*SUMIFS(AF121:AF178,B121:B178,B151-24)+in_hlth_small_renew^3*SUMIFS(AF121:AF178,B121:B178,B151-36)+in_hlth_small_renew^4*SUMIFS(AF121:AF178,B121:B178,B151-48))</f>
        <v/>
      </c>
      <c r="AH151" s="40">
        <f>AH150*(1-IF(B150&gt;=in_marketplace_from,d_hz_hlth_family*G150,0))</f>
        <v/>
      </c>
      <c r="AI151" s="46">
        <f>AH151*IF(B151&gt;=in_marketplace_from,d_hz_hlth_family*G151,0)</f>
        <v/>
      </c>
      <c r="AJ151" s="14">
        <f>F151*AI151*in_hlth_family_ticket*in_hlth_family_comm*in_ins_partner_share+F151*in_hlth_family_ticket*in_hlth_family_renew_comm*in_ins_partner_share*(in_hlth_family_renew^1*SUMIFS(AI121:AI178,B121:B178,B151-12)+in_hlth_family_renew^2*SUMIFS(AI121:AI178,B121:B178,B151-24)+in_hlth_family_renew^3*SUMIFS(AI121:AI178,B121:B178,B151-36)+in_hlth_family_renew^4*SUMIFS(AI121:AI178,B121:B178,B151-48))</f>
        <v/>
      </c>
      <c r="AK151" s="40">
        <f>AK150*(1-IF(B150&gt;=in_marketplace_from,d_hz_life_term*G150,0))</f>
        <v/>
      </c>
      <c r="AL151" s="46">
        <f>AK151*IF(B151&gt;=in_marketplace_from,d_hz_life_term*G151,0)</f>
        <v/>
      </c>
      <c r="AM151" s="14">
        <f>F151*AL151*in_life_term_ticket*in_life_term_comm*in_ins_partner_share+F151*in_life_term_ticket*in_life_term_renew_comm*in_ins_partner_share*(in_life_term_renew^1*SUMIFS(AL121:AL178,B121:B178,B151-12)+in_life_term_renew^2*SUMIFS(AL121:AL178,B121:B178,B151-24)+in_life_term_renew^3*SUMIFS(AL121:AL178,B121:B178,B151-36)+in_life_term_renew^4*SUMIFS(AL121:AL178,B121:B178,B151-48))</f>
        <v/>
      </c>
      <c r="AN151" s="40">
        <f>AN150*(1-IF(B150&gt;=in_marketplace_from,d_hz_accident*G150,0))</f>
        <v/>
      </c>
      <c r="AO151" s="46">
        <f>AN151*IF(B151&gt;=in_marketplace_from,d_hz_accident*G151,0)</f>
        <v/>
      </c>
      <c r="AP151" s="14">
        <f>F151*AO151*in_accident_ticket*in_accident_comm*in_ins_partner_share+F151*in_accident_ticket*in_accident_renew_comm*in_ins_partner_share*(in_accident_renew^1*SUMIFS(AO121:AO178,B121:B178,B151-12)+in_accident_renew^2*SUMIFS(AO121:AO178,B121:B178,B151-24)+in_accident_renew^3*SUMIFS(AO121:AO178,B121:B178,B151-36)+in_accident_renew^4*SUMIFS(AO121:AO178,B121:B178,B151-48))</f>
        <v/>
      </c>
      <c r="AQ151" s="40">
        <f>AQ150*(1-IF(B150&gt;=in_marketplace_from,d_hz_two_wheeler*G150,0))</f>
        <v/>
      </c>
      <c r="AR151" s="46">
        <f>AQ151*IF(B151&gt;=in_marketplace_from,d_hz_two_wheeler*G151,0)</f>
        <v/>
      </c>
      <c r="AS151" s="14">
        <f>F151*AR151*in_two_wheeler_ticket*in_two_wheeler_comm*in_ins_partner_share+F151*in_two_wheeler_ticket*in_two_wheeler_comm*in_ins_partner_share*(in_two_wheeler_renew^1*SUMIFS(AR121:AR178,B121:B178,B151-12)+in_two_wheeler_renew^2*SUMIFS(AR121:AR178,B121:B178,B151-24)+in_two_wheeler_renew^3*SUMIFS(AR121:AR178,B121:B178,B151-36)+in_two_wheeler_renew^4*SUMIFS(AR121:AR178,B121:B178,B151-48))</f>
        <v/>
      </c>
      <c r="AT151" s="40">
        <f>AT150*(1-IF(B150&gt;=in_marketplace_from,d_hz_device*G150,0))</f>
        <v/>
      </c>
      <c r="AU151" s="14">
        <f>F151*AT151*IF(B151&gt;=in_marketplace_from,d_hz_device*G151,0)*in_device_ticket*in_device_comm*in_ins_partner_share</f>
        <v/>
      </c>
      <c r="AV151" s="40">
        <f>AV150*(1-IF(B150&gt;=in_marketplace_from,d_hz_shop*G150,0))</f>
        <v/>
      </c>
      <c r="AW151" s="46">
        <f>AV151*IF(B151&gt;=in_marketplace_from,d_hz_shop*G151,0)</f>
        <v/>
      </c>
      <c r="AX151" s="14">
        <f>F151*AW151*in_shop_ticket*in_shop_comm*in_ins_partner_share+F151*in_shop_ticket*in_shop_renew_comm*in_ins_partner_share*(in_shop_renew^1*SUMIFS(AW121:AW178,B121:B178,B151-12)+in_shop_renew^2*SUMIFS(AW121:AW178,B121:B178,B151-24)+in_shop_renew^3*SUMIFS(AW121:AW178,B121:B178,B151-36)+in_shop_renew^4*SUMIFS(AW121:AW178,B121:B178,B151-48))</f>
        <v/>
      </c>
      <c r="AY151" s="40">
        <f>AY150*(1-IF(B150&gt;=in_marketplace_from,d_hz_sip*G150,0))</f>
        <v/>
      </c>
      <c r="AZ151" s="40">
        <f>AZ150*d_rho_sip+AY151*IF(B151&gt;=in_marketplace_from,d_hz_sip*G151,0)</f>
        <v/>
      </c>
      <c r="BA151" s="40">
        <f>d_rho_sip*(BA150+AZ150)</f>
        <v/>
      </c>
      <c r="BB151" s="14">
        <f>F151*in_sip_ticket*(BA151+0.5*AZ151)*in_sip_comm/12</f>
        <v/>
      </c>
      <c r="BC151" s="40">
        <f>BC150*(1-IF(B150&gt;=in_marketplace_from,d_hz_choti*G150,0))</f>
        <v/>
      </c>
      <c r="BD151" s="46">
        <f>BC151*IF(B151&gt;=in_marketplace_from,d_hz_choti*G151,0)</f>
        <v/>
      </c>
      <c r="BE151" s="14">
        <f>F151*SUMIFS(BD121:BD178,B121:B178,B151-in_choti_months)*in_choti_renew*in_choti_ticket</f>
        <v/>
      </c>
      <c r="BF151" s="40">
        <f>BF150*(1-IF(B150&gt;=in_marketplace_from,d_hz_nps*G150,0))</f>
        <v/>
      </c>
      <c r="BG151" s="14">
        <f>F151*BF151*IF(B151&gt;=in_marketplace_from,d_hz_nps*G151,0)*in_nps_ticket*in_nps_comm</f>
        <v/>
      </c>
      <c r="BH151" s="40">
        <f>BH150*(1-IF(B150&gt;=in_marketplace_from,d_hz_gold*G150,0))</f>
        <v/>
      </c>
      <c r="BI151" s="40">
        <f>BI150*d_rho_gold+BH151*IF(B151&gt;=in_marketplace_from,d_hz_gold*G151,0)</f>
        <v/>
      </c>
      <c r="BJ151" s="14">
        <f>F151*BI151*in_gold_ticket*in_gold_comm</f>
        <v/>
      </c>
      <c r="BK151" s="40">
        <f>BK150*(1-IF(B150&gt;=in_marketplace_from,d_hz_fd*G150,0))</f>
        <v/>
      </c>
      <c r="BL151" s="14">
        <f>F151*BK151*IF(B151&gt;=in_marketplace_from,d_hz_fd*G151,0)*in_fd_ticket*in_fd_comm</f>
        <v/>
      </c>
      <c r="BM151" s="40">
        <f>BM150*(1-IF(B150&gt;=in_marketplace_from,d_hz_recharge*G150,0))</f>
        <v/>
      </c>
      <c r="BN151" s="40">
        <f>BN150*d_rho_recharge+BM151*IF(B151&gt;=in_marketplace_from,d_hz_recharge*G151,0)</f>
        <v/>
      </c>
      <c r="BO151" s="14">
        <f>F151*BN151*in_recharge_ticket*in_recharge_comm/12</f>
        <v/>
      </c>
      <c r="BP151" s="40">
        <f>BP150*(1-IF(B150&gt;=in_marketplace_from,d_hz_bills*G150,0))</f>
        <v/>
      </c>
      <c r="BQ151" s="40">
        <f>BQ150*d_rho_bills+BP151*IF(B151&gt;=in_marketplace_from,d_hz_bills*G151,0)</f>
        <v/>
      </c>
      <c r="BR151" s="14">
        <f>F151*BQ151*in_bills_ticket*in_bills_comm/12</f>
        <v/>
      </c>
      <c r="BS151" s="40">
        <f>BS150*(1-IF(B150&gt;=in_marketplace_from,d_hz_loan_gold*G150,0))</f>
        <v/>
      </c>
      <c r="BT151" s="14">
        <f>F151*BS151*IF(B151&gt;=in_marketplace_from,d_hz_loan_gold*G151,0)*in_loan_gold_ticket*in_loan_gold_comm</f>
        <v/>
      </c>
      <c r="BU151" s="40">
        <f>BU150*(1-IF(B150&gt;=in_marketplace_from,d_hz_loan_cd*G150,0))</f>
        <v/>
      </c>
      <c r="BV151" s="14">
        <f>F151*BU151*IF(B151&gt;=in_marketplace_from,d_hz_loan_cd*G151,0)*in_loan_cd_ticket*in_loan_cd_comm</f>
        <v/>
      </c>
      <c r="BW151" s="40">
        <f>BW150*(1-IF(B150&gt;=in_marketplace_from,d_hz_loan_vehicle*G150,0))</f>
        <v/>
      </c>
      <c r="BX151" s="14">
        <f>F151*BW151*IF(B151&gt;=in_marketplace_from,d_hz_loan_vehicle*G151,0)*in_loan_vehicle_ticket*in_loan_vehicle_comm</f>
        <v/>
      </c>
      <c r="BY151" s="40">
        <f>BY150*(1-IF(B150&gt;=in_marketplace_from,d_hz_loan_home*G150,0)*BZ150)</f>
        <v/>
      </c>
      <c r="BZ151" s="11">
        <f>MIN(in_approval_cap,in_loan_home_approval*INDEX('Age profile'!$O$2:$O$61,B151)*(1+in_approval_growth)^(D151-1))</f>
        <v/>
      </c>
      <c r="CA151" s="14">
        <f>F151*BY151*IF(B151&gt;=in_marketplace_from,d_hz_loan_home*G151,0)*BZ151*in_loan_home_ticket*in_loan_home_comm</f>
        <v/>
      </c>
      <c r="CB151" s="40">
        <f>CB150*(1-IF(B150&gt;=in_marketplace_from,d_hz_loan_lap*G150,0)*CC150)</f>
        <v/>
      </c>
      <c r="CC151" s="11">
        <f>MIN(in_approval_cap,in_loan_lap_approval*INDEX('Age profile'!$O$2:$O$61,B151)*(1+in_approval_growth)^(D151-1))</f>
        <v/>
      </c>
      <c r="CD151" s="14">
        <f>F151*CB151*IF(B151&gt;=in_marketplace_from,d_hz_loan_lap*G151,0)*CC151*in_loan_lap_ticket*in_loan_lap_comm</f>
        <v/>
      </c>
      <c r="CE151" s="14">
        <f>AA151+AB151+AC151+AD151+AG151+AJ151+AM151+AP151+AS151+AU151+AX151+BB151+BE151+BG151+BJ151+BL151+BO151+BR151+BT151+BV151+BX151+CA151+CD151</f>
        <v/>
      </c>
    </row>
    <row r="152">
      <c r="A152" s="39" t="n">
        <v>3</v>
      </c>
      <c r="B152" s="39" t="n">
        <v>32</v>
      </c>
      <c r="C152" s="39">
        <f>A152+B152-1</f>
        <v/>
      </c>
      <c r="D152" s="39">
        <f>INT((C152-1)/12)+1</f>
        <v/>
      </c>
      <c r="E152" s="44">
        <f>INDEX(Monthly!$B$2:$B$61,A152)</f>
        <v/>
      </c>
      <c r="F152" s="44">
        <f>E152*INDEX('Age profile'!$B$2:$B$61,B152)</f>
        <v/>
      </c>
      <c r="G152" s="45">
        <f>MIN(in_takeup_cap,INDEX('Age profile'!$N$2:$N$61,B152)*(1+in_takeup_growth)^(D152-1))</f>
        <v/>
      </c>
      <c r="H152" s="11">
        <f>MIN(in_approval_cap,in_approved_first*INDEX('Age profile'!$O$2:$O$61,B152)*(1+in_approval_growth)^(D152-1))</f>
        <v/>
      </c>
      <c r="I152" s="45">
        <f>G152*MIN(in_takeup_cap,INDEX('Age profile'!$O$2:$O$61,B152)*(1+in_approval_growth)^(D152-1))</f>
        <v/>
      </c>
      <c r="J152" s="40">
        <f>(J151-L151)*F152/F151</f>
        <v/>
      </c>
      <c r="K152" s="40">
        <f>(K151-M151)*F152/F151+SUMIFS(O121:O151,B121:B151,B152-1-d_T)*F152</f>
        <v/>
      </c>
      <c r="L152" s="40">
        <f>IF(B152&gt;=in_marketplace_from,J152*d_hz*G152*in_eligible*H152,0)</f>
        <v/>
      </c>
      <c r="M152" s="40">
        <f>IF(B152&gt;=in_marketplace_from,K152*d_hz*G152*in_eligible*in_approved_repeat,0)</f>
        <v/>
      </c>
      <c r="N152" s="40">
        <f>L152+M152</f>
        <v/>
      </c>
      <c r="O152" s="46">
        <f>N152/F152</f>
        <v/>
      </c>
      <c r="P152" s="40">
        <f>F152-J152-K152</f>
        <v/>
      </c>
      <c r="Q152" s="40">
        <f>IF(B152&gt;=in_marketplace_from,(J152+K152)*d_hz*G152,0)</f>
        <v/>
      </c>
      <c r="R152" s="40">
        <f>SUMIFS(N121:N178,B121:B178,"&gt;="&amp;(B152-d_T),B121:B178,"&lt;="&amp;(B152-1))</f>
        <v/>
      </c>
      <c r="S152" s="46">
        <f>(1-d_u)*S151+IF(d_T&gt;in_topup_lag,SUMIFS(O121:O178,B121:B178,B152-in_topup_lag)-d_udrop*SUMIFS(O121:O178,B121:B178,B152-d_T),0)</f>
        <v/>
      </c>
      <c r="T152" s="40">
        <f>F152*d_u*S152</f>
        <v/>
      </c>
      <c r="U152" s="9">
        <f>L152*in_ticket+M152*d_rep_ticket</f>
        <v/>
      </c>
      <c r="V152" s="9">
        <f>U152+T152*d_topup_amt</f>
        <v/>
      </c>
      <c r="W152" s="40">
        <f>N152+T152*d_topup_ratio</f>
        <v/>
      </c>
      <c r="X152" s="40">
        <f>SUMIFS(W121:W178,B121:B178,B152-in_dpd_lag)*d_cured</f>
        <v/>
      </c>
      <c r="Y152" s="40">
        <f>SUMIFS(W121:W178,B121:B178,B152-in_rec_lag)*d_recd</f>
        <v/>
      </c>
      <c r="Z152" s="40">
        <f>IF(AND(B152&gt;=in_marketplace_from,B152&lt;in_marketplace_from+in_card_months),in_card_share/in_card_months*F152*I152,IF(AND(B152&gt;=in_marketplace_from+in_card_months,B152&lt;in_marketplace_from+2*in_card_months),in_card_share*d_card_rem/in_card_months*F152*MIN(in_takeup_cap,(1+in_takeup_growth)^(D152-1))*MIN(in_takeup_cap,(1+in_approval_growth)^(D152-1)),0))</f>
        <v/>
      </c>
      <c r="AA152" s="14">
        <f>V152*in_fee*(1-in_taken_back)</f>
        <v/>
      </c>
      <c r="AB152" s="14">
        <f>SUMIFS(W121:W178,B121:B178,B152-in_dpd_lag)*d_dpd</f>
        <v/>
      </c>
      <c r="AC152" s="14">
        <f>SUMIFS(W121:W178,B121:B178,B152-in_rec_lag)*d_rec</f>
        <v/>
      </c>
      <c r="AD152" s="14">
        <f>Z152*in_card_fee</f>
        <v/>
      </c>
      <c r="AE152" s="40">
        <f>AE151*(1-IF(B151&gt;=in_marketplace_from,d_hz_hlth_small*G151,0))</f>
        <v/>
      </c>
      <c r="AF152" s="46">
        <f>AE152*IF(B152&gt;=in_marketplace_from,d_hz_hlth_small*G152,0)</f>
        <v/>
      </c>
      <c r="AG152" s="14">
        <f>F152*AF152*in_hlth_small_ticket*in_hlth_small_comm*in_ins_partner_share+F152*in_hlth_small_ticket*in_hlth_small_renew_comm*in_ins_partner_share*(in_hlth_small_renew^1*SUMIFS(AF121:AF178,B121:B178,B152-12)+in_hlth_small_renew^2*SUMIFS(AF121:AF178,B121:B178,B152-24)+in_hlth_small_renew^3*SUMIFS(AF121:AF178,B121:B178,B152-36)+in_hlth_small_renew^4*SUMIFS(AF121:AF178,B121:B178,B152-48))</f>
        <v/>
      </c>
      <c r="AH152" s="40">
        <f>AH151*(1-IF(B151&gt;=in_marketplace_from,d_hz_hlth_family*G151,0))</f>
        <v/>
      </c>
      <c r="AI152" s="46">
        <f>AH152*IF(B152&gt;=in_marketplace_from,d_hz_hlth_family*G152,0)</f>
        <v/>
      </c>
      <c r="AJ152" s="14">
        <f>F152*AI152*in_hlth_family_ticket*in_hlth_family_comm*in_ins_partner_share+F152*in_hlth_family_ticket*in_hlth_family_renew_comm*in_ins_partner_share*(in_hlth_family_renew^1*SUMIFS(AI121:AI178,B121:B178,B152-12)+in_hlth_family_renew^2*SUMIFS(AI121:AI178,B121:B178,B152-24)+in_hlth_family_renew^3*SUMIFS(AI121:AI178,B121:B178,B152-36)+in_hlth_family_renew^4*SUMIFS(AI121:AI178,B121:B178,B152-48))</f>
        <v/>
      </c>
      <c r="AK152" s="40">
        <f>AK151*(1-IF(B151&gt;=in_marketplace_from,d_hz_life_term*G151,0))</f>
        <v/>
      </c>
      <c r="AL152" s="46">
        <f>AK152*IF(B152&gt;=in_marketplace_from,d_hz_life_term*G152,0)</f>
        <v/>
      </c>
      <c r="AM152" s="14">
        <f>F152*AL152*in_life_term_ticket*in_life_term_comm*in_ins_partner_share+F152*in_life_term_ticket*in_life_term_renew_comm*in_ins_partner_share*(in_life_term_renew^1*SUMIFS(AL121:AL178,B121:B178,B152-12)+in_life_term_renew^2*SUMIFS(AL121:AL178,B121:B178,B152-24)+in_life_term_renew^3*SUMIFS(AL121:AL178,B121:B178,B152-36)+in_life_term_renew^4*SUMIFS(AL121:AL178,B121:B178,B152-48))</f>
        <v/>
      </c>
      <c r="AN152" s="40">
        <f>AN151*(1-IF(B151&gt;=in_marketplace_from,d_hz_accident*G151,0))</f>
        <v/>
      </c>
      <c r="AO152" s="46">
        <f>AN152*IF(B152&gt;=in_marketplace_from,d_hz_accident*G152,0)</f>
        <v/>
      </c>
      <c r="AP152" s="14">
        <f>F152*AO152*in_accident_ticket*in_accident_comm*in_ins_partner_share+F152*in_accident_ticket*in_accident_renew_comm*in_ins_partner_share*(in_accident_renew^1*SUMIFS(AO121:AO178,B121:B178,B152-12)+in_accident_renew^2*SUMIFS(AO121:AO178,B121:B178,B152-24)+in_accident_renew^3*SUMIFS(AO121:AO178,B121:B178,B152-36)+in_accident_renew^4*SUMIFS(AO121:AO178,B121:B178,B152-48))</f>
        <v/>
      </c>
      <c r="AQ152" s="40">
        <f>AQ151*(1-IF(B151&gt;=in_marketplace_from,d_hz_two_wheeler*G151,0))</f>
        <v/>
      </c>
      <c r="AR152" s="46">
        <f>AQ152*IF(B152&gt;=in_marketplace_from,d_hz_two_wheeler*G152,0)</f>
        <v/>
      </c>
      <c r="AS152" s="14">
        <f>F152*AR152*in_two_wheeler_ticket*in_two_wheeler_comm*in_ins_partner_share+F152*in_two_wheeler_ticket*in_two_wheeler_comm*in_ins_partner_share*(in_two_wheeler_renew^1*SUMIFS(AR121:AR178,B121:B178,B152-12)+in_two_wheeler_renew^2*SUMIFS(AR121:AR178,B121:B178,B152-24)+in_two_wheeler_renew^3*SUMIFS(AR121:AR178,B121:B178,B152-36)+in_two_wheeler_renew^4*SUMIFS(AR121:AR178,B121:B178,B152-48))</f>
        <v/>
      </c>
      <c r="AT152" s="40">
        <f>AT151*(1-IF(B151&gt;=in_marketplace_from,d_hz_device*G151,0))</f>
        <v/>
      </c>
      <c r="AU152" s="14">
        <f>F152*AT152*IF(B152&gt;=in_marketplace_from,d_hz_device*G152,0)*in_device_ticket*in_device_comm*in_ins_partner_share</f>
        <v/>
      </c>
      <c r="AV152" s="40">
        <f>AV151*(1-IF(B151&gt;=in_marketplace_from,d_hz_shop*G151,0))</f>
        <v/>
      </c>
      <c r="AW152" s="46">
        <f>AV152*IF(B152&gt;=in_marketplace_from,d_hz_shop*G152,0)</f>
        <v/>
      </c>
      <c r="AX152" s="14">
        <f>F152*AW152*in_shop_ticket*in_shop_comm*in_ins_partner_share+F152*in_shop_ticket*in_shop_renew_comm*in_ins_partner_share*(in_shop_renew^1*SUMIFS(AW121:AW178,B121:B178,B152-12)+in_shop_renew^2*SUMIFS(AW121:AW178,B121:B178,B152-24)+in_shop_renew^3*SUMIFS(AW121:AW178,B121:B178,B152-36)+in_shop_renew^4*SUMIFS(AW121:AW178,B121:B178,B152-48))</f>
        <v/>
      </c>
      <c r="AY152" s="40">
        <f>AY151*(1-IF(B151&gt;=in_marketplace_from,d_hz_sip*G151,0))</f>
        <v/>
      </c>
      <c r="AZ152" s="40">
        <f>AZ151*d_rho_sip+AY152*IF(B152&gt;=in_marketplace_from,d_hz_sip*G152,0)</f>
        <v/>
      </c>
      <c r="BA152" s="40">
        <f>d_rho_sip*(BA151+AZ151)</f>
        <v/>
      </c>
      <c r="BB152" s="14">
        <f>F152*in_sip_ticket*(BA152+0.5*AZ152)*in_sip_comm/12</f>
        <v/>
      </c>
      <c r="BC152" s="40">
        <f>BC151*(1-IF(B151&gt;=in_marketplace_from,d_hz_choti*G151,0))</f>
        <v/>
      </c>
      <c r="BD152" s="46">
        <f>BC152*IF(B152&gt;=in_marketplace_from,d_hz_choti*G152,0)</f>
        <v/>
      </c>
      <c r="BE152" s="14">
        <f>F152*SUMIFS(BD121:BD178,B121:B178,B152-in_choti_months)*in_choti_renew*in_choti_ticket</f>
        <v/>
      </c>
      <c r="BF152" s="40">
        <f>BF151*(1-IF(B151&gt;=in_marketplace_from,d_hz_nps*G151,0))</f>
        <v/>
      </c>
      <c r="BG152" s="14">
        <f>F152*BF152*IF(B152&gt;=in_marketplace_from,d_hz_nps*G152,0)*in_nps_ticket*in_nps_comm</f>
        <v/>
      </c>
      <c r="BH152" s="40">
        <f>BH151*(1-IF(B151&gt;=in_marketplace_from,d_hz_gold*G151,0))</f>
        <v/>
      </c>
      <c r="BI152" s="40">
        <f>BI151*d_rho_gold+BH152*IF(B152&gt;=in_marketplace_from,d_hz_gold*G152,0)</f>
        <v/>
      </c>
      <c r="BJ152" s="14">
        <f>F152*BI152*in_gold_ticket*in_gold_comm</f>
        <v/>
      </c>
      <c r="BK152" s="40">
        <f>BK151*(1-IF(B151&gt;=in_marketplace_from,d_hz_fd*G151,0))</f>
        <v/>
      </c>
      <c r="BL152" s="14">
        <f>F152*BK152*IF(B152&gt;=in_marketplace_from,d_hz_fd*G152,0)*in_fd_ticket*in_fd_comm</f>
        <v/>
      </c>
      <c r="BM152" s="40">
        <f>BM151*(1-IF(B151&gt;=in_marketplace_from,d_hz_recharge*G151,0))</f>
        <v/>
      </c>
      <c r="BN152" s="40">
        <f>BN151*d_rho_recharge+BM152*IF(B152&gt;=in_marketplace_from,d_hz_recharge*G152,0)</f>
        <v/>
      </c>
      <c r="BO152" s="14">
        <f>F152*BN152*in_recharge_ticket*in_recharge_comm/12</f>
        <v/>
      </c>
      <c r="BP152" s="40">
        <f>BP151*(1-IF(B151&gt;=in_marketplace_from,d_hz_bills*G151,0))</f>
        <v/>
      </c>
      <c r="BQ152" s="40">
        <f>BQ151*d_rho_bills+BP152*IF(B152&gt;=in_marketplace_from,d_hz_bills*G152,0)</f>
        <v/>
      </c>
      <c r="BR152" s="14">
        <f>F152*BQ152*in_bills_ticket*in_bills_comm/12</f>
        <v/>
      </c>
      <c r="BS152" s="40">
        <f>BS151*(1-IF(B151&gt;=in_marketplace_from,d_hz_loan_gold*G151,0))</f>
        <v/>
      </c>
      <c r="BT152" s="14">
        <f>F152*BS152*IF(B152&gt;=in_marketplace_from,d_hz_loan_gold*G152,0)*in_loan_gold_ticket*in_loan_gold_comm</f>
        <v/>
      </c>
      <c r="BU152" s="40">
        <f>BU151*(1-IF(B151&gt;=in_marketplace_from,d_hz_loan_cd*G151,0))</f>
        <v/>
      </c>
      <c r="BV152" s="14">
        <f>F152*BU152*IF(B152&gt;=in_marketplace_from,d_hz_loan_cd*G152,0)*in_loan_cd_ticket*in_loan_cd_comm</f>
        <v/>
      </c>
      <c r="BW152" s="40">
        <f>BW151*(1-IF(B151&gt;=in_marketplace_from,d_hz_loan_vehicle*G151,0))</f>
        <v/>
      </c>
      <c r="BX152" s="14">
        <f>F152*BW152*IF(B152&gt;=in_marketplace_from,d_hz_loan_vehicle*G152,0)*in_loan_vehicle_ticket*in_loan_vehicle_comm</f>
        <v/>
      </c>
      <c r="BY152" s="40">
        <f>BY151*(1-IF(B151&gt;=in_marketplace_from,d_hz_loan_home*G151,0)*BZ151)</f>
        <v/>
      </c>
      <c r="BZ152" s="11">
        <f>MIN(in_approval_cap,in_loan_home_approval*INDEX('Age profile'!$O$2:$O$61,B152)*(1+in_approval_growth)^(D152-1))</f>
        <v/>
      </c>
      <c r="CA152" s="14">
        <f>F152*BY152*IF(B152&gt;=in_marketplace_from,d_hz_loan_home*G152,0)*BZ152*in_loan_home_ticket*in_loan_home_comm</f>
        <v/>
      </c>
      <c r="CB152" s="40">
        <f>CB151*(1-IF(B151&gt;=in_marketplace_from,d_hz_loan_lap*G151,0)*CC151)</f>
        <v/>
      </c>
      <c r="CC152" s="11">
        <f>MIN(in_approval_cap,in_loan_lap_approval*INDEX('Age profile'!$O$2:$O$61,B152)*(1+in_approval_growth)^(D152-1))</f>
        <v/>
      </c>
      <c r="CD152" s="14">
        <f>F152*CB152*IF(B152&gt;=in_marketplace_from,d_hz_loan_lap*G152,0)*CC152*in_loan_lap_ticket*in_loan_lap_comm</f>
        <v/>
      </c>
      <c r="CE152" s="14">
        <f>AA152+AB152+AC152+AD152+AG152+AJ152+AM152+AP152+AS152+AU152+AX152+BB152+BE152+BG152+BJ152+BL152+BO152+BR152+BT152+BV152+BX152+CA152+CD152</f>
        <v/>
      </c>
    </row>
    <row r="153">
      <c r="A153" s="39" t="n">
        <v>3</v>
      </c>
      <c r="B153" s="39" t="n">
        <v>33</v>
      </c>
      <c r="C153" s="39">
        <f>A153+B153-1</f>
        <v/>
      </c>
      <c r="D153" s="39">
        <f>INT((C153-1)/12)+1</f>
        <v/>
      </c>
      <c r="E153" s="44">
        <f>INDEX(Monthly!$B$2:$B$61,A153)</f>
        <v/>
      </c>
      <c r="F153" s="44">
        <f>E153*INDEX('Age profile'!$B$2:$B$61,B153)</f>
        <v/>
      </c>
      <c r="G153" s="45">
        <f>MIN(in_takeup_cap,INDEX('Age profile'!$N$2:$N$61,B153)*(1+in_takeup_growth)^(D153-1))</f>
        <v/>
      </c>
      <c r="H153" s="11">
        <f>MIN(in_approval_cap,in_approved_first*INDEX('Age profile'!$O$2:$O$61,B153)*(1+in_approval_growth)^(D153-1))</f>
        <v/>
      </c>
      <c r="I153" s="45">
        <f>G153*MIN(in_takeup_cap,INDEX('Age profile'!$O$2:$O$61,B153)*(1+in_approval_growth)^(D153-1))</f>
        <v/>
      </c>
      <c r="J153" s="40">
        <f>(J152-L152)*F153/F152</f>
        <v/>
      </c>
      <c r="K153" s="40">
        <f>(K152-M152)*F153/F152+SUMIFS(O121:O152,B121:B152,B153-1-d_T)*F153</f>
        <v/>
      </c>
      <c r="L153" s="40">
        <f>IF(B153&gt;=in_marketplace_from,J153*d_hz*G153*in_eligible*H153,0)</f>
        <v/>
      </c>
      <c r="M153" s="40">
        <f>IF(B153&gt;=in_marketplace_from,K153*d_hz*G153*in_eligible*in_approved_repeat,0)</f>
        <v/>
      </c>
      <c r="N153" s="40">
        <f>L153+M153</f>
        <v/>
      </c>
      <c r="O153" s="46">
        <f>N153/F153</f>
        <v/>
      </c>
      <c r="P153" s="40">
        <f>F153-J153-K153</f>
        <v/>
      </c>
      <c r="Q153" s="40">
        <f>IF(B153&gt;=in_marketplace_from,(J153+K153)*d_hz*G153,0)</f>
        <v/>
      </c>
      <c r="R153" s="40">
        <f>SUMIFS(N121:N178,B121:B178,"&gt;="&amp;(B153-d_T),B121:B178,"&lt;="&amp;(B153-1))</f>
        <v/>
      </c>
      <c r="S153" s="46">
        <f>(1-d_u)*S152+IF(d_T&gt;in_topup_lag,SUMIFS(O121:O178,B121:B178,B153-in_topup_lag)-d_udrop*SUMIFS(O121:O178,B121:B178,B153-d_T),0)</f>
        <v/>
      </c>
      <c r="T153" s="40">
        <f>F153*d_u*S153</f>
        <v/>
      </c>
      <c r="U153" s="9">
        <f>L153*in_ticket+M153*d_rep_ticket</f>
        <v/>
      </c>
      <c r="V153" s="9">
        <f>U153+T153*d_topup_amt</f>
        <v/>
      </c>
      <c r="W153" s="40">
        <f>N153+T153*d_topup_ratio</f>
        <v/>
      </c>
      <c r="X153" s="40">
        <f>SUMIFS(W121:W178,B121:B178,B153-in_dpd_lag)*d_cured</f>
        <v/>
      </c>
      <c r="Y153" s="40">
        <f>SUMIFS(W121:W178,B121:B178,B153-in_rec_lag)*d_recd</f>
        <v/>
      </c>
      <c r="Z153" s="40">
        <f>IF(AND(B153&gt;=in_marketplace_from,B153&lt;in_marketplace_from+in_card_months),in_card_share/in_card_months*F153*I153,IF(AND(B153&gt;=in_marketplace_from+in_card_months,B153&lt;in_marketplace_from+2*in_card_months),in_card_share*d_card_rem/in_card_months*F153*MIN(in_takeup_cap,(1+in_takeup_growth)^(D153-1))*MIN(in_takeup_cap,(1+in_approval_growth)^(D153-1)),0))</f>
        <v/>
      </c>
      <c r="AA153" s="14">
        <f>V153*in_fee*(1-in_taken_back)</f>
        <v/>
      </c>
      <c r="AB153" s="14">
        <f>SUMIFS(W121:W178,B121:B178,B153-in_dpd_lag)*d_dpd</f>
        <v/>
      </c>
      <c r="AC153" s="14">
        <f>SUMIFS(W121:W178,B121:B178,B153-in_rec_lag)*d_rec</f>
        <v/>
      </c>
      <c r="AD153" s="14">
        <f>Z153*in_card_fee</f>
        <v/>
      </c>
      <c r="AE153" s="40">
        <f>AE152*(1-IF(B152&gt;=in_marketplace_from,d_hz_hlth_small*G152,0))</f>
        <v/>
      </c>
      <c r="AF153" s="46">
        <f>AE153*IF(B153&gt;=in_marketplace_from,d_hz_hlth_small*G153,0)</f>
        <v/>
      </c>
      <c r="AG153" s="14">
        <f>F153*AF153*in_hlth_small_ticket*in_hlth_small_comm*in_ins_partner_share+F153*in_hlth_small_ticket*in_hlth_small_renew_comm*in_ins_partner_share*(in_hlth_small_renew^1*SUMIFS(AF121:AF178,B121:B178,B153-12)+in_hlth_small_renew^2*SUMIFS(AF121:AF178,B121:B178,B153-24)+in_hlth_small_renew^3*SUMIFS(AF121:AF178,B121:B178,B153-36)+in_hlth_small_renew^4*SUMIFS(AF121:AF178,B121:B178,B153-48))</f>
        <v/>
      </c>
      <c r="AH153" s="40">
        <f>AH152*(1-IF(B152&gt;=in_marketplace_from,d_hz_hlth_family*G152,0))</f>
        <v/>
      </c>
      <c r="AI153" s="46">
        <f>AH153*IF(B153&gt;=in_marketplace_from,d_hz_hlth_family*G153,0)</f>
        <v/>
      </c>
      <c r="AJ153" s="14">
        <f>F153*AI153*in_hlth_family_ticket*in_hlth_family_comm*in_ins_partner_share+F153*in_hlth_family_ticket*in_hlth_family_renew_comm*in_ins_partner_share*(in_hlth_family_renew^1*SUMIFS(AI121:AI178,B121:B178,B153-12)+in_hlth_family_renew^2*SUMIFS(AI121:AI178,B121:B178,B153-24)+in_hlth_family_renew^3*SUMIFS(AI121:AI178,B121:B178,B153-36)+in_hlth_family_renew^4*SUMIFS(AI121:AI178,B121:B178,B153-48))</f>
        <v/>
      </c>
      <c r="AK153" s="40">
        <f>AK152*(1-IF(B152&gt;=in_marketplace_from,d_hz_life_term*G152,0))</f>
        <v/>
      </c>
      <c r="AL153" s="46">
        <f>AK153*IF(B153&gt;=in_marketplace_from,d_hz_life_term*G153,0)</f>
        <v/>
      </c>
      <c r="AM153" s="14">
        <f>F153*AL153*in_life_term_ticket*in_life_term_comm*in_ins_partner_share+F153*in_life_term_ticket*in_life_term_renew_comm*in_ins_partner_share*(in_life_term_renew^1*SUMIFS(AL121:AL178,B121:B178,B153-12)+in_life_term_renew^2*SUMIFS(AL121:AL178,B121:B178,B153-24)+in_life_term_renew^3*SUMIFS(AL121:AL178,B121:B178,B153-36)+in_life_term_renew^4*SUMIFS(AL121:AL178,B121:B178,B153-48))</f>
        <v/>
      </c>
      <c r="AN153" s="40">
        <f>AN152*(1-IF(B152&gt;=in_marketplace_from,d_hz_accident*G152,0))</f>
        <v/>
      </c>
      <c r="AO153" s="46">
        <f>AN153*IF(B153&gt;=in_marketplace_from,d_hz_accident*G153,0)</f>
        <v/>
      </c>
      <c r="AP153" s="14">
        <f>F153*AO153*in_accident_ticket*in_accident_comm*in_ins_partner_share+F153*in_accident_ticket*in_accident_renew_comm*in_ins_partner_share*(in_accident_renew^1*SUMIFS(AO121:AO178,B121:B178,B153-12)+in_accident_renew^2*SUMIFS(AO121:AO178,B121:B178,B153-24)+in_accident_renew^3*SUMIFS(AO121:AO178,B121:B178,B153-36)+in_accident_renew^4*SUMIFS(AO121:AO178,B121:B178,B153-48))</f>
        <v/>
      </c>
      <c r="AQ153" s="40">
        <f>AQ152*(1-IF(B152&gt;=in_marketplace_from,d_hz_two_wheeler*G152,0))</f>
        <v/>
      </c>
      <c r="AR153" s="46">
        <f>AQ153*IF(B153&gt;=in_marketplace_from,d_hz_two_wheeler*G153,0)</f>
        <v/>
      </c>
      <c r="AS153" s="14">
        <f>F153*AR153*in_two_wheeler_ticket*in_two_wheeler_comm*in_ins_partner_share+F153*in_two_wheeler_ticket*in_two_wheeler_comm*in_ins_partner_share*(in_two_wheeler_renew^1*SUMIFS(AR121:AR178,B121:B178,B153-12)+in_two_wheeler_renew^2*SUMIFS(AR121:AR178,B121:B178,B153-24)+in_two_wheeler_renew^3*SUMIFS(AR121:AR178,B121:B178,B153-36)+in_two_wheeler_renew^4*SUMIFS(AR121:AR178,B121:B178,B153-48))</f>
        <v/>
      </c>
      <c r="AT153" s="40">
        <f>AT152*(1-IF(B152&gt;=in_marketplace_from,d_hz_device*G152,0))</f>
        <v/>
      </c>
      <c r="AU153" s="14">
        <f>F153*AT153*IF(B153&gt;=in_marketplace_from,d_hz_device*G153,0)*in_device_ticket*in_device_comm*in_ins_partner_share</f>
        <v/>
      </c>
      <c r="AV153" s="40">
        <f>AV152*(1-IF(B152&gt;=in_marketplace_from,d_hz_shop*G152,0))</f>
        <v/>
      </c>
      <c r="AW153" s="46">
        <f>AV153*IF(B153&gt;=in_marketplace_from,d_hz_shop*G153,0)</f>
        <v/>
      </c>
      <c r="AX153" s="14">
        <f>F153*AW153*in_shop_ticket*in_shop_comm*in_ins_partner_share+F153*in_shop_ticket*in_shop_renew_comm*in_ins_partner_share*(in_shop_renew^1*SUMIFS(AW121:AW178,B121:B178,B153-12)+in_shop_renew^2*SUMIFS(AW121:AW178,B121:B178,B153-24)+in_shop_renew^3*SUMIFS(AW121:AW178,B121:B178,B153-36)+in_shop_renew^4*SUMIFS(AW121:AW178,B121:B178,B153-48))</f>
        <v/>
      </c>
      <c r="AY153" s="40">
        <f>AY152*(1-IF(B152&gt;=in_marketplace_from,d_hz_sip*G152,0))</f>
        <v/>
      </c>
      <c r="AZ153" s="40">
        <f>AZ152*d_rho_sip+AY153*IF(B153&gt;=in_marketplace_from,d_hz_sip*G153,0)</f>
        <v/>
      </c>
      <c r="BA153" s="40">
        <f>d_rho_sip*(BA152+AZ152)</f>
        <v/>
      </c>
      <c r="BB153" s="14">
        <f>F153*in_sip_ticket*(BA153+0.5*AZ153)*in_sip_comm/12</f>
        <v/>
      </c>
      <c r="BC153" s="40">
        <f>BC152*(1-IF(B152&gt;=in_marketplace_from,d_hz_choti*G152,0))</f>
        <v/>
      </c>
      <c r="BD153" s="46">
        <f>BC153*IF(B153&gt;=in_marketplace_from,d_hz_choti*G153,0)</f>
        <v/>
      </c>
      <c r="BE153" s="14">
        <f>F153*SUMIFS(BD121:BD178,B121:B178,B153-in_choti_months)*in_choti_renew*in_choti_ticket</f>
        <v/>
      </c>
      <c r="BF153" s="40">
        <f>BF152*(1-IF(B152&gt;=in_marketplace_from,d_hz_nps*G152,0))</f>
        <v/>
      </c>
      <c r="BG153" s="14">
        <f>F153*BF153*IF(B153&gt;=in_marketplace_from,d_hz_nps*G153,0)*in_nps_ticket*in_nps_comm</f>
        <v/>
      </c>
      <c r="BH153" s="40">
        <f>BH152*(1-IF(B152&gt;=in_marketplace_from,d_hz_gold*G152,0))</f>
        <v/>
      </c>
      <c r="BI153" s="40">
        <f>BI152*d_rho_gold+BH153*IF(B153&gt;=in_marketplace_from,d_hz_gold*G153,0)</f>
        <v/>
      </c>
      <c r="BJ153" s="14">
        <f>F153*BI153*in_gold_ticket*in_gold_comm</f>
        <v/>
      </c>
      <c r="BK153" s="40">
        <f>BK152*(1-IF(B152&gt;=in_marketplace_from,d_hz_fd*G152,0))</f>
        <v/>
      </c>
      <c r="BL153" s="14">
        <f>F153*BK153*IF(B153&gt;=in_marketplace_from,d_hz_fd*G153,0)*in_fd_ticket*in_fd_comm</f>
        <v/>
      </c>
      <c r="BM153" s="40">
        <f>BM152*(1-IF(B152&gt;=in_marketplace_from,d_hz_recharge*G152,0))</f>
        <v/>
      </c>
      <c r="BN153" s="40">
        <f>BN152*d_rho_recharge+BM153*IF(B153&gt;=in_marketplace_from,d_hz_recharge*G153,0)</f>
        <v/>
      </c>
      <c r="BO153" s="14">
        <f>F153*BN153*in_recharge_ticket*in_recharge_comm/12</f>
        <v/>
      </c>
      <c r="BP153" s="40">
        <f>BP152*(1-IF(B152&gt;=in_marketplace_from,d_hz_bills*G152,0))</f>
        <v/>
      </c>
      <c r="BQ153" s="40">
        <f>BQ152*d_rho_bills+BP153*IF(B153&gt;=in_marketplace_from,d_hz_bills*G153,0)</f>
        <v/>
      </c>
      <c r="BR153" s="14">
        <f>F153*BQ153*in_bills_ticket*in_bills_comm/12</f>
        <v/>
      </c>
      <c r="BS153" s="40">
        <f>BS152*(1-IF(B152&gt;=in_marketplace_from,d_hz_loan_gold*G152,0))</f>
        <v/>
      </c>
      <c r="BT153" s="14">
        <f>F153*BS153*IF(B153&gt;=in_marketplace_from,d_hz_loan_gold*G153,0)*in_loan_gold_ticket*in_loan_gold_comm</f>
        <v/>
      </c>
      <c r="BU153" s="40">
        <f>BU152*(1-IF(B152&gt;=in_marketplace_from,d_hz_loan_cd*G152,0))</f>
        <v/>
      </c>
      <c r="BV153" s="14">
        <f>F153*BU153*IF(B153&gt;=in_marketplace_from,d_hz_loan_cd*G153,0)*in_loan_cd_ticket*in_loan_cd_comm</f>
        <v/>
      </c>
      <c r="BW153" s="40">
        <f>BW152*(1-IF(B152&gt;=in_marketplace_from,d_hz_loan_vehicle*G152,0))</f>
        <v/>
      </c>
      <c r="BX153" s="14">
        <f>F153*BW153*IF(B153&gt;=in_marketplace_from,d_hz_loan_vehicle*G153,0)*in_loan_vehicle_ticket*in_loan_vehicle_comm</f>
        <v/>
      </c>
      <c r="BY153" s="40">
        <f>BY152*(1-IF(B152&gt;=in_marketplace_from,d_hz_loan_home*G152,0)*BZ152)</f>
        <v/>
      </c>
      <c r="BZ153" s="11">
        <f>MIN(in_approval_cap,in_loan_home_approval*INDEX('Age profile'!$O$2:$O$61,B153)*(1+in_approval_growth)^(D153-1))</f>
        <v/>
      </c>
      <c r="CA153" s="14">
        <f>F153*BY153*IF(B153&gt;=in_marketplace_from,d_hz_loan_home*G153,0)*BZ153*in_loan_home_ticket*in_loan_home_comm</f>
        <v/>
      </c>
      <c r="CB153" s="40">
        <f>CB152*(1-IF(B152&gt;=in_marketplace_from,d_hz_loan_lap*G152,0)*CC152)</f>
        <v/>
      </c>
      <c r="CC153" s="11">
        <f>MIN(in_approval_cap,in_loan_lap_approval*INDEX('Age profile'!$O$2:$O$61,B153)*(1+in_approval_growth)^(D153-1))</f>
        <v/>
      </c>
      <c r="CD153" s="14">
        <f>F153*CB153*IF(B153&gt;=in_marketplace_from,d_hz_loan_lap*G153,0)*CC153*in_loan_lap_ticket*in_loan_lap_comm</f>
        <v/>
      </c>
      <c r="CE153" s="14">
        <f>AA153+AB153+AC153+AD153+AG153+AJ153+AM153+AP153+AS153+AU153+AX153+BB153+BE153+BG153+BJ153+BL153+BO153+BR153+BT153+BV153+BX153+CA153+CD153</f>
        <v/>
      </c>
    </row>
    <row r="154">
      <c r="A154" s="39" t="n">
        <v>3</v>
      </c>
      <c r="B154" s="39" t="n">
        <v>34</v>
      </c>
      <c r="C154" s="39">
        <f>A154+B154-1</f>
        <v/>
      </c>
      <c r="D154" s="39">
        <f>INT((C154-1)/12)+1</f>
        <v/>
      </c>
      <c r="E154" s="44">
        <f>INDEX(Monthly!$B$2:$B$61,A154)</f>
        <v/>
      </c>
      <c r="F154" s="44">
        <f>E154*INDEX('Age profile'!$B$2:$B$61,B154)</f>
        <v/>
      </c>
      <c r="G154" s="45">
        <f>MIN(in_takeup_cap,INDEX('Age profile'!$N$2:$N$61,B154)*(1+in_takeup_growth)^(D154-1))</f>
        <v/>
      </c>
      <c r="H154" s="11">
        <f>MIN(in_approval_cap,in_approved_first*INDEX('Age profile'!$O$2:$O$61,B154)*(1+in_approval_growth)^(D154-1))</f>
        <v/>
      </c>
      <c r="I154" s="45">
        <f>G154*MIN(in_takeup_cap,INDEX('Age profile'!$O$2:$O$61,B154)*(1+in_approval_growth)^(D154-1))</f>
        <v/>
      </c>
      <c r="J154" s="40">
        <f>(J153-L153)*F154/F153</f>
        <v/>
      </c>
      <c r="K154" s="40">
        <f>(K153-M153)*F154/F153+SUMIFS(O121:O153,B121:B153,B154-1-d_T)*F154</f>
        <v/>
      </c>
      <c r="L154" s="40">
        <f>IF(B154&gt;=in_marketplace_from,J154*d_hz*G154*in_eligible*H154,0)</f>
        <v/>
      </c>
      <c r="M154" s="40">
        <f>IF(B154&gt;=in_marketplace_from,K154*d_hz*G154*in_eligible*in_approved_repeat,0)</f>
        <v/>
      </c>
      <c r="N154" s="40">
        <f>L154+M154</f>
        <v/>
      </c>
      <c r="O154" s="46">
        <f>N154/F154</f>
        <v/>
      </c>
      <c r="P154" s="40">
        <f>F154-J154-K154</f>
        <v/>
      </c>
      <c r="Q154" s="40">
        <f>IF(B154&gt;=in_marketplace_from,(J154+K154)*d_hz*G154,0)</f>
        <v/>
      </c>
      <c r="R154" s="40">
        <f>SUMIFS(N121:N178,B121:B178,"&gt;="&amp;(B154-d_T),B121:B178,"&lt;="&amp;(B154-1))</f>
        <v/>
      </c>
      <c r="S154" s="46">
        <f>(1-d_u)*S153+IF(d_T&gt;in_topup_lag,SUMIFS(O121:O178,B121:B178,B154-in_topup_lag)-d_udrop*SUMIFS(O121:O178,B121:B178,B154-d_T),0)</f>
        <v/>
      </c>
      <c r="T154" s="40">
        <f>F154*d_u*S154</f>
        <v/>
      </c>
      <c r="U154" s="9">
        <f>L154*in_ticket+M154*d_rep_ticket</f>
        <v/>
      </c>
      <c r="V154" s="9">
        <f>U154+T154*d_topup_amt</f>
        <v/>
      </c>
      <c r="W154" s="40">
        <f>N154+T154*d_topup_ratio</f>
        <v/>
      </c>
      <c r="X154" s="40">
        <f>SUMIFS(W121:W178,B121:B178,B154-in_dpd_lag)*d_cured</f>
        <v/>
      </c>
      <c r="Y154" s="40">
        <f>SUMIFS(W121:W178,B121:B178,B154-in_rec_lag)*d_recd</f>
        <v/>
      </c>
      <c r="Z154" s="40">
        <f>IF(AND(B154&gt;=in_marketplace_from,B154&lt;in_marketplace_from+in_card_months),in_card_share/in_card_months*F154*I154,IF(AND(B154&gt;=in_marketplace_from+in_card_months,B154&lt;in_marketplace_from+2*in_card_months),in_card_share*d_card_rem/in_card_months*F154*MIN(in_takeup_cap,(1+in_takeup_growth)^(D154-1))*MIN(in_takeup_cap,(1+in_approval_growth)^(D154-1)),0))</f>
        <v/>
      </c>
      <c r="AA154" s="14">
        <f>V154*in_fee*(1-in_taken_back)</f>
        <v/>
      </c>
      <c r="AB154" s="14">
        <f>SUMIFS(W121:W178,B121:B178,B154-in_dpd_lag)*d_dpd</f>
        <v/>
      </c>
      <c r="AC154" s="14">
        <f>SUMIFS(W121:W178,B121:B178,B154-in_rec_lag)*d_rec</f>
        <v/>
      </c>
      <c r="AD154" s="14">
        <f>Z154*in_card_fee</f>
        <v/>
      </c>
      <c r="AE154" s="40">
        <f>AE153*(1-IF(B153&gt;=in_marketplace_from,d_hz_hlth_small*G153,0))</f>
        <v/>
      </c>
      <c r="AF154" s="46">
        <f>AE154*IF(B154&gt;=in_marketplace_from,d_hz_hlth_small*G154,0)</f>
        <v/>
      </c>
      <c r="AG154" s="14">
        <f>F154*AF154*in_hlth_small_ticket*in_hlth_small_comm*in_ins_partner_share+F154*in_hlth_small_ticket*in_hlth_small_renew_comm*in_ins_partner_share*(in_hlth_small_renew^1*SUMIFS(AF121:AF178,B121:B178,B154-12)+in_hlth_small_renew^2*SUMIFS(AF121:AF178,B121:B178,B154-24)+in_hlth_small_renew^3*SUMIFS(AF121:AF178,B121:B178,B154-36)+in_hlth_small_renew^4*SUMIFS(AF121:AF178,B121:B178,B154-48))</f>
        <v/>
      </c>
      <c r="AH154" s="40">
        <f>AH153*(1-IF(B153&gt;=in_marketplace_from,d_hz_hlth_family*G153,0))</f>
        <v/>
      </c>
      <c r="AI154" s="46">
        <f>AH154*IF(B154&gt;=in_marketplace_from,d_hz_hlth_family*G154,0)</f>
        <v/>
      </c>
      <c r="AJ154" s="14">
        <f>F154*AI154*in_hlth_family_ticket*in_hlth_family_comm*in_ins_partner_share+F154*in_hlth_family_ticket*in_hlth_family_renew_comm*in_ins_partner_share*(in_hlth_family_renew^1*SUMIFS(AI121:AI178,B121:B178,B154-12)+in_hlth_family_renew^2*SUMIFS(AI121:AI178,B121:B178,B154-24)+in_hlth_family_renew^3*SUMIFS(AI121:AI178,B121:B178,B154-36)+in_hlth_family_renew^4*SUMIFS(AI121:AI178,B121:B178,B154-48))</f>
        <v/>
      </c>
      <c r="AK154" s="40">
        <f>AK153*(1-IF(B153&gt;=in_marketplace_from,d_hz_life_term*G153,0))</f>
        <v/>
      </c>
      <c r="AL154" s="46">
        <f>AK154*IF(B154&gt;=in_marketplace_from,d_hz_life_term*G154,0)</f>
        <v/>
      </c>
      <c r="AM154" s="14">
        <f>F154*AL154*in_life_term_ticket*in_life_term_comm*in_ins_partner_share+F154*in_life_term_ticket*in_life_term_renew_comm*in_ins_partner_share*(in_life_term_renew^1*SUMIFS(AL121:AL178,B121:B178,B154-12)+in_life_term_renew^2*SUMIFS(AL121:AL178,B121:B178,B154-24)+in_life_term_renew^3*SUMIFS(AL121:AL178,B121:B178,B154-36)+in_life_term_renew^4*SUMIFS(AL121:AL178,B121:B178,B154-48))</f>
        <v/>
      </c>
      <c r="AN154" s="40">
        <f>AN153*(1-IF(B153&gt;=in_marketplace_from,d_hz_accident*G153,0))</f>
        <v/>
      </c>
      <c r="AO154" s="46">
        <f>AN154*IF(B154&gt;=in_marketplace_from,d_hz_accident*G154,0)</f>
        <v/>
      </c>
      <c r="AP154" s="14">
        <f>F154*AO154*in_accident_ticket*in_accident_comm*in_ins_partner_share+F154*in_accident_ticket*in_accident_renew_comm*in_ins_partner_share*(in_accident_renew^1*SUMIFS(AO121:AO178,B121:B178,B154-12)+in_accident_renew^2*SUMIFS(AO121:AO178,B121:B178,B154-24)+in_accident_renew^3*SUMIFS(AO121:AO178,B121:B178,B154-36)+in_accident_renew^4*SUMIFS(AO121:AO178,B121:B178,B154-48))</f>
        <v/>
      </c>
      <c r="AQ154" s="40">
        <f>AQ153*(1-IF(B153&gt;=in_marketplace_from,d_hz_two_wheeler*G153,0))</f>
        <v/>
      </c>
      <c r="AR154" s="46">
        <f>AQ154*IF(B154&gt;=in_marketplace_from,d_hz_two_wheeler*G154,0)</f>
        <v/>
      </c>
      <c r="AS154" s="14">
        <f>F154*AR154*in_two_wheeler_ticket*in_two_wheeler_comm*in_ins_partner_share+F154*in_two_wheeler_ticket*in_two_wheeler_comm*in_ins_partner_share*(in_two_wheeler_renew^1*SUMIFS(AR121:AR178,B121:B178,B154-12)+in_two_wheeler_renew^2*SUMIFS(AR121:AR178,B121:B178,B154-24)+in_two_wheeler_renew^3*SUMIFS(AR121:AR178,B121:B178,B154-36)+in_two_wheeler_renew^4*SUMIFS(AR121:AR178,B121:B178,B154-48))</f>
        <v/>
      </c>
      <c r="AT154" s="40">
        <f>AT153*(1-IF(B153&gt;=in_marketplace_from,d_hz_device*G153,0))</f>
        <v/>
      </c>
      <c r="AU154" s="14">
        <f>F154*AT154*IF(B154&gt;=in_marketplace_from,d_hz_device*G154,0)*in_device_ticket*in_device_comm*in_ins_partner_share</f>
        <v/>
      </c>
      <c r="AV154" s="40">
        <f>AV153*(1-IF(B153&gt;=in_marketplace_from,d_hz_shop*G153,0))</f>
        <v/>
      </c>
      <c r="AW154" s="46">
        <f>AV154*IF(B154&gt;=in_marketplace_from,d_hz_shop*G154,0)</f>
        <v/>
      </c>
      <c r="AX154" s="14">
        <f>F154*AW154*in_shop_ticket*in_shop_comm*in_ins_partner_share+F154*in_shop_ticket*in_shop_renew_comm*in_ins_partner_share*(in_shop_renew^1*SUMIFS(AW121:AW178,B121:B178,B154-12)+in_shop_renew^2*SUMIFS(AW121:AW178,B121:B178,B154-24)+in_shop_renew^3*SUMIFS(AW121:AW178,B121:B178,B154-36)+in_shop_renew^4*SUMIFS(AW121:AW178,B121:B178,B154-48))</f>
        <v/>
      </c>
      <c r="AY154" s="40">
        <f>AY153*(1-IF(B153&gt;=in_marketplace_from,d_hz_sip*G153,0))</f>
        <v/>
      </c>
      <c r="AZ154" s="40">
        <f>AZ153*d_rho_sip+AY154*IF(B154&gt;=in_marketplace_from,d_hz_sip*G154,0)</f>
        <v/>
      </c>
      <c r="BA154" s="40">
        <f>d_rho_sip*(BA153+AZ153)</f>
        <v/>
      </c>
      <c r="BB154" s="14">
        <f>F154*in_sip_ticket*(BA154+0.5*AZ154)*in_sip_comm/12</f>
        <v/>
      </c>
      <c r="BC154" s="40">
        <f>BC153*(1-IF(B153&gt;=in_marketplace_from,d_hz_choti*G153,0))</f>
        <v/>
      </c>
      <c r="BD154" s="46">
        <f>BC154*IF(B154&gt;=in_marketplace_from,d_hz_choti*G154,0)</f>
        <v/>
      </c>
      <c r="BE154" s="14">
        <f>F154*SUMIFS(BD121:BD178,B121:B178,B154-in_choti_months)*in_choti_renew*in_choti_ticket</f>
        <v/>
      </c>
      <c r="BF154" s="40">
        <f>BF153*(1-IF(B153&gt;=in_marketplace_from,d_hz_nps*G153,0))</f>
        <v/>
      </c>
      <c r="BG154" s="14">
        <f>F154*BF154*IF(B154&gt;=in_marketplace_from,d_hz_nps*G154,0)*in_nps_ticket*in_nps_comm</f>
        <v/>
      </c>
      <c r="BH154" s="40">
        <f>BH153*(1-IF(B153&gt;=in_marketplace_from,d_hz_gold*G153,0))</f>
        <v/>
      </c>
      <c r="BI154" s="40">
        <f>BI153*d_rho_gold+BH154*IF(B154&gt;=in_marketplace_from,d_hz_gold*G154,0)</f>
        <v/>
      </c>
      <c r="BJ154" s="14">
        <f>F154*BI154*in_gold_ticket*in_gold_comm</f>
        <v/>
      </c>
      <c r="BK154" s="40">
        <f>BK153*(1-IF(B153&gt;=in_marketplace_from,d_hz_fd*G153,0))</f>
        <v/>
      </c>
      <c r="BL154" s="14">
        <f>F154*BK154*IF(B154&gt;=in_marketplace_from,d_hz_fd*G154,0)*in_fd_ticket*in_fd_comm</f>
        <v/>
      </c>
      <c r="BM154" s="40">
        <f>BM153*(1-IF(B153&gt;=in_marketplace_from,d_hz_recharge*G153,0))</f>
        <v/>
      </c>
      <c r="BN154" s="40">
        <f>BN153*d_rho_recharge+BM154*IF(B154&gt;=in_marketplace_from,d_hz_recharge*G154,0)</f>
        <v/>
      </c>
      <c r="BO154" s="14">
        <f>F154*BN154*in_recharge_ticket*in_recharge_comm/12</f>
        <v/>
      </c>
      <c r="BP154" s="40">
        <f>BP153*(1-IF(B153&gt;=in_marketplace_from,d_hz_bills*G153,0))</f>
        <v/>
      </c>
      <c r="BQ154" s="40">
        <f>BQ153*d_rho_bills+BP154*IF(B154&gt;=in_marketplace_from,d_hz_bills*G154,0)</f>
        <v/>
      </c>
      <c r="BR154" s="14">
        <f>F154*BQ154*in_bills_ticket*in_bills_comm/12</f>
        <v/>
      </c>
      <c r="BS154" s="40">
        <f>BS153*(1-IF(B153&gt;=in_marketplace_from,d_hz_loan_gold*G153,0))</f>
        <v/>
      </c>
      <c r="BT154" s="14">
        <f>F154*BS154*IF(B154&gt;=in_marketplace_from,d_hz_loan_gold*G154,0)*in_loan_gold_ticket*in_loan_gold_comm</f>
        <v/>
      </c>
      <c r="BU154" s="40">
        <f>BU153*(1-IF(B153&gt;=in_marketplace_from,d_hz_loan_cd*G153,0))</f>
        <v/>
      </c>
      <c r="BV154" s="14">
        <f>F154*BU154*IF(B154&gt;=in_marketplace_from,d_hz_loan_cd*G154,0)*in_loan_cd_ticket*in_loan_cd_comm</f>
        <v/>
      </c>
      <c r="BW154" s="40">
        <f>BW153*(1-IF(B153&gt;=in_marketplace_from,d_hz_loan_vehicle*G153,0))</f>
        <v/>
      </c>
      <c r="BX154" s="14">
        <f>F154*BW154*IF(B154&gt;=in_marketplace_from,d_hz_loan_vehicle*G154,0)*in_loan_vehicle_ticket*in_loan_vehicle_comm</f>
        <v/>
      </c>
      <c r="BY154" s="40">
        <f>BY153*(1-IF(B153&gt;=in_marketplace_from,d_hz_loan_home*G153,0)*BZ153)</f>
        <v/>
      </c>
      <c r="BZ154" s="11">
        <f>MIN(in_approval_cap,in_loan_home_approval*INDEX('Age profile'!$O$2:$O$61,B154)*(1+in_approval_growth)^(D154-1))</f>
        <v/>
      </c>
      <c r="CA154" s="14">
        <f>F154*BY154*IF(B154&gt;=in_marketplace_from,d_hz_loan_home*G154,0)*BZ154*in_loan_home_ticket*in_loan_home_comm</f>
        <v/>
      </c>
      <c r="CB154" s="40">
        <f>CB153*(1-IF(B153&gt;=in_marketplace_from,d_hz_loan_lap*G153,0)*CC153)</f>
        <v/>
      </c>
      <c r="CC154" s="11">
        <f>MIN(in_approval_cap,in_loan_lap_approval*INDEX('Age profile'!$O$2:$O$61,B154)*(1+in_approval_growth)^(D154-1))</f>
        <v/>
      </c>
      <c r="CD154" s="14">
        <f>F154*CB154*IF(B154&gt;=in_marketplace_from,d_hz_loan_lap*G154,0)*CC154*in_loan_lap_ticket*in_loan_lap_comm</f>
        <v/>
      </c>
      <c r="CE154" s="14">
        <f>AA154+AB154+AC154+AD154+AG154+AJ154+AM154+AP154+AS154+AU154+AX154+BB154+BE154+BG154+BJ154+BL154+BO154+BR154+BT154+BV154+BX154+CA154+CD154</f>
        <v/>
      </c>
    </row>
    <row r="155">
      <c r="A155" s="39" t="n">
        <v>3</v>
      </c>
      <c r="B155" s="39" t="n">
        <v>35</v>
      </c>
      <c r="C155" s="39">
        <f>A155+B155-1</f>
        <v/>
      </c>
      <c r="D155" s="39">
        <f>INT((C155-1)/12)+1</f>
        <v/>
      </c>
      <c r="E155" s="44">
        <f>INDEX(Monthly!$B$2:$B$61,A155)</f>
        <v/>
      </c>
      <c r="F155" s="44">
        <f>E155*INDEX('Age profile'!$B$2:$B$61,B155)</f>
        <v/>
      </c>
      <c r="G155" s="45">
        <f>MIN(in_takeup_cap,INDEX('Age profile'!$N$2:$N$61,B155)*(1+in_takeup_growth)^(D155-1))</f>
        <v/>
      </c>
      <c r="H155" s="11">
        <f>MIN(in_approval_cap,in_approved_first*INDEX('Age profile'!$O$2:$O$61,B155)*(1+in_approval_growth)^(D155-1))</f>
        <v/>
      </c>
      <c r="I155" s="45">
        <f>G155*MIN(in_takeup_cap,INDEX('Age profile'!$O$2:$O$61,B155)*(1+in_approval_growth)^(D155-1))</f>
        <v/>
      </c>
      <c r="J155" s="40">
        <f>(J154-L154)*F155/F154</f>
        <v/>
      </c>
      <c r="K155" s="40">
        <f>(K154-M154)*F155/F154+SUMIFS(O121:O154,B121:B154,B155-1-d_T)*F155</f>
        <v/>
      </c>
      <c r="L155" s="40">
        <f>IF(B155&gt;=in_marketplace_from,J155*d_hz*G155*in_eligible*H155,0)</f>
        <v/>
      </c>
      <c r="M155" s="40">
        <f>IF(B155&gt;=in_marketplace_from,K155*d_hz*G155*in_eligible*in_approved_repeat,0)</f>
        <v/>
      </c>
      <c r="N155" s="40">
        <f>L155+M155</f>
        <v/>
      </c>
      <c r="O155" s="46">
        <f>N155/F155</f>
        <v/>
      </c>
      <c r="P155" s="40">
        <f>F155-J155-K155</f>
        <v/>
      </c>
      <c r="Q155" s="40">
        <f>IF(B155&gt;=in_marketplace_from,(J155+K155)*d_hz*G155,0)</f>
        <v/>
      </c>
      <c r="R155" s="40">
        <f>SUMIFS(N121:N178,B121:B178,"&gt;="&amp;(B155-d_T),B121:B178,"&lt;="&amp;(B155-1))</f>
        <v/>
      </c>
      <c r="S155" s="46">
        <f>(1-d_u)*S154+IF(d_T&gt;in_topup_lag,SUMIFS(O121:O178,B121:B178,B155-in_topup_lag)-d_udrop*SUMIFS(O121:O178,B121:B178,B155-d_T),0)</f>
        <v/>
      </c>
      <c r="T155" s="40">
        <f>F155*d_u*S155</f>
        <v/>
      </c>
      <c r="U155" s="9">
        <f>L155*in_ticket+M155*d_rep_ticket</f>
        <v/>
      </c>
      <c r="V155" s="9">
        <f>U155+T155*d_topup_amt</f>
        <v/>
      </c>
      <c r="W155" s="40">
        <f>N155+T155*d_topup_ratio</f>
        <v/>
      </c>
      <c r="X155" s="40">
        <f>SUMIFS(W121:W178,B121:B178,B155-in_dpd_lag)*d_cured</f>
        <v/>
      </c>
      <c r="Y155" s="40">
        <f>SUMIFS(W121:W178,B121:B178,B155-in_rec_lag)*d_recd</f>
        <v/>
      </c>
      <c r="Z155" s="40">
        <f>IF(AND(B155&gt;=in_marketplace_from,B155&lt;in_marketplace_from+in_card_months),in_card_share/in_card_months*F155*I155,IF(AND(B155&gt;=in_marketplace_from+in_card_months,B155&lt;in_marketplace_from+2*in_card_months),in_card_share*d_card_rem/in_card_months*F155*MIN(in_takeup_cap,(1+in_takeup_growth)^(D155-1))*MIN(in_takeup_cap,(1+in_approval_growth)^(D155-1)),0))</f>
        <v/>
      </c>
      <c r="AA155" s="14">
        <f>V155*in_fee*(1-in_taken_back)</f>
        <v/>
      </c>
      <c r="AB155" s="14">
        <f>SUMIFS(W121:W178,B121:B178,B155-in_dpd_lag)*d_dpd</f>
        <v/>
      </c>
      <c r="AC155" s="14">
        <f>SUMIFS(W121:W178,B121:B178,B155-in_rec_lag)*d_rec</f>
        <v/>
      </c>
      <c r="AD155" s="14">
        <f>Z155*in_card_fee</f>
        <v/>
      </c>
      <c r="AE155" s="40">
        <f>AE154*(1-IF(B154&gt;=in_marketplace_from,d_hz_hlth_small*G154,0))</f>
        <v/>
      </c>
      <c r="AF155" s="46">
        <f>AE155*IF(B155&gt;=in_marketplace_from,d_hz_hlth_small*G155,0)</f>
        <v/>
      </c>
      <c r="AG155" s="14">
        <f>F155*AF155*in_hlth_small_ticket*in_hlth_small_comm*in_ins_partner_share+F155*in_hlth_small_ticket*in_hlth_small_renew_comm*in_ins_partner_share*(in_hlth_small_renew^1*SUMIFS(AF121:AF178,B121:B178,B155-12)+in_hlth_small_renew^2*SUMIFS(AF121:AF178,B121:B178,B155-24)+in_hlth_small_renew^3*SUMIFS(AF121:AF178,B121:B178,B155-36)+in_hlth_small_renew^4*SUMIFS(AF121:AF178,B121:B178,B155-48))</f>
        <v/>
      </c>
      <c r="AH155" s="40">
        <f>AH154*(1-IF(B154&gt;=in_marketplace_from,d_hz_hlth_family*G154,0))</f>
        <v/>
      </c>
      <c r="AI155" s="46">
        <f>AH155*IF(B155&gt;=in_marketplace_from,d_hz_hlth_family*G155,0)</f>
        <v/>
      </c>
      <c r="AJ155" s="14">
        <f>F155*AI155*in_hlth_family_ticket*in_hlth_family_comm*in_ins_partner_share+F155*in_hlth_family_ticket*in_hlth_family_renew_comm*in_ins_partner_share*(in_hlth_family_renew^1*SUMIFS(AI121:AI178,B121:B178,B155-12)+in_hlth_family_renew^2*SUMIFS(AI121:AI178,B121:B178,B155-24)+in_hlth_family_renew^3*SUMIFS(AI121:AI178,B121:B178,B155-36)+in_hlth_family_renew^4*SUMIFS(AI121:AI178,B121:B178,B155-48))</f>
        <v/>
      </c>
      <c r="AK155" s="40">
        <f>AK154*(1-IF(B154&gt;=in_marketplace_from,d_hz_life_term*G154,0))</f>
        <v/>
      </c>
      <c r="AL155" s="46">
        <f>AK155*IF(B155&gt;=in_marketplace_from,d_hz_life_term*G155,0)</f>
        <v/>
      </c>
      <c r="AM155" s="14">
        <f>F155*AL155*in_life_term_ticket*in_life_term_comm*in_ins_partner_share+F155*in_life_term_ticket*in_life_term_renew_comm*in_ins_partner_share*(in_life_term_renew^1*SUMIFS(AL121:AL178,B121:B178,B155-12)+in_life_term_renew^2*SUMIFS(AL121:AL178,B121:B178,B155-24)+in_life_term_renew^3*SUMIFS(AL121:AL178,B121:B178,B155-36)+in_life_term_renew^4*SUMIFS(AL121:AL178,B121:B178,B155-48))</f>
        <v/>
      </c>
      <c r="AN155" s="40">
        <f>AN154*(1-IF(B154&gt;=in_marketplace_from,d_hz_accident*G154,0))</f>
        <v/>
      </c>
      <c r="AO155" s="46">
        <f>AN155*IF(B155&gt;=in_marketplace_from,d_hz_accident*G155,0)</f>
        <v/>
      </c>
      <c r="AP155" s="14">
        <f>F155*AO155*in_accident_ticket*in_accident_comm*in_ins_partner_share+F155*in_accident_ticket*in_accident_renew_comm*in_ins_partner_share*(in_accident_renew^1*SUMIFS(AO121:AO178,B121:B178,B155-12)+in_accident_renew^2*SUMIFS(AO121:AO178,B121:B178,B155-24)+in_accident_renew^3*SUMIFS(AO121:AO178,B121:B178,B155-36)+in_accident_renew^4*SUMIFS(AO121:AO178,B121:B178,B155-48))</f>
        <v/>
      </c>
      <c r="AQ155" s="40">
        <f>AQ154*(1-IF(B154&gt;=in_marketplace_from,d_hz_two_wheeler*G154,0))</f>
        <v/>
      </c>
      <c r="AR155" s="46">
        <f>AQ155*IF(B155&gt;=in_marketplace_from,d_hz_two_wheeler*G155,0)</f>
        <v/>
      </c>
      <c r="AS155" s="14">
        <f>F155*AR155*in_two_wheeler_ticket*in_two_wheeler_comm*in_ins_partner_share+F155*in_two_wheeler_ticket*in_two_wheeler_comm*in_ins_partner_share*(in_two_wheeler_renew^1*SUMIFS(AR121:AR178,B121:B178,B155-12)+in_two_wheeler_renew^2*SUMIFS(AR121:AR178,B121:B178,B155-24)+in_two_wheeler_renew^3*SUMIFS(AR121:AR178,B121:B178,B155-36)+in_two_wheeler_renew^4*SUMIFS(AR121:AR178,B121:B178,B155-48))</f>
        <v/>
      </c>
      <c r="AT155" s="40">
        <f>AT154*(1-IF(B154&gt;=in_marketplace_from,d_hz_device*G154,0))</f>
        <v/>
      </c>
      <c r="AU155" s="14">
        <f>F155*AT155*IF(B155&gt;=in_marketplace_from,d_hz_device*G155,0)*in_device_ticket*in_device_comm*in_ins_partner_share</f>
        <v/>
      </c>
      <c r="AV155" s="40">
        <f>AV154*(1-IF(B154&gt;=in_marketplace_from,d_hz_shop*G154,0))</f>
        <v/>
      </c>
      <c r="AW155" s="46">
        <f>AV155*IF(B155&gt;=in_marketplace_from,d_hz_shop*G155,0)</f>
        <v/>
      </c>
      <c r="AX155" s="14">
        <f>F155*AW155*in_shop_ticket*in_shop_comm*in_ins_partner_share+F155*in_shop_ticket*in_shop_renew_comm*in_ins_partner_share*(in_shop_renew^1*SUMIFS(AW121:AW178,B121:B178,B155-12)+in_shop_renew^2*SUMIFS(AW121:AW178,B121:B178,B155-24)+in_shop_renew^3*SUMIFS(AW121:AW178,B121:B178,B155-36)+in_shop_renew^4*SUMIFS(AW121:AW178,B121:B178,B155-48))</f>
        <v/>
      </c>
      <c r="AY155" s="40">
        <f>AY154*(1-IF(B154&gt;=in_marketplace_from,d_hz_sip*G154,0))</f>
        <v/>
      </c>
      <c r="AZ155" s="40">
        <f>AZ154*d_rho_sip+AY155*IF(B155&gt;=in_marketplace_from,d_hz_sip*G155,0)</f>
        <v/>
      </c>
      <c r="BA155" s="40">
        <f>d_rho_sip*(BA154+AZ154)</f>
        <v/>
      </c>
      <c r="BB155" s="14">
        <f>F155*in_sip_ticket*(BA155+0.5*AZ155)*in_sip_comm/12</f>
        <v/>
      </c>
      <c r="BC155" s="40">
        <f>BC154*(1-IF(B154&gt;=in_marketplace_from,d_hz_choti*G154,0))</f>
        <v/>
      </c>
      <c r="BD155" s="46">
        <f>BC155*IF(B155&gt;=in_marketplace_from,d_hz_choti*G155,0)</f>
        <v/>
      </c>
      <c r="BE155" s="14">
        <f>F155*SUMIFS(BD121:BD178,B121:B178,B155-in_choti_months)*in_choti_renew*in_choti_ticket</f>
        <v/>
      </c>
      <c r="BF155" s="40">
        <f>BF154*(1-IF(B154&gt;=in_marketplace_from,d_hz_nps*G154,0))</f>
        <v/>
      </c>
      <c r="BG155" s="14">
        <f>F155*BF155*IF(B155&gt;=in_marketplace_from,d_hz_nps*G155,0)*in_nps_ticket*in_nps_comm</f>
        <v/>
      </c>
      <c r="BH155" s="40">
        <f>BH154*(1-IF(B154&gt;=in_marketplace_from,d_hz_gold*G154,0))</f>
        <v/>
      </c>
      <c r="BI155" s="40">
        <f>BI154*d_rho_gold+BH155*IF(B155&gt;=in_marketplace_from,d_hz_gold*G155,0)</f>
        <v/>
      </c>
      <c r="BJ155" s="14">
        <f>F155*BI155*in_gold_ticket*in_gold_comm</f>
        <v/>
      </c>
      <c r="BK155" s="40">
        <f>BK154*(1-IF(B154&gt;=in_marketplace_from,d_hz_fd*G154,0))</f>
        <v/>
      </c>
      <c r="BL155" s="14">
        <f>F155*BK155*IF(B155&gt;=in_marketplace_from,d_hz_fd*G155,0)*in_fd_ticket*in_fd_comm</f>
        <v/>
      </c>
      <c r="BM155" s="40">
        <f>BM154*(1-IF(B154&gt;=in_marketplace_from,d_hz_recharge*G154,0))</f>
        <v/>
      </c>
      <c r="BN155" s="40">
        <f>BN154*d_rho_recharge+BM155*IF(B155&gt;=in_marketplace_from,d_hz_recharge*G155,0)</f>
        <v/>
      </c>
      <c r="BO155" s="14">
        <f>F155*BN155*in_recharge_ticket*in_recharge_comm/12</f>
        <v/>
      </c>
      <c r="BP155" s="40">
        <f>BP154*(1-IF(B154&gt;=in_marketplace_from,d_hz_bills*G154,0))</f>
        <v/>
      </c>
      <c r="BQ155" s="40">
        <f>BQ154*d_rho_bills+BP155*IF(B155&gt;=in_marketplace_from,d_hz_bills*G155,0)</f>
        <v/>
      </c>
      <c r="BR155" s="14">
        <f>F155*BQ155*in_bills_ticket*in_bills_comm/12</f>
        <v/>
      </c>
      <c r="BS155" s="40">
        <f>BS154*(1-IF(B154&gt;=in_marketplace_from,d_hz_loan_gold*G154,0))</f>
        <v/>
      </c>
      <c r="BT155" s="14">
        <f>F155*BS155*IF(B155&gt;=in_marketplace_from,d_hz_loan_gold*G155,0)*in_loan_gold_ticket*in_loan_gold_comm</f>
        <v/>
      </c>
      <c r="BU155" s="40">
        <f>BU154*(1-IF(B154&gt;=in_marketplace_from,d_hz_loan_cd*G154,0))</f>
        <v/>
      </c>
      <c r="BV155" s="14">
        <f>F155*BU155*IF(B155&gt;=in_marketplace_from,d_hz_loan_cd*G155,0)*in_loan_cd_ticket*in_loan_cd_comm</f>
        <v/>
      </c>
      <c r="BW155" s="40">
        <f>BW154*(1-IF(B154&gt;=in_marketplace_from,d_hz_loan_vehicle*G154,0))</f>
        <v/>
      </c>
      <c r="BX155" s="14">
        <f>F155*BW155*IF(B155&gt;=in_marketplace_from,d_hz_loan_vehicle*G155,0)*in_loan_vehicle_ticket*in_loan_vehicle_comm</f>
        <v/>
      </c>
      <c r="BY155" s="40">
        <f>BY154*(1-IF(B154&gt;=in_marketplace_from,d_hz_loan_home*G154,0)*BZ154)</f>
        <v/>
      </c>
      <c r="BZ155" s="11">
        <f>MIN(in_approval_cap,in_loan_home_approval*INDEX('Age profile'!$O$2:$O$61,B155)*(1+in_approval_growth)^(D155-1))</f>
        <v/>
      </c>
      <c r="CA155" s="14">
        <f>F155*BY155*IF(B155&gt;=in_marketplace_from,d_hz_loan_home*G155,0)*BZ155*in_loan_home_ticket*in_loan_home_comm</f>
        <v/>
      </c>
      <c r="CB155" s="40">
        <f>CB154*(1-IF(B154&gt;=in_marketplace_from,d_hz_loan_lap*G154,0)*CC154)</f>
        <v/>
      </c>
      <c r="CC155" s="11">
        <f>MIN(in_approval_cap,in_loan_lap_approval*INDEX('Age profile'!$O$2:$O$61,B155)*(1+in_approval_growth)^(D155-1))</f>
        <v/>
      </c>
      <c r="CD155" s="14">
        <f>F155*CB155*IF(B155&gt;=in_marketplace_from,d_hz_loan_lap*G155,0)*CC155*in_loan_lap_ticket*in_loan_lap_comm</f>
        <v/>
      </c>
      <c r="CE155" s="14">
        <f>AA155+AB155+AC155+AD155+AG155+AJ155+AM155+AP155+AS155+AU155+AX155+BB155+BE155+BG155+BJ155+BL155+BO155+BR155+BT155+BV155+BX155+CA155+CD155</f>
        <v/>
      </c>
    </row>
    <row r="156">
      <c r="A156" s="39" t="n">
        <v>3</v>
      </c>
      <c r="B156" s="39" t="n">
        <v>36</v>
      </c>
      <c r="C156" s="39">
        <f>A156+B156-1</f>
        <v/>
      </c>
      <c r="D156" s="39">
        <f>INT((C156-1)/12)+1</f>
        <v/>
      </c>
      <c r="E156" s="44">
        <f>INDEX(Monthly!$B$2:$B$61,A156)</f>
        <v/>
      </c>
      <c r="F156" s="44">
        <f>E156*INDEX('Age profile'!$B$2:$B$61,B156)</f>
        <v/>
      </c>
      <c r="G156" s="45">
        <f>MIN(in_takeup_cap,INDEX('Age profile'!$N$2:$N$61,B156)*(1+in_takeup_growth)^(D156-1))</f>
        <v/>
      </c>
      <c r="H156" s="11">
        <f>MIN(in_approval_cap,in_approved_first*INDEX('Age profile'!$O$2:$O$61,B156)*(1+in_approval_growth)^(D156-1))</f>
        <v/>
      </c>
      <c r="I156" s="45">
        <f>G156*MIN(in_takeup_cap,INDEX('Age profile'!$O$2:$O$61,B156)*(1+in_approval_growth)^(D156-1))</f>
        <v/>
      </c>
      <c r="J156" s="40">
        <f>(J155-L155)*F156/F155</f>
        <v/>
      </c>
      <c r="K156" s="40">
        <f>(K155-M155)*F156/F155+SUMIFS(O121:O155,B121:B155,B156-1-d_T)*F156</f>
        <v/>
      </c>
      <c r="L156" s="40">
        <f>IF(B156&gt;=in_marketplace_from,J156*d_hz*G156*in_eligible*H156,0)</f>
        <v/>
      </c>
      <c r="M156" s="40">
        <f>IF(B156&gt;=in_marketplace_from,K156*d_hz*G156*in_eligible*in_approved_repeat,0)</f>
        <v/>
      </c>
      <c r="N156" s="40">
        <f>L156+M156</f>
        <v/>
      </c>
      <c r="O156" s="46">
        <f>N156/F156</f>
        <v/>
      </c>
      <c r="P156" s="40">
        <f>F156-J156-K156</f>
        <v/>
      </c>
      <c r="Q156" s="40">
        <f>IF(B156&gt;=in_marketplace_from,(J156+K156)*d_hz*G156,0)</f>
        <v/>
      </c>
      <c r="R156" s="40">
        <f>SUMIFS(N121:N178,B121:B178,"&gt;="&amp;(B156-d_T),B121:B178,"&lt;="&amp;(B156-1))</f>
        <v/>
      </c>
      <c r="S156" s="46">
        <f>(1-d_u)*S155+IF(d_T&gt;in_topup_lag,SUMIFS(O121:O178,B121:B178,B156-in_topup_lag)-d_udrop*SUMIFS(O121:O178,B121:B178,B156-d_T),0)</f>
        <v/>
      </c>
      <c r="T156" s="40">
        <f>F156*d_u*S156</f>
        <v/>
      </c>
      <c r="U156" s="9">
        <f>L156*in_ticket+M156*d_rep_ticket</f>
        <v/>
      </c>
      <c r="V156" s="9">
        <f>U156+T156*d_topup_amt</f>
        <v/>
      </c>
      <c r="W156" s="40">
        <f>N156+T156*d_topup_ratio</f>
        <v/>
      </c>
      <c r="X156" s="40">
        <f>SUMIFS(W121:W178,B121:B178,B156-in_dpd_lag)*d_cured</f>
        <v/>
      </c>
      <c r="Y156" s="40">
        <f>SUMIFS(W121:W178,B121:B178,B156-in_rec_lag)*d_recd</f>
        <v/>
      </c>
      <c r="Z156" s="40">
        <f>IF(AND(B156&gt;=in_marketplace_from,B156&lt;in_marketplace_from+in_card_months),in_card_share/in_card_months*F156*I156,IF(AND(B156&gt;=in_marketplace_from+in_card_months,B156&lt;in_marketplace_from+2*in_card_months),in_card_share*d_card_rem/in_card_months*F156*MIN(in_takeup_cap,(1+in_takeup_growth)^(D156-1))*MIN(in_takeup_cap,(1+in_approval_growth)^(D156-1)),0))</f>
        <v/>
      </c>
      <c r="AA156" s="14">
        <f>V156*in_fee*(1-in_taken_back)</f>
        <v/>
      </c>
      <c r="AB156" s="14">
        <f>SUMIFS(W121:W178,B121:B178,B156-in_dpd_lag)*d_dpd</f>
        <v/>
      </c>
      <c r="AC156" s="14">
        <f>SUMIFS(W121:W178,B121:B178,B156-in_rec_lag)*d_rec</f>
        <v/>
      </c>
      <c r="AD156" s="14">
        <f>Z156*in_card_fee</f>
        <v/>
      </c>
      <c r="AE156" s="40">
        <f>AE155*(1-IF(B155&gt;=in_marketplace_from,d_hz_hlth_small*G155,0))</f>
        <v/>
      </c>
      <c r="AF156" s="46">
        <f>AE156*IF(B156&gt;=in_marketplace_from,d_hz_hlth_small*G156,0)</f>
        <v/>
      </c>
      <c r="AG156" s="14">
        <f>F156*AF156*in_hlth_small_ticket*in_hlth_small_comm*in_ins_partner_share+F156*in_hlth_small_ticket*in_hlth_small_renew_comm*in_ins_partner_share*(in_hlth_small_renew^1*SUMIFS(AF121:AF178,B121:B178,B156-12)+in_hlth_small_renew^2*SUMIFS(AF121:AF178,B121:B178,B156-24)+in_hlth_small_renew^3*SUMIFS(AF121:AF178,B121:B178,B156-36)+in_hlth_small_renew^4*SUMIFS(AF121:AF178,B121:B178,B156-48))</f>
        <v/>
      </c>
      <c r="AH156" s="40">
        <f>AH155*(1-IF(B155&gt;=in_marketplace_from,d_hz_hlth_family*G155,0))</f>
        <v/>
      </c>
      <c r="AI156" s="46">
        <f>AH156*IF(B156&gt;=in_marketplace_from,d_hz_hlth_family*G156,0)</f>
        <v/>
      </c>
      <c r="AJ156" s="14">
        <f>F156*AI156*in_hlth_family_ticket*in_hlth_family_comm*in_ins_partner_share+F156*in_hlth_family_ticket*in_hlth_family_renew_comm*in_ins_partner_share*(in_hlth_family_renew^1*SUMIFS(AI121:AI178,B121:B178,B156-12)+in_hlth_family_renew^2*SUMIFS(AI121:AI178,B121:B178,B156-24)+in_hlth_family_renew^3*SUMIFS(AI121:AI178,B121:B178,B156-36)+in_hlth_family_renew^4*SUMIFS(AI121:AI178,B121:B178,B156-48))</f>
        <v/>
      </c>
      <c r="AK156" s="40">
        <f>AK155*(1-IF(B155&gt;=in_marketplace_from,d_hz_life_term*G155,0))</f>
        <v/>
      </c>
      <c r="AL156" s="46">
        <f>AK156*IF(B156&gt;=in_marketplace_from,d_hz_life_term*G156,0)</f>
        <v/>
      </c>
      <c r="AM156" s="14">
        <f>F156*AL156*in_life_term_ticket*in_life_term_comm*in_ins_partner_share+F156*in_life_term_ticket*in_life_term_renew_comm*in_ins_partner_share*(in_life_term_renew^1*SUMIFS(AL121:AL178,B121:B178,B156-12)+in_life_term_renew^2*SUMIFS(AL121:AL178,B121:B178,B156-24)+in_life_term_renew^3*SUMIFS(AL121:AL178,B121:B178,B156-36)+in_life_term_renew^4*SUMIFS(AL121:AL178,B121:B178,B156-48))</f>
        <v/>
      </c>
      <c r="AN156" s="40">
        <f>AN155*(1-IF(B155&gt;=in_marketplace_from,d_hz_accident*G155,0))</f>
        <v/>
      </c>
      <c r="AO156" s="46">
        <f>AN156*IF(B156&gt;=in_marketplace_from,d_hz_accident*G156,0)</f>
        <v/>
      </c>
      <c r="AP156" s="14">
        <f>F156*AO156*in_accident_ticket*in_accident_comm*in_ins_partner_share+F156*in_accident_ticket*in_accident_renew_comm*in_ins_partner_share*(in_accident_renew^1*SUMIFS(AO121:AO178,B121:B178,B156-12)+in_accident_renew^2*SUMIFS(AO121:AO178,B121:B178,B156-24)+in_accident_renew^3*SUMIFS(AO121:AO178,B121:B178,B156-36)+in_accident_renew^4*SUMIFS(AO121:AO178,B121:B178,B156-48))</f>
        <v/>
      </c>
      <c r="AQ156" s="40">
        <f>AQ155*(1-IF(B155&gt;=in_marketplace_from,d_hz_two_wheeler*G155,0))</f>
        <v/>
      </c>
      <c r="AR156" s="46">
        <f>AQ156*IF(B156&gt;=in_marketplace_from,d_hz_two_wheeler*G156,0)</f>
        <v/>
      </c>
      <c r="AS156" s="14">
        <f>F156*AR156*in_two_wheeler_ticket*in_two_wheeler_comm*in_ins_partner_share+F156*in_two_wheeler_ticket*in_two_wheeler_comm*in_ins_partner_share*(in_two_wheeler_renew^1*SUMIFS(AR121:AR178,B121:B178,B156-12)+in_two_wheeler_renew^2*SUMIFS(AR121:AR178,B121:B178,B156-24)+in_two_wheeler_renew^3*SUMIFS(AR121:AR178,B121:B178,B156-36)+in_two_wheeler_renew^4*SUMIFS(AR121:AR178,B121:B178,B156-48))</f>
        <v/>
      </c>
      <c r="AT156" s="40">
        <f>AT155*(1-IF(B155&gt;=in_marketplace_from,d_hz_device*G155,0))</f>
        <v/>
      </c>
      <c r="AU156" s="14">
        <f>F156*AT156*IF(B156&gt;=in_marketplace_from,d_hz_device*G156,0)*in_device_ticket*in_device_comm*in_ins_partner_share</f>
        <v/>
      </c>
      <c r="AV156" s="40">
        <f>AV155*(1-IF(B155&gt;=in_marketplace_from,d_hz_shop*G155,0))</f>
        <v/>
      </c>
      <c r="AW156" s="46">
        <f>AV156*IF(B156&gt;=in_marketplace_from,d_hz_shop*G156,0)</f>
        <v/>
      </c>
      <c r="AX156" s="14">
        <f>F156*AW156*in_shop_ticket*in_shop_comm*in_ins_partner_share+F156*in_shop_ticket*in_shop_renew_comm*in_ins_partner_share*(in_shop_renew^1*SUMIFS(AW121:AW178,B121:B178,B156-12)+in_shop_renew^2*SUMIFS(AW121:AW178,B121:B178,B156-24)+in_shop_renew^3*SUMIFS(AW121:AW178,B121:B178,B156-36)+in_shop_renew^4*SUMIFS(AW121:AW178,B121:B178,B156-48))</f>
        <v/>
      </c>
      <c r="AY156" s="40">
        <f>AY155*(1-IF(B155&gt;=in_marketplace_from,d_hz_sip*G155,0))</f>
        <v/>
      </c>
      <c r="AZ156" s="40">
        <f>AZ155*d_rho_sip+AY156*IF(B156&gt;=in_marketplace_from,d_hz_sip*G156,0)</f>
        <v/>
      </c>
      <c r="BA156" s="40">
        <f>d_rho_sip*(BA155+AZ155)</f>
        <v/>
      </c>
      <c r="BB156" s="14">
        <f>F156*in_sip_ticket*(BA156+0.5*AZ156)*in_sip_comm/12</f>
        <v/>
      </c>
      <c r="BC156" s="40">
        <f>BC155*(1-IF(B155&gt;=in_marketplace_from,d_hz_choti*G155,0))</f>
        <v/>
      </c>
      <c r="BD156" s="46">
        <f>BC156*IF(B156&gt;=in_marketplace_from,d_hz_choti*G156,0)</f>
        <v/>
      </c>
      <c r="BE156" s="14">
        <f>F156*SUMIFS(BD121:BD178,B121:B178,B156-in_choti_months)*in_choti_renew*in_choti_ticket</f>
        <v/>
      </c>
      <c r="BF156" s="40">
        <f>BF155*(1-IF(B155&gt;=in_marketplace_from,d_hz_nps*G155,0))</f>
        <v/>
      </c>
      <c r="BG156" s="14">
        <f>F156*BF156*IF(B156&gt;=in_marketplace_from,d_hz_nps*G156,0)*in_nps_ticket*in_nps_comm</f>
        <v/>
      </c>
      <c r="BH156" s="40">
        <f>BH155*(1-IF(B155&gt;=in_marketplace_from,d_hz_gold*G155,0))</f>
        <v/>
      </c>
      <c r="BI156" s="40">
        <f>BI155*d_rho_gold+BH156*IF(B156&gt;=in_marketplace_from,d_hz_gold*G156,0)</f>
        <v/>
      </c>
      <c r="BJ156" s="14">
        <f>F156*BI156*in_gold_ticket*in_gold_comm</f>
        <v/>
      </c>
      <c r="BK156" s="40">
        <f>BK155*(1-IF(B155&gt;=in_marketplace_from,d_hz_fd*G155,0))</f>
        <v/>
      </c>
      <c r="BL156" s="14">
        <f>F156*BK156*IF(B156&gt;=in_marketplace_from,d_hz_fd*G156,0)*in_fd_ticket*in_fd_comm</f>
        <v/>
      </c>
      <c r="BM156" s="40">
        <f>BM155*(1-IF(B155&gt;=in_marketplace_from,d_hz_recharge*G155,0))</f>
        <v/>
      </c>
      <c r="BN156" s="40">
        <f>BN155*d_rho_recharge+BM156*IF(B156&gt;=in_marketplace_from,d_hz_recharge*G156,0)</f>
        <v/>
      </c>
      <c r="BO156" s="14">
        <f>F156*BN156*in_recharge_ticket*in_recharge_comm/12</f>
        <v/>
      </c>
      <c r="BP156" s="40">
        <f>BP155*(1-IF(B155&gt;=in_marketplace_from,d_hz_bills*G155,0))</f>
        <v/>
      </c>
      <c r="BQ156" s="40">
        <f>BQ155*d_rho_bills+BP156*IF(B156&gt;=in_marketplace_from,d_hz_bills*G156,0)</f>
        <v/>
      </c>
      <c r="BR156" s="14">
        <f>F156*BQ156*in_bills_ticket*in_bills_comm/12</f>
        <v/>
      </c>
      <c r="BS156" s="40">
        <f>BS155*(1-IF(B155&gt;=in_marketplace_from,d_hz_loan_gold*G155,0))</f>
        <v/>
      </c>
      <c r="BT156" s="14">
        <f>F156*BS156*IF(B156&gt;=in_marketplace_from,d_hz_loan_gold*G156,0)*in_loan_gold_ticket*in_loan_gold_comm</f>
        <v/>
      </c>
      <c r="BU156" s="40">
        <f>BU155*(1-IF(B155&gt;=in_marketplace_from,d_hz_loan_cd*G155,0))</f>
        <v/>
      </c>
      <c r="BV156" s="14">
        <f>F156*BU156*IF(B156&gt;=in_marketplace_from,d_hz_loan_cd*G156,0)*in_loan_cd_ticket*in_loan_cd_comm</f>
        <v/>
      </c>
      <c r="BW156" s="40">
        <f>BW155*(1-IF(B155&gt;=in_marketplace_from,d_hz_loan_vehicle*G155,0))</f>
        <v/>
      </c>
      <c r="BX156" s="14">
        <f>F156*BW156*IF(B156&gt;=in_marketplace_from,d_hz_loan_vehicle*G156,0)*in_loan_vehicle_ticket*in_loan_vehicle_comm</f>
        <v/>
      </c>
      <c r="BY156" s="40">
        <f>BY155*(1-IF(B155&gt;=in_marketplace_from,d_hz_loan_home*G155,0)*BZ155)</f>
        <v/>
      </c>
      <c r="BZ156" s="11">
        <f>MIN(in_approval_cap,in_loan_home_approval*INDEX('Age profile'!$O$2:$O$61,B156)*(1+in_approval_growth)^(D156-1))</f>
        <v/>
      </c>
      <c r="CA156" s="14">
        <f>F156*BY156*IF(B156&gt;=in_marketplace_from,d_hz_loan_home*G156,0)*BZ156*in_loan_home_ticket*in_loan_home_comm</f>
        <v/>
      </c>
      <c r="CB156" s="40">
        <f>CB155*(1-IF(B155&gt;=in_marketplace_from,d_hz_loan_lap*G155,0)*CC155)</f>
        <v/>
      </c>
      <c r="CC156" s="11">
        <f>MIN(in_approval_cap,in_loan_lap_approval*INDEX('Age profile'!$O$2:$O$61,B156)*(1+in_approval_growth)^(D156-1))</f>
        <v/>
      </c>
      <c r="CD156" s="14">
        <f>F156*CB156*IF(B156&gt;=in_marketplace_from,d_hz_loan_lap*G156,0)*CC156*in_loan_lap_ticket*in_loan_lap_comm</f>
        <v/>
      </c>
      <c r="CE156" s="14">
        <f>AA156+AB156+AC156+AD156+AG156+AJ156+AM156+AP156+AS156+AU156+AX156+BB156+BE156+BG156+BJ156+BL156+BO156+BR156+BT156+BV156+BX156+CA156+CD156</f>
        <v/>
      </c>
    </row>
    <row r="157">
      <c r="A157" s="39" t="n">
        <v>3</v>
      </c>
      <c r="B157" s="39" t="n">
        <v>37</v>
      </c>
      <c r="C157" s="39">
        <f>A157+B157-1</f>
        <v/>
      </c>
      <c r="D157" s="39">
        <f>INT((C157-1)/12)+1</f>
        <v/>
      </c>
      <c r="E157" s="44">
        <f>INDEX(Monthly!$B$2:$B$61,A157)</f>
        <v/>
      </c>
      <c r="F157" s="44">
        <f>E157*INDEX('Age profile'!$B$2:$B$61,B157)</f>
        <v/>
      </c>
      <c r="G157" s="45">
        <f>MIN(in_takeup_cap,INDEX('Age profile'!$N$2:$N$61,B157)*(1+in_takeup_growth)^(D157-1))</f>
        <v/>
      </c>
      <c r="H157" s="11">
        <f>MIN(in_approval_cap,in_approved_first*INDEX('Age profile'!$O$2:$O$61,B157)*(1+in_approval_growth)^(D157-1))</f>
        <v/>
      </c>
      <c r="I157" s="45">
        <f>G157*MIN(in_takeup_cap,INDEX('Age profile'!$O$2:$O$61,B157)*(1+in_approval_growth)^(D157-1))</f>
        <v/>
      </c>
      <c r="J157" s="40">
        <f>(J156-L156)*F157/F156</f>
        <v/>
      </c>
      <c r="K157" s="40">
        <f>(K156-M156)*F157/F156+SUMIFS(O121:O156,B121:B156,B157-1-d_T)*F157</f>
        <v/>
      </c>
      <c r="L157" s="40">
        <f>IF(B157&gt;=in_marketplace_from,J157*d_hz*G157*in_eligible*H157,0)</f>
        <v/>
      </c>
      <c r="M157" s="40">
        <f>IF(B157&gt;=in_marketplace_from,K157*d_hz*G157*in_eligible*in_approved_repeat,0)</f>
        <v/>
      </c>
      <c r="N157" s="40">
        <f>L157+M157</f>
        <v/>
      </c>
      <c r="O157" s="46">
        <f>N157/F157</f>
        <v/>
      </c>
      <c r="P157" s="40">
        <f>F157-J157-K157</f>
        <v/>
      </c>
      <c r="Q157" s="40">
        <f>IF(B157&gt;=in_marketplace_from,(J157+K157)*d_hz*G157,0)</f>
        <v/>
      </c>
      <c r="R157" s="40">
        <f>SUMIFS(N121:N178,B121:B178,"&gt;="&amp;(B157-d_T),B121:B178,"&lt;="&amp;(B157-1))</f>
        <v/>
      </c>
      <c r="S157" s="46">
        <f>(1-d_u)*S156+IF(d_T&gt;in_topup_lag,SUMIFS(O121:O178,B121:B178,B157-in_topup_lag)-d_udrop*SUMIFS(O121:O178,B121:B178,B157-d_T),0)</f>
        <v/>
      </c>
      <c r="T157" s="40">
        <f>F157*d_u*S157</f>
        <v/>
      </c>
      <c r="U157" s="9">
        <f>L157*in_ticket+M157*d_rep_ticket</f>
        <v/>
      </c>
      <c r="V157" s="9">
        <f>U157+T157*d_topup_amt</f>
        <v/>
      </c>
      <c r="W157" s="40">
        <f>N157+T157*d_topup_ratio</f>
        <v/>
      </c>
      <c r="X157" s="40">
        <f>SUMIFS(W121:W178,B121:B178,B157-in_dpd_lag)*d_cured</f>
        <v/>
      </c>
      <c r="Y157" s="40">
        <f>SUMIFS(W121:W178,B121:B178,B157-in_rec_lag)*d_recd</f>
        <v/>
      </c>
      <c r="Z157" s="40">
        <f>IF(AND(B157&gt;=in_marketplace_from,B157&lt;in_marketplace_from+in_card_months),in_card_share/in_card_months*F157*I157,IF(AND(B157&gt;=in_marketplace_from+in_card_months,B157&lt;in_marketplace_from+2*in_card_months),in_card_share*d_card_rem/in_card_months*F157*MIN(in_takeup_cap,(1+in_takeup_growth)^(D157-1))*MIN(in_takeup_cap,(1+in_approval_growth)^(D157-1)),0))</f>
        <v/>
      </c>
      <c r="AA157" s="14">
        <f>V157*in_fee*(1-in_taken_back)</f>
        <v/>
      </c>
      <c r="AB157" s="14">
        <f>SUMIFS(W121:W178,B121:B178,B157-in_dpd_lag)*d_dpd</f>
        <v/>
      </c>
      <c r="AC157" s="14">
        <f>SUMIFS(W121:W178,B121:B178,B157-in_rec_lag)*d_rec</f>
        <v/>
      </c>
      <c r="AD157" s="14">
        <f>Z157*in_card_fee</f>
        <v/>
      </c>
      <c r="AE157" s="40">
        <f>AE156*(1-IF(B156&gt;=in_marketplace_from,d_hz_hlth_small*G156,0))</f>
        <v/>
      </c>
      <c r="AF157" s="46">
        <f>AE157*IF(B157&gt;=in_marketplace_from,d_hz_hlth_small*G157,0)</f>
        <v/>
      </c>
      <c r="AG157" s="14">
        <f>F157*AF157*in_hlth_small_ticket*in_hlth_small_comm*in_ins_partner_share+F157*in_hlth_small_ticket*in_hlth_small_renew_comm*in_ins_partner_share*(in_hlth_small_renew^1*SUMIFS(AF121:AF178,B121:B178,B157-12)+in_hlth_small_renew^2*SUMIFS(AF121:AF178,B121:B178,B157-24)+in_hlth_small_renew^3*SUMIFS(AF121:AF178,B121:B178,B157-36)+in_hlth_small_renew^4*SUMIFS(AF121:AF178,B121:B178,B157-48))</f>
        <v/>
      </c>
      <c r="AH157" s="40">
        <f>AH156*(1-IF(B156&gt;=in_marketplace_from,d_hz_hlth_family*G156,0))</f>
        <v/>
      </c>
      <c r="AI157" s="46">
        <f>AH157*IF(B157&gt;=in_marketplace_from,d_hz_hlth_family*G157,0)</f>
        <v/>
      </c>
      <c r="AJ157" s="14">
        <f>F157*AI157*in_hlth_family_ticket*in_hlth_family_comm*in_ins_partner_share+F157*in_hlth_family_ticket*in_hlth_family_renew_comm*in_ins_partner_share*(in_hlth_family_renew^1*SUMIFS(AI121:AI178,B121:B178,B157-12)+in_hlth_family_renew^2*SUMIFS(AI121:AI178,B121:B178,B157-24)+in_hlth_family_renew^3*SUMIFS(AI121:AI178,B121:B178,B157-36)+in_hlth_family_renew^4*SUMIFS(AI121:AI178,B121:B178,B157-48))</f>
        <v/>
      </c>
      <c r="AK157" s="40">
        <f>AK156*(1-IF(B156&gt;=in_marketplace_from,d_hz_life_term*G156,0))</f>
        <v/>
      </c>
      <c r="AL157" s="46">
        <f>AK157*IF(B157&gt;=in_marketplace_from,d_hz_life_term*G157,0)</f>
        <v/>
      </c>
      <c r="AM157" s="14">
        <f>F157*AL157*in_life_term_ticket*in_life_term_comm*in_ins_partner_share+F157*in_life_term_ticket*in_life_term_renew_comm*in_ins_partner_share*(in_life_term_renew^1*SUMIFS(AL121:AL178,B121:B178,B157-12)+in_life_term_renew^2*SUMIFS(AL121:AL178,B121:B178,B157-24)+in_life_term_renew^3*SUMIFS(AL121:AL178,B121:B178,B157-36)+in_life_term_renew^4*SUMIFS(AL121:AL178,B121:B178,B157-48))</f>
        <v/>
      </c>
      <c r="AN157" s="40">
        <f>AN156*(1-IF(B156&gt;=in_marketplace_from,d_hz_accident*G156,0))</f>
        <v/>
      </c>
      <c r="AO157" s="46">
        <f>AN157*IF(B157&gt;=in_marketplace_from,d_hz_accident*G157,0)</f>
        <v/>
      </c>
      <c r="AP157" s="14">
        <f>F157*AO157*in_accident_ticket*in_accident_comm*in_ins_partner_share+F157*in_accident_ticket*in_accident_renew_comm*in_ins_partner_share*(in_accident_renew^1*SUMIFS(AO121:AO178,B121:B178,B157-12)+in_accident_renew^2*SUMIFS(AO121:AO178,B121:B178,B157-24)+in_accident_renew^3*SUMIFS(AO121:AO178,B121:B178,B157-36)+in_accident_renew^4*SUMIFS(AO121:AO178,B121:B178,B157-48))</f>
        <v/>
      </c>
      <c r="AQ157" s="40">
        <f>AQ156*(1-IF(B156&gt;=in_marketplace_from,d_hz_two_wheeler*G156,0))</f>
        <v/>
      </c>
      <c r="AR157" s="46">
        <f>AQ157*IF(B157&gt;=in_marketplace_from,d_hz_two_wheeler*G157,0)</f>
        <v/>
      </c>
      <c r="AS157" s="14">
        <f>F157*AR157*in_two_wheeler_ticket*in_two_wheeler_comm*in_ins_partner_share+F157*in_two_wheeler_ticket*in_two_wheeler_comm*in_ins_partner_share*(in_two_wheeler_renew^1*SUMIFS(AR121:AR178,B121:B178,B157-12)+in_two_wheeler_renew^2*SUMIFS(AR121:AR178,B121:B178,B157-24)+in_two_wheeler_renew^3*SUMIFS(AR121:AR178,B121:B178,B157-36)+in_two_wheeler_renew^4*SUMIFS(AR121:AR178,B121:B178,B157-48))</f>
        <v/>
      </c>
      <c r="AT157" s="40">
        <f>AT156*(1-IF(B156&gt;=in_marketplace_from,d_hz_device*G156,0))</f>
        <v/>
      </c>
      <c r="AU157" s="14">
        <f>F157*AT157*IF(B157&gt;=in_marketplace_from,d_hz_device*G157,0)*in_device_ticket*in_device_comm*in_ins_partner_share</f>
        <v/>
      </c>
      <c r="AV157" s="40">
        <f>AV156*(1-IF(B156&gt;=in_marketplace_from,d_hz_shop*G156,0))</f>
        <v/>
      </c>
      <c r="AW157" s="46">
        <f>AV157*IF(B157&gt;=in_marketplace_from,d_hz_shop*G157,0)</f>
        <v/>
      </c>
      <c r="AX157" s="14">
        <f>F157*AW157*in_shop_ticket*in_shop_comm*in_ins_partner_share+F157*in_shop_ticket*in_shop_renew_comm*in_ins_partner_share*(in_shop_renew^1*SUMIFS(AW121:AW178,B121:B178,B157-12)+in_shop_renew^2*SUMIFS(AW121:AW178,B121:B178,B157-24)+in_shop_renew^3*SUMIFS(AW121:AW178,B121:B178,B157-36)+in_shop_renew^4*SUMIFS(AW121:AW178,B121:B178,B157-48))</f>
        <v/>
      </c>
      <c r="AY157" s="40">
        <f>AY156*(1-IF(B156&gt;=in_marketplace_from,d_hz_sip*G156,0))</f>
        <v/>
      </c>
      <c r="AZ157" s="40">
        <f>AZ156*d_rho_sip+AY157*IF(B157&gt;=in_marketplace_from,d_hz_sip*G157,0)</f>
        <v/>
      </c>
      <c r="BA157" s="40">
        <f>d_rho_sip*(BA156+AZ156)</f>
        <v/>
      </c>
      <c r="BB157" s="14">
        <f>F157*in_sip_ticket*(BA157+0.5*AZ157)*in_sip_comm/12</f>
        <v/>
      </c>
      <c r="BC157" s="40">
        <f>BC156*(1-IF(B156&gt;=in_marketplace_from,d_hz_choti*G156,0))</f>
        <v/>
      </c>
      <c r="BD157" s="46">
        <f>BC157*IF(B157&gt;=in_marketplace_from,d_hz_choti*G157,0)</f>
        <v/>
      </c>
      <c r="BE157" s="14">
        <f>F157*SUMIFS(BD121:BD178,B121:B178,B157-in_choti_months)*in_choti_renew*in_choti_ticket</f>
        <v/>
      </c>
      <c r="BF157" s="40">
        <f>BF156*(1-IF(B156&gt;=in_marketplace_from,d_hz_nps*G156,0))</f>
        <v/>
      </c>
      <c r="BG157" s="14">
        <f>F157*BF157*IF(B157&gt;=in_marketplace_from,d_hz_nps*G157,0)*in_nps_ticket*in_nps_comm</f>
        <v/>
      </c>
      <c r="BH157" s="40">
        <f>BH156*(1-IF(B156&gt;=in_marketplace_from,d_hz_gold*G156,0))</f>
        <v/>
      </c>
      <c r="BI157" s="40">
        <f>BI156*d_rho_gold+BH157*IF(B157&gt;=in_marketplace_from,d_hz_gold*G157,0)</f>
        <v/>
      </c>
      <c r="BJ157" s="14">
        <f>F157*BI157*in_gold_ticket*in_gold_comm</f>
        <v/>
      </c>
      <c r="BK157" s="40">
        <f>BK156*(1-IF(B156&gt;=in_marketplace_from,d_hz_fd*G156,0))</f>
        <v/>
      </c>
      <c r="BL157" s="14">
        <f>F157*BK157*IF(B157&gt;=in_marketplace_from,d_hz_fd*G157,0)*in_fd_ticket*in_fd_comm</f>
        <v/>
      </c>
      <c r="BM157" s="40">
        <f>BM156*(1-IF(B156&gt;=in_marketplace_from,d_hz_recharge*G156,0))</f>
        <v/>
      </c>
      <c r="BN157" s="40">
        <f>BN156*d_rho_recharge+BM157*IF(B157&gt;=in_marketplace_from,d_hz_recharge*G157,0)</f>
        <v/>
      </c>
      <c r="BO157" s="14">
        <f>F157*BN157*in_recharge_ticket*in_recharge_comm/12</f>
        <v/>
      </c>
      <c r="BP157" s="40">
        <f>BP156*(1-IF(B156&gt;=in_marketplace_from,d_hz_bills*G156,0))</f>
        <v/>
      </c>
      <c r="BQ157" s="40">
        <f>BQ156*d_rho_bills+BP157*IF(B157&gt;=in_marketplace_from,d_hz_bills*G157,0)</f>
        <v/>
      </c>
      <c r="BR157" s="14">
        <f>F157*BQ157*in_bills_ticket*in_bills_comm/12</f>
        <v/>
      </c>
      <c r="BS157" s="40">
        <f>BS156*(1-IF(B156&gt;=in_marketplace_from,d_hz_loan_gold*G156,0))</f>
        <v/>
      </c>
      <c r="BT157" s="14">
        <f>F157*BS157*IF(B157&gt;=in_marketplace_from,d_hz_loan_gold*G157,0)*in_loan_gold_ticket*in_loan_gold_comm</f>
        <v/>
      </c>
      <c r="BU157" s="40">
        <f>BU156*(1-IF(B156&gt;=in_marketplace_from,d_hz_loan_cd*G156,0))</f>
        <v/>
      </c>
      <c r="BV157" s="14">
        <f>F157*BU157*IF(B157&gt;=in_marketplace_from,d_hz_loan_cd*G157,0)*in_loan_cd_ticket*in_loan_cd_comm</f>
        <v/>
      </c>
      <c r="BW157" s="40">
        <f>BW156*(1-IF(B156&gt;=in_marketplace_from,d_hz_loan_vehicle*G156,0))</f>
        <v/>
      </c>
      <c r="BX157" s="14">
        <f>F157*BW157*IF(B157&gt;=in_marketplace_from,d_hz_loan_vehicle*G157,0)*in_loan_vehicle_ticket*in_loan_vehicle_comm</f>
        <v/>
      </c>
      <c r="BY157" s="40">
        <f>BY156*(1-IF(B156&gt;=in_marketplace_from,d_hz_loan_home*G156,0)*BZ156)</f>
        <v/>
      </c>
      <c r="BZ157" s="11">
        <f>MIN(in_approval_cap,in_loan_home_approval*INDEX('Age profile'!$O$2:$O$61,B157)*(1+in_approval_growth)^(D157-1))</f>
        <v/>
      </c>
      <c r="CA157" s="14">
        <f>F157*BY157*IF(B157&gt;=in_marketplace_from,d_hz_loan_home*G157,0)*BZ157*in_loan_home_ticket*in_loan_home_comm</f>
        <v/>
      </c>
      <c r="CB157" s="40">
        <f>CB156*(1-IF(B156&gt;=in_marketplace_from,d_hz_loan_lap*G156,0)*CC156)</f>
        <v/>
      </c>
      <c r="CC157" s="11">
        <f>MIN(in_approval_cap,in_loan_lap_approval*INDEX('Age profile'!$O$2:$O$61,B157)*(1+in_approval_growth)^(D157-1))</f>
        <v/>
      </c>
      <c r="CD157" s="14">
        <f>F157*CB157*IF(B157&gt;=in_marketplace_from,d_hz_loan_lap*G157,0)*CC157*in_loan_lap_ticket*in_loan_lap_comm</f>
        <v/>
      </c>
      <c r="CE157" s="14">
        <f>AA157+AB157+AC157+AD157+AG157+AJ157+AM157+AP157+AS157+AU157+AX157+BB157+BE157+BG157+BJ157+BL157+BO157+BR157+BT157+BV157+BX157+CA157+CD157</f>
        <v/>
      </c>
    </row>
    <row r="158">
      <c r="A158" s="39" t="n">
        <v>3</v>
      </c>
      <c r="B158" s="39" t="n">
        <v>38</v>
      </c>
      <c r="C158" s="39">
        <f>A158+B158-1</f>
        <v/>
      </c>
      <c r="D158" s="39">
        <f>INT((C158-1)/12)+1</f>
        <v/>
      </c>
      <c r="E158" s="44">
        <f>INDEX(Monthly!$B$2:$B$61,A158)</f>
        <v/>
      </c>
      <c r="F158" s="44">
        <f>E158*INDEX('Age profile'!$B$2:$B$61,B158)</f>
        <v/>
      </c>
      <c r="G158" s="45">
        <f>MIN(in_takeup_cap,INDEX('Age profile'!$N$2:$N$61,B158)*(1+in_takeup_growth)^(D158-1))</f>
        <v/>
      </c>
      <c r="H158" s="11">
        <f>MIN(in_approval_cap,in_approved_first*INDEX('Age profile'!$O$2:$O$61,B158)*(1+in_approval_growth)^(D158-1))</f>
        <v/>
      </c>
      <c r="I158" s="45">
        <f>G158*MIN(in_takeup_cap,INDEX('Age profile'!$O$2:$O$61,B158)*(1+in_approval_growth)^(D158-1))</f>
        <v/>
      </c>
      <c r="J158" s="40">
        <f>(J157-L157)*F158/F157</f>
        <v/>
      </c>
      <c r="K158" s="40">
        <f>(K157-M157)*F158/F157+SUMIFS(O121:O157,B121:B157,B158-1-d_T)*F158</f>
        <v/>
      </c>
      <c r="L158" s="40">
        <f>IF(B158&gt;=in_marketplace_from,J158*d_hz*G158*in_eligible*H158,0)</f>
        <v/>
      </c>
      <c r="M158" s="40">
        <f>IF(B158&gt;=in_marketplace_from,K158*d_hz*G158*in_eligible*in_approved_repeat,0)</f>
        <v/>
      </c>
      <c r="N158" s="40">
        <f>L158+M158</f>
        <v/>
      </c>
      <c r="O158" s="46">
        <f>N158/F158</f>
        <v/>
      </c>
      <c r="P158" s="40">
        <f>F158-J158-K158</f>
        <v/>
      </c>
      <c r="Q158" s="40">
        <f>IF(B158&gt;=in_marketplace_from,(J158+K158)*d_hz*G158,0)</f>
        <v/>
      </c>
      <c r="R158" s="40">
        <f>SUMIFS(N121:N178,B121:B178,"&gt;="&amp;(B158-d_T),B121:B178,"&lt;="&amp;(B158-1))</f>
        <v/>
      </c>
      <c r="S158" s="46">
        <f>(1-d_u)*S157+IF(d_T&gt;in_topup_lag,SUMIFS(O121:O178,B121:B178,B158-in_topup_lag)-d_udrop*SUMIFS(O121:O178,B121:B178,B158-d_T),0)</f>
        <v/>
      </c>
      <c r="T158" s="40">
        <f>F158*d_u*S158</f>
        <v/>
      </c>
      <c r="U158" s="9">
        <f>L158*in_ticket+M158*d_rep_ticket</f>
        <v/>
      </c>
      <c r="V158" s="9">
        <f>U158+T158*d_topup_amt</f>
        <v/>
      </c>
      <c r="W158" s="40">
        <f>N158+T158*d_topup_ratio</f>
        <v/>
      </c>
      <c r="X158" s="40">
        <f>SUMIFS(W121:W178,B121:B178,B158-in_dpd_lag)*d_cured</f>
        <v/>
      </c>
      <c r="Y158" s="40">
        <f>SUMIFS(W121:W178,B121:B178,B158-in_rec_lag)*d_recd</f>
        <v/>
      </c>
      <c r="Z158" s="40">
        <f>IF(AND(B158&gt;=in_marketplace_from,B158&lt;in_marketplace_from+in_card_months),in_card_share/in_card_months*F158*I158,IF(AND(B158&gt;=in_marketplace_from+in_card_months,B158&lt;in_marketplace_from+2*in_card_months),in_card_share*d_card_rem/in_card_months*F158*MIN(in_takeup_cap,(1+in_takeup_growth)^(D158-1))*MIN(in_takeup_cap,(1+in_approval_growth)^(D158-1)),0))</f>
        <v/>
      </c>
      <c r="AA158" s="14">
        <f>V158*in_fee*(1-in_taken_back)</f>
        <v/>
      </c>
      <c r="AB158" s="14">
        <f>SUMIFS(W121:W178,B121:B178,B158-in_dpd_lag)*d_dpd</f>
        <v/>
      </c>
      <c r="AC158" s="14">
        <f>SUMIFS(W121:W178,B121:B178,B158-in_rec_lag)*d_rec</f>
        <v/>
      </c>
      <c r="AD158" s="14">
        <f>Z158*in_card_fee</f>
        <v/>
      </c>
      <c r="AE158" s="40">
        <f>AE157*(1-IF(B157&gt;=in_marketplace_from,d_hz_hlth_small*G157,0))</f>
        <v/>
      </c>
      <c r="AF158" s="46">
        <f>AE158*IF(B158&gt;=in_marketplace_from,d_hz_hlth_small*G158,0)</f>
        <v/>
      </c>
      <c r="AG158" s="14">
        <f>F158*AF158*in_hlth_small_ticket*in_hlth_small_comm*in_ins_partner_share+F158*in_hlth_small_ticket*in_hlth_small_renew_comm*in_ins_partner_share*(in_hlth_small_renew^1*SUMIFS(AF121:AF178,B121:B178,B158-12)+in_hlth_small_renew^2*SUMIFS(AF121:AF178,B121:B178,B158-24)+in_hlth_small_renew^3*SUMIFS(AF121:AF178,B121:B178,B158-36)+in_hlth_small_renew^4*SUMIFS(AF121:AF178,B121:B178,B158-48))</f>
        <v/>
      </c>
      <c r="AH158" s="40">
        <f>AH157*(1-IF(B157&gt;=in_marketplace_from,d_hz_hlth_family*G157,0))</f>
        <v/>
      </c>
      <c r="AI158" s="46">
        <f>AH158*IF(B158&gt;=in_marketplace_from,d_hz_hlth_family*G158,0)</f>
        <v/>
      </c>
      <c r="AJ158" s="14">
        <f>F158*AI158*in_hlth_family_ticket*in_hlth_family_comm*in_ins_partner_share+F158*in_hlth_family_ticket*in_hlth_family_renew_comm*in_ins_partner_share*(in_hlth_family_renew^1*SUMIFS(AI121:AI178,B121:B178,B158-12)+in_hlth_family_renew^2*SUMIFS(AI121:AI178,B121:B178,B158-24)+in_hlth_family_renew^3*SUMIFS(AI121:AI178,B121:B178,B158-36)+in_hlth_family_renew^4*SUMIFS(AI121:AI178,B121:B178,B158-48))</f>
        <v/>
      </c>
      <c r="AK158" s="40">
        <f>AK157*(1-IF(B157&gt;=in_marketplace_from,d_hz_life_term*G157,0))</f>
        <v/>
      </c>
      <c r="AL158" s="46">
        <f>AK158*IF(B158&gt;=in_marketplace_from,d_hz_life_term*G158,0)</f>
        <v/>
      </c>
      <c r="AM158" s="14">
        <f>F158*AL158*in_life_term_ticket*in_life_term_comm*in_ins_partner_share+F158*in_life_term_ticket*in_life_term_renew_comm*in_ins_partner_share*(in_life_term_renew^1*SUMIFS(AL121:AL178,B121:B178,B158-12)+in_life_term_renew^2*SUMIFS(AL121:AL178,B121:B178,B158-24)+in_life_term_renew^3*SUMIFS(AL121:AL178,B121:B178,B158-36)+in_life_term_renew^4*SUMIFS(AL121:AL178,B121:B178,B158-48))</f>
        <v/>
      </c>
      <c r="AN158" s="40">
        <f>AN157*(1-IF(B157&gt;=in_marketplace_from,d_hz_accident*G157,0))</f>
        <v/>
      </c>
      <c r="AO158" s="46">
        <f>AN158*IF(B158&gt;=in_marketplace_from,d_hz_accident*G158,0)</f>
        <v/>
      </c>
      <c r="AP158" s="14">
        <f>F158*AO158*in_accident_ticket*in_accident_comm*in_ins_partner_share+F158*in_accident_ticket*in_accident_renew_comm*in_ins_partner_share*(in_accident_renew^1*SUMIFS(AO121:AO178,B121:B178,B158-12)+in_accident_renew^2*SUMIFS(AO121:AO178,B121:B178,B158-24)+in_accident_renew^3*SUMIFS(AO121:AO178,B121:B178,B158-36)+in_accident_renew^4*SUMIFS(AO121:AO178,B121:B178,B158-48))</f>
        <v/>
      </c>
      <c r="AQ158" s="40">
        <f>AQ157*(1-IF(B157&gt;=in_marketplace_from,d_hz_two_wheeler*G157,0))</f>
        <v/>
      </c>
      <c r="AR158" s="46">
        <f>AQ158*IF(B158&gt;=in_marketplace_from,d_hz_two_wheeler*G158,0)</f>
        <v/>
      </c>
      <c r="AS158" s="14">
        <f>F158*AR158*in_two_wheeler_ticket*in_two_wheeler_comm*in_ins_partner_share+F158*in_two_wheeler_ticket*in_two_wheeler_comm*in_ins_partner_share*(in_two_wheeler_renew^1*SUMIFS(AR121:AR178,B121:B178,B158-12)+in_two_wheeler_renew^2*SUMIFS(AR121:AR178,B121:B178,B158-24)+in_two_wheeler_renew^3*SUMIFS(AR121:AR178,B121:B178,B158-36)+in_two_wheeler_renew^4*SUMIFS(AR121:AR178,B121:B178,B158-48))</f>
        <v/>
      </c>
      <c r="AT158" s="40">
        <f>AT157*(1-IF(B157&gt;=in_marketplace_from,d_hz_device*G157,0))</f>
        <v/>
      </c>
      <c r="AU158" s="14">
        <f>F158*AT158*IF(B158&gt;=in_marketplace_from,d_hz_device*G158,0)*in_device_ticket*in_device_comm*in_ins_partner_share</f>
        <v/>
      </c>
      <c r="AV158" s="40">
        <f>AV157*(1-IF(B157&gt;=in_marketplace_from,d_hz_shop*G157,0))</f>
        <v/>
      </c>
      <c r="AW158" s="46">
        <f>AV158*IF(B158&gt;=in_marketplace_from,d_hz_shop*G158,0)</f>
        <v/>
      </c>
      <c r="AX158" s="14">
        <f>F158*AW158*in_shop_ticket*in_shop_comm*in_ins_partner_share+F158*in_shop_ticket*in_shop_renew_comm*in_ins_partner_share*(in_shop_renew^1*SUMIFS(AW121:AW178,B121:B178,B158-12)+in_shop_renew^2*SUMIFS(AW121:AW178,B121:B178,B158-24)+in_shop_renew^3*SUMIFS(AW121:AW178,B121:B178,B158-36)+in_shop_renew^4*SUMIFS(AW121:AW178,B121:B178,B158-48))</f>
        <v/>
      </c>
      <c r="AY158" s="40">
        <f>AY157*(1-IF(B157&gt;=in_marketplace_from,d_hz_sip*G157,0))</f>
        <v/>
      </c>
      <c r="AZ158" s="40">
        <f>AZ157*d_rho_sip+AY158*IF(B158&gt;=in_marketplace_from,d_hz_sip*G158,0)</f>
        <v/>
      </c>
      <c r="BA158" s="40">
        <f>d_rho_sip*(BA157+AZ157)</f>
        <v/>
      </c>
      <c r="BB158" s="14">
        <f>F158*in_sip_ticket*(BA158+0.5*AZ158)*in_sip_comm/12</f>
        <v/>
      </c>
      <c r="BC158" s="40">
        <f>BC157*(1-IF(B157&gt;=in_marketplace_from,d_hz_choti*G157,0))</f>
        <v/>
      </c>
      <c r="BD158" s="46">
        <f>BC158*IF(B158&gt;=in_marketplace_from,d_hz_choti*G158,0)</f>
        <v/>
      </c>
      <c r="BE158" s="14">
        <f>F158*SUMIFS(BD121:BD178,B121:B178,B158-in_choti_months)*in_choti_renew*in_choti_ticket</f>
        <v/>
      </c>
      <c r="BF158" s="40">
        <f>BF157*(1-IF(B157&gt;=in_marketplace_from,d_hz_nps*G157,0))</f>
        <v/>
      </c>
      <c r="BG158" s="14">
        <f>F158*BF158*IF(B158&gt;=in_marketplace_from,d_hz_nps*G158,0)*in_nps_ticket*in_nps_comm</f>
        <v/>
      </c>
      <c r="BH158" s="40">
        <f>BH157*(1-IF(B157&gt;=in_marketplace_from,d_hz_gold*G157,0))</f>
        <v/>
      </c>
      <c r="BI158" s="40">
        <f>BI157*d_rho_gold+BH158*IF(B158&gt;=in_marketplace_from,d_hz_gold*G158,0)</f>
        <v/>
      </c>
      <c r="BJ158" s="14">
        <f>F158*BI158*in_gold_ticket*in_gold_comm</f>
        <v/>
      </c>
      <c r="BK158" s="40">
        <f>BK157*(1-IF(B157&gt;=in_marketplace_from,d_hz_fd*G157,0))</f>
        <v/>
      </c>
      <c r="BL158" s="14">
        <f>F158*BK158*IF(B158&gt;=in_marketplace_from,d_hz_fd*G158,0)*in_fd_ticket*in_fd_comm</f>
        <v/>
      </c>
      <c r="BM158" s="40">
        <f>BM157*(1-IF(B157&gt;=in_marketplace_from,d_hz_recharge*G157,0))</f>
        <v/>
      </c>
      <c r="BN158" s="40">
        <f>BN157*d_rho_recharge+BM158*IF(B158&gt;=in_marketplace_from,d_hz_recharge*G158,0)</f>
        <v/>
      </c>
      <c r="BO158" s="14">
        <f>F158*BN158*in_recharge_ticket*in_recharge_comm/12</f>
        <v/>
      </c>
      <c r="BP158" s="40">
        <f>BP157*(1-IF(B157&gt;=in_marketplace_from,d_hz_bills*G157,0))</f>
        <v/>
      </c>
      <c r="BQ158" s="40">
        <f>BQ157*d_rho_bills+BP158*IF(B158&gt;=in_marketplace_from,d_hz_bills*G158,0)</f>
        <v/>
      </c>
      <c r="BR158" s="14">
        <f>F158*BQ158*in_bills_ticket*in_bills_comm/12</f>
        <v/>
      </c>
      <c r="BS158" s="40">
        <f>BS157*(1-IF(B157&gt;=in_marketplace_from,d_hz_loan_gold*G157,0))</f>
        <v/>
      </c>
      <c r="BT158" s="14">
        <f>F158*BS158*IF(B158&gt;=in_marketplace_from,d_hz_loan_gold*G158,0)*in_loan_gold_ticket*in_loan_gold_comm</f>
        <v/>
      </c>
      <c r="BU158" s="40">
        <f>BU157*(1-IF(B157&gt;=in_marketplace_from,d_hz_loan_cd*G157,0))</f>
        <v/>
      </c>
      <c r="BV158" s="14">
        <f>F158*BU158*IF(B158&gt;=in_marketplace_from,d_hz_loan_cd*G158,0)*in_loan_cd_ticket*in_loan_cd_comm</f>
        <v/>
      </c>
      <c r="BW158" s="40">
        <f>BW157*(1-IF(B157&gt;=in_marketplace_from,d_hz_loan_vehicle*G157,0))</f>
        <v/>
      </c>
      <c r="BX158" s="14">
        <f>F158*BW158*IF(B158&gt;=in_marketplace_from,d_hz_loan_vehicle*G158,0)*in_loan_vehicle_ticket*in_loan_vehicle_comm</f>
        <v/>
      </c>
      <c r="BY158" s="40">
        <f>BY157*(1-IF(B157&gt;=in_marketplace_from,d_hz_loan_home*G157,0)*BZ157)</f>
        <v/>
      </c>
      <c r="BZ158" s="11">
        <f>MIN(in_approval_cap,in_loan_home_approval*INDEX('Age profile'!$O$2:$O$61,B158)*(1+in_approval_growth)^(D158-1))</f>
        <v/>
      </c>
      <c r="CA158" s="14">
        <f>F158*BY158*IF(B158&gt;=in_marketplace_from,d_hz_loan_home*G158,0)*BZ158*in_loan_home_ticket*in_loan_home_comm</f>
        <v/>
      </c>
      <c r="CB158" s="40">
        <f>CB157*(1-IF(B157&gt;=in_marketplace_from,d_hz_loan_lap*G157,0)*CC157)</f>
        <v/>
      </c>
      <c r="CC158" s="11">
        <f>MIN(in_approval_cap,in_loan_lap_approval*INDEX('Age profile'!$O$2:$O$61,B158)*(1+in_approval_growth)^(D158-1))</f>
        <v/>
      </c>
      <c r="CD158" s="14">
        <f>F158*CB158*IF(B158&gt;=in_marketplace_from,d_hz_loan_lap*G158,0)*CC158*in_loan_lap_ticket*in_loan_lap_comm</f>
        <v/>
      </c>
      <c r="CE158" s="14">
        <f>AA158+AB158+AC158+AD158+AG158+AJ158+AM158+AP158+AS158+AU158+AX158+BB158+BE158+BG158+BJ158+BL158+BO158+BR158+BT158+BV158+BX158+CA158+CD158</f>
        <v/>
      </c>
    </row>
    <row r="159">
      <c r="A159" s="39" t="n">
        <v>3</v>
      </c>
      <c r="B159" s="39" t="n">
        <v>39</v>
      </c>
      <c r="C159" s="39">
        <f>A159+B159-1</f>
        <v/>
      </c>
      <c r="D159" s="39">
        <f>INT((C159-1)/12)+1</f>
        <v/>
      </c>
      <c r="E159" s="44">
        <f>INDEX(Monthly!$B$2:$B$61,A159)</f>
        <v/>
      </c>
      <c r="F159" s="44">
        <f>E159*INDEX('Age profile'!$B$2:$B$61,B159)</f>
        <v/>
      </c>
      <c r="G159" s="45">
        <f>MIN(in_takeup_cap,INDEX('Age profile'!$N$2:$N$61,B159)*(1+in_takeup_growth)^(D159-1))</f>
        <v/>
      </c>
      <c r="H159" s="11">
        <f>MIN(in_approval_cap,in_approved_first*INDEX('Age profile'!$O$2:$O$61,B159)*(1+in_approval_growth)^(D159-1))</f>
        <v/>
      </c>
      <c r="I159" s="45">
        <f>G159*MIN(in_takeup_cap,INDEX('Age profile'!$O$2:$O$61,B159)*(1+in_approval_growth)^(D159-1))</f>
        <v/>
      </c>
      <c r="J159" s="40">
        <f>(J158-L158)*F159/F158</f>
        <v/>
      </c>
      <c r="K159" s="40">
        <f>(K158-M158)*F159/F158+SUMIFS(O121:O158,B121:B158,B159-1-d_T)*F159</f>
        <v/>
      </c>
      <c r="L159" s="40">
        <f>IF(B159&gt;=in_marketplace_from,J159*d_hz*G159*in_eligible*H159,0)</f>
        <v/>
      </c>
      <c r="M159" s="40">
        <f>IF(B159&gt;=in_marketplace_from,K159*d_hz*G159*in_eligible*in_approved_repeat,0)</f>
        <v/>
      </c>
      <c r="N159" s="40">
        <f>L159+M159</f>
        <v/>
      </c>
      <c r="O159" s="46">
        <f>N159/F159</f>
        <v/>
      </c>
      <c r="P159" s="40">
        <f>F159-J159-K159</f>
        <v/>
      </c>
      <c r="Q159" s="40">
        <f>IF(B159&gt;=in_marketplace_from,(J159+K159)*d_hz*G159,0)</f>
        <v/>
      </c>
      <c r="R159" s="40">
        <f>SUMIFS(N121:N178,B121:B178,"&gt;="&amp;(B159-d_T),B121:B178,"&lt;="&amp;(B159-1))</f>
        <v/>
      </c>
      <c r="S159" s="46">
        <f>(1-d_u)*S158+IF(d_T&gt;in_topup_lag,SUMIFS(O121:O178,B121:B178,B159-in_topup_lag)-d_udrop*SUMIFS(O121:O178,B121:B178,B159-d_T),0)</f>
        <v/>
      </c>
      <c r="T159" s="40">
        <f>F159*d_u*S159</f>
        <v/>
      </c>
      <c r="U159" s="9">
        <f>L159*in_ticket+M159*d_rep_ticket</f>
        <v/>
      </c>
      <c r="V159" s="9">
        <f>U159+T159*d_topup_amt</f>
        <v/>
      </c>
      <c r="W159" s="40">
        <f>N159+T159*d_topup_ratio</f>
        <v/>
      </c>
      <c r="X159" s="40">
        <f>SUMIFS(W121:W178,B121:B178,B159-in_dpd_lag)*d_cured</f>
        <v/>
      </c>
      <c r="Y159" s="40">
        <f>SUMIFS(W121:W178,B121:B178,B159-in_rec_lag)*d_recd</f>
        <v/>
      </c>
      <c r="Z159" s="40">
        <f>IF(AND(B159&gt;=in_marketplace_from,B159&lt;in_marketplace_from+in_card_months),in_card_share/in_card_months*F159*I159,IF(AND(B159&gt;=in_marketplace_from+in_card_months,B159&lt;in_marketplace_from+2*in_card_months),in_card_share*d_card_rem/in_card_months*F159*MIN(in_takeup_cap,(1+in_takeup_growth)^(D159-1))*MIN(in_takeup_cap,(1+in_approval_growth)^(D159-1)),0))</f>
        <v/>
      </c>
      <c r="AA159" s="14">
        <f>V159*in_fee*(1-in_taken_back)</f>
        <v/>
      </c>
      <c r="AB159" s="14">
        <f>SUMIFS(W121:W178,B121:B178,B159-in_dpd_lag)*d_dpd</f>
        <v/>
      </c>
      <c r="AC159" s="14">
        <f>SUMIFS(W121:W178,B121:B178,B159-in_rec_lag)*d_rec</f>
        <v/>
      </c>
      <c r="AD159" s="14">
        <f>Z159*in_card_fee</f>
        <v/>
      </c>
      <c r="AE159" s="40">
        <f>AE158*(1-IF(B158&gt;=in_marketplace_from,d_hz_hlth_small*G158,0))</f>
        <v/>
      </c>
      <c r="AF159" s="46">
        <f>AE159*IF(B159&gt;=in_marketplace_from,d_hz_hlth_small*G159,0)</f>
        <v/>
      </c>
      <c r="AG159" s="14">
        <f>F159*AF159*in_hlth_small_ticket*in_hlth_small_comm*in_ins_partner_share+F159*in_hlth_small_ticket*in_hlth_small_renew_comm*in_ins_partner_share*(in_hlth_small_renew^1*SUMIFS(AF121:AF178,B121:B178,B159-12)+in_hlth_small_renew^2*SUMIFS(AF121:AF178,B121:B178,B159-24)+in_hlth_small_renew^3*SUMIFS(AF121:AF178,B121:B178,B159-36)+in_hlth_small_renew^4*SUMIFS(AF121:AF178,B121:B178,B159-48))</f>
        <v/>
      </c>
      <c r="AH159" s="40">
        <f>AH158*(1-IF(B158&gt;=in_marketplace_from,d_hz_hlth_family*G158,0))</f>
        <v/>
      </c>
      <c r="AI159" s="46">
        <f>AH159*IF(B159&gt;=in_marketplace_from,d_hz_hlth_family*G159,0)</f>
        <v/>
      </c>
      <c r="AJ159" s="14">
        <f>F159*AI159*in_hlth_family_ticket*in_hlth_family_comm*in_ins_partner_share+F159*in_hlth_family_ticket*in_hlth_family_renew_comm*in_ins_partner_share*(in_hlth_family_renew^1*SUMIFS(AI121:AI178,B121:B178,B159-12)+in_hlth_family_renew^2*SUMIFS(AI121:AI178,B121:B178,B159-24)+in_hlth_family_renew^3*SUMIFS(AI121:AI178,B121:B178,B159-36)+in_hlth_family_renew^4*SUMIFS(AI121:AI178,B121:B178,B159-48))</f>
        <v/>
      </c>
      <c r="AK159" s="40">
        <f>AK158*(1-IF(B158&gt;=in_marketplace_from,d_hz_life_term*G158,0))</f>
        <v/>
      </c>
      <c r="AL159" s="46">
        <f>AK159*IF(B159&gt;=in_marketplace_from,d_hz_life_term*G159,0)</f>
        <v/>
      </c>
      <c r="AM159" s="14">
        <f>F159*AL159*in_life_term_ticket*in_life_term_comm*in_ins_partner_share+F159*in_life_term_ticket*in_life_term_renew_comm*in_ins_partner_share*(in_life_term_renew^1*SUMIFS(AL121:AL178,B121:B178,B159-12)+in_life_term_renew^2*SUMIFS(AL121:AL178,B121:B178,B159-24)+in_life_term_renew^3*SUMIFS(AL121:AL178,B121:B178,B159-36)+in_life_term_renew^4*SUMIFS(AL121:AL178,B121:B178,B159-48))</f>
        <v/>
      </c>
      <c r="AN159" s="40">
        <f>AN158*(1-IF(B158&gt;=in_marketplace_from,d_hz_accident*G158,0))</f>
        <v/>
      </c>
      <c r="AO159" s="46">
        <f>AN159*IF(B159&gt;=in_marketplace_from,d_hz_accident*G159,0)</f>
        <v/>
      </c>
      <c r="AP159" s="14">
        <f>F159*AO159*in_accident_ticket*in_accident_comm*in_ins_partner_share+F159*in_accident_ticket*in_accident_renew_comm*in_ins_partner_share*(in_accident_renew^1*SUMIFS(AO121:AO178,B121:B178,B159-12)+in_accident_renew^2*SUMIFS(AO121:AO178,B121:B178,B159-24)+in_accident_renew^3*SUMIFS(AO121:AO178,B121:B178,B159-36)+in_accident_renew^4*SUMIFS(AO121:AO178,B121:B178,B159-48))</f>
        <v/>
      </c>
      <c r="AQ159" s="40">
        <f>AQ158*(1-IF(B158&gt;=in_marketplace_from,d_hz_two_wheeler*G158,0))</f>
        <v/>
      </c>
      <c r="AR159" s="46">
        <f>AQ159*IF(B159&gt;=in_marketplace_from,d_hz_two_wheeler*G159,0)</f>
        <v/>
      </c>
      <c r="AS159" s="14">
        <f>F159*AR159*in_two_wheeler_ticket*in_two_wheeler_comm*in_ins_partner_share+F159*in_two_wheeler_ticket*in_two_wheeler_comm*in_ins_partner_share*(in_two_wheeler_renew^1*SUMIFS(AR121:AR178,B121:B178,B159-12)+in_two_wheeler_renew^2*SUMIFS(AR121:AR178,B121:B178,B159-24)+in_two_wheeler_renew^3*SUMIFS(AR121:AR178,B121:B178,B159-36)+in_two_wheeler_renew^4*SUMIFS(AR121:AR178,B121:B178,B159-48))</f>
        <v/>
      </c>
      <c r="AT159" s="40">
        <f>AT158*(1-IF(B158&gt;=in_marketplace_from,d_hz_device*G158,0))</f>
        <v/>
      </c>
      <c r="AU159" s="14">
        <f>F159*AT159*IF(B159&gt;=in_marketplace_from,d_hz_device*G159,0)*in_device_ticket*in_device_comm*in_ins_partner_share</f>
        <v/>
      </c>
      <c r="AV159" s="40">
        <f>AV158*(1-IF(B158&gt;=in_marketplace_from,d_hz_shop*G158,0))</f>
        <v/>
      </c>
      <c r="AW159" s="46">
        <f>AV159*IF(B159&gt;=in_marketplace_from,d_hz_shop*G159,0)</f>
        <v/>
      </c>
      <c r="AX159" s="14">
        <f>F159*AW159*in_shop_ticket*in_shop_comm*in_ins_partner_share+F159*in_shop_ticket*in_shop_renew_comm*in_ins_partner_share*(in_shop_renew^1*SUMIFS(AW121:AW178,B121:B178,B159-12)+in_shop_renew^2*SUMIFS(AW121:AW178,B121:B178,B159-24)+in_shop_renew^3*SUMIFS(AW121:AW178,B121:B178,B159-36)+in_shop_renew^4*SUMIFS(AW121:AW178,B121:B178,B159-48))</f>
        <v/>
      </c>
      <c r="AY159" s="40">
        <f>AY158*(1-IF(B158&gt;=in_marketplace_from,d_hz_sip*G158,0))</f>
        <v/>
      </c>
      <c r="AZ159" s="40">
        <f>AZ158*d_rho_sip+AY159*IF(B159&gt;=in_marketplace_from,d_hz_sip*G159,0)</f>
        <v/>
      </c>
      <c r="BA159" s="40">
        <f>d_rho_sip*(BA158+AZ158)</f>
        <v/>
      </c>
      <c r="BB159" s="14">
        <f>F159*in_sip_ticket*(BA159+0.5*AZ159)*in_sip_comm/12</f>
        <v/>
      </c>
      <c r="BC159" s="40">
        <f>BC158*(1-IF(B158&gt;=in_marketplace_from,d_hz_choti*G158,0))</f>
        <v/>
      </c>
      <c r="BD159" s="46">
        <f>BC159*IF(B159&gt;=in_marketplace_from,d_hz_choti*G159,0)</f>
        <v/>
      </c>
      <c r="BE159" s="14">
        <f>F159*SUMIFS(BD121:BD178,B121:B178,B159-in_choti_months)*in_choti_renew*in_choti_ticket</f>
        <v/>
      </c>
      <c r="BF159" s="40">
        <f>BF158*(1-IF(B158&gt;=in_marketplace_from,d_hz_nps*G158,0))</f>
        <v/>
      </c>
      <c r="BG159" s="14">
        <f>F159*BF159*IF(B159&gt;=in_marketplace_from,d_hz_nps*G159,0)*in_nps_ticket*in_nps_comm</f>
        <v/>
      </c>
      <c r="BH159" s="40">
        <f>BH158*(1-IF(B158&gt;=in_marketplace_from,d_hz_gold*G158,0))</f>
        <v/>
      </c>
      <c r="BI159" s="40">
        <f>BI158*d_rho_gold+BH159*IF(B159&gt;=in_marketplace_from,d_hz_gold*G159,0)</f>
        <v/>
      </c>
      <c r="BJ159" s="14">
        <f>F159*BI159*in_gold_ticket*in_gold_comm</f>
        <v/>
      </c>
      <c r="BK159" s="40">
        <f>BK158*(1-IF(B158&gt;=in_marketplace_from,d_hz_fd*G158,0))</f>
        <v/>
      </c>
      <c r="BL159" s="14">
        <f>F159*BK159*IF(B159&gt;=in_marketplace_from,d_hz_fd*G159,0)*in_fd_ticket*in_fd_comm</f>
        <v/>
      </c>
      <c r="BM159" s="40">
        <f>BM158*(1-IF(B158&gt;=in_marketplace_from,d_hz_recharge*G158,0))</f>
        <v/>
      </c>
      <c r="BN159" s="40">
        <f>BN158*d_rho_recharge+BM159*IF(B159&gt;=in_marketplace_from,d_hz_recharge*G159,0)</f>
        <v/>
      </c>
      <c r="BO159" s="14">
        <f>F159*BN159*in_recharge_ticket*in_recharge_comm/12</f>
        <v/>
      </c>
      <c r="BP159" s="40">
        <f>BP158*(1-IF(B158&gt;=in_marketplace_from,d_hz_bills*G158,0))</f>
        <v/>
      </c>
      <c r="BQ159" s="40">
        <f>BQ158*d_rho_bills+BP159*IF(B159&gt;=in_marketplace_from,d_hz_bills*G159,0)</f>
        <v/>
      </c>
      <c r="BR159" s="14">
        <f>F159*BQ159*in_bills_ticket*in_bills_comm/12</f>
        <v/>
      </c>
      <c r="BS159" s="40">
        <f>BS158*(1-IF(B158&gt;=in_marketplace_from,d_hz_loan_gold*G158,0))</f>
        <v/>
      </c>
      <c r="BT159" s="14">
        <f>F159*BS159*IF(B159&gt;=in_marketplace_from,d_hz_loan_gold*G159,0)*in_loan_gold_ticket*in_loan_gold_comm</f>
        <v/>
      </c>
      <c r="BU159" s="40">
        <f>BU158*(1-IF(B158&gt;=in_marketplace_from,d_hz_loan_cd*G158,0))</f>
        <v/>
      </c>
      <c r="BV159" s="14">
        <f>F159*BU159*IF(B159&gt;=in_marketplace_from,d_hz_loan_cd*G159,0)*in_loan_cd_ticket*in_loan_cd_comm</f>
        <v/>
      </c>
      <c r="BW159" s="40">
        <f>BW158*(1-IF(B158&gt;=in_marketplace_from,d_hz_loan_vehicle*G158,0))</f>
        <v/>
      </c>
      <c r="BX159" s="14">
        <f>F159*BW159*IF(B159&gt;=in_marketplace_from,d_hz_loan_vehicle*G159,0)*in_loan_vehicle_ticket*in_loan_vehicle_comm</f>
        <v/>
      </c>
      <c r="BY159" s="40">
        <f>BY158*(1-IF(B158&gt;=in_marketplace_from,d_hz_loan_home*G158,0)*BZ158)</f>
        <v/>
      </c>
      <c r="BZ159" s="11">
        <f>MIN(in_approval_cap,in_loan_home_approval*INDEX('Age profile'!$O$2:$O$61,B159)*(1+in_approval_growth)^(D159-1))</f>
        <v/>
      </c>
      <c r="CA159" s="14">
        <f>F159*BY159*IF(B159&gt;=in_marketplace_from,d_hz_loan_home*G159,0)*BZ159*in_loan_home_ticket*in_loan_home_comm</f>
        <v/>
      </c>
      <c r="CB159" s="40">
        <f>CB158*(1-IF(B158&gt;=in_marketplace_from,d_hz_loan_lap*G158,0)*CC158)</f>
        <v/>
      </c>
      <c r="CC159" s="11">
        <f>MIN(in_approval_cap,in_loan_lap_approval*INDEX('Age profile'!$O$2:$O$61,B159)*(1+in_approval_growth)^(D159-1))</f>
        <v/>
      </c>
      <c r="CD159" s="14">
        <f>F159*CB159*IF(B159&gt;=in_marketplace_from,d_hz_loan_lap*G159,0)*CC159*in_loan_lap_ticket*in_loan_lap_comm</f>
        <v/>
      </c>
      <c r="CE159" s="14">
        <f>AA159+AB159+AC159+AD159+AG159+AJ159+AM159+AP159+AS159+AU159+AX159+BB159+BE159+BG159+BJ159+BL159+BO159+BR159+BT159+BV159+BX159+CA159+CD159</f>
        <v/>
      </c>
    </row>
    <row r="160">
      <c r="A160" s="39" t="n">
        <v>3</v>
      </c>
      <c r="B160" s="39" t="n">
        <v>40</v>
      </c>
      <c r="C160" s="39">
        <f>A160+B160-1</f>
        <v/>
      </c>
      <c r="D160" s="39">
        <f>INT((C160-1)/12)+1</f>
        <v/>
      </c>
      <c r="E160" s="44">
        <f>INDEX(Monthly!$B$2:$B$61,A160)</f>
        <v/>
      </c>
      <c r="F160" s="44">
        <f>E160*INDEX('Age profile'!$B$2:$B$61,B160)</f>
        <v/>
      </c>
      <c r="G160" s="45">
        <f>MIN(in_takeup_cap,INDEX('Age profile'!$N$2:$N$61,B160)*(1+in_takeup_growth)^(D160-1))</f>
        <v/>
      </c>
      <c r="H160" s="11">
        <f>MIN(in_approval_cap,in_approved_first*INDEX('Age profile'!$O$2:$O$61,B160)*(1+in_approval_growth)^(D160-1))</f>
        <v/>
      </c>
      <c r="I160" s="45">
        <f>G160*MIN(in_takeup_cap,INDEX('Age profile'!$O$2:$O$61,B160)*(1+in_approval_growth)^(D160-1))</f>
        <v/>
      </c>
      <c r="J160" s="40">
        <f>(J159-L159)*F160/F159</f>
        <v/>
      </c>
      <c r="K160" s="40">
        <f>(K159-M159)*F160/F159+SUMIFS(O121:O159,B121:B159,B160-1-d_T)*F160</f>
        <v/>
      </c>
      <c r="L160" s="40">
        <f>IF(B160&gt;=in_marketplace_from,J160*d_hz*G160*in_eligible*H160,0)</f>
        <v/>
      </c>
      <c r="M160" s="40">
        <f>IF(B160&gt;=in_marketplace_from,K160*d_hz*G160*in_eligible*in_approved_repeat,0)</f>
        <v/>
      </c>
      <c r="N160" s="40">
        <f>L160+M160</f>
        <v/>
      </c>
      <c r="O160" s="46">
        <f>N160/F160</f>
        <v/>
      </c>
      <c r="P160" s="40">
        <f>F160-J160-K160</f>
        <v/>
      </c>
      <c r="Q160" s="40">
        <f>IF(B160&gt;=in_marketplace_from,(J160+K160)*d_hz*G160,0)</f>
        <v/>
      </c>
      <c r="R160" s="40">
        <f>SUMIFS(N121:N178,B121:B178,"&gt;="&amp;(B160-d_T),B121:B178,"&lt;="&amp;(B160-1))</f>
        <v/>
      </c>
      <c r="S160" s="46">
        <f>(1-d_u)*S159+IF(d_T&gt;in_topup_lag,SUMIFS(O121:O178,B121:B178,B160-in_topup_lag)-d_udrop*SUMIFS(O121:O178,B121:B178,B160-d_T),0)</f>
        <v/>
      </c>
      <c r="T160" s="40">
        <f>F160*d_u*S160</f>
        <v/>
      </c>
      <c r="U160" s="9">
        <f>L160*in_ticket+M160*d_rep_ticket</f>
        <v/>
      </c>
      <c r="V160" s="9">
        <f>U160+T160*d_topup_amt</f>
        <v/>
      </c>
      <c r="W160" s="40">
        <f>N160+T160*d_topup_ratio</f>
        <v/>
      </c>
      <c r="X160" s="40">
        <f>SUMIFS(W121:W178,B121:B178,B160-in_dpd_lag)*d_cured</f>
        <v/>
      </c>
      <c r="Y160" s="40">
        <f>SUMIFS(W121:W178,B121:B178,B160-in_rec_lag)*d_recd</f>
        <v/>
      </c>
      <c r="Z160" s="40">
        <f>IF(AND(B160&gt;=in_marketplace_from,B160&lt;in_marketplace_from+in_card_months),in_card_share/in_card_months*F160*I160,IF(AND(B160&gt;=in_marketplace_from+in_card_months,B160&lt;in_marketplace_from+2*in_card_months),in_card_share*d_card_rem/in_card_months*F160*MIN(in_takeup_cap,(1+in_takeup_growth)^(D160-1))*MIN(in_takeup_cap,(1+in_approval_growth)^(D160-1)),0))</f>
        <v/>
      </c>
      <c r="AA160" s="14">
        <f>V160*in_fee*(1-in_taken_back)</f>
        <v/>
      </c>
      <c r="AB160" s="14">
        <f>SUMIFS(W121:W178,B121:B178,B160-in_dpd_lag)*d_dpd</f>
        <v/>
      </c>
      <c r="AC160" s="14">
        <f>SUMIFS(W121:W178,B121:B178,B160-in_rec_lag)*d_rec</f>
        <v/>
      </c>
      <c r="AD160" s="14">
        <f>Z160*in_card_fee</f>
        <v/>
      </c>
      <c r="AE160" s="40">
        <f>AE159*(1-IF(B159&gt;=in_marketplace_from,d_hz_hlth_small*G159,0))</f>
        <v/>
      </c>
      <c r="AF160" s="46">
        <f>AE160*IF(B160&gt;=in_marketplace_from,d_hz_hlth_small*G160,0)</f>
        <v/>
      </c>
      <c r="AG160" s="14">
        <f>F160*AF160*in_hlth_small_ticket*in_hlth_small_comm*in_ins_partner_share+F160*in_hlth_small_ticket*in_hlth_small_renew_comm*in_ins_partner_share*(in_hlth_small_renew^1*SUMIFS(AF121:AF178,B121:B178,B160-12)+in_hlth_small_renew^2*SUMIFS(AF121:AF178,B121:B178,B160-24)+in_hlth_small_renew^3*SUMIFS(AF121:AF178,B121:B178,B160-36)+in_hlth_small_renew^4*SUMIFS(AF121:AF178,B121:B178,B160-48))</f>
        <v/>
      </c>
      <c r="AH160" s="40">
        <f>AH159*(1-IF(B159&gt;=in_marketplace_from,d_hz_hlth_family*G159,0))</f>
        <v/>
      </c>
      <c r="AI160" s="46">
        <f>AH160*IF(B160&gt;=in_marketplace_from,d_hz_hlth_family*G160,0)</f>
        <v/>
      </c>
      <c r="AJ160" s="14">
        <f>F160*AI160*in_hlth_family_ticket*in_hlth_family_comm*in_ins_partner_share+F160*in_hlth_family_ticket*in_hlth_family_renew_comm*in_ins_partner_share*(in_hlth_family_renew^1*SUMIFS(AI121:AI178,B121:B178,B160-12)+in_hlth_family_renew^2*SUMIFS(AI121:AI178,B121:B178,B160-24)+in_hlth_family_renew^3*SUMIFS(AI121:AI178,B121:B178,B160-36)+in_hlth_family_renew^4*SUMIFS(AI121:AI178,B121:B178,B160-48))</f>
        <v/>
      </c>
      <c r="AK160" s="40">
        <f>AK159*(1-IF(B159&gt;=in_marketplace_from,d_hz_life_term*G159,0))</f>
        <v/>
      </c>
      <c r="AL160" s="46">
        <f>AK160*IF(B160&gt;=in_marketplace_from,d_hz_life_term*G160,0)</f>
        <v/>
      </c>
      <c r="AM160" s="14">
        <f>F160*AL160*in_life_term_ticket*in_life_term_comm*in_ins_partner_share+F160*in_life_term_ticket*in_life_term_renew_comm*in_ins_partner_share*(in_life_term_renew^1*SUMIFS(AL121:AL178,B121:B178,B160-12)+in_life_term_renew^2*SUMIFS(AL121:AL178,B121:B178,B160-24)+in_life_term_renew^3*SUMIFS(AL121:AL178,B121:B178,B160-36)+in_life_term_renew^4*SUMIFS(AL121:AL178,B121:B178,B160-48))</f>
        <v/>
      </c>
      <c r="AN160" s="40">
        <f>AN159*(1-IF(B159&gt;=in_marketplace_from,d_hz_accident*G159,0))</f>
        <v/>
      </c>
      <c r="AO160" s="46">
        <f>AN160*IF(B160&gt;=in_marketplace_from,d_hz_accident*G160,0)</f>
        <v/>
      </c>
      <c r="AP160" s="14">
        <f>F160*AO160*in_accident_ticket*in_accident_comm*in_ins_partner_share+F160*in_accident_ticket*in_accident_renew_comm*in_ins_partner_share*(in_accident_renew^1*SUMIFS(AO121:AO178,B121:B178,B160-12)+in_accident_renew^2*SUMIFS(AO121:AO178,B121:B178,B160-24)+in_accident_renew^3*SUMIFS(AO121:AO178,B121:B178,B160-36)+in_accident_renew^4*SUMIFS(AO121:AO178,B121:B178,B160-48))</f>
        <v/>
      </c>
      <c r="AQ160" s="40">
        <f>AQ159*(1-IF(B159&gt;=in_marketplace_from,d_hz_two_wheeler*G159,0))</f>
        <v/>
      </c>
      <c r="AR160" s="46">
        <f>AQ160*IF(B160&gt;=in_marketplace_from,d_hz_two_wheeler*G160,0)</f>
        <v/>
      </c>
      <c r="AS160" s="14">
        <f>F160*AR160*in_two_wheeler_ticket*in_two_wheeler_comm*in_ins_partner_share+F160*in_two_wheeler_ticket*in_two_wheeler_comm*in_ins_partner_share*(in_two_wheeler_renew^1*SUMIFS(AR121:AR178,B121:B178,B160-12)+in_two_wheeler_renew^2*SUMIFS(AR121:AR178,B121:B178,B160-24)+in_two_wheeler_renew^3*SUMIFS(AR121:AR178,B121:B178,B160-36)+in_two_wheeler_renew^4*SUMIFS(AR121:AR178,B121:B178,B160-48))</f>
        <v/>
      </c>
      <c r="AT160" s="40">
        <f>AT159*(1-IF(B159&gt;=in_marketplace_from,d_hz_device*G159,0))</f>
        <v/>
      </c>
      <c r="AU160" s="14">
        <f>F160*AT160*IF(B160&gt;=in_marketplace_from,d_hz_device*G160,0)*in_device_ticket*in_device_comm*in_ins_partner_share</f>
        <v/>
      </c>
      <c r="AV160" s="40">
        <f>AV159*(1-IF(B159&gt;=in_marketplace_from,d_hz_shop*G159,0))</f>
        <v/>
      </c>
      <c r="AW160" s="46">
        <f>AV160*IF(B160&gt;=in_marketplace_from,d_hz_shop*G160,0)</f>
        <v/>
      </c>
      <c r="AX160" s="14">
        <f>F160*AW160*in_shop_ticket*in_shop_comm*in_ins_partner_share+F160*in_shop_ticket*in_shop_renew_comm*in_ins_partner_share*(in_shop_renew^1*SUMIFS(AW121:AW178,B121:B178,B160-12)+in_shop_renew^2*SUMIFS(AW121:AW178,B121:B178,B160-24)+in_shop_renew^3*SUMIFS(AW121:AW178,B121:B178,B160-36)+in_shop_renew^4*SUMIFS(AW121:AW178,B121:B178,B160-48))</f>
        <v/>
      </c>
      <c r="AY160" s="40">
        <f>AY159*(1-IF(B159&gt;=in_marketplace_from,d_hz_sip*G159,0))</f>
        <v/>
      </c>
      <c r="AZ160" s="40">
        <f>AZ159*d_rho_sip+AY160*IF(B160&gt;=in_marketplace_from,d_hz_sip*G160,0)</f>
        <v/>
      </c>
      <c r="BA160" s="40">
        <f>d_rho_sip*(BA159+AZ159)</f>
        <v/>
      </c>
      <c r="BB160" s="14">
        <f>F160*in_sip_ticket*(BA160+0.5*AZ160)*in_sip_comm/12</f>
        <v/>
      </c>
      <c r="BC160" s="40">
        <f>BC159*(1-IF(B159&gt;=in_marketplace_from,d_hz_choti*G159,0))</f>
        <v/>
      </c>
      <c r="BD160" s="46">
        <f>BC160*IF(B160&gt;=in_marketplace_from,d_hz_choti*G160,0)</f>
        <v/>
      </c>
      <c r="BE160" s="14">
        <f>F160*SUMIFS(BD121:BD178,B121:B178,B160-in_choti_months)*in_choti_renew*in_choti_ticket</f>
        <v/>
      </c>
      <c r="BF160" s="40">
        <f>BF159*(1-IF(B159&gt;=in_marketplace_from,d_hz_nps*G159,0))</f>
        <v/>
      </c>
      <c r="BG160" s="14">
        <f>F160*BF160*IF(B160&gt;=in_marketplace_from,d_hz_nps*G160,0)*in_nps_ticket*in_nps_comm</f>
        <v/>
      </c>
      <c r="BH160" s="40">
        <f>BH159*(1-IF(B159&gt;=in_marketplace_from,d_hz_gold*G159,0))</f>
        <v/>
      </c>
      <c r="BI160" s="40">
        <f>BI159*d_rho_gold+BH160*IF(B160&gt;=in_marketplace_from,d_hz_gold*G160,0)</f>
        <v/>
      </c>
      <c r="BJ160" s="14">
        <f>F160*BI160*in_gold_ticket*in_gold_comm</f>
        <v/>
      </c>
      <c r="BK160" s="40">
        <f>BK159*(1-IF(B159&gt;=in_marketplace_from,d_hz_fd*G159,0))</f>
        <v/>
      </c>
      <c r="BL160" s="14">
        <f>F160*BK160*IF(B160&gt;=in_marketplace_from,d_hz_fd*G160,0)*in_fd_ticket*in_fd_comm</f>
        <v/>
      </c>
      <c r="BM160" s="40">
        <f>BM159*(1-IF(B159&gt;=in_marketplace_from,d_hz_recharge*G159,0))</f>
        <v/>
      </c>
      <c r="BN160" s="40">
        <f>BN159*d_rho_recharge+BM160*IF(B160&gt;=in_marketplace_from,d_hz_recharge*G160,0)</f>
        <v/>
      </c>
      <c r="BO160" s="14">
        <f>F160*BN160*in_recharge_ticket*in_recharge_comm/12</f>
        <v/>
      </c>
      <c r="BP160" s="40">
        <f>BP159*(1-IF(B159&gt;=in_marketplace_from,d_hz_bills*G159,0))</f>
        <v/>
      </c>
      <c r="BQ160" s="40">
        <f>BQ159*d_rho_bills+BP160*IF(B160&gt;=in_marketplace_from,d_hz_bills*G160,0)</f>
        <v/>
      </c>
      <c r="BR160" s="14">
        <f>F160*BQ160*in_bills_ticket*in_bills_comm/12</f>
        <v/>
      </c>
      <c r="BS160" s="40">
        <f>BS159*(1-IF(B159&gt;=in_marketplace_from,d_hz_loan_gold*G159,0))</f>
        <v/>
      </c>
      <c r="BT160" s="14">
        <f>F160*BS160*IF(B160&gt;=in_marketplace_from,d_hz_loan_gold*G160,0)*in_loan_gold_ticket*in_loan_gold_comm</f>
        <v/>
      </c>
      <c r="BU160" s="40">
        <f>BU159*(1-IF(B159&gt;=in_marketplace_from,d_hz_loan_cd*G159,0))</f>
        <v/>
      </c>
      <c r="BV160" s="14">
        <f>F160*BU160*IF(B160&gt;=in_marketplace_from,d_hz_loan_cd*G160,0)*in_loan_cd_ticket*in_loan_cd_comm</f>
        <v/>
      </c>
      <c r="BW160" s="40">
        <f>BW159*(1-IF(B159&gt;=in_marketplace_from,d_hz_loan_vehicle*G159,0))</f>
        <v/>
      </c>
      <c r="BX160" s="14">
        <f>F160*BW160*IF(B160&gt;=in_marketplace_from,d_hz_loan_vehicle*G160,0)*in_loan_vehicle_ticket*in_loan_vehicle_comm</f>
        <v/>
      </c>
      <c r="BY160" s="40">
        <f>BY159*(1-IF(B159&gt;=in_marketplace_from,d_hz_loan_home*G159,0)*BZ159)</f>
        <v/>
      </c>
      <c r="BZ160" s="11">
        <f>MIN(in_approval_cap,in_loan_home_approval*INDEX('Age profile'!$O$2:$O$61,B160)*(1+in_approval_growth)^(D160-1))</f>
        <v/>
      </c>
      <c r="CA160" s="14">
        <f>F160*BY160*IF(B160&gt;=in_marketplace_from,d_hz_loan_home*G160,0)*BZ160*in_loan_home_ticket*in_loan_home_comm</f>
        <v/>
      </c>
      <c r="CB160" s="40">
        <f>CB159*(1-IF(B159&gt;=in_marketplace_from,d_hz_loan_lap*G159,0)*CC159)</f>
        <v/>
      </c>
      <c r="CC160" s="11">
        <f>MIN(in_approval_cap,in_loan_lap_approval*INDEX('Age profile'!$O$2:$O$61,B160)*(1+in_approval_growth)^(D160-1))</f>
        <v/>
      </c>
      <c r="CD160" s="14">
        <f>F160*CB160*IF(B160&gt;=in_marketplace_from,d_hz_loan_lap*G160,0)*CC160*in_loan_lap_ticket*in_loan_lap_comm</f>
        <v/>
      </c>
      <c r="CE160" s="14">
        <f>AA160+AB160+AC160+AD160+AG160+AJ160+AM160+AP160+AS160+AU160+AX160+BB160+BE160+BG160+BJ160+BL160+BO160+BR160+BT160+BV160+BX160+CA160+CD160</f>
        <v/>
      </c>
    </row>
    <row r="161">
      <c r="A161" s="39" t="n">
        <v>3</v>
      </c>
      <c r="B161" s="39" t="n">
        <v>41</v>
      </c>
      <c r="C161" s="39">
        <f>A161+B161-1</f>
        <v/>
      </c>
      <c r="D161" s="39">
        <f>INT((C161-1)/12)+1</f>
        <v/>
      </c>
      <c r="E161" s="44">
        <f>INDEX(Monthly!$B$2:$B$61,A161)</f>
        <v/>
      </c>
      <c r="F161" s="44">
        <f>E161*INDEX('Age profile'!$B$2:$B$61,B161)</f>
        <v/>
      </c>
      <c r="G161" s="45">
        <f>MIN(in_takeup_cap,INDEX('Age profile'!$N$2:$N$61,B161)*(1+in_takeup_growth)^(D161-1))</f>
        <v/>
      </c>
      <c r="H161" s="11">
        <f>MIN(in_approval_cap,in_approved_first*INDEX('Age profile'!$O$2:$O$61,B161)*(1+in_approval_growth)^(D161-1))</f>
        <v/>
      </c>
      <c r="I161" s="45">
        <f>G161*MIN(in_takeup_cap,INDEX('Age profile'!$O$2:$O$61,B161)*(1+in_approval_growth)^(D161-1))</f>
        <v/>
      </c>
      <c r="J161" s="40">
        <f>(J160-L160)*F161/F160</f>
        <v/>
      </c>
      <c r="K161" s="40">
        <f>(K160-M160)*F161/F160+SUMIFS(O121:O160,B121:B160,B161-1-d_T)*F161</f>
        <v/>
      </c>
      <c r="L161" s="40">
        <f>IF(B161&gt;=in_marketplace_from,J161*d_hz*G161*in_eligible*H161,0)</f>
        <v/>
      </c>
      <c r="M161" s="40">
        <f>IF(B161&gt;=in_marketplace_from,K161*d_hz*G161*in_eligible*in_approved_repeat,0)</f>
        <v/>
      </c>
      <c r="N161" s="40">
        <f>L161+M161</f>
        <v/>
      </c>
      <c r="O161" s="46">
        <f>N161/F161</f>
        <v/>
      </c>
      <c r="P161" s="40">
        <f>F161-J161-K161</f>
        <v/>
      </c>
      <c r="Q161" s="40">
        <f>IF(B161&gt;=in_marketplace_from,(J161+K161)*d_hz*G161,0)</f>
        <v/>
      </c>
      <c r="R161" s="40">
        <f>SUMIFS(N121:N178,B121:B178,"&gt;="&amp;(B161-d_T),B121:B178,"&lt;="&amp;(B161-1))</f>
        <v/>
      </c>
      <c r="S161" s="46">
        <f>(1-d_u)*S160+IF(d_T&gt;in_topup_lag,SUMIFS(O121:O178,B121:B178,B161-in_topup_lag)-d_udrop*SUMIFS(O121:O178,B121:B178,B161-d_T),0)</f>
        <v/>
      </c>
      <c r="T161" s="40">
        <f>F161*d_u*S161</f>
        <v/>
      </c>
      <c r="U161" s="9">
        <f>L161*in_ticket+M161*d_rep_ticket</f>
        <v/>
      </c>
      <c r="V161" s="9">
        <f>U161+T161*d_topup_amt</f>
        <v/>
      </c>
      <c r="W161" s="40">
        <f>N161+T161*d_topup_ratio</f>
        <v/>
      </c>
      <c r="X161" s="40">
        <f>SUMIFS(W121:W178,B121:B178,B161-in_dpd_lag)*d_cured</f>
        <v/>
      </c>
      <c r="Y161" s="40">
        <f>SUMIFS(W121:W178,B121:B178,B161-in_rec_lag)*d_recd</f>
        <v/>
      </c>
      <c r="Z161" s="40">
        <f>IF(AND(B161&gt;=in_marketplace_from,B161&lt;in_marketplace_from+in_card_months),in_card_share/in_card_months*F161*I161,IF(AND(B161&gt;=in_marketplace_from+in_card_months,B161&lt;in_marketplace_from+2*in_card_months),in_card_share*d_card_rem/in_card_months*F161*MIN(in_takeup_cap,(1+in_takeup_growth)^(D161-1))*MIN(in_takeup_cap,(1+in_approval_growth)^(D161-1)),0))</f>
        <v/>
      </c>
      <c r="AA161" s="14">
        <f>V161*in_fee*(1-in_taken_back)</f>
        <v/>
      </c>
      <c r="AB161" s="14">
        <f>SUMIFS(W121:W178,B121:B178,B161-in_dpd_lag)*d_dpd</f>
        <v/>
      </c>
      <c r="AC161" s="14">
        <f>SUMIFS(W121:W178,B121:B178,B161-in_rec_lag)*d_rec</f>
        <v/>
      </c>
      <c r="AD161" s="14">
        <f>Z161*in_card_fee</f>
        <v/>
      </c>
      <c r="AE161" s="40">
        <f>AE160*(1-IF(B160&gt;=in_marketplace_from,d_hz_hlth_small*G160,0))</f>
        <v/>
      </c>
      <c r="AF161" s="46">
        <f>AE161*IF(B161&gt;=in_marketplace_from,d_hz_hlth_small*G161,0)</f>
        <v/>
      </c>
      <c r="AG161" s="14">
        <f>F161*AF161*in_hlth_small_ticket*in_hlth_small_comm*in_ins_partner_share+F161*in_hlth_small_ticket*in_hlth_small_renew_comm*in_ins_partner_share*(in_hlth_small_renew^1*SUMIFS(AF121:AF178,B121:B178,B161-12)+in_hlth_small_renew^2*SUMIFS(AF121:AF178,B121:B178,B161-24)+in_hlth_small_renew^3*SUMIFS(AF121:AF178,B121:B178,B161-36)+in_hlth_small_renew^4*SUMIFS(AF121:AF178,B121:B178,B161-48))</f>
        <v/>
      </c>
      <c r="AH161" s="40">
        <f>AH160*(1-IF(B160&gt;=in_marketplace_from,d_hz_hlth_family*G160,0))</f>
        <v/>
      </c>
      <c r="AI161" s="46">
        <f>AH161*IF(B161&gt;=in_marketplace_from,d_hz_hlth_family*G161,0)</f>
        <v/>
      </c>
      <c r="AJ161" s="14">
        <f>F161*AI161*in_hlth_family_ticket*in_hlth_family_comm*in_ins_partner_share+F161*in_hlth_family_ticket*in_hlth_family_renew_comm*in_ins_partner_share*(in_hlth_family_renew^1*SUMIFS(AI121:AI178,B121:B178,B161-12)+in_hlth_family_renew^2*SUMIFS(AI121:AI178,B121:B178,B161-24)+in_hlth_family_renew^3*SUMIFS(AI121:AI178,B121:B178,B161-36)+in_hlth_family_renew^4*SUMIFS(AI121:AI178,B121:B178,B161-48))</f>
        <v/>
      </c>
      <c r="AK161" s="40">
        <f>AK160*(1-IF(B160&gt;=in_marketplace_from,d_hz_life_term*G160,0))</f>
        <v/>
      </c>
      <c r="AL161" s="46">
        <f>AK161*IF(B161&gt;=in_marketplace_from,d_hz_life_term*G161,0)</f>
        <v/>
      </c>
      <c r="AM161" s="14">
        <f>F161*AL161*in_life_term_ticket*in_life_term_comm*in_ins_partner_share+F161*in_life_term_ticket*in_life_term_renew_comm*in_ins_partner_share*(in_life_term_renew^1*SUMIFS(AL121:AL178,B121:B178,B161-12)+in_life_term_renew^2*SUMIFS(AL121:AL178,B121:B178,B161-24)+in_life_term_renew^3*SUMIFS(AL121:AL178,B121:B178,B161-36)+in_life_term_renew^4*SUMIFS(AL121:AL178,B121:B178,B161-48))</f>
        <v/>
      </c>
      <c r="AN161" s="40">
        <f>AN160*(1-IF(B160&gt;=in_marketplace_from,d_hz_accident*G160,0))</f>
        <v/>
      </c>
      <c r="AO161" s="46">
        <f>AN161*IF(B161&gt;=in_marketplace_from,d_hz_accident*G161,0)</f>
        <v/>
      </c>
      <c r="AP161" s="14">
        <f>F161*AO161*in_accident_ticket*in_accident_comm*in_ins_partner_share+F161*in_accident_ticket*in_accident_renew_comm*in_ins_partner_share*(in_accident_renew^1*SUMIFS(AO121:AO178,B121:B178,B161-12)+in_accident_renew^2*SUMIFS(AO121:AO178,B121:B178,B161-24)+in_accident_renew^3*SUMIFS(AO121:AO178,B121:B178,B161-36)+in_accident_renew^4*SUMIFS(AO121:AO178,B121:B178,B161-48))</f>
        <v/>
      </c>
      <c r="AQ161" s="40">
        <f>AQ160*(1-IF(B160&gt;=in_marketplace_from,d_hz_two_wheeler*G160,0))</f>
        <v/>
      </c>
      <c r="AR161" s="46">
        <f>AQ161*IF(B161&gt;=in_marketplace_from,d_hz_two_wheeler*G161,0)</f>
        <v/>
      </c>
      <c r="AS161" s="14">
        <f>F161*AR161*in_two_wheeler_ticket*in_two_wheeler_comm*in_ins_partner_share+F161*in_two_wheeler_ticket*in_two_wheeler_comm*in_ins_partner_share*(in_two_wheeler_renew^1*SUMIFS(AR121:AR178,B121:B178,B161-12)+in_two_wheeler_renew^2*SUMIFS(AR121:AR178,B121:B178,B161-24)+in_two_wheeler_renew^3*SUMIFS(AR121:AR178,B121:B178,B161-36)+in_two_wheeler_renew^4*SUMIFS(AR121:AR178,B121:B178,B161-48))</f>
        <v/>
      </c>
      <c r="AT161" s="40">
        <f>AT160*(1-IF(B160&gt;=in_marketplace_from,d_hz_device*G160,0))</f>
        <v/>
      </c>
      <c r="AU161" s="14">
        <f>F161*AT161*IF(B161&gt;=in_marketplace_from,d_hz_device*G161,0)*in_device_ticket*in_device_comm*in_ins_partner_share</f>
        <v/>
      </c>
      <c r="AV161" s="40">
        <f>AV160*(1-IF(B160&gt;=in_marketplace_from,d_hz_shop*G160,0))</f>
        <v/>
      </c>
      <c r="AW161" s="46">
        <f>AV161*IF(B161&gt;=in_marketplace_from,d_hz_shop*G161,0)</f>
        <v/>
      </c>
      <c r="AX161" s="14">
        <f>F161*AW161*in_shop_ticket*in_shop_comm*in_ins_partner_share+F161*in_shop_ticket*in_shop_renew_comm*in_ins_partner_share*(in_shop_renew^1*SUMIFS(AW121:AW178,B121:B178,B161-12)+in_shop_renew^2*SUMIFS(AW121:AW178,B121:B178,B161-24)+in_shop_renew^3*SUMIFS(AW121:AW178,B121:B178,B161-36)+in_shop_renew^4*SUMIFS(AW121:AW178,B121:B178,B161-48))</f>
        <v/>
      </c>
      <c r="AY161" s="40">
        <f>AY160*(1-IF(B160&gt;=in_marketplace_from,d_hz_sip*G160,0))</f>
        <v/>
      </c>
      <c r="AZ161" s="40">
        <f>AZ160*d_rho_sip+AY161*IF(B161&gt;=in_marketplace_from,d_hz_sip*G161,0)</f>
        <v/>
      </c>
      <c r="BA161" s="40">
        <f>d_rho_sip*(BA160+AZ160)</f>
        <v/>
      </c>
      <c r="BB161" s="14">
        <f>F161*in_sip_ticket*(BA161+0.5*AZ161)*in_sip_comm/12</f>
        <v/>
      </c>
      <c r="BC161" s="40">
        <f>BC160*(1-IF(B160&gt;=in_marketplace_from,d_hz_choti*G160,0))</f>
        <v/>
      </c>
      <c r="BD161" s="46">
        <f>BC161*IF(B161&gt;=in_marketplace_from,d_hz_choti*G161,0)</f>
        <v/>
      </c>
      <c r="BE161" s="14">
        <f>F161*SUMIFS(BD121:BD178,B121:B178,B161-in_choti_months)*in_choti_renew*in_choti_ticket</f>
        <v/>
      </c>
      <c r="BF161" s="40">
        <f>BF160*(1-IF(B160&gt;=in_marketplace_from,d_hz_nps*G160,0))</f>
        <v/>
      </c>
      <c r="BG161" s="14">
        <f>F161*BF161*IF(B161&gt;=in_marketplace_from,d_hz_nps*G161,0)*in_nps_ticket*in_nps_comm</f>
        <v/>
      </c>
      <c r="BH161" s="40">
        <f>BH160*(1-IF(B160&gt;=in_marketplace_from,d_hz_gold*G160,0))</f>
        <v/>
      </c>
      <c r="BI161" s="40">
        <f>BI160*d_rho_gold+BH161*IF(B161&gt;=in_marketplace_from,d_hz_gold*G161,0)</f>
        <v/>
      </c>
      <c r="BJ161" s="14">
        <f>F161*BI161*in_gold_ticket*in_gold_comm</f>
        <v/>
      </c>
      <c r="BK161" s="40">
        <f>BK160*(1-IF(B160&gt;=in_marketplace_from,d_hz_fd*G160,0))</f>
        <v/>
      </c>
      <c r="BL161" s="14">
        <f>F161*BK161*IF(B161&gt;=in_marketplace_from,d_hz_fd*G161,0)*in_fd_ticket*in_fd_comm</f>
        <v/>
      </c>
      <c r="BM161" s="40">
        <f>BM160*(1-IF(B160&gt;=in_marketplace_from,d_hz_recharge*G160,0))</f>
        <v/>
      </c>
      <c r="BN161" s="40">
        <f>BN160*d_rho_recharge+BM161*IF(B161&gt;=in_marketplace_from,d_hz_recharge*G161,0)</f>
        <v/>
      </c>
      <c r="BO161" s="14">
        <f>F161*BN161*in_recharge_ticket*in_recharge_comm/12</f>
        <v/>
      </c>
      <c r="BP161" s="40">
        <f>BP160*(1-IF(B160&gt;=in_marketplace_from,d_hz_bills*G160,0))</f>
        <v/>
      </c>
      <c r="BQ161" s="40">
        <f>BQ160*d_rho_bills+BP161*IF(B161&gt;=in_marketplace_from,d_hz_bills*G161,0)</f>
        <v/>
      </c>
      <c r="BR161" s="14">
        <f>F161*BQ161*in_bills_ticket*in_bills_comm/12</f>
        <v/>
      </c>
      <c r="BS161" s="40">
        <f>BS160*(1-IF(B160&gt;=in_marketplace_from,d_hz_loan_gold*G160,0))</f>
        <v/>
      </c>
      <c r="BT161" s="14">
        <f>F161*BS161*IF(B161&gt;=in_marketplace_from,d_hz_loan_gold*G161,0)*in_loan_gold_ticket*in_loan_gold_comm</f>
        <v/>
      </c>
      <c r="BU161" s="40">
        <f>BU160*(1-IF(B160&gt;=in_marketplace_from,d_hz_loan_cd*G160,0))</f>
        <v/>
      </c>
      <c r="BV161" s="14">
        <f>F161*BU161*IF(B161&gt;=in_marketplace_from,d_hz_loan_cd*G161,0)*in_loan_cd_ticket*in_loan_cd_comm</f>
        <v/>
      </c>
      <c r="BW161" s="40">
        <f>BW160*(1-IF(B160&gt;=in_marketplace_from,d_hz_loan_vehicle*G160,0))</f>
        <v/>
      </c>
      <c r="BX161" s="14">
        <f>F161*BW161*IF(B161&gt;=in_marketplace_from,d_hz_loan_vehicle*G161,0)*in_loan_vehicle_ticket*in_loan_vehicle_comm</f>
        <v/>
      </c>
      <c r="BY161" s="40">
        <f>BY160*(1-IF(B160&gt;=in_marketplace_from,d_hz_loan_home*G160,0)*BZ160)</f>
        <v/>
      </c>
      <c r="BZ161" s="11">
        <f>MIN(in_approval_cap,in_loan_home_approval*INDEX('Age profile'!$O$2:$O$61,B161)*(1+in_approval_growth)^(D161-1))</f>
        <v/>
      </c>
      <c r="CA161" s="14">
        <f>F161*BY161*IF(B161&gt;=in_marketplace_from,d_hz_loan_home*G161,0)*BZ161*in_loan_home_ticket*in_loan_home_comm</f>
        <v/>
      </c>
      <c r="CB161" s="40">
        <f>CB160*(1-IF(B160&gt;=in_marketplace_from,d_hz_loan_lap*G160,0)*CC160)</f>
        <v/>
      </c>
      <c r="CC161" s="11">
        <f>MIN(in_approval_cap,in_loan_lap_approval*INDEX('Age profile'!$O$2:$O$61,B161)*(1+in_approval_growth)^(D161-1))</f>
        <v/>
      </c>
      <c r="CD161" s="14">
        <f>F161*CB161*IF(B161&gt;=in_marketplace_from,d_hz_loan_lap*G161,0)*CC161*in_loan_lap_ticket*in_loan_lap_comm</f>
        <v/>
      </c>
      <c r="CE161" s="14">
        <f>AA161+AB161+AC161+AD161+AG161+AJ161+AM161+AP161+AS161+AU161+AX161+BB161+BE161+BG161+BJ161+BL161+BO161+BR161+BT161+BV161+BX161+CA161+CD161</f>
        <v/>
      </c>
    </row>
    <row r="162">
      <c r="A162" s="39" t="n">
        <v>3</v>
      </c>
      <c r="B162" s="39" t="n">
        <v>42</v>
      </c>
      <c r="C162" s="39">
        <f>A162+B162-1</f>
        <v/>
      </c>
      <c r="D162" s="39">
        <f>INT((C162-1)/12)+1</f>
        <v/>
      </c>
      <c r="E162" s="44">
        <f>INDEX(Monthly!$B$2:$B$61,A162)</f>
        <v/>
      </c>
      <c r="F162" s="44">
        <f>E162*INDEX('Age profile'!$B$2:$B$61,B162)</f>
        <v/>
      </c>
      <c r="G162" s="45">
        <f>MIN(in_takeup_cap,INDEX('Age profile'!$N$2:$N$61,B162)*(1+in_takeup_growth)^(D162-1))</f>
        <v/>
      </c>
      <c r="H162" s="11">
        <f>MIN(in_approval_cap,in_approved_first*INDEX('Age profile'!$O$2:$O$61,B162)*(1+in_approval_growth)^(D162-1))</f>
        <v/>
      </c>
      <c r="I162" s="45">
        <f>G162*MIN(in_takeup_cap,INDEX('Age profile'!$O$2:$O$61,B162)*(1+in_approval_growth)^(D162-1))</f>
        <v/>
      </c>
      <c r="J162" s="40">
        <f>(J161-L161)*F162/F161</f>
        <v/>
      </c>
      <c r="K162" s="40">
        <f>(K161-M161)*F162/F161+SUMIFS(O121:O161,B121:B161,B162-1-d_T)*F162</f>
        <v/>
      </c>
      <c r="L162" s="40">
        <f>IF(B162&gt;=in_marketplace_from,J162*d_hz*G162*in_eligible*H162,0)</f>
        <v/>
      </c>
      <c r="M162" s="40">
        <f>IF(B162&gt;=in_marketplace_from,K162*d_hz*G162*in_eligible*in_approved_repeat,0)</f>
        <v/>
      </c>
      <c r="N162" s="40">
        <f>L162+M162</f>
        <v/>
      </c>
      <c r="O162" s="46">
        <f>N162/F162</f>
        <v/>
      </c>
      <c r="P162" s="40">
        <f>F162-J162-K162</f>
        <v/>
      </c>
      <c r="Q162" s="40">
        <f>IF(B162&gt;=in_marketplace_from,(J162+K162)*d_hz*G162,0)</f>
        <v/>
      </c>
      <c r="R162" s="40">
        <f>SUMIFS(N121:N178,B121:B178,"&gt;="&amp;(B162-d_T),B121:B178,"&lt;="&amp;(B162-1))</f>
        <v/>
      </c>
      <c r="S162" s="46">
        <f>(1-d_u)*S161+IF(d_T&gt;in_topup_lag,SUMIFS(O121:O178,B121:B178,B162-in_topup_lag)-d_udrop*SUMIFS(O121:O178,B121:B178,B162-d_T),0)</f>
        <v/>
      </c>
      <c r="T162" s="40">
        <f>F162*d_u*S162</f>
        <v/>
      </c>
      <c r="U162" s="9">
        <f>L162*in_ticket+M162*d_rep_ticket</f>
        <v/>
      </c>
      <c r="V162" s="9">
        <f>U162+T162*d_topup_amt</f>
        <v/>
      </c>
      <c r="W162" s="40">
        <f>N162+T162*d_topup_ratio</f>
        <v/>
      </c>
      <c r="X162" s="40">
        <f>SUMIFS(W121:W178,B121:B178,B162-in_dpd_lag)*d_cured</f>
        <v/>
      </c>
      <c r="Y162" s="40">
        <f>SUMIFS(W121:W178,B121:B178,B162-in_rec_lag)*d_recd</f>
        <v/>
      </c>
      <c r="Z162" s="40">
        <f>IF(AND(B162&gt;=in_marketplace_from,B162&lt;in_marketplace_from+in_card_months),in_card_share/in_card_months*F162*I162,IF(AND(B162&gt;=in_marketplace_from+in_card_months,B162&lt;in_marketplace_from+2*in_card_months),in_card_share*d_card_rem/in_card_months*F162*MIN(in_takeup_cap,(1+in_takeup_growth)^(D162-1))*MIN(in_takeup_cap,(1+in_approval_growth)^(D162-1)),0))</f>
        <v/>
      </c>
      <c r="AA162" s="14">
        <f>V162*in_fee*(1-in_taken_back)</f>
        <v/>
      </c>
      <c r="AB162" s="14">
        <f>SUMIFS(W121:W178,B121:B178,B162-in_dpd_lag)*d_dpd</f>
        <v/>
      </c>
      <c r="AC162" s="14">
        <f>SUMIFS(W121:W178,B121:B178,B162-in_rec_lag)*d_rec</f>
        <v/>
      </c>
      <c r="AD162" s="14">
        <f>Z162*in_card_fee</f>
        <v/>
      </c>
      <c r="AE162" s="40">
        <f>AE161*(1-IF(B161&gt;=in_marketplace_from,d_hz_hlth_small*G161,0))</f>
        <v/>
      </c>
      <c r="AF162" s="46">
        <f>AE162*IF(B162&gt;=in_marketplace_from,d_hz_hlth_small*G162,0)</f>
        <v/>
      </c>
      <c r="AG162" s="14">
        <f>F162*AF162*in_hlth_small_ticket*in_hlth_small_comm*in_ins_partner_share+F162*in_hlth_small_ticket*in_hlth_small_renew_comm*in_ins_partner_share*(in_hlth_small_renew^1*SUMIFS(AF121:AF178,B121:B178,B162-12)+in_hlth_small_renew^2*SUMIFS(AF121:AF178,B121:B178,B162-24)+in_hlth_small_renew^3*SUMIFS(AF121:AF178,B121:B178,B162-36)+in_hlth_small_renew^4*SUMIFS(AF121:AF178,B121:B178,B162-48))</f>
        <v/>
      </c>
      <c r="AH162" s="40">
        <f>AH161*(1-IF(B161&gt;=in_marketplace_from,d_hz_hlth_family*G161,0))</f>
        <v/>
      </c>
      <c r="AI162" s="46">
        <f>AH162*IF(B162&gt;=in_marketplace_from,d_hz_hlth_family*G162,0)</f>
        <v/>
      </c>
      <c r="AJ162" s="14">
        <f>F162*AI162*in_hlth_family_ticket*in_hlth_family_comm*in_ins_partner_share+F162*in_hlth_family_ticket*in_hlth_family_renew_comm*in_ins_partner_share*(in_hlth_family_renew^1*SUMIFS(AI121:AI178,B121:B178,B162-12)+in_hlth_family_renew^2*SUMIFS(AI121:AI178,B121:B178,B162-24)+in_hlth_family_renew^3*SUMIFS(AI121:AI178,B121:B178,B162-36)+in_hlth_family_renew^4*SUMIFS(AI121:AI178,B121:B178,B162-48))</f>
        <v/>
      </c>
      <c r="AK162" s="40">
        <f>AK161*(1-IF(B161&gt;=in_marketplace_from,d_hz_life_term*G161,0))</f>
        <v/>
      </c>
      <c r="AL162" s="46">
        <f>AK162*IF(B162&gt;=in_marketplace_from,d_hz_life_term*G162,0)</f>
        <v/>
      </c>
      <c r="AM162" s="14">
        <f>F162*AL162*in_life_term_ticket*in_life_term_comm*in_ins_partner_share+F162*in_life_term_ticket*in_life_term_renew_comm*in_ins_partner_share*(in_life_term_renew^1*SUMIFS(AL121:AL178,B121:B178,B162-12)+in_life_term_renew^2*SUMIFS(AL121:AL178,B121:B178,B162-24)+in_life_term_renew^3*SUMIFS(AL121:AL178,B121:B178,B162-36)+in_life_term_renew^4*SUMIFS(AL121:AL178,B121:B178,B162-48))</f>
        <v/>
      </c>
      <c r="AN162" s="40">
        <f>AN161*(1-IF(B161&gt;=in_marketplace_from,d_hz_accident*G161,0))</f>
        <v/>
      </c>
      <c r="AO162" s="46">
        <f>AN162*IF(B162&gt;=in_marketplace_from,d_hz_accident*G162,0)</f>
        <v/>
      </c>
      <c r="AP162" s="14">
        <f>F162*AO162*in_accident_ticket*in_accident_comm*in_ins_partner_share+F162*in_accident_ticket*in_accident_renew_comm*in_ins_partner_share*(in_accident_renew^1*SUMIFS(AO121:AO178,B121:B178,B162-12)+in_accident_renew^2*SUMIFS(AO121:AO178,B121:B178,B162-24)+in_accident_renew^3*SUMIFS(AO121:AO178,B121:B178,B162-36)+in_accident_renew^4*SUMIFS(AO121:AO178,B121:B178,B162-48))</f>
        <v/>
      </c>
      <c r="AQ162" s="40">
        <f>AQ161*(1-IF(B161&gt;=in_marketplace_from,d_hz_two_wheeler*G161,0))</f>
        <v/>
      </c>
      <c r="AR162" s="46">
        <f>AQ162*IF(B162&gt;=in_marketplace_from,d_hz_two_wheeler*G162,0)</f>
        <v/>
      </c>
      <c r="AS162" s="14">
        <f>F162*AR162*in_two_wheeler_ticket*in_two_wheeler_comm*in_ins_partner_share+F162*in_two_wheeler_ticket*in_two_wheeler_comm*in_ins_partner_share*(in_two_wheeler_renew^1*SUMIFS(AR121:AR178,B121:B178,B162-12)+in_two_wheeler_renew^2*SUMIFS(AR121:AR178,B121:B178,B162-24)+in_two_wheeler_renew^3*SUMIFS(AR121:AR178,B121:B178,B162-36)+in_two_wheeler_renew^4*SUMIFS(AR121:AR178,B121:B178,B162-48))</f>
        <v/>
      </c>
      <c r="AT162" s="40">
        <f>AT161*(1-IF(B161&gt;=in_marketplace_from,d_hz_device*G161,0))</f>
        <v/>
      </c>
      <c r="AU162" s="14">
        <f>F162*AT162*IF(B162&gt;=in_marketplace_from,d_hz_device*G162,0)*in_device_ticket*in_device_comm*in_ins_partner_share</f>
        <v/>
      </c>
      <c r="AV162" s="40">
        <f>AV161*(1-IF(B161&gt;=in_marketplace_from,d_hz_shop*G161,0))</f>
        <v/>
      </c>
      <c r="AW162" s="46">
        <f>AV162*IF(B162&gt;=in_marketplace_from,d_hz_shop*G162,0)</f>
        <v/>
      </c>
      <c r="AX162" s="14">
        <f>F162*AW162*in_shop_ticket*in_shop_comm*in_ins_partner_share+F162*in_shop_ticket*in_shop_renew_comm*in_ins_partner_share*(in_shop_renew^1*SUMIFS(AW121:AW178,B121:B178,B162-12)+in_shop_renew^2*SUMIFS(AW121:AW178,B121:B178,B162-24)+in_shop_renew^3*SUMIFS(AW121:AW178,B121:B178,B162-36)+in_shop_renew^4*SUMIFS(AW121:AW178,B121:B178,B162-48))</f>
        <v/>
      </c>
      <c r="AY162" s="40">
        <f>AY161*(1-IF(B161&gt;=in_marketplace_from,d_hz_sip*G161,0))</f>
        <v/>
      </c>
      <c r="AZ162" s="40">
        <f>AZ161*d_rho_sip+AY162*IF(B162&gt;=in_marketplace_from,d_hz_sip*G162,0)</f>
        <v/>
      </c>
      <c r="BA162" s="40">
        <f>d_rho_sip*(BA161+AZ161)</f>
        <v/>
      </c>
      <c r="BB162" s="14">
        <f>F162*in_sip_ticket*(BA162+0.5*AZ162)*in_sip_comm/12</f>
        <v/>
      </c>
      <c r="BC162" s="40">
        <f>BC161*(1-IF(B161&gt;=in_marketplace_from,d_hz_choti*G161,0))</f>
        <v/>
      </c>
      <c r="BD162" s="46">
        <f>BC162*IF(B162&gt;=in_marketplace_from,d_hz_choti*G162,0)</f>
        <v/>
      </c>
      <c r="BE162" s="14">
        <f>F162*SUMIFS(BD121:BD178,B121:B178,B162-in_choti_months)*in_choti_renew*in_choti_ticket</f>
        <v/>
      </c>
      <c r="BF162" s="40">
        <f>BF161*(1-IF(B161&gt;=in_marketplace_from,d_hz_nps*G161,0))</f>
        <v/>
      </c>
      <c r="BG162" s="14">
        <f>F162*BF162*IF(B162&gt;=in_marketplace_from,d_hz_nps*G162,0)*in_nps_ticket*in_nps_comm</f>
        <v/>
      </c>
      <c r="BH162" s="40">
        <f>BH161*(1-IF(B161&gt;=in_marketplace_from,d_hz_gold*G161,0))</f>
        <v/>
      </c>
      <c r="BI162" s="40">
        <f>BI161*d_rho_gold+BH162*IF(B162&gt;=in_marketplace_from,d_hz_gold*G162,0)</f>
        <v/>
      </c>
      <c r="BJ162" s="14">
        <f>F162*BI162*in_gold_ticket*in_gold_comm</f>
        <v/>
      </c>
      <c r="BK162" s="40">
        <f>BK161*(1-IF(B161&gt;=in_marketplace_from,d_hz_fd*G161,0))</f>
        <v/>
      </c>
      <c r="BL162" s="14">
        <f>F162*BK162*IF(B162&gt;=in_marketplace_from,d_hz_fd*G162,0)*in_fd_ticket*in_fd_comm</f>
        <v/>
      </c>
      <c r="BM162" s="40">
        <f>BM161*(1-IF(B161&gt;=in_marketplace_from,d_hz_recharge*G161,0))</f>
        <v/>
      </c>
      <c r="BN162" s="40">
        <f>BN161*d_rho_recharge+BM162*IF(B162&gt;=in_marketplace_from,d_hz_recharge*G162,0)</f>
        <v/>
      </c>
      <c r="BO162" s="14">
        <f>F162*BN162*in_recharge_ticket*in_recharge_comm/12</f>
        <v/>
      </c>
      <c r="BP162" s="40">
        <f>BP161*(1-IF(B161&gt;=in_marketplace_from,d_hz_bills*G161,0))</f>
        <v/>
      </c>
      <c r="BQ162" s="40">
        <f>BQ161*d_rho_bills+BP162*IF(B162&gt;=in_marketplace_from,d_hz_bills*G162,0)</f>
        <v/>
      </c>
      <c r="BR162" s="14">
        <f>F162*BQ162*in_bills_ticket*in_bills_comm/12</f>
        <v/>
      </c>
      <c r="BS162" s="40">
        <f>BS161*(1-IF(B161&gt;=in_marketplace_from,d_hz_loan_gold*G161,0))</f>
        <v/>
      </c>
      <c r="BT162" s="14">
        <f>F162*BS162*IF(B162&gt;=in_marketplace_from,d_hz_loan_gold*G162,0)*in_loan_gold_ticket*in_loan_gold_comm</f>
        <v/>
      </c>
      <c r="BU162" s="40">
        <f>BU161*(1-IF(B161&gt;=in_marketplace_from,d_hz_loan_cd*G161,0))</f>
        <v/>
      </c>
      <c r="BV162" s="14">
        <f>F162*BU162*IF(B162&gt;=in_marketplace_from,d_hz_loan_cd*G162,0)*in_loan_cd_ticket*in_loan_cd_comm</f>
        <v/>
      </c>
      <c r="BW162" s="40">
        <f>BW161*(1-IF(B161&gt;=in_marketplace_from,d_hz_loan_vehicle*G161,0))</f>
        <v/>
      </c>
      <c r="BX162" s="14">
        <f>F162*BW162*IF(B162&gt;=in_marketplace_from,d_hz_loan_vehicle*G162,0)*in_loan_vehicle_ticket*in_loan_vehicle_comm</f>
        <v/>
      </c>
      <c r="BY162" s="40">
        <f>BY161*(1-IF(B161&gt;=in_marketplace_from,d_hz_loan_home*G161,0)*BZ161)</f>
        <v/>
      </c>
      <c r="BZ162" s="11">
        <f>MIN(in_approval_cap,in_loan_home_approval*INDEX('Age profile'!$O$2:$O$61,B162)*(1+in_approval_growth)^(D162-1))</f>
        <v/>
      </c>
      <c r="CA162" s="14">
        <f>F162*BY162*IF(B162&gt;=in_marketplace_from,d_hz_loan_home*G162,0)*BZ162*in_loan_home_ticket*in_loan_home_comm</f>
        <v/>
      </c>
      <c r="CB162" s="40">
        <f>CB161*(1-IF(B161&gt;=in_marketplace_from,d_hz_loan_lap*G161,0)*CC161)</f>
        <v/>
      </c>
      <c r="CC162" s="11">
        <f>MIN(in_approval_cap,in_loan_lap_approval*INDEX('Age profile'!$O$2:$O$61,B162)*(1+in_approval_growth)^(D162-1))</f>
        <v/>
      </c>
      <c r="CD162" s="14">
        <f>F162*CB162*IF(B162&gt;=in_marketplace_from,d_hz_loan_lap*G162,0)*CC162*in_loan_lap_ticket*in_loan_lap_comm</f>
        <v/>
      </c>
      <c r="CE162" s="14">
        <f>AA162+AB162+AC162+AD162+AG162+AJ162+AM162+AP162+AS162+AU162+AX162+BB162+BE162+BG162+BJ162+BL162+BO162+BR162+BT162+BV162+BX162+CA162+CD162</f>
        <v/>
      </c>
    </row>
    <row r="163">
      <c r="A163" s="39" t="n">
        <v>3</v>
      </c>
      <c r="B163" s="39" t="n">
        <v>43</v>
      </c>
      <c r="C163" s="39">
        <f>A163+B163-1</f>
        <v/>
      </c>
      <c r="D163" s="39">
        <f>INT((C163-1)/12)+1</f>
        <v/>
      </c>
      <c r="E163" s="44">
        <f>INDEX(Monthly!$B$2:$B$61,A163)</f>
        <v/>
      </c>
      <c r="F163" s="44">
        <f>E163*INDEX('Age profile'!$B$2:$B$61,B163)</f>
        <v/>
      </c>
      <c r="G163" s="45">
        <f>MIN(in_takeup_cap,INDEX('Age profile'!$N$2:$N$61,B163)*(1+in_takeup_growth)^(D163-1))</f>
        <v/>
      </c>
      <c r="H163" s="11">
        <f>MIN(in_approval_cap,in_approved_first*INDEX('Age profile'!$O$2:$O$61,B163)*(1+in_approval_growth)^(D163-1))</f>
        <v/>
      </c>
      <c r="I163" s="45">
        <f>G163*MIN(in_takeup_cap,INDEX('Age profile'!$O$2:$O$61,B163)*(1+in_approval_growth)^(D163-1))</f>
        <v/>
      </c>
      <c r="J163" s="40">
        <f>(J162-L162)*F163/F162</f>
        <v/>
      </c>
      <c r="K163" s="40">
        <f>(K162-M162)*F163/F162+SUMIFS(O121:O162,B121:B162,B163-1-d_T)*F163</f>
        <v/>
      </c>
      <c r="L163" s="40">
        <f>IF(B163&gt;=in_marketplace_from,J163*d_hz*G163*in_eligible*H163,0)</f>
        <v/>
      </c>
      <c r="M163" s="40">
        <f>IF(B163&gt;=in_marketplace_from,K163*d_hz*G163*in_eligible*in_approved_repeat,0)</f>
        <v/>
      </c>
      <c r="N163" s="40">
        <f>L163+M163</f>
        <v/>
      </c>
      <c r="O163" s="46">
        <f>N163/F163</f>
        <v/>
      </c>
      <c r="P163" s="40">
        <f>F163-J163-K163</f>
        <v/>
      </c>
      <c r="Q163" s="40">
        <f>IF(B163&gt;=in_marketplace_from,(J163+K163)*d_hz*G163,0)</f>
        <v/>
      </c>
      <c r="R163" s="40">
        <f>SUMIFS(N121:N178,B121:B178,"&gt;="&amp;(B163-d_T),B121:B178,"&lt;="&amp;(B163-1))</f>
        <v/>
      </c>
      <c r="S163" s="46">
        <f>(1-d_u)*S162+IF(d_T&gt;in_topup_lag,SUMIFS(O121:O178,B121:B178,B163-in_topup_lag)-d_udrop*SUMIFS(O121:O178,B121:B178,B163-d_T),0)</f>
        <v/>
      </c>
      <c r="T163" s="40">
        <f>F163*d_u*S163</f>
        <v/>
      </c>
      <c r="U163" s="9">
        <f>L163*in_ticket+M163*d_rep_ticket</f>
        <v/>
      </c>
      <c r="V163" s="9">
        <f>U163+T163*d_topup_amt</f>
        <v/>
      </c>
      <c r="W163" s="40">
        <f>N163+T163*d_topup_ratio</f>
        <v/>
      </c>
      <c r="X163" s="40">
        <f>SUMIFS(W121:W178,B121:B178,B163-in_dpd_lag)*d_cured</f>
        <v/>
      </c>
      <c r="Y163" s="40">
        <f>SUMIFS(W121:W178,B121:B178,B163-in_rec_lag)*d_recd</f>
        <v/>
      </c>
      <c r="Z163" s="40">
        <f>IF(AND(B163&gt;=in_marketplace_from,B163&lt;in_marketplace_from+in_card_months),in_card_share/in_card_months*F163*I163,IF(AND(B163&gt;=in_marketplace_from+in_card_months,B163&lt;in_marketplace_from+2*in_card_months),in_card_share*d_card_rem/in_card_months*F163*MIN(in_takeup_cap,(1+in_takeup_growth)^(D163-1))*MIN(in_takeup_cap,(1+in_approval_growth)^(D163-1)),0))</f>
        <v/>
      </c>
      <c r="AA163" s="14">
        <f>V163*in_fee*(1-in_taken_back)</f>
        <v/>
      </c>
      <c r="AB163" s="14">
        <f>SUMIFS(W121:W178,B121:B178,B163-in_dpd_lag)*d_dpd</f>
        <v/>
      </c>
      <c r="AC163" s="14">
        <f>SUMIFS(W121:W178,B121:B178,B163-in_rec_lag)*d_rec</f>
        <v/>
      </c>
      <c r="AD163" s="14">
        <f>Z163*in_card_fee</f>
        <v/>
      </c>
      <c r="AE163" s="40">
        <f>AE162*(1-IF(B162&gt;=in_marketplace_from,d_hz_hlth_small*G162,0))</f>
        <v/>
      </c>
      <c r="AF163" s="46">
        <f>AE163*IF(B163&gt;=in_marketplace_from,d_hz_hlth_small*G163,0)</f>
        <v/>
      </c>
      <c r="AG163" s="14">
        <f>F163*AF163*in_hlth_small_ticket*in_hlth_small_comm*in_ins_partner_share+F163*in_hlth_small_ticket*in_hlth_small_renew_comm*in_ins_partner_share*(in_hlth_small_renew^1*SUMIFS(AF121:AF178,B121:B178,B163-12)+in_hlth_small_renew^2*SUMIFS(AF121:AF178,B121:B178,B163-24)+in_hlth_small_renew^3*SUMIFS(AF121:AF178,B121:B178,B163-36)+in_hlth_small_renew^4*SUMIFS(AF121:AF178,B121:B178,B163-48))</f>
        <v/>
      </c>
      <c r="AH163" s="40">
        <f>AH162*(1-IF(B162&gt;=in_marketplace_from,d_hz_hlth_family*G162,0))</f>
        <v/>
      </c>
      <c r="AI163" s="46">
        <f>AH163*IF(B163&gt;=in_marketplace_from,d_hz_hlth_family*G163,0)</f>
        <v/>
      </c>
      <c r="AJ163" s="14">
        <f>F163*AI163*in_hlth_family_ticket*in_hlth_family_comm*in_ins_partner_share+F163*in_hlth_family_ticket*in_hlth_family_renew_comm*in_ins_partner_share*(in_hlth_family_renew^1*SUMIFS(AI121:AI178,B121:B178,B163-12)+in_hlth_family_renew^2*SUMIFS(AI121:AI178,B121:B178,B163-24)+in_hlth_family_renew^3*SUMIFS(AI121:AI178,B121:B178,B163-36)+in_hlth_family_renew^4*SUMIFS(AI121:AI178,B121:B178,B163-48))</f>
        <v/>
      </c>
      <c r="AK163" s="40">
        <f>AK162*(1-IF(B162&gt;=in_marketplace_from,d_hz_life_term*G162,0))</f>
        <v/>
      </c>
      <c r="AL163" s="46">
        <f>AK163*IF(B163&gt;=in_marketplace_from,d_hz_life_term*G163,0)</f>
        <v/>
      </c>
      <c r="AM163" s="14">
        <f>F163*AL163*in_life_term_ticket*in_life_term_comm*in_ins_partner_share+F163*in_life_term_ticket*in_life_term_renew_comm*in_ins_partner_share*(in_life_term_renew^1*SUMIFS(AL121:AL178,B121:B178,B163-12)+in_life_term_renew^2*SUMIFS(AL121:AL178,B121:B178,B163-24)+in_life_term_renew^3*SUMIFS(AL121:AL178,B121:B178,B163-36)+in_life_term_renew^4*SUMIFS(AL121:AL178,B121:B178,B163-48))</f>
        <v/>
      </c>
      <c r="AN163" s="40">
        <f>AN162*(1-IF(B162&gt;=in_marketplace_from,d_hz_accident*G162,0))</f>
        <v/>
      </c>
      <c r="AO163" s="46">
        <f>AN163*IF(B163&gt;=in_marketplace_from,d_hz_accident*G163,0)</f>
        <v/>
      </c>
      <c r="AP163" s="14">
        <f>F163*AO163*in_accident_ticket*in_accident_comm*in_ins_partner_share+F163*in_accident_ticket*in_accident_renew_comm*in_ins_partner_share*(in_accident_renew^1*SUMIFS(AO121:AO178,B121:B178,B163-12)+in_accident_renew^2*SUMIFS(AO121:AO178,B121:B178,B163-24)+in_accident_renew^3*SUMIFS(AO121:AO178,B121:B178,B163-36)+in_accident_renew^4*SUMIFS(AO121:AO178,B121:B178,B163-48))</f>
        <v/>
      </c>
      <c r="AQ163" s="40">
        <f>AQ162*(1-IF(B162&gt;=in_marketplace_from,d_hz_two_wheeler*G162,0))</f>
        <v/>
      </c>
      <c r="AR163" s="46">
        <f>AQ163*IF(B163&gt;=in_marketplace_from,d_hz_two_wheeler*G163,0)</f>
        <v/>
      </c>
      <c r="AS163" s="14">
        <f>F163*AR163*in_two_wheeler_ticket*in_two_wheeler_comm*in_ins_partner_share+F163*in_two_wheeler_ticket*in_two_wheeler_comm*in_ins_partner_share*(in_two_wheeler_renew^1*SUMIFS(AR121:AR178,B121:B178,B163-12)+in_two_wheeler_renew^2*SUMIFS(AR121:AR178,B121:B178,B163-24)+in_two_wheeler_renew^3*SUMIFS(AR121:AR178,B121:B178,B163-36)+in_two_wheeler_renew^4*SUMIFS(AR121:AR178,B121:B178,B163-48))</f>
        <v/>
      </c>
      <c r="AT163" s="40">
        <f>AT162*(1-IF(B162&gt;=in_marketplace_from,d_hz_device*G162,0))</f>
        <v/>
      </c>
      <c r="AU163" s="14">
        <f>F163*AT163*IF(B163&gt;=in_marketplace_from,d_hz_device*G163,0)*in_device_ticket*in_device_comm*in_ins_partner_share</f>
        <v/>
      </c>
      <c r="AV163" s="40">
        <f>AV162*(1-IF(B162&gt;=in_marketplace_from,d_hz_shop*G162,0))</f>
        <v/>
      </c>
      <c r="AW163" s="46">
        <f>AV163*IF(B163&gt;=in_marketplace_from,d_hz_shop*G163,0)</f>
        <v/>
      </c>
      <c r="AX163" s="14">
        <f>F163*AW163*in_shop_ticket*in_shop_comm*in_ins_partner_share+F163*in_shop_ticket*in_shop_renew_comm*in_ins_partner_share*(in_shop_renew^1*SUMIFS(AW121:AW178,B121:B178,B163-12)+in_shop_renew^2*SUMIFS(AW121:AW178,B121:B178,B163-24)+in_shop_renew^3*SUMIFS(AW121:AW178,B121:B178,B163-36)+in_shop_renew^4*SUMIFS(AW121:AW178,B121:B178,B163-48))</f>
        <v/>
      </c>
      <c r="AY163" s="40">
        <f>AY162*(1-IF(B162&gt;=in_marketplace_from,d_hz_sip*G162,0))</f>
        <v/>
      </c>
      <c r="AZ163" s="40">
        <f>AZ162*d_rho_sip+AY163*IF(B163&gt;=in_marketplace_from,d_hz_sip*G163,0)</f>
        <v/>
      </c>
      <c r="BA163" s="40">
        <f>d_rho_sip*(BA162+AZ162)</f>
        <v/>
      </c>
      <c r="BB163" s="14">
        <f>F163*in_sip_ticket*(BA163+0.5*AZ163)*in_sip_comm/12</f>
        <v/>
      </c>
      <c r="BC163" s="40">
        <f>BC162*(1-IF(B162&gt;=in_marketplace_from,d_hz_choti*G162,0))</f>
        <v/>
      </c>
      <c r="BD163" s="46">
        <f>BC163*IF(B163&gt;=in_marketplace_from,d_hz_choti*G163,0)</f>
        <v/>
      </c>
      <c r="BE163" s="14">
        <f>F163*SUMIFS(BD121:BD178,B121:B178,B163-in_choti_months)*in_choti_renew*in_choti_ticket</f>
        <v/>
      </c>
      <c r="BF163" s="40">
        <f>BF162*(1-IF(B162&gt;=in_marketplace_from,d_hz_nps*G162,0))</f>
        <v/>
      </c>
      <c r="BG163" s="14">
        <f>F163*BF163*IF(B163&gt;=in_marketplace_from,d_hz_nps*G163,0)*in_nps_ticket*in_nps_comm</f>
        <v/>
      </c>
      <c r="BH163" s="40">
        <f>BH162*(1-IF(B162&gt;=in_marketplace_from,d_hz_gold*G162,0))</f>
        <v/>
      </c>
      <c r="BI163" s="40">
        <f>BI162*d_rho_gold+BH163*IF(B163&gt;=in_marketplace_from,d_hz_gold*G163,0)</f>
        <v/>
      </c>
      <c r="BJ163" s="14">
        <f>F163*BI163*in_gold_ticket*in_gold_comm</f>
        <v/>
      </c>
      <c r="BK163" s="40">
        <f>BK162*(1-IF(B162&gt;=in_marketplace_from,d_hz_fd*G162,0))</f>
        <v/>
      </c>
      <c r="BL163" s="14">
        <f>F163*BK163*IF(B163&gt;=in_marketplace_from,d_hz_fd*G163,0)*in_fd_ticket*in_fd_comm</f>
        <v/>
      </c>
      <c r="BM163" s="40">
        <f>BM162*(1-IF(B162&gt;=in_marketplace_from,d_hz_recharge*G162,0))</f>
        <v/>
      </c>
      <c r="BN163" s="40">
        <f>BN162*d_rho_recharge+BM163*IF(B163&gt;=in_marketplace_from,d_hz_recharge*G163,0)</f>
        <v/>
      </c>
      <c r="BO163" s="14">
        <f>F163*BN163*in_recharge_ticket*in_recharge_comm/12</f>
        <v/>
      </c>
      <c r="BP163" s="40">
        <f>BP162*(1-IF(B162&gt;=in_marketplace_from,d_hz_bills*G162,0))</f>
        <v/>
      </c>
      <c r="BQ163" s="40">
        <f>BQ162*d_rho_bills+BP163*IF(B163&gt;=in_marketplace_from,d_hz_bills*G163,0)</f>
        <v/>
      </c>
      <c r="BR163" s="14">
        <f>F163*BQ163*in_bills_ticket*in_bills_comm/12</f>
        <v/>
      </c>
      <c r="BS163" s="40">
        <f>BS162*(1-IF(B162&gt;=in_marketplace_from,d_hz_loan_gold*G162,0))</f>
        <v/>
      </c>
      <c r="BT163" s="14">
        <f>F163*BS163*IF(B163&gt;=in_marketplace_from,d_hz_loan_gold*G163,0)*in_loan_gold_ticket*in_loan_gold_comm</f>
        <v/>
      </c>
      <c r="BU163" s="40">
        <f>BU162*(1-IF(B162&gt;=in_marketplace_from,d_hz_loan_cd*G162,0))</f>
        <v/>
      </c>
      <c r="BV163" s="14">
        <f>F163*BU163*IF(B163&gt;=in_marketplace_from,d_hz_loan_cd*G163,0)*in_loan_cd_ticket*in_loan_cd_comm</f>
        <v/>
      </c>
      <c r="BW163" s="40">
        <f>BW162*(1-IF(B162&gt;=in_marketplace_from,d_hz_loan_vehicle*G162,0))</f>
        <v/>
      </c>
      <c r="BX163" s="14">
        <f>F163*BW163*IF(B163&gt;=in_marketplace_from,d_hz_loan_vehicle*G163,0)*in_loan_vehicle_ticket*in_loan_vehicle_comm</f>
        <v/>
      </c>
      <c r="BY163" s="40">
        <f>BY162*(1-IF(B162&gt;=in_marketplace_from,d_hz_loan_home*G162,0)*BZ162)</f>
        <v/>
      </c>
      <c r="BZ163" s="11">
        <f>MIN(in_approval_cap,in_loan_home_approval*INDEX('Age profile'!$O$2:$O$61,B163)*(1+in_approval_growth)^(D163-1))</f>
        <v/>
      </c>
      <c r="CA163" s="14">
        <f>F163*BY163*IF(B163&gt;=in_marketplace_from,d_hz_loan_home*G163,0)*BZ163*in_loan_home_ticket*in_loan_home_comm</f>
        <v/>
      </c>
      <c r="CB163" s="40">
        <f>CB162*(1-IF(B162&gt;=in_marketplace_from,d_hz_loan_lap*G162,0)*CC162)</f>
        <v/>
      </c>
      <c r="CC163" s="11">
        <f>MIN(in_approval_cap,in_loan_lap_approval*INDEX('Age profile'!$O$2:$O$61,B163)*(1+in_approval_growth)^(D163-1))</f>
        <v/>
      </c>
      <c r="CD163" s="14">
        <f>F163*CB163*IF(B163&gt;=in_marketplace_from,d_hz_loan_lap*G163,0)*CC163*in_loan_lap_ticket*in_loan_lap_comm</f>
        <v/>
      </c>
      <c r="CE163" s="14">
        <f>AA163+AB163+AC163+AD163+AG163+AJ163+AM163+AP163+AS163+AU163+AX163+BB163+BE163+BG163+BJ163+BL163+BO163+BR163+BT163+BV163+BX163+CA163+CD163</f>
        <v/>
      </c>
    </row>
    <row r="164">
      <c r="A164" s="39" t="n">
        <v>3</v>
      </c>
      <c r="B164" s="39" t="n">
        <v>44</v>
      </c>
      <c r="C164" s="39">
        <f>A164+B164-1</f>
        <v/>
      </c>
      <c r="D164" s="39">
        <f>INT((C164-1)/12)+1</f>
        <v/>
      </c>
      <c r="E164" s="44">
        <f>INDEX(Monthly!$B$2:$B$61,A164)</f>
        <v/>
      </c>
      <c r="F164" s="44">
        <f>E164*INDEX('Age profile'!$B$2:$B$61,B164)</f>
        <v/>
      </c>
      <c r="G164" s="45">
        <f>MIN(in_takeup_cap,INDEX('Age profile'!$N$2:$N$61,B164)*(1+in_takeup_growth)^(D164-1))</f>
        <v/>
      </c>
      <c r="H164" s="11">
        <f>MIN(in_approval_cap,in_approved_first*INDEX('Age profile'!$O$2:$O$61,B164)*(1+in_approval_growth)^(D164-1))</f>
        <v/>
      </c>
      <c r="I164" s="45">
        <f>G164*MIN(in_takeup_cap,INDEX('Age profile'!$O$2:$O$61,B164)*(1+in_approval_growth)^(D164-1))</f>
        <v/>
      </c>
      <c r="J164" s="40">
        <f>(J163-L163)*F164/F163</f>
        <v/>
      </c>
      <c r="K164" s="40">
        <f>(K163-M163)*F164/F163+SUMIFS(O121:O163,B121:B163,B164-1-d_T)*F164</f>
        <v/>
      </c>
      <c r="L164" s="40">
        <f>IF(B164&gt;=in_marketplace_from,J164*d_hz*G164*in_eligible*H164,0)</f>
        <v/>
      </c>
      <c r="M164" s="40">
        <f>IF(B164&gt;=in_marketplace_from,K164*d_hz*G164*in_eligible*in_approved_repeat,0)</f>
        <v/>
      </c>
      <c r="N164" s="40">
        <f>L164+M164</f>
        <v/>
      </c>
      <c r="O164" s="46">
        <f>N164/F164</f>
        <v/>
      </c>
      <c r="P164" s="40">
        <f>F164-J164-K164</f>
        <v/>
      </c>
      <c r="Q164" s="40">
        <f>IF(B164&gt;=in_marketplace_from,(J164+K164)*d_hz*G164,0)</f>
        <v/>
      </c>
      <c r="R164" s="40">
        <f>SUMIFS(N121:N178,B121:B178,"&gt;="&amp;(B164-d_T),B121:B178,"&lt;="&amp;(B164-1))</f>
        <v/>
      </c>
      <c r="S164" s="46">
        <f>(1-d_u)*S163+IF(d_T&gt;in_topup_lag,SUMIFS(O121:O178,B121:B178,B164-in_topup_lag)-d_udrop*SUMIFS(O121:O178,B121:B178,B164-d_T),0)</f>
        <v/>
      </c>
      <c r="T164" s="40">
        <f>F164*d_u*S164</f>
        <v/>
      </c>
      <c r="U164" s="9">
        <f>L164*in_ticket+M164*d_rep_ticket</f>
        <v/>
      </c>
      <c r="V164" s="9">
        <f>U164+T164*d_topup_amt</f>
        <v/>
      </c>
      <c r="W164" s="40">
        <f>N164+T164*d_topup_ratio</f>
        <v/>
      </c>
      <c r="X164" s="40">
        <f>SUMIFS(W121:W178,B121:B178,B164-in_dpd_lag)*d_cured</f>
        <v/>
      </c>
      <c r="Y164" s="40">
        <f>SUMIFS(W121:W178,B121:B178,B164-in_rec_lag)*d_recd</f>
        <v/>
      </c>
      <c r="Z164" s="40">
        <f>IF(AND(B164&gt;=in_marketplace_from,B164&lt;in_marketplace_from+in_card_months),in_card_share/in_card_months*F164*I164,IF(AND(B164&gt;=in_marketplace_from+in_card_months,B164&lt;in_marketplace_from+2*in_card_months),in_card_share*d_card_rem/in_card_months*F164*MIN(in_takeup_cap,(1+in_takeup_growth)^(D164-1))*MIN(in_takeup_cap,(1+in_approval_growth)^(D164-1)),0))</f>
        <v/>
      </c>
      <c r="AA164" s="14">
        <f>V164*in_fee*(1-in_taken_back)</f>
        <v/>
      </c>
      <c r="AB164" s="14">
        <f>SUMIFS(W121:W178,B121:B178,B164-in_dpd_lag)*d_dpd</f>
        <v/>
      </c>
      <c r="AC164" s="14">
        <f>SUMIFS(W121:W178,B121:B178,B164-in_rec_lag)*d_rec</f>
        <v/>
      </c>
      <c r="AD164" s="14">
        <f>Z164*in_card_fee</f>
        <v/>
      </c>
      <c r="AE164" s="40">
        <f>AE163*(1-IF(B163&gt;=in_marketplace_from,d_hz_hlth_small*G163,0))</f>
        <v/>
      </c>
      <c r="AF164" s="46">
        <f>AE164*IF(B164&gt;=in_marketplace_from,d_hz_hlth_small*G164,0)</f>
        <v/>
      </c>
      <c r="AG164" s="14">
        <f>F164*AF164*in_hlth_small_ticket*in_hlth_small_comm*in_ins_partner_share+F164*in_hlth_small_ticket*in_hlth_small_renew_comm*in_ins_partner_share*(in_hlth_small_renew^1*SUMIFS(AF121:AF178,B121:B178,B164-12)+in_hlth_small_renew^2*SUMIFS(AF121:AF178,B121:B178,B164-24)+in_hlth_small_renew^3*SUMIFS(AF121:AF178,B121:B178,B164-36)+in_hlth_small_renew^4*SUMIFS(AF121:AF178,B121:B178,B164-48))</f>
        <v/>
      </c>
      <c r="AH164" s="40">
        <f>AH163*(1-IF(B163&gt;=in_marketplace_from,d_hz_hlth_family*G163,0))</f>
        <v/>
      </c>
      <c r="AI164" s="46">
        <f>AH164*IF(B164&gt;=in_marketplace_from,d_hz_hlth_family*G164,0)</f>
        <v/>
      </c>
      <c r="AJ164" s="14">
        <f>F164*AI164*in_hlth_family_ticket*in_hlth_family_comm*in_ins_partner_share+F164*in_hlth_family_ticket*in_hlth_family_renew_comm*in_ins_partner_share*(in_hlth_family_renew^1*SUMIFS(AI121:AI178,B121:B178,B164-12)+in_hlth_family_renew^2*SUMIFS(AI121:AI178,B121:B178,B164-24)+in_hlth_family_renew^3*SUMIFS(AI121:AI178,B121:B178,B164-36)+in_hlth_family_renew^4*SUMIFS(AI121:AI178,B121:B178,B164-48))</f>
        <v/>
      </c>
      <c r="AK164" s="40">
        <f>AK163*(1-IF(B163&gt;=in_marketplace_from,d_hz_life_term*G163,0))</f>
        <v/>
      </c>
      <c r="AL164" s="46">
        <f>AK164*IF(B164&gt;=in_marketplace_from,d_hz_life_term*G164,0)</f>
        <v/>
      </c>
      <c r="AM164" s="14">
        <f>F164*AL164*in_life_term_ticket*in_life_term_comm*in_ins_partner_share+F164*in_life_term_ticket*in_life_term_renew_comm*in_ins_partner_share*(in_life_term_renew^1*SUMIFS(AL121:AL178,B121:B178,B164-12)+in_life_term_renew^2*SUMIFS(AL121:AL178,B121:B178,B164-24)+in_life_term_renew^3*SUMIFS(AL121:AL178,B121:B178,B164-36)+in_life_term_renew^4*SUMIFS(AL121:AL178,B121:B178,B164-48))</f>
        <v/>
      </c>
      <c r="AN164" s="40">
        <f>AN163*(1-IF(B163&gt;=in_marketplace_from,d_hz_accident*G163,0))</f>
        <v/>
      </c>
      <c r="AO164" s="46">
        <f>AN164*IF(B164&gt;=in_marketplace_from,d_hz_accident*G164,0)</f>
        <v/>
      </c>
      <c r="AP164" s="14">
        <f>F164*AO164*in_accident_ticket*in_accident_comm*in_ins_partner_share+F164*in_accident_ticket*in_accident_renew_comm*in_ins_partner_share*(in_accident_renew^1*SUMIFS(AO121:AO178,B121:B178,B164-12)+in_accident_renew^2*SUMIFS(AO121:AO178,B121:B178,B164-24)+in_accident_renew^3*SUMIFS(AO121:AO178,B121:B178,B164-36)+in_accident_renew^4*SUMIFS(AO121:AO178,B121:B178,B164-48))</f>
        <v/>
      </c>
      <c r="AQ164" s="40">
        <f>AQ163*(1-IF(B163&gt;=in_marketplace_from,d_hz_two_wheeler*G163,0))</f>
        <v/>
      </c>
      <c r="AR164" s="46">
        <f>AQ164*IF(B164&gt;=in_marketplace_from,d_hz_two_wheeler*G164,0)</f>
        <v/>
      </c>
      <c r="AS164" s="14">
        <f>F164*AR164*in_two_wheeler_ticket*in_two_wheeler_comm*in_ins_partner_share+F164*in_two_wheeler_ticket*in_two_wheeler_comm*in_ins_partner_share*(in_two_wheeler_renew^1*SUMIFS(AR121:AR178,B121:B178,B164-12)+in_two_wheeler_renew^2*SUMIFS(AR121:AR178,B121:B178,B164-24)+in_two_wheeler_renew^3*SUMIFS(AR121:AR178,B121:B178,B164-36)+in_two_wheeler_renew^4*SUMIFS(AR121:AR178,B121:B178,B164-48))</f>
        <v/>
      </c>
      <c r="AT164" s="40">
        <f>AT163*(1-IF(B163&gt;=in_marketplace_from,d_hz_device*G163,0))</f>
        <v/>
      </c>
      <c r="AU164" s="14">
        <f>F164*AT164*IF(B164&gt;=in_marketplace_from,d_hz_device*G164,0)*in_device_ticket*in_device_comm*in_ins_partner_share</f>
        <v/>
      </c>
      <c r="AV164" s="40">
        <f>AV163*(1-IF(B163&gt;=in_marketplace_from,d_hz_shop*G163,0))</f>
        <v/>
      </c>
      <c r="AW164" s="46">
        <f>AV164*IF(B164&gt;=in_marketplace_from,d_hz_shop*G164,0)</f>
        <v/>
      </c>
      <c r="AX164" s="14">
        <f>F164*AW164*in_shop_ticket*in_shop_comm*in_ins_partner_share+F164*in_shop_ticket*in_shop_renew_comm*in_ins_partner_share*(in_shop_renew^1*SUMIFS(AW121:AW178,B121:B178,B164-12)+in_shop_renew^2*SUMIFS(AW121:AW178,B121:B178,B164-24)+in_shop_renew^3*SUMIFS(AW121:AW178,B121:B178,B164-36)+in_shop_renew^4*SUMIFS(AW121:AW178,B121:B178,B164-48))</f>
        <v/>
      </c>
      <c r="AY164" s="40">
        <f>AY163*(1-IF(B163&gt;=in_marketplace_from,d_hz_sip*G163,0))</f>
        <v/>
      </c>
      <c r="AZ164" s="40">
        <f>AZ163*d_rho_sip+AY164*IF(B164&gt;=in_marketplace_from,d_hz_sip*G164,0)</f>
        <v/>
      </c>
      <c r="BA164" s="40">
        <f>d_rho_sip*(BA163+AZ163)</f>
        <v/>
      </c>
      <c r="BB164" s="14">
        <f>F164*in_sip_ticket*(BA164+0.5*AZ164)*in_sip_comm/12</f>
        <v/>
      </c>
      <c r="BC164" s="40">
        <f>BC163*(1-IF(B163&gt;=in_marketplace_from,d_hz_choti*G163,0))</f>
        <v/>
      </c>
      <c r="BD164" s="46">
        <f>BC164*IF(B164&gt;=in_marketplace_from,d_hz_choti*G164,0)</f>
        <v/>
      </c>
      <c r="BE164" s="14">
        <f>F164*SUMIFS(BD121:BD178,B121:B178,B164-in_choti_months)*in_choti_renew*in_choti_ticket</f>
        <v/>
      </c>
      <c r="BF164" s="40">
        <f>BF163*(1-IF(B163&gt;=in_marketplace_from,d_hz_nps*G163,0))</f>
        <v/>
      </c>
      <c r="BG164" s="14">
        <f>F164*BF164*IF(B164&gt;=in_marketplace_from,d_hz_nps*G164,0)*in_nps_ticket*in_nps_comm</f>
        <v/>
      </c>
      <c r="BH164" s="40">
        <f>BH163*(1-IF(B163&gt;=in_marketplace_from,d_hz_gold*G163,0))</f>
        <v/>
      </c>
      <c r="BI164" s="40">
        <f>BI163*d_rho_gold+BH164*IF(B164&gt;=in_marketplace_from,d_hz_gold*G164,0)</f>
        <v/>
      </c>
      <c r="BJ164" s="14">
        <f>F164*BI164*in_gold_ticket*in_gold_comm</f>
        <v/>
      </c>
      <c r="BK164" s="40">
        <f>BK163*(1-IF(B163&gt;=in_marketplace_from,d_hz_fd*G163,0))</f>
        <v/>
      </c>
      <c r="BL164" s="14">
        <f>F164*BK164*IF(B164&gt;=in_marketplace_from,d_hz_fd*G164,0)*in_fd_ticket*in_fd_comm</f>
        <v/>
      </c>
      <c r="BM164" s="40">
        <f>BM163*(1-IF(B163&gt;=in_marketplace_from,d_hz_recharge*G163,0))</f>
        <v/>
      </c>
      <c r="BN164" s="40">
        <f>BN163*d_rho_recharge+BM164*IF(B164&gt;=in_marketplace_from,d_hz_recharge*G164,0)</f>
        <v/>
      </c>
      <c r="BO164" s="14">
        <f>F164*BN164*in_recharge_ticket*in_recharge_comm/12</f>
        <v/>
      </c>
      <c r="BP164" s="40">
        <f>BP163*(1-IF(B163&gt;=in_marketplace_from,d_hz_bills*G163,0))</f>
        <v/>
      </c>
      <c r="BQ164" s="40">
        <f>BQ163*d_rho_bills+BP164*IF(B164&gt;=in_marketplace_from,d_hz_bills*G164,0)</f>
        <v/>
      </c>
      <c r="BR164" s="14">
        <f>F164*BQ164*in_bills_ticket*in_bills_comm/12</f>
        <v/>
      </c>
      <c r="BS164" s="40">
        <f>BS163*(1-IF(B163&gt;=in_marketplace_from,d_hz_loan_gold*G163,0))</f>
        <v/>
      </c>
      <c r="BT164" s="14">
        <f>F164*BS164*IF(B164&gt;=in_marketplace_from,d_hz_loan_gold*G164,0)*in_loan_gold_ticket*in_loan_gold_comm</f>
        <v/>
      </c>
      <c r="BU164" s="40">
        <f>BU163*(1-IF(B163&gt;=in_marketplace_from,d_hz_loan_cd*G163,0))</f>
        <v/>
      </c>
      <c r="BV164" s="14">
        <f>F164*BU164*IF(B164&gt;=in_marketplace_from,d_hz_loan_cd*G164,0)*in_loan_cd_ticket*in_loan_cd_comm</f>
        <v/>
      </c>
      <c r="BW164" s="40">
        <f>BW163*(1-IF(B163&gt;=in_marketplace_from,d_hz_loan_vehicle*G163,0))</f>
        <v/>
      </c>
      <c r="BX164" s="14">
        <f>F164*BW164*IF(B164&gt;=in_marketplace_from,d_hz_loan_vehicle*G164,0)*in_loan_vehicle_ticket*in_loan_vehicle_comm</f>
        <v/>
      </c>
      <c r="BY164" s="40">
        <f>BY163*(1-IF(B163&gt;=in_marketplace_from,d_hz_loan_home*G163,0)*BZ163)</f>
        <v/>
      </c>
      <c r="BZ164" s="11">
        <f>MIN(in_approval_cap,in_loan_home_approval*INDEX('Age profile'!$O$2:$O$61,B164)*(1+in_approval_growth)^(D164-1))</f>
        <v/>
      </c>
      <c r="CA164" s="14">
        <f>F164*BY164*IF(B164&gt;=in_marketplace_from,d_hz_loan_home*G164,0)*BZ164*in_loan_home_ticket*in_loan_home_comm</f>
        <v/>
      </c>
      <c r="CB164" s="40">
        <f>CB163*(1-IF(B163&gt;=in_marketplace_from,d_hz_loan_lap*G163,0)*CC163)</f>
        <v/>
      </c>
      <c r="CC164" s="11">
        <f>MIN(in_approval_cap,in_loan_lap_approval*INDEX('Age profile'!$O$2:$O$61,B164)*(1+in_approval_growth)^(D164-1))</f>
        <v/>
      </c>
      <c r="CD164" s="14">
        <f>F164*CB164*IF(B164&gt;=in_marketplace_from,d_hz_loan_lap*G164,0)*CC164*in_loan_lap_ticket*in_loan_lap_comm</f>
        <v/>
      </c>
      <c r="CE164" s="14">
        <f>AA164+AB164+AC164+AD164+AG164+AJ164+AM164+AP164+AS164+AU164+AX164+BB164+BE164+BG164+BJ164+BL164+BO164+BR164+BT164+BV164+BX164+CA164+CD164</f>
        <v/>
      </c>
    </row>
    <row r="165">
      <c r="A165" s="39" t="n">
        <v>3</v>
      </c>
      <c r="B165" s="39" t="n">
        <v>45</v>
      </c>
      <c r="C165" s="39">
        <f>A165+B165-1</f>
        <v/>
      </c>
      <c r="D165" s="39">
        <f>INT((C165-1)/12)+1</f>
        <v/>
      </c>
      <c r="E165" s="44">
        <f>INDEX(Monthly!$B$2:$B$61,A165)</f>
        <v/>
      </c>
      <c r="F165" s="44">
        <f>E165*INDEX('Age profile'!$B$2:$B$61,B165)</f>
        <v/>
      </c>
      <c r="G165" s="45">
        <f>MIN(in_takeup_cap,INDEX('Age profile'!$N$2:$N$61,B165)*(1+in_takeup_growth)^(D165-1))</f>
        <v/>
      </c>
      <c r="H165" s="11">
        <f>MIN(in_approval_cap,in_approved_first*INDEX('Age profile'!$O$2:$O$61,B165)*(1+in_approval_growth)^(D165-1))</f>
        <v/>
      </c>
      <c r="I165" s="45">
        <f>G165*MIN(in_takeup_cap,INDEX('Age profile'!$O$2:$O$61,B165)*(1+in_approval_growth)^(D165-1))</f>
        <v/>
      </c>
      <c r="J165" s="40">
        <f>(J164-L164)*F165/F164</f>
        <v/>
      </c>
      <c r="K165" s="40">
        <f>(K164-M164)*F165/F164+SUMIFS(O121:O164,B121:B164,B165-1-d_T)*F165</f>
        <v/>
      </c>
      <c r="L165" s="40">
        <f>IF(B165&gt;=in_marketplace_from,J165*d_hz*G165*in_eligible*H165,0)</f>
        <v/>
      </c>
      <c r="M165" s="40">
        <f>IF(B165&gt;=in_marketplace_from,K165*d_hz*G165*in_eligible*in_approved_repeat,0)</f>
        <v/>
      </c>
      <c r="N165" s="40">
        <f>L165+M165</f>
        <v/>
      </c>
      <c r="O165" s="46">
        <f>N165/F165</f>
        <v/>
      </c>
      <c r="P165" s="40">
        <f>F165-J165-K165</f>
        <v/>
      </c>
      <c r="Q165" s="40">
        <f>IF(B165&gt;=in_marketplace_from,(J165+K165)*d_hz*G165,0)</f>
        <v/>
      </c>
      <c r="R165" s="40">
        <f>SUMIFS(N121:N178,B121:B178,"&gt;="&amp;(B165-d_T),B121:B178,"&lt;="&amp;(B165-1))</f>
        <v/>
      </c>
      <c r="S165" s="46">
        <f>(1-d_u)*S164+IF(d_T&gt;in_topup_lag,SUMIFS(O121:O178,B121:B178,B165-in_topup_lag)-d_udrop*SUMIFS(O121:O178,B121:B178,B165-d_T),0)</f>
        <v/>
      </c>
      <c r="T165" s="40">
        <f>F165*d_u*S165</f>
        <v/>
      </c>
      <c r="U165" s="9">
        <f>L165*in_ticket+M165*d_rep_ticket</f>
        <v/>
      </c>
      <c r="V165" s="9">
        <f>U165+T165*d_topup_amt</f>
        <v/>
      </c>
      <c r="W165" s="40">
        <f>N165+T165*d_topup_ratio</f>
        <v/>
      </c>
      <c r="X165" s="40">
        <f>SUMIFS(W121:W178,B121:B178,B165-in_dpd_lag)*d_cured</f>
        <v/>
      </c>
      <c r="Y165" s="40">
        <f>SUMIFS(W121:W178,B121:B178,B165-in_rec_lag)*d_recd</f>
        <v/>
      </c>
      <c r="Z165" s="40">
        <f>IF(AND(B165&gt;=in_marketplace_from,B165&lt;in_marketplace_from+in_card_months),in_card_share/in_card_months*F165*I165,IF(AND(B165&gt;=in_marketplace_from+in_card_months,B165&lt;in_marketplace_from+2*in_card_months),in_card_share*d_card_rem/in_card_months*F165*MIN(in_takeup_cap,(1+in_takeup_growth)^(D165-1))*MIN(in_takeup_cap,(1+in_approval_growth)^(D165-1)),0))</f>
        <v/>
      </c>
      <c r="AA165" s="14">
        <f>V165*in_fee*(1-in_taken_back)</f>
        <v/>
      </c>
      <c r="AB165" s="14">
        <f>SUMIFS(W121:W178,B121:B178,B165-in_dpd_lag)*d_dpd</f>
        <v/>
      </c>
      <c r="AC165" s="14">
        <f>SUMIFS(W121:W178,B121:B178,B165-in_rec_lag)*d_rec</f>
        <v/>
      </c>
      <c r="AD165" s="14">
        <f>Z165*in_card_fee</f>
        <v/>
      </c>
      <c r="AE165" s="40">
        <f>AE164*(1-IF(B164&gt;=in_marketplace_from,d_hz_hlth_small*G164,0))</f>
        <v/>
      </c>
      <c r="AF165" s="46">
        <f>AE165*IF(B165&gt;=in_marketplace_from,d_hz_hlth_small*G165,0)</f>
        <v/>
      </c>
      <c r="AG165" s="14">
        <f>F165*AF165*in_hlth_small_ticket*in_hlth_small_comm*in_ins_partner_share+F165*in_hlth_small_ticket*in_hlth_small_renew_comm*in_ins_partner_share*(in_hlth_small_renew^1*SUMIFS(AF121:AF178,B121:B178,B165-12)+in_hlth_small_renew^2*SUMIFS(AF121:AF178,B121:B178,B165-24)+in_hlth_small_renew^3*SUMIFS(AF121:AF178,B121:B178,B165-36)+in_hlth_small_renew^4*SUMIFS(AF121:AF178,B121:B178,B165-48))</f>
        <v/>
      </c>
      <c r="AH165" s="40">
        <f>AH164*(1-IF(B164&gt;=in_marketplace_from,d_hz_hlth_family*G164,0))</f>
        <v/>
      </c>
      <c r="AI165" s="46">
        <f>AH165*IF(B165&gt;=in_marketplace_from,d_hz_hlth_family*G165,0)</f>
        <v/>
      </c>
      <c r="AJ165" s="14">
        <f>F165*AI165*in_hlth_family_ticket*in_hlth_family_comm*in_ins_partner_share+F165*in_hlth_family_ticket*in_hlth_family_renew_comm*in_ins_partner_share*(in_hlth_family_renew^1*SUMIFS(AI121:AI178,B121:B178,B165-12)+in_hlth_family_renew^2*SUMIFS(AI121:AI178,B121:B178,B165-24)+in_hlth_family_renew^3*SUMIFS(AI121:AI178,B121:B178,B165-36)+in_hlth_family_renew^4*SUMIFS(AI121:AI178,B121:B178,B165-48))</f>
        <v/>
      </c>
      <c r="AK165" s="40">
        <f>AK164*(1-IF(B164&gt;=in_marketplace_from,d_hz_life_term*G164,0))</f>
        <v/>
      </c>
      <c r="AL165" s="46">
        <f>AK165*IF(B165&gt;=in_marketplace_from,d_hz_life_term*G165,0)</f>
        <v/>
      </c>
      <c r="AM165" s="14">
        <f>F165*AL165*in_life_term_ticket*in_life_term_comm*in_ins_partner_share+F165*in_life_term_ticket*in_life_term_renew_comm*in_ins_partner_share*(in_life_term_renew^1*SUMIFS(AL121:AL178,B121:B178,B165-12)+in_life_term_renew^2*SUMIFS(AL121:AL178,B121:B178,B165-24)+in_life_term_renew^3*SUMIFS(AL121:AL178,B121:B178,B165-36)+in_life_term_renew^4*SUMIFS(AL121:AL178,B121:B178,B165-48))</f>
        <v/>
      </c>
      <c r="AN165" s="40">
        <f>AN164*(1-IF(B164&gt;=in_marketplace_from,d_hz_accident*G164,0))</f>
        <v/>
      </c>
      <c r="AO165" s="46">
        <f>AN165*IF(B165&gt;=in_marketplace_from,d_hz_accident*G165,0)</f>
        <v/>
      </c>
      <c r="AP165" s="14">
        <f>F165*AO165*in_accident_ticket*in_accident_comm*in_ins_partner_share+F165*in_accident_ticket*in_accident_renew_comm*in_ins_partner_share*(in_accident_renew^1*SUMIFS(AO121:AO178,B121:B178,B165-12)+in_accident_renew^2*SUMIFS(AO121:AO178,B121:B178,B165-24)+in_accident_renew^3*SUMIFS(AO121:AO178,B121:B178,B165-36)+in_accident_renew^4*SUMIFS(AO121:AO178,B121:B178,B165-48))</f>
        <v/>
      </c>
      <c r="AQ165" s="40">
        <f>AQ164*(1-IF(B164&gt;=in_marketplace_from,d_hz_two_wheeler*G164,0))</f>
        <v/>
      </c>
      <c r="AR165" s="46">
        <f>AQ165*IF(B165&gt;=in_marketplace_from,d_hz_two_wheeler*G165,0)</f>
        <v/>
      </c>
      <c r="AS165" s="14">
        <f>F165*AR165*in_two_wheeler_ticket*in_two_wheeler_comm*in_ins_partner_share+F165*in_two_wheeler_ticket*in_two_wheeler_comm*in_ins_partner_share*(in_two_wheeler_renew^1*SUMIFS(AR121:AR178,B121:B178,B165-12)+in_two_wheeler_renew^2*SUMIFS(AR121:AR178,B121:B178,B165-24)+in_two_wheeler_renew^3*SUMIFS(AR121:AR178,B121:B178,B165-36)+in_two_wheeler_renew^4*SUMIFS(AR121:AR178,B121:B178,B165-48))</f>
        <v/>
      </c>
      <c r="AT165" s="40">
        <f>AT164*(1-IF(B164&gt;=in_marketplace_from,d_hz_device*G164,0))</f>
        <v/>
      </c>
      <c r="AU165" s="14">
        <f>F165*AT165*IF(B165&gt;=in_marketplace_from,d_hz_device*G165,0)*in_device_ticket*in_device_comm*in_ins_partner_share</f>
        <v/>
      </c>
      <c r="AV165" s="40">
        <f>AV164*(1-IF(B164&gt;=in_marketplace_from,d_hz_shop*G164,0))</f>
        <v/>
      </c>
      <c r="AW165" s="46">
        <f>AV165*IF(B165&gt;=in_marketplace_from,d_hz_shop*G165,0)</f>
        <v/>
      </c>
      <c r="AX165" s="14">
        <f>F165*AW165*in_shop_ticket*in_shop_comm*in_ins_partner_share+F165*in_shop_ticket*in_shop_renew_comm*in_ins_partner_share*(in_shop_renew^1*SUMIFS(AW121:AW178,B121:B178,B165-12)+in_shop_renew^2*SUMIFS(AW121:AW178,B121:B178,B165-24)+in_shop_renew^3*SUMIFS(AW121:AW178,B121:B178,B165-36)+in_shop_renew^4*SUMIFS(AW121:AW178,B121:B178,B165-48))</f>
        <v/>
      </c>
      <c r="AY165" s="40">
        <f>AY164*(1-IF(B164&gt;=in_marketplace_from,d_hz_sip*G164,0))</f>
        <v/>
      </c>
      <c r="AZ165" s="40">
        <f>AZ164*d_rho_sip+AY165*IF(B165&gt;=in_marketplace_from,d_hz_sip*G165,0)</f>
        <v/>
      </c>
      <c r="BA165" s="40">
        <f>d_rho_sip*(BA164+AZ164)</f>
        <v/>
      </c>
      <c r="BB165" s="14">
        <f>F165*in_sip_ticket*(BA165+0.5*AZ165)*in_sip_comm/12</f>
        <v/>
      </c>
      <c r="BC165" s="40">
        <f>BC164*(1-IF(B164&gt;=in_marketplace_from,d_hz_choti*G164,0))</f>
        <v/>
      </c>
      <c r="BD165" s="46">
        <f>BC165*IF(B165&gt;=in_marketplace_from,d_hz_choti*G165,0)</f>
        <v/>
      </c>
      <c r="BE165" s="14">
        <f>F165*SUMIFS(BD121:BD178,B121:B178,B165-in_choti_months)*in_choti_renew*in_choti_ticket</f>
        <v/>
      </c>
      <c r="BF165" s="40">
        <f>BF164*(1-IF(B164&gt;=in_marketplace_from,d_hz_nps*G164,0))</f>
        <v/>
      </c>
      <c r="BG165" s="14">
        <f>F165*BF165*IF(B165&gt;=in_marketplace_from,d_hz_nps*G165,0)*in_nps_ticket*in_nps_comm</f>
        <v/>
      </c>
      <c r="BH165" s="40">
        <f>BH164*(1-IF(B164&gt;=in_marketplace_from,d_hz_gold*G164,0))</f>
        <v/>
      </c>
      <c r="BI165" s="40">
        <f>BI164*d_rho_gold+BH165*IF(B165&gt;=in_marketplace_from,d_hz_gold*G165,0)</f>
        <v/>
      </c>
      <c r="BJ165" s="14">
        <f>F165*BI165*in_gold_ticket*in_gold_comm</f>
        <v/>
      </c>
      <c r="BK165" s="40">
        <f>BK164*(1-IF(B164&gt;=in_marketplace_from,d_hz_fd*G164,0))</f>
        <v/>
      </c>
      <c r="BL165" s="14">
        <f>F165*BK165*IF(B165&gt;=in_marketplace_from,d_hz_fd*G165,0)*in_fd_ticket*in_fd_comm</f>
        <v/>
      </c>
      <c r="BM165" s="40">
        <f>BM164*(1-IF(B164&gt;=in_marketplace_from,d_hz_recharge*G164,0))</f>
        <v/>
      </c>
      <c r="BN165" s="40">
        <f>BN164*d_rho_recharge+BM165*IF(B165&gt;=in_marketplace_from,d_hz_recharge*G165,0)</f>
        <v/>
      </c>
      <c r="BO165" s="14">
        <f>F165*BN165*in_recharge_ticket*in_recharge_comm/12</f>
        <v/>
      </c>
      <c r="BP165" s="40">
        <f>BP164*(1-IF(B164&gt;=in_marketplace_from,d_hz_bills*G164,0))</f>
        <v/>
      </c>
      <c r="BQ165" s="40">
        <f>BQ164*d_rho_bills+BP165*IF(B165&gt;=in_marketplace_from,d_hz_bills*G165,0)</f>
        <v/>
      </c>
      <c r="BR165" s="14">
        <f>F165*BQ165*in_bills_ticket*in_bills_comm/12</f>
        <v/>
      </c>
      <c r="BS165" s="40">
        <f>BS164*(1-IF(B164&gt;=in_marketplace_from,d_hz_loan_gold*G164,0))</f>
        <v/>
      </c>
      <c r="BT165" s="14">
        <f>F165*BS165*IF(B165&gt;=in_marketplace_from,d_hz_loan_gold*G165,0)*in_loan_gold_ticket*in_loan_gold_comm</f>
        <v/>
      </c>
      <c r="BU165" s="40">
        <f>BU164*(1-IF(B164&gt;=in_marketplace_from,d_hz_loan_cd*G164,0))</f>
        <v/>
      </c>
      <c r="BV165" s="14">
        <f>F165*BU165*IF(B165&gt;=in_marketplace_from,d_hz_loan_cd*G165,0)*in_loan_cd_ticket*in_loan_cd_comm</f>
        <v/>
      </c>
      <c r="BW165" s="40">
        <f>BW164*(1-IF(B164&gt;=in_marketplace_from,d_hz_loan_vehicle*G164,0))</f>
        <v/>
      </c>
      <c r="BX165" s="14">
        <f>F165*BW165*IF(B165&gt;=in_marketplace_from,d_hz_loan_vehicle*G165,0)*in_loan_vehicle_ticket*in_loan_vehicle_comm</f>
        <v/>
      </c>
      <c r="BY165" s="40">
        <f>BY164*(1-IF(B164&gt;=in_marketplace_from,d_hz_loan_home*G164,0)*BZ164)</f>
        <v/>
      </c>
      <c r="BZ165" s="11">
        <f>MIN(in_approval_cap,in_loan_home_approval*INDEX('Age profile'!$O$2:$O$61,B165)*(1+in_approval_growth)^(D165-1))</f>
        <v/>
      </c>
      <c r="CA165" s="14">
        <f>F165*BY165*IF(B165&gt;=in_marketplace_from,d_hz_loan_home*G165,0)*BZ165*in_loan_home_ticket*in_loan_home_comm</f>
        <v/>
      </c>
      <c r="CB165" s="40">
        <f>CB164*(1-IF(B164&gt;=in_marketplace_from,d_hz_loan_lap*G164,0)*CC164)</f>
        <v/>
      </c>
      <c r="CC165" s="11">
        <f>MIN(in_approval_cap,in_loan_lap_approval*INDEX('Age profile'!$O$2:$O$61,B165)*(1+in_approval_growth)^(D165-1))</f>
        <v/>
      </c>
      <c r="CD165" s="14">
        <f>F165*CB165*IF(B165&gt;=in_marketplace_from,d_hz_loan_lap*G165,0)*CC165*in_loan_lap_ticket*in_loan_lap_comm</f>
        <v/>
      </c>
      <c r="CE165" s="14">
        <f>AA165+AB165+AC165+AD165+AG165+AJ165+AM165+AP165+AS165+AU165+AX165+BB165+BE165+BG165+BJ165+BL165+BO165+BR165+BT165+BV165+BX165+CA165+CD165</f>
        <v/>
      </c>
    </row>
    <row r="166">
      <c r="A166" s="39" t="n">
        <v>3</v>
      </c>
      <c r="B166" s="39" t="n">
        <v>46</v>
      </c>
      <c r="C166" s="39">
        <f>A166+B166-1</f>
        <v/>
      </c>
      <c r="D166" s="39">
        <f>INT((C166-1)/12)+1</f>
        <v/>
      </c>
      <c r="E166" s="44">
        <f>INDEX(Monthly!$B$2:$B$61,A166)</f>
        <v/>
      </c>
      <c r="F166" s="44">
        <f>E166*INDEX('Age profile'!$B$2:$B$61,B166)</f>
        <v/>
      </c>
      <c r="G166" s="45">
        <f>MIN(in_takeup_cap,INDEX('Age profile'!$N$2:$N$61,B166)*(1+in_takeup_growth)^(D166-1))</f>
        <v/>
      </c>
      <c r="H166" s="11">
        <f>MIN(in_approval_cap,in_approved_first*INDEX('Age profile'!$O$2:$O$61,B166)*(1+in_approval_growth)^(D166-1))</f>
        <v/>
      </c>
      <c r="I166" s="45">
        <f>G166*MIN(in_takeup_cap,INDEX('Age profile'!$O$2:$O$61,B166)*(1+in_approval_growth)^(D166-1))</f>
        <v/>
      </c>
      <c r="J166" s="40">
        <f>(J165-L165)*F166/F165</f>
        <v/>
      </c>
      <c r="K166" s="40">
        <f>(K165-M165)*F166/F165+SUMIFS(O121:O165,B121:B165,B166-1-d_T)*F166</f>
        <v/>
      </c>
      <c r="L166" s="40">
        <f>IF(B166&gt;=in_marketplace_from,J166*d_hz*G166*in_eligible*H166,0)</f>
        <v/>
      </c>
      <c r="M166" s="40">
        <f>IF(B166&gt;=in_marketplace_from,K166*d_hz*G166*in_eligible*in_approved_repeat,0)</f>
        <v/>
      </c>
      <c r="N166" s="40">
        <f>L166+M166</f>
        <v/>
      </c>
      <c r="O166" s="46">
        <f>N166/F166</f>
        <v/>
      </c>
      <c r="P166" s="40">
        <f>F166-J166-K166</f>
        <v/>
      </c>
      <c r="Q166" s="40">
        <f>IF(B166&gt;=in_marketplace_from,(J166+K166)*d_hz*G166,0)</f>
        <v/>
      </c>
      <c r="R166" s="40">
        <f>SUMIFS(N121:N178,B121:B178,"&gt;="&amp;(B166-d_T),B121:B178,"&lt;="&amp;(B166-1))</f>
        <v/>
      </c>
      <c r="S166" s="46">
        <f>(1-d_u)*S165+IF(d_T&gt;in_topup_lag,SUMIFS(O121:O178,B121:B178,B166-in_topup_lag)-d_udrop*SUMIFS(O121:O178,B121:B178,B166-d_T),0)</f>
        <v/>
      </c>
      <c r="T166" s="40">
        <f>F166*d_u*S166</f>
        <v/>
      </c>
      <c r="U166" s="9">
        <f>L166*in_ticket+M166*d_rep_ticket</f>
        <v/>
      </c>
      <c r="V166" s="9">
        <f>U166+T166*d_topup_amt</f>
        <v/>
      </c>
      <c r="W166" s="40">
        <f>N166+T166*d_topup_ratio</f>
        <v/>
      </c>
      <c r="X166" s="40">
        <f>SUMIFS(W121:W178,B121:B178,B166-in_dpd_lag)*d_cured</f>
        <v/>
      </c>
      <c r="Y166" s="40">
        <f>SUMIFS(W121:W178,B121:B178,B166-in_rec_lag)*d_recd</f>
        <v/>
      </c>
      <c r="Z166" s="40">
        <f>IF(AND(B166&gt;=in_marketplace_from,B166&lt;in_marketplace_from+in_card_months),in_card_share/in_card_months*F166*I166,IF(AND(B166&gt;=in_marketplace_from+in_card_months,B166&lt;in_marketplace_from+2*in_card_months),in_card_share*d_card_rem/in_card_months*F166*MIN(in_takeup_cap,(1+in_takeup_growth)^(D166-1))*MIN(in_takeup_cap,(1+in_approval_growth)^(D166-1)),0))</f>
        <v/>
      </c>
      <c r="AA166" s="14">
        <f>V166*in_fee*(1-in_taken_back)</f>
        <v/>
      </c>
      <c r="AB166" s="14">
        <f>SUMIFS(W121:W178,B121:B178,B166-in_dpd_lag)*d_dpd</f>
        <v/>
      </c>
      <c r="AC166" s="14">
        <f>SUMIFS(W121:W178,B121:B178,B166-in_rec_lag)*d_rec</f>
        <v/>
      </c>
      <c r="AD166" s="14">
        <f>Z166*in_card_fee</f>
        <v/>
      </c>
      <c r="AE166" s="40">
        <f>AE165*(1-IF(B165&gt;=in_marketplace_from,d_hz_hlth_small*G165,0))</f>
        <v/>
      </c>
      <c r="AF166" s="46">
        <f>AE166*IF(B166&gt;=in_marketplace_from,d_hz_hlth_small*G166,0)</f>
        <v/>
      </c>
      <c r="AG166" s="14">
        <f>F166*AF166*in_hlth_small_ticket*in_hlth_small_comm*in_ins_partner_share+F166*in_hlth_small_ticket*in_hlth_small_renew_comm*in_ins_partner_share*(in_hlth_small_renew^1*SUMIFS(AF121:AF178,B121:B178,B166-12)+in_hlth_small_renew^2*SUMIFS(AF121:AF178,B121:B178,B166-24)+in_hlth_small_renew^3*SUMIFS(AF121:AF178,B121:B178,B166-36)+in_hlth_small_renew^4*SUMIFS(AF121:AF178,B121:B178,B166-48))</f>
        <v/>
      </c>
      <c r="AH166" s="40">
        <f>AH165*(1-IF(B165&gt;=in_marketplace_from,d_hz_hlth_family*G165,0))</f>
        <v/>
      </c>
      <c r="AI166" s="46">
        <f>AH166*IF(B166&gt;=in_marketplace_from,d_hz_hlth_family*G166,0)</f>
        <v/>
      </c>
      <c r="AJ166" s="14">
        <f>F166*AI166*in_hlth_family_ticket*in_hlth_family_comm*in_ins_partner_share+F166*in_hlth_family_ticket*in_hlth_family_renew_comm*in_ins_partner_share*(in_hlth_family_renew^1*SUMIFS(AI121:AI178,B121:B178,B166-12)+in_hlth_family_renew^2*SUMIFS(AI121:AI178,B121:B178,B166-24)+in_hlth_family_renew^3*SUMIFS(AI121:AI178,B121:B178,B166-36)+in_hlth_family_renew^4*SUMIFS(AI121:AI178,B121:B178,B166-48))</f>
        <v/>
      </c>
      <c r="AK166" s="40">
        <f>AK165*(1-IF(B165&gt;=in_marketplace_from,d_hz_life_term*G165,0))</f>
        <v/>
      </c>
      <c r="AL166" s="46">
        <f>AK166*IF(B166&gt;=in_marketplace_from,d_hz_life_term*G166,0)</f>
        <v/>
      </c>
      <c r="AM166" s="14">
        <f>F166*AL166*in_life_term_ticket*in_life_term_comm*in_ins_partner_share+F166*in_life_term_ticket*in_life_term_renew_comm*in_ins_partner_share*(in_life_term_renew^1*SUMIFS(AL121:AL178,B121:B178,B166-12)+in_life_term_renew^2*SUMIFS(AL121:AL178,B121:B178,B166-24)+in_life_term_renew^3*SUMIFS(AL121:AL178,B121:B178,B166-36)+in_life_term_renew^4*SUMIFS(AL121:AL178,B121:B178,B166-48))</f>
        <v/>
      </c>
      <c r="AN166" s="40">
        <f>AN165*(1-IF(B165&gt;=in_marketplace_from,d_hz_accident*G165,0))</f>
        <v/>
      </c>
      <c r="AO166" s="46">
        <f>AN166*IF(B166&gt;=in_marketplace_from,d_hz_accident*G166,0)</f>
        <v/>
      </c>
      <c r="AP166" s="14">
        <f>F166*AO166*in_accident_ticket*in_accident_comm*in_ins_partner_share+F166*in_accident_ticket*in_accident_renew_comm*in_ins_partner_share*(in_accident_renew^1*SUMIFS(AO121:AO178,B121:B178,B166-12)+in_accident_renew^2*SUMIFS(AO121:AO178,B121:B178,B166-24)+in_accident_renew^3*SUMIFS(AO121:AO178,B121:B178,B166-36)+in_accident_renew^4*SUMIFS(AO121:AO178,B121:B178,B166-48))</f>
        <v/>
      </c>
      <c r="AQ166" s="40">
        <f>AQ165*(1-IF(B165&gt;=in_marketplace_from,d_hz_two_wheeler*G165,0))</f>
        <v/>
      </c>
      <c r="AR166" s="46">
        <f>AQ166*IF(B166&gt;=in_marketplace_from,d_hz_two_wheeler*G166,0)</f>
        <v/>
      </c>
      <c r="AS166" s="14">
        <f>F166*AR166*in_two_wheeler_ticket*in_two_wheeler_comm*in_ins_partner_share+F166*in_two_wheeler_ticket*in_two_wheeler_comm*in_ins_partner_share*(in_two_wheeler_renew^1*SUMIFS(AR121:AR178,B121:B178,B166-12)+in_two_wheeler_renew^2*SUMIFS(AR121:AR178,B121:B178,B166-24)+in_two_wheeler_renew^3*SUMIFS(AR121:AR178,B121:B178,B166-36)+in_two_wheeler_renew^4*SUMIFS(AR121:AR178,B121:B178,B166-48))</f>
        <v/>
      </c>
      <c r="AT166" s="40">
        <f>AT165*(1-IF(B165&gt;=in_marketplace_from,d_hz_device*G165,0))</f>
        <v/>
      </c>
      <c r="AU166" s="14">
        <f>F166*AT166*IF(B166&gt;=in_marketplace_from,d_hz_device*G166,0)*in_device_ticket*in_device_comm*in_ins_partner_share</f>
        <v/>
      </c>
      <c r="AV166" s="40">
        <f>AV165*(1-IF(B165&gt;=in_marketplace_from,d_hz_shop*G165,0))</f>
        <v/>
      </c>
      <c r="AW166" s="46">
        <f>AV166*IF(B166&gt;=in_marketplace_from,d_hz_shop*G166,0)</f>
        <v/>
      </c>
      <c r="AX166" s="14">
        <f>F166*AW166*in_shop_ticket*in_shop_comm*in_ins_partner_share+F166*in_shop_ticket*in_shop_renew_comm*in_ins_partner_share*(in_shop_renew^1*SUMIFS(AW121:AW178,B121:B178,B166-12)+in_shop_renew^2*SUMIFS(AW121:AW178,B121:B178,B166-24)+in_shop_renew^3*SUMIFS(AW121:AW178,B121:B178,B166-36)+in_shop_renew^4*SUMIFS(AW121:AW178,B121:B178,B166-48))</f>
        <v/>
      </c>
      <c r="AY166" s="40">
        <f>AY165*(1-IF(B165&gt;=in_marketplace_from,d_hz_sip*G165,0))</f>
        <v/>
      </c>
      <c r="AZ166" s="40">
        <f>AZ165*d_rho_sip+AY166*IF(B166&gt;=in_marketplace_from,d_hz_sip*G166,0)</f>
        <v/>
      </c>
      <c r="BA166" s="40">
        <f>d_rho_sip*(BA165+AZ165)</f>
        <v/>
      </c>
      <c r="BB166" s="14">
        <f>F166*in_sip_ticket*(BA166+0.5*AZ166)*in_sip_comm/12</f>
        <v/>
      </c>
      <c r="BC166" s="40">
        <f>BC165*(1-IF(B165&gt;=in_marketplace_from,d_hz_choti*G165,0))</f>
        <v/>
      </c>
      <c r="BD166" s="46">
        <f>BC166*IF(B166&gt;=in_marketplace_from,d_hz_choti*G166,0)</f>
        <v/>
      </c>
      <c r="BE166" s="14">
        <f>F166*SUMIFS(BD121:BD178,B121:B178,B166-in_choti_months)*in_choti_renew*in_choti_ticket</f>
        <v/>
      </c>
      <c r="BF166" s="40">
        <f>BF165*(1-IF(B165&gt;=in_marketplace_from,d_hz_nps*G165,0))</f>
        <v/>
      </c>
      <c r="BG166" s="14">
        <f>F166*BF166*IF(B166&gt;=in_marketplace_from,d_hz_nps*G166,0)*in_nps_ticket*in_nps_comm</f>
        <v/>
      </c>
      <c r="BH166" s="40">
        <f>BH165*(1-IF(B165&gt;=in_marketplace_from,d_hz_gold*G165,0))</f>
        <v/>
      </c>
      <c r="BI166" s="40">
        <f>BI165*d_rho_gold+BH166*IF(B166&gt;=in_marketplace_from,d_hz_gold*G166,0)</f>
        <v/>
      </c>
      <c r="BJ166" s="14">
        <f>F166*BI166*in_gold_ticket*in_gold_comm</f>
        <v/>
      </c>
      <c r="BK166" s="40">
        <f>BK165*(1-IF(B165&gt;=in_marketplace_from,d_hz_fd*G165,0))</f>
        <v/>
      </c>
      <c r="BL166" s="14">
        <f>F166*BK166*IF(B166&gt;=in_marketplace_from,d_hz_fd*G166,0)*in_fd_ticket*in_fd_comm</f>
        <v/>
      </c>
      <c r="BM166" s="40">
        <f>BM165*(1-IF(B165&gt;=in_marketplace_from,d_hz_recharge*G165,0))</f>
        <v/>
      </c>
      <c r="BN166" s="40">
        <f>BN165*d_rho_recharge+BM166*IF(B166&gt;=in_marketplace_from,d_hz_recharge*G166,0)</f>
        <v/>
      </c>
      <c r="BO166" s="14">
        <f>F166*BN166*in_recharge_ticket*in_recharge_comm/12</f>
        <v/>
      </c>
      <c r="BP166" s="40">
        <f>BP165*(1-IF(B165&gt;=in_marketplace_from,d_hz_bills*G165,0))</f>
        <v/>
      </c>
      <c r="BQ166" s="40">
        <f>BQ165*d_rho_bills+BP166*IF(B166&gt;=in_marketplace_from,d_hz_bills*G166,0)</f>
        <v/>
      </c>
      <c r="BR166" s="14">
        <f>F166*BQ166*in_bills_ticket*in_bills_comm/12</f>
        <v/>
      </c>
      <c r="BS166" s="40">
        <f>BS165*(1-IF(B165&gt;=in_marketplace_from,d_hz_loan_gold*G165,0))</f>
        <v/>
      </c>
      <c r="BT166" s="14">
        <f>F166*BS166*IF(B166&gt;=in_marketplace_from,d_hz_loan_gold*G166,0)*in_loan_gold_ticket*in_loan_gold_comm</f>
        <v/>
      </c>
      <c r="BU166" s="40">
        <f>BU165*(1-IF(B165&gt;=in_marketplace_from,d_hz_loan_cd*G165,0))</f>
        <v/>
      </c>
      <c r="BV166" s="14">
        <f>F166*BU166*IF(B166&gt;=in_marketplace_from,d_hz_loan_cd*G166,0)*in_loan_cd_ticket*in_loan_cd_comm</f>
        <v/>
      </c>
      <c r="BW166" s="40">
        <f>BW165*(1-IF(B165&gt;=in_marketplace_from,d_hz_loan_vehicle*G165,0))</f>
        <v/>
      </c>
      <c r="BX166" s="14">
        <f>F166*BW166*IF(B166&gt;=in_marketplace_from,d_hz_loan_vehicle*G166,0)*in_loan_vehicle_ticket*in_loan_vehicle_comm</f>
        <v/>
      </c>
      <c r="BY166" s="40">
        <f>BY165*(1-IF(B165&gt;=in_marketplace_from,d_hz_loan_home*G165,0)*BZ165)</f>
        <v/>
      </c>
      <c r="BZ166" s="11">
        <f>MIN(in_approval_cap,in_loan_home_approval*INDEX('Age profile'!$O$2:$O$61,B166)*(1+in_approval_growth)^(D166-1))</f>
        <v/>
      </c>
      <c r="CA166" s="14">
        <f>F166*BY166*IF(B166&gt;=in_marketplace_from,d_hz_loan_home*G166,0)*BZ166*in_loan_home_ticket*in_loan_home_comm</f>
        <v/>
      </c>
      <c r="CB166" s="40">
        <f>CB165*(1-IF(B165&gt;=in_marketplace_from,d_hz_loan_lap*G165,0)*CC165)</f>
        <v/>
      </c>
      <c r="CC166" s="11">
        <f>MIN(in_approval_cap,in_loan_lap_approval*INDEX('Age profile'!$O$2:$O$61,B166)*(1+in_approval_growth)^(D166-1))</f>
        <v/>
      </c>
      <c r="CD166" s="14">
        <f>F166*CB166*IF(B166&gt;=in_marketplace_from,d_hz_loan_lap*G166,0)*CC166*in_loan_lap_ticket*in_loan_lap_comm</f>
        <v/>
      </c>
      <c r="CE166" s="14">
        <f>AA166+AB166+AC166+AD166+AG166+AJ166+AM166+AP166+AS166+AU166+AX166+BB166+BE166+BG166+BJ166+BL166+BO166+BR166+BT166+BV166+BX166+CA166+CD166</f>
        <v/>
      </c>
    </row>
    <row r="167">
      <c r="A167" s="39" t="n">
        <v>3</v>
      </c>
      <c r="B167" s="39" t="n">
        <v>47</v>
      </c>
      <c r="C167" s="39">
        <f>A167+B167-1</f>
        <v/>
      </c>
      <c r="D167" s="39">
        <f>INT((C167-1)/12)+1</f>
        <v/>
      </c>
      <c r="E167" s="44">
        <f>INDEX(Monthly!$B$2:$B$61,A167)</f>
        <v/>
      </c>
      <c r="F167" s="44">
        <f>E167*INDEX('Age profile'!$B$2:$B$61,B167)</f>
        <v/>
      </c>
      <c r="G167" s="45">
        <f>MIN(in_takeup_cap,INDEX('Age profile'!$N$2:$N$61,B167)*(1+in_takeup_growth)^(D167-1))</f>
        <v/>
      </c>
      <c r="H167" s="11">
        <f>MIN(in_approval_cap,in_approved_first*INDEX('Age profile'!$O$2:$O$61,B167)*(1+in_approval_growth)^(D167-1))</f>
        <v/>
      </c>
      <c r="I167" s="45">
        <f>G167*MIN(in_takeup_cap,INDEX('Age profile'!$O$2:$O$61,B167)*(1+in_approval_growth)^(D167-1))</f>
        <v/>
      </c>
      <c r="J167" s="40">
        <f>(J166-L166)*F167/F166</f>
        <v/>
      </c>
      <c r="K167" s="40">
        <f>(K166-M166)*F167/F166+SUMIFS(O121:O166,B121:B166,B167-1-d_T)*F167</f>
        <v/>
      </c>
      <c r="L167" s="40">
        <f>IF(B167&gt;=in_marketplace_from,J167*d_hz*G167*in_eligible*H167,0)</f>
        <v/>
      </c>
      <c r="M167" s="40">
        <f>IF(B167&gt;=in_marketplace_from,K167*d_hz*G167*in_eligible*in_approved_repeat,0)</f>
        <v/>
      </c>
      <c r="N167" s="40">
        <f>L167+M167</f>
        <v/>
      </c>
      <c r="O167" s="46">
        <f>N167/F167</f>
        <v/>
      </c>
      <c r="P167" s="40">
        <f>F167-J167-K167</f>
        <v/>
      </c>
      <c r="Q167" s="40">
        <f>IF(B167&gt;=in_marketplace_from,(J167+K167)*d_hz*G167,0)</f>
        <v/>
      </c>
      <c r="R167" s="40">
        <f>SUMIFS(N121:N178,B121:B178,"&gt;="&amp;(B167-d_T),B121:B178,"&lt;="&amp;(B167-1))</f>
        <v/>
      </c>
      <c r="S167" s="46">
        <f>(1-d_u)*S166+IF(d_T&gt;in_topup_lag,SUMIFS(O121:O178,B121:B178,B167-in_topup_lag)-d_udrop*SUMIFS(O121:O178,B121:B178,B167-d_T),0)</f>
        <v/>
      </c>
      <c r="T167" s="40">
        <f>F167*d_u*S167</f>
        <v/>
      </c>
      <c r="U167" s="9">
        <f>L167*in_ticket+M167*d_rep_ticket</f>
        <v/>
      </c>
      <c r="V167" s="9">
        <f>U167+T167*d_topup_amt</f>
        <v/>
      </c>
      <c r="W167" s="40">
        <f>N167+T167*d_topup_ratio</f>
        <v/>
      </c>
      <c r="X167" s="40">
        <f>SUMIFS(W121:W178,B121:B178,B167-in_dpd_lag)*d_cured</f>
        <v/>
      </c>
      <c r="Y167" s="40">
        <f>SUMIFS(W121:W178,B121:B178,B167-in_rec_lag)*d_recd</f>
        <v/>
      </c>
      <c r="Z167" s="40">
        <f>IF(AND(B167&gt;=in_marketplace_from,B167&lt;in_marketplace_from+in_card_months),in_card_share/in_card_months*F167*I167,IF(AND(B167&gt;=in_marketplace_from+in_card_months,B167&lt;in_marketplace_from+2*in_card_months),in_card_share*d_card_rem/in_card_months*F167*MIN(in_takeup_cap,(1+in_takeup_growth)^(D167-1))*MIN(in_takeup_cap,(1+in_approval_growth)^(D167-1)),0))</f>
        <v/>
      </c>
      <c r="AA167" s="14">
        <f>V167*in_fee*(1-in_taken_back)</f>
        <v/>
      </c>
      <c r="AB167" s="14">
        <f>SUMIFS(W121:W178,B121:B178,B167-in_dpd_lag)*d_dpd</f>
        <v/>
      </c>
      <c r="AC167" s="14">
        <f>SUMIFS(W121:W178,B121:B178,B167-in_rec_lag)*d_rec</f>
        <v/>
      </c>
      <c r="AD167" s="14">
        <f>Z167*in_card_fee</f>
        <v/>
      </c>
      <c r="AE167" s="40">
        <f>AE166*(1-IF(B166&gt;=in_marketplace_from,d_hz_hlth_small*G166,0))</f>
        <v/>
      </c>
      <c r="AF167" s="46">
        <f>AE167*IF(B167&gt;=in_marketplace_from,d_hz_hlth_small*G167,0)</f>
        <v/>
      </c>
      <c r="AG167" s="14">
        <f>F167*AF167*in_hlth_small_ticket*in_hlth_small_comm*in_ins_partner_share+F167*in_hlth_small_ticket*in_hlth_small_renew_comm*in_ins_partner_share*(in_hlth_small_renew^1*SUMIFS(AF121:AF178,B121:B178,B167-12)+in_hlth_small_renew^2*SUMIFS(AF121:AF178,B121:B178,B167-24)+in_hlth_small_renew^3*SUMIFS(AF121:AF178,B121:B178,B167-36)+in_hlth_small_renew^4*SUMIFS(AF121:AF178,B121:B178,B167-48))</f>
        <v/>
      </c>
      <c r="AH167" s="40">
        <f>AH166*(1-IF(B166&gt;=in_marketplace_from,d_hz_hlth_family*G166,0))</f>
        <v/>
      </c>
      <c r="AI167" s="46">
        <f>AH167*IF(B167&gt;=in_marketplace_from,d_hz_hlth_family*G167,0)</f>
        <v/>
      </c>
      <c r="AJ167" s="14">
        <f>F167*AI167*in_hlth_family_ticket*in_hlth_family_comm*in_ins_partner_share+F167*in_hlth_family_ticket*in_hlth_family_renew_comm*in_ins_partner_share*(in_hlth_family_renew^1*SUMIFS(AI121:AI178,B121:B178,B167-12)+in_hlth_family_renew^2*SUMIFS(AI121:AI178,B121:B178,B167-24)+in_hlth_family_renew^3*SUMIFS(AI121:AI178,B121:B178,B167-36)+in_hlth_family_renew^4*SUMIFS(AI121:AI178,B121:B178,B167-48))</f>
        <v/>
      </c>
      <c r="AK167" s="40">
        <f>AK166*(1-IF(B166&gt;=in_marketplace_from,d_hz_life_term*G166,0))</f>
        <v/>
      </c>
      <c r="AL167" s="46">
        <f>AK167*IF(B167&gt;=in_marketplace_from,d_hz_life_term*G167,0)</f>
        <v/>
      </c>
      <c r="AM167" s="14">
        <f>F167*AL167*in_life_term_ticket*in_life_term_comm*in_ins_partner_share+F167*in_life_term_ticket*in_life_term_renew_comm*in_ins_partner_share*(in_life_term_renew^1*SUMIFS(AL121:AL178,B121:B178,B167-12)+in_life_term_renew^2*SUMIFS(AL121:AL178,B121:B178,B167-24)+in_life_term_renew^3*SUMIFS(AL121:AL178,B121:B178,B167-36)+in_life_term_renew^4*SUMIFS(AL121:AL178,B121:B178,B167-48))</f>
        <v/>
      </c>
      <c r="AN167" s="40">
        <f>AN166*(1-IF(B166&gt;=in_marketplace_from,d_hz_accident*G166,0))</f>
        <v/>
      </c>
      <c r="AO167" s="46">
        <f>AN167*IF(B167&gt;=in_marketplace_from,d_hz_accident*G167,0)</f>
        <v/>
      </c>
      <c r="AP167" s="14">
        <f>F167*AO167*in_accident_ticket*in_accident_comm*in_ins_partner_share+F167*in_accident_ticket*in_accident_renew_comm*in_ins_partner_share*(in_accident_renew^1*SUMIFS(AO121:AO178,B121:B178,B167-12)+in_accident_renew^2*SUMIFS(AO121:AO178,B121:B178,B167-24)+in_accident_renew^3*SUMIFS(AO121:AO178,B121:B178,B167-36)+in_accident_renew^4*SUMIFS(AO121:AO178,B121:B178,B167-48))</f>
        <v/>
      </c>
      <c r="AQ167" s="40">
        <f>AQ166*(1-IF(B166&gt;=in_marketplace_from,d_hz_two_wheeler*G166,0))</f>
        <v/>
      </c>
      <c r="AR167" s="46">
        <f>AQ167*IF(B167&gt;=in_marketplace_from,d_hz_two_wheeler*G167,0)</f>
        <v/>
      </c>
      <c r="AS167" s="14">
        <f>F167*AR167*in_two_wheeler_ticket*in_two_wheeler_comm*in_ins_partner_share+F167*in_two_wheeler_ticket*in_two_wheeler_comm*in_ins_partner_share*(in_two_wheeler_renew^1*SUMIFS(AR121:AR178,B121:B178,B167-12)+in_two_wheeler_renew^2*SUMIFS(AR121:AR178,B121:B178,B167-24)+in_two_wheeler_renew^3*SUMIFS(AR121:AR178,B121:B178,B167-36)+in_two_wheeler_renew^4*SUMIFS(AR121:AR178,B121:B178,B167-48))</f>
        <v/>
      </c>
      <c r="AT167" s="40">
        <f>AT166*(1-IF(B166&gt;=in_marketplace_from,d_hz_device*G166,0))</f>
        <v/>
      </c>
      <c r="AU167" s="14">
        <f>F167*AT167*IF(B167&gt;=in_marketplace_from,d_hz_device*G167,0)*in_device_ticket*in_device_comm*in_ins_partner_share</f>
        <v/>
      </c>
      <c r="AV167" s="40">
        <f>AV166*(1-IF(B166&gt;=in_marketplace_from,d_hz_shop*G166,0))</f>
        <v/>
      </c>
      <c r="AW167" s="46">
        <f>AV167*IF(B167&gt;=in_marketplace_from,d_hz_shop*G167,0)</f>
        <v/>
      </c>
      <c r="AX167" s="14">
        <f>F167*AW167*in_shop_ticket*in_shop_comm*in_ins_partner_share+F167*in_shop_ticket*in_shop_renew_comm*in_ins_partner_share*(in_shop_renew^1*SUMIFS(AW121:AW178,B121:B178,B167-12)+in_shop_renew^2*SUMIFS(AW121:AW178,B121:B178,B167-24)+in_shop_renew^3*SUMIFS(AW121:AW178,B121:B178,B167-36)+in_shop_renew^4*SUMIFS(AW121:AW178,B121:B178,B167-48))</f>
        <v/>
      </c>
      <c r="AY167" s="40">
        <f>AY166*(1-IF(B166&gt;=in_marketplace_from,d_hz_sip*G166,0))</f>
        <v/>
      </c>
      <c r="AZ167" s="40">
        <f>AZ166*d_rho_sip+AY167*IF(B167&gt;=in_marketplace_from,d_hz_sip*G167,0)</f>
        <v/>
      </c>
      <c r="BA167" s="40">
        <f>d_rho_sip*(BA166+AZ166)</f>
        <v/>
      </c>
      <c r="BB167" s="14">
        <f>F167*in_sip_ticket*(BA167+0.5*AZ167)*in_sip_comm/12</f>
        <v/>
      </c>
      <c r="BC167" s="40">
        <f>BC166*(1-IF(B166&gt;=in_marketplace_from,d_hz_choti*G166,0))</f>
        <v/>
      </c>
      <c r="BD167" s="46">
        <f>BC167*IF(B167&gt;=in_marketplace_from,d_hz_choti*G167,0)</f>
        <v/>
      </c>
      <c r="BE167" s="14">
        <f>F167*SUMIFS(BD121:BD178,B121:B178,B167-in_choti_months)*in_choti_renew*in_choti_ticket</f>
        <v/>
      </c>
      <c r="BF167" s="40">
        <f>BF166*(1-IF(B166&gt;=in_marketplace_from,d_hz_nps*G166,0))</f>
        <v/>
      </c>
      <c r="BG167" s="14">
        <f>F167*BF167*IF(B167&gt;=in_marketplace_from,d_hz_nps*G167,0)*in_nps_ticket*in_nps_comm</f>
        <v/>
      </c>
      <c r="BH167" s="40">
        <f>BH166*(1-IF(B166&gt;=in_marketplace_from,d_hz_gold*G166,0))</f>
        <v/>
      </c>
      <c r="BI167" s="40">
        <f>BI166*d_rho_gold+BH167*IF(B167&gt;=in_marketplace_from,d_hz_gold*G167,0)</f>
        <v/>
      </c>
      <c r="BJ167" s="14">
        <f>F167*BI167*in_gold_ticket*in_gold_comm</f>
        <v/>
      </c>
      <c r="BK167" s="40">
        <f>BK166*(1-IF(B166&gt;=in_marketplace_from,d_hz_fd*G166,0))</f>
        <v/>
      </c>
      <c r="BL167" s="14">
        <f>F167*BK167*IF(B167&gt;=in_marketplace_from,d_hz_fd*G167,0)*in_fd_ticket*in_fd_comm</f>
        <v/>
      </c>
      <c r="BM167" s="40">
        <f>BM166*(1-IF(B166&gt;=in_marketplace_from,d_hz_recharge*G166,0))</f>
        <v/>
      </c>
      <c r="BN167" s="40">
        <f>BN166*d_rho_recharge+BM167*IF(B167&gt;=in_marketplace_from,d_hz_recharge*G167,0)</f>
        <v/>
      </c>
      <c r="BO167" s="14">
        <f>F167*BN167*in_recharge_ticket*in_recharge_comm/12</f>
        <v/>
      </c>
      <c r="BP167" s="40">
        <f>BP166*(1-IF(B166&gt;=in_marketplace_from,d_hz_bills*G166,0))</f>
        <v/>
      </c>
      <c r="BQ167" s="40">
        <f>BQ166*d_rho_bills+BP167*IF(B167&gt;=in_marketplace_from,d_hz_bills*G167,0)</f>
        <v/>
      </c>
      <c r="BR167" s="14">
        <f>F167*BQ167*in_bills_ticket*in_bills_comm/12</f>
        <v/>
      </c>
      <c r="BS167" s="40">
        <f>BS166*(1-IF(B166&gt;=in_marketplace_from,d_hz_loan_gold*G166,0))</f>
        <v/>
      </c>
      <c r="BT167" s="14">
        <f>F167*BS167*IF(B167&gt;=in_marketplace_from,d_hz_loan_gold*G167,0)*in_loan_gold_ticket*in_loan_gold_comm</f>
        <v/>
      </c>
      <c r="BU167" s="40">
        <f>BU166*(1-IF(B166&gt;=in_marketplace_from,d_hz_loan_cd*G166,0))</f>
        <v/>
      </c>
      <c r="BV167" s="14">
        <f>F167*BU167*IF(B167&gt;=in_marketplace_from,d_hz_loan_cd*G167,0)*in_loan_cd_ticket*in_loan_cd_comm</f>
        <v/>
      </c>
      <c r="BW167" s="40">
        <f>BW166*(1-IF(B166&gt;=in_marketplace_from,d_hz_loan_vehicle*G166,0))</f>
        <v/>
      </c>
      <c r="BX167" s="14">
        <f>F167*BW167*IF(B167&gt;=in_marketplace_from,d_hz_loan_vehicle*G167,0)*in_loan_vehicle_ticket*in_loan_vehicle_comm</f>
        <v/>
      </c>
      <c r="BY167" s="40">
        <f>BY166*(1-IF(B166&gt;=in_marketplace_from,d_hz_loan_home*G166,0)*BZ166)</f>
        <v/>
      </c>
      <c r="BZ167" s="11">
        <f>MIN(in_approval_cap,in_loan_home_approval*INDEX('Age profile'!$O$2:$O$61,B167)*(1+in_approval_growth)^(D167-1))</f>
        <v/>
      </c>
      <c r="CA167" s="14">
        <f>F167*BY167*IF(B167&gt;=in_marketplace_from,d_hz_loan_home*G167,0)*BZ167*in_loan_home_ticket*in_loan_home_comm</f>
        <v/>
      </c>
      <c r="CB167" s="40">
        <f>CB166*(1-IF(B166&gt;=in_marketplace_from,d_hz_loan_lap*G166,0)*CC166)</f>
        <v/>
      </c>
      <c r="CC167" s="11">
        <f>MIN(in_approval_cap,in_loan_lap_approval*INDEX('Age profile'!$O$2:$O$61,B167)*(1+in_approval_growth)^(D167-1))</f>
        <v/>
      </c>
      <c r="CD167" s="14">
        <f>F167*CB167*IF(B167&gt;=in_marketplace_from,d_hz_loan_lap*G167,0)*CC167*in_loan_lap_ticket*in_loan_lap_comm</f>
        <v/>
      </c>
      <c r="CE167" s="14">
        <f>AA167+AB167+AC167+AD167+AG167+AJ167+AM167+AP167+AS167+AU167+AX167+BB167+BE167+BG167+BJ167+BL167+BO167+BR167+BT167+BV167+BX167+CA167+CD167</f>
        <v/>
      </c>
    </row>
    <row r="168">
      <c r="A168" s="39" t="n">
        <v>3</v>
      </c>
      <c r="B168" s="39" t="n">
        <v>48</v>
      </c>
      <c r="C168" s="39">
        <f>A168+B168-1</f>
        <v/>
      </c>
      <c r="D168" s="39">
        <f>INT((C168-1)/12)+1</f>
        <v/>
      </c>
      <c r="E168" s="44">
        <f>INDEX(Monthly!$B$2:$B$61,A168)</f>
        <v/>
      </c>
      <c r="F168" s="44">
        <f>E168*INDEX('Age profile'!$B$2:$B$61,B168)</f>
        <v/>
      </c>
      <c r="G168" s="45">
        <f>MIN(in_takeup_cap,INDEX('Age profile'!$N$2:$N$61,B168)*(1+in_takeup_growth)^(D168-1))</f>
        <v/>
      </c>
      <c r="H168" s="11">
        <f>MIN(in_approval_cap,in_approved_first*INDEX('Age profile'!$O$2:$O$61,B168)*(1+in_approval_growth)^(D168-1))</f>
        <v/>
      </c>
      <c r="I168" s="45">
        <f>G168*MIN(in_takeup_cap,INDEX('Age profile'!$O$2:$O$61,B168)*(1+in_approval_growth)^(D168-1))</f>
        <v/>
      </c>
      <c r="J168" s="40">
        <f>(J167-L167)*F168/F167</f>
        <v/>
      </c>
      <c r="K168" s="40">
        <f>(K167-M167)*F168/F167+SUMIFS(O121:O167,B121:B167,B168-1-d_T)*F168</f>
        <v/>
      </c>
      <c r="L168" s="40">
        <f>IF(B168&gt;=in_marketplace_from,J168*d_hz*G168*in_eligible*H168,0)</f>
        <v/>
      </c>
      <c r="M168" s="40">
        <f>IF(B168&gt;=in_marketplace_from,K168*d_hz*G168*in_eligible*in_approved_repeat,0)</f>
        <v/>
      </c>
      <c r="N168" s="40">
        <f>L168+M168</f>
        <v/>
      </c>
      <c r="O168" s="46">
        <f>N168/F168</f>
        <v/>
      </c>
      <c r="P168" s="40">
        <f>F168-J168-K168</f>
        <v/>
      </c>
      <c r="Q168" s="40">
        <f>IF(B168&gt;=in_marketplace_from,(J168+K168)*d_hz*G168,0)</f>
        <v/>
      </c>
      <c r="R168" s="40">
        <f>SUMIFS(N121:N178,B121:B178,"&gt;="&amp;(B168-d_T),B121:B178,"&lt;="&amp;(B168-1))</f>
        <v/>
      </c>
      <c r="S168" s="46">
        <f>(1-d_u)*S167+IF(d_T&gt;in_topup_lag,SUMIFS(O121:O178,B121:B178,B168-in_topup_lag)-d_udrop*SUMIFS(O121:O178,B121:B178,B168-d_T),0)</f>
        <v/>
      </c>
      <c r="T168" s="40">
        <f>F168*d_u*S168</f>
        <v/>
      </c>
      <c r="U168" s="9">
        <f>L168*in_ticket+M168*d_rep_ticket</f>
        <v/>
      </c>
      <c r="V168" s="9">
        <f>U168+T168*d_topup_amt</f>
        <v/>
      </c>
      <c r="W168" s="40">
        <f>N168+T168*d_topup_ratio</f>
        <v/>
      </c>
      <c r="X168" s="40">
        <f>SUMIFS(W121:W178,B121:B178,B168-in_dpd_lag)*d_cured</f>
        <v/>
      </c>
      <c r="Y168" s="40">
        <f>SUMIFS(W121:W178,B121:B178,B168-in_rec_lag)*d_recd</f>
        <v/>
      </c>
      <c r="Z168" s="40">
        <f>IF(AND(B168&gt;=in_marketplace_from,B168&lt;in_marketplace_from+in_card_months),in_card_share/in_card_months*F168*I168,IF(AND(B168&gt;=in_marketplace_from+in_card_months,B168&lt;in_marketplace_from+2*in_card_months),in_card_share*d_card_rem/in_card_months*F168*MIN(in_takeup_cap,(1+in_takeup_growth)^(D168-1))*MIN(in_takeup_cap,(1+in_approval_growth)^(D168-1)),0))</f>
        <v/>
      </c>
      <c r="AA168" s="14">
        <f>V168*in_fee*(1-in_taken_back)</f>
        <v/>
      </c>
      <c r="AB168" s="14">
        <f>SUMIFS(W121:W178,B121:B178,B168-in_dpd_lag)*d_dpd</f>
        <v/>
      </c>
      <c r="AC168" s="14">
        <f>SUMIFS(W121:W178,B121:B178,B168-in_rec_lag)*d_rec</f>
        <v/>
      </c>
      <c r="AD168" s="14">
        <f>Z168*in_card_fee</f>
        <v/>
      </c>
      <c r="AE168" s="40">
        <f>AE167*(1-IF(B167&gt;=in_marketplace_from,d_hz_hlth_small*G167,0))</f>
        <v/>
      </c>
      <c r="AF168" s="46">
        <f>AE168*IF(B168&gt;=in_marketplace_from,d_hz_hlth_small*G168,0)</f>
        <v/>
      </c>
      <c r="AG168" s="14">
        <f>F168*AF168*in_hlth_small_ticket*in_hlth_small_comm*in_ins_partner_share+F168*in_hlth_small_ticket*in_hlth_small_renew_comm*in_ins_partner_share*(in_hlth_small_renew^1*SUMIFS(AF121:AF178,B121:B178,B168-12)+in_hlth_small_renew^2*SUMIFS(AF121:AF178,B121:B178,B168-24)+in_hlth_small_renew^3*SUMIFS(AF121:AF178,B121:B178,B168-36)+in_hlth_small_renew^4*SUMIFS(AF121:AF178,B121:B178,B168-48))</f>
        <v/>
      </c>
      <c r="AH168" s="40">
        <f>AH167*(1-IF(B167&gt;=in_marketplace_from,d_hz_hlth_family*G167,0))</f>
        <v/>
      </c>
      <c r="AI168" s="46">
        <f>AH168*IF(B168&gt;=in_marketplace_from,d_hz_hlth_family*G168,0)</f>
        <v/>
      </c>
      <c r="AJ168" s="14">
        <f>F168*AI168*in_hlth_family_ticket*in_hlth_family_comm*in_ins_partner_share+F168*in_hlth_family_ticket*in_hlth_family_renew_comm*in_ins_partner_share*(in_hlth_family_renew^1*SUMIFS(AI121:AI178,B121:B178,B168-12)+in_hlth_family_renew^2*SUMIFS(AI121:AI178,B121:B178,B168-24)+in_hlth_family_renew^3*SUMIFS(AI121:AI178,B121:B178,B168-36)+in_hlth_family_renew^4*SUMIFS(AI121:AI178,B121:B178,B168-48))</f>
        <v/>
      </c>
      <c r="AK168" s="40">
        <f>AK167*(1-IF(B167&gt;=in_marketplace_from,d_hz_life_term*G167,0))</f>
        <v/>
      </c>
      <c r="AL168" s="46">
        <f>AK168*IF(B168&gt;=in_marketplace_from,d_hz_life_term*G168,0)</f>
        <v/>
      </c>
      <c r="AM168" s="14">
        <f>F168*AL168*in_life_term_ticket*in_life_term_comm*in_ins_partner_share+F168*in_life_term_ticket*in_life_term_renew_comm*in_ins_partner_share*(in_life_term_renew^1*SUMIFS(AL121:AL178,B121:B178,B168-12)+in_life_term_renew^2*SUMIFS(AL121:AL178,B121:B178,B168-24)+in_life_term_renew^3*SUMIFS(AL121:AL178,B121:B178,B168-36)+in_life_term_renew^4*SUMIFS(AL121:AL178,B121:B178,B168-48))</f>
        <v/>
      </c>
      <c r="AN168" s="40">
        <f>AN167*(1-IF(B167&gt;=in_marketplace_from,d_hz_accident*G167,0))</f>
        <v/>
      </c>
      <c r="AO168" s="46">
        <f>AN168*IF(B168&gt;=in_marketplace_from,d_hz_accident*G168,0)</f>
        <v/>
      </c>
      <c r="AP168" s="14">
        <f>F168*AO168*in_accident_ticket*in_accident_comm*in_ins_partner_share+F168*in_accident_ticket*in_accident_renew_comm*in_ins_partner_share*(in_accident_renew^1*SUMIFS(AO121:AO178,B121:B178,B168-12)+in_accident_renew^2*SUMIFS(AO121:AO178,B121:B178,B168-24)+in_accident_renew^3*SUMIFS(AO121:AO178,B121:B178,B168-36)+in_accident_renew^4*SUMIFS(AO121:AO178,B121:B178,B168-48))</f>
        <v/>
      </c>
      <c r="AQ168" s="40">
        <f>AQ167*(1-IF(B167&gt;=in_marketplace_from,d_hz_two_wheeler*G167,0))</f>
        <v/>
      </c>
      <c r="AR168" s="46">
        <f>AQ168*IF(B168&gt;=in_marketplace_from,d_hz_two_wheeler*G168,0)</f>
        <v/>
      </c>
      <c r="AS168" s="14">
        <f>F168*AR168*in_two_wheeler_ticket*in_two_wheeler_comm*in_ins_partner_share+F168*in_two_wheeler_ticket*in_two_wheeler_comm*in_ins_partner_share*(in_two_wheeler_renew^1*SUMIFS(AR121:AR178,B121:B178,B168-12)+in_two_wheeler_renew^2*SUMIFS(AR121:AR178,B121:B178,B168-24)+in_two_wheeler_renew^3*SUMIFS(AR121:AR178,B121:B178,B168-36)+in_two_wheeler_renew^4*SUMIFS(AR121:AR178,B121:B178,B168-48))</f>
        <v/>
      </c>
      <c r="AT168" s="40">
        <f>AT167*(1-IF(B167&gt;=in_marketplace_from,d_hz_device*G167,0))</f>
        <v/>
      </c>
      <c r="AU168" s="14">
        <f>F168*AT168*IF(B168&gt;=in_marketplace_from,d_hz_device*G168,0)*in_device_ticket*in_device_comm*in_ins_partner_share</f>
        <v/>
      </c>
      <c r="AV168" s="40">
        <f>AV167*(1-IF(B167&gt;=in_marketplace_from,d_hz_shop*G167,0))</f>
        <v/>
      </c>
      <c r="AW168" s="46">
        <f>AV168*IF(B168&gt;=in_marketplace_from,d_hz_shop*G168,0)</f>
        <v/>
      </c>
      <c r="AX168" s="14">
        <f>F168*AW168*in_shop_ticket*in_shop_comm*in_ins_partner_share+F168*in_shop_ticket*in_shop_renew_comm*in_ins_partner_share*(in_shop_renew^1*SUMIFS(AW121:AW178,B121:B178,B168-12)+in_shop_renew^2*SUMIFS(AW121:AW178,B121:B178,B168-24)+in_shop_renew^3*SUMIFS(AW121:AW178,B121:B178,B168-36)+in_shop_renew^4*SUMIFS(AW121:AW178,B121:B178,B168-48))</f>
        <v/>
      </c>
      <c r="AY168" s="40">
        <f>AY167*(1-IF(B167&gt;=in_marketplace_from,d_hz_sip*G167,0))</f>
        <v/>
      </c>
      <c r="AZ168" s="40">
        <f>AZ167*d_rho_sip+AY168*IF(B168&gt;=in_marketplace_from,d_hz_sip*G168,0)</f>
        <v/>
      </c>
      <c r="BA168" s="40">
        <f>d_rho_sip*(BA167+AZ167)</f>
        <v/>
      </c>
      <c r="BB168" s="14">
        <f>F168*in_sip_ticket*(BA168+0.5*AZ168)*in_sip_comm/12</f>
        <v/>
      </c>
      <c r="BC168" s="40">
        <f>BC167*(1-IF(B167&gt;=in_marketplace_from,d_hz_choti*G167,0))</f>
        <v/>
      </c>
      <c r="BD168" s="46">
        <f>BC168*IF(B168&gt;=in_marketplace_from,d_hz_choti*G168,0)</f>
        <v/>
      </c>
      <c r="BE168" s="14">
        <f>F168*SUMIFS(BD121:BD178,B121:B178,B168-in_choti_months)*in_choti_renew*in_choti_ticket</f>
        <v/>
      </c>
      <c r="BF168" s="40">
        <f>BF167*(1-IF(B167&gt;=in_marketplace_from,d_hz_nps*G167,0))</f>
        <v/>
      </c>
      <c r="BG168" s="14">
        <f>F168*BF168*IF(B168&gt;=in_marketplace_from,d_hz_nps*G168,0)*in_nps_ticket*in_nps_comm</f>
        <v/>
      </c>
      <c r="BH168" s="40">
        <f>BH167*(1-IF(B167&gt;=in_marketplace_from,d_hz_gold*G167,0))</f>
        <v/>
      </c>
      <c r="BI168" s="40">
        <f>BI167*d_rho_gold+BH168*IF(B168&gt;=in_marketplace_from,d_hz_gold*G168,0)</f>
        <v/>
      </c>
      <c r="BJ168" s="14">
        <f>F168*BI168*in_gold_ticket*in_gold_comm</f>
        <v/>
      </c>
      <c r="BK168" s="40">
        <f>BK167*(1-IF(B167&gt;=in_marketplace_from,d_hz_fd*G167,0))</f>
        <v/>
      </c>
      <c r="BL168" s="14">
        <f>F168*BK168*IF(B168&gt;=in_marketplace_from,d_hz_fd*G168,0)*in_fd_ticket*in_fd_comm</f>
        <v/>
      </c>
      <c r="BM168" s="40">
        <f>BM167*(1-IF(B167&gt;=in_marketplace_from,d_hz_recharge*G167,0))</f>
        <v/>
      </c>
      <c r="BN168" s="40">
        <f>BN167*d_rho_recharge+BM168*IF(B168&gt;=in_marketplace_from,d_hz_recharge*G168,0)</f>
        <v/>
      </c>
      <c r="BO168" s="14">
        <f>F168*BN168*in_recharge_ticket*in_recharge_comm/12</f>
        <v/>
      </c>
      <c r="BP168" s="40">
        <f>BP167*(1-IF(B167&gt;=in_marketplace_from,d_hz_bills*G167,0))</f>
        <v/>
      </c>
      <c r="BQ168" s="40">
        <f>BQ167*d_rho_bills+BP168*IF(B168&gt;=in_marketplace_from,d_hz_bills*G168,0)</f>
        <v/>
      </c>
      <c r="BR168" s="14">
        <f>F168*BQ168*in_bills_ticket*in_bills_comm/12</f>
        <v/>
      </c>
      <c r="BS168" s="40">
        <f>BS167*(1-IF(B167&gt;=in_marketplace_from,d_hz_loan_gold*G167,0))</f>
        <v/>
      </c>
      <c r="BT168" s="14">
        <f>F168*BS168*IF(B168&gt;=in_marketplace_from,d_hz_loan_gold*G168,0)*in_loan_gold_ticket*in_loan_gold_comm</f>
        <v/>
      </c>
      <c r="BU168" s="40">
        <f>BU167*(1-IF(B167&gt;=in_marketplace_from,d_hz_loan_cd*G167,0))</f>
        <v/>
      </c>
      <c r="BV168" s="14">
        <f>F168*BU168*IF(B168&gt;=in_marketplace_from,d_hz_loan_cd*G168,0)*in_loan_cd_ticket*in_loan_cd_comm</f>
        <v/>
      </c>
      <c r="BW168" s="40">
        <f>BW167*(1-IF(B167&gt;=in_marketplace_from,d_hz_loan_vehicle*G167,0))</f>
        <v/>
      </c>
      <c r="BX168" s="14">
        <f>F168*BW168*IF(B168&gt;=in_marketplace_from,d_hz_loan_vehicle*G168,0)*in_loan_vehicle_ticket*in_loan_vehicle_comm</f>
        <v/>
      </c>
      <c r="BY168" s="40">
        <f>BY167*(1-IF(B167&gt;=in_marketplace_from,d_hz_loan_home*G167,0)*BZ167)</f>
        <v/>
      </c>
      <c r="BZ168" s="11">
        <f>MIN(in_approval_cap,in_loan_home_approval*INDEX('Age profile'!$O$2:$O$61,B168)*(1+in_approval_growth)^(D168-1))</f>
        <v/>
      </c>
      <c r="CA168" s="14">
        <f>F168*BY168*IF(B168&gt;=in_marketplace_from,d_hz_loan_home*G168,0)*BZ168*in_loan_home_ticket*in_loan_home_comm</f>
        <v/>
      </c>
      <c r="CB168" s="40">
        <f>CB167*(1-IF(B167&gt;=in_marketplace_from,d_hz_loan_lap*G167,0)*CC167)</f>
        <v/>
      </c>
      <c r="CC168" s="11">
        <f>MIN(in_approval_cap,in_loan_lap_approval*INDEX('Age profile'!$O$2:$O$61,B168)*(1+in_approval_growth)^(D168-1))</f>
        <v/>
      </c>
      <c r="CD168" s="14">
        <f>F168*CB168*IF(B168&gt;=in_marketplace_from,d_hz_loan_lap*G168,0)*CC168*in_loan_lap_ticket*in_loan_lap_comm</f>
        <v/>
      </c>
      <c r="CE168" s="14">
        <f>AA168+AB168+AC168+AD168+AG168+AJ168+AM168+AP168+AS168+AU168+AX168+BB168+BE168+BG168+BJ168+BL168+BO168+BR168+BT168+BV168+BX168+CA168+CD168</f>
        <v/>
      </c>
    </row>
    <row r="169">
      <c r="A169" s="39" t="n">
        <v>3</v>
      </c>
      <c r="B169" s="39" t="n">
        <v>49</v>
      </c>
      <c r="C169" s="39">
        <f>A169+B169-1</f>
        <v/>
      </c>
      <c r="D169" s="39">
        <f>INT((C169-1)/12)+1</f>
        <v/>
      </c>
      <c r="E169" s="44">
        <f>INDEX(Monthly!$B$2:$B$61,A169)</f>
        <v/>
      </c>
      <c r="F169" s="44">
        <f>E169*INDEX('Age profile'!$B$2:$B$61,B169)</f>
        <v/>
      </c>
      <c r="G169" s="45">
        <f>MIN(in_takeup_cap,INDEX('Age profile'!$N$2:$N$61,B169)*(1+in_takeup_growth)^(D169-1))</f>
        <v/>
      </c>
      <c r="H169" s="11">
        <f>MIN(in_approval_cap,in_approved_first*INDEX('Age profile'!$O$2:$O$61,B169)*(1+in_approval_growth)^(D169-1))</f>
        <v/>
      </c>
      <c r="I169" s="45">
        <f>G169*MIN(in_takeup_cap,INDEX('Age profile'!$O$2:$O$61,B169)*(1+in_approval_growth)^(D169-1))</f>
        <v/>
      </c>
      <c r="J169" s="40">
        <f>(J168-L168)*F169/F168</f>
        <v/>
      </c>
      <c r="K169" s="40">
        <f>(K168-M168)*F169/F168+SUMIFS(O121:O168,B121:B168,B169-1-d_T)*F169</f>
        <v/>
      </c>
      <c r="L169" s="40">
        <f>IF(B169&gt;=in_marketplace_from,J169*d_hz*G169*in_eligible*H169,0)</f>
        <v/>
      </c>
      <c r="M169" s="40">
        <f>IF(B169&gt;=in_marketplace_from,K169*d_hz*G169*in_eligible*in_approved_repeat,0)</f>
        <v/>
      </c>
      <c r="N169" s="40">
        <f>L169+M169</f>
        <v/>
      </c>
      <c r="O169" s="46">
        <f>N169/F169</f>
        <v/>
      </c>
      <c r="P169" s="40">
        <f>F169-J169-K169</f>
        <v/>
      </c>
      <c r="Q169" s="40">
        <f>IF(B169&gt;=in_marketplace_from,(J169+K169)*d_hz*G169,0)</f>
        <v/>
      </c>
      <c r="R169" s="40">
        <f>SUMIFS(N121:N178,B121:B178,"&gt;="&amp;(B169-d_T),B121:B178,"&lt;="&amp;(B169-1))</f>
        <v/>
      </c>
      <c r="S169" s="46">
        <f>(1-d_u)*S168+IF(d_T&gt;in_topup_lag,SUMIFS(O121:O178,B121:B178,B169-in_topup_lag)-d_udrop*SUMIFS(O121:O178,B121:B178,B169-d_T),0)</f>
        <v/>
      </c>
      <c r="T169" s="40">
        <f>F169*d_u*S169</f>
        <v/>
      </c>
      <c r="U169" s="9">
        <f>L169*in_ticket+M169*d_rep_ticket</f>
        <v/>
      </c>
      <c r="V169" s="9">
        <f>U169+T169*d_topup_amt</f>
        <v/>
      </c>
      <c r="W169" s="40">
        <f>N169+T169*d_topup_ratio</f>
        <v/>
      </c>
      <c r="X169" s="40">
        <f>SUMIFS(W121:W178,B121:B178,B169-in_dpd_lag)*d_cured</f>
        <v/>
      </c>
      <c r="Y169" s="40">
        <f>SUMIFS(W121:W178,B121:B178,B169-in_rec_lag)*d_recd</f>
        <v/>
      </c>
      <c r="Z169" s="40">
        <f>IF(AND(B169&gt;=in_marketplace_from,B169&lt;in_marketplace_from+in_card_months),in_card_share/in_card_months*F169*I169,IF(AND(B169&gt;=in_marketplace_from+in_card_months,B169&lt;in_marketplace_from+2*in_card_months),in_card_share*d_card_rem/in_card_months*F169*MIN(in_takeup_cap,(1+in_takeup_growth)^(D169-1))*MIN(in_takeup_cap,(1+in_approval_growth)^(D169-1)),0))</f>
        <v/>
      </c>
      <c r="AA169" s="14">
        <f>V169*in_fee*(1-in_taken_back)</f>
        <v/>
      </c>
      <c r="AB169" s="14">
        <f>SUMIFS(W121:W178,B121:B178,B169-in_dpd_lag)*d_dpd</f>
        <v/>
      </c>
      <c r="AC169" s="14">
        <f>SUMIFS(W121:W178,B121:B178,B169-in_rec_lag)*d_rec</f>
        <v/>
      </c>
      <c r="AD169" s="14">
        <f>Z169*in_card_fee</f>
        <v/>
      </c>
      <c r="AE169" s="40">
        <f>AE168*(1-IF(B168&gt;=in_marketplace_from,d_hz_hlth_small*G168,0))</f>
        <v/>
      </c>
      <c r="AF169" s="46">
        <f>AE169*IF(B169&gt;=in_marketplace_from,d_hz_hlth_small*G169,0)</f>
        <v/>
      </c>
      <c r="AG169" s="14">
        <f>F169*AF169*in_hlth_small_ticket*in_hlth_small_comm*in_ins_partner_share+F169*in_hlth_small_ticket*in_hlth_small_renew_comm*in_ins_partner_share*(in_hlth_small_renew^1*SUMIFS(AF121:AF178,B121:B178,B169-12)+in_hlth_small_renew^2*SUMIFS(AF121:AF178,B121:B178,B169-24)+in_hlth_small_renew^3*SUMIFS(AF121:AF178,B121:B178,B169-36)+in_hlth_small_renew^4*SUMIFS(AF121:AF178,B121:B178,B169-48))</f>
        <v/>
      </c>
      <c r="AH169" s="40">
        <f>AH168*(1-IF(B168&gt;=in_marketplace_from,d_hz_hlth_family*G168,0))</f>
        <v/>
      </c>
      <c r="AI169" s="46">
        <f>AH169*IF(B169&gt;=in_marketplace_from,d_hz_hlth_family*G169,0)</f>
        <v/>
      </c>
      <c r="AJ169" s="14">
        <f>F169*AI169*in_hlth_family_ticket*in_hlth_family_comm*in_ins_partner_share+F169*in_hlth_family_ticket*in_hlth_family_renew_comm*in_ins_partner_share*(in_hlth_family_renew^1*SUMIFS(AI121:AI178,B121:B178,B169-12)+in_hlth_family_renew^2*SUMIFS(AI121:AI178,B121:B178,B169-24)+in_hlth_family_renew^3*SUMIFS(AI121:AI178,B121:B178,B169-36)+in_hlth_family_renew^4*SUMIFS(AI121:AI178,B121:B178,B169-48))</f>
        <v/>
      </c>
      <c r="AK169" s="40">
        <f>AK168*(1-IF(B168&gt;=in_marketplace_from,d_hz_life_term*G168,0))</f>
        <v/>
      </c>
      <c r="AL169" s="46">
        <f>AK169*IF(B169&gt;=in_marketplace_from,d_hz_life_term*G169,0)</f>
        <v/>
      </c>
      <c r="AM169" s="14">
        <f>F169*AL169*in_life_term_ticket*in_life_term_comm*in_ins_partner_share+F169*in_life_term_ticket*in_life_term_renew_comm*in_ins_partner_share*(in_life_term_renew^1*SUMIFS(AL121:AL178,B121:B178,B169-12)+in_life_term_renew^2*SUMIFS(AL121:AL178,B121:B178,B169-24)+in_life_term_renew^3*SUMIFS(AL121:AL178,B121:B178,B169-36)+in_life_term_renew^4*SUMIFS(AL121:AL178,B121:B178,B169-48))</f>
        <v/>
      </c>
      <c r="AN169" s="40">
        <f>AN168*(1-IF(B168&gt;=in_marketplace_from,d_hz_accident*G168,0))</f>
        <v/>
      </c>
      <c r="AO169" s="46">
        <f>AN169*IF(B169&gt;=in_marketplace_from,d_hz_accident*G169,0)</f>
        <v/>
      </c>
      <c r="AP169" s="14">
        <f>F169*AO169*in_accident_ticket*in_accident_comm*in_ins_partner_share+F169*in_accident_ticket*in_accident_renew_comm*in_ins_partner_share*(in_accident_renew^1*SUMIFS(AO121:AO178,B121:B178,B169-12)+in_accident_renew^2*SUMIFS(AO121:AO178,B121:B178,B169-24)+in_accident_renew^3*SUMIFS(AO121:AO178,B121:B178,B169-36)+in_accident_renew^4*SUMIFS(AO121:AO178,B121:B178,B169-48))</f>
        <v/>
      </c>
      <c r="AQ169" s="40">
        <f>AQ168*(1-IF(B168&gt;=in_marketplace_from,d_hz_two_wheeler*G168,0))</f>
        <v/>
      </c>
      <c r="AR169" s="46">
        <f>AQ169*IF(B169&gt;=in_marketplace_from,d_hz_two_wheeler*G169,0)</f>
        <v/>
      </c>
      <c r="AS169" s="14">
        <f>F169*AR169*in_two_wheeler_ticket*in_two_wheeler_comm*in_ins_partner_share+F169*in_two_wheeler_ticket*in_two_wheeler_comm*in_ins_partner_share*(in_two_wheeler_renew^1*SUMIFS(AR121:AR178,B121:B178,B169-12)+in_two_wheeler_renew^2*SUMIFS(AR121:AR178,B121:B178,B169-24)+in_two_wheeler_renew^3*SUMIFS(AR121:AR178,B121:B178,B169-36)+in_two_wheeler_renew^4*SUMIFS(AR121:AR178,B121:B178,B169-48))</f>
        <v/>
      </c>
      <c r="AT169" s="40">
        <f>AT168*(1-IF(B168&gt;=in_marketplace_from,d_hz_device*G168,0))</f>
        <v/>
      </c>
      <c r="AU169" s="14">
        <f>F169*AT169*IF(B169&gt;=in_marketplace_from,d_hz_device*G169,0)*in_device_ticket*in_device_comm*in_ins_partner_share</f>
        <v/>
      </c>
      <c r="AV169" s="40">
        <f>AV168*(1-IF(B168&gt;=in_marketplace_from,d_hz_shop*G168,0))</f>
        <v/>
      </c>
      <c r="AW169" s="46">
        <f>AV169*IF(B169&gt;=in_marketplace_from,d_hz_shop*G169,0)</f>
        <v/>
      </c>
      <c r="AX169" s="14">
        <f>F169*AW169*in_shop_ticket*in_shop_comm*in_ins_partner_share+F169*in_shop_ticket*in_shop_renew_comm*in_ins_partner_share*(in_shop_renew^1*SUMIFS(AW121:AW178,B121:B178,B169-12)+in_shop_renew^2*SUMIFS(AW121:AW178,B121:B178,B169-24)+in_shop_renew^3*SUMIFS(AW121:AW178,B121:B178,B169-36)+in_shop_renew^4*SUMIFS(AW121:AW178,B121:B178,B169-48))</f>
        <v/>
      </c>
      <c r="AY169" s="40">
        <f>AY168*(1-IF(B168&gt;=in_marketplace_from,d_hz_sip*G168,0))</f>
        <v/>
      </c>
      <c r="AZ169" s="40">
        <f>AZ168*d_rho_sip+AY169*IF(B169&gt;=in_marketplace_from,d_hz_sip*G169,0)</f>
        <v/>
      </c>
      <c r="BA169" s="40">
        <f>d_rho_sip*(BA168+AZ168)</f>
        <v/>
      </c>
      <c r="BB169" s="14">
        <f>F169*in_sip_ticket*(BA169+0.5*AZ169)*in_sip_comm/12</f>
        <v/>
      </c>
      <c r="BC169" s="40">
        <f>BC168*(1-IF(B168&gt;=in_marketplace_from,d_hz_choti*G168,0))</f>
        <v/>
      </c>
      <c r="BD169" s="46">
        <f>BC169*IF(B169&gt;=in_marketplace_from,d_hz_choti*G169,0)</f>
        <v/>
      </c>
      <c r="BE169" s="14">
        <f>F169*SUMIFS(BD121:BD178,B121:B178,B169-in_choti_months)*in_choti_renew*in_choti_ticket</f>
        <v/>
      </c>
      <c r="BF169" s="40">
        <f>BF168*(1-IF(B168&gt;=in_marketplace_from,d_hz_nps*G168,0))</f>
        <v/>
      </c>
      <c r="BG169" s="14">
        <f>F169*BF169*IF(B169&gt;=in_marketplace_from,d_hz_nps*G169,0)*in_nps_ticket*in_nps_comm</f>
        <v/>
      </c>
      <c r="BH169" s="40">
        <f>BH168*(1-IF(B168&gt;=in_marketplace_from,d_hz_gold*G168,0))</f>
        <v/>
      </c>
      <c r="BI169" s="40">
        <f>BI168*d_rho_gold+BH169*IF(B169&gt;=in_marketplace_from,d_hz_gold*G169,0)</f>
        <v/>
      </c>
      <c r="BJ169" s="14">
        <f>F169*BI169*in_gold_ticket*in_gold_comm</f>
        <v/>
      </c>
      <c r="BK169" s="40">
        <f>BK168*(1-IF(B168&gt;=in_marketplace_from,d_hz_fd*G168,0))</f>
        <v/>
      </c>
      <c r="BL169" s="14">
        <f>F169*BK169*IF(B169&gt;=in_marketplace_from,d_hz_fd*G169,0)*in_fd_ticket*in_fd_comm</f>
        <v/>
      </c>
      <c r="BM169" s="40">
        <f>BM168*(1-IF(B168&gt;=in_marketplace_from,d_hz_recharge*G168,0))</f>
        <v/>
      </c>
      <c r="BN169" s="40">
        <f>BN168*d_rho_recharge+BM169*IF(B169&gt;=in_marketplace_from,d_hz_recharge*G169,0)</f>
        <v/>
      </c>
      <c r="BO169" s="14">
        <f>F169*BN169*in_recharge_ticket*in_recharge_comm/12</f>
        <v/>
      </c>
      <c r="BP169" s="40">
        <f>BP168*(1-IF(B168&gt;=in_marketplace_from,d_hz_bills*G168,0))</f>
        <v/>
      </c>
      <c r="BQ169" s="40">
        <f>BQ168*d_rho_bills+BP169*IF(B169&gt;=in_marketplace_from,d_hz_bills*G169,0)</f>
        <v/>
      </c>
      <c r="BR169" s="14">
        <f>F169*BQ169*in_bills_ticket*in_bills_comm/12</f>
        <v/>
      </c>
      <c r="BS169" s="40">
        <f>BS168*(1-IF(B168&gt;=in_marketplace_from,d_hz_loan_gold*G168,0))</f>
        <v/>
      </c>
      <c r="BT169" s="14">
        <f>F169*BS169*IF(B169&gt;=in_marketplace_from,d_hz_loan_gold*G169,0)*in_loan_gold_ticket*in_loan_gold_comm</f>
        <v/>
      </c>
      <c r="BU169" s="40">
        <f>BU168*(1-IF(B168&gt;=in_marketplace_from,d_hz_loan_cd*G168,0))</f>
        <v/>
      </c>
      <c r="BV169" s="14">
        <f>F169*BU169*IF(B169&gt;=in_marketplace_from,d_hz_loan_cd*G169,0)*in_loan_cd_ticket*in_loan_cd_comm</f>
        <v/>
      </c>
      <c r="BW169" s="40">
        <f>BW168*(1-IF(B168&gt;=in_marketplace_from,d_hz_loan_vehicle*G168,0))</f>
        <v/>
      </c>
      <c r="BX169" s="14">
        <f>F169*BW169*IF(B169&gt;=in_marketplace_from,d_hz_loan_vehicle*G169,0)*in_loan_vehicle_ticket*in_loan_vehicle_comm</f>
        <v/>
      </c>
      <c r="BY169" s="40">
        <f>BY168*(1-IF(B168&gt;=in_marketplace_from,d_hz_loan_home*G168,0)*BZ168)</f>
        <v/>
      </c>
      <c r="BZ169" s="11">
        <f>MIN(in_approval_cap,in_loan_home_approval*INDEX('Age profile'!$O$2:$O$61,B169)*(1+in_approval_growth)^(D169-1))</f>
        <v/>
      </c>
      <c r="CA169" s="14">
        <f>F169*BY169*IF(B169&gt;=in_marketplace_from,d_hz_loan_home*G169,0)*BZ169*in_loan_home_ticket*in_loan_home_comm</f>
        <v/>
      </c>
      <c r="CB169" s="40">
        <f>CB168*(1-IF(B168&gt;=in_marketplace_from,d_hz_loan_lap*G168,0)*CC168)</f>
        <v/>
      </c>
      <c r="CC169" s="11">
        <f>MIN(in_approval_cap,in_loan_lap_approval*INDEX('Age profile'!$O$2:$O$61,B169)*(1+in_approval_growth)^(D169-1))</f>
        <v/>
      </c>
      <c r="CD169" s="14">
        <f>F169*CB169*IF(B169&gt;=in_marketplace_from,d_hz_loan_lap*G169,0)*CC169*in_loan_lap_ticket*in_loan_lap_comm</f>
        <v/>
      </c>
      <c r="CE169" s="14">
        <f>AA169+AB169+AC169+AD169+AG169+AJ169+AM169+AP169+AS169+AU169+AX169+BB169+BE169+BG169+BJ169+BL169+BO169+BR169+BT169+BV169+BX169+CA169+CD169</f>
        <v/>
      </c>
    </row>
    <row r="170">
      <c r="A170" s="39" t="n">
        <v>3</v>
      </c>
      <c r="B170" s="39" t="n">
        <v>50</v>
      </c>
      <c r="C170" s="39">
        <f>A170+B170-1</f>
        <v/>
      </c>
      <c r="D170" s="39">
        <f>INT((C170-1)/12)+1</f>
        <v/>
      </c>
      <c r="E170" s="44">
        <f>INDEX(Monthly!$B$2:$B$61,A170)</f>
        <v/>
      </c>
      <c r="F170" s="44">
        <f>E170*INDEX('Age profile'!$B$2:$B$61,B170)</f>
        <v/>
      </c>
      <c r="G170" s="45">
        <f>MIN(in_takeup_cap,INDEX('Age profile'!$N$2:$N$61,B170)*(1+in_takeup_growth)^(D170-1))</f>
        <v/>
      </c>
      <c r="H170" s="11">
        <f>MIN(in_approval_cap,in_approved_first*INDEX('Age profile'!$O$2:$O$61,B170)*(1+in_approval_growth)^(D170-1))</f>
        <v/>
      </c>
      <c r="I170" s="45">
        <f>G170*MIN(in_takeup_cap,INDEX('Age profile'!$O$2:$O$61,B170)*(1+in_approval_growth)^(D170-1))</f>
        <v/>
      </c>
      <c r="J170" s="40">
        <f>(J169-L169)*F170/F169</f>
        <v/>
      </c>
      <c r="K170" s="40">
        <f>(K169-M169)*F170/F169+SUMIFS(O121:O169,B121:B169,B170-1-d_T)*F170</f>
        <v/>
      </c>
      <c r="L170" s="40">
        <f>IF(B170&gt;=in_marketplace_from,J170*d_hz*G170*in_eligible*H170,0)</f>
        <v/>
      </c>
      <c r="M170" s="40">
        <f>IF(B170&gt;=in_marketplace_from,K170*d_hz*G170*in_eligible*in_approved_repeat,0)</f>
        <v/>
      </c>
      <c r="N170" s="40">
        <f>L170+M170</f>
        <v/>
      </c>
      <c r="O170" s="46">
        <f>N170/F170</f>
        <v/>
      </c>
      <c r="P170" s="40">
        <f>F170-J170-K170</f>
        <v/>
      </c>
      <c r="Q170" s="40">
        <f>IF(B170&gt;=in_marketplace_from,(J170+K170)*d_hz*G170,0)</f>
        <v/>
      </c>
      <c r="R170" s="40">
        <f>SUMIFS(N121:N178,B121:B178,"&gt;="&amp;(B170-d_T),B121:B178,"&lt;="&amp;(B170-1))</f>
        <v/>
      </c>
      <c r="S170" s="46">
        <f>(1-d_u)*S169+IF(d_T&gt;in_topup_lag,SUMIFS(O121:O178,B121:B178,B170-in_topup_lag)-d_udrop*SUMIFS(O121:O178,B121:B178,B170-d_T),0)</f>
        <v/>
      </c>
      <c r="T170" s="40">
        <f>F170*d_u*S170</f>
        <v/>
      </c>
      <c r="U170" s="9">
        <f>L170*in_ticket+M170*d_rep_ticket</f>
        <v/>
      </c>
      <c r="V170" s="9">
        <f>U170+T170*d_topup_amt</f>
        <v/>
      </c>
      <c r="W170" s="40">
        <f>N170+T170*d_topup_ratio</f>
        <v/>
      </c>
      <c r="X170" s="40">
        <f>SUMIFS(W121:W178,B121:B178,B170-in_dpd_lag)*d_cured</f>
        <v/>
      </c>
      <c r="Y170" s="40">
        <f>SUMIFS(W121:W178,B121:B178,B170-in_rec_lag)*d_recd</f>
        <v/>
      </c>
      <c r="Z170" s="40">
        <f>IF(AND(B170&gt;=in_marketplace_from,B170&lt;in_marketplace_from+in_card_months),in_card_share/in_card_months*F170*I170,IF(AND(B170&gt;=in_marketplace_from+in_card_months,B170&lt;in_marketplace_from+2*in_card_months),in_card_share*d_card_rem/in_card_months*F170*MIN(in_takeup_cap,(1+in_takeup_growth)^(D170-1))*MIN(in_takeup_cap,(1+in_approval_growth)^(D170-1)),0))</f>
        <v/>
      </c>
      <c r="AA170" s="14">
        <f>V170*in_fee*(1-in_taken_back)</f>
        <v/>
      </c>
      <c r="AB170" s="14">
        <f>SUMIFS(W121:W178,B121:B178,B170-in_dpd_lag)*d_dpd</f>
        <v/>
      </c>
      <c r="AC170" s="14">
        <f>SUMIFS(W121:W178,B121:B178,B170-in_rec_lag)*d_rec</f>
        <v/>
      </c>
      <c r="AD170" s="14">
        <f>Z170*in_card_fee</f>
        <v/>
      </c>
      <c r="AE170" s="40">
        <f>AE169*(1-IF(B169&gt;=in_marketplace_from,d_hz_hlth_small*G169,0))</f>
        <v/>
      </c>
      <c r="AF170" s="46">
        <f>AE170*IF(B170&gt;=in_marketplace_from,d_hz_hlth_small*G170,0)</f>
        <v/>
      </c>
      <c r="AG170" s="14">
        <f>F170*AF170*in_hlth_small_ticket*in_hlth_small_comm*in_ins_partner_share+F170*in_hlth_small_ticket*in_hlth_small_renew_comm*in_ins_partner_share*(in_hlth_small_renew^1*SUMIFS(AF121:AF178,B121:B178,B170-12)+in_hlth_small_renew^2*SUMIFS(AF121:AF178,B121:B178,B170-24)+in_hlth_small_renew^3*SUMIFS(AF121:AF178,B121:B178,B170-36)+in_hlth_small_renew^4*SUMIFS(AF121:AF178,B121:B178,B170-48))</f>
        <v/>
      </c>
      <c r="AH170" s="40">
        <f>AH169*(1-IF(B169&gt;=in_marketplace_from,d_hz_hlth_family*G169,0))</f>
        <v/>
      </c>
      <c r="AI170" s="46">
        <f>AH170*IF(B170&gt;=in_marketplace_from,d_hz_hlth_family*G170,0)</f>
        <v/>
      </c>
      <c r="AJ170" s="14">
        <f>F170*AI170*in_hlth_family_ticket*in_hlth_family_comm*in_ins_partner_share+F170*in_hlth_family_ticket*in_hlth_family_renew_comm*in_ins_partner_share*(in_hlth_family_renew^1*SUMIFS(AI121:AI178,B121:B178,B170-12)+in_hlth_family_renew^2*SUMIFS(AI121:AI178,B121:B178,B170-24)+in_hlth_family_renew^3*SUMIFS(AI121:AI178,B121:B178,B170-36)+in_hlth_family_renew^4*SUMIFS(AI121:AI178,B121:B178,B170-48))</f>
        <v/>
      </c>
      <c r="AK170" s="40">
        <f>AK169*(1-IF(B169&gt;=in_marketplace_from,d_hz_life_term*G169,0))</f>
        <v/>
      </c>
      <c r="AL170" s="46">
        <f>AK170*IF(B170&gt;=in_marketplace_from,d_hz_life_term*G170,0)</f>
        <v/>
      </c>
      <c r="AM170" s="14">
        <f>F170*AL170*in_life_term_ticket*in_life_term_comm*in_ins_partner_share+F170*in_life_term_ticket*in_life_term_renew_comm*in_ins_partner_share*(in_life_term_renew^1*SUMIFS(AL121:AL178,B121:B178,B170-12)+in_life_term_renew^2*SUMIFS(AL121:AL178,B121:B178,B170-24)+in_life_term_renew^3*SUMIFS(AL121:AL178,B121:B178,B170-36)+in_life_term_renew^4*SUMIFS(AL121:AL178,B121:B178,B170-48))</f>
        <v/>
      </c>
      <c r="AN170" s="40">
        <f>AN169*(1-IF(B169&gt;=in_marketplace_from,d_hz_accident*G169,0))</f>
        <v/>
      </c>
      <c r="AO170" s="46">
        <f>AN170*IF(B170&gt;=in_marketplace_from,d_hz_accident*G170,0)</f>
        <v/>
      </c>
      <c r="AP170" s="14">
        <f>F170*AO170*in_accident_ticket*in_accident_comm*in_ins_partner_share+F170*in_accident_ticket*in_accident_renew_comm*in_ins_partner_share*(in_accident_renew^1*SUMIFS(AO121:AO178,B121:B178,B170-12)+in_accident_renew^2*SUMIFS(AO121:AO178,B121:B178,B170-24)+in_accident_renew^3*SUMIFS(AO121:AO178,B121:B178,B170-36)+in_accident_renew^4*SUMIFS(AO121:AO178,B121:B178,B170-48))</f>
        <v/>
      </c>
      <c r="AQ170" s="40">
        <f>AQ169*(1-IF(B169&gt;=in_marketplace_from,d_hz_two_wheeler*G169,0))</f>
        <v/>
      </c>
      <c r="AR170" s="46">
        <f>AQ170*IF(B170&gt;=in_marketplace_from,d_hz_two_wheeler*G170,0)</f>
        <v/>
      </c>
      <c r="AS170" s="14">
        <f>F170*AR170*in_two_wheeler_ticket*in_two_wheeler_comm*in_ins_partner_share+F170*in_two_wheeler_ticket*in_two_wheeler_comm*in_ins_partner_share*(in_two_wheeler_renew^1*SUMIFS(AR121:AR178,B121:B178,B170-12)+in_two_wheeler_renew^2*SUMIFS(AR121:AR178,B121:B178,B170-24)+in_two_wheeler_renew^3*SUMIFS(AR121:AR178,B121:B178,B170-36)+in_two_wheeler_renew^4*SUMIFS(AR121:AR178,B121:B178,B170-48))</f>
        <v/>
      </c>
      <c r="AT170" s="40">
        <f>AT169*(1-IF(B169&gt;=in_marketplace_from,d_hz_device*G169,0))</f>
        <v/>
      </c>
      <c r="AU170" s="14">
        <f>F170*AT170*IF(B170&gt;=in_marketplace_from,d_hz_device*G170,0)*in_device_ticket*in_device_comm*in_ins_partner_share</f>
        <v/>
      </c>
      <c r="AV170" s="40">
        <f>AV169*(1-IF(B169&gt;=in_marketplace_from,d_hz_shop*G169,0))</f>
        <v/>
      </c>
      <c r="AW170" s="46">
        <f>AV170*IF(B170&gt;=in_marketplace_from,d_hz_shop*G170,0)</f>
        <v/>
      </c>
      <c r="AX170" s="14">
        <f>F170*AW170*in_shop_ticket*in_shop_comm*in_ins_partner_share+F170*in_shop_ticket*in_shop_renew_comm*in_ins_partner_share*(in_shop_renew^1*SUMIFS(AW121:AW178,B121:B178,B170-12)+in_shop_renew^2*SUMIFS(AW121:AW178,B121:B178,B170-24)+in_shop_renew^3*SUMIFS(AW121:AW178,B121:B178,B170-36)+in_shop_renew^4*SUMIFS(AW121:AW178,B121:B178,B170-48))</f>
        <v/>
      </c>
      <c r="AY170" s="40">
        <f>AY169*(1-IF(B169&gt;=in_marketplace_from,d_hz_sip*G169,0))</f>
        <v/>
      </c>
      <c r="AZ170" s="40">
        <f>AZ169*d_rho_sip+AY170*IF(B170&gt;=in_marketplace_from,d_hz_sip*G170,0)</f>
        <v/>
      </c>
      <c r="BA170" s="40">
        <f>d_rho_sip*(BA169+AZ169)</f>
        <v/>
      </c>
      <c r="BB170" s="14">
        <f>F170*in_sip_ticket*(BA170+0.5*AZ170)*in_sip_comm/12</f>
        <v/>
      </c>
      <c r="BC170" s="40">
        <f>BC169*(1-IF(B169&gt;=in_marketplace_from,d_hz_choti*G169,0))</f>
        <v/>
      </c>
      <c r="BD170" s="46">
        <f>BC170*IF(B170&gt;=in_marketplace_from,d_hz_choti*G170,0)</f>
        <v/>
      </c>
      <c r="BE170" s="14">
        <f>F170*SUMIFS(BD121:BD178,B121:B178,B170-in_choti_months)*in_choti_renew*in_choti_ticket</f>
        <v/>
      </c>
      <c r="BF170" s="40">
        <f>BF169*(1-IF(B169&gt;=in_marketplace_from,d_hz_nps*G169,0))</f>
        <v/>
      </c>
      <c r="BG170" s="14">
        <f>F170*BF170*IF(B170&gt;=in_marketplace_from,d_hz_nps*G170,0)*in_nps_ticket*in_nps_comm</f>
        <v/>
      </c>
      <c r="BH170" s="40">
        <f>BH169*(1-IF(B169&gt;=in_marketplace_from,d_hz_gold*G169,0))</f>
        <v/>
      </c>
      <c r="BI170" s="40">
        <f>BI169*d_rho_gold+BH170*IF(B170&gt;=in_marketplace_from,d_hz_gold*G170,0)</f>
        <v/>
      </c>
      <c r="BJ170" s="14">
        <f>F170*BI170*in_gold_ticket*in_gold_comm</f>
        <v/>
      </c>
      <c r="BK170" s="40">
        <f>BK169*(1-IF(B169&gt;=in_marketplace_from,d_hz_fd*G169,0))</f>
        <v/>
      </c>
      <c r="BL170" s="14">
        <f>F170*BK170*IF(B170&gt;=in_marketplace_from,d_hz_fd*G170,0)*in_fd_ticket*in_fd_comm</f>
        <v/>
      </c>
      <c r="BM170" s="40">
        <f>BM169*(1-IF(B169&gt;=in_marketplace_from,d_hz_recharge*G169,0))</f>
        <v/>
      </c>
      <c r="BN170" s="40">
        <f>BN169*d_rho_recharge+BM170*IF(B170&gt;=in_marketplace_from,d_hz_recharge*G170,0)</f>
        <v/>
      </c>
      <c r="BO170" s="14">
        <f>F170*BN170*in_recharge_ticket*in_recharge_comm/12</f>
        <v/>
      </c>
      <c r="BP170" s="40">
        <f>BP169*(1-IF(B169&gt;=in_marketplace_from,d_hz_bills*G169,0))</f>
        <v/>
      </c>
      <c r="BQ170" s="40">
        <f>BQ169*d_rho_bills+BP170*IF(B170&gt;=in_marketplace_from,d_hz_bills*G170,0)</f>
        <v/>
      </c>
      <c r="BR170" s="14">
        <f>F170*BQ170*in_bills_ticket*in_bills_comm/12</f>
        <v/>
      </c>
      <c r="BS170" s="40">
        <f>BS169*(1-IF(B169&gt;=in_marketplace_from,d_hz_loan_gold*G169,0))</f>
        <v/>
      </c>
      <c r="BT170" s="14">
        <f>F170*BS170*IF(B170&gt;=in_marketplace_from,d_hz_loan_gold*G170,0)*in_loan_gold_ticket*in_loan_gold_comm</f>
        <v/>
      </c>
      <c r="BU170" s="40">
        <f>BU169*(1-IF(B169&gt;=in_marketplace_from,d_hz_loan_cd*G169,0))</f>
        <v/>
      </c>
      <c r="BV170" s="14">
        <f>F170*BU170*IF(B170&gt;=in_marketplace_from,d_hz_loan_cd*G170,0)*in_loan_cd_ticket*in_loan_cd_comm</f>
        <v/>
      </c>
      <c r="BW170" s="40">
        <f>BW169*(1-IF(B169&gt;=in_marketplace_from,d_hz_loan_vehicle*G169,0))</f>
        <v/>
      </c>
      <c r="BX170" s="14">
        <f>F170*BW170*IF(B170&gt;=in_marketplace_from,d_hz_loan_vehicle*G170,0)*in_loan_vehicle_ticket*in_loan_vehicle_comm</f>
        <v/>
      </c>
      <c r="BY170" s="40">
        <f>BY169*(1-IF(B169&gt;=in_marketplace_from,d_hz_loan_home*G169,0)*BZ169)</f>
        <v/>
      </c>
      <c r="BZ170" s="11">
        <f>MIN(in_approval_cap,in_loan_home_approval*INDEX('Age profile'!$O$2:$O$61,B170)*(1+in_approval_growth)^(D170-1))</f>
        <v/>
      </c>
      <c r="CA170" s="14">
        <f>F170*BY170*IF(B170&gt;=in_marketplace_from,d_hz_loan_home*G170,0)*BZ170*in_loan_home_ticket*in_loan_home_comm</f>
        <v/>
      </c>
      <c r="CB170" s="40">
        <f>CB169*(1-IF(B169&gt;=in_marketplace_from,d_hz_loan_lap*G169,0)*CC169)</f>
        <v/>
      </c>
      <c r="CC170" s="11">
        <f>MIN(in_approval_cap,in_loan_lap_approval*INDEX('Age profile'!$O$2:$O$61,B170)*(1+in_approval_growth)^(D170-1))</f>
        <v/>
      </c>
      <c r="CD170" s="14">
        <f>F170*CB170*IF(B170&gt;=in_marketplace_from,d_hz_loan_lap*G170,0)*CC170*in_loan_lap_ticket*in_loan_lap_comm</f>
        <v/>
      </c>
      <c r="CE170" s="14">
        <f>AA170+AB170+AC170+AD170+AG170+AJ170+AM170+AP170+AS170+AU170+AX170+BB170+BE170+BG170+BJ170+BL170+BO170+BR170+BT170+BV170+BX170+CA170+CD170</f>
        <v/>
      </c>
    </row>
    <row r="171">
      <c r="A171" s="39" t="n">
        <v>3</v>
      </c>
      <c r="B171" s="39" t="n">
        <v>51</v>
      </c>
      <c r="C171" s="39">
        <f>A171+B171-1</f>
        <v/>
      </c>
      <c r="D171" s="39">
        <f>INT((C171-1)/12)+1</f>
        <v/>
      </c>
      <c r="E171" s="44">
        <f>INDEX(Monthly!$B$2:$B$61,A171)</f>
        <v/>
      </c>
      <c r="F171" s="44">
        <f>E171*INDEX('Age profile'!$B$2:$B$61,B171)</f>
        <v/>
      </c>
      <c r="G171" s="45">
        <f>MIN(in_takeup_cap,INDEX('Age profile'!$N$2:$N$61,B171)*(1+in_takeup_growth)^(D171-1))</f>
        <v/>
      </c>
      <c r="H171" s="11">
        <f>MIN(in_approval_cap,in_approved_first*INDEX('Age profile'!$O$2:$O$61,B171)*(1+in_approval_growth)^(D171-1))</f>
        <v/>
      </c>
      <c r="I171" s="45">
        <f>G171*MIN(in_takeup_cap,INDEX('Age profile'!$O$2:$O$61,B171)*(1+in_approval_growth)^(D171-1))</f>
        <v/>
      </c>
      <c r="J171" s="40">
        <f>(J170-L170)*F171/F170</f>
        <v/>
      </c>
      <c r="K171" s="40">
        <f>(K170-M170)*F171/F170+SUMIFS(O121:O170,B121:B170,B171-1-d_T)*F171</f>
        <v/>
      </c>
      <c r="L171" s="40">
        <f>IF(B171&gt;=in_marketplace_from,J171*d_hz*G171*in_eligible*H171,0)</f>
        <v/>
      </c>
      <c r="M171" s="40">
        <f>IF(B171&gt;=in_marketplace_from,K171*d_hz*G171*in_eligible*in_approved_repeat,0)</f>
        <v/>
      </c>
      <c r="N171" s="40">
        <f>L171+M171</f>
        <v/>
      </c>
      <c r="O171" s="46">
        <f>N171/F171</f>
        <v/>
      </c>
      <c r="P171" s="40">
        <f>F171-J171-K171</f>
        <v/>
      </c>
      <c r="Q171" s="40">
        <f>IF(B171&gt;=in_marketplace_from,(J171+K171)*d_hz*G171,0)</f>
        <v/>
      </c>
      <c r="R171" s="40">
        <f>SUMIFS(N121:N178,B121:B178,"&gt;="&amp;(B171-d_T),B121:B178,"&lt;="&amp;(B171-1))</f>
        <v/>
      </c>
      <c r="S171" s="46">
        <f>(1-d_u)*S170+IF(d_T&gt;in_topup_lag,SUMIFS(O121:O178,B121:B178,B171-in_topup_lag)-d_udrop*SUMIFS(O121:O178,B121:B178,B171-d_T),0)</f>
        <v/>
      </c>
      <c r="T171" s="40">
        <f>F171*d_u*S171</f>
        <v/>
      </c>
      <c r="U171" s="9">
        <f>L171*in_ticket+M171*d_rep_ticket</f>
        <v/>
      </c>
      <c r="V171" s="9">
        <f>U171+T171*d_topup_amt</f>
        <v/>
      </c>
      <c r="W171" s="40">
        <f>N171+T171*d_topup_ratio</f>
        <v/>
      </c>
      <c r="X171" s="40">
        <f>SUMIFS(W121:W178,B121:B178,B171-in_dpd_lag)*d_cured</f>
        <v/>
      </c>
      <c r="Y171" s="40">
        <f>SUMIFS(W121:W178,B121:B178,B171-in_rec_lag)*d_recd</f>
        <v/>
      </c>
      <c r="Z171" s="40">
        <f>IF(AND(B171&gt;=in_marketplace_from,B171&lt;in_marketplace_from+in_card_months),in_card_share/in_card_months*F171*I171,IF(AND(B171&gt;=in_marketplace_from+in_card_months,B171&lt;in_marketplace_from+2*in_card_months),in_card_share*d_card_rem/in_card_months*F171*MIN(in_takeup_cap,(1+in_takeup_growth)^(D171-1))*MIN(in_takeup_cap,(1+in_approval_growth)^(D171-1)),0))</f>
        <v/>
      </c>
      <c r="AA171" s="14">
        <f>V171*in_fee*(1-in_taken_back)</f>
        <v/>
      </c>
      <c r="AB171" s="14">
        <f>SUMIFS(W121:W178,B121:B178,B171-in_dpd_lag)*d_dpd</f>
        <v/>
      </c>
      <c r="AC171" s="14">
        <f>SUMIFS(W121:W178,B121:B178,B171-in_rec_lag)*d_rec</f>
        <v/>
      </c>
      <c r="AD171" s="14">
        <f>Z171*in_card_fee</f>
        <v/>
      </c>
      <c r="AE171" s="40">
        <f>AE170*(1-IF(B170&gt;=in_marketplace_from,d_hz_hlth_small*G170,0))</f>
        <v/>
      </c>
      <c r="AF171" s="46">
        <f>AE171*IF(B171&gt;=in_marketplace_from,d_hz_hlth_small*G171,0)</f>
        <v/>
      </c>
      <c r="AG171" s="14">
        <f>F171*AF171*in_hlth_small_ticket*in_hlth_small_comm*in_ins_partner_share+F171*in_hlth_small_ticket*in_hlth_small_renew_comm*in_ins_partner_share*(in_hlth_small_renew^1*SUMIFS(AF121:AF178,B121:B178,B171-12)+in_hlth_small_renew^2*SUMIFS(AF121:AF178,B121:B178,B171-24)+in_hlth_small_renew^3*SUMIFS(AF121:AF178,B121:B178,B171-36)+in_hlth_small_renew^4*SUMIFS(AF121:AF178,B121:B178,B171-48))</f>
        <v/>
      </c>
      <c r="AH171" s="40">
        <f>AH170*(1-IF(B170&gt;=in_marketplace_from,d_hz_hlth_family*G170,0))</f>
        <v/>
      </c>
      <c r="AI171" s="46">
        <f>AH171*IF(B171&gt;=in_marketplace_from,d_hz_hlth_family*G171,0)</f>
        <v/>
      </c>
      <c r="AJ171" s="14">
        <f>F171*AI171*in_hlth_family_ticket*in_hlth_family_comm*in_ins_partner_share+F171*in_hlth_family_ticket*in_hlth_family_renew_comm*in_ins_partner_share*(in_hlth_family_renew^1*SUMIFS(AI121:AI178,B121:B178,B171-12)+in_hlth_family_renew^2*SUMIFS(AI121:AI178,B121:B178,B171-24)+in_hlth_family_renew^3*SUMIFS(AI121:AI178,B121:B178,B171-36)+in_hlth_family_renew^4*SUMIFS(AI121:AI178,B121:B178,B171-48))</f>
        <v/>
      </c>
      <c r="AK171" s="40">
        <f>AK170*(1-IF(B170&gt;=in_marketplace_from,d_hz_life_term*G170,0))</f>
        <v/>
      </c>
      <c r="AL171" s="46">
        <f>AK171*IF(B171&gt;=in_marketplace_from,d_hz_life_term*G171,0)</f>
        <v/>
      </c>
      <c r="AM171" s="14">
        <f>F171*AL171*in_life_term_ticket*in_life_term_comm*in_ins_partner_share+F171*in_life_term_ticket*in_life_term_renew_comm*in_ins_partner_share*(in_life_term_renew^1*SUMIFS(AL121:AL178,B121:B178,B171-12)+in_life_term_renew^2*SUMIFS(AL121:AL178,B121:B178,B171-24)+in_life_term_renew^3*SUMIFS(AL121:AL178,B121:B178,B171-36)+in_life_term_renew^4*SUMIFS(AL121:AL178,B121:B178,B171-48))</f>
        <v/>
      </c>
      <c r="AN171" s="40">
        <f>AN170*(1-IF(B170&gt;=in_marketplace_from,d_hz_accident*G170,0))</f>
        <v/>
      </c>
      <c r="AO171" s="46">
        <f>AN171*IF(B171&gt;=in_marketplace_from,d_hz_accident*G171,0)</f>
        <v/>
      </c>
      <c r="AP171" s="14">
        <f>F171*AO171*in_accident_ticket*in_accident_comm*in_ins_partner_share+F171*in_accident_ticket*in_accident_renew_comm*in_ins_partner_share*(in_accident_renew^1*SUMIFS(AO121:AO178,B121:B178,B171-12)+in_accident_renew^2*SUMIFS(AO121:AO178,B121:B178,B171-24)+in_accident_renew^3*SUMIFS(AO121:AO178,B121:B178,B171-36)+in_accident_renew^4*SUMIFS(AO121:AO178,B121:B178,B171-48))</f>
        <v/>
      </c>
      <c r="AQ171" s="40">
        <f>AQ170*(1-IF(B170&gt;=in_marketplace_from,d_hz_two_wheeler*G170,0))</f>
        <v/>
      </c>
      <c r="AR171" s="46">
        <f>AQ171*IF(B171&gt;=in_marketplace_from,d_hz_two_wheeler*G171,0)</f>
        <v/>
      </c>
      <c r="AS171" s="14">
        <f>F171*AR171*in_two_wheeler_ticket*in_two_wheeler_comm*in_ins_partner_share+F171*in_two_wheeler_ticket*in_two_wheeler_comm*in_ins_partner_share*(in_two_wheeler_renew^1*SUMIFS(AR121:AR178,B121:B178,B171-12)+in_two_wheeler_renew^2*SUMIFS(AR121:AR178,B121:B178,B171-24)+in_two_wheeler_renew^3*SUMIFS(AR121:AR178,B121:B178,B171-36)+in_two_wheeler_renew^4*SUMIFS(AR121:AR178,B121:B178,B171-48))</f>
        <v/>
      </c>
      <c r="AT171" s="40">
        <f>AT170*(1-IF(B170&gt;=in_marketplace_from,d_hz_device*G170,0))</f>
        <v/>
      </c>
      <c r="AU171" s="14">
        <f>F171*AT171*IF(B171&gt;=in_marketplace_from,d_hz_device*G171,0)*in_device_ticket*in_device_comm*in_ins_partner_share</f>
        <v/>
      </c>
      <c r="AV171" s="40">
        <f>AV170*(1-IF(B170&gt;=in_marketplace_from,d_hz_shop*G170,0))</f>
        <v/>
      </c>
      <c r="AW171" s="46">
        <f>AV171*IF(B171&gt;=in_marketplace_from,d_hz_shop*G171,0)</f>
        <v/>
      </c>
      <c r="AX171" s="14">
        <f>F171*AW171*in_shop_ticket*in_shop_comm*in_ins_partner_share+F171*in_shop_ticket*in_shop_renew_comm*in_ins_partner_share*(in_shop_renew^1*SUMIFS(AW121:AW178,B121:B178,B171-12)+in_shop_renew^2*SUMIFS(AW121:AW178,B121:B178,B171-24)+in_shop_renew^3*SUMIFS(AW121:AW178,B121:B178,B171-36)+in_shop_renew^4*SUMIFS(AW121:AW178,B121:B178,B171-48))</f>
        <v/>
      </c>
      <c r="AY171" s="40">
        <f>AY170*(1-IF(B170&gt;=in_marketplace_from,d_hz_sip*G170,0))</f>
        <v/>
      </c>
      <c r="AZ171" s="40">
        <f>AZ170*d_rho_sip+AY171*IF(B171&gt;=in_marketplace_from,d_hz_sip*G171,0)</f>
        <v/>
      </c>
      <c r="BA171" s="40">
        <f>d_rho_sip*(BA170+AZ170)</f>
        <v/>
      </c>
      <c r="BB171" s="14">
        <f>F171*in_sip_ticket*(BA171+0.5*AZ171)*in_sip_comm/12</f>
        <v/>
      </c>
      <c r="BC171" s="40">
        <f>BC170*(1-IF(B170&gt;=in_marketplace_from,d_hz_choti*G170,0))</f>
        <v/>
      </c>
      <c r="BD171" s="46">
        <f>BC171*IF(B171&gt;=in_marketplace_from,d_hz_choti*G171,0)</f>
        <v/>
      </c>
      <c r="BE171" s="14">
        <f>F171*SUMIFS(BD121:BD178,B121:B178,B171-in_choti_months)*in_choti_renew*in_choti_ticket</f>
        <v/>
      </c>
      <c r="BF171" s="40">
        <f>BF170*(1-IF(B170&gt;=in_marketplace_from,d_hz_nps*G170,0))</f>
        <v/>
      </c>
      <c r="BG171" s="14">
        <f>F171*BF171*IF(B171&gt;=in_marketplace_from,d_hz_nps*G171,0)*in_nps_ticket*in_nps_comm</f>
        <v/>
      </c>
      <c r="BH171" s="40">
        <f>BH170*(1-IF(B170&gt;=in_marketplace_from,d_hz_gold*G170,0))</f>
        <v/>
      </c>
      <c r="BI171" s="40">
        <f>BI170*d_rho_gold+BH171*IF(B171&gt;=in_marketplace_from,d_hz_gold*G171,0)</f>
        <v/>
      </c>
      <c r="BJ171" s="14">
        <f>F171*BI171*in_gold_ticket*in_gold_comm</f>
        <v/>
      </c>
      <c r="BK171" s="40">
        <f>BK170*(1-IF(B170&gt;=in_marketplace_from,d_hz_fd*G170,0))</f>
        <v/>
      </c>
      <c r="BL171" s="14">
        <f>F171*BK171*IF(B171&gt;=in_marketplace_from,d_hz_fd*G171,0)*in_fd_ticket*in_fd_comm</f>
        <v/>
      </c>
      <c r="BM171" s="40">
        <f>BM170*(1-IF(B170&gt;=in_marketplace_from,d_hz_recharge*G170,0))</f>
        <v/>
      </c>
      <c r="BN171" s="40">
        <f>BN170*d_rho_recharge+BM171*IF(B171&gt;=in_marketplace_from,d_hz_recharge*G171,0)</f>
        <v/>
      </c>
      <c r="BO171" s="14">
        <f>F171*BN171*in_recharge_ticket*in_recharge_comm/12</f>
        <v/>
      </c>
      <c r="BP171" s="40">
        <f>BP170*(1-IF(B170&gt;=in_marketplace_from,d_hz_bills*G170,0))</f>
        <v/>
      </c>
      <c r="BQ171" s="40">
        <f>BQ170*d_rho_bills+BP171*IF(B171&gt;=in_marketplace_from,d_hz_bills*G171,0)</f>
        <v/>
      </c>
      <c r="BR171" s="14">
        <f>F171*BQ171*in_bills_ticket*in_bills_comm/12</f>
        <v/>
      </c>
      <c r="BS171" s="40">
        <f>BS170*(1-IF(B170&gt;=in_marketplace_from,d_hz_loan_gold*G170,0))</f>
        <v/>
      </c>
      <c r="BT171" s="14">
        <f>F171*BS171*IF(B171&gt;=in_marketplace_from,d_hz_loan_gold*G171,0)*in_loan_gold_ticket*in_loan_gold_comm</f>
        <v/>
      </c>
      <c r="BU171" s="40">
        <f>BU170*(1-IF(B170&gt;=in_marketplace_from,d_hz_loan_cd*G170,0))</f>
        <v/>
      </c>
      <c r="BV171" s="14">
        <f>F171*BU171*IF(B171&gt;=in_marketplace_from,d_hz_loan_cd*G171,0)*in_loan_cd_ticket*in_loan_cd_comm</f>
        <v/>
      </c>
      <c r="BW171" s="40">
        <f>BW170*(1-IF(B170&gt;=in_marketplace_from,d_hz_loan_vehicle*G170,0))</f>
        <v/>
      </c>
      <c r="BX171" s="14">
        <f>F171*BW171*IF(B171&gt;=in_marketplace_from,d_hz_loan_vehicle*G171,0)*in_loan_vehicle_ticket*in_loan_vehicle_comm</f>
        <v/>
      </c>
      <c r="BY171" s="40">
        <f>BY170*(1-IF(B170&gt;=in_marketplace_from,d_hz_loan_home*G170,0)*BZ170)</f>
        <v/>
      </c>
      <c r="BZ171" s="11">
        <f>MIN(in_approval_cap,in_loan_home_approval*INDEX('Age profile'!$O$2:$O$61,B171)*(1+in_approval_growth)^(D171-1))</f>
        <v/>
      </c>
      <c r="CA171" s="14">
        <f>F171*BY171*IF(B171&gt;=in_marketplace_from,d_hz_loan_home*G171,0)*BZ171*in_loan_home_ticket*in_loan_home_comm</f>
        <v/>
      </c>
      <c r="CB171" s="40">
        <f>CB170*(1-IF(B170&gt;=in_marketplace_from,d_hz_loan_lap*G170,0)*CC170)</f>
        <v/>
      </c>
      <c r="CC171" s="11">
        <f>MIN(in_approval_cap,in_loan_lap_approval*INDEX('Age profile'!$O$2:$O$61,B171)*(1+in_approval_growth)^(D171-1))</f>
        <v/>
      </c>
      <c r="CD171" s="14">
        <f>F171*CB171*IF(B171&gt;=in_marketplace_from,d_hz_loan_lap*G171,0)*CC171*in_loan_lap_ticket*in_loan_lap_comm</f>
        <v/>
      </c>
      <c r="CE171" s="14">
        <f>AA171+AB171+AC171+AD171+AG171+AJ171+AM171+AP171+AS171+AU171+AX171+BB171+BE171+BG171+BJ171+BL171+BO171+BR171+BT171+BV171+BX171+CA171+CD171</f>
        <v/>
      </c>
    </row>
    <row r="172">
      <c r="A172" s="39" t="n">
        <v>3</v>
      </c>
      <c r="B172" s="39" t="n">
        <v>52</v>
      </c>
      <c r="C172" s="39">
        <f>A172+B172-1</f>
        <v/>
      </c>
      <c r="D172" s="39">
        <f>INT((C172-1)/12)+1</f>
        <v/>
      </c>
      <c r="E172" s="44">
        <f>INDEX(Monthly!$B$2:$B$61,A172)</f>
        <v/>
      </c>
      <c r="F172" s="44">
        <f>E172*INDEX('Age profile'!$B$2:$B$61,B172)</f>
        <v/>
      </c>
      <c r="G172" s="45">
        <f>MIN(in_takeup_cap,INDEX('Age profile'!$N$2:$N$61,B172)*(1+in_takeup_growth)^(D172-1))</f>
        <v/>
      </c>
      <c r="H172" s="11">
        <f>MIN(in_approval_cap,in_approved_first*INDEX('Age profile'!$O$2:$O$61,B172)*(1+in_approval_growth)^(D172-1))</f>
        <v/>
      </c>
      <c r="I172" s="45">
        <f>G172*MIN(in_takeup_cap,INDEX('Age profile'!$O$2:$O$61,B172)*(1+in_approval_growth)^(D172-1))</f>
        <v/>
      </c>
      <c r="J172" s="40">
        <f>(J171-L171)*F172/F171</f>
        <v/>
      </c>
      <c r="K172" s="40">
        <f>(K171-M171)*F172/F171+SUMIFS(O121:O171,B121:B171,B172-1-d_T)*F172</f>
        <v/>
      </c>
      <c r="L172" s="40">
        <f>IF(B172&gt;=in_marketplace_from,J172*d_hz*G172*in_eligible*H172,0)</f>
        <v/>
      </c>
      <c r="M172" s="40">
        <f>IF(B172&gt;=in_marketplace_from,K172*d_hz*G172*in_eligible*in_approved_repeat,0)</f>
        <v/>
      </c>
      <c r="N172" s="40">
        <f>L172+M172</f>
        <v/>
      </c>
      <c r="O172" s="46">
        <f>N172/F172</f>
        <v/>
      </c>
      <c r="P172" s="40">
        <f>F172-J172-K172</f>
        <v/>
      </c>
      <c r="Q172" s="40">
        <f>IF(B172&gt;=in_marketplace_from,(J172+K172)*d_hz*G172,0)</f>
        <v/>
      </c>
      <c r="R172" s="40">
        <f>SUMIFS(N121:N178,B121:B178,"&gt;="&amp;(B172-d_T),B121:B178,"&lt;="&amp;(B172-1))</f>
        <v/>
      </c>
      <c r="S172" s="46">
        <f>(1-d_u)*S171+IF(d_T&gt;in_topup_lag,SUMIFS(O121:O178,B121:B178,B172-in_topup_lag)-d_udrop*SUMIFS(O121:O178,B121:B178,B172-d_T),0)</f>
        <v/>
      </c>
      <c r="T172" s="40">
        <f>F172*d_u*S172</f>
        <v/>
      </c>
      <c r="U172" s="9">
        <f>L172*in_ticket+M172*d_rep_ticket</f>
        <v/>
      </c>
      <c r="V172" s="9">
        <f>U172+T172*d_topup_amt</f>
        <v/>
      </c>
      <c r="W172" s="40">
        <f>N172+T172*d_topup_ratio</f>
        <v/>
      </c>
      <c r="X172" s="40">
        <f>SUMIFS(W121:W178,B121:B178,B172-in_dpd_lag)*d_cured</f>
        <v/>
      </c>
      <c r="Y172" s="40">
        <f>SUMIFS(W121:W178,B121:B178,B172-in_rec_lag)*d_recd</f>
        <v/>
      </c>
      <c r="Z172" s="40">
        <f>IF(AND(B172&gt;=in_marketplace_from,B172&lt;in_marketplace_from+in_card_months),in_card_share/in_card_months*F172*I172,IF(AND(B172&gt;=in_marketplace_from+in_card_months,B172&lt;in_marketplace_from+2*in_card_months),in_card_share*d_card_rem/in_card_months*F172*MIN(in_takeup_cap,(1+in_takeup_growth)^(D172-1))*MIN(in_takeup_cap,(1+in_approval_growth)^(D172-1)),0))</f>
        <v/>
      </c>
      <c r="AA172" s="14">
        <f>V172*in_fee*(1-in_taken_back)</f>
        <v/>
      </c>
      <c r="AB172" s="14">
        <f>SUMIFS(W121:W178,B121:B178,B172-in_dpd_lag)*d_dpd</f>
        <v/>
      </c>
      <c r="AC172" s="14">
        <f>SUMIFS(W121:W178,B121:B178,B172-in_rec_lag)*d_rec</f>
        <v/>
      </c>
      <c r="AD172" s="14">
        <f>Z172*in_card_fee</f>
        <v/>
      </c>
      <c r="AE172" s="40">
        <f>AE171*(1-IF(B171&gt;=in_marketplace_from,d_hz_hlth_small*G171,0))</f>
        <v/>
      </c>
      <c r="AF172" s="46">
        <f>AE172*IF(B172&gt;=in_marketplace_from,d_hz_hlth_small*G172,0)</f>
        <v/>
      </c>
      <c r="AG172" s="14">
        <f>F172*AF172*in_hlth_small_ticket*in_hlth_small_comm*in_ins_partner_share+F172*in_hlth_small_ticket*in_hlth_small_renew_comm*in_ins_partner_share*(in_hlth_small_renew^1*SUMIFS(AF121:AF178,B121:B178,B172-12)+in_hlth_small_renew^2*SUMIFS(AF121:AF178,B121:B178,B172-24)+in_hlth_small_renew^3*SUMIFS(AF121:AF178,B121:B178,B172-36)+in_hlth_small_renew^4*SUMIFS(AF121:AF178,B121:B178,B172-48))</f>
        <v/>
      </c>
      <c r="AH172" s="40">
        <f>AH171*(1-IF(B171&gt;=in_marketplace_from,d_hz_hlth_family*G171,0))</f>
        <v/>
      </c>
      <c r="AI172" s="46">
        <f>AH172*IF(B172&gt;=in_marketplace_from,d_hz_hlth_family*G172,0)</f>
        <v/>
      </c>
      <c r="AJ172" s="14">
        <f>F172*AI172*in_hlth_family_ticket*in_hlth_family_comm*in_ins_partner_share+F172*in_hlth_family_ticket*in_hlth_family_renew_comm*in_ins_partner_share*(in_hlth_family_renew^1*SUMIFS(AI121:AI178,B121:B178,B172-12)+in_hlth_family_renew^2*SUMIFS(AI121:AI178,B121:B178,B172-24)+in_hlth_family_renew^3*SUMIFS(AI121:AI178,B121:B178,B172-36)+in_hlth_family_renew^4*SUMIFS(AI121:AI178,B121:B178,B172-48))</f>
        <v/>
      </c>
      <c r="AK172" s="40">
        <f>AK171*(1-IF(B171&gt;=in_marketplace_from,d_hz_life_term*G171,0))</f>
        <v/>
      </c>
      <c r="AL172" s="46">
        <f>AK172*IF(B172&gt;=in_marketplace_from,d_hz_life_term*G172,0)</f>
        <v/>
      </c>
      <c r="AM172" s="14">
        <f>F172*AL172*in_life_term_ticket*in_life_term_comm*in_ins_partner_share+F172*in_life_term_ticket*in_life_term_renew_comm*in_ins_partner_share*(in_life_term_renew^1*SUMIFS(AL121:AL178,B121:B178,B172-12)+in_life_term_renew^2*SUMIFS(AL121:AL178,B121:B178,B172-24)+in_life_term_renew^3*SUMIFS(AL121:AL178,B121:B178,B172-36)+in_life_term_renew^4*SUMIFS(AL121:AL178,B121:B178,B172-48))</f>
        <v/>
      </c>
      <c r="AN172" s="40">
        <f>AN171*(1-IF(B171&gt;=in_marketplace_from,d_hz_accident*G171,0))</f>
        <v/>
      </c>
      <c r="AO172" s="46">
        <f>AN172*IF(B172&gt;=in_marketplace_from,d_hz_accident*G172,0)</f>
        <v/>
      </c>
      <c r="AP172" s="14">
        <f>F172*AO172*in_accident_ticket*in_accident_comm*in_ins_partner_share+F172*in_accident_ticket*in_accident_renew_comm*in_ins_partner_share*(in_accident_renew^1*SUMIFS(AO121:AO178,B121:B178,B172-12)+in_accident_renew^2*SUMIFS(AO121:AO178,B121:B178,B172-24)+in_accident_renew^3*SUMIFS(AO121:AO178,B121:B178,B172-36)+in_accident_renew^4*SUMIFS(AO121:AO178,B121:B178,B172-48))</f>
        <v/>
      </c>
      <c r="AQ172" s="40">
        <f>AQ171*(1-IF(B171&gt;=in_marketplace_from,d_hz_two_wheeler*G171,0))</f>
        <v/>
      </c>
      <c r="AR172" s="46">
        <f>AQ172*IF(B172&gt;=in_marketplace_from,d_hz_two_wheeler*G172,0)</f>
        <v/>
      </c>
      <c r="AS172" s="14">
        <f>F172*AR172*in_two_wheeler_ticket*in_two_wheeler_comm*in_ins_partner_share+F172*in_two_wheeler_ticket*in_two_wheeler_comm*in_ins_partner_share*(in_two_wheeler_renew^1*SUMIFS(AR121:AR178,B121:B178,B172-12)+in_two_wheeler_renew^2*SUMIFS(AR121:AR178,B121:B178,B172-24)+in_two_wheeler_renew^3*SUMIFS(AR121:AR178,B121:B178,B172-36)+in_two_wheeler_renew^4*SUMIFS(AR121:AR178,B121:B178,B172-48))</f>
        <v/>
      </c>
      <c r="AT172" s="40">
        <f>AT171*(1-IF(B171&gt;=in_marketplace_from,d_hz_device*G171,0))</f>
        <v/>
      </c>
      <c r="AU172" s="14">
        <f>F172*AT172*IF(B172&gt;=in_marketplace_from,d_hz_device*G172,0)*in_device_ticket*in_device_comm*in_ins_partner_share</f>
        <v/>
      </c>
      <c r="AV172" s="40">
        <f>AV171*(1-IF(B171&gt;=in_marketplace_from,d_hz_shop*G171,0))</f>
        <v/>
      </c>
      <c r="AW172" s="46">
        <f>AV172*IF(B172&gt;=in_marketplace_from,d_hz_shop*G172,0)</f>
        <v/>
      </c>
      <c r="AX172" s="14">
        <f>F172*AW172*in_shop_ticket*in_shop_comm*in_ins_partner_share+F172*in_shop_ticket*in_shop_renew_comm*in_ins_partner_share*(in_shop_renew^1*SUMIFS(AW121:AW178,B121:B178,B172-12)+in_shop_renew^2*SUMIFS(AW121:AW178,B121:B178,B172-24)+in_shop_renew^3*SUMIFS(AW121:AW178,B121:B178,B172-36)+in_shop_renew^4*SUMIFS(AW121:AW178,B121:B178,B172-48))</f>
        <v/>
      </c>
      <c r="AY172" s="40">
        <f>AY171*(1-IF(B171&gt;=in_marketplace_from,d_hz_sip*G171,0))</f>
        <v/>
      </c>
      <c r="AZ172" s="40">
        <f>AZ171*d_rho_sip+AY172*IF(B172&gt;=in_marketplace_from,d_hz_sip*G172,0)</f>
        <v/>
      </c>
      <c r="BA172" s="40">
        <f>d_rho_sip*(BA171+AZ171)</f>
        <v/>
      </c>
      <c r="BB172" s="14">
        <f>F172*in_sip_ticket*(BA172+0.5*AZ172)*in_sip_comm/12</f>
        <v/>
      </c>
      <c r="BC172" s="40">
        <f>BC171*(1-IF(B171&gt;=in_marketplace_from,d_hz_choti*G171,0))</f>
        <v/>
      </c>
      <c r="BD172" s="46">
        <f>BC172*IF(B172&gt;=in_marketplace_from,d_hz_choti*G172,0)</f>
        <v/>
      </c>
      <c r="BE172" s="14">
        <f>F172*SUMIFS(BD121:BD178,B121:B178,B172-in_choti_months)*in_choti_renew*in_choti_ticket</f>
        <v/>
      </c>
      <c r="BF172" s="40">
        <f>BF171*(1-IF(B171&gt;=in_marketplace_from,d_hz_nps*G171,0))</f>
        <v/>
      </c>
      <c r="BG172" s="14">
        <f>F172*BF172*IF(B172&gt;=in_marketplace_from,d_hz_nps*G172,0)*in_nps_ticket*in_nps_comm</f>
        <v/>
      </c>
      <c r="BH172" s="40">
        <f>BH171*(1-IF(B171&gt;=in_marketplace_from,d_hz_gold*G171,0))</f>
        <v/>
      </c>
      <c r="BI172" s="40">
        <f>BI171*d_rho_gold+BH172*IF(B172&gt;=in_marketplace_from,d_hz_gold*G172,0)</f>
        <v/>
      </c>
      <c r="BJ172" s="14">
        <f>F172*BI172*in_gold_ticket*in_gold_comm</f>
        <v/>
      </c>
      <c r="BK172" s="40">
        <f>BK171*(1-IF(B171&gt;=in_marketplace_from,d_hz_fd*G171,0))</f>
        <v/>
      </c>
      <c r="BL172" s="14">
        <f>F172*BK172*IF(B172&gt;=in_marketplace_from,d_hz_fd*G172,0)*in_fd_ticket*in_fd_comm</f>
        <v/>
      </c>
      <c r="BM172" s="40">
        <f>BM171*(1-IF(B171&gt;=in_marketplace_from,d_hz_recharge*G171,0))</f>
        <v/>
      </c>
      <c r="BN172" s="40">
        <f>BN171*d_rho_recharge+BM172*IF(B172&gt;=in_marketplace_from,d_hz_recharge*G172,0)</f>
        <v/>
      </c>
      <c r="BO172" s="14">
        <f>F172*BN172*in_recharge_ticket*in_recharge_comm/12</f>
        <v/>
      </c>
      <c r="BP172" s="40">
        <f>BP171*(1-IF(B171&gt;=in_marketplace_from,d_hz_bills*G171,0))</f>
        <v/>
      </c>
      <c r="BQ172" s="40">
        <f>BQ171*d_rho_bills+BP172*IF(B172&gt;=in_marketplace_from,d_hz_bills*G172,0)</f>
        <v/>
      </c>
      <c r="BR172" s="14">
        <f>F172*BQ172*in_bills_ticket*in_bills_comm/12</f>
        <v/>
      </c>
      <c r="BS172" s="40">
        <f>BS171*(1-IF(B171&gt;=in_marketplace_from,d_hz_loan_gold*G171,0))</f>
        <v/>
      </c>
      <c r="BT172" s="14">
        <f>F172*BS172*IF(B172&gt;=in_marketplace_from,d_hz_loan_gold*G172,0)*in_loan_gold_ticket*in_loan_gold_comm</f>
        <v/>
      </c>
      <c r="BU172" s="40">
        <f>BU171*(1-IF(B171&gt;=in_marketplace_from,d_hz_loan_cd*G171,0))</f>
        <v/>
      </c>
      <c r="BV172" s="14">
        <f>F172*BU172*IF(B172&gt;=in_marketplace_from,d_hz_loan_cd*G172,0)*in_loan_cd_ticket*in_loan_cd_comm</f>
        <v/>
      </c>
      <c r="BW172" s="40">
        <f>BW171*(1-IF(B171&gt;=in_marketplace_from,d_hz_loan_vehicle*G171,0))</f>
        <v/>
      </c>
      <c r="BX172" s="14">
        <f>F172*BW172*IF(B172&gt;=in_marketplace_from,d_hz_loan_vehicle*G172,0)*in_loan_vehicle_ticket*in_loan_vehicle_comm</f>
        <v/>
      </c>
      <c r="BY172" s="40">
        <f>BY171*(1-IF(B171&gt;=in_marketplace_from,d_hz_loan_home*G171,0)*BZ171)</f>
        <v/>
      </c>
      <c r="BZ172" s="11">
        <f>MIN(in_approval_cap,in_loan_home_approval*INDEX('Age profile'!$O$2:$O$61,B172)*(1+in_approval_growth)^(D172-1))</f>
        <v/>
      </c>
      <c r="CA172" s="14">
        <f>F172*BY172*IF(B172&gt;=in_marketplace_from,d_hz_loan_home*G172,0)*BZ172*in_loan_home_ticket*in_loan_home_comm</f>
        <v/>
      </c>
      <c r="CB172" s="40">
        <f>CB171*(1-IF(B171&gt;=in_marketplace_from,d_hz_loan_lap*G171,0)*CC171)</f>
        <v/>
      </c>
      <c r="CC172" s="11">
        <f>MIN(in_approval_cap,in_loan_lap_approval*INDEX('Age profile'!$O$2:$O$61,B172)*(1+in_approval_growth)^(D172-1))</f>
        <v/>
      </c>
      <c r="CD172" s="14">
        <f>F172*CB172*IF(B172&gt;=in_marketplace_from,d_hz_loan_lap*G172,0)*CC172*in_loan_lap_ticket*in_loan_lap_comm</f>
        <v/>
      </c>
      <c r="CE172" s="14">
        <f>AA172+AB172+AC172+AD172+AG172+AJ172+AM172+AP172+AS172+AU172+AX172+BB172+BE172+BG172+BJ172+BL172+BO172+BR172+BT172+BV172+BX172+CA172+CD172</f>
        <v/>
      </c>
    </row>
    <row r="173">
      <c r="A173" s="39" t="n">
        <v>3</v>
      </c>
      <c r="B173" s="39" t="n">
        <v>53</v>
      </c>
      <c r="C173" s="39">
        <f>A173+B173-1</f>
        <v/>
      </c>
      <c r="D173" s="39">
        <f>INT((C173-1)/12)+1</f>
        <v/>
      </c>
      <c r="E173" s="44">
        <f>INDEX(Monthly!$B$2:$B$61,A173)</f>
        <v/>
      </c>
      <c r="F173" s="44">
        <f>E173*INDEX('Age profile'!$B$2:$B$61,B173)</f>
        <v/>
      </c>
      <c r="G173" s="45">
        <f>MIN(in_takeup_cap,INDEX('Age profile'!$N$2:$N$61,B173)*(1+in_takeup_growth)^(D173-1))</f>
        <v/>
      </c>
      <c r="H173" s="11">
        <f>MIN(in_approval_cap,in_approved_first*INDEX('Age profile'!$O$2:$O$61,B173)*(1+in_approval_growth)^(D173-1))</f>
        <v/>
      </c>
      <c r="I173" s="45">
        <f>G173*MIN(in_takeup_cap,INDEX('Age profile'!$O$2:$O$61,B173)*(1+in_approval_growth)^(D173-1))</f>
        <v/>
      </c>
      <c r="J173" s="40">
        <f>(J172-L172)*F173/F172</f>
        <v/>
      </c>
      <c r="K173" s="40">
        <f>(K172-M172)*F173/F172+SUMIFS(O121:O172,B121:B172,B173-1-d_T)*F173</f>
        <v/>
      </c>
      <c r="L173" s="40">
        <f>IF(B173&gt;=in_marketplace_from,J173*d_hz*G173*in_eligible*H173,0)</f>
        <v/>
      </c>
      <c r="M173" s="40">
        <f>IF(B173&gt;=in_marketplace_from,K173*d_hz*G173*in_eligible*in_approved_repeat,0)</f>
        <v/>
      </c>
      <c r="N173" s="40">
        <f>L173+M173</f>
        <v/>
      </c>
      <c r="O173" s="46">
        <f>N173/F173</f>
        <v/>
      </c>
      <c r="P173" s="40">
        <f>F173-J173-K173</f>
        <v/>
      </c>
      <c r="Q173" s="40">
        <f>IF(B173&gt;=in_marketplace_from,(J173+K173)*d_hz*G173,0)</f>
        <v/>
      </c>
      <c r="R173" s="40">
        <f>SUMIFS(N121:N178,B121:B178,"&gt;="&amp;(B173-d_T),B121:B178,"&lt;="&amp;(B173-1))</f>
        <v/>
      </c>
      <c r="S173" s="46">
        <f>(1-d_u)*S172+IF(d_T&gt;in_topup_lag,SUMIFS(O121:O178,B121:B178,B173-in_topup_lag)-d_udrop*SUMIFS(O121:O178,B121:B178,B173-d_T),0)</f>
        <v/>
      </c>
      <c r="T173" s="40">
        <f>F173*d_u*S173</f>
        <v/>
      </c>
      <c r="U173" s="9">
        <f>L173*in_ticket+M173*d_rep_ticket</f>
        <v/>
      </c>
      <c r="V173" s="9">
        <f>U173+T173*d_topup_amt</f>
        <v/>
      </c>
      <c r="W173" s="40">
        <f>N173+T173*d_topup_ratio</f>
        <v/>
      </c>
      <c r="X173" s="40">
        <f>SUMIFS(W121:W178,B121:B178,B173-in_dpd_lag)*d_cured</f>
        <v/>
      </c>
      <c r="Y173" s="40">
        <f>SUMIFS(W121:W178,B121:B178,B173-in_rec_lag)*d_recd</f>
        <v/>
      </c>
      <c r="Z173" s="40">
        <f>IF(AND(B173&gt;=in_marketplace_from,B173&lt;in_marketplace_from+in_card_months),in_card_share/in_card_months*F173*I173,IF(AND(B173&gt;=in_marketplace_from+in_card_months,B173&lt;in_marketplace_from+2*in_card_months),in_card_share*d_card_rem/in_card_months*F173*MIN(in_takeup_cap,(1+in_takeup_growth)^(D173-1))*MIN(in_takeup_cap,(1+in_approval_growth)^(D173-1)),0))</f>
        <v/>
      </c>
      <c r="AA173" s="14">
        <f>V173*in_fee*(1-in_taken_back)</f>
        <v/>
      </c>
      <c r="AB173" s="14">
        <f>SUMIFS(W121:W178,B121:B178,B173-in_dpd_lag)*d_dpd</f>
        <v/>
      </c>
      <c r="AC173" s="14">
        <f>SUMIFS(W121:W178,B121:B178,B173-in_rec_lag)*d_rec</f>
        <v/>
      </c>
      <c r="AD173" s="14">
        <f>Z173*in_card_fee</f>
        <v/>
      </c>
      <c r="AE173" s="40">
        <f>AE172*(1-IF(B172&gt;=in_marketplace_from,d_hz_hlth_small*G172,0))</f>
        <v/>
      </c>
      <c r="AF173" s="46">
        <f>AE173*IF(B173&gt;=in_marketplace_from,d_hz_hlth_small*G173,0)</f>
        <v/>
      </c>
      <c r="AG173" s="14">
        <f>F173*AF173*in_hlth_small_ticket*in_hlth_small_comm*in_ins_partner_share+F173*in_hlth_small_ticket*in_hlth_small_renew_comm*in_ins_partner_share*(in_hlth_small_renew^1*SUMIFS(AF121:AF178,B121:B178,B173-12)+in_hlth_small_renew^2*SUMIFS(AF121:AF178,B121:B178,B173-24)+in_hlth_small_renew^3*SUMIFS(AF121:AF178,B121:B178,B173-36)+in_hlth_small_renew^4*SUMIFS(AF121:AF178,B121:B178,B173-48))</f>
        <v/>
      </c>
      <c r="AH173" s="40">
        <f>AH172*(1-IF(B172&gt;=in_marketplace_from,d_hz_hlth_family*G172,0))</f>
        <v/>
      </c>
      <c r="AI173" s="46">
        <f>AH173*IF(B173&gt;=in_marketplace_from,d_hz_hlth_family*G173,0)</f>
        <v/>
      </c>
      <c r="AJ173" s="14">
        <f>F173*AI173*in_hlth_family_ticket*in_hlth_family_comm*in_ins_partner_share+F173*in_hlth_family_ticket*in_hlth_family_renew_comm*in_ins_partner_share*(in_hlth_family_renew^1*SUMIFS(AI121:AI178,B121:B178,B173-12)+in_hlth_family_renew^2*SUMIFS(AI121:AI178,B121:B178,B173-24)+in_hlth_family_renew^3*SUMIFS(AI121:AI178,B121:B178,B173-36)+in_hlth_family_renew^4*SUMIFS(AI121:AI178,B121:B178,B173-48))</f>
        <v/>
      </c>
      <c r="AK173" s="40">
        <f>AK172*(1-IF(B172&gt;=in_marketplace_from,d_hz_life_term*G172,0))</f>
        <v/>
      </c>
      <c r="AL173" s="46">
        <f>AK173*IF(B173&gt;=in_marketplace_from,d_hz_life_term*G173,0)</f>
        <v/>
      </c>
      <c r="AM173" s="14">
        <f>F173*AL173*in_life_term_ticket*in_life_term_comm*in_ins_partner_share+F173*in_life_term_ticket*in_life_term_renew_comm*in_ins_partner_share*(in_life_term_renew^1*SUMIFS(AL121:AL178,B121:B178,B173-12)+in_life_term_renew^2*SUMIFS(AL121:AL178,B121:B178,B173-24)+in_life_term_renew^3*SUMIFS(AL121:AL178,B121:B178,B173-36)+in_life_term_renew^4*SUMIFS(AL121:AL178,B121:B178,B173-48))</f>
        <v/>
      </c>
      <c r="AN173" s="40">
        <f>AN172*(1-IF(B172&gt;=in_marketplace_from,d_hz_accident*G172,0))</f>
        <v/>
      </c>
      <c r="AO173" s="46">
        <f>AN173*IF(B173&gt;=in_marketplace_from,d_hz_accident*G173,0)</f>
        <v/>
      </c>
      <c r="AP173" s="14">
        <f>F173*AO173*in_accident_ticket*in_accident_comm*in_ins_partner_share+F173*in_accident_ticket*in_accident_renew_comm*in_ins_partner_share*(in_accident_renew^1*SUMIFS(AO121:AO178,B121:B178,B173-12)+in_accident_renew^2*SUMIFS(AO121:AO178,B121:B178,B173-24)+in_accident_renew^3*SUMIFS(AO121:AO178,B121:B178,B173-36)+in_accident_renew^4*SUMIFS(AO121:AO178,B121:B178,B173-48))</f>
        <v/>
      </c>
      <c r="AQ173" s="40">
        <f>AQ172*(1-IF(B172&gt;=in_marketplace_from,d_hz_two_wheeler*G172,0))</f>
        <v/>
      </c>
      <c r="AR173" s="46">
        <f>AQ173*IF(B173&gt;=in_marketplace_from,d_hz_two_wheeler*G173,0)</f>
        <v/>
      </c>
      <c r="AS173" s="14">
        <f>F173*AR173*in_two_wheeler_ticket*in_two_wheeler_comm*in_ins_partner_share+F173*in_two_wheeler_ticket*in_two_wheeler_comm*in_ins_partner_share*(in_two_wheeler_renew^1*SUMIFS(AR121:AR178,B121:B178,B173-12)+in_two_wheeler_renew^2*SUMIFS(AR121:AR178,B121:B178,B173-24)+in_two_wheeler_renew^3*SUMIFS(AR121:AR178,B121:B178,B173-36)+in_two_wheeler_renew^4*SUMIFS(AR121:AR178,B121:B178,B173-48))</f>
        <v/>
      </c>
      <c r="AT173" s="40">
        <f>AT172*(1-IF(B172&gt;=in_marketplace_from,d_hz_device*G172,0))</f>
        <v/>
      </c>
      <c r="AU173" s="14">
        <f>F173*AT173*IF(B173&gt;=in_marketplace_from,d_hz_device*G173,0)*in_device_ticket*in_device_comm*in_ins_partner_share</f>
        <v/>
      </c>
      <c r="AV173" s="40">
        <f>AV172*(1-IF(B172&gt;=in_marketplace_from,d_hz_shop*G172,0))</f>
        <v/>
      </c>
      <c r="AW173" s="46">
        <f>AV173*IF(B173&gt;=in_marketplace_from,d_hz_shop*G173,0)</f>
        <v/>
      </c>
      <c r="AX173" s="14">
        <f>F173*AW173*in_shop_ticket*in_shop_comm*in_ins_partner_share+F173*in_shop_ticket*in_shop_renew_comm*in_ins_partner_share*(in_shop_renew^1*SUMIFS(AW121:AW178,B121:B178,B173-12)+in_shop_renew^2*SUMIFS(AW121:AW178,B121:B178,B173-24)+in_shop_renew^3*SUMIFS(AW121:AW178,B121:B178,B173-36)+in_shop_renew^4*SUMIFS(AW121:AW178,B121:B178,B173-48))</f>
        <v/>
      </c>
      <c r="AY173" s="40">
        <f>AY172*(1-IF(B172&gt;=in_marketplace_from,d_hz_sip*G172,0))</f>
        <v/>
      </c>
      <c r="AZ173" s="40">
        <f>AZ172*d_rho_sip+AY173*IF(B173&gt;=in_marketplace_from,d_hz_sip*G173,0)</f>
        <v/>
      </c>
      <c r="BA173" s="40">
        <f>d_rho_sip*(BA172+AZ172)</f>
        <v/>
      </c>
      <c r="BB173" s="14">
        <f>F173*in_sip_ticket*(BA173+0.5*AZ173)*in_sip_comm/12</f>
        <v/>
      </c>
      <c r="BC173" s="40">
        <f>BC172*(1-IF(B172&gt;=in_marketplace_from,d_hz_choti*G172,0))</f>
        <v/>
      </c>
      <c r="BD173" s="46">
        <f>BC173*IF(B173&gt;=in_marketplace_from,d_hz_choti*G173,0)</f>
        <v/>
      </c>
      <c r="BE173" s="14">
        <f>F173*SUMIFS(BD121:BD178,B121:B178,B173-in_choti_months)*in_choti_renew*in_choti_ticket</f>
        <v/>
      </c>
      <c r="BF173" s="40">
        <f>BF172*(1-IF(B172&gt;=in_marketplace_from,d_hz_nps*G172,0))</f>
        <v/>
      </c>
      <c r="BG173" s="14">
        <f>F173*BF173*IF(B173&gt;=in_marketplace_from,d_hz_nps*G173,0)*in_nps_ticket*in_nps_comm</f>
        <v/>
      </c>
      <c r="BH173" s="40">
        <f>BH172*(1-IF(B172&gt;=in_marketplace_from,d_hz_gold*G172,0))</f>
        <v/>
      </c>
      <c r="BI173" s="40">
        <f>BI172*d_rho_gold+BH173*IF(B173&gt;=in_marketplace_from,d_hz_gold*G173,0)</f>
        <v/>
      </c>
      <c r="BJ173" s="14">
        <f>F173*BI173*in_gold_ticket*in_gold_comm</f>
        <v/>
      </c>
      <c r="BK173" s="40">
        <f>BK172*(1-IF(B172&gt;=in_marketplace_from,d_hz_fd*G172,0))</f>
        <v/>
      </c>
      <c r="BL173" s="14">
        <f>F173*BK173*IF(B173&gt;=in_marketplace_from,d_hz_fd*G173,0)*in_fd_ticket*in_fd_comm</f>
        <v/>
      </c>
      <c r="BM173" s="40">
        <f>BM172*(1-IF(B172&gt;=in_marketplace_from,d_hz_recharge*G172,0))</f>
        <v/>
      </c>
      <c r="BN173" s="40">
        <f>BN172*d_rho_recharge+BM173*IF(B173&gt;=in_marketplace_from,d_hz_recharge*G173,0)</f>
        <v/>
      </c>
      <c r="BO173" s="14">
        <f>F173*BN173*in_recharge_ticket*in_recharge_comm/12</f>
        <v/>
      </c>
      <c r="BP173" s="40">
        <f>BP172*(1-IF(B172&gt;=in_marketplace_from,d_hz_bills*G172,0))</f>
        <v/>
      </c>
      <c r="BQ173" s="40">
        <f>BQ172*d_rho_bills+BP173*IF(B173&gt;=in_marketplace_from,d_hz_bills*G173,0)</f>
        <v/>
      </c>
      <c r="BR173" s="14">
        <f>F173*BQ173*in_bills_ticket*in_bills_comm/12</f>
        <v/>
      </c>
      <c r="BS173" s="40">
        <f>BS172*(1-IF(B172&gt;=in_marketplace_from,d_hz_loan_gold*G172,0))</f>
        <v/>
      </c>
      <c r="BT173" s="14">
        <f>F173*BS173*IF(B173&gt;=in_marketplace_from,d_hz_loan_gold*G173,0)*in_loan_gold_ticket*in_loan_gold_comm</f>
        <v/>
      </c>
      <c r="BU173" s="40">
        <f>BU172*(1-IF(B172&gt;=in_marketplace_from,d_hz_loan_cd*G172,0))</f>
        <v/>
      </c>
      <c r="BV173" s="14">
        <f>F173*BU173*IF(B173&gt;=in_marketplace_from,d_hz_loan_cd*G173,0)*in_loan_cd_ticket*in_loan_cd_comm</f>
        <v/>
      </c>
      <c r="BW173" s="40">
        <f>BW172*(1-IF(B172&gt;=in_marketplace_from,d_hz_loan_vehicle*G172,0))</f>
        <v/>
      </c>
      <c r="BX173" s="14">
        <f>F173*BW173*IF(B173&gt;=in_marketplace_from,d_hz_loan_vehicle*G173,0)*in_loan_vehicle_ticket*in_loan_vehicle_comm</f>
        <v/>
      </c>
      <c r="BY173" s="40">
        <f>BY172*(1-IF(B172&gt;=in_marketplace_from,d_hz_loan_home*G172,0)*BZ172)</f>
        <v/>
      </c>
      <c r="BZ173" s="11">
        <f>MIN(in_approval_cap,in_loan_home_approval*INDEX('Age profile'!$O$2:$O$61,B173)*(1+in_approval_growth)^(D173-1))</f>
        <v/>
      </c>
      <c r="CA173" s="14">
        <f>F173*BY173*IF(B173&gt;=in_marketplace_from,d_hz_loan_home*G173,0)*BZ173*in_loan_home_ticket*in_loan_home_comm</f>
        <v/>
      </c>
      <c r="CB173" s="40">
        <f>CB172*(1-IF(B172&gt;=in_marketplace_from,d_hz_loan_lap*G172,0)*CC172)</f>
        <v/>
      </c>
      <c r="CC173" s="11">
        <f>MIN(in_approval_cap,in_loan_lap_approval*INDEX('Age profile'!$O$2:$O$61,B173)*(1+in_approval_growth)^(D173-1))</f>
        <v/>
      </c>
      <c r="CD173" s="14">
        <f>F173*CB173*IF(B173&gt;=in_marketplace_from,d_hz_loan_lap*G173,0)*CC173*in_loan_lap_ticket*in_loan_lap_comm</f>
        <v/>
      </c>
      <c r="CE173" s="14">
        <f>AA173+AB173+AC173+AD173+AG173+AJ173+AM173+AP173+AS173+AU173+AX173+BB173+BE173+BG173+BJ173+BL173+BO173+BR173+BT173+BV173+BX173+CA173+CD173</f>
        <v/>
      </c>
    </row>
    <row r="174">
      <c r="A174" s="39" t="n">
        <v>3</v>
      </c>
      <c r="B174" s="39" t="n">
        <v>54</v>
      </c>
      <c r="C174" s="39">
        <f>A174+B174-1</f>
        <v/>
      </c>
      <c r="D174" s="39">
        <f>INT((C174-1)/12)+1</f>
        <v/>
      </c>
      <c r="E174" s="44">
        <f>INDEX(Monthly!$B$2:$B$61,A174)</f>
        <v/>
      </c>
      <c r="F174" s="44">
        <f>E174*INDEX('Age profile'!$B$2:$B$61,B174)</f>
        <v/>
      </c>
      <c r="G174" s="45">
        <f>MIN(in_takeup_cap,INDEX('Age profile'!$N$2:$N$61,B174)*(1+in_takeup_growth)^(D174-1))</f>
        <v/>
      </c>
      <c r="H174" s="11">
        <f>MIN(in_approval_cap,in_approved_first*INDEX('Age profile'!$O$2:$O$61,B174)*(1+in_approval_growth)^(D174-1))</f>
        <v/>
      </c>
      <c r="I174" s="45">
        <f>G174*MIN(in_takeup_cap,INDEX('Age profile'!$O$2:$O$61,B174)*(1+in_approval_growth)^(D174-1))</f>
        <v/>
      </c>
      <c r="J174" s="40">
        <f>(J173-L173)*F174/F173</f>
        <v/>
      </c>
      <c r="K174" s="40">
        <f>(K173-M173)*F174/F173+SUMIFS(O121:O173,B121:B173,B174-1-d_T)*F174</f>
        <v/>
      </c>
      <c r="L174" s="40">
        <f>IF(B174&gt;=in_marketplace_from,J174*d_hz*G174*in_eligible*H174,0)</f>
        <v/>
      </c>
      <c r="M174" s="40">
        <f>IF(B174&gt;=in_marketplace_from,K174*d_hz*G174*in_eligible*in_approved_repeat,0)</f>
        <v/>
      </c>
      <c r="N174" s="40">
        <f>L174+M174</f>
        <v/>
      </c>
      <c r="O174" s="46">
        <f>N174/F174</f>
        <v/>
      </c>
      <c r="P174" s="40">
        <f>F174-J174-K174</f>
        <v/>
      </c>
      <c r="Q174" s="40">
        <f>IF(B174&gt;=in_marketplace_from,(J174+K174)*d_hz*G174,0)</f>
        <v/>
      </c>
      <c r="R174" s="40">
        <f>SUMIFS(N121:N178,B121:B178,"&gt;="&amp;(B174-d_T),B121:B178,"&lt;="&amp;(B174-1))</f>
        <v/>
      </c>
      <c r="S174" s="46">
        <f>(1-d_u)*S173+IF(d_T&gt;in_topup_lag,SUMIFS(O121:O178,B121:B178,B174-in_topup_lag)-d_udrop*SUMIFS(O121:O178,B121:B178,B174-d_T),0)</f>
        <v/>
      </c>
      <c r="T174" s="40">
        <f>F174*d_u*S174</f>
        <v/>
      </c>
      <c r="U174" s="9">
        <f>L174*in_ticket+M174*d_rep_ticket</f>
        <v/>
      </c>
      <c r="V174" s="9">
        <f>U174+T174*d_topup_amt</f>
        <v/>
      </c>
      <c r="W174" s="40">
        <f>N174+T174*d_topup_ratio</f>
        <v/>
      </c>
      <c r="X174" s="40">
        <f>SUMIFS(W121:W178,B121:B178,B174-in_dpd_lag)*d_cured</f>
        <v/>
      </c>
      <c r="Y174" s="40">
        <f>SUMIFS(W121:W178,B121:B178,B174-in_rec_lag)*d_recd</f>
        <v/>
      </c>
      <c r="Z174" s="40">
        <f>IF(AND(B174&gt;=in_marketplace_from,B174&lt;in_marketplace_from+in_card_months),in_card_share/in_card_months*F174*I174,IF(AND(B174&gt;=in_marketplace_from+in_card_months,B174&lt;in_marketplace_from+2*in_card_months),in_card_share*d_card_rem/in_card_months*F174*MIN(in_takeup_cap,(1+in_takeup_growth)^(D174-1))*MIN(in_takeup_cap,(1+in_approval_growth)^(D174-1)),0))</f>
        <v/>
      </c>
      <c r="AA174" s="14">
        <f>V174*in_fee*(1-in_taken_back)</f>
        <v/>
      </c>
      <c r="AB174" s="14">
        <f>SUMIFS(W121:W178,B121:B178,B174-in_dpd_lag)*d_dpd</f>
        <v/>
      </c>
      <c r="AC174" s="14">
        <f>SUMIFS(W121:W178,B121:B178,B174-in_rec_lag)*d_rec</f>
        <v/>
      </c>
      <c r="AD174" s="14">
        <f>Z174*in_card_fee</f>
        <v/>
      </c>
      <c r="AE174" s="40">
        <f>AE173*(1-IF(B173&gt;=in_marketplace_from,d_hz_hlth_small*G173,0))</f>
        <v/>
      </c>
      <c r="AF174" s="46">
        <f>AE174*IF(B174&gt;=in_marketplace_from,d_hz_hlth_small*G174,0)</f>
        <v/>
      </c>
      <c r="AG174" s="14">
        <f>F174*AF174*in_hlth_small_ticket*in_hlth_small_comm*in_ins_partner_share+F174*in_hlth_small_ticket*in_hlth_small_renew_comm*in_ins_partner_share*(in_hlth_small_renew^1*SUMIFS(AF121:AF178,B121:B178,B174-12)+in_hlth_small_renew^2*SUMIFS(AF121:AF178,B121:B178,B174-24)+in_hlth_small_renew^3*SUMIFS(AF121:AF178,B121:B178,B174-36)+in_hlth_small_renew^4*SUMIFS(AF121:AF178,B121:B178,B174-48))</f>
        <v/>
      </c>
      <c r="AH174" s="40">
        <f>AH173*(1-IF(B173&gt;=in_marketplace_from,d_hz_hlth_family*G173,0))</f>
        <v/>
      </c>
      <c r="AI174" s="46">
        <f>AH174*IF(B174&gt;=in_marketplace_from,d_hz_hlth_family*G174,0)</f>
        <v/>
      </c>
      <c r="AJ174" s="14">
        <f>F174*AI174*in_hlth_family_ticket*in_hlth_family_comm*in_ins_partner_share+F174*in_hlth_family_ticket*in_hlth_family_renew_comm*in_ins_partner_share*(in_hlth_family_renew^1*SUMIFS(AI121:AI178,B121:B178,B174-12)+in_hlth_family_renew^2*SUMIFS(AI121:AI178,B121:B178,B174-24)+in_hlth_family_renew^3*SUMIFS(AI121:AI178,B121:B178,B174-36)+in_hlth_family_renew^4*SUMIFS(AI121:AI178,B121:B178,B174-48))</f>
        <v/>
      </c>
      <c r="AK174" s="40">
        <f>AK173*(1-IF(B173&gt;=in_marketplace_from,d_hz_life_term*G173,0))</f>
        <v/>
      </c>
      <c r="AL174" s="46">
        <f>AK174*IF(B174&gt;=in_marketplace_from,d_hz_life_term*G174,0)</f>
        <v/>
      </c>
      <c r="AM174" s="14">
        <f>F174*AL174*in_life_term_ticket*in_life_term_comm*in_ins_partner_share+F174*in_life_term_ticket*in_life_term_renew_comm*in_ins_partner_share*(in_life_term_renew^1*SUMIFS(AL121:AL178,B121:B178,B174-12)+in_life_term_renew^2*SUMIFS(AL121:AL178,B121:B178,B174-24)+in_life_term_renew^3*SUMIFS(AL121:AL178,B121:B178,B174-36)+in_life_term_renew^4*SUMIFS(AL121:AL178,B121:B178,B174-48))</f>
        <v/>
      </c>
      <c r="AN174" s="40">
        <f>AN173*(1-IF(B173&gt;=in_marketplace_from,d_hz_accident*G173,0))</f>
        <v/>
      </c>
      <c r="AO174" s="46">
        <f>AN174*IF(B174&gt;=in_marketplace_from,d_hz_accident*G174,0)</f>
        <v/>
      </c>
      <c r="AP174" s="14">
        <f>F174*AO174*in_accident_ticket*in_accident_comm*in_ins_partner_share+F174*in_accident_ticket*in_accident_renew_comm*in_ins_partner_share*(in_accident_renew^1*SUMIFS(AO121:AO178,B121:B178,B174-12)+in_accident_renew^2*SUMIFS(AO121:AO178,B121:B178,B174-24)+in_accident_renew^3*SUMIFS(AO121:AO178,B121:B178,B174-36)+in_accident_renew^4*SUMIFS(AO121:AO178,B121:B178,B174-48))</f>
        <v/>
      </c>
      <c r="AQ174" s="40">
        <f>AQ173*(1-IF(B173&gt;=in_marketplace_from,d_hz_two_wheeler*G173,0))</f>
        <v/>
      </c>
      <c r="AR174" s="46">
        <f>AQ174*IF(B174&gt;=in_marketplace_from,d_hz_two_wheeler*G174,0)</f>
        <v/>
      </c>
      <c r="AS174" s="14">
        <f>F174*AR174*in_two_wheeler_ticket*in_two_wheeler_comm*in_ins_partner_share+F174*in_two_wheeler_ticket*in_two_wheeler_comm*in_ins_partner_share*(in_two_wheeler_renew^1*SUMIFS(AR121:AR178,B121:B178,B174-12)+in_two_wheeler_renew^2*SUMIFS(AR121:AR178,B121:B178,B174-24)+in_two_wheeler_renew^3*SUMIFS(AR121:AR178,B121:B178,B174-36)+in_two_wheeler_renew^4*SUMIFS(AR121:AR178,B121:B178,B174-48))</f>
        <v/>
      </c>
      <c r="AT174" s="40">
        <f>AT173*(1-IF(B173&gt;=in_marketplace_from,d_hz_device*G173,0))</f>
        <v/>
      </c>
      <c r="AU174" s="14">
        <f>F174*AT174*IF(B174&gt;=in_marketplace_from,d_hz_device*G174,0)*in_device_ticket*in_device_comm*in_ins_partner_share</f>
        <v/>
      </c>
      <c r="AV174" s="40">
        <f>AV173*(1-IF(B173&gt;=in_marketplace_from,d_hz_shop*G173,0))</f>
        <v/>
      </c>
      <c r="AW174" s="46">
        <f>AV174*IF(B174&gt;=in_marketplace_from,d_hz_shop*G174,0)</f>
        <v/>
      </c>
      <c r="AX174" s="14">
        <f>F174*AW174*in_shop_ticket*in_shop_comm*in_ins_partner_share+F174*in_shop_ticket*in_shop_renew_comm*in_ins_partner_share*(in_shop_renew^1*SUMIFS(AW121:AW178,B121:B178,B174-12)+in_shop_renew^2*SUMIFS(AW121:AW178,B121:B178,B174-24)+in_shop_renew^3*SUMIFS(AW121:AW178,B121:B178,B174-36)+in_shop_renew^4*SUMIFS(AW121:AW178,B121:B178,B174-48))</f>
        <v/>
      </c>
      <c r="AY174" s="40">
        <f>AY173*(1-IF(B173&gt;=in_marketplace_from,d_hz_sip*G173,0))</f>
        <v/>
      </c>
      <c r="AZ174" s="40">
        <f>AZ173*d_rho_sip+AY174*IF(B174&gt;=in_marketplace_from,d_hz_sip*G174,0)</f>
        <v/>
      </c>
      <c r="BA174" s="40">
        <f>d_rho_sip*(BA173+AZ173)</f>
        <v/>
      </c>
      <c r="BB174" s="14">
        <f>F174*in_sip_ticket*(BA174+0.5*AZ174)*in_sip_comm/12</f>
        <v/>
      </c>
      <c r="BC174" s="40">
        <f>BC173*(1-IF(B173&gt;=in_marketplace_from,d_hz_choti*G173,0))</f>
        <v/>
      </c>
      <c r="BD174" s="46">
        <f>BC174*IF(B174&gt;=in_marketplace_from,d_hz_choti*G174,0)</f>
        <v/>
      </c>
      <c r="BE174" s="14">
        <f>F174*SUMIFS(BD121:BD178,B121:B178,B174-in_choti_months)*in_choti_renew*in_choti_ticket</f>
        <v/>
      </c>
      <c r="BF174" s="40">
        <f>BF173*(1-IF(B173&gt;=in_marketplace_from,d_hz_nps*G173,0))</f>
        <v/>
      </c>
      <c r="BG174" s="14">
        <f>F174*BF174*IF(B174&gt;=in_marketplace_from,d_hz_nps*G174,0)*in_nps_ticket*in_nps_comm</f>
        <v/>
      </c>
      <c r="BH174" s="40">
        <f>BH173*(1-IF(B173&gt;=in_marketplace_from,d_hz_gold*G173,0))</f>
        <v/>
      </c>
      <c r="BI174" s="40">
        <f>BI173*d_rho_gold+BH174*IF(B174&gt;=in_marketplace_from,d_hz_gold*G174,0)</f>
        <v/>
      </c>
      <c r="BJ174" s="14">
        <f>F174*BI174*in_gold_ticket*in_gold_comm</f>
        <v/>
      </c>
      <c r="BK174" s="40">
        <f>BK173*(1-IF(B173&gt;=in_marketplace_from,d_hz_fd*G173,0))</f>
        <v/>
      </c>
      <c r="BL174" s="14">
        <f>F174*BK174*IF(B174&gt;=in_marketplace_from,d_hz_fd*G174,0)*in_fd_ticket*in_fd_comm</f>
        <v/>
      </c>
      <c r="BM174" s="40">
        <f>BM173*(1-IF(B173&gt;=in_marketplace_from,d_hz_recharge*G173,0))</f>
        <v/>
      </c>
      <c r="BN174" s="40">
        <f>BN173*d_rho_recharge+BM174*IF(B174&gt;=in_marketplace_from,d_hz_recharge*G174,0)</f>
        <v/>
      </c>
      <c r="BO174" s="14">
        <f>F174*BN174*in_recharge_ticket*in_recharge_comm/12</f>
        <v/>
      </c>
      <c r="BP174" s="40">
        <f>BP173*(1-IF(B173&gt;=in_marketplace_from,d_hz_bills*G173,0))</f>
        <v/>
      </c>
      <c r="BQ174" s="40">
        <f>BQ173*d_rho_bills+BP174*IF(B174&gt;=in_marketplace_from,d_hz_bills*G174,0)</f>
        <v/>
      </c>
      <c r="BR174" s="14">
        <f>F174*BQ174*in_bills_ticket*in_bills_comm/12</f>
        <v/>
      </c>
      <c r="BS174" s="40">
        <f>BS173*(1-IF(B173&gt;=in_marketplace_from,d_hz_loan_gold*G173,0))</f>
        <v/>
      </c>
      <c r="BT174" s="14">
        <f>F174*BS174*IF(B174&gt;=in_marketplace_from,d_hz_loan_gold*G174,0)*in_loan_gold_ticket*in_loan_gold_comm</f>
        <v/>
      </c>
      <c r="BU174" s="40">
        <f>BU173*(1-IF(B173&gt;=in_marketplace_from,d_hz_loan_cd*G173,0))</f>
        <v/>
      </c>
      <c r="BV174" s="14">
        <f>F174*BU174*IF(B174&gt;=in_marketplace_from,d_hz_loan_cd*G174,0)*in_loan_cd_ticket*in_loan_cd_comm</f>
        <v/>
      </c>
      <c r="BW174" s="40">
        <f>BW173*(1-IF(B173&gt;=in_marketplace_from,d_hz_loan_vehicle*G173,0))</f>
        <v/>
      </c>
      <c r="BX174" s="14">
        <f>F174*BW174*IF(B174&gt;=in_marketplace_from,d_hz_loan_vehicle*G174,0)*in_loan_vehicle_ticket*in_loan_vehicle_comm</f>
        <v/>
      </c>
      <c r="BY174" s="40">
        <f>BY173*(1-IF(B173&gt;=in_marketplace_from,d_hz_loan_home*G173,0)*BZ173)</f>
        <v/>
      </c>
      <c r="BZ174" s="11">
        <f>MIN(in_approval_cap,in_loan_home_approval*INDEX('Age profile'!$O$2:$O$61,B174)*(1+in_approval_growth)^(D174-1))</f>
        <v/>
      </c>
      <c r="CA174" s="14">
        <f>F174*BY174*IF(B174&gt;=in_marketplace_from,d_hz_loan_home*G174,0)*BZ174*in_loan_home_ticket*in_loan_home_comm</f>
        <v/>
      </c>
      <c r="CB174" s="40">
        <f>CB173*(1-IF(B173&gt;=in_marketplace_from,d_hz_loan_lap*G173,0)*CC173)</f>
        <v/>
      </c>
      <c r="CC174" s="11">
        <f>MIN(in_approval_cap,in_loan_lap_approval*INDEX('Age profile'!$O$2:$O$61,B174)*(1+in_approval_growth)^(D174-1))</f>
        <v/>
      </c>
      <c r="CD174" s="14">
        <f>F174*CB174*IF(B174&gt;=in_marketplace_from,d_hz_loan_lap*G174,0)*CC174*in_loan_lap_ticket*in_loan_lap_comm</f>
        <v/>
      </c>
      <c r="CE174" s="14">
        <f>AA174+AB174+AC174+AD174+AG174+AJ174+AM174+AP174+AS174+AU174+AX174+BB174+BE174+BG174+BJ174+BL174+BO174+BR174+BT174+BV174+BX174+CA174+CD174</f>
        <v/>
      </c>
    </row>
    <row r="175">
      <c r="A175" s="39" t="n">
        <v>3</v>
      </c>
      <c r="B175" s="39" t="n">
        <v>55</v>
      </c>
      <c r="C175" s="39">
        <f>A175+B175-1</f>
        <v/>
      </c>
      <c r="D175" s="39">
        <f>INT((C175-1)/12)+1</f>
        <v/>
      </c>
      <c r="E175" s="44">
        <f>INDEX(Monthly!$B$2:$B$61,A175)</f>
        <v/>
      </c>
      <c r="F175" s="44">
        <f>E175*INDEX('Age profile'!$B$2:$B$61,B175)</f>
        <v/>
      </c>
      <c r="G175" s="45">
        <f>MIN(in_takeup_cap,INDEX('Age profile'!$N$2:$N$61,B175)*(1+in_takeup_growth)^(D175-1))</f>
        <v/>
      </c>
      <c r="H175" s="11">
        <f>MIN(in_approval_cap,in_approved_first*INDEX('Age profile'!$O$2:$O$61,B175)*(1+in_approval_growth)^(D175-1))</f>
        <v/>
      </c>
      <c r="I175" s="45">
        <f>G175*MIN(in_takeup_cap,INDEX('Age profile'!$O$2:$O$61,B175)*(1+in_approval_growth)^(D175-1))</f>
        <v/>
      </c>
      <c r="J175" s="40">
        <f>(J174-L174)*F175/F174</f>
        <v/>
      </c>
      <c r="K175" s="40">
        <f>(K174-M174)*F175/F174+SUMIFS(O121:O174,B121:B174,B175-1-d_T)*F175</f>
        <v/>
      </c>
      <c r="L175" s="40">
        <f>IF(B175&gt;=in_marketplace_from,J175*d_hz*G175*in_eligible*H175,0)</f>
        <v/>
      </c>
      <c r="M175" s="40">
        <f>IF(B175&gt;=in_marketplace_from,K175*d_hz*G175*in_eligible*in_approved_repeat,0)</f>
        <v/>
      </c>
      <c r="N175" s="40">
        <f>L175+M175</f>
        <v/>
      </c>
      <c r="O175" s="46">
        <f>N175/F175</f>
        <v/>
      </c>
      <c r="P175" s="40">
        <f>F175-J175-K175</f>
        <v/>
      </c>
      <c r="Q175" s="40">
        <f>IF(B175&gt;=in_marketplace_from,(J175+K175)*d_hz*G175,0)</f>
        <v/>
      </c>
      <c r="R175" s="40">
        <f>SUMIFS(N121:N178,B121:B178,"&gt;="&amp;(B175-d_T),B121:B178,"&lt;="&amp;(B175-1))</f>
        <v/>
      </c>
      <c r="S175" s="46">
        <f>(1-d_u)*S174+IF(d_T&gt;in_topup_lag,SUMIFS(O121:O178,B121:B178,B175-in_topup_lag)-d_udrop*SUMIFS(O121:O178,B121:B178,B175-d_T),0)</f>
        <v/>
      </c>
      <c r="T175" s="40">
        <f>F175*d_u*S175</f>
        <v/>
      </c>
      <c r="U175" s="9">
        <f>L175*in_ticket+M175*d_rep_ticket</f>
        <v/>
      </c>
      <c r="V175" s="9">
        <f>U175+T175*d_topup_amt</f>
        <v/>
      </c>
      <c r="W175" s="40">
        <f>N175+T175*d_topup_ratio</f>
        <v/>
      </c>
      <c r="X175" s="40">
        <f>SUMIFS(W121:W178,B121:B178,B175-in_dpd_lag)*d_cured</f>
        <v/>
      </c>
      <c r="Y175" s="40">
        <f>SUMIFS(W121:W178,B121:B178,B175-in_rec_lag)*d_recd</f>
        <v/>
      </c>
      <c r="Z175" s="40">
        <f>IF(AND(B175&gt;=in_marketplace_from,B175&lt;in_marketplace_from+in_card_months),in_card_share/in_card_months*F175*I175,IF(AND(B175&gt;=in_marketplace_from+in_card_months,B175&lt;in_marketplace_from+2*in_card_months),in_card_share*d_card_rem/in_card_months*F175*MIN(in_takeup_cap,(1+in_takeup_growth)^(D175-1))*MIN(in_takeup_cap,(1+in_approval_growth)^(D175-1)),0))</f>
        <v/>
      </c>
      <c r="AA175" s="14">
        <f>V175*in_fee*(1-in_taken_back)</f>
        <v/>
      </c>
      <c r="AB175" s="14">
        <f>SUMIFS(W121:W178,B121:B178,B175-in_dpd_lag)*d_dpd</f>
        <v/>
      </c>
      <c r="AC175" s="14">
        <f>SUMIFS(W121:W178,B121:B178,B175-in_rec_lag)*d_rec</f>
        <v/>
      </c>
      <c r="AD175" s="14">
        <f>Z175*in_card_fee</f>
        <v/>
      </c>
      <c r="AE175" s="40">
        <f>AE174*(1-IF(B174&gt;=in_marketplace_from,d_hz_hlth_small*G174,0))</f>
        <v/>
      </c>
      <c r="AF175" s="46">
        <f>AE175*IF(B175&gt;=in_marketplace_from,d_hz_hlth_small*G175,0)</f>
        <v/>
      </c>
      <c r="AG175" s="14">
        <f>F175*AF175*in_hlth_small_ticket*in_hlth_small_comm*in_ins_partner_share+F175*in_hlth_small_ticket*in_hlth_small_renew_comm*in_ins_partner_share*(in_hlth_small_renew^1*SUMIFS(AF121:AF178,B121:B178,B175-12)+in_hlth_small_renew^2*SUMIFS(AF121:AF178,B121:B178,B175-24)+in_hlth_small_renew^3*SUMIFS(AF121:AF178,B121:B178,B175-36)+in_hlth_small_renew^4*SUMIFS(AF121:AF178,B121:B178,B175-48))</f>
        <v/>
      </c>
      <c r="AH175" s="40">
        <f>AH174*(1-IF(B174&gt;=in_marketplace_from,d_hz_hlth_family*G174,0))</f>
        <v/>
      </c>
      <c r="AI175" s="46">
        <f>AH175*IF(B175&gt;=in_marketplace_from,d_hz_hlth_family*G175,0)</f>
        <v/>
      </c>
      <c r="AJ175" s="14">
        <f>F175*AI175*in_hlth_family_ticket*in_hlth_family_comm*in_ins_partner_share+F175*in_hlth_family_ticket*in_hlth_family_renew_comm*in_ins_partner_share*(in_hlth_family_renew^1*SUMIFS(AI121:AI178,B121:B178,B175-12)+in_hlth_family_renew^2*SUMIFS(AI121:AI178,B121:B178,B175-24)+in_hlth_family_renew^3*SUMIFS(AI121:AI178,B121:B178,B175-36)+in_hlth_family_renew^4*SUMIFS(AI121:AI178,B121:B178,B175-48))</f>
        <v/>
      </c>
      <c r="AK175" s="40">
        <f>AK174*(1-IF(B174&gt;=in_marketplace_from,d_hz_life_term*G174,0))</f>
        <v/>
      </c>
      <c r="AL175" s="46">
        <f>AK175*IF(B175&gt;=in_marketplace_from,d_hz_life_term*G175,0)</f>
        <v/>
      </c>
      <c r="AM175" s="14">
        <f>F175*AL175*in_life_term_ticket*in_life_term_comm*in_ins_partner_share+F175*in_life_term_ticket*in_life_term_renew_comm*in_ins_partner_share*(in_life_term_renew^1*SUMIFS(AL121:AL178,B121:B178,B175-12)+in_life_term_renew^2*SUMIFS(AL121:AL178,B121:B178,B175-24)+in_life_term_renew^3*SUMIFS(AL121:AL178,B121:B178,B175-36)+in_life_term_renew^4*SUMIFS(AL121:AL178,B121:B178,B175-48))</f>
        <v/>
      </c>
      <c r="AN175" s="40">
        <f>AN174*(1-IF(B174&gt;=in_marketplace_from,d_hz_accident*G174,0))</f>
        <v/>
      </c>
      <c r="AO175" s="46">
        <f>AN175*IF(B175&gt;=in_marketplace_from,d_hz_accident*G175,0)</f>
        <v/>
      </c>
      <c r="AP175" s="14">
        <f>F175*AO175*in_accident_ticket*in_accident_comm*in_ins_partner_share+F175*in_accident_ticket*in_accident_renew_comm*in_ins_partner_share*(in_accident_renew^1*SUMIFS(AO121:AO178,B121:B178,B175-12)+in_accident_renew^2*SUMIFS(AO121:AO178,B121:B178,B175-24)+in_accident_renew^3*SUMIFS(AO121:AO178,B121:B178,B175-36)+in_accident_renew^4*SUMIFS(AO121:AO178,B121:B178,B175-48))</f>
        <v/>
      </c>
      <c r="AQ175" s="40">
        <f>AQ174*(1-IF(B174&gt;=in_marketplace_from,d_hz_two_wheeler*G174,0))</f>
        <v/>
      </c>
      <c r="AR175" s="46">
        <f>AQ175*IF(B175&gt;=in_marketplace_from,d_hz_two_wheeler*G175,0)</f>
        <v/>
      </c>
      <c r="AS175" s="14">
        <f>F175*AR175*in_two_wheeler_ticket*in_two_wheeler_comm*in_ins_partner_share+F175*in_two_wheeler_ticket*in_two_wheeler_comm*in_ins_partner_share*(in_two_wheeler_renew^1*SUMIFS(AR121:AR178,B121:B178,B175-12)+in_two_wheeler_renew^2*SUMIFS(AR121:AR178,B121:B178,B175-24)+in_two_wheeler_renew^3*SUMIFS(AR121:AR178,B121:B178,B175-36)+in_two_wheeler_renew^4*SUMIFS(AR121:AR178,B121:B178,B175-48))</f>
        <v/>
      </c>
      <c r="AT175" s="40">
        <f>AT174*(1-IF(B174&gt;=in_marketplace_from,d_hz_device*G174,0))</f>
        <v/>
      </c>
      <c r="AU175" s="14">
        <f>F175*AT175*IF(B175&gt;=in_marketplace_from,d_hz_device*G175,0)*in_device_ticket*in_device_comm*in_ins_partner_share</f>
        <v/>
      </c>
      <c r="AV175" s="40">
        <f>AV174*(1-IF(B174&gt;=in_marketplace_from,d_hz_shop*G174,0))</f>
        <v/>
      </c>
      <c r="AW175" s="46">
        <f>AV175*IF(B175&gt;=in_marketplace_from,d_hz_shop*G175,0)</f>
        <v/>
      </c>
      <c r="AX175" s="14">
        <f>F175*AW175*in_shop_ticket*in_shop_comm*in_ins_partner_share+F175*in_shop_ticket*in_shop_renew_comm*in_ins_partner_share*(in_shop_renew^1*SUMIFS(AW121:AW178,B121:B178,B175-12)+in_shop_renew^2*SUMIFS(AW121:AW178,B121:B178,B175-24)+in_shop_renew^3*SUMIFS(AW121:AW178,B121:B178,B175-36)+in_shop_renew^4*SUMIFS(AW121:AW178,B121:B178,B175-48))</f>
        <v/>
      </c>
      <c r="AY175" s="40">
        <f>AY174*(1-IF(B174&gt;=in_marketplace_from,d_hz_sip*G174,0))</f>
        <v/>
      </c>
      <c r="AZ175" s="40">
        <f>AZ174*d_rho_sip+AY175*IF(B175&gt;=in_marketplace_from,d_hz_sip*G175,0)</f>
        <v/>
      </c>
      <c r="BA175" s="40">
        <f>d_rho_sip*(BA174+AZ174)</f>
        <v/>
      </c>
      <c r="BB175" s="14">
        <f>F175*in_sip_ticket*(BA175+0.5*AZ175)*in_sip_comm/12</f>
        <v/>
      </c>
      <c r="BC175" s="40">
        <f>BC174*(1-IF(B174&gt;=in_marketplace_from,d_hz_choti*G174,0))</f>
        <v/>
      </c>
      <c r="BD175" s="46">
        <f>BC175*IF(B175&gt;=in_marketplace_from,d_hz_choti*G175,0)</f>
        <v/>
      </c>
      <c r="BE175" s="14">
        <f>F175*SUMIFS(BD121:BD178,B121:B178,B175-in_choti_months)*in_choti_renew*in_choti_ticket</f>
        <v/>
      </c>
      <c r="BF175" s="40">
        <f>BF174*(1-IF(B174&gt;=in_marketplace_from,d_hz_nps*G174,0))</f>
        <v/>
      </c>
      <c r="BG175" s="14">
        <f>F175*BF175*IF(B175&gt;=in_marketplace_from,d_hz_nps*G175,0)*in_nps_ticket*in_nps_comm</f>
        <v/>
      </c>
      <c r="BH175" s="40">
        <f>BH174*(1-IF(B174&gt;=in_marketplace_from,d_hz_gold*G174,0))</f>
        <v/>
      </c>
      <c r="BI175" s="40">
        <f>BI174*d_rho_gold+BH175*IF(B175&gt;=in_marketplace_from,d_hz_gold*G175,0)</f>
        <v/>
      </c>
      <c r="BJ175" s="14">
        <f>F175*BI175*in_gold_ticket*in_gold_comm</f>
        <v/>
      </c>
      <c r="BK175" s="40">
        <f>BK174*(1-IF(B174&gt;=in_marketplace_from,d_hz_fd*G174,0))</f>
        <v/>
      </c>
      <c r="BL175" s="14">
        <f>F175*BK175*IF(B175&gt;=in_marketplace_from,d_hz_fd*G175,0)*in_fd_ticket*in_fd_comm</f>
        <v/>
      </c>
      <c r="BM175" s="40">
        <f>BM174*(1-IF(B174&gt;=in_marketplace_from,d_hz_recharge*G174,0))</f>
        <v/>
      </c>
      <c r="BN175" s="40">
        <f>BN174*d_rho_recharge+BM175*IF(B175&gt;=in_marketplace_from,d_hz_recharge*G175,0)</f>
        <v/>
      </c>
      <c r="BO175" s="14">
        <f>F175*BN175*in_recharge_ticket*in_recharge_comm/12</f>
        <v/>
      </c>
      <c r="BP175" s="40">
        <f>BP174*(1-IF(B174&gt;=in_marketplace_from,d_hz_bills*G174,0))</f>
        <v/>
      </c>
      <c r="BQ175" s="40">
        <f>BQ174*d_rho_bills+BP175*IF(B175&gt;=in_marketplace_from,d_hz_bills*G175,0)</f>
        <v/>
      </c>
      <c r="BR175" s="14">
        <f>F175*BQ175*in_bills_ticket*in_bills_comm/12</f>
        <v/>
      </c>
      <c r="BS175" s="40">
        <f>BS174*(1-IF(B174&gt;=in_marketplace_from,d_hz_loan_gold*G174,0))</f>
        <v/>
      </c>
      <c r="BT175" s="14">
        <f>F175*BS175*IF(B175&gt;=in_marketplace_from,d_hz_loan_gold*G175,0)*in_loan_gold_ticket*in_loan_gold_comm</f>
        <v/>
      </c>
      <c r="BU175" s="40">
        <f>BU174*(1-IF(B174&gt;=in_marketplace_from,d_hz_loan_cd*G174,0))</f>
        <v/>
      </c>
      <c r="BV175" s="14">
        <f>F175*BU175*IF(B175&gt;=in_marketplace_from,d_hz_loan_cd*G175,0)*in_loan_cd_ticket*in_loan_cd_comm</f>
        <v/>
      </c>
      <c r="BW175" s="40">
        <f>BW174*(1-IF(B174&gt;=in_marketplace_from,d_hz_loan_vehicle*G174,0))</f>
        <v/>
      </c>
      <c r="BX175" s="14">
        <f>F175*BW175*IF(B175&gt;=in_marketplace_from,d_hz_loan_vehicle*G175,0)*in_loan_vehicle_ticket*in_loan_vehicle_comm</f>
        <v/>
      </c>
      <c r="BY175" s="40">
        <f>BY174*(1-IF(B174&gt;=in_marketplace_from,d_hz_loan_home*G174,0)*BZ174)</f>
        <v/>
      </c>
      <c r="BZ175" s="11">
        <f>MIN(in_approval_cap,in_loan_home_approval*INDEX('Age profile'!$O$2:$O$61,B175)*(1+in_approval_growth)^(D175-1))</f>
        <v/>
      </c>
      <c r="CA175" s="14">
        <f>F175*BY175*IF(B175&gt;=in_marketplace_from,d_hz_loan_home*G175,0)*BZ175*in_loan_home_ticket*in_loan_home_comm</f>
        <v/>
      </c>
      <c r="CB175" s="40">
        <f>CB174*(1-IF(B174&gt;=in_marketplace_from,d_hz_loan_lap*G174,0)*CC174)</f>
        <v/>
      </c>
      <c r="CC175" s="11">
        <f>MIN(in_approval_cap,in_loan_lap_approval*INDEX('Age profile'!$O$2:$O$61,B175)*(1+in_approval_growth)^(D175-1))</f>
        <v/>
      </c>
      <c r="CD175" s="14">
        <f>F175*CB175*IF(B175&gt;=in_marketplace_from,d_hz_loan_lap*G175,0)*CC175*in_loan_lap_ticket*in_loan_lap_comm</f>
        <v/>
      </c>
      <c r="CE175" s="14">
        <f>AA175+AB175+AC175+AD175+AG175+AJ175+AM175+AP175+AS175+AU175+AX175+BB175+BE175+BG175+BJ175+BL175+BO175+BR175+BT175+BV175+BX175+CA175+CD175</f>
        <v/>
      </c>
    </row>
    <row r="176">
      <c r="A176" s="39" t="n">
        <v>3</v>
      </c>
      <c r="B176" s="39" t="n">
        <v>56</v>
      </c>
      <c r="C176" s="39">
        <f>A176+B176-1</f>
        <v/>
      </c>
      <c r="D176" s="39">
        <f>INT((C176-1)/12)+1</f>
        <v/>
      </c>
      <c r="E176" s="44">
        <f>INDEX(Monthly!$B$2:$B$61,A176)</f>
        <v/>
      </c>
      <c r="F176" s="44">
        <f>E176*INDEX('Age profile'!$B$2:$B$61,B176)</f>
        <v/>
      </c>
      <c r="G176" s="45">
        <f>MIN(in_takeup_cap,INDEX('Age profile'!$N$2:$N$61,B176)*(1+in_takeup_growth)^(D176-1))</f>
        <v/>
      </c>
      <c r="H176" s="11">
        <f>MIN(in_approval_cap,in_approved_first*INDEX('Age profile'!$O$2:$O$61,B176)*(1+in_approval_growth)^(D176-1))</f>
        <v/>
      </c>
      <c r="I176" s="45">
        <f>G176*MIN(in_takeup_cap,INDEX('Age profile'!$O$2:$O$61,B176)*(1+in_approval_growth)^(D176-1))</f>
        <v/>
      </c>
      <c r="J176" s="40">
        <f>(J175-L175)*F176/F175</f>
        <v/>
      </c>
      <c r="K176" s="40">
        <f>(K175-M175)*F176/F175+SUMIFS(O121:O175,B121:B175,B176-1-d_T)*F176</f>
        <v/>
      </c>
      <c r="L176" s="40">
        <f>IF(B176&gt;=in_marketplace_from,J176*d_hz*G176*in_eligible*H176,0)</f>
        <v/>
      </c>
      <c r="M176" s="40">
        <f>IF(B176&gt;=in_marketplace_from,K176*d_hz*G176*in_eligible*in_approved_repeat,0)</f>
        <v/>
      </c>
      <c r="N176" s="40">
        <f>L176+M176</f>
        <v/>
      </c>
      <c r="O176" s="46">
        <f>N176/F176</f>
        <v/>
      </c>
      <c r="P176" s="40">
        <f>F176-J176-K176</f>
        <v/>
      </c>
      <c r="Q176" s="40">
        <f>IF(B176&gt;=in_marketplace_from,(J176+K176)*d_hz*G176,0)</f>
        <v/>
      </c>
      <c r="R176" s="40">
        <f>SUMIFS(N121:N178,B121:B178,"&gt;="&amp;(B176-d_T),B121:B178,"&lt;="&amp;(B176-1))</f>
        <v/>
      </c>
      <c r="S176" s="46">
        <f>(1-d_u)*S175+IF(d_T&gt;in_topup_lag,SUMIFS(O121:O178,B121:B178,B176-in_topup_lag)-d_udrop*SUMIFS(O121:O178,B121:B178,B176-d_T),0)</f>
        <v/>
      </c>
      <c r="T176" s="40">
        <f>F176*d_u*S176</f>
        <v/>
      </c>
      <c r="U176" s="9">
        <f>L176*in_ticket+M176*d_rep_ticket</f>
        <v/>
      </c>
      <c r="V176" s="9">
        <f>U176+T176*d_topup_amt</f>
        <v/>
      </c>
      <c r="W176" s="40">
        <f>N176+T176*d_topup_ratio</f>
        <v/>
      </c>
      <c r="X176" s="40">
        <f>SUMIFS(W121:W178,B121:B178,B176-in_dpd_lag)*d_cured</f>
        <v/>
      </c>
      <c r="Y176" s="40">
        <f>SUMIFS(W121:W178,B121:B178,B176-in_rec_lag)*d_recd</f>
        <v/>
      </c>
      <c r="Z176" s="40">
        <f>IF(AND(B176&gt;=in_marketplace_from,B176&lt;in_marketplace_from+in_card_months),in_card_share/in_card_months*F176*I176,IF(AND(B176&gt;=in_marketplace_from+in_card_months,B176&lt;in_marketplace_from+2*in_card_months),in_card_share*d_card_rem/in_card_months*F176*MIN(in_takeup_cap,(1+in_takeup_growth)^(D176-1))*MIN(in_takeup_cap,(1+in_approval_growth)^(D176-1)),0))</f>
        <v/>
      </c>
      <c r="AA176" s="14">
        <f>V176*in_fee*(1-in_taken_back)</f>
        <v/>
      </c>
      <c r="AB176" s="14">
        <f>SUMIFS(W121:W178,B121:B178,B176-in_dpd_lag)*d_dpd</f>
        <v/>
      </c>
      <c r="AC176" s="14">
        <f>SUMIFS(W121:W178,B121:B178,B176-in_rec_lag)*d_rec</f>
        <v/>
      </c>
      <c r="AD176" s="14">
        <f>Z176*in_card_fee</f>
        <v/>
      </c>
      <c r="AE176" s="40">
        <f>AE175*(1-IF(B175&gt;=in_marketplace_from,d_hz_hlth_small*G175,0))</f>
        <v/>
      </c>
      <c r="AF176" s="46">
        <f>AE176*IF(B176&gt;=in_marketplace_from,d_hz_hlth_small*G176,0)</f>
        <v/>
      </c>
      <c r="AG176" s="14">
        <f>F176*AF176*in_hlth_small_ticket*in_hlth_small_comm*in_ins_partner_share+F176*in_hlth_small_ticket*in_hlth_small_renew_comm*in_ins_partner_share*(in_hlth_small_renew^1*SUMIFS(AF121:AF178,B121:B178,B176-12)+in_hlth_small_renew^2*SUMIFS(AF121:AF178,B121:B178,B176-24)+in_hlth_small_renew^3*SUMIFS(AF121:AF178,B121:B178,B176-36)+in_hlth_small_renew^4*SUMIFS(AF121:AF178,B121:B178,B176-48))</f>
        <v/>
      </c>
      <c r="AH176" s="40">
        <f>AH175*(1-IF(B175&gt;=in_marketplace_from,d_hz_hlth_family*G175,0))</f>
        <v/>
      </c>
      <c r="AI176" s="46">
        <f>AH176*IF(B176&gt;=in_marketplace_from,d_hz_hlth_family*G176,0)</f>
        <v/>
      </c>
      <c r="AJ176" s="14">
        <f>F176*AI176*in_hlth_family_ticket*in_hlth_family_comm*in_ins_partner_share+F176*in_hlth_family_ticket*in_hlth_family_renew_comm*in_ins_partner_share*(in_hlth_family_renew^1*SUMIFS(AI121:AI178,B121:B178,B176-12)+in_hlth_family_renew^2*SUMIFS(AI121:AI178,B121:B178,B176-24)+in_hlth_family_renew^3*SUMIFS(AI121:AI178,B121:B178,B176-36)+in_hlth_family_renew^4*SUMIFS(AI121:AI178,B121:B178,B176-48))</f>
        <v/>
      </c>
      <c r="AK176" s="40">
        <f>AK175*(1-IF(B175&gt;=in_marketplace_from,d_hz_life_term*G175,0))</f>
        <v/>
      </c>
      <c r="AL176" s="46">
        <f>AK176*IF(B176&gt;=in_marketplace_from,d_hz_life_term*G176,0)</f>
        <v/>
      </c>
      <c r="AM176" s="14">
        <f>F176*AL176*in_life_term_ticket*in_life_term_comm*in_ins_partner_share+F176*in_life_term_ticket*in_life_term_renew_comm*in_ins_partner_share*(in_life_term_renew^1*SUMIFS(AL121:AL178,B121:B178,B176-12)+in_life_term_renew^2*SUMIFS(AL121:AL178,B121:B178,B176-24)+in_life_term_renew^3*SUMIFS(AL121:AL178,B121:B178,B176-36)+in_life_term_renew^4*SUMIFS(AL121:AL178,B121:B178,B176-48))</f>
        <v/>
      </c>
      <c r="AN176" s="40">
        <f>AN175*(1-IF(B175&gt;=in_marketplace_from,d_hz_accident*G175,0))</f>
        <v/>
      </c>
      <c r="AO176" s="46">
        <f>AN176*IF(B176&gt;=in_marketplace_from,d_hz_accident*G176,0)</f>
        <v/>
      </c>
      <c r="AP176" s="14">
        <f>F176*AO176*in_accident_ticket*in_accident_comm*in_ins_partner_share+F176*in_accident_ticket*in_accident_renew_comm*in_ins_partner_share*(in_accident_renew^1*SUMIFS(AO121:AO178,B121:B178,B176-12)+in_accident_renew^2*SUMIFS(AO121:AO178,B121:B178,B176-24)+in_accident_renew^3*SUMIFS(AO121:AO178,B121:B178,B176-36)+in_accident_renew^4*SUMIFS(AO121:AO178,B121:B178,B176-48))</f>
        <v/>
      </c>
      <c r="AQ176" s="40">
        <f>AQ175*(1-IF(B175&gt;=in_marketplace_from,d_hz_two_wheeler*G175,0))</f>
        <v/>
      </c>
      <c r="AR176" s="46">
        <f>AQ176*IF(B176&gt;=in_marketplace_from,d_hz_two_wheeler*G176,0)</f>
        <v/>
      </c>
      <c r="AS176" s="14">
        <f>F176*AR176*in_two_wheeler_ticket*in_two_wheeler_comm*in_ins_partner_share+F176*in_two_wheeler_ticket*in_two_wheeler_comm*in_ins_partner_share*(in_two_wheeler_renew^1*SUMIFS(AR121:AR178,B121:B178,B176-12)+in_two_wheeler_renew^2*SUMIFS(AR121:AR178,B121:B178,B176-24)+in_two_wheeler_renew^3*SUMIFS(AR121:AR178,B121:B178,B176-36)+in_two_wheeler_renew^4*SUMIFS(AR121:AR178,B121:B178,B176-48))</f>
        <v/>
      </c>
      <c r="AT176" s="40">
        <f>AT175*(1-IF(B175&gt;=in_marketplace_from,d_hz_device*G175,0))</f>
        <v/>
      </c>
      <c r="AU176" s="14">
        <f>F176*AT176*IF(B176&gt;=in_marketplace_from,d_hz_device*G176,0)*in_device_ticket*in_device_comm*in_ins_partner_share</f>
        <v/>
      </c>
      <c r="AV176" s="40">
        <f>AV175*(1-IF(B175&gt;=in_marketplace_from,d_hz_shop*G175,0))</f>
        <v/>
      </c>
      <c r="AW176" s="46">
        <f>AV176*IF(B176&gt;=in_marketplace_from,d_hz_shop*G176,0)</f>
        <v/>
      </c>
      <c r="AX176" s="14">
        <f>F176*AW176*in_shop_ticket*in_shop_comm*in_ins_partner_share+F176*in_shop_ticket*in_shop_renew_comm*in_ins_partner_share*(in_shop_renew^1*SUMIFS(AW121:AW178,B121:B178,B176-12)+in_shop_renew^2*SUMIFS(AW121:AW178,B121:B178,B176-24)+in_shop_renew^3*SUMIFS(AW121:AW178,B121:B178,B176-36)+in_shop_renew^4*SUMIFS(AW121:AW178,B121:B178,B176-48))</f>
        <v/>
      </c>
      <c r="AY176" s="40">
        <f>AY175*(1-IF(B175&gt;=in_marketplace_from,d_hz_sip*G175,0))</f>
        <v/>
      </c>
      <c r="AZ176" s="40">
        <f>AZ175*d_rho_sip+AY176*IF(B176&gt;=in_marketplace_from,d_hz_sip*G176,0)</f>
        <v/>
      </c>
      <c r="BA176" s="40">
        <f>d_rho_sip*(BA175+AZ175)</f>
        <v/>
      </c>
      <c r="BB176" s="14">
        <f>F176*in_sip_ticket*(BA176+0.5*AZ176)*in_sip_comm/12</f>
        <v/>
      </c>
      <c r="BC176" s="40">
        <f>BC175*(1-IF(B175&gt;=in_marketplace_from,d_hz_choti*G175,0))</f>
        <v/>
      </c>
      <c r="BD176" s="46">
        <f>BC176*IF(B176&gt;=in_marketplace_from,d_hz_choti*G176,0)</f>
        <v/>
      </c>
      <c r="BE176" s="14">
        <f>F176*SUMIFS(BD121:BD178,B121:B178,B176-in_choti_months)*in_choti_renew*in_choti_ticket</f>
        <v/>
      </c>
      <c r="BF176" s="40">
        <f>BF175*(1-IF(B175&gt;=in_marketplace_from,d_hz_nps*G175,0))</f>
        <v/>
      </c>
      <c r="BG176" s="14">
        <f>F176*BF176*IF(B176&gt;=in_marketplace_from,d_hz_nps*G176,0)*in_nps_ticket*in_nps_comm</f>
        <v/>
      </c>
      <c r="BH176" s="40">
        <f>BH175*(1-IF(B175&gt;=in_marketplace_from,d_hz_gold*G175,0))</f>
        <v/>
      </c>
      <c r="BI176" s="40">
        <f>BI175*d_rho_gold+BH176*IF(B176&gt;=in_marketplace_from,d_hz_gold*G176,0)</f>
        <v/>
      </c>
      <c r="BJ176" s="14">
        <f>F176*BI176*in_gold_ticket*in_gold_comm</f>
        <v/>
      </c>
      <c r="BK176" s="40">
        <f>BK175*(1-IF(B175&gt;=in_marketplace_from,d_hz_fd*G175,0))</f>
        <v/>
      </c>
      <c r="BL176" s="14">
        <f>F176*BK176*IF(B176&gt;=in_marketplace_from,d_hz_fd*G176,0)*in_fd_ticket*in_fd_comm</f>
        <v/>
      </c>
      <c r="BM176" s="40">
        <f>BM175*(1-IF(B175&gt;=in_marketplace_from,d_hz_recharge*G175,0))</f>
        <v/>
      </c>
      <c r="BN176" s="40">
        <f>BN175*d_rho_recharge+BM176*IF(B176&gt;=in_marketplace_from,d_hz_recharge*G176,0)</f>
        <v/>
      </c>
      <c r="BO176" s="14">
        <f>F176*BN176*in_recharge_ticket*in_recharge_comm/12</f>
        <v/>
      </c>
      <c r="BP176" s="40">
        <f>BP175*(1-IF(B175&gt;=in_marketplace_from,d_hz_bills*G175,0))</f>
        <v/>
      </c>
      <c r="BQ176" s="40">
        <f>BQ175*d_rho_bills+BP176*IF(B176&gt;=in_marketplace_from,d_hz_bills*G176,0)</f>
        <v/>
      </c>
      <c r="BR176" s="14">
        <f>F176*BQ176*in_bills_ticket*in_bills_comm/12</f>
        <v/>
      </c>
      <c r="BS176" s="40">
        <f>BS175*(1-IF(B175&gt;=in_marketplace_from,d_hz_loan_gold*G175,0))</f>
        <v/>
      </c>
      <c r="BT176" s="14">
        <f>F176*BS176*IF(B176&gt;=in_marketplace_from,d_hz_loan_gold*G176,0)*in_loan_gold_ticket*in_loan_gold_comm</f>
        <v/>
      </c>
      <c r="BU176" s="40">
        <f>BU175*(1-IF(B175&gt;=in_marketplace_from,d_hz_loan_cd*G175,0))</f>
        <v/>
      </c>
      <c r="BV176" s="14">
        <f>F176*BU176*IF(B176&gt;=in_marketplace_from,d_hz_loan_cd*G176,0)*in_loan_cd_ticket*in_loan_cd_comm</f>
        <v/>
      </c>
      <c r="BW176" s="40">
        <f>BW175*(1-IF(B175&gt;=in_marketplace_from,d_hz_loan_vehicle*G175,0))</f>
        <v/>
      </c>
      <c r="BX176" s="14">
        <f>F176*BW176*IF(B176&gt;=in_marketplace_from,d_hz_loan_vehicle*G176,0)*in_loan_vehicle_ticket*in_loan_vehicle_comm</f>
        <v/>
      </c>
      <c r="BY176" s="40">
        <f>BY175*(1-IF(B175&gt;=in_marketplace_from,d_hz_loan_home*G175,0)*BZ175)</f>
        <v/>
      </c>
      <c r="BZ176" s="11">
        <f>MIN(in_approval_cap,in_loan_home_approval*INDEX('Age profile'!$O$2:$O$61,B176)*(1+in_approval_growth)^(D176-1))</f>
        <v/>
      </c>
      <c r="CA176" s="14">
        <f>F176*BY176*IF(B176&gt;=in_marketplace_from,d_hz_loan_home*G176,0)*BZ176*in_loan_home_ticket*in_loan_home_comm</f>
        <v/>
      </c>
      <c r="CB176" s="40">
        <f>CB175*(1-IF(B175&gt;=in_marketplace_from,d_hz_loan_lap*G175,0)*CC175)</f>
        <v/>
      </c>
      <c r="CC176" s="11">
        <f>MIN(in_approval_cap,in_loan_lap_approval*INDEX('Age profile'!$O$2:$O$61,B176)*(1+in_approval_growth)^(D176-1))</f>
        <v/>
      </c>
      <c r="CD176" s="14">
        <f>F176*CB176*IF(B176&gt;=in_marketplace_from,d_hz_loan_lap*G176,0)*CC176*in_loan_lap_ticket*in_loan_lap_comm</f>
        <v/>
      </c>
      <c r="CE176" s="14">
        <f>AA176+AB176+AC176+AD176+AG176+AJ176+AM176+AP176+AS176+AU176+AX176+BB176+BE176+BG176+BJ176+BL176+BO176+BR176+BT176+BV176+BX176+CA176+CD176</f>
        <v/>
      </c>
    </row>
    <row r="177">
      <c r="A177" s="39" t="n">
        <v>3</v>
      </c>
      <c r="B177" s="39" t="n">
        <v>57</v>
      </c>
      <c r="C177" s="39">
        <f>A177+B177-1</f>
        <v/>
      </c>
      <c r="D177" s="39">
        <f>INT((C177-1)/12)+1</f>
        <v/>
      </c>
      <c r="E177" s="44">
        <f>INDEX(Monthly!$B$2:$B$61,A177)</f>
        <v/>
      </c>
      <c r="F177" s="44">
        <f>E177*INDEX('Age profile'!$B$2:$B$61,B177)</f>
        <v/>
      </c>
      <c r="G177" s="45">
        <f>MIN(in_takeup_cap,INDEX('Age profile'!$N$2:$N$61,B177)*(1+in_takeup_growth)^(D177-1))</f>
        <v/>
      </c>
      <c r="H177" s="11">
        <f>MIN(in_approval_cap,in_approved_first*INDEX('Age profile'!$O$2:$O$61,B177)*(1+in_approval_growth)^(D177-1))</f>
        <v/>
      </c>
      <c r="I177" s="45">
        <f>G177*MIN(in_takeup_cap,INDEX('Age profile'!$O$2:$O$61,B177)*(1+in_approval_growth)^(D177-1))</f>
        <v/>
      </c>
      <c r="J177" s="40">
        <f>(J176-L176)*F177/F176</f>
        <v/>
      </c>
      <c r="K177" s="40">
        <f>(K176-M176)*F177/F176+SUMIFS(O121:O176,B121:B176,B177-1-d_T)*F177</f>
        <v/>
      </c>
      <c r="L177" s="40">
        <f>IF(B177&gt;=in_marketplace_from,J177*d_hz*G177*in_eligible*H177,0)</f>
        <v/>
      </c>
      <c r="M177" s="40">
        <f>IF(B177&gt;=in_marketplace_from,K177*d_hz*G177*in_eligible*in_approved_repeat,0)</f>
        <v/>
      </c>
      <c r="N177" s="40">
        <f>L177+M177</f>
        <v/>
      </c>
      <c r="O177" s="46">
        <f>N177/F177</f>
        <v/>
      </c>
      <c r="P177" s="40">
        <f>F177-J177-K177</f>
        <v/>
      </c>
      <c r="Q177" s="40">
        <f>IF(B177&gt;=in_marketplace_from,(J177+K177)*d_hz*G177,0)</f>
        <v/>
      </c>
      <c r="R177" s="40">
        <f>SUMIFS(N121:N178,B121:B178,"&gt;="&amp;(B177-d_T),B121:B178,"&lt;="&amp;(B177-1))</f>
        <v/>
      </c>
      <c r="S177" s="46">
        <f>(1-d_u)*S176+IF(d_T&gt;in_topup_lag,SUMIFS(O121:O178,B121:B178,B177-in_topup_lag)-d_udrop*SUMIFS(O121:O178,B121:B178,B177-d_T),0)</f>
        <v/>
      </c>
      <c r="T177" s="40">
        <f>F177*d_u*S177</f>
        <v/>
      </c>
      <c r="U177" s="9">
        <f>L177*in_ticket+M177*d_rep_ticket</f>
        <v/>
      </c>
      <c r="V177" s="9">
        <f>U177+T177*d_topup_amt</f>
        <v/>
      </c>
      <c r="W177" s="40">
        <f>N177+T177*d_topup_ratio</f>
        <v/>
      </c>
      <c r="X177" s="40">
        <f>SUMIFS(W121:W178,B121:B178,B177-in_dpd_lag)*d_cured</f>
        <v/>
      </c>
      <c r="Y177" s="40">
        <f>SUMIFS(W121:W178,B121:B178,B177-in_rec_lag)*d_recd</f>
        <v/>
      </c>
      <c r="Z177" s="40">
        <f>IF(AND(B177&gt;=in_marketplace_from,B177&lt;in_marketplace_from+in_card_months),in_card_share/in_card_months*F177*I177,IF(AND(B177&gt;=in_marketplace_from+in_card_months,B177&lt;in_marketplace_from+2*in_card_months),in_card_share*d_card_rem/in_card_months*F177*MIN(in_takeup_cap,(1+in_takeup_growth)^(D177-1))*MIN(in_takeup_cap,(1+in_approval_growth)^(D177-1)),0))</f>
        <v/>
      </c>
      <c r="AA177" s="14">
        <f>V177*in_fee*(1-in_taken_back)</f>
        <v/>
      </c>
      <c r="AB177" s="14">
        <f>SUMIFS(W121:W178,B121:B178,B177-in_dpd_lag)*d_dpd</f>
        <v/>
      </c>
      <c r="AC177" s="14">
        <f>SUMIFS(W121:W178,B121:B178,B177-in_rec_lag)*d_rec</f>
        <v/>
      </c>
      <c r="AD177" s="14">
        <f>Z177*in_card_fee</f>
        <v/>
      </c>
      <c r="AE177" s="40">
        <f>AE176*(1-IF(B176&gt;=in_marketplace_from,d_hz_hlth_small*G176,0))</f>
        <v/>
      </c>
      <c r="AF177" s="46">
        <f>AE177*IF(B177&gt;=in_marketplace_from,d_hz_hlth_small*G177,0)</f>
        <v/>
      </c>
      <c r="AG177" s="14">
        <f>F177*AF177*in_hlth_small_ticket*in_hlth_small_comm*in_ins_partner_share+F177*in_hlth_small_ticket*in_hlth_small_renew_comm*in_ins_partner_share*(in_hlth_small_renew^1*SUMIFS(AF121:AF178,B121:B178,B177-12)+in_hlth_small_renew^2*SUMIFS(AF121:AF178,B121:B178,B177-24)+in_hlth_small_renew^3*SUMIFS(AF121:AF178,B121:B178,B177-36)+in_hlth_small_renew^4*SUMIFS(AF121:AF178,B121:B178,B177-48))</f>
        <v/>
      </c>
      <c r="AH177" s="40">
        <f>AH176*(1-IF(B176&gt;=in_marketplace_from,d_hz_hlth_family*G176,0))</f>
        <v/>
      </c>
      <c r="AI177" s="46">
        <f>AH177*IF(B177&gt;=in_marketplace_from,d_hz_hlth_family*G177,0)</f>
        <v/>
      </c>
      <c r="AJ177" s="14">
        <f>F177*AI177*in_hlth_family_ticket*in_hlth_family_comm*in_ins_partner_share+F177*in_hlth_family_ticket*in_hlth_family_renew_comm*in_ins_partner_share*(in_hlth_family_renew^1*SUMIFS(AI121:AI178,B121:B178,B177-12)+in_hlth_family_renew^2*SUMIFS(AI121:AI178,B121:B178,B177-24)+in_hlth_family_renew^3*SUMIFS(AI121:AI178,B121:B178,B177-36)+in_hlth_family_renew^4*SUMIFS(AI121:AI178,B121:B178,B177-48))</f>
        <v/>
      </c>
      <c r="AK177" s="40">
        <f>AK176*(1-IF(B176&gt;=in_marketplace_from,d_hz_life_term*G176,0))</f>
        <v/>
      </c>
      <c r="AL177" s="46">
        <f>AK177*IF(B177&gt;=in_marketplace_from,d_hz_life_term*G177,0)</f>
        <v/>
      </c>
      <c r="AM177" s="14">
        <f>F177*AL177*in_life_term_ticket*in_life_term_comm*in_ins_partner_share+F177*in_life_term_ticket*in_life_term_renew_comm*in_ins_partner_share*(in_life_term_renew^1*SUMIFS(AL121:AL178,B121:B178,B177-12)+in_life_term_renew^2*SUMIFS(AL121:AL178,B121:B178,B177-24)+in_life_term_renew^3*SUMIFS(AL121:AL178,B121:B178,B177-36)+in_life_term_renew^4*SUMIFS(AL121:AL178,B121:B178,B177-48))</f>
        <v/>
      </c>
      <c r="AN177" s="40">
        <f>AN176*(1-IF(B176&gt;=in_marketplace_from,d_hz_accident*G176,0))</f>
        <v/>
      </c>
      <c r="AO177" s="46">
        <f>AN177*IF(B177&gt;=in_marketplace_from,d_hz_accident*G177,0)</f>
        <v/>
      </c>
      <c r="AP177" s="14">
        <f>F177*AO177*in_accident_ticket*in_accident_comm*in_ins_partner_share+F177*in_accident_ticket*in_accident_renew_comm*in_ins_partner_share*(in_accident_renew^1*SUMIFS(AO121:AO178,B121:B178,B177-12)+in_accident_renew^2*SUMIFS(AO121:AO178,B121:B178,B177-24)+in_accident_renew^3*SUMIFS(AO121:AO178,B121:B178,B177-36)+in_accident_renew^4*SUMIFS(AO121:AO178,B121:B178,B177-48))</f>
        <v/>
      </c>
      <c r="AQ177" s="40">
        <f>AQ176*(1-IF(B176&gt;=in_marketplace_from,d_hz_two_wheeler*G176,0))</f>
        <v/>
      </c>
      <c r="AR177" s="46">
        <f>AQ177*IF(B177&gt;=in_marketplace_from,d_hz_two_wheeler*G177,0)</f>
        <v/>
      </c>
      <c r="AS177" s="14">
        <f>F177*AR177*in_two_wheeler_ticket*in_two_wheeler_comm*in_ins_partner_share+F177*in_two_wheeler_ticket*in_two_wheeler_comm*in_ins_partner_share*(in_two_wheeler_renew^1*SUMIFS(AR121:AR178,B121:B178,B177-12)+in_two_wheeler_renew^2*SUMIFS(AR121:AR178,B121:B178,B177-24)+in_two_wheeler_renew^3*SUMIFS(AR121:AR178,B121:B178,B177-36)+in_two_wheeler_renew^4*SUMIFS(AR121:AR178,B121:B178,B177-48))</f>
        <v/>
      </c>
      <c r="AT177" s="40">
        <f>AT176*(1-IF(B176&gt;=in_marketplace_from,d_hz_device*G176,0))</f>
        <v/>
      </c>
      <c r="AU177" s="14">
        <f>F177*AT177*IF(B177&gt;=in_marketplace_from,d_hz_device*G177,0)*in_device_ticket*in_device_comm*in_ins_partner_share</f>
        <v/>
      </c>
      <c r="AV177" s="40">
        <f>AV176*(1-IF(B176&gt;=in_marketplace_from,d_hz_shop*G176,0))</f>
        <v/>
      </c>
      <c r="AW177" s="46">
        <f>AV177*IF(B177&gt;=in_marketplace_from,d_hz_shop*G177,0)</f>
        <v/>
      </c>
      <c r="AX177" s="14">
        <f>F177*AW177*in_shop_ticket*in_shop_comm*in_ins_partner_share+F177*in_shop_ticket*in_shop_renew_comm*in_ins_partner_share*(in_shop_renew^1*SUMIFS(AW121:AW178,B121:B178,B177-12)+in_shop_renew^2*SUMIFS(AW121:AW178,B121:B178,B177-24)+in_shop_renew^3*SUMIFS(AW121:AW178,B121:B178,B177-36)+in_shop_renew^4*SUMIFS(AW121:AW178,B121:B178,B177-48))</f>
        <v/>
      </c>
      <c r="AY177" s="40">
        <f>AY176*(1-IF(B176&gt;=in_marketplace_from,d_hz_sip*G176,0))</f>
        <v/>
      </c>
      <c r="AZ177" s="40">
        <f>AZ176*d_rho_sip+AY177*IF(B177&gt;=in_marketplace_from,d_hz_sip*G177,0)</f>
        <v/>
      </c>
      <c r="BA177" s="40">
        <f>d_rho_sip*(BA176+AZ176)</f>
        <v/>
      </c>
      <c r="BB177" s="14">
        <f>F177*in_sip_ticket*(BA177+0.5*AZ177)*in_sip_comm/12</f>
        <v/>
      </c>
      <c r="BC177" s="40">
        <f>BC176*(1-IF(B176&gt;=in_marketplace_from,d_hz_choti*G176,0))</f>
        <v/>
      </c>
      <c r="BD177" s="46">
        <f>BC177*IF(B177&gt;=in_marketplace_from,d_hz_choti*G177,0)</f>
        <v/>
      </c>
      <c r="BE177" s="14">
        <f>F177*SUMIFS(BD121:BD178,B121:B178,B177-in_choti_months)*in_choti_renew*in_choti_ticket</f>
        <v/>
      </c>
      <c r="BF177" s="40">
        <f>BF176*(1-IF(B176&gt;=in_marketplace_from,d_hz_nps*G176,0))</f>
        <v/>
      </c>
      <c r="BG177" s="14">
        <f>F177*BF177*IF(B177&gt;=in_marketplace_from,d_hz_nps*G177,0)*in_nps_ticket*in_nps_comm</f>
        <v/>
      </c>
      <c r="BH177" s="40">
        <f>BH176*(1-IF(B176&gt;=in_marketplace_from,d_hz_gold*G176,0))</f>
        <v/>
      </c>
      <c r="BI177" s="40">
        <f>BI176*d_rho_gold+BH177*IF(B177&gt;=in_marketplace_from,d_hz_gold*G177,0)</f>
        <v/>
      </c>
      <c r="BJ177" s="14">
        <f>F177*BI177*in_gold_ticket*in_gold_comm</f>
        <v/>
      </c>
      <c r="BK177" s="40">
        <f>BK176*(1-IF(B176&gt;=in_marketplace_from,d_hz_fd*G176,0))</f>
        <v/>
      </c>
      <c r="BL177" s="14">
        <f>F177*BK177*IF(B177&gt;=in_marketplace_from,d_hz_fd*G177,0)*in_fd_ticket*in_fd_comm</f>
        <v/>
      </c>
      <c r="BM177" s="40">
        <f>BM176*(1-IF(B176&gt;=in_marketplace_from,d_hz_recharge*G176,0))</f>
        <v/>
      </c>
      <c r="BN177" s="40">
        <f>BN176*d_rho_recharge+BM177*IF(B177&gt;=in_marketplace_from,d_hz_recharge*G177,0)</f>
        <v/>
      </c>
      <c r="BO177" s="14">
        <f>F177*BN177*in_recharge_ticket*in_recharge_comm/12</f>
        <v/>
      </c>
      <c r="BP177" s="40">
        <f>BP176*(1-IF(B176&gt;=in_marketplace_from,d_hz_bills*G176,0))</f>
        <v/>
      </c>
      <c r="BQ177" s="40">
        <f>BQ176*d_rho_bills+BP177*IF(B177&gt;=in_marketplace_from,d_hz_bills*G177,0)</f>
        <v/>
      </c>
      <c r="BR177" s="14">
        <f>F177*BQ177*in_bills_ticket*in_bills_comm/12</f>
        <v/>
      </c>
      <c r="BS177" s="40">
        <f>BS176*(1-IF(B176&gt;=in_marketplace_from,d_hz_loan_gold*G176,0))</f>
        <v/>
      </c>
      <c r="BT177" s="14">
        <f>F177*BS177*IF(B177&gt;=in_marketplace_from,d_hz_loan_gold*G177,0)*in_loan_gold_ticket*in_loan_gold_comm</f>
        <v/>
      </c>
      <c r="BU177" s="40">
        <f>BU176*(1-IF(B176&gt;=in_marketplace_from,d_hz_loan_cd*G176,0))</f>
        <v/>
      </c>
      <c r="BV177" s="14">
        <f>F177*BU177*IF(B177&gt;=in_marketplace_from,d_hz_loan_cd*G177,0)*in_loan_cd_ticket*in_loan_cd_comm</f>
        <v/>
      </c>
      <c r="BW177" s="40">
        <f>BW176*(1-IF(B176&gt;=in_marketplace_from,d_hz_loan_vehicle*G176,0))</f>
        <v/>
      </c>
      <c r="BX177" s="14">
        <f>F177*BW177*IF(B177&gt;=in_marketplace_from,d_hz_loan_vehicle*G177,0)*in_loan_vehicle_ticket*in_loan_vehicle_comm</f>
        <v/>
      </c>
      <c r="BY177" s="40">
        <f>BY176*(1-IF(B176&gt;=in_marketplace_from,d_hz_loan_home*G176,0)*BZ176)</f>
        <v/>
      </c>
      <c r="BZ177" s="11">
        <f>MIN(in_approval_cap,in_loan_home_approval*INDEX('Age profile'!$O$2:$O$61,B177)*(1+in_approval_growth)^(D177-1))</f>
        <v/>
      </c>
      <c r="CA177" s="14">
        <f>F177*BY177*IF(B177&gt;=in_marketplace_from,d_hz_loan_home*G177,0)*BZ177*in_loan_home_ticket*in_loan_home_comm</f>
        <v/>
      </c>
      <c r="CB177" s="40">
        <f>CB176*(1-IF(B176&gt;=in_marketplace_from,d_hz_loan_lap*G176,0)*CC176)</f>
        <v/>
      </c>
      <c r="CC177" s="11">
        <f>MIN(in_approval_cap,in_loan_lap_approval*INDEX('Age profile'!$O$2:$O$61,B177)*(1+in_approval_growth)^(D177-1))</f>
        <v/>
      </c>
      <c r="CD177" s="14">
        <f>F177*CB177*IF(B177&gt;=in_marketplace_from,d_hz_loan_lap*G177,0)*CC177*in_loan_lap_ticket*in_loan_lap_comm</f>
        <v/>
      </c>
      <c r="CE177" s="14">
        <f>AA177+AB177+AC177+AD177+AG177+AJ177+AM177+AP177+AS177+AU177+AX177+BB177+BE177+BG177+BJ177+BL177+BO177+BR177+BT177+BV177+BX177+CA177+CD177</f>
        <v/>
      </c>
    </row>
    <row r="178">
      <c r="A178" s="39" t="n">
        <v>3</v>
      </c>
      <c r="B178" s="39" t="n">
        <v>58</v>
      </c>
      <c r="C178" s="39">
        <f>A178+B178-1</f>
        <v/>
      </c>
      <c r="D178" s="39">
        <f>INT((C178-1)/12)+1</f>
        <v/>
      </c>
      <c r="E178" s="44">
        <f>INDEX(Monthly!$B$2:$B$61,A178)</f>
        <v/>
      </c>
      <c r="F178" s="44">
        <f>E178*INDEX('Age profile'!$B$2:$B$61,B178)</f>
        <v/>
      </c>
      <c r="G178" s="45">
        <f>MIN(in_takeup_cap,INDEX('Age profile'!$N$2:$N$61,B178)*(1+in_takeup_growth)^(D178-1))</f>
        <v/>
      </c>
      <c r="H178" s="11">
        <f>MIN(in_approval_cap,in_approved_first*INDEX('Age profile'!$O$2:$O$61,B178)*(1+in_approval_growth)^(D178-1))</f>
        <v/>
      </c>
      <c r="I178" s="45">
        <f>G178*MIN(in_takeup_cap,INDEX('Age profile'!$O$2:$O$61,B178)*(1+in_approval_growth)^(D178-1))</f>
        <v/>
      </c>
      <c r="J178" s="40">
        <f>(J177-L177)*F178/F177</f>
        <v/>
      </c>
      <c r="K178" s="40">
        <f>(K177-M177)*F178/F177+SUMIFS(O121:O177,B121:B177,B178-1-d_T)*F178</f>
        <v/>
      </c>
      <c r="L178" s="40">
        <f>IF(B178&gt;=in_marketplace_from,J178*d_hz*G178*in_eligible*H178,0)</f>
        <v/>
      </c>
      <c r="M178" s="40">
        <f>IF(B178&gt;=in_marketplace_from,K178*d_hz*G178*in_eligible*in_approved_repeat,0)</f>
        <v/>
      </c>
      <c r="N178" s="40">
        <f>L178+M178</f>
        <v/>
      </c>
      <c r="O178" s="46">
        <f>N178/F178</f>
        <v/>
      </c>
      <c r="P178" s="40">
        <f>F178-J178-K178</f>
        <v/>
      </c>
      <c r="Q178" s="40">
        <f>IF(B178&gt;=in_marketplace_from,(J178+K178)*d_hz*G178,0)</f>
        <v/>
      </c>
      <c r="R178" s="40">
        <f>SUMIFS(N121:N178,B121:B178,"&gt;="&amp;(B178-d_T),B121:B178,"&lt;="&amp;(B178-1))</f>
        <v/>
      </c>
      <c r="S178" s="46">
        <f>(1-d_u)*S177+IF(d_T&gt;in_topup_lag,SUMIFS(O121:O178,B121:B178,B178-in_topup_lag)-d_udrop*SUMIFS(O121:O178,B121:B178,B178-d_T),0)</f>
        <v/>
      </c>
      <c r="T178" s="40">
        <f>F178*d_u*S178</f>
        <v/>
      </c>
      <c r="U178" s="9">
        <f>L178*in_ticket+M178*d_rep_ticket</f>
        <v/>
      </c>
      <c r="V178" s="9">
        <f>U178+T178*d_topup_amt</f>
        <v/>
      </c>
      <c r="W178" s="40">
        <f>N178+T178*d_topup_ratio</f>
        <v/>
      </c>
      <c r="X178" s="40">
        <f>SUMIFS(W121:W178,B121:B178,B178-in_dpd_lag)*d_cured</f>
        <v/>
      </c>
      <c r="Y178" s="40">
        <f>SUMIFS(W121:W178,B121:B178,B178-in_rec_lag)*d_recd</f>
        <v/>
      </c>
      <c r="Z178" s="40">
        <f>IF(AND(B178&gt;=in_marketplace_from,B178&lt;in_marketplace_from+in_card_months),in_card_share/in_card_months*F178*I178,IF(AND(B178&gt;=in_marketplace_from+in_card_months,B178&lt;in_marketplace_from+2*in_card_months),in_card_share*d_card_rem/in_card_months*F178*MIN(in_takeup_cap,(1+in_takeup_growth)^(D178-1))*MIN(in_takeup_cap,(1+in_approval_growth)^(D178-1)),0))</f>
        <v/>
      </c>
      <c r="AA178" s="14">
        <f>V178*in_fee*(1-in_taken_back)</f>
        <v/>
      </c>
      <c r="AB178" s="14">
        <f>SUMIFS(W121:W178,B121:B178,B178-in_dpd_lag)*d_dpd</f>
        <v/>
      </c>
      <c r="AC178" s="14">
        <f>SUMIFS(W121:W178,B121:B178,B178-in_rec_lag)*d_rec</f>
        <v/>
      </c>
      <c r="AD178" s="14">
        <f>Z178*in_card_fee</f>
        <v/>
      </c>
      <c r="AE178" s="40">
        <f>AE177*(1-IF(B177&gt;=in_marketplace_from,d_hz_hlth_small*G177,0))</f>
        <v/>
      </c>
      <c r="AF178" s="46">
        <f>AE178*IF(B178&gt;=in_marketplace_from,d_hz_hlth_small*G178,0)</f>
        <v/>
      </c>
      <c r="AG178" s="14">
        <f>F178*AF178*in_hlth_small_ticket*in_hlth_small_comm*in_ins_partner_share+F178*in_hlth_small_ticket*in_hlth_small_renew_comm*in_ins_partner_share*(in_hlth_small_renew^1*SUMIFS(AF121:AF178,B121:B178,B178-12)+in_hlth_small_renew^2*SUMIFS(AF121:AF178,B121:B178,B178-24)+in_hlth_small_renew^3*SUMIFS(AF121:AF178,B121:B178,B178-36)+in_hlth_small_renew^4*SUMIFS(AF121:AF178,B121:B178,B178-48))</f>
        <v/>
      </c>
      <c r="AH178" s="40">
        <f>AH177*(1-IF(B177&gt;=in_marketplace_from,d_hz_hlth_family*G177,0))</f>
        <v/>
      </c>
      <c r="AI178" s="46">
        <f>AH178*IF(B178&gt;=in_marketplace_from,d_hz_hlth_family*G178,0)</f>
        <v/>
      </c>
      <c r="AJ178" s="14">
        <f>F178*AI178*in_hlth_family_ticket*in_hlth_family_comm*in_ins_partner_share+F178*in_hlth_family_ticket*in_hlth_family_renew_comm*in_ins_partner_share*(in_hlth_family_renew^1*SUMIFS(AI121:AI178,B121:B178,B178-12)+in_hlth_family_renew^2*SUMIFS(AI121:AI178,B121:B178,B178-24)+in_hlth_family_renew^3*SUMIFS(AI121:AI178,B121:B178,B178-36)+in_hlth_family_renew^4*SUMIFS(AI121:AI178,B121:B178,B178-48))</f>
        <v/>
      </c>
      <c r="AK178" s="40">
        <f>AK177*(1-IF(B177&gt;=in_marketplace_from,d_hz_life_term*G177,0))</f>
        <v/>
      </c>
      <c r="AL178" s="46">
        <f>AK178*IF(B178&gt;=in_marketplace_from,d_hz_life_term*G178,0)</f>
        <v/>
      </c>
      <c r="AM178" s="14">
        <f>F178*AL178*in_life_term_ticket*in_life_term_comm*in_ins_partner_share+F178*in_life_term_ticket*in_life_term_renew_comm*in_ins_partner_share*(in_life_term_renew^1*SUMIFS(AL121:AL178,B121:B178,B178-12)+in_life_term_renew^2*SUMIFS(AL121:AL178,B121:B178,B178-24)+in_life_term_renew^3*SUMIFS(AL121:AL178,B121:B178,B178-36)+in_life_term_renew^4*SUMIFS(AL121:AL178,B121:B178,B178-48))</f>
        <v/>
      </c>
      <c r="AN178" s="40">
        <f>AN177*(1-IF(B177&gt;=in_marketplace_from,d_hz_accident*G177,0))</f>
        <v/>
      </c>
      <c r="AO178" s="46">
        <f>AN178*IF(B178&gt;=in_marketplace_from,d_hz_accident*G178,0)</f>
        <v/>
      </c>
      <c r="AP178" s="14">
        <f>F178*AO178*in_accident_ticket*in_accident_comm*in_ins_partner_share+F178*in_accident_ticket*in_accident_renew_comm*in_ins_partner_share*(in_accident_renew^1*SUMIFS(AO121:AO178,B121:B178,B178-12)+in_accident_renew^2*SUMIFS(AO121:AO178,B121:B178,B178-24)+in_accident_renew^3*SUMIFS(AO121:AO178,B121:B178,B178-36)+in_accident_renew^4*SUMIFS(AO121:AO178,B121:B178,B178-48))</f>
        <v/>
      </c>
      <c r="AQ178" s="40">
        <f>AQ177*(1-IF(B177&gt;=in_marketplace_from,d_hz_two_wheeler*G177,0))</f>
        <v/>
      </c>
      <c r="AR178" s="46">
        <f>AQ178*IF(B178&gt;=in_marketplace_from,d_hz_two_wheeler*G178,0)</f>
        <v/>
      </c>
      <c r="AS178" s="14">
        <f>F178*AR178*in_two_wheeler_ticket*in_two_wheeler_comm*in_ins_partner_share+F178*in_two_wheeler_ticket*in_two_wheeler_comm*in_ins_partner_share*(in_two_wheeler_renew^1*SUMIFS(AR121:AR178,B121:B178,B178-12)+in_two_wheeler_renew^2*SUMIFS(AR121:AR178,B121:B178,B178-24)+in_two_wheeler_renew^3*SUMIFS(AR121:AR178,B121:B178,B178-36)+in_two_wheeler_renew^4*SUMIFS(AR121:AR178,B121:B178,B178-48))</f>
        <v/>
      </c>
      <c r="AT178" s="40">
        <f>AT177*(1-IF(B177&gt;=in_marketplace_from,d_hz_device*G177,0))</f>
        <v/>
      </c>
      <c r="AU178" s="14">
        <f>F178*AT178*IF(B178&gt;=in_marketplace_from,d_hz_device*G178,0)*in_device_ticket*in_device_comm*in_ins_partner_share</f>
        <v/>
      </c>
      <c r="AV178" s="40">
        <f>AV177*(1-IF(B177&gt;=in_marketplace_from,d_hz_shop*G177,0))</f>
        <v/>
      </c>
      <c r="AW178" s="46">
        <f>AV178*IF(B178&gt;=in_marketplace_from,d_hz_shop*G178,0)</f>
        <v/>
      </c>
      <c r="AX178" s="14">
        <f>F178*AW178*in_shop_ticket*in_shop_comm*in_ins_partner_share+F178*in_shop_ticket*in_shop_renew_comm*in_ins_partner_share*(in_shop_renew^1*SUMIFS(AW121:AW178,B121:B178,B178-12)+in_shop_renew^2*SUMIFS(AW121:AW178,B121:B178,B178-24)+in_shop_renew^3*SUMIFS(AW121:AW178,B121:B178,B178-36)+in_shop_renew^4*SUMIFS(AW121:AW178,B121:B178,B178-48))</f>
        <v/>
      </c>
      <c r="AY178" s="40">
        <f>AY177*(1-IF(B177&gt;=in_marketplace_from,d_hz_sip*G177,0))</f>
        <v/>
      </c>
      <c r="AZ178" s="40">
        <f>AZ177*d_rho_sip+AY178*IF(B178&gt;=in_marketplace_from,d_hz_sip*G178,0)</f>
        <v/>
      </c>
      <c r="BA178" s="40">
        <f>d_rho_sip*(BA177+AZ177)</f>
        <v/>
      </c>
      <c r="BB178" s="14">
        <f>F178*in_sip_ticket*(BA178+0.5*AZ178)*in_sip_comm/12</f>
        <v/>
      </c>
      <c r="BC178" s="40">
        <f>BC177*(1-IF(B177&gt;=in_marketplace_from,d_hz_choti*G177,0))</f>
        <v/>
      </c>
      <c r="BD178" s="46">
        <f>BC178*IF(B178&gt;=in_marketplace_from,d_hz_choti*G178,0)</f>
        <v/>
      </c>
      <c r="BE178" s="14">
        <f>F178*SUMIFS(BD121:BD178,B121:B178,B178-in_choti_months)*in_choti_renew*in_choti_ticket</f>
        <v/>
      </c>
      <c r="BF178" s="40">
        <f>BF177*(1-IF(B177&gt;=in_marketplace_from,d_hz_nps*G177,0))</f>
        <v/>
      </c>
      <c r="BG178" s="14">
        <f>F178*BF178*IF(B178&gt;=in_marketplace_from,d_hz_nps*G178,0)*in_nps_ticket*in_nps_comm</f>
        <v/>
      </c>
      <c r="BH178" s="40">
        <f>BH177*(1-IF(B177&gt;=in_marketplace_from,d_hz_gold*G177,0))</f>
        <v/>
      </c>
      <c r="BI178" s="40">
        <f>BI177*d_rho_gold+BH178*IF(B178&gt;=in_marketplace_from,d_hz_gold*G178,0)</f>
        <v/>
      </c>
      <c r="BJ178" s="14">
        <f>F178*BI178*in_gold_ticket*in_gold_comm</f>
        <v/>
      </c>
      <c r="BK178" s="40">
        <f>BK177*(1-IF(B177&gt;=in_marketplace_from,d_hz_fd*G177,0))</f>
        <v/>
      </c>
      <c r="BL178" s="14">
        <f>F178*BK178*IF(B178&gt;=in_marketplace_from,d_hz_fd*G178,0)*in_fd_ticket*in_fd_comm</f>
        <v/>
      </c>
      <c r="BM178" s="40">
        <f>BM177*(1-IF(B177&gt;=in_marketplace_from,d_hz_recharge*G177,0))</f>
        <v/>
      </c>
      <c r="BN178" s="40">
        <f>BN177*d_rho_recharge+BM178*IF(B178&gt;=in_marketplace_from,d_hz_recharge*G178,0)</f>
        <v/>
      </c>
      <c r="BO178" s="14">
        <f>F178*BN178*in_recharge_ticket*in_recharge_comm/12</f>
        <v/>
      </c>
      <c r="BP178" s="40">
        <f>BP177*(1-IF(B177&gt;=in_marketplace_from,d_hz_bills*G177,0))</f>
        <v/>
      </c>
      <c r="BQ178" s="40">
        <f>BQ177*d_rho_bills+BP178*IF(B178&gt;=in_marketplace_from,d_hz_bills*G178,0)</f>
        <v/>
      </c>
      <c r="BR178" s="14">
        <f>F178*BQ178*in_bills_ticket*in_bills_comm/12</f>
        <v/>
      </c>
      <c r="BS178" s="40">
        <f>BS177*(1-IF(B177&gt;=in_marketplace_from,d_hz_loan_gold*G177,0))</f>
        <v/>
      </c>
      <c r="BT178" s="14">
        <f>F178*BS178*IF(B178&gt;=in_marketplace_from,d_hz_loan_gold*G178,0)*in_loan_gold_ticket*in_loan_gold_comm</f>
        <v/>
      </c>
      <c r="BU178" s="40">
        <f>BU177*(1-IF(B177&gt;=in_marketplace_from,d_hz_loan_cd*G177,0))</f>
        <v/>
      </c>
      <c r="BV178" s="14">
        <f>F178*BU178*IF(B178&gt;=in_marketplace_from,d_hz_loan_cd*G178,0)*in_loan_cd_ticket*in_loan_cd_comm</f>
        <v/>
      </c>
      <c r="BW178" s="40">
        <f>BW177*(1-IF(B177&gt;=in_marketplace_from,d_hz_loan_vehicle*G177,0))</f>
        <v/>
      </c>
      <c r="BX178" s="14">
        <f>F178*BW178*IF(B178&gt;=in_marketplace_from,d_hz_loan_vehicle*G178,0)*in_loan_vehicle_ticket*in_loan_vehicle_comm</f>
        <v/>
      </c>
      <c r="BY178" s="40">
        <f>BY177*(1-IF(B177&gt;=in_marketplace_from,d_hz_loan_home*G177,0)*BZ177)</f>
        <v/>
      </c>
      <c r="BZ178" s="11">
        <f>MIN(in_approval_cap,in_loan_home_approval*INDEX('Age profile'!$O$2:$O$61,B178)*(1+in_approval_growth)^(D178-1))</f>
        <v/>
      </c>
      <c r="CA178" s="14">
        <f>F178*BY178*IF(B178&gt;=in_marketplace_from,d_hz_loan_home*G178,0)*BZ178*in_loan_home_ticket*in_loan_home_comm</f>
        <v/>
      </c>
      <c r="CB178" s="40">
        <f>CB177*(1-IF(B177&gt;=in_marketplace_from,d_hz_loan_lap*G177,0)*CC177)</f>
        <v/>
      </c>
      <c r="CC178" s="11">
        <f>MIN(in_approval_cap,in_loan_lap_approval*INDEX('Age profile'!$O$2:$O$61,B178)*(1+in_approval_growth)^(D178-1))</f>
        <v/>
      </c>
      <c r="CD178" s="14">
        <f>F178*CB178*IF(B178&gt;=in_marketplace_from,d_hz_loan_lap*G178,0)*CC178*in_loan_lap_ticket*in_loan_lap_comm</f>
        <v/>
      </c>
      <c r="CE178" s="14">
        <f>AA178+AB178+AC178+AD178+AG178+AJ178+AM178+AP178+AS178+AU178+AX178+BB178+BE178+BG178+BJ178+BL178+BO178+BR178+BT178+BV178+BX178+CA178+CD178</f>
        <v/>
      </c>
    </row>
    <row r="179">
      <c r="A179" s="39" t="n">
        <v>4</v>
      </c>
      <c r="B179" s="39" t="n">
        <v>1</v>
      </c>
      <c r="C179" s="39">
        <f>A179+B179-1</f>
        <v/>
      </c>
      <c r="D179" s="39">
        <f>INT((C179-1)/12)+1</f>
        <v/>
      </c>
      <c r="E179" s="44">
        <f>INDEX(Monthly!$B$2:$B$61,A179)</f>
        <v/>
      </c>
      <c r="F179" s="44">
        <f>E179*INDEX('Age profile'!$B$2:$B$61,B179)</f>
        <v/>
      </c>
      <c r="G179" s="45">
        <f>MIN(in_takeup_cap,INDEX('Age profile'!$N$2:$N$61,B179)*(1+in_takeup_growth)^(D179-1))</f>
        <v/>
      </c>
      <c r="H179" s="11">
        <f>MIN(in_approval_cap,in_approved_first*INDEX('Age profile'!$O$2:$O$61,B179)*(1+in_approval_growth)^(D179-1))</f>
        <v/>
      </c>
      <c r="I179" s="45">
        <f>G179*MIN(in_takeup_cap,INDEX('Age profile'!$O$2:$O$61,B179)*(1+in_approval_growth)^(D179-1))</f>
        <v/>
      </c>
      <c r="J179" s="40">
        <f>E179</f>
        <v/>
      </c>
      <c r="K179" s="40" t="n">
        <v>0</v>
      </c>
      <c r="L179" s="40">
        <f>IF(B179&gt;=in_marketplace_from,J179*d_hz*G179*in_eligible*H179,0)</f>
        <v/>
      </c>
      <c r="M179" s="40">
        <f>IF(B179&gt;=in_marketplace_from,K179*d_hz*G179*in_eligible*in_approved_repeat,0)</f>
        <v/>
      </c>
      <c r="N179" s="40">
        <f>L179+M179</f>
        <v/>
      </c>
      <c r="O179" s="46">
        <f>N179/F179</f>
        <v/>
      </c>
      <c r="P179" s="40">
        <f>F179-J179-K179</f>
        <v/>
      </c>
      <c r="Q179" s="40">
        <f>IF(B179&gt;=in_marketplace_from,(J179+K179)*d_hz*G179,0)</f>
        <v/>
      </c>
      <c r="R179" s="40">
        <f>SUMIFS(N179:N235,B179:B235,"&gt;="&amp;(B179-d_T),B179:B235,"&lt;="&amp;(B179-1))</f>
        <v/>
      </c>
      <c r="S179" s="46" t="n">
        <v>0</v>
      </c>
      <c r="T179" s="40">
        <f>F179*d_u*S179</f>
        <v/>
      </c>
      <c r="U179" s="9">
        <f>L179*in_ticket+M179*d_rep_ticket</f>
        <v/>
      </c>
      <c r="V179" s="9">
        <f>U179+T179*d_topup_amt</f>
        <v/>
      </c>
      <c r="W179" s="40">
        <f>N179+T179*d_topup_ratio</f>
        <v/>
      </c>
      <c r="X179" s="40">
        <f>SUMIFS(W179:W235,B179:B235,B179-in_dpd_lag)*d_cured</f>
        <v/>
      </c>
      <c r="Y179" s="40">
        <f>SUMIFS(W179:W235,B179:B235,B179-in_rec_lag)*d_recd</f>
        <v/>
      </c>
      <c r="Z179" s="40">
        <f>IF(AND(B179&gt;=in_marketplace_from,B179&lt;in_marketplace_from+in_card_months),in_card_share/in_card_months*F179*I179,IF(AND(B179&gt;=in_marketplace_from+in_card_months,B179&lt;in_marketplace_from+2*in_card_months),in_card_share*d_card_rem/in_card_months*F179*MIN(in_takeup_cap,(1+in_takeup_growth)^(D179-1))*MIN(in_takeup_cap,(1+in_approval_growth)^(D179-1)),0))</f>
        <v/>
      </c>
      <c r="AA179" s="14">
        <f>V179*in_fee*(1-in_taken_back)</f>
        <v/>
      </c>
      <c r="AB179" s="14">
        <f>SUMIFS(W179:W235,B179:B235,B179-in_dpd_lag)*d_dpd</f>
        <v/>
      </c>
      <c r="AC179" s="14">
        <f>SUMIFS(W179:W235,B179:B235,B179-in_rec_lag)*d_rec</f>
        <v/>
      </c>
      <c r="AD179" s="14">
        <f>Z179*in_card_fee</f>
        <v/>
      </c>
      <c r="AE179" s="40" t="n">
        <v>1</v>
      </c>
      <c r="AF179" s="46">
        <f>AE179*IF(B179&gt;=in_marketplace_from,d_hz_hlth_small*G179,0)</f>
        <v/>
      </c>
      <c r="AG179" s="14">
        <f>F179*AF179*in_hlth_small_ticket*in_hlth_small_comm*in_ins_partner_share+F179*in_hlth_small_ticket*in_hlth_small_renew_comm*in_ins_partner_share*(in_hlth_small_renew^1*SUMIFS(AF179:AF235,B179:B235,B179-12)+in_hlth_small_renew^2*SUMIFS(AF179:AF235,B179:B235,B179-24)+in_hlth_small_renew^3*SUMIFS(AF179:AF235,B179:B235,B179-36)+in_hlth_small_renew^4*SUMIFS(AF179:AF235,B179:B235,B179-48))</f>
        <v/>
      </c>
      <c r="AH179" s="40" t="n">
        <v>1</v>
      </c>
      <c r="AI179" s="46">
        <f>AH179*IF(B179&gt;=in_marketplace_from,d_hz_hlth_family*G179,0)</f>
        <v/>
      </c>
      <c r="AJ179" s="14">
        <f>F179*AI179*in_hlth_family_ticket*in_hlth_family_comm*in_ins_partner_share+F179*in_hlth_family_ticket*in_hlth_family_renew_comm*in_ins_partner_share*(in_hlth_family_renew^1*SUMIFS(AI179:AI235,B179:B235,B179-12)+in_hlth_family_renew^2*SUMIFS(AI179:AI235,B179:B235,B179-24)+in_hlth_family_renew^3*SUMIFS(AI179:AI235,B179:B235,B179-36)+in_hlth_family_renew^4*SUMIFS(AI179:AI235,B179:B235,B179-48))</f>
        <v/>
      </c>
      <c r="AK179" s="40" t="n">
        <v>1</v>
      </c>
      <c r="AL179" s="46">
        <f>AK179*IF(B179&gt;=in_marketplace_from,d_hz_life_term*G179,0)</f>
        <v/>
      </c>
      <c r="AM179" s="14">
        <f>F179*AL179*in_life_term_ticket*in_life_term_comm*in_ins_partner_share+F179*in_life_term_ticket*in_life_term_renew_comm*in_ins_partner_share*(in_life_term_renew^1*SUMIFS(AL179:AL235,B179:B235,B179-12)+in_life_term_renew^2*SUMIFS(AL179:AL235,B179:B235,B179-24)+in_life_term_renew^3*SUMIFS(AL179:AL235,B179:B235,B179-36)+in_life_term_renew^4*SUMIFS(AL179:AL235,B179:B235,B179-48))</f>
        <v/>
      </c>
      <c r="AN179" s="40" t="n">
        <v>1</v>
      </c>
      <c r="AO179" s="46">
        <f>AN179*IF(B179&gt;=in_marketplace_from,d_hz_accident*G179,0)</f>
        <v/>
      </c>
      <c r="AP179" s="14">
        <f>F179*AO179*in_accident_ticket*in_accident_comm*in_ins_partner_share+F179*in_accident_ticket*in_accident_renew_comm*in_ins_partner_share*(in_accident_renew^1*SUMIFS(AO179:AO235,B179:B235,B179-12)+in_accident_renew^2*SUMIFS(AO179:AO235,B179:B235,B179-24)+in_accident_renew^3*SUMIFS(AO179:AO235,B179:B235,B179-36)+in_accident_renew^4*SUMIFS(AO179:AO235,B179:B235,B179-48))</f>
        <v/>
      </c>
      <c r="AQ179" s="40" t="n">
        <v>1</v>
      </c>
      <c r="AR179" s="46">
        <f>AQ179*IF(B179&gt;=in_marketplace_from,d_hz_two_wheeler*G179,0)</f>
        <v/>
      </c>
      <c r="AS179" s="14">
        <f>F179*AR179*in_two_wheeler_ticket*in_two_wheeler_comm*in_ins_partner_share+F179*in_two_wheeler_ticket*in_two_wheeler_comm*in_ins_partner_share*(in_two_wheeler_renew^1*SUMIFS(AR179:AR235,B179:B235,B179-12)+in_two_wheeler_renew^2*SUMIFS(AR179:AR235,B179:B235,B179-24)+in_two_wheeler_renew^3*SUMIFS(AR179:AR235,B179:B235,B179-36)+in_two_wheeler_renew^4*SUMIFS(AR179:AR235,B179:B235,B179-48))</f>
        <v/>
      </c>
      <c r="AT179" s="40" t="n">
        <v>1</v>
      </c>
      <c r="AU179" s="14">
        <f>F179*AT179*IF(B179&gt;=in_marketplace_from,d_hz_device*G179,0)*in_device_ticket*in_device_comm*in_ins_partner_share</f>
        <v/>
      </c>
      <c r="AV179" s="40" t="n">
        <v>1</v>
      </c>
      <c r="AW179" s="46">
        <f>AV179*IF(B179&gt;=in_marketplace_from,d_hz_shop*G179,0)</f>
        <v/>
      </c>
      <c r="AX179" s="14">
        <f>F179*AW179*in_shop_ticket*in_shop_comm*in_ins_partner_share+F179*in_shop_ticket*in_shop_renew_comm*in_ins_partner_share*(in_shop_renew^1*SUMIFS(AW179:AW235,B179:B235,B179-12)+in_shop_renew^2*SUMIFS(AW179:AW235,B179:B235,B179-24)+in_shop_renew^3*SUMIFS(AW179:AW235,B179:B235,B179-36)+in_shop_renew^4*SUMIFS(AW179:AW235,B179:B235,B179-48))</f>
        <v/>
      </c>
      <c r="AY179" s="40" t="n">
        <v>1</v>
      </c>
      <c r="AZ179" s="40">
        <f>AY179*IF(B179&gt;=in_marketplace_from,d_hz_sip*G179,0)</f>
        <v/>
      </c>
      <c r="BA179" s="40" t="n">
        <v>0</v>
      </c>
      <c r="BB179" s="14">
        <f>F179*in_sip_ticket*(BA179+0.5*AZ179)*in_sip_comm/12</f>
        <v/>
      </c>
      <c r="BC179" s="40" t="n">
        <v>1</v>
      </c>
      <c r="BD179" s="46">
        <f>BC179*IF(B179&gt;=in_marketplace_from,d_hz_choti*G179,0)</f>
        <v/>
      </c>
      <c r="BE179" s="14">
        <f>F179*SUMIFS(BD179:BD235,B179:B235,B179-in_choti_months)*in_choti_renew*in_choti_ticket</f>
        <v/>
      </c>
      <c r="BF179" s="40" t="n">
        <v>1</v>
      </c>
      <c r="BG179" s="14">
        <f>F179*BF179*IF(B179&gt;=in_marketplace_from,d_hz_nps*G179,0)*in_nps_ticket*in_nps_comm</f>
        <v/>
      </c>
      <c r="BH179" s="40" t="n">
        <v>1</v>
      </c>
      <c r="BI179" s="40">
        <f>BH179*IF(B179&gt;=in_marketplace_from,d_hz_gold*G179,0)</f>
        <v/>
      </c>
      <c r="BJ179" s="14">
        <f>F179*BI179*in_gold_ticket*in_gold_comm</f>
        <v/>
      </c>
      <c r="BK179" s="40" t="n">
        <v>1</v>
      </c>
      <c r="BL179" s="14">
        <f>F179*BK179*IF(B179&gt;=in_marketplace_from,d_hz_fd*G179,0)*in_fd_ticket*in_fd_comm</f>
        <v/>
      </c>
      <c r="BM179" s="40" t="n">
        <v>1</v>
      </c>
      <c r="BN179" s="40">
        <f>BM179*IF(B179&gt;=in_marketplace_from,d_hz_recharge*G179,0)</f>
        <v/>
      </c>
      <c r="BO179" s="14">
        <f>F179*BN179*in_recharge_ticket*in_recharge_comm/12</f>
        <v/>
      </c>
      <c r="BP179" s="40" t="n">
        <v>1</v>
      </c>
      <c r="BQ179" s="40">
        <f>BP179*IF(B179&gt;=in_marketplace_from,d_hz_bills*G179,0)</f>
        <v/>
      </c>
      <c r="BR179" s="14">
        <f>F179*BQ179*in_bills_ticket*in_bills_comm/12</f>
        <v/>
      </c>
      <c r="BS179" s="40" t="n">
        <v>1</v>
      </c>
      <c r="BT179" s="14">
        <f>F179*BS179*IF(B179&gt;=in_marketplace_from,d_hz_loan_gold*G179,0)*in_loan_gold_ticket*in_loan_gold_comm</f>
        <v/>
      </c>
      <c r="BU179" s="40" t="n">
        <v>1</v>
      </c>
      <c r="BV179" s="14">
        <f>F179*BU179*IF(B179&gt;=in_marketplace_from,d_hz_loan_cd*G179,0)*in_loan_cd_ticket*in_loan_cd_comm</f>
        <v/>
      </c>
      <c r="BW179" s="40" t="n">
        <v>1</v>
      </c>
      <c r="BX179" s="14">
        <f>F179*BW179*IF(B179&gt;=in_marketplace_from,d_hz_loan_vehicle*G179,0)*in_loan_vehicle_ticket*in_loan_vehicle_comm</f>
        <v/>
      </c>
      <c r="BY179" s="40" t="n">
        <v>1</v>
      </c>
      <c r="BZ179" s="11">
        <f>MIN(in_approval_cap,in_loan_home_approval*INDEX('Age profile'!$O$2:$O$61,B179)*(1+in_approval_growth)^(D179-1))</f>
        <v/>
      </c>
      <c r="CA179" s="14">
        <f>F179*BY179*IF(B179&gt;=in_marketplace_from,d_hz_loan_home*G179,0)*BZ179*in_loan_home_ticket*in_loan_home_comm</f>
        <v/>
      </c>
      <c r="CB179" s="40" t="n">
        <v>1</v>
      </c>
      <c r="CC179" s="11">
        <f>MIN(in_approval_cap,in_loan_lap_approval*INDEX('Age profile'!$O$2:$O$61,B179)*(1+in_approval_growth)^(D179-1))</f>
        <v/>
      </c>
      <c r="CD179" s="14">
        <f>F179*CB179*IF(B179&gt;=in_marketplace_from,d_hz_loan_lap*G179,0)*CC179*in_loan_lap_ticket*in_loan_lap_comm</f>
        <v/>
      </c>
      <c r="CE179" s="14">
        <f>AA179+AB179+AC179+AD179+AG179+AJ179+AM179+AP179+AS179+AU179+AX179+BB179+BE179+BG179+BJ179+BL179+BO179+BR179+BT179+BV179+BX179+CA179+CD179</f>
        <v/>
      </c>
    </row>
    <row r="180">
      <c r="A180" s="39" t="n">
        <v>4</v>
      </c>
      <c r="B180" s="39" t="n">
        <v>2</v>
      </c>
      <c r="C180" s="39">
        <f>A180+B180-1</f>
        <v/>
      </c>
      <c r="D180" s="39">
        <f>INT((C180-1)/12)+1</f>
        <v/>
      </c>
      <c r="E180" s="44">
        <f>INDEX(Monthly!$B$2:$B$61,A180)</f>
        <v/>
      </c>
      <c r="F180" s="44">
        <f>E180*INDEX('Age profile'!$B$2:$B$61,B180)</f>
        <v/>
      </c>
      <c r="G180" s="45">
        <f>MIN(in_takeup_cap,INDEX('Age profile'!$N$2:$N$61,B180)*(1+in_takeup_growth)^(D180-1))</f>
        <v/>
      </c>
      <c r="H180" s="11">
        <f>MIN(in_approval_cap,in_approved_first*INDEX('Age profile'!$O$2:$O$61,B180)*(1+in_approval_growth)^(D180-1))</f>
        <v/>
      </c>
      <c r="I180" s="45">
        <f>G180*MIN(in_takeup_cap,INDEX('Age profile'!$O$2:$O$61,B180)*(1+in_approval_growth)^(D180-1))</f>
        <v/>
      </c>
      <c r="J180" s="40">
        <f>(J179-L179)*F180/F179</f>
        <v/>
      </c>
      <c r="K180" s="40">
        <f>(K179-M179)*F180/F179+SUMIFS(O179:O179,B179:B179,B180-1-d_T)*F180</f>
        <v/>
      </c>
      <c r="L180" s="40">
        <f>IF(B180&gt;=in_marketplace_from,J180*d_hz*G180*in_eligible*H180,0)</f>
        <v/>
      </c>
      <c r="M180" s="40">
        <f>IF(B180&gt;=in_marketplace_from,K180*d_hz*G180*in_eligible*in_approved_repeat,0)</f>
        <v/>
      </c>
      <c r="N180" s="40">
        <f>L180+M180</f>
        <v/>
      </c>
      <c r="O180" s="46">
        <f>N180/F180</f>
        <v/>
      </c>
      <c r="P180" s="40">
        <f>F180-J180-K180</f>
        <v/>
      </c>
      <c r="Q180" s="40">
        <f>IF(B180&gt;=in_marketplace_from,(J180+K180)*d_hz*G180,0)</f>
        <v/>
      </c>
      <c r="R180" s="40">
        <f>SUMIFS(N179:N235,B179:B235,"&gt;="&amp;(B180-d_T),B179:B235,"&lt;="&amp;(B180-1))</f>
        <v/>
      </c>
      <c r="S180" s="46">
        <f>(1-d_u)*S179+IF(d_T&gt;in_topup_lag,SUMIFS(O179:O235,B179:B235,B180-in_topup_lag)-d_udrop*SUMIFS(O179:O235,B179:B235,B180-d_T),0)</f>
        <v/>
      </c>
      <c r="T180" s="40">
        <f>F180*d_u*S180</f>
        <v/>
      </c>
      <c r="U180" s="9">
        <f>L180*in_ticket+M180*d_rep_ticket</f>
        <v/>
      </c>
      <c r="V180" s="9">
        <f>U180+T180*d_topup_amt</f>
        <v/>
      </c>
      <c r="W180" s="40">
        <f>N180+T180*d_topup_ratio</f>
        <v/>
      </c>
      <c r="X180" s="40">
        <f>SUMIFS(W179:W235,B179:B235,B180-in_dpd_lag)*d_cured</f>
        <v/>
      </c>
      <c r="Y180" s="40">
        <f>SUMIFS(W179:W235,B179:B235,B180-in_rec_lag)*d_recd</f>
        <v/>
      </c>
      <c r="Z180" s="40">
        <f>IF(AND(B180&gt;=in_marketplace_from,B180&lt;in_marketplace_from+in_card_months),in_card_share/in_card_months*F180*I180,IF(AND(B180&gt;=in_marketplace_from+in_card_months,B180&lt;in_marketplace_from+2*in_card_months),in_card_share*d_card_rem/in_card_months*F180*MIN(in_takeup_cap,(1+in_takeup_growth)^(D180-1))*MIN(in_takeup_cap,(1+in_approval_growth)^(D180-1)),0))</f>
        <v/>
      </c>
      <c r="AA180" s="14">
        <f>V180*in_fee*(1-in_taken_back)</f>
        <v/>
      </c>
      <c r="AB180" s="14">
        <f>SUMIFS(W179:W235,B179:B235,B180-in_dpd_lag)*d_dpd</f>
        <v/>
      </c>
      <c r="AC180" s="14">
        <f>SUMIFS(W179:W235,B179:B235,B180-in_rec_lag)*d_rec</f>
        <v/>
      </c>
      <c r="AD180" s="14">
        <f>Z180*in_card_fee</f>
        <v/>
      </c>
      <c r="AE180" s="40">
        <f>AE179*(1-IF(B179&gt;=in_marketplace_from,d_hz_hlth_small*G179,0))</f>
        <v/>
      </c>
      <c r="AF180" s="46">
        <f>AE180*IF(B180&gt;=in_marketplace_from,d_hz_hlth_small*G180,0)</f>
        <v/>
      </c>
      <c r="AG180" s="14">
        <f>F180*AF180*in_hlth_small_ticket*in_hlth_small_comm*in_ins_partner_share+F180*in_hlth_small_ticket*in_hlth_small_renew_comm*in_ins_partner_share*(in_hlth_small_renew^1*SUMIFS(AF179:AF235,B179:B235,B180-12)+in_hlth_small_renew^2*SUMIFS(AF179:AF235,B179:B235,B180-24)+in_hlth_small_renew^3*SUMIFS(AF179:AF235,B179:B235,B180-36)+in_hlth_small_renew^4*SUMIFS(AF179:AF235,B179:B235,B180-48))</f>
        <v/>
      </c>
      <c r="AH180" s="40">
        <f>AH179*(1-IF(B179&gt;=in_marketplace_from,d_hz_hlth_family*G179,0))</f>
        <v/>
      </c>
      <c r="AI180" s="46">
        <f>AH180*IF(B180&gt;=in_marketplace_from,d_hz_hlth_family*G180,0)</f>
        <v/>
      </c>
      <c r="AJ180" s="14">
        <f>F180*AI180*in_hlth_family_ticket*in_hlth_family_comm*in_ins_partner_share+F180*in_hlth_family_ticket*in_hlth_family_renew_comm*in_ins_partner_share*(in_hlth_family_renew^1*SUMIFS(AI179:AI235,B179:B235,B180-12)+in_hlth_family_renew^2*SUMIFS(AI179:AI235,B179:B235,B180-24)+in_hlth_family_renew^3*SUMIFS(AI179:AI235,B179:B235,B180-36)+in_hlth_family_renew^4*SUMIFS(AI179:AI235,B179:B235,B180-48))</f>
        <v/>
      </c>
      <c r="AK180" s="40">
        <f>AK179*(1-IF(B179&gt;=in_marketplace_from,d_hz_life_term*G179,0))</f>
        <v/>
      </c>
      <c r="AL180" s="46">
        <f>AK180*IF(B180&gt;=in_marketplace_from,d_hz_life_term*G180,0)</f>
        <v/>
      </c>
      <c r="AM180" s="14">
        <f>F180*AL180*in_life_term_ticket*in_life_term_comm*in_ins_partner_share+F180*in_life_term_ticket*in_life_term_renew_comm*in_ins_partner_share*(in_life_term_renew^1*SUMIFS(AL179:AL235,B179:B235,B180-12)+in_life_term_renew^2*SUMIFS(AL179:AL235,B179:B235,B180-24)+in_life_term_renew^3*SUMIFS(AL179:AL235,B179:B235,B180-36)+in_life_term_renew^4*SUMIFS(AL179:AL235,B179:B235,B180-48))</f>
        <v/>
      </c>
      <c r="AN180" s="40">
        <f>AN179*(1-IF(B179&gt;=in_marketplace_from,d_hz_accident*G179,0))</f>
        <v/>
      </c>
      <c r="AO180" s="46">
        <f>AN180*IF(B180&gt;=in_marketplace_from,d_hz_accident*G180,0)</f>
        <v/>
      </c>
      <c r="AP180" s="14">
        <f>F180*AO180*in_accident_ticket*in_accident_comm*in_ins_partner_share+F180*in_accident_ticket*in_accident_renew_comm*in_ins_partner_share*(in_accident_renew^1*SUMIFS(AO179:AO235,B179:B235,B180-12)+in_accident_renew^2*SUMIFS(AO179:AO235,B179:B235,B180-24)+in_accident_renew^3*SUMIFS(AO179:AO235,B179:B235,B180-36)+in_accident_renew^4*SUMIFS(AO179:AO235,B179:B235,B180-48))</f>
        <v/>
      </c>
      <c r="AQ180" s="40">
        <f>AQ179*(1-IF(B179&gt;=in_marketplace_from,d_hz_two_wheeler*G179,0))</f>
        <v/>
      </c>
      <c r="AR180" s="46">
        <f>AQ180*IF(B180&gt;=in_marketplace_from,d_hz_two_wheeler*G180,0)</f>
        <v/>
      </c>
      <c r="AS180" s="14">
        <f>F180*AR180*in_two_wheeler_ticket*in_two_wheeler_comm*in_ins_partner_share+F180*in_two_wheeler_ticket*in_two_wheeler_comm*in_ins_partner_share*(in_two_wheeler_renew^1*SUMIFS(AR179:AR235,B179:B235,B180-12)+in_two_wheeler_renew^2*SUMIFS(AR179:AR235,B179:B235,B180-24)+in_two_wheeler_renew^3*SUMIFS(AR179:AR235,B179:B235,B180-36)+in_two_wheeler_renew^4*SUMIFS(AR179:AR235,B179:B235,B180-48))</f>
        <v/>
      </c>
      <c r="AT180" s="40">
        <f>AT179*(1-IF(B179&gt;=in_marketplace_from,d_hz_device*G179,0))</f>
        <v/>
      </c>
      <c r="AU180" s="14">
        <f>F180*AT180*IF(B180&gt;=in_marketplace_from,d_hz_device*G180,0)*in_device_ticket*in_device_comm*in_ins_partner_share</f>
        <v/>
      </c>
      <c r="AV180" s="40">
        <f>AV179*(1-IF(B179&gt;=in_marketplace_from,d_hz_shop*G179,0))</f>
        <v/>
      </c>
      <c r="AW180" s="46">
        <f>AV180*IF(B180&gt;=in_marketplace_from,d_hz_shop*G180,0)</f>
        <v/>
      </c>
      <c r="AX180" s="14">
        <f>F180*AW180*in_shop_ticket*in_shop_comm*in_ins_partner_share+F180*in_shop_ticket*in_shop_renew_comm*in_ins_partner_share*(in_shop_renew^1*SUMIFS(AW179:AW235,B179:B235,B180-12)+in_shop_renew^2*SUMIFS(AW179:AW235,B179:B235,B180-24)+in_shop_renew^3*SUMIFS(AW179:AW235,B179:B235,B180-36)+in_shop_renew^4*SUMIFS(AW179:AW235,B179:B235,B180-48))</f>
        <v/>
      </c>
      <c r="AY180" s="40">
        <f>AY179*(1-IF(B179&gt;=in_marketplace_from,d_hz_sip*G179,0))</f>
        <v/>
      </c>
      <c r="AZ180" s="40">
        <f>AZ179*d_rho_sip+AY180*IF(B180&gt;=in_marketplace_from,d_hz_sip*G180,0)</f>
        <v/>
      </c>
      <c r="BA180" s="40">
        <f>d_rho_sip*(BA179+AZ179)</f>
        <v/>
      </c>
      <c r="BB180" s="14">
        <f>F180*in_sip_ticket*(BA180+0.5*AZ180)*in_sip_comm/12</f>
        <v/>
      </c>
      <c r="BC180" s="40">
        <f>BC179*(1-IF(B179&gt;=in_marketplace_from,d_hz_choti*G179,0))</f>
        <v/>
      </c>
      <c r="BD180" s="46">
        <f>BC180*IF(B180&gt;=in_marketplace_from,d_hz_choti*G180,0)</f>
        <v/>
      </c>
      <c r="BE180" s="14">
        <f>F180*SUMIFS(BD179:BD235,B179:B235,B180-in_choti_months)*in_choti_renew*in_choti_ticket</f>
        <v/>
      </c>
      <c r="BF180" s="40">
        <f>BF179*(1-IF(B179&gt;=in_marketplace_from,d_hz_nps*G179,0))</f>
        <v/>
      </c>
      <c r="BG180" s="14">
        <f>F180*BF180*IF(B180&gt;=in_marketplace_from,d_hz_nps*G180,0)*in_nps_ticket*in_nps_comm</f>
        <v/>
      </c>
      <c r="BH180" s="40">
        <f>BH179*(1-IF(B179&gt;=in_marketplace_from,d_hz_gold*G179,0))</f>
        <v/>
      </c>
      <c r="BI180" s="40">
        <f>BI179*d_rho_gold+BH180*IF(B180&gt;=in_marketplace_from,d_hz_gold*G180,0)</f>
        <v/>
      </c>
      <c r="BJ180" s="14">
        <f>F180*BI180*in_gold_ticket*in_gold_comm</f>
        <v/>
      </c>
      <c r="BK180" s="40">
        <f>BK179*(1-IF(B179&gt;=in_marketplace_from,d_hz_fd*G179,0))</f>
        <v/>
      </c>
      <c r="BL180" s="14">
        <f>F180*BK180*IF(B180&gt;=in_marketplace_from,d_hz_fd*G180,0)*in_fd_ticket*in_fd_comm</f>
        <v/>
      </c>
      <c r="BM180" s="40">
        <f>BM179*(1-IF(B179&gt;=in_marketplace_from,d_hz_recharge*G179,0))</f>
        <v/>
      </c>
      <c r="BN180" s="40">
        <f>BN179*d_rho_recharge+BM180*IF(B180&gt;=in_marketplace_from,d_hz_recharge*G180,0)</f>
        <v/>
      </c>
      <c r="BO180" s="14">
        <f>F180*BN180*in_recharge_ticket*in_recharge_comm/12</f>
        <v/>
      </c>
      <c r="BP180" s="40">
        <f>BP179*(1-IF(B179&gt;=in_marketplace_from,d_hz_bills*G179,0))</f>
        <v/>
      </c>
      <c r="BQ180" s="40">
        <f>BQ179*d_rho_bills+BP180*IF(B180&gt;=in_marketplace_from,d_hz_bills*G180,0)</f>
        <v/>
      </c>
      <c r="BR180" s="14">
        <f>F180*BQ180*in_bills_ticket*in_bills_comm/12</f>
        <v/>
      </c>
      <c r="BS180" s="40">
        <f>BS179*(1-IF(B179&gt;=in_marketplace_from,d_hz_loan_gold*G179,0))</f>
        <v/>
      </c>
      <c r="BT180" s="14">
        <f>F180*BS180*IF(B180&gt;=in_marketplace_from,d_hz_loan_gold*G180,0)*in_loan_gold_ticket*in_loan_gold_comm</f>
        <v/>
      </c>
      <c r="BU180" s="40">
        <f>BU179*(1-IF(B179&gt;=in_marketplace_from,d_hz_loan_cd*G179,0))</f>
        <v/>
      </c>
      <c r="BV180" s="14">
        <f>F180*BU180*IF(B180&gt;=in_marketplace_from,d_hz_loan_cd*G180,0)*in_loan_cd_ticket*in_loan_cd_comm</f>
        <v/>
      </c>
      <c r="BW180" s="40">
        <f>BW179*(1-IF(B179&gt;=in_marketplace_from,d_hz_loan_vehicle*G179,0))</f>
        <v/>
      </c>
      <c r="BX180" s="14">
        <f>F180*BW180*IF(B180&gt;=in_marketplace_from,d_hz_loan_vehicle*G180,0)*in_loan_vehicle_ticket*in_loan_vehicle_comm</f>
        <v/>
      </c>
      <c r="BY180" s="40">
        <f>BY179*(1-IF(B179&gt;=in_marketplace_from,d_hz_loan_home*G179,0)*BZ179)</f>
        <v/>
      </c>
      <c r="BZ180" s="11">
        <f>MIN(in_approval_cap,in_loan_home_approval*INDEX('Age profile'!$O$2:$O$61,B180)*(1+in_approval_growth)^(D180-1))</f>
        <v/>
      </c>
      <c r="CA180" s="14">
        <f>F180*BY180*IF(B180&gt;=in_marketplace_from,d_hz_loan_home*G180,0)*BZ180*in_loan_home_ticket*in_loan_home_comm</f>
        <v/>
      </c>
      <c r="CB180" s="40">
        <f>CB179*(1-IF(B179&gt;=in_marketplace_from,d_hz_loan_lap*G179,0)*CC179)</f>
        <v/>
      </c>
      <c r="CC180" s="11">
        <f>MIN(in_approval_cap,in_loan_lap_approval*INDEX('Age profile'!$O$2:$O$61,B180)*(1+in_approval_growth)^(D180-1))</f>
        <v/>
      </c>
      <c r="CD180" s="14">
        <f>F180*CB180*IF(B180&gt;=in_marketplace_from,d_hz_loan_lap*G180,0)*CC180*in_loan_lap_ticket*in_loan_lap_comm</f>
        <v/>
      </c>
      <c r="CE180" s="14">
        <f>AA180+AB180+AC180+AD180+AG180+AJ180+AM180+AP180+AS180+AU180+AX180+BB180+BE180+BG180+BJ180+BL180+BO180+BR180+BT180+BV180+BX180+CA180+CD180</f>
        <v/>
      </c>
    </row>
    <row r="181">
      <c r="A181" s="39" t="n">
        <v>4</v>
      </c>
      <c r="B181" s="39" t="n">
        <v>3</v>
      </c>
      <c r="C181" s="39">
        <f>A181+B181-1</f>
        <v/>
      </c>
      <c r="D181" s="39">
        <f>INT((C181-1)/12)+1</f>
        <v/>
      </c>
      <c r="E181" s="44">
        <f>INDEX(Monthly!$B$2:$B$61,A181)</f>
        <v/>
      </c>
      <c r="F181" s="44">
        <f>E181*INDEX('Age profile'!$B$2:$B$61,B181)</f>
        <v/>
      </c>
      <c r="G181" s="45">
        <f>MIN(in_takeup_cap,INDEX('Age profile'!$N$2:$N$61,B181)*(1+in_takeup_growth)^(D181-1))</f>
        <v/>
      </c>
      <c r="H181" s="11">
        <f>MIN(in_approval_cap,in_approved_first*INDEX('Age profile'!$O$2:$O$61,B181)*(1+in_approval_growth)^(D181-1))</f>
        <v/>
      </c>
      <c r="I181" s="45">
        <f>G181*MIN(in_takeup_cap,INDEX('Age profile'!$O$2:$O$61,B181)*(1+in_approval_growth)^(D181-1))</f>
        <v/>
      </c>
      <c r="J181" s="40">
        <f>(J180-L180)*F181/F180</f>
        <v/>
      </c>
      <c r="K181" s="40">
        <f>(K180-M180)*F181/F180+SUMIFS(O179:O180,B179:B180,B181-1-d_T)*F181</f>
        <v/>
      </c>
      <c r="L181" s="40">
        <f>IF(B181&gt;=in_marketplace_from,J181*d_hz*G181*in_eligible*H181,0)</f>
        <v/>
      </c>
      <c r="M181" s="40">
        <f>IF(B181&gt;=in_marketplace_from,K181*d_hz*G181*in_eligible*in_approved_repeat,0)</f>
        <v/>
      </c>
      <c r="N181" s="40">
        <f>L181+M181</f>
        <v/>
      </c>
      <c r="O181" s="46">
        <f>N181/F181</f>
        <v/>
      </c>
      <c r="P181" s="40">
        <f>F181-J181-K181</f>
        <v/>
      </c>
      <c r="Q181" s="40">
        <f>IF(B181&gt;=in_marketplace_from,(J181+K181)*d_hz*G181,0)</f>
        <v/>
      </c>
      <c r="R181" s="40">
        <f>SUMIFS(N179:N235,B179:B235,"&gt;="&amp;(B181-d_T),B179:B235,"&lt;="&amp;(B181-1))</f>
        <v/>
      </c>
      <c r="S181" s="46">
        <f>(1-d_u)*S180+IF(d_T&gt;in_topup_lag,SUMIFS(O179:O235,B179:B235,B181-in_topup_lag)-d_udrop*SUMIFS(O179:O235,B179:B235,B181-d_T),0)</f>
        <v/>
      </c>
      <c r="T181" s="40">
        <f>F181*d_u*S181</f>
        <v/>
      </c>
      <c r="U181" s="9">
        <f>L181*in_ticket+M181*d_rep_ticket</f>
        <v/>
      </c>
      <c r="V181" s="9">
        <f>U181+T181*d_topup_amt</f>
        <v/>
      </c>
      <c r="W181" s="40">
        <f>N181+T181*d_topup_ratio</f>
        <v/>
      </c>
      <c r="X181" s="40">
        <f>SUMIFS(W179:W235,B179:B235,B181-in_dpd_lag)*d_cured</f>
        <v/>
      </c>
      <c r="Y181" s="40">
        <f>SUMIFS(W179:W235,B179:B235,B181-in_rec_lag)*d_recd</f>
        <v/>
      </c>
      <c r="Z181" s="40">
        <f>IF(AND(B181&gt;=in_marketplace_from,B181&lt;in_marketplace_from+in_card_months),in_card_share/in_card_months*F181*I181,IF(AND(B181&gt;=in_marketplace_from+in_card_months,B181&lt;in_marketplace_from+2*in_card_months),in_card_share*d_card_rem/in_card_months*F181*MIN(in_takeup_cap,(1+in_takeup_growth)^(D181-1))*MIN(in_takeup_cap,(1+in_approval_growth)^(D181-1)),0))</f>
        <v/>
      </c>
      <c r="AA181" s="14">
        <f>V181*in_fee*(1-in_taken_back)</f>
        <v/>
      </c>
      <c r="AB181" s="14">
        <f>SUMIFS(W179:W235,B179:B235,B181-in_dpd_lag)*d_dpd</f>
        <v/>
      </c>
      <c r="AC181" s="14">
        <f>SUMIFS(W179:W235,B179:B235,B181-in_rec_lag)*d_rec</f>
        <v/>
      </c>
      <c r="AD181" s="14">
        <f>Z181*in_card_fee</f>
        <v/>
      </c>
      <c r="AE181" s="40">
        <f>AE180*(1-IF(B180&gt;=in_marketplace_from,d_hz_hlth_small*G180,0))</f>
        <v/>
      </c>
      <c r="AF181" s="46">
        <f>AE181*IF(B181&gt;=in_marketplace_from,d_hz_hlth_small*G181,0)</f>
        <v/>
      </c>
      <c r="AG181" s="14">
        <f>F181*AF181*in_hlth_small_ticket*in_hlth_small_comm*in_ins_partner_share+F181*in_hlth_small_ticket*in_hlth_small_renew_comm*in_ins_partner_share*(in_hlth_small_renew^1*SUMIFS(AF179:AF235,B179:B235,B181-12)+in_hlth_small_renew^2*SUMIFS(AF179:AF235,B179:B235,B181-24)+in_hlth_small_renew^3*SUMIFS(AF179:AF235,B179:B235,B181-36)+in_hlth_small_renew^4*SUMIFS(AF179:AF235,B179:B235,B181-48))</f>
        <v/>
      </c>
      <c r="AH181" s="40">
        <f>AH180*(1-IF(B180&gt;=in_marketplace_from,d_hz_hlth_family*G180,0))</f>
        <v/>
      </c>
      <c r="AI181" s="46">
        <f>AH181*IF(B181&gt;=in_marketplace_from,d_hz_hlth_family*G181,0)</f>
        <v/>
      </c>
      <c r="AJ181" s="14">
        <f>F181*AI181*in_hlth_family_ticket*in_hlth_family_comm*in_ins_partner_share+F181*in_hlth_family_ticket*in_hlth_family_renew_comm*in_ins_partner_share*(in_hlth_family_renew^1*SUMIFS(AI179:AI235,B179:B235,B181-12)+in_hlth_family_renew^2*SUMIFS(AI179:AI235,B179:B235,B181-24)+in_hlth_family_renew^3*SUMIFS(AI179:AI235,B179:B235,B181-36)+in_hlth_family_renew^4*SUMIFS(AI179:AI235,B179:B235,B181-48))</f>
        <v/>
      </c>
      <c r="AK181" s="40">
        <f>AK180*(1-IF(B180&gt;=in_marketplace_from,d_hz_life_term*G180,0))</f>
        <v/>
      </c>
      <c r="AL181" s="46">
        <f>AK181*IF(B181&gt;=in_marketplace_from,d_hz_life_term*G181,0)</f>
        <v/>
      </c>
      <c r="AM181" s="14">
        <f>F181*AL181*in_life_term_ticket*in_life_term_comm*in_ins_partner_share+F181*in_life_term_ticket*in_life_term_renew_comm*in_ins_partner_share*(in_life_term_renew^1*SUMIFS(AL179:AL235,B179:B235,B181-12)+in_life_term_renew^2*SUMIFS(AL179:AL235,B179:B235,B181-24)+in_life_term_renew^3*SUMIFS(AL179:AL235,B179:B235,B181-36)+in_life_term_renew^4*SUMIFS(AL179:AL235,B179:B235,B181-48))</f>
        <v/>
      </c>
      <c r="AN181" s="40">
        <f>AN180*(1-IF(B180&gt;=in_marketplace_from,d_hz_accident*G180,0))</f>
        <v/>
      </c>
      <c r="AO181" s="46">
        <f>AN181*IF(B181&gt;=in_marketplace_from,d_hz_accident*G181,0)</f>
        <v/>
      </c>
      <c r="AP181" s="14">
        <f>F181*AO181*in_accident_ticket*in_accident_comm*in_ins_partner_share+F181*in_accident_ticket*in_accident_renew_comm*in_ins_partner_share*(in_accident_renew^1*SUMIFS(AO179:AO235,B179:B235,B181-12)+in_accident_renew^2*SUMIFS(AO179:AO235,B179:B235,B181-24)+in_accident_renew^3*SUMIFS(AO179:AO235,B179:B235,B181-36)+in_accident_renew^4*SUMIFS(AO179:AO235,B179:B235,B181-48))</f>
        <v/>
      </c>
      <c r="AQ181" s="40">
        <f>AQ180*(1-IF(B180&gt;=in_marketplace_from,d_hz_two_wheeler*G180,0))</f>
        <v/>
      </c>
      <c r="AR181" s="46">
        <f>AQ181*IF(B181&gt;=in_marketplace_from,d_hz_two_wheeler*G181,0)</f>
        <v/>
      </c>
      <c r="AS181" s="14">
        <f>F181*AR181*in_two_wheeler_ticket*in_two_wheeler_comm*in_ins_partner_share+F181*in_two_wheeler_ticket*in_two_wheeler_comm*in_ins_partner_share*(in_two_wheeler_renew^1*SUMIFS(AR179:AR235,B179:B235,B181-12)+in_two_wheeler_renew^2*SUMIFS(AR179:AR235,B179:B235,B181-24)+in_two_wheeler_renew^3*SUMIFS(AR179:AR235,B179:B235,B181-36)+in_two_wheeler_renew^4*SUMIFS(AR179:AR235,B179:B235,B181-48))</f>
        <v/>
      </c>
      <c r="AT181" s="40">
        <f>AT180*(1-IF(B180&gt;=in_marketplace_from,d_hz_device*G180,0))</f>
        <v/>
      </c>
      <c r="AU181" s="14">
        <f>F181*AT181*IF(B181&gt;=in_marketplace_from,d_hz_device*G181,0)*in_device_ticket*in_device_comm*in_ins_partner_share</f>
        <v/>
      </c>
      <c r="AV181" s="40">
        <f>AV180*(1-IF(B180&gt;=in_marketplace_from,d_hz_shop*G180,0))</f>
        <v/>
      </c>
      <c r="AW181" s="46">
        <f>AV181*IF(B181&gt;=in_marketplace_from,d_hz_shop*G181,0)</f>
        <v/>
      </c>
      <c r="AX181" s="14">
        <f>F181*AW181*in_shop_ticket*in_shop_comm*in_ins_partner_share+F181*in_shop_ticket*in_shop_renew_comm*in_ins_partner_share*(in_shop_renew^1*SUMIFS(AW179:AW235,B179:B235,B181-12)+in_shop_renew^2*SUMIFS(AW179:AW235,B179:B235,B181-24)+in_shop_renew^3*SUMIFS(AW179:AW235,B179:B235,B181-36)+in_shop_renew^4*SUMIFS(AW179:AW235,B179:B235,B181-48))</f>
        <v/>
      </c>
      <c r="AY181" s="40">
        <f>AY180*(1-IF(B180&gt;=in_marketplace_from,d_hz_sip*G180,0))</f>
        <v/>
      </c>
      <c r="AZ181" s="40">
        <f>AZ180*d_rho_sip+AY181*IF(B181&gt;=in_marketplace_from,d_hz_sip*G181,0)</f>
        <v/>
      </c>
      <c r="BA181" s="40">
        <f>d_rho_sip*(BA180+AZ180)</f>
        <v/>
      </c>
      <c r="BB181" s="14">
        <f>F181*in_sip_ticket*(BA181+0.5*AZ181)*in_sip_comm/12</f>
        <v/>
      </c>
      <c r="BC181" s="40">
        <f>BC180*(1-IF(B180&gt;=in_marketplace_from,d_hz_choti*G180,0))</f>
        <v/>
      </c>
      <c r="BD181" s="46">
        <f>BC181*IF(B181&gt;=in_marketplace_from,d_hz_choti*G181,0)</f>
        <v/>
      </c>
      <c r="BE181" s="14">
        <f>F181*SUMIFS(BD179:BD235,B179:B235,B181-in_choti_months)*in_choti_renew*in_choti_ticket</f>
        <v/>
      </c>
      <c r="BF181" s="40">
        <f>BF180*(1-IF(B180&gt;=in_marketplace_from,d_hz_nps*G180,0))</f>
        <v/>
      </c>
      <c r="BG181" s="14">
        <f>F181*BF181*IF(B181&gt;=in_marketplace_from,d_hz_nps*G181,0)*in_nps_ticket*in_nps_comm</f>
        <v/>
      </c>
      <c r="BH181" s="40">
        <f>BH180*(1-IF(B180&gt;=in_marketplace_from,d_hz_gold*G180,0))</f>
        <v/>
      </c>
      <c r="BI181" s="40">
        <f>BI180*d_rho_gold+BH181*IF(B181&gt;=in_marketplace_from,d_hz_gold*G181,0)</f>
        <v/>
      </c>
      <c r="BJ181" s="14">
        <f>F181*BI181*in_gold_ticket*in_gold_comm</f>
        <v/>
      </c>
      <c r="BK181" s="40">
        <f>BK180*(1-IF(B180&gt;=in_marketplace_from,d_hz_fd*G180,0))</f>
        <v/>
      </c>
      <c r="BL181" s="14">
        <f>F181*BK181*IF(B181&gt;=in_marketplace_from,d_hz_fd*G181,0)*in_fd_ticket*in_fd_comm</f>
        <v/>
      </c>
      <c r="BM181" s="40">
        <f>BM180*(1-IF(B180&gt;=in_marketplace_from,d_hz_recharge*G180,0))</f>
        <v/>
      </c>
      <c r="BN181" s="40">
        <f>BN180*d_rho_recharge+BM181*IF(B181&gt;=in_marketplace_from,d_hz_recharge*G181,0)</f>
        <v/>
      </c>
      <c r="BO181" s="14">
        <f>F181*BN181*in_recharge_ticket*in_recharge_comm/12</f>
        <v/>
      </c>
      <c r="BP181" s="40">
        <f>BP180*(1-IF(B180&gt;=in_marketplace_from,d_hz_bills*G180,0))</f>
        <v/>
      </c>
      <c r="BQ181" s="40">
        <f>BQ180*d_rho_bills+BP181*IF(B181&gt;=in_marketplace_from,d_hz_bills*G181,0)</f>
        <v/>
      </c>
      <c r="BR181" s="14">
        <f>F181*BQ181*in_bills_ticket*in_bills_comm/12</f>
        <v/>
      </c>
      <c r="BS181" s="40">
        <f>BS180*(1-IF(B180&gt;=in_marketplace_from,d_hz_loan_gold*G180,0))</f>
        <v/>
      </c>
      <c r="BT181" s="14">
        <f>F181*BS181*IF(B181&gt;=in_marketplace_from,d_hz_loan_gold*G181,0)*in_loan_gold_ticket*in_loan_gold_comm</f>
        <v/>
      </c>
      <c r="BU181" s="40">
        <f>BU180*(1-IF(B180&gt;=in_marketplace_from,d_hz_loan_cd*G180,0))</f>
        <v/>
      </c>
      <c r="BV181" s="14">
        <f>F181*BU181*IF(B181&gt;=in_marketplace_from,d_hz_loan_cd*G181,0)*in_loan_cd_ticket*in_loan_cd_comm</f>
        <v/>
      </c>
      <c r="BW181" s="40">
        <f>BW180*(1-IF(B180&gt;=in_marketplace_from,d_hz_loan_vehicle*G180,0))</f>
        <v/>
      </c>
      <c r="BX181" s="14">
        <f>F181*BW181*IF(B181&gt;=in_marketplace_from,d_hz_loan_vehicle*G181,0)*in_loan_vehicle_ticket*in_loan_vehicle_comm</f>
        <v/>
      </c>
      <c r="BY181" s="40">
        <f>BY180*(1-IF(B180&gt;=in_marketplace_from,d_hz_loan_home*G180,0)*BZ180)</f>
        <v/>
      </c>
      <c r="BZ181" s="11">
        <f>MIN(in_approval_cap,in_loan_home_approval*INDEX('Age profile'!$O$2:$O$61,B181)*(1+in_approval_growth)^(D181-1))</f>
        <v/>
      </c>
      <c r="CA181" s="14">
        <f>F181*BY181*IF(B181&gt;=in_marketplace_from,d_hz_loan_home*G181,0)*BZ181*in_loan_home_ticket*in_loan_home_comm</f>
        <v/>
      </c>
      <c r="CB181" s="40">
        <f>CB180*(1-IF(B180&gt;=in_marketplace_from,d_hz_loan_lap*G180,0)*CC180)</f>
        <v/>
      </c>
      <c r="CC181" s="11">
        <f>MIN(in_approval_cap,in_loan_lap_approval*INDEX('Age profile'!$O$2:$O$61,B181)*(1+in_approval_growth)^(D181-1))</f>
        <v/>
      </c>
      <c r="CD181" s="14">
        <f>F181*CB181*IF(B181&gt;=in_marketplace_from,d_hz_loan_lap*G181,0)*CC181*in_loan_lap_ticket*in_loan_lap_comm</f>
        <v/>
      </c>
      <c r="CE181" s="14">
        <f>AA181+AB181+AC181+AD181+AG181+AJ181+AM181+AP181+AS181+AU181+AX181+BB181+BE181+BG181+BJ181+BL181+BO181+BR181+BT181+BV181+BX181+CA181+CD181</f>
        <v/>
      </c>
    </row>
    <row r="182">
      <c r="A182" s="39" t="n">
        <v>4</v>
      </c>
      <c r="B182" s="39" t="n">
        <v>4</v>
      </c>
      <c r="C182" s="39">
        <f>A182+B182-1</f>
        <v/>
      </c>
      <c r="D182" s="39">
        <f>INT((C182-1)/12)+1</f>
        <v/>
      </c>
      <c r="E182" s="44">
        <f>INDEX(Monthly!$B$2:$B$61,A182)</f>
        <v/>
      </c>
      <c r="F182" s="44">
        <f>E182*INDEX('Age profile'!$B$2:$B$61,B182)</f>
        <v/>
      </c>
      <c r="G182" s="45">
        <f>MIN(in_takeup_cap,INDEX('Age profile'!$N$2:$N$61,B182)*(1+in_takeup_growth)^(D182-1))</f>
        <v/>
      </c>
      <c r="H182" s="11">
        <f>MIN(in_approval_cap,in_approved_first*INDEX('Age profile'!$O$2:$O$61,B182)*(1+in_approval_growth)^(D182-1))</f>
        <v/>
      </c>
      <c r="I182" s="45">
        <f>G182*MIN(in_takeup_cap,INDEX('Age profile'!$O$2:$O$61,B182)*(1+in_approval_growth)^(D182-1))</f>
        <v/>
      </c>
      <c r="J182" s="40">
        <f>(J181-L181)*F182/F181</f>
        <v/>
      </c>
      <c r="K182" s="40">
        <f>(K181-M181)*F182/F181+SUMIFS(O179:O181,B179:B181,B182-1-d_T)*F182</f>
        <v/>
      </c>
      <c r="L182" s="40">
        <f>IF(B182&gt;=in_marketplace_from,J182*d_hz*G182*in_eligible*H182,0)</f>
        <v/>
      </c>
      <c r="M182" s="40">
        <f>IF(B182&gt;=in_marketplace_from,K182*d_hz*G182*in_eligible*in_approved_repeat,0)</f>
        <v/>
      </c>
      <c r="N182" s="40">
        <f>L182+M182</f>
        <v/>
      </c>
      <c r="O182" s="46">
        <f>N182/F182</f>
        <v/>
      </c>
      <c r="P182" s="40">
        <f>F182-J182-K182</f>
        <v/>
      </c>
      <c r="Q182" s="40">
        <f>IF(B182&gt;=in_marketplace_from,(J182+K182)*d_hz*G182,0)</f>
        <v/>
      </c>
      <c r="R182" s="40">
        <f>SUMIFS(N179:N235,B179:B235,"&gt;="&amp;(B182-d_T),B179:B235,"&lt;="&amp;(B182-1))</f>
        <v/>
      </c>
      <c r="S182" s="46">
        <f>(1-d_u)*S181+IF(d_T&gt;in_topup_lag,SUMIFS(O179:O235,B179:B235,B182-in_topup_lag)-d_udrop*SUMIFS(O179:O235,B179:B235,B182-d_T),0)</f>
        <v/>
      </c>
      <c r="T182" s="40">
        <f>F182*d_u*S182</f>
        <v/>
      </c>
      <c r="U182" s="9">
        <f>L182*in_ticket+M182*d_rep_ticket</f>
        <v/>
      </c>
      <c r="V182" s="9">
        <f>U182+T182*d_topup_amt</f>
        <v/>
      </c>
      <c r="W182" s="40">
        <f>N182+T182*d_topup_ratio</f>
        <v/>
      </c>
      <c r="X182" s="40">
        <f>SUMIFS(W179:W235,B179:B235,B182-in_dpd_lag)*d_cured</f>
        <v/>
      </c>
      <c r="Y182" s="40">
        <f>SUMIFS(W179:W235,B179:B235,B182-in_rec_lag)*d_recd</f>
        <v/>
      </c>
      <c r="Z182" s="40">
        <f>IF(AND(B182&gt;=in_marketplace_from,B182&lt;in_marketplace_from+in_card_months),in_card_share/in_card_months*F182*I182,IF(AND(B182&gt;=in_marketplace_from+in_card_months,B182&lt;in_marketplace_from+2*in_card_months),in_card_share*d_card_rem/in_card_months*F182*MIN(in_takeup_cap,(1+in_takeup_growth)^(D182-1))*MIN(in_takeup_cap,(1+in_approval_growth)^(D182-1)),0))</f>
        <v/>
      </c>
      <c r="AA182" s="14">
        <f>V182*in_fee*(1-in_taken_back)</f>
        <v/>
      </c>
      <c r="AB182" s="14">
        <f>SUMIFS(W179:W235,B179:B235,B182-in_dpd_lag)*d_dpd</f>
        <v/>
      </c>
      <c r="AC182" s="14">
        <f>SUMIFS(W179:W235,B179:B235,B182-in_rec_lag)*d_rec</f>
        <v/>
      </c>
      <c r="AD182" s="14">
        <f>Z182*in_card_fee</f>
        <v/>
      </c>
      <c r="AE182" s="40">
        <f>AE181*(1-IF(B181&gt;=in_marketplace_from,d_hz_hlth_small*G181,0))</f>
        <v/>
      </c>
      <c r="AF182" s="46">
        <f>AE182*IF(B182&gt;=in_marketplace_from,d_hz_hlth_small*G182,0)</f>
        <v/>
      </c>
      <c r="AG182" s="14">
        <f>F182*AF182*in_hlth_small_ticket*in_hlth_small_comm*in_ins_partner_share+F182*in_hlth_small_ticket*in_hlth_small_renew_comm*in_ins_partner_share*(in_hlth_small_renew^1*SUMIFS(AF179:AF235,B179:B235,B182-12)+in_hlth_small_renew^2*SUMIFS(AF179:AF235,B179:B235,B182-24)+in_hlth_small_renew^3*SUMIFS(AF179:AF235,B179:B235,B182-36)+in_hlth_small_renew^4*SUMIFS(AF179:AF235,B179:B235,B182-48))</f>
        <v/>
      </c>
      <c r="AH182" s="40">
        <f>AH181*(1-IF(B181&gt;=in_marketplace_from,d_hz_hlth_family*G181,0))</f>
        <v/>
      </c>
      <c r="AI182" s="46">
        <f>AH182*IF(B182&gt;=in_marketplace_from,d_hz_hlth_family*G182,0)</f>
        <v/>
      </c>
      <c r="AJ182" s="14">
        <f>F182*AI182*in_hlth_family_ticket*in_hlth_family_comm*in_ins_partner_share+F182*in_hlth_family_ticket*in_hlth_family_renew_comm*in_ins_partner_share*(in_hlth_family_renew^1*SUMIFS(AI179:AI235,B179:B235,B182-12)+in_hlth_family_renew^2*SUMIFS(AI179:AI235,B179:B235,B182-24)+in_hlth_family_renew^3*SUMIFS(AI179:AI235,B179:B235,B182-36)+in_hlth_family_renew^4*SUMIFS(AI179:AI235,B179:B235,B182-48))</f>
        <v/>
      </c>
      <c r="AK182" s="40">
        <f>AK181*(1-IF(B181&gt;=in_marketplace_from,d_hz_life_term*G181,0))</f>
        <v/>
      </c>
      <c r="AL182" s="46">
        <f>AK182*IF(B182&gt;=in_marketplace_from,d_hz_life_term*G182,0)</f>
        <v/>
      </c>
      <c r="AM182" s="14">
        <f>F182*AL182*in_life_term_ticket*in_life_term_comm*in_ins_partner_share+F182*in_life_term_ticket*in_life_term_renew_comm*in_ins_partner_share*(in_life_term_renew^1*SUMIFS(AL179:AL235,B179:B235,B182-12)+in_life_term_renew^2*SUMIFS(AL179:AL235,B179:B235,B182-24)+in_life_term_renew^3*SUMIFS(AL179:AL235,B179:B235,B182-36)+in_life_term_renew^4*SUMIFS(AL179:AL235,B179:B235,B182-48))</f>
        <v/>
      </c>
      <c r="AN182" s="40">
        <f>AN181*(1-IF(B181&gt;=in_marketplace_from,d_hz_accident*G181,0))</f>
        <v/>
      </c>
      <c r="AO182" s="46">
        <f>AN182*IF(B182&gt;=in_marketplace_from,d_hz_accident*G182,0)</f>
        <v/>
      </c>
      <c r="AP182" s="14">
        <f>F182*AO182*in_accident_ticket*in_accident_comm*in_ins_partner_share+F182*in_accident_ticket*in_accident_renew_comm*in_ins_partner_share*(in_accident_renew^1*SUMIFS(AO179:AO235,B179:B235,B182-12)+in_accident_renew^2*SUMIFS(AO179:AO235,B179:B235,B182-24)+in_accident_renew^3*SUMIFS(AO179:AO235,B179:B235,B182-36)+in_accident_renew^4*SUMIFS(AO179:AO235,B179:B235,B182-48))</f>
        <v/>
      </c>
      <c r="AQ182" s="40">
        <f>AQ181*(1-IF(B181&gt;=in_marketplace_from,d_hz_two_wheeler*G181,0))</f>
        <v/>
      </c>
      <c r="AR182" s="46">
        <f>AQ182*IF(B182&gt;=in_marketplace_from,d_hz_two_wheeler*G182,0)</f>
        <v/>
      </c>
      <c r="AS182" s="14">
        <f>F182*AR182*in_two_wheeler_ticket*in_two_wheeler_comm*in_ins_partner_share+F182*in_two_wheeler_ticket*in_two_wheeler_comm*in_ins_partner_share*(in_two_wheeler_renew^1*SUMIFS(AR179:AR235,B179:B235,B182-12)+in_two_wheeler_renew^2*SUMIFS(AR179:AR235,B179:B235,B182-24)+in_two_wheeler_renew^3*SUMIFS(AR179:AR235,B179:B235,B182-36)+in_two_wheeler_renew^4*SUMIFS(AR179:AR235,B179:B235,B182-48))</f>
        <v/>
      </c>
      <c r="AT182" s="40">
        <f>AT181*(1-IF(B181&gt;=in_marketplace_from,d_hz_device*G181,0))</f>
        <v/>
      </c>
      <c r="AU182" s="14">
        <f>F182*AT182*IF(B182&gt;=in_marketplace_from,d_hz_device*G182,0)*in_device_ticket*in_device_comm*in_ins_partner_share</f>
        <v/>
      </c>
      <c r="AV182" s="40">
        <f>AV181*(1-IF(B181&gt;=in_marketplace_from,d_hz_shop*G181,0))</f>
        <v/>
      </c>
      <c r="AW182" s="46">
        <f>AV182*IF(B182&gt;=in_marketplace_from,d_hz_shop*G182,0)</f>
        <v/>
      </c>
      <c r="AX182" s="14">
        <f>F182*AW182*in_shop_ticket*in_shop_comm*in_ins_partner_share+F182*in_shop_ticket*in_shop_renew_comm*in_ins_partner_share*(in_shop_renew^1*SUMIFS(AW179:AW235,B179:B235,B182-12)+in_shop_renew^2*SUMIFS(AW179:AW235,B179:B235,B182-24)+in_shop_renew^3*SUMIFS(AW179:AW235,B179:B235,B182-36)+in_shop_renew^4*SUMIFS(AW179:AW235,B179:B235,B182-48))</f>
        <v/>
      </c>
      <c r="AY182" s="40">
        <f>AY181*(1-IF(B181&gt;=in_marketplace_from,d_hz_sip*G181,0))</f>
        <v/>
      </c>
      <c r="AZ182" s="40">
        <f>AZ181*d_rho_sip+AY182*IF(B182&gt;=in_marketplace_from,d_hz_sip*G182,0)</f>
        <v/>
      </c>
      <c r="BA182" s="40">
        <f>d_rho_sip*(BA181+AZ181)</f>
        <v/>
      </c>
      <c r="BB182" s="14">
        <f>F182*in_sip_ticket*(BA182+0.5*AZ182)*in_sip_comm/12</f>
        <v/>
      </c>
      <c r="BC182" s="40">
        <f>BC181*(1-IF(B181&gt;=in_marketplace_from,d_hz_choti*G181,0))</f>
        <v/>
      </c>
      <c r="BD182" s="46">
        <f>BC182*IF(B182&gt;=in_marketplace_from,d_hz_choti*G182,0)</f>
        <v/>
      </c>
      <c r="BE182" s="14">
        <f>F182*SUMIFS(BD179:BD235,B179:B235,B182-in_choti_months)*in_choti_renew*in_choti_ticket</f>
        <v/>
      </c>
      <c r="BF182" s="40">
        <f>BF181*(1-IF(B181&gt;=in_marketplace_from,d_hz_nps*G181,0))</f>
        <v/>
      </c>
      <c r="BG182" s="14">
        <f>F182*BF182*IF(B182&gt;=in_marketplace_from,d_hz_nps*G182,0)*in_nps_ticket*in_nps_comm</f>
        <v/>
      </c>
      <c r="BH182" s="40">
        <f>BH181*(1-IF(B181&gt;=in_marketplace_from,d_hz_gold*G181,0))</f>
        <v/>
      </c>
      <c r="BI182" s="40">
        <f>BI181*d_rho_gold+BH182*IF(B182&gt;=in_marketplace_from,d_hz_gold*G182,0)</f>
        <v/>
      </c>
      <c r="BJ182" s="14">
        <f>F182*BI182*in_gold_ticket*in_gold_comm</f>
        <v/>
      </c>
      <c r="BK182" s="40">
        <f>BK181*(1-IF(B181&gt;=in_marketplace_from,d_hz_fd*G181,0))</f>
        <v/>
      </c>
      <c r="BL182" s="14">
        <f>F182*BK182*IF(B182&gt;=in_marketplace_from,d_hz_fd*G182,0)*in_fd_ticket*in_fd_comm</f>
        <v/>
      </c>
      <c r="BM182" s="40">
        <f>BM181*(1-IF(B181&gt;=in_marketplace_from,d_hz_recharge*G181,0))</f>
        <v/>
      </c>
      <c r="BN182" s="40">
        <f>BN181*d_rho_recharge+BM182*IF(B182&gt;=in_marketplace_from,d_hz_recharge*G182,0)</f>
        <v/>
      </c>
      <c r="BO182" s="14">
        <f>F182*BN182*in_recharge_ticket*in_recharge_comm/12</f>
        <v/>
      </c>
      <c r="BP182" s="40">
        <f>BP181*(1-IF(B181&gt;=in_marketplace_from,d_hz_bills*G181,0))</f>
        <v/>
      </c>
      <c r="BQ182" s="40">
        <f>BQ181*d_rho_bills+BP182*IF(B182&gt;=in_marketplace_from,d_hz_bills*G182,0)</f>
        <v/>
      </c>
      <c r="BR182" s="14">
        <f>F182*BQ182*in_bills_ticket*in_bills_comm/12</f>
        <v/>
      </c>
      <c r="BS182" s="40">
        <f>BS181*(1-IF(B181&gt;=in_marketplace_from,d_hz_loan_gold*G181,0))</f>
        <v/>
      </c>
      <c r="BT182" s="14">
        <f>F182*BS182*IF(B182&gt;=in_marketplace_from,d_hz_loan_gold*G182,0)*in_loan_gold_ticket*in_loan_gold_comm</f>
        <v/>
      </c>
      <c r="BU182" s="40">
        <f>BU181*(1-IF(B181&gt;=in_marketplace_from,d_hz_loan_cd*G181,0))</f>
        <v/>
      </c>
      <c r="BV182" s="14">
        <f>F182*BU182*IF(B182&gt;=in_marketplace_from,d_hz_loan_cd*G182,0)*in_loan_cd_ticket*in_loan_cd_comm</f>
        <v/>
      </c>
      <c r="BW182" s="40">
        <f>BW181*(1-IF(B181&gt;=in_marketplace_from,d_hz_loan_vehicle*G181,0))</f>
        <v/>
      </c>
      <c r="BX182" s="14">
        <f>F182*BW182*IF(B182&gt;=in_marketplace_from,d_hz_loan_vehicle*G182,0)*in_loan_vehicle_ticket*in_loan_vehicle_comm</f>
        <v/>
      </c>
      <c r="BY182" s="40">
        <f>BY181*(1-IF(B181&gt;=in_marketplace_from,d_hz_loan_home*G181,0)*BZ181)</f>
        <v/>
      </c>
      <c r="BZ182" s="11">
        <f>MIN(in_approval_cap,in_loan_home_approval*INDEX('Age profile'!$O$2:$O$61,B182)*(1+in_approval_growth)^(D182-1))</f>
        <v/>
      </c>
      <c r="CA182" s="14">
        <f>F182*BY182*IF(B182&gt;=in_marketplace_from,d_hz_loan_home*G182,0)*BZ182*in_loan_home_ticket*in_loan_home_comm</f>
        <v/>
      </c>
      <c r="CB182" s="40">
        <f>CB181*(1-IF(B181&gt;=in_marketplace_from,d_hz_loan_lap*G181,0)*CC181)</f>
        <v/>
      </c>
      <c r="CC182" s="11">
        <f>MIN(in_approval_cap,in_loan_lap_approval*INDEX('Age profile'!$O$2:$O$61,B182)*(1+in_approval_growth)^(D182-1))</f>
        <v/>
      </c>
      <c r="CD182" s="14">
        <f>F182*CB182*IF(B182&gt;=in_marketplace_from,d_hz_loan_lap*G182,0)*CC182*in_loan_lap_ticket*in_loan_lap_comm</f>
        <v/>
      </c>
      <c r="CE182" s="14">
        <f>AA182+AB182+AC182+AD182+AG182+AJ182+AM182+AP182+AS182+AU182+AX182+BB182+BE182+BG182+BJ182+BL182+BO182+BR182+BT182+BV182+BX182+CA182+CD182</f>
        <v/>
      </c>
    </row>
    <row r="183">
      <c r="A183" s="39" t="n">
        <v>4</v>
      </c>
      <c r="B183" s="39" t="n">
        <v>5</v>
      </c>
      <c r="C183" s="39">
        <f>A183+B183-1</f>
        <v/>
      </c>
      <c r="D183" s="39">
        <f>INT((C183-1)/12)+1</f>
        <v/>
      </c>
      <c r="E183" s="44">
        <f>INDEX(Monthly!$B$2:$B$61,A183)</f>
        <v/>
      </c>
      <c r="F183" s="44">
        <f>E183*INDEX('Age profile'!$B$2:$B$61,B183)</f>
        <v/>
      </c>
      <c r="G183" s="45">
        <f>MIN(in_takeup_cap,INDEX('Age profile'!$N$2:$N$61,B183)*(1+in_takeup_growth)^(D183-1))</f>
        <v/>
      </c>
      <c r="H183" s="11">
        <f>MIN(in_approval_cap,in_approved_first*INDEX('Age profile'!$O$2:$O$61,B183)*(1+in_approval_growth)^(D183-1))</f>
        <v/>
      </c>
      <c r="I183" s="45">
        <f>G183*MIN(in_takeup_cap,INDEX('Age profile'!$O$2:$O$61,B183)*(1+in_approval_growth)^(D183-1))</f>
        <v/>
      </c>
      <c r="J183" s="40">
        <f>(J182-L182)*F183/F182</f>
        <v/>
      </c>
      <c r="K183" s="40">
        <f>(K182-M182)*F183/F182+SUMIFS(O179:O182,B179:B182,B183-1-d_T)*F183</f>
        <v/>
      </c>
      <c r="L183" s="40">
        <f>IF(B183&gt;=in_marketplace_from,J183*d_hz*G183*in_eligible*H183,0)</f>
        <v/>
      </c>
      <c r="M183" s="40">
        <f>IF(B183&gt;=in_marketplace_from,K183*d_hz*G183*in_eligible*in_approved_repeat,0)</f>
        <v/>
      </c>
      <c r="N183" s="40">
        <f>L183+M183</f>
        <v/>
      </c>
      <c r="O183" s="46">
        <f>N183/F183</f>
        <v/>
      </c>
      <c r="P183" s="40">
        <f>F183-J183-K183</f>
        <v/>
      </c>
      <c r="Q183" s="40">
        <f>IF(B183&gt;=in_marketplace_from,(J183+K183)*d_hz*G183,0)</f>
        <v/>
      </c>
      <c r="R183" s="40">
        <f>SUMIFS(N179:N235,B179:B235,"&gt;="&amp;(B183-d_T),B179:B235,"&lt;="&amp;(B183-1))</f>
        <v/>
      </c>
      <c r="S183" s="46">
        <f>(1-d_u)*S182+IF(d_T&gt;in_topup_lag,SUMIFS(O179:O235,B179:B235,B183-in_topup_lag)-d_udrop*SUMIFS(O179:O235,B179:B235,B183-d_T),0)</f>
        <v/>
      </c>
      <c r="T183" s="40">
        <f>F183*d_u*S183</f>
        <v/>
      </c>
      <c r="U183" s="9">
        <f>L183*in_ticket+M183*d_rep_ticket</f>
        <v/>
      </c>
      <c r="V183" s="9">
        <f>U183+T183*d_topup_amt</f>
        <v/>
      </c>
      <c r="W183" s="40">
        <f>N183+T183*d_topup_ratio</f>
        <v/>
      </c>
      <c r="X183" s="40">
        <f>SUMIFS(W179:W235,B179:B235,B183-in_dpd_lag)*d_cured</f>
        <v/>
      </c>
      <c r="Y183" s="40">
        <f>SUMIFS(W179:W235,B179:B235,B183-in_rec_lag)*d_recd</f>
        <v/>
      </c>
      <c r="Z183" s="40">
        <f>IF(AND(B183&gt;=in_marketplace_from,B183&lt;in_marketplace_from+in_card_months),in_card_share/in_card_months*F183*I183,IF(AND(B183&gt;=in_marketplace_from+in_card_months,B183&lt;in_marketplace_from+2*in_card_months),in_card_share*d_card_rem/in_card_months*F183*MIN(in_takeup_cap,(1+in_takeup_growth)^(D183-1))*MIN(in_takeup_cap,(1+in_approval_growth)^(D183-1)),0))</f>
        <v/>
      </c>
      <c r="AA183" s="14">
        <f>V183*in_fee*(1-in_taken_back)</f>
        <v/>
      </c>
      <c r="AB183" s="14">
        <f>SUMIFS(W179:W235,B179:B235,B183-in_dpd_lag)*d_dpd</f>
        <v/>
      </c>
      <c r="AC183" s="14">
        <f>SUMIFS(W179:W235,B179:B235,B183-in_rec_lag)*d_rec</f>
        <v/>
      </c>
      <c r="AD183" s="14">
        <f>Z183*in_card_fee</f>
        <v/>
      </c>
      <c r="AE183" s="40">
        <f>AE182*(1-IF(B182&gt;=in_marketplace_from,d_hz_hlth_small*G182,0))</f>
        <v/>
      </c>
      <c r="AF183" s="46">
        <f>AE183*IF(B183&gt;=in_marketplace_from,d_hz_hlth_small*G183,0)</f>
        <v/>
      </c>
      <c r="AG183" s="14">
        <f>F183*AF183*in_hlth_small_ticket*in_hlth_small_comm*in_ins_partner_share+F183*in_hlth_small_ticket*in_hlth_small_renew_comm*in_ins_partner_share*(in_hlth_small_renew^1*SUMIFS(AF179:AF235,B179:B235,B183-12)+in_hlth_small_renew^2*SUMIFS(AF179:AF235,B179:B235,B183-24)+in_hlth_small_renew^3*SUMIFS(AF179:AF235,B179:B235,B183-36)+in_hlth_small_renew^4*SUMIFS(AF179:AF235,B179:B235,B183-48))</f>
        <v/>
      </c>
      <c r="AH183" s="40">
        <f>AH182*(1-IF(B182&gt;=in_marketplace_from,d_hz_hlth_family*G182,0))</f>
        <v/>
      </c>
      <c r="AI183" s="46">
        <f>AH183*IF(B183&gt;=in_marketplace_from,d_hz_hlth_family*G183,0)</f>
        <v/>
      </c>
      <c r="AJ183" s="14">
        <f>F183*AI183*in_hlth_family_ticket*in_hlth_family_comm*in_ins_partner_share+F183*in_hlth_family_ticket*in_hlth_family_renew_comm*in_ins_partner_share*(in_hlth_family_renew^1*SUMIFS(AI179:AI235,B179:B235,B183-12)+in_hlth_family_renew^2*SUMIFS(AI179:AI235,B179:B235,B183-24)+in_hlth_family_renew^3*SUMIFS(AI179:AI235,B179:B235,B183-36)+in_hlth_family_renew^4*SUMIFS(AI179:AI235,B179:B235,B183-48))</f>
        <v/>
      </c>
      <c r="AK183" s="40">
        <f>AK182*(1-IF(B182&gt;=in_marketplace_from,d_hz_life_term*G182,0))</f>
        <v/>
      </c>
      <c r="AL183" s="46">
        <f>AK183*IF(B183&gt;=in_marketplace_from,d_hz_life_term*G183,0)</f>
        <v/>
      </c>
      <c r="AM183" s="14">
        <f>F183*AL183*in_life_term_ticket*in_life_term_comm*in_ins_partner_share+F183*in_life_term_ticket*in_life_term_renew_comm*in_ins_partner_share*(in_life_term_renew^1*SUMIFS(AL179:AL235,B179:B235,B183-12)+in_life_term_renew^2*SUMIFS(AL179:AL235,B179:B235,B183-24)+in_life_term_renew^3*SUMIFS(AL179:AL235,B179:B235,B183-36)+in_life_term_renew^4*SUMIFS(AL179:AL235,B179:B235,B183-48))</f>
        <v/>
      </c>
      <c r="AN183" s="40">
        <f>AN182*(1-IF(B182&gt;=in_marketplace_from,d_hz_accident*G182,0))</f>
        <v/>
      </c>
      <c r="AO183" s="46">
        <f>AN183*IF(B183&gt;=in_marketplace_from,d_hz_accident*G183,0)</f>
        <v/>
      </c>
      <c r="AP183" s="14">
        <f>F183*AO183*in_accident_ticket*in_accident_comm*in_ins_partner_share+F183*in_accident_ticket*in_accident_renew_comm*in_ins_partner_share*(in_accident_renew^1*SUMIFS(AO179:AO235,B179:B235,B183-12)+in_accident_renew^2*SUMIFS(AO179:AO235,B179:B235,B183-24)+in_accident_renew^3*SUMIFS(AO179:AO235,B179:B235,B183-36)+in_accident_renew^4*SUMIFS(AO179:AO235,B179:B235,B183-48))</f>
        <v/>
      </c>
      <c r="AQ183" s="40">
        <f>AQ182*(1-IF(B182&gt;=in_marketplace_from,d_hz_two_wheeler*G182,0))</f>
        <v/>
      </c>
      <c r="AR183" s="46">
        <f>AQ183*IF(B183&gt;=in_marketplace_from,d_hz_two_wheeler*G183,0)</f>
        <v/>
      </c>
      <c r="AS183" s="14">
        <f>F183*AR183*in_two_wheeler_ticket*in_two_wheeler_comm*in_ins_partner_share+F183*in_two_wheeler_ticket*in_two_wheeler_comm*in_ins_partner_share*(in_two_wheeler_renew^1*SUMIFS(AR179:AR235,B179:B235,B183-12)+in_two_wheeler_renew^2*SUMIFS(AR179:AR235,B179:B235,B183-24)+in_two_wheeler_renew^3*SUMIFS(AR179:AR235,B179:B235,B183-36)+in_two_wheeler_renew^4*SUMIFS(AR179:AR235,B179:B235,B183-48))</f>
        <v/>
      </c>
      <c r="AT183" s="40">
        <f>AT182*(1-IF(B182&gt;=in_marketplace_from,d_hz_device*G182,0))</f>
        <v/>
      </c>
      <c r="AU183" s="14">
        <f>F183*AT183*IF(B183&gt;=in_marketplace_from,d_hz_device*G183,0)*in_device_ticket*in_device_comm*in_ins_partner_share</f>
        <v/>
      </c>
      <c r="AV183" s="40">
        <f>AV182*(1-IF(B182&gt;=in_marketplace_from,d_hz_shop*G182,0))</f>
        <v/>
      </c>
      <c r="AW183" s="46">
        <f>AV183*IF(B183&gt;=in_marketplace_from,d_hz_shop*G183,0)</f>
        <v/>
      </c>
      <c r="AX183" s="14">
        <f>F183*AW183*in_shop_ticket*in_shop_comm*in_ins_partner_share+F183*in_shop_ticket*in_shop_renew_comm*in_ins_partner_share*(in_shop_renew^1*SUMIFS(AW179:AW235,B179:B235,B183-12)+in_shop_renew^2*SUMIFS(AW179:AW235,B179:B235,B183-24)+in_shop_renew^3*SUMIFS(AW179:AW235,B179:B235,B183-36)+in_shop_renew^4*SUMIFS(AW179:AW235,B179:B235,B183-48))</f>
        <v/>
      </c>
      <c r="AY183" s="40">
        <f>AY182*(1-IF(B182&gt;=in_marketplace_from,d_hz_sip*G182,0))</f>
        <v/>
      </c>
      <c r="AZ183" s="40">
        <f>AZ182*d_rho_sip+AY183*IF(B183&gt;=in_marketplace_from,d_hz_sip*G183,0)</f>
        <v/>
      </c>
      <c r="BA183" s="40">
        <f>d_rho_sip*(BA182+AZ182)</f>
        <v/>
      </c>
      <c r="BB183" s="14">
        <f>F183*in_sip_ticket*(BA183+0.5*AZ183)*in_sip_comm/12</f>
        <v/>
      </c>
      <c r="BC183" s="40">
        <f>BC182*(1-IF(B182&gt;=in_marketplace_from,d_hz_choti*G182,0))</f>
        <v/>
      </c>
      <c r="BD183" s="46">
        <f>BC183*IF(B183&gt;=in_marketplace_from,d_hz_choti*G183,0)</f>
        <v/>
      </c>
      <c r="BE183" s="14">
        <f>F183*SUMIFS(BD179:BD235,B179:B235,B183-in_choti_months)*in_choti_renew*in_choti_ticket</f>
        <v/>
      </c>
      <c r="BF183" s="40">
        <f>BF182*(1-IF(B182&gt;=in_marketplace_from,d_hz_nps*G182,0))</f>
        <v/>
      </c>
      <c r="BG183" s="14">
        <f>F183*BF183*IF(B183&gt;=in_marketplace_from,d_hz_nps*G183,0)*in_nps_ticket*in_nps_comm</f>
        <v/>
      </c>
      <c r="BH183" s="40">
        <f>BH182*(1-IF(B182&gt;=in_marketplace_from,d_hz_gold*G182,0))</f>
        <v/>
      </c>
      <c r="BI183" s="40">
        <f>BI182*d_rho_gold+BH183*IF(B183&gt;=in_marketplace_from,d_hz_gold*G183,0)</f>
        <v/>
      </c>
      <c r="BJ183" s="14">
        <f>F183*BI183*in_gold_ticket*in_gold_comm</f>
        <v/>
      </c>
      <c r="BK183" s="40">
        <f>BK182*(1-IF(B182&gt;=in_marketplace_from,d_hz_fd*G182,0))</f>
        <v/>
      </c>
      <c r="BL183" s="14">
        <f>F183*BK183*IF(B183&gt;=in_marketplace_from,d_hz_fd*G183,0)*in_fd_ticket*in_fd_comm</f>
        <v/>
      </c>
      <c r="BM183" s="40">
        <f>BM182*(1-IF(B182&gt;=in_marketplace_from,d_hz_recharge*G182,0))</f>
        <v/>
      </c>
      <c r="BN183" s="40">
        <f>BN182*d_rho_recharge+BM183*IF(B183&gt;=in_marketplace_from,d_hz_recharge*G183,0)</f>
        <v/>
      </c>
      <c r="BO183" s="14">
        <f>F183*BN183*in_recharge_ticket*in_recharge_comm/12</f>
        <v/>
      </c>
      <c r="BP183" s="40">
        <f>BP182*(1-IF(B182&gt;=in_marketplace_from,d_hz_bills*G182,0))</f>
        <v/>
      </c>
      <c r="BQ183" s="40">
        <f>BQ182*d_rho_bills+BP183*IF(B183&gt;=in_marketplace_from,d_hz_bills*G183,0)</f>
        <v/>
      </c>
      <c r="BR183" s="14">
        <f>F183*BQ183*in_bills_ticket*in_bills_comm/12</f>
        <v/>
      </c>
      <c r="BS183" s="40">
        <f>BS182*(1-IF(B182&gt;=in_marketplace_from,d_hz_loan_gold*G182,0))</f>
        <v/>
      </c>
      <c r="BT183" s="14">
        <f>F183*BS183*IF(B183&gt;=in_marketplace_from,d_hz_loan_gold*G183,0)*in_loan_gold_ticket*in_loan_gold_comm</f>
        <v/>
      </c>
      <c r="BU183" s="40">
        <f>BU182*(1-IF(B182&gt;=in_marketplace_from,d_hz_loan_cd*G182,0))</f>
        <v/>
      </c>
      <c r="BV183" s="14">
        <f>F183*BU183*IF(B183&gt;=in_marketplace_from,d_hz_loan_cd*G183,0)*in_loan_cd_ticket*in_loan_cd_comm</f>
        <v/>
      </c>
      <c r="BW183" s="40">
        <f>BW182*(1-IF(B182&gt;=in_marketplace_from,d_hz_loan_vehicle*G182,0))</f>
        <v/>
      </c>
      <c r="BX183" s="14">
        <f>F183*BW183*IF(B183&gt;=in_marketplace_from,d_hz_loan_vehicle*G183,0)*in_loan_vehicle_ticket*in_loan_vehicle_comm</f>
        <v/>
      </c>
      <c r="BY183" s="40">
        <f>BY182*(1-IF(B182&gt;=in_marketplace_from,d_hz_loan_home*G182,0)*BZ182)</f>
        <v/>
      </c>
      <c r="BZ183" s="11">
        <f>MIN(in_approval_cap,in_loan_home_approval*INDEX('Age profile'!$O$2:$O$61,B183)*(1+in_approval_growth)^(D183-1))</f>
        <v/>
      </c>
      <c r="CA183" s="14">
        <f>F183*BY183*IF(B183&gt;=in_marketplace_from,d_hz_loan_home*G183,0)*BZ183*in_loan_home_ticket*in_loan_home_comm</f>
        <v/>
      </c>
      <c r="CB183" s="40">
        <f>CB182*(1-IF(B182&gt;=in_marketplace_from,d_hz_loan_lap*G182,0)*CC182)</f>
        <v/>
      </c>
      <c r="CC183" s="11">
        <f>MIN(in_approval_cap,in_loan_lap_approval*INDEX('Age profile'!$O$2:$O$61,B183)*(1+in_approval_growth)^(D183-1))</f>
        <v/>
      </c>
      <c r="CD183" s="14">
        <f>F183*CB183*IF(B183&gt;=in_marketplace_from,d_hz_loan_lap*G183,0)*CC183*in_loan_lap_ticket*in_loan_lap_comm</f>
        <v/>
      </c>
      <c r="CE183" s="14">
        <f>AA183+AB183+AC183+AD183+AG183+AJ183+AM183+AP183+AS183+AU183+AX183+BB183+BE183+BG183+BJ183+BL183+BO183+BR183+BT183+BV183+BX183+CA183+CD183</f>
        <v/>
      </c>
    </row>
    <row r="184">
      <c r="A184" s="39" t="n">
        <v>4</v>
      </c>
      <c r="B184" s="39" t="n">
        <v>6</v>
      </c>
      <c r="C184" s="39">
        <f>A184+B184-1</f>
        <v/>
      </c>
      <c r="D184" s="39">
        <f>INT((C184-1)/12)+1</f>
        <v/>
      </c>
      <c r="E184" s="44">
        <f>INDEX(Monthly!$B$2:$B$61,A184)</f>
        <v/>
      </c>
      <c r="F184" s="44">
        <f>E184*INDEX('Age profile'!$B$2:$B$61,B184)</f>
        <v/>
      </c>
      <c r="G184" s="45">
        <f>MIN(in_takeup_cap,INDEX('Age profile'!$N$2:$N$61,B184)*(1+in_takeup_growth)^(D184-1))</f>
        <v/>
      </c>
      <c r="H184" s="11">
        <f>MIN(in_approval_cap,in_approved_first*INDEX('Age profile'!$O$2:$O$61,B184)*(1+in_approval_growth)^(D184-1))</f>
        <v/>
      </c>
      <c r="I184" s="45">
        <f>G184*MIN(in_takeup_cap,INDEX('Age profile'!$O$2:$O$61,B184)*(1+in_approval_growth)^(D184-1))</f>
        <v/>
      </c>
      <c r="J184" s="40">
        <f>(J183-L183)*F184/F183</f>
        <v/>
      </c>
      <c r="K184" s="40">
        <f>(K183-M183)*F184/F183+SUMIFS(O179:O183,B179:B183,B184-1-d_T)*F184</f>
        <v/>
      </c>
      <c r="L184" s="40">
        <f>IF(B184&gt;=in_marketplace_from,J184*d_hz*G184*in_eligible*H184,0)</f>
        <v/>
      </c>
      <c r="M184" s="40">
        <f>IF(B184&gt;=in_marketplace_from,K184*d_hz*G184*in_eligible*in_approved_repeat,0)</f>
        <v/>
      </c>
      <c r="N184" s="40">
        <f>L184+M184</f>
        <v/>
      </c>
      <c r="O184" s="46">
        <f>N184/F184</f>
        <v/>
      </c>
      <c r="P184" s="40">
        <f>F184-J184-K184</f>
        <v/>
      </c>
      <c r="Q184" s="40">
        <f>IF(B184&gt;=in_marketplace_from,(J184+K184)*d_hz*G184,0)</f>
        <v/>
      </c>
      <c r="R184" s="40">
        <f>SUMIFS(N179:N235,B179:B235,"&gt;="&amp;(B184-d_T),B179:B235,"&lt;="&amp;(B184-1))</f>
        <v/>
      </c>
      <c r="S184" s="46">
        <f>(1-d_u)*S183+IF(d_T&gt;in_topup_lag,SUMIFS(O179:O235,B179:B235,B184-in_topup_lag)-d_udrop*SUMIFS(O179:O235,B179:B235,B184-d_T),0)</f>
        <v/>
      </c>
      <c r="T184" s="40">
        <f>F184*d_u*S184</f>
        <v/>
      </c>
      <c r="U184" s="9">
        <f>L184*in_ticket+M184*d_rep_ticket</f>
        <v/>
      </c>
      <c r="V184" s="9">
        <f>U184+T184*d_topup_amt</f>
        <v/>
      </c>
      <c r="W184" s="40">
        <f>N184+T184*d_topup_ratio</f>
        <v/>
      </c>
      <c r="X184" s="40">
        <f>SUMIFS(W179:W235,B179:B235,B184-in_dpd_lag)*d_cured</f>
        <v/>
      </c>
      <c r="Y184" s="40">
        <f>SUMIFS(W179:W235,B179:B235,B184-in_rec_lag)*d_recd</f>
        <v/>
      </c>
      <c r="Z184" s="40">
        <f>IF(AND(B184&gt;=in_marketplace_from,B184&lt;in_marketplace_from+in_card_months),in_card_share/in_card_months*F184*I184,IF(AND(B184&gt;=in_marketplace_from+in_card_months,B184&lt;in_marketplace_from+2*in_card_months),in_card_share*d_card_rem/in_card_months*F184*MIN(in_takeup_cap,(1+in_takeup_growth)^(D184-1))*MIN(in_takeup_cap,(1+in_approval_growth)^(D184-1)),0))</f>
        <v/>
      </c>
      <c r="AA184" s="14">
        <f>V184*in_fee*(1-in_taken_back)</f>
        <v/>
      </c>
      <c r="AB184" s="14">
        <f>SUMIFS(W179:W235,B179:B235,B184-in_dpd_lag)*d_dpd</f>
        <v/>
      </c>
      <c r="AC184" s="14">
        <f>SUMIFS(W179:W235,B179:B235,B184-in_rec_lag)*d_rec</f>
        <v/>
      </c>
      <c r="AD184" s="14">
        <f>Z184*in_card_fee</f>
        <v/>
      </c>
      <c r="AE184" s="40">
        <f>AE183*(1-IF(B183&gt;=in_marketplace_from,d_hz_hlth_small*G183,0))</f>
        <v/>
      </c>
      <c r="AF184" s="46">
        <f>AE184*IF(B184&gt;=in_marketplace_from,d_hz_hlth_small*G184,0)</f>
        <v/>
      </c>
      <c r="AG184" s="14">
        <f>F184*AF184*in_hlth_small_ticket*in_hlth_small_comm*in_ins_partner_share+F184*in_hlth_small_ticket*in_hlth_small_renew_comm*in_ins_partner_share*(in_hlth_small_renew^1*SUMIFS(AF179:AF235,B179:B235,B184-12)+in_hlth_small_renew^2*SUMIFS(AF179:AF235,B179:B235,B184-24)+in_hlth_small_renew^3*SUMIFS(AF179:AF235,B179:B235,B184-36)+in_hlth_small_renew^4*SUMIFS(AF179:AF235,B179:B235,B184-48))</f>
        <v/>
      </c>
      <c r="AH184" s="40">
        <f>AH183*(1-IF(B183&gt;=in_marketplace_from,d_hz_hlth_family*G183,0))</f>
        <v/>
      </c>
      <c r="AI184" s="46">
        <f>AH184*IF(B184&gt;=in_marketplace_from,d_hz_hlth_family*G184,0)</f>
        <v/>
      </c>
      <c r="AJ184" s="14">
        <f>F184*AI184*in_hlth_family_ticket*in_hlth_family_comm*in_ins_partner_share+F184*in_hlth_family_ticket*in_hlth_family_renew_comm*in_ins_partner_share*(in_hlth_family_renew^1*SUMIFS(AI179:AI235,B179:B235,B184-12)+in_hlth_family_renew^2*SUMIFS(AI179:AI235,B179:B235,B184-24)+in_hlth_family_renew^3*SUMIFS(AI179:AI235,B179:B235,B184-36)+in_hlth_family_renew^4*SUMIFS(AI179:AI235,B179:B235,B184-48))</f>
        <v/>
      </c>
      <c r="AK184" s="40">
        <f>AK183*(1-IF(B183&gt;=in_marketplace_from,d_hz_life_term*G183,0))</f>
        <v/>
      </c>
      <c r="AL184" s="46">
        <f>AK184*IF(B184&gt;=in_marketplace_from,d_hz_life_term*G184,0)</f>
        <v/>
      </c>
      <c r="AM184" s="14">
        <f>F184*AL184*in_life_term_ticket*in_life_term_comm*in_ins_partner_share+F184*in_life_term_ticket*in_life_term_renew_comm*in_ins_partner_share*(in_life_term_renew^1*SUMIFS(AL179:AL235,B179:B235,B184-12)+in_life_term_renew^2*SUMIFS(AL179:AL235,B179:B235,B184-24)+in_life_term_renew^3*SUMIFS(AL179:AL235,B179:B235,B184-36)+in_life_term_renew^4*SUMIFS(AL179:AL235,B179:B235,B184-48))</f>
        <v/>
      </c>
      <c r="AN184" s="40">
        <f>AN183*(1-IF(B183&gt;=in_marketplace_from,d_hz_accident*G183,0))</f>
        <v/>
      </c>
      <c r="AO184" s="46">
        <f>AN184*IF(B184&gt;=in_marketplace_from,d_hz_accident*G184,0)</f>
        <v/>
      </c>
      <c r="AP184" s="14">
        <f>F184*AO184*in_accident_ticket*in_accident_comm*in_ins_partner_share+F184*in_accident_ticket*in_accident_renew_comm*in_ins_partner_share*(in_accident_renew^1*SUMIFS(AO179:AO235,B179:B235,B184-12)+in_accident_renew^2*SUMIFS(AO179:AO235,B179:B235,B184-24)+in_accident_renew^3*SUMIFS(AO179:AO235,B179:B235,B184-36)+in_accident_renew^4*SUMIFS(AO179:AO235,B179:B235,B184-48))</f>
        <v/>
      </c>
      <c r="AQ184" s="40">
        <f>AQ183*(1-IF(B183&gt;=in_marketplace_from,d_hz_two_wheeler*G183,0))</f>
        <v/>
      </c>
      <c r="AR184" s="46">
        <f>AQ184*IF(B184&gt;=in_marketplace_from,d_hz_two_wheeler*G184,0)</f>
        <v/>
      </c>
      <c r="AS184" s="14">
        <f>F184*AR184*in_two_wheeler_ticket*in_two_wheeler_comm*in_ins_partner_share+F184*in_two_wheeler_ticket*in_two_wheeler_comm*in_ins_partner_share*(in_two_wheeler_renew^1*SUMIFS(AR179:AR235,B179:B235,B184-12)+in_two_wheeler_renew^2*SUMIFS(AR179:AR235,B179:B235,B184-24)+in_two_wheeler_renew^3*SUMIFS(AR179:AR235,B179:B235,B184-36)+in_two_wheeler_renew^4*SUMIFS(AR179:AR235,B179:B235,B184-48))</f>
        <v/>
      </c>
      <c r="AT184" s="40">
        <f>AT183*(1-IF(B183&gt;=in_marketplace_from,d_hz_device*G183,0))</f>
        <v/>
      </c>
      <c r="AU184" s="14">
        <f>F184*AT184*IF(B184&gt;=in_marketplace_from,d_hz_device*G184,0)*in_device_ticket*in_device_comm*in_ins_partner_share</f>
        <v/>
      </c>
      <c r="AV184" s="40">
        <f>AV183*(1-IF(B183&gt;=in_marketplace_from,d_hz_shop*G183,0))</f>
        <v/>
      </c>
      <c r="AW184" s="46">
        <f>AV184*IF(B184&gt;=in_marketplace_from,d_hz_shop*G184,0)</f>
        <v/>
      </c>
      <c r="AX184" s="14">
        <f>F184*AW184*in_shop_ticket*in_shop_comm*in_ins_partner_share+F184*in_shop_ticket*in_shop_renew_comm*in_ins_partner_share*(in_shop_renew^1*SUMIFS(AW179:AW235,B179:B235,B184-12)+in_shop_renew^2*SUMIFS(AW179:AW235,B179:B235,B184-24)+in_shop_renew^3*SUMIFS(AW179:AW235,B179:B235,B184-36)+in_shop_renew^4*SUMIFS(AW179:AW235,B179:B235,B184-48))</f>
        <v/>
      </c>
      <c r="AY184" s="40">
        <f>AY183*(1-IF(B183&gt;=in_marketplace_from,d_hz_sip*G183,0))</f>
        <v/>
      </c>
      <c r="AZ184" s="40">
        <f>AZ183*d_rho_sip+AY184*IF(B184&gt;=in_marketplace_from,d_hz_sip*G184,0)</f>
        <v/>
      </c>
      <c r="BA184" s="40">
        <f>d_rho_sip*(BA183+AZ183)</f>
        <v/>
      </c>
      <c r="BB184" s="14">
        <f>F184*in_sip_ticket*(BA184+0.5*AZ184)*in_sip_comm/12</f>
        <v/>
      </c>
      <c r="BC184" s="40">
        <f>BC183*(1-IF(B183&gt;=in_marketplace_from,d_hz_choti*G183,0))</f>
        <v/>
      </c>
      <c r="BD184" s="46">
        <f>BC184*IF(B184&gt;=in_marketplace_from,d_hz_choti*G184,0)</f>
        <v/>
      </c>
      <c r="BE184" s="14">
        <f>F184*SUMIFS(BD179:BD235,B179:B235,B184-in_choti_months)*in_choti_renew*in_choti_ticket</f>
        <v/>
      </c>
      <c r="BF184" s="40">
        <f>BF183*(1-IF(B183&gt;=in_marketplace_from,d_hz_nps*G183,0))</f>
        <v/>
      </c>
      <c r="BG184" s="14">
        <f>F184*BF184*IF(B184&gt;=in_marketplace_from,d_hz_nps*G184,0)*in_nps_ticket*in_nps_comm</f>
        <v/>
      </c>
      <c r="BH184" s="40">
        <f>BH183*(1-IF(B183&gt;=in_marketplace_from,d_hz_gold*G183,0))</f>
        <v/>
      </c>
      <c r="BI184" s="40">
        <f>BI183*d_rho_gold+BH184*IF(B184&gt;=in_marketplace_from,d_hz_gold*G184,0)</f>
        <v/>
      </c>
      <c r="BJ184" s="14">
        <f>F184*BI184*in_gold_ticket*in_gold_comm</f>
        <v/>
      </c>
      <c r="BK184" s="40">
        <f>BK183*(1-IF(B183&gt;=in_marketplace_from,d_hz_fd*G183,0))</f>
        <v/>
      </c>
      <c r="BL184" s="14">
        <f>F184*BK184*IF(B184&gt;=in_marketplace_from,d_hz_fd*G184,0)*in_fd_ticket*in_fd_comm</f>
        <v/>
      </c>
      <c r="BM184" s="40">
        <f>BM183*(1-IF(B183&gt;=in_marketplace_from,d_hz_recharge*G183,0))</f>
        <v/>
      </c>
      <c r="BN184" s="40">
        <f>BN183*d_rho_recharge+BM184*IF(B184&gt;=in_marketplace_from,d_hz_recharge*G184,0)</f>
        <v/>
      </c>
      <c r="BO184" s="14">
        <f>F184*BN184*in_recharge_ticket*in_recharge_comm/12</f>
        <v/>
      </c>
      <c r="BP184" s="40">
        <f>BP183*(1-IF(B183&gt;=in_marketplace_from,d_hz_bills*G183,0))</f>
        <v/>
      </c>
      <c r="BQ184" s="40">
        <f>BQ183*d_rho_bills+BP184*IF(B184&gt;=in_marketplace_from,d_hz_bills*G184,0)</f>
        <v/>
      </c>
      <c r="BR184" s="14">
        <f>F184*BQ184*in_bills_ticket*in_bills_comm/12</f>
        <v/>
      </c>
      <c r="BS184" s="40">
        <f>BS183*(1-IF(B183&gt;=in_marketplace_from,d_hz_loan_gold*G183,0))</f>
        <v/>
      </c>
      <c r="BT184" s="14">
        <f>F184*BS184*IF(B184&gt;=in_marketplace_from,d_hz_loan_gold*G184,0)*in_loan_gold_ticket*in_loan_gold_comm</f>
        <v/>
      </c>
      <c r="BU184" s="40">
        <f>BU183*(1-IF(B183&gt;=in_marketplace_from,d_hz_loan_cd*G183,0))</f>
        <v/>
      </c>
      <c r="BV184" s="14">
        <f>F184*BU184*IF(B184&gt;=in_marketplace_from,d_hz_loan_cd*G184,0)*in_loan_cd_ticket*in_loan_cd_comm</f>
        <v/>
      </c>
      <c r="BW184" s="40">
        <f>BW183*(1-IF(B183&gt;=in_marketplace_from,d_hz_loan_vehicle*G183,0))</f>
        <v/>
      </c>
      <c r="BX184" s="14">
        <f>F184*BW184*IF(B184&gt;=in_marketplace_from,d_hz_loan_vehicle*G184,0)*in_loan_vehicle_ticket*in_loan_vehicle_comm</f>
        <v/>
      </c>
      <c r="BY184" s="40">
        <f>BY183*(1-IF(B183&gt;=in_marketplace_from,d_hz_loan_home*G183,0)*BZ183)</f>
        <v/>
      </c>
      <c r="BZ184" s="11">
        <f>MIN(in_approval_cap,in_loan_home_approval*INDEX('Age profile'!$O$2:$O$61,B184)*(1+in_approval_growth)^(D184-1))</f>
        <v/>
      </c>
      <c r="CA184" s="14">
        <f>F184*BY184*IF(B184&gt;=in_marketplace_from,d_hz_loan_home*G184,0)*BZ184*in_loan_home_ticket*in_loan_home_comm</f>
        <v/>
      </c>
      <c r="CB184" s="40">
        <f>CB183*(1-IF(B183&gt;=in_marketplace_from,d_hz_loan_lap*G183,0)*CC183)</f>
        <v/>
      </c>
      <c r="CC184" s="11">
        <f>MIN(in_approval_cap,in_loan_lap_approval*INDEX('Age profile'!$O$2:$O$61,B184)*(1+in_approval_growth)^(D184-1))</f>
        <v/>
      </c>
      <c r="CD184" s="14">
        <f>F184*CB184*IF(B184&gt;=in_marketplace_from,d_hz_loan_lap*G184,0)*CC184*in_loan_lap_ticket*in_loan_lap_comm</f>
        <v/>
      </c>
      <c r="CE184" s="14">
        <f>AA184+AB184+AC184+AD184+AG184+AJ184+AM184+AP184+AS184+AU184+AX184+BB184+BE184+BG184+BJ184+BL184+BO184+BR184+BT184+BV184+BX184+CA184+CD184</f>
        <v/>
      </c>
    </row>
    <row r="185">
      <c r="A185" s="39" t="n">
        <v>4</v>
      </c>
      <c r="B185" s="39" t="n">
        <v>7</v>
      </c>
      <c r="C185" s="39">
        <f>A185+B185-1</f>
        <v/>
      </c>
      <c r="D185" s="39">
        <f>INT((C185-1)/12)+1</f>
        <v/>
      </c>
      <c r="E185" s="44">
        <f>INDEX(Monthly!$B$2:$B$61,A185)</f>
        <v/>
      </c>
      <c r="F185" s="44">
        <f>E185*INDEX('Age profile'!$B$2:$B$61,B185)</f>
        <v/>
      </c>
      <c r="G185" s="45">
        <f>MIN(in_takeup_cap,INDEX('Age profile'!$N$2:$N$61,B185)*(1+in_takeup_growth)^(D185-1))</f>
        <v/>
      </c>
      <c r="H185" s="11">
        <f>MIN(in_approval_cap,in_approved_first*INDEX('Age profile'!$O$2:$O$61,B185)*(1+in_approval_growth)^(D185-1))</f>
        <v/>
      </c>
      <c r="I185" s="45">
        <f>G185*MIN(in_takeup_cap,INDEX('Age profile'!$O$2:$O$61,B185)*(1+in_approval_growth)^(D185-1))</f>
        <v/>
      </c>
      <c r="J185" s="40">
        <f>(J184-L184)*F185/F184</f>
        <v/>
      </c>
      <c r="K185" s="40">
        <f>(K184-M184)*F185/F184+SUMIFS(O179:O184,B179:B184,B185-1-d_T)*F185</f>
        <v/>
      </c>
      <c r="L185" s="40">
        <f>IF(B185&gt;=in_marketplace_from,J185*d_hz*G185*in_eligible*H185,0)</f>
        <v/>
      </c>
      <c r="M185" s="40">
        <f>IF(B185&gt;=in_marketplace_from,K185*d_hz*G185*in_eligible*in_approved_repeat,0)</f>
        <v/>
      </c>
      <c r="N185" s="40">
        <f>L185+M185</f>
        <v/>
      </c>
      <c r="O185" s="46">
        <f>N185/F185</f>
        <v/>
      </c>
      <c r="P185" s="40">
        <f>F185-J185-K185</f>
        <v/>
      </c>
      <c r="Q185" s="40">
        <f>IF(B185&gt;=in_marketplace_from,(J185+K185)*d_hz*G185,0)</f>
        <v/>
      </c>
      <c r="R185" s="40">
        <f>SUMIFS(N179:N235,B179:B235,"&gt;="&amp;(B185-d_T),B179:B235,"&lt;="&amp;(B185-1))</f>
        <v/>
      </c>
      <c r="S185" s="46">
        <f>(1-d_u)*S184+IF(d_T&gt;in_topup_lag,SUMIFS(O179:O235,B179:B235,B185-in_topup_lag)-d_udrop*SUMIFS(O179:O235,B179:B235,B185-d_T),0)</f>
        <v/>
      </c>
      <c r="T185" s="40">
        <f>F185*d_u*S185</f>
        <v/>
      </c>
      <c r="U185" s="9">
        <f>L185*in_ticket+M185*d_rep_ticket</f>
        <v/>
      </c>
      <c r="V185" s="9">
        <f>U185+T185*d_topup_amt</f>
        <v/>
      </c>
      <c r="W185" s="40">
        <f>N185+T185*d_topup_ratio</f>
        <v/>
      </c>
      <c r="X185" s="40">
        <f>SUMIFS(W179:W235,B179:B235,B185-in_dpd_lag)*d_cured</f>
        <v/>
      </c>
      <c r="Y185" s="40">
        <f>SUMIFS(W179:W235,B179:B235,B185-in_rec_lag)*d_recd</f>
        <v/>
      </c>
      <c r="Z185" s="40">
        <f>IF(AND(B185&gt;=in_marketplace_from,B185&lt;in_marketplace_from+in_card_months),in_card_share/in_card_months*F185*I185,IF(AND(B185&gt;=in_marketplace_from+in_card_months,B185&lt;in_marketplace_from+2*in_card_months),in_card_share*d_card_rem/in_card_months*F185*MIN(in_takeup_cap,(1+in_takeup_growth)^(D185-1))*MIN(in_takeup_cap,(1+in_approval_growth)^(D185-1)),0))</f>
        <v/>
      </c>
      <c r="AA185" s="14">
        <f>V185*in_fee*(1-in_taken_back)</f>
        <v/>
      </c>
      <c r="AB185" s="14">
        <f>SUMIFS(W179:W235,B179:B235,B185-in_dpd_lag)*d_dpd</f>
        <v/>
      </c>
      <c r="AC185" s="14">
        <f>SUMIFS(W179:W235,B179:B235,B185-in_rec_lag)*d_rec</f>
        <v/>
      </c>
      <c r="AD185" s="14">
        <f>Z185*in_card_fee</f>
        <v/>
      </c>
      <c r="AE185" s="40">
        <f>AE184*(1-IF(B184&gt;=in_marketplace_from,d_hz_hlth_small*G184,0))</f>
        <v/>
      </c>
      <c r="AF185" s="46">
        <f>AE185*IF(B185&gt;=in_marketplace_from,d_hz_hlth_small*G185,0)</f>
        <v/>
      </c>
      <c r="AG185" s="14">
        <f>F185*AF185*in_hlth_small_ticket*in_hlth_small_comm*in_ins_partner_share+F185*in_hlth_small_ticket*in_hlth_small_renew_comm*in_ins_partner_share*(in_hlth_small_renew^1*SUMIFS(AF179:AF235,B179:B235,B185-12)+in_hlth_small_renew^2*SUMIFS(AF179:AF235,B179:B235,B185-24)+in_hlth_small_renew^3*SUMIFS(AF179:AF235,B179:B235,B185-36)+in_hlth_small_renew^4*SUMIFS(AF179:AF235,B179:B235,B185-48))</f>
        <v/>
      </c>
      <c r="AH185" s="40">
        <f>AH184*(1-IF(B184&gt;=in_marketplace_from,d_hz_hlth_family*G184,0))</f>
        <v/>
      </c>
      <c r="AI185" s="46">
        <f>AH185*IF(B185&gt;=in_marketplace_from,d_hz_hlth_family*G185,0)</f>
        <v/>
      </c>
      <c r="AJ185" s="14">
        <f>F185*AI185*in_hlth_family_ticket*in_hlth_family_comm*in_ins_partner_share+F185*in_hlth_family_ticket*in_hlth_family_renew_comm*in_ins_partner_share*(in_hlth_family_renew^1*SUMIFS(AI179:AI235,B179:B235,B185-12)+in_hlth_family_renew^2*SUMIFS(AI179:AI235,B179:B235,B185-24)+in_hlth_family_renew^3*SUMIFS(AI179:AI235,B179:B235,B185-36)+in_hlth_family_renew^4*SUMIFS(AI179:AI235,B179:B235,B185-48))</f>
        <v/>
      </c>
      <c r="AK185" s="40">
        <f>AK184*(1-IF(B184&gt;=in_marketplace_from,d_hz_life_term*G184,0))</f>
        <v/>
      </c>
      <c r="AL185" s="46">
        <f>AK185*IF(B185&gt;=in_marketplace_from,d_hz_life_term*G185,0)</f>
        <v/>
      </c>
      <c r="AM185" s="14">
        <f>F185*AL185*in_life_term_ticket*in_life_term_comm*in_ins_partner_share+F185*in_life_term_ticket*in_life_term_renew_comm*in_ins_partner_share*(in_life_term_renew^1*SUMIFS(AL179:AL235,B179:B235,B185-12)+in_life_term_renew^2*SUMIFS(AL179:AL235,B179:B235,B185-24)+in_life_term_renew^3*SUMIFS(AL179:AL235,B179:B235,B185-36)+in_life_term_renew^4*SUMIFS(AL179:AL235,B179:B235,B185-48))</f>
        <v/>
      </c>
      <c r="AN185" s="40">
        <f>AN184*(1-IF(B184&gt;=in_marketplace_from,d_hz_accident*G184,0))</f>
        <v/>
      </c>
      <c r="AO185" s="46">
        <f>AN185*IF(B185&gt;=in_marketplace_from,d_hz_accident*G185,0)</f>
        <v/>
      </c>
      <c r="AP185" s="14">
        <f>F185*AO185*in_accident_ticket*in_accident_comm*in_ins_partner_share+F185*in_accident_ticket*in_accident_renew_comm*in_ins_partner_share*(in_accident_renew^1*SUMIFS(AO179:AO235,B179:B235,B185-12)+in_accident_renew^2*SUMIFS(AO179:AO235,B179:B235,B185-24)+in_accident_renew^3*SUMIFS(AO179:AO235,B179:B235,B185-36)+in_accident_renew^4*SUMIFS(AO179:AO235,B179:B235,B185-48))</f>
        <v/>
      </c>
      <c r="AQ185" s="40">
        <f>AQ184*(1-IF(B184&gt;=in_marketplace_from,d_hz_two_wheeler*G184,0))</f>
        <v/>
      </c>
      <c r="AR185" s="46">
        <f>AQ185*IF(B185&gt;=in_marketplace_from,d_hz_two_wheeler*G185,0)</f>
        <v/>
      </c>
      <c r="AS185" s="14">
        <f>F185*AR185*in_two_wheeler_ticket*in_two_wheeler_comm*in_ins_partner_share+F185*in_two_wheeler_ticket*in_two_wheeler_comm*in_ins_partner_share*(in_two_wheeler_renew^1*SUMIFS(AR179:AR235,B179:B235,B185-12)+in_two_wheeler_renew^2*SUMIFS(AR179:AR235,B179:B235,B185-24)+in_two_wheeler_renew^3*SUMIFS(AR179:AR235,B179:B235,B185-36)+in_two_wheeler_renew^4*SUMIFS(AR179:AR235,B179:B235,B185-48))</f>
        <v/>
      </c>
      <c r="AT185" s="40">
        <f>AT184*(1-IF(B184&gt;=in_marketplace_from,d_hz_device*G184,0))</f>
        <v/>
      </c>
      <c r="AU185" s="14">
        <f>F185*AT185*IF(B185&gt;=in_marketplace_from,d_hz_device*G185,0)*in_device_ticket*in_device_comm*in_ins_partner_share</f>
        <v/>
      </c>
      <c r="AV185" s="40">
        <f>AV184*(1-IF(B184&gt;=in_marketplace_from,d_hz_shop*G184,0))</f>
        <v/>
      </c>
      <c r="AW185" s="46">
        <f>AV185*IF(B185&gt;=in_marketplace_from,d_hz_shop*G185,0)</f>
        <v/>
      </c>
      <c r="AX185" s="14">
        <f>F185*AW185*in_shop_ticket*in_shop_comm*in_ins_partner_share+F185*in_shop_ticket*in_shop_renew_comm*in_ins_partner_share*(in_shop_renew^1*SUMIFS(AW179:AW235,B179:B235,B185-12)+in_shop_renew^2*SUMIFS(AW179:AW235,B179:B235,B185-24)+in_shop_renew^3*SUMIFS(AW179:AW235,B179:B235,B185-36)+in_shop_renew^4*SUMIFS(AW179:AW235,B179:B235,B185-48))</f>
        <v/>
      </c>
      <c r="AY185" s="40">
        <f>AY184*(1-IF(B184&gt;=in_marketplace_from,d_hz_sip*G184,0))</f>
        <v/>
      </c>
      <c r="AZ185" s="40">
        <f>AZ184*d_rho_sip+AY185*IF(B185&gt;=in_marketplace_from,d_hz_sip*G185,0)</f>
        <v/>
      </c>
      <c r="BA185" s="40">
        <f>d_rho_sip*(BA184+AZ184)</f>
        <v/>
      </c>
      <c r="BB185" s="14">
        <f>F185*in_sip_ticket*(BA185+0.5*AZ185)*in_sip_comm/12</f>
        <v/>
      </c>
      <c r="BC185" s="40">
        <f>BC184*(1-IF(B184&gt;=in_marketplace_from,d_hz_choti*G184,0))</f>
        <v/>
      </c>
      <c r="BD185" s="46">
        <f>BC185*IF(B185&gt;=in_marketplace_from,d_hz_choti*G185,0)</f>
        <v/>
      </c>
      <c r="BE185" s="14">
        <f>F185*SUMIFS(BD179:BD235,B179:B235,B185-in_choti_months)*in_choti_renew*in_choti_ticket</f>
        <v/>
      </c>
      <c r="BF185" s="40">
        <f>BF184*(1-IF(B184&gt;=in_marketplace_from,d_hz_nps*G184,0))</f>
        <v/>
      </c>
      <c r="BG185" s="14">
        <f>F185*BF185*IF(B185&gt;=in_marketplace_from,d_hz_nps*G185,0)*in_nps_ticket*in_nps_comm</f>
        <v/>
      </c>
      <c r="BH185" s="40">
        <f>BH184*(1-IF(B184&gt;=in_marketplace_from,d_hz_gold*G184,0))</f>
        <v/>
      </c>
      <c r="BI185" s="40">
        <f>BI184*d_rho_gold+BH185*IF(B185&gt;=in_marketplace_from,d_hz_gold*G185,0)</f>
        <v/>
      </c>
      <c r="BJ185" s="14">
        <f>F185*BI185*in_gold_ticket*in_gold_comm</f>
        <v/>
      </c>
      <c r="BK185" s="40">
        <f>BK184*(1-IF(B184&gt;=in_marketplace_from,d_hz_fd*G184,0))</f>
        <v/>
      </c>
      <c r="BL185" s="14">
        <f>F185*BK185*IF(B185&gt;=in_marketplace_from,d_hz_fd*G185,0)*in_fd_ticket*in_fd_comm</f>
        <v/>
      </c>
      <c r="BM185" s="40">
        <f>BM184*(1-IF(B184&gt;=in_marketplace_from,d_hz_recharge*G184,0))</f>
        <v/>
      </c>
      <c r="BN185" s="40">
        <f>BN184*d_rho_recharge+BM185*IF(B185&gt;=in_marketplace_from,d_hz_recharge*G185,0)</f>
        <v/>
      </c>
      <c r="BO185" s="14">
        <f>F185*BN185*in_recharge_ticket*in_recharge_comm/12</f>
        <v/>
      </c>
      <c r="BP185" s="40">
        <f>BP184*(1-IF(B184&gt;=in_marketplace_from,d_hz_bills*G184,0))</f>
        <v/>
      </c>
      <c r="BQ185" s="40">
        <f>BQ184*d_rho_bills+BP185*IF(B185&gt;=in_marketplace_from,d_hz_bills*G185,0)</f>
        <v/>
      </c>
      <c r="BR185" s="14">
        <f>F185*BQ185*in_bills_ticket*in_bills_comm/12</f>
        <v/>
      </c>
      <c r="BS185" s="40">
        <f>BS184*(1-IF(B184&gt;=in_marketplace_from,d_hz_loan_gold*G184,0))</f>
        <v/>
      </c>
      <c r="BT185" s="14">
        <f>F185*BS185*IF(B185&gt;=in_marketplace_from,d_hz_loan_gold*G185,0)*in_loan_gold_ticket*in_loan_gold_comm</f>
        <v/>
      </c>
      <c r="BU185" s="40">
        <f>BU184*(1-IF(B184&gt;=in_marketplace_from,d_hz_loan_cd*G184,0))</f>
        <v/>
      </c>
      <c r="BV185" s="14">
        <f>F185*BU185*IF(B185&gt;=in_marketplace_from,d_hz_loan_cd*G185,0)*in_loan_cd_ticket*in_loan_cd_comm</f>
        <v/>
      </c>
      <c r="BW185" s="40">
        <f>BW184*(1-IF(B184&gt;=in_marketplace_from,d_hz_loan_vehicle*G184,0))</f>
        <v/>
      </c>
      <c r="BX185" s="14">
        <f>F185*BW185*IF(B185&gt;=in_marketplace_from,d_hz_loan_vehicle*G185,0)*in_loan_vehicle_ticket*in_loan_vehicle_comm</f>
        <v/>
      </c>
      <c r="BY185" s="40">
        <f>BY184*(1-IF(B184&gt;=in_marketplace_from,d_hz_loan_home*G184,0)*BZ184)</f>
        <v/>
      </c>
      <c r="BZ185" s="11">
        <f>MIN(in_approval_cap,in_loan_home_approval*INDEX('Age profile'!$O$2:$O$61,B185)*(1+in_approval_growth)^(D185-1))</f>
        <v/>
      </c>
      <c r="CA185" s="14">
        <f>F185*BY185*IF(B185&gt;=in_marketplace_from,d_hz_loan_home*G185,0)*BZ185*in_loan_home_ticket*in_loan_home_comm</f>
        <v/>
      </c>
      <c r="CB185" s="40">
        <f>CB184*(1-IF(B184&gt;=in_marketplace_from,d_hz_loan_lap*G184,0)*CC184)</f>
        <v/>
      </c>
      <c r="CC185" s="11">
        <f>MIN(in_approval_cap,in_loan_lap_approval*INDEX('Age profile'!$O$2:$O$61,B185)*(1+in_approval_growth)^(D185-1))</f>
        <v/>
      </c>
      <c r="CD185" s="14">
        <f>F185*CB185*IF(B185&gt;=in_marketplace_from,d_hz_loan_lap*G185,0)*CC185*in_loan_lap_ticket*in_loan_lap_comm</f>
        <v/>
      </c>
      <c r="CE185" s="14">
        <f>AA185+AB185+AC185+AD185+AG185+AJ185+AM185+AP185+AS185+AU185+AX185+BB185+BE185+BG185+BJ185+BL185+BO185+BR185+BT185+BV185+BX185+CA185+CD185</f>
        <v/>
      </c>
    </row>
    <row r="186">
      <c r="A186" s="39" t="n">
        <v>4</v>
      </c>
      <c r="B186" s="39" t="n">
        <v>8</v>
      </c>
      <c r="C186" s="39">
        <f>A186+B186-1</f>
        <v/>
      </c>
      <c r="D186" s="39">
        <f>INT((C186-1)/12)+1</f>
        <v/>
      </c>
      <c r="E186" s="44">
        <f>INDEX(Monthly!$B$2:$B$61,A186)</f>
        <v/>
      </c>
      <c r="F186" s="44">
        <f>E186*INDEX('Age profile'!$B$2:$B$61,B186)</f>
        <v/>
      </c>
      <c r="G186" s="45">
        <f>MIN(in_takeup_cap,INDEX('Age profile'!$N$2:$N$61,B186)*(1+in_takeup_growth)^(D186-1))</f>
        <v/>
      </c>
      <c r="H186" s="11">
        <f>MIN(in_approval_cap,in_approved_first*INDEX('Age profile'!$O$2:$O$61,B186)*(1+in_approval_growth)^(D186-1))</f>
        <v/>
      </c>
      <c r="I186" s="45">
        <f>G186*MIN(in_takeup_cap,INDEX('Age profile'!$O$2:$O$61,B186)*(1+in_approval_growth)^(D186-1))</f>
        <v/>
      </c>
      <c r="J186" s="40">
        <f>(J185-L185)*F186/F185</f>
        <v/>
      </c>
      <c r="K186" s="40">
        <f>(K185-M185)*F186/F185+SUMIFS(O179:O185,B179:B185,B186-1-d_T)*F186</f>
        <v/>
      </c>
      <c r="L186" s="40">
        <f>IF(B186&gt;=in_marketplace_from,J186*d_hz*G186*in_eligible*H186,0)</f>
        <v/>
      </c>
      <c r="M186" s="40">
        <f>IF(B186&gt;=in_marketplace_from,K186*d_hz*G186*in_eligible*in_approved_repeat,0)</f>
        <v/>
      </c>
      <c r="N186" s="40">
        <f>L186+M186</f>
        <v/>
      </c>
      <c r="O186" s="46">
        <f>N186/F186</f>
        <v/>
      </c>
      <c r="P186" s="40">
        <f>F186-J186-K186</f>
        <v/>
      </c>
      <c r="Q186" s="40">
        <f>IF(B186&gt;=in_marketplace_from,(J186+K186)*d_hz*G186,0)</f>
        <v/>
      </c>
      <c r="R186" s="40">
        <f>SUMIFS(N179:N235,B179:B235,"&gt;="&amp;(B186-d_T),B179:B235,"&lt;="&amp;(B186-1))</f>
        <v/>
      </c>
      <c r="S186" s="46">
        <f>(1-d_u)*S185+IF(d_T&gt;in_topup_lag,SUMIFS(O179:O235,B179:B235,B186-in_topup_lag)-d_udrop*SUMIFS(O179:O235,B179:B235,B186-d_T),0)</f>
        <v/>
      </c>
      <c r="T186" s="40">
        <f>F186*d_u*S186</f>
        <v/>
      </c>
      <c r="U186" s="9">
        <f>L186*in_ticket+M186*d_rep_ticket</f>
        <v/>
      </c>
      <c r="V186" s="9">
        <f>U186+T186*d_topup_amt</f>
        <v/>
      </c>
      <c r="W186" s="40">
        <f>N186+T186*d_topup_ratio</f>
        <v/>
      </c>
      <c r="X186" s="40">
        <f>SUMIFS(W179:W235,B179:B235,B186-in_dpd_lag)*d_cured</f>
        <v/>
      </c>
      <c r="Y186" s="40">
        <f>SUMIFS(W179:W235,B179:B235,B186-in_rec_lag)*d_recd</f>
        <v/>
      </c>
      <c r="Z186" s="40">
        <f>IF(AND(B186&gt;=in_marketplace_from,B186&lt;in_marketplace_from+in_card_months),in_card_share/in_card_months*F186*I186,IF(AND(B186&gt;=in_marketplace_from+in_card_months,B186&lt;in_marketplace_from+2*in_card_months),in_card_share*d_card_rem/in_card_months*F186*MIN(in_takeup_cap,(1+in_takeup_growth)^(D186-1))*MIN(in_takeup_cap,(1+in_approval_growth)^(D186-1)),0))</f>
        <v/>
      </c>
      <c r="AA186" s="14">
        <f>V186*in_fee*(1-in_taken_back)</f>
        <v/>
      </c>
      <c r="AB186" s="14">
        <f>SUMIFS(W179:W235,B179:B235,B186-in_dpd_lag)*d_dpd</f>
        <v/>
      </c>
      <c r="AC186" s="14">
        <f>SUMIFS(W179:W235,B179:B235,B186-in_rec_lag)*d_rec</f>
        <v/>
      </c>
      <c r="AD186" s="14">
        <f>Z186*in_card_fee</f>
        <v/>
      </c>
      <c r="AE186" s="40">
        <f>AE185*(1-IF(B185&gt;=in_marketplace_from,d_hz_hlth_small*G185,0))</f>
        <v/>
      </c>
      <c r="AF186" s="46">
        <f>AE186*IF(B186&gt;=in_marketplace_from,d_hz_hlth_small*G186,0)</f>
        <v/>
      </c>
      <c r="AG186" s="14">
        <f>F186*AF186*in_hlth_small_ticket*in_hlth_small_comm*in_ins_partner_share+F186*in_hlth_small_ticket*in_hlth_small_renew_comm*in_ins_partner_share*(in_hlth_small_renew^1*SUMIFS(AF179:AF235,B179:B235,B186-12)+in_hlth_small_renew^2*SUMIFS(AF179:AF235,B179:B235,B186-24)+in_hlth_small_renew^3*SUMIFS(AF179:AF235,B179:B235,B186-36)+in_hlth_small_renew^4*SUMIFS(AF179:AF235,B179:B235,B186-48))</f>
        <v/>
      </c>
      <c r="AH186" s="40">
        <f>AH185*(1-IF(B185&gt;=in_marketplace_from,d_hz_hlth_family*G185,0))</f>
        <v/>
      </c>
      <c r="AI186" s="46">
        <f>AH186*IF(B186&gt;=in_marketplace_from,d_hz_hlth_family*G186,0)</f>
        <v/>
      </c>
      <c r="AJ186" s="14">
        <f>F186*AI186*in_hlth_family_ticket*in_hlth_family_comm*in_ins_partner_share+F186*in_hlth_family_ticket*in_hlth_family_renew_comm*in_ins_partner_share*(in_hlth_family_renew^1*SUMIFS(AI179:AI235,B179:B235,B186-12)+in_hlth_family_renew^2*SUMIFS(AI179:AI235,B179:B235,B186-24)+in_hlth_family_renew^3*SUMIFS(AI179:AI235,B179:B235,B186-36)+in_hlth_family_renew^4*SUMIFS(AI179:AI235,B179:B235,B186-48))</f>
        <v/>
      </c>
      <c r="AK186" s="40">
        <f>AK185*(1-IF(B185&gt;=in_marketplace_from,d_hz_life_term*G185,0))</f>
        <v/>
      </c>
      <c r="AL186" s="46">
        <f>AK186*IF(B186&gt;=in_marketplace_from,d_hz_life_term*G186,0)</f>
        <v/>
      </c>
      <c r="AM186" s="14">
        <f>F186*AL186*in_life_term_ticket*in_life_term_comm*in_ins_partner_share+F186*in_life_term_ticket*in_life_term_renew_comm*in_ins_partner_share*(in_life_term_renew^1*SUMIFS(AL179:AL235,B179:B235,B186-12)+in_life_term_renew^2*SUMIFS(AL179:AL235,B179:B235,B186-24)+in_life_term_renew^3*SUMIFS(AL179:AL235,B179:B235,B186-36)+in_life_term_renew^4*SUMIFS(AL179:AL235,B179:B235,B186-48))</f>
        <v/>
      </c>
      <c r="AN186" s="40">
        <f>AN185*(1-IF(B185&gt;=in_marketplace_from,d_hz_accident*G185,0))</f>
        <v/>
      </c>
      <c r="AO186" s="46">
        <f>AN186*IF(B186&gt;=in_marketplace_from,d_hz_accident*G186,0)</f>
        <v/>
      </c>
      <c r="AP186" s="14">
        <f>F186*AO186*in_accident_ticket*in_accident_comm*in_ins_partner_share+F186*in_accident_ticket*in_accident_renew_comm*in_ins_partner_share*(in_accident_renew^1*SUMIFS(AO179:AO235,B179:B235,B186-12)+in_accident_renew^2*SUMIFS(AO179:AO235,B179:B235,B186-24)+in_accident_renew^3*SUMIFS(AO179:AO235,B179:B235,B186-36)+in_accident_renew^4*SUMIFS(AO179:AO235,B179:B235,B186-48))</f>
        <v/>
      </c>
      <c r="AQ186" s="40">
        <f>AQ185*(1-IF(B185&gt;=in_marketplace_from,d_hz_two_wheeler*G185,0))</f>
        <v/>
      </c>
      <c r="AR186" s="46">
        <f>AQ186*IF(B186&gt;=in_marketplace_from,d_hz_two_wheeler*G186,0)</f>
        <v/>
      </c>
      <c r="AS186" s="14">
        <f>F186*AR186*in_two_wheeler_ticket*in_two_wheeler_comm*in_ins_partner_share+F186*in_two_wheeler_ticket*in_two_wheeler_comm*in_ins_partner_share*(in_two_wheeler_renew^1*SUMIFS(AR179:AR235,B179:B235,B186-12)+in_two_wheeler_renew^2*SUMIFS(AR179:AR235,B179:B235,B186-24)+in_two_wheeler_renew^3*SUMIFS(AR179:AR235,B179:B235,B186-36)+in_two_wheeler_renew^4*SUMIFS(AR179:AR235,B179:B235,B186-48))</f>
        <v/>
      </c>
      <c r="AT186" s="40">
        <f>AT185*(1-IF(B185&gt;=in_marketplace_from,d_hz_device*G185,0))</f>
        <v/>
      </c>
      <c r="AU186" s="14">
        <f>F186*AT186*IF(B186&gt;=in_marketplace_from,d_hz_device*G186,0)*in_device_ticket*in_device_comm*in_ins_partner_share</f>
        <v/>
      </c>
      <c r="AV186" s="40">
        <f>AV185*(1-IF(B185&gt;=in_marketplace_from,d_hz_shop*G185,0))</f>
        <v/>
      </c>
      <c r="AW186" s="46">
        <f>AV186*IF(B186&gt;=in_marketplace_from,d_hz_shop*G186,0)</f>
        <v/>
      </c>
      <c r="AX186" s="14">
        <f>F186*AW186*in_shop_ticket*in_shop_comm*in_ins_partner_share+F186*in_shop_ticket*in_shop_renew_comm*in_ins_partner_share*(in_shop_renew^1*SUMIFS(AW179:AW235,B179:B235,B186-12)+in_shop_renew^2*SUMIFS(AW179:AW235,B179:B235,B186-24)+in_shop_renew^3*SUMIFS(AW179:AW235,B179:B235,B186-36)+in_shop_renew^4*SUMIFS(AW179:AW235,B179:B235,B186-48))</f>
        <v/>
      </c>
      <c r="AY186" s="40">
        <f>AY185*(1-IF(B185&gt;=in_marketplace_from,d_hz_sip*G185,0))</f>
        <v/>
      </c>
      <c r="AZ186" s="40">
        <f>AZ185*d_rho_sip+AY186*IF(B186&gt;=in_marketplace_from,d_hz_sip*G186,0)</f>
        <v/>
      </c>
      <c r="BA186" s="40">
        <f>d_rho_sip*(BA185+AZ185)</f>
        <v/>
      </c>
      <c r="BB186" s="14">
        <f>F186*in_sip_ticket*(BA186+0.5*AZ186)*in_sip_comm/12</f>
        <v/>
      </c>
      <c r="BC186" s="40">
        <f>BC185*(1-IF(B185&gt;=in_marketplace_from,d_hz_choti*G185,0))</f>
        <v/>
      </c>
      <c r="BD186" s="46">
        <f>BC186*IF(B186&gt;=in_marketplace_from,d_hz_choti*G186,0)</f>
        <v/>
      </c>
      <c r="BE186" s="14">
        <f>F186*SUMIFS(BD179:BD235,B179:B235,B186-in_choti_months)*in_choti_renew*in_choti_ticket</f>
        <v/>
      </c>
      <c r="BF186" s="40">
        <f>BF185*(1-IF(B185&gt;=in_marketplace_from,d_hz_nps*G185,0))</f>
        <v/>
      </c>
      <c r="BG186" s="14">
        <f>F186*BF186*IF(B186&gt;=in_marketplace_from,d_hz_nps*G186,0)*in_nps_ticket*in_nps_comm</f>
        <v/>
      </c>
      <c r="BH186" s="40">
        <f>BH185*(1-IF(B185&gt;=in_marketplace_from,d_hz_gold*G185,0))</f>
        <v/>
      </c>
      <c r="BI186" s="40">
        <f>BI185*d_rho_gold+BH186*IF(B186&gt;=in_marketplace_from,d_hz_gold*G186,0)</f>
        <v/>
      </c>
      <c r="BJ186" s="14">
        <f>F186*BI186*in_gold_ticket*in_gold_comm</f>
        <v/>
      </c>
      <c r="BK186" s="40">
        <f>BK185*(1-IF(B185&gt;=in_marketplace_from,d_hz_fd*G185,0))</f>
        <v/>
      </c>
      <c r="BL186" s="14">
        <f>F186*BK186*IF(B186&gt;=in_marketplace_from,d_hz_fd*G186,0)*in_fd_ticket*in_fd_comm</f>
        <v/>
      </c>
      <c r="BM186" s="40">
        <f>BM185*(1-IF(B185&gt;=in_marketplace_from,d_hz_recharge*G185,0))</f>
        <v/>
      </c>
      <c r="BN186" s="40">
        <f>BN185*d_rho_recharge+BM186*IF(B186&gt;=in_marketplace_from,d_hz_recharge*G186,0)</f>
        <v/>
      </c>
      <c r="BO186" s="14">
        <f>F186*BN186*in_recharge_ticket*in_recharge_comm/12</f>
        <v/>
      </c>
      <c r="BP186" s="40">
        <f>BP185*(1-IF(B185&gt;=in_marketplace_from,d_hz_bills*G185,0))</f>
        <v/>
      </c>
      <c r="BQ186" s="40">
        <f>BQ185*d_rho_bills+BP186*IF(B186&gt;=in_marketplace_from,d_hz_bills*G186,0)</f>
        <v/>
      </c>
      <c r="BR186" s="14">
        <f>F186*BQ186*in_bills_ticket*in_bills_comm/12</f>
        <v/>
      </c>
      <c r="BS186" s="40">
        <f>BS185*(1-IF(B185&gt;=in_marketplace_from,d_hz_loan_gold*G185,0))</f>
        <v/>
      </c>
      <c r="BT186" s="14">
        <f>F186*BS186*IF(B186&gt;=in_marketplace_from,d_hz_loan_gold*G186,0)*in_loan_gold_ticket*in_loan_gold_comm</f>
        <v/>
      </c>
      <c r="BU186" s="40">
        <f>BU185*(1-IF(B185&gt;=in_marketplace_from,d_hz_loan_cd*G185,0))</f>
        <v/>
      </c>
      <c r="BV186" s="14">
        <f>F186*BU186*IF(B186&gt;=in_marketplace_from,d_hz_loan_cd*G186,0)*in_loan_cd_ticket*in_loan_cd_comm</f>
        <v/>
      </c>
      <c r="BW186" s="40">
        <f>BW185*(1-IF(B185&gt;=in_marketplace_from,d_hz_loan_vehicle*G185,0))</f>
        <v/>
      </c>
      <c r="BX186" s="14">
        <f>F186*BW186*IF(B186&gt;=in_marketplace_from,d_hz_loan_vehicle*G186,0)*in_loan_vehicle_ticket*in_loan_vehicle_comm</f>
        <v/>
      </c>
      <c r="BY186" s="40">
        <f>BY185*(1-IF(B185&gt;=in_marketplace_from,d_hz_loan_home*G185,0)*BZ185)</f>
        <v/>
      </c>
      <c r="BZ186" s="11">
        <f>MIN(in_approval_cap,in_loan_home_approval*INDEX('Age profile'!$O$2:$O$61,B186)*(1+in_approval_growth)^(D186-1))</f>
        <v/>
      </c>
      <c r="CA186" s="14">
        <f>F186*BY186*IF(B186&gt;=in_marketplace_from,d_hz_loan_home*G186,0)*BZ186*in_loan_home_ticket*in_loan_home_comm</f>
        <v/>
      </c>
      <c r="CB186" s="40">
        <f>CB185*(1-IF(B185&gt;=in_marketplace_from,d_hz_loan_lap*G185,0)*CC185)</f>
        <v/>
      </c>
      <c r="CC186" s="11">
        <f>MIN(in_approval_cap,in_loan_lap_approval*INDEX('Age profile'!$O$2:$O$61,B186)*(1+in_approval_growth)^(D186-1))</f>
        <v/>
      </c>
      <c r="CD186" s="14">
        <f>F186*CB186*IF(B186&gt;=in_marketplace_from,d_hz_loan_lap*G186,0)*CC186*in_loan_lap_ticket*in_loan_lap_comm</f>
        <v/>
      </c>
      <c r="CE186" s="14">
        <f>AA186+AB186+AC186+AD186+AG186+AJ186+AM186+AP186+AS186+AU186+AX186+BB186+BE186+BG186+BJ186+BL186+BO186+BR186+BT186+BV186+BX186+CA186+CD186</f>
        <v/>
      </c>
    </row>
    <row r="187">
      <c r="A187" s="39" t="n">
        <v>4</v>
      </c>
      <c r="B187" s="39" t="n">
        <v>9</v>
      </c>
      <c r="C187" s="39">
        <f>A187+B187-1</f>
        <v/>
      </c>
      <c r="D187" s="39">
        <f>INT((C187-1)/12)+1</f>
        <v/>
      </c>
      <c r="E187" s="44">
        <f>INDEX(Monthly!$B$2:$B$61,A187)</f>
        <v/>
      </c>
      <c r="F187" s="44">
        <f>E187*INDEX('Age profile'!$B$2:$B$61,B187)</f>
        <v/>
      </c>
      <c r="G187" s="45">
        <f>MIN(in_takeup_cap,INDEX('Age profile'!$N$2:$N$61,B187)*(1+in_takeup_growth)^(D187-1))</f>
        <v/>
      </c>
      <c r="H187" s="11">
        <f>MIN(in_approval_cap,in_approved_first*INDEX('Age profile'!$O$2:$O$61,B187)*(1+in_approval_growth)^(D187-1))</f>
        <v/>
      </c>
      <c r="I187" s="45">
        <f>G187*MIN(in_takeup_cap,INDEX('Age profile'!$O$2:$O$61,B187)*(1+in_approval_growth)^(D187-1))</f>
        <v/>
      </c>
      <c r="J187" s="40">
        <f>(J186-L186)*F187/F186</f>
        <v/>
      </c>
      <c r="K187" s="40">
        <f>(K186-M186)*F187/F186+SUMIFS(O179:O186,B179:B186,B187-1-d_T)*F187</f>
        <v/>
      </c>
      <c r="L187" s="40">
        <f>IF(B187&gt;=in_marketplace_from,J187*d_hz*G187*in_eligible*H187,0)</f>
        <v/>
      </c>
      <c r="M187" s="40">
        <f>IF(B187&gt;=in_marketplace_from,K187*d_hz*G187*in_eligible*in_approved_repeat,0)</f>
        <v/>
      </c>
      <c r="N187" s="40">
        <f>L187+M187</f>
        <v/>
      </c>
      <c r="O187" s="46">
        <f>N187/F187</f>
        <v/>
      </c>
      <c r="P187" s="40">
        <f>F187-J187-K187</f>
        <v/>
      </c>
      <c r="Q187" s="40">
        <f>IF(B187&gt;=in_marketplace_from,(J187+K187)*d_hz*G187,0)</f>
        <v/>
      </c>
      <c r="R187" s="40">
        <f>SUMIFS(N179:N235,B179:B235,"&gt;="&amp;(B187-d_T),B179:B235,"&lt;="&amp;(B187-1))</f>
        <v/>
      </c>
      <c r="S187" s="46">
        <f>(1-d_u)*S186+IF(d_T&gt;in_topup_lag,SUMIFS(O179:O235,B179:B235,B187-in_topup_lag)-d_udrop*SUMIFS(O179:O235,B179:B235,B187-d_T),0)</f>
        <v/>
      </c>
      <c r="T187" s="40">
        <f>F187*d_u*S187</f>
        <v/>
      </c>
      <c r="U187" s="9">
        <f>L187*in_ticket+M187*d_rep_ticket</f>
        <v/>
      </c>
      <c r="V187" s="9">
        <f>U187+T187*d_topup_amt</f>
        <v/>
      </c>
      <c r="W187" s="40">
        <f>N187+T187*d_topup_ratio</f>
        <v/>
      </c>
      <c r="X187" s="40">
        <f>SUMIFS(W179:W235,B179:B235,B187-in_dpd_lag)*d_cured</f>
        <v/>
      </c>
      <c r="Y187" s="40">
        <f>SUMIFS(W179:W235,B179:B235,B187-in_rec_lag)*d_recd</f>
        <v/>
      </c>
      <c r="Z187" s="40">
        <f>IF(AND(B187&gt;=in_marketplace_from,B187&lt;in_marketplace_from+in_card_months),in_card_share/in_card_months*F187*I187,IF(AND(B187&gt;=in_marketplace_from+in_card_months,B187&lt;in_marketplace_from+2*in_card_months),in_card_share*d_card_rem/in_card_months*F187*MIN(in_takeup_cap,(1+in_takeup_growth)^(D187-1))*MIN(in_takeup_cap,(1+in_approval_growth)^(D187-1)),0))</f>
        <v/>
      </c>
      <c r="AA187" s="14">
        <f>V187*in_fee*(1-in_taken_back)</f>
        <v/>
      </c>
      <c r="AB187" s="14">
        <f>SUMIFS(W179:W235,B179:B235,B187-in_dpd_lag)*d_dpd</f>
        <v/>
      </c>
      <c r="AC187" s="14">
        <f>SUMIFS(W179:W235,B179:B235,B187-in_rec_lag)*d_rec</f>
        <v/>
      </c>
      <c r="AD187" s="14">
        <f>Z187*in_card_fee</f>
        <v/>
      </c>
      <c r="AE187" s="40">
        <f>AE186*(1-IF(B186&gt;=in_marketplace_from,d_hz_hlth_small*G186,0))</f>
        <v/>
      </c>
      <c r="AF187" s="46">
        <f>AE187*IF(B187&gt;=in_marketplace_from,d_hz_hlth_small*G187,0)</f>
        <v/>
      </c>
      <c r="AG187" s="14">
        <f>F187*AF187*in_hlth_small_ticket*in_hlth_small_comm*in_ins_partner_share+F187*in_hlth_small_ticket*in_hlth_small_renew_comm*in_ins_partner_share*(in_hlth_small_renew^1*SUMIFS(AF179:AF235,B179:B235,B187-12)+in_hlth_small_renew^2*SUMIFS(AF179:AF235,B179:B235,B187-24)+in_hlth_small_renew^3*SUMIFS(AF179:AF235,B179:B235,B187-36)+in_hlth_small_renew^4*SUMIFS(AF179:AF235,B179:B235,B187-48))</f>
        <v/>
      </c>
      <c r="AH187" s="40">
        <f>AH186*(1-IF(B186&gt;=in_marketplace_from,d_hz_hlth_family*G186,0))</f>
        <v/>
      </c>
      <c r="AI187" s="46">
        <f>AH187*IF(B187&gt;=in_marketplace_from,d_hz_hlth_family*G187,0)</f>
        <v/>
      </c>
      <c r="AJ187" s="14">
        <f>F187*AI187*in_hlth_family_ticket*in_hlth_family_comm*in_ins_partner_share+F187*in_hlth_family_ticket*in_hlth_family_renew_comm*in_ins_partner_share*(in_hlth_family_renew^1*SUMIFS(AI179:AI235,B179:B235,B187-12)+in_hlth_family_renew^2*SUMIFS(AI179:AI235,B179:B235,B187-24)+in_hlth_family_renew^3*SUMIFS(AI179:AI235,B179:B235,B187-36)+in_hlth_family_renew^4*SUMIFS(AI179:AI235,B179:B235,B187-48))</f>
        <v/>
      </c>
      <c r="AK187" s="40">
        <f>AK186*(1-IF(B186&gt;=in_marketplace_from,d_hz_life_term*G186,0))</f>
        <v/>
      </c>
      <c r="AL187" s="46">
        <f>AK187*IF(B187&gt;=in_marketplace_from,d_hz_life_term*G187,0)</f>
        <v/>
      </c>
      <c r="AM187" s="14">
        <f>F187*AL187*in_life_term_ticket*in_life_term_comm*in_ins_partner_share+F187*in_life_term_ticket*in_life_term_renew_comm*in_ins_partner_share*(in_life_term_renew^1*SUMIFS(AL179:AL235,B179:B235,B187-12)+in_life_term_renew^2*SUMIFS(AL179:AL235,B179:B235,B187-24)+in_life_term_renew^3*SUMIFS(AL179:AL235,B179:B235,B187-36)+in_life_term_renew^4*SUMIFS(AL179:AL235,B179:B235,B187-48))</f>
        <v/>
      </c>
      <c r="AN187" s="40">
        <f>AN186*(1-IF(B186&gt;=in_marketplace_from,d_hz_accident*G186,0))</f>
        <v/>
      </c>
      <c r="AO187" s="46">
        <f>AN187*IF(B187&gt;=in_marketplace_from,d_hz_accident*G187,0)</f>
        <v/>
      </c>
      <c r="AP187" s="14">
        <f>F187*AO187*in_accident_ticket*in_accident_comm*in_ins_partner_share+F187*in_accident_ticket*in_accident_renew_comm*in_ins_partner_share*(in_accident_renew^1*SUMIFS(AO179:AO235,B179:B235,B187-12)+in_accident_renew^2*SUMIFS(AO179:AO235,B179:B235,B187-24)+in_accident_renew^3*SUMIFS(AO179:AO235,B179:B235,B187-36)+in_accident_renew^4*SUMIFS(AO179:AO235,B179:B235,B187-48))</f>
        <v/>
      </c>
      <c r="AQ187" s="40">
        <f>AQ186*(1-IF(B186&gt;=in_marketplace_from,d_hz_two_wheeler*G186,0))</f>
        <v/>
      </c>
      <c r="AR187" s="46">
        <f>AQ187*IF(B187&gt;=in_marketplace_from,d_hz_two_wheeler*G187,0)</f>
        <v/>
      </c>
      <c r="AS187" s="14">
        <f>F187*AR187*in_two_wheeler_ticket*in_two_wheeler_comm*in_ins_partner_share+F187*in_two_wheeler_ticket*in_two_wheeler_comm*in_ins_partner_share*(in_two_wheeler_renew^1*SUMIFS(AR179:AR235,B179:B235,B187-12)+in_two_wheeler_renew^2*SUMIFS(AR179:AR235,B179:B235,B187-24)+in_two_wheeler_renew^3*SUMIFS(AR179:AR235,B179:B235,B187-36)+in_two_wheeler_renew^4*SUMIFS(AR179:AR235,B179:B235,B187-48))</f>
        <v/>
      </c>
      <c r="AT187" s="40">
        <f>AT186*(1-IF(B186&gt;=in_marketplace_from,d_hz_device*G186,0))</f>
        <v/>
      </c>
      <c r="AU187" s="14">
        <f>F187*AT187*IF(B187&gt;=in_marketplace_from,d_hz_device*G187,0)*in_device_ticket*in_device_comm*in_ins_partner_share</f>
        <v/>
      </c>
      <c r="AV187" s="40">
        <f>AV186*(1-IF(B186&gt;=in_marketplace_from,d_hz_shop*G186,0))</f>
        <v/>
      </c>
      <c r="AW187" s="46">
        <f>AV187*IF(B187&gt;=in_marketplace_from,d_hz_shop*G187,0)</f>
        <v/>
      </c>
      <c r="AX187" s="14">
        <f>F187*AW187*in_shop_ticket*in_shop_comm*in_ins_partner_share+F187*in_shop_ticket*in_shop_renew_comm*in_ins_partner_share*(in_shop_renew^1*SUMIFS(AW179:AW235,B179:B235,B187-12)+in_shop_renew^2*SUMIFS(AW179:AW235,B179:B235,B187-24)+in_shop_renew^3*SUMIFS(AW179:AW235,B179:B235,B187-36)+in_shop_renew^4*SUMIFS(AW179:AW235,B179:B235,B187-48))</f>
        <v/>
      </c>
      <c r="AY187" s="40">
        <f>AY186*(1-IF(B186&gt;=in_marketplace_from,d_hz_sip*G186,0))</f>
        <v/>
      </c>
      <c r="AZ187" s="40">
        <f>AZ186*d_rho_sip+AY187*IF(B187&gt;=in_marketplace_from,d_hz_sip*G187,0)</f>
        <v/>
      </c>
      <c r="BA187" s="40">
        <f>d_rho_sip*(BA186+AZ186)</f>
        <v/>
      </c>
      <c r="BB187" s="14">
        <f>F187*in_sip_ticket*(BA187+0.5*AZ187)*in_sip_comm/12</f>
        <v/>
      </c>
      <c r="BC187" s="40">
        <f>BC186*(1-IF(B186&gt;=in_marketplace_from,d_hz_choti*G186,0))</f>
        <v/>
      </c>
      <c r="BD187" s="46">
        <f>BC187*IF(B187&gt;=in_marketplace_from,d_hz_choti*G187,0)</f>
        <v/>
      </c>
      <c r="BE187" s="14">
        <f>F187*SUMIFS(BD179:BD235,B179:B235,B187-in_choti_months)*in_choti_renew*in_choti_ticket</f>
        <v/>
      </c>
      <c r="BF187" s="40">
        <f>BF186*(1-IF(B186&gt;=in_marketplace_from,d_hz_nps*G186,0))</f>
        <v/>
      </c>
      <c r="BG187" s="14">
        <f>F187*BF187*IF(B187&gt;=in_marketplace_from,d_hz_nps*G187,0)*in_nps_ticket*in_nps_comm</f>
        <v/>
      </c>
      <c r="BH187" s="40">
        <f>BH186*(1-IF(B186&gt;=in_marketplace_from,d_hz_gold*G186,0))</f>
        <v/>
      </c>
      <c r="BI187" s="40">
        <f>BI186*d_rho_gold+BH187*IF(B187&gt;=in_marketplace_from,d_hz_gold*G187,0)</f>
        <v/>
      </c>
      <c r="BJ187" s="14">
        <f>F187*BI187*in_gold_ticket*in_gold_comm</f>
        <v/>
      </c>
      <c r="BK187" s="40">
        <f>BK186*(1-IF(B186&gt;=in_marketplace_from,d_hz_fd*G186,0))</f>
        <v/>
      </c>
      <c r="BL187" s="14">
        <f>F187*BK187*IF(B187&gt;=in_marketplace_from,d_hz_fd*G187,0)*in_fd_ticket*in_fd_comm</f>
        <v/>
      </c>
      <c r="BM187" s="40">
        <f>BM186*(1-IF(B186&gt;=in_marketplace_from,d_hz_recharge*G186,0))</f>
        <v/>
      </c>
      <c r="BN187" s="40">
        <f>BN186*d_rho_recharge+BM187*IF(B187&gt;=in_marketplace_from,d_hz_recharge*G187,0)</f>
        <v/>
      </c>
      <c r="BO187" s="14">
        <f>F187*BN187*in_recharge_ticket*in_recharge_comm/12</f>
        <v/>
      </c>
      <c r="BP187" s="40">
        <f>BP186*(1-IF(B186&gt;=in_marketplace_from,d_hz_bills*G186,0))</f>
        <v/>
      </c>
      <c r="BQ187" s="40">
        <f>BQ186*d_rho_bills+BP187*IF(B187&gt;=in_marketplace_from,d_hz_bills*G187,0)</f>
        <v/>
      </c>
      <c r="BR187" s="14">
        <f>F187*BQ187*in_bills_ticket*in_bills_comm/12</f>
        <v/>
      </c>
      <c r="BS187" s="40">
        <f>BS186*(1-IF(B186&gt;=in_marketplace_from,d_hz_loan_gold*G186,0))</f>
        <v/>
      </c>
      <c r="BT187" s="14">
        <f>F187*BS187*IF(B187&gt;=in_marketplace_from,d_hz_loan_gold*G187,0)*in_loan_gold_ticket*in_loan_gold_comm</f>
        <v/>
      </c>
      <c r="BU187" s="40">
        <f>BU186*(1-IF(B186&gt;=in_marketplace_from,d_hz_loan_cd*G186,0))</f>
        <v/>
      </c>
      <c r="BV187" s="14">
        <f>F187*BU187*IF(B187&gt;=in_marketplace_from,d_hz_loan_cd*G187,0)*in_loan_cd_ticket*in_loan_cd_comm</f>
        <v/>
      </c>
      <c r="BW187" s="40">
        <f>BW186*(1-IF(B186&gt;=in_marketplace_from,d_hz_loan_vehicle*G186,0))</f>
        <v/>
      </c>
      <c r="BX187" s="14">
        <f>F187*BW187*IF(B187&gt;=in_marketplace_from,d_hz_loan_vehicle*G187,0)*in_loan_vehicle_ticket*in_loan_vehicle_comm</f>
        <v/>
      </c>
      <c r="BY187" s="40">
        <f>BY186*(1-IF(B186&gt;=in_marketplace_from,d_hz_loan_home*G186,0)*BZ186)</f>
        <v/>
      </c>
      <c r="BZ187" s="11">
        <f>MIN(in_approval_cap,in_loan_home_approval*INDEX('Age profile'!$O$2:$O$61,B187)*(1+in_approval_growth)^(D187-1))</f>
        <v/>
      </c>
      <c r="CA187" s="14">
        <f>F187*BY187*IF(B187&gt;=in_marketplace_from,d_hz_loan_home*G187,0)*BZ187*in_loan_home_ticket*in_loan_home_comm</f>
        <v/>
      </c>
      <c r="CB187" s="40">
        <f>CB186*(1-IF(B186&gt;=in_marketplace_from,d_hz_loan_lap*G186,0)*CC186)</f>
        <v/>
      </c>
      <c r="CC187" s="11">
        <f>MIN(in_approval_cap,in_loan_lap_approval*INDEX('Age profile'!$O$2:$O$61,B187)*(1+in_approval_growth)^(D187-1))</f>
        <v/>
      </c>
      <c r="CD187" s="14">
        <f>F187*CB187*IF(B187&gt;=in_marketplace_from,d_hz_loan_lap*G187,0)*CC187*in_loan_lap_ticket*in_loan_lap_comm</f>
        <v/>
      </c>
      <c r="CE187" s="14">
        <f>AA187+AB187+AC187+AD187+AG187+AJ187+AM187+AP187+AS187+AU187+AX187+BB187+BE187+BG187+BJ187+BL187+BO187+BR187+BT187+BV187+BX187+CA187+CD187</f>
        <v/>
      </c>
    </row>
    <row r="188">
      <c r="A188" s="39" t="n">
        <v>4</v>
      </c>
      <c r="B188" s="39" t="n">
        <v>10</v>
      </c>
      <c r="C188" s="39">
        <f>A188+B188-1</f>
        <v/>
      </c>
      <c r="D188" s="39">
        <f>INT((C188-1)/12)+1</f>
        <v/>
      </c>
      <c r="E188" s="44">
        <f>INDEX(Monthly!$B$2:$B$61,A188)</f>
        <v/>
      </c>
      <c r="F188" s="44">
        <f>E188*INDEX('Age profile'!$B$2:$B$61,B188)</f>
        <v/>
      </c>
      <c r="G188" s="45">
        <f>MIN(in_takeup_cap,INDEX('Age profile'!$N$2:$N$61,B188)*(1+in_takeup_growth)^(D188-1))</f>
        <v/>
      </c>
      <c r="H188" s="11">
        <f>MIN(in_approval_cap,in_approved_first*INDEX('Age profile'!$O$2:$O$61,B188)*(1+in_approval_growth)^(D188-1))</f>
        <v/>
      </c>
      <c r="I188" s="45">
        <f>G188*MIN(in_takeup_cap,INDEX('Age profile'!$O$2:$O$61,B188)*(1+in_approval_growth)^(D188-1))</f>
        <v/>
      </c>
      <c r="J188" s="40">
        <f>(J187-L187)*F188/F187</f>
        <v/>
      </c>
      <c r="K188" s="40">
        <f>(K187-M187)*F188/F187+SUMIFS(O179:O187,B179:B187,B188-1-d_T)*F188</f>
        <v/>
      </c>
      <c r="L188" s="40">
        <f>IF(B188&gt;=in_marketplace_from,J188*d_hz*G188*in_eligible*H188,0)</f>
        <v/>
      </c>
      <c r="M188" s="40">
        <f>IF(B188&gt;=in_marketplace_from,K188*d_hz*G188*in_eligible*in_approved_repeat,0)</f>
        <v/>
      </c>
      <c r="N188" s="40">
        <f>L188+M188</f>
        <v/>
      </c>
      <c r="O188" s="46">
        <f>N188/F188</f>
        <v/>
      </c>
      <c r="P188" s="40">
        <f>F188-J188-K188</f>
        <v/>
      </c>
      <c r="Q188" s="40">
        <f>IF(B188&gt;=in_marketplace_from,(J188+K188)*d_hz*G188,0)</f>
        <v/>
      </c>
      <c r="R188" s="40">
        <f>SUMIFS(N179:N235,B179:B235,"&gt;="&amp;(B188-d_T),B179:B235,"&lt;="&amp;(B188-1))</f>
        <v/>
      </c>
      <c r="S188" s="46">
        <f>(1-d_u)*S187+IF(d_T&gt;in_topup_lag,SUMIFS(O179:O235,B179:B235,B188-in_topup_lag)-d_udrop*SUMIFS(O179:O235,B179:B235,B188-d_T),0)</f>
        <v/>
      </c>
      <c r="T188" s="40">
        <f>F188*d_u*S188</f>
        <v/>
      </c>
      <c r="U188" s="9">
        <f>L188*in_ticket+M188*d_rep_ticket</f>
        <v/>
      </c>
      <c r="V188" s="9">
        <f>U188+T188*d_topup_amt</f>
        <v/>
      </c>
      <c r="W188" s="40">
        <f>N188+T188*d_topup_ratio</f>
        <v/>
      </c>
      <c r="X188" s="40">
        <f>SUMIFS(W179:W235,B179:B235,B188-in_dpd_lag)*d_cured</f>
        <v/>
      </c>
      <c r="Y188" s="40">
        <f>SUMIFS(W179:W235,B179:B235,B188-in_rec_lag)*d_recd</f>
        <v/>
      </c>
      <c r="Z188" s="40">
        <f>IF(AND(B188&gt;=in_marketplace_from,B188&lt;in_marketplace_from+in_card_months),in_card_share/in_card_months*F188*I188,IF(AND(B188&gt;=in_marketplace_from+in_card_months,B188&lt;in_marketplace_from+2*in_card_months),in_card_share*d_card_rem/in_card_months*F188*MIN(in_takeup_cap,(1+in_takeup_growth)^(D188-1))*MIN(in_takeup_cap,(1+in_approval_growth)^(D188-1)),0))</f>
        <v/>
      </c>
      <c r="AA188" s="14">
        <f>V188*in_fee*(1-in_taken_back)</f>
        <v/>
      </c>
      <c r="AB188" s="14">
        <f>SUMIFS(W179:W235,B179:B235,B188-in_dpd_lag)*d_dpd</f>
        <v/>
      </c>
      <c r="AC188" s="14">
        <f>SUMIFS(W179:W235,B179:B235,B188-in_rec_lag)*d_rec</f>
        <v/>
      </c>
      <c r="AD188" s="14">
        <f>Z188*in_card_fee</f>
        <v/>
      </c>
      <c r="AE188" s="40">
        <f>AE187*(1-IF(B187&gt;=in_marketplace_from,d_hz_hlth_small*G187,0))</f>
        <v/>
      </c>
      <c r="AF188" s="46">
        <f>AE188*IF(B188&gt;=in_marketplace_from,d_hz_hlth_small*G188,0)</f>
        <v/>
      </c>
      <c r="AG188" s="14">
        <f>F188*AF188*in_hlth_small_ticket*in_hlth_small_comm*in_ins_partner_share+F188*in_hlth_small_ticket*in_hlth_small_renew_comm*in_ins_partner_share*(in_hlth_small_renew^1*SUMIFS(AF179:AF235,B179:B235,B188-12)+in_hlth_small_renew^2*SUMIFS(AF179:AF235,B179:B235,B188-24)+in_hlth_small_renew^3*SUMIFS(AF179:AF235,B179:B235,B188-36)+in_hlth_small_renew^4*SUMIFS(AF179:AF235,B179:B235,B188-48))</f>
        <v/>
      </c>
      <c r="AH188" s="40">
        <f>AH187*(1-IF(B187&gt;=in_marketplace_from,d_hz_hlth_family*G187,0))</f>
        <v/>
      </c>
      <c r="AI188" s="46">
        <f>AH188*IF(B188&gt;=in_marketplace_from,d_hz_hlth_family*G188,0)</f>
        <v/>
      </c>
      <c r="AJ188" s="14">
        <f>F188*AI188*in_hlth_family_ticket*in_hlth_family_comm*in_ins_partner_share+F188*in_hlth_family_ticket*in_hlth_family_renew_comm*in_ins_partner_share*(in_hlth_family_renew^1*SUMIFS(AI179:AI235,B179:B235,B188-12)+in_hlth_family_renew^2*SUMIFS(AI179:AI235,B179:B235,B188-24)+in_hlth_family_renew^3*SUMIFS(AI179:AI235,B179:B235,B188-36)+in_hlth_family_renew^4*SUMIFS(AI179:AI235,B179:B235,B188-48))</f>
        <v/>
      </c>
      <c r="AK188" s="40">
        <f>AK187*(1-IF(B187&gt;=in_marketplace_from,d_hz_life_term*G187,0))</f>
        <v/>
      </c>
      <c r="AL188" s="46">
        <f>AK188*IF(B188&gt;=in_marketplace_from,d_hz_life_term*G188,0)</f>
        <v/>
      </c>
      <c r="AM188" s="14">
        <f>F188*AL188*in_life_term_ticket*in_life_term_comm*in_ins_partner_share+F188*in_life_term_ticket*in_life_term_renew_comm*in_ins_partner_share*(in_life_term_renew^1*SUMIFS(AL179:AL235,B179:B235,B188-12)+in_life_term_renew^2*SUMIFS(AL179:AL235,B179:B235,B188-24)+in_life_term_renew^3*SUMIFS(AL179:AL235,B179:B235,B188-36)+in_life_term_renew^4*SUMIFS(AL179:AL235,B179:B235,B188-48))</f>
        <v/>
      </c>
      <c r="AN188" s="40">
        <f>AN187*(1-IF(B187&gt;=in_marketplace_from,d_hz_accident*G187,0))</f>
        <v/>
      </c>
      <c r="AO188" s="46">
        <f>AN188*IF(B188&gt;=in_marketplace_from,d_hz_accident*G188,0)</f>
        <v/>
      </c>
      <c r="AP188" s="14">
        <f>F188*AO188*in_accident_ticket*in_accident_comm*in_ins_partner_share+F188*in_accident_ticket*in_accident_renew_comm*in_ins_partner_share*(in_accident_renew^1*SUMIFS(AO179:AO235,B179:B235,B188-12)+in_accident_renew^2*SUMIFS(AO179:AO235,B179:B235,B188-24)+in_accident_renew^3*SUMIFS(AO179:AO235,B179:B235,B188-36)+in_accident_renew^4*SUMIFS(AO179:AO235,B179:B235,B188-48))</f>
        <v/>
      </c>
      <c r="AQ188" s="40">
        <f>AQ187*(1-IF(B187&gt;=in_marketplace_from,d_hz_two_wheeler*G187,0))</f>
        <v/>
      </c>
      <c r="AR188" s="46">
        <f>AQ188*IF(B188&gt;=in_marketplace_from,d_hz_two_wheeler*G188,0)</f>
        <v/>
      </c>
      <c r="AS188" s="14">
        <f>F188*AR188*in_two_wheeler_ticket*in_two_wheeler_comm*in_ins_partner_share+F188*in_two_wheeler_ticket*in_two_wheeler_comm*in_ins_partner_share*(in_two_wheeler_renew^1*SUMIFS(AR179:AR235,B179:B235,B188-12)+in_two_wheeler_renew^2*SUMIFS(AR179:AR235,B179:B235,B188-24)+in_two_wheeler_renew^3*SUMIFS(AR179:AR235,B179:B235,B188-36)+in_two_wheeler_renew^4*SUMIFS(AR179:AR235,B179:B235,B188-48))</f>
        <v/>
      </c>
      <c r="AT188" s="40">
        <f>AT187*(1-IF(B187&gt;=in_marketplace_from,d_hz_device*G187,0))</f>
        <v/>
      </c>
      <c r="AU188" s="14">
        <f>F188*AT188*IF(B188&gt;=in_marketplace_from,d_hz_device*G188,0)*in_device_ticket*in_device_comm*in_ins_partner_share</f>
        <v/>
      </c>
      <c r="AV188" s="40">
        <f>AV187*(1-IF(B187&gt;=in_marketplace_from,d_hz_shop*G187,0))</f>
        <v/>
      </c>
      <c r="AW188" s="46">
        <f>AV188*IF(B188&gt;=in_marketplace_from,d_hz_shop*G188,0)</f>
        <v/>
      </c>
      <c r="AX188" s="14">
        <f>F188*AW188*in_shop_ticket*in_shop_comm*in_ins_partner_share+F188*in_shop_ticket*in_shop_renew_comm*in_ins_partner_share*(in_shop_renew^1*SUMIFS(AW179:AW235,B179:B235,B188-12)+in_shop_renew^2*SUMIFS(AW179:AW235,B179:B235,B188-24)+in_shop_renew^3*SUMIFS(AW179:AW235,B179:B235,B188-36)+in_shop_renew^4*SUMIFS(AW179:AW235,B179:B235,B188-48))</f>
        <v/>
      </c>
      <c r="AY188" s="40">
        <f>AY187*(1-IF(B187&gt;=in_marketplace_from,d_hz_sip*G187,0))</f>
        <v/>
      </c>
      <c r="AZ188" s="40">
        <f>AZ187*d_rho_sip+AY188*IF(B188&gt;=in_marketplace_from,d_hz_sip*G188,0)</f>
        <v/>
      </c>
      <c r="BA188" s="40">
        <f>d_rho_sip*(BA187+AZ187)</f>
        <v/>
      </c>
      <c r="BB188" s="14">
        <f>F188*in_sip_ticket*(BA188+0.5*AZ188)*in_sip_comm/12</f>
        <v/>
      </c>
      <c r="BC188" s="40">
        <f>BC187*(1-IF(B187&gt;=in_marketplace_from,d_hz_choti*G187,0))</f>
        <v/>
      </c>
      <c r="BD188" s="46">
        <f>BC188*IF(B188&gt;=in_marketplace_from,d_hz_choti*G188,0)</f>
        <v/>
      </c>
      <c r="BE188" s="14">
        <f>F188*SUMIFS(BD179:BD235,B179:B235,B188-in_choti_months)*in_choti_renew*in_choti_ticket</f>
        <v/>
      </c>
      <c r="BF188" s="40">
        <f>BF187*(1-IF(B187&gt;=in_marketplace_from,d_hz_nps*G187,0))</f>
        <v/>
      </c>
      <c r="BG188" s="14">
        <f>F188*BF188*IF(B188&gt;=in_marketplace_from,d_hz_nps*G188,0)*in_nps_ticket*in_nps_comm</f>
        <v/>
      </c>
      <c r="BH188" s="40">
        <f>BH187*(1-IF(B187&gt;=in_marketplace_from,d_hz_gold*G187,0))</f>
        <v/>
      </c>
      <c r="BI188" s="40">
        <f>BI187*d_rho_gold+BH188*IF(B188&gt;=in_marketplace_from,d_hz_gold*G188,0)</f>
        <v/>
      </c>
      <c r="BJ188" s="14">
        <f>F188*BI188*in_gold_ticket*in_gold_comm</f>
        <v/>
      </c>
      <c r="BK188" s="40">
        <f>BK187*(1-IF(B187&gt;=in_marketplace_from,d_hz_fd*G187,0))</f>
        <v/>
      </c>
      <c r="BL188" s="14">
        <f>F188*BK188*IF(B188&gt;=in_marketplace_from,d_hz_fd*G188,0)*in_fd_ticket*in_fd_comm</f>
        <v/>
      </c>
      <c r="BM188" s="40">
        <f>BM187*(1-IF(B187&gt;=in_marketplace_from,d_hz_recharge*G187,0))</f>
        <v/>
      </c>
      <c r="BN188" s="40">
        <f>BN187*d_rho_recharge+BM188*IF(B188&gt;=in_marketplace_from,d_hz_recharge*G188,0)</f>
        <v/>
      </c>
      <c r="BO188" s="14">
        <f>F188*BN188*in_recharge_ticket*in_recharge_comm/12</f>
        <v/>
      </c>
      <c r="BP188" s="40">
        <f>BP187*(1-IF(B187&gt;=in_marketplace_from,d_hz_bills*G187,0))</f>
        <v/>
      </c>
      <c r="BQ188" s="40">
        <f>BQ187*d_rho_bills+BP188*IF(B188&gt;=in_marketplace_from,d_hz_bills*G188,0)</f>
        <v/>
      </c>
      <c r="BR188" s="14">
        <f>F188*BQ188*in_bills_ticket*in_bills_comm/12</f>
        <v/>
      </c>
      <c r="BS188" s="40">
        <f>BS187*(1-IF(B187&gt;=in_marketplace_from,d_hz_loan_gold*G187,0))</f>
        <v/>
      </c>
      <c r="BT188" s="14">
        <f>F188*BS188*IF(B188&gt;=in_marketplace_from,d_hz_loan_gold*G188,0)*in_loan_gold_ticket*in_loan_gold_comm</f>
        <v/>
      </c>
      <c r="BU188" s="40">
        <f>BU187*(1-IF(B187&gt;=in_marketplace_from,d_hz_loan_cd*G187,0))</f>
        <v/>
      </c>
      <c r="BV188" s="14">
        <f>F188*BU188*IF(B188&gt;=in_marketplace_from,d_hz_loan_cd*G188,0)*in_loan_cd_ticket*in_loan_cd_comm</f>
        <v/>
      </c>
      <c r="BW188" s="40">
        <f>BW187*(1-IF(B187&gt;=in_marketplace_from,d_hz_loan_vehicle*G187,0))</f>
        <v/>
      </c>
      <c r="BX188" s="14">
        <f>F188*BW188*IF(B188&gt;=in_marketplace_from,d_hz_loan_vehicle*G188,0)*in_loan_vehicle_ticket*in_loan_vehicle_comm</f>
        <v/>
      </c>
      <c r="BY188" s="40">
        <f>BY187*(1-IF(B187&gt;=in_marketplace_from,d_hz_loan_home*G187,0)*BZ187)</f>
        <v/>
      </c>
      <c r="BZ188" s="11">
        <f>MIN(in_approval_cap,in_loan_home_approval*INDEX('Age profile'!$O$2:$O$61,B188)*(1+in_approval_growth)^(D188-1))</f>
        <v/>
      </c>
      <c r="CA188" s="14">
        <f>F188*BY188*IF(B188&gt;=in_marketplace_from,d_hz_loan_home*G188,0)*BZ188*in_loan_home_ticket*in_loan_home_comm</f>
        <v/>
      </c>
      <c r="CB188" s="40">
        <f>CB187*(1-IF(B187&gt;=in_marketplace_from,d_hz_loan_lap*G187,0)*CC187)</f>
        <v/>
      </c>
      <c r="CC188" s="11">
        <f>MIN(in_approval_cap,in_loan_lap_approval*INDEX('Age profile'!$O$2:$O$61,B188)*(1+in_approval_growth)^(D188-1))</f>
        <v/>
      </c>
      <c r="CD188" s="14">
        <f>F188*CB188*IF(B188&gt;=in_marketplace_from,d_hz_loan_lap*G188,0)*CC188*in_loan_lap_ticket*in_loan_lap_comm</f>
        <v/>
      </c>
      <c r="CE188" s="14">
        <f>AA188+AB188+AC188+AD188+AG188+AJ188+AM188+AP188+AS188+AU188+AX188+BB188+BE188+BG188+BJ188+BL188+BO188+BR188+BT188+BV188+BX188+CA188+CD188</f>
        <v/>
      </c>
    </row>
    <row r="189">
      <c r="A189" s="39" t="n">
        <v>4</v>
      </c>
      <c r="B189" s="39" t="n">
        <v>11</v>
      </c>
      <c r="C189" s="39">
        <f>A189+B189-1</f>
        <v/>
      </c>
      <c r="D189" s="39">
        <f>INT((C189-1)/12)+1</f>
        <v/>
      </c>
      <c r="E189" s="44">
        <f>INDEX(Monthly!$B$2:$B$61,A189)</f>
        <v/>
      </c>
      <c r="F189" s="44">
        <f>E189*INDEX('Age profile'!$B$2:$B$61,B189)</f>
        <v/>
      </c>
      <c r="G189" s="45">
        <f>MIN(in_takeup_cap,INDEX('Age profile'!$N$2:$N$61,B189)*(1+in_takeup_growth)^(D189-1))</f>
        <v/>
      </c>
      <c r="H189" s="11">
        <f>MIN(in_approval_cap,in_approved_first*INDEX('Age profile'!$O$2:$O$61,B189)*(1+in_approval_growth)^(D189-1))</f>
        <v/>
      </c>
      <c r="I189" s="45">
        <f>G189*MIN(in_takeup_cap,INDEX('Age profile'!$O$2:$O$61,B189)*(1+in_approval_growth)^(D189-1))</f>
        <v/>
      </c>
      <c r="J189" s="40">
        <f>(J188-L188)*F189/F188</f>
        <v/>
      </c>
      <c r="K189" s="40">
        <f>(K188-M188)*F189/F188+SUMIFS(O179:O188,B179:B188,B189-1-d_T)*F189</f>
        <v/>
      </c>
      <c r="L189" s="40">
        <f>IF(B189&gt;=in_marketplace_from,J189*d_hz*G189*in_eligible*H189,0)</f>
        <v/>
      </c>
      <c r="M189" s="40">
        <f>IF(B189&gt;=in_marketplace_from,K189*d_hz*G189*in_eligible*in_approved_repeat,0)</f>
        <v/>
      </c>
      <c r="N189" s="40">
        <f>L189+M189</f>
        <v/>
      </c>
      <c r="O189" s="46">
        <f>N189/F189</f>
        <v/>
      </c>
      <c r="P189" s="40">
        <f>F189-J189-K189</f>
        <v/>
      </c>
      <c r="Q189" s="40">
        <f>IF(B189&gt;=in_marketplace_from,(J189+K189)*d_hz*G189,0)</f>
        <v/>
      </c>
      <c r="R189" s="40">
        <f>SUMIFS(N179:N235,B179:B235,"&gt;="&amp;(B189-d_T),B179:B235,"&lt;="&amp;(B189-1))</f>
        <v/>
      </c>
      <c r="S189" s="46">
        <f>(1-d_u)*S188+IF(d_T&gt;in_topup_lag,SUMIFS(O179:O235,B179:B235,B189-in_topup_lag)-d_udrop*SUMIFS(O179:O235,B179:B235,B189-d_T),0)</f>
        <v/>
      </c>
      <c r="T189" s="40">
        <f>F189*d_u*S189</f>
        <v/>
      </c>
      <c r="U189" s="9">
        <f>L189*in_ticket+M189*d_rep_ticket</f>
        <v/>
      </c>
      <c r="V189" s="9">
        <f>U189+T189*d_topup_amt</f>
        <v/>
      </c>
      <c r="W189" s="40">
        <f>N189+T189*d_topup_ratio</f>
        <v/>
      </c>
      <c r="X189" s="40">
        <f>SUMIFS(W179:W235,B179:B235,B189-in_dpd_lag)*d_cured</f>
        <v/>
      </c>
      <c r="Y189" s="40">
        <f>SUMIFS(W179:W235,B179:B235,B189-in_rec_lag)*d_recd</f>
        <v/>
      </c>
      <c r="Z189" s="40">
        <f>IF(AND(B189&gt;=in_marketplace_from,B189&lt;in_marketplace_from+in_card_months),in_card_share/in_card_months*F189*I189,IF(AND(B189&gt;=in_marketplace_from+in_card_months,B189&lt;in_marketplace_from+2*in_card_months),in_card_share*d_card_rem/in_card_months*F189*MIN(in_takeup_cap,(1+in_takeup_growth)^(D189-1))*MIN(in_takeup_cap,(1+in_approval_growth)^(D189-1)),0))</f>
        <v/>
      </c>
      <c r="AA189" s="14">
        <f>V189*in_fee*(1-in_taken_back)</f>
        <v/>
      </c>
      <c r="AB189" s="14">
        <f>SUMIFS(W179:W235,B179:B235,B189-in_dpd_lag)*d_dpd</f>
        <v/>
      </c>
      <c r="AC189" s="14">
        <f>SUMIFS(W179:W235,B179:B235,B189-in_rec_lag)*d_rec</f>
        <v/>
      </c>
      <c r="AD189" s="14">
        <f>Z189*in_card_fee</f>
        <v/>
      </c>
      <c r="AE189" s="40">
        <f>AE188*(1-IF(B188&gt;=in_marketplace_from,d_hz_hlth_small*G188,0))</f>
        <v/>
      </c>
      <c r="AF189" s="46">
        <f>AE189*IF(B189&gt;=in_marketplace_from,d_hz_hlth_small*G189,0)</f>
        <v/>
      </c>
      <c r="AG189" s="14">
        <f>F189*AF189*in_hlth_small_ticket*in_hlth_small_comm*in_ins_partner_share+F189*in_hlth_small_ticket*in_hlth_small_renew_comm*in_ins_partner_share*(in_hlth_small_renew^1*SUMIFS(AF179:AF235,B179:B235,B189-12)+in_hlth_small_renew^2*SUMIFS(AF179:AF235,B179:B235,B189-24)+in_hlth_small_renew^3*SUMIFS(AF179:AF235,B179:B235,B189-36)+in_hlth_small_renew^4*SUMIFS(AF179:AF235,B179:B235,B189-48))</f>
        <v/>
      </c>
      <c r="AH189" s="40">
        <f>AH188*(1-IF(B188&gt;=in_marketplace_from,d_hz_hlth_family*G188,0))</f>
        <v/>
      </c>
      <c r="AI189" s="46">
        <f>AH189*IF(B189&gt;=in_marketplace_from,d_hz_hlth_family*G189,0)</f>
        <v/>
      </c>
      <c r="AJ189" s="14">
        <f>F189*AI189*in_hlth_family_ticket*in_hlth_family_comm*in_ins_partner_share+F189*in_hlth_family_ticket*in_hlth_family_renew_comm*in_ins_partner_share*(in_hlth_family_renew^1*SUMIFS(AI179:AI235,B179:B235,B189-12)+in_hlth_family_renew^2*SUMIFS(AI179:AI235,B179:B235,B189-24)+in_hlth_family_renew^3*SUMIFS(AI179:AI235,B179:B235,B189-36)+in_hlth_family_renew^4*SUMIFS(AI179:AI235,B179:B235,B189-48))</f>
        <v/>
      </c>
      <c r="AK189" s="40">
        <f>AK188*(1-IF(B188&gt;=in_marketplace_from,d_hz_life_term*G188,0))</f>
        <v/>
      </c>
      <c r="AL189" s="46">
        <f>AK189*IF(B189&gt;=in_marketplace_from,d_hz_life_term*G189,0)</f>
        <v/>
      </c>
      <c r="AM189" s="14">
        <f>F189*AL189*in_life_term_ticket*in_life_term_comm*in_ins_partner_share+F189*in_life_term_ticket*in_life_term_renew_comm*in_ins_partner_share*(in_life_term_renew^1*SUMIFS(AL179:AL235,B179:B235,B189-12)+in_life_term_renew^2*SUMIFS(AL179:AL235,B179:B235,B189-24)+in_life_term_renew^3*SUMIFS(AL179:AL235,B179:B235,B189-36)+in_life_term_renew^4*SUMIFS(AL179:AL235,B179:B235,B189-48))</f>
        <v/>
      </c>
      <c r="AN189" s="40">
        <f>AN188*(1-IF(B188&gt;=in_marketplace_from,d_hz_accident*G188,0))</f>
        <v/>
      </c>
      <c r="AO189" s="46">
        <f>AN189*IF(B189&gt;=in_marketplace_from,d_hz_accident*G189,0)</f>
        <v/>
      </c>
      <c r="AP189" s="14">
        <f>F189*AO189*in_accident_ticket*in_accident_comm*in_ins_partner_share+F189*in_accident_ticket*in_accident_renew_comm*in_ins_partner_share*(in_accident_renew^1*SUMIFS(AO179:AO235,B179:B235,B189-12)+in_accident_renew^2*SUMIFS(AO179:AO235,B179:B235,B189-24)+in_accident_renew^3*SUMIFS(AO179:AO235,B179:B235,B189-36)+in_accident_renew^4*SUMIFS(AO179:AO235,B179:B235,B189-48))</f>
        <v/>
      </c>
      <c r="AQ189" s="40">
        <f>AQ188*(1-IF(B188&gt;=in_marketplace_from,d_hz_two_wheeler*G188,0))</f>
        <v/>
      </c>
      <c r="AR189" s="46">
        <f>AQ189*IF(B189&gt;=in_marketplace_from,d_hz_two_wheeler*G189,0)</f>
        <v/>
      </c>
      <c r="AS189" s="14">
        <f>F189*AR189*in_two_wheeler_ticket*in_two_wheeler_comm*in_ins_partner_share+F189*in_two_wheeler_ticket*in_two_wheeler_comm*in_ins_partner_share*(in_two_wheeler_renew^1*SUMIFS(AR179:AR235,B179:B235,B189-12)+in_two_wheeler_renew^2*SUMIFS(AR179:AR235,B179:B235,B189-24)+in_two_wheeler_renew^3*SUMIFS(AR179:AR235,B179:B235,B189-36)+in_two_wheeler_renew^4*SUMIFS(AR179:AR235,B179:B235,B189-48))</f>
        <v/>
      </c>
      <c r="AT189" s="40">
        <f>AT188*(1-IF(B188&gt;=in_marketplace_from,d_hz_device*G188,0))</f>
        <v/>
      </c>
      <c r="AU189" s="14">
        <f>F189*AT189*IF(B189&gt;=in_marketplace_from,d_hz_device*G189,0)*in_device_ticket*in_device_comm*in_ins_partner_share</f>
        <v/>
      </c>
      <c r="AV189" s="40">
        <f>AV188*(1-IF(B188&gt;=in_marketplace_from,d_hz_shop*G188,0))</f>
        <v/>
      </c>
      <c r="AW189" s="46">
        <f>AV189*IF(B189&gt;=in_marketplace_from,d_hz_shop*G189,0)</f>
        <v/>
      </c>
      <c r="AX189" s="14">
        <f>F189*AW189*in_shop_ticket*in_shop_comm*in_ins_partner_share+F189*in_shop_ticket*in_shop_renew_comm*in_ins_partner_share*(in_shop_renew^1*SUMIFS(AW179:AW235,B179:B235,B189-12)+in_shop_renew^2*SUMIFS(AW179:AW235,B179:B235,B189-24)+in_shop_renew^3*SUMIFS(AW179:AW235,B179:B235,B189-36)+in_shop_renew^4*SUMIFS(AW179:AW235,B179:B235,B189-48))</f>
        <v/>
      </c>
      <c r="AY189" s="40">
        <f>AY188*(1-IF(B188&gt;=in_marketplace_from,d_hz_sip*G188,0))</f>
        <v/>
      </c>
      <c r="AZ189" s="40">
        <f>AZ188*d_rho_sip+AY189*IF(B189&gt;=in_marketplace_from,d_hz_sip*G189,0)</f>
        <v/>
      </c>
      <c r="BA189" s="40">
        <f>d_rho_sip*(BA188+AZ188)</f>
        <v/>
      </c>
      <c r="BB189" s="14">
        <f>F189*in_sip_ticket*(BA189+0.5*AZ189)*in_sip_comm/12</f>
        <v/>
      </c>
      <c r="BC189" s="40">
        <f>BC188*(1-IF(B188&gt;=in_marketplace_from,d_hz_choti*G188,0))</f>
        <v/>
      </c>
      <c r="BD189" s="46">
        <f>BC189*IF(B189&gt;=in_marketplace_from,d_hz_choti*G189,0)</f>
        <v/>
      </c>
      <c r="BE189" s="14">
        <f>F189*SUMIFS(BD179:BD235,B179:B235,B189-in_choti_months)*in_choti_renew*in_choti_ticket</f>
        <v/>
      </c>
      <c r="BF189" s="40">
        <f>BF188*(1-IF(B188&gt;=in_marketplace_from,d_hz_nps*G188,0))</f>
        <v/>
      </c>
      <c r="BG189" s="14">
        <f>F189*BF189*IF(B189&gt;=in_marketplace_from,d_hz_nps*G189,0)*in_nps_ticket*in_nps_comm</f>
        <v/>
      </c>
      <c r="BH189" s="40">
        <f>BH188*(1-IF(B188&gt;=in_marketplace_from,d_hz_gold*G188,0))</f>
        <v/>
      </c>
      <c r="BI189" s="40">
        <f>BI188*d_rho_gold+BH189*IF(B189&gt;=in_marketplace_from,d_hz_gold*G189,0)</f>
        <v/>
      </c>
      <c r="BJ189" s="14">
        <f>F189*BI189*in_gold_ticket*in_gold_comm</f>
        <v/>
      </c>
      <c r="BK189" s="40">
        <f>BK188*(1-IF(B188&gt;=in_marketplace_from,d_hz_fd*G188,0))</f>
        <v/>
      </c>
      <c r="BL189" s="14">
        <f>F189*BK189*IF(B189&gt;=in_marketplace_from,d_hz_fd*G189,0)*in_fd_ticket*in_fd_comm</f>
        <v/>
      </c>
      <c r="BM189" s="40">
        <f>BM188*(1-IF(B188&gt;=in_marketplace_from,d_hz_recharge*G188,0))</f>
        <v/>
      </c>
      <c r="BN189" s="40">
        <f>BN188*d_rho_recharge+BM189*IF(B189&gt;=in_marketplace_from,d_hz_recharge*G189,0)</f>
        <v/>
      </c>
      <c r="BO189" s="14">
        <f>F189*BN189*in_recharge_ticket*in_recharge_comm/12</f>
        <v/>
      </c>
      <c r="BP189" s="40">
        <f>BP188*(1-IF(B188&gt;=in_marketplace_from,d_hz_bills*G188,0))</f>
        <v/>
      </c>
      <c r="BQ189" s="40">
        <f>BQ188*d_rho_bills+BP189*IF(B189&gt;=in_marketplace_from,d_hz_bills*G189,0)</f>
        <v/>
      </c>
      <c r="BR189" s="14">
        <f>F189*BQ189*in_bills_ticket*in_bills_comm/12</f>
        <v/>
      </c>
      <c r="BS189" s="40">
        <f>BS188*(1-IF(B188&gt;=in_marketplace_from,d_hz_loan_gold*G188,0))</f>
        <v/>
      </c>
      <c r="BT189" s="14">
        <f>F189*BS189*IF(B189&gt;=in_marketplace_from,d_hz_loan_gold*G189,0)*in_loan_gold_ticket*in_loan_gold_comm</f>
        <v/>
      </c>
      <c r="BU189" s="40">
        <f>BU188*(1-IF(B188&gt;=in_marketplace_from,d_hz_loan_cd*G188,0))</f>
        <v/>
      </c>
      <c r="BV189" s="14">
        <f>F189*BU189*IF(B189&gt;=in_marketplace_from,d_hz_loan_cd*G189,0)*in_loan_cd_ticket*in_loan_cd_comm</f>
        <v/>
      </c>
      <c r="BW189" s="40">
        <f>BW188*(1-IF(B188&gt;=in_marketplace_from,d_hz_loan_vehicle*G188,0))</f>
        <v/>
      </c>
      <c r="BX189" s="14">
        <f>F189*BW189*IF(B189&gt;=in_marketplace_from,d_hz_loan_vehicle*G189,0)*in_loan_vehicle_ticket*in_loan_vehicle_comm</f>
        <v/>
      </c>
      <c r="BY189" s="40">
        <f>BY188*(1-IF(B188&gt;=in_marketplace_from,d_hz_loan_home*G188,0)*BZ188)</f>
        <v/>
      </c>
      <c r="BZ189" s="11">
        <f>MIN(in_approval_cap,in_loan_home_approval*INDEX('Age profile'!$O$2:$O$61,B189)*(1+in_approval_growth)^(D189-1))</f>
        <v/>
      </c>
      <c r="CA189" s="14">
        <f>F189*BY189*IF(B189&gt;=in_marketplace_from,d_hz_loan_home*G189,0)*BZ189*in_loan_home_ticket*in_loan_home_comm</f>
        <v/>
      </c>
      <c r="CB189" s="40">
        <f>CB188*(1-IF(B188&gt;=in_marketplace_from,d_hz_loan_lap*G188,0)*CC188)</f>
        <v/>
      </c>
      <c r="CC189" s="11">
        <f>MIN(in_approval_cap,in_loan_lap_approval*INDEX('Age profile'!$O$2:$O$61,B189)*(1+in_approval_growth)^(D189-1))</f>
        <v/>
      </c>
      <c r="CD189" s="14">
        <f>F189*CB189*IF(B189&gt;=in_marketplace_from,d_hz_loan_lap*G189,0)*CC189*in_loan_lap_ticket*in_loan_lap_comm</f>
        <v/>
      </c>
      <c r="CE189" s="14">
        <f>AA189+AB189+AC189+AD189+AG189+AJ189+AM189+AP189+AS189+AU189+AX189+BB189+BE189+BG189+BJ189+BL189+BO189+BR189+BT189+BV189+BX189+CA189+CD189</f>
        <v/>
      </c>
    </row>
    <row r="190">
      <c r="A190" s="39" t="n">
        <v>4</v>
      </c>
      <c r="B190" s="39" t="n">
        <v>12</v>
      </c>
      <c r="C190" s="39">
        <f>A190+B190-1</f>
        <v/>
      </c>
      <c r="D190" s="39">
        <f>INT((C190-1)/12)+1</f>
        <v/>
      </c>
      <c r="E190" s="44">
        <f>INDEX(Monthly!$B$2:$B$61,A190)</f>
        <v/>
      </c>
      <c r="F190" s="44">
        <f>E190*INDEX('Age profile'!$B$2:$B$61,B190)</f>
        <v/>
      </c>
      <c r="G190" s="45">
        <f>MIN(in_takeup_cap,INDEX('Age profile'!$N$2:$N$61,B190)*(1+in_takeup_growth)^(D190-1))</f>
        <v/>
      </c>
      <c r="H190" s="11">
        <f>MIN(in_approval_cap,in_approved_first*INDEX('Age profile'!$O$2:$O$61,B190)*(1+in_approval_growth)^(D190-1))</f>
        <v/>
      </c>
      <c r="I190" s="45">
        <f>G190*MIN(in_takeup_cap,INDEX('Age profile'!$O$2:$O$61,B190)*(1+in_approval_growth)^(D190-1))</f>
        <v/>
      </c>
      <c r="J190" s="40">
        <f>(J189-L189)*F190/F189</f>
        <v/>
      </c>
      <c r="K190" s="40">
        <f>(K189-M189)*F190/F189+SUMIFS(O179:O189,B179:B189,B190-1-d_T)*F190</f>
        <v/>
      </c>
      <c r="L190" s="40">
        <f>IF(B190&gt;=in_marketplace_from,J190*d_hz*G190*in_eligible*H190,0)</f>
        <v/>
      </c>
      <c r="M190" s="40">
        <f>IF(B190&gt;=in_marketplace_from,K190*d_hz*G190*in_eligible*in_approved_repeat,0)</f>
        <v/>
      </c>
      <c r="N190" s="40">
        <f>L190+M190</f>
        <v/>
      </c>
      <c r="O190" s="46">
        <f>N190/F190</f>
        <v/>
      </c>
      <c r="P190" s="40">
        <f>F190-J190-K190</f>
        <v/>
      </c>
      <c r="Q190" s="40">
        <f>IF(B190&gt;=in_marketplace_from,(J190+K190)*d_hz*G190,0)</f>
        <v/>
      </c>
      <c r="R190" s="40">
        <f>SUMIFS(N179:N235,B179:B235,"&gt;="&amp;(B190-d_T),B179:B235,"&lt;="&amp;(B190-1))</f>
        <v/>
      </c>
      <c r="S190" s="46">
        <f>(1-d_u)*S189+IF(d_T&gt;in_topup_lag,SUMIFS(O179:O235,B179:B235,B190-in_topup_lag)-d_udrop*SUMIFS(O179:O235,B179:B235,B190-d_T),0)</f>
        <v/>
      </c>
      <c r="T190" s="40">
        <f>F190*d_u*S190</f>
        <v/>
      </c>
      <c r="U190" s="9">
        <f>L190*in_ticket+M190*d_rep_ticket</f>
        <v/>
      </c>
      <c r="V190" s="9">
        <f>U190+T190*d_topup_amt</f>
        <v/>
      </c>
      <c r="W190" s="40">
        <f>N190+T190*d_topup_ratio</f>
        <v/>
      </c>
      <c r="X190" s="40">
        <f>SUMIFS(W179:W235,B179:B235,B190-in_dpd_lag)*d_cured</f>
        <v/>
      </c>
      <c r="Y190" s="40">
        <f>SUMIFS(W179:W235,B179:B235,B190-in_rec_lag)*d_recd</f>
        <v/>
      </c>
      <c r="Z190" s="40">
        <f>IF(AND(B190&gt;=in_marketplace_from,B190&lt;in_marketplace_from+in_card_months),in_card_share/in_card_months*F190*I190,IF(AND(B190&gt;=in_marketplace_from+in_card_months,B190&lt;in_marketplace_from+2*in_card_months),in_card_share*d_card_rem/in_card_months*F190*MIN(in_takeup_cap,(1+in_takeup_growth)^(D190-1))*MIN(in_takeup_cap,(1+in_approval_growth)^(D190-1)),0))</f>
        <v/>
      </c>
      <c r="AA190" s="14">
        <f>V190*in_fee*(1-in_taken_back)</f>
        <v/>
      </c>
      <c r="AB190" s="14">
        <f>SUMIFS(W179:W235,B179:B235,B190-in_dpd_lag)*d_dpd</f>
        <v/>
      </c>
      <c r="AC190" s="14">
        <f>SUMIFS(W179:W235,B179:B235,B190-in_rec_lag)*d_rec</f>
        <v/>
      </c>
      <c r="AD190" s="14">
        <f>Z190*in_card_fee</f>
        <v/>
      </c>
      <c r="AE190" s="40">
        <f>AE189*(1-IF(B189&gt;=in_marketplace_from,d_hz_hlth_small*G189,0))</f>
        <v/>
      </c>
      <c r="AF190" s="46">
        <f>AE190*IF(B190&gt;=in_marketplace_from,d_hz_hlth_small*G190,0)</f>
        <v/>
      </c>
      <c r="AG190" s="14">
        <f>F190*AF190*in_hlth_small_ticket*in_hlth_small_comm*in_ins_partner_share+F190*in_hlth_small_ticket*in_hlth_small_renew_comm*in_ins_partner_share*(in_hlth_small_renew^1*SUMIFS(AF179:AF235,B179:B235,B190-12)+in_hlth_small_renew^2*SUMIFS(AF179:AF235,B179:B235,B190-24)+in_hlth_small_renew^3*SUMIFS(AF179:AF235,B179:B235,B190-36)+in_hlth_small_renew^4*SUMIFS(AF179:AF235,B179:B235,B190-48))</f>
        <v/>
      </c>
      <c r="AH190" s="40">
        <f>AH189*(1-IF(B189&gt;=in_marketplace_from,d_hz_hlth_family*G189,0))</f>
        <v/>
      </c>
      <c r="AI190" s="46">
        <f>AH190*IF(B190&gt;=in_marketplace_from,d_hz_hlth_family*G190,0)</f>
        <v/>
      </c>
      <c r="AJ190" s="14">
        <f>F190*AI190*in_hlth_family_ticket*in_hlth_family_comm*in_ins_partner_share+F190*in_hlth_family_ticket*in_hlth_family_renew_comm*in_ins_partner_share*(in_hlth_family_renew^1*SUMIFS(AI179:AI235,B179:B235,B190-12)+in_hlth_family_renew^2*SUMIFS(AI179:AI235,B179:B235,B190-24)+in_hlth_family_renew^3*SUMIFS(AI179:AI235,B179:B235,B190-36)+in_hlth_family_renew^4*SUMIFS(AI179:AI235,B179:B235,B190-48))</f>
        <v/>
      </c>
      <c r="AK190" s="40">
        <f>AK189*(1-IF(B189&gt;=in_marketplace_from,d_hz_life_term*G189,0))</f>
        <v/>
      </c>
      <c r="AL190" s="46">
        <f>AK190*IF(B190&gt;=in_marketplace_from,d_hz_life_term*G190,0)</f>
        <v/>
      </c>
      <c r="AM190" s="14">
        <f>F190*AL190*in_life_term_ticket*in_life_term_comm*in_ins_partner_share+F190*in_life_term_ticket*in_life_term_renew_comm*in_ins_partner_share*(in_life_term_renew^1*SUMIFS(AL179:AL235,B179:B235,B190-12)+in_life_term_renew^2*SUMIFS(AL179:AL235,B179:B235,B190-24)+in_life_term_renew^3*SUMIFS(AL179:AL235,B179:B235,B190-36)+in_life_term_renew^4*SUMIFS(AL179:AL235,B179:B235,B190-48))</f>
        <v/>
      </c>
      <c r="AN190" s="40">
        <f>AN189*(1-IF(B189&gt;=in_marketplace_from,d_hz_accident*G189,0))</f>
        <v/>
      </c>
      <c r="AO190" s="46">
        <f>AN190*IF(B190&gt;=in_marketplace_from,d_hz_accident*G190,0)</f>
        <v/>
      </c>
      <c r="AP190" s="14">
        <f>F190*AO190*in_accident_ticket*in_accident_comm*in_ins_partner_share+F190*in_accident_ticket*in_accident_renew_comm*in_ins_partner_share*(in_accident_renew^1*SUMIFS(AO179:AO235,B179:B235,B190-12)+in_accident_renew^2*SUMIFS(AO179:AO235,B179:B235,B190-24)+in_accident_renew^3*SUMIFS(AO179:AO235,B179:B235,B190-36)+in_accident_renew^4*SUMIFS(AO179:AO235,B179:B235,B190-48))</f>
        <v/>
      </c>
      <c r="AQ190" s="40">
        <f>AQ189*(1-IF(B189&gt;=in_marketplace_from,d_hz_two_wheeler*G189,0))</f>
        <v/>
      </c>
      <c r="AR190" s="46">
        <f>AQ190*IF(B190&gt;=in_marketplace_from,d_hz_two_wheeler*G190,0)</f>
        <v/>
      </c>
      <c r="AS190" s="14">
        <f>F190*AR190*in_two_wheeler_ticket*in_two_wheeler_comm*in_ins_partner_share+F190*in_two_wheeler_ticket*in_two_wheeler_comm*in_ins_partner_share*(in_two_wheeler_renew^1*SUMIFS(AR179:AR235,B179:B235,B190-12)+in_two_wheeler_renew^2*SUMIFS(AR179:AR235,B179:B235,B190-24)+in_two_wheeler_renew^3*SUMIFS(AR179:AR235,B179:B235,B190-36)+in_two_wheeler_renew^4*SUMIFS(AR179:AR235,B179:B235,B190-48))</f>
        <v/>
      </c>
      <c r="AT190" s="40">
        <f>AT189*(1-IF(B189&gt;=in_marketplace_from,d_hz_device*G189,0))</f>
        <v/>
      </c>
      <c r="AU190" s="14">
        <f>F190*AT190*IF(B190&gt;=in_marketplace_from,d_hz_device*G190,0)*in_device_ticket*in_device_comm*in_ins_partner_share</f>
        <v/>
      </c>
      <c r="AV190" s="40">
        <f>AV189*(1-IF(B189&gt;=in_marketplace_from,d_hz_shop*G189,0))</f>
        <v/>
      </c>
      <c r="AW190" s="46">
        <f>AV190*IF(B190&gt;=in_marketplace_from,d_hz_shop*G190,0)</f>
        <v/>
      </c>
      <c r="AX190" s="14">
        <f>F190*AW190*in_shop_ticket*in_shop_comm*in_ins_partner_share+F190*in_shop_ticket*in_shop_renew_comm*in_ins_partner_share*(in_shop_renew^1*SUMIFS(AW179:AW235,B179:B235,B190-12)+in_shop_renew^2*SUMIFS(AW179:AW235,B179:B235,B190-24)+in_shop_renew^3*SUMIFS(AW179:AW235,B179:B235,B190-36)+in_shop_renew^4*SUMIFS(AW179:AW235,B179:B235,B190-48))</f>
        <v/>
      </c>
      <c r="AY190" s="40">
        <f>AY189*(1-IF(B189&gt;=in_marketplace_from,d_hz_sip*G189,0))</f>
        <v/>
      </c>
      <c r="AZ190" s="40">
        <f>AZ189*d_rho_sip+AY190*IF(B190&gt;=in_marketplace_from,d_hz_sip*G190,0)</f>
        <v/>
      </c>
      <c r="BA190" s="40">
        <f>d_rho_sip*(BA189+AZ189)</f>
        <v/>
      </c>
      <c r="BB190" s="14">
        <f>F190*in_sip_ticket*(BA190+0.5*AZ190)*in_sip_comm/12</f>
        <v/>
      </c>
      <c r="BC190" s="40">
        <f>BC189*(1-IF(B189&gt;=in_marketplace_from,d_hz_choti*G189,0))</f>
        <v/>
      </c>
      <c r="BD190" s="46">
        <f>BC190*IF(B190&gt;=in_marketplace_from,d_hz_choti*G190,0)</f>
        <v/>
      </c>
      <c r="BE190" s="14">
        <f>F190*SUMIFS(BD179:BD235,B179:B235,B190-in_choti_months)*in_choti_renew*in_choti_ticket</f>
        <v/>
      </c>
      <c r="BF190" s="40">
        <f>BF189*(1-IF(B189&gt;=in_marketplace_from,d_hz_nps*G189,0))</f>
        <v/>
      </c>
      <c r="BG190" s="14">
        <f>F190*BF190*IF(B190&gt;=in_marketplace_from,d_hz_nps*G190,0)*in_nps_ticket*in_nps_comm</f>
        <v/>
      </c>
      <c r="BH190" s="40">
        <f>BH189*(1-IF(B189&gt;=in_marketplace_from,d_hz_gold*G189,0))</f>
        <v/>
      </c>
      <c r="BI190" s="40">
        <f>BI189*d_rho_gold+BH190*IF(B190&gt;=in_marketplace_from,d_hz_gold*G190,0)</f>
        <v/>
      </c>
      <c r="BJ190" s="14">
        <f>F190*BI190*in_gold_ticket*in_gold_comm</f>
        <v/>
      </c>
      <c r="BK190" s="40">
        <f>BK189*(1-IF(B189&gt;=in_marketplace_from,d_hz_fd*G189,0))</f>
        <v/>
      </c>
      <c r="BL190" s="14">
        <f>F190*BK190*IF(B190&gt;=in_marketplace_from,d_hz_fd*G190,0)*in_fd_ticket*in_fd_comm</f>
        <v/>
      </c>
      <c r="BM190" s="40">
        <f>BM189*(1-IF(B189&gt;=in_marketplace_from,d_hz_recharge*G189,0))</f>
        <v/>
      </c>
      <c r="BN190" s="40">
        <f>BN189*d_rho_recharge+BM190*IF(B190&gt;=in_marketplace_from,d_hz_recharge*G190,0)</f>
        <v/>
      </c>
      <c r="BO190" s="14">
        <f>F190*BN190*in_recharge_ticket*in_recharge_comm/12</f>
        <v/>
      </c>
      <c r="BP190" s="40">
        <f>BP189*(1-IF(B189&gt;=in_marketplace_from,d_hz_bills*G189,0))</f>
        <v/>
      </c>
      <c r="BQ190" s="40">
        <f>BQ189*d_rho_bills+BP190*IF(B190&gt;=in_marketplace_from,d_hz_bills*G190,0)</f>
        <v/>
      </c>
      <c r="BR190" s="14">
        <f>F190*BQ190*in_bills_ticket*in_bills_comm/12</f>
        <v/>
      </c>
      <c r="BS190" s="40">
        <f>BS189*(1-IF(B189&gt;=in_marketplace_from,d_hz_loan_gold*G189,0))</f>
        <v/>
      </c>
      <c r="BT190" s="14">
        <f>F190*BS190*IF(B190&gt;=in_marketplace_from,d_hz_loan_gold*G190,0)*in_loan_gold_ticket*in_loan_gold_comm</f>
        <v/>
      </c>
      <c r="BU190" s="40">
        <f>BU189*(1-IF(B189&gt;=in_marketplace_from,d_hz_loan_cd*G189,0))</f>
        <v/>
      </c>
      <c r="BV190" s="14">
        <f>F190*BU190*IF(B190&gt;=in_marketplace_from,d_hz_loan_cd*G190,0)*in_loan_cd_ticket*in_loan_cd_comm</f>
        <v/>
      </c>
      <c r="BW190" s="40">
        <f>BW189*(1-IF(B189&gt;=in_marketplace_from,d_hz_loan_vehicle*G189,0))</f>
        <v/>
      </c>
      <c r="BX190" s="14">
        <f>F190*BW190*IF(B190&gt;=in_marketplace_from,d_hz_loan_vehicle*G190,0)*in_loan_vehicle_ticket*in_loan_vehicle_comm</f>
        <v/>
      </c>
      <c r="BY190" s="40">
        <f>BY189*(1-IF(B189&gt;=in_marketplace_from,d_hz_loan_home*G189,0)*BZ189)</f>
        <v/>
      </c>
      <c r="BZ190" s="11">
        <f>MIN(in_approval_cap,in_loan_home_approval*INDEX('Age profile'!$O$2:$O$61,B190)*(1+in_approval_growth)^(D190-1))</f>
        <v/>
      </c>
      <c r="CA190" s="14">
        <f>F190*BY190*IF(B190&gt;=in_marketplace_from,d_hz_loan_home*G190,0)*BZ190*in_loan_home_ticket*in_loan_home_comm</f>
        <v/>
      </c>
      <c r="CB190" s="40">
        <f>CB189*(1-IF(B189&gt;=in_marketplace_from,d_hz_loan_lap*G189,0)*CC189)</f>
        <v/>
      </c>
      <c r="CC190" s="11">
        <f>MIN(in_approval_cap,in_loan_lap_approval*INDEX('Age profile'!$O$2:$O$61,B190)*(1+in_approval_growth)^(D190-1))</f>
        <v/>
      </c>
      <c r="CD190" s="14">
        <f>F190*CB190*IF(B190&gt;=in_marketplace_from,d_hz_loan_lap*G190,0)*CC190*in_loan_lap_ticket*in_loan_lap_comm</f>
        <v/>
      </c>
      <c r="CE190" s="14">
        <f>AA190+AB190+AC190+AD190+AG190+AJ190+AM190+AP190+AS190+AU190+AX190+BB190+BE190+BG190+BJ190+BL190+BO190+BR190+BT190+BV190+BX190+CA190+CD190</f>
        <v/>
      </c>
    </row>
    <row r="191">
      <c r="A191" s="39" t="n">
        <v>4</v>
      </c>
      <c r="B191" s="39" t="n">
        <v>13</v>
      </c>
      <c r="C191" s="39">
        <f>A191+B191-1</f>
        <v/>
      </c>
      <c r="D191" s="39">
        <f>INT((C191-1)/12)+1</f>
        <v/>
      </c>
      <c r="E191" s="44">
        <f>INDEX(Monthly!$B$2:$B$61,A191)</f>
        <v/>
      </c>
      <c r="F191" s="44">
        <f>E191*INDEX('Age profile'!$B$2:$B$61,B191)</f>
        <v/>
      </c>
      <c r="G191" s="45">
        <f>MIN(in_takeup_cap,INDEX('Age profile'!$N$2:$N$61,B191)*(1+in_takeup_growth)^(D191-1))</f>
        <v/>
      </c>
      <c r="H191" s="11">
        <f>MIN(in_approval_cap,in_approved_first*INDEX('Age profile'!$O$2:$O$61,B191)*(1+in_approval_growth)^(D191-1))</f>
        <v/>
      </c>
      <c r="I191" s="45">
        <f>G191*MIN(in_takeup_cap,INDEX('Age profile'!$O$2:$O$61,B191)*(1+in_approval_growth)^(D191-1))</f>
        <v/>
      </c>
      <c r="J191" s="40">
        <f>(J190-L190)*F191/F190</f>
        <v/>
      </c>
      <c r="K191" s="40">
        <f>(K190-M190)*F191/F190+SUMIFS(O179:O190,B179:B190,B191-1-d_T)*F191</f>
        <v/>
      </c>
      <c r="L191" s="40">
        <f>IF(B191&gt;=in_marketplace_from,J191*d_hz*G191*in_eligible*H191,0)</f>
        <v/>
      </c>
      <c r="M191" s="40">
        <f>IF(B191&gt;=in_marketplace_from,K191*d_hz*G191*in_eligible*in_approved_repeat,0)</f>
        <v/>
      </c>
      <c r="N191" s="40">
        <f>L191+M191</f>
        <v/>
      </c>
      <c r="O191" s="46">
        <f>N191/F191</f>
        <v/>
      </c>
      <c r="P191" s="40">
        <f>F191-J191-K191</f>
        <v/>
      </c>
      <c r="Q191" s="40">
        <f>IF(B191&gt;=in_marketplace_from,(J191+K191)*d_hz*G191,0)</f>
        <v/>
      </c>
      <c r="R191" s="40">
        <f>SUMIFS(N179:N235,B179:B235,"&gt;="&amp;(B191-d_T),B179:B235,"&lt;="&amp;(B191-1))</f>
        <v/>
      </c>
      <c r="S191" s="46">
        <f>(1-d_u)*S190+IF(d_T&gt;in_topup_lag,SUMIFS(O179:O235,B179:B235,B191-in_topup_lag)-d_udrop*SUMIFS(O179:O235,B179:B235,B191-d_T),0)</f>
        <v/>
      </c>
      <c r="T191" s="40">
        <f>F191*d_u*S191</f>
        <v/>
      </c>
      <c r="U191" s="9">
        <f>L191*in_ticket+M191*d_rep_ticket</f>
        <v/>
      </c>
      <c r="V191" s="9">
        <f>U191+T191*d_topup_amt</f>
        <v/>
      </c>
      <c r="W191" s="40">
        <f>N191+T191*d_topup_ratio</f>
        <v/>
      </c>
      <c r="X191" s="40">
        <f>SUMIFS(W179:W235,B179:B235,B191-in_dpd_lag)*d_cured</f>
        <v/>
      </c>
      <c r="Y191" s="40">
        <f>SUMIFS(W179:W235,B179:B235,B191-in_rec_lag)*d_recd</f>
        <v/>
      </c>
      <c r="Z191" s="40">
        <f>IF(AND(B191&gt;=in_marketplace_from,B191&lt;in_marketplace_from+in_card_months),in_card_share/in_card_months*F191*I191,IF(AND(B191&gt;=in_marketplace_from+in_card_months,B191&lt;in_marketplace_from+2*in_card_months),in_card_share*d_card_rem/in_card_months*F191*MIN(in_takeup_cap,(1+in_takeup_growth)^(D191-1))*MIN(in_takeup_cap,(1+in_approval_growth)^(D191-1)),0))</f>
        <v/>
      </c>
      <c r="AA191" s="14">
        <f>V191*in_fee*(1-in_taken_back)</f>
        <v/>
      </c>
      <c r="AB191" s="14">
        <f>SUMIFS(W179:W235,B179:B235,B191-in_dpd_lag)*d_dpd</f>
        <v/>
      </c>
      <c r="AC191" s="14">
        <f>SUMIFS(W179:W235,B179:B235,B191-in_rec_lag)*d_rec</f>
        <v/>
      </c>
      <c r="AD191" s="14">
        <f>Z191*in_card_fee</f>
        <v/>
      </c>
      <c r="AE191" s="40">
        <f>AE190*(1-IF(B190&gt;=in_marketplace_from,d_hz_hlth_small*G190,0))</f>
        <v/>
      </c>
      <c r="AF191" s="46">
        <f>AE191*IF(B191&gt;=in_marketplace_from,d_hz_hlth_small*G191,0)</f>
        <v/>
      </c>
      <c r="AG191" s="14">
        <f>F191*AF191*in_hlth_small_ticket*in_hlth_small_comm*in_ins_partner_share+F191*in_hlth_small_ticket*in_hlth_small_renew_comm*in_ins_partner_share*(in_hlth_small_renew^1*SUMIFS(AF179:AF235,B179:B235,B191-12)+in_hlth_small_renew^2*SUMIFS(AF179:AF235,B179:B235,B191-24)+in_hlth_small_renew^3*SUMIFS(AF179:AF235,B179:B235,B191-36)+in_hlth_small_renew^4*SUMIFS(AF179:AF235,B179:B235,B191-48))</f>
        <v/>
      </c>
      <c r="AH191" s="40">
        <f>AH190*(1-IF(B190&gt;=in_marketplace_from,d_hz_hlth_family*G190,0))</f>
        <v/>
      </c>
      <c r="AI191" s="46">
        <f>AH191*IF(B191&gt;=in_marketplace_from,d_hz_hlth_family*G191,0)</f>
        <v/>
      </c>
      <c r="AJ191" s="14">
        <f>F191*AI191*in_hlth_family_ticket*in_hlth_family_comm*in_ins_partner_share+F191*in_hlth_family_ticket*in_hlth_family_renew_comm*in_ins_partner_share*(in_hlth_family_renew^1*SUMIFS(AI179:AI235,B179:B235,B191-12)+in_hlth_family_renew^2*SUMIFS(AI179:AI235,B179:B235,B191-24)+in_hlth_family_renew^3*SUMIFS(AI179:AI235,B179:B235,B191-36)+in_hlth_family_renew^4*SUMIFS(AI179:AI235,B179:B235,B191-48))</f>
        <v/>
      </c>
      <c r="AK191" s="40">
        <f>AK190*(1-IF(B190&gt;=in_marketplace_from,d_hz_life_term*G190,0))</f>
        <v/>
      </c>
      <c r="AL191" s="46">
        <f>AK191*IF(B191&gt;=in_marketplace_from,d_hz_life_term*G191,0)</f>
        <v/>
      </c>
      <c r="AM191" s="14">
        <f>F191*AL191*in_life_term_ticket*in_life_term_comm*in_ins_partner_share+F191*in_life_term_ticket*in_life_term_renew_comm*in_ins_partner_share*(in_life_term_renew^1*SUMIFS(AL179:AL235,B179:B235,B191-12)+in_life_term_renew^2*SUMIFS(AL179:AL235,B179:B235,B191-24)+in_life_term_renew^3*SUMIFS(AL179:AL235,B179:B235,B191-36)+in_life_term_renew^4*SUMIFS(AL179:AL235,B179:B235,B191-48))</f>
        <v/>
      </c>
      <c r="AN191" s="40">
        <f>AN190*(1-IF(B190&gt;=in_marketplace_from,d_hz_accident*G190,0))</f>
        <v/>
      </c>
      <c r="AO191" s="46">
        <f>AN191*IF(B191&gt;=in_marketplace_from,d_hz_accident*G191,0)</f>
        <v/>
      </c>
      <c r="AP191" s="14">
        <f>F191*AO191*in_accident_ticket*in_accident_comm*in_ins_partner_share+F191*in_accident_ticket*in_accident_renew_comm*in_ins_partner_share*(in_accident_renew^1*SUMIFS(AO179:AO235,B179:B235,B191-12)+in_accident_renew^2*SUMIFS(AO179:AO235,B179:B235,B191-24)+in_accident_renew^3*SUMIFS(AO179:AO235,B179:B235,B191-36)+in_accident_renew^4*SUMIFS(AO179:AO235,B179:B235,B191-48))</f>
        <v/>
      </c>
      <c r="AQ191" s="40">
        <f>AQ190*(1-IF(B190&gt;=in_marketplace_from,d_hz_two_wheeler*G190,0))</f>
        <v/>
      </c>
      <c r="AR191" s="46">
        <f>AQ191*IF(B191&gt;=in_marketplace_from,d_hz_two_wheeler*G191,0)</f>
        <v/>
      </c>
      <c r="AS191" s="14">
        <f>F191*AR191*in_two_wheeler_ticket*in_two_wheeler_comm*in_ins_partner_share+F191*in_two_wheeler_ticket*in_two_wheeler_comm*in_ins_partner_share*(in_two_wheeler_renew^1*SUMIFS(AR179:AR235,B179:B235,B191-12)+in_two_wheeler_renew^2*SUMIFS(AR179:AR235,B179:B235,B191-24)+in_two_wheeler_renew^3*SUMIFS(AR179:AR235,B179:B235,B191-36)+in_two_wheeler_renew^4*SUMIFS(AR179:AR235,B179:B235,B191-48))</f>
        <v/>
      </c>
      <c r="AT191" s="40">
        <f>AT190*(1-IF(B190&gt;=in_marketplace_from,d_hz_device*G190,0))</f>
        <v/>
      </c>
      <c r="AU191" s="14">
        <f>F191*AT191*IF(B191&gt;=in_marketplace_from,d_hz_device*G191,0)*in_device_ticket*in_device_comm*in_ins_partner_share</f>
        <v/>
      </c>
      <c r="AV191" s="40">
        <f>AV190*(1-IF(B190&gt;=in_marketplace_from,d_hz_shop*G190,0))</f>
        <v/>
      </c>
      <c r="AW191" s="46">
        <f>AV191*IF(B191&gt;=in_marketplace_from,d_hz_shop*G191,0)</f>
        <v/>
      </c>
      <c r="AX191" s="14">
        <f>F191*AW191*in_shop_ticket*in_shop_comm*in_ins_partner_share+F191*in_shop_ticket*in_shop_renew_comm*in_ins_partner_share*(in_shop_renew^1*SUMIFS(AW179:AW235,B179:B235,B191-12)+in_shop_renew^2*SUMIFS(AW179:AW235,B179:B235,B191-24)+in_shop_renew^3*SUMIFS(AW179:AW235,B179:B235,B191-36)+in_shop_renew^4*SUMIFS(AW179:AW235,B179:B235,B191-48))</f>
        <v/>
      </c>
      <c r="AY191" s="40">
        <f>AY190*(1-IF(B190&gt;=in_marketplace_from,d_hz_sip*G190,0))</f>
        <v/>
      </c>
      <c r="AZ191" s="40">
        <f>AZ190*d_rho_sip+AY191*IF(B191&gt;=in_marketplace_from,d_hz_sip*G191,0)</f>
        <v/>
      </c>
      <c r="BA191" s="40">
        <f>d_rho_sip*(BA190+AZ190)</f>
        <v/>
      </c>
      <c r="BB191" s="14">
        <f>F191*in_sip_ticket*(BA191+0.5*AZ191)*in_sip_comm/12</f>
        <v/>
      </c>
      <c r="BC191" s="40">
        <f>BC190*(1-IF(B190&gt;=in_marketplace_from,d_hz_choti*G190,0))</f>
        <v/>
      </c>
      <c r="BD191" s="46">
        <f>BC191*IF(B191&gt;=in_marketplace_from,d_hz_choti*G191,0)</f>
        <v/>
      </c>
      <c r="BE191" s="14">
        <f>F191*SUMIFS(BD179:BD235,B179:B235,B191-in_choti_months)*in_choti_renew*in_choti_ticket</f>
        <v/>
      </c>
      <c r="BF191" s="40">
        <f>BF190*(1-IF(B190&gt;=in_marketplace_from,d_hz_nps*G190,0))</f>
        <v/>
      </c>
      <c r="BG191" s="14">
        <f>F191*BF191*IF(B191&gt;=in_marketplace_from,d_hz_nps*G191,0)*in_nps_ticket*in_nps_comm</f>
        <v/>
      </c>
      <c r="BH191" s="40">
        <f>BH190*(1-IF(B190&gt;=in_marketplace_from,d_hz_gold*G190,0))</f>
        <v/>
      </c>
      <c r="BI191" s="40">
        <f>BI190*d_rho_gold+BH191*IF(B191&gt;=in_marketplace_from,d_hz_gold*G191,0)</f>
        <v/>
      </c>
      <c r="BJ191" s="14">
        <f>F191*BI191*in_gold_ticket*in_gold_comm</f>
        <v/>
      </c>
      <c r="BK191" s="40">
        <f>BK190*(1-IF(B190&gt;=in_marketplace_from,d_hz_fd*G190,0))</f>
        <v/>
      </c>
      <c r="BL191" s="14">
        <f>F191*BK191*IF(B191&gt;=in_marketplace_from,d_hz_fd*G191,0)*in_fd_ticket*in_fd_comm</f>
        <v/>
      </c>
      <c r="BM191" s="40">
        <f>BM190*(1-IF(B190&gt;=in_marketplace_from,d_hz_recharge*G190,0))</f>
        <v/>
      </c>
      <c r="BN191" s="40">
        <f>BN190*d_rho_recharge+BM191*IF(B191&gt;=in_marketplace_from,d_hz_recharge*G191,0)</f>
        <v/>
      </c>
      <c r="BO191" s="14">
        <f>F191*BN191*in_recharge_ticket*in_recharge_comm/12</f>
        <v/>
      </c>
      <c r="BP191" s="40">
        <f>BP190*(1-IF(B190&gt;=in_marketplace_from,d_hz_bills*G190,0))</f>
        <v/>
      </c>
      <c r="BQ191" s="40">
        <f>BQ190*d_rho_bills+BP191*IF(B191&gt;=in_marketplace_from,d_hz_bills*G191,0)</f>
        <v/>
      </c>
      <c r="BR191" s="14">
        <f>F191*BQ191*in_bills_ticket*in_bills_comm/12</f>
        <v/>
      </c>
      <c r="BS191" s="40">
        <f>BS190*(1-IF(B190&gt;=in_marketplace_from,d_hz_loan_gold*G190,0))</f>
        <v/>
      </c>
      <c r="BT191" s="14">
        <f>F191*BS191*IF(B191&gt;=in_marketplace_from,d_hz_loan_gold*G191,0)*in_loan_gold_ticket*in_loan_gold_comm</f>
        <v/>
      </c>
      <c r="BU191" s="40">
        <f>BU190*(1-IF(B190&gt;=in_marketplace_from,d_hz_loan_cd*G190,0))</f>
        <v/>
      </c>
      <c r="BV191" s="14">
        <f>F191*BU191*IF(B191&gt;=in_marketplace_from,d_hz_loan_cd*G191,0)*in_loan_cd_ticket*in_loan_cd_comm</f>
        <v/>
      </c>
      <c r="BW191" s="40">
        <f>BW190*(1-IF(B190&gt;=in_marketplace_from,d_hz_loan_vehicle*G190,0))</f>
        <v/>
      </c>
      <c r="BX191" s="14">
        <f>F191*BW191*IF(B191&gt;=in_marketplace_from,d_hz_loan_vehicle*G191,0)*in_loan_vehicle_ticket*in_loan_vehicle_comm</f>
        <v/>
      </c>
      <c r="BY191" s="40">
        <f>BY190*(1-IF(B190&gt;=in_marketplace_from,d_hz_loan_home*G190,0)*BZ190)</f>
        <v/>
      </c>
      <c r="BZ191" s="11">
        <f>MIN(in_approval_cap,in_loan_home_approval*INDEX('Age profile'!$O$2:$O$61,B191)*(1+in_approval_growth)^(D191-1))</f>
        <v/>
      </c>
      <c r="CA191" s="14">
        <f>F191*BY191*IF(B191&gt;=in_marketplace_from,d_hz_loan_home*G191,0)*BZ191*in_loan_home_ticket*in_loan_home_comm</f>
        <v/>
      </c>
      <c r="CB191" s="40">
        <f>CB190*(1-IF(B190&gt;=in_marketplace_from,d_hz_loan_lap*G190,0)*CC190)</f>
        <v/>
      </c>
      <c r="CC191" s="11">
        <f>MIN(in_approval_cap,in_loan_lap_approval*INDEX('Age profile'!$O$2:$O$61,B191)*(1+in_approval_growth)^(D191-1))</f>
        <v/>
      </c>
      <c r="CD191" s="14">
        <f>F191*CB191*IF(B191&gt;=in_marketplace_from,d_hz_loan_lap*G191,0)*CC191*in_loan_lap_ticket*in_loan_lap_comm</f>
        <v/>
      </c>
      <c r="CE191" s="14">
        <f>AA191+AB191+AC191+AD191+AG191+AJ191+AM191+AP191+AS191+AU191+AX191+BB191+BE191+BG191+BJ191+BL191+BO191+BR191+BT191+BV191+BX191+CA191+CD191</f>
        <v/>
      </c>
    </row>
    <row r="192">
      <c r="A192" s="39" t="n">
        <v>4</v>
      </c>
      <c r="B192" s="39" t="n">
        <v>14</v>
      </c>
      <c r="C192" s="39">
        <f>A192+B192-1</f>
        <v/>
      </c>
      <c r="D192" s="39">
        <f>INT((C192-1)/12)+1</f>
        <v/>
      </c>
      <c r="E192" s="44">
        <f>INDEX(Monthly!$B$2:$B$61,A192)</f>
        <v/>
      </c>
      <c r="F192" s="44">
        <f>E192*INDEX('Age profile'!$B$2:$B$61,B192)</f>
        <v/>
      </c>
      <c r="G192" s="45">
        <f>MIN(in_takeup_cap,INDEX('Age profile'!$N$2:$N$61,B192)*(1+in_takeup_growth)^(D192-1))</f>
        <v/>
      </c>
      <c r="H192" s="11">
        <f>MIN(in_approval_cap,in_approved_first*INDEX('Age profile'!$O$2:$O$61,B192)*(1+in_approval_growth)^(D192-1))</f>
        <v/>
      </c>
      <c r="I192" s="45">
        <f>G192*MIN(in_takeup_cap,INDEX('Age profile'!$O$2:$O$61,B192)*(1+in_approval_growth)^(D192-1))</f>
        <v/>
      </c>
      <c r="J192" s="40">
        <f>(J191-L191)*F192/F191</f>
        <v/>
      </c>
      <c r="K192" s="40">
        <f>(K191-M191)*F192/F191+SUMIFS(O179:O191,B179:B191,B192-1-d_T)*F192</f>
        <v/>
      </c>
      <c r="L192" s="40">
        <f>IF(B192&gt;=in_marketplace_from,J192*d_hz*G192*in_eligible*H192,0)</f>
        <v/>
      </c>
      <c r="M192" s="40">
        <f>IF(B192&gt;=in_marketplace_from,K192*d_hz*G192*in_eligible*in_approved_repeat,0)</f>
        <v/>
      </c>
      <c r="N192" s="40">
        <f>L192+M192</f>
        <v/>
      </c>
      <c r="O192" s="46">
        <f>N192/F192</f>
        <v/>
      </c>
      <c r="P192" s="40">
        <f>F192-J192-K192</f>
        <v/>
      </c>
      <c r="Q192" s="40">
        <f>IF(B192&gt;=in_marketplace_from,(J192+K192)*d_hz*G192,0)</f>
        <v/>
      </c>
      <c r="R192" s="40">
        <f>SUMIFS(N179:N235,B179:B235,"&gt;="&amp;(B192-d_T),B179:B235,"&lt;="&amp;(B192-1))</f>
        <v/>
      </c>
      <c r="S192" s="46">
        <f>(1-d_u)*S191+IF(d_T&gt;in_topup_lag,SUMIFS(O179:O235,B179:B235,B192-in_topup_lag)-d_udrop*SUMIFS(O179:O235,B179:B235,B192-d_T),0)</f>
        <v/>
      </c>
      <c r="T192" s="40">
        <f>F192*d_u*S192</f>
        <v/>
      </c>
      <c r="U192" s="9">
        <f>L192*in_ticket+M192*d_rep_ticket</f>
        <v/>
      </c>
      <c r="V192" s="9">
        <f>U192+T192*d_topup_amt</f>
        <v/>
      </c>
      <c r="W192" s="40">
        <f>N192+T192*d_topup_ratio</f>
        <v/>
      </c>
      <c r="X192" s="40">
        <f>SUMIFS(W179:W235,B179:B235,B192-in_dpd_lag)*d_cured</f>
        <v/>
      </c>
      <c r="Y192" s="40">
        <f>SUMIFS(W179:W235,B179:B235,B192-in_rec_lag)*d_recd</f>
        <v/>
      </c>
      <c r="Z192" s="40">
        <f>IF(AND(B192&gt;=in_marketplace_from,B192&lt;in_marketplace_from+in_card_months),in_card_share/in_card_months*F192*I192,IF(AND(B192&gt;=in_marketplace_from+in_card_months,B192&lt;in_marketplace_from+2*in_card_months),in_card_share*d_card_rem/in_card_months*F192*MIN(in_takeup_cap,(1+in_takeup_growth)^(D192-1))*MIN(in_takeup_cap,(1+in_approval_growth)^(D192-1)),0))</f>
        <v/>
      </c>
      <c r="AA192" s="14">
        <f>V192*in_fee*(1-in_taken_back)</f>
        <v/>
      </c>
      <c r="AB192" s="14">
        <f>SUMIFS(W179:W235,B179:B235,B192-in_dpd_lag)*d_dpd</f>
        <v/>
      </c>
      <c r="AC192" s="14">
        <f>SUMIFS(W179:W235,B179:B235,B192-in_rec_lag)*d_rec</f>
        <v/>
      </c>
      <c r="AD192" s="14">
        <f>Z192*in_card_fee</f>
        <v/>
      </c>
      <c r="AE192" s="40">
        <f>AE191*(1-IF(B191&gt;=in_marketplace_from,d_hz_hlth_small*G191,0))</f>
        <v/>
      </c>
      <c r="AF192" s="46">
        <f>AE192*IF(B192&gt;=in_marketplace_from,d_hz_hlth_small*G192,0)</f>
        <v/>
      </c>
      <c r="AG192" s="14">
        <f>F192*AF192*in_hlth_small_ticket*in_hlth_small_comm*in_ins_partner_share+F192*in_hlth_small_ticket*in_hlth_small_renew_comm*in_ins_partner_share*(in_hlth_small_renew^1*SUMIFS(AF179:AF235,B179:B235,B192-12)+in_hlth_small_renew^2*SUMIFS(AF179:AF235,B179:B235,B192-24)+in_hlth_small_renew^3*SUMIFS(AF179:AF235,B179:B235,B192-36)+in_hlth_small_renew^4*SUMIFS(AF179:AF235,B179:B235,B192-48))</f>
        <v/>
      </c>
      <c r="AH192" s="40">
        <f>AH191*(1-IF(B191&gt;=in_marketplace_from,d_hz_hlth_family*G191,0))</f>
        <v/>
      </c>
      <c r="AI192" s="46">
        <f>AH192*IF(B192&gt;=in_marketplace_from,d_hz_hlth_family*G192,0)</f>
        <v/>
      </c>
      <c r="AJ192" s="14">
        <f>F192*AI192*in_hlth_family_ticket*in_hlth_family_comm*in_ins_partner_share+F192*in_hlth_family_ticket*in_hlth_family_renew_comm*in_ins_partner_share*(in_hlth_family_renew^1*SUMIFS(AI179:AI235,B179:B235,B192-12)+in_hlth_family_renew^2*SUMIFS(AI179:AI235,B179:B235,B192-24)+in_hlth_family_renew^3*SUMIFS(AI179:AI235,B179:B235,B192-36)+in_hlth_family_renew^4*SUMIFS(AI179:AI235,B179:B235,B192-48))</f>
        <v/>
      </c>
      <c r="AK192" s="40">
        <f>AK191*(1-IF(B191&gt;=in_marketplace_from,d_hz_life_term*G191,0))</f>
        <v/>
      </c>
      <c r="AL192" s="46">
        <f>AK192*IF(B192&gt;=in_marketplace_from,d_hz_life_term*G192,0)</f>
        <v/>
      </c>
      <c r="AM192" s="14">
        <f>F192*AL192*in_life_term_ticket*in_life_term_comm*in_ins_partner_share+F192*in_life_term_ticket*in_life_term_renew_comm*in_ins_partner_share*(in_life_term_renew^1*SUMIFS(AL179:AL235,B179:B235,B192-12)+in_life_term_renew^2*SUMIFS(AL179:AL235,B179:B235,B192-24)+in_life_term_renew^3*SUMIFS(AL179:AL235,B179:B235,B192-36)+in_life_term_renew^4*SUMIFS(AL179:AL235,B179:B235,B192-48))</f>
        <v/>
      </c>
      <c r="AN192" s="40">
        <f>AN191*(1-IF(B191&gt;=in_marketplace_from,d_hz_accident*G191,0))</f>
        <v/>
      </c>
      <c r="AO192" s="46">
        <f>AN192*IF(B192&gt;=in_marketplace_from,d_hz_accident*G192,0)</f>
        <v/>
      </c>
      <c r="AP192" s="14">
        <f>F192*AO192*in_accident_ticket*in_accident_comm*in_ins_partner_share+F192*in_accident_ticket*in_accident_renew_comm*in_ins_partner_share*(in_accident_renew^1*SUMIFS(AO179:AO235,B179:B235,B192-12)+in_accident_renew^2*SUMIFS(AO179:AO235,B179:B235,B192-24)+in_accident_renew^3*SUMIFS(AO179:AO235,B179:B235,B192-36)+in_accident_renew^4*SUMIFS(AO179:AO235,B179:B235,B192-48))</f>
        <v/>
      </c>
      <c r="AQ192" s="40">
        <f>AQ191*(1-IF(B191&gt;=in_marketplace_from,d_hz_two_wheeler*G191,0))</f>
        <v/>
      </c>
      <c r="AR192" s="46">
        <f>AQ192*IF(B192&gt;=in_marketplace_from,d_hz_two_wheeler*G192,0)</f>
        <v/>
      </c>
      <c r="AS192" s="14">
        <f>F192*AR192*in_two_wheeler_ticket*in_two_wheeler_comm*in_ins_partner_share+F192*in_two_wheeler_ticket*in_two_wheeler_comm*in_ins_partner_share*(in_two_wheeler_renew^1*SUMIFS(AR179:AR235,B179:B235,B192-12)+in_two_wheeler_renew^2*SUMIFS(AR179:AR235,B179:B235,B192-24)+in_two_wheeler_renew^3*SUMIFS(AR179:AR235,B179:B235,B192-36)+in_two_wheeler_renew^4*SUMIFS(AR179:AR235,B179:B235,B192-48))</f>
        <v/>
      </c>
      <c r="AT192" s="40">
        <f>AT191*(1-IF(B191&gt;=in_marketplace_from,d_hz_device*G191,0))</f>
        <v/>
      </c>
      <c r="AU192" s="14">
        <f>F192*AT192*IF(B192&gt;=in_marketplace_from,d_hz_device*G192,0)*in_device_ticket*in_device_comm*in_ins_partner_share</f>
        <v/>
      </c>
      <c r="AV192" s="40">
        <f>AV191*(1-IF(B191&gt;=in_marketplace_from,d_hz_shop*G191,0))</f>
        <v/>
      </c>
      <c r="AW192" s="46">
        <f>AV192*IF(B192&gt;=in_marketplace_from,d_hz_shop*G192,0)</f>
        <v/>
      </c>
      <c r="AX192" s="14">
        <f>F192*AW192*in_shop_ticket*in_shop_comm*in_ins_partner_share+F192*in_shop_ticket*in_shop_renew_comm*in_ins_partner_share*(in_shop_renew^1*SUMIFS(AW179:AW235,B179:B235,B192-12)+in_shop_renew^2*SUMIFS(AW179:AW235,B179:B235,B192-24)+in_shop_renew^3*SUMIFS(AW179:AW235,B179:B235,B192-36)+in_shop_renew^4*SUMIFS(AW179:AW235,B179:B235,B192-48))</f>
        <v/>
      </c>
      <c r="AY192" s="40">
        <f>AY191*(1-IF(B191&gt;=in_marketplace_from,d_hz_sip*G191,0))</f>
        <v/>
      </c>
      <c r="AZ192" s="40">
        <f>AZ191*d_rho_sip+AY192*IF(B192&gt;=in_marketplace_from,d_hz_sip*G192,0)</f>
        <v/>
      </c>
      <c r="BA192" s="40">
        <f>d_rho_sip*(BA191+AZ191)</f>
        <v/>
      </c>
      <c r="BB192" s="14">
        <f>F192*in_sip_ticket*(BA192+0.5*AZ192)*in_sip_comm/12</f>
        <v/>
      </c>
      <c r="BC192" s="40">
        <f>BC191*(1-IF(B191&gt;=in_marketplace_from,d_hz_choti*G191,0))</f>
        <v/>
      </c>
      <c r="BD192" s="46">
        <f>BC192*IF(B192&gt;=in_marketplace_from,d_hz_choti*G192,0)</f>
        <v/>
      </c>
      <c r="BE192" s="14">
        <f>F192*SUMIFS(BD179:BD235,B179:B235,B192-in_choti_months)*in_choti_renew*in_choti_ticket</f>
        <v/>
      </c>
      <c r="BF192" s="40">
        <f>BF191*(1-IF(B191&gt;=in_marketplace_from,d_hz_nps*G191,0))</f>
        <v/>
      </c>
      <c r="BG192" s="14">
        <f>F192*BF192*IF(B192&gt;=in_marketplace_from,d_hz_nps*G192,0)*in_nps_ticket*in_nps_comm</f>
        <v/>
      </c>
      <c r="BH192" s="40">
        <f>BH191*(1-IF(B191&gt;=in_marketplace_from,d_hz_gold*G191,0))</f>
        <v/>
      </c>
      <c r="BI192" s="40">
        <f>BI191*d_rho_gold+BH192*IF(B192&gt;=in_marketplace_from,d_hz_gold*G192,0)</f>
        <v/>
      </c>
      <c r="BJ192" s="14">
        <f>F192*BI192*in_gold_ticket*in_gold_comm</f>
        <v/>
      </c>
      <c r="BK192" s="40">
        <f>BK191*(1-IF(B191&gt;=in_marketplace_from,d_hz_fd*G191,0))</f>
        <v/>
      </c>
      <c r="BL192" s="14">
        <f>F192*BK192*IF(B192&gt;=in_marketplace_from,d_hz_fd*G192,0)*in_fd_ticket*in_fd_comm</f>
        <v/>
      </c>
      <c r="BM192" s="40">
        <f>BM191*(1-IF(B191&gt;=in_marketplace_from,d_hz_recharge*G191,0))</f>
        <v/>
      </c>
      <c r="BN192" s="40">
        <f>BN191*d_rho_recharge+BM192*IF(B192&gt;=in_marketplace_from,d_hz_recharge*G192,0)</f>
        <v/>
      </c>
      <c r="BO192" s="14">
        <f>F192*BN192*in_recharge_ticket*in_recharge_comm/12</f>
        <v/>
      </c>
      <c r="BP192" s="40">
        <f>BP191*(1-IF(B191&gt;=in_marketplace_from,d_hz_bills*G191,0))</f>
        <v/>
      </c>
      <c r="BQ192" s="40">
        <f>BQ191*d_rho_bills+BP192*IF(B192&gt;=in_marketplace_from,d_hz_bills*G192,0)</f>
        <v/>
      </c>
      <c r="BR192" s="14">
        <f>F192*BQ192*in_bills_ticket*in_bills_comm/12</f>
        <v/>
      </c>
      <c r="BS192" s="40">
        <f>BS191*(1-IF(B191&gt;=in_marketplace_from,d_hz_loan_gold*G191,0))</f>
        <v/>
      </c>
      <c r="BT192" s="14">
        <f>F192*BS192*IF(B192&gt;=in_marketplace_from,d_hz_loan_gold*G192,0)*in_loan_gold_ticket*in_loan_gold_comm</f>
        <v/>
      </c>
      <c r="BU192" s="40">
        <f>BU191*(1-IF(B191&gt;=in_marketplace_from,d_hz_loan_cd*G191,0))</f>
        <v/>
      </c>
      <c r="BV192" s="14">
        <f>F192*BU192*IF(B192&gt;=in_marketplace_from,d_hz_loan_cd*G192,0)*in_loan_cd_ticket*in_loan_cd_comm</f>
        <v/>
      </c>
      <c r="BW192" s="40">
        <f>BW191*(1-IF(B191&gt;=in_marketplace_from,d_hz_loan_vehicle*G191,0))</f>
        <v/>
      </c>
      <c r="BX192" s="14">
        <f>F192*BW192*IF(B192&gt;=in_marketplace_from,d_hz_loan_vehicle*G192,0)*in_loan_vehicle_ticket*in_loan_vehicle_comm</f>
        <v/>
      </c>
      <c r="BY192" s="40">
        <f>BY191*(1-IF(B191&gt;=in_marketplace_from,d_hz_loan_home*G191,0)*BZ191)</f>
        <v/>
      </c>
      <c r="BZ192" s="11">
        <f>MIN(in_approval_cap,in_loan_home_approval*INDEX('Age profile'!$O$2:$O$61,B192)*(1+in_approval_growth)^(D192-1))</f>
        <v/>
      </c>
      <c r="CA192" s="14">
        <f>F192*BY192*IF(B192&gt;=in_marketplace_from,d_hz_loan_home*G192,0)*BZ192*in_loan_home_ticket*in_loan_home_comm</f>
        <v/>
      </c>
      <c r="CB192" s="40">
        <f>CB191*(1-IF(B191&gt;=in_marketplace_from,d_hz_loan_lap*G191,0)*CC191)</f>
        <v/>
      </c>
      <c r="CC192" s="11">
        <f>MIN(in_approval_cap,in_loan_lap_approval*INDEX('Age profile'!$O$2:$O$61,B192)*(1+in_approval_growth)^(D192-1))</f>
        <v/>
      </c>
      <c r="CD192" s="14">
        <f>F192*CB192*IF(B192&gt;=in_marketplace_from,d_hz_loan_lap*G192,0)*CC192*in_loan_lap_ticket*in_loan_lap_comm</f>
        <v/>
      </c>
      <c r="CE192" s="14">
        <f>AA192+AB192+AC192+AD192+AG192+AJ192+AM192+AP192+AS192+AU192+AX192+BB192+BE192+BG192+BJ192+BL192+BO192+BR192+BT192+BV192+BX192+CA192+CD192</f>
        <v/>
      </c>
    </row>
    <row r="193">
      <c r="A193" s="39" t="n">
        <v>4</v>
      </c>
      <c r="B193" s="39" t="n">
        <v>15</v>
      </c>
      <c r="C193" s="39">
        <f>A193+B193-1</f>
        <v/>
      </c>
      <c r="D193" s="39">
        <f>INT((C193-1)/12)+1</f>
        <v/>
      </c>
      <c r="E193" s="44">
        <f>INDEX(Monthly!$B$2:$B$61,A193)</f>
        <v/>
      </c>
      <c r="F193" s="44">
        <f>E193*INDEX('Age profile'!$B$2:$B$61,B193)</f>
        <v/>
      </c>
      <c r="G193" s="45">
        <f>MIN(in_takeup_cap,INDEX('Age profile'!$N$2:$N$61,B193)*(1+in_takeup_growth)^(D193-1))</f>
        <v/>
      </c>
      <c r="H193" s="11">
        <f>MIN(in_approval_cap,in_approved_first*INDEX('Age profile'!$O$2:$O$61,B193)*(1+in_approval_growth)^(D193-1))</f>
        <v/>
      </c>
      <c r="I193" s="45">
        <f>G193*MIN(in_takeup_cap,INDEX('Age profile'!$O$2:$O$61,B193)*(1+in_approval_growth)^(D193-1))</f>
        <v/>
      </c>
      <c r="J193" s="40">
        <f>(J192-L192)*F193/F192</f>
        <v/>
      </c>
      <c r="K193" s="40">
        <f>(K192-M192)*F193/F192+SUMIFS(O179:O192,B179:B192,B193-1-d_T)*F193</f>
        <v/>
      </c>
      <c r="L193" s="40">
        <f>IF(B193&gt;=in_marketplace_from,J193*d_hz*G193*in_eligible*H193,0)</f>
        <v/>
      </c>
      <c r="M193" s="40">
        <f>IF(B193&gt;=in_marketplace_from,K193*d_hz*G193*in_eligible*in_approved_repeat,0)</f>
        <v/>
      </c>
      <c r="N193" s="40">
        <f>L193+M193</f>
        <v/>
      </c>
      <c r="O193" s="46">
        <f>N193/F193</f>
        <v/>
      </c>
      <c r="P193" s="40">
        <f>F193-J193-K193</f>
        <v/>
      </c>
      <c r="Q193" s="40">
        <f>IF(B193&gt;=in_marketplace_from,(J193+K193)*d_hz*G193,0)</f>
        <v/>
      </c>
      <c r="R193" s="40">
        <f>SUMIFS(N179:N235,B179:B235,"&gt;="&amp;(B193-d_T),B179:B235,"&lt;="&amp;(B193-1))</f>
        <v/>
      </c>
      <c r="S193" s="46">
        <f>(1-d_u)*S192+IF(d_T&gt;in_topup_lag,SUMIFS(O179:O235,B179:B235,B193-in_topup_lag)-d_udrop*SUMIFS(O179:O235,B179:B235,B193-d_T),0)</f>
        <v/>
      </c>
      <c r="T193" s="40">
        <f>F193*d_u*S193</f>
        <v/>
      </c>
      <c r="U193" s="9">
        <f>L193*in_ticket+M193*d_rep_ticket</f>
        <v/>
      </c>
      <c r="V193" s="9">
        <f>U193+T193*d_topup_amt</f>
        <v/>
      </c>
      <c r="W193" s="40">
        <f>N193+T193*d_topup_ratio</f>
        <v/>
      </c>
      <c r="X193" s="40">
        <f>SUMIFS(W179:W235,B179:B235,B193-in_dpd_lag)*d_cured</f>
        <v/>
      </c>
      <c r="Y193" s="40">
        <f>SUMIFS(W179:W235,B179:B235,B193-in_rec_lag)*d_recd</f>
        <v/>
      </c>
      <c r="Z193" s="40">
        <f>IF(AND(B193&gt;=in_marketplace_from,B193&lt;in_marketplace_from+in_card_months),in_card_share/in_card_months*F193*I193,IF(AND(B193&gt;=in_marketplace_from+in_card_months,B193&lt;in_marketplace_from+2*in_card_months),in_card_share*d_card_rem/in_card_months*F193*MIN(in_takeup_cap,(1+in_takeup_growth)^(D193-1))*MIN(in_takeup_cap,(1+in_approval_growth)^(D193-1)),0))</f>
        <v/>
      </c>
      <c r="AA193" s="14">
        <f>V193*in_fee*(1-in_taken_back)</f>
        <v/>
      </c>
      <c r="AB193" s="14">
        <f>SUMIFS(W179:W235,B179:B235,B193-in_dpd_lag)*d_dpd</f>
        <v/>
      </c>
      <c r="AC193" s="14">
        <f>SUMIFS(W179:W235,B179:B235,B193-in_rec_lag)*d_rec</f>
        <v/>
      </c>
      <c r="AD193" s="14">
        <f>Z193*in_card_fee</f>
        <v/>
      </c>
      <c r="AE193" s="40">
        <f>AE192*(1-IF(B192&gt;=in_marketplace_from,d_hz_hlth_small*G192,0))</f>
        <v/>
      </c>
      <c r="AF193" s="46">
        <f>AE193*IF(B193&gt;=in_marketplace_from,d_hz_hlth_small*G193,0)</f>
        <v/>
      </c>
      <c r="AG193" s="14">
        <f>F193*AF193*in_hlth_small_ticket*in_hlth_small_comm*in_ins_partner_share+F193*in_hlth_small_ticket*in_hlth_small_renew_comm*in_ins_partner_share*(in_hlth_small_renew^1*SUMIFS(AF179:AF235,B179:B235,B193-12)+in_hlth_small_renew^2*SUMIFS(AF179:AF235,B179:B235,B193-24)+in_hlth_small_renew^3*SUMIFS(AF179:AF235,B179:B235,B193-36)+in_hlth_small_renew^4*SUMIFS(AF179:AF235,B179:B235,B193-48))</f>
        <v/>
      </c>
      <c r="AH193" s="40">
        <f>AH192*(1-IF(B192&gt;=in_marketplace_from,d_hz_hlth_family*G192,0))</f>
        <v/>
      </c>
      <c r="AI193" s="46">
        <f>AH193*IF(B193&gt;=in_marketplace_from,d_hz_hlth_family*G193,0)</f>
        <v/>
      </c>
      <c r="AJ193" s="14">
        <f>F193*AI193*in_hlth_family_ticket*in_hlth_family_comm*in_ins_partner_share+F193*in_hlth_family_ticket*in_hlth_family_renew_comm*in_ins_partner_share*(in_hlth_family_renew^1*SUMIFS(AI179:AI235,B179:B235,B193-12)+in_hlth_family_renew^2*SUMIFS(AI179:AI235,B179:B235,B193-24)+in_hlth_family_renew^3*SUMIFS(AI179:AI235,B179:B235,B193-36)+in_hlth_family_renew^4*SUMIFS(AI179:AI235,B179:B235,B193-48))</f>
        <v/>
      </c>
      <c r="AK193" s="40">
        <f>AK192*(1-IF(B192&gt;=in_marketplace_from,d_hz_life_term*G192,0))</f>
        <v/>
      </c>
      <c r="AL193" s="46">
        <f>AK193*IF(B193&gt;=in_marketplace_from,d_hz_life_term*G193,0)</f>
        <v/>
      </c>
      <c r="AM193" s="14">
        <f>F193*AL193*in_life_term_ticket*in_life_term_comm*in_ins_partner_share+F193*in_life_term_ticket*in_life_term_renew_comm*in_ins_partner_share*(in_life_term_renew^1*SUMIFS(AL179:AL235,B179:B235,B193-12)+in_life_term_renew^2*SUMIFS(AL179:AL235,B179:B235,B193-24)+in_life_term_renew^3*SUMIFS(AL179:AL235,B179:B235,B193-36)+in_life_term_renew^4*SUMIFS(AL179:AL235,B179:B235,B193-48))</f>
        <v/>
      </c>
      <c r="AN193" s="40">
        <f>AN192*(1-IF(B192&gt;=in_marketplace_from,d_hz_accident*G192,0))</f>
        <v/>
      </c>
      <c r="AO193" s="46">
        <f>AN193*IF(B193&gt;=in_marketplace_from,d_hz_accident*G193,0)</f>
        <v/>
      </c>
      <c r="AP193" s="14">
        <f>F193*AO193*in_accident_ticket*in_accident_comm*in_ins_partner_share+F193*in_accident_ticket*in_accident_renew_comm*in_ins_partner_share*(in_accident_renew^1*SUMIFS(AO179:AO235,B179:B235,B193-12)+in_accident_renew^2*SUMIFS(AO179:AO235,B179:B235,B193-24)+in_accident_renew^3*SUMIFS(AO179:AO235,B179:B235,B193-36)+in_accident_renew^4*SUMIFS(AO179:AO235,B179:B235,B193-48))</f>
        <v/>
      </c>
      <c r="AQ193" s="40">
        <f>AQ192*(1-IF(B192&gt;=in_marketplace_from,d_hz_two_wheeler*G192,0))</f>
        <v/>
      </c>
      <c r="AR193" s="46">
        <f>AQ193*IF(B193&gt;=in_marketplace_from,d_hz_two_wheeler*G193,0)</f>
        <v/>
      </c>
      <c r="AS193" s="14">
        <f>F193*AR193*in_two_wheeler_ticket*in_two_wheeler_comm*in_ins_partner_share+F193*in_two_wheeler_ticket*in_two_wheeler_comm*in_ins_partner_share*(in_two_wheeler_renew^1*SUMIFS(AR179:AR235,B179:B235,B193-12)+in_two_wheeler_renew^2*SUMIFS(AR179:AR235,B179:B235,B193-24)+in_two_wheeler_renew^3*SUMIFS(AR179:AR235,B179:B235,B193-36)+in_two_wheeler_renew^4*SUMIFS(AR179:AR235,B179:B235,B193-48))</f>
        <v/>
      </c>
      <c r="AT193" s="40">
        <f>AT192*(1-IF(B192&gt;=in_marketplace_from,d_hz_device*G192,0))</f>
        <v/>
      </c>
      <c r="AU193" s="14">
        <f>F193*AT193*IF(B193&gt;=in_marketplace_from,d_hz_device*G193,0)*in_device_ticket*in_device_comm*in_ins_partner_share</f>
        <v/>
      </c>
      <c r="AV193" s="40">
        <f>AV192*(1-IF(B192&gt;=in_marketplace_from,d_hz_shop*G192,0))</f>
        <v/>
      </c>
      <c r="AW193" s="46">
        <f>AV193*IF(B193&gt;=in_marketplace_from,d_hz_shop*G193,0)</f>
        <v/>
      </c>
      <c r="AX193" s="14">
        <f>F193*AW193*in_shop_ticket*in_shop_comm*in_ins_partner_share+F193*in_shop_ticket*in_shop_renew_comm*in_ins_partner_share*(in_shop_renew^1*SUMIFS(AW179:AW235,B179:B235,B193-12)+in_shop_renew^2*SUMIFS(AW179:AW235,B179:B235,B193-24)+in_shop_renew^3*SUMIFS(AW179:AW235,B179:B235,B193-36)+in_shop_renew^4*SUMIFS(AW179:AW235,B179:B235,B193-48))</f>
        <v/>
      </c>
      <c r="AY193" s="40">
        <f>AY192*(1-IF(B192&gt;=in_marketplace_from,d_hz_sip*G192,0))</f>
        <v/>
      </c>
      <c r="AZ193" s="40">
        <f>AZ192*d_rho_sip+AY193*IF(B193&gt;=in_marketplace_from,d_hz_sip*G193,0)</f>
        <v/>
      </c>
      <c r="BA193" s="40">
        <f>d_rho_sip*(BA192+AZ192)</f>
        <v/>
      </c>
      <c r="BB193" s="14">
        <f>F193*in_sip_ticket*(BA193+0.5*AZ193)*in_sip_comm/12</f>
        <v/>
      </c>
      <c r="BC193" s="40">
        <f>BC192*(1-IF(B192&gt;=in_marketplace_from,d_hz_choti*G192,0))</f>
        <v/>
      </c>
      <c r="BD193" s="46">
        <f>BC193*IF(B193&gt;=in_marketplace_from,d_hz_choti*G193,0)</f>
        <v/>
      </c>
      <c r="BE193" s="14">
        <f>F193*SUMIFS(BD179:BD235,B179:B235,B193-in_choti_months)*in_choti_renew*in_choti_ticket</f>
        <v/>
      </c>
      <c r="BF193" s="40">
        <f>BF192*(1-IF(B192&gt;=in_marketplace_from,d_hz_nps*G192,0))</f>
        <v/>
      </c>
      <c r="BG193" s="14">
        <f>F193*BF193*IF(B193&gt;=in_marketplace_from,d_hz_nps*G193,0)*in_nps_ticket*in_nps_comm</f>
        <v/>
      </c>
      <c r="BH193" s="40">
        <f>BH192*(1-IF(B192&gt;=in_marketplace_from,d_hz_gold*G192,0))</f>
        <v/>
      </c>
      <c r="BI193" s="40">
        <f>BI192*d_rho_gold+BH193*IF(B193&gt;=in_marketplace_from,d_hz_gold*G193,0)</f>
        <v/>
      </c>
      <c r="BJ193" s="14">
        <f>F193*BI193*in_gold_ticket*in_gold_comm</f>
        <v/>
      </c>
      <c r="BK193" s="40">
        <f>BK192*(1-IF(B192&gt;=in_marketplace_from,d_hz_fd*G192,0))</f>
        <v/>
      </c>
      <c r="BL193" s="14">
        <f>F193*BK193*IF(B193&gt;=in_marketplace_from,d_hz_fd*G193,0)*in_fd_ticket*in_fd_comm</f>
        <v/>
      </c>
      <c r="BM193" s="40">
        <f>BM192*(1-IF(B192&gt;=in_marketplace_from,d_hz_recharge*G192,0))</f>
        <v/>
      </c>
      <c r="BN193" s="40">
        <f>BN192*d_rho_recharge+BM193*IF(B193&gt;=in_marketplace_from,d_hz_recharge*G193,0)</f>
        <v/>
      </c>
      <c r="BO193" s="14">
        <f>F193*BN193*in_recharge_ticket*in_recharge_comm/12</f>
        <v/>
      </c>
      <c r="BP193" s="40">
        <f>BP192*(1-IF(B192&gt;=in_marketplace_from,d_hz_bills*G192,0))</f>
        <v/>
      </c>
      <c r="BQ193" s="40">
        <f>BQ192*d_rho_bills+BP193*IF(B193&gt;=in_marketplace_from,d_hz_bills*G193,0)</f>
        <v/>
      </c>
      <c r="BR193" s="14">
        <f>F193*BQ193*in_bills_ticket*in_bills_comm/12</f>
        <v/>
      </c>
      <c r="BS193" s="40">
        <f>BS192*(1-IF(B192&gt;=in_marketplace_from,d_hz_loan_gold*G192,0))</f>
        <v/>
      </c>
      <c r="BT193" s="14">
        <f>F193*BS193*IF(B193&gt;=in_marketplace_from,d_hz_loan_gold*G193,0)*in_loan_gold_ticket*in_loan_gold_comm</f>
        <v/>
      </c>
      <c r="BU193" s="40">
        <f>BU192*(1-IF(B192&gt;=in_marketplace_from,d_hz_loan_cd*G192,0))</f>
        <v/>
      </c>
      <c r="BV193" s="14">
        <f>F193*BU193*IF(B193&gt;=in_marketplace_from,d_hz_loan_cd*G193,0)*in_loan_cd_ticket*in_loan_cd_comm</f>
        <v/>
      </c>
      <c r="BW193" s="40">
        <f>BW192*(1-IF(B192&gt;=in_marketplace_from,d_hz_loan_vehicle*G192,0))</f>
        <v/>
      </c>
      <c r="BX193" s="14">
        <f>F193*BW193*IF(B193&gt;=in_marketplace_from,d_hz_loan_vehicle*G193,0)*in_loan_vehicle_ticket*in_loan_vehicle_comm</f>
        <v/>
      </c>
      <c r="BY193" s="40">
        <f>BY192*(1-IF(B192&gt;=in_marketplace_from,d_hz_loan_home*G192,0)*BZ192)</f>
        <v/>
      </c>
      <c r="BZ193" s="11">
        <f>MIN(in_approval_cap,in_loan_home_approval*INDEX('Age profile'!$O$2:$O$61,B193)*(1+in_approval_growth)^(D193-1))</f>
        <v/>
      </c>
      <c r="CA193" s="14">
        <f>F193*BY193*IF(B193&gt;=in_marketplace_from,d_hz_loan_home*G193,0)*BZ193*in_loan_home_ticket*in_loan_home_comm</f>
        <v/>
      </c>
      <c r="CB193" s="40">
        <f>CB192*(1-IF(B192&gt;=in_marketplace_from,d_hz_loan_lap*G192,0)*CC192)</f>
        <v/>
      </c>
      <c r="CC193" s="11">
        <f>MIN(in_approval_cap,in_loan_lap_approval*INDEX('Age profile'!$O$2:$O$61,B193)*(1+in_approval_growth)^(D193-1))</f>
        <v/>
      </c>
      <c r="CD193" s="14">
        <f>F193*CB193*IF(B193&gt;=in_marketplace_from,d_hz_loan_lap*G193,0)*CC193*in_loan_lap_ticket*in_loan_lap_comm</f>
        <v/>
      </c>
      <c r="CE193" s="14">
        <f>AA193+AB193+AC193+AD193+AG193+AJ193+AM193+AP193+AS193+AU193+AX193+BB193+BE193+BG193+BJ193+BL193+BO193+BR193+BT193+BV193+BX193+CA193+CD193</f>
        <v/>
      </c>
    </row>
    <row r="194">
      <c r="A194" s="39" t="n">
        <v>4</v>
      </c>
      <c r="B194" s="39" t="n">
        <v>16</v>
      </c>
      <c r="C194" s="39">
        <f>A194+B194-1</f>
        <v/>
      </c>
      <c r="D194" s="39">
        <f>INT((C194-1)/12)+1</f>
        <v/>
      </c>
      <c r="E194" s="44">
        <f>INDEX(Monthly!$B$2:$B$61,A194)</f>
        <v/>
      </c>
      <c r="F194" s="44">
        <f>E194*INDEX('Age profile'!$B$2:$B$61,B194)</f>
        <v/>
      </c>
      <c r="G194" s="45">
        <f>MIN(in_takeup_cap,INDEX('Age profile'!$N$2:$N$61,B194)*(1+in_takeup_growth)^(D194-1))</f>
        <v/>
      </c>
      <c r="H194" s="11">
        <f>MIN(in_approval_cap,in_approved_first*INDEX('Age profile'!$O$2:$O$61,B194)*(1+in_approval_growth)^(D194-1))</f>
        <v/>
      </c>
      <c r="I194" s="45">
        <f>G194*MIN(in_takeup_cap,INDEX('Age profile'!$O$2:$O$61,B194)*(1+in_approval_growth)^(D194-1))</f>
        <v/>
      </c>
      <c r="J194" s="40">
        <f>(J193-L193)*F194/F193</f>
        <v/>
      </c>
      <c r="K194" s="40">
        <f>(K193-M193)*F194/F193+SUMIFS(O179:O193,B179:B193,B194-1-d_T)*F194</f>
        <v/>
      </c>
      <c r="L194" s="40">
        <f>IF(B194&gt;=in_marketplace_from,J194*d_hz*G194*in_eligible*H194,0)</f>
        <v/>
      </c>
      <c r="M194" s="40">
        <f>IF(B194&gt;=in_marketplace_from,K194*d_hz*G194*in_eligible*in_approved_repeat,0)</f>
        <v/>
      </c>
      <c r="N194" s="40">
        <f>L194+M194</f>
        <v/>
      </c>
      <c r="O194" s="46">
        <f>N194/F194</f>
        <v/>
      </c>
      <c r="P194" s="40">
        <f>F194-J194-K194</f>
        <v/>
      </c>
      <c r="Q194" s="40">
        <f>IF(B194&gt;=in_marketplace_from,(J194+K194)*d_hz*G194,0)</f>
        <v/>
      </c>
      <c r="R194" s="40">
        <f>SUMIFS(N179:N235,B179:B235,"&gt;="&amp;(B194-d_T),B179:B235,"&lt;="&amp;(B194-1))</f>
        <v/>
      </c>
      <c r="S194" s="46">
        <f>(1-d_u)*S193+IF(d_T&gt;in_topup_lag,SUMIFS(O179:O235,B179:B235,B194-in_topup_lag)-d_udrop*SUMIFS(O179:O235,B179:B235,B194-d_T),0)</f>
        <v/>
      </c>
      <c r="T194" s="40">
        <f>F194*d_u*S194</f>
        <v/>
      </c>
      <c r="U194" s="9">
        <f>L194*in_ticket+M194*d_rep_ticket</f>
        <v/>
      </c>
      <c r="V194" s="9">
        <f>U194+T194*d_topup_amt</f>
        <v/>
      </c>
      <c r="W194" s="40">
        <f>N194+T194*d_topup_ratio</f>
        <v/>
      </c>
      <c r="X194" s="40">
        <f>SUMIFS(W179:W235,B179:B235,B194-in_dpd_lag)*d_cured</f>
        <v/>
      </c>
      <c r="Y194" s="40">
        <f>SUMIFS(W179:W235,B179:B235,B194-in_rec_lag)*d_recd</f>
        <v/>
      </c>
      <c r="Z194" s="40">
        <f>IF(AND(B194&gt;=in_marketplace_from,B194&lt;in_marketplace_from+in_card_months),in_card_share/in_card_months*F194*I194,IF(AND(B194&gt;=in_marketplace_from+in_card_months,B194&lt;in_marketplace_from+2*in_card_months),in_card_share*d_card_rem/in_card_months*F194*MIN(in_takeup_cap,(1+in_takeup_growth)^(D194-1))*MIN(in_takeup_cap,(1+in_approval_growth)^(D194-1)),0))</f>
        <v/>
      </c>
      <c r="AA194" s="14">
        <f>V194*in_fee*(1-in_taken_back)</f>
        <v/>
      </c>
      <c r="AB194" s="14">
        <f>SUMIFS(W179:W235,B179:B235,B194-in_dpd_lag)*d_dpd</f>
        <v/>
      </c>
      <c r="AC194" s="14">
        <f>SUMIFS(W179:W235,B179:B235,B194-in_rec_lag)*d_rec</f>
        <v/>
      </c>
      <c r="AD194" s="14">
        <f>Z194*in_card_fee</f>
        <v/>
      </c>
      <c r="AE194" s="40">
        <f>AE193*(1-IF(B193&gt;=in_marketplace_from,d_hz_hlth_small*G193,0))</f>
        <v/>
      </c>
      <c r="AF194" s="46">
        <f>AE194*IF(B194&gt;=in_marketplace_from,d_hz_hlth_small*G194,0)</f>
        <v/>
      </c>
      <c r="AG194" s="14">
        <f>F194*AF194*in_hlth_small_ticket*in_hlth_small_comm*in_ins_partner_share+F194*in_hlth_small_ticket*in_hlth_small_renew_comm*in_ins_partner_share*(in_hlth_small_renew^1*SUMIFS(AF179:AF235,B179:B235,B194-12)+in_hlth_small_renew^2*SUMIFS(AF179:AF235,B179:B235,B194-24)+in_hlth_small_renew^3*SUMIFS(AF179:AF235,B179:B235,B194-36)+in_hlth_small_renew^4*SUMIFS(AF179:AF235,B179:B235,B194-48))</f>
        <v/>
      </c>
      <c r="AH194" s="40">
        <f>AH193*(1-IF(B193&gt;=in_marketplace_from,d_hz_hlth_family*G193,0))</f>
        <v/>
      </c>
      <c r="AI194" s="46">
        <f>AH194*IF(B194&gt;=in_marketplace_from,d_hz_hlth_family*G194,0)</f>
        <v/>
      </c>
      <c r="AJ194" s="14">
        <f>F194*AI194*in_hlth_family_ticket*in_hlth_family_comm*in_ins_partner_share+F194*in_hlth_family_ticket*in_hlth_family_renew_comm*in_ins_partner_share*(in_hlth_family_renew^1*SUMIFS(AI179:AI235,B179:B235,B194-12)+in_hlth_family_renew^2*SUMIFS(AI179:AI235,B179:B235,B194-24)+in_hlth_family_renew^3*SUMIFS(AI179:AI235,B179:B235,B194-36)+in_hlth_family_renew^4*SUMIFS(AI179:AI235,B179:B235,B194-48))</f>
        <v/>
      </c>
      <c r="AK194" s="40">
        <f>AK193*(1-IF(B193&gt;=in_marketplace_from,d_hz_life_term*G193,0))</f>
        <v/>
      </c>
      <c r="AL194" s="46">
        <f>AK194*IF(B194&gt;=in_marketplace_from,d_hz_life_term*G194,0)</f>
        <v/>
      </c>
      <c r="AM194" s="14">
        <f>F194*AL194*in_life_term_ticket*in_life_term_comm*in_ins_partner_share+F194*in_life_term_ticket*in_life_term_renew_comm*in_ins_partner_share*(in_life_term_renew^1*SUMIFS(AL179:AL235,B179:B235,B194-12)+in_life_term_renew^2*SUMIFS(AL179:AL235,B179:B235,B194-24)+in_life_term_renew^3*SUMIFS(AL179:AL235,B179:B235,B194-36)+in_life_term_renew^4*SUMIFS(AL179:AL235,B179:B235,B194-48))</f>
        <v/>
      </c>
      <c r="AN194" s="40">
        <f>AN193*(1-IF(B193&gt;=in_marketplace_from,d_hz_accident*G193,0))</f>
        <v/>
      </c>
      <c r="AO194" s="46">
        <f>AN194*IF(B194&gt;=in_marketplace_from,d_hz_accident*G194,0)</f>
        <v/>
      </c>
      <c r="AP194" s="14">
        <f>F194*AO194*in_accident_ticket*in_accident_comm*in_ins_partner_share+F194*in_accident_ticket*in_accident_renew_comm*in_ins_partner_share*(in_accident_renew^1*SUMIFS(AO179:AO235,B179:B235,B194-12)+in_accident_renew^2*SUMIFS(AO179:AO235,B179:B235,B194-24)+in_accident_renew^3*SUMIFS(AO179:AO235,B179:B235,B194-36)+in_accident_renew^4*SUMIFS(AO179:AO235,B179:B235,B194-48))</f>
        <v/>
      </c>
      <c r="AQ194" s="40">
        <f>AQ193*(1-IF(B193&gt;=in_marketplace_from,d_hz_two_wheeler*G193,0))</f>
        <v/>
      </c>
      <c r="AR194" s="46">
        <f>AQ194*IF(B194&gt;=in_marketplace_from,d_hz_two_wheeler*G194,0)</f>
        <v/>
      </c>
      <c r="AS194" s="14">
        <f>F194*AR194*in_two_wheeler_ticket*in_two_wheeler_comm*in_ins_partner_share+F194*in_two_wheeler_ticket*in_two_wheeler_comm*in_ins_partner_share*(in_two_wheeler_renew^1*SUMIFS(AR179:AR235,B179:B235,B194-12)+in_two_wheeler_renew^2*SUMIFS(AR179:AR235,B179:B235,B194-24)+in_two_wheeler_renew^3*SUMIFS(AR179:AR235,B179:B235,B194-36)+in_two_wheeler_renew^4*SUMIFS(AR179:AR235,B179:B235,B194-48))</f>
        <v/>
      </c>
      <c r="AT194" s="40">
        <f>AT193*(1-IF(B193&gt;=in_marketplace_from,d_hz_device*G193,0))</f>
        <v/>
      </c>
      <c r="AU194" s="14">
        <f>F194*AT194*IF(B194&gt;=in_marketplace_from,d_hz_device*G194,0)*in_device_ticket*in_device_comm*in_ins_partner_share</f>
        <v/>
      </c>
      <c r="AV194" s="40">
        <f>AV193*(1-IF(B193&gt;=in_marketplace_from,d_hz_shop*G193,0))</f>
        <v/>
      </c>
      <c r="AW194" s="46">
        <f>AV194*IF(B194&gt;=in_marketplace_from,d_hz_shop*G194,0)</f>
        <v/>
      </c>
      <c r="AX194" s="14">
        <f>F194*AW194*in_shop_ticket*in_shop_comm*in_ins_partner_share+F194*in_shop_ticket*in_shop_renew_comm*in_ins_partner_share*(in_shop_renew^1*SUMIFS(AW179:AW235,B179:B235,B194-12)+in_shop_renew^2*SUMIFS(AW179:AW235,B179:B235,B194-24)+in_shop_renew^3*SUMIFS(AW179:AW235,B179:B235,B194-36)+in_shop_renew^4*SUMIFS(AW179:AW235,B179:B235,B194-48))</f>
        <v/>
      </c>
      <c r="AY194" s="40">
        <f>AY193*(1-IF(B193&gt;=in_marketplace_from,d_hz_sip*G193,0))</f>
        <v/>
      </c>
      <c r="AZ194" s="40">
        <f>AZ193*d_rho_sip+AY194*IF(B194&gt;=in_marketplace_from,d_hz_sip*G194,0)</f>
        <v/>
      </c>
      <c r="BA194" s="40">
        <f>d_rho_sip*(BA193+AZ193)</f>
        <v/>
      </c>
      <c r="BB194" s="14">
        <f>F194*in_sip_ticket*(BA194+0.5*AZ194)*in_sip_comm/12</f>
        <v/>
      </c>
      <c r="BC194" s="40">
        <f>BC193*(1-IF(B193&gt;=in_marketplace_from,d_hz_choti*G193,0))</f>
        <v/>
      </c>
      <c r="BD194" s="46">
        <f>BC194*IF(B194&gt;=in_marketplace_from,d_hz_choti*G194,0)</f>
        <v/>
      </c>
      <c r="BE194" s="14">
        <f>F194*SUMIFS(BD179:BD235,B179:B235,B194-in_choti_months)*in_choti_renew*in_choti_ticket</f>
        <v/>
      </c>
      <c r="BF194" s="40">
        <f>BF193*(1-IF(B193&gt;=in_marketplace_from,d_hz_nps*G193,0))</f>
        <v/>
      </c>
      <c r="BG194" s="14">
        <f>F194*BF194*IF(B194&gt;=in_marketplace_from,d_hz_nps*G194,0)*in_nps_ticket*in_nps_comm</f>
        <v/>
      </c>
      <c r="BH194" s="40">
        <f>BH193*(1-IF(B193&gt;=in_marketplace_from,d_hz_gold*G193,0))</f>
        <v/>
      </c>
      <c r="BI194" s="40">
        <f>BI193*d_rho_gold+BH194*IF(B194&gt;=in_marketplace_from,d_hz_gold*G194,0)</f>
        <v/>
      </c>
      <c r="BJ194" s="14">
        <f>F194*BI194*in_gold_ticket*in_gold_comm</f>
        <v/>
      </c>
      <c r="BK194" s="40">
        <f>BK193*(1-IF(B193&gt;=in_marketplace_from,d_hz_fd*G193,0))</f>
        <v/>
      </c>
      <c r="BL194" s="14">
        <f>F194*BK194*IF(B194&gt;=in_marketplace_from,d_hz_fd*G194,0)*in_fd_ticket*in_fd_comm</f>
        <v/>
      </c>
      <c r="BM194" s="40">
        <f>BM193*(1-IF(B193&gt;=in_marketplace_from,d_hz_recharge*G193,0))</f>
        <v/>
      </c>
      <c r="BN194" s="40">
        <f>BN193*d_rho_recharge+BM194*IF(B194&gt;=in_marketplace_from,d_hz_recharge*G194,0)</f>
        <v/>
      </c>
      <c r="BO194" s="14">
        <f>F194*BN194*in_recharge_ticket*in_recharge_comm/12</f>
        <v/>
      </c>
      <c r="BP194" s="40">
        <f>BP193*(1-IF(B193&gt;=in_marketplace_from,d_hz_bills*G193,0))</f>
        <v/>
      </c>
      <c r="BQ194" s="40">
        <f>BQ193*d_rho_bills+BP194*IF(B194&gt;=in_marketplace_from,d_hz_bills*G194,0)</f>
        <v/>
      </c>
      <c r="BR194" s="14">
        <f>F194*BQ194*in_bills_ticket*in_bills_comm/12</f>
        <v/>
      </c>
      <c r="BS194" s="40">
        <f>BS193*(1-IF(B193&gt;=in_marketplace_from,d_hz_loan_gold*G193,0))</f>
        <v/>
      </c>
      <c r="BT194" s="14">
        <f>F194*BS194*IF(B194&gt;=in_marketplace_from,d_hz_loan_gold*G194,0)*in_loan_gold_ticket*in_loan_gold_comm</f>
        <v/>
      </c>
      <c r="BU194" s="40">
        <f>BU193*(1-IF(B193&gt;=in_marketplace_from,d_hz_loan_cd*G193,0))</f>
        <v/>
      </c>
      <c r="BV194" s="14">
        <f>F194*BU194*IF(B194&gt;=in_marketplace_from,d_hz_loan_cd*G194,0)*in_loan_cd_ticket*in_loan_cd_comm</f>
        <v/>
      </c>
      <c r="BW194" s="40">
        <f>BW193*(1-IF(B193&gt;=in_marketplace_from,d_hz_loan_vehicle*G193,0))</f>
        <v/>
      </c>
      <c r="BX194" s="14">
        <f>F194*BW194*IF(B194&gt;=in_marketplace_from,d_hz_loan_vehicle*G194,0)*in_loan_vehicle_ticket*in_loan_vehicle_comm</f>
        <v/>
      </c>
      <c r="BY194" s="40">
        <f>BY193*(1-IF(B193&gt;=in_marketplace_from,d_hz_loan_home*G193,0)*BZ193)</f>
        <v/>
      </c>
      <c r="BZ194" s="11">
        <f>MIN(in_approval_cap,in_loan_home_approval*INDEX('Age profile'!$O$2:$O$61,B194)*(1+in_approval_growth)^(D194-1))</f>
        <v/>
      </c>
      <c r="CA194" s="14">
        <f>F194*BY194*IF(B194&gt;=in_marketplace_from,d_hz_loan_home*G194,0)*BZ194*in_loan_home_ticket*in_loan_home_comm</f>
        <v/>
      </c>
      <c r="CB194" s="40">
        <f>CB193*(1-IF(B193&gt;=in_marketplace_from,d_hz_loan_lap*G193,0)*CC193)</f>
        <v/>
      </c>
      <c r="CC194" s="11">
        <f>MIN(in_approval_cap,in_loan_lap_approval*INDEX('Age profile'!$O$2:$O$61,B194)*(1+in_approval_growth)^(D194-1))</f>
        <v/>
      </c>
      <c r="CD194" s="14">
        <f>F194*CB194*IF(B194&gt;=in_marketplace_from,d_hz_loan_lap*G194,0)*CC194*in_loan_lap_ticket*in_loan_lap_comm</f>
        <v/>
      </c>
      <c r="CE194" s="14">
        <f>AA194+AB194+AC194+AD194+AG194+AJ194+AM194+AP194+AS194+AU194+AX194+BB194+BE194+BG194+BJ194+BL194+BO194+BR194+BT194+BV194+BX194+CA194+CD194</f>
        <v/>
      </c>
    </row>
    <row r="195">
      <c r="A195" s="39" t="n">
        <v>4</v>
      </c>
      <c r="B195" s="39" t="n">
        <v>17</v>
      </c>
      <c r="C195" s="39">
        <f>A195+B195-1</f>
        <v/>
      </c>
      <c r="D195" s="39">
        <f>INT((C195-1)/12)+1</f>
        <v/>
      </c>
      <c r="E195" s="44">
        <f>INDEX(Monthly!$B$2:$B$61,A195)</f>
        <v/>
      </c>
      <c r="F195" s="44">
        <f>E195*INDEX('Age profile'!$B$2:$B$61,B195)</f>
        <v/>
      </c>
      <c r="G195" s="45">
        <f>MIN(in_takeup_cap,INDEX('Age profile'!$N$2:$N$61,B195)*(1+in_takeup_growth)^(D195-1))</f>
        <v/>
      </c>
      <c r="H195" s="11">
        <f>MIN(in_approval_cap,in_approved_first*INDEX('Age profile'!$O$2:$O$61,B195)*(1+in_approval_growth)^(D195-1))</f>
        <v/>
      </c>
      <c r="I195" s="45">
        <f>G195*MIN(in_takeup_cap,INDEX('Age profile'!$O$2:$O$61,B195)*(1+in_approval_growth)^(D195-1))</f>
        <v/>
      </c>
      <c r="J195" s="40">
        <f>(J194-L194)*F195/F194</f>
        <v/>
      </c>
      <c r="K195" s="40">
        <f>(K194-M194)*F195/F194+SUMIFS(O179:O194,B179:B194,B195-1-d_T)*F195</f>
        <v/>
      </c>
      <c r="L195" s="40">
        <f>IF(B195&gt;=in_marketplace_from,J195*d_hz*G195*in_eligible*H195,0)</f>
        <v/>
      </c>
      <c r="M195" s="40">
        <f>IF(B195&gt;=in_marketplace_from,K195*d_hz*G195*in_eligible*in_approved_repeat,0)</f>
        <v/>
      </c>
      <c r="N195" s="40">
        <f>L195+M195</f>
        <v/>
      </c>
      <c r="O195" s="46">
        <f>N195/F195</f>
        <v/>
      </c>
      <c r="P195" s="40">
        <f>F195-J195-K195</f>
        <v/>
      </c>
      <c r="Q195" s="40">
        <f>IF(B195&gt;=in_marketplace_from,(J195+K195)*d_hz*G195,0)</f>
        <v/>
      </c>
      <c r="R195" s="40">
        <f>SUMIFS(N179:N235,B179:B235,"&gt;="&amp;(B195-d_T),B179:B235,"&lt;="&amp;(B195-1))</f>
        <v/>
      </c>
      <c r="S195" s="46">
        <f>(1-d_u)*S194+IF(d_T&gt;in_topup_lag,SUMIFS(O179:O235,B179:B235,B195-in_topup_lag)-d_udrop*SUMIFS(O179:O235,B179:B235,B195-d_T),0)</f>
        <v/>
      </c>
      <c r="T195" s="40">
        <f>F195*d_u*S195</f>
        <v/>
      </c>
      <c r="U195" s="9">
        <f>L195*in_ticket+M195*d_rep_ticket</f>
        <v/>
      </c>
      <c r="V195" s="9">
        <f>U195+T195*d_topup_amt</f>
        <v/>
      </c>
      <c r="W195" s="40">
        <f>N195+T195*d_topup_ratio</f>
        <v/>
      </c>
      <c r="X195" s="40">
        <f>SUMIFS(W179:W235,B179:B235,B195-in_dpd_lag)*d_cured</f>
        <v/>
      </c>
      <c r="Y195" s="40">
        <f>SUMIFS(W179:W235,B179:B235,B195-in_rec_lag)*d_recd</f>
        <v/>
      </c>
      <c r="Z195" s="40">
        <f>IF(AND(B195&gt;=in_marketplace_from,B195&lt;in_marketplace_from+in_card_months),in_card_share/in_card_months*F195*I195,IF(AND(B195&gt;=in_marketplace_from+in_card_months,B195&lt;in_marketplace_from+2*in_card_months),in_card_share*d_card_rem/in_card_months*F195*MIN(in_takeup_cap,(1+in_takeup_growth)^(D195-1))*MIN(in_takeup_cap,(1+in_approval_growth)^(D195-1)),0))</f>
        <v/>
      </c>
      <c r="AA195" s="14">
        <f>V195*in_fee*(1-in_taken_back)</f>
        <v/>
      </c>
      <c r="AB195" s="14">
        <f>SUMIFS(W179:W235,B179:B235,B195-in_dpd_lag)*d_dpd</f>
        <v/>
      </c>
      <c r="AC195" s="14">
        <f>SUMIFS(W179:W235,B179:B235,B195-in_rec_lag)*d_rec</f>
        <v/>
      </c>
      <c r="AD195" s="14">
        <f>Z195*in_card_fee</f>
        <v/>
      </c>
      <c r="AE195" s="40">
        <f>AE194*(1-IF(B194&gt;=in_marketplace_from,d_hz_hlth_small*G194,0))</f>
        <v/>
      </c>
      <c r="AF195" s="46">
        <f>AE195*IF(B195&gt;=in_marketplace_from,d_hz_hlth_small*G195,0)</f>
        <v/>
      </c>
      <c r="AG195" s="14">
        <f>F195*AF195*in_hlth_small_ticket*in_hlth_small_comm*in_ins_partner_share+F195*in_hlth_small_ticket*in_hlth_small_renew_comm*in_ins_partner_share*(in_hlth_small_renew^1*SUMIFS(AF179:AF235,B179:B235,B195-12)+in_hlth_small_renew^2*SUMIFS(AF179:AF235,B179:B235,B195-24)+in_hlth_small_renew^3*SUMIFS(AF179:AF235,B179:B235,B195-36)+in_hlth_small_renew^4*SUMIFS(AF179:AF235,B179:B235,B195-48))</f>
        <v/>
      </c>
      <c r="AH195" s="40">
        <f>AH194*(1-IF(B194&gt;=in_marketplace_from,d_hz_hlth_family*G194,0))</f>
        <v/>
      </c>
      <c r="AI195" s="46">
        <f>AH195*IF(B195&gt;=in_marketplace_from,d_hz_hlth_family*G195,0)</f>
        <v/>
      </c>
      <c r="AJ195" s="14">
        <f>F195*AI195*in_hlth_family_ticket*in_hlth_family_comm*in_ins_partner_share+F195*in_hlth_family_ticket*in_hlth_family_renew_comm*in_ins_partner_share*(in_hlth_family_renew^1*SUMIFS(AI179:AI235,B179:B235,B195-12)+in_hlth_family_renew^2*SUMIFS(AI179:AI235,B179:B235,B195-24)+in_hlth_family_renew^3*SUMIFS(AI179:AI235,B179:B235,B195-36)+in_hlth_family_renew^4*SUMIFS(AI179:AI235,B179:B235,B195-48))</f>
        <v/>
      </c>
      <c r="AK195" s="40">
        <f>AK194*(1-IF(B194&gt;=in_marketplace_from,d_hz_life_term*G194,0))</f>
        <v/>
      </c>
      <c r="AL195" s="46">
        <f>AK195*IF(B195&gt;=in_marketplace_from,d_hz_life_term*G195,0)</f>
        <v/>
      </c>
      <c r="AM195" s="14">
        <f>F195*AL195*in_life_term_ticket*in_life_term_comm*in_ins_partner_share+F195*in_life_term_ticket*in_life_term_renew_comm*in_ins_partner_share*(in_life_term_renew^1*SUMIFS(AL179:AL235,B179:B235,B195-12)+in_life_term_renew^2*SUMIFS(AL179:AL235,B179:B235,B195-24)+in_life_term_renew^3*SUMIFS(AL179:AL235,B179:B235,B195-36)+in_life_term_renew^4*SUMIFS(AL179:AL235,B179:B235,B195-48))</f>
        <v/>
      </c>
      <c r="AN195" s="40">
        <f>AN194*(1-IF(B194&gt;=in_marketplace_from,d_hz_accident*G194,0))</f>
        <v/>
      </c>
      <c r="AO195" s="46">
        <f>AN195*IF(B195&gt;=in_marketplace_from,d_hz_accident*G195,0)</f>
        <v/>
      </c>
      <c r="AP195" s="14">
        <f>F195*AO195*in_accident_ticket*in_accident_comm*in_ins_partner_share+F195*in_accident_ticket*in_accident_renew_comm*in_ins_partner_share*(in_accident_renew^1*SUMIFS(AO179:AO235,B179:B235,B195-12)+in_accident_renew^2*SUMIFS(AO179:AO235,B179:B235,B195-24)+in_accident_renew^3*SUMIFS(AO179:AO235,B179:B235,B195-36)+in_accident_renew^4*SUMIFS(AO179:AO235,B179:B235,B195-48))</f>
        <v/>
      </c>
      <c r="AQ195" s="40">
        <f>AQ194*(1-IF(B194&gt;=in_marketplace_from,d_hz_two_wheeler*G194,0))</f>
        <v/>
      </c>
      <c r="AR195" s="46">
        <f>AQ195*IF(B195&gt;=in_marketplace_from,d_hz_two_wheeler*G195,0)</f>
        <v/>
      </c>
      <c r="AS195" s="14">
        <f>F195*AR195*in_two_wheeler_ticket*in_two_wheeler_comm*in_ins_partner_share+F195*in_two_wheeler_ticket*in_two_wheeler_comm*in_ins_partner_share*(in_two_wheeler_renew^1*SUMIFS(AR179:AR235,B179:B235,B195-12)+in_two_wheeler_renew^2*SUMIFS(AR179:AR235,B179:B235,B195-24)+in_two_wheeler_renew^3*SUMIFS(AR179:AR235,B179:B235,B195-36)+in_two_wheeler_renew^4*SUMIFS(AR179:AR235,B179:B235,B195-48))</f>
        <v/>
      </c>
      <c r="AT195" s="40">
        <f>AT194*(1-IF(B194&gt;=in_marketplace_from,d_hz_device*G194,0))</f>
        <v/>
      </c>
      <c r="AU195" s="14">
        <f>F195*AT195*IF(B195&gt;=in_marketplace_from,d_hz_device*G195,0)*in_device_ticket*in_device_comm*in_ins_partner_share</f>
        <v/>
      </c>
      <c r="AV195" s="40">
        <f>AV194*(1-IF(B194&gt;=in_marketplace_from,d_hz_shop*G194,0))</f>
        <v/>
      </c>
      <c r="AW195" s="46">
        <f>AV195*IF(B195&gt;=in_marketplace_from,d_hz_shop*G195,0)</f>
        <v/>
      </c>
      <c r="AX195" s="14">
        <f>F195*AW195*in_shop_ticket*in_shop_comm*in_ins_partner_share+F195*in_shop_ticket*in_shop_renew_comm*in_ins_partner_share*(in_shop_renew^1*SUMIFS(AW179:AW235,B179:B235,B195-12)+in_shop_renew^2*SUMIFS(AW179:AW235,B179:B235,B195-24)+in_shop_renew^3*SUMIFS(AW179:AW235,B179:B235,B195-36)+in_shop_renew^4*SUMIFS(AW179:AW235,B179:B235,B195-48))</f>
        <v/>
      </c>
      <c r="AY195" s="40">
        <f>AY194*(1-IF(B194&gt;=in_marketplace_from,d_hz_sip*G194,0))</f>
        <v/>
      </c>
      <c r="AZ195" s="40">
        <f>AZ194*d_rho_sip+AY195*IF(B195&gt;=in_marketplace_from,d_hz_sip*G195,0)</f>
        <v/>
      </c>
      <c r="BA195" s="40">
        <f>d_rho_sip*(BA194+AZ194)</f>
        <v/>
      </c>
      <c r="BB195" s="14">
        <f>F195*in_sip_ticket*(BA195+0.5*AZ195)*in_sip_comm/12</f>
        <v/>
      </c>
      <c r="BC195" s="40">
        <f>BC194*(1-IF(B194&gt;=in_marketplace_from,d_hz_choti*G194,0))</f>
        <v/>
      </c>
      <c r="BD195" s="46">
        <f>BC195*IF(B195&gt;=in_marketplace_from,d_hz_choti*G195,0)</f>
        <v/>
      </c>
      <c r="BE195" s="14">
        <f>F195*SUMIFS(BD179:BD235,B179:B235,B195-in_choti_months)*in_choti_renew*in_choti_ticket</f>
        <v/>
      </c>
      <c r="BF195" s="40">
        <f>BF194*(1-IF(B194&gt;=in_marketplace_from,d_hz_nps*G194,0))</f>
        <v/>
      </c>
      <c r="BG195" s="14">
        <f>F195*BF195*IF(B195&gt;=in_marketplace_from,d_hz_nps*G195,0)*in_nps_ticket*in_nps_comm</f>
        <v/>
      </c>
      <c r="BH195" s="40">
        <f>BH194*(1-IF(B194&gt;=in_marketplace_from,d_hz_gold*G194,0))</f>
        <v/>
      </c>
      <c r="BI195" s="40">
        <f>BI194*d_rho_gold+BH195*IF(B195&gt;=in_marketplace_from,d_hz_gold*G195,0)</f>
        <v/>
      </c>
      <c r="BJ195" s="14">
        <f>F195*BI195*in_gold_ticket*in_gold_comm</f>
        <v/>
      </c>
      <c r="BK195" s="40">
        <f>BK194*(1-IF(B194&gt;=in_marketplace_from,d_hz_fd*G194,0))</f>
        <v/>
      </c>
      <c r="BL195" s="14">
        <f>F195*BK195*IF(B195&gt;=in_marketplace_from,d_hz_fd*G195,0)*in_fd_ticket*in_fd_comm</f>
        <v/>
      </c>
      <c r="BM195" s="40">
        <f>BM194*(1-IF(B194&gt;=in_marketplace_from,d_hz_recharge*G194,0))</f>
        <v/>
      </c>
      <c r="BN195" s="40">
        <f>BN194*d_rho_recharge+BM195*IF(B195&gt;=in_marketplace_from,d_hz_recharge*G195,0)</f>
        <v/>
      </c>
      <c r="BO195" s="14">
        <f>F195*BN195*in_recharge_ticket*in_recharge_comm/12</f>
        <v/>
      </c>
      <c r="BP195" s="40">
        <f>BP194*(1-IF(B194&gt;=in_marketplace_from,d_hz_bills*G194,0))</f>
        <v/>
      </c>
      <c r="BQ195" s="40">
        <f>BQ194*d_rho_bills+BP195*IF(B195&gt;=in_marketplace_from,d_hz_bills*G195,0)</f>
        <v/>
      </c>
      <c r="BR195" s="14">
        <f>F195*BQ195*in_bills_ticket*in_bills_comm/12</f>
        <v/>
      </c>
      <c r="BS195" s="40">
        <f>BS194*(1-IF(B194&gt;=in_marketplace_from,d_hz_loan_gold*G194,0))</f>
        <v/>
      </c>
      <c r="BT195" s="14">
        <f>F195*BS195*IF(B195&gt;=in_marketplace_from,d_hz_loan_gold*G195,0)*in_loan_gold_ticket*in_loan_gold_comm</f>
        <v/>
      </c>
      <c r="BU195" s="40">
        <f>BU194*(1-IF(B194&gt;=in_marketplace_from,d_hz_loan_cd*G194,0))</f>
        <v/>
      </c>
      <c r="BV195" s="14">
        <f>F195*BU195*IF(B195&gt;=in_marketplace_from,d_hz_loan_cd*G195,0)*in_loan_cd_ticket*in_loan_cd_comm</f>
        <v/>
      </c>
      <c r="BW195" s="40">
        <f>BW194*(1-IF(B194&gt;=in_marketplace_from,d_hz_loan_vehicle*G194,0))</f>
        <v/>
      </c>
      <c r="BX195" s="14">
        <f>F195*BW195*IF(B195&gt;=in_marketplace_from,d_hz_loan_vehicle*G195,0)*in_loan_vehicle_ticket*in_loan_vehicle_comm</f>
        <v/>
      </c>
      <c r="BY195" s="40">
        <f>BY194*(1-IF(B194&gt;=in_marketplace_from,d_hz_loan_home*G194,0)*BZ194)</f>
        <v/>
      </c>
      <c r="BZ195" s="11">
        <f>MIN(in_approval_cap,in_loan_home_approval*INDEX('Age profile'!$O$2:$O$61,B195)*(1+in_approval_growth)^(D195-1))</f>
        <v/>
      </c>
      <c r="CA195" s="14">
        <f>F195*BY195*IF(B195&gt;=in_marketplace_from,d_hz_loan_home*G195,0)*BZ195*in_loan_home_ticket*in_loan_home_comm</f>
        <v/>
      </c>
      <c r="CB195" s="40">
        <f>CB194*(1-IF(B194&gt;=in_marketplace_from,d_hz_loan_lap*G194,0)*CC194)</f>
        <v/>
      </c>
      <c r="CC195" s="11">
        <f>MIN(in_approval_cap,in_loan_lap_approval*INDEX('Age profile'!$O$2:$O$61,B195)*(1+in_approval_growth)^(D195-1))</f>
        <v/>
      </c>
      <c r="CD195" s="14">
        <f>F195*CB195*IF(B195&gt;=in_marketplace_from,d_hz_loan_lap*G195,0)*CC195*in_loan_lap_ticket*in_loan_lap_comm</f>
        <v/>
      </c>
      <c r="CE195" s="14">
        <f>AA195+AB195+AC195+AD195+AG195+AJ195+AM195+AP195+AS195+AU195+AX195+BB195+BE195+BG195+BJ195+BL195+BO195+BR195+BT195+BV195+BX195+CA195+CD195</f>
        <v/>
      </c>
    </row>
    <row r="196">
      <c r="A196" s="39" t="n">
        <v>4</v>
      </c>
      <c r="B196" s="39" t="n">
        <v>18</v>
      </c>
      <c r="C196" s="39">
        <f>A196+B196-1</f>
        <v/>
      </c>
      <c r="D196" s="39">
        <f>INT((C196-1)/12)+1</f>
        <v/>
      </c>
      <c r="E196" s="44">
        <f>INDEX(Monthly!$B$2:$B$61,A196)</f>
        <v/>
      </c>
      <c r="F196" s="44">
        <f>E196*INDEX('Age profile'!$B$2:$B$61,B196)</f>
        <v/>
      </c>
      <c r="G196" s="45">
        <f>MIN(in_takeup_cap,INDEX('Age profile'!$N$2:$N$61,B196)*(1+in_takeup_growth)^(D196-1))</f>
        <v/>
      </c>
      <c r="H196" s="11">
        <f>MIN(in_approval_cap,in_approved_first*INDEX('Age profile'!$O$2:$O$61,B196)*(1+in_approval_growth)^(D196-1))</f>
        <v/>
      </c>
      <c r="I196" s="45">
        <f>G196*MIN(in_takeup_cap,INDEX('Age profile'!$O$2:$O$61,B196)*(1+in_approval_growth)^(D196-1))</f>
        <v/>
      </c>
      <c r="J196" s="40">
        <f>(J195-L195)*F196/F195</f>
        <v/>
      </c>
      <c r="K196" s="40">
        <f>(K195-M195)*F196/F195+SUMIFS(O179:O195,B179:B195,B196-1-d_T)*F196</f>
        <v/>
      </c>
      <c r="L196" s="40">
        <f>IF(B196&gt;=in_marketplace_from,J196*d_hz*G196*in_eligible*H196,0)</f>
        <v/>
      </c>
      <c r="M196" s="40">
        <f>IF(B196&gt;=in_marketplace_from,K196*d_hz*G196*in_eligible*in_approved_repeat,0)</f>
        <v/>
      </c>
      <c r="N196" s="40">
        <f>L196+M196</f>
        <v/>
      </c>
      <c r="O196" s="46">
        <f>N196/F196</f>
        <v/>
      </c>
      <c r="P196" s="40">
        <f>F196-J196-K196</f>
        <v/>
      </c>
      <c r="Q196" s="40">
        <f>IF(B196&gt;=in_marketplace_from,(J196+K196)*d_hz*G196,0)</f>
        <v/>
      </c>
      <c r="R196" s="40">
        <f>SUMIFS(N179:N235,B179:B235,"&gt;="&amp;(B196-d_T),B179:B235,"&lt;="&amp;(B196-1))</f>
        <v/>
      </c>
      <c r="S196" s="46">
        <f>(1-d_u)*S195+IF(d_T&gt;in_topup_lag,SUMIFS(O179:O235,B179:B235,B196-in_topup_lag)-d_udrop*SUMIFS(O179:O235,B179:B235,B196-d_T),0)</f>
        <v/>
      </c>
      <c r="T196" s="40">
        <f>F196*d_u*S196</f>
        <v/>
      </c>
      <c r="U196" s="9">
        <f>L196*in_ticket+M196*d_rep_ticket</f>
        <v/>
      </c>
      <c r="V196" s="9">
        <f>U196+T196*d_topup_amt</f>
        <v/>
      </c>
      <c r="W196" s="40">
        <f>N196+T196*d_topup_ratio</f>
        <v/>
      </c>
      <c r="X196" s="40">
        <f>SUMIFS(W179:W235,B179:B235,B196-in_dpd_lag)*d_cured</f>
        <v/>
      </c>
      <c r="Y196" s="40">
        <f>SUMIFS(W179:W235,B179:B235,B196-in_rec_lag)*d_recd</f>
        <v/>
      </c>
      <c r="Z196" s="40">
        <f>IF(AND(B196&gt;=in_marketplace_from,B196&lt;in_marketplace_from+in_card_months),in_card_share/in_card_months*F196*I196,IF(AND(B196&gt;=in_marketplace_from+in_card_months,B196&lt;in_marketplace_from+2*in_card_months),in_card_share*d_card_rem/in_card_months*F196*MIN(in_takeup_cap,(1+in_takeup_growth)^(D196-1))*MIN(in_takeup_cap,(1+in_approval_growth)^(D196-1)),0))</f>
        <v/>
      </c>
      <c r="AA196" s="14">
        <f>V196*in_fee*(1-in_taken_back)</f>
        <v/>
      </c>
      <c r="AB196" s="14">
        <f>SUMIFS(W179:W235,B179:B235,B196-in_dpd_lag)*d_dpd</f>
        <v/>
      </c>
      <c r="AC196" s="14">
        <f>SUMIFS(W179:W235,B179:B235,B196-in_rec_lag)*d_rec</f>
        <v/>
      </c>
      <c r="AD196" s="14">
        <f>Z196*in_card_fee</f>
        <v/>
      </c>
      <c r="AE196" s="40">
        <f>AE195*(1-IF(B195&gt;=in_marketplace_from,d_hz_hlth_small*G195,0))</f>
        <v/>
      </c>
      <c r="AF196" s="46">
        <f>AE196*IF(B196&gt;=in_marketplace_from,d_hz_hlth_small*G196,0)</f>
        <v/>
      </c>
      <c r="AG196" s="14">
        <f>F196*AF196*in_hlth_small_ticket*in_hlth_small_comm*in_ins_partner_share+F196*in_hlth_small_ticket*in_hlth_small_renew_comm*in_ins_partner_share*(in_hlth_small_renew^1*SUMIFS(AF179:AF235,B179:B235,B196-12)+in_hlth_small_renew^2*SUMIFS(AF179:AF235,B179:B235,B196-24)+in_hlth_small_renew^3*SUMIFS(AF179:AF235,B179:B235,B196-36)+in_hlth_small_renew^4*SUMIFS(AF179:AF235,B179:B235,B196-48))</f>
        <v/>
      </c>
      <c r="AH196" s="40">
        <f>AH195*(1-IF(B195&gt;=in_marketplace_from,d_hz_hlth_family*G195,0))</f>
        <v/>
      </c>
      <c r="AI196" s="46">
        <f>AH196*IF(B196&gt;=in_marketplace_from,d_hz_hlth_family*G196,0)</f>
        <v/>
      </c>
      <c r="AJ196" s="14">
        <f>F196*AI196*in_hlth_family_ticket*in_hlth_family_comm*in_ins_partner_share+F196*in_hlth_family_ticket*in_hlth_family_renew_comm*in_ins_partner_share*(in_hlth_family_renew^1*SUMIFS(AI179:AI235,B179:B235,B196-12)+in_hlth_family_renew^2*SUMIFS(AI179:AI235,B179:B235,B196-24)+in_hlth_family_renew^3*SUMIFS(AI179:AI235,B179:B235,B196-36)+in_hlth_family_renew^4*SUMIFS(AI179:AI235,B179:B235,B196-48))</f>
        <v/>
      </c>
      <c r="AK196" s="40">
        <f>AK195*(1-IF(B195&gt;=in_marketplace_from,d_hz_life_term*G195,0))</f>
        <v/>
      </c>
      <c r="AL196" s="46">
        <f>AK196*IF(B196&gt;=in_marketplace_from,d_hz_life_term*G196,0)</f>
        <v/>
      </c>
      <c r="AM196" s="14">
        <f>F196*AL196*in_life_term_ticket*in_life_term_comm*in_ins_partner_share+F196*in_life_term_ticket*in_life_term_renew_comm*in_ins_partner_share*(in_life_term_renew^1*SUMIFS(AL179:AL235,B179:B235,B196-12)+in_life_term_renew^2*SUMIFS(AL179:AL235,B179:B235,B196-24)+in_life_term_renew^3*SUMIFS(AL179:AL235,B179:B235,B196-36)+in_life_term_renew^4*SUMIFS(AL179:AL235,B179:B235,B196-48))</f>
        <v/>
      </c>
      <c r="AN196" s="40">
        <f>AN195*(1-IF(B195&gt;=in_marketplace_from,d_hz_accident*G195,0))</f>
        <v/>
      </c>
      <c r="AO196" s="46">
        <f>AN196*IF(B196&gt;=in_marketplace_from,d_hz_accident*G196,0)</f>
        <v/>
      </c>
      <c r="AP196" s="14">
        <f>F196*AO196*in_accident_ticket*in_accident_comm*in_ins_partner_share+F196*in_accident_ticket*in_accident_renew_comm*in_ins_partner_share*(in_accident_renew^1*SUMIFS(AO179:AO235,B179:B235,B196-12)+in_accident_renew^2*SUMIFS(AO179:AO235,B179:B235,B196-24)+in_accident_renew^3*SUMIFS(AO179:AO235,B179:B235,B196-36)+in_accident_renew^4*SUMIFS(AO179:AO235,B179:B235,B196-48))</f>
        <v/>
      </c>
      <c r="AQ196" s="40">
        <f>AQ195*(1-IF(B195&gt;=in_marketplace_from,d_hz_two_wheeler*G195,0))</f>
        <v/>
      </c>
      <c r="AR196" s="46">
        <f>AQ196*IF(B196&gt;=in_marketplace_from,d_hz_two_wheeler*G196,0)</f>
        <v/>
      </c>
      <c r="AS196" s="14">
        <f>F196*AR196*in_two_wheeler_ticket*in_two_wheeler_comm*in_ins_partner_share+F196*in_two_wheeler_ticket*in_two_wheeler_comm*in_ins_partner_share*(in_two_wheeler_renew^1*SUMIFS(AR179:AR235,B179:B235,B196-12)+in_two_wheeler_renew^2*SUMIFS(AR179:AR235,B179:B235,B196-24)+in_two_wheeler_renew^3*SUMIFS(AR179:AR235,B179:B235,B196-36)+in_two_wheeler_renew^4*SUMIFS(AR179:AR235,B179:B235,B196-48))</f>
        <v/>
      </c>
      <c r="AT196" s="40">
        <f>AT195*(1-IF(B195&gt;=in_marketplace_from,d_hz_device*G195,0))</f>
        <v/>
      </c>
      <c r="AU196" s="14">
        <f>F196*AT196*IF(B196&gt;=in_marketplace_from,d_hz_device*G196,0)*in_device_ticket*in_device_comm*in_ins_partner_share</f>
        <v/>
      </c>
      <c r="AV196" s="40">
        <f>AV195*(1-IF(B195&gt;=in_marketplace_from,d_hz_shop*G195,0))</f>
        <v/>
      </c>
      <c r="AW196" s="46">
        <f>AV196*IF(B196&gt;=in_marketplace_from,d_hz_shop*G196,0)</f>
        <v/>
      </c>
      <c r="AX196" s="14">
        <f>F196*AW196*in_shop_ticket*in_shop_comm*in_ins_partner_share+F196*in_shop_ticket*in_shop_renew_comm*in_ins_partner_share*(in_shop_renew^1*SUMIFS(AW179:AW235,B179:B235,B196-12)+in_shop_renew^2*SUMIFS(AW179:AW235,B179:B235,B196-24)+in_shop_renew^3*SUMIFS(AW179:AW235,B179:B235,B196-36)+in_shop_renew^4*SUMIFS(AW179:AW235,B179:B235,B196-48))</f>
        <v/>
      </c>
      <c r="AY196" s="40">
        <f>AY195*(1-IF(B195&gt;=in_marketplace_from,d_hz_sip*G195,0))</f>
        <v/>
      </c>
      <c r="AZ196" s="40">
        <f>AZ195*d_rho_sip+AY196*IF(B196&gt;=in_marketplace_from,d_hz_sip*G196,0)</f>
        <v/>
      </c>
      <c r="BA196" s="40">
        <f>d_rho_sip*(BA195+AZ195)</f>
        <v/>
      </c>
      <c r="BB196" s="14">
        <f>F196*in_sip_ticket*(BA196+0.5*AZ196)*in_sip_comm/12</f>
        <v/>
      </c>
      <c r="BC196" s="40">
        <f>BC195*(1-IF(B195&gt;=in_marketplace_from,d_hz_choti*G195,0))</f>
        <v/>
      </c>
      <c r="BD196" s="46">
        <f>BC196*IF(B196&gt;=in_marketplace_from,d_hz_choti*G196,0)</f>
        <v/>
      </c>
      <c r="BE196" s="14">
        <f>F196*SUMIFS(BD179:BD235,B179:B235,B196-in_choti_months)*in_choti_renew*in_choti_ticket</f>
        <v/>
      </c>
      <c r="BF196" s="40">
        <f>BF195*(1-IF(B195&gt;=in_marketplace_from,d_hz_nps*G195,0))</f>
        <v/>
      </c>
      <c r="BG196" s="14">
        <f>F196*BF196*IF(B196&gt;=in_marketplace_from,d_hz_nps*G196,0)*in_nps_ticket*in_nps_comm</f>
        <v/>
      </c>
      <c r="BH196" s="40">
        <f>BH195*(1-IF(B195&gt;=in_marketplace_from,d_hz_gold*G195,0))</f>
        <v/>
      </c>
      <c r="BI196" s="40">
        <f>BI195*d_rho_gold+BH196*IF(B196&gt;=in_marketplace_from,d_hz_gold*G196,0)</f>
        <v/>
      </c>
      <c r="BJ196" s="14">
        <f>F196*BI196*in_gold_ticket*in_gold_comm</f>
        <v/>
      </c>
      <c r="BK196" s="40">
        <f>BK195*(1-IF(B195&gt;=in_marketplace_from,d_hz_fd*G195,0))</f>
        <v/>
      </c>
      <c r="BL196" s="14">
        <f>F196*BK196*IF(B196&gt;=in_marketplace_from,d_hz_fd*G196,0)*in_fd_ticket*in_fd_comm</f>
        <v/>
      </c>
      <c r="BM196" s="40">
        <f>BM195*(1-IF(B195&gt;=in_marketplace_from,d_hz_recharge*G195,0))</f>
        <v/>
      </c>
      <c r="BN196" s="40">
        <f>BN195*d_rho_recharge+BM196*IF(B196&gt;=in_marketplace_from,d_hz_recharge*G196,0)</f>
        <v/>
      </c>
      <c r="BO196" s="14">
        <f>F196*BN196*in_recharge_ticket*in_recharge_comm/12</f>
        <v/>
      </c>
      <c r="BP196" s="40">
        <f>BP195*(1-IF(B195&gt;=in_marketplace_from,d_hz_bills*G195,0))</f>
        <v/>
      </c>
      <c r="BQ196" s="40">
        <f>BQ195*d_rho_bills+BP196*IF(B196&gt;=in_marketplace_from,d_hz_bills*G196,0)</f>
        <v/>
      </c>
      <c r="BR196" s="14">
        <f>F196*BQ196*in_bills_ticket*in_bills_comm/12</f>
        <v/>
      </c>
      <c r="BS196" s="40">
        <f>BS195*(1-IF(B195&gt;=in_marketplace_from,d_hz_loan_gold*G195,0))</f>
        <v/>
      </c>
      <c r="BT196" s="14">
        <f>F196*BS196*IF(B196&gt;=in_marketplace_from,d_hz_loan_gold*G196,0)*in_loan_gold_ticket*in_loan_gold_comm</f>
        <v/>
      </c>
      <c r="BU196" s="40">
        <f>BU195*(1-IF(B195&gt;=in_marketplace_from,d_hz_loan_cd*G195,0))</f>
        <v/>
      </c>
      <c r="BV196" s="14">
        <f>F196*BU196*IF(B196&gt;=in_marketplace_from,d_hz_loan_cd*G196,0)*in_loan_cd_ticket*in_loan_cd_comm</f>
        <v/>
      </c>
      <c r="BW196" s="40">
        <f>BW195*(1-IF(B195&gt;=in_marketplace_from,d_hz_loan_vehicle*G195,0))</f>
        <v/>
      </c>
      <c r="BX196" s="14">
        <f>F196*BW196*IF(B196&gt;=in_marketplace_from,d_hz_loan_vehicle*G196,0)*in_loan_vehicle_ticket*in_loan_vehicle_comm</f>
        <v/>
      </c>
      <c r="BY196" s="40">
        <f>BY195*(1-IF(B195&gt;=in_marketplace_from,d_hz_loan_home*G195,0)*BZ195)</f>
        <v/>
      </c>
      <c r="BZ196" s="11">
        <f>MIN(in_approval_cap,in_loan_home_approval*INDEX('Age profile'!$O$2:$O$61,B196)*(1+in_approval_growth)^(D196-1))</f>
        <v/>
      </c>
      <c r="CA196" s="14">
        <f>F196*BY196*IF(B196&gt;=in_marketplace_from,d_hz_loan_home*G196,0)*BZ196*in_loan_home_ticket*in_loan_home_comm</f>
        <v/>
      </c>
      <c r="CB196" s="40">
        <f>CB195*(1-IF(B195&gt;=in_marketplace_from,d_hz_loan_lap*G195,0)*CC195)</f>
        <v/>
      </c>
      <c r="CC196" s="11">
        <f>MIN(in_approval_cap,in_loan_lap_approval*INDEX('Age profile'!$O$2:$O$61,B196)*(1+in_approval_growth)^(D196-1))</f>
        <v/>
      </c>
      <c r="CD196" s="14">
        <f>F196*CB196*IF(B196&gt;=in_marketplace_from,d_hz_loan_lap*G196,0)*CC196*in_loan_lap_ticket*in_loan_lap_comm</f>
        <v/>
      </c>
      <c r="CE196" s="14">
        <f>AA196+AB196+AC196+AD196+AG196+AJ196+AM196+AP196+AS196+AU196+AX196+BB196+BE196+BG196+BJ196+BL196+BO196+BR196+BT196+BV196+BX196+CA196+CD196</f>
        <v/>
      </c>
    </row>
    <row r="197">
      <c r="A197" s="39" t="n">
        <v>4</v>
      </c>
      <c r="B197" s="39" t="n">
        <v>19</v>
      </c>
      <c r="C197" s="39">
        <f>A197+B197-1</f>
        <v/>
      </c>
      <c r="D197" s="39">
        <f>INT((C197-1)/12)+1</f>
        <v/>
      </c>
      <c r="E197" s="44">
        <f>INDEX(Monthly!$B$2:$B$61,A197)</f>
        <v/>
      </c>
      <c r="F197" s="44">
        <f>E197*INDEX('Age profile'!$B$2:$B$61,B197)</f>
        <v/>
      </c>
      <c r="G197" s="45">
        <f>MIN(in_takeup_cap,INDEX('Age profile'!$N$2:$N$61,B197)*(1+in_takeup_growth)^(D197-1))</f>
        <v/>
      </c>
      <c r="H197" s="11">
        <f>MIN(in_approval_cap,in_approved_first*INDEX('Age profile'!$O$2:$O$61,B197)*(1+in_approval_growth)^(D197-1))</f>
        <v/>
      </c>
      <c r="I197" s="45">
        <f>G197*MIN(in_takeup_cap,INDEX('Age profile'!$O$2:$O$61,B197)*(1+in_approval_growth)^(D197-1))</f>
        <v/>
      </c>
      <c r="J197" s="40">
        <f>(J196-L196)*F197/F196</f>
        <v/>
      </c>
      <c r="K197" s="40">
        <f>(K196-M196)*F197/F196+SUMIFS(O179:O196,B179:B196,B197-1-d_T)*F197</f>
        <v/>
      </c>
      <c r="L197" s="40">
        <f>IF(B197&gt;=in_marketplace_from,J197*d_hz*G197*in_eligible*H197,0)</f>
        <v/>
      </c>
      <c r="M197" s="40">
        <f>IF(B197&gt;=in_marketplace_from,K197*d_hz*G197*in_eligible*in_approved_repeat,0)</f>
        <v/>
      </c>
      <c r="N197" s="40">
        <f>L197+M197</f>
        <v/>
      </c>
      <c r="O197" s="46">
        <f>N197/F197</f>
        <v/>
      </c>
      <c r="P197" s="40">
        <f>F197-J197-K197</f>
        <v/>
      </c>
      <c r="Q197" s="40">
        <f>IF(B197&gt;=in_marketplace_from,(J197+K197)*d_hz*G197,0)</f>
        <v/>
      </c>
      <c r="R197" s="40">
        <f>SUMIFS(N179:N235,B179:B235,"&gt;="&amp;(B197-d_T),B179:B235,"&lt;="&amp;(B197-1))</f>
        <v/>
      </c>
      <c r="S197" s="46">
        <f>(1-d_u)*S196+IF(d_T&gt;in_topup_lag,SUMIFS(O179:O235,B179:B235,B197-in_topup_lag)-d_udrop*SUMIFS(O179:O235,B179:B235,B197-d_T),0)</f>
        <v/>
      </c>
      <c r="T197" s="40">
        <f>F197*d_u*S197</f>
        <v/>
      </c>
      <c r="U197" s="9">
        <f>L197*in_ticket+M197*d_rep_ticket</f>
        <v/>
      </c>
      <c r="V197" s="9">
        <f>U197+T197*d_topup_amt</f>
        <v/>
      </c>
      <c r="W197" s="40">
        <f>N197+T197*d_topup_ratio</f>
        <v/>
      </c>
      <c r="X197" s="40">
        <f>SUMIFS(W179:W235,B179:B235,B197-in_dpd_lag)*d_cured</f>
        <v/>
      </c>
      <c r="Y197" s="40">
        <f>SUMIFS(W179:W235,B179:B235,B197-in_rec_lag)*d_recd</f>
        <v/>
      </c>
      <c r="Z197" s="40">
        <f>IF(AND(B197&gt;=in_marketplace_from,B197&lt;in_marketplace_from+in_card_months),in_card_share/in_card_months*F197*I197,IF(AND(B197&gt;=in_marketplace_from+in_card_months,B197&lt;in_marketplace_from+2*in_card_months),in_card_share*d_card_rem/in_card_months*F197*MIN(in_takeup_cap,(1+in_takeup_growth)^(D197-1))*MIN(in_takeup_cap,(1+in_approval_growth)^(D197-1)),0))</f>
        <v/>
      </c>
      <c r="AA197" s="14">
        <f>V197*in_fee*(1-in_taken_back)</f>
        <v/>
      </c>
      <c r="AB197" s="14">
        <f>SUMIFS(W179:W235,B179:B235,B197-in_dpd_lag)*d_dpd</f>
        <v/>
      </c>
      <c r="AC197" s="14">
        <f>SUMIFS(W179:W235,B179:B235,B197-in_rec_lag)*d_rec</f>
        <v/>
      </c>
      <c r="AD197" s="14">
        <f>Z197*in_card_fee</f>
        <v/>
      </c>
      <c r="AE197" s="40">
        <f>AE196*(1-IF(B196&gt;=in_marketplace_from,d_hz_hlth_small*G196,0))</f>
        <v/>
      </c>
      <c r="AF197" s="46">
        <f>AE197*IF(B197&gt;=in_marketplace_from,d_hz_hlth_small*G197,0)</f>
        <v/>
      </c>
      <c r="AG197" s="14">
        <f>F197*AF197*in_hlth_small_ticket*in_hlth_small_comm*in_ins_partner_share+F197*in_hlth_small_ticket*in_hlth_small_renew_comm*in_ins_partner_share*(in_hlth_small_renew^1*SUMIFS(AF179:AF235,B179:B235,B197-12)+in_hlth_small_renew^2*SUMIFS(AF179:AF235,B179:B235,B197-24)+in_hlth_small_renew^3*SUMIFS(AF179:AF235,B179:B235,B197-36)+in_hlth_small_renew^4*SUMIFS(AF179:AF235,B179:B235,B197-48))</f>
        <v/>
      </c>
      <c r="AH197" s="40">
        <f>AH196*(1-IF(B196&gt;=in_marketplace_from,d_hz_hlth_family*G196,0))</f>
        <v/>
      </c>
      <c r="AI197" s="46">
        <f>AH197*IF(B197&gt;=in_marketplace_from,d_hz_hlth_family*G197,0)</f>
        <v/>
      </c>
      <c r="AJ197" s="14">
        <f>F197*AI197*in_hlth_family_ticket*in_hlth_family_comm*in_ins_partner_share+F197*in_hlth_family_ticket*in_hlth_family_renew_comm*in_ins_partner_share*(in_hlth_family_renew^1*SUMIFS(AI179:AI235,B179:B235,B197-12)+in_hlth_family_renew^2*SUMIFS(AI179:AI235,B179:B235,B197-24)+in_hlth_family_renew^3*SUMIFS(AI179:AI235,B179:B235,B197-36)+in_hlth_family_renew^4*SUMIFS(AI179:AI235,B179:B235,B197-48))</f>
        <v/>
      </c>
      <c r="AK197" s="40">
        <f>AK196*(1-IF(B196&gt;=in_marketplace_from,d_hz_life_term*G196,0))</f>
        <v/>
      </c>
      <c r="AL197" s="46">
        <f>AK197*IF(B197&gt;=in_marketplace_from,d_hz_life_term*G197,0)</f>
        <v/>
      </c>
      <c r="AM197" s="14">
        <f>F197*AL197*in_life_term_ticket*in_life_term_comm*in_ins_partner_share+F197*in_life_term_ticket*in_life_term_renew_comm*in_ins_partner_share*(in_life_term_renew^1*SUMIFS(AL179:AL235,B179:B235,B197-12)+in_life_term_renew^2*SUMIFS(AL179:AL235,B179:B235,B197-24)+in_life_term_renew^3*SUMIFS(AL179:AL235,B179:B235,B197-36)+in_life_term_renew^4*SUMIFS(AL179:AL235,B179:B235,B197-48))</f>
        <v/>
      </c>
      <c r="AN197" s="40">
        <f>AN196*(1-IF(B196&gt;=in_marketplace_from,d_hz_accident*G196,0))</f>
        <v/>
      </c>
      <c r="AO197" s="46">
        <f>AN197*IF(B197&gt;=in_marketplace_from,d_hz_accident*G197,0)</f>
        <v/>
      </c>
      <c r="AP197" s="14">
        <f>F197*AO197*in_accident_ticket*in_accident_comm*in_ins_partner_share+F197*in_accident_ticket*in_accident_renew_comm*in_ins_partner_share*(in_accident_renew^1*SUMIFS(AO179:AO235,B179:B235,B197-12)+in_accident_renew^2*SUMIFS(AO179:AO235,B179:B235,B197-24)+in_accident_renew^3*SUMIFS(AO179:AO235,B179:B235,B197-36)+in_accident_renew^4*SUMIFS(AO179:AO235,B179:B235,B197-48))</f>
        <v/>
      </c>
      <c r="AQ197" s="40">
        <f>AQ196*(1-IF(B196&gt;=in_marketplace_from,d_hz_two_wheeler*G196,0))</f>
        <v/>
      </c>
      <c r="AR197" s="46">
        <f>AQ197*IF(B197&gt;=in_marketplace_from,d_hz_two_wheeler*G197,0)</f>
        <v/>
      </c>
      <c r="AS197" s="14">
        <f>F197*AR197*in_two_wheeler_ticket*in_two_wheeler_comm*in_ins_partner_share+F197*in_two_wheeler_ticket*in_two_wheeler_comm*in_ins_partner_share*(in_two_wheeler_renew^1*SUMIFS(AR179:AR235,B179:B235,B197-12)+in_two_wheeler_renew^2*SUMIFS(AR179:AR235,B179:B235,B197-24)+in_two_wheeler_renew^3*SUMIFS(AR179:AR235,B179:B235,B197-36)+in_two_wheeler_renew^4*SUMIFS(AR179:AR235,B179:B235,B197-48))</f>
        <v/>
      </c>
      <c r="AT197" s="40">
        <f>AT196*(1-IF(B196&gt;=in_marketplace_from,d_hz_device*G196,0))</f>
        <v/>
      </c>
      <c r="AU197" s="14">
        <f>F197*AT197*IF(B197&gt;=in_marketplace_from,d_hz_device*G197,0)*in_device_ticket*in_device_comm*in_ins_partner_share</f>
        <v/>
      </c>
      <c r="AV197" s="40">
        <f>AV196*(1-IF(B196&gt;=in_marketplace_from,d_hz_shop*G196,0))</f>
        <v/>
      </c>
      <c r="AW197" s="46">
        <f>AV197*IF(B197&gt;=in_marketplace_from,d_hz_shop*G197,0)</f>
        <v/>
      </c>
      <c r="AX197" s="14">
        <f>F197*AW197*in_shop_ticket*in_shop_comm*in_ins_partner_share+F197*in_shop_ticket*in_shop_renew_comm*in_ins_partner_share*(in_shop_renew^1*SUMIFS(AW179:AW235,B179:B235,B197-12)+in_shop_renew^2*SUMIFS(AW179:AW235,B179:B235,B197-24)+in_shop_renew^3*SUMIFS(AW179:AW235,B179:B235,B197-36)+in_shop_renew^4*SUMIFS(AW179:AW235,B179:B235,B197-48))</f>
        <v/>
      </c>
      <c r="AY197" s="40">
        <f>AY196*(1-IF(B196&gt;=in_marketplace_from,d_hz_sip*G196,0))</f>
        <v/>
      </c>
      <c r="AZ197" s="40">
        <f>AZ196*d_rho_sip+AY197*IF(B197&gt;=in_marketplace_from,d_hz_sip*G197,0)</f>
        <v/>
      </c>
      <c r="BA197" s="40">
        <f>d_rho_sip*(BA196+AZ196)</f>
        <v/>
      </c>
      <c r="BB197" s="14">
        <f>F197*in_sip_ticket*(BA197+0.5*AZ197)*in_sip_comm/12</f>
        <v/>
      </c>
      <c r="BC197" s="40">
        <f>BC196*(1-IF(B196&gt;=in_marketplace_from,d_hz_choti*G196,0))</f>
        <v/>
      </c>
      <c r="BD197" s="46">
        <f>BC197*IF(B197&gt;=in_marketplace_from,d_hz_choti*G197,0)</f>
        <v/>
      </c>
      <c r="BE197" s="14">
        <f>F197*SUMIFS(BD179:BD235,B179:B235,B197-in_choti_months)*in_choti_renew*in_choti_ticket</f>
        <v/>
      </c>
      <c r="BF197" s="40">
        <f>BF196*(1-IF(B196&gt;=in_marketplace_from,d_hz_nps*G196,0))</f>
        <v/>
      </c>
      <c r="BG197" s="14">
        <f>F197*BF197*IF(B197&gt;=in_marketplace_from,d_hz_nps*G197,0)*in_nps_ticket*in_nps_comm</f>
        <v/>
      </c>
      <c r="BH197" s="40">
        <f>BH196*(1-IF(B196&gt;=in_marketplace_from,d_hz_gold*G196,0))</f>
        <v/>
      </c>
      <c r="BI197" s="40">
        <f>BI196*d_rho_gold+BH197*IF(B197&gt;=in_marketplace_from,d_hz_gold*G197,0)</f>
        <v/>
      </c>
      <c r="BJ197" s="14">
        <f>F197*BI197*in_gold_ticket*in_gold_comm</f>
        <v/>
      </c>
      <c r="BK197" s="40">
        <f>BK196*(1-IF(B196&gt;=in_marketplace_from,d_hz_fd*G196,0))</f>
        <v/>
      </c>
      <c r="BL197" s="14">
        <f>F197*BK197*IF(B197&gt;=in_marketplace_from,d_hz_fd*G197,0)*in_fd_ticket*in_fd_comm</f>
        <v/>
      </c>
      <c r="BM197" s="40">
        <f>BM196*(1-IF(B196&gt;=in_marketplace_from,d_hz_recharge*G196,0))</f>
        <v/>
      </c>
      <c r="BN197" s="40">
        <f>BN196*d_rho_recharge+BM197*IF(B197&gt;=in_marketplace_from,d_hz_recharge*G197,0)</f>
        <v/>
      </c>
      <c r="BO197" s="14">
        <f>F197*BN197*in_recharge_ticket*in_recharge_comm/12</f>
        <v/>
      </c>
      <c r="BP197" s="40">
        <f>BP196*(1-IF(B196&gt;=in_marketplace_from,d_hz_bills*G196,0))</f>
        <v/>
      </c>
      <c r="BQ197" s="40">
        <f>BQ196*d_rho_bills+BP197*IF(B197&gt;=in_marketplace_from,d_hz_bills*G197,0)</f>
        <v/>
      </c>
      <c r="BR197" s="14">
        <f>F197*BQ197*in_bills_ticket*in_bills_comm/12</f>
        <v/>
      </c>
      <c r="BS197" s="40">
        <f>BS196*(1-IF(B196&gt;=in_marketplace_from,d_hz_loan_gold*G196,0))</f>
        <v/>
      </c>
      <c r="BT197" s="14">
        <f>F197*BS197*IF(B197&gt;=in_marketplace_from,d_hz_loan_gold*G197,0)*in_loan_gold_ticket*in_loan_gold_comm</f>
        <v/>
      </c>
      <c r="BU197" s="40">
        <f>BU196*(1-IF(B196&gt;=in_marketplace_from,d_hz_loan_cd*G196,0))</f>
        <v/>
      </c>
      <c r="BV197" s="14">
        <f>F197*BU197*IF(B197&gt;=in_marketplace_from,d_hz_loan_cd*G197,0)*in_loan_cd_ticket*in_loan_cd_comm</f>
        <v/>
      </c>
      <c r="BW197" s="40">
        <f>BW196*(1-IF(B196&gt;=in_marketplace_from,d_hz_loan_vehicle*G196,0))</f>
        <v/>
      </c>
      <c r="BX197" s="14">
        <f>F197*BW197*IF(B197&gt;=in_marketplace_from,d_hz_loan_vehicle*G197,0)*in_loan_vehicle_ticket*in_loan_vehicle_comm</f>
        <v/>
      </c>
      <c r="BY197" s="40">
        <f>BY196*(1-IF(B196&gt;=in_marketplace_from,d_hz_loan_home*G196,0)*BZ196)</f>
        <v/>
      </c>
      <c r="BZ197" s="11">
        <f>MIN(in_approval_cap,in_loan_home_approval*INDEX('Age profile'!$O$2:$O$61,B197)*(1+in_approval_growth)^(D197-1))</f>
        <v/>
      </c>
      <c r="CA197" s="14">
        <f>F197*BY197*IF(B197&gt;=in_marketplace_from,d_hz_loan_home*G197,0)*BZ197*in_loan_home_ticket*in_loan_home_comm</f>
        <v/>
      </c>
      <c r="CB197" s="40">
        <f>CB196*(1-IF(B196&gt;=in_marketplace_from,d_hz_loan_lap*G196,0)*CC196)</f>
        <v/>
      </c>
      <c r="CC197" s="11">
        <f>MIN(in_approval_cap,in_loan_lap_approval*INDEX('Age profile'!$O$2:$O$61,B197)*(1+in_approval_growth)^(D197-1))</f>
        <v/>
      </c>
      <c r="CD197" s="14">
        <f>F197*CB197*IF(B197&gt;=in_marketplace_from,d_hz_loan_lap*G197,0)*CC197*in_loan_lap_ticket*in_loan_lap_comm</f>
        <v/>
      </c>
      <c r="CE197" s="14">
        <f>AA197+AB197+AC197+AD197+AG197+AJ197+AM197+AP197+AS197+AU197+AX197+BB197+BE197+BG197+BJ197+BL197+BO197+BR197+BT197+BV197+BX197+CA197+CD197</f>
        <v/>
      </c>
    </row>
    <row r="198">
      <c r="A198" s="39" t="n">
        <v>4</v>
      </c>
      <c r="B198" s="39" t="n">
        <v>20</v>
      </c>
      <c r="C198" s="39">
        <f>A198+B198-1</f>
        <v/>
      </c>
      <c r="D198" s="39">
        <f>INT((C198-1)/12)+1</f>
        <v/>
      </c>
      <c r="E198" s="44">
        <f>INDEX(Monthly!$B$2:$B$61,A198)</f>
        <v/>
      </c>
      <c r="F198" s="44">
        <f>E198*INDEX('Age profile'!$B$2:$B$61,B198)</f>
        <v/>
      </c>
      <c r="G198" s="45">
        <f>MIN(in_takeup_cap,INDEX('Age profile'!$N$2:$N$61,B198)*(1+in_takeup_growth)^(D198-1))</f>
        <v/>
      </c>
      <c r="H198" s="11">
        <f>MIN(in_approval_cap,in_approved_first*INDEX('Age profile'!$O$2:$O$61,B198)*(1+in_approval_growth)^(D198-1))</f>
        <v/>
      </c>
      <c r="I198" s="45">
        <f>G198*MIN(in_takeup_cap,INDEX('Age profile'!$O$2:$O$61,B198)*(1+in_approval_growth)^(D198-1))</f>
        <v/>
      </c>
      <c r="J198" s="40">
        <f>(J197-L197)*F198/F197</f>
        <v/>
      </c>
      <c r="K198" s="40">
        <f>(K197-M197)*F198/F197+SUMIFS(O179:O197,B179:B197,B198-1-d_T)*F198</f>
        <v/>
      </c>
      <c r="L198" s="40">
        <f>IF(B198&gt;=in_marketplace_from,J198*d_hz*G198*in_eligible*H198,0)</f>
        <v/>
      </c>
      <c r="M198" s="40">
        <f>IF(B198&gt;=in_marketplace_from,K198*d_hz*G198*in_eligible*in_approved_repeat,0)</f>
        <v/>
      </c>
      <c r="N198" s="40">
        <f>L198+M198</f>
        <v/>
      </c>
      <c r="O198" s="46">
        <f>N198/F198</f>
        <v/>
      </c>
      <c r="P198" s="40">
        <f>F198-J198-K198</f>
        <v/>
      </c>
      <c r="Q198" s="40">
        <f>IF(B198&gt;=in_marketplace_from,(J198+K198)*d_hz*G198,0)</f>
        <v/>
      </c>
      <c r="R198" s="40">
        <f>SUMIFS(N179:N235,B179:B235,"&gt;="&amp;(B198-d_T),B179:B235,"&lt;="&amp;(B198-1))</f>
        <v/>
      </c>
      <c r="S198" s="46">
        <f>(1-d_u)*S197+IF(d_T&gt;in_topup_lag,SUMIFS(O179:O235,B179:B235,B198-in_topup_lag)-d_udrop*SUMIFS(O179:O235,B179:B235,B198-d_T),0)</f>
        <v/>
      </c>
      <c r="T198" s="40">
        <f>F198*d_u*S198</f>
        <v/>
      </c>
      <c r="U198" s="9">
        <f>L198*in_ticket+M198*d_rep_ticket</f>
        <v/>
      </c>
      <c r="V198" s="9">
        <f>U198+T198*d_topup_amt</f>
        <v/>
      </c>
      <c r="W198" s="40">
        <f>N198+T198*d_topup_ratio</f>
        <v/>
      </c>
      <c r="X198" s="40">
        <f>SUMIFS(W179:W235,B179:B235,B198-in_dpd_lag)*d_cured</f>
        <v/>
      </c>
      <c r="Y198" s="40">
        <f>SUMIFS(W179:W235,B179:B235,B198-in_rec_lag)*d_recd</f>
        <v/>
      </c>
      <c r="Z198" s="40">
        <f>IF(AND(B198&gt;=in_marketplace_from,B198&lt;in_marketplace_from+in_card_months),in_card_share/in_card_months*F198*I198,IF(AND(B198&gt;=in_marketplace_from+in_card_months,B198&lt;in_marketplace_from+2*in_card_months),in_card_share*d_card_rem/in_card_months*F198*MIN(in_takeup_cap,(1+in_takeup_growth)^(D198-1))*MIN(in_takeup_cap,(1+in_approval_growth)^(D198-1)),0))</f>
        <v/>
      </c>
      <c r="AA198" s="14">
        <f>V198*in_fee*(1-in_taken_back)</f>
        <v/>
      </c>
      <c r="AB198" s="14">
        <f>SUMIFS(W179:W235,B179:B235,B198-in_dpd_lag)*d_dpd</f>
        <v/>
      </c>
      <c r="AC198" s="14">
        <f>SUMIFS(W179:W235,B179:B235,B198-in_rec_lag)*d_rec</f>
        <v/>
      </c>
      <c r="AD198" s="14">
        <f>Z198*in_card_fee</f>
        <v/>
      </c>
      <c r="AE198" s="40">
        <f>AE197*(1-IF(B197&gt;=in_marketplace_from,d_hz_hlth_small*G197,0))</f>
        <v/>
      </c>
      <c r="AF198" s="46">
        <f>AE198*IF(B198&gt;=in_marketplace_from,d_hz_hlth_small*G198,0)</f>
        <v/>
      </c>
      <c r="AG198" s="14">
        <f>F198*AF198*in_hlth_small_ticket*in_hlth_small_comm*in_ins_partner_share+F198*in_hlth_small_ticket*in_hlth_small_renew_comm*in_ins_partner_share*(in_hlth_small_renew^1*SUMIFS(AF179:AF235,B179:B235,B198-12)+in_hlth_small_renew^2*SUMIFS(AF179:AF235,B179:B235,B198-24)+in_hlth_small_renew^3*SUMIFS(AF179:AF235,B179:B235,B198-36)+in_hlth_small_renew^4*SUMIFS(AF179:AF235,B179:B235,B198-48))</f>
        <v/>
      </c>
      <c r="AH198" s="40">
        <f>AH197*(1-IF(B197&gt;=in_marketplace_from,d_hz_hlth_family*G197,0))</f>
        <v/>
      </c>
      <c r="AI198" s="46">
        <f>AH198*IF(B198&gt;=in_marketplace_from,d_hz_hlth_family*G198,0)</f>
        <v/>
      </c>
      <c r="AJ198" s="14">
        <f>F198*AI198*in_hlth_family_ticket*in_hlth_family_comm*in_ins_partner_share+F198*in_hlth_family_ticket*in_hlth_family_renew_comm*in_ins_partner_share*(in_hlth_family_renew^1*SUMIFS(AI179:AI235,B179:B235,B198-12)+in_hlth_family_renew^2*SUMIFS(AI179:AI235,B179:B235,B198-24)+in_hlth_family_renew^3*SUMIFS(AI179:AI235,B179:B235,B198-36)+in_hlth_family_renew^4*SUMIFS(AI179:AI235,B179:B235,B198-48))</f>
        <v/>
      </c>
      <c r="AK198" s="40">
        <f>AK197*(1-IF(B197&gt;=in_marketplace_from,d_hz_life_term*G197,0))</f>
        <v/>
      </c>
      <c r="AL198" s="46">
        <f>AK198*IF(B198&gt;=in_marketplace_from,d_hz_life_term*G198,0)</f>
        <v/>
      </c>
      <c r="AM198" s="14">
        <f>F198*AL198*in_life_term_ticket*in_life_term_comm*in_ins_partner_share+F198*in_life_term_ticket*in_life_term_renew_comm*in_ins_partner_share*(in_life_term_renew^1*SUMIFS(AL179:AL235,B179:B235,B198-12)+in_life_term_renew^2*SUMIFS(AL179:AL235,B179:B235,B198-24)+in_life_term_renew^3*SUMIFS(AL179:AL235,B179:B235,B198-36)+in_life_term_renew^4*SUMIFS(AL179:AL235,B179:B235,B198-48))</f>
        <v/>
      </c>
      <c r="AN198" s="40">
        <f>AN197*(1-IF(B197&gt;=in_marketplace_from,d_hz_accident*G197,0))</f>
        <v/>
      </c>
      <c r="AO198" s="46">
        <f>AN198*IF(B198&gt;=in_marketplace_from,d_hz_accident*G198,0)</f>
        <v/>
      </c>
      <c r="AP198" s="14">
        <f>F198*AO198*in_accident_ticket*in_accident_comm*in_ins_partner_share+F198*in_accident_ticket*in_accident_renew_comm*in_ins_partner_share*(in_accident_renew^1*SUMIFS(AO179:AO235,B179:B235,B198-12)+in_accident_renew^2*SUMIFS(AO179:AO235,B179:B235,B198-24)+in_accident_renew^3*SUMIFS(AO179:AO235,B179:B235,B198-36)+in_accident_renew^4*SUMIFS(AO179:AO235,B179:B235,B198-48))</f>
        <v/>
      </c>
      <c r="AQ198" s="40">
        <f>AQ197*(1-IF(B197&gt;=in_marketplace_from,d_hz_two_wheeler*G197,0))</f>
        <v/>
      </c>
      <c r="AR198" s="46">
        <f>AQ198*IF(B198&gt;=in_marketplace_from,d_hz_two_wheeler*G198,0)</f>
        <v/>
      </c>
      <c r="AS198" s="14">
        <f>F198*AR198*in_two_wheeler_ticket*in_two_wheeler_comm*in_ins_partner_share+F198*in_two_wheeler_ticket*in_two_wheeler_comm*in_ins_partner_share*(in_two_wheeler_renew^1*SUMIFS(AR179:AR235,B179:B235,B198-12)+in_two_wheeler_renew^2*SUMIFS(AR179:AR235,B179:B235,B198-24)+in_two_wheeler_renew^3*SUMIFS(AR179:AR235,B179:B235,B198-36)+in_two_wheeler_renew^4*SUMIFS(AR179:AR235,B179:B235,B198-48))</f>
        <v/>
      </c>
      <c r="AT198" s="40">
        <f>AT197*(1-IF(B197&gt;=in_marketplace_from,d_hz_device*G197,0))</f>
        <v/>
      </c>
      <c r="AU198" s="14">
        <f>F198*AT198*IF(B198&gt;=in_marketplace_from,d_hz_device*G198,0)*in_device_ticket*in_device_comm*in_ins_partner_share</f>
        <v/>
      </c>
      <c r="AV198" s="40">
        <f>AV197*(1-IF(B197&gt;=in_marketplace_from,d_hz_shop*G197,0))</f>
        <v/>
      </c>
      <c r="AW198" s="46">
        <f>AV198*IF(B198&gt;=in_marketplace_from,d_hz_shop*G198,0)</f>
        <v/>
      </c>
      <c r="AX198" s="14">
        <f>F198*AW198*in_shop_ticket*in_shop_comm*in_ins_partner_share+F198*in_shop_ticket*in_shop_renew_comm*in_ins_partner_share*(in_shop_renew^1*SUMIFS(AW179:AW235,B179:B235,B198-12)+in_shop_renew^2*SUMIFS(AW179:AW235,B179:B235,B198-24)+in_shop_renew^3*SUMIFS(AW179:AW235,B179:B235,B198-36)+in_shop_renew^4*SUMIFS(AW179:AW235,B179:B235,B198-48))</f>
        <v/>
      </c>
      <c r="AY198" s="40">
        <f>AY197*(1-IF(B197&gt;=in_marketplace_from,d_hz_sip*G197,0))</f>
        <v/>
      </c>
      <c r="AZ198" s="40">
        <f>AZ197*d_rho_sip+AY198*IF(B198&gt;=in_marketplace_from,d_hz_sip*G198,0)</f>
        <v/>
      </c>
      <c r="BA198" s="40">
        <f>d_rho_sip*(BA197+AZ197)</f>
        <v/>
      </c>
      <c r="BB198" s="14">
        <f>F198*in_sip_ticket*(BA198+0.5*AZ198)*in_sip_comm/12</f>
        <v/>
      </c>
      <c r="BC198" s="40">
        <f>BC197*(1-IF(B197&gt;=in_marketplace_from,d_hz_choti*G197,0))</f>
        <v/>
      </c>
      <c r="BD198" s="46">
        <f>BC198*IF(B198&gt;=in_marketplace_from,d_hz_choti*G198,0)</f>
        <v/>
      </c>
      <c r="BE198" s="14">
        <f>F198*SUMIFS(BD179:BD235,B179:B235,B198-in_choti_months)*in_choti_renew*in_choti_ticket</f>
        <v/>
      </c>
      <c r="BF198" s="40">
        <f>BF197*(1-IF(B197&gt;=in_marketplace_from,d_hz_nps*G197,0))</f>
        <v/>
      </c>
      <c r="BG198" s="14">
        <f>F198*BF198*IF(B198&gt;=in_marketplace_from,d_hz_nps*G198,0)*in_nps_ticket*in_nps_comm</f>
        <v/>
      </c>
      <c r="BH198" s="40">
        <f>BH197*(1-IF(B197&gt;=in_marketplace_from,d_hz_gold*G197,0))</f>
        <v/>
      </c>
      <c r="BI198" s="40">
        <f>BI197*d_rho_gold+BH198*IF(B198&gt;=in_marketplace_from,d_hz_gold*G198,0)</f>
        <v/>
      </c>
      <c r="BJ198" s="14">
        <f>F198*BI198*in_gold_ticket*in_gold_comm</f>
        <v/>
      </c>
      <c r="BK198" s="40">
        <f>BK197*(1-IF(B197&gt;=in_marketplace_from,d_hz_fd*G197,0))</f>
        <v/>
      </c>
      <c r="BL198" s="14">
        <f>F198*BK198*IF(B198&gt;=in_marketplace_from,d_hz_fd*G198,0)*in_fd_ticket*in_fd_comm</f>
        <v/>
      </c>
      <c r="BM198" s="40">
        <f>BM197*(1-IF(B197&gt;=in_marketplace_from,d_hz_recharge*G197,0))</f>
        <v/>
      </c>
      <c r="BN198" s="40">
        <f>BN197*d_rho_recharge+BM198*IF(B198&gt;=in_marketplace_from,d_hz_recharge*G198,0)</f>
        <v/>
      </c>
      <c r="BO198" s="14">
        <f>F198*BN198*in_recharge_ticket*in_recharge_comm/12</f>
        <v/>
      </c>
      <c r="BP198" s="40">
        <f>BP197*(1-IF(B197&gt;=in_marketplace_from,d_hz_bills*G197,0))</f>
        <v/>
      </c>
      <c r="BQ198" s="40">
        <f>BQ197*d_rho_bills+BP198*IF(B198&gt;=in_marketplace_from,d_hz_bills*G198,0)</f>
        <v/>
      </c>
      <c r="BR198" s="14">
        <f>F198*BQ198*in_bills_ticket*in_bills_comm/12</f>
        <v/>
      </c>
      <c r="BS198" s="40">
        <f>BS197*(1-IF(B197&gt;=in_marketplace_from,d_hz_loan_gold*G197,0))</f>
        <v/>
      </c>
      <c r="BT198" s="14">
        <f>F198*BS198*IF(B198&gt;=in_marketplace_from,d_hz_loan_gold*G198,0)*in_loan_gold_ticket*in_loan_gold_comm</f>
        <v/>
      </c>
      <c r="BU198" s="40">
        <f>BU197*(1-IF(B197&gt;=in_marketplace_from,d_hz_loan_cd*G197,0))</f>
        <v/>
      </c>
      <c r="BV198" s="14">
        <f>F198*BU198*IF(B198&gt;=in_marketplace_from,d_hz_loan_cd*G198,0)*in_loan_cd_ticket*in_loan_cd_comm</f>
        <v/>
      </c>
      <c r="BW198" s="40">
        <f>BW197*(1-IF(B197&gt;=in_marketplace_from,d_hz_loan_vehicle*G197,0))</f>
        <v/>
      </c>
      <c r="BX198" s="14">
        <f>F198*BW198*IF(B198&gt;=in_marketplace_from,d_hz_loan_vehicle*G198,0)*in_loan_vehicle_ticket*in_loan_vehicle_comm</f>
        <v/>
      </c>
      <c r="BY198" s="40">
        <f>BY197*(1-IF(B197&gt;=in_marketplace_from,d_hz_loan_home*G197,0)*BZ197)</f>
        <v/>
      </c>
      <c r="BZ198" s="11">
        <f>MIN(in_approval_cap,in_loan_home_approval*INDEX('Age profile'!$O$2:$O$61,B198)*(1+in_approval_growth)^(D198-1))</f>
        <v/>
      </c>
      <c r="CA198" s="14">
        <f>F198*BY198*IF(B198&gt;=in_marketplace_from,d_hz_loan_home*G198,0)*BZ198*in_loan_home_ticket*in_loan_home_comm</f>
        <v/>
      </c>
      <c r="CB198" s="40">
        <f>CB197*(1-IF(B197&gt;=in_marketplace_from,d_hz_loan_lap*G197,0)*CC197)</f>
        <v/>
      </c>
      <c r="CC198" s="11">
        <f>MIN(in_approval_cap,in_loan_lap_approval*INDEX('Age profile'!$O$2:$O$61,B198)*(1+in_approval_growth)^(D198-1))</f>
        <v/>
      </c>
      <c r="CD198" s="14">
        <f>F198*CB198*IF(B198&gt;=in_marketplace_from,d_hz_loan_lap*G198,0)*CC198*in_loan_lap_ticket*in_loan_lap_comm</f>
        <v/>
      </c>
      <c r="CE198" s="14">
        <f>AA198+AB198+AC198+AD198+AG198+AJ198+AM198+AP198+AS198+AU198+AX198+BB198+BE198+BG198+BJ198+BL198+BO198+BR198+BT198+BV198+BX198+CA198+CD198</f>
        <v/>
      </c>
    </row>
    <row r="199">
      <c r="A199" s="39" t="n">
        <v>4</v>
      </c>
      <c r="B199" s="39" t="n">
        <v>21</v>
      </c>
      <c r="C199" s="39">
        <f>A199+B199-1</f>
        <v/>
      </c>
      <c r="D199" s="39">
        <f>INT((C199-1)/12)+1</f>
        <v/>
      </c>
      <c r="E199" s="44">
        <f>INDEX(Monthly!$B$2:$B$61,A199)</f>
        <v/>
      </c>
      <c r="F199" s="44">
        <f>E199*INDEX('Age profile'!$B$2:$B$61,B199)</f>
        <v/>
      </c>
      <c r="G199" s="45">
        <f>MIN(in_takeup_cap,INDEX('Age profile'!$N$2:$N$61,B199)*(1+in_takeup_growth)^(D199-1))</f>
        <v/>
      </c>
      <c r="H199" s="11">
        <f>MIN(in_approval_cap,in_approved_first*INDEX('Age profile'!$O$2:$O$61,B199)*(1+in_approval_growth)^(D199-1))</f>
        <v/>
      </c>
      <c r="I199" s="45">
        <f>G199*MIN(in_takeup_cap,INDEX('Age profile'!$O$2:$O$61,B199)*(1+in_approval_growth)^(D199-1))</f>
        <v/>
      </c>
      <c r="J199" s="40">
        <f>(J198-L198)*F199/F198</f>
        <v/>
      </c>
      <c r="K199" s="40">
        <f>(K198-M198)*F199/F198+SUMIFS(O179:O198,B179:B198,B199-1-d_T)*F199</f>
        <v/>
      </c>
      <c r="L199" s="40">
        <f>IF(B199&gt;=in_marketplace_from,J199*d_hz*G199*in_eligible*H199,0)</f>
        <v/>
      </c>
      <c r="M199" s="40">
        <f>IF(B199&gt;=in_marketplace_from,K199*d_hz*G199*in_eligible*in_approved_repeat,0)</f>
        <v/>
      </c>
      <c r="N199" s="40">
        <f>L199+M199</f>
        <v/>
      </c>
      <c r="O199" s="46">
        <f>N199/F199</f>
        <v/>
      </c>
      <c r="P199" s="40">
        <f>F199-J199-K199</f>
        <v/>
      </c>
      <c r="Q199" s="40">
        <f>IF(B199&gt;=in_marketplace_from,(J199+K199)*d_hz*G199,0)</f>
        <v/>
      </c>
      <c r="R199" s="40">
        <f>SUMIFS(N179:N235,B179:B235,"&gt;="&amp;(B199-d_T),B179:B235,"&lt;="&amp;(B199-1))</f>
        <v/>
      </c>
      <c r="S199" s="46">
        <f>(1-d_u)*S198+IF(d_T&gt;in_topup_lag,SUMIFS(O179:O235,B179:B235,B199-in_topup_lag)-d_udrop*SUMIFS(O179:O235,B179:B235,B199-d_T),0)</f>
        <v/>
      </c>
      <c r="T199" s="40">
        <f>F199*d_u*S199</f>
        <v/>
      </c>
      <c r="U199" s="9">
        <f>L199*in_ticket+M199*d_rep_ticket</f>
        <v/>
      </c>
      <c r="V199" s="9">
        <f>U199+T199*d_topup_amt</f>
        <v/>
      </c>
      <c r="W199" s="40">
        <f>N199+T199*d_topup_ratio</f>
        <v/>
      </c>
      <c r="X199" s="40">
        <f>SUMIFS(W179:W235,B179:B235,B199-in_dpd_lag)*d_cured</f>
        <v/>
      </c>
      <c r="Y199" s="40">
        <f>SUMIFS(W179:W235,B179:B235,B199-in_rec_lag)*d_recd</f>
        <v/>
      </c>
      <c r="Z199" s="40">
        <f>IF(AND(B199&gt;=in_marketplace_from,B199&lt;in_marketplace_from+in_card_months),in_card_share/in_card_months*F199*I199,IF(AND(B199&gt;=in_marketplace_from+in_card_months,B199&lt;in_marketplace_from+2*in_card_months),in_card_share*d_card_rem/in_card_months*F199*MIN(in_takeup_cap,(1+in_takeup_growth)^(D199-1))*MIN(in_takeup_cap,(1+in_approval_growth)^(D199-1)),0))</f>
        <v/>
      </c>
      <c r="AA199" s="14">
        <f>V199*in_fee*(1-in_taken_back)</f>
        <v/>
      </c>
      <c r="AB199" s="14">
        <f>SUMIFS(W179:W235,B179:B235,B199-in_dpd_lag)*d_dpd</f>
        <v/>
      </c>
      <c r="AC199" s="14">
        <f>SUMIFS(W179:W235,B179:B235,B199-in_rec_lag)*d_rec</f>
        <v/>
      </c>
      <c r="AD199" s="14">
        <f>Z199*in_card_fee</f>
        <v/>
      </c>
      <c r="AE199" s="40">
        <f>AE198*(1-IF(B198&gt;=in_marketplace_from,d_hz_hlth_small*G198,0))</f>
        <v/>
      </c>
      <c r="AF199" s="46">
        <f>AE199*IF(B199&gt;=in_marketplace_from,d_hz_hlth_small*G199,0)</f>
        <v/>
      </c>
      <c r="AG199" s="14">
        <f>F199*AF199*in_hlth_small_ticket*in_hlth_small_comm*in_ins_partner_share+F199*in_hlth_small_ticket*in_hlth_small_renew_comm*in_ins_partner_share*(in_hlth_small_renew^1*SUMIFS(AF179:AF235,B179:B235,B199-12)+in_hlth_small_renew^2*SUMIFS(AF179:AF235,B179:B235,B199-24)+in_hlth_small_renew^3*SUMIFS(AF179:AF235,B179:B235,B199-36)+in_hlth_small_renew^4*SUMIFS(AF179:AF235,B179:B235,B199-48))</f>
        <v/>
      </c>
      <c r="AH199" s="40">
        <f>AH198*(1-IF(B198&gt;=in_marketplace_from,d_hz_hlth_family*G198,0))</f>
        <v/>
      </c>
      <c r="AI199" s="46">
        <f>AH199*IF(B199&gt;=in_marketplace_from,d_hz_hlth_family*G199,0)</f>
        <v/>
      </c>
      <c r="AJ199" s="14">
        <f>F199*AI199*in_hlth_family_ticket*in_hlth_family_comm*in_ins_partner_share+F199*in_hlth_family_ticket*in_hlth_family_renew_comm*in_ins_partner_share*(in_hlth_family_renew^1*SUMIFS(AI179:AI235,B179:B235,B199-12)+in_hlth_family_renew^2*SUMIFS(AI179:AI235,B179:B235,B199-24)+in_hlth_family_renew^3*SUMIFS(AI179:AI235,B179:B235,B199-36)+in_hlth_family_renew^4*SUMIFS(AI179:AI235,B179:B235,B199-48))</f>
        <v/>
      </c>
      <c r="AK199" s="40">
        <f>AK198*(1-IF(B198&gt;=in_marketplace_from,d_hz_life_term*G198,0))</f>
        <v/>
      </c>
      <c r="AL199" s="46">
        <f>AK199*IF(B199&gt;=in_marketplace_from,d_hz_life_term*G199,0)</f>
        <v/>
      </c>
      <c r="AM199" s="14">
        <f>F199*AL199*in_life_term_ticket*in_life_term_comm*in_ins_partner_share+F199*in_life_term_ticket*in_life_term_renew_comm*in_ins_partner_share*(in_life_term_renew^1*SUMIFS(AL179:AL235,B179:B235,B199-12)+in_life_term_renew^2*SUMIFS(AL179:AL235,B179:B235,B199-24)+in_life_term_renew^3*SUMIFS(AL179:AL235,B179:B235,B199-36)+in_life_term_renew^4*SUMIFS(AL179:AL235,B179:B235,B199-48))</f>
        <v/>
      </c>
      <c r="AN199" s="40">
        <f>AN198*(1-IF(B198&gt;=in_marketplace_from,d_hz_accident*G198,0))</f>
        <v/>
      </c>
      <c r="AO199" s="46">
        <f>AN199*IF(B199&gt;=in_marketplace_from,d_hz_accident*G199,0)</f>
        <v/>
      </c>
      <c r="AP199" s="14">
        <f>F199*AO199*in_accident_ticket*in_accident_comm*in_ins_partner_share+F199*in_accident_ticket*in_accident_renew_comm*in_ins_partner_share*(in_accident_renew^1*SUMIFS(AO179:AO235,B179:B235,B199-12)+in_accident_renew^2*SUMIFS(AO179:AO235,B179:B235,B199-24)+in_accident_renew^3*SUMIFS(AO179:AO235,B179:B235,B199-36)+in_accident_renew^4*SUMIFS(AO179:AO235,B179:B235,B199-48))</f>
        <v/>
      </c>
      <c r="AQ199" s="40">
        <f>AQ198*(1-IF(B198&gt;=in_marketplace_from,d_hz_two_wheeler*G198,0))</f>
        <v/>
      </c>
      <c r="AR199" s="46">
        <f>AQ199*IF(B199&gt;=in_marketplace_from,d_hz_two_wheeler*G199,0)</f>
        <v/>
      </c>
      <c r="AS199" s="14">
        <f>F199*AR199*in_two_wheeler_ticket*in_two_wheeler_comm*in_ins_partner_share+F199*in_two_wheeler_ticket*in_two_wheeler_comm*in_ins_partner_share*(in_two_wheeler_renew^1*SUMIFS(AR179:AR235,B179:B235,B199-12)+in_two_wheeler_renew^2*SUMIFS(AR179:AR235,B179:B235,B199-24)+in_two_wheeler_renew^3*SUMIFS(AR179:AR235,B179:B235,B199-36)+in_two_wheeler_renew^4*SUMIFS(AR179:AR235,B179:B235,B199-48))</f>
        <v/>
      </c>
      <c r="AT199" s="40">
        <f>AT198*(1-IF(B198&gt;=in_marketplace_from,d_hz_device*G198,0))</f>
        <v/>
      </c>
      <c r="AU199" s="14">
        <f>F199*AT199*IF(B199&gt;=in_marketplace_from,d_hz_device*G199,0)*in_device_ticket*in_device_comm*in_ins_partner_share</f>
        <v/>
      </c>
      <c r="AV199" s="40">
        <f>AV198*(1-IF(B198&gt;=in_marketplace_from,d_hz_shop*G198,0))</f>
        <v/>
      </c>
      <c r="AW199" s="46">
        <f>AV199*IF(B199&gt;=in_marketplace_from,d_hz_shop*G199,0)</f>
        <v/>
      </c>
      <c r="AX199" s="14">
        <f>F199*AW199*in_shop_ticket*in_shop_comm*in_ins_partner_share+F199*in_shop_ticket*in_shop_renew_comm*in_ins_partner_share*(in_shop_renew^1*SUMIFS(AW179:AW235,B179:B235,B199-12)+in_shop_renew^2*SUMIFS(AW179:AW235,B179:B235,B199-24)+in_shop_renew^3*SUMIFS(AW179:AW235,B179:B235,B199-36)+in_shop_renew^4*SUMIFS(AW179:AW235,B179:B235,B199-48))</f>
        <v/>
      </c>
      <c r="AY199" s="40">
        <f>AY198*(1-IF(B198&gt;=in_marketplace_from,d_hz_sip*G198,0))</f>
        <v/>
      </c>
      <c r="AZ199" s="40">
        <f>AZ198*d_rho_sip+AY199*IF(B199&gt;=in_marketplace_from,d_hz_sip*G199,0)</f>
        <v/>
      </c>
      <c r="BA199" s="40">
        <f>d_rho_sip*(BA198+AZ198)</f>
        <v/>
      </c>
      <c r="BB199" s="14">
        <f>F199*in_sip_ticket*(BA199+0.5*AZ199)*in_sip_comm/12</f>
        <v/>
      </c>
      <c r="BC199" s="40">
        <f>BC198*(1-IF(B198&gt;=in_marketplace_from,d_hz_choti*G198,0))</f>
        <v/>
      </c>
      <c r="BD199" s="46">
        <f>BC199*IF(B199&gt;=in_marketplace_from,d_hz_choti*G199,0)</f>
        <v/>
      </c>
      <c r="BE199" s="14">
        <f>F199*SUMIFS(BD179:BD235,B179:B235,B199-in_choti_months)*in_choti_renew*in_choti_ticket</f>
        <v/>
      </c>
      <c r="BF199" s="40">
        <f>BF198*(1-IF(B198&gt;=in_marketplace_from,d_hz_nps*G198,0))</f>
        <v/>
      </c>
      <c r="BG199" s="14">
        <f>F199*BF199*IF(B199&gt;=in_marketplace_from,d_hz_nps*G199,0)*in_nps_ticket*in_nps_comm</f>
        <v/>
      </c>
      <c r="BH199" s="40">
        <f>BH198*(1-IF(B198&gt;=in_marketplace_from,d_hz_gold*G198,0))</f>
        <v/>
      </c>
      <c r="BI199" s="40">
        <f>BI198*d_rho_gold+BH199*IF(B199&gt;=in_marketplace_from,d_hz_gold*G199,0)</f>
        <v/>
      </c>
      <c r="BJ199" s="14">
        <f>F199*BI199*in_gold_ticket*in_gold_comm</f>
        <v/>
      </c>
      <c r="BK199" s="40">
        <f>BK198*(1-IF(B198&gt;=in_marketplace_from,d_hz_fd*G198,0))</f>
        <v/>
      </c>
      <c r="BL199" s="14">
        <f>F199*BK199*IF(B199&gt;=in_marketplace_from,d_hz_fd*G199,0)*in_fd_ticket*in_fd_comm</f>
        <v/>
      </c>
      <c r="BM199" s="40">
        <f>BM198*(1-IF(B198&gt;=in_marketplace_from,d_hz_recharge*G198,0))</f>
        <v/>
      </c>
      <c r="BN199" s="40">
        <f>BN198*d_rho_recharge+BM199*IF(B199&gt;=in_marketplace_from,d_hz_recharge*G199,0)</f>
        <v/>
      </c>
      <c r="BO199" s="14">
        <f>F199*BN199*in_recharge_ticket*in_recharge_comm/12</f>
        <v/>
      </c>
      <c r="BP199" s="40">
        <f>BP198*(1-IF(B198&gt;=in_marketplace_from,d_hz_bills*G198,0))</f>
        <v/>
      </c>
      <c r="BQ199" s="40">
        <f>BQ198*d_rho_bills+BP199*IF(B199&gt;=in_marketplace_from,d_hz_bills*G199,0)</f>
        <v/>
      </c>
      <c r="BR199" s="14">
        <f>F199*BQ199*in_bills_ticket*in_bills_comm/12</f>
        <v/>
      </c>
      <c r="BS199" s="40">
        <f>BS198*(1-IF(B198&gt;=in_marketplace_from,d_hz_loan_gold*G198,0))</f>
        <v/>
      </c>
      <c r="BT199" s="14">
        <f>F199*BS199*IF(B199&gt;=in_marketplace_from,d_hz_loan_gold*G199,0)*in_loan_gold_ticket*in_loan_gold_comm</f>
        <v/>
      </c>
      <c r="BU199" s="40">
        <f>BU198*(1-IF(B198&gt;=in_marketplace_from,d_hz_loan_cd*G198,0))</f>
        <v/>
      </c>
      <c r="BV199" s="14">
        <f>F199*BU199*IF(B199&gt;=in_marketplace_from,d_hz_loan_cd*G199,0)*in_loan_cd_ticket*in_loan_cd_comm</f>
        <v/>
      </c>
      <c r="BW199" s="40">
        <f>BW198*(1-IF(B198&gt;=in_marketplace_from,d_hz_loan_vehicle*G198,0))</f>
        <v/>
      </c>
      <c r="BX199" s="14">
        <f>F199*BW199*IF(B199&gt;=in_marketplace_from,d_hz_loan_vehicle*G199,0)*in_loan_vehicle_ticket*in_loan_vehicle_comm</f>
        <v/>
      </c>
      <c r="BY199" s="40">
        <f>BY198*(1-IF(B198&gt;=in_marketplace_from,d_hz_loan_home*G198,0)*BZ198)</f>
        <v/>
      </c>
      <c r="BZ199" s="11">
        <f>MIN(in_approval_cap,in_loan_home_approval*INDEX('Age profile'!$O$2:$O$61,B199)*(1+in_approval_growth)^(D199-1))</f>
        <v/>
      </c>
      <c r="CA199" s="14">
        <f>F199*BY199*IF(B199&gt;=in_marketplace_from,d_hz_loan_home*G199,0)*BZ199*in_loan_home_ticket*in_loan_home_comm</f>
        <v/>
      </c>
      <c r="CB199" s="40">
        <f>CB198*(1-IF(B198&gt;=in_marketplace_from,d_hz_loan_lap*G198,0)*CC198)</f>
        <v/>
      </c>
      <c r="CC199" s="11">
        <f>MIN(in_approval_cap,in_loan_lap_approval*INDEX('Age profile'!$O$2:$O$61,B199)*(1+in_approval_growth)^(D199-1))</f>
        <v/>
      </c>
      <c r="CD199" s="14">
        <f>F199*CB199*IF(B199&gt;=in_marketplace_from,d_hz_loan_lap*G199,0)*CC199*in_loan_lap_ticket*in_loan_lap_comm</f>
        <v/>
      </c>
      <c r="CE199" s="14">
        <f>AA199+AB199+AC199+AD199+AG199+AJ199+AM199+AP199+AS199+AU199+AX199+BB199+BE199+BG199+BJ199+BL199+BO199+BR199+BT199+BV199+BX199+CA199+CD199</f>
        <v/>
      </c>
    </row>
    <row r="200">
      <c r="A200" s="39" t="n">
        <v>4</v>
      </c>
      <c r="B200" s="39" t="n">
        <v>22</v>
      </c>
      <c r="C200" s="39">
        <f>A200+B200-1</f>
        <v/>
      </c>
      <c r="D200" s="39">
        <f>INT((C200-1)/12)+1</f>
        <v/>
      </c>
      <c r="E200" s="44">
        <f>INDEX(Monthly!$B$2:$B$61,A200)</f>
        <v/>
      </c>
      <c r="F200" s="44">
        <f>E200*INDEX('Age profile'!$B$2:$B$61,B200)</f>
        <v/>
      </c>
      <c r="G200" s="45">
        <f>MIN(in_takeup_cap,INDEX('Age profile'!$N$2:$N$61,B200)*(1+in_takeup_growth)^(D200-1))</f>
        <v/>
      </c>
      <c r="H200" s="11">
        <f>MIN(in_approval_cap,in_approved_first*INDEX('Age profile'!$O$2:$O$61,B200)*(1+in_approval_growth)^(D200-1))</f>
        <v/>
      </c>
      <c r="I200" s="45">
        <f>G200*MIN(in_takeup_cap,INDEX('Age profile'!$O$2:$O$61,B200)*(1+in_approval_growth)^(D200-1))</f>
        <v/>
      </c>
      <c r="J200" s="40">
        <f>(J199-L199)*F200/F199</f>
        <v/>
      </c>
      <c r="K200" s="40">
        <f>(K199-M199)*F200/F199+SUMIFS(O179:O199,B179:B199,B200-1-d_T)*F200</f>
        <v/>
      </c>
      <c r="L200" s="40">
        <f>IF(B200&gt;=in_marketplace_from,J200*d_hz*G200*in_eligible*H200,0)</f>
        <v/>
      </c>
      <c r="M200" s="40">
        <f>IF(B200&gt;=in_marketplace_from,K200*d_hz*G200*in_eligible*in_approved_repeat,0)</f>
        <v/>
      </c>
      <c r="N200" s="40">
        <f>L200+M200</f>
        <v/>
      </c>
      <c r="O200" s="46">
        <f>N200/F200</f>
        <v/>
      </c>
      <c r="P200" s="40">
        <f>F200-J200-K200</f>
        <v/>
      </c>
      <c r="Q200" s="40">
        <f>IF(B200&gt;=in_marketplace_from,(J200+K200)*d_hz*G200,0)</f>
        <v/>
      </c>
      <c r="R200" s="40">
        <f>SUMIFS(N179:N235,B179:B235,"&gt;="&amp;(B200-d_T),B179:B235,"&lt;="&amp;(B200-1))</f>
        <v/>
      </c>
      <c r="S200" s="46">
        <f>(1-d_u)*S199+IF(d_T&gt;in_topup_lag,SUMIFS(O179:O235,B179:B235,B200-in_topup_lag)-d_udrop*SUMIFS(O179:O235,B179:B235,B200-d_T),0)</f>
        <v/>
      </c>
      <c r="T200" s="40">
        <f>F200*d_u*S200</f>
        <v/>
      </c>
      <c r="U200" s="9">
        <f>L200*in_ticket+M200*d_rep_ticket</f>
        <v/>
      </c>
      <c r="V200" s="9">
        <f>U200+T200*d_topup_amt</f>
        <v/>
      </c>
      <c r="W200" s="40">
        <f>N200+T200*d_topup_ratio</f>
        <v/>
      </c>
      <c r="X200" s="40">
        <f>SUMIFS(W179:W235,B179:B235,B200-in_dpd_lag)*d_cured</f>
        <v/>
      </c>
      <c r="Y200" s="40">
        <f>SUMIFS(W179:W235,B179:B235,B200-in_rec_lag)*d_recd</f>
        <v/>
      </c>
      <c r="Z200" s="40">
        <f>IF(AND(B200&gt;=in_marketplace_from,B200&lt;in_marketplace_from+in_card_months),in_card_share/in_card_months*F200*I200,IF(AND(B200&gt;=in_marketplace_from+in_card_months,B200&lt;in_marketplace_from+2*in_card_months),in_card_share*d_card_rem/in_card_months*F200*MIN(in_takeup_cap,(1+in_takeup_growth)^(D200-1))*MIN(in_takeup_cap,(1+in_approval_growth)^(D200-1)),0))</f>
        <v/>
      </c>
      <c r="AA200" s="14">
        <f>V200*in_fee*(1-in_taken_back)</f>
        <v/>
      </c>
      <c r="AB200" s="14">
        <f>SUMIFS(W179:W235,B179:B235,B200-in_dpd_lag)*d_dpd</f>
        <v/>
      </c>
      <c r="AC200" s="14">
        <f>SUMIFS(W179:W235,B179:B235,B200-in_rec_lag)*d_rec</f>
        <v/>
      </c>
      <c r="AD200" s="14">
        <f>Z200*in_card_fee</f>
        <v/>
      </c>
      <c r="AE200" s="40">
        <f>AE199*(1-IF(B199&gt;=in_marketplace_from,d_hz_hlth_small*G199,0))</f>
        <v/>
      </c>
      <c r="AF200" s="46">
        <f>AE200*IF(B200&gt;=in_marketplace_from,d_hz_hlth_small*G200,0)</f>
        <v/>
      </c>
      <c r="AG200" s="14">
        <f>F200*AF200*in_hlth_small_ticket*in_hlth_small_comm*in_ins_partner_share+F200*in_hlth_small_ticket*in_hlth_small_renew_comm*in_ins_partner_share*(in_hlth_small_renew^1*SUMIFS(AF179:AF235,B179:B235,B200-12)+in_hlth_small_renew^2*SUMIFS(AF179:AF235,B179:B235,B200-24)+in_hlth_small_renew^3*SUMIFS(AF179:AF235,B179:B235,B200-36)+in_hlth_small_renew^4*SUMIFS(AF179:AF235,B179:B235,B200-48))</f>
        <v/>
      </c>
      <c r="AH200" s="40">
        <f>AH199*(1-IF(B199&gt;=in_marketplace_from,d_hz_hlth_family*G199,0))</f>
        <v/>
      </c>
      <c r="AI200" s="46">
        <f>AH200*IF(B200&gt;=in_marketplace_from,d_hz_hlth_family*G200,0)</f>
        <v/>
      </c>
      <c r="AJ200" s="14">
        <f>F200*AI200*in_hlth_family_ticket*in_hlth_family_comm*in_ins_partner_share+F200*in_hlth_family_ticket*in_hlth_family_renew_comm*in_ins_partner_share*(in_hlth_family_renew^1*SUMIFS(AI179:AI235,B179:B235,B200-12)+in_hlth_family_renew^2*SUMIFS(AI179:AI235,B179:B235,B200-24)+in_hlth_family_renew^3*SUMIFS(AI179:AI235,B179:B235,B200-36)+in_hlth_family_renew^4*SUMIFS(AI179:AI235,B179:B235,B200-48))</f>
        <v/>
      </c>
      <c r="AK200" s="40">
        <f>AK199*(1-IF(B199&gt;=in_marketplace_from,d_hz_life_term*G199,0))</f>
        <v/>
      </c>
      <c r="AL200" s="46">
        <f>AK200*IF(B200&gt;=in_marketplace_from,d_hz_life_term*G200,0)</f>
        <v/>
      </c>
      <c r="AM200" s="14">
        <f>F200*AL200*in_life_term_ticket*in_life_term_comm*in_ins_partner_share+F200*in_life_term_ticket*in_life_term_renew_comm*in_ins_partner_share*(in_life_term_renew^1*SUMIFS(AL179:AL235,B179:B235,B200-12)+in_life_term_renew^2*SUMIFS(AL179:AL235,B179:B235,B200-24)+in_life_term_renew^3*SUMIFS(AL179:AL235,B179:B235,B200-36)+in_life_term_renew^4*SUMIFS(AL179:AL235,B179:B235,B200-48))</f>
        <v/>
      </c>
      <c r="AN200" s="40">
        <f>AN199*(1-IF(B199&gt;=in_marketplace_from,d_hz_accident*G199,0))</f>
        <v/>
      </c>
      <c r="AO200" s="46">
        <f>AN200*IF(B200&gt;=in_marketplace_from,d_hz_accident*G200,0)</f>
        <v/>
      </c>
      <c r="AP200" s="14">
        <f>F200*AO200*in_accident_ticket*in_accident_comm*in_ins_partner_share+F200*in_accident_ticket*in_accident_renew_comm*in_ins_partner_share*(in_accident_renew^1*SUMIFS(AO179:AO235,B179:B235,B200-12)+in_accident_renew^2*SUMIFS(AO179:AO235,B179:B235,B200-24)+in_accident_renew^3*SUMIFS(AO179:AO235,B179:B235,B200-36)+in_accident_renew^4*SUMIFS(AO179:AO235,B179:B235,B200-48))</f>
        <v/>
      </c>
      <c r="AQ200" s="40">
        <f>AQ199*(1-IF(B199&gt;=in_marketplace_from,d_hz_two_wheeler*G199,0))</f>
        <v/>
      </c>
      <c r="AR200" s="46">
        <f>AQ200*IF(B200&gt;=in_marketplace_from,d_hz_two_wheeler*G200,0)</f>
        <v/>
      </c>
      <c r="AS200" s="14">
        <f>F200*AR200*in_two_wheeler_ticket*in_two_wheeler_comm*in_ins_partner_share+F200*in_two_wheeler_ticket*in_two_wheeler_comm*in_ins_partner_share*(in_two_wheeler_renew^1*SUMIFS(AR179:AR235,B179:B235,B200-12)+in_two_wheeler_renew^2*SUMIFS(AR179:AR235,B179:B235,B200-24)+in_two_wheeler_renew^3*SUMIFS(AR179:AR235,B179:B235,B200-36)+in_two_wheeler_renew^4*SUMIFS(AR179:AR235,B179:B235,B200-48))</f>
        <v/>
      </c>
      <c r="AT200" s="40">
        <f>AT199*(1-IF(B199&gt;=in_marketplace_from,d_hz_device*G199,0))</f>
        <v/>
      </c>
      <c r="AU200" s="14">
        <f>F200*AT200*IF(B200&gt;=in_marketplace_from,d_hz_device*G200,0)*in_device_ticket*in_device_comm*in_ins_partner_share</f>
        <v/>
      </c>
      <c r="AV200" s="40">
        <f>AV199*(1-IF(B199&gt;=in_marketplace_from,d_hz_shop*G199,0))</f>
        <v/>
      </c>
      <c r="AW200" s="46">
        <f>AV200*IF(B200&gt;=in_marketplace_from,d_hz_shop*G200,0)</f>
        <v/>
      </c>
      <c r="AX200" s="14">
        <f>F200*AW200*in_shop_ticket*in_shop_comm*in_ins_partner_share+F200*in_shop_ticket*in_shop_renew_comm*in_ins_partner_share*(in_shop_renew^1*SUMIFS(AW179:AW235,B179:B235,B200-12)+in_shop_renew^2*SUMIFS(AW179:AW235,B179:B235,B200-24)+in_shop_renew^3*SUMIFS(AW179:AW235,B179:B235,B200-36)+in_shop_renew^4*SUMIFS(AW179:AW235,B179:B235,B200-48))</f>
        <v/>
      </c>
      <c r="AY200" s="40">
        <f>AY199*(1-IF(B199&gt;=in_marketplace_from,d_hz_sip*G199,0))</f>
        <v/>
      </c>
      <c r="AZ200" s="40">
        <f>AZ199*d_rho_sip+AY200*IF(B200&gt;=in_marketplace_from,d_hz_sip*G200,0)</f>
        <v/>
      </c>
      <c r="BA200" s="40">
        <f>d_rho_sip*(BA199+AZ199)</f>
        <v/>
      </c>
      <c r="BB200" s="14">
        <f>F200*in_sip_ticket*(BA200+0.5*AZ200)*in_sip_comm/12</f>
        <v/>
      </c>
      <c r="BC200" s="40">
        <f>BC199*(1-IF(B199&gt;=in_marketplace_from,d_hz_choti*G199,0))</f>
        <v/>
      </c>
      <c r="BD200" s="46">
        <f>BC200*IF(B200&gt;=in_marketplace_from,d_hz_choti*G200,0)</f>
        <v/>
      </c>
      <c r="BE200" s="14">
        <f>F200*SUMIFS(BD179:BD235,B179:B235,B200-in_choti_months)*in_choti_renew*in_choti_ticket</f>
        <v/>
      </c>
      <c r="BF200" s="40">
        <f>BF199*(1-IF(B199&gt;=in_marketplace_from,d_hz_nps*G199,0))</f>
        <v/>
      </c>
      <c r="BG200" s="14">
        <f>F200*BF200*IF(B200&gt;=in_marketplace_from,d_hz_nps*G200,0)*in_nps_ticket*in_nps_comm</f>
        <v/>
      </c>
      <c r="BH200" s="40">
        <f>BH199*(1-IF(B199&gt;=in_marketplace_from,d_hz_gold*G199,0))</f>
        <v/>
      </c>
      <c r="BI200" s="40">
        <f>BI199*d_rho_gold+BH200*IF(B200&gt;=in_marketplace_from,d_hz_gold*G200,0)</f>
        <v/>
      </c>
      <c r="BJ200" s="14">
        <f>F200*BI200*in_gold_ticket*in_gold_comm</f>
        <v/>
      </c>
      <c r="BK200" s="40">
        <f>BK199*(1-IF(B199&gt;=in_marketplace_from,d_hz_fd*G199,0))</f>
        <v/>
      </c>
      <c r="BL200" s="14">
        <f>F200*BK200*IF(B200&gt;=in_marketplace_from,d_hz_fd*G200,0)*in_fd_ticket*in_fd_comm</f>
        <v/>
      </c>
      <c r="BM200" s="40">
        <f>BM199*(1-IF(B199&gt;=in_marketplace_from,d_hz_recharge*G199,0))</f>
        <v/>
      </c>
      <c r="BN200" s="40">
        <f>BN199*d_rho_recharge+BM200*IF(B200&gt;=in_marketplace_from,d_hz_recharge*G200,0)</f>
        <v/>
      </c>
      <c r="BO200" s="14">
        <f>F200*BN200*in_recharge_ticket*in_recharge_comm/12</f>
        <v/>
      </c>
      <c r="BP200" s="40">
        <f>BP199*(1-IF(B199&gt;=in_marketplace_from,d_hz_bills*G199,0))</f>
        <v/>
      </c>
      <c r="BQ200" s="40">
        <f>BQ199*d_rho_bills+BP200*IF(B200&gt;=in_marketplace_from,d_hz_bills*G200,0)</f>
        <v/>
      </c>
      <c r="BR200" s="14">
        <f>F200*BQ200*in_bills_ticket*in_bills_comm/12</f>
        <v/>
      </c>
      <c r="BS200" s="40">
        <f>BS199*(1-IF(B199&gt;=in_marketplace_from,d_hz_loan_gold*G199,0))</f>
        <v/>
      </c>
      <c r="BT200" s="14">
        <f>F200*BS200*IF(B200&gt;=in_marketplace_from,d_hz_loan_gold*G200,0)*in_loan_gold_ticket*in_loan_gold_comm</f>
        <v/>
      </c>
      <c r="BU200" s="40">
        <f>BU199*(1-IF(B199&gt;=in_marketplace_from,d_hz_loan_cd*G199,0))</f>
        <v/>
      </c>
      <c r="BV200" s="14">
        <f>F200*BU200*IF(B200&gt;=in_marketplace_from,d_hz_loan_cd*G200,0)*in_loan_cd_ticket*in_loan_cd_comm</f>
        <v/>
      </c>
      <c r="BW200" s="40">
        <f>BW199*(1-IF(B199&gt;=in_marketplace_from,d_hz_loan_vehicle*G199,0))</f>
        <v/>
      </c>
      <c r="BX200" s="14">
        <f>F200*BW200*IF(B200&gt;=in_marketplace_from,d_hz_loan_vehicle*G200,0)*in_loan_vehicle_ticket*in_loan_vehicle_comm</f>
        <v/>
      </c>
      <c r="BY200" s="40">
        <f>BY199*(1-IF(B199&gt;=in_marketplace_from,d_hz_loan_home*G199,0)*BZ199)</f>
        <v/>
      </c>
      <c r="BZ200" s="11">
        <f>MIN(in_approval_cap,in_loan_home_approval*INDEX('Age profile'!$O$2:$O$61,B200)*(1+in_approval_growth)^(D200-1))</f>
        <v/>
      </c>
      <c r="CA200" s="14">
        <f>F200*BY200*IF(B200&gt;=in_marketplace_from,d_hz_loan_home*G200,0)*BZ200*in_loan_home_ticket*in_loan_home_comm</f>
        <v/>
      </c>
      <c r="CB200" s="40">
        <f>CB199*(1-IF(B199&gt;=in_marketplace_from,d_hz_loan_lap*G199,0)*CC199)</f>
        <v/>
      </c>
      <c r="CC200" s="11">
        <f>MIN(in_approval_cap,in_loan_lap_approval*INDEX('Age profile'!$O$2:$O$61,B200)*(1+in_approval_growth)^(D200-1))</f>
        <v/>
      </c>
      <c r="CD200" s="14">
        <f>F200*CB200*IF(B200&gt;=in_marketplace_from,d_hz_loan_lap*G200,0)*CC200*in_loan_lap_ticket*in_loan_lap_comm</f>
        <v/>
      </c>
      <c r="CE200" s="14">
        <f>AA200+AB200+AC200+AD200+AG200+AJ200+AM200+AP200+AS200+AU200+AX200+BB200+BE200+BG200+BJ200+BL200+BO200+BR200+BT200+BV200+BX200+CA200+CD200</f>
        <v/>
      </c>
    </row>
    <row r="201">
      <c r="A201" s="39" t="n">
        <v>4</v>
      </c>
      <c r="B201" s="39" t="n">
        <v>23</v>
      </c>
      <c r="C201" s="39">
        <f>A201+B201-1</f>
        <v/>
      </c>
      <c r="D201" s="39">
        <f>INT((C201-1)/12)+1</f>
        <v/>
      </c>
      <c r="E201" s="44">
        <f>INDEX(Monthly!$B$2:$B$61,A201)</f>
        <v/>
      </c>
      <c r="F201" s="44">
        <f>E201*INDEX('Age profile'!$B$2:$B$61,B201)</f>
        <v/>
      </c>
      <c r="G201" s="45">
        <f>MIN(in_takeup_cap,INDEX('Age profile'!$N$2:$N$61,B201)*(1+in_takeup_growth)^(D201-1))</f>
        <v/>
      </c>
      <c r="H201" s="11">
        <f>MIN(in_approval_cap,in_approved_first*INDEX('Age profile'!$O$2:$O$61,B201)*(1+in_approval_growth)^(D201-1))</f>
        <v/>
      </c>
      <c r="I201" s="45">
        <f>G201*MIN(in_takeup_cap,INDEX('Age profile'!$O$2:$O$61,B201)*(1+in_approval_growth)^(D201-1))</f>
        <v/>
      </c>
      <c r="J201" s="40">
        <f>(J200-L200)*F201/F200</f>
        <v/>
      </c>
      <c r="K201" s="40">
        <f>(K200-M200)*F201/F200+SUMIFS(O179:O200,B179:B200,B201-1-d_T)*F201</f>
        <v/>
      </c>
      <c r="L201" s="40">
        <f>IF(B201&gt;=in_marketplace_from,J201*d_hz*G201*in_eligible*H201,0)</f>
        <v/>
      </c>
      <c r="M201" s="40">
        <f>IF(B201&gt;=in_marketplace_from,K201*d_hz*G201*in_eligible*in_approved_repeat,0)</f>
        <v/>
      </c>
      <c r="N201" s="40">
        <f>L201+M201</f>
        <v/>
      </c>
      <c r="O201" s="46">
        <f>N201/F201</f>
        <v/>
      </c>
      <c r="P201" s="40">
        <f>F201-J201-K201</f>
        <v/>
      </c>
      <c r="Q201" s="40">
        <f>IF(B201&gt;=in_marketplace_from,(J201+K201)*d_hz*G201,0)</f>
        <v/>
      </c>
      <c r="R201" s="40">
        <f>SUMIFS(N179:N235,B179:B235,"&gt;="&amp;(B201-d_T),B179:B235,"&lt;="&amp;(B201-1))</f>
        <v/>
      </c>
      <c r="S201" s="46">
        <f>(1-d_u)*S200+IF(d_T&gt;in_topup_lag,SUMIFS(O179:O235,B179:B235,B201-in_topup_lag)-d_udrop*SUMIFS(O179:O235,B179:B235,B201-d_T),0)</f>
        <v/>
      </c>
      <c r="T201" s="40">
        <f>F201*d_u*S201</f>
        <v/>
      </c>
      <c r="U201" s="9">
        <f>L201*in_ticket+M201*d_rep_ticket</f>
        <v/>
      </c>
      <c r="V201" s="9">
        <f>U201+T201*d_topup_amt</f>
        <v/>
      </c>
      <c r="W201" s="40">
        <f>N201+T201*d_topup_ratio</f>
        <v/>
      </c>
      <c r="X201" s="40">
        <f>SUMIFS(W179:W235,B179:B235,B201-in_dpd_lag)*d_cured</f>
        <v/>
      </c>
      <c r="Y201" s="40">
        <f>SUMIFS(W179:W235,B179:B235,B201-in_rec_lag)*d_recd</f>
        <v/>
      </c>
      <c r="Z201" s="40">
        <f>IF(AND(B201&gt;=in_marketplace_from,B201&lt;in_marketplace_from+in_card_months),in_card_share/in_card_months*F201*I201,IF(AND(B201&gt;=in_marketplace_from+in_card_months,B201&lt;in_marketplace_from+2*in_card_months),in_card_share*d_card_rem/in_card_months*F201*MIN(in_takeup_cap,(1+in_takeup_growth)^(D201-1))*MIN(in_takeup_cap,(1+in_approval_growth)^(D201-1)),0))</f>
        <v/>
      </c>
      <c r="AA201" s="14">
        <f>V201*in_fee*(1-in_taken_back)</f>
        <v/>
      </c>
      <c r="AB201" s="14">
        <f>SUMIFS(W179:W235,B179:B235,B201-in_dpd_lag)*d_dpd</f>
        <v/>
      </c>
      <c r="AC201" s="14">
        <f>SUMIFS(W179:W235,B179:B235,B201-in_rec_lag)*d_rec</f>
        <v/>
      </c>
      <c r="AD201" s="14">
        <f>Z201*in_card_fee</f>
        <v/>
      </c>
      <c r="AE201" s="40">
        <f>AE200*(1-IF(B200&gt;=in_marketplace_from,d_hz_hlth_small*G200,0))</f>
        <v/>
      </c>
      <c r="AF201" s="46">
        <f>AE201*IF(B201&gt;=in_marketplace_from,d_hz_hlth_small*G201,0)</f>
        <v/>
      </c>
      <c r="AG201" s="14">
        <f>F201*AF201*in_hlth_small_ticket*in_hlth_small_comm*in_ins_partner_share+F201*in_hlth_small_ticket*in_hlth_small_renew_comm*in_ins_partner_share*(in_hlth_small_renew^1*SUMIFS(AF179:AF235,B179:B235,B201-12)+in_hlth_small_renew^2*SUMIFS(AF179:AF235,B179:B235,B201-24)+in_hlth_small_renew^3*SUMIFS(AF179:AF235,B179:B235,B201-36)+in_hlth_small_renew^4*SUMIFS(AF179:AF235,B179:B235,B201-48))</f>
        <v/>
      </c>
      <c r="AH201" s="40">
        <f>AH200*(1-IF(B200&gt;=in_marketplace_from,d_hz_hlth_family*G200,0))</f>
        <v/>
      </c>
      <c r="AI201" s="46">
        <f>AH201*IF(B201&gt;=in_marketplace_from,d_hz_hlth_family*G201,0)</f>
        <v/>
      </c>
      <c r="AJ201" s="14">
        <f>F201*AI201*in_hlth_family_ticket*in_hlth_family_comm*in_ins_partner_share+F201*in_hlth_family_ticket*in_hlth_family_renew_comm*in_ins_partner_share*(in_hlth_family_renew^1*SUMIFS(AI179:AI235,B179:B235,B201-12)+in_hlth_family_renew^2*SUMIFS(AI179:AI235,B179:B235,B201-24)+in_hlth_family_renew^3*SUMIFS(AI179:AI235,B179:B235,B201-36)+in_hlth_family_renew^4*SUMIFS(AI179:AI235,B179:B235,B201-48))</f>
        <v/>
      </c>
      <c r="AK201" s="40">
        <f>AK200*(1-IF(B200&gt;=in_marketplace_from,d_hz_life_term*G200,0))</f>
        <v/>
      </c>
      <c r="AL201" s="46">
        <f>AK201*IF(B201&gt;=in_marketplace_from,d_hz_life_term*G201,0)</f>
        <v/>
      </c>
      <c r="AM201" s="14">
        <f>F201*AL201*in_life_term_ticket*in_life_term_comm*in_ins_partner_share+F201*in_life_term_ticket*in_life_term_renew_comm*in_ins_partner_share*(in_life_term_renew^1*SUMIFS(AL179:AL235,B179:B235,B201-12)+in_life_term_renew^2*SUMIFS(AL179:AL235,B179:B235,B201-24)+in_life_term_renew^3*SUMIFS(AL179:AL235,B179:B235,B201-36)+in_life_term_renew^4*SUMIFS(AL179:AL235,B179:B235,B201-48))</f>
        <v/>
      </c>
      <c r="AN201" s="40">
        <f>AN200*(1-IF(B200&gt;=in_marketplace_from,d_hz_accident*G200,0))</f>
        <v/>
      </c>
      <c r="AO201" s="46">
        <f>AN201*IF(B201&gt;=in_marketplace_from,d_hz_accident*G201,0)</f>
        <v/>
      </c>
      <c r="AP201" s="14">
        <f>F201*AO201*in_accident_ticket*in_accident_comm*in_ins_partner_share+F201*in_accident_ticket*in_accident_renew_comm*in_ins_partner_share*(in_accident_renew^1*SUMIFS(AO179:AO235,B179:B235,B201-12)+in_accident_renew^2*SUMIFS(AO179:AO235,B179:B235,B201-24)+in_accident_renew^3*SUMIFS(AO179:AO235,B179:B235,B201-36)+in_accident_renew^4*SUMIFS(AO179:AO235,B179:B235,B201-48))</f>
        <v/>
      </c>
      <c r="AQ201" s="40">
        <f>AQ200*(1-IF(B200&gt;=in_marketplace_from,d_hz_two_wheeler*G200,0))</f>
        <v/>
      </c>
      <c r="AR201" s="46">
        <f>AQ201*IF(B201&gt;=in_marketplace_from,d_hz_two_wheeler*G201,0)</f>
        <v/>
      </c>
      <c r="AS201" s="14">
        <f>F201*AR201*in_two_wheeler_ticket*in_two_wheeler_comm*in_ins_partner_share+F201*in_two_wheeler_ticket*in_two_wheeler_comm*in_ins_partner_share*(in_two_wheeler_renew^1*SUMIFS(AR179:AR235,B179:B235,B201-12)+in_two_wheeler_renew^2*SUMIFS(AR179:AR235,B179:B235,B201-24)+in_two_wheeler_renew^3*SUMIFS(AR179:AR235,B179:B235,B201-36)+in_two_wheeler_renew^4*SUMIFS(AR179:AR235,B179:B235,B201-48))</f>
        <v/>
      </c>
      <c r="AT201" s="40">
        <f>AT200*(1-IF(B200&gt;=in_marketplace_from,d_hz_device*G200,0))</f>
        <v/>
      </c>
      <c r="AU201" s="14">
        <f>F201*AT201*IF(B201&gt;=in_marketplace_from,d_hz_device*G201,0)*in_device_ticket*in_device_comm*in_ins_partner_share</f>
        <v/>
      </c>
      <c r="AV201" s="40">
        <f>AV200*(1-IF(B200&gt;=in_marketplace_from,d_hz_shop*G200,0))</f>
        <v/>
      </c>
      <c r="AW201" s="46">
        <f>AV201*IF(B201&gt;=in_marketplace_from,d_hz_shop*G201,0)</f>
        <v/>
      </c>
      <c r="AX201" s="14">
        <f>F201*AW201*in_shop_ticket*in_shop_comm*in_ins_partner_share+F201*in_shop_ticket*in_shop_renew_comm*in_ins_partner_share*(in_shop_renew^1*SUMIFS(AW179:AW235,B179:B235,B201-12)+in_shop_renew^2*SUMIFS(AW179:AW235,B179:B235,B201-24)+in_shop_renew^3*SUMIFS(AW179:AW235,B179:B235,B201-36)+in_shop_renew^4*SUMIFS(AW179:AW235,B179:B235,B201-48))</f>
        <v/>
      </c>
      <c r="AY201" s="40">
        <f>AY200*(1-IF(B200&gt;=in_marketplace_from,d_hz_sip*G200,0))</f>
        <v/>
      </c>
      <c r="AZ201" s="40">
        <f>AZ200*d_rho_sip+AY201*IF(B201&gt;=in_marketplace_from,d_hz_sip*G201,0)</f>
        <v/>
      </c>
      <c r="BA201" s="40">
        <f>d_rho_sip*(BA200+AZ200)</f>
        <v/>
      </c>
      <c r="BB201" s="14">
        <f>F201*in_sip_ticket*(BA201+0.5*AZ201)*in_sip_comm/12</f>
        <v/>
      </c>
      <c r="BC201" s="40">
        <f>BC200*(1-IF(B200&gt;=in_marketplace_from,d_hz_choti*G200,0))</f>
        <v/>
      </c>
      <c r="BD201" s="46">
        <f>BC201*IF(B201&gt;=in_marketplace_from,d_hz_choti*G201,0)</f>
        <v/>
      </c>
      <c r="BE201" s="14">
        <f>F201*SUMIFS(BD179:BD235,B179:B235,B201-in_choti_months)*in_choti_renew*in_choti_ticket</f>
        <v/>
      </c>
      <c r="BF201" s="40">
        <f>BF200*(1-IF(B200&gt;=in_marketplace_from,d_hz_nps*G200,0))</f>
        <v/>
      </c>
      <c r="BG201" s="14">
        <f>F201*BF201*IF(B201&gt;=in_marketplace_from,d_hz_nps*G201,0)*in_nps_ticket*in_nps_comm</f>
        <v/>
      </c>
      <c r="BH201" s="40">
        <f>BH200*(1-IF(B200&gt;=in_marketplace_from,d_hz_gold*G200,0))</f>
        <v/>
      </c>
      <c r="BI201" s="40">
        <f>BI200*d_rho_gold+BH201*IF(B201&gt;=in_marketplace_from,d_hz_gold*G201,0)</f>
        <v/>
      </c>
      <c r="BJ201" s="14">
        <f>F201*BI201*in_gold_ticket*in_gold_comm</f>
        <v/>
      </c>
      <c r="BK201" s="40">
        <f>BK200*(1-IF(B200&gt;=in_marketplace_from,d_hz_fd*G200,0))</f>
        <v/>
      </c>
      <c r="BL201" s="14">
        <f>F201*BK201*IF(B201&gt;=in_marketplace_from,d_hz_fd*G201,0)*in_fd_ticket*in_fd_comm</f>
        <v/>
      </c>
      <c r="BM201" s="40">
        <f>BM200*(1-IF(B200&gt;=in_marketplace_from,d_hz_recharge*G200,0))</f>
        <v/>
      </c>
      <c r="BN201" s="40">
        <f>BN200*d_rho_recharge+BM201*IF(B201&gt;=in_marketplace_from,d_hz_recharge*G201,0)</f>
        <v/>
      </c>
      <c r="BO201" s="14">
        <f>F201*BN201*in_recharge_ticket*in_recharge_comm/12</f>
        <v/>
      </c>
      <c r="BP201" s="40">
        <f>BP200*(1-IF(B200&gt;=in_marketplace_from,d_hz_bills*G200,0))</f>
        <v/>
      </c>
      <c r="BQ201" s="40">
        <f>BQ200*d_rho_bills+BP201*IF(B201&gt;=in_marketplace_from,d_hz_bills*G201,0)</f>
        <v/>
      </c>
      <c r="BR201" s="14">
        <f>F201*BQ201*in_bills_ticket*in_bills_comm/12</f>
        <v/>
      </c>
      <c r="BS201" s="40">
        <f>BS200*(1-IF(B200&gt;=in_marketplace_from,d_hz_loan_gold*G200,0))</f>
        <v/>
      </c>
      <c r="BT201" s="14">
        <f>F201*BS201*IF(B201&gt;=in_marketplace_from,d_hz_loan_gold*G201,0)*in_loan_gold_ticket*in_loan_gold_comm</f>
        <v/>
      </c>
      <c r="BU201" s="40">
        <f>BU200*(1-IF(B200&gt;=in_marketplace_from,d_hz_loan_cd*G200,0))</f>
        <v/>
      </c>
      <c r="BV201" s="14">
        <f>F201*BU201*IF(B201&gt;=in_marketplace_from,d_hz_loan_cd*G201,0)*in_loan_cd_ticket*in_loan_cd_comm</f>
        <v/>
      </c>
      <c r="BW201" s="40">
        <f>BW200*(1-IF(B200&gt;=in_marketplace_from,d_hz_loan_vehicle*G200,0))</f>
        <v/>
      </c>
      <c r="BX201" s="14">
        <f>F201*BW201*IF(B201&gt;=in_marketplace_from,d_hz_loan_vehicle*G201,0)*in_loan_vehicle_ticket*in_loan_vehicle_comm</f>
        <v/>
      </c>
      <c r="BY201" s="40">
        <f>BY200*(1-IF(B200&gt;=in_marketplace_from,d_hz_loan_home*G200,0)*BZ200)</f>
        <v/>
      </c>
      <c r="BZ201" s="11">
        <f>MIN(in_approval_cap,in_loan_home_approval*INDEX('Age profile'!$O$2:$O$61,B201)*(1+in_approval_growth)^(D201-1))</f>
        <v/>
      </c>
      <c r="CA201" s="14">
        <f>F201*BY201*IF(B201&gt;=in_marketplace_from,d_hz_loan_home*G201,0)*BZ201*in_loan_home_ticket*in_loan_home_comm</f>
        <v/>
      </c>
      <c r="CB201" s="40">
        <f>CB200*(1-IF(B200&gt;=in_marketplace_from,d_hz_loan_lap*G200,0)*CC200)</f>
        <v/>
      </c>
      <c r="CC201" s="11">
        <f>MIN(in_approval_cap,in_loan_lap_approval*INDEX('Age profile'!$O$2:$O$61,B201)*(1+in_approval_growth)^(D201-1))</f>
        <v/>
      </c>
      <c r="CD201" s="14">
        <f>F201*CB201*IF(B201&gt;=in_marketplace_from,d_hz_loan_lap*G201,0)*CC201*in_loan_lap_ticket*in_loan_lap_comm</f>
        <v/>
      </c>
      <c r="CE201" s="14">
        <f>AA201+AB201+AC201+AD201+AG201+AJ201+AM201+AP201+AS201+AU201+AX201+BB201+BE201+BG201+BJ201+BL201+BO201+BR201+BT201+BV201+BX201+CA201+CD201</f>
        <v/>
      </c>
    </row>
    <row r="202">
      <c r="A202" s="39" t="n">
        <v>4</v>
      </c>
      <c r="B202" s="39" t="n">
        <v>24</v>
      </c>
      <c r="C202" s="39">
        <f>A202+B202-1</f>
        <v/>
      </c>
      <c r="D202" s="39">
        <f>INT((C202-1)/12)+1</f>
        <v/>
      </c>
      <c r="E202" s="44">
        <f>INDEX(Monthly!$B$2:$B$61,A202)</f>
        <v/>
      </c>
      <c r="F202" s="44">
        <f>E202*INDEX('Age profile'!$B$2:$B$61,B202)</f>
        <v/>
      </c>
      <c r="G202" s="45">
        <f>MIN(in_takeup_cap,INDEX('Age profile'!$N$2:$N$61,B202)*(1+in_takeup_growth)^(D202-1))</f>
        <v/>
      </c>
      <c r="H202" s="11">
        <f>MIN(in_approval_cap,in_approved_first*INDEX('Age profile'!$O$2:$O$61,B202)*(1+in_approval_growth)^(D202-1))</f>
        <v/>
      </c>
      <c r="I202" s="45">
        <f>G202*MIN(in_takeup_cap,INDEX('Age profile'!$O$2:$O$61,B202)*(1+in_approval_growth)^(D202-1))</f>
        <v/>
      </c>
      <c r="J202" s="40">
        <f>(J201-L201)*F202/F201</f>
        <v/>
      </c>
      <c r="K202" s="40">
        <f>(K201-M201)*F202/F201+SUMIFS(O179:O201,B179:B201,B202-1-d_T)*F202</f>
        <v/>
      </c>
      <c r="L202" s="40">
        <f>IF(B202&gt;=in_marketplace_from,J202*d_hz*G202*in_eligible*H202,0)</f>
        <v/>
      </c>
      <c r="M202" s="40">
        <f>IF(B202&gt;=in_marketplace_from,K202*d_hz*G202*in_eligible*in_approved_repeat,0)</f>
        <v/>
      </c>
      <c r="N202" s="40">
        <f>L202+M202</f>
        <v/>
      </c>
      <c r="O202" s="46">
        <f>N202/F202</f>
        <v/>
      </c>
      <c r="P202" s="40">
        <f>F202-J202-K202</f>
        <v/>
      </c>
      <c r="Q202" s="40">
        <f>IF(B202&gt;=in_marketplace_from,(J202+K202)*d_hz*G202,0)</f>
        <v/>
      </c>
      <c r="R202" s="40">
        <f>SUMIFS(N179:N235,B179:B235,"&gt;="&amp;(B202-d_T),B179:B235,"&lt;="&amp;(B202-1))</f>
        <v/>
      </c>
      <c r="S202" s="46">
        <f>(1-d_u)*S201+IF(d_T&gt;in_topup_lag,SUMIFS(O179:O235,B179:B235,B202-in_topup_lag)-d_udrop*SUMIFS(O179:O235,B179:B235,B202-d_T),0)</f>
        <v/>
      </c>
      <c r="T202" s="40">
        <f>F202*d_u*S202</f>
        <v/>
      </c>
      <c r="U202" s="9">
        <f>L202*in_ticket+M202*d_rep_ticket</f>
        <v/>
      </c>
      <c r="V202" s="9">
        <f>U202+T202*d_topup_amt</f>
        <v/>
      </c>
      <c r="W202" s="40">
        <f>N202+T202*d_topup_ratio</f>
        <v/>
      </c>
      <c r="X202" s="40">
        <f>SUMIFS(W179:W235,B179:B235,B202-in_dpd_lag)*d_cured</f>
        <v/>
      </c>
      <c r="Y202" s="40">
        <f>SUMIFS(W179:W235,B179:B235,B202-in_rec_lag)*d_recd</f>
        <v/>
      </c>
      <c r="Z202" s="40">
        <f>IF(AND(B202&gt;=in_marketplace_from,B202&lt;in_marketplace_from+in_card_months),in_card_share/in_card_months*F202*I202,IF(AND(B202&gt;=in_marketplace_from+in_card_months,B202&lt;in_marketplace_from+2*in_card_months),in_card_share*d_card_rem/in_card_months*F202*MIN(in_takeup_cap,(1+in_takeup_growth)^(D202-1))*MIN(in_takeup_cap,(1+in_approval_growth)^(D202-1)),0))</f>
        <v/>
      </c>
      <c r="AA202" s="14">
        <f>V202*in_fee*(1-in_taken_back)</f>
        <v/>
      </c>
      <c r="AB202" s="14">
        <f>SUMIFS(W179:W235,B179:B235,B202-in_dpd_lag)*d_dpd</f>
        <v/>
      </c>
      <c r="AC202" s="14">
        <f>SUMIFS(W179:W235,B179:B235,B202-in_rec_lag)*d_rec</f>
        <v/>
      </c>
      <c r="AD202" s="14">
        <f>Z202*in_card_fee</f>
        <v/>
      </c>
      <c r="AE202" s="40">
        <f>AE201*(1-IF(B201&gt;=in_marketplace_from,d_hz_hlth_small*G201,0))</f>
        <v/>
      </c>
      <c r="AF202" s="46">
        <f>AE202*IF(B202&gt;=in_marketplace_from,d_hz_hlth_small*G202,0)</f>
        <v/>
      </c>
      <c r="AG202" s="14">
        <f>F202*AF202*in_hlth_small_ticket*in_hlth_small_comm*in_ins_partner_share+F202*in_hlth_small_ticket*in_hlth_small_renew_comm*in_ins_partner_share*(in_hlth_small_renew^1*SUMIFS(AF179:AF235,B179:B235,B202-12)+in_hlth_small_renew^2*SUMIFS(AF179:AF235,B179:B235,B202-24)+in_hlth_small_renew^3*SUMIFS(AF179:AF235,B179:B235,B202-36)+in_hlth_small_renew^4*SUMIFS(AF179:AF235,B179:B235,B202-48))</f>
        <v/>
      </c>
      <c r="AH202" s="40">
        <f>AH201*(1-IF(B201&gt;=in_marketplace_from,d_hz_hlth_family*G201,0))</f>
        <v/>
      </c>
      <c r="AI202" s="46">
        <f>AH202*IF(B202&gt;=in_marketplace_from,d_hz_hlth_family*G202,0)</f>
        <v/>
      </c>
      <c r="AJ202" s="14">
        <f>F202*AI202*in_hlth_family_ticket*in_hlth_family_comm*in_ins_partner_share+F202*in_hlth_family_ticket*in_hlth_family_renew_comm*in_ins_partner_share*(in_hlth_family_renew^1*SUMIFS(AI179:AI235,B179:B235,B202-12)+in_hlth_family_renew^2*SUMIFS(AI179:AI235,B179:B235,B202-24)+in_hlth_family_renew^3*SUMIFS(AI179:AI235,B179:B235,B202-36)+in_hlth_family_renew^4*SUMIFS(AI179:AI235,B179:B235,B202-48))</f>
        <v/>
      </c>
      <c r="AK202" s="40">
        <f>AK201*(1-IF(B201&gt;=in_marketplace_from,d_hz_life_term*G201,0))</f>
        <v/>
      </c>
      <c r="AL202" s="46">
        <f>AK202*IF(B202&gt;=in_marketplace_from,d_hz_life_term*G202,0)</f>
        <v/>
      </c>
      <c r="AM202" s="14">
        <f>F202*AL202*in_life_term_ticket*in_life_term_comm*in_ins_partner_share+F202*in_life_term_ticket*in_life_term_renew_comm*in_ins_partner_share*(in_life_term_renew^1*SUMIFS(AL179:AL235,B179:B235,B202-12)+in_life_term_renew^2*SUMIFS(AL179:AL235,B179:B235,B202-24)+in_life_term_renew^3*SUMIFS(AL179:AL235,B179:B235,B202-36)+in_life_term_renew^4*SUMIFS(AL179:AL235,B179:B235,B202-48))</f>
        <v/>
      </c>
      <c r="AN202" s="40">
        <f>AN201*(1-IF(B201&gt;=in_marketplace_from,d_hz_accident*G201,0))</f>
        <v/>
      </c>
      <c r="AO202" s="46">
        <f>AN202*IF(B202&gt;=in_marketplace_from,d_hz_accident*G202,0)</f>
        <v/>
      </c>
      <c r="AP202" s="14">
        <f>F202*AO202*in_accident_ticket*in_accident_comm*in_ins_partner_share+F202*in_accident_ticket*in_accident_renew_comm*in_ins_partner_share*(in_accident_renew^1*SUMIFS(AO179:AO235,B179:B235,B202-12)+in_accident_renew^2*SUMIFS(AO179:AO235,B179:B235,B202-24)+in_accident_renew^3*SUMIFS(AO179:AO235,B179:B235,B202-36)+in_accident_renew^4*SUMIFS(AO179:AO235,B179:B235,B202-48))</f>
        <v/>
      </c>
      <c r="AQ202" s="40">
        <f>AQ201*(1-IF(B201&gt;=in_marketplace_from,d_hz_two_wheeler*G201,0))</f>
        <v/>
      </c>
      <c r="AR202" s="46">
        <f>AQ202*IF(B202&gt;=in_marketplace_from,d_hz_two_wheeler*G202,0)</f>
        <v/>
      </c>
      <c r="AS202" s="14">
        <f>F202*AR202*in_two_wheeler_ticket*in_two_wheeler_comm*in_ins_partner_share+F202*in_two_wheeler_ticket*in_two_wheeler_comm*in_ins_partner_share*(in_two_wheeler_renew^1*SUMIFS(AR179:AR235,B179:B235,B202-12)+in_two_wheeler_renew^2*SUMIFS(AR179:AR235,B179:B235,B202-24)+in_two_wheeler_renew^3*SUMIFS(AR179:AR235,B179:B235,B202-36)+in_two_wheeler_renew^4*SUMIFS(AR179:AR235,B179:B235,B202-48))</f>
        <v/>
      </c>
      <c r="AT202" s="40">
        <f>AT201*(1-IF(B201&gt;=in_marketplace_from,d_hz_device*G201,0))</f>
        <v/>
      </c>
      <c r="AU202" s="14">
        <f>F202*AT202*IF(B202&gt;=in_marketplace_from,d_hz_device*G202,0)*in_device_ticket*in_device_comm*in_ins_partner_share</f>
        <v/>
      </c>
      <c r="AV202" s="40">
        <f>AV201*(1-IF(B201&gt;=in_marketplace_from,d_hz_shop*G201,0))</f>
        <v/>
      </c>
      <c r="AW202" s="46">
        <f>AV202*IF(B202&gt;=in_marketplace_from,d_hz_shop*G202,0)</f>
        <v/>
      </c>
      <c r="AX202" s="14">
        <f>F202*AW202*in_shop_ticket*in_shop_comm*in_ins_partner_share+F202*in_shop_ticket*in_shop_renew_comm*in_ins_partner_share*(in_shop_renew^1*SUMIFS(AW179:AW235,B179:B235,B202-12)+in_shop_renew^2*SUMIFS(AW179:AW235,B179:B235,B202-24)+in_shop_renew^3*SUMIFS(AW179:AW235,B179:B235,B202-36)+in_shop_renew^4*SUMIFS(AW179:AW235,B179:B235,B202-48))</f>
        <v/>
      </c>
      <c r="AY202" s="40">
        <f>AY201*(1-IF(B201&gt;=in_marketplace_from,d_hz_sip*G201,0))</f>
        <v/>
      </c>
      <c r="AZ202" s="40">
        <f>AZ201*d_rho_sip+AY202*IF(B202&gt;=in_marketplace_from,d_hz_sip*G202,0)</f>
        <v/>
      </c>
      <c r="BA202" s="40">
        <f>d_rho_sip*(BA201+AZ201)</f>
        <v/>
      </c>
      <c r="BB202" s="14">
        <f>F202*in_sip_ticket*(BA202+0.5*AZ202)*in_sip_comm/12</f>
        <v/>
      </c>
      <c r="BC202" s="40">
        <f>BC201*(1-IF(B201&gt;=in_marketplace_from,d_hz_choti*G201,0))</f>
        <v/>
      </c>
      <c r="BD202" s="46">
        <f>BC202*IF(B202&gt;=in_marketplace_from,d_hz_choti*G202,0)</f>
        <v/>
      </c>
      <c r="BE202" s="14">
        <f>F202*SUMIFS(BD179:BD235,B179:B235,B202-in_choti_months)*in_choti_renew*in_choti_ticket</f>
        <v/>
      </c>
      <c r="BF202" s="40">
        <f>BF201*(1-IF(B201&gt;=in_marketplace_from,d_hz_nps*G201,0))</f>
        <v/>
      </c>
      <c r="BG202" s="14">
        <f>F202*BF202*IF(B202&gt;=in_marketplace_from,d_hz_nps*G202,0)*in_nps_ticket*in_nps_comm</f>
        <v/>
      </c>
      <c r="BH202" s="40">
        <f>BH201*(1-IF(B201&gt;=in_marketplace_from,d_hz_gold*G201,0))</f>
        <v/>
      </c>
      <c r="BI202" s="40">
        <f>BI201*d_rho_gold+BH202*IF(B202&gt;=in_marketplace_from,d_hz_gold*G202,0)</f>
        <v/>
      </c>
      <c r="BJ202" s="14">
        <f>F202*BI202*in_gold_ticket*in_gold_comm</f>
        <v/>
      </c>
      <c r="BK202" s="40">
        <f>BK201*(1-IF(B201&gt;=in_marketplace_from,d_hz_fd*G201,0))</f>
        <v/>
      </c>
      <c r="BL202" s="14">
        <f>F202*BK202*IF(B202&gt;=in_marketplace_from,d_hz_fd*G202,0)*in_fd_ticket*in_fd_comm</f>
        <v/>
      </c>
      <c r="BM202" s="40">
        <f>BM201*(1-IF(B201&gt;=in_marketplace_from,d_hz_recharge*G201,0))</f>
        <v/>
      </c>
      <c r="BN202" s="40">
        <f>BN201*d_rho_recharge+BM202*IF(B202&gt;=in_marketplace_from,d_hz_recharge*G202,0)</f>
        <v/>
      </c>
      <c r="BO202" s="14">
        <f>F202*BN202*in_recharge_ticket*in_recharge_comm/12</f>
        <v/>
      </c>
      <c r="BP202" s="40">
        <f>BP201*(1-IF(B201&gt;=in_marketplace_from,d_hz_bills*G201,0))</f>
        <v/>
      </c>
      <c r="BQ202" s="40">
        <f>BQ201*d_rho_bills+BP202*IF(B202&gt;=in_marketplace_from,d_hz_bills*G202,0)</f>
        <v/>
      </c>
      <c r="BR202" s="14">
        <f>F202*BQ202*in_bills_ticket*in_bills_comm/12</f>
        <v/>
      </c>
      <c r="BS202" s="40">
        <f>BS201*(1-IF(B201&gt;=in_marketplace_from,d_hz_loan_gold*G201,0))</f>
        <v/>
      </c>
      <c r="BT202" s="14">
        <f>F202*BS202*IF(B202&gt;=in_marketplace_from,d_hz_loan_gold*G202,0)*in_loan_gold_ticket*in_loan_gold_comm</f>
        <v/>
      </c>
      <c r="BU202" s="40">
        <f>BU201*(1-IF(B201&gt;=in_marketplace_from,d_hz_loan_cd*G201,0))</f>
        <v/>
      </c>
      <c r="BV202" s="14">
        <f>F202*BU202*IF(B202&gt;=in_marketplace_from,d_hz_loan_cd*G202,0)*in_loan_cd_ticket*in_loan_cd_comm</f>
        <v/>
      </c>
      <c r="BW202" s="40">
        <f>BW201*(1-IF(B201&gt;=in_marketplace_from,d_hz_loan_vehicle*G201,0))</f>
        <v/>
      </c>
      <c r="BX202" s="14">
        <f>F202*BW202*IF(B202&gt;=in_marketplace_from,d_hz_loan_vehicle*G202,0)*in_loan_vehicle_ticket*in_loan_vehicle_comm</f>
        <v/>
      </c>
      <c r="BY202" s="40">
        <f>BY201*(1-IF(B201&gt;=in_marketplace_from,d_hz_loan_home*G201,0)*BZ201)</f>
        <v/>
      </c>
      <c r="BZ202" s="11">
        <f>MIN(in_approval_cap,in_loan_home_approval*INDEX('Age profile'!$O$2:$O$61,B202)*(1+in_approval_growth)^(D202-1))</f>
        <v/>
      </c>
      <c r="CA202" s="14">
        <f>F202*BY202*IF(B202&gt;=in_marketplace_from,d_hz_loan_home*G202,0)*BZ202*in_loan_home_ticket*in_loan_home_comm</f>
        <v/>
      </c>
      <c r="CB202" s="40">
        <f>CB201*(1-IF(B201&gt;=in_marketplace_from,d_hz_loan_lap*G201,0)*CC201)</f>
        <v/>
      </c>
      <c r="CC202" s="11">
        <f>MIN(in_approval_cap,in_loan_lap_approval*INDEX('Age profile'!$O$2:$O$61,B202)*(1+in_approval_growth)^(D202-1))</f>
        <v/>
      </c>
      <c r="CD202" s="14">
        <f>F202*CB202*IF(B202&gt;=in_marketplace_from,d_hz_loan_lap*G202,0)*CC202*in_loan_lap_ticket*in_loan_lap_comm</f>
        <v/>
      </c>
      <c r="CE202" s="14">
        <f>AA202+AB202+AC202+AD202+AG202+AJ202+AM202+AP202+AS202+AU202+AX202+BB202+BE202+BG202+BJ202+BL202+BO202+BR202+BT202+BV202+BX202+CA202+CD202</f>
        <v/>
      </c>
    </row>
    <row r="203">
      <c r="A203" s="39" t="n">
        <v>4</v>
      </c>
      <c r="B203" s="39" t="n">
        <v>25</v>
      </c>
      <c r="C203" s="39">
        <f>A203+B203-1</f>
        <v/>
      </c>
      <c r="D203" s="39">
        <f>INT((C203-1)/12)+1</f>
        <v/>
      </c>
      <c r="E203" s="44">
        <f>INDEX(Monthly!$B$2:$B$61,A203)</f>
        <v/>
      </c>
      <c r="F203" s="44">
        <f>E203*INDEX('Age profile'!$B$2:$B$61,B203)</f>
        <v/>
      </c>
      <c r="G203" s="45">
        <f>MIN(in_takeup_cap,INDEX('Age profile'!$N$2:$N$61,B203)*(1+in_takeup_growth)^(D203-1))</f>
        <v/>
      </c>
      <c r="H203" s="11">
        <f>MIN(in_approval_cap,in_approved_first*INDEX('Age profile'!$O$2:$O$61,B203)*(1+in_approval_growth)^(D203-1))</f>
        <v/>
      </c>
      <c r="I203" s="45">
        <f>G203*MIN(in_takeup_cap,INDEX('Age profile'!$O$2:$O$61,B203)*(1+in_approval_growth)^(D203-1))</f>
        <v/>
      </c>
      <c r="J203" s="40">
        <f>(J202-L202)*F203/F202</f>
        <v/>
      </c>
      <c r="K203" s="40">
        <f>(K202-M202)*F203/F202+SUMIFS(O179:O202,B179:B202,B203-1-d_T)*F203</f>
        <v/>
      </c>
      <c r="L203" s="40">
        <f>IF(B203&gt;=in_marketplace_from,J203*d_hz*G203*in_eligible*H203,0)</f>
        <v/>
      </c>
      <c r="M203" s="40">
        <f>IF(B203&gt;=in_marketplace_from,K203*d_hz*G203*in_eligible*in_approved_repeat,0)</f>
        <v/>
      </c>
      <c r="N203" s="40">
        <f>L203+M203</f>
        <v/>
      </c>
      <c r="O203" s="46">
        <f>N203/F203</f>
        <v/>
      </c>
      <c r="P203" s="40">
        <f>F203-J203-K203</f>
        <v/>
      </c>
      <c r="Q203" s="40">
        <f>IF(B203&gt;=in_marketplace_from,(J203+K203)*d_hz*G203,0)</f>
        <v/>
      </c>
      <c r="R203" s="40">
        <f>SUMIFS(N179:N235,B179:B235,"&gt;="&amp;(B203-d_T),B179:B235,"&lt;="&amp;(B203-1))</f>
        <v/>
      </c>
      <c r="S203" s="46">
        <f>(1-d_u)*S202+IF(d_T&gt;in_topup_lag,SUMIFS(O179:O235,B179:B235,B203-in_topup_lag)-d_udrop*SUMIFS(O179:O235,B179:B235,B203-d_T),0)</f>
        <v/>
      </c>
      <c r="T203" s="40">
        <f>F203*d_u*S203</f>
        <v/>
      </c>
      <c r="U203" s="9">
        <f>L203*in_ticket+M203*d_rep_ticket</f>
        <v/>
      </c>
      <c r="V203" s="9">
        <f>U203+T203*d_topup_amt</f>
        <v/>
      </c>
      <c r="W203" s="40">
        <f>N203+T203*d_topup_ratio</f>
        <v/>
      </c>
      <c r="X203" s="40">
        <f>SUMIFS(W179:W235,B179:B235,B203-in_dpd_lag)*d_cured</f>
        <v/>
      </c>
      <c r="Y203" s="40">
        <f>SUMIFS(W179:W235,B179:B235,B203-in_rec_lag)*d_recd</f>
        <v/>
      </c>
      <c r="Z203" s="40">
        <f>IF(AND(B203&gt;=in_marketplace_from,B203&lt;in_marketplace_from+in_card_months),in_card_share/in_card_months*F203*I203,IF(AND(B203&gt;=in_marketplace_from+in_card_months,B203&lt;in_marketplace_from+2*in_card_months),in_card_share*d_card_rem/in_card_months*F203*MIN(in_takeup_cap,(1+in_takeup_growth)^(D203-1))*MIN(in_takeup_cap,(1+in_approval_growth)^(D203-1)),0))</f>
        <v/>
      </c>
      <c r="AA203" s="14">
        <f>V203*in_fee*(1-in_taken_back)</f>
        <v/>
      </c>
      <c r="AB203" s="14">
        <f>SUMIFS(W179:W235,B179:B235,B203-in_dpd_lag)*d_dpd</f>
        <v/>
      </c>
      <c r="AC203" s="14">
        <f>SUMIFS(W179:W235,B179:B235,B203-in_rec_lag)*d_rec</f>
        <v/>
      </c>
      <c r="AD203" s="14">
        <f>Z203*in_card_fee</f>
        <v/>
      </c>
      <c r="AE203" s="40">
        <f>AE202*(1-IF(B202&gt;=in_marketplace_from,d_hz_hlth_small*G202,0))</f>
        <v/>
      </c>
      <c r="AF203" s="46">
        <f>AE203*IF(B203&gt;=in_marketplace_from,d_hz_hlth_small*G203,0)</f>
        <v/>
      </c>
      <c r="AG203" s="14">
        <f>F203*AF203*in_hlth_small_ticket*in_hlth_small_comm*in_ins_partner_share+F203*in_hlth_small_ticket*in_hlth_small_renew_comm*in_ins_partner_share*(in_hlth_small_renew^1*SUMIFS(AF179:AF235,B179:B235,B203-12)+in_hlth_small_renew^2*SUMIFS(AF179:AF235,B179:B235,B203-24)+in_hlth_small_renew^3*SUMIFS(AF179:AF235,B179:B235,B203-36)+in_hlth_small_renew^4*SUMIFS(AF179:AF235,B179:B235,B203-48))</f>
        <v/>
      </c>
      <c r="AH203" s="40">
        <f>AH202*(1-IF(B202&gt;=in_marketplace_from,d_hz_hlth_family*G202,0))</f>
        <v/>
      </c>
      <c r="AI203" s="46">
        <f>AH203*IF(B203&gt;=in_marketplace_from,d_hz_hlth_family*G203,0)</f>
        <v/>
      </c>
      <c r="AJ203" s="14">
        <f>F203*AI203*in_hlth_family_ticket*in_hlth_family_comm*in_ins_partner_share+F203*in_hlth_family_ticket*in_hlth_family_renew_comm*in_ins_partner_share*(in_hlth_family_renew^1*SUMIFS(AI179:AI235,B179:B235,B203-12)+in_hlth_family_renew^2*SUMIFS(AI179:AI235,B179:B235,B203-24)+in_hlth_family_renew^3*SUMIFS(AI179:AI235,B179:B235,B203-36)+in_hlth_family_renew^4*SUMIFS(AI179:AI235,B179:B235,B203-48))</f>
        <v/>
      </c>
      <c r="AK203" s="40">
        <f>AK202*(1-IF(B202&gt;=in_marketplace_from,d_hz_life_term*G202,0))</f>
        <v/>
      </c>
      <c r="AL203" s="46">
        <f>AK203*IF(B203&gt;=in_marketplace_from,d_hz_life_term*G203,0)</f>
        <v/>
      </c>
      <c r="AM203" s="14">
        <f>F203*AL203*in_life_term_ticket*in_life_term_comm*in_ins_partner_share+F203*in_life_term_ticket*in_life_term_renew_comm*in_ins_partner_share*(in_life_term_renew^1*SUMIFS(AL179:AL235,B179:B235,B203-12)+in_life_term_renew^2*SUMIFS(AL179:AL235,B179:B235,B203-24)+in_life_term_renew^3*SUMIFS(AL179:AL235,B179:B235,B203-36)+in_life_term_renew^4*SUMIFS(AL179:AL235,B179:B235,B203-48))</f>
        <v/>
      </c>
      <c r="AN203" s="40">
        <f>AN202*(1-IF(B202&gt;=in_marketplace_from,d_hz_accident*G202,0))</f>
        <v/>
      </c>
      <c r="AO203" s="46">
        <f>AN203*IF(B203&gt;=in_marketplace_from,d_hz_accident*G203,0)</f>
        <v/>
      </c>
      <c r="AP203" s="14">
        <f>F203*AO203*in_accident_ticket*in_accident_comm*in_ins_partner_share+F203*in_accident_ticket*in_accident_renew_comm*in_ins_partner_share*(in_accident_renew^1*SUMIFS(AO179:AO235,B179:B235,B203-12)+in_accident_renew^2*SUMIFS(AO179:AO235,B179:B235,B203-24)+in_accident_renew^3*SUMIFS(AO179:AO235,B179:B235,B203-36)+in_accident_renew^4*SUMIFS(AO179:AO235,B179:B235,B203-48))</f>
        <v/>
      </c>
      <c r="AQ203" s="40">
        <f>AQ202*(1-IF(B202&gt;=in_marketplace_from,d_hz_two_wheeler*G202,0))</f>
        <v/>
      </c>
      <c r="AR203" s="46">
        <f>AQ203*IF(B203&gt;=in_marketplace_from,d_hz_two_wheeler*G203,0)</f>
        <v/>
      </c>
      <c r="AS203" s="14">
        <f>F203*AR203*in_two_wheeler_ticket*in_two_wheeler_comm*in_ins_partner_share+F203*in_two_wheeler_ticket*in_two_wheeler_comm*in_ins_partner_share*(in_two_wheeler_renew^1*SUMIFS(AR179:AR235,B179:B235,B203-12)+in_two_wheeler_renew^2*SUMIFS(AR179:AR235,B179:B235,B203-24)+in_two_wheeler_renew^3*SUMIFS(AR179:AR235,B179:B235,B203-36)+in_two_wheeler_renew^4*SUMIFS(AR179:AR235,B179:B235,B203-48))</f>
        <v/>
      </c>
      <c r="AT203" s="40">
        <f>AT202*(1-IF(B202&gt;=in_marketplace_from,d_hz_device*G202,0))</f>
        <v/>
      </c>
      <c r="AU203" s="14">
        <f>F203*AT203*IF(B203&gt;=in_marketplace_from,d_hz_device*G203,0)*in_device_ticket*in_device_comm*in_ins_partner_share</f>
        <v/>
      </c>
      <c r="AV203" s="40">
        <f>AV202*(1-IF(B202&gt;=in_marketplace_from,d_hz_shop*G202,0))</f>
        <v/>
      </c>
      <c r="AW203" s="46">
        <f>AV203*IF(B203&gt;=in_marketplace_from,d_hz_shop*G203,0)</f>
        <v/>
      </c>
      <c r="AX203" s="14">
        <f>F203*AW203*in_shop_ticket*in_shop_comm*in_ins_partner_share+F203*in_shop_ticket*in_shop_renew_comm*in_ins_partner_share*(in_shop_renew^1*SUMIFS(AW179:AW235,B179:B235,B203-12)+in_shop_renew^2*SUMIFS(AW179:AW235,B179:B235,B203-24)+in_shop_renew^3*SUMIFS(AW179:AW235,B179:B235,B203-36)+in_shop_renew^4*SUMIFS(AW179:AW235,B179:B235,B203-48))</f>
        <v/>
      </c>
      <c r="AY203" s="40">
        <f>AY202*(1-IF(B202&gt;=in_marketplace_from,d_hz_sip*G202,0))</f>
        <v/>
      </c>
      <c r="AZ203" s="40">
        <f>AZ202*d_rho_sip+AY203*IF(B203&gt;=in_marketplace_from,d_hz_sip*G203,0)</f>
        <v/>
      </c>
      <c r="BA203" s="40">
        <f>d_rho_sip*(BA202+AZ202)</f>
        <v/>
      </c>
      <c r="BB203" s="14">
        <f>F203*in_sip_ticket*(BA203+0.5*AZ203)*in_sip_comm/12</f>
        <v/>
      </c>
      <c r="BC203" s="40">
        <f>BC202*(1-IF(B202&gt;=in_marketplace_from,d_hz_choti*G202,0))</f>
        <v/>
      </c>
      <c r="BD203" s="46">
        <f>BC203*IF(B203&gt;=in_marketplace_from,d_hz_choti*G203,0)</f>
        <v/>
      </c>
      <c r="BE203" s="14">
        <f>F203*SUMIFS(BD179:BD235,B179:B235,B203-in_choti_months)*in_choti_renew*in_choti_ticket</f>
        <v/>
      </c>
      <c r="BF203" s="40">
        <f>BF202*(1-IF(B202&gt;=in_marketplace_from,d_hz_nps*G202,0))</f>
        <v/>
      </c>
      <c r="BG203" s="14">
        <f>F203*BF203*IF(B203&gt;=in_marketplace_from,d_hz_nps*G203,0)*in_nps_ticket*in_nps_comm</f>
        <v/>
      </c>
      <c r="BH203" s="40">
        <f>BH202*(1-IF(B202&gt;=in_marketplace_from,d_hz_gold*G202,0))</f>
        <v/>
      </c>
      <c r="BI203" s="40">
        <f>BI202*d_rho_gold+BH203*IF(B203&gt;=in_marketplace_from,d_hz_gold*G203,0)</f>
        <v/>
      </c>
      <c r="BJ203" s="14">
        <f>F203*BI203*in_gold_ticket*in_gold_comm</f>
        <v/>
      </c>
      <c r="BK203" s="40">
        <f>BK202*(1-IF(B202&gt;=in_marketplace_from,d_hz_fd*G202,0))</f>
        <v/>
      </c>
      <c r="BL203" s="14">
        <f>F203*BK203*IF(B203&gt;=in_marketplace_from,d_hz_fd*G203,0)*in_fd_ticket*in_fd_comm</f>
        <v/>
      </c>
      <c r="BM203" s="40">
        <f>BM202*(1-IF(B202&gt;=in_marketplace_from,d_hz_recharge*G202,0))</f>
        <v/>
      </c>
      <c r="BN203" s="40">
        <f>BN202*d_rho_recharge+BM203*IF(B203&gt;=in_marketplace_from,d_hz_recharge*G203,0)</f>
        <v/>
      </c>
      <c r="BO203" s="14">
        <f>F203*BN203*in_recharge_ticket*in_recharge_comm/12</f>
        <v/>
      </c>
      <c r="BP203" s="40">
        <f>BP202*(1-IF(B202&gt;=in_marketplace_from,d_hz_bills*G202,0))</f>
        <v/>
      </c>
      <c r="BQ203" s="40">
        <f>BQ202*d_rho_bills+BP203*IF(B203&gt;=in_marketplace_from,d_hz_bills*G203,0)</f>
        <v/>
      </c>
      <c r="BR203" s="14">
        <f>F203*BQ203*in_bills_ticket*in_bills_comm/12</f>
        <v/>
      </c>
      <c r="BS203" s="40">
        <f>BS202*(1-IF(B202&gt;=in_marketplace_from,d_hz_loan_gold*G202,0))</f>
        <v/>
      </c>
      <c r="BT203" s="14">
        <f>F203*BS203*IF(B203&gt;=in_marketplace_from,d_hz_loan_gold*G203,0)*in_loan_gold_ticket*in_loan_gold_comm</f>
        <v/>
      </c>
      <c r="BU203" s="40">
        <f>BU202*(1-IF(B202&gt;=in_marketplace_from,d_hz_loan_cd*G202,0))</f>
        <v/>
      </c>
      <c r="BV203" s="14">
        <f>F203*BU203*IF(B203&gt;=in_marketplace_from,d_hz_loan_cd*G203,0)*in_loan_cd_ticket*in_loan_cd_comm</f>
        <v/>
      </c>
      <c r="BW203" s="40">
        <f>BW202*(1-IF(B202&gt;=in_marketplace_from,d_hz_loan_vehicle*G202,0))</f>
        <v/>
      </c>
      <c r="BX203" s="14">
        <f>F203*BW203*IF(B203&gt;=in_marketplace_from,d_hz_loan_vehicle*G203,0)*in_loan_vehicle_ticket*in_loan_vehicle_comm</f>
        <v/>
      </c>
      <c r="BY203" s="40">
        <f>BY202*(1-IF(B202&gt;=in_marketplace_from,d_hz_loan_home*G202,0)*BZ202)</f>
        <v/>
      </c>
      <c r="BZ203" s="11">
        <f>MIN(in_approval_cap,in_loan_home_approval*INDEX('Age profile'!$O$2:$O$61,B203)*(1+in_approval_growth)^(D203-1))</f>
        <v/>
      </c>
      <c r="CA203" s="14">
        <f>F203*BY203*IF(B203&gt;=in_marketplace_from,d_hz_loan_home*G203,0)*BZ203*in_loan_home_ticket*in_loan_home_comm</f>
        <v/>
      </c>
      <c r="CB203" s="40">
        <f>CB202*(1-IF(B202&gt;=in_marketplace_from,d_hz_loan_lap*G202,0)*CC202)</f>
        <v/>
      </c>
      <c r="CC203" s="11">
        <f>MIN(in_approval_cap,in_loan_lap_approval*INDEX('Age profile'!$O$2:$O$61,B203)*(1+in_approval_growth)^(D203-1))</f>
        <v/>
      </c>
      <c r="CD203" s="14">
        <f>F203*CB203*IF(B203&gt;=in_marketplace_from,d_hz_loan_lap*G203,0)*CC203*in_loan_lap_ticket*in_loan_lap_comm</f>
        <v/>
      </c>
      <c r="CE203" s="14">
        <f>AA203+AB203+AC203+AD203+AG203+AJ203+AM203+AP203+AS203+AU203+AX203+BB203+BE203+BG203+BJ203+BL203+BO203+BR203+BT203+BV203+BX203+CA203+CD203</f>
        <v/>
      </c>
    </row>
    <row r="204">
      <c r="A204" s="39" t="n">
        <v>4</v>
      </c>
      <c r="B204" s="39" t="n">
        <v>26</v>
      </c>
      <c r="C204" s="39">
        <f>A204+B204-1</f>
        <v/>
      </c>
      <c r="D204" s="39">
        <f>INT((C204-1)/12)+1</f>
        <v/>
      </c>
      <c r="E204" s="44">
        <f>INDEX(Monthly!$B$2:$B$61,A204)</f>
        <v/>
      </c>
      <c r="F204" s="44">
        <f>E204*INDEX('Age profile'!$B$2:$B$61,B204)</f>
        <v/>
      </c>
      <c r="G204" s="45">
        <f>MIN(in_takeup_cap,INDEX('Age profile'!$N$2:$N$61,B204)*(1+in_takeup_growth)^(D204-1))</f>
        <v/>
      </c>
      <c r="H204" s="11">
        <f>MIN(in_approval_cap,in_approved_first*INDEX('Age profile'!$O$2:$O$61,B204)*(1+in_approval_growth)^(D204-1))</f>
        <v/>
      </c>
      <c r="I204" s="45">
        <f>G204*MIN(in_takeup_cap,INDEX('Age profile'!$O$2:$O$61,B204)*(1+in_approval_growth)^(D204-1))</f>
        <v/>
      </c>
      <c r="J204" s="40">
        <f>(J203-L203)*F204/F203</f>
        <v/>
      </c>
      <c r="K204" s="40">
        <f>(K203-M203)*F204/F203+SUMIFS(O179:O203,B179:B203,B204-1-d_T)*F204</f>
        <v/>
      </c>
      <c r="L204" s="40">
        <f>IF(B204&gt;=in_marketplace_from,J204*d_hz*G204*in_eligible*H204,0)</f>
        <v/>
      </c>
      <c r="M204" s="40">
        <f>IF(B204&gt;=in_marketplace_from,K204*d_hz*G204*in_eligible*in_approved_repeat,0)</f>
        <v/>
      </c>
      <c r="N204" s="40">
        <f>L204+M204</f>
        <v/>
      </c>
      <c r="O204" s="46">
        <f>N204/F204</f>
        <v/>
      </c>
      <c r="P204" s="40">
        <f>F204-J204-K204</f>
        <v/>
      </c>
      <c r="Q204" s="40">
        <f>IF(B204&gt;=in_marketplace_from,(J204+K204)*d_hz*G204,0)</f>
        <v/>
      </c>
      <c r="R204" s="40">
        <f>SUMIFS(N179:N235,B179:B235,"&gt;="&amp;(B204-d_T),B179:B235,"&lt;="&amp;(B204-1))</f>
        <v/>
      </c>
      <c r="S204" s="46">
        <f>(1-d_u)*S203+IF(d_T&gt;in_topup_lag,SUMIFS(O179:O235,B179:B235,B204-in_topup_lag)-d_udrop*SUMIFS(O179:O235,B179:B235,B204-d_T),0)</f>
        <v/>
      </c>
      <c r="T204" s="40">
        <f>F204*d_u*S204</f>
        <v/>
      </c>
      <c r="U204" s="9">
        <f>L204*in_ticket+M204*d_rep_ticket</f>
        <v/>
      </c>
      <c r="V204" s="9">
        <f>U204+T204*d_topup_amt</f>
        <v/>
      </c>
      <c r="W204" s="40">
        <f>N204+T204*d_topup_ratio</f>
        <v/>
      </c>
      <c r="X204" s="40">
        <f>SUMIFS(W179:W235,B179:B235,B204-in_dpd_lag)*d_cured</f>
        <v/>
      </c>
      <c r="Y204" s="40">
        <f>SUMIFS(W179:W235,B179:B235,B204-in_rec_lag)*d_recd</f>
        <v/>
      </c>
      <c r="Z204" s="40">
        <f>IF(AND(B204&gt;=in_marketplace_from,B204&lt;in_marketplace_from+in_card_months),in_card_share/in_card_months*F204*I204,IF(AND(B204&gt;=in_marketplace_from+in_card_months,B204&lt;in_marketplace_from+2*in_card_months),in_card_share*d_card_rem/in_card_months*F204*MIN(in_takeup_cap,(1+in_takeup_growth)^(D204-1))*MIN(in_takeup_cap,(1+in_approval_growth)^(D204-1)),0))</f>
        <v/>
      </c>
      <c r="AA204" s="14">
        <f>V204*in_fee*(1-in_taken_back)</f>
        <v/>
      </c>
      <c r="AB204" s="14">
        <f>SUMIFS(W179:W235,B179:B235,B204-in_dpd_lag)*d_dpd</f>
        <v/>
      </c>
      <c r="AC204" s="14">
        <f>SUMIFS(W179:W235,B179:B235,B204-in_rec_lag)*d_rec</f>
        <v/>
      </c>
      <c r="AD204" s="14">
        <f>Z204*in_card_fee</f>
        <v/>
      </c>
      <c r="AE204" s="40">
        <f>AE203*(1-IF(B203&gt;=in_marketplace_from,d_hz_hlth_small*G203,0))</f>
        <v/>
      </c>
      <c r="AF204" s="46">
        <f>AE204*IF(B204&gt;=in_marketplace_from,d_hz_hlth_small*G204,0)</f>
        <v/>
      </c>
      <c r="AG204" s="14">
        <f>F204*AF204*in_hlth_small_ticket*in_hlth_small_comm*in_ins_partner_share+F204*in_hlth_small_ticket*in_hlth_small_renew_comm*in_ins_partner_share*(in_hlth_small_renew^1*SUMIFS(AF179:AF235,B179:B235,B204-12)+in_hlth_small_renew^2*SUMIFS(AF179:AF235,B179:B235,B204-24)+in_hlth_small_renew^3*SUMIFS(AF179:AF235,B179:B235,B204-36)+in_hlth_small_renew^4*SUMIFS(AF179:AF235,B179:B235,B204-48))</f>
        <v/>
      </c>
      <c r="AH204" s="40">
        <f>AH203*(1-IF(B203&gt;=in_marketplace_from,d_hz_hlth_family*G203,0))</f>
        <v/>
      </c>
      <c r="AI204" s="46">
        <f>AH204*IF(B204&gt;=in_marketplace_from,d_hz_hlth_family*G204,0)</f>
        <v/>
      </c>
      <c r="AJ204" s="14">
        <f>F204*AI204*in_hlth_family_ticket*in_hlth_family_comm*in_ins_partner_share+F204*in_hlth_family_ticket*in_hlth_family_renew_comm*in_ins_partner_share*(in_hlth_family_renew^1*SUMIFS(AI179:AI235,B179:B235,B204-12)+in_hlth_family_renew^2*SUMIFS(AI179:AI235,B179:B235,B204-24)+in_hlth_family_renew^3*SUMIFS(AI179:AI235,B179:B235,B204-36)+in_hlth_family_renew^4*SUMIFS(AI179:AI235,B179:B235,B204-48))</f>
        <v/>
      </c>
      <c r="AK204" s="40">
        <f>AK203*(1-IF(B203&gt;=in_marketplace_from,d_hz_life_term*G203,0))</f>
        <v/>
      </c>
      <c r="AL204" s="46">
        <f>AK204*IF(B204&gt;=in_marketplace_from,d_hz_life_term*G204,0)</f>
        <v/>
      </c>
      <c r="AM204" s="14">
        <f>F204*AL204*in_life_term_ticket*in_life_term_comm*in_ins_partner_share+F204*in_life_term_ticket*in_life_term_renew_comm*in_ins_partner_share*(in_life_term_renew^1*SUMIFS(AL179:AL235,B179:B235,B204-12)+in_life_term_renew^2*SUMIFS(AL179:AL235,B179:B235,B204-24)+in_life_term_renew^3*SUMIFS(AL179:AL235,B179:B235,B204-36)+in_life_term_renew^4*SUMIFS(AL179:AL235,B179:B235,B204-48))</f>
        <v/>
      </c>
      <c r="AN204" s="40">
        <f>AN203*(1-IF(B203&gt;=in_marketplace_from,d_hz_accident*G203,0))</f>
        <v/>
      </c>
      <c r="AO204" s="46">
        <f>AN204*IF(B204&gt;=in_marketplace_from,d_hz_accident*G204,0)</f>
        <v/>
      </c>
      <c r="AP204" s="14">
        <f>F204*AO204*in_accident_ticket*in_accident_comm*in_ins_partner_share+F204*in_accident_ticket*in_accident_renew_comm*in_ins_partner_share*(in_accident_renew^1*SUMIFS(AO179:AO235,B179:B235,B204-12)+in_accident_renew^2*SUMIFS(AO179:AO235,B179:B235,B204-24)+in_accident_renew^3*SUMIFS(AO179:AO235,B179:B235,B204-36)+in_accident_renew^4*SUMIFS(AO179:AO235,B179:B235,B204-48))</f>
        <v/>
      </c>
      <c r="AQ204" s="40">
        <f>AQ203*(1-IF(B203&gt;=in_marketplace_from,d_hz_two_wheeler*G203,0))</f>
        <v/>
      </c>
      <c r="AR204" s="46">
        <f>AQ204*IF(B204&gt;=in_marketplace_from,d_hz_two_wheeler*G204,0)</f>
        <v/>
      </c>
      <c r="AS204" s="14">
        <f>F204*AR204*in_two_wheeler_ticket*in_two_wheeler_comm*in_ins_partner_share+F204*in_two_wheeler_ticket*in_two_wheeler_comm*in_ins_partner_share*(in_two_wheeler_renew^1*SUMIFS(AR179:AR235,B179:B235,B204-12)+in_two_wheeler_renew^2*SUMIFS(AR179:AR235,B179:B235,B204-24)+in_two_wheeler_renew^3*SUMIFS(AR179:AR235,B179:B235,B204-36)+in_two_wheeler_renew^4*SUMIFS(AR179:AR235,B179:B235,B204-48))</f>
        <v/>
      </c>
      <c r="AT204" s="40">
        <f>AT203*(1-IF(B203&gt;=in_marketplace_from,d_hz_device*G203,0))</f>
        <v/>
      </c>
      <c r="AU204" s="14">
        <f>F204*AT204*IF(B204&gt;=in_marketplace_from,d_hz_device*G204,0)*in_device_ticket*in_device_comm*in_ins_partner_share</f>
        <v/>
      </c>
      <c r="AV204" s="40">
        <f>AV203*(1-IF(B203&gt;=in_marketplace_from,d_hz_shop*G203,0))</f>
        <v/>
      </c>
      <c r="AW204" s="46">
        <f>AV204*IF(B204&gt;=in_marketplace_from,d_hz_shop*G204,0)</f>
        <v/>
      </c>
      <c r="AX204" s="14">
        <f>F204*AW204*in_shop_ticket*in_shop_comm*in_ins_partner_share+F204*in_shop_ticket*in_shop_renew_comm*in_ins_partner_share*(in_shop_renew^1*SUMIFS(AW179:AW235,B179:B235,B204-12)+in_shop_renew^2*SUMIFS(AW179:AW235,B179:B235,B204-24)+in_shop_renew^3*SUMIFS(AW179:AW235,B179:B235,B204-36)+in_shop_renew^4*SUMIFS(AW179:AW235,B179:B235,B204-48))</f>
        <v/>
      </c>
      <c r="AY204" s="40">
        <f>AY203*(1-IF(B203&gt;=in_marketplace_from,d_hz_sip*G203,0))</f>
        <v/>
      </c>
      <c r="AZ204" s="40">
        <f>AZ203*d_rho_sip+AY204*IF(B204&gt;=in_marketplace_from,d_hz_sip*G204,0)</f>
        <v/>
      </c>
      <c r="BA204" s="40">
        <f>d_rho_sip*(BA203+AZ203)</f>
        <v/>
      </c>
      <c r="BB204" s="14">
        <f>F204*in_sip_ticket*(BA204+0.5*AZ204)*in_sip_comm/12</f>
        <v/>
      </c>
      <c r="BC204" s="40">
        <f>BC203*(1-IF(B203&gt;=in_marketplace_from,d_hz_choti*G203,0))</f>
        <v/>
      </c>
      <c r="BD204" s="46">
        <f>BC204*IF(B204&gt;=in_marketplace_from,d_hz_choti*G204,0)</f>
        <v/>
      </c>
      <c r="BE204" s="14">
        <f>F204*SUMIFS(BD179:BD235,B179:B235,B204-in_choti_months)*in_choti_renew*in_choti_ticket</f>
        <v/>
      </c>
      <c r="BF204" s="40">
        <f>BF203*(1-IF(B203&gt;=in_marketplace_from,d_hz_nps*G203,0))</f>
        <v/>
      </c>
      <c r="BG204" s="14">
        <f>F204*BF204*IF(B204&gt;=in_marketplace_from,d_hz_nps*G204,0)*in_nps_ticket*in_nps_comm</f>
        <v/>
      </c>
      <c r="BH204" s="40">
        <f>BH203*(1-IF(B203&gt;=in_marketplace_from,d_hz_gold*G203,0))</f>
        <v/>
      </c>
      <c r="BI204" s="40">
        <f>BI203*d_rho_gold+BH204*IF(B204&gt;=in_marketplace_from,d_hz_gold*G204,0)</f>
        <v/>
      </c>
      <c r="BJ204" s="14">
        <f>F204*BI204*in_gold_ticket*in_gold_comm</f>
        <v/>
      </c>
      <c r="BK204" s="40">
        <f>BK203*(1-IF(B203&gt;=in_marketplace_from,d_hz_fd*G203,0))</f>
        <v/>
      </c>
      <c r="BL204" s="14">
        <f>F204*BK204*IF(B204&gt;=in_marketplace_from,d_hz_fd*G204,0)*in_fd_ticket*in_fd_comm</f>
        <v/>
      </c>
      <c r="BM204" s="40">
        <f>BM203*(1-IF(B203&gt;=in_marketplace_from,d_hz_recharge*G203,0))</f>
        <v/>
      </c>
      <c r="BN204" s="40">
        <f>BN203*d_rho_recharge+BM204*IF(B204&gt;=in_marketplace_from,d_hz_recharge*G204,0)</f>
        <v/>
      </c>
      <c r="BO204" s="14">
        <f>F204*BN204*in_recharge_ticket*in_recharge_comm/12</f>
        <v/>
      </c>
      <c r="BP204" s="40">
        <f>BP203*(1-IF(B203&gt;=in_marketplace_from,d_hz_bills*G203,0))</f>
        <v/>
      </c>
      <c r="BQ204" s="40">
        <f>BQ203*d_rho_bills+BP204*IF(B204&gt;=in_marketplace_from,d_hz_bills*G204,0)</f>
        <v/>
      </c>
      <c r="BR204" s="14">
        <f>F204*BQ204*in_bills_ticket*in_bills_comm/12</f>
        <v/>
      </c>
      <c r="BS204" s="40">
        <f>BS203*(1-IF(B203&gt;=in_marketplace_from,d_hz_loan_gold*G203,0))</f>
        <v/>
      </c>
      <c r="BT204" s="14">
        <f>F204*BS204*IF(B204&gt;=in_marketplace_from,d_hz_loan_gold*G204,0)*in_loan_gold_ticket*in_loan_gold_comm</f>
        <v/>
      </c>
      <c r="BU204" s="40">
        <f>BU203*(1-IF(B203&gt;=in_marketplace_from,d_hz_loan_cd*G203,0))</f>
        <v/>
      </c>
      <c r="BV204" s="14">
        <f>F204*BU204*IF(B204&gt;=in_marketplace_from,d_hz_loan_cd*G204,0)*in_loan_cd_ticket*in_loan_cd_comm</f>
        <v/>
      </c>
      <c r="BW204" s="40">
        <f>BW203*(1-IF(B203&gt;=in_marketplace_from,d_hz_loan_vehicle*G203,0))</f>
        <v/>
      </c>
      <c r="BX204" s="14">
        <f>F204*BW204*IF(B204&gt;=in_marketplace_from,d_hz_loan_vehicle*G204,0)*in_loan_vehicle_ticket*in_loan_vehicle_comm</f>
        <v/>
      </c>
      <c r="BY204" s="40">
        <f>BY203*(1-IF(B203&gt;=in_marketplace_from,d_hz_loan_home*G203,0)*BZ203)</f>
        <v/>
      </c>
      <c r="BZ204" s="11">
        <f>MIN(in_approval_cap,in_loan_home_approval*INDEX('Age profile'!$O$2:$O$61,B204)*(1+in_approval_growth)^(D204-1))</f>
        <v/>
      </c>
      <c r="CA204" s="14">
        <f>F204*BY204*IF(B204&gt;=in_marketplace_from,d_hz_loan_home*G204,0)*BZ204*in_loan_home_ticket*in_loan_home_comm</f>
        <v/>
      </c>
      <c r="CB204" s="40">
        <f>CB203*(1-IF(B203&gt;=in_marketplace_from,d_hz_loan_lap*G203,0)*CC203)</f>
        <v/>
      </c>
      <c r="CC204" s="11">
        <f>MIN(in_approval_cap,in_loan_lap_approval*INDEX('Age profile'!$O$2:$O$61,B204)*(1+in_approval_growth)^(D204-1))</f>
        <v/>
      </c>
      <c r="CD204" s="14">
        <f>F204*CB204*IF(B204&gt;=in_marketplace_from,d_hz_loan_lap*G204,0)*CC204*in_loan_lap_ticket*in_loan_lap_comm</f>
        <v/>
      </c>
      <c r="CE204" s="14">
        <f>AA204+AB204+AC204+AD204+AG204+AJ204+AM204+AP204+AS204+AU204+AX204+BB204+BE204+BG204+BJ204+BL204+BO204+BR204+BT204+BV204+BX204+CA204+CD204</f>
        <v/>
      </c>
    </row>
    <row r="205">
      <c r="A205" s="39" t="n">
        <v>4</v>
      </c>
      <c r="B205" s="39" t="n">
        <v>27</v>
      </c>
      <c r="C205" s="39">
        <f>A205+B205-1</f>
        <v/>
      </c>
      <c r="D205" s="39">
        <f>INT((C205-1)/12)+1</f>
        <v/>
      </c>
      <c r="E205" s="44">
        <f>INDEX(Monthly!$B$2:$B$61,A205)</f>
        <v/>
      </c>
      <c r="F205" s="44">
        <f>E205*INDEX('Age profile'!$B$2:$B$61,B205)</f>
        <v/>
      </c>
      <c r="G205" s="45">
        <f>MIN(in_takeup_cap,INDEX('Age profile'!$N$2:$N$61,B205)*(1+in_takeup_growth)^(D205-1))</f>
        <v/>
      </c>
      <c r="H205" s="11">
        <f>MIN(in_approval_cap,in_approved_first*INDEX('Age profile'!$O$2:$O$61,B205)*(1+in_approval_growth)^(D205-1))</f>
        <v/>
      </c>
      <c r="I205" s="45">
        <f>G205*MIN(in_takeup_cap,INDEX('Age profile'!$O$2:$O$61,B205)*(1+in_approval_growth)^(D205-1))</f>
        <v/>
      </c>
      <c r="J205" s="40">
        <f>(J204-L204)*F205/F204</f>
        <v/>
      </c>
      <c r="K205" s="40">
        <f>(K204-M204)*F205/F204+SUMIFS(O179:O204,B179:B204,B205-1-d_T)*F205</f>
        <v/>
      </c>
      <c r="L205" s="40">
        <f>IF(B205&gt;=in_marketplace_from,J205*d_hz*G205*in_eligible*H205,0)</f>
        <v/>
      </c>
      <c r="M205" s="40">
        <f>IF(B205&gt;=in_marketplace_from,K205*d_hz*G205*in_eligible*in_approved_repeat,0)</f>
        <v/>
      </c>
      <c r="N205" s="40">
        <f>L205+M205</f>
        <v/>
      </c>
      <c r="O205" s="46">
        <f>N205/F205</f>
        <v/>
      </c>
      <c r="P205" s="40">
        <f>F205-J205-K205</f>
        <v/>
      </c>
      <c r="Q205" s="40">
        <f>IF(B205&gt;=in_marketplace_from,(J205+K205)*d_hz*G205,0)</f>
        <v/>
      </c>
      <c r="R205" s="40">
        <f>SUMIFS(N179:N235,B179:B235,"&gt;="&amp;(B205-d_T),B179:B235,"&lt;="&amp;(B205-1))</f>
        <v/>
      </c>
      <c r="S205" s="46">
        <f>(1-d_u)*S204+IF(d_T&gt;in_topup_lag,SUMIFS(O179:O235,B179:B235,B205-in_topup_lag)-d_udrop*SUMIFS(O179:O235,B179:B235,B205-d_T),0)</f>
        <v/>
      </c>
      <c r="T205" s="40">
        <f>F205*d_u*S205</f>
        <v/>
      </c>
      <c r="U205" s="9">
        <f>L205*in_ticket+M205*d_rep_ticket</f>
        <v/>
      </c>
      <c r="V205" s="9">
        <f>U205+T205*d_topup_amt</f>
        <v/>
      </c>
      <c r="W205" s="40">
        <f>N205+T205*d_topup_ratio</f>
        <v/>
      </c>
      <c r="X205" s="40">
        <f>SUMIFS(W179:W235,B179:B235,B205-in_dpd_lag)*d_cured</f>
        <v/>
      </c>
      <c r="Y205" s="40">
        <f>SUMIFS(W179:W235,B179:B235,B205-in_rec_lag)*d_recd</f>
        <v/>
      </c>
      <c r="Z205" s="40">
        <f>IF(AND(B205&gt;=in_marketplace_from,B205&lt;in_marketplace_from+in_card_months),in_card_share/in_card_months*F205*I205,IF(AND(B205&gt;=in_marketplace_from+in_card_months,B205&lt;in_marketplace_from+2*in_card_months),in_card_share*d_card_rem/in_card_months*F205*MIN(in_takeup_cap,(1+in_takeup_growth)^(D205-1))*MIN(in_takeup_cap,(1+in_approval_growth)^(D205-1)),0))</f>
        <v/>
      </c>
      <c r="AA205" s="14">
        <f>V205*in_fee*(1-in_taken_back)</f>
        <v/>
      </c>
      <c r="AB205" s="14">
        <f>SUMIFS(W179:W235,B179:B235,B205-in_dpd_lag)*d_dpd</f>
        <v/>
      </c>
      <c r="AC205" s="14">
        <f>SUMIFS(W179:W235,B179:B235,B205-in_rec_lag)*d_rec</f>
        <v/>
      </c>
      <c r="AD205" s="14">
        <f>Z205*in_card_fee</f>
        <v/>
      </c>
      <c r="AE205" s="40">
        <f>AE204*(1-IF(B204&gt;=in_marketplace_from,d_hz_hlth_small*G204,0))</f>
        <v/>
      </c>
      <c r="AF205" s="46">
        <f>AE205*IF(B205&gt;=in_marketplace_from,d_hz_hlth_small*G205,0)</f>
        <v/>
      </c>
      <c r="AG205" s="14">
        <f>F205*AF205*in_hlth_small_ticket*in_hlth_small_comm*in_ins_partner_share+F205*in_hlth_small_ticket*in_hlth_small_renew_comm*in_ins_partner_share*(in_hlth_small_renew^1*SUMIFS(AF179:AF235,B179:B235,B205-12)+in_hlth_small_renew^2*SUMIFS(AF179:AF235,B179:B235,B205-24)+in_hlth_small_renew^3*SUMIFS(AF179:AF235,B179:B235,B205-36)+in_hlth_small_renew^4*SUMIFS(AF179:AF235,B179:B235,B205-48))</f>
        <v/>
      </c>
      <c r="AH205" s="40">
        <f>AH204*(1-IF(B204&gt;=in_marketplace_from,d_hz_hlth_family*G204,0))</f>
        <v/>
      </c>
      <c r="AI205" s="46">
        <f>AH205*IF(B205&gt;=in_marketplace_from,d_hz_hlth_family*G205,0)</f>
        <v/>
      </c>
      <c r="AJ205" s="14">
        <f>F205*AI205*in_hlth_family_ticket*in_hlth_family_comm*in_ins_partner_share+F205*in_hlth_family_ticket*in_hlth_family_renew_comm*in_ins_partner_share*(in_hlth_family_renew^1*SUMIFS(AI179:AI235,B179:B235,B205-12)+in_hlth_family_renew^2*SUMIFS(AI179:AI235,B179:B235,B205-24)+in_hlth_family_renew^3*SUMIFS(AI179:AI235,B179:B235,B205-36)+in_hlth_family_renew^4*SUMIFS(AI179:AI235,B179:B235,B205-48))</f>
        <v/>
      </c>
      <c r="AK205" s="40">
        <f>AK204*(1-IF(B204&gt;=in_marketplace_from,d_hz_life_term*G204,0))</f>
        <v/>
      </c>
      <c r="AL205" s="46">
        <f>AK205*IF(B205&gt;=in_marketplace_from,d_hz_life_term*G205,0)</f>
        <v/>
      </c>
      <c r="AM205" s="14">
        <f>F205*AL205*in_life_term_ticket*in_life_term_comm*in_ins_partner_share+F205*in_life_term_ticket*in_life_term_renew_comm*in_ins_partner_share*(in_life_term_renew^1*SUMIFS(AL179:AL235,B179:B235,B205-12)+in_life_term_renew^2*SUMIFS(AL179:AL235,B179:B235,B205-24)+in_life_term_renew^3*SUMIFS(AL179:AL235,B179:B235,B205-36)+in_life_term_renew^4*SUMIFS(AL179:AL235,B179:B235,B205-48))</f>
        <v/>
      </c>
      <c r="AN205" s="40">
        <f>AN204*(1-IF(B204&gt;=in_marketplace_from,d_hz_accident*G204,0))</f>
        <v/>
      </c>
      <c r="AO205" s="46">
        <f>AN205*IF(B205&gt;=in_marketplace_from,d_hz_accident*G205,0)</f>
        <v/>
      </c>
      <c r="AP205" s="14">
        <f>F205*AO205*in_accident_ticket*in_accident_comm*in_ins_partner_share+F205*in_accident_ticket*in_accident_renew_comm*in_ins_partner_share*(in_accident_renew^1*SUMIFS(AO179:AO235,B179:B235,B205-12)+in_accident_renew^2*SUMIFS(AO179:AO235,B179:B235,B205-24)+in_accident_renew^3*SUMIFS(AO179:AO235,B179:B235,B205-36)+in_accident_renew^4*SUMIFS(AO179:AO235,B179:B235,B205-48))</f>
        <v/>
      </c>
      <c r="AQ205" s="40">
        <f>AQ204*(1-IF(B204&gt;=in_marketplace_from,d_hz_two_wheeler*G204,0))</f>
        <v/>
      </c>
      <c r="AR205" s="46">
        <f>AQ205*IF(B205&gt;=in_marketplace_from,d_hz_two_wheeler*G205,0)</f>
        <v/>
      </c>
      <c r="AS205" s="14">
        <f>F205*AR205*in_two_wheeler_ticket*in_two_wheeler_comm*in_ins_partner_share+F205*in_two_wheeler_ticket*in_two_wheeler_comm*in_ins_partner_share*(in_two_wheeler_renew^1*SUMIFS(AR179:AR235,B179:B235,B205-12)+in_two_wheeler_renew^2*SUMIFS(AR179:AR235,B179:B235,B205-24)+in_two_wheeler_renew^3*SUMIFS(AR179:AR235,B179:B235,B205-36)+in_two_wheeler_renew^4*SUMIFS(AR179:AR235,B179:B235,B205-48))</f>
        <v/>
      </c>
      <c r="AT205" s="40">
        <f>AT204*(1-IF(B204&gt;=in_marketplace_from,d_hz_device*G204,0))</f>
        <v/>
      </c>
      <c r="AU205" s="14">
        <f>F205*AT205*IF(B205&gt;=in_marketplace_from,d_hz_device*G205,0)*in_device_ticket*in_device_comm*in_ins_partner_share</f>
        <v/>
      </c>
      <c r="AV205" s="40">
        <f>AV204*(1-IF(B204&gt;=in_marketplace_from,d_hz_shop*G204,0))</f>
        <v/>
      </c>
      <c r="AW205" s="46">
        <f>AV205*IF(B205&gt;=in_marketplace_from,d_hz_shop*G205,0)</f>
        <v/>
      </c>
      <c r="AX205" s="14">
        <f>F205*AW205*in_shop_ticket*in_shop_comm*in_ins_partner_share+F205*in_shop_ticket*in_shop_renew_comm*in_ins_partner_share*(in_shop_renew^1*SUMIFS(AW179:AW235,B179:B235,B205-12)+in_shop_renew^2*SUMIFS(AW179:AW235,B179:B235,B205-24)+in_shop_renew^3*SUMIFS(AW179:AW235,B179:B235,B205-36)+in_shop_renew^4*SUMIFS(AW179:AW235,B179:B235,B205-48))</f>
        <v/>
      </c>
      <c r="AY205" s="40">
        <f>AY204*(1-IF(B204&gt;=in_marketplace_from,d_hz_sip*G204,0))</f>
        <v/>
      </c>
      <c r="AZ205" s="40">
        <f>AZ204*d_rho_sip+AY205*IF(B205&gt;=in_marketplace_from,d_hz_sip*G205,0)</f>
        <v/>
      </c>
      <c r="BA205" s="40">
        <f>d_rho_sip*(BA204+AZ204)</f>
        <v/>
      </c>
      <c r="BB205" s="14">
        <f>F205*in_sip_ticket*(BA205+0.5*AZ205)*in_sip_comm/12</f>
        <v/>
      </c>
      <c r="BC205" s="40">
        <f>BC204*(1-IF(B204&gt;=in_marketplace_from,d_hz_choti*G204,0))</f>
        <v/>
      </c>
      <c r="BD205" s="46">
        <f>BC205*IF(B205&gt;=in_marketplace_from,d_hz_choti*G205,0)</f>
        <v/>
      </c>
      <c r="BE205" s="14">
        <f>F205*SUMIFS(BD179:BD235,B179:B235,B205-in_choti_months)*in_choti_renew*in_choti_ticket</f>
        <v/>
      </c>
      <c r="BF205" s="40">
        <f>BF204*(1-IF(B204&gt;=in_marketplace_from,d_hz_nps*G204,0))</f>
        <v/>
      </c>
      <c r="BG205" s="14">
        <f>F205*BF205*IF(B205&gt;=in_marketplace_from,d_hz_nps*G205,0)*in_nps_ticket*in_nps_comm</f>
        <v/>
      </c>
      <c r="BH205" s="40">
        <f>BH204*(1-IF(B204&gt;=in_marketplace_from,d_hz_gold*G204,0))</f>
        <v/>
      </c>
      <c r="BI205" s="40">
        <f>BI204*d_rho_gold+BH205*IF(B205&gt;=in_marketplace_from,d_hz_gold*G205,0)</f>
        <v/>
      </c>
      <c r="BJ205" s="14">
        <f>F205*BI205*in_gold_ticket*in_gold_comm</f>
        <v/>
      </c>
      <c r="BK205" s="40">
        <f>BK204*(1-IF(B204&gt;=in_marketplace_from,d_hz_fd*G204,0))</f>
        <v/>
      </c>
      <c r="BL205" s="14">
        <f>F205*BK205*IF(B205&gt;=in_marketplace_from,d_hz_fd*G205,0)*in_fd_ticket*in_fd_comm</f>
        <v/>
      </c>
      <c r="BM205" s="40">
        <f>BM204*(1-IF(B204&gt;=in_marketplace_from,d_hz_recharge*G204,0))</f>
        <v/>
      </c>
      <c r="BN205" s="40">
        <f>BN204*d_rho_recharge+BM205*IF(B205&gt;=in_marketplace_from,d_hz_recharge*G205,0)</f>
        <v/>
      </c>
      <c r="BO205" s="14">
        <f>F205*BN205*in_recharge_ticket*in_recharge_comm/12</f>
        <v/>
      </c>
      <c r="BP205" s="40">
        <f>BP204*(1-IF(B204&gt;=in_marketplace_from,d_hz_bills*G204,0))</f>
        <v/>
      </c>
      <c r="BQ205" s="40">
        <f>BQ204*d_rho_bills+BP205*IF(B205&gt;=in_marketplace_from,d_hz_bills*G205,0)</f>
        <v/>
      </c>
      <c r="BR205" s="14">
        <f>F205*BQ205*in_bills_ticket*in_bills_comm/12</f>
        <v/>
      </c>
      <c r="BS205" s="40">
        <f>BS204*(1-IF(B204&gt;=in_marketplace_from,d_hz_loan_gold*G204,0))</f>
        <v/>
      </c>
      <c r="BT205" s="14">
        <f>F205*BS205*IF(B205&gt;=in_marketplace_from,d_hz_loan_gold*G205,0)*in_loan_gold_ticket*in_loan_gold_comm</f>
        <v/>
      </c>
      <c r="BU205" s="40">
        <f>BU204*(1-IF(B204&gt;=in_marketplace_from,d_hz_loan_cd*G204,0))</f>
        <v/>
      </c>
      <c r="BV205" s="14">
        <f>F205*BU205*IF(B205&gt;=in_marketplace_from,d_hz_loan_cd*G205,0)*in_loan_cd_ticket*in_loan_cd_comm</f>
        <v/>
      </c>
      <c r="BW205" s="40">
        <f>BW204*(1-IF(B204&gt;=in_marketplace_from,d_hz_loan_vehicle*G204,0))</f>
        <v/>
      </c>
      <c r="BX205" s="14">
        <f>F205*BW205*IF(B205&gt;=in_marketplace_from,d_hz_loan_vehicle*G205,0)*in_loan_vehicle_ticket*in_loan_vehicle_comm</f>
        <v/>
      </c>
      <c r="BY205" s="40">
        <f>BY204*(1-IF(B204&gt;=in_marketplace_from,d_hz_loan_home*G204,0)*BZ204)</f>
        <v/>
      </c>
      <c r="BZ205" s="11">
        <f>MIN(in_approval_cap,in_loan_home_approval*INDEX('Age profile'!$O$2:$O$61,B205)*(1+in_approval_growth)^(D205-1))</f>
        <v/>
      </c>
      <c r="CA205" s="14">
        <f>F205*BY205*IF(B205&gt;=in_marketplace_from,d_hz_loan_home*G205,0)*BZ205*in_loan_home_ticket*in_loan_home_comm</f>
        <v/>
      </c>
      <c r="CB205" s="40">
        <f>CB204*(1-IF(B204&gt;=in_marketplace_from,d_hz_loan_lap*G204,0)*CC204)</f>
        <v/>
      </c>
      <c r="CC205" s="11">
        <f>MIN(in_approval_cap,in_loan_lap_approval*INDEX('Age profile'!$O$2:$O$61,B205)*(1+in_approval_growth)^(D205-1))</f>
        <v/>
      </c>
      <c r="CD205" s="14">
        <f>F205*CB205*IF(B205&gt;=in_marketplace_from,d_hz_loan_lap*G205,0)*CC205*in_loan_lap_ticket*in_loan_lap_comm</f>
        <v/>
      </c>
      <c r="CE205" s="14">
        <f>AA205+AB205+AC205+AD205+AG205+AJ205+AM205+AP205+AS205+AU205+AX205+BB205+BE205+BG205+BJ205+BL205+BO205+BR205+BT205+BV205+BX205+CA205+CD205</f>
        <v/>
      </c>
    </row>
    <row r="206">
      <c r="A206" s="39" t="n">
        <v>4</v>
      </c>
      <c r="B206" s="39" t="n">
        <v>28</v>
      </c>
      <c r="C206" s="39">
        <f>A206+B206-1</f>
        <v/>
      </c>
      <c r="D206" s="39">
        <f>INT((C206-1)/12)+1</f>
        <v/>
      </c>
      <c r="E206" s="44">
        <f>INDEX(Monthly!$B$2:$B$61,A206)</f>
        <v/>
      </c>
      <c r="F206" s="44">
        <f>E206*INDEX('Age profile'!$B$2:$B$61,B206)</f>
        <v/>
      </c>
      <c r="G206" s="45">
        <f>MIN(in_takeup_cap,INDEX('Age profile'!$N$2:$N$61,B206)*(1+in_takeup_growth)^(D206-1))</f>
        <v/>
      </c>
      <c r="H206" s="11">
        <f>MIN(in_approval_cap,in_approved_first*INDEX('Age profile'!$O$2:$O$61,B206)*(1+in_approval_growth)^(D206-1))</f>
        <v/>
      </c>
      <c r="I206" s="45">
        <f>G206*MIN(in_takeup_cap,INDEX('Age profile'!$O$2:$O$61,B206)*(1+in_approval_growth)^(D206-1))</f>
        <v/>
      </c>
      <c r="J206" s="40">
        <f>(J205-L205)*F206/F205</f>
        <v/>
      </c>
      <c r="K206" s="40">
        <f>(K205-M205)*F206/F205+SUMIFS(O179:O205,B179:B205,B206-1-d_T)*F206</f>
        <v/>
      </c>
      <c r="L206" s="40">
        <f>IF(B206&gt;=in_marketplace_from,J206*d_hz*G206*in_eligible*H206,0)</f>
        <v/>
      </c>
      <c r="M206" s="40">
        <f>IF(B206&gt;=in_marketplace_from,K206*d_hz*G206*in_eligible*in_approved_repeat,0)</f>
        <v/>
      </c>
      <c r="N206" s="40">
        <f>L206+M206</f>
        <v/>
      </c>
      <c r="O206" s="46">
        <f>N206/F206</f>
        <v/>
      </c>
      <c r="P206" s="40">
        <f>F206-J206-K206</f>
        <v/>
      </c>
      <c r="Q206" s="40">
        <f>IF(B206&gt;=in_marketplace_from,(J206+K206)*d_hz*G206,0)</f>
        <v/>
      </c>
      <c r="R206" s="40">
        <f>SUMIFS(N179:N235,B179:B235,"&gt;="&amp;(B206-d_T),B179:B235,"&lt;="&amp;(B206-1))</f>
        <v/>
      </c>
      <c r="S206" s="46">
        <f>(1-d_u)*S205+IF(d_T&gt;in_topup_lag,SUMIFS(O179:O235,B179:B235,B206-in_topup_lag)-d_udrop*SUMIFS(O179:O235,B179:B235,B206-d_T),0)</f>
        <v/>
      </c>
      <c r="T206" s="40">
        <f>F206*d_u*S206</f>
        <v/>
      </c>
      <c r="U206" s="9">
        <f>L206*in_ticket+M206*d_rep_ticket</f>
        <v/>
      </c>
      <c r="V206" s="9">
        <f>U206+T206*d_topup_amt</f>
        <v/>
      </c>
      <c r="W206" s="40">
        <f>N206+T206*d_topup_ratio</f>
        <v/>
      </c>
      <c r="X206" s="40">
        <f>SUMIFS(W179:W235,B179:B235,B206-in_dpd_lag)*d_cured</f>
        <v/>
      </c>
      <c r="Y206" s="40">
        <f>SUMIFS(W179:W235,B179:B235,B206-in_rec_lag)*d_recd</f>
        <v/>
      </c>
      <c r="Z206" s="40">
        <f>IF(AND(B206&gt;=in_marketplace_from,B206&lt;in_marketplace_from+in_card_months),in_card_share/in_card_months*F206*I206,IF(AND(B206&gt;=in_marketplace_from+in_card_months,B206&lt;in_marketplace_from+2*in_card_months),in_card_share*d_card_rem/in_card_months*F206*MIN(in_takeup_cap,(1+in_takeup_growth)^(D206-1))*MIN(in_takeup_cap,(1+in_approval_growth)^(D206-1)),0))</f>
        <v/>
      </c>
      <c r="AA206" s="14">
        <f>V206*in_fee*(1-in_taken_back)</f>
        <v/>
      </c>
      <c r="AB206" s="14">
        <f>SUMIFS(W179:W235,B179:B235,B206-in_dpd_lag)*d_dpd</f>
        <v/>
      </c>
      <c r="AC206" s="14">
        <f>SUMIFS(W179:W235,B179:B235,B206-in_rec_lag)*d_rec</f>
        <v/>
      </c>
      <c r="AD206" s="14">
        <f>Z206*in_card_fee</f>
        <v/>
      </c>
      <c r="AE206" s="40">
        <f>AE205*(1-IF(B205&gt;=in_marketplace_from,d_hz_hlth_small*G205,0))</f>
        <v/>
      </c>
      <c r="AF206" s="46">
        <f>AE206*IF(B206&gt;=in_marketplace_from,d_hz_hlth_small*G206,0)</f>
        <v/>
      </c>
      <c r="AG206" s="14">
        <f>F206*AF206*in_hlth_small_ticket*in_hlth_small_comm*in_ins_partner_share+F206*in_hlth_small_ticket*in_hlth_small_renew_comm*in_ins_partner_share*(in_hlth_small_renew^1*SUMIFS(AF179:AF235,B179:B235,B206-12)+in_hlth_small_renew^2*SUMIFS(AF179:AF235,B179:B235,B206-24)+in_hlth_small_renew^3*SUMIFS(AF179:AF235,B179:B235,B206-36)+in_hlth_small_renew^4*SUMIFS(AF179:AF235,B179:B235,B206-48))</f>
        <v/>
      </c>
      <c r="AH206" s="40">
        <f>AH205*(1-IF(B205&gt;=in_marketplace_from,d_hz_hlth_family*G205,0))</f>
        <v/>
      </c>
      <c r="AI206" s="46">
        <f>AH206*IF(B206&gt;=in_marketplace_from,d_hz_hlth_family*G206,0)</f>
        <v/>
      </c>
      <c r="AJ206" s="14">
        <f>F206*AI206*in_hlth_family_ticket*in_hlth_family_comm*in_ins_partner_share+F206*in_hlth_family_ticket*in_hlth_family_renew_comm*in_ins_partner_share*(in_hlth_family_renew^1*SUMIFS(AI179:AI235,B179:B235,B206-12)+in_hlth_family_renew^2*SUMIFS(AI179:AI235,B179:B235,B206-24)+in_hlth_family_renew^3*SUMIFS(AI179:AI235,B179:B235,B206-36)+in_hlth_family_renew^4*SUMIFS(AI179:AI235,B179:B235,B206-48))</f>
        <v/>
      </c>
      <c r="AK206" s="40">
        <f>AK205*(1-IF(B205&gt;=in_marketplace_from,d_hz_life_term*G205,0))</f>
        <v/>
      </c>
      <c r="AL206" s="46">
        <f>AK206*IF(B206&gt;=in_marketplace_from,d_hz_life_term*G206,0)</f>
        <v/>
      </c>
      <c r="AM206" s="14">
        <f>F206*AL206*in_life_term_ticket*in_life_term_comm*in_ins_partner_share+F206*in_life_term_ticket*in_life_term_renew_comm*in_ins_partner_share*(in_life_term_renew^1*SUMIFS(AL179:AL235,B179:B235,B206-12)+in_life_term_renew^2*SUMIFS(AL179:AL235,B179:B235,B206-24)+in_life_term_renew^3*SUMIFS(AL179:AL235,B179:B235,B206-36)+in_life_term_renew^4*SUMIFS(AL179:AL235,B179:B235,B206-48))</f>
        <v/>
      </c>
      <c r="AN206" s="40">
        <f>AN205*(1-IF(B205&gt;=in_marketplace_from,d_hz_accident*G205,0))</f>
        <v/>
      </c>
      <c r="AO206" s="46">
        <f>AN206*IF(B206&gt;=in_marketplace_from,d_hz_accident*G206,0)</f>
        <v/>
      </c>
      <c r="AP206" s="14">
        <f>F206*AO206*in_accident_ticket*in_accident_comm*in_ins_partner_share+F206*in_accident_ticket*in_accident_renew_comm*in_ins_partner_share*(in_accident_renew^1*SUMIFS(AO179:AO235,B179:B235,B206-12)+in_accident_renew^2*SUMIFS(AO179:AO235,B179:B235,B206-24)+in_accident_renew^3*SUMIFS(AO179:AO235,B179:B235,B206-36)+in_accident_renew^4*SUMIFS(AO179:AO235,B179:B235,B206-48))</f>
        <v/>
      </c>
      <c r="AQ206" s="40">
        <f>AQ205*(1-IF(B205&gt;=in_marketplace_from,d_hz_two_wheeler*G205,0))</f>
        <v/>
      </c>
      <c r="AR206" s="46">
        <f>AQ206*IF(B206&gt;=in_marketplace_from,d_hz_two_wheeler*G206,0)</f>
        <v/>
      </c>
      <c r="AS206" s="14">
        <f>F206*AR206*in_two_wheeler_ticket*in_two_wheeler_comm*in_ins_partner_share+F206*in_two_wheeler_ticket*in_two_wheeler_comm*in_ins_partner_share*(in_two_wheeler_renew^1*SUMIFS(AR179:AR235,B179:B235,B206-12)+in_two_wheeler_renew^2*SUMIFS(AR179:AR235,B179:B235,B206-24)+in_two_wheeler_renew^3*SUMIFS(AR179:AR235,B179:B235,B206-36)+in_two_wheeler_renew^4*SUMIFS(AR179:AR235,B179:B235,B206-48))</f>
        <v/>
      </c>
      <c r="AT206" s="40">
        <f>AT205*(1-IF(B205&gt;=in_marketplace_from,d_hz_device*G205,0))</f>
        <v/>
      </c>
      <c r="AU206" s="14">
        <f>F206*AT206*IF(B206&gt;=in_marketplace_from,d_hz_device*G206,0)*in_device_ticket*in_device_comm*in_ins_partner_share</f>
        <v/>
      </c>
      <c r="AV206" s="40">
        <f>AV205*(1-IF(B205&gt;=in_marketplace_from,d_hz_shop*G205,0))</f>
        <v/>
      </c>
      <c r="AW206" s="46">
        <f>AV206*IF(B206&gt;=in_marketplace_from,d_hz_shop*G206,0)</f>
        <v/>
      </c>
      <c r="AX206" s="14">
        <f>F206*AW206*in_shop_ticket*in_shop_comm*in_ins_partner_share+F206*in_shop_ticket*in_shop_renew_comm*in_ins_partner_share*(in_shop_renew^1*SUMIFS(AW179:AW235,B179:B235,B206-12)+in_shop_renew^2*SUMIFS(AW179:AW235,B179:B235,B206-24)+in_shop_renew^3*SUMIFS(AW179:AW235,B179:B235,B206-36)+in_shop_renew^4*SUMIFS(AW179:AW235,B179:B235,B206-48))</f>
        <v/>
      </c>
      <c r="AY206" s="40">
        <f>AY205*(1-IF(B205&gt;=in_marketplace_from,d_hz_sip*G205,0))</f>
        <v/>
      </c>
      <c r="AZ206" s="40">
        <f>AZ205*d_rho_sip+AY206*IF(B206&gt;=in_marketplace_from,d_hz_sip*G206,0)</f>
        <v/>
      </c>
      <c r="BA206" s="40">
        <f>d_rho_sip*(BA205+AZ205)</f>
        <v/>
      </c>
      <c r="BB206" s="14">
        <f>F206*in_sip_ticket*(BA206+0.5*AZ206)*in_sip_comm/12</f>
        <v/>
      </c>
      <c r="BC206" s="40">
        <f>BC205*(1-IF(B205&gt;=in_marketplace_from,d_hz_choti*G205,0))</f>
        <v/>
      </c>
      <c r="BD206" s="46">
        <f>BC206*IF(B206&gt;=in_marketplace_from,d_hz_choti*G206,0)</f>
        <v/>
      </c>
      <c r="BE206" s="14">
        <f>F206*SUMIFS(BD179:BD235,B179:B235,B206-in_choti_months)*in_choti_renew*in_choti_ticket</f>
        <v/>
      </c>
      <c r="BF206" s="40">
        <f>BF205*(1-IF(B205&gt;=in_marketplace_from,d_hz_nps*G205,0))</f>
        <v/>
      </c>
      <c r="BG206" s="14">
        <f>F206*BF206*IF(B206&gt;=in_marketplace_from,d_hz_nps*G206,0)*in_nps_ticket*in_nps_comm</f>
        <v/>
      </c>
      <c r="BH206" s="40">
        <f>BH205*(1-IF(B205&gt;=in_marketplace_from,d_hz_gold*G205,0))</f>
        <v/>
      </c>
      <c r="BI206" s="40">
        <f>BI205*d_rho_gold+BH206*IF(B206&gt;=in_marketplace_from,d_hz_gold*G206,0)</f>
        <v/>
      </c>
      <c r="BJ206" s="14">
        <f>F206*BI206*in_gold_ticket*in_gold_comm</f>
        <v/>
      </c>
      <c r="BK206" s="40">
        <f>BK205*(1-IF(B205&gt;=in_marketplace_from,d_hz_fd*G205,0))</f>
        <v/>
      </c>
      <c r="BL206" s="14">
        <f>F206*BK206*IF(B206&gt;=in_marketplace_from,d_hz_fd*G206,0)*in_fd_ticket*in_fd_comm</f>
        <v/>
      </c>
      <c r="BM206" s="40">
        <f>BM205*(1-IF(B205&gt;=in_marketplace_from,d_hz_recharge*G205,0))</f>
        <v/>
      </c>
      <c r="BN206" s="40">
        <f>BN205*d_rho_recharge+BM206*IF(B206&gt;=in_marketplace_from,d_hz_recharge*G206,0)</f>
        <v/>
      </c>
      <c r="BO206" s="14">
        <f>F206*BN206*in_recharge_ticket*in_recharge_comm/12</f>
        <v/>
      </c>
      <c r="BP206" s="40">
        <f>BP205*(1-IF(B205&gt;=in_marketplace_from,d_hz_bills*G205,0))</f>
        <v/>
      </c>
      <c r="BQ206" s="40">
        <f>BQ205*d_rho_bills+BP206*IF(B206&gt;=in_marketplace_from,d_hz_bills*G206,0)</f>
        <v/>
      </c>
      <c r="BR206" s="14">
        <f>F206*BQ206*in_bills_ticket*in_bills_comm/12</f>
        <v/>
      </c>
      <c r="BS206" s="40">
        <f>BS205*(1-IF(B205&gt;=in_marketplace_from,d_hz_loan_gold*G205,0))</f>
        <v/>
      </c>
      <c r="BT206" s="14">
        <f>F206*BS206*IF(B206&gt;=in_marketplace_from,d_hz_loan_gold*G206,0)*in_loan_gold_ticket*in_loan_gold_comm</f>
        <v/>
      </c>
      <c r="BU206" s="40">
        <f>BU205*(1-IF(B205&gt;=in_marketplace_from,d_hz_loan_cd*G205,0))</f>
        <v/>
      </c>
      <c r="BV206" s="14">
        <f>F206*BU206*IF(B206&gt;=in_marketplace_from,d_hz_loan_cd*G206,0)*in_loan_cd_ticket*in_loan_cd_comm</f>
        <v/>
      </c>
      <c r="BW206" s="40">
        <f>BW205*(1-IF(B205&gt;=in_marketplace_from,d_hz_loan_vehicle*G205,0))</f>
        <v/>
      </c>
      <c r="BX206" s="14">
        <f>F206*BW206*IF(B206&gt;=in_marketplace_from,d_hz_loan_vehicle*G206,0)*in_loan_vehicle_ticket*in_loan_vehicle_comm</f>
        <v/>
      </c>
      <c r="BY206" s="40">
        <f>BY205*(1-IF(B205&gt;=in_marketplace_from,d_hz_loan_home*G205,0)*BZ205)</f>
        <v/>
      </c>
      <c r="BZ206" s="11">
        <f>MIN(in_approval_cap,in_loan_home_approval*INDEX('Age profile'!$O$2:$O$61,B206)*(1+in_approval_growth)^(D206-1))</f>
        <v/>
      </c>
      <c r="CA206" s="14">
        <f>F206*BY206*IF(B206&gt;=in_marketplace_from,d_hz_loan_home*G206,0)*BZ206*in_loan_home_ticket*in_loan_home_comm</f>
        <v/>
      </c>
      <c r="CB206" s="40">
        <f>CB205*(1-IF(B205&gt;=in_marketplace_from,d_hz_loan_lap*G205,0)*CC205)</f>
        <v/>
      </c>
      <c r="CC206" s="11">
        <f>MIN(in_approval_cap,in_loan_lap_approval*INDEX('Age profile'!$O$2:$O$61,B206)*(1+in_approval_growth)^(D206-1))</f>
        <v/>
      </c>
      <c r="CD206" s="14">
        <f>F206*CB206*IF(B206&gt;=in_marketplace_from,d_hz_loan_lap*G206,0)*CC206*in_loan_lap_ticket*in_loan_lap_comm</f>
        <v/>
      </c>
      <c r="CE206" s="14">
        <f>AA206+AB206+AC206+AD206+AG206+AJ206+AM206+AP206+AS206+AU206+AX206+BB206+BE206+BG206+BJ206+BL206+BO206+BR206+BT206+BV206+BX206+CA206+CD206</f>
        <v/>
      </c>
    </row>
    <row r="207">
      <c r="A207" s="39" t="n">
        <v>4</v>
      </c>
      <c r="B207" s="39" t="n">
        <v>29</v>
      </c>
      <c r="C207" s="39">
        <f>A207+B207-1</f>
        <v/>
      </c>
      <c r="D207" s="39">
        <f>INT((C207-1)/12)+1</f>
        <v/>
      </c>
      <c r="E207" s="44">
        <f>INDEX(Monthly!$B$2:$B$61,A207)</f>
        <v/>
      </c>
      <c r="F207" s="44">
        <f>E207*INDEX('Age profile'!$B$2:$B$61,B207)</f>
        <v/>
      </c>
      <c r="G207" s="45">
        <f>MIN(in_takeup_cap,INDEX('Age profile'!$N$2:$N$61,B207)*(1+in_takeup_growth)^(D207-1))</f>
        <v/>
      </c>
      <c r="H207" s="11">
        <f>MIN(in_approval_cap,in_approved_first*INDEX('Age profile'!$O$2:$O$61,B207)*(1+in_approval_growth)^(D207-1))</f>
        <v/>
      </c>
      <c r="I207" s="45">
        <f>G207*MIN(in_takeup_cap,INDEX('Age profile'!$O$2:$O$61,B207)*(1+in_approval_growth)^(D207-1))</f>
        <v/>
      </c>
      <c r="J207" s="40">
        <f>(J206-L206)*F207/F206</f>
        <v/>
      </c>
      <c r="K207" s="40">
        <f>(K206-M206)*F207/F206+SUMIFS(O179:O206,B179:B206,B207-1-d_T)*F207</f>
        <v/>
      </c>
      <c r="L207" s="40">
        <f>IF(B207&gt;=in_marketplace_from,J207*d_hz*G207*in_eligible*H207,0)</f>
        <v/>
      </c>
      <c r="M207" s="40">
        <f>IF(B207&gt;=in_marketplace_from,K207*d_hz*G207*in_eligible*in_approved_repeat,0)</f>
        <v/>
      </c>
      <c r="N207" s="40">
        <f>L207+M207</f>
        <v/>
      </c>
      <c r="O207" s="46">
        <f>N207/F207</f>
        <v/>
      </c>
      <c r="P207" s="40">
        <f>F207-J207-K207</f>
        <v/>
      </c>
      <c r="Q207" s="40">
        <f>IF(B207&gt;=in_marketplace_from,(J207+K207)*d_hz*G207,0)</f>
        <v/>
      </c>
      <c r="R207" s="40">
        <f>SUMIFS(N179:N235,B179:B235,"&gt;="&amp;(B207-d_T),B179:B235,"&lt;="&amp;(B207-1))</f>
        <v/>
      </c>
      <c r="S207" s="46">
        <f>(1-d_u)*S206+IF(d_T&gt;in_topup_lag,SUMIFS(O179:O235,B179:B235,B207-in_topup_lag)-d_udrop*SUMIFS(O179:O235,B179:B235,B207-d_T),0)</f>
        <v/>
      </c>
      <c r="T207" s="40">
        <f>F207*d_u*S207</f>
        <v/>
      </c>
      <c r="U207" s="9">
        <f>L207*in_ticket+M207*d_rep_ticket</f>
        <v/>
      </c>
      <c r="V207" s="9">
        <f>U207+T207*d_topup_amt</f>
        <v/>
      </c>
      <c r="W207" s="40">
        <f>N207+T207*d_topup_ratio</f>
        <v/>
      </c>
      <c r="X207" s="40">
        <f>SUMIFS(W179:W235,B179:B235,B207-in_dpd_lag)*d_cured</f>
        <v/>
      </c>
      <c r="Y207" s="40">
        <f>SUMIFS(W179:W235,B179:B235,B207-in_rec_lag)*d_recd</f>
        <v/>
      </c>
      <c r="Z207" s="40">
        <f>IF(AND(B207&gt;=in_marketplace_from,B207&lt;in_marketplace_from+in_card_months),in_card_share/in_card_months*F207*I207,IF(AND(B207&gt;=in_marketplace_from+in_card_months,B207&lt;in_marketplace_from+2*in_card_months),in_card_share*d_card_rem/in_card_months*F207*MIN(in_takeup_cap,(1+in_takeup_growth)^(D207-1))*MIN(in_takeup_cap,(1+in_approval_growth)^(D207-1)),0))</f>
        <v/>
      </c>
      <c r="AA207" s="14">
        <f>V207*in_fee*(1-in_taken_back)</f>
        <v/>
      </c>
      <c r="AB207" s="14">
        <f>SUMIFS(W179:W235,B179:B235,B207-in_dpd_lag)*d_dpd</f>
        <v/>
      </c>
      <c r="AC207" s="14">
        <f>SUMIFS(W179:W235,B179:B235,B207-in_rec_lag)*d_rec</f>
        <v/>
      </c>
      <c r="AD207" s="14">
        <f>Z207*in_card_fee</f>
        <v/>
      </c>
      <c r="AE207" s="40">
        <f>AE206*(1-IF(B206&gt;=in_marketplace_from,d_hz_hlth_small*G206,0))</f>
        <v/>
      </c>
      <c r="AF207" s="46">
        <f>AE207*IF(B207&gt;=in_marketplace_from,d_hz_hlth_small*G207,0)</f>
        <v/>
      </c>
      <c r="AG207" s="14">
        <f>F207*AF207*in_hlth_small_ticket*in_hlth_small_comm*in_ins_partner_share+F207*in_hlth_small_ticket*in_hlth_small_renew_comm*in_ins_partner_share*(in_hlth_small_renew^1*SUMIFS(AF179:AF235,B179:B235,B207-12)+in_hlth_small_renew^2*SUMIFS(AF179:AF235,B179:B235,B207-24)+in_hlth_small_renew^3*SUMIFS(AF179:AF235,B179:B235,B207-36)+in_hlth_small_renew^4*SUMIFS(AF179:AF235,B179:B235,B207-48))</f>
        <v/>
      </c>
      <c r="AH207" s="40">
        <f>AH206*(1-IF(B206&gt;=in_marketplace_from,d_hz_hlth_family*G206,0))</f>
        <v/>
      </c>
      <c r="AI207" s="46">
        <f>AH207*IF(B207&gt;=in_marketplace_from,d_hz_hlth_family*G207,0)</f>
        <v/>
      </c>
      <c r="AJ207" s="14">
        <f>F207*AI207*in_hlth_family_ticket*in_hlth_family_comm*in_ins_partner_share+F207*in_hlth_family_ticket*in_hlth_family_renew_comm*in_ins_partner_share*(in_hlth_family_renew^1*SUMIFS(AI179:AI235,B179:B235,B207-12)+in_hlth_family_renew^2*SUMIFS(AI179:AI235,B179:B235,B207-24)+in_hlth_family_renew^3*SUMIFS(AI179:AI235,B179:B235,B207-36)+in_hlth_family_renew^4*SUMIFS(AI179:AI235,B179:B235,B207-48))</f>
        <v/>
      </c>
      <c r="AK207" s="40">
        <f>AK206*(1-IF(B206&gt;=in_marketplace_from,d_hz_life_term*G206,0))</f>
        <v/>
      </c>
      <c r="AL207" s="46">
        <f>AK207*IF(B207&gt;=in_marketplace_from,d_hz_life_term*G207,0)</f>
        <v/>
      </c>
      <c r="AM207" s="14">
        <f>F207*AL207*in_life_term_ticket*in_life_term_comm*in_ins_partner_share+F207*in_life_term_ticket*in_life_term_renew_comm*in_ins_partner_share*(in_life_term_renew^1*SUMIFS(AL179:AL235,B179:B235,B207-12)+in_life_term_renew^2*SUMIFS(AL179:AL235,B179:B235,B207-24)+in_life_term_renew^3*SUMIFS(AL179:AL235,B179:B235,B207-36)+in_life_term_renew^4*SUMIFS(AL179:AL235,B179:B235,B207-48))</f>
        <v/>
      </c>
      <c r="AN207" s="40">
        <f>AN206*(1-IF(B206&gt;=in_marketplace_from,d_hz_accident*G206,0))</f>
        <v/>
      </c>
      <c r="AO207" s="46">
        <f>AN207*IF(B207&gt;=in_marketplace_from,d_hz_accident*G207,0)</f>
        <v/>
      </c>
      <c r="AP207" s="14">
        <f>F207*AO207*in_accident_ticket*in_accident_comm*in_ins_partner_share+F207*in_accident_ticket*in_accident_renew_comm*in_ins_partner_share*(in_accident_renew^1*SUMIFS(AO179:AO235,B179:B235,B207-12)+in_accident_renew^2*SUMIFS(AO179:AO235,B179:B235,B207-24)+in_accident_renew^3*SUMIFS(AO179:AO235,B179:B235,B207-36)+in_accident_renew^4*SUMIFS(AO179:AO235,B179:B235,B207-48))</f>
        <v/>
      </c>
      <c r="AQ207" s="40">
        <f>AQ206*(1-IF(B206&gt;=in_marketplace_from,d_hz_two_wheeler*G206,0))</f>
        <v/>
      </c>
      <c r="AR207" s="46">
        <f>AQ207*IF(B207&gt;=in_marketplace_from,d_hz_two_wheeler*G207,0)</f>
        <v/>
      </c>
      <c r="AS207" s="14">
        <f>F207*AR207*in_two_wheeler_ticket*in_two_wheeler_comm*in_ins_partner_share+F207*in_two_wheeler_ticket*in_two_wheeler_comm*in_ins_partner_share*(in_two_wheeler_renew^1*SUMIFS(AR179:AR235,B179:B235,B207-12)+in_two_wheeler_renew^2*SUMIFS(AR179:AR235,B179:B235,B207-24)+in_two_wheeler_renew^3*SUMIFS(AR179:AR235,B179:B235,B207-36)+in_two_wheeler_renew^4*SUMIFS(AR179:AR235,B179:B235,B207-48))</f>
        <v/>
      </c>
      <c r="AT207" s="40">
        <f>AT206*(1-IF(B206&gt;=in_marketplace_from,d_hz_device*G206,0))</f>
        <v/>
      </c>
      <c r="AU207" s="14">
        <f>F207*AT207*IF(B207&gt;=in_marketplace_from,d_hz_device*G207,0)*in_device_ticket*in_device_comm*in_ins_partner_share</f>
        <v/>
      </c>
      <c r="AV207" s="40">
        <f>AV206*(1-IF(B206&gt;=in_marketplace_from,d_hz_shop*G206,0))</f>
        <v/>
      </c>
      <c r="AW207" s="46">
        <f>AV207*IF(B207&gt;=in_marketplace_from,d_hz_shop*G207,0)</f>
        <v/>
      </c>
      <c r="AX207" s="14">
        <f>F207*AW207*in_shop_ticket*in_shop_comm*in_ins_partner_share+F207*in_shop_ticket*in_shop_renew_comm*in_ins_partner_share*(in_shop_renew^1*SUMIFS(AW179:AW235,B179:B235,B207-12)+in_shop_renew^2*SUMIFS(AW179:AW235,B179:B235,B207-24)+in_shop_renew^3*SUMIFS(AW179:AW235,B179:B235,B207-36)+in_shop_renew^4*SUMIFS(AW179:AW235,B179:B235,B207-48))</f>
        <v/>
      </c>
      <c r="AY207" s="40">
        <f>AY206*(1-IF(B206&gt;=in_marketplace_from,d_hz_sip*G206,0))</f>
        <v/>
      </c>
      <c r="AZ207" s="40">
        <f>AZ206*d_rho_sip+AY207*IF(B207&gt;=in_marketplace_from,d_hz_sip*G207,0)</f>
        <v/>
      </c>
      <c r="BA207" s="40">
        <f>d_rho_sip*(BA206+AZ206)</f>
        <v/>
      </c>
      <c r="BB207" s="14">
        <f>F207*in_sip_ticket*(BA207+0.5*AZ207)*in_sip_comm/12</f>
        <v/>
      </c>
      <c r="BC207" s="40">
        <f>BC206*(1-IF(B206&gt;=in_marketplace_from,d_hz_choti*G206,0))</f>
        <v/>
      </c>
      <c r="BD207" s="46">
        <f>BC207*IF(B207&gt;=in_marketplace_from,d_hz_choti*G207,0)</f>
        <v/>
      </c>
      <c r="BE207" s="14">
        <f>F207*SUMIFS(BD179:BD235,B179:B235,B207-in_choti_months)*in_choti_renew*in_choti_ticket</f>
        <v/>
      </c>
      <c r="BF207" s="40">
        <f>BF206*(1-IF(B206&gt;=in_marketplace_from,d_hz_nps*G206,0))</f>
        <v/>
      </c>
      <c r="BG207" s="14">
        <f>F207*BF207*IF(B207&gt;=in_marketplace_from,d_hz_nps*G207,0)*in_nps_ticket*in_nps_comm</f>
        <v/>
      </c>
      <c r="BH207" s="40">
        <f>BH206*(1-IF(B206&gt;=in_marketplace_from,d_hz_gold*G206,0))</f>
        <v/>
      </c>
      <c r="BI207" s="40">
        <f>BI206*d_rho_gold+BH207*IF(B207&gt;=in_marketplace_from,d_hz_gold*G207,0)</f>
        <v/>
      </c>
      <c r="BJ207" s="14">
        <f>F207*BI207*in_gold_ticket*in_gold_comm</f>
        <v/>
      </c>
      <c r="BK207" s="40">
        <f>BK206*(1-IF(B206&gt;=in_marketplace_from,d_hz_fd*G206,0))</f>
        <v/>
      </c>
      <c r="BL207" s="14">
        <f>F207*BK207*IF(B207&gt;=in_marketplace_from,d_hz_fd*G207,0)*in_fd_ticket*in_fd_comm</f>
        <v/>
      </c>
      <c r="BM207" s="40">
        <f>BM206*(1-IF(B206&gt;=in_marketplace_from,d_hz_recharge*G206,0))</f>
        <v/>
      </c>
      <c r="BN207" s="40">
        <f>BN206*d_rho_recharge+BM207*IF(B207&gt;=in_marketplace_from,d_hz_recharge*G207,0)</f>
        <v/>
      </c>
      <c r="BO207" s="14">
        <f>F207*BN207*in_recharge_ticket*in_recharge_comm/12</f>
        <v/>
      </c>
      <c r="BP207" s="40">
        <f>BP206*(1-IF(B206&gt;=in_marketplace_from,d_hz_bills*G206,0))</f>
        <v/>
      </c>
      <c r="BQ207" s="40">
        <f>BQ206*d_rho_bills+BP207*IF(B207&gt;=in_marketplace_from,d_hz_bills*G207,0)</f>
        <v/>
      </c>
      <c r="BR207" s="14">
        <f>F207*BQ207*in_bills_ticket*in_bills_comm/12</f>
        <v/>
      </c>
      <c r="BS207" s="40">
        <f>BS206*(1-IF(B206&gt;=in_marketplace_from,d_hz_loan_gold*G206,0))</f>
        <v/>
      </c>
      <c r="BT207" s="14">
        <f>F207*BS207*IF(B207&gt;=in_marketplace_from,d_hz_loan_gold*G207,0)*in_loan_gold_ticket*in_loan_gold_comm</f>
        <v/>
      </c>
      <c r="BU207" s="40">
        <f>BU206*(1-IF(B206&gt;=in_marketplace_from,d_hz_loan_cd*G206,0))</f>
        <v/>
      </c>
      <c r="BV207" s="14">
        <f>F207*BU207*IF(B207&gt;=in_marketplace_from,d_hz_loan_cd*G207,0)*in_loan_cd_ticket*in_loan_cd_comm</f>
        <v/>
      </c>
      <c r="BW207" s="40">
        <f>BW206*(1-IF(B206&gt;=in_marketplace_from,d_hz_loan_vehicle*G206,0))</f>
        <v/>
      </c>
      <c r="BX207" s="14">
        <f>F207*BW207*IF(B207&gt;=in_marketplace_from,d_hz_loan_vehicle*G207,0)*in_loan_vehicle_ticket*in_loan_vehicle_comm</f>
        <v/>
      </c>
      <c r="BY207" s="40">
        <f>BY206*(1-IF(B206&gt;=in_marketplace_from,d_hz_loan_home*G206,0)*BZ206)</f>
        <v/>
      </c>
      <c r="BZ207" s="11">
        <f>MIN(in_approval_cap,in_loan_home_approval*INDEX('Age profile'!$O$2:$O$61,B207)*(1+in_approval_growth)^(D207-1))</f>
        <v/>
      </c>
      <c r="CA207" s="14">
        <f>F207*BY207*IF(B207&gt;=in_marketplace_from,d_hz_loan_home*G207,0)*BZ207*in_loan_home_ticket*in_loan_home_comm</f>
        <v/>
      </c>
      <c r="CB207" s="40">
        <f>CB206*(1-IF(B206&gt;=in_marketplace_from,d_hz_loan_lap*G206,0)*CC206)</f>
        <v/>
      </c>
      <c r="CC207" s="11">
        <f>MIN(in_approval_cap,in_loan_lap_approval*INDEX('Age profile'!$O$2:$O$61,B207)*(1+in_approval_growth)^(D207-1))</f>
        <v/>
      </c>
      <c r="CD207" s="14">
        <f>F207*CB207*IF(B207&gt;=in_marketplace_from,d_hz_loan_lap*G207,0)*CC207*in_loan_lap_ticket*in_loan_lap_comm</f>
        <v/>
      </c>
      <c r="CE207" s="14">
        <f>AA207+AB207+AC207+AD207+AG207+AJ207+AM207+AP207+AS207+AU207+AX207+BB207+BE207+BG207+BJ207+BL207+BO207+BR207+BT207+BV207+BX207+CA207+CD207</f>
        <v/>
      </c>
    </row>
    <row r="208">
      <c r="A208" s="39" t="n">
        <v>4</v>
      </c>
      <c r="B208" s="39" t="n">
        <v>30</v>
      </c>
      <c r="C208" s="39">
        <f>A208+B208-1</f>
        <v/>
      </c>
      <c r="D208" s="39">
        <f>INT((C208-1)/12)+1</f>
        <v/>
      </c>
      <c r="E208" s="44">
        <f>INDEX(Monthly!$B$2:$B$61,A208)</f>
        <v/>
      </c>
      <c r="F208" s="44">
        <f>E208*INDEX('Age profile'!$B$2:$B$61,B208)</f>
        <v/>
      </c>
      <c r="G208" s="45">
        <f>MIN(in_takeup_cap,INDEX('Age profile'!$N$2:$N$61,B208)*(1+in_takeup_growth)^(D208-1))</f>
        <v/>
      </c>
      <c r="H208" s="11">
        <f>MIN(in_approval_cap,in_approved_first*INDEX('Age profile'!$O$2:$O$61,B208)*(1+in_approval_growth)^(D208-1))</f>
        <v/>
      </c>
      <c r="I208" s="45">
        <f>G208*MIN(in_takeup_cap,INDEX('Age profile'!$O$2:$O$61,B208)*(1+in_approval_growth)^(D208-1))</f>
        <v/>
      </c>
      <c r="J208" s="40">
        <f>(J207-L207)*F208/F207</f>
        <v/>
      </c>
      <c r="K208" s="40">
        <f>(K207-M207)*F208/F207+SUMIFS(O179:O207,B179:B207,B208-1-d_T)*F208</f>
        <v/>
      </c>
      <c r="L208" s="40">
        <f>IF(B208&gt;=in_marketplace_from,J208*d_hz*G208*in_eligible*H208,0)</f>
        <v/>
      </c>
      <c r="M208" s="40">
        <f>IF(B208&gt;=in_marketplace_from,K208*d_hz*G208*in_eligible*in_approved_repeat,0)</f>
        <v/>
      </c>
      <c r="N208" s="40">
        <f>L208+M208</f>
        <v/>
      </c>
      <c r="O208" s="46">
        <f>N208/F208</f>
        <v/>
      </c>
      <c r="P208" s="40">
        <f>F208-J208-K208</f>
        <v/>
      </c>
      <c r="Q208" s="40">
        <f>IF(B208&gt;=in_marketplace_from,(J208+K208)*d_hz*G208,0)</f>
        <v/>
      </c>
      <c r="R208" s="40">
        <f>SUMIFS(N179:N235,B179:B235,"&gt;="&amp;(B208-d_T),B179:B235,"&lt;="&amp;(B208-1))</f>
        <v/>
      </c>
      <c r="S208" s="46">
        <f>(1-d_u)*S207+IF(d_T&gt;in_topup_lag,SUMIFS(O179:O235,B179:B235,B208-in_topup_lag)-d_udrop*SUMIFS(O179:O235,B179:B235,B208-d_T),0)</f>
        <v/>
      </c>
      <c r="T208" s="40">
        <f>F208*d_u*S208</f>
        <v/>
      </c>
      <c r="U208" s="9">
        <f>L208*in_ticket+M208*d_rep_ticket</f>
        <v/>
      </c>
      <c r="V208" s="9">
        <f>U208+T208*d_topup_amt</f>
        <v/>
      </c>
      <c r="W208" s="40">
        <f>N208+T208*d_topup_ratio</f>
        <v/>
      </c>
      <c r="X208" s="40">
        <f>SUMIFS(W179:W235,B179:B235,B208-in_dpd_lag)*d_cured</f>
        <v/>
      </c>
      <c r="Y208" s="40">
        <f>SUMIFS(W179:W235,B179:B235,B208-in_rec_lag)*d_recd</f>
        <v/>
      </c>
      <c r="Z208" s="40">
        <f>IF(AND(B208&gt;=in_marketplace_from,B208&lt;in_marketplace_from+in_card_months),in_card_share/in_card_months*F208*I208,IF(AND(B208&gt;=in_marketplace_from+in_card_months,B208&lt;in_marketplace_from+2*in_card_months),in_card_share*d_card_rem/in_card_months*F208*MIN(in_takeup_cap,(1+in_takeup_growth)^(D208-1))*MIN(in_takeup_cap,(1+in_approval_growth)^(D208-1)),0))</f>
        <v/>
      </c>
      <c r="AA208" s="14">
        <f>V208*in_fee*(1-in_taken_back)</f>
        <v/>
      </c>
      <c r="AB208" s="14">
        <f>SUMIFS(W179:W235,B179:B235,B208-in_dpd_lag)*d_dpd</f>
        <v/>
      </c>
      <c r="AC208" s="14">
        <f>SUMIFS(W179:W235,B179:B235,B208-in_rec_lag)*d_rec</f>
        <v/>
      </c>
      <c r="AD208" s="14">
        <f>Z208*in_card_fee</f>
        <v/>
      </c>
      <c r="AE208" s="40">
        <f>AE207*(1-IF(B207&gt;=in_marketplace_from,d_hz_hlth_small*G207,0))</f>
        <v/>
      </c>
      <c r="AF208" s="46">
        <f>AE208*IF(B208&gt;=in_marketplace_from,d_hz_hlth_small*G208,0)</f>
        <v/>
      </c>
      <c r="AG208" s="14">
        <f>F208*AF208*in_hlth_small_ticket*in_hlth_small_comm*in_ins_partner_share+F208*in_hlth_small_ticket*in_hlth_small_renew_comm*in_ins_partner_share*(in_hlth_small_renew^1*SUMIFS(AF179:AF235,B179:B235,B208-12)+in_hlth_small_renew^2*SUMIFS(AF179:AF235,B179:B235,B208-24)+in_hlth_small_renew^3*SUMIFS(AF179:AF235,B179:B235,B208-36)+in_hlth_small_renew^4*SUMIFS(AF179:AF235,B179:B235,B208-48))</f>
        <v/>
      </c>
      <c r="AH208" s="40">
        <f>AH207*(1-IF(B207&gt;=in_marketplace_from,d_hz_hlth_family*G207,0))</f>
        <v/>
      </c>
      <c r="AI208" s="46">
        <f>AH208*IF(B208&gt;=in_marketplace_from,d_hz_hlth_family*G208,0)</f>
        <v/>
      </c>
      <c r="AJ208" s="14">
        <f>F208*AI208*in_hlth_family_ticket*in_hlth_family_comm*in_ins_partner_share+F208*in_hlth_family_ticket*in_hlth_family_renew_comm*in_ins_partner_share*(in_hlth_family_renew^1*SUMIFS(AI179:AI235,B179:B235,B208-12)+in_hlth_family_renew^2*SUMIFS(AI179:AI235,B179:B235,B208-24)+in_hlth_family_renew^3*SUMIFS(AI179:AI235,B179:B235,B208-36)+in_hlth_family_renew^4*SUMIFS(AI179:AI235,B179:B235,B208-48))</f>
        <v/>
      </c>
      <c r="AK208" s="40">
        <f>AK207*(1-IF(B207&gt;=in_marketplace_from,d_hz_life_term*G207,0))</f>
        <v/>
      </c>
      <c r="AL208" s="46">
        <f>AK208*IF(B208&gt;=in_marketplace_from,d_hz_life_term*G208,0)</f>
        <v/>
      </c>
      <c r="AM208" s="14">
        <f>F208*AL208*in_life_term_ticket*in_life_term_comm*in_ins_partner_share+F208*in_life_term_ticket*in_life_term_renew_comm*in_ins_partner_share*(in_life_term_renew^1*SUMIFS(AL179:AL235,B179:B235,B208-12)+in_life_term_renew^2*SUMIFS(AL179:AL235,B179:B235,B208-24)+in_life_term_renew^3*SUMIFS(AL179:AL235,B179:B235,B208-36)+in_life_term_renew^4*SUMIFS(AL179:AL235,B179:B235,B208-48))</f>
        <v/>
      </c>
      <c r="AN208" s="40">
        <f>AN207*(1-IF(B207&gt;=in_marketplace_from,d_hz_accident*G207,0))</f>
        <v/>
      </c>
      <c r="AO208" s="46">
        <f>AN208*IF(B208&gt;=in_marketplace_from,d_hz_accident*G208,0)</f>
        <v/>
      </c>
      <c r="AP208" s="14">
        <f>F208*AO208*in_accident_ticket*in_accident_comm*in_ins_partner_share+F208*in_accident_ticket*in_accident_renew_comm*in_ins_partner_share*(in_accident_renew^1*SUMIFS(AO179:AO235,B179:B235,B208-12)+in_accident_renew^2*SUMIFS(AO179:AO235,B179:B235,B208-24)+in_accident_renew^3*SUMIFS(AO179:AO235,B179:B235,B208-36)+in_accident_renew^4*SUMIFS(AO179:AO235,B179:B235,B208-48))</f>
        <v/>
      </c>
      <c r="AQ208" s="40">
        <f>AQ207*(1-IF(B207&gt;=in_marketplace_from,d_hz_two_wheeler*G207,0))</f>
        <v/>
      </c>
      <c r="AR208" s="46">
        <f>AQ208*IF(B208&gt;=in_marketplace_from,d_hz_two_wheeler*G208,0)</f>
        <v/>
      </c>
      <c r="AS208" s="14">
        <f>F208*AR208*in_two_wheeler_ticket*in_two_wheeler_comm*in_ins_partner_share+F208*in_two_wheeler_ticket*in_two_wheeler_comm*in_ins_partner_share*(in_two_wheeler_renew^1*SUMIFS(AR179:AR235,B179:B235,B208-12)+in_two_wheeler_renew^2*SUMIFS(AR179:AR235,B179:B235,B208-24)+in_two_wheeler_renew^3*SUMIFS(AR179:AR235,B179:B235,B208-36)+in_two_wheeler_renew^4*SUMIFS(AR179:AR235,B179:B235,B208-48))</f>
        <v/>
      </c>
      <c r="AT208" s="40">
        <f>AT207*(1-IF(B207&gt;=in_marketplace_from,d_hz_device*G207,0))</f>
        <v/>
      </c>
      <c r="AU208" s="14">
        <f>F208*AT208*IF(B208&gt;=in_marketplace_from,d_hz_device*G208,0)*in_device_ticket*in_device_comm*in_ins_partner_share</f>
        <v/>
      </c>
      <c r="AV208" s="40">
        <f>AV207*(1-IF(B207&gt;=in_marketplace_from,d_hz_shop*G207,0))</f>
        <v/>
      </c>
      <c r="AW208" s="46">
        <f>AV208*IF(B208&gt;=in_marketplace_from,d_hz_shop*G208,0)</f>
        <v/>
      </c>
      <c r="AX208" s="14">
        <f>F208*AW208*in_shop_ticket*in_shop_comm*in_ins_partner_share+F208*in_shop_ticket*in_shop_renew_comm*in_ins_partner_share*(in_shop_renew^1*SUMIFS(AW179:AW235,B179:B235,B208-12)+in_shop_renew^2*SUMIFS(AW179:AW235,B179:B235,B208-24)+in_shop_renew^3*SUMIFS(AW179:AW235,B179:B235,B208-36)+in_shop_renew^4*SUMIFS(AW179:AW235,B179:B235,B208-48))</f>
        <v/>
      </c>
      <c r="AY208" s="40">
        <f>AY207*(1-IF(B207&gt;=in_marketplace_from,d_hz_sip*G207,0))</f>
        <v/>
      </c>
      <c r="AZ208" s="40">
        <f>AZ207*d_rho_sip+AY208*IF(B208&gt;=in_marketplace_from,d_hz_sip*G208,0)</f>
        <v/>
      </c>
      <c r="BA208" s="40">
        <f>d_rho_sip*(BA207+AZ207)</f>
        <v/>
      </c>
      <c r="BB208" s="14">
        <f>F208*in_sip_ticket*(BA208+0.5*AZ208)*in_sip_comm/12</f>
        <v/>
      </c>
      <c r="BC208" s="40">
        <f>BC207*(1-IF(B207&gt;=in_marketplace_from,d_hz_choti*G207,0))</f>
        <v/>
      </c>
      <c r="BD208" s="46">
        <f>BC208*IF(B208&gt;=in_marketplace_from,d_hz_choti*G208,0)</f>
        <v/>
      </c>
      <c r="BE208" s="14">
        <f>F208*SUMIFS(BD179:BD235,B179:B235,B208-in_choti_months)*in_choti_renew*in_choti_ticket</f>
        <v/>
      </c>
      <c r="BF208" s="40">
        <f>BF207*(1-IF(B207&gt;=in_marketplace_from,d_hz_nps*G207,0))</f>
        <v/>
      </c>
      <c r="BG208" s="14">
        <f>F208*BF208*IF(B208&gt;=in_marketplace_from,d_hz_nps*G208,0)*in_nps_ticket*in_nps_comm</f>
        <v/>
      </c>
      <c r="BH208" s="40">
        <f>BH207*(1-IF(B207&gt;=in_marketplace_from,d_hz_gold*G207,0))</f>
        <v/>
      </c>
      <c r="BI208" s="40">
        <f>BI207*d_rho_gold+BH208*IF(B208&gt;=in_marketplace_from,d_hz_gold*G208,0)</f>
        <v/>
      </c>
      <c r="BJ208" s="14">
        <f>F208*BI208*in_gold_ticket*in_gold_comm</f>
        <v/>
      </c>
      <c r="BK208" s="40">
        <f>BK207*(1-IF(B207&gt;=in_marketplace_from,d_hz_fd*G207,0))</f>
        <v/>
      </c>
      <c r="BL208" s="14">
        <f>F208*BK208*IF(B208&gt;=in_marketplace_from,d_hz_fd*G208,0)*in_fd_ticket*in_fd_comm</f>
        <v/>
      </c>
      <c r="BM208" s="40">
        <f>BM207*(1-IF(B207&gt;=in_marketplace_from,d_hz_recharge*G207,0))</f>
        <v/>
      </c>
      <c r="BN208" s="40">
        <f>BN207*d_rho_recharge+BM208*IF(B208&gt;=in_marketplace_from,d_hz_recharge*G208,0)</f>
        <v/>
      </c>
      <c r="BO208" s="14">
        <f>F208*BN208*in_recharge_ticket*in_recharge_comm/12</f>
        <v/>
      </c>
      <c r="BP208" s="40">
        <f>BP207*(1-IF(B207&gt;=in_marketplace_from,d_hz_bills*G207,0))</f>
        <v/>
      </c>
      <c r="BQ208" s="40">
        <f>BQ207*d_rho_bills+BP208*IF(B208&gt;=in_marketplace_from,d_hz_bills*G208,0)</f>
        <v/>
      </c>
      <c r="BR208" s="14">
        <f>F208*BQ208*in_bills_ticket*in_bills_comm/12</f>
        <v/>
      </c>
      <c r="BS208" s="40">
        <f>BS207*(1-IF(B207&gt;=in_marketplace_from,d_hz_loan_gold*G207,0))</f>
        <v/>
      </c>
      <c r="BT208" s="14">
        <f>F208*BS208*IF(B208&gt;=in_marketplace_from,d_hz_loan_gold*G208,0)*in_loan_gold_ticket*in_loan_gold_comm</f>
        <v/>
      </c>
      <c r="BU208" s="40">
        <f>BU207*(1-IF(B207&gt;=in_marketplace_from,d_hz_loan_cd*G207,0))</f>
        <v/>
      </c>
      <c r="BV208" s="14">
        <f>F208*BU208*IF(B208&gt;=in_marketplace_from,d_hz_loan_cd*G208,0)*in_loan_cd_ticket*in_loan_cd_comm</f>
        <v/>
      </c>
      <c r="BW208" s="40">
        <f>BW207*(1-IF(B207&gt;=in_marketplace_from,d_hz_loan_vehicle*G207,0))</f>
        <v/>
      </c>
      <c r="BX208" s="14">
        <f>F208*BW208*IF(B208&gt;=in_marketplace_from,d_hz_loan_vehicle*G208,0)*in_loan_vehicle_ticket*in_loan_vehicle_comm</f>
        <v/>
      </c>
      <c r="BY208" s="40">
        <f>BY207*(1-IF(B207&gt;=in_marketplace_from,d_hz_loan_home*G207,0)*BZ207)</f>
        <v/>
      </c>
      <c r="BZ208" s="11">
        <f>MIN(in_approval_cap,in_loan_home_approval*INDEX('Age profile'!$O$2:$O$61,B208)*(1+in_approval_growth)^(D208-1))</f>
        <v/>
      </c>
      <c r="CA208" s="14">
        <f>F208*BY208*IF(B208&gt;=in_marketplace_from,d_hz_loan_home*G208,0)*BZ208*in_loan_home_ticket*in_loan_home_comm</f>
        <v/>
      </c>
      <c r="CB208" s="40">
        <f>CB207*(1-IF(B207&gt;=in_marketplace_from,d_hz_loan_lap*G207,0)*CC207)</f>
        <v/>
      </c>
      <c r="CC208" s="11">
        <f>MIN(in_approval_cap,in_loan_lap_approval*INDEX('Age profile'!$O$2:$O$61,B208)*(1+in_approval_growth)^(D208-1))</f>
        <v/>
      </c>
      <c r="CD208" s="14">
        <f>F208*CB208*IF(B208&gt;=in_marketplace_from,d_hz_loan_lap*G208,0)*CC208*in_loan_lap_ticket*in_loan_lap_comm</f>
        <v/>
      </c>
      <c r="CE208" s="14">
        <f>AA208+AB208+AC208+AD208+AG208+AJ208+AM208+AP208+AS208+AU208+AX208+BB208+BE208+BG208+BJ208+BL208+BO208+BR208+BT208+BV208+BX208+CA208+CD208</f>
        <v/>
      </c>
    </row>
    <row r="209">
      <c r="A209" s="39" t="n">
        <v>4</v>
      </c>
      <c r="B209" s="39" t="n">
        <v>31</v>
      </c>
      <c r="C209" s="39">
        <f>A209+B209-1</f>
        <v/>
      </c>
      <c r="D209" s="39">
        <f>INT((C209-1)/12)+1</f>
        <v/>
      </c>
      <c r="E209" s="44">
        <f>INDEX(Monthly!$B$2:$B$61,A209)</f>
        <v/>
      </c>
      <c r="F209" s="44">
        <f>E209*INDEX('Age profile'!$B$2:$B$61,B209)</f>
        <v/>
      </c>
      <c r="G209" s="45">
        <f>MIN(in_takeup_cap,INDEX('Age profile'!$N$2:$N$61,B209)*(1+in_takeup_growth)^(D209-1))</f>
        <v/>
      </c>
      <c r="H209" s="11">
        <f>MIN(in_approval_cap,in_approved_first*INDEX('Age profile'!$O$2:$O$61,B209)*(1+in_approval_growth)^(D209-1))</f>
        <v/>
      </c>
      <c r="I209" s="45">
        <f>G209*MIN(in_takeup_cap,INDEX('Age profile'!$O$2:$O$61,B209)*(1+in_approval_growth)^(D209-1))</f>
        <v/>
      </c>
      <c r="J209" s="40">
        <f>(J208-L208)*F209/F208</f>
        <v/>
      </c>
      <c r="K209" s="40">
        <f>(K208-M208)*F209/F208+SUMIFS(O179:O208,B179:B208,B209-1-d_T)*F209</f>
        <v/>
      </c>
      <c r="L209" s="40">
        <f>IF(B209&gt;=in_marketplace_from,J209*d_hz*G209*in_eligible*H209,0)</f>
        <v/>
      </c>
      <c r="M209" s="40">
        <f>IF(B209&gt;=in_marketplace_from,K209*d_hz*G209*in_eligible*in_approved_repeat,0)</f>
        <v/>
      </c>
      <c r="N209" s="40">
        <f>L209+M209</f>
        <v/>
      </c>
      <c r="O209" s="46">
        <f>N209/F209</f>
        <v/>
      </c>
      <c r="P209" s="40">
        <f>F209-J209-K209</f>
        <v/>
      </c>
      <c r="Q209" s="40">
        <f>IF(B209&gt;=in_marketplace_from,(J209+K209)*d_hz*G209,0)</f>
        <v/>
      </c>
      <c r="R209" s="40">
        <f>SUMIFS(N179:N235,B179:B235,"&gt;="&amp;(B209-d_T),B179:B235,"&lt;="&amp;(B209-1))</f>
        <v/>
      </c>
      <c r="S209" s="46">
        <f>(1-d_u)*S208+IF(d_T&gt;in_topup_lag,SUMIFS(O179:O235,B179:B235,B209-in_topup_lag)-d_udrop*SUMIFS(O179:O235,B179:B235,B209-d_T),0)</f>
        <v/>
      </c>
      <c r="T209" s="40">
        <f>F209*d_u*S209</f>
        <v/>
      </c>
      <c r="U209" s="9">
        <f>L209*in_ticket+M209*d_rep_ticket</f>
        <v/>
      </c>
      <c r="V209" s="9">
        <f>U209+T209*d_topup_amt</f>
        <v/>
      </c>
      <c r="W209" s="40">
        <f>N209+T209*d_topup_ratio</f>
        <v/>
      </c>
      <c r="X209" s="40">
        <f>SUMIFS(W179:W235,B179:B235,B209-in_dpd_lag)*d_cured</f>
        <v/>
      </c>
      <c r="Y209" s="40">
        <f>SUMIFS(W179:W235,B179:B235,B209-in_rec_lag)*d_recd</f>
        <v/>
      </c>
      <c r="Z209" s="40">
        <f>IF(AND(B209&gt;=in_marketplace_from,B209&lt;in_marketplace_from+in_card_months),in_card_share/in_card_months*F209*I209,IF(AND(B209&gt;=in_marketplace_from+in_card_months,B209&lt;in_marketplace_from+2*in_card_months),in_card_share*d_card_rem/in_card_months*F209*MIN(in_takeup_cap,(1+in_takeup_growth)^(D209-1))*MIN(in_takeup_cap,(1+in_approval_growth)^(D209-1)),0))</f>
        <v/>
      </c>
      <c r="AA209" s="14">
        <f>V209*in_fee*(1-in_taken_back)</f>
        <v/>
      </c>
      <c r="AB209" s="14">
        <f>SUMIFS(W179:W235,B179:B235,B209-in_dpd_lag)*d_dpd</f>
        <v/>
      </c>
      <c r="AC209" s="14">
        <f>SUMIFS(W179:W235,B179:B235,B209-in_rec_lag)*d_rec</f>
        <v/>
      </c>
      <c r="AD209" s="14">
        <f>Z209*in_card_fee</f>
        <v/>
      </c>
      <c r="AE209" s="40">
        <f>AE208*(1-IF(B208&gt;=in_marketplace_from,d_hz_hlth_small*G208,0))</f>
        <v/>
      </c>
      <c r="AF209" s="46">
        <f>AE209*IF(B209&gt;=in_marketplace_from,d_hz_hlth_small*G209,0)</f>
        <v/>
      </c>
      <c r="AG209" s="14">
        <f>F209*AF209*in_hlth_small_ticket*in_hlth_small_comm*in_ins_partner_share+F209*in_hlth_small_ticket*in_hlth_small_renew_comm*in_ins_partner_share*(in_hlth_small_renew^1*SUMIFS(AF179:AF235,B179:B235,B209-12)+in_hlth_small_renew^2*SUMIFS(AF179:AF235,B179:B235,B209-24)+in_hlth_small_renew^3*SUMIFS(AF179:AF235,B179:B235,B209-36)+in_hlth_small_renew^4*SUMIFS(AF179:AF235,B179:B235,B209-48))</f>
        <v/>
      </c>
      <c r="AH209" s="40">
        <f>AH208*(1-IF(B208&gt;=in_marketplace_from,d_hz_hlth_family*G208,0))</f>
        <v/>
      </c>
      <c r="AI209" s="46">
        <f>AH209*IF(B209&gt;=in_marketplace_from,d_hz_hlth_family*G209,0)</f>
        <v/>
      </c>
      <c r="AJ209" s="14">
        <f>F209*AI209*in_hlth_family_ticket*in_hlth_family_comm*in_ins_partner_share+F209*in_hlth_family_ticket*in_hlth_family_renew_comm*in_ins_partner_share*(in_hlth_family_renew^1*SUMIFS(AI179:AI235,B179:B235,B209-12)+in_hlth_family_renew^2*SUMIFS(AI179:AI235,B179:B235,B209-24)+in_hlth_family_renew^3*SUMIFS(AI179:AI235,B179:B235,B209-36)+in_hlth_family_renew^4*SUMIFS(AI179:AI235,B179:B235,B209-48))</f>
        <v/>
      </c>
      <c r="AK209" s="40">
        <f>AK208*(1-IF(B208&gt;=in_marketplace_from,d_hz_life_term*G208,0))</f>
        <v/>
      </c>
      <c r="AL209" s="46">
        <f>AK209*IF(B209&gt;=in_marketplace_from,d_hz_life_term*G209,0)</f>
        <v/>
      </c>
      <c r="AM209" s="14">
        <f>F209*AL209*in_life_term_ticket*in_life_term_comm*in_ins_partner_share+F209*in_life_term_ticket*in_life_term_renew_comm*in_ins_partner_share*(in_life_term_renew^1*SUMIFS(AL179:AL235,B179:B235,B209-12)+in_life_term_renew^2*SUMIFS(AL179:AL235,B179:B235,B209-24)+in_life_term_renew^3*SUMIFS(AL179:AL235,B179:B235,B209-36)+in_life_term_renew^4*SUMIFS(AL179:AL235,B179:B235,B209-48))</f>
        <v/>
      </c>
      <c r="AN209" s="40">
        <f>AN208*(1-IF(B208&gt;=in_marketplace_from,d_hz_accident*G208,0))</f>
        <v/>
      </c>
      <c r="AO209" s="46">
        <f>AN209*IF(B209&gt;=in_marketplace_from,d_hz_accident*G209,0)</f>
        <v/>
      </c>
      <c r="AP209" s="14">
        <f>F209*AO209*in_accident_ticket*in_accident_comm*in_ins_partner_share+F209*in_accident_ticket*in_accident_renew_comm*in_ins_partner_share*(in_accident_renew^1*SUMIFS(AO179:AO235,B179:B235,B209-12)+in_accident_renew^2*SUMIFS(AO179:AO235,B179:B235,B209-24)+in_accident_renew^3*SUMIFS(AO179:AO235,B179:B235,B209-36)+in_accident_renew^4*SUMIFS(AO179:AO235,B179:B235,B209-48))</f>
        <v/>
      </c>
      <c r="AQ209" s="40">
        <f>AQ208*(1-IF(B208&gt;=in_marketplace_from,d_hz_two_wheeler*G208,0))</f>
        <v/>
      </c>
      <c r="AR209" s="46">
        <f>AQ209*IF(B209&gt;=in_marketplace_from,d_hz_two_wheeler*G209,0)</f>
        <v/>
      </c>
      <c r="AS209" s="14">
        <f>F209*AR209*in_two_wheeler_ticket*in_two_wheeler_comm*in_ins_partner_share+F209*in_two_wheeler_ticket*in_two_wheeler_comm*in_ins_partner_share*(in_two_wheeler_renew^1*SUMIFS(AR179:AR235,B179:B235,B209-12)+in_two_wheeler_renew^2*SUMIFS(AR179:AR235,B179:B235,B209-24)+in_two_wheeler_renew^3*SUMIFS(AR179:AR235,B179:B235,B209-36)+in_two_wheeler_renew^4*SUMIFS(AR179:AR235,B179:B235,B209-48))</f>
        <v/>
      </c>
      <c r="AT209" s="40">
        <f>AT208*(1-IF(B208&gt;=in_marketplace_from,d_hz_device*G208,0))</f>
        <v/>
      </c>
      <c r="AU209" s="14">
        <f>F209*AT209*IF(B209&gt;=in_marketplace_from,d_hz_device*G209,0)*in_device_ticket*in_device_comm*in_ins_partner_share</f>
        <v/>
      </c>
      <c r="AV209" s="40">
        <f>AV208*(1-IF(B208&gt;=in_marketplace_from,d_hz_shop*G208,0))</f>
        <v/>
      </c>
      <c r="AW209" s="46">
        <f>AV209*IF(B209&gt;=in_marketplace_from,d_hz_shop*G209,0)</f>
        <v/>
      </c>
      <c r="AX209" s="14">
        <f>F209*AW209*in_shop_ticket*in_shop_comm*in_ins_partner_share+F209*in_shop_ticket*in_shop_renew_comm*in_ins_partner_share*(in_shop_renew^1*SUMIFS(AW179:AW235,B179:B235,B209-12)+in_shop_renew^2*SUMIFS(AW179:AW235,B179:B235,B209-24)+in_shop_renew^3*SUMIFS(AW179:AW235,B179:B235,B209-36)+in_shop_renew^4*SUMIFS(AW179:AW235,B179:B235,B209-48))</f>
        <v/>
      </c>
      <c r="AY209" s="40">
        <f>AY208*(1-IF(B208&gt;=in_marketplace_from,d_hz_sip*G208,0))</f>
        <v/>
      </c>
      <c r="AZ209" s="40">
        <f>AZ208*d_rho_sip+AY209*IF(B209&gt;=in_marketplace_from,d_hz_sip*G209,0)</f>
        <v/>
      </c>
      <c r="BA209" s="40">
        <f>d_rho_sip*(BA208+AZ208)</f>
        <v/>
      </c>
      <c r="BB209" s="14">
        <f>F209*in_sip_ticket*(BA209+0.5*AZ209)*in_sip_comm/12</f>
        <v/>
      </c>
      <c r="BC209" s="40">
        <f>BC208*(1-IF(B208&gt;=in_marketplace_from,d_hz_choti*G208,0))</f>
        <v/>
      </c>
      <c r="BD209" s="46">
        <f>BC209*IF(B209&gt;=in_marketplace_from,d_hz_choti*G209,0)</f>
        <v/>
      </c>
      <c r="BE209" s="14">
        <f>F209*SUMIFS(BD179:BD235,B179:B235,B209-in_choti_months)*in_choti_renew*in_choti_ticket</f>
        <v/>
      </c>
      <c r="BF209" s="40">
        <f>BF208*(1-IF(B208&gt;=in_marketplace_from,d_hz_nps*G208,0))</f>
        <v/>
      </c>
      <c r="BG209" s="14">
        <f>F209*BF209*IF(B209&gt;=in_marketplace_from,d_hz_nps*G209,0)*in_nps_ticket*in_nps_comm</f>
        <v/>
      </c>
      <c r="BH209" s="40">
        <f>BH208*(1-IF(B208&gt;=in_marketplace_from,d_hz_gold*G208,0))</f>
        <v/>
      </c>
      <c r="BI209" s="40">
        <f>BI208*d_rho_gold+BH209*IF(B209&gt;=in_marketplace_from,d_hz_gold*G209,0)</f>
        <v/>
      </c>
      <c r="BJ209" s="14">
        <f>F209*BI209*in_gold_ticket*in_gold_comm</f>
        <v/>
      </c>
      <c r="BK209" s="40">
        <f>BK208*(1-IF(B208&gt;=in_marketplace_from,d_hz_fd*G208,0))</f>
        <v/>
      </c>
      <c r="BL209" s="14">
        <f>F209*BK209*IF(B209&gt;=in_marketplace_from,d_hz_fd*G209,0)*in_fd_ticket*in_fd_comm</f>
        <v/>
      </c>
      <c r="BM209" s="40">
        <f>BM208*(1-IF(B208&gt;=in_marketplace_from,d_hz_recharge*G208,0))</f>
        <v/>
      </c>
      <c r="BN209" s="40">
        <f>BN208*d_rho_recharge+BM209*IF(B209&gt;=in_marketplace_from,d_hz_recharge*G209,0)</f>
        <v/>
      </c>
      <c r="BO209" s="14">
        <f>F209*BN209*in_recharge_ticket*in_recharge_comm/12</f>
        <v/>
      </c>
      <c r="BP209" s="40">
        <f>BP208*(1-IF(B208&gt;=in_marketplace_from,d_hz_bills*G208,0))</f>
        <v/>
      </c>
      <c r="BQ209" s="40">
        <f>BQ208*d_rho_bills+BP209*IF(B209&gt;=in_marketplace_from,d_hz_bills*G209,0)</f>
        <v/>
      </c>
      <c r="BR209" s="14">
        <f>F209*BQ209*in_bills_ticket*in_bills_comm/12</f>
        <v/>
      </c>
      <c r="BS209" s="40">
        <f>BS208*(1-IF(B208&gt;=in_marketplace_from,d_hz_loan_gold*G208,0))</f>
        <v/>
      </c>
      <c r="BT209" s="14">
        <f>F209*BS209*IF(B209&gt;=in_marketplace_from,d_hz_loan_gold*G209,0)*in_loan_gold_ticket*in_loan_gold_comm</f>
        <v/>
      </c>
      <c r="BU209" s="40">
        <f>BU208*(1-IF(B208&gt;=in_marketplace_from,d_hz_loan_cd*G208,0))</f>
        <v/>
      </c>
      <c r="BV209" s="14">
        <f>F209*BU209*IF(B209&gt;=in_marketplace_from,d_hz_loan_cd*G209,0)*in_loan_cd_ticket*in_loan_cd_comm</f>
        <v/>
      </c>
      <c r="BW209" s="40">
        <f>BW208*(1-IF(B208&gt;=in_marketplace_from,d_hz_loan_vehicle*G208,0))</f>
        <v/>
      </c>
      <c r="BX209" s="14">
        <f>F209*BW209*IF(B209&gt;=in_marketplace_from,d_hz_loan_vehicle*G209,0)*in_loan_vehicle_ticket*in_loan_vehicle_comm</f>
        <v/>
      </c>
      <c r="BY209" s="40">
        <f>BY208*(1-IF(B208&gt;=in_marketplace_from,d_hz_loan_home*G208,0)*BZ208)</f>
        <v/>
      </c>
      <c r="BZ209" s="11">
        <f>MIN(in_approval_cap,in_loan_home_approval*INDEX('Age profile'!$O$2:$O$61,B209)*(1+in_approval_growth)^(D209-1))</f>
        <v/>
      </c>
      <c r="CA209" s="14">
        <f>F209*BY209*IF(B209&gt;=in_marketplace_from,d_hz_loan_home*G209,0)*BZ209*in_loan_home_ticket*in_loan_home_comm</f>
        <v/>
      </c>
      <c r="CB209" s="40">
        <f>CB208*(1-IF(B208&gt;=in_marketplace_from,d_hz_loan_lap*G208,0)*CC208)</f>
        <v/>
      </c>
      <c r="CC209" s="11">
        <f>MIN(in_approval_cap,in_loan_lap_approval*INDEX('Age profile'!$O$2:$O$61,B209)*(1+in_approval_growth)^(D209-1))</f>
        <v/>
      </c>
      <c r="CD209" s="14">
        <f>F209*CB209*IF(B209&gt;=in_marketplace_from,d_hz_loan_lap*G209,0)*CC209*in_loan_lap_ticket*in_loan_lap_comm</f>
        <v/>
      </c>
      <c r="CE209" s="14">
        <f>AA209+AB209+AC209+AD209+AG209+AJ209+AM209+AP209+AS209+AU209+AX209+BB209+BE209+BG209+BJ209+BL209+BO209+BR209+BT209+BV209+BX209+CA209+CD209</f>
        <v/>
      </c>
    </row>
    <row r="210">
      <c r="A210" s="39" t="n">
        <v>4</v>
      </c>
      <c r="B210" s="39" t="n">
        <v>32</v>
      </c>
      <c r="C210" s="39">
        <f>A210+B210-1</f>
        <v/>
      </c>
      <c r="D210" s="39">
        <f>INT((C210-1)/12)+1</f>
        <v/>
      </c>
      <c r="E210" s="44">
        <f>INDEX(Monthly!$B$2:$B$61,A210)</f>
        <v/>
      </c>
      <c r="F210" s="44">
        <f>E210*INDEX('Age profile'!$B$2:$B$61,B210)</f>
        <v/>
      </c>
      <c r="G210" s="45">
        <f>MIN(in_takeup_cap,INDEX('Age profile'!$N$2:$N$61,B210)*(1+in_takeup_growth)^(D210-1))</f>
        <v/>
      </c>
      <c r="H210" s="11">
        <f>MIN(in_approval_cap,in_approved_first*INDEX('Age profile'!$O$2:$O$61,B210)*(1+in_approval_growth)^(D210-1))</f>
        <v/>
      </c>
      <c r="I210" s="45">
        <f>G210*MIN(in_takeup_cap,INDEX('Age profile'!$O$2:$O$61,B210)*(1+in_approval_growth)^(D210-1))</f>
        <v/>
      </c>
      <c r="J210" s="40">
        <f>(J209-L209)*F210/F209</f>
        <v/>
      </c>
      <c r="K210" s="40">
        <f>(K209-M209)*F210/F209+SUMIFS(O179:O209,B179:B209,B210-1-d_T)*F210</f>
        <v/>
      </c>
      <c r="L210" s="40">
        <f>IF(B210&gt;=in_marketplace_from,J210*d_hz*G210*in_eligible*H210,0)</f>
        <v/>
      </c>
      <c r="M210" s="40">
        <f>IF(B210&gt;=in_marketplace_from,K210*d_hz*G210*in_eligible*in_approved_repeat,0)</f>
        <v/>
      </c>
      <c r="N210" s="40">
        <f>L210+M210</f>
        <v/>
      </c>
      <c r="O210" s="46">
        <f>N210/F210</f>
        <v/>
      </c>
      <c r="P210" s="40">
        <f>F210-J210-K210</f>
        <v/>
      </c>
      <c r="Q210" s="40">
        <f>IF(B210&gt;=in_marketplace_from,(J210+K210)*d_hz*G210,0)</f>
        <v/>
      </c>
      <c r="R210" s="40">
        <f>SUMIFS(N179:N235,B179:B235,"&gt;="&amp;(B210-d_T),B179:B235,"&lt;="&amp;(B210-1))</f>
        <v/>
      </c>
      <c r="S210" s="46">
        <f>(1-d_u)*S209+IF(d_T&gt;in_topup_lag,SUMIFS(O179:O235,B179:B235,B210-in_topup_lag)-d_udrop*SUMIFS(O179:O235,B179:B235,B210-d_T),0)</f>
        <v/>
      </c>
      <c r="T210" s="40">
        <f>F210*d_u*S210</f>
        <v/>
      </c>
      <c r="U210" s="9">
        <f>L210*in_ticket+M210*d_rep_ticket</f>
        <v/>
      </c>
      <c r="V210" s="9">
        <f>U210+T210*d_topup_amt</f>
        <v/>
      </c>
      <c r="W210" s="40">
        <f>N210+T210*d_topup_ratio</f>
        <v/>
      </c>
      <c r="X210" s="40">
        <f>SUMIFS(W179:W235,B179:B235,B210-in_dpd_lag)*d_cured</f>
        <v/>
      </c>
      <c r="Y210" s="40">
        <f>SUMIFS(W179:W235,B179:B235,B210-in_rec_lag)*d_recd</f>
        <v/>
      </c>
      <c r="Z210" s="40">
        <f>IF(AND(B210&gt;=in_marketplace_from,B210&lt;in_marketplace_from+in_card_months),in_card_share/in_card_months*F210*I210,IF(AND(B210&gt;=in_marketplace_from+in_card_months,B210&lt;in_marketplace_from+2*in_card_months),in_card_share*d_card_rem/in_card_months*F210*MIN(in_takeup_cap,(1+in_takeup_growth)^(D210-1))*MIN(in_takeup_cap,(1+in_approval_growth)^(D210-1)),0))</f>
        <v/>
      </c>
      <c r="AA210" s="14">
        <f>V210*in_fee*(1-in_taken_back)</f>
        <v/>
      </c>
      <c r="AB210" s="14">
        <f>SUMIFS(W179:W235,B179:B235,B210-in_dpd_lag)*d_dpd</f>
        <v/>
      </c>
      <c r="AC210" s="14">
        <f>SUMIFS(W179:W235,B179:B235,B210-in_rec_lag)*d_rec</f>
        <v/>
      </c>
      <c r="AD210" s="14">
        <f>Z210*in_card_fee</f>
        <v/>
      </c>
      <c r="AE210" s="40">
        <f>AE209*(1-IF(B209&gt;=in_marketplace_from,d_hz_hlth_small*G209,0))</f>
        <v/>
      </c>
      <c r="AF210" s="46">
        <f>AE210*IF(B210&gt;=in_marketplace_from,d_hz_hlth_small*G210,0)</f>
        <v/>
      </c>
      <c r="AG210" s="14">
        <f>F210*AF210*in_hlth_small_ticket*in_hlth_small_comm*in_ins_partner_share+F210*in_hlth_small_ticket*in_hlth_small_renew_comm*in_ins_partner_share*(in_hlth_small_renew^1*SUMIFS(AF179:AF235,B179:B235,B210-12)+in_hlth_small_renew^2*SUMIFS(AF179:AF235,B179:B235,B210-24)+in_hlth_small_renew^3*SUMIFS(AF179:AF235,B179:B235,B210-36)+in_hlth_small_renew^4*SUMIFS(AF179:AF235,B179:B235,B210-48))</f>
        <v/>
      </c>
      <c r="AH210" s="40">
        <f>AH209*(1-IF(B209&gt;=in_marketplace_from,d_hz_hlth_family*G209,0))</f>
        <v/>
      </c>
      <c r="AI210" s="46">
        <f>AH210*IF(B210&gt;=in_marketplace_from,d_hz_hlth_family*G210,0)</f>
        <v/>
      </c>
      <c r="AJ210" s="14">
        <f>F210*AI210*in_hlth_family_ticket*in_hlth_family_comm*in_ins_partner_share+F210*in_hlth_family_ticket*in_hlth_family_renew_comm*in_ins_partner_share*(in_hlth_family_renew^1*SUMIFS(AI179:AI235,B179:B235,B210-12)+in_hlth_family_renew^2*SUMIFS(AI179:AI235,B179:B235,B210-24)+in_hlth_family_renew^3*SUMIFS(AI179:AI235,B179:B235,B210-36)+in_hlth_family_renew^4*SUMIFS(AI179:AI235,B179:B235,B210-48))</f>
        <v/>
      </c>
      <c r="AK210" s="40">
        <f>AK209*(1-IF(B209&gt;=in_marketplace_from,d_hz_life_term*G209,0))</f>
        <v/>
      </c>
      <c r="AL210" s="46">
        <f>AK210*IF(B210&gt;=in_marketplace_from,d_hz_life_term*G210,0)</f>
        <v/>
      </c>
      <c r="AM210" s="14">
        <f>F210*AL210*in_life_term_ticket*in_life_term_comm*in_ins_partner_share+F210*in_life_term_ticket*in_life_term_renew_comm*in_ins_partner_share*(in_life_term_renew^1*SUMIFS(AL179:AL235,B179:B235,B210-12)+in_life_term_renew^2*SUMIFS(AL179:AL235,B179:B235,B210-24)+in_life_term_renew^3*SUMIFS(AL179:AL235,B179:B235,B210-36)+in_life_term_renew^4*SUMIFS(AL179:AL235,B179:B235,B210-48))</f>
        <v/>
      </c>
      <c r="AN210" s="40">
        <f>AN209*(1-IF(B209&gt;=in_marketplace_from,d_hz_accident*G209,0))</f>
        <v/>
      </c>
      <c r="AO210" s="46">
        <f>AN210*IF(B210&gt;=in_marketplace_from,d_hz_accident*G210,0)</f>
        <v/>
      </c>
      <c r="AP210" s="14">
        <f>F210*AO210*in_accident_ticket*in_accident_comm*in_ins_partner_share+F210*in_accident_ticket*in_accident_renew_comm*in_ins_partner_share*(in_accident_renew^1*SUMIFS(AO179:AO235,B179:B235,B210-12)+in_accident_renew^2*SUMIFS(AO179:AO235,B179:B235,B210-24)+in_accident_renew^3*SUMIFS(AO179:AO235,B179:B235,B210-36)+in_accident_renew^4*SUMIFS(AO179:AO235,B179:B235,B210-48))</f>
        <v/>
      </c>
      <c r="AQ210" s="40">
        <f>AQ209*(1-IF(B209&gt;=in_marketplace_from,d_hz_two_wheeler*G209,0))</f>
        <v/>
      </c>
      <c r="AR210" s="46">
        <f>AQ210*IF(B210&gt;=in_marketplace_from,d_hz_two_wheeler*G210,0)</f>
        <v/>
      </c>
      <c r="AS210" s="14">
        <f>F210*AR210*in_two_wheeler_ticket*in_two_wheeler_comm*in_ins_partner_share+F210*in_two_wheeler_ticket*in_two_wheeler_comm*in_ins_partner_share*(in_two_wheeler_renew^1*SUMIFS(AR179:AR235,B179:B235,B210-12)+in_two_wheeler_renew^2*SUMIFS(AR179:AR235,B179:B235,B210-24)+in_two_wheeler_renew^3*SUMIFS(AR179:AR235,B179:B235,B210-36)+in_two_wheeler_renew^4*SUMIFS(AR179:AR235,B179:B235,B210-48))</f>
        <v/>
      </c>
      <c r="AT210" s="40">
        <f>AT209*(1-IF(B209&gt;=in_marketplace_from,d_hz_device*G209,0))</f>
        <v/>
      </c>
      <c r="AU210" s="14">
        <f>F210*AT210*IF(B210&gt;=in_marketplace_from,d_hz_device*G210,0)*in_device_ticket*in_device_comm*in_ins_partner_share</f>
        <v/>
      </c>
      <c r="AV210" s="40">
        <f>AV209*(1-IF(B209&gt;=in_marketplace_from,d_hz_shop*G209,0))</f>
        <v/>
      </c>
      <c r="AW210" s="46">
        <f>AV210*IF(B210&gt;=in_marketplace_from,d_hz_shop*G210,0)</f>
        <v/>
      </c>
      <c r="AX210" s="14">
        <f>F210*AW210*in_shop_ticket*in_shop_comm*in_ins_partner_share+F210*in_shop_ticket*in_shop_renew_comm*in_ins_partner_share*(in_shop_renew^1*SUMIFS(AW179:AW235,B179:B235,B210-12)+in_shop_renew^2*SUMIFS(AW179:AW235,B179:B235,B210-24)+in_shop_renew^3*SUMIFS(AW179:AW235,B179:B235,B210-36)+in_shop_renew^4*SUMIFS(AW179:AW235,B179:B235,B210-48))</f>
        <v/>
      </c>
      <c r="AY210" s="40">
        <f>AY209*(1-IF(B209&gt;=in_marketplace_from,d_hz_sip*G209,0))</f>
        <v/>
      </c>
      <c r="AZ210" s="40">
        <f>AZ209*d_rho_sip+AY210*IF(B210&gt;=in_marketplace_from,d_hz_sip*G210,0)</f>
        <v/>
      </c>
      <c r="BA210" s="40">
        <f>d_rho_sip*(BA209+AZ209)</f>
        <v/>
      </c>
      <c r="BB210" s="14">
        <f>F210*in_sip_ticket*(BA210+0.5*AZ210)*in_sip_comm/12</f>
        <v/>
      </c>
      <c r="BC210" s="40">
        <f>BC209*(1-IF(B209&gt;=in_marketplace_from,d_hz_choti*G209,0))</f>
        <v/>
      </c>
      <c r="BD210" s="46">
        <f>BC210*IF(B210&gt;=in_marketplace_from,d_hz_choti*G210,0)</f>
        <v/>
      </c>
      <c r="BE210" s="14">
        <f>F210*SUMIFS(BD179:BD235,B179:B235,B210-in_choti_months)*in_choti_renew*in_choti_ticket</f>
        <v/>
      </c>
      <c r="BF210" s="40">
        <f>BF209*(1-IF(B209&gt;=in_marketplace_from,d_hz_nps*G209,0))</f>
        <v/>
      </c>
      <c r="BG210" s="14">
        <f>F210*BF210*IF(B210&gt;=in_marketplace_from,d_hz_nps*G210,0)*in_nps_ticket*in_nps_comm</f>
        <v/>
      </c>
      <c r="BH210" s="40">
        <f>BH209*(1-IF(B209&gt;=in_marketplace_from,d_hz_gold*G209,0))</f>
        <v/>
      </c>
      <c r="BI210" s="40">
        <f>BI209*d_rho_gold+BH210*IF(B210&gt;=in_marketplace_from,d_hz_gold*G210,0)</f>
        <v/>
      </c>
      <c r="BJ210" s="14">
        <f>F210*BI210*in_gold_ticket*in_gold_comm</f>
        <v/>
      </c>
      <c r="BK210" s="40">
        <f>BK209*(1-IF(B209&gt;=in_marketplace_from,d_hz_fd*G209,0))</f>
        <v/>
      </c>
      <c r="BL210" s="14">
        <f>F210*BK210*IF(B210&gt;=in_marketplace_from,d_hz_fd*G210,0)*in_fd_ticket*in_fd_comm</f>
        <v/>
      </c>
      <c r="BM210" s="40">
        <f>BM209*(1-IF(B209&gt;=in_marketplace_from,d_hz_recharge*G209,0))</f>
        <v/>
      </c>
      <c r="BN210" s="40">
        <f>BN209*d_rho_recharge+BM210*IF(B210&gt;=in_marketplace_from,d_hz_recharge*G210,0)</f>
        <v/>
      </c>
      <c r="BO210" s="14">
        <f>F210*BN210*in_recharge_ticket*in_recharge_comm/12</f>
        <v/>
      </c>
      <c r="BP210" s="40">
        <f>BP209*(1-IF(B209&gt;=in_marketplace_from,d_hz_bills*G209,0))</f>
        <v/>
      </c>
      <c r="BQ210" s="40">
        <f>BQ209*d_rho_bills+BP210*IF(B210&gt;=in_marketplace_from,d_hz_bills*G210,0)</f>
        <v/>
      </c>
      <c r="BR210" s="14">
        <f>F210*BQ210*in_bills_ticket*in_bills_comm/12</f>
        <v/>
      </c>
      <c r="BS210" s="40">
        <f>BS209*(1-IF(B209&gt;=in_marketplace_from,d_hz_loan_gold*G209,0))</f>
        <v/>
      </c>
      <c r="BT210" s="14">
        <f>F210*BS210*IF(B210&gt;=in_marketplace_from,d_hz_loan_gold*G210,0)*in_loan_gold_ticket*in_loan_gold_comm</f>
        <v/>
      </c>
      <c r="BU210" s="40">
        <f>BU209*(1-IF(B209&gt;=in_marketplace_from,d_hz_loan_cd*G209,0))</f>
        <v/>
      </c>
      <c r="BV210" s="14">
        <f>F210*BU210*IF(B210&gt;=in_marketplace_from,d_hz_loan_cd*G210,0)*in_loan_cd_ticket*in_loan_cd_comm</f>
        <v/>
      </c>
      <c r="BW210" s="40">
        <f>BW209*(1-IF(B209&gt;=in_marketplace_from,d_hz_loan_vehicle*G209,0))</f>
        <v/>
      </c>
      <c r="BX210" s="14">
        <f>F210*BW210*IF(B210&gt;=in_marketplace_from,d_hz_loan_vehicle*G210,0)*in_loan_vehicle_ticket*in_loan_vehicle_comm</f>
        <v/>
      </c>
      <c r="BY210" s="40">
        <f>BY209*(1-IF(B209&gt;=in_marketplace_from,d_hz_loan_home*G209,0)*BZ209)</f>
        <v/>
      </c>
      <c r="BZ210" s="11">
        <f>MIN(in_approval_cap,in_loan_home_approval*INDEX('Age profile'!$O$2:$O$61,B210)*(1+in_approval_growth)^(D210-1))</f>
        <v/>
      </c>
      <c r="CA210" s="14">
        <f>F210*BY210*IF(B210&gt;=in_marketplace_from,d_hz_loan_home*G210,0)*BZ210*in_loan_home_ticket*in_loan_home_comm</f>
        <v/>
      </c>
      <c r="CB210" s="40">
        <f>CB209*(1-IF(B209&gt;=in_marketplace_from,d_hz_loan_lap*G209,0)*CC209)</f>
        <v/>
      </c>
      <c r="CC210" s="11">
        <f>MIN(in_approval_cap,in_loan_lap_approval*INDEX('Age profile'!$O$2:$O$61,B210)*(1+in_approval_growth)^(D210-1))</f>
        <v/>
      </c>
      <c r="CD210" s="14">
        <f>F210*CB210*IF(B210&gt;=in_marketplace_from,d_hz_loan_lap*G210,0)*CC210*in_loan_lap_ticket*in_loan_lap_comm</f>
        <v/>
      </c>
      <c r="CE210" s="14">
        <f>AA210+AB210+AC210+AD210+AG210+AJ210+AM210+AP210+AS210+AU210+AX210+BB210+BE210+BG210+BJ210+BL210+BO210+BR210+BT210+BV210+BX210+CA210+CD210</f>
        <v/>
      </c>
    </row>
    <row r="211">
      <c r="A211" s="39" t="n">
        <v>4</v>
      </c>
      <c r="B211" s="39" t="n">
        <v>33</v>
      </c>
      <c r="C211" s="39">
        <f>A211+B211-1</f>
        <v/>
      </c>
      <c r="D211" s="39">
        <f>INT((C211-1)/12)+1</f>
        <v/>
      </c>
      <c r="E211" s="44">
        <f>INDEX(Monthly!$B$2:$B$61,A211)</f>
        <v/>
      </c>
      <c r="F211" s="44">
        <f>E211*INDEX('Age profile'!$B$2:$B$61,B211)</f>
        <v/>
      </c>
      <c r="G211" s="45">
        <f>MIN(in_takeup_cap,INDEX('Age profile'!$N$2:$N$61,B211)*(1+in_takeup_growth)^(D211-1))</f>
        <v/>
      </c>
      <c r="H211" s="11">
        <f>MIN(in_approval_cap,in_approved_first*INDEX('Age profile'!$O$2:$O$61,B211)*(1+in_approval_growth)^(D211-1))</f>
        <v/>
      </c>
      <c r="I211" s="45">
        <f>G211*MIN(in_takeup_cap,INDEX('Age profile'!$O$2:$O$61,B211)*(1+in_approval_growth)^(D211-1))</f>
        <v/>
      </c>
      <c r="J211" s="40">
        <f>(J210-L210)*F211/F210</f>
        <v/>
      </c>
      <c r="K211" s="40">
        <f>(K210-M210)*F211/F210+SUMIFS(O179:O210,B179:B210,B211-1-d_T)*F211</f>
        <v/>
      </c>
      <c r="L211" s="40">
        <f>IF(B211&gt;=in_marketplace_from,J211*d_hz*G211*in_eligible*H211,0)</f>
        <v/>
      </c>
      <c r="M211" s="40">
        <f>IF(B211&gt;=in_marketplace_from,K211*d_hz*G211*in_eligible*in_approved_repeat,0)</f>
        <v/>
      </c>
      <c r="N211" s="40">
        <f>L211+M211</f>
        <v/>
      </c>
      <c r="O211" s="46">
        <f>N211/F211</f>
        <v/>
      </c>
      <c r="P211" s="40">
        <f>F211-J211-K211</f>
        <v/>
      </c>
      <c r="Q211" s="40">
        <f>IF(B211&gt;=in_marketplace_from,(J211+K211)*d_hz*G211,0)</f>
        <v/>
      </c>
      <c r="R211" s="40">
        <f>SUMIFS(N179:N235,B179:B235,"&gt;="&amp;(B211-d_T),B179:B235,"&lt;="&amp;(B211-1))</f>
        <v/>
      </c>
      <c r="S211" s="46">
        <f>(1-d_u)*S210+IF(d_T&gt;in_topup_lag,SUMIFS(O179:O235,B179:B235,B211-in_topup_lag)-d_udrop*SUMIFS(O179:O235,B179:B235,B211-d_T),0)</f>
        <v/>
      </c>
      <c r="T211" s="40">
        <f>F211*d_u*S211</f>
        <v/>
      </c>
      <c r="U211" s="9">
        <f>L211*in_ticket+M211*d_rep_ticket</f>
        <v/>
      </c>
      <c r="V211" s="9">
        <f>U211+T211*d_topup_amt</f>
        <v/>
      </c>
      <c r="W211" s="40">
        <f>N211+T211*d_topup_ratio</f>
        <v/>
      </c>
      <c r="X211" s="40">
        <f>SUMIFS(W179:W235,B179:B235,B211-in_dpd_lag)*d_cured</f>
        <v/>
      </c>
      <c r="Y211" s="40">
        <f>SUMIFS(W179:W235,B179:B235,B211-in_rec_lag)*d_recd</f>
        <v/>
      </c>
      <c r="Z211" s="40">
        <f>IF(AND(B211&gt;=in_marketplace_from,B211&lt;in_marketplace_from+in_card_months),in_card_share/in_card_months*F211*I211,IF(AND(B211&gt;=in_marketplace_from+in_card_months,B211&lt;in_marketplace_from+2*in_card_months),in_card_share*d_card_rem/in_card_months*F211*MIN(in_takeup_cap,(1+in_takeup_growth)^(D211-1))*MIN(in_takeup_cap,(1+in_approval_growth)^(D211-1)),0))</f>
        <v/>
      </c>
      <c r="AA211" s="14">
        <f>V211*in_fee*(1-in_taken_back)</f>
        <v/>
      </c>
      <c r="AB211" s="14">
        <f>SUMIFS(W179:W235,B179:B235,B211-in_dpd_lag)*d_dpd</f>
        <v/>
      </c>
      <c r="AC211" s="14">
        <f>SUMIFS(W179:W235,B179:B235,B211-in_rec_lag)*d_rec</f>
        <v/>
      </c>
      <c r="AD211" s="14">
        <f>Z211*in_card_fee</f>
        <v/>
      </c>
      <c r="AE211" s="40">
        <f>AE210*(1-IF(B210&gt;=in_marketplace_from,d_hz_hlth_small*G210,0))</f>
        <v/>
      </c>
      <c r="AF211" s="46">
        <f>AE211*IF(B211&gt;=in_marketplace_from,d_hz_hlth_small*G211,0)</f>
        <v/>
      </c>
      <c r="AG211" s="14">
        <f>F211*AF211*in_hlth_small_ticket*in_hlth_small_comm*in_ins_partner_share+F211*in_hlth_small_ticket*in_hlth_small_renew_comm*in_ins_partner_share*(in_hlth_small_renew^1*SUMIFS(AF179:AF235,B179:B235,B211-12)+in_hlth_small_renew^2*SUMIFS(AF179:AF235,B179:B235,B211-24)+in_hlth_small_renew^3*SUMIFS(AF179:AF235,B179:B235,B211-36)+in_hlth_small_renew^4*SUMIFS(AF179:AF235,B179:B235,B211-48))</f>
        <v/>
      </c>
      <c r="AH211" s="40">
        <f>AH210*(1-IF(B210&gt;=in_marketplace_from,d_hz_hlth_family*G210,0))</f>
        <v/>
      </c>
      <c r="AI211" s="46">
        <f>AH211*IF(B211&gt;=in_marketplace_from,d_hz_hlth_family*G211,0)</f>
        <v/>
      </c>
      <c r="AJ211" s="14">
        <f>F211*AI211*in_hlth_family_ticket*in_hlth_family_comm*in_ins_partner_share+F211*in_hlth_family_ticket*in_hlth_family_renew_comm*in_ins_partner_share*(in_hlth_family_renew^1*SUMIFS(AI179:AI235,B179:B235,B211-12)+in_hlth_family_renew^2*SUMIFS(AI179:AI235,B179:B235,B211-24)+in_hlth_family_renew^3*SUMIFS(AI179:AI235,B179:B235,B211-36)+in_hlth_family_renew^4*SUMIFS(AI179:AI235,B179:B235,B211-48))</f>
        <v/>
      </c>
      <c r="AK211" s="40">
        <f>AK210*(1-IF(B210&gt;=in_marketplace_from,d_hz_life_term*G210,0))</f>
        <v/>
      </c>
      <c r="AL211" s="46">
        <f>AK211*IF(B211&gt;=in_marketplace_from,d_hz_life_term*G211,0)</f>
        <v/>
      </c>
      <c r="AM211" s="14">
        <f>F211*AL211*in_life_term_ticket*in_life_term_comm*in_ins_partner_share+F211*in_life_term_ticket*in_life_term_renew_comm*in_ins_partner_share*(in_life_term_renew^1*SUMIFS(AL179:AL235,B179:B235,B211-12)+in_life_term_renew^2*SUMIFS(AL179:AL235,B179:B235,B211-24)+in_life_term_renew^3*SUMIFS(AL179:AL235,B179:B235,B211-36)+in_life_term_renew^4*SUMIFS(AL179:AL235,B179:B235,B211-48))</f>
        <v/>
      </c>
      <c r="AN211" s="40">
        <f>AN210*(1-IF(B210&gt;=in_marketplace_from,d_hz_accident*G210,0))</f>
        <v/>
      </c>
      <c r="AO211" s="46">
        <f>AN211*IF(B211&gt;=in_marketplace_from,d_hz_accident*G211,0)</f>
        <v/>
      </c>
      <c r="AP211" s="14">
        <f>F211*AO211*in_accident_ticket*in_accident_comm*in_ins_partner_share+F211*in_accident_ticket*in_accident_renew_comm*in_ins_partner_share*(in_accident_renew^1*SUMIFS(AO179:AO235,B179:B235,B211-12)+in_accident_renew^2*SUMIFS(AO179:AO235,B179:B235,B211-24)+in_accident_renew^3*SUMIFS(AO179:AO235,B179:B235,B211-36)+in_accident_renew^4*SUMIFS(AO179:AO235,B179:B235,B211-48))</f>
        <v/>
      </c>
      <c r="AQ211" s="40">
        <f>AQ210*(1-IF(B210&gt;=in_marketplace_from,d_hz_two_wheeler*G210,0))</f>
        <v/>
      </c>
      <c r="AR211" s="46">
        <f>AQ211*IF(B211&gt;=in_marketplace_from,d_hz_two_wheeler*G211,0)</f>
        <v/>
      </c>
      <c r="AS211" s="14">
        <f>F211*AR211*in_two_wheeler_ticket*in_two_wheeler_comm*in_ins_partner_share+F211*in_two_wheeler_ticket*in_two_wheeler_comm*in_ins_partner_share*(in_two_wheeler_renew^1*SUMIFS(AR179:AR235,B179:B235,B211-12)+in_two_wheeler_renew^2*SUMIFS(AR179:AR235,B179:B235,B211-24)+in_two_wheeler_renew^3*SUMIFS(AR179:AR235,B179:B235,B211-36)+in_two_wheeler_renew^4*SUMIFS(AR179:AR235,B179:B235,B211-48))</f>
        <v/>
      </c>
      <c r="AT211" s="40">
        <f>AT210*(1-IF(B210&gt;=in_marketplace_from,d_hz_device*G210,0))</f>
        <v/>
      </c>
      <c r="AU211" s="14">
        <f>F211*AT211*IF(B211&gt;=in_marketplace_from,d_hz_device*G211,0)*in_device_ticket*in_device_comm*in_ins_partner_share</f>
        <v/>
      </c>
      <c r="AV211" s="40">
        <f>AV210*(1-IF(B210&gt;=in_marketplace_from,d_hz_shop*G210,0))</f>
        <v/>
      </c>
      <c r="AW211" s="46">
        <f>AV211*IF(B211&gt;=in_marketplace_from,d_hz_shop*G211,0)</f>
        <v/>
      </c>
      <c r="AX211" s="14">
        <f>F211*AW211*in_shop_ticket*in_shop_comm*in_ins_partner_share+F211*in_shop_ticket*in_shop_renew_comm*in_ins_partner_share*(in_shop_renew^1*SUMIFS(AW179:AW235,B179:B235,B211-12)+in_shop_renew^2*SUMIFS(AW179:AW235,B179:B235,B211-24)+in_shop_renew^3*SUMIFS(AW179:AW235,B179:B235,B211-36)+in_shop_renew^4*SUMIFS(AW179:AW235,B179:B235,B211-48))</f>
        <v/>
      </c>
      <c r="AY211" s="40">
        <f>AY210*(1-IF(B210&gt;=in_marketplace_from,d_hz_sip*G210,0))</f>
        <v/>
      </c>
      <c r="AZ211" s="40">
        <f>AZ210*d_rho_sip+AY211*IF(B211&gt;=in_marketplace_from,d_hz_sip*G211,0)</f>
        <v/>
      </c>
      <c r="BA211" s="40">
        <f>d_rho_sip*(BA210+AZ210)</f>
        <v/>
      </c>
      <c r="BB211" s="14">
        <f>F211*in_sip_ticket*(BA211+0.5*AZ211)*in_sip_comm/12</f>
        <v/>
      </c>
      <c r="BC211" s="40">
        <f>BC210*(1-IF(B210&gt;=in_marketplace_from,d_hz_choti*G210,0))</f>
        <v/>
      </c>
      <c r="BD211" s="46">
        <f>BC211*IF(B211&gt;=in_marketplace_from,d_hz_choti*G211,0)</f>
        <v/>
      </c>
      <c r="BE211" s="14">
        <f>F211*SUMIFS(BD179:BD235,B179:B235,B211-in_choti_months)*in_choti_renew*in_choti_ticket</f>
        <v/>
      </c>
      <c r="BF211" s="40">
        <f>BF210*(1-IF(B210&gt;=in_marketplace_from,d_hz_nps*G210,0))</f>
        <v/>
      </c>
      <c r="BG211" s="14">
        <f>F211*BF211*IF(B211&gt;=in_marketplace_from,d_hz_nps*G211,0)*in_nps_ticket*in_nps_comm</f>
        <v/>
      </c>
      <c r="BH211" s="40">
        <f>BH210*(1-IF(B210&gt;=in_marketplace_from,d_hz_gold*G210,0))</f>
        <v/>
      </c>
      <c r="BI211" s="40">
        <f>BI210*d_rho_gold+BH211*IF(B211&gt;=in_marketplace_from,d_hz_gold*G211,0)</f>
        <v/>
      </c>
      <c r="BJ211" s="14">
        <f>F211*BI211*in_gold_ticket*in_gold_comm</f>
        <v/>
      </c>
      <c r="BK211" s="40">
        <f>BK210*(1-IF(B210&gt;=in_marketplace_from,d_hz_fd*G210,0))</f>
        <v/>
      </c>
      <c r="BL211" s="14">
        <f>F211*BK211*IF(B211&gt;=in_marketplace_from,d_hz_fd*G211,0)*in_fd_ticket*in_fd_comm</f>
        <v/>
      </c>
      <c r="BM211" s="40">
        <f>BM210*(1-IF(B210&gt;=in_marketplace_from,d_hz_recharge*G210,0))</f>
        <v/>
      </c>
      <c r="BN211" s="40">
        <f>BN210*d_rho_recharge+BM211*IF(B211&gt;=in_marketplace_from,d_hz_recharge*G211,0)</f>
        <v/>
      </c>
      <c r="BO211" s="14">
        <f>F211*BN211*in_recharge_ticket*in_recharge_comm/12</f>
        <v/>
      </c>
      <c r="BP211" s="40">
        <f>BP210*(1-IF(B210&gt;=in_marketplace_from,d_hz_bills*G210,0))</f>
        <v/>
      </c>
      <c r="BQ211" s="40">
        <f>BQ210*d_rho_bills+BP211*IF(B211&gt;=in_marketplace_from,d_hz_bills*G211,0)</f>
        <v/>
      </c>
      <c r="BR211" s="14">
        <f>F211*BQ211*in_bills_ticket*in_bills_comm/12</f>
        <v/>
      </c>
      <c r="BS211" s="40">
        <f>BS210*(1-IF(B210&gt;=in_marketplace_from,d_hz_loan_gold*G210,0))</f>
        <v/>
      </c>
      <c r="BT211" s="14">
        <f>F211*BS211*IF(B211&gt;=in_marketplace_from,d_hz_loan_gold*G211,0)*in_loan_gold_ticket*in_loan_gold_comm</f>
        <v/>
      </c>
      <c r="BU211" s="40">
        <f>BU210*(1-IF(B210&gt;=in_marketplace_from,d_hz_loan_cd*G210,0))</f>
        <v/>
      </c>
      <c r="BV211" s="14">
        <f>F211*BU211*IF(B211&gt;=in_marketplace_from,d_hz_loan_cd*G211,0)*in_loan_cd_ticket*in_loan_cd_comm</f>
        <v/>
      </c>
      <c r="BW211" s="40">
        <f>BW210*(1-IF(B210&gt;=in_marketplace_from,d_hz_loan_vehicle*G210,0))</f>
        <v/>
      </c>
      <c r="BX211" s="14">
        <f>F211*BW211*IF(B211&gt;=in_marketplace_from,d_hz_loan_vehicle*G211,0)*in_loan_vehicle_ticket*in_loan_vehicle_comm</f>
        <v/>
      </c>
      <c r="BY211" s="40">
        <f>BY210*(1-IF(B210&gt;=in_marketplace_from,d_hz_loan_home*G210,0)*BZ210)</f>
        <v/>
      </c>
      <c r="BZ211" s="11">
        <f>MIN(in_approval_cap,in_loan_home_approval*INDEX('Age profile'!$O$2:$O$61,B211)*(1+in_approval_growth)^(D211-1))</f>
        <v/>
      </c>
      <c r="CA211" s="14">
        <f>F211*BY211*IF(B211&gt;=in_marketplace_from,d_hz_loan_home*G211,0)*BZ211*in_loan_home_ticket*in_loan_home_comm</f>
        <v/>
      </c>
      <c r="CB211" s="40">
        <f>CB210*(1-IF(B210&gt;=in_marketplace_from,d_hz_loan_lap*G210,0)*CC210)</f>
        <v/>
      </c>
      <c r="CC211" s="11">
        <f>MIN(in_approval_cap,in_loan_lap_approval*INDEX('Age profile'!$O$2:$O$61,B211)*(1+in_approval_growth)^(D211-1))</f>
        <v/>
      </c>
      <c r="CD211" s="14">
        <f>F211*CB211*IF(B211&gt;=in_marketplace_from,d_hz_loan_lap*G211,0)*CC211*in_loan_lap_ticket*in_loan_lap_comm</f>
        <v/>
      </c>
      <c r="CE211" s="14">
        <f>AA211+AB211+AC211+AD211+AG211+AJ211+AM211+AP211+AS211+AU211+AX211+BB211+BE211+BG211+BJ211+BL211+BO211+BR211+BT211+BV211+BX211+CA211+CD211</f>
        <v/>
      </c>
    </row>
    <row r="212">
      <c r="A212" s="39" t="n">
        <v>4</v>
      </c>
      <c r="B212" s="39" t="n">
        <v>34</v>
      </c>
      <c r="C212" s="39">
        <f>A212+B212-1</f>
        <v/>
      </c>
      <c r="D212" s="39">
        <f>INT((C212-1)/12)+1</f>
        <v/>
      </c>
      <c r="E212" s="44">
        <f>INDEX(Monthly!$B$2:$B$61,A212)</f>
        <v/>
      </c>
      <c r="F212" s="44">
        <f>E212*INDEX('Age profile'!$B$2:$B$61,B212)</f>
        <v/>
      </c>
      <c r="G212" s="45">
        <f>MIN(in_takeup_cap,INDEX('Age profile'!$N$2:$N$61,B212)*(1+in_takeup_growth)^(D212-1))</f>
        <v/>
      </c>
      <c r="H212" s="11">
        <f>MIN(in_approval_cap,in_approved_first*INDEX('Age profile'!$O$2:$O$61,B212)*(1+in_approval_growth)^(D212-1))</f>
        <v/>
      </c>
      <c r="I212" s="45">
        <f>G212*MIN(in_takeup_cap,INDEX('Age profile'!$O$2:$O$61,B212)*(1+in_approval_growth)^(D212-1))</f>
        <v/>
      </c>
      <c r="J212" s="40">
        <f>(J211-L211)*F212/F211</f>
        <v/>
      </c>
      <c r="K212" s="40">
        <f>(K211-M211)*F212/F211+SUMIFS(O179:O211,B179:B211,B212-1-d_T)*F212</f>
        <v/>
      </c>
      <c r="L212" s="40">
        <f>IF(B212&gt;=in_marketplace_from,J212*d_hz*G212*in_eligible*H212,0)</f>
        <v/>
      </c>
      <c r="M212" s="40">
        <f>IF(B212&gt;=in_marketplace_from,K212*d_hz*G212*in_eligible*in_approved_repeat,0)</f>
        <v/>
      </c>
      <c r="N212" s="40">
        <f>L212+M212</f>
        <v/>
      </c>
      <c r="O212" s="46">
        <f>N212/F212</f>
        <v/>
      </c>
      <c r="P212" s="40">
        <f>F212-J212-K212</f>
        <v/>
      </c>
      <c r="Q212" s="40">
        <f>IF(B212&gt;=in_marketplace_from,(J212+K212)*d_hz*G212,0)</f>
        <v/>
      </c>
      <c r="R212" s="40">
        <f>SUMIFS(N179:N235,B179:B235,"&gt;="&amp;(B212-d_T),B179:B235,"&lt;="&amp;(B212-1))</f>
        <v/>
      </c>
      <c r="S212" s="46">
        <f>(1-d_u)*S211+IF(d_T&gt;in_topup_lag,SUMIFS(O179:O235,B179:B235,B212-in_topup_lag)-d_udrop*SUMIFS(O179:O235,B179:B235,B212-d_T),0)</f>
        <v/>
      </c>
      <c r="T212" s="40">
        <f>F212*d_u*S212</f>
        <v/>
      </c>
      <c r="U212" s="9">
        <f>L212*in_ticket+M212*d_rep_ticket</f>
        <v/>
      </c>
      <c r="V212" s="9">
        <f>U212+T212*d_topup_amt</f>
        <v/>
      </c>
      <c r="W212" s="40">
        <f>N212+T212*d_topup_ratio</f>
        <v/>
      </c>
      <c r="X212" s="40">
        <f>SUMIFS(W179:W235,B179:B235,B212-in_dpd_lag)*d_cured</f>
        <v/>
      </c>
      <c r="Y212" s="40">
        <f>SUMIFS(W179:W235,B179:B235,B212-in_rec_lag)*d_recd</f>
        <v/>
      </c>
      <c r="Z212" s="40">
        <f>IF(AND(B212&gt;=in_marketplace_from,B212&lt;in_marketplace_from+in_card_months),in_card_share/in_card_months*F212*I212,IF(AND(B212&gt;=in_marketplace_from+in_card_months,B212&lt;in_marketplace_from+2*in_card_months),in_card_share*d_card_rem/in_card_months*F212*MIN(in_takeup_cap,(1+in_takeup_growth)^(D212-1))*MIN(in_takeup_cap,(1+in_approval_growth)^(D212-1)),0))</f>
        <v/>
      </c>
      <c r="AA212" s="14">
        <f>V212*in_fee*(1-in_taken_back)</f>
        <v/>
      </c>
      <c r="AB212" s="14">
        <f>SUMIFS(W179:W235,B179:B235,B212-in_dpd_lag)*d_dpd</f>
        <v/>
      </c>
      <c r="AC212" s="14">
        <f>SUMIFS(W179:W235,B179:B235,B212-in_rec_lag)*d_rec</f>
        <v/>
      </c>
      <c r="AD212" s="14">
        <f>Z212*in_card_fee</f>
        <v/>
      </c>
      <c r="AE212" s="40">
        <f>AE211*(1-IF(B211&gt;=in_marketplace_from,d_hz_hlth_small*G211,0))</f>
        <v/>
      </c>
      <c r="AF212" s="46">
        <f>AE212*IF(B212&gt;=in_marketplace_from,d_hz_hlth_small*G212,0)</f>
        <v/>
      </c>
      <c r="AG212" s="14">
        <f>F212*AF212*in_hlth_small_ticket*in_hlth_small_comm*in_ins_partner_share+F212*in_hlth_small_ticket*in_hlth_small_renew_comm*in_ins_partner_share*(in_hlth_small_renew^1*SUMIFS(AF179:AF235,B179:B235,B212-12)+in_hlth_small_renew^2*SUMIFS(AF179:AF235,B179:B235,B212-24)+in_hlth_small_renew^3*SUMIFS(AF179:AF235,B179:B235,B212-36)+in_hlth_small_renew^4*SUMIFS(AF179:AF235,B179:B235,B212-48))</f>
        <v/>
      </c>
      <c r="AH212" s="40">
        <f>AH211*(1-IF(B211&gt;=in_marketplace_from,d_hz_hlth_family*G211,0))</f>
        <v/>
      </c>
      <c r="AI212" s="46">
        <f>AH212*IF(B212&gt;=in_marketplace_from,d_hz_hlth_family*G212,0)</f>
        <v/>
      </c>
      <c r="AJ212" s="14">
        <f>F212*AI212*in_hlth_family_ticket*in_hlth_family_comm*in_ins_partner_share+F212*in_hlth_family_ticket*in_hlth_family_renew_comm*in_ins_partner_share*(in_hlth_family_renew^1*SUMIFS(AI179:AI235,B179:B235,B212-12)+in_hlth_family_renew^2*SUMIFS(AI179:AI235,B179:B235,B212-24)+in_hlth_family_renew^3*SUMIFS(AI179:AI235,B179:B235,B212-36)+in_hlth_family_renew^4*SUMIFS(AI179:AI235,B179:B235,B212-48))</f>
        <v/>
      </c>
      <c r="AK212" s="40">
        <f>AK211*(1-IF(B211&gt;=in_marketplace_from,d_hz_life_term*G211,0))</f>
        <v/>
      </c>
      <c r="AL212" s="46">
        <f>AK212*IF(B212&gt;=in_marketplace_from,d_hz_life_term*G212,0)</f>
        <v/>
      </c>
      <c r="AM212" s="14">
        <f>F212*AL212*in_life_term_ticket*in_life_term_comm*in_ins_partner_share+F212*in_life_term_ticket*in_life_term_renew_comm*in_ins_partner_share*(in_life_term_renew^1*SUMIFS(AL179:AL235,B179:B235,B212-12)+in_life_term_renew^2*SUMIFS(AL179:AL235,B179:B235,B212-24)+in_life_term_renew^3*SUMIFS(AL179:AL235,B179:B235,B212-36)+in_life_term_renew^4*SUMIFS(AL179:AL235,B179:B235,B212-48))</f>
        <v/>
      </c>
      <c r="AN212" s="40">
        <f>AN211*(1-IF(B211&gt;=in_marketplace_from,d_hz_accident*G211,0))</f>
        <v/>
      </c>
      <c r="AO212" s="46">
        <f>AN212*IF(B212&gt;=in_marketplace_from,d_hz_accident*G212,0)</f>
        <v/>
      </c>
      <c r="AP212" s="14">
        <f>F212*AO212*in_accident_ticket*in_accident_comm*in_ins_partner_share+F212*in_accident_ticket*in_accident_renew_comm*in_ins_partner_share*(in_accident_renew^1*SUMIFS(AO179:AO235,B179:B235,B212-12)+in_accident_renew^2*SUMIFS(AO179:AO235,B179:B235,B212-24)+in_accident_renew^3*SUMIFS(AO179:AO235,B179:B235,B212-36)+in_accident_renew^4*SUMIFS(AO179:AO235,B179:B235,B212-48))</f>
        <v/>
      </c>
      <c r="AQ212" s="40">
        <f>AQ211*(1-IF(B211&gt;=in_marketplace_from,d_hz_two_wheeler*G211,0))</f>
        <v/>
      </c>
      <c r="AR212" s="46">
        <f>AQ212*IF(B212&gt;=in_marketplace_from,d_hz_two_wheeler*G212,0)</f>
        <v/>
      </c>
      <c r="AS212" s="14">
        <f>F212*AR212*in_two_wheeler_ticket*in_two_wheeler_comm*in_ins_partner_share+F212*in_two_wheeler_ticket*in_two_wheeler_comm*in_ins_partner_share*(in_two_wheeler_renew^1*SUMIFS(AR179:AR235,B179:B235,B212-12)+in_two_wheeler_renew^2*SUMIFS(AR179:AR235,B179:B235,B212-24)+in_two_wheeler_renew^3*SUMIFS(AR179:AR235,B179:B235,B212-36)+in_two_wheeler_renew^4*SUMIFS(AR179:AR235,B179:B235,B212-48))</f>
        <v/>
      </c>
      <c r="AT212" s="40">
        <f>AT211*(1-IF(B211&gt;=in_marketplace_from,d_hz_device*G211,0))</f>
        <v/>
      </c>
      <c r="AU212" s="14">
        <f>F212*AT212*IF(B212&gt;=in_marketplace_from,d_hz_device*G212,0)*in_device_ticket*in_device_comm*in_ins_partner_share</f>
        <v/>
      </c>
      <c r="AV212" s="40">
        <f>AV211*(1-IF(B211&gt;=in_marketplace_from,d_hz_shop*G211,0))</f>
        <v/>
      </c>
      <c r="AW212" s="46">
        <f>AV212*IF(B212&gt;=in_marketplace_from,d_hz_shop*G212,0)</f>
        <v/>
      </c>
      <c r="AX212" s="14">
        <f>F212*AW212*in_shop_ticket*in_shop_comm*in_ins_partner_share+F212*in_shop_ticket*in_shop_renew_comm*in_ins_partner_share*(in_shop_renew^1*SUMIFS(AW179:AW235,B179:B235,B212-12)+in_shop_renew^2*SUMIFS(AW179:AW235,B179:B235,B212-24)+in_shop_renew^3*SUMIFS(AW179:AW235,B179:B235,B212-36)+in_shop_renew^4*SUMIFS(AW179:AW235,B179:B235,B212-48))</f>
        <v/>
      </c>
      <c r="AY212" s="40">
        <f>AY211*(1-IF(B211&gt;=in_marketplace_from,d_hz_sip*G211,0))</f>
        <v/>
      </c>
      <c r="AZ212" s="40">
        <f>AZ211*d_rho_sip+AY212*IF(B212&gt;=in_marketplace_from,d_hz_sip*G212,0)</f>
        <v/>
      </c>
      <c r="BA212" s="40">
        <f>d_rho_sip*(BA211+AZ211)</f>
        <v/>
      </c>
      <c r="BB212" s="14">
        <f>F212*in_sip_ticket*(BA212+0.5*AZ212)*in_sip_comm/12</f>
        <v/>
      </c>
      <c r="BC212" s="40">
        <f>BC211*(1-IF(B211&gt;=in_marketplace_from,d_hz_choti*G211,0))</f>
        <v/>
      </c>
      <c r="BD212" s="46">
        <f>BC212*IF(B212&gt;=in_marketplace_from,d_hz_choti*G212,0)</f>
        <v/>
      </c>
      <c r="BE212" s="14">
        <f>F212*SUMIFS(BD179:BD235,B179:B235,B212-in_choti_months)*in_choti_renew*in_choti_ticket</f>
        <v/>
      </c>
      <c r="BF212" s="40">
        <f>BF211*(1-IF(B211&gt;=in_marketplace_from,d_hz_nps*G211,0))</f>
        <v/>
      </c>
      <c r="BG212" s="14">
        <f>F212*BF212*IF(B212&gt;=in_marketplace_from,d_hz_nps*G212,0)*in_nps_ticket*in_nps_comm</f>
        <v/>
      </c>
      <c r="BH212" s="40">
        <f>BH211*(1-IF(B211&gt;=in_marketplace_from,d_hz_gold*G211,0))</f>
        <v/>
      </c>
      <c r="BI212" s="40">
        <f>BI211*d_rho_gold+BH212*IF(B212&gt;=in_marketplace_from,d_hz_gold*G212,0)</f>
        <v/>
      </c>
      <c r="BJ212" s="14">
        <f>F212*BI212*in_gold_ticket*in_gold_comm</f>
        <v/>
      </c>
      <c r="BK212" s="40">
        <f>BK211*(1-IF(B211&gt;=in_marketplace_from,d_hz_fd*G211,0))</f>
        <v/>
      </c>
      <c r="BL212" s="14">
        <f>F212*BK212*IF(B212&gt;=in_marketplace_from,d_hz_fd*G212,0)*in_fd_ticket*in_fd_comm</f>
        <v/>
      </c>
      <c r="BM212" s="40">
        <f>BM211*(1-IF(B211&gt;=in_marketplace_from,d_hz_recharge*G211,0))</f>
        <v/>
      </c>
      <c r="BN212" s="40">
        <f>BN211*d_rho_recharge+BM212*IF(B212&gt;=in_marketplace_from,d_hz_recharge*G212,0)</f>
        <v/>
      </c>
      <c r="BO212" s="14">
        <f>F212*BN212*in_recharge_ticket*in_recharge_comm/12</f>
        <v/>
      </c>
      <c r="BP212" s="40">
        <f>BP211*(1-IF(B211&gt;=in_marketplace_from,d_hz_bills*G211,0))</f>
        <v/>
      </c>
      <c r="BQ212" s="40">
        <f>BQ211*d_rho_bills+BP212*IF(B212&gt;=in_marketplace_from,d_hz_bills*G212,0)</f>
        <v/>
      </c>
      <c r="BR212" s="14">
        <f>F212*BQ212*in_bills_ticket*in_bills_comm/12</f>
        <v/>
      </c>
      <c r="BS212" s="40">
        <f>BS211*(1-IF(B211&gt;=in_marketplace_from,d_hz_loan_gold*G211,0))</f>
        <v/>
      </c>
      <c r="BT212" s="14">
        <f>F212*BS212*IF(B212&gt;=in_marketplace_from,d_hz_loan_gold*G212,0)*in_loan_gold_ticket*in_loan_gold_comm</f>
        <v/>
      </c>
      <c r="BU212" s="40">
        <f>BU211*(1-IF(B211&gt;=in_marketplace_from,d_hz_loan_cd*G211,0))</f>
        <v/>
      </c>
      <c r="BV212" s="14">
        <f>F212*BU212*IF(B212&gt;=in_marketplace_from,d_hz_loan_cd*G212,0)*in_loan_cd_ticket*in_loan_cd_comm</f>
        <v/>
      </c>
      <c r="BW212" s="40">
        <f>BW211*(1-IF(B211&gt;=in_marketplace_from,d_hz_loan_vehicle*G211,0))</f>
        <v/>
      </c>
      <c r="BX212" s="14">
        <f>F212*BW212*IF(B212&gt;=in_marketplace_from,d_hz_loan_vehicle*G212,0)*in_loan_vehicle_ticket*in_loan_vehicle_comm</f>
        <v/>
      </c>
      <c r="BY212" s="40">
        <f>BY211*(1-IF(B211&gt;=in_marketplace_from,d_hz_loan_home*G211,0)*BZ211)</f>
        <v/>
      </c>
      <c r="BZ212" s="11">
        <f>MIN(in_approval_cap,in_loan_home_approval*INDEX('Age profile'!$O$2:$O$61,B212)*(1+in_approval_growth)^(D212-1))</f>
        <v/>
      </c>
      <c r="CA212" s="14">
        <f>F212*BY212*IF(B212&gt;=in_marketplace_from,d_hz_loan_home*G212,0)*BZ212*in_loan_home_ticket*in_loan_home_comm</f>
        <v/>
      </c>
      <c r="CB212" s="40">
        <f>CB211*(1-IF(B211&gt;=in_marketplace_from,d_hz_loan_lap*G211,0)*CC211)</f>
        <v/>
      </c>
      <c r="CC212" s="11">
        <f>MIN(in_approval_cap,in_loan_lap_approval*INDEX('Age profile'!$O$2:$O$61,B212)*(1+in_approval_growth)^(D212-1))</f>
        <v/>
      </c>
      <c r="CD212" s="14">
        <f>F212*CB212*IF(B212&gt;=in_marketplace_from,d_hz_loan_lap*G212,0)*CC212*in_loan_lap_ticket*in_loan_lap_comm</f>
        <v/>
      </c>
      <c r="CE212" s="14">
        <f>AA212+AB212+AC212+AD212+AG212+AJ212+AM212+AP212+AS212+AU212+AX212+BB212+BE212+BG212+BJ212+BL212+BO212+BR212+BT212+BV212+BX212+CA212+CD212</f>
        <v/>
      </c>
    </row>
    <row r="213">
      <c r="A213" s="39" t="n">
        <v>4</v>
      </c>
      <c r="B213" s="39" t="n">
        <v>35</v>
      </c>
      <c r="C213" s="39">
        <f>A213+B213-1</f>
        <v/>
      </c>
      <c r="D213" s="39">
        <f>INT((C213-1)/12)+1</f>
        <v/>
      </c>
      <c r="E213" s="44">
        <f>INDEX(Monthly!$B$2:$B$61,A213)</f>
        <v/>
      </c>
      <c r="F213" s="44">
        <f>E213*INDEX('Age profile'!$B$2:$B$61,B213)</f>
        <v/>
      </c>
      <c r="G213" s="45">
        <f>MIN(in_takeup_cap,INDEX('Age profile'!$N$2:$N$61,B213)*(1+in_takeup_growth)^(D213-1))</f>
        <v/>
      </c>
      <c r="H213" s="11">
        <f>MIN(in_approval_cap,in_approved_first*INDEX('Age profile'!$O$2:$O$61,B213)*(1+in_approval_growth)^(D213-1))</f>
        <v/>
      </c>
      <c r="I213" s="45">
        <f>G213*MIN(in_takeup_cap,INDEX('Age profile'!$O$2:$O$61,B213)*(1+in_approval_growth)^(D213-1))</f>
        <v/>
      </c>
      <c r="J213" s="40">
        <f>(J212-L212)*F213/F212</f>
        <v/>
      </c>
      <c r="K213" s="40">
        <f>(K212-M212)*F213/F212+SUMIFS(O179:O212,B179:B212,B213-1-d_T)*F213</f>
        <v/>
      </c>
      <c r="L213" s="40">
        <f>IF(B213&gt;=in_marketplace_from,J213*d_hz*G213*in_eligible*H213,0)</f>
        <v/>
      </c>
      <c r="M213" s="40">
        <f>IF(B213&gt;=in_marketplace_from,K213*d_hz*G213*in_eligible*in_approved_repeat,0)</f>
        <v/>
      </c>
      <c r="N213" s="40">
        <f>L213+M213</f>
        <v/>
      </c>
      <c r="O213" s="46">
        <f>N213/F213</f>
        <v/>
      </c>
      <c r="P213" s="40">
        <f>F213-J213-K213</f>
        <v/>
      </c>
      <c r="Q213" s="40">
        <f>IF(B213&gt;=in_marketplace_from,(J213+K213)*d_hz*G213,0)</f>
        <v/>
      </c>
      <c r="R213" s="40">
        <f>SUMIFS(N179:N235,B179:B235,"&gt;="&amp;(B213-d_T),B179:B235,"&lt;="&amp;(B213-1))</f>
        <v/>
      </c>
      <c r="S213" s="46">
        <f>(1-d_u)*S212+IF(d_T&gt;in_topup_lag,SUMIFS(O179:O235,B179:B235,B213-in_topup_lag)-d_udrop*SUMIFS(O179:O235,B179:B235,B213-d_T),0)</f>
        <v/>
      </c>
      <c r="T213" s="40">
        <f>F213*d_u*S213</f>
        <v/>
      </c>
      <c r="U213" s="9">
        <f>L213*in_ticket+M213*d_rep_ticket</f>
        <v/>
      </c>
      <c r="V213" s="9">
        <f>U213+T213*d_topup_amt</f>
        <v/>
      </c>
      <c r="W213" s="40">
        <f>N213+T213*d_topup_ratio</f>
        <v/>
      </c>
      <c r="X213" s="40">
        <f>SUMIFS(W179:W235,B179:B235,B213-in_dpd_lag)*d_cured</f>
        <v/>
      </c>
      <c r="Y213" s="40">
        <f>SUMIFS(W179:W235,B179:B235,B213-in_rec_lag)*d_recd</f>
        <v/>
      </c>
      <c r="Z213" s="40">
        <f>IF(AND(B213&gt;=in_marketplace_from,B213&lt;in_marketplace_from+in_card_months),in_card_share/in_card_months*F213*I213,IF(AND(B213&gt;=in_marketplace_from+in_card_months,B213&lt;in_marketplace_from+2*in_card_months),in_card_share*d_card_rem/in_card_months*F213*MIN(in_takeup_cap,(1+in_takeup_growth)^(D213-1))*MIN(in_takeup_cap,(1+in_approval_growth)^(D213-1)),0))</f>
        <v/>
      </c>
      <c r="AA213" s="14">
        <f>V213*in_fee*(1-in_taken_back)</f>
        <v/>
      </c>
      <c r="AB213" s="14">
        <f>SUMIFS(W179:W235,B179:B235,B213-in_dpd_lag)*d_dpd</f>
        <v/>
      </c>
      <c r="AC213" s="14">
        <f>SUMIFS(W179:W235,B179:B235,B213-in_rec_lag)*d_rec</f>
        <v/>
      </c>
      <c r="AD213" s="14">
        <f>Z213*in_card_fee</f>
        <v/>
      </c>
      <c r="AE213" s="40">
        <f>AE212*(1-IF(B212&gt;=in_marketplace_from,d_hz_hlth_small*G212,0))</f>
        <v/>
      </c>
      <c r="AF213" s="46">
        <f>AE213*IF(B213&gt;=in_marketplace_from,d_hz_hlth_small*G213,0)</f>
        <v/>
      </c>
      <c r="AG213" s="14">
        <f>F213*AF213*in_hlth_small_ticket*in_hlth_small_comm*in_ins_partner_share+F213*in_hlth_small_ticket*in_hlth_small_renew_comm*in_ins_partner_share*(in_hlth_small_renew^1*SUMIFS(AF179:AF235,B179:B235,B213-12)+in_hlth_small_renew^2*SUMIFS(AF179:AF235,B179:B235,B213-24)+in_hlth_small_renew^3*SUMIFS(AF179:AF235,B179:B235,B213-36)+in_hlth_small_renew^4*SUMIFS(AF179:AF235,B179:B235,B213-48))</f>
        <v/>
      </c>
      <c r="AH213" s="40">
        <f>AH212*(1-IF(B212&gt;=in_marketplace_from,d_hz_hlth_family*G212,0))</f>
        <v/>
      </c>
      <c r="AI213" s="46">
        <f>AH213*IF(B213&gt;=in_marketplace_from,d_hz_hlth_family*G213,0)</f>
        <v/>
      </c>
      <c r="AJ213" s="14">
        <f>F213*AI213*in_hlth_family_ticket*in_hlth_family_comm*in_ins_partner_share+F213*in_hlth_family_ticket*in_hlth_family_renew_comm*in_ins_partner_share*(in_hlth_family_renew^1*SUMIFS(AI179:AI235,B179:B235,B213-12)+in_hlth_family_renew^2*SUMIFS(AI179:AI235,B179:B235,B213-24)+in_hlth_family_renew^3*SUMIFS(AI179:AI235,B179:B235,B213-36)+in_hlth_family_renew^4*SUMIFS(AI179:AI235,B179:B235,B213-48))</f>
        <v/>
      </c>
      <c r="AK213" s="40">
        <f>AK212*(1-IF(B212&gt;=in_marketplace_from,d_hz_life_term*G212,0))</f>
        <v/>
      </c>
      <c r="AL213" s="46">
        <f>AK213*IF(B213&gt;=in_marketplace_from,d_hz_life_term*G213,0)</f>
        <v/>
      </c>
      <c r="AM213" s="14">
        <f>F213*AL213*in_life_term_ticket*in_life_term_comm*in_ins_partner_share+F213*in_life_term_ticket*in_life_term_renew_comm*in_ins_partner_share*(in_life_term_renew^1*SUMIFS(AL179:AL235,B179:B235,B213-12)+in_life_term_renew^2*SUMIFS(AL179:AL235,B179:B235,B213-24)+in_life_term_renew^3*SUMIFS(AL179:AL235,B179:B235,B213-36)+in_life_term_renew^4*SUMIFS(AL179:AL235,B179:B235,B213-48))</f>
        <v/>
      </c>
      <c r="AN213" s="40">
        <f>AN212*(1-IF(B212&gt;=in_marketplace_from,d_hz_accident*G212,0))</f>
        <v/>
      </c>
      <c r="AO213" s="46">
        <f>AN213*IF(B213&gt;=in_marketplace_from,d_hz_accident*G213,0)</f>
        <v/>
      </c>
      <c r="AP213" s="14">
        <f>F213*AO213*in_accident_ticket*in_accident_comm*in_ins_partner_share+F213*in_accident_ticket*in_accident_renew_comm*in_ins_partner_share*(in_accident_renew^1*SUMIFS(AO179:AO235,B179:B235,B213-12)+in_accident_renew^2*SUMIFS(AO179:AO235,B179:B235,B213-24)+in_accident_renew^3*SUMIFS(AO179:AO235,B179:B235,B213-36)+in_accident_renew^4*SUMIFS(AO179:AO235,B179:B235,B213-48))</f>
        <v/>
      </c>
      <c r="AQ213" s="40">
        <f>AQ212*(1-IF(B212&gt;=in_marketplace_from,d_hz_two_wheeler*G212,0))</f>
        <v/>
      </c>
      <c r="AR213" s="46">
        <f>AQ213*IF(B213&gt;=in_marketplace_from,d_hz_two_wheeler*G213,0)</f>
        <v/>
      </c>
      <c r="AS213" s="14">
        <f>F213*AR213*in_two_wheeler_ticket*in_two_wheeler_comm*in_ins_partner_share+F213*in_two_wheeler_ticket*in_two_wheeler_comm*in_ins_partner_share*(in_two_wheeler_renew^1*SUMIFS(AR179:AR235,B179:B235,B213-12)+in_two_wheeler_renew^2*SUMIFS(AR179:AR235,B179:B235,B213-24)+in_two_wheeler_renew^3*SUMIFS(AR179:AR235,B179:B235,B213-36)+in_two_wheeler_renew^4*SUMIFS(AR179:AR235,B179:B235,B213-48))</f>
        <v/>
      </c>
      <c r="AT213" s="40">
        <f>AT212*(1-IF(B212&gt;=in_marketplace_from,d_hz_device*G212,0))</f>
        <v/>
      </c>
      <c r="AU213" s="14">
        <f>F213*AT213*IF(B213&gt;=in_marketplace_from,d_hz_device*G213,0)*in_device_ticket*in_device_comm*in_ins_partner_share</f>
        <v/>
      </c>
      <c r="AV213" s="40">
        <f>AV212*(1-IF(B212&gt;=in_marketplace_from,d_hz_shop*G212,0))</f>
        <v/>
      </c>
      <c r="AW213" s="46">
        <f>AV213*IF(B213&gt;=in_marketplace_from,d_hz_shop*G213,0)</f>
        <v/>
      </c>
      <c r="AX213" s="14">
        <f>F213*AW213*in_shop_ticket*in_shop_comm*in_ins_partner_share+F213*in_shop_ticket*in_shop_renew_comm*in_ins_partner_share*(in_shop_renew^1*SUMIFS(AW179:AW235,B179:B235,B213-12)+in_shop_renew^2*SUMIFS(AW179:AW235,B179:B235,B213-24)+in_shop_renew^3*SUMIFS(AW179:AW235,B179:B235,B213-36)+in_shop_renew^4*SUMIFS(AW179:AW235,B179:B235,B213-48))</f>
        <v/>
      </c>
      <c r="AY213" s="40">
        <f>AY212*(1-IF(B212&gt;=in_marketplace_from,d_hz_sip*G212,0))</f>
        <v/>
      </c>
      <c r="AZ213" s="40">
        <f>AZ212*d_rho_sip+AY213*IF(B213&gt;=in_marketplace_from,d_hz_sip*G213,0)</f>
        <v/>
      </c>
      <c r="BA213" s="40">
        <f>d_rho_sip*(BA212+AZ212)</f>
        <v/>
      </c>
      <c r="BB213" s="14">
        <f>F213*in_sip_ticket*(BA213+0.5*AZ213)*in_sip_comm/12</f>
        <v/>
      </c>
      <c r="BC213" s="40">
        <f>BC212*(1-IF(B212&gt;=in_marketplace_from,d_hz_choti*G212,0))</f>
        <v/>
      </c>
      <c r="BD213" s="46">
        <f>BC213*IF(B213&gt;=in_marketplace_from,d_hz_choti*G213,0)</f>
        <v/>
      </c>
      <c r="BE213" s="14">
        <f>F213*SUMIFS(BD179:BD235,B179:B235,B213-in_choti_months)*in_choti_renew*in_choti_ticket</f>
        <v/>
      </c>
      <c r="BF213" s="40">
        <f>BF212*(1-IF(B212&gt;=in_marketplace_from,d_hz_nps*G212,0))</f>
        <v/>
      </c>
      <c r="BG213" s="14">
        <f>F213*BF213*IF(B213&gt;=in_marketplace_from,d_hz_nps*G213,0)*in_nps_ticket*in_nps_comm</f>
        <v/>
      </c>
      <c r="BH213" s="40">
        <f>BH212*(1-IF(B212&gt;=in_marketplace_from,d_hz_gold*G212,0))</f>
        <v/>
      </c>
      <c r="BI213" s="40">
        <f>BI212*d_rho_gold+BH213*IF(B213&gt;=in_marketplace_from,d_hz_gold*G213,0)</f>
        <v/>
      </c>
      <c r="BJ213" s="14">
        <f>F213*BI213*in_gold_ticket*in_gold_comm</f>
        <v/>
      </c>
      <c r="BK213" s="40">
        <f>BK212*(1-IF(B212&gt;=in_marketplace_from,d_hz_fd*G212,0))</f>
        <v/>
      </c>
      <c r="BL213" s="14">
        <f>F213*BK213*IF(B213&gt;=in_marketplace_from,d_hz_fd*G213,0)*in_fd_ticket*in_fd_comm</f>
        <v/>
      </c>
      <c r="BM213" s="40">
        <f>BM212*(1-IF(B212&gt;=in_marketplace_from,d_hz_recharge*G212,0))</f>
        <v/>
      </c>
      <c r="BN213" s="40">
        <f>BN212*d_rho_recharge+BM213*IF(B213&gt;=in_marketplace_from,d_hz_recharge*G213,0)</f>
        <v/>
      </c>
      <c r="BO213" s="14">
        <f>F213*BN213*in_recharge_ticket*in_recharge_comm/12</f>
        <v/>
      </c>
      <c r="BP213" s="40">
        <f>BP212*(1-IF(B212&gt;=in_marketplace_from,d_hz_bills*G212,0))</f>
        <v/>
      </c>
      <c r="BQ213" s="40">
        <f>BQ212*d_rho_bills+BP213*IF(B213&gt;=in_marketplace_from,d_hz_bills*G213,0)</f>
        <v/>
      </c>
      <c r="BR213" s="14">
        <f>F213*BQ213*in_bills_ticket*in_bills_comm/12</f>
        <v/>
      </c>
      <c r="BS213" s="40">
        <f>BS212*(1-IF(B212&gt;=in_marketplace_from,d_hz_loan_gold*G212,0))</f>
        <v/>
      </c>
      <c r="BT213" s="14">
        <f>F213*BS213*IF(B213&gt;=in_marketplace_from,d_hz_loan_gold*G213,0)*in_loan_gold_ticket*in_loan_gold_comm</f>
        <v/>
      </c>
      <c r="BU213" s="40">
        <f>BU212*(1-IF(B212&gt;=in_marketplace_from,d_hz_loan_cd*G212,0))</f>
        <v/>
      </c>
      <c r="BV213" s="14">
        <f>F213*BU213*IF(B213&gt;=in_marketplace_from,d_hz_loan_cd*G213,0)*in_loan_cd_ticket*in_loan_cd_comm</f>
        <v/>
      </c>
      <c r="BW213" s="40">
        <f>BW212*(1-IF(B212&gt;=in_marketplace_from,d_hz_loan_vehicle*G212,0))</f>
        <v/>
      </c>
      <c r="BX213" s="14">
        <f>F213*BW213*IF(B213&gt;=in_marketplace_from,d_hz_loan_vehicle*G213,0)*in_loan_vehicle_ticket*in_loan_vehicle_comm</f>
        <v/>
      </c>
      <c r="BY213" s="40">
        <f>BY212*(1-IF(B212&gt;=in_marketplace_from,d_hz_loan_home*G212,0)*BZ212)</f>
        <v/>
      </c>
      <c r="BZ213" s="11">
        <f>MIN(in_approval_cap,in_loan_home_approval*INDEX('Age profile'!$O$2:$O$61,B213)*(1+in_approval_growth)^(D213-1))</f>
        <v/>
      </c>
      <c r="CA213" s="14">
        <f>F213*BY213*IF(B213&gt;=in_marketplace_from,d_hz_loan_home*G213,0)*BZ213*in_loan_home_ticket*in_loan_home_comm</f>
        <v/>
      </c>
      <c r="CB213" s="40">
        <f>CB212*(1-IF(B212&gt;=in_marketplace_from,d_hz_loan_lap*G212,0)*CC212)</f>
        <v/>
      </c>
      <c r="CC213" s="11">
        <f>MIN(in_approval_cap,in_loan_lap_approval*INDEX('Age profile'!$O$2:$O$61,B213)*(1+in_approval_growth)^(D213-1))</f>
        <v/>
      </c>
      <c r="CD213" s="14">
        <f>F213*CB213*IF(B213&gt;=in_marketplace_from,d_hz_loan_lap*G213,0)*CC213*in_loan_lap_ticket*in_loan_lap_comm</f>
        <v/>
      </c>
      <c r="CE213" s="14">
        <f>AA213+AB213+AC213+AD213+AG213+AJ213+AM213+AP213+AS213+AU213+AX213+BB213+BE213+BG213+BJ213+BL213+BO213+BR213+BT213+BV213+BX213+CA213+CD213</f>
        <v/>
      </c>
    </row>
    <row r="214">
      <c r="A214" s="39" t="n">
        <v>4</v>
      </c>
      <c r="B214" s="39" t="n">
        <v>36</v>
      </c>
      <c r="C214" s="39">
        <f>A214+B214-1</f>
        <v/>
      </c>
      <c r="D214" s="39">
        <f>INT((C214-1)/12)+1</f>
        <v/>
      </c>
      <c r="E214" s="44">
        <f>INDEX(Monthly!$B$2:$B$61,A214)</f>
        <v/>
      </c>
      <c r="F214" s="44">
        <f>E214*INDEX('Age profile'!$B$2:$B$61,B214)</f>
        <v/>
      </c>
      <c r="G214" s="45">
        <f>MIN(in_takeup_cap,INDEX('Age profile'!$N$2:$N$61,B214)*(1+in_takeup_growth)^(D214-1))</f>
        <v/>
      </c>
      <c r="H214" s="11">
        <f>MIN(in_approval_cap,in_approved_first*INDEX('Age profile'!$O$2:$O$61,B214)*(1+in_approval_growth)^(D214-1))</f>
        <v/>
      </c>
      <c r="I214" s="45">
        <f>G214*MIN(in_takeup_cap,INDEX('Age profile'!$O$2:$O$61,B214)*(1+in_approval_growth)^(D214-1))</f>
        <v/>
      </c>
      <c r="J214" s="40">
        <f>(J213-L213)*F214/F213</f>
        <v/>
      </c>
      <c r="K214" s="40">
        <f>(K213-M213)*F214/F213+SUMIFS(O179:O213,B179:B213,B214-1-d_T)*F214</f>
        <v/>
      </c>
      <c r="L214" s="40">
        <f>IF(B214&gt;=in_marketplace_from,J214*d_hz*G214*in_eligible*H214,0)</f>
        <v/>
      </c>
      <c r="M214" s="40">
        <f>IF(B214&gt;=in_marketplace_from,K214*d_hz*G214*in_eligible*in_approved_repeat,0)</f>
        <v/>
      </c>
      <c r="N214" s="40">
        <f>L214+M214</f>
        <v/>
      </c>
      <c r="O214" s="46">
        <f>N214/F214</f>
        <v/>
      </c>
      <c r="P214" s="40">
        <f>F214-J214-K214</f>
        <v/>
      </c>
      <c r="Q214" s="40">
        <f>IF(B214&gt;=in_marketplace_from,(J214+K214)*d_hz*G214,0)</f>
        <v/>
      </c>
      <c r="R214" s="40">
        <f>SUMIFS(N179:N235,B179:B235,"&gt;="&amp;(B214-d_T),B179:B235,"&lt;="&amp;(B214-1))</f>
        <v/>
      </c>
      <c r="S214" s="46">
        <f>(1-d_u)*S213+IF(d_T&gt;in_topup_lag,SUMIFS(O179:O235,B179:B235,B214-in_topup_lag)-d_udrop*SUMIFS(O179:O235,B179:B235,B214-d_T),0)</f>
        <v/>
      </c>
      <c r="T214" s="40">
        <f>F214*d_u*S214</f>
        <v/>
      </c>
      <c r="U214" s="9">
        <f>L214*in_ticket+M214*d_rep_ticket</f>
        <v/>
      </c>
      <c r="V214" s="9">
        <f>U214+T214*d_topup_amt</f>
        <v/>
      </c>
      <c r="W214" s="40">
        <f>N214+T214*d_topup_ratio</f>
        <v/>
      </c>
      <c r="X214" s="40">
        <f>SUMIFS(W179:W235,B179:B235,B214-in_dpd_lag)*d_cured</f>
        <v/>
      </c>
      <c r="Y214" s="40">
        <f>SUMIFS(W179:W235,B179:B235,B214-in_rec_lag)*d_recd</f>
        <v/>
      </c>
      <c r="Z214" s="40">
        <f>IF(AND(B214&gt;=in_marketplace_from,B214&lt;in_marketplace_from+in_card_months),in_card_share/in_card_months*F214*I214,IF(AND(B214&gt;=in_marketplace_from+in_card_months,B214&lt;in_marketplace_from+2*in_card_months),in_card_share*d_card_rem/in_card_months*F214*MIN(in_takeup_cap,(1+in_takeup_growth)^(D214-1))*MIN(in_takeup_cap,(1+in_approval_growth)^(D214-1)),0))</f>
        <v/>
      </c>
      <c r="AA214" s="14">
        <f>V214*in_fee*(1-in_taken_back)</f>
        <v/>
      </c>
      <c r="AB214" s="14">
        <f>SUMIFS(W179:W235,B179:B235,B214-in_dpd_lag)*d_dpd</f>
        <v/>
      </c>
      <c r="AC214" s="14">
        <f>SUMIFS(W179:W235,B179:B235,B214-in_rec_lag)*d_rec</f>
        <v/>
      </c>
      <c r="AD214" s="14">
        <f>Z214*in_card_fee</f>
        <v/>
      </c>
      <c r="AE214" s="40">
        <f>AE213*(1-IF(B213&gt;=in_marketplace_from,d_hz_hlth_small*G213,0))</f>
        <v/>
      </c>
      <c r="AF214" s="46">
        <f>AE214*IF(B214&gt;=in_marketplace_from,d_hz_hlth_small*G214,0)</f>
        <v/>
      </c>
      <c r="AG214" s="14">
        <f>F214*AF214*in_hlth_small_ticket*in_hlth_small_comm*in_ins_partner_share+F214*in_hlth_small_ticket*in_hlth_small_renew_comm*in_ins_partner_share*(in_hlth_small_renew^1*SUMIFS(AF179:AF235,B179:B235,B214-12)+in_hlth_small_renew^2*SUMIFS(AF179:AF235,B179:B235,B214-24)+in_hlth_small_renew^3*SUMIFS(AF179:AF235,B179:B235,B214-36)+in_hlth_small_renew^4*SUMIFS(AF179:AF235,B179:B235,B214-48))</f>
        <v/>
      </c>
      <c r="AH214" s="40">
        <f>AH213*(1-IF(B213&gt;=in_marketplace_from,d_hz_hlth_family*G213,0))</f>
        <v/>
      </c>
      <c r="AI214" s="46">
        <f>AH214*IF(B214&gt;=in_marketplace_from,d_hz_hlth_family*G214,0)</f>
        <v/>
      </c>
      <c r="AJ214" s="14">
        <f>F214*AI214*in_hlth_family_ticket*in_hlth_family_comm*in_ins_partner_share+F214*in_hlth_family_ticket*in_hlth_family_renew_comm*in_ins_partner_share*(in_hlth_family_renew^1*SUMIFS(AI179:AI235,B179:B235,B214-12)+in_hlth_family_renew^2*SUMIFS(AI179:AI235,B179:B235,B214-24)+in_hlth_family_renew^3*SUMIFS(AI179:AI235,B179:B235,B214-36)+in_hlth_family_renew^4*SUMIFS(AI179:AI235,B179:B235,B214-48))</f>
        <v/>
      </c>
      <c r="AK214" s="40">
        <f>AK213*(1-IF(B213&gt;=in_marketplace_from,d_hz_life_term*G213,0))</f>
        <v/>
      </c>
      <c r="AL214" s="46">
        <f>AK214*IF(B214&gt;=in_marketplace_from,d_hz_life_term*G214,0)</f>
        <v/>
      </c>
      <c r="AM214" s="14">
        <f>F214*AL214*in_life_term_ticket*in_life_term_comm*in_ins_partner_share+F214*in_life_term_ticket*in_life_term_renew_comm*in_ins_partner_share*(in_life_term_renew^1*SUMIFS(AL179:AL235,B179:B235,B214-12)+in_life_term_renew^2*SUMIFS(AL179:AL235,B179:B235,B214-24)+in_life_term_renew^3*SUMIFS(AL179:AL235,B179:B235,B214-36)+in_life_term_renew^4*SUMIFS(AL179:AL235,B179:B235,B214-48))</f>
        <v/>
      </c>
      <c r="AN214" s="40">
        <f>AN213*(1-IF(B213&gt;=in_marketplace_from,d_hz_accident*G213,0))</f>
        <v/>
      </c>
      <c r="AO214" s="46">
        <f>AN214*IF(B214&gt;=in_marketplace_from,d_hz_accident*G214,0)</f>
        <v/>
      </c>
      <c r="AP214" s="14">
        <f>F214*AO214*in_accident_ticket*in_accident_comm*in_ins_partner_share+F214*in_accident_ticket*in_accident_renew_comm*in_ins_partner_share*(in_accident_renew^1*SUMIFS(AO179:AO235,B179:B235,B214-12)+in_accident_renew^2*SUMIFS(AO179:AO235,B179:B235,B214-24)+in_accident_renew^3*SUMIFS(AO179:AO235,B179:B235,B214-36)+in_accident_renew^4*SUMIFS(AO179:AO235,B179:B235,B214-48))</f>
        <v/>
      </c>
      <c r="AQ214" s="40">
        <f>AQ213*(1-IF(B213&gt;=in_marketplace_from,d_hz_two_wheeler*G213,0))</f>
        <v/>
      </c>
      <c r="AR214" s="46">
        <f>AQ214*IF(B214&gt;=in_marketplace_from,d_hz_two_wheeler*G214,0)</f>
        <v/>
      </c>
      <c r="AS214" s="14">
        <f>F214*AR214*in_two_wheeler_ticket*in_two_wheeler_comm*in_ins_partner_share+F214*in_two_wheeler_ticket*in_two_wheeler_comm*in_ins_partner_share*(in_two_wheeler_renew^1*SUMIFS(AR179:AR235,B179:B235,B214-12)+in_two_wheeler_renew^2*SUMIFS(AR179:AR235,B179:B235,B214-24)+in_two_wheeler_renew^3*SUMIFS(AR179:AR235,B179:B235,B214-36)+in_two_wheeler_renew^4*SUMIFS(AR179:AR235,B179:B235,B214-48))</f>
        <v/>
      </c>
      <c r="AT214" s="40">
        <f>AT213*(1-IF(B213&gt;=in_marketplace_from,d_hz_device*G213,0))</f>
        <v/>
      </c>
      <c r="AU214" s="14">
        <f>F214*AT214*IF(B214&gt;=in_marketplace_from,d_hz_device*G214,0)*in_device_ticket*in_device_comm*in_ins_partner_share</f>
        <v/>
      </c>
      <c r="AV214" s="40">
        <f>AV213*(1-IF(B213&gt;=in_marketplace_from,d_hz_shop*G213,0))</f>
        <v/>
      </c>
      <c r="AW214" s="46">
        <f>AV214*IF(B214&gt;=in_marketplace_from,d_hz_shop*G214,0)</f>
        <v/>
      </c>
      <c r="AX214" s="14">
        <f>F214*AW214*in_shop_ticket*in_shop_comm*in_ins_partner_share+F214*in_shop_ticket*in_shop_renew_comm*in_ins_partner_share*(in_shop_renew^1*SUMIFS(AW179:AW235,B179:B235,B214-12)+in_shop_renew^2*SUMIFS(AW179:AW235,B179:B235,B214-24)+in_shop_renew^3*SUMIFS(AW179:AW235,B179:B235,B214-36)+in_shop_renew^4*SUMIFS(AW179:AW235,B179:B235,B214-48))</f>
        <v/>
      </c>
      <c r="AY214" s="40">
        <f>AY213*(1-IF(B213&gt;=in_marketplace_from,d_hz_sip*G213,0))</f>
        <v/>
      </c>
      <c r="AZ214" s="40">
        <f>AZ213*d_rho_sip+AY214*IF(B214&gt;=in_marketplace_from,d_hz_sip*G214,0)</f>
        <v/>
      </c>
      <c r="BA214" s="40">
        <f>d_rho_sip*(BA213+AZ213)</f>
        <v/>
      </c>
      <c r="BB214" s="14">
        <f>F214*in_sip_ticket*(BA214+0.5*AZ214)*in_sip_comm/12</f>
        <v/>
      </c>
      <c r="BC214" s="40">
        <f>BC213*(1-IF(B213&gt;=in_marketplace_from,d_hz_choti*G213,0))</f>
        <v/>
      </c>
      <c r="BD214" s="46">
        <f>BC214*IF(B214&gt;=in_marketplace_from,d_hz_choti*G214,0)</f>
        <v/>
      </c>
      <c r="BE214" s="14">
        <f>F214*SUMIFS(BD179:BD235,B179:B235,B214-in_choti_months)*in_choti_renew*in_choti_ticket</f>
        <v/>
      </c>
      <c r="BF214" s="40">
        <f>BF213*(1-IF(B213&gt;=in_marketplace_from,d_hz_nps*G213,0))</f>
        <v/>
      </c>
      <c r="BG214" s="14">
        <f>F214*BF214*IF(B214&gt;=in_marketplace_from,d_hz_nps*G214,0)*in_nps_ticket*in_nps_comm</f>
        <v/>
      </c>
      <c r="BH214" s="40">
        <f>BH213*(1-IF(B213&gt;=in_marketplace_from,d_hz_gold*G213,0))</f>
        <v/>
      </c>
      <c r="BI214" s="40">
        <f>BI213*d_rho_gold+BH214*IF(B214&gt;=in_marketplace_from,d_hz_gold*G214,0)</f>
        <v/>
      </c>
      <c r="BJ214" s="14">
        <f>F214*BI214*in_gold_ticket*in_gold_comm</f>
        <v/>
      </c>
      <c r="BK214" s="40">
        <f>BK213*(1-IF(B213&gt;=in_marketplace_from,d_hz_fd*G213,0))</f>
        <v/>
      </c>
      <c r="BL214" s="14">
        <f>F214*BK214*IF(B214&gt;=in_marketplace_from,d_hz_fd*G214,0)*in_fd_ticket*in_fd_comm</f>
        <v/>
      </c>
      <c r="BM214" s="40">
        <f>BM213*(1-IF(B213&gt;=in_marketplace_from,d_hz_recharge*G213,0))</f>
        <v/>
      </c>
      <c r="BN214" s="40">
        <f>BN213*d_rho_recharge+BM214*IF(B214&gt;=in_marketplace_from,d_hz_recharge*G214,0)</f>
        <v/>
      </c>
      <c r="BO214" s="14">
        <f>F214*BN214*in_recharge_ticket*in_recharge_comm/12</f>
        <v/>
      </c>
      <c r="BP214" s="40">
        <f>BP213*(1-IF(B213&gt;=in_marketplace_from,d_hz_bills*G213,0))</f>
        <v/>
      </c>
      <c r="BQ214" s="40">
        <f>BQ213*d_rho_bills+BP214*IF(B214&gt;=in_marketplace_from,d_hz_bills*G214,0)</f>
        <v/>
      </c>
      <c r="BR214" s="14">
        <f>F214*BQ214*in_bills_ticket*in_bills_comm/12</f>
        <v/>
      </c>
      <c r="BS214" s="40">
        <f>BS213*(1-IF(B213&gt;=in_marketplace_from,d_hz_loan_gold*G213,0))</f>
        <v/>
      </c>
      <c r="BT214" s="14">
        <f>F214*BS214*IF(B214&gt;=in_marketplace_from,d_hz_loan_gold*G214,0)*in_loan_gold_ticket*in_loan_gold_comm</f>
        <v/>
      </c>
      <c r="BU214" s="40">
        <f>BU213*(1-IF(B213&gt;=in_marketplace_from,d_hz_loan_cd*G213,0))</f>
        <v/>
      </c>
      <c r="BV214" s="14">
        <f>F214*BU214*IF(B214&gt;=in_marketplace_from,d_hz_loan_cd*G214,0)*in_loan_cd_ticket*in_loan_cd_comm</f>
        <v/>
      </c>
      <c r="BW214" s="40">
        <f>BW213*(1-IF(B213&gt;=in_marketplace_from,d_hz_loan_vehicle*G213,0))</f>
        <v/>
      </c>
      <c r="BX214" s="14">
        <f>F214*BW214*IF(B214&gt;=in_marketplace_from,d_hz_loan_vehicle*G214,0)*in_loan_vehicle_ticket*in_loan_vehicle_comm</f>
        <v/>
      </c>
      <c r="BY214" s="40">
        <f>BY213*(1-IF(B213&gt;=in_marketplace_from,d_hz_loan_home*G213,0)*BZ213)</f>
        <v/>
      </c>
      <c r="BZ214" s="11">
        <f>MIN(in_approval_cap,in_loan_home_approval*INDEX('Age profile'!$O$2:$O$61,B214)*(1+in_approval_growth)^(D214-1))</f>
        <v/>
      </c>
      <c r="CA214" s="14">
        <f>F214*BY214*IF(B214&gt;=in_marketplace_from,d_hz_loan_home*G214,0)*BZ214*in_loan_home_ticket*in_loan_home_comm</f>
        <v/>
      </c>
      <c r="CB214" s="40">
        <f>CB213*(1-IF(B213&gt;=in_marketplace_from,d_hz_loan_lap*G213,0)*CC213)</f>
        <v/>
      </c>
      <c r="CC214" s="11">
        <f>MIN(in_approval_cap,in_loan_lap_approval*INDEX('Age profile'!$O$2:$O$61,B214)*(1+in_approval_growth)^(D214-1))</f>
        <v/>
      </c>
      <c r="CD214" s="14">
        <f>F214*CB214*IF(B214&gt;=in_marketplace_from,d_hz_loan_lap*G214,0)*CC214*in_loan_lap_ticket*in_loan_lap_comm</f>
        <v/>
      </c>
      <c r="CE214" s="14">
        <f>AA214+AB214+AC214+AD214+AG214+AJ214+AM214+AP214+AS214+AU214+AX214+BB214+BE214+BG214+BJ214+BL214+BO214+BR214+BT214+BV214+BX214+CA214+CD214</f>
        <v/>
      </c>
    </row>
    <row r="215">
      <c r="A215" s="39" t="n">
        <v>4</v>
      </c>
      <c r="B215" s="39" t="n">
        <v>37</v>
      </c>
      <c r="C215" s="39">
        <f>A215+B215-1</f>
        <v/>
      </c>
      <c r="D215" s="39">
        <f>INT((C215-1)/12)+1</f>
        <v/>
      </c>
      <c r="E215" s="44">
        <f>INDEX(Monthly!$B$2:$B$61,A215)</f>
        <v/>
      </c>
      <c r="F215" s="44">
        <f>E215*INDEX('Age profile'!$B$2:$B$61,B215)</f>
        <v/>
      </c>
      <c r="G215" s="45">
        <f>MIN(in_takeup_cap,INDEX('Age profile'!$N$2:$N$61,B215)*(1+in_takeup_growth)^(D215-1))</f>
        <v/>
      </c>
      <c r="H215" s="11">
        <f>MIN(in_approval_cap,in_approved_first*INDEX('Age profile'!$O$2:$O$61,B215)*(1+in_approval_growth)^(D215-1))</f>
        <v/>
      </c>
      <c r="I215" s="45">
        <f>G215*MIN(in_takeup_cap,INDEX('Age profile'!$O$2:$O$61,B215)*(1+in_approval_growth)^(D215-1))</f>
        <v/>
      </c>
      <c r="J215" s="40">
        <f>(J214-L214)*F215/F214</f>
        <v/>
      </c>
      <c r="K215" s="40">
        <f>(K214-M214)*F215/F214+SUMIFS(O179:O214,B179:B214,B215-1-d_T)*F215</f>
        <v/>
      </c>
      <c r="L215" s="40">
        <f>IF(B215&gt;=in_marketplace_from,J215*d_hz*G215*in_eligible*H215,0)</f>
        <v/>
      </c>
      <c r="M215" s="40">
        <f>IF(B215&gt;=in_marketplace_from,K215*d_hz*G215*in_eligible*in_approved_repeat,0)</f>
        <v/>
      </c>
      <c r="N215" s="40">
        <f>L215+M215</f>
        <v/>
      </c>
      <c r="O215" s="46">
        <f>N215/F215</f>
        <v/>
      </c>
      <c r="P215" s="40">
        <f>F215-J215-K215</f>
        <v/>
      </c>
      <c r="Q215" s="40">
        <f>IF(B215&gt;=in_marketplace_from,(J215+K215)*d_hz*G215,0)</f>
        <v/>
      </c>
      <c r="R215" s="40">
        <f>SUMIFS(N179:N235,B179:B235,"&gt;="&amp;(B215-d_T),B179:B235,"&lt;="&amp;(B215-1))</f>
        <v/>
      </c>
      <c r="S215" s="46">
        <f>(1-d_u)*S214+IF(d_T&gt;in_topup_lag,SUMIFS(O179:O235,B179:B235,B215-in_topup_lag)-d_udrop*SUMIFS(O179:O235,B179:B235,B215-d_T),0)</f>
        <v/>
      </c>
      <c r="T215" s="40">
        <f>F215*d_u*S215</f>
        <v/>
      </c>
      <c r="U215" s="9">
        <f>L215*in_ticket+M215*d_rep_ticket</f>
        <v/>
      </c>
      <c r="V215" s="9">
        <f>U215+T215*d_topup_amt</f>
        <v/>
      </c>
      <c r="W215" s="40">
        <f>N215+T215*d_topup_ratio</f>
        <v/>
      </c>
      <c r="X215" s="40">
        <f>SUMIFS(W179:W235,B179:B235,B215-in_dpd_lag)*d_cured</f>
        <v/>
      </c>
      <c r="Y215" s="40">
        <f>SUMIFS(W179:W235,B179:B235,B215-in_rec_lag)*d_recd</f>
        <v/>
      </c>
      <c r="Z215" s="40">
        <f>IF(AND(B215&gt;=in_marketplace_from,B215&lt;in_marketplace_from+in_card_months),in_card_share/in_card_months*F215*I215,IF(AND(B215&gt;=in_marketplace_from+in_card_months,B215&lt;in_marketplace_from+2*in_card_months),in_card_share*d_card_rem/in_card_months*F215*MIN(in_takeup_cap,(1+in_takeup_growth)^(D215-1))*MIN(in_takeup_cap,(1+in_approval_growth)^(D215-1)),0))</f>
        <v/>
      </c>
      <c r="AA215" s="14">
        <f>V215*in_fee*(1-in_taken_back)</f>
        <v/>
      </c>
      <c r="AB215" s="14">
        <f>SUMIFS(W179:W235,B179:B235,B215-in_dpd_lag)*d_dpd</f>
        <v/>
      </c>
      <c r="AC215" s="14">
        <f>SUMIFS(W179:W235,B179:B235,B215-in_rec_lag)*d_rec</f>
        <v/>
      </c>
      <c r="AD215" s="14">
        <f>Z215*in_card_fee</f>
        <v/>
      </c>
      <c r="AE215" s="40">
        <f>AE214*(1-IF(B214&gt;=in_marketplace_from,d_hz_hlth_small*G214,0))</f>
        <v/>
      </c>
      <c r="AF215" s="46">
        <f>AE215*IF(B215&gt;=in_marketplace_from,d_hz_hlth_small*G215,0)</f>
        <v/>
      </c>
      <c r="AG215" s="14">
        <f>F215*AF215*in_hlth_small_ticket*in_hlth_small_comm*in_ins_partner_share+F215*in_hlth_small_ticket*in_hlth_small_renew_comm*in_ins_partner_share*(in_hlth_small_renew^1*SUMIFS(AF179:AF235,B179:B235,B215-12)+in_hlth_small_renew^2*SUMIFS(AF179:AF235,B179:B235,B215-24)+in_hlth_small_renew^3*SUMIFS(AF179:AF235,B179:B235,B215-36)+in_hlth_small_renew^4*SUMIFS(AF179:AF235,B179:B235,B215-48))</f>
        <v/>
      </c>
      <c r="AH215" s="40">
        <f>AH214*(1-IF(B214&gt;=in_marketplace_from,d_hz_hlth_family*G214,0))</f>
        <v/>
      </c>
      <c r="AI215" s="46">
        <f>AH215*IF(B215&gt;=in_marketplace_from,d_hz_hlth_family*G215,0)</f>
        <v/>
      </c>
      <c r="AJ215" s="14">
        <f>F215*AI215*in_hlth_family_ticket*in_hlth_family_comm*in_ins_partner_share+F215*in_hlth_family_ticket*in_hlth_family_renew_comm*in_ins_partner_share*(in_hlth_family_renew^1*SUMIFS(AI179:AI235,B179:B235,B215-12)+in_hlth_family_renew^2*SUMIFS(AI179:AI235,B179:B235,B215-24)+in_hlth_family_renew^3*SUMIFS(AI179:AI235,B179:B235,B215-36)+in_hlth_family_renew^4*SUMIFS(AI179:AI235,B179:B235,B215-48))</f>
        <v/>
      </c>
      <c r="AK215" s="40">
        <f>AK214*(1-IF(B214&gt;=in_marketplace_from,d_hz_life_term*G214,0))</f>
        <v/>
      </c>
      <c r="AL215" s="46">
        <f>AK215*IF(B215&gt;=in_marketplace_from,d_hz_life_term*G215,0)</f>
        <v/>
      </c>
      <c r="AM215" s="14">
        <f>F215*AL215*in_life_term_ticket*in_life_term_comm*in_ins_partner_share+F215*in_life_term_ticket*in_life_term_renew_comm*in_ins_partner_share*(in_life_term_renew^1*SUMIFS(AL179:AL235,B179:B235,B215-12)+in_life_term_renew^2*SUMIFS(AL179:AL235,B179:B235,B215-24)+in_life_term_renew^3*SUMIFS(AL179:AL235,B179:B235,B215-36)+in_life_term_renew^4*SUMIFS(AL179:AL235,B179:B235,B215-48))</f>
        <v/>
      </c>
      <c r="AN215" s="40">
        <f>AN214*(1-IF(B214&gt;=in_marketplace_from,d_hz_accident*G214,0))</f>
        <v/>
      </c>
      <c r="AO215" s="46">
        <f>AN215*IF(B215&gt;=in_marketplace_from,d_hz_accident*G215,0)</f>
        <v/>
      </c>
      <c r="AP215" s="14">
        <f>F215*AO215*in_accident_ticket*in_accident_comm*in_ins_partner_share+F215*in_accident_ticket*in_accident_renew_comm*in_ins_partner_share*(in_accident_renew^1*SUMIFS(AO179:AO235,B179:B235,B215-12)+in_accident_renew^2*SUMIFS(AO179:AO235,B179:B235,B215-24)+in_accident_renew^3*SUMIFS(AO179:AO235,B179:B235,B215-36)+in_accident_renew^4*SUMIFS(AO179:AO235,B179:B235,B215-48))</f>
        <v/>
      </c>
      <c r="AQ215" s="40">
        <f>AQ214*(1-IF(B214&gt;=in_marketplace_from,d_hz_two_wheeler*G214,0))</f>
        <v/>
      </c>
      <c r="AR215" s="46">
        <f>AQ215*IF(B215&gt;=in_marketplace_from,d_hz_two_wheeler*G215,0)</f>
        <v/>
      </c>
      <c r="AS215" s="14">
        <f>F215*AR215*in_two_wheeler_ticket*in_two_wheeler_comm*in_ins_partner_share+F215*in_two_wheeler_ticket*in_two_wheeler_comm*in_ins_partner_share*(in_two_wheeler_renew^1*SUMIFS(AR179:AR235,B179:B235,B215-12)+in_two_wheeler_renew^2*SUMIFS(AR179:AR235,B179:B235,B215-24)+in_two_wheeler_renew^3*SUMIFS(AR179:AR235,B179:B235,B215-36)+in_two_wheeler_renew^4*SUMIFS(AR179:AR235,B179:B235,B215-48))</f>
        <v/>
      </c>
      <c r="AT215" s="40">
        <f>AT214*(1-IF(B214&gt;=in_marketplace_from,d_hz_device*G214,0))</f>
        <v/>
      </c>
      <c r="AU215" s="14">
        <f>F215*AT215*IF(B215&gt;=in_marketplace_from,d_hz_device*G215,0)*in_device_ticket*in_device_comm*in_ins_partner_share</f>
        <v/>
      </c>
      <c r="AV215" s="40">
        <f>AV214*(1-IF(B214&gt;=in_marketplace_from,d_hz_shop*G214,0))</f>
        <v/>
      </c>
      <c r="AW215" s="46">
        <f>AV215*IF(B215&gt;=in_marketplace_from,d_hz_shop*G215,0)</f>
        <v/>
      </c>
      <c r="AX215" s="14">
        <f>F215*AW215*in_shop_ticket*in_shop_comm*in_ins_partner_share+F215*in_shop_ticket*in_shop_renew_comm*in_ins_partner_share*(in_shop_renew^1*SUMIFS(AW179:AW235,B179:B235,B215-12)+in_shop_renew^2*SUMIFS(AW179:AW235,B179:B235,B215-24)+in_shop_renew^3*SUMIFS(AW179:AW235,B179:B235,B215-36)+in_shop_renew^4*SUMIFS(AW179:AW235,B179:B235,B215-48))</f>
        <v/>
      </c>
      <c r="AY215" s="40">
        <f>AY214*(1-IF(B214&gt;=in_marketplace_from,d_hz_sip*G214,0))</f>
        <v/>
      </c>
      <c r="AZ215" s="40">
        <f>AZ214*d_rho_sip+AY215*IF(B215&gt;=in_marketplace_from,d_hz_sip*G215,0)</f>
        <v/>
      </c>
      <c r="BA215" s="40">
        <f>d_rho_sip*(BA214+AZ214)</f>
        <v/>
      </c>
      <c r="BB215" s="14">
        <f>F215*in_sip_ticket*(BA215+0.5*AZ215)*in_sip_comm/12</f>
        <v/>
      </c>
      <c r="BC215" s="40">
        <f>BC214*(1-IF(B214&gt;=in_marketplace_from,d_hz_choti*G214,0))</f>
        <v/>
      </c>
      <c r="BD215" s="46">
        <f>BC215*IF(B215&gt;=in_marketplace_from,d_hz_choti*G215,0)</f>
        <v/>
      </c>
      <c r="BE215" s="14">
        <f>F215*SUMIFS(BD179:BD235,B179:B235,B215-in_choti_months)*in_choti_renew*in_choti_ticket</f>
        <v/>
      </c>
      <c r="BF215" s="40">
        <f>BF214*(1-IF(B214&gt;=in_marketplace_from,d_hz_nps*G214,0))</f>
        <v/>
      </c>
      <c r="BG215" s="14">
        <f>F215*BF215*IF(B215&gt;=in_marketplace_from,d_hz_nps*G215,0)*in_nps_ticket*in_nps_comm</f>
        <v/>
      </c>
      <c r="BH215" s="40">
        <f>BH214*(1-IF(B214&gt;=in_marketplace_from,d_hz_gold*G214,0))</f>
        <v/>
      </c>
      <c r="BI215" s="40">
        <f>BI214*d_rho_gold+BH215*IF(B215&gt;=in_marketplace_from,d_hz_gold*G215,0)</f>
        <v/>
      </c>
      <c r="BJ215" s="14">
        <f>F215*BI215*in_gold_ticket*in_gold_comm</f>
        <v/>
      </c>
      <c r="BK215" s="40">
        <f>BK214*(1-IF(B214&gt;=in_marketplace_from,d_hz_fd*G214,0))</f>
        <v/>
      </c>
      <c r="BL215" s="14">
        <f>F215*BK215*IF(B215&gt;=in_marketplace_from,d_hz_fd*G215,0)*in_fd_ticket*in_fd_comm</f>
        <v/>
      </c>
      <c r="BM215" s="40">
        <f>BM214*(1-IF(B214&gt;=in_marketplace_from,d_hz_recharge*G214,0))</f>
        <v/>
      </c>
      <c r="BN215" s="40">
        <f>BN214*d_rho_recharge+BM215*IF(B215&gt;=in_marketplace_from,d_hz_recharge*G215,0)</f>
        <v/>
      </c>
      <c r="BO215" s="14">
        <f>F215*BN215*in_recharge_ticket*in_recharge_comm/12</f>
        <v/>
      </c>
      <c r="BP215" s="40">
        <f>BP214*(1-IF(B214&gt;=in_marketplace_from,d_hz_bills*G214,0))</f>
        <v/>
      </c>
      <c r="BQ215" s="40">
        <f>BQ214*d_rho_bills+BP215*IF(B215&gt;=in_marketplace_from,d_hz_bills*G215,0)</f>
        <v/>
      </c>
      <c r="BR215" s="14">
        <f>F215*BQ215*in_bills_ticket*in_bills_comm/12</f>
        <v/>
      </c>
      <c r="BS215" s="40">
        <f>BS214*(1-IF(B214&gt;=in_marketplace_from,d_hz_loan_gold*G214,0))</f>
        <v/>
      </c>
      <c r="BT215" s="14">
        <f>F215*BS215*IF(B215&gt;=in_marketplace_from,d_hz_loan_gold*G215,0)*in_loan_gold_ticket*in_loan_gold_comm</f>
        <v/>
      </c>
      <c r="BU215" s="40">
        <f>BU214*(1-IF(B214&gt;=in_marketplace_from,d_hz_loan_cd*G214,0))</f>
        <v/>
      </c>
      <c r="BV215" s="14">
        <f>F215*BU215*IF(B215&gt;=in_marketplace_from,d_hz_loan_cd*G215,0)*in_loan_cd_ticket*in_loan_cd_comm</f>
        <v/>
      </c>
      <c r="BW215" s="40">
        <f>BW214*(1-IF(B214&gt;=in_marketplace_from,d_hz_loan_vehicle*G214,0))</f>
        <v/>
      </c>
      <c r="BX215" s="14">
        <f>F215*BW215*IF(B215&gt;=in_marketplace_from,d_hz_loan_vehicle*G215,0)*in_loan_vehicle_ticket*in_loan_vehicle_comm</f>
        <v/>
      </c>
      <c r="BY215" s="40">
        <f>BY214*(1-IF(B214&gt;=in_marketplace_from,d_hz_loan_home*G214,0)*BZ214)</f>
        <v/>
      </c>
      <c r="BZ215" s="11">
        <f>MIN(in_approval_cap,in_loan_home_approval*INDEX('Age profile'!$O$2:$O$61,B215)*(1+in_approval_growth)^(D215-1))</f>
        <v/>
      </c>
      <c r="CA215" s="14">
        <f>F215*BY215*IF(B215&gt;=in_marketplace_from,d_hz_loan_home*G215,0)*BZ215*in_loan_home_ticket*in_loan_home_comm</f>
        <v/>
      </c>
      <c r="CB215" s="40">
        <f>CB214*(1-IF(B214&gt;=in_marketplace_from,d_hz_loan_lap*G214,0)*CC214)</f>
        <v/>
      </c>
      <c r="CC215" s="11">
        <f>MIN(in_approval_cap,in_loan_lap_approval*INDEX('Age profile'!$O$2:$O$61,B215)*(1+in_approval_growth)^(D215-1))</f>
        <v/>
      </c>
      <c r="CD215" s="14">
        <f>F215*CB215*IF(B215&gt;=in_marketplace_from,d_hz_loan_lap*G215,0)*CC215*in_loan_lap_ticket*in_loan_lap_comm</f>
        <v/>
      </c>
      <c r="CE215" s="14">
        <f>AA215+AB215+AC215+AD215+AG215+AJ215+AM215+AP215+AS215+AU215+AX215+BB215+BE215+BG215+BJ215+BL215+BO215+BR215+BT215+BV215+BX215+CA215+CD215</f>
        <v/>
      </c>
    </row>
    <row r="216">
      <c r="A216" s="39" t="n">
        <v>4</v>
      </c>
      <c r="B216" s="39" t="n">
        <v>38</v>
      </c>
      <c r="C216" s="39">
        <f>A216+B216-1</f>
        <v/>
      </c>
      <c r="D216" s="39">
        <f>INT((C216-1)/12)+1</f>
        <v/>
      </c>
      <c r="E216" s="44">
        <f>INDEX(Monthly!$B$2:$B$61,A216)</f>
        <v/>
      </c>
      <c r="F216" s="44">
        <f>E216*INDEX('Age profile'!$B$2:$B$61,B216)</f>
        <v/>
      </c>
      <c r="G216" s="45">
        <f>MIN(in_takeup_cap,INDEX('Age profile'!$N$2:$N$61,B216)*(1+in_takeup_growth)^(D216-1))</f>
        <v/>
      </c>
      <c r="H216" s="11">
        <f>MIN(in_approval_cap,in_approved_first*INDEX('Age profile'!$O$2:$O$61,B216)*(1+in_approval_growth)^(D216-1))</f>
        <v/>
      </c>
      <c r="I216" s="45">
        <f>G216*MIN(in_takeup_cap,INDEX('Age profile'!$O$2:$O$61,B216)*(1+in_approval_growth)^(D216-1))</f>
        <v/>
      </c>
      <c r="J216" s="40">
        <f>(J215-L215)*F216/F215</f>
        <v/>
      </c>
      <c r="K216" s="40">
        <f>(K215-M215)*F216/F215+SUMIFS(O179:O215,B179:B215,B216-1-d_T)*F216</f>
        <v/>
      </c>
      <c r="L216" s="40">
        <f>IF(B216&gt;=in_marketplace_from,J216*d_hz*G216*in_eligible*H216,0)</f>
        <v/>
      </c>
      <c r="M216" s="40">
        <f>IF(B216&gt;=in_marketplace_from,K216*d_hz*G216*in_eligible*in_approved_repeat,0)</f>
        <v/>
      </c>
      <c r="N216" s="40">
        <f>L216+M216</f>
        <v/>
      </c>
      <c r="O216" s="46">
        <f>N216/F216</f>
        <v/>
      </c>
      <c r="P216" s="40">
        <f>F216-J216-K216</f>
        <v/>
      </c>
      <c r="Q216" s="40">
        <f>IF(B216&gt;=in_marketplace_from,(J216+K216)*d_hz*G216,0)</f>
        <v/>
      </c>
      <c r="R216" s="40">
        <f>SUMIFS(N179:N235,B179:B235,"&gt;="&amp;(B216-d_T),B179:B235,"&lt;="&amp;(B216-1))</f>
        <v/>
      </c>
      <c r="S216" s="46">
        <f>(1-d_u)*S215+IF(d_T&gt;in_topup_lag,SUMIFS(O179:O235,B179:B235,B216-in_topup_lag)-d_udrop*SUMIFS(O179:O235,B179:B235,B216-d_T),0)</f>
        <v/>
      </c>
      <c r="T216" s="40">
        <f>F216*d_u*S216</f>
        <v/>
      </c>
      <c r="U216" s="9">
        <f>L216*in_ticket+M216*d_rep_ticket</f>
        <v/>
      </c>
      <c r="V216" s="9">
        <f>U216+T216*d_topup_amt</f>
        <v/>
      </c>
      <c r="W216" s="40">
        <f>N216+T216*d_topup_ratio</f>
        <v/>
      </c>
      <c r="X216" s="40">
        <f>SUMIFS(W179:W235,B179:B235,B216-in_dpd_lag)*d_cured</f>
        <v/>
      </c>
      <c r="Y216" s="40">
        <f>SUMIFS(W179:W235,B179:B235,B216-in_rec_lag)*d_recd</f>
        <v/>
      </c>
      <c r="Z216" s="40">
        <f>IF(AND(B216&gt;=in_marketplace_from,B216&lt;in_marketplace_from+in_card_months),in_card_share/in_card_months*F216*I216,IF(AND(B216&gt;=in_marketplace_from+in_card_months,B216&lt;in_marketplace_from+2*in_card_months),in_card_share*d_card_rem/in_card_months*F216*MIN(in_takeup_cap,(1+in_takeup_growth)^(D216-1))*MIN(in_takeup_cap,(1+in_approval_growth)^(D216-1)),0))</f>
        <v/>
      </c>
      <c r="AA216" s="14">
        <f>V216*in_fee*(1-in_taken_back)</f>
        <v/>
      </c>
      <c r="AB216" s="14">
        <f>SUMIFS(W179:W235,B179:B235,B216-in_dpd_lag)*d_dpd</f>
        <v/>
      </c>
      <c r="AC216" s="14">
        <f>SUMIFS(W179:W235,B179:B235,B216-in_rec_lag)*d_rec</f>
        <v/>
      </c>
      <c r="AD216" s="14">
        <f>Z216*in_card_fee</f>
        <v/>
      </c>
      <c r="AE216" s="40">
        <f>AE215*(1-IF(B215&gt;=in_marketplace_from,d_hz_hlth_small*G215,0))</f>
        <v/>
      </c>
      <c r="AF216" s="46">
        <f>AE216*IF(B216&gt;=in_marketplace_from,d_hz_hlth_small*G216,0)</f>
        <v/>
      </c>
      <c r="AG216" s="14">
        <f>F216*AF216*in_hlth_small_ticket*in_hlth_small_comm*in_ins_partner_share+F216*in_hlth_small_ticket*in_hlth_small_renew_comm*in_ins_partner_share*(in_hlth_small_renew^1*SUMIFS(AF179:AF235,B179:B235,B216-12)+in_hlth_small_renew^2*SUMIFS(AF179:AF235,B179:B235,B216-24)+in_hlth_small_renew^3*SUMIFS(AF179:AF235,B179:B235,B216-36)+in_hlth_small_renew^4*SUMIFS(AF179:AF235,B179:B235,B216-48))</f>
        <v/>
      </c>
      <c r="AH216" s="40">
        <f>AH215*(1-IF(B215&gt;=in_marketplace_from,d_hz_hlth_family*G215,0))</f>
        <v/>
      </c>
      <c r="AI216" s="46">
        <f>AH216*IF(B216&gt;=in_marketplace_from,d_hz_hlth_family*G216,0)</f>
        <v/>
      </c>
      <c r="AJ216" s="14">
        <f>F216*AI216*in_hlth_family_ticket*in_hlth_family_comm*in_ins_partner_share+F216*in_hlth_family_ticket*in_hlth_family_renew_comm*in_ins_partner_share*(in_hlth_family_renew^1*SUMIFS(AI179:AI235,B179:B235,B216-12)+in_hlth_family_renew^2*SUMIFS(AI179:AI235,B179:B235,B216-24)+in_hlth_family_renew^3*SUMIFS(AI179:AI235,B179:B235,B216-36)+in_hlth_family_renew^4*SUMIFS(AI179:AI235,B179:B235,B216-48))</f>
        <v/>
      </c>
      <c r="AK216" s="40">
        <f>AK215*(1-IF(B215&gt;=in_marketplace_from,d_hz_life_term*G215,0))</f>
        <v/>
      </c>
      <c r="AL216" s="46">
        <f>AK216*IF(B216&gt;=in_marketplace_from,d_hz_life_term*G216,0)</f>
        <v/>
      </c>
      <c r="AM216" s="14">
        <f>F216*AL216*in_life_term_ticket*in_life_term_comm*in_ins_partner_share+F216*in_life_term_ticket*in_life_term_renew_comm*in_ins_partner_share*(in_life_term_renew^1*SUMIFS(AL179:AL235,B179:B235,B216-12)+in_life_term_renew^2*SUMIFS(AL179:AL235,B179:B235,B216-24)+in_life_term_renew^3*SUMIFS(AL179:AL235,B179:B235,B216-36)+in_life_term_renew^4*SUMIFS(AL179:AL235,B179:B235,B216-48))</f>
        <v/>
      </c>
      <c r="AN216" s="40">
        <f>AN215*(1-IF(B215&gt;=in_marketplace_from,d_hz_accident*G215,0))</f>
        <v/>
      </c>
      <c r="AO216" s="46">
        <f>AN216*IF(B216&gt;=in_marketplace_from,d_hz_accident*G216,0)</f>
        <v/>
      </c>
      <c r="AP216" s="14">
        <f>F216*AO216*in_accident_ticket*in_accident_comm*in_ins_partner_share+F216*in_accident_ticket*in_accident_renew_comm*in_ins_partner_share*(in_accident_renew^1*SUMIFS(AO179:AO235,B179:B235,B216-12)+in_accident_renew^2*SUMIFS(AO179:AO235,B179:B235,B216-24)+in_accident_renew^3*SUMIFS(AO179:AO235,B179:B235,B216-36)+in_accident_renew^4*SUMIFS(AO179:AO235,B179:B235,B216-48))</f>
        <v/>
      </c>
      <c r="AQ216" s="40">
        <f>AQ215*(1-IF(B215&gt;=in_marketplace_from,d_hz_two_wheeler*G215,0))</f>
        <v/>
      </c>
      <c r="AR216" s="46">
        <f>AQ216*IF(B216&gt;=in_marketplace_from,d_hz_two_wheeler*G216,0)</f>
        <v/>
      </c>
      <c r="AS216" s="14">
        <f>F216*AR216*in_two_wheeler_ticket*in_two_wheeler_comm*in_ins_partner_share+F216*in_two_wheeler_ticket*in_two_wheeler_comm*in_ins_partner_share*(in_two_wheeler_renew^1*SUMIFS(AR179:AR235,B179:B235,B216-12)+in_two_wheeler_renew^2*SUMIFS(AR179:AR235,B179:B235,B216-24)+in_two_wheeler_renew^3*SUMIFS(AR179:AR235,B179:B235,B216-36)+in_two_wheeler_renew^4*SUMIFS(AR179:AR235,B179:B235,B216-48))</f>
        <v/>
      </c>
      <c r="AT216" s="40">
        <f>AT215*(1-IF(B215&gt;=in_marketplace_from,d_hz_device*G215,0))</f>
        <v/>
      </c>
      <c r="AU216" s="14">
        <f>F216*AT216*IF(B216&gt;=in_marketplace_from,d_hz_device*G216,0)*in_device_ticket*in_device_comm*in_ins_partner_share</f>
        <v/>
      </c>
      <c r="AV216" s="40">
        <f>AV215*(1-IF(B215&gt;=in_marketplace_from,d_hz_shop*G215,0))</f>
        <v/>
      </c>
      <c r="AW216" s="46">
        <f>AV216*IF(B216&gt;=in_marketplace_from,d_hz_shop*G216,0)</f>
        <v/>
      </c>
      <c r="AX216" s="14">
        <f>F216*AW216*in_shop_ticket*in_shop_comm*in_ins_partner_share+F216*in_shop_ticket*in_shop_renew_comm*in_ins_partner_share*(in_shop_renew^1*SUMIFS(AW179:AW235,B179:B235,B216-12)+in_shop_renew^2*SUMIFS(AW179:AW235,B179:B235,B216-24)+in_shop_renew^3*SUMIFS(AW179:AW235,B179:B235,B216-36)+in_shop_renew^4*SUMIFS(AW179:AW235,B179:B235,B216-48))</f>
        <v/>
      </c>
      <c r="AY216" s="40">
        <f>AY215*(1-IF(B215&gt;=in_marketplace_from,d_hz_sip*G215,0))</f>
        <v/>
      </c>
      <c r="AZ216" s="40">
        <f>AZ215*d_rho_sip+AY216*IF(B216&gt;=in_marketplace_from,d_hz_sip*G216,0)</f>
        <v/>
      </c>
      <c r="BA216" s="40">
        <f>d_rho_sip*(BA215+AZ215)</f>
        <v/>
      </c>
      <c r="BB216" s="14">
        <f>F216*in_sip_ticket*(BA216+0.5*AZ216)*in_sip_comm/12</f>
        <v/>
      </c>
      <c r="BC216" s="40">
        <f>BC215*(1-IF(B215&gt;=in_marketplace_from,d_hz_choti*G215,0))</f>
        <v/>
      </c>
      <c r="BD216" s="46">
        <f>BC216*IF(B216&gt;=in_marketplace_from,d_hz_choti*G216,0)</f>
        <v/>
      </c>
      <c r="BE216" s="14">
        <f>F216*SUMIFS(BD179:BD235,B179:B235,B216-in_choti_months)*in_choti_renew*in_choti_ticket</f>
        <v/>
      </c>
      <c r="BF216" s="40">
        <f>BF215*(1-IF(B215&gt;=in_marketplace_from,d_hz_nps*G215,0))</f>
        <v/>
      </c>
      <c r="BG216" s="14">
        <f>F216*BF216*IF(B216&gt;=in_marketplace_from,d_hz_nps*G216,0)*in_nps_ticket*in_nps_comm</f>
        <v/>
      </c>
      <c r="BH216" s="40">
        <f>BH215*(1-IF(B215&gt;=in_marketplace_from,d_hz_gold*G215,0))</f>
        <v/>
      </c>
      <c r="BI216" s="40">
        <f>BI215*d_rho_gold+BH216*IF(B216&gt;=in_marketplace_from,d_hz_gold*G216,0)</f>
        <v/>
      </c>
      <c r="BJ216" s="14">
        <f>F216*BI216*in_gold_ticket*in_gold_comm</f>
        <v/>
      </c>
      <c r="BK216" s="40">
        <f>BK215*(1-IF(B215&gt;=in_marketplace_from,d_hz_fd*G215,0))</f>
        <v/>
      </c>
      <c r="BL216" s="14">
        <f>F216*BK216*IF(B216&gt;=in_marketplace_from,d_hz_fd*G216,0)*in_fd_ticket*in_fd_comm</f>
        <v/>
      </c>
      <c r="BM216" s="40">
        <f>BM215*(1-IF(B215&gt;=in_marketplace_from,d_hz_recharge*G215,0))</f>
        <v/>
      </c>
      <c r="BN216" s="40">
        <f>BN215*d_rho_recharge+BM216*IF(B216&gt;=in_marketplace_from,d_hz_recharge*G216,0)</f>
        <v/>
      </c>
      <c r="BO216" s="14">
        <f>F216*BN216*in_recharge_ticket*in_recharge_comm/12</f>
        <v/>
      </c>
      <c r="BP216" s="40">
        <f>BP215*(1-IF(B215&gt;=in_marketplace_from,d_hz_bills*G215,0))</f>
        <v/>
      </c>
      <c r="BQ216" s="40">
        <f>BQ215*d_rho_bills+BP216*IF(B216&gt;=in_marketplace_from,d_hz_bills*G216,0)</f>
        <v/>
      </c>
      <c r="BR216" s="14">
        <f>F216*BQ216*in_bills_ticket*in_bills_comm/12</f>
        <v/>
      </c>
      <c r="BS216" s="40">
        <f>BS215*(1-IF(B215&gt;=in_marketplace_from,d_hz_loan_gold*G215,0))</f>
        <v/>
      </c>
      <c r="BT216" s="14">
        <f>F216*BS216*IF(B216&gt;=in_marketplace_from,d_hz_loan_gold*G216,0)*in_loan_gold_ticket*in_loan_gold_comm</f>
        <v/>
      </c>
      <c r="BU216" s="40">
        <f>BU215*(1-IF(B215&gt;=in_marketplace_from,d_hz_loan_cd*G215,0))</f>
        <v/>
      </c>
      <c r="BV216" s="14">
        <f>F216*BU216*IF(B216&gt;=in_marketplace_from,d_hz_loan_cd*G216,0)*in_loan_cd_ticket*in_loan_cd_comm</f>
        <v/>
      </c>
      <c r="BW216" s="40">
        <f>BW215*(1-IF(B215&gt;=in_marketplace_from,d_hz_loan_vehicle*G215,0))</f>
        <v/>
      </c>
      <c r="BX216" s="14">
        <f>F216*BW216*IF(B216&gt;=in_marketplace_from,d_hz_loan_vehicle*G216,0)*in_loan_vehicle_ticket*in_loan_vehicle_comm</f>
        <v/>
      </c>
      <c r="BY216" s="40">
        <f>BY215*(1-IF(B215&gt;=in_marketplace_from,d_hz_loan_home*G215,0)*BZ215)</f>
        <v/>
      </c>
      <c r="BZ216" s="11">
        <f>MIN(in_approval_cap,in_loan_home_approval*INDEX('Age profile'!$O$2:$O$61,B216)*(1+in_approval_growth)^(D216-1))</f>
        <v/>
      </c>
      <c r="CA216" s="14">
        <f>F216*BY216*IF(B216&gt;=in_marketplace_from,d_hz_loan_home*G216,0)*BZ216*in_loan_home_ticket*in_loan_home_comm</f>
        <v/>
      </c>
      <c r="CB216" s="40">
        <f>CB215*(1-IF(B215&gt;=in_marketplace_from,d_hz_loan_lap*G215,0)*CC215)</f>
        <v/>
      </c>
      <c r="CC216" s="11">
        <f>MIN(in_approval_cap,in_loan_lap_approval*INDEX('Age profile'!$O$2:$O$61,B216)*(1+in_approval_growth)^(D216-1))</f>
        <v/>
      </c>
      <c r="CD216" s="14">
        <f>F216*CB216*IF(B216&gt;=in_marketplace_from,d_hz_loan_lap*G216,0)*CC216*in_loan_lap_ticket*in_loan_lap_comm</f>
        <v/>
      </c>
      <c r="CE216" s="14">
        <f>AA216+AB216+AC216+AD216+AG216+AJ216+AM216+AP216+AS216+AU216+AX216+BB216+BE216+BG216+BJ216+BL216+BO216+BR216+BT216+BV216+BX216+CA216+CD216</f>
        <v/>
      </c>
    </row>
    <row r="217">
      <c r="A217" s="39" t="n">
        <v>4</v>
      </c>
      <c r="B217" s="39" t="n">
        <v>39</v>
      </c>
      <c r="C217" s="39">
        <f>A217+B217-1</f>
        <v/>
      </c>
      <c r="D217" s="39">
        <f>INT((C217-1)/12)+1</f>
        <v/>
      </c>
      <c r="E217" s="44">
        <f>INDEX(Monthly!$B$2:$B$61,A217)</f>
        <v/>
      </c>
      <c r="F217" s="44">
        <f>E217*INDEX('Age profile'!$B$2:$B$61,B217)</f>
        <v/>
      </c>
      <c r="G217" s="45">
        <f>MIN(in_takeup_cap,INDEX('Age profile'!$N$2:$N$61,B217)*(1+in_takeup_growth)^(D217-1))</f>
        <v/>
      </c>
      <c r="H217" s="11">
        <f>MIN(in_approval_cap,in_approved_first*INDEX('Age profile'!$O$2:$O$61,B217)*(1+in_approval_growth)^(D217-1))</f>
        <v/>
      </c>
      <c r="I217" s="45">
        <f>G217*MIN(in_takeup_cap,INDEX('Age profile'!$O$2:$O$61,B217)*(1+in_approval_growth)^(D217-1))</f>
        <v/>
      </c>
      <c r="J217" s="40">
        <f>(J216-L216)*F217/F216</f>
        <v/>
      </c>
      <c r="K217" s="40">
        <f>(K216-M216)*F217/F216+SUMIFS(O179:O216,B179:B216,B217-1-d_T)*F217</f>
        <v/>
      </c>
      <c r="L217" s="40">
        <f>IF(B217&gt;=in_marketplace_from,J217*d_hz*G217*in_eligible*H217,0)</f>
        <v/>
      </c>
      <c r="M217" s="40">
        <f>IF(B217&gt;=in_marketplace_from,K217*d_hz*G217*in_eligible*in_approved_repeat,0)</f>
        <v/>
      </c>
      <c r="N217" s="40">
        <f>L217+M217</f>
        <v/>
      </c>
      <c r="O217" s="46">
        <f>N217/F217</f>
        <v/>
      </c>
      <c r="P217" s="40">
        <f>F217-J217-K217</f>
        <v/>
      </c>
      <c r="Q217" s="40">
        <f>IF(B217&gt;=in_marketplace_from,(J217+K217)*d_hz*G217,0)</f>
        <v/>
      </c>
      <c r="R217" s="40">
        <f>SUMIFS(N179:N235,B179:B235,"&gt;="&amp;(B217-d_T),B179:B235,"&lt;="&amp;(B217-1))</f>
        <v/>
      </c>
      <c r="S217" s="46">
        <f>(1-d_u)*S216+IF(d_T&gt;in_topup_lag,SUMIFS(O179:O235,B179:B235,B217-in_topup_lag)-d_udrop*SUMIFS(O179:O235,B179:B235,B217-d_T),0)</f>
        <v/>
      </c>
      <c r="T217" s="40">
        <f>F217*d_u*S217</f>
        <v/>
      </c>
      <c r="U217" s="9">
        <f>L217*in_ticket+M217*d_rep_ticket</f>
        <v/>
      </c>
      <c r="V217" s="9">
        <f>U217+T217*d_topup_amt</f>
        <v/>
      </c>
      <c r="W217" s="40">
        <f>N217+T217*d_topup_ratio</f>
        <v/>
      </c>
      <c r="X217" s="40">
        <f>SUMIFS(W179:W235,B179:B235,B217-in_dpd_lag)*d_cured</f>
        <v/>
      </c>
      <c r="Y217" s="40">
        <f>SUMIFS(W179:W235,B179:B235,B217-in_rec_lag)*d_recd</f>
        <v/>
      </c>
      <c r="Z217" s="40">
        <f>IF(AND(B217&gt;=in_marketplace_from,B217&lt;in_marketplace_from+in_card_months),in_card_share/in_card_months*F217*I217,IF(AND(B217&gt;=in_marketplace_from+in_card_months,B217&lt;in_marketplace_from+2*in_card_months),in_card_share*d_card_rem/in_card_months*F217*MIN(in_takeup_cap,(1+in_takeup_growth)^(D217-1))*MIN(in_takeup_cap,(1+in_approval_growth)^(D217-1)),0))</f>
        <v/>
      </c>
      <c r="AA217" s="14">
        <f>V217*in_fee*(1-in_taken_back)</f>
        <v/>
      </c>
      <c r="AB217" s="14">
        <f>SUMIFS(W179:W235,B179:B235,B217-in_dpd_lag)*d_dpd</f>
        <v/>
      </c>
      <c r="AC217" s="14">
        <f>SUMIFS(W179:W235,B179:B235,B217-in_rec_lag)*d_rec</f>
        <v/>
      </c>
      <c r="AD217" s="14">
        <f>Z217*in_card_fee</f>
        <v/>
      </c>
      <c r="AE217" s="40">
        <f>AE216*(1-IF(B216&gt;=in_marketplace_from,d_hz_hlth_small*G216,0))</f>
        <v/>
      </c>
      <c r="AF217" s="46">
        <f>AE217*IF(B217&gt;=in_marketplace_from,d_hz_hlth_small*G217,0)</f>
        <v/>
      </c>
      <c r="AG217" s="14">
        <f>F217*AF217*in_hlth_small_ticket*in_hlth_small_comm*in_ins_partner_share+F217*in_hlth_small_ticket*in_hlth_small_renew_comm*in_ins_partner_share*(in_hlth_small_renew^1*SUMIFS(AF179:AF235,B179:B235,B217-12)+in_hlth_small_renew^2*SUMIFS(AF179:AF235,B179:B235,B217-24)+in_hlth_small_renew^3*SUMIFS(AF179:AF235,B179:B235,B217-36)+in_hlth_small_renew^4*SUMIFS(AF179:AF235,B179:B235,B217-48))</f>
        <v/>
      </c>
      <c r="AH217" s="40">
        <f>AH216*(1-IF(B216&gt;=in_marketplace_from,d_hz_hlth_family*G216,0))</f>
        <v/>
      </c>
      <c r="AI217" s="46">
        <f>AH217*IF(B217&gt;=in_marketplace_from,d_hz_hlth_family*G217,0)</f>
        <v/>
      </c>
      <c r="AJ217" s="14">
        <f>F217*AI217*in_hlth_family_ticket*in_hlth_family_comm*in_ins_partner_share+F217*in_hlth_family_ticket*in_hlth_family_renew_comm*in_ins_partner_share*(in_hlth_family_renew^1*SUMIFS(AI179:AI235,B179:B235,B217-12)+in_hlth_family_renew^2*SUMIFS(AI179:AI235,B179:B235,B217-24)+in_hlth_family_renew^3*SUMIFS(AI179:AI235,B179:B235,B217-36)+in_hlth_family_renew^4*SUMIFS(AI179:AI235,B179:B235,B217-48))</f>
        <v/>
      </c>
      <c r="AK217" s="40">
        <f>AK216*(1-IF(B216&gt;=in_marketplace_from,d_hz_life_term*G216,0))</f>
        <v/>
      </c>
      <c r="AL217" s="46">
        <f>AK217*IF(B217&gt;=in_marketplace_from,d_hz_life_term*G217,0)</f>
        <v/>
      </c>
      <c r="AM217" s="14">
        <f>F217*AL217*in_life_term_ticket*in_life_term_comm*in_ins_partner_share+F217*in_life_term_ticket*in_life_term_renew_comm*in_ins_partner_share*(in_life_term_renew^1*SUMIFS(AL179:AL235,B179:B235,B217-12)+in_life_term_renew^2*SUMIFS(AL179:AL235,B179:B235,B217-24)+in_life_term_renew^3*SUMIFS(AL179:AL235,B179:B235,B217-36)+in_life_term_renew^4*SUMIFS(AL179:AL235,B179:B235,B217-48))</f>
        <v/>
      </c>
      <c r="AN217" s="40">
        <f>AN216*(1-IF(B216&gt;=in_marketplace_from,d_hz_accident*G216,0))</f>
        <v/>
      </c>
      <c r="AO217" s="46">
        <f>AN217*IF(B217&gt;=in_marketplace_from,d_hz_accident*G217,0)</f>
        <v/>
      </c>
      <c r="AP217" s="14">
        <f>F217*AO217*in_accident_ticket*in_accident_comm*in_ins_partner_share+F217*in_accident_ticket*in_accident_renew_comm*in_ins_partner_share*(in_accident_renew^1*SUMIFS(AO179:AO235,B179:B235,B217-12)+in_accident_renew^2*SUMIFS(AO179:AO235,B179:B235,B217-24)+in_accident_renew^3*SUMIFS(AO179:AO235,B179:B235,B217-36)+in_accident_renew^4*SUMIFS(AO179:AO235,B179:B235,B217-48))</f>
        <v/>
      </c>
      <c r="AQ217" s="40">
        <f>AQ216*(1-IF(B216&gt;=in_marketplace_from,d_hz_two_wheeler*G216,0))</f>
        <v/>
      </c>
      <c r="AR217" s="46">
        <f>AQ217*IF(B217&gt;=in_marketplace_from,d_hz_two_wheeler*G217,0)</f>
        <v/>
      </c>
      <c r="AS217" s="14">
        <f>F217*AR217*in_two_wheeler_ticket*in_two_wheeler_comm*in_ins_partner_share+F217*in_two_wheeler_ticket*in_two_wheeler_comm*in_ins_partner_share*(in_two_wheeler_renew^1*SUMIFS(AR179:AR235,B179:B235,B217-12)+in_two_wheeler_renew^2*SUMIFS(AR179:AR235,B179:B235,B217-24)+in_two_wheeler_renew^3*SUMIFS(AR179:AR235,B179:B235,B217-36)+in_two_wheeler_renew^4*SUMIFS(AR179:AR235,B179:B235,B217-48))</f>
        <v/>
      </c>
      <c r="AT217" s="40">
        <f>AT216*(1-IF(B216&gt;=in_marketplace_from,d_hz_device*G216,0))</f>
        <v/>
      </c>
      <c r="AU217" s="14">
        <f>F217*AT217*IF(B217&gt;=in_marketplace_from,d_hz_device*G217,0)*in_device_ticket*in_device_comm*in_ins_partner_share</f>
        <v/>
      </c>
      <c r="AV217" s="40">
        <f>AV216*(1-IF(B216&gt;=in_marketplace_from,d_hz_shop*G216,0))</f>
        <v/>
      </c>
      <c r="AW217" s="46">
        <f>AV217*IF(B217&gt;=in_marketplace_from,d_hz_shop*G217,0)</f>
        <v/>
      </c>
      <c r="AX217" s="14">
        <f>F217*AW217*in_shop_ticket*in_shop_comm*in_ins_partner_share+F217*in_shop_ticket*in_shop_renew_comm*in_ins_partner_share*(in_shop_renew^1*SUMIFS(AW179:AW235,B179:B235,B217-12)+in_shop_renew^2*SUMIFS(AW179:AW235,B179:B235,B217-24)+in_shop_renew^3*SUMIFS(AW179:AW235,B179:B235,B217-36)+in_shop_renew^4*SUMIFS(AW179:AW235,B179:B235,B217-48))</f>
        <v/>
      </c>
      <c r="AY217" s="40">
        <f>AY216*(1-IF(B216&gt;=in_marketplace_from,d_hz_sip*G216,0))</f>
        <v/>
      </c>
      <c r="AZ217" s="40">
        <f>AZ216*d_rho_sip+AY217*IF(B217&gt;=in_marketplace_from,d_hz_sip*G217,0)</f>
        <v/>
      </c>
      <c r="BA217" s="40">
        <f>d_rho_sip*(BA216+AZ216)</f>
        <v/>
      </c>
      <c r="BB217" s="14">
        <f>F217*in_sip_ticket*(BA217+0.5*AZ217)*in_sip_comm/12</f>
        <v/>
      </c>
      <c r="BC217" s="40">
        <f>BC216*(1-IF(B216&gt;=in_marketplace_from,d_hz_choti*G216,0))</f>
        <v/>
      </c>
      <c r="BD217" s="46">
        <f>BC217*IF(B217&gt;=in_marketplace_from,d_hz_choti*G217,0)</f>
        <v/>
      </c>
      <c r="BE217" s="14">
        <f>F217*SUMIFS(BD179:BD235,B179:B235,B217-in_choti_months)*in_choti_renew*in_choti_ticket</f>
        <v/>
      </c>
      <c r="BF217" s="40">
        <f>BF216*(1-IF(B216&gt;=in_marketplace_from,d_hz_nps*G216,0))</f>
        <v/>
      </c>
      <c r="BG217" s="14">
        <f>F217*BF217*IF(B217&gt;=in_marketplace_from,d_hz_nps*G217,0)*in_nps_ticket*in_nps_comm</f>
        <v/>
      </c>
      <c r="BH217" s="40">
        <f>BH216*(1-IF(B216&gt;=in_marketplace_from,d_hz_gold*G216,0))</f>
        <v/>
      </c>
      <c r="BI217" s="40">
        <f>BI216*d_rho_gold+BH217*IF(B217&gt;=in_marketplace_from,d_hz_gold*G217,0)</f>
        <v/>
      </c>
      <c r="BJ217" s="14">
        <f>F217*BI217*in_gold_ticket*in_gold_comm</f>
        <v/>
      </c>
      <c r="BK217" s="40">
        <f>BK216*(1-IF(B216&gt;=in_marketplace_from,d_hz_fd*G216,0))</f>
        <v/>
      </c>
      <c r="BL217" s="14">
        <f>F217*BK217*IF(B217&gt;=in_marketplace_from,d_hz_fd*G217,0)*in_fd_ticket*in_fd_comm</f>
        <v/>
      </c>
      <c r="BM217" s="40">
        <f>BM216*(1-IF(B216&gt;=in_marketplace_from,d_hz_recharge*G216,0))</f>
        <v/>
      </c>
      <c r="BN217" s="40">
        <f>BN216*d_rho_recharge+BM217*IF(B217&gt;=in_marketplace_from,d_hz_recharge*G217,0)</f>
        <v/>
      </c>
      <c r="BO217" s="14">
        <f>F217*BN217*in_recharge_ticket*in_recharge_comm/12</f>
        <v/>
      </c>
      <c r="BP217" s="40">
        <f>BP216*(1-IF(B216&gt;=in_marketplace_from,d_hz_bills*G216,0))</f>
        <v/>
      </c>
      <c r="BQ217" s="40">
        <f>BQ216*d_rho_bills+BP217*IF(B217&gt;=in_marketplace_from,d_hz_bills*G217,0)</f>
        <v/>
      </c>
      <c r="BR217" s="14">
        <f>F217*BQ217*in_bills_ticket*in_bills_comm/12</f>
        <v/>
      </c>
      <c r="BS217" s="40">
        <f>BS216*(1-IF(B216&gt;=in_marketplace_from,d_hz_loan_gold*G216,0))</f>
        <v/>
      </c>
      <c r="BT217" s="14">
        <f>F217*BS217*IF(B217&gt;=in_marketplace_from,d_hz_loan_gold*G217,0)*in_loan_gold_ticket*in_loan_gold_comm</f>
        <v/>
      </c>
      <c r="BU217" s="40">
        <f>BU216*(1-IF(B216&gt;=in_marketplace_from,d_hz_loan_cd*G216,0))</f>
        <v/>
      </c>
      <c r="BV217" s="14">
        <f>F217*BU217*IF(B217&gt;=in_marketplace_from,d_hz_loan_cd*G217,0)*in_loan_cd_ticket*in_loan_cd_comm</f>
        <v/>
      </c>
      <c r="BW217" s="40">
        <f>BW216*(1-IF(B216&gt;=in_marketplace_from,d_hz_loan_vehicle*G216,0))</f>
        <v/>
      </c>
      <c r="BX217" s="14">
        <f>F217*BW217*IF(B217&gt;=in_marketplace_from,d_hz_loan_vehicle*G217,0)*in_loan_vehicle_ticket*in_loan_vehicle_comm</f>
        <v/>
      </c>
      <c r="BY217" s="40">
        <f>BY216*(1-IF(B216&gt;=in_marketplace_from,d_hz_loan_home*G216,0)*BZ216)</f>
        <v/>
      </c>
      <c r="BZ217" s="11">
        <f>MIN(in_approval_cap,in_loan_home_approval*INDEX('Age profile'!$O$2:$O$61,B217)*(1+in_approval_growth)^(D217-1))</f>
        <v/>
      </c>
      <c r="CA217" s="14">
        <f>F217*BY217*IF(B217&gt;=in_marketplace_from,d_hz_loan_home*G217,0)*BZ217*in_loan_home_ticket*in_loan_home_comm</f>
        <v/>
      </c>
      <c r="CB217" s="40">
        <f>CB216*(1-IF(B216&gt;=in_marketplace_from,d_hz_loan_lap*G216,0)*CC216)</f>
        <v/>
      </c>
      <c r="CC217" s="11">
        <f>MIN(in_approval_cap,in_loan_lap_approval*INDEX('Age profile'!$O$2:$O$61,B217)*(1+in_approval_growth)^(D217-1))</f>
        <v/>
      </c>
      <c r="CD217" s="14">
        <f>F217*CB217*IF(B217&gt;=in_marketplace_from,d_hz_loan_lap*G217,0)*CC217*in_loan_lap_ticket*in_loan_lap_comm</f>
        <v/>
      </c>
      <c r="CE217" s="14">
        <f>AA217+AB217+AC217+AD217+AG217+AJ217+AM217+AP217+AS217+AU217+AX217+BB217+BE217+BG217+BJ217+BL217+BO217+BR217+BT217+BV217+BX217+CA217+CD217</f>
        <v/>
      </c>
    </row>
    <row r="218">
      <c r="A218" s="39" t="n">
        <v>4</v>
      </c>
      <c r="B218" s="39" t="n">
        <v>40</v>
      </c>
      <c r="C218" s="39">
        <f>A218+B218-1</f>
        <v/>
      </c>
      <c r="D218" s="39">
        <f>INT((C218-1)/12)+1</f>
        <v/>
      </c>
      <c r="E218" s="44">
        <f>INDEX(Monthly!$B$2:$B$61,A218)</f>
        <v/>
      </c>
      <c r="F218" s="44">
        <f>E218*INDEX('Age profile'!$B$2:$B$61,B218)</f>
        <v/>
      </c>
      <c r="G218" s="45">
        <f>MIN(in_takeup_cap,INDEX('Age profile'!$N$2:$N$61,B218)*(1+in_takeup_growth)^(D218-1))</f>
        <v/>
      </c>
      <c r="H218" s="11">
        <f>MIN(in_approval_cap,in_approved_first*INDEX('Age profile'!$O$2:$O$61,B218)*(1+in_approval_growth)^(D218-1))</f>
        <v/>
      </c>
      <c r="I218" s="45">
        <f>G218*MIN(in_takeup_cap,INDEX('Age profile'!$O$2:$O$61,B218)*(1+in_approval_growth)^(D218-1))</f>
        <v/>
      </c>
      <c r="J218" s="40">
        <f>(J217-L217)*F218/F217</f>
        <v/>
      </c>
      <c r="K218" s="40">
        <f>(K217-M217)*F218/F217+SUMIFS(O179:O217,B179:B217,B218-1-d_T)*F218</f>
        <v/>
      </c>
      <c r="L218" s="40">
        <f>IF(B218&gt;=in_marketplace_from,J218*d_hz*G218*in_eligible*H218,0)</f>
        <v/>
      </c>
      <c r="M218" s="40">
        <f>IF(B218&gt;=in_marketplace_from,K218*d_hz*G218*in_eligible*in_approved_repeat,0)</f>
        <v/>
      </c>
      <c r="N218" s="40">
        <f>L218+M218</f>
        <v/>
      </c>
      <c r="O218" s="46">
        <f>N218/F218</f>
        <v/>
      </c>
      <c r="P218" s="40">
        <f>F218-J218-K218</f>
        <v/>
      </c>
      <c r="Q218" s="40">
        <f>IF(B218&gt;=in_marketplace_from,(J218+K218)*d_hz*G218,0)</f>
        <v/>
      </c>
      <c r="R218" s="40">
        <f>SUMIFS(N179:N235,B179:B235,"&gt;="&amp;(B218-d_T),B179:B235,"&lt;="&amp;(B218-1))</f>
        <v/>
      </c>
      <c r="S218" s="46">
        <f>(1-d_u)*S217+IF(d_T&gt;in_topup_lag,SUMIFS(O179:O235,B179:B235,B218-in_topup_lag)-d_udrop*SUMIFS(O179:O235,B179:B235,B218-d_T),0)</f>
        <v/>
      </c>
      <c r="T218" s="40">
        <f>F218*d_u*S218</f>
        <v/>
      </c>
      <c r="U218" s="9">
        <f>L218*in_ticket+M218*d_rep_ticket</f>
        <v/>
      </c>
      <c r="V218" s="9">
        <f>U218+T218*d_topup_amt</f>
        <v/>
      </c>
      <c r="W218" s="40">
        <f>N218+T218*d_topup_ratio</f>
        <v/>
      </c>
      <c r="X218" s="40">
        <f>SUMIFS(W179:W235,B179:B235,B218-in_dpd_lag)*d_cured</f>
        <v/>
      </c>
      <c r="Y218" s="40">
        <f>SUMIFS(W179:W235,B179:B235,B218-in_rec_lag)*d_recd</f>
        <v/>
      </c>
      <c r="Z218" s="40">
        <f>IF(AND(B218&gt;=in_marketplace_from,B218&lt;in_marketplace_from+in_card_months),in_card_share/in_card_months*F218*I218,IF(AND(B218&gt;=in_marketplace_from+in_card_months,B218&lt;in_marketplace_from+2*in_card_months),in_card_share*d_card_rem/in_card_months*F218*MIN(in_takeup_cap,(1+in_takeup_growth)^(D218-1))*MIN(in_takeup_cap,(1+in_approval_growth)^(D218-1)),0))</f>
        <v/>
      </c>
      <c r="AA218" s="14">
        <f>V218*in_fee*(1-in_taken_back)</f>
        <v/>
      </c>
      <c r="AB218" s="14">
        <f>SUMIFS(W179:W235,B179:B235,B218-in_dpd_lag)*d_dpd</f>
        <v/>
      </c>
      <c r="AC218" s="14">
        <f>SUMIFS(W179:W235,B179:B235,B218-in_rec_lag)*d_rec</f>
        <v/>
      </c>
      <c r="AD218" s="14">
        <f>Z218*in_card_fee</f>
        <v/>
      </c>
      <c r="AE218" s="40">
        <f>AE217*(1-IF(B217&gt;=in_marketplace_from,d_hz_hlth_small*G217,0))</f>
        <v/>
      </c>
      <c r="AF218" s="46">
        <f>AE218*IF(B218&gt;=in_marketplace_from,d_hz_hlth_small*G218,0)</f>
        <v/>
      </c>
      <c r="AG218" s="14">
        <f>F218*AF218*in_hlth_small_ticket*in_hlth_small_comm*in_ins_partner_share+F218*in_hlth_small_ticket*in_hlth_small_renew_comm*in_ins_partner_share*(in_hlth_small_renew^1*SUMIFS(AF179:AF235,B179:B235,B218-12)+in_hlth_small_renew^2*SUMIFS(AF179:AF235,B179:B235,B218-24)+in_hlth_small_renew^3*SUMIFS(AF179:AF235,B179:B235,B218-36)+in_hlth_small_renew^4*SUMIFS(AF179:AF235,B179:B235,B218-48))</f>
        <v/>
      </c>
      <c r="AH218" s="40">
        <f>AH217*(1-IF(B217&gt;=in_marketplace_from,d_hz_hlth_family*G217,0))</f>
        <v/>
      </c>
      <c r="AI218" s="46">
        <f>AH218*IF(B218&gt;=in_marketplace_from,d_hz_hlth_family*G218,0)</f>
        <v/>
      </c>
      <c r="AJ218" s="14">
        <f>F218*AI218*in_hlth_family_ticket*in_hlth_family_comm*in_ins_partner_share+F218*in_hlth_family_ticket*in_hlth_family_renew_comm*in_ins_partner_share*(in_hlth_family_renew^1*SUMIFS(AI179:AI235,B179:B235,B218-12)+in_hlth_family_renew^2*SUMIFS(AI179:AI235,B179:B235,B218-24)+in_hlth_family_renew^3*SUMIFS(AI179:AI235,B179:B235,B218-36)+in_hlth_family_renew^4*SUMIFS(AI179:AI235,B179:B235,B218-48))</f>
        <v/>
      </c>
      <c r="AK218" s="40">
        <f>AK217*(1-IF(B217&gt;=in_marketplace_from,d_hz_life_term*G217,0))</f>
        <v/>
      </c>
      <c r="AL218" s="46">
        <f>AK218*IF(B218&gt;=in_marketplace_from,d_hz_life_term*G218,0)</f>
        <v/>
      </c>
      <c r="AM218" s="14">
        <f>F218*AL218*in_life_term_ticket*in_life_term_comm*in_ins_partner_share+F218*in_life_term_ticket*in_life_term_renew_comm*in_ins_partner_share*(in_life_term_renew^1*SUMIFS(AL179:AL235,B179:B235,B218-12)+in_life_term_renew^2*SUMIFS(AL179:AL235,B179:B235,B218-24)+in_life_term_renew^3*SUMIFS(AL179:AL235,B179:B235,B218-36)+in_life_term_renew^4*SUMIFS(AL179:AL235,B179:B235,B218-48))</f>
        <v/>
      </c>
      <c r="AN218" s="40">
        <f>AN217*(1-IF(B217&gt;=in_marketplace_from,d_hz_accident*G217,0))</f>
        <v/>
      </c>
      <c r="AO218" s="46">
        <f>AN218*IF(B218&gt;=in_marketplace_from,d_hz_accident*G218,0)</f>
        <v/>
      </c>
      <c r="AP218" s="14">
        <f>F218*AO218*in_accident_ticket*in_accident_comm*in_ins_partner_share+F218*in_accident_ticket*in_accident_renew_comm*in_ins_partner_share*(in_accident_renew^1*SUMIFS(AO179:AO235,B179:B235,B218-12)+in_accident_renew^2*SUMIFS(AO179:AO235,B179:B235,B218-24)+in_accident_renew^3*SUMIFS(AO179:AO235,B179:B235,B218-36)+in_accident_renew^4*SUMIFS(AO179:AO235,B179:B235,B218-48))</f>
        <v/>
      </c>
      <c r="AQ218" s="40">
        <f>AQ217*(1-IF(B217&gt;=in_marketplace_from,d_hz_two_wheeler*G217,0))</f>
        <v/>
      </c>
      <c r="AR218" s="46">
        <f>AQ218*IF(B218&gt;=in_marketplace_from,d_hz_two_wheeler*G218,0)</f>
        <v/>
      </c>
      <c r="AS218" s="14">
        <f>F218*AR218*in_two_wheeler_ticket*in_two_wheeler_comm*in_ins_partner_share+F218*in_two_wheeler_ticket*in_two_wheeler_comm*in_ins_partner_share*(in_two_wheeler_renew^1*SUMIFS(AR179:AR235,B179:B235,B218-12)+in_two_wheeler_renew^2*SUMIFS(AR179:AR235,B179:B235,B218-24)+in_two_wheeler_renew^3*SUMIFS(AR179:AR235,B179:B235,B218-36)+in_two_wheeler_renew^4*SUMIFS(AR179:AR235,B179:B235,B218-48))</f>
        <v/>
      </c>
      <c r="AT218" s="40">
        <f>AT217*(1-IF(B217&gt;=in_marketplace_from,d_hz_device*G217,0))</f>
        <v/>
      </c>
      <c r="AU218" s="14">
        <f>F218*AT218*IF(B218&gt;=in_marketplace_from,d_hz_device*G218,0)*in_device_ticket*in_device_comm*in_ins_partner_share</f>
        <v/>
      </c>
      <c r="AV218" s="40">
        <f>AV217*(1-IF(B217&gt;=in_marketplace_from,d_hz_shop*G217,0))</f>
        <v/>
      </c>
      <c r="AW218" s="46">
        <f>AV218*IF(B218&gt;=in_marketplace_from,d_hz_shop*G218,0)</f>
        <v/>
      </c>
      <c r="AX218" s="14">
        <f>F218*AW218*in_shop_ticket*in_shop_comm*in_ins_partner_share+F218*in_shop_ticket*in_shop_renew_comm*in_ins_partner_share*(in_shop_renew^1*SUMIFS(AW179:AW235,B179:B235,B218-12)+in_shop_renew^2*SUMIFS(AW179:AW235,B179:B235,B218-24)+in_shop_renew^3*SUMIFS(AW179:AW235,B179:B235,B218-36)+in_shop_renew^4*SUMIFS(AW179:AW235,B179:B235,B218-48))</f>
        <v/>
      </c>
      <c r="AY218" s="40">
        <f>AY217*(1-IF(B217&gt;=in_marketplace_from,d_hz_sip*G217,0))</f>
        <v/>
      </c>
      <c r="AZ218" s="40">
        <f>AZ217*d_rho_sip+AY218*IF(B218&gt;=in_marketplace_from,d_hz_sip*G218,0)</f>
        <v/>
      </c>
      <c r="BA218" s="40">
        <f>d_rho_sip*(BA217+AZ217)</f>
        <v/>
      </c>
      <c r="BB218" s="14">
        <f>F218*in_sip_ticket*(BA218+0.5*AZ218)*in_sip_comm/12</f>
        <v/>
      </c>
      <c r="BC218" s="40">
        <f>BC217*(1-IF(B217&gt;=in_marketplace_from,d_hz_choti*G217,0))</f>
        <v/>
      </c>
      <c r="BD218" s="46">
        <f>BC218*IF(B218&gt;=in_marketplace_from,d_hz_choti*G218,0)</f>
        <v/>
      </c>
      <c r="BE218" s="14">
        <f>F218*SUMIFS(BD179:BD235,B179:B235,B218-in_choti_months)*in_choti_renew*in_choti_ticket</f>
        <v/>
      </c>
      <c r="BF218" s="40">
        <f>BF217*(1-IF(B217&gt;=in_marketplace_from,d_hz_nps*G217,0))</f>
        <v/>
      </c>
      <c r="BG218" s="14">
        <f>F218*BF218*IF(B218&gt;=in_marketplace_from,d_hz_nps*G218,0)*in_nps_ticket*in_nps_comm</f>
        <v/>
      </c>
      <c r="BH218" s="40">
        <f>BH217*(1-IF(B217&gt;=in_marketplace_from,d_hz_gold*G217,0))</f>
        <v/>
      </c>
      <c r="BI218" s="40">
        <f>BI217*d_rho_gold+BH218*IF(B218&gt;=in_marketplace_from,d_hz_gold*G218,0)</f>
        <v/>
      </c>
      <c r="BJ218" s="14">
        <f>F218*BI218*in_gold_ticket*in_gold_comm</f>
        <v/>
      </c>
      <c r="BK218" s="40">
        <f>BK217*(1-IF(B217&gt;=in_marketplace_from,d_hz_fd*G217,0))</f>
        <v/>
      </c>
      <c r="BL218" s="14">
        <f>F218*BK218*IF(B218&gt;=in_marketplace_from,d_hz_fd*G218,0)*in_fd_ticket*in_fd_comm</f>
        <v/>
      </c>
      <c r="BM218" s="40">
        <f>BM217*(1-IF(B217&gt;=in_marketplace_from,d_hz_recharge*G217,0))</f>
        <v/>
      </c>
      <c r="BN218" s="40">
        <f>BN217*d_rho_recharge+BM218*IF(B218&gt;=in_marketplace_from,d_hz_recharge*G218,0)</f>
        <v/>
      </c>
      <c r="BO218" s="14">
        <f>F218*BN218*in_recharge_ticket*in_recharge_comm/12</f>
        <v/>
      </c>
      <c r="BP218" s="40">
        <f>BP217*(1-IF(B217&gt;=in_marketplace_from,d_hz_bills*G217,0))</f>
        <v/>
      </c>
      <c r="BQ218" s="40">
        <f>BQ217*d_rho_bills+BP218*IF(B218&gt;=in_marketplace_from,d_hz_bills*G218,0)</f>
        <v/>
      </c>
      <c r="BR218" s="14">
        <f>F218*BQ218*in_bills_ticket*in_bills_comm/12</f>
        <v/>
      </c>
      <c r="BS218" s="40">
        <f>BS217*(1-IF(B217&gt;=in_marketplace_from,d_hz_loan_gold*G217,0))</f>
        <v/>
      </c>
      <c r="BT218" s="14">
        <f>F218*BS218*IF(B218&gt;=in_marketplace_from,d_hz_loan_gold*G218,0)*in_loan_gold_ticket*in_loan_gold_comm</f>
        <v/>
      </c>
      <c r="BU218" s="40">
        <f>BU217*(1-IF(B217&gt;=in_marketplace_from,d_hz_loan_cd*G217,0))</f>
        <v/>
      </c>
      <c r="BV218" s="14">
        <f>F218*BU218*IF(B218&gt;=in_marketplace_from,d_hz_loan_cd*G218,0)*in_loan_cd_ticket*in_loan_cd_comm</f>
        <v/>
      </c>
      <c r="BW218" s="40">
        <f>BW217*(1-IF(B217&gt;=in_marketplace_from,d_hz_loan_vehicle*G217,0))</f>
        <v/>
      </c>
      <c r="BX218" s="14">
        <f>F218*BW218*IF(B218&gt;=in_marketplace_from,d_hz_loan_vehicle*G218,0)*in_loan_vehicle_ticket*in_loan_vehicle_comm</f>
        <v/>
      </c>
      <c r="BY218" s="40">
        <f>BY217*(1-IF(B217&gt;=in_marketplace_from,d_hz_loan_home*G217,0)*BZ217)</f>
        <v/>
      </c>
      <c r="BZ218" s="11">
        <f>MIN(in_approval_cap,in_loan_home_approval*INDEX('Age profile'!$O$2:$O$61,B218)*(1+in_approval_growth)^(D218-1))</f>
        <v/>
      </c>
      <c r="CA218" s="14">
        <f>F218*BY218*IF(B218&gt;=in_marketplace_from,d_hz_loan_home*G218,0)*BZ218*in_loan_home_ticket*in_loan_home_comm</f>
        <v/>
      </c>
      <c r="CB218" s="40">
        <f>CB217*(1-IF(B217&gt;=in_marketplace_from,d_hz_loan_lap*G217,0)*CC217)</f>
        <v/>
      </c>
      <c r="CC218" s="11">
        <f>MIN(in_approval_cap,in_loan_lap_approval*INDEX('Age profile'!$O$2:$O$61,B218)*(1+in_approval_growth)^(D218-1))</f>
        <v/>
      </c>
      <c r="CD218" s="14">
        <f>F218*CB218*IF(B218&gt;=in_marketplace_from,d_hz_loan_lap*G218,0)*CC218*in_loan_lap_ticket*in_loan_lap_comm</f>
        <v/>
      </c>
      <c r="CE218" s="14">
        <f>AA218+AB218+AC218+AD218+AG218+AJ218+AM218+AP218+AS218+AU218+AX218+BB218+BE218+BG218+BJ218+BL218+BO218+BR218+BT218+BV218+BX218+CA218+CD218</f>
        <v/>
      </c>
    </row>
    <row r="219">
      <c r="A219" s="39" t="n">
        <v>4</v>
      </c>
      <c r="B219" s="39" t="n">
        <v>41</v>
      </c>
      <c r="C219" s="39">
        <f>A219+B219-1</f>
        <v/>
      </c>
      <c r="D219" s="39">
        <f>INT((C219-1)/12)+1</f>
        <v/>
      </c>
      <c r="E219" s="44">
        <f>INDEX(Monthly!$B$2:$B$61,A219)</f>
        <v/>
      </c>
      <c r="F219" s="44">
        <f>E219*INDEX('Age profile'!$B$2:$B$61,B219)</f>
        <v/>
      </c>
      <c r="G219" s="45">
        <f>MIN(in_takeup_cap,INDEX('Age profile'!$N$2:$N$61,B219)*(1+in_takeup_growth)^(D219-1))</f>
        <v/>
      </c>
      <c r="H219" s="11">
        <f>MIN(in_approval_cap,in_approved_first*INDEX('Age profile'!$O$2:$O$61,B219)*(1+in_approval_growth)^(D219-1))</f>
        <v/>
      </c>
      <c r="I219" s="45">
        <f>G219*MIN(in_takeup_cap,INDEX('Age profile'!$O$2:$O$61,B219)*(1+in_approval_growth)^(D219-1))</f>
        <v/>
      </c>
      <c r="J219" s="40">
        <f>(J218-L218)*F219/F218</f>
        <v/>
      </c>
      <c r="K219" s="40">
        <f>(K218-M218)*F219/F218+SUMIFS(O179:O218,B179:B218,B219-1-d_T)*F219</f>
        <v/>
      </c>
      <c r="L219" s="40">
        <f>IF(B219&gt;=in_marketplace_from,J219*d_hz*G219*in_eligible*H219,0)</f>
        <v/>
      </c>
      <c r="M219" s="40">
        <f>IF(B219&gt;=in_marketplace_from,K219*d_hz*G219*in_eligible*in_approved_repeat,0)</f>
        <v/>
      </c>
      <c r="N219" s="40">
        <f>L219+M219</f>
        <v/>
      </c>
      <c r="O219" s="46">
        <f>N219/F219</f>
        <v/>
      </c>
      <c r="P219" s="40">
        <f>F219-J219-K219</f>
        <v/>
      </c>
      <c r="Q219" s="40">
        <f>IF(B219&gt;=in_marketplace_from,(J219+K219)*d_hz*G219,0)</f>
        <v/>
      </c>
      <c r="R219" s="40">
        <f>SUMIFS(N179:N235,B179:B235,"&gt;="&amp;(B219-d_T),B179:B235,"&lt;="&amp;(B219-1))</f>
        <v/>
      </c>
      <c r="S219" s="46">
        <f>(1-d_u)*S218+IF(d_T&gt;in_topup_lag,SUMIFS(O179:O235,B179:B235,B219-in_topup_lag)-d_udrop*SUMIFS(O179:O235,B179:B235,B219-d_T),0)</f>
        <v/>
      </c>
      <c r="T219" s="40">
        <f>F219*d_u*S219</f>
        <v/>
      </c>
      <c r="U219" s="9">
        <f>L219*in_ticket+M219*d_rep_ticket</f>
        <v/>
      </c>
      <c r="V219" s="9">
        <f>U219+T219*d_topup_amt</f>
        <v/>
      </c>
      <c r="W219" s="40">
        <f>N219+T219*d_topup_ratio</f>
        <v/>
      </c>
      <c r="X219" s="40">
        <f>SUMIFS(W179:W235,B179:B235,B219-in_dpd_lag)*d_cured</f>
        <v/>
      </c>
      <c r="Y219" s="40">
        <f>SUMIFS(W179:W235,B179:B235,B219-in_rec_lag)*d_recd</f>
        <v/>
      </c>
      <c r="Z219" s="40">
        <f>IF(AND(B219&gt;=in_marketplace_from,B219&lt;in_marketplace_from+in_card_months),in_card_share/in_card_months*F219*I219,IF(AND(B219&gt;=in_marketplace_from+in_card_months,B219&lt;in_marketplace_from+2*in_card_months),in_card_share*d_card_rem/in_card_months*F219*MIN(in_takeup_cap,(1+in_takeup_growth)^(D219-1))*MIN(in_takeup_cap,(1+in_approval_growth)^(D219-1)),0))</f>
        <v/>
      </c>
      <c r="AA219" s="14">
        <f>V219*in_fee*(1-in_taken_back)</f>
        <v/>
      </c>
      <c r="AB219" s="14">
        <f>SUMIFS(W179:W235,B179:B235,B219-in_dpd_lag)*d_dpd</f>
        <v/>
      </c>
      <c r="AC219" s="14">
        <f>SUMIFS(W179:W235,B179:B235,B219-in_rec_lag)*d_rec</f>
        <v/>
      </c>
      <c r="AD219" s="14">
        <f>Z219*in_card_fee</f>
        <v/>
      </c>
      <c r="AE219" s="40">
        <f>AE218*(1-IF(B218&gt;=in_marketplace_from,d_hz_hlth_small*G218,0))</f>
        <v/>
      </c>
      <c r="AF219" s="46">
        <f>AE219*IF(B219&gt;=in_marketplace_from,d_hz_hlth_small*G219,0)</f>
        <v/>
      </c>
      <c r="AG219" s="14">
        <f>F219*AF219*in_hlth_small_ticket*in_hlth_small_comm*in_ins_partner_share+F219*in_hlth_small_ticket*in_hlth_small_renew_comm*in_ins_partner_share*(in_hlth_small_renew^1*SUMIFS(AF179:AF235,B179:B235,B219-12)+in_hlth_small_renew^2*SUMIFS(AF179:AF235,B179:B235,B219-24)+in_hlth_small_renew^3*SUMIFS(AF179:AF235,B179:B235,B219-36)+in_hlth_small_renew^4*SUMIFS(AF179:AF235,B179:B235,B219-48))</f>
        <v/>
      </c>
      <c r="AH219" s="40">
        <f>AH218*(1-IF(B218&gt;=in_marketplace_from,d_hz_hlth_family*G218,0))</f>
        <v/>
      </c>
      <c r="AI219" s="46">
        <f>AH219*IF(B219&gt;=in_marketplace_from,d_hz_hlth_family*G219,0)</f>
        <v/>
      </c>
      <c r="AJ219" s="14">
        <f>F219*AI219*in_hlth_family_ticket*in_hlth_family_comm*in_ins_partner_share+F219*in_hlth_family_ticket*in_hlth_family_renew_comm*in_ins_partner_share*(in_hlth_family_renew^1*SUMIFS(AI179:AI235,B179:B235,B219-12)+in_hlth_family_renew^2*SUMIFS(AI179:AI235,B179:B235,B219-24)+in_hlth_family_renew^3*SUMIFS(AI179:AI235,B179:B235,B219-36)+in_hlth_family_renew^4*SUMIFS(AI179:AI235,B179:B235,B219-48))</f>
        <v/>
      </c>
      <c r="AK219" s="40">
        <f>AK218*(1-IF(B218&gt;=in_marketplace_from,d_hz_life_term*G218,0))</f>
        <v/>
      </c>
      <c r="AL219" s="46">
        <f>AK219*IF(B219&gt;=in_marketplace_from,d_hz_life_term*G219,0)</f>
        <v/>
      </c>
      <c r="AM219" s="14">
        <f>F219*AL219*in_life_term_ticket*in_life_term_comm*in_ins_partner_share+F219*in_life_term_ticket*in_life_term_renew_comm*in_ins_partner_share*(in_life_term_renew^1*SUMIFS(AL179:AL235,B179:B235,B219-12)+in_life_term_renew^2*SUMIFS(AL179:AL235,B179:B235,B219-24)+in_life_term_renew^3*SUMIFS(AL179:AL235,B179:B235,B219-36)+in_life_term_renew^4*SUMIFS(AL179:AL235,B179:B235,B219-48))</f>
        <v/>
      </c>
      <c r="AN219" s="40">
        <f>AN218*(1-IF(B218&gt;=in_marketplace_from,d_hz_accident*G218,0))</f>
        <v/>
      </c>
      <c r="AO219" s="46">
        <f>AN219*IF(B219&gt;=in_marketplace_from,d_hz_accident*G219,0)</f>
        <v/>
      </c>
      <c r="AP219" s="14">
        <f>F219*AO219*in_accident_ticket*in_accident_comm*in_ins_partner_share+F219*in_accident_ticket*in_accident_renew_comm*in_ins_partner_share*(in_accident_renew^1*SUMIFS(AO179:AO235,B179:B235,B219-12)+in_accident_renew^2*SUMIFS(AO179:AO235,B179:B235,B219-24)+in_accident_renew^3*SUMIFS(AO179:AO235,B179:B235,B219-36)+in_accident_renew^4*SUMIFS(AO179:AO235,B179:B235,B219-48))</f>
        <v/>
      </c>
      <c r="AQ219" s="40">
        <f>AQ218*(1-IF(B218&gt;=in_marketplace_from,d_hz_two_wheeler*G218,0))</f>
        <v/>
      </c>
      <c r="AR219" s="46">
        <f>AQ219*IF(B219&gt;=in_marketplace_from,d_hz_two_wheeler*G219,0)</f>
        <v/>
      </c>
      <c r="AS219" s="14">
        <f>F219*AR219*in_two_wheeler_ticket*in_two_wheeler_comm*in_ins_partner_share+F219*in_two_wheeler_ticket*in_two_wheeler_comm*in_ins_partner_share*(in_two_wheeler_renew^1*SUMIFS(AR179:AR235,B179:B235,B219-12)+in_two_wheeler_renew^2*SUMIFS(AR179:AR235,B179:B235,B219-24)+in_two_wheeler_renew^3*SUMIFS(AR179:AR235,B179:B235,B219-36)+in_two_wheeler_renew^4*SUMIFS(AR179:AR235,B179:B235,B219-48))</f>
        <v/>
      </c>
      <c r="AT219" s="40">
        <f>AT218*(1-IF(B218&gt;=in_marketplace_from,d_hz_device*G218,0))</f>
        <v/>
      </c>
      <c r="AU219" s="14">
        <f>F219*AT219*IF(B219&gt;=in_marketplace_from,d_hz_device*G219,0)*in_device_ticket*in_device_comm*in_ins_partner_share</f>
        <v/>
      </c>
      <c r="AV219" s="40">
        <f>AV218*(1-IF(B218&gt;=in_marketplace_from,d_hz_shop*G218,0))</f>
        <v/>
      </c>
      <c r="AW219" s="46">
        <f>AV219*IF(B219&gt;=in_marketplace_from,d_hz_shop*G219,0)</f>
        <v/>
      </c>
      <c r="AX219" s="14">
        <f>F219*AW219*in_shop_ticket*in_shop_comm*in_ins_partner_share+F219*in_shop_ticket*in_shop_renew_comm*in_ins_partner_share*(in_shop_renew^1*SUMIFS(AW179:AW235,B179:B235,B219-12)+in_shop_renew^2*SUMIFS(AW179:AW235,B179:B235,B219-24)+in_shop_renew^3*SUMIFS(AW179:AW235,B179:B235,B219-36)+in_shop_renew^4*SUMIFS(AW179:AW235,B179:B235,B219-48))</f>
        <v/>
      </c>
      <c r="AY219" s="40">
        <f>AY218*(1-IF(B218&gt;=in_marketplace_from,d_hz_sip*G218,0))</f>
        <v/>
      </c>
      <c r="AZ219" s="40">
        <f>AZ218*d_rho_sip+AY219*IF(B219&gt;=in_marketplace_from,d_hz_sip*G219,0)</f>
        <v/>
      </c>
      <c r="BA219" s="40">
        <f>d_rho_sip*(BA218+AZ218)</f>
        <v/>
      </c>
      <c r="BB219" s="14">
        <f>F219*in_sip_ticket*(BA219+0.5*AZ219)*in_sip_comm/12</f>
        <v/>
      </c>
      <c r="BC219" s="40">
        <f>BC218*(1-IF(B218&gt;=in_marketplace_from,d_hz_choti*G218,0))</f>
        <v/>
      </c>
      <c r="BD219" s="46">
        <f>BC219*IF(B219&gt;=in_marketplace_from,d_hz_choti*G219,0)</f>
        <v/>
      </c>
      <c r="BE219" s="14">
        <f>F219*SUMIFS(BD179:BD235,B179:B235,B219-in_choti_months)*in_choti_renew*in_choti_ticket</f>
        <v/>
      </c>
      <c r="BF219" s="40">
        <f>BF218*(1-IF(B218&gt;=in_marketplace_from,d_hz_nps*G218,0))</f>
        <v/>
      </c>
      <c r="BG219" s="14">
        <f>F219*BF219*IF(B219&gt;=in_marketplace_from,d_hz_nps*G219,0)*in_nps_ticket*in_nps_comm</f>
        <v/>
      </c>
      <c r="BH219" s="40">
        <f>BH218*(1-IF(B218&gt;=in_marketplace_from,d_hz_gold*G218,0))</f>
        <v/>
      </c>
      <c r="BI219" s="40">
        <f>BI218*d_rho_gold+BH219*IF(B219&gt;=in_marketplace_from,d_hz_gold*G219,0)</f>
        <v/>
      </c>
      <c r="BJ219" s="14">
        <f>F219*BI219*in_gold_ticket*in_gold_comm</f>
        <v/>
      </c>
      <c r="BK219" s="40">
        <f>BK218*(1-IF(B218&gt;=in_marketplace_from,d_hz_fd*G218,0))</f>
        <v/>
      </c>
      <c r="BL219" s="14">
        <f>F219*BK219*IF(B219&gt;=in_marketplace_from,d_hz_fd*G219,0)*in_fd_ticket*in_fd_comm</f>
        <v/>
      </c>
      <c r="BM219" s="40">
        <f>BM218*(1-IF(B218&gt;=in_marketplace_from,d_hz_recharge*G218,0))</f>
        <v/>
      </c>
      <c r="BN219" s="40">
        <f>BN218*d_rho_recharge+BM219*IF(B219&gt;=in_marketplace_from,d_hz_recharge*G219,0)</f>
        <v/>
      </c>
      <c r="BO219" s="14">
        <f>F219*BN219*in_recharge_ticket*in_recharge_comm/12</f>
        <v/>
      </c>
      <c r="BP219" s="40">
        <f>BP218*(1-IF(B218&gt;=in_marketplace_from,d_hz_bills*G218,0))</f>
        <v/>
      </c>
      <c r="BQ219" s="40">
        <f>BQ218*d_rho_bills+BP219*IF(B219&gt;=in_marketplace_from,d_hz_bills*G219,0)</f>
        <v/>
      </c>
      <c r="BR219" s="14">
        <f>F219*BQ219*in_bills_ticket*in_bills_comm/12</f>
        <v/>
      </c>
      <c r="BS219" s="40">
        <f>BS218*(1-IF(B218&gt;=in_marketplace_from,d_hz_loan_gold*G218,0))</f>
        <v/>
      </c>
      <c r="BT219" s="14">
        <f>F219*BS219*IF(B219&gt;=in_marketplace_from,d_hz_loan_gold*G219,0)*in_loan_gold_ticket*in_loan_gold_comm</f>
        <v/>
      </c>
      <c r="BU219" s="40">
        <f>BU218*(1-IF(B218&gt;=in_marketplace_from,d_hz_loan_cd*G218,0))</f>
        <v/>
      </c>
      <c r="BV219" s="14">
        <f>F219*BU219*IF(B219&gt;=in_marketplace_from,d_hz_loan_cd*G219,0)*in_loan_cd_ticket*in_loan_cd_comm</f>
        <v/>
      </c>
      <c r="BW219" s="40">
        <f>BW218*(1-IF(B218&gt;=in_marketplace_from,d_hz_loan_vehicle*G218,0))</f>
        <v/>
      </c>
      <c r="BX219" s="14">
        <f>F219*BW219*IF(B219&gt;=in_marketplace_from,d_hz_loan_vehicle*G219,0)*in_loan_vehicle_ticket*in_loan_vehicle_comm</f>
        <v/>
      </c>
      <c r="BY219" s="40">
        <f>BY218*(1-IF(B218&gt;=in_marketplace_from,d_hz_loan_home*G218,0)*BZ218)</f>
        <v/>
      </c>
      <c r="BZ219" s="11">
        <f>MIN(in_approval_cap,in_loan_home_approval*INDEX('Age profile'!$O$2:$O$61,B219)*(1+in_approval_growth)^(D219-1))</f>
        <v/>
      </c>
      <c r="CA219" s="14">
        <f>F219*BY219*IF(B219&gt;=in_marketplace_from,d_hz_loan_home*G219,0)*BZ219*in_loan_home_ticket*in_loan_home_comm</f>
        <v/>
      </c>
      <c r="CB219" s="40">
        <f>CB218*(1-IF(B218&gt;=in_marketplace_from,d_hz_loan_lap*G218,0)*CC218)</f>
        <v/>
      </c>
      <c r="CC219" s="11">
        <f>MIN(in_approval_cap,in_loan_lap_approval*INDEX('Age profile'!$O$2:$O$61,B219)*(1+in_approval_growth)^(D219-1))</f>
        <v/>
      </c>
      <c r="CD219" s="14">
        <f>F219*CB219*IF(B219&gt;=in_marketplace_from,d_hz_loan_lap*G219,0)*CC219*in_loan_lap_ticket*in_loan_lap_comm</f>
        <v/>
      </c>
      <c r="CE219" s="14">
        <f>AA219+AB219+AC219+AD219+AG219+AJ219+AM219+AP219+AS219+AU219+AX219+BB219+BE219+BG219+BJ219+BL219+BO219+BR219+BT219+BV219+BX219+CA219+CD219</f>
        <v/>
      </c>
    </row>
    <row r="220">
      <c r="A220" s="39" t="n">
        <v>4</v>
      </c>
      <c r="B220" s="39" t="n">
        <v>42</v>
      </c>
      <c r="C220" s="39">
        <f>A220+B220-1</f>
        <v/>
      </c>
      <c r="D220" s="39">
        <f>INT((C220-1)/12)+1</f>
        <v/>
      </c>
      <c r="E220" s="44">
        <f>INDEX(Monthly!$B$2:$B$61,A220)</f>
        <v/>
      </c>
      <c r="F220" s="44">
        <f>E220*INDEX('Age profile'!$B$2:$B$61,B220)</f>
        <v/>
      </c>
      <c r="G220" s="45">
        <f>MIN(in_takeup_cap,INDEX('Age profile'!$N$2:$N$61,B220)*(1+in_takeup_growth)^(D220-1))</f>
        <v/>
      </c>
      <c r="H220" s="11">
        <f>MIN(in_approval_cap,in_approved_first*INDEX('Age profile'!$O$2:$O$61,B220)*(1+in_approval_growth)^(D220-1))</f>
        <v/>
      </c>
      <c r="I220" s="45">
        <f>G220*MIN(in_takeup_cap,INDEX('Age profile'!$O$2:$O$61,B220)*(1+in_approval_growth)^(D220-1))</f>
        <v/>
      </c>
      <c r="J220" s="40">
        <f>(J219-L219)*F220/F219</f>
        <v/>
      </c>
      <c r="K220" s="40">
        <f>(K219-M219)*F220/F219+SUMIFS(O179:O219,B179:B219,B220-1-d_T)*F220</f>
        <v/>
      </c>
      <c r="L220" s="40">
        <f>IF(B220&gt;=in_marketplace_from,J220*d_hz*G220*in_eligible*H220,0)</f>
        <v/>
      </c>
      <c r="M220" s="40">
        <f>IF(B220&gt;=in_marketplace_from,K220*d_hz*G220*in_eligible*in_approved_repeat,0)</f>
        <v/>
      </c>
      <c r="N220" s="40">
        <f>L220+M220</f>
        <v/>
      </c>
      <c r="O220" s="46">
        <f>N220/F220</f>
        <v/>
      </c>
      <c r="P220" s="40">
        <f>F220-J220-K220</f>
        <v/>
      </c>
      <c r="Q220" s="40">
        <f>IF(B220&gt;=in_marketplace_from,(J220+K220)*d_hz*G220,0)</f>
        <v/>
      </c>
      <c r="R220" s="40">
        <f>SUMIFS(N179:N235,B179:B235,"&gt;="&amp;(B220-d_T),B179:B235,"&lt;="&amp;(B220-1))</f>
        <v/>
      </c>
      <c r="S220" s="46">
        <f>(1-d_u)*S219+IF(d_T&gt;in_topup_lag,SUMIFS(O179:O235,B179:B235,B220-in_topup_lag)-d_udrop*SUMIFS(O179:O235,B179:B235,B220-d_T),0)</f>
        <v/>
      </c>
      <c r="T220" s="40">
        <f>F220*d_u*S220</f>
        <v/>
      </c>
      <c r="U220" s="9">
        <f>L220*in_ticket+M220*d_rep_ticket</f>
        <v/>
      </c>
      <c r="V220" s="9">
        <f>U220+T220*d_topup_amt</f>
        <v/>
      </c>
      <c r="W220" s="40">
        <f>N220+T220*d_topup_ratio</f>
        <v/>
      </c>
      <c r="X220" s="40">
        <f>SUMIFS(W179:W235,B179:B235,B220-in_dpd_lag)*d_cured</f>
        <v/>
      </c>
      <c r="Y220" s="40">
        <f>SUMIFS(W179:W235,B179:B235,B220-in_rec_lag)*d_recd</f>
        <v/>
      </c>
      <c r="Z220" s="40">
        <f>IF(AND(B220&gt;=in_marketplace_from,B220&lt;in_marketplace_from+in_card_months),in_card_share/in_card_months*F220*I220,IF(AND(B220&gt;=in_marketplace_from+in_card_months,B220&lt;in_marketplace_from+2*in_card_months),in_card_share*d_card_rem/in_card_months*F220*MIN(in_takeup_cap,(1+in_takeup_growth)^(D220-1))*MIN(in_takeup_cap,(1+in_approval_growth)^(D220-1)),0))</f>
        <v/>
      </c>
      <c r="AA220" s="14">
        <f>V220*in_fee*(1-in_taken_back)</f>
        <v/>
      </c>
      <c r="AB220" s="14">
        <f>SUMIFS(W179:W235,B179:B235,B220-in_dpd_lag)*d_dpd</f>
        <v/>
      </c>
      <c r="AC220" s="14">
        <f>SUMIFS(W179:W235,B179:B235,B220-in_rec_lag)*d_rec</f>
        <v/>
      </c>
      <c r="AD220" s="14">
        <f>Z220*in_card_fee</f>
        <v/>
      </c>
      <c r="AE220" s="40">
        <f>AE219*(1-IF(B219&gt;=in_marketplace_from,d_hz_hlth_small*G219,0))</f>
        <v/>
      </c>
      <c r="AF220" s="46">
        <f>AE220*IF(B220&gt;=in_marketplace_from,d_hz_hlth_small*G220,0)</f>
        <v/>
      </c>
      <c r="AG220" s="14">
        <f>F220*AF220*in_hlth_small_ticket*in_hlth_small_comm*in_ins_partner_share+F220*in_hlth_small_ticket*in_hlth_small_renew_comm*in_ins_partner_share*(in_hlth_small_renew^1*SUMIFS(AF179:AF235,B179:B235,B220-12)+in_hlth_small_renew^2*SUMIFS(AF179:AF235,B179:B235,B220-24)+in_hlth_small_renew^3*SUMIFS(AF179:AF235,B179:B235,B220-36)+in_hlth_small_renew^4*SUMIFS(AF179:AF235,B179:B235,B220-48))</f>
        <v/>
      </c>
      <c r="AH220" s="40">
        <f>AH219*(1-IF(B219&gt;=in_marketplace_from,d_hz_hlth_family*G219,0))</f>
        <v/>
      </c>
      <c r="AI220" s="46">
        <f>AH220*IF(B220&gt;=in_marketplace_from,d_hz_hlth_family*G220,0)</f>
        <v/>
      </c>
      <c r="AJ220" s="14">
        <f>F220*AI220*in_hlth_family_ticket*in_hlth_family_comm*in_ins_partner_share+F220*in_hlth_family_ticket*in_hlth_family_renew_comm*in_ins_partner_share*(in_hlth_family_renew^1*SUMIFS(AI179:AI235,B179:B235,B220-12)+in_hlth_family_renew^2*SUMIFS(AI179:AI235,B179:B235,B220-24)+in_hlth_family_renew^3*SUMIFS(AI179:AI235,B179:B235,B220-36)+in_hlth_family_renew^4*SUMIFS(AI179:AI235,B179:B235,B220-48))</f>
        <v/>
      </c>
      <c r="AK220" s="40">
        <f>AK219*(1-IF(B219&gt;=in_marketplace_from,d_hz_life_term*G219,0))</f>
        <v/>
      </c>
      <c r="AL220" s="46">
        <f>AK220*IF(B220&gt;=in_marketplace_from,d_hz_life_term*G220,0)</f>
        <v/>
      </c>
      <c r="AM220" s="14">
        <f>F220*AL220*in_life_term_ticket*in_life_term_comm*in_ins_partner_share+F220*in_life_term_ticket*in_life_term_renew_comm*in_ins_partner_share*(in_life_term_renew^1*SUMIFS(AL179:AL235,B179:B235,B220-12)+in_life_term_renew^2*SUMIFS(AL179:AL235,B179:B235,B220-24)+in_life_term_renew^3*SUMIFS(AL179:AL235,B179:B235,B220-36)+in_life_term_renew^4*SUMIFS(AL179:AL235,B179:B235,B220-48))</f>
        <v/>
      </c>
      <c r="AN220" s="40">
        <f>AN219*(1-IF(B219&gt;=in_marketplace_from,d_hz_accident*G219,0))</f>
        <v/>
      </c>
      <c r="AO220" s="46">
        <f>AN220*IF(B220&gt;=in_marketplace_from,d_hz_accident*G220,0)</f>
        <v/>
      </c>
      <c r="AP220" s="14">
        <f>F220*AO220*in_accident_ticket*in_accident_comm*in_ins_partner_share+F220*in_accident_ticket*in_accident_renew_comm*in_ins_partner_share*(in_accident_renew^1*SUMIFS(AO179:AO235,B179:B235,B220-12)+in_accident_renew^2*SUMIFS(AO179:AO235,B179:B235,B220-24)+in_accident_renew^3*SUMIFS(AO179:AO235,B179:B235,B220-36)+in_accident_renew^4*SUMIFS(AO179:AO235,B179:B235,B220-48))</f>
        <v/>
      </c>
      <c r="AQ220" s="40">
        <f>AQ219*(1-IF(B219&gt;=in_marketplace_from,d_hz_two_wheeler*G219,0))</f>
        <v/>
      </c>
      <c r="AR220" s="46">
        <f>AQ220*IF(B220&gt;=in_marketplace_from,d_hz_two_wheeler*G220,0)</f>
        <v/>
      </c>
      <c r="AS220" s="14">
        <f>F220*AR220*in_two_wheeler_ticket*in_two_wheeler_comm*in_ins_partner_share+F220*in_two_wheeler_ticket*in_two_wheeler_comm*in_ins_partner_share*(in_two_wheeler_renew^1*SUMIFS(AR179:AR235,B179:B235,B220-12)+in_two_wheeler_renew^2*SUMIFS(AR179:AR235,B179:B235,B220-24)+in_two_wheeler_renew^3*SUMIFS(AR179:AR235,B179:B235,B220-36)+in_two_wheeler_renew^4*SUMIFS(AR179:AR235,B179:B235,B220-48))</f>
        <v/>
      </c>
      <c r="AT220" s="40">
        <f>AT219*(1-IF(B219&gt;=in_marketplace_from,d_hz_device*G219,0))</f>
        <v/>
      </c>
      <c r="AU220" s="14">
        <f>F220*AT220*IF(B220&gt;=in_marketplace_from,d_hz_device*G220,0)*in_device_ticket*in_device_comm*in_ins_partner_share</f>
        <v/>
      </c>
      <c r="AV220" s="40">
        <f>AV219*(1-IF(B219&gt;=in_marketplace_from,d_hz_shop*G219,0))</f>
        <v/>
      </c>
      <c r="AW220" s="46">
        <f>AV220*IF(B220&gt;=in_marketplace_from,d_hz_shop*G220,0)</f>
        <v/>
      </c>
      <c r="AX220" s="14">
        <f>F220*AW220*in_shop_ticket*in_shop_comm*in_ins_partner_share+F220*in_shop_ticket*in_shop_renew_comm*in_ins_partner_share*(in_shop_renew^1*SUMIFS(AW179:AW235,B179:B235,B220-12)+in_shop_renew^2*SUMIFS(AW179:AW235,B179:B235,B220-24)+in_shop_renew^3*SUMIFS(AW179:AW235,B179:B235,B220-36)+in_shop_renew^4*SUMIFS(AW179:AW235,B179:B235,B220-48))</f>
        <v/>
      </c>
      <c r="AY220" s="40">
        <f>AY219*(1-IF(B219&gt;=in_marketplace_from,d_hz_sip*G219,0))</f>
        <v/>
      </c>
      <c r="AZ220" s="40">
        <f>AZ219*d_rho_sip+AY220*IF(B220&gt;=in_marketplace_from,d_hz_sip*G220,0)</f>
        <v/>
      </c>
      <c r="BA220" s="40">
        <f>d_rho_sip*(BA219+AZ219)</f>
        <v/>
      </c>
      <c r="BB220" s="14">
        <f>F220*in_sip_ticket*(BA220+0.5*AZ220)*in_sip_comm/12</f>
        <v/>
      </c>
      <c r="BC220" s="40">
        <f>BC219*(1-IF(B219&gt;=in_marketplace_from,d_hz_choti*G219,0))</f>
        <v/>
      </c>
      <c r="BD220" s="46">
        <f>BC220*IF(B220&gt;=in_marketplace_from,d_hz_choti*G220,0)</f>
        <v/>
      </c>
      <c r="BE220" s="14">
        <f>F220*SUMIFS(BD179:BD235,B179:B235,B220-in_choti_months)*in_choti_renew*in_choti_ticket</f>
        <v/>
      </c>
      <c r="BF220" s="40">
        <f>BF219*(1-IF(B219&gt;=in_marketplace_from,d_hz_nps*G219,0))</f>
        <v/>
      </c>
      <c r="BG220" s="14">
        <f>F220*BF220*IF(B220&gt;=in_marketplace_from,d_hz_nps*G220,0)*in_nps_ticket*in_nps_comm</f>
        <v/>
      </c>
      <c r="BH220" s="40">
        <f>BH219*(1-IF(B219&gt;=in_marketplace_from,d_hz_gold*G219,0))</f>
        <v/>
      </c>
      <c r="BI220" s="40">
        <f>BI219*d_rho_gold+BH220*IF(B220&gt;=in_marketplace_from,d_hz_gold*G220,0)</f>
        <v/>
      </c>
      <c r="BJ220" s="14">
        <f>F220*BI220*in_gold_ticket*in_gold_comm</f>
        <v/>
      </c>
      <c r="BK220" s="40">
        <f>BK219*(1-IF(B219&gt;=in_marketplace_from,d_hz_fd*G219,0))</f>
        <v/>
      </c>
      <c r="BL220" s="14">
        <f>F220*BK220*IF(B220&gt;=in_marketplace_from,d_hz_fd*G220,0)*in_fd_ticket*in_fd_comm</f>
        <v/>
      </c>
      <c r="BM220" s="40">
        <f>BM219*(1-IF(B219&gt;=in_marketplace_from,d_hz_recharge*G219,0))</f>
        <v/>
      </c>
      <c r="BN220" s="40">
        <f>BN219*d_rho_recharge+BM220*IF(B220&gt;=in_marketplace_from,d_hz_recharge*G220,0)</f>
        <v/>
      </c>
      <c r="BO220" s="14">
        <f>F220*BN220*in_recharge_ticket*in_recharge_comm/12</f>
        <v/>
      </c>
      <c r="BP220" s="40">
        <f>BP219*(1-IF(B219&gt;=in_marketplace_from,d_hz_bills*G219,0))</f>
        <v/>
      </c>
      <c r="BQ220" s="40">
        <f>BQ219*d_rho_bills+BP220*IF(B220&gt;=in_marketplace_from,d_hz_bills*G220,0)</f>
        <v/>
      </c>
      <c r="BR220" s="14">
        <f>F220*BQ220*in_bills_ticket*in_bills_comm/12</f>
        <v/>
      </c>
      <c r="BS220" s="40">
        <f>BS219*(1-IF(B219&gt;=in_marketplace_from,d_hz_loan_gold*G219,0))</f>
        <v/>
      </c>
      <c r="BT220" s="14">
        <f>F220*BS220*IF(B220&gt;=in_marketplace_from,d_hz_loan_gold*G220,0)*in_loan_gold_ticket*in_loan_gold_comm</f>
        <v/>
      </c>
      <c r="BU220" s="40">
        <f>BU219*(1-IF(B219&gt;=in_marketplace_from,d_hz_loan_cd*G219,0))</f>
        <v/>
      </c>
      <c r="BV220" s="14">
        <f>F220*BU220*IF(B220&gt;=in_marketplace_from,d_hz_loan_cd*G220,0)*in_loan_cd_ticket*in_loan_cd_comm</f>
        <v/>
      </c>
      <c r="BW220" s="40">
        <f>BW219*(1-IF(B219&gt;=in_marketplace_from,d_hz_loan_vehicle*G219,0))</f>
        <v/>
      </c>
      <c r="BX220" s="14">
        <f>F220*BW220*IF(B220&gt;=in_marketplace_from,d_hz_loan_vehicle*G220,0)*in_loan_vehicle_ticket*in_loan_vehicle_comm</f>
        <v/>
      </c>
      <c r="BY220" s="40">
        <f>BY219*(1-IF(B219&gt;=in_marketplace_from,d_hz_loan_home*G219,0)*BZ219)</f>
        <v/>
      </c>
      <c r="BZ220" s="11">
        <f>MIN(in_approval_cap,in_loan_home_approval*INDEX('Age profile'!$O$2:$O$61,B220)*(1+in_approval_growth)^(D220-1))</f>
        <v/>
      </c>
      <c r="CA220" s="14">
        <f>F220*BY220*IF(B220&gt;=in_marketplace_from,d_hz_loan_home*G220,0)*BZ220*in_loan_home_ticket*in_loan_home_comm</f>
        <v/>
      </c>
      <c r="CB220" s="40">
        <f>CB219*(1-IF(B219&gt;=in_marketplace_from,d_hz_loan_lap*G219,0)*CC219)</f>
        <v/>
      </c>
      <c r="CC220" s="11">
        <f>MIN(in_approval_cap,in_loan_lap_approval*INDEX('Age profile'!$O$2:$O$61,B220)*(1+in_approval_growth)^(D220-1))</f>
        <v/>
      </c>
      <c r="CD220" s="14">
        <f>F220*CB220*IF(B220&gt;=in_marketplace_from,d_hz_loan_lap*G220,0)*CC220*in_loan_lap_ticket*in_loan_lap_comm</f>
        <v/>
      </c>
      <c r="CE220" s="14">
        <f>AA220+AB220+AC220+AD220+AG220+AJ220+AM220+AP220+AS220+AU220+AX220+BB220+BE220+BG220+BJ220+BL220+BO220+BR220+BT220+BV220+BX220+CA220+CD220</f>
        <v/>
      </c>
    </row>
    <row r="221">
      <c r="A221" s="39" t="n">
        <v>4</v>
      </c>
      <c r="B221" s="39" t="n">
        <v>43</v>
      </c>
      <c r="C221" s="39">
        <f>A221+B221-1</f>
        <v/>
      </c>
      <c r="D221" s="39">
        <f>INT((C221-1)/12)+1</f>
        <v/>
      </c>
      <c r="E221" s="44">
        <f>INDEX(Monthly!$B$2:$B$61,A221)</f>
        <v/>
      </c>
      <c r="F221" s="44">
        <f>E221*INDEX('Age profile'!$B$2:$B$61,B221)</f>
        <v/>
      </c>
      <c r="G221" s="45">
        <f>MIN(in_takeup_cap,INDEX('Age profile'!$N$2:$N$61,B221)*(1+in_takeup_growth)^(D221-1))</f>
        <v/>
      </c>
      <c r="H221" s="11">
        <f>MIN(in_approval_cap,in_approved_first*INDEX('Age profile'!$O$2:$O$61,B221)*(1+in_approval_growth)^(D221-1))</f>
        <v/>
      </c>
      <c r="I221" s="45">
        <f>G221*MIN(in_takeup_cap,INDEX('Age profile'!$O$2:$O$61,B221)*(1+in_approval_growth)^(D221-1))</f>
        <v/>
      </c>
      <c r="J221" s="40">
        <f>(J220-L220)*F221/F220</f>
        <v/>
      </c>
      <c r="K221" s="40">
        <f>(K220-M220)*F221/F220+SUMIFS(O179:O220,B179:B220,B221-1-d_T)*F221</f>
        <v/>
      </c>
      <c r="L221" s="40">
        <f>IF(B221&gt;=in_marketplace_from,J221*d_hz*G221*in_eligible*H221,0)</f>
        <v/>
      </c>
      <c r="M221" s="40">
        <f>IF(B221&gt;=in_marketplace_from,K221*d_hz*G221*in_eligible*in_approved_repeat,0)</f>
        <v/>
      </c>
      <c r="N221" s="40">
        <f>L221+M221</f>
        <v/>
      </c>
      <c r="O221" s="46">
        <f>N221/F221</f>
        <v/>
      </c>
      <c r="P221" s="40">
        <f>F221-J221-K221</f>
        <v/>
      </c>
      <c r="Q221" s="40">
        <f>IF(B221&gt;=in_marketplace_from,(J221+K221)*d_hz*G221,0)</f>
        <v/>
      </c>
      <c r="R221" s="40">
        <f>SUMIFS(N179:N235,B179:B235,"&gt;="&amp;(B221-d_T),B179:B235,"&lt;="&amp;(B221-1))</f>
        <v/>
      </c>
      <c r="S221" s="46">
        <f>(1-d_u)*S220+IF(d_T&gt;in_topup_lag,SUMIFS(O179:O235,B179:B235,B221-in_topup_lag)-d_udrop*SUMIFS(O179:O235,B179:B235,B221-d_T),0)</f>
        <v/>
      </c>
      <c r="T221" s="40">
        <f>F221*d_u*S221</f>
        <v/>
      </c>
      <c r="U221" s="9">
        <f>L221*in_ticket+M221*d_rep_ticket</f>
        <v/>
      </c>
      <c r="V221" s="9">
        <f>U221+T221*d_topup_amt</f>
        <v/>
      </c>
      <c r="W221" s="40">
        <f>N221+T221*d_topup_ratio</f>
        <v/>
      </c>
      <c r="X221" s="40">
        <f>SUMIFS(W179:W235,B179:B235,B221-in_dpd_lag)*d_cured</f>
        <v/>
      </c>
      <c r="Y221" s="40">
        <f>SUMIFS(W179:W235,B179:B235,B221-in_rec_lag)*d_recd</f>
        <v/>
      </c>
      <c r="Z221" s="40">
        <f>IF(AND(B221&gt;=in_marketplace_from,B221&lt;in_marketplace_from+in_card_months),in_card_share/in_card_months*F221*I221,IF(AND(B221&gt;=in_marketplace_from+in_card_months,B221&lt;in_marketplace_from+2*in_card_months),in_card_share*d_card_rem/in_card_months*F221*MIN(in_takeup_cap,(1+in_takeup_growth)^(D221-1))*MIN(in_takeup_cap,(1+in_approval_growth)^(D221-1)),0))</f>
        <v/>
      </c>
      <c r="AA221" s="14">
        <f>V221*in_fee*(1-in_taken_back)</f>
        <v/>
      </c>
      <c r="AB221" s="14">
        <f>SUMIFS(W179:W235,B179:B235,B221-in_dpd_lag)*d_dpd</f>
        <v/>
      </c>
      <c r="AC221" s="14">
        <f>SUMIFS(W179:W235,B179:B235,B221-in_rec_lag)*d_rec</f>
        <v/>
      </c>
      <c r="AD221" s="14">
        <f>Z221*in_card_fee</f>
        <v/>
      </c>
      <c r="AE221" s="40">
        <f>AE220*(1-IF(B220&gt;=in_marketplace_from,d_hz_hlth_small*G220,0))</f>
        <v/>
      </c>
      <c r="AF221" s="46">
        <f>AE221*IF(B221&gt;=in_marketplace_from,d_hz_hlth_small*G221,0)</f>
        <v/>
      </c>
      <c r="AG221" s="14">
        <f>F221*AF221*in_hlth_small_ticket*in_hlth_small_comm*in_ins_partner_share+F221*in_hlth_small_ticket*in_hlth_small_renew_comm*in_ins_partner_share*(in_hlth_small_renew^1*SUMIFS(AF179:AF235,B179:B235,B221-12)+in_hlth_small_renew^2*SUMIFS(AF179:AF235,B179:B235,B221-24)+in_hlth_small_renew^3*SUMIFS(AF179:AF235,B179:B235,B221-36)+in_hlth_small_renew^4*SUMIFS(AF179:AF235,B179:B235,B221-48))</f>
        <v/>
      </c>
      <c r="AH221" s="40">
        <f>AH220*(1-IF(B220&gt;=in_marketplace_from,d_hz_hlth_family*G220,0))</f>
        <v/>
      </c>
      <c r="AI221" s="46">
        <f>AH221*IF(B221&gt;=in_marketplace_from,d_hz_hlth_family*G221,0)</f>
        <v/>
      </c>
      <c r="AJ221" s="14">
        <f>F221*AI221*in_hlth_family_ticket*in_hlth_family_comm*in_ins_partner_share+F221*in_hlth_family_ticket*in_hlth_family_renew_comm*in_ins_partner_share*(in_hlth_family_renew^1*SUMIFS(AI179:AI235,B179:B235,B221-12)+in_hlth_family_renew^2*SUMIFS(AI179:AI235,B179:B235,B221-24)+in_hlth_family_renew^3*SUMIFS(AI179:AI235,B179:B235,B221-36)+in_hlth_family_renew^4*SUMIFS(AI179:AI235,B179:B235,B221-48))</f>
        <v/>
      </c>
      <c r="AK221" s="40">
        <f>AK220*(1-IF(B220&gt;=in_marketplace_from,d_hz_life_term*G220,0))</f>
        <v/>
      </c>
      <c r="AL221" s="46">
        <f>AK221*IF(B221&gt;=in_marketplace_from,d_hz_life_term*G221,0)</f>
        <v/>
      </c>
      <c r="AM221" s="14">
        <f>F221*AL221*in_life_term_ticket*in_life_term_comm*in_ins_partner_share+F221*in_life_term_ticket*in_life_term_renew_comm*in_ins_partner_share*(in_life_term_renew^1*SUMIFS(AL179:AL235,B179:B235,B221-12)+in_life_term_renew^2*SUMIFS(AL179:AL235,B179:B235,B221-24)+in_life_term_renew^3*SUMIFS(AL179:AL235,B179:B235,B221-36)+in_life_term_renew^4*SUMIFS(AL179:AL235,B179:B235,B221-48))</f>
        <v/>
      </c>
      <c r="AN221" s="40">
        <f>AN220*(1-IF(B220&gt;=in_marketplace_from,d_hz_accident*G220,0))</f>
        <v/>
      </c>
      <c r="AO221" s="46">
        <f>AN221*IF(B221&gt;=in_marketplace_from,d_hz_accident*G221,0)</f>
        <v/>
      </c>
      <c r="AP221" s="14">
        <f>F221*AO221*in_accident_ticket*in_accident_comm*in_ins_partner_share+F221*in_accident_ticket*in_accident_renew_comm*in_ins_partner_share*(in_accident_renew^1*SUMIFS(AO179:AO235,B179:B235,B221-12)+in_accident_renew^2*SUMIFS(AO179:AO235,B179:B235,B221-24)+in_accident_renew^3*SUMIFS(AO179:AO235,B179:B235,B221-36)+in_accident_renew^4*SUMIFS(AO179:AO235,B179:B235,B221-48))</f>
        <v/>
      </c>
      <c r="AQ221" s="40">
        <f>AQ220*(1-IF(B220&gt;=in_marketplace_from,d_hz_two_wheeler*G220,0))</f>
        <v/>
      </c>
      <c r="AR221" s="46">
        <f>AQ221*IF(B221&gt;=in_marketplace_from,d_hz_two_wheeler*G221,0)</f>
        <v/>
      </c>
      <c r="AS221" s="14">
        <f>F221*AR221*in_two_wheeler_ticket*in_two_wheeler_comm*in_ins_partner_share+F221*in_two_wheeler_ticket*in_two_wheeler_comm*in_ins_partner_share*(in_two_wheeler_renew^1*SUMIFS(AR179:AR235,B179:B235,B221-12)+in_two_wheeler_renew^2*SUMIFS(AR179:AR235,B179:B235,B221-24)+in_two_wheeler_renew^3*SUMIFS(AR179:AR235,B179:B235,B221-36)+in_two_wheeler_renew^4*SUMIFS(AR179:AR235,B179:B235,B221-48))</f>
        <v/>
      </c>
      <c r="AT221" s="40">
        <f>AT220*(1-IF(B220&gt;=in_marketplace_from,d_hz_device*G220,0))</f>
        <v/>
      </c>
      <c r="AU221" s="14">
        <f>F221*AT221*IF(B221&gt;=in_marketplace_from,d_hz_device*G221,0)*in_device_ticket*in_device_comm*in_ins_partner_share</f>
        <v/>
      </c>
      <c r="AV221" s="40">
        <f>AV220*(1-IF(B220&gt;=in_marketplace_from,d_hz_shop*G220,0))</f>
        <v/>
      </c>
      <c r="AW221" s="46">
        <f>AV221*IF(B221&gt;=in_marketplace_from,d_hz_shop*G221,0)</f>
        <v/>
      </c>
      <c r="AX221" s="14">
        <f>F221*AW221*in_shop_ticket*in_shop_comm*in_ins_partner_share+F221*in_shop_ticket*in_shop_renew_comm*in_ins_partner_share*(in_shop_renew^1*SUMIFS(AW179:AW235,B179:B235,B221-12)+in_shop_renew^2*SUMIFS(AW179:AW235,B179:B235,B221-24)+in_shop_renew^3*SUMIFS(AW179:AW235,B179:B235,B221-36)+in_shop_renew^4*SUMIFS(AW179:AW235,B179:B235,B221-48))</f>
        <v/>
      </c>
      <c r="AY221" s="40">
        <f>AY220*(1-IF(B220&gt;=in_marketplace_from,d_hz_sip*G220,0))</f>
        <v/>
      </c>
      <c r="AZ221" s="40">
        <f>AZ220*d_rho_sip+AY221*IF(B221&gt;=in_marketplace_from,d_hz_sip*G221,0)</f>
        <v/>
      </c>
      <c r="BA221" s="40">
        <f>d_rho_sip*(BA220+AZ220)</f>
        <v/>
      </c>
      <c r="BB221" s="14">
        <f>F221*in_sip_ticket*(BA221+0.5*AZ221)*in_sip_comm/12</f>
        <v/>
      </c>
      <c r="BC221" s="40">
        <f>BC220*(1-IF(B220&gt;=in_marketplace_from,d_hz_choti*G220,0))</f>
        <v/>
      </c>
      <c r="BD221" s="46">
        <f>BC221*IF(B221&gt;=in_marketplace_from,d_hz_choti*G221,0)</f>
        <v/>
      </c>
      <c r="BE221" s="14">
        <f>F221*SUMIFS(BD179:BD235,B179:B235,B221-in_choti_months)*in_choti_renew*in_choti_ticket</f>
        <v/>
      </c>
      <c r="BF221" s="40">
        <f>BF220*(1-IF(B220&gt;=in_marketplace_from,d_hz_nps*G220,0))</f>
        <v/>
      </c>
      <c r="BG221" s="14">
        <f>F221*BF221*IF(B221&gt;=in_marketplace_from,d_hz_nps*G221,0)*in_nps_ticket*in_nps_comm</f>
        <v/>
      </c>
      <c r="BH221" s="40">
        <f>BH220*(1-IF(B220&gt;=in_marketplace_from,d_hz_gold*G220,0))</f>
        <v/>
      </c>
      <c r="BI221" s="40">
        <f>BI220*d_rho_gold+BH221*IF(B221&gt;=in_marketplace_from,d_hz_gold*G221,0)</f>
        <v/>
      </c>
      <c r="BJ221" s="14">
        <f>F221*BI221*in_gold_ticket*in_gold_comm</f>
        <v/>
      </c>
      <c r="BK221" s="40">
        <f>BK220*(1-IF(B220&gt;=in_marketplace_from,d_hz_fd*G220,0))</f>
        <v/>
      </c>
      <c r="BL221" s="14">
        <f>F221*BK221*IF(B221&gt;=in_marketplace_from,d_hz_fd*G221,0)*in_fd_ticket*in_fd_comm</f>
        <v/>
      </c>
      <c r="BM221" s="40">
        <f>BM220*(1-IF(B220&gt;=in_marketplace_from,d_hz_recharge*G220,0))</f>
        <v/>
      </c>
      <c r="BN221" s="40">
        <f>BN220*d_rho_recharge+BM221*IF(B221&gt;=in_marketplace_from,d_hz_recharge*G221,0)</f>
        <v/>
      </c>
      <c r="BO221" s="14">
        <f>F221*BN221*in_recharge_ticket*in_recharge_comm/12</f>
        <v/>
      </c>
      <c r="BP221" s="40">
        <f>BP220*(1-IF(B220&gt;=in_marketplace_from,d_hz_bills*G220,0))</f>
        <v/>
      </c>
      <c r="BQ221" s="40">
        <f>BQ220*d_rho_bills+BP221*IF(B221&gt;=in_marketplace_from,d_hz_bills*G221,0)</f>
        <v/>
      </c>
      <c r="BR221" s="14">
        <f>F221*BQ221*in_bills_ticket*in_bills_comm/12</f>
        <v/>
      </c>
      <c r="BS221" s="40">
        <f>BS220*(1-IF(B220&gt;=in_marketplace_from,d_hz_loan_gold*G220,0))</f>
        <v/>
      </c>
      <c r="BT221" s="14">
        <f>F221*BS221*IF(B221&gt;=in_marketplace_from,d_hz_loan_gold*G221,0)*in_loan_gold_ticket*in_loan_gold_comm</f>
        <v/>
      </c>
      <c r="BU221" s="40">
        <f>BU220*(1-IF(B220&gt;=in_marketplace_from,d_hz_loan_cd*G220,0))</f>
        <v/>
      </c>
      <c r="BV221" s="14">
        <f>F221*BU221*IF(B221&gt;=in_marketplace_from,d_hz_loan_cd*G221,0)*in_loan_cd_ticket*in_loan_cd_comm</f>
        <v/>
      </c>
      <c r="BW221" s="40">
        <f>BW220*(1-IF(B220&gt;=in_marketplace_from,d_hz_loan_vehicle*G220,0))</f>
        <v/>
      </c>
      <c r="BX221" s="14">
        <f>F221*BW221*IF(B221&gt;=in_marketplace_from,d_hz_loan_vehicle*G221,0)*in_loan_vehicle_ticket*in_loan_vehicle_comm</f>
        <v/>
      </c>
      <c r="BY221" s="40">
        <f>BY220*(1-IF(B220&gt;=in_marketplace_from,d_hz_loan_home*G220,0)*BZ220)</f>
        <v/>
      </c>
      <c r="BZ221" s="11">
        <f>MIN(in_approval_cap,in_loan_home_approval*INDEX('Age profile'!$O$2:$O$61,B221)*(1+in_approval_growth)^(D221-1))</f>
        <v/>
      </c>
      <c r="CA221" s="14">
        <f>F221*BY221*IF(B221&gt;=in_marketplace_from,d_hz_loan_home*G221,0)*BZ221*in_loan_home_ticket*in_loan_home_comm</f>
        <v/>
      </c>
      <c r="CB221" s="40">
        <f>CB220*(1-IF(B220&gt;=in_marketplace_from,d_hz_loan_lap*G220,0)*CC220)</f>
        <v/>
      </c>
      <c r="CC221" s="11">
        <f>MIN(in_approval_cap,in_loan_lap_approval*INDEX('Age profile'!$O$2:$O$61,B221)*(1+in_approval_growth)^(D221-1))</f>
        <v/>
      </c>
      <c r="CD221" s="14">
        <f>F221*CB221*IF(B221&gt;=in_marketplace_from,d_hz_loan_lap*G221,0)*CC221*in_loan_lap_ticket*in_loan_lap_comm</f>
        <v/>
      </c>
      <c r="CE221" s="14">
        <f>AA221+AB221+AC221+AD221+AG221+AJ221+AM221+AP221+AS221+AU221+AX221+BB221+BE221+BG221+BJ221+BL221+BO221+BR221+BT221+BV221+BX221+CA221+CD221</f>
        <v/>
      </c>
    </row>
    <row r="222">
      <c r="A222" s="39" t="n">
        <v>4</v>
      </c>
      <c r="B222" s="39" t="n">
        <v>44</v>
      </c>
      <c r="C222" s="39">
        <f>A222+B222-1</f>
        <v/>
      </c>
      <c r="D222" s="39">
        <f>INT((C222-1)/12)+1</f>
        <v/>
      </c>
      <c r="E222" s="44">
        <f>INDEX(Monthly!$B$2:$B$61,A222)</f>
        <v/>
      </c>
      <c r="F222" s="44">
        <f>E222*INDEX('Age profile'!$B$2:$B$61,B222)</f>
        <v/>
      </c>
      <c r="G222" s="45">
        <f>MIN(in_takeup_cap,INDEX('Age profile'!$N$2:$N$61,B222)*(1+in_takeup_growth)^(D222-1))</f>
        <v/>
      </c>
      <c r="H222" s="11">
        <f>MIN(in_approval_cap,in_approved_first*INDEX('Age profile'!$O$2:$O$61,B222)*(1+in_approval_growth)^(D222-1))</f>
        <v/>
      </c>
      <c r="I222" s="45">
        <f>G222*MIN(in_takeup_cap,INDEX('Age profile'!$O$2:$O$61,B222)*(1+in_approval_growth)^(D222-1))</f>
        <v/>
      </c>
      <c r="J222" s="40">
        <f>(J221-L221)*F222/F221</f>
        <v/>
      </c>
      <c r="K222" s="40">
        <f>(K221-M221)*F222/F221+SUMIFS(O179:O221,B179:B221,B222-1-d_T)*F222</f>
        <v/>
      </c>
      <c r="L222" s="40">
        <f>IF(B222&gt;=in_marketplace_from,J222*d_hz*G222*in_eligible*H222,0)</f>
        <v/>
      </c>
      <c r="M222" s="40">
        <f>IF(B222&gt;=in_marketplace_from,K222*d_hz*G222*in_eligible*in_approved_repeat,0)</f>
        <v/>
      </c>
      <c r="N222" s="40">
        <f>L222+M222</f>
        <v/>
      </c>
      <c r="O222" s="46">
        <f>N222/F222</f>
        <v/>
      </c>
      <c r="P222" s="40">
        <f>F222-J222-K222</f>
        <v/>
      </c>
      <c r="Q222" s="40">
        <f>IF(B222&gt;=in_marketplace_from,(J222+K222)*d_hz*G222,0)</f>
        <v/>
      </c>
      <c r="R222" s="40">
        <f>SUMIFS(N179:N235,B179:B235,"&gt;="&amp;(B222-d_T),B179:B235,"&lt;="&amp;(B222-1))</f>
        <v/>
      </c>
      <c r="S222" s="46">
        <f>(1-d_u)*S221+IF(d_T&gt;in_topup_lag,SUMIFS(O179:O235,B179:B235,B222-in_topup_lag)-d_udrop*SUMIFS(O179:O235,B179:B235,B222-d_T),0)</f>
        <v/>
      </c>
      <c r="T222" s="40">
        <f>F222*d_u*S222</f>
        <v/>
      </c>
      <c r="U222" s="9">
        <f>L222*in_ticket+M222*d_rep_ticket</f>
        <v/>
      </c>
      <c r="V222" s="9">
        <f>U222+T222*d_topup_amt</f>
        <v/>
      </c>
      <c r="W222" s="40">
        <f>N222+T222*d_topup_ratio</f>
        <v/>
      </c>
      <c r="X222" s="40">
        <f>SUMIFS(W179:W235,B179:B235,B222-in_dpd_lag)*d_cured</f>
        <v/>
      </c>
      <c r="Y222" s="40">
        <f>SUMIFS(W179:W235,B179:B235,B222-in_rec_lag)*d_recd</f>
        <v/>
      </c>
      <c r="Z222" s="40">
        <f>IF(AND(B222&gt;=in_marketplace_from,B222&lt;in_marketplace_from+in_card_months),in_card_share/in_card_months*F222*I222,IF(AND(B222&gt;=in_marketplace_from+in_card_months,B222&lt;in_marketplace_from+2*in_card_months),in_card_share*d_card_rem/in_card_months*F222*MIN(in_takeup_cap,(1+in_takeup_growth)^(D222-1))*MIN(in_takeup_cap,(1+in_approval_growth)^(D222-1)),0))</f>
        <v/>
      </c>
      <c r="AA222" s="14">
        <f>V222*in_fee*(1-in_taken_back)</f>
        <v/>
      </c>
      <c r="AB222" s="14">
        <f>SUMIFS(W179:W235,B179:B235,B222-in_dpd_lag)*d_dpd</f>
        <v/>
      </c>
      <c r="AC222" s="14">
        <f>SUMIFS(W179:W235,B179:B235,B222-in_rec_lag)*d_rec</f>
        <v/>
      </c>
      <c r="AD222" s="14">
        <f>Z222*in_card_fee</f>
        <v/>
      </c>
      <c r="AE222" s="40">
        <f>AE221*(1-IF(B221&gt;=in_marketplace_from,d_hz_hlth_small*G221,0))</f>
        <v/>
      </c>
      <c r="AF222" s="46">
        <f>AE222*IF(B222&gt;=in_marketplace_from,d_hz_hlth_small*G222,0)</f>
        <v/>
      </c>
      <c r="AG222" s="14">
        <f>F222*AF222*in_hlth_small_ticket*in_hlth_small_comm*in_ins_partner_share+F222*in_hlth_small_ticket*in_hlth_small_renew_comm*in_ins_partner_share*(in_hlth_small_renew^1*SUMIFS(AF179:AF235,B179:B235,B222-12)+in_hlth_small_renew^2*SUMIFS(AF179:AF235,B179:B235,B222-24)+in_hlth_small_renew^3*SUMIFS(AF179:AF235,B179:B235,B222-36)+in_hlth_small_renew^4*SUMIFS(AF179:AF235,B179:B235,B222-48))</f>
        <v/>
      </c>
      <c r="AH222" s="40">
        <f>AH221*(1-IF(B221&gt;=in_marketplace_from,d_hz_hlth_family*G221,0))</f>
        <v/>
      </c>
      <c r="AI222" s="46">
        <f>AH222*IF(B222&gt;=in_marketplace_from,d_hz_hlth_family*G222,0)</f>
        <v/>
      </c>
      <c r="AJ222" s="14">
        <f>F222*AI222*in_hlth_family_ticket*in_hlth_family_comm*in_ins_partner_share+F222*in_hlth_family_ticket*in_hlth_family_renew_comm*in_ins_partner_share*(in_hlth_family_renew^1*SUMIFS(AI179:AI235,B179:B235,B222-12)+in_hlth_family_renew^2*SUMIFS(AI179:AI235,B179:B235,B222-24)+in_hlth_family_renew^3*SUMIFS(AI179:AI235,B179:B235,B222-36)+in_hlth_family_renew^4*SUMIFS(AI179:AI235,B179:B235,B222-48))</f>
        <v/>
      </c>
      <c r="AK222" s="40">
        <f>AK221*(1-IF(B221&gt;=in_marketplace_from,d_hz_life_term*G221,0))</f>
        <v/>
      </c>
      <c r="AL222" s="46">
        <f>AK222*IF(B222&gt;=in_marketplace_from,d_hz_life_term*G222,0)</f>
        <v/>
      </c>
      <c r="AM222" s="14">
        <f>F222*AL222*in_life_term_ticket*in_life_term_comm*in_ins_partner_share+F222*in_life_term_ticket*in_life_term_renew_comm*in_ins_partner_share*(in_life_term_renew^1*SUMIFS(AL179:AL235,B179:B235,B222-12)+in_life_term_renew^2*SUMIFS(AL179:AL235,B179:B235,B222-24)+in_life_term_renew^3*SUMIFS(AL179:AL235,B179:B235,B222-36)+in_life_term_renew^4*SUMIFS(AL179:AL235,B179:B235,B222-48))</f>
        <v/>
      </c>
      <c r="AN222" s="40">
        <f>AN221*(1-IF(B221&gt;=in_marketplace_from,d_hz_accident*G221,0))</f>
        <v/>
      </c>
      <c r="AO222" s="46">
        <f>AN222*IF(B222&gt;=in_marketplace_from,d_hz_accident*G222,0)</f>
        <v/>
      </c>
      <c r="AP222" s="14">
        <f>F222*AO222*in_accident_ticket*in_accident_comm*in_ins_partner_share+F222*in_accident_ticket*in_accident_renew_comm*in_ins_partner_share*(in_accident_renew^1*SUMIFS(AO179:AO235,B179:B235,B222-12)+in_accident_renew^2*SUMIFS(AO179:AO235,B179:B235,B222-24)+in_accident_renew^3*SUMIFS(AO179:AO235,B179:B235,B222-36)+in_accident_renew^4*SUMIFS(AO179:AO235,B179:B235,B222-48))</f>
        <v/>
      </c>
      <c r="AQ222" s="40">
        <f>AQ221*(1-IF(B221&gt;=in_marketplace_from,d_hz_two_wheeler*G221,0))</f>
        <v/>
      </c>
      <c r="AR222" s="46">
        <f>AQ222*IF(B222&gt;=in_marketplace_from,d_hz_two_wheeler*G222,0)</f>
        <v/>
      </c>
      <c r="AS222" s="14">
        <f>F222*AR222*in_two_wheeler_ticket*in_two_wheeler_comm*in_ins_partner_share+F222*in_two_wheeler_ticket*in_two_wheeler_comm*in_ins_partner_share*(in_two_wheeler_renew^1*SUMIFS(AR179:AR235,B179:B235,B222-12)+in_two_wheeler_renew^2*SUMIFS(AR179:AR235,B179:B235,B222-24)+in_two_wheeler_renew^3*SUMIFS(AR179:AR235,B179:B235,B222-36)+in_two_wheeler_renew^4*SUMIFS(AR179:AR235,B179:B235,B222-48))</f>
        <v/>
      </c>
      <c r="AT222" s="40">
        <f>AT221*(1-IF(B221&gt;=in_marketplace_from,d_hz_device*G221,0))</f>
        <v/>
      </c>
      <c r="AU222" s="14">
        <f>F222*AT222*IF(B222&gt;=in_marketplace_from,d_hz_device*G222,0)*in_device_ticket*in_device_comm*in_ins_partner_share</f>
        <v/>
      </c>
      <c r="AV222" s="40">
        <f>AV221*(1-IF(B221&gt;=in_marketplace_from,d_hz_shop*G221,0))</f>
        <v/>
      </c>
      <c r="AW222" s="46">
        <f>AV222*IF(B222&gt;=in_marketplace_from,d_hz_shop*G222,0)</f>
        <v/>
      </c>
      <c r="AX222" s="14">
        <f>F222*AW222*in_shop_ticket*in_shop_comm*in_ins_partner_share+F222*in_shop_ticket*in_shop_renew_comm*in_ins_partner_share*(in_shop_renew^1*SUMIFS(AW179:AW235,B179:B235,B222-12)+in_shop_renew^2*SUMIFS(AW179:AW235,B179:B235,B222-24)+in_shop_renew^3*SUMIFS(AW179:AW235,B179:B235,B222-36)+in_shop_renew^4*SUMIFS(AW179:AW235,B179:B235,B222-48))</f>
        <v/>
      </c>
      <c r="AY222" s="40">
        <f>AY221*(1-IF(B221&gt;=in_marketplace_from,d_hz_sip*G221,0))</f>
        <v/>
      </c>
      <c r="AZ222" s="40">
        <f>AZ221*d_rho_sip+AY222*IF(B222&gt;=in_marketplace_from,d_hz_sip*G222,0)</f>
        <v/>
      </c>
      <c r="BA222" s="40">
        <f>d_rho_sip*(BA221+AZ221)</f>
        <v/>
      </c>
      <c r="BB222" s="14">
        <f>F222*in_sip_ticket*(BA222+0.5*AZ222)*in_sip_comm/12</f>
        <v/>
      </c>
      <c r="BC222" s="40">
        <f>BC221*(1-IF(B221&gt;=in_marketplace_from,d_hz_choti*G221,0))</f>
        <v/>
      </c>
      <c r="BD222" s="46">
        <f>BC222*IF(B222&gt;=in_marketplace_from,d_hz_choti*G222,0)</f>
        <v/>
      </c>
      <c r="BE222" s="14">
        <f>F222*SUMIFS(BD179:BD235,B179:B235,B222-in_choti_months)*in_choti_renew*in_choti_ticket</f>
        <v/>
      </c>
      <c r="BF222" s="40">
        <f>BF221*(1-IF(B221&gt;=in_marketplace_from,d_hz_nps*G221,0))</f>
        <v/>
      </c>
      <c r="BG222" s="14">
        <f>F222*BF222*IF(B222&gt;=in_marketplace_from,d_hz_nps*G222,0)*in_nps_ticket*in_nps_comm</f>
        <v/>
      </c>
      <c r="BH222" s="40">
        <f>BH221*(1-IF(B221&gt;=in_marketplace_from,d_hz_gold*G221,0))</f>
        <v/>
      </c>
      <c r="BI222" s="40">
        <f>BI221*d_rho_gold+BH222*IF(B222&gt;=in_marketplace_from,d_hz_gold*G222,0)</f>
        <v/>
      </c>
      <c r="BJ222" s="14">
        <f>F222*BI222*in_gold_ticket*in_gold_comm</f>
        <v/>
      </c>
      <c r="BK222" s="40">
        <f>BK221*(1-IF(B221&gt;=in_marketplace_from,d_hz_fd*G221,0))</f>
        <v/>
      </c>
      <c r="BL222" s="14">
        <f>F222*BK222*IF(B222&gt;=in_marketplace_from,d_hz_fd*G222,0)*in_fd_ticket*in_fd_comm</f>
        <v/>
      </c>
      <c r="BM222" s="40">
        <f>BM221*(1-IF(B221&gt;=in_marketplace_from,d_hz_recharge*G221,0))</f>
        <v/>
      </c>
      <c r="BN222" s="40">
        <f>BN221*d_rho_recharge+BM222*IF(B222&gt;=in_marketplace_from,d_hz_recharge*G222,0)</f>
        <v/>
      </c>
      <c r="BO222" s="14">
        <f>F222*BN222*in_recharge_ticket*in_recharge_comm/12</f>
        <v/>
      </c>
      <c r="BP222" s="40">
        <f>BP221*(1-IF(B221&gt;=in_marketplace_from,d_hz_bills*G221,0))</f>
        <v/>
      </c>
      <c r="BQ222" s="40">
        <f>BQ221*d_rho_bills+BP222*IF(B222&gt;=in_marketplace_from,d_hz_bills*G222,0)</f>
        <v/>
      </c>
      <c r="BR222" s="14">
        <f>F222*BQ222*in_bills_ticket*in_bills_comm/12</f>
        <v/>
      </c>
      <c r="BS222" s="40">
        <f>BS221*(1-IF(B221&gt;=in_marketplace_from,d_hz_loan_gold*G221,0))</f>
        <v/>
      </c>
      <c r="BT222" s="14">
        <f>F222*BS222*IF(B222&gt;=in_marketplace_from,d_hz_loan_gold*G222,0)*in_loan_gold_ticket*in_loan_gold_comm</f>
        <v/>
      </c>
      <c r="BU222" s="40">
        <f>BU221*(1-IF(B221&gt;=in_marketplace_from,d_hz_loan_cd*G221,0))</f>
        <v/>
      </c>
      <c r="BV222" s="14">
        <f>F222*BU222*IF(B222&gt;=in_marketplace_from,d_hz_loan_cd*G222,0)*in_loan_cd_ticket*in_loan_cd_comm</f>
        <v/>
      </c>
      <c r="BW222" s="40">
        <f>BW221*(1-IF(B221&gt;=in_marketplace_from,d_hz_loan_vehicle*G221,0))</f>
        <v/>
      </c>
      <c r="BX222" s="14">
        <f>F222*BW222*IF(B222&gt;=in_marketplace_from,d_hz_loan_vehicle*G222,0)*in_loan_vehicle_ticket*in_loan_vehicle_comm</f>
        <v/>
      </c>
      <c r="BY222" s="40">
        <f>BY221*(1-IF(B221&gt;=in_marketplace_from,d_hz_loan_home*G221,0)*BZ221)</f>
        <v/>
      </c>
      <c r="BZ222" s="11">
        <f>MIN(in_approval_cap,in_loan_home_approval*INDEX('Age profile'!$O$2:$O$61,B222)*(1+in_approval_growth)^(D222-1))</f>
        <v/>
      </c>
      <c r="CA222" s="14">
        <f>F222*BY222*IF(B222&gt;=in_marketplace_from,d_hz_loan_home*G222,0)*BZ222*in_loan_home_ticket*in_loan_home_comm</f>
        <v/>
      </c>
      <c r="CB222" s="40">
        <f>CB221*(1-IF(B221&gt;=in_marketplace_from,d_hz_loan_lap*G221,0)*CC221)</f>
        <v/>
      </c>
      <c r="CC222" s="11">
        <f>MIN(in_approval_cap,in_loan_lap_approval*INDEX('Age profile'!$O$2:$O$61,B222)*(1+in_approval_growth)^(D222-1))</f>
        <v/>
      </c>
      <c r="CD222" s="14">
        <f>F222*CB222*IF(B222&gt;=in_marketplace_from,d_hz_loan_lap*G222,0)*CC222*in_loan_lap_ticket*in_loan_lap_comm</f>
        <v/>
      </c>
      <c r="CE222" s="14">
        <f>AA222+AB222+AC222+AD222+AG222+AJ222+AM222+AP222+AS222+AU222+AX222+BB222+BE222+BG222+BJ222+BL222+BO222+BR222+BT222+BV222+BX222+CA222+CD222</f>
        <v/>
      </c>
    </row>
    <row r="223">
      <c r="A223" s="39" t="n">
        <v>4</v>
      </c>
      <c r="B223" s="39" t="n">
        <v>45</v>
      </c>
      <c r="C223" s="39">
        <f>A223+B223-1</f>
        <v/>
      </c>
      <c r="D223" s="39">
        <f>INT((C223-1)/12)+1</f>
        <v/>
      </c>
      <c r="E223" s="44">
        <f>INDEX(Monthly!$B$2:$B$61,A223)</f>
        <v/>
      </c>
      <c r="F223" s="44">
        <f>E223*INDEX('Age profile'!$B$2:$B$61,B223)</f>
        <v/>
      </c>
      <c r="G223" s="45">
        <f>MIN(in_takeup_cap,INDEX('Age profile'!$N$2:$N$61,B223)*(1+in_takeup_growth)^(D223-1))</f>
        <v/>
      </c>
      <c r="H223" s="11">
        <f>MIN(in_approval_cap,in_approved_first*INDEX('Age profile'!$O$2:$O$61,B223)*(1+in_approval_growth)^(D223-1))</f>
        <v/>
      </c>
      <c r="I223" s="45">
        <f>G223*MIN(in_takeup_cap,INDEX('Age profile'!$O$2:$O$61,B223)*(1+in_approval_growth)^(D223-1))</f>
        <v/>
      </c>
      <c r="J223" s="40">
        <f>(J222-L222)*F223/F222</f>
        <v/>
      </c>
      <c r="K223" s="40">
        <f>(K222-M222)*F223/F222+SUMIFS(O179:O222,B179:B222,B223-1-d_T)*F223</f>
        <v/>
      </c>
      <c r="L223" s="40">
        <f>IF(B223&gt;=in_marketplace_from,J223*d_hz*G223*in_eligible*H223,0)</f>
        <v/>
      </c>
      <c r="M223" s="40">
        <f>IF(B223&gt;=in_marketplace_from,K223*d_hz*G223*in_eligible*in_approved_repeat,0)</f>
        <v/>
      </c>
      <c r="N223" s="40">
        <f>L223+M223</f>
        <v/>
      </c>
      <c r="O223" s="46">
        <f>N223/F223</f>
        <v/>
      </c>
      <c r="P223" s="40">
        <f>F223-J223-K223</f>
        <v/>
      </c>
      <c r="Q223" s="40">
        <f>IF(B223&gt;=in_marketplace_from,(J223+K223)*d_hz*G223,0)</f>
        <v/>
      </c>
      <c r="R223" s="40">
        <f>SUMIFS(N179:N235,B179:B235,"&gt;="&amp;(B223-d_T),B179:B235,"&lt;="&amp;(B223-1))</f>
        <v/>
      </c>
      <c r="S223" s="46">
        <f>(1-d_u)*S222+IF(d_T&gt;in_topup_lag,SUMIFS(O179:O235,B179:B235,B223-in_topup_lag)-d_udrop*SUMIFS(O179:O235,B179:B235,B223-d_T),0)</f>
        <v/>
      </c>
      <c r="T223" s="40">
        <f>F223*d_u*S223</f>
        <v/>
      </c>
      <c r="U223" s="9">
        <f>L223*in_ticket+M223*d_rep_ticket</f>
        <v/>
      </c>
      <c r="V223" s="9">
        <f>U223+T223*d_topup_amt</f>
        <v/>
      </c>
      <c r="W223" s="40">
        <f>N223+T223*d_topup_ratio</f>
        <v/>
      </c>
      <c r="X223" s="40">
        <f>SUMIFS(W179:W235,B179:B235,B223-in_dpd_lag)*d_cured</f>
        <v/>
      </c>
      <c r="Y223" s="40">
        <f>SUMIFS(W179:W235,B179:B235,B223-in_rec_lag)*d_recd</f>
        <v/>
      </c>
      <c r="Z223" s="40">
        <f>IF(AND(B223&gt;=in_marketplace_from,B223&lt;in_marketplace_from+in_card_months),in_card_share/in_card_months*F223*I223,IF(AND(B223&gt;=in_marketplace_from+in_card_months,B223&lt;in_marketplace_from+2*in_card_months),in_card_share*d_card_rem/in_card_months*F223*MIN(in_takeup_cap,(1+in_takeup_growth)^(D223-1))*MIN(in_takeup_cap,(1+in_approval_growth)^(D223-1)),0))</f>
        <v/>
      </c>
      <c r="AA223" s="14">
        <f>V223*in_fee*(1-in_taken_back)</f>
        <v/>
      </c>
      <c r="AB223" s="14">
        <f>SUMIFS(W179:W235,B179:B235,B223-in_dpd_lag)*d_dpd</f>
        <v/>
      </c>
      <c r="AC223" s="14">
        <f>SUMIFS(W179:W235,B179:B235,B223-in_rec_lag)*d_rec</f>
        <v/>
      </c>
      <c r="AD223" s="14">
        <f>Z223*in_card_fee</f>
        <v/>
      </c>
      <c r="AE223" s="40">
        <f>AE222*(1-IF(B222&gt;=in_marketplace_from,d_hz_hlth_small*G222,0))</f>
        <v/>
      </c>
      <c r="AF223" s="46">
        <f>AE223*IF(B223&gt;=in_marketplace_from,d_hz_hlth_small*G223,0)</f>
        <v/>
      </c>
      <c r="AG223" s="14">
        <f>F223*AF223*in_hlth_small_ticket*in_hlth_small_comm*in_ins_partner_share+F223*in_hlth_small_ticket*in_hlth_small_renew_comm*in_ins_partner_share*(in_hlth_small_renew^1*SUMIFS(AF179:AF235,B179:B235,B223-12)+in_hlth_small_renew^2*SUMIFS(AF179:AF235,B179:B235,B223-24)+in_hlth_small_renew^3*SUMIFS(AF179:AF235,B179:B235,B223-36)+in_hlth_small_renew^4*SUMIFS(AF179:AF235,B179:B235,B223-48))</f>
        <v/>
      </c>
      <c r="AH223" s="40">
        <f>AH222*(1-IF(B222&gt;=in_marketplace_from,d_hz_hlth_family*G222,0))</f>
        <v/>
      </c>
      <c r="AI223" s="46">
        <f>AH223*IF(B223&gt;=in_marketplace_from,d_hz_hlth_family*G223,0)</f>
        <v/>
      </c>
      <c r="AJ223" s="14">
        <f>F223*AI223*in_hlth_family_ticket*in_hlth_family_comm*in_ins_partner_share+F223*in_hlth_family_ticket*in_hlth_family_renew_comm*in_ins_partner_share*(in_hlth_family_renew^1*SUMIFS(AI179:AI235,B179:B235,B223-12)+in_hlth_family_renew^2*SUMIFS(AI179:AI235,B179:B235,B223-24)+in_hlth_family_renew^3*SUMIFS(AI179:AI235,B179:B235,B223-36)+in_hlth_family_renew^4*SUMIFS(AI179:AI235,B179:B235,B223-48))</f>
        <v/>
      </c>
      <c r="AK223" s="40">
        <f>AK222*(1-IF(B222&gt;=in_marketplace_from,d_hz_life_term*G222,0))</f>
        <v/>
      </c>
      <c r="AL223" s="46">
        <f>AK223*IF(B223&gt;=in_marketplace_from,d_hz_life_term*G223,0)</f>
        <v/>
      </c>
      <c r="AM223" s="14">
        <f>F223*AL223*in_life_term_ticket*in_life_term_comm*in_ins_partner_share+F223*in_life_term_ticket*in_life_term_renew_comm*in_ins_partner_share*(in_life_term_renew^1*SUMIFS(AL179:AL235,B179:B235,B223-12)+in_life_term_renew^2*SUMIFS(AL179:AL235,B179:B235,B223-24)+in_life_term_renew^3*SUMIFS(AL179:AL235,B179:B235,B223-36)+in_life_term_renew^4*SUMIFS(AL179:AL235,B179:B235,B223-48))</f>
        <v/>
      </c>
      <c r="AN223" s="40">
        <f>AN222*(1-IF(B222&gt;=in_marketplace_from,d_hz_accident*G222,0))</f>
        <v/>
      </c>
      <c r="AO223" s="46">
        <f>AN223*IF(B223&gt;=in_marketplace_from,d_hz_accident*G223,0)</f>
        <v/>
      </c>
      <c r="AP223" s="14">
        <f>F223*AO223*in_accident_ticket*in_accident_comm*in_ins_partner_share+F223*in_accident_ticket*in_accident_renew_comm*in_ins_partner_share*(in_accident_renew^1*SUMIFS(AO179:AO235,B179:B235,B223-12)+in_accident_renew^2*SUMIFS(AO179:AO235,B179:B235,B223-24)+in_accident_renew^3*SUMIFS(AO179:AO235,B179:B235,B223-36)+in_accident_renew^4*SUMIFS(AO179:AO235,B179:B235,B223-48))</f>
        <v/>
      </c>
      <c r="AQ223" s="40">
        <f>AQ222*(1-IF(B222&gt;=in_marketplace_from,d_hz_two_wheeler*G222,0))</f>
        <v/>
      </c>
      <c r="AR223" s="46">
        <f>AQ223*IF(B223&gt;=in_marketplace_from,d_hz_two_wheeler*G223,0)</f>
        <v/>
      </c>
      <c r="AS223" s="14">
        <f>F223*AR223*in_two_wheeler_ticket*in_two_wheeler_comm*in_ins_partner_share+F223*in_two_wheeler_ticket*in_two_wheeler_comm*in_ins_partner_share*(in_two_wheeler_renew^1*SUMIFS(AR179:AR235,B179:B235,B223-12)+in_two_wheeler_renew^2*SUMIFS(AR179:AR235,B179:B235,B223-24)+in_two_wheeler_renew^3*SUMIFS(AR179:AR235,B179:B235,B223-36)+in_two_wheeler_renew^4*SUMIFS(AR179:AR235,B179:B235,B223-48))</f>
        <v/>
      </c>
      <c r="AT223" s="40">
        <f>AT222*(1-IF(B222&gt;=in_marketplace_from,d_hz_device*G222,0))</f>
        <v/>
      </c>
      <c r="AU223" s="14">
        <f>F223*AT223*IF(B223&gt;=in_marketplace_from,d_hz_device*G223,0)*in_device_ticket*in_device_comm*in_ins_partner_share</f>
        <v/>
      </c>
      <c r="AV223" s="40">
        <f>AV222*(1-IF(B222&gt;=in_marketplace_from,d_hz_shop*G222,0))</f>
        <v/>
      </c>
      <c r="AW223" s="46">
        <f>AV223*IF(B223&gt;=in_marketplace_from,d_hz_shop*G223,0)</f>
        <v/>
      </c>
      <c r="AX223" s="14">
        <f>F223*AW223*in_shop_ticket*in_shop_comm*in_ins_partner_share+F223*in_shop_ticket*in_shop_renew_comm*in_ins_partner_share*(in_shop_renew^1*SUMIFS(AW179:AW235,B179:B235,B223-12)+in_shop_renew^2*SUMIFS(AW179:AW235,B179:B235,B223-24)+in_shop_renew^3*SUMIFS(AW179:AW235,B179:B235,B223-36)+in_shop_renew^4*SUMIFS(AW179:AW235,B179:B235,B223-48))</f>
        <v/>
      </c>
      <c r="AY223" s="40">
        <f>AY222*(1-IF(B222&gt;=in_marketplace_from,d_hz_sip*G222,0))</f>
        <v/>
      </c>
      <c r="AZ223" s="40">
        <f>AZ222*d_rho_sip+AY223*IF(B223&gt;=in_marketplace_from,d_hz_sip*G223,0)</f>
        <v/>
      </c>
      <c r="BA223" s="40">
        <f>d_rho_sip*(BA222+AZ222)</f>
        <v/>
      </c>
      <c r="BB223" s="14">
        <f>F223*in_sip_ticket*(BA223+0.5*AZ223)*in_sip_comm/12</f>
        <v/>
      </c>
      <c r="BC223" s="40">
        <f>BC222*(1-IF(B222&gt;=in_marketplace_from,d_hz_choti*G222,0))</f>
        <v/>
      </c>
      <c r="BD223" s="46">
        <f>BC223*IF(B223&gt;=in_marketplace_from,d_hz_choti*G223,0)</f>
        <v/>
      </c>
      <c r="BE223" s="14">
        <f>F223*SUMIFS(BD179:BD235,B179:B235,B223-in_choti_months)*in_choti_renew*in_choti_ticket</f>
        <v/>
      </c>
      <c r="BF223" s="40">
        <f>BF222*(1-IF(B222&gt;=in_marketplace_from,d_hz_nps*G222,0))</f>
        <v/>
      </c>
      <c r="BG223" s="14">
        <f>F223*BF223*IF(B223&gt;=in_marketplace_from,d_hz_nps*G223,0)*in_nps_ticket*in_nps_comm</f>
        <v/>
      </c>
      <c r="BH223" s="40">
        <f>BH222*(1-IF(B222&gt;=in_marketplace_from,d_hz_gold*G222,0))</f>
        <v/>
      </c>
      <c r="BI223" s="40">
        <f>BI222*d_rho_gold+BH223*IF(B223&gt;=in_marketplace_from,d_hz_gold*G223,0)</f>
        <v/>
      </c>
      <c r="BJ223" s="14">
        <f>F223*BI223*in_gold_ticket*in_gold_comm</f>
        <v/>
      </c>
      <c r="BK223" s="40">
        <f>BK222*(1-IF(B222&gt;=in_marketplace_from,d_hz_fd*G222,0))</f>
        <v/>
      </c>
      <c r="BL223" s="14">
        <f>F223*BK223*IF(B223&gt;=in_marketplace_from,d_hz_fd*G223,0)*in_fd_ticket*in_fd_comm</f>
        <v/>
      </c>
      <c r="BM223" s="40">
        <f>BM222*(1-IF(B222&gt;=in_marketplace_from,d_hz_recharge*G222,0))</f>
        <v/>
      </c>
      <c r="BN223" s="40">
        <f>BN222*d_rho_recharge+BM223*IF(B223&gt;=in_marketplace_from,d_hz_recharge*G223,0)</f>
        <v/>
      </c>
      <c r="BO223" s="14">
        <f>F223*BN223*in_recharge_ticket*in_recharge_comm/12</f>
        <v/>
      </c>
      <c r="BP223" s="40">
        <f>BP222*(1-IF(B222&gt;=in_marketplace_from,d_hz_bills*G222,0))</f>
        <v/>
      </c>
      <c r="BQ223" s="40">
        <f>BQ222*d_rho_bills+BP223*IF(B223&gt;=in_marketplace_from,d_hz_bills*G223,0)</f>
        <v/>
      </c>
      <c r="BR223" s="14">
        <f>F223*BQ223*in_bills_ticket*in_bills_comm/12</f>
        <v/>
      </c>
      <c r="BS223" s="40">
        <f>BS222*(1-IF(B222&gt;=in_marketplace_from,d_hz_loan_gold*G222,0))</f>
        <v/>
      </c>
      <c r="BT223" s="14">
        <f>F223*BS223*IF(B223&gt;=in_marketplace_from,d_hz_loan_gold*G223,0)*in_loan_gold_ticket*in_loan_gold_comm</f>
        <v/>
      </c>
      <c r="BU223" s="40">
        <f>BU222*(1-IF(B222&gt;=in_marketplace_from,d_hz_loan_cd*G222,0))</f>
        <v/>
      </c>
      <c r="BV223" s="14">
        <f>F223*BU223*IF(B223&gt;=in_marketplace_from,d_hz_loan_cd*G223,0)*in_loan_cd_ticket*in_loan_cd_comm</f>
        <v/>
      </c>
      <c r="BW223" s="40">
        <f>BW222*(1-IF(B222&gt;=in_marketplace_from,d_hz_loan_vehicle*G222,0))</f>
        <v/>
      </c>
      <c r="BX223" s="14">
        <f>F223*BW223*IF(B223&gt;=in_marketplace_from,d_hz_loan_vehicle*G223,0)*in_loan_vehicle_ticket*in_loan_vehicle_comm</f>
        <v/>
      </c>
      <c r="BY223" s="40">
        <f>BY222*(1-IF(B222&gt;=in_marketplace_from,d_hz_loan_home*G222,0)*BZ222)</f>
        <v/>
      </c>
      <c r="BZ223" s="11">
        <f>MIN(in_approval_cap,in_loan_home_approval*INDEX('Age profile'!$O$2:$O$61,B223)*(1+in_approval_growth)^(D223-1))</f>
        <v/>
      </c>
      <c r="CA223" s="14">
        <f>F223*BY223*IF(B223&gt;=in_marketplace_from,d_hz_loan_home*G223,0)*BZ223*in_loan_home_ticket*in_loan_home_comm</f>
        <v/>
      </c>
      <c r="CB223" s="40">
        <f>CB222*(1-IF(B222&gt;=in_marketplace_from,d_hz_loan_lap*G222,0)*CC222)</f>
        <v/>
      </c>
      <c r="CC223" s="11">
        <f>MIN(in_approval_cap,in_loan_lap_approval*INDEX('Age profile'!$O$2:$O$61,B223)*(1+in_approval_growth)^(D223-1))</f>
        <v/>
      </c>
      <c r="CD223" s="14">
        <f>F223*CB223*IF(B223&gt;=in_marketplace_from,d_hz_loan_lap*G223,0)*CC223*in_loan_lap_ticket*in_loan_lap_comm</f>
        <v/>
      </c>
      <c r="CE223" s="14">
        <f>AA223+AB223+AC223+AD223+AG223+AJ223+AM223+AP223+AS223+AU223+AX223+BB223+BE223+BG223+BJ223+BL223+BO223+BR223+BT223+BV223+BX223+CA223+CD223</f>
        <v/>
      </c>
    </row>
    <row r="224">
      <c r="A224" s="39" t="n">
        <v>4</v>
      </c>
      <c r="B224" s="39" t="n">
        <v>46</v>
      </c>
      <c r="C224" s="39">
        <f>A224+B224-1</f>
        <v/>
      </c>
      <c r="D224" s="39">
        <f>INT((C224-1)/12)+1</f>
        <v/>
      </c>
      <c r="E224" s="44">
        <f>INDEX(Monthly!$B$2:$B$61,A224)</f>
        <v/>
      </c>
      <c r="F224" s="44">
        <f>E224*INDEX('Age profile'!$B$2:$B$61,B224)</f>
        <v/>
      </c>
      <c r="G224" s="45">
        <f>MIN(in_takeup_cap,INDEX('Age profile'!$N$2:$N$61,B224)*(1+in_takeup_growth)^(D224-1))</f>
        <v/>
      </c>
      <c r="H224" s="11">
        <f>MIN(in_approval_cap,in_approved_first*INDEX('Age profile'!$O$2:$O$61,B224)*(1+in_approval_growth)^(D224-1))</f>
        <v/>
      </c>
      <c r="I224" s="45">
        <f>G224*MIN(in_takeup_cap,INDEX('Age profile'!$O$2:$O$61,B224)*(1+in_approval_growth)^(D224-1))</f>
        <v/>
      </c>
      <c r="J224" s="40">
        <f>(J223-L223)*F224/F223</f>
        <v/>
      </c>
      <c r="K224" s="40">
        <f>(K223-M223)*F224/F223+SUMIFS(O179:O223,B179:B223,B224-1-d_T)*F224</f>
        <v/>
      </c>
      <c r="L224" s="40">
        <f>IF(B224&gt;=in_marketplace_from,J224*d_hz*G224*in_eligible*H224,0)</f>
        <v/>
      </c>
      <c r="M224" s="40">
        <f>IF(B224&gt;=in_marketplace_from,K224*d_hz*G224*in_eligible*in_approved_repeat,0)</f>
        <v/>
      </c>
      <c r="N224" s="40">
        <f>L224+M224</f>
        <v/>
      </c>
      <c r="O224" s="46">
        <f>N224/F224</f>
        <v/>
      </c>
      <c r="P224" s="40">
        <f>F224-J224-K224</f>
        <v/>
      </c>
      <c r="Q224" s="40">
        <f>IF(B224&gt;=in_marketplace_from,(J224+K224)*d_hz*G224,0)</f>
        <v/>
      </c>
      <c r="R224" s="40">
        <f>SUMIFS(N179:N235,B179:B235,"&gt;="&amp;(B224-d_T),B179:B235,"&lt;="&amp;(B224-1))</f>
        <v/>
      </c>
      <c r="S224" s="46">
        <f>(1-d_u)*S223+IF(d_T&gt;in_topup_lag,SUMIFS(O179:O235,B179:B235,B224-in_topup_lag)-d_udrop*SUMIFS(O179:O235,B179:B235,B224-d_T),0)</f>
        <v/>
      </c>
      <c r="T224" s="40">
        <f>F224*d_u*S224</f>
        <v/>
      </c>
      <c r="U224" s="9">
        <f>L224*in_ticket+M224*d_rep_ticket</f>
        <v/>
      </c>
      <c r="V224" s="9">
        <f>U224+T224*d_topup_amt</f>
        <v/>
      </c>
      <c r="W224" s="40">
        <f>N224+T224*d_topup_ratio</f>
        <v/>
      </c>
      <c r="X224" s="40">
        <f>SUMIFS(W179:W235,B179:B235,B224-in_dpd_lag)*d_cured</f>
        <v/>
      </c>
      <c r="Y224" s="40">
        <f>SUMIFS(W179:W235,B179:B235,B224-in_rec_lag)*d_recd</f>
        <v/>
      </c>
      <c r="Z224" s="40">
        <f>IF(AND(B224&gt;=in_marketplace_from,B224&lt;in_marketplace_from+in_card_months),in_card_share/in_card_months*F224*I224,IF(AND(B224&gt;=in_marketplace_from+in_card_months,B224&lt;in_marketplace_from+2*in_card_months),in_card_share*d_card_rem/in_card_months*F224*MIN(in_takeup_cap,(1+in_takeup_growth)^(D224-1))*MIN(in_takeup_cap,(1+in_approval_growth)^(D224-1)),0))</f>
        <v/>
      </c>
      <c r="AA224" s="14">
        <f>V224*in_fee*(1-in_taken_back)</f>
        <v/>
      </c>
      <c r="AB224" s="14">
        <f>SUMIFS(W179:W235,B179:B235,B224-in_dpd_lag)*d_dpd</f>
        <v/>
      </c>
      <c r="AC224" s="14">
        <f>SUMIFS(W179:W235,B179:B235,B224-in_rec_lag)*d_rec</f>
        <v/>
      </c>
      <c r="AD224" s="14">
        <f>Z224*in_card_fee</f>
        <v/>
      </c>
      <c r="AE224" s="40">
        <f>AE223*(1-IF(B223&gt;=in_marketplace_from,d_hz_hlth_small*G223,0))</f>
        <v/>
      </c>
      <c r="AF224" s="46">
        <f>AE224*IF(B224&gt;=in_marketplace_from,d_hz_hlth_small*G224,0)</f>
        <v/>
      </c>
      <c r="AG224" s="14">
        <f>F224*AF224*in_hlth_small_ticket*in_hlth_small_comm*in_ins_partner_share+F224*in_hlth_small_ticket*in_hlth_small_renew_comm*in_ins_partner_share*(in_hlth_small_renew^1*SUMIFS(AF179:AF235,B179:B235,B224-12)+in_hlth_small_renew^2*SUMIFS(AF179:AF235,B179:B235,B224-24)+in_hlth_small_renew^3*SUMIFS(AF179:AF235,B179:B235,B224-36)+in_hlth_small_renew^4*SUMIFS(AF179:AF235,B179:B235,B224-48))</f>
        <v/>
      </c>
      <c r="AH224" s="40">
        <f>AH223*(1-IF(B223&gt;=in_marketplace_from,d_hz_hlth_family*G223,0))</f>
        <v/>
      </c>
      <c r="AI224" s="46">
        <f>AH224*IF(B224&gt;=in_marketplace_from,d_hz_hlth_family*G224,0)</f>
        <v/>
      </c>
      <c r="AJ224" s="14">
        <f>F224*AI224*in_hlth_family_ticket*in_hlth_family_comm*in_ins_partner_share+F224*in_hlth_family_ticket*in_hlth_family_renew_comm*in_ins_partner_share*(in_hlth_family_renew^1*SUMIFS(AI179:AI235,B179:B235,B224-12)+in_hlth_family_renew^2*SUMIFS(AI179:AI235,B179:B235,B224-24)+in_hlth_family_renew^3*SUMIFS(AI179:AI235,B179:B235,B224-36)+in_hlth_family_renew^4*SUMIFS(AI179:AI235,B179:B235,B224-48))</f>
        <v/>
      </c>
      <c r="AK224" s="40">
        <f>AK223*(1-IF(B223&gt;=in_marketplace_from,d_hz_life_term*G223,0))</f>
        <v/>
      </c>
      <c r="AL224" s="46">
        <f>AK224*IF(B224&gt;=in_marketplace_from,d_hz_life_term*G224,0)</f>
        <v/>
      </c>
      <c r="AM224" s="14">
        <f>F224*AL224*in_life_term_ticket*in_life_term_comm*in_ins_partner_share+F224*in_life_term_ticket*in_life_term_renew_comm*in_ins_partner_share*(in_life_term_renew^1*SUMIFS(AL179:AL235,B179:B235,B224-12)+in_life_term_renew^2*SUMIFS(AL179:AL235,B179:B235,B224-24)+in_life_term_renew^3*SUMIFS(AL179:AL235,B179:B235,B224-36)+in_life_term_renew^4*SUMIFS(AL179:AL235,B179:B235,B224-48))</f>
        <v/>
      </c>
      <c r="AN224" s="40">
        <f>AN223*(1-IF(B223&gt;=in_marketplace_from,d_hz_accident*G223,0))</f>
        <v/>
      </c>
      <c r="AO224" s="46">
        <f>AN224*IF(B224&gt;=in_marketplace_from,d_hz_accident*G224,0)</f>
        <v/>
      </c>
      <c r="AP224" s="14">
        <f>F224*AO224*in_accident_ticket*in_accident_comm*in_ins_partner_share+F224*in_accident_ticket*in_accident_renew_comm*in_ins_partner_share*(in_accident_renew^1*SUMIFS(AO179:AO235,B179:B235,B224-12)+in_accident_renew^2*SUMIFS(AO179:AO235,B179:B235,B224-24)+in_accident_renew^3*SUMIFS(AO179:AO235,B179:B235,B224-36)+in_accident_renew^4*SUMIFS(AO179:AO235,B179:B235,B224-48))</f>
        <v/>
      </c>
      <c r="AQ224" s="40">
        <f>AQ223*(1-IF(B223&gt;=in_marketplace_from,d_hz_two_wheeler*G223,0))</f>
        <v/>
      </c>
      <c r="AR224" s="46">
        <f>AQ224*IF(B224&gt;=in_marketplace_from,d_hz_two_wheeler*G224,0)</f>
        <v/>
      </c>
      <c r="AS224" s="14">
        <f>F224*AR224*in_two_wheeler_ticket*in_two_wheeler_comm*in_ins_partner_share+F224*in_two_wheeler_ticket*in_two_wheeler_comm*in_ins_partner_share*(in_two_wheeler_renew^1*SUMIFS(AR179:AR235,B179:B235,B224-12)+in_two_wheeler_renew^2*SUMIFS(AR179:AR235,B179:B235,B224-24)+in_two_wheeler_renew^3*SUMIFS(AR179:AR235,B179:B235,B224-36)+in_two_wheeler_renew^4*SUMIFS(AR179:AR235,B179:B235,B224-48))</f>
        <v/>
      </c>
      <c r="AT224" s="40">
        <f>AT223*(1-IF(B223&gt;=in_marketplace_from,d_hz_device*G223,0))</f>
        <v/>
      </c>
      <c r="AU224" s="14">
        <f>F224*AT224*IF(B224&gt;=in_marketplace_from,d_hz_device*G224,0)*in_device_ticket*in_device_comm*in_ins_partner_share</f>
        <v/>
      </c>
      <c r="AV224" s="40">
        <f>AV223*(1-IF(B223&gt;=in_marketplace_from,d_hz_shop*G223,0))</f>
        <v/>
      </c>
      <c r="AW224" s="46">
        <f>AV224*IF(B224&gt;=in_marketplace_from,d_hz_shop*G224,0)</f>
        <v/>
      </c>
      <c r="AX224" s="14">
        <f>F224*AW224*in_shop_ticket*in_shop_comm*in_ins_partner_share+F224*in_shop_ticket*in_shop_renew_comm*in_ins_partner_share*(in_shop_renew^1*SUMIFS(AW179:AW235,B179:B235,B224-12)+in_shop_renew^2*SUMIFS(AW179:AW235,B179:B235,B224-24)+in_shop_renew^3*SUMIFS(AW179:AW235,B179:B235,B224-36)+in_shop_renew^4*SUMIFS(AW179:AW235,B179:B235,B224-48))</f>
        <v/>
      </c>
      <c r="AY224" s="40">
        <f>AY223*(1-IF(B223&gt;=in_marketplace_from,d_hz_sip*G223,0))</f>
        <v/>
      </c>
      <c r="AZ224" s="40">
        <f>AZ223*d_rho_sip+AY224*IF(B224&gt;=in_marketplace_from,d_hz_sip*G224,0)</f>
        <v/>
      </c>
      <c r="BA224" s="40">
        <f>d_rho_sip*(BA223+AZ223)</f>
        <v/>
      </c>
      <c r="BB224" s="14">
        <f>F224*in_sip_ticket*(BA224+0.5*AZ224)*in_sip_comm/12</f>
        <v/>
      </c>
      <c r="BC224" s="40">
        <f>BC223*(1-IF(B223&gt;=in_marketplace_from,d_hz_choti*G223,0))</f>
        <v/>
      </c>
      <c r="BD224" s="46">
        <f>BC224*IF(B224&gt;=in_marketplace_from,d_hz_choti*G224,0)</f>
        <v/>
      </c>
      <c r="BE224" s="14">
        <f>F224*SUMIFS(BD179:BD235,B179:B235,B224-in_choti_months)*in_choti_renew*in_choti_ticket</f>
        <v/>
      </c>
      <c r="BF224" s="40">
        <f>BF223*(1-IF(B223&gt;=in_marketplace_from,d_hz_nps*G223,0))</f>
        <v/>
      </c>
      <c r="BG224" s="14">
        <f>F224*BF224*IF(B224&gt;=in_marketplace_from,d_hz_nps*G224,0)*in_nps_ticket*in_nps_comm</f>
        <v/>
      </c>
      <c r="BH224" s="40">
        <f>BH223*(1-IF(B223&gt;=in_marketplace_from,d_hz_gold*G223,0))</f>
        <v/>
      </c>
      <c r="BI224" s="40">
        <f>BI223*d_rho_gold+BH224*IF(B224&gt;=in_marketplace_from,d_hz_gold*G224,0)</f>
        <v/>
      </c>
      <c r="BJ224" s="14">
        <f>F224*BI224*in_gold_ticket*in_gold_comm</f>
        <v/>
      </c>
      <c r="BK224" s="40">
        <f>BK223*(1-IF(B223&gt;=in_marketplace_from,d_hz_fd*G223,0))</f>
        <v/>
      </c>
      <c r="BL224" s="14">
        <f>F224*BK224*IF(B224&gt;=in_marketplace_from,d_hz_fd*G224,0)*in_fd_ticket*in_fd_comm</f>
        <v/>
      </c>
      <c r="BM224" s="40">
        <f>BM223*(1-IF(B223&gt;=in_marketplace_from,d_hz_recharge*G223,0))</f>
        <v/>
      </c>
      <c r="BN224" s="40">
        <f>BN223*d_rho_recharge+BM224*IF(B224&gt;=in_marketplace_from,d_hz_recharge*G224,0)</f>
        <v/>
      </c>
      <c r="BO224" s="14">
        <f>F224*BN224*in_recharge_ticket*in_recharge_comm/12</f>
        <v/>
      </c>
      <c r="BP224" s="40">
        <f>BP223*(1-IF(B223&gt;=in_marketplace_from,d_hz_bills*G223,0))</f>
        <v/>
      </c>
      <c r="BQ224" s="40">
        <f>BQ223*d_rho_bills+BP224*IF(B224&gt;=in_marketplace_from,d_hz_bills*G224,0)</f>
        <v/>
      </c>
      <c r="BR224" s="14">
        <f>F224*BQ224*in_bills_ticket*in_bills_comm/12</f>
        <v/>
      </c>
      <c r="BS224" s="40">
        <f>BS223*(1-IF(B223&gt;=in_marketplace_from,d_hz_loan_gold*G223,0))</f>
        <v/>
      </c>
      <c r="BT224" s="14">
        <f>F224*BS224*IF(B224&gt;=in_marketplace_from,d_hz_loan_gold*G224,0)*in_loan_gold_ticket*in_loan_gold_comm</f>
        <v/>
      </c>
      <c r="BU224" s="40">
        <f>BU223*(1-IF(B223&gt;=in_marketplace_from,d_hz_loan_cd*G223,0))</f>
        <v/>
      </c>
      <c r="BV224" s="14">
        <f>F224*BU224*IF(B224&gt;=in_marketplace_from,d_hz_loan_cd*G224,0)*in_loan_cd_ticket*in_loan_cd_comm</f>
        <v/>
      </c>
      <c r="BW224" s="40">
        <f>BW223*(1-IF(B223&gt;=in_marketplace_from,d_hz_loan_vehicle*G223,0))</f>
        <v/>
      </c>
      <c r="BX224" s="14">
        <f>F224*BW224*IF(B224&gt;=in_marketplace_from,d_hz_loan_vehicle*G224,0)*in_loan_vehicle_ticket*in_loan_vehicle_comm</f>
        <v/>
      </c>
      <c r="BY224" s="40">
        <f>BY223*(1-IF(B223&gt;=in_marketplace_from,d_hz_loan_home*G223,0)*BZ223)</f>
        <v/>
      </c>
      <c r="BZ224" s="11">
        <f>MIN(in_approval_cap,in_loan_home_approval*INDEX('Age profile'!$O$2:$O$61,B224)*(1+in_approval_growth)^(D224-1))</f>
        <v/>
      </c>
      <c r="CA224" s="14">
        <f>F224*BY224*IF(B224&gt;=in_marketplace_from,d_hz_loan_home*G224,0)*BZ224*in_loan_home_ticket*in_loan_home_comm</f>
        <v/>
      </c>
      <c r="CB224" s="40">
        <f>CB223*(1-IF(B223&gt;=in_marketplace_from,d_hz_loan_lap*G223,0)*CC223)</f>
        <v/>
      </c>
      <c r="CC224" s="11">
        <f>MIN(in_approval_cap,in_loan_lap_approval*INDEX('Age profile'!$O$2:$O$61,B224)*(1+in_approval_growth)^(D224-1))</f>
        <v/>
      </c>
      <c r="CD224" s="14">
        <f>F224*CB224*IF(B224&gt;=in_marketplace_from,d_hz_loan_lap*G224,0)*CC224*in_loan_lap_ticket*in_loan_lap_comm</f>
        <v/>
      </c>
      <c r="CE224" s="14">
        <f>AA224+AB224+AC224+AD224+AG224+AJ224+AM224+AP224+AS224+AU224+AX224+BB224+BE224+BG224+BJ224+BL224+BO224+BR224+BT224+BV224+BX224+CA224+CD224</f>
        <v/>
      </c>
    </row>
    <row r="225">
      <c r="A225" s="39" t="n">
        <v>4</v>
      </c>
      <c r="B225" s="39" t="n">
        <v>47</v>
      </c>
      <c r="C225" s="39">
        <f>A225+B225-1</f>
        <v/>
      </c>
      <c r="D225" s="39">
        <f>INT((C225-1)/12)+1</f>
        <v/>
      </c>
      <c r="E225" s="44">
        <f>INDEX(Monthly!$B$2:$B$61,A225)</f>
        <v/>
      </c>
      <c r="F225" s="44">
        <f>E225*INDEX('Age profile'!$B$2:$B$61,B225)</f>
        <v/>
      </c>
      <c r="G225" s="45">
        <f>MIN(in_takeup_cap,INDEX('Age profile'!$N$2:$N$61,B225)*(1+in_takeup_growth)^(D225-1))</f>
        <v/>
      </c>
      <c r="H225" s="11">
        <f>MIN(in_approval_cap,in_approved_first*INDEX('Age profile'!$O$2:$O$61,B225)*(1+in_approval_growth)^(D225-1))</f>
        <v/>
      </c>
      <c r="I225" s="45">
        <f>G225*MIN(in_takeup_cap,INDEX('Age profile'!$O$2:$O$61,B225)*(1+in_approval_growth)^(D225-1))</f>
        <v/>
      </c>
      <c r="J225" s="40">
        <f>(J224-L224)*F225/F224</f>
        <v/>
      </c>
      <c r="K225" s="40">
        <f>(K224-M224)*F225/F224+SUMIFS(O179:O224,B179:B224,B225-1-d_T)*F225</f>
        <v/>
      </c>
      <c r="L225" s="40">
        <f>IF(B225&gt;=in_marketplace_from,J225*d_hz*G225*in_eligible*H225,0)</f>
        <v/>
      </c>
      <c r="M225" s="40">
        <f>IF(B225&gt;=in_marketplace_from,K225*d_hz*G225*in_eligible*in_approved_repeat,0)</f>
        <v/>
      </c>
      <c r="N225" s="40">
        <f>L225+M225</f>
        <v/>
      </c>
      <c r="O225" s="46">
        <f>N225/F225</f>
        <v/>
      </c>
      <c r="P225" s="40">
        <f>F225-J225-K225</f>
        <v/>
      </c>
      <c r="Q225" s="40">
        <f>IF(B225&gt;=in_marketplace_from,(J225+K225)*d_hz*G225,0)</f>
        <v/>
      </c>
      <c r="R225" s="40">
        <f>SUMIFS(N179:N235,B179:B235,"&gt;="&amp;(B225-d_T),B179:B235,"&lt;="&amp;(B225-1))</f>
        <v/>
      </c>
      <c r="S225" s="46">
        <f>(1-d_u)*S224+IF(d_T&gt;in_topup_lag,SUMIFS(O179:O235,B179:B235,B225-in_topup_lag)-d_udrop*SUMIFS(O179:O235,B179:B235,B225-d_T),0)</f>
        <v/>
      </c>
      <c r="T225" s="40">
        <f>F225*d_u*S225</f>
        <v/>
      </c>
      <c r="U225" s="9">
        <f>L225*in_ticket+M225*d_rep_ticket</f>
        <v/>
      </c>
      <c r="V225" s="9">
        <f>U225+T225*d_topup_amt</f>
        <v/>
      </c>
      <c r="W225" s="40">
        <f>N225+T225*d_topup_ratio</f>
        <v/>
      </c>
      <c r="X225" s="40">
        <f>SUMIFS(W179:W235,B179:B235,B225-in_dpd_lag)*d_cured</f>
        <v/>
      </c>
      <c r="Y225" s="40">
        <f>SUMIFS(W179:W235,B179:B235,B225-in_rec_lag)*d_recd</f>
        <v/>
      </c>
      <c r="Z225" s="40">
        <f>IF(AND(B225&gt;=in_marketplace_from,B225&lt;in_marketplace_from+in_card_months),in_card_share/in_card_months*F225*I225,IF(AND(B225&gt;=in_marketplace_from+in_card_months,B225&lt;in_marketplace_from+2*in_card_months),in_card_share*d_card_rem/in_card_months*F225*MIN(in_takeup_cap,(1+in_takeup_growth)^(D225-1))*MIN(in_takeup_cap,(1+in_approval_growth)^(D225-1)),0))</f>
        <v/>
      </c>
      <c r="AA225" s="14">
        <f>V225*in_fee*(1-in_taken_back)</f>
        <v/>
      </c>
      <c r="AB225" s="14">
        <f>SUMIFS(W179:W235,B179:B235,B225-in_dpd_lag)*d_dpd</f>
        <v/>
      </c>
      <c r="AC225" s="14">
        <f>SUMIFS(W179:W235,B179:B235,B225-in_rec_lag)*d_rec</f>
        <v/>
      </c>
      <c r="AD225" s="14">
        <f>Z225*in_card_fee</f>
        <v/>
      </c>
      <c r="AE225" s="40">
        <f>AE224*(1-IF(B224&gt;=in_marketplace_from,d_hz_hlth_small*G224,0))</f>
        <v/>
      </c>
      <c r="AF225" s="46">
        <f>AE225*IF(B225&gt;=in_marketplace_from,d_hz_hlth_small*G225,0)</f>
        <v/>
      </c>
      <c r="AG225" s="14">
        <f>F225*AF225*in_hlth_small_ticket*in_hlth_small_comm*in_ins_partner_share+F225*in_hlth_small_ticket*in_hlth_small_renew_comm*in_ins_partner_share*(in_hlth_small_renew^1*SUMIFS(AF179:AF235,B179:B235,B225-12)+in_hlth_small_renew^2*SUMIFS(AF179:AF235,B179:B235,B225-24)+in_hlth_small_renew^3*SUMIFS(AF179:AF235,B179:B235,B225-36)+in_hlth_small_renew^4*SUMIFS(AF179:AF235,B179:B235,B225-48))</f>
        <v/>
      </c>
      <c r="AH225" s="40">
        <f>AH224*(1-IF(B224&gt;=in_marketplace_from,d_hz_hlth_family*G224,0))</f>
        <v/>
      </c>
      <c r="AI225" s="46">
        <f>AH225*IF(B225&gt;=in_marketplace_from,d_hz_hlth_family*G225,0)</f>
        <v/>
      </c>
      <c r="AJ225" s="14">
        <f>F225*AI225*in_hlth_family_ticket*in_hlth_family_comm*in_ins_partner_share+F225*in_hlth_family_ticket*in_hlth_family_renew_comm*in_ins_partner_share*(in_hlth_family_renew^1*SUMIFS(AI179:AI235,B179:B235,B225-12)+in_hlth_family_renew^2*SUMIFS(AI179:AI235,B179:B235,B225-24)+in_hlth_family_renew^3*SUMIFS(AI179:AI235,B179:B235,B225-36)+in_hlth_family_renew^4*SUMIFS(AI179:AI235,B179:B235,B225-48))</f>
        <v/>
      </c>
      <c r="AK225" s="40">
        <f>AK224*(1-IF(B224&gt;=in_marketplace_from,d_hz_life_term*G224,0))</f>
        <v/>
      </c>
      <c r="AL225" s="46">
        <f>AK225*IF(B225&gt;=in_marketplace_from,d_hz_life_term*G225,0)</f>
        <v/>
      </c>
      <c r="AM225" s="14">
        <f>F225*AL225*in_life_term_ticket*in_life_term_comm*in_ins_partner_share+F225*in_life_term_ticket*in_life_term_renew_comm*in_ins_partner_share*(in_life_term_renew^1*SUMIFS(AL179:AL235,B179:B235,B225-12)+in_life_term_renew^2*SUMIFS(AL179:AL235,B179:B235,B225-24)+in_life_term_renew^3*SUMIFS(AL179:AL235,B179:B235,B225-36)+in_life_term_renew^4*SUMIFS(AL179:AL235,B179:B235,B225-48))</f>
        <v/>
      </c>
      <c r="AN225" s="40">
        <f>AN224*(1-IF(B224&gt;=in_marketplace_from,d_hz_accident*G224,0))</f>
        <v/>
      </c>
      <c r="AO225" s="46">
        <f>AN225*IF(B225&gt;=in_marketplace_from,d_hz_accident*G225,0)</f>
        <v/>
      </c>
      <c r="AP225" s="14">
        <f>F225*AO225*in_accident_ticket*in_accident_comm*in_ins_partner_share+F225*in_accident_ticket*in_accident_renew_comm*in_ins_partner_share*(in_accident_renew^1*SUMIFS(AO179:AO235,B179:B235,B225-12)+in_accident_renew^2*SUMIFS(AO179:AO235,B179:B235,B225-24)+in_accident_renew^3*SUMIFS(AO179:AO235,B179:B235,B225-36)+in_accident_renew^4*SUMIFS(AO179:AO235,B179:B235,B225-48))</f>
        <v/>
      </c>
      <c r="AQ225" s="40">
        <f>AQ224*(1-IF(B224&gt;=in_marketplace_from,d_hz_two_wheeler*G224,0))</f>
        <v/>
      </c>
      <c r="AR225" s="46">
        <f>AQ225*IF(B225&gt;=in_marketplace_from,d_hz_two_wheeler*G225,0)</f>
        <v/>
      </c>
      <c r="AS225" s="14">
        <f>F225*AR225*in_two_wheeler_ticket*in_two_wheeler_comm*in_ins_partner_share+F225*in_two_wheeler_ticket*in_two_wheeler_comm*in_ins_partner_share*(in_two_wheeler_renew^1*SUMIFS(AR179:AR235,B179:B235,B225-12)+in_two_wheeler_renew^2*SUMIFS(AR179:AR235,B179:B235,B225-24)+in_two_wheeler_renew^3*SUMIFS(AR179:AR235,B179:B235,B225-36)+in_two_wheeler_renew^4*SUMIFS(AR179:AR235,B179:B235,B225-48))</f>
        <v/>
      </c>
      <c r="AT225" s="40">
        <f>AT224*(1-IF(B224&gt;=in_marketplace_from,d_hz_device*G224,0))</f>
        <v/>
      </c>
      <c r="AU225" s="14">
        <f>F225*AT225*IF(B225&gt;=in_marketplace_from,d_hz_device*G225,0)*in_device_ticket*in_device_comm*in_ins_partner_share</f>
        <v/>
      </c>
      <c r="AV225" s="40">
        <f>AV224*(1-IF(B224&gt;=in_marketplace_from,d_hz_shop*G224,0))</f>
        <v/>
      </c>
      <c r="AW225" s="46">
        <f>AV225*IF(B225&gt;=in_marketplace_from,d_hz_shop*G225,0)</f>
        <v/>
      </c>
      <c r="AX225" s="14">
        <f>F225*AW225*in_shop_ticket*in_shop_comm*in_ins_partner_share+F225*in_shop_ticket*in_shop_renew_comm*in_ins_partner_share*(in_shop_renew^1*SUMIFS(AW179:AW235,B179:B235,B225-12)+in_shop_renew^2*SUMIFS(AW179:AW235,B179:B235,B225-24)+in_shop_renew^3*SUMIFS(AW179:AW235,B179:B235,B225-36)+in_shop_renew^4*SUMIFS(AW179:AW235,B179:B235,B225-48))</f>
        <v/>
      </c>
      <c r="AY225" s="40">
        <f>AY224*(1-IF(B224&gt;=in_marketplace_from,d_hz_sip*G224,0))</f>
        <v/>
      </c>
      <c r="AZ225" s="40">
        <f>AZ224*d_rho_sip+AY225*IF(B225&gt;=in_marketplace_from,d_hz_sip*G225,0)</f>
        <v/>
      </c>
      <c r="BA225" s="40">
        <f>d_rho_sip*(BA224+AZ224)</f>
        <v/>
      </c>
      <c r="BB225" s="14">
        <f>F225*in_sip_ticket*(BA225+0.5*AZ225)*in_sip_comm/12</f>
        <v/>
      </c>
      <c r="BC225" s="40">
        <f>BC224*(1-IF(B224&gt;=in_marketplace_from,d_hz_choti*G224,0))</f>
        <v/>
      </c>
      <c r="BD225" s="46">
        <f>BC225*IF(B225&gt;=in_marketplace_from,d_hz_choti*G225,0)</f>
        <v/>
      </c>
      <c r="BE225" s="14">
        <f>F225*SUMIFS(BD179:BD235,B179:B235,B225-in_choti_months)*in_choti_renew*in_choti_ticket</f>
        <v/>
      </c>
      <c r="BF225" s="40">
        <f>BF224*(1-IF(B224&gt;=in_marketplace_from,d_hz_nps*G224,0))</f>
        <v/>
      </c>
      <c r="BG225" s="14">
        <f>F225*BF225*IF(B225&gt;=in_marketplace_from,d_hz_nps*G225,0)*in_nps_ticket*in_nps_comm</f>
        <v/>
      </c>
      <c r="BH225" s="40">
        <f>BH224*(1-IF(B224&gt;=in_marketplace_from,d_hz_gold*G224,0))</f>
        <v/>
      </c>
      <c r="BI225" s="40">
        <f>BI224*d_rho_gold+BH225*IF(B225&gt;=in_marketplace_from,d_hz_gold*G225,0)</f>
        <v/>
      </c>
      <c r="BJ225" s="14">
        <f>F225*BI225*in_gold_ticket*in_gold_comm</f>
        <v/>
      </c>
      <c r="BK225" s="40">
        <f>BK224*(1-IF(B224&gt;=in_marketplace_from,d_hz_fd*G224,0))</f>
        <v/>
      </c>
      <c r="BL225" s="14">
        <f>F225*BK225*IF(B225&gt;=in_marketplace_from,d_hz_fd*G225,0)*in_fd_ticket*in_fd_comm</f>
        <v/>
      </c>
      <c r="BM225" s="40">
        <f>BM224*(1-IF(B224&gt;=in_marketplace_from,d_hz_recharge*G224,0))</f>
        <v/>
      </c>
      <c r="BN225" s="40">
        <f>BN224*d_rho_recharge+BM225*IF(B225&gt;=in_marketplace_from,d_hz_recharge*G225,0)</f>
        <v/>
      </c>
      <c r="BO225" s="14">
        <f>F225*BN225*in_recharge_ticket*in_recharge_comm/12</f>
        <v/>
      </c>
      <c r="BP225" s="40">
        <f>BP224*(1-IF(B224&gt;=in_marketplace_from,d_hz_bills*G224,0))</f>
        <v/>
      </c>
      <c r="BQ225" s="40">
        <f>BQ224*d_rho_bills+BP225*IF(B225&gt;=in_marketplace_from,d_hz_bills*G225,0)</f>
        <v/>
      </c>
      <c r="BR225" s="14">
        <f>F225*BQ225*in_bills_ticket*in_bills_comm/12</f>
        <v/>
      </c>
      <c r="BS225" s="40">
        <f>BS224*(1-IF(B224&gt;=in_marketplace_from,d_hz_loan_gold*G224,0))</f>
        <v/>
      </c>
      <c r="BT225" s="14">
        <f>F225*BS225*IF(B225&gt;=in_marketplace_from,d_hz_loan_gold*G225,0)*in_loan_gold_ticket*in_loan_gold_comm</f>
        <v/>
      </c>
      <c r="BU225" s="40">
        <f>BU224*(1-IF(B224&gt;=in_marketplace_from,d_hz_loan_cd*G224,0))</f>
        <v/>
      </c>
      <c r="BV225" s="14">
        <f>F225*BU225*IF(B225&gt;=in_marketplace_from,d_hz_loan_cd*G225,0)*in_loan_cd_ticket*in_loan_cd_comm</f>
        <v/>
      </c>
      <c r="BW225" s="40">
        <f>BW224*(1-IF(B224&gt;=in_marketplace_from,d_hz_loan_vehicle*G224,0))</f>
        <v/>
      </c>
      <c r="BX225" s="14">
        <f>F225*BW225*IF(B225&gt;=in_marketplace_from,d_hz_loan_vehicle*G225,0)*in_loan_vehicle_ticket*in_loan_vehicle_comm</f>
        <v/>
      </c>
      <c r="BY225" s="40">
        <f>BY224*(1-IF(B224&gt;=in_marketplace_from,d_hz_loan_home*G224,0)*BZ224)</f>
        <v/>
      </c>
      <c r="BZ225" s="11">
        <f>MIN(in_approval_cap,in_loan_home_approval*INDEX('Age profile'!$O$2:$O$61,B225)*(1+in_approval_growth)^(D225-1))</f>
        <v/>
      </c>
      <c r="CA225" s="14">
        <f>F225*BY225*IF(B225&gt;=in_marketplace_from,d_hz_loan_home*G225,0)*BZ225*in_loan_home_ticket*in_loan_home_comm</f>
        <v/>
      </c>
      <c r="CB225" s="40">
        <f>CB224*(1-IF(B224&gt;=in_marketplace_from,d_hz_loan_lap*G224,0)*CC224)</f>
        <v/>
      </c>
      <c r="CC225" s="11">
        <f>MIN(in_approval_cap,in_loan_lap_approval*INDEX('Age profile'!$O$2:$O$61,B225)*(1+in_approval_growth)^(D225-1))</f>
        <v/>
      </c>
      <c r="CD225" s="14">
        <f>F225*CB225*IF(B225&gt;=in_marketplace_from,d_hz_loan_lap*G225,0)*CC225*in_loan_lap_ticket*in_loan_lap_comm</f>
        <v/>
      </c>
      <c r="CE225" s="14">
        <f>AA225+AB225+AC225+AD225+AG225+AJ225+AM225+AP225+AS225+AU225+AX225+BB225+BE225+BG225+BJ225+BL225+BO225+BR225+BT225+BV225+BX225+CA225+CD225</f>
        <v/>
      </c>
    </row>
    <row r="226">
      <c r="A226" s="39" t="n">
        <v>4</v>
      </c>
      <c r="B226" s="39" t="n">
        <v>48</v>
      </c>
      <c r="C226" s="39">
        <f>A226+B226-1</f>
        <v/>
      </c>
      <c r="D226" s="39">
        <f>INT((C226-1)/12)+1</f>
        <v/>
      </c>
      <c r="E226" s="44">
        <f>INDEX(Monthly!$B$2:$B$61,A226)</f>
        <v/>
      </c>
      <c r="F226" s="44">
        <f>E226*INDEX('Age profile'!$B$2:$B$61,B226)</f>
        <v/>
      </c>
      <c r="G226" s="45">
        <f>MIN(in_takeup_cap,INDEX('Age profile'!$N$2:$N$61,B226)*(1+in_takeup_growth)^(D226-1))</f>
        <v/>
      </c>
      <c r="H226" s="11">
        <f>MIN(in_approval_cap,in_approved_first*INDEX('Age profile'!$O$2:$O$61,B226)*(1+in_approval_growth)^(D226-1))</f>
        <v/>
      </c>
      <c r="I226" s="45">
        <f>G226*MIN(in_takeup_cap,INDEX('Age profile'!$O$2:$O$61,B226)*(1+in_approval_growth)^(D226-1))</f>
        <v/>
      </c>
      <c r="J226" s="40">
        <f>(J225-L225)*F226/F225</f>
        <v/>
      </c>
      <c r="K226" s="40">
        <f>(K225-M225)*F226/F225+SUMIFS(O179:O225,B179:B225,B226-1-d_T)*F226</f>
        <v/>
      </c>
      <c r="L226" s="40">
        <f>IF(B226&gt;=in_marketplace_from,J226*d_hz*G226*in_eligible*H226,0)</f>
        <v/>
      </c>
      <c r="M226" s="40">
        <f>IF(B226&gt;=in_marketplace_from,K226*d_hz*G226*in_eligible*in_approved_repeat,0)</f>
        <v/>
      </c>
      <c r="N226" s="40">
        <f>L226+M226</f>
        <v/>
      </c>
      <c r="O226" s="46">
        <f>N226/F226</f>
        <v/>
      </c>
      <c r="P226" s="40">
        <f>F226-J226-K226</f>
        <v/>
      </c>
      <c r="Q226" s="40">
        <f>IF(B226&gt;=in_marketplace_from,(J226+K226)*d_hz*G226,0)</f>
        <v/>
      </c>
      <c r="R226" s="40">
        <f>SUMIFS(N179:N235,B179:B235,"&gt;="&amp;(B226-d_T),B179:B235,"&lt;="&amp;(B226-1))</f>
        <v/>
      </c>
      <c r="S226" s="46">
        <f>(1-d_u)*S225+IF(d_T&gt;in_topup_lag,SUMIFS(O179:O235,B179:B235,B226-in_topup_lag)-d_udrop*SUMIFS(O179:O235,B179:B235,B226-d_T),0)</f>
        <v/>
      </c>
      <c r="T226" s="40">
        <f>F226*d_u*S226</f>
        <v/>
      </c>
      <c r="U226" s="9">
        <f>L226*in_ticket+M226*d_rep_ticket</f>
        <v/>
      </c>
      <c r="V226" s="9">
        <f>U226+T226*d_topup_amt</f>
        <v/>
      </c>
      <c r="W226" s="40">
        <f>N226+T226*d_topup_ratio</f>
        <v/>
      </c>
      <c r="X226" s="40">
        <f>SUMIFS(W179:W235,B179:B235,B226-in_dpd_lag)*d_cured</f>
        <v/>
      </c>
      <c r="Y226" s="40">
        <f>SUMIFS(W179:W235,B179:B235,B226-in_rec_lag)*d_recd</f>
        <v/>
      </c>
      <c r="Z226" s="40">
        <f>IF(AND(B226&gt;=in_marketplace_from,B226&lt;in_marketplace_from+in_card_months),in_card_share/in_card_months*F226*I226,IF(AND(B226&gt;=in_marketplace_from+in_card_months,B226&lt;in_marketplace_from+2*in_card_months),in_card_share*d_card_rem/in_card_months*F226*MIN(in_takeup_cap,(1+in_takeup_growth)^(D226-1))*MIN(in_takeup_cap,(1+in_approval_growth)^(D226-1)),0))</f>
        <v/>
      </c>
      <c r="AA226" s="14">
        <f>V226*in_fee*(1-in_taken_back)</f>
        <v/>
      </c>
      <c r="AB226" s="14">
        <f>SUMIFS(W179:W235,B179:B235,B226-in_dpd_lag)*d_dpd</f>
        <v/>
      </c>
      <c r="AC226" s="14">
        <f>SUMIFS(W179:W235,B179:B235,B226-in_rec_lag)*d_rec</f>
        <v/>
      </c>
      <c r="AD226" s="14">
        <f>Z226*in_card_fee</f>
        <v/>
      </c>
      <c r="AE226" s="40">
        <f>AE225*(1-IF(B225&gt;=in_marketplace_from,d_hz_hlth_small*G225,0))</f>
        <v/>
      </c>
      <c r="AF226" s="46">
        <f>AE226*IF(B226&gt;=in_marketplace_from,d_hz_hlth_small*G226,0)</f>
        <v/>
      </c>
      <c r="AG226" s="14">
        <f>F226*AF226*in_hlth_small_ticket*in_hlth_small_comm*in_ins_partner_share+F226*in_hlth_small_ticket*in_hlth_small_renew_comm*in_ins_partner_share*(in_hlth_small_renew^1*SUMIFS(AF179:AF235,B179:B235,B226-12)+in_hlth_small_renew^2*SUMIFS(AF179:AF235,B179:B235,B226-24)+in_hlth_small_renew^3*SUMIFS(AF179:AF235,B179:B235,B226-36)+in_hlth_small_renew^4*SUMIFS(AF179:AF235,B179:B235,B226-48))</f>
        <v/>
      </c>
      <c r="AH226" s="40">
        <f>AH225*(1-IF(B225&gt;=in_marketplace_from,d_hz_hlth_family*G225,0))</f>
        <v/>
      </c>
      <c r="AI226" s="46">
        <f>AH226*IF(B226&gt;=in_marketplace_from,d_hz_hlth_family*G226,0)</f>
        <v/>
      </c>
      <c r="AJ226" s="14">
        <f>F226*AI226*in_hlth_family_ticket*in_hlth_family_comm*in_ins_partner_share+F226*in_hlth_family_ticket*in_hlth_family_renew_comm*in_ins_partner_share*(in_hlth_family_renew^1*SUMIFS(AI179:AI235,B179:B235,B226-12)+in_hlth_family_renew^2*SUMIFS(AI179:AI235,B179:B235,B226-24)+in_hlth_family_renew^3*SUMIFS(AI179:AI235,B179:B235,B226-36)+in_hlth_family_renew^4*SUMIFS(AI179:AI235,B179:B235,B226-48))</f>
        <v/>
      </c>
      <c r="AK226" s="40">
        <f>AK225*(1-IF(B225&gt;=in_marketplace_from,d_hz_life_term*G225,0))</f>
        <v/>
      </c>
      <c r="AL226" s="46">
        <f>AK226*IF(B226&gt;=in_marketplace_from,d_hz_life_term*G226,0)</f>
        <v/>
      </c>
      <c r="AM226" s="14">
        <f>F226*AL226*in_life_term_ticket*in_life_term_comm*in_ins_partner_share+F226*in_life_term_ticket*in_life_term_renew_comm*in_ins_partner_share*(in_life_term_renew^1*SUMIFS(AL179:AL235,B179:B235,B226-12)+in_life_term_renew^2*SUMIFS(AL179:AL235,B179:B235,B226-24)+in_life_term_renew^3*SUMIFS(AL179:AL235,B179:B235,B226-36)+in_life_term_renew^4*SUMIFS(AL179:AL235,B179:B235,B226-48))</f>
        <v/>
      </c>
      <c r="AN226" s="40">
        <f>AN225*(1-IF(B225&gt;=in_marketplace_from,d_hz_accident*G225,0))</f>
        <v/>
      </c>
      <c r="AO226" s="46">
        <f>AN226*IF(B226&gt;=in_marketplace_from,d_hz_accident*G226,0)</f>
        <v/>
      </c>
      <c r="AP226" s="14">
        <f>F226*AO226*in_accident_ticket*in_accident_comm*in_ins_partner_share+F226*in_accident_ticket*in_accident_renew_comm*in_ins_partner_share*(in_accident_renew^1*SUMIFS(AO179:AO235,B179:B235,B226-12)+in_accident_renew^2*SUMIFS(AO179:AO235,B179:B235,B226-24)+in_accident_renew^3*SUMIFS(AO179:AO235,B179:B235,B226-36)+in_accident_renew^4*SUMIFS(AO179:AO235,B179:B235,B226-48))</f>
        <v/>
      </c>
      <c r="AQ226" s="40">
        <f>AQ225*(1-IF(B225&gt;=in_marketplace_from,d_hz_two_wheeler*G225,0))</f>
        <v/>
      </c>
      <c r="AR226" s="46">
        <f>AQ226*IF(B226&gt;=in_marketplace_from,d_hz_two_wheeler*G226,0)</f>
        <v/>
      </c>
      <c r="AS226" s="14">
        <f>F226*AR226*in_two_wheeler_ticket*in_two_wheeler_comm*in_ins_partner_share+F226*in_two_wheeler_ticket*in_two_wheeler_comm*in_ins_partner_share*(in_two_wheeler_renew^1*SUMIFS(AR179:AR235,B179:B235,B226-12)+in_two_wheeler_renew^2*SUMIFS(AR179:AR235,B179:B235,B226-24)+in_two_wheeler_renew^3*SUMIFS(AR179:AR235,B179:B235,B226-36)+in_two_wheeler_renew^4*SUMIFS(AR179:AR235,B179:B235,B226-48))</f>
        <v/>
      </c>
      <c r="AT226" s="40">
        <f>AT225*(1-IF(B225&gt;=in_marketplace_from,d_hz_device*G225,0))</f>
        <v/>
      </c>
      <c r="AU226" s="14">
        <f>F226*AT226*IF(B226&gt;=in_marketplace_from,d_hz_device*G226,0)*in_device_ticket*in_device_comm*in_ins_partner_share</f>
        <v/>
      </c>
      <c r="AV226" s="40">
        <f>AV225*(1-IF(B225&gt;=in_marketplace_from,d_hz_shop*G225,0))</f>
        <v/>
      </c>
      <c r="AW226" s="46">
        <f>AV226*IF(B226&gt;=in_marketplace_from,d_hz_shop*G226,0)</f>
        <v/>
      </c>
      <c r="AX226" s="14">
        <f>F226*AW226*in_shop_ticket*in_shop_comm*in_ins_partner_share+F226*in_shop_ticket*in_shop_renew_comm*in_ins_partner_share*(in_shop_renew^1*SUMIFS(AW179:AW235,B179:B235,B226-12)+in_shop_renew^2*SUMIFS(AW179:AW235,B179:B235,B226-24)+in_shop_renew^3*SUMIFS(AW179:AW235,B179:B235,B226-36)+in_shop_renew^4*SUMIFS(AW179:AW235,B179:B235,B226-48))</f>
        <v/>
      </c>
      <c r="AY226" s="40">
        <f>AY225*(1-IF(B225&gt;=in_marketplace_from,d_hz_sip*G225,0))</f>
        <v/>
      </c>
      <c r="AZ226" s="40">
        <f>AZ225*d_rho_sip+AY226*IF(B226&gt;=in_marketplace_from,d_hz_sip*G226,0)</f>
        <v/>
      </c>
      <c r="BA226" s="40">
        <f>d_rho_sip*(BA225+AZ225)</f>
        <v/>
      </c>
      <c r="BB226" s="14">
        <f>F226*in_sip_ticket*(BA226+0.5*AZ226)*in_sip_comm/12</f>
        <v/>
      </c>
      <c r="BC226" s="40">
        <f>BC225*(1-IF(B225&gt;=in_marketplace_from,d_hz_choti*G225,0))</f>
        <v/>
      </c>
      <c r="BD226" s="46">
        <f>BC226*IF(B226&gt;=in_marketplace_from,d_hz_choti*G226,0)</f>
        <v/>
      </c>
      <c r="BE226" s="14">
        <f>F226*SUMIFS(BD179:BD235,B179:B235,B226-in_choti_months)*in_choti_renew*in_choti_ticket</f>
        <v/>
      </c>
      <c r="BF226" s="40">
        <f>BF225*(1-IF(B225&gt;=in_marketplace_from,d_hz_nps*G225,0))</f>
        <v/>
      </c>
      <c r="BG226" s="14">
        <f>F226*BF226*IF(B226&gt;=in_marketplace_from,d_hz_nps*G226,0)*in_nps_ticket*in_nps_comm</f>
        <v/>
      </c>
      <c r="BH226" s="40">
        <f>BH225*(1-IF(B225&gt;=in_marketplace_from,d_hz_gold*G225,0))</f>
        <v/>
      </c>
      <c r="BI226" s="40">
        <f>BI225*d_rho_gold+BH226*IF(B226&gt;=in_marketplace_from,d_hz_gold*G226,0)</f>
        <v/>
      </c>
      <c r="BJ226" s="14">
        <f>F226*BI226*in_gold_ticket*in_gold_comm</f>
        <v/>
      </c>
      <c r="BK226" s="40">
        <f>BK225*(1-IF(B225&gt;=in_marketplace_from,d_hz_fd*G225,0))</f>
        <v/>
      </c>
      <c r="BL226" s="14">
        <f>F226*BK226*IF(B226&gt;=in_marketplace_from,d_hz_fd*G226,0)*in_fd_ticket*in_fd_comm</f>
        <v/>
      </c>
      <c r="BM226" s="40">
        <f>BM225*(1-IF(B225&gt;=in_marketplace_from,d_hz_recharge*G225,0))</f>
        <v/>
      </c>
      <c r="BN226" s="40">
        <f>BN225*d_rho_recharge+BM226*IF(B226&gt;=in_marketplace_from,d_hz_recharge*G226,0)</f>
        <v/>
      </c>
      <c r="BO226" s="14">
        <f>F226*BN226*in_recharge_ticket*in_recharge_comm/12</f>
        <v/>
      </c>
      <c r="BP226" s="40">
        <f>BP225*(1-IF(B225&gt;=in_marketplace_from,d_hz_bills*G225,0))</f>
        <v/>
      </c>
      <c r="BQ226" s="40">
        <f>BQ225*d_rho_bills+BP226*IF(B226&gt;=in_marketplace_from,d_hz_bills*G226,0)</f>
        <v/>
      </c>
      <c r="BR226" s="14">
        <f>F226*BQ226*in_bills_ticket*in_bills_comm/12</f>
        <v/>
      </c>
      <c r="BS226" s="40">
        <f>BS225*(1-IF(B225&gt;=in_marketplace_from,d_hz_loan_gold*G225,0))</f>
        <v/>
      </c>
      <c r="BT226" s="14">
        <f>F226*BS226*IF(B226&gt;=in_marketplace_from,d_hz_loan_gold*G226,0)*in_loan_gold_ticket*in_loan_gold_comm</f>
        <v/>
      </c>
      <c r="BU226" s="40">
        <f>BU225*(1-IF(B225&gt;=in_marketplace_from,d_hz_loan_cd*G225,0))</f>
        <v/>
      </c>
      <c r="BV226" s="14">
        <f>F226*BU226*IF(B226&gt;=in_marketplace_from,d_hz_loan_cd*G226,0)*in_loan_cd_ticket*in_loan_cd_comm</f>
        <v/>
      </c>
      <c r="BW226" s="40">
        <f>BW225*(1-IF(B225&gt;=in_marketplace_from,d_hz_loan_vehicle*G225,0))</f>
        <v/>
      </c>
      <c r="BX226" s="14">
        <f>F226*BW226*IF(B226&gt;=in_marketplace_from,d_hz_loan_vehicle*G226,0)*in_loan_vehicle_ticket*in_loan_vehicle_comm</f>
        <v/>
      </c>
      <c r="BY226" s="40">
        <f>BY225*(1-IF(B225&gt;=in_marketplace_from,d_hz_loan_home*G225,0)*BZ225)</f>
        <v/>
      </c>
      <c r="BZ226" s="11">
        <f>MIN(in_approval_cap,in_loan_home_approval*INDEX('Age profile'!$O$2:$O$61,B226)*(1+in_approval_growth)^(D226-1))</f>
        <v/>
      </c>
      <c r="CA226" s="14">
        <f>F226*BY226*IF(B226&gt;=in_marketplace_from,d_hz_loan_home*G226,0)*BZ226*in_loan_home_ticket*in_loan_home_comm</f>
        <v/>
      </c>
      <c r="CB226" s="40">
        <f>CB225*(1-IF(B225&gt;=in_marketplace_from,d_hz_loan_lap*G225,0)*CC225)</f>
        <v/>
      </c>
      <c r="CC226" s="11">
        <f>MIN(in_approval_cap,in_loan_lap_approval*INDEX('Age profile'!$O$2:$O$61,B226)*(1+in_approval_growth)^(D226-1))</f>
        <v/>
      </c>
      <c r="CD226" s="14">
        <f>F226*CB226*IF(B226&gt;=in_marketplace_from,d_hz_loan_lap*G226,0)*CC226*in_loan_lap_ticket*in_loan_lap_comm</f>
        <v/>
      </c>
      <c r="CE226" s="14">
        <f>AA226+AB226+AC226+AD226+AG226+AJ226+AM226+AP226+AS226+AU226+AX226+BB226+BE226+BG226+BJ226+BL226+BO226+BR226+BT226+BV226+BX226+CA226+CD226</f>
        <v/>
      </c>
    </row>
    <row r="227">
      <c r="A227" s="39" t="n">
        <v>4</v>
      </c>
      <c r="B227" s="39" t="n">
        <v>49</v>
      </c>
      <c r="C227" s="39">
        <f>A227+B227-1</f>
        <v/>
      </c>
      <c r="D227" s="39">
        <f>INT((C227-1)/12)+1</f>
        <v/>
      </c>
      <c r="E227" s="44">
        <f>INDEX(Monthly!$B$2:$B$61,A227)</f>
        <v/>
      </c>
      <c r="F227" s="44">
        <f>E227*INDEX('Age profile'!$B$2:$B$61,B227)</f>
        <v/>
      </c>
      <c r="G227" s="45">
        <f>MIN(in_takeup_cap,INDEX('Age profile'!$N$2:$N$61,B227)*(1+in_takeup_growth)^(D227-1))</f>
        <v/>
      </c>
      <c r="H227" s="11">
        <f>MIN(in_approval_cap,in_approved_first*INDEX('Age profile'!$O$2:$O$61,B227)*(1+in_approval_growth)^(D227-1))</f>
        <v/>
      </c>
      <c r="I227" s="45">
        <f>G227*MIN(in_takeup_cap,INDEX('Age profile'!$O$2:$O$61,B227)*(1+in_approval_growth)^(D227-1))</f>
        <v/>
      </c>
      <c r="J227" s="40">
        <f>(J226-L226)*F227/F226</f>
        <v/>
      </c>
      <c r="K227" s="40">
        <f>(K226-M226)*F227/F226+SUMIFS(O179:O226,B179:B226,B227-1-d_T)*F227</f>
        <v/>
      </c>
      <c r="L227" s="40">
        <f>IF(B227&gt;=in_marketplace_from,J227*d_hz*G227*in_eligible*H227,0)</f>
        <v/>
      </c>
      <c r="M227" s="40">
        <f>IF(B227&gt;=in_marketplace_from,K227*d_hz*G227*in_eligible*in_approved_repeat,0)</f>
        <v/>
      </c>
      <c r="N227" s="40">
        <f>L227+M227</f>
        <v/>
      </c>
      <c r="O227" s="46">
        <f>N227/F227</f>
        <v/>
      </c>
      <c r="P227" s="40">
        <f>F227-J227-K227</f>
        <v/>
      </c>
      <c r="Q227" s="40">
        <f>IF(B227&gt;=in_marketplace_from,(J227+K227)*d_hz*G227,0)</f>
        <v/>
      </c>
      <c r="R227" s="40">
        <f>SUMIFS(N179:N235,B179:B235,"&gt;="&amp;(B227-d_T),B179:B235,"&lt;="&amp;(B227-1))</f>
        <v/>
      </c>
      <c r="S227" s="46">
        <f>(1-d_u)*S226+IF(d_T&gt;in_topup_lag,SUMIFS(O179:O235,B179:B235,B227-in_topup_lag)-d_udrop*SUMIFS(O179:O235,B179:B235,B227-d_T),0)</f>
        <v/>
      </c>
      <c r="T227" s="40">
        <f>F227*d_u*S227</f>
        <v/>
      </c>
      <c r="U227" s="9">
        <f>L227*in_ticket+M227*d_rep_ticket</f>
        <v/>
      </c>
      <c r="V227" s="9">
        <f>U227+T227*d_topup_amt</f>
        <v/>
      </c>
      <c r="W227" s="40">
        <f>N227+T227*d_topup_ratio</f>
        <v/>
      </c>
      <c r="X227" s="40">
        <f>SUMIFS(W179:W235,B179:B235,B227-in_dpd_lag)*d_cured</f>
        <v/>
      </c>
      <c r="Y227" s="40">
        <f>SUMIFS(W179:W235,B179:B235,B227-in_rec_lag)*d_recd</f>
        <v/>
      </c>
      <c r="Z227" s="40">
        <f>IF(AND(B227&gt;=in_marketplace_from,B227&lt;in_marketplace_from+in_card_months),in_card_share/in_card_months*F227*I227,IF(AND(B227&gt;=in_marketplace_from+in_card_months,B227&lt;in_marketplace_from+2*in_card_months),in_card_share*d_card_rem/in_card_months*F227*MIN(in_takeup_cap,(1+in_takeup_growth)^(D227-1))*MIN(in_takeup_cap,(1+in_approval_growth)^(D227-1)),0))</f>
        <v/>
      </c>
      <c r="AA227" s="14">
        <f>V227*in_fee*(1-in_taken_back)</f>
        <v/>
      </c>
      <c r="AB227" s="14">
        <f>SUMIFS(W179:W235,B179:B235,B227-in_dpd_lag)*d_dpd</f>
        <v/>
      </c>
      <c r="AC227" s="14">
        <f>SUMIFS(W179:W235,B179:B235,B227-in_rec_lag)*d_rec</f>
        <v/>
      </c>
      <c r="AD227" s="14">
        <f>Z227*in_card_fee</f>
        <v/>
      </c>
      <c r="AE227" s="40">
        <f>AE226*(1-IF(B226&gt;=in_marketplace_from,d_hz_hlth_small*G226,0))</f>
        <v/>
      </c>
      <c r="AF227" s="46">
        <f>AE227*IF(B227&gt;=in_marketplace_from,d_hz_hlth_small*G227,0)</f>
        <v/>
      </c>
      <c r="AG227" s="14">
        <f>F227*AF227*in_hlth_small_ticket*in_hlth_small_comm*in_ins_partner_share+F227*in_hlth_small_ticket*in_hlth_small_renew_comm*in_ins_partner_share*(in_hlth_small_renew^1*SUMIFS(AF179:AF235,B179:B235,B227-12)+in_hlth_small_renew^2*SUMIFS(AF179:AF235,B179:B235,B227-24)+in_hlth_small_renew^3*SUMIFS(AF179:AF235,B179:B235,B227-36)+in_hlth_small_renew^4*SUMIFS(AF179:AF235,B179:B235,B227-48))</f>
        <v/>
      </c>
      <c r="AH227" s="40">
        <f>AH226*(1-IF(B226&gt;=in_marketplace_from,d_hz_hlth_family*G226,0))</f>
        <v/>
      </c>
      <c r="AI227" s="46">
        <f>AH227*IF(B227&gt;=in_marketplace_from,d_hz_hlth_family*G227,0)</f>
        <v/>
      </c>
      <c r="AJ227" s="14">
        <f>F227*AI227*in_hlth_family_ticket*in_hlth_family_comm*in_ins_partner_share+F227*in_hlth_family_ticket*in_hlth_family_renew_comm*in_ins_partner_share*(in_hlth_family_renew^1*SUMIFS(AI179:AI235,B179:B235,B227-12)+in_hlth_family_renew^2*SUMIFS(AI179:AI235,B179:B235,B227-24)+in_hlth_family_renew^3*SUMIFS(AI179:AI235,B179:B235,B227-36)+in_hlth_family_renew^4*SUMIFS(AI179:AI235,B179:B235,B227-48))</f>
        <v/>
      </c>
      <c r="AK227" s="40">
        <f>AK226*(1-IF(B226&gt;=in_marketplace_from,d_hz_life_term*G226,0))</f>
        <v/>
      </c>
      <c r="AL227" s="46">
        <f>AK227*IF(B227&gt;=in_marketplace_from,d_hz_life_term*G227,0)</f>
        <v/>
      </c>
      <c r="AM227" s="14">
        <f>F227*AL227*in_life_term_ticket*in_life_term_comm*in_ins_partner_share+F227*in_life_term_ticket*in_life_term_renew_comm*in_ins_partner_share*(in_life_term_renew^1*SUMIFS(AL179:AL235,B179:B235,B227-12)+in_life_term_renew^2*SUMIFS(AL179:AL235,B179:B235,B227-24)+in_life_term_renew^3*SUMIFS(AL179:AL235,B179:B235,B227-36)+in_life_term_renew^4*SUMIFS(AL179:AL235,B179:B235,B227-48))</f>
        <v/>
      </c>
      <c r="AN227" s="40">
        <f>AN226*(1-IF(B226&gt;=in_marketplace_from,d_hz_accident*G226,0))</f>
        <v/>
      </c>
      <c r="AO227" s="46">
        <f>AN227*IF(B227&gt;=in_marketplace_from,d_hz_accident*G227,0)</f>
        <v/>
      </c>
      <c r="AP227" s="14">
        <f>F227*AO227*in_accident_ticket*in_accident_comm*in_ins_partner_share+F227*in_accident_ticket*in_accident_renew_comm*in_ins_partner_share*(in_accident_renew^1*SUMIFS(AO179:AO235,B179:B235,B227-12)+in_accident_renew^2*SUMIFS(AO179:AO235,B179:B235,B227-24)+in_accident_renew^3*SUMIFS(AO179:AO235,B179:B235,B227-36)+in_accident_renew^4*SUMIFS(AO179:AO235,B179:B235,B227-48))</f>
        <v/>
      </c>
      <c r="AQ227" s="40">
        <f>AQ226*(1-IF(B226&gt;=in_marketplace_from,d_hz_two_wheeler*G226,0))</f>
        <v/>
      </c>
      <c r="AR227" s="46">
        <f>AQ227*IF(B227&gt;=in_marketplace_from,d_hz_two_wheeler*G227,0)</f>
        <v/>
      </c>
      <c r="AS227" s="14">
        <f>F227*AR227*in_two_wheeler_ticket*in_two_wheeler_comm*in_ins_partner_share+F227*in_two_wheeler_ticket*in_two_wheeler_comm*in_ins_partner_share*(in_two_wheeler_renew^1*SUMIFS(AR179:AR235,B179:B235,B227-12)+in_two_wheeler_renew^2*SUMIFS(AR179:AR235,B179:B235,B227-24)+in_two_wheeler_renew^3*SUMIFS(AR179:AR235,B179:B235,B227-36)+in_two_wheeler_renew^4*SUMIFS(AR179:AR235,B179:B235,B227-48))</f>
        <v/>
      </c>
      <c r="AT227" s="40">
        <f>AT226*(1-IF(B226&gt;=in_marketplace_from,d_hz_device*G226,0))</f>
        <v/>
      </c>
      <c r="AU227" s="14">
        <f>F227*AT227*IF(B227&gt;=in_marketplace_from,d_hz_device*G227,0)*in_device_ticket*in_device_comm*in_ins_partner_share</f>
        <v/>
      </c>
      <c r="AV227" s="40">
        <f>AV226*(1-IF(B226&gt;=in_marketplace_from,d_hz_shop*G226,0))</f>
        <v/>
      </c>
      <c r="AW227" s="46">
        <f>AV227*IF(B227&gt;=in_marketplace_from,d_hz_shop*G227,0)</f>
        <v/>
      </c>
      <c r="AX227" s="14">
        <f>F227*AW227*in_shop_ticket*in_shop_comm*in_ins_partner_share+F227*in_shop_ticket*in_shop_renew_comm*in_ins_partner_share*(in_shop_renew^1*SUMIFS(AW179:AW235,B179:B235,B227-12)+in_shop_renew^2*SUMIFS(AW179:AW235,B179:B235,B227-24)+in_shop_renew^3*SUMIFS(AW179:AW235,B179:B235,B227-36)+in_shop_renew^4*SUMIFS(AW179:AW235,B179:B235,B227-48))</f>
        <v/>
      </c>
      <c r="AY227" s="40">
        <f>AY226*(1-IF(B226&gt;=in_marketplace_from,d_hz_sip*G226,0))</f>
        <v/>
      </c>
      <c r="AZ227" s="40">
        <f>AZ226*d_rho_sip+AY227*IF(B227&gt;=in_marketplace_from,d_hz_sip*G227,0)</f>
        <v/>
      </c>
      <c r="BA227" s="40">
        <f>d_rho_sip*(BA226+AZ226)</f>
        <v/>
      </c>
      <c r="BB227" s="14">
        <f>F227*in_sip_ticket*(BA227+0.5*AZ227)*in_sip_comm/12</f>
        <v/>
      </c>
      <c r="BC227" s="40">
        <f>BC226*(1-IF(B226&gt;=in_marketplace_from,d_hz_choti*G226,0))</f>
        <v/>
      </c>
      <c r="BD227" s="46">
        <f>BC227*IF(B227&gt;=in_marketplace_from,d_hz_choti*G227,0)</f>
        <v/>
      </c>
      <c r="BE227" s="14">
        <f>F227*SUMIFS(BD179:BD235,B179:B235,B227-in_choti_months)*in_choti_renew*in_choti_ticket</f>
        <v/>
      </c>
      <c r="BF227" s="40">
        <f>BF226*(1-IF(B226&gt;=in_marketplace_from,d_hz_nps*G226,0))</f>
        <v/>
      </c>
      <c r="BG227" s="14">
        <f>F227*BF227*IF(B227&gt;=in_marketplace_from,d_hz_nps*G227,0)*in_nps_ticket*in_nps_comm</f>
        <v/>
      </c>
      <c r="BH227" s="40">
        <f>BH226*(1-IF(B226&gt;=in_marketplace_from,d_hz_gold*G226,0))</f>
        <v/>
      </c>
      <c r="BI227" s="40">
        <f>BI226*d_rho_gold+BH227*IF(B227&gt;=in_marketplace_from,d_hz_gold*G227,0)</f>
        <v/>
      </c>
      <c r="BJ227" s="14">
        <f>F227*BI227*in_gold_ticket*in_gold_comm</f>
        <v/>
      </c>
      <c r="BK227" s="40">
        <f>BK226*(1-IF(B226&gt;=in_marketplace_from,d_hz_fd*G226,0))</f>
        <v/>
      </c>
      <c r="BL227" s="14">
        <f>F227*BK227*IF(B227&gt;=in_marketplace_from,d_hz_fd*G227,0)*in_fd_ticket*in_fd_comm</f>
        <v/>
      </c>
      <c r="BM227" s="40">
        <f>BM226*(1-IF(B226&gt;=in_marketplace_from,d_hz_recharge*G226,0))</f>
        <v/>
      </c>
      <c r="BN227" s="40">
        <f>BN226*d_rho_recharge+BM227*IF(B227&gt;=in_marketplace_from,d_hz_recharge*G227,0)</f>
        <v/>
      </c>
      <c r="BO227" s="14">
        <f>F227*BN227*in_recharge_ticket*in_recharge_comm/12</f>
        <v/>
      </c>
      <c r="BP227" s="40">
        <f>BP226*(1-IF(B226&gt;=in_marketplace_from,d_hz_bills*G226,0))</f>
        <v/>
      </c>
      <c r="BQ227" s="40">
        <f>BQ226*d_rho_bills+BP227*IF(B227&gt;=in_marketplace_from,d_hz_bills*G227,0)</f>
        <v/>
      </c>
      <c r="BR227" s="14">
        <f>F227*BQ227*in_bills_ticket*in_bills_comm/12</f>
        <v/>
      </c>
      <c r="BS227" s="40">
        <f>BS226*(1-IF(B226&gt;=in_marketplace_from,d_hz_loan_gold*G226,0))</f>
        <v/>
      </c>
      <c r="BT227" s="14">
        <f>F227*BS227*IF(B227&gt;=in_marketplace_from,d_hz_loan_gold*G227,0)*in_loan_gold_ticket*in_loan_gold_comm</f>
        <v/>
      </c>
      <c r="BU227" s="40">
        <f>BU226*(1-IF(B226&gt;=in_marketplace_from,d_hz_loan_cd*G226,0))</f>
        <v/>
      </c>
      <c r="BV227" s="14">
        <f>F227*BU227*IF(B227&gt;=in_marketplace_from,d_hz_loan_cd*G227,0)*in_loan_cd_ticket*in_loan_cd_comm</f>
        <v/>
      </c>
      <c r="BW227" s="40">
        <f>BW226*(1-IF(B226&gt;=in_marketplace_from,d_hz_loan_vehicle*G226,0))</f>
        <v/>
      </c>
      <c r="BX227" s="14">
        <f>F227*BW227*IF(B227&gt;=in_marketplace_from,d_hz_loan_vehicle*G227,0)*in_loan_vehicle_ticket*in_loan_vehicle_comm</f>
        <v/>
      </c>
      <c r="BY227" s="40">
        <f>BY226*(1-IF(B226&gt;=in_marketplace_from,d_hz_loan_home*G226,0)*BZ226)</f>
        <v/>
      </c>
      <c r="BZ227" s="11">
        <f>MIN(in_approval_cap,in_loan_home_approval*INDEX('Age profile'!$O$2:$O$61,B227)*(1+in_approval_growth)^(D227-1))</f>
        <v/>
      </c>
      <c r="CA227" s="14">
        <f>F227*BY227*IF(B227&gt;=in_marketplace_from,d_hz_loan_home*G227,0)*BZ227*in_loan_home_ticket*in_loan_home_comm</f>
        <v/>
      </c>
      <c r="CB227" s="40">
        <f>CB226*(1-IF(B226&gt;=in_marketplace_from,d_hz_loan_lap*G226,0)*CC226)</f>
        <v/>
      </c>
      <c r="CC227" s="11">
        <f>MIN(in_approval_cap,in_loan_lap_approval*INDEX('Age profile'!$O$2:$O$61,B227)*(1+in_approval_growth)^(D227-1))</f>
        <v/>
      </c>
      <c r="CD227" s="14">
        <f>F227*CB227*IF(B227&gt;=in_marketplace_from,d_hz_loan_lap*G227,0)*CC227*in_loan_lap_ticket*in_loan_lap_comm</f>
        <v/>
      </c>
      <c r="CE227" s="14">
        <f>AA227+AB227+AC227+AD227+AG227+AJ227+AM227+AP227+AS227+AU227+AX227+BB227+BE227+BG227+BJ227+BL227+BO227+BR227+BT227+BV227+BX227+CA227+CD227</f>
        <v/>
      </c>
    </row>
    <row r="228">
      <c r="A228" s="39" t="n">
        <v>4</v>
      </c>
      <c r="B228" s="39" t="n">
        <v>50</v>
      </c>
      <c r="C228" s="39">
        <f>A228+B228-1</f>
        <v/>
      </c>
      <c r="D228" s="39">
        <f>INT((C228-1)/12)+1</f>
        <v/>
      </c>
      <c r="E228" s="44">
        <f>INDEX(Monthly!$B$2:$B$61,A228)</f>
        <v/>
      </c>
      <c r="F228" s="44">
        <f>E228*INDEX('Age profile'!$B$2:$B$61,B228)</f>
        <v/>
      </c>
      <c r="G228" s="45">
        <f>MIN(in_takeup_cap,INDEX('Age profile'!$N$2:$N$61,B228)*(1+in_takeup_growth)^(D228-1))</f>
        <v/>
      </c>
      <c r="H228" s="11">
        <f>MIN(in_approval_cap,in_approved_first*INDEX('Age profile'!$O$2:$O$61,B228)*(1+in_approval_growth)^(D228-1))</f>
        <v/>
      </c>
      <c r="I228" s="45">
        <f>G228*MIN(in_takeup_cap,INDEX('Age profile'!$O$2:$O$61,B228)*(1+in_approval_growth)^(D228-1))</f>
        <v/>
      </c>
      <c r="J228" s="40">
        <f>(J227-L227)*F228/F227</f>
        <v/>
      </c>
      <c r="K228" s="40">
        <f>(K227-M227)*F228/F227+SUMIFS(O179:O227,B179:B227,B228-1-d_T)*F228</f>
        <v/>
      </c>
      <c r="L228" s="40">
        <f>IF(B228&gt;=in_marketplace_from,J228*d_hz*G228*in_eligible*H228,0)</f>
        <v/>
      </c>
      <c r="M228" s="40">
        <f>IF(B228&gt;=in_marketplace_from,K228*d_hz*G228*in_eligible*in_approved_repeat,0)</f>
        <v/>
      </c>
      <c r="N228" s="40">
        <f>L228+M228</f>
        <v/>
      </c>
      <c r="O228" s="46">
        <f>N228/F228</f>
        <v/>
      </c>
      <c r="P228" s="40">
        <f>F228-J228-K228</f>
        <v/>
      </c>
      <c r="Q228" s="40">
        <f>IF(B228&gt;=in_marketplace_from,(J228+K228)*d_hz*G228,0)</f>
        <v/>
      </c>
      <c r="R228" s="40">
        <f>SUMIFS(N179:N235,B179:B235,"&gt;="&amp;(B228-d_T),B179:B235,"&lt;="&amp;(B228-1))</f>
        <v/>
      </c>
      <c r="S228" s="46">
        <f>(1-d_u)*S227+IF(d_T&gt;in_topup_lag,SUMIFS(O179:O235,B179:B235,B228-in_topup_lag)-d_udrop*SUMIFS(O179:O235,B179:B235,B228-d_T),0)</f>
        <v/>
      </c>
      <c r="T228" s="40">
        <f>F228*d_u*S228</f>
        <v/>
      </c>
      <c r="U228" s="9">
        <f>L228*in_ticket+M228*d_rep_ticket</f>
        <v/>
      </c>
      <c r="V228" s="9">
        <f>U228+T228*d_topup_amt</f>
        <v/>
      </c>
      <c r="W228" s="40">
        <f>N228+T228*d_topup_ratio</f>
        <v/>
      </c>
      <c r="X228" s="40">
        <f>SUMIFS(W179:W235,B179:B235,B228-in_dpd_lag)*d_cured</f>
        <v/>
      </c>
      <c r="Y228" s="40">
        <f>SUMIFS(W179:W235,B179:B235,B228-in_rec_lag)*d_recd</f>
        <v/>
      </c>
      <c r="Z228" s="40">
        <f>IF(AND(B228&gt;=in_marketplace_from,B228&lt;in_marketplace_from+in_card_months),in_card_share/in_card_months*F228*I228,IF(AND(B228&gt;=in_marketplace_from+in_card_months,B228&lt;in_marketplace_from+2*in_card_months),in_card_share*d_card_rem/in_card_months*F228*MIN(in_takeup_cap,(1+in_takeup_growth)^(D228-1))*MIN(in_takeup_cap,(1+in_approval_growth)^(D228-1)),0))</f>
        <v/>
      </c>
      <c r="AA228" s="14">
        <f>V228*in_fee*(1-in_taken_back)</f>
        <v/>
      </c>
      <c r="AB228" s="14">
        <f>SUMIFS(W179:W235,B179:B235,B228-in_dpd_lag)*d_dpd</f>
        <v/>
      </c>
      <c r="AC228" s="14">
        <f>SUMIFS(W179:W235,B179:B235,B228-in_rec_lag)*d_rec</f>
        <v/>
      </c>
      <c r="AD228" s="14">
        <f>Z228*in_card_fee</f>
        <v/>
      </c>
      <c r="AE228" s="40">
        <f>AE227*(1-IF(B227&gt;=in_marketplace_from,d_hz_hlth_small*G227,0))</f>
        <v/>
      </c>
      <c r="AF228" s="46">
        <f>AE228*IF(B228&gt;=in_marketplace_from,d_hz_hlth_small*G228,0)</f>
        <v/>
      </c>
      <c r="AG228" s="14">
        <f>F228*AF228*in_hlth_small_ticket*in_hlth_small_comm*in_ins_partner_share+F228*in_hlth_small_ticket*in_hlth_small_renew_comm*in_ins_partner_share*(in_hlth_small_renew^1*SUMIFS(AF179:AF235,B179:B235,B228-12)+in_hlth_small_renew^2*SUMIFS(AF179:AF235,B179:B235,B228-24)+in_hlth_small_renew^3*SUMIFS(AF179:AF235,B179:B235,B228-36)+in_hlth_small_renew^4*SUMIFS(AF179:AF235,B179:B235,B228-48))</f>
        <v/>
      </c>
      <c r="AH228" s="40">
        <f>AH227*(1-IF(B227&gt;=in_marketplace_from,d_hz_hlth_family*G227,0))</f>
        <v/>
      </c>
      <c r="AI228" s="46">
        <f>AH228*IF(B228&gt;=in_marketplace_from,d_hz_hlth_family*G228,0)</f>
        <v/>
      </c>
      <c r="AJ228" s="14">
        <f>F228*AI228*in_hlth_family_ticket*in_hlth_family_comm*in_ins_partner_share+F228*in_hlth_family_ticket*in_hlth_family_renew_comm*in_ins_partner_share*(in_hlth_family_renew^1*SUMIFS(AI179:AI235,B179:B235,B228-12)+in_hlth_family_renew^2*SUMIFS(AI179:AI235,B179:B235,B228-24)+in_hlth_family_renew^3*SUMIFS(AI179:AI235,B179:B235,B228-36)+in_hlth_family_renew^4*SUMIFS(AI179:AI235,B179:B235,B228-48))</f>
        <v/>
      </c>
      <c r="AK228" s="40">
        <f>AK227*(1-IF(B227&gt;=in_marketplace_from,d_hz_life_term*G227,0))</f>
        <v/>
      </c>
      <c r="AL228" s="46">
        <f>AK228*IF(B228&gt;=in_marketplace_from,d_hz_life_term*G228,0)</f>
        <v/>
      </c>
      <c r="AM228" s="14">
        <f>F228*AL228*in_life_term_ticket*in_life_term_comm*in_ins_partner_share+F228*in_life_term_ticket*in_life_term_renew_comm*in_ins_partner_share*(in_life_term_renew^1*SUMIFS(AL179:AL235,B179:B235,B228-12)+in_life_term_renew^2*SUMIFS(AL179:AL235,B179:B235,B228-24)+in_life_term_renew^3*SUMIFS(AL179:AL235,B179:B235,B228-36)+in_life_term_renew^4*SUMIFS(AL179:AL235,B179:B235,B228-48))</f>
        <v/>
      </c>
      <c r="AN228" s="40">
        <f>AN227*(1-IF(B227&gt;=in_marketplace_from,d_hz_accident*G227,0))</f>
        <v/>
      </c>
      <c r="AO228" s="46">
        <f>AN228*IF(B228&gt;=in_marketplace_from,d_hz_accident*G228,0)</f>
        <v/>
      </c>
      <c r="AP228" s="14">
        <f>F228*AO228*in_accident_ticket*in_accident_comm*in_ins_partner_share+F228*in_accident_ticket*in_accident_renew_comm*in_ins_partner_share*(in_accident_renew^1*SUMIFS(AO179:AO235,B179:B235,B228-12)+in_accident_renew^2*SUMIFS(AO179:AO235,B179:B235,B228-24)+in_accident_renew^3*SUMIFS(AO179:AO235,B179:B235,B228-36)+in_accident_renew^4*SUMIFS(AO179:AO235,B179:B235,B228-48))</f>
        <v/>
      </c>
      <c r="AQ228" s="40">
        <f>AQ227*(1-IF(B227&gt;=in_marketplace_from,d_hz_two_wheeler*G227,0))</f>
        <v/>
      </c>
      <c r="AR228" s="46">
        <f>AQ228*IF(B228&gt;=in_marketplace_from,d_hz_two_wheeler*G228,0)</f>
        <v/>
      </c>
      <c r="AS228" s="14">
        <f>F228*AR228*in_two_wheeler_ticket*in_two_wheeler_comm*in_ins_partner_share+F228*in_two_wheeler_ticket*in_two_wheeler_comm*in_ins_partner_share*(in_two_wheeler_renew^1*SUMIFS(AR179:AR235,B179:B235,B228-12)+in_two_wheeler_renew^2*SUMIFS(AR179:AR235,B179:B235,B228-24)+in_two_wheeler_renew^3*SUMIFS(AR179:AR235,B179:B235,B228-36)+in_two_wheeler_renew^4*SUMIFS(AR179:AR235,B179:B235,B228-48))</f>
        <v/>
      </c>
      <c r="AT228" s="40">
        <f>AT227*(1-IF(B227&gt;=in_marketplace_from,d_hz_device*G227,0))</f>
        <v/>
      </c>
      <c r="AU228" s="14">
        <f>F228*AT228*IF(B228&gt;=in_marketplace_from,d_hz_device*G228,0)*in_device_ticket*in_device_comm*in_ins_partner_share</f>
        <v/>
      </c>
      <c r="AV228" s="40">
        <f>AV227*(1-IF(B227&gt;=in_marketplace_from,d_hz_shop*G227,0))</f>
        <v/>
      </c>
      <c r="AW228" s="46">
        <f>AV228*IF(B228&gt;=in_marketplace_from,d_hz_shop*G228,0)</f>
        <v/>
      </c>
      <c r="AX228" s="14">
        <f>F228*AW228*in_shop_ticket*in_shop_comm*in_ins_partner_share+F228*in_shop_ticket*in_shop_renew_comm*in_ins_partner_share*(in_shop_renew^1*SUMIFS(AW179:AW235,B179:B235,B228-12)+in_shop_renew^2*SUMIFS(AW179:AW235,B179:B235,B228-24)+in_shop_renew^3*SUMIFS(AW179:AW235,B179:B235,B228-36)+in_shop_renew^4*SUMIFS(AW179:AW235,B179:B235,B228-48))</f>
        <v/>
      </c>
      <c r="AY228" s="40">
        <f>AY227*(1-IF(B227&gt;=in_marketplace_from,d_hz_sip*G227,0))</f>
        <v/>
      </c>
      <c r="AZ228" s="40">
        <f>AZ227*d_rho_sip+AY228*IF(B228&gt;=in_marketplace_from,d_hz_sip*G228,0)</f>
        <v/>
      </c>
      <c r="BA228" s="40">
        <f>d_rho_sip*(BA227+AZ227)</f>
        <v/>
      </c>
      <c r="BB228" s="14">
        <f>F228*in_sip_ticket*(BA228+0.5*AZ228)*in_sip_comm/12</f>
        <v/>
      </c>
      <c r="BC228" s="40">
        <f>BC227*(1-IF(B227&gt;=in_marketplace_from,d_hz_choti*G227,0))</f>
        <v/>
      </c>
      <c r="BD228" s="46">
        <f>BC228*IF(B228&gt;=in_marketplace_from,d_hz_choti*G228,0)</f>
        <v/>
      </c>
      <c r="BE228" s="14">
        <f>F228*SUMIFS(BD179:BD235,B179:B235,B228-in_choti_months)*in_choti_renew*in_choti_ticket</f>
        <v/>
      </c>
      <c r="BF228" s="40">
        <f>BF227*(1-IF(B227&gt;=in_marketplace_from,d_hz_nps*G227,0))</f>
        <v/>
      </c>
      <c r="BG228" s="14">
        <f>F228*BF228*IF(B228&gt;=in_marketplace_from,d_hz_nps*G228,0)*in_nps_ticket*in_nps_comm</f>
        <v/>
      </c>
      <c r="BH228" s="40">
        <f>BH227*(1-IF(B227&gt;=in_marketplace_from,d_hz_gold*G227,0))</f>
        <v/>
      </c>
      <c r="BI228" s="40">
        <f>BI227*d_rho_gold+BH228*IF(B228&gt;=in_marketplace_from,d_hz_gold*G228,0)</f>
        <v/>
      </c>
      <c r="BJ228" s="14">
        <f>F228*BI228*in_gold_ticket*in_gold_comm</f>
        <v/>
      </c>
      <c r="BK228" s="40">
        <f>BK227*(1-IF(B227&gt;=in_marketplace_from,d_hz_fd*G227,0))</f>
        <v/>
      </c>
      <c r="BL228" s="14">
        <f>F228*BK228*IF(B228&gt;=in_marketplace_from,d_hz_fd*G228,0)*in_fd_ticket*in_fd_comm</f>
        <v/>
      </c>
      <c r="BM228" s="40">
        <f>BM227*(1-IF(B227&gt;=in_marketplace_from,d_hz_recharge*G227,0))</f>
        <v/>
      </c>
      <c r="BN228" s="40">
        <f>BN227*d_rho_recharge+BM228*IF(B228&gt;=in_marketplace_from,d_hz_recharge*G228,0)</f>
        <v/>
      </c>
      <c r="BO228" s="14">
        <f>F228*BN228*in_recharge_ticket*in_recharge_comm/12</f>
        <v/>
      </c>
      <c r="BP228" s="40">
        <f>BP227*(1-IF(B227&gt;=in_marketplace_from,d_hz_bills*G227,0))</f>
        <v/>
      </c>
      <c r="BQ228" s="40">
        <f>BQ227*d_rho_bills+BP228*IF(B228&gt;=in_marketplace_from,d_hz_bills*G228,0)</f>
        <v/>
      </c>
      <c r="BR228" s="14">
        <f>F228*BQ228*in_bills_ticket*in_bills_comm/12</f>
        <v/>
      </c>
      <c r="BS228" s="40">
        <f>BS227*(1-IF(B227&gt;=in_marketplace_from,d_hz_loan_gold*G227,0))</f>
        <v/>
      </c>
      <c r="BT228" s="14">
        <f>F228*BS228*IF(B228&gt;=in_marketplace_from,d_hz_loan_gold*G228,0)*in_loan_gold_ticket*in_loan_gold_comm</f>
        <v/>
      </c>
      <c r="BU228" s="40">
        <f>BU227*(1-IF(B227&gt;=in_marketplace_from,d_hz_loan_cd*G227,0))</f>
        <v/>
      </c>
      <c r="BV228" s="14">
        <f>F228*BU228*IF(B228&gt;=in_marketplace_from,d_hz_loan_cd*G228,0)*in_loan_cd_ticket*in_loan_cd_comm</f>
        <v/>
      </c>
      <c r="BW228" s="40">
        <f>BW227*(1-IF(B227&gt;=in_marketplace_from,d_hz_loan_vehicle*G227,0))</f>
        <v/>
      </c>
      <c r="BX228" s="14">
        <f>F228*BW228*IF(B228&gt;=in_marketplace_from,d_hz_loan_vehicle*G228,0)*in_loan_vehicle_ticket*in_loan_vehicle_comm</f>
        <v/>
      </c>
      <c r="BY228" s="40">
        <f>BY227*(1-IF(B227&gt;=in_marketplace_from,d_hz_loan_home*G227,0)*BZ227)</f>
        <v/>
      </c>
      <c r="BZ228" s="11">
        <f>MIN(in_approval_cap,in_loan_home_approval*INDEX('Age profile'!$O$2:$O$61,B228)*(1+in_approval_growth)^(D228-1))</f>
        <v/>
      </c>
      <c r="CA228" s="14">
        <f>F228*BY228*IF(B228&gt;=in_marketplace_from,d_hz_loan_home*G228,0)*BZ228*in_loan_home_ticket*in_loan_home_comm</f>
        <v/>
      </c>
      <c r="CB228" s="40">
        <f>CB227*(1-IF(B227&gt;=in_marketplace_from,d_hz_loan_lap*G227,0)*CC227)</f>
        <v/>
      </c>
      <c r="CC228" s="11">
        <f>MIN(in_approval_cap,in_loan_lap_approval*INDEX('Age profile'!$O$2:$O$61,B228)*(1+in_approval_growth)^(D228-1))</f>
        <v/>
      </c>
      <c r="CD228" s="14">
        <f>F228*CB228*IF(B228&gt;=in_marketplace_from,d_hz_loan_lap*G228,0)*CC228*in_loan_lap_ticket*in_loan_lap_comm</f>
        <v/>
      </c>
      <c r="CE228" s="14">
        <f>AA228+AB228+AC228+AD228+AG228+AJ228+AM228+AP228+AS228+AU228+AX228+BB228+BE228+BG228+BJ228+BL228+BO228+BR228+BT228+BV228+BX228+CA228+CD228</f>
        <v/>
      </c>
    </row>
    <row r="229">
      <c r="A229" s="39" t="n">
        <v>4</v>
      </c>
      <c r="B229" s="39" t="n">
        <v>51</v>
      </c>
      <c r="C229" s="39">
        <f>A229+B229-1</f>
        <v/>
      </c>
      <c r="D229" s="39">
        <f>INT((C229-1)/12)+1</f>
        <v/>
      </c>
      <c r="E229" s="44">
        <f>INDEX(Monthly!$B$2:$B$61,A229)</f>
        <v/>
      </c>
      <c r="F229" s="44">
        <f>E229*INDEX('Age profile'!$B$2:$B$61,B229)</f>
        <v/>
      </c>
      <c r="G229" s="45">
        <f>MIN(in_takeup_cap,INDEX('Age profile'!$N$2:$N$61,B229)*(1+in_takeup_growth)^(D229-1))</f>
        <v/>
      </c>
      <c r="H229" s="11">
        <f>MIN(in_approval_cap,in_approved_first*INDEX('Age profile'!$O$2:$O$61,B229)*(1+in_approval_growth)^(D229-1))</f>
        <v/>
      </c>
      <c r="I229" s="45">
        <f>G229*MIN(in_takeup_cap,INDEX('Age profile'!$O$2:$O$61,B229)*(1+in_approval_growth)^(D229-1))</f>
        <v/>
      </c>
      <c r="J229" s="40">
        <f>(J228-L228)*F229/F228</f>
        <v/>
      </c>
      <c r="K229" s="40">
        <f>(K228-M228)*F229/F228+SUMIFS(O179:O228,B179:B228,B229-1-d_T)*F229</f>
        <v/>
      </c>
      <c r="L229" s="40">
        <f>IF(B229&gt;=in_marketplace_from,J229*d_hz*G229*in_eligible*H229,0)</f>
        <v/>
      </c>
      <c r="M229" s="40">
        <f>IF(B229&gt;=in_marketplace_from,K229*d_hz*G229*in_eligible*in_approved_repeat,0)</f>
        <v/>
      </c>
      <c r="N229" s="40">
        <f>L229+M229</f>
        <v/>
      </c>
      <c r="O229" s="46">
        <f>N229/F229</f>
        <v/>
      </c>
      <c r="P229" s="40">
        <f>F229-J229-K229</f>
        <v/>
      </c>
      <c r="Q229" s="40">
        <f>IF(B229&gt;=in_marketplace_from,(J229+K229)*d_hz*G229,0)</f>
        <v/>
      </c>
      <c r="R229" s="40">
        <f>SUMIFS(N179:N235,B179:B235,"&gt;="&amp;(B229-d_T),B179:B235,"&lt;="&amp;(B229-1))</f>
        <v/>
      </c>
      <c r="S229" s="46">
        <f>(1-d_u)*S228+IF(d_T&gt;in_topup_lag,SUMIFS(O179:O235,B179:B235,B229-in_topup_lag)-d_udrop*SUMIFS(O179:O235,B179:B235,B229-d_T),0)</f>
        <v/>
      </c>
      <c r="T229" s="40">
        <f>F229*d_u*S229</f>
        <v/>
      </c>
      <c r="U229" s="9">
        <f>L229*in_ticket+M229*d_rep_ticket</f>
        <v/>
      </c>
      <c r="V229" s="9">
        <f>U229+T229*d_topup_amt</f>
        <v/>
      </c>
      <c r="W229" s="40">
        <f>N229+T229*d_topup_ratio</f>
        <v/>
      </c>
      <c r="X229" s="40">
        <f>SUMIFS(W179:W235,B179:B235,B229-in_dpd_lag)*d_cured</f>
        <v/>
      </c>
      <c r="Y229" s="40">
        <f>SUMIFS(W179:W235,B179:B235,B229-in_rec_lag)*d_recd</f>
        <v/>
      </c>
      <c r="Z229" s="40">
        <f>IF(AND(B229&gt;=in_marketplace_from,B229&lt;in_marketplace_from+in_card_months),in_card_share/in_card_months*F229*I229,IF(AND(B229&gt;=in_marketplace_from+in_card_months,B229&lt;in_marketplace_from+2*in_card_months),in_card_share*d_card_rem/in_card_months*F229*MIN(in_takeup_cap,(1+in_takeup_growth)^(D229-1))*MIN(in_takeup_cap,(1+in_approval_growth)^(D229-1)),0))</f>
        <v/>
      </c>
      <c r="AA229" s="14">
        <f>V229*in_fee*(1-in_taken_back)</f>
        <v/>
      </c>
      <c r="AB229" s="14">
        <f>SUMIFS(W179:W235,B179:B235,B229-in_dpd_lag)*d_dpd</f>
        <v/>
      </c>
      <c r="AC229" s="14">
        <f>SUMIFS(W179:W235,B179:B235,B229-in_rec_lag)*d_rec</f>
        <v/>
      </c>
      <c r="AD229" s="14">
        <f>Z229*in_card_fee</f>
        <v/>
      </c>
      <c r="AE229" s="40">
        <f>AE228*(1-IF(B228&gt;=in_marketplace_from,d_hz_hlth_small*G228,0))</f>
        <v/>
      </c>
      <c r="AF229" s="46">
        <f>AE229*IF(B229&gt;=in_marketplace_from,d_hz_hlth_small*G229,0)</f>
        <v/>
      </c>
      <c r="AG229" s="14">
        <f>F229*AF229*in_hlth_small_ticket*in_hlth_small_comm*in_ins_partner_share+F229*in_hlth_small_ticket*in_hlth_small_renew_comm*in_ins_partner_share*(in_hlth_small_renew^1*SUMIFS(AF179:AF235,B179:B235,B229-12)+in_hlth_small_renew^2*SUMIFS(AF179:AF235,B179:B235,B229-24)+in_hlth_small_renew^3*SUMIFS(AF179:AF235,B179:B235,B229-36)+in_hlth_small_renew^4*SUMIFS(AF179:AF235,B179:B235,B229-48))</f>
        <v/>
      </c>
      <c r="AH229" s="40">
        <f>AH228*(1-IF(B228&gt;=in_marketplace_from,d_hz_hlth_family*G228,0))</f>
        <v/>
      </c>
      <c r="AI229" s="46">
        <f>AH229*IF(B229&gt;=in_marketplace_from,d_hz_hlth_family*G229,0)</f>
        <v/>
      </c>
      <c r="AJ229" s="14">
        <f>F229*AI229*in_hlth_family_ticket*in_hlth_family_comm*in_ins_partner_share+F229*in_hlth_family_ticket*in_hlth_family_renew_comm*in_ins_partner_share*(in_hlth_family_renew^1*SUMIFS(AI179:AI235,B179:B235,B229-12)+in_hlth_family_renew^2*SUMIFS(AI179:AI235,B179:B235,B229-24)+in_hlth_family_renew^3*SUMIFS(AI179:AI235,B179:B235,B229-36)+in_hlth_family_renew^4*SUMIFS(AI179:AI235,B179:B235,B229-48))</f>
        <v/>
      </c>
      <c r="AK229" s="40">
        <f>AK228*(1-IF(B228&gt;=in_marketplace_from,d_hz_life_term*G228,0))</f>
        <v/>
      </c>
      <c r="AL229" s="46">
        <f>AK229*IF(B229&gt;=in_marketplace_from,d_hz_life_term*G229,0)</f>
        <v/>
      </c>
      <c r="AM229" s="14">
        <f>F229*AL229*in_life_term_ticket*in_life_term_comm*in_ins_partner_share+F229*in_life_term_ticket*in_life_term_renew_comm*in_ins_partner_share*(in_life_term_renew^1*SUMIFS(AL179:AL235,B179:B235,B229-12)+in_life_term_renew^2*SUMIFS(AL179:AL235,B179:B235,B229-24)+in_life_term_renew^3*SUMIFS(AL179:AL235,B179:B235,B229-36)+in_life_term_renew^4*SUMIFS(AL179:AL235,B179:B235,B229-48))</f>
        <v/>
      </c>
      <c r="AN229" s="40">
        <f>AN228*(1-IF(B228&gt;=in_marketplace_from,d_hz_accident*G228,0))</f>
        <v/>
      </c>
      <c r="AO229" s="46">
        <f>AN229*IF(B229&gt;=in_marketplace_from,d_hz_accident*G229,0)</f>
        <v/>
      </c>
      <c r="AP229" s="14">
        <f>F229*AO229*in_accident_ticket*in_accident_comm*in_ins_partner_share+F229*in_accident_ticket*in_accident_renew_comm*in_ins_partner_share*(in_accident_renew^1*SUMIFS(AO179:AO235,B179:B235,B229-12)+in_accident_renew^2*SUMIFS(AO179:AO235,B179:B235,B229-24)+in_accident_renew^3*SUMIFS(AO179:AO235,B179:B235,B229-36)+in_accident_renew^4*SUMIFS(AO179:AO235,B179:B235,B229-48))</f>
        <v/>
      </c>
      <c r="AQ229" s="40">
        <f>AQ228*(1-IF(B228&gt;=in_marketplace_from,d_hz_two_wheeler*G228,0))</f>
        <v/>
      </c>
      <c r="AR229" s="46">
        <f>AQ229*IF(B229&gt;=in_marketplace_from,d_hz_two_wheeler*G229,0)</f>
        <v/>
      </c>
      <c r="AS229" s="14">
        <f>F229*AR229*in_two_wheeler_ticket*in_two_wheeler_comm*in_ins_partner_share+F229*in_two_wheeler_ticket*in_two_wheeler_comm*in_ins_partner_share*(in_two_wheeler_renew^1*SUMIFS(AR179:AR235,B179:B235,B229-12)+in_two_wheeler_renew^2*SUMIFS(AR179:AR235,B179:B235,B229-24)+in_two_wheeler_renew^3*SUMIFS(AR179:AR235,B179:B235,B229-36)+in_two_wheeler_renew^4*SUMIFS(AR179:AR235,B179:B235,B229-48))</f>
        <v/>
      </c>
      <c r="AT229" s="40">
        <f>AT228*(1-IF(B228&gt;=in_marketplace_from,d_hz_device*G228,0))</f>
        <v/>
      </c>
      <c r="AU229" s="14">
        <f>F229*AT229*IF(B229&gt;=in_marketplace_from,d_hz_device*G229,0)*in_device_ticket*in_device_comm*in_ins_partner_share</f>
        <v/>
      </c>
      <c r="AV229" s="40">
        <f>AV228*(1-IF(B228&gt;=in_marketplace_from,d_hz_shop*G228,0))</f>
        <v/>
      </c>
      <c r="AW229" s="46">
        <f>AV229*IF(B229&gt;=in_marketplace_from,d_hz_shop*G229,0)</f>
        <v/>
      </c>
      <c r="AX229" s="14">
        <f>F229*AW229*in_shop_ticket*in_shop_comm*in_ins_partner_share+F229*in_shop_ticket*in_shop_renew_comm*in_ins_partner_share*(in_shop_renew^1*SUMIFS(AW179:AW235,B179:B235,B229-12)+in_shop_renew^2*SUMIFS(AW179:AW235,B179:B235,B229-24)+in_shop_renew^3*SUMIFS(AW179:AW235,B179:B235,B229-36)+in_shop_renew^4*SUMIFS(AW179:AW235,B179:B235,B229-48))</f>
        <v/>
      </c>
      <c r="AY229" s="40">
        <f>AY228*(1-IF(B228&gt;=in_marketplace_from,d_hz_sip*G228,0))</f>
        <v/>
      </c>
      <c r="AZ229" s="40">
        <f>AZ228*d_rho_sip+AY229*IF(B229&gt;=in_marketplace_from,d_hz_sip*G229,0)</f>
        <v/>
      </c>
      <c r="BA229" s="40">
        <f>d_rho_sip*(BA228+AZ228)</f>
        <v/>
      </c>
      <c r="BB229" s="14">
        <f>F229*in_sip_ticket*(BA229+0.5*AZ229)*in_sip_comm/12</f>
        <v/>
      </c>
      <c r="BC229" s="40">
        <f>BC228*(1-IF(B228&gt;=in_marketplace_from,d_hz_choti*G228,0))</f>
        <v/>
      </c>
      <c r="BD229" s="46">
        <f>BC229*IF(B229&gt;=in_marketplace_from,d_hz_choti*G229,0)</f>
        <v/>
      </c>
      <c r="BE229" s="14">
        <f>F229*SUMIFS(BD179:BD235,B179:B235,B229-in_choti_months)*in_choti_renew*in_choti_ticket</f>
        <v/>
      </c>
      <c r="BF229" s="40">
        <f>BF228*(1-IF(B228&gt;=in_marketplace_from,d_hz_nps*G228,0))</f>
        <v/>
      </c>
      <c r="BG229" s="14">
        <f>F229*BF229*IF(B229&gt;=in_marketplace_from,d_hz_nps*G229,0)*in_nps_ticket*in_nps_comm</f>
        <v/>
      </c>
      <c r="BH229" s="40">
        <f>BH228*(1-IF(B228&gt;=in_marketplace_from,d_hz_gold*G228,0))</f>
        <v/>
      </c>
      <c r="BI229" s="40">
        <f>BI228*d_rho_gold+BH229*IF(B229&gt;=in_marketplace_from,d_hz_gold*G229,0)</f>
        <v/>
      </c>
      <c r="BJ229" s="14">
        <f>F229*BI229*in_gold_ticket*in_gold_comm</f>
        <v/>
      </c>
      <c r="BK229" s="40">
        <f>BK228*(1-IF(B228&gt;=in_marketplace_from,d_hz_fd*G228,0))</f>
        <v/>
      </c>
      <c r="BL229" s="14">
        <f>F229*BK229*IF(B229&gt;=in_marketplace_from,d_hz_fd*G229,0)*in_fd_ticket*in_fd_comm</f>
        <v/>
      </c>
      <c r="BM229" s="40">
        <f>BM228*(1-IF(B228&gt;=in_marketplace_from,d_hz_recharge*G228,0))</f>
        <v/>
      </c>
      <c r="BN229" s="40">
        <f>BN228*d_rho_recharge+BM229*IF(B229&gt;=in_marketplace_from,d_hz_recharge*G229,0)</f>
        <v/>
      </c>
      <c r="BO229" s="14">
        <f>F229*BN229*in_recharge_ticket*in_recharge_comm/12</f>
        <v/>
      </c>
      <c r="BP229" s="40">
        <f>BP228*(1-IF(B228&gt;=in_marketplace_from,d_hz_bills*G228,0))</f>
        <v/>
      </c>
      <c r="BQ229" s="40">
        <f>BQ228*d_rho_bills+BP229*IF(B229&gt;=in_marketplace_from,d_hz_bills*G229,0)</f>
        <v/>
      </c>
      <c r="BR229" s="14">
        <f>F229*BQ229*in_bills_ticket*in_bills_comm/12</f>
        <v/>
      </c>
      <c r="BS229" s="40">
        <f>BS228*(1-IF(B228&gt;=in_marketplace_from,d_hz_loan_gold*G228,0))</f>
        <v/>
      </c>
      <c r="BT229" s="14">
        <f>F229*BS229*IF(B229&gt;=in_marketplace_from,d_hz_loan_gold*G229,0)*in_loan_gold_ticket*in_loan_gold_comm</f>
        <v/>
      </c>
      <c r="BU229" s="40">
        <f>BU228*(1-IF(B228&gt;=in_marketplace_from,d_hz_loan_cd*G228,0))</f>
        <v/>
      </c>
      <c r="BV229" s="14">
        <f>F229*BU229*IF(B229&gt;=in_marketplace_from,d_hz_loan_cd*G229,0)*in_loan_cd_ticket*in_loan_cd_comm</f>
        <v/>
      </c>
      <c r="BW229" s="40">
        <f>BW228*(1-IF(B228&gt;=in_marketplace_from,d_hz_loan_vehicle*G228,0))</f>
        <v/>
      </c>
      <c r="BX229" s="14">
        <f>F229*BW229*IF(B229&gt;=in_marketplace_from,d_hz_loan_vehicle*G229,0)*in_loan_vehicle_ticket*in_loan_vehicle_comm</f>
        <v/>
      </c>
      <c r="BY229" s="40">
        <f>BY228*(1-IF(B228&gt;=in_marketplace_from,d_hz_loan_home*G228,0)*BZ228)</f>
        <v/>
      </c>
      <c r="BZ229" s="11">
        <f>MIN(in_approval_cap,in_loan_home_approval*INDEX('Age profile'!$O$2:$O$61,B229)*(1+in_approval_growth)^(D229-1))</f>
        <v/>
      </c>
      <c r="CA229" s="14">
        <f>F229*BY229*IF(B229&gt;=in_marketplace_from,d_hz_loan_home*G229,0)*BZ229*in_loan_home_ticket*in_loan_home_comm</f>
        <v/>
      </c>
      <c r="CB229" s="40">
        <f>CB228*(1-IF(B228&gt;=in_marketplace_from,d_hz_loan_lap*G228,0)*CC228)</f>
        <v/>
      </c>
      <c r="CC229" s="11">
        <f>MIN(in_approval_cap,in_loan_lap_approval*INDEX('Age profile'!$O$2:$O$61,B229)*(1+in_approval_growth)^(D229-1))</f>
        <v/>
      </c>
      <c r="CD229" s="14">
        <f>F229*CB229*IF(B229&gt;=in_marketplace_from,d_hz_loan_lap*G229,0)*CC229*in_loan_lap_ticket*in_loan_lap_comm</f>
        <v/>
      </c>
      <c r="CE229" s="14">
        <f>AA229+AB229+AC229+AD229+AG229+AJ229+AM229+AP229+AS229+AU229+AX229+BB229+BE229+BG229+BJ229+BL229+BO229+BR229+BT229+BV229+BX229+CA229+CD229</f>
        <v/>
      </c>
    </row>
    <row r="230">
      <c r="A230" s="39" t="n">
        <v>4</v>
      </c>
      <c r="B230" s="39" t="n">
        <v>52</v>
      </c>
      <c r="C230" s="39">
        <f>A230+B230-1</f>
        <v/>
      </c>
      <c r="D230" s="39">
        <f>INT((C230-1)/12)+1</f>
        <v/>
      </c>
      <c r="E230" s="44">
        <f>INDEX(Monthly!$B$2:$B$61,A230)</f>
        <v/>
      </c>
      <c r="F230" s="44">
        <f>E230*INDEX('Age profile'!$B$2:$B$61,B230)</f>
        <v/>
      </c>
      <c r="G230" s="45">
        <f>MIN(in_takeup_cap,INDEX('Age profile'!$N$2:$N$61,B230)*(1+in_takeup_growth)^(D230-1))</f>
        <v/>
      </c>
      <c r="H230" s="11">
        <f>MIN(in_approval_cap,in_approved_first*INDEX('Age profile'!$O$2:$O$61,B230)*(1+in_approval_growth)^(D230-1))</f>
        <v/>
      </c>
      <c r="I230" s="45">
        <f>G230*MIN(in_takeup_cap,INDEX('Age profile'!$O$2:$O$61,B230)*(1+in_approval_growth)^(D230-1))</f>
        <v/>
      </c>
      <c r="J230" s="40">
        <f>(J229-L229)*F230/F229</f>
        <v/>
      </c>
      <c r="K230" s="40">
        <f>(K229-M229)*F230/F229+SUMIFS(O179:O229,B179:B229,B230-1-d_T)*F230</f>
        <v/>
      </c>
      <c r="L230" s="40">
        <f>IF(B230&gt;=in_marketplace_from,J230*d_hz*G230*in_eligible*H230,0)</f>
        <v/>
      </c>
      <c r="M230" s="40">
        <f>IF(B230&gt;=in_marketplace_from,K230*d_hz*G230*in_eligible*in_approved_repeat,0)</f>
        <v/>
      </c>
      <c r="N230" s="40">
        <f>L230+M230</f>
        <v/>
      </c>
      <c r="O230" s="46">
        <f>N230/F230</f>
        <v/>
      </c>
      <c r="P230" s="40">
        <f>F230-J230-K230</f>
        <v/>
      </c>
      <c r="Q230" s="40">
        <f>IF(B230&gt;=in_marketplace_from,(J230+K230)*d_hz*G230,0)</f>
        <v/>
      </c>
      <c r="R230" s="40">
        <f>SUMIFS(N179:N235,B179:B235,"&gt;="&amp;(B230-d_T),B179:B235,"&lt;="&amp;(B230-1))</f>
        <v/>
      </c>
      <c r="S230" s="46">
        <f>(1-d_u)*S229+IF(d_T&gt;in_topup_lag,SUMIFS(O179:O235,B179:B235,B230-in_topup_lag)-d_udrop*SUMIFS(O179:O235,B179:B235,B230-d_T),0)</f>
        <v/>
      </c>
      <c r="T230" s="40">
        <f>F230*d_u*S230</f>
        <v/>
      </c>
      <c r="U230" s="9">
        <f>L230*in_ticket+M230*d_rep_ticket</f>
        <v/>
      </c>
      <c r="V230" s="9">
        <f>U230+T230*d_topup_amt</f>
        <v/>
      </c>
      <c r="W230" s="40">
        <f>N230+T230*d_topup_ratio</f>
        <v/>
      </c>
      <c r="X230" s="40">
        <f>SUMIFS(W179:W235,B179:B235,B230-in_dpd_lag)*d_cured</f>
        <v/>
      </c>
      <c r="Y230" s="40">
        <f>SUMIFS(W179:W235,B179:B235,B230-in_rec_lag)*d_recd</f>
        <v/>
      </c>
      <c r="Z230" s="40">
        <f>IF(AND(B230&gt;=in_marketplace_from,B230&lt;in_marketplace_from+in_card_months),in_card_share/in_card_months*F230*I230,IF(AND(B230&gt;=in_marketplace_from+in_card_months,B230&lt;in_marketplace_from+2*in_card_months),in_card_share*d_card_rem/in_card_months*F230*MIN(in_takeup_cap,(1+in_takeup_growth)^(D230-1))*MIN(in_takeup_cap,(1+in_approval_growth)^(D230-1)),0))</f>
        <v/>
      </c>
      <c r="AA230" s="14">
        <f>V230*in_fee*(1-in_taken_back)</f>
        <v/>
      </c>
      <c r="AB230" s="14">
        <f>SUMIFS(W179:W235,B179:B235,B230-in_dpd_lag)*d_dpd</f>
        <v/>
      </c>
      <c r="AC230" s="14">
        <f>SUMIFS(W179:W235,B179:B235,B230-in_rec_lag)*d_rec</f>
        <v/>
      </c>
      <c r="AD230" s="14">
        <f>Z230*in_card_fee</f>
        <v/>
      </c>
      <c r="AE230" s="40">
        <f>AE229*(1-IF(B229&gt;=in_marketplace_from,d_hz_hlth_small*G229,0))</f>
        <v/>
      </c>
      <c r="AF230" s="46">
        <f>AE230*IF(B230&gt;=in_marketplace_from,d_hz_hlth_small*G230,0)</f>
        <v/>
      </c>
      <c r="AG230" s="14">
        <f>F230*AF230*in_hlth_small_ticket*in_hlth_small_comm*in_ins_partner_share+F230*in_hlth_small_ticket*in_hlth_small_renew_comm*in_ins_partner_share*(in_hlth_small_renew^1*SUMIFS(AF179:AF235,B179:B235,B230-12)+in_hlth_small_renew^2*SUMIFS(AF179:AF235,B179:B235,B230-24)+in_hlth_small_renew^3*SUMIFS(AF179:AF235,B179:B235,B230-36)+in_hlth_small_renew^4*SUMIFS(AF179:AF235,B179:B235,B230-48))</f>
        <v/>
      </c>
      <c r="AH230" s="40">
        <f>AH229*(1-IF(B229&gt;=in_marketplace_from,d_hz_hlth_family*G229,0))</f>
        <v/>
      </c>
      <c r="AI230" s="46">
        <f>AH230*IF(B230&gt;=in_marketplace_from,d_hz_hlth_family*G230,0)</f>
        <v/>
      </c>
      <c r="AJ230" s="14">
        <f>F230*AI230*in_hlth_family_ticket*in_hlth_family_comm*in_ins_partner_share+F230*in_hlth_family_ticket*in_hlth_family_renew_comm*in_ins_partner_share*(in_hlth_family_renew^1*SUMIFS(AI179:AI235,B179:B235,B230-12)+in_hlth_family_renew^2*SUMIFS(AI179:AI235,B179:B235,B230-24)+in_hlth_family_renew^3*SUMIFS(AI179:AI235,B179:B235,B230-36)+in_hlth_family_renew^4*SUMIFS(AI179:AI235,B179:B235,B230-48))</f>
        <v/>
      </c>
      <c r="AK230" s="40">
        <f>AK229*(1-IF(B229&gt;=in_marketplace_from,d_hz_life_term*G229,0))</f>
        <v/>
      </c>
      <c r="AL230" s="46">
        <f>AK230*IF(B230&gt;=in_marketplace_from,d_hz_life_term*G230,0)</f>
        <v/>
      </c>
      <c r="AM230" s="14">
        <f>F230*AL230*in_life_term_ticket*in_life_term_comm*in_ins_partner_share+F230*in_life_term_ticket*in_life_term_renew_comm*in_ins_partner_share*(in_life_term_renew^1*SUMIFS(AL179:AL235,B179:B235,B230-12)+in_life_term_renew^2*SUMIFS(AL179:AL235,B179:B235,B230-24)+in_life_term_renew^3*SUMIFS(AL179:AL235,B179:B235,B230-36)+in_life_term_renew^4*SUMIFS(AL179:AL235,B179:B235,B230-48))</f>
        <v/>
      </c>
      <c r="AN230" s="40">
        <f>AN229*(1-IF(B229&gt;=in_marketplace_from,d_hz_accident*G229,0))</f>
        <v/>
      </c>
      <c r="AO230" s="46">
        <f>AN230*IF(B230&gt;=in_marketplace_from,d_hz_accident*G230,0)</f>
        <v/>
      </c>
      <c r="AP230" s="14">
        <f>F230*AO230*in_accident_ticket*in_accident_comm*in_ins_partner_share+F230*in_accident_ticket*in_accident_renew_comm*in_ins_partner_share*(in_accident_renew^1*SUMIFS(AO179:AO235,B179:B235,B230-12)+in_accident_renew^2*SUMIFS(AO179:AO235,B179:B235,B230-24)+in_accident_renew^3*SUMIFS(AO179:AO235,B179:B235,B230-36)+in_accident_renew^4*SUMIFS(AO179:AO235,B179:B235,B230-48))</f>
        <v/>
      </c>
      <c r="AQ230" s="40">
        <f>AQ229*(1-IF(B229&gt;=in_marketplace_from,d_hz_two_wheeler*G229,0))</f>
        <v/>
      </c>
      <c r="AR230" s="46">
        <f>AQ230*IF(B230&gt;=in_marketplace_from,d_hz_two_wheeler*G230,0)</f>
        <v/>
      </c>
      <c r="AS230" s="14">
        <f>F230*AR230*in_two_wheeler_ticket*in_two_wheeler_comm*in_ins_partner_share+F230*in_two_wheeler_ticket*in_two_wheeler_comm*in_ins_partner_share*(in_two_wheeler_renew^1*SUMIFS(AR179:AR235,B179:B235,B230-12)+in_two_wheeler_renew^2*SUMIFS(AR179:AR235,B179:B235,B230-24)+in_two_wheeler_renew^3*SUMIFS(AR179:AR235,B179:B235,B230-36)+in_two_wheeler_renew^4*SUMIFS(AR179:AR235,B179:B235,B230-48))</f>
        <v/>
      </c>
      <c r="AT230" s="40">
        <f>AT229*(1-IF(B229&gt;=in_marketplace_from,d_hz_device*G229,0))</f>
        <v/>
      </c>
      <c r="AU230" s="14">
        <f>F230*AT230*IF(B230&gt;=in_marketplace_from,d_hz_device*G230,0)*in_device_ticket*in_device_comm*in_ins_partner_share</f>
        <v/>
      </c>
      <c r="AV230" s="40">
        <f>AV229*(1-IF(B229&gt;=in_marketplace_from,d_hz_shop*G229,0))</f>
        <v/>
      </c>
      <c r="AW230" s="46">
        <f>AV230*IF(B230&gt;=in_marketplace_from,d_hz_shop*G230,0)</f>
        <v/>
      </c>
      <c r="AX230" s="14">
        <f>F230*AW230*in_shop_ticket*in_shop_comm*in_ins_partner_share+F230*in_shop_ticket*in_shop_renew_comm*in_ins_partner_share*(in_shop_renew^1*SUMIFS(AW179:AW235,B179:B235,B230-12)+in_shop_renew^2*SUMIFS(AW179:AW235,B179:B235,B230-24)+in_shop_renew^3*SUMIFS(AW179:AW235,B179:B235,B230-36)+in_shop_renew^4*SUMIFS(AW179:AW235,B179:B235,B230-48))</f>
        <v/>
      </c>
      <c r="AY230" s="40">
        <f>AY229*(1-IF(B229&gt;=in_marketplace_from,d_hz_sip*G229,0))</f>
        <v/>
      </c>
      <c r="AZ230" s="40">
        <f>AZ229*d_rho_sip+AY230*IF(B230&gt;=in_marketplace_from,d_hz_sip*G230,0)</f>
        <v/>
      </c>
      <c r="BA230" s="40">
        <f>d_rho_sip*(BA229+AZ229)</f>
        <v/>
      </c>
      <c r="BB230" s="14">
        <f>F230*in_sip_ticket*(BA230+0.5*AZ230)*in_sip_comm/12</f>
        <v/>
      </c>
      <c r="BC230" s="40">
        <f>BC229*(1-IF(B229&gt;=in_marketplace_from,d_hz_choti*G229,0))</f>
        <v/>
      </c>
      <c r="BD230" s="46">
        <f>BC230*IF(B230&gt;=in_marketplace_from,d_hz_choti*G230,0)</f>
        <v/>
      </c>
      <c r="BE230" s="14">
        <f>F230*SUMIFS(BD179:BD235,B179:B235,B230-in_choti_months)*in_choti_renew*in_choti_ticket</f>
        <v/>
      </c>
      <c r="BF230" s="40">
        <f>BF229*(1-IF(B229&gt;=in_marketplace_from,d_hz_nps*G229,0))</f>
        <v/>
      </c>
      <c r="BG230" s="14">
        <f>F230*BF230*IF(B230&gt;=in_marketplace_from,d_hz_nps*G230,0)*in_nps_ticket*in_nps_comm</f>
        <v/>
      </c>
      <c r="BH230" s="40">
        <f>BH229*(1-IF(B229&gt;=in_marketplace_from,d_hz_gold*G229,0))</f>
        <v/>
      </c>
      <c r="BI230" s="40">
        <f>BI229*d_rho_gold+BH230*IF(B230&gt;=in_marketplace_from,d_hz_gold*G230,0)</f>
        <v/>
      </c>
      <c r="BJ230" s="14">
        <f>F230*BI230*in_gold_ticket*in_gold_comm</f>
        <v/>
      </c>
      <c r="BK230" s="40">
        <f>BK229*(1-IF(B229&gt;=in_marketplace_from,d_hz_fd*G229,0))</f>
        <v/>
      </c>
      <c r="BL230" s="14">
        <f>F230*BK230*IF(B230&gt;=in_marketplace_from,d_hz_fd*G230,0)*in_fd_ticket*in_fd_comm</f>
        <v/>
      </c>
      <c r="BM230" s="40">
        <f>BM229*(1-IF(B229&gt;=in_marketplace_from,d_hz_recharge*G229,0))</f>
        <v/>
      </c>
      <c r="BN230" s="40">
        <f>BN229*d_rho_recharge+BM230*IF(B230&gt;=in_marketplace_from,d_hz_recharge*G230,0)</f>
        <v/>
      </c>
      <c r="BO230" s="14">
        <f>F230*BN230*in_recharge_ticket*in_recharge_comm/12</f>
        <v/>
      </c>
      <c r="BP230" s="40">
        <f>BP229*(1-IF(B229&gt;=in_marketplace_from,d_hz_bills*G229,0))</f>
        <v/>
      </c>
      <c r="BQ230" s="40">
        <f>BQ229*d_rho_bills+BP230*IF(B230&gt;=in_marketplace_from,d_hz_bills*G230,0)</f>
        <v/>
      </c>
      <c r="BR230" s="14">
        <f>F230*BQ230*in_bills_ticket*in_bills_comm/12</f>
        <v/>
      </c>
      <c r="BS230" s="40">
        <f>BS229*(1-IF(B229&gt;=in_marketplace_from,d_hz_loan_gold*G229,0))</f>
        <v/>
      </c>
      <c r="BT230" s="14">
        <f>F230*BS230*IF(B230&gt;=in_marketplace_from,d_hz_loan_gold*G230,0)*in_loan_gold_ticket*in_loan_gold_comm</f>
        <v/>
      </c>
      <c r="BU230" s="40">
        <f>BU229*(1-IF(B229&gt;=in_marketplace_from,d_hz_loan_cd*G229,0))</f>
        <v/>
      </c>
      <c r="BV230" s="14">
        <f>F230*BU230*IF(B230&gt;=in_marketplace_from,d_hz_loan_cd*G230,0)*in_loan_cd_ticket*in_loan_cd_comm</f>
        <v/>
      </c>
      <c r="BW230" s="40">
        <f>BW229*(1-IF(B229&gt;=in_marketplace_from,d_hz_loan_vehicle*G229,0))</f>
        <v/>
      </c>
      <c r="BX230" s="14">
        <f>F230*BW230*IF(B230&gt;=in_marketplace_from,d_hz_loan_vehicle*G230,0)*in_loan_vehicle_ticket*in_loan_vehicle_comm</f>
        <v/>
      </c>
      <c r="BY230" s="40">
        <f>BY229*(1-IF(B229&gt;=in_marketplace_from,d_hz_loan_home*G229,0)*BZ229)</f>
        <v/>
      </c>
      <c r="BZ230" s="11">
        <f>MIN(in_approval_cap,in_loan_home_approval*INDEX('Age profile'!$O$2:$O$61,B230)*(1+in_approval_growth)^(D230-1))</f>
        <v/>
      </c>
      <c r="CA230" s="14">
        <f>F230*BY230*IF(B230&gt;=in_marketplace_from,d_hz_loan_home*G230,0)*BZ230*in_loan_home_ticket*in_loan_home_comm</f>
        <v/>
      </c>
      <c r="CB230" s="40">
        <f>CB229*(1-IF(B229&gt;=in_marketplace_from,d_hz_loan_lap*G229,0)*CC229)</f>
        <v/>
      </c>
      <c r="CC230" s="11">
        <f>MIN(in_approval_cap,in_loan_lap_approval*INDEX('Age profile'!$O$2:$O$61,B230)*(1+in_approval_growth)^(D230-1))</f>
        <v/>
      </c>
      <c r="CD230" s="14">
        <f>F230*CB230*IF(B230&gt;=in_marketplace_from,d_hz_loan_lap*G230,0)*CC230*in_loan_lap_ticket*in_loan_lap_comm</f>
        <v/>
      </c>
      <c r="CE230" s="14">
        <f>AA230+AB230+AC230+AD230+AG230+AJ230+AM230+AP230+AS230+AU230+AX230+BB230+BE230+BG230+BJ230+BL230+BO230+BR230+BT230+BV230+BX230+CA230+CD230</f>
        <v/>
      </c>
    </row>
    <row r="231">
      <c r="A231" s="39" t="n">
        <v>4</v>
      </c>
      <c r="B231" s="39" t="n">
        <v>53</v>
      </c>
      <c r="C231" s="39">
        <f>A231+B231-1</f>
        <v/>
      </c>
      <c r="D231" s="39">
        <f>INT((C231-1)/12)+1</f>
        <v/>
      </c>
      <c r="E231" s="44">
        <f>INDEX(Monthly!$B$2:$B$61,A231)</f>
        <v/>
      </c>
      <c r="F231" s="44">
        <f>E231*INDEX('Age profile'!$B$2:$B$61,B231)</f>
        <v/>
      </c>
      <c r="G231" s="45">
        <f>MIN(in_takeup_cap,INDEX('Age profile'!$N$2:$N$61,B231)*(1+in_takeup_growth)^(D231-1))</f>
        <v/>
      </c>
      <c r="H231" s="11">
        <f>MIN(in_approval_cap,in_approved_first*INDEX('Age profile'!$O$2:$O$61,B231)*(1+in_approval_growth)^(D231-1))</f>
        <v/>
      </c>
      <c r="I231" s="45">
        <f>G231*MIN(in_takeup_cap,INDEX('Age profile'!$O$2:$O$61,B231)*(1+in_approval_growth)^(D231-1))</f>
        <v/>
      </c>
      <c r="J231" s="40">
        <f>(J230-L230)*F231/F230</f>
        <v/>
      </c>
      <c r="K231" s="40">
        <f>(K230-M230)*F231/F230+SUMIFS(O179:O230,B179:B230,B231-1-d_T)*F231</f>
        <v/>
      </c>
      <c r="L231" s="40">
        <f>IF(B231&gt;=in_marketplace_from,J231*d_hz*G231*in_eligible*H231,0)</f>
        <v/>
      </c>
      <c r="M231" s="40">
        <f>IF(B231&gt;=in_marketplace_from,K231*d_hz*G231*in_eligible*in_approved_repeat,0)</f>
        <v/>
      </c>
      <c r="N231" s="40">
        <f>L231+M231</f>
        <v/>
      </c>
      <c r="O231" s="46">
        <f>N231/F231</f>
        <v/>
      </c>
      <c r="P231" s="40">
        <f>F231-J231-K231</f>
        <v/>
      </c>
      <c r="Q231" s="40">
        <f>IF(B231&gt;=in_marketplace_from,(J231+K231)*d_hz*G231,0)</f>
        <v/>
      </c>
      <c r="R231" s="40">
        <f>SUMIFS(N179:N235,B179:B235,"&gt;="&amp;(B231-d_T),B179:B235,"&lt;="&amp;(B231-1))</f>
        <v/>
      </c>
      <c r="S231" s="46">
        <f>(1-d_u)*S230+IF(d_T&gt;in_topup_lag,SUMIFS(O179:O235,B179:B235,B231-in_topup_lag)-d_udrop*SUMIFS(O179:O235,B179:B235,B231-d_T),0)</f>
        <v/>
      </c>
      <c r="T231" s="40">
        <f>F231*d_u*S231</f>
        <v/>
      </c>
      <c r="U231" s="9">
        <f>L231*in_ticket+M231*d_rep_ticket</f>
        <v/>
      </c>
      <c r="V231" s="9">
        <f>U231+T231*d_topup_amt</f>
        <v/>
      </c>
      <c r="W231" s="40">
        <f>N231+T231*d_topup_ratio</f>
        <v/>
      </c>
      <c r="X231" s="40">
        <f>SUMIFS(W179:W235,B179:B235,B231-in_dpd_lag)*d_cured</f>
        <v/>
      </c>
      <c r="Y231" s="40">
        <f>SUMIFS(W179:W235,B179:B235,B231-in_rec_lag)*d_recd</f>
        <v/>
      </c>
      <c r="Z231" s="40">
        <f>IF(AND(B231&gt;=in_marketplace_from,B231&lt;in_marketplace_from+in_card_months),in_card_share/in_card_months*F231*I231,IF(AND(B231&gt;=in_marketplace_from+in_card_months,B231&lt;in_marketplace_from+2*in_card_months),in_card_share*d_card_rem/in_card_months*F231*MIN(in_takeup_cap,(1+in_takeup_growth)^(D231-1))*MIN(in_takeup_cap,(1+in_approval_growth)^(D231-1)),0))</f>
        <v/>
      </c>
      <c r="AA231" s="14">
        <f>V231*in_fee*(1-in_taken_back)</f>
        <v/>
      </c>
      <c r="AB231" s="14">
        <f>SUMIFS(W179:W235,B179:B235,B231-in_dpd_lag)*d_dpd</f>
        <v/>
      </c>
      <c r="AC231" s="14">
        <f>SUMIFS(W179:W235,B179:B235,B231-in_rec_lag)*d_rec</f>
        <v/>
      </c>
      <c r="AD231" s="14">
        <f>Z231*in_card_fee</f>
        <v/>
      </c>
      <c r="AE231" s="40">
        <f>AE230*(1-IF(B230&gt;=in_marketplace_from,d_hz_hlth_small*G230,0))</f>
        <v/>
      </c>
      <c r="AF231" s="46">
        <f>AE231*IF(B231&gt;=in_marketplace_from,d_hz_hlth_small*G231,0)</f>
        <v/>
      </c>
      <c r="AG231" s="14">
        <f>F231*AF231*in_hlth_small_ticket*in_hlth_small_comm*in_ins_partner_share+F231*in_hlth_small_ticket*in_hlth_small_renew_comm*in_ins_partner_share*(in_hlth_small_renew^1*SUMIFS(AF179:AF235,B179:B235,B231-12)+in_hlth_small_renew^2*SUMIFS(AF179:AF235,B179:B235,B231-24)+in_hlth_small_renew^3*SUMIFS(AF179:AF235,B179:B235,B231-36)+in_hlth_small_renew^4*SUMIFS(AF179:AF235,B179:B235,B231-48))</f>
        <v/>
      </c>
      <c r="AH231" s="40">
        <f>AH230*(1-IF(B230&gt;=in_marketplace_from,d_hz_hlth_family*G230,0))</f>
        <v/>
      </c>
      <c r="AI231" s="46">
        <f>AH231*IF(B231&gt;=in_marketplace_from,d_hz_hlth_family*G231,0)</f>
        <v/>
      </c>
      <c r="AJ231" s="14">
        <f>F231*AI231*in_hlth_family_ticket*in_hlth_family_comm*in_ins_partner_share+F231*in_hlth_family_ticket*in_hlth_family_renew_comm*in_ins_partner_share*(in_hlth_family_renew^1*SUMIFS(AI179:AI235,B179:B235,B231-12)+in_hlth_family_renew^2*SUMIFS(AI179:AI235,B179:B235,B231-24)+in_hlth_family_renew^3*SUMIFS(AI179:AI235,B179:B235,B231-36)+in_hlth_family_renew^4*SUMIFS(AI179:AI235,B179:B235,B231-48))</f>
        <v/>
      </c>
      <c r="AK231" s="40">
        <f>AK230*(1-IF(B230&gt;=in_marketplace_from,d_hz_life_term*G230,0))</f>
        <v/>
      </c>
      <c r="AL231" s="46">
        <f>AK231*IF(B231&gt;=in_marketplace_from,d_hz_life_term*G231,0)</f>
        <v/>
      </c>
      <c r="AM231" s="14">
        <f>F231*AL231*in_life_term_ticket*in_life_term_comm*in_ins_partner_share+F231*in_life_term_ticket*in_life_term_renew_comm*in_ins_partner_share*(in_life_term_renew^1*SUMIFS(AL179:AL235,B179:B235,B231-12)+in_life_term_renew^2*SUMIFS(AL179:AL235,B179:B235,B231-24)+in_life_term_renew^3*SUMIFS(AL179:AL235,B179:B235,B231-36)+in_life_term_renew^4*SUMIFS(AL179:AL235,B179:B235,B231-48))</f>
        <v/>
      </c>
      <c r="AN231" s="40">
        <f>AN230*(1-IF(B230&gt;=in_marketplace_from,d_hz_accident*G230,0))</f>
        <v/>
      </c>
      <c r="AO231" s="46">
        <f>AN231*IF(B231&gt;=in_marketplace_from,d_hz_accident*G231,0)</f>
        <v/>
      </c>
      <c r="AP231" s="14">
        <f>F231*AO231*in_accident_ticket*in_accident_comm*in_ins_partner_share+F231*in_accident_ticket*in_accident_renew_comm*in_ins_partner_share*(in_accident_renew^1*SUMIFS(AO179:AO235,B179:B235,B231-12)+in_accident_renew^2*SUMIFS(AO179:AO235,B179:B235,B231-24)+in_accident_renew^3*SUMIFS(AO179:AO235,B179:B235,B231-36)+in_accident_renew^4*SUMIFS(AO179:AO235,B179:B235,B231-48))</f>
        <v/>
      </c>
      <c r="AQ231" s="40">
        <f>AQ230*(1-IF(B230&gt;=in_marketplace_from,d_hz_two_wheeler*G230,0))</f>
        <v/>
      </c>
      <c r="AR231" s="46">
        <f>AQ231*IF(B231&gt;=in_marketplace_from,d_hz_two_wheeler*G231,0)</f>
        <v/>
      </c>
      <c r="AS231" s="14">
        <f>F231*AR231*in_two_wheeler_ticket*in_two_wheeler_comm*in_ins_partner_share+F231*in_two_wheeler_ticket*in_two_wheeler_comm*in_ins_partner_share*(in_two_wheeler_renew^1*SUMIFS(AR179:AR235,B179:B235,B231-12)+in_two_wheeler_renew^2*SUMIFS(AR179:AR235,B179:B235,B231-24)+in_two_wheeler_renew^3*SUMIFS(AR179:AR235,B179:B235,B231-36)+in_two_wheeler_renew^4*SUMIFS(AR179:AR235,B179:B235,B231-48))</f>
        <v/>
      </c>
      <c r="AT231" s="40">
        <f>AT230*(1-IF(B230&gt;=in_marketplace_from,d_hz_device*G230,0))</f>
        <v/>
      </c>
      <c r="AU231" s="14">
        <f>F231*AT231*IF(B231&gt;=in_marketplace_from,d_hz_device*G231,0)*in_device_ticket*in_device_comm*in_ins_partner_share</f>
        <v/>
      </c>
      <c r="AV231" s="40">
        <f>AV230*(1-IF(B230&gt;=in_marketplace_from,d_hz_shop*G230,0))</f>
        <v/>
      </c>
      <c r="AW231" s="46">
        <f>AV231*IF(B231&gt;=in_marketplace_from,d_hz_shop*G231,0)</f>
        <v/>
      </c>
      <c r="AX231" s="14">
        <f>F231*AW231*in_shop_ticket*in_shop_comm*in_ins_partner_share+F231*in_shop_ticket*in_shop_renew_comm*in_ins_partner_share*(in_shop_renew^1*SUMIFS(AW179:AW235,B179:B235,B231-12)+in_shop_renew^2*SUMIFS(AW179:AW235,B179:B235,B231-24)+in_shop_renew^3*SUMIFS(AW179:AW235,B179:B235,B231-36)+in_shop_renew^4*SUMIFS(AW179:AW235,B179:B235,B231-48))</f>
        <v/>
      </c>
      <c r="AY231" s="40">
        <f>AY230*(1-IF(B230&gt;=in_marketplace_from,d_hz_sip*G230,0))</f>
        <v/>
      </c>
      <c r="AZ231" s="40">
        <f>AZ230*d_rho_sip+AY231*IF(B231&gt;=in_marketplace_from,d_hz_sip*G231,0)</f>
        <v/>
      </c>
      <c r="BA231" s="40">
        <f>d_rho_sip*(BA230+AZ230)</f>
        <v/>
      </c>
      <c r="BB231" s="14">
        <f>F231*in_sip_ticket*(BA231+0.5*AZ231)*in_sip_comm/12</f>
        <v/>
      </c>
      <c r="BC231" s="40">
        <f>BC230*(1-IF(B230&gt;=in_marketplace_from,d_hz_choti*G230,0))</f>
        <v/>
      </c>
      <c r="BD231" s="46">
        <f>BC231*IF(B231&gt;=in_marketplace_from,d_hz_choti*G231,0)</f>
        <v/>
      </c>
      <c r="BE231" s="14">
        <f>F231*SUMIFS(BD179:BD235,B179:B235,B231-in_choti_months)*in_choti_renew*in_choti_ticket</f>
        <v/>
      </c>
      <c r="BF231" s="40">
        <f>BF230*(1-IF(B230&gt;=in_marketplace_from,d_hz_nps*G230,0))</f>
        <v/>
      </c>
      <c r="BG231" s="14">
        <f>F231*BF231*IF(B231&gt;=in_marketplace_from,d_hz_nps*G231,0)*in_nps_ticket*in_nps_comm</f>
        <v/>
      </c>
      <c r="BH231" s="40">
        <f>BH230*(1-IF(B230&gt;=in_marketplace_from,d_hz_gold*G230,0))</f>
        <v/>
      </c>
      <c r="BI231" s="40">
        <f>BI230*d_rho_gold+BH231*IF(B231&gt;=in_marketplace_from,d_hz_gold*G231,0)</f>
        <v/>
      </c>
      <c r="BJ231" s="14">
        <f>F231*BI231*in_gold_ticket*in_gold_comm</f>
        <v/>
      </c>
      <c r="BK231" s="40">
        <f>BK230*(1-IF(B230&gt;=in_marketplace_from,d_hz_fd*G230,0))</f>
        <v/>
      </c>
      <c r="BL231" s="14">
        <f>F231*BK231*IF(B231&gt;=in_marketplace_from,d_hz_fd*G231,0)*in_fd_ticket*in_fd_comm</f>
        <v/>
      </c>
      <c r="BM231" s="40">
        <f>BM230*(1-IF(B230&gt;=in_marketplace_from,d_hz_recharge*G230,0))</f>
        <v/>
      </c>
      <c r="BN231" s="40">
        <f>BN230*d_rho_recharge+BM231*IF(B231&gt;=in_marketplace_from,d_hz_recharge*G231,0)</f>
        <v/>
      </c>
      <c r="BO231" s="14">
        <f>F231*BN231*in_recharge_ticket*in_recharge_comm/12</f>
        <v/>
      </c>
      <c r="BP231" s="40">
        <f>BP230*(1-IF(B230&gt;=in_marketplace_from,d_hz_bills*G230,0))</f>
        <v/>
      </c>
      <c r="BQ231" s="40">
        <f>BQ230*d_rho_bills+BP231*IF(B231&gt;=in_marketplace_from,d_hz_bills*G231,0)</f>
        <v/>
      </c>
      <c r="BR231" s="14">
        <f>F231*BQ231*in_bills_ticket*in_bills_comm/12</f>
        <v/>
      </c>
      <c r="BS231" s="40">
        <f>BS230*(1-IF(B230&gt;=in_marketplace_from,d_hz_loan_gold*G230,0))</f>
        <v/>
      </c>
      <c r="BT231" s="14">
        <f>F231*BS231*IF(B231&gt;=in_marketplace_from,d_hz_loan_gold*G231,0)*in_loan_gold_ticket*in_loan_gold_comm</f>
        <v/>
      </c>
      <c r="BU231" s="40">
        <f>BU230*(1-IF(B230&gt;=in_marketplace_from,d_hz_loan_cd*G230,0))</f>
        <v/>
      </c>
      <c r="BV231" s="14">
        <f>F231*BU231*IF(B231&gt;=in_marketplace_from,d_hz_loan_cd*G231,0)*in_loan_cd_ticket*in_loan_cd_comm</f>
        <v/>
      </c>
      <c r="BW231" s="40">
        <f>BW230*(1-IF(B230&gt;=in_marketplace_from,d_hz_loan_vehicle*G230,0))</f>
        <v/>
      </c>
      <c r="BX231" s="14">
        <f>F231*BW231*IF(B231&gt;=in_marketplace_from,d_hz_loan_vehicle*G231,0)*in_loan_vehicle_ticket*in_loan_vehicle_comm</f>
        <v/>
      </c>
      <c r="BY231" s="40">
        <f>BY230*(1-IF(B230&gt;=in_marketplace_from,d_hz_loan_home*G230,0)*BZ230)</f>
        <v/>
      </c>
      <c r="BZ231" s="11">
        <f>MIN(in_approval_cap,in_loan_home_approval*INDEX('Age profile'!$O$2:$O$61,B231)*(1+in_approval_growth)^(D231-1))</f>
        <v/>
      </c>
      <c r="CA231" s="14">
        <f>F231*BY231*IF(B231&gt;=in_marketplace_from,d_hz_loan_home*G231,0)*BZ231*in_loan_home_ticket*in_loan_home_comm</f>
        <v/>
      </c>
      <c r="CB231" s="40">
        <f>CB230*(1-IF(B230&gt;=in_marketplace_from,d_hz_loan_lap*G230,0)*CC230)</f>
        <v/>
      </c>
      <c r="CC231" s="11">
        <f>MIN(in_approval_cap,in_loan_lap_approval*INDEX('Age profile'!$O$2:$O$61,B231)*(1+in_approval_growth)^(D231-1))</f>
        <v/>
      </c>
      <c r="CD231" s="14">
        <f>F231*CB231*IF(B231&gt;=in_marketplace_from,d_hz_loan_lap*G231,0)*CC231*in_loan_lap_ticket*in_loan_lap_comm</f>
        <v/>
      </c>
      <c r="CE231" s="14">
        <f>AA231+AB231+AC231+AD231+AG231+AJ231+AM231+AP231+AS231+AU231+AX231+BB231+BE231+BG231+BJ231+BL231+BO231+BR231+BT231+BV231+BX231+CA231+CD231</f>
        <v/>
      </c>
    </row>
    <row r="232">
      <c r="A232" s="39" t="n">
        <v>4</v>
      </c>
      <c r="B232" s="39" t="n">
        <v>54</v>
      </c>
      <c r="C232" s="39">
        <f>A232+B232-1</f>
        <v/>
      </c>
      <c r="D232" s="39">
        <f>INT((C232-1)/12)+1</f>
        <v/>
      </c>
      <c r="E232" s="44">
        <f>INDEX(Monthly!$B$2:$B$61,A232)</f>
        <v/>
      </c>
      <c r="F232" s="44">
        <f>E232*INDEX('Age profile'!$B$2:$B$61,B232)</f>
        <v/>
      </c>
      <c r="G232" s="45">
        <f>MIN(in_takeup_cap,INDEX('Age profile'!$N$2:$N$61,B232)*(1+in_takeup_growth)^(D232-1))</f>
        <v/>
      </c>
      <c r="H232" s="11">
        <f>MIN(in_approval_cap,in_approved_first*INDEX('Age profile'!$O$2:$O$61,B232)*(1+in_approval_growth)^(D232-1))</f>
        <v/>
      </c>
      <c r="I232" s="45">
        <f>G232*MIN(in_takeup_cap,INDEX('Age profile'!$O$2:$O$61,B232)*(1+in_approval_growth)^(D232-1))</f>
        <v/>
      </c>
      <c r="J232" s="40">
        <f>(J231-L231)*F232/F231</f>
        <v/>
      </c>
      <c r="K232" s="40">
        <f>(K231-M231)*F232/F231+SUMIFS(O179:O231,B179:B231,B232-1-d_T)*F232</f>
        <v/>
      </c>
      <c r="L232" s="40">
        <f>IF(B232&gt;=in_marketplace_from,J232*d_hz*G232*in_eligible*H232,0)</f>
        <v/>
      </c>
      <c r="M232" s="40">
        <f>IF(B232&gt;=in_marketplace_from,K232*d_hz*G232*in_eligible*in_approved_repeat,0)</f>
        <v/>
      </c>
      <c r="N232" s="40">
        <f>L232+M232</f>
        <v/>
      </c>
      <c r="O232" s="46">
        <f>N232/F232</f>
        <v/>
      </c>
      <c r="P232" s="40">
        <f>F232-J232-K232</f>
        <v/>
      </c>
      <c r="Q232" s="40">
        <f>IF(B232&gt;=in_marketplace_from,(J232+K232)*d_hz*G232,0)</f>
        <v/>
      </c>
      <c r="R232" s="40">
        <f>SUMIFS(N179:N235,B179:B235,"&gt;="&amp;(B232-d_T),B179:B235,"&lt;="&amp;(B232-1))</f>
        <v/>
      </c>
      <c r="S232" s="46">
        <f>(1-d_u)*S231+IF(d_T&gt;in_topup_lag,SUMIFS(O179:O235,B179:B235,B232-in_topup_lag)-d_udrop*SUMIFS(O179:O235,B179:B235,B232-d_T),0)</f>
        <v/>
      </c>
      <c r="T232" s="40">
        <f>F232*d_u*S232</f>
        <v/>
      </c>
      <c r="U232" s="9">
        <f>L232*in_ticket+M232*d_rep_ticket</f>
        <v/>
      </c>
      <c r="V232" s="9">
        <f>U232+T232*d_topup_amt</f>
        <v/>
      </c>
      <c r="W232" s="40">
        <f>N232+T232*d_topup_ratio</f>
        <v/>
      </c>
      <c r="X232" s="40">
        <f>SUMIFS(W179:W235,B179:B235,B232-in_dpd_lag)*d_cured</f>
        <v/>
      </c>
      <c r="Y232" s="40">
        <f>SUMIFS(W179:W235,B179:B235,B232-in_rec_lag)*d_recd</f>
        <v/>
      </c>
      <c r="Z232" s="40">
        <f>IF(AND(B232&gt;=in_marketplace_from,B232&lt;in_marketplace_from+in_card_months),in_card_share/in_card_months*F232*I232,IF(AND(B232&gt;=in_marketplace_from+in_card_months,B232&lt;in_marketplace_from+2*in_card_months),in_card_share*d_card_rem/in_card_months*F232*MIN(in_takeup_cap,(1+in_takeup_growth)^(D232-1))*MIN(in_takeup_cap,(1+in_approval_growth)^(D232-1)),0))</f>
        <v/>
      </c>
      <c r="AA232" s="14">
        <f>V232*in_fee*(1-in_taken_back)</f>
        <v/>
      </c>
      <c r="AB232" s="14">
        <f>SUMIFS(W179:W235,B179:B235,B232-in_dpd_lag)*d_dpd</f>
        <v/>
      </c>
      <c r="AC232" s="14">
        <f>SUMIFS(W179:W235,B179:B235,B232-in_rec_lag)*d_rec</f>
        <v/>
      </c>
      <c r="AD232" s="14">
        <f>Z232*in_card_fee</f>
        <v/>
      </c>
      <c r="AE232" s="40">
        <f>AE231*(1-IF(B231&gt;=in_marketplace_from,d_hz_hlth_small*G231,0))</f>
        <v/>
      </c>
      <c r="AF232" s="46">
        <f>AE232*IF(B232&gt;=in_marketplace_from,d_hz_hlth_small*G232,0)</f>
        <v/>
      </c>
      <c r="AG232" s="14">
        <f>F232*AF232*in_hlth_small_ticket*in_hlth_small_comm*in_ins_partner_share+F232*in_hlth_small_ticket*in_hlth_small_renew_comm*in_ins_partner_share*(in_hlth_small_renew^1*SUMIFS(AF179:AF235,B179:B235,B232-12)+in_hlth_small_renew^2*SUMIFS(AF179:AF235,B179:B235,B232-24)+in_hlth_small_renew^3*SUMIFS(AF179:AF235,B179:B235,B232-36)+in_hlth_small_renew^4*SUMIFS(AF179:AF235,B179:B235,B232-48))</f>
        <v/>
      </c>
      <c r="AH232" s="40">
        <f>AH231*(1-IF(B231&gt;=in_marketplace_from,d_hz_hlth_family*G231,0))</f>
        <v/>
      </c>
      <c r="AI232" s="46">
        <f>AH232*IF(B232&gt;=in_marketplace_from,d_hz_hlth_family*G232,0)</f>
        <v/>
      </c>
      <c r="AJ232" s="14">
        <f>F232*AI232*in_hlth_family_ticket*in_hlth_family_comm*in_ins_partner_share+F232*in_hlth_family_ticket*in_hlth_family_renew_comm*in_ins_partner_share*(in_hlth_family_renew^1*SUMIFS(AI179:AI235,B179:B235,B232-12)+in_hlth_family_renew^2*SUMIFS(AI179:AI235,B179:B235,B232-24)+in_hlth_family_renew^3*SUMIFS(AI179:AI235,B179:B235,B232-36)+in_hlth_family_renew^4*SUMIFS(AI179:AI235,B179:B235,B232-48))</f>
        <v/>
      </c>
      <c r="AK232" s="40">
        <f>AK231*(1-IF(B231&gt;=in_marketplace_from,d_hz_life_term*G231,0))</f>
        <v/>
      </c>
      <c r="AL232" s="46">
        <f>AK232*IF(B232&gt;=in_marketplace_from,d_hz_life_term*G232,0)</f>
        <v/>
      </c>
      <c r="AM232" s="14">
        <f>F232*AL232*in_life_term_ticket*in_life_term_comm*in_ins_partner_share+F232*in_life_term_ticket*in_life_term_renew_comm*in_ins_partner_share*(in_life_term_renew^1*SUMIFS(AL179:AL235,B179:B235,B232-12)+in_life_term_renew^2*SUMIFS(AL179:AL235,B179:B235,B232-24)+in_life_term_renew^3*SUMIFS(AL179:AL235,B179:B235,B232-36)+in_life_term_renew^4*SUMIFS(AL179:AL235,B179:B235,B232-48))</f>
        <v/>
      </c>
      <c r="AN232" s="40">
        <f>AN231*(1-IF(B231&gt;=in_marketplace_from,d_hz_accident*G231,0))</f>
        <v/>
      </c>
      <c r="AO232" s="46">
        <f>AN232*IF(B232&gt;=in_marketplace_from,d_hz_accident*G232,0)</f>
        <v/>
      </c>
      <c r="AP232" s="14">
        <f>F232*AO232*in_accident_ticket*in_accident_comm*in_ins_partner_share+F232*in_accident_ticket*in_accident_renew_comm*in_ins_partner_share*(in_accident_renew^1*SUMIFS(AO179:AO235,B179:B235,B232-12)+in_accident_renew^2*SUMIFS(AO179:AO235,B179:B235,B232-24)+in_accident_renew^3*SUMIFS(AO179:AO235,B179:B235,B232-36)+in_accident_renew^4*SUMIFS(AO179:AO235,B179:B235,B232-48))</f>
        <v/>
      </c>
      <c r="AQ232" s="40">
        <f>AQ231*(1-IF(B231&gt;=in_marketplace_from,d_hz_two_wheeler*G231,0))</f>
        <v/>
      </c>
      <c r="AR232" s="46">
        <f>AQ232*IF(B232&gt;=in_marketplace_from,d_hz_two_wheeler*G232,0)</f>
        <v/>
      </c>
      <c r="AS232" s="14">
        <f>F232*AR232*in_two_wheeler_ticket*in_two_wheeler_comm*in_ins_partner_share+F232*in_two_wheeler_ticket*in_two_wheeler_comm*in_ins_partner_share*(in_two_wheeler_renew^1*SUMIFS(AR179:AR235,B179:B235,B232-12)+in_two_wheeler_renew^2*SUMIFS(AR179:AR235,B179:B235,B232-24)+in_two_wheeler_renew^3*SUMIFS(AR179:AR235,B179:B235,B232-36)+in_two_wheeler_renew^4*SUMIFS(AR179:AR235,B179:B235,B232-48))</f>
        <v/>
      </c>
      <c r="AT232" s="40">
        <f>AT231*(1-IF(B231&gt;=in_marketplace_from,d_hz_device*G231,0))</f>
        <v/>
      </c>
      <c r="AU232" s="14">
        <f>F232*AT232*IF(B232&gt;=in_marketplace_from,d_hz_device*G232,0)*in_device_ticket*in_device_comm*in_ins_partner_share</f>
        <v/>
      </c>
      <c r="AV232" s="40">
        <f>AV231*(1-IF(B231&gt;=in_marketplace_from,d_hz_shop*G231,0))</f>
        <v/>
      </c>
      <c r="AW232" s="46">
        <f>AV232*IF(B232&gt;=in_marketplace_from,d_hz_shop*G232,0)</f>
        <v/>
      </c>
      <c r="AX232" s="14">
        <f>F232*AW232*in_shop_ticket*in_shop_comm*in_ins_partner_share+F232*in_shop_ticket*in_shop_renew_comm*in_ins_partner_share*(in_shop_renew^1*SUMIFS(AW179:AW235,B179:B235,B232-12)+in_shop_renew^2*SUMIFS(AW179:AW235,B179:B235,B232-24)+in_shop_renew^3*SUMIFS(AW179:AW235,B179:B235,B232-36)+in_shop_renew^4*SUMIFS(AW179:AW235,B179:B235,B232-48))</f>
        <v/>
      </c>
      <c r="AY232" s="40">
        <f>AY231*(1-IF(B231&gt;=in_marketplace_from,d_hz_sip*G231,0))</f>
        <v/>
      </c>
      <c r="AZ232" s="40">
        <f>AZ231*d_rho_sip+AY232*IF(B232&gt;=in_marketplace_from,d_hz_sip*G232,0)</f>
        <v/>
      </c>
      <c r="BA232" s="40">
        <f>d_rho_sip*(BA231+AZ231)</f>
        <v/>
      </c>
      <c r="BB232" s="14">
        <f>F232*in_sip_ticket*(BA232+0.5*AZ232)*in_sip_comm/12</f>
        <v/>
      </c>
      <c r="BC232" s="40">
        <f>BC231*(1-IF(B231&gt;=in_marketplace_from,d_hz_choti*G231,0))</f>
        <v/>
      </c>
      <c r="BD232" s="46">
        <f>BC232*IF(B232&gt;=in_marketplace_from,d_hz_choti*G232,0)</f>
        <v/>
      </c>
      <c r="BE232" s="14">
        <f>F232*SUMIFS(BD179:BD235,B179:B235,B232-in_choti_months)*in_choti_renew*in_choti_ticket</f>
        <v/>
      </c>
      <c r="BF232" s="40">
        <f>BF231*(1-IF(B231&gt;=in_marketplace_from,d_hz_nps*G231,0))</f>
        <v/>
      </c>
      <c r="BG232" s="14">
        <f>F232*BF232*IF(B232&gt;=in_marketplace_from,d_hz_nps*G232,0)*in_nps_ticket*in_nps_comm</f>
        <v/>
      </c>
      <c r="BH232" s="40">
        <f>BH231*(1-IF(B231&gt;=in_marketplace_from,d_hz_gold*G231,0))</f>
        <v/>
      </c>
      <c r="BI232" s="40">
        <f>BI231*d_rho_gold+BH232*IF(B232&gt;=in_marketplace_from,d_hz_gold*G232,0)</f>
        <v/>
      </c>
      <c r="BJ232" s="14">
        <f>F232*BI232*in_gold_ticket*in_gold_comm</f>
        <v/>
      </c>
      <c r="BK232" s="40">
        <f>BK231*(1-IF(B231&gt;=in_marketplace_from,d_hz_fd*G231,0))</f>
        <v/>
      </c>
      <c r="BL232" s="14">
        <f>F232*BK232*IF(B232&gt;=in_marketplace_from,d_hz_fd*G232,0)*in_fd_ticket*in_fd_comm</f>
        <v/>
      </c>
      <c r="BM232" s="40">
        <f>BM231*(1-IF(B231&gt;=in_marketplace_from,d_hz_recharge*G231,0))</f>
        <v/>
      </c>
      <c r="BN232" s="40">
        <f>BN231*d_rho_recharge+BM232*IF(B232&gt;=in_marketplace_from,d_hz_recharge*G232,0)</f>
        <v/>
      </c>
      <c r="BO232" s="14">
        <f>F232*BN232*in_recharge_ticket*in_recharge_comm/12</f>
        <v/>
      </c>
      <c r="BP232" s="40">
        <f>BP231*(1-IF(B231&gt;=in_marketplace_from,d_hz_bills*G231,0))</f>
        <v/>
      </c>
      <c r="BQ232" s="40">
        <f>BQ231*d_rho_bills+BP232*IF(B232&gt;=in_marketplace_from,d_hz_bills*G232,0)</f>
        <v/>
      </c>
      <c r="BR232" s="14">
        <f>F232*BQ232*in_bills_ticket*in_bills_comm/12</f>
        <v/>
      </c>
      <c r="BS232" s="40">
        <f>BS231*(1-IF(B231&gt;=in_marketplace_from,d_hz_loan_gold*G231,0))</f>
        <v/>
      </c>
      <c r="BT232" s="14">
        <f>F232*BS232*IF(B232&gt;=in_marketplace_from,d_hz_loan_gold*G232,0)*in_loan_gold_ticket*in_loan_gold_comm</f>
        <v/>
      </c>
      <c r="BU232" s="40">
        <f>BU231*(1-IF(B231&gt;=in_marketplace_from,d_hz_loan_cd*G231,0))</f>
        <v/>
      </c>
      <c r="BV232" s="14">
        <f>F232*BU232*IF(B232&gt;=in_marketplace_from,d_hz_loan_cd*G232,0)*in_loan_cd_ticket*in_loan_cd_comm</f>
        <v/>
      </c>
      <c r="BW232" s="40">
        <f>BW231*(1-IF(B231&gt;=in_marketplace_from,d_hz_loan_vehicle*G231,0))</f>
        <v/>
      </c>
      <c r="BX232" s="14">
        <f>F232*BW232*IF(B232&gt;=in_marketplace_from,d_hz_loan_vehicle*G232,0)*in_loan_vehicle_ticket*in_loan_vehicle_comm</f>
        <v/>
      </c>
      <c r="BY232" s="40">
        <f>BY231*(1-IF(B231&gt;=in_marketplace_from,d_hz_loan_home*G231,0)*BZ231)</f>
        <v/>
      </c>
      <c r="BZ232" s="11">
        <f>MIN(in_approval_cap,in_loan_home_approval*INDEX('Age profile'!$O$2:$O$61,B232)*(1+in_approval_growth)^(D232-1))</f>
        <v/>
      </c>
      <c r="CA232" s="14">
        <f>F232*BY232*IF(B232&gt;=in_marketplace_from,d_hz_loan_home*G232,0)*BZ232*in_loan_home_ticket*in_loan_home_comm</f>
        <v/>
      </c>
      <c r="CB232" s="40">
        <f>CB231*(1-IF(B231&gt;=in_marketplace_from,d_hz_loan_lap*G231,0)*CC231)</f>
        <v/>
      </c>
      <c r="CC232" s="11">
        <f>MIN(in_approval_cap,in_loan_lap_approval*INDEX('Age profile'!$O$2:$O$61,B232)*(1+in_approval_growth)^(D232-1))</f>
        <v/>
      </c>
      <c r="CD232" s="14">
        <f>F232*CB232*IF(B232&gt;=in_marketplace_from,d_hz_loan_lap*G232,0)*CC232*in_loan_lap_ticket*in_loan_lap_comm</f>
        <v/>
      </c>
      <c r="CE232" s="14">
        <f>AA232+AB232+AC232+AD232+AG232+AJ232+AM232+AP232+AS232+AU232+AX232+BB232+BE232+BG232+BJ232+BL232+BO232+BR232+BT232+BV232+BX232+CA232+CD232</f>
        <v/>
      </c>
    </row>
    <row r="233">
      <c r="A233" s="39" t="n">
        <v>4</v>
      </c>
      <c r="B233" s="39" t="n">
        <v>55</v>
      </c>
      <c r="C233" s="39">
        <f>A233+B233-1</f>
        <v/>
      </c>
      <c r="D233" s="39">
        <f>INT((C233-1)/12)+1</f>
        <v/>
      </c>
      <c r="E233" s="44">
        <f>INDEX(Monthly!$B$2:$B$61,A233)</f>
        <v/>
      </c>
      <c r="F233" s="44">
        <f>E233*INDEX('Age profile'!$B$2:$B$61,B233)</f>
        <v/>
      </c>
      <c r="G233" s="45">
        <f>MIN(in_takeup_cap,INDEX('Age profile'!$N$2:$N$61,B233)*(1+in_takeup_growth)^(D233-1))</f>
        <v/>
      </c>
      <c r="H233" s="11">
        <f>MIN(in_approval_cap,in_approved_first*INDEX('Age profile'!$O$2:$O$61,B233)*(1+in_approval_growth)^(D233-1))</f>
        <v/>
      </c>
      <c r="I233" s="45">
        <f>G233*MIN(in_takeup_cap,INDEX('Age profile'!$O$2:$O$61,B233)*(1+in_approval_growth)^(D233-1))</f>
        <v/>
      </c>
      <c r="J233" s="40">
        <f>(J232-L232)*F233/F232</f>
        <v/>
      </c>
      <c r="K233" s="40">
        <f>(K232-M232)*F233/F232+SUMIFS(O179:O232,B179:B232,B233-1-d_T)*F233</f>
        <v/>
      </c>
      <c r="L233" s="40">
        <f>IF(B233&gt;=in_marketplace_from,J233*d_hz*G233*in_eligible*H233,0)</f>
        <v/>
      </c>
      <c r="M233" s="40">
        <f>IF(B233&gt;=in_marketplace_from,K233*d_hz*G233*in_eligible*in_approved_repeat,0)</f>
        <v/>
      </c>
      <c r="N233" s="40">
        <f>L233+M233</f>
        <v/>
      </c>
      <c r="O233" s="46">
        <f>N233/F233</f>
        <v/>
      </c>
      <c r="P233" s="40">
        <f>F233-J233-K233</f>
        <v/>
      </c>
      <c r="Q233" s="40">
        <f>IF(B233&gt;=in_marketplace_from,(J233+K233)*d_hz*G233,0)</f>
        <v/>
      </c>
      <c r="R233" s="40">
        <f>SUMIFS(N179:N235,B179:B235,"&gt;="&amp;(B233-d_T),B179:B235,"&lt;="&amp;(B233-1))</f>
        <v/>
      </c>
      <c r="S233" s="46">
        <f>(1-d_u)*S232+IF(d_T&gt;in_topup_lag,SUMIFS(O179:O235,B179:B235,B233-in_topup_lag)-d_udrop*SUMIFS(O179:O235,B179:B235,B233-d_T),0)</f>
        <v/>
      </c>
      <c r="T233" s="40">
        <f>F233*d_u*S233</f>
        <v/>
      </c>
      <c r="U233" s="9">
        <f>L233*in_ticket+M233*d_rep_ticket</f>
        <v/>
      </c>
      <c r="V233" s="9">
        <f>U233+T233*d_topup_amt</f>
        <v/>
      </c>
      <c r="W233" s="40">
        <f>N233+T233*d_topup_ratio</f>
        <v/>
      </c>
      <c r="X233" s="40">
        <f>SUMIFS(W179:W235,B179:B235,B233-in_dpd_lag)*d_cured</f>
        <v/>
      </c>
      <c r="Y233" s="40">
        <f>SUMIFS(W179:W235,B179:B235,B233-in_rec_lag)*d_recd</f>
        <v/>
      </c>
      <c r="Z233" s="40">
        <f>IF(AND(B233&gt;=in_marketplace_from,B233&lt;in_marketplace_from+in_card_months),in_card_share/in_card_months*F233*I233,IF(AND(B233&gt;=in_marketplace_from+in_card_months,B233&lt;in_marketplace_from+2*in_card_months),in_card_share*d_card_rem/in_card_months*F233*MIN(in_takeup_cap,(1+in_takeup_growth)^(D233-1))*MIN(in_takeup_cap,(1+in_approval_growth)^(D233-1)),0))</f>
        <v/>
      </c>
      <c r="AA233" s="14">
        <f>V233*in_fee*(1-in_taken_back)</f>
        <v/>
      </c>
      <c r="AB233" s="14">
        <f>SUMIFS(W179:W235,B179:B235,B233-in_dpd_lag)*d_dpd</f>
        <v/>
      </c>
      <c r="AC233" s="14">
        <f>SUMIFS(W179:W235,B179:B235,B233-in_rec_lag)*d_rec</f>
        <v/>
      </c>
      <c r="AD233" s="14">
        <f>Z233*in_card_fee</f>
        <v/>
      </c>
      <c r="AE233" s="40">
        <f>AE232*(1-IF(B232&gt;=in_marketplace_from,d_hz_hlth_small*G232,0))</f>
        <v/>
      </c>
      <c r="AF233" s="46">
        <f>AE233*IF(B233&gt;=in_marketplace_from,d_hz_hlth_small*G233,0)</f>
        <v/>
      </c>
      <c r="AG233" s="14">
        <f>F233*AF233*in_hlth_small_ticket*in_hlth_small_comm*in_ins_partner_share+F233*in_hlth_small_ticket*in_hlth_small_renew_comm*in_ins_partner_share*(in_hlth_small_renew^1*SUMIFS(AF179:AF235,B179:B235,B233-12)+in_hlth_small_renew^2*SUMIFS(AF179:AF235,B179:B235,B233-24)+in_hlth_small_renew^3*SUMIFS(AF179:AF235,B179:B235,B233-36)+in_hlth_small_renew^4*SUMIFS(AF179:AF235,B179:B235,B233-48))</f>
        <v/>
      </c>
      <c r="AH233" s="40">
        <f>AH232*(1-IF(B232&gt;=in_marketplace_from,d_hz_hlth_family*G232,0))</f>
        <v/>
      </c>
      <c r="AI233" s="46">
        <f>AH233*IF(B233&gt;=in_marketplace_from,d_hz_hlth_family*G233,0)</f>
        <v/>
      </c>
      <c r="AJ233" s="14">
        <f>F233*AI233*in_hlth_family_ticket*in_hlth_family_comm*in_ins_partner_share+F233*in_hlth_family_ticket*in_hlth_family_renew_comm*in_ins_partner_share*(in_hlth_family_renew^1*SUMIFS(AI179:AI235,B179:B235,B233-12)+in_hlth_family_renew^2*SUMIFS(AI179:AI235,B179:B235,B233-24)+in_hlth_family_renew^3*SUMIFS(AI179:AI235,B179:B235,B233-36)+in_hlth_family_renew^4*SUMIFS(AI179:AI235,B179:B235,B233-48))</f>
        <v/>
      </c>
      <c r="AK233" s="40">
        <f>AK232*(1-IF(B232&gt;=in_marketplace_from,d_hz_life_term*G232,0))</f>
        <v/>
      </c>
      <c r="AL233" s="46">
        <f>AK233*IF(B233&gt;=in_marketplace_from,d_hz_life_term*G233,0)</f>
        <v/>
      </c>
      <c r="AM233" s="14">
        <f>F233*AL233*in_life_term_ticket*in_life_term_comm*in_ins_partner_share+F233*in_life_term_ticket*in_life_term_renew_comm*in_ins_partner_share*(in_life_term_renew^1*SUMIFS(AL179:AL235,B179:B235,B233-12)+in_life_term_renew^2*SUMIFS(AL179:AL235,B179:B235,B233-24)+in_life_term_renew^3*SUMIFS(AL179:AL235,B179:B235,B233-36)+in_life_term_renew^4*SUMIFS(AL179:AL235,B179:B235,B233-48))</f>
        <v/>
      </c>
      <c r="AN233" s="40">
        <f>AN232*(1-IF(B232&gt;=in_marketplace_from,d_hz_accident*G232,0))</f>
        <v/>
      </c>
      <c r="AO233" s="46">
        <f>AN233*IF(B233&gt;=in_marketplace_from,d_hz_accident*G233,0)</f>
        <v/>
      </c>
      <c r="AP233" s="14">
        <f>F233*AO233*in_accident_ticket*in_accident_comm*in_ins_partner_share+F233*in_accident_ticket*in_accident_renew_comm*in_ins_partner_share*(in_accident_renew^1*SUMIFS(AO179:AO235,B179:B235,B233-12)+in_accident_renew^2*SUMIFS(AO179:AO235,B179:B235,B233-24)+in_accident_renew^3*SUMIFS(AO179:AO235,B179:B235,B233-36)+in_accident_renew^4*SUMIFS(AO179:AO235,B179:B235,B233-48))</f>
        <v/>
      </c>
      <c r="AQ233" s="40">
        <f>AQ232*(1-IF(B232&gt;=in_marketplace_from,d_hz_two_wheeler*G232,0))</f>
        <v/>
      </c>
      <c r="AR233" s="46">
        <f>AQ233*IF(B233&gt;=in_marketplace_from,d_hz_two_wheeler*G233,0)</f>
        <v/>
      </c>
      <c r="AS233" s="14">
        <f>F233*AR233*in_two_wheeler_ticket*in_two_wheeler_comm*in_ins_partner_share+F233*in_two_wheeler_ticket*in_two_wheeler_comm*in_ins_partner_share*(in_two_wheeler_renew^1*SUMIFS(AR179:AR235,B179:B235,B233-12)+in_two_wheeler_renew^2*SUMIFS(AR179:AR235,B179:B235,B233-24)+in_two_wheeler_renew^3*SUMIFS(AR179:AR235,B179:B235,B233-36)+in_two_wheeler_renew^4*SUMIFS(AR179:AR235,B179:B235,B233-48))</f>
        <v/>
      </c>
      <c r="AT233" s="40">
        <f>AT232*(1-IF(B232&gt;=in_marketplace_from,d_hz_device*G232,0))</f>
        <v/>
      </c>
      <c r="AU233" s="14">
        <f>F233*AT233*IF(B233&gt;=in_marketplace_from,d_hz_device*G233,0)*in_device_ticket*in_device_comm*in_ins_partner_share</f>
        <v/>
      </c>
      <c r="AV233" s="40">
        <f>AV232*(1-IF(B232&gt;=in_marketplace_from,d_hz_shop*G232,0))</f>
        <v/>
      </c>
      <c r="AW233" s="46">
        <f>AV233*IF(B233&gt;=in_marketplace_from,d_hz_shop*G233,0)</f>
        <v/>
      </c>
      <c r="AX233" s="14">
        <f>F233*AW233*in_shop_ticket*in_shop_comm*in_ins_partner_share+F233*in_shop_ticket*in_shop_renew_comm*in_ins_partner_share*(in_shop_renew^1*SUMIFS(AW179:AW235,B179:B235,B233-12)+in_shop_renew^2*SUMIFS(AW179:AW235,B179:B235,B233-24)+in_shop_renew^3*SUMIFS(AW179:AW235,B179:B235,B233-36)+in_shop_renew^4*SUMIFS(AW179:AW235,B179:B235,B233-48))</f>
        <v/>
      </c>
      <c r="AY233" s="40">
        <f>AY232*(1-IF(B232&gt;=in_marketplace_from,d_hz_sip*G232,0))</f>
        <v/>
      </c>
      <c r="AZ233" s="40">
        <f>AZ232*d_rho_sip+AY233*IF(B233&gt;=in_marketplace_from,d_hz_sip*G233,0)</f>
        <v/>
      </c>
      <c r="BA233" s="40">
        <f>d_rho_sip*(BA232+AZ232)</f>
        <v/>
      </c>
      <c r="BB233" s="14">
        <f>F233*in_sip_ticket*(BA233+0.5*AZ233)*in_sip_comm/12</f>
        <v/>
      </c>
      <c r="BC233" s="40">
        <f>BC232*(1-IF(B232&gt;=in_marketplace_from,d_hz_choti*G232,0))</f>
        <v/>
      </c>
      <c r="BD233" s="46">
        <f>BC233*IF(B233&gt;=in_marketplace_from,d_hz_choti*G233,0)</f>
        <v/>
      </c>
      <c r="BE233" s="14">
        <f>F233*SUMIFS(BD179:BD235,B179:B235,B233-in_choti_months)*in_choti_renew*in_choti_ticket</f>
        <v/>
      </c>
      <c r="BF233" s="40">
        <f>BF232*(1-IF(B232&gt;=in_marketplace_from,d_hz_nps*G232,0))</f>
        <v/>
      </c>
      <c r="BG233" s="14">
        <f>F233*BF233*IF(B233&gt;=in_marketplace_from,d_hz_nps*G233,0)*in_nps_ticket*in_nps_comm</f>
        <v/>
      </c>
      <c r="BH233" s="40">
        <f>BH232*(1-IF(B232&gt;=in_marketplace_from,d_hz_gold*G232,0))</f>
        <v/>
      </c>
      <c r="BI233" s="40">
        <f>BI232*d_rho_gold+BH233*IF(B233&gt;=in_marketplace_from,d_hz_gold*G233,0)</f>
        <v/>
      </c>
      <c r="BJ233" s="14">
        <f>F233*BI233*in_gold_ticket*in_gold_comm</f>
        <v/>
      </c>
      <c r="BK233" s="40">
        <f>BK232*(1-IF(B232&gt;=in_marketplace_from,d_hz_fd*G232,0))</f>
        <v/>
      </c>
      <c r="BL233" s="14">
        <f>F233*BK233*IF(B233&gt;=in_marketplace_from,d_hz_fd*G233,0)*in_fd_ticket*in_fd_comm</f>
        <v/>
      </c>
      <c r="BM233" s="40">
        <f>BM232*(1-IF(B232&gt;=in_marketplace_from,d_hz_recharge*G232,0))</f>
        <v/>
      </c>
      <c r="BN233" s="40">
        <f>BN232*d_rho_recharge+BM233*IF(B233&gt;=in_marketplace_from,d_hz_recharge*G233,0)</f>
        <v/>
      </c>
      <c r="BO233" s="14">
        <f>F233*BN233*in_recharge_ticket*in_recharge_comm/12</f>
        <v/>
      </c>
      <c r="BP233" s="40">
        <f>BP232*(1-IF(B232&gt;=in_marketplace_from,d_hz_bills*G232,0))</f>
        <v/>
      </c>
      <c r="BQ233" s="40">
        <f>BQ232*d_rho_bills+BP233*IF(B233&gt;=in_marketplace_from,d_hz_bills*G233,0)</f>
        <v/>
      </c>
      <c r="BR233" s="14">
        <f>F233*BQ233*in_bills_ticket*in_bills_comm/12</f>
        <v/>
      </c>
      <c r="BS233" s="40">
        <f>BS232*(1-IF(B232&gt;=in_marketplace_from,d_hz_loan_gold*G232,0))</f>
        <v/>
      </c>
      <c r="BT233" s="14">
        <f>F233*BS233*IF(B233&gt;=in_marketplace_from,d_hz_loan_gold*G233,0)*in_loan_gold_ticket*in_loan_gold_comm</f>
        <v/>
      </c>
      <c r="BU233" s="40">
        <f>BU232*(1-IF(B232&gt;=in_marketplace_from,d_hz_loan_cd*G232,0))</f>
        <v/>
      </c>
      <c r="BV233" s="14">
        <f>F233*BU233*IF(B233&gt;=in_marketplace_from,d_hz_loan_cd*G233,0)*in_loan_cd_ticket*in_loan_cd_comm</f>
        <v/>
      </c>
      <c r="BW233" s="40">
        <f>BW232*(1-IF(B232&gt;=in_marketplace_from,d_hz_loan_vehicle*G232,0))</f>
        <v/>
      </c>
      <c r="BX233" s="14">
        <f>F233*BW233*IF(B233&gt;=in_marketplace_from,d_hz_loan_vehicle*G233,0)*in_loan_vehicle_ticket*in_loan_vehicle_comm</f>
        <v/>
      </c>
      <c r="BY233" s="40">
        <f>BY232*(1-IF(B232&gt;=in_marketplace_from,d_hz_loan_home*G232,0)*BZ232)</f>
        <v/>
      </c>
      <c r="BZ233" s="11">
        <f>MIN(in_approval_cap,in_loan_home_approval*INDEX('Age profile'!$O$2:$O$61,B233)*(1+in_approval_growth)^(D233-1))</f>
        <v/>
      </c>
      <c r="CA233" s="14">
        <f>F233*BY233*IF(B233&gt;=in_marketplace_from,d_hz_loan_home*G233,0)*BZ233*in_loan_home_ticket*in_loan_home_comm</f>
        <v/>
      </c>
      <c r="CB233" s="40">
        <f>CB232*(1-IF(B232&gt;=in_marketplace_from,d_hz_loan_lap*G232,0)*CC232)</f>
        <v/>
      </c>
      <c r="CC233" s="11">
        <f>MIN(in_approval_cap,in_loan_lap_approval*INDEX('Age profile'!$O$2:$O$61,B233)*(1+in_approval_growth)^(D233-1))</f>
        <v/>
      </c>
      <c r="CD233" s="14">
        <f>F233*CB233*IF(B233&gt;=in_marketplace_from,d_hz_loan_lap*G233,0)*CC233*in_loan_lap_ticket*in_loan_lap_comm</f>
        <v/>
      </c>
      <c r="CE233" s="14">
        <f>AA233+AB233+AC233+AD233+AG233+AJ233+AM233+AP233+AS233+AU233+AX233+BB233+BE233+BG233+BJ233+BL233+BO233+BR233+BT233+BV233+BX233+CA233+CD233</f>
        <v/>
      </c>
    </row>
    <row r="234">
      <c r="A234" s="39" t="n">
        <v>4</v>
      </c>
      <c r="B234" s="39" t="n">
        <v>56</v>
      </c>
      <c r="C234" s="39">
        <f>A234+B234-1</f>
        <v/>
      </c>
      <c r="D234" s="39">
        <f>INT((C234-1)/12)+1</f>
        <v/>
      </c>
      <c r="E234" s="44">
        <f>INDEX(Monthly!$B$2:$B$61,A234)</f>
        <v/>
      </c>
      <c r="F234" s="44">
        <f>E234*INDEX('Age profile'!$B$2:$B$61,B234)</f>
        <v/>
      </c>
      <c r="G234" s="45">
        <f>MIN(in_takeup_cap,INDEX('Age profile'!$N$2:$N$61,B234)*(1+in_takeup_growth)^(D234-1))</f>
        <v/>
      </c>
      <c r="H234" s="11">
        <f>MIN(in_approval_cap,in_approved_first*INDEX('Age profile'!$O$2:$O$61,B234)*(1+in_approval_growth)^(D234-1))</f>
        <v/>
      </c>
      <c r="I234" s="45">
        <f>G234*MIN(in_takeup_cap,INDEX('Age profile'!$O$2:$O$61,B234)*(1+in_approval_growth)^(D234-1))</f>
        <v/>
      </c>
      <c r="J234" s="40">
        <f>(J233-L233)*F234/F233</f>
        <v/>
      </c>
      <c r="K234" s="40">
        <f>(K233-M233)*F234/F233+SUMIFS(O179:O233,B179:B233,B234-1-d_T)*F234</f>
        <v/>
      </c>
      <c r="L234" s="40">
        <f>IF(B234&gt;=in_marketplace_from,J234*d_hz*G234*in_eligible*H234,0)</f>
        <v/>
      </c>
      <c r="M234" s="40">
        <f>IF(B234&gt;=in_marketplace_from,K234*d_hz*G234*in_eligible*in_approved_repeat,0)</f>
        <v/>
      </c>
      <c r="N234" s="40">
        <f>L234+M234</f>
        <v/>
      </c>
      <c r="O234" s="46">
        <f>N234/F234</f>
        <v/>
      </c>
      <c r="P234" s="40">
        <f>F234-J234-K234</f>
        <v/>
      </c>
      <c r="Q234" s="40">
        <f>IF(B234&gt;=in_marketplace_from,(J234+K234)*d_hz*G234,0)</f>
        <v/>
      </c>
      <c r="R234" s="40">
        <f>SUMIFS(N179:N235,B179:B235,"&gt;="&amp;(B234-d_T),B179:B235,"&lt;="&amp;(B234-1))</f>
        <v/>
      </c>
      <c r="S234" s="46">
        <f>(1-d_u)*S233+IF(d_T&gt;in_topup_lag,SUMIFS(O179:O235,B179:B235,B234-in_topup_lag)-d_udrop*SUMIFS(O179:O235,B179:B235,B234-d_T),0)</f>
        <v/>
      </c>
      <c r="T234" s="40">
        <f>F234*d_u*S234</f>
        <v/>
      </c>
      <c r="U234" s="9">
        <f>L234*in_ticket+M234*d_rep_ticket</f>
        <v/>
      </c>
      <c r="V234" s="9">
        <f>U234+T234*d_topup_amt</f>
        <v/>
      </c>
      <c r="W234" s="40">
        <f>N234+T234*d_topup_ratio</f>
        <v/>
      </c>
      <c r="X234" s="40">
        <f>SUMIFS(W179:W235,B179:B235,B234-in_dpd_lag)*d_cured</f>
        <v/>
      </c>
      <c r="Y234" s="40">
        <f>SUMIFS(W179:W235,B179:B235,B234-in_rec_lag)*d_recd</f>
        <v/>
      </c>
      <c r="Z234" s="40">
        <f>IF(AND(B234&gt;=in_marketplace_from,B234&lt;in_marketplace_from+in_card_months),in_card_share/in_card_months*F234*I234,IF(AND(B234&gt;=in_marketplace_from+in_card_months,B234&lt;in_marketplace_from+2*in_card_months),in_card_share*d_card_rem/in_card_months*F234*MIN(in_takeup_cap,(1+in_takeup_growth)^(D234-1))*MIN(in_takeup_cap,(1+in_approval_growth)^(D234-1)),0))</f>
        <v/>
      </c>
      <c r="AA234" s="14">
        <f>V234*in_fee*(1-in_taken_back)</f>
        <v/>
      </c>
      <c r="AB234" s="14">
        <f>SUMIFS(W179:W235,B179:B235,B234-in_dpd_lag)*d_dpd</f>
        <v/>
      </c>
      <c r="AC234" s="14">
        <f>SUMIFS(W179:W235,B179:B235,B234-in_rec_lag)*d_rec</f>
        <v/>
      </c>
      <c r="AD234" s="14">
        <f>Z234*in_card_fee</f>
        <v/>
      </c>
      <c r="AE234" s="40">
        <f>AE233*(1-IF(B233&gt;=in_marketplace_from,d_hz_hlth_small*G233,0))</f>
        <v/>
      </c>
      <c r="AF234" s="46">
        <f>AE234*IF(B234&gt;=in_marketplace_from,d_hz_hlth_small*G234,0)</f>
        <v/>
      </c>
      <c r="AG234" s="14">
        <f>F234*AF234*in_hlth_small_ticket*in_hlth_small_comm*in_ins_partner_share+F234*in_hlth_small_ticket*in_hlth_small_renew_comm*in_ins_partner_share*(in_hlth_small_renew^1*SUMIFS(AF179:AF235,B179:B235,B234-12)+in_hlth_small_renew^2*SUMIFS(AF179:AF235,B179:B235,B234-24)+in_hlth_small_renew^3*SUMIFS(AF179:AF235,B179:B235,B234-36)+in_hlth_small_renew^4*SUMIFS(AF179:AF235,B179:B235,B234-48))</f>
        <v/>
      </c>
      <c r="AH234" s="40">
        <f>AH233*(1-IF(B233&gt;=in_marketplace_from,d_hz_hlth_family*G233,0))</f>
        <v/>
      </c>
      <c r="AI234" s="46">
        <f>AH234*IF(B234&gt;=in_marketplace_from,d_hz_hlth_family*G234,0)</f>
        <v/>
      </c>
      <c r="AJ234" s="14">
        <f>F234*AI234*in_hlth_family_ticket*in_hlth_family_comm*in_ins_partner_share+F234*in_hlth_family_ticket*in_hlth_family_renew_comm*in_ins_partner_share*(in_hlth_family_renew^1*SUMIFS(AI179:AI235,B179:B235,B234-12)+in_hlth_family_renew^2*SUMIFS(AI179:AI235,B179:B235,B234-24)+in_hlth_family_renew^3*SUMIFS(AI179:AI235,B179:B235,B234-36)+in_hlth_family_renew^4*SUMIFS(AI179:AI235,B179:B235,B234-48))</f>
        <v/>
      </c>
      <c r="AK234" s="40">
        <f>AK233*(1-IF(B233&gt;=in_marketplace_from,d_hz_life_term*G233,0))</f>
        <v/>
      </c>
      <c r="AL234" s="46">
        <f>AK234*IF(B234&gt;=in_marketplace_from,d_hz_life_term*G234,0)</f>
        <v/>
      </c>
      <c r="AM234" s="14">
        <f>F234*AL234*in_life_term_ticket*in_life_term_comm*in_ins_partner_share+F234*in_life_term_ticket*in_life_term_renew_comm*in_ins_partner_share*(in_life_term_renew^1*SUMIFS(AL179:AL235,B179:B235,B234-12)+in_life_term_renew^2*SUMIFS(AL179:AL235,B179:B235,B234-24)+in_life_term_renew^3*SUMIFS(AL179:AL235,B179:B235,B234-36)+in_life_term_renew^4*SUMIFS(AL179:AL235,B179:B235,B234-48))</f>
        <v/>
      </c>
      <c r="AN234" s="40">
        <f>AN233*(1-IF(B233&gt;=in_marketplace_from,d_hz_accident*G233,0))</f>
        <v/>
      </c>
      <c r="AO234" s="46">
        <f>AN234*IF(B234&gt;=in_marketplace_from,d_hz_accident*G234,0)</f>
        <v/>
      </c>
      <c r="AP234" s="14">
        <f>F234*AO234*in_accident_ticket*in_accident_comm*in_ins_partner_share+F234*in_accident_ticket*in_accident_renew_comm*in_ins_partner_share*(in_accident_renew^1*SUMIFS(AO179:AO235,B179:B235,B234-12)+in_accident_renew^2*SUMIFS(AO179:AO235,B179:B235,B234-24)+in_accident_renew^3*SUMIFS(AO179:AO235,B179:B235,B234-36)+in_accident_renew^4*SUMIFS(AO179:AO235,B179:B235,B234-48))</f>
        <v/>
      </c>
      <c r="AQ234" s="40">
        <f>AQ233*(1-IF(B233&gt;=in_marketplace_from,d_hz_two_wheeler*G233,0))</f>
        <v/>
      </c>
      <c r="AR234" s="46">
        <f>AQ234*IF(B234&gt;=in_marketplace_from,d_hz_two_wheeler*G234,0)</f>
        <v/>
      </c>
      <c r="AS234" s="14">
        <f>F234*AR234*in_two_wheeler_ticket*in_two_wheeler_comm*in_ins_partner_share+F234*in_two_wheeler_ticket*in_two_wheeler_comm*in_ins_partner_share*(in_two_wheeler_renew^1*SUMIFS(AR179:AR235,B179:B235,B234-12)+in_two_wheeler_renew^2*SUMIFS(AR179:AR235,B179:B235,B234-24)+in_two_wheeler_renew^3*SUMIFS(AR179:AR235,B179:B235,B234-36)+in_two_wheeler_renew^4*SUMIFS(AR179:AR235,B179:B235,B234-48))</f>
        <v/>
      </c>
      <c r="AT234" s="40">
        <f>AT233*(1-IF(B233&gt;=in_marketplace_from,d_hz_device*G233,0))</f>
        <v/>
      </c>
      <c r="AU234" s="14">
        <f>F234*AT234*IF(B234&gt;=in_marketplace_from,d_hz_device*G234,0)*in_device_ticket*in_device_comm*in_ins_partner_share</f>
        <v/>
      </c>
      <c r="AV234" s="40">
        <f>AV233*(1-IF(B233&gt;=in_marketplace_from,d_hz_shop*G233,0))</f>
        <v/>
      </c>
      <c r="AW234" s="46">
        <f>AV234*IF(B234&gt;=in_marketplace_from,d_hz_shop*G234,0)</f>
        <v/>
      </c>
      <c r="AX234" s="14">
        <f>F234*AW234*in_shop_ticket*in_shop_comm*in_ins_partner_share+F234*in_shop_ticket*in_shop_renew_comm*in_ins_partner_share*(in_shop_renew^1*SUMIFS(AW179:AW235,B179:B235,B234-12)+in_shop_renew^2*SUMIFS(AW179:AW235,B179:B235,B234-24)+in_shop_renew^3*SUMIFS(AW179:AW235,B179:B235,B234-36)+in_shop_renew^4*SUMIFS(AW179:AW235,B179:B235,B234-48))</f>
        <v/>
      </c>
      <c r="AY234" s="40">
        <f>AY233*(1-IF(B233&gt;=in_marketplace_from,d_hz_sip*G233,0))</f>
        <v/>
      </c>
      <c r="AZ234" s="40">
        <f>AZ233*d_rho_sip+AY234*IF(B234&gt;=in_marketplace_from,d_hz_sip*G234,0)</f>
        <v/>
      </c>
      <c r="BA234" s="40">
        <f>d_rho_sip*(BA233+AZ233)</f>
        <v/>
      </c>
      <c r="BB234" s="14">
        <f>F234*in_sip_ticket*(BA234+0.5*AZ234)*in_sip_comm/12</f>
        <v/>
      </c>
      <c r="BC234" s="40">
        <f>BC233*(1-IF(B233&gt;=in_marketplace_from,d_hz_choti*G233,0))</f>
        <v/>
      </c>
      <c r="BD234" s="46">
        <f>BC234*IF(B234&gt;=in_marketplace_from,d_hz_choti*G234,0)</f>
        <v/>
      </c>
      <c r="BE234" s="14">
        <f>F234*SUMIFS(BD179:BD235,B179:B235,B234-in_choti_months)*in_choti_renew*in_choti_ticket</f>
        <v/>
      </c>
      <c r="BF234" s="40">
        <f>BF233*(1-IF(B233&gt;=in_marketplace_from,d_hz_nps*G233,0))</f>
        <v/>
      </c>
      <c r="BG234" s="14">
        <f>F234*BF234*IF(B234&gt;=in_marketplace_from,d_hz_nps*G234,0)*in_nps_ticket*in_nps_comm</f>
        <v/>
      </c>
      <c r="BH234" s="40">
        <f>BH233*(1-IF(B233&gt;=in_marketplace_from,d_hz_gold*G233,0))</f>
        <v/>
      </c>
      <c r="BI234" s="40">
        <f>BI233*d_rho_gold+BH234*IF(B234&gt;=in_marketplace_from,d_hz_gold*G234,0)</f>
        <v/>
      </c>
      <c r="BJ234" s="14">
        <f>F234*BI234*in_gold_ticket*in_gold_comm</f>
        <v/>
      </c>
      <c r="BK234" s="40">
        <f>BK233*(1-IF(B233&gt;=in_marketplace_from,d_hz_fd*G233,0))</f>
        <v/>
      </c>
      <c r="BL234" s="14">
        <f>F234*BK234*IF(B234&gt;=in_marketplace_from,d_hz_fd*G234,0)*in_fd_ticket*in_fd_comm</f>
        <v/>
      </c>
      <c r="BM234" s="40">
        <f>BM233*(1-IF(B233&gt;=in_marketplace_from,d_hz_recharge*G233,0))</f>
        <v/>
      </c>
      <c r="BN234" s="40">
        <f>BN233*d_rho_recharge+BM234*IF(B234&gt;=in_marketplace_from,d_hz_recharge*G234,0)</f>
        <v/>
      </c>
      <c r="BO234" s="14">
        <f>F234*BN234*in_recharge_ticket*in_recharge_comm/12</f>
        <v/>
      </c>
      <c r="BP234" s="40">
        <f>BP233*(1-IF(B233&gt;=in_marketplace_from,d_hz_bills*G233,0))</f>
        <v/>
      </c>
      <c r="BQ234" s="40">
        <f>BQ233*d_rho_bills+BP234*IF(B234&gt;=in_marketplace_from,d_hz_bills*G234,0)</f>
        <v/>
      </c>
      <c r="BR234" s="14">
        <f>F234*BQ234*in_bills_ticket*in_bills_comm/12</f>
        <v/>
      </c>
      <c r="BS234" s="40">
        <f>BS233*(1-IF(B233&gt;=in_marketplace_from,d_hz_loan_gold*G233,0))</f>
        <v/>
      </c>
      <c r="BT234" s="14">
        <f>F234*BS234*IF(B234&gt;=in_marketplace_from,d_hz_loan_gold*G234,0)*in_loan_gold_ticket*in_loan_gold_comm</f>
        <v/>
      </c>
      <c r="BU234" s="40">
        <f>BU233*(1-IF(B233&gt;=in_marketplace_from,d_hz_loan_cd*G233,0))</f>
        <v/>
      </c>
      <c r="BV234" s="14">
        <f>F234*BU234*IF(B234&gt;=in_marketplace_from,d_hz_loan_cd*G234,0)*in_loan_cd_ticket*in_loan_cd_comm</f>
        <v/>
      </c>
      <c r="BW234" s="40">
        <f>BW233*(1-IF(B233&gt;=in_marketplace_from,d_hz_loan_vehicle*G233,0))</f>
        <v/>
      </c>
      <c r="BX234" s="14">
        <f>F234*BW234*IF(B234&gt;=in_marketplace_from,d_hz_loan_vehicle*G234,0)*in_loan_vehicle_ticket*in_loan_vehicle_comm</f>
        <v/>
      </c>
      <c r="BY234" s="40">
        <f>BY233*(1-IF(B233&gt;=in_marketplace_from,d_hz_loan_home*G233,0)*BZ233)</f>
        <v/>
      </c>
      <c r="BZ234" s="11">
        <f>MIN(in_approval_cap,in_loan_home_approval*INDEX('Age profile'!$O$2:$O$61,B234)*(1+in_approval_growth)^(D234-1))</f>
        <v/>
      </c>
      <c r="CA234" s="14">
        <f>F234*BY234*IF(B234&gt;=in_marketplace_from,d_hz_loan_home*G234,0)*BZ234*in_loan_home_ticket*in_loan_home_comm</f>
        <v/>
      </c>
      <c r="CB234" s="40">
        <f>CB233*(1-IF(B233&gt;=in_marketplace_from,d_hz_loan_lap*G233,0)*CC233)</f>
        <v/>
      </c>
      <c r="CC234" s="11">
        <f>MIN(in_approval_cap,in_loan_lap_approval*INDEX('Age profile'!$O$2:$O$61,B234)*(1+in_approval_growth)^(D234-1))</f>
        <v/>
      </c>
      <c r="CD234" s="14">
        <f>F234*CB234*IF(B234&gt;=in_marketplace_from,d_hz_loan_lap*G234,0)*CC234*in_loan_lap_ticket*in_loan_lap_comm</f>
        <v/>
      </c>
      <c r="CE234" s="14">
        <f>AA234+AB234+AC234+AD234+AG234+AJ234+AM234+AP234+AS234+AU234+AX234+BB234+BE234+BG234+BJ234+BL234+BO234+BR234+BT234+BV234+BX234+CA234+CD234</f>
        <v/>
      </c>
    </row>
    <row r="235">
      <c r="A235" s="39" t="n">
        <v>4</v>
      </c>
      <c r="B235" s="39" t="n">
        <v>57</v>
      </c>
      <c r="C235" s="39">
        <f>A235+B235-1</f>
        <v/>
      </c>
      <c r="D235" s="39">
        <f>INT((C235-1)/12)+1</f>
        <v/>
      </c>
      <c r="E235" s="44">
        <f>INDEX(Monthly!$B$2:$B$61,A235)</f>
        <v/>
      </c>
      <c r="F235" s="44">
        <f>E235*INDEX('Age profile'!$B$2:$B$61,B235)</f>
        <v/>
      </c>
      <c r="G235" s="45">
        <f>MIN(in_takeup_cap,INDEX('Age profile'!$N$2:$N$61,B235)*(1+in_takeup_growth)^(D235-1))</f>
        <v/>
      </c>
      <c r="H235" s="11">
        <f>MIN(in_approval_cap,in_approved_first*INDEX('Age profile'!$O$2:$O$61,B235)*(1+in_approval_growth)^(D235-1))</f>
        <v/>
      </c>
      <c r="I235" s="45">
        <f>G235*MIN(in_takeup_cap,INDEX('Age profile'!$O$2:$O$61,B235)*(1+in_approval_growth)^(D235-1))</f>
        <v/>
      </c>
      <c r="J235" s="40">
        <f>(J234-L234)*F235/F234</f>
        <v/>
      </c>
      <c r="K235" s="40">
        <f>(K234-M234)*F235/F234+SUMIFS(O179:O234,B179:B234,B235-1-d_T)*F235</f>
        <v/>
      </c>
      <c r="L235" s="40">
        <f>IF(B235&gt;=in_marketplace_from,J235*d_hz*G235*in_eligible*H235,0)</f>
        <v/>
      </c>
      <c r="M235" s="40">
        <f>IF(B235&gt;=in_marketplace_from,K235*d_hz*G235*in_eligible*in_approved_repeat,0)</f>
        <v/>
      </c>
      <c r="N235" s="40">
        <f>L235+M235</f>
        <v/>
      </c>
      <c r="O235" s="46">
        <f>N235/F235</f>
        <v/>
      </c>
      <c r="P235" s="40">
        <f>F235-J235-K235</f>
        <v/>
      </c>
      <c r="Q235" s="40">
        <f>IF(B235&gt;=in_marketplace_from,(J235+K235)*d_hz*G235,0)</f>
        <v/>
      </c>
      <c r="R235" s="40">
        <f>SUMIFS(N179:N235,B179:B235,"&gt;="&amp;(B235-d_T),B179:B235,"&lt;="&amp;(B235-1))</f>
        <v/>
      </c>
      <c r="S235" s="46">
        <f>(1-d_u)*S234+IF(d_T&gt;in_topup_lag,SUMIFS(O179:O235,B179:B235,B235-in_topup_lag)-d_udrop*SUMIFS(O179:O235,B179:B235,B235-d_T),0)</f>
        <v/>
      </c>
      <c r="T235" s="40">
        <f>F235*d_u*S235</f>
        <v/>
      </c>
      <c r="U235" s="9">
        <f>L235*in_ticket+M235*d_rep_ticket</f>
        <v/>
      </c>
      <c r="V235" s="9">
        <f>U235+T235*d_topup_amt</f>
        <v/>
      </c>
      <c r="W235" s="40">
        <f>N235+T235*d_topup_ratio</f>
        <v/>
      </c>
      <c r="X235" s="40">
        <f>SUMIFS(W179:W235,B179:B235,B235-in_dpd_lag)*d_cured</f>
        <v/>
      </c>
      <c r="Y235" s="40">
        <f>SUMIFS(W179:W235,B179:B235,B235-in_rec_lag)*d_recd</f>
        <v/>
      </c>
      <c r="Z235" s="40">
        <f>IF(AND(B235&gt;=in_marketplace_from,B235&lt;in_marketplace_from+in_card_months),in_card_share/in_card_months*F235*I235,IF(AND(B235&gt;=in_marketplace_from+in_card_months,B235&lt;in_marketplace_from+2*in_card_months),in_card_share*d_card_rem/in_card_months*F235*MIN(in_takeup_cap,(1+in_takeup_growth)^(D235-1))*MIN(in_takeup_cap,(1+in_approval_growth)^(D235-1)),0))</f>
        <v/>
      </c>
      <c r="AA235" s="14">
        <f>V235*in_fee*(1-in_taken_back)</f>
        <v/>
      </c>
      <c r="AB235" s="14">
        <f>SUMIFS(W179:W235,B179:B235,B235-in_dpd_lag)*d_dpd</f>
        <v/>
      </c>
      <c r="AC235" s="14">
        <f>SUMIFS(W179:W235,B179:B235,B235-in_rec_lag)*d_rec</f>
        <v/>
      </c>
      <c r="AD235" s="14">
        <f>Z235*in_card_fee</f>
        <v/>
      </c>
      <c r="AE235" s="40">
        <f>AE234*(1-IF(B234&gt;=in_marketplace_from,d_hz_hlth_small*G234,0))</f>
        <v/>
      </c>
      <c r="AF235" s="46">
        <f>AE235*IF(B235&gt;=in_marketplace_from,d_hz_hlth_small*G235,0)</f>
        <v/>
      </c>
      <c r="AG235" s="14">
        <f>F235*AF235*in_hlth_small_ticket*in_hlth_small_comm*in_ins_partner_share+F235*in_hlth_small_ticket*in_hlth_small_renew_comm*in_ins_partner_share*(in_hlth_small_renew^1*SUMIFS(AF179:AF235,B179:B235,B235-12)+in_hlth_small_renew^2*SUMIFS(AF179:AF235,B179:B235,B235-24)+in_hlth_small_renew^3*SUMIFS(AF179:AF235,B179:B235,B235-36)+in_hlth_small_renew^4*SUMIFS(AF179:AF235,B179:B235,B235-48))</f>
        <v/>
      </c>
      <c r="AH235" s="40">
        <f>AH234*(1-IF(B234&gt;=in_marketplace_from,d_hz_hlth_family*G234,0))</f>
        <v/>
      </c>
      <c r="AI235" s="46">
        <f>AH235*IF(B235&gt;=in_marketplace_from,d_hz_hlth_family*G235,0)</f>
        <v/>
      </c>
      <c r="AJ235" s="14">
        <f>F235*AI235*in_hlth_family_ticket*in_hlth_family_comm*in_ins_partner_share+F235*in_hlth_family_ticket*in_hlth_family_renew_comm*in_ins_partner_share*(in_hlth_family_renew^1*SUMIFS(AI179:AI235,B179:B235,B235-12)+in_hlth_family_renew^2*SUMIFS(AI179:AI235,B179:B235,B235-24)+in_hlth_family_renew^3*SUMIFS(AI179:AI235,B179:B235,B235-36)+in_hlth_family_renew^4*SUMIFS(AI179:AI235,B179:B235,B235-48))</f>
        <v/>
      </c>
      <c r="AK235" s="40">
        <f>AK234*(1-IF(B234&gt;=in_marketplace_from,d_hz_life_term*G234,0))</f>
        <v/>
      </c>
      <c r="AL235" s="46">
        <f>AK235*IF(B235&gt;=in_marketplace_from,d_hz_life_term*G235,0)</f>
        <v/>
      </c>
      <c r="AM235" s="14">
        <f>F235*AL235*in_life_term_ticket*in_life_term_comm*in_ins_partner_share+F235*in_life_term_ticket*in_life_term_renew_comm*in_ins_partner_share*(in_life_term_renew^1*SUMIFS(AL179:AL235,B179:B235,B235-12)+in_life_term_renew^2*SUMIFS(AL179:AL235,B179:B235,B235-24)+in_life_term_renew^3*SUMIFS(AL179:AL235,B179:B235,B235-36)+in_life_term_renew^4*SUMIFS(AL179:AL235,B179:B235,B235-48))</f>
        <v/>
      </c>
      <c r="AN235" s="40">
        <f>AN234*(1-IF(B234&gt;=in_marketplace_from,d_hz_accident*G234,0))</f>
        <v/>
      </c>
      <c r="AO235" s="46">
        <f>AN235*IF(B235&gt;=in_marketplace_from,d_hz_accident*G235,0)</f>
        <v/>
      </c>
      <c r="AP235" s="14">
        <f>F235*AO235*in_accident_ticket*in_accident_comm*in_ins_partner_share+F235*in_accident_ticket*in_accident_renew_comm*in_ins_partner_share*(in_accident_renew^1*SUMIFS(AO179:AO235,B179:B235,B235-12)+in_accident_renew^2*SUMIFS(AO179:AO235,B179:B235,B235-24)+in_accident_renew^3*SUMIFS(AO179:AO235,B179:B235,B235-36)+in_accident_renew^4*SUMIFS(AO179:AO235,B179:B235,B235-48))</f>
        <v/>
      </c>
      <c r="AQ235" s="40">
        <f>AQ234*(1-IF(B234&gt;=in_marketplace_from,d_hz_two_wheeler*G234,0))</f>
        <v/>
      </c>
      <c r="AR235" s="46">
        <f>AQ235*IF(B235&gt;=in_marketplace_from,d_hz_two_wheeler*G235,0)</f>
        <v/>
      </c>
      <c r="AS235" s="14">
        <f>F235*AR235*in_two_wheeler_ticket*in_two_wheeler_comm*in_ins_partner_share+F235*in_two_wheeler_ticket*in_two_wheeler_comm*in_ins_partner_share*(in_two_wheeler_renew^1*SUMIFS(AR179:AR235,B179:B235,B235-12)+in_two_wheeler_renew^2*SUMIFS(AR179:AR235,B179:B235,B235-24)+in_two_wheeler_renew^3*SUMIFS(AR179:AR235,B179:B235,B235-36)+in_two_wheeler_renew^4*SUMIFS(AR179:AR235,B179:B235,B235-48))</f>
        <v/>
      </c>
      <c r="AT235" s="40">
        <f>AT234*(1-IF(B234&gt;=in_marketplace_from,d_hz_device*G234,0))</f>
        <v/>
      </c>
      <c r="AU235" s="14">
        <f>F235*AT235*IF(B235&gt;=in_marketplace_from,d_hz_device*G235,0)*in_device_ticket*in_device_comm*in_ins_partner_share</f>
        <v/>
      </c>
      <c r="AV235" s="40">
        <f>AV234*(1-IF(B234&gt;=in_marketplace_from,d_hz_shop*G234,0))</f>
        <v/>
      </c>
      <c r="AW235" s="46">
        <f>AV235*IF(B235&gt;=in_marketplace_from,d_hz_shop*G235,0)</f>
        <v/>
      </c>
      <c r="AX235" s="14">
        <f>F235*AW235*in_shop_ticket*in_shop_comm*in_ins_partner_share+F235*in_shop_ticket*in_shop_renew_comm*in_ins_partner_share*(in_shop_renew^1*SUMIFS(AW179:AW235,B179:B235,B235-12)+in_shop_renew^2*SUMIFS(AW179:AW235,B179:B235,B235-24)+in_shop_renew^3*SUMIFS(AW179:AW235,B179:B235,B235-36)+in_shop_renew^4*SUMIFS(AW179:AW235,B179:B235,B235-48))</f>
        <v/>
      </c>
      <c r="AY235" s="40">
        <f>AY234*(1-IF(B234&gt;=in_marketplace_from,d_hz_sip*G234,0))</f>
        <v/>
      </c>
      <c r="AZ235" s="40">
        <f>AZ234*d_rho_sip+AY235*IF(B235&gt;=in_marketplace_from,d_hz_sip*G235,0)</f>
        <v/>
      </c>
      <c r="BA235" s="40">
        <f>d_rho_sip*(BA234+AZ234)</f>
        <v/>
      </c>
      <c r="BB235" s="14">
        <f>F235*in_sip_ticket*(BA235+0.5*AZ235)*in_sip_comm/12</f>
        <v/>
      </c>
      <c r="BC235" s="40">
        <f>BC234*(1-IF(B234&gt;=in_marketplace_from,d_hz_choti*G234,0))</f>
        <v/>
      </c>
      <c r="BD235" s="46">
        <f>BC235*IF(B235&gt;=in_marketplace_from,d_hz_choti*G235,0)</f>
        <v/>
      </c>
      <c r="BE235" s="14">
        <f>F235*SUMIFS(BD179:BD235,B179:B235,B235-in_choti_months)*in_choti_renew*in_choti_ticket</f>
        <v/>
      </c>
      <c r="BF235" s="40">
        <f>BF234*(1-IF(B234&gt;=in_marketplace_from,d_hz_nps*G234,0))</f>
        <v/>
      </c>
      <c r="BG235" s="14">
        <f>F235*BF235*IF(B235&gt;=in_marketplace_from,d_hz_nps*G235,0)*in_nps_ticket*in_nps_comm</f>
        <v/>
      </c>
      <c r="BH235" s="40">
        <f>BH234*(1-IF(B234&gt;=in_marketplace_from,d_hz_gold*G234,0))</f>
        <v/>
      </c>
      <c r="BI235" s="40">
        <f>BI234*d_rho_gold+BH235*IF(B235&gt;=in_marketplace_from,d_hz_gold*G235,0)</f>
        <v/>
      </c>
      <c r="BJ235" s="14">
        <f>F235*BI235*in_gold_ticket*in_gold_comm</f>
        <v/>
      </c>
      <c r="BK235" s="40">
        <f>BK234*(1-IF(B234&gt;=in_marketplace_from,d_hz_fd*G234,0))</f>
        <v/>
      </c>
      <c r="BL235" s="14">
        <f>F235*BK235*IF(B235&gt;=in_marketplace_from,d_hz_fd*G235,0)*in_fd_ticket*in_fd_comm</f>
        <v/>
      </c>
      <c r="BM235" s="40">
        <f>BM234*(1-IF(B234&gt;=in_marketplace_from,d_hz_recharge*G234,0))</f>
        <v/>
      </c>
      <c r="BN235" s="40">
        <f>BN234*d_rho_recharge+BM235*IF(B235&gt;=in_marketplace_from,d_hz_recharge*G235,0)</f>
        <v/>
      </c>
      <c r="BO235" s="14">
        <f>F235*BN235*in_recharge_ticket*in_recharge_comm/12</f>
        <v/>
      </c>
      <c r="BP235" s="40">
        <f>BP234*(1-IF(B234&gt;=in_marketplace_from,d_hz_bills*G234,0))</f>
        <v/>
      </c>
      <c r="BQ235" s="40">
        <f>BQ234*d_rho_bills+BP235*IF(B235&gt;=in_marketplace_from,d_hz_bills*G235,0)</f>
        <v/>
      </c>
      <c r="BR235" s="14">
        <f>F235*BQ235*in_bills_ticket*in_bills_comm/12</f>
        <v/>
      </c>
      <c r="BS235" s="40">
        <f>BS234*(1-IF(B234&gt;=in_marketplace_from,d_hz_loan_gold*G234,0))</f>
        <v/>
      </c>
      <c r="BT235" s="14">
        <f>F235*BS235*IF(B235&gt;=in_marketplace_from,d_hz_loan_gold*G235,0)*in_loan_gold_ticket*in_loan_gold_comm</f>
        <v/>
      </c>
      <c r="BU235" s="40">
        <f>BU234*(1-IF(B234&gt;=in_marketplace_from,d_hz_loan_cd*G234,0))</f>
        <v/>
      </c>
      <c r="BV235" s="14">
        <f>F235*BU235*IF(B235&gt;=in_marketplace_from,d_hz_loan_cd*G235,0)*in_loan_cd_ticket*in_loan_cd_comm</f>
        <v/>
      </c>
      <c r="BW235" s="40">
        <f>BW234*(1-IF(B234&gt;=in_marketplace_from,d_hz_loan_vehicle*G234,0))</f>
        <v/>
      </c>
      <c r="BX235" s="14">
        <f>F235*BW235*IF(B235&gt;=in_marketplace_from,d_hz_loan_vehicle*G235,0)*in_loan_vehicle_ticket*in_loan_vehicle_comm</f>
        <v/>
      </c>
      <c r="BY235" s="40">
        <f>BY234*(1-IF(B234&gt;=in_marketplace_from,d_hz_loan_home*G234,0)*BZ234)</f>
        <v/>
      </c>
      <c r="BZ235" s="11">
        <f>MIN(in_approval_cap,in_loan_home_approval*INDEX('Age profile'!$O$2:$O$61,B235)*(1+in_approval_growth)^(D235-1))</f>
        <v/>
      </c>
      <c r="CA235" s="14">
        <f>F235*BY235*IF(B235&gt;=in_marketplace_from,d_hz_loan_home*G235,0)*BZ235*in_loan_home_ticket*in_loan_home_comm</f>
        <v/>
      </c>
      <c r="CB235" s="40">
        <f>CB234*(1-IF(B234&gt;=in_marketplace_from,d_hz_loan_lap*G234,0)*CC234)</f>
        <v/>
      </c>
      <c r="CC235" s="11">
        <f>MIN(in_approval_cap,in_loan_lap_approval*INDEX('Age profile'!$O$2:$O$61,B235)*(1+in_approval_growth)^(D235-1))</f>
        <v/>
      </c>
      <c r="CD235" s="14">
        <f>F235*CB235*IF(B235&gt;=in_marketplace_from,d_hz_loan_lap*G235,0)*CC235*in_loan_lap_ticket*in_loan_lap_comm</f>
        <v/>
      </c>
      <c r="CE235" s="14">
        <f>AA235+AB235+AC235+AD235+AG235+AJ235+AM235+AP235+AS235+AU235+AX235+BB235+BE235+BG235+BJ235+BL235+BO235+BR235+BT235+BV235+BX235+CA235+CD235</f>
        <v/>
      </c>
    </row>
    <row r="236">
      <c r="A236" s="39" t="n">
        <v>5</v>
      </c>
      <c r="B236" s="39" t="n">
        <v>1</v>
      </c>
      <c r="C236" s="39">
        <f>A236+B236-1</f>
        <v/>
      </c>
      <c r="D236" s="39">
        <f>INT((C236-1)/12)+1</f>
        <v/>
      </c>
      <c r="E236" s="44">
        <f>INDEX(Monthly!$B$2:$B$61,A236)</f>
        <v/>
      </c>
      <c r="F236" s="44">
        <f>E236*INDEX('Age profile'!$B$2:$B$61,B236)</f>
        <v/>
      </c>
      <c r="G236" s="45">
        <f>MIN(in_takeup_cap,INDEX('Age profile'!$N$2:$N$61,B236)*(1+in_takeup_growth)^(D236-1))</f>
        <v/>
      </c>
      <c r="H236" s="11">
        <f>MIN(in_approval_cap,in_approved_first*INDEX('Age profile'!$O$2:$O$61,B236)*(1+in_approval_growth)^(D236-1))</f>
        <v/>
      </c>
      <c r="I236" s="45">
        <f>G236*MIN(in_takeup_cap,INDEX('Age profile'!$O$2:$O$61,B236)*(1+in_approval_growth)^(D236-1))</f>
        <v/>
      </c>
      <c r="J236" s="40">
        <f>E236</f>
        <v/>
      </c>
      <c r="K236" s="40" t="n">
        <v>0</v>
      </c>
      <c r="L236" s="40">
        <f>IF(B236&gt;=in_marketplace_from,J236*d_hz*G236*in_eligible*H236,0)</f>
        <v/>
      </c>
      <c r="M236" s="40">
        <f>IF(B236&gt;=in_marketplace_from,K236*d_hz*G236*in_eligible*in_approved_repeat,0)</f>
        <v/>
      </c>
      <c r="N236" s="40">
        <f>L236+M236</f>
        <v/>
      </c>
      <c r="O236" s="46">
        <f>N236/F236</f>
        <v/>
      </c>
      <c r="P236" s="40">
        <f>F236-J236-K236</f>
        <v/>
      </c>
      <c r="Q236" s="40">
        <f>IF(B236&gt;=in_marketplace_from,(J236+K236)*d_hz*G236,0)</f>
        <v/>
      </c>
      <c r="R236" s="40">
        <f>SUMIFS(N236:N291,B236:B291,"&gt;="&amp;(B236-d_T),B236:B291,"&lt;="&amp;(B236-1))</f>
        <v/>
      </c>
      <c r="S236" s="46" t="n">
        <v>0</v>
      </c>
      <c r="T236" s="40">
        <f>F236*d_u*S236</f>
        <v/>
      </c>
      <c r="U236" s="9">
        <f>L236*in_ticket+M236*d_rep_ticket</f>
        <v/>
      </c>
      <c r="V236" s="9">
        <f>U236+T236*d_topup_amt</f>
        <v/>
      </c>
      <c r="W236" s="40">
        <f>N236+T236*d_topup_ratio</f>
        <v/>
      </c>
      <c r="X236" s="40">
        <f>SUMIFS(W236:W291,B236:B291,B236-in_dpd_lag)*d_cured</f>
        <v/>
      </c>
      <c r="Y236" s="40">
        <f>SUMIFS(W236:W291,B236:B291,B236-in_rec_lag)*d_recd</f>
        <v/>
      </c>
      <c r="Z236" s="40">
        <f>IF(AND(B236&gt;=in_marketplace_from,B236&lt;in_marketplace_from+in_card_months),in_card_share/in_card_months*F236*I236,IF(AND(B236&gt;=in_marketplace_from+in_card_months,B236&lt;in_marketplace_from+2*in_card_months),in_card_share*d_card_rem/in_card_months*F236*MIN(in_takeup_cap,(1+in_takeup_growth)^(D236-1))*MIN(in_takeup_cap,(1+in_approval_growth)^(D236-1)),0))</f>
        <v/>
      </c>
      <c r="AA236" s="14">
        <f>V236*in_fee*(1-in_taken_back)</f>
        <v/>
      </c>
      <c r="AB236" s="14">
        <f>SUMIFS(W236:W291,B236:B291,B236-in_dpd_lag)*d_dpd</f>
        <v/>
      </c>
      <c r="AC236" s="14">
        <f>SUMIFS(W236:W291,B236:B291,B236-in_rec_lag)*d_rec</f>
        <v/>
      </c>
      <c r="AD236" s="14">
        <f>Z236*in_card_fee</f>
        <v/>
      </c>
      <c r="AE236" s="40" t="n">
        <v>1</v>
      </c>
      <c r="AF236" s="46">
        <f>AE236*IF(B236&gt;=in_marketplace_from,d_hz_hlth_small*G236,0)</f>
        <v/>
      </c>
      <c r="AG236" s="14">
        <f>F236*AF236*in_hlth_small_ticket*in_hlth_small_comm*in_ins_partner_share+F236*in_hlth_small_ticket*in_hlth_small_renew_comm*in_ins_partner_share*(in_hlth_small_renew^1*SUMIFS(AF236:AF291,B236:B291,B236-12)+in_hlth_small_renew^2*SUMIFS(AF236:AF291,B236:B291,B236-24)+in_hlth_small_renew^3*SUMIFS(AF236:AF291,B236:B291,B236-36)+in_hlth_small_renew^4*SUMIFS(AF236:AF291,B236:B291,B236-48))</f>
        <v/>
      </c>
      <c r="AH236" s="40" t="n">
        <v>1</v>
      </c>
      <c r="AI236" s="46">
        <f>AH236*IF(B236&gt;=in_marketplace_from,d_hz_hlth_family*G236,0)</f>
        <v/>
      </c>
      <c r="AJ236" s="14">
        <f>F236*AI236*in_hlth_family_ticket*in_hlth_family_comm*in_ins_partner_share+F236*in_hlth_family_ticket*in_hlth_family_renew_comm*in_ins_partner_share*(in_hlth_family_renew^1*SUMIFS(AI236:AI291,B236:B291,B236-12)+in_hlth_family_renew^2*SUMIFS(AI236:AI291,B236:B291,B236-24)+in_hlth_family_renew^3*SUMIFS(AI236:AI291,B236:B291,B236-36)+in_hlth_family_renew^4*SUMIFS(AI236:AI291,B236:B291,B236-48))</f>
        <v/>
      </c>
      <c r="AK236" s="40" t="n">
        <v>1</v>
      </c>
      <c r="AL236" s="46">
        <f>AK236*IF(B236&gt;=in_marketplace_from,d_hz_life_term*G236,0)</f>
        <v/>
      </c>
      <c r="AM236" s="14">
        <f>F236*AL236*in_life_term_ticket*in_life_term_comm*in_ins_partner_share+F236*in_life_term_ticket*in_life_term_renew_comm*in_ins_partner_share*(in_life_term_renew^1*SUMIFS(AL236:AL291,B236:B291,B236-12)+in_life_term_renew^2*SUMIFS(AL236:AL291,B236:B291,B236-24)+in_life_term_renew^3*SUMIFS(AL236:AL291,B236:B291,B236-36)+in_life_term_renew^4*SUMIFS(AL236:AL291,B236:B291,B236-48))</f>
        <v/>
      </c>
      <c r="AN236" s="40" t="n">
        <v>1</v>
      </c>
      <c r="AO236" s="46">
        <f>AN236*IF(B236&gt;=in_marketplace_from,d_hz_accident*G236,0)</f>
        <v/>
      </c>
      <c r="AP236" s="14">
        <f>F236*AO236*in_accident_ticket*in_accident_comm*in_ins_partner_share+F236*in_accident_ticket*in_accident_renew_comm*in_ins_partner_share*(in_accident_renew^1*SUMIFS(AO236:AO291,B236:B291,B236-12)+in_accident_renew^2*SUMIFS(AO236:AO291,B236:B291,B236-24)+in_accident_renew^3*SUMIFS(AO236:AO291,B236:B291,B236-36)+in_accident_renew^4*SUMIFS(AO236:AO291,B236:B291,B236-48))</f>
        <v/>
      </c>
      <c r="AQ236" s="40" t="n">
        <v>1</v>
      </c>
      <c r="AR236" s="46">
        <f>AQ236*IF(B236&gt;=in_marketplace_from,d_hz_two_wheeler*G236,0)</f>
        <v/>
      </c>
      <c r="AS236" s="14">
        <f>F236*AR236*in_two_wheeler_ticket*in_two_wheeler_comm*in_ins_partner_share+F236*in_two_wheeler_ticket*in_two_wheeler_comm*in_ins_partner_share*(in_two_wheeler_renew^1*SUMIFS(AR236:AR291,B236:B291,B236-12)+in_two_wheeler_renew^2*SUMIFS(AR236:AR291,B236:B291,B236-24)+in_two_wheeler_renew^3*SUMIFS(AR236:AR291,B236:B291,B236-36)+in_two_wheeler_renew^4*SUMIFS(AR236:AR291,B236:B291,B236-48))</f>
        <v/>
      </c>
      <c r="AT236" s="40" t="n">
        <v>1</v>
      </c>
      <c r="AU236" s="14">
        <f>F236*AT236*IF(B236&gt;=in_marketplace_from,d_hz_device*G236,0)*in_device_ticket*in_device_comm*in_ins_partner_share</f>
        <v/>
      </c>
      <c r="AV236" s="40" t="n">
        <v>1</v>
      </c>
      <c r="AW236" s="46">
        <f>AV236*IF(B236&gt;=in_marketplace_from,d_hz_shop*G236,0)</f>
        <v/>
      </c>
      <c r="AX236" s="14">
        <f>F236*AW236*in_shop_ticket*in_shop_comm*in_ins_partner_share+F236*in_shop_ticket*in_shop_renew_comm*in_ins_partner_share*(in_shop_renew^1*SUMIFS(AW236:AW291,B236:B291,B236-12)+in_shop_renew^2*SUMIFS(AW236:AW291,B236:B291,B236-24)+in_shop_renew^3*SUMIFS(AW236:AW291,B236:B291,B236-36)+in_shop_renew^4*SUMIFS(AW236:AW291,B236:B291,B236-48))</f>
        <v/>
      </c>
      <c r="AY236" s="40" t="n">
        <v>1</v>
      </c>
      <c r="AZ236" s="40">
        <f>AY236*IF(B236&gt;=in_marketplace_from,d_hz_sip*G236,0)</f>
        <v/>
      </c>
      <c r="BA236" s="40" t="n">
        <v>0</v>
      </c>
      <c r="BB236" s="14">
        <f>F236*in_sip_ticket*(BA236+0.5*AZ236)*in_sip_comm/12</f>
        <v/>
      </c>
      <c r="BC236" s="40" t="n">
        <v>1</v>
      </c>
      <c r="BD236" s="46">
        <f>BC236*IF(B236&gt;=in_marketplace_from,d_hz_choti*G236,0)</f>
        <v/>
      </c>
      <c r="BE236" s="14">
        <f>F236*SUMIFS(BD236:BD291,B236:B291,B236-in_choti_months)*in_choti_renew*in_choti_ticket</f>
        <v/>
      </c>
      <c r="BF236" s="40" t="n">
        <v>1</v>
      </c>
      <c r="BG236" s="14">
        <f>F236*BF236*IF(B236&gt;=in_marketplace_from,d_hz_nps*G236,0)*in_nps_ticket*in_nps_comm</f>
        <v/>
      </c>
      <c r="BH236" s="40" t="n">
        <v>1</v>
      </c>
      <c r="BI236" s="40">
        <f>BH236*IF(B236&gt;=in_marketplace_from,d_hz_gold*G236,0)</f>
        <v/>
      </c>
      <c r="BJ236" s="14">
        <f>F236*BI236*in_gold_ticket*in_gold_comm</f>
        <v/>
      </c>
      <c r="BK236" s="40" t="n">
        <v>1</v>
      </c>
      <c r="BL236" s="14">
        <f>F236*BK236*IF(B236&gt;=in_marketplace_from,d_hz_fd*G236,0)*in_fd_ticket*in_fd_comm</f>
        <v/>
      </c>
      <c r="BM236" s="40" t="n">
        <v>1</v>
      </c>
      <c r="BN236" s="40">
        <f>BM236*IF(B236&gt;=in_marketplace_from,d_hz_recharge*G236,0)</f>
        <v/>
      </c>
      <c r="BO236" s="14">
        <f>F236*BN236*in_recharge_ticket*in_recharge_comm/12</f>
        <v/>
      </c>
      <c r="BP236" s="40" t="n">
        <v>1</v>
      </c>
      <c r="BQ236" s="40">
        <f>BP236*IF(B236&gt;=in_marketplace_from,d_hz_bills*G236,0)</f>
        <v/>
      </c>
      <c r="BR236" s="14">
        <f>F236*BQ236*in_bills_ticket*in_bills_comm/12</f>
        <v/>
      </c>
      <c r="BS236" s="40" t="n">
        <v>1</v>
      </c>
      <c r="BT236" s="14">
        <f>F236*BS236*IF(B236&gt;=in_marketplace_from,d_hz_loan_gold*G236,0)*in_loan_gold_ticket*in_loan_gold_comm</f>
        <v/>
      </c>
      <c r="BU236" s="40" t="n">
        <v>1</v>
      </c>
      <c r="BV236" s="14">
        <f>F236*BU236*IF(B236&gt;=in_marketplace_from,d_hz_loan_cd*G236,0)*in_loan_cd_ticket*in_loan_cd_comm</f>
        <v/>
      </c>
      <c r="BW236" s="40" t="n">
        <v>1</v>
      </c>
      <c r="BX236" s="14">
        <f>F236*BW236*IF(B236&gt;=in_marketplace_from,d_hz_loan_vehicle*G236,0)*in_loan_vehicle_ticket*in_loan_vehicle_comm</f>
        <v/>
      </c>
      <c r="BY236" s="40" t="n">
        <v>1</v>
      </c>
      <c r="BZ236" s="11">
        <f>MIN(in_approval_cap,in_loan_home_approval*INDEX('Age profile'!$O$2:$O$61,B236)*(1+in_approval_growth)^(D236-1))</f>
        <v/>
      </c>
      <c r="CA236" s="14">
        <f>F236*BY236*IF(B236&gt;=in_marketplace_from,d_hz_loan_home*G236,0)*BZ236*in_loan_home_ticket*in_loan_home_comm</f>
        <v/>
      </c>
      <c r="CB236" s="40" t="n">
        <v>1</v>
      </c>
      <c r="CC236" s="11">
        <f>MIN(in_approval_cap,in_loan_lap_approval*INDEX('Age profile'!$O$2:$O$61,B236)*(1+in_approval_growth)^(D236-1))</f>
        <v/>
      </c>
      <c r="CD236" s="14">
        <f>F236*CB236*IF(B236&gt;=in_marketplace_from,d_hz_loan_lap*G236,0)*CC236*in_loan_lap_ticket*in_loan_lap_comm</f>
        <v/>
      </c>
      <c r="CE236" s="14">
        <f>AA236+AB236+AC236+AD236+AG236+AJ236+AM236+AP236+AS236+AU236+AX236+BB236+BE236+BG236+BJ236+BL236+BO236+BR236+BT236+BV236+BX236+CA236+CD236</f>
        <v/>
      </c>
    </row>
    <row r="237">
      <c r="A237" s="39" t="n">
        <v>5</v>
      </c>
      <c r="B237" s="39" t="n">
        <v>2</v>
      </c>
      <c r="C237" s="39">
        <f>A237+B237-1</f>
        <v/>
      </c>
      <c r="D237" s="39">
        <f>INT((C237-1)/12)+1</f>
        <v/>
      </c>
      <c r="E237" s="44">
        <f>INDEX(Monthly!$B$2:$B$61,A237)</f>
        <v/>
      </c>
      <c r="F237" s="44">
        <f>E237*INDEX('Age profile'!$B$2:$B$61,B237)</f>
        <v/>
      </c>
      <c r="G237" s="45">
        <f>MIN(in_takeup_cap,INDEX('Age profile'!$N$2:$N$61,B237)*(1+in_takeup_growth)^(D237-1))</f>
        <v/>
      </c>
      <c r="H237" s="11">
        <f>MIN(in_approval_cap,in_approved_first*INDEX('Age profile'!$O$2:$O$61,B237)*(1+in_approval_growth)^(D237-1))</f>
        <v/>
      </c>
      <c r="I237" s="45">
        <f>G237*MIN(in_takeup_cap,INDEX('Age profile'!$O$2:$O$61,B237)*(1+in_approval_growth)^(D237-1))</f>
        <v/>
      </c>
      <c r="J237" s="40">
        <f>(J236-L236)*F237/F236</f>
        <v/>
      </c>
      <c r="K237" s="40">
        <f>(K236-M236)*F237/F236+SUMIFS(O236:O236,B236:B236,B237-1-d_T)*F237</f>
        <v/>
      </c>
      <c r="L237" s="40">
        <f>IF(B237&gt;=in_marketplace_from,J237*d_hz*G237*in_eligible*H237,0)</f>
        <v/>
      </c>
      <c r="M237" s="40">
        <f>IF(B237&gt;=in_marketplace_from,K237*d_hz*G237*in_eligible*in_approved_repeat,0)</f>
        <v/>
      </c>
      <c r="N237" s="40">
        <f>L237+M237</f>
        <v/>
      </c>
      <c r="O237" s="46">
        <f>N237/F237</f>
        <v/>
      </c>
      <c r="P237" s="40">
        <f>F237-J237-K237</f>
        <v/>
      </c>
      <c r="Q237" s="40">
        <f>IF(B237&gt;=in_marketplace_from,(J237+K237)*d_hz*G237,0)</f>
        <v/>
      </c>
      <c r="R237" s="40">
        <f>SUMIFS(N236:N291,B236:B291,"&gt;="&amp;(B237-d_T),B236:B291,"&lt;="&amp;(B237-1))</f>
        <v/>
      </c>
      <c r="S237" s="46">
        <f>(1-d_u)*S236+IF(d_T&gt;in_topup_lag,SUMIFS(O236:O291,B236:B291,B237-in_topup_lag)-d_udrop*SUMIFS(O236:O291,B236:B291,B237-d_T),0)</f>
        <v/>
      </c>
      <c r="T237" s="40">
        <f>F237*d_u*S237</f>
        <v/>
      </c>
      <c r="U237" s="9">
        <f>L237*in_ticket+M237*d_rep_ticket</f>
        <v/>
      </c>
      <c r="V237" s="9">
        <f>U237+T237*d_topup_amt</f>
        <v/>
      </c>
      <c r="W237" s="40">
        <f>N237+T237*d_topup_ratio</f>
        <v/>
      </c>
      <c r="X237" s="40">
        <f>SUMIFS(W236:W291,B236:B291,B237-in_dpd_lag)*d_cured</f>
        <v/>
      </c>
      <c r="Y237" s="40">
        <f>SUMIFS(W236:W291,B236:B291,B237-in_rec_lag)*d_recd</f>
        <v/>
      </c>
      <c r="Z237" s="40">
        <f>IF(AND(B237&gt;=in_marketplace_from,B237&lt;in_marketplace_from+in_card_months),in_card_share/in_card_months*F237*I237,IF(AND(B237&gt;=in_marketplace_from+in_card_months,B237&lt;in_marketplace_from+2*in_card_months),in_card_share*d_card_rem/in_card_months*F237*MIN(in_takeup_cap,(1+in_takeup_growth)^(D237-1))*MIN(in_takeup_cap,(1+in_approval_growth)^(D237-1)),0))</f>
        <v/>
      </c>
      <c r="AA237" s="14">
        <f>V237*in_fee*(1-in_taken_back)</f>
        <v/>
      </c>
      <c r="AB237" s="14">
        <f>SUMIFS(W236:W291,B236:B291,B237-in_dpd_lag)*d_dpd</f>
        <v/>
      </c>
      <c r="AC237" s="14">
        <f>SUMIFS(W236:W291,B236:B291,B237-in_rec_lag)*d_rec</f>
        <v/>
      </c>
      <c r="AD237" s="14">
        <f>Z237*in_card_fee</f>
        <v/>
      </c>
      <c r="AE237" s="40">
        <f>AE236*(1-IF(B236&gt;=in_marketplace_from,d_hz_hlth_small*G236,0))</f>
        <v/>
      </c>
      <c r="AF237" s="46">
        <f>AE237*IF(B237&gt;=in_marketplace_from,d_hz_hlth_small*G237,0)</f>
        <v/>
      </c>
      <c r="AG237" s="14">
        <f>F237*AF237*in_hlth_small_ticket*in_hlth_small_comm*in_ins_partner_share+F237*in_hlth_small_ticket*in_hlth_small_renew_comm*in_ins_partner_share*(in_hlth_small_renew^1*SUMIFS(AF236:AF291,B236:B291,B237-12)+in_hlth_small_renew^2*SUMIFS(AF236:AF291,B236:B291,B237-24)+in_hlth_small_renew^3*SUMIFS(AF236:AF291,B236:B291,B237-36)+in_hlth_small_renew^4*SUMIFS(AF236:AF291,B236:B291,B237-48))</f>
        <v/>
      </c>
      <c r="AH237" s="40">
        <f>AH236*(1-IF(B236&gt;=in_marketplace_from,d_hz_hlth_family*G236,0))</f>
        <v/>
      </c>
      <c r="AI237" s="46">
        <f>AH237*IF(B237&gt;=in_marketplace_from,d_hz_hlth_family*G237,0)</f>
        <v/>
      </c>
      <c r="AJ237" s="14">
        <f>F237*AI237*in_hlth_family_ticket*in_hlth_family_comm*in_ins_partner_share+F237*in_hlth_family_ticket*in_hlth_family_renew_comm*in_ins_partner_share*(in_hlth_family_renew^1*SUMIFS(AI236:AI291,B236:B291,B237-12)+in_hlth_family_renew^2*SUMIFS(AI236:AI291,B236:B291,B237-24)+in_hlth_family_renew^3*SUMIFS(AI236:AI291,B236:B291,B237-36)+in_hlth_family_renew^4*SUMIFS(AI236:AI291,B236:B291,B237-48))</f>
        <v/>
      </c>
      <c r="AK237" s="40">
        <f>AK236*(1-IF(B236&gt;=in_marketplace_from,d_hz_life_term*G236,0))</f>
        <v/>
      </c>
      <c r="AL237" s="46">
        <f>AK237*IF(B237&gt;=in_marketplace_from,d_hz_life_term*G237,0)</f>
        <v/>
      </c>
      <c r="AM237" s="14">
        <f>F237*AL237*in_life_term_ticket*in_life_term_comm*in_ins_partner_share+F237*in_life_term_ticket*in_life_term_renew_comm*in_ins_partner_share*(in_life_term_renew^1*SUMIFS(AL236:AL291,B236:B291,B237-12)+in_life_term_renew^2*SUMIFS(AL236:AL291,B236:B291,B237-24)+in_life_term_renew^3*SUMIFS(AL236:AL291,B236:B291,B237-36)+in_life_term_renew^4*SUMIFS(AL236:AL291,B236:B291,B237-48))</f>
        <v/>
      </c>
      <c r="AN237" s="40">
        <f>AN236*(1-IF(B236&gt;=in_marketplace_from,d_hz_accident*G236,0))</f>
        <v/>
      </c>
      <c r="AO237" s="46">
        <f>AN237*IF(B237&gt;=in_marketplace_from,d_hz_accident*G237,0)</f>
        <v/>
      </c>
      <c r="AP237" s="14">
        <f>F237*AO237*in_accident_ticket*in_accident_comm*in_ins_partner_share+F237*in_accident_ticket*in_accident_renew_comm*in_ins_partner_share*(in_accident_renew^1*SUMIFS(AO236:AO291,B236:B291,B237-12)+in_accident_renew^2*SUMIFS(AO236:AO291,B236:B291,B237-24)+in_accident_renew^3*SUMIFS(AO236:AO291,B236:B291,B237-36)+in_accident_renew^4*SUMIFS(AO236:AO291,B236:B291,B237-48))</f>
        <v/>
      </c>
      <c r="AQ237" s="40">
        <f>AQ236*(1-IF(B236&gt;=in_marketplace_from,d_hz_two_wheeler*G236,0))</f>
        <v/>
      </c>
      <c r="AR237" s="46">
        <f>AQ237*IF(B237&gt;=in_marketplace_from,d_hz_two_wheeler*G237,0)</f>
        <v/>
      </c>
      <c r="AS237" s="14">
        <f>F237*AR237*in_two_wheeler_ticket*in_two_wheeler_comm*in_ins_partner_share+F237*in_two_wheeler_ticket*in_two_wheeler_comm*in_ins_partner_share*(in_two_wheeler_renew^1*SUMIFS(AR236:AR291,B236:B291,B237-12)+in_two_wheeler_renew^2*SUMIFS(AR236:AR291,B236:B291,B237-24)+in_two_wheeler_renew^3*SUMIFS(AR236:AR291,B236:B291,B237-36)+in_two_wheeler_renew^4*SUMIFS(AR236:AR291,B236:B291,B237-48))</f>
        <v/>
      </c>
      <c r="AT237" s="40">
        <f>AT236*(1-IF(B236&gt;=in_marketplace_from,d_hz_device*G236,0))</f>
        <v/>
      </c>
      <c r="AU237" s="14">
        <f>F237*AT237*IF(B237&gt;=in_marketplace_from,d_hz_device*G237,0)*in_device_ticket*in_device_comm*in_ins_partner_share</f>
        <v/>
      </c>
      <c r="AV237" s="40">
        <f>AV236*(1-IF(B236&gt;=in_marketplace_from,d_hz_shop*G236,0))</f>
        <v/>
      </c>
      <c r="AW237" s="46">
        <f>AV237*IF(B237&gt;=in_marketplace_from,d_hz_shop*G237,0)</f>
        <v/>
      </c>
      <c r="AX237" s="14">
        <f>F237*AW237*in_shop_ticket*in_shop_comm*in_ins_partner_share+F237*in_shop_ticket*in_shop_renew_comm*in_ins_partner_share*(in_shop_renew^1*SUMIFS(AW236:AW291,B236:B291,B237-12)+in_shop_renew^2*SUMIFS(AW236:AW291,B236:B291,B237-24)+in_shop_renew^3*SUMIFS(AW236:AW291,B236:B291,B237-36)+in_shop_renew^4*SUMIFS(AW236:AW291,B236:B291,B237-48))</f>
        <v/>
      </c>
      <c r="AY237" s="40">
        <f>AY236*(1-IF(B236&gt;=in_marketplace_from,d_hz_sip*G236,0))</f>
        <v/>
      </c>
      <c r="AZ237" s="40">
        <f>AZ236*d_rho_sip+AY237*IF(B237&gt;=in_marketplace_from,d_hz_sip*G237,0)</f>
        <v/>
      </c>
      <c r="BA237" s="40">
        <f>d_rho_sip*(BA236+AZ236)</f>
        <v/>
      </c>
      <c r="BB237" s="14">
        <f>F237*in_sip_ticket*(BA237+0.5*AZ237)*in_sip_comm/12</f>
        <v/>
      </c>
      <c r="BC237" s="40">
        <f>BC236*(1-IF(B236&gt;=in_marketplace_from,d_hz_choti*G236,0))</f>
        <v/>
      </c>
      <c r="BD237" s="46">
        <f>BC237*IF(B237&gt;=in_marketplace_from,d_hz_choti*G237,0)</f>
        <v/>
      </c>
      <c r="BE237" s="14">
        <f>F237*SUMIFS(BD236:BD291,B236:B291,B237-in_choti_months)*in_choti_renew*in_choti_ticket</f>
        <v/>
      </c>
      <c r="BF237" s="40">
        <f>BF236*(1-IF(B236&gt;=in_marketplace_from,d_hz_nps*G236,0))</f>
        <v/>
      </c>
      <c r="BG237" s="14">
        <f>F237*BF237*IF(B237&gt;=in_marketplace_from,d_hz_nps*G237,0)*in_nps_ticket*in_nps_comm</f>
        <v/>
      </c>
      <c r="BH237" s="40">
        <f>BH236*(1-IF(B236&gt;=in_marketplace_from,d_hz_gold*G236,0))</f>
        <v/>
      </c>
      <c r="BI237" s="40">
        <f>BI236*d_rho_gold+BH237*IF(B237&gt;=in_marketplace_from,d_hz_gold*G237,0)</f>
        <v/>
      </c>
      <c r="BJ237" s="14">
        <f>F237*BI237*in_gold_ticket*in_gold_comm</f>
        <v/>
      </c>
      <c r="BK237" s="40">
        <f>BK236*(1-IF(B236&gt;=in_marketplace_from,d_hz_fd*G236,0))</f>
        <v/>
      </c>
      <c r="BL237" s="14">
        <f>F237*BK237*IF(B237&gt;=in_marketplace_from,d_hz_fd*G237,0)*in_fd_ticket*in_fd_comm</f>
        <v/>
      </c>
      <c r="BM237" s="40">
        <f>BM236*(1-IF(B236&gt;=in_marketplace_from,d_hz_recharge*G236,0))</f>
        <v/>
      </c>
      <c r="BN237" s="40">
        <f>BN236*d_rho_recharge+BM237*IF(B237&gt;=in_marketplace_from,d_hz_recharge*G237,0)</f>
        <v/>
      </c>
      <c r="BO237" s="14">
        <f>F237*BN237*in_recharge_ticket*in_recharge_comm/12</f>
        <v/>
      </c>
      <c r="BP237" s="40">
        <f>BP236*(1-IF(B236&gt;=in_marketplace_from,d_hz_bills*G236,0))</f>
        <v/>
      </c>
      <c r="BQ237" s="40">
        <f>BQ236*d_rho_bills+BP237*IF(B237&gt;=in_marketplace_from,d_hz_bills*G237,0)</f>
        <v/>
      </c>
      <c r="BR237" s="14">
        <f>F237*BQ237*in_bills_ticket*in_bills_comm/12</f>
        <v/>
      </c>
      <c r="BS237" s="40">
        <f>BS236*(1-IF(B236&gt;=in_marketplace_from,d_hz_loan_gold*G236,0))</f>
        <v/>
      </c>
      <c r="BT237" s="14">
        <f>F237*BS237*IF(B237&gt;=in_marketplace_from,d_hz_loan_gold*G237,0)*in_loan_gold_ticket*in_loan_gold_comm</f>
        <v/>
      </c>
      <c r="BU237" s="40">
        <f>BU236*(1-IF(B236&gt;=in_marketplace_from,d_hz_loan_cd*G236,0))</f>
        <v/>
      </c>
      <c r="BV237" s="14">
        <f>F237*BU237*IF(B237&gt;=in_marketplace_from,d_hz_loan_cd*G237,0)*in_loan_cd_ticket*in_loan_cd_comm</f>
        <v/>
      </c>
      <c r="BW237" s="40">
        <f>BW236*(1-IF(B236&gt;=in_marketplace_from,d_hz_loan_vehicle*G236,0))</f>
        <v/>
      </c>
      <c r="BX237" s="14">
        <f>F237*BW237*IF(B237&gt;=in_marketplace_from,d_hz_loan_vehicle*G237,0)*in_loan_vehicle_ticket*in_loan_vehicle_comm</f>
        <v/>
      </c>
      <c r="BY237" s="40">
        <f>BY236*(1-IF(B236&gt;=in_marketplace_from,d_hz_loan_home*G236,0)*BZ236)</f>
        <v/>
      </c>
      <c r="BZ237" s="11">
        <f>MIN(in_approval_cap,in_loan_home_approval*INDEX('Age profile'!$O$2:$O$61,B237)*(1+in_approval_growth)^(D237-1))</f>
        <v/>
      </c>
      <c r="CA237" s="14">
        <f>F237*BY237*IF(B237&gt;=in_marketplace_from,d_hz_loan_home*G237,0)*BZ237*in_loan_home_ticket*in_loan_home_comm</f>
        <v/>
      </c>
      <c r="CB237" s="40">
        <f>CB236*(1-IF(B236&gt;=in_marketplace_from,d_hz_loan_lap*G236,0)*CC236)</f>
        <v/>
      </c>
      <c r="CC237" s="11">
        <f>MIN(in_approval_cap,in_loan_lap_approval*INDEX('Age profile'!$O$2:$O$61,B237)*(1+in_approval_growth)^(D237-1))</f>
        <v/>
      </c>
      <c r="CD237" s="14">
        <f>F237*CB237*IF(B237&gt;=in_marketplace_from,d_hz_loan_lap*G237,0)*CC237*in_loan_lap_ticket*in_loan_lap_comm</f>
        <v/>
      </c>
      <c r="CE237" s="14">
        <f>AA237+AB237+AC237+AD237+AG237+AJ237+AM237+AP237+AS237+AU237+AX237+BB237+BE237+BG237+BJ237+BL237+BO237+BR237+BT237+BV237+BX237+CA237+CD237</f>
        <v/>
      </c>
    </row>
    <row r="238">
      <c r="A238" s="39" t="n">
        <v>5</v>
      </c>
      <c r="B238" s="39" t="n">
        <v>3</v>
      </c>
      <c r="C238" s="39">
        <f>A238+B238-1</f>
        <v/>
      </c>
      <c r="D238" s="39">
        <f>INT((C238-1)/12)+1</f>
        <v/>
      </c>
      <c r="E238" s="44">
        <f>INDEX(Monthly!$B$2:$B$61,A238)</f>
        <v/>
      </c>
      <c r="F238" s="44">
        <f>E238*INDEX('Age profile'!$B$2:$B$61,B238)</f>
        <v/>
      </c>
      <c r="G238" s="45">
        <f>MIN(in_takeup_cap,INDEX('Age profile'!$N$2:$N$61,B238)*(1+in_takeup_growth)^(D238-1))</f>
        <v/>
      </c>
      <c r="H238" s="11">
        <f>MIN(in_approval_cap,in_approved_first*INDEX('Age profile'!$O$2:$O$61,B238)*(1+in_approval_growth)^(D238-1))</f>
        <v/>
      </c>
      <c r="I238" s="45">
        <f>G238*MIN(in_takeup_cap,INDEX('Age profile'!$O$2:$O$61,B238)*(1+in_approval_growth)^(D238-1))</f>
        <v/>
      </c>
      <c r="J238" s="40">
        <f>(J237-L237)*F238/F237</f>
        <v/>
      </c>
      <c r="K238" s="40">
        <f>(K237-M237)*F238/F237+SUMIFS(O236:O237,B236:B237,B238-1-d_T)*F238</f>
        <v/>
      </c>
      <c r="L238" s="40">
        <f>IF(B238&gt;=in_marketplace_from,J238*d_hz*G238*in_eligible*H238,0)</f>
        <v/>
      </c>
      <c r="M238" s="40">
        <f>IF(B238&gt;=in_marketplace_from,K238*d_hz*G238*in_eligible*in_approved_repeat,0)</f>
        <v/>
      </c>
      <c r="N238" s="40">
        <f>L238+M238</f>
        <v/>
      </c>
      <c r="O238" s="46">
        <f>N238/F238</f>
        <v/>
      </c>
      <c r="P238" s="40">
        <f>F238-J238-K238</f>
        <v/>
      </c>
      <c r="Q238" s="40">
        <f>IF(B238&gt;=in_marketplace_from,(J238+K238)*d_hz*G238,0)</f>
        <v/>
      </c>
      <c r="R238" s="40">
        <f>SUMIFS(N236:N291,B236:B291,"&gt;="&amp;(B238-d_T),B236:B291,"&lt;="&amp;(B238-1))</f>
        <v/>
      </c>
      <c r="S238" s="46">
        <f>(1-d_u)*S237+IF(d_T&gt;in_topup_lag,SUMIFS(O236:O291,B236:B291,B238-in_topup_lag)-d_udrop*SUMIFS(O236:O291,B236:B291,B238-d_T),0)</f>
        <v/>
      </c>
      <c r="T238" s="40">
        <f>F238*d_u*S238</f>
        <v/>
      </c>
      <c r="U238" s="9">
        <f>L238*in_ticket+M238*d_rep_ticket</f>
        <v/>
      </c>
      <c r="V238" s="9">
        <f>U238+T238*d_topup_amt</f>
        <v/>
      </c>
      <c r="W238" s="40">
        <f>N238+T238*d_topup_ratio</f>
        <v/>
      </c>
      <c r="X238" s="40">
        <f>SUMIFS(W236:W291,B236:B291,B238-in_dpd_lag)*d_cured</f>
        <v/>
      </c>
      <c r="Y238" s="40">
        <f>SUMIFS(W236:W291,B236:B291,B238-in_rec_lag)*d_recd</f>
        <v/>
      </c>
      <c r="Z238" s="40">
        <f>IF(AND(B238&gt;=in_marketplace_from,B238&lt;in_marketplace_from+in_card_months),in_card_share/in_card_months*F238*I238,IF(AND(B238&gt;=in_marketplace_from+in_card_months,B238&lt;in_marketplace_from+2*in_card_months),in_card_share*d_card_rem/in_card_months*F238*MIN(in_takeup_cap,(1+in_takeup_growth)^(D238-1))*MIN(in_takeup_cap,(1+in_approval_growth)^(D238-1)),0))</f>
        <v/>
      </c>
      <c r="AA238" s="14">
        <f>V238*in_fee*(1-in_taken_back)</f>
        <v/>
      </c>
      <c r="AB238" s="14">
        <f>SUMIFS(W236:W291,B236:B291,B238-in_dpd_lag)*d_dpd</f>
        <v/>
      </c>
      <c r="AC238" s="14">
        <f>SUMIFS(W236:W291,B236:B291,B238-in_rec_lag)*d_rec</f>
        <v/>
      </c>
      <c r="AD238" s="14">
        <f>Z238*in_card_fee</f>
        <v/>
      </c>
      <c r="AE238" s="40">
        <f>AE237*(1-IF(B237&gt;=in_marketplace_from,d_hz_hlth_small*G237,0))</f>
        <v/>
      </c>
      <c r="AF238" s="46">
        <f>AE238*IF(B238&gt;=in_marketplace_from,d_hz_hlth_small*G238,0)</f>
        <v/>
      </c>
      <c r="AG238" s="14">
        <f>F238*AF238*in_hlth_small_ticket*in_hlth_small_comm*in_ins_partner_share+F238*in_hlth_small_ticket*in_hlth_small_renew_comm*in_ins_partner_share*(in_hlth_small_renew^1*SUMIFS(AF236:AF291,B236:B291,B238-12)+in_hlth_small_renew^2*SUMIFS(AF236:AF291,B236:B291,B238-24)+in_hlth_small_renew^3*SUMIFS(AF236:AF291,B236:B291,B238-36)+in_hlth_small_renew^4*SUMIFS(AF236:AF291,B236:B291,B238-48))</f>
        <v/>
      </c>
      <c r="AH238" s="40">
        <f>AH237*(1-IF(B237&gt;=in_marketplace_from,d_hz_hlth_family*G237,0))</f>
        <v/>
      </c>
      <c r="AI238" s="46">
        <f>AH238*IF(B238&gt;=in_marketplace_from,d_hz_hlth_family*G238,0)</f>
        <v/>
      </c>
      <c r="AJ238" s="14">
        <f>F238*AI238*in_hlth_family_ticket*in_hlth_family_comm*in_ins_partner_share+F238*in_hlth_family_ticket*in_hlth_family_renew_comm*in_ins_partner_share*(in_hlth_family_renew^1*SUMIFS(AI236:AI291,B236:B291,B238-12)+in_hlth_family_renew^2*SUMIFS(AI236:AI291,B236:B291,B238-24)+in_hlth_family_renew^3*SUMIFS(AI236:AI291,B236:B291,B238-36)+in_hlth_family_renew^4*SUMIFS(AI236:AI291,B236:B291,B238-48))</f>
        <v/>
      </c>
      <c r="AK238" s="40">
        <f>AK237*(1-IF(B237&gt;=in_marketplace_from,d_hz_life_term*G237,0))</f>
        <v/>
      </c>
      <c r="AL238" s="46">
        <f>AK238*IF(B238&gt;=in_marketplace_from,d_hz_life_term*G238,0)</f>
        <v/>
      </c>
      <c r="AM238" s="14">
        <f>F238*AL238*in_life_term_ticket*in_life_term_comm*in_ins_partner_share+F238*in_life_term_ticket*in_life_term_renew_comm*in_ins_partner_share*(in_life_term_renew^1*SUMIFS(AL236:AL291,B236:B291,B238-12)+in_life_term_renew^2*SUMIFS(AL236:AL291,B236:B291,B238-24)+in_life_term_renew^3*SUMIFS(AL236:AL291,B236:B291,B238-36)+in_life_term_renew^4*SUMIFS(AL236:AL291,B236:B291,B238-48))</f>
        <v/>
      </c>
      <c r="AN238" s="40">
        <f>AN237*(1-IF(B237&gt;=in_marketplace_from,d_hz_accident*G237,0))</f>
        <v/>
      </c>
      <c r="AO238" s="46">
        <f>AN238*IF(B238&gt;=in_marketplace_from,d_hz_accident*G238,0)</f>
        <v/>
      </c>
      <c r="AP238" s="14">
        <f>F238*AO238*in_accident_ticket*in_accident_comm*in_ins_partner_share+F238*in_accident_ticket*in_accident_renew_comm*in_ins_partner_share*(in_accident_renew^1*SUMIFS(AO236:AO291,B236:B291,B238-12)+in_accident_renew^2*SUMIFS(AO236:AO291,B236:B291,B238-24)+in_accident_renew^3*SUMIFS(AO236:AO291,B236:B291,B238-36)+in_accident_renew^4*SUMIFS(AO236:AO291,B236:B291,B238-48))</f>
        <v/>
      </c>
      <c r="AQ238" s="40">
        <f>AQ237*(1-IF(B237&gt;=in_marketplace_from,d_hz_two_wheeler*G237,0))</f>
        <v/>
      </c>
      <c r="AR238" s="46">
        <f>AQ238*IF(B238&gt;=in_marketplace_from,d_hz_two_wheeler*G238,0)</f>
        <v/>
      </c>
      <c r="AS238" s="14">
        <f>F238*AR238*in_two_wheeler_ticket*in_two_wheeler_comm*in_ins_partner_share+F238*in_two_wheeler_ticket*in_two_wheeler_comm*in_ins_partner_share*(in_two_wheeler_renew^1*SUMIFS(AR236:AR291,B236:B291,B238-12)+in_two_wheeler_renew^2*SUMIFS(AR236:AR291,B236:B291,B238-24)+in_two_wheeler_renew^3*SUMIFS(AR236:AR291,B236:B291,B238-36)+in_two_wheeler_renew^4*SUMIFS(AR236:AR291,B236:B291,B238-48))</f>
        <v/>
      </c>
      <c r="AT238" s="40">
        <f>AT237*(1-IF(B237&gt;=in_marketplace_from,d_hz_device*G237,0))</f>
        <v/>
      </c>
      <c r="AU238" s="14">
        <f>F238*AT238*IF(B238&gt;=in_marketplace_from,d_hz_device*G238,0)*in_device_ticket*in_device_comm*in_ins_partner_share</f>
        <v/>
      </c>
      <c r="AV238" s="40">
        <f>AV237*(1-IF(B237&gt;=in_marketplace_from,d_hz_shop*G237,0))</f>
        <v/>
      </c>
      <c r="AW238" s="46">
        <f>AV238*IF(B238&gt;=in_marketplace_from,d_hz_shop*G238,0)</f>
        <v/>
      </c>
      <c r="AX238" s="14">
        <f>F238*AW238*in_shop_ticket*in_shop_comm*in_ins_partner_share+F238*in_shop_ticket*in_shop_renew_comm*in_ins_partner_share*(in_shop_renew^1*SUMIFS(AW236:AW291,B236:B291,B238-12)+in_shop_renew^2*SUMIFS(AW236:AW291,B236:B291,B238-24)+in_shop_renew^3*SUMIFS(AW236:AW291,B236:B291,B238-36)+in_shop_renew^4*SUMIFS(AW236:AW291,B236:B291,B238-48))</f>
        <v/>
      </c>
      <c r="AY238" s="40">
        <f>AY237*(1-IF(B237&gt;=in_marketplace_from,d_hz_sip*G237,0))</f>
        <v/>
      </c>
      <c r="AZ238" s="40">
        <f>AZ237*d_rho_sip+AY238*IF(B238&gt;=in_marketplace_from,d_hz_sip*G238,0)</f>
        <v/>
      </c>
      <c r="BA238" s="40">
        <f>d_rho_sip*(BA237+AZ237)</f>
        <v/>
      </c>
      <c r="BB238" s="14">
        <f>F238*in_sip_ticket*(BA238+0.5*AZ238)*in_sip_comm/12</f>
        <v/>
      </c>
      <c r="BC238" s="40">
        <f>BC237*(1-IF(B237&gt;=in_marketplace_from,d_hz_choti*G237,0))</f>
        <v/>
      </c>
      <c r="BD238" s="46">
        <f>BC238*IF(B238&gt;=in_marketplace_from,d_hz_choti*G238,0)</f>
        <v/>
      </c>
      <c r="BE238" s="14">
        <f>F238*SUMIFS(BD236:BD291,B236:B291,B238-in_choti_months)*in_choti_renew*in_choti_ticket</f>
        <v/>
      </c>
      <c r="BF238" s="40">
        <f>BF237*(1-IF(B237&gt;=in_marketplace_from,d_hz_nps*G237,0))</f>
        <v/>
      </c>
      <c r="BG238" s="14">
        <f>F238*BF238*IF(B238&gt;=in_marketplace_from,d_hz_nps*G238,0)*in_nps_ticket*in_nps_comm</f>
        <v/>
      </c>
      <c r="BH238" s="40">
        <f>BH237*(1-IF(B237&gt;=in_marketplace_from,d_hz_gold*G237,0))</f>
        <v/>
      </c>
      <c r="BI238" s="40">
        <f>BI237*d_rho_gold+BH238*IF(B238&gt;=in_marketplace_from,d_hz_gold*G238,0)</f>
        <v/>
      </c>
      <c r="BJ238" s="14">
        <f>F238*BI238*in_gold_ticket*in_gold_comm</f>
        <v/>
      </c>
      <c r="BK238" s="40">
        <f>BK237*(1-IF(B237&gt;=in_marketplace_from,d_hz_fd*G237,0))</f>
        <v/>
      </c>
      <c r="BL238" s="14">
        <f>F238*BK238*IF(B238&gt;=in_marketplace_from,d_hz_fd*G238,0)*in_fd_ticket*in_fd_comm</f>
        <v/>
      </c>
      <c r="BM238" s="40">
        <f>BM237*(1-IF(B237&gt;=in_marketplace_from,d_hz_recharge*G237,0))</f>
        <v/>
      </c>
      <c r="BN238" s="40">
        <f>BN237*d_rho_recharge+BM238*IF(B238&gt;=in_marketplace_from,d_hz_recharge*G238,0)</f>
        <v/>
      </c>
      <c r="BO238" s="14">
        <f>F238*BN238*in_recharge_ticket*in_recharge_comm/12</f>
        <v/>
      </c>
      <c r="BP238" s="40">
        <f>BP237*(1-IF(B237&gt;=in_marketplace_from,d_hz_bills*G237,0))</f>
        <v/>
      </c>
      <c r="BQ238" s="40">
        <f>BQ237*d_rho_bills+BP238*IF(B238&gt;=in_marketplace_from,d_hz_bills*G238,0)</f>
        <v/>
      </c>
      <c r="BR238" s="14">
        <f>F238*BQ238*in_bills_ticket*in_bills_comm/12</f>
        <v/>
      </c>
      <c r="BS238" s="40">
        <f>BS237*(1-IF(B237&gt;=in_marketplace_from,d_hz_loan_gold*G237,0))</f>
        <v/>
      </c>
      <c r="BT238" s="14">
        <f>F238*BS238*IF(B238&gt;=in_marketplace_from,d_hz_loan_gold*G238,0)*in_loan_gold_ticket*in_loan_gold_comm</f>
        <v/>
      </c>
      <c r="BU238" s="40">
        <f>BU237*(1-IF(B237&gt;=in_marketplace_from,d_hz_loan_cd*G237,0))</f>
        <v/>
      </c>
      <c r="BV238" s="14">
        <f>F238*BU238*IF(B238&gt;=in_marketplace_from,d_hz_loan_cd*G238,0)*in_loan_cd_ticket*in_loan_cd_comm</f>
        <v/>
      </c>
      <c r="BW238" s="40">
        <f>BW237*(1-IF(B237&gt;=in_marketplace_from,d_hz_loan_vehicle*G237,0))</f>
        <v/>
      </c>
      <c r="BX238" s="14">
        <f>F238*BW238*IF(B238&gt;=in_marketplace_from,d_hz_loan_vehicle*G238,0)*in_loan_vehicle_ticket*in_loan_vehicle_comm</f>
        <v/>
      </c>
      <c r="BY238" s="40">
        <f>BY237*(1-IF(B237&gt;=in_marketplace_from,d_hz_loan_home*G237,0)*BZ237)</f>
        <v/>
      </c>
      <c r="BZ238" s="11">
        <f>MIN(in_approval_cap,in_loan_home_approval*INDEX('Age profile'!$O$2:$O$61,B238)*(1+in_approval_growth)^(D238-1))</f>
        <v/>
      </c>
      <c r="CA238" s="14">
        <f>F238*BY238*IF(B238&gt;=in_marketplace_from,d_hz_loan_home*G238,0)*BZ238*in_loan_home_ticket*in_loan_home_comm</f>
        <v/>
      </c>
      <c r="CB238" s="40">
        <f>CB237*(1-IF(B237&gt;=in_marketplace_from,d_hz_loan_lap*G237,0)*CC237)</f>
        <v/>
      </c>
      <c r="CC238" s="11">
        <f>MIN(in_approval_cap,in_loan_lap_approval*INDEX('Age profile'!$O$2:$O$61,B238)*(1+in_approval_growth)^(D238-1))</f>
        <v/>
      </c>
      <c r="CD238" s="14">
        <f>F238*CB238*IF(B238&gt;=in_marketplace_from,d_hz_loan_lap*G238,0)*CC238*in_loan_lap_ticket*in_loan_lap_comm</f>
        <v/>
      </c>
      <c r="CE238" s="14">
        <f>AA238+AB238+AC238+AD238+AG238+AJ238+AM238+AP238+AS238+AU238+AX238+BB238+BE238+BG238+BJ238+BL238+BO238+BR238+BT238+BV238+BX238+CA238+CD238</f>
        <v/>
      </c>
    </row>
    <row r="239">
      <c r="A239" s="39" t="n">
        <v>5</v>
      </c>
      <c r="B239" s="39" t="n">
        <v>4</v>
      </c>
      <c r="C239" s="39">
        <f>A239+B239-1</f>
        <v/>
      </c>
      <c r="D239" s="39">
        <f>INT((C239-1)/12)+1</f>
        <v/>
      </c>
      <c r="E239" s="44">
        <f>INDEX(Monthly!$B$2:$B$61,A239)</f>
        <v/>
      </c>
      <c r="F239" s="44">
        <f>E239*INDEX('Age profile'!$B$2:$B$61,B239)</f>
        <v/>
      </c>
      <c r="G239" s="45">
        <f>MIN(in_takeup_cap,INDEX('Age profile'!$N$2:$N$61,B239)*(1+in_takeup_growth)^(D239-1))</f>
        <v/>
      </c>
      <c r="H239" s="11">
        <f>MIN(in_approval_cap,in_approved_first*INDEX('Age profile'!$O$2:$O$61,B239)*(1+in_approval_growth)^(D239-1))</f>
        <v/>
      </c>
      <c r="I239" s="45">
        <f>G239*MIN(in_takeup_cap,INDEX('Age profile'!$O$2:$O$61,B239)*(1+in_approval_growth)^(D239-1))</f>
        <v/>
      </c>
      <c r="J239" s="40">
        <f>(J238-L238)*F239/F238</f>
        <v/>
      </c>
      <c r="K239" s="40">
        <f>(K238-M238)*F239/F238+SUMIFS(O236:O238,B236:B238,B239-1-d_T)*F239</f>
        <v/>
      </c>
      <c r="L239" s="40">
        <f>IF(B239&gt;=in_marketplace_from,J239*d_hz*G239*in_eligible*H239,0)</f>
        <v/>
      </c>
      <c r="M239" s="40">
        <f>IF(B239&gt;=in_marketplace_from,K239*d_hz*G239*in_eligible*in_approved_repeat,0)</f>
        <v/>
      </c>
      <c r="N239" s="40">
        <f>L239+M239</f>
        <v/>
      </c>
      <c r="O239" s="46">
        <f>N239/F239</f>
        <v/>
      </c>
      <c r="P239" s="40">
        <f>F239-J239-K239</f>
        <v/>
      </c>
      <c r="Q239" s="40">
        <f>IF(B239&gt;=in_marketplace_from,(J239+K239)*d_hz*G239,0)</f>
        <v/>
      </c>
      <c r="R239" s="40">
        <f>SUMIFS(N236:N291,B236:B291,"&gt;="&amp;(B239-d_T),B236:B291,"&lt;="&amp;(B239-1))</f>
        <v/>
      </c>
      <c r="S239" s="46">
        <f>(1-d_u)*S238+IF(d_T&gt;in_topup_lag,SUMIFS(O236:O291,B236:B291,B239-in_topup_lag)-d_udrop*SUMIFS(O236:O291,B236:B291,B239-d_T),0)</f>
        <v/>
      </c>
      <c r="T239" s="40">
        <f>F239*d_u*S239</f>
        <v/>
      </c>
      <c r="U239" s="9">
        <f>L239*in_ticket+M239*d_rep_ticket</f>
        <v/>
      </c>
      <c r="V239" s="9">
        <f>U239+T239*d_topup_amt</f>
        <v/>
      </c>
      <c r="W239" s="40">
        <f>N239+T239*d_topup_ratio</f>
        <v/>
      </c>
      <c r="X239" s="40">
        <f>SUMIFS(W236:W291,B236:B291,B239-in_dpd_lag)*d_cured</f>
        <v/>
      </c>
      <c r="Y239" s="40">
        <f>SUMIFS(W236:W291,B236:B291,B239-in_rec_lag)*d_recd</f>
        <v/>
      </c>
      <c r="Z239" s="40">
        <f>IF(AND(B239&gt;=in_marketplace_from,B239&lt;in_marketplace_from+in_card_months),in_card_share/in_card_months*F239*I239,IF(AND(B239&gt;=in_marketplace_from+in_card_months,B239&lt;in_marketplace_from+2*in_card_months),in_card_share*d_card_rem/in_card_months*F239*MIN(in_takeup_cap,(1+in_takeup_growth)^(D239-1))*MIN(in_takeup_cap,(1+in_approval_growth)^(D239-1)),0))</f>
        <v/>
      </c>
      <c r="AA239" s="14">
        <f>V239*in_fee*(1-in_taken_back)</f>
        <v/>
      </c>
      <c r="AB239" s="14">
        <f>SUMIFS(W236:W291,B236:B291,B239-in_dpd_lag)*d_dpd</f>
        <v/>
      </c>
      <c r="AC239" s="14">
        <f>SUMIFS(W236:W291,B236:B291,B239-in_rec_lag)*d_rec</f>
        <v/>
      </c>
      <c r="AD239" s="14">
        <f>Z239*in_card_fee</f>
        <v/>
      </c>
      <c r="AE239" s="40">
        <f>AE238*(1-IF(B238&gt;=in_marketplace_from,d_hz_hlth_small*G238,0))</f>
        <v/>
      </c>
      <c r="AF239" s="46">
        <f>AE239*IF(B239&gt;=in_marketplace_from,d_hz_hlth_small*G239,0)</f>
        <v/>
      </c>
      <c r="AG239" s="14">
        <f>F239*AF239*in_hlth_small_ticket*in_hlth_small_comm*in_ins_partner_share+F239*in_hlth_small_ticket*in_hlth_small_renew_comm*in_ins_partner_share*(in_hlth_small_renew^1*SUMIFS(AF236:AF291,B236:B291,B239-12)+in_hlth_small_renew^2*SUMIFS(AF236:AF291,B236:B291,B239-24)+in_hlth_small_renew^3*SUMIFS(AF236:AF291,B236:B291,B239-36)+in_hlth_small_renew^4*SUMIFS(AF236:AF291,B236:B291,B239-48))</f>
        <v/>
      </c>
      <c r="AH239" s="40">
        <f>AH238*(1-IF(B238&gt;=in_marketplace_from,d_hz_hlth_family*G238,0))</f>
        <v/>
      </c>
      <c r="AI239" s="46">
        <f>AH239*IF(B239&gt;=in_marketplace_from,d_hz_hlth_family*G239,0)</f>
        <v/>
      </c>
      <c r="AJ239" s="14">
        <f>F239*AI239*in_hlth_family_ticket*in_hlth_family_comm*in_ins_partner_share+F239*in_hlth_family_ticket*in_hlth_family_renew_comm*in_ins_partner_share*(in_hlth_family_renew^1*SUMIFS(AI236:AI291,B236:B291,B239-12)+in_hlth_family_renew^2*SUMIFS(AI236:AI291,B236:B291,B239-24)+in_hlth_family_renew^3*SUMIFS(AI236:AI291,B236:B291,B239-36)+in_hlth_family_renew^4*SUMIFS(AI236:AI291,B236:B291,B239-48))</f>
        <v/>
      </c>
      <c r="AK239" s="40">
        <f>AK238*(1-IF(B238&gt;=in_marketplace_from,d_hz_life_term*G238,0))</f>
        <v/>
      </c>
      <c r="AL239" s="46">
        <f>AK239*IF(B239&gt;=in_marketplace_from,d_hz_life_term*G239,0)</f>
        <v/>
      </c>
      <c r="AM239" s="14">
        <f>F239*AL239*in_life_term_ticket*in_life_term_comm*in_ins_partner_share+F239*in_life_term_ticket*in_life_term_renew_comm*in_ins_partner_share*(in_life_term_renew^1*SUMIFS(AL236:AL291,B236:B291,B239-12)+in_life_term_renew^2*SUMIFS(AL236:AL291,B236:B291,B239-24)+in_life_term_renew^3*SUMIFS(AL236:AL291,B236:B291,B239-36)+in_life_term_renew^4*SUMIFS(AL236:AL291,B236:B291,B239-48))</f>
        <v/>
      </c>
      <c r="AN239" s="40">
        <f>AN238*(1-IF(B238&gt;=in_marketplace_from,d_hz_accident*G238,0))</f>
        <v/>
      </c>
      <c r="AO239" s="46">
        <f>AN239*IF(B239&gt;=in_marketplace_from,d_hz_accident*G239,0)</f>
        <v/>
      </c>
      <c r="AP239" s="14">
        <f>F239*AO239*in_accident_ticket*in_accident_comm*in_ins_partner_share+F239*in_accident_ticket*in_accident_renew_comm*in_ins_partner_share*(in_accident_renew^1*SUMIFS(AO236:AO291,B236:B291,B239-12)+in_accident_renew^2*SUMIFS(AO236:AO291,B236:B291,B239-24)+in_accident_renew^3*SUMIFS(AO236:AO291,B236:B291,B239-36)+in_accident_renew^4*SUMIFS(AO236:AO291,B236:B291,B239-48))</f>
        <v/>
      </c>
      <c r="AQ239" s="40">
        <f>AQ238*(1-IF(B238&gt;=in_marketplace_from,d_hz_two_wheeler*G238,0))</f>
        <v/>
      </c>
      <c r="AR239" s="46">
        <f>AQ239*IF(B239&gt;=in_marketplace_from,d_hz_two_wheeler*G239,0)</f>
        <v/>
      </c>
      <c r="AS239" s="14">
        <f>F239*AR239*in_two_wheeler_ticket*in_two_wheeler_comm*in_ins_partner_share+F239*in_two_wheeler_ticket*in_two_wheeler_comm*in_ins_partner_share*(in_two_wheeler_renew^1*SUMIFS(AR236:AR291,B236:B291,B239-12)+in_two_wheeler_renew^2*SUMIFS(AR236:AR291,B236:B291,B239-24)+in_two_wheeler_renew^3*SUMIFS(AR236:AR291,B236:B291,B239-36)+in_two_wheeler_renew^4*SUMIFS(AR236:AR291,B236:B291,B239-48))</f>
        <v/>
      </c>
      <c r="AT239" s="40">
        <f>AT238*(1-IF(B238&gt;=in_marketplace_from,d_hz_device*G238,0))</f>
        <v/>
      </c>
      <c r="AU239" s="14">
        <f>F239*AT239*IF(B239&gt;=in_marketplace_from,d_hz_device*G239,0)*in_device_ticket*in_device_comm*in_ins_partner_share</f>
        <v/>
      </c>
      <c r="AV239" s="40">
        <f>AV238*(1-IF(B238&gt;=in_marketplace_from,d_hz_shop*G238,0))</f>
        <v/>
      </c>
      <c r="AW239" s="46">
        <f>AV239*IF(B239&gt;=in_marketplace_from,d_hz_shop*G239,0)</f>
        <v/>
      </c>
      <c r="AX239" s="14">
        <f>F239*AW239*in_shop_ticket*in_shop_comm*in_ins_partner_share+F239*in_shop_ticket*in_shop_renew_comm*in_ins_partner_share*(in_shop_renew^1*SUMIFS(AW236:AW291,B236:B291,B239-12)+in_shop_renew^2*SUMIFS(AW236:AW291,B236:B291,B239-24)+in_shop_renew^3*SUMIFS(AW236:AW291,B236:B291,B239-36)+in_shop_renew^4*SUMIFS(AW236:AW291,B236:B291,B239-48))</f>
        <v/>
      </c>
      <c r="AY239" s="40">
        <f>AY238*(1-IF(B238&gt;=in_marketplace_from,d_hz_sip*G238,0))</f>
        <v/>
      </c>
      <c r="AZ239" s="40">
        <f>AZ238*d_rho_sip+AY239*IF(B239&gt;=in_marketplace_from,d_hz_sip*G239,0)</f>
        <v/>
      </c>
      <c r="BA239" s="40">
        <f>d_rho_sip*(BA238+AZ238)</f>
        <v/>
      </c>
      <c r="BB239" s="14">
        <f>F239*in_sip_ticket*(BA239+0.5*AZ239)*in_sip_comm/12</f>
        <v/>
      </c>
      <c r="BC239" s="40">
        <f>BC238*(1-IF(B238&gt;=in_marketplace_from,d_hz_choti*G238,0))</f>
        <v/>
      </c>
      <c r="BD239" s="46">
        <f>BC239*IF(B239&gt;=in_marketplace_from,d_hz_choti*G239,0)</f>
        <v/>
      </c>
      <c r="BE239" s="14">
        <f>F239*SUMIFS(BD236:BD291,B236:B291,B239-in_choti_months)*in_choti_renew*in_choti_ticket</f>
        <v/>
      </c>
      <c r="BF239" s="40">
        <f>BF238*(1-IF(B238&gt;=in_marketplace_from,d_hz_nps*G238,0))</f>
        <v/>
      </c>
      <c r="BG239" s="14">
        <f>F239*BF239*IF(B239&gt;=in_marketplace_from,d_hz_nps*G239,0)*in_nps_ticket*in_nps_comm</f>
        <v/>
      </c>
      <c r="BH239" s="40">
        <f>BH238*(1-IF(B238&gt;=in_marketplace_from,d_hz_gold*G238,0))</f>
        <v/>
      </c>
      <c r="BI239" s="40">
        <f>BI238*d_rho_gold+BH239*IF(B239&gt;=in_marketplace_from,d_hz_gold*G239,0)</f>
        <v/>
      </c>
      <c r="BJ239" s="14">
        <f>F239*BI239*in_gold_ticket*in_gold_comm</f>
        <v/>
      </c>
      <c r="BK239" s="40">
        <f>BK238*(1-IF(B238&gt;=in_marketplace_from,d_hz_fd*G238,0))</f>
        <v/>
      </c>
      <c r="BL239" s="14">
        <f>F239*BK239*IF(B239&gt;=in_marketplace_from,d_hz_fd*G239,0)*in_fd_ticket*in_fd_comm</f>
        <v/>
      </c>
      <c r="BM239" s="40">
        <f>BM238*(1-IF(B238&gt;=in_marketplace_from,d_hz_recharge*G238,0))</f>
        <v/>
      </c>
      <c r="BN239" s="40">
        <f>BN238*d_rho_recharge+BM239*IF(B239&gt;=in_marketplace_from,d_hz_recharge*G239,0)</f>
        <v/>
      </c>
      <c r="BO239" s="14">
        <f>F239*BN239*in_recharge_ticket*in_recharge_comm/12</f>
        <v/>
      </c>
      <c r="BP239" s="40">
        <f>BP238*(1-IF(B238&gt;=in_marketplace_from,d_hz_bills*G238,0))</f>
        <v/>
      </c>
      <c r="BQ239" s="40">
        <f>BQ238*d_rho_bills+BP239*IF(B239&gt;=in_marketplace_from,d_hz_bills*G239,0)</f>
        <v/>
      </c>
      <c r="BR239" s="14">
        <f>F239*BQ239*in_bills_ticket*in_bills_comm/12</f>
        <v/>
      </c>
      <c r="BS239" s="40">
        <f>BS238*(1-IF(B238&gt;=in_marketplace_from,d_hz_loan_gold*G238,0))</f>
        <v/>
      </c>
      <c r="BT239" s="14">
        <f>F239*BS239*IF(B239&gt;=in_marketplace_from,d_hz_loan_gold*G239,0)*in_loan_gold_ticket*in_loan_gold_comm</f>
        <v/>
      </c>
      <c r="BU239" s="40">
        <f>BU238*(1-IF(B238&gt;=in_marketplace_from,d_hz_loan_cd*G238,0))</f>
        <v/>
      </c>
      <c r="BV239" s="14">
        <f>F239*BU239*IF(B239&gt;=in_marketplace_from,d_hz_loan_cd*G239,0)*in_loan_cd_ticket*in_loan_cd_comm</f>
        <v/>
      </c>
      <c r="BW239" s="40">
        <f>BW238*(1-IF(B238&gt;=in_marketplace_from,d_hz_loan_vehicle*G238,0))</f>
        <v/>
      </c>
      <c r="BX239" s="14">
        <f>F239*BW239*IF(B239&gt;=in_marketplace_from,d_hz_loan_vehicle*G239,0)*in_loan_vehicle_ticket*in_loan_vehicle_comm</f>
        <v/>
      </c>
      <c r="BY239" s="40">
        <f>BY238*(1-IF(B238&gt;=in_marketplace_from,d_hz_loan_home*G238,0)*BZ238)</f>
        <v/>
      </c>
      <c r="BZ239" s="11">
        <f>MIN(in_approval_cap,in_loan_home_approval*INDEX('Age profile'!$O$2:$O$61,B239)*(1+in_approval_growth)^(D239-1))</f>
        <v/>
      </c>
      <c r="CA239" s="14">
        <f>F239*BY239*IF(B239&gt;=in_marketplace_from,d_hz_loan_home*G239,0)*BZ239*in_loan_home_ticket*in_loan_home_comm</f>
        <v/>
      </c>
      <c r="CB239" s="40">
        <f>CB238*(1-IF(B238&gt;=in_marketplace_from,d_hz_loan_lap*G238,0)*CC238)</f>
        <v/>
      </c>
      <c r="CC239" s="11">
        <f>MIN(in_approval_cap,in_loan_lap_approval*INDEX('Age profile'!$O$2:$O$61,B239)*(1+in_approval_growth)^(D239-1))</f>
        <v/>
      </c>
      <c r="CD239" s="14">
        <f>F239*CB239*IF(B239&gt;=in_marketplace_from,d_hz_loan_lap*G239,0)*CC239*in_loan_lap_ticket*in_loan_lap_comm</f>
        <v/>
      </c>
      <c r="CE239" s="14">
        <f>AA239+AB239+AC239+AD239+AG239+AJ239+AM239+AP239+AS239+AU239+AX239+BB239+BE239+BG239+BJ239+BL239+BO239+BR239+BT239+BV239+BX239+CA239+CD239</f>
        <v/>
      </c>
    </row>
    <row r="240">
      <c r="A240" s="39" t="n">
        <v>5</v>
      </c>
      <c r="B240" s="39" t="n">
        <v>5</v>
      </c>
      <c r="C240" s="39">
        <f>A240+B240-1</f>
        <v/>
      </c>
      <c r="D240" s="39">
        <f>INT((C240-1)/12)+1</f>
        <v/>
      </c>
      <c r="E240" s="44">
        <f>INDEX(Monthly!$B$2:$B$61,A240)</f>
        <v/>
      </c>
      <c r="F240" s="44">
        <f>E240*INDEX('Age profile'!$B$2:$B$61,B240)</f>
        <v/>
      </c>
      <c r="G240" s="45">
        <f>MIN(in_takeup_cap,INDEX('Age profile'!$N$2:$N$61,B240)*(1+in_takeup_growth)^(D240-1))</f>
        <v/>
      </c>
      <c r="H240" s="11">
        <f>MIN(in_approval_cap,in_approved_first*INDEX('Age profile'!$O$2:$O$61,B240)*(1+in_approval_growth)^(D240-1))</f>
        <v/>
      </c>
      <c r="I240" s="45">
        <f>G240*MIN(in_takeup_cap,INDEX('Age profile'!$O$2:$O$61,B240)*(1+in_approval_growth)^(D240-1))</f>
        <v/>
      </c>
      <c r="J240" s="40">
        <f>(J239-L239)*F240/F239</f>
        <v/>
      </c>
      <c r="K240" s="40">
        <f>(K239-M239)*F240/F239+SUMIFS(O236:O239,B236:B239,B240-1-d_T)*F240</f>
        <v/>
      </c>
      <c r="L240" s="40">
        <f>IF(B240&gt;=in_marketplace_from,J240*d_hz*G240*in_eligible*H240,0)</f>
        <v/>
      </c>
      <c r="M240" s="40">
        <f>IF(B240&gt;=in_marketplace_from,K240*d_hz*G240*in_eligible*in_approved_repeat,0)</f>
        <v/>
      </c>
      <c r="N240" s="40">
        <f>L240+M240</f>
        <v/>
      </c>
      <c r="O240" s="46">
        <f>N240/F240</f>
        <v/>
      </c>
      <c r="P240" s="40">
        <f>F240-J240-K240</f>
        <v/>
      </c>
      <c r="Q240" s="40">
        <f>IF(B240&gt;=in_marketplace_from,(J240+K240)*d_hz*G240,0)</f>
        <v/>
      </c>
      <c r="R240" s="40">
        <f>SUMIFS(N236:N291,B236:B291,"&gt;="&amp;(B240-d_T),B236:B291,"&lt;="&amp;(B240-1))</f>
        <v/>
      </c>
      <c r="S240" s="46">
        <f>(1-d_u)*S239+IF(d_T&gt;in_topup_lag,SUMIFS(O236:O291,B236:B291,B240-in_topup_lag)-d_udrop*SUMIFS(O236:O291,B236:B291,B240-d_T),0)</f>
        <v/>
      </c>
      <c r="T240" s="40">
        <f>F240*d_u*S240</f>
        <v/>
      </c>
      <c r="U240" s="9">
        <f>L240*in_ticket+M240*d_rep_ticket</f>
        <v/>
      </c>
      <c r="V240" s="9">
        <f>U240+T240*d_topup_amt</f>
        <v/>
      </c>
      <c r="W240" s="40">
        <f>N240+T240*d_topup_ratio</f>
        <v/>
      </c>
      <c r="X240" s="40">
        <f>SUMIFS(W236:W291,B236:B291,B240-in_dpd_lag)*d_cured</f>
        <v/>
      </c>
      <c r="Y240" s="40">
        <f>SUMIFS(W236:W291,B236:B291,B240-in_rec_lag)*d_recd</f>
        <v/>
      </c>
      <c r="Z240" s="40">
        <f>IF(AND(B240&gt;=in_marketplace_from,B240&lt;in_marketplace_from+in_card_months),in_card_share/in_card_months*F240*I240,IF(AND(B240&gt;=in_marketplace_from+in_card_months,B240&lt;in_marketplace_from+2*in_card_months),in_card_share*d_card_rem/in_card_months*F240*MIN(in_takeup_cap,(1+in_takeup_growth)^(D240-1))*MIN(in_takeup_cap,(1+in_approval_growth)^(D240-1)),0))</f>
        <v/>
      </c>
      <c r="AA240" s="14">
        <f>V240*in_fee*(1-in_taken_back)</f>
        <v/>
      </c>
      <c r="AB240" s="14">
        <f>SUMIFS(W236:W291,B236:B291,B240-in_dpd_lag)*d_dpd</f>
        <v/>
      </c>
      <c r="AC240" s="14">
        <f>SUMIFS(W236:W291,B236:B291,B240-in_rec_lag)*d_rec</f>
        <v/>
      </c>
      <c r="AD240" s="14">
        <f>Z240*in_card_fee</f>
        <v/>
      </c>
      <c r="AE240" s="40">
        <f>AE239*(1-IF(B239&gt;=in_marketplace_from,d_hz_hlth_small*G239,0))</f>
        <v/>
      </c>
      <c r="AF240" s="46">
        <f>AE240*IF(B240&gt;=in_marketplace_from,d_hz_hlth_small*G240,0)</f>
        <v/>
      </c>
      <c r="AG240" s="14">
        <f>F240*AF240*in_hlth_small_ticket*in_hlth_small_comm*in_ins_partner_share+F240*in_hlth_small_ticket*in_hlth_small_renew_comm*in_ins_partner_share*(in_hlth_small_renew^1*SUMIFS(AF236:AF291,B236:B291,B240-12)+in_hlth_small_renew^2*SUMIFS(AF236:AF291,B236:B291,B240-24)+in_hlth_small_renew^3*SUMIFS(AF236:AF291,B236:B291,B240-36)+in_hlth_small_renew^4*SUMIFS(AF236:AF291,B236:B291,B240-48))</f>
        <v/>
      </c>
      <c r="AH240" s="40">
        <f>AH239*(1-IF(B239&gt;=in_marketplace_from,d_hz_hlth_family*G239,0))</f>
        <v/>
      </c>
      <c r="AI240" s="46">
        <f>AH240*IF(B240&gt;=in_marketplace_from,d_hz_hlth_family*G240,0)</f>
        <v/>
      </c>
      <c r="AJ240" s="14">
        <f>F240*AI240*in_hlth_family_ticket*in_hlth_family_comm*in_ins_partner_share+F240*in_hlth_family_ticket*in_hlth_family_renew_comm*in_ins_partner_share*(in_hlth_family_renew^1*SUMIFS(AI236:AI291,B236:B291,B240-12)+in_hlth_family_renew^2*SUMIFS(AI236:AI291,B236:B291,B240-24)+in_hlth_family_renew^3*SUMIFS(AI236:AI291,B236:B291,B240-36)+in_hlth_family_renew^4*SUMIFS(AI236:AI291,B236:B291,B240-48))</f>
        <v/>
      </c>
      <c r="AK240" s="40">
        <f>AK239*(1-IF(B239&gt;=in_marketplace_from,d_hz_life_term*G239,0))</f>
        <v/>
      </c>
      <c r="AL240" s="46">
        <f>AK240*IF(B240&gt;=in_marketplace_from,d_hz_life_term*G240,0)</f>
        <v/>
      </c>
      <c r="AM240" s="14">
        <f>F240*AL240*in_life_term_ticket*in_life_term_comm*in_ins_partner_share+F240*in_life_term_ticket*in_life_term_renew_comm*in_ins_partner_share*(in_life_term_renew^1*SUMIFS(AL236:AL291,B236:B291,B240-12)+in_life_term_renew^2*SUMIFS(AL236:AL291,B236:B291,B240-24)+in_life_term_renew^3*SUMIFS(AL236:AL291,B236:B291,B240-36)+in_life_term_renew^4*SUMIFS(AL236:AL291,B236:B291,B240-48))</f>
        <v/>
      </c>
      <c r="AN240" s="40">
        <f>AN239*(1-IF(B239&gt;=in_marketplace_from,d_hz_accident*G239,0))</f>
        <v/>
      </c>
      <c r="AO240" s="46">
        <f>AN240*IF(B240&gt;=in_marketplace_from,d_hz_accident*G240,0)</f>
        <v/>
      </c>
      <c r="AP240" s="14">
        <f>F240*AO240*in_accident_ticket*in_accident_comm*in_ins_partner_share+F240*in_accident_ticket*in_accident_renew_comm*in_ins_partner_share*(in_accident_renew^1*SUMIFS(AO236:AO291,B236:B291,B240-12)+in_accident_renew^2*SUMIFS(AO236:AO291,B236:B291,B240-24)+in_accident_renew^3*SUMIFS(AO236:AO291,B236:B291,B240-36)+in_accident_renew^4*SUMIFS(AO236:AO291,B236:B291,B240-48))</f>
        <v/>
      </c>
      <c r="AQ240" s="40">
        <f>AQ239*(1-IF(B239&gt;=in_marketplace_from,d_hz_two_wheeler*G239,0))</f>
        <v/>
      </c>
      <c r="AR240" s="46">
        <f>AQ240*IF(B240&gt;=in_marketplace_from,d_hz_two_wheeler*G240,0)</f>
        <v/>
      </c>
      <c r="AS240" s="14">
        <f>F240*AR240*in_two_wheeler_ticket*in_two_wheeler_comm*in_ins_partner_share+F240*in_two_wheeler_ticket*in_two_wheeler_comm*in_ins_partner_share*(in_two_wheeler_renew^1*SUMIFS(AR236:AR291,B236:B291,B240-12)+in_two_wheeler_renew^2*SUMIFS(AR236:AR291,B236:B291,B240-24)+in_two_wheeler_renew^3*SUMIFS(AR236:AR291,B236:B291,B240-36)+in_two_wheeler_renew^4*SUMIFS(AR236:AR291,B236:B291,B240-48))</f>
        <v/>
      </c>
      <c r="AT240" s="40">
        <f>AT239*(1-IF(B239&gt;=in_marketplace_from,d_hz_device*G239,0))</f>
        <v/>
      </c>
      <c r="AU240" s="14">
        <f>F240*AT240*IF(B240&gt;=in_marketplace_from,d_hz_device*G240,0)*in_device_ticket*in_device_comm*in_ins_partner_share</f>
        <v/>
      </c>
      <c r="AV240" s="40">
        <f>AV239*(1-IF(B239&gt;=in_marketplace_from,d_hz_shop*G239,0))</f>
        <v/>
      </c>
      <c r="AW240" s="46">
        <f>AV240*IF(B240&gt;=in_marketplace_from,d_hz_shop*G240,0)</f>
        <v/>
      </c>
      <c r="AX240" s="14">
        <f>F240*AW240*in_shop_ticket*in_shop_comm*in_ins_partner_share+F240*in_shop_ticket*in_shop_renew_comm*in_ins_partner_share*(in_shop_renew^1*SUMIFS(AW236:AW291,B236:B291,B240-12)+in_shop_renew^2*SUMIFS(AW236:AW291,B236:B291,B240-24)+in_shop_renew^3*SUMIFS(AW236:AW291,B236:B291,B240-36)+in_shop_renew^4*SUMIFS(AW236:AW291,B236:B291,B240-48))</f>
        <v/>
      </c>
      <c r="AY240" s="40">
        <f>AY239*(1-IF(B239&gt;=in_marketplace_from,d_hz_sip*G239,0))</f>
        <v/>
      </c>
      <c r="AZ240" s="40">
        <f>AZ239*d_rho_sip+AY240*IF(B240&gt;=in_marketplace_from,d_hz_sip*G240,0)</f>
        <v/>
      </c>
      <c r="BA240" s="40">
        <f>d_rho_sip*(BA239+AZ239)</f>
        <v/>
      </c>
      <c r="BB240" s="14">
        <f>F240*in_sip_ticket*(BA240+0.5*AZ240)*in_sip_comm/12</f>
        <v/>
      </c>
      <c r="BC240" s="40">
        <f>BC239*(1-IF(B239&gt;=in_marketplace_from,d_hz_choti*G239,0))</f>
        <v/>
      </c>
      <c r="BD240" s="46">
        <f>BC240*IF(B240&gt;=in_marketplace_from,d_hz_choti*G240,0)</f>
        <v/>
      </c>
      <c r="BE240" s="14">
        <f>F240*SUMIFS(BD236:BD291,B236:B291,B240-in_choti_months)*in_choti_renew*in_choti_ticket</f>
        <v/>
      </c>
      <c r="BF240" s="40">
        <f>BF239*(1-IF(B239&gt;=in_marketplace_from,d_hz_nps*G239,0))</f>
        <v/>
      </c>
      <c r="BG240" s="14">
        <f>F240*BF240*IF(B240&gt;=in_marketplace_from,d_hz_nps*G240,0)*in_nps_ticket*in_nps_comm</f>
        <v/>
      </c>
      <c r="BH240" s="40">
        <f>BH239*(1-IF(B239&gt;=in_marketplace_from,d_hz_gold*G239,0))</f>
        <v/>
      </c>
      <c r="BI240" s="40">
        <f>BI239*d_rho_gold+BH240*IF(B240&gt;=in_marketplace_from,d_hz_gold*G240,0)</f>
        <v/>
      </c>
      <c r="BJ240" s="14">
        <f>F240*BI240*in_gold_ticket*in_gold_comm</f>
        <v/>
      </c>
      <c r="BK240" s="40">
        <f>BK239*(1-IF(B239&gt;=in_marketplace_from,d_hz_fd*G239,0))</f>
        <v/>
      </c>
      <c r="BL240" s="14">
        <f>F240*BK240*IF(B240&gt;=in_marketplace_from,d_hz_fd*G240,0)*in_fd_ticket*in_fd_comm</f>
        <v/>
      </c>
      <c r="BM240" s="40">
        <f>BM239*(1-IF(B239&gt;=in_marketplace_from,d_hz_recharge*G239,0))</f>
        <v/>
      </c>
      <c r="BN240" s="40">
        <f>BN239*d_rho_recharge+BM240*IF(B240&gt;=in_marketplace_from,d_hz_recharge*G240,0)</f>
        <v/>
      </c>
      <c r="BO240" s="14">
        <f>F240*BN240*in_recharge_ticket*in_recharge_comm/12</f>
        <v/>
      </c>
      <c r="BP240" s="40">
        <f>BP239*(1-IF(B239&gt;=in_marketplace_from,d_hz_bills*G239,0))</f>
        <v/>
      </c>
      <c r="BQ240" s="40">
        <f>BQ239*d_rho_bills+BP240*IF(B240&gt;=in_marketplace_from,d_hz_bills*G240,0)</f>
        <v/>
      </c>
      <c r="BR240" s="14">
        <f>F240*BQ240*in_bills_ticket*in_bills_comm/12</f>
        <v/>
      </c>
      <c r="BS240" s="40">
        <f>BS239*(1-IF(B239&gt;=in_marketplace_from,d_hz_loan_gold*G239,0))</f>
        <v/>
      </c>
      <c r="BT240" s="14">
        <f>F240*BS240*IF(B240&gt;=in_marketplace_from,d_hz_loan_gold*G240,0)*in_loan_gold_ticket*in_loan_gold_comm</f>
        <v/>
      </c>
      <c r="BU240" s="40">
        <f>BU239*(1-IF(B239&gt;=in_marketplace_from,d_hz_loan_cd*G239,0))</f>
        <v/>
      </c>
      <c r="BV240" s="14">
        <f>F240*BU240*IF(B240&gt;=in_marketplace_from,d_hz_loan_cd*G240,0)*in_loan_cd_ticket*in_loan_cd_comm</f>
        <v/>
      </c>
      <c r="BW240" s="40">
        <f>BW239*(1-IF(B239&gt;=in_marketplace_from,d_hz_loan_vehicle*G239,0))</f>
        <v/>
      </c>
      <c r="BX240" s="14">
        <f>F240*BW240*IF(B240&gt;=in_marketplace_from,d_hz_loan_vehicle*G240,0)*in_loan_vehicle_ticket*in_loan_vehicle_comm</f>
        <v/>
      </c>
      <c r="BY240" s="40">
        <f>BY239*(1-IF(B239&gt;=in_marketplace_from,d_hz_loan_home*G239,0)*BZ239)</f>
        <v/>
      </c>
      <c r="BZ240" s="11">
        <f>MIN(in_approval_cap,in_loan_home_approval*INDEX('Age profile'!$O$2:$O$61,B240)*(1+in_approval_growth)^(D240-1))</f>
        <v/>
      </c>
      <c r="CA240" s="14">
        <f>F240*BY240*IF(B240&gt;=in_marketplace_from,d_hz_loan_home*G240,0)*BZ240*in_loan_home_ticket*in_loan_home_comm</f>
        <v/>
      </c>
      <c r="CB240" s="40">
        <f>CB239*(1-IF(B239&gt;=in_marketplace_from,d_hz_loan_lap*G239,0)*CC239)</f>
        <v/>
      </c>
      <c r="CC240" s="11">
        <f>MIN(in_approval_cap,in_loan_lap_approval*INDEX('Age profile'!$O$2:$O$61,B240)*(1+in_approval_growth)^(D240-1))</f>
        <v/>
      </c>
      <c r="CD240" s="14">
        <f>F240*CB240*IF(B240&gt;=in_marketplace_from,d_hz_loan_lap*G240,0)*CC240*in_loan_lap_ticket*in_loan_lap_comm</f>
        <v/>
      </c>
      <c r="CE240" s="14">
        <f>AA240+AB240+AC240+AD240+AG240+AJ240+AM240+AP240+AS240+AU240+AX240+BB240+BE240+BG240+BJ240+BL240+BO240+BR240+BT240+BV240+BX240+CA240+CD240</f>
        <v/>
      </c>
    </row>
    <row r="241">
      <c r="A241" s="39" t="n">
        <v>5</v>
      </c>
      <c r="B241" s="39" t="n">
        <v>6</v>
      </c>
      <c r="C241" s="39">
        <f>A241+B241-1</f>
        <v/>
      </c>
      <c r="D241" s="39">
        <f>INT((C241-1)/12)+1</f>
        <v/>
      </c>
      <c r="E241" s="44">
        <f>INDEX(Monthly!$B$2:$B$61,A241)</f>
        <v/>
      </c>
      <c r="F241" s="44">
        <f>E241*INDEX('Age profile'!$B$2:$B$61,B241)</f>
        <v/>
      </c>
      <c r="G241" s="45">
        <f>MIN(in_takeup_cap,INDEX('Age profile'!$N$2:$N$61,B241)*(1+in_takeup_growth)^(D241-1))</f>
        <v/>
      </c>
      <c r="H241" s="11">
        <f>MIN(in_approval_cap,in_approved_first*INDEX('Age profile'!$O$2:$O$61,B241)*(1+in_approval_growth)^(D241-1))</f>
        <v/>
      </c>
      <c r="I241" s="45">
        <f>G241*MIN(in_takeup_cap,INDEX('Age profile'!$O$2:$O$61,B241)*(1+in_approval_growth)^(D241-1))</f>
        <v/>
      </c>
      <c r="J241" s="40">
        <f>(J240-L240)*F241/F240</f>
        <v/>
      </c>
      <c r="K241" s="40">
        <f>(K240-M240)*F241/F240+SUMIFS(O236:O240,B236:B240,B241-1-d_T)*F241</f>
        <v/>
      </c>
      <c r="L241" s="40">
        <f>IF(B241&gt;=in_marketplace_from,J241*d_hz*G241*in_eligible*H241,0)</f>
        <v/>
      </c>
      <c r="M241" s="40">
        <f>IF(B241&gt;=in_marketplace_from,K241*d_hz*G241*in_eligible*in_approved_repeat,0)</f>
        <v/>
      </c>
      <c r="N241" s="40">
        <f>L241+M241</f>
        <v/>
      </c>
      <c r="O241" s="46">
        <f>N241/F241</f>
        <v/>
      </c>
      <c r="P241" s="40">
        <f>F241-J241-K241</f>
        <v/>
      </c>
      <c r="Q241" s="40">
        <f>IF(B241&gt;=in_marketplace_from,(J241+K241)*d_hz*G241,0)</f>
        <v/>
      </c>
      <c r="R241" s="40">
        <f>SUMIFS(N236:N291,B236:B291,"&gt;="&amp;(B241-d_T),B236:B291,"&lt;="&amp;(B241-1))</f>
        <v/>
      </c>
      <c r="S241" s="46">
        <f>(1-d_u)*S240+IF(d_T&gt;in_topup_lag,SUMIFS(O236:O291,B236:B291,B241-in_topup_lag)-d_udrop*SUMIFS(O236:O291,B236:B291,B241-d_T),0)</f>
        <v/>
      </c>
      <c r="T241" s="40">
        <f>F241*d_u*S241</f>
        <v/>
      </c>
      <c r="U241" s="9">
        <f>L241*in_ticket+M241*d_rep_ticket</f>
        <v/>
      </c>
      <c r="V241" s="9">
        <f>U241+T241*d_topup_amt</f>
        <v/>
      </c>
      <c r="W241" s="40">
        <f>N241+T241*d_topup_ratio</f>
        <v/>
      </c>
      <c r="X241" s="40">
        <f>SUMIFS(W236:W291,B236:B291,B241-in_dpd_lag)*d_cured</f>
        <v/>
      </c>
      <c r="Y241" s="40">
        <f>SUMIFS(W236:W291,B236:B291,B241-in_rec_lag)*d_recd</f>
        <v/>
      </c>
      <c r="Z241" s="40">
        <f>IF(AND(B241&gt;=in_marketplace_from,B241&lt;in_marketplace_from+in_card_months),in_card_share/in_card_months*F241*I241,IF(AND(B241&gt;=in_marketplace_from+in_card_months,B241&lt;in_marketplace_from+2*in_card_months),in_card_share*d_card_rem/in_card_months*F241*MIN(in_takeup_cap,(1+in_takeup_growth)^(D241-1))*MIN(in_takeup_cap,(1+in_approval_growth)^(D241-1)),0))</f>
        <v/>
      </c>
      <c r="AA241" s="14">
        <f>V241*in_fee*(1-in_taken_back)</f>
        <v/>
      </c>
      <c r="AB241" s="14">
        <f>SUMIFS(W236:W291,B236:B291,B241-in_dpd_lag)*d_dpd</f>
        <v/>
      </c>
      <c r="AC241" s="14">
        <f>SUMIFS(W236:W291,B236:B291,B241-in_rec_lag)*d_rec</f>
        <v/>
      </c>
      <c r="AD241" s="14">
        <f>Z241*in_card_fee</f>
        <v/>
      </c>
      <c r="AE241" s="40">
        <f>AE240*(1-IF(B240&gt;=in_marketplace_from,d_hz_hlth_small*G240,0))</f>
        <v/>
      </c>
      <c r="AF241" s="46">
        <f>AE241*IF(B241&gt;=in_marketplace_from,d_hz_hlth_small*G241,0)</f>
        <v/>
      </c>
      <c r="AG241" s="14">
        <f>F241*AF241*in_hlth_small_ticket*in_hlth_small_comm*in_ins_partner_share+F241*in_hlth_small_ticket*in_hlth_small_renew_comm*in_ins_partner_share*(in_hlth_small_renew^1*SUMIFS(AF236:AF291,B236:B291,B241-12)+in_hlth_small_renew^2*SUMIFS(AF236:AF291,B236:B291,B241-24)+in_hlth_small_renew^3*SUMIFS(AF236:AF291,B236:B291,B241-36)+in_hlth_small_renew^4*SUMIFS(AF236:AF291,B236:B291,B241-48))</f>
        <v/>
      </c>
      <c r="AH241" s="40">
        <f>AH240*(1-IF(B240&gt;=in_marketplace_from,d_hz_hlth_family*G240,0))</f>
        <v/>
      </c>
      <c r="AI241" s="46">
        <f>AH241*IF(B241&gt;=in_marketplace_from,d_hz_hlth_family*G241,0)</f>
        <v/>
      </c>
      <c r="AJ241" s="14">
        <f>F241*AI241*in_hlth_family_ticket*in_hlth_family_comm*in_ins_partner_share+F241*in_hlth_family_ticket*in_hlth_family_renew_comm*in_ins_partner_share*(in_hlth_family_renew^1*SUMIFS(AI236:AI291,B236:B291,B241-12)+in_hlth_family_renew^2*SUMIFS(AI236:AI291,B236:B291,B241-24)+in_hlth_family_renew^3*SUMIFS(AI236:AI291,B236:B291,B241-36)+in_hlth_family_renew^4*SUMIFS(AI236:AI291,B236:B291,B241-48))</f>
        <v/>
      </c>
      <c r="AK241" s="40">
        <f>AK240*(1-IF(B240&gt;=in_marketplace_from,d_hz_life_term*G240,0))</f>
        <v/>
      </c>
      <c r="AL241" s="46">
        <f>AK241*IF(B241&gt;=in_marketplace_from,d_hz_life_term*G241,0)</f>
        <v/>
      </c>
      <c r="AM241" s="14">
        <f>F241*AL241*in_life_term_ticket*in_life_term_comm*in_ins_partner_share+F241*in_life_term_ticket*in_life_term_renew_comm*in_ins_partner_share*(in_life_term_renew^1*SUMIFS(AL236:AL291,B236:B291,B241-12)+in_life_term_renew^2*SUMIFS(AL236:AL291,B236:B291,B241-24)+in_life_term_renew^3*SUMIFS(AL236:AL291,B236:B291,B241-36)+in_life_term_renew^4*SUMIFS(AL236:AL291,B236:B291,B241-48))</f>
        <v/>
      </c>
      <c r="AN241" s="40">
        <f>AN240*(1-IF(B240&gt;=in_marketplace_from,d_hz_accident*G240,0))</f>
        <v/>
      </c>
      <c r="AO241" s="46">
        <f>AN241*IF(B241&gt;=in_marketplace_from,d_hz_accident*G241,0)</f>
        <v/>
      </c>
      <c r="AP241" s="14">
        <f>F241*AO241*in_accident_ticket*in_accident_comm*in_ins_partner_share+F241*in_accident_ticket*in_accident_renew_comm*in_ins_partner_share*(in_accident_renew^1*SUMIFS(AO236:AO291,B236:B291,B241-12)+in_accident_renew^2*SUMIFS(AO236:AO291,B236:B291,B241-24)+in_accident_renew^3*SUMIFS(AO236:AO291,B236:B291,B241-36)+in_accident_renew^4*SUMIFS(AO236:AO291,B236:B291,B241-48))</f>
        <v/>
      </c>
      <c r="AQ241" s="40">
        <f>AQ240*(1-IF(B240&gt;=in_marketplace_from,d_hz_two_wheeler*G240,0))</f>
        <v/>
      </c>
      <c r="AR241" s="46">
        <f>AQ241*IF(B241&gt;=in_marketplace_from,d_hz_two_wheeler*G241,0)</f>
        <v/>
      </c>
      <c r="AS241" s="14">
        <f>F241*AR241*in_two_wheeler_ticket*in_two_wheeler_comm*in_ins_partner_share+F241*in_two_wheeler_ticket*in_two_wheeler_comm*in_ins_partner_share*(in_two_wheeler_renew^1*SUMIFS(AR236:AR291,B236:B291,B241-12)+in_two_wheeler_renew^2*SUMIFS(AR236:AR291,B236:B291,B241-24)+in_two_wheeler_renew^3*SUMIFS(AR236:AR291,B236:B291,B241-36)+in_two_wheeler_renew^4*SUMIFS(AR236:AR291,B236:B291,B241-48))</f>
        <v/>
      </c>
      <c r="AT241" s="40">
        <f>AT240*(1-IF(B240&gt;=in_marketplace_from,d_hz_device*G240,0))</f>
        <v/>
      </c>
      <c r="AU241" s="14">
        <f>F241*AT241*IF(B241&gt;=in_marketplace_from,d_hz_device*G241,0)*in_device_ticket*in_device_comm*in_ins_partner_share</f>
        <v/>
      </c>
      <c r="AV241" s="40">
        <f>AV240*(1-IF(B240&gt;=in_marketplace_from,d_hz_shop*G240,0))</f>
        <v/>
      </c>
      <c r="AW241" s="46">
        <f>AV241*IF(B241&gt;=in_marketplace_from,d_hz_shop*G241,0)</f>
        <v/>
      </c>
      <c r="AX241" s="14">
        <f>F241*AW241*in_shop_ticket*in_shop_comm*in_ins_partner_share+F241*in_shop_ticket*in_shop_renew_comm*in_ins_partner_share*(in_shop_renew^1*SUMIFS(AW236:AW291,B236:B291,B241-12)+in_shop_renew^2*SUMIFS(AW236:AW291,B236:B291,B241-24)+in_shop_renew^3*SUMIFS(AW236:AW291,B236:B291,B241-36)+in_shop_renew^4*SUMIFS(AW236:AW291,B236:B291,B241-48))</f>
        <v/>
      </c>
      <c r="AY241" s="40">
        <f>AY240*(1-IF(B240&gt;=in_marketplace_from,d_hz_sip*G240,0))</f>
        <v/>
      </c>
      <c r="AZ241" s="40">
        <f>AZ240*d_rho_sip+AY241*IF(B241&gt;=in_marketplace_from,d_hz_sip*G241,0)</f>
        <v/>
      </c>
      <c r="BA241" s="40">
        <f>d_rho_sip*(BA240+AZ240)</f>
        <v/>
      </c>
      <c r="BB241" s="14">
        <f>F241*in_sip_ticket*(BA241+0.5*AZ241)*in_sip_comm/12</f>
        <v/>
      </c>
      <c r="BC241" s="40">
        <f>BC240*(1-IF(B240&gt;=in_marketplace_from,d_hz_choti*G240,0))</f>
        <v/>
      </c>
      <c r="BD241" s="46">
        <f>BC241*IF(B241&gt;=in_marketplace_from,d_hz_choti*G241,0)</f>
        <v/>
      </c>
      <c r="BE241" s="14">
        <f>F241*SUMIFS(BD236:BD291,B236:B291,B241-in_choti_months)*in_choti_renew*in_choti_ticket</f>
        <v/>
      </c>
      <c r="BF241" s="40">
        <f>BF240*(1-IF(B240&gt;=in_marketplace_from,d_hz_nps*G240,0))</f>
        <v/>
      </c>
      <c r="BG241" s="14">
        <f>F241*BF241*IF(B241&gt;=in_marketplace_from,d_hz_nps*G241,0)*in_nps_ticket*in_nps_comm</f>
        <v/>
      </c>
      <c r="BH241" s="40">
        <f>BH240*(1-IF(B240&gt;=in_marketplace_from,d_hz_gold*G240,0))</f>
        <v/>
      </c>
      <c r="BI241" s="40">
        <f>BI240*d_rho_gold+BH241*IF(B241&gt;=in_marketplace_from,d_hz_gold*G241,0)</f>
        <v/>
      </c>
      <c r="BJ241" s="14">
        <f>F241*BI241*in_gold_ticket*in_gold_comm</f>
        <v/>
      </c>
      <c r="BK241" s="40">
        <f>BK240*(1-IF(B240&gt;=in_marketplace_from,d_hz_fd*G240,0))</f>
        <v/>
      </c>
      <c r="BL241" s="14">
        <f>F241*BK241*IF(B241&gt;=in_marketplace_from,d_hz_fd*G241,0)*in_fd_ticket*in_fd_comm</f>
        <v/>
      </c>
      <c r="BM241" s="40">
        <f>BM240*(1-IF(B240&gt;=in_marketplace_from,d_hz_recharge*G240,0))</f>
        <v/>
      </c>
      <c r="BN241" s="40">
        <f>BN240*d_rho_recharge+BM241*IF(B241&gt;=in_marketplace_from,d_hz_recharge*G241,0)</f>
        <v/>
      </c>
      <c r="BO241" s="14">
        <f>F241*BN241*in_recharge_ticket*in_recharge_comm/12</f>
        <v/>
      </c>
      <c r="BP241" s="40">
        <f>BP240*(1-IF(B240&gt;=in_marketplace_from,d_hz_bills*G240,0))</f>
        <v/>
      </c>
      <c r="BQ241" s="40">
        <f>BQ240*d_rho_bills+BP241*IF(B241&gt;=in_marketplace_from,d_hz_bills*G241,0)</f>
        <v/>
      </c>
      <c r="BR241" s="14">
        <f>F241*BQ241*in_bills_ticket*in_bills_comm/12</f>
        <v/>
      </c>
      <c r="BS241" s="40">
        <f>BS240*(1-IF(B240&gt;=in_marketplace_from,d_hz_loan_gold*G240,0))</f>
        <v/>
      </c>
      <c r="BT241" s="14">
        <f>F241*BS241*IF(B241&gt;=in_marketplace_from,d_hz_loan_gold*G241,0)*in_loan_gold_ticket*in_loan_gold_comm</f>
        <v/>
      </c>
      <c r="BU241" s="40">
        <f>BU240*(1-IF(B240&gt;=in_marketplace_from,d_hz_loan_cd*G240,0))</f>
        <v/>
      </c>
      <c r="BV241" s="14">
        <f>F241*BU241*IF(B241&gt;=in_marketplace_from,d_hz_loan_cd*G241,0)*in_loan_cd_ticket*in_loan_cd_comm</f>
        <v/>
      </c>
      <c r="BW241" s="40">
        <f>BW240*(1-IF(B240&gt;=in_marketplace_from,d_hz_loan_vehicle*G240,0))</f>
        <v/>
      </c>
      <c r="BX241" s="14">
        <f>F241*BW241*IF(B241&gt;=in_marketplace_from,d_hz_loan_vehicle*G241,0)*in_loan_vehicle_ticket*in_loan_vehicle_comm</f>
        <v/>
      </c>
      <c r="BY241" s="40">
        <f>BY240*(1-IF(B240&gt;=in_marketplace_from,d_hz_loan_home*G240,0)*BZ240)</f>
        <v/>
      </c>
      <c r="BZ241" s="11">
        <f>MIN(in_approval_cap,in_loan_home_approval*INDEX('Age profile'!$O$2:$O$61,B241)*(1+in_approval_growth)^(D241-1))</f>
        <v/>
      </c>
      <c r="CA241" s="14">
        <f>F241*BY241*IF(B241&gt;=in_marketplace_from,d_hz_loan_home*G241,0)*BZ241*in_loan_home_ticket*in_loan_home_comm</f>
        <v/>
      </c>
      <c r="CB241" s="40">
        <f>CB240*(1-IF(B240&gt;=in_marketplace_from,d_hz_loan_lap*G240,0)*CC240)</f>
        <v/>
      </c>
      <c r="CC241" s="11">
        <f>MIN(in_approval_cap,in_loan_lap_approval*INDEX('Age profile'!$O$2:$O$61,B241)*(1+in_approval_growth)^(D241-1))</f>
        <v/>
      </c>
      <c r="CD241" s="14">
        <f>F241*CB241*IF(B241&gt;=in_marketplace_from,d_hz_loan_lap*G241,0)*CC241*in_loan_lap_ticket*in_loan_lap_comm</f>
        <v/>
      </c>
      <c r="CE241" s="14">
        <f>AA241+AB241+AC241+AD241+AG241+AJ241+AM241+AP241+AS241+AU241+AX241+BB241+BE241+BG241+BJ241+BL241+BO241+BR241+BT241+BV241+BX241+CA241+CD241</f>
        <v/>
      </c>
    </row>
    <row r="242">
      <c r="A242" s="39" t="n">
        <v>5</v>
      </c>
      <c r="B242" s="39" t="n">
        <v>7</v>
      </c>
      <c r="C242" s="39">
        <f>A242+B242-1</f>
        <v/>
      </c>
      <c r="D242" s="39">
        <f>INT((C242-1)/12)+1</f>
        <v/>
      </c>
      <c r="E242" s="44">
        <f>INDEX(Monthly!$B$2:$B$61,A242)</f>
        <v/>
      </c>
      <c r="F242" s="44">
        <f>E242*INDEX('Age profile'!$B$2:$B$61,B242)</f>
        <v/>
      </c>
      <c r="G242" s="45">
        <f>MIN(in_takeup_cap,INDEX('Age profile'!$N$2:$N$61,B242)*(1+in_takeup_growth)^(D242-1))</f>
        <v/>
      </c>
      <c r="H242" s="11">
        <f>MIN(in_approval_cap,in_approved_first*INDEX('Age profile'!$O$2:$O$61,B242)*(1+in_approval_growth)^(D242-1))</f>
        <v/>
      </c>
      <c r="I242" s="45">
        <f>G242*MIN(in_takeup_cap,INDEX('Age profile'!$O$2:$O$61,B242)*(1+in_approval_growth)^(D242-1))</f>
        <v/>
      </c>
      <c r="J242" s="40">
        <f>(J241-L241)*F242/F241</f>
        <v/>
      </c>
      <c r="K242" s="40">
        <f>(K241-M241)*F242/F241+SUMIFS(O236:O241,B236:B241,B242-1-d_T)*F242</f>
        <v/>
      </c>
      <c r="L242" s="40">
        <f>IF(B242&gt;=in_marketplace_from,J242*d_hz*G242*in_eligible*H242,0)</f>
        <v/>
      </c>
      <c r="M242" s="40">
        <f>IF(B242&gt;=in_marketplace_from,K242*d_hz*G242*in_eligible*in_approved_repeat,0)</f>
        <v/>
      </c>
      <c r="N242" s="40">
        <f>L242+M242</f>
        <v/>
      </c>
      <c r="O242" s="46">
        <f>N242/F242</f>
        <v/>
      </c>
      <c r="P242" s="40">
        <f>F242-J242-K242</f>
        <v/>
      </c>
      <c r="Q242" s="40">
        <f>IF(B242&gt;=in_marketplace_from,(J242+K242)*d_hz*G242,0)</f>
        <v/>
      </c>
      <c r="R242" s="40">
        <f>SUMIFS(N236:N291,B236:B291,"&gt;="&amp;(B242-d_T),B236:B291,"&lt;="&amp;(B242-1))</f>
        <v/>
      </c>
      <c r="S242" s="46">
        <f>(1-d_u)*S241+IF(d_T&gt;in_topup_lag,SUMIFS(O236:O291,B236:B291,B242-in_topup_lag)-d_udrop*SUMIFS(O236:O291,B236:B291,B242-d_T),0)</f>
        <v/>
      </c>
      <c r="T242" s="40">
        <f>F242*d_u*S242</f>
        <v/>
      </c>
      <c r="U242" s="9">
        <f>L242*in_ticket+M242*d_rep_ticket</f>
        <v/>
      </c>
      <c r="V242" s="9">
        <f>U242+T242*d_topup_amt</f>
        <v/>
      </c>
      <c r="W242" s="40">
        <f>N242+T242*d_topup_ratio</f>
        <v/>
      </c>
      <c r="X242" s="40">
        <f>SUMIFS(W236:W291,B236:B291,B242-in_dpd_lag)*d_cured</f>
        <v/>
      </c>
      <c r="Y242" s="40">
        <f>SUMIFS(W236:W291,B236:B291,B242-in_rec_lag)*d_recd</f>
        <v/>
      </c>
      <c r="Z242" s="40">
        <f>IF(AND(B242&gt;=in_marketplace_from,B242&lt;in_marketplace_from+in_card_months),in_card_share/in_card_months*F242*I242,IF(AND(B242&gt;=in_marketplace_from+in_card_months,B242&lt;in_marketplace_from+2*in_card_months),in_card_share*d_card_rem/in_card_months*F242*MIN(in_takeup_cap,(1+in_takeup_growth)^(D242-1))*MIN(in_takeup_cap,(1+in_approval_growth)^(D242-1)),0))</f>
        <v/>
      </c>
      <c r="AA242" s="14">
        <f>V242*in_fee*(1-in_taken_back)</f>
        <v/>
      </c>
      <c r="AB242" s="14">
        <f>SUMIFS(W236:W291,B236:B291,B242-in_dpd_lag)*d_dpd</f>
        <v/>
      </c>
      <c r="AC242" s="14">
        <f>SUMIFS(W236:W291,B236:B291,B242-in_rec_lag)*d_rec</f>
        <v/>
      </c>
      <c r="AD242" s="14">
        <f>Z242*in_card_fee</f>
        <v/>
      </c>
      <c r="AE242" s="40">
        <f>AE241*(1-IF(B241&gt;=in_marketplace_from,d_hz_hlth_small*G241,0))</f>
        <v/>
      </c>
      <c r="AF242" s="46">
        <f>AE242*IF(B242&gt;=in_marketplace_from,d_hz_hlth_small*G242,0)</f>
        <v/>
      </c>
      <c r="AG242" s="14">
        <f>F242*AF242*in_hlth_small_ticket*in_hlth_small_comm*in_ins_partner_share+F242*in_hlth_small_ticket*in_hlth_small_renew_comm*in_ins_partner_share*(in_hlth_small_renew^1*SUMIFS(AF236:AF291,B236:B291,B242-12)+in_hlth_small_renew^2*SUMIFS(AF236:AF291,B236:B291,B242-24)+in_hlth_small_renew^3*SUMIFS(AF236:AF291,B236:B291,B242-36)+in_hlth_small_renew^4*SUMIFS(AF236:AF291,B236:B291,B242-48))</f>
        <v/>
      </c>
      <c r="AH242" s="40">
        <f>AH241*(1-IF(B241&gt;=in_marketplace_from,d_hz_hlth_family*G241,0))</f>
        <v/>
      </c>
      <c r="AI242" s="46">
        <f>AH242*IF(B242&gt;=in_marketplace_from,d_hz_hlth_family*G242,0)</f>
        <v/>
      </c>
      <c r="AJ242" s="14">
        <f>F242*AI242*in_hlth_family_ticket*in_hlth_family_comm*in_ins_partner_share+F242*in_hlth_family_ticket*in_hlth_family_renew_comm*in_ins_partner_share*(in_hlth_family_renew^1*SUMIFS(AI236:AI291,B236:B291,B242-12)+in_hlth_family_renew^2*SUMIFS(AI236:AI291,B236:B291,B242-24)+in_hlth_family_renew^3*SUMIFS(AI236:AI291,B236:B291,B242-36)+in_hlth_family_renew^4*SUMIFS(AI236:AI291,B236:B291,B242-48))</f>
        <v/>
      </c>
      <c r="AK242" s="40">
        <f>AK241*(1-IF(B241&gt;=in_marketplace_from,d_hz_life_term*G241,0))</f>
        <v/>
      </c>
      <c r="AL242" s="46">
        <f>AK242*IF(B242&gt;=in_marketplace_from,d_hz_life_term*G242,0)</f>
        <v/>
      </c>
      <c r="AM242" s="14">
        <f>F242*AL242*in_life_term_ticket*in_life_term_comm*in_ins_partner_share+F242*in_life_term_ticket*in_life_term_renew_comm*in_ins_partner_share*(in_life_term_renew^1*SUMIFS(AL236:AL291,B236:B291,B242-12)+in_life_term_renew^2*SUMIFS(AL236:AL291,B236:B291,B242-24)+in_life_term_renew^3*SUMIFS(AL236:AL291,B236:B291,B242-36)+in_life_term_renew^4*SUMIFS(AL236:AL291,B236:B291,B242-48))</f>
        <v/>
      </c>
      <c r="AN242" s="40">
        <f>AN241*(1-IF(B241&gt;=in_marketplace_from,d_hz_accident*G241,0))</f>
        <v/>
      </c>
      <c r="AO242" s="46">
        <f>AN242*IF(B242&gt;=in_marketplace_from,d_hz_accident*G242,0)</f>
        <v/>
      </c>
      <c r="AP242" s="14">
        <f>F242*AO242*in_accident_ticket*in_accident_comm*in_ins_partner_share+F242*in_accident_ticket*in_accident_renew_comm*in_ins_partner_share*(in_accident_renew^1*SUMIFS(AO236:AO291,B236:B291,B242-12)+in_accident_renew^2*SUMIFS(AO236:AO291,B236:B291,B242-24)+in_accident_renew^3*SUMIFS(AO236:AO291,B236:B291,B242-36)+in_accident_renew^4*SUMIFS(AO236:AO291,B236:B291,B242-48))</f>
        <v/>
      </c>
      <c r="AQ242" s="40">
        <f>AQ241*(1-IF(B241&gt;=in_marketplace_from,d_hz_two_wheeler*G241,0))</f>
        <v/>
      </c>
      <c r="AR242" s="46">
        <f>AQ242*IF(B242&gt;=in_marketplace_from,d_hz_two_wheeler*G242,0)</f>
        <v/>
      </c>
      <c r="AS242" s="14">
        <f>F242*AR242*in_two_wheeler_ticket*in_two_wheeler_comm*in_ins_partner_share+F242*in_two_wheeler_ticket*in_two_wheeler_comm*in_ins_partner_share*(in_two_wheeler_renew^1*SUMIFS(AR236:AR291,B236:B291,B242-12)+in_two_wheeler_renew^2*SUMIFS(AR236:AR291,B236:B291,B242-24)+in_two_wheeler_renew^3*SUMIFS(AR236:AR291,B236:B291,B242-36)+in_two_wheeler_renew^4*SUMIFS(AR236:AR291,B236:B291,B242-48))</f>
        <v/>
      </c>
      <c r="AT242" s="40">
        <f>AT241*(1-IF(B241&gt;=in_marketplace_from,d_hz_device*G241,0))</f>
        <v/>
      </c>
      <c r="AU242" s="14">
        <f>F242*AT242*IF(B242&gt;=in_marketplace_from,d_hz_device*G242,0)*in_device_ticket*in_device_comm*in_ins_partner_share</f>
        <v/>
      </c>
      <c r="AV242" s="40">
        <f>AV241*(1-IF(B241&gt;=in_marketplace_from,d_hz_shop*G241,0))</f>
        <v/>
      </c>
      <c r="AW242" s="46">
        <f>AV242*IF(B242&gt;=in_marketplace_from,d_hz_shop*G242,0)</f>
        <v/>
      </c>
      <c r="AX242" s="14">
        <f>F242*AW242*in_shop_ticket*in_shop_comm*in_ins_partner_share+F242*in_shop_ticket*in_shop_renew_comm*in_ins_partner_share*(in_shop_renew^1*SUMIFS(AW236:AW291,B236:B291,B242-12)+in_shop_renew^2*SUMIFS(AW236:AW291,B236:B291,B242-24)+in_shop_renew^3*SUMIFS(AW236:AW291,B236:B291,B242-36)+in_shop_renew^4*SUMIFS(AW236:AW291,B236:B291,B242-48))</f>
        <v/>
      </c>
      <c r="AY242" s="40">
        <f>AY241*(1-IF(B241&gt;=in_marketplace_from,d_hz_sip*G241,0))</f>
        <v/>
      </c>
      <c r="AZ242" s="40">
        <f>AZ241*d_rho_sip+AY242*IF(B242&gt;=in_marketplace_from,d_hz_sip*G242,0)</f>
        <v/>
      </c>
      <c r="BA242" s="40">
        <f>d_rho_sip*(BA241+AZ241)</f>
        <v/>
      </c>
      <c r="BB242" s="14">
        <f>F242*in_sip_ticket*(BA242+0.5*AZ242)*in_sip_comm/12</f>
        <v/>
      </c>
      <c r="BC242" s="40">
        <f>BC241*(1-IF(B241&gt;=in_marketplace_from,d_hz_choti*G241,0))</f>
        <v/>
      </c>
      <c r="BD242" s="46">
        <f>BC242*IF(B242&gt;=in_marketplace_from,d_hz_choti*G242,0)</f>
        <v/>
      </c>
      <c r="BE242" s="14">
        <f>F242*SUMIFS(BD236:BD291,B236:B291,B242-in_choti_months)*in_choti_renew*in_choti_ticket</f>
        <v/>
      </c>
      <c r="BF242" s="40">
        <f>BF241*(1-IF(B241&gt;=in_marketplace_from,d_hz_nps*G241,0))</f>
        <v/>
      </c>
      <c r="BG242" s="14">
        <f>F242*BF242*IF(B242&gt;=in_marketplace_from,d_hz_nps*G242,0)*in_nps_ticket*in_nps_comm</f>
        <v/>
      </c>
      <c r="BH242" s="40">
        <f>BH241*(1-IF(B241&gt;=in_marketplace_from,d_hz_gold*G241,0))</f>
        <v/>
      </c>
      <c r="BI242" s="40">
        <f>BI241*d_rho_gold+BH242*IF(B242&gt;=in_marketplace_from,d_hz_gold*G242,0)</f>
        <v/>
      </c>
      <c r="BJ242" s="14">
        <f>F242*BI242*in_gold_ticket*in_gold_comm</f>
        <v/>
      </c>
      <c r="BK242" s="40">
        <f>BK241*(1-IF(B241&gt;=in_marketplace_from,d_hz_fd*G241,0))</f>
        <v/>
      </c>
      <c r="BL242" s="14">
        <f>F242*BK242*IF(B242&gt;=in_marketplace_from,d_hz_fd*G242,0)*in_fd_ticket*in_fd_comm</f>
        <v/>
      </c>
      <c r="BM242" s="40">
        <f>BM241*(1-IF(B241&gt;=in_marketplace_from,d_hz_recharge*G241,0))</f>
        <v/>
      </c>
      <c r="BN242" s="40">
        <f>BN241*d_rho_recharge+BM242*IF(B242&gt;=in_marketplace_from,d_hz_recharge*G242,0)</f>
        <v/>
      </c>
      <c r="BO242" s="14">
        <f>F242*BN242*in_recharge_ticket*in_recharge_comm/12</f>
        <v/>
      </c>
      <c r="BP242" s="40">
        <f>BP241*(1-IF(B241&gt;=in_marketplace_from,d_hz_bills*G241,0))</f>
        <v/>
      </c>
      <c r="BQ242" s="40">
        <f>BQ241*d_rho_bills+BP242*IF(B242&gt;=in_marketplace_from,d_hz_bills*G242,0)</f>
        <v/>
      </c>
      <c r="BR242" s="14">
        <f>F242*BQ242*in_bills_ticket*in_bills_comm/12</f>
        <v/>
      </c>
      <c r="BS242" s="40">
        <f>BS241*(1-IF(B241&gt;=in_marketplace_from,d_hz_loan_gold*G241,0))</f>
        <v/>
      </c>
      <c r="BT242" s="14">
        <f>F242*BS242*IF(B242&gt;=in_marketplace_from,d_hz_loan_gold*G242,0)*in_loan_gold_ticket*in_loan_gold_comm</f>
        <v/>
      </c>
      <c r="BU242" s="40">
        <f>BU241*(1-IF(B241&gt;=in_marketplace_from,d_hz_loan_cd*G241,0))</f>
        <v/>
      </c>
      <c r="BV242" s="14">
        <f>F242*BU242*IF(B242&gt;=in_marketplace_from,d_hz_loan_cd*G242,0)*in_loan_cd_ticket*in_loan_cd_comm</f>
        <v/>
      </c>
      <c r="BW242" s="40">
        <f>BW241*(1-IF(B241&gt;=in_marketplace_from,d_hz_loan_vehicle*G241,0))</f>
        <v/>
      </c>
      <c r="BX242" s="14">
        <f>F242*BW242*IF(B242&gt;=in_marketplace_from,d_hz_loan_vehicle*G242,0)*in_loan_vehicle_ticket*in_loan_vehicle_comm</f>
        <v/>
      </c>
      <c r="BY242" s="40">
        <f>BY241*(1-IF(B241&gt;=in_marketplace_from,d_hz_loan_home*G241,0)*BZ241)</f>
        <v/>
      </c>
      <c r="BZ242" s="11">
        <f>MIN(in_approval_cap,in_loan_home_approval*INDEX('Age profile'!$O$2:$O$61,B242)*(1+in_approval_growth)^(D242-1))</f>
        <v/>
      </c>
      <c r="CA242" s="14">
        <f>F242*BY242*IF(B242&gt;=in_marketplace_from,d_hz_loan_home*G242,0)*BZ242*in_loan_home_ticket*in_loan_home_comm</f>
        <v/>
      </c>
      <c r="CB242" s="40">
        <f>CB241*(1-IF(B241&gt;=in_marketplace_from,d_hz_loan_lap*G241,0)*CC241)</f>
        <v/>
      </c>
      <c r="CC242" s="11">
        <f>MIN(in_approval_cap,in_loan_lap_approval*INDEX('Age profile'!$O$2:$O$61,B242)*(1+in_approval_growth)^(D242-1))</f>
        <v/>
      </c>
      <c r="CD242" s="14">
        <f>F242*CB242*IF(B242&gt;=in_marketplace_from,d_hz_loan_lap*G242,0)*CC242*in_loan_lap_ticket*in_loan_lap_comm</f>
        <v/>
      </c>
      <c r="CE242" s="14">
        <f>AA242+AB242+AC242+AD242+AG242+AJ242+AM242+AP242+AS242+AU242+AX242+BB242+BE242+BG242+BJ242+BL242+BO242+BR242+BT242+BV242+BX242+CA242+CD242</f>
        <v/>
      </c>
    </row>
    <row r="243">
      <c r="A243" s="39" t="n">
        <v>5</v>
      </c>
      <c r="B243" s="39" t="n">
        <v>8</v>
      </c>
      <c r="C243" s="39">
        <f>A243+B243-1</f>
        <v/>
      </c>
      <c r="D243" s="39">
        <f>INT((C243-1)/12)+1</f>
        <v/>
      </c>
      <c r="E243" s="44">
        <f>INDEX(Monthly!$B$2:$B$61,A243)</f>
        <v/>
      </c>
      <c r="F243" s="44">
        <f>E243*INDEX('Age profile'!$B$2:$B$61,B243)</f>
        <v/>
      </c>
      <c r="G243" s="45">
        <f>MIN(in_takeup_cap,INDEX('Age profile'!$N$2:$N$61,B243)*(1+in_takeup_growth)^(D243-1))</f>
        <v/>
      </c>
      <c r="H243" s="11">
        <f>MIN(in_approval_cap,in_approved_first*INDEX('Age profile'!$O$2:$O$61,B243)*(1+in_approval_growth)^(D243-1))</f>
        <v/>
      </c>
      <c r="I243" s="45">
        <f>G243*MIN(in_takeup_cap,INDEX('Age profile'!$O$2:$O$61,B243)*(1+in_approval_growth)^(D243-1))</f>
        <v/>
      </c>
      <c r="J243" s="40">
        <f>(J242-L242)*F243/F242</f>
        <v/>
      </c>
      <c r="K243" s="40">
        <f>(K242-M242)*F243/F242+SUMIFS(O236:O242,B236:B242,B243-1-d_T)*F243</f>
        <v/>
      </c>
      <c r="L243" s="40">
        <f>IF(B243&gt;=in_marketplace_from,J243*d_hz*G243*in_eligible*H243,0)</f>
        <v/>
      </c>
      <c r="M243" s="40">
        <f>IF(B243&gt;=in_marketplace_from,K243*d_hz*G243*in_eligible*in_approved_repeat,0)</f>
        <v/>
      </c>
      <c r="N243" s="40">
        <f>L243+M243</f>
        <v/>
      </c>
      <c r="O243" s="46">
        <f>N243/F243</f>
        <v/>
      </c>
      <c r="P243" s="40">
        <f>F243-J243-K243</f>
        <v/>
      </c>
      <c r="Q243" s="40">
        <f>IF(B243&gt;=in_marketplace_from,(J243+K243)*d_hz*G243,0)</f>
        <v/>
      </c>
      <c r="R243" s="40">
        <f>SUMIFS(N236:N291,B236:B291,"&gt;="&amp;(B243-d_T),B236:B291,"&lt;="&amp;(B243-1))</f>
        <v/>
      </c>
      <c r="S243" s="46">
        <f>(1-d_u)*S242+IF(d_T&gt;in_topup_lag,SUMIFS(O236:O291,B236:B291,B243-in_topup_lag)-d_udrop*SUMIFS(O236:O291,B236:B291,B243-d_T),0)</f>
        <v/>
      </c>
      <c r="T243" s="40">
        <f>F243*d_u*S243</f>
        <v/>
      </c>
      <c r="U243" s="9">
        <f>L243*in_ticket+M243*d_rep_ticket</f>
        <v/>
      </c>
      <c r="V243" s="9">
        <f>U243+T243*d_topup_amt</f>
        <v/>
      </c>
      <c r="W243" s="40">
        <f>N243+T243*d_topup_ratio</f>
        <v/>
      </c>
      <c r="X243" s="40">
        <f>SUMIFS(W236:W291,B236:B291,B243-in_dpd_lag)*d_cured</f>
        <v/>
      </c>
      <c r="Y243" s="40">
        <f>SUMIFS(W236:W291,B236:B291,B243-in_rec_lag)*d_recd</f>
        <v/>
      </c>
      <c r="Z243" s="40">
        <f>IF(AND(B243&gt;=in_marketplace_from,B243&lt;in_marketplace_from+in_card_months),in_card_share/in_card_months*F243*I243,IF(AND(B243&gt;=in_marketplace_from+in_card_months,B243&lt;in_marketplace_from+2*in_card_months),in_card_share*d_card_rem/in_card_months*F243*MIN(in_takeup_cap,(1+in_takeup_growth)^(D243-1))*MIN(in_takeup_cap,(1+in_approval_growth)^(D243-1)),0))</f>
        <v/>
      </c>
      <c r="AA243" s="14">
        <f>V243*in_fee*(1-in_taken_back)</f>
        <v/>
      </c>
      <c r="AB243" s="14">
        <f>SUMIFS(W236:W291,B236:B291,B243-in_dpd_lag)*d_dpd</f>
        <v/>
      </c>
      <c r="AC243" s="14">
        <f>SUMIFS(W236:W291,B236:B291,B243-in_rec_lag)*d_rec</f>
        <v/>
      </c>
      <c r="AD243" s="14">
        <f>Z243*in_card_fee</f>
        <v/>
      </c>
      <c r="AE243" s="40">
        <f>AE242*(1-IF(B242&gt;=in_marketplace_from,d_hz_hlth_small*G242,0))</f>
        <v/>
      </c>
      <c r="AF243" s="46">
        <f>AE243*IF(B243&gt;=in_marketplace_from,d_hz_hlth_small*G243,0)</f>
        <v/>
      </c>
      <c r="AG243" s="14">
        <f>F243*AF243*in_hlth_small_ticket*in_hlth_small_comm*in_ins_partner_share+F243*in_hlth_small_ticket*in_hlth_small_renew_comm*in_ins_partner_share*(in_hlth_small_renew^1*SUMIFS(AF236:AF291,B236:B291,B243-12)+in_hlth_small_renew^2*SUMIFS(AF236:AF291,B236:B291,B243-24)+in_hlth_small_renew^3*SUMIFS(AF236:AF291,B236:B291,B243-36)+in_hlth_small_renew^4*SUMIFS(AF236:AF291,B236:B291,B243-48))</f>
        <v/>
      </c>
      <c r="AH243" s="40">
        <f>AH242*(1-IF(B242&gt;=in_marketplace_from,d_hz_hlth_family*G242,0))</f>
        <v/>
      </c>
      <c r="AI243" s="46">
        <f>AH243*IF(B243&gt;=in_marketplace_from,d_hz_hlth_family*G243,0)</f>
        <v/>
      </c>
      <c r="AJ243" s="14">
        <f>F243*AI243*in_hlth_family_ticket*in_hlth_family_comm*in_ins_partner_share+F243*in_hlth_family_ticket*in_hlth_family_renew_comm*in_ins_partner_share*(in_hlth_family_renew^1*SUMIFS(AI236:AI291,B236:B291,B243-12)+in_hlth_family_renew^2*SUMIFS(AI236:AI291,B236:B291,B243-24)+in_hlth_family_renew^3*SUMIFS(AI236:AI291,B236:B291,B243-36)+in_hlth_family_renew^4*SUMIFS(AI236:AI291,B236:B291,B243-48))</f>
        <v/>
      </c>
      <c r="AK243" s="40">
        <f>AK242*(1-IF(B242&gt;=in_marketplace_from,d_hz_life_term*G242,0))</f>
        <v/>
      </c>
      <c r="AL243" s="46">
        <f>AK243*IF(B243&gt;=in_marketplace_from,d_hz_life_term*G243,0)</f>
        <v/>
      </c>
      <c r="AM243" s="14">
        <f>F243*AL243*in_life_term_ticket*in_life_term_comm*in_ins_partner_share+F243*in_life_term_ticket*in_life_term_renew_comm*in_ins_partner_share*(in_life_term_renew^1*SUMIFS(AL236:AL291,B236:B291,B243-12)+in_life_term_renew^2*SUMIFS(AL236:AL291,B236:B291,B243-24)+in_life_term_renew^3*SUMIFS(AL236:AL291,B236:B291,B243-36)+in_life_term_renew^4*SUMIFS(AL236:AL291,B236:B291,B243-48))</f>
        <v/>
      </c>
      <c r="AN243" s="40">
        <f>AN242*(1-IF(B242&gt;=in_marketplace_from,d_hz_accident*G242,0))</f>
        <v/>
      </c>
      <c r="AO243" s="46">
        <f>AN243*IF(B243&gt;=in_marketplace_from,d_hz_accident*G243,0)</f>
        <v/>
      </c>
      <c r="AP243" s="14">
        <f>F243*AO243*in_accident_ticket*in_accident_comm*in_ins_partner_share+F243*in_accident_ticket*in_accident_renew_comm*in_ins_partner_share*(in_accident_renew^1*SUMIFS(AO236:AO291,B236:B291,B243-12)+in_accident_renew^2*SUMIFS(AO236:AO291,B236:B291,B243-24)+in_accident_renew^3*SUMIFS(AO236:AO291,B236:B291,B243-36)+in_accident_renew^4*SUMIFS(AO236:AO291,B236:B291,B243-48))</f>
        <v/>
      </c>
      <c r="AQ243" s="40">
        <f>AQ242*(1-IF(B242&gt;=in_marketplace_from,d_hz_two_wheeler*G242,0))</f>
        <v/>
      </c>
      <c r="AR243" s="46">
        <f>AQ243*IF(B243&gt;=in_marketplace_from,d_hz_two_wheeler*G243,0)</f>
        <v/>
      </c>
      <c r="AS243" s="14">
        <f>F243*AR243*in_two_wheeler_ticket*in_two_wheeler_comm*in_ins_partner_share+F243*in_two_wheeler_ticket*in_two_wheeler_comm*in_ins_partner_share*(in_two_wheeler_renew^1*SUMIFS(AR236:AR291,B236:B291,B243-12)+in_two_wheeler_renew^2*SUMIFS(AR236:AR291,B236:B291,B243-24)+in_two_wheeler_renew^3*SUMIFS(AR236:AR291,B236:B291,B243-36)+in_two_wheeler_renew^4*SUMIFS(AR236:AR291,B236:B291,B243-48))</f>
        <v/>
      </c>
      <c r="AT243" s="40">
        <f>AT242*(1-IF(B242&gt;=in_marketplace_from,d_hz_device*G242,0))</f>
        <v/>
      </c>
      <c r="AU243" s="14">
        <f>F243*AT243*IF(B243&gt;=in_marketplace_from,d_hz_device*G243,0)*in_device_ticket*in_device_comm*in_ins_partner_share</f>
        <v/>
      </c>
      <c r="AV243" s="40">
        <f>AV242*(1-IF(B242&gt;=in_marketplace_from,d_hz_shop*G242,0))</f>
        <v/>
      </c>
      <c r="AW243" s="46">
        <f>AV243*IF(B243&gt;=in_marketplace_from,d_hz_shop*G243,0)</f>
        <v/>
      </c>
      <c r="AX243" s="14">
        <f>F243*AW243*in_shop_ticket*in_shop_comm*in_ins_partner_share+F243*in_shop_ticket*in_shop_renew_comm*in_ins_partner_share*(in_shop_renew^1*SUMIFS(AW236:AW291,B236:B291,B243-12)+in_shop_renew^2*SUMIFS(AW236:AW291,B236:B291,B243-24)+in_shop_renew^3*SUMIFS(AW236:AW291,B236:B291,B243-36)+in_shop_renew^4*SUMIFS(AW236:AW291,B236:B291,B243-48))</f>
        <v/>
      </c>
      <c r="AY243" s="40">
        <f>AY242*(1-IF(B242&gt;=in_marketplace_from,d_hz_sip*G242,0))</f>
        <v/>
      </c>
      <c r="AZ243" s="40">
        <f>AZ242*d_rho_sip+AY243*IF(B243&gt;=in_marketplace_from,d_hz_sip*G243,0)</f>
        <v/>
      </c>
      <c r="BA243" s="40">
        <f>d_rho_sip*(BA242+AZ242)</f>
        <v/>
      </c>
      <c r="BB243" s="14">
        <f>F243*in_sip_ticket*(BA243+0.5*AZ243)*in_sip_comm/12</f>
        <v/>
      </c>
      <c r="BC243" s="40">
        <f>BC242*(1-IF(B242&gt;=in_marketplace_from,d_hz_choti*G242,0))</f>
        <v/>
      </c>
      <c r="BD243" s="46">
        <f>BC243*IF(B243&gt;=in_marketplace_from,d_hz_choti*G243,0)</f>
        <v/>
      </c>
      <c r="BE243" s="14">
        <f>F243*SUMIFS(BD236:BD291,B236:B291,B243-in_choti_months)*in_choti_renew*in_choti_ticket</f>
        <v/>
      </c>
      <c r="BF243" s="40">
        <f>BF242*(1-IF(B242&gt;=in_marketplace_from,d_hz_nps*G242,0))</f>
        <v/>
      </c>
      <c r="BG243" s="14">
        <f>F243*BF243*IF(B243&gt;=in_marketplace_from,d_hz_nps*G243,0)*in_nps_ticket*in_nps_comm</f>
        <v/>
      </c>
      <c r="BH243" s="40">
        <f>BH242*(1-IF(B242&gt;=in_marketplace_from,d_hz_gold*G242,0))</f>
        <v/>
      </c>
      <c r="BI243" s="40">
        <f>BI242*d_rho_gold+BH243*IF(B243&gt;=in_marketplace_from,d_hz_gold*G243,0)</f>
        <v/>
      </c>
      <c r="BJ243" s="14">
        <f>F243*BI243*in_gold_ticket*in_gold_comm</f>
        <v/>
      </c>
      <c r="BK243" s="40">
        <f>BK242*(1-IF(B242&gt;=in_marketplace_from,d_hz_fd*G242,0))</f>
        <v/>
      </c>
      <c r="BL243" s="14">
        <f>F243*BK243*IF(B243&gt;=in_marketplace_from,d_hz_fd*G243,0)*in_fd_ticket*in_fd_comm</f>
        <v/>
      </c>
      <c r="BM243" s="40">
        <f>BM242*(1-IF(B242&gt;=in_marketplace_from,d_hz_recharge*G242,0))</f>
        <v/>
      </c>
      <c r="BN243" s="40">
        <f>BN242*d_rho_recharge+BM243*IF(B243&gt;=in_marketplace_from,d_hz_recharge*G243,0)</f>
        <v/>
      </c>
      <c r="BO243" s="14">
        <f>F243*BN243*in_recharge_ticket*in_recharge_comm/12</f>
        <v/>
      </c>
      <c r="BP243" s="40">
        <f>BP242*(1-IF(B242&gt;=in_marketplace_from,d_hz_bills*G242,0))</f>
        <v/>
      </c>
      <c r="BQ243" s="40">
        <f>BQ242*d_rho_bills+BP243*IF(B243&gt;=in_marketplace_from,d_hz_bills*G243,0)</f>
        <v/>
      </c>
      <c r="BR243" s="14">
        <f>F243*BQ243*in_bills_ticket*in_bills_comm/12</f>
        <v/>
      </c>
      <c r="BS243" s="40">
        <f>BS242*(1-IF(B242&gt;=in_marketplace_from,d_hz_loan_gold*G242,0))</f>
        <v/>
      </c>
      <c r="BT243" s="14">
        <f>F243*BS243*IF(B243&gt;=in_marketplace_from,d_hz_loan_gold*G243,0)*in_loan_gold_ticket*in_loan_gold_comm</f>
        <v/>
      </c>
      <c r="BU243" s="40">
        <f>BU242*(1-IF(B242&gt;=in_marketplace_from,d_hz_loan_cd*G242,0))</f>
        <v/>
      </c>
      <c r="BV243" s="14">
        <f>F243*BU243*IF(B243&gt;=in_marketplace_from,d_hz_loan_cd*G243,0)*in_loan_cd_ticket*in_loan_cd_comm</f>
        <v/>
      </c>
      <c r="BW243" s="40">
        <f>BW242*(1-IF(B242&gt;=in_marketplace_from,d_hz_loan_vehicle*G242,0))</f>
        <v/>
      </c>
      <c r="BX243" s="14">
        <f>F243*BW243*IF(B243&gt;=in_marketplace_from,d_hz_loan_vehicle*G243,0)*in_loan_vehicle_ticket*in_loan_vehicle_comm</f>
        <v/>
      </c>
      <c r="BY243" s="40">
        <f>BY242*(1-IF(B242&gt;=in_marketplace_from,d_hz_loan_home*G242,0)*BZ242)</f>
        <v/>
      </c>
      <c r="BZ243" s="11">
        <f>MIN(in_approval_cap,in_loan_home_approval*INDEX('Age profile'!$O$2:$O$61,B243)*(1+in_approval_growth)^(D243-1))</f>
        <v/>
      </c>
      <c r="CA243" s="14">
        <f>F243*BY243*IF(B243&gt;=in_marketplace_from,d_hz_loan_home*G243,0)*BZ243*in_loan_home_ticket*in_loan_home_comm</f>
        <v/>
      </c>
      <c r="CB243" s="40">
        <f>CB242*(1-IF(B242&gt;=in_marketplace_from,d_hz_loan_lap*G242,0)*CC242)</f>
        <v/>
      </c>
      <c r="CC243" s="11">
        <f>MIN(in_approval_cap,in_loan_lap_approval*INDEX('Age profile'!$O$2:$O$61,B243)*(1+in_approval_growth)^(D243-1))</f>
        <v/>
      </c>
      <c r="CD243" s="14">
        <f>F243*CB243*IF(B243&gt;=in_marketplace_from,d_hz_loan_lap*G243,0)*CC243*in_loan_lap_ticket*in_loan_lap_comm</f>
        <v/>
      </c>
      <c r="CE243" s="14">
        <f>AA243+AB243+AC243+AD243+AG243+AJ243+AM243+AP243+AS243+AU243+AX243+BB243+BE243+BG243+BJ243+BL243+BO243+BR243+BT243+BV243+BX243+CA243+CD243</f>
        <v/>
      </c>
    </row>
    <row r="244">
      <c r="A244" s="39" t="n">
        <v>5</v>
      </c>
      <c r="B244" s="39" t="n">
        <v>9</v>
      </c>
      <c r="C244" s="39">
        <f>A244+B244-1</f>
        <v/>
      </c>
      <c r="D244" s="39">
        <f>INT((C244-1)/12)+1</f>
        <v/>
      </c>
      <c r="E244" s="44">
        <f>INDEX(Monthly!$B$2:$B$61,A244)</f>
        <v/>
      </c>
      <c r="F244" s="44">
        <f>E244*INDEX('Age profile'!$B$2:$B$61,B244)</f>
        <v/>
      </c>
      <c r="G244" s="45">
        <f>MIN(in_takeup_cap,INDEX('Age profile'!$N$2:$N$61,B244)*(1+in_takeup_growth)^(D244-1))</f>
        <v/>
      </c>
      <c r="H244" s="11">
        <f>MIN(in_approval_cap,in_approved_first*INDEX('Age profile'!$O$2:$O$61,B244)*(1+in_approval_growth)^(D244-1))</f>
        <v/>
      </c>
      <c r="I244" s="45">
        <f>G244*MIN(in_takeup_cap,INDEX('Age profile'!$O$2:$O$61,B244)*(1+in_approval_growth)^(D244-1))</f>
        <v/>
      </c>
      <c r="J244" s="40">
        <f>(J243-L243)*F244/F243</f>
        <v/>
      </c>
      <c r="K244" s="40">
        <f>(K243-M243)*F244/F243+SUMIFS(O236:O243,B236:B243,B244-1-d_T)*F244</f>
        <v/>
      </c>
      <c r="L244" s="40">
        <f>IF(B244&gt;=in_marketplace_from,J244*d_hz*G244*in_eligible*H244,0)</f>
        <v/>
      </c>
      <c r="M244" s="40">
        <f>IF(B244&gt;=in_marketplace_from,K244*d_hz*G244*in_eligible*in_approved_repeat,0)</f>
        <v/>
      </c>
      <c r="N244" s="40">
        <f>L244+M244</f>
        <v/>
      </c>
      <c r="O244" s="46">
        <f>N244/F244</f>
        <v/>
      </c>
      <c r="P244" s="40">
        <f>F244-J244-K244</f>
        <v/>
      </c>
      <c r="Q244" s="40">
        <f>IF(B244&gt;=in_marketplace_from,(J244+K244)*d_hz*G244,0)</f>
        <v/>
      </c>
      <c r="R244" s="40">
        <f>SUMIFS(N236:N291,B236:B291,"&gt;="&amp;(B244-d_T),B236:B291,"&lt;="&amp;(B244-1))</f>
        <v/>
      </c>
      <c r="S244" s="46">
        <f>(1-d_u)*S243+IF(d_T&gt;in_topup_lag,SUMIFS(O236:O291,B236:B291,B244-in_topup_lag)-d_udrop*SUMIFS(O236:O291,B236:B291,B244-d_T),0)</f>
        <v/>
      </c>
      <c r="T244" s="40">
        <f>F244*d_u*S244</f>
        <v/>
      </c>
      <c r="U244" s="9">
        <f>L244*in_ticket+M244*d_rep_ticket</f>
        <v/>
      </c>
      <c r="V244" s="9">
        <f>U244+T244*d_topup_amt</f>
        <v/>
      </c>
      <c r="W244" s="40">
        <f>N244+T244*d_topup_ratio</f>
        <v/>
      </c>
      <c r="X244" s="40">
        <f>SUMIFS(W236:W291,B236:B291,B244-in_dpd_lag)*d_cured</f>
        <v/>
      </c>
      <c r="Y244" s="40">
        <f>SUMIFS(W236:W291,B236:B291,B244-in_rec_lag)*d_recd</f>
        <v/>
      </c>
      <c r="Z244" s="40">
        <f>IF(AND(B244&gt;=in_marketplace_from,B244&lt;in_marketplace_from+in_card_months),in_card_share/in_card_months*F244*I244,IF(AND(B244&gt;=in_marketplace_from+in_card_months,B244&lt;in_marketplace_from+2*in_card_months),in_card_share*d_card_rem/in_card_months*F244*MIN(in_takeup_cap,(1+in_takeup_growth)^(D244-1))*MIN(in_takeup_cap,(1+in_approval_growth)^(D244-1)),0))</f>
        <v/>
      </c>
      <c r="AA244" s="14">
        <f>V244*in_fee*(1-in_taken_back)</f>
        <v/>
      </c>
      <c r="AB244" s="14">
        <f>SUMIFS(W236:W291,B236:B291,B244-in_dpd_lag)*d_dpd</f>
        <v/>
      </c>
      <c r="AC244" s="14">
        <f>SUMIFS(W236:W291,B236:B291,B244-in_rec_lag)*d_rec</f>
        <v/>
      </c>
      <c r="AD244" s="14">
        <f>Z244*in_card_fee</f>
        <v/>
      </c>
      <c r="AE244" s="40">
        <f>AE243*(1-IF(B243&gt;=in_marketplace_from,d_hz_hlth_small*G243,0))</f>
        <v/>
      </c>
      <c r="AF244" s="46">
        <f>AE244*IF(B244&gt;=in_marketplace_from,d_hz_hlth_small*G244,0)</f>
        <v/>
      </c>
      <c r="AG244" s="14">
        <f>F244*AF244*in_hlth_small_ticket*in_hlth_small_comm*in_ins_partner_share+F244*in_hlth_small_ticket*in_hlth_small_renew_comm*in_ins_partner_share*(in_hlth_small_renew^1*SUMIFS(AF236:AF291,B236:B291,B244-12)+in_hlth_small_renew^2*SUMIFS(AF236:AF291,B236:B291,B244-24)+in_hlth_small_renew^3*SUMIFS(AF236:AF291,B236:B291,B244-36)+in_hlth_small_renew^4*SUMIFS(AF236:AF291,B236:B291,B244-48))</f>
        <v/>
      </c>
      <c r="AH244" s="40">
        <f>AH243*(1-IF(B243&gt;=in_marketplace_from,d_hz_hlth_family*G243,0))</f>
        <v/>
      </c>
      <c r="AI244" s="46">
        <f>AH244*IF(B244&gt;=in_marketplace_from,d_hz_hlth_family*G244,0)</f>
        <v/>
      </c>
      <c r="AJ244" s="14">
        <f>F244*AI244*in_hlth_family_ticket*in_hlth_family_comm*in_ins_partner_share+F244*in_hlth_family_ticket*in_hlth_family_renew_comm*in_ins_partner_share*(in_hlth_family_renew^1*SUMIFS(AI236:AI291,B236:B291,B244-12)+in_hlth_family_renew^2*SUMIFS(AI236:AI291,B236:B291,B244-24)+in_hlth_family_renew^3*SUMIFS(AI236:AI291,B236:B291,B244-36)+in_hlth_family_renew^4*SUMIFS(AI236:AI291,B236:B291,B244-48))</f>
        <v/>
      </c>
      <c r="AK244" s="40">
        <f>AK243*(1-IF(B243&gt;=in_marketplace_from,d_hz_life_term*G243,0))</f>
        <v/>
      </c>
      <c r="AL244" s="46">
        <f>AK244*IF(B244&gt;=in_marketplace_from,d_hz_life_term*G244,0)</f>
        <v/>
      </c>
      <c r="AM244" s="14">
        <f>F244*AL244*in_life_term_ticket*in_life_term_comm*in_ins_partner_share+F244*in_life_term_ticket*in_life_term_renew_comm*in_ins_partner_share*(in_life_term_renew^1*SUMIFS(AL236:AL291,B236:B291,B244-12)+in_life_term_renew^2*SUMIFS(AL236:AL291,B236:B291,B244-24)+in_life_term_renew^3*SUMIFS(AL236:AL291,B236:B291,B244-36)+in_life_term_renew^4*SUMIFS(AL236:AL291,B236:B291,B244-48))</f>
        <v/>
      </c>
      <c r="AN244" s="40">
        <f>AN243*(1-IF(B243&gt;=in_marketplace_from,d_hz_accident*G243,0))</f>
        <v/>
      </c>
      <c r="AO244" s="46">
        <f>AN244*IF(B244&gt;=in_marketplace_from,d_hz_accident*G244,0)</f>
        <v/>
      </c>
      <c r="AP244" s="14">
        <f>F244*AO244*in_accident_ticket*in_accident_comm*in_ins_partner_share+F244*in_accident_ticket*in_accident_renew_comm*in_ins_partner_share*(in_accident_renew^1*SUMIFS(AO236:AO291,B236:B291,B244-12)+in_accident_renew^2*SUMIFS(AO236:AO291,B236:B291,B244-24)+in_accident_renew^3*SUMIFS(AO236:AO291,B236:B291,B244-36)+in_accident_renew^4*SUMIFS(AO236:AO291,B236:B291,B244-48))</f>
        <v/>
      </c>
      <c r="AQ244" s="40">
        <f>AQ243*(1-IF(B243&gt;=in_marketplace_from,d_hz_two_wheeler*G243,0))</f>
        <v/>
      </c>
      <c r="AR244" s="46">
        <f>AQ244*IF(B244&gt;=in_marketplace_from,d_hz_two_wheeler*G244,0)</f>
        <v/>
      </c>
      <c r="AS244" s="14">
        <f>F244*AR244*in_two_wheeler_ticket*in_two_wheeler_comm*in_ins_partner_share+F244*in_two_wheeler_ticket*in_two_wheeler_comm*in_ins_partner_share*(in_two_wheeler_renew^1*SUMIFS(AR236:AR291,B236:B291,B244-12)+in_two_wheeler_renew^2*SUMIFS(AR236:AR291,B236:B291,B244-24)+in_two_wheeler_renew^3*SUMIFS(AR236:AR291,B236:B291,B244-36)+in_two_wheeler_renew^4*SUMIFS(AR236:AR291,B236:B291,B244-48))</f>
        <v/>
      </c>
      <c r="AT244" s="40">
        <f>AT243*(1-IF(B243&gt;=in_marketplace_from,d_hz_device*G243,0))</f>
        <v/>
      </c>
      <c r="AU244" s="14">
        <f>F244*AT244*IF(B244&gt;=in_marketplace_from,d_hz_device*G244,0)*in_device_ticket*in_device_comm*in_ins_partner_share</f>
        <v/>
      </c>
      <c r="AV244" s="40">
        <f>AV243*(1-IF(B243&gt;=in_marketplace_from,d_hz_shop*G243,0))</f>
        <v/>
      </c>
      <c r="AW244" s="46">
        <f>AV244*IF(B244&gt;=in_marketplace_from,d_hz_shop*G244,0)</f>
        <v/>
      </c>
      <c r="AX244" s="14">
        <f>F244*AW244*in_shop_ticket*in_shop_comm*in_ins_partner_share+F244*in_shop_ticket*in_shop_renew_comm*in_ins_partner_share*(in_shop_renew^1*SUMIFS(AW236:AW291,B236:B291,B244-12)+in_shop_renew^2*SUMIFS(AW236:AW291,B236:B291,B244-24)+in_shop_renew^3*SUMIFS(AW236:AW291,B236:B291,B244-36)+in_shop_renew^4*SUMIFS(AW236:AW291,B236:B291,B244-48))</f>
        <v/>
      </c>
      <c r="AY244" s="40">
        <f>AY243*(1-IF(B243&gt;=in_marketplace_from,d_hz_sip*G243,0))</f>
        <v/>
      </c>
      <c r="AZ244" s="40">
        <f>AZ243*d_rho_sip+AY244*IF(B244&gt;=in_marketplace_from,d_hz_sip*G244,0)</f>
        <v/>
      </c>
      <c r="BA244" s="40">
        <f>d_rho_sip*(BA243+AZ243)</f>
        <v/>
      </c>
      <c r="BB244" s="14">
        <f>F244*in_sip_ticket*(BA244+0.5*AZ244)*in_sip_comm/12</f>
        <v/>
      </c>
      <c r="BC244" s="40">
        <f>BC243*(1-IF(B243&gt;=in_marketplace_from,d_hz_choti*G243,0))</f>
        <v/>
      </c>
      <c r="BD244" s="46">
        <f>BC244*IF(B244&gt;=in_marketplace_from,d_hz_choti*G244,0)</f>
        <v/>
      </c>
      <c r="BE244" s="14">
        <f>F244*SUMIFS(BD236:BD291,B236:B291,B244-in_choti_months)*in_choti_renew*in_choti_ticket</f>
        <v/>
      </c>
      <c r="BF244" s="40">
        <f>BF243*(1-IF(B243&gt;=in_marketplace_from,d_hz_nps*G243,0))</f>
        <v/>
      </c>
      <c r="BG244" s="14">
        <f>F244*BF244*IF(B244&gt;=in_marketplace_from,d_hz_nps*G244,0)*in_nps_ticket*in_nps_comm</f>
        <v/>
      </c>
      <c r="BH244" s="40">
        <f>BH243*(1-IF(B243&gt;=in_marketplace_from,d_hz_gold*G243,0))</f>
        <v/>
      </c>
      <c r="BI244" s="40">
        <f>BI243*d_rho_gold+BH244*IF(B244&gt;=in_marketplace_from,d_hz_gold*G244,0)</f>
        <v/>
      </c>
      <c r="BJ244" s="14">
        <f>F244*BI244*in_gold_ticket*in_gold_comm</f>
        <v/>
      </c>
      <c r="BK244" s="40">
        <f>BK243*(1-IF(B243&gt;=in_marketplace_from,d_hz_fd*G243,0))</f>
        <v/>
      </c>
      <c r="BL244" s="14">
        <f>F244*BK244*IF(B244&gt;=in_marketplace_from,d_hz_fd*G244,0)*in_fd_ticket*in_fd_comm</f>
        <v/>
      </c>
      <c r="BM244" s="40">
        <f>BM243*(1-IF(B243&gt;=in_marketplace_from,d_hz_recharge*G243,0))</f>
        <v/>
      </c>
      <c r="BN244" s="40">
        <f>BN243*d_rho_recharge+BM244*IF(B244&gt;=in_marketplace_from,d_hz_recharge*G244,0)</f>
        <v/>
      </c>
      <c r="BO244" s="14">
        <f>F244*BN244*in_recharge_ticket*in_recharge_comm/12</f>
        <v/>
      </c>
      <c r="BP244" s="40">
        <f>BP243*(1-IF(B243&gt;=in_marketplace_from,d_hz_bills*G243,0))</f>
        <v/>
      </c>
      <c r="BQ244" s="40">
        <f>BQ243*d_rho_bills+BP244*IF(B244&gt;=in_marketplace_from,d_hz_bills*G244,0)</f>
        <v/>
      </c>
      <c r="BR244" s="14">
        <f>F244*BQ244*in_bills_ticket*in_bills_comm/12</f>
        <v/>
      </c>
      <c r="BS244" s="40">
        <f>BS243*(1-IF(B243&gt;=in_marketplace_from,d_hz_loan_gold*G243,0))</f>
        <v/>
      </c>
      <c r="BT244" s="14">
        <f>F244*BS244*IF(B244&gt;=in_marketplace_from,d_hz_loan_gold*G244,0)*in_loan_gold_ticket*in_loan_gold_comm</f>
        <v/>
      </c>
      <c r="BU244" s="40">
        <f>BU243*(1-IF(B243&gt;=in_marketplace_from,d_hz_loan_cd*G243,0))</f>
        <v/>
      </c>
      <c r="BV244" s="14">
        <f>F244*BU244*IF(B244&gt;=in_marketplace_from,d_hz_loan_cd*G244,0)*in_loan_cd_ticket*in_loan_cd_comm</f>
        <v/>
      </c>
      <c r="BW244" s="40">
        <f>BW243*(1-IF(B243&gt;=in_marketplace_from,d_hz_loan_vehicle*G243,0))</f>
        <v/>
      </c>
      <c r="BX244" s="14">
        <f>F244*BW244*IF(B244&gt;=in_marketplace_from,d_hz_loan_vehicle*G244,0)*in_loan_vehicle_ticket*in_loan_vehicle_comm</f>
        <v/>
      </c>
      <c r="BY244" s="40">
        <f>BY243*(1-IF(B243&gt;=in_marketplace_from,d_hz_loan_home*G243,0)*BZ243)</f>
        <v/>
      </c>
      <c r="BZ244" s="11">
        <f>MIN(in_approval_cap,in_loan_home_approval*INDEX('Age profile'!$O$2:$O$61,B244)*(1+in_approval_growth)^(D244-1))</f>
        <v/>
      </c>
      <c r="CA244" s="14">
        <f>F244*BY244*IF(B244&gt;=in_marketplace_from,d_hz_loan_home*G244,0)*BZ244*in_loan_home_ticket*in_loan_home_comm</f>
        <v/>
      </c>
      <c r="CB244" s="40">
        <f>CB243*(1-IF(B243&gt;=in_marketplace_from,d_hz_loan_lap*G243,0)*CC243)</f>
        <v/>
      </c>
      <c r="CC244" s="11">
        <f>MIN(in_approval_cap,in_loan_lap_approval*INDEX('Age profile'!$O$2:$O$61,B244)*(1+in_approval_growth)^(D244-1))</f>
        <v/>
      </c>
      <c r="CD244" s="14">
        <f>F244*CB244*IF(B244&gt;=in_marketplace_from,d_hz_loan_lap*G244,0)*CC244*in_loan_lap_ticket*in_loan_lap_comm</f>
        <v/>
      </c>
      <c r="CE244" s="14">
        <f>AA244+AB244+AC244+AD244+AG244+AJ244+AM244+AP244+AS244+AU244+AX244+BB244+BE244+BG244+BJ244+BL244+BO244+BR244+BT244+BV244+BX244+CA244+CD244</f>
        <v/>
      </c>
    </row>
    <row r="245">
      <c r="A245" s="39" t="n">
        <v>5</v>
      </c>
      <c r="B245" s="39" t="n">
        <v>10</v>
      </c>
      <c r="C245" s="39">
        <f>A245+B245-1</f>
        <v/>
      </c>
      <c r="D245" s="39">
        <f>INT((C245-1)/12)+1</f>
        <v/>
      </c>
      <c r="E245" s="44">
        <f>INDEX(Monthly!$B$2:$B$61,A245)</f>
        <v/>
      </c>
      <c r="F245" s="44">
        <f>E245*INDEX('Age profile'!$B$2:$B$61,B245)</f>
        <v/>
      </c>
      <c r="G245" s="45">
        <f>MIN(in_takeup_cap,INDEX('Age profile'!$N$2:$N$61,B245)*(1+in_takeup_growth)^(D245-1))</f>
        <v/>
      </c>
      <c r="H245" s="11">
        <f>MIN(in_approval_cap,in_approved_first*INDEX('Age profile'!$O$2:$O$61,B245)*(1+in_approval_growth)^(D245-1))</f>
        <v/>
      </c>
      <c r="I245" s="45">
        <f>G245*MIN(in_takeup_cap,INDEX('Age profile'!$O$2:$O$61,B245)*(1+in_approval_growth)^(D245-1))</f>
        <v/>
      </c>
      <c r="J245" s="40">
        <f>(J244-L244)*F245/F244</f>
        <v/>
      </c>
      <c r="K245" s="40">
        <f>(K244-M244)*F245/F244+SUMIFS(O236:O244,B236:B244,B245-1-d_T)*F245</f>
        <v/>
      </c>
      <c r="L245" s="40">
        <f>IF(B245&gt;=in_marketplace_from,J245*d_hz*G245*in_eligible*H245,0)</f>
        <v/>
      </c>
      <c r="M245" s="40">
        <f>IF(B245&gt;=in_marketplace_from,K245*d_hz*G245*in_eligible*in_approved_repeat,0)</f>
        <v/>
      </c>
      <c r="N245" s="40">
        <f>L245+M245</f>
        <v/>
      </c>
      <c r="O245" s="46">
        <f>N245/F245</f>
        <v/>
      </c>
      <c r="P245" s="40">
        <f>F245-J245-K245</f>
        <v/>
      </c>
      <c r="Q245" s="40">
        <f>IF(B245&gt;=in_marketplace_from,(J245+K245)*d_hz*G245,0)</f>
        <v/>
      </c>
      <c r="R245" s="40">
        <f>SUMIFS(N236:N291,B236:B291,"&gt;="&amp;(B245-d_T),B236:B291,"&lt;="&amp;(B245-1))</f>
        <v/>
      </c>
      <c r="S245" s="46">
        <f>(1-d_u)*S244+IF(d_T&gt;in_topup_lag,SUMIFS(O236:O291,B236:B291,B245-in_topup_lag)-d_udrop*SUMIFS(O236:O291,B236:B291,B245-d_T),0)</f>
        <v/>
      </c>
      <c r="T245" s="40">
        <f>F245*d_u*S245</f>
        <v/>
      </c>
      <c r="U245" s="9">
        <f>L245*in_ticket+M245*d_rep_ticket</f>
        <v/>
      </c>
      <c r="V245" s="9">
        <f>U245+T245*d_topup_amt</f>
        <v/>
      </c>
      <c r="W245" s="40">
        <f>N245+T245*d_topup_ratio</f>
        <v/>
      </c>
      <c r="X245" s="40">
        <f>SUMIFS(W236:W291,B236:B291,B245-in_dpd_lag)*d_cured</f>
        <v/>
      </c>
      <c r="Y245" s="40">
        <f>SUMIFS(W236:W291,B236:B291,B245-in_rec_lag)*d_recd</f>
        <v/>
      </c>
      <c r="Z245" s="40">
        <f>IF(AND(B245&gt;=in_marketplace_from,B245&lt;in_marketplace_from+in_card_months),in_card_share/in_card_months*F245*I245,IF(AND(B245&gt;=in_marketplace_from+in_card_months,B245&lt;in_marketplace_from+2*in_card_months),in_card_share*d_card_rem/in_card_months*F245*MIN(in_takeup_cap,(1+in_takeup_growth)^(D245-1))*MIN(in_takeup_cap,(1+in_approval_growth)^(D245-1)),0))</f>
        <v/>
      </c>
      <c r="AA245" s="14">
        <f>V245*in_fee*(1-in_taken_back)</f>
        <v/>
      </c>
      <c r="AB245" s="14">
        <f>SUMIFS(W236:W291,B236:B291,B245-in_dpd_lag)*d_dpd</f>
        <v/>
      </c>
      <c r="AC245" s="14">
        <f>SUMIFS(W236:W291,B236:B291,B245-in_rec_lag)*d_rec</f>
        <v/>
      </c>
      <c r="AD245" s="14">
        <f>Z245*in_card_fee</f>
        <v/>
      </c>
      <c r="AE245" s="40">
        <f>AE244*(1-IF(B244&gt;=in_marketplace_from,d_hz_hlth_small*G244,0))</f>
        <v/>
      </c>
      <c r="AF245" s="46">
        <f>AE245*IF(B245&gt;=in_marketplace_from,d_hz_hlth_small*G245,0)</f>
        <v/>
      </c>
      <c r="AG245" s="14">
        <f>F245*AF245*in_hlth_small_ticket*in_hlth_small_comm*in_ins_partner_share+F245*in_hlth_small_ticket*in_hlth_small_renew_comm*in_ins_partner_share*(in_hlth_small_renew^1*SUMIFS(AF236:AF291,B236:B291,B245-12)+in_hlth_small_renew^2*SUMIFS(AF236:AF291,B236:B291,B245-24)+in_hlth_small_renew^3*SUMIFS(AF236:AF291,B236:B291,B245-36)+in_hlth_small_renew^4*SUMIFS(AF236:AF291,B236:B291,B245-48))</f>
        <v/>
      </c>
      <c r="AH245" s="40">
        <f>AH244*(1-IF(B244&gt;=in_marketplace_from,d_hz_hlth_family*G244,0))</f>
        <v/>
      </c>
      <c r="AI245" s="46">
        <f>AH245*IF(B245&gt;=in_marketplace_from,d_hz_hlth_family*G245,0)</f>
        <v/>
      </c>
      <c r="AJ245" s="14">
        <f>F245*AI245*in_hlth_family_ticket*in_hlth_family_comm*in_ins_partner_share+F245*in_hlth_family_ticket*in_hlth_family_renew_comm*in_ins_partner_share*(in_hlth_family_renew^1*SUMIFS(AI236:AI291,B236:B291,B245-12)+in_hlth_family_renew^2*SUMIFS(AI236:AI291,B236:B291,B245-24)+in_hlth_family_renew^3*SUMIFS(AI236:AI291,B236:B291,B245-36)+in_hlth_family_renew^4*SUMIFS(AI236:AI291,B236:B291,B245-48))</f>
        <v/>
      </c>
      <c r="AK245" s="40">
        <f>AK244*(1-IF(B244&gt;=in_marketplace_from,d_hz_life_term*G244,0))</f>
        <v/>
      </c>
      <c r="AL245" s="46">
        <f>AK245*IF(B245&gt;=in_marketplace_from,d_hz_life_term*G245,0)</f>
        <v/>
      </c>
      <c r="AM245" s="14">
        <f>F245*AL245*in_life_term_ticket*in_life_term_comm*in_ins_partner_share+F245*in_life_term_ticket*in_life_term_renew_comm*in_ins_partner_share*(in_life_term_renew^1*SUMIFS(AL236:AL291,B236:B291,B245-12)+in_life_term_renew^2*SUMIFS(AL236:AL291,B236:B291,B245-24)+in_life_term_renew^3*SUMIFS(AL236:AL291,B236:B291,B245-36)+in_life_term_renew^4*SUMIFS(AL236:AL291,B236:B291,B245-48))</f>
        <v/>
      </c>
      <c r="AN245" s="40">
        <f>AN244*(1-IF(B244&gt;=in_marketplace_from,d_hz_accident*G244,0))</f>
        <v/>
      </c>
      <c r="AO245" s="46">
        <f>AN245*IF(B245&gt;=in_marketplace_from,d_hz_accident*G245,0)</f>
        <v/>
      </c>
      <c r="AP245" s="14">
        <f>F245*AO245*in_accident_ticket*in_accident_comm*in_ins_partner_share+F245*in_accident_ticket*in_accident_renew_comm*in_ins_partner_share*(in_accident_renew^1*SUMIFS(AO236:AO291,B236:B291,B245-12)+in_accident_renew^2*SUMIFS(AO236:AO291,B236:B291,B245-24)+in_accident_renew^3*SUMIFS(AO236:AO291,B236:B291,B245-36)+in_accident_renew^4*SUMIFS(AO236:AO291,B236:B291,B245-48))</f>
        <v/>
      </c>
      <c r="AQ245" s="40">
        <f>AQ244*(1-IF(B244&gt;=in_marketplace_from,d_hz_two_wheeler*G244,0))</f>
        <v/>
      </c>
      <c r="AR245" s="46">
        <f>AQ245*IF(B245&gt;=in_marketplace_from,d_hz_two_wheeler*G245,0)</f>
        <v/>
      </c>
      <c r="AS245" s="14">
        <f>F245*AR245*in_two_wheeler_ticket*in_two_wheeler_comm*in_ins_partner_share+F245*in_two_wheeler_ticket*in_two_wheeler_comm*in_ins_partner_share*(in_two_wheeler_renew^1*SUMIFS(AR236:AR291,B236:B291,B245-12)+in_two_wheeler_renew^2*SUMIFS(AR236:AR291,B236:B291,B245-24)+in_two_wheeler_renew^3*SUMIFS(AR236:AR291,B236:B291,B245-36)+in_two_wheeler_renew^4*SUMIFS(AR236:AR291,B236:B291,B245-48))</f>
        <v/>
      </c>
      <c r="AT245" s="40">
        <f>AT244*(1-IF(B244&gt;=in_marketplace_from,d_hz_device*G244,0))</f>
        <v/>
      </c>
      <c r="AU245" s="14">
        <f>F245*AT245*IF(B245&gt;=in_marketplace_from,d_hz_device*G245,0)*in_device_ticket*in_device_comm*in_ins_partner_share</f>
        <v/>
      </c>
      <c r="AV245" s="40">
        <f>AV244*(1-IF(B244&gt;=in_marketplace_from,d_hz_shop*G244,0))</f>
        <v/>
      </c>
      <c r="AW245" s="46">
        <f>AV245*IF(B245&gt;=in_marketplace_from,d_hz_shop*G245,0)</f>
        <v/>
      </c>
      <c r="AX245" s="14">
        <f>F245*AW245*in_shop_ticket*in_shop_comm*in_ins_partner_share+F245*in_shop_ticket*in_shop_renew_comm*in_ins_partner_share*(in_shop_renew^1*SUMIFS(AW236:AW291,B236:B291,B245-12)+in_shop_renew^2*SUMIFS(AW236:AW291,B236:B291,B245-24)+in_shop_renew^3*SUMIFS(AW236:AW291,B236:B291,B245-36)+in_shop_renew^4*SUMIFS(AW236:AW291,B236:B291,B245-48))</f>
        <v/>
      </c>
      <c r="AY245" s="40">
        <f>AY244*(1-IF(B244&gt;=in_marketplace_from,d_hz_sip*G244,0))</f>
        <v/>
      </c>
      <c r="AZ245" s="40">
        <f>AZ244*d_rho_sip+AY245*IF(B245&gt;=in_marketplace_from,d_hz_sip*G245,0)</f>
        <v/>
      </c>
      <c r="BA245" s="40">
        <f>d_rho_sip*(BA244+AZ244)</f>
        <v/>
      </c>
      <c r="BB245" s="14">
        <f>F245*in_sip_ticket*(BA245+0.5*AZ245)*in_sip_comm/12</f>
        <v/>
      </c>
      <c r="BC245" s="40">
        <f>BC244*(1-IF(B244&gt;=in_marketplace_from,d_hz_choti*G244,0))</f>
        <v/>
      </c>
      <c r="BD245" s="46">
        <f>BC245*IF(B245&gt;=in_marketplace_from,d_hz_choti*G245,0)</f>
        <v/>
      </c>
      <c r="BE245" s="14">
        <f>F245*SUMIFS(BD236:BD291,B236:B291,B245-in_choti_months)*in_choti_renew*in_choti_ticket</f>
        <v/>
      </c>
      <c r="BF245" s="40">
        <f>BF244*(1-IF(B244&gt;=in_marketplace_from,d_hz_nps*G244,0))</f>
        <v/>
      </c>
      <c r="BG245" s="14">
        <f>F245*BF245*IF(B245&gt;=in_marketplace_from,d_hz_nps*G245,0)*in_nps_ticket*in_nps_comm</f>
        <v/>
      </c>
      <c r="BH245" s="40">
        <f>BH244*(1-IF(B244&gt;=in_marketplace_from,d_hz_gold*G244,0))</f>
        <v/>
      </c>
      <c r="BI245" s="40">
        <f>BI244*d_rho_gold+BH245*IF(B245&gt;=in_marketplace_from,d_hz_gold*G245,0)</f>
        <v/>
      </c>
      <c r="BJ245" s="14">
        <f>F245*BI245*in_gold_ticket*in_gold_comm</f>
        <v/>
      </c>
      <c r="BK245" s="40">
        <f>BK244*(1-IF(B244&gt;=in_marketplace_from,d_hz_fd*G244,0))</f>
        <v/>
      </c>
      <c r="BL245" s="14">
        <f>F245*BK245*IF(B245&gt;=in_marketplace_from,d_hz_fd*G245,0)*in_fd_ticket*in_fd_comm</f>
        <v/>
      </c>
      <c r="BM245" s="40">
        <f>BM244*(1-IF(B244&gt;=in_marketplace_from,d_hz_recharge*G244,0))</f>
        <v/>
      </c>
      <c r="BN245" s="40">
        <f>BN244*d_rho_recharge+BM245*IF(B245&gt;=in_marketplace_from,d_hz_recharge*G245,0)</f>
        <v/>
      </c>
      <c r="BO245" s="14">
        <f>F245*BN245*in_recharge_ticket*in_recharge_comm/12</f>
        <v/>
      </c>
      <c r="BP245" s="40">
        <f>BP244*(1-IF(B244&gt;=in_marketplace_from,d_hz_bills*G244,0))</f>
        <v/>
      </c>
      <c r="BQ245" s="40">
        <f>BQ244*d_rho_bills+BP245*IF(B245&gt;=in_marketplace_from,d_hz_bills*G245,0)</f>
        <v/>
      </c>
      <c r="BR245" s="14">
        <f>F245*BQ245*in_bills_ticket*in_bills_comm/12</f>
        <v/>
      </c>
      <c r="BS245" s="40">
        <f>BS244*(1-IF(B244&gt;=in_marketplace_from,d_hz_loan_gold*G244,0))</f>
        <v/>
      </c>
      <c r="BT245" s="14">
        <f>F245*BS245*IF(B245&gt;=in_marketplace_from,d_hz_loan_gold*G245,0)*in_loan_gold_ticket*in_loan_gold_comm</f>
        <v/>
      </c>
      <c r="BU245" s="40">
        <f>BU244*(1-IF(B244&gt;=in_marketplace_from,d_hz_loan_cd*G244,0))</f>
        <v/>
      </c>
      <c r="BV245" s="14">
        <f>F245*BU245*IF(B245&gt;=in_marketplace_from,d_hz_loan_cd*G245,0)*in_loan_cd_ticket*in_loan_cd_comm</f>
        <v/>
      </c>
      <c r="BW245" s="40">
        <f>BW244*(1-IF(B244&gt;=in_marketplace_from,d_hz_loan_vehicle*G244,0))</f>
        <v/>
      </c>
      <c r="BX245" s="14">
        <f>F245*BW245*IF(B245&gt;=in_marketplace_from,d_hz_loan_vehicle*G245,0)*in_loan_vehicle_ticket*in_loan_vehicle_comm</f>
        <v/>
      </c>
      <c r="BY245" s="40">
        <f>BY244*(1-IF(B244&gt;=in_marketplace_from,d_hz_loan_home*G244,0)*BZ244)</f>
        <v/>
      </c>
      <c r="BZ245" s="11">
        <f>MIN(in_approval_cap,in_loan_home_approval*INDEX('Age profile'!$O$2:$O$61,B245)*(1+in_approval_growth)^(D245-1))</f>
        <v/>
      </c>
      <c r="CA245" s="14">
        <f>F245*BY245*IF(B245&gt;=in_marketplace_from,d_hz_loan_home*G245,0)*BZ245*in_loan_home_ticket*in_loan_home_comm</f>
        <v/>
      </c>
      <c r="CB245" s="40">
        <f>CB244*(1-IF(B244&gt;=in_marketplace_from,d_hz_loan_lap*G244,0)*CC244)</f>
        <v/>
      </c>
      <c r="CC245" s="11">
        <f>MIN(in_approval_cap,in_loan_lap_approval*INDEX('Age profile'!$O$2:$O$61,B245)*(1+in_approval_growth)^(D245-1))</f>
        <v/>
      </c>
      <c r="CD245" s="14">
        <f>F245*CB245*IF(B245&gt;=in_marketplace_from,d_hz_loan_lap*G245,0)*CC245*in_loan_lap_ticket*in_loan_lap_comm</f>
        <v/>
      </c>
      <c r="CE245" s="14">
        <f>AA245+AB245+AC245+AD245+AG245+AJ245+AM245+AP245+AS245+AU245+AX245+BB245+BE245+BG245+BJ245+BL245+BO245+BR245+BT245+BV245+BX245+CA245+CD245</f>
        <v/>
      </c>
    </row>
    <row r="246">
      <c r="A246" s="39" t="n">
        <v>5</v>
      </c>
      <c r="B246" s="39" t="n">
        <v>11</v>
      </c>
      <c r="C246" s="39">
        <f>A246+B246-1</f>
        <v/>
      </c>
      <c r="D246" s="39">
        <f>INT((C246-1)/12)+1</f>
        <v/>
      </c>
      <c r="E246" s="44">
        <f>INDEX(Monthly!$B$2:$B$61,A246)</f>
        <v/>
      </c>
      <c r="F246" s="44">
        <f>E246*INDEX('Age profile'!$B$2:$B$61,B246)</f>
        <v/>
      </c>
      <c r="G246" s="45">
        <f>MIN(in_takeup_cap,INDEX('Age profile'!$N$2:$N$61,B246)*(1+in_takeup_growth)^(D246-1))</f>
        <v/>
      </c>
      <c r="H246" s="11">
        <f>MIN(in_approval_cap,in_approved_first*INDEX('Age profile'!$O$2:$O$61,B246)*(1+in_approval_growth)^(D246-1))</f>
        <v/>
      </c>
      <c r="I246" s="45">
        <f>G246*MIN(in_takeup_cap,INDEX('Age profile'!$O$2:$O$61,B246)*(1+in_approval_growth)^(D246-1))</f>
        <v/>
      </c>
      <c r="J246" s="40">
        <f>(J245-L245)*F246/F245</f>
        <v/>
      </c>
      <c r="K246" s="40">
        <f>(K245-M245)*F246/F245+SUMIFS(O236:O245,B236:B245,B246-1-d_T)*F246</f>
        <v/>
      </c>
      <c r="L246" s="40">
        <f>IF(B246&gt;=in_marketplace_from,J246*d_hz*G246*in_eligible*H246,0)</f>
        <v/>
      </c>
      <c r="M246" s="40">
        <f>IF(B246&gt;=in_marketplace_from,K246*d_hz*G246*in_eligible*in_approved_repeat,0)</f>
        <v/>
      </c>
      <c r="N246" s="40">
        <f>L246+M246</f>
        <v/>
      </c>
      <c r="O246" s="46">
        <f>N246/F246</f>
        <v/>
      </c>
      <c r="P246" s="40">
        <f>F246-J246-K246</f>
        <v/>
      </c>
      <c r="Q246" s="40">
        <f>IF(B246&gt;=in_marketplace_from,(J246+K246)*d_hz*G246,0)</f>
        <v/>
      </c>
      <c r="R246" s="40">
        <f>SUMIFS(N236:N291,B236:B291,"&gt;="&amp;(B246-d_T),B236:B291,"&lt;="&amp;(B246-1))</f>
        <v/>
      </c>
      <c r="S246" s="46">
        <f>(1-d_u)*S245+IF(d_T&gt;in_topup_lag,SUMIFS(O236:O291,B236:B291,B246-in_topup_lag)-d_udrop*SUMIFS(O236:O291,B236:B291,B246-d_T),0)</f>
        <v/>
      </c>
      <c r="T246" s="40">
        <f>F246*d_u*S246</f>
        <v/>
      </c>
      <c r="U246" s="9">
        <f>L246*in_ticket+M246*d_rep_ticket</f>
        <v/>
      </c>
      <c r="V246" s="9">
        <f>U246+T246*d_topup_amt</f>
        <v/>
      </c>
      <c r="W246" s="40">
        <f>N246+T246*d_topup_ratio</f>
        <v/>
      </c>
      <c r="X246" s="40">
        <f>SUMIFS(W236:W291,B236:B291,B246-in_dpd_lag)*d_cured</f>
        <v/>
      </c>
      <c r="Y246" s="40">
        <f>SUMIFS(W236:W291,B236:B291,B246-in_rec_lag)*d_recd</f>
        <v/>
      </c>
      <c r="Z246" s="40">
        <f>IF(AND(B246&gt;=in_marketplace_from,B246&lt;in_marketplace_from+in_card_months),in_card_share/in_card_months*F246*I246,IF(AND(B246&gt;=in_marketplace_from+in_card_months,B246&lt;in_marketplace_from+2*in_card_months),in_card_share*d_card_rem/in_card_months*F246*MIN(in_takeup_cap,(1+in_takeup_growth)^(D246-1))*MIN(in_takeup_cap,(1+in_approval_growth)^(D246-1)),0))</f>
        <v/>
      </c>
      <c r="AA246" s="14">
        <f>V246*in_fee*(1-in_taken_back)</f>
        <v/>
      </c>
      <c r="AB246" s="14">
        <f>SUMIFS(W236:W291,B236:B291,B246-in_dpd_lag)*d_dpd</f>
        <v/>
      </c>
      <c r="AC246" s="14">
        <f>SUMIFS(W236:W291,B236:B291,B246-in_rec_lag)*d_rec</f>
        <v/>
      </c>
      <c r="AD246" s="14">
        <f>Z246*in_card_fee</f>
        <v/>
      </c>
      <c r="AE246" s="40">
        <f>AE245*(1-IF(B245&gt;=in_marketplace_from,d_hz_hlth_small*G245,0))</f>
        <v/>
      </c>
      <c r="AF246" s="46">
        <f>AE246*IF(B246&gt;=in_marketplace_from,d_hz_hlth_small*G246,0)</f>
        <v/>
      </c>
      <c r="AG246" s="14">
        <f>F246*AF246*in_hlth_small_ticket*in_hlth_small_comm*in_ins_partner_share+F246*in_hlth_small_ticket*in_hlth_small_renew_comm*in_ins_partner_share*(in_hlth_small_renew^1*SUMIFS(AF236:AF291,B236:B291,B246-12)+in_hlth_small_renew^2*SUMIFS(AF236:AF291,B236:B291,B246-24)+in_hlth_small_renew^3*SUMIFS(AF236:AF291,B236:B291,B246-36)+in_hlth_small_renew^4*SUMIFS(AF236:AF291,B236:B291,B246-48))</f>
        <v/>
      </c>
      <c r="AH246" s="40">
        <f>AH245*(1-IF(B245&gt;=in_marketplace_from,d_hz_hlth_family*G245,0))</f>
        <v/>
      </c>
      <c r="AI246" s="46">
        <f>AH246*IF(B246&gt;=in_marketplace_from,d_hz_hlth_family*G246,0)</f>
        <v/>
      </c>
      <c r="AJ246" s="14">
        <f>F246*AI246*in_hlth_family_ticket*in_hlth_family_comm*in_ins_partner_share+F246*in_hlth_family_ticket*in_hlth_family_renew_comm*in_ins_partner_share*(in_hlth_family_renew^1*SUMIFS(AI236:AI291,B236:B291,B246-12)+in_hlth_family_renew^2*SUMIFS(AI236:AI291,B236:B291,B246-24)+in_hlth_family_renew^3*SUMIFS(AI236:AI291,B236:B291,B246-36)+in_hlth_family_renew^4*SUMIFS(AI236:AI291,B236:B291,B246-48))</f>
        <v/>
      </c>
      <c r="AK246" s="40">
        <f>AK245*(1-IF(B245&gt;=in_marketplace_from,d_hz_life_term*G245,0))</f>
        <v/>
      </c>
      <c r="AL246" s="46">
        <f>AK246*IF(B246&gt;=in_marketplace_from,d_hz_life_term*G246,0)</f>
        <v/>
      </c>
      <c r="AM246" s="14">
        <f>F246*AL246*in_life_term_ticket*in_life_term_comm*in_ins_partner_share+F246*in_life_term_ticket*in_life_term_renew_comm*in_ins_partner_share*(in_life_term_renew^1*SUMIFS(AL236:AL291,B236:B291,B246-12)+in_life_term_renew^2*SUMIFS(AL236:AL291,B236:B291,B246-24)+in_life_term_renew^3*SUMIFS(AL236:AL291,B236:B291,B246-36)+in_life_term_renew^4*SUMIFS(AL236:AL291,B236:B291,B246-48))</f>
        <v/>
      </c>
      <c r="AN246" s="40">
        <f>AN245*(1-IF(B245&gt;=in_marketplace_from,d_hz_accident*G245,0))</f>
        <v/>
      </c>
      <c r="AO246" s="46">
        <f>AN246*IF(B246&gt;=in_marketplace_from,d_hz_accident*G246,0)</f>
        <v/>
      </c>
      <c r="AP246" s="14">
        <f>F246*AO246*in_accident_ticket*in_accident_comm*in_ins_partner_share+F246*in_accident_ticket*in_accident_renew_comm*in_ins_partner_share*(in_accident_renew^1*SUMIFS(AO236:AO291,B236:B291,B246-12)+in_accident_renew^2*SUMIFS(AO236:AO291,B236:B291,B246-24)+in_accident_renew^3*SUMIFS(AO236:AO291,B236:B291,B246-36)+in_accident_renew^4*SUMIFS(AO236:AO291,B236:B291,B246-48))</f>
        <v/>
      </c>
      <c r="AQ246" s="40">
        <f>AQ245*(1-IF(B245&gt;=in_marketplace_from,d_hz_two_wheeler*G245,0))</f>
        <v/>
      </c>
      <c r="AR246" s="46">
        <f>AQ246*IF(B246&gt;=in_marketplace_from,d_hz_two_wheeler*G246,0)</f>
        <v/>
      </c>
      <c r="AS246" s="14">
        <f>F246*AR246*in_two_wheeler_ticket*in_two_wheeler_comm*in_ins_partner_share+F246*in_two_wheeler_ticket*in_two_wheeler_comm*in_ins_partner_share*(in_two_wheeler_renew^1*SUMIFS(AR236:AR291,B236:B291,B246-12)+in_two_wheeler_renew^2*SUMIFS(AR236:AR291,B236:B291,B246-24)+in_two_wheeler_renew^3*SUMIFS(AR236:AR291,B236:B291,B246-36)+in_two_wheeler_renew^4*SUMIFS(AR236:AR291,B236:B291,B246-48))</f>
        <v/>
      </c>
      <c r="AT246" s="40">
        <f>AT245*(1-IF(B245&gt;=in_marketplace_from,d_hz_device*G245,0))</f>
        <v/>
      </c>
      <c r="AU246" s="14">
        <f>F246*AT246*IF(B246&gt;=in_marketplace_from,d_hz_device*G246,0)*in_device_ticket*in_device_comm*in_ins_partner_share</f>
        <v/>
      </c>
      <c r="AV246" s="40">
        <f>AV245*(1-IF(B245&gt;=in_marketplace_from,d_hz_shop*G245,0))</f>
        <v/>
      </c>
      <c r="AW246" s="46">
        <f>AV246*IF(B246&gt;=in_marketplace_from,d_hz_shop*G246,0)</f>
        <v/>
      </c>
      <c r="AX246" s="14">
        <f>F246*AW246*in_shop_ticket*in_shop_comm*in_ins_partner_share+F246*in_shop_ticket*in_shop_renew_comm*in_ins_partner_share*(in_shop_renew^1*SUMIFS(AW236:AW291,B236:B291,B246-12)+in_shop_renew^2*SUMIFS(AW236:AW291,B236:B291,B246-24)+in_shop_renew^3*SUMIFS(AW236:AW291,B236:B291,B246-36)+in_shop_renew^4*SUMIFS(AW236:AW291,B236:B291,B246-48))</f>
        <v/>
      </c>
      <c r="AY246" s="40">
        <f>AY245*(1-IF(B245&gt;=in_marketplace_from,d_hz_sip*G245,0))</f>
        <v/>
      </c>
      <c r="AZ246" s="40">
        <f>AZ245*d_rho_sip+AY246*IF(B246&gt;=in_marketplace_from,d_hz_sip*G246,0)</f>
        <v/>
      </c>
      <c r="BA246" s="40">
        <f>d_rho_sip*(BA245+AZ245)</f>
        <v/>
      </c>
      <c r="BB246" s="14">
        <f>F246*in_sip_ticket*(BA246+0.5*AZ246)*in_sip_comm/12</f>
        <v/>
      </c>
      <c r="BC246" s="40">
        <f>BC245*(1-IF(B245&gt;=in_marketplace_from,d_hz_choti*G245,0))</f>
        <v/>
      </c>
      <c r="BD246" s="46">
        <f>BC246*IF(B246&gt;=in_marketplace_from,d_hz_choti*G246,0)</f>
        <v/>
      </c>
      <c r="BE246" s="14">
        <f>F246*SUMIFS(BD236:BD291,B236:B291,B246-in_choti_months)*in_choti_renew*in_choti_ticket</f>
        <v/>
      </c>
      <c r="BF246" s="40">
        <f>BF245*(1-IF(B245&gt;=in_marketplace_from,d_hz_nps*G245,0))</f>
        <v/>
      </c>
      <c r="BG246" s="14">
        <f>F246*BF246*IF(B246&gt;=in_marketplace_from,d_hz_nps*G246,0)*in_nps_ticket*in_nps_comm</f>
        <v/>
      </c>
      <c r="BH246" s="40">
        <f>BH245*(1-IF(B245&gt;=in_marketplace_from,d_hz_gold*G245,0))</f>
        <v/>
      </c>
      <c r="BI246" s="40">
        <f>BI245*d_rho_gold+BH246*IF(B246&gt;=in_marketplace_from,d_hz_gold*G246,0)</f>
        <v/>
      </c>
      <c r="BJ246" s="14">
        <f>F246*BI246*in_gold_ticket*in_gold_comm</f>
        <v/>
      </c>
      <c r="BK246" s="40">
        <f>BK245*(1-IF(B245&gt;=in_marketplace_from,d_hz_fd*G245,0))</f>
        <v/>
      </c>
      <c r="BL246" s="14">
        <f>F246*BK246*IF(B246&gt;=in_marketplace_from,d_hz_fd*G246,0)*in_fd_ticket*in_fd_comm</f>
        <v/>
      </c>
      <c r="BM246" s="40">
        <f>BM245*(1-IF(B245&gt;=in_marketplace_from,d_hz_recharge*G245,0))</f>
        <v/>
      </c>
      <c r="BN246" s="40">
        <f>BN245*d_rho_recharge+BM246*IF(B246&gt;=in_marketplace_from,d_hz_recharge*G246,0)</f>
        <v/>
      </c>
      <c r="BO246" s="14">
        <f>F246*BN246*in_recharge_ticket*in_recharge_comm/12</f>
        <v/>
      </c>
      <c r="BP246" s="40">
        <f>BP245*(1-IF(B245&gt;=in_marketplace_from,d_hz_bills*G245,0))</f>
        <v/>
      </c>
      <c r="BQ246" s="40">
        <f>BQ245*d_rho_bills+BP246*IF(B246&gt;=in_marketplace_from,d_hz_bills*G246,0)</f>
        <v/>
      </c>
      <c r="BR246" s="14">
        <f>F246*BQ246*in_bills_ticket*in_bills_comm/12</f>
        <v/>
      </c>
      <c r="BS246" s="40">
        <f>BS245*(1-IF(B245&gt;=in_marketplace_from,d_hz_loan_gold*G245,0))</f>
        <v/>
      </c>
      <c r="BT246" s="14">
        <f>F246*BS246*IF(B246&gt;=in_marketplace_from,d_hz_loan_gold*G246,0)*in_loan_gold_ticket*in_loan_gold_comm</f>
        <v/>
      </c>
      <c r="BU246" s="40">
        <f>BU245*(1-IF(B245&gt;=in_marketplace_from,d_hz_loan_cd*G245,0))</f>
        <v/>
      </c>
      <c r="BV246" s="14">
        <f>F246*BU246*IF(B246&gt;=in_marketplace_from,d_hz_loan_cd*G246,0)*in_loan_cd_ticket*in_loan_cd_comm</f>
        <v/>
      </c>
      <c r="BW246" s="40">
        <f>BW245*(1-IF(B245&gt;=in_marketplace_from,d_hz_loan_vehicle*G245,0))</f>
        <v/>
      </c>
      <c r="BX246" s="14">
        <f>F246*BW246*IF(B246&gt;=in_marketplace_from,d_hz_loan_vehicle*G246,0)*in_loan_vehicle_ticket*in_loan_vehicle_comm</f>
        <v/>
      </c>
      <c r="BY246" s="40">
        <f>BY245*(1-IF(B245&gt;=in_marketplace_from,d_hz_loan_home*G245,0)*BZ245)</f>
        <v/>
      </c>
      <c r="BZ246" s="11">
        <f>MIN(in_approval_cap,in_loan_home_approval*INDEX('Age profile'!$O$2:$O$61,B246)*(1+in_approval_growth)^(D246-1))</f>
        <v/>
      </c>
      <c r="CA246" s="14">
        <f>F246*BY246*IF(B246&gt;=in_marketplace_from,d_hz_loan_home*G246,0)*BZ246*in_loan_home_ticket*in_loan_home_comm</f>
        <v/>
      </c>
      <c r="CB246" s="40">
        <f>CB245*(1-IF(B245&gt;=in_marketplace_from,d_hz_loan_lap*G245,0)*CC245)</f>
        <v/>
      </c>
      <c r="CC246" s="11">
        <f>MIN(in_approval_cap,in_loan_lap_approval*INDEX('Age profile'!$O$2:$O$61,B246)*(1+in_approval_growth)^(D246-1))</f>
        <v/>
      </c>
      <c r="CD246" s="14">
        <f>F246*CB246*IF(B246&gt;=in_marketplace_from,d_hz_loan_lap*G246,0)*CC246*in_loan_lap_ticket*in_loan_lap_comm</f>
        <v/>
      </c>
      <c r="CE246" s="14">
        <f>AA246+AB246+AC246+AD246+AG246+AJ246+AM246+AP246+AS246+AU246+AX246+BB246+BE246+BG246+BJ246+BL246+BO246+BR246+BT246+BV246+BX246+CA246+CD246</f>
        <v/>
      </c>
    </row>
    <row r="247">
      <c r="A247" s="39" t="n">
        <v>5</v>
      </c>
      <c r="B247" s="39" t="n">
        <v>12</v>
      </c>
      <c r="C247" s="39">
        <f>A247+B247-1</f>
        <v/>
      </c>
      <c r="D247" s="39">
        <f>INT((C247-1)/12)+1</f>
        <v/>
      </c>
      <c r="E247" s="44">
        <f>INDEX(Monthly!$B$2:$B$61,A247)</f>
        <v/>
      </c>
      <c r="F247" s="44">
        <f>E247*INDEX('Age profile'!$B$2:$B$61,B247)</f>
        <v/>
      </c>
      <c r="G247" s="45">
        <f>MIN(in_takeup_cap,INDEX('Age profile'!$N$2:$N$61,B247)*(1+in_takeup_growth)^(D247-1))</f>
        <v/>
      </c>
      <c r="H247" s="11">
        <f>MIN(in_approval_cap,in_approved_first*INDEX('Age profile'!$O$2:$O$61,B247)*(1+in_approval_growth)^(D247-1))</f>
        <v/>
      </c>
      <c r="I247" s="45">
        <f>G247*MIN(in_takeup_cap,INDEX('Age profile'!$O$2:$O$61,B247)*(1+in_approval_growth)^(D247-1))</f>
        <v/>
      </c>
      <c r="J247" s="40">
        <f>(J246-L246)*F247/F246</f>
        <v/>
      </c>
      <c r="K247" s="40">
        <f>(K246-M246)*F247/F246+SUMIFS(O236:O246,B236:B246,B247-1-d_T)*F247</f>
        <v/>
      </c>
      <c r="L247" s="40">
        <f>IF(B247&gt;=in_marketplace_from,J247*d_hz*G247*in_eligible*H247,0)</f>
        <v/>
      </c>
      <c r="M247" s="40">
        <f>IF(B247&gt;=in_marketplace_from,K247*d_hz*G247*in_eligible*in_approved_repeat,0)</f>
        <v/>
      </c>
      <c r="N247" s="40">
        <f>L247+M247</f>
        <v/>
      </c>
      <c r="O247" s="46">
        <f>N247/F247</f>
        <v/>
      </c>
      <c r="P247" s="40">
        <f>F247-J247-K247</f>
        <v/>
      </c>
      <c r="Q247" s="40">
        <f>IF(B247&gt;=in_marketplace_from,(J247+K247)*d_hz*G247,0)</f>
        <v/>
      </c>
      <c r="R247" s="40">
        <f>SUMIFS(N236:N291,B236:B291,"&gt;="&amp;(B247-d_T),B236:B291,"&lt;="&amp;(B247-1))</f>
        <v/>
      </c>
      <c r="S247" s="46">
        <f>(1-d_u)*S246+IF(d_T&gt;in_topup_lag,SUMIFS(O236:O291,B236:B291,B247-in_topup_lag)-d_udrop*SUMIFS(O236:O291,B236:B291,B247-d_T),0)</f>
        <v/>
      </c>
      <c r="T247" s="40">
        <f>F247*d_u*S247</f>
        <v/>
      </c>
      <c r="U247" s="9">
        <f>L247*in_ticket+M247*d_rep_ticket</f>
        <v/>
      </c>
      <c r="V247" s="9">
        <f>U247+T247*d_topup_amt</f>
        <v/>
      </c>
      <c r="W247" s="40">
        <f>N247+T247*d_topup_ratio</f>
        <v/>
      </c>
      <c r="X247" s="40">
        <f>SUMIFS(W236:W291,B236:B291,B247-in_dpd_lag)*d_cured</f>
        <v/>
      </c>
      <c r="Y247" s="40">
        <f>SUMIFS(W236:W291,B236:B291,B247-in_rec_lag)*d_recd</f>
        <v/>
      </c>
      <c r="Z247" s="40">
        <f>IF(AND(B247&gt;=in_marketplace_from,B247&lt;in_marketplace_from+in_card_months),in_card_share/in_card_months*F247*I247,IF(AND(B247&gt;=in_marketplace_from+in_card_months,B247&lt;in_marketplace_from+2*in_card_months),in_card_share*d_card_rem/in_card_months*F247*MIN(in_takeup_cap,(1+in_takeup_growth)^(D247-1))*MIN(in_takeup_cap,(1+in_approval_growth)^(D247-1)),0))</f>
        <v/>
      </c>
      <c r="AA247" s="14">
        <f>V247*in_fee*(1-in_taken_back)</f>
        <v/>
      </c>
      <c r="AB247" s="14">
        <f>SUMIFS(W236:W291,B236:B291,B247-in_dpd_lag)*d_dpd</f>
        <v/>
      </c>
      <c r="AC247" s="14">
        <f>SUMIFS(W236:W291,B236:B291,B247-in_rec_lag)*d_rec</f>
        <v/>
      </c>
      <c r="AD247" s="14">
        <f>Z247*in_card_fee</f>
        <v/>
      </c>
      <c r="AE247" s="40">
        <f>AE246*(1-IF(B246&gt;=in_marketplace_from,d_hz_hlth_small*G246,0))</f>
        <v/>
      </c>
      <c r="AF247" s="46">
        <f>AE247*IF(B247&gt;=in_marketplace_from,d_hz_hlth_small*G247,0)</f>
        <v/>
      </c>
      <c r="AG247" s="14">
        <f>F247*AF247*in_hlth_small_ticket*in_hlth_small_comm*in_ins_partner_share+F247*in_hlth_small_ticket*in_hlth_small_renew_comm*in_ins_partner_share*(in_hlth_small_renew^1*SUMIFS(AF236:AF291,B236:B291,B247-12)+in_hlth_small_renew^2*SUMIFS(AF236:AF291,B236:B291,B247-24)+in_hlth_small_renew^3*SUMIFS(AF236:AF291,B236:B291,B247-36)+in_hlth_small_renew^4*SUMIFS(AF236:AF291,B236:B291,B247-48))</f>
        <v/>
      </c>
      <c r="AH247" s="40">
        <f>AH246*(1-IF(B246&gt;=in_marketplace_from,d_hz_hlth_family*G246,0))</f>
        <v/>
      </c>
      <c r="AI247" s="46">
        <f>AH247*IF(B247&gt;=in_marketplace_from,d_hz_hlth_family*G247,0)</f>
        <v/>
      </c>
      <c r="AJ247" s="14">
        <f>F247*AI247*in_hlth_family_ticket*in_hlth_family_comm*in_ins_partner_share+F247*in_hlth_family_ticket*in_hlth_family_renew_comm*in_ins_partner_share*(in_hlth_family_renew^1*SUMIFS(AI236:AI291,B236:B291,B247-12)+in_hlth_family_renew^2*SUMIFS(AI236:AI291,B236:B291,B247-24)+in_hlth_family_renew^3*SUMIFS(AI236:AI291,B236:B291,B247-36)+in_hlth_family_renew^4*SUMIFS(AI236:AI291,B236:B291,B247-48))</f>
        <v/>
      </c>
      <c r="AK247" s="40">
        <f>AK246*(1-IF(B246&gt;=in_marketplace_from,d_hz_life_term*G246,0))</f>
        <v/>
      </c>
      <c r="AL247" s="46">
        <f>AK247*IF(B247&gt;=in_marketplace_from,d_hz_life_term*G247,0)</f>
        <v/>
      </c>
      <c r="AM247" s="14">
        <f>F247*AL247*in_life_term_ticket*in_life_term_comm*in_ins_partner_share+F247*in_life_term_ticket*in_life_term_renew_comm*in_ins_partner_share*(in_life_term_renew^1*SUMIFS(AL236:AL291,B236:B291,B247-12)+in_life_term_renew^2*SUMIFS(AL236:AL291,B236:B291,B247-24)+in_life_term_renew^3*SUMIFS(AL236:AL291,B236:B291,B247-36)+in_life_term_renew^4*SUMIFS(AL236:AL291,B236:B291,B247-48))</f>
        <v/>
      </c>
      <c r="AN247" s="40">
        <f>AN246*(1-IF(B246&gt;=in_marketplace_from,d_hz_accident*G246,0))</f>
        <v/>
      </c>
      <c r="AO247" s="46">
        <f>AN247*IF(B247&gt;=in_marketplace_from,d_hz_accident*G247,0)</f>
        <v/>
      </c>
      <c r="AP247" s="14">
        <f>F247*AO247*in_accident_ticket*in_accident_comm*in_ins_partner_share+F247*in_accident_ticket*in_accident_renew_comm*in_ins_partner_share*(in_accident_renew^1*SUMIFS(AO236:AO291,B236:B291,B247-12)+in_accident_renew^2*SUMIFS(AO236:AO291,B236:B291,B247-24)+in_accident_renew^3*SUMIFS(AO236:AO291,B236:B291,B247-36)+in_accident_renew^4*SUMIFS(AO236:AO291,B236:B291,B247-48))</f>
        <v/>
      </c>
      <c r="AQ247" s="40">
        <f>AQ246*(1-IF(B246&gt;=in_marketplace_from,d_hz_two_wheeler*G246,0))</f>
        <v/>
      </c>
      <c r="AR247" s="46">
        <f>AQ247*IF(B247&gt;=in_marketplace_from,d_hz_two_wheeler*G247,0)</f>
        <v/>
      </c>
      <c r="AS247" s="14">
        <f>F247*AR247*in_two_wheeler_ticket*in_two_wheeler_comm*in_ins_partner_share+F247*in_two_wheeler_ticket*in_two_wheeler_comm*in_ins_partner_share*(in_two_wheeler_renew^1*SUMIFS(AR236:AR291,B236:B291,B247-12)+in_two_wheeler_renew^2*SUMIFS(AR236:AR291,B236:B291,B247-24)+in_two_wheeler_renew^3*SUMIFS(AR236:AR291,B236:B291,B247-36)+in_two_wheeler_renew^4*SUMIFS(AR236:AR291,B236:B291,B247-48))</f>
        <v/>
      </c>
      <c r="AT247" s="40">
        <f>AT246*(1-IF(B246&gt;=in_marketplace_from,d_hz_device*G246,0))</f>
        <v/>
      </c>
      <c r="AU247" s="14">
        <f>F247*AT247*IF(B247&gt;=in_marketplace_from,d_hz_device*G247,0)*in_device_ticket*in_device_comm*in_ins_partner_share</f>
        <v/>
      </c>
      <c r="AV247" s="40">
        <f>AV246*(1-IF(B246&gt;=in_marketplace_from,d_hz_shop*G246,0))</f>
        <v/>
      </c>
      <c r="AW247" s="46">
        <f>AV247*IF(B247&gt;=in_marketplace_from,d_hz_shop*G247,0)</f>
        <v/>
      </c>
      <c r="AX247" s="14">
        <f>F247*AW247*in_shop_ticket*in_shop_comm*in_ins_partner_share+F247*in_shop_ticket*in_shop_renew_comm*in_ins_partner_share*(in_shop_renew^1*SUMIFS(AW236:AW291,B236:B291,B247-12)+in_shop_renew^2*SUMIFS(AW236:AW291,B236:B291,B247-24)+in_shop_renew^3*SUMIFS(AW236:AW291,B236:B291,B247-36)+in_shop_renew^4*SUMIFS(AW236:AW291,B236:B291,B247-48))</f>
        <v/>
      </c>
      <c r="AY247" s="40">
        <f>AY246*(1-IF(B246&gt;=in_marketplace_from,d_hz_sip*G246,0))</f>
        <v/>
      </c>
      <c r="AZ247" s="40">
        <f>AZ246*d_rho_sip+AY247*IF(B247&gt;=in_marketplace_from,d_hz_sip*G247,0)</f>
        <v/>
      </c>
      <c r="BA247" s="40">
        <f>d_rho_sip*(BA246+AZ246)</f>
        <v/>
      </c>
      <c r="BB247" s="14">
        <f>F247*in_sip_ticket*(BA247+0.5*AZ247)*in_sip_comm/12</f>
        <v/>
      </c>
      <c r="BC247" s="40">
        <f>BC246*(1-IF(B246&gt;=in_marketplace_from,d_hz_choti*G246,0))</f>
        <v/>
      </c>
      <c r="BD247" s="46">
        <f>BC247*IF(B247&gt;=in_marketplace_from,d_hz_choti*G247,0)</f>
        <v/>
      </c>
      <c r="BE247" s="14">
        <f>F247*SUMIFS(BD236:BD291,B236:B291,B247-in_choti_months)*in_choti_renew*in_choti_ticket</f>
        <v/>
      </c>
      <c r="BF247" s="40">
        <f>BF246*(1-IF(B246&gt;=in_marketplace_from,d_hz_nps*G246,0))</f>
        <v/>
      </c>
      <c r="BG247" s="14">
        <f>F247*BF247*IF(B247&gt;=in_marketplace_from,d_hz_nps*G247,0)*in_nps_ticket*in_nps_comm</f>
        <v/>
      </c>
      <c r="BH247" s="40">
        <f>BH246*(1-IF(B246&gt;=in_marketplace_from,d_hz_gold*G246,0))</f>
        <v/>
      </c>
      <c r="BI247" s="40">
        <f>BI246*d_rho_gold+BH247*IF(B247&gt;=in_marketplace_from,d_hz_gold*G247,0)</f>
        <v/>
      </c>
      <c r="BJ247" s="14">
        <f>F247*BI247*in_gold_ticket*in_gold_comm</f>
        <v/>
      </c>
      <c r="BK247" s="40">
        <f>BK246*(1-IF(B246&gt;=in_marketplace_from,d_hz_fd*G246,0))</f>
        <v/>
      </c>
      <c r="BL247" s="14">
        <f>F247*BK247*IF(B247&gt;=in_marketplace_from,d_hz_fd*G247,0)*in_fd_ticket*in_fd_comm</f>
        <v/>
      </c>
      <c r="BM247" s="40">
        <f>BM246*(1-IF(B246&gt;=in_marketplace_from,d_hz_recharge*G246,0))</f>
        <v/>
      </c>
      <c r="BN247" s="40">
        <f>BN246*d_rho_recharge+BM247*IF(B247&gt;=in_marketplace_from,d_hz_recharge*G247,0)</f>
        <v/>
      </c>
      <c r="BO247" s="14">
        <f>F247*BN247*in_recharge_ticket*in_recharge_comm/12</f>
        <v/>
      </c>
      <c r="BP247" s="40">
        <f>BP246*(1-IF(B246&gt;=in_marketplace_from,d_hz_bills*G246,0))</f>
        <v/>
      </c>
      <c r="BQ247" s="40">
        <f>BQ246*d_rho_bills+BP247*IF(B247&gt;=in_marketplace_from,d_hz_bills*G247,0)</f>
        <v/>
      </c>
      <c r="BR247" s="14">
        <f>F247*BQ247*in_bills_ticket*in_bills_comm/12</f>
        <v/>
      </c>
      <c r="BS247" s="40">
        <f>BS246*(1-IF(B246&gt;=in_marketplace_from,d_hz_loan_gold*G246,0))</f>
        <v/>
      </c>
      <c r="BT247" s="14">
        <f>F247*BS247*IF(B247&gt;=in_marketplace_from,d_hz_loan_gold*G247,0)*in_loan_gold_ticket*in_loan_gold_comm</f>
        <v/>
      </c>
      <c r="BU247" s="40">
        <f>BU246*(1-IF(B246&gt;=in_marketplace_from,d_hz_loan_cd*G246,0))</f>
        <v/>
      </c>
      <c r="BV247" s="14">
        <f>F247*BU247*IF(B247&gt;=in_marketplace_from,d_hz_loan_cd*G247,0)*in_loan_cd_ticket*in_loan_cd_comm</f>
        <v/>
      </c>
      <c r="BW247" s="40">
        <f>BW246*(1-IF(B246&gt;=in_marketplace_from,d_hz_loan_vehicle*G246,0))</f>
        <v/>
      </c>
      <c r="BX247" s="14">
        <f>F247*BW247*IF(B247&gt;=in_marketplace_from,d_hz_loan_vehicle*G247,0)*in_loan_vehicle_ticket*in_loan_vehicle_comm</f>
        <v/>
      </c>
      <c r="BY247" s="40">
        <f>BY246*(1-IF(B246&gt;=in_marketplace_from,d_hz_loan_home*G246,0)*BZ246)</f>
        <v/>
      </c>
      <c r="BZ247" s="11">
        <f>MIN(in_approval_cap,in_loan_home_approval*INDEX('Age profile'!$O$2:$O$61,B247)*(1+in_approval_growth)^(D247-1))</f>
        <v/>
      </c>
      <c r="CA247" s="14">
        <f>F247*BY247*IF(B247&gt;=in_marketplace_from,d_hz_loan_home*G247,0)*BZ247*in_loan_home_ticket*in_loan_home_comm</f>
        <v/>
      </c>
      <c r="CB247" s="40">
        <f>CB246*(1-IF(B246&gt;=in_marketplace_from,d_hz_loan_lap*G246,0)*CC246)</f>
        <v/>
      </c>
      <c r="CC247" s="11">
        <f>MIN(in_approval_cap,in_loan_lap_approval*INDEX('Age profile'!$O$2:$O$61,B247)*(1+in_approval_growth)^(D247-1))</f>
        <v/>
      </c>
      <c r="CD247" s="14">
        <f>F247*CB247*IF(B247&gt;=in_marketplace_from,d_hz_loan_lap*G247,0)*CC247*in_loan_lap_ticket*in_loan_lap_comm</f>
        <v/>
      </c>
      <c r="CE247" s="14">
        <f>AA247+AB247+AC247+AD247+AG247+AJ247+AM247+AP247+AS247+AU247+AX247+BB247+BE247+BG247+BJ247+BL247+BO247+BR247+BT247+BV247+BX247+CA247+CD247</f>
        <v/>
      </c>
    </row>
    <row r="248">
      <c r="A248" s="39" t="n">
        <v>5</v>
      </c>
      <c r="B248" s="39" t="n">
        <v>13</v>
      </c>
      <c r="C248" s="39">
        <f>A248+B248-1</f>
        <v/>
      </c>
      <c r="D248" s="39">
        <f>INT((C248-1)/12)+1</f>
        <v/>
      </c>
      <c r="E248" s="44">
        <f>INDEX(Monthly!$B$2:$B$61,A248)</f>
        <v/>
      </c>
      <c r="F248" s="44">
        <f>E248*INDEX('Age profile'!$B$2:$B$61,B248)</f>
        <v/>
      </c>
      <c r="G248" s="45">
        <f>MIN(in_takeup_cap,INDEX('Age profile'!$N$2:$N$61,B248)*(1+in_takeup_growth)^(D248-1))</f>
        <v/>
      </c>
      <c r="H248" s="11">
        <f>MIN(in_approval_cap,in_approved_first*INDEX('Age profile'!$O$2:$O$61,B248)*(1+in_approval_growth)^(D248-1))</f>
        <v/>
      </c>
      <c r="I248" s="45">
        <f>G248*MIN(in_takeup_cap,INDEX('Age profile'!$O$2:$O$61,B248)*(1+in_approval_growth)^(D248-1))</f>
        <v/>
      </c>
      <c r="J248" s="40">
        <f>(J247-L247)*F248/F247</f>
        <v/>
      </c>
      <c r="K248" s="40">
        <f>(K247-M247)*F248/F247+SUMIFS(O236:O247,B236:B247,B248-1-d_T)*F248</f>
        <v/>
      </c>
      <c r="L248" s="40">
        <f>IF(B248&gt;=in_marketplace_from,J248*d_hz*G248*in_eligible*H248,0)</f>
        <v/>
      </c>
      <c r="M248" s="40">
        <f>IF(B248&gt;=in_marketplace_from,K248*d_hz*G248*in_eligible*in_approved_repeat,0)</f>
        <v/>
      </c>
      <c r="N248" s="40">
        <f>L248+M248</f>
        <v/>
      </c>
      <c r="O248" s="46">
        <f>N248/F248</f>
        <v/>
      </c>
      <c r="P248" s="40">
        <f>F248-J248-K248</f>
        <v/>
      </c>
      <c r="Q248" s="40">
        <f>IF(B248&gt;=in_marketplace_from,(J248+K248)*d_hz*G248,0)</f>
        <v/>
      </c>
      <c r="R248" s="40">
        <f>SUMIFS(N236:N291,B236:B291,"&gt;="&amp;(B248-d_T),B236:B291,"&lt;="&amp;(B248-1))</f>
        <v/>
      </c>
      <c r="S248" s="46">
        <f>(1-d_u)*S247+IF(d_T&gt;in_topup_lag,SUMIFS(O236:O291,B236:B291,B248-in_topup_lag)-d_udrop*SUMIFS(O236:O291,B236:B291,B248-d_T),0)</f>
        <v/>
      </c>
      <c r="T248" s="40">
        <f>F248*d_u*S248</f>
        <v/>
      </c>
      <c r="U248" s="9">
        <f>L248*in_ticket+M248*d_rep_ticket</f>
        <v/>
      </c>
      <c r="V248" s="9">
        <f>U248+T248*d_topup_amt</f>
        <v/>
      </c>
      <c r="W248" s="40">
        <f>N248+T248*d_topup_ratio</f>
        <v/>
      </c>
      <c r="X248" s="40">
        <f>SUMIFS(W236:W291,B236:B291,B248-in_dpd_lag)*d_cured</f>
        <v/>
      </c>
      <c r="Y248" s="40">
        <f>SUMIFS(W236:W291,B236:B291,B248-in_rec_lag)*d_recd</f>
        <v/>
      </c>
      <c r="Z248" s="40">
        <f>IF(AND(B248&gt;=in_marketplace_from,B248&lt;in_marketplace_from+in_card_months),in_card_share/in_card_months*F248*I248,IF(AND(B248&gt;=in_marketplace_from+in_card_months,B248&lt;in_marketplace_from+2*in_card_months),in_card_share*d_card_rem/in_card_months*F248*MIN(in_takeup_cap,(1+in_takeup_growth)^(D248-1))*MIN(in_takeup_cap,(1+in_approval_growth)^(D248-1)),0))</f>
        <v/>
      </c>
      <c r="AA248" s="14">
        <f>V248*in_fee*(1-in_taken_back)</f>
        <v/>
      </c>
      <c r="AB248" s="14">
        <f>SUMIFS(W236:W291,B236:B291,B248-in_dpd_lag)*d_dpd</f>
        <v/>
      </c>
      <c r="AC248" s="14">
        <f>SUMIFS(W236:W291,B236:B291,B248-in_rec_lag)*d_rec</f>
        <v/>
      </c>
      <c r="AD248" s="14">
        <f>Z248*in_card_fee</f>
        <v/>
      </c>
      <c r="AE248" s="40">
        <f>AE247*(1-IF(B247&gt;=in_marketplace_from,d_hz_hlth_small*G247,0))</f>
        <v/>
      </c>
      <c r="AF248" s="46">
        <f>AE248*IF(B248&gt;=in_marketplace_from,d_hz_hlth_small*G248,0)</f>
        <v/>
      </c>
      <c r="AG248" s="14">
        <f>F248*AF248*in_hlth_small_ticket*in_hlth_small_comm*in_ins_partner_share+F248*in_hlth_small_ticket*in_hlth_small_renew_comm*in_ins_partner_share*(in_hlth_small_renew^1*SUMIFS(AF236:AF291,B236:B291,B248-12)+in_hlth_small_renew^2*SUMIFS(AF236:AF291,B236:B291,B248-24)+in_hlth_small_renew^3*SUMIFS(AF236:AF291,B236:B291,B248-36)+in_hlth_small_renew^4*SUMIFS(AF236:AF291,B236:B291,B248-48))</f>
        <v/>
      </c>
      <c r="AH248" s="40">
        <f>AH247*(1-IF(B247&gt;=in_marketplace_from,d_hz_hlth_family*G247,0))</f>
        <v/>
      </c>
      <c r="AI248" s="46">
        <f>AH248*IF(B248&gt;=in_marketplace_from,d_hz_hlth_family*G248,0)</f>
        <v/>
      </c>
      <c r="AJ248" s="14">
        <f>F248*AI248*in_hlth_family_ticket*in_hlth_family_comm*in_ins_partner_share+F248*in_hlth_family_ticket*in_hlth_family_renew_comm*in_ins_partner_share*(in_hlth_family_renew^1*SUMIFS(AI236:AI291,B236:B291,B248-12)+in_hlth_family_renew^2*SUMIFS(AI236:AI291,B236:B291,B248-24)+in_hlth_family_renew^3*SUMIFS(AI236:AI291,B236:B291,B248-36)+in_hlth_family_renew^4*SUMIFS(AI236:AI291,B236:B291,B248-48))</f>
        <v/>
      </c>
      <c r="AK248" s="40">
        <f>AK247*(1-IF(B247&gt;=in_marketplace_from,d_hz_life_term*G247,0))</f>
        <v/>
      </c>
      <c r="AL248" s="46">
        <f>AK248*IF(B248&gt;=in_marketplace_from,d_hz_life_term*G248,0)</f>
        <v/>
      </c>
      <c r="AM248" s="14">
        <f>F248*AL248*in_life_term_ticket*in_life_term_comm*in_ins_partner_share+F248*in_life_term_ticket*in_life_term_renew_comm*in_ins_partner_share*(in_life_term_renew^1*SUMIFS(AL236:AL291,B236:B291,B248-12)+in_life_term_renew^2*SUMIFS(AL236:AL291,B236:B291,B248-24)+in_life_term_renew^3*SUMIFS(AL236:AL291,B236:B291,B248-36)+in_life_term_renew^4*SUMIFS(AL236:AL291,B236:B291,B248-48))</f>
        <v/>
      </c>
      <c r="AN248" s="40">
        <f>AN247*(1-IF(B247&gt;=in_marketplace_from,d_hz_accident*G247,0))</f>
        <v/>
      </c>
      <c r="AO248" s="46">
        <f>AN248*IF(B248&gt;=in_marketplace_from,d_hz_accident*G248,0)</f>
        <v/>
      </c>
      <c r="AP248" s="14">
        <f>F248*AO248*in_accident_ticket*in_accident_comm*in_ins_partner_share+F248*in_accident_ticket*in_accident_renew_comm*in_ins_partner_share*(in_accident_renew^1*SUMIFS(AO236:AO291,B236:B291,B248-12)+in_accident_renew^2*SUMIFS(AO236:AO291,B236:B291,B248-24)+in_accident_renew^3*SUMIFS(AO236:AO291,B236:B291,B248-36)+in_accident_renew^4*SUMIFS(AO236:AO291,B236:B291,B248-48))</f>
        <v/>
      </c>
      <c r="AQ248" s="40">
        <f>AQ247*(1-IF(B247&gt;=in_marketplace_from,d_hz_two_wheeler*G247,0))</f>
        <v/>
      </c>
      <c r="AR248" s="46">
        <f>AQ248*IF(B248&gt;=in_marketplace_from,d_hz_two_wheeler*G248,0)</f>
        <v/>
      </c>
      <c r="AS248" s="14">
        <f>F248*AR248*in_two_wheeler_ticket*in_two_wheeler_comm*in_ins_partner_share+F248*in_two_wheeler_ticket*in_two_wheeler_comm*in_ins_partner_share*(in_two_wheeler_renew^1*SUMIFS(AR236:AR291,B236:B291,B248-12)+in_two_wheeler_renew^2*SUMIFS(AR236:AR291,B236:B291,B248-24)+in_two_wheeler_renew^3*SUMIFS(AR236:AR291,B236:B291,B248-36)+in_two_wheeler_renew^4*SUMIFS(AR236:AR291,B236:B291,B248-48))</f>
        <v/>
      </c>
      <c r="AT248" s="40">
        <f>AT247*(1-IF(B247&gt;=in_marketplace_from,d_hz_device*G247,0))</f>
        <v/>
      </c>
      <c r="AU248" s="14">
        <f>F248*AT248*IF(B248&gt;=in_marketplace_from,d_hz_device*G248,0)*in_device_ticket*in_device_comm*in_ins_partner_share</f>
        <v/>
      </c>
      <c r="AV248" s="40">
        <f>AV247*(1-IF(B247&gt;=in_marketplace_from,d_hz_shop*G247,0))</f>
        <v/>
      </c>
      <c r="AW248" s="46">
        <f>AV248*IF(B248&gt;=in_marketplace_from,d_hz_shop*G248,0)</f>
        <v/>
      </c>
      <c r="AX248" s="14">
        <f>F248*AW248*in_shop_ticket*in_shop_comm*in_ins_partner_share+F248*in_shop_ticket*in_shop_renew_comm*in_ins_partner_share*(in_shop_renew^1*SUMIFS(AW236:AW291,B236:B291,B248-12)+in_shop_renew^2*SUMIFS(AW236:AW291,B236:B291,B248-24)+in_shop_renew^3*SUMIFS(AW236:AW291,B236:B291,B248-36)+in_shop_renew^4*SUMIFS(AW236:AW291,B236:B291,B248-48))</f>
        <v/>
      </c>
      <c r="AY248" s="40">
        <f>AY247*(1-IF(B247&gt;=in_marketplace_from,d_hz_sip*G247,0))</f>
        <v/>
      </c>
      <c r="AZ248" s="40">
        <f>AZ247*d_rho_sip+AY248*IF(B248&gt;=in_marketplace_from,d_hz_sip*G248,0)</f>
        <v/>
      </c>
      <c r="BA248" s="40">
        <f>d_rho_sip*(BA247+AZ247)</f>
        <v/>
      </c>
      <c r="BB248" s="14">
        <f>F248*in_sip_ticket*(BA248+0.5*AZ248)*in_sip_comm/12</f>
        <v/>
      </c>
      <c r="BC248" s="40">
        <f>BC247*(1-IF(B247&gt;=in_marketplace_from,d_hz_choti*G247,0))</f>
        <v/>
      </c>
      <c r="BD248" s="46">
        <f>BC248*IF(B248&gt;=in_marketplace_from,d_hz_choti*G248,0)</f>
        <v/>
      </c>
      <c r="BE248" s="14">
        <f>F248*SUMIFS(BD236:BD291,B236:B291,B248-in_choti_months)*in_choti_renew*in_choti_ticket</f>
        <v/>
      </c>
      <c r="BF248" s="40">
        <f>BF247*(1-IF(B247&gt;=in_marketplace_from,d_hz_nps*G247,0))</f>
        <v/>
      </c>
      <c r="BG248" s="14">
        <f>F248*BF248*IF(B248&gt;=in_marketplace_from,d_hz_nps*G248,0)*in_nps_ticket*in_nps_comm</f>
        <v/>
      </c>
      <c r="BH248" s="40">
        <f>BH247*(1-IF(B247&gt;=in_marketplace_from,d_hz_gold*G247,0))</f>
        <v/>
      </c>
      <c r="BI248" s="40">
        <f>BI247*d_rho_gold+BH248*IF(B248&gt;=in_marketplace_from,d_hz_gold*G248,0)</f>
        <v/>
      </c>
      <c r="BJ248" s="14">
        <f>F248*BI248*in_gold_ticket*in_gold_comm</f>
        <v/>
      </c>
      <c r="BK248" s="40">
        <f>BK247*(1-IF(B247&gt;=in_marketplace_from,d_hz_fd*G247,0))</f>
        <v/>
      </c>
      <c r="BL248" s="14">
        <f>F248*BK248*IF(B248&gt;=in_marketplace_from,d_hz_fd*G248,0)*in_fd_ticket*in_fd_comm</f>
        <v/>
      </c>
      <c r="BM248" s="40">
        <f>BM247*(1-IF(B247&gt;=in_marketplace_from,d_hz_recharge*G247,0))</f>
        <v/>
      </c>
      <c r="BN248" s="40">
        <f>BN247*d_rho_recharge+BM248*IF(B248&gt;=in_marketplace_from,d_hz_recharge*G248,0)</f>
        <v/>
      </c>
      <c r="BO248" s="14">
        <f>F248*BN248*in_recharge_ticket*in_recharge_comm/12</f>
        <v/>
      </c>
      <c r="BP248" s="40">
        <f>BP247*(1-IF(B247&gt;=in_marketplace_from,d_hz_bills*G247,0))</f>
        <v/>
      </c>
      <c r="BQ248" s="40">
        <f>BQ247*d_rho_bills+BP248*IF(B248&gt;=in_marketplace_from,d_hz_bills*G248,0)</f>
        <v/>
      </c>
      <c r="BR248" s="14">
        <f>F248*BQ248*in_bills_ticket*in_bills_comm/12</f>
        <v/>
      </c>
      <c r="BS248" s="40">
        <f>BS247*(1-IF(B247&gt;=in_marketplace_from,d_hz_loan_gold*G247,0))</f>
        <v/>
      </c>
      <c r="BT248" s="14">
        <f>F248*BS248*IF(B248&gt;=in_marketplace_from,d_hz_loan_gold*G248,0)*in_loan_gold_ticket*in_loan_gold_comm</f>
        <v/>
      </c>
      <c r="BU248" s="40">
        <f>BU247*(1-IF(B247&gt;=in_marketplace_from,d_hz_loan_cd*G247,0))</f>
        <v/>
      </c>
      <c r="BV248" s="14">
        <f>F248*BU248*IF(B248&gt;=in_marketplace_from,d_hz_loan_cd*G248,0)*in_loan_cd_ticket*in_loan_cd_comm</f>
        <v/>
      </c>
      <c r="BW248" s="40">
        <f>BW247*(1-IF(B247&gt;=in_marketplace_from,d_hz_loan_vehicle*G247,0))</f>
        <v/>
      </c>
      <c r="BX248" s="14">
        <f>F248*BW248*IF(B248&gt;=in_marketplace_from,d_hz_loan_vehicle*G248,0)*in_loan_vehicle_ticket*in_loan_vehicle_comm</f>
        <v/>
      </c>
      <c r="BY248" s="40">
        <f>BY247*(1-IF(B247&gt;=in_marketplace_from,d_hz_loan_home*G247,0)*BZ247)</f>
        <v/>
      </c>
      <c r="BZ248" s="11">
        <f>MIN(in_approval_cap,in_loan_home_approval*INDEX('Age profile'!$O$2:$O$61,B248)*(1+in_approval_growth)^(D248-1))</f>
        <v/>
      </c>
      <c r="CA248" s="14">
        <f>F248*BY248*IF(B248&gt;=in_marketplace_from,d_hz_loan_home*G248,0)*BZ248*in_loan_home_ticket*in_loan_home_comm</f>
        <v/>
      </c>
      <c r="CB248" s="40">
        <f>CB247*(1-IF(B247&gt;=in_marketplace_from,d_hz_loan_lap*G247,0)*CC247)</f>
        <v/>
      </c>
      <c r="CC248" s="11">
        <f>MIN(in_approval_cap,in_loan_lap_approval*INDEX('Age profile'!$O$2:$O$61,B248)*(1+in_approval_growth)^(D248-1))</f>
        <v/>
      </c>
      <c r="CD248" s="14">
        <f>F248*CB248*IF(B248&gt;=in_marketplace_from,d_hz_loan_lap*G248,0)*CC248*in_loan_lap_ticket*in_loan_lap_comm</f>
        <v/>
      </c>
      <c r="CE248" s="14">
        <f>AA248+AB248+AC248+AD248+AG248+AJ248+AM248+AP248+AS248+AU248+AX248+BB248+BE248+BG248+BJ248+BL248+BO248+BR248+BT248+BV248+BX248+CA248+CD248</f>
        <v/>
      </c>
    </row>
    <row r="249">
      <c r="A249" s="39" t="n">
        <v>5</v>
      </c>
      <c r="B249" s="39" t="n">
        <v>14</v>
      </c>
      <c r="C249" s="39">
        <f>A249+B249-1</f>
        <v/>
      </c>
      <c r="D249" s="39">
        <f>INT((C249-1)/12)+1</f>
        <v/>
      </c>
      <c r="E249" s="44">
        <f>INDEX(Monthly!$B$2:$B$61,A249)</f>
        <v/>
      </c>
      <c r="F249" s="44">
        <f>E249*INDEX('Age profile'!$B$2:$B$61,B249)</f>
        <v/>
      </c>
      <c r="G249" s="45">
        <f>MIN(in_takeup_cap,INDEX('Age profile'!$N$2:$N$61,B249)*(1+in_takeup_growth)^(D249-1))</f>
        <v/>
      </c>
      <c r="H249" s="11">
        <f>MIN(in_approval_cap,in_approved_first*INDEX('Age profile'!$O$2:$O$61,B249)*(1+in_approval_growth)^(D249-1))</f>
        <v/>
      </c>
      <c r="I249" s="45">
        <f>G249*MIN(in_takeup_cap,INDEX('Age profile'!$O$2:$O$61,B249)*(1+in_approval_growth)^(D249-1))</f>
        <v/>
      </c>
      <c r="J249" s="40">
        <f>(J248-L248)*F249/F248</f>
        <v/>
      </c>
      <c r="K249" s="40">
        <f>(K248-M248)*F249/F248+SUMIFS(O236:O248,B236:B248,B249-1-d_T)*F249</f>
        <v/>
      </c>
      <c r="L249" s="40">
        <f>IF(B249&gt;=in_marketplace_from,J249*d_hz*G249*in_eligible*H249,0)</f>
        <v/>
      </c>
      <c r="M249" s="40">
        <f>IF(B249&gt;=in_marketplace_from,K249*d_hz*G249*in_eligible*in_approved_repeat,0)</f>
        <v/>
      </c>
      <c r="N249" s="40">
        <f>L249+M249</f>
        <v/>
      </c>
      <c r="O249" s="46">
        <f>N249/F249</f>
        <v/>
      </c>
      <c r="P249" s="40">
        <f>F249-J249-K249</f>
        <v/>
      </c>
      <c r="Q249" s="40">
        <f>IF(B249&gt;=in_marketplace_from,(J249+K249)*d_hz*G249,0)</f>
        <v/>
      </c>
      <c r="R249" s="40">
        <f>SUMIFS(N236:N291,B236:B291,"&gt;="&amp;(B249-d_T),B236:B291,"&lt;="&amp;(B249-1))</f>
        <v/>
      </c>
      <c r="S249" s="46">
        <f>(1-d_u)*S248+IF(d_T&gt;in_topup_lag,SUMIFS(O236:O291,B236:B291,B249-in_topup_lag)-d_udrop*SUMIFS(O236:O291,B236:B291,B249-d_T),0)</f>
        <v/>
      </c>
      <c r="T249" s="40">
        <f>F249*d_u*S249</f>
        <v/>
      </c>
      <c r="U249" s="9">
        <f>L249*in_ticket+M249*d_rep_ticket</f>
        <v/>
      </c>
      <c r="V249" s="9">
        <f>U249+T249*d_topup_amt</f>
        <v/>
      </c>
      <c r="W249" s="40">
        <f>N249+T249*d_topup_ratio</f>
        <v/>
      </c>
      <c r="X249" s="40">
        <f>SUMIFS(W236:W291,B236:B291,B249-in_dpd_lag)*d_cured</f>
        <v/>
      </c>
      <c r="Y249" s="40">
        <f>SUMIFS(W236:W291,B236:B291,B249-in_rec_lag)*d_recd</f>
        <v/>
      </c>
      <c r="Z249" s="40">
        <f>IF(AND(B249&gt;=in_marketplace_from,B249&lt;in_marketplace_from+in_card_months),in_card_share/in_card_months*F249*I249,IF(AND(B249&gt;=in_marketplace_from+in_card_months,B249&lt;in_marketplace_from+2*in_card_months),in_card_share*d_card_rem/in_card_months*F249*MIN(in_takeup_cap,(1+in_takeup_growth)^(D249-1))*MIN(in_takeup_cap,(1+in_approval_growth)^(D249-1)),0))</f>
        <v/>
      </c>
      <c r="AA249" s="14">
        <f>V249*in_fee*(1-in_taken_back)</f>
        <v/>
      </c>
      <c r="AB249" s="14">
        <f>SUMIFS(W236:W291,B236:B291,B249-in_dpd_lag)*d_dpd</f>
        <v/>
      </c>
      <c r="AC249" s="14">
        <f>SUMIFS(W236:W291,B236:B291,B249-in_rec_lag)*d_rec</f>
        <v/>
      </c>
      <c r="AD249" s="14">
        <f>Z249*in_card_fee</f>
        <v/>
      </c>
      <c r="AE249" s="40">
        <f>AE248*(1-IF(B248&gt;=in_marketplace_from,d_hz_hlth_small*G248,0))</f>
        <v/>
      </c>
      <c r="AF249" s="46">
        <f>AE249*IF(B249&gt;=in_marketplace_from,d_hz_hlth_small*G249,0)</f>
        <v/>
      </c>
      <c r="AG249" s="14">
        <f>F249*AF249*in_hlth_small_ticket*in_hlth_small_comm*in_ins_partner_share+F249*in_hlth_small_ticket*in_hlth_small_renew_comm*in_ins_partner_share*(in_hlth_small_renew^1*SUMIFS(AF236:AF291,B236:B291,B249-12)+in_hlth_small_renew^2*SUMIFS(AF236:AF291,B236:B291,B249-24)+in_hlth_small_renew^3*SUMIFS(AF236:AF291,B236:B291,B249-36)+in_hlth_small_renew^4*SUMIFS(AF236:AF291,B236:B291,B249-48))</f>
        <v/>
      </c>
      <c r="AH249" s="40">
        <f>AH248*(1-IF(B248&gt;=in_marketplace_from,d_hz_hlth_family*G248,0))</f>
        <v/>
      </c>
      <c r="AI249" s="46">
        <f>AH249*IF(B249&gt;=in_marketplace_from,d_hz_hlth_family*G249,0)</f>
        <v/>
      </c>
      <c r="AJ249" s="14">
        <f>F249*AI249*in_hlth_family_ticket*in_hlth_family_comm*in_ins_partner_share+F249*in_hlth_family_ticket*in_hlth_family_renew_comm*in_ins_partner_share*(in_hlth_family_renew^1*SUMIFS(AI236:AI291,B236:B291,B249-12)+in_hlth_family_renew^2*SUMIFS(AI236:AI291,B236:B291,B249-24)+in_hlth_family_renew^3*SUMIFS(AI236:AI291,B236:B291,B249-36)+in_hlth_family_renew^4*SUMIFS(AI236:AI291,B236:B291,B249-48))</f>
        <v/>
      </c>
      <c r="AK249" s="40">
        <f>AK248*(1-IF(B248&gt;=in_marketplace_from,d_hz_life_term*G248,0))</f>
        <v/>
      </c>
      <c r="AL249" s="46">
        <f>AK249*IF(B249&gt;=in_marketplace_from,d_hz_life_term*G249,0)</f>
        <v/>
      </c>
      <c r="AM249" s="14">
        <f>F249*AL249*in_life_term_ticket*in_life_term_comm*in_ins_partner_share+F249*in_life_term_ticket*in_life_term_renew_comm*in_ins_partner_share*(in_life_term_renew^1*SUMIFS(AL236:AL291,B236:B291,B249-12)+in_life_term_renew^2*SUMIFS(AL236:AL291,B236:B291,B249-24)+in_life_term_renew^3*SUMIFS(AL236:AL291,B236:B291,B249-36)+in_life_term_renew^4*SUMIFS(AL236:AL291,B236:B291,B249-48))</f>
        <v/>
      </c>
      <c r="AN249" s="40">
        <f>AN248*(1-IF(B248&gt;=in_marketplace_from,d_hz_accident*G248,0))</f>
        <v/>
      </c>
      <c r="AO249" s="46">
        <f>AN249*IF(B249&gt;=in_marketplace_from,d_hz_accident*G249,0)</f>
        <v/>
      </c>
      <c r="AP249" s="14">
        <f>F249*AO249*in_accident_ticket*in_accident_comm*in_ins_partner_share+F249*in_accident_ticket*in_accident_renew_comm*in_ins_partner_share*(in_accident_renew^1*SUMIFS(AO236:AO291,B236:B291,B249-12)+in_accident_renew^2*SUMIFS(AO236:AO291,B236:B291,B249-24)+in_accident_renew^3*SUMIFS(AO236:AO291,B236:B291,B249-36)+in_accident_renew^4*SUMIFS(AO236:AO291,B236:B291,B249-48))</f>
        <v/>
      </c>
      <c r="AQ249" s="40">
        <f>AQ248*(1-IF(B248&gt;=in_marketplace_from,d_hz_two_wheeler*G248,0))</f>
        <v/>
      </c>
      <c r="AR249" s="46">
        <f>AQ249*IF(B249&gt;=in_marketplace_from,d_hz_two_wheeler*G249,0)</f>
        <v/>
      </c>
      <c r="AS249" s="14">
        <f>F249*AR249*in_two_wheeler_ticket*in_two_wheeler_comm*in_ins_partner_share+F249*in_two_wheeler_ticket*in_two_wheeler_comm*in_ins_partner_share*(in_two_wheeler_renew^1*SUMIFS(AR236:AR291,B236:B291,B249-12)+in_two_wheeler_renew^2*SUMIFS(AR236:AR291,B236:B291,B249-24)+in_two_wheeler_renew^3*SUMIFS(AR236:AR291,B236:B291,B249-36)+in_two_wheeler_renew^4*SUMIFS(AR236:AR291,B236:B291,B249-48))</f>
        <v/>
      </c>
      <c r="AT249" s="40">
        <f>AT248*(1-IF(B248&gt;=in_marketplace_from,d_hz_device*G248,0))</f>
        <v/>
      </c>
      <c r="AU249" s="14">
        <f>F249*AT249*IF(B249&gt;=in_marketplace_from,d_hz_device*G249,0)*in_device_ticket*in_device_comm*in_ins_partner_share</f>
        <v/>
      </c>
      <c r="AV249" s="40">
        <f>AV248*(1-IF(B248&gt;=in_marketplace_from,d_hz_shop*G248,0))</f>
        <v/>
      </c>
      <c r="AW249" s="46">
        <f>AV249*IF(B249&gt;=in_marketplace_from,d_hz_shop*G249,0)</f>
        <v/>
      </c>
      <c r="AX249" s="14">
        <f>F249*AW249*in_shop_ticket*in_shop_comm*in_ins_partner_share+F249*in_shop_ticket*in_shop_renew_comm*in_ins_partner_share*(in_shop_renew^1*SUMIFS(AW236:AW291,B236:B291,B249-12)+in_shop_renew^2*SUMIFS(AW236:AW291,B236:B291,B249-24)+in_shop_renew^3*SUMIFS(AW236:AW291,B236:B291,B249-36)+in_shop_renew^4*SUMIFS(AW236:AW291,B236:B291,B249-48))</f>
        <v/>
      </c>
      <c r="AY249" s="40">
        <f>AY248*(1-IF(B248&gt;=in_marketplace_from,d_hz_sip*G248,0))</f>
        <v/>
      </c>
      <c r="AZ249" s="40">
        <f>AZ248*d_rho_sip+AY249*IF(B249&gt;=in_marketplace_from,d_hz_sip*G249,0)</f>
        <v/>
      </c>
      <c r="BA249" s="40">
        <f>d_rho_sip*(BA248+AZ248)</f>
        <v/>
      </c>
      <c r="BB249" s="14">
        <f>F249*in_sip_ticket*(BA249+0.5*AZ249)*in_sip_comm/12</f>
        <v/>
      </c>
      <c r="BC249" s="40">
        <f>BC248*(1-IF(B248&gt;=in_marketplace_from,d_hz_choti*G248,0))</f>
        <v/>
      </c>
      <c r="BD249" s="46">
        <f>BC249*IF(B249&gt;=in_marketplace_from,d_hz_choti*G249,0)</f>
        <v/>
      </c>
      <c r="BE249" s="14">
        <f>F249*SUMIFS(BD236:BD291,B236:B291,B249-in_choti_months)*in_choti_renew*in_choti_ticket</f>
        <v/>
      </c>
      <c r="BF249" s="40">
        <f>BF248*(1-IF(B248&gt;=in_marketplace_from,d_hz_nps*G248,0))</f>
        <v/>
      </c>
      <c r="BG249" s="14">
        <f>F249*BF249*IF(B249&gt;=in_marketplace_from,d_hz_nps*G249,0)*in_nps_ticket*in_nps_comm</f>
        <v/>
      </c>
      <c r="BH249" s="40">
        <f>BH248*(1-IF(B248&gt;=in_marketplace_from,d_hz_gold*G248,0))</f>
        <v/>
      </c>
      <c r="BI249" s="40">
        <f>BI248*d_rho_gold+BH249*IF(B249&gt;=in_marketplace_from,d_hz_gold*G249,0)</f>
        <v/>
      </c>
      <c r="BJ249" s="14">
        <f>F249*BI249*in_gold_ticket*in_gold_comm</f>
        <v/>
      </c>
      <c r="BK249" s="40">
        <f>BK248*(1-IF(B248&gt;=in_marketplace_from,d_hz_fd*G248,0))</f>
        <v/>
      </c>
      <c r="BL249" s="14">
        <f>F249*BK249*IF(B249&gt;=in_marketplace_from,d_hz_fd*G249,0)*in_fd_ticket*in_fd_comm</f>
        <v/>
      </c>
      <c r="BM249" s="40">
        <f>BM248*(1-IF(B248&gt;=in_marketplace_from,d_hz_recharge*G248,0))</f>
        <v/>
      </c>
      <c r="BN249" s="40">
        <f>BN248*d_rho_recharge+BM249*IF(B249&gt;=in_marketplace_from,d_hz_recharge*G249,0)</f>
        <v/>
      </c>
      <c r="BO249" s="14">
        <f>F249*BN249*in_recharge_ticket*in_recharge_comm/12</f>
        <v/>
      </c>
      <c r="BP249" s="40">
        <f>BP248*(1-IF(B248&gt;=in_marketplace_from,d_hz_bills*G248,0))</f>
        <v/>
      </c>
      <c r="BQ249" s="40">
        <f>BQ248*d_rho_bills+BP249*IF(B249&gt;=in_marketplace_from,d_hz_bills*G249,0)</f>
        <v/>
      </c>
      <c r="BR249" s="14">
        <f>F249*BQ249*in_bills_ticket*in_bills_comm/12</f>
        <v/>
      </c>
      <c r="BS249" s="40">
        <f>BS248*(1-IF(B248&gt;=in_marketplace_from,d_hz_loan_gold*G248,0))</f>
        <v/>
      </c>
      <c r="BT249" s="14">
        <f>F249*BS249*IF(B249&gt;=in_marketplace_from,d_hz_loan_gold*G249,0)*in_loan_gold_ticket*in_loan_gold_comm</f>
        <v/>
      </c>
      <c r="BU249" s="40">
        <f>BU248*(1-IF(B248&gt;=in_marketplace_from,d_hz_loan_cd*G248,0))</f>
        <v/>
      </c>
      <c r="BV249" s="14">
        <f>F249*BU249*IF(B249&gt;=in_marketplace_from,d_hz_loan_cd*G249,0)*in_loan_cd_ticket*in_loan_cd_comm</f>
        <v/>
      </c>
      <c r="BW249" s="40">
        <f>BW248*(1-IF(B248&gt;=in_marketplace_from,d_hz_loan_vehicle*G248,0))</f>
        <v/>
      </c>
      <c r="BX249" s="14">
        <f>F249*BW249*IF(B249&gt;=in_marketplace_from,d_hz_loan_vehicle*G249,0)*in_loan_vehicle_ticket*in_loan_vehicle_comm</f>
        <v/>
      </c>
      <c r="BY249" s="40">
        <f>BY248*(1-IF(B248&gt;=in_marketplace_from,d_hz_loan_home*G248,0)*BZ248)</f>
        <v/>
      </c>
      <c r="BZ249" s="11">
        <f>MIN(in_approval_cap,in_loan_home_approval*INDEX('Age profile'!$O$2:$O$61,B249)*(1+in_approval_growth)^(D249-1))</f>
        <v/>
      </c>
      <c r="CA249" s="14">
        <f>F249*BY249*IF(B249&gt;=in_marketplace_from,d_hz_loan_home*G249,0)*BZ249*in_loan_home_ticket*in_loan_home_comm</f>
        <v/>
      </c>
      <c r="CB249" s="40">
        <f>CB248*(1-IF(B248&gt;=in_marketplace_from,d_hz_loan_lap*G248,0)*CC248)</f>
        <v/>
      </c>
      <c r="CC249" s="11">
        <f>MIN(in_approval_cap,in_loan_lap_approval*INDEX('Age profile'!$O$2:$O$61,B249)*(1+in_approval_growth)^(D249-1))</f>
        <v/>
      </c>
      <c r="CD249" s="14">
        <f>F249*CB249*IF(B249&gt;=in_marketplace_from,d_hz_loan_lap*G249,0)*CC249*in_loan_lap_ticket*in_loan_lap_comm</f>
        <v/>
      </c>
      <c r="CE249" s="14">
        <f>AA249+AB249+AC249+AD249+AG249+AJ249+AM249+AP249+AS249+AU249+AX249+BB249+BE249+BG249+BJ249+BL249+BO249+BR249+BT249+BV249+BX249+CA249+CD249</f>
        <v/>
      </c>
    </row>
    <row r="250">
      <c r="A250" s="39" t="n">
        <v>5</v>
      </c>
      <c r="B250" s="39" t="n">
        <v>15</v>
      </c>
      <c r="C250" s="39">
        <f>A250+B250-1</f>
        <v/>
      </c>
      <c r="D250" s="39">
        <f>INT((C250-1)/12)+1</f>
        <v/>
      </c>
      <c r="E250" s="44">
        <f>INDEX(Monthly!$B$2:$B$61,A250)</f>
        <v/>
      </c>
      <c r="F250" s="44">
        <f>E250*INDEX('Age profile'!$B$2:$B$61,B250)</f>
        <v/>
      </c>
      <c r="G250" s="45">
        <f>MIN(in_takeup_cap,INDEX('Age profile'!$N$2:$N$61,B250)*(1+in_takeup_growth)^(D250-1))</f>
        <v/>
      </c>
      <c r="H250" s="11">
        <f>MIN(in_approval_cap,in_approved_first*INDEX('Age profile'!$O$2:$O$61,B250)*(1+in_approval_growth)^(D250-1))</f>
        <v/>
      </c>
      <c r="I250" s="45">
        <f>G250*MIN(in_takeup_cap,INDEX('Age profile'!$O$2:$O$61,B250)*(1+in_approval_growth)^(D250-1))</f>
        <v/>
      </c>
      <c r="J250" s="40">
        <f>(J249-L249)*F250/F249</f>
        <v/>
      </c>
      <c r="K250" s="40">
        <f>(K249-M249)*F250/F249+SUMIFS(O236:O249,B236:B249,B250-1-d_T)*F250</f>
        <v/>
      </c>
      <c r="L250" s="40">
        <f>IF(B250&gt;=in_marketplace_from,J250*d_hz*G250*in_eligible*H250,0)</f>
        <v/>
      </c>
      <c r="M250" s="40">
        <f>IF(B250&gt;=in_marketplace_from,K250*d_hz*G250*in_eligible*in_approved_repeat,0)</f>
        <v/>
      </c>
      <c r="N250" s="40">
        <f>L250+M250</f>
        <v/>
      </c>
      <c r="O250" s="46">
        <f>N250/F250</f>
        <v/>
      </c>
      <c r="P250" s="40">
        <f>F250-J250-K250</f>
        <v/>
      </c>
      <c r="Q250" s="40">
        <f>IF(B250&gt;=in_marketplace_from,(J250+K250)*d_hz*G250,0)</f>
        <v/>
      </c>
      <c r="R250" s="40">
        <f>SUMIFS(N236:N291,B236:B291,"&gt;="&amp;(B250-d_T),B236:B291,"&lt;="&amp;(B250-1))</f>
        <v/>
      </c>
      <c r="S250" s="46">
        <f>(1-d_u)*S249+IF(d_T&gt;in_topup_lag,SUMIFS(O236:O291,B236:B291,B250-in_topup_lag)-d_udrop*SUMIFS(O236:O291,B236:B291,B250-d_T),0)</f>
        <v/>
      </c>
      <c r="T250" s="40">
        <f>F250*d_u*S250</f>
        <v/>
      </c>
      <c r="U250" s="9">
        <f>L250*in_ticket+M250*d_rep_ticket</f>
        <v/>
      </c>
      <c r="V250" s="9">
        <f>U250+T250*d_topup_amt</f>
        <v/>
      </c>
      <c r="W250" s="40">
        <f>N250+T250*d_topup_ratio</f>
        <v/>
      </c>
      <c r="X250" s="40">
        <f>SUMIFS(W236:W291,B236:B291,B250-in_dpd_lag)*d_cured</f>
        <v/>
      </c>
      <c r="Y250" s="40">
        <f>SUMIFS(W236:W291,B236:B291,B250-in_rec_lag)*d_recd</f>
        <v/>
      </c>
      <c r="Z250" s="40">
        <f>IF(AND(B250&gt;=in_marketplace_from,B250&lt;in_marketplace_from+in_card_months),in_card_share/in_card_months*F250*I250,IF(AND(B250&gt;=in_marketplace_from+in_card_months,B250&lt;in_marketplace_from+2*in_card_months),in_card_share*d_card_rem/in_card_months*F250*MIN(in_takeup_cap,(1+in_takeup_growth)^(D250-1))*MIN(in_takeup_cap,(1+in_approval_growth)^(D250-1)),0))</f>
        <v/>
      </c>
      <c r="AA250" s="14">
        <f>V250*in_fee*(1-in_taken_back)</f>
        <v/>
      </c>
      <c r="AB250" s="14">
        <f>SUMIFS(W236:W291,B236:B291,B250-in_dpd_lag)*d_dpd</f>
        <v/>
      </c>
      <c r="AC250" s="14">
        <f>SUMIFS(W236:W291,B236:B291,B250-in_rec_lag)*d_rec</f>
        <v/>
      </c>
      <c r="AD250" s="14">
        <f>Z250*in_card_fee</f>
        <v/>
      </c>
      <c r="AE250" s="40">
        <f>AE249*(1-IF(B249&gt;=in_marketplace_from,d_hz_hlth_small*G249,0))</f>
        <v/>
      </c>
      <c r="AF250" s="46">
        <f>AE250*IF(B250&gt;=in_marketplace_from,d_hz_hlth_small*G250,0)</f>
        <v/>
      </c>
      <c r="AG250" s="14">
        <f>F250*AF250*in_hlth_small_ticket*in_hlth_small_comm*in_ins_partner_share+F250*in_hlth_small_ticket*in_hlth_small_renew_comm*in_ins_partner_share*(in_hlth_small_renew^1*SUMIFS(AF236:AF291,B236:B291,B250-12)+in_hlth_small_renew^2*SUMIFS(AF236:AF291,B236:B291,B250-24)+in_hlth_small_renew^3*SUMIFS(AF236:AF291,B236:B291,B250-36)+in_hlth_small_renew^4*SUMIFS(AF236:AF291,B236:B291,B250-48))</f>
        <v/>
      </c>
      <c r="AH250" s="40">
        <f>AH249*(1-IF(B249&gt;=in_marketplace_from,d_hz_hlth_family*G249,0))</f>
        <v/>
      </c>
      <c r="AI250" s="46">
        <f>AH250*IF(B250&gt;=in_marketplace_from,d_hz_hlth_family*G250,0)</f>
        <v/>
      </c>
      <c r="AJ250" s="14">
        <f>F250*AI250*in_hlth_family_ticket*in_hlth_family_comm*in_ins_partner_share+F250*in_hlth_family_ticket*in_hlth_family_renew_comm*in_ins_partner_share*(in_hlth_family_renew^1*SUMIFS(AI236:AI291,B236:B291,B250-12)+in_hlth_family_renew^2*SUMIFS(AI236:AI291,B236:B291,B250-24)+in_hlth_family_renew^3*SUMIFS(AI236:AI291,B236:B291,B250-36)+in_hlth_family_renew^4*SUMIFS(AI236:AI291,B236:B291,B250-48))</f>
        <v/>
      </c>
      <c r="AK250" s="40">
        <f>AK249*(1-IF(B249&gt;=in_marketplace_from,d_hz_life_term*G249,0))</f>
        <v/>
      </c>
      <c r="AL250" s="46">
        <f>AK250*IF(B250&gt;=in_marketplace_from,d_hz_life_term*G250,0)</f>
        <v/>
      </c>
      <c r="AM250" s="14">
        <f>F250*AL250*in_life_term_ticket*in_life_term_comm*in_ins_partner_share+F250*in_life_term_ticket*in_life_term_renew_comm*in_ins_partner_share*(in_life_term_renew^1*SUMIFS(AL236:AL291,B236:B291,B250-12)+in_life_term_renew^2*SUMIFS(AL236:AL291,B236:B291,B250-24)+in_life_term_renew^3*SUMIFS(AL236:AL291,B236:B291,B250-36)+in_life_term_renew^4*SUMIFS(AL236:AL291,B236:B291,B250-48))</f>
        <v/>
      </c>
      <c r="AN250" s="40">
        <f>AN249*(1-IF(B249&gt;=in_marketplace_from,d_hz_accident*G249,0))</f>
        <v/>
      </c>
      <c r="AO250" s="46">
        <f>AN250*IF(B250&gt;=in_marketplace_from,d_hz_accident*G250,0)</f>
        <v/>
      </c>
      <c r="AP250" s="14">
        <f>F250*AO250*in_accident_ticket*in_accident_comm*in_ins_partner_share+F250*in_accident_ticket*in_accident_renew_comm*in_ins_partner_share*(in_accident_renew^1*SUMIFS(AO236:AO291,B236:B291,B250-12)+in_accident_renew^2*SUMIFS(AO236:AO291,B236:B291,B250-24)+in_accident_renew^3*SUMIFS(AO236:AO291,B236:B291,B250-36)+in_accident_renew^4*SUMIFS(AO236:AO291,B236:B291,B250-48))</f>
        <v/>
      </c>
      <c r="AQ250" s="40">
        <f>AQ249*(1-IF(B249&gt;=in_marketplace_from,d_hz_two_wheeler*G249,0))</f>
        <v/>
      </c>
      <c r="AR250" s="46">
        <f>AQ250*IF(B250&gt;=in_marketplace_from,d_hz_two_wheeler*G250,0)</f>
        <v/>
      </c>
      <c r="AS250" s="14">
        <f>F250*AR250*in_two_wheeler_ticket*in_two_wheeler_comm*in_ins_partner_share+F250*in_two_wheeler_ticket*in_two_wheeler_comm*in_ins_partner_share*(in_two_wheeler_renew^1*SUMIFS(AR236:AR291,B236:B291,B250-12)+in_two_wheeler_renew^2*SUMIFS(AR236:AR291,B236:B291,B250-24)+in_two_wheeler_renew^3*SUMIFS(AR236:AR291,B236:B291,B250-36)+in_two_wheeler_renew^4*SUMIFS(AR236:AR291,B236:B291,B250-48))</f>
        <v/>
      </c>
      <c r="AT250" s="40">
        <f>AT249*(1-IF(B249&gt;=in_marketplace_from,d_hz_device*G249,0))</f>
        <v/>
      </c>
      <c r="AU250" s="14">
        <f>F250*AT250*IF(B250&gt;=in_marketplace_from,d_hz_device*G250,0)*in_device_ticket*in_device_comm*in_ins_partner_share</f>
        <v/>
      </c>
      <c r="AV250" s="40">
        <f>AV249*(1-IF(B249&gt;=in_marketplace_from,d_hz_shop*G249,0))</f>
        <v/>
      </c>
      <c r="AW250" s="46">
        <f>AV250*IF(B250&gt;=in_marketplace_from,d_hz_shop*G250,0)</f>
        <v/>
      </c>
      <c r="AX250" s="14">
        <f>F250*AW250*in_shop_ticket*in_shop_comm*in_ins_partner_share+F250*in_shop_ticket*in_shop_renew_comm*in_ins_partner_share*(in_shop_renew^1*SUMIFS(AW236:AW291,B236:B291,B250-12)+in_shop_renew^2*SUMIFS(AW236:AW291,B236:B291,B250-24)+in_shop_renew^3*SUMIFS(AW236:AW291,B236:B291,B250-36)+in_shop_renew^4*SUMIFS(AW236:AW291,B236:B291,B250-48))</f>
        <v/>
      </c>
      <c r="AY250" s="40">
        <f>AY249*(1-IF(B249&gt;=in_marketplace_from,d_hz_sip*G249,0))</f>
        <v/>
      </c>
      <c r="AZ250" s="40">
        <f>AZ249*d_rho_sip+AY250*IF(B250&gt;=in_marketplace_from,d_hz_sip*G250,0)</f>
        <v/>
      </c>
      <c r="BA250" s="40">
        <f>d_rho_sip*(BA249+AZ249)</f>
        <v/>
      </c>
      <c r="BB250" s="14">
        <f>F250*in_sip_ticket*(BA250+0.5*AZ250)*in_sip_comm/12</f>
        <v/>
      </c>
      <c r="BC250" s="40">
        <f>BC249*(1-IF(B249&gt;=in_marketplace_from,d_hz_choti*G249,0))</f>
        <v/>
      </c>
      <c r="BD250" s="46">
        <f>BC250*IF(B250&gt;=in_marketplace_from,d_hz_choti*G250,0)</f>
        <v/>
      </c>
      <c r="BE250" s="14">
        <f>F250*SUMIFS(BD236:BD291,B236:B291,B250-in_choti_months)*in_choti_renew*in_choti_ticket</f>
        <v/>
      </c>
      <c r="BF250" s="40">
        <f>BF249*(1-IF(B249&gt;=in_marketplace_from,d_hz_nps*G249,0))</f>
        <v/>
      </c>
      <c r="BG250" s="14">
        <f>F250*BF250*IF(B250&gt;=in_marketplace_from,d_hz_nps*G250,0)*in_nps_ticket*in_nps_comm</f>
        <v/>
      </c>
      <c r="BH250" s="40">
        <f>BH249*(1-IF(B249&gt;=in_marketplace_from,d_hz_gold*G249,0))</f>
        <v/>
      </c>
      <c r="BI250" s="40">
        <f>BI249*d_rho_gold+BH250*IF(B250&gt;=in_marketplace_from,d_hz_gold*G250,0)</f>
        <v/>
      </c>
      <c r="BJ250" s="14">
        <f>F250*BI250*in_gold_ticket*in_gold_comm</f>
        <v/>
      </c>
      <c r="BK250" s="40">
        <f>BK249*(1-IF(B249&gt;=in_marketplace_from,d_hz_fd*G249,0))</f>
        <v/>
      </c>
      <c r="BL250" s="14">
        <f>F250*BK250*IF(B250&gt;=in_marketplace_from,d_hz_fd*G250,0)*in_fd_ticket*in_fd_comm</f>
        <v/>
      </c>
      <c r="BM250" s="40">
        <f>BM249*(1-IF(B249&gt;=in_marketplace_from,d_hz_recharge*G249,0))</f>
        <v/>
      </c>
      <c r="BN250" s="40">
        <f>BN249*d_rho_recharge+BM250*IF(B250&gt;=in_marketplace_from,d_hz_recharge*G250,0)</f>
        <v/>
      </c>
      <c r="BO250" s="14">
        <f>F250*BN250*in_recharge_ticket*in_recharge_comm/12</f>
        <v/>
      </c>
      <c r="BP250" s="40">
        <f>BP249*(1-IF(B249&gt;=in_marketplace_from,d_hz_bills*G249,0))</f>
        <v/>
      </c>
      <c r="BQ250" s="40">
        <f>BQ249*d_rho_bills+BP250*IF(B250&gt;=in_marketplace_from,d_hz_bills*G250,0)</f>
        <v/>
      </c>
      <c r="BR250" s="14">
        <f>F250*BQ250*in_bills_ticket*in_bills_comm/12</f>
        <v/>
      </c>
      <c r="BS250" s="40">
        <f>BS249*(1-IF(B249&gt;=in_marketplace_from,d_hz_loan_gold*G249,0))</f>
        <v/>
      </c>
      <c r="BT250" s="14">
        <f>F250*BS250*IF(B250&gt;=in_marketplace_from,d_hz_loan_gold*G250,0)*in_loan_gold_ticket*in_loan_gold_comm</f>
        <v/>
      </c>
      <c r="BU250" s="40">
        <f>BU249*(1-IF(B249&gt;=in_marketplace_from,d_hz_loan_cd*G249,0))</f>
        <v/>
      </c>
      <c r="BV250" s="14">
        <f>F250*BU250*IF(B250&gt;=in_marketplace_from,d_hz_loan_cd*G250,0)*in_loan_cd_ticket*in_loan_cd_comm</f>
        <v/>
      </c>
      <c r="BW250" s="40">
        <f>BW249*(1-IF(B249&gt;=in_marketplace_from,d_hz_loan_vehicle*G249,0))</f>
        <v/>
      </c>
      <c r="BX250" s="14">
        <f>F250*BW250*IF(B250&gt;=in_marketplace_from,d_hz_loan_vehicle*G250,0)*in_loan_vehicle_ticket*in_loan_vehicle_comm</f>
        <v/>
      </c>
      <c r="BY250" s="40">
        <f>BY249*(1-IF(B249&gt;=in_marketplace_from,d_hz_loan_home*G249,0)*BZ249)</f>
        <v/>
      </c>
      <c r="BZ250" s="11">
        <f>MIN(in_approval_cap,in_loan_home_approval*INDEX('Age profile'!$O$2:$O$61,B250)*(1+in_approval_growth)^(D250-1))</f>
        <v/>
      </c>
      <c r="CA250" s="14">
        <f>F250*BY250*IF(B250&gt;=in_marketplace_from,d_hz_loan_home*G250,0)*BZ250*in_loan_home_ticket*in_loan_home_comm</f>
        <v/>
      </c>
      <c r="CB250" s="40">
        <f>CB249*(1-IF(B249&gt;=in_marketplace_from,d_hz_loan_lap*G249,0)*CC249)</f>
        <v/>
      </c>
      <c r="CC250" s="11">
        <f>MIN(in_approval_cap,in_loan_lap_approval*INDEX('Age profile'!$O$2:$O$61,B250)*(1+in_approval_growth)^(D250-1))</f>
        <v/>
      </c>
      <c r="CD250" s="14">
        <f>F250*CB250*IF(B250&gt;=in_marketplace_from,d_hz_loan_lap*G250,0)*CC250*in_loan_lap_ticket*in_loan_lap_comm</f>
        <v/>
      </c>
      <c r="CE250" s="14">
        <f>AA250+AB250+AC250+AD250+AG250+AJ250+AM250+AP250+AS250+AU250+AX250+BB250+BE250+BG250+BJ250+BL250+BO250+BR250+BT250+BV250+BX250+CA250+CD250</f>
        <v/>
      </c>
    </row>
    <row r="251">
      <c r="A251" s="39" t="n">
        <v>5</v>
      </c>
      <c r="B251" s="39" t="n">
        <v>16</v>
      </c>
      <c r="C251" s="39">
        <f>A251+B251-1</f>
        <v/>
      </c>
      <c r="D251" s="39">
        <f>INT((C251-1)/12)+1</f>
        <v/>
      </c>
      <c r="E251" s="44">
        <f>INDEX(Monthly!$B$2:$B$61,A251)</f>
        <v/>
      </c>
      <c r="F251" s="44">
        <f>E251*INDEX('Age profile'!$B$2:$B$61,B251)</f>
        <v/>
      </c>
      <c r="G251" s="45">
        <f>MIN(in_takeup_cap,INDEX('Age profile'!$N$2:$N$61,B251)*(1+in_takeup_growth)^(D251-1))</f>
        <v/>
      </c>
      <c r="H251" s="11">
        <f>MIN(in_approval_cap,in_approved_first*INDEX('Age profile'!$O$2:$O$61,B251)*(1+in_approval_growth)^(D251-1))</f>
        <v/>
      </c>
      <c r="I251" s="45">
        <f>G251*MIN(in_takeup_cap,INDEX('Age profile'!$O$2:$O$61,B251)*(1+in_approval_growth)^(D251-1))</f>
        <v/>
      </c>
      <c r="J251" s="40">
        <f>(J250-L250)*F251/F250</f>
        <v/>
      </c>
      <c r="K251" s="40">
        <f>(K250-M250)*F251/F250+SUMIFS(O236:O250,B236:B250,B251-1-d_T)*F251</f>
        <v/>
      </c>
      <c r="L251" s="40">
        <f>IF(B251&gt;=in_marketplace_from,J251*d_hz*G251*in_eligible*H251,0)</f>
        <v/>
      </c>
      <c r="M251" s="40">
        <f>IF(B251&gt;=in_marketplace_from,K251*d_hz*G251*in_eligible*in_approved_repeat,0)</f>
        <v/>
      </c>
      <c r="N251" s="40">
        <f>L251+M251</f>
        <v/>
      </c>
      <c r="O251" s="46">
        <f>N251/F251</f>
        <v/>
      </c>
      <c r="P251" s="40">
        <f>F251-J251-K251</f>
        <v/>
      </c>
      <c r="Q251" s="40">
        <f>IF(B251&gt;=in_marketplace_from,(J251+K251)*d_hz*G251,0)</f>
        <v/>
      </c>
      <c r="R251" s="40">
        <f>SUMIFS(N236:N291,B236:B291,"&gt;="&amp;(B251-d_T),B236:B291,"&lt;="&amp;(B251-1))</f>
        <v/>
      </c>
      <c r="S251" s="46">
        <f>(1-d_u)*S250+IF(d_T&gt;in_topup_lag,SUMIFS(O236:O291,B236:B291,B251-in_topup_lag)-d_udrop*SUMIFS(O236:O291,B236:B291,B251-d_T),0)</f>
        <v/>
      </c>
      <c r="T251" s="40">
        <f>F251*d_u*S251</f>
        <v/>
      </c>
      <c r="U251" s="9">
        <f>L251*in_ticket+M251*d_rep_ticket</f>
        <v/>
      </c>
      <c r="V251" s="9">
        <f>U251+T251*d_topup_amt</f>
        <v/>
      </c>
      <c r="W251" s="40">
        <f>N251+T251*d_topup_ratio</f>
        <v/>
      </c>
      <c r="X251" s="40">
        <f>SUMIFS(W236:W291,B236:B291,B251-in_dpd_lag)*d_cured</f>
        <v/>
      </c>
      <c r="Y251" s="40">
        <f>SUMIFS(W236:W291,B236:B291,B251-in_rec_lag)*d_recd</f>
        <v/>
      </c>
      <c r="Z251" s="40">
        <f>IF(AND(B251&gt;=in_marketplace_from,B251&lt;in_marketplace_from+in_card_months),in_card_share/in_card_months*F251*I251,IF(AND(B251&gt;=in_marketplace_from+in_card_months,B251&lt;in_marketplace_from+2*in_card_months),in_card_share*d_card_rem/in_card_months*F251*MIN(in_takeup_cap,(1+in_takeup_growth)^(D251-1))*MIN(in_takeup_cap,(1+in_approval_growth)^(D251-1)),0))</f>
        <v/>
      </c>
      <c r="AA251" s="14">
        <f>V251*in_fee*(1-in_taken_back)</f>
        <v/>
      </c>
      <c r="AB251" s="14">
        <f>SUMIFS(W236:W291,B236:B291,B251-in_dpd_lag)*d_dpd</f>
        <v/>
      </c>
      <c r="AC251" s="14">
        <f>SUMIFS(W236:W291,B236:B291,B251-in_rec_lag)*d_rec</f>
        <v/>
      </c>
      <c r="AD251" s="14">
        <f>Z251*in_card_fee</f>
        <v/>
      </c>
      <c r="AE251" s="40">
        <f>AE250*(1-IF(B250&gt;=in_marketplace_from,d_hz_hlth_small*G250,0))</f>
        <v/>
      </c>
      <c r="AF251" s="46">
        <f>AE251*IF(B251&gt;=in_marketplace_from,d_hz_hlth_small*G251,0)</f>
        <v/>
      </c>
      <c r="AG251" s="14">
        <f>F251*AF251*in_hlth_small_ticket*in_hlth_small_comm*in_ins_partner_share+F251*in_hlth_small_ticket*in_hlth_small_renew_comm*in_ins_partner_share*(in_hlth_small_renew^1*SUMIFS(AF236:AF291,B236:B291,B251-12)+in_hlth_small_renew^2*SUMIFS(AF236:AF291,B236:B291,B251-24)+in_hlth_small_renew^3*SUMIFS(AF236:AF291,B236:B291,B251-36)+in_hlth_small_renew^4*SUMIFS(AF236:AF291,B236:B291,B251-48))</f>
        <v/>
      </c>
      <c r="AH251" s="40">
        <f>AH250*(1-IF(B250&gt;=in_marketplace_from,d_hz_hlth_family*G250,0))</f>
        <v/>
      </c>
      <c r="AI251" s="46">
        <f>AH251*IF(B251&gt;=in_marketplace_from,d_hz_hlth_family*G251,0)</f>
        <v/>
      </c>
      <c r="AJ251" s="14">
        <f>F251*AI251*in_hlth_family_ticket*in_hlth_family_comm*in_ins_partner_share+F251*in_hlth_family_ticket*in_hlth_family_renew_comm*in_ins_partner_share*(in_hlth_family_renew^1*SUMIFS(AI236:AI291,B236:B291,B251-12)+in_hlth_family_renew^2*SUMIFS(AI236:AI291,B236:B291,B251-24)+in_hlth_family_renew^3*SUMIFS(AI236:AI291,B236:B291,B251-36)+in_hlth_family_renew^4*SUMIFS(AI236:AI291,B236:B291,B251-48))</f>
        <v/>
      </c>
      <c r="AK251" s="40">
        <f>AK250*(1-IF(B250&gt;=in_marketplace_from,d_hz_life_term*G250,0))</f>
        <v/>
      </c>
      <c r="AL251" s="46">
        <f>AK251*IF(B251&gt;=in_marketplace_from,d_hz_life_term*G251,0)</f>
        <v/>
      </c>
      <c r="AM251" s="14">
        <f>F251*AL251*in_life_term_ticket*in_life_term_comm*in_ins_partner_share+F251*in_life_term_ticket*in_life_term_renew_comm*in_ins_partner_share*(in_life_term_renew^1*SUMIFS(AL236:AL291,B236:B291,B251-12)+in_life_term_renew^2*SUMIFS(AL236:AL291,B236:B291,B251-24)+in_life_term_renew^3*SUMIFS(AL236:AL291,B236:B291,B251-36)+in_life_term_renew^4*SUMIFS(AL236:AL291,B236:B291,B251-48))</f>
        <v/>
      </c>
      <c r="AN251" s="40">
        <f>AN250*(1-IF(B250&gt;=in_marketplace_from,d_hz_accident*G250,0))</f>
        <v/>
      </c>
      <c r="AO251" s="46">
        <f>AN251*IF(B251&gt;=in_marketplace_from,d_hz_accident*G251,0)</f>
        <v/>
      </c>
      <c r="AP251" s="14">
        <f>F251*AO251*in_accident_ticket*in_accident_comm*in_ins_partner_share+F251*in_accident_ticket*in_accident_renew_comm*in_ins_partner_share*(in_accident_renew^1*SUMIFS(AO236:AO291,B236:B291,B251-12)+in_accident_renew^2*SUMIFS(AO236:AO291,B236:B291,B251-24)+in_accident_renew^3*SUMIFS(AO236:AO291,B236:B291,B251-36)+in_accident_renew^4*SUMIFS(AO236:AO291,B236:B291,B251-48))</f>
        <v/>
      </c>
      <c r="AQ251" s="40">
        <f>AQ250*(1-IF(B250&gt;=in_marketplace_from,d_hz_two_wheeler*G250,0))</f>
        <v/>
      </c>
      <c r="AR251" s="46">
        <f>AQ251*IF(B251&gt;=in_marketplace_from,d_hz_two_wheeler*G251,0)</f>
        <v/>
      </c>
      <c r="AS251" s="14">
        <f>F251*AR251*in_two_wheeler_ticket*in_two_wheeler_comm*in_ins_partner_share+F251*in_two_wheeler_ticket*in_two_wheeler_comm*in_ins_partner_share*(in_two_wheeler_renew^1*SUMIFS(AR236:AR291,B236:B291,B251-12)+in_two_wheeler_renew^2*SUMIFS(AR236:AR291,B236:B291,B251-24)+in_two_wheeler_renew^3*SUMIFS(AR236:AR291,B236:B291,B251-36)+in_two_wheeler_renew^4*SUMIFS(AR236:AR291,B236:B291,B251-48))</f>
        <v/>
      </c>
      <c r="AT251" s="40">
        <f>AT250*(1-IF(B250&gt;=in_marketplace_from,d_hz_device*G250,0))</f>
        <v/>
      </c>
      <c r="AU251" s="14">
        <f>F251*AT251*IF(B251&gt;=in_marketplace_from,d_hz_device*G251,0)*in_device_ticket*in_device_comm*in_ins_partner_share</f>
        <v/>
      </c>
      <c r="AV251" s="40">
        <f>AV250*(1-IF(B250&gt;=in_marketplace_from,d_hz_shop*G250,0))</f>
        <v/>
      </c>
      <c r="AW251" s="46">
        <f>AV251*IF(B251&gt;=in_marketplace_from,d_hz_shop*G251,0)</f>
        <v/>
      </c>
      <c r="AX251" s="14">
        <f>F251*AW251*in_shop_ticket*in_shop_comm*in_ins_partner_share+F251*in_shop_ticket*in_shop_renew_comm*in_ins_partner_share*(in_shop_renew^1*SUMIFS(AW236:AW291,B236:B291,B251-12)+in_shop_renew^2*SUMIFS(AW236:AW291,B236:B291,B251-24)+in_shop_renew^3*SUMIFS(AW236:AW291,B236:B291,B251-36)+in_shop_renew^4*SUMIFS(AW236:AW291,B236:B291,B251-48))</f>
        <v/>
      </c>
      <c r="AY251" s="40">
        <f>AY250*(1-IF(B250&gt;=in_marketplace_from,d_hz_sip*G250,0))</f>
        <v/>
      </c>
      <c r="AZ251" s="40">
        <f>AZ250*d_rho_sip+AY251*IF(B251&gt;=in_marketplace_from,d_hz_sip*G251,0)</f>
        <v/>
      </c>
      <c r="BA251" s="40">
        <f>d_rho_sip*(BA250+AZ250)</f>
        <v/>
      </c>
      <c r="BB251" s="14">
        <f>F251*in_sip_ticket*(BA251+0.5*AZ251)*in_sip_comm/12</f>
        <v/>
      </c>
      <c r="BC251" s="40">
        <f>BC250*(1-IF(B250&gt;=in_marketplace_from,d_hz_choti*G250,0))</f>
        <v/>
      </c>
      <c r="BD251" s="46">
        <f>BC251*IF(B251&gt;=in_marketplace_from,d_hz_choti*G251,0)</f>
        <v/>
      </c>
      <c r="BE251" s="14">
        <f>F251*SUMIFS(BD236:BD291,B236:B291,B251-in_choti_months)*in_choti_renew*in_choti_ticket</f>
        <v/>
      </c>
      <c r="BF251" s="40">
        <f>BF250*(1-IF(B250&gt;=in_marketplace_from,d_hz_nps*G250,0))</f>
        <v/>
      </c>
      <c r="BG251" s="14">
        <f>F251*BF251*IF(B251&gt;=in_marketplace_from,d_hz_nps*G251,0)*in_nps_ticket*in_nps_comm</f>
        <v/>
      </c>
      <c r="BH251" s="40">
        <f>BH250*(1-IF(B250&gt;=in_marketplace_from,d_hz_gold*G250,0))</f>
        <v/>
      </c>
      <c r="BI251" s="40">
        <f>BI250*d_rho_gold+BH251*IF(B251&gt;=in_marketplace_from,d_hz_gold*G251,0)</f>
        <v/>
      </c>
      <c r="BJ251" s="14">
        <f>F251*BI251*in_gold_ticket*in_gold_comm</f>
        <v/>
      </c>
      <c r="BK251" s="40">
        <f>BK250*(1-IF(B250&gt;=in_marketplace_from,d_hz_fd*G250,0))</f>
        <v/>
      </c>
      <c r="BL251" s="14">
        <f>F251*BK251*IF(B251&gt;=in_marketplace_from,d_hz_fd*G251,0)*in_fd_ticket*in_fd_comm</f>
        <v/>
      </c>
      <c r="BM251" s="40">
        <f>BM250*(1-IF(B250&gt;=in_marketplace_from,d_hz_recharge*G250,0))</f>
        <v/>
      </c>
      <c r="BN251" s="40">
        <f>BN250*d_rho_recharge+BM251*IF(B251&gt;=in_marketplace_from,d_hz_recharge*G251,0)</f>
        <v/>
      </c>
      <c r="BO251" s="14">
        <f>F251*BN251*in_recharge_ticket*in_recharge_comm/12</f>
        <v/>
      </c>
      <c r="BP251" s="40">
        <f>BP250*(1-IF(B250&gt;=in_marketplace_from,d_hz_bills*G250,0))</f>
        <v/>
      </c>
      <c r="BQ251" s="40">
        <f>BQ250*d_rho_bills+BP251*IF(B251&gt;=in_marketplace_from,d_hz_bills*G251,0)</f>
        <v/>
      </c>
      <c r="BR251" s="14">
        <f>F251*BQ251*in_bills_ticket*in_bills_comm/12</f>
        <v/>
      </c>
      <c r="BS251" s="40">
        <f>BS250*(1-IF(B250&gt;=in_marketplace_from,d_hz_loan_gold*G250,0))</f>
        <v/>
      </c>
      <c r="BT251" s="14">
        <f>F251*BS251*IF(B251&gt;=in_marketplace_from,d_hz_loan_gold*G251,0)*in_loan_gold_ticket*in_loan_gold_comm</f>
        <v/>
      </c>
      <c r="BU251" s="40">
        <f>BU250*(1-IF(B250&gt;=in_marketplace_from,d_hz_loan_cd*G250,0))</f>
        <v/>
      </c>
      <c r="BV251" s="14">
        <f>F251*BU251*IF(B251&gt;=in_marketplace_from,d_hz_loan_cd*G251,0)*in_loan_cd_ticket*in_loan_cd_comm</f>
        <v/>
      </c>
      <c r="BW251" s="40">
        <f>BW250*(1-IF(B250&gt;=in_marketplace_from,d_hz_loan_vehicle*G250,0))</f>
        <v/>
      </c>
      <c r="BX251" s="14">
        <f>F251*BW251*IF(B251&gt;=in_marketplace_from,d_hz_loan_vehicle*G251,0)*in_loan_vehicle_ticket*in_loan_vehicle_comm</f>
        <v/>
      </c>
      <c r="BY251" s="40">
        <f>BY250*(1-IF(B250&gt;=in_marketplace_from,d_hz_loan_home*G250,0)*BZ250)</f>
        <v/>
      </c>
      <c r="BZ251" s="11">
        <f>MIN(in_approval_cap,in_loan_home_approval*INDEX('Age profile'!$O$2:$O$61,B251)*(1+in_approval_growth)^(D251-1))</f>
        <v/>
      </c>
      <c r="CA251" s="14">
        <f>F251*BY251*IF(B251&gt;=in_marketplace_from,d_hz_loan_home*G251,0)*BZ251*in_loan_home_ticket*in_loan_home_comm</f>
        <v/>
      </c>
      <c r="CB251" s="40">
        <f>CB250*(1-IF(B250&gt;=in_marketplace_from,d_hz_loan_lap*G250,0)*CC250)</f>
        <v/>
      </c>
      <c r="CC251" s="11">
        <f>MIN(in_approval_cap,in_loan_lap_approval*INDEX('Age profile'!$O$2:$O$61,B251)*(1+in_approval_growth)^(D251-1))</f>
        <v/>
      </c>
      <c r="CD251" s="14">
        <f>F251*CB251*IF(B251&gt;=in_marketplace_from,d_hz_loan_lap*G251,0)*CC251*in_loan_lap_ticket*in_loan_lap_comm</f>
        <v/>
      </c>
      <c r="CE251" s="14">
        <f>AA251+AB251+AC251+AD251+AG251+AJ251+AM251+AP251+AS251+AU251+AX251+BB251+BE251+BG251+BJ251+BL251+BO251+BR251+BT251+BV251+BX251+CA251+CD251</f>
        <v/>
      </c>
    </row>
    <row r="252">
      <c r="A252" s="39" t="n">
        <v>5</v>
      </c>
      <c r="B252" s="39" t="n">
        <v>17</v>
      </c>
      <c r="C252" s="39">
        <f>A252+B252-1</f>
        <v/>
      </c>
      <c r="D252" s="39">
        <f>INT((C252-1)/12)+1</f>
        <v/>
      </c>
      <c r="E252" s="44">
        <f>INDEX(Monthly!$B$2:$B$61,A252)</f>
        <v/>
      </c>
      <c r="F252" s="44">
        <f>E252*INDEX('Age profile'!$B$2:$B$61,B252)</f>
        <v/>
      </c>
      <c r="G252" s="45">
        <f>MIN(in_takeup_cap,INDEX('Age profile'!$N$2:$N$61,B252)*(1+in_takeup_growth)^(D252-1))</f>
        <v/>
      </c>
      <c r="H252" s="11">
        <f>MIN(in_approval_cap,in_approved_first*INDEX('Age profile'!$O$2:$O$61,B252)*(1+in_approval_growth)^(D252-1))</f>
        <v/>
      </c>
      <c r="I252" s="45">
        <f>G252*MIN(in_takeup_cap,INDEX('Age profile'!$O$2:$O$61,B252)*(1+in_approval_growth)^(D252-1))</f>
        <v/>
      </c>
      <c r="J252" s="40">
        <f>(J251-L251)*F252/F251</f>
        <v/>
      </c>
      <c r="K252" s="40">
        <f>(K251-M251)*F252/F251+SUMIFS(O236:O251,B236:B251,B252-1-d_T)*F252</f>
        <v/>
      </c>
      <c r="L252" s="40">
        <f>IF(B252&gt;=in_marketplace_from,J252*d_hz*G252*in_eligible*H252,0)</f>
        <v/>
      </c>
      <c r="M252" s="40">
        <f>IF(B252&gt;=in_marketplace_from,K252*d_hz*G252*in_eligible*in_approved_repeat,0)</f>
        <v/>
      </c>
      <c r="N252" s="40">
        <f>L252+M252</f>
        <v/>
      </c>
      <c r="O252" s="46">
        <f>N252/F252</f>
        <v/>
      </c>
      <c r="P252" s="40">
        <f>F252-J252-K252</f>
        <v/>
      </c>
      <c r="Q252" s="40">
        <f>IF(B252&gt;=in_marketplace_from,(J252+K252)*d_hz*G252,0)</f>
        <v/>
      </c>
      <c r="R252" s="40">
        <f>SUMIFS(N236:N291,B236:B291,"&gt;="&amp;(B252-d_T),B236:B291,"&lt;="&amp;(B252-1))</f>
        <v/>
      </c>
      <c r="S252" s="46">
        <f>(1-d_u)*S251+IF(d_T&gt;in_topup_lag,SUMIFS(O236:O291,B236:B291,B252-in_topup_lag)-d_udrop*SUMIFS(O236:O291,B236:B291,B252-d_T),0)</f>
        <v/>
      </c>
      <c r="T252" s="40">
        <f>F252*d_u*S252</f>
        <v/>
      </c>
      <c r="U252" s="9">
        <f>L252*in_ticket+M252*d_rep_ticket</f>
        <v/>
      </c>
      <c r="V252" s="9">
        <f>U252+T252*d_topup_amt</f>
        <v/>
      </c>
      <c r="W252" s="40">
        <f>N252+T252*d_topup_ratio</f>
        <v/>
      </c>
      <c r="X252" s="40">
        <f>SUMIFS(W236:W291,B236:B291,B252-in_dpd_lag)*d_cured</f>
        <v/>
      </c>
      <c r="Y252" s="40">
        <f>SUMIFS(W236:W291,B236:B291,B252-in_rec_lag)*d_recd</f>
        <v/>
      </c>
      <c r="Z252" s="40">
        <f>IF(AND(B252&gt;=in_marketplace_from,B252&lt;in_marketplace_from+in_card_months),in_card_share/in_card_months*F252*I252,IF(AND(B252&gt;=in_marketplace_from+in_card_months,B252&lt;in_marketplace_from+2*in_card_months),in_card_share*d_card_rem/in_card_months*F252*MIN(in_takeup_cap,(1+in_takeup_growth)^(D252-1))*MIN(in_takeup_cap,(1+in_approval_growth)^(D252-1)),0))</f>
        <v/>
      </c>
      <c r="AA252" s="14">
        <f>V252*in_fee*(1-in_taken_back)</f>
        <v/>
      </c>
      <c r="AB252" s="14">
        <f>SUMIFS(W236:W291,B236:B291,B252-in_dpd_lag)*d_dpd</f>
        <v/>
      </c>
      <c r="AC252" s="14">
        <f>SUMIFS(W236:W291,B236:B291,B252-in_rec_lag)*d_rec</f>
        <v/>
      </c>
      <c r="AD252" s="14">
        <f>Z252*in_card_fee</f>
        <v/>
      </c>
      <c r="AE252" s="40">
        <f>AE251*(1-IF(B251&gt;=in_marketplace_from,d_hz_hlth_small*G251,0))</f>
        <v/>
      </c>
      <c r="AF252" s="46">
        <f>AE252*IF(B252&gt;=in_marketplace_from,d_hz_hlth_small*G252,0)</f>
        <v/>
      </c>
      <c r="AG252" s="14">
        <f>F252*AF252*in_hlth_small_ticket*in_hlth_small_comm*in_ins_partner_share+F252*in_hlth_small_ticket*in_hlth_small_renew_comm*in_ins_partner_share*(in_hlth_small_renew^1*SUMIFS(AF236:AF291,B236:B291,B252-12)+in_hlth_small_renew^2*SUMIFS(AF236:AF291,B236:B291,B252-24)+in_hlth_small_renew^3*SUMIFS(AF236:AF291,B236:B291,B252-36)+in_hlth_small_renew^4*SUMIFS(AF236:AF291,B236:B291,B252-48))</f>
        <v/>
      </c>
      <c r="AH252" s="40">
        <f>AH251*(1-IF(B251&gt;=in_marketplace_from,d_hz_hlth_family*G251,0))</f>
        <v/>
      </c>
      <c r="AI252" s="46">
        <f>AH252*IF(B252&gt;=in_marketplace_from,d_hz_hlth_family*G252,0)</f>
        <v/>
      </c>
      <c r="AJ252" s="14">
        <f>F252*AI252*in_hlth_family_ticket*in_hlth_family_comm*in_ins_partner_share+F252*in_hlth_family_ticket*in_hlth_family_renew_comm*in_ins_partner_share*(in_hlth_family_renew^1*SUMIFS(AI236:AI291,B236:B291,B252-12)+in_hlth_family_renew^2*SUMIFS(AI236:AI291,B236:B291,B252-24)+in_hlth_family_renew^3*SUMIFS(AI236:AI291,B236:B291,B252-36)+in_hlth_family_renew^4*SUMIFS(AI236:AI291,B236:B291,B252-48))</f>
        <v/>
      </c>
      <c r="AK252" s="40">
        <f>AK251*(1-IF(B251&gt;=in_marketplace_from,d_hz_life_term*G251,0))</f>
        <v/>
      </c>
      <c r="AL252" s="46">
        <f>AK252*IF(B252&gt;=in_marketplace_from,d_hz_life_term*G252,0)</f>
        <v/>
      </c>
      <c r="AM252" s="14">
        <f>F252*AL252*in_life_term_ticket*in_life_term_comm*in_ins_partner_share+F252*in_life_term_ticket*in_life_term_renew_comm*in_ins_partner_share*(in_life_term_renew^1*SUMIFS(AL236:AL291,B236:B291,B252-12)+in_life_term_renew^2*SUMIFS(AL236:AL291,B236:B291,B252-24)+in_life_term_renew^3*SUMIFS(AL236:AL291,B236:B291,B252-36)+in_life_term_renew^4*SUMIFS(AL236:AL291,B236:B291,B252-48))</f>
        <v/>
      </c>
      <c r="AN252" s="40">
        <f>AN251*(1-IF(B251&gt;=in_marketplace_from,d_hz_accident*G251,0))</f>
        <v/>
      </c>
      <c r="AO252" s="46">
        <f>AN252*IF(B252&gt;=in_marketplace_from,d_hz_accident*G252,0)</f>
        <v/>
      </c>
      <c r="AP252" s="14">
        <f>F252*AO252*in_accident_ticket*in_accident_comm*in_ins_partner_share+F252*in_accident_ticket*in_accident_renew_comm*in_ins_partner_share*(in_accident_renew^1*SUMIFS(AO236:AO291,B236:B291,B252-12)+in_accident_renew^2*SUMIFS(AO236:AO291,B236:B291,B252-24)+in_accident_renew^3*SUMIFS(AO236:AO291,B236:B291,B252-36)+in_accident_renew^4*SUMIFS(AO236:AO291,B236:B291,B252-48))</f>
        <v/>
      </c>
      <c r="AQ252" s="40">
        <f>AQ251*(1-IF(B251&gt;=in_marketplace_from,d_hz_two_wheeler*G251,0))</f>
        <v/>
      </c>
      <c r="AR252" s="46">
        <f>AQ252*IF(B252&gt;=in_marketplace_from,d_hz_two_wheeler*G252,0)</f>
        <v/>
      </c>
      <c r="AS252" s="14">
        <f>F252*AR252*in_two_wheeler_ticket*in_two_wheeler_comm*in_ins_partner_share+F252*in_two_wheeler_ticket*in_two_wheeler_comm*in_ins_partner_share*(in_two_wheeler_renew^1*SUMIFS(AR236:AR291,B236:B291,B252-12)+in_two_wheeler_renew^2*SUMIFS(AR236:AR291,B236:B291,B252-24)+in_two_wheeler_renew^3*SUMIFS(AR236:AR291,B236:B291,B252-36)+in_two_wheeler_renew^4*SUMIFS(AR236:AR291,B236:B291,B252-48))</f>
        <v/>
      </c>
      <c r="AT252" s="40">
        <f>AT251*(1-IF(B251&gt;=in_marketplace_from,d_hz_device*G251,0))</f>
        <v/>
      </c>
      <c r="AU252" s="14">
        <f>F252*AT252*IF(B252&gt;=in_marketplace_from,d_hz_device*G252,0)*in_device_ticket*in_device_comm*in_ins_partner_share</f>
        <v/>
      </c>
      <c r="AV252" s="40">
        <f>AV251*(1-IF(B251&gt;=in_marketplace_from,d_hz_shop*G251,0))</f>
        <v/>
      </c>
      <c r="AW252" s="46">
        <f>AV252*IF(B252&gt;=in_marketplace_from,d_hz_shop*G252,0)</f>
        <v/>
      </c>
      <c r="AX252" s="14">
        <f>F252*AW252*in_shop_ticket*in_shop_comm*in_ins_partner_share+F252*in_shop_ticket*in_shop_renew_comm*in_ins_partner_share*(in_shop_renew^1*SUMIFS(AW236:AW291,B236:B291,B252-12)+in_shop_renew^2*SUMIFS(AW236:AW291,B236:B291,B252-24)+in_shop_renew^3*SUMIFS(AW236:AW291,B236:B291,B252-36)+in_shop_renew^4*SUMIFS(AW236:AW291,B236:B291,B252-48))</f>
        <v/>
      </c>
      <c r="AY252" s="40">
        <f>AY251*(1-IF(B251&gt;=in_marketplace_from,d_hz_sip*G251,0))</f>
        <v/>
      </c>
      <c r="AZ252" s="40">
        <f>AZ251*d_rho_sip+AY252*IF(B252&gt;=in_marketplace_from,d_hz_sip*G252,0)</f>
        <v/>
      </c>
      <c r="BA252" s="40">
        <f>d_rho_sip*(BA251+AZ251)</f>
        <v/>
      </c>
      <c r="BB252" s="14">
        <f>F252*in_sip_ticket*(BA252+0.5*AZ252)*in_sip_comm/12</f>
        <v/>
      </c>
      <c r="BC252" s="40">
        <f>BC251*(1-IF(B251&gt;=in_marketplace_from,d_hz_choti*G251,0))</f>
        <v/>
      </c>
      <c r="BD252" s="46">
        <f>BC252*IF(B252&gt;=in_marketplace_from,d_hz_choti*G252,0)</f>
        <v/>
      </c>
      <c r="BE252" s="14">
        <f>F252*SUMIFS(BD236:BD291,B236:B291,B252-in_choti_months)*in_choti_renew*in_choti_ticket</f>
        <v/>
      </c>
      <c r="BF252" s="40">
        <f>BF251*(1-IF(B251&gt;=in_marketplace_from,d_hz_nps*G251,0))</f>
        <v/>
      </c>
      <c r="BG252" s="14">
        <f>F252*BF252*IF(B252&gt;=in_marketplace_from,d_hz_nps*G252,0)*in_nps_ticket*in_nps_comm</f>
        <v/>
      </c>
      <c r="BH252" s="40">
        <f>BH251*(1-IF(B251&gt;=in_marketplace_from,d_hz_gold*G251,0))</f>
        <v/>
      </c>
      <c r="BI252" s="40">
        <f>BI251*d_rho_gold+BH252*IF(B252&gt;=in_marketplace_from,d_hz_gold*G252,0)</f>
        <v/>
      </c>
      <c r="BJ252" s="14">
        <f>F252*BI252*in_gold_ticket*in_gold_comm</f>
        <v/>
      </c>
      <c r="BK252" s="40">
        <f>BK251*(1-IF(B251&gt;=in_marketplace_from,d_hz_fd*G251,0))</f>
        <v/>
      </c>
      <c r="BL252" s="14">
        <f>F252*BK252*IF(B252&gt;=in_marketplace_from,d_hz_fd*G252,0)*in_fd_ticket*in_fd_comm</f>
        <v/>
      </c>
      <c r="BM252" s="40">
        <f>BM251*(1-IF(B251&gt;=in_marketplace_from,d_hz_recharge*G251,0))</f>
        <v/>
      </c>
      <c r="BN252" s="40">
        <f>BN251*d_rho_recharge+BM252*IF(B252&gt;=in_marketplace_from,d_hz_recharge*G252,0)</f>
        <v/>
      </c>
      <c r="BO252" s="14">
        <f>F252*BN252*in_recharge_ticket*in_recharge_comm/12</f>
        <v/>
      </c>
      <c r="BP252" s="40">
        <f>BP251*(1-IF(B251&gt;=in_marketplace_from,d_hz_bills*G251,0))</f>
        <v/>
      </c>
      <c r="BQ252" s="40">
        <f>BQ251*d_rho_bills+BP252*IF(B252&gt;=in_marketplace_from,d_hz_bills*G252,0)</f>
        <v/>
      </c>
      <c r="BR252" s="14">
        <f>F252*BQ252*in_bills_ticket*in_bills_comm/12</f>
        <v/>
      </c>
      <c r="BS252" s="40">
        <f>BS251*(1-IF(B251&gt;=in_marketplace_from,d_hz_loan_gold*G251,0))</f>
        <v/>
      </c>
      <c r="BT252" s="14">
        <f>F252*BS252*IF(B252&gt;=in_marketplace_from,d_hz_loan_gold*G252,0)*in_loan_gold_ticket*in_loan_gold_comm</f>
        <v/>
      </c>
      <c r="BU252" s="40">
        <f>BU251*(1-IF(B251&gt;=in_marketplace_from,d_hz_loan_cd*G251,0))</f>
        <v/>
      </c>
      <c r="BV252" s="14">
        <f>F252*BU252*IF(B252&gt;=in_marketplace_from,d_hz_loan_cd*G252,0)*in_loan_cd_ticket*in_loan_cd_comm</f>
        <v/>
      </c>
      <c r="BW252" s="40">
        <f>BW251*(1-IF(B251&gt;=in_marketplace_from,d_hz_loan_vehicle*G251,0))</f>
        <v/>
      </c>
      <c r="BX252" s="14">
        <f>F252*BW252*IF(B252&gt;=in_marketplace_from,d_hz_loan_vehicle*G252,0)*in_loan_vehicle_ticket*in_loan_vehicle_comm</f>
        <v/>
      </c>
      <c r="BY252" s="40">
        <f>BY251*(1-IF(B251&gt;=in_marketplace_from,d_hz_loan_home*G251,0)*BZ251)</f>
        <v/>
      </c>
      <c r="BZ252" s="11">
        <f>MIN(in_approval_cap,in_loan_home_approval*INDEX('Age profile'!$O$2:$O$61,B252)*(1+in_approval_growth)^(D252-1))</f>
        <v/>
      </c>
      <c r="CA252" s="14">
        <f>F252*BY252*IF(B252&gt;=in_marketplace_from,d_hz_loan_home*G252,0)*BZ252*in_loan_home_ticket*in_loan_home_comm</f>
        <v/>
      </c>
      <c r="CB252" s="40">
        <f>CB251*(1-IF(B251&gt;=in_marketplace_from,d_hz_loan_lap*G251,0)*CC251)</f>
        <v/>
      </c>
      <c r="CC252" s="11">
        <f>MIN(in_approval_cap,in_loan_lap_approval*INDEX('Age profile'!$O$2:$O$61,B252)*(1+in_approval_growth)^(D252-1))</f>
        <v/>
      </c>
      <c r="CD252" s="14">
        <f>F252*CB252*IF(B252&gt;=in_marketplace_from,d_hz_loan_lap*G252,0)*CC252*in_loan_lap_ticket*in_loan_lap_comm</f>
        <v/>
      </c>
      <c r="CE252" s="14">
        <f>AA252+AB252+AC252+AD252+AG252+AJ252+AM252+AP252+AS252+AU252+AX252+BB252+BE252+BG252+BJ252+BL252+BO252+BR252+BT252+BV252+BX252+CA252+CD252</f>
        <v/>
      </c>
    </row>
    <row r="253">
      <c r="A253" s="39" t="n">
        <v>5</v>
      </c>
      <c r="B253" s="39" t="n">
        <v>18</v>
      </c>
      <c r="C253" s="39">
        <f>A253+B253-1</f>
        <v/>
      </c>
      <c r="D253" s="39">
        <f>INT((C253-1)/12)+1</f>
        <v/>
      </c>
      <c r="E253" s="44">
        <f>INDEX(Monthly!$B$2:$B$61,A253)</f>
        <v/>
      </c>
      <c r="F253" s="44">
        <f>E253*INDEX('Age profile'!$B$2:$B$61,B253)</f>
        <v/>
      </c>
      <c r="G253" s="45">
        <f>MIN(in_takeup_cap,INDEX('Age profile'!$N$2:$N$61,B253)*(1+in_takeup_growth)^(D253-1))</f>
        <v/>
      </c>
      <c r="H253" s="11">
        <f>MIN(in_approval_cap,in_approved_first*INDEX('Age profile'!$O$2:$O$61,B253)*(1+in_approval_growth)^(D253-1))</f>
        <v/>
      </c>
      <c r="I253" s="45">
        <f>G253*MIN(in_takeup_cap,INDEX('Age profile'!$O$2:$O$61,B253)*(1+in_approval_growth)^(D253-1))</f>
        <v/>
      </c>
      <c r="J253" s="40">
        <f>(J252-L252)*F253/F252</f>
        <v/>
      </c>
      <c r="K253" s="40">
        <f>(K252-M252)*F253/F252+SUMIFS(O236:O252,B236:B252,B253-1-d_T)*F253</f>
        <v/>
      </c>
      <c r="L253" s="40">
        <f>IF(B253&gt;=in_marketplace_from,J253*d_hz*G253*in_eligible*H253,0)</f>
        <v/>
      </c>
      <c r="M253" s="40">
        <f>IF(B253&gt;=in_marketplace_from,K253*d_hz*G253*in_eligible*in_approved_repeat,0)</f>
        <v/>
      </c>
      <c r="N253" s="40">
        <f>L253+M253</f>
        <v/>
      </c>
      <c r="O253" s="46">
        <f>N253/F253</f>
        <v/>
      </c>
      <c r="P253" s="40">
        <f>F253-J253-K253</f>
        <v/>
      </c>
      <c r="Q253" s="40">
        <f>IF(B253&gt;=in_marketplace_from,(J253+K253)*d_hz*G253,0)</f>
        <v/>
      </c>
      <c r="R253" s="40">
        <f>SUMIFS(N236:N291,B236:B291,"&gt;="&amp;(B253-d_T),B236:B291,"&lt;="&amp;(B253-1))</f>
        <v/>
      </c>
      <c r="S253" s="46">
        <f>(1-d_u)*S252+IF(d_T&gt;in_topup_lag,SUMIFS(O236:O291,B236:B291,B253-in_topup_lag)-d_udrop*SUMIFS(O236:O291,B236:B291,B253-d_T),0)</f>
        <v/>
      </c>
      <c r="T253" s="40">
        <f>F253*d_u*S253</f>
        <v/>
      </c>
      <c r="U253" s="9">
        <f>L253*in_ticket+M253*d_rep_ticket</f>
        <v/>
      </c>
      <c r="V253" s="9">
        <f>U253+T253*d_topup_amt</f>
        <v/>
      </c>
      <c r="W253" s="40">
        <f>N253+T253*d_topup_ratio</f>
        <v/>
      </c>
      <c r="X253" s="40">
        <f>SUMIFS(W236:W291,B236:B291,B253-in_dpd_lag)*d_cured</f>
        <v/>
      </c>
      <c r="Y253" s="40">
        <f>SUMIFS(W236:W291,B236:B291,B253-in_rec_lag)*d_recd</f>
        <v/>
      </c>
      <c r="Z253" s="40">
        <f>IF(AND(B253&gt;=in_marketplace_from,B253&lt;in_marketplace_from+in_card_months),in_card_share/in_card_months*F253*I253,IF(AND(B253&gt;=in_marketplace_from+in_card_months,B253&lt;in_marketplace_from+2*in_card_months),in_card_share*d_card_rem/in_card_months*F253*MIN(in_takeup_cap,(1+in_takeup_growth)^(D253-1))*MIN(in_takeup_cap,(1+in_approval_growth)^(D253-1)),0))</f>
        <v/>
      </c>
      <c r="AA253" s="14">
        <f>V253*in_fee*(1-in_taken_back)</f>
        <v/>
      </c>
      <c r="AB253" s="14">
        <f>SUMIFS(W236:W291,B236:B291,B253-in_dpd_lag)*d_dpd</f>
        <v/>
      </c>
      <c r="AC253" s="14">
        <f>SUMIFS(W236:W291,B236:B291,B253-in_rec_lag)*d_rec</f>
        <v/>
      </c>
      <c r="AD253" s="14">
        <f>Z253*in_card_fee</f>
        <v/>
      </c>
      <c r="AE253" s="40">
        <f>AE252*(1-IF(B252&gt;=in_marketplace_from,d_hz_hlth_small*G252,0))</f>
        <v/>
      </c>
      <c r="AF253" s="46">
        <f>AE253*IF(B253&gt;=in_marketplace_from,d_hz_hlth_small*G253,0)</f>
        <v/>
      </c>
      <c r="AG253" s="14">
        <f>F253*AF253*in_hlth_small_ticket*in_hlth_small_comm*in_ins_partner_share+F253*in_hlth_small_ticket*in_hlth_small_renew_comm*in_ins_partner_share*(in_hlth_small_renew^1*SUMIFS(AF236:AF291,B236:B291,B253-12)+in_hlth_small_renew^2*SUMIFS(AF236:AF291,B236:B291,B253-24)+in_hlth_small_renew^3*SUMIFS(AF236:AF291,B236:B291,B253-36)+in_hlth_small_renew^4*SUMIFS(AF236:AF291,B236:B291,B253-48))</f>
        <v/>
      </c>
      <c r="AH253" s="40">
        <f>AH252*(1-IF(B252&gt;=in_marketplace_from,d_hz_hlth_family*G252,0))</f>
        <v/>
      </c>
      <c r="AI253" s="46">
        <f>AH253*IF(B253&gt;=in_marketplace_from,d_hz_hlth_family*G253,0)</f>
        <v/>
      </c>
      <c r="AJ253" s="14">
        <f>F253*AI253*in_hlth_family_ticket*in_hlth_family_comm*in_ins_partner_share+F253*in_hlth_family_ticket*in_hlth_family_renew_comm*in_ins_partner_share*(in_hlth_family_renew^1*SUMIFS(AI236:AI291,B236:B291,B253-12)+in_hlth_family_renew^2*SUMIFS(AI236:AI291,B236:B291,B253-24)+in_hlth_family_renew^3*SUMIFS(AI236:AI291,B236:B291,B253-36)+in_hlth_family_renew^4*SUMIFS(AI236:AI291,B236:B291,B253-48))</f>
        <v/>
      </c>
      <c r="AK253" s="40">
        <f>AK252*(1-IF(B252&gt;=in_marketplace_from,d_hz_life_term*G252,0))</f>
        <v/>
      </c>
      <c r="AL253" s="46">
        <f>AK253*IF(B253&gt;=in_marketplace_from,d_hz_life_term*G253,0)</f>
        <v/>
      </c>
      <c r="AM253" s="14">
        <f>F253*AL253*in_life_term_ticket*in_life_term_comm*in_ins_partner_share+F253*in_life_term_ticket*in_life_term_renew_comm*in_ins_partner_share*(in_life_term_renew^1*SUMIFS(AL236:AL291,B236:B291,B253-12)+in_life_term_renew^2*SUMIFS(AL236:AL291,B236:B291,B253-24)+in_life_term_renew^3*SUMIFS(AL236:AL291,B236:B291,B253-36)+in_life_term_renew^4*SUMIFS(AL236:AL291,B236:B291,B253-48))</f>
        <v/>
      </c>
      <c r="AN253" s="40">
        <f>AN252*(1-IF(B252&gt;=in_marketplace_from,d_hz_accident*G252,0))</f>
        <v/>
      </c>
      <c r="AO253" s="46">
        <f>AN253*IF(B253&gt;=in_marketplace_from,d_hz_accident*G253,0)</f>
        <v/>
      </c>
      <c r="AP253" s="14">
        <f>F253*AO253*in_accident_ticket*in_accident_comm*in_ins_partner_share+F253*in_accident_ticket*in_accident_renew_comm*in_ins_partner_share*(in_accident_renew^1*SUMIFS(AO236:AO291,B236:B291,B253-12)+in_accident_renew^2*SUMIFS(AO236:AO291,B236:B291,B253-24)+in_accident_renew^3*SUMIFS(AO236:AO291,B236:B291,B253-36)+in_accident_renew^4*SUMIFS(AO236:AO291,B236:B291,B253-48))</f>
        <v/>
      </c>
      <c r="AQ253" s="40">
        <f>AQ252*(1-IF(B252&gt;=in_marketplace_from,d_hz_two_wheeler*G252,0))</f>
        <v/>
      </c>
      <c r="AR253" s="46">
        <f>AQ253*IF(B253&gt;=in_marketplace_from,d_hz_two_wheeler*G253,0)</f>
        <v/>
      </c>
      <c r="AS253" s="14">
        <f>F253*AR253*in_two_wheeler_ticket*in_two_wheeler_comm*in_ins_partner_share+F253*in_two_wheeler_ticket*in_two_wheeler_comm*in_ins_partner_share*(in_two_wheeler_renew^1*SUMIFS(AR236:AR291,B236:B291,B253-12)+in_two_wheeler_renew^2*SUMIFS(AR236:AR291,B236:B291,B253-24)+in_two_wheeler_renew^3*SUMIFS(AR236:AR291,B236:B291,B253-36)+in_two_wheeler_renew^4*SUMIFS(AR236:AR291,B236:B291,B253-48))</f>
        <v/>
      </c>
      <c r="AT253" s="40">
        <f>AT252*(1-IF(B252&gt;=in_marketplace_from,d_hz_device*G252,0))</f>
        <v/>
      </c>
      <c r="AU253" s="14">
        <f>F253*AT253*IF(B253&gt;=in_marketplace_from,d_hz_device*G253,0)*in_device_ticket*in_device_comm*in_ins_partner_share</f>
        <v/>
      </c>
      <c r="AV253" s="40">
        <f>AV252*(1-IF(B252&gt;=in_marketplace_from,d_hz_shop*G252,0))</f>
        <v/>
      </c>
      <c r="AW253" s="46">
        <f>AV253*IF(B253&gt;=in_marketplace_from,d_hz_shop*G253,0)</f>
        <v/>
      </c>
      <c r="AX253" s="14">
        <f>F253*AW253*in_shop_ticket*in_shop_comm*in_ins_partner_share+F253*in_shop_ticket*in_shop_renew_comm*in_ins_partner_share*(in_shop_renew^1*SUMIFS(AW236:AW291,B236:B291,B253-12)+in_shop_renew^2*SUMIFS(AW236:AW291,B236:B291,B253-24)+in_shop_renew^3*SUMIFS(AW236:AW291,B236:B291,B253-36)+in_shop_renew^4*SUMIFS(AW236:AW291,B236:B291,B253-48))</f>
        <v/>
      </c>
      <c r="AY253" s="40">
        <f>AY252*(1-IF(B252&gt;=in_marketplace_from,d_hz_sip*G252,0))</f>
        <v/>
      </c>
      <c r="AZ253" s="40">
        <f>AZ252*d_rho_sip+AY253*IF(B253&gt;=in_marketplace_from,d_hz_sip*G253,0)</f>
        <v/>
      </c>
      <c r="BA253" s="40">
        <f>d_rho_sip*(BA252+AZ252)</f>
        <v/>
      </c>
      <c r="BB253" s="14">
        <f>F253*in_sip_ticket*(BA253+0.5*AZ253)*in_sip_comm/12</f>
        <v/>
      </c>
      <c r="BC253" s="40">
        <f>BC252*(1-IF(B252&gt;=in_marketplace_from,d_hz_choti*G252,0))</f>
        <v/>
      </c>
      <c r="BD253" s="46">
        <f>BC253*IF(B253&gt;=in_marketplace_from,d_hz_choti*G253,0)</f>
        <v/>
      </c>
      <c r="BE253" s="14">
        <f>F253*SUMIFS(BD236:BD291,B236:B291,B253-in_choti_months)*in_choti_renew*in_choti_ticket</f>
        <v/>
      </c>
      <c r="BF253" s="40">
        <f>BF252*(1-IF(B252&gt;=in_marketplace_from,d_hz_nps*G252,0))</f>
        <v/>
      </c>
      <c r="BG253" s="14">
        <f>F253*BF253*IF(B253&gt;=in_marketplace_from,d_hz_nps*G253,0)*in_nps_ticket*in_nps_comm</f>
        <v/>
      </c>
      <c r="BH253" s="40">
        <f>BH252*(1-IF(B252&gt;=in_marketplace_from,d_hz_gold*G252,0))</f>
        <v/>
      </c>
      <c r="BI253" s="40">
        <f>BI252*d_rho_gold+BH253*IF(B253&gt;=in_marketplace_from,d_hz_gold*G253,0)</f>
        <v/>
      </c>
      <c r="BJ253" s="14">
        <f>F253*BI253*in_gold_ticket*in_gold_comm</f>
        <v/>
      </c>
      <c r="BK253" s="40">
        <f>BK252*(1-IF(B252&gt;=in_marketplace_from,d_hz_fd*G252,0))</f>
        <v/>
      </c>
      <c r="BL253" s="14">
        <f>F253*BK253*IF(B253&gt;=in_marketplace_from,d_hz_fd*G253,0)*in_fd_ticket*in_fd_comm</f>
        <v/>
      </c>
      <c r="BM253" s="40">
        <f>BM252*(1-IF(B252&gt;=in_marketplace_from,d_hz_recharge*G252,0))</f>
        <v/>
      </c>
      <c r="BN253" s="40">
        <f>BN252*d_rho_recharge+BM253*IF(B253&gt;=in_marketplace_from,d_hz_recharge*G253,0)</f>
        <v/>
      </c>
      <c r="BO253" s="14">
        <f>F253*BN253*in_recharge_ticket*in_recharge_comm/12</f>
        <v/>
      </c>
      <c r="BP253" s="40">
        <f>BP252*(1-IF(B252&gt;=in_marketplace_from,d_hz_bills*G252,0))</f>
        <v/>
      </c>
      <c r="BQ253" s="40">
        <f>BQ252*d_rho_bills+BP253*IF(B253&gt;=in_marketplace_from,d_hz_bills*G253,0)</f>
        <v/>
      </c>
      <c r="BR253" s="14">
        <f>F253*BQ253*in_bills_ticket*in_bills_comm/12</f>
        <v/>
      </c>
      <c r="BS253" s="40">
        <f>BS252*(1-IF(B252&gt;=in_marketplace_from,d_hz_loan_gold*G252,0))</f>
        <v/>
      </c>
      <c r="BT253" s="14">
        <f>F253*BS253*IF(B253&gt;=in_marketplace_from,d_hz_loan_gold*G253,0)*in_loan_gold_ticket*in_loan_gold_comm</f>
        <v/>
      </c>
      <c r="BU253" s="40">
        <f>BU252*(1-IF(B252&gt;=in_marketplace_from,d_hz_loan_cd*G252,0))</f>
        <v/>
      </c>
      <c r="BV253" s="14">
        <f>F253*BU253*IF(B253&gt;=in_marketplace_from,d_hz_loan_cd*G253,0)*in_loan_cd_ticket*in_loan_cd_comm</f>
        <v/>
      </c>
      <c r="BW253" s="40">
        <f>BW252*(1-IF(B252&gt;=in_marketplace_from,d_hz_loan_vehicle*G252,0))</f>
        <v/>
      </c>
      <c r="BX253" s="14">
        <f>F253*BW253*IF(B253&gt;=in_marketplace_from,d_hz_loan_vehicle*G253,0)*in_loan_vehicle_ticket*in_loan_vehicle_comm</f>
        <v/>
      </c>
      <c r="BY253" s="40">
        <f>BY252*(1-IF(B252&gt;=in_marketplace_from,d_hz_loan_home*G252,0)*BZ252)</f>
        <v/>
      </c>
      <c r="BZ253" s="11">
        <f>MIN(in_approval_cap,in_loan_home_approval*INDEX('Age profile'!$O$2:$O$61,B253)*(1+in_approval_growth)^(D253-1))</f>
        <v/>
      </c>
      <c r="CA253" s="14">
        <f>F253*BY253*IF(B253&gt;=in_marketplace_from,d_hz_loan_home*G253,0)*BZ253*in_loan_home_ticket*in_loan_home_comm</f>
        <v/>
      </c>
      <c r="CB253" s="40">
        <f>CB252*(1-IF(B252&gt;=in_marketplace_from,d_hz_loan_lap*G252,0)*CC252)</f>
        <v/>
      </c>
      <c r="CC253" s="11">
        <f>MIN(in_approval_cap,in_loan_lap_approval*INDEX('Age profile'!$O$2:$O$61,B253)*(1+in_approval_growth)^(D253-1))</f>
        <v/>
      </c>
      <c r="CD253" s="14">
        <f>F253*CB253*IF(B253&gt;=in_marketplace_from,d_hz_loan_lap*G253,0)*CC253*in_loan_lap_ticket*in_loan_lap_comm</f>
        <v/>
      </c>
      <c r="CE253" s="14">
        <f>AA253+AB253+AC253+AD253+AG253+AJ253+AM253+AP253+AS253+AU253+AX253+BB253+BE253+BG253+BJ253+BL253+BO253+BR253+BT253+BV253+BX253+CA253+CD253</f>
        <v/>
      </c>
    </row>
    <row r="254">
      <c r="A254" s="39" t="n">
        <v>5</v>
      </c>
      <c r="B254" s="39" t="n">
        <v>19</v>
      </c>
      <c r="C254" s="39">
        <f>A254+B254-1</f>
        <v/>
      </c>
      <c r="D254" s="39">
        <f>INT((C254-1)/12)+1</f>
        <v/>
      </c>
      <c r="E254" s="44">
        <f>INDEX(Monthly!$B$2:$B$61,A254)</f>
        <v/>
      </c>
      <c r="F254" s="44">
        <f>E254*INDEX('Age profile'!$B$2:$B$61,B254)</f>
        <v/>
      </c>
      <c r="G254" s="45">
        <f>MIN(in_takeup_cap,INDEX('Age profile'!$N$2:$N$61,B254)*(1+in_takeup_growth)^(D254-1))</f>
        <v/>
      </c>
      <c r="H254" s="11">
        <f>MIN(in_approval_cap,in_approved_first*INDEX('Age profile'!$O$2:$O$61,B254)*(1+in_approval_growth)^(D254-1))</f>
        <v/>
      </c>
      <c r="I254" s="45">
        <f>G254*MIN(in_takeup_cap,INDEX('Age profile'!$O$2:$O$61,B254)*(1+in_approval_growth)^(D254-1))</f>
        <v/>
      </c>
      <c r="J254" s="40">
        <f>(J253-L253)*F254/F253</f>
        <v/>
      </c>
      <c r="K254" s="40">
        <f>(K253-M253)*F254/F253+SUMIFS(O236:O253,B236:B253,B254-1-d_T)*F254</f>
        <v/>
      </c>
      <c r="L254" s="40">
        <f>IF(B254&gt;=in_marketplace_from,J254*d_hz*G254*in_eligible*H254,0)</f>
        <v/>
      </c>
      <c r="M254" s="40">
        <f>IF(B254&gt;=in_marketplace_from,K254*d_hz*G254*in_eligible*in_approved_repeat,0)</f>
        <v/>
      </c>
      <c r="N254" s="40">
        <f>L254+M254</f>
        <v/>
      </c>
      <c r="O254" s="46">
        <f>N254/F254</f>
        <v/>
      </c>
      <c r="P254" s="40">
        <f>F254-J254-K254</f>
        <v/>
      </c>
      <c r="Q254" s="40">
        <f>IF(B254&gt;=in_marketplace_from,(J254+K254)*d_hz*G254,0)</f>
        <v/>
      </c>
      <c r="R254" s="40">
        <f>SUMIFS(N236:N291,B236:B291,"&gt;="&amp;(B254-d_T),B236:B291,"&lt;="&amp;(B254-1))</f>
        <v/>
      </c>
      <c r="S254" s="46">
        <f>(1-d_u)*S253+IF(d_T&gt;in_topup_lag,SUMIFS(O236:O291,B236:B291,B254-in_topup_lag)-d_udrop*SUMIFS(O236:O291,B236:B291,B254-d_T),0)</f>
        <v/>
      </c>
      <c r="T254" s="40">
        <f>F254*d_u*S254</f>
        <v/>
      </c>
      <c r="U254" s="9">
        <f>L254*in_ticket+M254*d_rep_ticket</f>
        <v/>
      </c>
      <c r="V254" s="9">
        <f>U254+T254*d_topup_amt</f>
        <v/>
      </c>
      <c r="W254" s="40">
        <f>N254+T254*d_topup_ratio</f>
        <v/>
      </c>
      <c r="X254" s="40">
        <f>SUMIFS(W236:W291,B236:B291,B254-in_dpd_lag)*d_cured</f>
        <v/>
      </c>
      <c r="Y254" s="40">
        <f>SUMIFS(W236:W291,B236:B291,B254-in_rec_lag)*d_recd</f>
        <v/>
      </c>
      <c r="Z254" s="40">
        <f>IF(AND(B254&gt;=in_marketplace_from,B254&lt;in_marketplace_from+in_card_months),in_card_share/in_card_months*F254*I254,IF(AND(B254&gt;=in_marketplace_from+in_card_months,B254&lt;in_marketplace_from+2*in_card_months),in_card_share*d_card_rem/in_card_months*F254*MIN(in_takeup_cap,(1+in_takeup_growth)^(D254-1))*MIN(in_takeup_cap,(1+in_approval_growth)^(D254-1)),0))</f>
        <v/>
      </c>
      <c r="AA254" s="14">
        <f>V254*in_fee*(1-in_taken_back)</f>
        <v/>
      </c>
      <c r="AB254" s="14">
        <f>SUMIFS(W236:W291,B236:B291,B254-in_dpd_lag)*d_dpd</f>
        <v/>
      </c>
      <c r="AC254" s="14">
        <f>SUMIFS(W236:W291,B236:B291,B254-in_rec_lag)*d_rec</f>
        <v/>
      </c>
      <c r="AD254" s="14">
        <f>Z254*in_card_fee</f>
        <v/>
      </c>
      <c r="AE254" s="40">
        <f>AE253*(1-IF(B253&gt;=in_marketplace_from,d_hz_hlth_small*G253,0))</f>
        <v/>
      </c>
      <c r="AF254" s="46">
        <f>AE254*IF(B254&gt;=in_marketplace_from,d_hz_hlth_small*G254,0)</f>
        <v/>
      </c>
      <c r="AG254" s="14">
        <f>F254*AF254*in_hlth_small_ticket*in_hlth_small_comm*in_ins_partner_share+F254*in_hlth_small_ticket*in_hlth_small_renew_comm*in_ins_partner_share*(in_hlth_small_renew^1*SUMIFS(AF236:AF291,B236:B291,B254-12)+in_hlth_small_renew^2*SUMIFS(AF236:AF291,B236:B291,B254-24)+in_hlth_small_renew^3*SUMIFS(AF236:AF291,B236:B291,B254-36)+in_hlth_small_renew^4*SUMIFS(AF236:AF291,B236:B291,B254-48))</f>
        <v/>
      </c>
      <c r="AH254" s="40">
        <f>AH253*(1-IF(B253&gt;=in_marketplace_from,d_hz_hlth_family*G253,0))</f>
        <v/>
      </c>
      <c r="AI254" s="46">
        <f>AH254*IF(B254&gt;=in_marketplace_from,d_hz_hlth_family*G254,0)</f>
        <v/>
      </c>
      <c r="AJ254" s="14">
        <f>F254*AI254*in_hlth_family_ticket*in_hlth_family_comm*in_ins_partner_share+F254*in_hlth_family_ticket*in_hlth_family_renew_comm*in_ins_partner_share*(in_hlth_family_renew^1*SUMIFS(AI236:AI291,B236:B291,B254-12)+in_hlth_family_renew^2*SUMIFS(AI236:AI291,B236:B291,B254-24)+in_hlth_family_renew^3*SUMIFS(AI236:AI291,B236:B291,B254-36)+in_hlth_family_renew^4*SUMIFS(AI236:AI291,B236:B291,B254-48))</f>
        <v/>
      </c>
      <c r="AK254" s="40">
        <f>AK253*(1-IF(B253&gt;=in_marketplace_from,d_hz_life_term*G253,0))</f>
        <v/>
      </c>
      <c r="AL254" s="46">
        <f>AK254*IF(B254&gt;=in_marketplace_from,d_hz_life_term*G254,0)</f>
        <v/>
      </c>
      <c r="AM254" s="14">
        <f>F254*AL254*in_life_term_ticket*in_life_term_comm*in_ins_partner_share+F254*in_life_term_ticket*in_life_term_renew_comm*in_ins_partner_share*(in_life_term_renew^1*SUMIFS(AL236:AL291,B236:B291,B254-12)+in_life_term_renew^2*SUMIFS(AL236:AL291,B236:B291,B254-24)+in_life_term_renew^3*SUMIFS(AL236:AL291,B236:B291,B254-36)+in_life_term_renew^4*SUMIFS(AL236:AL291,B236:B291,B254-48))</f>
        <v/>
      </c>
      <c r="AN254" s="40">
        <f>AN253*(1-IF(B253&gt;=in_marketplace_from,d_hz_accident*G253,0))</f>
        <v/>
      </c>
      <c r="AO254" s="46">
        <f>AN254*IF(B254&gt;=in_marketplace_from,d_hz_accident*G254,0)</f>
        <v/>
      </c>
      <c r="AP254" s="14">
        <f>F254*AO254*in_accident_ticket*in_accident_comm*in_ins_partner_share+F254*in_accident_ticket*in_accident_renew_comm*in_ins_partner_share*(in_accident_renew^1*SUMIFS(AO236:AO291,B236:B291,B254-12)+in_accident_renew^2*SUMIFS(AO236:AO291,B236:B291,B254-24)+in_accident_renew^3*SUMIFS(AO236:AO291,B236:B291,B254-36)+in_accident_renew^4*SUMIFS(AO236:AO291,B236:B291,B254-48))</f>
        <v/>
      </c>
      <c r="AQ254" s="40">
        <f>AQ253*(1-IF(B253&gt;=in_marketplace_from,d_hz_two_wheeler*G253,0))</f>
        <v/>
      </c>
      <c r="AR254" s="46">
        <f>AQ254*IF(B254&gt;=in_marketplace_from,d_hz_two_wheeler*G254,0)</f>
        <v/>
      </c>
      <c r="AS254" s="14">
        <f>F254*AR254*in_two_wheeler_ticket*in_two_wheeler_comm*in_ins_partner_share+F254*in_two_wheeler_ticket*in_two_wheeler_comm*in_ins_partner_share*(in_two_wheeler_renew^1*SUMIFS(AR236:AR291,B236:B291,B254-12)+in_two_wheeler_renew^2*SUMIFS(AR236:AR291,B236:B291,B254-24)+in_two_wheeler_renew^3*SUMIFS(AR236:AR291,B236:B291,B254-36)+in_two_wheeler_renew^4*SUMIFS(AR236:AR291,B236:B291,B254-48))</f>
        <v/>
      </c>
      <c r="AT254" s="40">
        <f>AT253*(1-IF(B253&gt;=in_marketplace_from,d_hz_device*G253,0))</f>
        <v/>
      </c>
      <c r="AU254" s="14">
        <f>F254*AT254*IF(B254&gt;=in_marketplace_from,d_hz_device*G254,0)*in_device_ticket*in_device_comm*in_ins_partner_share</f>
        <v/>
      </c>
      <c r="AV254" s="40">
        <f>AV253*(1-IF(B253&gt;=in_marketplace_from,d_hz_shop*G253,0))</f>
        <v/>
      </c>
      <c r="AW254" s="46">
        <f>AV254*IF(B254&gt;=in_marketplace_from,d_hz_shop*G254,0)</f>
        <v/>
      </c>
      <c r="AX254" s="14">
        <f>F254*AW254*in_shop_ticket*in_shop_comm*in_ins_partner_share+F254*in_shop_ticket*in_shop_renew_comm*in_ins_partner_share*(in_shop_renew^1*SUMIFS(AW236:AW291,B236:B291,B254-12)+in_shop_renew^2*SUMIFS(AW236:AW291,B236:B291,B254-24)+in_shop_renew^3*SUMIFS(AW236:AW291,B236:B291,B254-36)+in_shop_renew^4*SUMIFS(AW236:AW291,B236:B291,B254-48))</f>
        <v/>
      </c>
      <c r="AY254" s="40">
        <f>AY253*(1-IF(B253&gt;=in_marketplace_from,d_hz_sip*G253,0))</f>
        <v/>
      </c>
      <c r="AZ254" s="40">
        <f>AZ253*d_rho_sip+AY254*IF(B254&gt;=in_marketplace_from,d_hz_sip*G254,0)</f>
        <v/>
      </c>
      <c r="BA254" s="40">
        <f>d_rho_sip*(BA253+AZ253)</f>
        <v/>
      </c>
      <c r="BB254" s="14">
        <f>F254*in_sip_ticket*(BA254+0.5*AZ254)*in_sip_comm/12</f>
        <v/>
      </c>
      <c r="BC254" s="40">
        <f>BC253*(1-IF(B253&gt;=in_marketplace_from,d_hz_choti*G253,0))</f>
        <v/>
      </c>
      <c r="BD254" s="46">
        <f>BC254*IF(B254&gt;=in_marketplace_from,d_hz_choti*G254,0)</f>
        <v/>
      </c>
      <c r="BE254" s="14">
        <f>F254*SUMIFS(BD236:BD291,B236:B291,B254-in_choti_months)*in_choti_renew*in_choti_ticket</f>
        <v/>
      </c>
      <c r="BF254" s="40">
        <f>BF253*(1-IF(B253&gt;=in_marketplace_from,d_hz_nps*G253,0))</f>
        <v/>
      </c>
      <c r="BG254" s="14">
        <f>F254*BF254*IF(B254&gt;=in_marketplace_from,d_hz_nps*G254,0)*in_nps_ticket*in_nps_comm</f>
        <v/>
      </c>
      <c r="BH254" s="40">
        <f>BH253*(1-IF(B253&gt;=in_marketplace_from,d_hz_gold*G253,0))</f>
        <v/>
      </c>
      <c r="BI254" s="40">
        <f>BI253*d_rho_gold+BH254*IF(B254&gt;=in_marketplace_from,d_hz_gold*G254,0)</f>
        <v/>
      </c>
      <c r="BJ254" s="14">
        <f>F254*BI254*in_gold_ticket*in_gold_comm</f>
        <v/>
      </c>
      <c r="BK254" s="40">
        <f>BK253*(1-IF(B253&gt;=in_marketplace_from,d_hz_fd*G253,0))</f>
        <v/>
      </c>
      <c r="BL254" s="14">
        <f>F254*BK254*IF(B254&gt;=in_marketplace_from,d_hz_fd*G254,0)*in_fd_ticket*in_fd_comm</f>
        <v/>
      </c>
      <c r="BM254" s="40">
        <f>BM253*(1-IF(B253&gt;=in_marketplace_from,d_hz_recharge*G253,0))</f>
        <v/>
      </c>
      <c r="BN254" s="40">
        <f>BN253*d_rho_recharge+BM254*IF(B254&gt;=in_marketplace_from,d_hz_recharge*G254,0)</f>
        <v/>
      </c>
      <c r="BO254" s="14">
        <f>F254*BN254*in_recharge_ticket*in_recharge_comm/12</f>
        <v/>
      </c>
      <c r="BP254" s="40">
        <f>BP253*(1-IF(B253&gt;=in_marketplace_from,d_hz_bills*G253,0))</f>
        <v/>
      </c>
      <c r="BQ254" s="40">
        <f>BQ253*d_rho_bills+BP254*IF(B254&gt;=in_marketplace_from,d_hz_bills*G254,0)</f>
        <v/>
      </c>
      <c r="BR254" s="14">
        <f>F254*BQ254*in_bills_ticket*in_bills_comm/12</f>
        <v/>
      </c>
      <c r="BS254" s="40">
        <f>BS253*(1-IF(B253&gt;=in_marketplace_from,d_hz_loan_gold*G253,0))</f>
        <v/>
      </c>
      <c r="BT254" s="14">
        <f>F254*BS254*IF(B254&gt;=in_marketplace_from,d_hz_loan_gold*G254,0)*in_loan_gold_ticket*in_loan_gold_comm</f>
        <v/>
      </c>
      <c r="BU254" s="40">
        <f>BU253*(1-IF(B253&gt;=in_marketplace_from,d_hz_loan_cd*G253,0))</f>
        <v/>
      </c>
      <c r="BV254" s="14">
        <f>F254*BU254*IF(B254&gt;=in_marketplace_from,d_hz_loan_cd*G254,0)*in_loan_cd_ticket*in_loan_cd_comm</f>
        <v/>
      </c>
      <c r="BW254" s="40">
        <f>BW253*(1-IF(B253&gt;=in_marketplace_from,d_hz_loan_vehicle*G253,0))</f>
        <v/>
      </c>
      <c r="BX254" s="14">
        <f>F254*BW254*IF(B254&gt;=in_marketplace_from,d_hz_loan_vehicle*G254,0)*in_loan_vehicle_ticket*in_loan_vehicle_comm</f>
        <v/>
      </c>
      <c r="BY254" s="40">
        <f>BY253*(1-IF(B253&gt;=in_marketplace_from,d_hz_loan_home*G253,0)*BZ253)</f>
        <v/>
      </c>
      <c r="BZ254" s="11">
        <f>MIN(in_approval_cap,in_loan_home_approval*INDEX('Age profile'!$O$2:$O$61,B254)*(1+in_approval_growth)^(D254-1))</f>
        <v/>
      </c>
      <c r="CA254" s="14">
        <f>F254*BY254*IF(B254&gt;=in_marketplace_from,d_hz_loan_home*G254,0)*BZ254*in_loan_home_ticket*in_loan_home_comm</f>
        <v/>
      </c>
      <c r="CB254" s="40">
        <f>CB253*(1-IF(B253&gt;=in_marketplace_from,d_hz_loan_lap*G253,0)*CC253)</f>
        <v/>
      </c>
      <c r="CC254" s="11">
        <f>MIN(in_approval_cap,in_loan_lap_approval*INDEX('Age profile'!$O$2:$O$61,B254)*(1+in_approval_growth)^(D254-1))</f>
        <v/>
      </c>
      <c r="CD254" s="14">
        <f>F254*CB254*IF(B254&gt;=in_marketplace_from,d_hz_loan_lap*G254,0)*CC254*in_loan_lap_ticket*in_loan_lap_comm</f>
        <v/>
      </c>
      <c r="CE254" s="14">
        <f>AA254+AB254+AC254+AD254+AG254+AJ254+AM254+AP254+AS254+AU254+AX254+BB254+BE254+BG254+BJ254+BL254+BO254+BR254+BT254+BV254+BX254+CA254+CD254</f>
        <v/>
      </c>
    </row>
    <row r="255">
      <c r="A255" s="39" t="n">
        <v>5</v>
      </c>
      <c r="B255" s="39" t="n">
        <v>20</v>
      </c>
      <c r="C255" s="39">
        <f>A255+B255-1</f>
        <v/>
      </c>
      <c r="D255" s="39">
        <f>INT((C255-1)/12)+1</f>
        <v/>
      </c>
      <c r="E255" s="44">
        <f>INDEX(Monthly!$B$2:$B$61,A255)</f>
        <v/>
      </c>
      <c r="F255" s="44">
        <f>E255*INDEX('Age profile'!$B$2:$B$61,B255)</f>
        <v/>
      </c>
      <c r="G255" s="45">
        <f>MIN(in_takeup_cap,INDEX('Age profile'!$N$2:$N$61,B255)*(1+in_takeup_growth)^(D255-1))</f>
        <v/>
      </c>
      <c r="H255" s="11">
        <f>MIN(in_approval_cap,in_approved_first*INDEX('Age profile'!$O$2:$O$61,B255)*(1+in_approval_growth)^(D255-1))</f>
        <v/>
      </c>
      <c r="I255" s="45">
        <f>G255*MIN(in_takeup_cap,INDEX('Age profile'!$O$2:$O$61,B255)*(1+in_approval_growth)^(D255-1))</f>
        <v/>
      </c>
      <c r="J255" s="40">
        <f>(J254-L254)*F255/F254</f>
        <v/>
      </c>
      <c r="K255" s="40">
        <f>(K254-M254)*F255/F254+SUMIFS(O236:O254,B236:B254,B255-1-d_T)*F255</f>
        <v/>
      </c>
      <c r="L255" s="40">
        <f>IF(B255&gt;=in_marketplace_from,J255*d_hz*G255*in_eligible*H255,0)</f>
        <v/>
      </c>
      <c r="M255" s="40">
        <f>IF(B255&gt;=in_marketplace_from,K255*d_hz*G255*in_eligible*in_approved_repeat,0)</f>
        <v/>
      </c>
      <c r="N255" s="40">
        <f>L255+M255</f>
        <v/>
      </c>
      <c r="O255" s="46">
        <f>N255/F255</f>
        <v/>
      </c>
      <c r="P255" s="40">
        <f>F255-J255-K255</f>
        <v/>
      </c>
      <c r="Q255" s="40">
        <f>IF(B255&gt;=in_marketplace_from,(J255+K255)*d_hz*G255,0)</f>
        <v/>
      </c>
      <c r="R255" s="40">
        <f>SUMIFS(N236:N291,B236:B291,"&gt;="&amp;(B255-d_T),B236:B291,"&lt;="&amp;(B255-1))</f>
        <v/>
      </c>
      <c r="S255" s="46">
        <f>(1-d_u)*S254+IF(d_T&gt;in_topup_lag,SUMIFS(O236:O291,B236:B291,B255-in_topup_lag)-d_udrop*SUMIFS(O236:O291,B236:B291,B255-d_T),0)</f>
        <v/>
      </c>
      <c r="T255" s="40">
        <f>F255*d_u*S255</f>
        <v/>
      </c>
      <c r="U255" s="9">
        <f>L255*in_ticket+M255*d_rep_ticket</f>
        <v/>
      </c>
      <c r="V255" s="9">
        <f>U255+T255*d_topup_amt</f>
        <v/>
      </c>
      <c r="W255" s="40">
        <f>N255+T255*d_topup_ratio</f>
        <v/>
      </c>
      <c r="X255" s="40">
        <f>SUMIFS(W236:W291,B236:B291,B255-in_dpd_lag)*d_cured</f>
        <v/>
      </c>
      <c r="Y255" s="40">
        <f>SUMIFS(W236:W291,B236:B291,B255-in_rec_lag)*d_recd</f>
        <v/>
      </c>
      <c r="Z255" s="40">
        <f>IF(AND(B255&gt;=in_marketplace_from,B255&lt;in_marketplace_from+in_card_months),in_card_share/in_card_months*F255*I255,IF(AND(B255&gt;=in_marketplace_from+in_card_months,B255&lt;in_marketplace_from+2*in_card_months),in_card_share*d_card_rem/in_card_months*F255*MIN(in_takeup_cap,(1+in_takeup_growth)^(D255-1))*MIN(in_takeup_cap,(1+in_approval_growth)^(D255-1)),0))</f>
        <v/>
      </c>
      <c r="AA255" s="14">
        <f>V255*in_fee*(1-in_taken_back)</f>
        <v/>
      </c>
      <c r="AB255" s="14">
        <f>SUMIFS(W236:W291,B236:B291,B255-in_dpd_lag)*d_dpd</f>
        <v/>
      </c>
      <c r="AC255" s="14">
        <f>SUMIFS(W236:W291,B236:B291,B255-in_rec_lag)*d_rec</f>
        <v/>
      </c>
      <c r="AD255" s="14">
        <f>Z255*in_card_fee</f>
        <v/>
      </c>
      <c r="AE255" s="40">
        <f>AE254*(1-IF(B254&gt;=in_marketplace_from,d_hz_hlth_small*G254,0))</f>
        <v/>
      </c>
      <c r="AF255" s="46">
        <f>AE255*IF(B255&gt;=in_marketplace_from,d_hz_hlth_small*G255,0)</f>
        <v/>
      </c>
      <c r="AG255" s="14">
        <f>F255*AF255*in_hlth_small_ticket*in_hlth_small_comm*in_ins_partner_share+F255*in_hlth_small_ticket*in_hlth_small_renew_comm*in_ins_partner_share*(in_hlth_small_renew^1*SUMIFS(AF236:AF291,B236:B291,B255-12)+in_hlth_small_renew^2*SUMIFS(AF236:AF291,B236:B291,B255-24)+in_hlth_small_renew^3*SUMIFS(AF236:AF291,B236:B291,B255-36)+in_hlth_small_renew^4*SUMIFS(AF236:AF291,B236:B291,B255-48))</f>
        <v/>
      </c>
      <c r="AH255" s="40">
        <f>AH254*(1-IF(B254&gt;=in_marketplace_from,d_hz_hlth_family*G254,0))</f>
        <v/>
      </c>
      <c r="AI255" s="46">
        <f>AH255*IF(B255&gt;=in_marketplace_from,d_hz_hlth_family*G255,0)</f>
        <v/>
      </c>
      <c r="AJ255" s="14">
        <f>F255*AI255*in_hlth_family_ticket*in_hlth_family_comm*in_ins_partner_share+F255*in_hlth_family_ticket*in_hlth_family_renew_comm*in_ins_partner_share*(in_hlth_family_renew^1*SUMIFS(AI236:AI291,B236:B291,B255-12)+in_hlth_family_renew^2*SUMIFS(AI236:AI291,B236:B291,B255-24)+in_hlth_family_renew^3*SUMIFS(AI236:AI291,B236:B291,B255-36)+in_hlth_family_renew^4*SUMIFS(AI236:AI291,B236:B291,B255-48))</f>
        <v/>
      </c>
      <c r="AK255" s="40">
        <f>AK254*(1-IF(B254&gt;=in_marketplace_from,d_hz_life_term*G254,0))</f>
        <v/>
      </c>
      <c r="AL255" s="46">
        <f>AK255*IF(B255&gt;=in_marketplace_from,d_hz_life_term*G255,0)</f>
        <v/>
      </c>
      <c r="AM255" s="14">
        <f>F255*AL255*in_life_term_ticket*in_life_term_comm*in_ins_partner_share+F255*in_life_term_ticket*in_life_term_renew_comm*in_ins_partner_share*(in_life_term_renew^1*SUMIFS(AL236:AL291,B236:B291,B255-12)+in_life_term_renew^2*SUMIFS(AL236:AL291,B236:B291,B255-24)+in_life_term_renew^3*SUMIFS(AL236:AL291,B236:B291,B255-36)+in_life_term_renew^4*SUMIFS(AL236:AL291,B236:B291,B255-48))</f>
        <v/>
      </c>
      <c r="AN255" s="40">
        <f>AN254*(1-IF(B254&gt;=in_marketplace_from,d_hz_accident*G254,0))</f>
        <v/>
      </c>
      <c r="AO255" s="46">
        <f>AN255*IF(B255&gt;=in_marketplace_from,d_hz_accident*G255,0)</f>
        <v/>
      </c>
      <c r="AP255" s="14">
        <f>F255*AO255*in_accident_ticket*in_accident_comm*in_ins_partner_share+F255*in_accident_ticket*in_accident_renew_comm*in_ins_partner_share*(in_accident_renew^1*SUMIFS(AO236:AO291,B236:B291,B255-12)+in_accident_renew^2*SUMIFS(AO236:AO291,B236:B291,B255-24)+in_accident_renew^3*SUMIFS(AO236:AO291,B236:B291,B255-36)+in_accident_renew^4*SUMIFS(AO236:AO291,B236:B291,B255-48))</f>
        <v/>
      </c>
      <c r="AQ255" s="40">
        <f>AQ254*(1-IF(B254&gt;=in_marketplace_from,d_hz_two_wheeler*G254,0))</f>
        <v/>
      </c>
      <c r="AR255" s="46">
        <f>AQ255*IF(B255&gt;=in_marketplace_from,d_hz_two_wheeler*G255,0)</f>
        <v/>
      </c>
      <c r="AS255" s="14">
        <f>F255*AR255*in_two_wheeler_ticket*in_two_wheeler_comm*in_ins_partner_share+F255*in_two_wheeler_ticket*in_two_wheeler_comm*in_ins_partner_share*(in_two_wheeler_renew^1*SUMIFS(AR236:AR291,B236:B291,B255-12)+in_two_wheeler_renew^2*SUMIFS(AR236:AR291,B236:B291,B255-24)+in_two_wheeler_renew^3*SUMIFS(AR236:AR291,B236:B291,B255-36)+in_two_wheeler_renew^4*SUMIFS(AR236:AR291,B236:B291,B255-48))</f>
        <v/>
      </c>
      <c r="AT255" s="40">
        <f>AT254*(1-IF(B254&gt;=in_marketplace_from,d_hz_device*G254,0))</f>
        <v/>
      </c>
      <c r="AU255" s="14">
        <f>F255*AT255*IF(B255&gt;=in_marketplace_from,d_hz_device*G255,0)*in_device_ticket*in_device_comm*in_ins_partner_share</f>
        <v/>
      </c>
      <c r="AV255" s="40">
        <f>AV254*(1-IF(B254&gt;=in_marketplace_from,d_hz_shop*G254,0))</f>
        <v/>
      </c>
      <c r="AW255" s="46">
        <f>AV255*IF(B255&gt;=in_marketplace_from,d_hz_shop*G255,0)</f>
        <v/>
      </c>
      <c r="AX255" s="14">
        <f>F255*AW255*in_shop_ticket*in_shop_comm*in_ins_partner_share+F255*in_shop_ticket*in_shop_renew_comm*in_ins_partner_share*(in_shop_renew^1*SUMIFS(AW236:AW291,B236:B291,B255-12)+in_shop_renew^2*SUMIFS(AW236:AW291,B236:B291,B255-24)+in_shop_renew^3*SUMIFS(AW236:AW291,B236:B291,B255-36)+in_shop_renew^4*SUMIFS(AW236:AW291,B236:B291,B255-48))</f>
        <v/>
      </c>
      <c r="AY255" s="40">
        <f>AY254*(1-IF(B254&gt;=in_marketplace_from,d_hz_sip*G254,0))</f>
        <v/>
      </c>
      <c r="AZ255" s="40">
        <f>AZ254*d_rho_sip+AY255*IF(B255&gt;=in_marketplace_from,d_hz_sip*G255,0)</f>
        <v/>
      </c>
      <c r="BA255" s="40">
        <f>d_rho_sip*(BA254+AZ254)</f>
        <v/>
      </c>
      <c r="BB255" s="14">
        <f>F255*in_sip_ticket*(BA255+0.5*AZ255)*in_sip_comm/12</f>
        <v/>
      </c>
      <c r="BC255" s="40">
        <f>BC254*(1-IF(B254&gt;=in_marketplace_from,d_hz_choti*G254,0))</f>
        <v/>
      </c>
      <c r="BD255" s="46">
        <f>BC255*IF(B255&gt;=in_marketplace_from,d_hz_choti*G255,0)</f>
        <v/>
      </c>
      <c r="BE255" s="14">
        <f>F255*SUMIFS(BD236:BD291,B236:B291,B255-in_choti_months)*in_choti_renew*in_choti_ticket</f>
        <v/>
      </c>
      <c r="BF255" s="40">
        <f>BF254*(1-IF(B254&gt;=in_marketplace_from,d_hz_nps*G254,0))</f>
        <v/>
      </c>
      <c r="BG255" s="14">
        <f>F255*BF255*IF(B255&gt;=in_marketplace_from,d_hz_nps*G255,0)*in_nps_ticket*in_nps_comm</f>
        <v/>
      </c>
      <c r="BH255" s="40">
        <f>BH254*(1-IF(B254&gt;=in_marketplace_from,d_hz_gold*G254,0))</f>
        <v/>
      </c>
      <c r="BI255" s="40">
        <f>BI254*d_rho_gold+BH255*IF(B255&gt;=in_marketplace_from,d_hz_gold*G255,0)</f>
        <v/>
      </c>
      <c r="BJ255" s="14">
        <f>F255*BI255*in_gold_ticket*in_gold_comm</f>
        <v/>
      </c>
      <c r="BK255" s="40">
        <f>BK254*(1-IF(B254&gt;=in_marketplace_from,d_hz_fd*G254,0))</f>
        <v/>
      </c>
      <c r="BL255" s="14">
        <f>F255*BK255*IF(B255&gt;=in_marketplace_from,d_hz_fd*G255,0)*in_fd_ticket*in_fd_comm</f>
        <v/>
      </c>
      <c r="BM255" s="40">
        <f>BM254*(1-IF(B254&gt;=in_marketplace_from,d_hz_recharge*G254,0))</f>
        <v/>
      </c>
      <c r="BN255" s="40">
        <f>BN254*d_rho_recharge+BM255*IF(B255&gt;=in_marketplace_from,d_hz_recharge*G255,0)</f>
        <v/>
      </c>
      <c r="BO255" s="14">
        <f>F255*BN255*in_recharge_ticket*in_recharge_comm/12</f>
        <v/>
      </c>
      <c r="BP255" s="40">
        <f>BP254*(1-IF(B254&gt;=in_marketplace_from,d_hz_bills*G254,0))</f>
        <v/>
      </c>
      <c r="BQ255" s="40">
        <f>BQ254*d_rho_bills+BP255*IF(B255&gt;=in_marketplace_from,d_hz_bills*G255,0)</f>
        <v/>
      </c>
      <c r="BR255" s="14">
        <f>F255*BQ255*in_bills_ticket*in_bills_comm/12</f>
        <v/>
      </c>
      <c r="BS255" s="40">
        <f>BS254*(1-IF(B254&gt;=in_marketplace_from,d_hz_loan_gold*G254,0))</f>
        <v/>
      </c>
      <c r="BT255" s="14">
        <f>F255*BS255*IF(B255&gt;=in_marketplace_from,d_hz_loan_gold*G255,0)*in_loan_gold_ticket*in_loan_gold_comm</f>
        <v/>
      </c>
      <c r="BU255" s="40">
        <f>BU254*(1-IF(B254&gt;=in_marketplace_from,d_hz_loan_cd*G254,0))</f>
        <v/>
      </c>
      <c r="BV255" s="14">
        <f>F255*BU255*IF(B255&gt;=in_marketplace_from,d_hz_loan_cd*G255,0)*in_loan_cd_ticket*in_loan_cd_comm</f>
        <v/>
      </c>
      <c r="BW255" s="40">
        <f>BW254*(1-IF(B254&gt;=in_marketplace_from,d_hz_loan_vehicle*G254,0))</f>
        <v/>
      </c>
      <c r="BX255" s="14">
        <f>F255*BW255*IF(B255&gt;=in_marketplace_from,d_hz_loan_vehicle*G255,0)*in_loan_vehicle_ticket*in_loan_vehicle_comm</f>
        <v/>
      </c>
      <c r="BY255" s="40">
        <f>BY254*(1-IF(B254&gt;=in_marketplace_from,d_hz_loan_home*G254,0)*BZ254)</f>
        <v/>
      </c>
      <c r="BZ255" s="11">
        <f>MIN(in_approval_cap,in_loan_home_approval*INDEX('Age profile'!$O$2:$O$61,B255)*(1+in_approval_growth)^(D255-1))</f>
        <v/>
      </c>
      <c r="CA255" s="14">
        <f>F255*BY255*IF(B255&gt;=in_marketplace_from,d_hz_loan_home*G255,0)*BZ255*in_loan_home_ticket*in_loan_home_comm</f>
        <v/>
      </c>
      <c r="CB255" s="40">
        <f>CB254*(1-IF(B254&gt;=in_marketplace_from,d_hz_loan_lap*G254,0)*CC254)</f>
        <v/>
      </c>
      <c r="CC255" s="11">
        <f>MIN(in_approval_cap,in_loan_lap_approval*INDEX('Age profile'!$O$2:$O$61,B255)*(1+in_approval_growth)^(D255-1))</f>
        <v/>
      </c>
      <c r="CD255" s="14">
        <f>F255*CB255*IF(B255&gt;=in_marketplace_from,d_hz_loan_lap*G255,0)*CC255*in_loan_lap_ticket*in_loan_lap_comm</f>
        <v/>
      </c>
      <c r="CE255" s="14">
        <f>AA255+AB255+AC255+AD255+AG255+AJ255+AM255+AP255+AS255+AU255+AX255+BB255+BE255+BG255+BJ255+BL255+BO255+BR255+BT255+BV255+BX255+CA255+CD255</f>
        <v/>
      </c>
    </row>
    <row r="256">
      <c r="A256" s="39" t="n">
        <v>5</v>
      </c>
      <c r="B256" s="39" t="n">
        <v>21</v>
      </c>
      <c r="C256" s="39">
        <f>A256+B256-1</f>
        <v/>
      </c>
      <c r="D256" s="39">
        <f>INT((C256-1)/12)+1</f>
        <v/>
      </c>
      <c r="E256" s="44">
        <f>INDEX(Monthly!$B$2:$B$61,A256)</f>
        <v/>
      </c>
      <c r="F256" s="44">
        <f>E256*INDEX('Age profile'!$B$2:$B$61,B256)</f>
        <v/>
      </c>
      <c r="G256" s="45">
        <f>MIN(in_takeup_cap,INDEX('Age profile'!$N$2:$N$61,B256)*(1+in_takeup_growth)^(D256-1))</f>
        <v/>
      </c>
      <c r="H256" s="11">
        <f>MIN(in_approval_cap,in_approved_first*INDEX('Age profile'!$O$2:$O$61,B256)*(1+in_approval_growth)^(D256-1))</f>
        <v/>
      </c>
      <c r="I256" s="45">
        <f>G256*MIN(in_takeup_cap,INDEX('Age profile'!$O$2:$O$61,B256)*(1+in_approval_growth)^(D256-1))</f>
        <v/>
      </c>
      <c r="J256" s="40">
        <f>(J255-L255)*F256/F255</f>
        <v/>
      </c>
      <c r="K256" s="40">
        <f>(K255-M255)*F256/F255+SUMIFS(O236:O255,B236:B255,B256-1-d_T)*F256</f>
        <v/>
      </c>
      <c r="L256" s="40">
        <f>IF(B256&gt;=in_marketplace_from,J256*d_hz*G256*in_eligible*H256,0)</f>
        <v/>
      </c>
      <c r="M256" s="40">
        <f>IF(B256&gt;=in_marketplace_from,K256*d_hz*G256*in_eligible*in_approved_repeat,0)</f>
        <v/>
      </c>
      <c r="N256" s="40">
        <f>L256+M256</f>
        <v/>
      </c>
      <c r="O256" s="46">
        <f>N256/F256</f>
        <v/>
      </c>
      <c r="P256" s="40">
        <f>F256-J256-K256</f>
        <v/>
      </c>
      <c r="Q256" s="40">
        <f>IF(B256&gt;=in_marketplace_from,(J256+K256)*d_hz*G256,0)</f>
        <v/>
      </c>
      <c r="R256" s="40">
        <f>SUMIFS(N236:N291,B236:B291,"&gt;="&amp;(B256-d_T),B236:B291,"&lt;="&amp;(B256-1))</f>
        <v/>
      </c>
      <c r="S256" s="46">
        <f>(1-d_u)*S255+IF(d_T&gt;in_topup_lag,SUMIFS(O236:O291,B236:B291,B256-in_topup_lag)-d_udrop*SUMIFS(O236:O291,B236:B291,B256-d_T),0)</f>
        <v/>
      </c>
      <c r="T256" s="40">
        <f>F256*d_u*S256</f>
        <v/>
      </c>
      <c r="U256" s="9">
        <f>L256*in_ticket+M256*d_rep_ticket</f>
        <v/>
      </c>
      <c r="V256" s="9">
        <f>U256+T256*d_topup_amt</f>
        <v/>
      </c>
      <c r="W256" s="40">
        <f>N256+T256*d_topup_ratio</f>
        <v/>
      </c>
      <c r="X256" s="40">
        <f>SUMIFS(W236:W291,B236:B291,B256-in_dpd_lag)*d_cured</f>
        <v/>
      </c>
      <c r="Y256" s="40">
        <f>SUMIFS(W236:W291,B236:B291,B256-in_rec_lag)*d_recd</f>
        <v/>
      </c>
      <c r="Z256" s="40">
        <f>IF(AND(B256&gt;=in_marketplace_from,B256&lt;in_marketplace_from+in_card_months),in_card_share/in_card_months*F256*I256,IF(AND(B256&gt;=in_marketplace_from+in_card_months,B256&lt;in_marketplace_from+2*in_card_months),in_card_share*d_card_rem/in_card_months*F256*MIN(in_takeup_cap,(1+in_takeup_growth)^(D256-1))*MIN(in_takeup_cap,(1+in_approval_growth)^(D256-1)),0))</f>
        <v/>
      </c>
      <c r="AA256" s="14">
        <f>V256*in_fee*(1-in_taken_back)</f>
        <v/>
      </c>
      <c r="AB256" s="14">
        <f>SUMIFS(W236:W291,B236:B291,B256-in_dpd_lag)*d_dpd</f>
        <v/>
      </c>
      <c r="AC256" s="14">
        <f>SUMIFS(W236:W291,B236:B291,B256-in_rec_lag)*d_rec</f>
        <v/>
      </c>
      <c r="AD256" s="14">
        <f>Z256*in_card_fee</f>
        <v/>
      </c>
      <c r="AE256" s="40">
        <f>AE255*(1-IF(B255&gt;=in_marketplace_from,d_hz_hlth_small*G255,0))</f>
        <v/>
      </c>
      <c r="AF256" s="46">
        <f>AE256*IF(B256&gt;=in_marketplace_from,d_hz_hlth_small*G256,0)</f>
        <v/>
      </c>
      <c r="AG256" s="14">
        <f>F256*AF256*in_hlth_small_ticket*in_hlth_small_comm*in_ins_partner_share+F256*in_hlth_small_ticket*in_hlth_small_renew_comm*in_ins_partner_share*(in_hlth_small_renew^1*SUMIFS(AF236:AF291,B236:B291,B256-12)+in_hlth_small_renew^2*SUMIFS(AF236:AF291,B236:B291,B256-24)+in_hlth_small_renew^3*SUMIFS(AF236:AF291,B236:B291,B256-36)+in_hlth_small_renew^4*SUMIFS(AF236:AF291,B236:B291,B256-48))</f>
        <v/>
      </c>
      <c r="AH256" s="40">
        <f>AH255*(1-IF(B255&gt;=in_marketplace_from,d_hz_hlth_family*G255,0))</f>
        <v/>
      </c>
      <c r="AI256" s="46">
        <f>AH256*IF(B256&gt;=in_marketplace_from,d_hz_hlth_family*G256,0)</f>
        <v/>
      </c>
      <c r="AJ256" s="14">
        <f>F256*AI256*in_hlth_family_ticket*in_hlth_family_comm*in_ins_partner_share+F256*in_hlth_family_ticket*in_hlth_family_renew_comm*in_ins_partner_share*(in_hlth_family_renew^1*SUMIFS(AI236:AI291,B236:B291,B256-12)+in_hlth_family_renew^2*SUMIFS(AI236:AI291,B236:B291,B256-24)+in_hlth_family_renew^3*SUMIFS(AI236:AI291,B236:B291,B256-36)+in_hlth_family_renew^4*SUMIFS(AI236:AI291,B236:B291,B256-48))</f>
        <v/>
      </c>
      <c r="AK256" s="40">
        <f>AK255*(1-IF(B255&gt;=in_marketplace_from,d_hz_life_term*G255,0))</f>
        <v/>
      </c>
      <c r="AL256" s="46">
        <f>AK256*IF(B256&gt;=in_marketplace_from,d_hz_life_term*G256,0)</f>
        <v/>
      </c>
      <c r="AM256" s="14">
        <f>F256*AL256*in_life_term_ticket*in_life_term_comm*in_ins_partner_share+F256*in_life_term_ticket*in_life_term_renew_comm*in_ins_partner_share*(in_life_term_renew^1*SUMIFS(AL236:AL291,B236:B291,B256-12)+in_life_term_renew^2*SUMIFS(AL236:AL291,B236:B291,B256-24)+in_life_term_renew^3*SUMIFS(AL236:AL291,B236:B291,B256-36)+in_life_term_renew^4*SUMIFS(AL236:AL291,B236:B291,B256-48))</f>
        <v/>
      </c>
      <c r="AN256" s="40">
        <f>AN255*(1-IF(B255&gt;=in_marketplace_from,d_hz_accident*G255,0))</f>
        <v/>
      </c>
      <c r="AO256" s="46">
        <f>AN256*IF(B256&gt;=in_marketplace_from,d_hz_accident*G256,0)</f>
        <v/>
      </c>
      <c r="AP256" s="14">
        <f>F256*AO256*in_accident_ticket*in_accident_comm*in_ins_partner_share+F256*in_accident_ticket*in_accident_renew_comm*in_ins_partner_share*(in_accident_renew^1*SUMIFS(AO236:AO291,B236:B291,B256-12)+in_accident_renew^2*SUMIFS(AO236:AO291,B236:B291,B256-24)+in_accident_renew^3*SUMIFS(AO236:AO291,B236:B291,B256-36)+in_accident_renew^4*SUMIFS(AO236:AO291,B236:B291,B256-48))</f>
        <v/>
      </c>
      <c r="AQ256" s="40">
        <f>AQ255*(1-IF(B255&gt;=in_marketplace_from,d_hz_two_wheeler*G255,0))</f>
        <v/>
      </c>
      <c r="AR256" s="46">
        <f>AQ256*IF(B256&gt;=in_marketplace_from,d_hz_two_wheeler*G256,0)</f>
        <v/>
      </c>
      <c r="AS256" s="14">
        <f>F256*AR256*in_two_wheeler_ticket*in_two_wheeler_comm*in_ins_partner_share+F256*in_two_wheeler_ticket*in_two_wheeler_comm*in_ins_partner_share*(in_two_wheeler_renew^1*SUMIFS(AR236:AR291,B236:B291,B256-12)+in_two_wheeler_renew^2*SUMIFS(AR236:AR291,B236:B291,B256-24)+in_two_wheeler_renew^3*SUMIFS(AR236:AR291,B236:B291,B256-36)+in_two_wheeler_renew^4*SUMIFS(AR236:AR291,B236:B291,B256-48))</f>
        <v/>
      </c>
      <c r="AT256" s="40">
        <f>AT255*(1-IF(B255&gt;=in_marketplace_from,d_hz_device*G255,0))</f>
        <v/>
      </c>
      <c r="AU256" s="14">
        <f>F256*AT256*IF(B256&gt;=in_marketplace_from,d_hz_device*G256,0)*in_device_ticket*in_device_comm*in_ins_partner_share</f>
        <v/>
      </c>
      <c r="AV256" s="40">
        <f>AV255*(1-IF(B255&gt;=in_marketplace_from,d_hz_shop*G255,0))</f>
        <v/>
      </c>
      <c r="AW256" s="46">
        <f>AV256*IF(B256&gt;=in_marketplace_from,d_hz_shop*G256,0)</f>
        <v/>
      </c>
      <c r="AX256" s="14">
        <f>F256*AW256*in_shop_ticket*in_shop_comm*in_ins_partner_share+F256*in_shop_ticket*in_shop_renew_comm*in_ins_partner_share*(in_shop_renew^1*SUMIFS(AW236:AW291,B236:B291,B256-12)+in_shop_renew^2*SUMIFS(AW236:AW291,B236:B291,B256-24)+in_shop_renew^3*SUMIFS(AW236:AW291,B236:B291,B256-36)+in_shop_renew^4*SUMIFS(AW236:AW291,B236:B291,B256-48))</f>
        <v/>
      </c>
      <c r="AY256" s="40">
        <f>AY255*(1-IF(B255&gt;=in_marketplace_from,d_hz_sip*G255,0))</f>
        <v/>
      </c>
      <c r="AZ256" s="40">
        <f>AZ255*d_rho_sip+AY256*IF(B256&gt;=in_marketplace_from,d_hz_sip*G256,0)</f>
        <v/>
      </c>
      <c r="BA256" s="40">
        <f>d_rho_sip*(BA255+AZ255)</f>
        <v/>
      </c>
      <c r="BB256" s="14">
        <f>F256*in_sip_ticket*(BA256+0.5*AZ256)*in_sip_comm/12</f>
        <v/>
      </c>
      <c r="BC256" s="40">
        <f>BC255*(1-IF(B255&gt;=in_marketplace_from,d_hz_choti*G255,0))</f>
        <v/>
      </c>
      <c r="BD256" s="46">
        <f>BC256*IF(B256&gt;=in_marketplace_from,d_hz_choti*G256,0)</f>
        <v/>
      </c>
      <c r="BE256" s="14">
        <f>F256*SUMIFS(BD236:BD291,B236:B291,B256-in_choti_months)*in_choti_renew*in_choti_ticket</f>
        <v/>
      </c>
      <c r="BF256" s="40">
        <f>BF255*(1-IF(B255&gt;=in_marketplace_from,d_hz_nps*G255,0))</f>
        <v/>
      </c>
      <c r="BG256" s="14">
        <f>F256*BF256*IF(B256&gt;=in_marketplace_from,d_hz_nps*G256,0)*in_nps_ticket*in_nps_comm</f>
        <v/>
      </c>
      <c r="BH256" s="40">
        <f>BH255*(1-IF(B255&gt;=in_marketplace_from,d_hz_gold*G255,0))</f>
        <v/>
      </c>
      <c r="BI256" s="40">
        <f>BI255*d_rho_gold+BH256*IF(B256&gt;=in_marketplace_from,d_hz_gold*G256,0)</f>
        <v/>
      </c>
      <c r="BJ256" s="14">
        <f>F256*BI256*in_gold_ticket*in_gold_comm</f>
        <v/>
      </c>
      <c r="BK256" s="40">
        <f>BK255*(1-IF(B255&gt;=in_marketplace_from,d_hz_fd*G255,0))</f>
        <v/>
      </c>
      <c r="BL256" s="14">
        <f>F256*BK256*IF(B256&gt;=in_marketplace_from,d_hz_fd*G256,0)*in_fd_ticket*in_fd_comm</f>
        <v/>
      </c>
      <c r="BM256" s="40">
        <f>BM255*(1-IF(B255&gt;=in_marketplace_from,d_hz_recharge*G255,0))</f>
        <v/>
      </c>
      <c r="BN256" s="40">
        <f>BN255*d_rho_recharge+BM256*IF(B256&gt;=in_marketplace_from,d_hz_recharge*G256,0)</f>
        <v/>
      </c>
      <c r="BO256" s="14">
        <f>F256*BN256*in_recharge_ticket*in_recharge_comm/12</f>
        <v/>
      </c>
      <c r="BP256" s="40">
        <f>BP255*(1-IF(B255&gt;=in_marketplace_from,d_hz_bills*G255,0))</f>
        <v/>
      </c>
      <c r="BQ256" s="40">
        <f>BQ255*d_rho_bills+BP256*IF(B256&gt;=in_marketplace_from,d_hz_bills*G256,0)</f>
        <v/>
      </c>
      <c r="BR256" s="14">
        <f>F256*BQ256*in_bills_ticket*in_bills_comm/12</f>
        <v/>
      </c>
      <c r="BS256" s="40">
        <f>BS255*(1-IF(B255&gt;=in_marketplace_from,d_hz_loan_gold*G255,0))</f>
        <v/>
      </c>
      <c r="BT256" s="14">
        <f>F256*BS256*IF(B256&gt;=in_marketplace_from,d_hz_loan_gold*G256,0)*in_loan_gold_ticket*in_loan_gold_comm</f>
        <v/>
      </c>
      <c r="BU256" s="40">
        <f>BU255*(1-IF(B255&gt;=in_marketplace_from,d_hz_loan_cd*G255,0))</f>
        <v/>
      </c>
      <c r="BV256" s="14">
        <f>F256*BU256*IF(B256&gt;=in_marketplace_from,d_hz_loan_cd*G256,0)*in_loan_cd_ticket*in_loan_cd_comm</f>
        <v/>
      </c>
      <c r="BW256" s="40">
        <f>BW255*(1-IF(B255&gt;=in_marketplace_from,d_hz_loan_vehicle*G255,0))</f>
        <v/>
      </c>
      <c r="BX256" s="14">
        <f>F256*BW256*IF(B256&gt;=in_marketplace_from,d_hz_loan_vehicle*G256,0)*in_loan_vehicle_ticket*in_loan_vehicle_comm</f>
        <v/>
      </c>
      <c r="BY256" s="40">
        <f>BY255*(1-IF(B255&gt;=in_marketplace_from,d_hz_loan_home*G255,0)*BZ255)</f>
        <v/>
      </c>
      <c r="BZ256" s="11">
        <f>MIN(in_approval_cap,in_loan_home_approval*INDEX('Age profile'!$O$2:$O$61,B256)*(1+in_approval_growth)^(D256-1))</f>
        <v/>
      </c>
      <c r="CA256" s="14">
        <f>F256*BY256*IF(B256&gt;=in_marketplace_from,d_hz_loan_home*G256,0)*BZ256*in_loan_home_ticket*in_loan_home_comm</f>
        <v/>
      </c>
      <c r="CB256" s="40">
        <f>CB255*(1-IF(B255&gt;=in_marketplace_from,d_hz_loan_lap*G255,0)*CC255)</f>
        <v/>
      </c>
      <c r="CC256" s="11">
        <f>MIN(in_approval_cap,in_loan_lap_approval*INDEX('Age profile'!$O$2:$O$61,B256)*(1+in_approval_growth)^(D256-1))</f>
        <v/>
      </c>
      <c r="CD256" s="14">
        <f>F256*CB256*IF(B256&gt;=in_marketplace_from,d_hz_loan_lap*G256,0)*CC256*in_loan_lap_ticket*in_loan_lap_comm</f>
        <v/>
      </c>
      <c r="CE256" s="14">
        <f>AA256+AB256+AC256+AD256+AG256+AJ256+AM256+AP256+AS256+AU256+AX256+BB256+BE256+BG256+BJ256+BL256+BO256+BR256+BT256+BV256+BX256+CA256+CD256</f>
        <v/>
      </c>
    </row>
    <row r="257">
      <c r="A257" s="39" t="n">
        <v>5</v>
      </c>
      <c r="B257" s="39" t="n">
        <v>22</v>
      </c>
      <c r="C257" s="39">
        <f>A257+B257-1</f>
        <v/>
      </c>
      <c r="D257" s="39">
        <f>INT((C257-1)/12)+1</f>
        <v/>
      </c>
      <c r="E257" s="44">
        <f>INDEX(Monthly!$B$2:$B$61,A257)</f>
        <v/>
      </c>
      <c r="F257" s="44">
        <f>E257*INDEX('Age profile'!$B$2:$B$61,B257)</f>
        <v/>
      </c>
      <c r="G257" s="45">
        <f>MIN(in_takeup_cap,INDEX('Age profile'!$N$2:$N$61,B257)*(1+in_takeup_growth)^(D257-1))</f>
        <v/>
      </c>
      <c r="H257" s="11">
        <f>MIN(in_approval_cap,in_approved_first*INDEX('Age profile'!$O$2:$O$61,B257)*(1+in_approval_growth)^(D257-1))</f>
        <v/>
      </c>
      <c r="I257" s="45">
        <f>G257*MIN(in_takeup_cap,INDEX('Age profile'!$O$2:$O$61,B257)*(1+in_approval_growth)^(D257-1))</f>
        <v/>
      </c>
      <c r="J257" s="40">
        <f>(J256-L256)*F257/F256</f>
        <v/>
      </c>
      <c r="K257" s="40">
        <f>(K256-M256)*F257/F256+SUMIFS(O236:O256,B236:B256,B257-1-d_T)*F257</f>
        <v/>
      </c>
      <c r="L257" s="40">
        <f>IF(B257&gt;=in_marketplace_from,J257*d_hz*G257*in_eligible*H257,0)</f>
        <v/>
      </c>
      <c r="M257" s="40">
        <f>IF(B257&gt;=in_marketplace_from,K257*d_hz*G257*in_eligible*in_approved_repeat,0)</f>
        <v/>
      </c>
      <c r="N257" s="40">
        <f>L257+M257</f>
        <v/>
      </c>
      <c r="O257" s="46">
        <f>N257/F257</f>
        <v/>
      </c>
      <c r="P257" s="40">
        <f>F257-J257-K257</f>
        <v/>
      </c>
      <c r="Q257" s="40">
        <f>IF(B257&gt;=in_marketplace_from,(J257+K257)*d_hz*G257,0)</f>
        <v/>
      </c>
      <c r="R257" s="40">
        <f>SUMIFS(N236:N291,B236:B291,"&gt;="&amp;(B257-d_T),B236:B291,"&lt;="&amp;(B257-1))</f>
        <v/>
      </c>
      <c r="S257" s="46">
        <f>(1-d_u)*S256+IF(d_T&gt;in_topup_lag,SUMIFS(O236:O291,B236:B291,B257-in_topup_lag)-d_udrop*SUMIFS(O236:O291,B236:B291,B257-d_T),0)</f>
        <v/>
      </c>
      <c r="T257" s="40">
        <f>F257*d_u*S257</f>
        <v/>
      </c>
      <c r="U257" s="9">
        <f>L257*in_ticket+M257*d_rep_ticket</f>
        <v/>
      </c>
      <c r="V257" s="9">
        <f>U257+T257*d_topup_amt</f>
        <v/>
      </c>
      <c r="W257" s="40">
        <f>N257+T257*d_topup_ratio</f>
        <v/>
      </c>
      <c r="X257" s="40">
        <f>SUMIFS(W236:W291,B236:B291,B257-in_dpd_lag)*d_cured</f>
        <v/>
      </c>
      <c r="Y257" s="40">
        <f>SUMIFS(W236:W291,B236:B291,B257-in_rec_lag)*d_recd</f>
        <v/>
      </c>
      <c r="Z257" s="40">
        <f>IF(AND(B257&gt;=in_marketplace_from,B257&lt;in_marketplace_from+in_card_months),in_card_share/in_card_months*F257*I257,IF(AND(B257&gt;=in_marketplace_from+in_card_months,B257&lt;in_marketplace_from+2*in_card_months),in_card_share*d_card_rem/in_card_months*F257*MIN(in_takeup_cap,(1+in_takeup_growth)^(D257-1))*MIN(in_takeup_cap,(1+in_approval_growth)^(D257-1)),0))</f>
        <v/>
      </c>
      <c r="AA257" s="14">
        <f>V257*in_fee*(1-in_taken_back)</f>
        <v/>
      </c>
      <c r="AB257" s="14">
        <f>SUMIFS(W236:W291,B236:B291,B257-in_dpd_lag)*d_dpd</f>
        <v/>
      </c>
      <c r="AC257" s="14">
        <f>SUMIFS(W236:W291,B236:B291,B257-in_rec_lag)*d_rec</f>
        <v/>
      </c>
      <c r="AD257" s="14">
        <f>Z257*in_card_fee</f>
        <v/>
      </c>
      <c r="AE257" s="40">
        <f>AE256*(1-IF(B256&gt;=in_marketplace_from,d_hz_hlth_small*G256,0))</f>
        <v/>
      </c>
      <c r="AF257" s="46">
        <f>AE257*IF(B257&gt;=in_marketplace_from,d_hz_hlth_small*G257,0)</f>
        <v/>
      </c>
      <c r="AG257" s="14">
        <f>F257*AF257*in_hlth_small_ticket*in_hlth_small_comm*in_ins_partner_share+F257*in_hlth_small_ticket*in_hlth_small_renew_comm*in_ins_partner_share*(in_hlth_small_renew^1*SUMIFS(AF236:AF291,B236:B291,B257-12)+in_hlth_small_renew^2*SUMIFS(AF236:AF291,B236:B291,B257-24)+in_hlth_small_renew^3*SUMIFS(AF236:AF291,B236:B291,B257-36)+in_hlth_small_renew^4*SUMIFS(AF236:AF291,B236:B291,B257-48))</f>
        <v/>
      </c>
      <c r="AH257" s="40">
        <f>AH256*(1-IF(B256&gt;=in_marketplace_from,d_hz_hlth_family*G256,0))</f>
        <v/>
      </c>
      <c r="AI257" s="46">
        <f>AH257*IF(B257&gt;=in_marketplace_from,d_hz_hlth_family*G257,0)</f>
        <v/>
      </c>
      <c r="AJ257" s="14">
        <f>F257*AI257*in_hlth_family_ticket*in_hlth_family_comm*in_ins_partner_share+F257*in_hlth_family_ticket*in_hlth_family_renew_comm*in_ins_partner_share*(in_hlth_family_renew^1*SUMIFS(AI236:AI291,B236:B291,B257-12)+in_hlth_family_renew^2*SUMIFS(AI236:AI291,B236:B291,B257-24)+in_hlth_family_renew^3*SUMIFS(AI236:AI291,B236:B291,B257-36)+in_hlth_family_renew^4*SUMIFS(AI236:AI291,B236:B291,B257-48))</f>
        <v/>
      </c>
      <c r="AK257" s="40">
        <f>AK256*(1-IF(B256&gt;=in_marketplace_from,d_hz_life_term*G256,0))</f>
        <v/>
      </c>
      <c r="AL257" s="46">
        <f>AK257*IF(B257&gt;=in_marketplace_from,d_hz_life_term*G257,0)</f>
        <v/>
      </c>
      <c r="AM257" s="14">
        <f>F257*AL257*in_life_term_ticket*in_life_term_comm*in_ins_partner_share+F257*in_life_term_ticket*in_life_term_renew_comm*in_ins_partner_share*(in_life_term_renew^1*SUMIFS(AL236:AL291,B236:B291,B257-12)+in_life_term_renew^2*SUMIFS(AL236:AL291,B236:B291,B257-24)+in_life_term_renew^3*SUMIFS(AL236:AL291,B236:B291,B257-36)+in_life_term_renew^4*SUMIFS(AL236:AL291,B236:B291,B257-48))</f>
        <v/>
      </c>
      <c r="AN257" s="40">
        <f>AN256*(1-IF(B256&gt;=in_marketplace_from,d_hz_accident*G256,0))</f>
        <v/>
      </c>
      <c r="AO257" s="46">
        <f>AN257*IF(B257&gt;=in_marketplace_from,d_hz_accident*G257,0)</f>
        <v/>
      </c>
      <c r="AP257" s="14">
        <f>F257*AO257*in_accident_ticket*in_accident_comm*in_ins_partner_share+F257*in_accident_ticket*in_accident_renew_comm*in_ins_partner_share*(in_accident_renew^1*SUMIFS(AO236:AO291,B236:B291,B257-12)+in_accident_renew^2*SUMIFS(AO236:AO291,B236:B291,B257-24)+in_accident_renew^3*SUMIFS(AO236:AO291,B236:B291,B257-36)+in_accident_renew^4*SUMIFS(AO236:AO291,B236:B291,B257-48))</f>
        <v/>
      </c>
      <c r="AQ257" s="40">
        <f>AQ256*(1-IF(B256&gt;=in_marketplace_from,d_hz_two_wheeler*G256,0))</f>
        <v/>
      </c>
      <c r="AR257" s="46">
        <f>AQ257*IF(B257&gt;=in_marketplace_from,d_hz_two_wheeler*G257,0)</f>
        <v/>
      </c>
      <c r="AS257" s="14">
        <f>F257*AR257*in_two_wheeler_ticket*in_two_wheeler_comm*in_ins_partner_share+F257*in_two_wheeler_ticket*in_two_wheeler_comm*in_ins_partner_share*(in_two_wheeler_renew^1*SUMIFS(AR236:AR291,B236:B291,B257-12)+in_two_wheeler_renew^2*SUMIFS(AR236:AR291,B236:B291,B257-24)+in_two_wheeler_renew^3*SUMIFS(AR236:AR291,B236:B291,B257-36)+in_two_wheeler_renew^4*SUMIFS(AR236:AR291,B236:B291,B257-48))</f>
        <v/>
      </c>
      <c r="AT257" s="40">
        <f>AT256*(1-IF(B256&gt;=in_marketplace_from,d_hz_device*G256,0))</f>
        <v/>
      </c>
      <c r="AU257" s="14">
        <f>F257*AT257*IF(B257&gt;=in_marketplace_from,d_hz_device*G257,0)*in_device_ticket*in_device_comm*in_ins_partner_share</f>
        <v/>
      </c>
      <c r="AV257" s="40">
        <f>AV256*(1-IF(B256&gt;=in_marketplace_from,d_hz_shop*G256,0))</f>
        <v/>
      </c>
      <c r="AW257" s="46">
        <f>AV257*IF(B257&gt;=in_marketplace_from,d_hz_shop*G257,0)</f>
        <v/>
      </c>
      <c r="AX257" s="14">
        <f>F257*AW257*in_shop_ticket*in_shop_comm*in_ins_partner_share+F257*in_shop_ticket*in_shop_renew_comm*in_ins_partner_share*(in_shop_renew^1*SUMIFS(AW236:AW291,B236:B291,B257-12)+in_shop_renew^2*SUMIFS(AW236:AW291,B236:B291,B257-24)+in_shop_renew^3*SUMIFS(AW236:AW291,B236:B291,B257-36)+in_shop_renew^4*SUMIFS(AW236:AW291,B236:B291,B257-48))</f>
        <v/>
      </c>
      <c r="AY257" s="40">
        <f>AY256*(1-IF(B256&gt;=in_marketplace_from,d_hz_sip*G256,0))</f>
        <v/>
      </c>
      <c r="AZ257" s="40">
        <f>AZ256*d_rho_sip+AY257*IF(B257&gt;=in_marketplace_from,d_hz_sip*G257,0)</f>
        <v/>
      </c>
      <c r="BA257" s="40">
        <f>d_rho_sip*(BA256+AZ256)</f>
        <v/>
      </c>
      <c r="BB257" s="14">
        <f>F257*in_sip_ticket*(BA257+0.5*AZ257)*in_sip_comm/12</f>
        <v/>
      </c>
      <c r="BC257" s="40">
        <f>BC256*(1-IF(B256&gt;=in_marketplace_from,d_hz_choti*G256,0))</f>
        <v/>
      </c>
      <c r="BD257" s="46">
        <f>BC257*IF(B257&gt;=in_marketplace_from,d_hz_choti*G257,0)</f>
        <v/>
      </c>
      <c r="BE257" s="14">
        <f>F257*SUMIFS(BD236:BD291,B236:B291,B257-in_choti_months)*in_choti_renew*in_choti_ticket</f>
        <v/>
      </c>
      <c r="BF257" s="40">
        <f>BF256*(1-IF(B256&gt;=in_marketplace_from,d_hz_nps*G256,0))</f>
        <v/>
      </c>
      <c r="BG257" s="14">
        <f>F257*BF257*IF(B257&gt;=in_marketplace_from,d_hz_nps*G257,0)*in_nps_ticket*in_nps_comm</f>
        <v/>
      </c>
      <c r="BH257" s="40">
        <f>BH256*(1-IF(B256&gt;=in_marketplace_from,d_hz_gold*G256,0))</f>
        <v/>
      </c>
      <c r="BI257" s="40">
        <f>BI256*d_rho_gold+BH257*IF(B257&gt;=in_marketplace_from,d_hz_gold*G257,0)</f>
        <v/>
      </c>
      <c r="BJ257" s="14">
        <f>F257*BI257*in_gold_ticket*in_gold_comm</f>
        <v/>
      </c>
      <c r="BK257" s="40">
        <f>BK256*(1-IF(B256&gt;=in_marketplace_from,d_hz_fd*G256,0))</f>
        <v/>
      </c>
      <c r="BL257" s="14">
        <f>F257*BK257*IF(B257&gt;=in_marketplace_from,d_hz_fd*G257,0)*in_fd_ticket*in_fd_comm</f>
        <v/>
      </c>
      <c r="BM257" s="40">
        <f>BM256*(1-IF(B256&gt;=in_marketplace_from,d_hz_recharge*G256,0))</f>
        <v/>
      </c>
      <c r="BN257" s="40">
        <f>BN256*d_rho_recharge+BM257*IF(B257&gt;=in_marketplace_from,d_hz_recharge*G257,0)</f>
        <v/>
      </c>
      <c r="BO257" s="14">
        <f>F257*BN257*in_recharge_ticket*in_recharge_comm/12</f>
        <v/>
      </c>
      <c r="BP257" s="40">
        <f>BP256*(1-IF(B256&gt;=in_marketplace_from,d_hz_bills*G256,0))</f>
        <v/>
      </c>
      <c r="BQ257" s="40">
        <f>BQ256*d_rho_bills+BP257*IF(B257&gt;=in_marketplace_from,d_hz_bills*G257,0)</f>
        <v/>
      </c>
      <c r="BR257" s="14">
        <f>F257*BQ257*in_bills_ticket*in_bills_comm/12</f>
        <v/>
      </c>
      <c r="BS257" s="40">
        <f>BS256*(1-IF(B256&gt;=in_marketplace_from,d_hz_loan_gold*G256,0))</f>
        <v/>
      </c>
      <c r="BT257" s="14">
        <f>F257*BS257*IF(B257&gt;=in_marketplace_from,d_hz_loan_gold*G257,0)*in_loan_gold_ticket*in_loan_gold_comm</f>
        <v/>
      </c>
      <c r="BU257" s="40">
        <f>BU256*(1-IF(B256&gt;=in_marketplace_from,d_hz_loan_cd*G256,0))</f>
        <v/>
      </c>
      <c r="BV257" s="14">
        <f>F257*BU257*IF(B257&gt;=in_marketplace_from,d_hz_loan_cd*G257,0)*in_loan_cd_ticket*in_loan_cd_comm</f>
        <v/>
      </c>
      <c r="BW257" s="40">
        <f>BW256*(1-IF(B256&gt;=in_marketplace_from,d_hz_loan_vehicle*G256,0))</f>
        <v/>
      </c>
      <c r="BX257" s="14">
        <f>F257*BW257*IF(B257&gt;=in_marketplace_from,d_hz_loan_vehicle*G257,0)*in_loan_vehicle_ticket*in_loan_vehicle_comm</f>
        <v/>
      </c>
      <c r="BY257" s="40">
        <f>BY256*(1-IF(B256&gt;=in_marketplace_from,d_hz_loan_home*G256,0)*BZ256)</f>
        <v/>
      </c>
      <c r="BZ257" s="11">
        <f>MIN(in_approval_cap,in_loan_home_approval*INDEX('Age profile'!$O$2:$O$61,B257)*(1+in_approval_growth)^(D257-1))</f>
        <v/>
      </c>
      <c r="CA257" s="14">
        <f>F257*BY257*IF(B257&gt;=in_marketplace_from,d_hz_loan_home*G257,0)*BZ257*in_loan_home_ticket*in_loan_home_comm</f>
        <v/>
      </c>
      <c r="CB257" s="40">
        <f>CB256*(1-IF(B256&gt;=in_marketplace_from,d_hz_loan_lap*G256,0)*CC256)</f>
        <v/>
      </c>
      <c r="CC257" s="11">
        <f>MIN(in_approval_cap,in_loan_lap_approval*INDEX('Age profile'!$O$2:$O$61,B257)*(1+in_approval_growth)^(D257-1))</f>
        <v/>
      </c>
      <c r="CD257" s="14">
        <f>F257*CB257*IF(B257&gt;=in_marketplace_from,d_hz_loan_lap*G257,0)*CC257*in_loan_lap_ticket*in_loan_lap_comm</f>
        <v/>
      </c>
      <c r="CE257" s="14">
        <f>AA257+AB257+AC257+AD257+AG257+AJ257+AM257+AP257+AS257+AU257+AX257+BB257+BE257+BG257+BJ257+BL257+BO257+BR257+BT257+BV257+BX257+CA257+CD257</f>
        <v/>
      </c>
    </row>
    <row r="258">
      <c r="A258" s="39" t="n">
        <v>5</v>
      </c>
      <c r="B258" s="39" t="n">
        <v>23</v>
      </c>
      <c r="C258" s="39">
        <f>A258+B258-1</f>
        <v/>
      </c>
      <c r="D258" s="39">
        <f>INT((C258-1)/12)+1</f>
        <v/>
      </c>
      <c r="E258" s="44">
        <f>INDEX(Monthly!$B$2:$B$61,A258)</f>
        <v/>
      </c>
      <c r="F258" s="44">
        <f>E258*INDEX('Age profile'!$B$2:$B$61,B258)</f>
        <v/>
      </c>
      <c r="G258" s="45">
        <f>MIN(in_takeup_cap,INDEX('Age profile'!$N$2:$N$61,B258)*(1+in_takeup_growth)^(D258-1))</f>
        <v/>
      </c>
      <c r="H258" s="11">
        <f>MIN(in_approval_cap,in_approved_first*INDEX('Age profile'!$O$2:$O$61,B258)*(1+in_approval_growth)^(D258-1))</f>
        <v/>
      </c>
      <c r="I258" s="45">
        <f>G258*MIN(in_takeup_cap,INDEX('Age profile'!$O$2:$O$61,B258)*(1+in_approval_growth)^(D258-1))</f>
        <v/>
      </c>
      <c r="J258" s="40">
        <f>(J257-L257)*F258/F257</f>
        <v/>
      </c>
      <c r="K258" s="40">
        <f>(K257-M257)*F258/F257+SUMIFS(O236:O257,B236:B257,B258-1-d_T)*F258</f>
        <v/>
      </c>
      <c r="L258" s="40">
        <f>IF(B258&gt;=in_marketplace_from,J258*d_hz*G258*in_eligible*H258,0)</f>
        <v/>
      </c>
      <c r="M258" s="40">
        <f>IF(B258&gt;=in_marketplace_from,K258*d_hz*G258*in_eligible*in_approved_repeat,0)</f>
        <v/>
      </c>
      <c r="N258" s="40">
        <f>L258+M258</f>
        <v/>
      </c>
      <c r="O258" s="46">
        <f>N258/F258</f>
        <v/>
      </c>
      <c r="P258" s="40">
        <f>F258-J258-K258</f>
        <v/>
      </c>
      <c r="Q258" s="40">
        <f>IF(B258&gt;=in_marketplace_from,(J258+K258)*d_hz*G258,0)</f>
        <v/>
      </c>
      <c r="R258" s="40">
        <f>SUMIFS(N236:N291,B236:B291,"&gt;="&amp;(B258-d_T),B236:B291,"&lt;="&amp;(B258-1))</f>
        <v/>
      </c>
      <c r="S258" s="46">
        <f>(1-d_u)*S257+IF(d_T&gt;in_topup_lag,SUMIFS(O236:O291,B236:B291,B258-in_topup_lag)-d_udrop*SUMIFS(O236:O291,B236:B291,B258-d_T),0)</f>
        <v/>
      </c>
      <c r="T258" s="40">
        <f>F258*d_u*S258</f>
        <v/>
      </c>
      <c r="U258" s="9">
        <f>L258*in_ticket+M258*d_rep_ticket</f>
        <v/>
      </c>
      <c r="V258" s="9">
        <f>U258+T258*d_topup_amt</f>
        <v/>
      </c>
      <c r="W258" s="40">
        <f>N258+T258*d_topup_ratio</f>
        <v/>
      </c>
      <c r="X258" s="40">
        <f>SUMIFS(W236:W291,B236:B291,B258-in_dpd_lag)*d_cured</f>
        <v/>
      </c>
      <c r="Y258" s="40">
        <f>SUMIFS(W236:W291,B236:B291,B258-in_rec_lag)*d_recd</f>
        <v/>
      </c>
      <c r="Z258" s="40">
        <f>IF(AND(B258&gt;=in_marketplace_from,B258&lt;in_marketplace_from+in_card_months),in_card_share/in_card_months*F258*I258,IF(AND(B258&gt;=in_marketplace_from+in_card_months,B258&lt;in_marketplace_from+2*in_card_months),in_card_share*d_card_rem/in_card_months*F258*MIN(in_takeup_cap,(1+in_takeup_growth)^(D258-1))*MIN(in_takeup_cap,(1+in_approval_growth)^(D258-1)),0))</f>
        <v/>
      </c>
      <c r="AA258" s="14">
        <f>V258*in_fee*(1-in_taken_back)</f>
        <v/>
      </c>
      <c r="AB258" s="14">
        <f>SUMIFS(W236:W291,B236:B291,B258-in_dpd_lag)*d_dpd</f>
        <v/>
      </c>
      <c r="AC258" s="14">
        <f>SUMIFS(W236:W291,B236:B291,B258-in_rec_lag)*d_rec</f>
        <v/>
      </c>
      <c r="AD258" s="14">
        <f>Z258*in_card_fee</f>
        <v/>
      </c>
      <c r="AE258" s="40">
        <f>AE257*(1-IF(B257&gt;=in_marketplace_from,d_hz_hlth_small*G257,0))</f>
        <v/>
      </c>
      <c r="AF258" s="46">
        <f>AE258*IF(B258&gt;=in_marketplace_from,d_hz_hlth_small*G258,0)</f>
        <v/>
      </c>
      <c r="AG258" s="14">
        <f>F258*AF258*in_hlth_small_ticket*in_hlth_small_comm*in_ins_partner_share+F258*in_hlth_small_ticket*in_hlth_small_renew_comm*in_ins_partner_share*(in_hlth_small_renew^1*SUMIFS(AF236:AF291,B236:B291,B258-12)+in_hlth_small_renew^2*SUMIFS(AF236:AF291,B236:B291,B258-24)+in_hlth_small_renew^3*SUMIFS(AF236:AF291,B236:B291,B258-36)+in_hlth_small_renew^4*SUMIFS(AF236:AF291,B236:B291,B258-48))</f>
        <v/>
      </c>
      <c r="AH258" s="40">
        <f>AH257*(1-IF(B257&gt;=in_marketplace_from,d_hz_hlth_family*G257,0))</f>
        <v/>
      </c>
      <c r="AI258" s="46">
        <f>AH258*IF(B258&gt;=in_marketplace_from,d_hz_hlth_family*G258,0)</f>
        <v/>
      </c>
      <c r="AJ258" s="14">
        <f>F258*AI258*in_hlth_family_ticket*in_hlth_family_comm*in_ins_partner_share+F258*in_hlth_family_ticket*in_hlth_family_renew_comm*in_ins_partner_share*(in_hlth_family_renew^1*SUMIFS(AI236:AI291,B236:B291,B258-12)+in_hlth_family_renew^2*SUMIFS(AI236:AI291,B236:B291,B258-24)+in_hlth_family_renew^3*SUMIFS(AI236:AI291,B236:B291,B258-36)+in_hlth_family_renew^4*SUMIFS(AI236:AI291,B236:B291,B258-48))</f>
        <v/>
      </c>
      <c r="AK258" s="40">
        <f>AK257*(1-IF(B257&gt;=in_marketplace_from,d_hz_life_term*G257,0))</f>
        <v/>
      </c>
      <c r="AL258" s="46">
        <f>AK258*IF(B258&gt;=in_marketplace_from,d_hz_life_term*G258,0)</f>
        <v/>
      </c>
      <c r="AM258" s="14">
        <f>F258*AL258*in_life_term_ticket*in_life_term_comm*in_ins_partner_share+F258*in_life_term_ticket*in_life_term_renew_comm*in_ins_partner_share*(in_life_term_renew^1*SUMIFS(AL236:AL291,B236:B291,B258-12)+in_life_term_renew^2*SUMIFS(AL236:AL291,B236:B291,B258-24)+in_life_term_renew^3*SUMIFS(AL236:AL291,B236:B291,B258-36)+in_life_term_renew^4*SUMIFS(AL236:AL291,B236:B291,B258-48))</f>
        <v/>
      </c>
      <c r="AN258" s="40">
        <f>AN257*(1-IF(B257&gt;=in_marketplace_from,d_hz_accident*G257,0))</f>
        <v/>
      </c>
      <c r="AO258" s="46">
        <f>AN258*IF(B258&gt;=in_marketplace_from,d_hz_accident*G258,0)</f>
        <v/>
      </c>
      <c r="AP258" s="14">
        <f>F258*AO258*in_accident_ticket*in_accident_comm*in_ins_partner_share+F258*in_accident_ticket*in_accident_renew_comm*in_ins_partner_share*(in_accident_renew^1*SUMIFS(AO236:AO291,B236:B291,B258-12)+in_accident_renew^2*SUMIFS(AO236:AO291,B236:B291,B258-24)+in_accident_renew^3*SUMIFS(AO236:AO291,B236:B291,B258-36)+in_accident_renew^4*SUMIFS(AO236:AO291,B236:B291,B258-48))</f>
        <v/>
      </c>
      <c r="AQ258" s="40">
        <f>AQ257*(1-IF(B257&gt;=in_marketplace_from,d_hz_two_wheeler*G257,0))</f>
        <v/>
      </c>
      <c r="AR258" s="46">
        <f>AQ258*IF(B258&gt;=in_marketplace_from,d_hz_two_wheeler*G258,0)</f>
        <v/>
      </c>
      <c r="AS258" s="14">
        <f>F258*AR258*in_two_wheeler_ticket*in_two_wheeler_comm*in_ins_partner_share+F258*in_two_wheeler_ticket*in_two_wheeler_comm*in_ins_partner_share*(in_two_wheeler_renew^1*SUMIFS(AR236:AR291,B236:B291,B258-12)+in_two_wheeler_renew^2*SUMIFS(AR236:AR291,B236:B291,B258-24)+in_two_wheeler_renew^3*SUMIFS(AR236:AR291,B236:B291,B258-36)+in_two_wheeler_renew^4*SUMIFS(AR236:AR291,B236:B291,B258-48))</f>
        <v/>
      </c>
      <c r="AT258" s="40">
        <f>AT257*(1-IF(B257&gt;=in_marketplace_from,d_hz_device*G257,0))</f>
        <v/>
      </c>
      <c r="AU258" s="14">
        <f>F258*AT258*IF(B258&gt;=in_marketplace_from,d_hz_device*G258,0)*in_device_ticket*in_device_comm*in_ins_partner_share</f>
        <v/>
      </c>
      <c r="AV258" s="40">
        <f>AV257*(1-IF(B257&gt;=in_marketplace_from,d_hz_shop*G257,0))</f>
        <v/>
      </c>
      <c r="AW258" s="46">
        <f>AV258*IF(B258&gt;=in_marketplace_from,d_hz_shop*G258,0)</f>
        <v/>
      </c>
      <c r="AX258" s="14">
        <f>F258*AW258*in_shop_ticket*in_shop_comm*in_ins_partner_share+F258*in_shop_ticket*in_shop_renew_comm*in_ins_partner_share*(in_shop_renew^1*SUMIFS(AW236:AW291,B236:B291,B258-12)+in_shop_renew^2*SUMIFS(AW236:AW291,B236:B291,B258-24)+in_shop_renew^3*SUMIFS(AW236:AW291,B236:B291,B258-36)+in_shop_renew^4*SUMIFS(AW236:AW291,B236:B291,B258-48))</f>
        <v/>
      </c>
      <c r="AY258" s="40">
        <f>AY257*(1-IF(B257&gt;=in_marketplace_from,d_hz_sip*G257,0))</f>
        <v/>
      </c>
      <c r="AZ258" s="40">
        <f>AZ257*d_rho_sip+AY258*IF(B258&gt;=in_marketplace_from,d_hz_sip*G258,0)</f>
        <v/>
      </c>
      <c r="BA258" s="40">
        <f>d_rho_sip*(BA257+AZ257)</f>
        <v/>
      </c>
      <c r="BB258" s="14">
        <f>F258*in_sip_ticket*(BA258+0.5*AZ258)*in_sip_comm/12</f>
        <v/>
      </c>
      <c r="BC258" s="40">
        <f>BC257*(1-IF(B257&gt;=in_marketplace_from,d_hz_choti*G257,0))</f>
        <v/>
      </c>
      <c r="BD258" s="46">
        <f>BC258*IF(B258&gt;=in_marketplace_from,d_hz_choti*G258,0)</f>
        <v/>
      </c>
      <c r="BE258" s="14">
        <f>F258*SUMIFS(BD236:BD291,B236:B291,B258-in_choti_months)*in_choti_renew*in_choti_ticket</f>
        <v/>
      </c>
      <c r="BF258" s="40">
        <f>BF257*(1-IF(B257&gt;=in_marketplace_from,d_hz_nps*G257,0))</f>
        <v/>
      </c>
      <c r="BG258" s="14">
        <f>F258*BF258*IF(B258&gt;=in_marketplace_from,d_hz_nps*G258,0)*in_nps_ticket*in_nps_comm</f>
        <v/>
      </c>
      <c r="BH258" s="40">
        <f>BH257*(1-IF(B257&gt;=in_marketplace_from,d_hz_gold*G257,0))</f>
        <v/>
      </c>
      <c r="BI258" s="40">
        <f>BI257*d_rho_gold+BH258*IF(B258&gt;=in_marketplace_from,d_hz_gold*G258,0)</f>
        <v/>
      </c>
      <c r="BJ258" s="14">
        <f>F258*BI258*in_gold_ticket*in_gold_comm</f>
        <v/>
      </c>
      <c r="BK258" s="40">
        <f>BK257*(1-IF(B257&gt;=in_marketplace_from,d_hz_fd*G257,0))</f>
        <v/>
      </c>
      <c r="BL258" s="14">
        <f>F258*BK258*IF(B258&gt;=in_marketplace_from,d_hz_fd*G258,0)*in_fd_ticket*in_fd_comm</f>
        <v/>
      </c>
      <c r="BM258" s="40">
        <f>BM257*(1-IF(B257&gt;=in_marketplace_from,d_hz_recharge*G257,0))</f>
        <v/>
      </c>
      <c r="BN258" s="40">
        <f>BN257*d_rho_recharge+BM258*IF(B258&gt;=in_marketplace_from,d_hz_recharge*G258,0)</f>
        <v/>
      </c>
      <c r="BO258" s="14">
        <f>F258*BN258*in_recharge_ticket*in_recharge_comm/12</f>
        <v/>
      </c>
      <c r="BP258" s="40">
        <f>BP257*(1-IF(B257&gt;=in_marketplace_from,d_hz_bills*G257,0))</f>
        <v/>
      </c>
      <c r="BQ258" s="40">
        <f>BQ257*d_rho_bills+BP258*IF(B258&gt;=in_marketplace_from,d_hz_bills*G258,0)</f>
        <v/>
      </c>
      <c r="BR258" s="14">
        <f>F258*BQ258*in_bills_ticket*in_bills_comm/12</f>
        <v/>
      </c>
      <c r="BS258" s="40">
        <f>BS257*(1-IF(B257&gt;=in_marketplace_from,d_hz_loan_gold*G257,0))</f>
        <v/>
      </c>
      <c r="BT258" s="14">
        <f>F258*BS258*IF(B258&gt;=in_marketplace_from,d_hz_loan_gold*G258,0)*in_loan_gold_ticket*in_loan_gold_comm</f>
        <v/>
      </c>
      <c r="BU258" s="40">
        <f>BU257*(1-IF(B257&gt;=in_marketplace_from,d_hz_loan_cd*G257,0))</f>
        <v/>
      </c>
      <c r="BV258" s="14">
        <f>F258*BU258*IF(B258&gt;=in_marketplace_from,d_hz_loan_cd*G258,0)*in_loan_cd_ticket*in_loan_cd_comm</f>
        <v/>
      </c>
      <c r="BW258" s="40">
        <f>BW257*(1-IF(B257&gt;=in_marketplace_from,d_hz_loan_vehicle*G257,0))</f>
        <v/>
      </c>
      <c r="BX258" s="14">
        <f>F258*BW258*IF(B258&gt;=in_marketplace_from,d_hz_loan_vehicle*G258,0)*in_loan_vehicle_ticket*in_loan_vehicle_comm</f>
        <v/>
      </c>
      <c r="BY258" s="40">
        <f>BY257*(1-IF(B257&gt;=in_marketplace_from,d_hz_loan_home*G257,0)*BZ257)</f>
        <v/>
      </c>
      <c r="BZ258" s="11">
        <f>MIN(in_approval_cap,in_loan_home_approval*INDEX('Age profile'!$O$2:$O$61,B258)*(1+in_approval_growth)^(D258-1))</f>
        <v/>
      </c>
      <c r="CA258" s="14">
        <f>F258*BY258*IF(B258&gt;=in_marketplace_from,d_hz_loan_home*G258,0)*BZ258*in_loan_home_ticket*in_loan_home_comm</f>
        <v/>
      </c>
      <c r="CB258" s="40">
        <f>CB257*(1-IF(B257&gt;=in_marketplace_from,d_hz_loan_lap*G257,0)*CC257)</f>
        <v/>
      </c>
      <c r="CC258" s="11">
        <f>MIN(in_approval_cap,in_loan_lap_approval*INDEX('Age profile'!$O$2:$O$61,B258)*(1+in_approval_growth)^(D258-1))</f>
        <v/>
      </c>
      <c r="CD258" s="14">
        <f>F258*CB258*IF(B258&gt;=in_marketplace_from,d_hz_loan_lap*G258,0)*CC258*in_loan_lap_ticket*in_loan_lap_comm</f>
        <v/>
      </c>
      <c r="CE258" s="14">
        <f>AA258+AB258+AC258+AD258+AG258+AJ258+AM258+AP258+AS258+AU258+AX258+BB258+BE258+BG258+BJ258+BL258+BO258+BR258+BT258+BV258+BX258+CA258+CD258</f>
        <v/>
      </c>
    </row>
    <row r="259">
      <c r="A259" s="39" t="n">
        <v>5</v>
      </c>
      <c r="B259" s="39" t="n">
        <v>24</v>
      </c>
      <c r="C259" s="39">
        <f>A259+B259-1</f>
        <v/>
      </c>
      <c r="D259" s="39">
        <f>INT((C259-1)/12)+1</f>
        <v/>
      </c>
      <c r="E259" s="44">
        <f>INDEX(Monthly!$B$2:$B$61,A259)</f>
        <v/>
      </c>
      <c r="F259" s="44">
        <f>E259*INDEX('Age profile'!$B$2:$B$61,B259)</f>
        <v/>
      </c>
      <c r="G259" s="45">
        <f>MIN(in_takeup_cap,INDEX('Age profile'!$N$2:$N$61,B259)*(1+in_takeup_growth)^(D259-1))</f>
        <v/>
      </c>
      <c r="H259" s="11">
        <f>MIN(in_approval_cap,in_approved_first*INDEX('Age profile'!$O$2:$O$61,B259)*(1+in_approval_growth)^(D259-1))</f>
        <v/>
      </c>
      <c r="I259" s="45">
        <f>G259*MIN(in_takeup_cap,INDEX('Age profile'!$O$2:$O$61,B259)*(1+in_approval_growth)^(D259-1))</f>
        <v/>
      </c>
      <c r="J259" s="40">
        <f>(J258-L258)*F259/F258</f>
        <v/>
      </c>
      <c r="K259" s="40">
        <f>(K258-M258)*F259/F258+SUMIFS(O236:O258,B236:B258,B259-1-d_T)*F259</f>
        <v/>
      </c>
      <c r="L259" s="40">
        <f>IF(B259&gt;=in_marketplace_from,J259*d_hz*G259*in_eligible*H259,0)</f>
        <v/>
      </c>
      <c r="M259" s="40">
        <f>IF(B259&gt;=in_marketplace_from,K259*d_hz*G259*in_eligible*in_approved_repeat,0)</f>
        <v/>
      </c>
      <c r="N259" s="40">
        <f>L259+M259</f>
        <v/>
      </c>
      <c r="O259" s="46">
        <f>N259/F259</f>
        <v/>
      </c>
      <c r="P259" s="40">
        <f>F259-J259-K259</f>
        <v/>
      </c>
      <c r="Q259" s="40">
        <f>IF(B259&gt;=in_marketplace_from,(J259+K259)*d_hz*G259,0)</f>
        <v/>
      </c>
      <c r="R259" s="40">
        <f>SUMIFS(N236:N291,B236:B291,"&gt;="&amp;(B259-d_T),B236:B291,"&lt;="&amp;(B259-1))</f>
        <v/>
      </c>
      <c r="S259" s="46">
        <f>(1-d_u)*S258+IF(d_T&gt;in_topup_lag,SUMIFS(O236:O291,B236:B291,B259-in_topup_lag)-d_udrop*SUMIFS(O236:O291,B236:B291,B259-d_T),0)</f>
        <v/>
      </c>
      <c r="T259" s="40">
        <f>F259*d_u*S259</f>
        <v/>
      </c>
      <c r="U259" s="9">
        <f>L259*in_ticket+M259*d_rep_ticket</f>
        <v/>
      </c>
      <c r="V259" s="9">
        <f>U259+T259*d_topup_amt</f>
        <v/>
      </c>
      <c r="W259" s="40">
        <f>N259+T259*d_topup_ratio</f>
        <v/>
      </c>
      <c r="X259" s="40">
        <f>SUMIFS(W236:W291,B236:B291,B259-in_dpd_lag)*d_cured</f>
        <v/>
      </c>
      <c r="Y259" s="40">
        <f>SUMIFS(W236:W291,B236:B291,B259-in_rec_lag)*d_recd</f>
        <v/>
      </c>
      <c r="Z259" s="40">
        <f>IF(AND(B259&gt;=in_marketplace_from,B259&lt;in_marketplace_from+in_card_months),in_card_share/in_card_months*F259*I259,IF(AND(B259&gt;=in_marketplace_from+in_card_months,B259&lt;in_marketplace_from+2*in_card_months),in_card_share*d_card_rem/in_card_months*F259*MIN(in_takeup_cap,(1+in_takeup_growth)^(D259-1))*MIN(in_takeup_cap,(1+in_approval_growth)^(D259-1)),0))</f>
        <v/>
      </c>
      <c r="AA259" s="14">
        <f>V259*in_fee*(1-in_taken_back)</f>
        <v/>
      </c>
      <c r="AB259" s="14">
        <f>SUMIFS(W236:W291,B236:B291,B259-in_dpd_lag)*d_dpd</f>
        <v/>
      </c>
      <c r="AC259" s="14">
        <f>SUMIFS(W236:W291,B236:B291,B259-in_rec_lag)*d_rec</f>
        <v/>
      </c>
      <c r="AD259" s="14">
        <f>Z259*in_card_fee</f>
        <v/>
      </c>
      <c r="AE259" s="40">
        <f>AE258*(1-IF(B258&gt;=in_marketplace_from,d_hz_hlth_small*G258,0))</f>
        <v/>
      </c>
      <c r="AF259" s="46">
        <f>AE259*IF(B259&gt;=in_marketplace_from,d_hz_hlth_small*G259,0)</f>
        <v/>
      </c>
      <c r="AG259" s="14">
        <f>F259*AF259*in_hlth_small_ticket*in_hlth_small_comm*in_ins_partner_share+F259*in_hlth_small_ticket*in_hlth_small_renew_comm*in_ins_partner_share*(in_hlth_small_renew^1*SUMIFS(AF236:AF291,B236:B291,B259-12)+in_hlth_small_renew^2*SUMIFS(AF236:AF291,B236:B291,B259-24)+in_hlth_small_renew^3*SUMIFS(AF236:AF291,B236:B291,B259-36)+in_hlth_small_renew^4*SUMIFS(AF236:AF291,B236:B291,B259-48))</f>
        <v/>
      </c>
      <c r="AH259" s="40">
        <f>AH258*(1-IF(B258&gt;=in_marketplace_from,d_hz_hlth_family*G258,0))</f>
        <v/>
      </c>
      <c r="AI259" s="46">
        <f>AH259*IF(B259&gt;=in_marketplace_from,d_hz_hlth_family*G259,0)</f>
        <v/>
      </c>
      <c r="AJ259" s="14">
        <f>F259*AI259*in_hlth_family_ticket*in_hlth_family_comm*in_ins_partner_share+F259*in_hlth_family_ticket*in_hlth_family_renew_comm*in_ins_partner_share*(in_hlth_family_renew^1*SUMIFS(AI236:AI291,B236:B291,B259-12)+in_hlth_family_renew^2*SUMIFS(AI236:AI291,B236:B291,B259-24)+in_hlth_family_renew^3*SUMIFS(AI236:AI291,B236:B291,B259-36)+in_hlth_family_renew^4*SUMIFS(AI236:AI291,B236:B291,B259-48))</f>
        <v/>
      </c>
      <c r="AK259" s="40">
        <f>AK258*(1-IF(B258&gt;=in_marketplace_from,d_hz_life_term*G258,0))</f>
        <v/>
      </c>
      <c r="AL259" s="46">
        <f>AK259*IF(B259&gt;=in_marketplace_from,d_hz_life_term*G259,0)</f>
        <v/>
      </c>
      <c r="AM259" s="14">
        <f>F259*AL259*in_life_term_ticket*in_life_term_comm*in_ins_partner_share+F259*in_life_term_ticket*in_life_term_renew_comm*in_ins_partner_share*(in_life_term_renew^1*SUMIFS(AL236:AL291,B236:B291,B259-12)+in_life_term_renew^2*SUMIFS(AL236:AL291,B236:B291,B259-24)+in_life_term_renew^3*SUMIFS(AL236:AL291,B236:B291,B259-36)+in_life_term_renew^4*SUMIFS(AL236:AL291,B236:B291,B259-48))</f>
        <v/>
      </c>
      <c r="AN259" s="40">
        <f>AN258*(1-IF(B258&gt;=in_marketplace_from,d_hz_accident*G258,0))</f>
        <v/>
      </c>
      <c r="AO259" s="46">
        <f>AN259*IF(B259&gt;=in_marketplace_from,d_hz_accident*G259,0)</f>
        <v/>
      </c>
      <c r="AP259" s="14">
        <f>F259*AO259*in_accident_ticket*in_accident_comm*in_ins_partner_share+F259*in_accident_ticket*in_accident_renew_comm*in_ins_partner_share*(in_accident_renew^1*SUMIFS(AO236:AO291,B236:B291,B259-12)+in_accident_renew^2*SUMIFS(AO236:AO291,B236:B291,B259-24)+in_accident_renew^3*SUMIFS(AO236:AO291,B236:B291,B259-36)+in_accident_renew^4*SUMIFS(AO236:AO291,B236:B291,B259-48))</f>
        <v/>
      </c>
      <c r="AQ259" s="40">
        <f>AQ258*(1-IF(B258&gt;=in_marketplace_from,d_hz_two_wheeler*G258,0))</f>
        <v/>
      </c>
      <c r="AR259" s="46">
        <f>AQ259*IF(B259&gt;=in_marketplace_from,d_hz_two_wheeler*G259,0)</f>
        <v/>
      </c>
      <c r="AS259" s="14">
        <f>F259*AR259*in_two_wheeler_ticket*in_two_wheeler_comm*in_ins_partner_share+F259*in_two_wheeler_ticket*in_two_wheeler_comm*in_ins_partner_share*(in_two_wheeler_renew^1*SUMIFS(AR236:AR291,B236:B291,B259-12)+in_two_wheeler_renew^2*SUMIFS(AR236:AR291,B236:B291,B259-24)+in_two_wheeler_renew^3*SUMIFS(AR236:AR291,B236:B291,B259-36)+in_two_wheeler_renew^4*SUMIFS(AR236:AR291,B236:B291,B259-48))</f>
        <v/>
      </c>
      <c r="AT259" s="40">
        <f>AT258*(1-IF(B258&gt;=in_marketplace_from,d_hz_device*G258,0))</f>
        <v/>
      </c>
      <c r="AU259" s="14">
        <f>F259*AT259*IF(B259&gt;=in_marketplace_from,d_hz_device*G259,0)*in_device_ticket*in_device_comm*in_ins_partner_share</f>
        <v/>
      </c>
      <c r="AV259" s="40">
        <f>AV258*(1-IF(B258&gt;=in_marketplace_from,d_hz_shop*G258,0))</f>
        <v/>
      </c>
      <c r="AW259" s="46">
        <f>AV259*IF(B259&gt;=in_marketplace_from,d_hz_shop*G259,0)</f>
        <v/>
      </c>
      <c r="AX259" s="14">
        <f>F259*AW259*in_shop_ticket*in_shop_comm*in_ins_partner_share+F259*in_shop_ticket*in_shop_renew_comm*in_ins_partner_share*(in_shop_renew^1*SUMIFS(AW236:AW291,B236:B291,B259-12)+in_shop_renew^2*SUMIFS(AW236:AW291,B236:B291,B259-24)+in_shop_renew^3*SUMIFS(AW236:AW291,B236:B291,B259-36)+in_shop_renew^4*SUMIFS(AW236:AW291,B236:B291,B259-48))</f>
        <v/>
      </c>
      <c r="AY259" s="40">
        <f>AY258*(1-IF(B258&gt;=in_marketplace_from,d_hz_sip*G258,0))</f>
        <v/>
      </c>
      <c r="AZ259" s="40">
        <f>AZ258*d_rho_sip+AY259*IF(B259&gt;=in_marketplace_from,d_hz_sip*G259,0)</f>
        <v/>
      </c>
      <c r="BA259" s="40">
        <f>d_rho_sip*(BA258+AZ258)</f>
        <v/>
      </c>
      <c r="BB259" s="14">
        <f>F259*in_sip_ticket*(BA259+0.5*AZ259)*in_sip_comm/12</f>
        <v/>
      </c>
      <c r="BC259" s="40">
        <f>BC258*(1-IF(B258&gt;=in_marketplace_from,d_hz_choti*G258,0))</f>
        <v/>
      </c>
      <c r="BD259" s="46">
        <f>BC259*IF(B259&gt;=in_marketplace_from,d_hz_choti*G259,0)</f>
        <v/>
      </c>
      <c r="BE259" s="14">
        <f>F259*SUMIFS(BD236:BD291,B236:B291,B259-in_choti_months)*in_choti_renew*in_choti_ticket</f>
        <v/>
      </c>
      <c r="BF259" s="40">
        <f>BF258*(1-IF(B258&gt;=in_marketplace_from,d_hz_nps*G258,0))</f>
        <v/>
      </c>
      <c r="BG259" s="14">
        <f>F259*BF259*IF(B259&gt;=in_marketplace_from,d_hz_nps*G259,0)*in_nps_ticket*in_nps_comm</f>
        <v/>
      </c>
      <c r="BH259" s="40">
        <f>BH258*(1-IF(B258&gt;=in_marketplace_from,d_hz_gold*G258,0))</f>
        <v/>
      </c>
      <c r="BI259" s="40">
        <f>BI258*d_rho_gold+BH259*IF(B259&gt;=in_marketplace_from,d_hz_gold*G259,0)</f>
        <v/>
      </c>
      <c r="BJ259" s="14">
        <f>F259*BI259*in_gold_ticket*in_gold_comm</f>
        <v/>
      </c>
      <c r="BK259" s="40">
        <f>BK258*(1-IF(B258&gt;=in_marketplace_from,d_hz_fd*G258,0))</f>
        <v/>
      </c>
      <c r="BL259" s="14">
        <f>F259*BK259*IF(B259&gt;=in_marketplace_from,d_hz_fd*G259,0)*in_fd_ticket*in_fd_comm</f>
        <v/>
      </c>
      <c r="BM259" s="40">
        <f>BM258*(1-IF(B258&gt;=in_marketplace_from,d_hz_recharge*G258,0))</f>
        <v/>
      </c>
      <c r="BN259" s="40">
        <f>BN258*d_rho_recharge+BM259*IF(B259&gt;=in_marketplace_from,d_hz_recharge*G259,0)</f>
        <v/>
      </c>
      <c r="BO259" s="14">
        <f>F259*BN259*in_recharge_ticket*in_recharge_comm/12</f>
        <v/>
      </c>
      <c r="BP259" s="40">
        <f>BP258*(1-IF(B258&gt;=in_marketplace_from,d_hz_bills*G258,0))</f>
        <v/>
      </c>
      <c r="BQ259" s="40">
        <f>BQ258*d_rho_bills+BP259*IF(B259&gt;=in_marketplace_from,d_hz_bills*G259,0)</f>
        <v/>
      </c>
      <c r="BR259" s="14">
        <f>F259*BQ259*in_bills_ticket*in_bills_comm/12</f>
        <v/>
      </c>
      <c r="BS259" s="40">
        <f>BS258*(1-IF(B258&gt;=in_marketplace_from,d_hz_loan_gold*G258,0))</f>
        <v/>
      </c>
      <c r="BT259" s="14">
        <f>F259*BS259*IF(B259&gt;=in_marketplace_from,d_hz_loan_gold*G259,0)*in_loan_gold_ticket*in_loan_gold_comm</f>
        <v/>
      </c>
      <c r="BU259" s="40">
        <f>BU258*(1-IF(B258&gt;=in_marketplace_from,d_hz_loan_cd*G258,0))</f>
        <v/>
      </c>
      <c r="BV259" s="14">
        <f>F259*BU259*IF(B259&gt;=in_marketplace_from,d_hz_loan_cd*G259,0)*in_loan_cd_ticket*in_loan_cd_comm</f>
        <v/>
      </c>
      <c r="BW259" s="40">
        <f>BW258*(1-IF(B258&gt;=in_marketplace_from,d_hz_loan_vehicle*G258,0))</f>
        <v/>
      </c>
      <c r="BX259" s="14">
        <f>F259*BW259*IF(B259&gt;=in_marketplace_from,d_hz_loan_vehicle*G259,0)*in_loan_vehicle_ticket*in_loan_vehicle_comm</f>
        <v/>
      </c>
      <c r="BY259" s="40">
        <f>BY258*(1-IF(B258&gt;=in_marketplace_from,d_hz_loan_home*G258,0)*BZ258)</f>
        <v/>
      </c>
      <c r="BZ259" s="11">
        <f>MIN(in_approval_cap,in_loan_home_approval*INDEX('Age profile'!$O$2:$O$61,B259)*(1+in_approval_growth)^(D259-1))</f>
        <v/>
      </c>
      <c r="CA259" s="14">
        <f>F259*BY259*IF(B259&gt;=in_marketplace_from,d_hz_loan_home*G259,0)*BZ259*in_loan_home_ticket*in_loan_home_comm</f>
        <v/>
      </c>
      <c r="CB259" s="40">
        <f>CB258*(1-IF(B258&gt;=in_marketplace_from,d_hz_loan_lap*G258,0)*CC258)</f>
        <v/>
      </c>
      <c r="CC259" s="11">
        <f>MIN(in_approval_cap,in_loan_lap_approval*INDEX('Age profile'!$O$2:$O$61,B259)*(1+in_approval_growth)^(D259-1))</f>
        <v/>
      </c>
      <c r="CD259" s="14">
        <f>F259*CB259*IF(B259&gt;=in_marketplace_from,d_hz_loan_lap*G259,0)*CC259*in_loan_lap_ticket*in_loan_lap_comm</f>
        <v/>
      </c>
      <c r="CE259" s="14">
        <f>AA259+AB259+AC259+AD259+AG259+AJ259+AM259+AP259+AS259+AU259+AX259+BB259+BE259+BG259+BJ259+BL259+BO259+BR259+BT259+BV259+BX259+CA259+CD259</f>
        <v/>
      </c>
    </row>
    <row r="260">
      <c r="A260" s="39" t="n">
        <v>5</v>
      </c>
      <c r="B260" s="39" t="n">
        <v>25</v>
      </c>
      <c r="C260" s="39">
        <f>A260+B260-1</f>
        <v/>
      </c>
      <c r="D260" s="39">
        <f>INT((C260-1)/12)+1</f>
        <v/>
      </c>
      <c r="E260" s="44">
        <f>INDEX(Monthly!$B$2:$B$61,A260)</f>
        <v/>
      </c>
      <c r="F260" s="44">
        <f>E260*INDEX('Age profile'!$B$2:$B$61,B260)</f>
        <v/>
      </c>
      <c r="G260" s="45">
        <f>MIN(in_takeup_cap,INDEX('Age profile'!$N$2:$N$61,B260)*(1+in_takeup_growth)^(D260-1))</f>
        <v/>
      </c>
      <c r="H260" s="11">
        <f>MIN(in_approval_cap,in_approved_first*INDEX('Age profile'!$O$2:$O$61,B260)*(1+in_approval_growth)^(D260-1))</f>
        <v/>
      </c>
      <c r="I260" s="45">
        <f>G260*MIN(in_takeup_cap,INDEX('Age profile'!$O$2:$O$61,B260)*(1+in_approval_growth)^(D260-1))</f>
        <v/>
      </c>
      <c r="J260" s="40">
        <f>(J259-L259)*F260/F259</f>
        <v/>
      </c>
      <c r="K260" s="40">
        <f>(K259-M259)*F260/F259+SUMIFS(O236:O259,B236:B259,B260-1-d_T)*F260</f>
        <v/>
      </c>
      <c r="L260" s="40">
        <f>IF(B260&gt;=in_marketplace_from,J260*d_hz*G260*in_eligible*H260,0)</f>
        <v/>
      </c>
      <c r="M260" s="40">
        <f>IF(B260&gt;=in_marketplace_from,K260*d_hz*G260*in_eligible*in_approved_repeat,0)</f>
        <v/>
      </c>
      <c r="N260" s="40">
        <f>L260+M260</f>
        <v/>
      </c>
      <c r="O260" s="46">
        <f>N260/F260</f>
        <v/>
      </c>
      <c r="P260" s="40">
        <f>F260-J260-K260</f>
        <v/>
      </c>
      <c r="Q260" s="40">
        <f>IF(B260&gt;=in_marketplace_from,(J260+K260)*d_hz*G260,0)</f>
        <v/>
      </c>
      <c r="R260" s="40">
        <f>SUMIFS(N236:N291,B236:B291,"&gt;="&amp;(B260-d_T),B236:B291,"&lt;="&amp;(B260-1))</f>
        <v/>
      </c>
      <c r="S260" s="46">
        <f>(1-d_u)*S259+IF(d_T&gt;in_topup_lag,SUMIFS(O236:O291,B236:B291,B260-in_topup_lag)-d_udrop*SUMIFS(O236:O291,B236:B291,B260-d_T),0)</f>
        <v/>
      </c>
      <c r="T260" s="40">
        <f>F260*d_u*S260</f>
        <v/>
      </c>
      <c r="U260" s="9">
        <f>L260*in_ticket+M260*d_rep_ticket</f>
        <v/>
      </c>
      <c r="V260" s="9">
        <f>U260+T260*d_topup_amt</f>
        <v/>
      </c>
      <c r="W260" s="40">
        <f>N260+T260*d_topup_ratio</f>
        <v/>
      </c>
      <c r="X260" s="40">
        <f>SUMIFS(W236:W291,B236:B291,B260-in_dpd_lag)*d_cured</f>
        <v/>
      </c>
      <c r="Y260" s="40">
        <f>SUMIFS(W236:W291,B236:B291,B260-in_rec_lag)*d_recd</f>
        <v/>
      </c>
      <c r="Z260" s="40">
        <f>IF(AND(B260&gt;=in_marketplace_from,B260&lt;in_marketplace_from+in_card_months),in_card_share/in_card_months*F260*I260,IF(AND(B260&gt;=in_marketplace_from+in_card_months,B260&lt;in_marketplace_from+2*in_card_months),in_card_share*d_card_rem/in_card_months*F260*MIN(in_takeup_cap,(1+in_takeup_growth)^(D260-1))*MIN(in_takeup_cap,(1+in_approval_growth)^(D260-1)),0))</f>
        <v/>
      </c>
      <c r="AA260" s="14">
        <f>V260*in_fee*(1-in_taken_back)</f>
        <v/>
      </c>
      <c r="AB260" s="14">
        <f>SUMIFS(W236:W291,B236:B291,B260-in_dpd_lag)*d_dpd</f>
        <v/>
      </c>
      <c r="AC260" s="14">
        <f>SUMIFS(W236:W291,B236:B291,B260-in_rec_lag)*d_rec</f>
        <v/>
      </c>
      <c r="AD260" s="14">
        <f>Z260*in_card_fee</f>
        <v/>
      </c>
      <c r="AE260" s="40">
        <f>AE259*(1-IF(B259&gt;=in_marketplace_from,d_hz_hlth_small*G259,0))</f>
        <v/>
      </c>
      <c r="AF260" s="46">
        <f>AE260*IF(B260&gt;=in_marketplace_from,d_hz_hlth_small*G260,0)</f>
        <v/>
      </c>
      <c r="AG260" s="14">
        <f>F260*AF260*in_hlth_small_ticket*in_hlth_small_comm*in_ins_partner_share+F260*in_hlth_small_ticket*in_hlth_small_renew_comm*in_ins_partner_share*(in_hlth_small_renew^1*SUMIFS(AF236:AF291,B236:B291,B260-12)+in_hlth_small_renew^2*SUMIFS(AF236:AF291,B236:B291,B260-24)+in_hlth_small_renew^3*SUMIFS(AF236:AF291,B236:B291,B260-36)+in_hlth_small_renew^4*SUMIFS(AF236:AF291,B236:B291,B260-48))</f>
        <v/>
      </c>
      <c r="AH260" s="40">
        <f>AH259*(1-IF(B259&gt;=in_marketplace_from,d_hz_hlth_family*G259,0))</f>
        <v/>
      </c>
      <c r="AI260" s="46">
        <f>AH260*IF(B260&gt;=in_marketplace_from,d_hz_hlth_family*G260,0)</f>
        <v/>
      </c>
      <c r="AJ260" s="14">
        <f>F260*AI260*in_hlth_family_ticket*in_hlth_family_comm*in_ins_partner_share+F260*in_hlth_family_ticket*in_hlth_family_renew_comm*in_ins_partner_share*(in_hlth_family_renew^1*SUMIFS(AI236:AI291,B236:B291,B260-12)+in_hlth_family_renew^2*SUMIFS(AI236:AI291,B236:B291,B260-24)+in_hlth_family_renew^3*SUMIFS(AI236:AI291,B236:B291,B260-36)+in_hlth_family_renew^4*SUMIFS(AI236:AI291,B236:B291,B260-48))</f>
        <v/>
      </c>
      <c r="AK260" s="40">
        <f>AK259*(1-IF(B259&gt;=in_marketplace_from,d_hz_life_term*G259,0))</f>
        <v/>
      </c>
      <c r="AL260" s="46">
        <f>AK260*IF(B260&gt;=in_marketplace_from,d_hz_life_term*G260,0)</f>
        <v/>
      </c>
      <c r="AM260" s="14">
        <f>F260*AL260*in_life_term_ticket*in_life_term_comm*in_ins_partner_share+F260*in_life_term_ticket*in_life_term_renew_comm*in_ins_partner_share*(in_life_term_renew^1*SUMIFS(AL236:AL291,B236:B291,B260-12)+in_life_term_renew^2*SUMIFS(AL236:AL291,B236:B291,B260-24)+in_life_term_renew^3*SUMIFS(AL236:AL291,B236:B291,B260-36)+in_life_term_renew^4*SUMIFS(AL236:AL291,B236:B291,B260-48))</f>
        <v/>
      </c>
      <c r="AN260" s="40">
        <f>AN259*(1-IF(B259&gt;=in_marketplace_from,d_hz_accident*G259,0))</f>
        <v/>
      </c>
      <c r="AO260" s="46">
        <f>AN260*IF(B260&gt;=in_marketplace_from,d_hz_accident*G260,0)</f>
        <v/>
      </c>
      <c r="AP260" s="14">
        <f>F260*AO260*in_accident_ticket*in_accident_comm*in_ins_partner_share+F260*in_accident_ticket*in_accident_renew_comm*in_ins_partner_share*(in_accident_renew^1*SUMIFS(AO236:AO291,B236:B291,B260-12)+in_accident_renew^2*SUMIFS(AO236:AO291,B236:B291,B260-24)+in_accident_renew^3*SUMIFS(AO236:AO291,B236:B291,B260-36)+in_accident_renew^4*SUMIFS(AO236:AO291,B236:B291,B260-48))</f>
        <v/>
      </c>
      <c r="AQ260" s="40">
        <f>AQ259*(1-IF(B259&gt;=in_marketplace_from,d_hz_two_wheeler*G259,0))</f>
        <v/>
      </c>
      <c r="AR260" s="46">
        <f>AQ260*IF(B260&gt;=in_marketplace_from,d_hz_two_wheeler*G260,0)</f>
        <v/>
      </c>
      <c r="AS260" s="14">
        <f>F260*AR260*in_two_wheeler_ticket*in_two_wheeler_comm*in_ins_partner_share+F260*in_two_wheeler_ticket*in_two_wheeler_comm*in_ins_partner_share*(in_two_wheeler_renew^1*SUMIFS(AR236:AR291,B236:B291,B260-12)+in_two_wheeler_renew^2*SUMIFS(AR236:AR291,B236:B291,B260-24)+in_two_wheeler_renew^3*SUMIFS(AR236:AR291,B236:B291,B260-36)+in_two_wheeler_renew^4*SUMIFS(AR236:AR291,B236:B291,B260-48))</f>
        <v/>
      </c>
      <c r="AT260" s="40">
        <f>AT259*(1-IF(B259&gt;=in_marketplace_from,d_hz_device*G259,0))</f>
        <v/>
      </c>
      <c r="AU260" s="14">
        <f>F260*AT260*IF(B260&gt;=in_marketplace_from,d_hz_device*G260,0)*in_device_ticket*in_device_comm*in_ins_partner_share</f>
        <v/>
      </c>
      <c r="AV260" s="40">
        <f>AV259*(1-IF(B259&gt;=in_marketplace_from,d_hz_shop*G259,0))</f>
        <v/>
      </c>
      <c r="AW260" s="46">
        <f>AV260*IF(B260&gt;=in_marketplace_from,d_hz_shop*G260,0)</f>
        <v/>
      </c>
      <c r="AX260" s="14">
        <f>F260*AW260*in_shop_ticket*in_shop_comm*in_ins_partner_share+F260*in_shop_ticket*in_shop_renew_comm*in_ins_partner_share*(in_shop_renew^1*SUMIFS(AW236:AW291,B236:B291,B260-12)+in_shop_renew^2*SUMIFS(AW236:AW291,B236:B291,B260-24)+in_shop_renew^3*SUMIFS(AW236:AW291,B236:B291,B260-36)+in_shop_renew^4*SUMIFS(AW236:AW291,B236:B291,B260-48))</f>
        <v/>
      </c>
      <c r="AY260" s="40">
        <f>AY259*(1-IF(B259&gt;=in_marketplace_from,d_hz_sip*G259,0))</f>
        <v/>
      </c>
      <c r="AZ260" s="40">
        <f>AZ259*d_rho_sip+AY260*IF(B260&gt;=in_marketplace_from,d_hz_sip*G260,0)</f>
        <v/>
      </c>
      <c r="BA260" s="40">
        <f>d_rho_sip*(BA259+AZ259)</f>
        <v/>
      </c>
      <c r="BB260" s="14">
        <f>F260*in_sip_ticket*(BA260+0.5*AZ260)*in_sip_comm/12</f>
        <v/>
      </c>
      <c r="BC260" s="40">
        <f>BC259*(1-IF(B259&gt;=in_marketplace_from,d_hz_choti*G259,0))</f>
        <v/>
      </c>
      <c r="BD260" s="46">
        <f>BC260*IF(B260&gt;=in_marketplace_from,d_hz_choti*G260,0)</f>
        <v/>
      </c>
      <c r="BE260" s="14">
        <f>F260*SUMIFS(BD236:BD291,B236:B291,B260-in_choti_months)*in_choti_renew*in_choti_ticket</f>
        <v/>
      </c>
      <c r="BF260" s="40">
        <f>BF259*(1-IF(B259&gt;=in_marketplace_from,d_hz_nps*G259,0))</f>
        <v/>
      </c>
      <c r="BG260" s="14">
        <f>F260*BF260*IF(B260&gt;=in_marketplace_from,d_hz_nps*G260,0)*in_nps_ticket*in_nps_comm</f>
        <v/>
      </c>
      <c r="BH260" s="40">
        <f>BH259*(1-IF(B259&gt;=in_marketplace_from,d_hz_gold*G259,0))</f>
        <v/>
      </c>
      <c r="BI260" s="40">
        <f>BI259*d_rho_gold+BH260*IF(B260&gt;=in_marketplace_from,d_hz_gold*G260,0)</f>
        <v/>
      </c>
      <c r="BJ260" s="14">
        <f>F260*BI260*in_gold_ticket*in_gold_comm</f>
        <v/>
      </c>
      <c r="BK260" s="40">
        <f>BK259*(1-IF(B259&gt;=in_marketplace_from,d_hz_fd*G259,0))</f>
        <v/>
      </c>
      <c r="BL260" s="14">
        <f>F260*BK260*IF(B260&gt;=in_marketplace_from,d_hz_fd*G260,0)*in_fd_ticket*in_fd_comm</f>
        <v/>
      </c>
      <c r="BM260" s="40">
        <f>BM259*(1-IF(B259&gt;=in_marketplace_from,d_hz_recharge*G259,0))</f>
        <v/>
      </c>
      <c r="BN260" s="40">
        <f>BN259*d_rho_recharge+BM260*IF(B260&gt;=in_marketplace_from,d_hz_recharge*G260,0)</f>
        <v/>
      </c>
      <c r="BO260" s="14">
        <f>F260*BN260*in_recharge_ticket*in_recharge_comm/12</f>
        <v/>
      </c>
      <c r="BP260" s="40">
        <f>BP259*(1-IF(B259&gt;=in_marketplace_from,d_hz_bills*G259,0))</f>
        <v/>
      </c>
      <c r="BQ260" s="40">
        <f>BQ259*d_rho_bills+BP260*IF(B260&gt;=in_marketplace_from,d_hz_bills*G260,0)</f>
        <v/>
      </c>
      <c r="BR260" s="14">
        <f>F260*BQ260*in_bills_ticket*in_bills_comm/12</f>
        <v/>
      </c>
      <c r="BS260" s="40">
        <f>BS259*(1-IF(B259&gt;=in_marketplace_from,d_hz_loan_gold*G259,0))</f>
        <v/>
      </c>
      <c r="BT260" s="14">
        <f>F260*BS260*IF(B260&gt;=in_marketplace_from,d_hz_loan_gold*G260,0)*in_loan_gold_ticket*in_loan_gold_comm</f>
        <v/>
      </c>
      <c r="BU260" s="40">
        <f>BU259*(1-IF(B259&gt;=in_marketplace_from,d_hz_loan_cd*G259,0))</f>
        <v/>
      </c>
      <c r="BV260" s="14">
        <f>F260*BU260*IF(B260&gt;=in_marketplace_from,d_hz_loan_cd*G260,0)*in_loan_cd_ticket*in_loan_cd_comm</f>
        <v/>
      </c>
      <c r="BW260" s="40">
        <f>BW259*(1-IF(B259&gt;=in_marketplace_from,d_hz_loan_vehicle*G259,0))</f>
        <v/>
      </c>
      <c r="BX260" s="14">
        <f>F260*BW260*IF(B260&gt;=in_marketplace_from,d_hz_loan_vehicle*G260,0)*in_loan_vehicle_ticket*in_loan_vehicle_comm</f>
        <v/>
      </c>
      <c r="BY260" s="40">
        <f>BY259*(1-IF(B259&gt;=in_marketplace_from,d_hz_loan_home*G259,0)*BZ259)</f>
        <v/>
      </c>
      <c r="BZ260" s="11">
        <f>MIN(in_approval_cap,in_loan_home_approval*INDEX('Age profile'!$O$2:$O$61,B260)*(1+in_approval_growth)^(D260-1))</f>
        <v/>
      </c>
      <c r="CA260" s="14">
        <f>F260*BY260*IF(B260&gt;=in_marketplace_from,d_hz_loan_home*G260,0)*BZ260*in_loan_home_ticket*in_loan_home_comm</f>
        <v/>
      </c>
      <c r="CB260" s="40">
        <f>CB259*(1-IF(B259&gt;=in_marketplace_from,d_hz_loan_lap*G259,0)*CC259)</f>
        <v/>
      </c>
      <c r="CC260" s="11">
        <f>MIN(in_approval_cap,in_loan_lap_approval*INDEX('Age profile'!$O$2:$O$61,B260)*(1+in_approval_growth)^(D260-1))</f>
        <v/>
      </c>
      <c r="CD260" s="14">
        <f>F260*CB260*IF(B260&gt;=in_marketplace_from,d_hz_loan_lap*G260,0)*CC260*in_loan_lap_ticket*in_loan_lap_comm</f>
        <v/>
      </c>
      <c r="CE260" s="14">
        <f>AA260+AB260+AC260+AD260+AG260+AJ260+AM260+AP260+AS260+AU260+AX260+BB260+BE260+BG260+BJ260+BL260+BO260+BR260+BT260+BV260+BX260+CA260+CD260</f>
        <v/>
      </c>
    </row>
    <row r="261">
      <c r="A261" s="39" t="n">
        <v>5</v>
      </c>
      <c r="B261" s="39" t="n">
        <v>26</v>
      </c>
      <c r="C261" s="39">
        <f>A261+B261-1</f>
        <v/>
      </c>
      <c r="D261" s="39">
        <f>INT((C261-1)/12)+1</f>
        <v/>
      </c>
      <c r="E261" s="44">
        <f>INDEX(Monthly!$B$2:$B$61,A261)</f>
        <v/>
      </c>
      <c r="F261" s="44">
        <f>E261*INDEX('Age profile'!$B$2:$B$61,B261)</f>
        <v/>
      </c>
      <c r="G261" s="45">
        <f>MIN(in_takeup_cap,INDEX('Age profile'!$N$2:$N$61,B261)*(1+in_takeup_growth)^(D261-1))</f>
        <v/>
      </c>
      <c r="H261" s="11">
        <f>MIN(in_approval_cap,in_approved_first*INDEX('Age profile'!$O$2:$O$61,B261)*(1+in_approval_growth)^(D261-1))</f>
        <v/>
      </c>
      <c r="I261" s="45">
        <f>G261*MIN(in_takeup_cap,INDEX('Age profile'!$O$2:$O$61,B261)*(1+in_approval_growth)^(D261-1))</f>
        <v/>
      </c>
      <c r="J261" s="40">
        <f>(J260-L260)*F261/F260</f>
        <v/>
      </c>
      <c r="K261" s="40">
        <f>(K260-M260)*F261/F260+SUMIFS(O236:O260,B236:B260,B261-1-d_T)*F261</f>
        <v/>
      </c>
      <c r="L261" s="40">
        <f>IF(B261&gt;=in_marketplace_from,J261*d_hz*G261*in_eligible*H261,0)</f>
        <v/>
      </c>
      <c r="M261" s="40">
        <f>IF(B261&gt;=in_marketplace_from,K261*d_hz*G261*in_eligible*in_approved_repeat,0)</f>
        <v/>
      </c>
      <c r="N261" s="40">
        <f>L261+M261</f>
        <v/>
      </c>
      <c r="O261" s="46">
        <f>N261/F261</f>
        <v/>
      </c>
      <c r="P261" s="40">
        <f>F261-J261-K261</f>
        <v/>
      </c>
      <c r="Q261" s="40">
        <f>IF(B261&gt;=in_marketplace_from,(J261+K261)*d_hz*G261,0)</f>
        <v/>
      </c>
      <c r="R261" s="40">
        <f>SUMIFS(N236:N291,B236:B291,"&gt;="&amp;(B261-d_T),B236:B291,"&lt;="&amp;(B261-1))</f>
        <v/>
      </c>
      <c r="S261" s="46">
        <f>(1-d_u)*S260+IF(d_T&gt;in_topup_lag,SUMIFS(O236:O291,B236:B291,B261-in_topup_lag)-d_udrop*SUMIFS(O236:O291,B236:B291,B261-d_T),0)</f>
        <v/>
      </c>
      <c r="T261" s="40">
        <f>F261*d_u*S261</f>
        <v/>
      </c>
      <c r="U261" s="9">
        <f>L261*in_ticket+M261*d_rep_ticket</f>
        <v/>
      </c>
      <c r="V261" s="9">
        <f>U261+T261*d_topup_amt</f>
        <v/>
      </c>
      <c r="W261" s="40">
        <f>N261+T261*d_topup_ratio</f>
        <v/>
      </c>
      <c r="X261" s="40">
        <f>SUMIFS(W236:W291,B236:B291,B261-in_dpd_lag)*d_cured</f>
        <v/>
      </c>
      <c r="Y261" s="40">
        <f>SUMIFS(W236:W291,B236:B291,B261-in_rec_lag)*d_recd</f>
        <v/>
      </c>
      <c r="Z261" s="40">
        <f>IF(AND(B261&gt;=in_marketplace_from,B261&lt;in_marketplace_from+in_card_months),in_card_share/in_card_months*F261*I261,IF(AND(B261&gt;=in_marketplace_from+in_card_months,B261&lt;in_marketplace_from+2*in_card_months),in_card_share*d_card_rem/in_card_months*F261*MIN(in_takeup_cap,(1+in_takeup_growth)^(D261-1))*MIN(in_takeup_cap,(1+in_approval_growth)^(D261-1)),0))</f>
        <v/>
      </c>
      <c r="AA261" s="14">
        <f>V261*in_fee*(1-in_taken_back)</f>
        <v/>
      </c>
      <c r="AB261" s="14">
        <f>SUMIFS(W236:W291,B236:B291,B261-in_dpd_lag)*d_dpd</f>
        <v/>
      </c>
      <c r="AC261" s="14">
        <f>SUMIFS(W236:W291,B236:B291,B261-in_rec_lag)*d_rec</f>
        <v/>
      </c>
      <c r="AD261" s="14">
        <f>Z261*in_card_fee</f>
        <v/>
      </c>
      <c r="AE261" s="40">
        <f>AE260*(1-IF(B260&gt;=in_marketplace_from,d_hz_hlth_small*G260,0))</f>
        <v/>
      </c>
      <c r="AF261" s="46">
        <f>AE261*IF(B261&gt;=in_marketplace_from,d_hz_hlth_small*G261,0)</f>
        <v/>
      </c>
      <c r="AG261" s="14">
        <f>F261*AF261*in_hlth_small_ticket*in_hlth_small_comm*in_ins_partner_share+F261*in_hlth_small_ticket*in_hlth_small_renew_comm*in_ins_partner_share*(in_hlth_small_renew^1*SUMIFS(AF236:AF291,B236:B291,B261-12)+in_hlth_small_renew^2*SUMIFS(AF236:AF291,B236:B291,B261-24)+in_hlth_small_renew^3*SUMIFS(AF236:AF291,B236:B291,B261-36)+in_hlth_small_renew^4*SUMIFS(AF236:AF291,B236:B291,B261-48))</f>
        <v/>
      </c>
      <c r="AH261" s="40">
        <f>AH260*(1-IF(B260&gt;=in_marketplace_from,d_hz_hlth_family*G260,0))</f>
        <v/>
      </c>
      <c r="AI261" s="46">
        <f>AH261*IF(B261&gt;=in_marketplace_from,d_hz_hlth_family*G261,0)</f>
        <v/>
      </c>
      <c r="AJ261" s="14">
        <f>F261*AI261*in_hlth_family_ticket*in_hlth_family_comm*in_ins_partner_share+F261*in_hlth_family_ticket*in_hlth_family_renew_comm*in_ins_partner_share*(in_hlth_family_renew^1*SUMIFS(AI236:AI291,B236:B291,B261-12)+in_hlth_family_renew^2*SUMIFS(AI236:AI291,B236:B291,B261-24)+in_hlth_family_renew^3*SUMIFS(AI236:AI291,B236:B291,B261-36)+in_hlth_family_renew^4*SUMIFS(AI236:AI291,B236:B291,B261-48))</f>
        <v/>
      </c>
      <c r="AK261" s="40">
        <f>AK260*(1-IF(B260&gt;=in_marketplace_from,d_hz_life_term*G260,0))</f>
        <v/>
      </c>
      <c r="AL261" s="46">
        <f>AK261*IF(B261&gt;=in_marketplace_from,d_hz_life_term*G261,0)</f>
        <v/>
      </c>
      <c r="AM261" s="14">
        <f>F261*AL261*in_life_term_ticket*in_life_term_comm*in_ins_partner_share+F261*in_life_term_ticket*in_life_term_renew_comm*in_ins_partner_share*(in_life_term_renew^1*SUMIFS(AL236:AL291,B236:B291,B261-12)+in_life_term_renew^2*SUMIFS(AL236:AL291,B236:B291,B261-24)+in_life_term_renew^3*SUMIFS(AL236:AL291,B236:B291,B261-36)+in_life_term_renew^4*SUMIFS(AL236:AL291,B236:B291,B261-48))</f>
        <v/>
      </c>
      <c r="AN261" s="40">
        <f>AN260*(1-IF(B260&gt;=in_marketplace_from,d_hz_accident*G260,0))</f>
        <v/>
      </c>
      <c r="AO261" s="46">
        <f>AN261*IF(B261&gt;=in_marketplace_from,d_hz_accident*G261,0)</f>
        <v/>
      </c>
      <c r="AP261" s="14">
        <f>F261*AO261*in_accident_ticket*in_accident_comm*in_ins_partner_share+F261*in_accident_ticket*in_accident_renew_comm*in_ins_partner_share*(in_accident_renew^1*SUMIFS(AO236:AO291,B236:B291,B261-12)+in_accident_renew^2*SUMIFS(AO236:AO291,B236:B291,B261-24)+in_accident_renew^3*SUMIFS(AO236:AO291,B236:B291,B261-36)+in_accident_renew^4*SUMIFS(AO236:AO291,B236:B291,B261-48))</f>
        <v/>
      </c>
      <c r="AQ261" s="40">
        <f>AQ260*(1-IF(B260&gt;=in_marketplace_from,d_hz_two_wheeler*G260,0))</f>
        <v/>
      </c>
      <c r="AR261" s="46">
        <f>AQ261*IF(B261&gt;=in_marketplace_from,d_hz_two_wheeler*G261,0)</f>
        <v/>
      </c>
      <c r="AS261" s="14">
        <f>F261*AR261*in_two_wheeler_ticket*in_two_wheeler_comm*in_ins_partner_share+F261*in_two_wheeler_ticket*in_two_wheeler_comm*in_ins_partner_share*(in_two_wheeler_renew^1*SUMIFS(AR236:AR291,B236:B291,B261-12)+in_two_wheeler_renew^2*SUMIFS(AR236:AR291,B236:B291,B261-24)+in_two_wheeler_renew^3*SUMIFS(AR236:AR291,B236:B291,B261-36)+in_two_wheeler_renew^4*SUMIFS(AR236:AR291,B236:B291,B261-48))</f>
        <v/>
      </c>
      <c r="AT261" s="40">
        <f>AT260*(1-IF(B260&gt;=in_marketplace_from,d_hz_device*G260,0))</f>
        <v/>
      </c>
      <c r="AU261" s="14">
        <f>F261*AT261*IF(B261&gt;=in_marketplace_from,d_hz_device*G261,0)*in_device_ticket*in_device_comm*in_ins_partner_share</f>
        <v/>
      </c>
      <c r="AV261" s="40">
        <f>AV260*(1-IF(B260&gt;=in_marketplace_from,d_hz_shop*G260,0))</f>
        <v/>
      </c>
      <c r="AW261" s="46">
        <f>AV261*IF(B261&gt;=in_marketplace_from,d_hz_shop*G261,0)</f>
        <v/>
      </c>
      <c r="AX261" s="14">
        <f>F261*AW261*in_shop_ticket*in_shop_comm*in_ins_partner_share+F261*in_shop_ticket*in_shop_renew_comm*in_ins_partner_share*(in_shop_renew^1*SUMIFS(AW236:AW291,B236:B291,B261-12)+in_shop_renew^2*SUMIFS(AW236:AW291,B236:B291,B261-24)+in_shop_renew^3*SUMIFS(AW236:AW291,B236:B291,B261-36)+in_shop_renew^4*SUMIFS(AW236:AW291,B236:B291,B261-48))</f>
        <v/>
      </c>
      <c r="AY261" s="40">
        <f>AY260*(1-IF(B260&gt;=in_marketplace_from,d_hz_sip*G260,0))</f>
        <v/>
      </c>
      <c r="AZ261" s="40">
        <f>AZ260*d_rho_sip+AY261*IF(B261&gt;=in_marketplace_from,d_hz_sip*G261,0)</f>
        <v/>
      </c>
      <c r="BA261" s="40">
        <f>d_rho_sip*(BA260+AZ260)</f>
        <v/>
      </c>
      <c r="BB261" s="14">
        <f>F261*in_sip_ticket*(BA261+0.5*AZ261)*in_sip_comm/12</f>
        <v/>
      </c>
      <c r="BC261" s="40">
        <f>BC260*(1-IF(B260&gt;=in_marketplace_from,d_hz_choti*G260,0))</f>
        <v/>
      </c>
      <c r="BD261" s="46">
        <f>BC261*IF(B261&gt;=in_marketplace_from,d_hz_choti*G261,0)</f>
        <v/>
      </c>
      <c r="BE261" s="14">
        <f>F261*SUMIFS(BD236:BD291,B236:B291,B261-in_choti_months)*in_choti_renew*in_choti_ticket</f>
        <v/>
      </c>
      <c r="BF261" s="40">
        <f>BF260*(1-IF(B260&gt;=in_marketplace_from,d_hz_nps*G260,0))</f>
        <v/>
      </c>
      <c r="BG261" s="14">
        <f>F261*BF261*IF(B261&gt;=in_marketplace_from,d_hz_nps*G261,0)*in_nps_ticket*in_nps_comm</f>
        <v/>
      </c>
      <c r="BH261" s="40">
        <f>BH260*(1-IF(B260&gt;=in_marketplace_from,d_hz_gold*G260,0))</f>
        <v/>
      </c>
      <c r="BI261" s="40">
        <f>BI260*d_rho_gold+BH261*IF(B261&gt;=in_marketplace_from,d_hz_gold*G261,0)</f>
        <v/>
      </c>
      <c r="BJ261" s="14">
        <f>F261*BI261*in_gold_ticket*in_gold_comm</f>
        <v/>
      </c>
      <c r="BK261" s="40">
        <f>BK260*(1-IF(B260&gt;=in_marketplace_from,d_hz_fd*G260,0))</f>
        <v/>
      </c>
      <c r="BL261" s="14">
        <f>F261*BK261*IF(B261&gt;=in_marketplace_from,d_hz_fd*G261,0)*in_fd_ticket*in_fd_comm</f>
        <v/>
      </c>
      <c r="BM261" s="40">
        <f>BM260*(1-IF(B260&gt;=in_marketplace_from,d_hz_recharge*G260,0))</f>
        <v/>
      </c>
      <c r="BN261" s="40">
        <f>BN260*d_rho_recharge+BM261*IF(B261&gt;=in_marketplace_from,d_hz_recharge*G261,0)</f>
        <v/>
      </c>
      <c r="BO261" s="14">
        <f>F261*BN261*in_recharge_ticket*in_recharge_comm/12</f>
        <v/>
      </c>
      <c r="BP261" s="40">
        <f>BP260*(1-IF(B260&gt;=in_marketplace_from,d_hz_bills*G260,0))</f>
        <v/>
      </c>
      <c r="BQ261" s="40">
        <f>BQ260*d_rho_bills+BP261*IF(B261&gt;=in_marketplace_from,d_hz_bills*G261,0)</f>
        <v/>
      </c>
      <c r="BR261" s="14">
        <f>F261*BQ261*in_bills_ticket*in_bills_comm/12</f>
        <v/>
      </c>
      <c r="BS261" s="40">
        <f>BS260*(1-IF(B260&gt;=in_marketplace_from,d_hz_loan_gold*G260,0))</f>
        <v/>
      </c>
      <c r="BT261" s="14">
        <f>F261*BS261*IF(B261&gt;=in_marketplace_from,d_hz_loan_gold*G261,0)*in_loan_gold_ticket*in_loan_gold_comm</f>
        <v/>
      </c>
      <c r="BU261" s="40">
        <f>BU260*(1-IF(B260&gt;=in_marketplace_from,d_hz_loan_cd*G260,0))</f>
        <v/>
      </c>
      <c r="BV261" s="14">
        <f>F261*BU261*IF(B261&gt;=in_marketplace_from,d_hz_loan_cd*G261,0)*in_loan_cd_ticket*in_loan_cd_comm</f>
        <v/>
      </c>
      <c r="BW261" s="40">
        <f>BW260*(1-IF(B260&gt;=in_marketplace_from,d_hz_loan_vehicle*G260,0))</f>
        <v/>
      </c>
      <c r="BX261" s="14">
        <f>F261*BW261*IF(B261&gt;=in_marketplace_from,d_hz_loan_vehicle*G261,0)*in_loan_vehicle_ticket*in_loan_vehicle_comm</f>
        <v/>
      </c>
      <c r="BY261" s="40">
        <f>BY260*(1-IF(B260&gt;=in_marketplace_from,d_hz_loan_home*G260,0)*BZ260)</f>
        <v/>
      </c>
      <c r="BZ261" s="11">
        <f>MIN(in_approval_cap,in_loan_home_approval*INDEX('Age profile'!$O$2:$O$61,B261)*(1+in_approval_growth)^(D261-1))</f>
        <v/>
      </c>
      <c r="CA261" s="14">
        <f>F261*BY261*IF(B261&gt;=in_marketplace_from,d_hz_loan_home*G261,0)*BZ261*in_loan_home_ticket*in_loan_home_comm</f>
        <v/>
      </c>
      <c r="CB261" s="40">
        <f>CB260*(1-IF(B260&gt;=in_marketplace_from,d_hz_loan_lap*G260,0)*CC260)</f>
        <v/>
      </c>
      <c r="CC261" s="11">
        <f>MIN(in_approval_cap,in_loan_lap_approval*INDEX('Age profile'!$O$2:$O$61,B261)*(1+in_approval_growth)^(D261-1))</f>
        <v/>
      </c>
      <c r="CD261" s="14">
        <f>F261*CB261*IF(B261&gt;=in_marketplace_from,d_hz_loan_lap*G261,0)*CC261*in_loan_lap_ticket*in_loan_lap_comm</f>
        <v/>
      </c>
      <c r="CE261" s="14">
        <f>AA261+AB261+AC261+AD261+AG261+AJ261+AM261+AP261+AS261+AU261+AX261+BB261+BE261+BG261+BJ261+BL261+BO261+BR261+BT261+BV261+BX261+CA261+CD261</f>
        <v/>
      </c>
    </row>
    <row r="262">
      <c r="A262" s="39" t="n">
        <v>5</v>
      </c>
      <c r="B262" s="39" t="n">
        <v>27</v>
      </c>
      <c r="C262" s="39">
        <f>A262+B262-1</f>
        <v/>
      </c>
      <c r="D262" s="39">
        <f>INT((C262-1)/12)+1</f>
        <v/>
      </c>
      <c r="E262" s="44">
        <f>INDEX(Monthly!$B$2:$B$61,A262)</f>
        <v/>
      </c>
      <c r="F262" s="44">
        <f>E262*INDEX('Age profile'!$B$2:$B$61,B262)</f>
        <v/>
      </c>
      <c r="G262" s="45">
        <f>MIN(in_takeup_cap,INDEX('Age profile'!$N$2:$N$61,B262)*(1+in_takeup_growth)^(D262-1))</f>
        <v/>
      </c>
      <c r="H262" s="11">
        <f>MIN(in_approval_cap,in_approved_first*INDEX('Age profile'!$O$2:$O$61,B262)*(1+in_approval_growth)^(D262-1))</f>
        <v/>
      </c>
      <c r="I262" s="45">
        <f>G262*MIN(in_takeup_cap,INDEX('Age profile'!$O$2:$O$61,B262)*(1+in_approval_growth)^(D262-1))</f>
        <v/>
      </c>
      <c r="J262" s="40">
        <f>(J261-L261)*F262/F261</f>
        <v/>
      </c>
      <c r="K262" s="40">
        <f>(K261-M261)*F262/F261+SUMIFS(O236:O261,B236:B261,B262-1-d_T)*F262</f>
        <v/>
      </c>
      <c r="L262" s="40">
        <f>IF(B262&gt;=in_marketplace_from,J262*d_hz*G262*in_eligible*H262,0)</f>
        <v/>
      </c>
      <c r="M262" s="40">
        <f>IF(B262&gt;=in_marketplace_from,K262*d_hz*G262*in_eligible*in_approved_repeat,0)</f>
        <v/>
      </c>
      <c r="N262" s="40">
        <f>L262+M262</f>
        <v/>
      </c>
      <c r="O262" s="46">
        <f>N262/F262</f>
        <v/>
      </c>
      <c r="P262" s="40">
        <f>F262-J262-K262</f>
        <v/>
      </c>
      <c r="Q262" s="40">
        <f>IF(B262&gt;=in_marketplace_from,(J262+K262)*d_hz*G262,0)</f>
        <v/>
      </c>
      <c r="R262" s="40">
        <f>SUMIFS(N236:N291,B236:B291,"&gt;="&amp;(B262-d_T),B236:B291,"&lt;="&amp;(B262-1))</f>
        <v/>
      </c>
      <c r="S262" s="46">
        <f>(1-d_u)*S261+IF(d_T&gt;in_topup_lag,SUMIFS(O236:O291,B236:B291,B262-in_topup_lag)-d_udrop*SUMIFS(O236:O291,B236:B291,B262-d_T),0)</f>
        <v/>
      </c>
      <c r="T262" s="40">
        <f>F262*d_u*S262</f>
        <v/>
      </c>
      <c r="U262" s="9">
        <f>L262*in_ticket+M262*d_rep_ticket</f>
        <v/>
      </c>
      <c r="V262" s="9">
        <f>U262+T262*d_topup_amt</f>
        <v/>
      </c>
      <c r="W262" s="40">
        <f>N262+T262*d_topup_ratio</f>
        <v/>
      </c>
      <c r="X262" s="40">
        <f>SUMIFS(W236:W291,B236:B291,B262-in_dpd_lag)*d_cured</f>
        <v/>
      </c>
      <c r="Y262" s="40">
        <f>SUMIFS(W236:W291,B236:B291,B262-in_rec_lag)*d_recd</f>
        <v/>
      </c>
      <c r="Z262" s="40">
        <f>IF(AND(B262&gt;=in_marketplace_from,B262&lt;in_marketplace_from+in_card_months),in_card_share/in_card_months*F262*I262,IF(AND(B262&gt;=in_marketplace_from+in_card_months,B262&lt;in_marketplace_from+2*in_card_months),in_card_share*d_card_rem/in_card_months*F262*MIN(in_takeup_cap,(1+in_takeup_growth)^(D262-1))*MIN(in_takeup_cap,(1+in_approval_growth)^(D262-1)),0))</f>
        <v/>
      </c>
      <c r="AA262" s="14">
        <f>V262*in_fee*(1-in_taken_back)</f>
        <v/>
      </c>
      <c r="AB262" s="14">
        <f>SUMIFS(W236:W291,B236:B291,B262-in_dpd_lag)*d_dpd</f>
        <v/>
      </c>
      <c r="AC262" s="14">
        <f>SUMIFS(W236:W291,B236:B291,B262-in_rec_lag)*d_rec</f>
        <v/>
      </c>
      <c r="AD262" s="14">
        <f>Z262*in_card_fee</f>
        <v/>
      </c>
      <c r="AE262" s="40">
        <f>AE261*(1-IF(B261&gt;=in_marketplace_from,d_hz_hlth_small*G261,0))</f>
        <v/>
      </c>
      <c r="AF262" s="46">
        <f>AE262*IF(B262&gt;=in_marketplace_from,d_hz_hlth_small*G262,0)</f>
        <v/>
      </c>
      <c r="AG262" s="14">
        <f>F262*AF262*in_hlth_small_ticket*in_hlth_small_comm*in_ins_partner_share+F262*in_hlth_small_ticket*in_hlth_small_renew_comm*in_ins_partner_share*(in_hlth_small_renew^1*SUMIFS(AF236:AF291,B236:B291,B262-12)+in_hlth_small_renew^2*SUMIFS(AF236:AF291,B236:B291,B262-24)+in_hlth_small_renew^3*SUMIFS(AF236:AF291,B236:B291,B262-36)+in_hlth_small_renew^4*SUMIFS(AF236:AF291,B236:B291,B262-48))</f>
        <v/>
      </c>
      <c r="AH262" s="40">
        <f>AH261*(1-IF(B261&gt;=in_marketplace_from,d_hz_hlth_family*G261,0))</f>
        <v/>
      </c>
      <c r="AI262" s="46">
        <f>AH262*IF(B262&gt;=in_marketplace_from,d_hz_hlth_family*G262,0)</f>
        <v/>
      </c>
      <c r="AJ262" s="14">
        <f>F262*AI262*in_hlth_family_ticket*in_hlth_family_comm*in_ins_partner_share+F262*in_hlth_family_ticket*in_hlth_family_renew_comm*in_ins_partner_share*(in_hlth_family_renew^1*SUMIFS(AI236:AI291,B236:B291,B262-12)+in_hlth_family_renew^2*SUMIFS(AI236:AI291,B236:B291,B262-24)+in_hlth_family_renew^3*SUMIFS(AI236:AI291,B236:B291,B262-36)+in_hlth_family_renew^4*SUMIFS(AI236:AI291,B236:B291,B262-48))</f>
        <v/>
      </c>
      <c r="AK262" s="40">
        <f>AK261*(1-IF(B261&gt;=in_marketplace_from,d_hz_life_term*G261,0))</f>
        <v/>
      </c>
      <c r="AL262" s="46">
        <f>AK262*IF(B262&gt;=in_marketplace_from,d_hz_life_term*G262,0)</f>
        <v/>
      </c>
      <c r="AM262" s="14">
        <f>F262*AL262*in_life_term_ticket*in_life_term_comm*in_ins_partner_share+F262*in_life_term_ticket*in_life_term_renew_comm*in_ins_partner_share*(in_life_term_renew^1*SUMIFS(AL236:AL291,B236:B291,B262-12)+in_life_term_renew^2*SUMIFS(AL236:AL291,B236:B291,B262-24)+in_life_term_renew^3*SUMIFS(AL236:AL291,B236:B291,B262-36)+in_life_term_renew^4*SUMIFS(AL236:AL291,B236:B291,B262-48))</f>
        <v/>
      </c>
      <c r="AN262" s="40">
        <f>AN261*(1-IF(B261&gt;=in_marketplace_from,d_hz_accident*G261,0))</f>
        <v/>
      </c>
      <c r="AO262" s="46">
        <f>AN262*IF(B262&gt;=in_marketplace_from,d_hz_accident*G262,0)</f>
        <v/>
      </c>
      <c r="AP262" s="14">
        <f>F262*AO262*in_accident_ticket*in_accident_comm*in_ins_partner_share+F262*in_accident_ticket*in_accident_renew_comm*in_ins_partner_share*(in_accident_renew^1*SUMIFS(AO236:AO291,B236:B291,B262-12)+in_accident_renew^2*SUMIFS(AO236:AO291,B236:B291,B262-24)+in_accident_renew^3*SUMIFS(AO236:AO291,B236:B291,B262-36)+in_accident_renew^4*SUMIFS(AO236:AO291,B236:B291,B262-48))</f>
        <v/>
      </c>
      <c r="AQ262" s="40">
        <f>AQ261*(1-IF(B261&gt;=in_marketplace_from,d_hz_two_wheeler*G261,0))</f>
        <v/>
      </c>
      <c r="AR262" s="46">
        <f>AQ262*IF(B262&gt;=in_marketplace_from,d_hz_two_wheeler*G262,0)</f>
        <v/>
      </c>
      <c r="AS262" s="14">
        <f>F262*AR262*in_two_wheeler_ticket*in_two_wheeler_comm*in_ins_partner_share+F262*in_two_wheeler_ticket*in_two_wheeler_comm*in_ins_partner_share*(in_two_wheeler_renew^1*SUMIFS(AR236:AR291,B236:B291,B262-12)+in_two_wheeler_renew^2*SUMIFS(AR236:AR291,B236:B291,B262-24)+in_two_wheeler_renew^3*SUMIFS(AR236:AR291,B236:B291,B262-36)+in_two_wheeler_renew^4*SUMIFS(AR236:AR291,B236:B291,B262-48))</f>
        <v/>
      </c>
      <c r="AT262" s="40">
        <f>AT261*(1-IF(B261&gt;=in_marketplace_from,d_hz_device*G261,0))</f>
        <v/>
      </c>
      <c r="AU262" s="14">
        <f>F262*AT262*IF(B262&gt;=in_marketplace_from,d_hz_device*G262,0)*in_device_ticket*in_device_comm*in_ins_partner_share</f>
        <v/>
      </c>
      <c r="AV262" s="40">
        <f>AV261*(1-IF(B261&gt;=in_marketplace_from,d_hz_shop*G261,0))</f>
        <v/>
      </c>
      <c r="AW262" s="46">
        <f>AV262*IF(B262&gt;=in_marketplace_from,d_hz_shop*G262,0)</f>
        <v/>
      </c>
      <c r="AX262" s="14">
        <f>F262*AW262*in_shop_ticket*in_shop_comm*in_ins_partner_share+F262*in_shop_ticket*in_shop_renew_comm*in_ins_partner_share*(in_shop_renew^1*SUMIFS(AW236:AW291,B236:B291,B262-12)+in_shop_renew^2*SUMIFS(AW236:AW291,B236:B291,B262-24)+in_shop_renew^3*SUMIFS(AW236:AW291,B236:B291,B262-36)+in_shop_renew^4*SUMIFS(AW236:AW291,B236:B291,B262-48))</f>
        <v/>
      </c>
      <c r="AY262" s="40">
        <f>AY261*(1-IF(B261&gt;=in_marketplace_from,d_hz_sip*G261,0))</f>
        <v/>
      </c>
      <c r="AZ262" s="40">
        <f>AZ261*d_rho_sip+AY262*IF(B262&gt;=in_marketplace_from,d_hz_sip*G262,0)</f>
        <v/>
      </c>
      <c r="BA262" s="40">
        <f>d_rho_sip*(BA261+AZ261)</f>
        <v/>
      </c>
      <c r="BB262" s="14">
        <f>F262*in_sip_ticket*(BA262+0.5*AZ262)*in_sip_comm/12</f>
        <v/>
      </c>
      <c r="BC262" s="40">
        <f>BC261*(1-IF(B261&gt;=in_marketplace_from,d_hz_choti*G261,0))</f>
        <v/>
      </c>
      <c r="BD262" s="46">
        <f>BC262*IF(B262&gt;=in_marketplace_from,d_hz_choti*G262,0)</f>
        <v/>
      </c>
      <c r="BE262" s="14">
        <f>F262*SUMIFS(BD236:BD291,B236:B291,B262-in_choti_months)*in_choti_renew*in_choti_ticket</f>
        <v/>
      </c>
      <c r="BF262" s="40">
        <f>BF261*(1-IF(B261&gt;=in_marketplace_from,d_hz_nps*G261,0))</f>
        <v/>
      </c>
      <c r="BG262" s="14">
        <f>F262*BF262*IF(B262&gt;=in_marketplace_from,d_hz_nps*G262,0)*in_nps_ticket*in_nps_comm</f>
        <v/>
      </c>
      <c r="BH262" s="40">
        <f>BH261*(1-IF(B261&gt;=in_marketplace_from,d_hz_gold*G261,0))</f>
        <v/>
      </c>
      <c r="BI262" s="40">
        <f>BI261*d_rho_gold+BH262*IF(B262&gt;=in_marketplace_from,d_hz_gold*G262,0)</f>
        <v/>
      </c>
      <c r="BJ262" s="14">
        <f>F262*BI262*in_gold_ticket*in_gold_comm</f>
        <v/>
      </c>
      <c r="BK262" s="40">
        <f>BK261*(1-IF(B261&gt;=in_marketplace_from,d_hz_fd*G261,0))</f>
        <v/>
      </c>
      <c r="BL262" s="14">
        <f>F262*BK262*IF(B262&gt;=in_marketplace_from,d_hz_fd*G262,0)*in_fd_ticket*in_fd_comm</f>
        <v/>
      </c>
      <c r="BM262" s="40">
        <f>BM261*(1-IF(B261&gt;=in_marketplace_from,d_hz_recharge*G261,0))</f>
        <v/>
      </c>
      <c r="BN262" s="40">
        <f>BN261*d_rho_recharge+BM262*IF(B262&gt;=in_marketplace_from,d_hz_recharge*G262,0)</f>
        <v/>
      </c>
      <c r="BO262" s="14">
        <f>F262*BN262*in_recharge_ticket*in_recharge_comm/12</f>
        <v/>
      </c>
      <c r="BP262" s="40">
        <f>BP261*(1-IF(B261&gt;=in_marketplace_from,d_hz_bills*G261,0))</f>
        <v/>
      </c>
      <c r="BQ262" s="40">
        <f>BQ261*d_rho_bills+BP262*IF(B262&gt;=in_marketplace_from,d_hz_bills*G262,0)</f>
        <v/>
      </c>
      <c r="BR262" s="14">
        <f>F262*BQ262*in_bills_ticket*in_bills_comm/12</f>
        <v/>
      </c>
      <c r="BS262" s="40">
        <f>BS261*(1-IF(B261&gt;=in_marketplace_from,d_hz_loan_gold*G261,0))</f>
        <v/>
      </c>
      <c r="BT262" s="14">
        <f>F262*BS262*IF(B262&gt;=in_marketplace_from,d_hz_loan_gold*G262,0)*in_loan_gold_ticket*in_loan_gold_comm</f>
        <v/>
      </c>
      <c r="BU262" s="40">
        <f>BU261*(1-IF(B261&gt;=in_marketplace_from,d_hz_loan_cd*G261,0))</f>
        <v/>
      </c>
      <c r="BV262" s="14">
        <f>F262*BU262*IF(B262&gt;=in_marketplace_from,d_hz_loan_cd*G262,0)*in_loan_cd_ticket*in_loan_cd_comm</f>
        <v/>
      </c>
      <c r="BW262" s="40">
        <f>BW261*(1-IF(B261&gt;=in_marketplace_from,d_hz_loan_vehicle*G261,0))</f>
        <v/>
      </c>
      <c r="BX262" s="14">
        <f>F262*BW262*IF(B262&gt;=in_marketplace_from,d_hz_loan_vehicle*G262,0)*in_loan_vehicle_ticket*in_loan_vehicle_comm</f>
        <v/>
      </c>
      <c r="BY262" s="40">
        <f>BY261*(1-IF(B261&gt;=in_marketplace_from,d_hz_loan_home*G261,0)*BZ261)</f>
        <v/>
      </c>
      <c r="BZ262" s="11">
        <f>MIN(in_approval_cap,in_loan_home_approval*INDEX('Age profile'!$O$2:$O$61,B262)*(1+in_approval_growth)^(D262-1))</f>
        <v/>
      </c>
      <c r="CA262" s="14">
        <f>F262*BY262*IF(B262&gt;=in_marketplace_from,d_hz_loan_home*G262,0)*BZ262*in_loan_home_ticket*in_loan_home_comm</f>
        <v/>
      </c>
      <c r="CB262" s="40">
        <f>CB261*(1-IF(B261&gt;=in_marketplace_from,d_hz_loan_lap*G261,0)*CC261)</f>
        <v/>
      </c>
      <c r="CC262" s="11">
        <f>MIN(in_approval_cap,in_loan_lap_approval*INDEX('Age profile'!$O$2:$O$61,B262)*(1+in_approval_growth)^(D262-1))</f>
        <v/>
      </c>
      <c r="CD262" s="14">
        <f>F262*CB262*IF(B262&gt;=in_marketplace_from,d_hz_loan_lap*G262,0)*CC262*in_loan_lap_ticket*in_loan_lap_comm</f>
        <v/>
      </c>
      <c r="CE262" s="14">
        <f>AA262+AB262+AC262+AD262+AG262+AJ262+AM262+AP262+AS262+AU262+AX262+BB262+BE262+BG262+BJ262+BL262+BO262+BR262+BT262+BV262+BX262+CA262+CD262</f>
        <v/>
      </c>
    </row>
    <row r="263">
      <c r="A263" s="39" t="n">
        <v>5</v>
      </c>
      <c r="B263" s="39" t="n">
        <v>28</v>
      </c>
      <c r="C263" s="39">
        <f>A263+B263-1</f>
        <v/>
      </c>
      <c r="D263" s="39">
        <f>INT((C263-1)/12)+1</f>
        <v/>
      </c>
      <c r="E263" s="44">
        <f>INDEX(Monthly!$B$2:$B$61,A263)</f>
        <v/>
      </c>
      <c r="F263" s="44">
        <f>E263*INDEX('Age profile'!$B$2:$B$61,B263)</f>
        <v/>
      </c>
      <c r="G263" s="45">
        <f>MIN(in_takeup_cap,INDEX('Age profile'!$N$2:$N$61,B263)*(1+in_takeup_growth)^(D263-1))</f>
        <v/>
      </c>
      <c r="H263" s="11">
        <f>MIN(in_approval_cap,in_approved_first*INDEX('Age profile'!$O$2:$O$61,B263)*(1+in_approval_growth)^(D263-1))</f>
        <v/>
      </c>
      <c r="I263" s="45">
        <f>G263*MIN(in_takeup_cap,INDEX('Age profile'!$O$2:$O$61,B263)*(1+in_approval_growth)^(D263-1))</f>
        <v/>
      </c>
      <c r="J263" s="40">
        <f>(J262-L262)*F263/F262</f>
        <v/>
      </c>
      <c r="K263" s="40">
        <f>(K262-M262)*F263/F262+SUMIFS(O236:O262,B236:B262,B263-1-d_T)*F263</f>
        <v/>
      </c>
      <c r="L263" s="40">
        <f>IF(B263&gt;=in_marketplace_from,J263*d_hz*G263*in_eligible*H263,0)</f>
        <v/>
      </c>
      <c r="M263" s="40">
        <f>IF(B263&gt;=in_marketplace_from,K263*d_hz*G263*in_eligible*in_approved_repeat,0)</f>
        <v/>
      </c>
      <c r="N263" s="40">
        <f>L263+M263</f>
        <v/>
      </c>
      <c r="O263" s="46">
        <f>N263/F263</f>
        <v/>
      </c>
      <c r="P263" s="40">
        <f>F263-J263-K263</f>
        <v/>
      </c>
      <c r="Q263" s="40">
        <f>IF(B263&gt;=in_marketplace_from,(J263+K263)*d_hz*G263,0)</f>
        <v/>
      </c>
      <c r="R263" s="40">
        <f>SUMIFS(N236:N291,B236:B291,"&gt;="&amp;(B263-d_T),B236:B291,"&lt;="&amp;(B263-1))</f>
        <v/>
      </c>
      <c r="S263" s="46">
        <f>(1-d_u)*S262+IF(d_T&gt;in_topup_lag,SUMIFS(O236:O291,B236:B291,B263-in_topup_lag)-d_udrop*SUMIFS(O236:O291,B236:B291,B263-d_T),0)</f>
        <v/>
      </c>
      <c r="T263" s="40">
        <f>F263*d_u*S263</f>
        <v/>
      </c>
      <c r="U263" s="9">
        <f>L263*in_ticket+M263*d_rep_ticket</f>
        <v/>
      </c>
      <c r="V263" s="9">
        <f>U263+T263*d_topup_amt</f>
        <v/>
      </c>
      <c r="W263" s="40">
        <f>N263+T263*d_topup_ratio</f>
        <v/>
      </c>
      <c r="X263" s="40">
        <f>SUMIFS(W236:W291,B236:B291,B263-in_dpd_lag)*d_cured</f>
        <v/>
      </c>
      <c r="Y263" s="40">
        <f>SUMIFS(W236:W291,B236:B291,B263-in_rec_lag)*d_recd</f>
        <v/>
      </c>
      <c r="Z263" s="40">
        <f>IF(AND(B263&gt;=in_marketplace_from,B263&lt;in_marketplace_from+in_card_months),in_card_share/in_card_months*F263*I263,IF(AND(B263&gt;=in_marketplace_from+in_card_months,B263&lt;in_marketplace_from+2*in_card_months),in_card_share*d_card_rem/in_card_months*F263*MIN(in_takeup_cap,(1+in_takeup_growth)^(D263-1))*MIN(in_takeup_cap,(1+in_approval_growth)^(D263-1)),0))</f>
        <v/>
      </c>
      <c r="AA263" s="14">
        <f>V263*in_fee*(1-in_taken_back)</f>
        <v/>
      </c>
      <c r="AB263" s="14">
        <f>SUMIFS(W236:W291,B236:B291,B263-in_dpd_lag)*d_dpd</f>
        <v/>
      </c>
      <c r="AC263" s="14">
        <f>SUMIFS(W236:W291,B236:B291,B263-in_rec_lag)*d_rec</f>
        <v/>
      </c>
      <c r="AD263" s="14">
        <f>Z263*in_card_fee</f>
        <v/>
      </c>
      <c r="AE263" s="40">
        <f>AE262*(1-IF(B262&gt;=in_marketplace_from,d_hz_hlth_small*G262,0))</f>
        <v/>
      </c>
      <c r="AF263" s="46">
        <f>AE263*IF(B263&gt;=in_marketplace_from,d_hz_hlth_small*G263,0)</f>
        <v/>
      </c>
      <c r="AG263" s="14">
        <f>F263*AF263*in_hlth_small_ticket*in_hlth_small_comm*in_ins_partner_share+F263*in_hlth_small_ticket*in_hlth_small_renew_comm*in_ins_partner_share*(in_hlth_small_renew^1*SUMIFS(AF236:AF291,B236:B291,B263-12)+in_hlth_small_renew^2*SUMIFS(AF236:AF291,B236:B291,B263-24)+in_hlth_small_renew^3*SUMIFS(AF236:AF291,B236:B291,B263-36)+in_hlth_small_renew^4*SUMIFS(AF236:AF291,B236:B291,B263-48))</f>
        <v/>
      </c>
      <c r="AH263" s="40">
        <f>AH262*(1-IF(B262&gt;=in_marketplace_from,d_hz_hlth_family*G262,0))</f>
        <v/>
      </c>
      <c r="AI263" s="46">
        <f>AH263*IF(B263&gt;=in_marketplace_from,d_hz_hlth_family*G263,0)</f>
        <v/>
      </c>
      <c r="AJ263" s="14">
        <f>F263*AI263*in_hlth_family_ticket*in_hlth_family_comm*in_ins_partner_share+F263*in_hlth_family_ticket*in_hlth_family_renew_comm*in_ins_partner_share*(in_hlth_family_renew^1*SUMIFS(AI236:AI291,B236:B291,B263-12)+in_hlth_family_renew^2*SUMIFS(AI236:AI291,B236:B291,B263-24)+in_hlth_family_renew^3*SUMIFS(AI236:AI291,B236:B291,B263-36)+in_hlth_family_renew^4*SUMIFS(AI236:AI291,B236:B291,B263-48))</f>
        <v/>
      </c>
      <c r="AK263" s="40">
        <f>AK262*(1-IF(B262&gt;=in_marketplace_from,d_hz_life_term*G262,0))</f>
        <v/>
      </c>
      <c r="AL263" s="46">
        <f>AK263*IF(B263&gt;=in_marketplace_from,d_hz_life_term*G263,0)</f>
        <v/>
      </c>
      <c r="AM263" s="14">
        <f>F263*AL263*in_life_term_ticket*in_life_term_comm*in_ins_partner_share+F263*in_life_term_ticket*in_life_term_renew_comm*in_ins_partner_share*(in_life_term_renew^1*SUMIFS(AL236:AL291,B236:B291,B263-12)+in_life_term_renew^2*SUMIFS(AL236:AL291,B236:B291,B263-24)+in_life_term_renew^3*SUMIFS(AL236:AL291,B236:B291,B263-36)+in_life_term_renew^4*SUMIFS(AL236:AL291,B236:B291,B263-48))</f>
        <v/>
      </c>
      <c r="AN263" s="40">
        <f>AN262*(1-IF(B262&gt;=in_marketplace_from,d_hz_accident*G262,0))</f>
        <v/>
      </c>
      <c r="AO263" s="46">
        <f>AN263*IF(B263&gt;=in_marketplace_from,d_hz_accident*G263,0)</f>
        <v/>
      </c>
      <c r="AP263" s="14">
        <f>F263*AO263*in_accident_ticket*in_accident_comm*in_ins_partner_share+F263*in_accident_ticket*in_accident_renew_comm*in_ins_partner_share*(in_accident_renew^1*SUMIFS(AO236:AO291,B236:B291,B263-12)+in_accident_renew^2*SUMIFS(AO236:AO291,B236:B291,B263-24)+in_accident_renew^3*SUMIFS(AO236:AO291,B236:B291,B263-36)+in_accident_renew^4*SUMIFS(AO236:AO291,B236:B291,B263-48))</f>
        <v/>
      </c>
      <c r="AQ263" s="40">
        <f>AQ262*(1-IF(B262&gt;=in_marketplace_from,d_hz_two_wheeler*G262,0))</f>
        <v/>
      </c>
      <c r="AR263" s="46">
        <f>AQ263*IF(B263&gt;=in_marketplace_from,d_hz_two_wheeler*G263,0)</f>
        <v/>
      </c>
      <c r="AS263" s="14">
        <f>F263*AR263*in_two_wheeler_ticket*in_two_wheeler_comm*in_ins_partner_share+F263*in_two_wheeler_ticket*in_two_wheeler_comm*in_ins_partner_share*(in_two_wheeler_renew^1*SUMIFS(AR236:AR291,B236:B291,B263-12)+in_two_wheeler_renew^2*SUMIFS(AR236:AR291,B236:B291,B263-24)+in_two_wheeler_renew^3*SUMIFS(AR236:AR291,B236:B291,B263-36)+in_two_wheeler_renew^4*SUMIFS(AR236:AR291,B236:B291,B263-48))</f>
        <v/>
      </c>
      <c r="AT263" s="40">
        <f>AT262*(1-IF(B262&gt;=in_marketplace_from,d_hz_device*G262,0))</f>
        <v/>
      </c>
      <c r="AU263" s="14">
        <f>F263*AT263*IF(B263&gt;=in_marketplace_from,d_hz_device*G263,0)*in_device_ticket*in_device_comm*in_ins_partner_share</f>
        <v/>
      </c>
      <c r="AV263" s="40">
        <f>AV262*(1-IF(B262&gt;=in_marketplace_from,d_hz_shop*G262,0))</f>
        <v/>
      </c>
      <c r="AW263" s="46">
        <f>AV263*IF(B263&gt;=in_marketplace_from,d_hz_shop*G263,0)</f>
        <v/>
      </c>
      <c r="AX263" s="14">
        <f>F263*AW263*in_shop_ticket*in_shop_comm*in_ins_partner_share+F263*in_shop_ticket*in_shop_renew_comm*in_ins_partner_share*(in_shop_renew^1*SUMIFS(AW236:AW291,B236:B291,B263-12)+in_shop_renew^2*SUMIFS(AW236:AW291,B236:B291,B263-24)+in_shop_renew^3*SUMIFS(AW236:AW291,B236:B291,B263-36)+in_shop_renew^4*SUMIFS(AW236:AW291,B236:B291,B263-48))</f>
        <v/>
      </c>
      <c r="AY263" s="40">
        <f>AY262*(1-IF(B262&gt;=in_marketplace_from,d_hz_sip*G262,0))</f>
        <v/>
      </c>
      <c r="AZ263" s="40">
        <f>AZ262*d_rho_sip+AY263*IF(B263&gt;=in_marketplace_from,d_hz_sip*G263,0)</f>
        <v/>
      </c>
      <c r="BA263" s="40">
        <f>d_rho_sip*(BA262+AZ262)</f>
        <v/>
      </c>
      <c r="BB263" s="14">
        <f>F263*in_sip_ticket*(BA263+0.5*AZ263)*in_sip_comm/12</f>
        <v/>
      </c>
      <c r="BC263" s="40">
        <f>BC262*(1-IF(B262&gt;=in_marketplace_from,d_hz_choti*G262,0))</f>
        <v/>
      </c>
      <c r="BD263" s="46">
        <f>BC263*IF(B263&gt;=in_marketplace_from,d_hz_choti*G263,0)</f>
        <v/>
      </c>
      <c r="BE263" s="14">
        <f>F263*SUMIFS(BD236:BD291,B236:B291,B263-in_choti_months)*in_choti_renew*in_choti_ticket</f>
        <v/>
      </c>
      <c r="BF263" s="40">
        <f>BF262*(1-IF(B262&gt;=in_marketplace_from,d_hz_nps*G262,0))</f>
        <v/>
      </c>
      <c r="BG263" s="14">
        <f>F263*BF263*IF(B263&gt;=in_marketplace_from,d_hz_nps*G263,0)*in_nps_ticket*in_nps_comm</f>
        <v/>
      </c>
      <c r="BH263" s="40">
        <f>BH262*(1-IF(B262&gt;=in_marketplace_from,d_hz_gold*G262,0))</f>
        <v/>
      </c>
      <c r="BI263" s="40">
        <f>BI262*d_rho_gold+BH263*IF(B263&gt;=in_marketplace_from,d_hz_gold*G263,0)</f>
        <v/>
      </c>
      <c r="BJ263" s="14">
        <f>F263*BI263*in_gold_ticket*in_gold_comm</f>
        <v/>
      </c>
      <c r="BK263" s="40">
        <f>BK262*(1-IF(B262&gt;=in_marketplace_from,d_hz_fd*G262,0))</f>
        <v/>
      </c>
      <c r="BL263" s="14">
        <f>F263*BK263*IF(B263&gt;=in_marketplace_from,d_hz_fd*G263,0)*in_fd_ticket*in_fd_comm</f>
        <v/>
      </c>
      <c r="BM263" s="40">
        <f>BM262*(1-IF(B262&gt;=in_marketplace_from,d_hz_recharge*G262,0))</f>
        <v/>
      </c>
      <c r="BN263" s="40">
        <f>BN262*d_rho_recharge+BM263*IF(B263&gt;=in_marketplace_from,d_hz_recharge*G263,0)</f>
        <v/>
      </c>
      <c r="BO263" s="14">
        <f>F263*BN263*in_recharge_ticket*in_recharge_comm/12</f>
        <v/>
      </c>
      <c r="BP263" s="40">
        <f>BP262*(1-IF(B262&gt;=in_marketplace_from,d_hz_bills*G262,0))</f>
        <v/>
      </c>
      <c r="BQ263" s="40">
        <f>BQ262*d_rho_bills+BP263*IF(B263&gt;=in_marketplace_from,d_hz_bills*G263,0)</f>
        <v/>
      </c>
      <c r="BR263" s="14">
        <f>F263*BQ263*in_bills_ticket*in_bills_comm/12</f>
        <v/>
      </c>
      <c r="BS263" s="40">
        <f>BS262*(1-IF(B262&gt;=in_marketplace_from,d_hz_loan_gold*G262,0))</f>
        <v/>
      </c>
      <c r="BT263" s="14">
        <f>F263*BS263*IF(B263&gt;=in_marketplace_from,d_hz_loan_gold*G263,0)*in_loan_gold_ticket*in_loan_gold_comm</f>
        <v/>
      </c>
      <c r="BU263" s="40">
        <f>BU262*(1-IF(B262&gt;=in_marketplace_from,d_hz_loan_cd*G262,0))</f>
        <v/>
      </c>
      <c r="BV263" s="14">
        <f>F263*BU263*IF(B263&gt;=in_marketplace_from,d_hz_loan_cd*G263,0)*in_loan_cd_ticket*in_loan_cd_comm</f>
        <v/>
      </c>
      <c r="BW263" s="40">
        <f>BW262*(1-IF(B262&gt;=in_marketplace_from,d_hz_loan_vehicle*G262,0))</f>
        <v/>
      </c>
      <c r="BX263" s="14">
        <f>F263*BW263*IF(B263&gt;=in_marketplace_from,d_hz_loan_vehicle*G263,0)*in_loan_vehicle_ticket*in_loan_vehicle_comm</f>
        <v/>
      </c>
      <c r="BY263" s="40">
        <f>BY262*(1-IF(B262&gt;=in_marketplace_from,d_hz_loan_home*G262,0)*BZ262)</f>
        <v/>
      </c>
      <c r="BZ263" s="11">
        <f>MIN(in_approval_cap,in_loan_home_approval*INDEX('Age profile'!$O$2:$O$61,B263)*(1+in_approval_growth)^(D263-1))</f>
        <v/>
      </c>
      <c r="CA263" s="14">
        <f>F263*BY263*IF(B263&gt;=in_marketplace_from,d_hz_loan_home*G263,0)*BZ263*in_loan_home_ticket*in_loan_home_comm</f>
        <v/>
      </c>
      <c r="CB263" s="40">
        <f>CB262*(1-IF(B262&gt;=in_marketplace_from,d_hz_loan_lap*G262,0)*CC262)</f>
        <v/>
      </c>
      <c r="CC263" s="11">
        <f>MIN(in_approval_cap,in_loan_lap_approval*INDEX('Age profile'!$O$2:$O$61,B263)*(1+in_approval_growth)^(D263-1))</f>
        <v/>
      </c>
      <c r="CD263" s="14">
        <f>F263*CB263*IF(B263&gt;=in_marketplace_from,d_hz_loan_lap*G263,0)*CC263*in_loan_lap_ticket*in_loan_lap_comm</f>
        <v/>
      </c>
      <c r="CE263" s="14">
        <f>AA263+AB263+AC263+AD263+AG263+AJ263+AM263+AP263+AS263+AU263+AX263+BB263+BE263+BG263+BJ263+BL263+BO263+BR263+BT263+BV263+BX263+CA263+CD263</f>
        <v/>
      </c>
    </row>
    <row r="264">
      <c r="A264" s="39" t="n">
        <v>5</v>
      </c>
      <c r="B264" s="39" t="n">
        <v>29</v>
      </c>
      <c r="C264" s="39">
        <f>A264+B264-1</f>
        <v/>
      </c>
      <c r="D264" s="39">
        <f>INT((C264-1)/12)+1</f>
        <v/>
      </c>
      <c r="E264" s="44">
        <f>INDEX(Monthly!$B$2:$B$61,A264)</f>
        <v/>
      </c>
      <c r="F264" s="44">
        <f>E264*INDEX('Age profile'!$B$2:$B$61,B264)</f>
        <v/>
      </c>
      <c r="G264" s="45">
        <f>MIN(in_takeup_cap,INDEX('Age profile'!$N$2:$N$61,B264)*(1+in_takeup_growth)^(D264-1))</f>
        <v/>
      </c>
      <c r="H264" s="11">
        <f>MIN(in_approval_cap,in_approved_first*INDEX('Age profile'!$O$2:$O$61,B264)*(1+in_approval_growth)^(D264-1))</f>
        <v/>
      </c>
      <c r="I264" s="45">
        <f>G264*MIN(in_takeup_cap,INDEX('Age profile'!$O$2:$O$61,B264)*(1+in_approval_growth)^(D264-1))</f>
        <v/>
      </c>
      <c r="J264" s="40">
        <f>(J263-L263)*F264/F263</f>
        <v/>
      </c>
      <c r="K264" s="40">
        <f>(K263-M263)*F264/F263+SUMIFS(O236:O263,B236:B263,B264-1-d_T)*F264</f>
        <v/>
      </c>
      <c r="L264" s="40">
        <f>IF(B264&gt;=in_marketplace_from,J264*d_hz*G264*in_eligible*H264,0)</f>
        <v/>
      </c>
      <c r="M264" s="40">
        <f>IF(B264&gt;=in_marketplace_from,K264*d_hz*G264*in_eligible*in_approved_repeat,0)</f>
        <v/>
      </c>
      <c r="N264" s="40">
        <f>L264+M264</f>
        <v/>
      </c>
      <c r="O264" s="46">
        <f>N264/F264</f>
        <v/>
      </c>
      <c r="P264" s="40">
        <f>F264-J264-K264</f>
        <v/>
      </c>
      <c r="Q264" s="40">
        <f>IF(B264&gt;=in_marketplace_from,(J264+K264)*d_hz*G264,0)</f>
        <v/>
      </c>
      <c r="R264" s="40">
        <f>SUMIFS(N236:N291,B236:B291,"&gt;="&amp;(B264-d_T),B236:B291,"&lt;="&amp;(B264-1))</f>
        <v/>
      </c>
      <c r="S264" s="46">
        <f>(1-d_u)*S263+IF(d_T&gt;in_topup_lag,SUMIFS(O236:O291,B236:B291,B264-in_topup_lag)-d_udrop*SUMIFS(O236:O291,B236:B291,B264-d_T),0)</f>
        <v/>
      </c>
      <c r="T264" s="40">
        <f>F264*d_u*S264</f>
        <v/>
      </c>
      <c r="U264" s="9">
        <f>L264*in_ticket+M264*d_rep_ticket</f>
        <v/>
      </c>
      <c r="V264" s="9">
        <f>U264+T264*d_topup_amt</f>
        <v/>
      </c>
      <c r="W264" s="40">
        <f>N264+T264*d_topup_ratio</f>
        <v/>
      </c>
      <c r="X264" s="40">
        <f>SUMIFS(W236:W291,B236:B291,B264-in_dpd_lag)*d_cured</f>
        <v/>
      </c>
      <c r="Y264" s="40">
        <f>SUMIFS(W236:W291,B236:B291,B264-in_rec_lag)*d_recd</f>
        <v/>
      </c>
      <c r="Z264" s="40">
        <f>IF(AND(B264&gt;=in_marketplace_from,B264&lt;in_marketplace_from+in_card_months),in_card_share/in_card_months*F264*I264,IF(AND(B264&gt;=in_marketplace_from+in_card_months,B264&lt;in_marketplace_from+2*in_card_months),in_card_share*d_card_rem/in_card_months*F264*MIN(in_takeup_cap,(1+in_takeup_growth)^(D264-1))*MIN(in_takeup_cap,(1+in_approval_growth)^(D264-1)),0))</f>
        <v/>
      </c>
      <c r="AA264" s="14">
        <f>V264*in_fee*(1-in_taken_back)</f>
        <v/>
      </c>
      <c r="AB264" s="14">
        <f>SUMIFS(W236:W291,B236:B291,B264-in_dpd_lag)*d_dpd</f>
        <v/>
      </c>
      <c r="AC264" s="14">
        <f>SUMIFS(W236:W291,B236:B291,B264-in_rec_lag)*d_rec</f>
        <v/>
      </c>
      <c r="AD264" s="14">
        <f>Z264*in_card_fee</f>
        <v/>
      </c>
      <c r="AE264" s="40">
        <f>AE263*(1-IF(B263&gt;=in_marketplace_from,d_hz_hlth_small*G263,0))</f>
        <v/>
      </c>
      <c r="AF264" s="46">
        <f>AE264*IF(B264&gt;=in_marketplace_from,d_hz_hlth_small*G264,0)</f>
        <v/>
      </c>
      <c r="AG264" s="14">
        <f>F264*AF264*in_hlth_small_ticket*in_hlth_small_comm*in_ins_partner_share+F264*in_hlth_small_ticket*in_hlth_small_renew_comm*in_ins_partner_share*(in_hlth_small_renew^1*SUMIFS(AF236:AF291,B236:B291,B264-12)+in_hlth_small_renew^2*SUMIFS(AF236:AF291,B236:B291,B264-24)+in_hlth_small_renew^3*SUMIFS(AF236:AF291,B236:B291,B264-36)+in_hlth_small_renew^4*SUMIFS(AF236:AF291,B236:B291,B264-48))</f>
        <v/>
      </c>
      <c r="AH264" s="40">
        <f>AH263*(1-IF(B263&gt;=in_marketplace_from,d_hz_hlth_family*G263,0))</f>
        <v/>
      </c>
      <c r="AI264" s="46">
        <f>AH264*IF(B264&gt;=in_marketplace_from,d_hz_hlth_family*G264,0)</f>
        <v/>
      </c>
      <c r="AJ264" s="14">
        <f>F264*AI264*in_hlth_family_ticket*in_hlth_family_comm*in_ins_partner_share+F264*in_hlth_family_ticket*in_hlth_family_renew_comm*in_ins_partner_share*(in_hlth_family_renew^1*SUMIFS(AI236:AI291,B236:B291,B264-12)+in_hlth_family_renew^2*SUMIFS(AI236:AI291,B236:B291,B264-24)+in_hlth_family_renew^3*SUMIFS(AI236:AI291,B236:B291,B264-36)+in_hlth_family_renew^4*SUMIFS(AI236:AI291,B236:B291,B264-48))</f>
        <v/>
      </c>
      <c r="AK264" s="40">
        <f>AK263*(1-IF(B263&gt;=in_marketplace_from,d_hz_life_term*G263,0))</f>
        <v/>
      </c>
      <c r="AL264" s="46">
        <f>AK264*IF(B264&gt;=in_marketplace_from,d_hz_life_term*G264,0)</f>
        <v/>
      </c>
      <c r="AM264" s="14">
        <f>F264*AL264*in_life_term_ticket*in_life_term_comm*in_ins_partner_share+F264*in_life_term_ticket*in_life_term_renew_comm*in_ins_partner_share*(in_life_term_renew^1*SUMIFS(AL236:AL291,B236:B291,B264-12)+in_life_term_renew^2*SUMIFS(AL236:AL291,B236:B291,B264-24)+in_life_term_renew^3*SUMIFS(AL236:AL291,B236:B291,B264-36)+in_life_term_renew^4*SUMIFS(AL236:AL291,B236:B291,B264-48))</f>
        <v/>
      </c>
      <c r="AN264" s="40">
        <f>AN263*(1-IF(B263&gt;=in_marketplace_from,d_hz_accident*G263,0))</f>
        <v/>
      </c>
      <c r="AO264" s="46">
        <f>AN264*IF(B264&gt;=in_marketplace_from,d_hz_accident*G264,0)</f>
        <v/>
      </c>
      <c r="AP264" s="14">
        <f>F264*AO264*in_accident_ticket*in_accident_comm*in_ins_partner_share+F264*in_accident_ticket*in_accident_renew_comm*in_ins_partner_share*(in_accident_renew^1*SUMIFS(AO236:AO291,B236:B291,B264-12)+in_accident_renew^2*SUMIFS(AO236:AO291,B236:B291,B264-24)+in_accident_renew^3*SUMIFS(AO236:AO291,B236:B291,B264-36)+in_accident_renew^4*SUMIFS(AO236:AO291,B236:B291,B264-48))</f>
        <v/>
      </c>
      <c r="AQ264" s="40">
        <f>AQ263*(1-IF(B263&gt;=in_marketplace_from,d_hz_two_wheeler*G263,0))</f>
        <v/>
      </c>
      <c r="AR264" s="46">
        <f>AQ264*IF(B264&gt;=in_marketplace_from,d_hz_two_wheeler*G264,0)</f>
        <v/>
      </c>
      <c r="AS264" s="14">
        <f>F264*AR264*in_two_wheeler_ticket*in_two_wheeler_comm*in_ins_partner_share+F264*in_two_wheeler_ticket*in_two_wheeler_comm*in_ins_partner_share*(in_two_wheeler_renew^1*SUMIFS(AR236:AR291,B236:B291,B264-12)+in_two_wheeler_renew^2*SUMIFS(AR236:AR291,B236:B291,B264-24)+in_two_wheeler_renew^3*SUMIFS(AR236:AR291,B236:B291,B264-36)+in_two_wheeler_renew^4*SUMIFS(AR236:AR291,B236:B291,B264-48))</f>
        <v/>
      </c>
      <c r="AT264" s="40">
        <f>AT263*(1-IF(B263&gt;=in_marketplace_from,d_hz_device*G263,0))</f>
        <v/>
      </c>
      <c r="AU264" s="14">
        <f>F264*AT264*IF(B264&gt;=in_marketplace_from,d_hz_device*G264,0)*in_device_ticket*in_device_comm*in_ins_partner_share</f>
        <v/>
      </c>
      <c r="AV264" s="40">
        <f>AV263*(1-IF(B263&gt;=in_marketplace_from,d_hz_shop*G263,0))</f>
        <v/>
      </c>
      <c r="AW264" s="46">
        <f>AV264*IF(B264&gt;=in_marketplace_from,d_hz_shop*G264,0)</f>
        <v/>
      </c>
      <c r="AX264" s="14">
        <f>F264*AW264*in_shop_ticket*in_shop_comm*in_ins_partner_share+F264*in_shop_ticket*in_shop_renew_comm*in_ins_partner_share*(in_shop_renew^1*SUMIFS(AW236:AW291,B236:B291,B264-12)+in_shop_renew^2*SUMIFS(AW236:AW291,B236:B291,B264-24)+in_shop_renew^3*SUMIFS(AW236:AW291,B236:B291,B264-36)+in_shop_renew^4*SUMIFS(AW236:AW291,B236:B291,B264-48))</f>
        <v/>
      </c>
      <c r="AY264" s="40">
        <f>AY263*(1-IF(B263&gt;=in_marketplace_from,d_hz_sip*G263,0))</f>
        <v/>
      </c>
      <c r="AZ264" s="40">
        <f>AZ263*d_rho_sip+AY264*IF(B264&gt;=in_marketplace_from,d_hz_sip*G264,0)</f>
        <v/>
      </c>
      <c r="BA264" s="40">
        <f>d_rho_sip*(BA263+AZ263)</f>
        <v/>
      </c>
      <c r="BB264" s="14">
        <f>F264*in_sip_ticket*(BA264+0.5*AZ264)*in_sip_comm/12</f>
        <v/>
      </c>
      <c r="BC264" s="40">
        <f>BC263*(1-IF(B263&gt;=in_marketplace_from,d_hz_choti*G263,0))</f>
        <v/>
      </c>
      <c r="BD264" s="46">
        <f>BC264*IF(B264&gt;=in_marketplace_from,d_hz_choti*G264,0)</f>
        <v/>
      </c>
      <c r="BE264" s="14">
        <f>F264*SUMIFS(BD236:BD291,B236:B291,B264-in_choti_months)*in_choti_renew*in_choti_ticket</f>
        <v/>
      </c>
      <c r="BF264" s="40">
        <f>BF263*(1-IF(B263&gt;=in_marketplace_from,d_hz_nps*G263,0))</f>
        <v/>
      </c>
      <c r="BG264" s="14">
        <f>F264*BF264*IF(B264&gt;=in_marketplace_from,d_hz_nps*G264,0)*in_nps_ticket*in_nps_comm</f>
        <v/>
      </c>
      <c r="BH264" s="40">
        <f>BH263*(1-IF(B263&gt;=in_marketplace_from,d_hz_gold*G263,0))</f>
        <v/>
      </c>
      <c r="BI264" s="40">
        <f>BI263*d_rho_gold+BH264*IF(B264&gt;=in_marketplace_from,d_hz_gold*G264,0)</f>
        <v/>
      </c>
      <c r="BJ264" s="14">
        <f>F264*BI264*in_gold_ticket*in_gold_comm</f>
        <v/>
      </c>
      <c r="BK264" s="40">
        <f>BK263*(1-IF(B263&gt;=in_marketplace_from,d_hz_fd*G263,0))</f>
        <v/>
      </c>
      <c r="BL264" s="14">
        <f>F264*BK264*IF(B264&gt;=in_marketplace_from,d_hz_fd*G264,0)*in_fd_ticket*in_fd_comm</f>
        <v/>
      </c>
      <c r="BM264" s="40">
        <f>BM263*(1-IF(B263&gt;=in_marketplace_from,d_hz_recharge*G263,0))</f>
        <v/>
      </c>
      <c r="BN264" s="40">
        <f>BN263*d_rho_recharge+BM264*IF(B264&gt;=in_marketplace_from,d_hz_recharge*G264,0)</f>
        <v/>
      </c>
      <c r="BO264" s="14">
        <f>F264*BN264*in_recharge_ticket*in_recharge_comm/12</f>
        <v/>
      </c>
      <c r="BP264" s="40">
        <f>BP263*(1-IF(B263&gt;=in_marketplace_from,d_hz_bills*G263,0))</f>
        <v/>
      </c>
      <c r="BQ264" s="40">
        <f>BQ263*d_rho_bills+BP264*IF(B264&gt;=in_marketplace_from,d_hz_bills*G264,0)</f>
        <v/>
      </c>
      <c r="BR264" s="14">
        <f>F264*BQ264*in_bills_ticket*in_bills_comm/12</f>
        <v/>
      </c>
      <c r="BS264" s="40">
        <f>BS263*(1-IF(B263&gt;=in_marketplace_from,d_hz_loan_gold*G263,0))</f>
        <v/>
      </c>
      <c r="BT264" s="14">
        <f>F264*BS264*IF(B264&gt;=in_marketplace_from,d_hz_loan_gold*G264,0)*in_loan_gold_ticket*in_loan_gold_comm</f>
        <v/>
      </c>
      <c r="BU264" s="40">
        <f>BU263*(1-IF(B263&gt;=in_marketplace_from,d_hz_loan_cd*G263,0))</f>
        <v/>
      </c>
      <c r="BV264" s="14">
        <f>F264*BU264*IF(B264&gt;=in_marketplace_from,d_hz_loan_cd*G264,0)*in_loan_cd_ticket*in_loan_cd_comm</f>
        <v/>
      </c>
      <c r="BW264" s="40">
        <f>BW263*(1-IF(B263&gt;=in_marketplace_from,d_hz_loan_vehicle*G263,0))</f>
        <v/>
      </c>
      <c r="BX264" s="14">
        <f>F264*BW264*IF(B264&gt;=in_marketplace_from,d_hz_loan_vehicle*G264,0)*in_loan_vehicle_ticket*in_loan_vehicle_comm</f>
        <v/>
      </c>
      <c r="BY264" s="40">
        <f>BY263*(1-IF(B263&gt;=in_marketplace_from,d_hz_loan_home*G263,0)*BZ263)</f>
        <v/>
      </c>
      <c r="BZ264" s="11">
        <f>MIN(in_approval_cap,in_loan_home_approval*INDEX('Age profile'!$O$2:$O$61,B264)*(1+in_approval_growth)^(D264-1))</f>
        <v/>
      </c>
      <c r="CA264" s="14">
        <f>F264*BY264*IF(B264&gt;=in_marketplace_from,d_hz_loan_home*G264,0)*BZ264*in_loan_home_ticket*in_loan_home_comm</f>
        <v/>
      </c>
      <c r="CB264" s="40">
        <f>CB263*(1-IF(B263&gt;=in_marketplace_from,d_hz_loan_lap*G263,0)*CC263)</f>
        <v/>
      </c>
      <c r="CC264" s="11">
        <f>MIN(in_approval_cap,in_loan_lap_approval*INDEX('Age profile'!$O$2:$O$61,B264)*(1+in_approval_growth)^(D264-1))</f>
        <v/>
      </c>
      <c r="CD264" s="14">
        <f>F264*CB264*IF(B264&gt;=in_marketplace_from,d_hz_loan_lap*G264,0)*CC264*in_loan_lap_ticket*in_loan_lap_comm</f>
        <v/>
      </c>
      <c r="CE264" s="14">
        <f>AA264+AB264+AC264+AD264+AG264+AJ264+AM264+AP264+AS264+AU264+AX264+BB264+BE264+BG264+BJ264+BL264+BO264+BR264+BT264+BV264+BX264+CA264+CD264</f>
        <v/>
      </c>
    </row>
    <row r="265">
      <c r="A265" s="39" t="n">
        <v>5</v>
      </c>
      <c r="B265" s="39" t="n">
        <v>30</v>
      </c>
      <c r="C265" s="39">
        <f>A265+B265-1</f>
        <v/>
      </c>
      <c r="D265" s="39">
        <f>INT((C265-1)/12)+1</f>
        <v/>
      </c>
      <c r="E265" s="44">
        <f>INDEX(Monthly!$B$2:$B$61,A265)</f>
        <v/>
      </c>
      <c r="F265" s="44">
        <f>E265*INDEX('Age profile'!$B$2:$B$61,B265)</f>
        <v/>
      </c>
      <c r="G265" s="45">
        <f>MIN(in_takeup_cap,INDEX('Age profile'!$N$2:$N$61,B265)*(1+in_takeup_growth)^(D265-1))</f>
        <v/>
      </c>
      <c r="H265" s="11">
        <f>MIN(in_approval_cap,in_approved_first*INDEX('Age profile'!$O$2:$O$61,B265)*(1+in_approval_growth)^(D265-1))</f>
        <v/>
      </c>
      <c r="I265" s="45">
        <f>G265*MIN(in_takeup_cap,INDEX('Age profile'!$O$2:$O$61,B265)*(1+in_approval_growth)^(D265-1))</f>
        <v/>
      </c>
      <c r="J265" s="40">
        <f>(J264-L264)*F265/F264</f>
        <v/>
      </c>
      <c r="K265" s="40">
        <f>(K264-M264)*F265/F264+SUMIFS(O236:O264,B236:B264,B265-1-d_T)*F265</f>
        <v/>
      </c>
      <c r="L265" s="40">
        <f>IF(B265&gt;=in_marketplace_from,J265*d_hz*G265*in_eligible*H265,0)</f>
        <v/>
      </c>
      <c r="M265" s="40">
        <f>IF(B265&gt;=in_marketplace_from,K265*d_hz*G265*in_eligible*in_approved_repeat,0)</f>
        <v/>
      </c>
      <c r="N265" s="40">
        <f>L265+M265</f>
        <v/>
      </c>
      <c r="O265" s="46">
        <f>N265/F265</f>
        <v/>
      </c>
      <c r="P265" s="40">
        <f>F265-J265-K265</f>
        <v/>
      </c>
      <c r="Q265" s="40">
        <f>IF(B265&gt;=in_marketplace_from,(J265+K265)*d_hz*G265,0)</f>
        <v/>
      </c>
      <c r="R265" s="40">
        <f>SUMIFS(N236:N291,B236:B291,"&gt;="&amp;(B265-d_T),B236:B291,"&lt;="&amp;(B265-1))</f>
        <v/>
      </c>
      <c r="S265" s="46">
        <f>(1-d_u)*S264+IF(d_T&gt;in_topup_lag,SUMIFS(O236:O291,B236:B291,B265-in_topup_lag)-d_udrop*SUMIFS(O236:O291,B236:B291,B265-d_T),0)</f>
        <v/>
      </c>
      <c r="T265" s="40">
        <f>F265*d_u*S265</f>
        <v/>
      </c>
      <c r="U265" s="9">
        <f>L265*in_ticket+M265*d_rep_ticket</f>
        <v/>
      </c>
      <c r="V265" s="9">
        <f>U265+T265*d_topup_amt</f>
        <v/>
      </c>
      <c r="W265" s="40">
        <f>N265+T265*d_topup_ratio</f>
        <v/>
      </c>
      <c r="X265" s="40">
        <f>SUMIFS(W236:W291,B236:B291,B265-in_dpd_lag)*d_cured</f>
        <v/>
      </c>
      <c r="Y265" s="40">
        <f>SUMIFS(W236:W291,B236:B291,B265-in_rec_lag)*d_recd</f>
        <v/>
      </c>
      <c r="Z265" s="40">
        <f>IF(AND(B265&gt;=in_marketplace_from,B265&lt;in_marketplace_from+in_card_months),in_card_share/in_card_months*F265*I265,IF(AND(B265&gt;=in_marketplace_from+in_card_months,B265&lt;in_marketplace_from+2*in_card_months),in_card_share*d_card_rem/in_card_months*F265*MIN(in_takeup_cap,(1+in_takeup_growth)^(D265-1))*MIN(in_takeup_cap,(1+in_approval_growth)^(D265-1)),0))</f>
        <v/>
      </c>
      <c r="AA265" s="14">
        <f>V265*in_fee*(1-in_taken_back)</f>
        <v/>
      </c>
      <c r="AB265" s="14">
        <f>SUMIFS(W236:W291,B236:B291,B265-in_dpd_lag)*d_dpd</f>
        <v/>
      </c>
      <c r="AC265" s="14">
        <f>SUMIFS(W236:W291,B236:B291,B265-in_rec_lag)*d_rec</f>
        <v/>
      </c>
      <c r="AD265" s="14">
        <f>Z265*in_card_fee</f>
        <v/>
      </c>
      <c r="AE265" s="40">
        <f>AE264*(1-IF(B264&gt;=in_marketplace_from,d_hz_hlth_small*G264,0))</f>
        <v/>
      </c>
      <c r="AF265" s="46">
        <f>AE265*IF(B265&gt;=in_marketplace_from,d_hz_hlth_small*G265,0)</f>
        <v/>
      </c>
      <c r="AG265" s="14">
        <f>F265*AF265*in_hlth_small_ticket*in_hlth_small_comm*in_ins_partner_share+F265*in_hlth_small_ticket*in_hlth_small_renew_comm*in_ins_partner_share*(in_hlth_small_renew^1*SUMIFS(AF236:AF291,B236:B291,B265-12)+in_hlth_small_renew^2*SUMIFS(AF236:AF291,B236:B291,B265-24)+in_hlth_small_renew^3*SUMIFS(AF236:AF291,B236:B291,B265-36)+in_hlth_small_renew^4*SUMIFS(AF236:AF291,B236:B291,B265-48))</f>
        <v/>
      </c>
      <c r="AH265" s="40">
        <f>AH264*(1-IF(B264&gt;=in_marketplace_from,d_hz_hlth_family*G264,0))</f>
        <v/>
      </c>
      <c r="AI265" s="46">
        <f>AH265*IF(B265&gt;=in_marketplace_from,d_hz_hlth_family*G265,0)</f>
        <v/>
      </c>
      <c r="AJ265" s="14">
        <f>F265*AI265*in_hlth_family_ticket*in_hlth_family_comm*in_ins_partner_share+F265*in_hlth_family_ticket*in_hlth_family_renew_comm*in_ins_partner_share*(in_hlth_family_renew^1*SUMIFS(AI236:AI291,B236:B291,B265-12)+in_hlth_family_renew^2*SUMIFS(AI236:AI291,B236:B291,B265-24)+in_hlth_family_renew^3*SUMIFS(AI236:AI291,B236:B291,B265-36)+in_hlth_family_renew^4*SUMIFS(AI236:AI291,B236:B291,B265-48))</f>
        <v/>
      </c>
      <c r="AK265" s="40">
        <f>AK264*(1-IF(B264&gt;=in_marketplace_from,d_hz_life_term*G264,0))</f>
        <v/>
      </c>
      <c r="AL265" s="46">
        <f>AK265*IF(B265&gt;=in_marketplace_from,d_hz_life_term*G265,0)</f>
        <v/>
      </c>
      <c r="AM265" s="14">
        <f>F265*AL265*in_life_term_ticket*in_life_term_comm*in_ins_partner_share+F265*in_life_term_ticket*in_life_term_renew_comm*in_ins_partner_share*(in_life_term_renew^1*SUMIFS(AL236:AL291,B236:B291,B265-12)+in_life_term_renew^2*SUMIFS(AL236:AL291,B236:B291,B265-24)+in_life_term_renew^3*SUMIFS(AL236:AL291,B236:B291,B265-36)+in_life_term_renew^4*SUMIFS(AL236:AL291,B236:B291,B265-48))</f>
        <v/>
      </c>
      <c r="AN265" s="40">
        <f>AN264*(1-IF(B264&gt;=in_marketplace_from,d_hz_accident*G264,0))</f>
        <v/>
      </c>
      <c r="AO265" s="46">
        <f>AN265*IF(B265&gt;=in_marketplace_from,d_hz_accident*G265,0)</f>
        <v/>
      </c>
      <c r="AP265" s="14">
        <f>F265*AO265*in_accident_ticket*in_accident_comm*in_ins_partner_share+F265*in_accident_ticket*in_accident_renew_comm*in_ins_partner_share*(in_accident_renew^1*SUMIFS(AO236:AO291,B236:B291,B265-12)+in_accident_renew^2*SUMIFS(AO236:AO291,B236:B291,B265-24)+in_accident_renew^3*SUMIFS(AO236:AO291,B236:B291,B265-36)+in_accident_renew^4*SUMIFS(AO236:AO291,B236:B291,B265-48))</f>
        <v/>
      </c>
      <c r="AQ265" s="40">
        <f>AQ264*(1-IF(B264&gt;=in_marketplace_from,d_hz_two_wheeler*G264,0))</f>
        <v/>
      </c>
      <c r="AR265" s="46">
        <f>AQ265*IF(B265&gt;=in_marketplace_from,d_hz_two_wheeler*G265,0)</f>
        <v/>
      </c>
      <c r="AS265" s="14">
        <f>F265*AR265*in_two_wheeler_ticket*in_two_wheeler_comm*in_ins_partner_share+F265*in_two_wheeler_ticket*in_two_wheeler_comm*in_ins_partner_share*(in_two_wheeler_renew^1*SUMIFS(AR236:AR291,B236:B291,B265-12)+in_two_wheeler_renew^2*SUMIFS(AR236:AR291,B236:B291,B265-24)+in_two_wheeler_renew^3*SUMIFS(AR236:AR291,B236:B291,B265-36)+in_two_wheeler_renew^4*SUMIFS(AR236:AR291,B236:B291,B265-48))</f>
        <v/>
      </c>
      <c r="AT265" s="40">
        <f>AT264*(1-IF(B264&gt;=in_marketplace_from,d_hz_device*G264,0))</f>
        <v/>
      </c>
      <c r="AU265" s="14">
        <f>F265*AT265*IF(B265&gt;=in_marketplace_from,d_hz_device*G265,0)*in_device_ticket*in_device_comm*in_ins_partner_share</f>
        <v/>
      </c>
      <c r="AV265" s="40">
        <f>AV264*(1-IF(B264&gt;=in_marketplace_from,d_hz_shop*G264,0))</f>
        <v/>
      </c>
      <c r="AW265" s="46">
        <f>AV265*IF(B265&gt;=in_marketplace_from,d_hz_shop*G265,0)</f>
        <v/>
      </c>
      <c r="AX265" s="14">
        <f>F265*AW265*in_shop_ticket*in_shop_comm*in_ins_partner_share+F265*in_shop_ticket*in_shop_renew_comm*in_ins_partner_share*(in_shop_renew^1*SUMIFS(AW236:AW291,B236:B291,B265-12)+in_shop_renew^2*SUMIFS(AW236:AW291,B236:B291,B265-24)+in_shop_renew^3*SUMIFS(AW236:AW291,B236:B291,B265-36)+in_shop_renew^4*SUMIFS(AW236:AW291,B236:B291,B265-48))</f>
        <v/>
      </c>
      <c r="AY265" s="40">
        <f>AY264*(1-IF(B264&gt;=in_marketplace_from,d_hz_sip*G264,0))</f>
        <v/>
      </c>
      <c r="AZ265" s="40">
        <f>AZ264*d_rho_sip+AY265*IF(B265&gt;=in_marketplace_from,d_hz_sip*G265,0)</f>
        <v/>
      </c>
      <c r="BA265" s="40">
        <f>d_rho_sip*(BA264+AZ264)</f>
        <v/>
      </c>
      <c r="BB265" s="14">
        <f>F265*in_sip_ticket*(BA265+0.5*AZ265)*in_sip_comm/12</f>
        <v/>
      </c>
      <c r="BC265" s="40">
        <f>BC264*(1-IF(B264&gt;=in_marketplace_from,d_hz_choti*G264,0))</f>
        <v/>
      </c>
      <c r="BD265" s="46">
        <f>BC265*IF(B265&gt;=in_marketplace_from,d_hz_choti*G265,0)</f>
        <v/>
      </c>
      <c r="BE265" s="14">
        <f>F265*SUMIFS(BD236:BD291,B236:B291,B265-in_choti_months)*in_choti_renew*in_choti_ticket</f>
        <v/>
      </c>
      <c r="BF265" s="40">
        <f>BF264*(1-IF(B264&gt;=in_marketplace_from,d_hz_nps*G264,0))</f>
        <v/>
      </c>
      <c r="BG265" s="14">
        <f>F265*BF265*IF(B265&gt;=in_marketplace_from,d_hz_nps*G265,0)*in_nps_ticket*in_nps_comm</f>
        <v/>
      </c>
      <c r="BH265" s="40">
        <f>BH264*(1-IF(B264&gt;=in_marketplace_from,d_hz_gold*G264,0))</f>
        <v/>
      </c>
      <c r="BI265" s="40">
        <f>BI264*d_rho_gold+BH265*IF(B265&gt;=in_marketplace_from,d_hz_gold*G265,0)</f>
        <v/>
      </c>
      <c r="BJ265" s="14">
        <f>F265*BI265*in_gold_ticket*in_gold_comm</f>
        <v/>
      </c>
      <c r="BK265" s="40">
        <f>BK264*(1-IF(B264&gt;=in_marketplace_from,d_hz_fd*G264,0))</f>
        <v/>
      </c>
      <c r="BL265" s="14">
        <f>F265*BK265*IF(B265&gt;=in_marketplace_from,d_hz_fd*G265,0)*in_fd_ticket*in_fd_comm</f>
        <v/>
      </c>
      <c r="BM265" s="40">
        <f>BM264*(1-IF(B264&gt;=in_marketplace_from,d_hz_recharge*G264,0))</f>
        <v/>
      </c>
      <c r="BN265" s="40">
        <f>BN264*d_rho_recharge+BM265*IF(B265&gt;=in_marketplace_from,d_hz_recharge*G265,0)</f>
        <v/>
      </c>
      <c r="BO265" s="14">
        <f>F265*BN265*in_recharge_ticket*in_recharge_comm/12</f>
        <v/>
      </c>
      <c r="BP265" s="40">
        <f>BP264*(1-IF(B264&gt;=in_marketplace_from,d_hz_bills*G264,0))</f>
        <v/>
      </c>
      <c r="BQ265" s="40">
        <f>BQ264*d_rho_bills+BP265*IF(B265&gt;=in_marketplace_from,d_hz_bills*G265,0)</f>
        <v/>
      </c>
      <c r="BR265" s="14">
        <f>F265*BQ265*in_bills_ticket*in_bills_comm/12</f>
        <v/>
      </c>
      <c r="BS265" s="40">
        <f>BS264*(1-IF(B264&gt;=in_marketplace_from,d_hz_loan_gold*G264,0))</f>
        <v/>
      </c>
      <c r="BT265" s="14">
        <f>F265*BS265*IF(B265&gt;=in_marketplace_from,d_hz_loan_gold*G265,0)*in_loan_gold_ticket*in_loan_gold_comm</f>
        <v/>
      </c>
      <c r="BU265" s="40">
        <f>BU264*(1-IF(B264&gt;=in_marketplace_from,d_hz_loan_cd*G264,0))</f>
        <v/>
      </c>
      <c r="BV265" s="14">
        <f>F265*BU265*IF(B265&gt;=in_marketplace_from,d_hz_loan_cd*G265,0)*in_loan_cd_ticket*in_loan_cd_comm</f>
        <v/>
      </c>
      <c r="BW265" s="40">
        <f>BW264*(1-IF(B264&gt;=in_marketplace_from,d_hz_loan_vehicle*G264,0))</f>
        <v/>
      </c>
      <c r="BX265" s="14">
        <f>F265*BW265*IF(B265&gt;=in_marketplace_from,d_hz_loan_vehicle*G265,0)*in_loan_vehicle_ticket*in_loan_vehicle_comm</f>
        <v/>
      </c>
      <c r="BY265" s="40">
        <f>BY264*(1-IF(B264&gt;=in_marketplace_from,d_hz_loan_home*G264,0)*BZ264)</f>
        <v/>
      </c>
      <c r="BZ265" s="11">
        <f>MIN(in_approval_cap,in_loan_home_approval*INDEX('Age profile'!$O$2:$O$61,B265)*(1+in_approval_growth)^(D265-1))</f>
        <v/>
      </c>
      <c r="CA265" s="14">
        <f>F265*BY265*IF(B265&gt;=in_marketplace_from,d_hz_loan_home*G265,0)*BZ265*in_loan_home_ticket*in_loan_home_comm</f>
        <v/>
      </c>
      <c r="CB265" s="40">
        <f>CB264*(1-IF(B264&gt;=in_marketplace_from,d_hz_loan_lap*G264,0)*CC264)</f>
        <v/>
      </c>
      <c r="CC265" s="11">
        <f>MIN(in_approval_cap,in_loan_lap_approval*INDEX('Age profile'!$O$2:$O$61,B265)*(1+in_approval_growth)^(D265-1))</f>
        <v/>
      </c>
      <c r="CD265" s="14">
        <f>F265*CB265*IF(B265&gt;=in_marketplace_from,d_hz_loan_lap*G265,0)*CC265*in_loan_lap_ticket*in_loan_lap_comm</f>
        <v/>
      </c>
      <c r="CE265" s="14">
        <f>AA265+AB265+AC265+AD265+AG265+AJ265+AM265+AP265+AS265+AU265+AX265+BB265+BE265+BG265+BJ265+BL265+BO265+BR265+BT265+BV265+BX265+CA265+CD265</f>
        <v/>
      </c>
    </row>
    <row r="266">
      <c r="A266" s="39" t="n">
        <v>5</v>
      </c>
      <c r="B266" s="39" t="n">
        <v>31</v>
      </c>
      <c r="C266" s="39">
        <f>A266+B266-1</f>
        <v/>
      </c>
      <c r="D266" s="39">
        <f>INT((C266-1)/12)+1</f>
        <v/>
      </c>
      <c r="E266" s="44">
        <f>INDEX(Monthly!$B$2:$B$61,A266)</f>
        <v/>
      </c>
      <c r="F266" s="44">
        <f>E266*INDEX('Age profile'!$B$2:$B$61,B266)</f>
        <v/>
      </c>
      <c r="G266" s="45">
        <f>MIN(in_takeup_cap,INDEX('Age profile'!$N$2:$N$61,B266)*(1+in_takeup_growth)^(D266-1))</f>
        <v/>
      </c>
      <c r="H266" s="11">
        <f>MIN(in_approval_cap,in_approved_first*INDEX('Age profile'!$O$2:$O$61,B266)*(1+in_approval_growth)^(D266-1))</f>
        <v/>
      </c>
      <c r="I266" s="45">
        <f>G266*MIN(in_takeup_cap,INDEX('Age profile'!$O$2:$O$61,B266)*(1+in_approval_growth)^(D266-1))</f>
        <v/>
      </c>
      <c r="J266" s="40">
        <f>(J265-L265)*F266/F265</f>
        <v/>
      </c>
      <c r="K266" s="40">
        <f>(K265-M265)*F266/F265+SUMIFS(O236:O265,B236:B265,B266-1-d_T)*F266</f>
        <v/>
      </c>
      <c r="L266" s="40">
        <f>IF(B266&gt;=in_marketplace_from,J266*d_hz*G266*in_eligible*H266,0)</f>
        <v/>
      </c>
      <c r="M266" s="40">
        <f>IF(B266&gt;=in_marketplace_from,K266*d_hz*G266*in_eligible*in_approved_repeat,0)</f>
        <v/>
      </c>
      <c r="N266" s="40">
        <f>L266+M266</f>
        <v/>
      </c>
      <c r="O266" s="46">
        <f>N266/F266</f>
        <v/>
      </c>
      <c r="P266" s="40">
        <f>F266-J266-K266</f>
        <v/>
      </c>
      <c r="Q266" s="40">
        <f>IF(B266&gt;=in_marketplace_from,(J266+K266)*d_hz*G266,0)</f>
        <v/>
      </c>
      <c r="R266" s="40">
        <f>SUMIFS(N236:N291,B236:B291,"&gt;="&amp;(B266-d_T),B236:B291,"&lt;="&amp;(B266-1))</f>
        <v/>
      </c>
      <c r="S266" s="46">
        <f>(1-d_u)*S265+IF(d_T&gt;in_topup_lag,SUMIFS(O236:O291,B236:B291,B266-in_topup_lag)-d_udrop*SUMIFS(O236:O291,B236:B291,B266-d_T),0)</f>
        <v/>
      </c>
      <c r="T266" s="40">
        <f>F266*d_u*S266</f>
        <v/>
      </c>
      <c r="U266" s="9">
        <f>L266*in_ticket+M266*d_rep_ticket</f>
        <v/>
      </c>
      <c r="V266" s="9">
        <f>U266+T266*d_topup_amt</f>
        <v/>
      </c>
      <c r="W266" s="40">
        <f>N266+T266*d_topup_ratio</f>
        <v/>
      </c>
      <c r="X266" s="40">
        <f>SUMIFS(W236:W291,B236:B291,B266-in_dpd_lag)*d_cured</f>
        <v/>
      </c>
      <c r="Y266" s="40">
        <f>SUMIFS(W236:W291,B236:B291,B266-in_rec_lag)*d_recd</f>
        <v/>
      </c>
      <c r="Z266" s="40">
        <f>IF(AND(B266&gt;=in_marketplace_from,B266&lt;in_marketplace_from+in_card_months),in_card_share/in_card_months*F266*I266,IF(AND(B266&gt;=in_marketplace_from+in_card_months,B266&lt;in_marketplace_from+2*in_card_months),in_card_share*d_card_rem/in_card_months*F266*MIN(in_takeup_cap,(1+in_takeup_growth)^(D266-1))*MIN(in_takeup_cap,(1+in_approval_growth)^(D266-1)),0))</f>
        <v/>
      </c>
      <c r="AA266" s="14">
        <f>V266*in_fee*(1-in_taken_back)</f>
        <v/>
      </c>
      <c r="AB266" s="14">
        <f>SUMIFS(W236:W291,B236:B291,B266-in_dpd_lag)*d_dpd</f>
        <v/>
      </c>
      <c r="AC266" s="14">
        <f>SUMIFS(W236:W291,B236:B291,B266-in_rec_lag)*d_rec</f>
        <v/>
      </c>
      <c r="AD266" s="14">
        <f>Z266*in_card_fee</f>
        <v/>
      </c>
      <c r="AE266" s="40">
        <f>AE265*(1-IF(B265&gt;=in_marketplace_from,d_hz_hlth_small*G265,0))</f>
        <v/>
      </c>
      <c r="AF266" s="46">
        <f>AE266*IF(B266&gt;=in_marketplace_from,d_hz_hlth_small*G266,0)</f>
        <v/>
      </c>
      <c r="AG266" s="14">
        <f>F266*AF266*in_hlth_small_ticket*in_hlth_small_comm*in_ins_partner_share+F266*in_hlth_small_ticket*in_hlth_small_renew_comm*in_ins_partner_share*(in_hlth_small_renew^1*SUMIFS(AF236:AF291,B236:B291,B266-12)+in_hlth_small_renew^2*SUMIFS(AF236:AF291,B236:B291,B266-24)+in_hlth_small_renew^3*SUMIFS(AF236:AF291,B236:B291,B266-36)+in_hlth_small_renew^4*SUMIFS(AF236:AF291,B236:B291,B266-48))</f>
        <v/>
      </c>
      <c r="AH266" s="40">
        <f>AH265*(1-IF(B265&gt;=in_marketplace_from,d_hz_hlth_family*G265,0))</f>
        <v/>
      </c>
      <c r="AI266" s="46">
        <f>AH266*IF(B266&gt;=in_marketplace_from,d_hz_hlth_family*G266,0)</f>
        <v/>
      </c>
      <c r="AJ266" s="14">
        <f>F266*AI266*in_hlth_family_ticket*in_hlth_family_comm*in_ins_partner_share+F266*in_hlth_family_ticket*in_hlth_family_renew_comm*in_ins_partner_share*(in_hlth_family_renew^1*SUMIFS(AI236:AI291,B236:B291,B266-12)+in_hlth_family_renew^2*SUMIFS(AI236:AI291,B236:B291,B266-24)+in_hlth_family_renew^3*SUMIFS(AI236:AI291,B236:B291,B266-36)+in_hlth_family_renew^4*SUMIFS(AI236:AI291,B236:B291,B266-48))</f>
        <v/>
      </c>
      <c r="AK266" s="40">
        <f>AK265*(1-IF(B265&gt;=in_marketplace_from,d_hz_life_term*G265,0))</f>
        <v/>
      </c>
      <c r="AL266" s="46">
        <f>AK266*IF(B266&gt;=in_marketplace_from,d_hz_life_term*G266,0)</f>
        <v/>
      </c>
      <c r="AM266" s="14">
        <f>F266*AL266*in_life_term_ticket*in_life_term_comm*in_ins_partner_share+F266*in_life_term_ticket*in_life_term_renew_comm*in_ins_partner_share*(in_life_term_renew^1*SUMIFS(AL236:AL291,B236:B291,B266-12)+in_life_term_renew^2*SUMIFS(AL236:AL291,B236:B291,B266-24)+in_life_term_renew^3*SUMIFS(AL236:AL291,B236:B291,B266-36)+in_life_term_renew^4*SUMIFS(AL236:AL291,B236:B291,B266-48))</f>
        <v/>
      </c>
      <c r="AN266" s="40">
        <f>AN265*(1-IF(B265&gt;=in_marketplace_from,d_hz_accident*G265,0))</f>
        <v/>
      </c>
      <c r="AO266" s="46">
        <f>AN266*IF(B266&gt;=in_marketplace_from,d_hz_accident*G266,0)</f>
        <v/>
      </c>
      <c r="AP266" s="14">
        <f>F266*AO266*in_accident_ticket*in_accident_comm*in_ins_partner_share+F266*in_accident_ticket*in_accident_renew_comm*in_ins_partner_share*(in_accident_renew^1*SUMIFS(AO236:AO291,B236:B291,B266-12)+in_accident_renew^2*SUMIFS(AO236:AO291,B236:B291,B266-24)+in_accident_renew^3*SUMIFS(AO236:AO291,B236:B291,B266-36)+in_accident_renew^4*SUMIFS(AO236:AO291,B236:B291,B266-48))</f>
        <v/>
      </c>
      <c r="AQ266" s="40">
        <f>AQ265*(1-IF(B265&gt;=in_marketplace_from,d_hz_two_wheeler*G265,0))</f>
        <v/>
      </c>
      <c r="AR266" s="46">
        <f>AQ266*IF(B266&gt;=in_marketplace_from,d_hz_two_wheeler*G266,0)</f>
        <v/>
      </c>
      <c r="AS266" s="14">
        <f>F266*AR266*in_two_wheeler_ticket*in_two_wheeler_comm*in_ins_partner_share+F266*in_two_wheeler_ticket*in_two_wheeler_comm*in_ins_partner_share*(in_two_wheeler_renew^1*SUMIFS(AR236:AR291,B236:B291,B266-12)+in_two_wheeler_renew^2*SUMIFS(AR236:AR291,B236:B291,B266-24)+in_two_wheeler_renew^3*SUMIFS(AR236:AR291,B236:B291,B266-36)+in_two_wheeler_renew^4*SUMIFS(AR236:AR291,B236:B291,B266-48))</f>
        <v/>
      </c>
      <c r="AT266" s="40">
        <f>AT265*(1-IF(B265&gt;=in_marketplace_from,d_hz_device*G265,0))</f>
        <v/>
      </c>
      <c r="AU266" s="14">
        <f>F266*AT266*IF(B266&gt;=in_marketplace_from,d_hz_device*G266,0)*in_device_ticket*in_device_comm*in_ins_partner_share</f>
        <v/>
      </c>
      <c r="AV266" s="40">
        <f>AV265*(1-IF(B265&gt;=in_marketplace_from,d_hz_shop*G265,0))</f>
        <v/>
      </c>
      <c r="AW266" s="46">
        <f>AV266*IF(B266&gt;=in_marketplace_from,d_hz_shop*G266,0)</f>
        <v/>
      </c>
      <c r="AX266" s="14">
        <f>F266*AW266*in_shop_ticket*in_shop_comm*in_ins_partner_share+F266*in_shop_ticket*in_shop_renew_comm*in_ins_partner_share*(in_shop_renew^1*SUMIFS(AW236:AW291,B236:B291,B266-12)+in_shop_renew^2*SUMIFS(AW236:AW291,B236:B291,B266-24)+in_shop_renew^3*SUMIFS(AW236:AW291,B236:B291,B266-36)+in_shop_renew^4*SUMIFS(AW236:AW291,B236:B291,B266-48))</f>
        <v/>
      </c>
      <c r="AY266" s="40">
        <f>AY265*(1-IF(B265&gt;=in_marketplace_from,d_hz_sip*G265,0))</f>
        <v/>
      </c>
      <c r="AZ266" s="40">
        <f>AZ265*d_rho_sip+AY266*IF(B266&gt;=in_marketplace_from,d_hz_sip*G266,0)</f>
        <v/>
      </c>
      <c r="BA266" s="40">
        <f>d_rho_sip*(BA265+AZ265)</f>
        <v/>
      </c>
      <c r="BB266" s="14">
        <f>F266*in_sip_ticket*(BA266+0.5*AZ266)*in_sip_comm/12</f>
        <v/>
      </c>
      <c r="BC266" s="40">
        <f>BC265*(1-IF(B265&gt;=in_marketplace_from,d_hz_choti*G265,0))</f>
        <v/>
      </c>
      <c r="BD266" s="46">
        <f>BC266*IF(B266&gt;=in_marketplace_from,d_hz_choti*G266,0)</f>
        <v/>
      </c>
      <c r="BE266" s="14">
        <f>F266*SUMIFS(BD236:BD291,B236:B291,B266-in_choti_months)*in_choti_renew*in_choti_ticket</f>
        <v/>
      </c>
      <c r="BF266" s="40">
        <f>BF265*(1-IF(B265&gt;=in_marketplace_from,d_hz_nps*G265,0))</f>
        <v/>
      </c>
      <c r="BG266" s="14">
        <f>F266*BF266*IF(B266&gt;=in_marketplace_from,d_hz_nps*G266,0)*in_nps_ticket*in_nps_comm</f>
        <v/>
      </c>
      <c r="BH266" s="40">
        <f>BH265*(1-IF(B265&gt;=in_marketplace_from,d_hz_gold*G265,0))</f>
        <v/>
      </c>
      <c r="BI266" s="40">
        <f>BI265*d_rho_gold+BH266*IF(B266&gt;=in_marketplace_from,d_hz_gold*G266,0)</f>
        <v/>
      </c>
      <c r="BJ266" s="14">
        <f>F266*BI266*in_gold_ticket*in_gold_comm</f>
        <v/>
      </c>
      <c r="BK266" s="40">
        <f>BK265*(1-IF(B265&gt;=in_marketplace_from,d_hz_fd*G265,0))</f>
        <v/>
      </c>
      <c r="BL266" s="14">
        <f>F266*BK266*IF(B266&gt;=in_marketplace_from,d_hz_fd*G266,0)*in_fd_ticket*in_fd_comm</f>
        <v/>
      </c>
      <c r="BM266" s="40">
        <f>BM265*(1-IF(B265&gt;=in_marketplace_from,d_hz_recharge*G265,0))</f>
        <v/>
      </c>
      <c r="BN266" s="40">
        <f>BN265*d_rho_recharge+BM266*IF(B266&gt;=in_marketplace_from,d_hz_recharge*G266,0)</f>
        <v/>
      </c>
      <c r="BO266" s="14">
        <f>F266*BN266*in_recharge_ticket*in_recharge_comm/12</f>
        <v/>
      </c>
      <c r="BP266" s="40">
        <f>BP265*(1-IF(B265&gt;=in_marketplace_from,d_hz_bills*G265,0))</f>
        <v/>
      </c>
      <c r="BQ266" s="40">
        <f>BQ265*d_rho_bills+BP266*IF(B266&gt;=in_marketplace_from,d_hz_bills*G266,0)</f>
        <v/>
      </c>
      <c r="BR266" s="14">
        <f>F266*BQ266*in_bills_ticket*in_bills_comm/12</f>
        <v/>
      </c>
      <c r="BS266" s="40">
        <f>BS265*(1-IF(B265&gt;=in_marketplace_from,d_hz_loan_gold*G265,0))</f>
        <v/>
      </c>
      <c r="BT266" s="14">
        <f>F266*BS266*IF(B266&gt;=in_marketplace_from,d_hz_loan_gold*G266,0)*in_loan_gold_ticket*in_loan_gold_comm</f>
        <v/>
      </c>
      <c r="BU266" s="40">
        <f>BU265*(1-IF(B265&gt;=in_marketplace_from,d_hz_loan_cd*G265,0))</f>
        <v/>
      </c>
      <c r="BV266" s="14">
        <f>F266*BU266*IF(B266&gt;=in_marketplace_from,d_hz_loan_cd*G266,0)*in_loan_cd_ticket*in_loan_cd_comm</f>
        <v/>
      </c>
      <c r="BW266" s="40">
        <f>BW265*(1-IF(B265&gt;=in_marketplace_from,d_hz_loan_vehicle*G265,0))</f>
        <v/>
      </c>
      <c r="BX266" s="14">
        <f>F266*BW266*IF(B266&gt;=in_marketplace_from,d_hz_loan_vehicle*G266,0)*in_loan_vehicle_ticket*in_loan_vehicle_comm</f>
        <v/>
      </c>
      <c r="BY266" s="40">
        <f>BY265*(1-IF(B265&gt;=in_marketplace_from,d_hz_loan_home*G265,0)*BZ265)</f>
        <v/>
      </c>
      <c r="BZ266" s="11">
        <f>MIN(in_approval_cap,in_loan_home_approval*INDEX('Age profile'!$O$2:$O$61,B266)*(1+in_approval_growth)^(D266-1))</f>
        <v/>
      </c>
      <c r="CA266" s="14">
        <f>F266*BY266*IF(B266&gt;=in_marketplace_from,d_hz_loan_home*G266,0)*BZ266*in_loan_home_ticket*in_loan_home_comm</f>
        <v/>
      </c>
      <c r="CB266" s="40">
        <f>CB265*(1-IF(B265&gt;=in_marketplace_from,d_hz_loan_lap*G265,0)*CC265)</f>
        <v/>
      </c>
      <c r="CC266" s="11">
        <f>MIN(in_approval_cap,in_loan_lap_approval*INDEX('Age profile'!$O$2:$O$61,B266)*(1+in_approval_growth)^(D266-1))</f>
        <v/>
      </c>
      <c r="CD266" s="14">
        <f>F266*CB266*IF(B266&gt;=in_marketplace_from,d_hz_loan_lap*G266,0)*CC266*in_loan_lap_ticket*in_loan_lap_comm</f>
        <v/>
      </c>
      <c r="CE266" s="14">
        <f>AA266+AB266+AC266+AD266+AG266+AJ266+AM266+AP266+AS266+AU266+AX266+BB266+BE266+BG266+BJ266+BL266+BO266+BR266+BT266+BV266+BX266+CA266+CD266</f>
        <v/>
      </c>
    </row>
    <row r="267">
      <c r="A267" s="39" t="n">
        <v>5</v>
      </c>
      <c r="B267" s="39" t="n">
        <v>32</v>
      </c>
      <c r="C267" s="39">
        <f>A267+B267-1</f>
        <v/>
      </c>
      <c r="D267" s="39">
        <f>INT((C267-1)/12)+1</f>
        <v/>
      </c>
      <c r="E267" s="44">
        <f>INDEX(Monthly!$B$2:$B$61,A267)</f>
        <v/>
      </c>
      <c r="F267" s="44">
        <f>E267*INDEX('Age profile'!$B$2:$B$61,B267)</f>
        <v/>
      </c>
      <c r="G267" s="45">
        <f>MIN(in_takeup_cap,INDEX('Age profile'!$N$2:$N$61,B267)*(1+in_takeup_growth)^(D267-1))</f>
        <v/>
      </c>
      <c r="H267" s="11">
        <f>MIN(in_approval_cap,in_approved_first*INDEX('Age profile'!$O$2:$O$61,B267)*(1+in_approval_growth)^(D267-1))</f>
        <v/>
      </c>
      <c r="I267" s="45">
        <f>G267*MIN(in_takeup_cap,INDEX('Age profile'!$O$2:$O$61,B267)*(1+in_approval_growth)^(D267-1))</f>
        <v/>
      </c>
      <c r="J267" s="40">
        <f>(J266-L266)*F267/F266</f>
        <v/>
      </c>
      <c r="K267" s="40">
        <f>(K266-M266)*F267/F266+SUMIFS(O236:O266,B236:B266,B267-1-d_T)*F267</f>
        <v/>
      </c>
      <c r="L267" s="40">
        <f>IF(B267&gt;=in_marketplace_from,J267*d_hz*G267*in_eligible*H267,0)</f>
        <v/>
      </c>
      <c r="M267" s="40">
        <f>IF(B267&gt;=in_marketplace_from,K267*d_hz*G267*in_eligible*in_approved_repeat,0)</f>
        <v/>
      </c>
      <c r="N267" s="40">
        <f>L267+M267</f>
        <v/>
      </c>
      <c r="O267" s="46">
        <f>N267/F267</f>
        <v/>
      </c>
      <c r="P267" s="40">
        <f>F267-J267-K267</f>
        <v/>
      </c>
      <c r="Q267" s="40">
        <f>IF(B267&gt;=in_marketplace_from,(J267+K267)*d_hz*G267,0)</f>
        <v/>
      </c>
      <c r="R267" s="40">
        <f>SUMIFS(N236:N291,B236:B291,"&gt;="&amp;(B267-d_T),B236:B291,"&lt;="&amp;(B267-1))</f>
        <v/>
      </c>
      <c r="S267" s="46">
        <f>(1-d_u)*S266+IF(d_T&gt;in_topup_lag,SUMIFS(O236:O291,B236:B291,B267-in_topup_lag)-d_udrop*SUMIFS(O236:O291,B236:B291,B267-d_T),0)</f>
        <v/>
      </c>
      <c r="T267" s="40">
        <f>F267*d_u*S267</f>
        <v/>
      </c>
      <c r="U267" s="9">
        <f>L267*in_ticket+M267*d_rep_ticket</f>
        <v/>
      </c>
      <c r="V267" s="9">
        <f>U267+T267*d_topup_amt</f>
        <v/>
      </c>
      <c r="W267" s="40">
        <f>N267+T267*d_topup_ratio</f>
        <v/>
      </c>
      <c r="X267" s="40">
        <f>SUMIFS(W236:W291,B236:B291,B267-in_dpd_lag)*d_cured</f>
        <v/>
      </c>
      <c r="Y267" s="40">
        <f>SUMIFS(W236:W291,B236:B291,B267-in_rec_lag)*d_recd</f>
        <v/>
      </c>
      <c r="Z267" s="40">
        <f>IF(AND(B267&gt;=in_marketplace_from,B267&lt;in_marketplace_from+in_card_months),in_card_share/in_card_months*F267*I267,IF(AND(B267&gt;=in_marketplace_from+in_card_months,B267&lt;in_marketplace_from+2*in_card_months),in_card_share*d_card_rem/in_card_months*F267*MIN(in_takeup_cap,(1+in_takeup_growth)^(D267-1))*MIN(in_takeup_cap,(1+in_approval_growth)^(D267-1)),0))</f>
        <v/>
      </c>
      <c r="AA267" s="14">
        <f>V267*in_fee*(1-in_taken_back)</f>
        <v/>
      </c>
      <c r="AB267" s="14">
        <f>SUMIFS(W236:W291,B236:B291,B267-in_dpd_lag)*d_dpd</f>
        <v/>
      </c>
      <c r="AC267" s="14">
        <f>SUMIFS(W236:W291,B236:B291,B267-in_rec_lag)*d_rec</f>
        <v/>
      </c>
      <c r="AD267" s="14">
        <f>Z267*in_card_fee</f>
        <v/>
      </c>
      <c r="AE267" s="40">
        <f>AE266*(1-IF(B266&gt;=in_marketplace_from,d_hz_hlth_small*G266,0))</f>
        <v/>
      </c>
      <c r="AF267" s="46">
        <f>AE267*IF(B267&gt;=in_marketplace_from,d_hz_hlth_small*G267,0)</f>
        <v/>
      </c>
      <c r="AG267" s="14">
        <f>F267*AF267*in_hlth_small_ticket*in_hlth_small_comm*in_ins_partner_share+F267*in_hlth_small_ticket*in_hlth_small_renew_comm*in_ins_partner_share*(in_hlth_small_renew^1*SUMIFS(AF236:AF291,B236:B291,B267-12)+in_hlth_small_renew^2*SUMIFS(AF236:AF291,B236:B291,B267-24)+in_hlth_small_renew^3*SUMIFS(AF236:AF291,B236:B291,B267-36)+in_hlth_small_renew^4*SUMIFS(AF236:AF291,B236:B291,B267-48))</f>
        <v/>
      </c>
      <c r="AH267" s="40">
        <f>AH266*(1-IF(B266&gt;=in_marketplace_from,d_hz_hlth_family*G266,0))</f>
        <v/>
      </c>
      <c r="AI267" s="46">
        <f>AH267*IF(B267&gt;=in_marketplace_from,d_hz_hlth_family*G267,0)</f>
        <v/>
      </c>
      <c r="AJ267" s="14">
        <f>F267*AI267*in_hlth_family_ticket*in_hlth_family_comm*in_ins_partner_share+F267*in_hlth_family_ticket*in_hlth_family_renew_comm*in_ins_partner_share*(in_hlth_family_renew^1*SUMIFS(AI236:AI291,B236:B291,B267-12)+in_hlth_family_renew^2*SUMIFS(AI236:AI291,B236:B291,B267-24)+in_hlth_family_renew^3*SUMIFS(AI236:AI291,B236:B291,B267-36)+in_hlth_family_renew^4*SUMIFS(AI236:AI291,B236:B291,B267-48))</f>
        <v/>
      </c>
      <c r="AK267" s="40">
        <f>AK266*(1-IF(B266&gt;=in_marketplace_from,d_hz_life_term*G266,0))</f>
        <v/>
      </c>
      <c r="AL267" s="46">
        <f>AK267*IF(B267&gt;=in_marketplace_from,d_hz_life_term*G267,0)</f>
        <v/>
      </c>
      <c r="AM267" s="14">
        <f>F267*AL267*in_life_term_ticket*in_life_term_comm*in_ins_partner_share+F267*in_life_term_ticket*in_life_term_renew_comm*in_ins_partner_share*(in_life_term_renew^1*SUMIFS(AL236:AL291,B236:B291,B267-12)+in_life_term_renew^2*SUMIFS(AL236:AL291,B236:B291,B267-24)+in_life_term_renew^3*SUMIFS(AL236:AL291,B236:B291,B267-36)+in_life_term_renew^4*SUMIFS(AL236:AL291,B236:B291,B267-48))</f>
        <v/>
      </c>
      <c r="AN267" s="40">
        <f>AN266*(1-IF(B266&gt;=in_marketplace_from,d_hz_accident*G266,0))</f>
        <v/>
      </c>
      <c r="AO267" s="46">
        <f>AN267*IF(B267&gt;=in_marketplace_from,d_hz_accident*G267,0)</f>
        <v/>
      </c>
      <c r="AP267" s="14">
        <f>F267*AO267*in_accident_ticket*in_accident_comm*in_ins_partner_share+F267*in_accident_ticket*in_accident_renew_comm*in_ins_partner_share*(in_accident_renew^1*SUMIFS(AO236:AO291,B236:B291,B267-12)+in_accident_renew^2*SUMIFS(AO236:AO291,B236:B291,B267-24)+in_accident_renew^3*SUMIFS(AO236:AO291,B236:B291,B267-36)+in_accident_renew^4*SUMIFS(AO236:AO291,B236:B291,B267-48))</f>
        <v/>
      </c>
      <c r="AQ267" s="40">
        <f>AQ266*(1-IF(B266&gt;=in_marketplace_from,d_hz_two_wheeler*G266,0))</f>
        <v/>
      </c>
      <c r="AR267" s="46">
        <f>AQ267*IF(B267&gt;=in_marketplace_from,d_hz_two_wheeler*G267,0)</f>
        <v/>
      </c>
      <c r="AS267" s="14">
        <f>F267*AR267*in_two_wheeler_ticket*in_two_wheeler_comm*in_ins_partner_share+F267*in_two_wheeler_ticket*in_two_wheeler_comm*in_ins_partner_share*(in_two_wheeler_renew^1*SUMIFS(AR236:AR291,B236:B291,B267-12)+in_two_wheeler_renew^2*SUMIFS(AR236:AR291,B236:B291,B267-24)+in_two_wheeler_renew^3*SUMIFS(AR236:AR291,B236:B291,B267-36)+in_two_wheeler_renew^4*SUMIFS(AR236:AR291,B236:B291,B267-48))</f>
        <v/>
      </c>
      <c r="AT267" s="40">
        <f>AT266*(1-IF(B266&gt;=in_marketplace_from,d_hz_device*G266,0))</f>
        <v/>
      </c>
      <c r="AU267" s="14">
        <f>F267*AT267*IF(B267&gt;=in_marketplace_from,d_hz_device*G267,0)*in_device_ticket*in_device_comm*in_ins_partner_share</f>
        <v/>
      </c>
      <c r="AV267" s="40">
        <f>AV266*(1-IF(B266&gt;=in_marketplace_from,d_hz_shop*G266,0))</f>
        <v/>
      </c>
      <c r="AW267" s="46">
        <f>AV267*IF(B267&gt;=in_marketplace_from,d_hz_shop*G267,0)</f>
        <v/>
      </c>
      <c r="AX267" s="14">
        <f>F267*AW267*in_shop_ticket*in_shop_comm*in_ins_partner_share+F267*in_shop_ticket*in_shop_renew_comm*in_ins_partner_share*(in_shop_renew^1*SUMIFS(AW236:AW291,B236:B291,B267-12)+in_shop_renew^2*SUMIFS(AW236:AW291,B236:B291,B267-24)+in_shop_renew^3*SUMIFS(AW236:AW291,B236:B291,B267-36)+in_shop_renew^4*SUMIFS(AW236:AW291,B236:B291,B267-48))</f>
        <v/>
      </c>
      <c r="AY267" s="40">
        <f>AY266*(1-IF(B266&gt;=in_marketplace_from,d_hz_sip*G266,0))</f>
        <v/>
      </c>
      <c r="AZ267" s="40">
        <f>AZ266*d_rho_sip+AY267*IF(B267&gt;=in_marketplace_from,d_hz_sip*G267,0)</f>
        <v/>
      </c>
      <c r="BA267" s="40">
        <f>d_rho_sip*(BA266+AZ266)</f>
        <v/>
      </c>
      <c r="BB267" s="14">
        <f>F267*in_sip_ticket*(BA267+0.5*AZ267)*in_sip_comm/12</f>
        <v/>
      </c>
      <c r="BC267" s="40">
        <f>BC266*(1-IF(B266&gt;=in_marketplace_from,d_hz_choti*G266,0))</f>
        <v/>
      </c>
      <c r="BD267" s="46">
        <f>BC267*IF(B267&gt;=in_marketplace_from,d_hz_choti*G267,0)</f>
        <v/>
      </c>
      <c r="BE267" s="14">
        <f>F267*SUMIFS(BD236:BD291,B236:B291,B267-in_choti_months)*in_choti_renew*in_choti_ticket</f>
        <v/>
      </c>
      <c r="BF267" s="40">
        <f>BF266*(1-IF(B266&gt;=in_marketplace_from,d_hz_nps*G266,0))</f>
        <v/>
      </c>
      <c r="BG267" s="14">
        <f>F267*BF267*IF(B267&gt;=in_marketplace_from,d_hz_nps*G267,0)*in_nps_ticket*in_nps_comm</f>
        <v/>
      </c>
      <c r="BH267" s="40">
        <f>BH266*(1-IF(B266&gt;=in_marketplace_from,d_hz_gold*G266,0))</f>
        <v/>
      </c>
      <c r="BI267" s="40">
        <f>BI266*d_rho_gold+BH267*IF(B267&gt;=in_marketplace_from,d_hz_gold*G267,0)</f>
        <v/>
      </c>
      <c r="BJ267" s="14">
        <f>F267*BI267*in_gold_ticket*in_gold_comm</f>
        <v/>
      </c>
      <c r="BK267" s="40">
        <f>BK266*(1-IF(B266&gt;=in_marketplace_from,d_hz_fd*G266,0))</f>
        <v/>
      </c>
      <c r="BL267" s="14">
        <f>F267*BK267*IF(B267&gt;=in_marketplace_from,d_hz_fd*G267,0)*in_fd_ticket*in_fd_comm</f>
        <v/>
      </c>
      <c r="BM267" s="40">
        <f>BM266*(1-IF(B266&gt;=in_marketplace_from,d_hz_recharge*G266,0))</f>
        <v/>
      </c>
      <c r="BN267" s="40">
        <f>BN266*d_rho_recharge+BM267*IF(B267&gt;=in_marketplace_from,d_hz_recharge*G267,0)</f>
        <v/>
      </c>
      <c r="BO267" s="14">
        <f>F267*BN267*in_recharge_ticket*in_recharge_comm/12</f>
        <v/>
      </c>
      <c r="BP267" s="40">
        <f>BP266*(1-IF(B266&gt;=in_marketplace_from,d_hz_bills*G266,0))</f>
        <v/>
      </c>
      <c r="BQ267" s="40">
        <f>BQ266*d_rho_bills+BP267*IF(B267&gt;=in_marketplace_from,d_hz_bills*G267,0)</f>
        <v/>
      </c>
      <c r="BR267" s="14">
        <f>F267*BQ267*in_bills_ticket*in_bills_comm/12</f>
        <v/>
      </c>
      <c r="BS267" s="40">
        <f>BS266*(1-IF(B266&gt;=in_marketplace_from,d_hz_loan_gold*G266,0))</f>
        <v/>
      </c>
      <c r="BT267" s="14">
        <f>F267*BS267*IF(B267&gt;=in_marketplace_from,d_hz_loan_gold*G267,0)*in_loan_gold_ticket*in_loan_gold_comm</f>
        <v/>
      </c>
      <c r="BU267" s="40">
        <f>BU266*(1-IF(B266&gt;=in_marketplace_from,d_hz_loan_cd*G266,0))</f>
        <v/>
      </c>
      <c r="BV267" s="14">
        <f>F267*BU267*IF(B267&gt;=in_marketplace_from,d_hz_loan_cd*G267,0)*in_loan_cd_ticket*in_loan_cd_comm</f>
        <v/>
      </c>
      <c r="BW267" s="40">
        <f>BW266*(1-IF(B266&gt;=in_marketplace_from,d_hz_loan_vehicle*G266,0))</f>
        <v/>
      </c>
      <c r="BX267" s="14">
        <f>F267*BW267*IF(B267&gt;=in_marketplace_from,d_hz_loan_vehicle*G267,0)*in_loan_vehicle_ticket*in_loan_vehicle_comm</f>
        <v/>
      </c>
      <c r="BY267" s="40">
        <f>BY266*(1-IF(B266&gt;=in_marketplace_from,d_hz_loan_home*G266,0)*BZ266)</f>
        <v/>
      </c>
      <c r="BZ267" s="11">
        <f>MIN(in_approval_cap,in_loan_home_approval*INDEX('Age profile'!$O$2:$O$61,B267)*(1+in_approval_growth)^(D267-1))</f>
        <v/>
      </c>
      <c r="CA267" s="14">
        <f>F267*BY267*IF(B267&gt;=in_marketplace_from,d_hz_loan_home*G267,0)*BZ267*in_loan_home_ticket*in_loan_home_comm</f>
        <v/>
      </c>
      <c r="CB267" s="40">
        <f>CB266*(1-IF(B266&gt;=in_marketplace_from,d_hz_loan_lap*G266,0)*CC266)</f>
        <v/>
      </c>
      <c r="CC267" s="11">
        <f>MIN(in_approval_cap,in_loan_lap_approval*INDEX('Age profile'!$O$2:$O$61,B267)*(1+in_approval_growth)^(D267-1))</f>
        <v/>
      </c>
      <c r="CD267" s="14">
        <f>F267*CB267*IF(B267&gt;=in_marketplace_from,d_hz_loan_lap*G267,0)*CC267*in_loan_lap_ticket*in_loan_lap_comm</f>
        <v/>
      </c>
      <c r="CE267" s="14">
        <f>AA267+AB267+AC267+AD267+AG267+AJ267+AM267+AP267+AS267+AU267+AX267+BB267+BE267+BG267+BJ267+BL267+BO267+BR267+BT267+BV267+BX267+CA267+CD267</f>
        <v/>
      </c>
    </row>
    <row r="268">
      <c r="A268" s="39" t="n">
        <v>5</v>
      </c>
      <c r="B268" s="39" t="n">
        <v>33</v>
      </c>
      <c r="C268" s="39">
        <f>A268+B268-1</f>
        <v/>
      </c>
      <c r="D268" s="39">
        <f>INT((C268-1)/12)+1</f>
        <v/>
      </c>
      <c r="E268" s="44">
        <f>INDEX(Monthly!$B$2:$B$61,A268)</f>
        <v/>
      </c>
      <c r="F268" s="44">
        <f>E268*INDEX('Age profile'!$B$2:$B$61,B268)</f>
        <v/>
      </c>
      <c r="G268" s="45">
        <f>MIN(in_takeup_cap,INDEX('Age profile'!$N$2:$N$61,B268)*(1+in_takeup_growth)^(D268-1))</f>
        <v/>
      </c>
      <c r="H268" s="11">
        <f>MIN(in_approval_cap,in_approved_first*INDEX('Age profile'!$O$2:$O$61,B268)*(1+in_approval_growth)^(D268-1))</f>
        <v/>
      </c>
      <c r="I268" s="45">
        <f>G268*MIN(in_takeup_cap,INDEX('Age profile'!$O$2:$O$61,B268)*(1+in_approval_growth)^(D268-1))</f>
        <v/>
      </c>
      <c r="J268" s="40">
        <f>(J267-L267)*F268/F267</f>
        <v/>
      </c>
      <c r="K268" s="40">
        <f>(K267-M267)*F268/F267+SUMIFS(O236:O267,B236:B267,B268-1-d_T)*F268</f>
        <v/>
      </c>
      <c r="L268" s="40">
        <f>IF(B268&gt;=in_marketplace_from,J268*d_hz*G268*in_eligible*H268,0)</f>
        <v/>
      </c>
      <c r="M268" s="40">
        <f>IF(B268&gt;=in_marketplace_from,K268*d_hz*G268*in_eligible*in_approved_repeat,0)</f>
        <v/>
      </c>
      <c r="N268" s="40">
        <f>L268+M268</f>
        <v/>
      </c>
      <c r="O268" s="46">
        <f>N268/F268</f>
        <v/>
      </c>
      <c r="P268" s="40">
        <f>F268-J268-K268</f>
        <v/>
      </c>
      <c r="Q268" s="40">
        <f>IF(B268&gt;=in_marketplace_from,(J268+K268)*d_hz*G268,0)</f>
        <v/>
      </c>
      <c r="R268" s="40">
        <f>SUMIFS(N236:N291,B236:B291,"&gt;="&amp;(B268-d_T),B236:B291,"&lt;="&amp;(B268-1))</f>
        <v/>
      </c>
      <c r="S268" s="46">
        <f>(1-d_u)*S267+IF(d_T&gt;in_topup_lag,SUMIFS(O236:O291,B236:B291,B268-in_topup_lag)-d_udrop*SUMIFS(O236:O291,B236:B291,B268-d_T),0)</f>
        <v/>
      </c>
      <c r="T268" s="40">
        <f>F268*d_u*S268</f>
        <v/>
      </c>
      <c r="U268" s="9">
        <f>L268*in_ticket+M268*d_rep_ticket</f>
        <v/>
      </c>
      <c r="V268" s="9">
        <f>U268+T268*d_topup_amt</f>
        <v/>
      </c>
      <c r="W268" s="40">
        <f>N268+T268*d_topup_ratio</f>
        <v/>
      </c>
      <c r="X268" s="40">
        <f>SUMIFS(W236:W291,B236:B291,B268-in_dpd_lag)*d_cured</f>
        <v/>
      </c>
      <c r="Y268" s="40">
        <f>SUMIFS(W236:W291,B236:B291,B268-in_rec_lag)*d_recd</f>
        <v/>
      </c>
      <c r="Z268" s="40">
        <f>IF(AND(B268&gt;=in_marketplace_from,B268&lt;in_marketplace_from+in_card_months),in_card_share/in_card_months*F268*I268,IF(AND(B268&gt;=in_marketplace_from+in_card_months,B268&lt;in_marketplace_from+2*in_card_months),in_card_share*d_card_rem/in_card_months*F268*MIN(in_takeup_cap,(1+in_takeup_growth)^(D268-1))*MIN(in_takeup_cap,(1+in_approval_growth)^(D268-1)),0))</f>
        <v/>
      </c>
      <c r="AA268" s="14">
        <f>V268*in_fee*(1-in_taken_back)</f>
        <v/>
      </c>
      <c r="AB268" s="14">
        <f>SUMIFS(W236:W291,B236:B291,B268-in_dpd_lag)*d_dpd</f>
        <v/>
      </c>
      <c r="AC268" s="14">
        <f>SUMIFS(W236:W291,B236:B291,B268-in_rec_lag)*d_rec</f>
        <v/>
      </c>
      <c r="AD268" s="14">
        <f>Z268*in_card_fee</f>
        <v/>
      </c>
      <c r="AE268" s="40">
        <f>AE267*(1-IF(B267&gt;=in_marketplace_from,d_hz_hlth_small*G267,0))</f>
        <v/>
      </c>
      <c r="AF268" s="46">
        <f>AE268*IF(B268&gt;=in_marketplace_from,d_hz_hlth_small*G268,0)</f>
        <v/>
      </c>
      <c r="AG268" s="14">
        <f>F268*AF268*in_hlth_small_ticket*in_hlth_small_comm*in_ins_partner_share+F268*in_hlth_small_ticket*in_hlth_small_renew_comm*in_ins_partner_share*(in_hlth_small_renew^1*SUMIFS(AF236:AF291,B236:B291,B268-12)+in_hlth_small_renew^2*SUMIFS(AF236:AF291,B236:B291,B268-24)+in_hlth_small_renew^3*SUMIFS(AF236:AF291,B236:B291,B268-36)+in_hlth_small_renew^4*SUMIFS(AF236:AF291,B236:B291,B268-48))</f>
        <v/>
      </c>
      <c r="AH268" s="40">
        <f>AH267*(1-IF(B267&gt;=in_marketplace_from,d_hz_hlth_family*G267,0))</f>
        <v/>
      </c>
      <c r="AI268" s="46">
        <f>AH268*IF(B268&gt;=in_marketplace_from,d_hz_hlth_family*G268,0)</f>
        <v/>
      </c>
      <c r="AJ268" s="14">
        <f>F268*AI268*in_hlth_family_ticket*in_hlth_family_comm*in_ins_partner_share+F268*in_hlth_family_ticket*in_hlth_family_renew_comm*in_ins_partner_share*(in_hlth_family_renew^1*SUMIFS(AI236:AI291,B236:B291,B268-12)+in_hlth_family_renew^2*SUMIFS(AI236:AI291,B236:B291,B268-24)+in_hlth_family_renew^3*SUMIFS(AI236:AI291,B236:B291,B268-36)+in_hlth_family_renew^4*SUMIFS(AI236:AI291,B236:B291,B268-48))</f>
        <v/>
      </c>
      <c r="AK268" s="40">
        <f>AK267*(1-IF(B267&gt;=in_marketplace_from,d_hz_life_term*G267,0))</f>
        <v/>
      </c>
      <c r="AL268" s="46">
        <f>AK268*IF(B268&gt;=in_marketplace_from,d_hz_life_term*G268,0)</f>
        <v/>
      </c>
      <c r="AM268" s="14">
        <f>F268*AL268*in_life_term_ticket*in_life_term_comm*in_ins_partner_share+F268*in_life_term_ticket*in_life_term_renew_comm*in_ins_partner_share*(in_life_term_renew^1*SUMIFS(AL236:AL291,B236:B291,B268-12)+in_life_term_renew^2*SUMIFS(AL236:AL291,B236:B291,B268-24)+in_life_term_renew^3*SUMIFS(AL236:AL291,B236:B291,B268-36)+in_life_term_renew^4*SUMIFS(AL236:AL291,B236:B291,B268-48))</f>
        <v/>
      </c>
      <c r="AN268" s="40">
        <f>AN267*(1-IF(B267&gt;=in_marketplace_from,d_hz_accident*G267,0))</f>
        <v/>
      </c>
      <c r="AO268" s="46">
        <f>AN268*IF(B268&gt;=in_marketplace_from,d_hz_accident*G268,0)</f>
        <v/>
      </c>
      <c r="AP268" s="14">
        <f>F268*AO268*in_accident_ticket*in_accident_comm*in_ins_partner_share+F268*in_accident_ticket*in_accident_renew_comm*in_ins_partner_share*(in_accident_renew^1*SUMIFS(AO236:AO291,B236:B291,B268-12)+in_accident_renew^2*SUMIFS(AO236:AO291,B236:B291,B268-24)+in_accident_renew^3*SUMIFS(AO236:AO291,B236:B291,B268-36)+in_accident_renew^4*SUMIFS(AO236:AO291,B236:B291,B268-48))</f>
        <v/>
      </c>
      <c r="AQ268" s="40">
        <f>AQ267*(1-IF(B267&gt;=in_marketplace_from,d_hz_two_wheeler*G267,0))</f>
        <v/>
      </c>
      <c r="AR268" s="46">
        <f>AQ268*IF(B268&gt;=in_marketplace_from,d_hz_two_wheeler*G268,0)</f>
        <v/>
      </c>
      <c r="AS268" s="14">
        <f>F268*AR268*in_two_wheeler_ticket*in_two_wheeler_comm*in_ins_partner_share+F268*in_two_wheeler_ticket*in_two_wheeler_comm*in_ins_partner_share*(in_two_wheeler_renew^1*SUMIFS(AR236:AR291,B236:B291,B268-12)+in_two_wheeler_renew^2*SUMIFS(AR236:AR291,B236:B291,B268-24)+in_two_wheeler_renew^3*SUMIFS(AR236:AR291,B236:B291,B268-36)+in_two_wheeler_renew^4*SUMIFS(AR236:AR291,B236:B291,B268-48))</f>
        <v/>
      </c>
      <c r="AT268" s="40">
        <f>AT267*(1-IF(B267&gt;=in_marketplace_from,d_hz_device*G267,0))</f>
        <v/>
      </c>
      <c r="AU268" s="14">
        <f>F268*AT268*IF(B268&gt;=in_marketplace_from,d_hz_device*G268,0)*in_device_ticket*in_device_comm*in_ins_partner_share</f>
        <v/>
      </c>
      <c r="AV268" s="40">
        <f>AV267*(1-IF(B267&gt;=in_marketplace_from,d_hz_shop*G267,0))</f>
        <v/>
      </c>
      <c r="AW268" s="46">
        <f>AV268*IF(B268&gt;=in_marketplace_from,d_hz_shop*G268,0)</f>
        <v/>
      </c>
      <c r="AX268" s="14">
        <f>F268*AW268*in_shop_ticket*in_shop_comm*in_ins_partner_share+F268*in_shop_ticket*in_shop_renew_comm*in_ins_partner_share*(in_shop_renew^1*SUMIFS(AW236:AW291,B236:B291,B268-12)+in_shop_renew^2*SUMIFS(AW236:AW291,B236:B291,B268-24)+in_shop_renew^3*SUMIFS(AW236:AW291,B236:B291,B268-36)+in_shop_renew^4*SUMIFS(AW236:AW291,B236:B291,B268-48))</f>
        <v/>
      </c>
      <c r="AY268" s="40">
        <f>AY267*(1-IF(B267&gt;=in_marketplace_from,d_hz_sip*G267,0))</f>
        <v/>
      </c>
      <c r="AZ268" s="40">
        <f>AZ267*d_rho_sip+AY268*IF(B268&gt;=in_marketplace_from,d_hz_sip*G268,0)</f>
        <v/>
      </c>
      <c r="BA268" s="40">
        <f>d_rho_sip*(BA267+AZ267)</f>
        <v/>
      </c>
      <c r="BB268" s="14">
        <f>F268*in_sip_ticket*(BA268+0.5*AZ268)*in_sip_comm/12</f>
        <v/>
      </c>
      <c r="BC268" s="40">
        <f>BC267*(1-IF(B267&gt;=in_marketplace_from,d_hz_choti*G267,0))</f>
        <v/>
      </c>
      <c r="BD268" s="46">
        <f>BC268*IF(B268&gt;=in_marketplace_from,d_hz_choti*G268,0)</f>
        <v/>
      </c>
      <c r="BE268" s="14">
        <f>F268*SUMIFS(BD236:BD291,B236:B291,B268-in_choti_months)*in_choti_renew*in_choti_ticket</f>
        <v/>
      </c>
      <c r="BF268" s="40">
        <f>BF267*(1-IF(B267&gt;=in_marketplace_from,d_hz_nps*G267,0))</f>
        <v/>
      </c>
      <c r="BG268" s="14">
        <f>F268*BF268*IF(B268&gt;=in_marketplace_from,d_hz_nps*G268,0)*in_nps_ticket*in_nps_comm</f>
        <v/>
      </c>
      <c r="BH268" s="40">
        <f>BH267*(1-IF(B267&gt;=in_marketplace_from,d_hz_gold*G267,0))</f>
        <v/>
      </c>
      <c r="BI268" s="40">
        <f>BI267*d_rho_gold+BH268*IF(B268&gt;=in_marketplace_from,d_hz_gold*G268,0)</f>
        <v/>
      </c>
      <c r="BJ268" s="14">
        <f>F268*BI268*in_gold_ticket*in_gold_comm</f>
        <v/>
      </c>
      <c r="BK268" s="40">
        <f>BK267*(1-IF(B267&gt;=in_marketplace_from,d_hz_fd*G267,0))</f>
        <v/>
      </c>
      <c r="BL268" s="14">
        <f>F268*BK268*IF(B268&gt;=in_marketplace_from,d_hz_fd*G268,0)*in_fd_ticket*in_fd_comm</f>
        <v/>
      </c>
      <c r="BM268" s="40">
        <f>BM267*(1-IF(B267&gt;=in_marketplace_from,d_hz_recharge*G267,0))</f>
        <v/>
      </c>
      <c r="BN268" s="40">
        <f>BN267*d_rho_recharge+BM268*IF(B268&gt;=in_marketplace_from,d_hz_recharge*G268,0)</f>
        <v/>
      </c>
      <c r="BO268" s="14">
        <f>F268*BN268*in_recharge_ticket*in_recharge_comm/12</f>
        <v/>
      </c>
      <c r="BP268" s="40">
        <f>BP267*(1-IF(B267&gt;=in_marketplace_from,d_hz_bills*G267,0))</f>
        <v/>
      </c>
      <c r="BQ268" s="40">
        <f>BQ267*d_rho_bills+BP268*IF(B268&gt;=in_marketplace_from,d_hz_bills*G268,0)</f>
        <v/>
      </c>
      <c r="BR268" s="14">
        <f>F268*BQ268*in_bills_ticket*in_bills_comm/12</f>
        <v/>
      </c>
      <c r="BS268" s="40">
        <f>BS267*(1-IF(B267&gt;=in_marketplace_from,d_hz_loan_gold*G267,0))</f>
        <v/>
      </c>
      <c r="BT268" s="14">
        <f>F268*BS268*IF(B268&gt;=in_marketplace_from,d_hz_loan_gold*G268,0)*in_loan_gold_ticket*in_loan_gold_comm</f>
        <v/>
      </c>
      <c r="BU268" s="40">
        <f>BU267*(1-IF(B267&gt;=in_marketplace_from,d_hz_loan_cd*G267,0))</f>
        <v/>
      </c>
      <c r="BV268" s="14">
        <f>F268*BU268*IF(B268&gt;=in_marketplace_from,d_hz_loan_cd*G268,0)*in_loan_cd_ticket*in_loan_cd_comm</f>
        <v/>
      </c>
      <c r="BW268" s="40">
        <f>BW267*(1-IF(B267&gt;=in_marketplace_from,d_hz_loan_vehicle*G267,0))</f>
        <v/>
      </c>
      <c r="BX268" s="14">
        <f>F268*BW268*IF(B268&gt;=in_marketplace_from,d_hz_loan_vehicle*G268,0)*in_loan_vehicle_ticket*in_loan_vehicle_comm</f>
        <v/>
      </c>
      <c r="BY268" s="40">
        <f>BY267*(1-IF(B267&gt;=in_marketplace_from,d_hz_loan_home*G267,0)*BZ267)</f>
        <v/>
      </c>
      <c r="BZ268" s="11">
        <f>MIN(in_approval_cap,in_loan_home_approval*INDEX('Age profile'!$O$2:$O$61,B268)*(1+in_approval_growth)^(D268-1))</f>
        <v/>
      </c>
      <c r="CA268" s="14">
        <f>F268*BY268*IF(B268&gt;=in_marketplace_from,d_hz_loan_home*G268,0)*BZ268*in_loan_home_ticket*in_loan_home_comm</f>
        <v/>
      </c>
      <c r="CB268" s="40">
        <f>CB267*(1-IF(B267&gt;=in_marketplace_from,d_hz_loan_lap*G267,0)*CC267)</f>
        <v/>
      </c>
      <c r="CC268" s="11">
        <f>MIN(in_approval_cap,in_loan_lap_approval*INDEX('Age profile'!$O$2:$O$61,B268)*(1+in_approval_growth)^(D268-1))</f>
        <v/>
      </c>
      <c r="CD268" s="14">
        <f>F268*CB268*IF(B268&gt;=in_marketplace_from,d_hz_loan_lap*G268,0)*CC268*in_loan_lap_ticket*in_loan_lap_comm</f>
        <v/>
      </c>
      <c r="CE268" s="14">
        <f>AA268+AB268+AC268+AD268+AG268+AJ268+AM268+AP268+AS268+AU268+AX268+BB268+BE268+BG268+BJ268+BL268+BO268+BR268+BT268+BV268+BX268+CA268+CD268</f>
        <v/>
      </c>
    </row>
    <row r="269">
      <c r="A269" s="39" t="n">
        <v>5</v>
      </c>
      <c r="B269" s="39" t="n">
        <v>34</v>
      </c>
      <c r="C269" s="39">
        <f>A269+B269-1</f>
        <v/>
      </c>
      <c r="D269" s="39">
        <f>INT((C269-1)/12)+1</f>
        <v/>
      </c>
      <c r="E269" s="44">
        <f>INDEX(Monthly!$B$2:$B$61,A269)</f>
        <v/>
      </c>
      <c r="F269" s="44">
        <f>E269*INDEX('Age profile'!$B$2:$B$61,B269)</f>
        <v/>
      </c>
      <c r="G269" s="45">
        <f>MIN(in_takeup_cap,INDEX('Age profile'!$N$2:$N$61,B269)*(1+in_takeup_growth)^(D269-1))</f>
        <v/>
      </c>
      <c r="H269" s="11">
        <f>MIN(in_approval_cap,in_approved_first*INDEX('Age profile'!$O$2:$O$61,B269)*(1+in_approval_growth)^(D269-1))</f>
        <v/>
      </c>
      <c r="I269" s="45">
        <f>G269*MIN(in_takeup_cap,INDEX('Age profile'!$O$2:$O$61,B269)*(1+in_approval_growth)^(D269-1))</f>
        <v/>
      </c>
      <c r="J269" s="40">
        <f>(J268-L268)*F269/F268</f>
        <v/>
      </c>
      <c r="K269" s="40">
        <f>(K268-M268)*F269/F268+SUMIFS(O236:O268,B236:B268,B269-1-d_T)*F269</f>
        <v/>
      </c>
      <c r="L269" s="40">
        <f>IF(B269&gt;=in_marketplace_from,J269*d_hz*G269*in_eligible*H269,0)</f>
        <v/>
      </c>
      <c r="M269" s="40">
        <f>IF(B269&gt;=in_marketplace_from,K269*d_hz*G269*in_eligible*in_approved_repeat,0)</f>
        <v/>
      </c>
      <c r="N269" s="40">
        <f>L269+M269</f>
        <v/>
      </c>
      <c r="O269" s="46">
        <f>N269/F269</f>
        <v/>
      </c>
      <c r="P269" s="40">
        <f>F269-J269-K269</f>
        <v/>
      </c>
      <c r="Q269" s="40">
        <f>IF(B269&gt;=in_marketplace_from,(J269+K269)*d_hz*G269,0)</f>
        <v/>
      </c>
      <c r="R269" s="40">
        <f>SUMIFS(N236:N291,B236:B291,"&gt;="&amp;(B269-d_T),B236:B291,"&lt;="&amp;(B269-1))</f>
        <v/>
      </c>
      <c r="S269" s="46">
        <f>(1-d_u)*S268+IF(d_T&gt;in_topup_lag,SUMIFS(O236:O291,B236:B291,B269-in_topup_lag)-d_udrop*SUMIFS(O236:O291,B236:B291,B269-d_T),0)</f>
        <v/>
      </c>
      <c r="T269" s="40">
        <f>F269*d_u*S269</f>
        <v/>
      </c>
      <c r="U269" s="9">
        <f>L269*in_ticket+M269*d_rep_ticket</f>
        <v/>
      </c>
      <c r="V269" s="9">
        <f>U269+T269*d_topup_amt</f>
        <v/>
      </c>
      <c r="W269" s="40">
        <f>N269+T269*d_topup_ratio</f>
        <v/>
      </c>
      <c r="X269" s="40">
        <f>SUMIFS(W236:W291,B236:B291,B269-in_dpd_lag)*d_cured</f>
        <v/>
      </c>
      <c r="Y269" s="40">
        <f>SUMIFS(W236:W291,B236:B291,B269-in_rec_lag)*d_recd</f>
        <v/>
      </c>
      <c r="Z269" s="40">
        <f>IF(AND(B269&gt;=in_marketplace_from,B269&lt;in_marketplace_from+in_card_months),in_card_share/in_card_months*F269*I269,IF(AND(B269&gt;=in_marketplace_from+in_card_months,B269&lt;in_marketplace_from+2*in_card_months),in_card_share*d_card_rem/in_card_months*F269*MIN(in_takeup_cap,(1+in_takeup_growth)^(D269-1))*MIN(in_takeup_cap,(1+in_approval_growth)^(D269-1)),0))</f>
        <v/>
      </c>
      <c r="AA269" s="14">
        <f>V269*in_fee*(1-in_taken_back)</f>
        <v/>
      </c>
      <c r="AB269" s="14">
        <f>SUMIFS(W236:W291,B236:B291,B269-in_dpd_lag)*d_dpd</f>
        <v/>
      </c>
      <c r="AC269" s="14">
        <f>SUMIFS(W236:W291,B236:B291,B269-in_rec_lag)*d_rec</f>
        <v/>
      </c>
      <c r="AD269" s="14">
        <f>Z269*in_card_fee</f>
        <v/>
      </c>
      <c r="AE269" s="40">
        <f>AE268*(1-IF(B268&gt;=in_marketplace_from,d_hz_hlth_small*G268,0))</f>
        <v/>
      </c>
      <c r="AF269" s="46">
        <f>AE269*IF(B269&gt;=in_marketplace_from,d_hz_hlth_small*G269,0)</f>
        <v/>
      </c>
      <c r="AG269" s="14">
        <f>F269*AF269*in_hlth_small_ticket*in_hlth_small_comm*in_ins_partner_share+F269*in_hlth_small_ticket*in_hlth_small_renew_comm*in_ins_partner_share*(in_hlth_small_renew^1*SUMIFS(AF236:AF291,B236:B291,B269-12)+in_hlth_small_renew^2*SUMIFS(AF236:AF291,B236:B291,B269-24)+in_hlth_small_renew^3*SUMIFS(AF236:AF291,B236:B291,B269-36)+in_hlth_small_renew^4*SUMIFS(AF236:AF291,B236:B291,B269-48))</f>
        <v/>
      </c>
      <c r="AH269" s="40">
        <f>AH268*(1-IF(B268&gt;=in_marketplace_from,d_hz_hlth_family*G268,0))</f>
        <v/>
      </c>
      <c r="AI269" s="46">
        <f>AH269*IF(B269&gt;=in_marketplace_from,d_hz_hlth_family*G269,0)</f>
        <v/>
      </c>
      <c r="AJ269" s="14">
        <f>F269*AI269*in_hlth_family_ticket*in_hlth_family_comm*in_ins_partner_share+F269*in_hlth_family_ticket*in_hlth_family_renew_comm*in_ins_partner_share*(in_hlth_family_renew^1*SUMIFS(AI236:AI291,B236:B291,B269-12)+in_hlth_family_renew^2*SUMIFS(AI236:AI291,B236:B291,B269-24)+in_hlth_family_renew^3*SUMIFS(AI236:AI291,B236:B291,B269-36)+in_hlth_family_renew^4*SUMIFS(AI236:AI291,B236:B291,B269-48))</f>
        <v/>
      </c>
      <c r="AK269" s="40">
        <f>AK268*(1-IF(B268&gt;=in_marketplace_from,d_hz_life_term*G268,0))</f>
        <v/>
      </c>
      <c r="AL269" s="46">
        <f>AK269*IF(B269&gt;=in_marketplace_from,d_hz_life_term*G269,0)</f>
        <v/>
      </c>
      <c r="AM269" s="14">
        <f>F269*AL269*in_life_term_ticket*in_life_term_comm*in_ins_partner_share+F269*in_life_term_ticket*in_life_term_renew_comm*in_ins_partner_share*(in_life_term_renew^1*SUMIFS(AL236:AL291,B236:B291,B269-12)+in_life_term_renew^2*SUMIFS(AL236:AL291,B236:B291,B269-24)+in_life_term_renew^3*SUMIFS(AL236:AL291,B236:B291,B269-36)+in_life_term_renew^4*SUMIFS(AL236:AL291,B236:B291,B269-48))</f>
        <v/>
      </c>
      <c r="AN269" s="40">
        <f>AN268*(1-IF(B268&gt;=in_marketplace_from,d_hz_accident*G268,0))</f>
        <v/>
      </c>
      <c r="AO269" s="46">
        <f>AN269*IF(B269&gt;=in_marketplace_from,d_hz_accident*G269,0)</f>
        <v/>
      </c>
      <c r="AP269" s="14">
        <f>F269*AO269*in_accident_ticket*in_accident_comm*in_ins_partner_share+F269*in_accident_ticket*in_accident_renew_comm*in_ins_partner_share*(in_accident_renew^1*SUMIFS(AO236:AO291,B236:B291,B269-12)+in_accident_renew^2*SUMIFS(AO236:AO291,B236:B291,B269-24)+in_accident_renew^3*SUMIFS(AO236:AO291,B236:B291,B269-36)+in_accident_renew^4*SUMIFS(AO236:AO291,B236:B291,B269-48))</f>
        <v/>
      </c>
      <c r="AQ269" s="40">
        <f>AQ268*(1-IF(B268&gt;=in_marketplace_from,d_hz_two_wheeler*G268,0))</f>
        <v/>
      </c>
      <c r="AR269" s="46">
        <f>AQ269*IF(B269&gt;=in_marketplace_from,d_hz_two_wheeler*G269,0)</f>
        <v/>
      </c>
      <c r="AS269" s="14">
        <f>F269*AR269*in_two_wheeler_ticket*in_two_wheeler_comm*in_ins_partner_share+F269*in_two_wheeler_ticket*in_two_wheeler_comm*in_ins_partner_share*(in_two_wheeler_renew^1*SUMIFS(AR236:AR291,B236:B291,B269-12)+in_two_wheeler_renew^2*SUMIFS(AR236:AR291,B236:B291,B269-24)+in_two_wheeler_renew^3*SUMIFS(AR236:AR291,B236:B291,B269-36)+in_two_wheeler_renew^4*SUMIFS(AR236:AR291,B236:B291,B269-48))</f>
        <v/>
      </c>
      <c r="AT269" s="40">
        <f>AT268*(1-IF(B268&gt;=in_marketplace_from,d_hz_device*G268,0))</f>
        <v/>
      </c>
      <c r="AU269" s="14">
        <f>F269*AT269*IF(B269&gt;=in_marketplace_from,d_hz_device*G269,0)*in_device_ticket*in_device_comm*in_ins_partner_share</f>
        <v/>
      </c>
      <c r="AV269" s="40">
        <f>AV268*(1-IF(B268&gt;=in_marketplace_from,d_hz_shop*G268,0))</f>
        <v/>
      </c>
      <c r="AW269" s="46">
        <f>AV269*IF(B269&gt;=in_marketplace_from,d_hz_shop*G269,0)</f>
        <v/>
      </c>
      <c r="AX269" s="14">
        <f>F269*AW269*in_shop_ticket*in_shop_comm*in_ins_partner_share+F269*in_shop_ticket*in_shop_renew_comm*in_ins_partner_share*(in_shop_renew^1*SUMIFS(AW236:AW291,B236:B291,B269-12)+in_shop_renew^2*SUMIFS(AW236:AW291,B236:B291,B269-24)+in_shop_renew^3*SUMIFS(AW236:AW291,B236:B291,B269-36)+in_shop_renew^4*SUMIFS(AW236:AW291,B236:B291,B269-48))</f>
        <v/>
      </c>
      <c r="AY269" s="40">
        <f>AY268*(1-IF(B268&gt;=in_marketplace_from,d_hz_sip*G268,0))</f>
        <v/>
      </c>
      <c r="AZ269" s="40">
        <f>AZ268*d_rho_sip+AY269*IF(B269&gt;=in_marketplace_from,d_hz_sip*G269,0)</f>
        <v/>
      </c>
      <c r="BA269" s="40">
        <f>d_rho_sip*(BA268+AZ268)</f>
        <v/>
      </c>
      <c r="BB269" s="14">
        <f>F269*in_sip_ticket*(BA269+0.5*AZ269)*in_sip_comm/12</f>
        <v/>
      </c>
      <c r="BC269" s="40">
        <f>BC268*(1-IF(B268&gt;=in_marketplace_from,d_hz_choti*G268,0))</f>
        <v/>
      </c>
      <c r="BD269" s="46">
        <f>BC269*IF(B269&gt;=in_marketplace_from,d_hz_choti*G269,0)</f>
        <v/>
      </c>
      <c r="BE269" s="14">
        <f>F269*SUMIFS(BD236:BD291,B236:B291,B269-in_choti_months)*in_choti_renew*in_choti_ticket</f>
        <v/>
      </c>
      <c r="BF269" s="40">
        <f>BF268*(1-IF(B268&gt;=in_marketplace_from,d_hz_nps*G268,0))</f>
        <v/>
      </c>
      <c r="BG269" s="14">
        <f>F269*BF269*IF(B269&gt;=in_marketplace_from,d_hz_nps*G269,0)*in_nps_ticket*in_nps_comm</f>
        <v/>
      </c>
      <c r="BH269" s="40">
        <f>BH268*(1-IF(B268&gt;=in_marketplace_from,d_hz_gold*G268,0))</f>
        <v/>
      </c>
      <c r="BI269" s="40">
        <f>BI268*d_rho_gold+BH269*IF(B269&gt;=in_marketplace_from,d_hz_gold*G269,0)</f>
        <v/>
      </c>
      <c r="BJ269" s="14">
        <f>F269*BI269*in_gold_ticket*in_gold_comm</f>
        <v/>
      </c>
      <c r="BK269" s="40">
        <f>BK268*(1-IF(B268&gt;=in_marketplace_from,d_hz_fd*G268,0))</f>
        <v/>
      </c>
      <c r="BL269" s="14">
        <f>F269*BK269*IF(B269&gt;=in_marketplace_from,d_hz_fd*G269,0)*in_fd_ticket*in_fd_comm</f>
        <v/>
      </c>
      <c r="BM269" s="40">
        <f>BM268*(1-IF(B268&gt;=in_marketplace_from,d_hz_recharge*G268,0))</f>
        <v/>
      </c>
      <c r="BN269" s="40">
        <f>BN268*d_rho_recharge+BM269*IF(B269&gt;=in_marketplace_from,d_hz_recharge*G269,0)</f>
        <v/>
      </c>
      <c r="BO269" s="14">
        <f>F269*BN269*in_recharge_ticket*in_recharge_comm/12</f>
        <v/>
      </c>
      <c r="BP269" s="40">
        <f>BP268*(1-IF(B268&gt;=in_marketplace_from,d_hz_bills*G268,0))</f>
        <v/>
      </c>
      <c r="BQ269" s="40">
        <f>BQ268*d_rho_bills+BP269*IF(B269&gt;=in_marketplace_from,d_hz_bills*G269,0)</f>
        <v/>
      </c>
      <c r="BR269" s="14">
        <f>F269*BQ269*in_bills_ticket*in_bills_comm/12</f>
        <v/>
      </c>
      <c r="BS269" s="40">
        <f>BS268*(1-IF(B268&gt;=in_marketplace_from,d_hz_loan_gold*G268,0))</f>
        <v/>
      </c>
      <c r="BT269" s="14">
        <f>F269*BS269*IF(B269&gt;=in_marketplace_from,d_hz_loan_gold*G269,0)*in_loan_gold_ticket*in_loan_gold_comm</f>
        <v/>
      </c>
      <c r="BU269" s="40">
        <f>BU268*(1-IF(B268&gt;=in_marketplace_from,d_hz_loan_cd*G268,0))</f>
        <v/>
      </c>
      <c r="BV269" s="14">
        <f>F269*BU269*IF(B269&gt;=in_marketplace_from,d_hz_loan_cd*G269,0)*in_loan_cd_ticket*in_loan_cd_comm</f>
        <v/>
      </c>
      <c r="BW269" s="40">
        <f>BW268*(1-IF(B268&gt;=in_marketplace_from,d_hz_loan_vehicle*G268,0))</f>
        <v/>
      </c>
      <c r="BX269" s="14">
        <f>F269*BW269*IF(B269&gt;=in_marketplace_from,d_hz_loan_vehicle*G269,0)*in_loan_vehicle_ticket*in_loan_vehicle_comm</f>
        <v/>
      </c>
      <c r="BY269" s="40">
        <f>BY268*(1-IF(B268&gt;=in_marketplace_from,d_hz_loan_home*G268,0)*BZ268)</f>
        <v/>
      </c>
      <c r="BZ269" s="11">
        <f>MIN(in_approval_cap,in_loan_home_approval*INDEX('Age profile'!$O$2:$O$61,B269)*(1+in_approval_growth)^(D269-1))</f>
        <v/>
      </c>
      <c r="CA269" s="14">
        <f>F269*BY269*IF(B269&gt;=in_marketplace_from,d_hz_loan_home*G269,0)*BZ269*in_loan_home_ticket*in_loan_home_comm</f>
        <v/>
      </c>
      <c r="CB269" s="40">
        <f>CB268*(1-IF(B268&gt;=in_marketplace_from,d_hz_loan_lap*G268,0)*CC268)</f>
        <v/>
      </c>
      <c r="CC269" s="11">
        <f>MIN(in_approval_cap,in_loan_lap_approval*INDEX('Age profile'!$O$2:$O$61,B269)*(1+in_approval_growth)^(D269-1))</f>
        <v/>
      </c>
      <c r="CD269" s="14">
        <f>F269*CB269*IF(B269&gt;=in_marketplace_from,d_hz_loan_lap*G269,0)*CC269*in_loan_lap_ticket*in_loan_lap_comm</f>
        <v/>
      </c>
      <c r="CE269" s="14">
        <f>AA269+AB269+AC269+AD269+AG269+AJ269+AM269+AP269+AS269+AU269+AX269+BB269+BE269+BG269+BJ269+BL269+BO269+BR269+BT269+BV269+BX269+CA269+CD269</f>
        <v/>
      </c>
    </row>
    <row r="270">
      <c r="A270" s="39" t="n">
        <v>5</v>
      </c>
      <c r="B270" s="39" t="n">
        <v>35</v>
      </c>
      <c r="C270" s="39">
        <f>A270+B270-1</f>
        <v/>
      </c>
      <c r="D270" s="39">
        <f>INT((C270-1)/12)+1</f>
        <v/>
      </c>
      <c r="E270" s="44">
        <f>INDEX(Monthly!$B$2:$B$61,A270)</f>
        <v/>
      </c>
      <c r="F270" s="44">
        <f>E270*INDEX('Age profile'!$B$2:$B$61,B270)</f>
        <v/>
      </c>
      <c r="G270" s="45">
        <f>MIN(in_takeup_cap,INDEX('Age profile'!$N$2:$N$61,B270)*(1+in_takeup_growth)^(D270-1))</f>
        <v/>
      </c>
      <c r="H270" s="11">
        <f>MIN(in_approval_cap,in_approved_first*INDEX('Age profile'!$O$2:$O$61,B270)*(1+in_approval_growth)^(D270-1))</f>
        <v/>
      </c>
      <c r="I270" s="45">
        <f>G270*MIN(in_takeup_cap,INDEX('Age profile'!$O$2:$O$61,B270)*(1+in_approval_growth)^(D270-1))</f>
        <v/>
      </c>
      <c r="J270" s="40">
        <f>(J269-L269)*F270/F269</f>
        <v/>
      </c>
      <c r="K270" s="40">
        <f>(K269-M269)*F270/F269+SUMIFS(O236:O269,B236:B269,B270-1-d_T)*F270</f>
        <v/>
      </c>
      <c r="L270" s="40">
        <f>IF(B270&gt;=in_marketplace_from,J270*d_hz*G270*in_eligible*H270,0)</f>
        <v/>
      </c>
      <c r="M270" s="40">
        <f>IF(B270&gt;=in_marketplace_from,K270*d_hz*G270*in_eligible*in_approved_repeat,0)</f>
        <v/>
      </c>
      <c r="N270" s="40">
        <f>L270+M270</f>
        <v/>
      </c>
      <c r="O270" s="46">
        <f>N270/F270</f>
        <v/>
      </c>
      <c r="P270" s="40">
        <f>F270-J270-K270</f>
        <v/>
      </c>
      <c r="Q270" s="40">
        <f>IF(B270&gt;=in_marketplace_from,(J270+K270)*d_hz*G270,0)</f>
        <v/>
      </c>
      <c r="R270" s="40">
        <f>SUMIFS(N236:N291,B236:B291,"&gt;="&amp;(B270-d_T),B236:B291,"&lt;="&amp;(B270-1))</f>
        <v/>
      </c>
      <c r="S270" s="46">
        <f>(1-d_u)*S269+IF(d_T&gt;in_topup_lag,SUMIFS(O236:O291,B236:B291,B270-in_topup_lag)-d_udrop*SUMIFS(O236:O291,B236:B291,B270-d_T),0)</f>
        <v/>
      </c>
      <c r="T270" s="40">
        <f>F270*d_u*S270</f>
        <v/>
      </c>
      <c r="U270" s="9">
        <f>L270*in_ticket+M270*d_rep_ticket</f>
        <v/>
      </c>
      <c r="V270" s="9">
        <f>U270+T270*d_topup_amt</f>
        <v/>
      </c>
      <c r="W270" s="40">
        <f>N270+T270*d_topup_ratio</f>
        <v/>
      </c>
      <c r="X270" s="40">
        <f>SUMIFS(W236:W291,B236:B291,B270-in_dpd_lag)*d_cured</f>
        <v/>
      </c>
      <c r="Y270" s="40">
        <f>SUMIFS(W236:W291,B236:B291,B270-in_rec_lag)*d_recd</f>
        <v/>
      </c>
      <c r="Z270" s="40">
        <f>IF(AND(B270&gt;=in_marketplace_from,B270&lt;in_marketplace_from+in_card_months),in_card_share/in_card_months*F270*I270,IF(AND(B270&gt;=in_marketplace_from+in_card_months,B270&lt;in_marketplace_from+2*in_card_months),in_card_share*d_card_rem/in_card_months*F270*MIN(in_takeup_cap,(1+in_takeup_growth)^(D270-1))*MIN(in_takeup_cap,(1+in_approval_growth)^(D270-1)),0))</f>
        <v/>
      </c>
      <c r="AA270" s="14">
        <f>V270*in_fee*(1-in_taken_back)</f>
        <v/>
      </c>
      <c r="AB270" s="14">
        <f>SUMIFS(W236:W291,B236:B291,B270-in_dpd_lag)*d_dpd</f>
        <v/>
      </c>
      <c r="AC270" s="14">
        <f>SUMIFS(W236:W291,B236:B291,B270-in_rec_lag)*d_rec</f>
        <v/>
      </c>
      <c r="AD270" s="14">
        <f>Z270*in_card_fee</f>
        <v/>
      </c>
      <c r="AE270" s="40">
        <f>AE269*(1-IF(B269&gt;=in_marketplace_from,d_hz_hlth_small*G269,0))</f>
        <v/>
      </c>
      <c r="AF270" s="46">
        <f>AE270*IF(B270&gt;=in_marketplace_from,d_hz_hlth_small*G270,0)</f>
        <v/>
      </c>
      <c r="AG270" s="14">
        <f>F270*AF270*in_hlth_small_ticket*in_hlth_small_comm*in_ins_partner_share+F270*in_hlth_small_ticket*in_hlth_small_renew_comm*in_ins_partner_share*(in_hlth_small_renew^1*SUMIFS(AF236:AF291,B236:B291,B270-12)+in_hlth_small_renew^2*SUMIFS(AF236:AF291,B236:B291,B270-24)+in_hlth_small_renew^3*SUMIFS(AF236:AF291,B236:B291,B270-36)+in_hlth_small_renew^4*SUMIFS(AF236:AF291,B236:B291,B270-48))</f>
        <v/>
      </c>
      <c r="AH270" s="40">
        <f>AH269*(1-IF(B269&gt;=in_marketplace_from,d_hz_hlth_family*G269,0))</f>
        <v/>
      </c>
      <c r="AI270" s="46">
        <f>AH270*IF(B270&gt;=in_marketplace_from,d_hz_hlth_family*G270,0)</f>
        <v/>
      </c>
      <c r="AJ270" s="14">
        <f>F270*AI270*in_hlth_family_ticket*in_hlth_family_comm*in_ins_partner_share+F270*in_hlth_family_ticket*in_hlth_family_renew_comm*in_ins_partner_share*(in_hlth_family_renew^1*SUMIFS(AI236:AI291,B236:B291,B270-12)+in_hlth_family_renew^2*SUMIFS(AI236:AI291,B236:B291,B270-24)+in_hlth_family_renew^3*SUMIFS(AI236:AI291,B236:B291,B270-36)+in_hlth_family_renew^4*SUMIFS(AI236:AI291,B236:B291,B270-48))</f>
        <v/>
      </c>
      <c r="AK270" s="40">
        <f>AK269*(1-IF(B269&gt;=in_marketplace_from,d_hz_life_term*G269,0))</f>
        <v/>
      </c>
      <c r="AL270" s="46">
        <f>AK270*IF(B270&gt;=in_marketplace_from,d_hz_life_term*G270,0)</f>
        <v/>
      </c>
      <c r="AM270" s="14">
        <f>F270*AL270*in_life_term_ticket*in_life_term_comm*in_ins_partner_share+F270*in_life_term_ticket*in_life_term_renew_comm*in_ins_partner_share*(in_life_term_renew^1*SUMIFS(AL236:AL291,B236:B291,B270-12)+in_life_term_renew^2*SUMIFS(AL236:AL291,B236:B291,B270-24)+in_life_term_renew^3*SUMIFS(AL236:AL291,B236:B291,B270-36)+in_life_term_renew^4*SUMIFS(AL236:AL291,B236:B291,B270-48))</f>
        <v/>
      </c>
      <c r="AN270" s="40">
        <f>AN269*(1-IF(B269&gt;=in_marketplace_from,d_hz_accident*G269,0))</f>
        <v/>
      </c>
      <c r="AO270" s="46">
        <f>AN270*IF(B270&gt;=in_marketplace_from,d_hz_accident*G270,0)</f>
        <v/>
      </c>
      <c r="AP270" s="14">
        <f>F270*AO270*in_accident_ticket*in_accident_comm*in_ins_partner_share+F270*in_accident_ticket*in_accident_renew_comm*in_ins_partner_share*(in_accident_renew^1*SUMIFS(AO236:AO291,B236:B291,B270-12)+in_accident_renew^2*SUMIFS(AO236:AO291,B236:B291,B270-24)+in_accident_renew^3*SUMIFS(AO236:AO291,B236:B291,B270-36)+in_accident_renew^4*SUMIFS(AO236:AO291,B236:B291,B270-48))</f>
        <v/>
      </c>
      <c r="AQ270" s="40">
        <f>AQ269*(1-IF(B269&gt;=in_marketplace_from,d_hz_two_wheeler*G269,0))</f>
        <v/>
      </c>
      <c r="AR270" s="46">
        <f>AQ270*IF(B270&gt;=in_marketplace_from,d_hz_two_wheeler*G270,0)</f>
        <v/>
      </c>
      <c r="AS270" s="14">
        <f>F270*AR270*in_two_wheeler_ticket*in_two_wheeler_comm*in_ins_partner_share+F270*in_two_wheeler_ticket*in_two_wheeler_comm*in_ins_partner_share*(in_two_wheeler_renew^1*SUMIFS(AR236:AR291,B236:B291,B270-12)+in_two_wheeler_renew^2*SUMIFS(AR236:AR291,B236:B291,B270-24)+in_two_wheeler_renew^3*SUMIFS(AR236:AR291,B236:B291,B270-36)+in_two_wheeler_renew^4*SUMIFS(AR236:AR291,B236:B291,B270-48))</f>
        <v/>
      </c>
      <c r="AT270" s="40">
        <f>AT269*(1-IF(B269&gt;=in_marketplace_from,d_hz_device*G269,0))</f>
        <v/>
      </c>
      <c r="AU270" s="14">
        <f>F270*AT270*IF(B270&gt;=in_marketplace_from,d_hz_device*G270,0)*in_device_ticket*in_device_comm*in_ins_partner_share</f>
        <v/>
      </c>
      <c r="AV270" s="40">
        <f>AV269*(1-IF(B269&gt;=in_marketplace_from,d_hz_shop*G269,0))</f>
        <v/>
      </c>
      <c r="AW270" s="46">
        <f>AV270*IF(B270&gt;=in_marketplace_from,d_hz_shop*G270,0)</f>
        <v/>
      </c>
      <c r="AX270" s="14">
        <f>F270*AW270*in_shop_ticket*in_shop_comm*in_ins_partner_share+F270*in_shop_ticket*in_shop_renew_comm*in_ins_partner_share*(in_shop_renew^1*SUMIFS(AW236:AW291,B236:B291,B270-12)+in_shop_renew^2*SUMIFS(AW236:AW291,B236:B291,B270-24)+in_shop_renew^3*SUMIFS(AW236:AW291,B236:B291,B270-36)+in_shop_renew^4*SUMIFS(AW236:AW291,B236:B291,B270-48))</f>
        <v/>
      </c>
      <c r="AY270" s="40">
        <f>AY269*(1-IF(B269&gt;=in_marketplace_from,d_hz_sip*G269,0))</f>
        <v/>
      </c>
      <c r="AZ270" s="40">
        <f>AZ269*d_rho_sip+AY270*IF(B270&gt;=in_marketplace_from,d_hz_sip*G270,0)</f>
        <v/>
      </c>
      <c r="BA270" s="40">
        <f>d_rho_sip*(BA269+AZ269)</f>
        <v/>
      </c>
      <c r="BB270" s="14">
        <f>F270*in_sip_ticket*(BA270+0.5*AZ270)*in_sip_comm/12</f>
        <v/>
      </c>
      <c r="BC270" s="40">
        <f>BC269*(1-IF(B269&gt;=in_marketplace_from,d_hz_choti*G269,0))</f>
        <v/>
      </c>
      <c r="BD270" s="46">
        <f>BC270*IF(B270&gt;=in_marketplace_from,d_hz_choti*G270,0)</f>
        <v/>
      </c>
      <c r="BE270" s="14">
        <f>F270*SUMIFS(BD236:BD291,B236:B291,B270-in_choti_months)*in_choti_renew*in_choti_ticket</f>
        <v/>
      </c>
      <c r="BF270" s="40">
        <f>BF269*(1-IF(B269&gt;=in_marketplace_from,d_hz_nps*G269,0))</f>
        <v/>
      </c>
      <c r="BG270" s="14">
        <f>F270*BF270*IF(B270&gt;=in_marketplace_from,d_hz_nps*G270,0)*in_nps_ticket*in_nps_comm</f>
        <v/>
      </c>
      <c r="BH270" s="40">
        <f>BH269*(1-IF(B269&gt;=in_marketplace_from,d_hz_gold*G269,0))</f>
        <v/>
      </c>
      <c r="BI270" s="40">
        <f>BI269*d_rho_gold+BH270*IF(B270&gt;=in_marketplace_from,d_hz_gold*G270,0)</f>
        <v/>
      </c>
      <c r="BJ270" s="14">
        <f>F270*BI270*in_gold_ticket*in_gold_comm</f>
        <v/>
      </c>
      <c r="BK270" s="40">
        <f>BK269*(1-IF(B269&gt;=in_marketplace_from,d_hz_fd*G269,0))</f>
        <v/>
      </c>
      <c r="BL270" s="14">
        <f>F270*BK270*IF(B270&gt;=in_marketplace_from,d_hz_fd*G270,0)*in_fd_ticket*in_fd_comm</f>
        <v/>
      </c>
      <c r="BM270" s="40">
        <f>BM269*(1-IF(B269&gt;=in_marketplace_from,d_hz_recharge*G269,0))</f>
        <v/>
      </c>
      <c r="BN270" s="40">
        <f>BN269*d_rho_recharge+BM270*IF(B270&gt;=in_marketplace_from,d_hz_recharge*G270,0)</f>
        <v/>
      </c>
      <c r="BO270" s="14">
        <f>F270*BN270*in_recharge_ticket*in_recharge_comm/12</f>
        <v/>
      </c>
      <c r="BP270" s="40">
        <f>BP269*(1-IF(B269&gt;=in_marketplace_from,d_hz_bills*G269,0))</f>
        <v/>
      </c>
      <c r="BQ270" s="40">
        <f>BQ269*d_rho_bills+BP270*IF(B270&gt;=in_marketplace_from,d_hz_bills*G270,0)</f>
        <v/>
      </c>
      <c r="BR270" s="14">
        <f>F270*BQ270*in_bills_ticket*in_bills_comm/12</f>
        <v/>
      </c>
      <c r="BS270" s="40">
        <f>BS269*(1-IF(B269&gt;=in_marketplace_from,d_hz_loan_gold*G269,0))</f>
        <v/>
      </c>
      <c r="BT270" s="14">
        <f>F270*BS270*IF(B270&gt;=in_marketplace_from,d_hz_loan_gold*G270,0)*in_loan_gold_ticket*in_loan_gold_comm</f>
        <v/>
      </c>
      <c r="BU270" s="40">
        <f>BU269*(1-IF(B269&gt;=in_marketplace_from,d_hz_loan_cd*G269,0))</f>
        <v/>
      </c>
      <c r="BV270" s="14">
        <f>F270*BU270*IF(B270&gt;=in_marketplace_from,d_hz_loan_cd*G270,0)*in_loan_cd_ticket*in_loan_cd_comm</f>
        <v/>
      </c>
      <c r="BW270" s="40">
        <f>BW269*(1-IF(B269&gt;=in_marketplace_from,d_hz_loan_vehicle*G269,0))</f>
        <v/>
      </c>
      <c r="BX270" s="14">
        <f>F270*BW270*IF(B270&gt;=in_marketplace_from,d_hz_loan_vehicle*G270,0)*in_loan_vehicle_ticket*in_loan_vehicle_comm</f>
        <v/>
      </c>
      <c r="BY270" s="40">
        <f>BY269*(1-IF(B269&gt;=in_marketplace_from,d_hz_loan_home*G269,0)*BZ269)</f>
        <v/>
      </c>
      <c r="BZ270" s="11">
        <f>MIN(in_approval_cap,in_loan_home_approval*INDEX('Age profile'!$O$2:$O$61,B270)*(1+in_approval_growth)^(D270-1))</f>
        <v/>
      </c>
      <c r="CA270" s="14">
        <f>F270*BY270*IF(B270&gt;=in_marketplace_from,d_hz_loan_home*G270,0)*BZ270*in_loan_home_ticket*in_loan_home_comm</f>
        <v/>
      </c>
      <c r="CB270" s="40">
        <f>CB269*(1-IF(B269&gt;=in_marketplace_from,d_hz_loan_lap*G269,0)*CC269)</f>
        <v/>
      </c>
      <c r="CC270" s="11">
        <f>MIN(in_approval_cap,in_loan_lap_approval*INDEX('Age profile'!$O$2:$O$61,B270)*(1+in_approval_growth)^(D270-1))</f>
        <v/>
      </c>
      <c r="CD270" s="14">
        <f>F270*CB270*IF(B270&gt;=in_marketplace_from,d_hz_loan_lap*G270,0)*CC270*in_loan_lap_ticket*in_loan_lap_comm</f>
        <v/>
      </c>
      <c r="CE270" s="14">
        <f>AA270+AB270+AC270+AD270+AG270+AJ270+AM270+AP270+AS270+AU270+AX270+BB270+BE270+BG270+BJ270+BL270+BO270+BR270+BT270+BV270+BX270+CA270+CD270</f>
        <v/>
      </c>
    </row>
    <row r="271">
      <c r="A271" s="39" t="n">
        <v>5</v>
      </c>
      <c r="B271" s="39" t="n">
        <v>36</v>
      </c>
      <c r="C271" s="39">
        <f>A271+B271-1</f>
        <v/>
      </c>
      <c r="D271" s="39">
        <f>INT((C271-1)/12)+1</f>
        <v/>
      </c>
      <c r="E271" s="44">
        <f>INDEX(Monthly!$B$2:$B$61,A271)</f>
        <v/>
      </c>
      <c r="F271" s="44">
        <f>E271*INDEX('Age profile'!$B$2:$B$61,B271)</f>
        <v/>
      </c>
      <c r="G271" s="45">
        <f>MIN(in_takeup_cap,INDEX('Age profile'!$N$2:$N$61,B271)*(1+in_takeup_growth)^(D271-1))</f>
        <v/>
      </c>
      <c r="H271" s="11">
        <f>MIN(in_approval_cap,in_approved_first*INDEX('Age profile'!$O$2:$O$61,B271)*(1+in_approval_growth)^(D271-1))</f>
        <v/>
      </c>
      <c r="I271" s="45">
        <f>G271*MIN(in_takeup_cap,INDEX('Age profile'!$O$2:$O$61,B271)*(1+in_approval_growth)^(D271-1))</f>
        <v/>
      </c>
      <c r="J271" s="40">
        <f>(J270-L270)*F271/F270</f>
        <v/>
      </c>
      <c r="K271" s="40">
        <f>(K270-M270)*F271/F270+SUMIFS(O236:O270,B236:B270,B271-1-d_T)*F271</f>
        <v/>
      </c>
      <c r="L271" s="40">
        <f>IF(B271&gt;=in_marketplace_from,J271*d_hz*G271*in_eligible*H271,0)</f>
        <v/>
      </c>
      <c r="M271" s="40">
        <f>IF(B271&gt;=in_marketplace_from,K271*d_hz*G271*in_eligible*in_approved_repeat,0)</f>
        <v/>
      </c>
      <c r="N271" s="40">
        <f>L271+M271</f>
        <v/>
      </c>
      <c r="O271" s="46">
        <f>N271/F271</f>
        <v/>
      </c>
      <c r="P271" s="40">
        <f>F271-J271-K271</f>
        <v/>
      </c>
      <c r="Q271" s="40">
        <f>IF(B271&gt;=in_marketplace_from,(J271+K271)*d_hz*G271,0)</f>
        <v/>
      </c>
      <c r="R271" s="40">
        <f>SUMIFS(N236:N291,B236:B291,"&gt;="&amp;(B271-d_T),B236:B291,"&lt;="&amp;(B271-1))</f>
        <v/>
      </c>
      <c r="S271" s="46">
        <f>(1-d_u)*S270+IF(d_T&gt;in_topup_lag,SUMIFS(O236:O291,B236:B291,B271-in_topup_lag)-d_udrop*SUMIFS(O236:O291,B236:B291,B271-d_T),0)</f>
        <v/>
      </c>
      <c r="T271" s="40">
        <f>F271*d_u*S271</f>
        <v/>
      </c>
      <c r="U271" s="9">
        <f>L271*in_ticket+M271*d_rep_ticket</f>
        <v/>
      </c>
      <c r="V271" s="9">
        <f>U271+T271*d_topup_amt</f>
        <v/>
      </c>
      <c r="W271" s="40">
        <f>N271+T271*d_topup_ratio</f>
        <v/>
      </c>
      <c r="X271" s="40">
        <f>SUMIFS(W236:W291,B236:B291,B271-in_dpd_lag)*d_cured</f>
        <v/>
      </c>
      <c r="Y271" s="40">
        <f>SUMIFS(W236:W291,B236:B291,B271-in_rec_lag)*d_recd</f>
        <v/>
      </c>
      <c r="Z271" s="40">
        <f>IF(AND(B271&gt;=in_marketplace_from,B271&lt;in_marketplace_from+in_card_months),in_card_share/in_card_months*F271*I271,IF(AND(B271&gt;=in_marketplace_from+in_card_months,B271&lt;in_marketplace_from+2*in_card_months),in_card_share*d_card_rem/in_card_months*F271*MIN(in_takeup_cap,(1+in_takeup_growth)^(D271-1))*MIN(in_takeup_cap,(1+in_approval_growth)^(D271-1)),0))</f>
        <v/>
      </c>
      <c r="AA271" s="14">
        <f>V271*in_fee*(1-in_taken_back)</f>
        <v/>
      </c>
      <c r="AB271" s="14">
        <f>SUMIFS(W236:W291,B236:B291,B271-in_dpd_lag)*d_dpd</f>
        <v/>
      </c>
      <c r="AC271" s="14">
        <f>SUMIFS(W236:W291,B236:B291,B271-in_rec_lag)*d_rec</f>
        <v/>
      </c>
      <c r="AD271" s="14">
        <f>Z271*in_card_fee</f>
        <v/>
      </c>
      <c r="AE271" s="40">
        <f>AE270*(1-IF(B270&gt;=in_marketplace_from,d_hz_hlth_small*G270,0))</f>
        <v/>
      </c>
      <c r="AF271" s="46">
        <f>AE271*IF(B271&gt;=in_marketplace_from,d_hz_hlth_small*G271,0)</f>
        <v/>
      </c>
      <c r="AG271" s="14">
        <f>F271*AF271*in_hlth_small_ticket*in_hlth_small_comm*in_ins_partner_share+F271*in_hlth_small_ticket*in_hlth_small_renew_comm*in_ins_partner_share*(in_hlth_small_renew^1*SUMIFS(AF236:AF291,B236:B291,B271-12)+in_hlth_small_renew^2*SUMIFS(AF236:AF291,B236:B291,B271-24)+in_hlth_small_renew^3*SUMIFS(AF236:AF291,B236:B291,B271-36)+in_hlth_small_renew^4*SUMIFS(AF236:AF291,B236:B291,B271-48))</f>
        <v/>
      </c>
      <c r="AH271" s="40">
        <f>AH270*(1-IF(B270&gt;=in_marketplace_from,d_hz_hlth_family*G270,0))</f>
        <v/>
      </c>
      <c r="AI271" s="46">
        <f>AH271*IF(B271&gt;=in_marketplace_from,d_hz_hlth_family*G271,0)</f>
        <v/>
      </c>
      <c r="AJ271" s="14">
        <f>F271*AI271*in_hlth_family_ticket*in_hlth_family_comm*in_ins_partner_share+F271*in_hlth_family_ticket*in_hlth_family_renew_comm*in_ins_partner_share*(in_hlth_family_renew^1*SUMIFS(AI236:AI291,B236:B291,B271-12)+in_hlth_family_renew^2*SUMIFS(AI236:AI291,B236:B291,B271-24)+in_hlth_family_renew^3*SUMIFS(AI236:AI291,B236:B291,B271-36)+in_hlth_family_renew^4*SUMIFS(AI236:AI291,B236:B291,B271-48))</f>
        <v/>
      </c>
      <c r="AK271" s="40">
        <f>AK270*(1-IF(B270&gt;=in_marketplace_from,d_hz_life_term*G270,0))</f>
        <v/>
      </c>
      <c r="AL271" s="46">
        <f>AK271*IF(B271&gt;=in_marketplace_from,d_hz_life_term*G271,0)</f>
        <v/>
      </c>
      <c r="AM271" s="14">
        <f>F271*AL271*in_life_term_ticket*in_life_term_comm*in_ins_partner_share+F271*in_life_term_ticket*in_life_term_renew_comm*in_ins_partner_share*(in_life_term_renew^1*SUMIFS(AL236:AL291,B236:B291,B271-12)+in_life_term_renew^2*SUMIFS(AL236:AL291,B236:B291,B271-24)+in_life_term_renew^3*SUMIFS(AL236:AL291,B236:B291,B271-36)+in_life_term_renew^4*SUMIFS(AL236:AL291,B236:B291,B271-48))</f>
        <v/>
      </c>
      <c r="AN271" s="40">
        <f>AN270*(1-IF(B270&gt;=in_marketplace_from,d_hz_accident*G270,0))</f>
        <v/>
      </c>
      <c r="AO271" s="46">
        <f>AN271*IF(B271&gt;=in_marketplace_from,d_hz_accident*G271,0)</f>
        <v/>
      </c>
      <c r="AP271" s="14">
        <f>F271*AO271*in_accident_ticket*in_accident_comm*in_ins_partner_share+F271*in_accident_ticket*in_accident_renew_comm*in_ins_partner_share*(in_accident_renew^1*SUMIFS(AO236:AO291,B236:B291,B271-12)+in_accident_renew^2*SUMIFS(AO236:AO291,B236:B291,B271-24)+in_accident_renew^3*SUMIFS(AO236:AO291,B236:B291,B271-36)+in_accident_renew^4*SUMIFS(AO236:AO291,B236:B291,B271-48))</f>
        <v/>
      </c>
      <c r="AQ271" s="40">
        <f>AQ270*(1-IF(B270&gt;=in_marketplace_from,d_hz_two_wheeler*G270,0))</f>
        <v/>
      </c>
      <c r="AR271" s="46">
        <f>AQ271*IF(B271&gt;=in_marketplace_from,d_hz_two_wheeler*G271,0)</f>
        <v/>
      </c>
      <c r="AS271" s="14">
        <f>F271*AR271*in_two_wheeler_ticket*in_two_wheeler_comm*in_ins_partner_share+F271*in_two_wheeler_ticket*in_two_wheeler_comm*in_ins_partner_share*(in_two_wheeler_renew^1*SUMIFS(AR236:AR291,B236:B291,B271-12)+in_two_wheeler_renew^2*SUMIFS(AR236:AR291,B236:B291,B271-24)+in_two_wheeler_renew^3*SUMIFS(AR236:AR291,B236:B291,B271-36)+in_two_wheeler_renew^4*SUMIFS(AR236:AR291,B236:B291,B271-48))</f>
        <v/>
      </c>
      <c r="AT271" s="40">
        <f>AT270*(1-IF(B270&gt;=in_marketplace_from,d_hz_device*G270,0))</f>
        <v/>
      </c>
      <c r="AU271" s="14">
        <f>F271*AT271*IF(B271&gt;=in_marketplace_from,d_hz_device*G271,0)*in_device_ticket*in_device_comm*in_ins_partner_share</f>
        <v/>
      </c>
      <c r="AV271" s="40">
        <f>AV270*(1-IF(B270&gt;=in_marketplace_from,d_hz_shop*G270,0))</f>
        <v/>
      </c>
      <c r="AW271" s="46">
        <f>AV271*IF(B271&gt;=in_marketplace_from,d_hz_shop*G271,0)</f>
        <v/>
      </c>
      <c r="AX271" s="14">
        <f>F271*AW271*in_shop_ticket*in_shop_comm*in_ins_partner_share+F271*in_shop_ticket*in_shop_renew_comm*in_ins_partner_share*(in_shop_renew^1*SUMIFS(AW236:AW291,B236:B291,B271-12)+in_shop_renew^2*SUMIFS(AW236:AW291,B236:B291,B271-24)+in_shop_renew^3*SUMIFS(AW236:AW291,B236:B291,B271-36)+in_shop_renew^4*SUMIFS(AW236:AW291,B236:B291,B271-48))</f>
        <v/>
      </c>
      <c r="AY271" s="40">
        <f>AY270*(1-IF(B270&gt;=in_marketplace_from,d_hz_sip*G270,0))</f>
        <v/>
      </c>
      <c r="AZ271" s="40">
        <f>AZ270*d_rho_sip+AY271*IF(B271&gt;=in_marketplace_from,d_hz_sip*G271,0)</f>
        <v/>
      </c>
      <c r="BA271" s="40">
        <f>d_rho_sip*(BA270+AZ270)</f>
        <v/>
      </c>
      <c r="BB271" s="14">
        <f>F271*in_sip_ticket*(BA271+0.5*AZ271)*in_sip_comm/12</f>
        <v/>
      </c>
      <c r="BC271" s="40">
        <f>BC270*(1-IF(B270&gt;=in_marketplace_from,d_hz_choti*G270,0))</f>
        <v/>
      </c>
      <c r="BD271" s="46">
        <f>BC271*IF(B271&gt;=in_marketplace_from,d_hz_choti*G271,0)</f>
        <v/>
      </c>
      <c r="BE271" s="14">
        <f>F271*SUMIFS(BD236:BD291,B236:B291,B271-in_choti_months)*in_choti_renew*in_choti_ticket</f>
        <v/>
      </c>
      <c r="BF271" s="40">
        <f>BF270*(1-IF(B270&gt;=in_marketplace_from,d_hz_nps*G270,0))</f>
        <v/>
      </c>
      <c r="BG271" s="14">
        <f>F271*BF271*IF(B271&gt;=in_marketplace_from,d_hz_nps*G271,0)*in_nps_ticket*in_nps_comm</f>
        <v/>
      </c>
      <c r="BH271" s="40">
        <f>BH270*(1-IF(B270&gt;=in_marketplace_from,d_hz_gold*G270,0))</f>
        <v/>
      </c>
      <c r="BI271" s="40">
        <f>BI270*d_rho_gold+BH271*IF(B271&gt;=in_marketplace_from,d_hz_gold*G271,0)</f>
        <v/>
      </c>
      <c r="BJ271" s="14">
        <f>F271*BI271*in_gold_ticket*in_gold_comm</f>
        <v/>
      </c>
      <c r="BK271" s="40">
        <f>BK270*(1-IF(B270&gt;=in_marketplace_from,d_hz_fd*G270,0))</f>
        <v/>
      </c>
      <c r="BL271" s="14">
        <f>F271*BK271*IF(B271&gt;=in_marketplace_from,d_hz_fd*G271,0)*in_fd_ticket*in_fd_comm</f>
        <v/>
      </c>
      <c r="BM271" s="40">
        <f>BM270*(1-IF(B270&gt;=in_marketplace_from,d_hz_recharge*G270,0))</f>
        <v/>
      </c>
      <c r="BN271" s="40">
        <f>BN270*d_rho_recharge+BM271*IF(B271&gt;=in_marketplace_from,d_hz_recharge*G271,0)</f>
        <v/>
      </c>
      <c r="BO271" s="14">
        <f>F271*BN271*in_recharge_ticket*in_recharge_comm/12</f>
        <v/>
      </c>
      <c r="BP271" s="40">
        <f>BP270*(1-IF(B270&gt;=in_marketplace_from,d_hz_bills*G270,0))</f>
        <v/>
      </c>
      <c r="BQ271" s="40">
        <f>BQ270*d_rho_bills+BP271*IF(B271&gt;=in_marketplace_from,d_hz_bills*G271,0)</f>
        <v/>
      </c>
      <c r="BR271" s="14">
        <f>F271*BQ271*in_bills_ticket*in_bills_comm/12</f>
        <v/>
      </c>
      <c r="BS271" s="40">
        <f>BS270*(1-IF(B270&gt;=in_marketplace_from,d_hz_loan_gold*G270,0))</f>
        <v/>
      </c>
      <c r="BT271" s="14">
        <f>F271*BS271*IF(B271&gt;=in_marketplace_from,d_hz_loan_gold*G271,0)*in_loan_gold_ticket*in_loan_gold_comm</f>
        <v/>
      </c>
      <c r="BU271" s="40">
        <f>BU270*(1-IF(B270&gt;=in_marketplace_from,d_hz_loan_cd*G270,0))</f>
        <v/>
      </c>
      <c r="BV271" s="14">
        <f>F271*BU271*IF(B271&gt;=in_marketplace_from,d_hz_loan_cd*G271,0)*in_loan_cd_ticket*in_loan_cd_comm</f>
        <v/>
      </c>
      <c r="BW271" s="40">
        <f>BW270*(1-IF(B270&gt;=in_marketplace_from,d_hz_loan_vehicle*G270,0))</f>
        <v/>
      </c>
      <c r="BX271" s="14">
        <f>F271*BW271*IF(B271&gt;=in_marketplace_from,d_hz_loan_vehicle*G271,0)*in_loan_vehicle_ticket*in_loan_vehicle_comm</f>
        <v/>
      </c>
      <c r="BY271" s="40">
        <f>BY270*(1-IF(B270&gt;=in_marketplace_from,d_hz_loan_home*G270,0)*BZ270)</f>
        <v/>
      </c>
      <c r="BZ271" s="11">
        <f>MIN(in_approval_cap,in_loan_home_approval*INDEX('Age profile'!$O$2:$O$61,B271)*(1+in_approval_growth)^(D271-1))</f>
        <v/>
      </c>
      <c r="CA271" s="14">
        <f>F271*BY271*IF(B271&gt;=in_marketplace_from,d_hz_loan_home*G271,0)*BZ271*in_loan_home_ticket*in_loan_home_comm</f>
        <v/>
      </c>
      <c r="CB271" s="40">
        <f>CB270*(1-IF(B270&gt;=in_marketplace_from,d_hz_loan_lap*G270,0)*CC270)</f>
        <v/>
      </c>
      <c r="CC271" s="11">
        <f>MIN(in_approval_cap,in_loan_lap_approval*INDEX('Age profile'!$O$2:$O$61,B271)*(1+in_approval_growth)^(D271-1))</f>
        <v/>
      </c>
      <c r="CD271" s="14">
        <f>F271*CB271*IF(B271&gt;=in_marketplace_from,d_hz_loan_lap*G271,0)*CC271*in_loan_lap_ticket*in_loan_lap_comm</f>
        <v/>
      </c>
      <c r="CE271" s="14">
        <f>AA271+AB271+AC271+AD271+AG271+AJ271+AM271+AP271+AS271+AU271+AX271+BB271+BE271+BG271+BJ271+BL271+BO271+BR271+BT271+BV271+BX271+CA271+CD271</f>
        <v/>
      </c>
    </row>
    <row r="272">
      <c r="A272" s="39" t="n">
        <v>5</v>
      </c>
      <c r="B272" s="39" t="n">
        <v>37</v>
      </c>
      <c r="C272" s="39">
        <f>A272+B272-1</f>
        <v/>
      </c>
      <c r="D272" s="39">
        <f>INT((C272-1)/12)+1</f>
        <v/>
      </c>
      <c r="E272" s="44">
        <f>INDEX(Monthly!$B$2:$B$61,A272)</f>
        <v/>
      </c>
      <c r="F272" s="44">
        <f>E272*INDEX('Age profile'!$B$2:$B$61,B272)</f>
        <v/>
      </c>
      <c r="G272" s="45">
        <f>MIN(in_takeup_cap,INDEX('Age profile'!$N$2:$N$61,B272)*(1+in_takeup_growth)^(D272-1))</f>
        <v/>
      </c>
      <c r="H272" s="11">
        <f>MIN(in_approval_cap,in_approved_first*INDEX('Age profile'!$O$2:$O$61,B272)*(1+in_approval_growth)^(D272-1))</f>
        <v/>
      </c>
      <c r="I272" s="45">
        <f>G272*MIN(in_takeup_cap,INDEX('Age profile'!$O$2:$O$61,B272)*(1+in_approval_growth)^(D272-1))</f>
        <v/>
      </c>
      <c r="J272" s="40">
        <f>(J271-L271)*F272/F271</f>
        <v/>
      </c>
      <c r="K272" s="40">
        <f>(K271-M271)*F272/F271+SUMIFS(O236:O271,B236:B271,B272-1-d_T)*F272</f>
        <v/>
      </c>
      <c r="L272" s="40">
        <f>IF(B272&gt;=in_marketplace_from,J272*d_hz*G272*in_eligible*H272,0)</f>
        <v/>
      </c>
      <c r="M272" s="40">
        <f>IF(B272&gt;=in_marketplace_from,K272*d_hz*G272*in_eligible*in_approved_repeat,0)</f>
        <v/>
      </c>
      <c r="N272" s="40">
        <f>L272+M272</f>
        <v/>
      </c>
      <c r="O272" s="46">
        <f>N272/F272</f>
        <v/>
      </c>
      <c r="P272" s="40">
        <f>F272-J272-K272</f>
        <v/>
      </c>
      <c r="Q272" s="40">
        <f>IF(B272&gt;=in_marketplace_from,(J272+K272)*d_hz*G272,0)</f>
        <v/>
      </c>
      <c r="R272" s="40">
        <f>SUMIFS(N236:N291,B236:B291,"&gt;="&amp;(B272-d_T),B236:B291,"&lt;="&amp;(B272-1))</f>
        <v/>
      </c>
      <c r="S272" s="46">
        <f>(1-d_u)*S271+IF(d_T&gt;in_topup_lag,SUMIFS(O236:O291,B236:B291,B272-in_topup_lag)-d_udrop*SUMIFS(O236:O291,B236:B291,B272-d_T),0)</f>
        <v/>
      </c>
      <c r="T272" s="40">
        <f>F272*d_u*S272</f>
        <v/>
      </c>
      <c r="U272" s="9">
        <f>L272*in_ticket+M272*d_rep_ticket</f>
        <v/>
      </c>
      <c r="V272" s="9">
        <f>U272+T272*d_topup_amt</f>
        <v/>
      </c>
      <c r="W272" s="40">
        <f>N272+T272*d_topup_ratio</f>
        <v/>
      </c>
      <c r="X272" s="40">
        <f>SUMIFS(W236:W291,B236:B291,B272-in_dpd_lag)*d_cured</f>
        <v/>
      </c>
      <c r="Y272" s="40">
        <f>SUMIFS(W236:W291,B236:B291,B272-in_rec_lag)*d_recd</f>
        <v/>
      </c>
      <c r="Z272" s="40">
        <f>IF(AND(B272&gt;=in_marketplace_from,B272&lt;in_marketplace_from+in_card_months),in_card_share/in_card_months*F272*I272,IF(AND(B272&gt;=in_marketplace_from+in_card_months,B272&lt;in_marketplace_from+2*in_card_months),in_card_share*d_card_rem/in_card_months*F272*MIN(in_takeup_cap,(1+in_takeup_growth)^(D272-1))*MIN(in_takeup_cap,(1+in_approval_growth)^(D272-1)),0))</f>
        <v/>
      </c>
      <c r="AA272" s="14">
        <f>V272*in_fee*(1-in_taken_back)</f>
        <v/>
      </c>
      <c r="AB272" s="14">
        <f>SUMIFS(W236:W291,B236:B291,B272-in_dpd_lag)*d_dpd</f>
        <v/>
      </c>
      <c r="AC272" s="14">
        <f>SUMIFS(W236:W291,B236:B291,B272-in_rec_lag)*d_rec</f>
        <v/>
      </c>
      <c r="AD272" s="14">
        <f>Z272*in_card_fee</f>
        <v/>
      </c>
      <c r="AE272" s="40">
        <f>AE271*(1-IF(B271&gt;=in_marketplace_from,d_hz_hlth_small*G271,0))</f>
        <v/>
      </c>
      <c r="AF272" s="46">
        <f>AE272*IF(B272&gt;=in_marketplace_from,d_hz_hlth_small*G272,0)</f>
        <v/>
      </c>
      <c r="AG272" s="14">
        <f>F272*AF272*in_hlth_small_ticket*in_hlth_small_comm*in_ins_partner_share+F272*in_hlth_small_ticket*in_hlth_small_renew_comm*in_ins_partner_share*(in_hlth_small_renew^1*SUMIFS(AF236:AF291,B236:B291,B272-12)+in_hlth_small_renew^2*SUMIFS(AF236:AF291,B236:B291,B272-24)+in_hlth_small_renew^3*SUMIFS(AF236:AF291,B236:B291,B272-36)+in_hlth_small_renew^4*SUMIFS(AF236:AF291,B236:B291,B272-48))</f>
        <v/>
      </c>
      <c r="AH272" s="40">
        <f>AH271*(1-IF(B271&gt;=in_marketplace_from,d_hz_hlth_family*G271,0))</f>
        <v/>
      </c>
      <c r="AI272" s="46">
        <f>AH272*IF(B272&gt;=in_marketplace_from,d_hz_hlth_family*G272,0)</f>
        <v/>
      </c>
      <c r="AJ272" s="14">
        <f>F272*AI272*in_hlth_family_ticket*in_hlth_family_comm*in_ins_partner_share+F272*in_hlth_family_ticket*in_hlth_family_renew_comm*in_ins_partner_share*(in_hlth_family_renew^1*SUMIFS(AI236:AI291,B236:B291,B272-12)+in_hlth_family_renew^2*SUMIFS(AI236:AI291,B236:B291,B272-24)+in_hlth_family_renew^3*SUMIFS(AI236:AI291,B236:B291,B272-36)+in_hlth_family_renew^4*SUMIFS(AI236:AI291,B236:B291,B272-48))</f>
        <v/>
      </c>
      <c r="AK272" s="40">
        <f>AK271*(1-IF(B271&gt;=in_marketplace_from,d_hz_life_term*G271,0))</f>
        <v/>
      </c>
      <c r="AL272" s="46">
        <f>AK272*IF(B272&gt;=in_marketplace_from,d_hz_life_term*G272,0)</f>
        <v/>
      </c>
      <c r="AM272" s="14">
        <f>F272*AL272*in_life_term_ticket*in_life_term_comm*in_ins_partner_share+F272*in_life_term_ticket*in_life_term_renew_comm*in_ins_partner_share*(in_life_term_renew^1*SUMIFS(AL236:AL291,B236:B291,B272-12)+in_life_term_renew^2*SUMIFS(AL236:AL291,B236:B291,B272-24)+in_life_term_renew^3*SUMIFS(AL236:AL291,B236:B291,B272-36)+in_life_term_renew^4*SUMIFS(AL236:AL291,B236:B291,B272-48))</f>
        <v/>
      </c>
      <c r="AN272" s="40">
        <f>AN271*(1-IF(B271&gt;=in_marketplace_from,d_hz_accident*G271,0))</f>
        <v/>
      </c>
      <c r="AO272" s="46">
        <f>AN272*IF(B272&gt;=in_marketplace_from,d_hz_accident*G272,0)</f>
        <v/>
      </c>
      <c r="AP272" s="14">
        <f>F272*AO272*in_accident_ticket*in_accident_comm*in_ins_partner_share+F272*in_accident_ticket*in_accident_renew_comm*in_ins_partner_share*(in_accident_renew^1*SUMIFS(AO236:AO291,B236:B291,B272-12)+in_accident_renew^2*SUMIFS(AO236:AO291,B236:B291,B272-24)+in_accident_renew^3*SUMIFS(AO236:AO291,B236:B291,B272-36)+in_accident_renew^4*SUMIFS(AO236:AO291,B236:B291,B272-48))</f>
        <v/>
      </c>
      <c r="AQ272" s="40">
        <f>AQ271*(1-IF(B271&gt;=in_marketplace_from,d_hz_two_wheeler*G271,0))</f>
        <v/>
      </c>
      <c r="AR272" s="46">
        <f>AQ272*IF(B272&gt;=in_marketplace_from,d_hz_two_wheeler*G272,0)</f>
        <v/>
      </c>
      <c r="AS272" s="14">
        <f>F272*AR272*in_two_wheeler_ticket*in_two_wheeler_comm*in_ins_partner_share+F272*in_two_wheeler_ticket*in_two_wheeler_comm*in_ins_partner_share*(in_two_wheeler_renew^1*SUMIFS(AR236:AR291,B236:B291,B272-12)+in_two_wheeler_renew^2*SUMIFS(AR236:AR291,B236:B291,B272-24)+in_two_wheeler_renew^3*SUMIFS(AR236:AR291,B236:B291,B272-36)+in_two_wheeler_renew^4*SUMIFS(AR236:AR291,B236:B291,B272-48))</f>
        <v/>
      </c>
      <c r="AT272" s="40">
        <f>AT271*(1-IF(B271&gt;=in_marketplace_from,d_hz_device*G271,0))</f>
        <v/>
      </c>
      <c r="AU272" s="14">
        <f>F272*AT272*IF(B272&gt;=in_marketplace_from,d_hz_device*G272,0)*in_device_ticket*in_device_comm*in_ins_partner_share</f>
        <v/>
      </c>
      <c r="AV272" s="40">
        <f>AV271*(1-IF(B271&gt;=in_marketplace_from,d_hz_shop*G271,0))</f>
        <v/>
      </c>
      <c r="AW272" s="46">
        <f>AV272*IF(B272&gt;=in_marketplace_from,d_hz_shop*G272,0)</f>
        <v/>
      </c>
      <c r="AX272" s="14">
        <f>F272*AW272*in_shop_ticket*in_shop_comm*in_ins_partner_share+F272*in_shop_ticket*in_shop_renew_comm*in_ins_partner_share*(in_shop_renew^1*SUMIFS(AW236:AW291,B236:B291,B272-12)+in_shop_renew^2*SUMIFS(AW236:AW291,B236:B291,B272-24)+in_shop_renew^3*SUMIFS(AW236:AW291,B236:B291,B272-36)+in_shop_renew^4*SUMIFS(AW236:AW291,B236:B291,B272-48))</f>
        <v/>
      </c>
      <c r="AY272" s="40">
        <f>AY271*(1-IF(B271&gt;=in_marketplace_from,d_hz_sip*G271,0))</f>
        <v/>
      </c>
      <c r="AZ272" s="40">
        <f>AZ271*d_rho_sip+AY272*IF(B272&gt;=in_marketplace_from,d_hz_sip*G272,0)</f>
        <v/>
      </c>
      <c r="BA272" s="40">
        <f>d_rho_sip*(BA271+AZ271)</f>
        <v/>
      </c>
      <c r="BB272" s="14">
        <f>F272*in_sip_ticket*(BA272+0.5*AZ272)*in_sip_comm/12</f>
        <v/>
      </c>
      <c r="BC272" s="40">
        <f>BC271*(1-IF(B271&gt;=in_marketplace_from,d_hz_choti*G271,0))</f>
        <v/>
      </c>
      <c r="BD272" s="46">
        <f>BC272*IF(B272&gt;=in_marketplace_from,d_hz_choti*G272,0)</f>
        <v/>
      </c>
      <c r="BE272" s="14">
        <f>F272*SUMIFS(BD236:BD291,B236:B291,B272-in_choti_months)*in_choti_renew*in_choti_ticket</f>
        <v/>
      </c>
      <c r="BF272" s="40">
        <f>BF271*(1-IF(B271&gt;=in_marketplace_from,d_hz_nps*G271,0))</f>
        <v/>
      </c>
      <c r="BG272" s="14">
        <f>F272*BF272*IF(B272&gt;=in_marketplace_from,d_hz_nps*G272,0)*in_nps_ticket*in_nps_comm</f>
        <v/>
      </c>
      <c r="BH272" s="40">
        <f>BH271*(1-IF(B271&gt;=in_marketplace_from,d_hz_gold*G271,0))</f>
        <v/>
      </c>
      <c r="BI272" s="40">
        <f>BI271*d_rho_gold+BH272*IF(B272&gt;=in_marketplace_from,d_hz_gold*G272,0)</f>
        <v/>
      </c>
      <c r="BJ272" s="14">
        <f>F272*BI272*in_gold_ticket*in_gold_comm</f>
        <v/>
      </c>
      <c r="BK272" s="40">
        <f>BK271*(1-IF(B271&gt;=in_marketplace_from,d_hz_fd*G271,0))</f>
        <v/>
      </c>
      <c r="BL272" s="14">
        <f>F272*BK272*IF(B272&gt;=in_marketplace_from,d_hz_fd*G272,0)*in_fd_ticket*in_fd_comm</f>
        <v/>
      </c>
      <c r="BM272" s="40">
        <f>BM271*(1-IF(B271&gt;=in_marketplace_from,d_hz_recharge*G271,0))</f>
        <v/>
      </c>
      <c r="BN272" s="40">
        <f>BN271*d_rho_recharge+BM272*IF(B272&gt;=in_marketplace_from,d_hz_recharge*G272,0)</f>
        <v/>
      </c>
      <c r="BO272" s="14">
        <f>F272*BN272*in_recharge_ticket*in_recharge_comm/12</f>
        <v/>
      </c>
      <c r="BP272" s="40">
        <f>BP271*(1-IF(B271&gt;=in_marketplace_from,d_hz_bills*G271,0))</f>
        <v/>
      </c>
      <c r="BQ272" s="40">
        <f>BQ271*d_rho_bills+BP272*IF(B272&gt;=in_marketplace_from,d_hz_bills*G272,0)</f>
        <v/>
      </c>
      <c r="BR272" s="14">
        <f>F272*BQ272*in_bills_ticket*in_bills_comm/12</f>
        <v/>
      </c>
      <c r="BS272" s="40">
        <f>BS271*(1-IF(B271&gt;=in_marketplace_from,d_hz_loan_gold*G271,0))</f>
        <v/>
      </c>
      <c r="BT272" s="14">
        <f>F272*BS272*IF(B272&gt;=in_marketplace_from,d_hz_loan_gold*G272,0)*in_loan_gold_ticket*in_loan_gold_comm</f>
        <v/>
      </c>
      <c r="BU272" s="40">
        <f>BU271*(1-IF(B271&gt;=in_marketplace_from,d_hz_loan_cd*G271,0))</f>
        <v/>
      </c>
      <c r="BV272" s="14">
        <f>F272*BU272*IF(B272&gt;=in_marketplace_from,d_hz_loan_cd*G272,0)*in_loan_cd_ticket*in_loan_cd_comm</f>
        <v/>
      </c>
      <c r="BW272" s="40">
        <f>BW271*(1-IF(B271&gt;=in_marketplace_from,d_hz_loan_vehicle*G271,0))</f>
        <v/>
      </c>
      <c r="BX272" s="14">
        <f>F272*BW272*IF(B272&gt;=in_marketplace_from,d_hz_loan_vehicle*G272,0)*in_loan_vehicle_ticket*in_loan_vehicle_comm</f>
        <v/>
      </c>
      <c r="BY272" s="40">
        <f>BY271*(1-IF(B271&gt;=in_marketplace_from,d_hz_loan_home*G271,0)*BZ271)</f>
        <v/>
      </c>
      <c r="BZ272" s="11">
        <f>MIN(in_approval_cap,in_loan_home_approval*INDEX('Age profile'!$O$2:$O$61,B272)*(1+in_approval_growth)^(D272-1))</f>
        <v/>
      </c>
      <c r="CA272" s="14">
        <f>F272*BY272*IF(B272&gt;=in_marketplace_from,d_hz_loan_home*G272,0)*BZ272*in_loan_home_ticket*in_loan_home_comm</f>
        <v/>
      </c>
      <c r="CB272" s="40">
        <f>CB271*(1-IF(B271&gt;=in_marketplace_from,d_hz_loan_lap*G271,0)*CC271)</f>
        <v/>
      </c>
      <c r="CC272" s="11">
        <f>MIN(in_approval_cap,in_loan_lap_approval*INDEX('Age profile'!$O$2:$O$61,B272)*(1+in_approval_growth)^(D272-1))</f>
        <v/>
      </c>
      <c r="CD272" s="14">
        <f>F272*CB272*IF(B272&gt;=in_marketplace_from,d_hz_loan_lap*G272,0)*CC272*in_loan_lap_ticket*in_loan_lap_comm</f>
        <v/>
      </c>
      <c r="CE272" s="14">
        <f>AA272+AB272+AC272+AD272+AG272+AJ272+AM272+AP272+AS272+AU272+AX272+BB272+BE272+BG272+BJ272+BL272+BO272+BR272+BT272+BV272+BX272+CA272+CD272</f>
        <v/>
      </c>
    </row>
    <row r="273">
      <c r="A273" s="39" t="n">
        <v>5</v>
      </c>
      <c r="B273" s="39" t="n">
        <v>38</v>
      </c>
      <c r="C273" s="39">
        <f>A273+B273-1</f>
        <v/>
      </c>
      <c r="D273" s="39">
        <f>INT((C273-1)/12)+1</f>
        <v/>
      </c>
      <c r="E273" s="44">
        <f>INDEX(Monthly!$B$2:$B$61,A273)</f>
        <v/>
      </c>
      <c r="F273" s="44">
        <f>E273*INDEX('Age profile'!$B$2:$B$61,B273)</f>
        <v/>
      </c>
      <c r="G273" s="45">
        <f>MIN(in_takeup_cap,INDEX('Age profile'!$N$2:$N$61,B273)*(1+in_takeup_growth)^(D273-1))</f>
        <v/>
      </c>
      <c r="H273" s="11">
        <f>MIN(in_approval_cap,in_approved_first*INDEX('Age profile'!$O$2:$O$61,B273)*(1+in_approval_growth)^(D273-1))</f>
        <v/>
      </c>
      <c r="I273" s="45">
        <f>G273*MIN(in_takeup_cap,INDEX('Age profile'!$O$2:$O$61,B273)*(1+in_approval_growth)^(D273-1))</f>
        <v/>
      </c>
      <c r="J273" s="40">
        <f>(J272-L272)*F273/F272</f>
        <v/>
      </c>
      <c r="K273" s="40">
        <f>(K272-M272)*F273/F272+SUMIFS(O236:O272,B236:B272,B273-1-d_T)*F273</f>
        <v/>
      </c>
      <c r="L273" s="40">
        <f>IF(B273&gt;=in_marketplace_from,J273*d_hz*G273*in_eligible*H273,0)</f>
        <v/>
      </c>
      <c r="M273" s="40">
        <f>IF(B273&gt;=in_marketplace_from,K273*d_hz*G273*in_eligible*in_approved_repeat,0)</f>
        <v/>
      </c>
      <c r="N273" s="40">
        <f>L273+M273</f>
        <v/>
      </c>
      <c r="O273" s="46">
        <f>N273/F273</f>
        <v/>
      </c>
      <c r="P273" s="40">
        <f>F273-J273-K273</f>
        <v/>
      </c>
      <c r="Q273" s="40">
        <f>IF(B273&gt;=in_marketplace_from,(J273+K273)*d_hz*G273,0)</f>
        <v/>
      </c>
      <c r="R273" s="40">
        <f>SUMIFS(N236:N291,B236:B291,"&gt;="&amp;(B273-d_T),B236:B291,"&lt;="&amp;(B273-1))</f>
        <v/>
      </c>
      <c r="S273" s="46">
        <f>(1-d_u)*S272+IF(d_T&gt;in_topup_lag,SUMIFS(O236:O291,B236:B291,B273-in_topup_lag)-d_udrop*SUMIFS(O236:O291,B236:B291,B273-d_T),0)</f>
        <v/>
      </c>
      <c r="T273" s="40">
        <f>F273*d_u*S273</f>
        <v/>
      </c>
      <c r="U273" s="9">
        <f>L273*in_ticket+M273*d_rep_ticket</f>
        <v/>
      </c>
      <c r="V273" s="9">
        <f>U273+T273*d_topup_amt</f>
        <v/>
      </c>
      <c r="W273" s="40">
        <f>N273+T273*d_topup_ratio</f>
        <v/>
      </c>
      <c r="X273" s="40">
        <f>SUMIFS(W236:W291,B236:B291,B273-in_dpd_lag)*d_cured</f>
        <v/>
      </c>
      <c r="Y273" s="40">
        <f>SUMIFS(W236:W291,B236:B291,B273-in_rec_lag)*d_recd</f>
        <v/>
      </c>
      <c r="Z273" s="40">
        <f>IF(AND(B273&gt;=in_marketplace_from,B273&lt;in_marketplace_from+in_card_months),in_card_share/in_card_months*F273*I273,IF(AND(B273&gt;=in_marketplace_from+in_card_months,B273&lt;in_marketplace_from+2*in_card_months),in_card_share*d_card_rem/in_card_months*F273*MIN(in_takeup_cap,(1+in_takeup_growth)^(D273-1))*MIN(in_takeup_cap,(1+in_approval_growth)^(D273-1)),0))</f>
        <v/>
      </c>
      <c r="AA273" s="14">
        <f>V273*in_fee*(1-in_taken_back)</f>
        <v/>
      </c>
      <c r="AB273" s="14">
        <f>SUMIFS(W236:W291,B236:B291,B273-in_dpd_lag)*d_dpd</f>
        <v/>
      </c>
      <c r="AC273" s="14">
        <f>SUMIFS(W236:W291,B236:B291,B273-in_rec_lag)*d_rec</f>
        <v/>
      </c>
      <c r="AD273" s="14">
        <f>Z273*in_card_fee</f>
        <v/>
      </c>
      <c r="AE273" s="40">
        <f>AE272*(1-IF(B272&gt;=in_marketplace_from,d_hz_hlth_small*G272,0))</f>
        <v/>
      </c>
      <c r="AF273" s="46">
        <f>AE273*IF(B273&gt;=in_marketplace_from,d_hz_hlth_small*G273,0)</f>
        <v/>
      </c>
      <c r="AG273" s="14">
        <f>F273*AF273*in_hlth_small_ticket*in_hlth_small_comm*in_ins_partner_share+F273*in_hlth_small_ticket*in_hlth_small_renew_comm*in_ins_partner_share*(in_hlth_small_renew^1*SUMIFS(AF236:AF291,B236:B291,B273-12)+in_hlth_small_renew^2*SUMIFS(AF236:AF291,B236:B291,B273-24)+in_hlth_small_renew^3*SUMIFS(AF236:AF291,B236:B291,B273-36)+in_hlth_small_renew^4*SUMIFS(AF236:AF291,B236:B291,B273-48))</f>
        <v/>
      </c>
      <c r="AH273" s="40">
        <f>AH272*(1-IF(B272&gt;=in_marketplace_from,d_hz_hlth_family*G272,0))</f>
        <v/>
      </c>
      <c r="AI273" s="46">
        <f>AH273*IF(B273&gt;=in_marketplace_from,d_hz_hlth_family*G273,0)</f>
        <v/>
      </c>
      <c r="AJ273" s="14">
        <f>F273*AI273*in_hlth_family_ticket*in_hlth_family_comm*in_ins_partner_share+F273*in_hlth_family_ticket*in_hlth_family_renew_comm*in_ins_partner_share*(in_hlth_family_renew^1*SUMIFS(AI236:AI291,B236:B291,B273-12)+in_hlth_family_renew^2*SUMIFS(AI236:AI291,B236:B291,B273-24)+in_hlth_family_renew^3*SUMIFS(AI236:AI291,B236:B291,B273-36)+in_hlth_family_renew^4*SUMIFS(AI236:AI291,B236:B291,B273-48))</f>
        <v/>
      </c>
      <c r="AK273" s="40">
        <f>AK272*(1-IF(B272&gt;=in_marketplace_from,d_hz_life_term*G272,0))</f>
        <v/>
      </c>
      <c r="AL273" s="46">
        <f>AK273*IF(B273&gt;=in_marketplace_from,d_hz_life_term*G273,0)</f>
        <v/>
      </c>
      <c r="AM273" s="14">
        <f>F273*AL273*in_life_term_ticket*in_life_term_comm*in_ins_partner_share+F273*in_life_term_ticket*in_life_term_renew_comm*in_ins_partner_share*(in_life_term_renew^1*SUMIFS(AL236:AL291,B236:B291,B273-12)+in_life_term_renew^2*SUMIFS(AL236:AL291,B236:B291,B273-24)+in_life_term_renew^3*SUMIFS(AL236:AL291,B236:B291,B273-36)+in_life_term_renew^4*SUMIFS(AL236:AL291,B236:B291,B273-48))</f>
        <v/>
      </c>
      <c r="AN273" s="40">
        <f>AN272*(1-IF(B272&gt;=in_marketplace_from,d_hz_accident*G272,0))</f>
        <v/>
      </c>
      <c r="AO273" s="46">
        <f>AN273*IF(B273&gt;=in_marketplace_from,d_hz_accident*G273,0)</f>
        <v/>
      </c>
      <c r="AP273" s="14">
        <f>F273*AO273*in_accident_ticket*in_accident_comm*in_ins_partner_share+F273*in_accident_ticket*in_accident_renew_comm*in_ins_partner_share*(in_accident_renew^1*SUMIFS(AO236:AO291,B236:B291,B273-12)+in_accident_renew^2*SUMIFS(AO236:AO291,B236:B291,B273-24)+in_accident_renew^3*SUMIFS(AO236:AO291,B236:B291,B273-36)+in_accident_renew^4*SUMIFS(AO236:AO291,B236:B291,B273-48))</f>
        <v/>
      </c>
      <c r="AQ273" s="40">
        <f>AQ272*(1-IF(B272&gt;=in_marketplace_from,d_hz_two_wheeler*G272,0))</f>
        <v/>
      </c>
      <c r="AR273" s="46">
        <f>AQ273*IF(B273&gt;=in_marketplace_from,d_hz_two_wheeler*G273,0)</f>
        <v/>
      </c>
      <c r="AS273" s="14">
        <f>F273*AR273*in_two_wheeler_ticket*in_two_wheeler_comm*in_ins_partner_share+F273*in_two_wheeler_ticket*in_two_wheeler_comm*in_ins_partner_share*(in_two_wheeler_renew^1*SUMIFS(AR236:AR291,B236:B291,B273-12)+in_two_wheeler_renew^2*SUMIFS(AR236:AR291,B236:B291,B273-24)+in_two_wheeler_renew^3*SUMIFS(AR236:AR291,B236:B291,B273-36)+in_two_wheeler_renew^4*SUMIFS(AR236:AR291,B236:B291,B273-48))</f>
        <v/>
      </c>
      <c r="AT273" s="40">
        <f>AT272*(1-IF(B272&gt;=in_marketplace_from,d_hz_device*G272,0))</f>
        <v/>
      </c>
      <c r="AU273" s="14">
        <f>F273*AT273*IF(B273&gt;=in_marketplace_from,d_hz_device*G273,0)*in_device_ticket*in_device_comm*in_ins_partner_share</f>
        <v/>
      </c>
      <c r="AV273" s="40">
        <f>AV272*(1-IF(B272&gt;=in_marketplace_from,d_hz_shop*G272,0))</f>
        <v/>
      </c>
      <c r="AW273" s="46">
        <f>AV273*IF(B273&gt;=in_marketplace_from,d_hz_shop*G273,0)</f>
        <v/>
      </c>
      <c r="AX273" s="14">
        <f>F273*AW273*in_shop_ticket*in_shop_comm*in_ins_partner_share+F273*in_shop_ticket*in_shop_renew_comm*in_ins_partner_share*(in_shop_renew^1*SUMIFS(AW236:AW291,B236:B291,B273-12)+in_shop_renew^2*SUMIFS(AW236:AW291,B236:B291,B273-24)+in_shop_renew^3*SUMIFS(AW236:AW291,B236:B291,B273-36)+in_shop_renew^4*SUMIFS(AW236:AW291,B236:B291,B273-48))</f>
        <v/>
      </c>
      <c r="AY273" s="40">
        <f>AY272*(1-IF(B272&gt;=in_marketplace_from,d_hz_sip*G272,0))</f>
        <v/>
      </c>
      <c r="AZ273" s="40">
        <f>AZ272*d_rho_sip+AY273*IF(B273&gt;=in_marketplace_from,d_hz_sip*G273,0)</f>
        <v/>
      </c>
      <c r="BA273" s="40">
        <f>d_rho_sip*(BA272+AZ272)</f>
        <v/>
      </c>
      <c r="BB273" s="14">
        <f>F273*in_sip_ticket*(BA273+0.5*AZ273)*in_sip_comm/12</f>
        <v/>
      </c>
      <c r="BC273" s="40">
        <f>BC272*(1-IF(B272&gt;=in_marketplace_from,d_hz_choti*G272,0))</f>
        <v/>
      </c>
      <c r="BD273" s="46">
        <f>BC273*IF(B273&gt;=in_marketplace_from,d_hz_choti*G273,0)</f>
        <v/>
      </c>
      <c r="BE273" s="14">
        <f>F273*SUMIFS(BD236:BD291,B236:B291,B273-in_choti_months)*in_choti_renew*in_choti_ticket</f>
        <v/>
      </c>
      <c r="BF273" s="40">
        <f>BF272*(1-IF(B272&gt;=in_marketplace_from,d_hz_nps*G272,0))</f>
        <v/>
      </c>
      <c r="BG273" s="14">
        <f>F273*BF273*IF(B273&gt;=in_marketplace_from,d_hz_nps*G273,0)*in_nps_ticket*in_nps_comm</f>
        <v/>
      </c>
      <c r="BH273" s="40">
        <f>BH272*(1-IF(B272&gt;=in_marketplace_from,d_hz_gold*G272,0))</f>
        <v/>
      </c>
      <c r="BI273" s="40">
        <f>BI272*d_rho_gold+BH273*IF(B273&gt;=in_marketplace_from,d_hz_gold*G273,0)</f>
        <v/>
      </c>
      <c r="BJ273" s="14">
        <f>F273*BI273*in_gold_ticket*in_gold_comm</f>
        <v/>
      </c>
      <c r="BK273" s="40">
        <f>BK272*(1-IF(B272&gt;=in_marketplace_from,d_hz_fd*G272,0))</f>
        <v/>
      </c>
      <c r="BL273" s="14">
        <f>F273*BK273*IF(B273&gt;=in_marketplace_from,d_hz_fd*G273,0)*in_fd_ticket*in_fd_comm</f>
        <v/>
      </c>
      <c r="BM273" s="40">
        <f>BM272*(1-IF(B272&gt;=in_marketplace_from,d_hz_recharge*G272,0))</f>
        <v/>
      </c>
      <c r="BN273" s="40">
        <f>BN272*d_rho_recharge+BM273*IF(B273&gt;=in_marketplace_from,d_hz_recharge*G273,0)</f>
        <v/>
      </c>
      <c r="BO273" s="14">
        <f>F273*BN273*in_recharge_ticket*in_recharge_comm/12</f>
        <v/>
      </c>
      <c r="BP273" s="40">
        <f>BP272*(1-IF(B272&gt;=in_marketplace_from,d_hz_bills*G272,0))</f>
        <v/>
      </c>
      <c r="BQ273" s="40">
        <f>BQ272*d_rho_bills+BP273*IF(B273&gt;=in_marketplace_from,d_hz_bills*G273,0)</f>
        <v/>
      </c>
      <c r="BR273" s="14">
        <f>F273*BQ273*in_bills_ticket*in_bills_comm/12</f>
        <v/>
      </c>
      <c r="BS273" s="40">
        <f>BS272*(1-IF(B272&gt;=in_marketplace_from,d_hz_loan_gold*G272,0))</f>
        <v/>
      </c>
      <c r="BT273" s="14">
        <f>F273*BS273*IF(B273&gt;=in_marketplace_from,d_hz_loan_gold*G273,0)*in_loan_gold_ticket*in_loan_gold_comm</f>
        <v/>
      </c>
      <c r="BU273" s="40">
        <f>BU272*(1-IF(B272&gt;=in_marketplace_from,d_hz_loan_cd*G272,0))</f>
        <v/>
      </c>
      <c r="BV273" s="14">
        <f>F273*BU273*IF(B273&gt;=in_marketplace_from,d_hz_loan_cd*G273,0)*in_loan_cd_ticket*in_loan_cd_comm</f>
        <v/>
      </c>
      <c r="BW273" s="40">
        <f>BW272*(1-IF(B272&gt;=in_marketplace_from,d_hz_loan_vehicle*G272,0))</f>
        <v/>
      </c>
      <c r="BX273" s="14">
        <f>F273*BW273*IF(B273&gt;=in_marketplace_from,d_hz_loan_vehicle*G273,0)*in_loan_vehicle_ticket*in_loan_vehicle_comm</f>
        <v/>
      </c>
      <c r="BY273" s="40">
        <f>BY272*(1-IF(B272&gt;=in_marketplace_from,d_hz_loan_home*G272,0)*BZ272)</f>
        <v/>
      </c>
      <c r="BZ273" s="11">
        <f>MIN(in_approval_cap,in_loan_home_approval*INDEX('Age profile'!$O$2:$O$61,B273)*(1+in_approval_growth)^(D273-1))</f>
        <v/>
      </c>
      <c r="CA273" s="14">
        <f>F273*BY273*IF(B273&gt;=in_marketplace_from,d_hz_loan_home*G273,0)*BZ273*in_loan_home_ticket*in_loan_home_comm</f>
        <v/>
      </c>
      <c r="CB273" s="40">
        <f>CB272*(1-IF(B272&gt;=in_marketplace_from,d_hz_loan_lap*G272,0)*CC272)</f>
        <v/>
      </c>
      <c r="CC273" s="11">
        <f>MIN(in_approval_cap,in_loan_lap_approval*INDEX('Age profile'!$O$2:$O$61,B273)*(1+in_approval_growth)^(D273-1))</f>
        <v/>
      </c>
      <c r="CD273" s="14">
        <f>F273*CB273*IF(B273&gt;=in_marketplace_from,d_hz_loan_lap*G273,0)*CC273*in_loan_lap_ticket*in_loan_lap_comm</f>
        <v/>
      </c>
      <c r="CE273" s="14">
        <f>AA273+AB273+AC273+AD273+AG273+AJ273+AM273+AP273+AS273+AU273+AX273+BB273+BE273+BG273+BJ273+BL273+BO273+BR273+BT273+BV273+BX273+CA273+CD273</f>
        <v/>
      </c>
    </row>
    <row r="274">
      <c r="A274" s="39" t="n">
        <v>5</v>
      </c>
      <c r="B274" s="39" t="n">
        <v>39</v>
      </c>
      <c r="C274" s="39">
        <f>A274+B274-1</f>
        <v/>
      </c>
      <c r="D274" s="39">
        <f>INT((C274-1)/12)+1</f>
        <v/>
      </c>
      <c r="E274" s="44">
        <f>INDEX(Monthly!$B$2:$B$61,A274)</f>
        <v/>
      </c>
      <c r="F274" s="44">
        <f>E274*INDEX('Age profile'!$B$2:$B$61,B274)</f>
        <v/>
      </c>
      <c r="G274" s="45">
        <f>MIN(in_takeup_cap,INDEX('Age profile'!$N$2:$N$61,B274)*(1+in_takeup_growth)^(D274-1))</f>
        <v/>
      </c>
      <c r="H274" s="11">
        <f>MIN(in_approval_cap,in_approved_first*INDEX('Age profile'!$O$2:$O$61,B274)*(1+in_approval_growth)^(D274-1))</f>
        <v/>
      </c>
      <c r="I274" s="45">
        <f>G274*MIN(in_takeup_cap,INDEX('Age profile'!$O$2:$O$61,B274)*(1+in_approval_growth)^(D274-1))</f>
        <v/>
      </c>
      <c r="J274" s="40">
        <f>(J273-L273)*F274/F273</f>
        <v/>
      </c>
      <c r="K274" s="40">
        <f>(K273-M273)*F274/F273+SUMIFS(O236:O273,B236:B273,B274-1-d_T)*F274</f>
        <v/>
      </c>
      <c r="L274" s="40">
        <f>IF(B274&gt;=in_marketplace_from,J274*d_hz*G274*in_eligible*H274,0)</f>
        <v/>
      </c>
      <c r="M274" s="40">
        <f>IF(B274&gt;=in_marketplace_from,K274*d_hz*G274*in_eligible*in_approved_repeat,0)</f>
        <v/>
      </c>
      <c r="N274" s="40">
        <f>L274+M274</f>
        <v/>
      </c>
      <c r="O274" s="46">
        <f>N274/F274</f>
        <v/>
      </c>
      <c r="P274" s="40">
        <f>F274-J274-K274</f>
        <v/>
      </c>
      <c r="Q274" s="40">
        <f>IF(B274&gt;=in_marketplace_from,(J274+K274)*d_hz*G274,0)</f>
        <v/>
      </c>
      <c r="R274" s="40">
        <f>SUMIFS(N236:N291,B236:B291,"&gt;="&amp;(B274-d_T),B236:B291,"&lt;="&amp;(B274-1))</f>
        <v/>
      </c>
      <c r="S274" s="46">
        <f>(1-d_u)*S273+IF(d_T&gt;in_topup_lag,SUMIFS(O236:O291,B236:B291,B274-in_topup_lag)-d_udrop*SUMIFS(O236:O291,B236:B291,B274-d_T),0)</f>
        <v/>
      </c>
      <c r="T274" s="40">
        <f>F274*d_u*S274</f>
        <v/>
      </c>
      <c r="U274" s="9">
        <f>L274*in_ticket+M274*d_rep_ticket</f>
        <v/>
      </c>
      <c r="V274" s="9">
        <f>U274+T274*d_topup_amt</f>
        <v/>
      </c>
      <c r="W274" s="40">
        <f>N274+T274*d_topup_ratio</f>
        <v/>
      </c>
      <c r="X274" s="40">
        <f>SUMIFS(W236:W291,B236:B291,B274-in_dpd_lag)*d_cured</f>
        <v/>
      </c>
      <c r="Y274" s="40">
        <f>SUMIFS(W236:W291,B236:B291,B274-in_rec_lag)*d_recd</f>
        <v/>
      </c>
      <c r="Z274" s="40">
        <f>IF(AND(B274&gt;=in_marketplace_from,B274&lt;in_marketplace_from+in_card_months),in_card_share/in_card_months*F274*I274,IF(AND(B274&gt;=in_marketplace_from+in_card_months,B274&lt;in_marketplace_from+2*in_card_months),in_card_share*d_card_rem/in_card_months*F274*MIN(in_takeup_cap,(1+in_takeup_growth)^(D274-1))*MIN(in_takeup_cap,(1+in_approval_growth)^(D274-1)),0))</f>
        <v/>
      </c>
      <c r="AA274" s="14">
        <f>V274*in_fee*(1-in_taken_back)</f>
        <v/>
      </c>
      <c r="AB274" s="14">
        <f>SUMIFS(W236:W291,B236:B291,B274-in_dpd_lag)*d_dpd</f>
        <v/>
      </c>
      <c r="AC274" s="14">
        <f>SUMIFS(W236:W291,B236:B291,B274-in_rec_lag)*d_rec</f>
        <v/>
      </c>
      <c r="AD274" s="14">
        <f>Z274*in_card_fee</f>
        <v/>
      </c>
      <c r="AE274" s="40">
        <f>AE273*(1-IF(B273&gt;=in_marketplace_from,d_hz_hlth_small*G273,0))</f>
        <v/>
      </c>
      <c r="AF274" s="46">
        <f>AE274*IF(B274&gt;=in_marketplace_from,d_hz_hlth_small*G274,0)</f>
        <v/>
      </c>
      <c r="AG274" s="14">
        <f>F274*AF274*in_hlth_small_ticket*in_hlth_small_comm*in_ins_partner_share+F274*in_hlth_small_ticket*in_hlth_small_renew_comm*in_ins_partner_share*(in_hlth_small_renew^1*SUMIFS(AF236:AF291,B236:B291,B274-12)+in_hlth_small_renew^2*SUMIFS(AF236:AF291,B236:B291,B274-24)+in_hlth_small_renew^3*SUMIFS(AF236:AF291,B236:B291,B274-36)+in_hlth_small_renew^4*SUMIFS(AF236:AF291,B236:B291,B274-48))</f>
        <v/>
      </c>
      <c r="AH274" s="40">
        <f>AH273*(1-IF(B273&gt;=in_marketplace_from,d_hz_hlth_family*G273,0))</f>
        <v/>
      </c>
      <c r="AI274" s="46">
        <f>AH274*IF(B274&gt;=in_marketplace_from,d_hz_hlth_family*G274,0)</f>
        <v/>
      </c>
      <c r="AJ274" s="14">
        <f>F274*AI274*in_hlth_family_ticket*in_hlth_family_comm*in_ins_partner_share+F274*in_hlth_family_ticket*in_hlth_family_renew_comm*in_ins_partner_share*(in_hlth_family_renew^1*SUMIFS(AI236:AI291,B236:B291,B274-12)+in_hlth_family_renew^2*SUMIFS(AI236:AI291,B236:B291,B274-24)+in_hlth_family_renew^3*SUMIFS(AI236:AI291,B236:B291,B274-36)+in_hlth_family_renew^4*SUMIFS(AI236:AI291,B236:B291,B274-48))</f>
        <v/>
      </c>
      <c r="AK274" s="40">
        <f>AK273*(1-IF(B273&gt;=in_marketplace_from,d_hz_life_term*G273,0))</f>
        <v/>
      </c>
      <c r="AL274" s="46">
        <f>AK274*IF(B274&gt;=in_marketplace_from,d_hz_life_term*G274,0)</f>
        <v/>
      </c>
      <c r="AM274" s="14">
        <f>F274*AL274*in_life_term_ticket*in_life_term_comm*in_ins_partner_share+F274*in_life_term_ticket*in_life_term_renew_comm*in_ins_partner_share*(in_life_term_renew^1*SUMIFS(AL236:AL291,B236:B291,B274-12)+in_life_term_renew^2*SUMIFS(AL236:AL291,B236:B291,B274-24)+in_life_term_renew^3*SUMIFS(AL236:AL291,B236:B291,B274-36)+in_life_term_renew^4*SUMIFS(AL236:AL291,B236:B291,B274-48))</f>
        <v/>
      </c>
      <c r="AN274" s="40">
        <f>AN273*(1-IF(B273&gt;=in_marketplace_from,d_hz_accident*G273,0))</f>
        <v/>
      </c>
      <c r="AO274" s="46">
        <f>AN274*IF(B274&gt;=in_marketplace_from,d_hz_accident*G274,0)</f>
        <v/>
      </c>
      <c r="AP274" s="14">
        <f>F274*AO274*in_accident_ticket*in_accident_comm*in_ins_partner_share+F274*in_accident_ticket*in_accident_renew_comm*in_ins_partner_share*(in_accident_renew^1*SUMIFS(AO236:AO291,B236:B291,B274-12)+in_accident_renew^2*SUMIFS(AO236:AO291,B236:B291,B274-24)+in_accident_renew^3*SUMIFS(AO236:AO291,B236:B291,B274-36)+in_accident_renew^4*SUMIFS(AO236:AO291,B236:B291,B274-48))</f>
        <v/>
      </c>
      <c r="AQ274" s="40">
        <f>AQ273*(1-IF(B273&gt;=in_marketplace_from,d_hz_two_wheeler*G273,0))</f>
        <v/>
      </c>
      <c r="AR274" s="46">
        <f>AQ274*IF(B274&gt;=in_marketplace_from,d_hz_two_wheeler*G274,0)</f>
        <v/>
      </c>
      <c r="AS274" s="14">
        <f>F274*AR274*in_two_wheeler_ticket*in_two_wheeler_comm*in_ins_partner_share+F274*in_two_wheeler_ticket*in_two_wheeler_comm*in_ins_partner_share*(in_two_wheeler_renew^1*SUMIFS(AR236:AR291,B236:B291,B274-12)+in_two_wheeler_renew^2*SUMIFS(AR236:AR291,B236:B291,B274-24)+in_two_wheeler_renew^3*SUMIFS(AR236:AR291,B236:B291,B274-36)+in_two_wheeler_renew^4*SUMIFS(AR236:AR291,B236:B291,B274-48))</f>
        <v/>
      </c>
      <c r="AT274" s="40">
        <f>AT273*(1-IF(B273&gt;=in_marketplace_from,d_hz_device*G273,0))</f>
        <v/>
      </c>
      <c r="AU274" s="14">
        <f>F274*AT274*IF(B274&gt;=in_marketplace_from,d_hz_device*G274,0)*in_device_ticket*in_device_comm*in_ins_partner_share</f>
        <v/>
      </c>
      <c r="AV274" s="40">
        <f>AV273*(1-IF(B273&gt;=in_marketplace_from,d_hz_shop*G273,0))</f>
        <v/>
      </c>
      <c r="AW274" s="46">
        <f>AV274*IF(B274&gt;=in_marketplace_from,d_hz_shop*G274,0)</f>
        <v/>
      </c>
      <c r="AX274" s="14">
        <f>F274*AW274*in_shop_ticket*in_shop_comm*in_ins_partner_share+F274*in_shop_ticket*in_shop_renew_comm*in_ins_partner_share*(in_shop_renew^1*SUMIFS(AW236:AW291,B236:B291,B274-12)+in_shop_renew^2*SUMIFS(AW236:AW291,B236:B291,B274-24)+in_shop_renew^3*SUMIFS(AW236:AW291,B236:B291,B274-36)+in_shop_renew^4*SUMIFS(AW236:AW291,B236:B291,B274-48))</f>
        <v/>
      </c>
      <c r="AY274" s="40">
        <f>AY273*(1-IF(B273&gt;=in_marketplace_from,d_hz_sip*G273,0))</f>
        <v/>
      </c>
      <c r="AZ274" s="40">
        <f>AZ273*d_rho_sip+AY274*IF(B274&gt;=in_marketplace_from,d_hz_sip*G274,0)</f>
        <v/>
      </c>
      <c r="BA274" s="40">
        <f>d_rho_sip*(BA273+AZ273)</f>
        <v/>
      </c>
      <c r="BB274" s="14">
        <f>F274*in_sip_ticket*(BA274+0.5*AZ274)*in_sip_comm/12</f>
        <v/>
      </c>
      <c r="BC274" s="40">
        <f>BC273*(1-IF(B273&gt;=in_marketplace_from,d_hz_choti*G273,0))</f>
        <v/>
      </c>
      <c r="BD274" s="46">
        <f>BC274*IF(B274&gt;=in_marketplace_from,d_hz_choti*G274,0)</f>
        <v/>
      </c>
      <c r="BE274" s="14">
        <f>F274*SUMIFS(BD236:BD291,B236:B291,B274-in_choti_months)*in_choti_renew*in_choti_ticket</f>
        <v/>
      </c>
      <c r="BF274" s="40">
        <f>BF273*(1-IF(B273&gt;=in_marketplace_from,d_hz_nps*G273,0))</f>
        <v/>
      </c>
      <c r="BG274" s="14">
        <f>F274*BF274*IF(B274&gt;=in_marketplace_from,d_hz_nps*G274,0)*in_nps_ticket*in_nps_comm</f>
        <v/>
      </c>
      <c r="BH274" s="40">
        <f>BH273*(1-IF(B273&gt;=in_marketplace_from,d_hz_gold*G273,0))</f>
        <v/>
      </c>
      <c r="BI274" s="40">
        <f>BI273*d_rho_gold+BH274*IF(B274&gt;=in_marketplace_from,d_hz_gold*G274,0)</f>
        <v/>
      </c>
      <c r="BJ274" s="14">
        <f>F274*BI274*in_gold_ticket*in_gold_comm</f>
        <v/>
      </c>
      <c r="BK274" s="40">
        <f>BK273*(1-IF(B273&gt;=in_marketplace_from,d_hz_fd*G273,0))</f>
        <v/>
      </c>
      <c r="BL274" s="14">
        <f>F274*BK274*IF(B274&gt;=in_marketplace_from,d_hz_fd*G274,0)*in_fd_ticket*in_fd_comm</f>
        <v/>
      </c>
      <c r="BM274" s="40">
        <f>BM273*(1-IF(B273&gt;=in_marketplace_from,d_hz_recharge*G273,0))</f>
        <v/>
      </c>
      <c r="BN274" s="40">
        <f>BN273*d_rho_recharge+BM274*IF(B274&gt;=in_marketplace_from,d_hz_recharge*G274,0)</f>
        <v/>
      </c>
      <c r="BO274" s="14">
        <f>F274*BN274*in_recharge_ticket*in_recharge_comm/12</f>
        <v/>
      </c>
      <c r="BP274" s="40">
        <f>BP273*(1-IF(B273&gt;=in_marketplace_from,d_hz_bills*G273,0))</f>
        <v/>
      </c>
      <c r="BQ274" s="40">
        <f>BQ273*d_rho_bills+BP274*IF(B274&gt;=in_marketplace_from,d_hz_bills*G274,0)</f>
        <v/>
      </c>
      <c r="BR274" s="14">
        <f>F274*BQ274*in_bills_ticket*in_bills_comm/12</f>
        <v/>
      </c>
      <c r="BS274" s="40">
        <f>BS273*(1-IF(B273&gt;=in_marketplace_from,d_hz_loan_gold*G273,0))</f>
        <v/>
      </c>
      <c r="BT274" s="14">
        <f>F274*BS274*IF(B274&gt;=in_marketplace_from,d_hz_loan_gold*G274,0)*in_loan_gold_ticket*in_loan_gold_comm</f>
        <v/>
      </c>
      <c r="BU274" s="40">
        <f>BU273*(1-IF(B273&gt;=in_marketplace_from,d_hz_loan_cd*G273,0))</f>
        <v/>
      </c>
      <c r="BV274" s="14">
        <f>F274*BU274*IF(B274&gt;=in_marketplace_from,d_hz_loan_cd*G274,0)*in_loan_cd_ticket*in_loan_cd_comm</f>
        <v/>
      </c>
      <c r="BW274" s="40">
        <f>BW273*(1-IF(B273&gt;=in_marketplace_from,d_hz_loan_vehicle*G273,0))</f>
        <v/>
      </c>
      <c r="BX274" s="14">
        <f>F274*BW274*IF(B274&gt;=in_marketplace_from,d_hz_loan_vehicle*G274,0)*in_loan_vehicle_ticket*in_loan_vehicle_comm</f>
        <v/>
      </c>
      <c r="BY274" s="40">
        <f>BY273*(1-IF(B273&gt;=in_marketplace_from,d_hz_loan_home*G273,0)*BZ273)</f>
        <v/>
      </c>
      <c r="BZ274" s="11">
        <f>MIN(in_approval_cap,in_loan_home_approval*INDEX('Age profile'!$O$2:$O$61,B274)*(1+in_approval_growth)^(D274-1))</f>
        <v/>
      </c>
      <c r="CA274" s="14">
        <f>F274*BY274*IF(B274&gt;=in_marketplace_from,d_hz_loan_home*G274,0)*BZ274*in_loan_home_ticket*in_loan_home_comm</f>
        <v/>
      </c>
      <c r="CB274" s="40">
        <f>CB273*(1-IF(B273&gt;=in_marketplace_from,d_hz_loan_lap*G273,0)*CC273)</f>
        <v/>
      </c>
      <c r="CC274" s="11">
        <f>MIN(in_approval_cap,in_loan_lap_approval*INDEX('Age profile'!$O$2:$O$61,B274)*(1+in_approval_growth)^(D274-1))</f>
        <v/>
      </c>
      <c r="CD274" s="14">
        <f>F274*CB274*IF(B274&gt;=in_marketplace_from,d_hz_loan_lap*G274,0)*CC274*in_loan_lap_ticket*in_loan_lap_comm</f>
        <v/>
      </c>
      <c r="CE274" s="14">
        <f>AA274+AB274+AC274+AD274+AG274+AJ274+AM274+AP274+AS274+AU274+AX274+BB274+BE274+BG274+BJ274+BL274+BO274+BR274+BT274+BV274+BX274+CA274+CD274</f>
        <v/>
      </c>
    </row>
    <row r="275">
      <c r="A275" s="39" t="n">
        <v>5</v>
      </c>
      <c r="B275" s="39" t="n">
        <v>40</v>
      </c>
      <c r="C275" s="39">
        <f>A275+B275-1</f>
        <v/>
      </c>
      <c r="D275" s="39">
        <f>INT((C275-1)/12)+1</f>
        <v/>
      </c>
      <c r="E275" s="44">
        <f>INDEX(Monthly!$B$2:$B$61,A275)</f>
        <v/>
      </c>
      <c r="F275" s="44">
        <f>E275*INDEX('Age profile'!$B$2:$B$61,B275)</f>
        <v/>
      </c>
      <c r="G275" s="45">
        <f>MIN(in_takeup_cap,INDEX('Age profile'!$N$2:$N$61,B275)*(1+in_takeup_growth)^(D275-1))</f>
        <v/>
      </c>
      <c r="H275" s="11">
        <f>MIN(in_approval_cap,in_approved_first*INDEX('Age profile'!$O$2:$O$61,B275)*(1+in_approval_growth)^(D275-1))</f>
        <v/>
      </c>
      <c r="I275" s="45">
        <f>G275*MIN(in_takeup_cap,INDEX('Age profile'!$O$2:$O$61,B275)*(1+in_approval_growth)^(D275-1))</f>
        <v/>
      </c>
      <c r="J275" s="40">
        <f>(J274-L274)*F275/F274</f>
        <v/>
      </c>
      <c r="K275" s="40">
        <f>(K274-M274)*F275/F274+SUMIFS(O236:O274,B236:B274,B275-1-d_T)*F275</f>
        <v/>
      </c>
      <c r="L275" s="40">
        <f>IF(B275&gt;=in_marketplace_from,J275*d_hz*G275*in_eligible*H275,0)</f>
        <v/>
      </c>
      <c r="M275" s="40">
        <f>IF(B275&gt;=in_marketplace_from,K275*d_hz*G275*in_eligible*in_approved_repeat,0)</f>
        <v/>
      </c>
      <c r="N275" s="40">
        <f>L275+M275</f>
        <v/>
      </c>
      <c r="O275" s="46">
        <f>N275/F275</f>
        <v/>
      </c>
      <c r="P275" s="40">
        <f>F275-J275-K275</f>
        <v/>
      </c>
      <c r="Q275" s="40">
        <f>IF(B275&gt;=in_marketplace_from,(J275+K275)*d_hz*G275,0)</f>
        <v/>
      </c>
      <c r="R275" s="40">
        <f>SUMIFS(N236:N291,B236:B291,"&gt;="&amp;(B275-d_T),B236:B291,"&lt;="&amp;(B275-1))</f>
        <v/>
      </c>
      <c r="S275" s="46">
        <f>(1-d_u)*S274+IF(d_T&gt;in_topup_lag,SUMIFS(O236:O291,B236:B291,B275-in_topup_lag)-d_udrop*SUMIFS(O236:O291,B236:B291,B275-d_T),0)</f>
        <v/>
      </c>
      <c r="T275" s="40">
        <f>F275*d_u*S275</f>
        <v/>
      </c>
      <c r="U275" s="9">
        <f>L275*in_ticket+M275*d_rep_ticket</f>
        <v/>
      </c>
      <c r="V275" s="9">
        <f>U275+T275*d_topup_amt</f>
        <v/>
      </c>
      <c r="W275" s="40">
        <f>N275+T275*d_topup_ratio</f>
        <v/>
      </c>
      <c r="X275" s="40">
        <f>SUMIFS(W236:W291,B236:B291,B275-in_dpd_lag)*d_cured</f>
        <v/>
      </c>
      <c r="Y275" s="40">
        <f>SUMIFS(W236:W291,B236:B291,B275-in_rec_lag)*d_recd</f>
        <v/>
      </c>
      <c r="Z275" s="40">
        <f>IF(AND(B275&gt;=in_marketplace_from,B275&lt;in_marketplace_from+in_card_months),in_card_share/in_card_months*F275*I275,IF(AND(B275&gt;=in_marketplace_from+in_card_months,B275&lt;in_marketplace_from+2*in_card_months),in_card_share*d_card_rem/in_card_months*F275*MIN(in_takeup_cap,(1+in_takeup_growth)^(D275-1))*MIN(in_takeup_cap,(1+in_approval_growth)^(D275-1)),0))</f>
        <v/>
      </c>
      <c r="AA275" s="14">
        <f>V275*in_fee*(1-in_taken_back)</f>
        <v/>
      </c>
      <c r="AB275" s="14">
        <f>SUMIFS(W236:W291,B236:B291,B275-in_dpd_lag)*d_dpd</f>
        <v/>
      </c>
      <c r="AC275" s="14">
        <f>SUMIFS(W236:W291,B236:B291,B275-in_rec_lag)*d_rec</f>
        <v/>
      </c>
      <c r="AD275" s="14">
        <f>Z275*in_card_fee</f>
        <v/>
      </c>
      <c r="AE275" s="40">
        <f>AE274*(1-IF(B274&gt;=in_marketplace_from,d_hz_hlth_small*G274,0))</f>
        <v/>
      </c>
      <c r="AF275" s="46">
        <f>AE275*IF(B275&gt;=in_marketplace_from,d_hz_hlth_small*G275,0)</f>
        <v/>
      </c>
      <c r="AG275" s="14">
        <f>F275*AF275*in_hlth_small_ticket*in_hlth_small_comm*in_ins_partner_share+F275*in_hlth_small_ticket*in_hlth_small_renew_comm*in_ins_partner_share*(in_hlth_small_renew^1*SUMIFS(AF236:AF291,B236:B291,B275-12)+in_hlth_small_renew^2*SUMIFS(AF236:AF291,B236:B291,B275-24)+in_hlth_small_renew^3*SUMIFS(AF236:AF291,B236:B291,B275-36)+in_hlth_small_renew^4*SUMIFS(AF236:AF291,B236:B291,B275-48))</f>
        <v/>
      </c>
      <c r="AH275" s="40">
        <f>AH274*(1-IF(B274&gt;=in_marketplace_from,d_hz_hlth_family*G274,0))</f>
        <v/>
      </c>
      <c r="AI275" s="46">
        <f>AH275*IF(B275&gt;=in_marketplace_from,d_hz_hlth_family*G275,0)</f>
        <v/>
      </c>
      <c r="AJ275" s="14">
        <f>F275*AI275*in_hlth_family_ticket*in_hlth_family_comm*in_ins_partner_share+F275*in_hlth_family_ticket*in_hlth_family_renew_comm*in_ins_partner_share*(in_hlth_family_renew^1*SUMIFS(AI236:AI291,B236:B291,B275-12)+in_hlth_family_renew^2*SUMIFS(AI236:AI291,B236:B291,B275-24)+in_hlth_family_renew^3*SUMIFS(AI236:AI291,B236:B291,B275-36)+in_hlth_family_renew^4*SUMIFS(AI236:AI291,B236:B291,B275-48))</f>
        <v/>
      </c>
      <c r="AK275" s="40">
        <f>AK274*(1-IF(B274&gt;=in_marketplace_from,d_hz_life_term*G274,0))</f>
        <v/>
      </c>
      <c r="AL275" s="46">
        <f>AK275*IF(B275&gt;=in_marketplace_from,d_hz_life_term*G275,0)</f>
        <v/>
      </c>
      <c r="AM275" s="14">
        <f>F275*AL275*in_life_term_ticket*in_life_term_comm*in_ins_partner_share+F275*in_life_term_ticket*in_life_term_renew_comm*in_ins_partner_share*(in_life_term_renew^1*SUMIFS(AL236:AL291,B236:B291,B275-12)+in_life_term_renew^2*SUMIFS(AL236:AL291,B236:B291,B275-24)+in_life_term_renew^3*SUMIFS(AL236:AL291,B236:B291,B275-36)+in_life_term_renew^4*SUMIFS(AL236:AL291,B236:B291,B275-48))</f>
        <v/>
      </c>
      <c r="AN275" s="40">
        <f>AN274*(1-IF(B274&gt;=in_marketplace_from,d_hz_accident*G274,0))</f>
        <v/>
      </c>
      <c r="AO275" s="46">
        <f>AN275*IF(B275&gt;=in_marketplace_from,d_hz_accident*G275,0)</f>
        <v/>
      </c>
      <c r="AP275" s="14">
        <f>F275*AO275*in_accident_ticket*in_accident_comm*in_ins_partner_share+F275*in_accident_ticket*in_accident_renew_comm*in_ins_partner_share*(in_accident_renew^1*SUMIFS(AO236:AO291,B236:B291,B275-12)+in_accident_renew^2*SUMIFS(AO236:AO291,B236:B291,B275-24)+in_accident_renew^3*SUMIFS(AO236:AO291,B236:B291,B275-36)+in_accident_renew^4*SUMIFS(AO236:AO291,B236:B291,B275-48))</f>
        <v/>
      </c>
      <c r="AQ275" s="40">
        <f>AQ274*(1-IF(B274&gt;=in_marketplace_from,d_hz_two_wheeler*G274,0))</f>
        <v/>
      </c>
      <c r="AR275" s="46">
        <f>AQ275*IF(B275&gt;=in_marketplace_from,d_hz_two_wheeler*G275,0)</f>
        <v/>
      </c>
      <c r="AS275" s="14">
        <f>F275*AR275*in_two_wheeler_ticket*in_two_wheeler_comm*in_ins_partner_share+F275*in_two_wheeler_ticket*in_two_wheeler_comm*in_ins_partner_share*(in_two_wheeler_renew^1*SUMIFS(AR236:AR291,B236:B291,B275-12)+in_two_wheeler_renew^2*SUMIFS(AR236:AR291,B236:B291,B275-24)+in_two_wheeler_renew^3*SUMIFS(AR236:AR291,B236:B291,B275-36)+in_two_wheeler_renew^4*SUMIFS(AR236:AR291,B236:B291,B275-48))</f>
        <v/>
      </c>
      <c r="AT275" s="40">
        <f>AT274*(1-IF(B274&gt;=in_marketplace_from,d_hz_device*G274,0))</f>
        <v/>
      </c>
      <c r="AU275" s="14">
        <f>F275*AT275*IF(B275&gt;=in_marketplace_from,d_hz_device*G275,0)*in_device_ticket*in_device_comm*in_ins_partner_share</f>
        <v/>
      </c>
      <c r="AV275" s="40">
        <f>AV274*(1-IF(B274&gt;=in_marketplace_from,d_hz_shop*G274,0))</f>
        <v/>
      </c>
      <c r="AW275" s="46">
        <f>AV275*IF(B275&gt;=in_marketplace_from,d_hz_shop*G275,0)</f>
        <v/>
      </c>
      <c r="AX275" s="14">
        <f>F275*AW275*in_shop_ticket*in_shop_comm*in_ins_partner_share+F275*in_shop_ticket*in_shop_renew_comm*in_ins_partner_share*(in_shop_renew^1*SUMIFS(AW236:AW291,B236:B291,B275-12)+in_shop_renew^2*SUMIFS(AW236:AW291,B236:B291,B275-24)+in_shop_renew^3*SUMIFS(AW236:AW291,B236:B291,B275-36)+in_shop_renew^4*SUMIFS(AW236:AW291,B236:B291,B275-48))</f>
        <v/>
      </c>
      <c r="AY275" s="40">
        <f>AY274*(1-IF(B274&gt;=in_marketplace_from,d_hz_sip*G274,0))</f>
        <v/>
      </c>
      <c r="AZ275" s="40">
        <f>AZ274*d_rho_sip+AY275*IF(B275&gt;=in_marketplace_from,d_hz_sip*G275,0)</f>
        <v/>
      </c>
      <c r="BA275" s="40">
        <f>d_rho_sip*(BA274+AZ274)</f>
        <v/>
      </c>
      <c r="BB275" s="14">
        <f>F275*in_sip_ticket*(BA275+0.5*AZ275)*in_sip_comm/12</f>
        <v/>
      </c>
      <c r="BC275" s="40">
        <f>BC274*(1-IF(B274&gt;=in_marketplace_from,d_hz_choti*G274,0))</f>
        <v/>
      </c>
      <c r="BD275" s="46">
        <f>BC275*IF(B275&gt;=in_marketplace_from,d_hz_choti*G275,0)</f>
        <v/>
      </c>
      <c r="BE275" s="14">
        <f>F275*SUMIFS(BD236:BD291,B236:B291,B275-in_choti_months)*in_choti_renew*in_choti_ticket</f>
        <v/>
      </c>
      <c r="BF275" s="40">
        <f>BF274*(1-IF(B274&gt;=in_marketplace_from,d_hz_nps*G274,0))</f>
        <v/>
      </c>
      <c r="BG275" s="14">
        <f>F275*BF275*IF(B275&gt;=in_marketplace_from,d_hz_nps*G275,0)*in_nps_ticket*in_nps_comm</f>
        <v/>
      </c>
      <c r="BH275" s="40">
        <f>BH274*(1-IF(B274&gt;=in_marketplace_from,d_hz_gold*G274,0))</f>
        <v/>
      </c>
      <c r="BI275" s="40">
        <f>BI274*d_rho_gold+BH275*IF(B275&gt;=in_marketplace_from,d_hz_gold*G275,0)</f>
        <v/>
      </c>
      <c r="BJ275" s="14">
        <f>F275*BI275*in_gold_ticket*in_gold_comm</f>
        <v/>
      </c>
      <c r="BK275" s="40">
        <f>BK274*(1-IF(B274&gt;=in_marketplace_from,d_hz_fd*G274,0))</f>
        <v/>
      </c>
      <c r="BL275" s="14">
        <f>F275*BK275*IF(B275&gt;=in_marketplace_from,d_hz_fd*G275,0)*in_fd_ticket*in_fd_comm</f>
        <v/>
      </c>
      <c r="BM275" s="40">
        <f>BM274*(1-IF(B274&gt;=in_marketplace_from,d_hz_recharge*G274,0))</f>
        <v/>
      </c>
      <c r="BN275" s="40">
        <f>BN274*d_rho_recharge+BM275*IF(B275&gt;=in_marketplace_from,d_hz_recharge*G275,0)</f>
        <v/>
      </c>
      <c r="BO275" s="14">
        <f>F275*BN275*in_recharge_ticket*in_recharge_comm/12</f>
        <v/>
      </c>
      <c r="BP275" s="40">
        <f>BP274*(1-IF(B274&gt;=in_marketplace_from,d_hz_bills*G274,0))</f>
        <v/>
      </c>
      <c r="BQ275" s="40">
        <f>BQ274*d_rho_bills+BP275*IF(B275&gt;=in_marketplace_from,d_hz_bills*G275,0)</f>
        <v/>
      </c>
      <c r="BR275" s="14">
        <f>F275*BQ275*in_bills_ticket*in_bills_comm/12</f>
        <v/>
      </c>
      <c r="BS275" s="40">
        <f>BS274*(1-IF(B274&gt;=in_marketplace_from,d_hz_loan_gold*G274,0))</f>
        <v/>
      </c>
      <c r="BT275" s="14">
        <f>F275*BS275*IF(B275&gt;=in_marketplace_from,d_hz_loan_gold*G275,0)*in_loan_gold_ticket*in_loan_gold_comm</f>
        <v/>
      </c>
      <c r="BU275" s="40">
        <f>BU274*(1-IF(B274&gt;=in_marketplace_from,d_hz_loan_cd*G274,0))</f>
        <v/>
      </c>
      <c r="BV275" s="14">
        <f>F275*BU275*IF(B275&gt;=in_marketplace_from,d_hz_loan_cd*G275,0)*in_loan_cd_ticket*in_loan_cd_comm</f>
        <v/>
      </c>
      <c r="BW275" s="40">
        <f>BW274*(1-IF(B274&gt;=in_marketplace_from,d_hz_loan_vehicle*G274,0))</f>
        <v/>
      </c>
      <c r="BX275" s="14">
        <f>F275*BW275*IF(B275&gt;=in_marketplace_from,d_hz_loan_vehicle*G275,0)*in_loan_vehicle_ticket*in_loan_vehicle_comm</f>
        <v/>
      </c>
      <c r="BY275" s="40">
        <f>BY274*(1-IF(B274&gt;=in_marketplace_from,d_hz_loan_home*G274,0)*BZ274)</f>
        <v/>
      </c>
      <c r="BZ275" s="11">
        <f>MIN(in_approval_cap,in_loan_home_approval*INDEX('Age profile'!$O$2:$O$61,B275)*(1+in_approval_growth)^(D275-1))</f>
        <v/>
      </c>
      <c r="CA275" s="14">
        <f>F275*BY275*IF(B275&gt;=in_marketplace_from,d_hz_loan_home*G275,0)*BZ275*in_loan_home_ticket*in_loan_home_comm</f>
        <v/>
      </c>
      <c r="CB275" s="40">
        <f>CB274*(1-IF(B274&gt;=in_marketplace_from,d_hz_loan_lap*G274,0)*CC274)</f>
        <v/>
      </c>
      <c r="CC275" s="11">
        <f>MIN(in_approval_cap,in_loan_lap_approval*INDEX('Age profile'!$O$2:$O$61,B275)*(1+in_approval_growth)^(D275-1))</f>
        <v/>
      </c>
      <c r="CD275" s="14">
        <f>F275*CB275*IF(B275&gt;=in_marketplace_from,d_hz_loan_lap*G275,0)*CC275*in_loan_lap_ticket*in_loan_lap_comm</f>
        <v/>
      </c>
      <c r="CE275" s="14">
        <f>AA275+AB275+AC275+AD275+AG275+AJ275+AM275+AP275+AS275+AU275+AX275+BB275+BE275+BG275+BJ275+BL275+BO275+BR275+BT275+BV275+BX275+CA275+CD275</f>
        <v/>
      </c>
    </row>
    <row r="276">
      <c r="A276" s="39" t="n">
        <v>5</v>
      </c>
      <c r="B276" s="39" t="n">
        <v>41</v>
      </c>
      <c r="C276" s="39">
        <f>A276+B276-1</f>
        <v/>
      </c>
      <c r="D276" s="39">
        <f>INT((C276-1)/12)+1</f>
        <v/>
      </c>
      <c r="E276" s="44">
        <f>INDEX(Monthly!$B$2:$B$61,A276)</f>
        <v/>
      </c>
      <c r="F276" s="44">
        <f>E276*INDEX('Age profile'!$B$2:$B$61,B276)</f>
        <v/>
      </c>
      <c r="G276" s="45">
        <f>MIN(in_takeup_cap,INDEX('Age profile'!$N$2:$N$61,B276)*(1+in_takeup_growth)^(D276-1))</f>
        <v/>
      </c>
      <c r="H276" s="11">
        <f>MIN(in_approval_cap,in_approved_first*INDEX('Age profile'!$O$2:$O$61,B276)*(1+in_approval_growth)^(D276-1))</f>
        <v/>
      </c>
      <c r="I276" s="45">
        <f>G276*MIN(in_takeup_cap,INDEX('Age profile'!$O$2:$O$61,B276)*(1+in_approval_growth)^(D276-1))</f>
        <v/>
      </c>
      <c r="J276" s="40">
        <f>(J275-L275)*F276/F275</f>
        <v/>
      </c>
      <c r="K276" s="40">
        <f>(K275-M275)*F276/F275+SUMIFS(O236:O275,B236:B275,B276-1-d_T)*F276</f>
        <v/>
      </c>
      <c r="L276" s="40">
        <f>IF(B276&gt;=in_marketplace_from,J276*d_hz*G276*in_eligible*H276,0)</f>
        <v/>
      </c>
      <c r="M276" s="40">
        <f>IF(B276&gt;=in_marketplace_from,K276*d_hz*G276*in_eligible*in_approved_repeat,0)</f>
        <v/>
      </c>
      <c r="N276" s="40">
        <f>L276+M276</f>
        <v/>
      </c>
      <c r="O276" s="46">
        <f>N276/F276</f>
        <v/>
      </c>
      <c r="P276" s="40">
        <f>F276-J276-K276</f>
        <v/>
      </c>
      <c r="Q276" s="40">
        <f>IF(B276&gt;=in_marketplace_from,(J276+K276)*d_hz*G276,0)</f>
        <v/>
      </c>
      <c r="R276" s="40">
        <f>SUMIFS(N236:N291,B236:B291,"&gt;="&amp;(B276-d_T),B236:B291,"&lt;="&amp;(B276-1))</f>
        <v/>
      </c>
      <c r="S276" s="46">
        <f>(1-d_u)*S275+IF(d_T&gt;in_topup_lag,SUMIFS(O236:O291,B236:B291,B276-in_topup_lag)-d_udrop*SUMIFS(O236:O291,B236:B291,B276-d_T),0)</f>
        <v/>
      </c>
      <c r="T276" s="40">
        <f>F276*d_u*S276</f>
        <v/>
      </c>
      <c r="U276" s="9">
        <f>L276*in_ticket+M276*d_rep_ticket</f>
        <v/>
      </c>
      <c r="V276" s="9">
        <f>U276+T276*d_topup_amt</f>
        <v/>
      </c>
      <c r="W276" s="40">
        <f>N276+T276*d_topup_ratio</f>
        <v/>
      </c>
      <c r="X276" s="40">
        <f>SUMIFS(W236:W291,B236:B291,B276-in_dpd_lag)*d_cured</f>
        <v/>
      </c>
      <c r="Y276" s="40">
        <f>SUMIFS(W236:W291,B236:B291,B276-in_rec_lag)*d_recd</f>
        <v/>
      </c>
      <c r="Z276" s="40">
        <f>IF(AND(B276&gt;=in_marketplace_from,B276&lt;in_marketplace_from+in_card_months),in_card_share/in_card_months*F276*I276,IF(AND(B276&gt;=in_marketplace_from+in_card_months,B276&lt;in_marketplace_from+2*in_card_months),in_card_share*d_card_rem/in_card_months*F276*MIN(in_takeup_cap,(1+in_takeup_growth)^(D276-1))*MIN(in_takeup_cap,(1+in_approval_growth)^(D276-1)),0))</f>
        <v/>
      </c>
      <c r="AA276" s="14">
        <f>V276*in_fee*(1-in_taken_back)</f>
        <v/>
      </c>
      <c r="AB276" s="14">
        <f>SUMIFS(W236:W291,B236:B291,B276-in_dpd_lag)*d_dpd</f>
        <v/>
      </c>
      <c r="AC276" s="14">
        <f>SUMIFS(W236:W291,B236:B291,B276-in_rec_lag)*d_rec</f>
        <v/>
      </c>
      <c r="AD276" s="14">
        <f>Z276*in_card_fee</f>
        <v/>
      </c>
      <c r="AE276" s="40">
        <f>AE275*(1-IF(B275&gt;=in_marketplace_from,d_hz_hlth_small*G275,0))</f>
        <v/>
      </c>
      <c r="AF276" s="46">
        <f>AE276*IF(B276&gt;=in_marketplace_from,d_hz_hlth_small*G276,0)</f>
        <v/>
      </c>
      <c r="AG276" s="14">
        <f>F276*AF276*in_hlth_small_ticket*in_hlth_small_comm*in_ins_partner_share+F276*in_hlth_small_ticket*in_hlth_small_renew_comm*in_ins_partner_share*(in_hlth_small_renew^1*SUMIFS(AF236:AF291,B236:B291,B276-12)+in_hlth_small_renew^2*SUMIFS(AF236:AF291,B236:B291,B276-24)+in_hlth_small_renew^3*SUMIFS(AF236:AF291,B236:B291,B276-36)+in_hlth_small_renew^4*SUMIFS(AF236:AF291,B236:B291,B276-48))</f>
        <v/>
      </c>
      <c r="AH276" s="40">
        <f>AH275*(1-IF(B275&gt;=in_marketplace_from,d_hz_hlth_family*G275,0))</f>
        <v/>
      </c>
      <c r="AI276" s="46">
        <f>AH276*IF(B276&gt;=in_marketplace_from,d_hz_hlth_family*G276,0)</f>
        <v/>
      </c>
      <c r="AJ276" s="14">
        <f>F276*AI276*in_hlth_family_ticket*in_hlth_family_comm*in_ins_partner_share+F276*in_hlth_family_ticket*in_hlth_family_renew_comm*in_ins_partner_share*(in_hlth_family_renew^1*SUMIFS(AI236:AI291,B236:B291,B276-12)+in_hlth_family_renew^2*SUMIFS(AI236:AI291,B236:B291,B276-24)+in_hlth_family_renew^3*SUMIFS(AI236:AI291,B236:B291,B276-36)+in_hlth_family_renew^4*SUMIFS(AI236:AI291,B236:B291,B276-48))</f>
        <v/>
      </c>
      <c r="AK276" s="40">
        <f>AK275*(1-IF(B275&gt;=in_marketplace_from,d_hz_life_term*G275,0))</f>
        <v/>
      </c>
      <c r="AL276" s="46">
        <f>AK276*IF(B276&gt;=in_marketplace_from,d_hz_life_term*G276,0)</f>
        <v/>
      </c>
      <c r="AM276" s="14">
        <f>F276*AL276*in_life_term_ticket*in_life_term_comm*in_ins_partner_share+F276*in_life_term_ticket*in_life_term_renew_comm*in_ins_partner_share*(in_life_term_renew^1*SUMIFS(AL236:AL291,B236:B291,B276-12)+in_life_term_renew^2*SUMIFS(AL236:AL291,B236:B291,B276-24)+in_life_term_renew^3*SUMIFS(AL236:AL291,B236:B291,B276-36)+in_life_term_renew^4*SUMIFS(AL236:AL291,B236:B291,B276-48))</f>
        <v/>
      </c>
      <c r="AN276" s="40">
        <f>AN275*(1-IF(B275&gt;=in_marketplace_from,d_hz_accident*G275,0))</f>
        <v/>
      </c>
      <c r="AO276" s="46">
        <f>AN276*IF(B276&gt;=in_marketplace_from,d_hz_accident*G276,0)</f>
        <v/>
      </c>
      <c r="AP276" s="14">
        <f>F276*AO276*in_accident_ticket*in_accident_comm*in_ins_partner_share+F276*in_accident_ticket*in_accident_renew_comm*in_ins_partner_share*(in_accident_renew^1*SUMIFS(AO236:AO291,B236:B291,B276-12)+in_accident_renew^2*SUMIFS(AO236:AO291,B236:B291,B276-24)+in_accident_renew^3*SUMIFS(AO236:AO291,B236:B291,B276-36)+in_accident_renew^4*SUMIFS(AO236:AO291,B236:B291,B276-48))</f>
        <v/>
      </c>
      <c r="AQ276" s="40">
        <f>AQ275*(1-IF(B275&gt;=in_marketplace_from,d_hz_two_wheeler*G275,0))</f>
        <v/>
      </c>
      <c r="AR276" s="46">
        <f>AQ276*IF(B276&gt;=in_marketplace_from,d_hz_two_wheeler*G276,0)</f>
        <v/>
      </c>
      <c r="AS276" s="14">
        <f>F276*AR276*in_two_wheeler_ticket*in_two_wheeler_comm*in_ins_partner_share+F276*in_two_wheeler_ticket*in_two_wheeler_comm*in_ins_partner_share*(in_two_wheeler_renew^1*SUMIFS(AR236:AR291,B236:B291,B276-12)+in_two_wheeler_renew^2*SUMIFS(AR236:AR291,B236:B291,B276-24)+in_two_wheeler_renew^3*SUMIFS(AR236:AR291,B236:B291,B276-36)+in_two_wheeler_renew^4*SUMIFS(AR236:AR291,B236:B291,B276-48))</f>
        <v/>
      </c>
      <c r="AT276" s="40">
        <f>AT275*(1-IF(B275&gt;=in_marketplace_from,d_hz_device*G275,0))</f>
        <v/>
      </c>
      <c r="AU276" s="14">
        <f>F276*AT276*IF(B276&gt;=in_marketplace_from,d_hz_device*G276,0)*in_device_ticket*in_device_comm*in_ins_partner_share</f>
        <v/>
      </c>
      <c r="AV276" s="40">
        <f>AV275*(1-IF(B275&gt;=in_marketplace_from,d_hz_shop*G275,0))</f>
        <v/>
      </c>
      <c r="AW276" s="46">
        <f>AV276*IF(B276&gt;=in_marketplace_from,d_hz_shop*G276,0)</f>
        <v/>
      </c>
      <c r="AX276" s="14">
        <f>F276*AW276*in_shop_ticket*in_shop_comm*in_ins_partner_share+F276*in_shop_ticket*in_shop_renew_comm*in_ins_partner_share*(in_shop_renew^1*SUMIFS(AW236:AW291,B236:B291,B276-12)+in_shop_renew^2*SUMIFS(AW236:AW291,B236:B291,B276-24)+in_shop_renew^3*SUMIFS(AW236:AW291,B236:B291,B276-36)+in_shop_renew^4*SUMIFS(AW236:AW291,B236:B291,B276-48))</f>
        <v/>
      </c>
      <c r="AY276" s="40">
        <f>AY275*(1-IF(B275&gt;=in_marketplace_from,d_hz_sip*G275,0))</f>
        <v/>
      </c>
      <c r="AZ276" s="40">
        <f>AZ275*d_rho_sip+AY276*IF(B276&gt;=in_marketplace_from,d_hz_sip*G276,0)</f>
        <v/>
      </c>
      <c r="BA276" s="40">
        <f>d_rho_sip*(BA275+AZ275)</f>
        <v/>
      </c>
      <c r="BB276" s="14">
        <f>F276*in_sip_ticket*(BA276+0.5*AZ276)*in_sip_comm/12</f>
        <v/>
      </c>
      <c r="BC276" s="40">
        <f>BC275*(1-IF(B275&gt;=in_marketplace_from,d_hz_choti*G275,0))</f>
        <v/>
      </c>
      <c r="BD276" s="46">
        <f>BC276*IF(B276&gt;=in_marketplace_from,d_hz_choti*G276,0)</f>
        <v/>
      </c>
      <c r="BE276" s="14">
        <f>F276*SUMIFS(BD236:BD291,B236:B291,B276-in_choti_months)*in_choti_renew*in_choti_ticket</f>
        <v/>
      </c>
      <c r="BF276" s="40">
        <f>BF275*(1-IF(B275&gt;=in_marketplace_from,d_hz_nps*G275,0))</f>
        <v/>
      </c>
      <c r="BG276" s="14">
        <f>F276*BF276*IF(B276&gt;=in_marketplace_from,d_hz_nps*G276,0)*in_nps_ticket*in_nps_comm</f>
        <v/>
      </c>
      <c r="BH276" s="40">
        <f>BH275*(1-IF(B275&gt;=in_marketplace_from,d_hz_gold*G275,0))</f>
        <v/>
      </c>
      <c r="BI276" s="40">
        <f>BI275*d_rho_gold+BH276*IF(B276&gt;=in_marketplace_from,d_hz_gold*G276,0)</f>
        <v/>
      </c>
      <c r="BJ276" s="14">
        <f>F276*BI276*in_gold_ticket*in_gold_comm</f>
        <v/>
      </c>
      <c r="BK276" s="40">
        <f>BK275*(1-IF(B275&gt;=in_marketplace_from,d_hz_fd*G275,0))</f>
        <v/>
      </c>
      <c r="BL276" s="14">
        <f>F276*BK276*IF(B276&gt;=in_marketplace_from,d_hz_fd*G276,0)*in_fd_ticket*in_fd_comm</f>
        <v/>
      </c>
      <c r="BM276" s="40">
        <f>BM275*(1-IF(B275&gt;=in_marketplace_from,d_hz_recharge*G275,0))</f>
        <v/>
      </c>
      <c r="BN276" s="40">
        <f>BN275*d_rho_recharge+BM276*IF(B276&gt;=in_marketplace_from,d_hz_recharge*G276,0)</f>
        <v/>
      </c>
      <c r="BO276" s="14">
        <f>F276*BN276*in_recharge_ticket*in_recharge_comm/12</f>
        <v/>
      </c>
      <c r="BP276" s="40">
        <f>BP275*(1-IF(B275&gt;=in_marketplace_from,d_hz_bills*G275,0))</f>
        <v/>
      </c>
      <c r="BQ276" s="40">
        <f>BQ275*d_rho_bills+BP276*IF(B276&gt;=in_marketplace_from,d_hz_bills*G276,0)</f>
        <v/>
      </c>
      <c r="BR276" s="14">
        <f>F276*BQ276*in_bills_ticket*in_bills_comm/12</f>
        <v/>
      </c>
      <c r="BS276" s="40">
        <f>BS275*(1-IF(B275&gt;=in_marketplace_from,d_hz_loan_gold*G275,0))</f>
        <v/>
      </c>
      <c r="BT276" s="14">
        <f>F276*BS276*IF(B276&gt;=in_marketplace_from,d_hz_loan_gold*G276,0)*in_loan_gold_ticket*in_loan_gold_comm</f>
        <v/>
      </c>
      <c r="BU276" s="40">
        <f>BU275*(1-IF(B275&gt;=in_marketplace_from,d_hz_loan_cd*G275,0))</f>
        <v/>
      </c>
      <c r="BV276" s="14">
        <f>F276*BU276*IF(B276&gt;=in_marketplace_from,d_hz_loan_cd*G276,0)*in_loan_cd_ticket*in_loan_cd_comm</f>
        <v/>
      </c>
      <c r="BW276" s="40">
        <f>BW275*(1-IF(B275&gt;=in_marketplace_from,d_hz_loan_vehicle*G275,0))</f>
        <v/>
      </c>
      <c r="BX276" s="14">
        <f>F276*BW276*IF(B276&gt;=in_marketplace_from,d_hz_loan_vehicle*G276,0)*in_loan_vehicle_ticket*in_loan_vehicle_comm</f>
        <v/>
      </c>
      <c r="BY276" s="40">
        <f>BY275*(1-IF(B275&gt;=in_marketplace_from,d_hz_loan_home*G275,0)*BZ275)</f>
        <v/>
      </c>
      <c r="BZ276" s="11">
        <f>MIN(in_approval_cap,in_loan_home_approval*INDEX('Age profile'!$O$2:$O$61,B276)*(1+in_approval_growth)^(D276-1))</f>
        <v/>
      </c>
      <c r="CA276" s="14">
        <f>F276*BY276*IF(B276&gt;=in_marketplace_from,d_hz_loan_home*G276,0)*BZ276*in_loan_home_ticket*in_loan_home_comm</f>
        <v/>
      </c>
      <c r="CB276" s="40">
        <f>CB275*(1-IF(B275&gt;=in_marketplace_from,d_hz_loan_lap*G275,0)*CC275)</f>
        <v/>
      </c>
      <c r="CC276" s="11">
        <f>MIN(in_approval_cap,in_loan_lap_approval*INDEX('Age profile'!$O$2:$O$61,B276)*(1+in_approval_growth)^(D276-1))</f>
        <v/>
      </c>
      <c r="CD276" s="14">
        <f>F276*CB276*IF(B276&gt;=in_marketplace_from,d_hz_loan_lap*G276,0)*CC276*in_loan_lap_ticket*in_loan_lap_comm</f>
        <v/>
      </c>
      <c r="CE276" s="14">
        <f>AA276+AB276+AC276+AD276+AG276+AJ276+AM276+AP276+AS276+AU276+AX276+BB276+BE276+BG276+BJ276+BL276+BO276+BR276+BT276+BV276+BX276+CA276+CD276</f>
        <v/>
      </c>
    </row>
    <row r="277">
      <c r="A277" s="39" t="n">
        <v>5</v>
      </c>
      <c r="B277" s="39" t="n">
        <v>42</v>
      </c>
      <c r="C277" s="39">
        <f>A277+B277-1</f>
        <v/>
      </c>
      <c r="D277" s="39">
        <f>INT((C277-1)/12)+1</f>
        <v/>
      </c>
      <c r="E277" s="44">
        <f>INDEX(Monthly!$B$2:$B$61,A277)</f>
        <v/>
      </c>
      <c r="F277" s="44">
        <f>E277*INDEX('Age profile'!$B$2:$B$61,B277)</f>
        <v/>
      </c>
      <c r="G277" s="45">
        <f>MIN(in_takeup_cap,INDEX('Age profile'!$N$2:$N$61,B277)*(1+in_takeup_growth)^(D277-1))</f>
        <v/>
      </c>
      <c r="H277" s="11">
        <f>MIN(in_approval_cap,in_approved_first*INDEX('Age profile'!$O$2:$O$61,B277)*(1+in_approval_growth)^(D277-1))</f>
        <v/>
      </c>
      <c r="I277" s="45">
        <f>G277*MIN(in_takeup_cap,INDEX('Age profile'!$O$2:$O$61,B277)*(1+in_approval_growth)^(D277-1))</f>
        <v/>
      </c>
      <c r="J277" s="40">
        <f>(J276-L276)*F277/F276</f>
        <v/>
      </c>
      <c r="K277" s="40">
        <f>(K276-M276)*F277/F276+SUMIFS(O236:O276,B236:B276,B277-1-d_T)*F277</f>
        <v/>
      </c>
      <c r="L277" s="40">
        <f>IF(B277&gt;=in_marketplace_from,J277*d_hz*G277*in_eligible*H277,0)</f>
        <v/>
      </c>
      <c r="M277" s="40">
        <f>IF(B277&gt;=in_marketplace_from,K277*d_hz*G277*in_eligible*in_approved_repeat,0)</f>
        <v/>
      </c>
      <c r="N277" s="40">
        <f>L277+M277</f>
        <v/>
      </c>
      <c r="O277" s="46">
        <f>N277/F277</f>
        <v/>
      </c>
      <c r="P277" s="40">
        <f>F277-J277-K277</f>
        <v/>
      </c>
      <c r="Q277" s="40">
        <f>IF(B277&gt;=in_marketplace_from,(J277+K277)*d_hz*G277,0)</f>
        <v/>
      </c>
      <c r="R277" s="40">
        <f>SUMIFS(N236:N291,B236:B291,"&gt;="&amp;(B277-d_T),B236:B291,"&lt;="&amp;(B277-1))</f>
        <v/>
      </c>
      <c r="S277" s="46">
        <f>(1-d_u)*S276+IF(d_T&gt;in_topup_lag,SUMIFS(O236:O291,B236:B291,B277-in_topup_lag)-d_udrop*SUMIFS(O236:O291,B236:B291,B277-d_T),0)</f>
        <v/>
      </c>
      <c r="T277" s="40">
        <f>F277*d_u*S277</f>
        <v/>
      </c>
      <c r="U277" s="9">
        <f>L277*in_ticket+M277*d_rep_ticket</f>
        <v/>
      </c>
      <c r="V277" s="9">
        <f>U277+T277*d_topup_amt</f>
        <v/>
      </c>
      <c r="W277" s="40">
        <f>N277+T277*d_topup_ratio</f>
        <v/>
      </c>
      <c r="X277" s="40">
        <f>SUMIFS(W236:W291,B236:B291,B277-in_dpd_lag)*d_cured</f>
        <v/>
      </c>
      <c r="Y277" s="40">
        <f>SUMIFS(W236:W291,B236:B291,B277-in_rec_lag)*d_recd</f>
        <v/>
      </c>
      <c r="Z277" s="40">
        <f>IF(AND(B277&gt;=in_marketplace_from,B277&lt;in_marketplace_from+in_card_months),in_card_share/in_card_months*F277*I277,IF(AND(B277&gt;=in_marketplace_from+in_card_months,B277&lt;in_marketplace_from+2*in_card_months),in_card_share*d_card_rem/in_card_months*F277*MIN(in_takeup_cap,(1+in_takeup_growth)^(D277-1))*MIN(in_takeup_cap,(1+in_approval_growth)^(D277-1)),0))</f>
        <v/>
      </c>
      <c r="AA277" s="14">
        <f>V277*in_fee*(1-in_taken_back)</f>
        <v/>
      </c>
      <c r="AB277" s="14">
        <f>SUMIFS(W236:W291,B236:B291,B277-in_dpd_lag)*d_dpd</f>
        <v/>
      </c>
      <c r="AC277" s="14">
        <f>SUMIFS(W236:W291,B236:B291,B277-in_rec_lag)*d_rec</f>
        <v/>
      </c>
      <c r="AD277" s="14">
        <f>Z277*in_card_fee</f>
        <v/>
      </c>
      <c r="AE277" s="40">
        <f>AE276*(1-IF(B276&gt;=in_marketplace_from,d_hz_hlth_small*G276,0))</f>
        <v/>
      </c>
      <c r="AF277" s="46">
        <f>AE277*IF(B277&gt;=in_marketplace_from,d_hz_hlth_small*G277,0)</f>
        <v/>
      </c>
      <c r="AG277" s="14">
        <f>F277*AF277*in_hlth_small_ticket*in_hlth_small_comm*in_ins_partner_share+F277*in_hlth_small_ticket*in_hlth_small_renew_comm*in_ins_partner_share*(in_hlth_small_renew^1*SUMIFS(AF236:AF291,B236:B291,B277-12)+in_hlth_small_renew^2*SUMIFS(AF236:AF291,B236:B291,B277-24)+in_hlth_small_renew^3*SUMIFS(AF236:AF291,B236:B291,B277-36)+in_hlth_small_renew^4*SUMIFS(AF236:AF291,B236:B291,B277-48))</f>
        <v/>
      </c>
      <c r="AH277" s="40">
        <f>AH276*(1-IF(B276&gt;=in_marketplace_from,d_hz_hlth_family*G276,0))</f>
        <v/>
      </c>
      <c r="AI277" s="46">
        <f>AH277*IF(B277&gt;=in_marketplace_from,d_hz_hlth_family*G277,0)</f>
        <v/>
      </c>
      <c r="AJ277" s="14">
        <f>F277*AI277*in_hlth_family_ticket*in_hlth_family_comm*in_ins_partner_share+F277*in_hlth_family_ticket*in_hlth_family_renew_comm*in_ins_partner_share*(in_hlth_family_renew^1*SUMIFS(AI236:AI291,B236:B291,B277-12)+in_hlth_family_renew^2*SUMIFS(AI236:AI291,B236:B291,B277-24)+in_hlth_family_renew^3*SUMIFS(AI236:AI291,B236:B291,B277-36)+in_hlth_family_renew^4*SUMIFS(AI236:AI291,B236:B291,B277-48))</f>
        <v/>
      </c>
      <c r="AK277" s="40">
        <f>AK276*(1-IF(B276&gt;=in_marketplace_from,d_hz_life_term*G276,0))</f>
        <v/>
      </c>
      <c r="AL277" s="46">
        <f>AK277*IF(B277&gt;=in_marketplace_from,d_hz_life_term*G277,0)</f>
        <v/>
      </c>
      <c r="AM277" s="14">
        <f>F277*AL277*in_life_term_ticket*in_life_term_comm*in_ins_partner_share+F277*in_life_term_ticket*in_life_term_renew_comm*in_ins_partner_share*(in_life_term_renew^1*SUMIFS(AL236:AL291,B236:B291,B277-12)+in_life_term_renew^2*SUMIFS(AL236:AL291,B236:B291,B277-24)+in_life_term_renew^3*SUMIFS(AL236:AL291,B236:B291,B277-36)+in_life_term_renew^4*SUMIFS(AL236:AL291,B236:B291,B277-48))</f>
        <v/>
      </c>
      <c r="AN277" s="40">
        <f>AN276*(1-IF(B276&gt;=in_marketplace_from,d_hz_accident*G276,0))</f>
        <v/>
      </c>
      <c r="AO277" s="46">
        <f>AN277*IF(B277&gt;=in_marketplace_from,d_hz_accident*G277,0)</f>
        <v/>
      </c>
      <c r="AP277" s="14">
        <f>F277*AO277*in_accident_ticket*in_accident_comm*in_ins_partner_share+F277*in_accident_ticket*in_accident_renew_comm*in_ins_partner_share*(in_accident_renew^1*SUMIFS(AO236:AO291,B236:B291,B277-12)+in_accident_renew^2*SUMIFS(AO236:AO291,B236:B291,B277-24)+in_accident_renew^3*SUMIFS(AO236:AO291,B236:B291,B277-36)+in_accident_renew^4*SUMIFS(AO236:AO291,B236:B291,B277-48))</f>
        <v/>
      </c>
      <c r="AQ277" s="40">
        <f>AQ276*(1-IF(B276&gt;=in_marketplace_from,d_hz_two_wheeler*G276,0))</f>
        <v/>
      </c>
      <c r="AR277" s="46">
        <f>AQ277*IF(B277&gt;=in_marketplace_from,d_hz_two_wheeler*G277,0)</f>
        <v/>
      </c>
      <c r="AS277" s="14">
        <f>F277*AR277*in_two_wheeler_ticket*in_two_wheeler_comm*in_ins_partner_share+F277*in_two_wheeler_ticket*in_two_wheeler_comm*in_ins_partner_share*(in_two_wheeler_renew^1*SUMIFS(AR236:AR291,B236:B291,B277-12)+in_two_wheeler_renew^2*SUMIFS(AR236:AR291,B236:B291,B277-24)+in_two_wheeler_renew^3*SUMIFS(AR236:AR291,B236:B291,B277-36)+in_two_wheeler_renew^4*SUMIFS(AR236:AR291,B236:B291,B277-48))</f>
        <v/>
      </c>
      <c r="AT277" s="40">
        <f>AT276*(1-IF(B276&gt;=in_marketplace_from,d_hz_device*G276,0))</f>
        <v/>
      </c>
      <c r="AU277" s="14">
        <f>F277*AT277*IF(B277&gt;=in_marketplace_from,d_hz_device*G277,0)*in_device_ticket*in_device_comm*in_ins_partner_share</f>
        <v/>
      </c>
      <c r="AV277" s="40">
        <f>AV276*(1-IF(B276&gt;=in_marketplace_from,d_hz_shop*G276,0))</f>
        <v/>
      </c>
      <c r="AW277" s="46">
        <f>AV277*IF(B277&gt;=in_marketplace_from,d_hz_shop*G277,0)</f>
        <v/>
      </c>
      <c r="AX277" s="14">
        <f>F277*AW277*in_shop_ticket*in_shop_comm*in_ins_partner_share+F277*in_shop_ticket*in_shop_renew_comm*in_ins_partner_share*(in_shop_renew^1*SUMIFS(AW236:AW291,B236:B291,B277-12)+in_shop_renew^2*SUMIFS(AW236:AW291,B236:B291,B277-24)+in_shop_renew^3*SUMIFS(AW236:AW291,B236:B291,B277-36)+in_shop_renew^4*SUMIFS(AW236:AW291,B236:B291,B277-48))</f>
        <v/>
      </c>
      <c r="AY277" s="40">
        <f>AY276*(1-IF(B276&gt;=in_marketplace_from,d_hz_sip*G276,0))</f>
        <v/>
      </c>
      <c r="AZ277" s="40">
        <f>AZ276*d_rho_sip+AY277*IF(B277&gt;=in_marketplace_from,d_hz_sip*G277,0)</f>
        <v/>
      </c>
      <c r="BA277" s="40">
        <f>d_rho_sip*(BA276+AZ276)</f>
        <v/>
      </c>
      <c r="BB277" s="14">
        <f>F277*in_sip_ticket*(BA277+0.5*AZ277)*in_sip_comm/12</f>
        <v/>
      </c>
      <c r="BC277" s="40">
        <f>BC276*(1-IF(B276&gt;=in_marketplace_from,d_hz_choti*G276,0))</f>
        <v/>
      </c>
      <c r="BD277" s="46">
        <f>BC277*IF(B277&gt;=in_marketplace_from,d_hz_choti*G277,0)</f>
        <v/>
      </c>
      <c r="BE277" s="14">
        <f>F277*SUMIFS(BD236:BD291,B236:B291,B277-in_choti_months)*in_choti_renew*in_choti_ticket</f>
        <v/>
      </c>
      <c r="BF277" s="40">
        <f>BF276*(1-IF(B276&gt;=in_marketplace_from,d_hz_nps*G276,0))</f>
        <v/>
      </c>
      <c r="BG277" s="14">
        <f>F277*BF277*IF(B277&gt;=in_marketplace_from,d_hz_nps*G277,0)*in_nps_ticket*in_nps_comm</f>
        <v/>
      </c>
      <c r="BH277" s="40">
        <f>BH276*(1-IF(B276&gt;=in_marketplace_from,d_hz_gold*G276,0))</f>
        <v/>
      </c>
      <c r="BI277" s="40">
        <f>BI276*d_rho_gold+BH277*IF(B277&gt;=in_marketplace_from,d_hz_gold*G277,0)</f>
        <v/>
      </c>
      <c r="BJ277" s="14">
        <f>F277*BI277*in_gold_ticket*in_gold_comm</f>
        <v/>
      </c>
      <c r="BK277" s="40">
        <f>BK276*(1-IF(B276&gt;=in_marketplace_from,d_hz_fd*G276,0))</f>
        <v/>
      </c>
      <c r="BL277" s="14">
        <f>F277*BK277*IF(B277&gt;=in_marketplace_from,d_hz_fd*G277,0)*in_fd_ticket*in_fd_comm</f>
        <v/>
      </c>
      <c r="BM277" s="40">
        <f>BM276*(1-IF(B276&gt;=in_marketplace_from,d_hz_recharge*G276,0))</f>
        <v/>
      </c>
      <c r="BN277" s="40">
        <f>BN276*d_rho_recharge+BM277*IF(B277&gt;=in_marketplace_from,d_hz_recharge*G277,0)</f>
        <v/>
      </c>
      <c r="BO277" s="14">
        <f>F277*BN277*in_recharge_ticket*in_recharge_comm/12</f>
        <v/>
      </c>
      <c r="BP277" s="40">
        <f>BP276*(1-IF(B276&gt;=in_marketplace_from,d_hz_bills*G276,0))</f>
        <v/>
      </c>
      <c r="BQ277" s="40">
        <f>BQ276*d_rho_bills+BP277*IF(B277&gt;=in_marketplace_from,d_hz_bills*G277,0)</f>
        <v/>
      </c>
      <c r="BR277" s="14">
        <f>F277*BQ277*in_bills_ticket*in_bills_comm/12</f>
        <v/>
      </c>
      <c r="BS277" s="40">
        <f>BS276*(1-IF(B276&gt;=in_marketplace_from,d_hz_loan_gold*G276,0))</f>
        <v/>
      </c>
      <c r="BT277" s="14">
        <f>F277*BS277*IF(B277&gt;=in_marketplace_from,d_hz_loan_gold*G277,0)*in_loan_gold_ticket*in_loan_gold_comm</f>
        <v/>
      </c>
      <c r="BU277" s="40">
        <f>BU276*(1-IF(B276&gt;=in_marketplace_from,d_hz_loan_cd*G276,0))</f>
        <v/>
      </c>
      <c r="BV277" s="14">
        <f>F277*BU277*IF(B277&gt;=in_marketplace_from,d_hz_loan_cd*G277,0)*in_loan_cd_ticket*in_loan_cd_comm</f>
        <v/>
      </c>
      <c r="BW277" s="40">
        <f>BW276*(1-IF(B276&gt;=in_marketplace_from,d_hz_loan_vehicle*G276,0))</f>
        <v/>
      </c>
      <c r="BX277" s="14">
        <f>F277*BW277*IF(B277&gt;=in_marketplace_from,d_hz_loan_vehicle*G277,0)*in_loan_vehicle_ticket*in_loan_vehicle_comm</f>
        <v/>
      </c>
      <c r="BY277" s="40">
        <f>BY276*(1-IF(B276&gt;=in_marketplace_from,d_hz_loan_home*G276,0)*BZ276)</f>
        <v/>
      </c>
      <c r="BZ277" s="11">
        <f>MIN(in_approval_cap,in_loan_home_approval*INDEX('Age profile'!$O$2:$O$61,B277)*(1+in_approval_growth)^(D277-1))</f>
        <v/>
      </c>
      <c r="CA277" s="14">
        <f>F277*BY277*IF(B277&gt;=in_marketplace_from,d_hz_loan_home*G277,0)*BZ277*in_loan_home_ticket*in_loan_home_comm</f>
        <v/>
      </c>
      <c r="CB277" s="40">
        <f>CB276*(1-IF(B276&gt;=in_marketplace_from,d_hz_loan_lap*G276,0)*CC276)</f>
        <v/>
      </c>
      <c r="CC277" s="11">
        <f>MIN(in_approval_cap,in_loan_lap_approval*INDEX('Age profile'!$O$2:$O$61,B277)*(1+in_approval_growth)^(D277-1))</f>
        <v/>
      </c>
      <c r="CD277" s="14">
        <f>F277*CB277*IF(B277&gt;=in_marketplace_from,d_hz_loan_lap*G277,0)*CC277*in_loan_lap_ticket*in_loan_lap_comm</f>
        <v/>
      </c>
      <c r="CE277" s="14">
        <f>AA277+AB277+AC277+AD277+AG277+AJ277+AM277+AP277+AS277+AU277+AX277+BB277+BE277+BG277+BJ277+BL277+BO277+BR277+BT277+BV277+BX277+CA277+CD277</f>
        <v/>
      </c>
    </row>
    <row r="278">
      <c r="A278" s="39" t="n">
        <v>5</v>
      </c>
      <c r="B278" s="39" t="n">
        <v>43</v>
      </c>
      <c r="C278" s="39">
        <f>A278+B278-1</f>
        <v/>
      </c>
      <c r="D278" s="39">
        <f>INT((C278-1)/12)+1</f>
        <v/>
      </c>
      <c r="E278" s="44">
        <f>INDEX(Monthly!$B$2:$B$61,A278)</f>
        <v/>
      </c>
      <c r="F278" s="44">
        <f>E278*INDEX('Age profile'!$B$2:$B$61,B278)</f>
        <v/>
      </c>
      <c r="G278" s="45">
        <f>MIN(in_takeup_cap,INDEX('Age profile'!$N$2:$N$61,B278)*(1+in_takeup_growth)^(D278-1))</f>
        <v/>
      </c>
      <c r="H278" s="11">
        <f>MIN(in_approval_cap,in_approved_first*INDEX('Age profile'!$O$2:$O$61,B278)*(1+in_approval_growth)^(D278-1))</f>
        <v/>
      </c>
      <c r="I278" s="45">
        <f>G278*MIN(in_takeup_cap,INDEX('Age profile'!$O$2:$O$61,B278)*(1+in_approval_growth)^(D278-1))</f>
        <v/>
      </c>
      <c r="J278" s="40">
        <f>(J277-L277)*F278/F277</f>
        <v/>
      </c>
      <c r="K278" s="40">
        <f>(K277-M277)*F278/F277+SUMIFS(O236:O277,B236:B277,B278-1-d_T)*F278</f>
        <v/>
      </c>
      <c r="L278" s="40">
        <f>IF(B278&gt;=in_marketplace_from,J278*d_hz*G278*in_eligible*H278,0)</f>
        <v/>
      </c>
      <c r="M278" s="40">
        <f>IF(B278&gt;=in_marketplace_from,K278*d_hz*G278*in_eligible*in_approved_repeat,0)</f>
        <v/>
      </c>
      <c r="N278" s="40">
        <f>L278+M278</f>
        <v/>
      </c>
      <c r="O278" s="46">
        <f>N278/F278</f>
        <v/>
      </c>
      <c r="P278" s="40">
        <f>F278-J278-K278</f>
        <v/>
      </c>
      <c r="Q278" s="40">
        <f>IF(B278&gt;=in_marketplace_from,(J278+K278)*d_hz*G278,0)</f>
        <v/>
      </c>
      <c r="R278" s="40">
        <f>SUMIFS(N236:N291,B236:B291,"&gt;="&amp;(B278-d_T),B236:B291,"&lt;="&amp;(B278-1))</f>
        <v/>
      </c>
      <c r="S278" s="46">
        <f>(1-d_u)*S277+IF(d_T&gt;in_topup_lag,SUMIFS(O236:O291,B236:B291,B278-in_topup_lag)-d_udrop*SUMIFS(O236:O291,B236:B291,B278-d_T),0)</f>
        <v/>
      </c>
      <c r="T278" s="40">
        <f>F278*d_u*S278</f>
        <v/>
      </c>
      <c r="U278" s="9">
        <f>L278*in_ticket+M278*d_rep_ticket</f>
        <v/>
      </c>
      <c r="V278" s="9">
        <f>U278+T278*d_topup_amt</f>
        <v/>
      </c>
      <c r="W278" s="40">
        <f>N278+T278*d_topup_ratio</f>
        <v/>
      </c>
      <c r="X278" s="40">
        <f>SUMIFS(W236:W291,B236:B291,B278-in_dpd_lag)*d_cured</f>
        <v/>
      </c>
      <c r="Y278" s="40">
        <f>SUMIFS(W236:W291,B236:B291,B278-in_rec_lag)*d_recd</f>
        <v/>
      </c>
      <c r="Z278" s="40">
        <f>IF(AND(B278&gt;=in_marketplace_from,B278&lt;in_marketplace_from+in_card_months),in_card_share/in_card_months*F278*I278,IF(AND(B278&gt;=in_marketplace_from+in_card_months,B278&lt;in_marketplace_from+2*in_card_months),in_card_share*d_card_rem/in_card_months*F278*MIN(in_takeup_cap,(1+in_takeup_growth)^(D278-1))*MIN(in_takeup_cap,(1+in_approval_growth)^(D278-1)),0))</f>
        <v/>
      </c>
      <c r="AA278" s="14">
        <f>V278*in_fee*(1-in_taken_back)</f>
        <v/>
      </c>
      <c r="AB278" s="14">
        <f>SUMIFS(W236:W291,B236:B291,B278-in_dpd_lag)*d_dpd</f>
        <v/>
      </c>
      <c r="AC278" s="14">
        <f>SUMIFS(W236:W291,B236:B291,B278-in_rec_lag)*d_rec</f>
        <v/>
      </c>
      <c r="AD278" s="14">
        <f>Z278*in_card_fee</f>
        <v/>
      </c>
      <c r="AE278" s="40">
        <f>AE277*(1-IF(B277&gt;=in_marketplace_from,d_hz_hlth_small*G277,0))</f>
        <v/>
      </c>
      <c r="AF278" s="46">
        <f>AE278*IF(B278&gt;=in_marketplace_from,d_hz_hlth_small*G278,0)</f>
        <v/>
      </c>
      <c r="AG278" s="14">
        <f>F278*AF278*in_hlth_small_ticket*in_hlth_small_comm*in_ins_partner_share+F278*in_hlth_small_ticket*in_hlth_small_renew_comm*in_ins_partner_share*(in_hlth_small_renew^1*SUMIFS(AF236:AF291,B236:B291,B278-12)+in_hlth_small_renew^2*SUMIFS(AF236:AF291,B236:B291,B278-24)+in_hlth_small_renew^3*SUMIFS(AF236:AF291,B236:B291,B278-36)+in_hlth_small_renew^4*SUMIFS(AF236:AF291,B236:B291,B278-48))</f>
        <v/>
      </c>
      <c r="AH278" s="40">
        <f>AH277*(1-IF(B277&gt;=in_marketplace_from,d_hz_hlth_family*G277,0))</f>
        <v/>
      </c>
      <c r="AI278" s="46">
        <f>AH278*IF(B278&gt;=in_marketplace_from,d_hz_hlth_family*G278,0)</f>
        <v/>
      </c>
      <c r="AJ278" s="14">
        <f>F278*AI278*in_hlth_family_ticket*in_hlth_family_comm*in_ins_partner_share+F278*in_hlth_family_ticket*in_hlth_family_renew_comm*in_ins_partner_share*(in_hlth_family_renew^1*SUMIFS(AI236:AI291,B236:B291,B278-12)+in_hlth_family_renew^2*SUMIFS(AI236:AI291,B236:B291,B278-24)+in_hlth_family_renew^3*SUMIFS(AI236:AI291,B236:B291,B278-36)+in_hlth_family_renew^4*SUMIFS(AI236:AI291,B236:B291,B278-48))</f>
        <v/>
      </c>
      <c r="AK278" s="40">
        <f>AK277*(1-IF(B277&gt;=in_marketplace_from,d_hz_life_term*G277,0))</f>
        <v/>
      </c>
      <c r="AL278" s="46">
        <f>AK278*IF(B278&gt;=in_marketplace_from,d_hz_life_term*G278,0)</f>
        <v/>
      </c>
      <c r="AM278" s="14">
        <f>F278*AL278*in_life_term_ticket*in_life_term_comm*in_ins_partner_share+F278*in_life_term_ticket*in_life_term_renew_comm*in_ins_partner_share*(in_life_term_renew^1*SUMIFS(AL236:AL291,B236:B291,B278-12)+in_life_term_renew^2*SUMIFS(AL236:AL291,B236:B291,B278-24)+in_life_term_renew^3*SUMIFS(AL236:AL291,B236:B291,B278-36)+in_life_term_renew^4*SUMIFS(AL236:AL291,B236:B291,B278-48))</f>
        <v/>
      </c>
      <c r="AN278" s="40">
        <f>AN277*(1-IF(B277&gt;=in_marketplace_from,d_hz_accident*G277,0))</f>
        <v/>
      </c>
      <c r="AO278" s="46">
        <f>AN278*IF(B278&gt;=in_marketplace_from,d_hz_accident*G278,0)</f>
        <v/>
      </c>
      <c r="AP278" s="14">
        <f>F278*AO278*in_accident_ticket*in_accident_comm*in_ins_partner_share+F278*in_accident_ticket*in_accident_renew_comm*in_ins_partner_share*(in_accident_renew^1*SUMIFS(AO236:AO291,B236:B291,B278-12)+in_accident_renew^2*SUMIFS(AO236:AO291,B236:B291,B278-24)+in_accident_renew^3*SUMIFS(AO236:AO291,B236:B291,B278-36)+in_accident_renew^4*SUMIFS(AO236:AO291,B236:B291,B278-48))</f>
        <v/>
      </c>
      <c r="AQ278" s="40">
        <f>AQ277*(1-IF(B277&gt;=in_marketplace_from,d_hz_two_wheeler*G277,0))</f>
        <v/>
      </c>
      <c r="AR278" s="46">
        <f>AQ278*IF(B278&gt;=in_marketplace_from,d_hz_two_wheeler*G278,0)</f>
        <v/>
      </c>
      <c r="AS278" s="14">
        <f>F278*AR278*in_two_wheeler_ticket*in_two_wheeler_comm*in_ins_partner_share+F278*in_two_wheeler_ticket*in_two_wheeler_comm*in_ins_partner_share*(in_two_wheeler_renew^1*SUMIFS(AR236:AR291,B236:B291,B278-12)+in_two_wheeler_renew^2*SUMIFS(AR236:AR291,B236:B291,B278-24)+in_two_wheeler_renew^3*SUMIFS(AR236:AR291,B236:B291,B278-36)+in_two_wheeler_renew^4*SUMIFS(AR236:AR291,B236:B291,B278-48))</f>
        <v/>
      </c>
      <c r="AT278" s="40">
        <f>AT277*(1-IF(B277&gt;=in_marketplace_from,d_hz_device*G277,0))</f>
        <v/>
      </c>
      <c r="AU278" s="14">
        <f>F278*AT278*IF(B278&gt;=in_marketplace_from,d_hz_device*G278,0)*in_device_ticket*in_device_comm*in_ins_partner_share</f>
        <v/>
      </c>
      <c r="AV278" s="40">
        <f>AV277*(1-IF(B277&gt;=in_marketplace_from,d_hz_shop*G277,0))</f>
        <v/>
      </c>
      <c r="AW278" s="46">
        <f>AV278*IF(B278&gt;=in_marketplace_from,d_hz_shop*G278,0)</f>
        <v/>
      </c>
      <c r="AX278" s="14">
        <f>F278*AW278*in_shop_ticket*in_shop_comm*in_ins_partner_share+F278*in_shop_ticket*in_shop_renew_comm*in_ins_partner_share*(in_shop_renew^1*SUMIFS(AW236:AW291,B236:B291,B278-12)+in_shop_renew^2*SUMIFS(AW236:AW291,B236:B291,B278-24)+in_shop_renew^3*SUMIFS(AW236:AW291,B236:B291,B278-36)+in_shop_renew^4*SUMIFS(AW236:AW291,B236:B291,B278-48))</f>
        <v/>
      </c>
      <c r="AY278" s="40">
        <f>AY277*(1-IF(B277&gt;=in_marketplace_from,d_hz_sip*G277,0))</f>
        <v/>
      </c>
      <c r="AZ278" s="40">
        <f>AZ277*d_rho_sip+AY278*IF(B278&gt;=in_marketplace_from,d_hz_sip*G278,0)</f>
        <v/>
      </c>
      <c r="BA278" s="40">
        <f>d_rho_sip*(BA277+AZ277)</f>
        <v/>
      </c>
      <c r="BB278" s="14">
        <f>F278*in_sip_ticket*(BA278+0.5*AZ278)*in_sip_comm/12</f>
        <v/>
      </c>
      <c r="BC278" s="40">
        <f>BC277*(1-IF(B277&gt;=in_marketplace_from,d_hz_choti*G277,0))</f>
        <v/>
      </c>
      <c r="BD278" s="46">
        <f>BC278*IF(B278&gt;=in_marketplace_from,d_hz_choti*G278,0)</f>
        <v/>
      </c>
      <c r="BE278" s="14">
        <f>F278*SUMIFS(BD236:BD291,B236:B291,B278-in_choti_months)*in_choti_renew*in_choti_ticket</f>
        <v/>
      </c>
      <c r="BF278" s="40">
        <f>BF277*(1-IF(B277&gt;=in_marketplace_from,d_hz_nps*G277,0))</f>
        <v/>
      </c>
      <c r="BG278" s="14">
        <f>F278*BF278*IF(B278&gt;=in_marketplace_from,d_hz_nps*G278,0)*in_nps_ticket*in_nps_comm</f>
        <v/>
      </c>
      <c r="BH278" s="40">
        <f>BH277*(1-IF(B277&gt;=in_marketplace_from,d_hz_gold*G277,0))</f>
        <v/>
      </c>
      <c r="BI278" s="40">
        <f>BI277*d_rho_gold+BH278*IF(B278&gt;=in_marketplace_from,d_hz_gold*G278,0)</f>
        <v/>
      </c>
      <c r="BJ278" s="14">
        <f>F278*BI278*in_gold_ticket*in_gold_comm</f>
        <v/>
      </c>
      <c r="BK278" s="40">
        <f>BK277*(1-IF(B277&gt;=in_marketplace_from,d_hz_fd*G277,0))</f>
        <v/>
      </c>
      <c r="BL278" s="14">
        <f>F278*BK278*IF(B278&gt;=in_marketplace_from,d_hz_fd*G278,0)*in_fd_ticket*in_fd_comm</f>
        <v/>
      </c>
      <c r="BM278" s="40">
        <f>BM277*(1-IF(B277&gt;=in_marketplace_from,d_hz_recharge*G277,0))</f>
        <v/>
      </c>
      <c r="BN278" s="40">
        <f>BN277*d_rho_recharge+BM278*IF(B278&gt;=in_marketplace_from,d_hz_recharge*G278,0)</f>
        <v/>
      </c>
      <c r="BO278" s="14">
        <f>F278*BN278*in_recharge_ticket*in_recharge_comm/12</f>
        <v/>
      </c>
      <c r="BP278" s="40">
        <f>BP277*(1-IF(B277&gt;=in_marketplace_from,d_hz_bills*G277,0))</f>
        <v/>
      </c>
      <c r="BQ278" s="40">
        <f>BQ277*d_rho_bills+BP278*IF(B278&gt;=in_marketplace_from,d_hz_bills*G278,0)</f>
        <v/>
      </c>
      <c r="BR278" s="14">
        <f>F278*BQ278*in_bills_ticket*in_bills_comm/12</f>
        <v/>
      </c>
      <c r="BS278" s="40">
        <f>BS277*(1-IF(B277&gt;=in_marketplace_from,d_hz_loan_gold*G277,0))</f>
        <v/>
      </c>
      <c r="BT278" s="14">
        <f>F278*BS278*IF(B278&gt;=in_marketplace_from,d_hz_loan_gold*G278,0)*in_loan_gold_ticket*in_loan_gold_comm</f>
        <v/>
      </c>
      <c r="BU278" s="40">
        <f>BU277*(1-IF(B277&gt;=in_marketplace_from,d_hz_loan_cd*G277,0))</f>
        <v/>
      </c>
      <c r="BV278" s="14">
        <f>F278*BU278*IF(B278&gt;=in_marketplace_from,d_hz_loan_cd*G278,0)*in_loan_cd_ticket*in_loan_cd_comm</f>
        <v/>
      </c>
      <c r="BW278" s="40">
        <f>BW277*(1-IF(B277&gt;=in_marketplace_from,d_hz_loan_vehicle*G277,0))</f>
        <v/>
      </c>
      <c r="BX278" s="14">
        <f>F278*BW278*IF(B278&gt;=in_marketplace_from,d_hz_loan_vehicle*G278,0)*in_loan_vehicle_ticket*in_loan_vehicle_comm</f>
        <v/>
      </c>
      <c r="BY278" s="40">
        <f>BY277*(1-IF(B277&gt;=in_marketplace_from,d_hz_loan_home*G277,0)*BZ277)</f>
        <v/>
      </c>
      <c r="BZ278" s="11">
        <f>MIN(in_approval_cap,in_loan_home_approval*INDEX('Age profile'!$O$2:$O$61,B278)*(1+in_approval_growth)^(D278-1))</f>
        <v/>
      </c>
      <c r="CA278" s="14">
        <f>F278*BY278*IF(B278&gt;=in_marketplace_from,d_hz_loan_home*G278,0)*BZ278*in_loan_home_ticket*in_loan_home_comm</f>
        <v/>
      </c>
      <c r="CB278" s="40">
        <f>CB277*(1-IF(B277&gt;=in_marketplace_from,d_hz_loan_lap*G277,0)*CC277)</f>
        <v/>
      </c>
      <c r="CC278" s="11">
        <f>MIN(in_approval_cap,in_loan_lap_approval*INDEX('Age profile'!$O$2:$O$61,B278)*(1+in_approval_growth)^(D278-1))</f>
        <v/>
      </c>
      <c r="CD278" s="14">
        <f>F278*CB278*IF(B278&gt;=in_marketplace_from,d_hz_loan_lap*G278,0)*CC278*in_loan_lap_ticket*in_loan_lap_comm</f>
        <v/>
      </c>
      <c r="CE278" s="14">
        <f>AA278+AB278+AC278+AD278+AG278+AJ278+AM278+AP278+AS278+AU278+AX278+BB278+BE278+BG278+BJ278+BL278+BO278+BR278+BT278+BV278+BX278+CA278+CD278</f>
        <v/>
      </c>
    </row>
    <row r="279">
      <c r="A279" s="39" t="n">
        <v>5</v>
      </c>
      <c r="B279" s="39" t="n">
        <v>44</v>
      </c>
      <c r="C279" s="39">
        <f>A279+B279-1</f>
        <v/>
      </c>
      <c r="D279" s="39">
        <f>INT((C279-1)/12)+1</f>
        <v/>
      </c>
      <c r="E279" s="44">
        <f>INDEX(Monthly!$B$2:$B$61,A279)</f>
        <v/>
      </c>
      <c r="F279" s="44">
        <f>E279*INDEX('Age profile'!$B$2:$B$61,B279)</f>
        <v/>
      </c>
      <c r="G279" s="45">
        <f>MIN(in_takeup_cap,INDEX('Age profile'!$N$2:$N$61,B279)*(1+in_takeup_growth)^(D279-1))</f>
        <v/>
      </c>
      <c r="H279" s="11">
        <f>MIN(in_approval_cap,in_approved_first*INDEX('Age profile'!$O$2:$O$61,B279)*(1+in_approval_growth)^(D279-1))</f>
        <v/>
      </c>
      <c r="I279" s="45">
        <f>G279*MIN(in_takeup_cap,INDEX('Age profile'!$O$2:$O$61,B279)*(1+in_approval_growth)^(D279-1))</f>
        <v/>
      </c>
      <c r="J279" s="40">
        <f>(J278-L278)*F279/F278</f>
        <v/>
      </c>
      <c r="K279" s="40">
        <f>(K278-M278)*F279/F278+SUMIFS(O236:O278,B236:B278,B279-1-d_T)*F279</f>
        <v/>
      </c>
      <c r="L279" s="40">
        <f>IF(B279&gt;=in_marketplace_from,J279*d_hz*G279*in_eligible*H279,0)</f>
        <v/>
      </c>
      <c r="M279" s="40">
        <f>IF(B279&gt;=in_marketplace_from,K279*d_hz*G279*in_eligible*in_approved_repeat,0)</f>
        <v/>
      </c>
      <c r="N279" s="40">
        <f>L279+M279</f>
        <v/>
      </c>
      <c r="O279" s="46">
        <f>N279/F279</f>
        <v/>
      </c>
      <c r="P279" s="40">
        <f>F279-J279-K279</f>
        <v/>
      </c>
      <c r="Q279" s="40">
        <f>IF(B279&gt;=in_marketplace_from,(J279+K279)*d_hz*G279,0)</f>
        <v/>
      </c>
      <c r="R279" s="40">
        <f>SUMIFS(N236:N291,B236:B291,"&gt;="&amp;(B279-d_T),B236:B291,"&lt;="&amp;(B279-1))</f>
        <v/>
      </c>
      <c r="S279" s="46">
        <f>(1-d_u)*S278+IF(d_T&gt;in_topup_lag,SUMIFS(O236:O291,B236:B291,B279-in_topup_lag)-d_udrop*SUMIFS(O236:O291,B236:B291,B279-d_T),0)</f>
        <v/>
      </c>
      <c r="T279" s="40">
        <f>F279*d_u*S279</f>
        <v/>
      </c>
      <c r="U279" s="9">
        <f>L279*in_ticket+M279*d_rep_ticket</f>
        <v/>
      </c>
      <c r="V279" s="9">
        <f>U279+T279*d_topup_amt</f>
        <v/>
      </c>
      <c r="W279" s="40">
        <f>N279+T279*d_topup_ratio</f>
        <v/>
      </c>
      <c r="X279" s="40">
        <f>SUMIFS(W236:W291,B236:B291,B279-in_dpd_lag)*d_cured</f>
        <v/>
      </c>
      <c r="Y279" s="40">
        <f>SUMIFS(W236:W291,B236:B291,B279-in_rec_lag)*d_recd</f>
        <v/>
      </c>
      <c r="Z279" s="40">
        <f>IF(AND(B279&gt;=in_marketplace_from,B279&lt;in_marketplace_from+in_card_months),in_card_share/in_card_months*F279*I279,IF(AND(B279&gt;=in_marketplace_from+in_card_months,B279&lt;in_marketplace_from+2*in_card_months),in_card_share*d_card_rem/in_card_months*F279*MIN(in_takeup_cap,(1+in_takeup_growth)^(D279-1))*MIN(in_takeup_cap,(1+in_approval_growth)^(D279-1)),0))</f>
        <v/>
      </c>
      <c r="AA279" s="14">
        <f>V279*in_fee*(1-in_taken_back)</f>
        <v/>
      </c>
      <c r="AB279" s="14">
        <f>SUMIFS(W236:W291,B236:B291,B279-in_dpd_lag)*d_dpd</f>
        <v/>
      </c>
      <c r="AC279" s="14">
        <f>SUMIFS(W236:W291,B236:B291,B279-in_rec_lag)*d_rec</f>
        <v/>
      </c>
      <c r="AD279" s="14">
        <f>Z279*in_card_fee</f>
        <v/>
      </c>
      <c r="AE279" s="40">
        <f>AE278*(1-IF(B278&gt;=in_marketplace_from,d_hz_hlth_small*G278,0))</f>
        <v/>
      </c>
      <c r="AF279" s="46">
        <f>AE279*IF(B279&gt;=in_marketplace_from,d_hz_hlth_small*G279,0)</f>
        <v/>
      </c>
      <c r="AG279" s="14">
        <f>F279*AF279*in_hlth_small_ticket*in_hlth_small_comm*in_ins_partner_share+F279*in_hlth_small_ticket*in_hlth_small_renew_comm*in_ins_partner_share*(in_hlth_small_renew^1*SUMIFS(AF236:AF291,B236:B291,B279-12)+in_hlth_small_renew^2*SUMIFS(AF236:AF291,B236:B291,B279-24)+in_hlth_small_renew^3*SUMIFS(AF236:AF291,B236:B291,B279-36)+in_hlth_small_renew^4*SUMIFS(AF236:AF291,B236:B291,B279-48))</f>
        <v/>
      </c>
      <c r="AH279" s="40">
        <f>AH278*(1-IF(B278&gt;=in_marketplace_from,d_hz_hlth_family*G278,0))</f>
        <v/>
      </c>
      <c r="AI279" s="46">
        <f>AH279*IF(B279&gt;=in_marketplace_from,d_hz_hlth_family*G279,0)</f>
        <v/>
      </c>
      <c r="AJ279" s="14">
        <f>F279*AI279*in_hlth_family_ticket*in_hlth_family_comm*in_ins_partner_share+F279*in_hlth_family_ticket*in_hlth_family_renew_comm*in_ins_partner_share*(in_hlth_family_renew^1*SUMIFS(AI236:AI291,B236:B291,B279-12)+in_hlth_family_renew^2*SUMIFS(AI236:AI291,B236:B291,B279-24)+in_hlth_family_renew^3*SUMIFS(AI236:AI291,B236:B291,B279-36)+in_hlth_family_renew^4*SUMIFS(AI236:AI291,B236:B291,B279-48))</f>
        <v/>
      </c>
      <c r="AK279" s="40">
        <f>AK278*(1-IF(B278&gt;=in_marketplace_from,d_hz_life_term*G278,0))</f>
        <v/>
      </c>
      <c r="AL279" s="46">
        <f>AK279*IF(B279&gt;=in_marketplace_from,d_hz_life_term*G279,0)</f>
        <v/>
      </c>
      <c r="AM279" s="14">
        <f>F279*AL279*in_life_term_ticket*in_life_term_comm*in_ins_partner_share+F279*in_life_term_ticket*in_life_term_renew_comm*in_ins_partner_share*(in_life_term_renew^1*SUMIFS(AL236:AL291,B236:B291,B279-12)+in_life_term_renew^2*SUMIFS(AL236:AL291,B236:B291,B279-24)+in_life_term_renew^3*SUMIFS(AL236:AL291,B236:B291,B279-36)+in_life_term_renew^4*SUMIFS(AL236:AL291,B236:B291,B279-48))</f>
        <v/>
      </c>
      <c r="AN279" s="40">
        <f>AN278*(1-IF(B278&gt;=in_marketplace_from,d_hz_accident*G278,0))</f>
        <v/>
      </c>
      <c r="AO279" s="46">
        <f>AN279*IF(B279&gt;=in_marketplace_from,d_hz_accident*G279,0)</f>
        <v/>
      </c>
      <c r="AP279" s="14">
        <f>F279*AO279*in_accident_ticket*in_accident_comm*in_ins_partner_share+F279*in_accident_ticket*in_accident_renew_comm*in_ins_partner_share*(in_accident_renew^1*SUMIFS(AO236:AO291,B236:B291,B279-12)+in_accident_renew^2*SUMIFS(AO236:AO291,B236:B291,B279-24)+in_accident_renew^3*SUMIFS(AO236:AO291,B236:B291,B279-36)+in_accident_renew^4*SUMIFS(AO236:AO291,B236:B291,B279-48))</f>
        <v/>
      </c>
      <c r="AQ279" s="40">
        <f>AQ278*(1-IF(B278&gt;=in_marketplace_from,d_hz_two_wheeler*G278,0))</f>
        <v/>
      </c>
      <c r="AR279" s="46">
        <f>AQ279*IF(B279&gt;=in_marketplace_from,d_hz_two_wheeler*G279,0)</f>
        <v/>
      </c>
      <c r="AS279" s="14">
        <f>F279*AR279*in_two_wheeler_ticket*in_two_wheeler_comm*in_ins_partner_share+F279*in_two_wheeler_ticket*in_two_wheeler_comm*in_ins_partner_share*(in_two_wheeler_renew^1*SUMIFS(AR236:AR291,B236:B291,B279-12)+in_two_wheeler_renew^2*SUMIFS(AR236:AR291,B236:B291,B279-24)+in_two_wheeler_renew^3*SUMIFS(AR236:AR291,B236:B291,B279-36)+in_two_wheeler_renew^4*SUMIFS(AR236:AR291,B236:B291,B279-48))</f>
        <v/>
      </c>
      <c r="AT279" s="40">
        <f>AT278*(1-IF(B278&gt;=in_marketplace_from,d_hz_device*G278,0))</f>
        <v/>
      </c>
      <c r="AU279" s="14">
        <f>F279*AT279*IF(B279&gt;=in_marketplace_from,d_hz_device*G279,0)*in_device_ticket*in_device_comm*in_ins_partner_share</f>
        <v/>
      </c>
      <c r="AV279" s="40">
        <f>AV278*(1-IF(B278&gt;=in_marketplace_from,d_hz_shop*G278,0))</f>
        <v/>
      </c>
      <c r="AW279" s="46">
        <f>AV279*IF(B279&gt;=in_marketplace_from,d_hz_shop*G279,0)</f>
        <v/>
      </c>
      <c r="AX279" s="14">
        <f>F279*AW279*in_shop_ticket*in_shop_comm*in_ins_partner_share+F279*in_shop_ticket*in_shop_renew_comm*in_ins_partner_share*(in_shop_renew^1*SUMIFS(AW236:AW291,B236:B291,B279-12)+in_shop_renew^2*SUMIFS(AW236:AW291,B236:B291,B279-24)+in_shop_renew^3*SUMIFS(AW236:AW291,B236:B291,B279-36)+in_shop_renew^4*SUMIFS(AW236:AW291,B236:B291,B279-48))</f>
        <v/>
      </c>
      <c r="AY279" s="40">
        <f>AY278*(1-IF(B278&gt;=in_marketplace_from,d_hz_sip*G278,0))</f>
        <v/>
      </c>
      <c r="AZ279" s="40">
        <f>AZ278*d_rho_sip+AY279*IF(B279&gt;=in_marketplace_from,d_hz_sip*G279,0)</f>
        <v/>
      </c>
      <c r="BA279" s="40">
        <f>d_rho_sip*(BA278+AZ278)</f>
        <v/>
      </c>
      <c r="BB279" s="14">
        <f>F279*in_sip_ticket*(BA279+0.5*AZ279)*in_sip_comm/12</f>
        <v/>
      </c>
      <c r="BC279" s="40">
        <f>BC278*(1-IF(B278&gt;=in_marketplace_from,d_hz_choti*G278,0))</f>
        <v/>
      </c>
      <c r="BD279" s="46">
        <f>BC279*IF(B279&gt;=in_marketplace_from,d_hz_choti*G279,0)</f>
        <v/>
      </c>
      <c r="BE279" s="14">
        <f>F279*SUMIFS(BD236:BD291,B236:B291,B279-in_choti_months)*in_choti_renew*in_choti_ticket</f>
        <v/>
      </c>
      <c r="BF279" s="40">
        <f>BF278*(1-IF(B278&gt;=in_marketplace_from,d_hz_nps*G278,0))</f>
        <v/>
      </c>
      <c r="BG279" s="14">
        <f>F279*BF279*IF(B279&gt;=in_marketplace_from,d_hz_nps*G279,0)*in_nps_ticket*in_nps_comm</f>
        <v/>
      </c>
      <c r="BH279" s="40">
        <f>BH278*(1-IF(B278&gt;=in_marketplace_from,d_hz_gold*G278,0))</f>
        <v/>
      </c>
      <c r="BI279" s="40">
        <f>BI278*d_rho_gold+BH279*IF(B279&gt;=in_marketplace_from,d_hz_gold*G279,0)</f>
        <v/>
      </c>
      <c r="BJ279" s="14">
        <f>F279*BI279*in_gold_ticket*in_gold_comm</f>
        <v/>
      </c>
      <c r="BK279" s="40">
        <f>BK278*(1-IF(B278&gt;=in_marketplace_from,d_hz_fd*G278,0))</f>
        <v/>
      </c>
      <c r="BL279" s="14">
        <f>F279*BK279*IF(B279&gt;=in_marketplace_from,d_hz_fd*G279,0)*in_fd_ticket*in_fd_comm</f>
        <v/>
      </c>
      <c r="BM279" s="40">
        <f>BM278*(1-IF(B278&gt;=in_marketplace_from,d_hz_recharge*G278,0))</f>
        <v/>
      </c>
      <c r="BN279" s="40">
        <f>BN278*d_rho_recharge+BM279*IF(B279&gt;=in_marketplace_from,d_hz_recharge*G279,0)</f>
        <v/>
      </c>
      <c r="BO279" s="14">
        <f>F279*BN279*in_recharge_ticket*in_recharge_comm/12</f>
        <v/>
      </c>
      <c r="BP279" s="40">
        <f>BP278*(1-IF(B278&gt;=in_marketplace_from,d_hz_bills*G278,0))</f>
        <v/>
      </c>
      <c r="BQ279" s="40">
        <f>BQ278*d_rho_bills+BP279*IF(B279&gt;=in_marketplace_from,d_hz_bills*G279,0)</f>
        <v/>
      </c>
      <c r="BR279" s="14">
        <f>F279*BQ279*in_bills_ticket*in_bills_comm/12</f>
        <v/>
      </c>
      <c r="BS279" s="40">
        <f>BS278*(1-IF(B278&gt;=in_marketplace_from,d_hz_loan_gold*G278,0))</f>
        <v/>
      </c>
      <c r="BT279" s="14">
        <f>F279*BS279*IF(B279&gt;=in_marketplace_from,d_hz_loan_gold*G279,0)*in_loan_gold_ticket*in_loan_gold_comm</f>
        <v/>
      </c>
      <c r="BU279" s="40">
        <f>BU278*(1-IF(B278&gt;=in_marketplace_from,d_hz_loan_cd*G278,0))</f>
        <v/>
      </c>
      <c r="BV279" s="14">
        <f>F279*BU279*IF(B279&gt;=in_marketplace_from,d_hz_loan_cd*G279,0)*in_loan_cd_ticket*in_loan_cd_comm</f>
        <v/>
      </c>
      <c r="BW279" s="40">
        <f>BW278*(1-IF(B278&gt;=in_marketplace_from,d_hz_loan_vehicle*G278,0))</f>
        <v/>
      </c>
      <c r="BX279" s="14">
        <f>F279*BW279*IF(B279&gt;=in_marketplace_from,d_hz_loan_vehicle*G279,0)*in_loan_vehicle_ticket*in_loan_vehicle_comm</f>
        <v/>
      </c>
      <c r="BY279" s="40">
        <f>BY278*(1-IF(B278&gt;=in_marketplace_from,d_hz_loan_home*G278,0)*BZ278)</f>
        <v/>
      </c>
      <c r="BZ279" s="11">
        <f>MIN(in_approval_cap,in_loan_home_approval*INDEX('Age profile'!$O$2:$O$61,B279)*(1+in_approval_growth)^(D279-1))</f>
        <v/>
      </c>
      <c r="CA279" s="14">
        <f>F279*BY279*IF(B279&gt;=in_marketplace_from,d_hz_loan_home*G279,0)*BZ279*in_loan_home_ticket*in_loan_home_comm</f>
        <v/>
      </c>
      <c r="CB279" s="40">
        <f>CB278*(1-IF(B278&gt;=in_marketplace_from,d_hz_loan_lap*G278,0)*CC278)</f>
        <v/>
      </c>
      <c r="CC279" s="11">
        <f>MIN(in_approval_cap,in_loan_lap_approval*INDEX('Age profile'!$O$2:$O$61,B279)*(1+in_approval_growth)^(D279-1))</f>
        <v/>
      </c>
      <c r="CD279" s="14">
        <f>F279*CB279*IF(B279&gt;=in_marketplace_from,d_hz_loan_lap*G279,0)*CC279*in_loan_lap_ticket*in_loan_lap_comm</f>
        <v/>
      </c>
      <c r="CE279" s="14">
        <f>AA279+AB279+AC279+AD279+AG279+AJ279+AM279+AP279+AS279+AU279+AX279+BB279+BE279+BG279+BJ279+BL279+BO279+BR279+BT279+BV279+BX279+CA279+CD279</f>
        <v/>
      </c>
    </row>
    <row r="280">
      <c r="A280" s="39" t="n">
        <v>5</v>
      </c>
      <c r="B280" s="39" t="n">
        <v>45</v>
      </c>
      <c r="C280" s="39">
        <f>A280+B280-1</f>
        <v/>
      </c>
      <c r="D280" s="39">
        <f>INT((C280-1)/12)+1</f>
        <v/>
      </c>
      <c r="E280" s="44">
        <f>INDEX(Monthly!$B$2:$B$61,A280)</f>
        <v/>
      </c>
      <c r="F280" s="44">
        <f>E280*INDEX('Age profile'!$B$2:$B$61,B280)</f>
        <v/>
      </c>
      <c r="G280" s="45">
        <f>MIN(in_takeup_cap,INDEX('Age profile'!$N$2:$N$61,B280)*(1+in_takeup_growth)^(D280-1))</f>
        <v/>
      </c>
      <c r="H280" s="11">
        <f>MIN(in_approval_cap,in_approved_first*INDEX('Age profile'!$O$2:$O$61,B280)*(1+in_approval_growth)^(D280-1))</f>
        <v/>
      </c>
      <c r="I280" s="45">
        <f>G280*MIN(in_takeup_cap,INDEX('Age profile'!$O$2:$O$61,B280)*(1+in_approval_growth)^(D280-1))</f>
        <v/>
      </c>
      <c r="J280" s="40">
        <f>(J279-L279)*F280/F279</f>
        <v/>
      </c>
      <c r="K280" s="40">
        <f>(K279-M279)*F280/F279+SUMIFS(O236:O279,B236:B279,B280-1-d_T)*F280</f>
        <v/>
      </c>
      <c r="L280" s="40">
        <f>IF(B280&gt;=in_marketplace_from,J280*d_hz*G280*in_eligible*H280,0)</f>
        <v/>
      </c>
      <c r="M280" s="40">
        <f>IF(B280&gt;=in_marketplace_from,K280*d_hz*G280*in_eligible*in_approved_repeat,0)</f>
        <v/>
      </c>
      <c r="N280" s="40">
        <f>L280+M280</f>
        <v/>
      </c>
      <c r="O280" s="46">
        <f>N280/F280</f>
        <v/>
      </c>
      <c r="P280" s="40">
        <f>F280-J280-K280</f>
        <v/>
      </c>
      <c r="Q280" s="40">
        <f>IF(B280&gt;=in_marketplace_from,(J280+K280)*d_hz*G280,0)</f>
        <v/>
      </c>
      <c r="R280" s="40">
        <f>SUMIFS(N236:N291,B236:B291,"&gt;="&amp;(B280-d_T),B236:B291,"&lt;="&amp;(B280-1))</f>
        <v/>
      </c>
      <c r="S280" s="46">
        <f>(1-d_u)*S279+IF(d_T&gt;in_topup_lag,SUMIFS(O236:O291,B236:B291,B280-in_topup_lag)-d_udrop*SUMIFS(O236:O291,B236:B291,B280-d_T),0)</f>
        <v/>
      </c>
      <c r="T280" s="40">
        <f>F280*d_u*S280</f>
        <v/>
      </c>
      <c r="U280" s="9">
        <f>L280*in_ticket+M280*d_rep_ticket</f>
        <v/>
      </c>
      <c r="V280" s="9">
        <f>U280+T280*d_topup_amt</f>
        <v/>
      </c>
      <c r="W280" s="40">
        <f>N280+T280*d_topup_ratio</f>
        <v/>
      </c>
      <c r="X280" s="40">
        <f>SUMIFS(W236:W291,B236:B291,B280-in_dpd_lag)*d_cured</f>
        <v/>
      </c>
      <c r="Y280" s="40">
        <f>SUMIFS(W236:W291,B236:B291,B280-in_rec_lag)*d_recd</f>
        <v/>
      </c>
      <c r="Z280" s="40">
        <f>IF(AND(B280&gt;=in_marketplace_from,B280&lt;in_marketplace_from+in_card_months),in_card_share/in_card_months*F280*I280,IF(AND(B280&gt;=in_marketplace_from+in_card_months,B280&lt;in_marketplace_from+2*in_card_months),in_card_share*d_card_rem/in_card_months*F280*MIN(in_takeup_cap,(1+in_takeup_growth)^(D280-1))*MIN(in_takeup_cap,(1+in_approval_growth)^(D280-1)),0))</f>
        <v/>
      </c>
      <c r="AA280" s="14">
        <f>V280*in_fee*(1-in_taken_back)</f>
        <v/>
      </c>
      <c r="AB280" s="14">
        <f>SUMIFS(W236:W291,B236:B291,B280-in_dpd_lag)*d_dpd</f>
        <v/>
      </c>
      <c r="AC280" s="14">
        <f>SUMIFS(W236:W291,B236:B291,B280-in_rec_lag)*d_rec</f>
        <v/>
      </c>
      <c r="AD280" s="14">
        <f>Z280*in_card_fee</f>
        <v/>
      </c>
      <c r="AE280" s="40">
        <f>AE279*(1-IF(B279&gt;=in_marketplace_from,d_hz_hlth_small*G279,0))</f>
        <v/>
      </c>
      <c r="AF280" s="46">
        <f>AE280*IF(B280&gt;=in_marketplace_from,d_hz_hlth_small*G280,0)</f>
        <v/>
      </c>
      <c r="AG280" s="14">
        <f>F280*AF280*in_hlth_small_ticket*in_hlth_small_comm*in_ins_partner_share+F280*in_hlth_small_ticket*in_hlth_small_renew_comm*in_ins_partner_share*(in_hlth_small_renew^1*SUMIFS(AF236:AF291,B236:B291,B280-12)+in_hlth_small_renew^2*SUMIFS(AF236:AF291,B236:B291,B280-24)+in_hlth_small_renew^3*SUMIFS(AF236:AF291,B236:B291,B280-36)+in_hlth_small_renew^4*SUMIFS(AF236:AF291,B236:B291,B280-48))</f>
        <v/>
      </c>
      <c r="AH280" s="40">
        <f>AH279*(1-IF(B279&gt;=in_marketplace_from,d_hz_hlth_family*G279,0))</f>
        <v/>
      </c>
      <c r="AI280" s="46">
        <f>AH280*IF(B280&gt;=in_marketplace_from,d_hz_hlth_family*G280,0)</f>
        <v/>
      </c>
      <c r="AJ280" s="14">
        <f>F280*AI280*in_hlth_family_ticket*in_hlth_family_comm*in_ins_partner_share+F280*in_hlth_family_ticket*in_hlth_family_renew_comm*in_ins_partner_share*(in_hlth_family_renew^1*SUMIFS(AI236:AI291,B236:B291,B280-12)+in_hlth_family_renew^2*SUMIFS(AI236:AI291,B236:B291,B280-24)+in_hlth_family_renew^3*SUMIFS(AI236:AI291,B236:B291,B280-36)+in_hlth_family_renew^4*SUMIFS(AI236:AI291,B236:B291,B280-48))</f>
        <v/>
      </c>
      <c r="AK280" s="40">
        <f>AK279*(1-IF(B279&gt;=in_marketplace_from,d_hz_life_term*G279,0))</f>
        <v/>
      </c>
      <c r="AL280" s="46">
        <f>AK280*IF(B280&gt;=in_marketplace_from,d_hz_life_term*G280,0)</f>
        <v/>
      </c>
      <c r="AM280" s="14">
        <f>F280*AL280*in_life_term_ticket*in_life_term_comm*in_ins_partner_share+F280*in_life_term_ticket*in_life_term_renew_comm*in_ins_partner_share*(in_life_term_renew^1*SUMIFS(AL236:AL291,B236:B291,B280-12)+in_life_term_renew^2*SUMIFS(AL236:AL291,B236:B291,B280-24)+in_life_term_renew^3*SUMIFS(AL236:AL291,B236:B291,B280-36)+in_life_term_renew^4*SUMIFS(AL236:AL291,B236:B291,B280-48))</f>
        <v/>
      </c>
      <c r="AN280" s="40">
        <f>AN279*(1-IF(B279&gt;=in_marketplace_from,d_hz_accident*G279,0))</f>
        <v/>
      </c>
      <c r="AO280" s="46">
        <f>AN280*IF(B280&gt;=in_marketplace_from,d_hz_accident*G280,0)</f>
        <v/>
      </c>
      <c r="AP280" s="14">
        <f>F280*AO280*in_accident_ticket*in_accident_comm*in_ins_partner_share+F280*in_accident_ticket*in_accident_renew_comm*in_ins_partner_share*(in_accident_renew^1*SUMIFS(AO236:AO291,B236:B291,B280-12)+in_accident_renew^2*SUMIFS(AO236:AO291,B236:B291,B280-24)+in_accident_renew^3*SUMIFS(AO236:AO291,B236:B291,B280-36)+in_accident_renew^4*SUMIFS(AO236:AO291,B236:B291,B280-48))</f>
        <v/>
      </c>
      <c r="AQ280" s="40">
        <f>AQ279*(1-IF(B279&gt;=in_marketplace_from,d_hz_two_wheeler*G279,0))</f>
        <v/>
      </c>
      <c r="AR280" s="46">
        <f>AQ280*IF(B280&gt;=in_marketplace_from,d_hz_two_wheeler*G280,0)</f>
        <v/>
      </c>
      <c r="AS280" s="14">
        <f>F280*AR280*in_two_wheeler_ticket*in_two_wheeler_comm*in_ins_partner_share+F280*in_two_wheeler_ticket*in_two_wheeler_comm*in_ins_partner_share*(in_two_wheeler_renew^1*SUMIFS(AR236:AR291,B236:B291,B280-12)+in_two_wheeler_renew^2*SUMIFS(AR236:AR291,B236:B291,B280-24)+in_two_wheeler_renew^3*SUMIFS(AR236:AR291,B236:B291,B280-36)+in_two_wheeler_renew^4*SUMIFS(AR236:AR291,B236:B291,B280-48))</f>
        <v/>
      </c>
      <c r="AT280" s="40">
        <f>AT279*(1-IF(B279&gt;=in_marketplace_from,d_hz_device*G279,0))</f>
        <v/>
      </c>
      <c r="AU280" s="14">
        <f>F280*AT280*IF(B280&gt;=in_marketplace_from,d_hz_device*G280,0)*in_device_ticket*in_device_comm*in_ins_partner_share</f>
        <v/>
      </c>
      <c r="AV280" s="40">
        <f>AV279*(1-IF(B279&gt;=in_marketplace_from,d_hz_shop*G279,0))</f>
        <v/>
      </c>
      <c r="AW280" s="46">
        <f>AV280*IF(B280&gt;=in_marketplace_from,d_hz_shop*G280,0)</f>
        <v/>
      </c>
      <c r="AX280" s="14">
        <f>F280*AW280*in_shop_ticket*in_shop_comm*in_ins_partner_share+F280*in_shop_ticket*in_shop_renew_comm*in_ins_partner_share*(in_shop_renew^1*SUMIFS(AW236:AW291,B236:B291,B280-12)+in_shop_renew^2*SUMIFS(AW236:AW291,B236:B291,B280-24)+in_shop_renew^3*SUMIFS(AW236:AW291,B236:B291,B280-36)+in_shop_renew^4*SUMIFS(AW236:AW291,B236:B291,B280-48))</f>
        <v/>
      </c>
      <c r="AY280" s="40">
        <f>AY279*(1-IF(B279&gt;=in_marketplace_from,d_hz_sip*G279,0))</f>
        <v/>
      </c>
      <c r="AZ280" s="40">
        <f>AZ279*d_rho_sip+AY280*IF(B280&gt;=in_marketplace_from,d_hz_sip*G280,0)</f>
        <v/>
      </c>
      <c r="BA280" s="40">
        <f>d_rho_sip*(BA279+AZ279)</f>
        <v/>
      </c>
      <c r="BB280" s="14">
        <f>F280*in_sip_ticket*(BA280+0.5*AZ280)*in_sip_comm/12</f>
        <v/>
      </c>
      <c r="BC280" s="40">
        <f>BC279*(1-IF(B279&gt;=in_marketplace_from,d_hz_choti*G279,0))</f>
        <v/>
      </c>
      <c r="BD280" s="46">
        <f>BC280*IF(B280&gt;=in_marketplace_from,d_hz_choti*G280,0)</f>
        <v/>
      </c>
      <c r="BE280" s="14">
        <f>F280*SUMIFS(BD236:BD291,B236:B291,B280-in_choti_months)*in_choti_renew*in_choti_ticket</f>
        <v/>
      </c>
      <c r="BF280" s="40">
        <f>BF279*(1-IF(B279&gt;=in_marketplace_from,d_hz_nps*G279,0))</f>
        <v/>
      </c>
      <c r="BG280" s="14">
        <f>F280*BF280*IF(B280&gt;=in_marketplace_from,d_hz_nps*G280,0)*in_nps_ticket*in_nps_comm</f>
        <v/>
      </c>
      <c r="BH280" s="40">
        <f>BH279*(1-IF(B279&gt;=in_marketplace_from,d_hz_gold*G279,0))</f>
        <v/>
      </c>
      <c r="BI280" s="40">
        <f>BI279*d_rho_gold+BH280*IF(B280&gt;=in_marketplace_from,d_hz_gold*G280,0)</f>
        <v/>
      </c>
      <c r="BJ280" s="14">
        <f>F280*BI280*in_gold_ticket*in_gold_comm</f>
        <v/>
      </c>
      <c r="BK280" s="40">
        <f>BK279*(1-IF(B279&gt;=in_marketplace_from,d_hz_fd*G279,0))</f>
        <v/>
      </c>
      <c r="BL280" s="14">
        <f>F280*BK280*IF(B280&gt;=in_marketplace_from,d_hz_fd*G280,0)*in_fd_ticket*in_fd_comm</f>
        <v/>
      </c>
      <c r="BM280" s="40">
        <f>BM279*(1-IF(B279&gt;=in_marketplace_from,d_hz_recharge*G279,0))</f>
        <v/>
      </c>
      <c r="BN280" s="40">
        <f>BN279*d_rho_recharge+BM280*IF(B280&gt;=in_marketplace_from,d_hz_recharge*G280,0)</f>
        <v/>
      </c>
      <c r="BO280" s="14">
        <f>F280*BN280*in_recharge_ticket*in_recharge_comm/12</f>
        <v/>
      </c>
      <c r="BP280" s="40">
        <f>BP279*(1-IF(B279&gt;=in_marketplace_from,d_hz_bills*G279,0))</f>
        <v/>
      </c>
      <c r="BQ280" s="40">
        <f>BQ279*d_rho_bills+BP280*IF(B280&gt;=in_marketplace_from,d_hz_bills*G280,0)</f>
        <v/>
      </c>
      <c r="BR280" s="14">
        <f>F280*BQ280*in_bills_ticket*in_bills_comm/12</f>
        <v/>
      </c>
      <c r="BS280" s="40">
        <f>BS279*(1-IF(B279&gt;=in_marketplace_from,d_hz_loan_gold*G279,0))</f>
        <v/>
      </c>
      <c r="BT280" s="14">
        <f>F280*BS280*IF(B280&gt;=in_marketplace_from,d_hz_loan_gold*G280,0)*in_loan_gold_ticket*in_loan_gold_comm</f>
        <v/>
      </c>
      <c r="BU280" s="40">
        <f>BU279*(1-IF(B279&gt;=in_marketplace_from,d_hz_loan_cd*G279,0))</f>
        <v/>
      </c>
      <c r="BV280" s="14">
        <f>F280*BU280*IF(B280&gt;=in_marketplace_from,d_hz_loan_cd*G280,0)*in_loan_cd_ticket*in_loan_cd_comm</f>
        <v/>
      </c>
      <c r="BW280" s="40">
        <f>BW279*(1-IF(B279&gt;=in_marketplace_from,d_hz_loan_vehicle*G279,0))</f>
        <v/>
      </c>
      <c r="BX280" s="14">
        <f>F280*BW280*IF(B280&gt;=in_marketplace_from,d_hz_loan_vehicle*G280,0)*in_loan_vehicle_ticket*in_loan_vehicle_comm</f>
        <v/>
      </c>
      <c r="BY280" s="40">
        <f>BY279*(1-IF(B279&gt;=in_marketplace_from,d_hz_loan_home*G279,0)*BZ279)</f>
        <v/>
      </c>
      <c r="BZ280" s="11">
        <f>MIN(in_approval_cap,in_loan_home_approval*INDEX('Age profile'!$O$2:$O$61,B280)*(1+in_approval_growth)^(D280-1))</f>
        <v/>
      </c>
      <c r="CA280" s="14">
        <f>F280*BY280*IF(B280&gt;=in_marketplace_from,d_hz_loan_home*G280,0)*BZ280*in_loan_home_ticket*in_loan_home_comm</f>
        <v/>
      </c>
      <c r="CB280" s="40">
        <f>CB279*(1-IF(B279&gt;=in_marketplace_from,d_hz_loan_lap*G279,0)*CC279)</f>
        <v/>
      </c>
      <c r="CC280" s="11">
        <f>MIN(in_approval_cap,in_loan_lap_approval*INDEX('Age profile'!$O$2:$O$61,B280)*(1+in_approval_growth)^(D280-1))</f>
        <v/>
      </c>
      <c r="CD280" s="14">
        <f>F280*CB280*IF(B280&gt;=in_marketplace_from,d_hz_loan_lap*G280,0)*CC280*in_loan_lap_ticket*in_loan_lap_comm</f>
        <v/>
      </c>
      <c r="CE280" s="14">
        <f>AA280+AB280+AC280+AD280+AG280+AJ280+AM280+AP280+AS280+AU280+AX280+BB280+BE280+BG280+BJ280+BL280+BO280+BR280+BT280+BV280+BX280+CA280+CD280</f>
        <v/>
      </c>
    </row>
    <row r="281">
      <c r="A281" s="39" t="n">
        <v>5</v>
      </c>
      <c r="B281" s="39" t="n">
        <v>46</v>
      </c>
      <c r="C281" s="39">
        <f>A281+B281-1</f>
        <v/>
      </c>
      <c r="D281" s="39">
        <f>INT((C281-1)/12)+1</f>
        <v/>
      </c>
      <c r="E281" s="44">
        <f>INDEX(Monthly!$B$2:$B$61,A281)</f>
        <v/>
      </c>
      <c r="F281" s="44">
        <f>E281*INDEX('Age profile'!$B$2:$B$61,B281)</f>
        <v/>
      </c>
      <c r="G281" s="45">
        <f>MIN(in_takeup_cap,INDEX('Age profile'!$N$2:$N$61,B281)*(1+in_takeup_growth)^(D281-1))</f>
        <v/>
      </c>
      <c r="H281" s="11">
        <f>MIN(in_approval_cap,in_approved_first*INDEX('Age profile'!$O$2:$O$61,B281)*(1+in_approval_growth)^(D281-1))</f>
        <v/>
      </c>
      <c r="I281" s="45">
        <f>G281*MIN(in_takeup_cap,INDEX('Age profile'!$O$2:$O$61,B281)*(1+in_approval_growth)^(D281-1))</f>
        <v/>
      </c>
      <c r="J281" s="40">
        <f>(J280-L280)*F281/F280</f>
        <v/>
      </c>
      <c r="K281" s="40">
        <f>(K280-M280)*F281/F280+SUMIFS(O236:O280,B236:B280,B281-1-d_T)*F281</f>
        <v/>
      </c>
      <c r="L281" s="40">
        <f>IF(B281&gt;=in_marketplace_from,J281*d_hz*G281*in_eligible*H281,0)</f>
        <v/>
      </c>
      <c r="M281" s="40">
        <f>IF(B281&gt;=in_marketplace_from,K281*d_hz*G281*in_eligible*in_approved_repeat,0)</f>
        <v/>
      </c>
      <c r="N281" s="40">
        <f>L281+M281</f>
        <v/>
      </c>
      <c r="O281" s="46">
        <f>N281/F281</f>
        <v/>
      </c>
      <c r="P281" s="40">
        <f>F281-J281-K281</f>
        <v/>
      </c>
      <c r="Q281" s="40">
        <f>IF(B281&gt;=in_marketplace_from,(J281+K281)*d_hz*G281,0)</f>
        <v/>
      </c>
      <c r="R281" s="40">
        <f>SUMIFS(N236:N291,B236:B291,"&gt;="&amp;(B281-d_T),B236:B291,"&lt;="&amp;(B281-1))</f>
        <v/>
      </c>
      <c r="S281" s="46">
        <f>(1-d_u)*S280+IF(d_T&gt;in_topup_lag,SUMIFS(O236:O291,B236:B291,B281-in_topup_lag)-d_udrop*SUMIFS(O236:O291,B236:B291,B281-d_T),0)</f>
        <v/>
      </c>
      <c r="T281" s="40">
        <f>F281*d_u*S281</f>
        <v/>
      </c>
      <c r="U281" s="9">
        <f>L281*in_ticket+M281*d_rep_ticket</f>
        <v/>
      </c>
      <c r="V281" s="9">
        <f>U281+T281*d_topup_amt</f>
        <v/>
      </c>
      <c r="W281" s="40">
        <f>N281+T281*d_topup_ratio</f>
        <v/>
      </c>
      <c r="X281" s="40">
        <f>SUMIFS(W236:W291,B236:B291,B281-in_dpd_lag)*d_cured</f>
        <v/>
      </c>
      <c r="Y281" s="40">
        <f>SUMIFS(W236:W291,B236:B291,B281-in_rec_lag)*d_recd</f>
        <v/>
      </c>
      <c r="Z281" s="40">
        <f>IF(AND(B281&gt;=in_marketplace_from,B281&lt;in_marketplace_from+in_card_months),in_card_share/in_card_months*F281*I281,IF(AND(B281&gt;=in_marketplace_from+in_card_months,B281&lt;in_marketplace_from+2*in_card_months),in_card_share*d_card_rem/in_card_months*F281*MIN(in_takeup_cap,(1+in_takeup_growth)^(D281-1))*MIN(in_takeup_cap,(1+in_approval_growth)^(D281-1)),0))</f>
        <v/>
      </c>
      <c r="AA281" s="14">
        <f>V281*in_fee*(1-in_taken_back)</f>
        <v/>
      </c>
      <c r="AB281" s="14">
        <f>SUMIFS(W236:W291,B236:B291,B281-in_dpd_lag)*d_dpd</f>
        <v/>
      </c>
      <c r="AC281" s="14">
        <f>SUMIFS(W236:W291,B236:B291,B281-in_rec_lag)*d_rec</f>
        <v/>
      </c>
      <c r="AD281" s="14">
        <f>Z281*in_card_fee</f>
        <v/>
      </c>
      <c r="AE281" s="40">
        <f>AE280*(1-IF(B280&gt;=in_marketplace_from,d_hz_hlth_small*G280,0))</f>
        <v/>
      </c>
      <c r="AF281" s="46">
        <f>AE281*IF(B281&gt;=in_marketplace_from,d_hz_hlth_small*G281,0)</f>
        <v/>
      </c>
      <c r="AG281" s="14">
        <f>F281*AF281*in_hlth_small_ticket*in_hlth_small_comm*in_ins_partner_share+F281*in_hlth_small_ticket*in_hlth_small_renew_comm*in_ins_partner_share*(in_hlth_small_renew^1*SUMIFS(AF236:AF291,B236:B291,B281-12)+in_hlth_small_renew^2*SUMIFS(AF236:AF291,B236:B291,B281-24)+in_hlth_small_renew^3*SUMIFS(AF236:AF291,B236:B291,B281-36)+in_hlth_small_renew^4*SUMIFS(AF236:AF291,B236:B291,B281-48))</f>
        <v/>
      </c>
      <c r="AH281" s="40">
        <f>AH280*(1-IF(B280&gt;=in_marketplace_from,d_hz_hlth_family*G280,0))</f>
        <v/>
      </c>
      <c r="AI281" s="46">
        <f>AH281*IF(B281&gt;=in_marketplace_from,d_hz_hlth_family*G281,0)</f>
        <v/>
      </c>
      <c r="AJ281" s="14">
        <f>F281*AI281*in_hlth_family_ticket*in_hlth_family_comm*in_ins_partner_share+F281*in_hlth_family_ticket*in_hlth_family_renew_comm*in_ins_partner_share*(in_hlth_family_renew^1*SUMIFS(AI236:AI291,B236:B291,B281-12)+in_hlth_family_renew^2*SUMIFS(AI236:AI291,B236:B291,B281-24)+in_hlth_family_renew^3*SUMIFS(AI236:AI291,B236:B291,B281-36)+in_hlth_family_renew^4*SUMIFS(AI236:AI291,B236:B291,B281-48))</f>
        <v/>
      </c>
      <c r="AK281" s="40">
        <f>AK280*(1-IF(B280&gt;=in_marketplace_from,d_hz_life_term*G280,0))</f>
        <v/>
      </c>
      <c r="AL281" s="46">
        <f>AK281*IF(B281&gt;=in_marketplace_from,d_hz_life_term*G281,0)</f>
        <v/>
      </c>
      <c r="AM281" s="14">
        <f>F281*AL281*in_life_term_ticket*in_life_term_comm*in_ins_partner_share+F281*in_life_term_ticket*in_life_term_renew_comm*in_ins_partner_share*(in_life_term_renew^1*SUMIFS(AL236:AL291,B236:B291,B281-12)+in_life_term_renew^2*SUMIFS(AL236:AL291,B236:B291,B281-24)+in_life_term_renew^3*SUMIFS(AL236:AL291,B236:B291,B281-36)+in_life_term_renew^4*SUMIFS(AL236:AL291,B236:B291,B281-48))</f>
        <v/>
      </c>
      <c r="AN281" s="40">
        <f>AN280*(1-IF(B280&gt;=in_marketplace_from,d_hz_accident*G280,0))</f>
        <v/>
      </c>
      <c r="AO281" s="46">
        <f>AN281*IF(B281&gt;=in_marketplace_from,d_hz_accident*G281,0)</f>
        <v/>
      </c>
      <c r="AP281" s="14">
        <f>F281*AO281*in_accident_ticket*in_accident_comm*in_ins_partner_share+F281*in_accident_ticket*in_accident_renew_comm*in_ins_partner_share*(in_accident_renew^1*SUMIFS(AO236:AO291,B236:B291,B281-12)+in_accident_renew^2*SUMIFS(AO236:AO291,B236:B291,B281-24)+in_accident_renew^3*SUMIFS(AO236:AO291,B236:B291,B281-36)+in_accident_renew^4*SUMIFS(AO236:AO291,B236:B291,B281-48))</f>
        <v/>
      </c>
      <c r="AQ281" s="40">
        <f>AQ280*(1-IF(B280&gt;=in_marketplace_from,d_hz_two_wheeler*G280,0))</f>
        <v/>
      </c>
      <c r="AR281" s="46">
        <f>AQ281*IF(B281&gt;=in_marketplace_from,d_hz_two_wheeler*G281,0)</f>
        <v/>
      </c>
      <c r="AS281" s="14">
        <f>F281*AR281*in_two_wheeler_ticket*in_two_wheeler_comm*in_ins_partner_share+F281*in_two_wheeler_ticket*in_two_wheeler_comm*in_ins_partner_share*(in_two_wheeler_renew^1*SUMIFS(AR236:AR291,B236:B291,B281-12)+in_two_wheeler_renew^2*SUMIFS(AR236:AR291,B236:B291,B281-24)+in_two_wheeler_renew^3*SUMIFS(AR236:AR291,B236:B291,B281-36)+in_two_wheeler_renew^4*SUMIFS(AR236:AR291,B236:B291,B281-48))</f>
        <v/>
      </c>
      <c r="AT281" s="40">
        <f>AT280*(1-IF(B280&gt;=in_marketplace_from,d_hz_device*G280,0))</f>
        <v/>
      </c>
      <c r="AU281" s="14">
        <f>F281*AT281*IF(B281&gt;=in_marketplace_from,d_hz_device*G281,0)*in_device_ticket*in_device_comm*in_ins_partner_share</f>
        <v/>
      </c>
      <c r="AV281" s="40">
        <f>AV280*(1-IF(B280&gt;=in_marketplace_from,d_hz_shop*G280,0))</f>
        <v/>
      </c>
      <c r="AW281" s="46">
        <f>AV281*IF(B281&gt;=in_marketplace_from,d_hz_shop*G281,0)</f>
        <v/>
      </c>
      <c r="AX281" s="14">
        <f>F281*AW281*in_shop_ticket*in_shop_comm*in_ins_partner_share+F281*in_shop_ticket*in_shop_renew_comm*in_ins_partner_share*(in_shop_renew^1*SUMIFS(AW236:AW291,B236:B291,B281-12)+in_shop_renew^2*SUMIFS(AW236:AW291,B236:B291,B281-24)+in_shop_renew^3*SUMIFS(AW236:AW291,B236:B291,B281-36)+in_shop_renew^4*SUMIFS(AW236:AW291,B236:B291,B281-48))</f>
        <v/>
      </c>
      <c r="AY281" s="40">
        <f>AY280*(1-IF(B280&gt;=in_marketplace_from,d_hz_sip*G280,0))</f>
        <v/>
      </c>
      <c r="AZ281" s="40">
        <f>AZ280*d_rho_sip+AY281*IF(B281&gt;=in_marketplace_from,d_hz_sip*G281,0)</f>
        <v/>
      </c>
      <c r="BA281" s="40">
        <f>d_rho_sip*(BA280+AZ280)</f>
        <v/>
      </c>
      <c r="BB281" s="14">
        <f>F281*in_sip_ticket*(BA281+0.5*AZ281)*in_sip_comm/12</f>
        <v/>
      </c>
      <c r="BC281" s="40">
        <f>BC280*(1-IF(B280&gt;=in_marketplace_from,d_hz_choti*G280,0))</f>
        <v/>
      </c>
      <c r="BD281" s="46">
        <f>BC281*IF(B281&gt;=in_marketplace_from,d_hz_choti*G281,0)</f>
        <v/>
      </c>
      <c r="BE281" s="14">
        <f>F281*SUMIFS(BD236:BD291,B236:B291,B281-in_choti_months)*in_choti_renew*in_choti_ticket</f>
        <v/>
      </c>
      <c r="BF281" s="40">
        <f>BF280*(1-IF(B280&gt;=in_marketplace_from,d_hz_nps*G280,0))</f>
        <v/>
      </c>
      <c r="BG281" s="14">
        <f>F281*BF281*IF(B281&gt;=in_marketplace_from,d_hz_nps*G281,0)*in_nps_ticket*in_nps_comm</f>
        <v/>
      </c>
      <c r="BH281" s="40">
        <f>BH280*(1-IF(B280&gt;=in_marketplace_from,d_hz_gold*G280,0))</f>
        <v/>
      </c>
      <c r="BI281" s="40">
        <f>BI280*d_rho_gold+BH281*IF(B281&gt;=in_marketplace_from,d_hz_gold*G281,0)</f>
        <v/>
      </c>
      <c r="BJ281" s="14">
        <f>F281*BI281*in_gold_ticket*in_gold_comm</f>
        <v/>
      </c>
      <c r="BK281" s="40">
        <f>BK280*(1-IF(B280&gt;=in_marketplace_from,d_hz_fd*G280,0))</f>
        <v/>
      </c>
      <c r="BL281" s="14">
        <f>F281*BK281*IF(B281&gt;=in_marketplace_from,d_hz_fd*G281,0)*in_fd_ticket*in_fd_comm</f>
        <v/>
      </c>
      <c r="BM281" s="40">
        <f>BM280*(1-IF(B280&gt;=in_marketplace_from,d_hz_recharge*G280,0))</f>
        <v/>
      </c>
      <c r="BN281" s="40">
        <f>BN280*d_rho_recharge+BM281*IF(B281&gt;=in_marketplace_from,d_hz_recharge*G281,0)</f>
        <v/>
      </c>
      <c r="BO281" s="14">
        <f>F281*BN281*in_recharge_ticket*in_recharge_comm/12</f>
        <v/>
      </c>
      <c r="BP281" s="40">
        <f>BP280*(1-IF(B280&gt;=in_marketplace_from,d_hz_bills*G280,0))</f>
        <v/>
      </c>
      <c r="BQ281" s="40">
        <f>BQ280*d_rho_bills+BP281*IF(B281&gt;=in_marketplace_from,d_hz_bills*G281,0)</f>
        <v/>
      </c>
      <c r="BR281" s="14">
        <f>F281*BQ281*in_bills_ticket*in_bills_comm/12</f>
        <v/>
      </c>
      <c r="BS281" s="40">
        <f>BS280*(1-IF(B280&gt;=in_marketplace_from,d_hz_loan_gold*G280,0))</f>
        <v/>
      </c>
      <c r="BT281" s="14">
        <f>F281*BS281*IF(B281&gt;=in_marketplace_from,d_hz_loan_gold*G281,0)*in_loan_gold_ticket*in_loan_gold_comm</f>
        <v/>
      </c>
      <c r="BU281" s="40">
        <f>BU280*(1-IF(B280&gt;=in_marketplace_from,d_hz_loan_cd*G280,0))</f>
        <v/>
      </c>
      <c r="BV281" s="14">
        <f>F281*BU281*IF(B281&gt;=in_marketplace_from,d_hz_loan_cd*G281,0)*in_loan_cd_ticket*in_loan_cd_comm</f>
        <v/>
      </c>
      <c r="BW281" s="40">
        <f>BW280*(1-IF(B280&gt;=in_marketplace_from,d_hz_loan_vehicle*G280,0))</f>
        <v/>
      </c>
      <c r="BX281" s="14">
        <f>F281*BW281*IF(B281&gt;=in_marketplace_from,d_hz_loan_vehicle*G281,0)*in_loan_vehicle_ticket*in_loan_vehicle_comm</f>
        <v/>
      </c>
      <c r="BY281" s="40">
        <f>BY280*(1-IF(B280&gt;=in_marketplace_from,d_hz_loan_home*G280,0)*BZ280)</f>
        <v/>
      </c>
      <c r="BZ281" s="11">
        <f>MIN(in_approval_cap,in_loan_home_approval*INDEX('Age profile'!$O$2:$O$61,B281)*(1+in_approval_growth)^(D281-1))</f>
        <v/>
      </c>
      <c r="CA281" s="14">
        <f>F281*BY281*IF(B281&gt;=in_marketplace_from,d_hz_loan_home*G281,0)*BZ281*in_loan_home_ticket*in_loan_home_comm</f>
        <v/>
      </c>
      <c r="CB281" s="40">
        <f>CB280*(1-IF(B280&gt;=in_marketplace_from,d_hz_loan_lap*G280,0)*CC280)</f>
        <v/>
      </c>
      <c r="CC281" s="11">
        <f>MIN(in_approval_cap,in_loan_lap_approval*INDEX('Age profile'!$O$2:$O$61,B281)*(1+in_approval_growth)^(D281-1))</f>
        <v/>
      </c>
      <c r="CD281" s="14">
        <f>F281*CB281*IF(B281&gt;=in_marketplace_from,d_hz_loan_lap*G281,0)*CC281*in_loan_lap_ticket*in_loan_lap_comm</f>
        <v/>
      </c>
      <c r="CE281" s="14">
        <f>AA281+AB281+AC281+AD281+AG281+AJ281+AM281+AP281+AS281+AU281+AX281+BB281+BE281+BG281+BJ281+BL281+BO281+BR281+BT281+BV281+BX281+CA281+CD281</f>
        <v/>
      </c>
    </row>
    <row r="282">
      <c r="A282" s="39" t="n">
        <v>5</v>
      </c>
      <c r="B282" s="39" t="n">
        <v>47</v>
      </c>
      <c r="C282" s="39">
        <f>A282+B282-1</f>
        <v/>
      </c>
      <c r="D282" s="39">
        <f>INT((C282-1)/12)+1</f>
        <v/>
      </c>
      <c r="E282" s="44">
        <f>INDEX(Monthly!$B$2:$B$61,A282)</f>
        <v/>
      </c>
      <c r="F282" s="44">
        <f>E282*INDEX('Age profile'!$B$2:$B$61,B282)</f>
        <v/>
      </c>
      <c r="G282" s="45">
        <f>MIN(in_takeup_cap,INDEX('Age profile'!$N$2:$N$61,B282)*(1+in_takeup_growth)^(D282-1))</f>
        <v/>
      </c>
      <c r="H282" s="11">
        <f>MIN(in_approval_cap,in_approved_first*INDEX('Age profile'!$O$2:$O$61,B282)*(1+in_approval_growth)^(D282-1))</f>
        <v/>
      </c>
      <c r="I282" s="45">
        <f>G282*MIN(in_takeup_cap,INDEX('Age profile'!$O$2:$O$61,B282)*(1+in_approval_growth)^(D282-1))</f>
        <v/>
      </c>
      <c r="J282" s="40">
        <f>(J281-L281)*F282/F281</f>
        <v/>
      </c>
      <c r="K282" s="40">
        <f>(K281-M281)*F282/F281+SUMIFS(O236:O281,B236:B281,B282-1-d_T)*F282</f>
        <v/>
      </c>
      <c r="L282" s="40">
        <f>IF(B282&gt;=in_marketplace_from,J282*d_hz*G282*in_eligible*H282,0)</f>
        <v/>
      </c>
      <c r="M282" s="40">
        <f>IF(B282&gt;=in_marketplace_from,K282*d_hz*G282*in_eligible*in_approved_repeat,0)</f>
        <v/>
      </c>
      <c r="N282" s="40">
        <f>L282+M282</f>
        <v/>
      </c>
      <c r="O282" s="46">
        <f>N282/F282</f>
        <v/>
      </c>
      <c r="P282" s="40">
        <f>F282-J282-K282</f>
        <v/>
      </c>
      <c r="Q282" s="40">
        <f>IF(B282&gt;=in_marketplace_from,(J282+K282)*d_hz*G282,0)</f>
        <v/>
      </c>
      <c r="R282" s="40">
        <f>SUMIFS(N236:N291,B236:B291,"&gt;="&amp;(B282-d_T),B236:B291,"&lt;="&amp;(B282-1))</f>
        <v/>
      </c>
      <c r="S282" s="46">
        <f>(1-d_u)*S281+IF(d_T&gt;in_topup_lag,SUMIFS(O236:O291,B236:B291,B282-in_topup_lag)-d_udrop*SUMIFS(O236:O291,B236:B291,B282-d_T),0)</f>
        <v/>
      </c>
      <c r="T282" s="40">
        <f>F282*d_u*S282</f>
        <v/>
      </c>
      <c r="U282" s="9">
        <f>L282*in_ticket+M282*d_rep_ticket</f>
        <v/>
      </c>
      <c r="V282" s="9">
        <f>U282+T282*d_topup_amt</f>
        <v/>
      </c>
      <c r="W282" s="40">
        <f>N282+T282*d_topup_ratio</f>
        <v/>
      </c>
      <c r="X282" s="40">
        <f>SUMIFS(W236:W291,B236:B291,B282-in_dpd_lag)*d_cured</f>
        <v/>
      </c>
      <c r="Y282" s="40">
        <f>SUMIFS(W236:W291,B236:B291,B282-in_rec_lag)*d_recd</f>
        <v/>
      </c>
      <c r="Z282" s="40">
        <f>IF(AND(B282&gt;=in_marketplace_from,B282&lt;in_marketplace_from+in_card_months),in_card_share/in_card_months*F282*I282,IF(AND(B282&gt;=in_marketplace_from+in_card_months,B282&lt;in_marketplace_from+2*in_card_months),in_card_share*d_card_rem/in_card_months*F282*MIN(in_takeup_cap,(1+in_takeup_growth)^(D282-1))*MIN(in_takeup_cap,(1+in_approval_growth)^(D282-1)),0))</f>
        <v/>
      </c>
      <c r="AA282" s="14">
        <f>V282*in_fee*(1-in_taken_back)</f>
        <v/>
      </c>
      <c r="AB282" s="14">
        <f>SUMIFS(W236:W291,B236:B291,B282-in_dpd_lag)*d_dpd</f>
        <v/>
      </c>
      <c r="AC282" s="14">
        <f>SUMIFS(W236:W291,B236:B291,B282-in_rec_lag)*d_rec</f>
        <v/>
      </c>
      <c r="AD282" s="14">
        <f>Z282*in_card_fee</f>
        <v/>
      </c>
      <c r="AE282" s="40">
        <f>AE281*(1-IF(B281&gt;=in_marketplace_from,d_hz_hlth_small*G281,0))</f>
        <v/>
      </c>
      <c r="AF282" s="46">
        <f>AE282*IF(B282&gt;=in_marketplace_from,d_hz_hlth_small*G282,0)</f>
        <v/>
      </c>
      <c r="AG282" s="14">
        <f>F282*AF282*in_hlth_small_ticket*in_hlth_small_comm*in_ins_partner_share+F282*in_hlth_small_ticket*in_hlth_small_renew_comm*in_ins_partner_share*(in_hlth_small_renew^1*SUMIFS(AF236:AF291,B236:B291,B282-12)+in_hlth_small_renew^2*SUMIFS(AF236:AF291,B236:B291,B282-24)+in_hlth_small_renew^3*SUMIFS(AF236:AF291,B236:B291,B282-36)+in_hlth_small_renew^4*SUMIFS(AF236:AF291,B236:B291,B282-48))</f>
        <v/>
      </c>
      <c r="AH282" s="40">
        <f>AH281*(1-IF(B281&gt;=in_marketplace_from,d_hz_hlth_family*G281,0))</f>
        <v/>
      </c>
      <c r="AI282" s="46">
        <f>AH282*IF(B282&gt;=in_marketplace_from,d_hz_hlth_family*G282,0)</f>
        <v/>
      </c>
      <c r="AJ282" s="14">
        <f>F282*AI282*in_hlth_family_ticket*in_hlth_family_comm*in_ins_partner_share+F282*in_hlth_family_ticket*in_hlth_family_renew_comm*in_ins_partner_share*(in_hlth_family_renew^1*SUMIFS(AI236:AI291,B236:B291,B282-12)+in_hlth_family_renew^2*SUMIFS(AI236:AI291,B236:B291,B282-24)+in_hlth_family_renew^3*SUMIFS(AI236:AI291,B236:B291,B282-36)+in_hlth_family_renew^4*SUMIFS(AI236:AI291,B236:B291,B282-48))</f>
        <v/>
      </c>
      <c r="AK282" s="40">
        <f>AK281*(1-IF(B281&gt;=in_marketplace_from,d_hz_life_term*G281,0))</f>
        <v/>
      </c>
      <c r="AL282" s="46">
        <f>AK282*IF(B282&gt;=in_marketplace_from,d_hz_life_term*G282,0)</f>
        <v/>
      </c>
      <c r="AM282" s="14">
        <f>F282*AL282*in_life_term_ticket*in_life_term_comm*in_ins_partner_share+F282*in_life_term_ticket*in_life_term_renew_comm*in_ins_partner_share*(in_life_term_renew^1*SUMIFS(AL236:AL291,B236:B291,B282-12)+in_life_term_renew^2*SUMIFS(AL236:AL291,B236:B291,B282-24)+in_life_term_renew^3*SUMIFS(AL236:AL291,B236:B291,B282-36)+in_life_term_renew^4*SUMIFS(AL236:AL291,B236:B291,B282-48))</f>
        <v/>
      </c>
      <c r="AN282" s="40">
        <f>AN281*(1-IF(B281&gt;=in_marketplace_from,d_hz_accident*G281,0))</f>
        <v/>
      </c>
      <c r="AO282" s="46">
        <f>AN282*IF(B282&gt;=in_marketplace_from,d_hz_accident*G282,0)</f>
        <v/>
      </c>
      <c r="AP282" s="14">
        <f>F282*AO282*in_accident_ticket*in_accident_comm*in_ins_partner_share+F282*in_accident_ticket*in_accident_renew_comm*in_ins_partner_share*(in_accident_renew^1*SUMIFS(AO236:AO291,B236:B291,B282-12)+in_accident_renew^2*SUMIFS(AO236:AO291,B236:B291,B282-24)+in_accident_renew^3*SUMIFS(AO236:AO291,B236:B291,B282-36)+in_accident_renew^4*SUMIFS(AO236:AO291,B236:B291,B282-48))</f>
        <v/>
      </c>
      <c r="AQ282" s="40">
        <f>AQ281*(1-IF(B281&gt;=in_marketplace_from,d_hz_two_wheeler*G281,0))</f>
        <v/>
      </c>
      <c r="AR282" s="46">
        <f>AQ282*IF(B282&gt;=in_marketplace_from,d_hz_two_wheeler*G282,0)</f>
        <v/>
      </c>
      <c r="AS282" s="14">
        <f>F282*AR282*in_two_wheeler_ticket*in_two_wheeler_comm*in_ins_partner_share+F282*in_two_wheeler_ticket*in_two_wheeler_comm*in_ins_partner_share*(in_two_wheeler_renew^1*SUMIFS(AR236:AR291,B236:B291,B282-12)+in_two_wheeler_renew^2*SUMIFS(AR236:AR291,B236:B291,B282-24)+in_two_wheeler_renew^3*SUMIFS(AR236:AR291,B236:B291,B282-36)+in_two_wheeler_renew^4*SUMIFS(AR236:AR291,B236:B291,B282-48))</f>
        <v/>
      </c>
      <c r="AT282" s="40">
        <f>AT281*(1-IF(B281&gt;=in_marketplace_from,d_hz_device*G281,0))</f>
        <v/>
      </c>
      <c r="AU282" s="14">
        <f>F282*AT282*IF(B282&gt;=in_marketplace_from,d_hz_device*G282,0)*in_device_ticket*in_device_comm*in_ins_partner_share</f>
        <v/>
      </c>
      <c r="AV282" s="40">
        <f>AV281*(1-IF(B281&gt;=in_marketplace_from,d_hz_shop*G281,0))</f>
        <v/>
      </c>
      <c r="AW282" s="46">
        <f>AV282*IF(B282&gt;=in_marketplace_from,d_hz_shop*G282,0)</f>
        <v/>
      </c>
      <c r="AX282" s="14">
        <f>F282*AW282*in_shop_ticket*in_shop_comm*in_ins_partner_share+F282*in_shop_ticket*in_shop_renew_comm*in_ins_partner_share*(in_shop_renew^1*SUMIFS(AW236:AW291,B236:B291,B282-12)+in_shop_renew^2*SUMIFS(AW236:AW291,B236:B291,B282-24)+in_shop_renew^3*SUMIFS(AW236:AW291,B236:B291,B282-36)+in_shop_renew^4*SUMIFS(AW236:AW291,B236:B291,B282-48))</f>
        <v/>
      </c>
      <c r="AY282" s="40">
        <f>AY281*(1-IF(B281&gt;=in_marketplace_from,d_hz_sip*G281,0))</f>
        <v/>
      </c>
      <c r="AZ282" s="40">
        <f>AZ281*d_rho_sip+AY282*IF(B282&gt;=in_marketplace_from,d_hz_sip*G282,0)</f>
        <v/>
      </c>
      <c r="BA282" s="40">
        <f>d_rho_sip*(BA281+AZ281)</f>
        <v/>
      </c>
      <c r="BB282" s="14">
        <f>F282*in_sip_ticket*(BA282+0.5*AZ282)*in_sip_comm/12</f>
        <v/>
      </c>
      <c r="BC282" s="40">
        <f>BC281*(1-IF(B281&gt;=in_marketplace_from,d_hz_choti*G281,0))</f>
        <v/>
      </c>
      <c r="BD282" s="46">
        <f>BC282*IF(B282&gt;=in_marketplace_from,d_hz_choti*G282,0)</f>
        <v/>
      </c>
      <c r="BE282" s="14">
        <f>F282*SUMIFS(BD236:BD291,B236:B291,B282-in_choti_months)*in_choti_renew*in_choti_ticket</f>
        <v/>
      </c>
      <c r="BF282" s="40">
        <f>BF281*(1-IF(B281&gt;=in_marketplace_from,d_hz_nps*G281,0))</f>
        <v/>
      </c>
      <c r="BG282" s="14">
        <f>F282*BF282*IF(B282&gt;=in_marketplace_from,d_hz_nps*G282,0)*in_nps_ticket*in_nps_comm</f>
        <v/>
      </c>
      <c r="BH282" s="40">
        <f>BH281*(1-IF(B281&gt;=in_marketplace_from,d_hz_gold*G281,0))</f>
        <v/>
      </c>
      <c r="BI282" s="40">
        <f>BI281*d_rho_gold+BH282*IF(B282&gt;=in_marketplace_from,d_hz_gold*G282,0)</f>
        <v/>
      </c>
      <c r="BJ282" s="14">
        <f>F282*BI282*in_gold_ticket*in_gold_comm</f>
        <v/>
      </c>
      <c r="BK282" s="40">
        <f>BK281*(1-IF(B281&gt;=in_marketplace_from,d_hz_fd*G281,0))</f>
        <v/>
      </c>
      <c r="BL282" s="14">
        <f>F282*BK282*IF(B282&gt;=in_marketplace_from,d_hz_fd*G282,0)*in_fd_ticket*in_fd_comm</f>
        <v/>
      </c>
      <c r="BM282" s="40">
        <f>BM281*(1-IF(B281&gt;=in_marketplace_from,d_hz_recharge*G281,0))</f>
        <v/>
      </c>
      <c r="BN282" s="40">
        <f>BN281*d_rho_recharge+BM282*IF(B282&gt;=in_marketplace_from,d_hz_recharge*G282,0)</f>
        <v/>
      </c>
      <c r="BO282" s="14">
        <f>F282*BN282*in_recharge_ticket*in_recharge_comm/12</f>
        <v/>
      </c>
      <c r="BP282" s="40">
        <f>BP281*(1-IF(B281&gt;=in_marketplace_from,d_hz_bills*G281,0))</f>
        <v/>
      </c>
      <c r="BQ282" s="40">
        <f>BQ281*d_rho_bills+BP282*IF(B282&gt;=in_marketplace_from,d_hz_bills*G282,0)</f>
        <v/>
      </c>
      <c r="BR282" s="14">
        <f>F282*BQ282*in_bills_ticket*in_bills_comm/12</f>
        <v/>
      </c>
      <c r="BS282" s="40">
        <f>BS281*(1-IF(B281&gt;=in_marketplace_from,d_hz_loan_gold*G281,0))</f>
        <v/>
      </c>
      <c r="BT282" s="14">
        <f>F282*BS282*IF(B282&gt;=in_marketplace_from,d_hz_loan_gold*G282,0)*in_loan_gold_ticket*in_loan_gold_comm</f>
        <v/>
      </c>
      <c r="BU282" s="40">
        <f>BU281*(1-IF(B281&gt;=in_marketplace_from,d_hz_loan_cd*G281,0))</f>
        <v/>
      </c>
      <c r="BV282" s="14">
        <f>F282*BU282*IF(B282&gt;=in_marketplace_from,d_hz_loan_cd*G282,0)*in_loan_cd_ticket*in_loan_cd_comm</f>
        <v/>
      </c>
      <c r="BW282" s="40">
        <f>BW281*(1-IF(B281&gt;=in_marketplace_from,d_hz_loan_vehicle*G281,0))</f>
        <v/>
      </c>
      <c r="BX282" s="14">
        <f>F282*BW282*IF(B282&gt;=in_marketplace_from,d_hz_loan_vehicle*G282,0)*in_loan_vehicle_ticket*in_loan_vehicle_comm</f>
        <v/>
      </c>
      <c r="BY282" s="40">
        <f>BY281*(1-IF(B281&gt;=in_marketplace_from,d_hz_loan_home*G281,0)*BZ281)</f>
        <v/>
      </c>
      <c r="BZ282" s="11">
        <f>MIN(in_approval_cap,in_loan_home_approval*INDEX('Age profile'!$O$2:$O$61,B282)*(1+in_approval_growth)^(D282-1))</f>
        <v/>
      </c>
      <c r="CA282" s="14">
        <f>F282*BY282*IF(B282&gt;=in_marketplace_from,d_hz_loan_home*G282,0)*BZ282*in_loan_home_ticket*in_loan_home_comm</f>
        <v/>
      </c>
      <c r="CB282" s="40">
        <f>CB281*(1-IF(B281&gt;=in_marketplace_from,d_hz_loan_lap*G281,0)*CC281)</f>
        <v/>
      </c>
      <c r="CC282" s="11">
        <f>MIN(in_approval_cap,in_loan_lap_approval*INDEX('Age profile'!$O$2:$O$61,B282)*(1+in_approval_growth)^(D282-1))</f>
        <v/>
      </c>
      <c r="CD282" s="14">
        <f>F282*CB282*IF(B282&gt;=in_marketplace_from,d_hz_loan_lap*G282,0)*CC282*in_loan_lap_ticket*in_loan_lap_comm</f>
        <v/>
      </c>
      <c r="CE282" s="14">
        <f>AA282+AB282+AC282+AD282+AG282+AJ282+AM282+AP282+AS282+AU282+AX282+BB282+BE282+BG282+BJ282+BL282+BO282+BR282+BT282+BV282+BX282+CA282+CD282</f>
        <v/>
      </c>
    </row>
    <row r="283">
      <c r="A283" s="39" t="n">
        <v>5</v>
      </c>
      <c r="B283" s="39" t="n">
        <v>48</v>
      </c>
      <c r="C283" s="39">
        <f>A283+B283-1</f>
        <v/>
      </c>
      <c r="D283" s="39">
        <f>INT((C283-1)/12)+1</f>
        <v/>
      </c>
      <c r="E283" s="44">
        <f>INDEX(Monthly!$B$2:$B$61,A283)</f>
        <v/>
      </c>
      <c r="F283" s="44">
        <f>E283*INDEX('Age profile'!$B$2:$B$61,B283)</f>
        <v/>
      </c>
      <c r="G283" s="45">
        <f>MIN(in_takeup_cap,INDEX('Age profile'!$N$2:$N$61,B283)*(1+in_takeup_growth)^(D283-1))</f>
        <v/>
      </c>
      <c r="H283" s="11">
        <f>MIN(in_approval_cap,in_approved_first*INDEX('Age profile'!$O$2:$O$61,B283)*(1+in_approval_growth)^(D283-1))</f>
        <v/>
      </c>
      <c r="I283" s="45">
        <f>G283*MIN(in_takeup_cap,INDEX('Age profile'!$O$2:$O$61,B283)*(1+in_approval_growth)^(D283-1))</f>
        <v/>
      </c>
      <c r="J283" s="40">
        <f>(J282-L282)*F283/F282</f>
        <v/>
      </c>
      <c r="K283" s="40">
        <f>(K282-M282)*F283/F282+SUMIFS(O236:O282,B236:B282,B283-1-d_T)*F283</f>
        <v/>
      </c>
      <c r="L283" s="40">
        <f>IF(B283&gt;=in_marketplace_from,J283*d_hz*G283*in_eligible*H283,0)</f>
        <v/>
      </c>
      <c r="M283" s="40">
        <f>IF(B283&gt;=in_marketplace_from,K283*d_hz*G283*in_eligible*in_approved_repeat,0)</f>
        <v/>
      </c>
      <c r="N283" s="40">
        <f>L283+M283</f>
        <v/>
      </c>
      <c r="O283" s="46">
        <f>N283/F283</f>
        <v/>
      </c>
      <c r="P283" s="40">
        <f>F283-J283-K283</f>
        <v/>
      </c>
      <c r="Q283" s="40">
        <f>IF(B283&gt;=in_marketplace_from,(J283+K283)*d_hz*G283,0)</f>
        <v/>
      </c>
      <c r="R283" s="40">
        <f>SUMIFS(N236:N291,B236:B291,"&gt;="&amp;(B283-d_T),B236:B291,"&lt;="&amp;(B283-1))</f>
        <v/>
      </c>
      <c r="S283" s="46">
        <f>(1-d_u)*S282+IF(d_T&gt;in_topup_lag,SUMIFS(O236:O291,B236:B291,B283-in_topup_lag)-d_udrop*SUMIFS(O236:O291,B236:B291,B283-d_T),0)</f>
        <v/>
      </c>
      <c r="T283" s="40">
        <f>F283*d_u*S283</f>
        <v/>
      </c>
      <c r="U283" s="9">
        <f>L283*in_ticket+M283*d_rep_ticket</f>
        <v/>
      </c>
      <c r="V283" s="9">
        <f>U283+T283*d_topup_amt</f>
        <v/>
      </c>
      <c r="W283" s="40">
        <f>N283+T283*d_topup_ratio</f>
        <v/>
      </c>
      <c r="X283" s="40">
        <f>SUMIFS(W236:W291,B236:B291,B283-in_dpd_lag)*d_cured</f>
        <v/>
      </c>
      <c r="Y283" s="40">
        <f>SUMIFS(W236:W291,B236:B291,B283-in_rec_lag)*d_recd</f>
        <v/>
      </c>
      <c r="Z283" s="40">
        <f>IF(AND(B283&gt;=in_marketplace_from,B283&lt;in_marketplace_from+in_card_months),in_card_share/in_card_months*F283*I283,IF(AND(B283&gt;=in_marketplace_from+in_card_months,B283&lt;in_marketplace_from+2*in_card_months),in_card_share*d_card_rem/in_card_months*F283*MIN(in_takeup_cap,(1+in_takeup_growth)^(D283-1))*MIN(in_takeup_cap,(1+in_approval_growth)^(D283-1)),0))</f>
        <v/>
      </c>
      <c r="AA283" s="14">
        <f>V283*in_fee*(1-in_taken_back)</f>
        <v/>
      </c>
      <c r="AB283" s="14">
        <f>SUMIFS(W236:W291,B236:B291,B283-in_dpd_lag)*d_dpd</f>
        <v/>
      </c>
      <c r="AC283" s="14">
        <f>SUMIFS(W236:W291,B236:B291,B283-in_rec_lag)*d_rec</f>
        <v/>
      </c>
      <c r="AD283" s="14">
        <f>Z283*in_card_fee</f>
        <v/>
      </c>
      <c r="AE283" s="40">
        <f>AE282*(1-IF(B282&gt;=in_marketplace_from,d_hz_hlth_small*G282,0))</f>
        <v/>
      </c>
      <c r="AF283" s="46">
        <f>AE283*IF(B283&gt;=in_marketplace_from,d_hz_hlth_small*G283,0)</f>
        <v/>
      </c>
      <c r="AG283" s="14">
        <f>F283*AF283*in_hlth_small_ticket*in_hlth_small_comm*in_ins_partner_share+F283*in_hlth_small_ticket*in_hlth_small_renew_comm*in_ins_partner_share*(in_hlth_small_renew^1*SUMIFS(AF236:AF291,B236:B291,B283-12)+in_hlth_small_renew^2*SUMIFS(AF236:AF291,B236:B291,B283-24)+in_hlth_small_renew^3*SUMIFS(AF236:AF291,B236:B291,B283-36)+in_hlth_small_renew^4*SUMIFS(AF236:AF291,B236:B291,B283-48))</f>
        <v/>
      </c>
      <c r="AH283" s="40">
        <f>AH282*(1-IF(B282&gt;=in_marketplace_from,d_hz_hlth_family*G282,0))</f>
        <v/>
      </c>
      <c r="AI283" s="46">
        <f>AH283*IF(B283&gt;=in_marketplace_from,d_hz_hlth_family*G283,0)</f>
        <v/>
      </c>
      <c r="AJ283" s="14">
        <f>F283*AI283*in_hlth_family_ticket*in_hlth_family_comm*in_ins_partner_share+F283*in_hlth_family_ticket*in_hlth_family_renew_comm*in_ins_partner_share*(in_hlth_family_renew^1*SUMIFS(AI236:AI291,B236:B291,B283-12)+in_hlth_family_renew^2*SUMIFS(AI236:AI291,B236:B291,B283-24)+in_hlth_family_renew^3*SUMIFS(AI236:AI291,B236:B291,B283-36)+in_hlth_family_renew^4*SUMIFS(AI236:AI291,B236:B291,B283-48))</f>
        <v/>
      </c>
      <c r="AK283" s="40">
        <f>AK282*(1-IF(B282&gt;=in_marketplace_from,d_hz_life_term*G282,0))</f>
        <v/>
      </c>
      <c r="AL283" s="46">
        <f>AK283*IF(B283&gt;=in_marketplace_from,d_hz_life_term*G283,0)</f>
        <v/>
      </c>
      <c r="AM283" s="14">
        <f>F283*AL283*in_life_term_ticket*in_life_term_comm*in_ins_partner_share+F283*in_life_term_ticket*in_life_term_renew_comm*in_ins_partner_share*(in_life_term_renew^1*SUMIFS(AL236:AL291,B236:B291,B283-12)+in_life_term_renew^2*SUMIFS(AL236:AL291,B236:B291,B283-24)+in_life_term_renew^3*SUMIFS(AL236:AL291,B236:B291,B283-36)+in_life_term_renew^4*SUMIFS(AL236:AL291,B236:B291,B283-48))</f>
        <v/>
      </c>
      <c r="AN283" s="40">
        <f>AN282*(1-IF(B282&gt;=in_marketplace_from,d_hz_accident*G282,0))</f>
        <v/>
      </c>
      <c r="AO283" s="46">
        <f>AN283*IF(B283&gt;=in_marketplace_from,d_hz_accident*G283,0)</f>
        <v/>
      </c>
      <c r="AP283" s="14">
        <f>F283*AO283*in_accident_ticket*in_accident_comm*in_ins_partner_share+F283*in_accident_ticket*in_accident_renew_comm*in_ins_partner_share*(in_accident_renew^1*SUMIFS(AO236:AO291,B236:B291,B283-12)+in_accident_renew^2*SUMIFS(AO236:AO291,B236:B291,B283-24)+in_accident_renew^3*SUMIFS(AO236:AO291,B236:B291,B283-36)+in_accident_renew^4*SUMIFS(AO236:AO291,B236:B291,B283-48))</f>
        <v/>
      </c>
      <c r="AQ283" s="40">
        <f>AQ282*(1-IF(B282&gt;=in_marketplace_from,d_hz_two_wheeler*G282,0))</f>
        <v/>
      </c>
      <c r="AR283" s="46">
        <f>AQ283*IF(B283&gt;=in_marketplace_from,d_hz_two_wheeler*G283,0)</f>
        <v/>
      </c>
      <c r="AS283" s="14">
        <f>F283*AR283*in_two_wheeler_ticket*in_two_wheeler_comm*in_ins_partner_share+F283*in_two_wheeler_ticket*in_two_wheeler_comm*in_ins_partner_share*(in_two_wheeler_renew^1*SUMIFS(AR236:AR291,B236:B291,B283-12)+in_two_wheeler_renew^2*SUMIFS(AR236:AR291,B236:B291,B283-24)+in_two_wheeler_renew^3*SUMIFS(AR236:AR291,B236:B291,B283-36)+in_two_wheeler_renew^4*SUMIFS(AR236:AR291,B236:B291,B283-48))</f>
        <v/>
      </c>
      <c r="AT283" s="40">
        <f>AT282*(1-IF(B282&gt;=in_marketplace_from,d_hz_device*G282,0))</f>
        <v/>
      </c>
      <c r="AU283" s="14">
        <f>F283*AT283*IF(B283&gt;=in_marketplace_from,d_hz_device*G283,0)*in_device_ticket*in_device_comm*in_ins_partner_share</f>
        <v/>
      </c>
      <c r="AV283" s="40">
        <f>AV282*(1-IF(B282&gt;=in_marketplace_from,d_hz_shop*G282,0))</f>
        <v/>
      </c>
      <c r="AW283" s="46">
        <f>AV283*IF(B283&gt;=in_marketplace_from,d_hz_shop*G283,0)</f>
        <v/>
      </c>
      <c r="AX283" s="14">
        <f>F283*AW283*in_shop_ticket*in_shop_comm*in_ins_partner_share+F283*in_shop_ticket*in_shop_renew_comm*in_ins_partner_share*(in_shop_renew^1*SUMIFS(AW236:AW291,B236:B291,B283-12)+in_shop_renew^2*SUMIFS(AW236:AW291,B236:B291,B283-24)+in_shop_renew^3*SUMIFS(AW236:AW291,B236:B291,B283-36)+in_shop_renew^4*SUMIFS(AW236:AW291,B236:B291,B283-48))</f>
        <v/>
      </c>
      <c r="AY283" s="40">
        <f>AY282*(1-IF(B282&gt;=in_marketplace_from,d_hz_sip*G282,0))</f>
        <v/>
      </c>
      <c r="AZ283" s="40">
        <f>AZ282*d_rho_sip+AY283*IF(B283&gt;=in_marketplace_from,d_hz_sip*G283,0)</f>
        <v/>
      </c>
      <c r="BA283" s="40">
        <f>d_rho_sip*(BA282+AZ282)</f>
        <v/>
      </c>
      <c r="BB283" s="14">
        <f>F283*in_sip_ticket*(BA283+0.5*AZ283)*in_sip_comm/12</f>
        <v/>
      </c>
      <c r="BC283" s="40">
        <f>BC282*(1-IF(B282&gt;=in_marketplace_from,d_hz_choti*G282,0))</f>
        <v/>
      </c>
      <c r="BD283" s="46">
        <f>BC283*IF(B283&gt;=in_marketplace_from,d_hz_choti*G283,0)</f>
        <v/>
      </c>
      <c r="BE283" s="14">
        <f>F283*SUMIFS(BD236:BD291,B236:B291,B283-in_choti_months)*in_choti_renew*in_choti_ticket</f>
        <v/>
      </c>
      <c r="BF283" s="40">
        <f>BF282*(1-IF(B282&gt;=in_marketplace_from,d_hz_nps*G282,0))</f>
        <v/>
      </c>
      <c r="BG283" s="14">
        <f>F283*BF283*IF(B283&gt;=in_marketplace_from,d_hz_nps*G283,0)*in_nps_ticket*in_nps_comm</f>
        <v/>
      </c>
      <c r="BH283" s="40">
        <f>BH282*(1-IF(B282&gt;=in_marketplace_from,d_hz_gold*G282,0))</f>
        <v/>
      </c>
      <c r="BI283" s="40">
        <f>BI282*d_rho_gold+BH283*IF(B283&gt;=in_marketplace_from,d_hz_gold*G283,0)</f>
        <v/>
      </c>
      <c r="BJ283" s="14">
        <f>F283*BI283*in_gold_ticket*in_gold_comm</f>
        <v/>
      </c>
      <c r="BK283" s="40">
        <f>BK282*(1-IF(B282&gt;=in_marketplace_from,d_hz_fd*G282,0))</f>
        <v/>
      </c>
      <c r="BL283" s="14">
        <f>F283*BK283*IF(B283&gt;=in_marketplace_from,d_hz_fd*G283,0)*in_fd_ticket*in_fd_comm</f>
        <v/>
      </c>
      <c r="BM283" s="40">
        <f>BM282*(1-IF(B282&gt;=in_marketplace_from,d_hz_recharge*G282,0))</f>
        <v/>
      </c>
      <c r="BN283" s="40">
        <f>BN282*d_rho_recharge+BM283*IF(B283&gt;=in_marketplace_from,d_hz_recharge*G283,0)</f>
        <v/>
      </c>
      <c r="BO283" s="14">
        <f>F283*BN283*in_recharge_ticket*in_recharge_comm/12</f>
        <v/>
      </c>
      <c r="BP283" s="40">
        <f>BP282*(1-IF(B282&gt;=in_marketplace_from,d_hz_bills*G282,0))</f>
        <v/>
      </c>
      <c r="BQ283" s="40">
        <f>BQ282*d_rho_bills+BP283*IF(B283&gt;=in_marketplace_from,d_hz_bills*G283,0)</f>
        <v/>
      </c>
      <c r="BR283" s="14">
        <f>F283*BQ283*in_bills_ticket*in_bills_comm/12</f>
        <v/>
      </c>
      <c r="BS283" s="40">
        <f>BS282*(1-IF(B282&gt;=in_marketplace_from,d_hz_loan_gold*G282,0))</f>
        <v/>
      </c>
      <c r="BT283" s="14">
        <f>F283*BS283*IF(B283&gt;=in_marketplace_from,d_hz_loan_gold*G283,0)*in_loan_gold_ticket*in_loan_gold_comm</f>
        <v/>
      </c>
      <c r="BU283" s="40">
        <f>BU282*(1-IF(B282&gt;=in_marketplace_from,d_hz_loan_cd*G282,0))</f>
        <v/>
      </c>
      <c r="BV283" s="14">
        <f>F283*BU283*IF(B283&gt;=in_marketplace_from,d_hz_loan_cd*G283,0)*in_loan_cd_ticket*in_loan_cd_comm</f>
        <v/>
      </c>
      <c r="BW283" s="40">
        <f>BW282*(1-IF(B282&gt;=in_marketplace_from,d_hz_loan_vehicle*G282,0))</f>
        <v/>
      </c>
      <c r="BX283" s="14">
        <f>F283*BW283*IF(B283&gt;=in_marketplace_from,d_hz_loan_vehicle*G283,0)*in_loan_vehicle_ticket*in_loan_vehicle_comm</f>
        <v/>
      </c>
      <c r="BY283" s="40">
        <f>BY282*(1-IF(B282&gt;=in_marketplace_from,d_hz_loan_home*G282,0)*BZ282)</f>
        <v/>
      </c>
      <c r="BZ283" s="11">
        <f>MIN(in_approval_cap,in_loan_home_approval*INDEX('Age profile'!$O$2:$O$61,B283)*(1+in_approval_growth)^(D283-1))</f>
        <v/>
      </c>
      <c r="CA283" s="14">
        <f>F283*BY283*IF(B283&gt;=in_marketplace_from,d_hz_loan_home*G283,0)*BZ283*in_loan_home_ticket*in_loan_home_comm</f>
        <v/>
      </c>
      <c r="CB283" s="40">
        <f>CB282*(1-IF(B282&gt;=in_marketplace_from,d_hz_loan_lap*G282,0)*CC282)</f>
        <v/>
      </c>
      <c r="CC283" s="11">
        <f>MIN(in_approval_cap,in_loan_lap_approval*INDEX('Age profile'!$O$2:$O$61,B283)*(1+in_approval_growth)^(D283-1))</f>
        <v/>
      </c>
      <c r="CD283" s="14">
        <f>F283*CB283*IF(B283&gt;=in_marketplace_from,d_hz_loan_lap*G283,0)*CC283*in_loan_lap_ticket*in_loan_lap_comm</f>
        <v/>
      </c>
      <c r="CE283" s="14">
        <f>AA283+AB283+AC283+AD283+AG283+AJ283+AM283+AP283+AS283+AU283+AX283+BB283+BE283+BG283+BJ283+BL283+BO283+BR283+BT283+BV283+BX283+CA283+CD283</f>
        <v/>
      </c>
    </row>
    <row r="284">
      <c r="A284" s="39" t="n">
        <v>5</v>
      </c>
      <c r="B284" s="39" t="n">
        <v>49</v>
      </c>
      <c r="C284" s="39">
        <f>A284+B284-1</f>
        <v/>
      </c>
      <c r="D284" s="39">
        <f>INT((C284-1)/12)+1</f>
        <v/>
      </c>
      <c r="E284" s="44">
        <f>INDEX(Monthly!$B$2:$B$61,A284)</f>
        <v/>
      </c>
      <c r="F284" s="44">
        <f>E284*INDEX('Age profile'!$B$2:$B$61,B284)</f>
        <v/>
      </c>
      <c r="G284" s="45">
        <f>MIN(in_takeup_cap,INDEX('Age profile'!$N$2:$N$61,B284)*(1+in_takeup_growth)^(D284-1))</f>
        <v/>
      </c>
      <c r="H284" s="11">
        <f>MIN(in_approval_cap,in_approved_first*INDEX('Age profile'!$O$2:$O$61,B284)*(1+in_approval_growth)^(D284-1))</f>
        <v/>
      </c>
      <c r="I284" s="45">
        <f>G284*MIN(in_takeup_cap,INDEX('Age profile'!$O$2:$O$61,B284)*(1+in_approval_growth)^(D284-1))</f>
        <v/>
      </c>
      <c r="J284" s="40">
        <f>(J283-L283)*F284/F283</f>
        <v/>
      </c>
      <c r="K284" s="40">
        <f>(K283-M283)*F284/F283+SUMIFS(O236:O283,B236:B283,B284-1-d_T)*F284</f>
        <v/>
      </c>
      <c r="L284" s="40">
        <f>IF(B284&gt;=in_marketplace_from,J284*d_hz*G284*in_eligible*H284,0)</f>
        <v/>
      </c>
      <c r="M284" s="40">
        <f>IF(B284&gt;=in_marketplace_from,K284*d_hz*G284*in_eligible*in_approved_repeat,0)</f>
        <v/>
      </c>
      <c r="N284" s="40">
        <f>L284+M284</f>
        <v/>
      </c>
      <c r="O284" s="46">
        <f>N284/F284</f>
        <v/>
      </c>
      <c r="P284" s="40">
        <f>F284-J284-K284</f>
        <v/>
      </c>
      <c r="Q284" s="40">
        <f>IF(B284&gt;=in_marketplace_from,(J284+K284)*d_hz*G284,0)</f>
        <v/>
      </c>
      <c r="R284" s="40">
        <f>SUMIFS(N236:N291,B236:B291,"&gt;="&amp;(B284-d_T),B236:B291,"&lt;="&amp;(B284-1))</f>
        <v/>
      </c>
      <c r="S284" s="46">
        <f>(1-d_u)*S283+IF(d_T&gt;in_topup_lag,SUMIFS(O236:O291,B236:B291,B284-in_topup_lag)-d_udrop*SUMIFS(O236:O291,B236:B291,B284-d_T),0)</f>
        <v/>
      </c>
      <c r="T284" s="40">
        <f>F284*d_u*S284</f>
        <v/>
      </c>
      <c r="U284" s="9">
        <f>L284*in_ticket+M284*d_rep_ticket</f>
        <v/>
      </c>
      <c r="V284" s="9">
        <f>U284+T284*d_topup_amt</f>
        <v/>
      </c>
      <c r="W284" s="40">
        <f>N284+T284*d_topup_ratio</f>
        <v/>
      </c>
      <c r="X284" s="40">
        <f>SUMIFS(W236:W291,B236:B291,B284-in_dpd_lag)*d_cured</f>
        <v/>
      </c>
      <c r="Y284" s="40">
        <f>SUMIFS(W236:W291,B236:B291,B284-in_rec_lag)*d_recd</f>
        <v/>
      </c>
      <c r="Z284" s="40">
        <f>IF(AND(B284&gt;=in_marketplace_from,B284&lt;in_marketplace_from+in_card_months),in_card_share/in_card_months*F284*I284,IF(AND(B284&gt;=in_marketplace_from+in_card_months,B284&lt;in_marketplace_from+2*in_card_months),in_card_share*d_card_rem/in_card_months*F284*MIN(in_takeup_cap,(1+in_takeup_growth)^(D284-1))*MIN(in_takeup_cap,(1+in_approval_growth)^(D284-1)),0))</f>
        <v/>
      </c>
      <c r="AA284" s="14">
        <f>V284*in_fee*(1-in_taken_back)</f>
        <v/>
      </c>
      <c r="AB284" s="14">
        <f>SUMIFS(W236:W291,B236:B291,B284-in_dpd_lag)*d_dpd</f>
        <v/>
      </c>
      <c r="AC284" s="14">
        <f>SUMIFS(W236:W291,B236:B291,B284-in_rec_lag)*d_rec</f>
        <v/>
      </c>
      <c r="AD284" s="14">
        <f>Z284*in_card_fee</f>
        <v/>
      </c>
      <c r="AE284" s="40">
        <f>AE283*(1-IF(B283&gt;=in_marketplace_from,d_hz_hlth_small*G283,0))</f>
        <v/>
      </c>
      <c r="AF284" s="46">
        <f>AE284*IF(B284&gt;=in_marketplace_from,d_hz_hlth_small*G284,0)</f>
        <v/>
      </c>
      <c r="AG284" s="14">
        <f>F284*AF284*in_hlth_small_ticket*in_hlth_small_comm*in_ins_partner_share+F284*in_hlth_small_ticket*in_hlth_small_renew_comm*in_ins_partner_share*(in_hlth_small_renew^1*SUMIFS(AF236:AF291,B236:B291,B284-12)+in_hlth_small_renew^2*SUMIFS(AF236:AF291,B236:B291,B284-24)+in_hlth_small_renew^3*SUMIFS(AF236:AF291,B236:B291,B284-36)+in_hlth_small_renew^4*SUMIFS(AF236:AF291,B236:B291,B284-48))</f>
        <v/>
      </c>
      <c r="AH284" s="40">
        <f>AH283*(1-IF(B283&gt;=in_marketplace_from,d_hz_hlth_family*G283,0))</f>
        <v/>
      </c>
      <c r="AI284" s="46">
        <f>AH284*IF(B284&gt;=in_marketplace_from,d_hz_hlth_family*G284,0)</f>
        <v/>
      </c>
      <c r="AJ284" s="14">
        <f>F284*AI284*in_hlth_family_ticket*in_hlth_family_comm*in_ins_partner_share+F284*in_hlth_family_ticket*in_hlth_family_renew_comm*in_ins_partner_share*(in_hlth_family_renew^1*SUMIFS(AI236:AI291,B236:B291,B284-12)+in_hlth_family_renew^2*SUMIFS(AI236:AI291,B236:B291,B284-24)+in_hlth_family_renew^3*SUMIFS(AI236:AI291,B236:B291,B284-36)+in_hlth_family_renew^4*SUMIFS(AI236:AI291,B236:B291,B284-48))</f>
        <v/>
      </c>
      <c r="AK284" s="40">
        <f>AK283*(1-IF(B283&gt;=in_marketplace_from,d_hz_life_term*G283,0))</f>
        <v/>
      </c>
      <c r="AL284" s="46">
        <f>AK284*IF(B284&gt;=in_marketplace_from,d_hz_life_term*G284,0)</f>
        <v/>
      </c>
      <c r="AM284" s="14">
        <f>F284*AL284*in_life_term_ticket*in_life_term_comm*in_ins_partner_share+F284*in_life_term_ticket*in_life_term_renew_comm*in_ins_partner_share*(in_life_term_renew^1*SUMIFS(AL236:AL291,B236:B291,B284-12)+in_life_term_renew^2*SUMIFS(AL236:AL291,B236:B291,B284-24)+in_life_term_renew^3*SUMIFS(AL236:AL291,B236:B291,B284-36)+in_life_term_renew^4*SUMIFS(AL236:AL291,B236:B291,B284-48))</f>
        <v/>
      </c>
      <c r="AN284" s="40">
        <f>AN283*(1-IF(B283&gt;=in_marketplace_from,d_hz_accident*G283,0))</f>
        <v/>
      </c>
      <c r="AO284" s="46">
        <f>AN284*IF(B284&gt;=in_marketplace_from,d_hz_accident*G284,0)</f>
        <v/>
      </c>
      <c r="AP284" s="14">
        <f>F284*AO284*in_accident_ticket*in_accident_comm*in_ins_partner_share+F284*in_accident_ticket*in_accident_renew_comm*in_ins_partner_share*(in_accident_renew^1*SUMIFS(AO236:AO291,B236:B291,B284-12)+in_accident_renew^2*SUMIFS(AO236:AO291,B236:B291,B284-24)+in_accident_renew^3*SUMIFS(AO236:AO291,B236:B291,B284-36)+in_accident_renew^4*SUMIFS(AO236:AO291,B236:B291,B284-48))</f>
        <v/>
      </c>
      <c r="AQ284" s="40">
        <f>AQ283*(1-IF(B283&gt;=in_marketplace_from,d_hz_two_wheeler*G283,0))</f>
        <v/>
      </c>
      <c r="AR284" s="46">
        <f>AQ284*IF(B284&gt;=in_marketplace_from,d_hz_two_wheeler*G284,0)</f>
        <v/>
      </c>
      <c r="AS284" s="14">
        <f>F284*AR284*in_two_wheeler_ticket*in_two_wheeler_comm*in_ins_partner_share+F284*in_two_wheeler_ticket*in_two_wheeler_comm*in_ins_partner_share*(in_two_wheeler_renew^1*SUMIFS(AR236:AR291,B236:B291,B284-12)+in_two_wheeler_renew^2*SUMIFS(AR236:AR291,B236:B291,B284-24)+in_two_wheeler_renew^3*SUMIFS(AR236:AR291,B236:B291,B284-36)+in_two_wheeler_renew^4*SUMIFS(AR236:AR291,B236:B291,B284-48))</f>
        <v/>
      </c>
      <c r="AT284" s="40">
        <f>AT283*(1-IF(B283&gt;=in_marketplace_from,d_hz_device*G283,0))</f>
        <v/>
      </c>
      <c r="AU284" s="14">
        <f>F284*AT284*IF(B284&gt;=in_marketplace_from,d_hz_device*G284,0)*in_device_ticket*in_device_comm*in_ins_partner_share</f>
        <v/>
      </c>
      <c r="AV284" s="40">
        <f>AV283*(1-IF(B283&gt;=in_marketplace_from,d_hz_shop*G283,0))</f>
        <v/>
      </c>
      <c r="AW284" s="46">
        <f>AV284*IF(B284&gt;=in_marketplace_from,d_hz_shop*G284,0)</f>
        <v/>
      </c>
      <c r="AX284" s="14">
        <f>F284*AW284*in_shop_ticket*in_shop_comm*in_ins_partner_share+F284*in_shop_ticket*in_shop_renew_comm*in_ins_partner_share*(in_shop_renew^1*SUMIFS(AW236:AW291,B236:B291,B284-12)+in_shop_renew^2*SUMIFS(AW236:AW291,B236:B291,B284-24)+in_shop_renew^3*SUMIFS(AW236:AW291,B236:B291,B284-36)+in_shop_renew^4*SUMIFS(AW236:AW291,B236:B291,B284-48))</f>
        <v/>
      </c>
      <c r="AY284" s="40">
        <f>AY283*(1-IF(B283&gt;=in_marketplace_from,d_hz_sip*G283,0))</f>
        <v/>
      </c>
      <c r="AZ284" s="40">
        <f>AZ283*d_rho_sip+AY284*IF(B284&gt;=in_marketplace_from,d_hz_sip*G284,0)</f>
        <v/>
      </c>
      <c r="BA284" s="40">
        <f>d_rho_sip*(BA283+AZ283)</f>
        <v/>
      </c>
      <c r="BB284" s="14">
        <f>F284*in_sip_ticket*(BA284+0.5*AZ284)*in_sip_comm/12</f>
        <v/>
      </c>
      <c r="BC284" s="40">
        <f>BC283*(1-IF(B283&gt;=in_marketplace_from,d_hz_choti*G283,0))</f>
        <v/>
      </c>
      <c r="BD284" s="46">
        <f>BC284*IF(B284&gt;=in_marketplace_from,d_hz_choti*G284,0)</f>
        <v/>
      </c>
      <c r="BE284" s="14">
        <f>F284*SUMIFS(BD236:BD291,B236:B291,B284-in_choti_months)*in_choti_renew*in_choti_ticket</f>
        <v/>
      </c>
      <c r="BF284" s="40">
        <f>BF283*(1-IF(B283&gt;=in_marketplace_from,d_hz_nps*G283,0))</f>
        <v/>
      </c>
      <c r="BG284" s="14">
        <f>F284*BF284*IF(B284&gt;=in_marketplace_from,d_hz_nps*G284,0)*in_nps_ticket*in_nps_comm</f>
        <v/>
      </c>
      <c r="BH284" s="40">
        <f>BH283*(1-IF(B283&gt;=in_marketplace_from,d_hz_gold*G283,0))</f>
        <v/>
      </c>
      <c r="BI284" s="40">
        <f>BI283*d_rho_gold+BH284*IF(B284&gt;=in_marketplace_from,d_hz_gold*G284,0)</f>
        <v/>
      </c>
      <c r="BJ284" s="14">
        <f>F284*BI284*in_gold_ticket*in_gold_comm</f>
        <v/>
      </c>
      <c r="BK284" s="40">
        <f>BK283*(1-IF(B283&gt;=in_marketplace_from,d_hz_fd*G283,0))</f>
        <v/>
      </c>
      <c r="BL284" s="14">
        <f>F284*BK284*IF(B284&gt;=in_marketplace_from,d_hz_fd*G284,0)*in_fd_ticket*in_fd_comm</f>
        <v/>
      </c>
      <c r="BM284" s="40">
        <f>BM283*(1-IF(B283&gt;=in_marketplace_from,d_hz_recharge*G283,0))</f>
        <v/>
      </c>
      <c r="BN284" s="40">
        <f>BN283*d_rho_recharge+BM284*IF(B284&gt;=in_marketplace_from,d_hz_recharge*G284,0)</f>
        <v/>
      </c>
      <c r="BO284" s="14">
        <f>F284*BN284*in_recharge_ticket*in_recharge_comm/12</f>
        <v/>
      </c>
      <c r="BP284" s="40">
        <f>BP283*(1-IF(B283&gt;=in_marketplace_from,d_hz_bills*G283,0))</f>
        <v/>
      </c>
      <c r="BQ284" s="40">
        <f>BQ283*d_rho_bills+BP284*IF(B284&gt;=in_marketplace_from,d_hz_bills*G284,0)</f>
        <v/>
      </c>
      <c r="BR284" s="14">
        <f>F284*BQ284*in_bills_ticket*in_bills_comm/12</f>
        <v/>
      </c>
      <c r="BS284" s="40">
        <f>BS283*(1-IF(B283&gt;=in_marketplace_from,d_hz_loan_gold*G283,0))</f>
        <v/>
      </c>
      <c r="BT284" s="14">
        <f>F284*BS284*IF(B284&gt;=in_marketplace_from,d_hz_loan_gold*G284,0)*in_loan_gold_ticket*in_loan_gold_comm</f>
        <v/>
      </c>
      <c r="BU284" s="40">
        <f>BU283*(1-IF(B283&gt;=in_marketplace_from,d_hz_loan_cd*G283,0))</f>
        <v/>
      </c>
      <c r="BV284" s="14">
        <f>F284*BU284*IF(B284&gt;=in_marketplace_from,d_hz_loan_cd*G284,0)*in_loan_cd_ticket*in_loan_cd_comm</f>
        <v/>
      </c>
      <c r="BW284" s="40">
        <f>BW283*(1-IF(B283&gt;=in_marketplace_from,d_hz_loan_vehicle*G283,0))</f>
        <v/>
      </c>
      <c r="BX284" s="14">
        <f>F284*BW284*IF(B284&gt;=in_marketplace_from,d_hz_loan_vehicle*G284,0)*in_loan_vehicle_ticket*in_loan_vehicle_comm</f>
        <v/>
      </c>
      <c r="BY284" s="40">
        <f>BY283*(1-IF(B283&gt;=in_marketplace_from,d_hz_loan_home*G283,0)*BZ283)</f>
        <v/>
      </c>
      <c r="BZ284" s="11">
        <f>MIN(in_approval_cap,in_loan_home_approval*INDEX('Age profile'!$O$2:$O$61,B284)*(1+in_approval_growth)^(D284-1))</f>
        <v/>
      </c>
      <c r="CA284" s="14">
        <f>F284*BY284*IF(B284&gt;=in_marketplace_from,d_hz_loan_home*G284,0)*BZ284*in_loan_home_ticket*in_loan_home_comm</f>
        <v/>
      </c>
      <c r="CB284" s="40">
        <f>CB283*(1-IF(B283&gt;=in_marketplace_from,d_hz_loan_lap*G283,0)*CC283)</f>
        <v/>
      </c>
      <c r="CC284" s="11">
        <f>MIN(in_approval_cap,in_loan_lap_approval*INDEX('Age profile'!$O$2:$O$61,B284)*(1+in_approval_growth)^(D284-1))</f>
        <v/>
      </c>
      <c r="CD284" s="14">
        <f>F284*CB284*IF(B284&gt;=in_marketplace_from,d_hz_loan_lap*G284,0)*CC284*in_loan_lap_ticket*in_loan_lap_comm</f>
        <v/>
      </c>
      <c r="CE284" s="14">
        <f>AA284+AB284+AC284+AD284+AG284+AJ284+AM284+AP284+AS284+AU284+AX284+BB284+BE284+BG284+BJ284+BL284+BO284+BR284+BT284+BV284+BX284+CA284+CD284</f>
        <v/>
      </c>
    </row>
    <row r="285">
      <c r="A285" s="39" t="n">
        <v>5</v>
      </c>
      <c r="B285" s="39" t="n">
        <v>50</v>
      </c>
      <c r="C285" s="39">
        <f>A285+B285-1</f>
        <v/>
      </c>
      <c r="D285" s="39">
        <f>INT((C285-1)/12)+1</f>
        <v/>
      </c>
      <c r="E285" s="44">
        <f>INDEX(Monthly!$B$2:$B$61,A285)</f>
        <v/>
      </c>
      <c r="F285" s="44">
        <f>E285*INDEX('Age profile'!$B$2:$B$61,B285)</f>
        <v/>
      </c>
      <c r="G285" s="45">
        <f>MIN(in_takeup_cap,INDEX('Age profile'!$N$2:$N$61,B285)*(1+in_takeup_growth)^(D285-1))</f>
        <v/>
      </c>
      <c r="H285" s="11">
        <f>MIN(in_approval_cap,in_approved_first*INDEX('Age profile'!$O$2:$O$61,B285)*(1+in_approval_growth)^(D285-1))</f>
        <v/>
      </c>
      <c r="I285" s="45">
        <f>G285*MIN(in_takeup_cap,INDEX('Age profile'!$O$2:$O$61,B285)*(1+in_approval_growth)^(D285-1))</f>
        <v/>
      </c>
      <c r="J285" s="40">
        <f>(J284-L284)*F285/F284</f>
        <v/>
      </c>
      <c r="K285" s="40">
        <f>(K284-M284)*F285/F284+SUMIFS(O236:O284,B236:B284,B285-1-d_T)*F285</f>
        <v/>
      </c>
      <c r="L285" s="40">
        <f>IF(B285&gt;=in_marketplace_from,J285*d_hz*G285*in_eligible*H285,0)</f>
        <v/>
      </c>
      <c r="M285" s="40">
        <f>IF(B285&gt;=in_marketplace_from,K285*d_hz*G285*in_eligible*in_approved_repeat,0)</f>
        <v/>
      </c>
      <c r="N285" s="40">
        <f>L285+M285</f>
        <v/>
      </c>
      <c r="O285" s="46">
        <f>N285/F285</f>
        <v/>
      </c>
      <c r="P285" s="40">
        <f>F285-J285-K285</f>
        <v/>
      </c>
      <c r="Q285" s="40">
        <f>IF(B285&gt;=in_marketplace_from,(J285+K285)*d_hz*G285,0)</f>
        <v/>
      </c>
      <c r="R285" s="40">
        <f>SUMIFS(N236:N291,B236:B291,"&gt;="&amp;(B285-d_T),B236:B291,"&lt;="&amp;(B285-1))</f>
        <v/>
      </c>
      <c r="S285" s="46">
        <f>(1-d_u)*S284+IF(d_T&gt;in_topup_lag,SUMIFS(O236:O291,B236:B291,B285-in_topup_lag)-d_udrop*SUMIFS(O236:O291,B236:B291,B285-d_T),0)</f>
        <v/>
      </c>
      <c r="T285" s="40">
        <f>F285*d_u*S285</f>
        <v/>
      </c>
      <c r="U285" s="9">
        <f>L285*in_ticket+M285*d_rep_ticket</f>
        <v/>
      </c>
      <c r="V285" s="9">
        <f>U285+T285*d_topup_amt</f>
        <v/>
      </c>
      <c r="W285" s="40">
        <f>N285+T285*d_topup_ratio</f>
        <v/>
      </c>
      <c r="X285" s="40">
        <f>SUMIFS(W236:W291,B236:B291,B285-in_dpd_lag)*d_cured</f>
        <v/>
      </c>
      <c r="Y285" s="40">
        <f>SUMIFS(W236:W291,B236:B291,B285-in_rec_lag)*d_recd</f>
        <v/>
      </c>
      <c r="Z285" s="40">
        <f>IF(AND(B285&gt;=in_marketplace_from,B285&lt;in_marketplace_from+in_card_months),in_card_share/in_card_months*F285*I285,IF(AND(B285&gt;=in_marketplace_from+in_card_months,B285&lt;in_marketplace_from+2*in_card_months),in_card_share*d_card_rem/in_card_months*F285*MIN(in_takeup_cap,(1+in_takeup_growth)^(D285-1))*MIN(in_takeup_cap,(1+in_approval_growth)^(D285-1)),0))</f>
        <v/>
      </c>
      <c r="AA285" s="14">
        <f>V285*in_fee*(1-in_taken_back)</f>
        <v/>
      </c>
      <c r="AB285" s="14">
        <f>SUMIFS(W236:W291,B236:B291,B285-in_dpd_lag)*d_dpd</f>
        <v/>
      </c>
      <c r="AC285" s="14">
        <f>SUMIFS(W236:W291,B236:B291,B285-in_rec_lag)*d_rec</f>
        <v/>
      </c>
      <c r="AD285" s="14">
        <f>Z285*in_card_fee</f>
        <v/>
      </c>
      <c r="AE285" s="40">
        <f>AE284*(1-IF(B284&gt;=in_marketplace_from,d_hz_hlth_small*G284,0))</f>
        <v/>
      </c>
      <c r="AF285" s="46">
        <f>AE285*IF(B285&gt;=in_marketplace_from,d_hz_hlth_small*G285,0)</f>
        <v/>
      </c>
      <c r="AG285" s="14">
        <f>F285*AF285*in_hlth_small_ticket*in_hlth_small_comm*in_ins_partner_share+F285*in_hlth_small_ticket*in_hlth_small_renew_comm*in_ins_partner_share*(in_hlth_small_renew^1*SUMIFS(AF236:AF291,B236:B291,B285-12)+in_hlth_small_renew^2*SUMIFS(AF236:AF291,B236:B291,B285-24)+in_hlth_small_renew^3*SUMIFS(AF236:AF291,B236:B291,B285-36)+in_hlth_small_renew^4*SUMIFS(AF236:AF291,B236:B291,B285-48))</f>
        <v/>
      </c>
      <c r="AH285" s="40">
        <f>AH284*(1-IF(B284&gt;=in_marketplace_from,d_hz_hlth_family*G284,0))</f>
        <v/>
      </c>
      <c r="AI285" s="46">
        <f>AH285*IF(B285&gt;=in_marketplace_from,d_hz_hlth_family*G285,0)</f>
        <v/>
      </c>
      <c r="AJ285" s="14">
        <f>F285*AI285*in_hlth_family_ticket*in_hlth_family_comm*in_ins_partner_share+F285*in_hlth_family_ticket*in_hlth_family_renew_comm*in_ins_partner_share*(in_hlth_family_renew^1*SUMIFS(AI236:AI291,B236:B291,B285-12)+in_hlth_family_renew^2*SUMIFS(AI236:AI291,B236:B291,B285-24)+in_hlth_family_renew^3*SUMIFS(AI236:AI291,B236:B291,B285-36)+in_hlth_family_renew^4*SUMIFS(AI236:AI291,B236:B291,B285-48))</f>
        <v/>
      </c>
      <c r="AK285" s="40">
        <f>AK284*(1-IF(B284&gt;=in_marketplace_from,d_hz_life_term*G284,0))</f>
        <v/>
      </c>
      <c r="AL285" s="46">
        <f>AK285*IF(B285&gt;=in_marketplace_from,d_hz_life_term*G285,0)</f>
        <v/>
      </c>
      <c r="AM285" s="14">
        <f>F285*AL285*in_life_term_ticket*in_life_term_comm*in_ins_partner_share+F285*in_life_term_ticket*in_life_term_renew_comm*in_ins_partner_share*(in_life_term_renew^1*SUMIFS(AL236:AL291,B236:B291,B285-12)+in_life_term_renew^2*SUMIFS(AL236:AL291,B236:B291,B285-24)+in_life_term_renew^3*SUMIFS(AL236:AL291,B236:B291,B285-36)+in_life_term_renew^4*SUMIFS(AL236:AL291,B236:B291,B285-48))</f>
        <v/>
      </c>
      <c r="AN285" s="40">
        <f>AN284*(1-IF(B284&gt;=in_marketplace_from,d_hz_accident*G284,0))</f>
        <v/>
      </c>
      <c r="AO285" s="46">
        <f>AN285*IF(B285&gt;=in_marketplace_from,d_hz_accident*G285,0)</f>
        <v/>
      </c>
      <c r="AP285" s="14">
        <f>F285*AO285*in_accident_ticket*in_accident_comm*in_ins_partner_share+F285*in_accident_ticket*in_accident_renew_comm*in_ins_partner_share*(in_accident_renew^1*SUMIFS(AO236:AO291,B236:B291,B285-12)+in_accident_renew^2*SUMIFS(AO236:AO291,B236:B291,B285-24)+in_accident_renew^3*SUMIFS(AO236:AO291,B236:B291,B285-36)+in_accident_renew^4*SUMIFS(AO236:AO291,B236:B291,B285-48))</f>
        <v/>
      </c>
      <c r="AQ285" s="40">
        <f>AQ284*(1-IF(B284&gt;=in_marketplace_from,d_hz_two_wheeler*G284,0))</f>
        <v/>
      </c>
      <c r="AR285" s="46">
        <f>AQ285*IF(B285&gt;=in_marketplace_from,d_hz_two_wheeler*G285,0)</f>
        <v/>
      </c>
      <c r="AS285" s="14">
        <f>F285*AR285*in_two_wheeler_ticket*in_two_wheeler_comm*in_ins_partner_share+F285*in_two_wheeler_ticket*in_two_wheeler_comm*in_ins_partner_share*(in_two_wheeler_renew^1*SUMIFS(AR236:AR291,B236:B291,B285-12)+in_two_wheeler_renew^2*SUMIFS(AR236:AR291,B236:B291,B285-24)+in_two_wheeler_renew^3*SUMIFS(AR236:AR291,B236:B291,B285-36)+in_two_wheeler_renew^4*SUMIFS(AR236:AR291,B236:B291,B285-48))</f>
        <v/>
      </c>
      <c r="AT285" s="40">
        <f>AT284*(1-IF(B284&gt;=in_marketplace_from,d_hz_device*G284,0))</f>
        <v/>
      </c>
      <c r="AU285" s="14">
        <f>F285*AT285*IF(B285&gt;=in_marketplace_from,d_hz_device*G285,0)*in_device_ticket*in_device_comm*in_ins_partner_share</f>
        <v/>
      </c>
      <c r="AV285" s="40">
        <f>AV284*(1-IF(B284&gt;=in_marketplace_from,d_hz_shop*G284,0))</f>
        <v/>
      </c>
      <c r="AW285" s="46">
        <f>AV285*IF(B285&gt;=in_marketplace_from,d_hz_shop*G285,0)</f>
        <v/>
      </c>
      <c r="AX285" s="14">
        <f>F285*AW285*in_shop_ticket*in_shop_comm*in_ins_partner_share+F285*in_shop_ticket*in_shop_renew_comm*in_ins_partner_share*(in_shop_renew^1*SUMIFS(AW236:AW291,B236:B291,B285-12)+in_shop_renew^2*SUMIFS(AW236:AW291,B236:B291,B285-24)+in_shop_renew^3*SUMIFS(AW236:AW291,B236:B291,B285-36)+in_shop_renew^4*SUMIFS(AW236:AW291,B236:B291,B285-48))</f>
        <v/>
      </c>
      <c r="AY285" s="40">
        <f>AY284*(1-IF(B284&gt;=in_marketplace_from,d_hz_sip*G284,0))</f>
        <v/>
      </c>
      <c r="AZ285" s="40">
        <f>AZ284*d_rho_sip+AY285*IF(B285&gt;=in_marketplace_from,d_hz_sip*G285,0)</f>
        <v/>
      </c>
      <c r="BA285" s="40">
        <f>d_rho_sip*(BA284+AZ284)</f>
        <v/>
      </c>
      <c r="BB285" s="14">
        <f>F285*in_sip_ticket*(BA285+0.5*AZ285)*in_sip_comm/12</f>
        <v/>
      </c>
      <c r="BC285" s="40">
        <f>BC284*(1-IF(B284&gt;=in_marketplace_from,d_hz_choti*G284,0))</f>
        <v/>
      </c>
      <c r="BD285" s="46">
        <f>BC285*IF(B285&gt;=in_marketplace_from,d_hz_choti*G285,0)</f>
        <v/>
      </c>
      <c r="BE285" s="14">
        <f>F285*SUMIFS(BD236:BD291,B236:B291,B285-in_choti_months)*in_choti_renew*in_choti_ticket</f>
        <v/>
      </c>
      <c r="BF285" s="40">
        <f>BF284*(1-IF(B284&gt;=in_marketplace_from,d_hz_nps*G284,0))</f>
        <v/>
      </c>
      <c r="BG285" s="14">
        <f>F285*BF285*IF(B285&gt;=in_marketplace_from,d_hz_nps*G285,0)*in_nps_ticket*in_nps_comm</f>
        <v/>
      </c>
      <c r="BH285" s="40">
        <f>BH284*(1-IF(B284&gt;=in_marketplace_from,d_hz_gold*G284,0))</f>
        <v/>
      </c>
      <c r="BI285" s="40">
        <f>BI284*d_rho_gold+BH285*IF(B285&gt;=in_marketplace_from,d_hz_gold*G285,0)</f>
        <v/>
      </c>
      <c r="BJ285" s="14">
        <f>F285*BI285*in_gold_ticket*in_gold_comm</f>
        <v/>
      </c>
      <c r="BK285" s="40">
        <f>BK284*(1-IF(B284&gt;=in_marketplace_from,d_hz_fd*G284,0))</f>
        <v/>
      </c>
      <c r="BL285" s="14">
        <f>F285*BK285*IF(B285&gt;=in_marketplace_from,d_hz_fd*G285,0)*in_fd_ticket*in_fd_comm</f>
        <v/>
      </c>
      <c r="BM285" s="40">
        <f>BM284*(1-IF(B284&gt;=in_marketplace_from,d_hz_recharge*G284,0))</f>
        <v/>
      </c>
      <c r="BN285" s="40">
        <f>BN284*d_rho_recharge+BM285*IF(B285&gt;=in_marketplace_from,d_hz_recharge*G285,0)</f>
        <v/>
      </c>
      <c r="BO285" s="14">
        <f>F285*BN285*in_recharge_ticket*in_recharge_comm/12</f>
        <v/>
      </c>
      <c r="BP285" s="40">
        <f>BP284*(1-IF(B284&gt;=in_marketplace_from,d_hz_bills*G284,0))</f>
        <v/>
      </c>
      <c r="BQ285" s="40">
        <f>BQ284*d_rho_bills+BP285*IF(B285&gt;=in_marketplace_from,d_hz_bills*G285,0)</f>
        <v/>
      </c>
      <c r="BR285" s="14">
        <f>F285*BQ285*in_bills_ticket*in_bills_comm/12</f>
        <v/>
      </c>
      <c r="BS285" s="40">
        <f>BS284*(1-IF(B284&gt;=in_marketplace_from,d_hz_loan_gold*G284,0))</f>
        <v/>
      </c>
      <c r="BT285" s="14">
        <f>F285*BS285*IF(B285&gt;=in_marketplace_from,d_hz_loan_gold*G285,0)*in_loan_gold_ticket*in_loan_gold_comm</f>
        <v/>
      </c>
      <c r="BU285" s="40">
        <f>BU284*(1-IF(B284&gt;=in_marketplace_from,d_hz_loan_cd*G284,0))</f>
        <v/>
      </c>
      <c r="BV285" s="14">
        <f>F285*BU285*IF(B285&gt;=in_marketplace_from,d_hz_loan_cd*G285,0)*in_loan_cd_ticket*in_loan_cd_comm</f>
        <v/>
      </c>
      <c r="BW285" s="40">
        <f>BW284*(1-IF(B284&gt;=in_marketplace_from,d_hz_loan_vehicle*G284,0))</f>
        <v/>
      </c>
      <c r="BX285" s="14">
        <f>F285*BW285*IF(B285&gt;=in_marketplace_from,d_hz_loan_vehicle*G285,0)*in_loan_vehicle_ticket*in_loan_vehicle_comm</f>
        <v/>
      </c>
      <c r="BY285" s="40">
        <f>BY284*(1-IF(B284&gt;=in_marketplace_from,d_hz_loan_home*G284,0)*BZ284)</f>
        <v/>
      </c>
      <c r="BZ285" s="11">
        <f>MIN(in_approval_cap,in_loan_home_approval*INDEX('Age profile'!$O$2:$O$61,B285)*(1+in_approval_growth)^(D285-1))</f>
        <v/>
      </c>
      <c r="CA285" s="14">
        <f>F285*BY285*IF(B285&gt;=in_marketplace_from,d_hz_loan_home*G285,0)*BZ285*in_loan_home_ticket*in_loan_home_comm</f>
        <v/>
      </c>
      <c r="CB285" s="40">
        <f>CB284*(1-IF(B284&gt;=in_marketplace_from,d_hz_loan_lap*G284,0)*CC284)</f>
        <v/>
      </c>
      <c r="CC285" s="11">
        <f>MIN(in_approval_cap,in_loan_lap_approval*INDEX('Age profile'!$O$2:$O$61,B285)*(1+in_approval_growth)^(D285-1))</f>
        <v/>
      </c>
      <c r="CD285" s="14">
        <f>F285*CB285*IF(B285&gt;=in_marketplace_from,d_hz_loan_lap*G285,0)*CC285*in_loan_lap_ticket*in_loan_lap_comm</f>
        <v/>
      </c>
      <c r="CE285" s="14">
        <f>AA285+AB285+AC285+AD285+AG285+AJ285+AM285+AP285+AS285+AU285+AX285+BB285+BE285+BG285+BJ285+BL285+BO285+BR285+BT285+BV285+BX285+CA285+CD285</f>
        <v/>
      </c>
    </row>
    <row r="286">
      <c r="A286" s="39" t="n">
        <v>5</v>
      </c>
      <c r="B286" s="39" t="n">
        <v>51</v>
      </c>
      <c r="C286" s="39">
        <f>A286+B286-1</f>
        <v/>
      </c>
      <c r="D286" s="39">
        <f>INT((C286-1)/12)+1</f>
        <v/>
      </c>
      <c r="E286" s="44">
        <f>INDEX(Monthly!$B$2:$B$61,A286)</f>
        <v/>
      </c>
      <c r="F286" s="44">
        <f>E286*INDEX('Age profile'!$B$2:$B$61,B286)</f>
        <v/>
      </c>
      <c r="G286" s="45">
        <f>MIN(in_takeup_cap,INDEX('Age profile'!$N$2:$N$61,B286)*(1+in_takeup_growth)^(D286-1))</f>
        <v/>
      </c>
      <c r="H286" s="11">
        <f>MIN(in_approval_cap,in_approved_first*INDEX('Age profile'!$O$2:$O$61,B286)*(1+in_approval_growth)^(D286-1))</f>
        <v/>
      </c>
      <c r="I286" s="45">
        <f>G286*MIN(in_takeup_cap,INDEX('Age profile'!$O$2:$O$61,B286)*(1+in_approval_growth)^(D286-1))</f>
        <v/>
      </c>
      <c r="J286" s="40">
        <f>(J285-L285)*F286/F285</f>
        <v/>
      </c>
      <c r="K286" s="40">
        <f>(K285-M285)*F286/F285+SUMIFS(O236:O285,B236:B285,B286-1-d_T)*F286</f>
        <v/>
      </c>
      <c r="L286" s="40">
        <f>IF(B286&gt;=in_marketplace_from,J286*d_hz*G286*in_eligible*H286,0)</f>
        <v/>
      </c>
      <c r="M286" s="40">
        <f>IF(B286&gt;=in_marketplace_from,K286*d_hz*G286*in_eligible*in_approved_repeat,0)</f>
        <v/>
      </c>
      <c r="N286" s="40">
        <f>L286+M286</f>
        <v/>
      </c>
      <c r="O286" s="46">
        <f>N286/F286</f>
        <v/>
      </c>
      <c r="P286" s="40">
        <f>F286-J286-K286</f>
        <v/>
      </c>
      <c r="Q286" s="40">
        <f>IF(B286&gt;=in_marketplace_from,(J286+K286)*d_hz*G286,0)</f>
        <v/>
      </c>
      <c r="R286" s="40">
        <f>SUMIFS(N236:N291,B236:B291,"&gt;="&amp;(B286-d_T),B236:B291,"&lt;="&amp;(B286-1))</f>
        <v/>
      </c>
      <c r="S286" s="46">
        <f>(1-d_u)*S285+IF(d_T&gt;in_topup_lag,SUMIFS(O236:O291,B236:B291,B286-in_topup_lag)-d_udrop*SUMIFS(O236:O291,B236:B291,B286-d_T),0)</f>
        <v/>
      </c>
      <c r="T286" s="40">
        <f>F286*d_u*S286</f>
        <v/>
      </c>
      <c r="U286" s="9">
        <f>L286*in_ticket+M286*d_rep_ticket</f>
        <v/>
      </c>
      <c r="V286" s="9">
        <f>U286+T286*d_topup_amt</f>
        <v/>
      </c>
      <c r="W286" s="40">
        <f>N286+T286*d_topup_ratio</f>
        <v/>
      </c>
      <c r="X286" s="40">
        <f>SUMIFS(W236:W291,B236:B291,B286-in_dpd_lag)*d_cured</f>
        <v/>
      </c>
      <c r="Y286" s="40">
        <f>SUMIFS(W236:W291,B236:B291,B286-in_rec_lag)*d_recd</f>
        <v/>
      </c>
      <c r="Z286" s="40">
        <f>IF(AND(B286&gt;=in_marketplace_from,B286&lt;in_marketplace_from+in_card_months),in_card_share/in_card_months*F286*I286,IF(AND(B286&gt;=in_marketplace_from+in_card_months,B286&lt;in_marketplace_from+2*in_card_months),in_card_share*d_card_rem/in_card_months*F286*MIN(in_takeup_cap,(1+in_takeup_growth)^(D286-1))*MIN(in_takeup_cap,(1+in_approval_growth)^(D286-1)),0))</f>
        <v/>
      </c>
      <c r="AA286" s="14">
        <f>V286*in_fee*(1-in_taken_back)</f>
        <v/>
      </c>
      <c r="AB286" s="14">
        <f>SUMIFS(W236:W291,B236:B291,B286-in_dpd_lag)*d_dpd</f>
        <v/>
      </c>
      <c r="AC286" s="14">
        <f>SUMIFS(W236:W291,B236:B291,B286-in_rec_lag)*d_rec</f>
        <v/>
      </c>
      <c r="AD286" s="14">
        <f>Z286*in_card_fee</f>
        <v/>
      </c>
      <c r="AE286" s="40">
        <f>AE285*(1-IF(B285&gt;=in_marketplace_from,d_hz_hlth_small*G285,0))</f>
        <v/>
      </c>
      <c r="AF286" s="46">
        <f>AE286*IF(B286&gt;=in_marketplace_from,d_hz_hlth_small*G286,0)</f>
        <v/>
      </c>
      <c r="AG286" s="14">
        <f>F286*AF286*in_hlth_small_ticket*in_hlth_small_comm*in_ins_partner_share+F286*in_hlth_small_ticket*in_hlth_small_renew_comm*in_ins_partner_share*(in_hlth_small_renew^1*SUMIFS(AF236:AF291,B236:B291,B286-12)+in_hlth_small_renew^2*SUMIFS(AF236:AF291,B236:B291,B286-24)+in_hlth_small_renew^3*SUMIFS(AF236:AF291,B236:B291,B286-36)+in_hlth_small_renew^4*SUMIFS(AF236:AF291,B236:B291,B286-48))</f>
        <v/>
      </c>
      <c r="AH286" s="40">
        <f>AH285*(1-IF(B285&gt;=in_marketplace_from,d_hz_hlth_family*G285,0))</f>
        <v/>
      </c>
      <c r="AI286" s="46">
        <f>AH286*IF(B286&gt;=in_marketplace_from,d_hz_hlth_family*G286,0)</f>
        <v/>
      </c>
      <c r="AJ286" s="14">
        <f>F286*AI286*in_hlth_family_ticket*in_hlth_family_comm*in_ins_partner_share+F286*in_hlth_family_ticket*in_hlth_family_renew_comm*in_ins_partner_share*(in_hlth_family_renew^1*SUMIFS(AI236:AI291,B236:B291,B286-12)+in_hlth_family_renew^2*SUMIFS(AI236:AI291,B236:B291,B286-24)+in_hlth_family_renew^3*SUMIFS(AI236:AI291,B236:B291,B286-36)+in_hlth_family_renew^4*SUMIFS(AI236:AI291,B236:B291,B286-48))</f>
        <v/>
      </c>
      <c r="AK286" s="40">
        <f>AK285*(1-IF(B285&gt;=in_marketplace_from,d_hz_life_term*G285,0))</f>
        <v/>
      </c>
      <c r="AL286" s="46">
        <f>AK286*IF(B286&gt;=in_marketplace_from,d_hz_life_term*G286,0)</f>
        <v/>
      </c>
      <c r="AM286" s="14">
        <f>F286*AL286*in_life_term_ticket*in_life_term_comm*in_ins_partner_share+F286*in_life_term_ticket*in_life_term_renew_comm*in_ins_partner_share*(in_life_term_renew^1*SUMIFS(AL236:AL291,B236:B291,B286-12)+in_life_term_renew^2*SUMIFS(AL236:AL291,B236:B291,B286-24)+in_life_term_renew^3*SUMIFS(AL236:AL291,B236:B291,B286-36)+in_life_term_renew^4*SUMIFS(AL236:AL291,B236:B291,B286-48))</f>
        <v/>
      </c>
      <c r="AN286" s="40">
        <f>AN285*(1-IF(B285&gt;=in_marketplace_from,d_hz_accident*G285,0))</f>
        <v/>
      </c>
      <c r="AO286" s="46">
        <f>AN286*IF(B286&gt;=in_marketplace_from,d_hz_accident*G286,0)</f>
        <v/>
      </c>
      <c r="AP286" s="14">
        <f>F286*AO286*in_accident_ticket*in_accident_comm*in_ins_partner_share+F286*in_accident_ticket*in_accident_renew_comm*in_ins_partner_share*(in_accident_renew^1*SUMIFS(AO236:AO291,B236:B291,B286-12)+in_accident_renew^2*SUMIFS(AO236:AO291,B236:B291,B286-24)+in_accident_renew^3*SUMIFS(AO236:AO291,B236:B291,B286-36)+in_accident_renew^4*SUMIFS(AO236:AO291,B236:B291,B286-48))</f>
        <v/>
      </c>
      <c r="AQ286" s="40">
        <f>AQ285*(1-IF(B285&gt;=in_marketplace_from,d_hz_two_wheeler*G285,0))</f>
        <v/>
      </c>
      <c r="AR286" s="46">
        <f>AQ286*IF(B286&gt;=in_marketplace_from,d_hz_two_wheeler*G286,0)</f>
        <v/>
      </c>
      <c r="AS286" s="14">
        <f>F286*AR286*in_two_wheeler_ticket*in_two_wheeler_comm*in_ins_partner_share+F286*in_two_wheeler_ticket*in_two_wheeler_comm*in_ins_partner_share*(in_two_wheeler_renew^1*SUMIFS(AR236:AR291,B236:B291,B286-12)+in_two_wheeler_renew^2*SUMIFS(AR236:AR291,B236:B291,B286-24)+in_two_wheeler_renew^3*SUMIFS(AR236:AR291,B236:B291,B286-36)+in_two_wheeler_renew^4*SUMIFS(AR236:AR291,B236:B291,B286-48))</f>
        <v/>
      </c>
      <c r="AT286" s="40">
        <f>AT285*(1-IF(B285&gt;=in_marketplace_from,d_hz_device*G285,0))</f>
        <v/>
      </c>
      <c r="AU286" s="14">
        <f>F286*AT286*IF(B286&gt;=in_marketplace_from,d_hz_device*G286,0)*in_device_ticket*in_device_comm*in_ins_partner_share</f>
        <v/>
      </c>
      <c r="AV286" s="40">
        <f>AV285*(1-IF(B285&gt;=in_marketplace_from,d_hz_shop*G285,0))</f>
        <v/>
      </c>
      <c r="AW286" s="46">
        <f>AV286*IF(B286&gt;=in_marketplace_from,d_hz_shop*G286,0)</f>
        <v/>
      </c>
      <c r="AX286" s="14">
        <f>F286*AW286*in_shop_ticket*in_shop_comm*in_ins_partner_share+F286*in_shop_ticket*in_shop_renew_comm*in_ins_partner_share*(in_shop_renew^1*SUMIFS(AW236:AW291,B236:B291,B286-12)+in_shop_renew^2*SUMIFS(AW236:AW291,B236:B291,B286-24)+in_shop_renew^3*SUMIFS(AW236:AW291,B236:B291,B286-36)+in_shop_renew^4*SUMIFS(AW236:AW291,B236:B291,B286-48))</f>
        <v/>
      </c>
      <c r="AY286" s="40">
        <f>AY285*(1-IF(B285&gt;=in_marketplace_from,d_hz_sip*G285,0))</f>
        <v/>
      </c>
      <c r="AZ286" s="40">
        <f>AZ285*d_rho_sip+AY286*IF(B286&gt;=in_marketplace_from,d_hz_sip*G286,0)</f>
        <v/>
      </c>
      <c r="BA286" s="40">
        <f>d_rho_sip*(BA285+AZ285)</f>
        <v/>
      </c>
      <c r="BB286" s="14">
        <f>F286*in_sip_ticket*(BA286+0.5*AZ286)*in_sip_comm/12</f>
        <v/>
      </c>
      <c r="BC286" s="40">
        <f>BC285*(1-IF(B285&gt;=in_marketplace_from,d_hz_choti*G285,0))</f>
        <v/>
      </c>
      <c r="BD286" s="46">
        <f>BC286*IF(B286&gt;=in_marketplace_from,d_hz_choti*G286,0)</f>
        <v/>
      </c>
      <c r="BE286" s="14">
        <f>F286*SUMIFS(BD236:BD291,B236:B291,B286-in_choti_months)*in_choti_renew*in_choti_ticket</f>
        <v/>
      </c>
      <c r="BF286" s="40">
        <f>BF285*(1-IF(B285&gt;=in_marketplace_from,d_hz_nps*G285,0))</f>
        <v/>
      </c>
      <c r="BG286" s="14">
        <f>F286*BF286*IF(B286&gt;=in_marketplace_from,d_hz_nps*G286,0)*in_nps_ticket*in_nps_comm</f>
        <v/>
      </c>
      <c r="BH286" s="40">
        <f>BH285*(1-IF(B285&gt;=in_marketplace_from,d_hz_gold*G285,0))</f>
        <v/>
      </c>
      <c r="BI286" s="40">
        <f>BI285*d_rho_gold+BH286*IF(B286&gt;=in_marketplace_from,d_hz_gold*G286,0)</f>
        <v/>
      </c>
      <c r="BJ286" s="14">
        <f>F286*BI286*in_gold_ticket*in_gold_comm</f>
        <v/>
      </c>
      <c r="BK286" s="40">
        <f>BK285*(1-IF(B285&gt;=in_marketplace_from,d_hz_fd*G285,0))</f>
        <v/>
      </c>
      <c r="BL286" s="14">
        <f>F286*BK286*IF(B286&gt;=in_marketplace_from,d_hz_fd*G286,0)*in_fd_ticket*in_fd_comm</f>
        <v/>
      </c>
      <c r="BM286" s="40">
        <f>BM285*(1-IF(B285&gt;=in_marketplace_from,d_hz_recharge*G285,0))</f>
        <v/>
      </c>
      <c r="BN286" s="40">
        <f>BN285*d_rho_recharge+BM286*IF(B286&gt;=in_marketplace_from,d_hz_recharge*G286,0)</f>
        <v/>
      </c>
      <c r="BO286" s="14">
        <f>F286*BN286*in_recharge_ticket*in_recharge_comm/12</f>
        <v/>
      </c>
      <c r="BP286" s="40">
        <f>BP285*(1-IF(B285&gt;=in_marketplace_from,d_hz_bills*G285,0))</f>
        <v/>
      </c>
      <c r="BQ286" s="40">
        <f>BQ285*d_rho_bills+BP286*IF(B286&gt;=in_marketplace_from,d_hz_bills*G286,0)</f>
        <v/>
      </c>
      <c r="BR286" s="14">
        <f>F286*BQ286*in_bills_ticket*in_bills_comm/12</f>
        <v/>
      </c>
      <c r="BS286" s="40">
        <f>BS285*(1-IF(B285&gt;=in_marketplace_from,d_hz_loan_gold*G285,0))</f>
        <v/>
      </c>
      <c r="BT286" s="14">
        <f>F286*BS286*IF(B286&gt;=in_marketplace_from,d_hz_loan_gold*G286,0)*in_loan_gold_ticket*in_loan_gold_comm</f>
        <v/>
      </c>
      <c r="BU286" s="40">
        <f>BU285*(1-IF(B285&gt;=in_marketplace_from,d_hz_loan_cd*G285,0))</f>
        <v/>
      </c>
      <c r="BV286" s="14">
        <f>F286*BU286*IF(B286&gt;=in_marketplace_from,d_hz_loan_cd*G286,0)*in_loan_cd_ticket*in_loan_cd_comm</f>
        <v/>
      </c>
      <c r="BW286" s="40">
        <f>BW285*(1-IF(B285&gt;=in_marketplace_from,d_hz_loan_vehicle*G285,0))</f>
        <v/>
      </c>
      <c r="BX286" s="14">
        <f>F286*BW286*IF(B286&gt;=in_marketplace_from,d_hz_loan_vehicle*G286,0)*in_loan_vehicle_ticket*in_loan_vehicle_comm</f>
        <v/>
      </c>
      <c r="BY286" s="40">
        <f>BY285*(1-IF(B285&gt;=in_marketplace_from,d_hz_loan_home*G285,0)*BZ285)</f>
        <v/>
      </c>
      <c r="BZ286" s="11">
        <f>MIN(in_approval_cap,in_loan_home_approval*INDEX('Age profile'!$O$2:$O$61,B286)*(1+in_approval_growth)^(D286-1))</f>
        <v/>
      </c>
      <c r="CA286" s="14">
        <f>F286*BY286*IF(B286&gt;=in_marketplace_from,d_hz_loan_home*G286,0)*BZ286*in_loan_home_ticket*in_loan_home_comm</f>
        <v/>
      </c>
      <c r="CB286" s="40">
        <f>CB285*(1-IF(B285&gt;=in_marketplace_from,d_hz_loan_lap*G285,0)*CC285)</f>
        <v/>
      </c>
      <c r="CC286" s="11">
        <f>MIN(in_approval_cap,in_loan_lap_approval*INDEX('Age profile'!$O$2:$O$61,B286)*(1+in_approval_growth)^(D286-1))</f>
        <v/>
      </c>
      <c r="CD286" s="14">
        <f>F286*CB286*IF(B286&gt;=in_marketplace_from,d_hz_loan_lap*G286,0)*CC286*in_loan_lap_ticket*in_loan_lap_comm</f>
        <v/>
      </c>
      <c r="CE286" s="14">
        <f>AA286+AB286+AC286+AD286+AG286+AJ286+AM286+AP286+AS286+AU286+AX286+BB286+BE286+BG286+BJ286+BL286+BO286+BR286+BT286+BV286+BX286+CA286+CD286</f>
        <v/>
      </c>
    </row>
    <row r="287">
      <c r="A287" s="39" t="n">
        <v>5</v>
      </c>
      <c r="B287" s="39" t="n">
        <v>52</v>
      </c>
      <c r="C287" s="39">
        <f>A287+B287-1</f>
        <v/>
      </c>
      <c r="D287" s="39">
        <f>INT((C287-1)/12)+1</f>
        <v/>
      </c>
      <c r="E287" s="44">
        <f>INDEX(Monthly!$B$2:$B$61,A287)</f>
        <v/>
      </c>
      <c r="F287" s="44">
        <f>E287*INDEX('Age profile'!$B$2:$B$61,B287)</f>
        <v/>
      </c>
      <c r="G287" s="45">
        <f>MIN(in_takeup_cap,INDEX('Age profile'!$N$2:$N$61,B287)*(1+in_takeup_growth)^(D287-1))</f>
        <v/>
      </c>
      <c r="H287" s="11">
        <f>MIN(in_approval_cap,in_approved_first*INDEX('Age profile'!$O$2:$O$61,B287)*(1+in_approval_growth)^(D287-1))</f>
        <v/>
      </c>
      <c r="I287" s="45">
        <f>G287*MIN(in_takeup_cap,INDEX('Age profile'!$O$2:$O$61,B287)*(1+in_approval_growth)^(D287-1))</f>
        <v/>
      </c>
      <c r="J287" s="40">
        <f>(J286-L286)*F287/F286</f>
        <v/>
      </c>
      <c r="K287" s="40">
        <f>(K286-M286)*F287/F286+SUMIFS(O236:O286,B236:B286,B287-1-d_T)*F287</f>
        <v/>
      </c>
      <c r="L287" s="40">
        <f>IF(B287&gt;=in_marketplace_from,J287*d_hz*G287*in_eligible*H287,0)</f>
        <v/>
      </c>
      <c r="M287" s="40">
        <f>IF(B287&gt;=in_marketplace_from,K287*d_hz*G287*in_eligible*in_approved_repeat,0)</f>
        <v/>
      </c>
      <c r="N287" s="40">
        <f>L287+M287</f>
        <v/>
      </c>
      <c r="O287" s="46">
        <f>N287/F287</f>
        <v/>
      </c>
      <c r="P287" s="40">
        <f>F287-J287-K287</f>
        <v/>
      </c>
      <c r="Q287" s="40">
        <f>IF(B287&gt;=in_marketplace_from,(J287+K287)*d_hz*G287,0)</f>
        <v/>
      </c>
      <c r="R287" s="40">
        <f>SUMIFS(N236:N291,B236:B291,"&gt;="&amp;(B287-d_T),B236:B291,"&lt;="&amp;(B287-1))</f>
        <v/>
      </c>
      <c r="S287" s="46">
        <f>(1-d_u)*S286+IF(d_T&gt;in_topup_lag,SUMIFS(O236:O291,B236:B291,B287-in_topup_lag)-d_udrop*SUMIFS(O236:O291,B236:B291,B287-d_T),0)</f>
        <v/>
      </c>
      <c r="T287" s="40">
        <f>F287*d_u*S287</f>
        <v/>
      </c>
      <c r="U287" s="9">
        <f>L287*in_ticket+M287*d_rep_ticket</f>
        <v/>
      </c>
      <c r="V287" s="9">
        <f>U287+T287*d_topup_amt</f>
        <v/>
      </c>
      <c r="W287" s="40">
        <f>N287+T287*d_topup_ratio</f>
        <v/>
      </c>
      <c r="X287" s="40">
        <f>SUMIFS(W236:W291,B236:B291,B287-in_dpd_lag)*d_cured</f>
        <v/>
      </c>
      <c r="Y287" s="40">
        <f>SUMIFS(W236:W291,B236:B291,B287-in_rec_lag)*d_recd</f>
        <v/>
      </c>
      <c r="Z287" s="40">
        <f>IF(AND(B287&gt;=in_marketplace_from,B287&lt;in_marketplace_from+in_card_months),in_card_share/in_card_months*F287*I287,IF(AND(B287&gt;=in_marketplace_from+in_card_months,B287&lt;in_marketplace_from+2*in_card_months),in_card_share*d_card_rem/in_card_months*F287*MIN(in_takeup_cap,(1+in_takeup_growth)^(D287-1))*MIN(in_takeup_cap,(1+in_approval_growth)^(D287-1)),0))</f>
        <v/>
      </c>
      <c r="AA287" s="14">
        <f>V287*in_fee*(1-in_taken_back)</f>
        <v/>
      </c>
      <c r="AB287" s="14">
        <f>SUMIFS(W236:W291,B236:B291,B287-in_dpd_lag)*d_dpd</f>
        <v/>
      </c>
      <c r="AC287" s="14">
        <f>SUMIFS(W236:W291,B236:B291,B287-in_rec_lag)*d_rec</f>
        <v/>
      </c>
      <c r="AD287" s="14">
        <f>Z287*in_card_fee</f>
        <v/>
      </c>
      <c r="AE287" s="40">
        <f>AE286*(1-IF(B286&gt;=in_marketplace_from,d_hz_hlth_small*G286,0))</f>
        <v/>
      </c>
      <c r="AF287" s="46">
        <f>AE287*IF(B287&gt;=in_marketplace_from,d_hz_hlth_small*G287,0)</f>
        <v/>
      </c>
      <c r="AG287" s="14">
        <f>F287*AF287*in_hlth_small_ticket*in_hlth_small_comm*in_ins_partner_share+F287*in_hlth_small_ticket*in_hlth_small_renew_comm*in_ins_partner_share*(in_hlth_small_renew^1*SUMIFS(AF236:AF291,B236:B291,B287-12)+in_hlth_small_renew^2*SUMIFS(AF236:AF291,B236:B291,B287-24)+in_hlth_small_renew^3*SUMIFS(AF236:AF291,B236:B291,B287-36)+in_hlth_small_renew^4*SUMIFS(AF236:AF291,B236:B291,B287-48))</f>
        <v/>
      </c>
      <c r="AH287" s="40">
        <f>AH286*(1-IF(B286&gt;=in_marketplace_from,d_hz_hlth_family*G286,0))</f>
        <v/>
      </c>
      <c r="AI287" s="46">
        <f>AH287*IF(B287&gt;=in_marketplace_from,d_hz_hlth_family*G287,0)</f>
        <v/>
      </c>
      <c r="AJ287" s="14">
        <f>F287*AI287*in_hlth_family_ticket*in_hlth_family_comm*in_ins_partner_share+F287*in_hlth_family_ticket*in_hlth_family_renew_comm*in_ins_partner_share*(in_hlth_family_renew^1*SUMIFS(AI236:AI291,B236:B291,B287-12)+in_hlth_family_renew^2*SUMIFS(AI236:AI291,B236:B291,B287-24)+in_hlth_family_renew^3*SUMIFS(AI236:AI291,B236:B291,B287-36)+in_hlth_family_renew^4*SUMIFS(AI236:AI291,B236:B291,B287-48))</f>
        <v/>
      </c>
      <c r="AK287" s="40">
        <f>AK286*(1-IF(B286&gt;=in_marketplace_from,d_hz_life_term*G286,0))</f>
        <v/>
      </c>
      <c r="AL287" s="46">
        <f>AK287*IF(B287&gt;=in_marketplace_from,d_hz_life_term*G287,0)</f>
        <v/>
      </c>
      <c r="AM287" s="14">
        <f>F287*AL287*in_life_term_ticket*in_life_term_comm*in_ins_partner_share+F287*in_life_term_ticket*in_life_term_renew_comm*in_ins_partner_share*(in_life_term_renew^1*SUMIFS(AL236:AL291,B236:B291,B287-12)+in_life_term_renew^2*SUMIFS(AL236:AL291,B236:B291,B287-24)+in_life_term_renew^3*SUMIFS(AL236:AL291,B236:B291,B287-36)+in_life_term_renew^4*SUMIFS(AL236:AL291,B236:B291,B287-48))</f>
        <v/>
      </c>
      <c r="AN287" s="40">
        <f>AN286*(1-IF(B286&gt;=in_marketplace_from,d_hz_accident*G286,0))</f>
        <v/>
      </c>
      <c r="AO287" s="46">
        <f>AN287*IF(B287&gt;=in_marketplace_from,d_hz_accident*G287,0)</f>
        <v/>
      </c>
      <c r="AP287" s="14">
        <f>F287*AO287*in_accident_ticket*in_accident_comm*in_ins_partner_share+F287*in_accident_ticket*in_accident_renew_comm*in_ins_partner_share*(in_accident_renew^1*SUMIFS(AO236:AO291,B236:B291,B287-12)+in_accident_renew^2*SUMIFS(AO236:AO291,B236:B291,B287-24)+in_accident_renew^3*SUMIFS(AO236:AO291,B236:B291,B287-36)+in_accident_renew^4*SUMIFS(AO236:AO291,B236:B291,B287-48))</f>
        <v/>
      </c>
      <c r="AQ287" s="40">
        <f>AQ286*(1-IF(B286&gt;=in_marketplace_from,d_hz_two_wheeler*G286,0))</f>
        <v/>
      </c>
      <c r="AR287" s="46">
        <f>AQ287*IF(B287&gt;=in_marketplace_from,d_hz_two_wheeler*G287,0)</f>
        <v/>
      </c>
      <c r="AS287" s="14">
        <f>F287*AR287*in_two_wheeler_ticket*in_two_wheeler_comm*in_ins_partner_share+F287*in_two_wheeler_ticket*in_two_wheeler_comm*in_ins_partner_share*(in_two_wheeler_renew^1*SUMIFS(AR236:AR291,B236:B291,B287-12)+in_two_wheeler_renew^2*SUMIFS(AR236:AR291,B236:B291,B287-24)+in_two_wheeler_renew^3*SUMIFS(AR236:AR291,B236:B291,B287-36)+in_two_wheeler_renew^4*SUMIFS(AR236:AR291,B236:B291,B287-48))</f>
        <v/>
      </c>
      <c r="AT287" s="40">
        <f>AT286*(1-IF(B286&gt;=in_marketplace_from,d_hz_device*G286,0))</f>
        <v/>
      </c>
      <c r="AU287" s="14">
        <f>F287*AT287*IF(B287&gt;=in_marketplace_from,d_hz_device*G287,0)*in_device_ticket*in_device_comm*in_ins_partner_share</f>
        <v/>
      </c>
      <c r="AV287" s="40">
        <f>AV286*(1-IF(B286&gt;=in_marketplace_from,d_hz_shop*G286,0))</f>
        <v/>
      </c>
      <c r="AW287" s="46">
        <f>AV287*IF(B287&gt;=in_marketplace_from,d_hz_shop*G287,0)</f>
        <v/>
      </c>
      <c r="AX287" s="14">
        <f>F287*AW287*in_shop_ticket*in_shop_comm*in_ins_partner_share+F287*in_shop_ticket*in_shop_renew_comm*in_ins_partner_share*(in_shop_renew^1*SUMIFS(AW236:AW291,B236:B291,B287-12)+in_shop_renew^2*SUMIFS(AW236:AW291,B236:B291,B287-24)+in_shop_renew^3*SUMIFS(AW236:AW291,B236:B291,B287-36)+in_shop_renew^4*SUMIFS(AW236:AW291,B236:B291,B287-48))</f>
        <v/>
      </c>
      <c r="AY287" s="40">
        <f>AY286*(1-IF(B286&gt;=in_marketplace_from,d_hz_sip*G286,0))</f>
        <v/>
      </c>
      <c r="AZ287" s="40">
        <f>AZ286*d_rho_sip+AY287*IF(B287&gt;=in_marketplace_from,d_hz_sip*G287,0)</f>
        <v/>
      </c>
      <c r="BA287" s="40">
        <f>d_rho_sip*(BA286+AZ286)</f>
        <v/>
      </c>
      <c r="BB287" s="14">
        <f>F287*in_sip_ticket*(BA287+0.5*AZ287)*in_sip_comm/12</f>
        <v/>
      </c>
      <c r="BC287" s="40">
        <f>BC286*(1-IF(B286&gt;=in_marketplace_from,d_hz_choti*G286,0))</f>
        <v/>
      </c>
      <c r="BD287" s="46">
        <f>BC287*IF(B287&gt;=in_marketplace_from,d_hz_choti*G287,0)</f>
        <v/>
      </c>
      <c r="BE287" s="14">
        <f>F287*SUMIFS(BD236:BD291,B236:B291,B287-in_choti_months)*in_choti_renew*in_choti_ticket</f>
        <v/>
      </c>
      <c r="BF287" s="40">
        <f>BF286*(1-IF(B286&gt;=in_marketplace_from,d_hz_nps*G286,0))</f>
        <v/>
      </c>
      <c r="BG287" s="14">
        <f>F287*BF287*IF(B287&gt;=in_marketplace_from,d_hz_nps*G287,0)*in_nps_ticket*in_nps_comm</f>
        <v/>
      </c>
      <c r="BH287" s="40">
        <f>BH286*(1-IF(B286&gt;=in_marketplace_from,d_hz_gold*G286,0))</f>
        <v/>
      </c>
      <c r="BI287" s="40">
        <f>BI286*d_rho_gold+BH287*IF(B287&gt;=in_marketplace_from,d_hz_gold*G287,0)</f>
        <v/>
      </c>
      <c r="BJ287" s="14">
        <f>F287*BI287*in_gold_ticket*in_gold_comm</f>
        <v/>
      </c>
      <c r="BK287" s="40">
        <f>BK286*(1-IF(B286&gt;=in_marketplace_from,d_hz_fd*G286,0))</f>
        <v/>
      </c>
      <c r="BL287" s="14">
        <f>F287*BK287*IF(B287&gt;=in_marketplace_from,d_hz_fd*G287,0)*in_fd_ticket*in_fd_comm</f>
        <v/>
      </c>
      <c r="BM287" s="40">
        <f>BM286*(1-IF(B286&gt;=in_marketplace_from,d_hz_recharge*G286,0))</f>
        <v/>
      </c>
      <c r="BN287" s="40">
        <f>BN286*d_rho_recharge+BM287*IF(B287&gt;=in_marketplace_from,d_hz_recharge*G287,0)</f>
        <v/>
      </c>
      <c r="BO287" s="14">
        <f>F287*BN287*in_recharge_ticket*in_recharge_comm/12</f>
        <v/>
      </c>
      <c r="BP287" s="40">
        <f>BP286*(1-IF(B286&gt;=in_marketplace_from,d_hz_bills*G286,0))</f>
        <v/>
      </c>
      <c r="BQ287" s="40">
        <f>BQ286*d_rho_bills+BP287*IF(B287&gt;=in_marketplace_from,d_hz_bills*G287,0)</f>
        <v/>
      </c>
      <c r="BR287" s="14">
        <f>F287*BQ287*in_bills_ticket*in_bills_comm/12</f>
        <v/>
      </c>
      <c r="BS287" s="40">
        <f>BS286*(1-IF(B286&gt;=in_marketplace_from,d_hz_loan_gold*G286,0))</f>
        <v/>
      </c>
      <c r="BT287" s="14">
        <f>F287*BS287*IF(B287&gt;=in_marketplace_from,d_hz_loan_gold*G287,0)*in_loan_gold_ticket*in_loan_gold_comm</f>
        <v/>
      </c>
      <c r="BU287" s="40">
        <f>BU286*(1-IF(B286&gt;=in_marketplace_from,d_hz_loan_cd*G286,0))</f>
        <v/>
      </c>
      <c r="BV287" s="14">
        <f>F287*BU287*IF(B287&gt;=in_marketplace_from,d_hz_loan_cd*G287,0)*in_loan_cd_ticket*in_loan_cd_comm</f>
        <v/>
      </c>
      <c r="BW287" s="40">
        <f>BW286*(1-IF(B286&gt;=in_marketplace_from,d_hz_loan_vehicle*G286,0))</f>
        <v/>
      </c>
      <c r="BX287" s="14">
        <f>F287*BW287*IF(B287&gt;=in_marketplace_from,d_hz_loan_vehicle*G287,0)*in_loan_vehicle_ticket*in_loan_vehicle_comm</f>
        <v/>
      </c>
      <c r="BY287" s="40">
        <f>BY286*(1-IF(B286&gt;=in_marketplace_from,d_hz_loan_home*G286,0)*BZ286)</f>
        <v/>
      </c>
      <c r="BZ287" s="11">
        <f>MIN(in_approval_cap,in_loan_home_approval*INDEX('Age profile'!$O$2:$O$61,B287)*(1+in_approval_growth)^(D287-1))</f>
        <v/>
      </c>
      <c r="CA287" s="14">
        <f>F287*BY287*IF(B287&gt;=in_marketplace_from,d_hz_loan_home*G287,0)*BZ287*in_loan_home_ticket*in_loan_home_comm</f>
        <v/>
      </c>
      <c r="CB287" s="40">
        <f>CB286*(1-IF(B286&gt;=in_marketplace_from,d_hz_loan_lap*G286,0)*CC286)</f>
        <v/>
      </c>
      <c r="CC287" s="11">
        <f>MIN(in_approval_cap,in_loan_lap_approval*INDEX('Age profile'!$O$2:$O$61,B287)*(1+in_approval_growth)^(D287-1))</f>
        <v/>
      </c>
      <c r="CD287" s="14">
        <f>F287*CB287*IF(B287&gt;=in_marketplace_from,d_hz_loan_lap*G287,0)*CC287*in_loan_lap_ticket*in_loan_lap_comm</f>
        <v/>
      </c>
      <c r="CE287" s="14">
        <f>AA287+AB287+AC287+AD287+AG287+AJ287+AM287+AP287+AS287+AU287+AX287+BB287+BE287+BG287+BJ287+BL287+BO287+BR287+BT287+BV287+BX287+CA287+CD287</f>
        <v/>
      </c>
    </row>
    <row r="288">
      <c r="A288" s="39" t="n">
        <v>5</v>
      </c>
      <c r="B288" s="39" t="n">
        <v>53</v>
      </c>
      <c r="C288" s="39">
        <f>A288+B288-1</f>
        <v/>
      </c>
      <c r="D288" s="39">
        <f>INT((C288-1)/12)+1</f>
        <v/>
      </c>
      <c r="E288" s="44">
        <f>INDEX(Monthly!$B$2:$B$61,A288)</f>
        <v/>
      </c>
      <c r="F288" s="44">
        <f>E288*INDEX('Age profile'!$B$2:$B$61,B288)</f>
        <v/>
      </c>
      <c r="G288" s="45">
        <f>MIN(in_takeup_cap,INDEX('Age profile'!$N$2:$N$61,B288)*(1+in_takeup_growth)^(D288-1))</f>
        <v/>
      </c>
      <c r="H288" s="11">
        <f>MIN(in_approval_cap,in_approved_first*INDEX('Age profile'!$O$2:$O$61,B288)*(1+in_approval_growth)^(D288-1))</f>
        <v/>
      </c>
      <c r="I288" s="45">
        <f>G288*MIN(in_takeup_cap,INDEX('Age profile'!$O$2:$O$61,B288)*(1+in_approval_growth)^(D288-1))</f>
        <v/>
      </c>
      <c r="J288" s="40">
        <f>(J287-L287)*F288/F287</f>
        <v/>
      </c>
      <c r="K288" s="40">
        <f>(K287-M287)*F288/F287+SUMIFS(O236:O287,B236:B287,B288-1-d_T)*F288</f>
        <v/>
      </c>
      <c r="L288" s="40">
        <f>IF(B288&gt;=in_marketplace_from,J288*d_hz*G288*in_eligible*H288,0)</f>
        <v/>
      </c>
      <c r="M288" s="40">
        <f>IF(B288&gt;=in_marketplace_from,K288*d_hz*G288*in_eligible*in_approved_repeat,0)</f>
        <v/>
      </c>
      <c r="N288" s="40">
        <f>L288+M288</f>
        <v/>
      </c>
      <c r="O288" s="46">
        <f>N288/F288</f>
        <v/>
      </c>
      <c r="P288" s="40">
        <f>F288-J288-K288</f>
        <v/>
      </c>
      <c r="Q288" s="40">
        <f>IF(B288&gt;=in_marketplace_from,(J288+K288)*d_hz*G288,0)</f>
        <v/>
      </c>
      <c r="R288" s="40">
        <f>SUMIFS(N236:N291,B236:B291,"&gt;="&amp;(B288-d_T),B236:B291,"&lt;="&amp;(B288-1))</f>
        <v/>
      </c>
      <c r="S288" s="46">
        <f>(1-d_u)*S287+IF(d_T&gt;in_topup_lag,SUMIFS(O236:O291,B236:B291,B288-in_topup_lag)-d_udrop*SUMIFS(O236:O291,B236:B291,B288-d_T),0)</f>
        <v/>
      </c>
      <c r="T288" s="40">
        <f>F288*d_u*S288</f>
        <v/>
      </c>
      <c r="U288" s="9">
        <f>L288*in_ticket+M288*d_rep_ticket</f>
        <v/>
      </c>
      <c r="V288" s="9">
        <f>U288+T288*d_topup_amt</f>
        <v/>
      </c>
      <c r="W288" s="40">
        <f>N288+T288*d_topup_ratio</f>
        <v/>
      </c>
      <c r="X288" s="40">
        <f>SUMIFS(W236:W291,B236:B291,B288-in_dpd_lag)*d_cured</f>
        <v/>
      </c>
      <c r="Y288" s="40">
        <f>SUMIFS(W236:W291,B236:B291,B288-in_rec_lag)*d_recd</f>
        <v/>
      </c>
      <c r="Z288" s="40">
        <f>IF(AND(B288&gt;=in_marketplace_from,B288&lt;in_marketplace_from+in_card_months),in_card_share/in_card_months*F288*I288,IF(AND(B288&gt;=in_marketplace_from+in_card_months,B288&lt;in_marketplace_from+2*in_card_months),in_card_share*d_card_rem/in_card_months*F288*MIN(in_takeup_cap,(1+in_takeup_growth)^(D288-1))*MIN(in_takeup_cap,(1+in_approval_growth)^(D288-1)),0))</f>
        <v/>
      </c>
      <c r="AA288" s="14">
        <f>V288*in_fee*(1-in_taken_back)</f>
        <v/>
      </c>
      <c r="AB288" s="14">
        <f>SUMIFS(W236:W291,B236:B291,B288-in_dpd_lag)*d_dpd</f>
        <v/>
      </c>
      <c r="AC288" s="14">
        <f>SUMIFS(W236:W291,B236:B291,B288-in_rec_lag)*d_rec</f>
        <v/>
      </c>
      <c r="AD288" s="14">
        <f>Z288*in_card_fee</f>
        <v/>
      </c>
      <c r="AE288" s="40">
        <f>AE287*(1-IF(B287&gt;=in_marketplace_from,d_hz_hlth_small*G287,0))</f>
        <v/>
      </c>
      <c r="AF288" s="46">
        <f>AE288*IF(B288&gt;=in_marketplace_from,d_hz_hlth_small*G288,0)</f>
        <v/>
      </c>
      <c r="AG288" s="14">
        <f>F288*AF288*in_hlth_small_ticket*in_hlth_small_comm*in_ins_partner_share+F288*in_hlth_small_ticket*in_hlth_small_renew_comm*in_ins_partner_share*(in_hlth_small_renew^1*SUMIFS(AF236:AF291,B236:B291,B288-12)+in_hlth_small_renew^2*SUMIFS(AF236:AF291,B236:B291,B288-24)+in_hlth_small_renew^3*SUMIFS(AF236:AF291,B236:B291,B288-36)+in_hlth_small_renew^4*SUMIFS(AF236:AF291,B236:B291,B288-48))</f>
        <v/>
      </c>
      <c r="AH288" s="40">
        <f>AH287*(1-IF(B287&gt;=in_marketplace_from,d_hz_hlth_family*G287,0))</f>
        <v/>
      </c>
      <c r="AI288" s="46">
        <f>AH288*IF(B288&gt;=in_marketplace_from,d_hz_hlth_family*G288,0)</f>
        <v/>
      </c>
      <c r="AJ288" s="14">
        <f>F288*AI288*in_hlth_family_ticket*in_hlth_family_comm*in_ins_partner_share+F288*in_hlth_family_ticket*in_hlth_family_renew_comm*in_ins_partner_share*(in_hlth_family_renew^1*SUMIFS(AI236:AI291,B236:B291,B288-12)+in_hlth_family_renew^2*SUMIFS(AI236:AI291,B236:B291,B288-24)+in_hlth_family_renew^3*SUMIFS(AI236:AI291,B236:B291,B288-36)+in_hlth_family_renew^4*SUMIFS(AI236:AI291,B236:B291,B288-48))</f>
        <v/>
      </c>
      <c r="AK288" s="40">
        <f>AK287*(1-IF(B287&gt;=in_marketplace_from,d_hz_life_term*G287,0))</f>
        <v/>
      </c>
      <c r="AL288" s="46">
        <f>AK288*IF(B288&gt;=in_marketplace_from,d_hz_life_term*G288,0)</f>
        <v/>
      </c>
      <c r="AM288" s="14">
        <f>F288*AL288*in_life_term_ticket*in_life_term_comm*in_ins_partner_share+F288*in_life_term_ticket*in_life_term_renew_comm*in_ins_partner_share*(in_life_term_renew^1*SUMIFS(AL236:AL291,B236:B291,B288-12)+in_life_term_renew^2*SUMIFS(AL236:AL291,B236:B291,B288-24)+in_life_term_renew^3*SUMIFS(AL236:AL291,B236:B291,B288-36)+in_life_term_renew^4*SUMIFS(AL236:AL291,B236:B291,B288-48))</f>
        <v/>
      </c>
      <c r="AN288" s="40">
        <f>AN287*(1-IF(B287&gt;=in_marketplace_from,d_hz_accident*G287,0))</f>
        <v/>
      </c>
      <c r="AO288" s="46">
        <f>AN288*IF(B288&gt;=in_marketplace_from,d_hz_accident*G288,0)</f>
        <v/>
      </c>
      <c r="AP288" s="14">
        <f>F288*AO288*in_accident_ticket*in_accident_comm*in_ins_partner_share+F288*in_accident_ticket*in_accident_renew_comm*in_ins_partner_share*(in_accident_renew^1*SUMIFS(AO236:AO291,B236:B291,B288-12)+in_accident_renew^2*SUMIFS(AO236:AO291,B236:B291,B288-24)+in_accident_renew^3*SUMIFS(AO236:AO291,B236:B291,B288-36)+in_accident_renew^4*SUMIFS(AO236:AO291,B236:B291,B288-48))</f>
        <v/>
      </c>
      <c r="AQ288" s="40">
        <f>AQ287*(1-IF(B287&gt;=in_marketplace_from,d_hz_two_wheeler*G287,0))</f>
        <v/>
      </c>
      <c r="AR288" s="46">
        <f>AQ288*IF(B288&gt;=in_marketplace_from,d_hz_two_wheeler*G288,0)</f>
        <v/>
      </c>
      <c r="AS288" s="14">
        <f>F288*AR288*in_two_wheeler_ticket*in_two_wheeler_comm*in_ins_partner_share+F288*in_two_wheeler_ticket*in_two_wheeler_comm*in_ins_partner_share*(in_two_wheeler_renew^1*SUMIFS(AR236:AR291,B236:B291,B288-12)+in_two_wheeler_renew^2*SUMIFS(AR236:AR291,B236:B291,B288-24)+in_two_wheeler_renew^3*SUMIFS(AR236:AR291,B236:B291,B288-36)+in_two_wheeler_renew^4*SUMIFS(AR236:AR291,B236:B291,B288-48))</f>
        <v/>
      </c>
      <c r="AT288" s="40">
        <f>AT287*(1-IF(B287&gt;=in_marketplace_from,d_hz_device*G287,0))</f>
        <v/>
      </c>
      <c r="AU288" s="14">
        <f>F288*AT288*IF(B288&gt;=in_marketplace_from,d_hz_device*G288,0)*in_device_ticket*in_device_comm*in_ins_partner_share</f>
        <v/>
      </c>
      <c r="AV288" s="40">
        <f>AV287*(1-IF(B287&gt;=in_marketplace_from,d_hz_shop*G287,0))</f>
        <v/>
      </c>
      <c r="AW288" s="46">
        <f>AV288*IF(B288&gt;=in_marketplace_from,d_hz_shop*G288,0)</f>
        <v/>
      </c>
      <c r="AX288" s="14">
        <f>F288*AW288*in_shop_ticket*in_shop_comm*in_ins_partner_share+F288*in_shop_ticket*in_shop_renew_comm*in_ins_partner_share*(in_shop_renew^1*SUMIFS(AW236:AW291,B236:B291,B288-12)+in_shop_renew^2*SUMIFS(AW236:AW291,B236:B291,B288-24)+in_shop_renew^3*SUMIFS(AW236:AW291,B236:B291,B288-36)+in_shop_renew^4*SUMIFS(AW236:AW291,B236:B291,B288-48))</f>
        <v/>
      </c>
      <c r="AY288" s="40">
        <f>AY287*(1-IF(B287&gt;=in_marketplace_from,d_hz_sip*G287,0))</f>
        <v/>
      </c>
      <c r="AZ288" s="40">
        <f>AZ287*d_rho_sip+AY288*IF(B288&gt;=in_marketplace_from,d_hz_sip*G288,0)</f>
        <v/>
      </c>
      <c r="BA288" s="40">
        <f>d_rho_sip*(BA287+AZ287)</f>
        <v/>
      </c>
      <c r="BB288" s="14">
        <f>F288*in_sip_ticket*(BA288+0.5*AZ288)*in_sip_comm/12</f>
        <v/>
      </c>
      <c r="BC288" s="40">
        <f>BC287*(1-IF(B287&gt;=in_marketplace_from,d_hz_choti*G287,0))</f>
        <v/>
      </c>
      <c r="BD288" s="46">
        <f>BC288*IF(B288&gt;=in_marketplace_from,d_hz_choti*G288,0)</f>
        <v/>
      </c>
      <c r="BE288" s="14">
        <f>F288*SUMIFS(BD236:BD291,B236:B291,B288-in_choti_months)*in_choti_renew*in_choti_ticket</f>
        <v/>
      </c>
      <c r="BF288" s="40">
        <f>BF287*(1-IF(B287&gt;=in_marketplace_from,d_hz_nps*G287,0))</f>
        <v/>
      </c>
      <c r="BG288" s="14">
        <f>F288*BF288*IF(B288&gt;=in_marketplace_from,d_hz_nps*G288,0)*in_nps_ticket*in_nps_comm</f>
        <v/>
      </c>
      <c r="BH288" s="40">
        <f>BH287*(1-IF(B287&gt;=in_marketplace_from,d_hz_gold*G287,0))</f>
        <v/>
      </c>
      <c r="BI288" s="40">
        <f>BI287*d_rho_gold+BH288*IF(B288&gt;=in_marketplace_from,d_hz_gold*G288,0)</f>
        <v/>
      </c>
      <c r="BJ288" s="14">
        <f>F288*BI288*in_gold_ticket*in_gold_comm</f>
        <v/>
      </c>
      <c r="BK288" s="40">
        <f>BK287*(1-IF(B287&gt;=in_marketplace_from,d_hz_fd*G287,0))</f>
        <v/>
      </c>
      <c r="BL288" s="14">
        <f>F288*BK288*IF(B288&gt;=in_marketplace_from,d_hz_fd*G288,0)*in_fd_ticket*in_fd_comm</f>
        <v/>
      </c>
      <c r="BM288" s="40">
        <f>BM287*(1-IF(B287&gt;=in_marketplace_from,d_hz_recharge*G287,0))</f>
        <v/>
      </c>
      <c r="BN288" s="40">
        <f>BN287*d_rho_recharge+BM288*IF(B288&gt;=in_marketplace_from,d_hz_recharge*G288,0)</f>
        <v/>
      </c>
      <c r="BO288" s="14">
        <f>F288*BN288*in_recharge_ticket*in_recharge_comm/12</f>
        <v/>
      </c>
      <c r="BP288" s="40">
        <f>BP287*(1-IF(B287&gt;=in_marketplace_from,d_hz_bills*G287,0))</f>
        <v/>
      </c>
      <c r="BQ288" s="40">
        <f>BQ287*d_rho_bills+BP288*IF(B288&gt;=in_marketplace_from,d_hz_bills*G288,0)</f>
        <v/>
      </c>
      <c r="BR288" s="14">
        <f>F288*BQ288*in_bills_ticket*in_bills_comm/12</f>
        <v/>
      </c>
      <c r="BS288" s="40">
        <f>BS287*(1-IF(B287&gt;=in_marketplace_from,d_hz_loan_gold*G287,0))</f>
        <v/>
      </c>
      <c r="BT288" s="14">
        <f>F288*BS288*IF(B288&gt;=in_marketplace_from,d_hz_loan_gold*G288,0)*in_loan_gold_ticket*in_loan_gold_comm</f>
        <v/>
      </c>
      <c r="BU288" s="40">
        <f>BU287*(1-IF(B287&gt;=in_marketplace_from,d_hz_loan_cd*G287,0))</f>
        <v/>
      </c>
      <c r="BV288" s="14">
        <f>F288*BU288*IF(B288&gt;=in_marketplace_from,d_hz_loan_cd*G288,0)*in_loan_cd_ticket*in_loan_cd_comm</f>
        <v/>
      </c>
      <c r="BW288" s="40">
        <f>BW287*(1-IF(B287&gt;=in_marketplace_from,d_hz_loan_vehicle*G287,0))</f>
        <v/>
      </c>
      <c r="BX288" s="14">
        <f>F288*BW288*IF(B288&gt;=in_marketplace_from,d_hz_loan_vehicle*G288,0)*in_loan_vehicle_ticket*in_loan_vehicle_comm</f>
        <v/>
      </c>
      <c r="BY288" s="40">
        <f>BY287*(1-IF(B287&gt;=in_marketplace_from,d_hz_loan_home*G287,0)*BZ287)</f>
        <v/>
      </c>
      <c r="BZ288" s="11">
        <f>MIN(in_approval_cap,in_loan_home_approval*INDEX('Age profile'!$O$2:$O$61,B288)*(1+in_approval_growth)^(D288-1))</f>
        <v/>
      </c>
      <c r="CA288" s="14">
        <f>F288*BY288*IF(B288&gt;=in_marketplace_from,d_hz_loan_home*G288,0)*BZ288*in_loan_home_ticket*in_loan_home_comm</f>
        <v/>
      </c>
      <c r="CB288" s="40">
        <f>CB287*(1-IF(B287&gt;=in_marketplace_from,d_hz_loan_lap*G287,0)*CC287)</f>
        <v/>
      </c>
      <c r="CC288" s="11">
        <f>MIN(in_approval_cap,in_loan_lap_approval*INDEX('Age profile'!$O$2:$O$61,B288)*(1+in_approval_growth)^(D288-1))</f>
        <v/>
      </c>
      <c r="CD288" s="14">
        <f>F288*CB288*IF(B288&gt;=in_marketplace_from,d_hz_loan_lap*G288,0)*CC288*in_loan_lap_ticket*in_loan_lap_comm</f>
        <v/>
      </c>
      <c r="CE288" s="14">
        <f>AA288+AB288+AC288+AD288+AG288+AJ288+AM288+AP288+AS288+AU288+AX288+BB288+BE288+BG288+BJ288+BL288+BO288+BR288+BT288+BV288+BX288+CA288+CD288</f>
        <v/>
      </c>
    </row>
    <row r="289">
      <c r="A289" s="39" t="n">
        <v>5</v>
      </c>
      <c r="B289" s="39" t="n">
        <v>54</v>
      </c>
      <c r="C289" s="39">
        <f>A289+B289-1</f>
        <v/>
      </c>
      <c r="D289" s="39">
        <f>INT((C289-1)/12)+1</f>
        <v/>
      </c>
      <c r="E289" s="44">
        <f>INDEX(Monthly!$B$2:$B$61,A289)</f>
        <v/>
      </c>
      <c r="F289" s="44">
        <f>E289*INDEX('Age profile'!$B$2:$B$61,B289)</f>
        <v/>
      </c>
      <c r="G289" s="45">
        <f>MIN(in_takeup_cap,INDEX('Age profile'!$N$2:$N$61,B289)*(1+in_takeup_growth)^(D289-1))</f>
        <v/>
      </c>
      <c r="H289" s="11">
        <f>MIN(in_approval_cap,in_approved_first*INDEX('Age profile'!$O$2:$O$61,B289)*(1+in_approval_growth)^(D289-1))</f>
        <v/>
      </c>
      <c r="I289" s="45">
        <f>G289*MIN(in_takeup_cap,INDEX('Age profile'!$O$2:$O$61,B289)*(1+in_approval_growth)^(D289-1))</f>
        <v/>
      </c>
      <c r="J289" s="40">
        <f>(J288-L288)*F289/F288</f>
        <v/>
      </c>
      <c r="K289" s="40">
        <f>(K288-M288)*F289/F288+SUMIFS(O236:O288,B236:B288,B289-1-d_T)*F289</f>
        <v/>
      </c>
      <c r="L289" s="40">
        <f>IF(B289&gt;=in_marketplace_from,J289*d_hz*G289*in_eligible*H289,0)</f>
        <v/>
      </c>
      <c r="M289" s="40">
        <f>IF(B289&gt;=in_marketplace_from,K289*d_hz*G289*in_eligible*in_approved_repeat,0)</f>
        <v/>
      </c>
      <c r="N289" s="40">
        <f>L289+M289</f>
        <v/>
      </c>
      <c r="O289" s="46">
        <f>N289/F289</f>
        <v/>
      </c>
      <c r="P289" s="40">
        <f>F289-J289-K289</f>
        <v/>
      </c>
      <c r="Q289" s="40">
        <f>IF(B289&gt;=in_marketplace_from,(J289+K289)*d_hz*G289,0)</f>
        <v/>
      </c>
      <c r="R289" s="40">
        <f>SUMIFS(N236:N291,B236:B291,"&gt;="&amp;(B289-d_T),B236:B291,"&lt;="&amp;(B289-1))</f>
        <v/>
      </c>
      <c r="S289" s="46">
        <f>(1-d_u)*S288+IF(d_T&gt;in_topup_lag,SUMIFS(O236:O291,B236:B291,B289-in_topup_lag)-d_udrop*SUMIFS(O236:O291,B236:B291,B289-d_T),0)</f>
        <v/>
      </c>
      <c r="T289" s="40">
        <f>F289*d_u*S289</f>
        <v/>
      </c>
      <c r="U289" s="9">
        <f>L289*in_ticket+M289*d_rep_ticket</f>
        <v/>
      </c>
      <c r="V289" s="9">
        <f>U289+T289*d_topup_amt</f>
        <v/>
      </c>
      <c r="W289" s="40">
        <f>N289+T289*d_topup_ratio</f>
        <v/>
      </c>
      <c r="X289" s="40">
        <f>SUMIFS(W236:W291,B236:B291,B289-in_dpd_lag)*d_cured</f>
        <v/>
      </c>
      <c r="Y289" s="40">
        <f>SUMIFS(W236:W291,B236:B291,B289-in_rec_lag)*d_recd</f>
        <v/>
      </c>
      <c r="Z289" s="40">
        <f>IF(AND(B289&gt;=in_marketplace_from,B289&lt;in_marketplace_from+in_card_months),in_card_share/in_card_months*F289*I289,IF(AND(B289&gt;=in_marketplace_from+in_card_months,B289&lt;in_marketplace_from+2*in_card_months),in_card_share*d_card_rem/in_card_months*F289*MIN(in_takeup_cap,(1+in_takeup_growth)^(D289-1))*MIN(in_takeup_cap,(1+in_approval_growth)^(D289-1)),0))</f>
        <v/>
      </c>
      <c r="AA289" s="14">
        <f>V289*in_fee*(1-in_taken_back)</f>
        <v/>
      </c>
      <c r="AB289" s="14">
        <f>SUMIFS(W236:W291,B236:B291,B289-in_dpd_lag)*d_dpd</f>
        <v/>
      </c>
      <c r="AC289" s="14">
        <f>SUMIFS(W236:W291,B236:B291,B289-in_rec_lag)*d_rec</f>
        <v/>
      </c>
      <c r="AD289" s="14">
        <f>Z289*in_card_fee</f>
        <v/>
      </c>
      <c r="AE289" s="40">
        <f>AE288*(1-IF(B288&gt;=in_marketplace_from,d_hz_hlth_small*G288,0))</f>
        <v/>
      </c>
      <c r="AF289" s="46">
        <f>AE289*IF(B289&gt;=in_marketplace_from,d_hz_hlth_small*G289,0)</f>
        <v/>
      </c>
      <c r="AG289" s="14">
        <f>F289*AF289*in_hlth_small_ticket*in_hlth_small_comm*in_ins_partner_share+F289*in_hlth_small_ticket*in_hlth_small_renew_comm*in_ins_partner_share*(in_hlth_small_renew^1*SUMIFS(AF236:AF291,B236:B291,B289-12)+in_hlth_small_renew^2*SUMIFS(AF236:AF291,B236:B291,B289-24)+in_hlth_small_renew^3*SUMIFS(AF236:AF291,B236:B291,B289-36)+in_hlth_small_renew^4*SUMIFS(AF236:AF291,B236:B291,B289-48))</f>
        <v/>
      </c>
      <c r="AH289" s="40">
        <f>AH288*(1-IF(B288&gt;=in_marketplace_from,d_hz_hlth_family*G288,0))</f>
        <v/>
      </c>
      <c r="AI289" s="46">
        <f>AH289*IF(B289&gt;=in_marketplace_from,d_hz_hlth_family*G289,0)</f>
        <v/>
      </c>
      <c r="AJ289" s="14">
        <f>F289*AI289*in_hlth_family_ticket*in_hlth_family_comm*in_ins_partner_share+F289*in_hlth_family_ticket*in_hlth_family_renew_comm*in_ins_partner_share*(in_hlth_family_renew^1*SUMIFS(AI236:AI291,B236:B291,B289-12)+in_hlth_family_renew^2*SUMIFS(AI236:AI291,B236:B291,B289-24)+in_hlth_family_renew^3*SUMIFS(AI236:AI291,B236:B291,B289-36)+in_hlth_family_renew^4*SUMIFS(AI236:AI291,B236:B291,B289-48))</f>
        <v/>
      </c>
      <c r="AK289" s="40">
        <f>AK288*(1-IF(B288&gt;=in_marketplace_from,d_hz_life_term*G288,0))</f>
        <v/>
      </c>
      <c r="AL289" s="46">
        <f>AK289*IF(B289&gt;=in_marketplace_from,d_hz_life_term*G289,0)</f>
        <v/>
      </c>
      <c r="AM289" s="14">
        <f>F289*AL289*in_life_term_ticket*in_life_term_comm*in_ins_partner_share+F289*in_life_term_ticket*in_life_term_renew_comm*in_ins_partner_share*(in_life_term_renew^1*SUMIFS(AL236:AL291,B236:B291,B289-12)+in_life_term_renew^2*SUMIFS(AL236:AL291,B236:B291,B289-24)+in_life_term_renew^3*SUMIFS(AL236:AL291,B236:B291,B289-36)+in_life_term_renew^4*SUMIFS(AL236:AL291,B236:B291,B289-48))</f>
        <v/>
      </c>
      <c r="AN289" s="40">
        <f>AN288*(1-IF(B288&gt;=in_marketplace_from,d_hz_accident*G288,0))</f>
        <v/>
      </c>
      <c r="AO289" s="46">
        <f>AN289*IF(B289&gt;=in_marketplace_from,d_hz_accident*G289,0)</f>
        <v/>
      </c>
      <c r="AP289" s="14">
        <f>F289*AO289*in_accident_ticket*in_accident_comm*in_ins_partner_share+F289*in_accident_ticket*in_accident_renew_comm*in_ins_partner_share*(in_accident_renew^1*SUMIFS(AO236:AO291,B236:B291,B289-12)+in_accident_renew^2*SUMIFS(AO236:AO291,B236:B291,B289-24)+in_accident_renew^3*SUMIFS(AO236:AO291,B236:B291,B289-36)+in_accident_renew^4*SUMIFS(AO236:AO291,B236:B291,B289-48))</f>
        <v/>
      </c>
      <c r="AQ289" s="40">
        <f>AQ288*(1-IF(B288&gt;=in_marketplace_from,d_hz_two_wheeler*G288,0))</f>
        <v/>
      </c>
      <c r="AR289" s="46">
        <f>AQ289*IF(B289&gt;=in_marketplace_from,d_hz_two_wheeler*G289,0)</f>
        <v/>
      </c>
      <c r="AS289" s="14">
        <f>F289*AR289*in_two_wheeler_ticket*in_two_wheeler_comm*in_ins_partner_share+F289*in_two_wheeler_ticket*in_two_wheeler_comm*in_ins_partner_share*(in_two_wheeler_renew^1*SUMIFS(AR236:AR291,B236:B291,B289-12)+in_two_wheeler_renew^2*SUMIFS(AR236:AR291,B236:B291,B289-24)+in_two_wheeler_renew^3*SUMIFS(AR236:AR291,B236:B291,B289-36)+in_two_wheeler_renew^4*SUMIFS(AR236:AR291,B236:B291,B289-48))</f>
        <v/>
      </c>
      <c r="AT289" s="40">
        <f>AT288*(1-IF(B288&gt;=in_marketplace_from,d_hz_device*G288,0))</f>
        <v/>
      </c>
      <c r="AU289" s="14">
        <f>F289*AT289*IF(B289&gt;=in_marketplace_from,d_hz_device*G289,0)*in_device_ticket*in_device_comm*in_ins_partner_share</f>
        <v/>
      </c>
      <c r="AV289" s="40">
        <f>AV288*(1-IF(B288&gt;=in_marketplace_from,d_hz_shop*G288,0))</f>
        <v/>
      </c>
      <c r="AW289" s="46">
        <f>AV289*IF(B289&gt;=in_marketplace_from,d_hz_shop*G289,0)</f>
        <v/>
      </c>
      <c r="AX289" s="14">
        <f>F289*AW289*in_shop_ticket*in_shop_comm*in_ins_partner_share+F289*in_shop_ticket*in_shop_renew_comm*in_ins_partner_share*(in_shop_renew^1*SUMIFS(AW236:AW291,B236:B291,B289-12)+in_shop_renew^2*SUMIFS(AW236:AW291,B236:B291,B289-24)+in_shop_renew^3*SUMIFS(AW236:AW291,B236:B291,B289-36)+in_shop_renew^4*SUMIFS(AW236:AW291,B236:B291,B289-48))</f>
        <v/>
      </c>
      <c r="AY289" s="40">
        <f>AY288*(1-IF(B288&gt;=in_marketplace_from,d_hz_sip*G288,0))</f>
        <v/>
      </c>
      <c r="AZ289" s="40">
        <f>AZ288*d_rho_sip+AY289*IF(B289&gt;=in_marketplace_from,d_hz_sip*G289,0)</f>
        <v/>
      </c>
      <c r="BA289" s="40">
        <f>d_rho_sip*(BA288+AZ288)</f>
        <v/>
      </c>
      <c r="BB289" s="14">
        <f>F289*in_sip_ticket*(BA289+0.5*AZ289)*in_sip_comm/12</f>
        <v/>
      </c>
      <c r="BC289" s="40">
        <f>BC288*(1-IF(B288&gt;=in_marketplace_from,d_hz_choti*G288,0))</f>
        <v/>
      </c>
      <c r="BD289" s="46">
        <f>BC289*IF(B289&gt;=in_marketplace_from,d_hz_choti*G289,0)</f>
        <v/>
      </c>
      <c r="BE289" s="14">
        <f>F289*SUMIFS(BD236:BD291,B236:B291,B289-in_choti_months)*in_choti_renew*in_choti_ticket</f>
        <v/>
      </c>
      <c r="BF289" s="40">
        <f>BF288*(1-IF(B288&gt;=in_marketplace_from,d_hz_nps*G288,0))</f>
        <v/>
      </c>
      <c r="BG289" s="14">
        <f>F289*BF289*IF(B289&gt;=in_marketplace_from,d_hz_nps*G289,0)*in_nps_ticket*in_nps_comm</f>
        <v/>
      </c>
      <c r="BH289" s="40">
        <f>BH288*(1-IF(B288&gt;=in_marketplace_from,d_hz_gold*G288,0))</f>
        <v/>
      </c>
      <c r="BI289" s="40">
        <f>BI288*d_rho_gold+BH289*IF(B289&gt;=in_marketplace_from,d_hz_gold*G289,0)</f>
        <v/>
      </c>
      <c r="BJ289" s="14">
        <f>F289*BI289*in_gold_ticket*in_gold_comm</f>
        <v/>
      </c>
      <c r="BK289" s="40">
        <f>BK288*(1-IF(B288&gt;=in_marketplace_from,d_hz_fd*G288,0))</f>
        <v/>
      </c>
      <c r="BL289" s="14">
        <f>F289*BK289*IF(B289&gt;=in_marketplace_from,d_hz_fd*G289,0)*in_fd_ticket*in_fd_comm</f>
        <v/>
      </c>
      <c r="BM289" s="40">
        <f>BM288*(1-IF(B288&gt;=in_marketplace_from,d_hz_recharge*G288,0))</f>
        <v/>
      </c>
      <c r="BN289" s="40">
        <f>BN288*d_rho_recharge+BM289*IF(B289&gt;=in_marketplace_from,d_hz_recharge*G289,0)</f>
        <v/>
      </c>
      <c r="BO289" s="14">
        <f>F289*BN289*in_recharge_ticket*in_recharge_comm/12</f>
        <v/>
      </c>
      <c r="BP289" s="40">
        <f>BP288*(1-IF(B288&gt;=in_marketplace_from,d_hz_bills*G288,0))</f>
        <v/>
      </c>
      <c r="BQ289" s="40">
        <f>BQ288*d_rho_bills+BP289*IF(B289&gt;=in_marketplace_from,d_hz_bills*G289,0)</f>
        <v/>
      </c>
      <c r="BR289" s="14">
        <f>F289*BQ289*in_bills_ticket*in_bills_comm/12</f>
        <v/>
      </c>
      <c r="BS289" s="40">
        <f>BS288*(1-IF(B288&gt;=in_marketplace_from,d_hz_loan_gold*G288,0))</f>
        <v/>
      </c>
      <c r="BT289" s="14">
        <f>F289*BS289*IF(B289&gt;=in_marketplace_from,d_hz_loan_gold*G289,0)*in_loan_gold_ticket*in_loan_gold_comm</f>
        <v/>
      </c>
      <c r="BU289" s="40">
        <f>BU288*(1-IF(B288&gt;=in_marketplace_from,d_hz_loan_cd*G288,0))</f>
        <v/>
      </c>
      <c r="BV289" s="14">
        <f>F289*BU289*IF(B289&gt;=in_marketplace_from,d_hz_loan_cd*G289,0)*in_loan_cd_ticket*in_loan_cd_comm</f>
        <v/>
      </c>
      <c r="BW289" s="40">
        <f>BW288*(1-IF(B288&gt;=in_marketplace_from,d_hz_loan_vehicle*G288,0))</f>
        <v/>
      </c>
      <c r="BX289" s="14">
        <f>F289*BW289*IF(B289&gt;=in_marketplace_from,d_hz_loan_vehicle*G289,0)*in_loan_vehicle_ticket*in_loan_vehicle_comm</f>
        <v/>
      </c>
      <c r="BY289" s="40">
        <f>BY288*(1-IF(B288&gt;=in_marketplace_from,d_hz_loan_home*G288,0)*BZ288)</f>
        <v/>
      </c>
      <c r="BZ289" s="11">
        <f>MIN(in_approval_cap,in_loan_home_approval*INDEX('Age profile'!$O$2:$O$61,B289)*(1+in_approval_growth)^(D289-1))</f>
        <v/>
      </c>
      <c r="CA289" s="14">
        <f>F289*BY289*IF(B289&gt;=in_marketplace_from,d_hz_loan_home*G289,0)*BZ289*in_loan_home_ticket*in_loan_home_comm</f>
        <v/>
      </c>
      <c r="CB289" s="40">
        <f>CB288*(1-IF(B288&gt;=in_marketplace_from,d_hz_loan_lap*G288,0)*CC288)</f>
        <v/>
      </c>
      <c r="CC289" s="11">
        <f>MIN(in_approval_cap,in_loan_lap_approval*INDEX('Age profile'!$O$2:$O$61,B289)*(1+in_approval_growth)^(D289-1))</f>
        <v/>
      </c>
      <c r="CD289" s="14">
        <f>F289*CB289*IF(B289&gt;=in_marketplace_from,d_hz_loan_lap*G289,0)*CC289*in_loan_lap_ticket*in_loan_lap_comm</f>
        <v/>
      </c>
      <c r="CE289" s="14">
        <f>AA289+AB289+AC289+AD289+AG289+AJ289+AM289+AP289+AS289+AU289+AX289+BB289+BE289+BG289+BJ289+BL289+BO289+BR289+BT289+BV289+BX289+CA289+CD289</f>
        <v/>
      </c>
    </row>
    <row r="290">
      <c r="A290" s="39" t="n">
        <v>5</v>
      </c>
      <c r="B290" s="39" t="n">
        <v>55</v>
      </c>
      <c r="C290" s="39">
        <f>A290+B290-1</f>
        <v/>
      </c>
      <c r="D290" s="39">
        <f>INT((C290-1)/12)+1</f>
        <v/>
      </c>
      <c r="E290" s="44">
        <f>INDEX(Monthly!$B$2:$B$61,A290)</f>
        <v/>
      </c>
      <c r="F290" s="44">
        <f>E290*INDEX('Age profile'!$B$2:$B$61,B290)</f>
        <v/>
      </c>
      <c r="G290" s="45">
        <f>MIN(in_takeup_cap,INDEX('Age profile'!$N$2:$N$61,B290)*(1+in_takeup_growth)^(D290-1))</f>
        <v/>
      </c>
      <c r="H290" s="11">
        <f>MIN(in_approval_cap,in_approved_first*INDEX('Age profile'!$O$2:$O$61,B290)*(1+in_approval_growth)^(D290-1))</f>
        <v/>
      </c>
      <c r="I290" s="45">
        <f>G290*MIN(in_takeup_cap,INDEX('Age profile'!$O$2:$O$61,B290)*(1+in_approval_growth)^(D290-1))</f>
        <v/>
      </c>
      <c r="J290" s="40">
        <f>(J289-L289)*F290/F289</f>
        <v/>
      </c>
      <c r="K290" s="40">
        <f>(K289-M289)*F290/F289+SUMIFS(O236:O289,B236:B289,B290-1-d_T)*F290</f>
        <v/>
      </c>
      <c r="L290" s="40">
        <f>IF(B290&gt;=in_marketplace_from,J290*d_hz*G290*in_eligible*H290,0)</f>
        <v/>
      </c>
      <c r="M290" s="40">
        <f>IF(B290&gt;=in_marketplace_from,K290*d_hz*G290*in_eligible*in_approved_repeat,0)</f>
        <v/>
      </c>
      <c r="N290" s="40">
        <f>L290+M290</f>
        <v/>
      </c>
      <c r="O290" s="46">
        <f>N290/F290</f>
        <v/>
      </c>
      <c r="P290" s="40">
        <f>F290-J290-K290</f>
        <v/>
      </c>
      <c r="Q290" s="40">
        <f>IF(B290&gt;=in_marketplace_from,(J290+K290)*d_hz*G290,0)</f>
        <v/>
      </c>
      <c r="R290" s="40">
        <f>SUMIFS(N236:N291,B236:B291,"&gt;="&amp;(B290-d_T),B236:B291,"&lt;="&amp;(B290-1))</f>
        <v/>
      </c>
      <c r="S290" s="46">
        <f>(1-d_u)*S289+IF(d_T&gt;in_topup_lag,SUMIFS(O236:O291,B236:B291,B290-in_topup_lag)-d_udrop*SUMIFS(O236:O291,B236:B291,B290-d_T),0)</f>
        <v/>
      </c>
      <c r="T290" s="40">
        <f>F290*d_u*S290</f>
        <v/>
      </c>
      <c r="U290" s="9">
        <f>L290*in_ticket+M290*d_rep_ticket</f>
        <v/>
      </c>
      <c r="V290" s="9">
        <f>U290+T290*d_topup_amt</f>
        <v/>
      </c>
      <c r="W290" s="40">
        <f>N290+T290*d_topup_ratio</f>
        <v/>
      </c>
      <c r="X290" s="40">
        <f>SUMIFS(W236:W291,B236:B291,B290-in_dpd_lag)*d_cured</f>
        <v/>
      </c>
      <c r="Y290" s="40">
        <f>SUMIFS(W236:W291,B236:B291,B290-in_rec_lag)*d_recd</f>
        <v/>
      </c>
      <c r="Z290" s="40">
        <f>IF(AND(B290&gt;=in_marketplace_from,B290&lt;in_marketplace_from+in_card_months),in_card_share/in_card_months*F290*I290,IF(AND(B290&gt;=in_marketplace_from+in_card_months,B290&lt;in_marketplace_from+2*in_card_months),in_card_share*d_card_rem/in_card_months*F290*MIN(in_takeup_cap,(1+in_takeup_growth)^(D290-1))*MIN(in_takeup_cap,(1+in_approval_growth)^(D290-1)),0))</f>
        <v/>
      </c>
      <c r="AA290" s="14">
        <f>V290*in_fee*(1-in_taken_back)</f>
        <v/>
      </c>
      <c r="AB290" s="14">
        <f>SUMIFS(W236:W291,B236:B291,B290-in_dpd_lag)*d_dpd</f>
        <v/>
      </c>
      <c r="AC290" s="14">
        <f>SUMIFS(W236:W291,B236:B291,B290-in_rec_lag)*d_rec</f>
        <v/>
      </c>
      <c r="AD290" s="14">
        <f>Z290*in_card_fee</f>
        <v/>
      </c>
      <c r="AE290" s="40">
        <f>AE289*(1-IF(B289&gt;=in_marketplace_from,d_hz_hlth_small*G289,0))</f>
        <v/>
      </c>
      <c r="AF290" s="46">
        <f>AE290*IF(B290&gt;=in_marketplace_from,d_hz_hlth_small*G290,0)</f>
        <v/>
      </c>
      <c r="AG290" s="14">
        <f>F290*AF290*in_hlth_small_ticket*in_hlth_small_comm*in_ins_partner_share+F290*in_hlth_small_ticket*in_hlth_small_renew_comm*in_ins_partner_share*(in_hlth_small_renew^1*SUMIFS(AF236:AF291,B236:B291,B290-12)+in_hlth_small_renew^2*SUMIFS(AF236:AF291,B236:B291,B290-24)+in_hlth_small_renew^3*SUMIFS(AF236:AF291,B236:B291,B290-36)+in_hlth_small_renew^4*SUMIFS(AF236:AF291,B236:B291,B290-48))</f>
        <v/>
      </c>
      <c r="AH290" s="40">
        <f>AH289*(1-IF(B289&gt;=in_marketplace_from,d_hz_hlth_family*G289,0))</f>
        <v/>
      </c>
      <c r="AI290" s="46">
        <f>AH290*IF(B290&gt;=in_marketplace_from,d_hz_hlth_family*G290,0)</f>
        <v/>
      </c>
      <c r="AJ290" s="14">
        <f>F290*AI290*in_hlth_family_ticket*in_hlth_family_comm*in_ins_partner_share+F290*in_hlth_family_ticket*in_hlth_family_renew_comm*in_ins_partner_share*(in_hlth_family_renew^1*SUMIFS(AI236:AI291,B236:B291,B290-12)+in_hlth_family_renew^2*SUMIFS(AI236:AI291,B236:B291,B290-24)+in_hlth_family_renew^3*SUMIFS(AI236:AI291,B236:B291,B290-36)+in_hlth_family_renew^4*SUMIFS(AI236:AI291,B236:B291,B290-48))</f>
        <v/>
      </c>
      <c r="AK290" s="40">
        <f>AK289*(1-IF(B289&gt;=in_marketplace_from,d_hz_life_term*G289,0))</f>
        <v/>
      </c>
      <c r="AL290" s="46">
        <f>AK290*IF(B290&gt;=in_marketplace_from,d_hz_life_term*G290,0)</f>
        <v/>
      </c>
      <c r="AM290" s="14">
        <f>F290*AL290*in_life_term_ticket*in_life_term_comm*in_ins_partner_share+F290*in_life_term_ticket*in_life_term_renew_comm*in_ins_partner_share*(in_life_term_renew^1*SUMIFS(AL236:AL291,B236:B291,B290-12)+in_life_term_renew^2*SUMIFS(AL236:AL291,B236:B291,B290-24)+in_life_term_renew^3*SUMIFS(AL236:AL291,B236:B291,B290-36)+in_life_term_renew^4*SUMIFS(AL236:AL291,B236:B291,B290-48))</f>
        <v/>
      </c>
      <c r="AN290" s="40">
        <f>AN289*(1-IF(B289&gt;=in_marketplace_from,d_hz_accident*G289,0))</f>
        <v/>
      </c>
      <c r="AO290" s="46">
        <f>AN290*IF(B290&gt;=in_marketplace_from,d_hz_accident*G290,0)</f>
        <v/>
      </c>
      <c r="AP290" s="14">
        <f>F290*AO290*in_accident_ticket*in_accident_comm*in_ins_partner_share+F290*in_accident_ticket*in_accident_renew_comm*in_ins_partner_share*(in_accident_renew^1*SUMIFS(AO236:AO291,B236:B291,B290-12)+in_accident_renew^2*SUMIFS(AO236:AO291,B236:B291,B290-24)+in_accident_renew^3*SUMIFS(AO236:AO291,B236:B291,B290-36)+in_accident_renew^4*SUMIFS(AO236:AO291,B236:B291,B290-48))</f>
        <v/>
      </c>
      <c r="AQ290" s="40">
        <f>AQ289*(1-IF(B289&gt;=in_marketplace_from,d_hz_two_wheeler*G289,0))</f>
        <v/>
      </c>
      <c r="AR290" s="46">
        <f>AQ290*IF(B290&gt;=in_marketplace_from,d_hz_two_wheeler*G290,0)</f>
        <v/>
      </c>
      <c r="AS290" s="14">
        <f>F290*AR290*in_two_wheeler_ticket*in_two_wheeler_comm*in_ins_partner_share+F290*in_two_wheeler_ticket*in_two_wheeler_comm*in_ins_partner_share*(in_two_wheeler_renew^1*SUMIFS(AR236:AR291,B236:B291,B290-12)+in_two_wheeler_renew^2*SUMIFS(AR236:AR291,B236:B291,B290-24)+in_two_wheeler_renew^3*SUMIFS(AR236:AR291,B236:B291,B290-36)+in_two_wheeler_renew^4*SUMIFS(AR236:AR291,B236:B291,B290-48))</f>
        <v/>
      </c>
      <c r="AT290" s="40">
        <f>AT289*(1-IF(B289&gt;=in_marketplace_from,d_hz_device*G289,0))</f>
        <v/>
      </c>
      <c r="AU290" s="14">
        <f>F290*AT290*IF(B290&gt;=in_marketplace_from,d_hz_device*G290,0)*in_device_ticket*in_device_comm*in_ins_partner_share</f>
        <v/>
      </c>
      <c r="AV290" s="40">
        <f>AV289*(1-IF(B289&gt;=in_marketplace_from,d_hz_shop*G289,0))</f>
        <v/>
      </c>
      <c r="AW290" s="46">
        <f>AV290*IF(B290&gt;=in_marketplace_from,d_hz_shop*G290,0)</f>
        <v/>
      </c>
      <c r="AX290" s="14">
        <f>F290*AW290*in_shop_ticket*in_shop_comm*in_ins_partner_share+F290*in_shop_ticket*in_shop_renew_comm*in_ins_partner_share*(in_shop_renew^1*SUMIFS(AW236:AW291,B236:B291,B290-12)+in_shop_renew^2*SUMIFS(AW236:AW291,B236:B291,B290-24)+in_shop_renew^3*SUMIFS(AW236:AW291,B236:B291,B290-36)+in_shop_renew^4*SUMIFS(AW236:AW291,B236:B291,B290-48))</f>
        <v/>
      </c>
      <c r="AY290" s="40">
        <f>AY289*(1-IF(B289&gt;=in_marketplace_from,d_hz_sip*G289,0))</f>
        <v/>
      </c>
      <c r="AZ290" s="40">
        <f>AZ289*d_rho_sip+AY290*IF(B290&gt;=in_marketplace_from,d_hz_sip*G290,0)</f>
        <v/>
      </c>
      <c r="BA290" s="40">
        <f>d_rho_sip*(BA289+AZ289)</f>
        <v/>
      </c>
      <c r="BB290" s="14">
        <f>F290*in_sip_ticket*(BA290+0.5*AZ290)*in_sip_comm/12</f>
        <v/>
      </c>
      <c r="BC290" s="40">
        <f>BC289*(1-IF(B289&gt;=in_marketplace_from,d_hz_choti*G289,0))</f>
        <v/>
      </c>
      <c r="BD290" s="46">
        <f>BC290*IF(B290&gt;=in_marketplace_from,d_hz_choti*G290,0)</f>
        <v/>
      </c>
      <c r="BE290" s="14">
        <f>F290*SUMIFS(BD236:BD291,B236:B291,B290-in_choti_months)*in_choti_renew*in_choti_ticket</f>
        <v/>
      </c>
      <c r="BF290" s="40">
        <f>BF289*(1-IF(B289&gt;=in_marketplace_from,d_hz_nps*G289,0))</f>
        <v/>
      </c>
      <c r="BG290" s="14">
        <f>F290*BF290*IF(B290&gt;=in_marketplace_from,d_hz_nps*G290,0)*in_nps_ticket*in_nps_comm</f>
        <v/>
      </c>
      <c r="BH290" s="40">
        <f>BH289*(1-IF(B289&gt;=in_marketplace_from,d_hz_gold*G289,0))</f>
        <v/>
      </c>
      <c r="BI290" s="40">
        <f>BI289*d_rho_gold+BH290*IF(B290&gt;=in_marketplace_from,d_hz_gold*G290,0)</f>
        <v/>
      </c>
      <c r="BJ290" s="14">
        <f>F290*BI290*in_gold_ticket*in_gold_comm</f>
        <v/>
      </c>
      <c r="BK290" s="40">
        <f>BK289*(1-IF(B289&gt;=in_marketplace_from,d_hz_fd*G289,0))</f>
        <v/>
      </c>
      <c r="BL290" s="14">
        <f>F290*BK290*IF(B290&gt;=in_marketplace_from,d_hz_fd*G290,0)*in_fd_ticket*in_fd_comm</f>
        <v/>
      </c>
      <c r="BM290" s="40">
        <f>BM289*(1-IF(B289&gt;=in_marketplace_from,d_hz_recharge*G289,0))</f>
        <v/>
      </c>
      <c r="BN290" s="40">
        <f>BN289*d_rho_recharge+BM290*IF(B290&gt;=in_marketplace_from,d_hz_recharge*G290,0)</f>
        <v/>
      </c>
      <c r="BO290" s="14">
        <f>F290*BN290*in_recharge_ticket*in_recharge_comm/12</f>
        <v/>
      </c>
      <c r="BP290" s="40">
        <f>BP289*(1-IF(B289&gt;=in_marketplace_from,d_hz_bills*G289,0))</f>
        <v/>
      </c>
      <c r="BQ290" s="40">
        <f>BQ289*d_rho_bills+BP290*IF(B290&gt;=in_marketplace_from,d_hz_bills*G290,0)</f>
        <v/>
      </c>
      <c r="BR290" s="14">
        <f>F290*BQ290*in_bills_ticket*in_bills_comm/12</f>
        <v/>
      </c>
      <c r="BS290" s="40">
        <f>BS289*(1-IF(B289&gt;=in_marketplace_from,d_hz_loan_gold*G289,0))</f>
        <v/>
      </c>
      <c r="BT290" s="14">
        <f>F290*BS290*IF(B290&gt;=in_marketplace_from,d_hz_loan_gold*G290,0)*in_loan_gold_ticket*in_loan_gold_comm</f>
        <v/>
      </c>
      <c r="BU290" s="40">
        <f>BU289*(1-IF(B289&gt;=in_marketplace_from,d_hz_loan_cd*G289,0))</f>
        <v/>
      </c>
      <c r="BV290" s="14">
        <f>F290*BU290*IF(B290&gt;=in_marketplace_from,d_hz_loan_cd*G290,0)*in_loan_cd_ticket*in_loan_cd_comm</f>
        <v/>
      </c>
      <c r="BW290" s="40">
        <f>BW289*(1-IF(B289&gt;=in_marketplace_from,d_hz_loan_vehicle*G289,0))</f>
        <v/>
      </c>
      <c r="BX290" s="14">
        <f>F290*BW290*IF(B290&gt;=in_marketplace_from,d_hz_loan_vehicle*G290,0)*in_loan_vehicle_ticket*in_loan_vehicle_comm</f>
        <v/>
      </c>
      <c r="BY290" s="40">
        <f>BY289*(1-IF(B289&gt;=in_marketplace_from,d_hz_loan_home*G289,0)*BZ289)</f>
        <v/>
      </c>
      <c r="BZ290" s="11">
        <f>MIN(in_approval_cap,in_loan_home_approval*INDEX('Age profile'!$O$2:$O$61,B290)*(1+in_approval_growth)^(D290-1))</f>
        <v/>
      </c>
      <c r="CA290" s="14">
        <f>F290*BY290*IF(B290&gt;=in_marketplace_from,d_hz_loan_home*G290,0)*BZ290*in_loan_home_ticket*in_loan_home_comm</f>
        <v/>
      </c>
      <c r="CB290" s="40">
        <f>CB289*(1-IF(B289&gt;=in_marketplace_from,d_hz_loan_lap*G289,0)*CC289)</f>
        <v/>
      </c>
      <c r="CC290" s="11">
        <f>MIN(in_approval_cap,in_loan_lap_approval*INDEX('Age profile'!$O$2:$O$61,B290)*(1+in_approval_growth)^(D290-1))</f>
        <v/>
      </c>
      <c r="CD290" s="14">
        <f>F290*CB290*IF(B290&gt;=in_marketplace_from,d_hz_loan_lap*G290,0)*CC290*in_loan_lap_ticket*in_loan_lap_comm</f>
        <v/>
      </c>
      <c r="CE290" s="14">
        <f>AA290+AB290+AC290+AD290+AG290+AJ290+AM290+AP290+AS290+AU290+AX290+BB290+BE290+BG290+BJ290+BL290+BO290+BR290+BT290+BV290+BX290+CA290+CD290</f>
        <v/>
      </c>
    </row>
    <row r="291">
      <c r="A291" s="39" t="n">
        <v>5</v>
      </c>
      <c r="B291" s="39" t="n">
        <v>56</v>
      </c>
      <c r="C291" s="39">
        <f>A291+B291-1</f>
        <v/>
      </c>
      <c r="D291" s="39">
        <f>INT((C291-1)/12)+1</f>
        <v/>
      </c>
      <c r="E291" s="44">
        <f>INDEX(Monthly!$B$2:$B$61,A291)</f>
        <v/>
      </c>
      <c r="F291" s="44">
        <f>E291*INDEX('Age profile'!$B$2:$B$61,B291)</f>
        <v/>
      </c>
      <c r="G291" s="45">
        <f>MIN(in_takeup_cap,INDEX('Age profile'!$N$2:$N$61,B291)*(1+in_takeup_growth)^(D291-1))</f>
        <v/>
      </c>
      <c r="H291" s="11">
        <f>MIN(in_approval_cap,in_approved_first*INDEX('Age profile'!$O$2:$O$61,B291)*(1+in_approval_growth)^(D291-1))</f>
        <v/>
      </c>
      <c r="I291" s="45">
        <f>G291*MIN(in_takeup_cap,INDEX('Age profile'!$O$2:$O$61,B291)*(1+in_approval_growth)^(D291-1))</f>
        <v/>
      </c>
      <c r="J291" s="40">
        <f>(J290-L290)*F291/F290</f>
        <v/>
      </c>
      <c r="K291" s="40">
        <f>(K290-M290)*F291/F290+SUMIFS(O236:O290,B236:B290,B291-1-d_T)*F291</f>
        <v/>
      </c>
      <c r="L291" s="40">
        <f>IF(B291&gt;=in_marketplace_from,J291*d_hz*G291*in_eligible*H291,0)</f>
        <v/>
      </c>
      <c r="M291" s="40">
        <f>IF(B291&gt;=in_marketplace_from,K291*d_hz*G291*in_eligible*in_approved_repeat,0)</f>
        <v/>
      </c>
      <c r="N291" s="40">
        <f>L291+M291</f>
        <v/>
      </c>
      <c r="O291" s="46">
        <f>N291/F291</f>
        <v/>
      </c>
      <c r="P291" s="40">
        <f>F291-J291-K291</f>
        <v/>
      </c>
      <c r="Q291" s="40">
        <f>IF(B291&gt;=in_marketplace_from,(J291+K291)*d_hz*G291,0)</f>
        <v/>
      </c>
      <c r="R291" s="40">
        <f>SUMIFS(N236:N291,B236:B291,"&gt;="&amp;(B291-d_T),B236:B291,"&lt;="&amp;(B291-1))</f>
        <v/>
      </c>
      <c r="S291" s="46">
        <f>(1-d_u)*S290+IF(d_T&gt;in_topup_lag,SUMIFS(O236:O291,B236:B291,B291-in_topup_lag)-d_udrop*SUMIFS(O236:O291,B236:B291,B291-d_T),0)</f>
        <v/>
      </c>
      <c r="T291" s="40">
        <f>F291*d_u*S291</f>
        <v/>
      </c>
      <c r="U291" s="9">
        <f>L291*in_ticket+M291*d_rep_ticket</f>
        <v/>
      </c>
      <c r="V291" s="9">
        <f>U291+T291*d_topup_amt</f>
        <v/>
      </c>
      <c r="W291" s="40">
        <f>N291+T291*d_topup_ratio</f>
        <v/>
      </c>
      <c r="X291" s="40">
        <f>SUMIFS(W236:W291,B236:B291,B291-in_dpd_lag)*d_cured</f>
        <v/>
      </c>
      <c r="Y291" s="40">
        <f>SUMIFS(W236:W291,B236:B291,B291-in_rec_lag)*d_recd</f>
        <v/>
      </c>
      <c r="Z291" s="40">
        <f>IF(AND(B291&gt;=in_marketplace_from,B291&lt;in_marketplace_from+in_card_months),in_card_share/in_card_months*F291*I291,IF(AND(B291&gt;=in_marketplace_from+in_card_months,B291&lt;in_marketplace_from+2*in_card_months),in_card_share*d_card_rem/in_card_months*F291*MIN(in_takeup_cap,(1+in_takeup_growth)^(D291-1))*MIN(in_takeup_cap,(1+in_approval_growth)^(D291-1)),0))</f>
        <v/>
      </c>
      <c r="AA291" s="14">
        <f>V291*in_fee*(1-in_taken_back)</f>
        <v/>
      </c>
      <c r="AB291" s="14">
        <f>SUMIFS(W236:W291,B236:B291,B291-in_dpd_lag)*d_dpd</f>
        <v/>
      </c>
      <c r="AC291" s="14">
        <f>SUMIFS(W236:W291,B236:B291,B291-in_rec_lag)*d_rec</f>
        <v/>
      </c>
      <c r="AD291" s="14">
        <f>Z291*in_card_fee</f>
        <v/>
      </c>
      <c r="AE291" s="40">
        <f>AE290*(1-IF(B290&gt;=in_marketplace_from,d_hz_hlth_small*G290,0))</f>
        <v/>
      </c>
      <c r="AF291" s="46">
        <f>AE291*IF(B291&gt;=in_marketplace_from,d_hz_hlth_small*G291,0)</f>
        <v/>
      </c>
      <c r="AG291" s="14">
        <f>F291*AF291*in_hlth_small_ticket*in_hlth_small_comm*in_ins_partner_share+F291*in_hlth_small_ticket*in_hlth_small_renew_comm*in_ins_partner_share*(in_hlth_small_renew^1*SUMIFS(AF236:AF291,B236:B291,B291-12)+in_hlth_small_renew^2*SUMIFS(AF236:AF291,B236:B291,B291-24)+in_hlth_small_renew^3*SUMIFS(AF236:AF291,B236:B291,B291-36)+in_hlth_small_renew^4*SUMIFS(AF236:AF291,B236:B291,B291-48))</f>
        <v/>
      </c>
      <c r="AH291" s="40">
        <f>AH290*(1-IF(B290&gt;=in_marketplace_from,d_hz_hlth_family*G290,0))</f>
        <v/>
      </c>
      <c r="AI291" s="46">
        <f>AH291*IF(B291&gt;=in_marketplace_from,d_hz_hlth_family*G291,0)</f>
        <v/>
      </c>
      <c r="AJ291" s="14">
        <f>F291*AI291*in_hlth_family_ticket*in_hlth_family_comm*in_ins_partner_share+F291*in_hlth_family_ticket*in_hlth_family_renew_comm*in_ins_partner_share*(in_hlth_family_renew^1*SUMIFS(AI236:AI291,B236:B291,B291-12)+in_hlth_family_renew^2*SUMIFS(AI236:AI291,B236:B291,B291-24)+in_hlth_family_renew^3*SUMIFS(AI236:AI291,B236:B291,B291-36)+in_hlth_family_renew^4*SUMIFS(AI236:AI291,B236:B291,B291-48))</f>
        <v/>
      </c>
      <c r="AK291" s="40">
        <f>AK290*(1-IF(B290&gt;=in_marketplace_from,d_hz_life_term*G290,0))</f>
        <v/>
      </c>
      <c r="AL291" s="46">
        <f>AK291*IF(B291&gt;=in_marketplace_from,d_hz_life_term*G291,0)</f>
        <v/>
      </c>
      <c r="AM291" s="14">
        <f>F291*AL291*in_life_term_ticket*in_life_term_comm*in_ins_partner_share+F291*in_life_term_ticket*in_life_term_renew_comm*in_ins_partner_share*(in_life_term_renew^1*SUMIFS(AL236:AL291,B236:B291,B291-12)+in_life_term_renew^2*SUMIFS(AL236:AL291,B236:B291,B291-24)+in_life_term_renew^3*SUMIFS(AL236:AL291,B236:B291,B291-36)+in_life_term_renew^4*SUMIFS(AL236:AL291,B236:B291,B291-48))</f>
        <v/>
      </c>
      <c r="AN291" s="40">
        <f>AN290*(1-IF(B290&gt;=in_marketplace_from,d_hz_accident*G290,0))</f>
        <v/>
      </c>
      <c r="AO291" s="46">
        <f>AN291*IF(B291&gt;=in_marketplace_from,d_hz_accident*G291,0)</f>
        <v/>
      </c>
      <c r="AP291" s="14">
        <f>F291*AO291*in_accident_ticket*in_accident_comm*in_ins_partner_share+F291*in_accident_ticket*in_accident_renew_comm*in_ins_partner_share*(in_accident_renew^1*SUMIFS(AO236:AO291,B236:B291,B291-12)+in_accident_renew^2*SUMIFS(AO236:AO291,B236:B291,B291-24)+in_accident_renew^3*SUMIFS(AO236:AO291,B236:B291,B291-36)+in_accident_renew^4*SUMIFS(AO236:AO291,B236:B291,B291-48))</f>
        <v/>
      </c>
      <c r="AQ291" s="40">
        <f>AQ290*(1-IF(B290&gt;=in_marketplace_from,d_hz_two_wheeler*G290,0))</f>
        <v/>
      </c>
      <c r="AR291" s="46">
        <f>AQ291*IF(B291&gt;=in_marketplace_from,d_hz_two_wheeler*G291,0)</f>
        <v/>
      </c>
      <c r="AS291" s="14">
        <f>F291*AR291*in_two_wheeler_ticket*in_two_wheeler_comm*in_ins_partner_share+F291*in_two_wheeler_ticket*in_two_wheeler_comm*in_ins_partner_share*(in_two_wheeler_renew^1*SUMIFS(AR236:AR291,B236:B291,B291-12)+in_two_wheeler_renew^2*SUMIFS(AR236:AR291,B236:B291,B291-24)+in_two_wheeler_renew^3*SUMIFS(AR236:AR291,B236:B291,B291-36)+in_two_wheeler_renew^4*SUMIFS(AR236:AR291,B236:B291,B291-48))</f>
        <v/>
      </c>
      <c r="AT291" s="40">
        <f>AT290*(1-IF(B290&gt;=in_marketplace_from,d_hz_device*G290,0))</f>
        <v/>
      </c>
      <c r="AU291" s="14">
        <f>F291*AT291*IF(B291&gt;=in_marketplace_from,d_hz_device*G291,0)*in_device_ticket*in_device_comm*in_ins_partner_share</f>
        <v/>
      </c>
      <c r="AV291" s="40">
        <f>AV290*(1-IF(B290&gt;=in_marketplace_from,d_hz_shop*G290,0))</f>
        <v/>
      </c>
      <c r="AW291" s="46">
        <f>AV291*IF(B291&gt;=in_marketplace_from,d_hz_shop*G291,0)</f>
        <v/>
      </c>
      <c r="AX291" s="14">
        <f>F291*AW291*in_shop_ticket*in_shop_comm*in_ins_partner_share+F291*in_shop_ticket*in_shop_renew_comm*in_ins_partner_share*(in_shop_renew^1*SUMIFS(AW236:AW291,B236:B291,B291-12)+in_shop_renew^2*SUMIFS(AW236:AW291,B236:B291,B291-24)+in_shop_renew^3*SUMIFS(AW236:AW291,B236:B291,B291-36)+in_shop_renew^4*SUMIFS(AW236:AW291,B236:B291,B291-48))</f>
        <v/>
      </c>
      <c r="AY291" s="40">
        <f>AY290*(1-IF(B290&gt;=in_marketplace_from,d_hz_sip*G290,0))</f>
        <v/>
      </c>
      <c r="AZ291" s="40">
        <f>AZ290*d_rho_sip+AY291*IF(B291&gt;=in_marketplace_from,d_hz_sip*G291,0)</f>
        <v/>
      </c>
      <c r="BA291" s="40">
        <f>d_rho_sip*(BA290+AZ290)</f>
        <v/>
      </c>
      <c r="BB291" s="14">
        <f>F291*in_sip_ticket*(BA291+0.5*AZ291)*in_sip_comm/12</f>
        <v/>
      </c>
      <c r="BC291" s="40">
        <f>BC290*(1-IF(B290&gt;=in_marketplace_from,d_hz_choti*G290,0))</f>
        <v/>
      </c>
      <c r="BD291" s="46">
        <f>BC291*IF(B291&gt;=in_marketplace_from,d_hz_choti*G291,0)</f>
        <v/>
      </c>
      <c r="BE291" s="14">
        <f>F291*SUMIFS(BD236:BD291,B236:B291,B291-in_choti_months)*in_choti_renew*in_choti_ticket</f>
        <v/>
      </c>
      <c r="BF291" s="40">
        <f>BF290*(1-IF(B290&gt;=in_marketplace_from,d_hz_nps*G290,0))</f>
        <v/>
      </c>
      <c r="BG291" s="14">
        <f>F291*BF291*IF(B291&gt;=in_marketplace_from,d_hz_nps*G291,0)*in_nps_ticket*in_nps_comm</f>
        <v/>
      </c>
      <c r="BH291" s="40">
        <f>BH290*(1-IF(B290&gt;=in_marketplace_from,d_hz_gold*G290,0))</f>
        <v/>
      </c>
      <c r="BI291" s="40">
        <f>BI290*d_rho_gold+BH291*IF(B291&gt;=in_marketplace_from,d_hz_gold*G291,0)</f>
        <v/>
      </c>
      <c r="BJ291" s="14">
        <f>F291*BI291*in_gold_ticket*in_gold_comm</f>
        <v/>
      </c>
      <c r="BK291" s="40">
        <f>BK290*(1-IF(B290&gt;=in_marketplace_from,d_hz_fd*G290,0))</f>
        <v/>
      </c>
      <c r="BL291" s="14">
        <f>F291*BK291*IF(B291&gt;=in_marketplace_from,d_hz_fd*G291,0)*in_fd_ticket*in_fd_comm</f>
        <v/>
      </c>
      <c r="BM291" s="40">
        <f>BM290*(1-IF(B290&gt;=in_marketplace_from,d_hz_recharge*G290,0))</f>
        <v/>
      </c>
      <c r="BN291" s="40">
        <f>BN290*d_rho_recharge+BM291*IF(B291&gt;=in_marketplace_from,d_hz_recharge*G291,0)</f>
        <v/>
      </c>
      <c r="BO291" s="14">
        <f>F291*BN291*in_recharge_ticket*in_recharge_comm/12</f>
        <v/>
      </c>
      <c r="BP291" s="40">
        <f>BP290*(1-IF(B290&gt;=in_marketplace_from,d_hz_bills*G290,0))</f>
        <v/>
      </c>
      <c r="BQ291" s="40">
        <f>BQ290*d_rho_bills+BP291*IF(B291&gt;=in_marketplace_from,d_hz_bills*G291,0)</f>
        <v/>
      </c>
      <c r="BR291" s="14">
        <f>F291*BQ291*in_bills_ticket*in_bills_comm/12</f>
        <v/>
      </c>
      <c r="BS291" s="40">
        <f>BS290*(1-IF(B290&gt;=in_marketplace_from,d_hz_loan_gold*G290,0))</f>
        <v/>
      </c>
      <c r="BT291" s="14">
        <f>F291*BS291*IF(B291&gt;=in_marketplace_from,d_hz_loan_gold*G291,0)*in_loan_gold_ticket*in_loan_gold_comm</f>
        <v/>
      </c>
      <c r="BU291" s="40">
        <f>BU290*(1-IF(B290&gt;=in_marketplace_from,d_hz_loan_cd*G290,0))</f>
        <v/>
      </c>
      <c r="BV291" s="14">
        <f>F291*BU291*IF(B291&gt;=in_marketplace_from,d_hz_loan_cd*G291,0)*in_loan_cd_ticket*in_loan_cd_comm</f>
        <v/>
      </c>
      <c r="BW291" s="40">
        <f>BW290*(1-IF(B290&gt;=in_marketplace_from,d_hz_loan_vehicle*G290,0))</f>
        <v/>
      </c>
      <c r="BX291" s="14">
        <f>F291*BW291*IF(B291&gt;=in_marketplace_from,d_hz_loan_vehicle*G291,0)*in_loan_vehicle_ticket*in_loan_vehicle_comm</f>
        <v/>
      </c>
      <c r="BY291" s="40">
        <f>BY290*(1-IF(B290&gt;=in_marketplace_from,d_hz_loan_home*G290,0)*BZ290)</f>
        <v/>
      </c>
      <c r="BZ291" s="11">
        <f>MIN(in_approval_cap,in_loan_home_approval*INDEX('Age profile'!$O$2:$O$61,B291)*(1+in_approval_growth)^(D291-1))</f>
        <v/>
      </c>
      <c r="CA291" s="14">
        <f>F291*BY291*IF(B291&gt;=in_marketplace_from,d_hz_loan_home*G291,0)*BZ291*in_loan_home_ticket*in_loan_home_comm</f>
        <v/>
      </c>
      <c r="CB291" s="40">
        <f>CB290*(1-IF(B290&gt;=in_marketplace_from,d_hz_loan_lap*G290,0)*CC290)</f>
        <v/>
      </c>
      <c r="CC291" s="11">
        <f>MIN(in_approval_cap,in_loan_lap_approval*INDEX('Age profile'!$O$2:$O$61,B291)*(1+in_approval_growth)^(D291-1))</f>
        <v/>
      </c>
      <c r="CD291" s="14">
        <f>F291*CB291*IF(B291&gt;=in_marketplace_from,d_hz_loan_lap*G291,0)*CC291*in_loan_lap_ticket*in_loan_lap_comm</f>
        <v/>
      </c>
      <c r="CE291" s="14">
        <f>AA291+AB291+AC291+AD291+AG291+AJ291+AM291+AP291+AS291+AU291+AX291+BB291+BE291+BG291+BJ291+BL291+BO291+BR291+BT291+BV291+BX291+CA291+CD291</f>
        <v/>
      </c>
    </row>
    <row r="292">
      <c r="A292" s="39" t="n">
        <v>6</v>
      </c>
      <c r="B292" s="39" t="n">
        <v>1</v>
      </c>
      <c r="C292" s="39">
        <f>A292+B292-1</f>
        <v/>
      </c>
      <c r="D292" s="39">
        <f>INT((C292-1)/12)+1</f>
        <v/>
      </c>
      <c r="E292" s="44">
        <f>INDEX(Monthly!$B$2:$B$61,A292)</f>
        <v/>
      </c>
      <c r="F292" s="44">
        <f>E292*INDEX('Age profile'!$B$2:$B$61,B292)</f>
        <v/>
      </c>
      <c r="G292" s="45">
        <f>MIN(in_takeup_cap,INDEX('Age profile'!$N$2:$N$61,B292)*(1+in_takeup_growth)^(D292-1))</f>
        <v/>
      </c>
      <c r="H292" s="11">
        <f>MIN(in_approval_cap,in_approved_first*INDEX('Age profile'!$O$2:$O$61,B292)*(1+in_approval_growth)^(D292-1))</f>
        <v/>
      </c>
      <c r="I292" s="45">
        <f>G292*MIN(in_takeup_cap,INDEX('Age profile'!$O$2:$O$61,B292)*(1+in_approval_growth)^(D292-1))</f>
        <v/>
      </c>
      <c r="J292" s="40">
        <f>E292</f>
        <v/>
      </c>
      <c r="K292" s="40" t="n">
        <v>0</v>
      </c>
      <c r="L292" s="40">
        <f>IF(B292&gt;=in_marketplace_from,J292*d_hz*G292*in_eligible*H292,0)</f>
        <v/>
      </c>
      <c r="M292" s="40">
        <f>IF(B292&gt;=in_marketplace_from,K292*d_hz*G292*in_eligible*in_approved_repeat,0)</f>
        <v/>
      </c>
      <c r="N292" s="40">
        <f>L292+M292</f>
        <v/>
      </c>
      <c r="O292" s="46">
        <f>N292/F292</f>
        <v/>
      </c>
      <c r="P292" s="40">
        <f>F292-J292-K292</f>
        <v/>
      </c>
      <c r="Q292" s="40">
        <f>IF(B292&gt;=in_marketplace_from,(J292+K292)*d_hz*G292,0)</f>
        <v/>
      </c>
      <c r="R292" s="40">
        <f>SUMIFS(N292:N346,B292:B346,"&gt;="&amp;(B292-d_T),B292:B346,"&lt;="&amp;(B292-1))</f>
        <v/>
      </c>
      <c r="S292" s="46" t="n">
        <v>0</v>
      </c>
      <c r="T292" s="40">
        <f>F292*d_u*S292</f>
        <v/>
      </c>
      <c r="U292" s="9">
        <f>L292*in_ticket+M292*d_rep_ticket</f>
        <v/>
      </c>
      <c r="V292" s="9">
        <f>U292+T292*d_topup_amt</f>
        <v/>
      </c>
      <c r="W292" s="40">
        <f>N292+T292*d_topup_ratio</f>
        <v/>
      </c>
      <c r="X292" s="40">
        <f>SUMIFS(W292:W346,B292:B346,B292-in_dpd_lag)*d_cured</f>
        <v/>
      </c>
      <c r="Y292" s="40">
        <f>SUMIFS(W292:W346,B292:B346,B292-in_rec_lag)*d_recd</f>
        <v/>
      </c>
      <c r="Z292" s="40">
        <f>IF(AND(B292&gt;=in_marketplace_from,B292&lt;in_marketplace_from+in_card_months),in_card_share/in_card_months*F292*I292,IF(AND(B292&gt;=in_marketplace_from+in_card_months,B292&lt;in_marketplace_from+2*in_card_months),in_card_share*d_card_rem/in_card_months*F292*MIN(in_takeup_cap,(1+in_takeup_growth)^(D292-1))*MIN(in_takeup_cap,(1+in_approval_growth)^(D292-1)),0))</f>
        <v/>
      </c>
      <c r="AA292" s="14">
        <f>V292*in_fee*(1-in_taken_back)</f>
        <v/>
      </c>
      <c r="AB292" s="14">
        <f>SUMIFS(W292:W346,B292:B346,B292-in_dpd_lag)*d_dpd</f>
        <v/>
      </c>
      <c r="AC292" s="14">
        <f>SUMIFS(W292:W346,B292:B346,B292-in_rec_lag)*d_rec</f>
        <v/>
      </c>
      <c r="AD292" s="14">
        <f>Z292*in_card_fee</f>
        <v/>
      </c>
      <c r="AE292" s="40" t="n">
        <v>1</v>
      </c>
      <c r="AF292" s="46">
        <f>AE292*IF(B292&gt;=in_marketplace_from,d_hz_hlth_small*G292,0)</f>
        <v/>
      </c>
      <c r="AG292" s="14">
        <f>F292*AF292*in_hlth_small_ticket*in_hlth_small_comm*in_ins_partner_share+F292*in_hlth_small_ticket*in_hlth_small_renew_comm*in_ins_partner_share*(in_hlth_small_renew^1*SUMIFS(AF292:AF346,B292:B346,B292-12)+in_hlth_small_renew^2*SUMIFS(AF292:AF346,B292:B346,B292-24)+in_hlth_small_renew^3*SUMIFS(AF292:AF346,B292:B346,B292-36)+in_hlth_small_renew^4*SUMIFS(AF292:AF346,B292:B346,B292-48))</f>
        <v/>
      </c>
      <c r="AH292" s="40" t="n">
        <v>1</v>
      </c>
      <c r="AI292" s="46">
        <f>AH292*IF(B292&gt;=in_marketplace_from,d_hz_hlth_family*G292,0)</f>
        <v/>
      </c>
      <c r="AJ292" s="14">
        <f>F292*AI292*in_hlth_family_ticket*in_hlth_family_comm*in_ins_partner_share+F292*in_hlth_family_ticket*in_hlth_family_renew_comm*in_ins_partner_share*(in_hlth_family_renew^1*SUMIFS(AI292:AI346,B292:B346,B292-12)+in_hlth_family_renew^2*SUMIFS(AI292:AI346,B292:B346,B292-24)+in_hlth_family_renew^3*SUMIFS(AI292:AI346,B292:B346,B292-36)+in_hlth_family_renew^4*SUMIFS(AI292:AI346,B292:B346,B292-48))</f>
        <v/>
      </c>
      <c r="AK292" s="40" t="n">
        <v>1</v>
      </c>
      <c r="AL292" s="46">
        <f>AK292*IF(B292&gt;=in_marketplace_from,d_hz_life_term*G292,0)</f>
        <v/>
      </c>
      <c r="AM292" s="14">
        <f>F292*AL292*in_life_term_ticket*in_life_term_comm*in_ins_partner_share+F292*in_life_term_ticket*in_life_term_renew_comm*in_ins_partner_share*(in_life_term_renew^1*SUMIFS(AL292:AL346,B292:B346,B292-12)+in_life_term_renew^2*SUMIFS(AL292:AL346,B292:B346,B292-24)+in_life_term_renew^3*SUMIFS(AL292:AL346,B292:B346,B292-36)+in_life_term_renew^4*SUMIFS(AL292:AL346,B292:B346,B292-48))</f>
        <v/>
      </c>
      <c r="AN292" s="40" t="n">
        <v>1</v>
      </c>
      <c r="AO292" s="46">
        <f>AN292*IF(B292&gt;=in_marketplace_from,d_hz_accident*G292,0)</f>
        <v/>
      </c>
      <c r="AP292" s="14">
        <f>F292*AO292*in_accident_ticket*in_accident_comm*in_ins_partner_share+F292*in_accident_ticket*in_accident_renew_comm*in_ins_partner_share*(in_accident_renew^1*SUMIFS(AO292:AO346,B292:B346,B292-12)+in_accident_renew^2*SUMIFS(AO292:AO346,B292:B346,B292-24)+in_accident_renew^3*SUMIFS(AO292:AO346,B292:B346,B292-36)+in_accident_renew^4*SUMIFS(AO292:AO346,B292:B346,B292-48))</f>
        <v/>
      </c>
      <c r="AQ292" s="40" t="n">
        <v>1</v>
      </c>
      <c r="AR292" s="46">
        <f>AQ292*IF(B292&gt;=in_marketplace_from,d_hz_two_wheeler*G292,0)</f>
        <v/>
      </c>
      <c r="AS292" s="14">
        <f>F292*AR292*in_two_wheeler_ticket*in_two_wheeler_comm*in_ins_partner_share+F292*in_two_wheeler_ticket*in_two_wheeler_comm*in_ins_partner_share*(in_two_wheeler_renew^1*SUMIFS(AR292:AR346,B292:B346,B292-12)+in_two_wheeler_renew^2*SUMIFS(AR292:AR346,B292:B346,B292-24)+in_two_wheeler_renew^3*SUMIFS(AR292:AR346,B292:B346,B292-36)+in_two_wheeler_renew^4*SUMIFS(AR292:AR346,B292:B346,B292-48))</f>
        <v/>
      </c>
      <c r="AT292" s="40" t="n">
        <v>1</v>
      </c>
      <c r="AU292" s="14">
        <f>F292*AT292*IF(B292&gt;=in_marketplace_from,d_hz_device*G292,0)*in_device_ticket*in_device_comm*in_ins_partner_share</f>
        <v/>
      </c>
      <c r="AV292" s="40" t="n">
        <v>1</v>
      </c>
      <c r="AW292" s="46">
        <f>AV292*IF(B292&gt;=in_marketplace_from,d_hz_shop*G292,0)</f>
        <v/>
      </c>
      <c r="AX292" s="14">
        <f>F292*AW292*in_shop_ticket*in_shop_comm*in_ins_partner_share+F292*in_shop_ticket*in_shop_renew_comm*in_ins_partner_share*(in_shop_renew^1*SUMIFS(AW292:AW346,B292:B346,B292-12)+in_shop_renew^2*SUMIFS(AW292:AW346,B292:B346,B292-24)+in_shop_renew^3*SUMIFS(AW292:AW346,B292:B346,B292-36)+in_shop_renew^4*SUMIFS(AW292:AW346,B292:B346,B292-48))</f>
        <v/>
      </c>
      <c r="AY292" s="40" t="n">
        <v>1</v>
      </c>
      <c r="AZ292" s="40">
        <f>AY292*IF(B292&gt;=in_marketplace_from,d_hz_sip*G292,0)</f>
        <v/>
      </c>
      <c r="BA292" s="40" t="n">
        <v>0</v>
      </c>
      <c r="BB292" s="14">
        <f>F292*in_sip_ticket*(BA292+0.5*AZ292)*in_sip_comm/12</f>
        <v/>
      </c>
      <c r="BC292" s="40" t="n">
        <v>1</v>
      </c>
      <c r="BD292" s="46">
        <f>BC292*IF(B292&gt;=in_marketplace_from,d_hz_choti*G292,0)</f>
        <v/>
      </c>
      <c r="BE292" s="14">
        <f>F292*SUMIFS(BD292:BD346,B292:B346,B292-in_choti_months)*in_choti_renew*in_choti_ticket</f>
        <v/>
      </c>
      <c r="BF292" s="40" t="n">
        <v>1</v>
      </c>
      <c r="BG292" s="14">
        <f>F292*BF292*IF(B292&gt;=in_marketplace_from,d_hz_nps*G292,0)*in_nps_ticket*in_nps_comm</f>
        <v/>
      </c>
      <c r="BH292" s="40" t="n">
        <v>1</v>
      </c>
      <c r="BI292" s="40">
        <f>BH292*IF(B292&gt;=in_marketplace_from,d_hz_gold*G292,0)</f>
        <v/>
      </c>
      <c r="BJ292" s="14">
        <f>F292*BI292*in_gold_ticket*in_gold_comm</f>
        <v/>
      </c>
      <c r="BK292" s="40" t="n">
        <v>1</v>
      </c>
      <c r="BL292" s="14">
        <f>F292*BK292*IF(B292&gt;=in_marketplace_from,d_hz_fd*G292,0)*in_fd_ticket*in_fd_comm</f>
        <v/>
      </c>
      <c r="BM292" s="40" t="n">
        <v>1</v>
      </c>
      <c r="BN292" s="40">
        <f>BM292*IF(B292&gt;=in_marketplace_from,d_hz_recharge*G292,0)</f>
        <v/>
      </c>
      <c r="BO292" s="14">
        <f>F292*BN292*in_recharge_ticket*in_recharge_comm/12</f>
        <v/>
      </c>
      <c r="BP292" s="40" t="n">
        <v>1</v>
      </c>
      <c r="BQ292" s="40">
        <f>BP292*IF(B292&gt;=in_marketplace_from,d_hz_bills*G292,0)</f>
        <v/>
      </c>
      <c r="BR292" s="14">
        <f>F292*BQ292*in_bills_ticket*in_bills_comm/12</f>
        <v/>
      </c>
      <c r="BS292" s="40" t="n">
        <v>1</v>
      </c>
      <c r="BT292" s="14">
        <f>F292*BS292*IF(B292&gt;=in_marketplace_from,d_hz_loan_gold*G292,0)*in_loan_gold_ticket*in_loan_gold_comm</f>
        <v/>
      </c>
      <c r="BU292" s="40" t="n">
        <v>1</v>
      </c>
      <c r="BV292" s="14">
        <f>F292*BU292*IF(B292&gt;=in_marketplace_from,d_hz_loan_cd*G292,0)*in_loan_cd_ticket*in_loan_cd_comm</f>
        <v/>
      </c>
      <c r="BW292" s="40" t="n">
        <v>1</v>
      </c>
      <c r="BX292" s="14">
        <f>F292*BW292*IF(B292&gt;=in_marketplace_from,d_hz_loan_vehicle*G292,0)*in_loan_vehicle_ticket*in_loan_vehicle_comm</f>
        <v/>
      </c>
      <c r="BY292" s="40" t="n">
        <v>1</v>
      </c>
      <c r="BZ292" s="11">
        <f>MIN(in_approval_cap,in_loan_home_approval*INDEX('Age profile'!$O$2:$O$61,B292)*(1+in_approval_growth)^(D292-1))</f>
        <v/>
      </c>
      <c r="CA292" s="14">
        <f>F292*BY292*IF(B292&gt;=in_marketplace_from,d_hz_loan_home*G292,0)*BZ292*in_loan_home_ticket*in_loan_home_comm</f>
        <v/>
      </c>
      <c r="CB292" s="40" t="n">
        <v>1</v>
      </c>
      <c r="CC292" s="11">
        <f>MIN(in_approval_cap,in_loan_lap_approval*INDEX('Age profile'!$O$2:$O$61,B292)*(1+in_approval_growth)^(D292-1))</f>
        <v/>
      </c>
      <c r="CD292" s="14">
        <f>F292*CB292*IF(B292&gt;=in_marketplace_from,d_hz_loan_lap*G292,0)*CC292*in_loan_lap_ticket*in_loan_lap_comm</f>
        <v/>
      </c>
      <c r="CE292" s="14">
        <f>AA292+AB292+AC292+AD292+AG292+AJ292+AM292+AP292+AS292+AU292+AX292+BB292+BE292+BG292+BJ292+BL292+BO292+BR292+BT292+BV292+BX292+CA292+CD292</f>
        <v/>
      </c>
    </row>
    <row r="293">
      <c r="A293" s="39" t="n">
        <v>6</v>
      </c>
      <c r="B293" s="39" t="n">
        <v>2</v>
      </c>
      <c r="C293" s="39">
        <f>A293+B293-1</f>
        <v/>
      </c>
      <c r="D293" s="39">
        <f>INT((C293-1)/12)+1</f>
        <v/>
      </c>
      <c r="E293" s="44">
        <f>INDEX(Monthly!$B$2:$B$61,A293)</f>
        <v/>
      </c>
      <c r="F293" s="44">
        <f>E293*INDEX('Age profile'!$B$2:$B$61,B293)</f>
        <v/>
      </c>
      <c r="G293" s="45">
        <f>MIN(in_takeup_cap,INDEX('Age profile'!$N$2:$N$61,B293)*(1+in_takeup_growth)^(D293-1))</f>
        <v/>
      </c>
      <c r="H293" s="11">
        <f>MIN(in_approval_cap,in_approved_first*INDEX('Age profile'!$O$2:$O$61,B293)*(1+in_approval_growth)^(D293-1))</f>
        <v/>
      </c>
      <c r="I293" s="45">
        <f>G293*MIN(in_takeup_cap,INDEX('Age profile'!$O$2:$O$61,B293)*(1+in_approval_growth)^(D293-1))</f>
        <v/>
      </c>
      <c r="J293" s="40">
        <f>(J292-L292)*F293/F292</f>
        <v/>
      </c>
      <c r="K293" s="40">
        <f>(K292-M292)*F293/F292+SUMIFS(O292:O292,B292:B292,B293-1-d_T)*F293</f>
        <v/>
      </c>
      <c r="L293" s="40">
        <f>IF(B293&gt;=in_marketplace_from,J293*d_hz*G293*in_eligible*H293,0)</f>
        <v/>
      </c>
      <c r="M293" s="40">
        <f>IF(B293&gt;=in_marketplace_from,K293*d_hz*G293*in_eligible*in_approved_repeat,0)</f>
        <v/>
      </c>
      <c r="N293" s="40">
        <f>L293+M293</f>
        <v/>
      </c>
      <c r="O293" s="46">
        <f>N293/F293</f>
        <v/>
      </c>
      <c r="P293" s="40">
        <f>F293-J293-K293</f>
        <v/>
      </c>
      <c r="Q293" s="40">
        <f>IF(B293&gt;=in_marketplace_from,(J293+K293)*d_hz*G293,0)</f>
        <v/>
      </c>
      <c r="R293" s="40">
        <f>SUMIFS(N292:N346,B292:B346,"&gt;="&amp;(B293-d_T),B292:B346,"&lt;="&amp;(B293-1))</f>
        <v/>
      </c>
      <c r="S293" s="46">
        <f>(1-d_u)*S292+IF(d_T&gt;in_topup_lag,SUMIFS(O292:O346,B292:B346,B293-in_topup_lag)-d_udrop*SUMIFS(O292:O346,B292:B346,B293-d_T),0)</f>
        <v/>
      </c>
      <c r="T293" s="40">
        <f>F293*d_u*S293</f>
        <v/>
      </c>
      <c r="U293" s="9">
        <f>L293*in_ticket+M293*d_rep_ticket</f>
        <v/>
      </c>
      <c r="V293" s="9">
        <f>U293+T293*d_topup_amt</f>
        <v/>
      </c>
      <c r="W293" s="40">
        <f>N293+T293*d_topup_ratio</f>
        <v/>
      </c>
      <c r="X293" s="40">
        <f>SUMIFS(W292:W346,B292:B346,B293-in_dpd_lag)*d_cured</f>
        <v/>
      </c>
      <c r="Y293" s="40">
        <f>SUMIFS(W292:W346,B292:B346,B293-in_rec_lag)*d_recd</f>
        <v/>
      </c>
      <c r="Z293" s="40">
        <f>IF(AND(B293&gt;=in_marketplace_from,B293&lt;in_marketplace_from+in_card_months),in_card_share/in_card_months*F293*I293,IF(AND(B293&gt;=in_marketplace_from+in_card_months,B293&lt;in_marketplace_from+2*in_card_months),in_card_share*d_card_rem/in_card_months*F293*MIN(in_takeup_cap,(1+in_takeup_growth)^(D293-1))*MIN(in_takeup_cap,(1+in_approval_growth)^(D293-1)),0))</f>
        <v/>
      </c>
      <c r="AA293" s="14">
        <f>V293*in_fee*(1-in_taken_back)</f>
        <v/>
      </c>
      <c r="AB293" s="14">
        <f>SUMIFS(W292:W346,B292:B346,B293-in_dpd_lag)*d_dpd</f>
        <v/>
      </c>
      <c r="AC293" s="14">
        <f>SUMIFS(W292:W346,B292:B346,B293-in_rec_lag)*d_rec</f>
        <v/>
      </c>
      <c r="AD293" s="14">
        <f>Z293*in_card_fee</f>
        <v/>
      </c>
      <c r="AE293" s="40">
        <f>AE292*(1-IF(B292&gt;=in_marketplace_from,d_hz_hlth_small*G292,0))</f>
        <v/>
      </c>
      <c r="AF293" s="46">
        <f>AE293*IF(B293&gt;=in_marketplace_from,d_hz_hlth_small*G293,0)</f>
        <v/>
      </c>
      <c r="AG293" s="14">
        <f>F293*AF293*in_hlth_small_ticket*in_hlth_small_comm*in_ins_partner_share+F293*in_hlth_small_ticket*in_hlth_small_renew_comm*in_ins_partner_share*(in_hlth_small_renew^1*SUMIFS(AF292:AF346,B292:B346,B293-12)+in_hlth_small_renew^2*SUMIFS(AF292:AF346,B292:B346,B293-24)+in_hlth_small_renew^3*SUMIFS(AF292:AF346,B292:B346,B293-36)+in_hlth_small_renew^4*SUMIFS(AF292:AF346,B292:B346,B293-48))</f>
        <v/>
      </c>
      <c r="AH293" s="40">
        <f>AH292*(1-IF(B292&gt;=in_marketplace_from,d_hz_hlth_family*G292,0))</f>
        <v/>
      </c>
      <c r="AI293" s="46">
        <f>AH293*IF(B293&gt;=in_marketplace_from,d_hz_hlth_family*G293,0)</f>
        <v/>
      </c>
      <c r="AJ293" s="14">
        <f>F293*AI293*in_hlth_family_ticket*in_hlth_family_comm*in_ins_partner_share+F293*in_hlth_family_ticket*in_hlth_family_renew_comm*in_ins_partner_share*(in_hlth_family_renew^1*SUMIFS(AI292:AI346,B292:B346,B293-12)+in_hlth_family_renew^2*SUMIFS(AI292:AI346,B292:B346,B293-24)+in_hlth_family_renew^3*SUMIFS(AI292:AI346,B292:B346,B293-36)+in_hlth_family_renew^4*SUMIFS(AI292:AI346,B292:B346,B293-48))</f>
        <v/>
      </c>
      <c r="AK293" s="40">
        <f>AK292*(1-IF(B292&gt;=in_marketplace_from,d_hz_life_term*G292,0))</f>
        <v/>
      </c>
      <c r="AL293" s="46">
        <f>AK293*IF(B293&gt;=in_marketplace_from,d_hz_life_term*G293,0)</f>
        <v/>
      </c>
      <c r="AM293" s="14">
        <f>F293*AL293*in_life_term_ticket*in_life_term_comm*in_ins_partner_share+F293*in_life_term_ticket*in_life_term_renew_comm*in_ins_partner_share*(in_life_term_renew^1*SUMIFS(AL292:AL346,B292:B346,B293-12)+in_life_term_renew^2*SUMIFS(AL292:AL346,B292:B346,B293-24)+in_life_term_renew^3*SUMIFS(AL292:AL346,B292:B346,B293-36)+in_life_term_renew^4*SUMIFS(AL292:AL346,B292:B346,B293-48))</f>
        <v/>
      </c>
      <c r="AN293" s="40">
        <f>AN292*(1-IF(B292&gt;=in_marketplace_from,d_hz_accident*G292,0))</f>
        <v/>
      </c>
      <c r="AO293" s="46">
        <f>AN293*IF(B293&gt;=in_marketplace_from,d_hz_accident*G293,0)</f>
        <v/>
      </c>
      <c r="AP293" s="14">
        <f>F293*AO293*in_accident_ticket*in_accident_comm*in_ins_partner_share+F293*in_accident_ticket*in_accident_renew_comm*in_ins_partner_share*(in_accident_renew^1*SUMIFS(AO292:AO346,B292:B346,B293-12)+in_accident_renew^2*SUMIFS(AO292:AO346,B292:B346,B293-24)+in_accident_renew^3*SUMIFS(AO292:AO346,B292:B346,B293-36)+in_accident_renew^4*SUMIFS(AO292:AO346,B292:B346,B293-48))</f>
        <v/>
      </c>
      <c r="AQ293" s="40">
        <f>AQ292*(1-IF(B292&gt;=in_marketplace_from,d_hz_two_wheeler*G292,0))</f>
        <v/>
      </c>
      <c r="AR293" s="46">
        <f>AQ293*IF(B293&gt;=in_marketplace_from,d_hz_two_wheeler*G293,0)</f>
        <v/>
      </c>
      <c r="AS293" s="14">
        <f>F293*AR293*in_two_wheeler_ticket*in_two_wheeler_comm*in_ins_partner_share+F293*in_two_wheeler_ticket*in_two_wheeler_comm*in_ins_partner_share*(in_two_wheeler_renew^1*SUMIFS(AR292:AR346,B292:B346,B293-12)+in_two_wheeler_renew^2*SUMIFS(AR292:AR346,B292:B346,B293-24)+in_two_wheeler_renew^3*SUMIFS(AR292:AR346,B292:B346,B293-36)+in_two_wheeler_renew^4*SUMIFS(AR292:AR346,B292:B346,B293-48))</f>
        <v/>
      </c>
      <c r="AT293" s="40">
        <f>AT292*(1-IF(B292&gt;=in_marketplace_from,d_hz_device*G292,0))</f>
        <v/>
      </c>
      <c r="AU293" s="14">
        <f>F293*AT293*IF(B293&gt;=in_marketplace_from,d_hz_device*G293,0)*in_device_ticket*in_device_comm*in_ins_partner_share</f>
        <v/>
      </c>
      <c r="AV293" s="40">
        <f>AV292*(1-IF(B292&gt;=in_marketplace_from,d_hz_shop*G292,0))</f>
        <v/>
      </c>
      <c r="AW293" s="46">
        <f>AV293*IF(B293&gt;=in_marketplace_from,d_hz_shop*G293,0)</f>
        <v/>
      </c>
      <c r="AX293" s="14">
        <f>F293*AW293*in_shop_ticket*in_shop_comm*in_ins_partner_share+F293*in_shop_ticket*in_shop_renew_comm*in_ins_partner_share*(in_shop_renew^1*SUMIFS(AW292:AW346,B292:B346,B293-12)+in_shop_renew^2*SUMIFS(AW292:AW346,B292:B346,B293-24)+in_shop_renew^3*SUMIFS(AW292:AW346,B292:B346,B293-36)+in_shop_renew^4*SUMIFS(AW292:AW346,B292:B346,B293-48))</f>
        <v/>
      </c>
      <c r="AY293" s="40">
        <f>AY292*(1-IF(B292&gt;=in_marketplace_from,d_hz_sip*G292,0))</f>
        <v/>
      </c>
      <c r="AZ293" s="40">
        <f>AZ292*d_rho_sip+AY293*IF(B293&gt;=in_marketplace_from,d_hz_sip*G293,0)</f>
        <v/>
      </c>
      <c r="BA293" s="40">
        <f>d_rho_sip*(BA292+AZ292)</f>
        <v/>
      </c>
      <c r="BB293" s="14">
        <f>F293*in_sip_ticket*(BA293+0.5*AZ293)*in_sip_comm/12</f>
        <v/>
      </c>
      <c r="BC293" s="40">
        <f>BC292*(1-IF(B292&gt;=in_marketplace_from,d_hz_choti*G292,0))</f>
        <v/>
      </c>
      <c r="BD293" s="46">
        <f>BC293*IF(B293&gt;=in_marketplace_from,d_hz_choti*G293,0)</f>
        <v/>
      </c>
      <c r="BE293" s="14">
        <f>F293*SUMIFS(BD292:BD346,B292:B346,B293-in_choti_months)*in_choti_renew*in_choti_ticket</f>
        <v/>
      </c>
      <c r="BF293" s="40">
        <f>BF292*(1-IF(B292&gt;=in_marketplace_from,d_hz_nps*G292,0))</f>
        <v/>
      </c>
      <c r="BG293" s="14">
        <f>F293*BF293*IF(B293&gt;=in_marketplace_from,d_hz_nps*G293,0)*in_nps_ticket*in_nps_comm</f>
        <v/>
      </c>
      <c r="BH293" s="40">
        <f>BH292*(1-IF(B292&gt;=in_marketplace_from,d_hz_gold*G292,0))</f>
        <v/>
      </c>
      <c r="BI293" s="40">
        <f>BI292*d_rho_gold+BH293*IF(B293&gt;=in_marketplace_from,d_hz_gold*G293,0)</f>
        <v/>
      </c>
      <c r="BJ293" s="14">
        <f>F293*BI293*in_gold_ticket*in_gold_comm</f>
        <v/>
      </c>
      <c r="BK293" s="40">
        <f>BK292*(1-IF(B292&gt;=in_marketplace_from,d_hz_fd*G292,0))</f>
        <v/>
      </c>
      <c r="BL293" s="14">
        <f>F293*BK293*IF(B293&gt;=in_marketplace_from,d_hz_fd*G293,0)*in_fd_ticket*in_fd_comm</f>
        <v/>
      </c>
      <c r="BM293" s="40">
        <f>BM292*(1-IF(B292&gt;=in_marketplace_from,d_hz_recharge*G292,0))</f>
        <v/>
      </c>
      <c r="BN293" s="40">
        <f>BN292*d_rho_recharge+BM293*IF(B293&gt;=in_marketplace_from,d_hz_recharge*G293,0)</f>
        <v/>
      </c>
      <c r="BO293" s="14">
        <f>F293*BN293*in_recharge_ticket*in_recharge_comm/12</f>
        <v/>
      </c>
      <c r="BP293" s="40">
        <f>BP292*(1-IF(B292&gt;=in_marketplace_from,d_hz_bills*G292,0))</f>
        <v/>
      </c>
      <c r="BQ293" s="40">
        <f>BQ292*d_rho_bills+BP293*IF(B293&gt;=in_marketplace_from,d_hz_bills*G293,0)</f>
        <v/>
      </c>
      <c r="BR293" s="14">
        <f>F293*BQ293*in_bills_ticket*in_bills_comm/12</f>
        <v/>
      </c>
      <c r="BS293" s="40">
        <f>BS292*(1-IF(B292&gt;=in_marketplace_from,d_hz_loan_gold*G292,0))</f>
        <v/>
      </c>
      <c r="BT293" s="14">
        <f>F293*BS293*IF(B293&gt;=in_marketplace_from,d_hz_loan_gold*G293,0)*in_loan_gold_ticket*in_loan_gold_comm</f>
        <v/>
      </c>
      <c r="BU293" s="40">
        <f>BU292*(1-IF(B292&gt;=in_marketplace_from,d_hz_loan_cd*G292,0))</f>
        <v/>
      </c>
      <c r="BV293" s="14">
        <f>F293*BU293*IF(B293&gt;=in_marketplace_from,d_hz_loan_cd*G293,0)*in_loan_cd_ticket*in_loan_cd_comm</f>
        <v/>
      </c>
      <c r="BW293" s="40">
        <f>BW292*(1-IF(B292&gt;=in_marketplace_from,d_hz_loan_vehicle*G292,0))</f>
        <v/>
      </c>
      <c r="BX293" s="14">
        <f>F293*BW293*IF(B293&gt;=in_marketplace_from,d_hz_loan_vehicle*G293,0)*in_loan_vehicle_ticket*in_loan_vehicle_comm</f>
        <v/>
      </c>
      <c r="BY293" s="40">
        <f>BY292*(1-IF(B292&gt;=in_marketplace_from,d_hz_loan_home*G292,0)*BZ292)</f>
        <v/>
      </c>
      <c r="BZ293" s="11">
        <f>MIN(in_approval_cap,in_loan_home_approval*INDEX('Age profile'!$O$2:$O$61,B293)*(1+in_approval_growth)^(D293-1))</f>
        <v/>
      </c>
      <c r="CA293" s="14">
        <f>F293*BY293*IF(B293&gt;=in_marketplace_from,d_hz_loan_home*G293,0)*BZ293*in_loan_home_ticket*in_loan_home_comm</f>
        <v/>
      </c>
      <c r="CB293" s="40">
        <f>CB292*(1-IF(B292&gt;=in_marketplace_from,d_hz_loan_lap*G292,0)*CC292)</f>
        <v/>
      </c>
      <c r="CC293" s="11">
        <f>MIN(in_approval_cap,in_loan_lap_approval*INDEX('Age profile'!$O$2:$O$61,B293)*(1+in_approval_growth)^(D293-1))</f>
        <v/>
      </c>
      <c r="CD293" s="14">
        <f>F293*CB293*IF(B293&gt;=in_marketplace_from,d_hz_loan_lap*G293,0)*CC293*in_loan_lap_ticket*in_loan_lap_comm</f>
        <v/>
      </c>
      <c r="CE293" s="14">
        <f>AA293+AB293+AC293+AD293+AG293+AJ293+AM293+AP293+AS293+AU293+AX293+BB293+BE293+BG293+BJ293+BL293+BO293+BR293+BT293+BV293+BX293+CA293+CD293</f>
        <v/>
      </c>
    </row>
    <row r="294">
      <c r="A294" s="39" t="n">
        <v>6</v>
      </c>
      <c r="B294" s="39" t="n">
        <v>3</v>
      </c>
      <c r="C294" s="39">
        <f>A294+B294-1</f>
        <v/>
      </c>
      <c r="D294" s="39">
        <f>INT((C294-1)/12)+1</f>
        <v/>
      </c>
      <c r="E294" s="44">
        <f>INDEX(Monthly!$B$2:$B$61,A294)</f>
        <v/>
      </c>
      <c r="F294" s="44">
        <f>E294*INDEX('Age profile'!$B$2:$B$61,B294)</f>
        <v/>
      </c>
      <c r="G294" s="45">
        <f>MIN(in_takeup_cap,INDEX('Age profile'!$N$2:$N$61,B294)*(1+in_takeup_growth)^(D294-1))</f>
        <v/>
      </c>
      <c r="H294" s="11">
        <f>MIN(in_approval_cap,in_approved_first*INDEX('Age profile'!$O$2:$O$61,B294)*(1+in_approval_growth)^(D294-1))</f>
        <v/>
      </c>
      <c r="I294" s="45">
        <f>G294*MIN(in_takeup_cap,INDEX('Age profile'!$O$2:$O$61,B294)*(1+in_approval_growth)^(D294-1))</f>
        <v/>
      </c>
      <c r="J294" s="40">
        <f>(J293-L293)*F294/F293</f>
        <v/>
      </c>
      <c r="K294" s="40">
        <f>(K293-M293)*F294/F293+SUMIFS(O292:O293,B292:B293,B294-1-d_T)*F294</f>
        <v/>
      </c>
      <c r="L294" s="40">
        <f>IF(B294&gt;=in_marketplace_from,J294*d_hz*G294*in_eligible*H294,0)</f>
        <v/>
      </c>
      <c r="M294" s="40">
        <f>IF(B294&gt;=in_marketplace_from,K294*d_hz*G294*in_eligible*in_approved_repeat,0)</f>
        <v/>
      </c>
      <c r="N294" s="40">
        <f>L294+M294</f>
        <v/>
      </c>
      <c r="O294" s="46">
        <f>N294/F294</f>
        <v/>
      </c>
      <c r="P294" s="40">
        <f>F294-J294-K294</f>
        <v/>
      </c>
      <c r="Q294" s="40">
        <f>IF(B294&gt;=in_marketplace_from,(J294+K294)*d_hz*G294,0)</f>
        <v/>
      </c>
      <c r="R294" s="40">
        <f>SUMIFS(N292:N346,B292:B346,"&gt;="&amp;(B294-d_T),B292:B346,"&lt;="&amp;(B294-1))</f>
        <v/>
      </c>
      <c r="S294" s="46">
        <f>(1-d_u)*S293+IF(d_T&gt;in_topup_lag,SUMIFS(O292:O346,B292:B346,B294-in_topup_lag)-d_udrop*SUMIFS(O292:O346,B292:B346,B294-d_T),0)</f>
        <v/>
      </c>
      <c r="T294" s="40">
        <f>F294*d_u*S294</f>
        <v/>
      </c>
      <c r="U294" s="9">
        <f>L294*in_ticket+M294*d_rep_ticket</f>
        <v/>
      </c>
      <c r="V294" s="9">
        <f>U294+T294*d_topup_amt</f>
        <v/>
      </c>
      <c r="W294" s="40">
        <f>N294+T294*d_topup_ratio</f>
        <v/>
      </c>
      <c r="X294" s="40">
        <f>SUMIFS(W292:W346,B292:B346,B294-in_dpd_lag)*d_cured</f>
        <v/>
      </c>
      <c r="Y294" s="40">
        <f>SUMIFS(W292:W346,B292:B346,B294-in_rec_lag)*d_recd</f>
        <v/>
      </c>
      <c r="Z294" s="40">
        <f>IF(AND(B294&gt;=in_marketplace_from,B294&lt;in_marketplace_from+in_card_months),in_card_share/in_card_months*F294*I294,IF(AND(B294&gt;=in_marketplace_from+in_card_months,B294&lt;in_marketplace_from+2*in_card_months),in_card_share*d_card_rem/in_card_months*F294*MIN(in_takeup_cap,(1+in_takeup_growth)^(D294-1))*MIN(in_takeup_cap,(1+in_approval_growth)^(D294-1)),0))</f>
        <v/>
      </c>
      <c r="AA294" s="14">
        <f>V294*in_fee*(1-in_taken_back)</f>
        <v/>
      </c>
      <c r="AB294" s="14">
        <f>SUMIFS(W292:W346,B292:B346,B294-in_dpd_lag)*d_dpd</f>
        <v/>
      </c>
      <c r="AC294" s="14">
        <f>SUMIFS(W292:W346,B292:B346,B294-in_rec_lag)*d_rec</f>
        <v/>
      </c>
      <c r="AD294" s="14">
        <f>Z294*in_card_fee</f>
        <v/>
      </c>
      <c r="AE294" s="40">
        <f>AE293*(1-IF(B293&gt;=in_marketplace_from,d_hz_hlth_small*G293,0))</f>
        <v/>
      </c>
      <c r="AF294" s="46">
        <f>AE294*IF(B294&gt;=in_marketplace_from,d_hz_hlth_small*G294,0)</f>
        <v/>
      </c>
      <c r="AG294" s="14">
        <f>F294*AF294*in_hlth_small_ticket*in_hlth_small_comm*in_ins_partner_share+F294*in_hlth_small_ticket*in_hlth_small_renew_comm*in_ins_partner_share*(in_hlth_small_renew^1*SUMIFS(AF292:AF346,B292:B346,B294-12)+in_hlth_small_renew^2*SUMIFS(AF292:AF346,B292:B346,B294-24)+in_hlth_small_renew^3*SUMIFS(AF292:AF346,B292:B346,B294-36)+in_hlth_small_renew^4*SUMIFS(AF292:AF346,B292:B346,B294-48))</f>
        <v/>
      </c>
      <c r="AH294" s="40">
        <f>AH293*(1-IF(B293&gt;=in_marketplace_from,d_hz_hlth_family*G293,0))</f>
        <v/>
      </c>
      <c r="AI294" s="46">
        <f>AH294*IF(B294&gt;=in_marketplace_from,d_hz_hlth_family*G294,0)</f>
        <v/>
      </c>
      <c r="AJ294" s="14">
        <f>F294*AI294*in_hlth_family_ticket*in_hlth_family_comm*in_ins_partner_share+F294*in_hlth_family_ticket*in_hlth_family_renew_comm*in_ins_partner_share*(in_hlth_family_renew^1*SUMIFS(AI292:AI346,B292:B346,B294-12)+in_hlth_family_renew^2*SUMIFS(AI292:AI346,B292:B346,B294-24)+in_hlth_family_renew^3*SUMIFS(AI292:AI346,B292:B346,B294-36)+in_hlth_family_renew^4*SUMIFS(AI292:AI346,B292:B346,B294-48))</f>
        <v/>
      </c>
      <c r="AK294" s="40">
        <f>AK293*(1-IF(B293&gt;=in_marketplace_from,d_hz_life_term*G293,0))</f>
        <v/>
      </c>
      <c r="AL294" s="46">
        <f>AK294*IF(B294&gt;=in_marketplace_from,d_hz_life_term*G294,0)</f>
        <v/>
      </c>
      <c r="AM294" s="14">
        <f>F294*AL294*in_life_term_ticket*in_life_term_comm*in_ins_partner_share+F294*in_life_term_ticket*in_life_term_renew_comm*in_ins_partner_share*(in_life_term_renew^1*SUMIFS(AL292:AL346,B292:B346,B294-12)+in_life_term_renew^2*SUMIFS(AL292:AL346,B292:B346,B294-24)+in_life_term_renew^3*SUMIFS(AL292:AL346,B292:B346,B294-36)+in_life_term_renew^4*SUMIFS(AL292:AL346,B292:B346,B294-48))</f>
        <v/>
      </c>
      <c r="AN294" s="40">
        <f>AN293*(1-IF(B293&gt;=in_marketplace_from,d_hz_accident*G293,0))</f>
        <v/>
      </c>
      <c r="AO294" s="46">
        <f>AN294*IF(B294&gt;=in_marketplace_from,d_hz_accident*G294,0)</f>
        <v/>
      </c>
      <c r="AP294" s="14">
        <f>F294*AO294*in_accident_ticket*in_accident_comm*in_ins_partner_share+F294*in_accident_ticket*in_accident_renew_comm*in_ins_partner_share*(in_accident_renew^1*SUMIFS(AO292:AO346,B292:B346,B294-12)+in_accident_renew^2*SUMIFS(AO292:AO346,B292:B346,B294-24)+in_accident_renew^3*SUMIFS(AO292:AO346,B292:B346,B294-36)+in_accident_renew^4*SUMIFS(AO292:AO346,B292:B346,B294-48))</f>
        <v/>
      </c>
      <c r="AQ294" s="40">
        <f>AQ293*(1-IF(B293&gt;=in_marketplace_from,d_hz_two_wheeler*G293,0))</f>
        <v/>
      </c>
      <c r="AR294" s="46">
        <f>AQ294*IF(B294&gt;=in_marketplace_from,d_hz_two_wheeler*G294,0)</f>
        <v/>
      </c>
      <c r="AS294" s="14">
        <f>F294*AR294*in_two_wheeler_ticket*in_two_wheeler_comm*in_ins_partner_share+F294*in_two_wheeler_ticket*in_two_wheeler_comm*in_ins_partner_share*(in_two_wheeler_renew^1*SUMIFS(AR292:AR346,B292:B346,B294-12)+in_two_wheeler_renew^2*SUMIFS(AR292:AR346,B292:B346,B294-24)+in_two_wheeler_renew^3*SUMIFS(AR292:AR346,B292:B346,B294-36)+in_two_wheeler_renew^4*SUMIFS(AR292:AR346,B292:B346,B294-48))</f>
        <v/>
      </c>
      <c r="AT294" s="40">
        <f>AT293*(1-IF(B293&gt;=in_marketplace_from,d_hz_device*G293,0))</f>
        <v/>
      </c>
      <c r="AU294" s="14">
        <f>F294*AT294*IF(B294&gt;=in_marketplace_from,d_hz_device*G294,0)*in_device_ticket*in_device_comm*in_ins_partner_share</f>
        <v/>
      </c>
      <c r="AV294" s="40">
        <f>AV293*(1-IF(B293&gt;=in_marketplace_from,d_hz_shop*G293,0))</f>
        <v/>
      </c>
      <c r="AW294" s="46">
        <f>AV294*IF(B294&gt;=in_marketplace_from,d_hz_shop*G294,0)</f>
        <v/>
      </c>
      <c r="AX294" s="14">
        <f>F294*AW294*in_shop_ticket*in_shop_comm*in_ins_partner_share+F294*in_shop_ticket*in_shop_renew_comm*in_ins_partner_share*(in_shop_renew^1*SUMIFS(AW292:AW346,B292:B346,B294-12)+in_shop_renew^2*SUMIFS(AW292:AW346,B292:B346,B294-24)+in_shop_renew^3*SUMIFS(AW292:AW346,B292:B346,B294-36)+in_shop_renew^4*SUMIFS(AW292:AW346,B292:B346,B294-48))</f>
        <v/>
      </c>
      <c r="AY294" s="40">
        <f>AY293*(1-IF(B293&gt;=in_marketplace_from,d_hz_sip*G293,0))</f>
        <v/>
      </c>
      <c r="AZ294" s="40">
        <f>AZ293*d_rho_sip+AY294*IF(B294&gt;=in_marketplace_from,d_hz_sip*G294,0)</f>
        <v/>
      </c>
      <c r="BA294" s="40">
        <f>d_rho_sip*(BA293+AZ293)</f>
        <v/>
      </c>
      <c r="BB294" s="14">
        <f>F294*in_sip_ticket*(BA294+0.5*AZ294)*in_sip_comm/12</f>
        <v/>
      </c>
      <c r="BC294" s="40">
        <f>BC293*(1-IF(B293&gt;=in_marketplace_from,d_hz_choti*G293,0))</f>
        <v/>
      </c>
      <c r="BD294" s="46">
        <f>BC294*IF(B294&gt;=in_marketplace_from,d_hz_choti*G294,0)</f>
        <v/>
      </c>
      <c r="BE294" s="14">
        <f>F294*SUMIFS(BD292:BD346,B292:B346,B294-in_choti_months)*in_choti_renew*in_choti_ticket</f>
        <v/>
      </c>
      <c r="BF294" s="40">
        <f>BF293*(1-IF(B293&gt;=in_marketplace_from,d_hz_nps*G293,0))</f>
        <v/>
      </c>
      <c r="BG294" s="14">
        <f>F294*BF294*IF(B294&gt;=in_marketplace_from,d_hz_nps*G294,0)*in_nps_ticket*in_nps_comm</f>
        <v/>
      </c>
      <c r="BH294" s="40">
        <f>BH293*(1-IF(B293&gt;=in_marketplace_from,d_hz_gold*G293,0))</f>
        <v/>
      </c>
      <c r="BI294" s="40">
        <f>BI293*d_rho_gold+BH294*IF(B294&gt;=in_marketplace_from,d_hz_gold*G294,0)</f>
        <v/>
      </c>
      <c r="BJ294" s="14">
        <f>F294*BI294*in_gold_ticket*in_gold_comm</f>
        <v/>
      </c>
      <c r="BK294" s="40">
        <f>BK293*(1-IF(B293&gt;=in_marketplace_from,d_hz_fd*G293,0))</f>
        <v/>
      </c>
      <c r="BL294" s="14">
        <f>F294*BK294*IF(B294&gt;=in_marketplace_from,d_hz_fd*G294,0)*in_fd_ticket*in_fd_comm</f>
        <v/>
      </c>
      <c r="BM294" s="40">
        <f>BM293*(1-IF(B293&gt;=in_marketplace_from,d_hz_recharge*G293,0))</f>
        <v/>
      </c>
      <c r="BN294" s="40">
        <f>BN293*d_rho_recharge+BM294*IF(B294&gt;=in_marketplace_from,d_hz_recharge*G294,0)</f>
        <v/>
      </c>
      <c r="BO294" s="14">
        <f>F294*BN294*in_recharge_ticket*in_recharge_comm/12</f>
        <v/>
      </c>
      <c r="BP294" s="40">
        <f>BP293*(1-IF(B293&gt;=in_marketplace_from,d_hz_bills*G293,0))</f>
        <v/>
      </c>
      <c r="BQ294" s="40">
        <f>BQ293*d_rho_bills+BP294*IF(B294&gt;=in_marketplace_from,d_hz_bills*G294,0)</f>
        <v/>
      </c>
      <c r="BR294" s="14">
        <f>F294*BQ294*in_bills_ticket*in_bills_comm/12</f>
        <v/>
      </c>
      <c r="BS294" s="40">
        <f>BS293*(1-IF(B293&gt;=in_marketplace_from,d_hz_loan_gold*G293,0))</f>
        <v/>
      </c>
      <c r="BT294" s="14">
        <f>F294*BS294*IF(B294&gt;=in_marketplace_from,d_hz_loan_gold*G294,0)*in_loan_gold_ticket*in_loan_gold_comm</f>
        <v/>
      </c>
      <c r="BU294" s="40">
        <f>BU293*(1-IF(B293&gt;=in_marketplace_from,d_hz_loan_cd*G293,0))</f>
        <v/>
      </c>
      <c r="BV294" s="14">
        <f>F294*BU294*IF(B294&gt;=in_marketplace_from,d_hz_loan_cd*G294,0)*in_loan_cd_ticket*in_loan_cd_comm</f>
        <v/>
      </c>
      <c r="BW294" s="40">
        <f>BW293*(1-IF(B293&gt;=in_marketplace_from,d_hz_loan_vehicle*G293,0))</f>
        <v/>
      </c>
      <c r="BX294" s="14">
        <f>F294*BW294*IF(B294&gt;=in_marketplace_from,d_hz_loan_vehicle*G294,0)*in_loan_vehicle_ticket*in_loan_vehicle_comm</f>
        <v/>
      </c>
      <c r="BY294" s="40">
        <f>BY293*(1-IF(B293&gt;=in_marketplace_from,d_hz_loan_home*G293,0)*BZ293)</f>
        <v/>
      </c>
      <c r="BZ294" s="11">
        <f>MIN(in_approval_cap,in_loan_home_approval*INDEX('Age profile'!$O$2:$O$61,B294)*(1+in_approval_growth)^(D294-1))</f>
        <v/>
      </c>
      <c r="CA294" s="14">
        <f>F294*BY294*IF(B294&gt;=in_marketplace_from,d_hz_loan_home*G294,0)*BZ294*in_loan_home_ticket*in_loan_home_comm</f>
        <v/>
      </c>
      <c r="CB294" s="40">
        <f>CB293*(1-IF(B293&gt;=in_marketplace_from,d_hz_loan_lap*G293,0)*CC293)</f>
        <v/>
      </c>
      <c r="CC294" s="11">
        <f>MIN(in_approval_cap,in_loan_lap_approval*INDEX('Age profile'!$O$2:$O$61,B294)*(1+in_approval_growth)^(D294-1))</f>
        <v/>
      </c>
      <c r="CD294" s="14">
        <f>F294*CB294*IF(B294&gt;=in_marketplace_from,d_hz_loan_lap*G294,0)*CC294*in_loan_lap_ticket*in_loan_lap_comm</f>
        <v/>
      </c>
      <c r="CE294" s="14">
        <f>AA294+AB294+AC294+AD294+AG294+AJ294+AM294+AP294+AS294+AU294+AX294+BB294+BE294+BG294+BJ294+BL294+BO294+BR294+BT294+BV294+BX294+CA294+CD294</f>
        <v/>
      </c>
    </row>
    <row r="295">
      <c r="A295" s="39" t="n">
        <v>6</v>
      </c>
      <c r="B295" s="39" t="n">
        <v>4</v>
      </c>
      <c r="C295" s="39">
        <f>A295+B295-1</f>
        <v/>
      </c>
      <c r="D295" s="39">
        <f>INT((C295-1)/12)+1</f>
        <v/>
      </c>
      <c r="E295" s="44">
        <f>INDEX(Monthly!$B$2:$B$61,A295)</f>
        <v/>
      </c>
      <c r="F295" s="44">
        <f>E295*INDEX('Age profile'!$B$2:$B$61,B295)</f>
        <v/>
      </c>
      <c r="G295" s="45">
        <f>MIN(in_takeup_cap,INDEX('Age profile'!$N$2:$N$61,B295)*(1+in_takeup_growth)^(D295-1))</f>
        <v/>
      </c>
      <c r="H295" s="11">
        <f>MIN(in_approval_cap,in_approved_first*INDEX('Age profile'!$O$2:$O$61,B295)*(1+in_approval_growth)^(D295-1))</f>
        <v/>
      </c>
      <c r="I295" s="45">
        <f>G295*MIN(in_takeup_cap,INDEX('Age profile'!$O$2:$O$61,B295)*(1+in_approval_growth)^(D295-1))</f>
        <v/>
      </c>
      <c r="J295" s="40">
        <f>(J294-L294)*F295/F294</f>
        <v/>
      </c>
      <c r="K295" s="40">
        <f>(K294-M294)*F295/F294+SUMIFS(O292:O294,B292:B294,B295-1-d_T)*F295</f>
        <v/>
      </c>
      <c r="L295" s="40">
        <f>IF(B295&gt;=in_marketplace_from,J295*d_hz*G295*in_eligible*H295,0)</f>
        <v/>
      </c>
      <c r="M295" s="40">
        <f>IF(B295&gt;=in_marketplace_from,K295*d_hz*G295*in_eligible*in_approved_repeat,0)</f>
        <v/>
      </c>
      <c r="N295" s="40">
        <f>L295+M295</f>
        <v/>
      </c>
      <c r="O295" s="46">
        <f>N295/F295</f>
        <v/>
      </c>
      <c r="P295" s="40">
        <f>F295-J295-K295</f>
        <v/>
      </c>
      <c r="Q295" s="40">
        <f>IF(B295&gt;=in_marketplace_from,(J295+K295)*d_hz*G295,0)</f>
        <v/>
      </c>
      <c r="R295" s="40">
        <f>SUMIFS(N292:N346,B292:B346,"&gt;="&amp;(B295-d_T),B292:B346,"&lt;="&amp;(B295-1))</f>
        <v/>
      </c>
      <c r="S295" s="46">
        <f>(1-d_u)*S294+IF(d_T&gt;in_topup_lag,SUMIFS(O292:O346,B292:B346,B295-in_topup_lag)-d_udrop*SUMIFS(O292:O346,B292:B346,B295-d_T),0)</f>
        <v/>
      </c>
      <c r="T295" s="40">
        <f>F295*d_u*S295</f>
        <v/>
      </c>
      <c r="U295" s="9">
        <f>L295*in_ticket+M295*d_rep_ticket</f>
        <v/>
      </c>
      <c r="V295" s="9">
        <f>U295+T295*d_topup_amt</f>
        <v/>
      </c>
      <c r="W295" s="40">
        <f>N295+T295*d_topup_ratio</f>
        <v/>
      </c>
      <c r="X295" s="40">
        <f>SUMIFS(W292:W346,B292:B346,B295-in_dpd_lag)*d_cured</f>
        <v/>
      </c>
      <c r="Y295" s="40">
        <f>SUMIFS(W292:W346,B292:B346,B295-in_rec_lag)*d_recd</f>
        <v/>
      </c>
      <c r="Z295" s="40">
        <f>IF(AND(B295&gt;=in_marketplace_from,B295&lt;in_marketplace_from+in_card_months),in_card_share/in_card_months*F295*I295,IF(AND(B295&gt;=in_marketplace_from+in_card_months,B295&lt;in_marketplace_from+2*in_card_months),in_card_share*d_card_rem/in_card_months*F295*MIN(in_takeup_cap,(1+in_takeup_growth)^(D295-1))*MIN(in_takeup_cap,(1+in_approval_growth)^(D295-1)),0))</f>
        <v/>
      </c>
      <c r="AA295" s="14">
        <f>V295*in_fee*(1-in_taken_back)</f>
        <v/>
      </c>
      <c r="AB295" s="14">
        <f>SUMIFS(W292:W346,B292:B346,B295-in_dpd_lag)*d_dpd</f>
        <v/>
      </c>
      <c r="AC295" s="14">
        <f>SUMIFS(W292:W346,B292:B346,B295-in_rec_lag)*d_rec</f>
        <v/>
      </c>
      <c r="AD295" s="14">
        <f>Z295*in_card_fee</f>
        <v/>
      </c>
      <c r="AE295" s="40">
        <f>AE294*(1-IF(B294&gt;=in_marketplace_from,d_hz_hlth_small*G294,0))</f>
        <v/>
      </c>
      <c r="AF295" s="46">
        <f>AE295*IF(B295&gt;=in_marketplace_from,d_hz_hlth_small*G295,0)</f>
        <v/>
      </c>
      <c r="AG295" s="14">
        <f>F295*AF295*in_hlth_small_ticket*in_hlth_small_comm*in_ins_partner_share+F295*in_hlth_small_ticket*in_hlth_small_renew_comm*in_ins_partner_share*(in_hlth_small_renew^1*SUMIFS(AF292:AF346,B292:B346,B295-12)+in_hlth_small_renew^2*SUMIFS(AF292:AF346,B292:B346,B295-24)+in_hlth_small_renew^3*SUMIFS(AF292:AF346,B292:B346,B295-36)+in_hlth_small_renew^4*SUMIFS(AF292:AF346,B292:B346,B295-48))</f>
        <v/>
      </c>
      <c r="AH295" s="40">
        <f>AH294*(1-IF(B294&gt;=in_marketplace_from,d_hz_hlth_family*G294,0))</f>
        <v/>
      </c>
      <c r="AI295" s="46">
        <f>AH295*IF(B295&gt;=in_marketplace_from,d_hz_hlth_family*G295,0)</f>
        <v/>
      </c>
      <c r="AJ295" s="14">
        <f>F295*AI295*in_hlth_family_ticket*in_hlth_family_comm*in_ins_partner_share+F295*in_hlth_family_ticket*in_hlth_family_renew_comm*in_ins_partner_share*(in_hlth_family_renew^1*SUMIFS(AI292:AI346,B292:B346,B295-12)+in_hlth_family_renew^2*SUMIFS(AI292:AI346,B292:B346,B295-24)+in_hlth_family_renew^3*SUMIFS(AI292:AI346,B292:B346,B295-36)+in_hlth_family_renew^4*SUMIFS(AI292:AI346,B292:B346,B295-48))</f>
        <v/>
      </c>
      <c r="AK295" s="40">
        <f>AK294*(1-IF(B294&gt;=in_marketplace_from,d_hz_life_term*G294,0))</f>
        <v/>
      </c>
      <c r="AL295" s="46">
        <f>AK295*IF(B295&gt;=in_marketplace_from,d_hz_life_term*G295,0)</f>
        <v/>
      </c>
      <c r="AM295" s="14">
        <f>F295*AL295*in_life_term_ticket*in_life_term_comm*in_ins_partner_share+F295*in_life_term_ticket*in_life_term_renew_comm*in_ins_partner_share*(in_life_term_renew^1*SUMIFS(AL292:AL346,B292:B346,B295-12)+in_life_term_renew^2*SUMIFS(AL292:AL346,B292:B346,B295-24)+in_life_term_renew^3*SUMIFS(AL292:AL346,B292:B346,B295-36)+in_life_term_renew^4*SUMIFS(AL292:AL346,B292:B346,B295-48))</f>
        <v/>
      </c>
      <c r="AN295" s="40">
        <f>AN294*(1-IF(B294&gt;=in_marketplace_from,d_hz_accident*G294,0))</f>
        <v/>
      </c>
      <c r="AO295" s="46">
        <f>AN295*IF(B295&gt;=in_marketplace_from,d_hz_accident*G295,0)</f>
        <v/>
      </c>
      <c r="AP295" s="14">
        <f>F295*AO295*in_accident_ticket*in_accident_comm*in_ins_partner_share+F295*in_accident_ticket*in_accident_renew_comm*in_ins_partner_share*(in_accident_renew^1*SUMIFS(AO292:AO346,B292:B346,B295-12)+in_accident_renew^2*SUMIFS(AO292:AO346,B292:B346,B295-24)+in_accident_renew^3*SUMIFS(AO292:AO346,B292:B346,B295-36)+in_accident_renew^4*SUMIFS(AO292:AO346,B292:B346,B295-48))</f>
        <v/>
      </c>
      <c r="AQ295" s="40">
        <f>AQ294*(1-IF(B294&gt;=in_marketplace_from,d_hz_two_wheeler*G294,0))</f>
        <v/>
      </c>
      <c r="AR295" s="46">
        <f>AQ295*IF(B295&gt;=in_marketplace_from,d_hz_two_wheeler*G295,0)</f>
        <v/>
      </c>
      <c r="AS295" s="14">
        <f>F295*AR295*in_two_wheeler_ticket*in_two_wheeler_comm*in_ins_partner_share+F295*in_two_wheeler_ticket*in_two_wheeler_comm*in_ins_partner_share*(in_two_wheeler_renew^1*SUMIFS(AR292:AR346,B292:B346,B295-12)+in_two_wheeler_renew^2*SUMIFS(AR292:AR346,B292:B346,B295-24)+in_two_wheeler_renew^3*SUMIFS(AR292:AR346,B292:B346,B295-36)+in_two_wheeler_renew^4*SUMIFS(AR292:AR346,B292:B346,B295-48))</f>
        <v/>
      </c>
      <c r="AT295" s="40">
        <f>AT294*(1-IF(B294&gt;=in_marketplace_from,d_hz_device*G294,0))</f>
        <v/>
      </c>
      <c r="AU295" s="14">
        <f>F295*AT295*IF(B295&gt;=in_marketplace_from,d_hz_device*G295,0)*in_device_ticket*in_device_comm*in_ins_partner_share</f>
        <v/>
      </c>
      <c r="AV295" s="40">
        <f>AV294*(1-IF(B294&gt;=in_marketplace_from,d_hz_shop*G294,0))</f>
        <v/>
      </c>
      <c r="AW295" s="46">
        <f>AV295*IF(B295&gt;=in_marketplace_from,d_hz_shop*G295,0)</f>
        <v/>
      </c>
      <c r="AX295" s="14">
        <f>F295*AW295*in_shop_ticket*in_shop_comm*in_ins_partner_share+F295*in_shop_ticket*in_shop_renew_comm*in_ins_partner_share*(in_shop_renew^1*SUMIFS(AW292:AW346,B292:B346,B295-12)+in_shop_renew^2*SUMIFS(AW292:AW346,B292:B346,B295-24)+in_shop_renew^3*SUMIFS(AW292:AW346,B292:B346,B295-36)+in_shop_renew^4*SUMIFS(AW292:AW346,B292:B346,B295-48))</f>
        <v/>
      </c>
      <c r="AY295" s="40">
        <f>AY294*(1-IF(B294&gt;=in_marketplace_from,d_hz_sip*G294,0))</f>
        <v/>
      </c>
      <c r="AZ295" s="40">
        <f>AZ294*d_rho_sip+AY295*IF(B295&gt;=in_marketplace_from,d_hz_sip*G295,0)</f>
        <v/>
      </c>
      <c r="BA295" s="40">
        <f>d_rho_sip*(BA294+AZ294)</f>
        <v/>
      </c>
      <c r="BB295" s="14">
        <f>F295*in_sip_ticket*(BA295+0.5*AZ295)*in_sip_comm/12</f>
        <v/>
      </c>
      <c r="BC295" s="40">
        <f>BC294*(1-IF(B294&gt;=in_marketplace_from,d_hz_choti*G294,0))</f>
        <v/>
      </c>
      <c r="BD295" s="46">
        <f>BC295*IF(B295&gt;=in_marketplace_from,d_hz_choti*G295,0)</f>
        <v/>
      </c>
      <c r="BE295" s="14">
        <f>F295*SUMIFS(BD292:BD346,B292:B346,B295-in_choti_months)*in_choti_renew*in_choti_ticket</f>
        <v/>
      </c>
      <c r="BF295" s="40">
        <f>BF294*(1-IF(B294&gt;=in_marketplace_from,d_hz_nps*G294,0))</f>
        <v/>
      </c>
      <c r="BG295" s="14">
        <f>F295*BF295*IF(B295&gt;=in_marketplace_from,d_hz_nps*G295,0)*in_nps_ticket*in_nps_comm</f>
        <v/>
      </c>
      <c r="BH295" s="40">
        <f>BH294*(1-IF(B294&gt;=in_marketplace_from,d_hz_gold*G294,0))</f>
        <v/>
      </c>
      <c r="BI295" s="40">
        <f>BI294*d_rho_gold+BH295*IF(B295&gt;=in_marketplace_from,d_hz_gold*G295,0)</f>
        <v/>
      </c>
      <c r="BJ295" s="14">
        <f>F295*BI295*in_gold_ticket*in_gold_comm</f>
        <v/>
      </c>
      <c r="BK295" s="40">
        <f>BK294*(1-IF(B294&gt;=in_marketplace_from,d_hz_fd*G294,0))</f>
        <v/>
      </c>
      <c r="BL295" s="14">
        <f>F295*BK295*IF(B295&gt;=in_marketplace_from,d_hz_fd*G295,0)*in_fd_ticket*in_fd_comm</f>
        <v/>
      </c>
      <c r="BM295" s="40">
        <f>BM294*(1-IF(B294&gt;=in_marketplace_from,d_hz_recharge*G294,0))</f>
        <v/>
      </c>
      <c r="BN295" s="40">
        <f>BN294*d_rho_recharge+BM295*IF(B295&gt;=in_marketplace_from,d_hz_recharge*G295,0)</f>
        <v/>
      </c>
      <c r="BO295" s="14">
        <f>F295*BN295*in_recharge_ticket*in_recharge_comm/12</f>
        <v/>
      </c>
      <c r="BP295" s="40">
        <f>BP294*(1-IF(B294&gt;=in_marketplace_from,d_hz_bills*G294,0))</f>
        <v/>
      </c>
      <c r="BQ295" s="40">
        <f>BQ294*d_rho_bills+BP295*IF(B295&gt;=in_marketplace_from,d_hz_bills*G295,0)</f>
        <v/>
      </c>
      <c r="BR295" s="14">
        <f>F295*BQ295*in_bills_ticket*in_bills_comm/12</f>
        <v/>
      </c>
      <c r="BS295" s="40">
        <f>BS294*(1-IF(B294&gt;=in_marketplace_from,d_hz_loan_gold*G294,0))</f>
        <v/>
      </c>
      <c r="BT295" s="14">
        <f>F295*BS295*IF(B295&gt;=in_marketplace_from,d_hz_loan_gold*G295,0)*in_loan_gold_ticket*in_loan_gold_comm</f>
        <v/>
      </c>
      <c r="BU295" s="40">
        <f>BU294*(1-IF(B294&gt;=in_marketplace_from,d_hz_loan_cd*G294,0))</f>
        <v/>
      </c>
      <c r="BV295" s="14">
        <f>F295*BU295*IF(B295&gt;=in_marketplace_from,d_hz_loan_cd*G295,0)*in_loan_cd_ticket*in_loan_cd_comm</f>
        <v/>
      </c>
      <c r="BW295" s="40">
        <f>BW294*(1-IF(B294&gt;=in_marketplace_from,d_hz_loan_vehicle*G294,0))</f>
        <v/>
      </c>
      <c r="BX295" s="14">
        <f>F295*BW295*IF(B295&gt;=in_marketplace_from,d_hz_loan_vehicle*G295,0)*in_loan_vehicle_ticket*in_loan_vehicle_comm</f>
        <v/>
      </c>
      <c r="BY295" s="40">
        <f>BY294*(1-IF(B294&gt;=in_marketplace_from,d_hz_loan_home*G294,0)*BZ294)</f>
        <v/>
      </c>
      <c r="BZ295" s="11">
        <f>MIN(in_approval_cap,in_loan_home_approval*INDEX('Age profile'!$O$2:$O$61,B295)*(1+in_approval_growth)^(D295-1))</f>
        <v/>
      </c>
      <c r="CA295" s="14">
        <f>F295*BY295*IF(B295&gt;=in_marketplace_from,d_hz_loan_home*G295,0)*BZ295*in_loan_home_ticket*in_loan_home_comm</f>
        <v/>
      </c>
      <c r="CB295" s="40">
        <f>CB294*(1-IF(B294&gt;=in_marketplace_from,d_hz_loan_lap*G294,0)*CC294)</f>
        <v/>
      </c>
      <c r="CC295" s="11">
        <f>MIN(in_approval_cap,in_loan_lap_approval*INDEX('Age profile'!$O$2:$O$61,B295)*(1+in_approval_growth)^(D295-1))</f>
        <v/>
      </c>
      <c r="CD295" s="14">
        <f>F295*CB295*IF(B295&gt;=in_marketplace_from,d_hz_loan_lap*G295,0)*CC295*in_loan_lap_ticket*in_loan_lap_comm</f>
        <v/>
      </c>
      <c r="CE295" s="14">
        <f>AA295+AB295+AC295+AD295+AG295+AJ295+AM295+AP295+AS295+AU295+AX295+BB295+BE295+BG295+BJ295+BL295+BO295+BR295+BT295+BV295+BX295+CA295+CD295</f>
        <v/>
      </c>
    </row>
    <row r="296">
      <c r="A296" s="39" t="n">
        <v>6</v>
      </c>
      <c r="B296" s="39" t="n">
        <v>5</v>
      </c>
      <c r="C296" s="39">
        <f>A296+B296-1</f>
        <v/>
      </c>
      <c r="D296" s="39">
        <f>INT((C296-1)/12)+1</f>
        <v/>
      </c>
      <c r="E296" s="44">
        <f>INDEX(Monthly!$B$2:$B$61,A296)</f>
        <v/>
      </c>
      <c r="F296" s="44">
        <f>E296*INDEX('Age profile'!$B$2:$B$61,B296)</f>
        <v/>
      </c>
      <c r="G296" s="45">
        <f>MIN(in_takeup_cap,INDEX('Age profile'!$N$2:$N$61,B296)*(1+in_takeup_growth)^(D296-1))</f>
        <v/>
      </c>
      <c r="H296" s="11">
        <f>MIN(in_approval_cap,in_approved_first*INDEX('Age profile'!$O$2:$O$61,B296)*(1+in_approval_growth)^(D296-1))</f>
        <v/>
      </c>
      <c r="I296" s="45">
        <f>G296*MIN(in_takeup_cap,INDEX('Age profile'!$O$2:$O$61,B296)*(1+in_approval_growth)^(D296-1))</f>
        <v/>
      </c>
      <c r="J296" s="40">
        <f>(J295-L295)*F296/F295</f>
        <v/>
      </c>
      <c r="K296" s="40">
        <f>(K295-M295)*F296/F295+SUMIFS(O292:O295,B292:B295,B296-1-d_T)*F296</f>
        <v/>
      </c>
      <c r="L296" s="40">
        <f>IF(B296&gt;=in_marketplace_from,J296*d_hz*G296*in_eligible*H296,0)</f>
        <v/>
      </c>
      <c r="M296" s="40">
        <f>IF(B296&gt;=in_marketplace_from,K296*d_hz*G296*in_eligible*in_approved_repeat,0)</f>
        <v/>
      </c>
      <c r="N296" s="40">
        <f>L296+M296</f>
        <v/>
      </c>
      <c r="O296" s="46">
        <f>N296/F296</f>
        <v/>
      </c>
      <c r="P296" s="40">
        <f>F296-J296-K296</f>
        <v/>
      </c>
      <c r="Q296" s="40">
        <f>IF(B296&gt;=in_marketplace_from,(J296+K296)*d_hz*G296,0)</f>
        <v/>
      </c>
      <c r="R296" s="40">
        <f>SUMIFS(N292:N346,B292:B346,"&gt;="&amp;(B296-d_T),B292:B346,"&lt;="&amp;(B296-1))</f>
        <v/>
      </c>
      <c r="S296" s="46">
        <f>(1-d_u)*S295+IF(d_T&gt;in_topup_lag,SUMIFS(O292:O346,B292:B346,B296-in_topup_lag)-d_udrop*SUMIFS(O292:O346,B292:B346,B296-d_T),0)</f>
        <v/>
      </c>
      <c r="T296" s="40">
        <f>F296*d_u*S296</f>
        <v/>
      </c>
      <c r="U296" s="9">
        <f>L296*in_ticket+M296*d_rep_ticket</f>
        <v/>
      </c>
      <c r="V296" s="9">
        <f>U296+T296*d_topup_amt</f>
        <v/>
      </c>
      <c r="W296" s="40">
        <f>N296+T296*d_topup_ratio</f>
        <v/>
      </c>
      <c r="X296" s="40">
        <f>SUMIFS(W292:W346,B292:B346,B296-in_dpd_lag)*d_cured</f>
        <v/>
      </c>
      <c r="Y296" s="40">
        <f>SUMIFS(W292:W346,B292:B346,B296-in_rec_lag)*d_recd</f>
        <v/>
      </c>
      <c r="Z296" s="40">
        <f>IF(AND(B296&gt;=in_marketplace_from,B296&lt;in_marketplace_from+in_card_months),in_card_share/in_card_months*F296*I296,IF(AND(B296&gt;=in_marketplace_from+in_card_months,B296&lt;in_marketplace_from+2*in_card_months),in_card_share*d_card_rem/in_card_months*F296*MIN(in_takeup_cap,(1+in_takeup_growth)^(D296-1))*MIN(in_takeup_cap,(1+in_approval_growth)^(D296-1)),0))</f>
        <v/>
      </c>
      <c r="AA296" s="14">
        <f>V296*in_fee*(1-in_taken_back)</f>
        <v/>
      </c>
      <c r="AB296" s="14">
        <f>SUMIFS(W292:W346,B292:B346,B296-in_dpd_lag)*d_dpd</f>
        <v/>
      </c>
      <c r="AC296" s="14">
        <f>SUMIFS(W292:W346,B292:B346,B296-in_rec_lag)*d_rec</f>
        <v/>
      </c>
      <c r="AD296" s="14">
        <f>Z296*in_card_fee</f>
        <v/>
      </c>
      <c r="AE296" s="40">
        <f>AE295*(1-IF(B295&gt;=in_marketplace_from,d_hz_hlth_small*G295,0))</f>
        <v/>
      </c>
      <c r="AF296" s="46">
        <f>AE296*IF(B296&gt;=in_marketplace_from,d_hz_hlth_small*G296,0)</f>
        <v/>
      </c>
      <c r="AG296" s="14">
        <f>F296*AF296*in_hlth_small_ticket*in_hlth_small_comm*in_ins_partner_share+F296*in_hlth_small_ticket*in_hlth_small_renew_comm*in_ins_partner_share*(in_hlth_small_renew^1*SUMIFS(AF292:AF346,B292:B346,B296-12)+in_hlth_small_renew^2*SUMIFS(AF292:AF346,B292:B346,B296-24)+in_hlth_small_renew^3*SUMIFS(AF292:AF346,B292:B346,B296-36)+in_hlth_small_renew^4*SUMIFS(AF292:AF346,B292:B346,B296-48))</f>
        <v/>
      </c>
      <c r="AH296" s="40">
        <f>AH295*(1-IF(B295&gt;=in_marketplace_from,d_hz_hlth_family*G295,0))</f>
        <v/>
      </c>
      <c r="AI296" s="46">
        <f>AH296*IF(B296&gt;=in_marketplace_from,d_hz_hlth_family*G296,0)</f>
        <v/>
      </c>
      <c r="AJ296" s="14">
        <f>F296*AI296*in_hlth_family_ticket*in_hlth_family_comm*in_ins_partner_share+F296*in_hlth_family_ticket*in_hlth_family_renew_comm*in_ins_partner_share*(in_hlth_family_renew^1*SUMIFS(AI292:AI346,B292:B346,B296-12)+in_hlth_family_renew^2*SUMIFS(AI292:AI346,B292:B346,B296-24)+in_hlth_family_renew^3*SUMIFS(AI292:AI346,B292:B346,B296-36)+in_hlth_family_renew^4*SUMIFS(AI292:AI346,B292:B346,B296-48))</f>
        <v/>
      </c>
      <c r="AK296" s="40">
        <f>AK295*(1-IF(B295&gt;=in_marketplace_from,d_hz_life_term*G295,0))</f>
        <v/>
      </c>
      <c r="AL296" s="46">
        <f>AK296*IF(B296&gt;=in_marketplace_from,d_hz_life_term*G296,0)</f>
        <v/>
      </c>
      <c r="AM296" s="14">
        <f>F296*AL296*in_life_term_ticket*in_life_term_comm*in_ins_partner_share+F296*in_life_term_ticket*in_life_term_renew_comm*in_ins_partner_share*(in_life_term_renew^1*SUMIFS(AL292:AL346,B292:B346,B296-12)+in_life_term_renew^2*SUMIFS(AL292:AL346,B292:B346,B296-24)+in_life_term_renew^3*SUMIFS(AL292:AL346,B292:B346,B296-36)+in_life_term_renew^4*SUMIFS(AL292:AL346,B292:B346,B296-48))</f>
        <v/>
      </c>
      <c r="AN296" s="40">
        <f>AN295*(1-IF(B295&gt;=in_marketplace_from,d_hz_accident*G295,0))</f>
        <v/>
      </c>
      <c r="AO296" s="46">
        <f>AN296*IF(B296&gt;=in_marketplace_from,d_hz_accident*G296,0)</f>
        <v/>
      </c>
      <c r="AP296" s="14">
        <f>F296*AO296*in_accident_ticket*in_accident_comm*in_ins_partner_share+F296*in_accident_ticket*in_accident_renew_comm*in_ins_partner_share*(in_accident_renew^1*SUMIFS(AO292:AO346,B292:B346,B296-12)+in_accident_renew^2*SUMIFS(AO292:AO346,B292:B346,B296-24)+in_accident_renew^3*SUMIFS(AO292:AO346,B292:B346,B296-36)+in_accident_renew^4*SUMIFS(AO292:AO346,B292:B346,B296-48))</f>
        <v/>
      </c>
      <c r="AQ296" s="40">
        <f>AQ295*(1-IF(B295&gt;=in_marketplace_from,d_hz_two_wheeler*G295,0))</f>
        <v/>
      </c>
      <c r="AR296" s="46">
        <f>AQ296*IF(B296&gt;=in_marketplace_from,d_hz_two_wheeler*G296,0)</f>
        <v/>
      </c>
      <c r="AS296" s="14">
        <f>F296*AR296*in_two_wheeler_ticket*in_two_wheeler_comm*in_ins_partner_share+F296*in_two_wheeler_ticket*in_two_wheeler_comm*in_ins_partner_share*(in_two_wheeler_renew^1*SUMIFS(AR292:AR346,B292:B346,B296-12)+in_two_wheeler_renew^2*SUMIFS(AR292:AR346,B292:B346,B296-24)+in_two_wheeler_renew^3*SUMIFS(AR292:AR346,B292:B346,B296-36)+in_two_wheeler_renew^4*SUMIFS(AR292:AR346,B292:B346,B296-48))</f>
        <v/>
      </c>
      <c r="AT296" s="40">
        <f>AT295*(1-IF(B295&gt;=in_marketplace_from,d_hz_device*G295,0))</f>
        <v/>
      </c>
      <c r="AU296" s="14">
        <f>F296*AT296*IF(B296&gt;=in_marketplace_from,d_hz_device*G296,0)*in_device_ticket*in_device_comm*in_ins_partner_share</f>
        <v/>
      </c>
      <c r="AV296" s="40">
        <f>AV295*(1-IF(B295&gt;=in_marketplace_from,d_hz_shop*G295,0))</f>
        <v/>
      </c>
      <c r="AW296" s="46">
        <f>AV296*IF(B296&gt;=in_marketplace_from,d_hz_shop*G296,0)</f>
        <v/>
      </c>
      <c r="AX296" s="14">
        <f>F296*AW296*in_shop_ticket*in_shop_comm*in_ins_partner_share+F296*in_shop_ticket*in_shop_renew_comm*in_ins_partner_share*(in_shop_renew^1*SUMIFS(AW292:AW346,B292:B346,B296-12)+in_shop_renew^2*SUMIFS(AW292:AW346,B292:B346,B296-24)+in_shop_renew^3*SUMIFS(AW292:AW346,B292:B346,B296-36)+in_shop_renew^4*SUMIFS(AW292:AW346,B292:B346,B296-48))</f>
        <v/>
      </c>
      <c r="AY296" s="40">
        <f>AY295*(1-IF(B295&gt;=in_marketplace_from,d_hz_sip*G295,0))</f>
        <v/>
      </c>
      <c r="AZ296" s="40">
        <f>AZ295*d_rho_sip+AY296*IF(B296&gt;=in_marketplace_from,d_hz_sip*G296,0)</f>
        <v/>
      </c>
      <c r="BA296" s="40">
        <f>d_rho_sip*(BA295+AZ295)</f>
        <v/>
      </c>
      <c r="BB296" s="14">
        <f>F296*in_sip_ticket*(BA296+0.5*AZ296)*in_sip_comm/12</f>
        <v/>
      </c>
      <c r="BC296" s="40">
        <f>BC295*(1-IF(B295&gt;=in_marketplace_from,d_hz_choti*G295,0))</f>
        <v/>
      </c>
      <c r="BD296" s="46">
        <f>BC296*IF(B296&gt;=in_marketplace_from,d_hz_choti*G296,0)</f>
        <v/>
      </c>
      <c r="BE296" s="14">
        <f>F296*SUMIFS(BD292:BD346,B292:B346,B296-in_choti_months)*in_choti_renew*in_choti_ticket</f>
        <v/>
      </c>
      <c r="BF296" s="40">
        <f>BF295*(1-IF(B295&gt;=in_marketplace_from,d_hz_nps*G295,0))</f>
        <v/>
      </c>
      <c r="BG296" s="14">
        <f>F296*BF296*IF(B296&gt;=in_marketplace_from,d_hz_nps*G296,0)*in_nps_ticket*in_nps_comm</f>
        <v/>
      </c>
      <c r="BH296" s="40">
        <f>BH295*(1-IF(B295&gt;=in_marketplace_from,d_hz_gold*G295,0))</f>
        <v/>
      </c>
      <c r="BI296" s="40">
        <f>BI295*d_rho_gold+BH296*IF(B296&gt;=in_marketplace_from,d_hz_gold*G296,0)</f>
        <v/>
      </c>
      <c r="BJ296" s="14">
        <f>F296*BI296*in_gold_ticket*in_gold_comm</f>
        <v/>
      </c>
      <c r="BK296" s="40">
        <f>BK295*(1-IF(B295&gt;=in_marketplace_from,d_hz_fd*G295,0))</f>
        <v/>
      </c>
      <c r="BL296" s="14">
        <f>F296*BK296*IF(B296&gt;=in_marketplace_from,d_hz_fd*G296,0)*in_fd_ticket*in_fd_comm</f>
        <v/>
      </c>
      <c r="BM296" s="40">
        <f>BM295*(1-IF(B295&gt;=in_marketplace_from,d_hz_recharge*G295,0))</f>
        <v/>
      </c>
      <c r="BN296" s="40">
        <f>BN295*d_rho_recharge+BM296*IF(B296&gt;=in_marketplace_from,d_hz_recharge*G296,0)</f>
        <v/>
      </c>
      <c r="BO296" s="14">
        <f>F296*BN296*in_recharge_ticket*in_recharge_comm/12</f>
        <v/>
      </c>
      <c r="BP296" s="40">
        <f>BP295*(1-IF(B295&gt;=in_marketplace_from,d_hz_bills*G295,0))</f>
        <v/>
      </c>
      <c r="BQ296" s="40">
        <f>BQ295*d_rho_bills+BP296*IF(B296&gt;=in_marketplace_from,d_hz_bills*G296,0)</f>
        <v/>
      </c>
      <c r="BR296" s="14">
        <f>F296*BQ296*in_bills_ticket*in_bills_comm/12</f>
        <v/>
      </c>
      <c r="BS296" s="40">
        <f>BS295*(1-IF(B295&gt;=in_marketplace_from,d_hz_loan_gold*G295,0))</f>
        <v/>
      </c>
      <c r="BT296" s="14">
        <f>F296*BS296*IF(B296&gt;=in_marketplace_from,d_hz_loan_gold*G296,0)*in_loan_gold_ticket*in_loan_gold_comm</f>
        <v/>
      </c>
      <c r="BU296" s="40">
        <f>BU295*(1-IF(B295&gt;=in_marketplace_from,d_hz_loan_cd*G295,0))</f>
        <v/>
      </c>
      <c r="BV296" s="14">
        <f>F296*BU296*IF(B296&gt;=in_marketplace_from,d_hz_loan_cd*G296,0)*in_loan_cd_ticket*in_loan_cd_comm</f>
        <v/>
      </c>
      <c r="BW296" s="40">
        <f>BW295*(1-IF(B295&gt;=in_marketplace_from,d_hz_loan_vehicle*G295,0))</f>
        <v/>
      </c>
      <c r="BX296" s="14">
        <f>F296*BW296*IF(B296&gt;=in_marketplace_from,d_hz_loan_vehicle*G296,0)*in_loan_vehicle_ticket*in_loan_vehicle_comm</f>
        <v/>
      </c>
      <c r="BY296" s="40">
        <f>BY295*(1-IF(B295&gt;=in_marketplace_from,d_hz_loan_home*G295,0)*BZ295)</f>
        <v/>
      </c>
      <c r="BZ296" s="11">
        <f>MIN(in_approval_cap,in_loan_home_approval*INDEX('Age profile'!$O$2:$O$61,B296)*(1+in_approval_growth)^(D296-1))</f>
        <v/>
      </c>
      <c r="CA296" s="14">
        <f>F296*BY296*IF(B296&gt;=in_marketplace_from,d_hz_loan_home*G296,0)*BZ296*in_loan_home_ticket*in_loan_home_comm</f>
        <v/>
      </c>
      <c r="CB296" s="40">
        <f>CB295*(1-IF(B295&gt;=in_marketplace_from,d_hz_loan_lap*G295,0)*CC295)</f>
        <v/>
      </c>
      <c r="CC296" s="11">
        <f>MIN(in_approval_cap,in_loan_lap_approval*INDEX('Age profile'!$O$2:$O$61,B296)*(1+in_approval_growth)^(D296-1))</f>
        <v/>
      </c>
      <c r="CD296" s="14">
        <f>F296*CB296*IF(B296&gt;=in_marketplace_from,d_hz_loan_lap*G296,0)*CC296*in_loan_lap_ticket*in_loan_lap_comm</f>
        <v/>
      </c>
      <c r="CE296" s="14">
        <f>AA296+AB296+AC296+AD296+AG296+AJ296+AM296+AP296+AS296+AU296+AX296+BB296+BE296+BG296+BJ296+BL296+BO296+BR296+BT296+BV296+BX296+CA296+CD296</f>
        <v/>
      </c>
    </row>
    <row r="297">
      <c r="A297" s="39" t="n">
        <v>6</v>
      </c>
      <c r="B297" s="39" t="n">
        <v>6</v>
      </c>
      <c r="C297" s="39">
        <f>A297+B297-1</f>
        <v/>
      </c>
      <c r="D297" s="39">
        <f>INT((C297-1)/12)+1</f>
        <v/>
      </c>
      <c r="E297" s="44">
        <f>INDEX(Monthly!$B$2:$B$61,A297)</f>
        <v/>
      </c>
      <c r="F297" s="44">
        <f>E297*INDEX('Age profile'!$B$2:$B$61,B297)</f>
        <v/>
      </c>
      <c r="G297" s="45">
        <f>MIN(in_takeup_cap,INDEX('Age profile'!$N$2:$N$61,B297)*(1+in_takeup_growth)^(D297-1))</f>
        <v/>
      </c>
      <c r="H297" s="11">
        <f>MIN(in_approval_cap,in_approved_first*INDEX('Age profile'!$O$2:$O$61,B297)*(1+in_approval_growth)^(D297-1))</f>
        <v/>
      </c>
      <c r="I297" s="45">
        <f>G297*MIN(in_takeup_cap,INDEX('Age profile'!$O$2:$O$61,B297)*(1+in_approval_growth)^(D297-1))</f>
        <v/>
      </c>
      <c r="J297" s="40">
        <f>(J296-L296)*F297/F296</f>
        <v/>
      </c>
      <c r="K297" s="40">
        <f>(K296-M296)*F297/F296+SUMIFS(O292:O296,B292:B296,B297-1-d_T)*F297</f>
        <v/>
      </c>
      <c r="L297" s="40">
        <f>IF(B297&gt;=in_marketplace_from,J297*d_hz*G297*in_eligible*H297,0)</f>
        <v/>
      </c>
      <c r="M297" s="40">
        <f>IF(B297&gt;=in_marketplace_from,K297*d_hz*G297*in_eligible*in_approved_repeat,0)</f>
        <v/>
      </c>
      <c r="N297" s="40">
        <f>L297+M297</f>
        <v/>
      </c>
      <c r="O297" s="46">
        <f>N297/F297</f>
        <v/>
      </c>
      <c r="P297" s="40">
        <f>F297-J297-K297</f>
        <v/>
      </c>
      <c r="Q297" s="40">
        <f>IF(B297&gt;=in_marketplace_from,(J297+K297)*d_hz*G297,0)</f>
        <v/>
      </c>
      <c r="R297" s="40">
        <f>SUMIFS(N292:N346,B292:B346,"&gt;="&amp;(B297-d_T),B292:B346,"&lt;="&amp;(B297-1))</f>
        <v/>
      </c>
      <c r="S297" s="46">
        <f>(1-d_u)*S296+IF(d_T&gt;in_topup_lag,SUMIFS(O292:O346,B292:B346,B297-in_topup_lag)-d_udrop*SUMIFS(O292:O346,B292:B346,B297-d_T),0)</f>
        <v/>
      </c>
      <c r="T297" s="40">
        <f>F297*d_u*S297</f>
        <v/>
      </c>
      <c r="U297" s="9">
        <f>L297*in_ticket+M297*d_rep_ticket</f>
        <v/>
      </c>
      <c r="V297" s="9">
        <f>U297+T297*d_topup_amt</f>
        <v/>
      </c>
      <c r="W297" s="40">
        <f>N297+T297*d_topup_ratio</f>
        <v/>
      </c>
      <c r="X297" s="40">
        <f>SUMIFS(W292:W346,B292:B346,B297-in_dpd_lag)*d_cured</f>
        <v/>
      </c>
      <c r="Y297" s="40">
        <f>SUMIFS(W292:W346,B292:B346,B297-in_rec_lag)*d_recd</f>
        <v/>
      </c>
      <c r="Z297" s="40">
        <f>IF(AND(B297&gt;=in_marketplace_from,B297&lt;in_marketplace_from+in_card_months),in_card_share/in_card_months*F297*I297,IF(AND(B297&gt;=in_marketplace_from+in_card_months,B297&lt;in_marketplace_from+2*in_card_months),in_card_share*d_card_rem/in_card_months*F297*MIN(in_takeup_cap,(1+in_takeup_growth)^(D297-1))*MIN(in_takeup_cap,(1+in_approval_growth)^(D297-1)),0))</f>
        <v/>
      </c>
      <c r="AA297" s="14">
        <f>V297*in_fee*(1-in_taken_back)</f>
        <v/>
      </c>
      <c r="AB297" s="14">
        <f>SUMIFS(W292:W346,B292:B346,B297-in_dpd_lag)*d_dpd</f>
        <v/>
      </c>
      <c r="AC297" s="14">
        <f>SUMIFS(W292:W346,B292:B346,B297-in_rec_lag)*d_rec</f>
        <v/>
      </c>
      <c r="AD297" s="14">
        <f>Z297*in_card_fee</f>
        <v/>
      </c>
      <c r="AE297" s="40">
        <f>AE296*(1-IF(B296&gt;=in_marketplace_from,d_hz_hlth_small*G296,0))</f>
        <v/>
      </c>
      <c r="AF297" s="46">
        <f>AE297*IF(B297&gt;=in_marketplace_from,d_hz_hlth_small*G297,0)</f>
        <v/>
      </c>
      <c r="AG297" s="14">
        <f>F297*AF297*in_hlth_small_ticket*in_hlth_small_comm*in_ins_partner_share+F297*in_hlth_small_ticket*in_hlth_small_renew_comm*in_ins_partner_share*(in_hlth_small_renew^1*SUMIFS(AF292:AF346,B292:B346,B297-12)+in_hlth_small_renew^2*SUMIFS(AF292:AF346,B292:B346,B297-24)+in_hlth_small_renew^3*SUMIFS(AF292:AF346,B292:B346,B297-36)+in_hlth_small_renew^4*SUMIFS(AF292:AF346,B292:B346,B297-48))</f>
        <v/>
      </c>
      <c r="AH297" s="40">
        <f>AH296*(1-IF(B296&gt;=in_marketplace_from,d_hz_hlth_family*G296,0))</f>
        <v/>
      </c>
      <c r="AI297" s="46">
        <f>AH297*IF(B297&gt;=in_marketplace_from,d_hz_hlth_family*G297,0)</f>
        <v/>
      </c>
      <c r="AJ297" s="14">
        <f>F297*AI297*in_hlth_family_ticket*in_hlth_family_comm*in_ins_partner_share+F297*in_hlth_family_ticket*in_hlth_family_renew_comm*in_ins_partner_share*(in_hlth_family_renew^1*SUMIFS(AI292:AI346,B292:B346,B297-12)+in_hlth_family_renew^2*SUMIFS(AI292:AI346,B292:B346,B297-24)+in_hlth_family_renew^3*SUMIFS(AI292:AI346,B292:B346,B297-36)+in_hlth_family_renew^4*SUMIFS(AI292:AI346,B292:B346,B297-48))</f>
        <v/>
      </c>
      <c r="AK297" s="40">
        <f>AK296*(1-IF(B296&gt;=in_marketplace_from,d_hz_life_term*G296,0))</f>
        <v/>
      </c>
      <c r="AL297" s="46">
        <f>AK297*IF(B297&gt;=in_marketplace_from,d_hz_life_term*G297,0)</f>
        <v/>
      </c>
      <c r="AM297" s="14">
        <f>F297*AL297*in_life_term_ticket*in_life_term_comm*in_ins_partner_share+F297*in_life_term_ticket*in_life_term_renew_comm*in_ins_partner_share*(in_life_term_renew^1*SUMIFS(AL292:AL346,B292:B346,B297-12)+in_life_term_renew^2*SUMIFS(AL292:AL346,B292:B346,B297-24)+in_life_term_renew^3*SUMIFS(AL292:AL346,B292:B346,B297-36)+in_life_term_renew^4*SUMIFS(AL292:AL346,B292:B346,B297-48))</f>
        <v/>
      </c>
      <c r="AN297" s="40">
        <f>AN296*(1-IF(B296&gt;=in_marketplace_from,d_hz_accident*G296,0))</f>
        <v/>
      </c>
      <c r="AO297" s="46">
        <f>AN297*IF(B297&gt;=in_marketplace_from,d_hz_accident*G297,0)</f>
        <v/>
      </c>
      <c r="AP297" s="14">
        <f>F297*AO297*in_accident_ticket*in_accident_comm*in_ins_partner_share+F297*in_accident_ticket*in_accident_renew_comm*in_ins_partner_share*(in_accident_renew^1*SUMIFS(AO292:AO346,B292:B346,B297-12)+in_accident_renew^2*SUMIFS(AO292:AO346,B292:B346,B297-24)+in_accident_renew^3*SUMIFS(AO292:AO346,B292:B346,B297-36)+in_accident_renew^4*SUMIFS(AO292:AO346,B292:B346,B297-48))</f>
        <v/>
      </c>
      <c r="AQ297" s="40">
        <f>AQ296*(1-IF(B296&gt;=in_marketplace_from,d_hz_two_wheeler*G296,0))</f>
        <v/>
      </c>
      <c r="AR297" s="46">
        <f>AQ297*IF(B297&gt;=in_marketplace_from,d_hz_two_wheeler*G297,0)</f>
        <v/>
      </c>
      <c r="AS297" s="14">
        <f>F297*AR297*in_two_wheeler_ticket*in_two_wheeler_comm*in_ins_partner_share+F297*in_two_wheeler_ticket*in_two_wheeler_comm*in_ins_partner_share*(in_two_wheeler_renew^1*SUMIFS(AR292:AR346,B292:B346,B297-12)+in_two_wheeler_renew^2*SUMIFS(AR292:AR346,B292:B346,B297-24)+in_two_wheeler_renew^3*SUMIFS(AR292:AR346,B292:B346,B297-36)+in_two_wheeler_renew^4*SUMIFS(AR292:AR346,B292:B346,B297-48))</f>
        <v/>
      </c>
      <c r="AT297" s="40">
        <f>AT296*(1-IF(B296&gt;=in_marketplace_from,d_hz_device*G296,0))</f>
        <v/>
      </c>
      <c r="AU297" s="14">
        <f>F297*AT297*IF(B297&gt;=in_marketplace_from,d_hz_device*G297,0)*in_device_ticket*in_device_comm*in_ins_partner_share</f>
        <v/>
      </c>
      <c r="AV297" s="40">
        <f>AV296*(1-IF(B296&gt;=in_marketplace_from,d_hz_shop*G296,0))</f>
        <v/>
      </c>
      <c r="AW297" s="46">
        <f>AV297*IF(B297&gt;=in_marketplace_from,d_hz_shop*G297,0)</f>
        <v/>
      </c>
      <c r="AX297" s="14">
        <f>F297*AW297*in_shop_ticket*in_shop_comm*in_ins_partner_share+F297*in_shop_ticket*in_shop_renew_comm*in_ins_partner_share*(in_shop_renew^1*SUMIFS(AW292:AW346,B292:B346,B297-12)+in_shop_renew^2*SUMIFS(AW292:AW346,B292:B346,B297-24)+in_shop_renew^3*SUMIFS(AW292:AW346,B292:B346,B297-36)+in_shop_renew^4*SUMIFS(AW292:AW346,B292:B346,B297-48))</f>
        <v/>
      </c>
      <c r="AY297" s="40">
        <f>AY296*(1-IF(B296&gt;=in_marketplace_from,d_hz_sip*G296,0))</f>
        <v/>
      </c>
      <c r="AZ297" s="40">
        <f>AZ296*d_rho_sip+AY297*IF(B297&gt;=in_marketplace_from,d_hz_sip*G297,0)</f>
        <v/>
      </c>
      <c r="BA297" s="40">
        <f>d_rho_sip*(BA296+AZ296)</f>
        <v/>
      </c>
      <c r="BB297" s="14">
        <f>F297*in_sip_ticket*(BA297+0.5*AZ297)*in_sip_comm/12</f>
        <v/>
      </c>
      <c r="BC297" s="40">
        <f>BC296*(1-IF(B296&gt;=in_marketplace_from,d_hz_choti*G296,0))</f>
        <v/>
      </c>
      <c r="BD297" s="46">
        <f>BC297*IF(B297&gt;=in_marketplace_from,d_hz_choti*G297,0)</f>
        <v/>
      </c>
      <c r="BE297" s="14">
        <f>F297*SUMIFS(BD292:BD346,B292:B346,B297-in_choti_months)*in_choti_renew*in_choti_ticket</f>
        <v/>
      </c>
      <c r="BF297" s="40">
        <f>BF296*(1-IF(B296&gt;=in_marketplace_from,d_hz_nps*G296,0))</f>
        <v/>
      </c>
      <c r="BG297" s="14">
        <f>F297*BF297*IF(B297&gt;=in_marketplace_from,d_hz_nps*G297,0)*in_nps_ticket*in_nps_comm</f>
        <v/>
      </c>
      <c r="BH297" s="40">
        <f>BH296*(1-IF(B296&gt;=in_marketplace_from,d_hz_gold*G296,0))</f>
        <v/>
      </c>
      <c r="BI297" s="40">
        <f>BI296*d_rho_gold+BH297*IF(B297&gt;=in_marketplace_from,d_hz_gold*G297,0)</f>
        <v/>
      </c>
      <c r="BJ297" s="14">
        <f>F297*BI297*in_gold_ticket*in_gold_comm</f>
        <v/>
      </c>
      <c r="BK297" s="40">
        <f>BK296*(1-IF(B296&gt;=in_marketplace_from,d_hz_fd*G296,0))</f>
        <v/>
      </c>
      <c r="BL297" s="14">
        <f>F297*BK297*IF(B297&gt;=in_marketplace_from,d_hz_fd*G297,0)*in_fd_ticket*in_fd_comm</f>
        <v/>
      </c>
      <c r="BM297" s="40">
        <f>BM296*(1-IF(B296&gt;=in_marketplace_from,d_hz_recharge*G296,0))</f>
        <v/>
      </c>
      <c r="BN297" s="40">
        <f>BN296*d_rho_recharge+BM297*IF(B297&gt;=in_marketplace_from,d_hz_recharge*G297,0)</f>
        <v/>
      </c>
      <c r="BO297" s="14">
        <f>F297*BN297*in_recharge_ticket*in_recharge_comm/12</f>
        <v/>
      </c>
      <c r="BP297" s="40">
        <f>BP296*(1-IF(B296&gt;=in_marketplace_from,d_hz_bills*G296,0))</f>
        <v/>
      </c>
      <c r="BQ297" s="40">
        <f>BQ296*d_rho_bills+BP297*IF(B297&gt;=in_marketplace_from,d_hz_bills*G297,0)</f>
        <v/>
      </c>
      <c r="BR297" s="14">
        <f>F297*BQ297*in_bills_ticket*in_bills_comm/12</f>
        <v/>
      </c>
      <c r="BS297" s="40">
        <f>BS296*(1-IF(B296&gt;=in_marketplace_from,d_hz_loan_gold*G296,0))</f>
        <v/>
      </c>
      <c r="BT297" s="14">
        <f>F297*BS297*IF(B297&gt;=in_marketplace_from,d_hz_loan_gold*G297,0)*in_loan_gold_ticket*in_loan_gold_comm</f>
        <v/>
      </c>
      <c r="BU297" s="40">
        <f>BU296*(1-IF(B296&gt;=in_marketplace_from,d_hz_loan_cd*G296,0))</f>
        <v/>
      </c>
      <c r="BV297" s="14">
        <f>F297*BU297*IF(B297&gt;=in_marketplace_from,d_hz_loan_cd*G297,0)*in_loan_cd_ticket*in_loan_cd_comm</f>
        <v/>
      </c>
      <c r="BW297" s="40">
        <f>BW296*(1-IF(B296&gt;=in_marketplace_from,d_hz_loan_vehicle*G296,0))</f>
        <v/>
      </c>
      <c r="BX297" s="14">
        <f>F297*BW297*IF(B297&gt;=in_marketplace_from,d_hz_loan_vehicle*G297,0)*in_loan_vehicle_ticket*in_loan_vehicle_comm</f>
        <v/>
      </c>
      <c r="BY297" s="40">
        <f>BY296*(1-IF(B296&gt;=in_marketplace_from,d_hz_loan_home*G296,0)*BZ296)</f>
        <v/>
      </c>
      <c r="BZ297" s="11">
        <f>MIN(in_approval_cap,in_loan_home_approval*INDEX('Age profile'!$O$2:$O$61,B297)*(1+in_approval_growth)^(D297-1))</f>
        <v/>
      </c>
      <c r="CA297" s="14">
        <f>F297*BY297*IF(B297&gt;=in_marketplace_from,d_hz_loan_home*G297,0)*BZ297*in_loan_home_ticket*in_loan_home_comm</f>
        <v/>
      </c>
      <c r="CB297" s="40">
        <f>CB296*(1-IF(B296&gt;=in_marketplace_from,d_hz_loan_lap*G296,0)*CC296)</f>
        <v/>
      </c>
      <c r="CC297" s="11">
        <f>MIN(in_approval_cap,in_loan_lap_approval*INDEX('Age profile'!$O$2:$O$61,B297)*(1+in_approval_growth)^(D297-1))</f>
        <v/>
      </c>
      <c r="CD297" s="14">
        <f>F297*CB297*IF(B297&gt;=in_marketplace_from,d_hz_loan_lap*G297,0)*CC297*in_loan_lap_ticket*in_loan_lap_comm</f>
        <v/>
      </c>
      <c r="CE297" s="14">
        <f>AA297+AB297+AC297+AD297+AG297+AJ297+AM297+AP297+AS297+AU297+AX297+BB297+BE297+BG297+BJ297+BL297+BO297+BR297+BT297+BV297+BX297+CA297+CD297</f>
        <v/>
      </c>
    </row>
    <row r="298">
      <c r="A298" s="39" t="n">
        <v>6</v>
      </c>
      <c r="B298" s="39" t="n">
        <v>7</v>
      </c>
      <c r="C298" s="39">
        <f>A298+B298-1</f>
        <v/>
      </c>
      <c r="D298" s="39">
        <f>INT((C298-1)/12)+1</f>
        <v/>
      </c>
      <c r="E298" s="44">
        <f>INDEX(Monthly!$B$2:$B$61,A298)</f>
        <v/>
      </c>
      <c r="F298" s="44">
        <f>E298*INDEX('Age profile'!$B$2:$B$61,B298)</f>
        <v/>
      </c>
      <c r="G298" s="45">
        <f>MIN(in_takeup_cap,INDEX('Age profile'!$N$2:$N$61,B298)*(1+in_takeup_growth)^(D298-1))</f>
        <v/>
      </c>
      <c r="H298" s="11">
        <f>MIN(in_approval_cap,in_approved_first*INDEX('Age profile'!$O$2:$O$61,B298)*(1+in_approval_growth)^(D298-1))</f>
        <v/>
      </c>
      <c r="I298" s="45">
        <f>G298*MIN(in_takeup_cap,INDEX('Age profile'!$O$2:$O$61,B298)*(1+in_approval_growth)^(D298-1))</f>
        <v/>
      </c>
      <c r="J298" s="40">
        <f>(J297-L297)*F298/F297</f>
        <v/>
      </c>
      <c r="K298" s="40">
        <f>(K297-M297)*F298/F297+SUMIFS(O292:O297,B292:B297,B298-1-d_T)*F298</f>
        <v/>
      </c>
      <c r="L298" s="40">
        <f>IF(B298&gt;=in_marketplace_from,J298*d_hz*G298*in_eligible*H298,0)</f>
        <v/>
      </c>
      <c r="M298" s="40">
        <f>IF(B298&gt;=in_marketplace_from,K298*d_hz*G298*in_eligible*in_approved_repeat,0)</f>
        <v/>
      </c>
      <c r="N298" s="40">
        <f>L298+M298</f>
        <v/>
      </c>
      <c r="O298" s="46">
        <f>N298/F298</f>
        <v/>
      </c>
      <c r="P298" s="40">
        <f>F298-J298-K298</f>
        <v/>
      </c>
      <c r="Q298" s="40">
        <f>IF(B298&gt;=in_marketplace_from,(J298+K298)*d_hz*G298,0)</f>
        <v/>
      </c>
      <c r="R298" s="40">
        <f>SUMIFS(N292:N346,B292:B346,"&gt;="&amp;(B298-d_T),B292:B346,"&lt;="&amp;(B298-1))</f>
        <v/>
      </c>
      <c r="S298" s="46">
        <f>(1-d_u)*S297+IF(d_T&gt;in_topup_lag,SUMIFS(O292:O346,B292:B346,B298-in_topup_lag)-d_udrop*SUMIFS(O292:O346,B292:B346,B298-d_T),0)</f>
        <v/>
      </c>
      <c r="T298" s="40">
        <f>F298*d_u*S298</f>
        <v/>
      </c>
      <c r="U298" s="9">
        <f>L298*in_ticket+M298*d_rep_ticket</f>
        <v/>
      </c>
      <c r="V298" s="9">
        <f>U298+T298*d_topup_amt</f>
        <v/>
      </c>
      <c r="W298" s="40">
        <f>N298+T298*d_topup_ratio</f>
        <v/>
      </c>
      <c r="X298" s="40">
        <f>SUMIFS(W292:W346,B292:B346,B298-in_dpd_lag)*d_cured</f>
        <v/>
      </c>
      <c r="Y298" s="40">
        <f>SUMIFS(W292:W346,B292:B346,B298-in_rec_lag)*d_recd</f>
        <v/>
      </c>
      <c r="Z298" s="40">
        <f>IF(AND(B298&gt;=in_marketplace_from,B298&lt;in_marketplace_from+in_card_months),in_card_share/in_card_months*F298*I298,IF(AND(B298&gt;=in_marketplace_from+in_card_months,B298&lt;in_marketplace_from+2*in_card_months),in_card_share*d_card_rem/in_card_months*F298*MIN(in_takeup_cap,(1+in_takeup_growth)^(D298-1))*MIN(in_takeup_cap,(1+in_approval_growth)^(D298-1)),0))</f>
        <v/>
      </c>
      <c r="AA298" s="14">
        <f>V298*in_fee*(1-in_taken_back)</f>
        <v/>
      </c>
      <c r="AB298" s="14">
        <f>SUMIFS(W292:W346,B292:B346,B298-in_dpd_lag)*d_dpd</f>
        <v/>
      </c>
      <c r="AC298" s="14">
        <f>SUMIFS(W292:W346,B292:B346,B298-in_rec_lag)*d_rec</f>
        <v/>
      </c>
      <c r="AD298" s="14">
        <f>Z298*in_card_fee</f>
        <v/>
      </c>
      <c r="AE298" s="40">
        <f>AE297*(1-IF(B297&gt;=in_marketplace_from,d_hz_hlth_small*G297,0))</f>
        <v/>
      </c>
      <c r="AF298" s="46">
        <f>AE298*IF(B298&gt;=in_marketplace_from,d_hz_hlth_small*G298,0)</f>
        <v/>
      </c>
      <c r="AG298" s="14">
        <f>F298*AF298*in_hlth_small_ticket*in_hlth_small_comm*in_ins_partner_share+F298*in_hlth_small_ticket*in_hlth_small_renew_comm*in_ins_partner_share*(in_hlth_small_renew^1*SUMIFS(AF292:AF346,B292:B346,B298-12)+in_hlth_small_renew^2*SUMIFS(AF292:AF346,B292:B346,B298-24)+in_hlth_small_renew^3*SUMIFS(AF292:AF346,B292:B346,B298-36)+in_hlth_small_renew^4*SUMIFS(AF292:AF346,B292:B346,B298-48))</f>
        <v/>
      </c>
      <c r="AH298" s="40">
        <f>AH297*(1-IF(B297&gt;=in_marketplace_from,d_hz_hlth_family*G297,0))</f>
        <v/>
      </c>
      <c r="AI298" s="46">
        <f>AH298*IF(B298&gt;=in_marketplace_from,d_hz_hlth_family*G298,0)</f>
        <v/>
      </c>
      <c r="AJ298" s="14">
        <f>F298*AI298*in_hlth_family_ticket*in_hlth_family_comm*in_ins_partner_share+F298*in_hlth_family_ticket*in_hlth_family_renew_comm*in_ins_partner_share*(in_hlth_family_renew^1*SUMIFS(AI292:AI346,B292:B346,B298-12)+in_hlth_family_renew^2*SUMIFS(AI292:AI346,B292:B346,B298-24)+in_hlth_family_renew^3*SUMIFS(AI292:AI346,B292:B346,B298-36)+in_hlth_family_renew^4*SUMIFS(AI292:AI346,B292:B346,B298-48))</f>
        <v/>
      </c>
      <c r="AK298" s="40">
        <f>AK297*(1-IF(B297&gt;=in_marketplace_from,d_hz_life_term*G297,0))</f>
        <v/>
      </c>
      <c r="AL298" s="46">
        <f>AK298*IF(B298&gt;=in_marketplace_from,d_hz_life_term*G298,0)</f>
        <v/>
      </c>
      <c r="AM298" s="14">
        <f>F298*AL298*in_life_term_ticket*in_life_term_comm*in_ins_partner_share+F298*in_life_term_ticket*in_life_term_renew_comm*in_ins_partner_share*(in_life_term_renew^1*SUMIFS(AL292:AL346,B292:B346,B298-12)+in_life_term_renew^2*SUMIFS(AL292:AL346,B292:B346,B298-24)+in_life_term_renew^3*SUMIFS(AL292:AL346,B292:B346,B298-36)+in_life_term_renew^4*SUMIFS(AL292:AL346,B292:B346,B298-48))</f>
        <v/>
      </c>
      <c r="AN298" s="40">
        <f>AN297*(1-IF(B297&gt;=in_marketplace_from,d_hz_accident*G297,0))</f>
        <v/>
      </c>
      <c r="AO298" s="46">
        <f>AN298*IF(B298&gt;=in_marketplace_from,d_hz_accident*G298,0)</f>
        <v/>
      </c>
      <c r="AP298" s="14">
        <f>F298*AO298*in_accident_ticket*in_accident_comm*in_ins_partner_share+F298*in_accident_ticket*in_accident_renew_comm*in_ins_partner_share*(in_accident_renew^1*SUMIFS(AO292:AO346,B292:B346,B298-12)+in_accident_renew^2*SUMIFS(AO292:AO346,B292:B346,B298-24)+in_accident_renew^3*SUMIFS(AO292:AO346,B292:B346,B298-36)+in_accident_renew^4*SUMIFS(AO292:AO346,B292:B346,B298-48))</f>
        <v/>
      </c>
      <c r="AQ298" s="40">
        <f>AQ297*(1-IF(B297&gt;=in_marketplace_from,d_hz_two_wheeler*G297,0))</f>
        <v/>
      </c>
      <c r="AR298" s="46">
        <f>AQ298*IF(B298&gt;=in_marketplace_from,d_hz_two_wheeler*G298,0)</f>
        <v/>
      </c>
      <c r="AS298" s="14">
        <f>F298*AR298*in_two_wheeler_ticket*in_two_wheeler_comm*in_ins_partner_share+F298*in_two_wheeler_ticket*in_two_wheeler_comm*in_ins_partner_share*(in_two_wheeler_renew^1*SUMIFS(AR292:AR346,B292:B346,B298-12)+in_two_wheeler_renew^2*SUMIFS(AR292:AR346,B292:B346,B298-24)+in_two_wheeler_renew^3*SUMIFS(AR292:AR346,B292:B346,B298-36)+in_two_wheeler_renew^4*SUMIFS(AR292:AR346,B292:B346,B298-48))</f>
        <v/>
      </c>
      <c r="AT298" s="40">
        <f>AT297*(1-IF(B297&gt;=in_marketplace_from,d_hz_device*G297,0))</f>
        <v/>
      </c>
      <c r="AU298" s="14">
        <f>F298*AT298*IF(B298&gt;=in_marketplace_from,d_hz_device*G298,0)*in_device_ticket*in_device_comm*in_ins_partner_share</f>
        <v/>
      </c>
      <c r="AV298" s="40">
        <f>AV297*(1-IF(B297&gt;=in_marketplace_from,d_hz_shop*G297,0))</f>
        <v/>
      </c>
      <c r="AW298" s="46">
        <f>AV298*IF(B298&gt;=in_marketplace_from,d_hz_shop*G298,0)</f>
        <v/>
      </c>
      <c r="AX298" s="14">
        <f>F298*AW298*in_shop_ticket*in_shop_comm*in_ins_partner_share+F298*in_shop_ticket*in_shop_renew_comm*in_ins_partner_share*(in_shop_renew^1*SUMIFS(AW292:AW346,B292:B346,B298-12)+in_shop_renew^2*SUMIFS(AW292:AW346,B292:B346,B298-24)+in_shop_renew^3*SUMIFS(AW292:AW346,B292:B346,B298-36)+in_shop_renew^4*SUMIFS(AW292:AW346,B292:B346,B298-48))</f>
        <v/>
      </c>
      <c r="AY298" s="40">
        <f>AY297*(1-IF(B297&gt;=in_marketplace_from,d_hz_sip*G297,0))</f>
        <v/>
      </c>
      <c r="AZ298" s="40">
        <f>AZ297*d_rho_sip+AY298*IF(B298&gt;=in_marketplace_from,d_hz_sip*G298,0)</f>
        <v/>
      </c>
      <c r="BA298" s="40">
        <f>d_rho_sip*(BA297+AZ297)</f>
        <v/>
      </c>
      <c r="BB298" s="14">
        <f>F298*in_sip_ticket*(BA298+0.5*AZ298)*in_sip_comm/12</f>
        <v/>
      </c>
      <c r="BC298" s="40">
        <f>BC297*(1-IF(B297&gt;=in_marketplace_from,d_hz_choti*G297,0))</f>
        <v/>
      </c>
      <c r="BD298" s="46">
        <f>BC298*IF(B298&gt;=in_marketplace_from,d_hz_choti*G298,0)</f>
        <v/>
      </c>
      <c r="BE298" s="14">
        <f>F298*SUMIFS(BD292:BD346,B292:B346,B298-in_choti_months)*in_choti_renew*in_choti_ticket</f>
        <v/>
      </c>
      <c r="BF298" s="40">
        <f>BF297*(1-IF(B297&gt;=in_marketplace_from,d_hz_nps*G297,0))</f>
        <v/>
      </c>
      <c r="BG298" s="14">
        <f>F298*BF298*IF(B298&gt;=in_marketplace_from,d_hz_nps*G298,0)*in_nps_ticket*in_nps_comm</f>
        <v/>
      </c>
      <c r="BH298" s="40">
        <f>BH297*(1-IF(B297&gt;=in_marketplace_from,d_hz_gold*G297,0))</f>
        <v/>
      </c>
      <c r="BI298" s="40">
        <f>BI297*d_rho_gold+BH298*IF(B298&gt;=in_marketplace_from,d_hz_gold*G298,0)</f>
        <v/>
      </c>
      <c r="BJ298" s="14">
        <f>F298*BI298*in_gold_ticket*in_gold_comm</f>
        <v/>
      </c>
      <c r="BK298" s="40">
        <f>BK297*(1-IF(B297&gt;=in_marketplace_from,d_hz_fd*G297,0))</f>
        <v/>
      </c>
      <c r="BL298" s="14">
        <f>F298*BK298*IF(B298&gt;=in_marketplace_from,d_hz_fd*G298,0)*in_fd_ticket*in_fd_comm</f>
        <v/>
      </c>
      <c r="BM298" s="40">
        <f>BM297*(1-IF(B297&gt;=in_marketplace_from,d_hz_recharge*G297,0))</f>
        <v/>
      </c>
      <c r="BN298" s="40">
        <f>BN297*d_rho_recharge+BM298*IF(B298&gt;=in_marketplace_from,d_hz_recharge*G298,0)</f>
        <v/>
      </c>
      <c r="BO298" s="14">
        <f>F298*BN298*in_recharge_ticket*in_recharge_comm/12</f>
        <v/>
      </c>
      <c r="BP298" s="40">
        <f>BP297*(1-IF(B297&gt;=in_marketplace_from,d_hz_bills*G297,0))</f>
        <v/>
      </c>
      <c r="BQ298" s="40">
        <f>BQ297*d_rho_bills+BP298*IF(B298&gt;=in_marketplace_from,d_hz_bills*G298,0)</f>
        <v/>
      </c>
      <c r="BR298" s="14">
        <f>F298*BQ298*in_bills_ticket*in_bills_comm/12</f>
        <v/>
      </c>
      <c r="BS298" s="40">
        <f>BS297*(1-IF(B297&gt;=in_marketplace_from,d_hz_loan_gold*G297,0))</f>
        <v/>
      </c>
      <c r="BT298" s="14">
        <f>F298*BS298*IF(B298&gt;=in_marketplace_from,d_hz_loan_gold*G298,0)*in_loan_gold_ticket*in_loan_gold_comm</f>
        <v/>
      </c>
      <c r="BU298" s="40">
        <f>BU297*(1-IF(B297&gt;=in_marketplace_from,d_hz_loan_cd*G297,0))</f>
        <v/>
      </c>
      <c r="BV298" s="14">
        <f>F298*BU298*IF(B298&gt;=in_marketplace_from,d_hz_loan_cd*G298,0)*in_loan_cd_ticket*in_loan_cd_comm</f>
        <v/>
      </c>
      <c r="BW298" s="40">
        <f>BW297*(1-IF(B297&gt;=in_marketplace_from,d_hz_loan_vehicle*G297,0))</f>
        <v/>
      </c>
      <c r="BX298" s="14">
        <f>F298*BW298*IF(B298&gt;=in_marketplace_from,d_hz_loan_vehicle*G298,0)*in_loan_vehicle_ticket*in_loan_vehicle_comm</f>
        <v/>
      </c>
      <c r="BY298" s="40">
        <f>BY297*(1-IF(B297&gt;=in_marketplace_from,d_hz_loan_home*G297,0)*BZ297)</f>
        <v/>
      </c>
      <c r="BZ298" s="11">
        <f>MIN(in_approval_cap,in_loan_home_approval*INDEX('Age profile'!$O$2:$O$61,B298)*(1+in_approval_growth)^(D298-1))</f>
        <v/>
      </c>
      <c r="CA298" s="14">
        <f>F298*BY298*IF(B298&gt;=in_marketplace_from,d_hz_loan_home*G298,0)*BZ298*in_loan_home_ticket*in_loan_home_comm</f>
        <v/>
      </c>
      <c r="CB298" s="40">
        <f>CB297*(1-IF(B297&gt;=in_marketplace_from,d_hz_loan_lap*G297,0)*CC297)</f>
        <v/>
      </c>
      <c r="CC298" s="11">
        <f>MIN(in_approval_cap,in_loan_lap_approval*INDEX('Age profile'!$O$2:$O$61,B298)*(1+in_approval_growth)^(D298-1))</f>
        <v/>
      </c>
      <c r="CD298" s="14">
        <f>F298*CB298*IF(B298&gt;=in_marketplace_from,d_hz_loan_lap*G298,0)*CC298*in_loan_lap_ticket*in_loan_lap_comm</f>
        <v/>
      </c>
      <c r="CE298" s="14">
        <f>AA298+AB298+AC298+AD298+AG298+AJ298+AM298+AP298+AS298+AU298+AX298+BB298+BE298+BG298+BJ298+BL298+BO298+BR298+BT298+BV298+BX298+CA298+CD298</f>
        <v/>
      </c>
    </row>
    <row r="299">
      <c r="A299" s="39" t="n">
        <v>6</v>
      </c>
      <c r="B299" s="39" t="n">
        <v>8</v>
      </c>
      <c r="C299" s="39">
        <f>A299+B299-1</f>
        <v/>
      </c>
      <c r="D299" s="39">
        <f>INT((C299-1)/12)+1</f>
        <v/>
      </c>
      <c r="E299" s="44">
        <f>INDEX(Monthly!$B$2:$B$61,A299)</f>
        <v/>
      </c>
      <c r="F299" s="44">
        <f>E299*INDEX('Age profile'!$B$2:$B$61,B299)</f>
        <v/>
      </c>
      <c r="G299" s="45">
        <f>MIN(in_takeup_cap,INDEX('Age profile'!$N$2:$N$61,B299)*(1+in_takeup_growth)^(D299-1))</f>
        <v/>
      </c>
      <c r="H299" s="11">
        <f>MIN(in_approval_cap,in_approved_first*INDEX('Age profile'!$O$2:$O$61,B299)*(1+in_approval_growth)^(D299-1))</f>
        <v/>
      </c>
      <c r="I299" s="45">
        <f>G299*MIN(in_takeup_cap,INDEX('Age profile'!$O$2:$O$61,B299)*(1+in_approval_growth)^(D299-1))</f>
        <v/>
      </c>
      <c r="J299" s="40">
        <f>(J298-L298)*F299/F298</f>
        <v/>
      </c>
      <c r="K299" s="40">
        <f>(K298-M298)*F299/F298+SUMIFS(O292:O298,B292:B298,B299-1-d_T)*F299</f>
        <v/>
      </c>
      <c r="L299" s="40">
        <f>IF(B299&gt;=in_marketplace_from,J299*d_hz*G299*in_eligible*H299,0)</f>
        <v/>
      </c>
      <c r="M299" s="40">
        <f>IF(B299&gt;=in_marketplace_from,K299*d_hz*G299*in_eligible*in_approved_repeat,0)</f>
        <v/>
      </c>
      <c r="N299" s="40">
        <f>L299+M299</f>
        <v/>
      </c>
      <c r="O299" s="46">
        <f>N299/F299</f>
        <v/>
      </c>
      <c r="P299" s="40">
        <f>F299-J299-K299</f>
        <v/>
      </c>
      <c r="Q299" s="40">
        <f>IF(B299&gt;=in_marketplace_from,(J299+K299)*d_hz*G299,0)</f>
        <v/>
      </c>
      <c r="R299" s="40">
        <f>SUMIFS(N292:N346,B292:B346,"&gt;="&amp;(B299-d_T),B292:B346,"&lt;="&amp;(B299-1))</f>
        <v/>
      </c>
      <c r="S299" s="46">
        <f>(1-d_u)*S298+IF(d_T&gt;in_topup_lag,SUMIFS(O292:O346,B292:B346,B299-in_topup_lag)-d_udrop*SUMIFS(O292:O346,B292:B346,B299-d_T),0)</f>
        <v/>
      </c>
      <c r="T299" s="40">
        <f>F299*d_u*S299</f>
        <v/>
      </c>
      <c r="U299" s="9">
        <f>L299*in_ticket+M299*d_rep_ticket</f>
        <v/>
      </c>
      <c r="V299" s="9">
        <f>U299+T299*d_topup_amt</f>
        <v/>
      </c>
      <c r="W299" s="40">
        <f>N299+T299*d_topup_ratio</f>
        <v/>
      </c>
      <c r="X299" s="40">
        <f>SUMIFS(W292:W346,B292:B346,B299-in_dpd_lag)*d_cured</f>
        <v/>
      </c>
      <c r="Y299" s="40">
        <f>SUMIFS(W292:W346,B292:B346,B299-in_rec_lag)*d_recd</f>
        <v/>
      </c>
      <c r="Z299" s="40">
        <f>IF(AND(B299&gt;=in_marketplace_from,B299&lt;in_marketplace_from+in_card_months),in_card_share/in_card_months*F299*I299,IF(AND(B299&gt;=in_marketplace_from+in_card_months,B299&lt;in_marketplace_from+2*in_card_months),in_card_share*d_card_rem/in_card_months*F299*MIN(in_takeup_cap,(1+in_takeup_growth)^(D299-1))*MIN(in_takeup_cap,(1+in_approval_growth)^(D299-1)),0))</f>
        <v/>
      </c>
      <c r="AA299" s="14">
        <f>V299*in_fee*(1-in_taken_back)</f>
        <v/>
      </c>
      <c r="AB299" s="14">
        <f>SUMIFS(W292:W346,B292:B346,B299-in_dpd_lag)*d_dpd</f>
        <v/>
      </c>
      <c r="AC299" s="14">
        <f>SUMIFS(W292:W346,B292:B346,B299-in_rec_lag)*d_rec</f>
        <v/>
      </c>
      <c r="AD299" s="14">
        <f>Z299*in_card_fee</f>
        <v/>
      </c>
      <c r="AE299" s="40">
        <f>AE298*(1-IF(B298&gt;=in_marketplace_from,d_hz_hlth_small*G298,0))</f>
        <v/>
      </c>
      <c r="AF299" s="46">
        <f>AE299*IF(B299&gt;=in_marketplace_from,d_hz_hlth_small*G299,0)</f>
        <v/>
      </c>
      <c r="AG299" s="14">
        <f>F299*AF299*in_hlth_small_ticket*in_hlth_small_comm*in_ins_partner_share+F299*in_hlth_small_ticket*in_hlth_small_renew_comm*in_ins_partner_share*(in_hlth_small_renew^1*SUMIFS(AF292:AF346,B292:B346,B299-12)+in_hlth_small_renew^2*SUMIFS(AF292:AF346,B292:B346,B299-24)+in_hlth_small_renew^3*SUMIFS(AF292:AF346,B292:B346,B299-36)+in_hlth_small_renew^4*SUMIFS(AF292:AF346,B292:B346,B299-48))</f>
        <v/>
      </c>
      <c r="AH299" s="40">
        <f>AH298*(1-IF(B298&gt;=in_marketplace_from,d_hz_hlth_family*G298,0))</f>
        <v/>
      </c>
      <c r="AI299" s="46">
        <f>AH299*IF(B299&gt;=in_marketplace_from,d_hz_hlth_family*G299,0)</f>
        <v/>
      </c>
      <c r="AJ299" s="14">
        <f>F299*AI299*in_hlth_family_ticket*in_hlth_family_comm*in_ins_partner_share+F299*in_hlth_family_ticket*in_hlth_family_renew_comm*in_ins_partner_share*(in_hlth_family_renew^1*SUMIFS(AI292:AI346,B292:B346,B299-12)+in_hlth_family_renew^2*SUMIFS(AI292:AI346,B292:B346,B299-24)+in_hlth_family_renew^3*SUMIFS(AI292:AI346,B292:B346,B299-36)+in_hlth_family_renew^4*SUMIFS(AI292:AI346,B292:B346,B299-48))</f>
        <v/>
      </c>
      <c r="AK299" s="40">
        <f>AK298*(1-IF(B298&gt;=in_marketplace_from,d_hz_life_term*G298,0))</f>
        <v/>
      </c>
      <c r="AL299" s="46">
        <f>AK299*IF(B299&gt;=in_marketplace_from,d_hz_life_term*G299,0)</f>
        <v/>
      </c>
      <c r="AM299" s="14">
        <f>F299*AL299*in_life_term_ticket*in_life_term_comm*in_ins_partner_share+F299*in_life_term_ticket*in_life_term_renew_comm*in_ins_partner_share*(in_life_term_renew^1*SUMIFS(AL292:AL346,B292:B346,B299-12)+in_life_term_renew^2*SUMIFS(AL292:AL346,B292:B346,B299-24)+in_life_term_renew^3*SUMIFS(AL292:AL346,B292:B346,B299-36)+in_life_term_renew^4*SUMIFS(AL292:AL346,B292:B346,B299-48))</f>
        <v/>
      </c>
      <c r="AN299" s="40">
        <f>AN298*(1-IF(B298&gt;=in_marketplace_from,d_hz_accident*G298,0))</f>
        <v/>
      </c>
      <c r="AO299" s="46">
        <f>AN299*IF(B299&gt;=in_marketplace_from,d_hz_accident*G299,0)</f>
        <v/>
      </c>
      <c r="AP299" s="14">
        <f>F299*AO299*in_accident_ticket*in_accident_comm*in_ins_partner_share+F299*in_accident_ticket*in_accident_renew_comm*in_ins_partner_share*(in_accident_renew^1*SUMIFS(AO292:AO346,B292:B346,B299-12)+in_accident_renew^2*SUMIFS(AO292:AO346,B292:B346,B299-24)+in_accident_renew^3*SUMIFS(AO292:AO346,B292:B346,B299-36)+in_accident_renew^4*SUMIFS(AO292:AO346,B292:B346,B299-48))</f>
        <v/>
      </c>
      <c r="AQ299" s="40">
        <f>AQ298*(1-IF(B298&gt;=in_marketplace_from,d_hz_two_wheeler*G298,0))</f>
        <v/>
      </c>
      <c r="AR299" s="46">
        <f>AQ299*IF(B299&gt;=in_marketplace_from,d_hz_two_wheeler*G299,0)</f>
        <v/>
      </c>
      <c r="AS299" s="14">
        <f>F299*AR299*in_two_wheeler_ticket*in_two_wheeler_comm*in_ins_partner_share+F299*in_two_wheeler_ticket*in_two_wheeler_comm*in_ins_partner_share*(in_two_wheeler_renew^1*SUMIFS(AR292:AR346,B292:B346,B299-12)+in_two_wheeler_renew^2*SUMIFS(AR292:AR346,B292:B346,B299-24)+in_two_wheeler_renew^3*SUMIFS(AR292:AR346,B292:B346,B299-36)+in_two_wheeler_renew^4*SUMIFS(AR292:AR346,B292:B346,B299-48))</f>
        <v/>
      </c>
      <c r="AT299" s="40">
        <f>AT298*(1-IF(B298&gt;=in_marketplace_from,d_hz_device*G298,0))</f>
        <v/>
      </c>
      <c r="AU299" s="14">
        <f>F299*AT299*IF(B299&gt;=in_marketplace_from,d_hz_device*G299,0)*in_device_ticket*in_device_comm*in_ins_partner_share</f>
        <v/>
      </c>
      <c r="AV299" s="40">
        <f>AV298*(1-IF(B298&gt;=in_marketplace_from,d_hz_shop*G298,0))</f>
        <v/>
      </c>
      <c r="AW299" s="46">
        <f>AV299*IF(B299&gt;=in_marketplace_from,d_hz_shop*G299,0)</f>
        <v/>
      </c>
      <c r="AX299" s="14">
        <f>F299*AW299*in_shop_ticket*in_shop_comm*in_ins_partner_share+F299*in_shop_ticket*in_shop_renew_comm*in_ins_partner_share*(in_shop_renew^1*SUMIFS(AW292:AW346,B292:B346,B299-12)+in_shop_renew^2*SUMIFS(AW292:AW346,B292:B346,B299-24)+in_shop_renew^3*SUMIFS(AW292:AW346,B292:B346,B299-36)+in_shop_renew^4*SUMIFS(AW292:AW346,B292:B346,B299-48))</f>
        <v/>
      </c>
      <c r="AY299" s="40">
        <f>AY298*(1-IF(B298&gt;=in_marketplace_from,d_hz_sip*G298,0))</f>
        <v/>
      </c>
      <c r="AZ299" s="40">
        <f>AZ298*d_rho_sip+AY299*IF(B299&gt;=in_marketplace_from,d_hz_sip*G299,0)</f>
        <v/>
      </c>
      <c r="BA299" s="40">
        <f>d_rho_sip*(BA298+AZ298)</f>
        <v/>
      </c>
      <c r="BB299" s="14">
        <f>F299*in_sip_ticket*(BA299+0.5*AZ299)*in_sip_comm/12</f>
        <v/>
      </c>
      <c r="BC299" s="40">
        <f>BC298*(1-IF(B298&gt;=in_marketplace_from,d_hz_choti*G298,0))</f>
        <v/>
      </c>
      <c r="BD299" s="46">
        <f>BC299*IF(B299&gt;=in_marketplace_from,d_hz_choti*G299,0)</f>
        <v/>
      </c>
      <c r="BE299" s="14">
        <f>F299*SUMIFS(BD292:BD346,B292:B346,B299-in_choti_months)*in_choti_renew*in_choti_ticket</f>
        <v/>
      </c>
      <c r="BF299" s="40">
        <f>BF298*(1-IF(B298&gt;=in_marketplace_from,d_hz_nps*G298,0))</f>
        <v/>
      </c>
      <c r="BG299" s="14">
        <f>F299*BF299*IF(B299&gt;=in_marketplace_from,d_hz_nps*G299,0)*in_nps_ticket*in_nps_comm</f>
        <v/>
      </c>
      <c r="BH299" s="40">
        <f>BH298*(1-IF(B298&gt;=in_marketplace_from,d_hz_gold*G298,0))</f>
        <v/>
      </c>
      <c r="BI299" s="40">
        <f>BI298*d_rho_gold+BH299*IF(B299&gt;=in_marketplace_from,d_hz_gold*G299,0)</f>
        <v/>
      </c>
      <c r="BJ299" s="14">
        <f>F299*BI299*in_gold_ticket*in_gold_comm</f>
        <v/>
      </c>
      <c r="BK299" s="40">
        <f>BK298*(1-IF(B298&gt;=in_marketplace_from,d_hz_fd*G298,0))</f>
        <v/>
      </c>
      <c r="BL299" s="14">
        <f>F299*BK299*IF(B299&gt;=in_marketplace_from,d_hz_fd*G299,0)*in_fd_ticket*in_fd_comm</f>
        <v/>
      </c>
      <c r="BM299" s="40">
        <f>BM298*(1-IF(B298&gt;=in_marketplace_from,d_hz_recharge*G298,0))</f>
        <v/>
      </c>
      <c r="BN299" s="40">
        <f>BN298*d_rho_recharge+BM299*IF(B299&gt;=in_marketplace_from,d_hz_recharge*G299,0)</f>
        <v/>
      </c>
      <c r="BO299" s="14">
        <f>F299*BN299*in_recharge_ticket*in_recharge_comm/12</f>
        <v/>
      </c>
      <c r="BP299" s="40">
        <f>BP298*(1-IF(B298&gt;=in_marketplace_from,d_hz_bills*G298,0))</f>
        <v/>
      </c>
      <c r="BQ299" s="40">
        <f>BQ298*d_rho_bills+BP299*IF(B299&gt;=in_marketplace_from,d_hz_bills*G299,0)</f>
        <v/>
      </c>
      <c r="BR299" s="14">
        <f>F299*BQ299*in_bills_ticket*in_bills_comm/12</f>
        <v/>
      </c>
      <c r="BS299" s="40">
        <f>BS298*(1-IF(B298&gt;=in_marketplace_from,d_hz_loan_gold*G298,0))</f>
        <v/>
      </c>
      <c r="BT299" s="14">
        <f>F299*BS299*IF(B299&gt;=in_marketplace_from,d_hz_loan_gold*G299,0)*in_loan_gold_ticket*in_loan_gold_comm</f>
        <v/>
      </c>
      <c r="BU299" s="40">
        <f>BU298*(1-IF(B298&gt;=in_marketplace_from,d_hz_loan_cd*G298,0))</f>
        <v/>
      </c>
      <c r="BV299" s="14">
        <f>F299*BU299*IF(B299&gt;=in_marketplace_from,d_hz_loan_cd*G299,0)*in_loan_cd_ticket*in_loan_cd_comm</f>
        <v/>
      </c>
      <c r="BW299" s="40">
        <f>BW298*(1-IF(B298&gt;=in_marketplace_from,d_hz_loan_vehicle*G298,0))</f>
        <v/>
      </c>
      <c r="BX299" s="14">
        <f>F299*BW299*IF(B299&gt;=in_marketplace_from,d_hz_loan_vehicle*G299,0)*in_loan_vehicle_ticket*in_loan_vehicle_comm</f>
        <v/>
      </c>
      <c r="BY299" s="40">
        <f>BY298*(1-IF(B298&gt;=in_marketplace_from,d_hz_loan_home*G298,0)*BZ298)</f>
        <v/>
      </c>
      <c r="BZ299" s="11">
        <f>MIN(in_approval_cap,in_loan_home_approval*INDEX('Age profile'!$O$2:$O$61,B299)*(1+in_approval_growth)^(D299-1))</f>
        <v/>
      </c>
      <c r="CA299" s="14">
        <f>F299*BY299*IF(B299&gt;=in_marketplace_from,d_hz_loan_home*G299,0)*BZ299*in_loan_home_ticket*in_loan_home_comm</f>
        <v/>
      </c>
      <c r="CB299" s="40">
        <f>CB298*(1-IF(B298&gt;=in_marketplace_from,d_hz_loan_lap*G298,0)*CC298)</f>
        <v/>
      </c>
      <c r="CC299" s="11">
        <f>MIN(in_approval_cap,in_loan_lap_approval*INDEX('Age profile'!$O$2:$O$61,B299)*(1+in_approval_growth)^(D299-1))</f>
        <v/>
      </c>
      <c r="CD299" s="14">
        <f>F299*CB299*IF(B299&gt;=in_marketplace_from,d_hz_loan_lap*G299,0)*CC299*in_loan_lap_ticket*in_loan_lap_comm</f>
        <v/>
      </c>
      <c r="CE299" s="14">
        <f>AA299+AB299+AC299+AD299+AG299+AJ299+AM299+AP299+AS299+AU299+AX299+BB299+BE299+BG299+BJ299+BL299+BO299+BR299+BT299+BV299+BX299+CA299+CD299</f>
        <v/>
      </c>
    </row>
    <row r="300">
      <c r="A300" s="39" t="n">
        <v>6</v>
      </c>
      <c r="B300" s="39" t="n">
        <v>9</v>
      </c>
      <c r="C300" s="39">
        <f>A300+B300-1</f>
        <v/>
      </c>
      <c r="D300" s="39">
        <f>INT((C300-1)/12)+1</f>
        <v/>
      </c>
      <c r="E300" s="44">
        <f>INDEX(Monthly!$B$2:$B$61,A300)</f>
        <v/>
      </c>
      <c r="F300" s="44">
        <f>E300*INDEX('Age profile'!$B$2:$B$61,B300)</f>
        <v/>
      </c>
      <c r="G300" s="45">
        <f>MIN(in_takeup_cap,INDEX('Age profile'!$N$2:$N$61,B300)*(1+in_takeup_growth)^(D300-1))</f>
        <v/>
      </c>
      <c r="H300" s="11">
        <f>MIN(in_approval_cap,in_approved_first*INDEX('Age profile'!$O$2:$O$61,B300)*(1+in_approval_growth)^(D300-1))</f>
        <v/>
      </c>
      <c r="I300" s="45">
        <f>G300*MIN(in_takeup_cap,INDEX('Age profile'!$O$2:$O$61,B300)*(1+in_approval_growth)^(D300-1))</f>
        <v/>
      </c>
      <c r="J300" s="40">
        <f>(J299-L299)*F300/F299</f>
        <v/>
      </c>
      <c r="K300" s="40">
        <f>(K299-M299)*F300/F299+SUMIFS(O292:O299,B292:B299,B300-1-d_T)*F300</f>
        <v/>
      </c>
      <c r="L300" s="40">
        <f>IF(B300&gt;=in_marketplace_from,J300*d_hz*G300*in_eligible*H300,0)</f>
        <v/>
      </c>
      <c r="M300" s="40">
        <f>IF(B300&gt;=in_marketplace_from,K300*d_hz*G300*in_eligible*in_approved_repeat,0)</f>
        <v/>
      </c>
      <c r="N300" s="40">
        <f>L300+M300</f>
        <v/>
      </c>
      <c r="O300" s="46">
        <f>N300/F300</f>
        <v/>
      </c>
      <c r="P300" s="40">
        <f>F300-J300-K300</f>
        <v/>
      </c>
      <c r="Q300" s="40">
        <f>IF(B300&gt;=in_marketplace_from,(J300+K300)*d_hz*G300,0)</f>
        <v/>
      </c>
      <c r="R300" s="40">
        <f>SUMIFS(N292:N346,B292:B346,"&gt;="&amp;(B300-d_T),B292:B346,"&lt;="&amp;(B300-1))</f>
        <v/>
      </c>
      <c r="S300" s="46">
        <f>(1-d_u)*S299+IF(d_T&gt;in_topup_lag,SUMIFS(O292:O346,B292:B346,B300-in_topup_lag)-d_udrop*SUMIFS(O292:O346,B292:B346,B300-d_T),0)</f>
        <v/>
      </c>
      <c r="T300" s="40">
        <f>F300*d_u*S300</f>
        <v/>
      </c>
      <c r="U300" s="9">
        <f>L300*in_ticket+M300*d_rep_ticket</f>
        <v/>
      </c>
      <c r="V300" s="9">
        <f>U300+T300*d_topup_amt</f>
        <v/>
      </c>
      <c r="W300" s="40">
        <f>N300+T300*d_topup_ratio</f>
        <v/>
      </c>
      <c r="X300" s="40">
        <f>SUMIFS(W292:W346,B292:B346,B300-in_dpd_lag)*d_cured</f>
        <v/>
      </c>
      <c r="Y300" s="40">
        <f>SUMIFS(W292:W346,B292:B346,B300-in_rec_lag)*d_recd</f>
        <v/>
      </c>
      <c r="Z300" s="40">
        <f>IF(AND(B300&gt;=in_marketplace_from,B300&lt;in_marketplace_from+in_card_months),in_card_share/in_card_months*F300*I300,IF(AND(B300&gt;=in_marketplace_from+in_card_months,B300&lt;in_marketplace_from+2*in_card_months),in_card_share*d_card_rem/in_card_months*F300*MIN(in_takeup_cap,(1+in_takeup_growth)^(D300-1))*MIN(in_takeup_cap,(1+in_approval_growth)^(D300-1)),0))</f>
        <v/>
      </c>
      <c r="AA300" s="14">
        <f>V300*in_fee*(1-in_taken_back)</f>
        <v/>
      </c>
      <c r="AB300" s="14">
        <f>SUMIFS(W292:W346,B292:B346,B300-in_dpd_lag)*d_dpd</f>
        <v/>
      </c>
      <c r="AC300" s="14">
        <f>SUMIFS(W292:W346,B292:B346,B300-in_rec_lag)*d_rec</f>
        <v/>
      </c>
      <c r="AD300" s="14">
        <f>Z300*in_card_fee</f>
        <v/>
      </c>
      <c r="AE300" s="40">
        <f>AE299*(1-IF(B299&gt;=in_marketplace_from,d_hz_hlth_small*G299,0))</f>
        <v/>
      </c>
      <c r="AF300" s="46">
        <f>AE300*IF(B300&gt;=in_marketplace_from,d_hz_hlth_small*G300,0)</f>
        <v/>
      </c>
      <c r="AG300" s="14">
        <f>F300*AF300*in_hlth_small_ticket*in_hlth_small_comm*in_ins_partner_share+F300*in_hlth_small_ticket*in_hlth_small_renew_comm*in_ins_partner_share*(in_hlth_small_renew^1*SUMIFS(AF292:AF346,B292:B346,B300-12)+in_hlth_small_renew^2*SUMIFS(AF292:AF346,B292:B346,B300-24)+in_hlth_small_renew^3*SUMIFS(AF292:AF346,B292:B346,B300-36)+in_hlth_small_renew^4*SUMIFS(AF292:AF346,B292:B346,B300-48))</f>
        <v/>
      </c>
      <c r="AH300" s="40">
        <f>AH299*(1-IF(B299&gt;=in_marketplace_from,d_hz_hlth_family*G299,0))</f>
        <v/>
      </c>
      <c r="AI300" s="46">
        <f>AH300*IF(B300&gt;=in_marketplace_from,d_hz_hlth_family*G300,0)</f>
        <v/>
      </c>
      <c r="AJ300" s="14">
        <f>F300*AI300*in_hlth_family_ticket*in_hlth_family_comm*in_ins_partner_share+F300*in_hlth_family_ticket*in_hlth_family_renew_comm*in_ins_partner_share*(in_hlth_family_renew^1*SUMIFS(AI292:AI346,B292:B346,B300-12)+in_hlth_family_renew^2*SUMIFS(AI292:AI346,B292:B346,B300-24)+in_hlth_family_renew^3*SUMIFS(AI292:AI346,B292:B346,B300-36)+in_hlth_family_renew^4*SUMIFS(AI292:AI346,B292:B346,B300-48))</f>
        <v/>
      </c>
      <c r="AK300" s="40">
        <f>AK299*(1-IF(B299&gt;=in_marketplace_from,d_hz_life_term*G299,0))</f>
        <v/>
      </c>
      <c r="AL300" s="46">
        <f>AK300*IF(B300&gt;=in_marketplace_from,d_hz_life_term*G300,0)</f>
        <v/>
      </c>
      <c r="AM300" s="14">
        <f>F300*AL300*in_life_term_ticket*in_life_term_comm*in_ins_partner_share+F300*in_life_term_ticket*in_life_term_renew_comm*in_ins_partner_share*(in_life_term_renew^1*SUMIFS(AL292:AL346,B292:B346,B300-12)+in_life_term_renew^2*SUMIFS(AL292:AL346,B292:B346,B300-24)+in_life_term_renew^3*SUMIFS(AL292:AL346,B292:B346,B300-36)+in_life_term_renew^4*SUMIFS(AL292:AL346,B292:B346,B300-48))</f>
        <v/>
      </c>
      <c r="AN300" s="40">
        <f>AN299*(1-IF(B299&gt;=in_marketplace_from,d_hz_accident*G299,0))</f>
        <v/>
      </c>
      <c r="AO300" s="46">
        <f>AN300*IF(B300&gt;=in_marketplace_from,d_hz_accident*G300,0)</f>
        <v/>
      </c>
      <c r="AP300" s="14">
        <f>F300*AO300*in_accident_ticket*in_accident_comm*in_ins_partner_share+F300*in_accident_ticket*in_accident_renew_comm*in_ins_partner_share*(in_accident_renew^1*SUMIFS(AO292:AO346,B292:B346,B300-12)+in_accident_renew^2*SUMIFS(AO292:AO346,B292:B346,B300-24)+in_accident_renew^3*SUMIFS(AO292:AO346,B292:B346,B300-36)+in_accident_renew^4*SUMIFS(AO292:AO346,B292:B346,B300-48))</f>
        <v/>
      </c>
      <c r="AQ300" s="40">
        <f>AQ299*(1-IF(B299&gt;=in_marketplace_from,d_hz_two_wheeler*G299,0))</f>
        <v/>
      </c>
      <c r="AR300" s="46">
        <f>AQ300*IF(B300&gt;=in_marketplace_from,d_hz_two_wheeler*G300,0)</f>
        <v/>
      </c>
      <c r="AS300" s="14">
        <f>F300*AR300*in_two_wheeler_ticket*in_two_wheeler_comm*in_ins_partner_share+F300*in_two_wheeler_ticket*in_two_wheeler_comm*in_ins_partner_share*(in_two_wheeler_renew^1*SUMIFS(AR292:AR346,B292:B346,B300-12)+in_two_wheeler_renew^2*SUMIFS(AR292:AR346,B292:B346,B300-24)+in_two_wheeler_renew^3*SUMIFS(AR292:AR346,B292:B346,B300-36)+in_two_wheeler_renew^4*SUMIFS(AR292:AR346,B292:B346,B300-48))</f>
        <v/>
      </c>
      <c r="AT300" s="40">
        <f>AT299*(1-IF(B299&gt;=in_marketplace_from,d_hz_device*G299,0))</f>
        <v/>
      </c>
      <c r="AU300" s="14">
        <f>F300*AT300*IF(B300&gt;=in_marketplace_from,d_hz_device*G300,0)*in_device_ticket*in_device_comm*in_ins_partner_share</f>
        <v/>
      </c>
      <c r="AV300" s="40">
        <f>AV299*(1-IF(B299&gt;=in_marketplace_from,d_hz_shop*G299,0))</f>
        <v/>
      </c>
      <c r="AW300" s="46">
        <f>AV300*IF(B300&gt;=in_marketplace_from,d_hz_shop*G300,0)</f>
        <v/>
      </c>
      <c r="AX300" s="14">
        <f>F300*AW300*in_shop_ticket*in_shop_comm*in_ins_partner_share+F300*in_shop_ticket*in_shop_renew_comm*in_ins_partner_share*(in_shop_renew^1*SUMIFS(AW292:AW346,B292:B346,B300-12)+in_shop_renew^2*SUMIFS(AW292:AW346,B292:B346,B300-24)+in_shop_renew^3*SUMIFS(AW292:AW346,B292:B346,B300-36)+in_shop_renew^4*SUMIFS(AW292:AW346,B292:B346,B300-48))</f>
        <v/>
      </c>
      <c r="AY300" s="40">
        <f>AY299*(1-IF(B299&gt;=in_marketplace_from,d_hz_sip*G299,0))</f>
        <v/>
      </c>
      <c r="AZ300" s="40">
        <f>AZ299*d_rho_sip+AY300*IF(B300&gt;=in_marketplace_from,d_hz_sip*G300,0)</f>
        <v/>
      </c>
      <c r="BA300" s="40">
        <f>d_rho_sip*(BA299+AZ299)</f>
        <v/>
      </c>
      <c r="BB300" s="14">
        <f>F300*in_sip_ticket*(BA300+0.5*AZ300)*in_sip_comm/12</f>
        <v/>
      </c>
      <c r="BC300" s="40">
        <f>BC299*(1-IF(B299&gt;=in_marketplace_from,d_hz_choti*G299,0))</f>
        <v/>
      </c>
      <c r="BD300" s="46">
        <f>BC300*IF(B300&gt;=in_marketplace_from,d_hz_choti*G300,0)</f>
        <v/>
      </c>
      <c r="BE300" s="14">
        <f>F300*SUMIFS(BD292:BD346,B292:B346,B300-in_choti_months)*in_choti_renew*in_choti_ticket</f>
        <v/>
      </c>
      <c r="BF300" s="40">
        <f>BF299*(1-IF(B299&gt;=in_marketplace_from,d_hz_nps*G299,0))</f>
        <v/>
      </c>
      <c r="BG300" s="14">
        <f>F300*BF300*IF(B300&gt;=in_marketplace_from,d_hz_nps*G300,0)*in_nps_ticket*in_nps_comm</f>
        <v/>
      </c>
      <c r="BH300" s="40">
        <f>BH299*(1-IF(B299&gt;=in_marketplace_from,d_hz_gold*G299,0))</f>
        <v/>
      </c>
      <c r="BI300" s="40">
        <f>BI299*d_rho_gold+BH300*IF(B300&gt;=in_marketplace_from,d_hz_gold*G300,0)</f>
        <v/>
      </c>
      <c r="BJ300" s="14">
        <f>F300*BI300*in_gold_ticket*in_gold_comm</f>
        <v/>
      </c>
      <c r="BK300" s="40">
        <f>BK299*(1-IF(B299&gt;=in_marketplace_from,d_hz_fd*G299,0))</f>
        <v/>
      </c>
      <c r="BL300" s="14">
        <f>F300*BK300*IF(B300&gt;=in_marketplace_from,d_hz_fd*G300,0)*in_fd_ticket*in_fd_comm</f>
        <v/>
      </c>
      <c r="BM300" s="40">
        <f>BM299*(1-IF(B299&gt;=in_marketplace_from,d_hz_recharge*G299,0))</f>
        <v/>
      </c>
      <c r="BN300" s="40">
        <f>BN299*d_rho_recharge+BM300*IF(B300&gt;=in_marketplace_from,d_hz_recharge*G300,0)</f>
        <v/>
      </c>
      <c r="BO300" s="14">
        <f>F300*BN300*in_recharge_ticket*in_recharge_comm/12</f>
        <v/>
      </c>
      <c r="BP300" s="40">
        <f>BP299*(1-IF(B299&gt;=in_marketplace_from,d_hz_bills*G299,0))</f>
        <v/>
      </c>
      <c r="BQ300" s="40">
        <f>BQ299*d_rho_bills+BP300*IF(B300&gt;=in_marketplace_from,d_hz_bills*G300,0)</f>
        <v/>
      </c>
      <c r="BR300" s="14">
        <f>F300*BQ300*in_bills_ticket*in_bills_comm/12</f>
        <v/>
      </c>
      <c r="BS300" s="40">
        <f>BS299*(1-IF(B299&gt;=in_marketplace_from,d_hz_loan_gold*G299,0))</f>
        <v/>
      </c>
      <c r="BT300" s="14">
        <f>F300*BS300*IF(B300&gt;=in_marketplace_from,d_hz_loan_gold*G300,0)*in_loan_gold_ticket*in_loan_gold_comm</f>
        <v/>
      </c>
      <c r="BU300" s="40">
        <f>BU299*(1-IF(B299&gt;=in_marketplace_from,d_hz_loan_cd*G299,0))</f>
        <v/>
      </c>
      <c r="BV300" s="14">
        <f>F300*BU300*IF(B300&gt;=in_marketplace_from,d_hz_loan_cd*G300,0)*in_loan_cd_ticket*in_loan_cd_comm</f>
        <v/>
      </c>
      <c r="BW300" s="40">
        <f>BW299*(1-IF(B299&gt;=in_marketplace_from,d_hz_loan_vehicle*G299,0))</f>
        <v/>
      </c>
      <c r="BX300" s="14">
        <f>F300*BW300*IF(B300&gt;=in_marketplace_from,d_hz_loan_vehicle*G300,0)*in_loan_vehicle_ticket*in_loan_vehicle_comm</f>
        <v/>
      </c>
      <c r="BY300" s="40">
        <f>BY299*(1-IF(B299&gt;=in_marketplace_from,d_hz_loan_home*G299,0)*BZ299)</f>
        <v/>
      </c>
      <c r="BZ300" s="11">
        <f>MIN(in_approval_cap,in_loan_home_approval*INDEX('Age profile'!$O$2:$O$61,B300)*(1+in_approval_growth)^(D300-1))</f>
        <v/>
      </c>
      <c r="CA300" s="14">
        <f>F300*BY300*IF(B300&gt;=in_marketplace_from,d_hz_loan_home*G300,0)*BZ300*in_loan_home_ticket*in_loan_home_comm</f>
        <v/>
      </c>
      <c r="CB300" s="40">
        <f>CB299*(1-IF(B299&gt;=in_marketplace_from,d_hz_loan_lap*G299,0)*CC299)</f>
        <v/>
      </c>
      <c r="CC300" s="11">
        <f>MIN(in_approval_cap,in_loan_lap_approval*INDEX('Age profile'!$O$2:$O$61,B300)*(1+in_approval_growth)^(D300-1))</f>
        <v/>
      </c>
      <c r="CD300" s="14">
        <f>F300*CB300*IF(B300&gt;=in_marketplace_from,d_hz_loan_lap*G300,0)*CC300*in_loan_lap_ticket*in_loan_lap_comm</f>
        <v/>
      </c>
      <c r="CE300" s="14">
        <f>AA300+AB300+AC300+AD300+AG300+AJ300+AM300+AP300+AS300+AU300+AX300+BB300+BE300+BG300+BJ300+BL300+BO300+BR300+BT300+BV300+BX300+CA300+CD300</f>
        <v/>
      </c>
    </row>
    <row r="301">
      <c r="A301" s="39" t="n">
        <v>6</v>
      </c>
      <c r="B301" s="39" t="n">
        <v>10</v>
      </c>
      <c r="C301" s="39">
        <f>A301+B301-1</f>
        <v/>
      </c>
      <c r="D301" s="39">
        <f>INT((C301-1)/12)+1</f>
        <v/>
      </c>
      <c r="E301" s="44">
        <f>INDEX(Monthly!$B$2:$B$61,A301)</f>
        <v/>
      </c>
      <c r="F301" s="44">
        <f>E301*INDEX('Age profile'!$B$2:$B$61,B301)</f>
        <v/>
      </c>
      <c r="G301" s="45">
        <f>MIN(in_takeup_cap,INDEX('Age profile'!$N$2:$N$61,B301)*(1+in_takeup_growth)^(D301-1))</f>
        <v/>
      </c>
      <c r="H301" s="11">
        <f>MIN(in_approval_cap,in_approved_first*INDEX('Age profile'!$O$2:$O$61,B301)*(1+in_approval_growth)^(D301-1))</f>
        <v/>
      </c>
      <c r="I301" s="45">
        <f>G301*MIN(in_takeup_cap,INDEX('Age profile'!$O$2:$O$61,B301)*(1+in_approval_growth)^(D301-1))</f>
        <v/>
      </c>
      <c r="J301" s="40">
        <f>(J300-L300)*F301/F300</f>
        <v/>
      </c>
      <c r="K301" s="40">
        <f>(K300-M300)*F301/F300+SUMIFS(O292:O300,B292:B300,B301-1-d_T)*F301</f>
        <v/>
      </c>
      <c r="L301" s="40">
        <f>IF(B301&gt;=in_marketplace_from,J301*d_hz*G301*in_eligible*H301,0)</f>
        <v/>
      </c>
      <c r="M301" s="40">
        <f>IF(B301&gt;=in_marketplace_from,K301*d_hz*G301*in_eligible*in_approved_repeat,0)</f>
        <v/>
      </c>
      <c r="N301" s="40">
        <f>L301+M301</f>
        <v/>
      </c>
      <c r="O301" s="46">
        <f>N301/F301</f>
        <v/>
      </c>
      <c r="P301" s="40">
        <f>F301-J301-K301</f>
        <v/>
      </c>
      <c r="Q301" s="40">
        <f>IF(B301&gt;=in_marketplace_from,(J301+K301)*d_hz*G301,0)</f>
        <v/>
      </c>
      <c r="R301" s="40">
        <f>SUMIFS(N292:N346,B292:B346,"&gt;="&amp;(B301-d_T),B292:B346,"&lt;="&amp;(B301-1))</f>
        <v/>
      </c>
      <c r="S301" s="46">
        <f>(1-d_u)*S300+IF(d_T&gt;in_topup_lag,SUMIFS(O292:O346,B292:B346,B301-in_topup_lag)-d_udrop*SUMIFS(O292:O346,B292:B346,B301-d_T),0)</f>
        <v/>
      </c>
      <c r="T301" s="40">
        <f>F301*d_u*S301</f>
        <v/>
      </c>
      <c r="U301" s="9">
        <f>L301*in_ticket+M301*d_rep_ticket</f>
        <v/>
      </c>
      <c r="V301" s="9">
        <f>U301+T301*d_topup_amt</f>
        <v/>
      </c>
      <c r="W301" s="40">
        <f>N301+T301*d_topup_ratio</f>
        <v/>
      </c>
      <c r="X301" s="40">
        <f>SUMIFS(W292:W346,B292:B346,B301-in_dpd_lag)*d_cured</f>
        <v/>
      </c>
      <c r="Y301" s="40">
        <f>SUMIFS(W292:W346,B292:B346,B301-in_rec_lag)*d_recd</f>
        <v/>
      </c>
      <c r="Z301" s="40">
        <f>IF(AND(B301&gt;=in_marketplace_from,B301&lt;in_marketplace_from+in_card_months),in_card_share/in_card_months*F301*I301,IF(AND(B301&gt;=in_marketplace_from+in_card_months,B301&lt;in_marketplace_from+2*in_card_months),in_card_share*d_card_rem/in_card_months*F301*MIN(in_takeup_cap,(1+in_takeup_growth)^(D301-1))*MIN(in_takeup_cap,(1+in_approval_growth)^(D301-1)),0))</f>
        <v/>
      </c>
      <c r="AA301" s="14">
        <f>V301*in_fee*(1-in_taken_back)</f>
        <v/>
      </c>
      <c r="AB301" s="14">
        <f>SUMIFS(W292:W346,B292:B346,B301-in_dpd_lag)*d_dpd</f>
        <v/>
      </c>
      <c r="AC301" s="14">
        <f>SUMIFS(W292:W346,B292:B346,B301-in_rec_lag)*d_rec</f>
        <v/>
      </c>
      <c r="AD301" s="14">
        <f>Z301*in_card_fee</f>
        <v/>
      </c>
      <c r="AE301" s="40">
        <f>AE300*(1-IF(B300&gt;=in_marketplace_from,d_hz_hlth_small*G300,0))</f>
        <v/>
      </c>
      <c r="AF301" s="46">
        <f>AE301*IF(B301&gt;=in_marketplace_from,d_hz_hlth_small*G301,0)</f>
        <v/>
      </c>
      <c r="AG301" s="14">
        <f>F301*AF301*in_hlth_small_ticket*in_hlth_small_comm*in_ins_partner_share+F301*in_hlth_small_ticket*in_hlth_small_renew_comm*in_ins_partner_share*(in_hlth_small_renew^1*SUMIFS(AF292:AF346,B292:B346,B301-12)+in_hlth_small_renew^2*SUMIFS(AF292:AF346,B292:B346,B301-24)+in_hlth_small_renew^3*SUMIFS(AF292:AF346,B292:B346,B301-36)+in_hlth_small_renew^4*SUMIFS(AF292:AF346,B292:B346,B301-48))</f>
        <v/>
      </c>
      <c r="AH301" s="40">
        <f>AH300*(1-IF(B300&gt;=in_marketplace_from,d_hz_hlth_family*G300,0))</f>
        <v/>
      </c>
      <c r="AI301" s="46">
        <f>AH301*IF(B301&gt;=in_marketplace_from,d_hz_hlth_family*G301,0)</f>
        <v/>
      </c>
      <c r="AJ301" s="14">
        <f>F301*AI301*in_hlth_family_ticket*in_hlth_family_comm*in_ins_partner_share+F301*in_hlth_family_ticket*in_hlth_family_renew_comm*in_ins_partner_share*(in_hlth_family_renew^1*SUMIFS(AI292:AI346,B292:B346,B301-12)+in_hlth_family_renew^2*SUMIFS(AI292:AI346,B292:B346,B301-24)+in_hlth_family_renew^3*SUMIFS(AI292:AI346,B292:B346,B301-36)+in_hlth_family_renew^4*SUMIFS(AI292:AI346,B292:B346,B301-48))</f>
        <v/>
      </c>
      <c r="AK301" s="40">
        <f>AK300*(1-IF(B300&gt;=in_marketplace_from,d_hz_life_term*G300,0))</f>
        <v/>
      </c>
      <c r="AL301" s="46">
        <f>AK301*IF(B301&gt;=in_marketplace_from,d_hz_life_term*G301,0)</f>
        <v/>
      </c>
      <c r="AM301" s="14">
        <f>F301*AL301*in_life_term_ticket*in_life_term_comm*in_ins_partner_share+F301*in_life_term_ticket*in_life_term_renew_comm*in_ins_partner_share*(in_life_term_renew^1*SUMIFS(AL292:AL346,B292:B346,B301-12)+in_life_term_renew^2*SUMIFS(AL292:AL346,B292:B346,B301-24)+in_life_term_renew^3*SUMIFS(AL292:AL346,B292:B346,B301-36)+in_life_term_renew^4*SUMIFS(AL292:AL346,B292:B346,B301-48))</f>
        <v/>
      </c>
      <c r="AN301" s="40">
        <f>AN300*(1-IF(B300&gt;=in_marketplace_from,d_hz_accident*G300,0))</f>
        <v/>
      </c>
      <c r="AO301" s="46">
        <f>AN301*IF(B301&gt;=in_marketplace_from,d_hz_accident*G301,0)</f>
        <v/>
      </c>
      <c r="AP301" s="14">
        <f>F301*AO301*in_accident_ticket*in_accident_comm*in_ins_partner_share+F301*in_accident_ticket*in_accident_renew_comm*in_ins_partner_share*(in_accident_renew^1*SUMIFS(AO292:AO346,B292:B346,B301-12)+in_accident_renew^2*SUMIFS(AO292:AO346,B292:B346,B301-24)+in_accident_renew^3*SUMIFS(AO292:AO346,B292:B346,B301-36)+in_accident_renew^4*SUMIFS(AO292:AO346,B292:B346,B301-48))</f>
        <v/>
      </c>
      <c r="AQ301" s="40">
        <f>AQ300*(1-IF(B300&gt;=in_marketplace_from,d_hz_two_wheeler*G300,0))</f>
        <v/>
      </c>
      <c r="AR301" s="46">
        <f>AQ301*IF(B301&gt;=in_marketplace_from,d_hz_two_wheeler*G301,0)</f>
        <v/>
      </c>
      <c r="AS301" s="14">
        <f>F301*AR301*in_two_wheeler_ticket*in_two_wheeler_comm*in_ins_partner_share+F301*in_two_wheeler_ticket*in_two_wheeler_comm*in_ins_partner_share*(in_two_wheeler_renew^1*SUMIFS(AR292:AR346,B292:B346,B301-12)+in_two_wheeler_renew^2*SUMIFS(AR292:AR346,B292:B346,B301-24)+in_two_wheeler_renew^3*SUMIFS(AR292:AR346,B292:B346,B301-36)+in_two_wheeler_renew^4*SUMIFS(AR292:AR346,B292:B346,B301-48))</f>
        <v/>
      </c>
      <c r="AT301" s="40">
        <f>AT300*(1-IF(B300&gt;=in_marketplace_from,d_hz_device*G300,0))</f>
        <v/>
      </c>
      <c r="AU301" s="14">
        <f>F301*AT301*IF(B301&gt;=in_marketplace_from,d_hz_device*G301,0)*in_device_ticket*in_device_comm*in_ins_partner_share</f>
        <v/>
      </c>
      <c r="AV301" s="40">
        <f>AV300*(1-IF(B300&gt;=in_marketplace_from,d_hz_shop*G300,0))</f>
        <v/>
      </c>
      <c r="AW301" s="46">
        <f>AV301*IF(B301&gt;=in_marketplace_from,d_hz_shop*G301,0)</f>
        <v/>
      </c>
      <c r="AX301" s="14">
        <f>F301*AW301*in_shop_ticket*in_shop_comm*in_ins_partner_share+F301*in_shop_ticket*in_shop_renew_comm*in_ins_partner_share*(in_shop_renew^1*SUMIFS(AW292:AW346,B292:B346,B301-12)+in_shop_renew^2*SUMIFS(AW292:AW346,B292:B346,B301-24)+in_shop_renew^3*SUMIFS(AW292:AW346,B292:B346,B301-36)+in_shop_renew^4*SUMIFS(AW292:AW346,B292:B346,B301-48))</f>
        <v/>
      </c>
      <c r="AY301" s="40">
        <f>AY300*(1-IF(B300&gt;=in_marketplace_from,d_hz_sip*G300,0))</f>
        <v/>
      </c>
      <c r="AZ301" s="40">
        <f>AZ300*d_rho_sip+AY301*IF(B301&gt;=in_marketplace_from,d_hz_sip*G301,0)</f>
        <v/>
      </c>
      <c r="BA301" s="40">
        <f>d_rho_sip*(BA300+AZ300)</f>
        <v/>
      </c>
      <c r="BB301" s="14">
        <f>F301*in_sip_ticket*(BA301+0.5*AZ301)*in_sip_comm/12</f>
        <v/>
      </c>
      <c r="BC301" s="40">
        <f>BC300*(1-IF(B300&gt;=in_marketplace_from,d_hz_choti*G300,0))</f>
        <v/>
      </c>
      <c r="BD301" s="46">
        <f>BC301*IF(B301&gt;=in_marketplace_from,d_hz_choti*G301,0)</f>
        <v/>
      </c>
      <c r="BE301" s="14">
        <f>F301*SUMIFS(BD292:BD346,B292:B346,B301-in_choti_months)*in_choti_renew*in_choti_ticket</f>
        <v/>
      </c>
      <c r="BF301" s="40">
        <f>BF300*(1-IF(B300&gt;=in_marketplace_from,d_hz_nps*G300,0))</f>
        <v/>
      </c>
      <c r="BG301" s="14">
        <f>F301*BF301*IF(B301&gt;=in_marketplace_from,d_hz_nps*G301,0)*in_nps_ticket*in_nps_comm</f>
        <v/>
      </c>
      <c r="BH301" s="40">
        <f>BH300*(1-IF(B300&gt;=in_marketplace_from,d_hz_gold*G300,0))</f>
        <v/>
      </c>
      <c r="BI301" s="40">
        <f>BI300*d_rho_gold+BH301*IF(B301&gt;=in_marketplace_from,d_hz_gold*G301,0)</f>
        <v/>
      </c>
      <c r="BJ301" s="14">
        <f>F301*BI301*in_gold_ticket*in_gold_comm</f>
        <v/>
      </c>
      <c r="BK301" s="40">
        <f>BK300*(1-IF(B300&gt;=in_marketplace_from,d_hz_fd*G300,0))</f>
        <v/>
      </c>
      <c r="BL301" s="14">
        <f>F301*BK301*IF(B301&gt;=in_marketplace_from,d_hz_fd*G301,0)*in_fd_ticket*in_fd_comm</f>
        <v/>
      </c>
      <c r="BM301" s="40">
        <f>BM300*(1-IF(B300&gt;=in_marketplace_from,d_hz_recharge*G300,0))</f>
        <v/>
      </c>
      <c r="BN301" s="40">
        <f>BN300*d_rho_recharge+BM301*IF(B301&gt;=in_marketplace_from,d_hz_recharge*G301,0)</f>
        <v/>
      </c>
      <c r="BO301" s="14">
        <f>F301*BN301*in_recharge_ticket*in_recharge_comm/12</f>
        <v/>
      </c>
      <c r="BP301" s="40">
        <f>BP300*(1-IF(B300&gt;=in_marketplace_from,d_hz_bills*G300,0))</f>
        <v/>
      </c>
      <c r="BQ301" s="40">
        <f>BQ300*d_rho_bills+BP301*IF(B301&gt;=in_marketplace_from,d_hz_bills*G301,0)</f>
        <v/>
      </c>
      <c r="BR301" s="14">
        <f>F301*BQ301*in_bills_ticket*in_bills_comm/12</f>
        <v/>
      </c>
      <c r="BS301" s="40">
        <f>BS300*(1-IF(B300&gt;=in_marketplace_from,d_hz_loan_gold*G300,0))</f>
        <v/>
      </c>
      <c r="BT301" s="14">
        <f>F301*BS301*IF(B301&gt;=in_marketplace_from,d_hz_loan_gold*G301,0)*in_loan_gold_ticket*in_loan_gold_comm</f>
        <v/>
      </c>
      <c r="BU301" s="40">
        <f>BU300*(1-IF(B300&gt;=in_marketplace_from,d_hz_loan_cd*G300,0))</f>
        <v/>
      </c>
      <c r="BV301" s="14">
        <f>F301*BU301*IF(B301&gt;=in_marketplace_from,d_hz_loan_cd*G301,0)*in_loan_cd_ticket*in_loan_cd_comm</f>
        <v/>
      </c>
      <c r="BW301" s="40">
        <f>BW300*(1-IF(B300&gt;=in_marketplace_from,d_hz_loan_vehicle*G300,0))</f>
        <v/>
      </c>
      <c r="BX301" s="14">
        <f>F301*BW301*IF(B301&gt;=in_marketplace_from,d_hz_loan_vehicle*G301,0)*in_loan_vehicle_ticket*in_loan_vehicle_comm</f>
        <v/>
      </c>
      <c r="BY301" s="40">
        <f>BY300*(1-IF(B300&gt;=in_marketplace_from,d_hz_loan_home*G300,0)*BZ300)</f>
        <v/>
      </c>
      <c r="BZ301" s="11">
        <f>MIN(in_approval_cap,in_loan_home_approval*INDEX('Age profile'!$O$2:$O$61,B301)*(1+in_approval_growth)^(D301-1))</f>
        <v/>
      </c>
      <c r="CA301" s="14">
        <f>F301*BY301*IF(B301&gt;=in_marketplace_from,d_hz_loan_home*G301,0)*BZ301*in_loan_home_ticket*in_loan_home_comm</f>
        <v/>
      </c>
      <c r="CB301" s="40">
        <f>CB300*(1-IF(B300&gt;=in_marketplace_from,d_hz_loan_lap*G300,0)*CC300)</f>
        <v/>
      </c>
      <c r="CC301" s="11">
        <f>MIN(in_approval_cap,in_loan_lap_approval*INDEX('Age profile'!$O$2:$O$61,B301)*(1+in_approval_growth)^(D301-1))</f>
        <v/>
      </c>
      <c r="CD301" s="14">
        <f>F301*CB301*IF(B301&gt;=in_marketplace_from,d_hz_loan_lap*G301,0)*CC301*in_loan_lap_ticket*in_loan_lap_comm</f>
        <v/>
      </c>
      <c r="CE301" s="14">
        <f>AA301+AB301+AC301+AD301+AG301+AJ301+AM301+AP301+AS301+AU301+AX301+BB301+BE301+BG301+BJ301+BL301+BO301+BR301+BT301+BV301+BX301+CA301+CD301</f>
        <v/>
      </c>
    </row>
    <row r="302">
      <c r="A302" s="39" t="n">
        <v>6</v>
      </c>
      <c r="B302" s="39" t="n">
        <v>11</v>
      </c>
      <c r="C302" s="39">
        <f>A302+B302-1</f>
        <v/>
      </c>
      <c r="D302" s="39">
        <f>INT((C302-1)/12)+1</f>
        <v/>
      </c>
      <c r="E302" s="44">
        <f>INDEX(Monthly!$B$2:$B$61,A302)</f>
        <v/>
      </c>
      <c r="F302" s="44">
        <f>E302*INDEX('Age profile'!$B$2:$B$61,B302)</f>
        <v/>
      </c>
      <c r="G302" s="45">
        <f>MIN(in_takeup_cap,INDEX('Age profile'!$N$2:$N$61,B302)*(1+in_takeup_growth)^(D302-1))</f>
        <v/>
      </c>
      <c r="H302" s="11">
        <f>MIN(in_approval_cap,in_approved_first*INDEX('Age profile'!$O$2:$O$61,B302)*(1+in_approval_growth)^(D302-1))</f>
        <v/>
      </c>
      <c r="I302" s="45">
        <f>G302*MIN(in_takeup_cap,INDEX('Age profile'!$O$2:$O$61,B302)*(1+in_approval_growth)^(D302-1))</f>
        <v/>
      </c>
      <c r="J302" s="40">
        <f>(J301-L301)*F302/F301</f>
        <v/>
      </c>
      <c r="K302" s="40">
        <f>(K301-M301)*F302/F301+SUMIFS(O292:O301,B292:B301,B302-1-d_T)*F302</f>
        <v/>
      </c>
      <c r="L302" s="40">
        <f>IF(B302&gt;=in_marketplace_from,J302*d_hz*G302*in_eligible*H302,0)</f>
        <v/>
      </c>
      <c r="M302" s="40">
        <f>IF(B302&gt;=in_marketplace_from,K302*d_hz*G302*in_eligible*in_approved_repeat,0)</f>
        <v/>
      </c>
      <c r="N302" s="40">
        <f>L302+M302</f>
        <v/>
      </c>
      <c r="O302" s="46">
        <f>N302/F302</f>
        <v/>
      </c>
      <c r="P302" s="40">
        <f>F302-J302-K302</f>
        <v/>
      </c>
      <c r="Q302" s="40">
        <f>IF(B302&gt;=in_marketplace_from,(J302+K302)*d_hz*G302,0)</f>
        <v/>
      </c>
      <c r="R302" s="40">
        <f>SUMIFS(N292:N346,B292:B346,"&gt;="&amp;(B302-d_T),B292:B346,"&lt;="&amp;(B302-1))</f>
        <v/>
      </c>
      <c r="S302" s="46">
        <f>(1-d_u)*S301+IF(d_T&gt;in_topup_lag,SUMIFS(O292:O346,B292:B346,B302-in_topup_lag)-d_udrop*SUMIFS(O292:O346,B292:B346,B302-d_T),0)</f>
        <v/>
      </c>
      <c r="T302" s="40">
        <f>F302*d_u*S302</f>
        <v/>
      </c>
      <c r="U302" s="9">
        <f>L302*in_ticket+M302*d_rep_ticket</f>
        <v/>
      </c>
      <c r="V302" s="9">
        <f>U302+T302*d_topup_amt</f>
        <v/>
      </c>
      <c r="W302" s="40">
        <f>N302+T302*d_topup_ratio</f>
        <v/>
      </c>
      <c r="X302" s="40">
        <f>SUMIFS(W292:W346,B292:B346,B302-in_dpd_lag)*d_cured</f>
        <v/>
      </c>
      <c r="Y302" s="40">
        <f>SUMIFS(W292:W346,B292:B346,B302-in_rec_lag)*d_recd</f>
        <v/>
      </c>
      <c r="Z302" s="40">
        <f>IF(AND(B302&gt;=in_marketplace_from,B302&lt;in_marketplace_from+in_card_months),in_card_share/in_card_months*F302*I302,IF(AND(B302&gt;=in_marketplace_from+in_card_months,B302&lt;in_marketplace_from+2*in_card_months),in_card_share*d_card_rem/in_card_months*F302*MIN(in_takeup_cap,(1+in_takeup_growth)^(D302-1))*MIN(in_takeup_cap,(1+in_approval_growth)^(D302-1)),0))</f>
        <v/>
      </c>
      <c r="AA302" s="14">
        <f>V302*in_fee*(1-in_taken_back)</f>
        <v/>
      </c>
      <c r="AB302" s="14">
        <f>SUMIFS(W292:W346,B292:B346,B302-in_dpd_lag)*d_dpd</f>
        <v/>
      </c>
      <c r="AC302" s="14">
        <f>SUMIFS(W292:W346,B292:B346,B302-in_rec_lag)*d_rec</f>
        <v/>
      </c>
      <c r="AD302" s="14">
        <f>Z302*in_card_fee</f>
        <v/>
      </c>
      <c r="AE302" s="40">
        <f>AE301*(1-IF(B301&gt;=in_marketplace_from,d_hz_hlth_small*G301,0))</f>
        <v/>
      </c>
      <c r="AF302" s="46">
        <f>AE302*IF(B302&gt;=in_marketplace_from,d_hz_hlth_small*G302,0)</f>
        <v/>
      </c>
      <c r="AG302" s="14">
        <f>F302*AF302*in_hlth_small_ticket*in_hlth_small_comm*in_ins_partner_share+F302*in_hlth_small_ticket*in_hlth_small_renew_comm*in_ins_partner_share*(in_hlth_small_renew^1*SUMIFS(AF292:AF346,B292:B346,B302-12)+in_hlth_small_renew^2*SUMIFS(AF292:AF346,B292:B346,B302-24)+in_hlth_small_renew^3*SUMIFS(AF292:AF346,B292:B346,B302-36)+in_hlth_small_renew^4*SUMIFS(AF292:AF346,B292:B346,B302-48))</f>
        <v/>
      </c>
      <c r="AH302" s="40">
        <f>AH301*(1-IF(B301&gt;=in_marketplace_from,d_hz_hlth_family*G301,0))</f>
        <v/>
      </c>
      <c r="AI302" s="46">
        <f>AH302*IF(B302&gt;=in_marketplace_from,d_hz_hlth_family*G302,0)</f>
        <v/>
      </c>
      <c r="AJ302" s="14">
        <f>F302*AI302*in_hlth_family_ticket*in_hlth_family_comm*in_ins_partner_share+F302*in_hlth_family_ticket*in_hlth_family_renew_comm*in_ins_partner_share*(in_hlth_family_renew^1*SUMIFS(AI292:AI346,B292:B346,B302-12)+in_hlth_family_renew^2*SUMIFS(AI292:AI346,B292:B346,B302-24)+in_hlth_family_renew^3*SUMIFS(AI292:AI346,B292:B346,B302-36)+in_hlth_family_renew^4*SUMIFS(AI292:AI346,B292:B346,B302-48))</f>
        <v/>
      </c>
      <c r="AK302" s="40">
        <f>AK301*(1-IF(B301&gt;=in_marketplace_from,d_hz_life_term*G301,0))</f>
        <v/>
      </c>
      <c r="AL302" s="46">
        <f>AK302*IF(B302&gt;=in_marketplace_from,d_hz_life_term*G302,0)</f>
        <v/>
      </c>
      <c r="AM302" s="14">
        <f>F302*AL302*in_life_term_ticket*in_life_term_comm*in_ins_partner_share+F302*in_life_term_ticket*in_life_term_renew_comm*in_ins_partner_share*(in_life_term_renew^1*SUMIFS(AL292:AL346,B292:B346,B302-12)+in_life_term_renew^2*SUMIFS(AL292:AL346,B292:B346,B302-24)+in_life_term_renew^3*SUMIFS(AL292:AL346,B292:B346,B302-36)+in_life_term_renew^4*SUMIFS(AL292:AL346,B292:B346,B302-48))</f>
        <v/>
      </c>
      <c r="AN302" s="40">
        <f>AN301*(1-IF(B301&gt;=in_marketplace_from,d_hz_accident*G301,0))</f>
        <v/>
      </c>
      <c r="AO302" s="46">
        <f>AN302*IF(B302&gt;=in_marketplace_from,d_hz_accident*G302,0)</f>
        <v/>
      </c>
      <c r="AP302" s="14">
        <f>F302*AO302*in_accident_ticket*in_accident_comm*in_ins_partner_share+F302*in_accident_ticket*in_accident_renew_comm*in_ins_partner_share*(in_accident_renew^1*SUMIFS(AO292:AO346,B292:B346,B302-12)+in_accident_renew^2*SUMIFS(AO292:AO346,B292:B346,B302-24)+in_accident_renew^3*SUMIFS(AO292:AO346,B292:B346,B302-36)+in_accident_renew^4*SUMIFS(AO292:AO346,B292:B346,B302-48))</f>
        <v/>
      </c>
      <c r="AQ302" s="40">
        <f>AQ301*(1-IF(B301&gt;=in_marketplace_from,d_hz_two_wheeler*G301,0))</f>
        <v/>
      </c>
      <c r="AR302" s="46">
        <f>AQ302*IF(B302&gt;=in_marketplace_from,d_hz_two_wheeler*G302,0)</f>
        <v/>
      </c>
      <c r="AS302" s="14">
        <f>F302*AR302*in_two_wheeler_ticket*in_two_wheeler_comm*in_ins_partner_share+F302*in_two_wheeler_ticket*in_two_wheeler_comm*in_ins_partner_share*(in_two_wheeler_renew^1*SUMIFS(AR292:AR346,B292:B346,B302-12)+in_two_wheeler_renew^2*SUMIFS(AR292:AR346,B292:B346,B302-24)+in_two_wheeler_renew^3*SUMIFS(AR292:AR346,B292:B346,B302-36)+in_two_wheeler_renew^4*SUMIFS(AR292:AR346,B292:B346,B302-48))</f>
        <v/>
      </c>
      <c r="AT302" s="40">
        <f>AT301*(1-IF(B301&gt;=in_marketplace_from,d_hz_device*G301,0))</f>
        <v/>
      </c>
      <c r="AU302" s="14">
        <f>F302*AT302*IF(B302&gt;=in_marketplace_from,d_hz_device*G302,0)*in_device_ticket*in_device_comm*in_ins_partner_share</f>
        <v/>
      </c>
      <c r="AV302" s="40">
        <f>AV301*(1-IF(B301&gt;=in_marketplace_from,d_hz_shop*G301,0))</f>
        <v/>
      </c>
      <c r="AW302" s="46">
        <f>AV302*IF(B302&gt;=in_marketplace_from,d_hz_shop*G302,0)</f>
        <v/>
      </c>
      <c r="AX302" s="14">
        <f>F302*AW302*in_shop_ticket*in_shop_comm*in_ins_partner_share+F302*in_shop_ticket*in_shop_renew_comm*in_ins_partner_share*(in_shop_renew^1*SUMIFS(AW292:AW346,B292:B346,B302-12)+in_shop_renew^2*SUMIFS(AW292:AW346,B292:B346,B302-24)+in_shop_renew^3*SUMIFS(AW292:AW346,B292:B346,B302-36)+in_shop_renew^4*SUMIFS(AW292:AW346,B292:B346,B302-48))</f>
        <v/>
      </c>
      <c r="AY302" s="40">
        <f>AY301*(1-IF(B301&gt;=in_marketplace_from,d_hz_sip*G301,0))</f>
        <v/>
      </c>
      <c r="AZ302" s="40">
        <f>AZ301*d_rho_sip+AY302*IF(B302&gt;=in_marketplace_from,d_hz_sip*G302,0)</f>
        <v/>
      </c>
      <c r="BA302" s="40">
        <f>d_rho_sip*(BA301+AZ301)</f>
        <v/>
      </c>
      <c r="BB302" s="14">
        <f>F302*in_sip_ticket*(BA302+0.5*AZ302)*in_sip_comm/12</f>
        <v/>
      </c>
      <c r="BC302" s="40">
        <f>BC301*(1-IF(B301&gt;=in_marketplace_from,d_hz_choti*G301,0))</f>
        <v/>
      </c>
      <c r="BD302" s="46">
        <f>BC302*IF(B302&gt;=in_marketplace_from,d_hz_choti*G302,0)</f>
        <v/>
      </c>
      <c r="BE302" s="14">
        <f>F302*SUMIFS(BD292:BD346,B292:B346,B302-in_choti_months)*in_choti_renew*in_choti_ticket</f>
        <v/>
      </c>
      <c r="BF302" s="40">
        <f>BF301*(1-IF(B301&gt;=in_marketplace_from,d_hz_nps*G301,0))</f>
        <v/>
      </c>
      <c r="BG302" s="14">
        <f>F302*BF302*IF(B302&gt;=in_marketplace_from,d_hz_nps*G302,0)*in_nps_ticket*in_nps_comm</f>
        <v/>
      </c>
      <c r="BH302" s="40">
        <f>BH301*(1-IF(B301&gt;=in_marketplace_from,d_hz_gold*G301,0))</f>
        <v/>
      </c>
      <c r="BI302" s="40">
        <f>BI301*d_rho_gold+BH302*IF(B302&gt;=in_marketplace_from,d_hz_gold*G302,0)</f>
        <v/>
      </c>
      <c r="BJ302" s="14">
        <f>F302*BI302*in_gold_ticket*in_gold_comm</f>
        <v/>
      </c>
      <c r="BK302" s="40">
        <f>BK301*(1-IF(B301&gt;=in_marketplace_from,d_hz_fd*G301,0))</f>
        <v/>
      </c>
      <c r="BL302" s="14">
        <f>F302*BK302*IF(B302&gt;=in_marketplace_from,d_hz_fd*G302,0)*in_fd_ticket*in_fd_comm</f>
        <v/>
      </c>
      <c r="BM302" s="40">
        <f>BM301*(1-IF(B301&gt;=in_marketplace_from,d_hz_recharge*G301,0))</f>
        <v/>
      </c>
      <c r="BN302" s="40">
        <f>BN301*d_rho_recharge+BM302*IF(B302&gt;=in_marketplace_from,d_hz_recharge*G302,0)</f>
        <v/>
      </c>
      <c r="BO302" s="14">
        <f>F302*BN302*in_recharge_ticket*in_recharge_comm/12</f>
        <v/>
      </c>
      <c r="BP302" s="40">
        <f>BP301*(1-IF(B301&gt;=in_marketplace_from,d_hz_bills*G301,0))</f>
        <v/>
      </c>
      <c r="BQ302" s="40">
        <f>BQ301*d_rho_bills+BP302*IF(B302&gt;=in_marketplace_from,d_hz_bills*G302,0)</f>
        <v/>
      </c>
      <c r="BR302" s="14">
        <f>F302*BQ302*in_bills_ticket*in_bills_comm/12</f>
        <v/>
      </c>
      <c r="BS302" s="40">
        <f>BS301*(1-IF(B301&gt;=in_marketplace_from,d_hz_loan_gold*G301,0))</f>
        <v/>
      </c>
      <c r="BT302" s="14">
        <f>F302*BS302*IF(B302&gt;=in_marketplace_from,d_hz_loan_gold*G302,0)*in_loan_gold_ticket*in_loan_gold_comm</f>
        <v/>
      </c>
      <c r="BU302" s="40">
        <f>BU301*(1-IF(B301&gt;=in_marketplace_from,d_hz_loan_cd*G301,0))</f>
        <v/>
      </c>
      <c r="BV302" s="14">
        <f>F302*BU302*IF(B302&gt;=in_marketplace_from,d_hz_loan_cd*G302,0)*in_loan_cd_ticket*in_loan_cd_comm</f>
        <v/>
      </c>
      <c r="BW302" s="40">
        <f>BW301*(1-IF(B301&gt;=in_marketplace_from,d_hz_loan_vehicle*G301,0))</f>
        <v/>
      </c>
      <c r="BX302" s="14">
        <f>F302*BW302*IF(B302&gt;=in_marketplace_from,d_hz_loan_vehicle*G302,0)*in_loan_vehicle_ticket*in_loan_vehicle_comm</f>
        <v/>
      </c>
      <c r="BY302" s="40">
        <f>BY301*(1-IF(B301&gt;=in_marketplace_from,d_hz_loan_home*G301,0)*BZ301)</f>
        <v/>
      </c>
      <c r="BZ302" s="11">
        <f>MIN(in_approval_cap,in_loan_home_approval*INDEX('Age profile'!$O$2:$O$61,B302)*(1+in_approval_growth)^(D302-1))</f>
        <v/>
      </c>
      <c r="CA302" s="14">
        <f>F302*BY302*IF(B302&gt;=in_marketplace_from,d_hz_loan_home*G302,0)*BZ302*in_loan_home_ticket*in_loan_home_comm</f>
        <v/>
      </c>
      <c r="CB302" s="40">
        <f>CB301*(1-IF(B301&gt;=in_marketplace_from,d_hz_loan_lap*G301,0)*CC301)</f>
        <v/>
      </c>
      <c r="CC302" s="11">
        <f>MIN(in_approval_cap,in_loan_lap_approval*INDEX('Age profile'!$O$2:$O$61,B302)*(1+in_approval_growth)^(D302-1))</f>
        <v/>
      </c>
      <c r="CD302" s="14">
        <f>F302*CB302*IF(B302&gt;=in_marketplace_from,d_hz_loan_lap*G302,0)*CC302*in_loan_lap_ticket*in_loan_lap_comm</f>
        <v/>
      </c>
      <c r="CE302" s="14">
        <f>AA302+AB302+AC302+AD302+AG302+AJ302+AM302+AP302+AS302+AU302+AX302+BB302+BE302+BG302+BJ302+BL302+BO302+BR302+BT302+BV302+BX302+CA302+CD302</f>
        <v/>
      </c>
    </row>
    <row r="303">
      <c r="A303" s="39" t="n">
        <v>6</v>
      </c>
      <c r="B303" s="39" t="n">
        <v>12</v>
      </c>
      <c r="C303" s="39">
        <f>A303+B303-1</f>
        <v/>
      </c>
      <c r="D303" s="39">
        <f>INT((C303-1)/12)+1</f>
        <v/>
      </c>
      <c r="E303" s="44">
        <f>INDEX(Monthly!$B$2:$B$61,A303)</f>
        <v/>
      </c>
      <c r="F303" s="44">
        <f>E303*INDEX('Age profile'!$B$2:$B$61,B303)</f>
        <v/>
      </c>
      <c r="G303" s="45">
        <f>MIN(in_takeup_cap,INDEX('Age profile'!$N$2:$N$61,B303)*(1+in_takeup_growth)^(D303-1))</f>
        <v/>
      </c>
      <c r="H303" s="11">
        <f>MIN(in_approval_cap,in_approved_first*INDEX('Age profile'!$O$2:$O$61,B303)*(1+in_approval_growth)^(D303-1))</f>
        <v/>
      </c>
      <c r="I303" s="45">
        <f>G303*MIN(in_takeup_cap,INDEX('Age profile'!$O$2:$O$61,B303)*(1+in_approval_growth)^(D303-1))</f>
        <v/>
      </c>
      <c r="J303" s="40">
        <f>(J302-L302)*F303/F302</f>
        <v/>
      </c>
      <c r="K303" s="40">
        <f>(K302-M302)*F303/F302+SUMIFS(O292:O302,B292:B302,B303-1-d_T)*F303</f>
        <v/>
      </c>
      <c r="L303" s="40">
        <f>IF(B303&gt;=in_marketplace_from,J303*d_hz*G303*in_eligible*H303,0)</f>
        <v/>
      </c>
      <c r="M303" s="40">
        <f>IF(B303&gt;=in_marketplace_from,K303*d_hz*G303*in_eligible*in_approved_repeat,0)</f>
        <v/>
      </c>
      <c r="N303" s="40">
        <f>L303+M303</f>
        <v/>
      </c>
      <c r="O303" s="46">
        <f>N303/F303</f>
        <v/>
      </c>
      <c r="P303" s="40">
        <f>F303-J303-K303</f>
        <v/>
      </c>
      <c r="Q303" s="40">
        <f>IF(B303&gt;=in_marketplace_from,(J303+K303)*d_hz*G303,0)</f>
        <v/>
      </c>
      <c r="R303" s="40">
        <f>SUMIFS(N292:N346,B292:B346,"&gt;="&amp;(B303-d_T),B292:B346,"&lt;="&amp;(B303-1))</f>
        <v/>
      </c>
      <c r="S303" s="46">
        <f>(1-d_u)*S302+IF(d_T&gt;in_topup_lag,SUMIFS(O292:O346,B292:B346,B303-in_topup_lag)-d_udrop*SUMIFS(O292:O346,B292:B346,B303-d_T),0)</f>
        <v/>
      </c>
      <c r="T303" s="40">
        <f>F303*d_u*S303</f>
        <v/>
      </c>
      <c r="U303" s="9">
        <f>L303*in_ticket+M303*d_rep_ticket</f>
        <v/>
      </c>
      <c r="V303" s="9">
        <f>U303+T303*d_topup_amt</f>
        <v/>
      </c>
      <c r="W303" s="40">
        <f>N303+T303*d_topup_ratio</f>
        <v/>
      </c>
      <c r="X303" s="40">
        <f>SUMIFS(W292:W346,B292:B346,B303-in_dpd_lag)*d_cured</f>
        <v/>
      </c>
      <c r="Y303" s="40">
        <f>SUMIFS(W292:W346,B292:B346,B303-in_rec_lag)*d_recd</f>
        <v/>
      </c>
      <c r="Z303" s="40">
        <f>IF(AND(B303&gt;=in_marketplace_from,B303&lt;in_marketplace_from+in_card_months),in_card_share/in_card_months*F303*I303,IF(AND(B303&gt;=in_marketplace_from+in_card_months,B303&lt;in_marketplace_from+2*in_card_months),in_card_share*d_card_rem/in_card_months*F303*MIN(in_takeup_cap,(1+in_takeup_growth)^(D303-1))*MIN(in_takeup_cap,(1+in_approval_growth)^(D303-1)),0))</f>
        <v/>
      </c>
      <c r="AA303" s="14">
        <f>V303*in_fee*(1-in_taken_back)</f>
        <v/>
      </c>
      <c r="AB303" s="14">
        <f>SUMIFS(W292:W346,B292:B346,B303-in_dpd_lag)*d_dpd</f>
        <v/>
      </c>
      <c r="AC303" s="14">
        <f>SUMIFS(W292:W346,B292:B346,B303-in_rec_lag)*d_rec</f>
        <v/>
      </c>
      <c r="AD303" s="14">
        <f>Z303*in_card_fee</f>
        <v/>
      </c>
      <c r="AE303" s="40">
        <f>AE302*(1-IF(B302&gt;=in_marketplace_from,d_hz_hlth_small*G302,0))</f>
        <v/>
      </c>
      <c r="AF303" s="46">
        <f>AE303*IF(B303&gt;=in_marketplace_from,d_hz_hlth_small*G303,0)</f>
        <v/>
      </c>
      <c r="AG303" s="14">
        <f>F303*AF303*in_hlth_small_ticket*in_hlth_small_comm*in_ins_partner_share+F303*in_hlth_small_ticket*in_hlth_small_renew_comm*in_ins_partner_share*(in_hlth_small_renew^1*SUMIFS(AF292:AF346,B292:B346,B303-12)+in_hlth_small_renew^2*SUMIFS(AF292:AF346,B292:B346,B303-24)+in_hlth_small_renew^3*SUMIFS(AF292:AF346,B292:B346,B303-36)+in_hlth_small_renew^4*SUMIFS(AF292:AF346,B292:B346,B303-48))</f>
        <v/>
      </c>
      <c r="AH303" s="40">
        <f>AH302*(1-IF(B302&gt;=in_marketplace_from,d_hz_hlth_family*G302,0))</f>
        <v/>
      </c>
      <c r="AI303" s="46">
        <f>AH303*IF(B303&gt;=in_marketplace_from,d_hz_hlth_family*G303,0)</f>
        <v/>
      </c>
      <c r="AJ303" s="14">
        <f>F303*AI303*in_hlth_family_ticket*in_hlth_family_comm*in_ins_partner_share+F303*in_hlth_family_ticket*in_hlth_family_renew_comm*in_ins_partner_share*(in_hlth_family_renew^1*SUMIFS(AI292:AI346,B292:B346,B303-12)+in_hlth_family_renew^2*SUMIFS(AI292:AI346,B292:B346,B303-24)+in_hlth_family_renew^3*SUMIFS(AI292:AI346,B292:B346,B303-36)+in_hlth_family_renew^4*SUMIFS(AI292:AI346,B292:B346,B303-48))</f>
        <v/>
      </c>
      <c r="AK303" s="40">
        <f>AK302*(1-IF(B302&gt;=in_marketplace_from,d_hz_life_term*G302,0))</f>
        <v/>
      </c>
      <c r="AL303" s="46">
        <f>AK303*IF(B303&gt;=in_marketplace_from,d_hz_life_term*G303,0)</f>
        <v/>
      </c>
      <c r="AM303" s="14">
        <f>F303*AL303*in_life_term_ticket*in_life_term_comm*in_ins_partner_share+F303*in_life_term_ticket*in_life_term_renew_comm*in_ins_partner_share*(in_life_term_renew^1*SUMIFS(AL292:AL346,B292:B346,B303-12)+in_life_term_renew^2*SUMIFS(AL292:AL346,B292:B346,B303-24)+in_life_term_renew^3*SUMIFS(AL292:AL346,B292:B346,B303-36)+in_life_term_renew^4*SUMIFS(AL292:AL346,B292:B346,B303-48))</f>
        <v/>
      </c>
      <c r="AN303" s="40">
        <f>AN302*(1-IF(B302&gt;=in_marketplace_from,d_hz_accident*G302,0))</f>
        <v/>
      </c>
      <c r="AO303" s="46">
        <f>AN303*IF(B303&gt;=in_marketplace_from,d_hz_accident*G303,0)</f>
        <v/>
      </c>
      <c r="AP303" s="14">
        <f>F303*AO303*in_accident_ticket*in_accident_comm*in_ins_partner_share+F303*in_accident_ticket*in_accident_renew_comm*in_ins_partner_share*(in_accident_renew^1*SUMIFS(AO292:AO346,B292:B346,B303-12)+in_accident_renew^2*SUMIFS(AO292:AO346,B292:B346,B303-24)+in_accident_renew^3*SUMIFS(AO292:AO346,B292:B346,B303-36)+in_accident_renew^4*SUMIFS(AO292:AO346,B292:B346,B303-48))</f>
        <v/>
      </c>
      <c r="AQ303" s="40">
        <f>AQ302*(1-IF(B302&gt;=in_marketplace_from,d_hz_two_wheeler*G302,0))</f>
        <v/>
      </c>
      <c r="AR303" s="46">
        <f>AQ303*IF(B303&gt;=in_marketplace_from,d_hz_two_wheeler*G303,0)</f>
        <v/>
      </c>
      <c r="AS303" s="14">
        <f>F303*AR303*in_two_wheeler_ticket*in_two_wheeler_comm*in_ins_partner_share+F303*in_two_wheeler_ticket*in_two_wheeler_comm*in_ins_partner_share*(in_two_wheeler_renew^1*SUMIFS(AR292:AR346,B292:B346,B303-12)+in_two_wheeler_renew^2*SUMIFS(AR292:AR346,B292:B346,B303-24)+in_two_wheeler_renew^3*SUMIFS(AR292:AR346,B292:B346,B303-36)+in_two_wheeler_renew^4*SUMIFS(AR292:AR346,B292:B346,B303-48))</f>
        <v/>
      </c>
      <c r="AT303" s="40">
        <f>AT302*(1-IF(B302&gt;=in_marketplace_from,d_hz_device*G302,0))</f>
        <v/>
      </c>
      <c r="AU303" s="14">
        <f>F303*AT303*IF(B303&gt;=in_marketplace_from,d_hz_device*G303,0)*in_device_ticket*in_device_comm*in_ins_partner_share</f>
        <v/>
      </c>
      <c r="AV303" s="40">
        <f>AV302*(1-IF(B302&gt;=in_marketplace_from,d_hz_shop*G302,0))</f>
        <v/>
      </c>
      <c r="AW303" s="46">
        <f>AV303*IF(B303&gt;=in_marketplace_from,d_hz_shop*G303,0)</f>
        <v/>
      </c>
      <c r="AX303" s="14">
        <f>F303*AW303*in_shop_ticket*in_shop_comm*in_ins_partner_share+F303*in_shop_ticket*in_shop_renew_comm*in_ins_partner_share*(in_shop_renew^1*SUMIFS(AW292:AW346,B292:B346,B303-12)+in_shop_renew^2*SUMIFS(AW292:AW346,B292:B346,B303-24)+in_shop_renew^3*SUMIFS(AW292:AW346,B292:B346,B303-36)+in_shop_renew^4*SUMIFS(AW292:AW346,B292:B346,B303-48))</f>
        <v/>
      </c>
      <c r="AY303" s="40">
        <f>AY302*(1-IF(B302&gt;=in_marketplace_from,d_hz_sip*G302,0))</f>
        <v/>
      </c>
      <c r="AZ303" s="40">
        <f>AZ302*d_rho_sip+AY303*IF(B303&gt;=in_marketplace_from,d_hz_sip*G303,0)</f>
        <v/>
      </c>
      <c r="BA303" s="40">
        <f>d_rho_sip*(BA302+AZ302)</f>
        <v/>
      </c>
      <c r="BB303" s="14">
        <f>F303*in_sip_ticket*(BA303+0.5*AZ303)*in_sip_comm/12</f>
        <v/>
      </c>
      <c r="BC303" s="40">
        <f>BC302*(1-IF(B302&gt;=in_marketplace_from,d_hz_choti*G302,0))</f>
        <v/>
      </c>
      <c r="BD303" s="46">
        <f>BC303*IF(B303&gt;=in_marketplace_from,d_hz_choti*G303,0)</f>
        <v/>
      </c>
      <c r="BE303" s="14">
        <f>F303*SUMIFS(BD292:BD346,B292:B346,B303-in_choti_months)*in_choti_renew*in_choti_ticket</f>
        <v/>
      </c>
      <c r="BF303" s="40">
        <f>BF302*(1-IF(B302&gt;=in_marketplace_from,d_hz_nps*G302,0))</f>
        <v/>
      </c>
      <c r="BG303" s="14">
        <f>F303*BF303*IF(B303&gt;=in_marketplace_from,d_hz_nps*G303,0)*in_nps_ticket*in_nps_comm</f>
        <v/>
      </c>
      <c r="BH303" s="40">
        <f>BH302*(1-IF(B302&gt;=in_marketplace_from,d_hz_gold*G302,0))</f>
        <v/>
      </c>
      <c r="BI303" s="40">
        <f>BI302*d_rho_gold+BH303*IF(B303&gt;=in_marketplace_from,d_hz_gold*G303,0)</f>
        <v/>
      </c>
      <c r="BJ303" s="14">
        <f>F303*BI303*in_gold_ticket*in_gold_comm</f>
        <v/>
      </c>
      <c r="BK303" s="40">
        <f>BK302*(1-IF(B302&gt;=in_marketplace_from,d_hz_fd*G302,0))</f>
        <v/>
      </c>
      <c r="BL303" s="14">
        <f>F303*BK303*IF(B303&gt;=in_marketplace_from,d_hz_fd*G303,0)*in_fd_ticket*in_fd_comm</f>
        <v/>
      </c>
      <c r="BM303" s="40">
        <f>BM302*(1-IF(B302&gt;=in_marketplace_from,d_hz_recharge*G302,0))</f>
        <v/>
      </c>
      <c r="BN303" s="40">
        <f>BN302*d_rho_recharge+BM303*IF(B303&gt;=in_marketplace_from,d_hz_recharge*G303,0)</f>
        <v/>
      </c>
      <c r="BO303" s="14">
        <f>F303*BN303*in_recharge_ticket*in_recharge_comm/12</f>
        <v/>
      </c>
      <c r="BP303" s="40">
        <f>BP302*(1-IF(B302&gt;=in_marketplace_from,d_hz_bills*G302,0))</f>
        <v/>
      </c>
      <c r="BQ303" s="40">
        <f>BQ302*d_rho_bills+BP303*IF(B303&gt;=in_marketplace_from,d_hz_bills*G303,0)</f>
        <v/>
      </c>
      <c r="BR303" s="14">
        <f>F303*BQ303*in_bills_ticket*in_bills_comm/12</f>
        <v/>
      </c>
      <c r="BS303" s="40">
        <f>BS302*(1-IF(B302&gt;=in_marketplace_from,d_hz_loan_gold*G302,0))</f>
        <v/>
      </c>
      <c r="BT303" s="14">
        <f>F303*BS303*IF(B303&gt;=in_marketplace_from,d_hz_loan_gold*G303,0)*in_loan_gold_ticket*in_loan_gold_comm</f>
        <v/>
      </c>
      <c r="BU303" s="40">
        <f>BU302*(1-IF(B302&gt;=in_marketplace_from,d_hz_loan_cd*G302,0))</f>
        <v/>
      </c>
      <c r="BV303" s="14">
        <f>F303*BU303*IF(B303&gt;=in_marketplace_from,d_hz_loan_cd*G303,0)*in_loan_cd_ticket*in_loan_cd_comm</f>
        <v/>
      </c>
      <c r="BW303" s="40">
        <f>BW302*(1-IF(B302&gt;=in_marketplace_from,d_hz_loan_vehicle*G302,0))</f>
        <v/>
      </c>
      <c r="BX303" s="14">
        <f>F303*BW303*IF(B303&gt;=in_marketplace_from,d_hz_loan_vehicle*G303,0)*in_loan_vehicle_ticket*in_loan_vehicle_comm</f>
        <v/>
      </c>
      <c r="BY303" s="40">
        <f>BY302*(1-IF(B302&gt;=in_marketplace_from,d_hz_loan_home*G302,0)*BZ302)</f>
        <v/>
      </c>
      <c r="BZ303" s="11">
        <f>MIN(in_approval_cap,in_loan_home_approval*INDEX('Age profile'!$O$2:$O$61,B303)*(1+in_approval_growth)^(D303-1))</f>
        <v/>
      </c>
      <c r="CA303" s="14">
        <f>F303*BY303*IF(B303&gt;=in_marketplace_from,d_hz_loan_home*G303,0)*BZ303*in_loan_home_ticket*in_loan_home_comm</f>
        <v/>
      </c>
      <c r="CB303" s="40">
        <f>CB302*(1-IF(B302&gt;=in_marketplace_from,d_hz_loan_lap*G302,0)*CC302)</f>
        <v/>
      </c>
      <c r="CC303" s="11">
        <f>MIN(in_approval_cap,in_loan_lap_approval*INDEX('Age profile'!$O$2:$O$61,B303)*(1+in_approval_growth)^(D303-1))</f>
        <v/>
      </c>
      <c r="CD303" s="14">
        <f>F303*CB303*IF(B303&gt;=in_marketplace_from,d_hz_loan_lap*G303,0)*CC303*in_loan_lap_ticket*in_loan_lap_comm</f>
        <v/>
      </c>
      <c r="CE303" s="14">
        <f>AA303+AB303+AC303+AD303+AG303+AJ303+AM303+AP303+AS303+AU303+AX303+BB303+BE303+BG303+BJ303+BL303+BO303+BR303+BT303+BV303+BX303+CA303+CD303</f>
        <v/>
      </c>
    </row>
    <row r="304">
      <c r="A304" s="39" t="n">
        <v>6</v>
      </c>
      <c r="B304" s="39" t="n">
        <v>13</v>
      </c>
      <c r="C304" s="39">
        <f>A304+B304-1</f>
        <v/>
      </c>
      <c r="D304" s="39">
        <f>INT((C304-1)/12)+1</f>
        <v/>
      </c>
      <c r="E304" s="44">
        <f>INDEX(Monthly!$B$2:$B$61,A304)</f>
        <v/>
      </c>
      <c r="F304" s="44">
        <f>E304*INDEX('Age profile'!$B$2:$B$61,B304)</f>
        <v/>
      </c>
      <c r="G304" s="45">
        <f>MIN(in_takeup_cap,INDEX('Age profile'!$N$2:$N$61,B304)*(1+in_takeup_growth)^(D304-1))</f>
        <v/>
      </c>
      <c r="H304" s="11">
        <f>MIN(in_approval_cap,in_approved_first*INDEX('Age profile'!$O$2:$O$61,B304)*(1+in_approval_growth)^(D304-1))</f>
        <v/>
      </c>
      <c r="I304" s="45">
        <f>G304*MIN(in_takeup_cap,INDEX('Age profile'!$O$2:$O$61,B304)*(1+in_approval_growth)^(D304-1))</f>
        <v/>
      </c>
      <c r="J304" s="40">
        <f>(J303-L303)*F304/F303</f>
        <v/>
      </c>
      <c r="K304" s="40">
        <f>(K303-M303)*F304/F303+SUMIFS(O292:O303,B292:B303,B304-1-d_T)*F304</f>
        <v/>
      </c>
      <c r="L304" s="40">
        <f>IF(B304&gt;=in_marketplace_from,J304*d_hz*G304*in_eligible*H304,0)</f>
        <v/>
      </c>
      <c r="M304" s="40">
        <f>IF(B304&gt;=in_marketplace_from,K304*d_hz*G304*in_eligible*in_approved_repeat,0)</f>
        <v/>
      </c>
      <c r="N304" s="40">
        <f>L304+M304</f>
        <v/>
      </c>
      <c r="O304" s="46">
        <f>N304/F304</f>
        <v/>
      </c>
      <c r="P304" s="40">
        <f>F304-J304-K304</f>
        <v/>
      </c>
      <c r="Q304" s="40">
        <f>IF(B304&gt;=in_marketplace_from,(J304+K304)*d_hz*G304,0)</f>
        <v/>
      </c>
      <c r="R304" s="40">
        <f>SUMIFS(N292:N346,B292:B346,"&gt;="&amp;(B304-d_T),B292:B346,"&lt;="&amp;(B304-1))</f>
        <v/>
      </c>
      <c r="S304" s="46">
        <f>(1-d_u)*S303+IF(d_T&gt;in_topup_lag,SUMIFS(O292:O346,B292:B346,B304-in_topup_lag)-d_udrop*SUMIFS(O292:O346,B292:B346,B304-d_T),0)</f>
        <v/>
      </c>
      <c r="T304" s="40">
        <f>F304*d_u*S304</f>
        <v/>
      </c>
      <c r="U304" s="9">
        <f>L304*in_ticket+M304*d_rep_ticket</f>
        <v/>
      </c>
      <c r="V304" s="9">
        <f>U304+T304*d_topup_amt</f>
        <v/>
      </c>
      <c r="W304" s="40">
        <f>N304+T304*d_topup_ratio</f>
        <v/>
      </c>
      <c r="X304" s="40">
        <f>SUMIFS(W292:W346,B292:B346,B304-in_dpd_lag)*d_cured</f>
        <v/>
      </c>
      <c r="Y304" s="40">
        <f>SUMIFS(W292:W346,B292:B346,B304-in_rec_lag)*d_recd</f>
        <v/>
      </c>
      <c r="Z304" s="40">
        <f>IF(AND(B304&gt;=in_marketplace_from,B304&lt;in_marketplace_from+in_card_months),in_card_share/in_card_months*F304*I304,IF(AND(B304&gt;=in_marketplace_from+in_card_months,B304&lt;in_marketplace_from+2*in_card_months),in_card_share*d_card_rem/in_card_months*F304*MIN(in_takeup_cap,(1+in_takeup_growth)^(D304-1))*MIN(in_takeup_cap,(1+in_approval_growth)^(D304-1)),0))</f>
        <v/>
      </c>
      <c r="AA304" s="14">
        <f>V304*in_fee*(1-in_taken_back)</f>
        <v/>
      </c>
      <c r="AB304" s="14">
        <f>SUMIFS(W292:W346,B292:B346,B304-in_dpd_lag)*d_dpd</f>
        <v/>
      </c>
      <c r="AC304" s="14">
        <f>SUMIFS(W292:W346,B292:B346,B304-in_rec_lag)*d_rec</f>
        <v/>
      </c>
      <c r="AD304" s="14">
        <f>Z304*in_card_fee</f>
        <v/>
      </c>
      <c r="AE304" s="40">
        <f>AE303*(1-IF(B303&gt;=in_marketplace_from,d_hz_hlth_small*G303,0))</f>
        <v/>
      </c>
      <c r="AF304" s="46">
        <f>AE304*IF(B304&gt;=in_marketplace_from,d_hz_hlth_small*G304,0)</f>
        <v/>
      </c>
      <c r="AG304" s="14">
        <f>F304*AF304*in_hlth_small_ticket*in_hlth_small_comm*in_ins_partner_share+F304*in_hlth_small_ticket*in_hlth_small_renew_comm*in_ins_partner_share*(in_hlth_small_renew^1*SUMIFS(AF292:AF346,B292:B346,B304-12)+in_hlth_small_renew^2*SUMIFS(AF292:AF346,B292:B346,B304-24)+in_hlth_small_renew^3*SUMIFS(AF292:AF346,B292:B346,B304-36)+in_hlth_small_renew^4*SUMIFS(AF292:AF346,B292:B346,B304-48))</f>
        <v/>
      </c>
      <c r="AH304" s="40">
        <f>AH303*(1-IF(B303&gt;=in_marketplace_from,d_hz_hlth_family*G303,0))</f>
        <v/>
      </c>
      <c r="AI304" s="46">
        <f>AH304*IF(B304&gt;=in_marketplace_from,d_hz_hlth_family*G304,0)</f>
        <v/>
      </c>
      <c r="AJ304" s="14">
        <f>F304*AI304*in_hlth_family_ticket*in_hlth_family_comm*in_ins_partner_share+F304*in_hlth_family_ticket*in_hlth_family_renew_comm*in_ins_partner_share*(in_hlth_family_renew^1*SUMIFS(AI292:AI346,B292:B346,B304-12)+in_hlth_family_renew^2*SUMIFS(AI292:AI346,B292:B346,B304-24)+in_hlth_family_renew^3*SUMIFS(AI292:AI346,B292:B346,B304-36)+in_hlth_family_renew^4*SUMIFS(AI292:AI346,B292:B346,B304-48))</f>
        <v/>
      </c>
      <c r="AK304" s="40">
        <f>AK303*(1-IF(B303&gt;=in_marketplace_from,d_hz_life_term*G303,0))</f>
        <v/>
      </c>
      <c r="AL304" s="46">
        <f>AK304*IF(B304&gt;=in_marketplace_from,d_hz_life_term*G304,0)</f>
        <v/>
      </c>
      <c r="AM304" s="14">
        <f>F304*AL304*in_life_term_ticket*in_life_term_comm*in_ins_partner_share+F304*in_life_term_ticket*in_life_term_renew_comm*in_ins_partner_share*(in_life_term_renew^1*SUMIFS(AL292:AL346,B292:B346,B304-12)+in_life_term_renew^2*SUMIFS(AL292:AL346,B292:B346,B304-24)+in_life_term_renew^3*SUMIFS(AL292:AL346,B292:B346,B304-36)+in_life_term_renew^4*SUMIFS(AL292:AL346,B292:B346,B304-48))</f>
        <v/>
      </c>
      <c r="AN304" s="40">
        <f>AN303*(1-IF(B303&gt;=in_marketplace_from,d_hz_accident*G303,0))</f>
        <v/>
      </c>
      <c r="AO304" s="46">
        <f>AN304*IF(B304&gt;=in_marketplace_from,d_hz_accident*G304,0)</f>
        <v/>
      </c>
      <c r="AP304" s="14">
        <f>F304*AO304*in_accident_ticket*in_accident_comm*in_ins_partner_share+F304*in_accident_ticket*in_accident_renew_comm*in_ins_partner_share*(in_accident_renew^1*SUMIFS(AO292:AO346,B292:B346,B304-12)+in_accident_renew^2*SUMIFS(AO292:AO346,B292:B346,B304-24)+in_accident_renew^3*SUMIFS(AO292:AO346,B292:B346,B304-36)+in_accident_renew^4*SUMIFS(AO292:AO346,B292:B346,B304-48))</f>
        <v/>
      </c>
      <c r="AQ304" s="40">
        <f>AQ303*(1-IF(B303&gt;=in_marketplace_from,d_hz_two_wheeler*G303,0))</f>
        <v/>
      </c>
      <c r="AR304" s="46">
        <f>AQ304*IF(B304&gt;=in_marketplace_from,d_hz_two_wheeler*G304,0)</f>
        <v/>
      </c>
      <c r="AS304" s="14">
        <f>F304*AR304*in_two_wheeler_ticket*in_two_wheeler_comm*in_ins_partner_share+F304*in_two_wheeler_ticket*in_two_wheeler_comm*in_ins_partner_share*(in_two_wheeler_renew^1*SUMIFS(AR292:AR346,B292:B346,B304-12)+in_two_wheeler_renew^2*SUMIFS(AR292:AR346,B292:B346,B304-24)+in_two_wheeler_renew^3*SUMIFS(AR292:AR346,B292:B346,B304-36)+in_two_wheeler_renew^4*SUMIFS(AR292:AR346,B292:B346,B304-48))</f>
        <v/>
      </c>
      <c r="AT304" s="40">
        <f>AT303*(1-IF(B303&gt;=in_marketplace_from,d_hz_device*G303,0))</f>
        <v/>
      </c>
      <c r="AU304" s="14">
        <f>F304*AT304*IF(B304&gt;=in_marketplace_from,d_hz_device*G304,0)*in_device_ticket*in_device_comm*in_ins_partner_share</f>
        <v/>
      </c>
      <c r="AV304" s="40">
        <f>AV303*(1-IF(B303&gt;=in_marketplace_from,d_hz_shop*G303,0))</f>
        <v/>
      </c>
      <c r="AW304" s="46">
        <f>AV304*IF(B304&gt;=in_marketplace_from,d_hz_shop*G304,0)</f>
        <v/>
      </c>
      <c r="AX304" s="14">
        <f>F304*AW304*in_shop_ticket*in_shop_comm*in_ins_partner_share+F304*in_shop_ticket*in_shop_renew_comm*in_ins_partner_share*(in_shop_renew^1*SUMIFS(AW292:AW346,B292:B346,B304-12)+in_shop_renew^2*SUMIFS(AW292:AW346,B292:B346,B304-24)+in_shop_renew^3*SUMIFS(AW292:AW346,B292:B346,B304-36)+in_shop_renew^4*SUMIFS(AW292:AW346,B292:B346,B304-48))</f>
        <v/>
      </c>
      <c r="AY304" s="40">
        <f>AY303*(1-IF(B303&gt;=in_marketplace_from,d_hz_sip*G303,0))</f>
        <v/>
      </c>
      <c r="AZ304" s="40">
        <f>AZ303*d_rho_sip+AY304*IF(B304&gt;=in_marketplace_from,d_hz_sip*G304,0)</f>
        <v/>
      </c>
      <c r="BA304" s="40">
        <f>d_rho_sip*(BA303+AZ303)</f>
        <v/>
      </c>
      <c r="BB304" s="14">
        <f>F304*in_sip_ticket*(BA304+0.5*AZ304)*in_sip_comm/12</f>
        <v/>
      </c>
      <c r="BC304" s="40">
        <f>BC303*(1-IF(B303&gt;=in_marketplace_from,d_hz_choti*G303,0))</f>
        <v/>
      </c>
      <c r="BD304" s="46">
        <f>BC304*IF(B304&gt;=in_marketplace_from,d_hz_choti*G304,0)</f>
        <v/>
      </c>
      <c r="BE304" s="14">
        <f>F304*SUMIFS(BD292:BD346,B292:B346,B304-in_choti_months)*in_choti_renew*in_choti_ticket</f>
        <v/>
      </c>
      <c r="BF304" s="40">
        <f>BF303*(1-IF(B303&gt;=in_marketplace_from,d_hz_nps*G303,0))</f>
        <v/>
      </c>
      <c r="BG304" s="14">
        <f>F304*BF304*IF(B304&gt;=in_marketplace_from,d_hz_nps*G304,0)*in_nps_ticket*in_nps_comm</f>
        <v/>
      </c>
      <c r="BH304" s="40">
        <f>BH303*(1-IF(B303&gt;=in_marketplace_from,d_hz_gold*G303,0))</f>
        <v/>
      </c>
      <c r="BI304" s="40">
        <f>BI303*d_rho_gold+BH304*IF(B304&gt;=in_marketplace_from,d_hz_gold*G304,0)</f>
        <v/>
      </c>
      <c r="BJ304" s="14">
        <f>F304*BI304*in_gold_ticket*in_gold_comm</f>
        <v/>
      </c>
      <c r="BK304" s="40">
        <f>BK303*(1-IF(B303&gt;=in_marketplace_from,d_hz_fd*G303,0))</f>
        <v/>
      </c>
      <c r="BL304" s="14">
        <f>F304*BK304*IF(B304&gt;=in_marketplace_from,d_hz_fd*G304,0)*in_fd_ticket*in_fd_comm</f>
        <v/>
      </c>
      <c r="BM304" s="40">
        <f>BM303*(1-IF(B303&gt;=in_marketplace_from,d_hz_recharge*G303,0))</f>
        <v/>
      </c>
      <c r="BN304" s="40">
        <f>BN303*d_rho_recharge+BM304*IF(B304&gt;=in_marketplace_from,d_hz_recharge*G304,0)</f>
        <v/>
      </c>
      <c r="BO304" s="14">
        <f>F304*BN304*in_recharge_ticket*in_recharge_comm/12</f>
        <v/>
      </c>
      <c r="BP304" s="40">
        <f>BP303*(1-IF(B303&gt;=in_marketplace_from,d_hz_bills*G303,0))</f>
        <v/>
      </c>
      <c r="BQ304" s="40">
        <f>BQ303*d_rho_bills+BP304*IF(B304&gt;=in_marketplace_from,d_hz_bills*G304,0)</f>
        <v/>
      </c>
      <c r="BR304" s="14">
        <f>F304*BQ304*in_bills_ticket*in_bills_comm/12</f>
        <v/>
      </c>
      <c r="BS304" s="40">
        <f>BS303*(1-IF(B303&gt;=in_marketplace_from,d_hz_loan_gold*G303,0))</f>
        <v/>
      </c>
      <c r="BT304" s="14">
        <f>F304*BS304*IF(B304&gt;=in_marketplace_from,d_hz_loan_gold*G304,0)*in_loan_gold_ticket*in_loan_gold_comm</f>
        <v/>
      </c>
      <c r="BU304" s="40">
        <f>BU303*(1-IF(B303&gt;=in_marketplace_from,d_hz_loan_cd*G303,0))</f>
        <v/>
      </c>
      <c r="BV304" s="14">
        <f>F304*BU304*IF(B304&gt;=in_marketplace_from,d_hz_loan_cd*G304,0)*in_loan_cd_ticket*in_loan_cd_comm</f>
        <v/>
      </c>
      <c r="BW304" s="40">
        <f>BW303*(1-IF(B303&gt;=in_marketplace_from,d_hz_loan_vehicle*G303,0))</f>
        <v/>
      </c>
      <c r="BX304" s="14">
        <f>F304*BW304*IF(B304&gt;=in_marketplace_from,d_hz_loan_vehicle*G304,0)*in_loan_vehicle_ticket*in_loan_vehicle_comm</f>
        <v/>
      </c>
      <c r="BY304" s="40">
        <f>BY303*(1-IF(B303&gt;=in_marketplace_from,d_hz_loan_home*G303,0)*BZ303)</f>
        <v/>
      </c>
      <c r="BZ304" s="11">
        <f>MIN(in_approval_cap,in_loan_home_approval*INDEX('Age profile'!$O$2:$O$61,B304)*(1+in_approval_growth)^(D304-1))</f>
        <v/>
      </c>
      <c r="CA304" s="14">
        <f>F304*BY304*IF(B304&gt;=in_marketplace_from,d_hz_loan_home*G304,0)*BZ304*in_loan_home_ticket*in_loan_home_comm</f>
        <v/>
      </c>
      <c r="CB304" s="40">
        <f>CB303*(1-IF(B303&gt;=in_marketplace_from,d_hz_loan_lap*G303,0)*CC303)</f>
        <v/>
      </c>
      <c r="CC304" s="11">
        <f>MIN(in_approval_cap,in_loan_lap_approval*INDEX('Age profile'!$O$2:$O$61,B304)*(1+in_approval_growth)^(D304-1))</f>
        <v/>
      </c>
      <c r="CD304" s="14">
        <f>F304*CB304*IF(B304&gt;=in_marketplace_from,d_hz_loan_lap*G304,0)*CC304*in_loan_lap_ticket*in_loan_lap_comm</f>
        <v/>
      </c>
      <c r="CE304" s="14">
        <f>AA304+AB304+AC304+AD304+AG304+AJ304+AM304+AP304+AS304+AU304+AX304+BB304+BE304+BG304+BJ304+BL304+BO304+BR304+BT304+BV304+BX304+CA304+CD304</f>
        <v/>
      </c>
    </row>
    <row r="305">
      <c r="A305" s="39" t="n">
        <v>6</v>
      </c>
      <c r="B305" s="39" t="n">
        <v>14</v>
      </c>
      <c r="C305" s="39">
        <f>A305+B305-1</f>
        <v/>
      </c>
      <c r="D305" s="39">
        <f>INT((C305-1)/12)+1</f>
        <v/>
      </c>
      <c r="E305" s="44">
        <f>INDEX(Monthly!$B$2:$B$61,A305)</f>
        <v/>
      </c>
      <c r="F305" s="44">
        <f>E305*INDEX('Age profile'!$B$2:$B$61,B305)</f>
        <v/>
      </c>
      <c r="G305" s="45">
        <f>MIN(in_takeup_cap,INDEX('Age profile'!$N$2:$N$61,B305)*(1+in_takeup_growth)^(D305-1))</f>
        <v/>
      </c>
      <c r="H305" s="11">
        <f>MIN(in_approval_cap,in_approved_first*INDEX('Age profile'!$O$2:$O$61,B305)*(1+in_approval_growth)^(D305-1))</f>
        <v/>
      </c>
      <c r="I305" s="45">
        <f>G305*MIN(in_takeup_cap,INDEX('Age profile'!$O$2:$O$61,B305)*(1+in_approval_growth)^(D305-1))</f>
        <v/>
      </c>
      <c r="J305" s="40">
        <f>(J304-L304)*F305/F304</f>
        <v/>
      </c>
      <c r="K305" s="40">
        <f>(K304-M304)*F305/F304+SUMIFS(O292:O304,B292:B304,B305-1-d_T)*F305</f>
        <v/>
      </c>
      <c r="L305" s="40">
        <f>IF(B305&gt;=in_marketplace_from,J305*d_hz*G305*in_eligible*H305,0)</f>
        <v/>
      </c>
      <c r="M305" s="40">
        <f>IF(B305&gt;=in_marketplace_from,K305*d_hz*G305*in_eligible*in_approved_repeat,0)</f>
        <v/>
      </c>
      <c r="N305" s="40">
        <f>L305+M305</f>
        <v/>
      </c>
      <c r="O305" s="46">
        <f>N305/F305</f>
        <v/>
      </c>
      <c r="P305" s="40">
        <f>F305-J305-K305</f>
        <v/>
      </c>
      <c r="Q305" s="40">
        <f>IF(B305&gt;=in_marketplace_from,(J305+K305)*d_hz*G305,0)</f>
        <v/>
      </c>
      <c r="R305" s="40">
        <f>SUMIFS(N292:N346,B292:B346,"&gt;="&amp;(B305-d_T),B292:B346,"&lt;="&amp;(B305-1))</f>
        <v/>
      </c>
      <c r="S305" s="46">
        <f>(1-d_u)*S304+IF(d_T&gt;in_topup_lag,SUMIFS(O292:O346,B292:B346,B305-in_topup_lag)-d_udrop*SUMIFS(O292:O346,B292:B346,B305-d_T),0)</f>
        <v/>
      </c>
      <c r="T305" s="40">
        <f>F305*d_u*S305</f>
        <v/>
      </c>
      <c r="U305" s="9">
        <f>L305*in_ticket+M305*d_rep_ticket</f>
        <v/>
      </c>
      <c r="V305" s="9">
        <f>U305+T305*d_topup_amt</f>
        <v/>
      </c>
      <c r="W305" s="40">
        <f>N305+T305*d_topup_ratio</f>
        <v/>
      </c>
      <c r="X305" s="40">
        <f>SUMIFS(W292:W346,B292:B346,B305-in_dpd_lag)*d_cured</f>
        <v/>
      </c>
      <c r="Y305" s="40">
        <f>SUMIFS(W292:W346,B292:B346,B305-in_rec_lag)*d_recd</f>
        <v/>
      </c>
      <c r="Z305" s="40">
        <f>IF(AND(B305&gt;=in_marketplace_from,B305&lt;in_marketplace_from+in_card_months),in_card_share/in_card_months*F305*I305,IF(AND(B305&gt;=in_marketplace_from+in_card_months,B305&lt;in_marketplace_from+2*in_card_months),in_card_share*d_card_rem/in_card_months*F305*MIN(in_takeup_cap,(1+in_takeup_growth)^(D305-1))*MIN(in_takeup_cap,(1+in_approval_growth)^(D305-1)),0))</f>
        <v/>
      </c>
      <c r="AA305" s="14">
        <f>V305*in_fee*(1-in_taken_back)</f>
        <v/>
      </c>
      <c r="AB305" s="14">
        <f>SUMIFS(W292:W346,B292:B346,B305-in_dpd_lag)*d_dpd</f>
        <v/>
      </c>
      <c r="AC305" s="14">
        <f>SUMIFS(W292:W346,B292:B346,B305-in_rec_lag)*d_rec</f>
        <v/>
      </c>
      <c r="AD305" s="14">
        <f>Z305*in_card_fee</f>
        <v/>
      </c>
      <c r="AE305" s="40">
        <f>AE304*(1-IF(B304&gt;=in_marketplace_from,d_hz_hlth_small*G304,0))</f>
        <v/>
      </c>
      <c r="AF305" s="46">
        <f>AE305*IF(B305&gt;=in_marketplace_from,d_hz_hlth_small*G305,0)</f>
        <v/>
      </c>
      <c r="AG305" s="14">
        <f>F305*AF305*in_hlth_small_ticket*in_hlth_small_comm*in_ins_partner_share+F305*in_hlth_small_ticket*in_hlth_small_renew_comm*in_ins_partner_share*(in_hlth_small_renew^1*SUMIFS(AF292:AF346,B292:B346,B305-12)+in_hlth_small_renew^2*SUMIFS(AF292:AF346,B292:B346,B305-24)+in_hlth_small_renew^3*SUMIFS(AF292:AF346,B292:B346,B305-36)+in_hlth_small_renew^4*SUMIFS(AF292:AF346,B292:B346,B305-48))</f>
        <v/>
      </c>
      <c r="AH305" s="40">
        <f>AH304*(1-IF(B304&gt;=in_marketplace_from,d_hz_hlth_family*G304,0))</f>
        <v/>
      </c>
      <c r="AI305" s="46">
        <f>AH305*IF(B305&gt;=in_marketplace_from,d_hz_hlth_family*G305,0)</f>
        <v/>
      </c>
      <c r="AJ305" s="14">
        <f>F305*AI305*in_hlth_family_ticket*in_hlth_family_comm*in_ins_partner_share+F305*in_hlth_family_ticket*in_hlth_family_renew_comm*in_ins_partner_share*(in_hlth_family_renew^1*SUMIFS(AI292:AI346,B292:B346,B305-12)+in_hlth_family_renew^2*SUMIFS(AI292:AI346,B292:B346,B305-24)+in_hlth_family_renew^3*SUMIFS(AI292:AI346,B292:B346,B305-36)+in_hlth_family_renew^4*SUMIFS(AI292:AI346,B292:B346,B305-48))</f>
        <v/>
      </c>
      <c r="AK305" s="40">
        <f>AK304*(1-IF(B304&gt;=in_marketplace_from,d_hz_life_term*G304,0))</f>
        <v/>
      </c>
      <c r="AL305" s="46">
        <f>AK305*IF(B305&gt;=in_marketplace_from,d_hz_life_term*G305,0)</f>
        <v/>
      </c>
      <c r="AM305" s="14">
        <f>F305*AL305*in_life_term_ticket*in_life_term_comm*in_ins_partner_share+F305*in_life_term_ticket*in_life_term_renew_comm*in_ins_partner_share*(in_life_term_renew^1*SUMIFS(AL292:AL346,B292:B346,B305-12)+in_life_term_renew^2*SUMIFS(AL292:AL346,B292:B346,B305-24)+in_life_term_renew^3*SUMIFS(AL292:AL346,B292:B346,B305-36)+in_life_term_renew^4*SUMIFS(AL292:AL346,B292:B346,B305-48))</f>
        <v/>
      </c>
      <c r="AN305" s="40">
        <f>AN304*(1-IF(B304&gt;=in_marketplace_from,d_hz_accident*G304,0))</f>
        <v/>
      </c>
      <c r="AO305" s="46">
        <f>AN305*IF(B305&gt;=in_marketplace_from,d_hz_accident*G305,0)</f>
        <v/>
      </c>
      <c r="AP305" s="14">
        <f>F305*AO305*in_accident_ticket*in_accident_comm*in_ins_partner_share+F305*in_accident_ticket*in_accident_renew_comm*in_ins_partner_share*(in_accident_renew^1*SUMIFS(AO292:AO346,B292:B346,B305-12)+in_accident_renew^2*SUMIFS(AO292:AO346,B292:B346,B305-24)+in_accident_renew^3*SUMIFS(AO292:AO346,B292:B346,B305-36)+in_accident_renew^4*SUMIFS(AO292:AO346,B292:B346,B305-48))</f>
        <v/>
      </c>
      <c r="AQ305" s="40">
        <f>AQ304*(1-IF(B304&gt;=in_marketplace_from,d_hz_two_wheeler*G304,0))</f>
        <v/>
      </c>
      <c r="AR305" s="46">
        <f>AQ305*IF(B305&gt;=in_marketplace_from,d_hz_two_wheeler*G305,0)</f>
        <v/>
      </c>
      <c r="AS305" s="14">
        <f>F305*AR305*in_two_wheeler_ticket*in_two_wheeler_comm*in_ins_partner_share+F305*in_two_wheeler_ticket*in_two_wheeler_comm*in_ins_partner_share*(in_two_wheeler_renew^1*SUMIFS(AR292:AR346,B292:B346,B305-12)+in_two_wheeler_renew^2*SUMIFS(AR292:AR346,B292:B346,B305-24)+in_two_wheeler_renew^3*SUMIFS(AR292:AR346,B292:B346,B305-36)+in_two_wheeler_renew^4*SUMIFS(AR292:AR346,B292:B346,B305-48))</f>
        <v/>
      </c>
      <c r="AT305" s="40">
        <f>AT304*(1-IF(B304&gt;=in_marketplace_from,d_hz_device*G304,0))</f>
        <v/>
      </c>
      <c r="AU305" s="14">
        <f>F305*AT305*IF(B305&gt;=in_marketplace_from,d_hz_device*G305,0)*in_device_ticket*in_device_comm*in_ins_partner_share</f>
        <v/>
      </c>
      <c r="AV305" s="40">
        <f>AV304*(1-IF(B304&gt;=in_marketplace_from,d_hz_shop*G304,0))</f>
        <v/>
      </c>
      <c r="AW305" s="46">
        <f>AV305*IF(B305&gt;=in_marketplace_from,d_hz_shop*G305,0)</f>
        <v/>
      </c>
      <c r="AX305" s="14">
        <f>F305*AW305*in_shop_ticket*in_shop_comm*in_ins_partner_share+F305*in_shop_ticket*in_shop_renew_comm*in_ins_partner_share*(in_shop_renew^1*SUMIFS(AW292:AW346,B292:B346,B305-12)+in_shop_renew^2*SUMIFS(AW292:AW346,B292:B346,B305-24)+in_shop_renew^3*SUMIFS(AW292:AW346,B292:B346,B305-36)+in_shop_renew^4*SUMIFS(AW292:AW346,B292:B346,B305-48))</f>
        <v/>
      </c>
      <c r="AY305" s="40">
        <f>AY304*(1-IF(B304&gt;=in_marketplace_from,d_hz_sip*G304,0))</f>
        <v/>
      </c>
      <c r="AZ305" s="40">
        <f>AZ304*d_rho_sip+AY305*IF(B305&gt;=in_marketplace_from,d_hz_sip*G305,0)</f>
        <v/>
      </c>
      <c r="BA305" s="40">
        <f>d_rho_sip*(BA304+AZ304)</f>
        <v/>
      </c>
      <c r="BB305" s="14">
        <f>F305*in_sip_ticket*(BA305+0.5*AZ305)*in_sip_comm/12</f>
        <v/>
      </c>
      <c r="BC305" s="40">
        <f>BC304*(1-IF(B304&gt;=in_marketplace_from,d_hz_choti*G304,0))</f>
        <v/>
      </c>
      <c r="BD305" s="46">
        <f>BC305*IF(B305&gt;=in_marketplace_from,d_hz_choti*G305,0)</f>
        <v/>
      </c>
      <c r="BE305" s="14">
        <f>F305*SUMIFS(BD292:BD346,B292:B346,B305-in_choti_months)*in_choti_renew*in_choti_ticket</f>
        <v/>
      </c>
      <c r="BF305" s="40">
        <f>BF304*(1-IF(B304&gt;=in_marketplace_from,d_hz_nps*G304,0))</f>
        <v/>
      </c>
      <c r="BG305" s="14">
        <f>F305*BF305*IF(B305&gt;=in_marketplace_from,d_hz_nps*G305,0)*in_nps_ticket*in_nps_comm</f>
        <v/>
      </c>
      <c r="BH305" s="40">
        <f>BH304*(1-IF(B304&gt;=in_marketplace_from,d_hz_gold*G304,0))</f>
        <v/>
      </c>
      <c r="BI305" s="40">
        <f>BI304*d_rho_gold+BH305*IF(B305&gt;=in_marketplace_from,d_hz_gold*G305,0)</f>
        <v/>
      </c>
      <c r="BJ305" s="14">
        <f>F305*BI305*in_gold_ticket*in_gold_comm</f>
        <v/>
      </c>
      <c r="BK305" s="40">
        <f>BK304*(1-IF(B304&gt;=in_marketplace_from,d_hz_fd*G304,0))</f>
        <v/>
      </c>
      <c r="BL305" s="14">
        <f>F305*BK305*IF(B305&gt;=in_marketplace_from,d_hz_fd*G305,0)*in_fd_ticket*in_fd_comm</f>
        <v/>
      </c>
      <c r="BM305" s="40">
        <f>BM304*(1-IF(B304&gt;=in_marketplace_from,d_hz_recharge*G304,0))</f>
        <v/>
      </c>
      <c r="BN305" s="40">
        <f>BN304*d_rho_recharge+BM305*IF(B305&gt;=in_marketplace_from,d_hz_recharge*G305,0)</f>
        <v/>
      </c>
      <c r="BO305" s="14">
        <f>F305*BN305*in_recharge_ticket*in_recharge_comm/12</f>
        <v/>
      </c>
      <c r="BP305" s="40">
        <f>BP304*(1-IF(B304&gt;=in_marketplace_from,d_hz_bills*G304,0))</f>
        <v/>
      </c>
      <c r="BQ305" s="40">
        <f>BQ304*d_rho_bills+BP305*IF(B305&gt;=in_marketplace_from,d_hz_bills*G305,0)</f>
        <v/>
      </c>
      <c r="BR305" s="14">
        <f>F305*BQ305*in_bills_ticket*in_bills_comm/12</f>
        <v/>
      </c>
      <c r="BS305" s="40">
        <f>BS304*(1-IF(B304&gt;=in_marketplace_from,d_hz_loan_gold*G304,0))</f>
        <v/>
      </c>
      <c r="BT305" s="14">
        <f>F305*BS305*IF(B305&gt;=in_marketplace_from,d_hz_loan_gold*G305,0)*in_loan_gold_ticket*in_loan_gold_comm</f>
        <v/>
      </c>
      <c r="BU305" s="40">
        <f>BU304*(1-IF(B304&gt;=in_marketplace_from,d_hz_loan_cd*G304,0))</f>
        <v/>
      </c>
      <c r="BV305" s="14">
        <f>F305*BU305*IF(B305&gt;=in_marketplace_from,d_hz_loan_cd*G305,0)*in_loan_cd_ticket*in_loan_cd_comm</f>
        <v/>
      </c>
      <c r="BW305" s="40">
        <f>BW304*(1-IF(B304&gt;=in_marketplace_from,d_hz_loan_vehicle*G304,0))</f>
        <v/>
      </c>
      <c r="BX305" s="14">
        <f>F305*BW305*IF(B305&gt;=in_marketplace_from,d_hz_loan_vehicle*G305,0)*in_loan_vehicle_ticket*in_loan_vehicle_comm</f>
        <v/>
      </c>
      <c r="BY305" s="40">
        <f>BY304*(1-IF(B304&gt;=in_marketplace_from,d_hz_loan_home*G304,0)*BZ304)</f>
        <v/>
      </c>
      <c r="BZ305" s="11">
        <f>MIN(in_approval_cap,in_loan_home_approval*INDEX('Age profile'!$O$2:$O$61,B305)*(1+in_approval_growth)^(D305-1))</f>
        <v/>
      </c>
      <c r="CA305" s="14">
        <f>F305*BY305*IF(B305&gt;=in_marketplace_from,d_hz_loan_home*G305,0)*BZ305*in_loan_home_ticket*in_loan_home_comm</f>
        <v/>
      </c>
      <c r="CB305" s="40">
        <f>CB304*(1-IF(B304&gt;=in_marketplace_from,d_hz_loan_lap*G304,0)*CC304)</f>
        <v/>
      </c>
      <c r="CC305" s="11">
        <f>MIN(in_approval_cap,in_loan_lap_approval*INDEX('Age profile'!$O$2:$O$61,B305)*(1+in_approval_growth)^(D305-1))</f>
        <v/>
      </c>
      <c r="CD305" s="14">
        <f>F305*CB305*IF(B305&gt;=in_marketplace_from,d_hz_loan_lap*G305,0)*CC305*in_loan_lap_ticket*in_loan_lap_comm</f>
        <v/>
      </c>
      <c r="CE305" s="14">
        <f>AA305+AB305+AC305+AD305+AG305+AJ305+AM305+AP305+AS305+AU305+AX305+BB305+BE305+BG305+BJ305+BL305+BO305+BR305+BT305+BV305+BX305+CA305+CD305</f>
        <v/>
      </c>
    </row>
    <row r="306">
      <c r="A306" s="39" t="n">
        <v>6</v>
      </c>
      <c r="B306" s="39" t="n">
        <v>15</v>
      </c>
      <c r="C306" s="39">
        <f>A306+B306-1</f>
        <v/>
      </c>
      <c r="D306" s="39">
        <f>INT((C306-1)/12)+1</f>
        <v/>
      </c>
      <c r="E306" s="44">
        <f>INDEX(Monthly!$B$2:$B$61,A306)</f>
        <v/>
      </c>
      <c r="F306" s="44">
        <f>E306*INDEX('Age profile'!$B$2:$B$61,B306)</f>
        <v/>
      </c>
      <c r="G306" s="45">
        <f>MIN(in_takeup_cap,INDEX('Age profile'!$N$2:$N$61,B306)*(1+in_takeup_growth)^(D306-1))</f>
        <v/>
      </c>
      <c r="H306" s="11">
        <f>MIN(in_approval_cap,in_approved_first*INDEX('Age profile'!$O$2:$O$61,B306)*(1+in_approval_growth)^(D306-1))</f>
        <v/>
      </c>
      <c r="I306" s="45">
        <f>G306*MIN(in_takeup_cap,INDEX('Age profile'!$O$2:$O$61,B306)*(1+in_approval_growth)^(D306-1))</f>
        <v/>
      </c>
      <c r="J306" s="40">
        <f>(J305-L305)*F306/F305</f>
        <v/>
      </c>
      <c r="K306" s="40">
        <f>(K305-M305)*F306/F305+SUMIFS(O292:O305,B292:B305,B306-1-d_T)*F306</f>
        <v/>
      </c>
      <c r="L306" s="40">
        <f>IF(B306&gt;=in_marketplace_from,J306*d_hz*G306*in_eligible*H306,0)</f>
        <v/>
      </c>
      <c r="M306" s="40">
        <f>IF(B306&gt;=in_marketplace_from,K306*d_hz*G306*in_eligible*in_approved_repeat,0)</f>
        <v/>
      </c>
      <c r="N306" s="40">
        <f>L306+M306</f>
        <v/>
      </c>
      <c r="O306" s="46">
        <f>N306/F306</f>
        <v/>
      </c>
      <c r="P306" s="40">
        <f>F306-J306-K306</f>
        <v/>
      </c>
      <c r="Q306" s="40">
        <f>IF(B306&gt;=in_marketplace_from,(J306+K306)*d_hz*G306,0)</f>
        <v/>
      </c>
      <c r="R306" s="40">
        <f>SUMIFS(N292:N346,B292:B346,"&gt;="&amp;(B306-d_T),B292:B346,"&lt;="&amp;(B306-1))</f>
        <v/>
      </c>
      <c r="S306" s="46">
        <f>(1-d_u)*S305+IF(d_T&gt;in_topup_lag,SUMIFS(O292:O346,B292:B346,B306-in_topup_lag)-d_udrop*SUMIFS(O292:O346,B292:B346,B306-d_T),0)</f>
        <v/>
      </c>
      <c r="T306" s="40">
        <f>F306*d_u*S306</f>
        <v/>
      </c>
      <c r="U306" s="9">
        <f>L306*in_ticket+M306*d_rep_ticket</f>
        <v/>
      </c>
      <c r="V306" s="9">
        <f>U306+T306*d_topup_amt</f>
        <v/>
      </c>
      <c r="W306" s="40">
        <f>N306+T306*d_topup_ratio</f>
        <v/>
      </c>
      <c r="X306" s="40">
        <f>SUMIFS(W292:W346,B292:B346,B306-in_dpd_lag)*d_cured</f>
        <v/>
      </c>
      <c r="Y306" s="40">
        <f>SUMIFS(W292:W346,B292:B346,B306-in_rec_lag)*d_recd</f>
        <v/>
      </c>
      <c r="Z306" s="40">
        <f>IF(AND(B306&gt;=in_marketplace_from,B306&lt;in_marketplace_from+in_card_months),in_card_share/in_card_months*F306*I306,IF(AND(B306&gt;=in_marketplace_from+in_card_months,B306&lt;in_marketplace_from+2*in_card_months),in_card_share*d_card_rem/in_card_months*F306*MIN(in_takeup_cap,(1+in_takeup_growth)^(D306-1))*MIN(in_takeup_cap,(1+in_approval_growth)^(D306-1)),0))</f>
        <v/>
      </c>
      <c r="AA306" s="14">
        <f>V306*in_fee*(1-in_taken_back)</f>
        <v/>
      </c>
      <c r="AB306" s="14">
        <f>SUMIFS(W292:W346,B292:B346,B306-in_dpd_lag)*d_dpd</f>
        <v/>
      </c>
      <c r="AC306" s="14">
        <f>SUMIFS(W292:W346,B292:B346,B306-in_rec_lag)*d_rec</f>
        <v/>
      </c>
      <c r="AD306" s="14">
        <f>Z306*in_card_fee</f>
        <v/>
      </c>
      <c r="AE306" s="40">
        <f>AE305*(1-IF(B305&gt;=in_marketplace_from,d_hz_hlth_small*G305,0))</f>
        <v/>
      </c>
      <c r="AF306" s="46">
        <f>AE306*IF(B306&gt;=in_marketplace_from,d_hz_hlth_small*G306,0)</f>
        <v/>
      </c>
      <c r="AG306" s="14">
        <f>F306*AF306*in_hlth_small_ticket*in_hlth_small_comm*in_ins_partner_share+F306*in_hlth_small_ticket*in_hlth_small_renew_comm*in_ins_partner_share*(in_hlth_small_renew^1*SUMIFS(AF292:AF346,B292:B346,B306-12)+in_hlth_small_renew^2*SUMIFS(AF292:AF346,B292:B346,B306-24)+in_hlth_small_renew^3*SUMIFS(AF292:AF346,B292:B346,B306-36)+in_hlth_small_renew^4*SUMIFS(AF292:AF346,B292:B346,B306-48))</f>
        <v/>
      </c>
      <c r="AH306" s="40">
        <f>AH305*(1-IF(B305&gt;=in_marketplace_from,d_hz_hlth_family*G305,0))</f>
        <v/>
      </c>
      <c r="AI306" s="46">
        <f>AH306*IF(B306&gt;=in_marketplace_from,d_hz_hlth_family*G306,0)</f>
        <v/>
      </c>
      <c r="AJ306" s="14">
        <f>F306*AI306*in_hlth_family_ticket*in_hlth_family_comm*in_ins_partner_share+F306*in_hlth_family_ticket*in_hlth_family_renew_comm*in_ins_partner_share*(in_hlth_family_renew^1*SUMIFS(AI292:AI346,B292:B346,B306-12)+in_hlth_family_renew^2*SUMIFS(AI292:AI346,B292:B346,B306-24)+in_hlth_family_renew^3*SUMIFS(AI292:AI346,B292:B346,B306-36)+in_hlth_family_renew^4*SUMIFS(AI292:AI346,B292:B346,B306-48))</f>
        <v/>
      </c>
      <c r="AK306" s="40">
        <f>AK305*(1-IF(B305&gt;=in_marketplace_from,d_hz_life_term*G305,0))</f>
        <v/>
      </c>
      <c r="AL306" s="46">
        <f>AK306*IF(B306&gt;=in_marketplace_from,d_hz_life_term*G306,0)</f>
        <v/>
      </c>
      <c r="AM306" s="14">
        <f>F306*AL306*in_life_term_ticket*in_life_term_comm*in_ins_partner_share+F306*in_life_term_ticket*in_life_term_renew_comm*in_ins_partner_share*(in_life_term_renew^1*SUMIFS(AL292:AL346,B292:B346,B306-12)+in_life_term_renew^2*SUMIFS(AL292:AL346,B292:B346,B306-24)+in_life_term_renew^3*SUMIFS(AL292:AL346,B292:B346,B306-36)+in_life_term_renew^4*SUMIFS(AL292:AL346,B292:B346,B306-48))</f>
        <v/>
      </c>
      <c r="AN306" s="40">
        <f>AN305*(1-IF(B305&gt;=in_marketplace_from,d_hz_accident*G305,0))</f>
        <v/>
      </c>
      <c r="AO306" s="46">
        <f>AN306*IF(B306&gt;=in_marketplace_from,d_hz_accident*G306,0)</f>
        <v/>
      </c>
      <c r="AP306" s="14">
        <f>F306*AO306*in_accident_ticket*in_accident_comm*in_ins_partner_share+F306*in_accident_ticket*in_accident_renew_comm*in_ins_partner_share*(in_accident_renew^1*SUMIFS(AO292:AO346,B292:B346,B306-12)+in_accident_renew^2*SUMIFS(AO292:AO346,B292:B346,B306-24)+in_accident_renew^3*SUMIFS(AO292:AO346,B292:B346,B306-36)+in_accident_renew^4*SUMIFS(AO292:AO346,B292:B346,B306-48))</f>
        <v/>
      </c>
      <c r="AQ306" s="40">
        <f>AQ305*(1-IF(B305&gt;=in_marketplace_from,d_hz_two_wheeler*G305,0))</f>
        <v/>
      </c>
      <c r="AR306" s="46">
        <f>AQ306*IF(B306&gt;=in_marketplace_from,d_hz_two_wheeler*G306,0)</f>
        <v/>
      </c>
      <c r="AS306" s="14">
        <f>F306*AR306*in_two_wheeler_ticket*in_two_wheeler_comm*in_ins_partner_share+F306*in_two_wheeler_ticket*in_two_wheeler_comm*in_ins_partner_share*(in_two_wheeler_renew^1*SUMIFS(AR292:AR346,B292:B346,B306-12)+in_two_wheeler_renew^2*SUMIFS(AR292:AR346,B292:B346,B306-24)+in_two_wheeler_renew^3*SUMIFS(AR292:AR346,B292:B346,B306-36)+in_two_wheeler_renew^4*SUMIFS(AR292:AR346,B292:B346,B306-48))</f>
        <v/>
      </c>
      <c r="AT306" s="40">
        <f>AT305*(1-IF(B305&gt;=in_marketplace_from,d_hz_device*G305,0))</f>
        <v/>
      </c>
      <c r="AU306" s="14">
        <f>F306*AT306*IF(B306&gt;=in_marketplace_from,d_hz_device*G306,0)*in_device_ticket*in_device_comm*in_ins_partner_share</f>
        <v/>
      </c>
      <c r="AV306" s="40">
        <f>AV305*(1-IF(B305&gt;=in_marketplace_from,d_hz_shop*G305,0))</f>
        <v/>
      </c>
      <c r="AW306" s="46">
        <f>AV306*IF(B306&gt;=in_marketplace_from,d_hz_shop*G306,0)</f>
        <v/>
      </c>
      <c r="AX306" s="14">
        <f>F306*AW306*in_shop_ticket*in_shop_comm*in_ins_partner_share+F306*in_shop_ticket*in_shop_renew_comm*in_ins_partner_share*(in_shop_renew^1*SUMIFS(AW292:AW346,B292:B346,B306-12)+in_shop_renew^2*SUMIFS(AW292:AW346,B292:B346,B306-24)+in_shop_renew^3*SUMIFS(AW292:AW346,B292:B346,B306-36)+in_shop_renew^4*SUMIFS(AW292:AW346,B292:B346,B306-48))</f>
        <v/>
      </c>
      <c r="AY306" s="40">
        <f>AY305*(1-IF(B305&gt;=in_marketplace_from,d_hz_sip*G305,0))</f>
        <v/>
      </c>
      <c r="AZ306" s="40">
        <f>AZ305*d_rho_sip+AY306*IF(B306&gt;=in_marketplace_from,d_hz_sip*G306,0)</f>
        <v/>
      </c>
      <c r="BA306" s="40">
        <f>d_rho_sip*(BA305+AZ305)</f>
        <v/>
      </c>
      <c r="BB306" s="14">
        <f>F306*in_sip_ticket*(BA306+0.5*AZ306)*in_sip_comm/12</f>
        <v/>
      </c>
      <c r="BC306" s="40">
        <f>BC305*(1-IF(B305&gt;=in_marketplace_from,d_hz_choti*G305,0))</f>
        <v/>
      </c>
      <c r="BD306" s="46">
        <f>BC306*IF(B306&gt;=in_marketplace_from,d_hz_choti*G306,0)</f>
        <v/>
      </c>
      <c r="BE306" s="14">
        <f>F306*SUMIFS(BD292:BD346,B292:B346,B306-in_choti_months)*in_choti_renew*in_choti_ticket</f>
        <v/>
      </c>
      <c r="BF306" s="40">
        <f>BF305*(1-IF(B305&gt;=in_marketplace_from,d_hz_nps*G305,0))</f>
        <v/>
      </c>
      <c r="BG306" s="14">
        <f>F306*BF306*IF(B306&gt;=in_marketplace_from,d_hz_nps*G306,0)*in_nps_ticket*in_nps_comm</f>
        <v/>
      </c>
      <c r="BH306" s="40">
        <f>BH305*(1-IF(B305&gt;=in_marketplace_from,d_hz_gold*G305,0))</f>
        <v/>
      </c>
      <c r="BI306" s="40">
        <f>BI305*d_rho_gold+BH306*IF(B306&gt;=in_marketplace_from,d_hz_gold*G306,0)</f>
        <v/>
      </c>
      <c r="BJ306" s="14">
        <f>F306*BI306*in_gold_ticket*in_gold_comm</f>
        <v/>
      </c>
      <c r="BK306" s="40">
        <f>BK305*(1-IF(B305&gt;=in_marketplace_from,d_hz_fd*G305,0))</f>
        <v/>
      </c>
      <c r="BL306" s="14">
        <f>F306*BK306*IF(B306&gt;=in_marketplace_from,d_hz_fd*G306,0)*in_fd_ticket*in_fd_comm</f>
        <v/>
      </c>
      <c r="BM306" s="40">
        <f>BM305*(1-IF(B305&gt;=in_marketplace_from,d_hz_recharge*G305,0))</f>
        <v/>
      </c>
      <c r="BN306" s="40">
        <f>BN305*d_rho_recharge+BM306*IF(B306&gt;=in_marketplace_from,d_hz_recharge*G306,0)</f>
        <v/>
      </c>
      <c r="BO306" s="14">
        <f>F306*BN306*in_recharge_ticket*in_recharge_comm/12</f>
        <v/>
      </c>
      <c r="BP306" s="40">
        <f>BP305*(1-IF(B305&gt;=in_marketplace_from,d_hz_bills*G305,0))</f>
        <v/>
      </c>
      <c r="BQ306" s="40">
        <f>BQ305*d_rho_bills+BP306*IF(B306&gt;=in_marketplace_from,d_hz_bills*G306,0)</f>
        <v/>
      </c>
      <c r="BR306" s="14">
        <f>F306*BQ306*in_bills_ticket*in_bills_comm/12</f>
        <v/>
      </c>
      <c r="BS306" s="40">
        <f>BS305*(1-IF(B305&gt;=in_marketplace_from,d_hz_loan_gold*G305,0))</f>
        <v/>
      </c>
      <c r="BT306" s="14">
        <f>F306*BS306*IF(B306&gt;=in_marketplace_from,d_hz_loan_gold*G306,0)*in_loan_gold_ticket*in_loan_gold_comm</f>
        <v/>
      </c>
      <c r="BU306" s="40">
        <f>BU305*(1-IF(B305&gt;=in_marketplace_from,d_hz_loan_cd*G305,0))</f>
        <v/>
      </c>
      <c r="BV306" s="14">
        <f>F306*BU306*IF(B306&gt;=in_marketplace_from,d_hz_loan_cd*G306,0)*in_loan_cd_ticket*in_loan_cd_comm</f>
        <v/>
      </c>
      <c r="BW306" s="40">
        <f>BW305*(1-IF(B305&gt;=in_marketplace_from,d_hz_loan_vehicle*G305,0))</f>
        <v/>
      </c>
      <c r="BX306" s="14">
        <f>F306*BW306*IF(B306&gt;=in_marketplace_from,d_hz_loan_vehicle*G306,0)*in_loan_vehicle_ticket*in_loan_vehicle_comm</f>
        <v/>
      </c>
      <c r="BY306" s="40">
        <f>BY305*(1-IF(B305&gt;=in_marketplace_from,d_hz_loan_home*G305,0)*BZ305)</f>
        <v/>
      </c>
      <c r="BZ306" s="11">
        <f>MIN(in_approval_cap,in_loan_home_approval*INDEX('Age profile'!$O$2:$O$61,B306)*(1+in_approval_growth)^(D306-1))</f>
        <v/>
      </c>
      <c r="CA306" s="14">
        <f>F306*BY306*IF(B306&gt;=in_marketplace_from,d_hz_loan_home*G306,0)*BZ306*in_loan_home_ticket*in_loan_home_comm</f>
        <v/>
      </c>
      <c r="CB306" s="40">
        <f>CB305*(1-IF(B305&gt;=in_marketplace_from,d_hz_loan_lap*G305,0)*CC305)</f>
        <v/>
      </c>
      <c r="CC306" s="11">
        <f>MIN(in_approval_cap,in_loan_lap_approval*INDEX('Age profile'!$O$2:$O$61,B306)*(1+in_approval_growth)^(D306-1))</f>
        <v/>
      </c>
      <c r="CD306" s="14">
        <f>F306*CB306*IF(B306&gt;=in_marketplace_from,d_hz_loan_lap*G306,0)*CC306*in_loan_lap_ticket*in_loan_lap_comm</f>
        <v/>
      </c>
      <c r="CE306" s="14">
        <f>AA306+AB306+AC306+AD306+AG306+AJ306+AM306+AP306+AS306+AU306+AX306+BB306+BE306+BG306+BJ306+BL306+BO306+BR306+BT306+BV306+BX306+CA306+CD306</f>
        <v/>
      </c>
    </row>
    <row r="307">
      <c r="A307" s="39" t="n">
        <v>6</v>
      </c>
      <c r="B307" s="39" t="n">
        <v>16</v>
      </c>
      <c r="C307" s="39">
        <f>A307+B307-1</f>
        <v/>
      </c>
      <c r="D307" s="39">
        <f>INT((C307-1)/12)+1</f>
        <v/>
      </c>
      <c r="E307" s="44">
        <f>INDEX(Monthly!$B$2:$B$61,A307)</f>
        <v/>
      </c>
      <c r="F307" s="44">
        <f>E307*INDEX('Age profile'!$B$2:$B$61,B307)</f>
        <v/>
      </c>
      <c r="G307" s="45">
        <f>MIN(in_takeup_cap,INDEX('Age profile'!$N$2:$N$61,B307)*(1+in_takeup_growth)^(D307-1))</f>
        <v/>
      </c>
      <c r="H307" s="11">
        <f>MIN(in_approval_cap,in_approved_first*INDEX('Age profile'!$O$2:$O$61,B307)*(1+in_approval_growth)^(D307-1))</f>
        <v/>
      </c>
      <c r="I307" s="45">
        <f>G307*MIN(in_takeup_cap,INDEX('Age profile'!$O$2:$O$61,B307)*(1+in_approval_growth)^(D307-1))</f>
        <v/>
      </c>
      <c r="J307" s="40">
        <f>(J306-L306)*F307/F306</f>
        <v/>
      </c>
      <c r="K307" s="40">
        <f>(K306-M306)*F307/F306+SUMIFS(O292:O306,B292:B306,B307-1-d_T)*F307</f>
        <v/>
      </c>
      <c r="L307" s="40">
        <f>IF(B307&gt;=in_marketplace_from,J307*d_hz*G307*in_eligible*H307,0)</f>
        <v/>
      </c>
      <c r="M307" s="40">
        <f>IF(B307&gt;=in_marketplace_from,K307*d_hz*G307*in_eligible*in_approved_repeat,0)</f>
        <v/>
      </c>
      <c r="N307" s="40">
        <f>L307+M307</f>
        <v/>
      </c>
      <c r="O307" s="46">
        <f>N307/F307</f>
        <v/>
      </c>
      <c r="P307" s="40">
        <f>F307-J307-K307</f>
        <v/>
      </c>
      <c r="Q307" s="40">
        <f>IF(B307&gt;=in_marketplace_from,(J307+K307)*d_hz*G307,0)</f>
        <v/>
      </c>
      <c r="R307" s="40">
        <f>SUMIFS(N292:N346,B292:B346,"&gt;="&amp;(B307-d_T),B292:B346,"&lt;="&amp;(B307-1))</f>
        <v/>
      </c>
      <c r="S307" s="46">
        <f>(1-d_u)*S306+IF(d_T&gt;in_topup_lag,SUMIFS(O292:O346,B292:B346,B307-in_topup_lag)-d_udrop*SUMIFS(O292:O346,B292:B346,B307-d_T),0)</f>
        <v/>
      </c>
      <c r="T307" s="40">
        <f>F307*d_u*S307</f>
        <v/>
      </c>
      <c r="U307" s="9">
        <f>L307*in_ticket+M307*d_rep_ticket</f>
        <v/>
      </c>
      <c r="V307" s="9">
        <f>U307+T307*d_topup_amt</f>
        <v/>
      </c>
      <c r="W307" s="40">
        <f>N307+T307*d_topup_ratio</f>
        <v/>
      </c>
      <c r="X307" s="40">
        <f>SUMIFS(W292:W346,B292:B346,B307-in_dpd_lag)*d_cured</f>
        <v/>
      </c>
      <c r="Y307" s="40">
        <f>SUMIFS(W292:W346,B292:B346,B307-in_rec_lag)*d_recd</f>
        <v/>
      </c>
      <c r="Z307" s="40">
        <f>IF(AND(B307&gt;=in_marketplace_from,B307&lt;in_marketplace_from+in_card_months),in_card_share/in_card_months*F307*I307,IF(AND(B307&gt;=in_marketplace_from+in_card_months,B307&lt;in_marketplace_from+2*in_card_months),in_card_share*d_card_rem/in_card_months*F307*MIN(in_takeup_cap,(1+in_takeup_growth)^(D307-1))*MIN(in_takeup_cap,(1+in_approval_growth)^(D307-1)),0))</f>
        <v/>
      </c>
      <c r="AA307" s="14">
        <f>V307*in_fee*(1-in_taken_back)</f>
        <v/>
      </c>
      <c r="AB307" s="14">
        <f>SUMIFS(W292:W346,B292:B346,B307-in_dpd_lag)*d_dpd</f>
        <v/>
      </c>
      <c r="AC307" s="14">
        <f>SUMIFS(W292:W346,B292:B346,B307-in_rec_lag)*d_rec</f>
        <v/>
      </c>
      <c r="AD307" s="14">
        <f>Z307*in_card_fee</f>
        <v/>
      </c>
      <c r="AE307" s="40">
        <f>AE306*(1-IF(B306&gt;=in_marketplace_from,d_hz_hlth_small*G306,0))</f>
        <v/>
      </c>
      <c r="AF307" s="46">
        <f>AE307*IF(B307&gt;=in_marketplace_from,d_hz_hlth_small*G307,0)</f>
        <v/>
      </c>
      <c r="AG307" s="14">
        <f>F307*AF307*in_hlth_small_ticket*in_hlth_small_comm*in_ins_partner_share+F307*in_hlth_small_ticket*in_hlth_small_renew_comm*in_ins_partner_share*(in_hlth_small_renew^1*SUMIFS(AF292:AF346,B292:B346,B307-12)+in_hlth_small_renew^2*SUMIFS(AF292:AF346,B292:B346,B307-24)+in_hlth_small_renew^3*SUMIFS(AF292:AF346,B292:B346,B307-36)+in_hlth_small_renew^4*SUMIFS(AF292:AF346,B292:B346,B307-48))</f>
        <v/>
      </c>
      <c r="AH307" s="40">
        <f>AH306*(1-IF(B306&gt;=in_marketplace_from,d_hz_hlth_family*G306,0))</f>
        <v/>
      </c>
      <c r="AI307" s="46">
        <f>AH307*IF(B307&gt;=in_marketplace_from,d_hz_hlth_family*G307,0)</f>
        <v/>
      </c>
      <c r="AJ307" s="14">
        <f>F307*AI307*in_hlth_family_ticket*in_hlth_family_comm*in_ins_partner_share+F307*in_hlth_family_ticket*in_hlth_family_renew_comm*in_ins_partner_share*(in_hlth_family_renew^1*SUMIFS(AI292:AI346,B292:B346,B307-12)+in_hlth_family_renew^2*SUMIFS(AI292:AI346,B292:B346,B307-24)+in_hlth_family_renew^3*SUMIFS(AI292:AI346,B292:B346,B307-36)+in_hlth_family_renew^4*SUMIFS(AI292:AI346,B292:B346,B307-48))</f>
        <v/>
      </c>
      <c r="AK307" s="40">
        <f>AK306*(1-IF(B306&gt;=in_marketplace_from,d_hz_life_term*G306,0))</f>
        <v/>
      </c>
      <c r="AL307" s="46">
        <f>AK307*IF(B307&gt;=in_marketplace_from,d_hz_life_term*G307,0)</f>
        <v/>
      </c>
      <c r="AM307" s="14">
        <f>F307*AL307*in_life_term_ticket*in_life_term_comm*in_ins_partner_share+F307*in_life_term_ticket*in_life_term_renew_comm*in_ins_partner_share*(in_life_term_renew^1*SUMIFS(AL292:AL346,B292:B346,B307-12)+in_life_term_renew^2*SUMIFS(AL292:AL346,B292:B346,B307-24)+in_life_term_renew^3*SUMIFS(AL292:AL346,B292:B346,B307-36)+in_life_term_renew^4*SUMIFS(AL292:AL346,B292:B346,B307-48))</f>
        <v/>
      </c>
      <c r="AN307" s="40">
        <f>AN306*(1-IF(B306&gt;=in_marketplace_from,d_hz_accident*G306,0))</f>
        <v/>
      </c>
      <c r="AO307" s="46">
        <f>AN307*IF(B307&gt;=in_marketplace_from,d_hz_accident*G307,0)</f>
        <v/>
      </c>
      <c r="AP307" s="14">
        <f>F307*AO307*in_accident_ticket*in_accident_comm*in_ins_partner_share+F307*in_accident_ticket*in_accident_renew_comm*in_ins_partner_share*(in_accident_renew^1*SUMIFS(AO292:AO346,B292:B346,B307-12)+in_accident_renew^2*SUMIFS(AO292:AO346,B292:B346,B307-24)+in_accident_renew^3*SUMIFS(AO292:AO346,B292:B346,B307-36)+in_accident_renew^4*SUMIFS(AO292:AO346,B292:B346,B307-48))</f>
        <v/>
      </c>
      <c r="AQ307" s="40">
        <f>AQ306*(1-IF(B306&gt;=in_marketplace_from,d_hz_two_wheeler*G306,0))</f>
        <v/>
      </c>
      <c r="AR307" s="46">
        <f>AQ307*IF(B307&gt;=in_marketplace_from,d_hz_two_wheeler*G307,0)</f>
        <v/>
      </c>
      <c r="AS307" s="14">
        <f>F307*AR307*in_two_wheeler_ticket*in_two_wheeler_comm*in_ins_partner_share+F307*in_two_wheeler_ticket*in_two_wheeler_comm*in_ins_partner_share*(in_two_wheeler_renew^1*SUMIFS(AR292:AR346,B292:B346,B307-12)+in_two_wheeler_renew^2*SUMIFS(AR292:AR346,B292:B346,B307-24)+in_two_wheeler_renew^3*SUMIFS(AR292:AR346,B292:B346,B307-36)+in_two_wheeler_renew^4*SUMIFS(AR292:AR346,B292:B346,B307-48))</f>
        <v/>
      </c>
      <c r="AT307" s="40">
        <f>AT306*(1-IF(B306&gt;=in_marketplace_from,d_hz_device*G306,0))</f>
        <v/>
      </c>
      <c r="AU307" s="14">
        <f>F307*AT307*IF(B307&gt;=in_marketplace_from,d_hz_device*G307,0)*in_device_ticket*in_device_comm*in_ins_partner_share</f>
        <v/>
      </c>
      <c r="AV307" s="40">
        <f>AV306*(1-IF(B306&gt;=in_marketplace_from,d_hz_shop*G306,0))</f>
        <v/>
      </c>
      <c r="AW307" s="46">
        <f>AV307*IF(B307&gt;=in_marketplace_from,d_hz_shop*G307,0)</f>
        <v/>
      </c>
      <c r="AX307" s="14">
        <f>F307*AW307*in_shop_ticket*in_shop_comm*in_ins_partner_share+F307*in_shop_ticket*in_shop_renew_comm*in_ins_partner_share*(in_shop_renew^1*SUMIFS(AW292:AW346,B292:B346,B307-12)+in_shop_renew^2*SUMIFS(AW292:AW346,B292:B346,B307-24)+in_shop_renew^3*SUMIFS(AW292:AW346,B292:B346,B307-36)+in_shop_renew^4*SUMIFS(AW292:AW346,B292:B346,B307-48))</f>
        <v/>
      </c>
      <c r="AY307" s="40">
        <f>AY306*(1-IF(B306&gt;=in_marketplace_from,d_hz_sip*G306,0))</f>
        <v/>
      </c>
      <c r="AZ307" s="40">
        <f>AZ306*d_rho_sip+AY307*IF(B307&gt;=in_marketplace_from,d_hz_sip*G307,0)</f>
        <v/>
      </c>
      <c r="BA307" s="40">
        <f>d_rho_sip*(BA306+AZ306)</f>
        <v/>
      </c>
      <c r="BB307" s="14">
        <f>F307*in_sip_ticket*(BA307+0.5*AZ307)*in_sip_comm/12</f>
        <v/>
      </c>
      <c r="BC307" s="40">
        <f>BC306*(1-IF(B306&gt;=in_marketplace_from,d_hz_choti*G306,0))</f>
        <v/>
      </c>
      <c r="BD307" s="46">
        <f>BC307*IF(B307&gt;=in_marketplace_from,d_hz_choti*G307,0)</f>
        <v/>
      </c>
      <c r="BE307" s="14">
        <f>F307*SUMIFS(BD292:BD346,B292:B346,B307-in_choti_months)*in_choti_renew*in_choti_ticket</f>
        <v/>
      </c>
      <c r="BF307" s="40">
        <f>BF306*(1-IF(B306&gt;=in_marketplace_from,d_hz_nps*G306,0))</f>
        <v/>
      </c>
      <c r="BG307" s="14">
        <f>F307*BF307*IF(B307&gt;=in_marketplace_from,d_hz_nps*G307,0)*in_nps_ticket*in_nps_comm</f>
        <v/>
      </c>
      <c r="BH307" s="40">
        <f>BH306*(1-IF(B306&gt;=in_marketplace_from,d_hz_gold*G306,0))</f>
        <v/>
      </c>
      <c r="BI307" s="40">
        <f>BI306*d_rho_gold+BH307*IF(B307&gt;=in_marketplace_from,d_hz_gold*G307,0)</f>
        <v/>
      </c>
      <c r="BJ307" s="14">
        <f>F307*BI307*in_gold_ticket*in_gold_comm</f>
        <v/>
      </c>
      <c r="BK307" s="40">
        <f>BK306*(1-IF(B306&gt;=in_marketplace_from,d_hz_fd*G306,0))</f>
        <v/>
      </c>
      <c r="BL307" s="14">
        <f>F307*BK307*IF(B307&gt;=in_marketplace_from,d_hz_fd*G307,0)*in_fd_ticket*in_fd_comm</f>
        <v/>
      </c>
      <c r="BM307" s="40">
        <f>BM306*(1-IF(B306&gt;=in_marketplace_from,d_hz_recharge*G306,0))</f>
        <v/>
      </c>
      <c r="BN307" s="40">
        <f>BN306*d_rho_recharge+BM307*IF(B307&gt;=in_marketplace_from,d_hz_recharge*G307,0)</f>
        <v/>
      </c>
      <c r="BO307" s="14">
        <f>F307*BN307*in_recharge_ticket*in_recharge_comm/12</f>
        <v/>
      </c>
      <c r="BP307" s="40">
        <f>BP306*(1-IF(B306&gt;=in_marketplace_from,d_hz_bills*G306,0))</f>
        <v/>
      </c>
      <c r="BQ307" s="40">
        <f>BQ306*d_rho_bills+BP307*IF(B307&gt;=in_marketplace_from,d_hz_bills*G307,0)</f>
        <v/>
      </c>
      <c r="BR307" s="14">
        <f>F307*BQ307*in_bills_ticket*in_bills_comm/12</f>
        <v/>
      </c>
      <c r="BS307" s="40">
        <f>BS306*(1-IF(B306&gt;=in_marketplace_from,d_hz_loan_gold*G306,0))</f>
        <v/>
      </c>
      <c r="BT307" s="14">
        <f>F307*BS307*IF(B307&gt;=in_marketplace_from,d_hz_loan_gold*G307,0)*in_loan_gold_ticket*in_loan_gold_comm</f>
        <v/>
      </c>
      <c r="BU307" s="40">
        <f>BU306*(1-IF(B306&gt;=in_marketplace_from,d_hz_loan_cd*G306,0))</f>
        <v/>
      </c>
      <c r="BV307" s="14">
        <f>F307*BU307*IF(B307&gt;=in_marketplace_from,d_hz_loan_cd*G307,0)*in_loan_cd_ticket*in_loan_cd_comm</f>
        <v/>
      </c>
      <c r="BW307" s="40">
        <f>BW306*(1-IF(B306&gt;=in_marketplace_from,d_hz_loan_vehicle*G306,0))</f>
        <v/>
      </c>
      <c r="BX307" s="14">
        <f>F307*BW307*IF(B307&gt;=in_marketplace_from,d_hz_loan_vehicle*G307,0)*in_loan_vehicle_ticket*in_loan_vehicle_comm</f>
        <v/>
      </c>
      <c r="BY307" s="40">
        <f>BY306*(1-IF(B306&gt;=in_marketplace_from,d_hz_loan_home*G306,0)*BZ306)</f>
        <v/>
      </c>
      <c r="BZ307" s="11">
        <f>MIN(in_approval_cap,in_loan_home_approval*INDEX('Age profile'!$O$2:$O$61,B307)*(1+in_approval_growth)^(D307-1))</f>
        <v/>
      </c>
      <c r="CA307" s="14">
        <f>F307*BY307*IF(B307&gt;=in_marketplace_from,d_hz_loan_home*G307,0)*BZ307*in_loan_home_ticket*in_loan_home_comm</f>
        <v/>
      </c>
      <c r="CB307" s="40">
        <f>CB306*(1-IF(B306&gt;=in_marketplace_from,d_hz_loan_lap*G306,0)*CC306)</f>
        <v/>
      </c>
      <c r="CC307" s="11">
        <f>MIN(in_approval_cap,in_loan_lap_approval*INDEX('Age profile'!$O$2:$O$61,B307)*(1+in_approval_growth)^(D307-1))</f>
        <v/>
      </c>
      <c r="CD307" s="14">
        <f>F307*CB307*IF(B307&gt;=in_marketplace_from,d_hz_loan_lap*G307,0)*CC307*in_loan_lap_ticket*in_loan_lap_comm</f>
        <v/>
      </c>
      <c r="CE307" s="14">
        <f>AA307+AB307+AC307+AD307+AG307+AJ307+AM307+AP307+AS307+AU307+AX307+BB307+BE307+BG307+BJ307+BL307+BO307+BR307+BT307+BV307+BX307+CA307+CD307</f>
        <v/>
      </c>
    </row>
    <row r="308">
      <c r="A308" s="39" t="n">
        <v>6</v>
      </c>
      <c r="B308" s="39" t="n">
        <v>17</v>
      </c>
      <c r="C308" s="39">
        <f>A308+B308-1</f>
        <v/>
      </c>
      <c r="D308" s="39">
        <f>INT((C308-1)/12)+1</f>
        <v/>
      </c>
      <c r="E308" s="44">
        <f>INDEX(Monthly!$B$2:$B$61,A308)</f>
        <v/>
      </c>
      <c r="F308" s="44">
        <f>E308*INDEX('Age profile'!$B$2:$B$61,B308)</f>
        <v/>
      </c>
      <c r="G308" s="45">
        <f>MIN(in_takeup_cap,INDEX('Age profile'!$N$2:$N$61,B308)*(1+in_takeup_growth)^(D308-1))</f>
        <v/>
      </c>
      <c r="H308" s="11">
        <f>MIN(in_approval_cap,in_approved_first*INDEX('Age profile'!$O$2:$O$61,B308)*(1+in_approval_growth)^(D308-1))</f>
        <v/>
      </c>
      <c r="I308" s="45">
        <f>G308*MIN(in_takeup_cap,INDEX('Age profile'!$O$2:$O$61,B308)*(1+in_approval_growth)^(D308-1))</f>
        <v/>
      </c>
      <c r="J308" s="40">
        <f>(J307-L307)*F308/F307</f>
        <v/>
      </c>
      <c r="K308" s="40">
        <f>(K307-M307)*F308/F307+SUMIFS(O292:O307,B292:B307,B308-1-d_T)*F308</f>
        <v/>
      </c>
      <c r="L308" s="40">
        <f>IF(B308&gt;=in_marketplace_from,J308*d_hz*G308*in_eligible*H308,0)</f>
        <v/>
      </c>
      <c r="M308" s="40">
        <f>IF(B308&gt;=in_marketplace_from,K308*d_hz*G308*in_eligible*in_approved_repeat,0)</f>
        <v/>
      </c>
      <c r="N308" s="40">
        <f>L308+M308</f>
        <v/>
      </c>
      <c r="O308" s="46">
        <f>N308/F308</f>
        <v/>
      </c>
      <c r="P308" s="40">
        <f>F308-J308-K308</f>
        <v/>
      </c>
      <c r="Q308" s="40">
        <f>IF(B308&gt;=in_marketplace_from,(J308+K308)*d_hz*G308,0)</f>
        <v/>
      </c>
      <c r="R308" s="40">
        <f>SUMIFS(N292:N346,B292:B346,"&gt;="&amp;(B308-d_T),B292:B346,"&lt;="&amp;(B308-1))</f>
        <v/>
      </c>
      <c r="S308" s="46">
        <f>(1-d_u)*S307+IF(d_T&gt;in_topup_lag,SUMIFS(O292:O346,B292:B346,B308-in_topup_lag)-d_udrop*SUMIFS(O292:O346,B292:B346,B308-d_T),0)</f>
        <v/>
      </c>
      <c r="T308" s="40">
        <f>F308*d_u*S308</f>
        <v/>
      </c>
      <c r="U308" s="9">
        <f>L308*in_ticket+M308*d_rep_ticket</f>
        <v/>
      </c>
      <c r="V308" s="9">
        <f>U308+T308*d_topup_amt</f>
        <v/>
      </c>
      <c r="W308" s="40">
        <f>N308+T308*d_topup_ratio</f>
        <v/>
      </c>
      <c r="X308" s="40">
        <f>SUMIFS(W292:W346,B292:B346,B308-in_dpd_lag)*d_cured</f>
        <v/>
      </c>
      <c r="Y308" s="40">
        <f>SUMIFS(W292:W346,B292:B346,B308-in_rec_lag)*d_recd</f>
        <v/>
      </c>
      <c r="Z308" s="40">
        <f>IF(AND(B308&gt;=in_marketplace_from,B308&lt;in_marketplace_from+in_card_months),in_card_share/in_card_months*F308*I308,IF(AND(B308&gt;=in_marketplace_from+in_card_months,B308&lt;in_marketplace_from+2*in_card_months),in_card_share*d_card_rem/in_card_months*F308*MIN(in_takeup_cap,(1+in_takeup_growth)^(D308-1))*MIN(in_takeup_cap,(1+in_approval_growth)^(D308-1)),0))</f>
        <v/>
      </c>
      <c r="AA308" s="14">
        <f>V308*in_fee*(1-in_taken_back)</f>
        <v/>
      </c>
      <c r="AB308" s="14">
        <f>SUMIFS(W292:W346,B292:B346,B308-in_dpd_lag)*d_dpd</f>
        <v/>
      </c>
      <c r="AC308" s="14">
        <f>SUMIFS(W292:W346,B292:B346,B308-in_rec_lag)*d_rec</f>
        <v/>
      </c>
      <c r="AD308" s="14">
        <f>Z308*in_card_fee</f>
        <v/>
      </c>
      <c r="AE308" s="40">
        <f>AE307*(1-IF(B307&gt;=in_marketplace_from,d_hz_hlth_small*G307,0))</f>
        <v/>
      </c>
      <c r="AF308" s="46">
        <f>AE308*IF(B308&gt;=in_marketplace_from,d_hz_hlth_small*G308,0)</f>
        <v/>
      </c>
      <c r="AG308" s="14">
        <f>F308*AF308*in_hlth_small_ticket*in_hlth_small_comm*in_ins_partner_share+F308*in_hlth_small_ticket*in_hlth_small_renew_comm*in_ins_partner_share*(in_hlth_small_renew^1*SUMIFS(AF292:AF346,B292:B346,B308-12)+in_hlth_small_renew^2*SUMIFS(AF292:AF346,B292:B346,B308-24)+in_hlth_small_renew^3*SUMIFS(AF292:AF346,B292:B346,B308-36)+in_hlth_small_renew^4*SUMIFS(AF292:AF346,B292:B346,B308-48))</f>
        <v/>
      </c>
      <c r="AH308" s="40">
        <f>AH307*(1-IF(B307&gt;=in_marketplace_from,d_hz_hlth_family*G307,0))</f>
        <v/>
      </c>
      <c r="AI308" s="46">
        <f>AH308*IF(B308&gt;=in_marketplace_from,d_hz_hlth_family*G308,0)</f>
        <v/>
      </c>
      <c r="AJ308" s="14">
        <f>F308*AI308*in_hlth_family_ticket*in_hlth_family_comm*in_ins_partner_share+F308*in_hlth_family_ticket*in_hlth_family_renew_comm*in_ins_partner_share*(in_hlth_family_renew^1*SUMIFS(AI292:AI346,B292:B346,B308-12)+in_hlth_family_renew^2*SUMIFS(AI292:AI346,B292:B346,B308-24)+in_hlth_family_renew^3*SUMIFS(AI292:AI346,B292:B346,B308-36)+in_hlth_family_renew^4*SUMIFS(AI292:AI346,B292:B346,B308-48))</f>
        <v/>
      </c>
      <c r="AK308" s="40">
        <f>AK307*(1-IF(B307&gt;=in_marketplace_from,d_hz_life_term*G307,0))</f>
        <v/>
      </c>
      <c r="AL308" s="46">
        <f>AK308*IF(B308&gt;=in_marketplace_from,d_hz_life_term*G308,0)</f>
        <v/>
      </c>
      <c r="AM308" s="14">
        <f>F308*AL308*in_life_term_ticket*in_life_term_comm*in_ins_partner_share+F308*in_life_term_ticket*in_life_term_renew_comm*in_ins_partner_share*(in_life_term_renew^1*SUMIFS(AL292:AL346,B292:B346,B308-12)+in_life_term_renew^2*SUMIFS(AL292:AL346,B292:B346,B308-24)+in_life_term_renew^3*SUMIFS(AL292:AL346,B292:B346,B308-36)+in_life_term_renew^4*SUMIFS(AL292:AL346,B292:B346,B308-48))</f>
        <v/>
      </c>
      <c r="AN308" s="40">
        <f>AN307*(1-IF(B307&gt;=in_marketplace_from,d_hz_accident*G307,0))</f>
        <v/>
      </c>
      <c r="AO308" s="46">
        <f>AN308*IF(B308&gt;=in_marketplace_from,d_hz_accident*G308,0)</f>
        <v/>
      </c>
      <c r="AP308" s="14">
        <f>F308*AO308*in_accident_ticket*in_accident_comm*in_ins_partner_share+F308*in_accident_ticket*in_accident_renew_comm*in_ins_partner_share*(in_accident_renew^1*SUMIFS(AO292:AO346,B292:B346,B308-12)+in_accident_renew^2*SUMIFS(AO292:AO346,B292:B346,B308-24)+in_accident_renew^3*SUMIFS(AO292:AO346,B292:B346,B308-36)+in_accident_renew^4*SUMIFS(AO292:AO346,B292:B346,B308-48))</f>
        <v/>
      </c>
      <c r="AQ308" s="40">
        <f>AQ307*(1-IF(B307&gt;=in_marketplace_from,d_hz_two_wheeler*G307,0))</f>
        <v/>
      </c>
      <c r="AR308" s="46">
        <f>AQ308*IF(B308&gt;=in_marketplace_from,d_hz_two_wheeler*G308,0)</f>
        <v/>
      </c>
      <c r="AS308" s="14">
        <f>F308*AR308*in_two_wheeler_ticket*in_two_wheeler_comm*in_ins_partner_share+F308*in_two_wheeler_ticket*in_two_wheeler_comm*in_ins_partner_share*(in_two_wheeler_renew^1*SUMIFS(AR292:AR346,B292:B346,B308-12)+in_two_wheeler_renew^2*SUMIFS(AR292:AR346,B292:B346,B308-24)+in_two_wheeler_renew^3*SUMIFS(AR292:AR346,B292:B346,B308-36)+in_two_wheeler_renew^4*SUMIFS(AR292:AR346,B292:B346,B308-48))</f>
        <v/>
      </c>
      <c r="AT308" s="40">
        <f>AT307*(1-IF(B307&gt;=in_marketplace_from,d_hz_device*G307,0))</f>
        <v/>
      </c>
      <c r="AU308" s="14">
        <f>F308*AT308*IF(B308&gt;=in_marketplace_from,d_hz_device*G308,0)*in_device_ticket*in_device_comm*in_ins_partner_share</f>
        <v/>
      </c>
      <c r="AV308" s="40">
        <f>AV307*(1-IF(B307&gt;=in_marketplace_from,d_hz_shop*G307,0))</f>
        <v/>
      </c>
      <c r="AW308" s="46">
        <f>AV308*IF(B308&gt;=in_marketplace_from,d_hz_shop*G308,0)</f>
        <v/>
      </c>
      <c r="AX308" s="14">
        <f>F308*AW308*in_shop_ticket*in_shop_comm*in_ins_partner_share+F308*in_shop_ticket*in_shop_renew_comm*in_ins_partner_share*(in_shop_renew^1*SUMIFS(AW292:AW346,B292:B346,B308-12)+in_shop_renew^2*SUMIFS(AW292:AW346,B292:B346,B308-24)+in_shop_renew^3*SUMIFS(AW292:AW346,B292:B346,B308-36)+in_shop_renew^4*SUMIFS(AW292:AW346,B292:B346,B308-48))</f>
        <v/>
      </c>
      <c r="AY308" s="40">
        <f>AY307*(1-IF(B307&gt;=in_marketplace_from,d_hz_sip*G307,0))</f>
        <v/>
      </c>
      <c r="AZ308" s="40">
        <f>AZ307*d_rho_sip+AY308*IF(B308&gt;=in_marketplace_from,d_hz_sip*G308,0)</f>
        <v/>
      </c>
      <c r="BA308" s="40">
        <f>d_rho_sip*(BA307+AZ307)</f>
        <v/>
      </c>
      <c r="BB308" s="14">
        <f>F308*in_sip_ticket*(BA308+0.5*AZ308)*in_sip_comm/12</f>
        <v/>
      </c>
      <c r="BC308" s="40">
        <f>BC307*(1-IF(B307&gt;=in_marketplace_from,d_hz_choti*G307,0))</f>
        <v/>
      </c>
      <c r="BD308" s="46">
        <f>BC308*IF(B308&gt;=in_marketplace_from,d_hz_choti*G308,0)</f>
        <v/>
      </c>
      <c r="BE308" s="14">
        <f>F308*SUMIFS(BD292:BD346,B292:B346,B308-in_choti_months)*in_choti_renew*in_choti_ticket</f>
        <v/>
      </c>
      <c r="BF308" s="40">
        <f>BF307*(1-IF(B307&gt;=in_marketplace_from,d_hz_nps*G307,0))</f>
        <v/>
      </c>
      <c r="BG308" s="14">
        <f>F308*BF308*IF(B308&gt;=in_marketplace_from,d_hz_nps*G308,0)*in_nps_ticket*in_nps_comm</f>
        <v/>
      </c>
      <c r="BH308" s="40">
        <f>BH307*(1-IF(B307&gt;=in_marketplace_from,d_hz_gold*G307,0))</f>
        <v/>
      </c>
      <c r="BI308" s="40">
        <f>BI307*d_rho_gold+BH308*IF(B308&gt;=in_marketplace_from,d_hz_gold*G308,0)</f>
        <v/>
      </c>
      <c r="BJ308" s="14">
        <f>F308*BI308*in_gold_ticket*in_gold_comm</f>
        <v/>
      </c>
      <c r="BK308" s="40">
        <f>BK307*(1-IF(B307&gt;=in_marketplace_from,d_hz_fd*G307,0))</f>
        <v/>
      </c>
      <c r="BL308" s="14">
        <f>F308*BK308*IF(B308&gt;=in_marketplace_from,d_hz_fd*G308,0)*in_fd_ticket*in_fd_comm</f>
        <v/>
      </c>
      <c r="BM308" s="40">
        <f>BM307*(1-IF(B307&gt;=in_marketplace_from,d_hz_recharge*G307,0))</f>
        <v/>
      </c>
      <c r="BN308" s="40">
        <f>BN307*d_rho_recharge+BM308*IF(B308&gt;=in_marketplace_from,d_hz_recharge*G308,0)</f>
        <v/>
      </c>
      <c r="BO308" s="14">
        <f>F308*BN308*in_recharge_ticket*in_recharge_comm/12</f>
        <v/>
      </c>
      <c r="BP308" s="40">
        <f>BP307*(1-IF(B307&gt;=in_marketplace_from,d_hz_bills*G307,0))</f>
        <v/>
      </c>
      <c r="BQ308" s="40">
        <f>BQ307*d_rho_bills+BP308*IF(B308&gt;=in_marketplace_from,d_hz_bills*G308,0)</f>
        <v/>
      </c>
      <c r="BR308" s="14">
        <f>F308*BQ308*in_bills_ticket*in_bills_comm/12</f>
        <v/>
      </c>
      <c r="BS308" s="40">
        <f>BS307*(1-IF(B307&gt;=in_marketplace_from,d_hz_loan_gold*G307,0))</f>
        <v/>
      </c>
      <c r="BT308" s="14">
        <f>F308*BS308*IF(B308&gt;=in_marketplace_from,d_hz_loan_gold*G308,0)*in_loan_gold_ticket*in_loan_gold_comm</f>
        <v/>
      </c>
      <c r="BU308" s="40">
        <f>BU307*(1-IF(B307&gt;=in_marketplace_from,d_hz_loan_cd*G307,0))</f>
        <v/>
      </c>
      <c r="BV308" s="14">
        <f>F308*BU308*IF(B308&gt;=in_marketplace_from,d_hz_loan_cd*G308,0)*in_loan_cd_ticket*in_loan_cd_comm</f>
        <v/>
      </c>
      <c r="BW308" s="40">
        <f>BW307*(1-IF(B307&gt;=in_marketplace_from,d_hz_loan_vehicle*G307,0))</f>
        <v/>
      </c>
      <c r="BX308" s="14">
        <f>F308*BW308*IF(B308&gt;=in_marketplace_from,d_hz_loan_vehicle*G308,0)*in_loan_vehicle_ticket*in_loan_vehicle_comm</f>
        <v/>
      </c>
      <c r="BY308" s="40">
        <f>BY307*(1-IF(B307&gt;=in_marketplace_from,d_hz_loan_home*G307,0)*BZ307)</f>
        <v/>
      </c>
      <c r="BZ308" s="11">
        <f>MIN(in_approval_cap,in_loan_home_approval*INDEX('Age profile'!$O$2:$O$61,B308)*(1+in_approval_growth)^(D308-1))</f>
        <v/>
      </c>
      <c r="CA308" s="14">
        <f>F308*BY308*IF(B308&gt;=in_marketplace_from,d_hz_loan_home*G308,0)*BZ308*in_loan_home_ticket*in_loan_home_comm</f>
        <v/>
      </c>
      <c r="CB308" s="40">
        <f>CB307*(1-IF(B307&gt;=in_marketplace_from,d_hz_loan_lap*G307,0)*CC307)</f>
        <v/>
      </c>
      <c r="CC308" s="11">
        <f>MIN(in_approval_cap,in_loan_lap_approval*INDEX('Age profile'!$O$2:$O$61,B308)*(1+in_approval_growth)^(D308-1))</f>
        <v/>
      </c>
      <c r="CD308" s="14">
        <f>F308*CB308*IF(B308&gt;=in_marketplace_from,d_hz_loan_lap*G308,0)*CC308*in_loan_lap_ticket*in_loan_lap_comm</f>
        <v/>
      </c>
      <c r="CE308" s="14">
        <f>AA308+AB308+AC308+AD308+AG308+AJ308+AM308+AP308+AS308+AU308+AX308+BB308+BE308+BG308+BJ308+BL308+BO308+BR308+BT308+BV308+BX308+CA308+CD308</f>
        <v/>
      </c>
    </row>
    <row r="309">
      <c r="A309" s="39" t="n">
        <v>6</v>
      </c>
      <c r="B309" s="39" t="n">
        <v>18</v>
      </c>
      <c r="C309" s="39">
        <f>A309+B309-1</f>
        <v/>
      </c>
      <c r="D309" s="39">
        <f>INT((C309-1)/12)+1</f>
        <v/>
      </c>
      <c r="E309" s="44">
        <f>INDEX(Monthly!$B$2:$B$61,A309)</f>
        <v/>
      </c>
      <c r="F309" s="44">
        <f>E309*INDEX('Age profile'!$B$2:$B$61,B309)</f>
        <v/>
      </c>
      <c r="G309" s="45">
        <f>MIN(in_takeup_cap,INDEX('Age profile'!$N$2:$N$61,B309)*(1+in_takeup_growth)^(D309-1))</f>
        <v/>
      </c>
      <c r="H309" s="11">
        <f>MIN(in_approval_cap,in_approved_first*INDEX('Age profile'!$O$2:$O$61,B309)*(1+in_approval_growth)^(D309-1))</f>
        <v/>
      </c>
      <c r="I309" s="45">
        <f>G309*MIN(in_takeup_cap,INDEX('Age profile'!$O$2:$O$61,B309)*(1+in_approval_growth)^(D309-1))</f>
        <v/>
      </c>
      <c r="J309" s="40">
        <f>(J308-L308)*F309/F308</f>
        <v/>
      </c>
      <c r="K309" s="40">
        <f>(K308-M308)*F309/F308+SUMIFS(O292:O308,B292:B308,B309-1-d_T)*F309</f>
        <v/>
      </c>
      <c r="L309" s="40">
        <f>IF(B309&gt;=in_marketplace_from,J309*d_hz*G309*in_eligible*H309,0)</f>
        <v/>
      </c>
      <c r="M309" s="40">
        <f>IF(B309&gt;=in_marketplace_from,K309*d_hz*G309*in_eligible*in_approved_repeat,0)</f>
        <v/>
      </c>
      <c r="N309" s="40">
        <f>L309+M309</f>
        <v/>
      </c>
      <c r="O309" s="46">
        <f>N309/F309</f>
        <v/>
      </c>
      <c r="P309" s="40">
        <f>F309-J309-K309</f>
        <v/>
      </c>
      <c r="Q309" s="40">
        <f>IF(B309&gt;=in_marketplace_from,(J309+K309)*d_hz*G309,0)</f>
        <v/>
      </c>
      <c r="R309" s="40">
        <f>SUMIFS(N292:N346,B292:B346,"&gt;="&amp;(B309-d_T),B292:B346,"&lt;="&amp;(B309-1))</f>
        <v/>
      </c>
      <c r="S309" s="46">
        <f>(1-d_u)*S308+IF(d_T&gt;in_topup_lag,SUMIFS(O292:O346,B292:B346,B309-in_topup_lag)-d_udrop*SUMIFS(O292:O346,B292:B346,B309-d_T),0)</f>
        <v/>
      </c>
      <c r="T309" s="40">
        <f>F309*d_u*S309</f>
        <v/>
      </c>
      <c r="U309" s="9">
        <f>L309*in_ticket+M309*d_rep_ticket</f>
        <v/>
      </c>
      <c r="V309" s="9">
        <f>U309+T309*d_topup_amt</f>
        <v/>
      </c>
      <c r="W309" s="40">
        <f>N309+T309*d_topup_ratio</f>
        <v/>
      </c>
      <c r="X309" s="40">
        <f>SUMIFS(W292:W346,B292:B346,B309-in_dpd_lag)*d_cured</f>
        <v/>
      </c>
      <c r="Y309" s="40">
        <f>SUMIFS(W292:W346,B292:B346,B309-in_rec_lag)*d_recd</f>
        <v/>
      </c>
      <c r="Z309" s="40">
        <f>IF(AND(B309&gt;=in_marketplace_from,B309&lt;in_marketplace_from+in_card_months),in_card_share/in_card_months*F309*I309,IF(AND(B309&gt;=in_marketplace_from+in_card_months,B309&lt;in_marketplace_from+2*in_card_months),in_card_share*d_card_rem/in_card_months*F309*MIN(in_takeup_cap,(1+in_takeup_growth)^(D309-1))*MIN(in_takeup_cap,(1+in_approval_growth)^(D309-1)),0))</f>
        <v/>
      </c>
      <c r="AA309" s="14">
        <f>V309*in_fee*(1-in_taken_back)</f>
        <v/>
      </c>
      <c r="AB309" s="14">
        <f>SUMIFS(W292:W346,B292:B346,B309-in_dpd_lag)*d_dpd</f>
        <v/>
      </c>
      <c r="AC309" s="14">
        <f>SUMIFS(W292:W346,B292:B346,B309-in_rec_lag)*d_rec</f>
        <v/>
      </c>
      <c r="AD309" s="14">
        <f>Z309*in_card_fee</f>
        <v/>
      </c>
      <c r="AE309" s="40">
        <f>AE308*(1-IF(B308&gt;=in_marketplace_from,d_hz_hlth_small*G308,0))</f>
        <v/>
      </c>
      <c r="AF309" s="46">
        <f>AE309*IF(B309&gt;=in_marketplace_from,d_hz_hlth_small*G309,0)</f>
        <v/>
      </c>
      <c r="AG309" s="14">
        <f>F309*AF309*in_hlth_small_ticket*in_hlth_small_comm*in_ins_partner_share+F309*in_hlth_small_ticket*in_hlth_small_renew_comm*in_ins_partner_share*(in_hlth_small_renew^1*SUMIFS(AF292:AF346,B292:B346,B309-12)+in_hlth_small_renew^2*SUMIFS(AF292:AF346,B292:B346,B309-24)+in_hlth_small_renew^3*SUMIFS(AF292:AF346,B292:B346,B309-36)+in_hlth_small_renew^4*SUMIFS(AF292:AF346,B292:B346,B309-48))</f>
        <v/>
      </c>
      <c r="AH309" s="40">
        <f>AH308*(1-IF(B308&gt;=in_marketplace_from,d_hz_hlth_family*G308,0))</f>
        <v/>
      </c>
      <c r="AI309" s="46">
        <f>AH309*IF(B309&gt;=in_marketplace_from,d_hz_hlth_family*G309,0)</f>
        <v/>
      </c>
      <c r="AJ309" s="14">
        <f>F309*AI309*in_hlth_family_ticket*in_hlth_family_comm*in_ins_partner_share+F309*in_hlth_family_ticket*in_hlth_family_renew_comm*in_ins_partner_share*(in_hlth_family_renew^1*SUMIFS(AI292:AI346,B292:B346,B309-12)+in_hlth_family_renew^2*SUMIFS(AI292:AI346,B292:B346,B309-24)+in_hlth_family_renew^3*SUMIFS(AI292:AI346,B292:B346,B309-36)+in_hlth_family_renew^4*SUMIFS(AI292:AI346,B292:B346,B309-48))</f>
        <v/>
      </c>
      <c r="AK309" s="40">
        <f>AK308*(1-IF(B308&gt;=in_marketplace_from,d_hz_life_term*G308,0))</f>
        <v/>
      </c>
      <c r="AL309" s="46">
        <f>AK309*IF(B309&gt;=in_marketplace_from,d_hz_life_term*G309,0)</f>
        <v/>
      </c>
      <c r="AM309" s="14">
        <f>F309*AL309*in_life_term_ticket*in_life_term_comm*in_ins_partner_share+F309*in_life_term_ticket*in_life_term_renew_comm*in_ins_partner_share*(in_life_term_renew^1*SUMIFS(AL292:AL346,B292:B346,B309-12)+in_life_term_renew^2*SUMIFS(AL292:AL346,B292:B346,B309-24)+in_life_term_renew^3*SUMIFS(AL292:AL346,B292:B346,B309-36)+in_life_term_renew^4*SUMIFS(AL292:AL346,B292:B346,B309-48))</f>
        <v/>
      </c>
      <c r="AN309" s="40">
        <f>AN308*(1-IF(B308&gt;=in_marketplace_from,d_hz_accident*G308,0))</f>
        <v/>
      </c>
      <c r="AO309" s="46">
        <f>AN309*IF(B309&gt;=in_marketplace_from,d_hz_accident*G309,0)</f>
        <v/>
      </c>
      <c r="AP309" s="14">
        <f>F309*AO309*in_accident_ticket*in_accident_comm*in_ins_partner_share+F309*in_accident_ticket*in_accident_renew_comm*in_ins_partner_share*(in_accident_renew^1*SUMIFS(AO292:AO346,B292:B346,B309-12)+in_accident_renew^2*SUMIFS(AO292:AO346,B292:B346,B309-24)+in_accident_renew^3*SUMIFS(AO292:AO346,B292:B346,B309-36)+in_accident_renew^4*SUMIFS(AO292:AO346,B292:B346,B309-48))</f>
        <v/>
      </c>
      <c r="AQ309" s="40">
        <f>AQ308*(1-IF(B308&gt;=in_marketplace_from,d_hz_two_wheeler*G308,0))</f>
        <v/>
      </c>
      <c r="AR309" s="46">
        <f>AQ309*IF(B309&gt;=in_marketplace_from,d_hz_two_wheeler*G309,0)</f>
        <v/>
      </c>
      <c r="AS309" s="14">
        <f>F309*AR309*in_two_wheeler_ticket*in_two_wheeler_comm*in_ins_partner_share+F309*in_two_wheeler_ticket*in_two_wheeler_comm*in_ins_partner_share*(in_two_wheeler_renew^1*SUMIFS(AR292:AR346,B292:B346,B309-12)+in_two_wheeler_renew^2*SUMIFS(AR292:AR346,B292:B346,B309-24)+in_two_wheeler_renew^3*SUMIFS(AR292:AR346,B292:B346,B309-36)+in_two_wheeler_renew^4*SUMIFS(AR292:AR346,B292:B346,B309-48))</f>
        <v/>
      </c>
      <c r="AT309" s="40">
        <f>AT308*(1-IF(B308&gt;=in_marketplace_from,d_hz_device*G308,0))</f>
        <v/>
      </c>
      <c r="AU309" s="14">
        <f>F309*AT309*IF(B309&gt;=in_marketplace_from,d_hz_device*G309,0)*in_device_ticket*in_device_comm*in_ins_partner_share</f>
        <v/>
      </c>
      <c r="AV309" s="40">
        <f>AV308*(1-IF(B308&gt;=in_marketplace_from,d_hz_shop*G308,0))</f>
        <v/>
      </c>
      <c r="AW309" s="46">
        <f>AV309*IF(B309&gt;=in_marketplace_from,d_hz_shop*G309,0)</f>
        <v/>
      </c>
      <c r="AX309" s="14">
        <f>F309*AW309*in_shop_ticket*in_shop_comm*in_ins_partner_share+F309*in_shop_ticket*in_shop_renew_comm*in_ins_partner_share*(in_shop_renew^1*SUMIFS(AW292:AW346,B292:B346,B309-12)+in_shop_renew^2*SUMIFS(AW292:AW346,B292:B346,B309-24)+in_shop_renew^3*SUMIFS(AW292:AW346,B292:B346,B309-36)+in_shop_renew^4*SUMIFS(AW292:AW346,B292:B346,B309-48))</f>
        <v/>
      </c>
      <c r="AY309" s="40">
        <f>AY308*(1-IF(B308&gt;=in_marketplace_from,d_hz_sip*G308,0))</f>
        <v/>
      </c>
      <c r="AZ309" s="40">
        <f>AZ308*d_rho_sip+AY309*IF(B309&gt;=in_marketplace_from,d_hz_sip*G309,0)</f>
        <v/>
      </c>
      <c r="BA309" s="40">
        <f>d_rho_sip*(BA308+AZ308)</f>
        <v/>
      </c>
      <c r="BB309" s="14">
        <f>F309*in_sip_ticket*(BA309+0.5*AZ309)*in_sip_comm/12</f>
        <v/>
      </c>
      <c r="BC309" s="40">
        <f>BC308*(1-IF(B308&gt;=in_marketplace_from,d_hz_choti*G308,0))</f>
        <v/>
      </c>
      <c r="BD309" s="46">
        <f>BC309*IF(B309&gt;=in_marketplace_from,d_hz_choti*G309,0)</f>
        <v/>
      </c>
      <c r="BE309" s="14">
        <f>F309*SUMIFS(BD292:BD346,B292:B346,B309-in_choti_months)*in_choti_renew*in_choti_ticket</f>
        <v/>
      </c>
      <c r="BF309" s="40">
        <f>BF308*(1-IF(B308&gt;=in_marketplace_from,d_hz_nps*G308,0))</f>
        <v/>
      </c>
      <c r="BG309" s="14">
        <f>F309*BF309*IF(B309&gt;=in_marketplace_from,d_hz_nps*G309,0)*in_nps_ticket*in_nps_comm</f>
        <v/>
      </c>
      <c r="BH309" s="40">
        <f>BH308*(1-IF(B308&gt;=in_marketplace_from,d_hz_gold*G308,0))</f>
        <v/>
      </c>
      <c r="BI309" s="40">
        <f>BI308*d_rho_gold+BH309*IF(B309&gt;=in_marketplace_from,d_hz_gold*G309,0)</f>
        <v/>
      </c>
      <c r="BJ309" s="14">
        <f>F309*BI309*in_gold_ticket*in_gold_comm</f>
        <v/>
      </c>
      <c r="BK309" s="40">
        <f>BK308*(1-IF(B308&gt;=in_marketplace_from,d_hz_fd*G308,0))</f>
        <v/>
      </c>
      <c r="BL309" s="14">
        <f>F309*BK309*IF(B309&gt;=in_marketplace_from,d_hz_fd*G309,0)*in_fd_ticket*in_fd_comm</f>
        <v/>
      </c>
      <c r="BM309" s="40">
        <f>BM308*(1-IF(B308&gt;=in_marketplace_from,d_hz_recharge*G308,0))</f>
        <v/>
      </c>
      <c r="BN309" s="40">
        <f>BN308*d_rho_recharge+BM309*IF(B309&gt;=in_marketplace_from,d_hz_recharge*G309,0)</f>
        <v/>
      </c>
      <c r="BO309" s="14">
        <f>F309*BN309*in_recharge_ticket*in_recharge_comm/12</f>
        <v/>
      </c>
      <c r="BP309" s="40">
        <f>BP308*(1-IF(B308&gt;=in_marketplace_from,d_hz_bills*G308,0))</f>
        <v/>
      </c>
      <c r="BQ309" s="40">
        <f>BQ308*d_rho_bills+BP309*IF(B309&gt;=in_marketplace_from,d_hz_bills*G309,0)</f>
        <v/>
      </c>
      <c r="BR309" s="14">
        <f>F309*BQ309*in_bills_ticket*in_bills_comm/12</f>
        <v/>
      </c>
      <c r="BS309" s="40">
        <f>BS308*(1-IF(B308&gt;=in_marketplace_from,d_hz_loan_gold*G308,0))</f>
        <v/>
      </c>
      <c r="BT309" s="14">
        <f>F309*BS309*IF(B309&gt;=in_marketplace_from,d_hz_loan_gold*G309,0)*in_loan_gold_ticket*in_loan_gold_comm</f>
        <v/>
      </c>
      <c r="BU309" s="40">
        <f>BU308*(1-IF(B308&gt;=in_marketplace_from,d_hz_loan_cd*G308,0))</f>
        <v/>
      </c>
      <c r="BV309" s="14">
        <f>F309*BU309*IF(B309&gt;=in_marketplace_from,d_hz_loan_cd*G309,0)*in_loan_cd_ticket*in_loan_cd_comm</f>
        <v/>
      </c>
      <c r="BW309" s="40">
        <f>BW308*(1-IF(B308&gt;=in_marketplace_from,d_hz_loan_vehicle*G308,0))</f>
        <v/>
      </c>
      <c r="BX309" s="14">
        <f>F309*BW309*IF(B309&gt;=in_marketplace_from,d_hz_loan_vehicle*G309,0)*in_loan_vehicle_ticket*in_loan_vehicle_comm</f>
        <v/>
      </c>
      <c r="BY309" s="40">
        <f>BY308*(1-IF(B308&gt;=in_marketplace_from,d_hz_loan_home*G308,0)*BZ308)</f>
        <v/>
      </c>
      <c r="BZ309" s="11">
        <f>MIN(in_approval_cap,in_loan_home_approval*INDEX('Age profile'!$O$2:$O$61,B309)*(1+in_approval_growth)^(D309-1))</f>
        <v/>
      </c>
      <c r="CA309" s="14">
        <f>F309*BY309*IF(B309&gt;=in_marketplace_from,d_hz_loan_home*G309,0)*BZ309*in_loan_home_ticket*in_loan_home_comm</f>
        <v/>
      </c>
      <c r="CB309" s="40">
        <f>CB308*(1-IF(B308&gt;=in_marketplace_from,d_hz_loan_lap*G308,0)*CC308)</f>
        <v/>
      </c>
      <c r="CC309" s="11">
        <f>MIN(in_approval_cap,in_loan_lap_approval*INDEX('Age profile'!$O$2:$O$61,B309)*(1+in_approval_growth)^(D309-1))</f>
        <v/>
      </c>
      <c r="CD309" s="14">
        <f>F309*CB309*IF(B309&gt;=in_marketplace_from,d_hz_loan_lap*G309,0)*CC309*in_loan_lap_ticket*in_loan_lap_comm</f>
        <v/>
      </c>
      <c r="CE309" s="14">
        <f>AA309+AB309+AC309+AD309+AG309+AJ309+AM309+AP309+AS309+AU309+AX309+BB309+BE309+BG309+BJ309+BL309+BO309+BR309+BT309+BV309+BX309+CA309+CD309</f>
        <v/>
      </c>
    </row>
    <row r="310">
      <c r="A310" s="39" t="n">
        <v>6</v>
      </c>
      <c r="B310" s="39" t="n">
        <v>19</v>
      </c>
      <c r="C310" s="39">
        <f>A310+B310-1</f>
        <v/>
      </c>
      <c r="D310" s="39">
        <f>INT((C310-1)/12)+1</f>
        <v/>
      </c>
      <c r="E310" s="44">
        <f>INDEX(Monthly!$B$2:$B$61,A310)</f>
        <v/>
      </c>
      <c r="F310" s="44">
        <f>E310*INDEX('Age profile'!$B$2:$B$61,B310)</f>
        <v/>
      </c>
      <c r="G310" s="45">
        <f>MIN(in_takeup_cap,INDEX('Age profile'!$N$2:$N$61,B310)*(1+in_takeup_growth)^(D310-1))</f>
        <v/>
      </c>
      <c r="H310" s="11">
        <f>MIN(in_approval_cap,in_approved_first*INDEX('Age profile'!$O$2:$O$61,B310)*(1+in_approval_growth)^(D310-1))</f>
        <v/>
      </c>
      <c r="I310" s="45">
        <f>G310*MIN(in_takeup_cap,INDEX('Age profile'!$O$2:$O$61,B310)*(1+in_approval_growth)^(D310-1))</f>
        <v/>
      </c>
      <c r="J310" s="40">
        <f>(J309-L309)*F310/F309</f>
        <v/>
      </c>
      <c r="K310" s="40">
        <f>(K309-M309)*F310/F309+SUMIFS(O292:O309,B292:B309,B310-1-d_T)*F310</f>
        <v/>
      </c>
      <c r="L310" s="40">
        <f>IF(B310&gt;=in_marketplace_from,J310*d_hz*G310*in_eligible*H310,0)</f>
        <v/>
      </c>
      <c r="M310" s="40">
        <f>IF(B310&gt;=in_marketplace_from,K310*d_hz*G310*in_eligible*in_approved_repeat,0)</f>
        <v/>
      </c>
      <c r="N310" s="40">
        <f>L310+M310</f>
        <v/>
      </c>
      <c r="O310" s="46">
        <f>N310/F310</f>
        <v/>
      </c>
      <c r="P310" s="40">
        <f>F310-J310-K310</f>
        <v/>
      </c>
      <c r="Q310" s="40">
        <f>IF(B310&gt;=in_marketplace_from,(J310+K310)*d_hz*G310,0)</f>
        <v/>
      </c>
      <c r="R310" s="40">
        <f>SUMIFS(N292:N346,B292:B346,"&gt;="&amp;(B310-d_T),B292:B346,"&lt;="&amp;(B310-1))</f>
        <v/>
      </c>
      <c r="S310" s="46">
        <f>(1-d_u)*S309+IF(d_T&gt;in_topup_lag,SUMIFS(O292:O346,B292:B346,B310-in_topup_lag)-d_udrop*SUMIFS(O292:O346,B292:B346,B310-d_T),0)</f>
        <v/>
      </c>
      <c r="T310" s="40">
        <f>F310*d_u*S310</f>
        <v/>
      </c>
      <c r="U310" s="9">
        <f>L310*in_ticket+M310*d_rep_ticket</f>
        <v/>
      </c>
      <c r="V310" s="9">
        <f>U310+T310*d_topup_amt</f>
        <v/>
      </c>
      <c r="W310" s="40">
        <f>N310+T310*d_topup_ratio</f>
        <v/>
      </c>
      <c r="X310" s="40">
        <f>SUMIFS(W292:W346,B292:B346,B310-in_dpd_lag)*d_cured</f>
        <v/>
      </c>
      <c r="Y310" s="40">
        <f>SUMIFS(W292:W346,B292:B346,B310-in_rec_lag)*d_recd</f>
        <v/>
      </c>
      <c r="Z310" s="40">
        <f>IF(AND(B310&gt;=in_marketplace_from,B310&lt;in_marketplace_from+in_card_months),in_card_share/in_card_months*F310*I310,IF(AND(B310&gt;=in_marketplace_from+in_card_months,B310&lt;in_marketplace_from+2*in_card_months),in_card_share*d_card_rem/in_card_months*F310*MIN(in_takeup_cap,(1+in_takeup_growth)^(D310-1))*MIN(in_takeup_cap,(1+in_approval_growth)^(D310-1)),0))</f>
        <v/>
      </c>
      <c r="AA310" s="14">
        <f>V310*in_fee*(1-in_taken_back)</f>
        <v/>
      </c>
      <c r="AB310" s="14">
        <f>SUMIFS(W292:W346,B292:B346,B310-in_dpd_lag)*d_dpd</f>
        <v/>
      </c>
      <c r="AC310" s="14">
        <f>SUMIFS(W292:W346,B292:B346,B310-in_rec_lag)*d_rec</f>
        <v/>
      </c>
      <c r="AD310" s="14">
        <f>Z310*in_card_fee</f>
        <v/>
      </c>
      <c r="AE310" s="40">
        <f>AE309*(1-IF(B309&gt;=in_marketplace_from,d_hz_hlth_small*G309,0))</f>
        <v/>
      </c>
      <c r="AF310" s="46">
        <f>AE310*IF(B310&gt;=in_marketplace_from,d_hz_hlth_small*G310,0)</f>
        <v/>
      </c>
      <c r="AG310" s="14">
        <f>F310*AF310*in_hlth_small_ticket*in_hlth_small_comm*in_ins_partner_share+F310*in_hlth_small_ticket*in_hlth_small_renew_comm*in_ins_partner_share*(in_hlth_small_renew^1*SUMIFS(AF292:AF346,B292:B346,B310-12)+in_hlth_small_renew^2*SUMIFS(AF292:AF346,B292:B346,B310-24)+in_hlth_small_renew^3*SUMIFS(AF292:AF346,B292:B346,B310-36)+in_hlth_small_renew^4*SUMIFS(AF292:AF346,B292:B346,B310-48))</f>
        <v/>
      </c>
      <c r="AH310" s="40">
        <f>AH309*(1-IF(B309&gt;=in_marketplace_from,d_hz_hlth_family*G309,0))</f>
        <v/>
      </c>
      <c r="AI310" s="46">
        <f>AH310*IF(B310&gt;=in_marketplace_from,d_hz_hlth_family*G310,0)</f>
        <v/>
      </c>
      <c r="AJ310" s="14">
        <f>F310*AI310*in_hlth_family_ticket*in_hlth_family_comm*in_ins_partner_share+F310*in_hlth_family_ticket*in_hlth_family_renew_comm*in_ins_partner_share*(in_hlth_family_renew^1*SUMIFS(AI292:AI346,B292:B346,B310-12)+in_hlth_family_renew^2*SUMIFS(AI292:AI346,B292:B346,B310-24)+in_hlth_family_renew^3*SUMIFS(AI292:AI346,B292:B346,B310-36)+in_hlth_family_renew^4*SUMIFS(AI292:AI346,B292:B346,B310-48))</f>
        <v/>
      </c>
      <c r="AK310" s="40">
        <f>AK309*(1-IF(B309&gt;=in_marketplace_from,d_hz_life_term*G309,0))</f>
        <v/>
      </c>
      <c r="AL310" s="46">
        <f>AK310*IF(B310&gt;=in_marketplace_from,d_hz_life_term*G310,0)</f>
        <v/>
      </c>
      <c r="AM310" s="14">
        <f>F310*AL310*in_life_term_ticket*in_life_term_comm*in_ins_partner_share+F310*in_life_term_ticket*in_life_term_renew_comm*in_ins_partner_share*(in_life_term_renew^1*SUMIFS(AL292:AL346,B292:B346,B310-12)+in_life_term_renew^2*SUMIFS(AL292:AL346,B292:B346,B310-24)+in_life_term_renew^3*SUMIFS(AL292:AL346,B292:B346,B310-36)+in_life_term_renew^4*SUMIFS(AL292:AL346,B292:B346,B310-48))</f>
        <v/>
      </c>
      <c r="AN310" s="40">
        <f>AN309*(1-IF(B309&gt;=in_marketplace_from,d_hz_accident*G309,0))</f>
        <v/>
      </c>
      <c r="AO310" s="46">
        <f>AN310*IF(B310&gt;=in_marketplace_from,d_hz_accident*G310,0)</f>
        <v/>
      </c>
      <c r="AP310" s="14">
        <f>F310*AO310*in_accident_ticket*in_accident_comm*in_ins_partner_share+F310*in_accident_ticket*in_accident_renew_comm*in_ins_partner_share*(in_accident_renew^1*SUMIFS(AO292:AO346,B292:B346,B310-12)+in_accident_renew^2*SUMIFS(AO292:AO346,B292:B346,B310-24)+in_accident_renew^3*SUMIFS(AO292:AO346,B292:B346,B310-36)+in_accident_renew^4*SUMIFS(AO292:AO346,B292:B346,B310-48))</f>
        <v/>
      </c>
      <c r="AQ310" s="40">
        <f>AQ309*(1-IF(B309&gt;=in_marketplace_from,d_hz_two_wheeler*G309,0))</f>
        <v/>
      </c>
      <c r="AR310" s="46">
        <f>AQ310*IF(B310&gt;=in_marketplace_from,d_hz_two_wheeler*G310,0)</f>
        <v/>
      </c>
      <c r="AS310" s="14">
        <f>F310*AR310*in_two_wheeler_ticket*in_two_wheeler_comm*in_ins_partner_share+F310*in_two_wheeler_ticket*in_two_wheeler_comm*in_ins_partner_share*(in_two_wheeler_renew^1*SUMIFS(AR292:AR346,B292:B346,B310-12)+in_two_wheeler_renew^2*SUMIFS(AR292:AR346,B292:B346,B310-24)+in_two_wheeler_renew^3*SUMIFS(AR292:AR346,B292:B346,B310-36)+in_two_wheeler_renew^4*SUMIFS(AR292:AR346,B292:B346,B310-48))</f>
        <v/>
      </c>
      <c r="AT310" s="40">
        <f>AT309*(1-IF(B309&gt;=in_marketplace_from,d_hz_device*G309,0))</f>
        <v/>
      </c>
      <c r="AU310" s="14">
        <f>F310*AT310*IF(B310&gt;=in_marketplace_from,d_hz_device*G310,0)*in_device_ticket*in_device_comm*in_ins_partner_share</f>
        <v/>
      </c>
      <c r="AV310" s="40">
        <f>AV309*(1-IF(B309&gt;=in_marketplace_from,d_hz_shop*G309,0))</f>
        <v/>
      </c>
      <c r="AW310" s="46">
        <f>AV310*IF(B310&gt;=in_marketplace_from,d_hz_shop*G310,0)</f>
        <v/>
      </c>
      <c r="AX310" s="14">
        <f>F310*AW310*in_shop_ticket*in_shop_comm*in_ins_partner_share+F310*in_shop_ticket*in_shop_renew_comm*in_ins_partner_share*(in_shop_renew^1*SUMIFS(AW292:AW346,B292:B346,B310-12)+in_shop_renew^2*SUMIFS(AW292:AW346,B292:B346,B310-24)+in_shop_renew^3*SUMIFS(AW292:AW346,B292:B346,B310-36)+in_shop_renew^4*SUMIFS(AW292:AW346,B292:B346,B310-48))</f>
        <v/>
      </c>
      <c r="AY310" s="40">
        <f>AY309*(1-IF(B309&gt;=in_marketplace_from,d_hz_sip*G309,0))</f>
        <v/>
      </c>
      <c r="AZ310" s="40">
        <f>AZ309*d_rho_sip+AY310*IF(B310&gt;=in_marketplace_from,d_hz_sip*G310,0)</f>
        <v/>
      </c>
      <c r="BA310" s="40">
        <f>d_rho_sip*(BA309+AZ309)</f>
        <v/>
      </c>
      <c r="BB310" s="14">
        <f>F310*in_sip_ticket*(BA310+0.5*AZ310)*in_sip_comm/12</f>
        <v/>
      </c>
      <c r="BC310" s="40">
        <f>BC309*(1-IF(B309&gt;=in_marketplace_from,d_hz_choti*G309,0))</f>
        <v/>
      </c>
      <c r="BD310" s="46">
        <f>BC310*IF(B310&gt;=in_marketplace_from,d_hz_choti*G310,0)</f>
        <v/>
      </c>
      <c r="BE310" s="14">
        <f>F310*SUMIFS(BD292:BD346,B292:B346,B310-in_choti_months)*in_choti_renew*in_choti_ticket</f>
        <v/>
      </c>
      <c r="BF310" s="40">
        <f>BF309*(1-IF(B309&gt;=in_marketplace_from,d_hz_nps*G309,0))</f>
        <v/>
      </c>
      <c r="BG310" s="14">
        <f>F310*BF310*IF(B310&gt;=in_marketplace_from,d_hz_nps*G310,0)*in_nps_ticket*in_nps_comm</f>
        <v/>
      </c>
      <c r="BH310" s="40">
        <f>BH309*(1-IF(B309&gt;=in_marketplace_from,d_hz_gold*G309,0))</f>
        <v/>
      </c>
      <c r="BI310" s="40">
        <f>BI309*d_rho_gold+BH310*IF(B310&gt;=in_marketplace_from,d_hz_gold*G310,0)</f>
        <v/>
      </c>
      <c r="BJ310" s="14">
        <f>F310*BI310*in_gold_ticket*in_gold_comm</f>
        <v/>
      </c>
      <c r="BK310" s="40">
        <f>BK309*(1-IF(B309&gt;=in_marketplace_from,d_hz_fd*G309,0))</f>
        <v/>
      </c>
      <c r="BL310" s="14">
        <f>F310*BK310*IF(B310&gt;=in_marketplace_from,d_hz_fd*G310,0)*in_fd_ticket*in_fd_comm</f>
        <v/>
      </c>
      <c r="BM310" s="40">
        <f>BM309*(1-IF(B309&gt;=in_marketplace_from,d_hz_recharge*G309,0))</f>
        <v/>
      </c>
      <c r="BN310" s="40">
        <f>BN309*d_rho_recharge+BM310*IF(B310&gt;=in_marketplace_from,d_hz_recharge*G310,0)</f>
        <v/>
      </c>
      <c r="BO310" s="14">
        <f>F310*BN310*in_recharge_ticket*in_recharge_comm/12</f>
        <v/>
      </c>
      <c r="BP310" s="40">
        <f>BP309*(1-IF(B309&gt;=in_marketplace_from,d_hz_bills*G309,0))</f>
        <v/>
      </c>
      <c r="BQ310" s="40">
        <f>BQ309*d_rho_bills+BP310*IF(B310&gt;=in_marketplace_from,d_hz_bills*G310,0)</f>
        <v/>
      </c>
      <c r="BR310" s="14">
        <f>F310*BQ310*in_bills_ticket*in_bills_comm/12</f>
        <v/>
      </c>
      <c r="BS310" s="40">
        <f>BS309*(1-IF(B309&gt;=in_marketplace_from,d_hz_loan_gold*G309,0))</f>
        <v/>
      </c>
      <c r="BT310" s="14">
        <f>F310*BS310*IF(B310&gt;=in_marketplace_from,d_hz_loan_gold*G310,0)*in_loan_gold_ticket*in_loan_gold_comm</f>
        <v/>
      </c>
      <c r="BU310" s="40">
        <f>BU309*(1-IF(B309&gt;=in_marketplace_from,d_hz_loan_cd*G309,0))</f>
        <v/>
      </c>
      <c r="BV310" s="14">
        <f>F310*BU310*IF(B310&gt;=in_marketplace_from,d_hz_loan_cd*G310,0)*in_loan_cd_ticket*in_loan_cd_comm</f>
        <v/>
      </c>
      <c r="BW310" s="40">
        <f>BW309*(1-IF(B309&gt;=in_marketplace_from,d_hz_loan_vehicle*G309,0))</f>
        <v/>
      </c>
      <c r="BX310" s="14">
        <f>F310*BW310*IF(B310&gt;=in_marketplace_from,d_hz_loan_vehicle*G310,0)*in_loan_vehicle_ticket*in_loan_vehicle_comm</f>
        <v/>
      </c>
      <c r="BY310" s="40">
        <f>BY309*(1-IF(B309&gt;=in_marketplace_from,d_hz_loan_home*G309,0)*BZ309)</f>
        <v/>
      </c>
      <c r="BZ310" s="11">
        <f>MIN(in_approval_cap,in_loan_home_approval*INDEX('Age profile'!$O$2:$O$61,B310)*(1+in_approval_growth)^(D310-1))</f>
        <v/>
      </c>
      <c r="CA310" s="14">
        <f>F310*BY310*IF(B310&gt;=in_marketplace_from,d_hz_loan_home*G310,0)*BZ310*in_loan_home_ticket*in_loan_home_comm</f>
        <v/>
      </c>
      <c r="CB310" s="40">
        <f>CB309*(1-IF(B309&gt;=in_marketplace_from,d_hz_loan_lap*G309,0)*CC309)</f>
        <v/>
      </c>
      <c r="CC310" s="11">
        <f>MIN(in_approval_cap,in_loan_lap_approval*INDEX('Age profile'!$O$2:$O$61,B310)*(1+in_approval_growth)^(D310-1))</f>
        <v/>
      </c>
      <c r="CD310" s="14">
        <f>F310*CB310*IF(B310&gt;=in_marketplace_from,d_hz_loan_lap*G310,0)*CC310*in_loan_lap_ticket*in_loan_lap_comm</f>
        <v/>
      </c>
      <c r="CE310" s="14">
        <f>AA310+AB310+AC310+AD310+AG310+AJ310+AM310+AP310+AS310+AU310+AX310+BB310+BE310+BG310+BJ310+BL310+BO310+BR310+BT310+BV310+BX310+CA310+CD310</f>
        <v/>
      </c>
    </row>
    <row r="311">
      <c r="A311" s="39" t="n">
        <v>6</v>
      </c>
      <c r="B311" s="39" t="n">
        <v>20</v>
      </c>
      <c r="C311" s="39">
        <f>A311+B311-1</f>
        <v/>
      </c>
      <c r="D311" s="39">
        <f>INT((C311-1)/12)+1</f>
        <v/>
      </c>
      <c r="E311" s="44">
        <f>INDEX(Monthly!$B$2:$B$61,A311)</f>
        <v/>
      </c>
      <c r="F311" s="44">
        <f>E311*INDEX('Age profile'!$B$2:$B$61,B311)</f>
        <v/>
      </c>
      <c r="G311" s="45">
        <f>MIN(in_takeup_cap,INDEX('Age profile'!$N$2:$N$61,B311)*(1+in_takeup_growth)^(D311-1))</f>
        <v/>
      </c>
      <c r="H311" s="11">
        <f>MIN(in_approval_cap,in_approved_first*INDEX('Age profile'!$O$2:$O$61,B311)*(1+in_approval_growth)^(D311-1))</f>
        <v/>
      </c>
      <c r="I311" s="45">
        <f>G311*MIN(in_takeup_cap,INDEX('Age profile'!$O$2:$O$61,B311)*(1+in_approval_growth)^(D311-1))</f>
        <v/>
      </c>
      <c r="J311" s="40">
        <f>(J310-L310)*F311/F310</f>
        <v/>
      </c>
      <c r="K311" s="40">
        <f>(K310-M310)*F311/F310+SUMIFS(O292:O310,B292:B310,B311-1-d_T)*F311</f>
        <v/>
      </c>
      <c r="L311" s="40">
        <f>IF(B311&gt;=in_marketplace_from,J311*d_hz*G311*in_eligible*H311,0)</f>
        <v/>
      </c>
      <c r="M311" s="40">
        <f>IF(B311&gt;=in_marketplace_from,K311*d_hz*G311*in_eligible*in_approved_repeat,0)</f>
        <v/>
      </c>
      <c r="N311" s="40">
        <f>L311+M311</f>
        <v/>
      </c>
      <c r="O311" s="46">
        <f>N311/F311</f>
        <v/>
      </c>
      <c r="P311" s="40">
        <f>F311-J311-K311</f>
        <v/>
      </c>
      <c r="Q311" s="40">
        <f>IF(B311&gt;=in_marketplace_from,(J311+K311)*d_hz*G311,0)</f>
        <v/>
      </c>
      <c r="R311" s="40">
        <f>SUMIFS(N292:N346,B292:B346,"&gt;="&amp;(B311-d_T),B292:B346,"&lt;="&amp;(B311-1))</f>
        <v/>
      </c>
      <c r="S311" s="46">
        <f>(1-d_u)*S310+IF(d_T&gt;in_topup_lag,SUMIFS(O292:O346,B292:B346,B311-in_topup_lag)-d_udrop*SUMIFS(O292:O346,B292:B346,B311-d_T),0)</f>
        <v/>
      </c>
      <c r="T311" s="40">
        <f>F311*d_u*S311</f>
        <v/>
      </c>
      <c r="U311" s="9">
        <f>L311*in_ticket+M311*d_rep_ticket</f>
        <v/>
      </c>
      <c r="V311" s="9">
        <f>U311+T311*d_topup_amt</f>
        <v/>
      </c>
      <c r="W311" s="40">
        <f>N311+T311*d_topup_ratio</f>
        <v/>
      </c>
      <c r="X311" s="40">
        <f>SUMIFS(W292:W346,B292:B346,B311-in_dpd_lag)*d_cured</f>
        <v/>
      </c>
      <c r="Y311" s="40">
        <f>SUMIFS(W292:W346,B292:B346,B311-in_rec_lag)*d_recd</f>
        <v/>
      </c>
      <c r="Z311" s="40">
        <f>IF(AND(B311&gt;=in_marketplace_from,B311&lt;in_marketplace_from+in_card_months),in_card_share/in_card_months*F311*I311,IF(AND(B311&gt;=in_marketplace_from+in_card_months,B311&lt;in_marketplace_from+2*in_card_months),in_card_share*d_card_rem/in_card_months*F311*MIN(in_takeup_cap,(1+in_takeup_growth)^(D311-1))*MIN(in_takeup_cap,(1+in_approval_growth)^(D311-1)),0))</f>
        <v/>
      </c>
      <c r="AA311" s="14">
        <f>V311*in_fee*(1-in_taken_back)</f>
        <v/>
      </c>
      <c r="AB311" s="14">
        <f>SUMIFS(W292:W346,B292:B346,B311-in_dpd_lag)*d_dpd</f>
        <v/>
      </c>
      <c r="AC311" s="14">
        <f>SUMIFS(W292:W346,B292:B346,B311-in_rec_lag)*d_rec</f>
        <v/>
      </c>
      <c r="AD311" s="14">
        <f>Z311*in_card_fee</f>
        <v/>
      </c>
      <c r="AE311" s="40">
        <f>AE310*(1-IF(B310&gt;=in_marketplace_from,d_hz_hlth_small*G310,0))</f>
        <v/>
      </c>
      <c r="AF311" s="46">
        <f>AE311*IF(B311&gt;=in_marketplace_from,d_hz_hlth_small*G311,0)</f>
        <v/>
      </c>
      <c r="AG311" s="14">
        <f>F311*AF311*in_hlth_small_ticket*in_hlth_small_comm*in_ins_partner_share+F311*in_hlth_small_ticket*in_hlth_small_renew_comm*in_ins_partner_share*(in_hlth_small_renew^1*SUMIFS(AF292:AF346,B292:B346,B311-12)+in_hlth_small_renew^2*SUMIFS(AF292:AF346,B292:B346,B311-24)+in_hlth_small_renew^3*SUMIFS(AF292:AF346,B292:B346,B311-36)+in_hlth_small_renew^4*SUMIFS(AF292:AF346,B292:B346,B311-48))</f>
        <v/>
      </c>
      <c r="AH311" s="40">
        <f>AH310*(1-IF(B310&gt;=in_marketplace_from,d_hz_hlth_family*G310,0))</f>
        <v/>
      </c>
      <c r="AI311" s="46">
        <f>AH311*IF(B311&gt;=in_marketplace_from,d_hz_hlth_family*G311,0)</f>
        <v/>
      </c>
      <c r="AJ311" s="14">
        <f>F311*AI311*in_hlth_family_ticket*in_hlth_family_comm*in_ins_partner_share+F311*in_hlth_family_ticket*in_hlth_family_renew_comm*in_ins_partner_share*(in_hlth_family_renew^1*SUMIFS(AI292:AI346,B292:B346,B311-12)+in_hlth_family_renew^2*SUMIFS(AI292:AI346,B292:B346,B311-24)+in_hlth_family_renew^3*SUMIFS(AI292:AI346,B292:B346,B311-36)+in_hlth_family_renew^4*SUMIFS(AI292:AI346,B292:B346,B311-48))</f>
        <v/>
      </c>
      <c r="AK311" s="40">
        <f>AK310*(1-IF(B310&gt;=in_marketplace_from,d_hz_life_term*G310,0))</f>
        <v/>
      </c>
      <c r="AL311" s="46">
        <f>AK311*IF(B311&gt;=in_marketplace_from,d_hz_life_term*G311,0)</f>
        <v/>
      </c>
      <c r="AM311" s="14">
        <f>F311*AL311*in_life_term_ticket*in_life_term_comm*in_ins_partner_share+F311*in_life_term_ticket*in_life_term_renew_comm*in_ins_partner_share*(in_life_term_renew^1*SUMIFS(AL292:AL346,B292:B346,B311-12)+in_life_term_renew^2*SUMIFS(AL292:AL346,B292:B346,B311-24)+in_life_term_renew^3*SUMIFS(AL292:AL346,B292:B346,B311-36)+in_life_term_renew^4*SUMIFS(AL292:AL346,B292:B346,B311-48))</f>
        <v/>
      </c>
      <c r="AN311" s="40">
        <f>AN310*(1-IF(B310&gt;=in_marketplace_from,d_hz_accident*G310,0))</f>
        <v/>
      </c>
      <c r="AO311" s="46">
        <f>AN311*IF(B311&gt;=in_marketplace_from,d_hz_accident*G311,0)</f>
        <v/>
      </c>
      <c r="AP311" s="14">
        <f>F311*AO311*in_accident_ticket*in_accident_comm*in_ins_partner_share+F311*in_accident_ticket*in_accident_renew_comm*in_ins_partner_share*(in_accident_renew^1*SUMIFS(AO292:AO346,B292:B346,B311-12)+in_accident_renew^2*SUMIFS(AO292:AO346,B292:B346,B311-24)+in_accident_renew^3*SUMIFS(AO292:AO346,B292:B346,B311-36)+in_accident_renew^4*SUMIFS(AO292:AO346,B292:B346,B311-48))</f>
        <v/>
      </c>
      <c r="AQ311" s="40">
        <f>AQ310*(1-IF(B310&gt;=in_marketplace_from,d_hz_two_wheeler*G310,0))</f>
        <v/>
      </c>
      <c r="AR311" s="46">
        <f>AQ311*IF(B311&gt;=in_marketplace_from,d_hz_two_wheeler*G311,0)</f>
        <v/>
      </c>
      <c r="AS311" s="14">
        <f>F311*AR311*in_two_wheeler_ticket*in_two_wheeler_comm*in_ins_partner_share+F311*in_two_wheeler_ticket*in_two_wheeler_comm*in_ins_partner_share*(in_two_wheeler_renew^1*SUMIFS(AR292:AR346,B292:B346,B311-12)+in_two_wheeler_renew^2*SUMIFS(AR292:AR346,B292:B346,B311-24)+in_two_wheeler_renew^3*SUMIFS(AR292:AR346,B292:B346,B311-36)+in_two_wheeler_renew^4*SUMIFS(AR292:AR346,B292:B346,B311-48))</f>
        <v/>
      </c>
      <c r="AT311" s="40">
        <f>AT310*(1-IF(B310&gt;=in_marketplace_from,d_hz_device*G310,0))</f>
        <v/>
      </c>
      <c r="AU311" s="14">
        <f>F311*AT311*IF(B311&gt;=in_marketplace_from,d_hz_device*G311,0)*in_device_ticket*in_device_comm*in_ins_partner_share</f>
        <v/>
      </c>
      <c r="AV311" s="40">
        <f>AV310*(1-IF(B310&gt;=in_marketplace_from,d_hz_shop*G310,0))</f>
        <v/>
      </c>
      <c r="AW311" s="46">
        <f>AV311*IF(B311&gt;=in_marketplace_from,d_hz_shop*G311,0)</f>
        <v/>
      </c>
      <c r="AX311" s="14">
        <f>F311*AW311*in_shop_ticket*in_shop_comm*in_ins_partner_share+F311*in_shop_ticket*in_shop_renew_comm*in_ins_partner_share*(in_shop_renew^1*SUMIFS(AW292:AW346,B292:B346,B311-12)+in_shop_renew^2*SUMIFS(AW292:AW346,B292:B346,B311-24)+in_shop_renew^3*SUMIFS(AW292:AW346,B292:B346,B311-36)+in_shop_renew^4*SUMIFS(AW292:AW346,B292:B346,B311-48))</f>
        <v/>
      </c>
      <c r="AY311" s="40">
        <f>AY310*(1-IF(B310&gt;=in_marketplace_from,d_hz_sip*G310,0))</f>
        <v/>
      </c>
      <c r="AZ311" s="40">
        <f>AZ310*d_rho_sip+AY311*IF(B311&gt;=in_marketplace_from,d_hz_sip*G311,0)</f>
        <v/>
      </c>
      <c r="BA311" s="40">
        <f>d_rho_sip*(BA310+AZ310)</f>
        <v/>
      </c>
      <c r="BB311" s="14">
        <f>F311*in_sip_ticket*(BA311+0.5*AZ311)*in_sip_comm/12</f>
        <v/>
      </c>
      <c r="BC311" s="40">
        <f>BC310*(1-IF(B310&gt;=in_marketplace_from,d_hz_choti*G310,0))</f>
        <v/>
      </c>
      <c r="BD311" s="46">
        <f>BC311*IF(B311&gt;=in_marketplace_from,d_hz_choti*G311,0)</f>
        <v/>
      </c>
      <c r="BE311" s="14">
        <f>F311*SUMIFS(BD292:BD346,B292:B346,B311-in_choti_months)*in_choti_renew*in_choti_ticket</f>
        <v/>
      </c>
      <c r="BF311" s="40">
        <f>BF310*(1-IF(B310&gt;=in_marketplace_from,d_hz_nps*G310,0))</f>
        <v/>
      </c>
      <c r="BG311" s="14">
        <f>F311*BF311*IF(B311&gt;=in_marketplace_from,d_hz_nps*G311,0)*in_nps_ticket*in_nps_comm</f>
        <v/>
      </c>
      <c r="BH311" s="40">
        <f>BH310*(1-IF(B310&gt;=in_marketplace_from,d_hz_gold*G310,0))</f>
        <v/>
      </c>
      <c r="BI311" s="40">
        <f>BI310*d_rho_gold+BH311*IF(B311&gt;=in_marketplace_from,d_hz_gold*G311,0)</f>
        <v/>
      </c>
      <c r="BJ311" s="14">
        <f>F311*BI311*in_gold_ticket*in_gold_comm</f>
        <v/>
      </c>
      <c r="BK311" s="40">
        <f>BK310*(1-IF(B310&gt;=in_marketplace_from,d_hz_fd*G310,0))</f>
        <v/>
      </c>
      <c r="BL311" s="14">
        <f>F311*BK311*IF(B311&gt;=in_marketplace_from,d_hz_fd*G311,0)*in_fd_ticket*in_fd_comm</f>
        <v/>
      </c>
      <c r="BM311" s="40">
        <f>BM310*(1-IF(B310&gt;=in_marketplace_from,d_hz_recharge*G310,0))</f>
        <v/>
      </c>
      <c r="BN311" s="40">
        <f>BN310*d_rho_recharge+BM311*IF(B311&gt;=in_marketplace_from,d_hz_recharge*G311,0)</f>
        <v/>
      </c>
      <c r="BO311" s="14">
        <f>F311*BN311*in_recharge_ticket*in_recharge_comm/12</f>
        <v/>
      </c>
      <c r="BP311" s="40">
        <f>BP310*(1-IF(B310&gt;=in_marketplace_from,d_hz_bills*G310,0))</f>
        <v/>
      </c>
      <c r="BQ311" s="40">
        <f>BQ310*d_rho_bills+BP311*IF(B311&gt;=in_marketplace_from,d_hz_bills*G311,0)</f>
        <v/>
      </c>
      <c r="BR311" s="14">
        <f>F311*BQ311*in_bills_ticket*in_bills_comm/12</f>
        <v/>
      </c>
      <c r="BS311" s="40">
        <f>BS310*(1-IF(B310&gt;=in_marketplace_from,d_hz_loan_gold*G310,0))</f>
        <v/>
      </c>
      <c r="BT311" s="14">
        <f>F311*BS311*IF(B311&gt;=in_marketplace_from,d_hz_loan_gold*G311,0)*in_loan_gold_ticket*in_loan_gold_comm</f>
        <v/>
      </c>
      <c r="BU311" s="40">
        <f>BU310*(1-IF(B310&gt;=in_marketplace_from,d_hz_loan_cd*G310,0))</f>
        <v/>
      </c>
      <c r="BV311" s="14">
        <f>F311*BU311*IF(B311&gt;=in_marketplace_from,d_hz_loan_cd*G311,0)*in_loan_cd_ticket*in_loan_cd_comm</f>
        <v/>
      </c>
      <c r="BW311" s="40">
        <f>BW310*(1-IF(B310&gt;=in_marketplace_from,d_hz_loan_vehicle*G310,0))</f>
        <v/>
      </c>
      <c r="BX311" s="14">
        <f>F311*BW311*IF(B311&gt;=in_marketplace_from,d_hz_loan_vehicle*G311,0)*in_loan_vehicle_ticket*in_loan_vehicle_comm</f>
        <v/>
      </c>
      <c r="BY311" s="40">
        <f>BY310*(1-IF(B310&gt;=in_marketplace_from,d_hz_loan_home*G310,0)*BZ310)</f>
        <v/>
      </c>
      <c r="BZ311" s="11">
        <f>MIN(in_approval_cap,in_loan_home_approval*INDEX('Age profile'!$O$2:$O$61,B311)*(1+in_approval_growth)^(D311-1))</f>
        <v/>
      </c>
      <c r="CA311" s="14">
        <f>F311*BY311*IF(B311&gt;=in_marketplace_from,d_hz_loan_home*G311,0)*BZ311*in_loan_home_ticket*in_loan_home_comm</f>
        <v/>
      </c>
      <c r="CB311" s="40">
        <f>CB310*(1-IF(B310&gt;=in_marketplace_from,d_hz_loan_lap*G310,0)*CC310)</f>
        <v/>
      </c>
      <c r="CC311" s="11">
        <f>MIN(in_approval_cap,in_loan_lap_approval*INDEX('Age profile'!$O$2:$O$61,B311)*(1+in_approval_growth)^(D311-1))</f>
        <v/>
      </c>
      <c r="CD311" s="14">
        <f>F311*CB311*IF(B311&gt;=in_marketplace_from,d_hz_loan_lap*G311,0)*CC311*in_loan_lap_ticket*in_loan_lap_comm</f>
        <v/>
      </c>
      <c r="CE311" s="14">
        <f>AA311+AB311+AC311+AD311+AG311+AJ311+AM311+AP311+AS311+AU311+AX311+BB311+BE311+BG311+BJ311+BL311+BO311+BR311+BT311+BV311+BX311+CA311+CD311</f>
        <v/>
      </c>
    </row>
    <row r="312">
      <c r="A312" s="39" t="n">
        <v>6</v>
      </c>
      <c r="B312" s="39" t="n">
        <v>21</v>
      </c>
      <c r="C312" s="39">
        <f>A312+B312-1</f>
        <v/>
      </c>
      <c r="D312" s="39">
        <f>INT((C312-1)/12)+1</f>
        <v/>
      </c>
      <c r="E312" s="44">
        <f>INDEX(Monthly!$B$2:$B$61,A312)</f>
        <v/>
      </c>
      <c r="F312" s="44">
        <f>E312*INDEX('Age profile'!$B$2:$B$61,B312)</f>
        <v/>
      </c>
      <c r="G312" s="45">
        <f>MIN(in_takeup_cap,INDEX('Age profile'!$N$2:$N$61,B312)*(1+in_takeup_growth)^(D312-1))</f>
        <v/>
      </c>
      <c r="H312" s="11">
        <f>MIN(in_approval_cap,in_approved_first*INDEX('Age profile'!$O$2:$O$61,B312)*(1+in_approval_growth)^(D312-1))</f>
        <v/>
      </c>
      <c r="I312" s="45">
        <f>G312*MIN(in_takeup_cap,INDEX('Age profile'!$O$2:$O$61,B312)*(1+in_approval_growth)^(D312-1))</f>
        <v/>
      </c>
      <c r="J312" s="40">
        <f>(J311-L311)*F312/F311</f>
        <v/>
      </c>
      <c r="K312" s="40">
        <f>(K311-M311)*F312/F311+SUMIFS(O292:O311,B292:B311,B312-1-d_T)*F312</f>
        <v/>
      </c>
      <c r="L312" s="40">
        <f>IF(B312&gt;=in_marketplace_from,J312*d_hz*G312*in_eligible*H312,0)</f>
        <v/>
      </c>
      <c r="M312" s="40">
        <f>IF(B312&gt;=in_marketplace_from,K312*d_hz*G312*in_eligible*in_approved_repeat,0)</f>
        <v/>
      </c>
      <c r="N312" s="40">
        <f>L312+M312</f>
        <v/>
      </c>
      <c r="O312" s="46">
        <f>N312/F312</f>
        <v/>
      </c>
      <c r="P312" s="40">
        <f>F312-J312-K312</f>
        <v/>
      </c>
      <c r="Q312" s="40">
        <f>IF(B312&gt;=in_marketplace_from,(J312+K312)*d_hz*G312,0)</f>
        <v/>
      </c>
      <c r="R312" s="40">
        <f>SUMIFS(N292:N346,B292:B346,"&gt;="&amp;(B312-d_T),B292:B346,"&lt;="&amp;(B312-1))</f>
        <v/>
      </c>
      <c r="S312" s="46">
        <f>(1-d_u)*S311+IF(d_T&gt;in_topup_lag,SUMIFS(O292:O346,B292:B346,B312-in_topup_lag)-d_udrop*SUMIFS(O292:O346,B292:B346,B312-d_T),0)</f>
        <v/>
      </c>
      <c r="T312" s="40">
        <f>F312*d_u*S312</f>
        <v/>
      </c>
      <c r="U312" s="9">
        <f>L312*in_ticket+M312*d_rep_ticket</f>
        <v/>
      </c>
      <c r="V312" s="9">
        <f>U312+T312*d_topup_amt</f>
        <v/>
      </c>
      <c r="W312" s="40">
        <f>N312+T312*d_topup_ratio</f>
        <v/>
      </c>
      <c r="X312" s="40">
        <f>SUMIFS(W292:W346,B292:B346,B312-in_dpd_lag)*d_cured</f>
        <v/>
      </c>
      <c r="Y312" s="40">
        <f>SUMIFS(W292:W346,B292:B346,B312-in_rec_lag)*d_recd</f>
        <v/>
      </c>
      <c r="Z312" s="40">
        <f>IF(AND(B312&gt;=in_marketplace_from,B312&lt;in_marketplace_from+in_card_months),in_card_share/in_card_months*F312*I312,IF(AND(B312&gt;=in_marketplace_from+in_card_months,B312&lt;in_marketplace_from+2*in_card_months),in_card_share*d_card_rem/in_card_months*F312*MIN(in_takeup_cap,(1+in_takeup_growth)^(D312-1))*MIN(in_takeup_cap,(1+in_approval_growth)^(D312-1)),0))</f>
        <v/>
      </c>
      <c r="AA312" s="14">
        <f>V312*in_fee*(1-in_taken_back)</f>
        <v/>
      </c>
      <c r="AB312" s="14">
        <f>SUMIFS(W292:W346,B292:B346,B312-in_dpd_lag)*d_dpd</f>
        <v/>
      </c>
      <c r="AC312" s="14">
        <f>SUMIFS(W292:W346,B292:B346,B312-in_rec_lag)*d_rec</f>
        <v/>
      </c>
      <c r="AD312" s="14">
        <f>Z312*in_card_fee</f>
        <v/>
      </c>
      <c r="AE312" s="40">
        <f>AE311*(1-IF(B311&gt;=in_marketplace_from,d_hz_hlth_small*G311,0))</f>
        <v/>
      </c>
      <c r="AF312" s="46">
        <f>AE312*IF(B312&gt;=in_marketplace_from,d_hz_hlth_small*G312,0)</f>
        <v/>
      </c>
      <c r="AG312" s="14">
        <f>F312*AF312*in_hlth_small_ticket*in_hlth_small_comm*in_ins_partner_share+F312*in_hlth_small_ticket*in_hlth_small_renew_comm*in_ins_partner_share*(in_hlth_small_renew^1*SUMIFS(AF292:AF346,B292:B346,B312-12)+in_hlth_small_renew^2*SUMIFS(AF292:AF346,B292:B346,B312-24)+in_hlth_small_renew^3*SUMIFS(AF292:AF346,B292:B346,B312-36)+in_hlth_small_renew^4*SUMIFS(AF292:AF346,B292:B346,B312-48))</f>
        <v/>
      </c>
      <c r="AH312" s="40">
        <f>AH311*(1-IF(B311&gt;=in_marketplace_from,d_hz_hlth_family*G311,0))</f>
        <v/>
      </c>
      <c r="AI312" s="46">
        <f>AH312*IF(B312&gt;=in_marketplace_from,d_hz_hlth_family*G312,0)</f>
        <v/>
      </c>
      <c r="AJ312" s="14">
        <f>F312*AI312*in_hlth_family_ticket*in_hlth_family_comm*in_ins_partner_share+F312*in_hlth_family_ticket*in_hlth_family_renew_comm*in_ins_partner_share*(in_hlth_family_renew^1*SUMIFS(AI292:AI346,B292:B346,B312-12)+in_hlth_family_renew^2*SUMIFS(AI292:AI346,B292:B346,B312-24)+in_hlth_family_renew^3*SUMIFS(AI292:AI346,B292:B346,B312-36)+in_hlth_family_renew^4*SUMIFS(AI292:AI346,B292:B346,B312-48))</f>
        <v/>
      </c>
      <c r="AK312" s="40">
        <f>AK311*(1-IF(B311&gt;=in_marketplace_from,d_hz_life_term*G311,0))</f>
        <v/>
      </c>
      <c r="AL312" s="46">
        <f>AK312*IF(B312&gt;=in_marketplace_from,d_hz_life_term*G312,0)</f>
        <v/>
      </c>
      <c r="AM312" s="14">
        <f>F312*AL312*in_life_term_ticket*in_life_term_comm*in_ins_partner_share+F312*in_life_term_ticket*in_life_term_renew_comm*in_ins_partner_share*(in_life_term_renew^1*SUMIFS(AL292:AL346,B292:B346,B312-12)+in_life_term_renew^2*SUMIFS(AL292:AL346,B292:B346,B312-24)+in_life_term_renew^3*SUMIFS(AL292:AL346,B292:B346,B312-36)+in_life_term_renew^4*SUMIFS(AL292:AL346,B292:B346,B312-48))</f>
        <v/>
      </c>
      <c r="AN312" s="40">
        <f>AN311*(1-IF(B311&gt;=in_marketplace_from,d_hz_accident*G311,0))</f>
        <v/>
      </c>
      <c r="AO312" s="46">
        <f>AN312*IF(B312&gt;=in_marketplace_from,d_hz_accident*G312,0)</f>
        <v/>
      </c>
      <c r="AP312" s="14">
        <f>F312*AO312*in_accident_ticket*in_accident_comm*in_ins_partner_share+F312*in_accident_ticket*in_accident_renew_comm*in_ins_partner_share*(in_accident_renew^1*SUMIFS(AO292:AO346,B292:B346,B312-12)+in_accident_renew^2*SUMIFS(AO292:AO346,B292:B346,B312-24)+in_accident_renew^3*SUMIFS(AO292:AO346,B292:B346,B312-36)+in_accident_renew^4*SUMIFS(AO292:AO346,B292:B346,B312-48))</f>
        <v/>
      </c>
      <c r="AQ312" s="40">
        <f>AQ311*(1-IF(B311&gt;=in_marketplace_from,d_hz_two_wheeler*G311,0))</f>
        <v/>
      </c>
      <c r="AR312" s="46">
        <f>AQ312*IF(B312&gt;=in_marketplace_from,d_hz_two_wheeler*G312,0)</f>
        <v/>
      </c>
      <c r="AS312" s="14">
        <f>F312*AR312*in_two_wheeler_ticket*in_two_wheeler_comm*in_ins_partner_share+F312*in_two_wheeler_ticket*in_two_wheeler_comm*in_ins_partner_share*(in_two_wheeler_renew^1*SUMIFS(AR292:AR346,B292:B346,B312-12)+in_two_wheeler_renew^2*SUMIFS(AR292:AR346,B292:B346,B312-24)+in_two_wheeler_renew^3*SUMIFS(AR292:AR346,B292:B346,B312-36)+in_two_wheeler_renew^4*SUMIFS(AR292:AR346,B292:B346,B312-48))</f>
        <v/>
      </c>
      <c r="AT312" s="40">
        <f>AT311*(1-IF(B311&gt;=in_marketplace_from,d_hz_device*G311,0))</f>
        <v/>
      </c>
      <c r="AU312" s="14">
        <f>F312*AT312*IF(B312&gt;=in_marketplace_from,d_hz_device*G312,0)*in_device_ticket*in_device_comm*in_ins_partner_share</f>
        <v/>
      </c>
      <c r="AV312" s="40">
        <f>AV311*(1-IF(B311&gt;=in_marketplace_from,d_hz_shop*G311,0))</f>
        <v/>
      </c>
      <c r="AW312" s="46">
        <f>AV312*IF(B312&gt;=in_marketplace_from,d_hz_shop*G312,0)</f>
        <v/>
      </c>
      <c r="AX312" s="14">
        <f>F312*AW312*in_shop_ticket*in_shop_comm*in_ins_partner_share+F312*in_shop_ticket*in_shop_renew_comm*in_ins_partner_share*(in_shop_renew^1*SUMIFS(AW292:AW346,B292:B346,B312-12)+in_shop_renew^2*SUMIFS(AW292:AW346,B292:B346,B312-24)+in_shop_renew^3*SUMIFS(AW292:AW346,B292:B346,B312-36)+in_shop_renew^4*SUMIFS(AW292:AW346,B292:B346,B312-48))</f>
        <v/>
      </c>
      <c r="AY312" s="40">
        <f>AY311*(1-IF(B311&gt;=in_marketplace_from,d_hz_sip*G311,0))</f>
        <v/>
      </c>
      <c r="AZ312" s="40">
        <f>AZ311*d_rho_sip+AY312*IF(B312&gt;=in_marketplace_from,d_hz_sip*G312,0)</f>
        <v/>
      </c>
      <c r="BA312" s="40">
        <f>d_rho_sip*(BA311+AZ311)</f>
        <v/>
      </c>
      <c r="BB312" s="14">
        <f>F312*in_sip_ticket*(BA312+0.5*AZ312)*in_sip_comm/12</f>
        <v/>
      </c>
      <c r="BC312" s="40">
        <f>BC311*(1-IF(B311&gt;=in_marketplace_from,d_hz_choti*G311,0))</f>
        <v/>
      </c>
      <c r="BD312" s="46">
        <f>BC312*IF(B312&gt;=in_marketplace_from,d_hz_choti*G312,0)</f>
        <v/>
      </c>
      <c r="BE312" s="14">
        <f>F312*SUMIFS(BD292:BD346,B292:B346,B312-in_choti_months)*in_choti_renew*in_choti_ticket</f>
        <v/>
      </c>
      <c r="BF312" s="40">
        <f>BF311*(1-IF(B311&gt;=in_marketplace_from,d_hz_nps*G311,0))</f>
        <v/>
      </c>
      <c r="BG312" s="14">
        <f>F312*BF312*IF(B312&gt;=in_marketplace_from,d_hz_nps*G312,0)*in_nps_ticket*in_nps_comm</f>
        <v/>
      </c>
      <c r="BH312" s="40">
        <f>BH311*(1-IF(B311&gt;=in_marketplace_from,d_hz_gold*G311,0))</f>
        <v/>
      </c>
      <c r="BI312" s="40">
        <f>BI311*d_rho_gold+BH312*IF(B312&gt;=in_marketplace_from,d_hz_gold*G312,0)</f>
        <v/>
      </c>
      <c r="BJ312" s="14">
        <f>F312*BI312*in_gold_ticket*in_gold_comm</f>
        <v/>
      </c>
      <c r="BK312" s="40">
        <f>BK311*(1-IF(B311&gt;=in_marketplace_from,d_hz_fd*G311,0))</f>
        <v/>
      </c>
      <c r="BL312" s="14">
        <f>F312*BK312*IF(B312&gt;=in_marketplace_from,d_hz_fd*G312,0)*in_fd_ticket*in_fd_comm</f>
        <v/>
      </c>
      <c r="BM312" s="40">
        <f>BM311*(1-IF(B311&gt;=in_marketplace_from,d_hz_recharge*G311,0))</f>
        <v/>
      </c>
      <c r="BN312" s="40">
        <f>BN311*d_rho_recharge+BM312*IF(B312&gt;=in_marketplace_from,d_hz_recharge*G312,0)</f>
        <v/>
      </c>
      <c r="BO312" s="14">
        <f>F312*BN312*in_recharge_ticket*in_recharge_comm/12</f>
        <v/>
      </c>
      <c r="BP312" s="40">
        <f>BP311*(1-IF(B311&gt;=in_marketplace_from,d_hz_bills*G311,0))</f>
        <v/>
      </c>
      <c r="BQ312" s="40">
        <f>BQ311*d_rho_bills+BP312*IF(B312&gt;=in_marketplace_from,d_hz_bills*G312,0)</f>
        <v/>
      </c>
      <c r="BR312" s="14">
        <f>F312*BQ312*in_bills_ticket*in_bills_comm/12</f>
        <v/>
      </c>
      <c r="BS312" s="40">
        <f>BS311*(1-IF(B311&gt;=in_marketplace_from,d_hz_loan_gold*G311,0))</f>
        <v/>
      </c>
      <c r="BT312" s="14">
        <f>F312*BS312*IF(B312&gt;=in_marketplace_from,d_hz_loan_gold*G312,0)*in_loan_gold_ticket*in_loan_gold_comm</f>
        <v/>
      </c>
      <c r="BU312" s="40">
        <f>BU311*(1-IF(B311&gt;=in_marketplace_from,d_hz_loan_cd*G311,0))</f>
        <v/>
      </c>
      <c r="BV312" s="14">
        <f>F312*BU312*IF(B312&gt;=in_marketplace_from,d_hz_loan_cd*G312,0)*in_loan_cd_ticket*in_loan_cd_comm</f>
        <v/>
      </c>
      <c r="BW312" s="40">
        <f>BW311*(1-IF(B311&gt;=in_marketplace_from,d_hz_loan_vehicle*G311,0))</f>
        <v/>
      </c>
      <c r="BX312" s="14">
        <f>F312*BW312*IF(B312&gt;=in_marketplace_from,d_hz_loan_vehicle*G312,0)*in_loan_vehicle_ticket*in_loan_vehicle_comm</f>
        <v/>
      </c>
      <c r="BY312" s="40">
        <f>BY311*(1-IF(B311&gt;=in_marketplace_from,d_hz_loan_home*G311,0)*BZ311)</f>
        <v/>
      </c>
      <c r="BZ312" s="11">
        <f>MIN(in_approval_cap,in_loan_home_approval*INDEX('Age profile'!$O$2:$O$61,B312)*(1+in_approval_growth)^(D312-1))</f>
        <v/>
      </c>
      <c r="CA312" s="14">
        <f>F312*BY312*IF(B312&gt;=in_marketplace_from,d_hz_loan_home*G312,0)*BZ312*in_loan_home_ticket*in_loan_home_comm</f>
        <v/>
      </c>
      <c r="CB312" s="40">
        <f>CB311*(1-IF(B311&gt;=in_marketplace_from,d_hz_loan_lap*G311,0)*CC311)</f>
        <v/>
      </c>
      <c r="CC312" s="11">
        <f>MIN(in_approval_cap,in_loan_lap_approval*INDEX('Age profile'!$O$2:$O$61,B312)*(1+in_approval_growth)^(D312-1))</f>
        <v/>
      </c>
      <c r="CD312" s="14">
        <f>F312*CB312*IF(B312&gt;=in_marketplace_from,d_hz_loan_lap*G312,0)*CC312*in_loan_lap_ticket*in_loan_lap_comm</f>
        <v/>
      </c>
      <c r="CE312" s="14">
        <f>AA312+AB312+AC312+AD312+AG312+AJ312+AM312+AP312+AS312+AU312+AX312+BB312+BE312+BG312+BJ312+BL312+BO312+BR312+BT312+BV312+BX312+CA312+CD312</f>
        <v/>
      </c>
    </row>
    <row r="313">
      <c r="A313" s="39" t="n">
        <v>6</v>
      </c>
      <c r="B313" s="39" t="n">
        <v>22</v>
      </c>
      <c r="C313" s="39">
        <f>A313+B313-1</f>
        <v/>
      </c>
      <c r="D313" s="39">
        <f>INT((C313-1)/12)+1</f>
        <v/>
      </c>
      <c r="E313" s="44">
        <f>INDEX(Monthly!$B$2:$B$61,A313)</f>
        <v/>
      </c>
      <c r="F313" s="44">
        <f>E313*INDEX('Age profile'!$B$2:$B$61,B313)</f>
        <v/>
      </c>
      <c r="G313" s="45">
        <f>MIN(in_takeup_cap,INDEX('Age profile'!$N$2:$N$61,B313)*(1+in_takeup_growth)^(D313-1))</f>
        <v/>
      </c>
      <c r="H313" s="11">
        <f>MIN(in_approval_cap,in_approved_first*INDEX('Age profile'!$O$2:$O$61,B313)*(1+in_approval_growth)^(D313-1))</f>
        <v/>
      </c>
      <c r="I313" s="45">
        <f>G313*MIN(in_takeup_cap,INDEX('Age profile'!$O$2:$O$61,B313)*(1+in_approval_growth)^(D313-1))</f>
        <v/>
      </c>
      <c r="J313" s="40">
        <f>(J312-L312)*F313/F312</f>
        <v/>
      </c>
      <c r="K313" s="40">
        <f>(K312-M312)*F313/F312+SUMIFS(O292:O312,B292:B312,B313-1-d_T)*F313</f>
        <v/>
      </c>
      <c r="L313" s="40">
        <f>IF(B313&gt;=in_marketplace_from,J313*d_hz*G313*in_eligible*H313,0)</f>
        <v/>
      </c>
      <c r="M313" s="40">
        <f>IF(B313&gt;=in_marketplace_from,K313*d_hz*G313*in_eligible*in_approved_repeat,0)</f>
        <v/>
      </c>
      <c r="N313" s="40">
        <f>L313+M313</f>
        <v/>
      </c>
      <c r="O313" s="46">
        <f>N313/F313</f>
        <v/>
      </c>
      <c r="P313" s="40">
        <f>F313-J313-K313</f>
        <v/>
      </c>
      <c r="Q313" s="40">
        <f>IF(B313&gt;=in_marketplace_from,(J313+K313)*d_hz*G313,0)</f>
        <v/>
      </c>
      <c r="R313" s="40">
        <f>SUMIFS(N292:N346,B292:B346,"&gt;="&amp;(B313-d_T),B292:B346,"&lt;="&amp;(B313-1))</f>
        <v/>
      </c>
      <c r="S313" s="46">
        <f>(1-d_u)*S312+IF(d_T&gt;in_topup_lag,SUMIFS(O292:O346,B292:B346,B313-in_topup_lag)-d_udrop*SUMIFS(O292:O346,B292:B346,B313-d_T),0)</f>
        <v/>
      </c>
      <c r="T313" s="40">
        <f>F313*d_u*S313</f>
        <v/>
      </c>
      <c r="U313" s="9">
        <f>L313*in_ticket+M313*d_rep_ticket</f>
        <v/>
      </c>
      <c r="V313" s="9">
        <f>U313+T313*d_topup_amt</f>
        <v/>
      </c>
      <c r="W313" s="40">
        <f>N313+T313*d_topup_ratio</f>
        <v/>
      </c>
      <c r="X313" s="40">
        <f>SUMIFS(W292:W346,B292:B346,B313-in_dpd_lag)*d_cured</f>
        <v/>
      </c>
      <c r="Y313" s="40">
        <f>SUMIFS(W292:W346,B292:B346,B313-in_rec_lag)*d_recd</f>
        <v/>
      </c>
      <c r="Z313" s="40">
        <f>IF(AND(B313&gt;=in_marketplace_from,B313&lt;in_marketplace_from+in_card_months),in_card_share/in_card_months*F313*I313,IF(AND(B313&gt;=in_marketplace_from+in_card_months,B313&lt;in_marketplace_from+2*in_card_months),in_card_share*d_card_rem/in_card_months*F313*MIN(in_takeup_cap,(1+in_takeup_growth)^(D313-1))*MIN(in_takeup_cap,(1+in_approval_growth)^(D313-1)),0))</f>
        <v/>
      </c>
      <c r="AA313" s="14">
        <f>V313*in_fee*(1-in_taken_back)</f>
        <v/>
      </c>
      <c r="AB313" s="14">
        <f>SUMIFS(W292:W346,B292:B346,B313-in_dpd_lag)*d_dpd</f>
        <v/>
      </c>
      <c r="AC313" s="14">
        <f>SUMIFS(W292:W346,B292:B346,B313-in_rec_lag)*d_rec</f>
        <v/>
      </c>
      <c r="AD313" s="14">
        <f>Z313*in_card_fee</f>
        <v/>
      </c>
      <c r="AE313" s="40">
        <f>AE312*(1-IF(B312&gt;=in_marketplace_from,d_hz_hlth_small*G312,0))</f>
        <v/>
      </c>
      <c r="AF313" s="46">
        <f>AE313*IF(B313&gt;=in_marketplace_from,d_hz_hlth_small*G313,0)</f>
        <v/>
      </c>
      <c r="AG313" s="14">
        <f>F313*AF313*in_hlth_small_ticket*in_hlth_small_comm*in_ins_partner_share+F313*in_hlth_small_ticket*in_hlth_small_renew_comm*in_ins_partner_share*(in_hlth_small_renew^1*SUMIFS(AF292:AF346,B292:B346,B313-12)+in_hlth_small_renew^2*SUMIFS(AF292:AF346,B292:B346,B313-24)+in_hlth_small_renew^3*SUMIFS(AF292:AF346,B292:B346,B313-36)+in_hlth_small_renew^4*SUMIFS(AF292:AF346,B292:B346,B313-48))</f>
        <v/>
      </c>
      <c r="AH313" s="40">
        <f>AH312*(1-IF(B312&gt;=in_marketplace_from,d_hz_hlth_family*G312,0))</f>
        <v/>
      </c>
      <c r="AI313" s="46">
        <f>AH313*IF(B313&gt;=in_marketplace_from,d_hz_hlth_family*G313,0)</f>
        <v/>
      </c>
      <c r="AJ313" s="14">
        <f>F313*AI313*in_hlth_family_ticket*in_hlth_family_comm*in_ins_partner_share+F313*in_hlth_family_ticket*in_hlth_family_renew_comm*in_ins_partner_share*(in_hlth_family_renew^1*SUMIFS(AI292:AI346,B292:B346,B313-12)+in_hlth_family_renew^2*SUMIFS(AI292:AI346,B292:B346,B313-24)+in_hlth_family_renew^3*SUMIFS(AI292:AI346,B292:B346,B313-36)+in_hlth_family_renew^4*SUMIFS(AI292:AI346,B292:B346,B313-48))</f>
        <v/>
      </c>
      <c r="AK313" s="40">
        <f>AK312*(1-IF(B312&gt;=in_marketplace_from,d_hz_life_term*G312,0))</f>
        <v/>
      </c>
      <c r="AL313" s="46">
        <f>AK313*IF(B313&gt;=in_marketplace_from,d_hz_life_term*G313,0)</f>
        <v/>
      </c>
      <c r="AM313" s="14">
        <f>F313*AL313*in_life_term_ticket*in_life_term_comm*in_ins_partner_share+F313*in_life_term_ticket*in_life_term_renew_comm*in_ins_partner_share*(in_life_term_renew^1*SUMIFS(AL292:AL346,B292:B346,B313-12)+in_life_term_renew^2*SUMIFS(AL292:AL346,B292:B346,B313-24)+in_life_term_renew^3*SUMIFS(AL292:AL346,B292:B346,B313-36)+in_life_term_renew^4*SUMIFS(AL292:AL346,B292:B346,B313-48))</f>
        <v/>
      </c>
      <c r="AN313" s="40">
        <f>AN312*(1-IF(B312&gt;=in_marketplace_from,d_hz_accident*G312,0))</f>
        <v/>
      </c>
      <c r="AO313" s="46">
        <f>AN313*IF(B313&gt;=in_marketplace_from,d_hz_accident*G313,0)</f>
        <v/>
      </c>
      <c r="AP313" s="14">
        <f>F313*AO313*in_accident_ticket*in_accident_comm*in_ins_partner_share+F313*in_accident_ticket*in_accident_renew_comm*in_ins_partner_share*(in_accident_renew^1*SUMIFS(AO292:AO346,B292:B346,B313-12)+in_accident_renew^2*SUMIFS(AO292:AO346,B292:B346,B313-24)+in_accident_renew^3*SUMIFS(AO292:AO346,B292:B346,B313-36)+in_accident_renew^4*SUMIFS(AO292:AO346,B292:B346,B313-48))</f>
        <v/>
      </c>
      <c r="AQ313" s="40">
        <f>AQ312*(1-IF(B312&gt;=in_marketplace_from,d_hz_two_wheeler*G312,0))</f>
        <v/>
      </c>
      <c r="AR313" s="46">
        <f>AQ313*IF(B313&gt;=in_marketplace_from,d_hz_two_wheeler*G313,0)</f>
        <v/>
      </c>
      <c r="AS313" s="14">
        <f>F313*AR313*in_two_wheeler_ticket*in_two_wheeler_comm*in_ins_partner_share+F313*in_two_wheeler_ticket*in_two_wheeler_comm*in_ins_partner_share*(in_two_wheeler_renew^1*SUMIFS(AR292:AR346,B292:B346,B313-12)+in_two_wheeler_renew^2*SUMIFS(AR292:AR346,B292:B346,B313-24)+in_two_wheeler_renew^3*SUMIFS(AR292:AR346,B292:B346,B313-36)+in_two_wheeler_renew^4*SUMIFS(AR292:AR346,B292:B346,B313-48))</f>
        <v/>
      </c>
      <c r="AT313" s="40">
        <f>AT312*(1-IF(B312&gt;=in_marketplace_from,d_hz_device*G312,0))</f>
        <v/>
      </c>
      <c r="AU313" s="14">
        <f>F313*AT313*IF(B313&gt;=in_marketplace_from,d_hz_device*G313,0)*in_device_ticket*in_device_comm*in_ins_partner_share</f>
        <v/>
      </c>
      <c r="AV313" s="40">
        <f>AV312*(1-IF(B312&gt;=in_marketplace_from,d_hz_shop*G312,0))</f>
        <v/>
      </c>
      <c r="AW313" s="46">
        <f>AV313*IF(B313&gt;=in_marketplace_from,d_hz_shop*G313,0)</f>
        <v/>
      </c>
      <c r="AX313" s="14">
        <f>F313*AW313*in_shop_ticket*in_shop_comm*in_ins_partner_share+F313*in_shop_ticket*in_shop_renew_comm*in_ins_partner_share*(in_shop_renew^1*SUMIFS(AW292:AW346,B292:B346,B313-12)+in_shop_renew^2*SUMIFS(AW292:AW346,B292:B346,B313-24)+in_shop_renew^3*SUMIFS(AW292:AW346,B292:B346,B313-36)+in_shop_renew^4*SUMIFS(AW292:AW346,B292:B346,B313-48))</f>
        <v/>
      </c>
      <c r="AY313" s="40">
        <f>AY312*(1-IF(B312&gt;=in_marketplace_from,d_hz_sip*G312,0))</f>
        <v/>
      </c>
      <c r="AZ313" s="40">
        <f>AZ312*d_rho_sip+AY313*IF(B313&gt;=in_marketplace_from,d_hz_sip*G313,0)</f>
        <v/>
      </c>
      <c r="BA313" s="40">
        <f>d_rho_sip*(BA312+AZ312)</f>
        <v/>
      </c>
      <c r="BB313" s="14">
        <f>F313*in_sip_ticket*(BA313+0.5*AZ313)*in_sip_comm/12</f>
        <v/>
      </c>
      <c r="BC313" s="40">
        <f>BC312*(1-IF(B312&gt;=in_marketplace_from,d_hz_choti*G312,0))</f>
        <v/>
      </c>
      <c r="BD313" s="46">
        <f>BC313*IF(B313&gt;=in_marketplace_from,d_hz_choti*G313,0)</f>
        <v/>
      </c>
      <c r="BE313" s="14">
        <f>F313*SUMIFS(BD292:BD346,B292:B346,B313-in_choti_months)*in_choti_renew*in_choti_ticket</f>
        <v/>
      </c>
      <c r="BF313" s="40">
        <f>BF312*(1-IF(B312&gt;=in_marketplace_from,d_hz_nps*G312,0))</f>
        <v/>
      </c>
      <c r="BG313" s="14">
        <f>F313*BF313*IF(B313&gt;=in_marketplace_from,d_hz_nps*G313,0)*in_nps_ticket*in_nps_comm</f>
        <v/>
      </c>
      <c r="BH313" s="40">
        <f>BH312*(1-IF(B312&gt;=in_marketplace_from,d_hz_gold*G312,0))</f>
        <v/>
      </c>
      <c r="BI313" s="40">
        <f>BI312*d_rho_gold+BH313*IF(B313&gt;=in_marketplace_from,d_hz_gold*G313,0)</f>
        <v/>
      </c>
      <c r="BJ313" s="14">
        <f>F313*BI313*in_gold_ticket*in_gold_comm</f>
        <v/>
      </c>
      <c r="BK313" s="40">
        <f>BK312*(1-IF(B312&gt;=in_marketplace_from,d_hz_fd*G312,0))</f>
        <v/>
      </c>
      <c r="BL313" s="14">
        <f>F313*BK313*IF(B313&gt;=in_marketplace_from,d_hz_fd*G313,0)*in_fd_ticket*in_fd_comm</f>
        <v/>
      </c>
      <c r="BM313" s="40">
        <f>BM312*(1-IF(B312&gt;=in_marketplace_from,d_hz_recharge*G312,0))</f>
        <v/>
      </c>
      <c r="BN313" s="40">
        <f>BN312*d_rho_recharge+BM313*IF(B313&gt;=in_marketplace_from,d_hz_recharge*G313,0)</f>
        <v/>
      </c>
      <c r="BO313" s="14">
        <f>F313*BN313*in_recharge_ticket*in_recharge_comm/12</f>
        <v/>
      </c>
      <c r="BP313" s="40">
        <f>BP312*(1-IF(B312&gt;=in_marketplace_from,d_hz_bills*G312,0))</f>
        <v/>
      </c>
      <c r="BQ313" s="40">
        <f>BQ312*d_rho_bills+BP313*IF(B313&gt;=in_marketplace_from,d_hz_bills*G313,0)</f>
        <v/>
      </c>
      <c r="BR313" s="14">
        <f>F313*BQ313*in_bills_ticket*in_bills_comm/12</f>
        <v/>
      </c>
      <c r="BS313" s="40">
        <f>BS312*(1-IF(B312&gt;=in_marketplace_from,d_hz_loan_gold*G312,0))</f>
        <v/>
      </c>
      <c r="BT313" s="14">
        <f>F313*BS313*IF(B313&gt;=in_marketplace_from,d_hz_loan_gold*G313,0)*in_loan_gold_ticket*in_loan_gold_comm</f>
        <v/>
      </c>
      <c r="BU313" s="40">
        <f>BU312*(1-IF(B312&gt;=in_marketplace_from,d_hz_loan_cd*G312,0))</f>
        <v/>
      </c>
      <c r="BV313" s="14">
        <f>F313*BU313*IF(B313&gt;=in_marketplace_from,d_hz_loan_cd*G313,0)*in_loan_cd_ticket*in_loan_cd_comm</f>
        <v/>
      </c>
      <c r="BW313" s="40">
        <f>BW312*(1-IF(B312&gt;=in_marketplace_from,d_hz_loan_vehicle*G312,0))</f>
        <v/>
      </c>
      <c r="BX313" s="14">
        <f>F313*BW313*IF(B313&gt;=in_marketplace_from,d_hz_loan_vehicle*G313,0)*in_loan_vehicle_ticket*in_loan_vehicle_comm</f>
        <v/>
      </c>
      <c r="BY313" s="40">
        <f>BY312*(1-IF(B312&gt;=in_marketplace_from,d_hz_loan_home*G312,0)*BZ312)</f>
        <v/>
      </c>
      <c r="BZ313" s="11">
        <f>MIN(in_approval_cap,in_loan_home_approval*INDEX('Age profile'!$O$2:$O$61,B313)*(1+in_approval_growth)^(D313-1))</f>
        <v/>
      </c>
      <c r="CA313" s="14">
        <f>F313*BY313*IF(B313&gt;=in_marketplace_from,d_hz_loan_home*G313,0)*BZ313*in_loan_home_ticket*in_loan_home_comm</f>
        <v/>
      </c>
      <c r="CB313" s="40">
        <f>CB312*(1-IF(B312&gt;=in_marketplace_from,d_hz_loan_lap*G312,0)*CC312)</f>
        <v/>
      </c>
      <c r="CC313" s="11">
        <f>MIN(in_approval_cap,in_loan_lap_approval*INDEX('Age profile'!$O$2:$O$61,B313)*(1+in_approval_growth)^(D313-1))</f>
        <v/>
      </c>
      <c r="CD313" s="14">
        <f>F313*CB313*IF(B313&gt;=in_marketplace_from,d_hz_loan_lap*G313,0)*CC313*in_loan_lap_ticket*in_loan_lap_comm</f>
        <v/>
      </c>
      <c r="CE313" s="14">
        <f>AA313+AB313+AC313+AD313+AG313+AJ313+AM313+AP313+AS313+AU313+AX313+BB313+BE313+BG313+BJ313+BL313+BO313+BR313+BT313+BV313+BX313+CA313+CD313</f>
        <v/>
      </c>
    </row>
    <row r="314">
      <c r="A314" s="39" t="n">
        <v>6</v>
      </c>
      <c r="B314" s="39" t="n">
        <v>23</v>
      </c>
      <c r="C314" s="39">
        <f>A314+B314-1</f>
        <v/>
      </c>
      <c r="D314" s="39">
        <f>INT((C314-1)/12)+1</f>
        <v/>
      </c>
      <c r="E314" s="44">
        <f>INDEX(Monthly!$B$2:$B$61,A314)</f>
        <v/>
      </c>
      <c r="F314" s="44">
        <f>E314*INDEX('Age profile'!$B$2:$B$61,B314)</f>
        <v/>
      </c>
      <c r="G314" s="45">
        <f>MIN(in_takeup_cap,INDEX('Age profile'!$N$2:$N$61,B314)*(1+in_takeup_growth)^(D314-1))</f>
        <v/>
      </c>
      <c r="H314" s="11">
        <f>MIN(in_approval_cap,in_approved_first*INDEX('Age profile'!$O$2:$O$61,B314)*(1+in_approval_growth)^(D314-1))</f>
        <v/>
      </c>
      <c r="I314" s="45">
        <f>G314*MIN(in_takeup_cap,INDEX('Age profile'!$O$2:$O$61,B314)*(1+in_approval_growth)^(D314-1))</f>
        <v/>
      </c>
      <c r="J314" s="40">
        <f>(J313-L313)*F314/F313</f>
        <v/>
      </c>
      <c r="K314" s="40">
        <f>(K313-M313)*F314/F313+SUMIFS(O292:O313,B292:B313,B314-1-d_T)*F314</f>
        <v/>
      </c>
      <c r="L314" s="40">
        <f>IF(B314&gt;=in_marketplace_from,J314*d_hz*G314*in_eligible*H314,0)</f>
        <v/>
      </c>
      <c r="M314" s="40">
        <f>IF(B314&gt;=in_marketplace_from,K314*d_hz*G314*in_eligible*in_approved_repeat,0)</f>
        <v/>
      </c>
      <c r="N314" s="40">
        <f>L314+M314</f>
        <v/>
      </c>
      <c r="O314" s="46">
        <f>N314/F314</f>
        <v/>
      </c>
      <c r="P314" s="40">
        <f>F314-J314-K314</f>
        <v/>
      </c>
      <c r="Q314" s="40">
        <f>IF(B314&gt;=in_marketplace_from,(J314+K314)*d_hz*G314,0)</f>
        <v/>
      </c>
      <c r="R314" s="40">
        <f>SUMIFS(N292:N346,B292:B346,"&gt;="&amp;(B314-d_T),B292:B346,"&lt;="&amp;(B314-1))</f>
        <v/>
      </c>
      <c r="S314" s="46">
        <f>(1-d_u)*S313+IF(d_T&gt;in_topup_lag,SUMIFS(O292:O346,B292:B346,B314-in_topup_lag)-d_udrop*SUMIFS(O292:O346,B292:B346,B314-d_T),0)</f>
        <v/>
      </c>
      <c r="T314" s="40">
        <f>F314*d_u*S314</f>
        <v/>
      </c>
      <c r="U314" s="9">
        <f>L314*in_ticket+M314*d_rep_ticket</f>
        <v/>
      </c>
      <c r="V314" s="9">
        <f>U314+T314*d_topup_amt</f>
        <v/>
      </c>
      <c r="W314" s="40">
        <f>N314+T314*d_topup_ratio</f>
        <v/>
      </c>
      <c r="X314" s="40">
        <f>SUMIFS(W292:W346,B292:B346,B314-in_dpd_lag)*d_cured</f>
        <v/>
      </c>
      <c r="Y314" s="40">
        <f>SUMIFS(W292:W346,B292:B346,B314-in_rec_lag)*d_recd</f>
        <v/>
      </c>
      <c r="Z314" s="40">
        <f>IF(AND(B314&gt;=in_marketplace_from,B314&lt;in_marketplace_from+in_card_months),in_card_share/in_card_months*F314*I314,IF(AND(B314&gt;=in_marketplace_from+in_card_months,B314&lt;in_marketplace_from+2*in_card_months),in_card_share*d_card_rem/in_card_months*F314*MIN(in_takeup_cap,(1+in_takeup_growth)^(D314-1))*MIN(in_takeup_cap,(1+in_approval_growth)^(D314-1)),0))</f>
        <v/>
      </c>
      <c r="AA314" s="14">
        <f>V314*in_fee*(1-in_taken_back)</f>
        <v/>
      </c>
      <c r="AB314" s="14">
        <f>SUMIFS(W292:W346,B292:B346,B314-in_dpd_lag)*d_dpd</f>
        <v/>
      </c>
      <c r="AC314" s="14">
        <f>SUMIFS(W292:W346,B292:B346,B314-in_rec_lag)*d_rec</f>
        <v/>
      </c>
      <c r="AD314" s="14">
        <f>Z314*in_card_fee</f>
        <v/>
      </c>
      <c r="AE314" s="40">
        <f>AE313*(1-IF(B313&gt;=in_marketplace_from,d_hz_hlth_small*G313,0))</f>
        <v/>
      </c>
      <c r="AF314" s="46">
        <f>AE314*IF(B314&gt;=in_marketplace_from,d_hz_hlth_small*G314,0)</f>
        <v/>
      </c>
      <c r="AG314" s="14">
        <f>F314*AF314*in_hlth_small_ticket*in_hlth_small_comm*in_ins_partner_share+F314*in_hlth_small_ticket*in_hlth_small_renew_comm*in_ins_partner_share*(in_hlth_small_renew^1*SUMIFS(AF292:AF346,B292:B346,B314-12)+in_hlth_small_renew^2*SUMIFS(AF292:AF346,B292:B346,B314-24)+in_hlth_small_renew^3*SUMIFS(AF292:AF346,B292:B346,B314-36)+in_hlth_small_renew^4*SUMIFS(AF292:AF346,B292:B346,B314-48))</f>
        <v/>
      </c>
      <c r="AH314" s="40">
        <f>AH313*(1-IF(B313&gt;=in_marketplace_from,d_hz_hlth_family*G313,0))</f>
        <v/>
      </c>
      <c r="AI314" s="46">
        <f>AH314*IF(B314&gt;=in_marketplace_from,d_hz_hlth_family*G314,0)</f>
        <v/>
      </c>
      <c r="AJ314" s="14">
        <f>F314*AI314*in_hlth_family_ticket*in_hlth_family_comm*in_ins_partner_share+F314*in_hlth_family_ticket*in_hlth_family_renew_comm*in_ins_partner_share*(in_hlth_family_renew^1*SUMIFS(AI292:AI346,B292:B346,B314-12)+in_hlth_family_renew^2*SUMIFS(AI292:AI346,B292:B346,B314-24)+in_hlth_family_renew^3*SUMIFS(AI292:AI346,B292:B346,B314-36)+in_hlth_family_renew^4*SUMIFS(AI292:AI346,B292:B346,B314-48))</f>
        <v/>
      </c>
      <c r="AK314" s="40">
        <f>AK313*(1-IF(B313&gt;=in_marketplace_from,d_hz_life_term*G313,0))</f>
        <v/>
      </c>
      <c r="AL314" s="46">
        <f>AK314*IF(B314&gt;=in_marketplace_from,d_hz_life_term*G314,0)</f>
        <v/>
      </c>
      <c r="AM314" s="14">
        <f>F314*AL314*in_life_term_ticket*in_life_term_comm*in_ins_partner_share+F314*in_life_term_ticket*in_life_term_renew_comm*in_ins_partner_share*(in_life_term_renew^1*SUMIFS(AL292:AL346,B292:B346,B314-12)+in_life_term_renew^2*SUMIFS(AL292:AL346,B292:B346,B314-24)+in_life_term_renew^3*SUMIFS(AL292:AL346,B292:B346,B314-36)+in_life_term_renew^4*SUMIFS(AL292:AL346,B292:B346,B314-48))</f>
        <v/>
      </c>
      <c r="AN314" s="40">
        <f>AN313*(1-IF(B313&gt;=in_marketplace_from,d_hz_accident*G313,0))</f>
        <v/>
      </c>
      <c r="AO314" s="46">
        <f>AN314*IF(B314&gt;=in_marketplace_from,d_hz_accident*G314,0)</f>
        <v/>
      </c>
      <c r="AP314" s="14">
        <f>F314*AO314*in_accident_ticket*in_accident_comm*in_ins_partner_share+F314*in_accident_ticket*in_accident_renew_comm*in_ins_partner_share*(in_accident_renew^1*SUMIFS(AO292:AO346,B292:B346,B314-12)+in_accident_renew^2*SUMIFS(AO292:AO346,B292:B346,B314-24)+in_accident_renew^3*SUMIFS(AO292:AO346,B292:B346,B314-36)+in_accident_renew^4*SUMIFS(AO292:AO346,B292:B346,B314-48))</f>
        <v/>
      </c>
      <c r="AQ314" s="40">
        <f>AQ313*(1-IF(B313&gt;=in_marketplace_from,d_hz_two_wheeler*G313,0))</f>
        <v/>
      </c>
      <c r="AR314" s="46">
        <f>AQ314*IF(B314&gt;=in_marketplace_from,d_hz_two_wheeler*G314,0)</f>
        <v/>
      </c>
      <c r="AS314" s="14">
        <f>F314*AR314*in_two_wheeler_ticket*in_two_wheeler_comm*in_ins_partner_share+F314*in_two_wheeler_ticket*in_two_wheeler_comm*in_ins_partner_share*(in_two_wheeler_renew^1*SUMIFS(AR292:AR346,B292:B346,B314-12)+in_two_wheeler_renew^2*SUMIFS(AR292:AR346,B292:B346,B314-24)+in_two_wheeler_renew^3*SUMIFS(AR292:AR346,B292:B346,B314-36)+in_two_wheeler_renew^4*SUMIFS(AR292:AR346,B292:B346,B314-48))</f>
        <v/>
      </c>
      <c r="AT314" s="40">
        <f>AT313*(1-IF(B313&gt;=in_marketplace_from,d_hz_device*G313,0))</f>
        <v/>
      </c>
      <c r="AU314" s="14">
        <f>F314*AT314*IF(B314&gt;=in_marketplace_from,d_hz_device*G314,0)*in_device_ticket*in_device_comm*in_ins_partner_share</f>
        <v/>
      </c>
      <c r="AV314" s="40">
        <f>AV313*(1-IF(B313&gt;=in_marketplace_from,d_hz_shop*G313,0))</f>
        <v/>
      </c>
      <c r="AW314" s="46">
        <f>AV314*IF(B314&gt;=in_marketplace_from,d_hz_shop*G314,0)</f>
        <v/>
      </c>
      <c r="AX314" s="14">
        <f>F314*AW314*in_shop_ticket*in_shop_comm*in_ins_partner_share+F314*in_shop_ticket*in_shop_renew_comm*in_ins_partner_share*(in_shop_renew^1*SUMIFS(AW292:AW346,B292:B346,B314-12)+in_shop_renew^2*SUMIFS(AW292:AW346,B292:B346,B314-24)+in_shop_renew^3*SUMIFS(AW292:AW346,B292:B346,B314-36)+in_shop_renew^4*SUMIFS(AW292:AW346,B292:B346,B314-48))</f>
        <v/>
      </c>
      <c r="AY314" s="40">
        <f>AY313*(1-IF(B313&gt;=in_marketplace_from,d_hz_sip*G313,0))</f>
        <v/>
      </c>
      <c r="AZ314" s="40">
        <f>AZ313*d_rho_sip+AY314*IF(B314&gt;=in_marketplace_from,d_hz_sip*G314,0)</f>
        <v/>
      </c>
      <c r="BA314" s="40">
        <f>d_rho_sip*(BA313+AZ313)</f>
        <v/>
      </c>
      <c r="BB314" s="14">
        <f>F314*in_sip_ticket*(BA314+0.5*AZ314)*in_sip_comm/12</f>
        <v/>
      </c>
      <c r="BC314" s="40">
        <f>BC313*(1-IF(B313&gt;=in_marketplace_from,d_hz_choti*G313,0))</f>
        <v/>
      </c>
      <c r="BD314" s="46">
        <f>BC314*IF(B314&gt;=in_marketplace_from,d_hz_choti*G314,0)</f>
        <v/>
      </c>
      <c r="BE314" s="14">
        <f>F314*SUMIFS(BD292:BD346,B292:B346,B314-in_choti_months)*in_choti_renew*in_choti_ticket</f>
        <v/>
      </c>
      <c r="BF314" s="40">
        <f>BF313*(1-IF(B313&gt;=in_marketplace_from,d_hz_nps*G313,0))</f>
        <v/>
      </c>
      <c r="BG314" s="14">
        <f>F314*BF314*IF(B314&gt;=in_marketplace_from,d_hz_nps*G314,0)*in_nps_ticket*in_nps_comm</f>
        <v/>
      </c>
      <c r="BH314" s="40">
        <f>BH313*(1-IF(B313&gt;=in_marketplace_from,d_hz_gold*G313,0))</f>
        <v/>
      </c>
      <c r="BI314" s="40">
        <f>BI313*d_rho_gold+BH314*IF(B314&gt;=in_marketplace_from,d_hz_gold*G314,0)</f>
        <v/>
      </c>
      <c r="BJ314" s="14">
        <f>F314*BI314*in_gold_ticket*in_gold_comm</f>
        <v/>
      </c>
      <c r="BK314" s="40">
        <f>BK313*(1-IF(B313&gt;=in_marketplace_from,d_hz_fd*G313,0))</f>
        <v/>
      </c>
      <c r="BL314" s="14">
        <f>F314*BK314*IF(B314&gt;=in_marketplace_from,d_hz_fd*G314,0)*in_fd_ticket*in_fd_comm</f>
        <v/>
      </c>
      <c r="BM314" s="40">
        <f>BM313*(1-IF(B313&gt;=in_marketplace_from,d_hz_recharge*G313,0))</f>
        <v/>
      </c>
      <c r="BN314" s="40">
        <f>BN313*d_rho_recharge+BM314*IF(B314&gt;=in_marketplace_from,d_hz_recharge*G314,0)</f>
        <v/>
      </c>
      <c r="BO314" s="14">
        <f>F314*BN314*in_recharge_ticket*in_recharge_comm/12</f>
        <v/>
      </c>
      <c r="BP314" s="40">
        <f>BP313*(1-IF(B313&gt;=in_marketplace_from,d_hz_bills*G313,0))</f>
        <v/>
      </c>
      <c r="BQ314" s="40">
        <f>BQ313*d_rho_bills+BP314*IF(B314&gt;=in_marketplace_from,d_hz_bills*G314,0)</f>
        <v/>
      </c>
      <c r="BR314" s="14">
        <f>F314*BQ314*in_bills_ticket*in_bills_comm/12</f>
        <v/>
      </c>
      <c r="BS314" s="40">
        <f>BS313*(1-IF(B313&gt;=in_marketplace_from,d_hz_loan_gold*G313,0))</f>
        <v/>
      </c>
      <c r="BT314" s="14">
        <f>F314*BS314*IF(B314&gt;=in_marketplace_from,d_hz_loan_gold*G314,0)*in_loan_gold_ticket*in_loan_gold_comm</f>
        <v/>
      </c>
      <c r="BU314" s="40">
        <f>BU313*(1-IF(B313&gt;=in_marketplace_from,d_hz_loan_cd*G313,0))</f>
        <v/>
      </c>
      <c r="BV314" s="14">
        <f>F314*BU314*IF(B314&gt;=in_marketplace_from,d_hz_loan_cd*G314,0)*in_loan_cd_ticket*in_loan_cd_comm</f>
        <v/>
      </c>
      <c r="BW314" s="40">
        <f>BW313*(1-IF(B313&gt;=in_marketplace_from,d_hz_loan_vehicle*G313,0))</f>
        <v/>
      </c>
      <c r="BX314" s="14">
        <f>F314*BW314*IF(B314&gt;=in_marketplace_from,d_hz_loan_vehicle*G314,0)*in_loan_vehicle_ticket*in_loan_vehicle_comm</f>
        <v/>
      </c>
      <c r="BY314" s="40">
        <f>BY313*(1-IF(B313&gt;=in_marketplace_from,d_hz_loan_home*G313,0)*BZ313)</f>
        <v/>
      </c>
      <c r="BZ314" s="11">
        <f>MIN(in_approval_cap,in_loan_home_approval*INDEX('Age profile'!$O$2:$O$61,B314)*(1+in_approval_growth)^(D314-1))</f>
        <v/>
      </c>
      <c r="CA314" s="14">
        <f>F314*BY314*IF(B314&gt;=in_marketplace_from,d_hz_loan_home*G314,0)*BZ314*in_loan_home_ticket*in_loan_home_comm</f>
        <v/>
      </c>
      <c r="CB314" s="40">
        <f>CB313*(1-IF(B313&gt;=in_marketplace_from,d_hz_loan_lap*G313,0)*CC313)</f>
        <v/>
      </c>
      <c r="CC314" s="11">
        <f>MIN(in_approval_cap,in_loan_lap_approval*INDEX('Age profile'!$O$2:$O$61,B314)*(1+in_approval_growth)^(D314-1))</f>
        <v/>
      </c>
      <c r="CD314" s="14">
        <f>F314*CB314*IF(B314&gt;=in_marketplace_from,d_hz_loan_lap*G314,0)*CC314*in_loan_lap_ticket*in_loan_lap_comm</f>
        <v/>
      </c>
      <c r="CE314" s="14">
        <f>AA314+AB314+AC314+AD314+AG314+AJ314+AM314+AP314+AS314+AU314+AX314+BB314+BE314+BG314+BJ314+BL314+BO314+BR314+BT314+BV314+BX314+CA314+CD314</f>
        <v/>
      </c>
    </row>
    <row r="315">
      <c r="A315" s="39" t="n">
        <v>6</v>
      </c>
      <c r="B315" s="39" t="n">
        <v>24</v>
      </c>
      <c r="C315" s="39">
        <f>A315+B315-1</f>
        <v/>
      </c>
      <c r="D315" s="39">
        <f>INT((C315-1)/12)+1</f>
        <v/>
      </c>
      <c r="E315" s="44">
        <f>INDEX(Monthly!$B$2:$B$61,A315)</f>
        <v/>
      </c>
      <c r="F315" s="44">
        <f>E315*INDEX('Age profile'!$B$2:$B$61,B315)</f>
        <v/>
      </c>
      <c r="G315" s="45">
        <f>MIN(in_takeup_cap,INDEX('Age profile'!$N$2:$N$61,B315)*(1+in_takeup_growth)^(D315-1))</f>
        <v/>
      </c>
      <c r="H315" s="11">
        <f>MIN(in_approval_cap,in_approved_first*INDEX('Age profile'!$O$2:$O$61,B315)*(1+in_approval_growth)^(D315-1))</f>
        <v/>
      </c>
      <c r="I315" s="45">
        <f>G315*MIN(in_takeup_cap,INDEX('Age profile'!$O$2:$O$61,B315)*(1+in_approval_growth)^(D315-1))</f>
        <v/>
      </c>
      <c r="J315" s="40">
        <f>(J314-L314)*F315/F314</f>
        <v/>
      </c>
      <c r="K315" s="40">
        <f>(K314-M314)*F315/F314+SUMIFS(O292:O314,B292:B314,B315-1-d_T)*F315</f>
        <v/>
      </c>
      <c r="L315" s="40">
        <f>IF(B315&gt;=in_marketplace_from,J315*d_hz*G315*in_eligible*H315,0)</f>
        <v/>
      </c>
      <c r="M315" s="40">
        <f>IF(B315&gt;=in_marketplace_from,K315*d_hz*G315*in_eligible*in_approved_repeat,0)</f>
        <v/>
      </c>
      <c r="N315" s="40">
        <f>L315+M315</f>
        <v/>
      </c>
      <c r="O315" s="46">
        <f>N315/F315</f>
        <v/>
      </c>
      <c r="P315" s="40">
        <f>F315-J315-K315</f>
        <v/>
      </c>
      <c r="Q315" s="40">
        <f>IF(B315&gt;=in_marketplace_from,(J315+K315)*d_hz*G315,0)</f>
        <v/>
      </c>
      <c r="R315" s="40">
        <f>SUMIFS(N292:N346,B292:B346,"&gt;="&amp;(B315-d_T),B292:B346,"&lt;="&amp;(B315-1))</f>
        <v/>
      </c>
      <c r="S315" s="46">
        <f>(1-d_u)*S314+IF(d_T&gt;in_topup_lag,SUMIFS(O292:O346,B292:B346,B315-in_topup_lag)-d_udrop*SUMIFS(O292:O346,B292:B346,B315-d_T),0)</f>
        <v/>
      </c>
      <c r="T315" s="40">
        <f>F315*d_u*S315</f>
        <v/>
      </c>
      <c r="U315" s="9">
        <f>L315*in_ticket+M315*d_rep_ticket</f>
        <v/>
      </c>
      <c r="V315" s="9">
        <f>U315+T315*d_topup_amt</f>
        <v/>
      </c>
      <c r="W315" s="40">
        <f>N315+T315*d_topup_ratio</f>
        <v/>
      </c>
      <c r="X315" s="40">
        <f>SUMIFS(W292:W346,B292:B346,B315-in_dpd_lag)*d_cured</f>
        <v/>
      </c>
      <c r="Y315" s="40">
        <f>SUMIFS(W292:W346,B292:B346,B315-in_rec_lag)*d_recd</f>
        <v/>
      </c>
      <c r="Z315" s="40">
        <f>IF(AND(B315&gt;=in_marketplace_from,B315&lt;in_marketplace_from+in_card_months),in_card_share/in_card_months*F315*I315,IF(AND(B315&gt;=in_marketplace_from+in_card_months,B315&lt;in_marketplace_from+2*in_card_months),in_card_share*d_card_rem/in_card_months*F315*MIN(in_takeup_cap,(1+in_takeup_growth)^(D315-1))*MIN(in_takeup_cap,(1+in_approval_growth)^(D315-1)),0))</f>
        <v/>
      </c>
      <c r="AA315" s="14">
        <f>V315*in_fee*(1-in_taken_back)</f>
        <v/>
      </c>
      <c r="AB315" s="14">
        <f>SUMIFS(W292:W346,B292:B346,B315-in_dpd_lag)*d_dpd</f>
        <v/>
      </c>
      <c r="AC315" s="14">
        <f>SUMIFS(W292:W346,B292:B346,B315-in_rec_lag)*d_rec</f>
        <v/>
      </c>
      <c r="AD315" s="14">
        <f>Z315*in_card_fee</f>
        <v/>
      </c>
      <c r="AE315" s="40">
        <f>AE314*(1-IF(B314&gt;=in_marketplace_from,d_hz_hlth_small*G314,0))</f>
        <v/>
      </c>
      <c r="AF315" s="46">
        <f>AE315*IF(B315&gt;=in_marketplace_from,d_hz_hlth_small*G315,0)</f>
        <v/>
      </c>
      <c r="AG315" s="14">
        <f>F315*AF315*in_hlth_small_ticket*in_hlth_small_comm*in_ins_partner_share+F315*in_hlth_small_ticket*in_hlth_small_renew_comm*in_ins_partner_share*(in_hlth_small_renew^1*SUMIFS(AF292:AF346,B292:B346,B315-12)+in_hlth_small_renew^2*SUMIFS(AF292:AF346,B292:B346,B315-24)+in_hlth_small_renew^3*SUMIFS(AF292:AF346,B292:B346,B315-36)+in_hlth_small_renew^4*SUMIFS(AF292:AF346,B292:B346,B315-48))</f>
        <v/>
      </c>
      <c r="AH315" s="40">
        <f>AH314*(1-IF(B314&gt;=in_marketplace_from,d_hz_hlth_family*G314,0))</f>
        <v/>
      </c>
      <c r="AI315" s="46">
        <f>AH315*IF(B315&gt;=in_marketplace_from,d_hz_hlth_family*G315,0)</f>
        <v/>
      </c>
      <c r="AJ315" s="14">
        <f>F315*AI315*in_hlth_family_ticket*in_hlth_family_comm*in_ins_partner_share+F315*in_hlth_family_ticket*in_hlth_family_renew_comm*in_ins_partner_share*(in_hlth_family_renew^1*SUMIFS(AI292:AI346,B292:B346,B315-12)+in_hlth_family_renew^2*SUMIFS(AI292:AI346,B292:B346,B315-24)+in_hlth_family_renew^3*SUMIFS(AI292:AI346,B292:B346,B315-36)+in_hlth_family_renew^4*SUMIFS(AI292:AI346,B292:B346,B315-48))</f>
        <v/>
      </c>
      <c r="AK315" s="40">
        <f>AK314*(1-IF(B314&gt;=in_marketplace_from,d_hz_life_term*G314,0))</f>
        <v/>
      </c>
      <c r="AL315" s="46">
        <f>AK315*IF(B315&gt;=in_marketplace_from,d_hz_life_term*G315,0)</f>
        <v/>
      </c>
      <c r="AM315" s="14">
        <f>F315*AL315*in_life_term_ticket*in_life_term_comm*in_ins_partner_share+F315*in_life_term_ticket*in_life_term_renew_comm*in_ins_partner_share*(in_life_term_renew^1*SUMIFS(AL292:AL346,B292:B346,B315-12)+in_life_term_renew^2*SUMIFS(AL292:AL346,B292:B346,B315-24)+in_life_term_renew^3*SUMIFS(AL292:AL346,B292:B346,B315-36)+in_life_term_renew^4*SUMIFS(AL292:AL346,B292:B346,B315-48))</f>
        <v/>
      </c>
      <c r="AN315" s="40">
        <f>AN314*(1-IF(B314&gt;=in_marketplace_from,d_hz_accident*G314,0))</f>
        <v/>
      </c>
      <c r="AO315" s="46">
        <f>AN315*IF(B315&gt;=in_marketplace_from,d_hz_accident*G315,0)</f>
        <v/>
      </c>
      <c r="AP315" s="14">
        <f>F315*AO315*in_accident_ticket*in_accident_comm*in_ins_partner_share+F315*in_accident_ticket*in_accident_renew_comm*in_ins_partner_share*(in_accident_renew^1*SUMIFS(AO292:AO346,B292:B346,B315-12)+in_accident_renew^2*SUMIFS(AO292:AO346,B292:B346,B315-24)+in_accident_renew^3*SUMIFS(AO292:AO346,B292:B346,B315-36)+in_accident_renew^4*SUMIFS(AO292:AO346,B292:B346,B315-48))</f>
        <v/>
      </c>
      <c r="AQ315" s="40">
        <f>AQ314*(1-IF(B314&gt;=in_marketplace_from,d_hz_two_wheeler*G314,0))</f>
        <v/>
      </c>
      <c r="AR315" s="46">
        <f>AQ315*IF(B315&gt;=in_marketplace_from,d_hz_two_wheeler*G315,0)</f>
        <v/>
      </c>
      <c r="AS315" s="14">
        <f>F315*AR315*in_two_wheeler_ticket*in_two_wheeler_comm*in_ins_partner_share+F315*in_two_wheeler_ticket*in_two_wheeler_comm*in_ins_partner_share*(in_two_wheeler_renew^1*SUMIFS(AR292:AR346,B292:B346,B315-12)+in_two_wheeler_renew^2*SUMIFS(AR292:AR346,B292:B346,B315-24)+in_two_wheeler_renew^3*SUMIFS(AR292:AR346,B292:B346,B315-36)+in_two_wheeler_renew^4*SUMIFS(AR292:AR346,B292:B346,B315-48))</f>
        <v/>
      </c>
      <c r="AT315" s="40">
        <f>AT314*(1-IF(B314&gt;=in_marketplace_from,d_hz_device*G314,0))</f>
        <v/>
      </c>
      <c r="AU315" s="14">
        <f>F315*AT315*IF(B315&gt;=in_marketplace_from,d_hz_device*G315,0)*in_device_ticket*in_device_comm*in_ins_partner_share</f>
        <v/>
      </c>
      <c r="AV315" s="40">
        <f>AV314*(1-IF(B314&gt;=in_marketplace_from,d_hz_shop*G314,0))</f>
        <v/>
      </c>
      <c r="AW315" s="46">
        <f>AV315*IF(B315&gt;=in_marketplace_from,d_hz_shop*G315,0)</f>
        <v/>
      </c>
      <c r="AX315" s="14">
        <f>F315*AW315*in_shop_ticket*in_shop_comm*in_ins_partner_share+F315*in_shop_ticket*in_shop_renew_comm*in_ins_partner_share*(in_shop_renew^1*SUMIFS(AW292:AW346,B292:B346,B315-12)+in_shop_renew^2*SUMIFS(AW292:AW346,B292:B346,B315-24)+in_shop_renew^3*SUMIFS(AW292:AW346,B292:B346,B315-36)+in_shop_renew^4*SUMIFS(AW292:AW346,B292:B346,B315-48))</f>
        <v/>
      </c>
      <c r="AY315" s="40">
        <f>AY314*(1-IF(B314&gt;=in_marketplace_from,d_hz_sip*G314,0))</f>
        <v/>
      </c>
      <c r="AZ315" s="40">
        <f>AZ314*d_rho_sip+AY315*IF(B315&gt;=in_marketplace_from,d_hz_sip*G315,0)</f>
        <v/>
      </c>
      <c r="BA315" s="40">
        <f>d_rho_sip*(BA314+AZ314)</f>
        <v/>
      </c>
      <c r="BB315" s="14">
        <f>F315*in_sip_ticket*(BA315+0.5*AZ315)*in_sip_comm/12</f>
        <v/>
      </c>
      <c r="BC315" s="40">
        <f>BC314*(1-IF(B314&gt;=in_marketplace_from,d_hz_choti*G314,0))</f>
        <v/>
      </c>
      <c r="BD315" s="46">
        <f>BC315*IF(B315&gt;=in_marketplace_from,d_hz_choti*G315,0)</f>
        <v/>
      </c>
      <c r="BE315" s="14">
        <f>F315*SUMIFS(BD292:BD346,B292:B346,B315-in_choti_months)*in_choti_renew*in_choti_ticket</f>
        <v/>
      </c>
      <c r="BF315" s="40">
        <f>BF314*(1-IF(B314&gt;=in_marketplace_from,d_hz_nps*G314,0))</f>
        <v/>
      </c>
      <c r="BG315" s="14">
        <f>F315*BF315*IF(B315&gt;=in_marketplace_from,d_hz_nps*G315,0)*in_nps_ticket*in_nps_comm</f>
        <v/>
      </c>
      <c r="BH315" s="40">
        <f>BH314*(1-IF(B314&gt;=in_marketplace_from,d_hz_gold*G314,0))</f>
        <v/>
      </c>
      <c r="BI315" s="40">
        <f>BI314*d_rho_gold+BH315*IF(B315&gt;=in_marketplace_from,d_hz_gold*G315,0)</f>
        <v/>
      </c>
      <c r="BJ315" s="14">
        <f>F315*BI315*in_gold_ticket*in_gold_comm</f>
        <v/>
      </c>
      <c r="BK315" s="40">
        <f>BK314*(1-IF(B314&gt;=in_marketplace_from,d_hz_fd*G314,0))</f>
        <v/>
      </c>
      <c r="BL315" s="14">
        <f>F315*BK315*IF(B315&gt;=in_marketplace_from,d_hz_fd*G315,0)*in_fd_ticket*in_fd_comm</f>
        <v/>
      </c>
      <c r="BM315" s="40">
        <f>BM314*(1-IF(B314&gt;=in_marketplace_from,d_hz_recharge*G314,0))</f>
        <v/>
      </c>
      <c r="BN315" s="40">
        <f>BN314*d_rho_recharge+BM315*IF(B315&gt;=in_marketplace_from,d_hz_recharge*G315,0)</f>
        <v/>
      </c>
      <c r="BO315" s="14">
        <f>F315*BN315*in_recharge_ticket*in_recharge_comm/12</f>
        <v/>
      </c>
      <c r="BP315" s="40">
        <f>BP314*(1-IF(B314&gt;=in_marketplace_from,d_hz_bills*G314,0))</f>
        <v/>
      </c>
      <c r="BQ315" s="40">
        <f>BQ314*d_rho_bills+BP315*IF(B315&gt;=in_marketplace_from,d_hz_bills*G315,0)</f>
        <v/>
      </c>
      <c r="BR315" s="14">
        <f>F315*BQ315*in_bills_ticket*in_bills_comm/12</f>
        <v/>
      </c>
      <c r="BS315" s="40">
        <f>BS314*(1-IF(B314&gt;=in_marketplace_from,d_hz_loan_gold*G314,0))</f>
        <v/>
      </c>
      <c r="BT315" s="14">
        <f>F315*BS315*IF(B315&gt;=in_marketplace_from,d_hz_loan_gold*G315,0)*in_loan_gold_ticket*in_loan_gold_comm</f>
        <v/>
      </c>
      <c r="BU315" s="40">
        <f>BU314*(1-IF(B314&gt;=in_marketplace_from,d_hz_loan_cd*G314,0))</f>
        <v/>
      </c>
      <c r="BV315" s="14">
        <f>F315*BU315*IF(B315&gt;=in_marketplace_from,d_hz_loan_cd*G315,0)*in_loan_cd_ticket*in_loan_cd_comm</f>
        <v/>
      </c>
      <c r="BW315" s="40">
        <f>BW314*(1-IF(B314&gt;=in_marketplace_from,d_hz_loan_vehicle*G314,0))</f>
        <v/>
      </c>
      <c r="BX315" s="14">
        <f>F315*BW315*IF(B315&gt;=in_marketplace_from,d_hz_loan_vehicle*G315,0)*in_loan_vehicle_ticket*in_loan_vehicle_comm</f>
        <v/>
      </c>
      <c r="BY315" s="40">
        <f>BY314*(1-IF(B314&gt;=in_marketplace_from,d_hz_loan_home*G314,0)*BZ314)</f>
        <v/>
      </c>
      <c r="BZ315" s="11">
        <f>MIN(in_approval_cap,in_loan_home_approval*INDEX('Age profile'!$O$2:$O$61,B315)*(1+in_approval_growth)^(D315-1))</f>
        <v/>
      </c>
      <c r="CA315" s="14">
        <f>F315*BY315*IF(B315&gt;=in_marketplace_from,d_hz_loan_home*G315,0)*BZ315*in_loan_home_ticket*in_loan_home_comm</f>
        <v/>
      </c>
      <c r="CB315" s="40">
        <f>CB314*(1-IF(B314&gt;=in_marketplace_from,d_hz_loan_lap*G314,0)*CC314)</f>
        <v/>
      </c>
      <c r="CC315" s="11">
        <f>MIN(in_approval_cap,in_loan_lap_approval*INDEX('Age profile'!$O$2:$O$61,B315)*(1+in_approval_growth)^(D315-1))</f>
        <v/>
      </c>
      <c r="CD315" s="14">
        <f>F315*CB315*IF(B315&gt;=in_marketplace_from,d_hz_loan_lap*G315,0)*CC315*in_loan_lap_ticket*in_loan_lap_comm</f>
        <v/>
      </c>
      <c r="CE315" s="14">
        <f>AA315+AB315+AC315+AD315+AG315+AJ315+AM315+AP315+AS315+AU315+AX315+BB315+BE315+BG315+BJ315+BL315+BO315+BR315+BT315+BV315+BX315+CA315+CD315</f>
        <v/>
      </c>
    </row>
    <row r="316">
      <c r="A316" s="39" t="n">
        <v>6</v>
      </c>
      <c r="B316" s="39" t="n">
        <v>25</v>
      </c>
      <c r="C316" s="39">
        <f>A316+B316-1</f>
        <v/>
      </c>
      <c r="D316" s="39">
        <f>INT((C316-1)/12)+1</f>
        <v/>
      </c>
      <c r="E316" s="44">
        <f>INDEX(Monthly!$B$2:$B$61,A316)</f>
        <v/>
      </c>
      <c r="F316" s="44">
        <f>E316*INDEX('Age profile'!$B$2:$B$61,B316)</f>
        <v/>
      </c>
      <c r="G316" s="45">
        <f>MIN(in_takeup_cap,INDEX('Age profile'!$N$2:$N$61,B316)*(1+in_takeup_growth)^(D316-1))</f>
        <v/>
      </c>
      <c r="H316" s="11">
        <f>MIN(in_approval_cap,in_approved_first*INDEX('Age profile'!$O$2:$O$61,B316)*(1+in_approval_growth)^(D316-1))</f>
        <v/>
      </c>
      <c r="I316" s="45">
        <f>G316*MIN(in_takeup_cap,INDEX('Age profile'!$O$2:$O$61,B316)*(1+in_approval_growth)^(D316-1))</f>
        <v/>
      </c>
      <c r="J316" s="40">
        <f>(J315-L315)*F316/F315</f>
        <v/>
      </c>
      <c r="K316" s="40">
        <f>(K315-M315)*F316/F315+SUMIFS(O292:O315,B292:B315,B316-1-d_T)*F316</f>
        <v/>
      </c>
      <c r="L316" s="40">
        <f>IF(B316&gt;=in_marketplace_from,J316*d_hz*G316*in_eligible*H316,0)</f>
        <v/>
      </c>
      <c r="M316" s="40">
        <f>IF(B316&gt;=in_marketplace_from,K316*d_hz*G316*in_eligible*in_approved_repeat,0)</f>
        <v/>
      </c>
      <c r="N316" s="40">
        <f>L316+M316</f>
        <v/>
      </c>
      <c r="O316" s="46">
        <f>N316/F316</f>
        <v/>
      </c>
      <c r="P316" s="40">
        <f>F316-J316-K316</f>
        <v/>
      </c>
      <c r="Q316" s="40">
        <f>IF(B316&gt;=in_marketplace_from,(J316+K316)*d_hz*G316,0)</f>
        <v/>
      </c>
      <c r="R316" s="40">
        <f>SUMIFS(N292:N346,B292:B346,"&gt;="&amp;(B316-d_T),B292:B346,"&lt;="&amp;(B316-1))</f>
        <v/>
      </c>
      <c r="S316" s="46">
        <f>(1-d_u)*S315+IF(d_T&gt;in_topup_lag,SUMIFS(O292:O346,B292:B346,B316-in_topup_lag)-d_udrop*SUMIFS(O292:O346,B292:B346,B316-d_T),0)</f>
        <v/>
      </c>
      <c r="T316" s="40">
        <f>F316*d_u*S316</f>
        <v/>
      </c>
      <c r="U316" s="9">
        <f>L316*in_ticket+M316*d_rep_ticket</f>
        <v/>
      </c>
      <c r="V316" s="9">
        <f>U316+T316*d_topup_amt</f>
        <v/>
      </c>
      <c r="W316" s="40">
        <f>N316+T316*d_topup_ratio</f>
        <v/>
      </c>
      <c r="X316" s="40">
        <f>SUMIFS(W292:W346,B292:B346,B316-in_dpd_lag)*d_cured</f>
        <v/>
      </c>
      <c r="Y316" s="40">
        <f>SUMIFS(W292:W346,B292:B346,B316-in_rec_lag)*d_recd</f>
        <v/>
      </c>
      <c r="Z316" s="40">
        <f>IF(AND(B316&gt;=in_marketplace_from,B316&lt;in_marketplace_from+in_card_months),in_card_share/in_card_months*F316*I316,IF(AND(B316&gt;=in_marketplace_from+in_card_months,B316&lt;in_marketplace_from+2*in_card_months),in_card_share*d_card_rem/in_card_months*F316*MIN(in_takeup_cap,(1+in_takeup_growth)^(D316-1))*MIN(in_takeup_cap,(1+in_approval_growth)^(D316-1)),0))</f>
        <v/>
      </c>
      <c r="AA316" s="14">
        <f>V316*in_fee*(1-in_taken_back)</f>
        <v/>
      </c>
      <c r="AB316" s="14">
        <f>SUMIFS(W292:W346,B292:B346,B316-in_dpd_lag)*d_dpd</f>
        <v/>
      </c>
      <c r="AC316" s="14">
        <f>SUMIFS(W292:W346,B292:B346,B316-in_rec_lag)*d_rec</f>
        <v/>
      </c>
      <c r="AD316" s="14">
        <f>Z316*in_card_fee</f>
        <v/>
      </c>
      <c r="AE316" s="40">
        <f>AE315*(1-IF(B315&gt;=in_marketplace_from,d_hz_hlth_small*G315,0))</f>
        <v/>
      </c>
      <c r="AF316" s="46">
        <f>AE316*IF(B316&gt;=in_marketplace_from,d_hz_hlth_small*G316,0)</f>
        <v/>
      </c>
      <c r="AG316" s="14">
        <f>F316*AF316*in_hlth_small_ticket*in_hlth_small_comm*in_ins_partner_share+F316*in_hlth_small_ticket*in_hlth_small_renew_comm*in_ins_partner_share*(in_hlth_small_renew^1*SUMIFS(AF292:AF346,B292:B346,B316-12)+in_hlth_small_renew^2*SUMIFS(AF292:AF346,B292:B346,B316-24)+in_hlth_small_renew^3*SUMIFS(AF292:AF346,B292:B346,B316-36)+in_hlth_small_renew^4*SUMIFS(AF292:AF346,B292:B346,B316-48))</f>
        <v/>
      </c>
      <c r="AH316" s="40">
        <f>AH315*(1-IF(B315&gt;=in_marketplace_from,d_hz_hlth_family*G315,0))</f>
        <v/>
      </c>
      <c r="AI316" s="46">
        <f>AH316*IF(B316&gt;=in_marketplace_from,d_hz_hlth_family*G316,0)</f>
        <v/>
      </c>
      <c r="AJ316" s="14">
        <f>F316*AI316*in_hlth_family_ticket*in_hlth_family_comm*in_ins_partner_share+F316*in_hlth_family_ticket*in_hlth_family_renew_comm*in_ins_partner_share*(in_hlth_family_renew^1*SUMIFS(AI292:AI346,B292:B346,B316-12)+in_hlth_family_renew^2*SUMIFS(AI292:AI346,B292:B346,B316-24)+in_hlth_family_renew^3*SUMIFS(AI292:AI346,B292:B346,B316-36)+in_hlth_family_renew^4*SUMIFS(AI292:AI346,B292:B346,B316-48))</f>
        <v/>
      </c>
      <c r="AK316" s="40">
        <f>AK315*(1-IF(B315&gt;=in_marketplace_from,d_hz_life_term*G315,0))</f>
        <v/>
      </c>
      <c r="AL316" s="46">
        <f>AK316*IF(B316&gt;=in_marketplace_from,d_hz_life_term*G316,0)</f>
        <v/>
      </c>
      <c r="AM316" s="14">
        <f>F316*AL316*in_life_term_ticket*in_life_term_comm*in_ins_partner_share+F316*in_life_term_ticket*in_life_term_renew_comm*in_ins_partner_share*(in_life_term_renew^1*SUMIFS(AL292:AL346,B292:B346,B316-12)+in_life_term_renew^2*SUMIFS(AL292:AL346,B292:B346,B316-24)+in_life_term_renew^3*SUMIFS(AL292:AL346,B292:B346,B316-36)+in_life_term_renew^4*SUMIFS(AL292:AL346,B292:B346,B316-48))</f>
        <v/>
      </c>
      <c r="AN316" s="40">
        <f>AN315*(1-IF(B315&gt;=in_marketplace_from,d_hz_accident*G315,0))</f>
        <v/>
      </c>
      <c r="AO316" s="46">
        <f>AN316*IF(B316&gt;=in_marketplace_from,d_hz_accident*G316,0)</f>
        <v/>
      </c>
      <c r="AP316" s="14">
        <f>F316*AO316*in_accident_ticket*in_accident_comm*in_ins_partner_share+F316*in_accident_ticket*in_accident_renew_comm*in_ins_partner_share*(in_accident_renew^1*SUMIFS(AO292:AO346,B292:B346,B316-12)+in_accident_renew^2*SUMIFS(AO292:AO346,B292:B346,B316-24)+in_accident_renew^3*SUMIFS(AO292:AO346,B292:B346,B316-36)+in_accident_renew^4*SUMIFS(AO292:AO346,B292:B346,B316-48))</f>
        <v/>
      </c>
      <c r="AQ316" s="40">
        <f>AQ315*(1-IF(B315&gt;=in_marketplace_from,d_hz_two_wheeler*G315,0))</f>
        <v/>
      </c>
      <c r="AR316" s="46">
        <f>AQ316*IF(B316&gt;=in_marketplace_from,d_hz_two_wheeler*G316,0)</f>
        <v/>
      </c>
      <c r="AS316" s="14">
        <f>F316*AR316*in_two_wheeler_ticket*in_two_wheeler_comm*in_ins_partner_share+F316*in_two_wheeler_ticket*in_two_wheeler_comm*in_ins_partner_share*(in_two_wheeler_renew^1*SUMIFS(AR292:AR346,B292:B346,B316-12)+in_two_wheeler_renew^2*SUMIFS(AR292:AR346,B292:B346,B316-24)+in_two_wheeler_renew^3*SUMIFS(AR292:AR346,B292:B346,B316-36)+in_two_wheeler_renew^4*SUMIFS(AR292:AR346,B292:B346,B316-48))</f>
        <v/>
      </c>
      <c r="AT316" s="40">
        <f>AT315*(1-IF(B315&gt;=in_marketplace_from,d_hz_device*G315,0))</f>
        <v/>
      </c>
      <c r="AU316" s="14">
        <f>F316*AT316*IF(B316&gt;=in_marketplace_from,d_hz_device*G316,0)*in_device_ticket*in_device_comm*in_ins_partner_share</f>
        <v/>
      </c>
      <c r="AV316" s="40">
        <f>AV315*(1-IF(B315&gt;=in_marketplace_from,d_hz_shop*G315,0))</f>
        <v/>
      </c>
      <c r="AW316" s="46">
        <f>AV316*IF(B316&gt;=in_marketplace_from,d_hz_shop*G316,0)</f>
        <v/>
      </c>
      <c r="AX316" s="14">
        <f>F316*AW316*in_shop_ticket*in_shop_comm*in_ins_partner_share+F316*in_shop_ticket*in_shop_renew_comm*in_ins_partner_share*(in_shop_renew^1*SUMIFS(AW292:AW346,B292:B346,B316-12)+in_shop_renew^2*SUMIFS(AW292:AW346,B292:B346,B316-24)+in_shop_renew^3*SUMIFS(AW292:AW346,B292:B346,B316-36)+in_shop_renew^4*SUMIFS(AW292:AW346,B292:B346,B316-48))</f>
        <v/>
      </c>
      <c r="AY316" s="40">
        <f>AY315*(1-IF(B315&gt;=in_marketplace_from,d_hz_sip*G315,0))</f>
        <v/>
      </c>
      <c r="AZ316" s="40">
        <f>AZ315*d_rho_sip+AY316*IF(B316&gt;=in_marketplace_from,d_hz_sip*G316,0)</f>
        <v/>
      </c>
      <c r="BA316" s="40">
        <f>d_rho_sip*(BA315+AZ315)</f>
        <v/>
      </c>
      <c r="BB316" s="14">
        <f>F316*in_sip_ticket*(BA316+0.5*AZ316)*in_sip_comm/12</f>
        <v/>
      </c>
      <c r="BC316" s="40">
        <f>BC315*(1-IF(B315&gt;=in_marketplace_from,d_hz_choti*G315,0))</f>
        <v/>
      </c>
      <c r="BD316" s="46">
        <f>BC316*IF(B316&gt;=in_marketplace_from,d_hz_choti*G316,0)</f>
        <v/>
      </c>
      <c r="BE316" s="14">
        <f>F316*SUMIFS(BD292:BD346,B292:B346,B316-in_choti_months)*in_choti_renew*in_choti_ticket</f>
        <v/>
      </c>
      <c r="BF316" s="40">
        <f>BF315*(1-IF(B315&gt;=in_marketplace_from,d_hz_nps*G315,0))</f>
        <v/>
      </c>
      <c r="BG316" s="14">
        <f>F316*BF316*IF(B316&gt;=in_marketplace_from,d_hz_nps*G316,0)*in_nps_ticket*in_nps_comm</f>
        <v/>
      </c>
      <c r="BH316" s="40">
        <f>BH315*(1-IF(B315&gt;=in_marketplace_from,d_hz_gold*G315,0))</f>
        <v/>
      </c>
      <c r="BI316" s="40">
        <f>BI315*d_rho_gold+BH316*IF(B316&gt;=in_marketplace_from,d_hz_gold*G316,0)</f>
        <v/>
      </c>
      <c r="BJ316" s="14">
        <f>F316*BI316*in_gold_ticket*in_gold_comm</f>
        <v/>
      </c>
      <c r="BK316" s="40">
        <f>BK315*(1-IF(B315&gt;=in_marketplace_from,d_hz_fd*G315,0))</f>
        <v/>
      </c>
      <c r="BL316" s="14">
        <f>F316*BK316*IF(B316&gt;=in_marketplace_from,d_hz_fd*G316,0)*in_fd_ticket*in_fd_comm</f>
        <v/>
      </c>
      <c r="BM316" s="40">
        <f>BM315*(1-IF(B315&gt;=in_marketplace_from,d_hz_recharge*G315,0))</f>
        <v/>
      </c>
      <c r="BN316" s="40">
        <f>BN315*d_rho_recharge+BM316*IF(B316&gt;=in_marketplace_from,d_hz_recharge*G316,0)</f>
        <v/>
      </c>
      <c r="BO316" s="14">
        <f>F316*BN316*in_recharge_ticket*in_recharge_comm/12</f>
        <v/>
      </c>
      <c r="BP316" s="40">
        <f>BP315*(1-IF(B315&gt;=in_marketplace_from,d_hz_bills*G315,0))</f>
        <v/>
      </c>
      <c r="BQ316" s="40">
        <f>BQ315*d_rho_bills+BP316*IF(B316&gt;=in_marketplace_from,d_hz_bills*G316,0)</f>
        <v/>
      </c>
      <c r="BR316" s="14">
        <f>F316*BQ316*in_bills_ticket*in_bills_comm/12</f>
        <v/>
      </c>
      <c r="BS316" s="40">
        <f>BS315*(1-IF(B315&gt;=in_marketplace_from,d_hz_loan_gold*G315,0))</f>
        <v/>
      </c>
      <c r="BT316" s="14">
        <f>F316*BS316*IF(B316&gt;=in_marketplace_from,d_hz_loan_gold*G316,0)*in_loan_gold_ticket*in_loan_gold_comm</f>
        <v/>
      </c>
      <c r="BU316" s="40">
        <f>BU315*(1-IF(B315&gt;=in_marketplace_from,d_hz_loan_cd*G315,0))</f>
        <v/>
      </c>
      <c r="BV316" s="14">
        <f>F316*BU316*IF(B316&gt;=in_marketplace_from,d_hz_loan_cd*G316,0)*in_loan_cd_ticket*in_loan_cd_comm</f>
        <v/>
      </c>
      <c r="BW316" s="40">
        <f>BW315*(1-IF(B315&gt;=in_marketplace_from,d_hz_loan_vehicle*G315,0))</f>
        <v/>
      </c>
      <c r="BX316" s="14">
        <f>F316*BW316*IF(B316&gt;=in_marketplace_from,d_hz_loan_vehicle*G316,0)*in_loan_vehicle_ticket*in_loan_vehicle_comm</f>
        <v/>
      </c>
      <c r="BY316" s="40">
        <f>BY315*(1-IF(B315&gt;=in_marketplace_from,d_hz_loan_home*G315,0)*BZ315)</f>
        <v/>
      </c>
      <c r="BZ316" s="11">
        <f>MIN(in_approval_cap,in_loan_home_approval*INDEX('Age profile'!$O$2:$O$61,B316)*(1+in_approval_growth)^(D316-1))</f>
        <v/>
      </c>
      <c r="CA316" s="14">
        <f>F316*BY316*IF(B316&gt;=in_marketplace_from,d_hz_loan_home*G316,0)*BZ316*in_loan_home_ticket*in_loan_home_comm</f>
        <v/>
      </c>
      <c r="CB316" s="40">
        <f>CB315*(1-IF(B315&gt;=in_marketplace_from,d_hz_loan_lap*G315,0)*CC315)</f>
        <v/>
      </c>
      <c r="CC316" s="11">
        <f>MIN(in_approval_cap,in_loan_lap_approval*INDEX('Age profile'!$O$2:$O$61,B316)*(1+in_approval_growth)^(D316-1))</f>
        <v/>
      </c>
      <c r="CD316" s="14">
        <f>F316*CB316*IF(B316&gt;=in_marketplace_from,d_hz_loan_lap*G316,0)*CC316*in_loan_lap_ticket*in_loan_lap_comm</f>
        <v/>
      </c>
      <c r="CE316" s="14">
        <f>AA316+AB316+AC316+AD316+AG316+AJ316+AM316+AP316+AS316+AU316+AX316+BB316+BE316+BG316+BJ316+BL316+BO316+BR316+BT316+BV316+BX316+CA316+CD316</f>
        <v/>
      </c>
    </row>
    <row r="317">
      <c r="A317" s="39" t="n">
        <v>6</v>
      </c>
      <c r="B317" s="39" t="n">
        <v>26</v>
      </c>
      <c r="C317" s="39">
        <f>A317+B317-1</f>
        <v/>
      </c>
      <c r="D317" s="39">
        <f>INT((C317-1)/12)+1</f>
        <v/>
      </c>
      <c r="E317" s="44">
        <f>INDEX(Monthly!$B$2:$B$61,A317)</f>
        <v/>
      </c>
      <c r="F317" s="44">
        <f>E317*INDEX('Age profile'!$B$2:$B$61,B317)</f>
        <v/>
      </c>
      <c r="G317" s="45">
        <f>MIN(in_takeup_cap,INDEX('Age profile'!$N$2:$N$61,B317)*(1+in_takeup_growth)^(D317-1))</f>
        <v/>
      </c>
      <c r="H317" s="11">
        <f>MIN(in_approval_cap,in_approved_first*INDEX('Age profile'!$O$2:$O$61,B317)*(1+in_approval_growth)^(D317-1))</f>
        <v/>
      </c>
      <c r="I317" s="45">
        <f>G317*MIN(in_takeup_cap,INDEX('Age profile'!$O$2:$O$61,B317)*(1+in_approval_growth)^(D317-1))</f>
        <v/>
      </c>
      <c r="J317" s="40">
        <f>(J316-L316)*F317/F316</f>
        <v/>
      </c>
      <c r="K317" s="40">
        <f>(K316-M316)*F317/F316+SUMIFS(O292:O316,B292:B316,B317-1-d_T)*F317</f>
        <v/>
      </c>
      <c r="L317" s="40">
        <f>IF(B317&gt;=in_marketplace_from,J317*d_hz*G317*in_eligible*H317,0)</f>
        <v/>
      </c>
      <c r="M317" s="40">
        <f>IF(B317&gt;=in_marketplace_from,K317*d_hz*G317*in_eligible*in_approved_repeat,0)</f>
        <v/>
      </c>
      <c r="N317" s="40">
        <f>L317+M317</f>
        <v/>
      </c>
      <c r="O317" s="46">
        <f>N317/F317</f>
        <v/>
      </c>
      <c r="P317" s="40">
        <f>F317-J317-K317</f>
        <v/>
      </c>
      <c r="Q317" s="40">
        <f>IF(B317&gt;=in_marketplace_from,(J317+K317)*d_hz*G317,0)</f>
        <v/>
      </c>
      <c r="R317" s="40">
        <f>SUMIFS(N292:N346,B292:B346,"&gt;="&amp;(B317-d_T),B292:B346,"&lt;="&amp;(B317-1))</f>
        <v/>
      </c>
      <c r="S317" s="46">
        <f>(1-d_u)*S316+IF(d_T&gt;in_topup_lag,SUMIFS(O292:O346,B292:B346,B317-in_topup_lag)-d_udrop*SUMIFS(O292:O346,B292:B346,B317-d_T),0)</f>
        <v/>
      </c>
      <c r="T317" s="40">
        <f>F317*d_u*S317</f>
        <v/>
      </c>
      <c r="U317" s="9">
        <f>L317*in_ticket+M317*d_rep_ticket</f>
        <v/>
      </c>
      <c r="V317" s="9">
        <f>U317+T317*d_topup_amt</f>
        <v/>
      </c>
      <c r="W317" s="40">
        <f>N317+T317*d_topup_ratio</f>
        <v/>
      </c>
      <c r="X317" s="40">
        <f>SUMIFS(W292:W346,B292:B346,B317-in_dpd_lag)*d_cured</f>
        <v/>
      </c>
      <c r="Y317" s="40">
        <f>SUMIFS(W292:W346,B292:B346,B317-in_rec_lag)*d_recd</f>
        <v/>
      </c>
      <c r="Z317" s="40">
        <f>IF(AND(B317&gt;=in_marketplace_from,B317&lt;in_marketplace_from+in_card_months),in_card_share/in_card_months*F317*I317,IF(AND(B317&gt;=in_marketplace_from+in_card_months,B317&lt;in_marketplace_from+2*in_card_months),in_card_share*d_card_rem/in_card_months*F317*MIN(in_takeup_cap,(1+in_takeup_growth)^(D317-1))*MIN(in_takeup_cap,(1+in_approval_growth)^(D317-1)),0))</f>
        <v/>
      </c>
      <c r="AA317" s="14">
        <f>V317*in_fee*(1-in_taken_back)</f>
        <v/>
      </c>
      <c r="AB317" s="14">
        <f>SUMIFS(W292:W346,B292:B346,B317-in_dpd_lag)*d_dpd</f>
        <v/>
      </c>
      <c r="AC317" s="14">
        <f>SUMIFS(W292:W346,B292:B346,B317-in_rec_lag)*d_rec</f>
        <v/>
      </c>
      <c r="AD317" s="14">
        <f>Z317*in_card_fee</f>
        <v/>
      </c>
      <c r="AE317" s="40">
        <f>AE316*(1-IF(B316&gt;=in_marketplace_from,d_hz_hlth_small*G316,0))</f>
        <v/>
      </c>
      <c r="AF317" s="46">
        <f>AE317*IF(B317&gt;=in_marketplace_from,d_hz_hlth_small*G317,0)</f>
        <v/>
      </c>
      <c r="AG317" s="14">
        <f>F317*AF317*in_hlth_small_ticket*in_hlth_small_comm*in_ins_partner_share+F317*in_hlth_small_ticket*in_hlth_small_renew_comm*in_ins_partner_share*(in_hlth_small_renew^1*SUMIFS(AF292:AF346,B292:B346,B317-12)+in_hlth_small_renew^2*SUMIFS(AF292:AF346,B292:B346,B317-24)+in_hlth_small_renew^3*SUMIFS(AF292:AF346,B292:B346,B317-36)+in_hlth_small_renew^4*SUMIFS(AF292:AF346,B292:B346,B317-48))</f>
        <v/>
      </c>
      <c r="AH317" s="40">
        <f>AH316*(1-IF(B316&gt;=in_marketplace_from,d_hz_hlth_family*G316,0))</f>
        <v/>
      </c>
      <c r="AI317" s="46">
        <f>AH317*IF(B317&gt;=in_marketplace_from,d_hz_hlth_family*G317,0)</f>
        <v/>
      </c>
      <c r="AJ317" s="14">
        <f>F317*AI317*in_hlth_family_ticket*in_hlth_family_comm*in_ins_partner_share+F317*in_hlth_family_ticket*in_hlth_family_renew_comm*in_ins_partner_share*(in_hlth_family_renew^1*SUMIFS(AI292:AI346,B292:B346,B317-12)+in_hlth_family_renew^2*SUMIFS(AI292:AI346,B292:B346,B317-24)+in_hlth_family_renew^3*SUMIFS(AI292:AI346,B292:B346,B317-36)+in_hlth_family_renew^4*SUMIFS(AI292:AI346,B292:B346,B317-48))</f>
        <v/>
      </c>
      <c r="AK317" s="40">
        <f>AK316*(1-IF(B316&gt;=in_marketplace_from,d_hz_life_term*G316,0))</f>
        <v/>
      </c>
      <c r="AL317" s="46">
        <f>AK317*IF(B317&gt;=in_marketplace_from,d_hz_life_term*G317,0)</f>
        <v/>
      </c>
      <c r="AM317" s="14">
        <f>F317*AL317*in_life_term_ticket*in_life_term_comm*in_ins_partner_share+F317*in_life_term_ticket*in_life_term_renew_comm*in_ins_partner_share*(in_life_term_renew^1*SUMIFS(AL292:AL346,B292:B346,B317-12)+in_life_term_renew^2*SUMIFS(AL292:AL346,B292:B346,B317-24)+in_life_term_renew^3*SUMIFS(AL292:AL346,B292:B346,B317-36)+in_life_term_renew^4*SUMIFS(AL292:AL346,B292:B346,B317-48))</f>
        <v/>
      </c>
      <c r="AN317" s="40">
        <f>AN316*(1-IF(B316&gt;=in_marketplace_from,d_hz_accident*G316,0))</f>
        <v/>
      </c>
      <c r="AO317" s="46">
        <f>AN317*IF(B317&gt;=in_marketplace_from,d_hz_accident*G317,0)</f>
        <v/>
      </c>
      <c r="AP317" s="14">
        <f>F317*AO317*in_accident_ticket*in_accident_comm*in_ins_partner_share+F317*in_accident_ticket*in_accident_renew_comm*in_ins_partner_share*(in_accident_renew^1*SUMIFS(AO292:AO346,B292:B346,B317-12)+in_accident_renew^2*SUMIFS(AO292:AO346,B292:B346,B317-24)+in_accident_renew^3*SUMIFS(AO292:AO346,B292:B346,B317-36)+in_accident_renew^4*SUMIFS(AO292:AO346,B292:B346,B317-48))</f>
        <v/>
      </c>
      <c r="AQ317" s="40">
        <f>AQ316*(1-IF(B316&gt;=in_marketplace_from,d_hz_two_wheeler*G316,0))</f>
        <v/>
      </c>
      <c r="AR317" s="46">
        <f>AQ317*IF(B317&gt;=in_marketplace_from,d_hz_two_wheeler*G317,0)</f>
        <v/>
      </c>
      <c r="AS317" s="14">
        <f>F317*AR317*in_two_wheeler_ticket*in_two_wheeler_comm*in_ins_partner_share+F317*in_two_wheeler_ticket*in_two_wheeler_comm*in_ins_partner_share*(in_two_wheeler_renew^1*SUMIFS(AR292:AR346,B292:B346,B317-12)+in_two_wheeler_renew^2*SUMIFS(AR292:AR346,B292:B346,B317-24)+in_two_wheeler_renew^3*SUMIFS(AR292:AR346,B292:B346,B317-36)+in_two_wheeler_renew^4*SUMIFS(AR292:AR346,B292:B346,B317-48))</f>
        <v/>
      </c>
      <c r="AT317" s="40">
        <f>AT316*(1-IF(B316&gt;=in_marketplace_from,d_hz_device*G316,0))</f>
        <v/>
      </c>
      <c r="AU317" s="14">
        <f>F317*AT317*IF(B317&gt;=in_marketplace_from,d_hz_device*G317,0)*in_device_ticket*in_device_comm*in_ins_partner_share</f>
        <v/>
      </c>
      <c r="AV317" s="40">
        <f>AV316*(1-IF(B316&gt;=in_marketplace_from,d_hz_shop*G316,0))</f>
        <v/>
      </c>
      <c r="AW317" s="46">
        <f>AV317*IF(B317&gt;=in_marketplace_from,d_hz_shop*G317,0)</f>
        <v/>
      </c>
      <c r="AX317" s="14">
        <f>F317*AW317*in_shop_ticket*in_shop_comm*in_ins_partner_share+F317*in_shop_ticket*in_shop_renew_comm*in_ins_partner_share*(in_shop_renew^1*SUMIFS(AW292:AW346,B292:B346,B317-12)+in_shop_renew^2*SUMIFS(AW292:AW346,B292:B346,B317-24)+in_shop_renew^3*SUMIFS(AW292:AW346,B292:B346,B317-36)+in_shop_renew^4*SUMIFS(AW292:AW346,B292:B346,B317-48))</f>
        <v/>
      </c>
      <c r="AY317" s="40">
        <f>AY316*(1-IF(B316&gt;=in_marketplace_from,d_hz_sip*G316,0))</f>
        <v/>
      </c>
      <c r="AZ317" s="40">
        <f>AZ316*d_rho_sip+AY317*IF(B317&gt;=in_marketplace_from,d_hz_sip*G317,0)</f>
        <v/>
      </c>
      <c r="BA317" s="40">
        <f>d_rho_sip*(BA316+AZ316)</f>
        <v/>
      </c>
      <c r="BB317" s="14">
        <f>F317*in_sip_ticket*(BA317+0.5*AZ317)*in_sip_comm/12</f>
        <v/>
      </c>
      <c r="BC317" s="40">
        <f>BC316*(1-IF(B316&gt;=in_marketplace_from,d_hz_choti*G316,0))</f>
        <v/>
      </c>
      <c r="BD317" s="46">
        <f>BC317*IF(B317&gt;=in_marketplace_from,d_hz_choti*G317,0)</f>
        <v/>
      </c>
      <c r="BE317" s="14">
        <f>F317*SUMIFS(BD292:BD346,B292:B346,B317-in_choti_months)*in_choti_renew*in_choti_ticket</f>
        <v/>
      </c>
      <c r="BF317" s="40">
        <f>BF316*(1-IF(B316&gt;=in_marketplace_from,d_hz_nps*G316,0))</f>
        <v/>
      </c>
      <c r="BG317" s="14">
        <f>F317*BF317*IF(B317&gt;=in_marketplace_from,d_hz_nps*G317,0)*in_nps_ticket*in_nps_comm</f>
        <v/>
      </c>
      <c r="BH317" s="40">
        <f>BH316*(1-IF(B316&gt;=in_marketplace_from,d_hz_gold*G316,0))</f>
        <v/>
      </c>
      <c r="BI317" s="40">
        <f>BI316*d_rho_gold+BH317*IF(B317&gt;=in_marketplace_from,d_hz_gold*G317,0)</f>
        <v/>
      </c>
      <c r="BJ317" s="14">
        <f>F317*BI317*in_gold_ticket*in_gold_comm</f>
        <v/>
      </c>
      <c r="BK317" s="40">
        <f>BK316*(1-IF(B316&gt;=in_marketplace_from,d_hz_fd*G316,0))</f>
        <v/>
      </c>
      <c r="BL317" s="14">
        <f>F317*BK317*IF(B317&gt;=in_marketplace_from,d_hz_fd*G317,0)*in_fd_ticket*in_fd_comm</f>
        <v/>
      </c>
      <c r="BM317" s="40">
        <f>BM316*(1-IF(B316&gt;=in_marketplace_from,d_hz_recharge*G316,0))</f>
        <v/>
      </c>
      <c r="BN317" s="40">
        <f>BN316*d_rho_recharge+BM317*IF(B317&gt;=in_marketplace_from,d_hz_recharge*G317,0)</f>
        <v/>
      </c>
      <c r="BO317" s="14">
        <f>F317*BN317*in_recharge_ticket*in_recharge_comm/12</f>
        <v/>
      </c>
      <c r="BP317" s="40">
        <f>BP316*(1-IF(B316&gt;=in_marketplace_from,d_hz_bills*G316,0))</f>
        <v/>
      </c>
      <c r="BQ317" s="40">
        <f>BQ316*d_rho_bills+BP317*IF(B317&gt;=in_marketplace_from,d_hz_bills*G317,0)</f>
        <v/>
      </c>
      <c r="BR317" s="14">
        <f>F317*BQ317*in_bills_ticket*in_bills_comm/12</f>
        <v/>
      </c>
      <c r="BS317" s="40">
        <f>BS316*(1-IF(B316&gt;=in_marketplace_from,d_hz_loan_gold*G316,0))</f>
        <v/>
      </c>
      <c r="BT317" s="14">
        <f>F317*BS317*IF(B317&gt;=in_marketplace_from,d_hz_loan_gold*G317,0)*in_loan_gold_ticket*in_loan_gold_comm</f>
        <v/>
      </c>
      <c r="BU317" s="40">
        <f>BU316*(1-IF(B316&gt;=in_marketplace_from,d_hz_loan_cd*G316,0))</f>
        <v/>
      </c>
      <c r="BV317" s="14">
        <f>F317*BU317*IF(B317&gt;=in_marketplace_from,d_hz_loan_cd*G317,0)*in_loan_cd_ticket*in_loan_cd_comm</f>
        <v/>
      </c>
      <c r="BW317" s="40">
        <f>BW316*(1-IF(B316&gt;=in_marketplace_from,d_hz_loan_vehicle*G316,0))</f>
        <v/>
      </c>
      <c r="BX317" s="14">
        <f>F317*BW317*IF(B317&gt;=in_marketplace_from,d_hz_loan_vehicle*G317,0)*in_loan_vehicle_ticket*in_loan_vehicle_comm</f>
        <v/>
      </c>
      <c r="BY317" s="40">
        <f>BY316*(1-IF(B316&gt;=in_marketplace_from,d_hz_loan_home*G316,0)*BZ316)</f>
        <v/>
      </c>
      <c r="BZ317" s="11">
        <f>MIN(in_approval_cap,in_loan_home_approval*INDEX('Age profile'!$O$2:$O$61,B317)*(1+in_approval_growth)^(D317-1))</f>
        <v/>
      </c>
      <c r="CA317" s="14">
        <f>F317*BY317*IF(B317&gt;=in_marketplace_from,d_hz_loan_home*G317,0)*BZ317*in_loan_home_ticket*in_loan_home_comm</f>
        <v/>
      </c>
      <c r="CB317" s="40">
        <f>CB316*(1-IF(B316&gt;=in_marketplace_from,d_hz_loan_lap*G316,0)*CC316)</f>
        <v/>
      </c>
      <c r="CC317" s="11">
        <f>MIN(in_approval_cap,in_loan_lap_approval*INDEX('Age profile'!$O$2:$O$61,B317)*(1+in_approval_growth)^(D317-1))</f>
        <v/>
      </c>
      <c r="CD317" s="14">
        <f>F317*CB317*IF(B317&gt;=in_marketplace_from,d_hz_loan_lap*G317,0)*CC317*in_loan_lap_ticket*in_loan_lap_comm</f>
        <v/>
      </c>
      <c r="CE317" s="14">
        <f>AA317+AB317+AC317+AD317+AG317+AJ317+AM317+AP317+AS317+AU317+AX317+BB317+BE317+BG317+BJ317+BL317+BO317+BR317+BT317+BV317+BX317+CA317+CD317</f>
        <v/>
      </c>
    </row>
    <row r="318">
      <c r="A318" s="39" t="n">
        <v>6</v>
      </c>
      <c r="B318" s="39" t="n">
        <v>27</v>
      </c>
      <c r="C318" s="39">
        <f>A318+B318-1</f>
        <v/>
      </c>
      <c r="D318" s="39">
        <f>INT((C318-1)/12)+1</f>
        <v/>
      </c>
      <c r="E318" s="44">
        <f>INDEX(Monthly!$B$2:$B$61,A318)</f>
        <v/>
      </c>
      <c r="F318" s="44">
        <f>E318*INDEX('Age profile'!$B$2:$B$61,B318)</f>
        <v/>
      </c>
      <c r="G318" s="45">
        <f>MIN(in_takeup_cap,INDEX('Age profile'!$N$2:$N$61,B318)*(1+in_takeup_growth)^(D318-1))</f>
        <v/>
      </c>
      <c r="H318" s="11">
        <f>MIN(in_approval_cap,in_approved_first*INDEX('Age profile'!$O$2:$O$61,B318)*(1+in_approval_growth)^(D318-1))</f>
        <v/>
      </c>
      <c r="I318" s="45">
        <f>G318*MIN(in_takeup_cap,INDEX('Age profile'!$O$2:$O$61,B318)*(1+in_approval_growth)^(D318-1))</f>
        <v/>
      </c>
      <c r="J318" s="40">
        <f>(J317-L317)*F318/F317</f>
        <v/>
      </c>
      <c r="K318" s="40">
        <f>(K317-M317)*F318/F317+SUMIFS(O292:O317,B292:B317,B318-1-d_T)*F318</f>
        <v/>
      </c>
      <c r="L318" s="40">
        <f>IF(B318&gt;=in_marketplace_from,J318*d_hz*G318*in_eligible*H318,0)</f>
        <v/>
      </c>
      <c r="M318" s="40">
        <f>IF(B318&gt;=in_marketplace_from,K318*d_hz*G318*in_eligible*in_approved_repeat,0)</f>
        <v/>
      </c>
      <c r="N318" s="40">
        <f>L318+M318</f>
        <v/>
      </c>
      <c r="O318" s="46">
        <f>N318/F318</f>
        <v/>
      </c>
      <c r="P318" s="40">
        <f>F318-J318-K318</f>
        <v/>
      </c>
      <c r="Q318" s="40">
        <f>IF(B318&gt;=in_marketplace_from,(J318+K318)*d_hz*G318,0)</f>
        <v/>
      </c>
      <c r="R318" s="40">
        <f>SUMIFS(N292:N346,B292:B346,"&gt;="&amp;(B318-d_T),B292:B346,"&lt;="&amp;(B318-1))</f>
        <v/>
      </c>
      <c r="S318" s="46">
        <f>(1-d_u)*S317+IF(d_T&gt;in_topup_lag,SUMIFS(O292:O346,B292:B346,B318-in_topup_lag)-d_udrop*SUMIFS(O292:O346,B292:B346,B318-d_T),0)</f>
        <v/>
      </c>
      <c r="T318" s="40">
        <f>F318*d_u*S318</f>
        <v/>
      </c>
      <c r="U318" s="9">
        <f>L318*in_ticket+M318*d_rep_ticket</f>
        <v/>
      </c>
      <c r="V318" s="9">
        <f>U318+T318*d_topup_amt</f>
        <v/>
      </c>
      <c r="W318" s="40">
        <f>N318+T318*d_topup_ratio</f>
        <v/>
      </c>
      <c r="X318" s="40">
        <f>SUMIFS(W292:W346,B292:B346,B318-in_dpd_lag)*d_cured</f>
        <v/>
      </c>
      <c r="Y318" s="40">
        <f>SUMIFS(W292:W346,B292:B346,B318-in_rec_lag)*d_recd</f>
        <v/>
      </c>
      <c r="Z318" s="40">
        <f>IF(AND(B318&gt;=in_marketplace_from,B318&lt;in_marketplace_from+in_card_months),in_card_share/in_card_months*F318*I318,IF(AND(B318&gt;=in_marketplace_from+in_card_months,B318&lt;in_marketplace_from+2*in_card_months),in_card_share*d_card_rem/in_card_months*F318*MIN(in_takeup_cap,(1+in_takeup_growth)^(D318-1))*MIN(in_takeup_cap,(1+in_approval_growth)^(D318-1)),0))</f>
        <v/>
      </c>
      <c r="AA318" s="14">
        <f>V318*in_fee*(1-in_taken_back)</f>
        <v/>
      </c>
      <c r="AB318" s="14">
        <f>SUMIFS(W292:W346,B292:B346,B318-in_dpd_lag)*d_dpd</f>
        <v/>
      </c>
      <c r="AC318" s="14">
        <f>SUMIFS(W292:W346,B292:B346,B318-in_rec_lag)*d_rec</f>
        <v/>
      </c>
      <c r="AD318" s="14">
        <f>Z318*in_card_fee</f>
        <v/>
      </c>
      <c r="AE318" s="40">
        <f>AE317*(1-IF(B317&gt;=in_marketplace_from,d_hz_hlth_small*G317,0))</f>
        <v/>
      </c>
      <c r="AF318" s="46">
        <f>AE318*IF(B318&gt;=in_marketplace_from,d_hz_hlth_small*G318,0)</f>
        <v/>
      </c>
      <c r="AG318" s="14">
        <f>F318*AF318*in_hlth_small_ticket*in_hlth_small_comm*in_ins_partner_share+F318*in_hlth_small_ticket*in_hlth_small_renew_comm*in_ins_partner_share*(in_hlth_small_renew^1*SUMIFS(AF292:AF346,B292:B346,B318-12)+in_hlth_small_renew^2*SUMIFS(AF292:AF346,B292:B346,B318-24)+in_hlth_small_renew^3*SUMIFS(AF292:AF346,B292:B346,B318-36)+in_hlth_small_renew^4*SUMIFS(AF292:AF346,B292:B346,B318-48))</f>
        <v/>
      </c>
      <c r="AH318" s="40">
        <f>AH317*(1-IF(B317&gt;=in_marketplace_from,d_hz_hlth_family*G317,0))</f>
        <v/>
      </c>
      <c r="AI318" s="46">
        <f>AH318*IF(B318&gt;=in_marketplace_from,d_hz_hlth_family*G318,0)</f>
        <v/>
      </c>
      <c r="AJ318" s="14">
        <f>F318*AI318*in_hlth_family_ticket*in_hlth_family_comm*in_ins_partner_share+F318*in_hlth_family_ticket*in_hlth_family_renew_comm*in_ins_partner_share*(in_hlth_family_renew^1*SUMIFS(AI292:AI346,B292:B346,B318-12)+in_hlth_family_renew^2*SUMIFS(AI292:AI346,B292:B346,B318-24)+in_hlth_family_renew^3*SUMIFS(AI292:AI346,B292:B346,B318-36)+in_hlth_family_renew^4*SUMIFS(AI292:AI346,B292:B346,B318-48))</f>
        <v/>
      </c>
      <c r="AK318" s="40">
        <f>AK317*(1-IF(B317&gt;=in_marketplace_from,d_hz_life_term*G317,0))</f>
        <v/>
      </c>
      <c r="AL318" s="46">
        <f>AK318*IF(B318&gt;=in_marketplace_from,d_hz_life_term*G318,0)</f>
        <v/>
      </c>
      <c r="AM318" s="14">
        <f>F318*AL318*in_life_term_ticket*in_life_term_comm*in_ins_partner_share+F318*in_life_term_ticket*in_life_term_renew_comm*in_ins_partner_share*(in_life_term_renew^1*SUMIFS(AL292:AL346,B292:B346,B318-12)+in_life_term_renew^2*SUMIFS(AL292:AL346,B292:B346,B318-24)+in_life_term_renew^3*SUMIFS(AL292:AL346,B292:B346,B318-36)+in_life_term_renew^4*SUMIFS(AL292:AL346,B292:B346,B318-48))</f>
        <v/>
      </c>
      <c r="AN318" s="40">
        <f>AN317*(1-IF(B317&gt;=in_marketplace_from,d_hz_accident*G317,0))</f>
        <v/>
      </c>
      <c r="AO318" s="46">
        <f>AN318*IF(B318&gt;=in_marketplace_from,d_hz_accident*G318,0)</f>
        <v/>
      </c>
      <c r="AP318" s="14">
        <f>F318*AO318*in_accident_ticket*in_accident_comm*in_ins_partner_share+F318*in_accident_ticket*in_accident_renew_comm*in_ins_partner_share*(in_accident_renew^1*SUMIFS(AO292:AO346,B292:B346,B318-12)+in_accident_renew^2*SUMIFS(AO292:AO346,B292:B346,B318-24)+in_accident_renew^3*SUMIFS(AO292:AO346,B292:B346,B318-36)+in_accident_renew^4*SUMIFS(AO292:AO346,B292:B346,B318-48))</f>
        <v/>
      </c>
      <c r="AQ318" s="40">
        <f>AQ317*(1-IF(B317&gt;=in_marketplace_from,d_hz_two_wheeler*G317,0))</f>
        <v/>
      </c>
      <c r="AR318" s="46">
        <f>AQ318*IF(B318&gt;=in_marketplace_from,d_hz_two_wheeler*G318,0)</f>
        <v/>
      </c>
      <c r="AS318" s="14">
        <f>F318*AR318*in_two_wheeler_ticket*in_two_wheeler_comm*in_ins_partner_share+F318*in_two_wheeler_ticket*in_two_wheeler_comm*in_ins_partner_share*(in_two_wheeler_renew^1*SUMIFS(AR292:AR346,B292:B346,B318-12)+in_two_wheeler_renew^2*SUMIFS(AR292:AR346,B292:B346,B318-24)+in_two_wheeler_renew^3*SUMIFS(AR292:AR346,B292:B346,B318-36)+in_two_wheeler_renew^4*SUMIFS(AR292:AR346,B292:B346,B318-48))</f>
        <v/>
      </c>
      <c r="AT318" s="40">
        <f>AT317*(1-IF(B317&gt;=in_marketplace_from,d_hz_device*G317,0))</f>
        <v/>
      </c>
      <c r="AU318" s="14">
        <f>F318*AT318*IF(B318&gt;=in_marketplace_from,d_hz_device*G318,0)*in_device_ticket*in_device_comm*in_ins_partner_share</f>
        <v/>
      </c>
      <c r="AV318" s="40">
        <f>AV317*(1-IF(B317&gt;=in_marketplace_from,d_hz_shop*G317,0))</f>
        <v/>
      </c>
      <c r="AW318" s="46">
        <f>AV318*IF(B318&gt;=in_marketplace_from,d_hz_shop*G318,0)</f>
        <v/>
      </c>
      <c r="AX318" s="14">
        <f>F318*AW318*in_shop_ticket*in_shop_comm*in_ins_partner_share+F318*in_shop_ticket*in_shop_renew_comm*in_ins_partner_share*(in_shop_renew^1*SUMIFS(AW292:AW346,B292:B346,B318-12)+in_shop_renew^2*SUMIFS(AW292:AW346,B292:B346,B318-24)+in_shop_renew^3*SUMIFS(AW292:AW346,B292:B346,B318-36)+in_shop_renew^4*SUMIFS(AW292:AW346,B292:B346,B318-48))</f>
        <v/>
      </c>
      <c r="AY318" s="40">
        <f>AY317*(1-IF(B317&gt;=in_marketplace_from,d_hz_sip*G317,0))</f>
        <v/>
      </c>
      <c r="AZ318" s="40">
        <f>AZ317*d_rho_sip+AY318*IF(B318&gt;=in_marketplace_from,d_hz_sip*G318,0)</f>
        <v/>
      </c>
      <c r="BA318" s="40">
        <f>d_rho_sip*(BA317+AZ317)</f>
        <v/>
      </c>
      <c r="BB318" s="14">
        <f>F318*in_sip_ticket*(BA318+0.5*AZ318)*in_sip_comm/12</f>
        <v/>
      </c>
      <c r="BC318" s="40">
        <f>BC317*(1-IF(B317&gt;=in_marketplace_from,d_hz_choti*G317,0))</f>
        <v/>
      </c>
      <c r="BD318" s="46">
        <f>BC318*IF(B318&gt;=in_marketplace_from,d_hz_choti*G318,0)</f>
        <v/>
      </c>
      <c r="BE318" s="14">
        <f>F318*SUMIFS(BD292:BD346,B292:B346,B318-in_choti_months)*in_choti_renew*in_choti_ticket</f>
        <v/>
      </c>
      <c r="BF318" s="40">
        <f>BF317*(1-IF(B317&gt;=in_marketplace_from,d_hz_nps*G317,0))</f>
        <v/>
      </c>
      <c r="BG318" s="14">
        <f>F318*BF318*IF(B318&gt;=in_marketplace_from,d_hz_nps*G318,0)*in_nps_ticket*in_nps_comm</f>
        <v/>
      </c>
      <c r="BH318" s="40">
        <f>BH317*(1-IF(B317&gt;=in_marketplace_from,d_hz_gold*G317,0))</f>
        <v/>
      </c>
      <c r="BI318" s="40">
        <f>BI317*d_rho_gold+BH318*IF(B318&gt;=in_marketplace_from,d_hz_gold*G318,0)</f>
        <v/>
      </c>
      <c r="BJ318" s="14">
        <f>F318*BI318*in_gold_ticket*in_gold_comm</f>
        <v/>
      </c>
      <c r="BK318" s="40">
        <f>BK317*(1-IF(B317&gt;=in_marketplace_from,d_hz_fd*G317,0))</f>
        <v/>
      </c>
      <c r="BL318" s="14">
        <f>F318*BK318*IF(B318&gt;=in_marketplace_from,d_hz_fd*G318,0)*in_fd_ticket*in_fd_comm</f>
        <v/>
      </c>
      <c r="BM318" s="40">
        <f>BM317*(1-IF(B317&gt;=in_marketplace_from,d_hz_recharge*G317,0))</f>
        <v/>
      </c>
      <c r="BN318" s="40">
        <f>BN317*d_rho_recharge+BM318*IF(B318&gt;=in_marketplace_from,d_hz_recharge*G318,0)</f>
        <v/>
      </c>
      <c r="BO318" s="14">
        <f>F318*BN318*in_recharge_ticket*in_recharge_comm/12</f>
        <v/>
      </c>
      <c r="BP318" s="40">
        <f>BP317*(1-IF(B317&gt;=in_marketplace_from,d_hz_bills*G317,0))</f>
        <v/>
      </c>
      <c r="BQ318" s="40">
        <f>BQ317*d_rho_bills+BP318*IF(B318&gt;=in_marketplace_from,d_hz_bills*G318,0)</f>
        <v/>
      </c>
      <c r="BR318" s="14">
        <f>F318*BQ318*in_bills_ticket*in_bills_comm/12</f>
        <v/>
      </c>
      <c r="BS318" s="40">
        <f>BS317*(1-IF(B317&gt;=in_marketplace_from,d_hz_loan_gold*G317,0))</f>
        <v/>
      </c>
      <c r="BT318" s="14">
        <f>F318*BS318*IF(B318&gt;=in_marketplace_from,d_hz_loan_gold*G318,0)*in_loan_gold_ticket*in_loan_gold_comm</f>
        <v/>
      </c>
      <c r="BU318" s="40">
        <f>BU317*(1-IF(B317&gt;=in_marketplace_from,d_hz_loan_cd*G317,0))</f>
        <v/>
      </c>
      <c r="BV318" s="14">
        <f>F318*BU318*IF(B318&gt;=in_marketplace_from,d_hz_loan_cd*G318,0)*in_loan_cd_ticket*in_loan_cd_comm</f>
        <v/>
      </c>
      <c r="BW318" s="40">
        <f>BW317*(1-IF(B317&gt;=in_marketplace_from,d_hz_loan_vehicle*G317,0))</f>
        <v/>
      </c>
      <c r="BX318" s="14">
        <f>F318*BW318*IF(B318&gt;=in_marketplace_from,d_hz_loan_vehicle*G318,0)*in_loan_vehicle_ticket*in_loan_vehicle_comm</f>
        <v/>
      </c>
      <c r="BY318" s="40">
        <f>BY317*(1-IF(B317&gt;=in_marketplace_from,d_hz_loan_home*G317,0)*BZ317)</f>
        <v/>
      </c>
      <c r="BZ318" s="11">
        <f>MIN(in_approval_cap,in_loan_home_approval*INDEX('Age profile'!$O$2:$O$61,B318)*(1+in_approval_growth)^(D318-1))</f>
        <v/>
      </c>
      <c r="CA318" s="14">
        <f>F318*BY318*IF(B318&gt;=in_marketplace_from,d_hz_loan_home*G318,0)*BZ318*in_loan_home_ticket*in_loan_home_comm</f>
        <v/>
      </c>
      <c r="CB318" s="40">
        <f>CB317*(1-IF(B317&gt;=in_marketplace_from,d_hz_loan_lap*G317,0)*CC317)</f>
        <v/>
      </c>
      <c r="CC318" s="11">
        <f>MIN(in_approval_cap,in_loan_lap_approval*INDEX('Age profile'!$O$2:$O$61,B318)*(1+in_approval_growth)^(D318-1))</f>
        <v/>
      </c>
      <c r="CD318" s="14">
        <f>F318*CB318*IF(B318&gt;=in_marketplace_from,d_hz_loan_lap*G318,0)*CC318*in_loan_lap_ticket*in_loan_lap_comm</f>
        <v/>
      </c>
      <c r="CE318" s="14">
        <f>AA318+AB318+AC318+AD318+AG318+AJ318+AM318+AP318+AS318+AU318+AX318+BB318+BE318+BG318+BJ318+BL318+BO318+BR318+BT318+BV318+BX318+CA318+CD318</f>
        <v/>
      </c>
    </row>
    <row r="319">
      <c r="A319" s="39" t="n">
        <v>6</v>
      </c>
      <c r="B319" s="39" t="n">
        <v>28</v>
      </c>
      <c r="C319" s="39">
        <f>A319+B319-1</f>
        <v/>
      </c>
      <c r="D319" s="39">
        <f>INT((C319-1)/12)+1</f>
        <v/>
      </c>
      <c r="E319" s="44">
        <f>INDEX(Monthly!$B$2:$B$61,A319)</f>
        <v/>
      </c>
      <c r="F319" s="44">
        <f>E319*INDEX('Age profile'!$B$2:$B$61,B319)</f>
        <v/>
      </c>
      <c r="G319" s="45">
        <f>MIN(in_takeup_cap,INDEX('Age profile'!$N$2:$N$61,B319)*(1+in_takeup_growth)^(D319-1))</f>
        <v/>
      </c>
      <c r="H319" s="11">
        <f>MIN(in_approval_cap,in_approved_first*INDEX('Age profile'!$O$2:$O$61,B319)*(1+in_approval_growth)^(D319-1))</f>
        <v/>
      </c>
      <c r="I319" s="45">
        <f>G319*MIN(in_takeup_cap,INDEX('Age profile'!$O$2:$O$61,B319)*(1+in_approval_growth)^(D319-1))</f>
        <v/>
      </c>
      <c r="J319" s="40">
        <f>(J318-L318)*F319/F318</f>
        <v/>
      </c>
      <c r="K319" s="40">
        <f>(K318-M318)*F319/F318+SUMIFS(O292:O318,B292:B318,B319-1-d_T)*F319</f>
        <v/>
      </c>
      <c r="L319" s="40">
        <f>IF(B319&gt;=in_marketplace_from,J319*d_hz*G319*in_eligible*H319,0)</f>
        <v/>
      </c>
      <c r="M319" s="40">
        <f>IF(B319&gt;=in_marketplace_from,K319*d_hz*G319*in_eligible*in_approved_repeat,0)</f>
        <v/>
      </c>
      <c r="N319" s="40">
        <f>L319+M319</f>
        <v/>
      </c>
      <c r="O319" s="46">
        <f>N319/F319</f>
        <v/>
      </c>
      <c r="P319" s="40">
        <f>F319-J319-K319</f>
        <v/>
      </c>
      <c r="Q319" s="40">
        <f>IF(B319&gt;=in_marketplace_from,(J319+K319)*d_hz*G319,0)</f>
        <v/>
      </c>
      <c r="R319" s="40">
        <f>SUMIFS(N292:N346,B292:B346,"&gt;="&amp;(B319-d_T),B292:B346,"&lt;="&amp;(B319-1))</f>
        <v/>
      </c>
      <c r="S319" s="46">
        <f>(1-d_u)*S318+IF(d_T&gt;in_topup_lag,SUMIFS(O292:O346,B292:B346,B319-in_topup_lag)-d_udrop*SUMIFS(O292:O346,B292:B346,B319-d_T),0)</f>
        <v/>
      </c>
      <c r="T319" s="40">
        <f>F319*d_u*S319</f>
        <v/>
      </c>
      <c r="U319" s="9">
        <f>L319*in_ticket+M319*d_rep_ticket</f>
        <v/>
      </c>
      <c r="V319" s="9">
        <f>U319+T319*d_topup_amt</f>
        <v/>
      </c>
      <c r="W319" s="40">
        <f>N319+T319*d_topup_ratio</f>
        <v/>
      </c>
      <c r="X319" s="40">
        <f>SUMIFS(W292:W346,B292:B346,B319-in_dpd_lag)*d_cured</f>
        <v/>
      </c>
      <c r="Y319" s="40">
        <f>SUMIFS(W292:W346,B292:B346,B319-in_rec_lag)*d_recd</f>
        <v/>
      </c>
      <c r="Z319" s="40">
        <f>IF(AND(B319&gt;=in_marketplace_from,B319&lt;in_marketplace_from+in_card_months),in_card_share/in_card_months*F319*I319,IF(AND(B319&gt;=in_marketplace_from+in_card_months,B319&lt;in_marketplace_from+2*in_card_months),in_card_share*d_card_rem/in_card_months*F319*MIN(in_takeup_cap,(1+in_takeup_growth)^(D319-1))*MIN(in_takeup_cap,(1+in_approval_growth)^(D319-1)),0))</f>
        <v/>
      </c>
      <c r="AA319" s="14">
        <f>V319*in_fee*(1-in_taken_back)</f>
        <v/>
      </c>
      <c r="AB319" s="14">
        <f>SUMIFS(W292:W346,B292:B346,B319-in_dpd_lag)*d_dpd</f>
        <v/>
      </c>
      <c r="AC319" s="14">
        <f>SUMIFS(W292:W346,B292:B346,B319-in_rec_lag)*d_rec</f>
        <v/>
      </c>
      <c r="AD319" s="14">
        <f>Z319*in_card_fee</f>
        <v/>
      </c>
      <c r="AE319" s="40">
        <f>AE318*(1-IF(B318&gt;=in_marketplace_from,d_hz_hlth_small*G318,0))</f>
        <v/>
      </c>
      <c r="AF319" s="46">
        <f>AE319*IF(B319&gt;=in_marketplace_from,d_hz_hlth_small*G319,0)</f>
        <v/>
      </c>
      <c r="AG319" s="14">
        <f>F319*AF319*in_hlth_small_ticket*in_hlth_small_comm*in_ins_partner_share+F319*in_hlth_small_ticket*in_hlth_small_renew_comm*in_ins_partner_share*(in_hlth_small_renew^1*SUMIFS(AF292:AF346,B292:B346,B319-12)+in_hlth_small_renew^2*SUMIFS(AF292:AF346,B292:B346,B319-24)+in_hlth_small_renew^3*SUMIFS(AF292:AF346,B292:B346,B319-36)+in_hlth_small_renew^4*SUMIFS(AF292:AF346,B292:B346,B319-48))</f>
        <v/>
      </c>
      <c r="AH319" s="40">
        <f>AH318*(1-IF(B318&gt;=in_marketplace_from,d_hz_hlth_family*G318,0))</f>
        <v/>
      </c>
      <c r="AI319" s="46">
        <f>AH319*IF(B319&gt;=in_marketplace_from,d_hz_hlth_family*G319,0)</f>
        <v/>
      </c>
      <c r="AJ319" s="14">
        <f>F319*AI319*in_hlth_family_ticket*in_hlth_family_comm*in_ins_partner_share+F319*in_hlth_family_ticket*in_hlth_family_renew_comm*in_ins_partner_share*(in_hlth_family_renew^1*SUMIFS(AI292:AI346,B292:B346,B319-12)+in_hlth_family_renew^2*SUMIFS(AI292:AI346,B292:B346,B319-24)+in_hlth_family_renew^3*SUMIFS(AI292:AI346,B292:B346,B319-36)+in_hlth_family_renew^4*SUMIFS(AI292:AI346,B292:B346,B319-48))</f>
        <v/>
      </c>
      <c r="AK319" s="40">
        <f>AK318*(1-IF(B318&gt;=in_marketplace_from,d_hz_life_term*G318,0))</f>
        <v/>
      </c>
      <c r="AL319" s="46">
        <f>AK319*IF(B319&gt;=in_marketplace_from,d_hz_life_term*G319,0)</f>
        <v/>
      </c>
      <c r="AM319" s="14">
        <f>F319*AL319*in_life_term_ticket*in_life_term_comm*in_ins_partner_share+F319*in_life_term_ticket*in_life_term_renew_comm*in_ins_partner_share*(in_life_term_renew^1*SUMIFS(AL292:AL346,B292:B346,B319-12)+in_life_term_renew^2*SUMIFS(AL292:AL346,B292:B346,B319-24)+in_life_term_renew^3*SUMIFS(AL292:AL346,B292:B346,B319-36)+in_life_term_renew^4*SUMIFS(AL292:AL346,B292:B346,B319-48))</f>
        <v/>
      </c>
      <c r="AN319" s="40">
        <f>AN318*(1-IF(B318&gt;=in_marketplace_from,d_hz_accident*G318,0))</f>
        <v/>
      </c>
      <c r="AO319" s="46">
        <f>AN319*IF(B319&gt;=in_marketplace_from,d_hz_accident*G319,0)</f>
        <v/>
      </c>
      <c r="AP319" s="14">
        <f>F319*AO319*in_accident_ticket*in_accident_comm*in_ins_partner_share+F319*in_accident_ticket*in_accident_renew_comm*in_ins_partner_share*(in_accident_renew^1*SUMIFS(AO292:AO346,B292:B346,B319-12)+in_accident_renew^2*SUMIFS(AO292:AO346,B292:B346,B319-24)+in_accident_renew^3*SUMIFS(AO292:AO346,B292:B346,B319-36)+in_accident_renew^4*SUMIFS(AO292:AO346,B292:B346,B319-48))</f>
        <v/>
      </c>
      <c r="AQ319" s="40">
        <f>AQ318*(1-IF(B318&gt;=in_marketplace_from,d_hz_two_wheeler*G318,0))</f>
        <v/>
      </c>
      <c r="AR319" s="46">
        <f>AQ319*IF(B319&gt;=in_marketplace_from,d_hz_two_wheeler*G319,0)</f>
        <v/>
      </c>
      <c r="AS319" s="14">
        <f>F319*AR319*in_two_wheeler_ticket*in_two_wheeler_comm*in_ins_partner_share+F319*in_two_wheeler_ticket*in_two_wheeler_comm*in_ins_partner_share*(in_two_wheeler_renew^1*SUMIFS(AR292:AR346,B292:B346,B319-12)+in_two_wheeler_renew^2*SUMIFS(AR292:AR346,B292:B346,B319-24)+in_two_wheeler_renew^3*SUMIFS(AR292:AR346,B292:B346,B319-36)+in_two_wheeler_renew^4*SUMIFS(AR292:AR346,B292:B346,B319-48))</f>
        <v/>
      </c>
      <c r="AT319" s="40">
        <f>AT318*(1-IF(B318&gt;=in_marketplace_from,d_hz_device*G318,0))</f>
        <v/>
      </c>
      <c r="AU319" s="14">
        <f>F319*AT319*IF(B319&gt;=in_marketplace_from,d_hz_device*G319,0)*in_device_ticket*in_device_comm*in_ins_partner_share</f>
        <v/>
      </c>
      <c r="AV319" s="40">
        <f>AV318*(1-IF(B318&gt;=in_marketplace_from,d_hz_shop*G318,0))</f>
        <v/>
      </c>
      <c r="AW319" s="46">
        <f>AV319*IF(B319&gt;=in_marketplace_from,d_hz_shop*G319,0)</f>
        <v/>
      </c>
      <c r="AX319" s="14">
        <f>F319*AW319*in_shop_ticket*in_shop_comm*in_ins_partner_share+F319*in_shop_ticket*in_shop_renew_comm*in_ins_partner_share*(in_shop_renew^1*SUMIFS(AW292:AW346,B292:B346,B319-12)+in_shop_renew^2*SUMIFS(AW292:AW346,B292:B346,B319-24)+in_shop_renew^3*SUMIFS(AW292:AW346,B292:B346,B319-36)+in_shop_renew^4*SUMIFS(AW292:AW346,B292:B346,B319-48))</f>
        <v/>
      </c>
      <c r="AY319" s="40">
        <f>AY318*(1-IF(B318&gt;=in_marketplace_from,d_hz_sip*G318,0))</f>
        <v/>
      </c>
      <c r="AZ319" s="40">
        <f>AZ318*d_rho_sip+AY319*IF(B319&gt;=in_marketplace_from,d_hz_sip*G319,0)</f>
        <v/>
      </c>
      <c r="BA319" s="40">
        <f>d_rho_sip*(BA318+AZ318)</f>
        <v/>
      </c>
      <c r="BB319" s="14">
        <f>F319*in_sip_ticket*(BA319+0.5*AZ319)*in_sip_comm/12</f>
        <v/>
      </c>
      <c r="BC319" s="40">
        <f>BC318*(1-IF(B318&gt;=in_marketplace_from,d_hz_choti*G318,0))</f>
        <v/>
      </c>
      <c r="BD319" s="46">
        <f>BC319*IF(B319&gt;=in_marketplace_from,d_hz_choti*G319,0)</f>
        <v/>
      </c>
      <c r="BE319" s="14">
        <f>F319*SUMIFS(BD292:BD346,B292:B346,B319-in_choti_months)*in_choti_renew*in_choti_ticket</f>
        <v/>
      </c>
      <c r="BF319" s="40">
        <f>BF318*(1-IF(B318&gt;=in_marketplace_from,d_hz_nps*G318,0))</f>
        <v/>
      </c>
      <c r="BG319" s="14">
        <f>F319*BF319*IF(B319&gt;=in_marketplace_from,d_hz_nps*G319,0)*in_nps_ticket*in_nps_comm</f>
        <v/>
      </c>
      <c r="BH319" s="40">
        <f>BH318*(1-IF(B318&gt;=in_marketplace_from,d_hz_gold*G318,0))</f>
        <v/>
      </c>
      <c r="BI319" s="40">
        <f>BI318*d_rho_gold+BH319*IF(B319&gt;=in_marketplace_from,d_hz_gold*G319,0)</f>
        <v/>
      </c>
      <c r="BJ319" s="14">
        <f>F319*BI319*in_gold_ticket*in_gold_comm</f>
        <v/>
      </c>
      <c r="BK319" s="40">
        <f>BK318*(1-IF(B318&gt;=in_marketplace_from,d_hz_fd*G318,0))</f>
        <v/>
      </c>
      <c r="BL319" s="14">
        <f>F319*BK319*IF(B319&gt;=in_marketplace_from,d_hz_fd*G319,0)*in_fd_ticket*in_fd_comm</f>
        <v/>
      </c>
      <c r="BM319" s="40">
        <f>BM318*(1-IF(B318&gt;=in_marketplace_from,d_hz_recharge*G318,0))</f>
        <v/>
      </c>
      <c r="BN319" s="40">
        <f>BN318*d_rho_recharge+BM319*IF(B319&gt;=in_marketplace_from,d_hz_recharge*G319,0)</f>
        <v/>
      </c>
      <c r="BO319" s="14">
        <f>F319*BN319*in_recharge_ticket*in_recharge_comm/12</f>
        <v/>
      </c>
      <c r="BP319" s="40">
        <f>BP318*(1-IF(B318&gt;=in_marketplace_from,d_hz_bills*G318,0))</f>
        <v/>
      </c>
      <c r="BQ319" s="40">
        <f>BQ318*d_rho_bills+BP319*IF(B319&gt;=in_marketplace_from,d_hz_bills*G319,0)</f>
        <v/>
      </c>
      <c r="BR319" s="14">
        <f>F319*BQ319*in_bills_ticket*in_bills_comm/12</f>
        <v/>
      </c>
      <c r="BS319" s="40">
        <f>BS318*(1-IF(B318&gt;=in_marketplace_from,d_hz_loan_gold*G318,0))</f>
        <v/>
      </c>
      <c r="BT319" s="14">
        <f>F319*BS319*IF(B319&gt;=in_marketplace_from,d_hz_loan_gold*G319,0)*in_loan_gold_ticket*in_loan_gold_comm</f>
        <v/>
      </c>
      <c r="BU319" s="40">
        <f>BU318*(1-IF(B318&gt;=in_marketplace_from,d_hz_loan_cd*G318,0))</f>
        <v/>
      </c>
      <c r="BV319" s="14">
        <f>F319*BU319*IF(B319&gt;=in_marketplace_from,d_hz_loan_cd*G319,0)*in_loan_cd_ticket*in_loan_cd_comm</f>
        <v/>
      </c>
      <c r="BW319" s="40">
        <f>BW318*(1-IF(B318&gt;=in_marketplace_from,d_hz_loan_vehicle*G318,0))</f>
        <v/>
      </c>
      <c r="BX319" s="14">
        <f>F319*BW319*IF(B319&gt;=in_marketplace_from,d_hz_loan_vehicle*G319,0)*in_loan_vehicle_ticket*in_loan_vehicle_comm</f>
        <v/>
      </c>
      <c r="BY319" s="40">
        <f>BY318*(1-IF(B318&gt;=in_marketplace_from,d_hz_loan_home*G318,0)*BZ318)</f>
        <v/>
      </c>
      <c r="BZ319" s="11">
        <f>MIN(in_approval_cap,in_loan_home_approval*INDEX('Age profile'!$O$2:$O$61,B319)*(1+in_approval_growth)^(D319-1))</f>
        <v/>
      </c>
      <c r="CA319" s="14">
        <f>F319*BY319*IF(B319&gt;=in_marketplace_from,d_hz_loan_home*G319,0)*BZ319*in_loan_home_ticket*in_loan_home_comm</f>
        <v/>
      </c>
      <c r="CB319" s="40">
        <f>CB318*(1-IF(B318&gt;=in_marketplace_from,d_hz_loan_lap*G318,0)*CC318)</f>
        <v/>
      </c>
      <c r="CC319" s="11">
        <f>MIN(in_approval_cap,in_loan_lap_approval*INDEX('Age profile'!$O$2:$O$61,B319)*(1+in_approval_growth)^(D319-1))</f>
        <v/>
      </c>
      <c r="CD319" s="14">
        <f>F319*CB319*IF(B319&gt;=in_marketplace_from,d_hz_loan_lap*G319,0)*CC319*in_loan_lap_ticket*in_loan_lap_comm</f>
        <v/>
      </c>
      <c r="CE319" s="14">
        <f>AA319+AB319+AC319+AD319+AG319+AJ319+AM319+AP319+AS319+AU319+AX319+BB319+BE319+BG319+BJ319+BL319+BO319+BR319+BT319+BV319+BX319+CA319+CD319</f>
        <v/>
      </c>
    </row>
    <row r="320">
      <c r="A320" s="39" t="n">
        <v>6</v>
      </c>
      <c r="B320" s="39" t="n">
        <v>29</v>
      </c>
      <c r="C320" s="39">
        <f>A320+B320-1</f>
        <v/>
      </c>
      <c r="D320" s="39">
        <f>INT((C320-1)/12)+1</f>
        <v/>
      </c>
      <c r="E320" s="44">
        <f>INDEX(Monthly!$B$2:$B$61,A320)</f>
        <v/>
      </c>
      <c r="F320" s="44">
        <f>E320*INDEX('Age profile'!$B$2:$B$61,B320)</f>
        <v/>
      </c>
      <c r="G320" s="45">
        <f>MIN(in_takeup_cap,INDEX('Age profile'!$N$2:$N$61,B320)*(1+in_takeup_growth)^(D320-1))</f>
        <v/>
      </c>
      <c r="H320" s="11">
        <f>MIN(in_approval_cap,in_approved_first*INDEX('Age profile'!$O$2:$O$61,B320)*(1+in_approval_growth)^(D320-1))</f>
        <v/>
      </c>
      <c r="I320" s="45">
        <f>G320*MIN(in_takeup_cap,INDEX('Age profile'!$O$2:$O$61,B320)*(1+in_approval_growth)^(D320-1))</f>
        <v/>
      </c>
      <c r="J320" s="40">
        <f>(J319-L319)*F320/F319</f>
        <v/>
      </c>
      <c r="K320" s="40">
        <f>(K319-M319)*F320/F319+SUMIFS(O292:O319,B292:B319,B320-1-d_T)*F320</f>
        <v/>
      </c>
      <c r="L320" s="40">
        <f>IF(B320&gt;=in_marketplace_from,J320*d_hz*G320*in_eligible*H320,0)</f>
        <v/>
      </c>
      <c r="M320" s="40">
        <f>IF(B320&gt;=in_marketplace_from,K320*d_hz*G320*in_eligible*in_approved_repeat,0)</f>
        <v/>
      </c>
      <c r="N320" s="40">
        <f>L320+M320</f>
        <v/>
      </c>
      <c r="O320" s="46">
        <f>N320/F320</f>
        <v/>
      </c>
      <c r="P320" s="40">
        <f>F320-J320-K320</f>
        <v/>
      </c>
      <c r="Q320" s="40">
        <f>IF(B320&gt;=in_marketplace_from,(J320+K320)*d_hz*G320,0)</f>
        <v/>
      </c>
      <c r="R320" s="40">
        <f>SUMIFS(N292:N346,B292:B346,"&gt;="&amp;(B320-d_T),B292:B346,"&lt;="&amp;(B320-1))</f>
        <v/>
      </c>
      <c r="S320" s="46">
        <f>(1-d_u)*S319+IF(d_T&gt;in_topup_lag,SUMIFS(O292:O346,B292:B346,B320-in_topup_lag)-d_udrop*SUMIFS(O292:O346,B292:B346,B320-d_T),0)</f>
        <v/>
      </c>
      <c r="T320" s="40">
        <f>F320*d_u*S320</f>
        <v/>
      </c>
      <c r="U320" s="9">
        <f>L320*in_ticket+M320*d_rep_ticket</f>
        <v/>
      </c>
      <c r="V320" s="9">
        <f>U320+T320*d_topup_amt</f>
        <v/>
      </c>
      <c r="W320" s="40">
        <f>N320+T320*d_topup_ratio</f>
        <v/>
      </c>
      <c r="X320" s="40">
        <f>SUMIFS(W292:W346,B292:B346,B320-in_dpd_lag)*d_cured</f>
        <v/>
      </c>
      <c r="Y320" s="40">
        <f>SUMIFS(W292:W346,B292:B346,B320-in_rec_lag)*d_recd</f>
        <v/>
      </c>
      <c r="Z320" s="40">
        <f>IF(AND(B320&gt;=in_marketplace_from,B320&lt;in_marketplace_from+in_card_months),in_card_share/in_card_months*F320*I320,IF(AND(B320&gt;=in_marketplace_from+in_card_months,B320&lt;in_marketplace_from+2*in_card_months),in_card_share*d_card_rem/in_card_months*F320*MIN(in_takeup_cap,(1+in_takeup_growth)^(D320-1))*MIN(in_takeup_cap,(1+in_approval_growth)^(D320-1)),0))</f>
        <v/>
      </c>
      <c r="AA320" s="14">
        <f>V320*in_fee*(1-in_taken_back)</f>
        <v/>
      </c>
      <c r="AB320" s="14">
        <f>SUMIFS(W292:W346,B292:B346,B320-in_dpd_lag)*d_dpd</f>
        <v/>
      </c>
      <c r="AC320" s="14">
        <f>SUMIFS(W292:W346,B292:B346,B320-in_rec_lag)*d_rec</f>
        <v/>
      </c>
      <c r="AD320" s="14">
        <f>Z320*in_card_fee</f>
        <v/>
      </c>
      <c r="AE320" s="40">
        <f>AE319*(1-IF(B319&gt;=in_marketplace_from,d_hz_hlth_small*G319,0))</f>
        <v/>
      </c>
      <c r="AF320" s="46">
        <f>AE320*IF(B320&gt;=in_marketplace_from,d_hz_hlth_small*G320,0)</f>
        <v/>
      </c>
      <c r="AG320" s="14">
        <f>F320*AF320*in_hlth_small_ticket*in_hlth_small_comm*in_ins_partner_share+F320*in_hlth_small_ticket*in_hlth_small_renew_comm*in_ins_partner_share*(in_hlth_small_renew^1*SUMIFS(AF292:AF346,B292:B346,B320-12)+in_hlth_small_renew^2*SUMIFS(AF292:AF346,B292:B346,B320-24)+in_hlth_small_renew^3*SUMIFS(AF292:AF346,B292:B346,B320-36)+in_hlth_small_renew^4*SUMIFS(AF292:AF346,B292:B346,B320-48))</f>
        <v/>
      </c>
      <c r="AH320" s="40">
        <f>AH319*(1-IF(B319&gt;=in_marketplace_from,d_hz_hlth_family*G319,0))</f>
        <v/>
      </c>
      <c r="AI320" s="46">
        <f>AH320*IF(B320&gt;=in_marketplace_from,d_hz_hlth_family*G320,0)</f>
        <v/>
      </c>
      <c r="AJ320" s="14">
        <f>F320*AI320*in_hlth_family_ticket*in_hlth_family_comm*in_ins_partner_share+F320*in_hlth_family_ticket*in_hlth_family_renew_comm*in_ins_partner_share*(in_hlth_family_renew^1*SUMIFS(AI292:AI346,B292:B346,B320-12)+in_hlth_family_renew^2*SUMIFS(AI292:AI346,B292:B346,B320-24)+in_hlth_family_renew^3*SUMIFS(AI292:AI346,B292:B346,B320-36)+in_hlth_family_renew^4*SUMIFS(AI292:AI346,B292:B346,B320-48))</f>
        <v/>
      </c>
      <c r="AK320" s="40">
        <f>AK319*(1-IF(B319&gt;=in_marketplace_from,d_hz_life_term*G319,0))</f>
        <v/>
      </c>
      <c r="AL320" s="46">
        <f>AK320*IF(B320&gt;=in_marketplace_from,d_hz_life_term*G320,0)</f>
        <v/>
      </c>
      <c r="AM320" s="14">
        <f>F320*AL320*in_life_term_ticket*in_life_term_comm*in_ins_partner_share+F320*in_life_term_ticket*in_life_term_renew_comm*in_ins_partner_share*(in_life_term_renew^1*SUMIFS(AL292:AL346,B292:B346,B320-12)+in_life_term_renew^2*SUMIFS(AL292:AL346,B292:B346,B320-24)+in_life_term_renew^3*SUMIFS(AL292:AL346,B292:B346,B320-36)+in_life_term_renew^4*SUMIFS(AL292:AL346,B292:B346,B320-48))</f>
        <v/>
      </c>
      <c r="AN320" s="40">
        <f>AN319*(1-IF(B319&gt;=in_marketplace_from,d_hz_accident*G319,0))</f>
        <v/>
      </c>
      <c r="AO320" s="46">
        <f>AN320*IF(B320&gt;=in_marketplace_from,d_hz_accident*G320,0)</f>
        <v/>
      </c>
      <c r="AP320" s="14">
        <f>F320*AO320*in_accident_ticket*in_accident_comm*in_ins_partner_share+F320*in_accident_ticket*in_accident_renew_comm*in_ins_partner_share*(in_accident_renew^1*SUMIFS(AO292:AO346,B292:B346,B320-12)+in_accident_renew^2*SUMIFS(AO292:AO346,B292:B346,B320-24)+in_accident_renew^3*SUMIFS(AO292:AO346,B292:B346,B320-36)+in_accident_renew^4*SUMIFS(AO292:AO346,B292:B346,B320-48))</f>
        <v/>
      </c>
      <c r="AQ320" s="40">
        <f>AQ319*(1-IF(B319&gt;=in_marketplace_from,d_hz_two_wheeler*G319,0))</f>
        <v/>
      </c>
      <c r="AR320" s="46">
        <f>AQ320*IF(B320&gt;=in_marketplace_from,d_hz_two_wheeler*G320,0)</f>
        <v/>
      </c>
      <c r="AS320" s="14">
        <f>F320*AR320*in_two_wheeler_ticket*in_two_wheeler_comm*in_ins_partner_share+F320*in_two_wheeler_ticket*in_two_wheeler_comm*in_ins_partner_share*(in_two_wheeler_renew^1*SUMIFS(AR292:AR346,B292:B346,B320-12)+in_two_wheeler_renew^2*SUMIFS(AR292:AR346,B292:B346,B320-24)+in_two_wheeler_renew^3*SUMIFS(AR292:AR346,B292:B346,B320-36)+in_two_wheeler_renew^4*SUMIFS(AR292:AR346,B292:B346,B320-48))</f>
        <v/>
      </c>
      <c r="AT320" s="40">
        <f>AT319*(1-IF(B319&gt;=in_marketplace_from,d_hz_device*G319,0))</f>
        <v/>
      </c>
      <c r="AU320" s="14">
        <f>F320*AT320*IF(B320&gt;=in_marketplace_from,d_hz_device*G320,0)*in_device_ticket*in_device_comm*in_ins_partner_share</f>
        <v/>
      </c>
      <c r="AV320" s="40">
        <f>AV319*(1-IF(B319&gt;=in_marketplace_from,d_hz_shop*G319,0))</f>
        <v/>
      </c>
      <c r="AW320" s="46">
        <f>AV320*IF(B320&gt;=in_marketplace_from,d_hz_shop*G320,0)</f>
        <v/>
      </c>
      <c r="AX320" s="14">
        <f>F320*AW320*in_shop_ticket*in_shop_comm*in_ins_partner_share+F320*in_shop_ticket*in_shop_renew_comm*in_ins_partner_share*(in_shop_renew^1*SUMIFS(AW292:AW346,B292:B346,B320-12)+in_shop_renew^2*SUMIFS(AW292:AW346,B292:B346,B320-24)+in_shop_renew^3*SUMIFS(AW292:AW346,B292:B346,B320-36)+in_shop_renew^4*SUMIFS(AW292:AW346,B292:B346,B320-48))</f>
        <v/>
      </c>
      <c r="AY320" s="40">
        <f>AY319*(1-IF(B319&gt;=in_marketplace_from,d_hz_sip*G319,0))</f>
        <v/>
      </c>
      <c r="AZ320" s="40">
        <f>AZ319*d_rho_sip+AY320*IF(B320&gt;=in_marketplace_from,d_hz_sip*G320,0)</f>
        <v/>
      </c>
      <c r="BA320" s="40">
        <f>d_rho_sip*(BA319+AZ319)</f>
        <v/>
      </c>
      <c r="BB320" s="14">
        <f>F320*in_sip_ticket*(BA320+0.5*AZ320)*in_sip_comm/12</f>
        <v/>
      </c>
      <c r="BC320" s="40">
        <f>BC319*(1-IF(B319&gt;=in_marketplace_from,d_hz_choti*G319,0))</f>
        <v/>
      </c>
      <c r="BD320" s="46">
        <f>BC320*IF(B320&gt;=in_marketplace_from,d_hz_choti*G320,0)</f>
        <v/>
      </c>
      <c r="BE320" s="14">
        <f>F320*SUMIFS(BD292:BD346,B292:B346,B320-in_choti_months)*in_choti_renew*in_choti_ticket</f>
        <v/>
      </c>
      <c r="BF320" s="40">
        <f>BF319*(1-IF(B319&gt;=in_marketplace_from,d_hz_nps*G319,0))</f>
        <v/>
      </c>
      <c r="BG320" s="14">
        <f>F320*BF320*IF(B320&gt;=in_marketplace_from,d_hz_nps*G320,0)*in_nps_ticket*in_nps_comm</f>
        <v/>
      </c>
      <c r="BH320" s="40">
        <f>BH319*(1-IF(B319&gt;=in_marketplace_from,d_hz_gold*G319,0))</f>
        <v/>
      </c>
      <c r="BI320" s="40">
        <f>BI319*d_rho_gold+BH320*IF(B320&gt;=in_marketplace_from,d_hz_gold*G320,0)</f>
        <v/>
      </c>
      <c r="BJ320" s="14">
        <f>F320*BI320*in_gold_ticket*in_gold_comm</f>
        <v/>
      </c>
      <c r="BK320" s="40">
        <f>BK319*(1-IF(B319&gt;=in_marketplace_from,d_hz_fd*G319,0))</f>
        <v/>
      </c>
      <c r="BL320" s="14">
        <f>F320*BK320*IF(B320&gt;=in_marketplace_from,d_hz_fd*G320,0)*in_fd_ticket*in_fd_comm</f>
        <v/>
      </c>
      <c r="BM320" s="40">
        <f>BM319*(1-IF(B319&gt;=in_marketplace_from,d_hz_recharge*G319,0))</f>
        <v/>
      </c>
      <c r="BN320" s="40">
        <f>BN319*d_rho_recharge+BM320*IF(B320&gt;=in_marketplace_from,d_hz_recharge*G320,0)</f>
        <v/>
      </c>
      <c r="BO320" s="14">
        <f>F320*BN320*in_recharge_ticket*in_recharge_comm/12</f>
        <v/>
      </c>
      <c r="BP320" s="40">
        <f>BP319*(1-IF(B319&gt;=in_marketplace_from,d_hz_bills*G319,0))</f>
        <v/>
      </c>
      <c r="BQ320" s="40">
        <f>BQ319*d_rho_bills+BP320*IF(B320&gt;=in_marketplace_from,d_hz_bills*G320,0)</f>
        <v/>
      </c>
      <c r="BR320" s="14">
        <f>F320*BQ320*in_bills_ticket*in_bills_comm/12</f>
        <v/>
      </c>
      <c r="BS320" s="40">
        <f>BS319*(1-IF(B319&gt;=in_marketplace_from,d_hz_loan_gold*G319,0))</f>
        <v/>
      </c>
      <c r="BT320" s="14">
        <f>F320*BS320*IF(B320&gt;=in_marketplace_from,d_hz_loan_gold*G320,0)*in_loan_gold_ticket*in_loan_gold_comm</f>
        <v/>
      </c>
      <c r="BU320" s="40">
        <f>BU319*(1-IF(B319&gt;=in_marketplace_from,d_hz_loan_cd*G319,0))</f>
        <v/>
      </c>
      <c r="BV320" s="14">
        <f>F320*BU320*IF(B320&gt;=in_marketplace_from,d_hz_loan_cd*G320,0)*in_loan_cd_ticket*in_loan_cd_comm</f>
        <v/>
      </c>
      <c r="BW320" s="40">
        <f>BW319*(1-IF(B319&gt;=in_marketplace_from,d_hz_loan_vehicle*G319,0))</f>
        <v/>
      </c>
      <c r="BX320" s="14">
        <f>F320*BW320*IF(B320&gt;=in_marketplace_from,d_hz_loan_vehicle*G320,0)*in_loan_vehicle_ticket*in_loan_vehicle_comm</f>
        <v/>
      </c>
      <c r="BY320" s="40">
        <f>BY319*(1-IF(B319&gt;=in_marketplace_from,d_hz_loan_home*G319,0)*BZ319)</f>
        <v/>
      </c>
      <c r="BZ320" s="11">
        <f>MIN(in_approval_cap,in_loan_home_approval*INDEX('Age profile'!$O$2:$O$61,B320)*(1+in_approval_growth)^(D320-1))</f>
        <v/>
      </c>
      <c r="CA320" s="14">
        <f>F320*BY320*IF(B320&gt;=in_marketplace_from,d_hz_loan_home*G320,0)*BZ320*in_loan_home_ticket*in_loan_home_comm</f>
        <v/>
      </c>
      <c r="CB320" s="40">
        <f>CB319*(1-IF(B319&gt;=in_marketplace_from,d_hz_loan_lap*G319,0)*CC319)</f>
        <v/>
      </c>
      <c r="CC320" s="11">
        <f>MIN(in_approval_cap,in_loan_lap_approval*INDEX('Age profile'!$O$2:$O$61,B320)*(1+in_approval_growth)^(D320-1))</f>
        <v/>
      </c>
      <c r="CD320" s="14">
        <f>F320*CB320*IF(B320&gt;=in_marketplace_from,d_hz_loan_lap*G320,0)*CC320*in_loan_lap_ticket*in_loan_lap_comm</f>
        <v/>
      </c>
      <c r="CE320" s="14">
        <f>AA320+AB320+AC320+AD320+AG320+AJ320+AM320+AP320+AS320+AU320+AX320+BB320+BE320+BG320+BJ320+BL320+BO320+BR320+BT320+BV320+BX320+CA320+CD320</f>
        <v/>
      </c>
    </row>
    <row r="321">
      <c r="A321" s="39" t="n">
        <v>6</v>
      </c>
      <c r="B321" s="39" t="n">
        <v>30</v>
      </c>
      <c r="C321" s="39">
        <f>A321+B321-1</f>
        <v/>
      </c>
      <c r="D321" s="39">
        <f>INT((C321-1)/12)+1</f>
        <v/>
      </c>
      <c r="E321" s="44">
        <f>INDEX(Monthly!$B$2:$B$61,A321)</f>
        <v/>
      </c>
      <c r="F321" s="44">
        <f>E321*INDEX('Age profile'!$B$2:$B$61,B321)</f>
        <v/>
      </c>
      <c r="G321" s="45">
        <f>MIN(in_takeup_cap,INDEX('Age profile'!$N$2:$N$61,B321)*(1+in_takeup_growth)^(D321-1))</f>
        <v/>
      </c>
      <c r="H321" s="11">
        <f>MIN(in_approval_cap,in_approved_first*INDEX('Age profile'!$O$2:$O$61,B321)*(1+in_approval_growth)^(D321-1))</f>
        <v/>
      </c>
      <c r="I321" s="45">
        <f>G321*MIN(in_takeup_cap,INDEX('Age profile'!$O$2:$O$61,B321)*(1+in_approval_growth)^(D321-1))</f>
        <v/>
      </c>
      <c r="J321" s="40">
        <f>(J320-L320)*F321/F320</f>
        <v/>
      </c>
      <c r="K321" s="40">
        <f>(K320-M320)*F321/F320+SUMIFS(O292:O320,B292:B320,B321-1-d_T)*F321</f>
        <v/>
      </c>
      <c r="L321" s="40">
        <f>IF(B321&gt;=in_marketplace_from,J321*d_hz*G321*in_eligible*H321,0)</f>
        <v/>
      </c>
      <c r="M321" s="40">
        <f>IF(B321&gt;=in_marketplace_from,K321*d_hz*G321*in_eligible*in_approved_repeat,0)</f>
        <v/>
      </c>
      <c r="N321" s="40">
        <f>L321+M321</f>
        <v/>
      </c>
      <c r="O321" s="46">
        <f>N321/F321</f>
        <v/>
      </c>
      <c r="P321" s="40">
        <f>F321-J321-K321</f>
        <v/>
      </c>
      <c r="Q321" s="40">
        <f>IF(B321&gt;=in_marketplace_from,(J321+K321)*d_hz*G321,0)</f>
        <v/>
      </c>
      <c r="R321" s="40">
        <f>SUMIFS(N292:N346,B292:B346,"&gt;="&amp;(B321-d_T),B292:B346,"&lt;="&amp;(B321-1))</f>
        <v/>
      </c>
      <c r="S321" s="46">
        <f>(1-d_u)*S320+IF(d_T&gt;in_topup_lag,SUMIFS(O292:O346,B292:B346,B321-in_topup_lag)-d_udrop*SUMIFS(O292:O346,B292:B346,B321-d_T),0)</f>
        <v/>
      </c>
      <c r="T321" s="40">
        <f>F321*d_u*S321</f>
        <v/>
      </c>
      <c r="U321" s="9">
        <f>L321*in_ticket+M321*d_rep_ticket</f>
        <v/>
      </c>
      <c r="V321" s="9">
        <f>U321+T321*d_topup_amt</f>
        <v/>
      </c>
      <c r="W321" s="40">
        <f>N321+T321*d_topup_ratio</f>
        <v/>
      </c>
      <c r="X321" s="40">
        <f>SUMIFS(W292:W346,B292:B346,B321-in_dpd_lag)*d_cured</f>
        <v/>
      </c>
      <c r="Y321" s="40">
        <f>SUMIFS(W292:W346,B292:B346,B321-in_rec_lag)*d_recd</f>
        <v/>
      </c>
      <c r="Z321" s="40">
        <f>IF(AND(B321&gt;=in_marketplace_from,B321&lt;in_marketplace_from+in_card_months),in_card_share/in_card_months*F321*I321,IF(AND(B321&gt;=in_marketplace_from+in_card_months,B321&lt;in_marketplace_from+2*in_card_months),in_card_share*d_card_rem/in_card_months*F321*MIN(in_takeup_cap,(1+in_takeup_growth)^(D321-1))*MIN(in_takeup_cap,(1+in_approval_growth)^(D321-1)),0))</f>
        <v/>
      </c>
      <c r="AA321" s="14">
        <f>V321*in_fee*(1-in_taken_back)</f>
        <v/>
      </c>
      <c r="AB321" s="14">
        <f>SUMIFS(W292:W346,B292:B346,B321-in_dpd_lag)*d_dpd</f>
        <v/>
      </c>
      <c r="AC321" s="14">
        <f>SUMIFS(W292:W346,B292:B346,B321-in_rec_lag)*d_rec</f>
        <v/>
      </c>
      <c r="AD321" s="14">
        <f>Z321*in_card_fee</f>
        <v/>
      </c>
      <c r="AE321" s="40">
        <f>AE320*(1-IF(B320&gt;=in_marketplace_from,d_hz_hlth_small*G320,0))</f>
        <v/>
      </c>
      <c r="AF321" s="46">
        <f>AE321*IF(B321&gt;=in_marketplace_from,d_hz_hlth_small*G321,0)</f>
        <v/>
      </c>
      <c r="AG321" s="14">
        <f>F321*AF321*in_hlth_small_ticket*in_hlth_small_comm*in_ins_partner_share+F321*in_hlth_small_ticket*in_hlth_small_renew_comm*in_ins_partner_share*(in_hlth_small_renew^1*SUMIFS(AF292:AF346,B292:B346,B321-12)+in_hlth_small_renew^2*SUMIFS(AF292:AF346,B292:B346,B321-24)+in_hlth_small_renew^3*SUMIFS(AF292:AF346,B292:B346,B321-36)+in_hlth_small_renew^4*SUMIFS(AF292:AF346,B292:B346,B321-48))</f>
        <v/>
      </c>
      <c r="AH321" s="40">
        <f>AH320*(1-IF(B320&gt;=in_marketplace_from,d_hz_hlth_family*G320,0))</f>
        <v/>
      </c>
      <c r="AI321" s="46">
        <f>AH321*IF(B321&gt;=in_marketplace_from,d_hz_hlth_family*G321,0)</f>
        <v/>
      </c>
      <c r="AJ321" s="14">
        <f>F321*AI321*in_hlth_family_ticket*in_hlth_family_comm*in_ins_partner_share+F321*in_hlth_family_ticket*in_hlth_family_renew_comm*in_ins_partner_share*(in_hlth_family_renew^1*SUMIFS(AI292:AI346,B292:B346,B321-12)+in_hlth_family_renew^2*SUMIFS(AI292:AI346,B292:B346,B321-24)+in_hlth_family_renew^3*SUMIFS(AI292:AI346,B292:B346,B321-36)+in_hlth_family_renew^4*SUMIFS(AI292:AI346,B292:B346,B321-48))</f>
        <v/>
      </c>
      <c r="AK321" s="40">
        <f>AK320*(1-IF(B320&gt;=in_marketplace_from,d_hz_life_term*G320,0))</f>
        <v/>
      </c>
      <c r="AL321" s="46">
        <f>AK321*IF(B321&gt;=in_marketplace_from,d_hz_life_term*G321,0)</f>
        <v/>
      </c>
      <c r="AM321" s="14">
        <f>F321*AL321*in_life_term_ticket*in_life_term_comm*in_ins_partner_share+F321*in_life_term_ticket*in_life_term_renew_comm*in_ins_partner_share*(in_life_term_renew^1*SUMIFS(AL292:AL346,B292:B346,B321-12)+in_life_term_renew^2*SUMIFS(AL292:AL346,B292:B346,B321-24)+in_life_term_renew^3*SUMIFS(AL292:AL346,B292:B346,B321-36)+in_life_term_renew^4*SUMIFS(AL292:AL346,B292:B346,B321-48))</f>
        <v/>
      </c>
      <c r="AN321" s="40">
        <f>AN320*(1-IF(B320&gt;=in_marketplace_from,d_hz_accident*G320,0))</f>
        <v/>
      </c>
      <c r="AO321" s="46">
        <f>AN321*IF(B321&gt;=in_marketplace_from,d_hz_accident*G321,0)</f>
        <v/>
      </c>
      <c r="AP321" s="14">
        <f>F321*AO321*in_accident_ticket*in_accident_comm*in_ins_partner_share+F321*in_accident_ticket*in_accident_renew_comm*in_ins_partner_share*(in_accident_renew^1*SUMIFS(AO292:AO346,B292:B346,B321-12)+in_accident_renew^2*SUMIFS(AO292:AO346,B292:B346,B321-24)+in_accident_renew^3*SUMIFS(AO292:AO346,B292:B346,B321-36)+in_accident_renew^4*SUMIFS(AO292:AO346,B292:B346,B321-48))</f>
        <v/>
      </c>
      <c r="AQ321" s="40">
        <f>AQ320*(1-IF(B320&gt;=in_marketplace_from,d_hz_two_wheeler*G320,0))</f>
        <v/>
      </c>
      <c r="AR321" s="46">
        <f>AQ321*IF(B321&gt;=in_marketplace_from,d_hz_two_wheeler*G321,0)</f>
        <v/>
      </c>
      <c r="AS321" s="14">
        <f>F321*AR321*in_two_wheeler_ticket*in_two_wheeler_comm*in_ins_partner_share+F321*in_two_wheeler_ticket*in_two_wheeler_comm*in_ins_partner_share*(in_two_wheeler_renew^1*SUMIFS(AR292:AR346,B292:B346,B321-12)+in_two_wheeler_renew^2*SUMIFS(AR292:AR346,B292:B346,B321-24)+in_two_wheeler_renew^3*SUMIFS(AR292:AR346,B292:B346,B321-36)+in_two_wheeler_renew^4*SUMIFS(AR292:AR346,B292:B346,B321-48))</f>
        <v/>
      </c>
      <c r="AT321" s="40">
        <f>AT320*(1-IF(B320&gt;=in_marketplace_from,d_hz_device*G320,0))</f>
        <v/>
      </c>
      <c r="AU321" s="14">
        <f>F321*AT321*IF(B321&gt;=in_marketplace_from,d_hz_device*G321,0)*in_device_ticket*in_device_comm*in_ins_partner_share</f>
        <v/>
      </c>
      <c r="AV321" s="40">
        <f>AV320*(1-IF(B320&gt;=in_marketplace_from,d_hz_shop*G320,0))</f>
        <v/>
      </c>
      <c r="AW321" s="46">
        <f>AV321*IF(B321&gt;=in_marketplace_from,d_hz_shop*G321,0)</f>
        <v/>
      </c>
      <c r="AX321" s="14">
        <f>F321*AW321*in_shop_ticket*in_shop_comm*in_ins_partner_share+F321*in_shop_ticket*in_shop_renew_comm*in_ins_partner_share*(in_shop_renew^1*SUMIFS(AW292:AW346,B292:B346,B321-12)+in_shop_renew^2*SUMIFS(AW292:AW346,B292:B346,B321-24)+in_shop_renew^3*SUMIFS(AW292:AW346,B292:B346,B321-36)+in_shop_renew^4*SUMIFS(AW292:AW346,B292:B346,B321-48))</f>
        <v/>
      </c>
      <c r="AY321" s="40">
        <f>AY320*(1-IF(B320&gt;=in_marketplace_from,d_hz_sip*G320,0))</f>
        <v/>
      </c>
      <c r="AZ321" s="40">
        <f>AZ320*d_rho_sip+AY321*IF(B321&gt;=in_marketplace_from,d_hz_sip*G321,0)</f>
        <v/>
      </c>
      <c r="BA321" s="40">
        <f>d_rho_sip*(BA320+AZ320)</f>
        <v/>
      </c>
      <c r="BB321" s="14">
        <f>F321*in_sip_ticket*(BA321+0.5*AZ321)*in_sip_comm/12</f>
        <v/>
      </c>
      <c r="BC321" s="40">
        <f>BC320*(1-IF(B320&gt;=in_marketplace_from,d_hz_choti*G320,0))</f>
        <v/>
      </c>
      <c r="BD321" s="46">
        <f>BC321*IF(B321&gt;=in_marketplace_from,d_hz_choti*G321,0)</f>
        <v/>
      </c>
      <c r="BE321" s="14">
        <f>F321*SUMIFS(BD292:BD346,B292:B346,B321-in_choti_months)*in_choti_renew*in_choti_ticket</f>
        <v/>
      </c>
      <c r="BF321" s="40">
        <f>BF320*(1-IF(B320&gt;=in_marketplace_from,d_hz_nps*G320,0))</f>
        <v/>
      </c>
      <c r="BG321" s="14">
        <f>F321*BF321*IF(B321&gt;=in_marketplace_from,d_hz_nps*G321,0)*in_nps_ticket*in_nps_comm</f>
        <v/>
      </c>
      <c r="BH321" s="40">
        <f>BH320*(1-IF(B320&gt;=in_marketplace_from,d_hz_gold*G320,0))</f>
        <v/>
      </c>
      <c r="BI321" s="40">
        <f>BI320*d_rho_gold+BH321*IF(B321&gt;=in_marketplace_from,d_hz_gold*G321,0)</f>
        <v/>
      </c>
      <c r="BJ321" s="14">
        <f>F321*BI321*in_gold_ticket*in_gold_comm</f>
        <v/>
      </c>
      <c r="BK321" s="40">
        <f>BK320*(1-IF(B320&gt;=in_marketplace_from,d_hz_fd*G320,0))</f>
        <v/>
      </c>
      <c r="BL321" s="14">
        <f>F321*BK321*IF(B321&gt;=in_marketplace_from,d_hz_fd*G321,0)*in_fd_ticket*in_fd_comm</f>
        <v/>
      </c>
      <c r="BM321" s="40">
        <f>BM320*(1-IF(B320&gt;=in_marketplace_from,d_hz_recharge*G320,0))</f>
        <v/>
      </c>
      <c r="BN321" s="40">
        <f>BN320*d_rho_recharge+BM321*IF(B321&gt;=in_marketplace_from,d_hz_recharge*G321,0)</f>
        <v/>
      </c>
      <c r="BO321" s="14">
        <f>F321*BN321*in_recharge_ticket*in_recharge_comm/12</f>
        <v/>
      </c>
      <c r="BP321" s="40">
        <f>BP320*(1-IF(B320&gt;=in_marketplace_from,d_hz_bills*G320,0))</f>
        <v/>
      </c>
      <c r="BQ321" s="40">
        <f>BQ320*d_rho_bills+BP321*IF(B321&gt;=in_marketplace_from,d_hz_bills*G321,0)</f>
        <v/>
      </c>
      <c r="BR321" s="14">
        <f>F321*BQ321*in_bills_ticket*in_bills_comm/12</f>
        <v/>
      </c>
      <c r="BS321" s="40">
        <f>BS320*(1-IF(B320&gt;=in_marketplace_from,d_hz_loan_gold*G320,0))</f>
        <v/>
      </c>
      <c r="BT321" s="14">
        <f>F321*BS321*IF(B321&gt;=in_marketplace_from,d_hz_loan_gold*G321,0)*in_loan_gold_ticket*in_loan_gold_comm</f>
        <v/>
      </c>
      <c r="BU321" s="40">
        <f>BU320*(1-IF(B320&gt;=in_marketplace_from,d_hz_loan_cd*G320,0))</f>
        <v/>
      </c>
      <c r="BV321" s="14">
        <f>F321*BU321*IF(B321&gt;=in_marketplace_from,d_hz_loan_cd*G321,0)*in_loan_cd_ticket*in_loan_cd_comm</f>
        <v/>
      </c>
      <c r="BW321" s="40">
        <f>BW320*(1-IF(B320&gt;=in_marketplace_from,d_hz_loan_vehicle*G320,0))</f>
        <v/>
      </c>
      <c r="BX321" s="14">
        <f>F321*BW321*IF(B321&gt;=in_marketplace_from,d_hz_loan_vehicle*G321,0)*in_loan_vehicle_ticket*in_loan_vehicle_comm</f>
        <v/>
      </c>
      <c r="BY321" s="40">
        <f>BY320*(1-IF(B320&gt;=in_marketplace_from,d_hz_loan_home*G320,0)*BZ320)</f>
        <v/>
      </c>
      <c r="BZ321" s="11">
        <f>MIN(in_approval_cap,in_loan_home_approval*INDEX('Age profile'!$O$2:$O$61,B321)*(1+in_approval_growth)^(D321-1))</f>
        <v/>
      </c>
      <c r="CA321" s="14">
        <f>F321*BY321*IF(B321&gt;=in_marketplace_from,d_hz_loan_home*G321,0)*BZ321*in_loan_home_ticket*in_loan_home_comm</f>
        <v/>
      </c>
      <c r="CB321" s="40">
        <f>CB320*(1-IF(B320&gt;=in_marketplace_from,d_hz_loan_lap*G320,0)*CC320)</f>
        <v/>
      </c>
      <c r="CC321" s="11">
        <f>MIN(in_approval_cap,in_loan_lap_approval*INDEX('Age profile'!$O$2:$O$61,B321)*(1+in_approval_growth)^(D321-1))</f>
        <v/>
      </c>
      <c r="CD321" s="14">
        <f>F321*CB321*IF(B321&gt;=in_marketplace_from,d_hz_loan_lap*G321,0)*CC321*in_loan_lap_ticket*in_loan_lap_comm</f>
        <v/>
      </c>
      <c r="CE321" s="14">
        <f>AA321+AB321+AC321+AD321+AG321+AJ321+AM321+AP321+AS321+AU321+AX321+BB321+BE321+BG321+BJ321+BL321+BO321+BR321+BT321+BV321+BX321+CA321+CD321</f>
        <v/>
      </c>
    </row>
    <row r="322">
      <c r="A322" s="39" t="n">
        <v>6</v>
      </c>
      <c r="B322" s="39" t="n">
        <v>31</v>
      </c>
      <c r="C322" s="39">
        <f>A322+B322-1</f>
        <v/>
      </c>
      <c r="D322" s="39">
        <f>INT((C322-1)/12)+1</f>
        <v/>
      </c>
      <c r="E322" s="44">
        <f>INDEX(Monthly!$B$2:$B$61,A322)</f>
        <v/>
      </c>
      <c r="F322" s="44">
        <f>E322*INDEX('Age profile'!$B$2:$B$61,B322)</f>
        <v/>
      </c>
      <c r="G322" s="45">
        <f>MIN(in_takeup_cap,INDEX('Age profile'!$N$2:$N$61,B322)*(1+in_takeup_growth)^(D322-1))</f>
        <v/>
      </c>
      <c r="H322" s="11">
        <f>MIN(in_approval_cap,in_approved_first*INDEX('Age profile'!$O$2:$O$61,B322)*(1+in_approval_growth)^(D322-1))</f>
        <v/>
      </c>
      <c r="I322" s="45">
        <f>G322*MIN(in_takeup_cap,INDEX('Age profile'!$O$2:$O$61,B322)*(1+in_approval_growth)^(D322-1))</f>
        <v/>
      </c>
      <c r="J322" s="40">
        <f>(J321-L321)*F322/F321</f>
        <v/>
      </c>
      <c r="K322" s="40">
        <f>(K321-M321)*F322/F321+SUMIFS(O292:O321,B292:B321,B322-1-d_T)*F322</f>
        <v/>
      </c>
      <c r="L322" s="40">
        <f>IF(B322&gt;=in_marketplace_from,J322*d_hz*G322*in_eligible*H322,0)</f>
        <v/>
      </c>
      <c r="M322" s="40">
        <f>IF(B322&gt;=in_marketplace_from,K322*d_hz*G322*in_eligible*in_approved_repeat,0)</f>
        <v/>
      </c>
      <c r="N322" s="40">
        <f>L322+M322</f>
        <v/>
      </c>
      <c r="O322" s="46">
        <f>N322/F322</f>
        <v/>
      </c>
      <c r="P322" s="40">
        <f>F322-J322-K322</f>
        <v/>
      </c>
      <c r="Q322" s="40">
        <f>IF(B322&gt;=in_marketplace_from,(J322+K322)*d_hz*G322,0)</f>
        <v/>
      </c>
      <c r="R322" s="40">
        <f>SUMIFS(N292:N346,B292:B346,"&gt;="&amp;(B322-d_T),B292:B346,"&lt;="&amp;(B322-1))</f>
        <v/>
      </c>
      <c r="S322" s="46">
        <f>(1-d_u)*S321+IF(d_T&gt;in_topup_lag,SUMIFS(O292:O346,B292:B346,B322-in_topup_lag)-d_udrop*SUMIFS(O292:O346,B292:B346,B322-d_T),0)</f>
        <v/>
      </c>
      <c r="T322" s="40">
        <f>F322*d_u*S322</f>
        <v/>
      </c>
      <c r="U322" s="9">
        <f>L322*in_ticket+M322*d_rep_ticket</f>
        <v/>
      </c>
      <c r="V322" s="9">
        <f>U322+T322*d_topup_amt</f>
        <v/>
      </c>
      <c r="W322" s="40">
        <f>N322+T322*d_topup_ratio</f>
        <v/>
      </c>
      <c r="X322" s="40">
        <f>SUMIFS(W292:W346,B292:B346,B322-in_dpd_lag)*d_cured</f>
        <v/>
      </c>
      <c r="Y322" s="40">
        <f>SUMIFS(W292:W346,B292:B346,B322-in_rec_lag)*d_recd</f>
        <v/>
      </c>
      <c r="Z322" s="40">
        <f>IF(AND(B322&gt;=in_marketplace_from,B322&lt;in_marketplace_from+in_card_months),in_card_share/in_card_months*F322*I322,IF(AND(B322&gt;=in_marketplace_from+in_card_months,B322&lt;in_marketplace_from+2*in_card_months),in_card_share*d_card_rem/in_card_months*F322*MIN(in_takeup_cap,(1+in_takeup_growth)^(D322-1))*MIN(in_takeup_cap,(1+in_approval_growth)^(D322-1)),0))</f>
        <v/>
      </c>
      <c r="AA322" s="14">
        <f>V322*in_fee*(1-in_taken_back)</f>
        <v/>
      </c>
      <c r="AB322" s="14">
        <f>SUMIFS(W292:W346,B292:B346,B322-in_dpd_lag)*d_dpd</f>
        <v/>
      </c>
      <c r="AC322" s="14">
        <f>SUMIFS(W292:W346,B292:B346,B322-in_rec_lag)*d_rec</f>
        <v/>
      </c>
      <c r="AD322" s="14">
        <f>Z322*in_card_fee</f>
        <v/>
      </c>
      <c r="AE322" s="40">
        <f>AE321*(1-IF(B321&gt;=in_marketplace_from,d_hz_hlth_small*G321,0))</f>
        <v/>
      </c>
      <c r="AF322" s="46">
        <f>AE322*IF(B322&gt;=in_marketplace_from,d_hz_hlth_small*G322,0)</f>
        <v/>
      </c>
      <c r="AG322" s="14">
        <f>F322*AF322*in_hlth_small_ticket*in_hlth_small_comm*in_ins_partner_share+F322*in_hlth_small_ticket*in_hlth_small_renew_comm*in_ins_partner_share*(in_hlth_small_renew^1*SUMIFS(AF292:AF346,B292:B346,B322-12)+in_hlth_small_renew^2*SUMIFS(AF292:AF346,B292:B346,B322-24)+in_hlth_small_renew^3*SUMIFS(AF292:AF346,B292:B346,B322-36)+in_hlth_small_renew^4*SUMIFS(AF292:AF346,B292:B346,B322-48))</f>
        <v/>
      </c>
      <c r="AH322" s="40">
        <f>AH321*(1-IF(B321&gt;=in_marketplace_from,d_hz_hlth_family*G321,0))</f>
        <v/>
      </c>
      <c r="AI322" s="46">
        <f>AH322*IF(B322&gt;=in_marketplace_from,d_hz_hlth_family*G322,0)</f>
        <v/>
      </c>
      <c r="AJ322" s="14">
        <f>F322*AI322*in_hlth_family_ticket*in_hlth_family_comm*in_ins_partner_share+F322*in_hlth_family_ticket*in_hlth_family_renew_comm*in_ins_partner_share*(in_hlth_family_renew^1*SUMIFS(AI292:AI346,B292:B346,B322-12)+in_hlth_family_renew^2*SUMIFS(AI292:AI346,B292:B346,B322-24)+in_hlth_family_renew^3*SUMIFS(AI292:AI346,B292:B346,B322-36)+in_hlth_family_renew^4*SUMIFS(AI292:AI346,B292:B346,B322-48))</f>
        <v/>
      </c>
      <c r="AK322" s="40">
        <f>AK321*(1-IF(B321&gt;=in_marketplace_from,d_hz_life_term*G321,0))</f>
        <v/>
      </c>
      <c r="AL322" s="46">
        <f>AK322*IF(B322&gt;=in_marketplace_from,d_hz_life_term*G322,0)</f>
        <v/>
      </c>
      <c r="AM322" s="14">
        <f>F322*AL322*in_life_term_ticket*in_life_term_comm*in_ins_partner_share+F322*in_life_term_ticket*in_life_term_renew_comm*in_ins_partner_share*(in_life_term_renew^1*SUMIFS(AL292:AL346,B292:B346,B322-12)+in_life_term_renew^2*SUMIFS(AL292:AL346,B292:B346,B322-24)+in_life_term_renew^3*SUMIFS(AL292:AL346,B292:B346,B322-36)+in_life_term_renew^4*SUMIFS(AL292:AL346,B292:B346,B322-48))</f>
        <v/>
      </c>
      <c r="AN322" s="40">
        <f>AN321*(1-IF(B321&gt;=in_marketplace_from,d_hz_accident*G321,0))</f>
        <v/>
      </c>
      <c r="AO322" s="46">
        <f>AN322*IF(B322&gt;=in_marketplace_from,d_hz_accident*G322,0)</f>
        <v/>
      </c>
      <c r="AP322" s="14">
        <f>F322*AO322*in_accident_ticket*in_accident_comm*in_ins_partner_share+F322*in_accident_ticket*in_accident_renew_comm*in_ins_partner_share*(in_accident_renew^1*SUMIFS(AO292:AO346,B292:B346,B322-12)+in_accident_renew^2*SUMIFS(AO292:AO346,B292:B346,B322-24)+in_accident_renew^3*SUMIFS(AO292:AO346,B292:B346,B322-36)+in_accident_renew^4*SUMIFS(AO292:AO346,B292:B346,B322-48))</f>
        <v/>
      </c>
      <c r="AQ322" s="40">
        <f>AQ321*(1-IF(B321&gt;=in_marketplace_from,d_hz_two_wheeler*G321,0))</f>
        <v/>
      </c>
      <c r="AR322" s="46">
        <f>AQ322*IF(B322&gt;=in_marketplace_from,d_hz_two_wheeler*G322,0)</f>
        <v/>
      </c>
      <c r="AS322" s="14">
        <f>F322*AR322*in_two_wheeler_ticket*in_two_wheeler_comm*in_ins_partner_share+F322*in_two_wheeler_ticket*in_two_wheeler_comm*in_ins_partner_share*(in_two_wheeler_renew^1*SUMIFS(AR292:AR346,B292:B346,B322-12)+in_two_wheeler_renew^2*SUMIFS(AR292:AR346,B292:B346,B322-24)+in_two_wheeler_renew^3*SUMIFS(AR292:AR346,B292:B346,B322-36)+in_two_wheeler_renew^4*SUMIFS(AR292:AR346,B292:B346,B322-48))</f>
        <v/>
      </c>
      <c r="AT322" s="40">
        <f>AT321*(1-IF(B321&gt;=in_marketplace_from,d_hz_device*G321,0))</f>
        <v/>
      </c>
      <c r="AU322" s="14">
        <f>F322*AT322*IF(B322&gt;=in_marketplace_from,d_hz_device*G322,0)*in_device_ticket*in_device_comm*in_ins_partner_share</f>
        <v/>
      </c>
      <c r="AV322" s="40">
        <f>AV321*(1-IF(B321&gt;=in_marketplace_from,d_hz_shop*G321,0))</f>
        <v/>
      </c>
      <c r="AW322" s="46">
        <f>AV322*IF(B322&gt;=in_marketplace_from,d_hz_shop*G322,0)</f>
        <v/>
      </c>
      <c r="AX322" s="14">
        <f>F322*AW322*in_shop_ticket*in_shop_comm*in_ins_partner_share+F322*in_shop_ticket*in_shop_renew_comm*in_ins_partner_share*(in_shop_renew^1*SUMIFS(AW292:AW346,B292:B346,B322-12)+in_shop_renew^2*SUMIFS(AW292:AW346,B292:B346,B322-24)+in_shop_renew^3*SUMIFS(AW292:AW346,B292:B346,B322-36)+in_shop_renew^4*SUMIFS(AW292:AW346,B292:B346,B322-48))</f>
        <v/>
      </c>
      <c r="AY322" s="40">
        <f>AY321*(1-IF(B321&gt;=in_marketplace_from,d_hz_sip*G321,0))</f>
        <v/>
      </c>
      <c r="AZ322" s="40">
        <f>AZ321*d_rho_sip+AY322*IF(B322&gt;=in_marketplace_from,d_hz_sip*G322,0)</f>
        <v/>
      </c>
      <c r="BA322" s="40">
        <f>d_rho_sip*(BA321+AZ321)</f>
        <v/>
      </c>
      <c r="BB322" s="14">
        <f>F322*in_sip_ticket*(BA322+0.5*AZ322)*in_sip_comm/12</f>
        <v/>
      </c>
      <c r="BC322" s="40">
        <f>BC321*(1-IF(B321&gt;=in_marketplace_from,d_hz_choti*G321,0))</f>
        <v/>
      </c>
      <c r="BD322" s="46">
        <f>BC322*IF(B322&gt;=in_marketplace_from,d_hz_choti*G322,0)</f>
        <v/>
      </c>
      <c r="BE322" s="14">
        <f>F322*SUMIFS(BD292:BD346,B292:B346,B322-in_choti_months)*in_choti_renew*in_choti_ticket</f>
        <v/>
      </c>
      <c r="BF322" s="40">
        <f>BF321*(1-IF(B321&gt;=in_marketplace_from,d_hz_nps*G321,0))</f>
        <v/>
      </c>
      <c r="BG322" s="14">
        <f>F322*BF322*IF(B322&gt;=in_marketplace_from,d_hz_nps*G322,0)*in_nps_ticket*in_nps_comm</f>
        <v/>
      </c>
      <c r="BH322" s="40">
        <f>BH321*(1-IF(B321&gt;=in_marketplace_from,d_hz_gold*G321,0))</f>
        <v/>
      </c>
      <c r="BI322" s="40">
        <f>BI321*d_rho_gold+BH322*IF(B322&gt;=in_marketplace_from,d_hz_gold*G322,0)</f>
        <v/>
      </c>
      <c r="BJ322" s="14">
        <f>F322*BI322*in_gold_ticket*in_gold_comm</f>
        <v/>
      </c>
      <c r="BK322" s="40">
        <f>BK321*(1-IF(B321&gt;=in_marketplace_from,d_hz_fd*G321,0))</f>
        <v/>
      </c>
      <c r="BL322" s="14">
        <f>F322*BK322*IF(B322&gt;=in_marketplace_from,d_hz_fd*G322,0)*in_fd_ticket*in_fd_comm</f>
        <v/>
      </c>
      <c r="BM322" s="40">
        <f>BM321*(1-IF(B321&gt;=in_marketplace_from,d_hz_recharge*G321,0))</f>
        <v/>
      </c>
      <c r="BN322" s="40">
        <f>BN321*d_rho_recharge+BM322*IF(B322&gt;=in_marketplace_from,d_hz_recharge*G322,0)</f>
        <v/>
      </c>
      <c r="BO322" s="14">
        <f>F322*BN322*in_recharge_ticket*in_recharge_comm/12</f>
        <v/>
      </c>
      <c r="BP322" s="40">
        <f>BP321*(1-IF(B321&gt;=in_marketplace_from,d_hz_bills*G321,0))</f>
        <v/>
      </c>
      <c r="BQ322" s="40">
        <f>BQ321*d_rho_bills+BP322*IF(B322&gt;=in_marketplace_from,d_hz_bills*G322,0)</f>
        <v/>
      </c>
      <c r="BR322" s="14">
        <f>F322*BQ322*in_bills_ticket*in_bills_comm/12</f>
        <v/>
      </c>
      <c r="BS322" s="40">
        <f>BS321*(1-IF(B321&gt;=in_marketplace_from,d_hz_loan_gold*G321,0))</f>
        <v/>
      </c>
      <c r="BT322" s="14">
        <f>F322*BS322*IF(B322&gt;=in_marketplace_from,d_hz_loan_gold*G322,0)*in_loan_gold_ticket*in_loan_gold_comm</f>
        <v/>
      </c>
      <c r="BU322" s="40">
        <f>BU321*(1-IF(B321&gt;=in_marketplace_from,d_hz_loan_cd*G321,0))</f>
        <v/>
      </c>
      <c r="BV322" s="14">
        <f>F322*BU322*IF(B322&gt;=in_marketplace_from,d_hz_loan_cd*G322,0)*in_loan_cd_ticket*in_loan_cd_comm</f>
        <v/>
      </c>
      <c r="BW322" s="40">
        <f>BW321*(1-IF(B321&gt;=in_marketplace_from,d_hz_loan_vehicle*G321,0))</f>
        <v/>
      </c>
      <c r="BX322" s="14">
        <f>F322*BW322*IF(B322&gt;=in_marketplace_from,d_hz_loan_vehicle*G322,0)*in_loan_vehicle_ticket*in_loan_vehicle_comm</f>
        <v/>
      </c>
      <c r="BY322" s="40">
        <f>BY321*(1-IF(B321&gt;=in_marketplace_from,d_hz_loan_home*G321,0)*BZ321)</f>
        <v/>
      </c>
      <c r="BZ322" s="11">
        <f>MIN(in_approval_cap,in_loan_home_approval*INDEX('Age profile'!$O$2:$O$61,B322)*(1+in_approval_growth)^(D322-1))</f>
        <v/>
      </c>
      <c r="CA322" s="14">
        <f>F322*BY322*IF(B322&gt;=in_marketplace_from,d_hz_loan_home*G322,0)*BZ322*in_loan_home_ticket*in_loan_home_comm</f>
        <v/>
      </c>
      <c r="CB322" s="40">
        <f>CB321*(1-IF(B321&gt;=in_marketplace_from,d_hz_loan_lap*G321,0)*CC321)</f>
        <v/>
      </c>
      <c r="CC322" s="11">
        <f>MIN(in_approval_cap,in_loan_lap_approval*INDEX('Age profile'!$O$2:$O$61,B322)*(1+in_approval_growth)^(D322-1))</f>
        <v/>
      </c>
      <c r="CD322" s="14">
        <f>F322*CB322*IF(B322&gt;=in_marketplace_from,d_hz_loan_lap*G322,0)*CC322*in_loan_lap_ticket*in_loan_lap_comm</f>
        <v/>
      </c>
      <c r="CE322" s="14">
        <f>AA322+AB322+AC322+AD322+AG322+AJ322+AM322+AP322+AS322+AU322+AX322+BB322+BE322+BG322+BJ322+BL322+BO322+BR322+BT322+BV322+BX322+CA322+CD322</f>
        <v/>
      </c>
    </row>
    <row r="323">
      <c r="A323" s="39" t="n">
        <v>6</v>
      </c>
      <c r="B323" s="39" t="n">
        <v>32</v>
      </c>
      <c r="C323" s="39">
        <f>A323+B323-1</f>
        <v/>
      </c>
      <c r="D323" s="39">
        <f>INT((C323-1)/12)+1</f>
        <v/>
      </c>
      <c r="E323" s="44">
        <f>INDEX(Monthly!$B$2:$B$61,A323)</f>
        <v/>
      </c>
      <c r="F323" s="44">
        <f>E323*INDEX('Age profile'!$B$2:$B$61,B323)</f>
        <v/>
      </c>
      <c r="G323" s="45">
        <f>MIN(in_takeup_cap,INDEX('Age profile'!$N$2:$N$61,B323)*(1+in_takeup_growth)^(D323-1))</f>
        <v/>
      </c>
      <c r="H323" s="11">
        <f>MIN(in_approval_cap,in_approved_first*INDEX('Age profile'!$O$2:$O$61,B323)*(1+in_approval_growth)^(D323-1))</f>
        <v/>
      </c>
      <c r="I323" s="45">
        <f>G323*MIN(in_takeup_cap,INDEX('Age profile'!$O$2:$O$61,B323)*(1+in_approval_growth)^(D323-1))</f>
        <v/>
      </c>
      <c r="J323" s="40">
        <f>(J322-L322)*F323/F322</f>
        <v/>
      </c>
      <c r="K323" s="40">
        <f>(K322-M322)*F323/F322+SUMIFS(O292:O322,B292:B322,B323-1-d_T)*F323</f>
        <v/>
      </c>
      <c r="L323" s="40">
        <f>IF(B323&gt;=in_marketplace_from,J323*d_hz*G323*in_eligible*H323,0)</f>
        <v/>
      </c>
      <c r="M323" s="40">
        <f>IF(B323&gt;=in_marketplace_from,K323*d_hz*G323*in_eligible*in_approved_repeat,0)</f>
        <v/>
      </c>
      <c r="N323" s="40">
        <f>L323+M323</f>
        <v/>
      </c>
      <c r="O323" s="46">
        <f>N323/F323</f>
        <v/>
      </c>
      <c r="P323" s="40">
        <f>F323-J323-K323</f>
        <v/>
      </c>
      <c r="Q323" s="40">
        <f>IF(B323&gt;=in_marketplace_from,(J323+K323)*d_hz*G323,0)</f>
        <v/>
      </c>
      <c r="R323" s="40">
        <f>SUMIFS(N292:N346,B292:B346,"&gt;="&amp;(B323-d_T),B292:B346,"&lt;="&amp;(B323-1))</f>
        <v/>
      </c>
      <c r="S323" s="46">
        <f>(1-d_u)*S322+IF(d_T&gt;in_topup_lag,SUMIFS(O292:O346,B292:B346,B323-in_topup_lag)-d_udrop*SUMIFS(O292:O346,B292:B346,B323-d_T),0)</f>
        <v/>
      </c>
      <c r="T323" s="40">
        <f>F323*d_u*S323</f>
        <v/>
      </c>
      <c r="U323" s="9">
        <f>L323*in_ticket+M323*d_rep_ticket</f>
        <v/>
      </c>
      <c r="V323" s="9">
        <f>U323+T323*d_topup_amt</f>
        <v/>
      </c>
      <c r="W323" s="40">
        <f>N323+T323*d_topup_ratio</f>
        <v/>
      </c>
      <c r="X323" s="40">
        <f>SUMIFS(W292:W346,B292:B346,B323-in_dpd_lag)*d_cured</f>
        <v/>
      </c>
      <c r="Y323" s="40">
        <f>SUMIFS(W292:W346,B292:B346,B323-in_rec_lag)*d_recd</f>
        <v/>
      </c>
      <c r="Z323" s="40">
        <f>IF(AND(B323&gt;=in_marketplace_from,B323&lt;in_marketplace_from+in_card_months),in_card_share/in_card_months*F323*I323,IF(AND(B323&gt;=in_marketplace_from+in_card_months,B323&lt;in_marketplace_from+2*in_card_months),in_card_share*d_card_rem/in_card_months*F323*MIN(in_takeup_cap,(1+in_takeup_growth)^(D323-1))*MIN(in_takeup_cap,(1+in_approval_growth)^(D323-1)),0))</f>
        <v/>
      </c>
      <c r="AA323" s="14">
        <f>V323*in_fee*(1-in_taken_back)</f>
        <v/>
      </c>
      <c r="AB323" s="14">
        <f>SUMIFS(W292:W346,B292:B346,B323-in_dpd_lag)*d_dpd</f>
        <v/>
      </c>
      <c r="AC323" s="14">
        <f>SUMIFS(W292:W346,B292:B346,B323-in_rec_lag)*d_rec</f>
        <v/>
      </c>
      <c r="AD323" s="14">
        <f>Z323*in_card_fee</f>
        <v/>
      </c>
      <c r="AE323" s="40">
        <f>AE322*(1-IF(B322&gt;=in_marketplace_from,d_hz_hlth_small*G322,0))</f>
        <v/>
      </c>
      <c r="AF323" s="46">
        <f>AE323*IF(B323&gt;=in_marketplace_from,d_hz_hlth_small*G323,0)</f>
        <v/>
      </c>
      <c r="AG323" s="14">
        <f>F323*AF323*in_hlth_small_ticket*in_hlth_small_comm*in_ins_partner_share+F323*in_hlth_small_ticket*in_hlth_small_renew_comm*in_ins_partner_share*(in_hlth_small_renew^1*SUMIFS(AF292:AF346,B292:B346,B323-12)+in_hlth_small_renew^2*SUMIFS(AF292:AF346,B292:B346,B323-24)+in_hlth_small_renew^3*SUMIFS(AF292:AF346,B292:B346,B323-36)+in_hlth_small_renew^4*SUMIFS(AF292:AF346,B292:B346,B323-48))</f>
        <v/>
      </c>
      <c r="AH323" s="40">
        <f>AH322*(1-IF(B322&gt;=in_marketplace_from,d_hz_hlth_family*G322,0))</f>
        <v/>
      </c>
      <c r="AI323" s="46">
        <f>AH323*IF(B323&gt;=in_marketplace_from,d_hz_hlth_family*G323,0)</f>
        <v/>
      </c>
      <c r="AJ323" s="14">
        <f>F323*AI323*in_hlth_family_ticket*in_hlth_family_comm*in_ins_partner_share+F323*in_hlth_family_ticket*in_hlth_family_renew_comm*in_ins_partner_share*(in_hlth_family_renew^1*SUMIFS(AI292:AI346,B292:B346,B323-12)+in_hlth_family_renew^2*SUMIFS(AI292:AI346,B292:B346,B323-24)+in_hlth_family_renew^3*SUMIFS(AI292:AI346,B292:B346,B323-36)+in_hlth_family_renew^4*SUMIFS(AI292:AI346,B292:B346,B323-48))</f>
        <v/>
      </c>
      <c r="AK323" s="40">
        <f>AK322*(1-IF(B322&gt;=in_marketplace_from,d_hz_life_term*G322,0))</f>
        <v/>
      </c>
      <c r="AL323" s="46">
        <f>AK323*IF(B323&gt;=in_marketplace_from,d_hz_life_term*G323,0)</f>
        <v/>
      </c>
      <c r="AM323" s="14">
        <f>F323*AL323*in_life_term_ticket*in_life_term_comm*in_ins_partner_share+F323*in_life_term_ticket*in_life_term_renew_comm*in_ins_partner_share*(in_life_term_renew^1*SUMIFS(AL292:AL346,B292:B346,B323-12)+in_life_term_renew^2*SUMIFS(AL292:AL346,B292:B346,B323-24)+in_life_term_renew^3*SUMIFS(AL292:AL346,B292:B346,B323-36)+in_life_term_renew^4*SUMIFS(AL292:AL346,B292:B346,B323-48))</f>
        <v/>
      </c>
      <c r="AN323" s="40">
        <f>AN322*(1-IF(B322&gt;=in_marketplace_from,d_hz_accident*G322,0))</f>
        <v/>
      </c>
      <c r="AO323" s="46">
        <f>AN323*IF(B323&gt;=in_marketplace_from,d_hz_accident*G323,0)</f>
        <v/>
      </c>
      <c r="AP323" s="14">
        <f>F323*AO323*in_accident_ticket*in_accident_comm*in_ins_partner_share+F323*in_accident_ticket*in_accident_renew_comm*in_ins_partner_share*(in_accident_renew^1*SUMIFS(AO292:AO346,B292:B346,B323-12)+in_accident_renew^2*SUMIFS(AO292:AO346,B292:B346,B323-24)+in_accident_renew^3*SUMIFS(AO292:AO346,B292:B346,B323-36)+in_accident_renew^4*SUMIFS(AO292:AO346,B292:B346,B323-48))</f>
        <v/>
      </c>
      <c r="AQ323" s="40">
        <f>AQ322*(1-IF(B322&gt;=in_marketplace_from,d_hz_two_wheeler*G322,0))</f>
        <v/>
      </c>
      <c r="AR323" s="46">
        <f>AQ323*IF(B323&gt;=in_marketplace_from,d_hz_two_wheeler*G323,0)</f>
        <v/>
      </c>
      <c r="AS323" s="14">
        <f>F323*AR323*in_two_wheeler_ticket*in_two_wheeler_comm*in_ins_partner_share+F323*in_two_wheeler_ticket*in_two_wheeler_comm*in_ins_partner_share*(in_two_wheeler_renew^1*SUMIFS(AR292:AR346,B292:B346,B323-12)+in_two_wheeler_renew^2*SUMIFS(AR292:AR346,B292:B346,B323-24)+in_two_wheeler_renew^3*SUMIFS(AR292:AR346,B292:B346,B323-36)+in_two_wheeler_renew^4*SUMIFS(AR292:AR346,B292:B346,B323-48))</f>
        <v/>
      </c>
      <c r="AT323" s="40">
        <f>AT322*(1-IF(B322&gt;=in_marketplace_from,d_hz_device*G322,0))</f>
        <v/>
      </c>
      <c r="AU323" s="14">
        <f>F323*AT323*IF(B323&gt;=in_marketplace_from,d_hz_device*G323,0)*in_device_ticket*in_device_comm*in_ins_partner_share</f>
        <v/>
      </c>
      <c r="AV323" s="40">
        <f>AV322*(1-IF(B322&gt;=in_marketplace_from,d_hz_shop*G322,0))</f>
        <v/>
      </c>
      <c r="AW323" s="46">
        <f>AV323*IF(B323&gt;=in_marketplace_from,d_hz_shop*G323,0)</f>
        <v/>
      </c>
      <c r="AX323" s="14">
        <f>F323*AW323*in_shop_ticket*in_shop_comm*in_ins_partner_share+F323*in_shop_ticket*in_shop_renew_comm*in_ins_partner_share*(in_shop_renew^1*SUMIFS(AW292:AW346,B292:B346,B323-12)+in_shop_renew^2*SUMIFS(AW292:AW346,B292:B346,B323-24)+in_shop_renew^3*SUMIFS(AW292:AW346,B292:B346,B323-36)+in_shop_renew^4*SUMIFS(AW292:AW346,B292:B346,B323-48))</f>
        <v/>
      </c>
      <c r="AY323" s="40">
        <f>AY322*(1-IF(B322&gt;=in_marketplace_from,d_hz_sip*G322,0))</f>
        <v/>
      </c>
      <c r="AZ323" s="40">
        <f>AZ322*d_rho_sip+AY323*IF(B323&gt;=in_marketplace_from,d_hz_sip*G323,0)</f>
        <v/>
      </c>
      <c r="BA323" s="40">
        <f>d_rho_sip*(BA322+AZ322)</f>
        <v/>
      </c>
      <c r="BB323" s="14">
        <f>F323*in_sip_ticket*(BA323+0.5*AZ323)*in_sip_comm/12</f>
        <v/>
      </c>
      <c r="BC323" s="40">
        <f>BC322*(1-IF(B322&gt;=in_marketplace_from,d_hz_choti*G322,0))</f>
        <v/>
      </c>
      <c r="BD323" s="46">
        <f>BC323*IF(B323&gt;=in_marketplace_from,d_hz_choti*G323,0)</f>
        <v/>
      </c>
      <c r="BE323" s="14">
        <f>F323*SUMIFS(BD292:BD346,B292:B346,B323-in_choti_months)*in_choti_renew*in_choti_ticket</f>
        <v/>
      </c>
      <c r="BF323" s="40">
        <f>BF322*(1-IF(B322&gt;=in_marketplace_from,d_hz_nps*G322,0))</f>
        <v/>
      </c>
      <c r="BG323" s="14">
        <f>F323*BF323*IF(B323&gt;=in_marketplace_from,d_hz_nps*G323,0)*in_nps_ticket*in_nps_comm</f>
        <v/>
      </c>
      <c r="BH323" s="40">
        <f>BH322*(1-IF(B322&gt;=in_marketplace_from,d_hz_gold*G322,0))</f>
        <v/>
      </c>
      <c r="BI323" s="40">
        <f>BI322*d_rho_gold+BH323*IF(B323&gt;=in_marketplace_from,d_hz_gold*G323,0)</f>
        <v/>
      </c>
      <c r="BJ323" s="14">
        <f>F323*BI323*in_gold_ticket*in_gold_comm</f>
        <v/>
      </c>
      <c r="BK323" s="40">
        <f>BK322*(1-IF(B322&gt;=in_marketplace_from,d_hz_fd*G322,0))</f>
        <v/>
      </c>
      <c r="BL323" s="14">
        <f>F323*BK323*IF(B323&gt;=in_marketplace_from,d_hz_fd*G323,0)*in_fd_ticket*in_fd_comm</f>
        <v/>
      </c>
      <c r="BM323" s="40">
        <f>BM322*(1-IF(B322&gt;=in_marketplace_from,d_hz_recharge*G322,0))</f>
        <v/>
      </c>
      <c r="BN323" s="40">
        <f>BN322*d_rho_recharge+BM323*IF(B323&gt;=in_marketplace_from,d_hz_recharge*G323,0)</f>
        <v/>
      </c>
      <c r="BO323" s="14">
        <f>F323*BN323*in_recharge_ticket*in_recharge_comm/12</f>
        <v/>
      </c>
      <c r="BP323" s="40">
        <f>BP322*(1-IF(B322&gt;=in_marketplace_from,d_hz_bills*G322,0))</f>
        <v/>
      </c>
      <c r="BQ323" s="40">
        <f>BQ322*d_rho_bills+BP323*IF(B323&gt;=in_marketplace_from,d_hz_bills*G323,0)</f>
        <v/>
      </c>
      <c r="BR323" s="14">
        <f>F323*BQ323*in_bills_ticket*in_bills_comm/12</f>
        <v/>
      </c>
      <c r="BS323" s="40">
        <f>BS322*(1-IF(B322&gt;=in_marketplace_from,d_hz_loan_gold*G322,0))</f>
        <v/>
      </c>
      <c r="BT323" s="14">
        <f>F323*BS323*IF(B323&gt;=in_marketplace_from,d_hz_loan_gold*G323,0)*in_loan_gold_ticket*in_loan_gold_comm</f>
        <v/>
      </c>
      <c r="BU323" s="40">
        <f>BU322*(1-IF(B322&gt;=in_marketplace_from,d_hz_loan_cd*G322,0))</f>
        <v/>
      </c>
      <c r="BV323" s="14">
        <f>F323*BU323*IF(B323&gt;=in_marketplace_from,d_hz_loan_cd*G323,0)*in_loan_cd_ticket*in_loan_cd_comm</f>
        <v/>
      </c>
      <c r="BW323" s="40">
        <f>BW322*(1-IF(B322&gt;=in_marketplace_from,d_hz_loan_vehicle*G322,0))</f>
        <v/>
      </c>
      <c r="BX323" s="14">
        <f>F323*BW323*IF(B323&gt;=in_marketplace_from,d_hz_loan_vehicle*G323,0)*in_loan_vehicle_ticket*in_loan_vehicle_comm</f>
        <v/>
      </c>
      <c r="BY323" s="40">
        <f>BY322*(1-IF(B322&gt;=in_marketplace_from,d_hz_loan_home*G322,0)*BZ322)</f>
        <v/>
      </c>
      <c r="BZ323" s="11">
        <f>MIN(in_approval_cap,in_loan_home_approval*INDEX('Age profile'!$O$2:$O$61,B323)*(1+in_approval_growth)^(D323-1))</f>
        <v/>
      </c>
      <c r="CA323" s="14">
        <f>F323*BY323*IF(B323&gt;=in_marketplace_from,d_hz_loan_home*G323,0)*BZ323*in_loan_home_ticket*in_loan_home_comm</f>
        <v/>
      </c>
      <c r="CB323" s="40">
        <f>CB322*(1-IF(B322&gt;=in_marketplace_from,d_hz_loan_lap*G322,0)*CC322)</f>
        <v/>
      </c>
      <c r="CC323" s="11">
        <f>MIN(in_approval_cap,in_loan_lap_approval*INDEX('Age profile'!$O$2:$O$61,B323)*(1+in_approval_growth)^(D323-1))</f>
        <v/>
      </c>
      <c r="CD323" s="14">
        <f>F323*CB323*IF(B323&gt;=in_marketplace_from,d_hz_loan_lap*G323,0)*CC323*in_loan_lap_ticket*in_loan_lap_comm</f>
        <v/>
      </c>
      <c r="CE323" s="14">
        <f>AA323+AB323+AC323+AD323+AG323+AJ323+AM323+AP323+AS323+AU323+AX323+BB323+BE323+BG323+BJ323+BL323+BO323+BR323+BT323+BV323+BX323+CA323+CD323</f>
        <v/>
      </c>
    </row>
    <row r="324">
      <c r="A324" s="39" t="n">
        <v>6</v>
      </c>
      <c r="B324" s="39" t="n">
        <v>33</v>
      </c>
      <c r="C324" s="39">
        <f>A324+B324-1</f>
        <v/>
      </c>
      <c r="D324" s="39">
        <f>INT((C324-1)/12)+1</f>
        <v/>
      </c>
      <c r="E324" s="44">
        <f>INDEX(Monthly!$B$2:$B$61,A324)</f>
        <v/>
      </c>
      <c r="F324" s="44">
        <f>E324*INDEX('Age profile'!$B$2:$B$61,B324)</f>
        <v/>
      </c>
      <c r="G324" s="45">
        <f>MIN(in_takeup_cap,INDEX('Age profile'!$N$2:$N$61,B324)*(1+in_takeup_growth)^(D324-1))</f>
        <v/>
      </c>
      <c r="H324" s="11">
        <f>MIN(in_approval_cap,in_approved_first*INDEX('Age profile'!$O$2:$O$61,B324)*(1+in_approval_growth)^(D324-1))</f>
        <v/>
      </c>
      <c r="I324" s="45">
        <f>G324*MIN(in_takeup_cap,INDEX('Age profile'!$O$2:$O$61,B324)*(1+in_approval_growth)^(D324-1))</f>
        <v/>
      </c>
      <c r="J324" s="40">
        <f>(J323-L323)*F324/F323</f>
        <v/>
      </c>
      <c r="K324" s="40">
        <f>(K323-M323)*F324/F323+SUMIFS(O292:O323,B292:B323,B324-1-d_T)*F324</f>
        <v/>
      </c>
      <c r="L324" s="40">
        <f>IF(B324&gt;=in_marketplace_from,J324*d_hz*G324*in_eligible*H324,0)</f>
        <v/>
      </c>
      <c r="M324" s="40">
        <f>IF(B324&gt;=in_marketplace_from,K324*d_hz*G324*in_eligible*in_approved_repeat,0)</f>
        <v/>
      </c>
      <c r="N324" s="40">
        <f>L324+M324</f>
        <v/>
      </c>
      <c r="O324" s="46">
        <f>N324/F324</f>
        <v/>
      </c>
      <c r="P324" s="40">
        <f>F324-J324-K324</f>
        <v/>
      </c>
      <c r="Q324" s="40">
        <f>IF(B324&gt;=in_marketplace_from,(J324+K324)*d_hz*G324,0)</f>
        <v/>
      </c>
      <c r="R324" s="40">
        <f>SUMIFS(N292:N346,B292:B346,"&gt;="&amp;(B324-d_T),B292:B346,"&lt;="&amp;(B324-1))</f>
        <v/>
      </c>
      <c r="S324" s="46">
        <f>(1-d_u)*S323+IF(d_T&gt;in_topup_lag,SUMIFS(O292:O346,B292:B346,B324-in_topup_lag)-d_udrop*SUMIFS(O292:O346,B292:B346,B324-d_T),0)</f>
        <v/>
      </c>
      <c r="T324" s="40">
        <f>F324*d_u*S324</f>
        <v/>
      </c>
      <c r="U324" s="9">
        <f>L324*in_ticket+M324*d_rep_ticket</f>
        <v/>
      </c>
      <c r="V324" s="9">
        <f>U324+T324*d_topup_amt</f>
        <v/>
      </c>
      <c r="W324" s="40">
        <f>N324+T324*d_topup_ratio</f>
        <v/>
      </c>
      <c r="X324" s="40">
        <f>SUMIFS(W292:W346,B292:B346,B324-in_dpd_lag)*d_cured</f>
        <v/>
      </c>
      <c r="Y324" s="40">
        <f>SUMIFS(W292:W346,B292:B346,B324-in_rec_lag)*d_recd</f>
        <v/>
      </c>
      <c r="Z324" s="40">
        <f>IF(AND(B324&gt;=in_marketplace_from,B324&lt;in_marketplace_from+in_card_months),in_card_share/in_card_months*F324*I324,IF(AND(B324&gt;=in_marketplace_from+in_card_months,B324&lt;in_marketplace_from+2*in_card_months),in_card_share*d_card_rem/in_card_months*F324*MIN(in_takeup_cap,(1+in_takeup_growth)^(D324-1))*MIN(in_takeup_cap,(1+in_approval_growth)^(D324-1)),0))</f>
        <v/>
      </c>
      <c r="AA324" s="14">
        <f>V324*in_fee*(1-in_taken_back)</f>
        <v/>
      </c>
      <c r="AB324" s="14">
        <f>SUMIFS(W292:W346,B292:B346,B324-in_dpd_lag)*d_dpd</f>
        <v/>
      </c>
      <c r="AC324" s="14">
        <f>SUMIFS(W292:W346,B292:B346,B324-in_rec_lag)*d_rec</f>
        <v/>
      </c>
      <c r="AD324" s="14">
        <f>Z324*in_card_fee</f>
        <v/>
      </c>
      <c r="AE324" s="40">
        <f>AE323*(1-IF(B323&gt;=in_marketplace_from,d_hz_hlth_small*G323,0))</f>
        <v/>
      </c>
      <c r="AF324" s="46">
        <f>AE324*IF(B324&gt;=in_marketplace_from,d_hz_hlth_small*G324,0)</f>
        <v/>
      </c>
      <c r="AG324" s="14">
        <f>F324*AF324*in_hlth_small_ticket*in_hlth_small_comm*in_ins_partner_share+F324*in_hlth_small_ticket*in_hlth_small_renew_comm*in_ins_partner_share*(in_hlth_small_renew^1*SUMIFS(AF292:AF346,B292:B346,B324-12)+in_hlth_small_renew^2*SUMIFS(AF292:AF346,B292:B346,B324-24)+in_hlth_small_renew^3*SUMIFS(AF292:AF346,B292:B346,B324-36)+in_hlth_small_renew^4*SUMIFS(AF292:AF346,B292:B346,B324-48))</f>
        <v/>
      </c>
      <c r="AH324" s="40">
        <f>AH323*(1-IF(B323&gt;=in_marketplace_from,d_hz_hlth_family*G323,0))</f>
        <v/>
      </c>
      <c r="AI324" s="46">
        <f>AH324*IF(B324&gt;=in_marketplace_from,d_hz_hlth_family*G324,0)</f>
        <v/>
      </c>
      <c r="AJ324" s="14">
        <f>F324*AI324*in_hlth_family_ticket*in_hlth_family_comm*in_ins_partner_share+F324*in_hlth_family_ticket*in_hlth_family_renew_comm*in_ins_partner_share*(in_hlth_family_renew^1*SUMIFS(AI292:AI346,B292:B346,B324-12)+in_hlth_family_renew^2*SUMIFS(AI292:AI346,B292:B346,B324-24)+in_hlth_family_renew^3*SUMIFS(AI292:AI346,B292:B346,B324-36)+in_hlth_family_renew^4*SUMIFS(AI292:AI346,B292:B346,B324-48))</f>
        <v/>
      </c>
      <c r="AK324" s="40">
        <f>AK323*(1-IF(B323&gt;=in_marketplace_from,d_hz_life_term*G323,0))</f>
        <v/>
      </c>
      <c r="AL324" s="46">
        <f>AK324*IF(B324&gt;=in_marketplace_from,d_hz_life_term*G324,0)</f>
        <v/>
      </c>
      <c r="AM324" s="14">
        <f>F324*AL324*in_life_term_ticket*in_life_term_comm*in_ins_partner_share+F324*in_life_term_ticket*in_life_term_renew_comm*in_ins_partner_share*(in_life_term_renew^1*SUMIFS(AL292:AL346,B292:B346,B324-12)+in_life_term_renew^2*SUMIFS(AL292:AL346,B292:B346,B324-24)+in_life_term_renew^3*SUMIFS(AL292:AL346,B292:B346,B324-36)+in_life_term_renew^4*SUMIFS(AL292:AL346,B292:B346,B324-48))</f>
        <v/>
      </c>
      <c r="AN324" s="40">
        <f>AN323*(1-IF(B323&gt;=in_marketplace_from,d_hz_accident*G323,0))</f>
        <v/>
      </c>
      <c r="AO324" s="46">
        <f>AN324*IF(B324&gt;=in_marketplace_from,d_hz_accident*G324,0)</f>
        <v/>
      </c>
      <c r="AP324" s="14">
        <f>F324*AO324*in_accident_ticket*in_accident_comm*in_ins_partner_share+F324*in_accident_ticket*in_accident_renew_comm*in_ins_partner_share*(in_accident_renew^1*SUMIFS(AO292:AO346,B292:B346,B324-12)+in_accident_renew^2*SUMIFS(AO292:AO346,B292:B346,B324-24)+in_accident_renew^3*SUMIFS(AO292:AO346,B292:B346,B324-36)+in_accident_renew^4*SUMIFS(AO292:AO346,B292:B346,B324-48))</f>
        <v/>
      </c>
      <c r="AQ324" s="40">
        <f>AQ323*(1-IF(B323&gt;=in_marketplace_from,d_hz_two_wheeler*G323,0))</f>
        <v/>
      </c>
      <c r="AR324" s="46">
        <f>AQ324*IF(B324&gt;=in_marketplace_from,d_hz_two_wheeler*G324,0)</f>
        <v/>
      </c>
      <c r="AS324" s="14">
        <f>F324*AR324*in_two_wheeler_ticket*in_two_wheeler_comm*in_ins_partner_share+F324*in_two_wheeler_ticket*in_two_wheeler_comm*in_ins_partner_share*(in_two_wheeler_renew^1*SUMIFS(AR292:AR346,B292:B346,B324-12)+in_two_wheeler_renew^2*SUMIFS(AR292:AR346,B292:B346,B324-24)+in_two_wheeler_renew^3*SUMIFS(AR292:AR346,B292:B346,B324-36)+in_two_wheeler_renew^4*SUMIFS(AR292:AR346,B292:B346,B324-48))</f>
        <v/>
      </c>
      <c r="AT324" s="40">
        <f>AT323*(1-IF(B323&gt;=in_marketplace_from,d_hz_device*G323,0))</f>
        <v/>
      </c>
      <c r="AU324" s="14">
        <f>F324*AT324*IF(B324&gt;=in_marketplace_from,d_hz_device*G324,0)*in_device_ticket*in_device_comm*in_ins_partner_share</f>
        <v/>
      </c>
      <c r="AV324" s="40">
        <f>AV323*(1-IF(B323&gt;=in_marketplace_from,d_hz_shop*G323,0))</f>
        <v/>
      </c>
      <c r="AW324" s="46">
        <f>AV324*IF(B324&gt;=in_marketplace_from,d_hz_shop*G324,0)</f>
        <v/>
      </c>
      <c r="AX324" s="14">
        <f>F324*AW324*in_shop_ticket*in_shop_comm*in_ins_partner_share+F324*in_shop_ticket*in_shop_renew_comm*in_ins_partner_share*(in_shop_renew^1*SUMIFS(AW292:AW346,B292:B346,B324-12)+in_shop_renew^2*SUMIFS(AW292:AW346,B292:B346,B324-24)+in_shop_renew^3*SUMIFS(AW292:AW346,B292:B346,B324-36)+in_shop_renew^4*SUMIFS(AW292:AW346,B292:B346,B324-48))</f>
        <v/>
      </c>
      <c r="AY324" s="40">
        <f>AY323*(1-IF(B323&gt;=in_marketplace_from,d_hz_sip*G323,0))</f>
        <v/>
      </c>
      <c r="AZ324" s="40">
        <f>AZ323*d_rho_sip+AY324*IF(B324&gt;=in_marketplace_from,d_hz_sip*G324,0)</f>
        <v/>
      </c>
      <c r="BA324" s="40">
        <f>d_rho_sip*(BA323+AZ323)</f>
        <v/>
      </c>
      <c r="BB324" s="14">
        <f>F324*in_sip_ticket*(BA324+0.5*AZ324)*in_sip_comm/12</f>
        <v/>
      </c>
      <c r="BC324" s="40">
        <f>BC323*(1-IF(B323&gt;=in_marketplace_from,d_hz_choti*G323,0))</f>
        <v/>
      </c>
      <c r="BD324" s="46">
        <f>BC324*IF(B324&gt;=in_marketplace_from,d_hz_choti*G324,0)</f>
        <v/>
      </c>
      <c r="BE324" s="14">
        <f>F324*SUMIFS(BD292:BD346,B292:B346,B324-in_choti_months)*in_choti_renew*in_choti_ticket</f>
        <v/>
      </c>
      <c r="BF324" s="40">
        <f>BF323*(1-IF(B323&gt;=in_marketplace_from,d_hz_nps*G323,0))</f>
        <v/>
      </c>
      <c r="BG324" s="14">
        <f>F324*BF324*IF(B324&gt;=in_marketplace_from,d_hz_nps*G324,0)*in_nps_ticket*in_nps_comm</f>
        <v/>
      </c>
      <c r="BH324" s="40">
        <f>BH323*(1-IF(B323&gt;=in_marketplace_from,d_hz_gold*G323,0))</f>
        <v/>
      </c>
      <c r="BI324" s="40">
        <f>BI323*d_rho_gold+BH324*IF(B324&gt;=in_marketplace_from,d_hz_gold*G324,0)</f>
        <v/>
      </c>
      <c r="BJ324" s="14">
        <f>F324*BI324*in_gold_ticket*in_gold_comm</f>
        <v/>
      </c>
      <c r="BK324" s="40">
        <f>BK323*(1-IF(B323&gt;=in_marketplace_from,d_hz_fd*G323,0))</f>
        <v/>
      </c>
      <c r="BL324" s="14">
        <f>F324*BK324*IF(B324&gt;=in_marketplace_from,d_hz_fd*G324,0)*in_fd_ticket*in_fd_comm</f>
        <v/>
      </c>
      <c r="BM324" s="40">
        <f>BM323*(1-IF(B323&gt;=in_marketplace_from,d_hz_recharge*G323,0))</f>
        <v/>
      </c>
      <c r="BN324" s="40">
        <f>BN323*d_rho_recharge+BM324*IF(B324&gt;=in_marketplace_from,d_hz_recharge*G324,0)</f>
        <v/>
      </c>
      <c r="BO324" s="14">
        <f>F324*BN324*in_recharge_ticket*in_recharge_comm/12</f>
        <v/>
      </c>
      <c r="BP324" s="40">
        <f>BP323*(1-IF(B323&gt;=in_marketplace_from,d_hz_bills*G323,0))</f>
        <v/>
      </c>
      <c r="BQ324" s="40">
        <f>BQ323*d_rho_bills+BP324*IF(B324&gt;=in_marketplace_from,d_hz_bills*G324,0)</f>
        <v/>
      </c>
      <c r="BR324" s="14">
        <f>F324*BQ324*in_bills_ticket*in_bills_comm/12</f>
        <v/>
      </c>
      <c r="BS324" s="40">
        <f>BS323*(1-IF(B323&gt;=in_marketplace_from,d_hz_loan_gold*G323,0))</f>
        <v/>
      </c>
      <c r="BT324" s="14">
        <f>F324*BS324*IF(B324&gt;=in_marketplace_from,d_hz_loan_gold*G324,0)*in_loan_gold_ticket*in_loan_gold_comm</f>
        <v/>
      </c>
      <c r="BU324" s="40">
        <f>BU323*(1-IF(B323&gt;=in_marketplace_from,d_hz_loan_cd*G323,0))</f>
        <v/>
      </c>
      <c r="BV324" s="14">
        <f>F324*BU324*IF(B324&gt;=in_marketplace_from,d_hz_loan_cd*G324,0)*in_loan_cd_ticket*in_loan_cd_comm</f>
        <v/>
      </c>
      <c r="BW324" s="40">
        <f>BW323*(1-IF(B323&gt;=in_marketplace_from,d_hz_loan_vehicle*G323,0))</f>
        <v/>
      </c>
      <c r="BX324" s="14">
        <f>F324*BW324*IF(B324&gt;=in_marketplace_from,d_hz_loan_vehicle*G324,0)*in_loan_vehicle_ticket*in_loan_vehicle_comm</f>
        <v/>
      </c>
      <c r="BY324" s="40">
        <f>BY323*(1-IF(B323&gt;=in_marketplace_from,d_hz_loan_home*G323,0)*BZ323)</f>
        <v/>
      </c>
      <c r="BZ324" s="11">
        <f>MIN(in_approval_cap,in_loan_home_approval*INDEX('Age profile'!$O$2:$O$61,B324)*(1+in_approval_growth)^(D324-1))</f>
        <v/>
      </c>
      <c r="CA324" s="14">
        <f>F324*BY324*IF(B324&gt;=in_marketplace_from,d_hz_loan_home*G324,0)*BZ324*in_loan_home_ticket*in_loan_home_comm</f>
        <v/>
      </c>
      <c r="CB324" s="40">
        <f>CB323*(1-IF(B323&gt;=in_marketplace_from,d_hz_loan_lap*G323,0)*CC323)</f>
        <v/>
      </c>
      <c r="CC324" s="11">
        <f>MIN(in_approval_cap,in_loan_lap_approval*INDEX('Age profile'!$O$2:$O$61,B324)*(1+in_approval_growth)^(D324-1))</f>
        <v/>
      </c>
      <c r="CD324" s="14">
        <f>F324*CB324*IF(B324&gt;=in_marketplace_from,d_hz_loan_lap*G324,0)*CC324*in_loan_lap_ticket*in_loan_lap_comm</f>
        <v/>
      </c>
      <c r="CE324" s="14">
        <f>AA324+AB324+AC324+AD324+AG324+AJ324+AM324+AP324+AS324+AU324+AX324+BB324+BE324+BG324+BJ324+BL324+BO324+BR324+BT324+BV324+BX324+CA324+CD324</f>
        <v/>
      </c>
    </row>
    <row r="325">
      <c r="A325" s="39" t="n">
        <v>6</v>
      </c>
      <c r="B325" s="39" t="n">
        <v>34</v>
      </c>
      <c r="C325" s="39">
        <f>A325+B325-1</f>
        <v/>
      </c>
      <c r="D325" s="39">
        <f>INT((C325-1)/12)+1</f>
        <v/>
      </c>
      <c r="E325" s="44">
        <f>INDEX(Monthly!$B$2:$B$61,A325)</f>
        <v/>
      </c>
      <c r="F325" s="44">
        <f>E325*INDEX('Age profile'!$B$2:$B$61,B325)</f>
        <v/>
      </c>
      <c r="G325" s="45">
        <f>MIN(in_takeup_cap,INDEX('Age profile'!$N$2:$N$61,B325)*(1+in_takeup_growth)^(D325-1))</f>
        <v/>
      </c>
      <c r="H325" s="11">
        <f>MIN(in_approval_cap,in_approved_first*INDEX('Age profile'!$O$2:$O$61,B325)*(1+in_approval_growth)^(D325-1))</f>
        <v/>
      </c>
      <c r="I325" s="45">
        <f>G325*MIN(in_takeup_cap,INDEX('Age profile'!$O$2:$O$61,B325)*(1+in_approval_growth)^(D325-1))</f>
        <v/>
      </c>
      <c r="J325" s="40">
        <f>(J324-L324)*F325/F324</f>
        <v/>
      </c>
      <c r="K325" s="40">
        <f>(K324-M324)*F325/F324+SUMIFS(O292:O324,B292:B324,B325-1-d_T)*F325</f>
        <v/>
      </c>
      <c r="L325" s="40">
        <f>IF(B325&gt;=in_marketplace_from,J325*d_hz*G325*in_eligible*H325,0)</f>
        <v/>
      </c>
      <c r="M325" s="40">
        <f>IF(B325&gt;=in_marketplace_from,K325*d_hz*G325*in_eligible*in_approved_repeat,0)</f>
        <v/>
      </c>
      <c r="N325" s="40">
        <f>L325+M325</f>
        <v/>
      </c>
      <c r="O325" s="46">
        <f>N325/F325</f>
        <v/>
      </c>
      <c r="P325" s="40">
        <f>F325-J325-K325</f>
        <v/>
      </c>
      <c r="Q325" s="40">
        <f>IF(B325&gt;=in_marketplace_from,(J325+K325)*d_hz*G325,0)</f>
        <v/>
      </c>
      <c r="R325" s="40">
        <f>SUMIFS(N292:N346,B292:B346,"&gt;="&amp;(B325-d_T),B292:B346,"&lt;="&amp;(B325-1))</f>
        <v/>
      </c>
      <c r="S325" s="46">
        <f>(1-d_u)*S324+IF(d_T&gt;in_topup_lag,SUMIFS(O292:O346,B292:B346,B325-in_topup_lag)-d_udrop*SUMIFS(O292:O346,B292:B346,B325-d_T),0)</f>
        <v/>
      </c>
      <c r="T325" s="40">
        <f>F325*d_u*S325</f>
        <v/>
      </c>
      <c r="U325" s="9">
        <f>L325*in_ticket+M325*d_rep_ticket</f>
        <v/>
      </c>
      <c r="V325" s="9">
        <f>U325+T325*d_topup_amt</f>
        <v/>
      </c>
      <c r="W325" s="40">
        <f>N325+T325*d_topup_ratio</f>
        <v/>
      </c>
      <c r="X325" s="40">
        <f>SUMIFS(W292:W346,B292:B346,B325-in_dpd_lag)*d_cured</f>
        <v/>
      </c>
      <c r="Y325" s="40">
        <f>SUMIFS(W292:W346,B292:B346,B325-in_rec_lag)*d_recd</f>
        <v/>
      </c>
      <c r="Z325" s="40">
        <f>IF(AND(B325&gt;=in_marketplace_from,B325&lt;in_marketplace_from+in_card_months),in_card_share/in_card_months*F325*I325,IF(AND(B325&gt;=in_marketplace_from+in_card_months,B325&lt;in_marketplace_from+2*in_card_months),in_card_share*d_card_rem/in_card_months*F325*MIN(in_takeup_cap,(1+in_takeup_growth)^(D325-1))*MIN(in_takeup_cap,(1+in_approval_growth)^(D325-1)),0))</f>
        <v/>
      </c>
      <c r="AA325" s="14">
        <f>V325*in_fee*(1-in_taken_back)</f>
        <v/>
      </c>
      <c r="AB325" s="14">
        <f>SUMIFS(W292:W346,B292:B346,B325-in_dpd_lag)*d_dpd</f>
        <v/>
      </c>
      <c r="AC325" s="14">
        <f>SUMIFS(W292:W346,B292:B346,B325-in_rec_lag)*d_rec</f>
        <v/>
      </c>
      <c r="AD325" s="14">
        <f>Z325*in_card_fee</f>
        <v/>
      </c>
      <c r="AE325" s="40">
        <f>AE324*(1-IF(B324&gt;=in_marketplace_from,d_hz_hlth_small*G324,0))</f>
        <v/>
      </c>
      <c r="AF325" s="46">
        <f>AE325*IF(B325&gt;=in_marketplace_from,d_hz_hlth_small*G325,0)</f>
        <v/>
      </c>
      <c r="AG325" s="14">
        <f>F325*AF325*in_hlth_small_ticket*in_hlth_small_comm*in_ins_partner_share+F325*in_hlth_small_ticket*in_hlth_small_renew_comm*in_ins_partner_share*(in_hlth_small_renew^1*SUMIFS(AF292:AF346,B292:B346,B325-12)+in_hlth_small_renew^2*SUMIFS(AF292:AF346,B292:B346,B325-24)+in_hlth_small_renew^3*SUMIFS(AF292:AF346,B292:B346,B325-36)+in_hlth_small_renew^4*SUMIFS(AF292:AF346,B292:B346,B325-48))</f>
        <v/>
      </c>
      <c r="AH325" s="40">
        <f>AH324*(1-IF(B324&gt;=in_marketplace_from,d_hz_hlth_family*G324,0))</f>
        <v/>
      </c>
      <c r="AI325" s="46">
        <f>AH325*IF(B325&gt;=in_marketplace_from,d_hz_hlth_family*G325,0)</f>
        <v/>
      </c>
      <c r="AJ325" s="14">
        <f>F325*AI325*in_hlth_family_ticket*in_hlth_family_comm*in_ins_partner_share+F325*in_hlth_family_ticket*in_hlth_family_renew_comm*in_ins_partner_share*(in_hlth_family_renew^1*SUMIFS(AI292:AI346,B292:B346,B325-12)+in_hlth_family_renew^2*SUMIFS(AI292:AI346,B292:B346,B325-24)+in_hlth_family_renew^3*SUMIFS(AI292:AI346,B292:B346,B325-36)+in_hlth_family_renew^4*SUMIFS(AI292:AI346,B292:B346,B325-48))</f>
        <v/>
      </c>
      <c r="AK325" s="40">
        <f>AK324*(1-IF(B324&gt;=in_marketplace_from,d_hz_life_term*G324,0))</f>
        <v/>
      </c>
      <c r="AL325" s="46">
        <f>AK325*IF(B325&gt;=in_marketplace_from,d_hz_life_term*G325,0)</f>
        <v/>
      </c>
      <c r="AM325" s="14">
        <f>F325*AL325*in_life_term_ticket*in_life_term_comm*in_ins_partner_share+F325*in_life_term_ticket*in_life_term_renew_comm*in_ins_partner_share*(in_life_term_renew^1*SUMIFS(AL292:AL346,B292:B346,B325-12)+in_life_term_renew^2*SUMIFS(AL292:AL346,B292:B346,B325-24)+in_life_term_renew^3*SUMIFS(AL292:AL346,B292:B346,B325-36)+in_life_term_renew^4*SUMIFS(AL292:AL346,B292:B346,B325-48))</f>
        <v/>
      </c>
      <c r="AN325" s="40">
        <f>AN324*(1-IF(B324&gt;=in_marketplace_from,d_hz_accident*G324,0))</f>
        <v/>
      </c>
      <c r="AO325" s="46">
        <f>AN325*IF(B325&gt;=in_marketplace_from,d_hz_accident*G325,0)</f>
        <v/>
      </c>
      <c r="AP325" s="14">
        <f>F325*AO325*in_accident_ticket*in_accident_comm*in_ins_partner_share+F325*in_accident_ticket*in_accident_renew_comm*in_ins_partner_share*(in_accident_renew^1*SUMIFS(AO292:AO346,B292:B346,B325-12)+in_accident_renew^2*SUMIFS(AO292:AO346,B292:B346,B325-24)+in_accident_renew^3*SUMIFS(AO292:AO346,B292:B346,B325-36)+in_accident_renew^4*SUMIFS(AO292:AO346,B292:B346,B325-48))</f>
        <v/>
      </c>
      <c r="AQ325" s="40">
        <f>AQ324*(1-IF(B324&gt;=in_marketplace_from,d_hz_two_wheeler*G324,0))</f>
        <v/>
      </c>
      <c r="AR325" s="46">
        <f>AQ325*IF(B325&gt;=in_marketplace_from,d_hz_two_wheeler*G325,0)</f>
        <v/>
      </c>
      <c r="AS325" s="14">
        <f>F325*AR325*in_two_wheeler_ticket*in_two_wheeler_comm*in_ins_partner_share+F325*in_two_wheeler_ticket*in_two_wheeler_comm*in_ins_partner_share*(in_two_wheeler_renew^1*SUMIFS(AR292:AR346,B292:B346,B325-12)+in_two_wheeler_renew^2*SUMIFS(AR292:AR346,B292:B346,B325-24)+in_two_wheeler_renew^3*SUMIFS(AR292:AR346,B292:B346,B325-36)+in_two_wheeler_renew^4*SUMIFS(AR292:AR346,B292:B346,B325-48))</f>
        <v/>
      </c>
      <c r="AT325" s="40">
        <f>AT324*(1-IF(B324&gt;=in_marketplace_from,d_hz_device*G324,0))</f>
        <v/>
      </c>
      <c r="AU325" s="14">
        <f>F325*AT325*IF(B325&gt;=in_marketplace_from,d_hz_device*G325,0)*in_device_ticket*in_device_comm*in_ins_partner_share</f>
        <v/>
      </c>
      <c r="AV325" s="40">
        <f>AV324*(1-IF(B324&gt;=in_marketplace_from,d_hz_shop*G324,0))</f>
        <v/>
      </c>
      <c r="AW325" s="46">
        <f>AV325*IF(B325&gt;=in_marketplace_from,d_hz_shop*G325,0)</f>
        <v/>
      </c>
      <c r="AX325" s="14">
        <f>F325*AW325*in_shop_ticket*in_shop_comm*in_ins_partner_share+F325*in_shop_ticket*in_shop_renew_comm*in_ins_partner_share*(in_shop_renew^1*SUMIFS(AW292:AW346,B292:B346,B325-12)+in_shop_renew^2*SUMIFS(AW292:AW346,B292:B346,B325-24)+in_shop_renew^3*SUMIFS(AW292:AW346,B292:B346,B325-36)+in_shop_renew^4*SUMIFS(AW292:AW346,B292:B346,B325-48))</f>
        <v/>
      </c>
      <c r="AY325" s="40">
        <f>AY324*(1-IF(B324&gt;=in_marketplace_from,d_hz_sip*G324,0))</f>
        <v/>
      </c>
      <c r="AZ325" s="40">
        <f>AZ324*d_rho_sip+AY325*IF(B325&gt;=in_marketplace_from,d_hz_sip*G325,0)</f>
        <v/>
      </c>
      <c r="BA325" s="40">
        <f>d_rho_sip*(BA324+AZ324)</f>
        <v/>
      </c>
      <c r="BB325" s="14">
        <f>F325*in_sip_ticket*(BA325+0.5*AZ325)*in_sip_comm/12</f>
        <v/>
      </c>
      <c r="BC325" s="40">
        <f>BC324*(1-IF(B324&gt;=in_marketplace_from,d_hz_choti*G324,0))</f>
        <v/>
      </c>
      <c r="BD325" s="46">
        <f>BC325*IF(B325&gt;=in_marketplace_from,d_hz_choti*G325,0)</f>
        <v/>
      </c>
      <c r="BE325" s="14">
        <f>F325*SUMIFS(BD292:BD346,B292:B346,B325-in_choti_months)*in_choti_renew*in_choti_ticket</f>
        <v/>
      </c>
      <c r="BF325" s="40">
        <f>BF324*(1-IF(B324&gt;=in_marketplace_from,d_hz_nps*G324,0))</f>
        <v/>
      </c>
      <c r="BG325" s="14">
        <f>F325*BF325*IF(B325&gt;=in_marketplace_from,d_hz_nps*G325,0)*in_nps_ticket*in_nps_comm</f>
        <v/>
      </c>
      <c r="BH325" s="40">
        <f>BH324*(1-IF(B324&gt;=in_marketplace_from,d_hz_gold*G324,0))</f>
        <v/>
      </c>
      <c r="BI325" s="40">
        <f>BI324*d_rho_gold+BH325*IF(B325&gt;=in_marketplace_from,d_hz_gold*G325,0)</f>
        <v/>
      </c>
      <c r="BJ325" s="14">
        <f>F325*BI325*in_gold_ticket*in_gold_comm</f>
        <v/>
      </c>
      <c r="BK325" s="40">
        <f>BK324*(1-IF(B324&gt;=in_marketplace_from,d_hz_fd*G324,0))</f>
        <v/>
      </c>
      <c r="BL325" s="14">
        <f>F325*BK325*IF(B325&gt;=in_marketplace_from,d_hz_fd*G325,0)*in_fd_ticket*in_fd_comm</f>
        <v/>
      </c>
      <c r="BM325" s="40">
        <f>BM324*(1-IF(B324&gt;=in_marketplace_from,d_hz_recharge*G324,0))</f>
        <v/>
      </c>
      <c r="BN325" s="40">
        <f>BN324*d_rho_recharge+BM325*IF(B325&gt;=in_marketplace_from,d_hz_recharge*G325,0)</f>
        <v/>
      </c>
      <c r="BO325" s="14">
        <f>F325*BN325*in_recharge_ticket*in_recharge_comm/12</f>
        <v/>
      </c>
      <c r="BP325" s="40">
        <f>BP324*(1-IF(B324&gt;=in_marketplace_from,d_hz_bills*G324,0))</f>
        <v/>
      </c>
      <c r="BQ325" s="40">
        <f>BQ324*d_rho_bills+BP325*IF(B325&gt;=in_marketplace_from,d_hz_bills*G325,0)</f>
        <v/>
      </c>
      <c r="BR325" s="14">
        <f>F325*BQ325*in_bills_ticket*in_bills_comm/12</f>
        <v/>
      </c>
      <c r="BS325" s="40">
        <f>BS324*(1-IF(B324&gt;=in_marketplace_from,d_hz_loan_gold*G324,0))</f>
        <v/>
      </c>
      <c r="BT325" s="14">
        <f>F325*BS325*IF(B325&gt;=in_marketplace_from,d_hz_loan_gold*G325,0)*in_loan_gold_ticket*in_loan_gold_comm</f>
        <v/>
      </c>
      <c r="BU325" s="40">
        <f>BU324*(1-IF(B324&gt;=in_marketplace_from,d_hz_loan_cd*G324,0))</f>
        <v/>
      </c>
      <c r="BV325" s="14">
        <f>F325*BU325*IF(B325&gt;=in_marketplace_from,d_hz_loan_cd*G325,0)*in_loan_cd_ticket*in_loan_cd_comm</f>
        <v/>
      </c>
      <c r="BW325" s="40">
        <f>BW324*(1-IF(B324&gt;=in_marketplace_from,d_hz_loan_vehicle*G324,0))</f>
        <v/>
      </c>
      <c r="BX325" s="14">
        <f>F325*BW325*IF(B325&gt;=in_marketplace_from,d_hz_loan_vehicle*G325,0)*in_loan_vehicle_ticket*in_loan_vehicle_comm</f>
        <v/>
      </c>
      <c r="BY325" s="40">
        <f>BY324*(1-IF(B324&gt;=in_marketplace_from,d_hz_loan_home*G324,0)*BZ324)</f>
        <v/>
      </c>
      <c r="BZ325" s="11">
        <f>MIN(in_approval_cap,in_loan_home_approval*INDEX('Age profile'!$O$2:$O$61,B325)*(1+in_approval_growth)^(D325-1))</f>
        <v/>
      </c>
      <c r="CA325" s="14">
        <f>F325*BY325*IF(B325&gt;=in_marketplace_from,d_hz_loan_home*G325,0)*BZ325*in_loan_home_ticket*in_loan_home_comm</f>
        <v/>
      </c>
      <c r="CB325" s="40">
        <f>CB324*(1-IF(B324&gt;=in_marketplace_from,d_hz_loan_lap*G324,0)*CC324)</f>
        <v/>
      </c>
      <c r="CC325" s="11">
        <f>MIN(in_approval_cap,in_loan_lap_approval*INDEX('Age profile'!$O$2:$O$61,B325)*(1+in_approval_growth)^(D325-1))</f>
        <v/>
      </c>
      <c r="CD325" s="14">
        <f>F325*CB325*IF(B325&gt;=in_marketplace_from,d_hz_loan_lap*G325,0)*CC325*in_loan_lap_ticket*in_loan_lap_comm</f>
        <v/>
      </c>
      <c r="CE325" s="14">
        <f>AA325+AB325+AC325+AD325+AG325+AJ325+AM325+AP325+AS325+AU325+AX325+BB325+BE325+BG325+BJ325+BL325+BO325+BR325+BT325+BV325+BX325+CA325+CD325</f>
        <v/>
      </c>
    </row>
    <row r="326">
      <c r="A326" s="39" t="n">
        <v>6</v>
      </c>
      <c r="B326" s="39" t="n">
        <v>35</v>
      </c>
      <c r="C326" s="39">
        <f>A326+B326-1</f>
        <v/>
      </c>
      <c r="D326" s="39">
        <f>INT((C326-1)/12)+1</f>
        <v/>
      </c>
      <c r="E326" s="44">
        <f>INDEX(Monthly!$B$2:$B$61,A326)</f>
        <v/>
      </c>
      <c r="F326" s="44">
        <f>E326*INDEX('Age profile'!$B$2:$B$61,B326)</f>
        <v/>
      </c>
      <c r="G326" s="45">
        <f>MIN(in_takeup_cap,INDEX('Age profile'!$N$2:$N$61,B326)*(1+in_takeup_growth)^(D326-1))</f>
        <v/>
      </c>
      <c r="H326" s="11">
        <f>MIN(in_approval_cap,in_approved_first*INDEX('Age profile'!$O$2:$O$61,B326)*(1+in_approval_growth)^(D326-1))</f>
        <v/>
      </c>
      <c r="I326" s="45">
        <f>G326*MIN(in_takeup_cap,INDEX('Age profile'!$O$2:$O$61,B326)*(1+in_approval_growth)^(D326-1))</f>
        <v/>
      </c>
      <c r="J326" s="40">
        <f>(J325-L325)*F326/F325</f>
        <v/>
      </c>
      <c r="K326" s="40">
        <f>(K325-M325)*F326/F325+SUMIFS(O292:O325,B292:B325,B326-1-d_T)*F326</f>
        <v/>
      </c>
      <c r="L326" s="40">
        <f>IF(B326&gt;=in_marketplace_from,J326*d_hz*G326*in_eligible*H326,0)</f>
        <v/>
      </c>
      <c r="M326" s="40">
        <f>IF(B326&gt;=in_marketplace_from,K326*d_hz*G326*in_eligible*in_approved_repeat,0)</f>
        <v/>
      </c>
      <c r="N326" s="40">
        <f>L326+M326</f>
        <v/>
      </c>
      <c r="O326" s="46">
        <f>N326/F326</f>
        <v/>
      </c>
      <c r="P326" s="40">
        <f>F326-J326-K326</f>
        <v/>
      </c>
      <c r="Q326" s="40">
        <f>IF(B326&gt;=in_marketplace_from,(J326+K326)*d_hz*G326,0)</f>
        <v/>
      </c>
      <c r="R326" s="40">
        <f>SUMIFS(N292:N346,B292:B346,"&gt;="&amp;(B326-d_T),B292:B346,"&lt;="&amp;(B326-1))</f>
        <v/>
      </c>
      <c r="S326" s="46">
        <f>(1-d_u)*S325+IF(d_T&gt;in_topup_lag,SUMIFS(O292:O346,B292:B346,B326-in_topup_lag)-d_udrop*SUMIFS(O292:O346,B292:B346,B326-d_T),0)</f>
        <v/>
      </c>
      <c r="T326" s="40">
        <f>F326*d_u*S326</f>
        <v/>
      </c>
      <c r="U326" s="9">
        <f>L326*in_ticket+M326*d_rep_ticket</f>
        <v/>
      </c>
      <c r="V326" s="9">
        <f>U326+T326*d_topup_amt</f>
        <v/>
      </c>
      <c r="W326" s="40">
        <f>N326+T326*d_topup_ratio</f>
        <v/>
      </c>
      <c r="X326" s="40">
        <f>SUMIFS(W292:W346,B292:B346,B326-in_dpd_lag)*d_cured</f>
        <v/>
      </c>
      <c r="Y326" s="40">
        <f>SUMIFS(W292:W346,B292:B346,B326-in_rec_lag)*d_recd</f>
        <v/>
      </c>
      <c r="Z326" s="40">
        <f>IF(AND(B326&gt;=in_marketplace_from,B326&lt;in_marketplace_from+in_card_months),in_card_share/in_card_months*F326*I326,IF(AND(B326&gt;=in_marketplace_from+in_card_months,B326&lt;in_marketplace_from+2*in_card_months),in_card_share*d_card_rem/in_card_months*F326*MIN(in_takeup_cap,(1+in_takeup_growth)^(D326-1))*MIN(in_takeup_cap,(1+in_approval_growth)^(D326-1)),0))</f>
        <v/>
      </c>
      <c r="AA326" s="14">
        <f>V326*in_fee*(1-in_taken_back)</f>
        <v/>
      </c>
      <c r="AB326" s="14">
        <f>SUMIFS(W292:W346,B292:B346,B326-in_dpd_lag)*d_dpd</f>
        <v/>
      </c>
      <c r="AC326" s="14">
        <f>SUMIFS(W292:W346,B292:B346,B326-in_rec_lag)*d_rec</f>
        <v/>
      </c>
      <c r="AD326" s="14">
        <f>Z326*in_card_fee</f>
        <v/>
      </c>
      <c r="AE326" s="40">
        <f>AE325*(1-IF(B325&gt;=in_marketplace_from,d_hz_hlth_small*G325,0))</f>
        <v/>
      </c>
      <c r="AF326" s="46">
        <f>AE326*IF(B326&gt;=in_marketplace_from,d_hz_hlth_small*G326,0)</f>
        <v/>
      </c>
      <c r="AG326" s="14">
        <f>F326*AF326*in_hlth_small_ticket*in_hlth_small_comm*in_ins_partner_share+F326*in_hlth_small_ticket*in_hlth_small_renew_comm*in_ins_partner_share*(in_hlth_small_renew^1*SUMIFS(AF292:AF346,B292:B346,B326-12)+in_hlth_small_renew^2*SUMIFS(AF292:AF346,B292:B346,B326-24)+in_hlth_small_renew^3*SUMIFS(AF292:AF346,B292:B346,B326-36)+in_hlth_small_renew^4*SUMIFS(AF292:AF346,B292:B346,B326-48))</f>
        <v/>
      </c>
      <c r="AH326" s="40">
        <f>AH325*(1-IF(B325&gt;=in_marketplace_from,d_hz_hlth_family*G325,0))</f>
        <v/>
      </c>
      <c r="AI326" s="46">
        <f>AH326*IF(B326&gt;=in_marketplace_from,d_hz_hlth_family*G326,0)</f>
        <v/>
      </c>
      <c r="AJ326" s="14">
        <f>F326*AI326*in_hlth_family_ticket*in_hlth_family_comm*in_ins_partner_share+F326*in_hlth_family_ticket*in_hlth_family_renew_comm*in_ins_partner_share*(in_hlth_family_renew^1*SUMIFS(AI292:AI346,B292:B346,B326-12)+in_hlth_family_renew^2*SUMIFS(AI292:AI346,B292:B346,B326-24)+in_hlth_family_renew^3*SUMIFS(AI292:AI346,B292:B346,B326-36)+in_hlth_family_renew^4*SUMIFS(AI292:AI346,B292:B346,B326-48))</f>
        <v/>
      </c>
      <c r="AK326" s="40">
        <f>AK325*(1-IF(B325&gt;=in_marketplace_from,d_hz_life_term*G325,0))</f>
        <v/>
      </c>
      <c r="AL326" s="46">
        <f>AK326*IF(B326&gt;=in_marketplace_from,d_hz_life_term*G326,0)</f>
        <v/>
      </c>
      <c r="AM326" s="14">
        <f>F326*AL326*in_life_term_ticket*in_life_term_comm*in_ins_partner_share+F326*in_life_term_ticket*in_life_term_renew_comm*in_ins_partner_share*(in_life_term_renew^1*SUMIFS(AL292:AL346,B292:B346,B326-12)+in_life_term_renew^2*SUMIFS(AL292:AL346,B292:B346,B326-24)+in_life_term_renew^3*SUMIFS(AL292:AL346,B292:B346,B326-36)+in_life_term_renew^4*SUMIFS(AL292:AL346,B292:B346,B326-48))</f>
        <v/>
      </c>
      <c r="AN326" s="40">
        <f>AN325*(1-IF(B325&gt;=in_marketplace_from,d_hz_accident*G325,0))</f>
        <v/>
      </c>
      <c r="AO326" s="46">
        <f>AN326*IF(B326&gt;=in_marketplace_from,d_hz_accident*G326,0)</f>
        <v/>
      </c>
      <c r="AP326" s="14">
        <f>F326*AO326*in_accident_ticket*in_accident_comm*in_ins_partner_share+F326*in_accident_ticket*in_accident_renew_comm*in_ins_partner_share*(in_accident_renew^1*SUMIFS(AO292:AO346,B292:B346,B326-12)+in_accident_renew^2*SUMIFS(AO292:AO346,B292:B346,B326-24)+in_accident_renew^3*SUMIFS(AO292:AO346,B292:B346,B326-36)+in_accident_renew^4*SUMIFS(AO292:AO346,B292:B346,B326-48))</f>
        <v/>
      </c>
      <c r="AQ326" s="40">
        <f>AQ325*(1-IF(B325&gt;=in_marketplace_from,d_hz_two_wheeler*G325,0))</f>
        <v/>
      </c>
      <c r="AR326" s="46">
        <f>AQ326*IF(B326&gt;=in_marketplace_from,d_hz_two_wheeler*G326,0)</f>
        <v/>
      </c>
      <c r="AS326" s="14">
        <f>F326*AR326*in_two_wheeler_ticket*in_two_wheeler_comm*in_ins_partner_share+F326*in_two_wheeler_ticket*in_two_wheeler_comm*in_ins_partner_share*(in_two_wheeler_renew^1*SUMIFS(AR292:AR346,B292:B346,B326-12)+in_two_wheeler_renew^2*SUMIFS(AR292:AR346,B292:B346,B326-24)+in_two_wheeler_renew^3*SUMIFS(AR292:AR346,B292:B346,B326-36)+in_two_wheeler_renew^4*SUMIFS(AR292:AR346,B292:B346,B326-48))</f>
        <v/>
      </c>
      <c r="AT326" s="40">
        <f>AT325*(1-IF(B325&gt;=in_marketplace_from,d_hz_device*G325,0))</f>
        <v/>
      </c>
      <c r="AU326" s="14">
        <f>F326*AT326*IF(B326&gt;=in_marketplace_from,d_hz_device*G326,0)*in_device_ticket*in_device_comm*in_ins_partner_share</f>
        <v/>
      </c>
      <c r="AV326" s="40">
        <f>AV325*(1-IF(B325&gt;=in_marketplace_from,d_hz_shop*G325,0))</f>
        <v/>
      </c>
      <c r="AW326" s="46">
        <f>AV326*IF(B326&gt;=in_marketplace_from,d_hz_shop*G326,0)</f>
        <v/>
      </c>
      <c r="AX326" s="14">
        <f>F326*AW326*in_shop_ticket*in_shop_comm*in_ins_partner_share+F326*in_shop_ticket*in_shop_renew_comm*in_ins_partner_share*(in_shop_renew^1*SUMIFS(AW292:AW346,B292:B346,B326-12)+in_shop_renew^2*SUMIFS(AW292:AW346,B292:B346,B326-24)+in_shop_renew^3*SUMIFS(AW292:AW346,B292:B346,B326-36)+in_shop_renew^4*SUMIFS(AW292:AW346,B292:B346,B326-48))</f>
        <v/>
      </c>
      <c r="AY326" s="40">
        <f>AY325*(1-IF(B325&gt;=in_marketplace_from,d_hz_sip*G325,0))</f>
        <v/>
      </c>
      <c r="AZ326" s="40">
        <f>AZ325*d_rho_sip+AY326*IF(B326&gt;=in_marketplace_from,d_hz_sip*G326,0)</f>
        <v/>
      </c>
      <c r="BA326" s="40">
        <f>d_rho_sip*(BA325+AZ325)</f>
        <v/>
      </c>
      <c r="BB326" s="14">
        <f>F326*in_sip_ticket*(BA326+0.5*AZ326)*in_sip_comm/12</f>
        <v/>
      </c>
      <c r="BC326" s="40">
        <f>BC325*(1-IF(B325&gt;=in_marketplace_from,d_hz_choti*G325,0))</f>
        <v/>
      </c>
      <c r="BD326" s="46">
        <f>BC326*IF(B326&gt;=in_marketplace_from,d_hz_choti*G326,0)</f>
        <v/>
      </c>
      <c r="BE326" s="14">
        <f>F326*SUMIFS(BD292:BD346,B292:B346,B326-in_choti_months)*in_choti_renew*in_choti_ticket</f>
        <v/>
      </c>
      <c r="BF326" s="40">
        <f>BF325*(1-IF(B325&gt;=in_marketplace_from,d_hz_nps*G325,0))</f>
        <v/>
      </c>
      <c r="BG326" s="14">
        <f>F326*BF326*IF(B326&gt;=in_marketplace_from,d_hz_nps*G326,0)*in_nps_ticket*in_nps_comm</f>
        <v/>
      </c>
      <c r="BH326" s="40">
        <f>BH325*(1-IF(B325&gt;=in_marketplace_from,d_hz_gold*G325,0))</f>
        <v/>
      </c>
      <c r="BI326" s="40">
        <f>BI325*d_rho_gold+BH326*IF(B326&gt;=in_marketplace_from,d_hz_gold*G326,0)</f>
        <v/>
      </c>
      <c r="BJ326" s="14">
        <f>F326*BI326*in_gold_ticket*in_gold_comm</f>
        <v/>
      </c>
      <c r="BK326" s="40">
        <f>BK325*(1-IF(B325&gt;=in_marketplace_from,d_hz_fd*G325,0))</f>
        <v/>
      </c>
      <c r="BL326" s="14">
        <f>F326*BK326*IF(B326&gt;=in_marketplace_from,d_hz_fd*G326,0)*in_fd_ticket*in_fd_comm</f>
        <v/>
      </c>
      <c r="BM326" s="40">
        <f>BM325*(1-IF(B325&gt;=in_marketplace_from,d_hz_recharge*G325,0))</f>
        <v/>
      </c>
      <c r="BN326" s="40">
        <f>BN325*d_rho_recharge+BM326*IF(B326&gt;=in_marketplace_from,d_hz_recharge*G326,0)</f>
        <v/>
      </c>
      <c r="BO326" s="14">
        <f>F326*BN326*in_recharge_ticket*in_recharge_comm/12</f>
        <v/>
      </c>
      <c r="BP326" s="40">
        <f>BP325*(1-IF(B325&gt;=in_marketplace_from,d_hz_bills*G325,0))</f>
        <v/>
      </c>
      <c r="BQ326" s="40">
        <f>BQ325*d_rho_bills+BP326*IF(B326&gt;=in_marketplace_from,d_hz_bills*G326,0)</f>
        <v/>
      </c>
      <c r="BR326" s="14">
        <f>F326*BQ326*in_bills_ticket*in_bills_comm/12</f>
        <v/>
      </c>
      <c r="BS326" s="40">
        <f>BS325*(1-IF(B325&gt;=in_marketplace_from,d_hz_loan_gold*G325,0))</f>
        <v/>
      </c>
      <c r="BT326" s="14">
        <f>F326*BS326*IF(B326&gt;=in_marketplace_from,d_hz_loan_gold*G326,0)*in_loan_gold_ticket*in_loan_gold_comm</f>
        <v/>
      </c>
      <c r="BU326" s="40">
        <f>BU325*(1-IF(B325&gt;=in_marketplace_from,d_hz_loan_cd*G325,0))</f>
        <v/>
      </c>
      <c r="BV326" s="14">
        <f>F326*BU326*IF(B326&gt;=in_marketplace_from,d_hz_loan_cd*G326,0)*in_loan_cd_ticket*in_loan_cd_comm</f>
        <v/>
      </c>
      <c r="BW326" s="40">
        <f>BW325*(1-IF(B325&gt;=in_marketplace_from,d_hz_loan_vehicle*G325,0))</f>
        <v/>
      </c>
      <c r="BX326" s="14">
        <f>F326*BW326*IF(B326&gt;=in_marketplace_from,d_hz_loan_vehicle*G326,0)*in_loan_vehicle_ticket*in_loan_vehicle_comm</f>
        <v/>
      </c>
      <c r="BY326" s="40">
        <f>BY325*(1-IF(B325&gt;=in_marketplace_from,d_hz_loan_home*G325,0)*BZ325)</f>
        <v/>
      </c>
      <c r="BZ326" s="11">
        <f>MIN(in_approval_cap,in_loan_home_approval*INDEX('Age profile'!$O$2:$O$61,B326)*(1+in_approval_growth)^(D326-1))</f>
        <v/>
      </c>
      <c r="CA326" s="14">
        <f>F326*BY326*IF(B326&gt;=in_marketplace_from,d_hz_loan_home*G326,0)*BZ326*in_loan_home_ticket*in_loan_home_comm</f>
        <v/>
      </c>
      <c r="CB326" s="40">
        <f>CB325*(1-IF(B325&gt;=in_marketplace_from,d_hz_loan_lap*G325,0)*CC325)</f>
        <v/>
      </c>
      <c r="CC326" s="11">
        <f>MIN(in_approval_cap,in_loan_lap_approval*INDEX('Age profile'!$O$2:$O$61,B326)*(1+in_approval_growth)^(D326-1))</f>
        <v/>
      </c>
      <c r="CD326" s="14">
        <f>F326*CB326*IF(B326&gt;=in_marketplace_from,d_hz_loan_lap*G326,0)*CC326*in_loan_lap_ticket*in_loan_lap_comm</f>
        <v/>
      </c>
      <c r="CE326" s="14">
        <f>AA326+AB326+AC326+AD326+AG326+AJ326+AM326+AP326+AS326+AU326+AX326+BB326+BE326+BG326+BJ326+BL326+BO326+BR326+BT326+BV326+BX326+CA326+CD326</f>
        <v/>
      </c>
    </row>
    <row r="327">
      <c r="A327" s="39" t="n">
        <v>6</v>
      </c>
      <c r="B327" s="39" t="n">
        <v>36</v>
      </c>
      <c r="C327" s="39">
        <f>A327+B327-1</f>
        <v/>
      </c>
      <c r="D327" s="39">
        <f>INT((C327-1)/12)+1</f>
        <v/>
      </c>
      <c r="E327" s="44">
        <f>INDEX(Monthly!$B$2:$B$61,A327)</f>
        <v/>
      </c>
      <c r="F327" s="44">
        <f>E327*INDEX('Age profile'!$B$2:$B$61,B327)</f>
        <v/>
      </c>
      <c r="G327" s="45">
        <f>MIN(in_takeup_cap,INDEX('Age profile'!$N$2:$N$61,B327)*(1+in_takeup_growth)^(D327-1))</f>
        <v/>
      </c>
      <c r="H327" s="11">
        <f>MIN(in_approval_cap,in_approved_first*INDEX('Age profile'!$O$2:$O$61,B327)*(1+in_approval_growth)^(D327-1))</f>
        <v/>
      </c>
      <c r="I327" s="45">
        <f>G327*MIN(in_takeup_cap,INDEX('Age profile'!$O$2:$O$61,B327)*(1+in_approval_growth)^(D327-1))</f>
        <v/>
      </c>
      <c r="J327" s="40">
        <f>(J326-L326)*F327/F326</f>
        <v/>
      </c>
      <c r="K327" s="40">
        <f>(K326-M326)*F327/F326+SUMIFS(O292:O326,B292:B326,B327-1-d_T)*F327</f>
        <v/>
      </c>
      <c r="L327" s="40">
        <f>IF(B327&gt;=in_marketplace_from,J327*d_hz*G327*in_eligible*H327,0)</f>
        <v/>
      </c>
      <c r="M327" s="40">
        <f>IF(B327&gt;=in_marketplace_from,K327*d_hz*G327*in_eligible*in_approved_repeat,0)</f>
        <v/>
      </c>
      <c r="N327" s="40">
        <f>L327+M327</f>
        <v/>
      </c>
      <c r="O327" s="46">
        <f>N327/F327</f>
        <v/>
      </c>
      <c r="P327" s="40">
        <f>F327-J327-K327</f>
        <v/>
      </c>
      <c r="Q327" s="40">
        <f>IF(B327&gt;=in_marketplace_from,(J327+K327)*d_hz*G327,0)</f>
        <v/>
      </c>
      <c r="R327" s="40">
        <f>SUMIFS(N292:N346,B292:B346,"&gt;="&amp;(B327-d_T),B292:B346,"&lt;="&amp;(B327-1))</f>
        <v/>
      </c>
      <c r="S327" s="46">
        <f>(1-d_u)*S326+IF(d_T&gt;in_topup_lag,SUMIFS(O292:O346,B292:B346,B327-in_topup_lag)-d_udrop*SUMIFS(O292:O346,B292:B346,B327-d_T),0)</f>
        <v/>
      </c>
      <c r="T327" s="40">
        <f>F327*d_u*S327</f>
        <v/>
      </c>
      <c r="U327" s="9">
        <f>L327*in_ticket+M327*d_rep_ticket</f>
        <v/>
      </c>
      <c r="V327" s="9">
        <f>U327+T327*d_topup_amt</f>
        <v/>
      </c>
      <c r="W327" s="40">
        <f>N327+T327*d_topup_ratio</f>
        <v/>
      </c>
      <c r="X327" s="40">
        <f>SUMIFS(W292:W346,B292:B346,B327-in_dpd_lag)*d_cured</f>
        <v/>
      </c>
      <c r="Y327" s="40">
        <f>SUMIFS(W292:W346,B292:B346,B327-in_rec_lag)*d_recd</f>
        <v/>
      </c>
      <c r="Z327" s="40">
        <f>IF(AND(B327&gt;=in_marketplace_from,B327&lt;in_marketplace_from+in_card_months),in_card_share/in_card_months*F327*I327,IF(AND(B327&gt;=in_marketplace_from+in_card_months,B327&lt;in_marketplace_from+2*in_card_months),in_card_share*d_card_rem/in_card_months*F327*MIN(in_takeup_cap,(1+in_takeup_growth)^(D327-1))*MIN(in_takeup_cap,(1+in_approval_growth)^(D327-1)),0))</f>
        <v/>
      </c>
      <c r="AA327" s="14">
        <f>V327*in_fee*(1-in_taken_back)</f>
        <v/>
      </c>
      <c r="AB327" s="14">
        <f>SUMIFS(W292:W346,B292:B346,B327-in_dpd_lag)*d_dpd</f>
        <v/>
      </c>
      <c r="AC327" s="14">
        <f>SUMIFS(W292:W346,B292:B346,B327-in_rec_lag)*d_rec</f>
        <v/>
      </c>
      <c r="AD327" s="14">
        <f>Z327*in_card_fee</f>
        <v/>
      </c>
      <c r="AE327" s="40">
        <f>AE326*(1-IF(B326&gt;=in_marketplace_from,d_hz_hlth_small*G326,0))</f>
        <v/>
      </c>
      <c r="AF327" s="46">
        <f>AE327*IF(B327&gt;=in_marketplace_from,d_hz_hlth_small*G327,0)</f>
        <v/>
      </c>
      <c r="AG327" s="14">
        <f>F327*AF327*in_hlth_small_ticket*in_hlth_small_comm*in_ins_partner_share+F327*in_hlth_small_ticket*in_hlth_small_renew_comm*in_ins_partner_share*(in_hlth_small_renew^1*SUMIFS(AF292:AF346,B292:B346,B327-12)+in_hlth_small_renew^2*SUMIFS(AF292:AF346,B292:B346,B327-24)+in_hlth_small_renew^3*SUMIFS(AF292:AF346,B292:B346,B327-36)+in_hlth_small_renew^4*SUMIFS(AF292:AF346,B292:B346,B327-48))</f>
        <v/>
      </c>
      <c r="AH327" s="40">
        <f>AH326*(1-IF(B326&gt;=in_marketplace_from,d_hz_hlth_family*G326,0))</f>
        <v/>
      </c>
      <c r="AI327" s="46">
        <f>AH327*IF(B327&gt;=in_marketplace_from,d_hz_hlth_family*G327,0)</f>
        <v/>
      </c>
      <c r="AJ327" s="14">
        <f>F327*AI327*in_hlth_family_ticket*in_hlth_family_comm*in_ins_partner_share+F327*in_hlth_family_ticket*in_hlth_family_renew_comm*in_ins_partner_share*(in_hlth_family_renew^1*SUMIFS(AI292:AI346,B292:B346,B327-12)+in_hlth_family_renew^2*SUMIFS(AI292:AI346,B292:B346,B327-24)+in_hlth_family_renew^3*SUMIFS(AI292:AI346,B292:B346,B327-36)+in_hlth_family_renew^4*SUMIFS(AI292:AI346,B292:B346,B327-48))</f>
        <v/>
      </c>
      <c r="AK327" s="40">
        <f>AK326*(1-IF(B326&gt;=in_marketplace_from,d_hz_life_term*G326,0))</f>
        <v/>
      </c>
      <c r="AL327" s="46">
        <f>AK327*IF(B327&gt;=in_marketplace_from,d_hz_life_term*G327,0)</f>
        <v/>
      </c>
      <c r="AM327" s="14">
        <f>F327*AL327*in_life_term_ticket*in_life_term_comm*in_ins_partner_share+F327*in_life_term_ticket*in_life_term_renew_comm*in_ins_partner_share*(in_life_term_renew^1*SUMIFS(AL292:AL346,B292:B346,B327-12)+in_life_term_renew^2*SUMIFS(AL292:AL346,B292:B346,B327-24)+in_life_term_renew^3*SUMIFS(AL292:AL346,B292:B346,B327-36)+in_life_term_renew^4*SUMIFS(AL292:AL346,B292:B346,B327-48))</f>
        <v/>
      </c>
      <c r="AN327" s="40">
        <f>AN326*(1-IF(B326&gt;=in_marketplace_from,d_hz_accident*G326,0))</f>
        <v/>
      </c>
      <c r="AO327" s="46">
        <f>AN327*IF(B327&gt;=in_marketplace_from,d_hz_accident*G327,0)</f>
        <v/>
      </c>
      <c r="AP327" s="14">
        <f>F327*AO327*in_accident_ticket*in_accident_comm*in_ins_partner_share+F327*in_accident_ticket*in_accident_renew_comm*in_ins_partner_share*(in_accident_renew^1*SUMIFS(AO292:AO346,B292:B346,B327-12)+in_accident_renew^2*SUMIFS(AO292:AO346,B292:B346,B327-24)+in_accident_renew^3*SUMIFS(AO292:AO346,B292:B346,B327-36)+in_accident_renew^4*SUMIFS(AO292:AO346,B292:B346,B327-48))</f>
        <v/>
      </c>
      <c r="AQ327" s="40">
        <f>AQ326*(1-IF(B326&gt;=in_marketplace_from,d_hz_two_wheeler*G326,0))</f>
        <v/>
      </c>
      <c r="AR327" s="46">
        <f>AQ327*IF(B327&gt;=in_marketplace_from,d_hz_two_wheeler*G327,0)</f>
        <v/>
      </c>
      <c r="AS327" s="14">
        <f>F327*AR327*in_two_wheeler_ticket*in_two_wheeler_comm*in_ins_partner_share+F327*in_two_wheeler_ticket*in_two_wheeler_comm*in_ins_partner_share*(in_two_wheeler_renew^1*SUMIFS(AR292:AR346,B292:B346,B327-12)+in_two_wheeler_renew^2*SUMIFS(AR292:AR346,B292:B346,B327-24)+in_two_wheeler_renew^3*SUMIFS(AR292:AR346,B292:B346,B327-36)+in_two_wheeler_renew^4*SUMIFS(AR292:AR346,B292:B346,B327-48))</f>
        <v/>
      </c>
      <c r="AT327" s="40">
        <f>AT326*(1-IF(B326&gt;=in_marketplace_from,d_hz_device*G326,0))</f>
        <v/>
      </c>
      <c r="AU327" s="14">
        <f>F327*AT327*IF(B327&gt;=in_marketplace_from,d_hz_device*G327,0)*in_device_ticket*in_device_comm*in_ins_partner_share</f>
        <v/>
      </c>
      <c r="AV327" s="40">
        <f>AV326*(1-IF(B326&gt;=in_marketplace_from,d_hz_shop*G326,0))</f>
        <v/>
      </c>
      <c r="AW327" s="46">
        <f>AV327*IF(B327&gt;=in_marketplace_from,d_hz_shop*G327,0)</f>
        <v/>
      </c>
      <c r="AX327" s="14">
        <f>F327*AW327*in_shop_ticket*in_shop_comm*in_ins_partner_share+F327*in_shop_ticket*in_shop_renew_comm*in_ins_partner_share*(in_shop_renew^1*SUMIFS(AW292:AW346,B292:B346,B327-12)+in_shop_renew^2*SUMIFS(AW292:AW346,B292:B346,B327-24)+in_shop_renew^3*SUMIFS(AW292:AW346,B292:B346,B327-36)+in_shop_renew^4*SUMIFS(AW292:AW346,B292:B346,B327-48))</f>
        <v/>
      </c>
      <c r="AY327" s="40">
        <f>AY326*(1-IF(B326&gt;=in_marketplace_from,d_hz_sip*G326,0))</f>
        <v/>
      </c>
      <c r="AZ327" s="40">
        <f>AZ326*d_rho_sip+AY327*IF(B327&gt;=in_marketplace_from,d_hz_sip*G327,0)</f>
        <v/>
      </c>
      <c r="BA327" s="40">
        <f>d_rho_sip*(BA326+AZ326)</f>
        <v/>
      </c>
      <c r="BB327" s="14">
        <f>F327*in_sip_ticket*(BA327+0.5*AZ327)*in_sip_comm/12</f>
        <v/>
      </c>
      <c r="BC327" s="40">
        <f>BC326*(1-IF(B326&gt;=in_marketplace_from,d_hz_choti*G326,0))</f>
        <v/>
      </c>
      <c r="BD327" s="46">
        <f>BC327*IF(B327&gt;=in_marketplace_from,d_hz_choti*G327,0)</f>
        <v/>
      </c>
      <c r="BE327" s="14">
        <f>F327*SUMIFS(BD292:BD346,B292:B346,B327-in_choti_months)*in_choti_renew*in_choti_ticket</f>
        <v/>
      </c>
      <c r="BF327" s="40">
        <f>BF326*(1-IF(B326&gt;=in_marketplace_from,d_hz_nps*G326,0))</f>
        <v/>
      </c>
      <c r="BG327" s="14">
        <f>F327*BF327*IF(B327&gt;=in_marketplace_from,d_hz_nps*G327,0)*in_nps_ticket*in_nps_comm</f>
        <v/>
      </c>
      <c r="BH327" s="40">
        <f>BH326*(1-IF(B326&gt;=in_marketplace_from,d_hz_gold*G326,0))</f>
        <v/>
      </c>
      <c r="BI327" s="40">
        <f>BI326*d_rho_gold+BH327*IF(B327&gt;=in_marketplace_from,d_hz_gold*G327,0)</f>
        <v/>
      </c>
      <c r="BJ327" s="14">
        <f>F327*BI327*in_gold_ticket*in_gold_comm</f>
        <v/>
      </c>
      <c r="BK327" s="40">
        <f>BK326*(1-IF(B326&gt;=in_marketplace_from,d_hz_fd*G326,0))</f>
        <v/>
      </c>
      <c r="BL327" s="14">
        <f>F327*BK327*IF(B327&gt;=in_marketplace_from,d_hz_fd*G327,0)*in_fd_ticket*in_fd_comm</f>
        <v/>
      </c>
      <c r="BM327" s="40">
        <f>BM326*(1-IF(B326&gt;=in_marketplace_from,d_hz_recharge*G326,0))</f>
        <v/>
      </c>
      <c r="BN327" s="40">
        <f>BN326*d_rho_recharge+BM327*IF(B327&gt;=in_marketplace_from,d_hz_recharge*G327,0)</f>
        <v/>
      </c>
      <c r="BO327" s="14">
        <f>F327*BN327*in_recharge_ticket*in_recharge_comm/12</f>
        <v/>
      </c>
      <c r="BP327" s="40">
        <f>BP326*(1-IF(B326&gt;=in_marketplace_from,d_hz_bills*G326,0))</f>
        <v/>
      </c>
      <c r="BQ327" s="40">
        <f>BQ326*d_rho_bills+BP327*IF(B327&gt;=in_marketplace_from,d_hz_bills*G327,0)</f>
        <v/>
      </c>
      <c r="BR327" s="14">
        <f>F327*BQ327*in_bills_ticket*in_bills_comm/12</f>
        <v/>
      </c>
      <c r="BS327" s="40">
        <f>BS326*(1-IF(B326&gt;=in_marketplace_from,d_hz_loan_gold*G326,0))</f>
        <v/>
      </c>
      <c r="BT327" s="14">
        <f>F327*BS327*IF(B327&gt;=in_marketplace_from,d_hz_loan_gold*G327,0)*in_loan_gold_ticket*in_loan_gold_comm</f>
        <v/>
      </c>
      <c r="BU327" s="40">
        <f>BU326*(1-IF(B326&gt;=in_marketplace_from,d_hz_loan_cd*G326,0))</f>
        <v/>
      </c>
      <c r="BV327" s="14">
        <f>F327*BU327*IF(B327&gt;=in_marketplace_from,d_hz_loan_cd*G327,0)*in_loan_cd_ticket*in_loan_cd_comm</f>
        <v/>
      </c>
      <c r="BW327" s="40">
        <f>BW326*(1-IF(B326&gt;=in_marketplace_from,d_hz_loan_vehicle*G326,0))</f>
        <v/>
      </c>
      <c r="BX327" s="14">
        <f>F327*BW327*IF(B327&gt;=in_marketplace_from,d_hz_loan_vehicle*G327,0)*in_loan_vehicle_ticket*in_loan_vehicle_comm</f>
        <v/>
      </c>
      <c r="BY327" s="40">
        <f>BY326*(1-IF(B326&gt;=in_marketplace_from,d_hz_loan_home*G326,0)*BZ326)</f>
        <v/>
      </c>
      <c r="BZ327" s="11">
        <f>MIN(in_approval_cap,in_loan_home_approval*INDEX('Age profile'!$O$2:$O$61,B327)*(1+in_approval_growth)^(D327-1))</f>
        <v/>
      </c>
      <c r="CA327" s="14">
        <f>F327*BY327*IF(B327&gt;=in_marketplace_from,d_hz_loan_home*G327,0)*BZ327*in_loan_home_ticket*in_loan_home_comm</f>
        <v/>
      </c>
      <c r="CB327" s="40">
        <f>CB326*(1-IF(B326&gt;=in_marketplace_from,d_hz_loan_lap*G326,0)*CC326)</f>
        <v/>
      </c>
      <c r="CC327" s="11">
        <f>MIN(in_approval_cap,in_loan_lap_approval*INDEX('Age profile'!$O$2:$O$61,B327)*(1+in_approval_growth)^(D327-1))</f>
        <v/>
      </c>
      <c r="CD327" s="14">
        <f>F327*CB327*IF(B327&gt;=in_marketplace_from,d_hz_loan_lap*G327,0)*CC327*in_loan_lap_ticket*in_loan_lap_comm</f>
        <v/>
      </c>
      <c r="CE327" s="14">
        <f>AA327+AB327+AC327+AD327+AG327+AJ327+AM327+AP327+AS327+AU327+AX327+BB327+BE327+BG327+BJ327+BL327+BO327+BR327+BT327+BV327+BX327+CA327+CD327</f>
        <v/>
      </c>
    </row>
    <row r="328">
      <c r="A328" s="39" t="n">
        <v>6</v>
      </c>
      <c r="B328" s="39" t="n">
        <v>37</v>
      </c>
      <c r="C328" s="39">
        <f>A328+B328-1</f>
        <v/>
      </c>
      <c r="D328" s="39">
        <f>INT((C328-1)/12)+1</f>
        <v/>
      </c>
      <c r="E328" s="44">
        <f>INDEX(Monthly!$B$2:$B$61,A328)</f>
        <v/>
      </c>
      <c r="F328" s="44">
        <f>E328*INDEX('Age profile'!$B$2:$B$61,B328)</f>
        <v/>
      </c>
      <c r="G328" s="45">
        <f>MIN(in_takeup_cap,INDEX('Age profile'!$N$2:$N$61,B328)*(1+in_takeup_growth)^(D328-1))</f>
        <v/>
      </c>
      <c r="H328" s="11">
        <f>MIN(in_approval_cap,in_approved_first*INDEX('Age profile'!$O$2:$O$61,B328)*(1+in_approval_growth)^(D328-1))</f>
        <v/>
      </c>
      <c r="I328" s="45">
        <f>G328*MIN(in_takeup_cap,INDEX('Age profile'!$O$2:$O$61,B328)*(1+in_approval_growth)^(D328-1))</f>
        <v/>
      </c>
      <c r="J328" s="40">
        <f>(J327-L327)*F328/F327</f>
        <v/>
      </c>
      <c r="K328" s="40">
        <f>(K327-M327)*F328/F327+SUMIFS(O292:O327,B292:B327,B328-1-d_T)*F328</f>
        <v/>
      </c>
      <c r="L328" s="40">
        <f>IF(B328&gt;=in_marketplace_from,J328*d_hz*G328*in_eligible*H328,0)</f>
        <v/>
      </c>
      <c r="M328" s="40">
        <f>IF(B328&gt;=in_marketplace_from,K328*d_hz*G328*in_eligible*in_approved_repeat,0)</f>
        <v/>
      </c>
      <c r="N328" s="40">
        <f>L328+M328</f>
        <v/>
      </c>
      <c r="O328" s="46">
        <f>N328/F328</f>
        <v/>
      </c>
      <c r="P328" s="40">
        <f>F328-J328-K328</f>
        <v/>
      </c>
      <c r="Q328" s="40">
        <f>IF(B328&gt;=in_marketplace_from,(J328+K328)*d_hz*G328,0)</f>
        <v/>
      </c>
      <c r="R328" s="40">
        <f>SUMIFS(N292:N346,B292:B346,"&gt;="&amp;(B328-d_T),B292:B346,"&lt;="&amp;(B328-1))</f>
        <v/>
      </c>
      <c r="S328" s="46">
        <f>(1-d_u)*S327+IF(d_T&gt;in_topup_lag,SUMIFS(O292:O346,B292:B346,B328-in_topup_lag)-d_udrop*SUMIFS(O292:O346,B292:B346,B328-d_T),0)</f>
        <v/>
      </c>
      <c r="T328" s="40">
        <f>F328*d_u*S328</f>
        <v/>
      </c>
      <c r="U328" s="9">
        <f>L328*in_ticket+M328*d_rep_ticket</f>
        <v/>
      </c>
      <c r="V328" s="9">
        <f>U328+T328*d_topup_amt</f>
        <v/>
      </c>
      <c r="W328" s="40">
        <f>N328+T328*d_topup_ratio</f>
        <v/>
      </c>
      <c r="X328" s="40">
        <f>SUMIFS(W292:W346,B292:B346,B328-in_dpd_lag)*d_cured</f>
        <v/>
      </c>
      <c r="Y328" s="40">
        <f>SUMIFS(W292:W346,B292:B346,B328-in_rec_lag)*d_recd</f>
        <v/>
      </c>
      <c r="Z328" s="40">
        <f>IF(AND(B328&gt;=in_marketplace_from,B328&lt;in_marketplace_from+in_card_months),in_card_share/in_card_months*F328*I328,IF(AND(B328&gt;=in_marketplace_from+in_card_months,B328&lt;in_marketplace_from+2*in_card_months),in_card_share*d_card_rem/in_card_months*F328*MIN(in_takeup_cap,(1+in_takeup_growth)^(D328-1))*MIN(in_takeup_cap,(1+in_approval_growth)^(D328-1)),0))</f>
        <v/>
      </c>
      <c r="AA328" s="14">
        <f>V328*in_fee*(1-in_taken_back)</f>
        <v/>
      </c>
      <c r="AB328" s="14">
        <f>SUMIFS(W292:W346,B292:B346,B328-in_dpd_lag)*d_dpd</f>
        <v/>
      </c>
      <c r="AC328" s="14">
        <f>SUMIFS(W292:W346,B292:B346,B328-in_rec_lag)*d_rec</f>
        <v/>
      </c>
      <c r="AD328" s="14">
        <f>Z328*in_card_fee</f>
        <v/>
      </c>
      <c r="AE328" s="40">
        <f>AE327*(1-IF(B327&gt;=in_marketplace_from,d_hz_hlth_small*G327,0))</f>
        <v/>
      </c>
      <c r="AF328" s="46">
        <f>AE328*IF(B328&gt;=in_marketplace_from,d_hz_hlth_small*G328,0)</f>
        <v/>
      </c>
      <c r="AG328" s="14">
        <f>F328*AF328*in_hlth_small_ticket*in_hlth_small_comm*in_ins_partner_share+F328*in_hlth_small_ticket*in_hlth_small_renew_comm*in_ins_partner_share*(in_hlth_small_renew^1*SUMIFS(AF292:AF346,B292:B346,B328-12)+in_hlth_small_renew^2*SUMIFS(AF292:AF346,B292:B346,B328-24)+in_hlth_small_renew^3*SUMIFS(AF292:AF346,B292:B346,B328-36)+in_hlth_small_renew^4*SUMIFS(AF292:AF346,B292:B346,B328-48))</f>
        <v/>
      </c>
      <c r="AH328" s="40">
        <f>AH327*(1-IF(B327&gt;=in_marketplace_from,d_hz_hlth_family*G327,0))</f>
        <v/>
      </c>
      <c r="AI328" s="46">
        <f>AH328*IF(B328&gt;=in_marketplace_from,d_hz_hlth_family*G328,0)</f>
        <v/>
      </c>
      <c r="AJ328" s="14">
        <f>F328*AI328*in_hlth_family_ticket*in_hlth_family_comm*in_ins_partner_share+F328*in_hlth_family_ticket*in_hlth_family_renew_comm*in_ins_partner_share*(in_hlth_family_renew^1*SUMIFS(AI292:AI346,B292:B346,B328-12)+in_hlth_family_renew^2*SUMIFS(AI292:AI346,B292:B346,B328-24)+in_hlth_family_renew^3*SUMIFS(AI292:AI346,B292:B346,B328-36)+in_hlth_family_renew^4*SUMIFS(AI292:AI346,B292:B346,B328-48))</f>
        <v/>
      </c>
      <c r="AK328" s="40">
        <f>AK327*(1-IF(B327&gt;=in_marketplace_from,d_hz_life_term*G327,0))</f>
        <v/>
      </c>
      <c r="AL328" s="46">
        <f>AK328*IF(B328&gt;=in_marketplace_from,d_hz_life_term*G328,0)</f>
        <v/>
      </c>
      <c r="AM328" s="14">
        <f>F328*AL328*in_life_term_ticket*in_life_term_comm*in_ins_partner_share+F328*in_life_term_ticket*in_life_term_renew_comm*in_ins_partner_share*(in_life_term_renew^1*SUMIFS(AL292:AL346,B292:B346,B328-12)+in_life_term_renew^2*SUMIFS(AL292:AL346,B292:B346,B328-24)+in_life_term_renew^3*SUMIFS(AL292:AL346,B292:B346,B328-36)+in_life_term_renew^4*SUMIFS(AL292:AL346,B292:B346,B328-48))</f>
        <v/>
      </c>
      <c r="AN328" s="40">
        <f>AN327*(1-IF(B327&gt;=in_marketplace_from,d_hz_accident*G327,0))</f>
        <v/>
      </c>
      <c r="AO328" s="46">
        <f>AN328*IF(B328&gt;=in_marketplace_from,d_hz_accident*G328,0)</f>
        <v/>
      </c>
      <c r="AP328" s="14">
        <f>F328*AO328*in_accident_ticket*in_accident_comm*in_ins_partner_share+F328*in_accident_ticket*in_accident_renew_comm*in_ins_partner_share*(in_accident_renew^1*SUMIFS(AO292:AO346,B292:B346,B328-12)+in_accident_renew^2*SUMIFS(AO292:AO346,B292:B346,B328-24)+in_accident_renew^3*SUMIFS(AO292:AO346,B292:B346,B328-36)+in_accident_renew^4*SUMIFS(AO292:AO346,B292:B346,B328-48))</f>
        <v/>
      </c>
      <c r="AQ328" s="40">
        <f>AQ327*(1-IF(B327&gt;=in_marketplace_from,d_hz_two_wheeler*G327,0))</f>
        <v/>
      </c>
      <c r="AR328" s="46">
        <f>AQ328*IF(B328&gt;=in_marketplace_from,d_hz_two_wheeler*G328,0)</f>
        <v/>
      </c>
      <c r="AS328" s="14">
        <f>F328*AR328*in_two_wheeler_ticket*in_two_wheeler_comm*in_ins_partner_share+F328*in_two_wheeler_ticket*in_two_wheeler_comm*in_ins_partner_share*(in_two_wheeler_renew^1*SUMIFS(AR292:AR346,B292:B346,B328-12)+in_two_wheeler_renew^2*SUMIFS(AR292:AR346,B292:B346,B328-24)+in_two_wheeler_renew^3*SUMIFS(AR292:AR346,B292:B346,B328-36)+in_two_wheeler_renew^4*SUMIFS(AR292:AR346,B292:B346,B328-48))</f>
        <v/>
      </c>
      <c r="AT328" s="40">
        <f>AT327*(1-IF(B327&gt;=in_marketplace_from,d_hz_device*G327,0))</f>
        <v/>
      </c>
      <c r="AU328" s="14">
        <f>F328*AT328*IF(B328&gt;=in_marketplace_from,d_hz_device*G328,0)*in_device_ticket*in_device_comm*in_ins_partner_share</f>
        <v/>
      </c>
      <c r="AV328" s="40">
        <f>AV327*(1-IF(B327&gt;=in_marketplace_from,d_hz_shop*G327,0))</f>
        <v/>
      </c>
      <c r="AW328" s="46">
        <f>AV328*IF(B328&gt;=in_marketplace_from,d_hz_shop*G328,0)</f>
        <v/>
      </c>
      <c r="AX328" s="14">
        <f>F328*AW328*in_shop_ticket*in_shop_comm*in_ins_partner_share+F328*in_shop_ticket*in_shop_renew_comm*in_ins_partner_share*(in_shop_renew^1*SUMIFS(AW292:AW346,B292:B346,B328-12)+in_shop_renew^2*SUMIFS(AW292:AW346,B292:B346,B328-24)+in_shop_renew^3*SUMIFS(AW292:AW346,B292:B346,B328-36)+in_shop_renew^4*SUMIFS(AW292:AW346,B292:B346,B328-48))</f>
        <v/>
      </c>
      <c r="AY328" s="40">
        <f>AY327*(1-IF(B327&gt;=in_marketplace_from,d_hz_sip*G327,0))</f>
        <v/>
      </c>
      <c r="AZ328" s="40">
        <f>AZ327*d_rho_sip+AY328*IF(B328&gt;=in_marketplace_from,d_hz_sip*G328,0)</f>
        <v/>
      </c>
      <c r="BA328" s="40">
        <f>d_rho_sip*(BA327+AZ327)</f>
        <v/>
      </c>
      <c r="BB328" s="14">
        <f>F328*in_sip_ticket*(BA328+0.5*AZ328)*in_sip_comm/12</f>
        <v/>
      </c>
      <c r="BC328" s="40">
        <f>BC327*(1-IF(B327&gt;=in_marketplace_from,d_hz_choti*G327,0))</f>
        <v/>
      </c>
      <c r="BD328" s="46">
        <f>BC328*IF(B328&gt;=in_marketplace_from,d_hz_choti*G328,0)</f>
        <v/>
      </c>
      <c r="BE328" s="14">
        <f>F328*SUMIFS(BD292:BD346,B292:B346,B328-in_choti_months)*in_choti_renew*in_choti_ticket</f>
        <v/>
      </c>
      <c r="BF328" s="40">
        <f>BF327*(1-IF(B327&gt;=in_marketplace_from,d_hz_nps*G327,0))</f>
        <v/>
      </c>
      <c r="BG328" s="14">
        <f>F328*BF328*IF(B328&gt;=in_marketplace_from,d_hz_nps*G328,0)*in_nps_ticket*in_nps_comm</f>
        <v/>
      </c>
      <c r="BH328" s="40">
        <f>BH327*(1-IF(B327&gt;=in_marketplace_from,d_hz_gold*G327,0))</f>
        <v/>
      </c>
      <c r="BI328" s="40">
        <f>BI327*d_rho_gold+BH328*IF(B328&gt;=in_marketplace_from,d_hz_gold*G328,0)</f>
        <v/>
      </c>
      <c r="BJ328" s="14">
        <f>F328*BI328*in_gold_ticket*in_gold_comm</f>
        <v/>
      </c>
      <c r="BK328" s="40">
        <f>BK327*(1-IF(B327&gt;=in_marketplace_from,d_hz_fd*G327,0))</f>
        <v/>
      </c>
      <c r="BL328" s="14">
        <f>F328*BK328*IF(B328&gt;=in_marketplace_from,d_hz_fd*G328,0)*in_fd_ticket*in_fd_comm</f>
        <v/>
      </c>
      <c r="BM328" s="40">
        <f>BM327*(1-IF(B327&gt;=in_marketplace_from,d_hz_recharge*G327,0))</f>
        <v/>
      </c>
      <c r="BN328" s="40">
        <f>BN327*d_rho_recharge+BM328*IF(B328&gt;=in_marketplace_from,d_hz_recharge*G328,0)</f>
        <v/>
      </c>
      <c r="BO328" s="14">
        <f>F328*BN328*in_recharge_ticket*in_recharge_comm/12</f>
        <v/>
      </c>
      <c r="BP328" s="40">
        <f>BP327*(1-IF(B327&gt;=in_marketplace_from,d_hz_bills*G327,0))</f>
        <v/>
      </c>
      <c r="BQ328" s="40">
        <f>BQ327*d_rho_bills+BP328*IF(B328&gt;=in_marketplace_from,d_hz_bills*G328,0)</f>
        <v/>
      </c>
      <c r="BR328" s="14">
        <f>F328*BQ328*in_bills_ticket*in_bills_comm/12</f>
        <v/>
      </c>
      <c r="BS328" s="40">
        <f>BS327*(1-IF(B327&gt;=in_marketplace_from,d_hz_loan_gold*G327,0))</f>
        <v/>
      </c>
      <c r="BT328" s="14">
        <f>F328*BS328*IF(B328&gt;=in_marketplace_from,d_hz_loan_gold*G328,0)*in_loan_gold_ticket*in_loan_gold_comm</f>
        <v/>
      </c>
      <c r="BU328" s="40">
        <f>BU327*(1-IF(B327&gt;=in_marketplace_from,d_hz_loan_cd*G327,0))</f>
        <v/>
      </c>
      <c r="BV328" s="14">
        <f>F328*BU328*IF(B328&gt;=in_marketplace_from,d_hz_loan_cd*G328,0)*in_loan_cd_ticket*in_loan_cd_comm</f>
        <v/>
      </c>
      <c r="BW328" s="40">
        <f>BW327*(1-IF(B327&gt;=in_marketplace_from,d_hz_loan_vehicle*G327,0))</f>
        <v/>
      </c>
      <c r="BX328" s="14">
        <f>F328*BW328*IF(B328&gt;=in_marketplace_from,d_hz_loan_vehicle*G328,0)*in_loan_vehicle_ticket*in_loan_vehicle_comm</f>
        <v/>
      </c>
      <c r="BY328" s="40">
        <f>BY327*(1-IF(B327&gt;=in_marketplace_from,d_hz_loan_home*G327,0)*BZ327)</f>
        <v/>
      </c>
      <c r="BZ328" s="11">
        <f>MIN(in_approval_cap,in_loan_home_approval*INDEX('Age profile'!$O$2:$O$61,B328)*(1+in_approval_growth)^(D328-1))</f>
        <v/>
      </c>
      <c r="CA328" s="14">
        <f>F328*BY328*IF(B328&gt;=in_marketplace_from,d_hz_loan_home*G328,0)*BZ328*in_loan_home_ticket*in_loan_home_comm</f>
        <v/>
      </c>
      <c r="CB328" s="40">
        <f>CB327*(1-IF(B327&gt;=in_marketplace_from,d_hz_loan_lap*G327,0)*CC327)</f>
        <v/>
      </c>
      <c r="CC328" s="11">
        <f>MIN(in_approval_cap,in_loan_lap_approval*INDEX('Age profile'!$O$2:$O$61,B328)*(1+in_approval_growth)^(D328-1))</f>
        <v/>
      </c>
      <c r="CD328" s="14">
        <f>F328*CB328*IF(B328&gt;=in_marketplace_from,d_hz_loan_lap*G328,0)*CC328*in_loan_lap_ticket*in_loan_lap_comm</f>
        <v/>
      </c>
      <c r="CE328" s="14">
        <f>AA328+AB328+AC328+AD328+AG328+AJ328+AM328+AP328+AS328+AU328+AX328+BB328+BE328+BG328+BJ328+BL328+BO328+BR328+BT328+BV328+BX328+CA328+CD328</f>
        <v/>
      </c>
    </row>
    <row r="329">
      <c r="A329" s="39" t="n">
        <v>6</v>
      </c>
      <c r="B329" s="39" t="n">
        <v>38</v>
      </c>
      <c r="C329" s="39">
        <f>A329+B329-1</f>
        <v/>
      </c>
      <c r="D329" s="39">
        <f>INT((C329-1)/12)+1</f>
        <v/>
      </c>
      <c r="E329" s="44">
        <f>INDEX(Monthly!$B$2:$B$61,A329)</f>
        <v/>
      </c>
      <c r="F329" s="44">
        <f>E329*INDEX('Age profile'!$B$2:$B$61,B329)</f>
        <v/>
      </c>
      <c r="G329" s="45">
        <f>MIN(in_takeup_cap,INDEX('Age profile'!$N$2:$N$61,B329)*(1+in_takeup_growth)^(D329-1))</f>
        <v/>
      </c>
      <c r="H329" s="11">
        <f>MIN(in_approval_cap,in_approved_first*INDEX('Age profile'!$O$2:$O$61,B329)*(1+in_approval_growth)^(D329-1))</f>
        <v/>
      </c>
      <c r="I329" s="45">
        <f>G329*MIN(in_takeup_cap,INDEX('Age profile'!$O$2:$O$61,B329)*(1+in_approval_growth)^(D329-1))</f>
        <v/>
      </c>
      <c r="J329" s="40">
        <f>(J328-L328)*F329/F328</f>
        <v/>
      </c>
      <c r="K329" s="40">
        <f>(K328-M328)*F329/F328+SUMIFS(O292:O328,B292:B328,B329-1-d_T)*F329</f>
        <v/>
      </c>
      <c r="L329" s="40">
        <f>IF(B329&gt;=in_marketplace_from,J329*d_hz*G329*in_eligible*H329,0)</f>
        <v/>
      </c>
      <c r="M329" s="40">
        <f>IF(B329&gt;=in_marketplace_from,K329*d_hz*G329*in_eligible*in_approved_repeat,0)</f>
        <v/>
      </c>
      <c r="N329" s="40">
        <f>L329+M329</f>
        <v/>
      </c>
      <c r="O329" s="46">
        <f>N329/F329</f>
        <v/>
      </c>
      <c r="P329" s="40">
        <f>F329-J329-K329</f>
        <v/>
      </c>
      <c r="Q329" s="40">
        <f>IF(B329&gt;=in_marketplace_from,(J329+K329)*d_hz*G329,0)</f>
        <v/>
      </c>
      <c r="R329" s="40">
        <f>SUMIFS(N292:N346,B292:B346,"&gt;="&amp;(B329-d_T),B292:B346,"&lt;="&amp;(B329-1))</f>
        <v/>
      </c>
      <c r="S329" s="46">
        <f>(1-d_u)*S328+IF(d_T&gt;in_topup_lag,SUMIFS(O292:O346,B292:B346,B329-in_topup_lag)-d_udrop*SUMIFS(O292:O346,B292:B346,B329-d_T),0)</f>
        <v/>
      </c>
      <c r="T329" s="40">
        <f>F329*d_u*S329</f>
        <v/>
      </c>
      <c r="U329" s="9">
        <f>L329*in_ticket+M329*d_rep_ticket</f>
        <v/>
      </c>
      <c r="V329" s="9">
        <f>U329+T329*d_topup_amt</f>
        <v/>
      </c>
      <c r="W329" s="40">
        <f>N329+T329*d_topup_ratio</f>
        <v/>
      </c>
      <c r="X329" s="40">
        <f>SUMIFS(W292:W346,B292:B346,B329-in_dpd_lag)*d_cured</f>
        <v/>
      </c>
      <c r="Y329" s="40">
        <f>SUMIFS(W292:W346,B292:B346,B329-in_rec_lag)*d_recd</f>
        <v/>
      </c>
      <c r="Z329" s="40">
        <f>IF(AND(B329&gt;=in_marketplace_from,B329&lt;in_marketplace_from+in_card_months),in_card_share/in_card_months*F329*I329,IF(AND(B329&gt;=in_marketplace_from+in_card_months,B329&lt;in_marketplace_from+2*in_card_months),in_card_share*d_card_rem/in_card_months*F329*MIN(in_takeup_cap,(1+in_takeup_growth)^(D329-1))*MIN(in_takeup_cap,(1+in_approval_growth)^(D329-1)),0))</f>
        <v/>
      </c>
      <c r="AA329" s="14">
        <f>V329*in_fee*(1-in_taken_back)</f>
        <v/>
      </c>
      <c r="AB329" s="14">
        <f>SUMIFS(W292:W346,B292:B346,B329-in_dpd_lag)*d_dpd</f>
        <v/>
      </c>
      <c r="AC329" s="14">
        <f>SUMIFS(W292:W346,B292:B346,B329-in_rec_lag)*d_rec</f>
        <v/>
      </c>
      <c r="AD329" s="14">
        <f>Z329*in_card_fee</f>
        <v/>
      </c>
      <c r="AE329" s="40">
        <f>AE328*(1-IF(B328&gt;=in_marketplace_from,d_hz_hlth_small*G328,0))</f>
        <v/>
      </c>
      <c r="AF329" s="46">
        <f>AE329*IF(B329&gt;=in_marketplace_from,d_hz_hlth_small*G329,0)</f>
        <v/>
      </c>
      <c r="AG329" s="14">
        <f>F329*AF329*in_hlth_small_ticket*in_hlth_small_comm*in_ins_partner_share+F329*in_hlth_small_ticket*in_hlth_small_renew_comm*in_ins_partner_share*(in_hlth_small_renew^1*SUMIFS(AF292:AF346,B292:B346,B329-12)+in_hlth_small_renew^2*SUMIFS(AF292:AF346,B292:B346,B329-24)+in_hlth_small_renew^3*SUMIFS(AF292:AF346,B292:B346,B329-36)+in_hlth_small_renew^4*SUMIFS(AF292:AF346,B292:B346,B329-48))</f>
        <v/>
      </c>
      <c r="AH329" s="40">
        <f>AH328*(1-IF(B328&gt;=in_marketplace_from,d_hz_hlth_family*G328,0))</f>
        <v/>
      </c>
      <c r="AI329" s="46">
        <f>AH329*IF(B329&gt;=in_marketplace_from,d_hz_hlth_family*G329,0)</f>
        <v/>
      </c>
      <c r="AJ329" s="14">
        <f>F329*AI329*in_hlth_family_ticket*in_hlth_family_comm*in_ins_partner_share+F329*in_hlth_family_ticket*in_hlth_family_renew_comm*in_ins_partner_share*(in_hlth_family_renew^1*SUMIFS(AI292:AI346,B292:B346,B329-12)+in_hlth_family_renew^2*SUMIFS(AI292:AI346,B292:B346,B329-24)+in_hlth_family_renew^3*SUMIFS(AI292:AI346,B292:B346,B329-36)+in_hlth_family_renew^4*SUMIFS(AI292:AI346,B292:B346,B329-48))</f>
        <v/>
      </c>
      <c r="AK329" s="40">
        <f>AK328*(1-IF(B328&gt;=in_marketplace_from,d_hz_life_term*G328,0))</f>
        <v/>
      </c>
      <c r="AL329" s="46">
        <f>AK329*IF(B329&gt;=in_marketplace_from,d_hz_life_term*G329,0)</f>
        <v/>
      </c>
      <c r="AM329" s="14">
        <f>F329*AL329*in_life_term_ticket*in_life_term_comm*in_ins_partner_share+F329*in_life_term_ticket*in_life_term_renew_comm*in_ins_partner_share*(in_life_term_renew^1*SUMIFS(AL292:AL346,B292:B346,B329-12)+in_life_term_renew^2*SUMIFS(AL292:AL346,B292:B346,B329-24)+in_life_term_renew^3*SUMIFS(AL292:AL346,B292:B346,B329-36)+in_life_term_renew^4*SUMIFS(AL292:AL346,B292:B346,B329-48))</f>
        <v/>
      </c>
      <c r="AN329" s="40">
        <f>AN328*(1-IF(B328&gt;=in_marketplace_from,d_hz_accident*G328,0))</f>
        <v/>
      </c>
      <c r="AO329" s="46">
        <f>AN329*IF(B329&gt;=in_marketplace_from,d_hz_accident*G329,0)</f>
        <v/>
      </c>
      <c r="AP329" s="14">
        <f>F329*AO329*in_accident_ticket*in_accident_comm*in_ins_partner_share+F329*in_accident_ticket*in_accident_renew_comm*in_ins_partner_share*(in_accident_renew^1*SUMIFS(AO292:AO346,B292:B346,B329-12)+in_accident_renew^2*SUMIFS(AO292:AO346,B292:B346,B329-24)+in_accident_renew^3*SUMIFS(AO292:AO346,B292:B346,B329-36)+in_accident_renew^4*SUMIFS(AO292:AO346,B292:B346,B329-48))</f>
        <v/>
      </c>
      <c r="AQ329" s="40">
        <f>AQ328*(1-IF(B328&gt;=in_marketplace_from,d_hz_two_wheeler*G328,0))</f>
        <v/>
      </c>
      <c r="AR329" s="46">
        <f>AQ329*IF(B329&gt;=in_marketplace_from,d_hz_two_wheeler*G329,0)</f>
        <v/>
      </c>
      <c r="AS329" s="14">
        <f>F329*AR329*in_two_wheeler_ticket*in_two_wheeler_comm*in_ins_partner_share+F329*in_two_wheeler_ticket*in_two_wheeler_comm*in_ins_partner_share*(in_two_wheeler_renew^1*SUMIFS(AR292:AR346,B292:B346,B329-12)+in_two_wheeler_renew^2*SUMIFS(AR292:AR346,B292:B346,B329-24)+in_two_wheeler_renew^3*SUMIFS(AR292:AR346,B292:B346,B329-36)+in_two_wheeler_renew^4*SUMIFS(AR292:AR346,B292:B346,B329-48))</f>
        <v/>
      </c>
      <c r="AT329" s="40">
        <f>AT328*(1-IF(B328&gt;=in_marketplace_from,d_hz_device*G328,0))</f>
        <v/>
      </c>
      <c r="AU329" s="14">
        <f>F329*AT329*IF(B329&gt;=in_marketplace_from,d_hz_device*G329,0)*in_device_ticket*in_device_comm*in_ins_partner_share</f>
        <v/>
      </c>
      <c r="AV329" s="40">
        <f>AV328*(1-IF(B328&gt;=in_marketplace_from,d_hz_shop*G328,0))</f>
        <v/>
      </c>
      <c r="AW329" s="46">
        <f>AV329*IF(B329&gt;=in_marketplace_from,d_hz_shop*G329,0)</f>
        <v/>
      </c>
      <c r="AX329" s="14">
        <f>F329*AW329*in_shop_ticket*in_shop_comm*in_ins_partner_share+F329*in_shop_ticket*in_shop_renew_comm*in_ins_partner_share*(in_shop_renew^1*SUMIFS(AW292:AW346,B292:B346,B329-12)+in_shop_renew^2*SUMIFS(AW292:AW346,B292:B346,B329-24)+in_shop_renew^3*SUMIFS(AW292:AW346,B292:B346,B329-36)+in_shop_renew^4*SUMIFS(AW292:AW346,B292:B346,B329-48))</f>
        <v/>
      </c>
      <c r="AY329" s="40">
        <f>AY328*(1-IF(B328&gt;=in_marketplace_from,d_hz_sip*G328,0))</f>
        <v/>
      </c>
      <c r="AZ329" s="40">
        <f>AZ328*d_rho_sip+AY329*IF(B329&gt;=in_marketplace_from,d_hz_sip*G329,0)</f>
        <v/>
      </c>
      <c r="BA329" s="40">
        <f>d_rho_sip*(BA328+AZ328)</f>
        <v/>
      </c>
      <c r="BB329" s="14">
        <f>F329*in_sip_ticket*(BA329+0.5*AZ329)*in_sip_comm/12</f>
        <v/>
      </c>
      <c r="BC329" s="40">
        <f>BC328*(1-IF(B328&gt;=in_marketplace_from,d_hz_choti*G328,0))</f>
        <v/>
      </c>
      <c r="BD329" s="46">
        <f>BC329*IF(B329&gt;=in_marketplace_from,d_hz_choti*G329,0)</f>
        <v/>
      </c>
      <c r="BE329" s="14">
        <f>F329*SUMIFS(BD292:BD346,B292:B346,B329-in_choti_months)*in_choti_renew*in_choti_ticket</f>
        <v/>
      </c>
      <c r="BF329" s="40">
        <f>BF328*(1-IF(B328&gt;=in_marketplace_from,d_hz_nps*G328,0))</f>
        <v/>
      </c>
      <c r="BG329" s="14">
        <f>F329*BF329*IF(B329&gt;=in_marketplace_from,d_hz_nps*G329,0)*in_nps_ticket*in_nps_comm</f>
        <v/>
      </c>
      <c r="BH329" s="40">
        <f>BH328*(1-IF(B328&gt;=in_marketplace_from,d_hz_gold*G328,0))</f>
        <v/>
      </c>
      <c r="BI329" s="40">
        <f>BI328*d_rho_gold+BH329*IF(B329&gt;=in_marketplace_from,d_hz_gold*G329,0)</f>
        <v/>
      </c>
      <c r="BJ329" s="14">
        <f>F329*BI329*in_gold_ticket*in_gold_comm</f>
        <v/>
      </c>
      <c r="BK329" s="40">
        <f>BK328*(1-IF(B328&gt;=in_marketplace_from,d_hz_fd*G328,0))</f>
        <v/>
      </c>
      <c r="BL329" s="14">
        <f>F329*BK329*IF(B329&gt;=in_marketplace_from,d_hz_fd*G329,0)*in_fd_ticket*in_fd_comm</f>
        <v/>
      </c>
      <c r="BM329" s="40">
        <f>BM328*(1-IF(B328&gt;=in_marketplace_from,d_hz_recharge*G328,0))</f>
        <v/>
      </c>
      <c r="BN329" s="40">
        <f>BN328*d_rho_recharge+BM329*IF(B329&gt;=in_marketplace_from,d_hz_recharge*G329,0)</f>
        <v/>
      </c>
      <c r="BO329" s="14">
        <f>F329*BN329*in_recharge_ticket*in_recharge_comm/12</f>
        <v/>
      </c>
      <c r="BP329" s="40">
        <f>BP328*(1-IF(B328&gt;=in_marketplace_from,d_hz_bills*G328,0))</f>
        <v/>
      </c>
      <c r="BQ329" s="40">
        <f>BQ328*d_rho_bills+BP329*IF(B329&gt;=in_marketplace_from,d_hz_bills*G329,0)</f>
        <v/>
      </c>
      <c r="BR329" s="14">
        <f>F329*BQ329*in_bills_ticket*in_bills_comm/12</f>
        <v/>
      </c>
      <c r="BS329" s="40">
        <f>BS328*(1-IF(B328&gt;=in_marketplace_from,d_hz_loan_gold*G328,0))</f>
        <v/>
      </c>
      <c r="BT329" s="14">
        <f>F329*BS329*IF(B329&gt;=in_marketplace_from,d_hz_loan_gold*G329,0)*in_loan_gold_ticket*in_loan_gold_comm</f>
        <v/>
      </c>
      <c r="BU329" s="40">
        <f>BU328*(1-IF(B328&gt;=in_marketplace_from,d_hz_loan_cd*G328,0))</f>
        <v/>
      </c>
      <c r="BV329" s="14">
        <f>F329*BU329*IF(B329&gt;=in_marketplace_from,d_hz_loan_cd*G329,0)*in_loan_cd_ticket*in_loan_cd_comm</f>
        <v/>
      </c>
      <c r="BW329" s="40">
        <f>BW328*(1-IF(B328&gt;=in_marketplace_from,d_hz_loan_vehicle*G328,0))</f>
        <v/>
      </c>
      <c r="BX329" s="14">
        <f>F329*BW329*IF(B329&gt;=in_marketplace_from,d_hz_loan_vehicle*G329,0)*in_loan_vehicle_ticket*in_loan_vehicle_comm</f>
        <v/>
      </c>
      <c r="BY329" s="40">
        <f>BY328*(1-IF(B328&gt;=in_marketplace_from,d_hz_loan_home*G328,0)*BZ328)</f>
        <v/>
      </c>
      <c r="BZ329" s="11">
        <f>MIN(in_approval_cap,in_loan_home_approval*INDEX('Age profile'!$O$2:$O$61,B329)*(1+in_approval_growth)^(D329-1))</f>
        <v/>
      </c>
      <c r="CA329" s="14">
        <f>F329*BY329*IF(B329&gt;=in_marketplace_from,d_hz_loan_home*G329,0)*BZ329*in_loan_home_ticket*in_loan_home_comm</f>
        <v/>
      </c>
      <c r="CB329" s="40">
        <f>CB328*(1-IF(B328&gt;=in_marketplace_from,d_hz_loan_lap*G328,0)*CC328)</f>
        <v/>
      </c>
      <c r="CC329" s="11">
        <f>MIN(in_approval_cap,in_loan_lap_approval*INDEX('Age profile'!$O$2:$O$61,B329)*(1+in_approval_growth)^(D329-1))</f>
        <v/>
      </c>
      <c r="CD329" s="14">
        <f>F329*CB329*IF(B329&gt;=in_marketplace_from,d_hz_loan_lap*G329,0)*CC329*in_loan_lap_ticket*in_loan_lap_comm</f>
        <v/>
      </c>
      <c r="CE329" s="14">
        <f>AA329+AB329+AC329+AD329+AG329+AJ329+AM329+AP329+AS329+AU329+AX329+BB329+BE329+BG329+BJ329+BL329+BO329+BR329+BT329+BV329+BX329+CA329+CD329</f>
        <v/>
      </c>
    </row>
    <row r="330">
      <c r="A330" s="39" t="n">
        <v>6</v>
      </c>
      <c r="B330" s="39" t="n">
        <v>39</v>
      </c>
      <c r="C330" s="39">
        <f>A330+B330-1</f>
        <v/>
      </c>
      <c r="D330" s="39">
        <f>INT((C330-1)/12)+1</f>
        <v/>
      </c>
      <c r="E330" s="44">
        <f>INDEX(Monthly!$B$2:$B$61,A330)</f>
        <v/>
      </c>
      <c r="F330" s="44">
        <f>E330*INDEX('Age profile'!$B$2:$B$61,B330)</f>
        <v/>
      </c>
      <c r="G330" s="45">
        <f>MIN(in_takeup_cap,INDEX('Age profile'!$N$2:$N$61,B330)*(1+in_takeup_growth)^(D330-1))</f>
        <v/>
      </c>
      <c r="H330" s="11">
        <f>MIN(in_approval_cap,in_approved_first*INDEX('Age profile'!$O$2:$O$61,B330)*(1+in_approval_growth)^(D330-1))</f>
        <v/>
      </c>
      <c r="I330" s="45">
        <f>G330*MIN(in_takeup_cap,INDEX('Age profile'!$O$2:$O$61,B330)*(1+in_approval_growth)^(D330-1))</f>
        <v/>
      </c>
      <c r="J330" s="40">
        <f>(J329-L329)*F330/F329</f>
        <v/>
      </c>
      <c r="K330" s="40">
        <f>(K329-M329)*F330/F329+SUMIFS(O292:O329,B292:B329,B330-1-d_T)*F330</f>
        <v/>
      </c>
      <c r="L330" s="40">
        <f>IF(B330&gt;=in_marketplace_from,J330*d_hz*G330*in_eligible*H330,0)</f>
        <v/>
      </c>
      <c r="M330" s="40">
        <f>IF(B330&gt;=in_marketplace_from,K330*d_hz*G330*in_eligible*in_approved_repeat,0)</f>
        <v/>
      </c>
      <c r="N330" s="40">
        <f>L330+M330</f>
        <v/>
      </c>
      <c r="O330" s="46">
        <f>N330/F330</f>
        <v/>
      </c>
      <c r="P330" s="40">
        <f>F330-J330-K330</f>
        <v/>
      </c>
      <c r="Q330" s="40">
        <f>IF(B330&gt;=in_marketplace_from,(J330+K330)*d_hz*G330,0)</f>
        <v/>
      </c>
      <c r="R330" s="40">
        <f>SUMIFS(N292:N346,B292:B346,"&gt;="&amp;(B330-d_T),B292:B346,"&lt;="&amp;(B330-1))</f>
        <v/>
      </c>
      <c r="S330" s="46">
        <f>(1-d_u)*S329+IF(d_T&gt;in_topup_lag,SUMIFS(O292:O346,B292:B346,B330-in_topup_lag)-d_udrop*SUMIFS(O292:O346,B292:B346,B330-d_T),0)</f>
        <v/>
      </c>
      <c r="T330" s="40">
        <f>F330*d_u*S330</f>
        <v/>
      </c>
      <c r="U330" s="9">
        <f>L330*in_ticket+M330*d_rep_ticket</f>
        <v/>
      </c>
      <c r="V330" s="9">
        <f>U330+T330*d_topup_amt</f>
        <v/>
      </c>
      <c r="W330" s="40">
        <f>N330+T330*d_topup_ratio</f>
        <v/>
      </c>
      <c r="X330" s="40">
        <f>SUMIFS(W292:W346,B292:B346,B330-in_dpd_lag)*d_cured</f>
        <v/>
      </c>
      <c r="Y330" s="40">
        <f>SUMIFS(W292:W346,B292:B346,B330-in_rec_lag)*d_recd</f>
        <v/>
      </c>
      <c r="Z330" s="40">
        <f>IF(AND(B330&gt;=in_marketplace_from,B330&lt;in_marketplace_from+in_card_months),in_card_share/in_card_months*F330*I330,IF(AND(B330&gt;=in_marketplace_from+in_card_months,B330&lt;in_marketplace_from+2*in_card_months),in_card_share*d_card_rem/in_card_months*F330*MIN(in_takeup_cap,(1+in_takeup_growth)^(D330-1))*MIN(in_takeup_cap,(1+in_approval_growth)^(D330-1)),0))</f>
        <v/>
      </c>
      <c r="AA330" s="14">
        <f>V330*in_fee*(1-in_taken_back)</f>
        <v/>
      </c>
      <c r="AB330" s="14">
        <f>SUMIFS(W292:W346,B292:B346,B330-in_dpd_lag)*d_dpd</f>
        <v/>
      </c>
      <c r="AC330" s="14">
        <f>SUMIFS(W292:W346,B292:B346,B330-in_rec_lag)*d_rec</f>
        <v/>
      </c>
      <c r="AD330" s="14">
        <f>Z330*in_card_fee</f>
        <v/>
      </c>
      <c r="AE330" s="40">
        <f>AE329*(1-IF(B329&gt;=in_marketplace_from,d_hz_hlth_small*G329,0))</f>
        <v/>
      </c>
      <c r="AF330" s="46">
        <f>AE330*IF(B330&gt;=in_marketplace_from,d_hz_hlth_small*G330,0)</f>
        <v/>
      </c>
      <c r="AG330" s="14">
        <f>F330*AF330*in_hlth_small_ticket*in_hlth_small_comm*in_ins_partner_share+F330*in_hlth_small_ticket*in_hlth_small_renew_comm*in_ins_partner_share*(in_hlth_small_renew^1*SUMIFS(AF292:AF346,B292:B346,B330-12)+in_hlth_small_renew^2*SUMIFS(AF292:AF346,B292:B346,B330-24)+in_hlth_small_renew^3*SUMIFS(AF292:AF346,B292:B346,B330-36)+in_hlth_small_renew^4*SUMIFS(AF292:AF346,B292:B346,B330-48))</f>
        <v/>
      </c>
      <c r="AH330" s="40">
        <f>AH329*(1-IF(B329&gt;=in_marketplace_from,d_hz_hlth_family*G329,0))</f>
        <v/>
      </c>
      <c r="AI330" s="46">
        <f>AH330*IF(B330&gt;=in_marketplace_from,d_hz_hlth_family*G330,0)</f>
        <v/>
      </c>
      <c r="AJ330" s="14">
        <f>F330*AI330*in_hlth_family_ticket*in_hlth_family_comm*in_ins_partner_share+F330*in_hlth_family_ticket*in_hlth_family_renew_comm*in_ins_partner_share*(in_hlth_family_renew^1*SUMIFS(AI292:AI346,B292:B346,B330-12)+in_hlth_family_renew^2*SUMIFS(AI292:AI346,B292:B346,B330-24)+in_hlth_family_renew^3*SUMIFS(AI292:AI346,B292:B346,B330-36)+in_hlth_family_renew^4*SUMIFS(AI292:AI346,B292:B346,B330-48))</f>
        <v/>
      </c>
      <c r="AK330" s="40">
        <f>AK329*(1-IF(B329&gt;=in_marketplace_from,d_hz_life_term*G329,0))</f>
        <v/>
      </c>
      <c r="AL330" s="46">
        <f>AK330*IF(B330&gt;=in_marketplace_from,d_hz_life_term*G330,0)</f>
        <v/>
      </c>
      <c r="AM330" s="14">
        <f>F330*AL330*in_life_term_ticket*in_life_term_comm*in_ins_partner_share+F330*in_life_term_ticket*in_life_term_renew_comm*in_ins_partner_share*(in_life_term_renew^1*SUMIFS(AL292:AL346,B292:B346,B330-12)+in_life_term_renew^2*SUMIFS(AL292:AL346,B292:B346,B330-24)+in_life_term_renew^3*SUMIFS(AL292:AL346,B292:B346,B330-36)+in_life_term_renew^4*SUMIFS(AL292:AL346,B292:B346,B330-48))</f>
        <v/>
      </c>
      <c r="AN330" s="40">
        <f>AN329*(1-IF(B329&gt;=in_marketplace_from,d_hz_accident*G329,0))</f>
        <v/>
      </c>
      <c r="AO330" s="46">
        <f>AN330*IF(B330&gt;=in_marketplace_from,d_hz_accident*G330,0)</f>
        <v/>
      </c>
      <c r="AP330" s="14">
        <f>F330*AO330*in_accident_ticket*in_accident_comm*in_ins_partner_share+F330*in_accident_ticket*in_accident_renew_comm*in_ins_partner_share*(in_accident_renew^1*SUMIFS(AO292:AO346,B292:B346,B330-12)+in_accident_renew^2*SUMIFS(AO292:AO346,B292:B346,B330-24)+in_accident_renew^3*SUMIFS(AO292:AO346,B292:B346,B330-36)+in_accident_renew^4*SUMIFS(AO292:AO346,B292:B346,B330-48))</f>
        <v/>
      </c>
      <c r="AQ330" s="40">
        <f>AQ329*(1-IF(B329&gt;=in_marketplace_from,d_hz_two_wheeler*G329,0))</f>
        <v/>
      </c>
      <c r="AR330" s="46">
        <f>AQ330*IF(B330&gt;=in_marketplace_from,d_hz_two_wheeler*G330,0)</f>
        <v/>
      </c>
      <c r="AS330" s="14">
        <f>F330*AR330*in_two_wheeler_ticket*in_two_wheeler_comm*in_ins_partner_share+F330*in_two_wheeler_ticket*in_two_wheeler_comm*in_ins_partner_share*(in_two_wheeler_renew^1*SUMIFS(AR292:AR346,B292:B346,B330-12)+in_two_wheeler_renew^2*SUMIFS(AR292:AR346,B292:B346,B330-24)+in_two_wheeler_renew^3*SUMIFS(AR292:AR346,B292:B346,B330-36)+in_two_wheeler_renew^4*SUMIFS(AR292:AR346,B292:B346,B330-48))</f>
        <v/>
      </c>
      <c r="AT330" s="40">
        <f>AT329*(1-IF(B329&gt;=in_marketplace_from,d_hz_device*G329,0))</f>
        <v/>
      </c>
      <c r="AU330" s="14">
        <f>F330*AT330*IF(B330&gt;=in_marketplace_from,d_hz_device*G330,0)*in_device_ticket*in_device_comm*in_ins_partner_share</f>
        <v/>
      </c>
      <c r="AV330" s="40">
        <f>AV329*(1-IF(B329&gt;=in_marketplace_from,d_hz_shop*G329,0))</f>
        <v/>
      </c>
      <c r="AW330" s="46">
        <f>AV330*IF(B330&gt;=in_marketplace_from,d_hz_shop*G330,0)</f>
        <v/>
      </c>
      <c r="AX330" s="14">
        <f>F330*AW330*in_shop_ticket*in_shop_comm*in_ins_partner_share+F330*in_shop_ticket*in_shop_renew_comm*in_ins_partner_share*(in_shop_renew^1*SUMIFS(AW292:AW346,B292:B346,B330-12)+in_shop_renew^2*SUMIFS(AW292:AW346,B292:B346,B330-24)+in_shop_renew^3*SUMIFS(AW292:AW346,B292:B346,B330-36)+in_shop_renew^4*SUMIFS(AW292:AW346,B292:B346,B330-48))</f>
        <v/>
      </c>
      <c r="AY330" s="40">
        <f>AY329*(1-IF(B329&gt;=in_marketplace_from,d_hz_sip*G329,0))</f>
        <v/>
      </c>
      <c r="AZ330" s="40">
        <f>AZ329*d_rho_sip+AY330*IF(B330&gt;=in_marketplace_from,d_hz_sip*G330,0)</f>
        <v/>
      </c>
      <c r="BA330" s="40">
        <f>d_rho_sip*(BA329+AZ329)</f>
        <v/>
      </c>
      <c r="BB330" s="14">
        <f>F330*in_sip_ticket*(BA330+0.5*AZ330)*in_sip_comm/12</f>
        <v/>
      </c>
      <c r="BC330" s="40">
        <f>BC329*(1-IF(B329&gt;=in_marketplace_from,d_hz_choti*G329,0))</f>
        <v/>
      </c>
      <c r="BD330" s="46">
        <f>BC330*IF(B330&gt;=in_marketplace_from,d_hz_choti*G330,0)</f>
        <v/>
      </c>
      <c r="BE330" s="14">
        <f>F330*SUMIFS(BD292:BD346,B292:B346,B330-in_choti_months)*in_choti_renew*in_choti_ticket</f>
        <v/>
      </c>
      <c r="BF330" s="40">
        <f>BF329*(1-IF(B329&gt;=in_marketplace_from,d_hz_nps*G329,0))</f>
        <v/>
      </c>
      <c r="BG330" s="14">
        <f>F330*BF330*IF(B330&gt;=in_marketplace_from,d_hz_nps*G330,0)*in_nps_ticket*in_nps_comm</f>
        <v/>
      </c>
      <c r="BH330" s="40">
        <f>BH329*(1-IF(B329&gt;=in_marketplace_from,d_hz_gold*G329,0))</f>
        <v/>
      </c>
      <c r="BI330" s="40">
        <f>BI329*d_rho_gold+BH330*IF(B330&gt;=in_marketplace_from,d_hz_gold*G330,0)</f>
        <v/>
      </c>
      <c r="BJ330" s="14">
        <f>F330*BI330*in_gold_ticket*in_gold_comm</f>
        <v/>
      </c>
      <c r="BK330" s="40">
        <f>BK329*(1-IF(B329&gt;=in_marketplace_from,d_hz_fd*G329,0))</f>
        <v/>
      </c>
      <c r="BL330" s="14">
        <f>F330*BK330*IF(B330&gt;=in_marketplace_from,d_hz_fd*G330,0)*in_fd_ticket*in_fd_comm</f>
        <v/>
      </c>
      <c r="BM330" s="40">
        <f>BM329*(1-IF(B329&gt;=in_marketplace_from,d_hz_recharge*G329,0))</f>
        <v/>
      </c>
      <c r="BN330" s="40">
        <f>BN329*d_rho_recharge+BM330*IF(B330&gt;=in_marketplace_from,d_hz_recharge*G330,0)</f>
        <v/>
      </c>
      <c r="BO330" s="14">
        <f>F330*BN330*in_recharge_ticket*in_recharge_comm/12</f>
        <v/>
      </c>
      <c r="BP330" s="40">
        <f>BP329*(1-IF(B329&gt;=in_marketplace_from,d_hz_bills*G329,0))</f>
        <v/>
      </c>
      <c r="BQ330" s="40">
        <f>BQ329*d_rho_bills+BP330*IF(B330&gt;=in_marketplace_from,d_hz_bills*G330,0)</f>
        <v/>
      </c>
      <c r="BR330" s="14">
        <f>F330*BQ330*in_bills_ticket*in_bills_comm/12</f>
        <v/>
      </c>
      <c r="BS330" s="40">
        <f>BS329*(1-IF(B329&gt;=in_marketplace_from,d_hz_loan_gold*G329,0))</f>
        <v/>
      </c>
      <c r="BT330" s="14">
        <f>F330*BS330*IF(B330&gt;=in_marketplace_from,d_hz_loan_gold*G330,0)*in_loan_gold_ticket*in_loan_gold_comm</f>
        <v/>
      </c>
      <c r="BU330" s="40">
        <f>BU329*(1-IF(B329&gt;=in_marketplace_from,d_hz_loan_cd*G329,0))</f>
        <v/>
      </c>
      <c r="BV330" s="14">
        <f>F330*BU330*IF(B330&gt;=in_marketplace_from,d_hz_loan_cd*G330,0)*in_loan_cd_ticket*in_loan_cd_comm</f>
        <v/>
      </c>
      <c r="BW330" s="40">
        <f>BW329*(1-IF(B329&gt;=in_marketplace_from,d_hz_loan_vehicle*G329,0))</f>
        <v/>
      </c>
      <c r="BX330" s="14">
        <f>F330*BW330*IF(B330&gt;=in_marketplace_from,d_hz_loan_vehicle*G330,0)*in_loan_vehicle_ticket*in_loan_vehicle_comm</f>
        <v/>
      </c>
      <c r="BY330" s="40">
        <f>BY329*(1-IF(B329&gt;=in_marketplace_from,d_hz_loan_home*G329,0)*BZ329)</f>
        <v/>
      </c>
      <c r="BZ330" s="11">
        <f>MIN(in_approval_cap,in_loan_home_approval*INDEX('Age profile'!$O$2:$O$61,B330)*(1+in_approval_growth)^(D330-1))</f>
        <v/>
      </c>
      <c r="CA330" s="14">
        <f>F330*BY330*IF(B330&gt;=in_marketplace_from,d_hz_loan_home*G330,0)*BZ330*in_loan_home_ticket*in_loan_home_comm</f>
        <v/>
      </c>
      <c r="CB330" s="40">
        <f>CB329*(1-IF(B329&gt;=in_marketplace_from,d_hz_loan_lap*G329,0)*CC329)</f>
        <v/>
      </c>
      <c r="CC330" s="11">
        <f>MIN(in_approval_cap,in_loan_lap_approval*INDEX('Age profile'!$O$2:$O$61,B330)*(1+in_approval_growth)^(D330-1))</f>
        <v/>
      </c>
      <c r="CD330" s="14">
        <f>F330*CB330*IF(B330&gt;=in_marketplace_from,d_hz_loan_lap*G330,0)*CC330*in_loan_lap_ticket*in_loan_lap_comm</f>
        <v/>
      </c>
      <c r="CE330" s="14">
        <f>AA330+AB330+AC330+AD330+AG330+AJ330+AM330+AP330+AS330+AU330+AX330+BB330+BE330+BG330+BJ330+BL330+BO330+BR330+BT330+BV330+BX330+CA330+CD330</f>
        <v/>
      </c>
    </row>
    <row r="331">
      <c r="A331" s="39" t="n">
        <v>6</v>
      </c>
      <c r="B331" s="39" t="n">
        <v>40</v>
      </c>
      <c r="C331" s="39">
        <f>A331+B331-1</f>
        <v/>
      </c>
      <c r="D331" s="39">
        <f>INT((C331-1)/12)+1</f>
        <v/>
      </c>
      <c r="E331" s="44">
        <f>INDEX(Monthly!$B$2:$B$61,A331)</f>
        <v/>
      </c>
      <c r="F331" s="44">
        <f>E331*INDEX('Age profile'!$B$2:$B$61,B331)</f>
        <v/>
      </c>
      <c r="G331" s="45">
        <f>MIN(in_takeup_cap,INDEX('Age profile'!$N$2:$N$61,B331)*(1+in_takeup_growth)^(D331-1))</f>
        <v/>
      </c>
      <c r="H331" s="11">
        <f>MIN(in_approval_cap,in_approved_first*INDEX('Age profile'!$O$2:$O$61,B331)*(1+in_approval_growth)^(D331-1))</f>
        <v/>
      </c>
      <c r="I331" s="45">
        <f>G331*MIN(in_takeup_cap,INDEX('Age profile'!$O$2:$O$61,B331)*(1+in_approval_growth)^(D331-1))</f>
        <v/>
      </c>
      <c r="J331" s="40">
        <f>(J330-L330)*F331/F330</f>
        <v/>
      </c>
      <c r="K331" s="40">
        <f>(K330-M330)*F331/F330+SUMIFS(O292:O330,B292:B330,B331-1-d_T)*F331</f>
        <v/>
      </c>
      <c r="L331" s="40">
        <f>IF(B331&gt;=in_marketplace_from,J331*d_hz*G331*in_eligible*H331,0)</f>
        <v/>
      </c>
      <c r="M331" s="40">
        <f>IF(B331&gt;=in_marketplace_from,K331*d_hz*G331*in_eligible*in_approved_repeat,0)</f>
        <v/>
      </c>
      <c r="N331" s="40">
        <f>L331+M331</f>
        <v/>
      </c>
      <c r="O331" s="46">
        <f>N331/F331</f>
        <v/>
      </c>
      <c r="P331" s="40">
        <f>F331-J331-K331</f>
        <v/>
      </c>
      <c r="Q331" s="40">
        <f>IF(B331&gt;=in_marketplace_from,(J331+K331)*d_hz*G331,0)</f>
        <v/>
      </c>
      <c r="R331" s="40">
        <f>SUMIFS(N292:N346,B292:B346,"&gt;="&amp;(B331-d_T),B292:B346,"&lt;="&amp;(B331-1))</f>
        <v/>
      </c>
      <c r="S331" s="46">
        <f>(1-d_u)*S330+IF(d_T&gt;in_topup_lag,SUMIFS(O292:O346,B292:B346,B331-in_topup_lag)-d_udrop*SUMIFS(O292:O346,B292:B346,B331-d_T),0)</f>
        <v/>
      </c>
      <c r="T331" s="40">
        <f>F331*d_u*S331</f>
        <v/>
      </c>
      <c r="U331" s="9">
        <f>L331*in_ticket+M331*d_rep_ticket</f>
        <v/>
      </c>
      <c r="V331" s="9">
        <f>U331+T331*d_topup_amt</f>
        <v/>
      </c>
      <c r="W331" s="40">
        <f>N331+T331*d_topup_ratio</f>
        <v/>
      </c>
      <c r="X331" s="40">
        <f>SUMIFS(W292:W346,B292:B346,B331-in_dpd_lag)*d_cured</f>
        <v/>
      </c>
      <c r="Y331" s="40">
        <f>SUMIFS(W292:W346,B292:B346,B331-in_rec_lag)*d_recd</f>
        <v/>
      </c>
      <c r="Z331" s="40">
        <f>IF(AND(B331&gt;=in_marketplace_from,B331&lt;in_marketplace_from+in_card_months),in_card_share/in_card_months*F331*I331,IF(AND(B331&gt;=in_marketplace_from+in_card_months,B331&lt;in_marketplace_from+2*in_card_months),in_card_share*d_card_rem/in_card_months*F331*MIN(in_takeup_cap,(1+in_takeup_growth)^(D331-1))*MIN(in_takeup_cap,(1+in_approval_growth)^(D331-1)),0))</f>
        <v/>
      </c>
      <c r="AA331" s="14">
        <f>V331*in_fee*(1-in_taken_back)</f>
        <v/>
      </c>
      <c r="AB331" s="14">
        <f>SUMIFS(W292:W346,B292:B346,B331-in_dpd_lag)*d_dpd</f>
        <v/>
      </c>
      <c r="AC331" s="14">
        <f>SUMIFS(W292:W346,B292:B346,B331-in_rec_lag)*d_rec</f>
        <v/>
      </c>
      <c r="AD331" s="14">
        <f>Z331*in_card_fee</f>
        <v/>
      </c>
      <c r="AE331" s="40">
        <f>AE330*(1-IF(B330&gt;=in_marketplace_from,d_hz_hlth_small*G330,0))</f>
        <v/>
      </c>
      <c r="AF331" s="46">
        <f>AE331*IF(B331&gt;=in_marketplace_from,d_hz_hlth_small*G331,0)</f>
        <v/>
      </c>
      <c r="AG331" s="14">
        <f>F331*AF331*in_hlth_small_ticket*in_hlth_small_comm*in_ins_partner_share+F331*in_hlth_small_ticket*in_hlth_small_renew_comm*in_ins_partner_share*(in_hlth_small_renew^1*SUMIFS(AF292:AF346,B292:B346,B331-12)+in_hlth_small_renew^2*SUMIFS(AF292:AF346,B292:B346,B331-24)+in_hlth_small_renew^3*SUMIFS(AF292:AF346,B292:B346,B331-36)+in_hlth_small_renew^4*SUMIFS(AF292:AF346,B292:B346,B331-48))</f>
        <v/>
      </c>
      <c r="AH331" s="40">
        <f>AH330*(1-IF(B330&gt;=in_marketplace_from,d_hz_hlth_family*G330,0))</f>
        <v/>
      </c>
      <c r="AI331" s="46">
        <f>AH331*IF(B331&gt;=in_marketplace_from,d_hz_hlth_family*G331,0)</f>
        <v/>
      </c>
      <c r="AJ331" s="14">
        <f>F331*AI331*in_hlth_family_ticket*in_hlth_family_comm*in_ins_partner_share+F331*in_hlth_family_ticket*in_hlth_family_renew_comm*in_ins_partner_share*(in_hlth_family_renew^1*SUMIFS(AI292:AI346,B292:B346,B331-12)+in_hlth_family_renew^2*SUMIFS(AI292:AI346,B292:B346,B331-24)+in_hlth_family_renew^3*SUMIFS(AI292:AI346,B292:B346,B331-36)+in_hlth_family_renew^4*SUMIFS(AI292:AI346,B292:B346,B331-48))</f>
        <v/>
      </c>
      <c r="AK331" s="40">
        <f>AK330*(1-IF(B330&gt;=in_marketplace_from,d_hz_life_term*G330,0))</f>
        <v/>
      </c>
      <c r="AL331" s="46">
        <f>AK331*IF(B331&gt;=in_marketplace_from,d_hz_life_term*G331,0)</f>
        <v/>
      </c>
      <c r="AM331" s="14">
        <f>F331*AL331*in_life_term_ticket*in_life_term_comm*in_ins_partner_share+F331*in_life_term_ticket*in_life_term_renew_comm*in_ins_partner_share*(in_life_term_renew^1*SUMIFS(AL292:AL346,B292:B346,B331-12)+in_life_term_renew^2*SUMIFS(AL292:AL346,B292:B346,B331-24)+in_life_term_renew^3*SUMIFS(AL292:AL346,B292:B346,B331-36)+in_life_term_renew^4*SUMIFS(AL292:AL346,B292:B346,B331-48))</f>
        <v/>
      </c>
      <c r="AN331" s="40">
        <f>AN330*(1-IF(B330&gt;=in_marketplace_from,d_hz_accident*G330,0))</f>
        <v/>
      </c>
      <c r="AO331" s="46">
        <f>AN331*IF(B331&gt;=in_marketplace_from,d_hz_accident*G331,0)</f>
        <v/>
      </c>
      <c r="AP331" s="14">
        <f>F331*AO331*in_accident_ticket*in_accident_comm*in_ins_partner_share+F331*in_accident_ticket*in_accident_renew_comm*in_ins_partner_share*(in_accident_renew^1*SUMIFS(AO292:AO346,B292:B346,B331-12)+in_accident_renew^2*SUMIFS(AO292:AO346,B292:B346,B331-24)+in_accident_renew^3*SUMIFS(AO292:AO346,B292:B346,B331-36)+in_accident_renew^4*SUMIFS(AO292:AO346,B292:B346,B331-48))</f>
        <v/>
      </c>
      <c r="AQ331" s="40">
        <f>AQ330*(1-IF(B330&gt;=in_marketplace_from,d_hz_two_wheeler*G330,0))</f>
        <v/>
      </c>
      <c r="AR331" s="46">
        <f>AQ331*IF(B331&gt;=in_marketplace_from,d_hz_two_wheeler*G331,0)</f>
        <v/>
      </c>
      <c r="AS331" s="14">
        <f>F331*AR331*in_two_wheeler_ticket*in_two_wheeler_comm*in_ins_partner_share+F331*in_two_wheeler_ticket*in_two_wheeler_comm*in_ins_partner_share*(in_two_wheeler_renew^1*SUMIFS(AR292:AR346,B292:B346,B331-12)+in_two_wheeler_renew^2*SUMIFS(AR292:AR346,B292:B346,B331-24)+in_two_wheeler_renew^3*SUMIFS(AR292:AR346,B292:B346,B331-36)+in_two_wheeler_renew^4*SUMIFS(AR292:AR346,B292:B346,B331-48))</f>
        <v/>
      </c>
      <c r="AT331" s="40">
        <f>AT330*(1-IF(B330&gt;=in_marketplace_from,d_hz_device*G330,0))</f>
        <v/>
      </c>
      <c r="AU331" s="14">
        <f>F331*AT331*IF(B331&gt;=in_marketplace_from,d_hz_device*G331,0)*in_device_ticket*in_device_comm*in_ins_partner_share</f>
        <v/>
      </c>
      <c r="AV331" s="40">
        <f>AV330*(1-IF(B330&gt;=in_marketplace_from,d_hz_shop*G330,0))</f>
        <v/>
      </c>
      <c r="AW331" s="46">
        <f>AV331*IF(B331&gt;=in_marketplace_from,d_hz_shop*G331,0)</f>
        <v/>
      </c>
      <c r="AX331" s="14">
        <f>F331*AW331*in_shop_ticket*in_shop_comm*in_ins_partner_share+F331*in_shop_ticket*in_shop_renew_comm*in_ins_partner_share*(in_shop_renew^1*SUMIFS(AW292:AW346,B292:B346,B331-12)+in_shop_renew^2*SUMIFS(AW292:AW346,B292:B346,B331-24)+in_shop_renew^3*SUMIFS(AW292:AW346,B292:B346,B331-36)+in_shop_renew^4*SUMIFS(AW292:AW346,B292:B346,B331-48))</f>
        <v/>
      </c>
      <c r="AY331" s="40">
        <f>AY330*(1-IF(B330&gt;=in_marketplace_from,d_hz_sip*G330,0))</f>
        <v/>
      </c>
      <c r="AZ331" s="40">
        <f>AZ330*d_rho_sip+AY331*IF(B331&gt;=in_marketplace_from,d_hz_sip*G331,0)</f>
        <v/>
      </c>
      <c r="BA331" s="40">
        <f>d_rho_sip*(BA330+AZ330)</f>
        <v/>
      </c>
      <c r="BB331" s="14">
        <f>F331*in_sip_ticket*(BA331+0.5*AZ331)*in_sip_comm/12</f>
        <v/>
      </c>
      <c r="BC331" s="40">
        <f>BC330*(1-IF(B330&gt;=in_marketplace_from,d_hz_choti*G330,0))</f>
        <v/>
      </c>
      <c r="BD331" s="46">
        <f>BC331*IF(B331&gt;=in_marketplace_from,d_hz_choti*G331,0)</f>
        <v/>
      </c>
      <c r="BE331" s="14">
        <f>F331*SUMIFS(BD292:BD346,B292:B346,B331-in_choti_months)*in_choti_renew*in_choti_ticket</f>
        <v/>
      </c>
      <c r="BF331" s="40">
        <f>BF330*(1-IF(B330&gt;=in_marketplace_from,d_hz_nps*G330,0))</f>
        <v/>
      </c>
      <c r="BG331" s="14">
        <f>F331*BF331*IF(B331&gt;=in_marketplace_from,d_hz_nps*G331,0)*in_nps_ticket*in_nps_comm</f>
        <v/>
      </c>
      <c r="BH331" s="40">
        <f>BH330*(1-IF(B330&gt;=in_marketplace_from,d_hz_gold*G330,0))</f>
        <v/>
      </c>
      <c r="BI331" s="40">
        <f>BI330*d_rho_gold+BH331*IF(B331&gt;=in_marketplace_from,d_hz_gold*G331,0)</f>
        <v/>
      </c>
      <c r="BJ331" s="14">
        <f>F331*BI331*in_gold_ticket*in_gold_comm</f>
        <v/>
      </c>
      <c r="BK331" s="40">
        <f>BK330*(1-IF(B330&gt;=in_marketplace_from,d_hz_fd*G330,0))</f>
        <v/>
      </c>
      <c r="BL331" s="14">
        <f>F331*BK331*IF(B331&gt;=in_marketplace_from,d_hz_fd*G331,0)*in_fd_ticket*in_fd_comm</f>
        <v/>
      </c>
      <c r="BM331" s="40">
        <f>BM330*(1-IF(B330&gt;=in_marketplace_from,d_hz_recharge*G330,0))</f>
        <v/>
      </c>
      <c r="BN331" s="40">
        <f>BN330*d_rho_recharge+BM331*IF(B331&gt;=in_marketplace_from,d_hz_recharge*G331,0)</f>
        <v/>
      </c>
      <c r="BO331" s="14">
        <f>F331*BN331*in_recharge_ticket*in_recharge_comm/12</f>
        <v/>
      </c>
      <c r="BP331" s="40">
        <f>BP330*(1-IF(B330&gt;=in_marketplace_from,d_hz_bills*G330,0))</f>
        <v/>
      </c>
      <c r="BQ331" s="40">
        <f>BQ330*d_rho_bills+BP331*IF(B331&gt;=in_marketplace_from,d_hz_bills*G331,0)</f>
        <v/>
      </c>
      <c r="BR331" s="14">
        <f>F331*BQ331*in_bills_ticket*in_bills_comm/12</f>
        <v/>
      </c>
      <c r="BS331" s="40">
        <f>BS330*(1-IF(B330&gt;=in_marketplace_from,d_hz_loan_gold*G330,0))</f>
        <v/>
      </c>
      <c r="BT331" s="14">
        <f>F331*BS331*IF(B331&gt;=in_marketplace_from,d_hz_loan_gold*G331,0)*in_loan_gold_ticket*in_loan_gold_comm</f>
        <v/>
      </c>
      <c r="BU331" s="40">
        <f>BU330*(1-IF(B330&gt;=in_marketplace_from,d_hz_loan_cd*G330,0))</f>
        <v/>
      </c>
      <c r="BV331" s="14">
        <f>F331*BU331*IF(B331&gt;=in_marketplace_from,d_hz_loan_cd*G331,0)*in_loan_cd_ticket*in_loan_cd_comm</f>
        <v/>
      </c>
      <c r="BW331" s="40">
        <f>BW330*(1-IF(B330&gt;=in_marketplace_from,d_hz_loan_vehicle*G330,0))</f>
        <v/>
      </c>
      <c r="BX331" s="14">
        <f>F331*BW331*IF(B331&gt;=in_marketplace_from,d_hz_loan_vehicle*G331,0)*in_loan_vehicle_ticket*in_loan_vehicle_comm</f>
        <v/>
      </c>
      <c r="BY331" s="40">
        <f>BY330*(1-IF(B330&gt;=in_marketplace_from,d_hz_loan_home*G330,0)*BZ330)</f>
        <v/>
      </c>
      <c r="BZ331" s="11">
        <f>MIN(in_approval_cap,in_loan_home_approval*INDEX('Age profile'!$O$2:$O$61,B331)*(1+in_approval_growth)^(D331-1))</f>
        <v/>
      </c>
      <c r="CA331" s="14">
        <f>F331*BY331*IF(B331&gt;=in_marketplace_from,d_hz_loan_home*G331,0)*BZ331*in_loan_home_ticket*in_loan_home_comm</f>
        <v/>
      </c>
      <c r="CB331" s="40">
        <f>CB330*(1-IF(B330&gt;=in_marketplace_from,d_hz_loan_lap*G330,0)*CC330)</f>
        <v/>
      </c>
      <c r="CC331" s="11">
        <f>MIN(in_approval_cap,in_loan_lap_approval*INDEX('Age profile'!$O$2:$O$61,B331)*(1+in_approval_growth)^(D331-1))</f>
        <v/>
      </c>
      <c r="CD331" s="14">
        <f>F331*CB331*IF(B331&gt;=in_marketplace_from,d_hz_loan_lap*G331,0)*CC331*in_loan_lap_ticket*in_loan_lap_comm</f>
        <v/>
      </c>
      <c r="CE331" s="14">
        <f>AA331+AB331+AC331+AD331+AG331+AJ331+AM331+AP331+AS331+AU331+AX331+BB331+BE331+BG331+BJ331+BL331+BO331+BR331+BT331+BV331+BX331+CA331+CD331</f>
        <v/>
      </c>
    </row>
    <row r="332">
      <c r="A332" s="39" t="n">
        <v>6</v>
      </c>
      <c r="B332" s="39" t="n">
        <v>41</v>
      </c>
      <c r="C332" s="39">
        <f>A332+B332-1</f>
        <v/>
      </c>
      <c r="D332" s="39">
        <f>INT((C332-1)/12)+1</f>
        <v/>
      </c>
      <c r="E332" s="44">
        <f>INDEX(Monthly!$B$2:$B$61,A332)</f>
        <v/>
      </c>
      <c r="F332" s="44">
        <f>E332*INDEX('Age profile'!$B$2:$B$61,B332)</f>
        <v/>
      </c>
      <c r="G332" s="45">
        <f>MIN(in_takeup_cap,INDEX('Age profile'!$N$2:$N$61,B332)*(1+in_takeup_growth)^(D332-1))</f>
        <v/>
      </c>
      <c r="H332" s="11">
        <f>MIN(in_approval_cap,in_approved_first*INDEX('Age profile'!$O$2:$O$61,B332)*(1+in_approval_growth)^(D332-1))</f>
        <v/>
      </c>
      <c r="I332" s="45">
        <f>G332*MIN(in_takeup_cap,INDEX('Age profile'!$O$2:$O$61,B332)*(1+in_approval_growth)^(D332-1))</f>
        <v/>
      </c>
      <c r="J332" s="40">
        <f>(J331-L331)*F332/F331</f>
        <v/>
      </c>
      <c r="K332" s="40">
        <f>(K331-M331)*F332/F331+SUMIFS(O292:O331,B292:B331,B332-1-d_T)*F332</f>
        <v/>
      </c>
      <c r="L332" s="40">
        <f>IF(B332&gt;=in_marketplace_from,J332*d_hz*G332*in_eligible*H332,0)</f>
        <v/>
      </c>
      <c r="M332" s="40">
        <f>IF(B332&gt;=in_marketplace_from,K332*d_hz*G332*in_eligible*in_approved_repeat,0)</f>
        <v/>
      </c>
      <c r="N332" s="40">
        <f>L332+M332</f>
        <v/>
      </c>
      <c r="O332" s="46">
        <f>N332/F332</f>
        <v/>
      </c>
      <c r="P332" s="40">
        <f>F332-J332-K332</f>
        <v/>
      </c>
      <c r="Q332" s="40">
        <f>IF(B332&gt;=in_marketplace_from,(J332+K332)*d_hz*G332,0)</f>
        <v/>
      </c>
      <c r="R332" s="40">
        <f>SUMIFS(N292:N346,B292:B346,"&gt;="&amp;(B332-d_T),B292:B346,"&lt;="&amp;(B332-1))</f>
        <v/>
      </c>
      <c r="S332" s="46">
        <f>(1-d_u)*S331+IF(d_T&gt;in_topup_lag,SUMIFS(O292:O346,B292:B346,B332-in_topup_lag)-d_udrop*SUMIFS(O292:O346,B292:B346,B332-d_T),0)</f>
        <v/>
      </c>
      <c r="T332" s="40">
        <f>F332*d_u*S332</f>
        <v/>
      </c>
      <c r="U332" s="9">
        <f>L332*in_ticket+M332*d_rep_ticket</f>
        <v/>
      </c>
      <c r="V332" s="9">
        <f>U332+T332*d_topup_amt</f>
        <v/>
      </c>
      <c r="W332" s="40">
        <f>N332+T332*d_topup_ratio</f>
        <v/>
      </c>
      <c r="X332" s="40">
        <f>SUMIFS(W292:W346,B292:B346,B332-in_dpd_lag)*d_cured</f>
        <v/>
      </c>
      <c r="Y332" s="40">
        <f>SUMIFS(W292:W346,B292:B346,B332-in_rec_lag)*d_recd</f>
        <v/>
      </c>
      <c r="Z332" s="40">
        <f>IF(AND(B332&gt;=in_marketplace_from,B332&lt;in_marketplace_from+in_card_months),in_card_share/in_card_months*F332*I332,IF(AND(B332&gt;=in_marketplace_from+in_card_months,B332&lt;in_marketplace_from+2*in_card_months),in_card_share*d_card_rem/in_card_months*F332*MIN(in_takeup_cap,(1+in_takeup_growth)^(D332-1))*MIN(in_takeup_cap,(1+in_approval_growth)^(D332-1)),0))</f>
        <v/>
      </c>
      <c r="AA332" s="14">
        <f>V332*in_fee*(1-in_taken_back)</f>
        <v/>
      </c>
      <c r="AB332" s="14">
        <f>SUMIFS(W292:W346,B292:B346,B332-in_dpd_lag)*d_dpd</f>
        <v/>
      </c>
      <c r="AC332" s="14">
        <f>SUMIFS(W292:W346,B292:B346,B332-in_rec_lag)*d_rec</f>
        <v/>
      </c>
      <c r="AD332" s="14">
        <f>Z332*in_card_fee</f>
        <v/>
      </c>
      <c r="AE332" s="40">
        <f>AE331*(1-IF(B331&gt;=in_marketplace_from,d_hz_hlth_small*G331,0))</f>
        <v/>
      </c>
      <c r="AF332" s="46">
        <f>AE332*IF(B332&gt;=in_marketplace_from,d_hz_hlth_small*G332,0)</f>
        <v/>
      </c>
      <c r="AG332" s="14">
        <f>F332*AF332*in_hlth_small_ticket*in_hlth_small_comm*in_ins_partner_share+F332*in_hlth_small_ticket*in_hlth_small_renew_comm*in_ins_partner_share*(in_hlth_small_renew^1*SUMIFS(AF292:AF346,B292:B346,B332-12)+in_hlth_small_renew^2*SUMIFS(AF292:AF346,B292:B346,B332-24)+in_hlth_small_renew^3*SUMIFS(AF292:AF346,B292:B346,B332-36)+in_hlth_small_renew^4*SUMIFS(AF292:AF346,B292:B346,B332-48))</f>
        <v/>
      </c>
      <c r="AH332" s="40">
        <f>AH331*(1-IF(B331&gt;=in_marketplace_from,d_hz_hlth_family*G331,0))</f>
        <v/>
      </c>
      <c r="AI332" s="46">
        <f>AH332*IF(B332&gt;=in_marketplace_from,d_hz_hlth_family*G332,0)</f>
        <v/>
      </c>
      <c r="AJ332" s="14">
        <f>F332*AI332*in_hlth_family_ticket*in_hlth_family_comm*in_ins_partner_share+F332*in_hlth_family_ticket*in_hlth_family_renew_comm*in_ins_partner_share*(in_hlth_family_renew^1*SUMIFS(AI292:AI346,B292:B346,B332-12)+in_hlth_family_renew^2*SUMIFS(AI292:AI346,B292:B346,B332-24)+in_hlth_family_renew^3*SUMIFS(AI292:AI346,B292:B346,B332-36)+in_hlth_family_renew^4*SUMIFS(AI292:AI346,B292:B346,B332-48))</f>
        <v/>
      </c>
      <c r="AK332" s="40">
        <f>AK331*(1-IF(B331&gt;=in_marketplace_from,d_hz_life_term*G331,0))</f>
        <v/>
      </c>
      <c r="AL332" s="46">
        <f>AK332*IF(B332&gt;=in_marketplace_from,d_hz_life_term*G332,0)</f>
        <v/>
      </c>
      <c r="AM332" s="14">
        <f>F332*AL332*in_life_term_ticket*in_life_term_comm*in_ins_partner_share+F332*in_life_term_ticket*in_life_term_renew_comm*in_ins_partner_share*(in_life_term_renew^1*SUMIFS(AL292:AL346,B292:B346,B332-12)+in_life_term_renew^2*SUMIFS(AL292:AL346,B292:B346,B332-24)+in_life_term_renew^3*SUMIFS(AL292:AL346,B292:B346,B332-36)+in_life_term_renew^4*SUMIFS(AL292:AL346,B292:B346,B332-48))</f>
        <v/>
      </c>
      <c r="AN332" s="40">
        <f>AN331*(1-IF(B331&gt;=in_marketplace_from,d_hz_accident*G331,0))</f>
        <v/>
      </c>
      <c r="AO332" s="46">
        <f>AN332*IF(B332&gt;=in_marketplace_from,d_hz_accident*G332,0)</f>
        <v/>
      </c>
      <c r="AP332" s="14">
        <f>F332*AO332*in_accident_ticket*in_accident_comm*in_ins_partner_share+F332*in_accident_ticket*in_accident_renew_comm*in_ins_partner_share*(in_accident_renew^1*SUMIFS(AO292:AO346,B292:B346,B332-12)+in_accident_renew^2*SUMIFS(AO292:AO346,B292:B346,B332-24)+in_accident_renew^3*SUMIFS(AO292:AO346,B292:B346,B332-36)+in_accident_renew^4*SUMIFS(AO292:AO346,B292:B346,B332-48))</f>
        <v/>
      </c>
      <c r="AQ332" s="40">
        <f>AQ331*(1-IF(B331&gt;=in_marketplace_from,d_hz_two_wheeler*G331,0))</f>
        <v/>
      </c>
      <c r="AR332" s="46">
        <f>AQ332*IF(B332&gt;=in_marketplace_from,d_hz_two_wheeler*G332,0)</f>
        <v/>
      </c>
      <c r="AS332" s="14">
        <f>F332*AR332*in_two_wheeler_ticket*in_two_wheeler_comm*in_ins_partner_share+F332*in_two_wheeler_ticket*in_two_wheeler_comm*in_ins_partner_share*(in_two_wheeler_renew^1*SUMIFS(AR292:AR346,B292:B346,B332-12)+in_two_wheeler_renew^2*SUMIFS(AR292:AR346,B292:B346,B332-24)+in_two_wheeler_renew^3*SUMIFS(AR292:AR346,B292:B346,B332-36)+in_two_wheeler_renew^4*SUMIFS(AR292:AR346,B292:B346,B332-48))</f>
        <v/>
      </c>
      <c r="AT332" s="40">
        <f>AT331*(1-IF(B331&gt;=in_marketplace_from,d_hz_device*G331,0))</f>
        <v/>
      </c>
      <c r="AU332" s="14">
        <f>F332*AT332*IF(B332&gt;=in_marketplace_from,d_hz_device*G332,0)*in_device_ticket*in_device_comm*in_ins_partner_share</f>
        <v/>
      </c>
      <c r="AV332" s="40">
        <f>AV331*(1-IF(B331&gt;=in_marketplace_from,d_hz_shop*G331,0))</f>
        <v/>
      </c>
      <c r="AW332" s="46">
        <f>AV332*IF(B332&gt;=in_marketplace_from,d_hz_shop*G332,0)</f>
        <v/>
      </c>
      <c r="AX332" s="14">
        <f>F332*AW332*in_shop_ticket*in_shop_comm*in_ins_partner_share+F332*in_shop_ticket*in_shop_renew_comm*in_ins_partner_share*(in_shop_renew^1*SUMIFS(AW292:AW346,B292:B346,B332-12)+in_shop_renew^2*SUMIFS(AW292:AW346,B292:B346,B332-24)+in_shop_renew^3*SUMIFS(AW292:AW346,B292:B346,B332-36)+in_shop_renew^4*SUMIFS(AW292:AW346,B292:B346,B332-48))</f>
        <v/>
      </c>
      <c r="AY332" s="40">
        <f>AY331*(1-IF(B331&gt;=in_marketplace_from,d_hz_sip*G331,0))</f>
        <v/>
      </c>
      <c r="AZ332" s="40">
        <f>AZ331*d_rho_sip+AY332*IF(B332&gt;=in_marketplace_from,d_hz_sip*G332,0)</f>
        <v/>
      </c>
      <c r="BA332" s="40">
        <f>d_rho_sip*(BA331+AZ331)</f>
        <v/>
      </c>
      <c r="BB332" s="14">
        <f>F332*in_sip_ticket*(BA332+0.5*AZ332)*in_sip_comm/12</f>
        <v/>
      </c>
      <c r="BC332" s="40">
        <f>BC331*(1-IF(B331&gt;=in_marketplace_from,d_hz_choti*G331,0))</f>
        <v/>
      </c>
      <c r="BD332" s="46">
        <f>BC332*IF(B332&gt;=in_marketplace_from,d_hz_choti*G332,0)</f>
        <v/>
      </c>
      <c r="BE332" s="14">
        <f>F332*SUMIFS(BD292:BD346,B292:B346,B332-in_choti_months)*in_choti_renew*in_choti_ticket</f>
        <v/>
      </c>
      <c r="BF332" s="40">
        <f>BF331*(1-IF(B331&gt;=in_marketplace_from,d_hz_nps*G331,0))</f>
        <v/>
      </c>
      <c r="BG332" s="14">
        <f>F332*BF332*IF(B332&gt;=in_marketplace_from,d_hz_nps*G332,0)*in_nps_ticket*in_nps_comm</f>
        <v/>
      </c>
      <c r="BH332" s="40">
        <f>BH331*(1-IF(B331&gt;=in_marketplace_from,d_hz_gold*G331,0))</f>
        <v/>
      </c>
      <c r="BI332" s="40">
        <f>BI331*d_rho_gold+BH332*IF(B332&gt;=in_marketplace_from,d_hz_gold*G332,0)</f>
        <v/>
      </c>
      <c r="BJ332" s="14">
        <f>F332*BI332*in_gold_ticket*in_gold_comm</f>
        <v/>
      </c>
      <c r="BK332" s="40">
        <f>BK331*(1-IF(B331&gt;=in_marketplace_from,d_hz_fd*G331,0))</f>
        <v/>
      </c>
      <c r="BL332" s="14">
        <f>F332*BK332*IF(B332&gt;=in_marketplace_from,d_hz_fd*G332,0)*in_fd_ticket*in_fd_comm</f>
        <v/>
      </c>
      <c r="BM332" s="40">
        <f>BM331*(1-IF(B331&gt;=in_marketplace_from,d_hz_recharge*G331,0))</f>
        <v/>
      </c>
      <c r="BN332" s="40">
        <f>BN331*d_rho_recharge+BM332*IF(B332&gt;=in_marketplace_from,d_hz_recharge*G332,0)</f>
        <v/>
      </c>
      <c r="BO332" s="14">
        <f>F332*BN332*in_recharge_ticket*in_recharge_comm/12</f>
        <v/>
      </c>
      <c r="BP332" s="40">
        <f>BP331*(1-IF(B331&gt;=in_marketplace_from,d_hz_bills*G331,0))</f>
        <v/>
      </c>
      <c r="BQ332" s="40">
        <f>BQ331*d_rho_bills+BP332*IF(B332&gt;=in_marketplace_from,d_hz_bills*G332,0)</f>
        <v/>
      </c>
      <c r="BR332" s="14">
        <f>F332*BQ332*in_bills_ticket*in_bills_comm/12</f>
        <v/>
      </c>
      <c r="BS332" s="40">
        <f>BS331*(1-IF(B331&gt;=in_marketplace_from,d_hz_loan_gold*G331,0))</f>
        <v/>
      </c>
      <c r="BT332" s="14">
        <f>F332*BS332*IF(B332&gt;=in_marketplace_from,d_hz_loan_gold*G332,0)*in_loan_gold_ticket*in_loan_gold_comm</f>
        <v/>
      </c>
      <c r="BU332" s="40">
        <f>BU331*(1-IF(B331&gt;=in_marketplace_from,d_hz_loan_cd*G331,0))</f>
        <v/>
      </c>
      <c r="BV332" s="14">
        <f>F332*BU332*IF(B332&gt;=in_marketplace_from,d_hz_loan_cd*G332,0)*in_loan_cd_ticket*in_loan_cd_comm</f>
        <v/>
      </c>
      <c r="BW332" s="40">
        <f>BW331*(1-IF(B331&gt;=in_marketplace_from,d_hz_loan_vehicle*G331,0))</f>
        <v/>
      </c>
      <c r="BX332" s="14">
        <f>F332*BW332*IF(B332&gt;=in_marketplace_from,d_hz_loan_vehicle*G332,0)*in_loan_vehicle_ticket*in_loan_vehicle_comm</f>
        <v/>
      </c>
      <c r="BY332" s="40">
        <f>BY331*(1-IF(B331&gt;=in_marketplace_from,d_hz_loan_home*G331,0)*BZ331)</f>
        <v/>
      </c>
      <c r="BZ332" s="11">
        <f>MIN(in_approval_cap,in_loan_home_approval*INDEX('Age profile'!$O$2:$O$61,B332)*(1+in_approval_growth)^(D332-1))</f>
        <v/>
      </c>
      <c r="CA332" s="14">
        <f>F332*BY332*IF(B332&gt;=in_marketplace_from,d_hz_loan_home*G332,0)*BZ332*in_loan_home_ticket*in_loan_home_comm</f>
        <v/>
      </c>
      <c r="CB332" s="40">
        <f>CB331*(1-IF(B331&gt;=in_marketplace_from,d_hz_loan_lap*G331,0)*CC331)</f>
        <v/>
      </c>
      <c r="CC332" s="11">
        <f>MIN(in_approval_cap,in_loan_lap_approval*INDEX('Age profile'!$O$2:$O$61,B332)*(1+in_approval_growth)^(D332-1))</f>
        <v/>
      </c>
      <c r="CD332" s="14">
        <f>F332*CB332*IF(B332&gt;=in_marketplace_from,d_hz_loan_lap*G332,0)*CC332*in_loan_lap_ticket*in_loan_lap_comm</f>
        <v/>
      </c>
      <c r="CE332" s="14">
        <f>AA332+AB332+AC332+AD332+AG332+AJ332+AM332+AP332+AS332+AU332+AX332+BB332+BE332+BG332+BJ332+BL332+BO332+BR332+BT332+BV332+BX332+CA332+CD332</f>
        <v/>
      </c>
    </row>
    <row r="333">
      <c r="A333" s="39" t="n">
        <v>6</v>
      </c>
      <c r="B333" s="39" t="n">
        <v>42</v>
      </c>
      <c r="C333" s="39">
        <f>A333+B333-1</f>
        <v/>
      </c>
      <c r="D333" s="39">
        <f>INT((C333-1)/12)+1</f>
        <v/>
      </c>
      <c r="E333" s="44">
        <f>INDEX(Monthly!$B$2:$B$61,A333)</f>
        <v/>
      </c>
      <c r="F333" s="44">
        <f>E333*INDEX('Age profile'!$B$2:$B$61,B333)</f>
        <v/>
      </c>
      <c r="G333" s="45">
        <f>MIN(in_takeup_cap,INDEX('Age profile'!$N$2:$N$61,B333)*(1+in_takeup_growth)^(D333-1))</f>
        <v/>
      </c>
      <c r="H333" s="11">
        <f>MIN(in_approval_cap,in_approved_first*INDEX('Age profile'!$O$2:$O$61,B333)*(1+in_approval_growth)^(D333-1))</f>
        <v/>
      </c>
      <c r="I333" s="45">
        <f>G333*MIN(in_takeup_cap,INDEX('Age profile'!$O$2:$O$61,B333)*(1+in_approval_growth)^(D333-1))</f>
        <v/>
      </c>
      <c r="J333" s="40">
        <f>(J332-L332)*F333/F332</f>
        <v/>
      </c>
      <c r="K333" s="40">
        <f>(K332-M332)*F333/F332+SUMIFS(O292:O332,B292:B332,B333-1-d_T)*F333</f>
        <v/>
      </c>
      <c r="L333" s="40">
        <f>IF(B333&gt;=in_marketplace_from,J333*d_hz*G333*in_eligible*H333,0)</f>
        <v/>
      </c>
      <c r="M333" s="40">
        <f>IF(B333&gt;=in_marketplace_from,K333*d_hz*G333*in_eligible*in_approved_repeat,0)</f>
        <v/>
      </c>
      <c r="N333" s="40">
        <f>L333+M333</f>
        <v/>
      </c>
      <c r="O333" s="46">
        <f>N333/F333</f>
        <v/>
      </c>
      <c r="P333" s="40">
        <f>F333-J333-K333</f>
        <v/>
      </c>
      <c r="Q333" s="40">
        <f>IF(B333&gt;=in_marketplace_from,(J333+K333)*d_hz*G333,0)</f>
        <v/>
      </c>
      <c r="R333" s="40">
        <f>SUMIFS(N292:N346,B292:B346,"&gt;="&amp;(B333-d_T),B292:B346,"&lt;="&amp;(B333-1))</f>
        <v/>
      </c>
      <c r="S333" s="46">
        <f>(1-d_u)*S332+IF(d_T&gt;in_topup_lag,SUMIFS(O292:O346,B292:B346,B333-in_topup_lag)-d_udrop*SUMIFS(O292:O346,B292:B346,B333-d_T),0)</f>
        <v/>
      </c>
      <c r="T333" s="40">
        <f>F333*d_u*S333</f>
        <v/>
      </c>
      <c r="U333" s="9">
        <f>L333*in_ticket+M333*d_rep_ticket</f>
        <v/>
      </c>
      <c r="V333" s="9">
        <f>U333+T333*d_topup_amt</f>
        <v/>
      </c>
      <c r="W333" s="40">
        <f>N333+T333*d_topup_ratio</f>
        <v/>
      </c>
      <c r="X333" s="40">
        <f>SUMIFS(W292:W346,B292:B346,B333-in_dpd_lag)*d_cured</f>
        <v/>
      </c>
      <c r="Y333" s="40">
        <f>SUMIFS(W292:W346,B292:B346,B333-in_rec_lag)*d_recd</f>
        <v/>
      </c>
      <c r="Z333" s="40">
        <f>IF(AND(B333&gt;=in_marketplace_from,B333&lt;in_marketplace_from+in_card_months),in_card_share/in_card_months*F333*I333,IF(AND(B333&gt;=in_marketplace_from+in_card_months,B333&lt;in_marketplace_from+2*in_card_months),in_card_share*d_card_rem/in_card_months*F333*MIN(in_takeup_cap,(1+in_takeup_growth)^(D333-1))*MIN(in_takeup_cap,(1+in_approval_growth)^(D333-1)),0))</f>
        <v/>
      </c>
      <c r="AA333" s="14">
        <f>V333*in_fee*(1-in_taken_back)</f>
        <v/>
      </c>
      <c r="AB333" s="14">
        <f>SUMIFS(W292:W346,B292:B346,B333-in_dpd_lag)*d_dpd</f>
        <v/>
      </c>
      <c r="AC333" s="14">
        <f>SUMIFS(W292:W346,B292:B346,B333-in_rec_lag)*d_rec</f>
        <v/>
      </c>
      <c r="AD333" s="14">
        <f>Z333*in_card_fee</f>
        <v/>
      </c>
      <c r="AE333" s="40">
        <f>AE332*(1-IF(B332&gt;=in_marketplace_from,d_hz_hlth_small*G332,0))</f>
        <v/>
      </c>
      <c r="AF333" s="46">
        <f>AE333*IF(B333&gt;=in_marketplace_from,d_hz_hlth_small*G333,0)</f>
        <v/>
      </c>
      <c r="AG333" s="14">
        <f>F333*AF333*in_hlth_small_ticket*in_hlth_small_comm*in_ins_partner_share+F333*in_hlth_small_ticket*in_hlth_small_renew_comm*in_ins_partner_share*(in_hlth_small_renew^1*SUMIFS(AF292:AF346,B292:B346,B333-12)+in_hlth_small_renew^2*SUMIFS(AF292:AF346,B292:B346,B333-24)+in_hlth_small_renew^3*SUMIFS(AF292:AF346,B292:B346,B333-36)+in_hlth_small_renew^4*SUMIFS(AF292:AF346,B292:B346,B333-48))</f>
        <v/>
      </c>
      <c r="AH333" s="40">
        <f>AH332*(1-IF(B332&gt;=in_marketplace_from,d_hz_hlth_family*G332,0))</f>
        <v/>
      </c>
      <c r="AI333" s="46">
        <f>AH333*IF(B333&gt;=in_marketplace_from,d_hz_hlth_family*G333,0)</f>
        <v/>
      </c>
      <c r="AJ333" s="14">
        <f>F333*AI333*in_hlth_family_ticket*in_hlth_family_comm*in_ins_partner_share+F333*in_hlth_family_ticket*in_hlth_family_renew_comm*in_ins_partner_share*(in_hlth_family_renew^1*SUMIFS(AI292:AI346,B292:B346,B333-12)+in_hlth_family_renew^2*SUMIFS(AI292:AI346,B292:B346,B333-24)+in_hlth_family_renew^3*SUMIFS(AI292:AI346,B292:B346,B333-36)+in_hlth_family_renew^4*SUMIFS(AI292:AI346,B292:B346,B333-48))</f>
        <v/>
      </c>
      <c r="AK333" s="40">
        <f>AK332*(1-IF(B332&gt;=in_marketplace_from,d_hz_life_term*G332,0))</f>
        <v/>
      </c>
      <c r="AL333" s="46">
        <f>AK333*IF(B333&gt;=in_marketplace_from,d_hz_life_term*G333,0)</f>
        <v/>
      </c>
      <c r="AM333" s="14">
        <f>F333*AL333*in_life_term_ticket*in_life_term_comm*in_ins_partner_share+F333*in_life_term_ticket*in_life_term_renew_comm*in_ins_partner_share*(in_life_term_renew^1*SUMIFS(AL292:AL346,B292:B346,B333-12)+in_life_term_renew^2*SUMIFS(AL292:AL346,B292:B346,B333-24)+in_life_term_renew^3*SUMIFS(AL292:AL346,B292:B346,B333-36)+in_life_term_renew^4*SUMIFS(AL292:AL346,B292:B346,B333-48))</f>
        <v/>
      </c>
      <c r="AN333" s="40">
        <f>AN332*(1-IF(B332&gt;=in_marketplace_from,d_hz_accident*G332,0))</f>
        <v/>
      </c>
      <c r="AO333" s="46">
        <f>AN333*IF(B333&gt;=in_marketplace_from,d_hz_accident*G333,0)</f>
        <v/>
      </c>
      <c r="AP333" s="14">
        <f>F333*AO333*in_accident_ticket*in_accident_comm*in_ins_partner_share+F333*in_accident_ticket*in_accident_renew_comm*in_ins_partner_share*(in_accident_renew^1*SUMIFS(AO292:AO346,B292:B346,B333-12)+in_accident_renew^2*SUMIFS(AO292:AO346,B292:B346,B333-24)+in_accident_renew^3*SUMIFS(AO292:AO346,B292:B346,B333-36)+in_accident_renew^4*SUMIFS(AO292:AO346,B292:B346,B333-48))</f>
        <v/>
      </c>
      <c r="AQ333" s="40">
        <f>AQ332*(1-IF(B332&gt;=in_marketplace_from,d_hz_two_wheeler*G332,0))</f>
        <v/>
      </c>
      <c r="AR333" s="46">
        <f>AQ333*IF(B333&gt;=in_marketplace_from,d_hz_two_wheeler*G333,0)</f>
        <v/>
      </c>
      <c r="AS333" s="14">
        <f>F333*AR333*in_two_wheeler_ticket*in_two_wheeler_comm*in_ins_partner_share+F333*in_two_wheeler_ticket*in_two_wheeler_comm*in_ins_partner_share*(in_two_wheeler_renew^1*SUMIFS(AR292:AR346,B292:B346,B333-12)+in_two_wheeler_renew^2*SUMIFS(AR292:AR346,B292:B346,B333-24)+in_two_wheeler_renew^3*SUMIFS(AR292:AR346,B292:B346,B333-36)+in_two_wheeler_renew^4*SUMIFS(AR292:AR346,B292:B346,B333-48))</f>
        <v/>
      </c>
      <c r="AT333" s="40">
        <f>AT332*(1-IF(B332&gt;=in_marketplace_from,d_hz_device*G332,0))</f>
        <v/>
      </c>
      <c r="AU333" s="14">
        <f>F333*AT333*IF(B333&gt;=in_marketplace_from,d_hz_device*G333,0)*in_device_ticket*in_device_comm*in_ins_partner_share</f>
        <v/>
      </c>
      <c r="AV333" s="40">
        <f>AV332*(1-IF(B332&gt;=in_marketplace_from,d_hz_shop*G332,0))</f>
        <v/>
      </c>
      <c r="AW333" s="46">
        <f>AV333*IF(B333&gt;=in_marketplace_from,d_hz_shop*G333,0)</f>
        <v/>
      </c>
      <c r="AX333" s="14">
        <f>F333*AW333*in_shop_ticket*in_shop_comm*in_ins_partner_share+F333*in_shop_ticket*in_shop_renew_comm*in_ins_partner_share*(in_shop_renew^1*SUMIFS(AW292:AW346,B292:B346,B333-12)+in_shop_renew^2*SUMIFS(AW292:AW346,B292:B346,B333-24)+in_shop_renew^3*SUMIFS(AW292:AW346,B292:B346,B333-36)+in_shop_renew^4*SUMIFS(AW292:AW346,B292:B346,B333-48))</f>
        <v/>
      </c>
      <c r="AY333" s="40">
        <f>AY332*(1-IF(B332&gt;=in_marketplace_from,d_hz_sip*G332,0))</f>
        <v/>
      </c>
      <c r="AZ333" s="40">
        <f>AZ332*d_rho_sip+AY333*IF(B333&gt;=in_marketplace_from,d_hz_sip*G333,0)</f>
        <v/>
      </c>
      <c r="BA333" s="40">
        <f>d_rho_sip*(BA332+AZ332)</f>
        <v/>
      </c>
      <c r="BB333" s="14">
        <f>F333*in_sip_ticket*(BA333+0.5*AZ333)*in_sip_comm/12</f>
        <v/>
      </c>
      <c r="BC333" s="40">
        <f>BC332*(1-IF(B332&gt;=in_marketplace_from,d_hz_choti*G332,0))</f>
        <v/>
      </c>
      <c r="BD333" s="46">
        <f>BC333*IF(B333&gt;=in_marketplace_from,d_hz_choti*G333,0)</f>
        <v/>
      </c>
      <c r="BE333" s="14">
        <f>F333*SUMIFS(BD292:BD346,B292:B346,B333-in_choti_months)*in_choti_renew*in_choti_ticket</f>
        <v/>
      </c>
      <c r="BF333" s="40">
        <f>BF332*(1-IF(B332&gt;=in_marketplace_from,d_hz_nps*G332,0))</f>
        <v/>
      </c>
      <c r="BG333" s="14">
        <f>F333*BF333*IF(B333&gt;=in_marketplace_from,d_hz_nps*G333,0)*in_nps_ticket*in_nps_comm</f>
        <v/>
      </c>
      <c r="BH333" s="40">
        <f>BH332*(1-IF(B332&gt;=in_marketplace_from,d_hz_gold*G332,0))</f>
        <v/>
      </c>
      <c r="BI333" s="40">
        <f>BI332*d_rho_gold+BH333*IF(B333&gt;=in_marketplace_from,d_hz_gold*G333,0)</f>
        <v/>
      </c>
      <c r="BJ333" s="14">
        <f>F333*BI333*in_gold_ticket*in_gold_comm</f>
        <v/>
      </c>
      <c r="BK333" s="40">
        <f>BK332*(1-IF(B332&gt;=in_marketplace_from,d_hz_fd*G332,0))</f>
        <v/>
      </c>
      <c r="BL333" s="14">
        <f>F333*BK333*IF(B333&gt;=in_marketplace_from,d_hz_fd*G333,0)*in_fd_ticket*in_fd_comm</f>
        <v/>
      </c>
      <c r="BM333" s="40">
        <f>BM332*(1-IF(B332&gt;=in_marketplace_from,d_hz_recharge*G332,0))</f>
        <v/>
      </c>
      <c r="BN333" s="40">
        <f>BN332*d_rho_recharge+BM333*IF(B333&gt;=in_marketplace_from,d_hz_recharge*G333,0)</f>
        <v/>
      </c>
      <c r="BO333" s="14">
        <f>F333*BN333*in_recharge_ticket*in_recharge_comm/12</f>
        <v/>
      </c>
      <c r="BP333" s="40">
        <f>BP332*(1-IF(B332&gt;=in_marketplace_from,d_hz_bills*G332,0))</f>
        <v/>
      </c>
      <c r="BQ333" s="40">
        <f>BQ332*d_rho_bills+BP333*IF(B333&gt;=in_marketplace_from,d_hz_bills*G333,0)</f>
        <v/>
      </c>
      <c r="BR333" s="14">
        <f>F333*BQ333*in_bills_ticket*in_bills_comm/12</f>
        <v/>
      </c>
      <c r="BS333" s="40">
        <f>BS332*(1-IF(B332&gt;=in_marketplace_from,d_hz_loan_gold*G332,0))</f>
        <v/>
      </c>
      <c r="BT333" s="14">
        <f>F333*BS333*IF(B333&gt;=in_marketplace_from,d_hz_loan_gold*G333,0)*in_loan_gold_ticket*in_loan_gold_comm</f>
        <v/>
      </c>
      <c r="BU333" s="40">
        <f>BU332*(1-IF(B332&gt;=in_marketplace_from,d_hz_loan_cd*G332,0))</f>
        <v/>
      </c>
      <c r="BV333" s="14">
        <f>F333*BU333*IF(B333&gt;=in_marketplace_from,d_hz_loan_cd*G333,0)*in_loan_cd_ticket*in_loan_cd_comm</f>
        <v/>
      </c>
      <c r="BW333" s="40">
        <f>BW332*(1-IF(B332&gt;=in_marketplace_from,d_hz_loan_vehicle*G332,0))</f>
        <v/>
      </c>
      <c r="BX333" s="14">
        <f>F333*BW333*IF(B333&gt;=in_marketplace_from,d_hz_loan_vehicle*G333,0)*in_loan_vehicle_ticket*in_loan_vehicle_comm</f>
        <v/>
      </c>
      <c r="BY333" s="40">
        <f>BY332*(1-IF(B332&gt;=in_marketplace_from,d_hz_loan_home*G332,0)*BZ332)</f>
        <v/>
      </c>
      <c r="BZ333" s="11">
        <f>MIN(in_approval_cap,in_loan_home_approval*INDEX('Age profile'!$O$2:$O$61,B333)*(1+in_approval_growth)^(D333-1))</f>
        <v/>
      </c>
      <c r="CA333" s="14">
        <f>F333*BY333*IF(B333&gt;=in_marketplace_from,d_hz_loan_home*G333,0)*BZ333*in_loan_home_ticket*in_loan_home_comm</f>
        <v/>
      </c>
      <c r="CB333" s="40">
        <f>CB332*(1-IF(B332&gt;=in_marketplace_from,d_hz_loan_lap*G332,0)*CC332)</f>
        <v/>
      </c>
      <c r="CC333" s="11">
        <f>MIN(in_approval_cap,in_loan_lap_approval*INDEX('Age profile'!$O$2:$O$61,B333)*(1+in_approval_growth)^(D333-1))</f>
        <v/>
      </c>
      <c r="CD333" s="14">
        <f>F333*CB333*IF(B333&gt;=in_marketplace_from,d_hz_loan_lap*G333,0)*CC333*in_loan_lap_ticket*in_loan_lap_comm</f>
        <v/>
      </c>
      <c r="CE333" s="14">
        <f>AA333+AB333+AC333+AD333+AG333+AJ333+AM333+AP333+AS333+AU333+AX333+BB333+BE333+BG333+BJ333+BL333+BO333+BR333+BT333+BV333+BX333+CA333+CD333</f>
        <v/>
      </c>
    </row>
    <row r="334">
      <c r="A334" s="39" t="n">
        <v>6</v>
      </c>
      <c r="B334" s="39" t="n">
        <v>43</v>
      </c>
      <c r="C334" s="39">
        <f>A334+B334-1</f>
        <v/>
      </c>
      <c r="D334" s="39">
        <f>INT((C334-1)/12)+1</f>
        <v/>
      </c>
      <c r="E334" s="44">
        <f>INDEX(Monthly!$B$2:$B$61,A334)</f>
        <v/>
      </c>
      <c r="F334" s="44">
        <f>E334*INDEX('Age profile'!$B$2:$B$61,B334)</f>
        <v/>
      </c>
      <c r="G334" s="45">
        <f>MIN(in_takeup_cap,INDEX('Age profile'!$N$2:$N$61,B334)*(1+in_takeup_growth)^(D334-1))</f>
        <v/>
      </c>
      <c r="H334" s="11">
        <f>MIN(in_approval_cap,in_approved_first*INDEX('Age profile'!$O$2:$O$61,B334)*(1+in_approval_growth)^(D334-1))</f>
        <v/>
      </c>
      <c r="I334" s="45">
        <f>G334*MIN(in_takeup_cap,INDEX('Age profile'!$O$2:$O$61,B334)*(1+in_approval_growth)^(D334-1))</f>
        <v/>
      </c>
      <c r="J334" s="40">
        <f>(J333-L333)*F334/F333</f>
        <v/>
      </c>
      <c r="K334" s="40">
        <f>(K333-M333)*F334/F333+SUMIFS(O292:O333,B292:B333,B334-1-d_T)*F334</f>
        <v/>
      </c>
      <c r="L334" s="40">
        <f>IF(B334&gt;=in_marketplace_from,J334*d_hz*G334*in_eligible*H334,0)</f>
        <v/>
      </c>
      <c r="M334" s="40">
        <f>IF(B334&gt;=in_marketplace_from,K334*d_hz*G334*in_eligible*in_approved_repeat,0)</f>
        <v/>
      </c>
      <c r="N334" s="40">
        <f>L334+M334</f>
        <v/>
      </c>
      <c r="O334" s="46">
        <f>N334/F334</f>
        <v/>
      </c>
      <c r="P334" s="40">
        <f>F334-J334-K334</f>
        <v/>
      </c>
      <c r="Q334" s="40">
        <f>IF(B334&gt;=in_marketplace_from,(J334+K334)*d_hz*G334,0)</f>
        <v/>
      </c>
      <c r="R334" s="40">
        <f>SUMIFS(N292:N346,B292:B346,"&gt;="&amp;(B334-d_T),B292:B346,"&lt;="&amp;(B334-1))</f>
        <v/>
      </c>
      <c r="S334" s="46">
        <f>(1-d_u)*S333+IF(d_T&gt;in_topup_lag,SUMIFS(O292:O346,B292:B346,B334-in_topup_lag)-d_udrop*SUMIFS(O292:O346,B292:B346,B334-d_T),0)</f>
        <v/>
      </c>
      <c r="T334" s="40">
        <f>F334*d_u*S334</f>
        <v/>
      </c>
      <c r="U334" s="9">
        <f>L334*in_ticket+M334*d_rep_ticket</f>
        <v/>
      </c>
      <c r="V334" s="9">
        <f>U334+T334*d_topup_amt</f>
        <v/>
      </c>
      <c r="W334" s="40">
        <f>N334+T334*d_topup_ratio</f>
        <v/>
      </c>
      <c r="X334" s="40">
        <f>SUMIFS(W292:W346,B292:B346,B334-in_dpd_lag)*d_cured</f>
        <v/>
      </c>
      <c r="Y334" s="40">
        <f>SUMIFS(W292:W346,B292:B346,B334-in_rec_lag)*d_recd</f>
        <v/>
      </c>
      <c r="Z334" s="40">
        <f>IF(AND(B334&gt;=in_marketplace_from,B334&lt;in_marketplace_from+in_card_months),in_card_share/in_card_months*F334*I334,IF(AND(B334&gt;=in_marketplace_from+in_card_months,B334&lt;in_marketplace_from+2*in_card_months),in_card_share*d_card_rem/in_card_months*F334*MIN(in_takeup_cap,(1+in_takeup_growth)^(D334-1))*MIN(in_takeup_cap,(1+in_approval_growth)^(D334-1)),0))</f>
        <v/>
      </c>
      <c r="AA334" s="14">
        <f>V334*in_fee*(1-in_taken_back)</f>
        <v/>
      </c>
      <c r="AB334" s="14">
        <f>SUMIFS(W292:W346,B292:B346,B334-in_dpd_lag)*d_dpd</f>
        <v/>
      </c>
      <c r="AC334" s="14">
        <f>SUMIFS(W292:W346,B292:B346,B334-in_rec_lag)*d_rec</f>
        <v/>
      </c>
      <c r="AD334" s="14">
        <f>Z334*in_card_fee</f>
        <v/>
      </c>
      <c r="AE334" s="40">
        <f>AE333*(1-IF(B333&gt;=in_marketplace_from,d_hz_hlth_small*G333,0))</f>
        <v/>
      </c>
      <c r="AF334" s="46">
        <f>AE334*IF(B334&gt;=in_marketplace_from,d_hz_hlth_small*G334,0)</f>
        <v/>
      </c>
      <c r="AG334" s="14">
        <f>F334*AF334*in_hlth_small_ticket*in_hlth_small_comm*in_ins_partner_share+F334*in_hlth_small_ticket*in_hlth_small_renew_comm*in_ins_partner_share*(in_hlth_small_renew^1*SUMIFS(AF292:AF346,B292:B346,B334-12)+in_hlth_small_renew^2*SUMIFS(AF292:AF346,B292:B346,B334-24)+in_hlth_small_renew^3*SUMIFS(AF292:AF346,B292:B346,B334-36)+in_hlth_small_renew^4*SUMIFS(AF292:AF346,B292:B346,B334-48))</f>
        <v/>
      </c>
      <c r="AH334" s="40">
        <f>AH333*(1-IF(B333&gt;=in_marketplace_from,d_hz_hlth_family*G333,0))</f>
        <v/>
      </c>
      <c r="AI334" s="46">
        <f>AH334*IF(B334&gt;=in_marketplace_from,d_hz_hlth_family*G334,0)</f>
        <v/>
      </c>
      <c r="AJ334" s="14">
        <f>F334*AI334*in_hlth_family_ticket*in_hlth_family_comm*in_ins_partner_share+F334*in_hlth_family_ticket*in_hlth_family_renew_comm*in_ins_partner_share*(in_hlth_family_renew^1*SUMIFS(AI292:AI346,B292:B346,B334-12)+in_hlth_family_renew^2*SUMIFS(AI292:AI346,B292:B346,B334-24)+in_hlth_family_renew^3*SUMIFS(AI292:AI346,B292:B346,B334-36)+in_hlth_family_renew^4*SUMIFS(AI292:AI346,B292:B346,B334-48))</f>
        <v/>
      </c>
      <c r="AK334" s="40">
        <f>AK333*(1-IF(B333&gt;=in_marketplace_from,d_hz_life_term*G333,0))</f>
        <v/>
      </c>
      <c r="AL334" s="46">
        <f>AK334*IF(B334&gt;=in_marketplace_from,d_hz_life_term*G334,0)</f>
        <v/>
      </c>
      <c r="AM334" s="14">
        <f>F334*AL334*in_life_term_ticket*in_life_term_comm*in_ins_partner_share+F334*in_life_term_ticket*in_life_term_renew_comm*in_ins_partner_share*(in_life_term_renew^1*SUMIFS(AL292:AL346,B292:B346,B334-12)+in_life_term_renew^2*SUMIFS(AL292:AL346,B292:B346,B334-24)+in_life_term_renew^3*SUMIFS(AL292:AL346,B292:B346,B334-36)+in_life_term_renew^4*SUMIFS(AL292:AL346,B292:B346,B334-48))</f>
        <v/>
      </c>
      <c r="AN334" s="40">
        <f>AN333*(1-IF(B333&gt;=in_marketplace_from,d_hz_accident*G333,0))</f>
        <v/>
      </c>
      <c r="AO334" s="46">
        <f>AN334*IF(B334&gt;=in_marketplace_from,d_hz_accident*G334,0)</f>
        <v/>
      </c>
      <c r="AP334" s="14">
        <f>F334*AO334*in_accident_ticket*in_accident_comm*in_ins_partner_share+F334*in_accident_ticket*in_accident_renew_comm*in_ins_partner_share*(in_accident_renew^1*SUMIFS(AO292:AO346,B292:B346,B334-12)+in_accident_renew^2*SUMIFS(AO292:AO346,B292:B346,B334-24)+in_accident_renew^3*SUMIFS(AO292:AO346,B292:B346,B334-36)+in_accident_renew^4*SUMIFS(AO292:AO346,B292:B346,B334-48))</f>
        <v/>
      </c>
      <c r="AQ334" s="40">
        <f>AQ333*(1-IF(B333&gt;=in_marketplace_from,d_hz_two_wheeler*G333,0))</f>
        <v/>
      </c>
      <c r="AR334" s="46">
        <f>AQ334*IF(B334&gt;=in_marketplace_from,d_hz_two_wheeler*G334,0)</f>
        <v/>
      </c>
      <c r="AS334" s="14">
        <f>F334*AR334*in_two_wheeler_ticket*in_two_wheeler_comm*in_ins_partner_share+F334*in_two_wheeler_ticket*in_two_wheeler_comm*in_ins_partner_share*(in_two_wheeler_renew^1*SUMIFS(AR292:AR346,B292:B346,B334-12)+in_two_wheeler_renew^2*SUMIFS(AR292:AR346,B292:B346,B334-24)+in_two_wheeler_renew^3*SUMIFS(AR292:AR346,B292:B346,B334-36)+in_two_wheeler_renew^4*SUMIFS(AR292:AR346,B292:B346,B334-48))</f>
        <v/>
      </c>
      <c r="AT334" s="40">
        <f>AT333*(1-IF(B333&gt;=in_marketplace_from,d_hz_device*G333,0))</f>
        <v/>
      </c>
      <c r="AU334" s="14">
        <f>F334*AT334*IF(B334&gt;=in_marketplace_from,d_hz_device*G334,0)*in_device_ticket*in_device_comm*in_ins_partner_share</f>
        <v/>
      </c>
      <c r="AV334" s="40">
        <f>AV333*(1-IF(B333&gt;=in_marketplace_from,d_hz_shop*G333,0))</f>
        <v/>
      </c>
      <c r="AW334" s="46">
        <f>AV334*IF(B334&gt;=in_marketplace_from,d_hz_shop*G334,0)</f>
        <v/>
      </c>
      <c r="AX334" s="14">
        <f>F334*AW334*in_shop_ticket*in_shop_comm*in_ins_partner_share+F334*in_shop_ticket*in_shop_renew_comm*in_ins_partner_share*(in_shop_renew^1*SUMIFS(AW292:AW346,B292:B346,B334-12)+in_shop_renew^2*SUMIFS(AW292:AW346,B292:B346,B334-24)+in_shop_renew^3*SUMIFS(AW292:AW346,B292:B346,B334-36)+in_shop_renew^4*SUMIFS(AW292:AW346,B292:B346,B334-48))</f>
        <v/>
      </c>
      <c r="AY334" s="40">
        <f>AY333*(1-IF(B333&gt;=in_marketplace_from,d_hz_sip*G333,0))</f>
        <v/>
      </c>
      <c r="AZ334" s="40">
        <f>AZ333*d_rho_sip+AY334*IF(B334&gt;=in_marketplace_from,d_hz_sip*G334,0)</f>
        <v/>
      </c>
      <c r="BA334" s="40">
        <f>d_rho_sip*(BA333+AZ333)</f>
        <v/>
      </c>
      <c r="BB334" s="14">
        <f>F334*in_sip_ticket*(BA334+0.5*AZ334)*in_sip_comm/12</f>
        <v/>
      </c>
      <c r="BC334" s="40">
        <f>BC333*(1-IF(B333&gt;=in_marketplace_from,d_hz_choti*G333,0))</f>
        <v/>
      </c>
      <c r="BD334" s="46">
        <f>BC334*IF(B334&gt;=in_marketplace_from,d_hz_choti*G334,0)</f>
        <v/>
      </c>
      <c r="BE334" s="14">
        <f>F334*SUMIFS(BD292:BD346,B292:B346,B334-in_choti_months)*in_choti_renew*in_choti_ticket</f>
        <v/>
      </c>
      <c r="BF334" s="40">
        <f>BF333*(1-IF(B333&gt;=in_marketplace_from,d_hz_nps*G333,0))</f>
        <v/>
      </c>
      <c r="BG334" s="14">
        <f>F334*BF334*IF(B334&gt;=in_marketplace_from,d_hz_nps*G334,0)*in_nps_ticket*in_nps_comm</f>
        <v/>
      </c>
      <c r="BH334" s="40">
        <f>BH333*(1-IF(B333&gt;=in_marketplace_from,d_hz_gold*G333,0))</f>
        <v/>
      </c>
      <c r="BI334" s="40">
        <f>BI333*d_rho_gold+BH334*IF(B334&gt;=in_marketplace_from,d_hz_gold*G334,0)</f>
        <v/>
      </c>
      <c r="BJ334" s="14">
        <f>F334*BI334*in_gold_ticket*in_gold_comm</f>
        <v/>
      </c>
      <c r="BK334" s="40">
        <f>BK333*(1-IF(B333&gt;=in_marketplace_from,d_hz_fd*G333,0))</f>
        <v/>
      </c>
      <c r="BL334" s="14">
        <f>F334*BK334*IF(B334&gt;=in_marketplace_from,d_hz_fd*G334,0)*in_fd_ticket*in_fd_comm</f>
        <v/>
      </c>
      <c r="BM334" s="40">
        <f>BM333*(1-IF(B333&gt;=in_marketplace_from,d_hz_recharge*G333,0))</f>
        <v/>
      </c>
      <c r="BN334" s="40">
        <f>BN333*d_rho_recharge+BM334*IF(B334&gt;=in_marketplace_from,d_hz_recharge*G334,0)</f>
        <v/>
      </c>
      <c r="BO334" s="14">
        <f>F334*BN334*in_recharge_ticket*in_recharge_comm/12</f>
        <v/>
      </c>
      <c r="BP334" s="40">
        <f>BP333*(1-IF(B333&gt;=in_marketplace_from,d_hz_bills*G333,0))</f>
        <v/>
      </c>
      <c r="BQ334" s="40">
        <f>BQ333*d_rho_bills+BP334*IF(B334&gt;=in_marketplace_from,d_hz_bills*G334,0)</f>
        <v/>
      </c>
      <c r="BR334" s="14">
        <f>F334*BQ334*in_bills_ticket*in_bills_comm/12</f>
        <v/>
      </c>
      <c r="BS334" s="40">
        <f>BS333*(1-IF(B333&gt;=in_marketplace_from,d_hz_loan_gold*G333,0))</f>
        <v/>
      </c>
      <c r="BT334" s="14">
        <f>F334*BS334*IF(B334&gt;=in_marketplace_from,d_hz_loan_gold*G334,0)*in_loan_gold_ticket*in_loan_gold_comm</f>
        <v/>
      </c>
      <c r="BU334" s="40">
        <f>BU333*(1-IF(B333&gt;=in_marketplace_from,d_hz_loan_cd*G333,0))</f>
        <v/>
      </c>
      <c r="BV334" s="14">
        <f>F334*BU334*IF(B334&gt;=in_marketplace_from,d_hz_loan_cd*G334,0)*in_loan_cd_ticket*in_loan_cd_comm</f>
        <v/>
      </c>
      <c r="BW334" s="40">
        <f>BW333*(1-IF(B333&gt;=in_marketplace_from,d_hz_loan_vehicle*G333,0))</f>
        <v/>
      </c>
      <c r="BX334" s="14">
        <f>F334*BW334*IF(B334&gt;=in_marketplace_from,d_hz_loan_vehicle*G334,0)*in_loan_vehicle_ticket*in_loan_vehicle_comm</f>
        <v/>
      </c>
      <c r="BY334" s="40">
        <f>BY333*(1-IF(B333&gt;=in_marketplace_from,d_hz_loan_home*G333,0)*BZ333)</f>
        <v/>
      </c>
      <c r="BZ334" s="11">
        <f>MIN(in_approval_cap,in_loan_home_approval*INDEX('Age profile'!$O$2:$O$61,B334)*(1+in_approval_growth)^(D334-1))</f>
        <v/>
      </c>
      <c r="CA334" s="14">
        <f>F334*BY334*IF(B334&gt;=in_marketplace_from,d_hz_loan_home*G334,0)*BZ334*in_loan_home_ticket*in_loan_home_comm</f>
        <v/>
      </c>
      <c r="CB334" s="40">
        <f>CB333*(1-IF(B333&gt;=in_marketplace_from,d_hz_loan_lap*G333,0)*CC333)</f>
        <v/>
      </c>
      <c r="CC334" s="11">
        <f>MIN(in_approval_cap,in_loan_lap_approval*INDEX('Age profile'!$O$2:$O$61,B334)*(1+in_approval_growth)^(D334-1))</f>
        <v/>
      </c>
      <c r="CD334" s="14">
        <f>F334*CB334*IF(B334&gt;=in_marketplace_from,d_hz_loan_lap*G334,0)*CC334*in_loan_lap_ticket*in_loan_lap_comm</f>
        <v/>
      </c>
      <c r="CE334" s="14">
        <f>AA334+AB334+AC334+AD334+AG334+AJ334+AM334+AP334+AS334+AU334+AX334+BB334+BE334+BG334+BJ334+BL334+BO334+BR334+BT334+BV334+BX334+CA334+CD334</f>
        <v/>
      </c>
    </row>
    <row r="335">
      <c r="A335" s="39" t="n">
        <v>6</v>
      </c>
      <c r="B335" s="39" t="n">
        <v>44</v>
      </c>
      <c r="C335" s="39">
        <f>A335+B335-1</f>
        <v/>
      </c>
      <c r="D335" s="39">
        <f>INT((C335-1)/12)+1</f>
        <v/>
      </c>
      <c r="E335" s="44">
        <f>INDEX(Monthly!$B$2:$B$61,A335)</f>
        <v/>
      </c>
      <c r="F335" s="44">
        <f>E335*INDEX('Age profile'!$B$2:$B$61,B335)</f>
        <v/>
      </c>
      <c r="G335" s="45">
        <f>MIN(in_takeup_cap,INDEX('Age profile'!$N$2:$N$61,B335)*(1+in_takeup_growth)^(D335-1))</f>
        <v/>
      </c>
      <c r="H335" s="11">
        <f>MIN(in_approval_cap,in_approved_first*INDEX('Age profile'!$O$2:$O$61,B335)*(1+in_approval_growth)^(D335-1))</f>
        <v/>
      </c>
      <c r="I335" s="45">
        <f>G335*MIN(in_takeup_cap,INDEX('Age profile'!$O$2:$O$61,B335)*(1+in_approval_growth)^(D335-1))</f>
        <v/>
      </c>
      <c r="J335" s="40">
        <f>(J334-L334)*F335/F334</f>
        <v/>
      </c>
      <c r="K335" s="40">
        <f>(K334-M334)*F335/F334+SUMIFS(O292:O334,B292:B334,B335-1-d_T)*F335</f>
        <v/>
      </c>
      <c r="L335" s="40">
        <f>IF(B335&gt;=in_marketplace_from,J335*d_hz*G335*in_eligible*H335,0)</f>
        <v/>
      </c>
      <c r="M335" s="40">
        <f>IF(B335&gt;=in_marketplace_from,K335*d_hz*G335*in_eligible*in_approved_repeat,0)</f>
        <v/>
      </c>
      <c r="N335" s="40">
        <f>L335+M335</f>
        <v/>
      </c>
      <c r="O335" s="46">
        <f>N335/F335</f>
        <v/>
      </c>
      <c r="P335" s="40">
        <f>F335-J335-K335</f>
        <v/>
      </c>
      <c r="Q335" s="40">
        <f>IF(B335&gt;=in_marketplace_from,(J335+K335)*d_hz*G335,0)</f>
        <v/>
      </c>
      <c r="R335" s="40">
        <f>SUMIFS(N292:N346,B292:B346,"&gt;="&amp;(B335-d_T),B292:B346,"&lt;="&amp;(B335-1))</f>
        <v/>
      </c>
      <c r="S335" s="46">
        <f>(1-d_u)*S334+IF(d_T&gt;in_topup_lag,SUMIFS(O292:O346,B292:B346,B335-in_topup_lag)-d_udrop*SUMIFS(O292:O346,B292:B346,B335-d_T),0)</f>
        <v/>
      </c>
      <c r="T335" s="40">
        <f>F335*d_u*S335</f>
        <v/>
      </c>
      <c r="U335" s="9">
        <f>L335*in_ticket+M335*d_rep_ticket</f>
        <v/>
      </c>
      <c r="V335" s="9">
        <f>U335+T335*d_topup_amt</f>
        <v/>
      </c>
      <c r="W335" s="40">
        <f>N335+T335*d_topup_ratio</f>
        <v/>
      </c>
      <c r="X335" s="40">
        <f>SUMIFS(W292:W346,B292:B346,B335-in_dpd_lag)*d_cured</f>
        <v/>
      </c>
      <c r="Y335" s="40">
        <f>SUMIFS(W292:W346,B292:B346,B335-in_rec_lag)*d_recd</f>
        <v/>
      </c>
      <c r="Z335" s="40">
        <f>IF(AND(B335&gt;=in_marketplace_from,B335&lt;in_marketplace_from+in_card_months),in_card_share/in_card_months*F335*I335,IF(AND(B335&gt;=in_marketplace_from+in_card_months,B335&lt;in_marketplace_from+2*in_card_months),in_card_share*d_card_rem/in_card_months*F335*MIN(in_takeup_cap,(1+in_takeup_growth)^(D335-1))*MIN(in_takeup_cap,(1+in_approval_growth)^(D335-1)),0))</f>
        <v/>
      </c>
      <c r="AA335" s="14">
        <f>V335*in_fee*(1-in_taken_back)</f>
        <v/>
      </c>
      <c r="AB335" s="14">
        <f>SUMIFS(W292:W346,B292:B346,B335-in_dpd_lag)*d_dpd</f>
        <v/>
      </c>
      <c r="AC335" s="14">
        <f>SUMIFS(W292:W346,B292:B346,B335-in_rec_lag)*d_rec</f>
        <v/>
      </c>
      <c r="AD335" s="14">
        <f>Z335*in_card_fee</f>
        <v/>
      </c>
      <c r="AE335" s="40">
        <f>AE334*(1-IF(B334&gt;=in_marketplace_from,d_hz_hlth_small*G334,0))</f>
        <v/>
      </c>
      <c r="AF335" s="46">
        <f>AE335*IF(B335&gt;=in_marketplace_from,d_hz_hlth_small*G335,0)</f>
        <v/>
      </c>
      <c r="AG335" s="14">
        <f>F335*AF335*in_hlth_small_ticket*in_hlth_small_comm*in_ins_partner_share+F335*in_hlth_small_ticket*in_hlth_small_renew_comm*in_ins_partner_share*(in_hlth_small_renew^1*SUMIFS(AF292:AF346,B292:B346,B335-12)+in_hlth_small_renew^2*SUMIFS(AF292:AF346,B292:B346,B335-24)+in_hlth_small_renew^3*SUMIFS(AF292:AF346,B292:B346,B335-36)+in_hlth_small_renew^4*SUMIFS(AF292:AF346,B292:B346,B335-48))</f>
        <v/>
      </c>
      <c r="AH335" s="40">
        <f>AH334*(1-IF(B334&gt;=in_marketplace_from,d_hz_hlth_family*G334,0))</f>
        <v/>
      </c>
      <c r="AI335" s="46">
        <f>AH335*IF(B335&gt;=in_marketplace_from,d_hz_hlth_family*G335,0)</f>
        <v/>
      </c>
      <c r="AJ335" s="14">
        <f>F335*AI335*in_hlth_family_ticket*in_hlth_family_comm*in_ins_partner_share+F335*in_hlth_family_ticket*in_hlth_family_renew_comm*in_ins_partner_share*(in_hlth_family_renew^1*SUMIFS(AI292:AI346,B292:B346,B335-12)+in_hlth_family_renew^2*SUMIFS(AI292:AI346,B292:B346,B335-24)+in_hlth_family_renew^3*SUMIFS(AI292:AI346,B292:B346,B335-36)+in_hlth_family_renew^4*SUMIFS(AI292:AI346,B292:B346,B335-48))</f>
        <v/>
      </c>
      <c r="AK335" s="40">
        <f>AK334*(1-IF(B334&gt;=in_marketplace_from,d_hz_life_term*G334,0))</f>
        <v/>
      </c>
      <c r="AL335" s="46">
        <f>AK335*IF(B335&gt;=in_marketplace_from,d_hz_life_term*G335,0)</f>
        <v/>
      </c>
      <c r="AM335" s="14">
        <f>F335*AL335*in_life_term_ticket*in_life_term_comm*in_ins_partner_share+F335*in_life_term_ticket*in_life_term_renew_comm*in_ins_partner_share*(in_life_term_renew^1*SUMIFS(AL292:AL346,B292:B346,B335-12)+in_life_term_renew^2*SUMIFS(AL292:AL346,B292:B346,B335-24)+in_life_term_renew^3*SUMIFS(AL292:AL346,B292:B346,B335-36)+in_life_term_renew^4*SUMIFS(AL292:AL346,B292:B346,B335-48))</f>
        <v/>
      </c>
      <c r="AN335" s="40">
        <f>AN334*(1-IF(B334&gt;=in_marketplace_from,d_hz_accident*G334,0))</f>
        <v/>
      </c>
      <c r="AO335" s="46">
        <f>AN335*IF(B335&gt;=in_marketplace_from,d_hz_accident*G335,0)</f>
        <v/>
      </c>
      <c r="AP335" s="14">
        <f>F335*AO335*in_accident_ticket*in_accident_comm*in_ins_partner_share+F335*in_accident_ticket*in_accident_renew_comm*in_ins_partner_share*(in_accident_renew^1*SUMIFS(AO292:AO346,B292:B346,B335-12)+in_accident_renew^2*SUMIFS(AO292:AO346,B292:B346,B335-24)+in_accident_renew^3*SUMIFS(AO292:AO346,B292:B346,B335-36)+in_accident_renew^4*SUMIFS(AO292:AO346,B292:B346,B335-48))</f>
        <v/>
      </c>
      <c r="AQ335" s="40">
        <f>AQ334*(1-IF(B334&gt;=in_marketplace_from,d_hz_two_wheeler*G334,0))</f>
        <v/>
      </c>
      <c r="AR335" s="46">
        <f>AQ335*IF(B335&gt;=in_marketplace_from,d_hz_two_wheeler*G335,0)</f>
        <v/>
      </c>
      <c r="AS335" s="14">
        <f>F335*AR335*in_two_wheeler_ticket*in_two_wheeler_comm*in_ins_partner_share+F335*in_two_wheeler_ticket*in_two_wheeler_comm*in_ins_partner_share*(in_two_wheeler_renew^1*SUMIFS(AR292:AR346,B292:B346,B335-12)+in_two_wheeler_renew^2*SUMIFS(AR292:AR346,B292:B346,B335-24)+in_two_wheeler_renew^3*SUMIFS(AR292:AR346,B292:B346,B335-36)+in_two_wheeler_renew^4*SUMIFS(AR292:AR346,B292:B346,B335-48))</f>
        <v/>
      </c>
      <c r="AT335" s="40">
        <f>AT334*(1-IF(B334&gt;=in_marketplace_from,d_hz_device*G334,0))</f>
        <v/>
      </c>
      <c r="AU335" s="14">
        <f>F335*AT335*IF(B335&gt;=in_marketplace_from,d_hz_device*G335,0)*in_device_ticket*in_device_comm*in_ins_partner_share</f>
        <v/>
      </c>
      <c r="AV335" s="40">
        <f>AV334*(1-IF(B334&gt;=in_marketplace_from,d_hz_shop*G334,0))</f>
        <v/>
      </c>
      <c r="AW335" s="46">
        <f>AV335*IF(B335&gt;=in_marketplace_from,d_hz_shop*G335,0)</f>
        <v/>
      </c>
      <c r="AX335" s="14">
        <f>F335*AW335*in_shop_ticket*in_shop_comm*in_ins_partner_share+F335*in_shop_ticket*in_shop_renew_comm*in_ins_partner_share*(in_shop_renew^1*SUMIFS(AW292:AW346,B292:B346,B335-12)+in_shop_renew^2*SUMIFS(AW292:AW346,B292:B346,B335-24)+in_shop_renew^3*SUMIFS(AW292:AW346,B292:B346,B335-36)+in_shop_renew^4*SUMIFS(AW292:AW346,B292:B346,B335-48))</f>
        <v/>
      </c>
      <c r="AY335" s="40">
        <f>AY334*(1-IF(B334&gt;=in_marketplace_from,d_hz_sip*G334,0))</f>
        <v/>
      </c>
      <c r="AZ335" s="40">
        <f>AZ334*d_rho_sip+AY335*IF(B335&gt;=in_marketplace_from,d_hz_sip*G335,0)</f>
        <v/>
      </c>
      <c r="BA335" s="40">
        <f>d_rho_sip*(BA334+AZ334)</f>
        <v/>
      </c>
      <c r="BB335" s="14">
        <f>F335*in_sip_ticket*(BA335+0.5*AZ335)*in_sip_comm/12</f>
        <v/>
      </c>
      <c r="BC335" s="40">
        <f>BC334*(1-IF(B334&gt;=in_marketplace_from,d_hz_choti*G334,0))</f>
        <v/>
      </c>
      <c r="BD335" s="46">
        <f>BC335*IF(B335&gt;=in_marketplace_from,d_hz_choti*G335,0)</f>
        <v/>
      </c>
      <c r="BE335" s="14">
        <f>F335*SUMIFS(BD292:BD346,B292:B346,B335-in_choti_months)*in_choti_renew*in_choti_ticket</f>
        <v/>
      </c>
      <c r="BF335" s="40">
        <f>BF334*(1-IF(B334&gt;=in_marketplace_from,d_hz_nps*G334,0))</f>
        <v/>
      </c>
      <c r="BG335" s="14">
        <f>F335*BF335*IF(B335&gt;=in_marketplace_from,d_hz_nps*G335,0)*in_nps_ticket*in_nps_comm</f>
        <v/>
      </c>
      <c r="BH335" s="40">
        <f>BH334*(1-IF(B334&gt;=in_marketplace_from,d_hz_gold*G334,0))</f>
        <v/>
      </c>
      <c r="BI335" s="40">
        <f>BI334*d_rho_gold+BH335*IF(B335&gt;=in_marketplace_from,d_hz_gold*G335,0)</f>
        <v/>
      </c>
      <c r="BJ335" s="14">
        <f>F335*BI335*in_gold_ticket*in_gold_comm</f>
        <v/>
      </c>
      <c r="BK335" s="40">
        <f>BK334*(1-IF(B334&gt;=in_marketplace_from,d_hz_fd*G334,0))</f>
        <v/>
      </c>
      <c r="BL335" s="14">
        <f>F335*BK335*IF(B335&gt;=in_marketplace_from,d_hz_fd*G335,0)*in_fd_ticket*in_fd_comm</f>
        <v/>
      </c>
      <c r="BM335" s="40">
        <f>BM334*(1-IF(B334&gt;=in_marketplace_from,d_hz_recharge*G334,0))</f>
        <v/>
      </c>
      <c r="BN335" s="40">
        <f>BN334*d_rho_recharge+BM335*IF(B335&gt;=in_marketplace_from,d_hz_recharge*G335,0)</f>
        <v/>
      </c>
      <c r="BO335" s="14">
        <f>F335*BN335*in_recharge_ticket*in_recharge_comm/12</f>
        <v/>
      </c>
      <c r="BP335" s="40">
        <f>BP334*(1-IF(B334&gt;=in_marketplace_from,d_hz_bills*G334,0))</f>
        <v/>
      </c>
      <c r="BQ335" s="40">
        <f>BQ334*d_rho_bills+BP335*IF(B335&gt;=in_marketplace_from,d_hz_bills*G335,0)</f>
        <v/>
      </c>
      <c r="BR335" s="14">
        <f>F335*BQ335*in_bills_ticket*in_bills_comm/12</f>
        <v/>
      </c>
      <c r="BS335" s="40">
        <f>BS334*(1-IF(B334&gt;=in_marketplace_from,d_hz_loan_gold*G334,0))</f>
        <v/>
      </c>
      <c r="BT335" s="14">
        <f>F335*BS335*IF(B335&gt;=in_marketplace_from,d_hz_loan_gold*G335,0)*in_loan_gold_ticket*in_loan_gold_comm</f>
        <v/>
      </c>
      <c r="BU335" s="40">
        <f>BU334*(1-IF(B334&gt;=in_marketplace_from,d_hz_loan_cd*G334,0))</f>
        <v/>
      </c>
      <c r="BV335" s="14">
        <f>F335*BU335*IF(B335&gt;=in_marketplace_from,d_hz_loan_cd*G335,0)*in_loan_cd_ticket*in_loan_cd_comm</f>
        <v/>
      </c>
      <c r="BW335" s="40">
        <f>BW334*(1-IF(B334&gt;=in_marketplace_from,d_hz_loan_vehicle*G334,0))</f>
        <v/>
      </c>
      <c r="BX335" s="14">
        <f>F335*BW335*IF(B335&gt;=in_marketplace_from,d_hz_loan_vehicle*G335,0)*in_loan_vehicle_ticket*in_loan_vehicle_comm</f>
        <v/>
      </c>
      <c r="BY335" s="40">
        <f>BY334*(1-IF(B334&gt;=in_marketplace_from,d_hz_loan_home*G334,0)*BZ334)</f>
        <v/>
      </c>
      <c r="BZ335" s="11">
        <f>MIN(in_approval_cap,in_loan_home_approval*INDEX('Age profile'!$O$2:$O$61,B335)*(1+in_approval_growth)^(D335-1))</f>
        <v/>
      </c>
      <c r="CA335" s="14">
        <f>F335*BY335*IF(B335&gt;=in_marketplace_from,d_hz_loan_home*G335,0)*BZ335*in_loan_home_ticket*in_loan_home_comm</f>
        <v/>
      </c>
      <c r="CB335" s="40">
        <f>CB334*(1-IF(B334&gt;=in_marketplace_from,d_hz_loan_lap*G334,0)*CC334)</f>
        <v/>
      </c>
      <c r="CC335" s="11">
        <f>MIN(in_approval_cap,in_loan_lap_approval*INDEX('Age profile'!$O$2:$O$61,B335)*(1+in_approval_growth)^(D335-1))</f>
        <v/>
      </c>
      <c r="CD335" s="14">
        <f>F335*CB335*IF(B335&gt;=in_marketplace_from,d_hz_loan_lap*G335,0)*CC335*in_loan_lap_ticket*in_loan_lap_comm</f>
        <v/>
      </c>
      <c r="CE335" s="14">
        <f>AA335+AB335+AC335+AD335+AG335+AJ335+AM335+AP335+AS335+AU335+AX335+BB335+BE335+BG335+BJ335+BL335+BO335+BR335+BT335+BV335+BX335+CA335+CD335</f>
        <v/>
      </c>
    </row>
    <row r="336">
      <c r="A336" s="39" t="n">
        <v>6</v>
      </c>
      <c r="B336" s="39" t="n">
        <v>45</v>
      </c>
      <c r="C336" s="39">
        <f>A336+B336-1</f>
        <v/>
      </c>
      <c r="D336" s="39">
        <f>INT((C336-1)/12)+1</f>
        <v/>
      </c>
      <c r="E336" s="44">
        <f>INDEX(Monthly!$B$2:$B$61,A336)</f>
        <v/>
      </c>
      <c r="F336" s="44">
        <f>E336*INDEX('Age profile'!$B$2:$B$61,B336)</f>
        <v/>
      </c>
      <c r="G336" s="45">
        <f>MIN(in_takeup_cap,INDEX('Age profile'!$N$2:$N$61,B336)*(1+in_takeup_growth)^(D336-1))</f>
        <v/>
      </c>
      <c r="H336" s="11">
        <f>MIN(in_approval_cap,in_approved_first*INDEX('Age profile'!$O$2:$O$61,B336)*(1+in_approval_growth)^(D336-1))</f>
        <v/>
      </c>
      <c r="I336" s="45">
        <f>G336*MIN(in_takeup_cap,INDEX('Age profile'!$O$2:$O$61,B336)*(1+in_approval_growth)^(D336-1))</f>
        <v/>
      </c>
      <c r="J336" s="40">
        <f>(J335-L335)*F336/F335</f>
        <v/>
      </c>
      <c r="K336" s="40">
        <f>(K335-M335)*F336/F335+SUMIFS(O292:O335,B292:B335,B336-1-d_T)*F336</f>
        <v/>
      </c>
      <c r="L336" s="40">
        <f>IF(B336&gt;=in_marketplace_from,J336*d_hz*G336*in_eligible*H336,0)</f>
        <v/>
      </c>
      <c r="M336" s="40">
        <f>IF(B336&gt;=in_marketplace_from,K336*d_hz*G336*in_eligible*in_approved_repeat,0)</f>
        <v/>
      </c>
      <c r="N336" s="40">
        <f>L336+M336</f>
        <v/>
      </c>
      <c r="O336" s="46">
        <f>N336/F336</f>
        <v/>
      </c>
      <c r="P336" s="40">
        <f>F336-J336-K336</f>
        <v/>
      </c>
      <c r="Q336" s="40">
        <f>IF(B336&gt;=in_marketplace_from,(J336+K336)*d_hz*G336,0)</f>
        <v/>
      </c>
      <c r="R336" s="40">
        <f>SUMIFS(N292:N346,B292:B346,"&gt;="&amp;(B336-d_T),B292:B346,"&lt;="&amp;(B336-1))</f>
        <v/>
      </c>
      <c r="S336" s="46">
        <f>(1-d_u)*S335+IF(d_T&gt;in_topup_lag,SUMIFS(O292:O346,B292:B346,B336-in_topup_lag)-d_udrop*SUMIFS(O292:O346,B292:B346,B336-d_T),0)</f>
        <v/>
      </c>
      <c r="T336" s="40">
        <f>F336*d_u*S336</f>
        <v/>
      </c>
      <c r="U336" s="9">
        <f>L336*in_ticket+M336*d_rep_ticket</f>
        <v/>
      </c>
      <c r="V336" s="9">
        <f>U336+T336*d_topup_amt</f>
        <v/>
      </c>
      <c r="W336" s="40">
        <f>N336+T336*d_topup_ratio</f>
        <v/>
      </c>
      <c r="X336" s="40">
        <f>SUMIFS(W292:W346,B292:B346,B336-in_dpd_lag)*d_cured</f>
        <v/>
      </c>
      <c r="Y336" s="40">
        <f>SUMIFS(W292:W346,B292:B346,B336-in_rec_lag)*d_recd</f>
        <v/>
      </c>
      <c r="Z336" s="40">
        <f>IF(AND(B336&gt;=in_marketplace_from,B336&lt;in_marketplace_from+in_card_months),in_card_share/in_card_months*F336*I336,IF(AND(B336&gt;=in_marketplace_from+in_card_months,B336&lt;in_marketplace_from+2*in_card_months),in_card_share*d_card_rem/in_card_months*F336*MIN(in_takeup_cap,(1+in_takeup_growth)^(D336-1))*MIN(in_takeup_cap,(1+in_approval_growth)^(D336-1)),0))</f>
        <v/>
      </c>
      <c r="AA336" s="14">
        <f>V336*in_fee*(1-in_taken_back)</f>
        <v/>
      </c>
      <c r="AB336" s="14">
        <f>SUMIFS(W292:W346,B292:B346,B336-in_dpd_lag)*d_dpd</f>
        <v/>
      </c>
      <c r="AC336" s="14">
        <f>SUMIFS(W292:W346,B292:B346,B336-in_rec_lag)*d_rec</f>
        <v/>
      </c>
      <c r="AD336" s="14">
        <f>Z336*in_card_fee</f>
        <v/>
      </c>
      <c r="AE336" s="40">
        <f>AE335*(1-IF(B335&gt;=in_marketplace_from,d_hz_hlth_small*G335,0))</f>
        <v/>
      </c>
      <c r="AF336" s="46">
        <f>AE336*IF(B336&gt;=in_marketplace_from,d_hz_hlth_small*G336,0)</f>
        <v/>
      </c>
      <c r="AG336" s="14">
        <f>F336*AF336*in_hlth_small_ticket*in_hlth_small_comm*in_ins_partner_share+F336*in_hlth_small_ticket*in_hlth_small_renew_comm*in_ins_partner_share*(in_hlth_small_renew^1*SUMIFS(AF292:AF346,B292:B346,B336-12)+in_hlth_small_renew^2*SUMIFS(AF292:AF346,B292:B346,B336-24)+in_hlth_small_renew^3*SUMIFS(AF292:AF346,B292:B346,B336-36)+in_hlth_small_renew^4*SUMIFS(AF292:AF346,B292:B346,B336-48))</f>
        <v/>
      </c>
      <c r="AH336" s="40">
        <f>AH335*(1-IF(B335&gt;=in_marketplace_from,d_hz_hlth_family*G335,0))</f>
        <v/>
      </c>
      <c r="AI336" s="46">
        <f>AH336*IF(B336&gt;=in_marketplace_from,d_hz_hlth_family*G336,0)</f>
        <v/>
      </c>
      <c r="AJ336" s="14">
        <f>F336*AI336*in_hlth_family_ticket*in_hlth_family_comm*in_ins_partner_share+F336*in_hlth_family_ticket*in_hlth_family_renew_comm*in_ins_partner_share*(in_hlth_family_renew^1*SUMIFS(AI292:AI346,B292:B346,B336-12)+in_hlth_family_renew^2*SUMIFS(AI292:AI346,B292:B346,B336-24)+in_hlth_family_renew^3*SUMIFS(AI292:AI346,B292:B346,B336-36)+in_hlth_family_renew^4*SUMIFS(AI292:AI346,B292:B346,B336-48))</f>
        <v/>
      </c>
      <c r="AK336" s="40">
        <f>AK335*(1-IF(B335&gt;=in_marketplace_from,d_hz_life_term*G335,0))</f>
        <v/>
      </c>
      <c r="AL336" s="46">
        <f>AK336*IF(B336&gt;=in_marketplace_from,d_hz_life_term*G336,0)</f>
        <v/>
      </c>
      <c r="AM336" s="14">
        <f>F336*AL336*in_life_term_ticket*in_life_term_comm*in_ins_partner_share+F336*in_life_term_ticket*in_life_term_renew_comm*in_ins_partner_share*(in_life_term_renew^1*SUMIFS(AL292:AL346,B292:B346,B336-12)+in_life_term_renew^2*SUMIFS(AL292:AL346,B292:B346,B336-24)+in_life_term_renew^3*SUMIFS(AL292:AL346,B292:B346,B336-36)+in_life_term_renew^4*SUMIFS(AL292:AL346,B292:B346,B336-48))</f>
        <v/>
      </c>
      <c r="AN336" s="40">
        <f>AN335*(1-IF(B335&gt;=in_marketplace_from,d_hz_accident*G335,0))</f>
        <v/>
      </c>
      <c r="AO336" s="46">
        <f>AN336*IF(B336&gt;=in_marketplace_from,d_hz_accident*G336,0)</f>
        <v/>
      </c>
      <c r="AP336" s="14">
        <f>F336*AO336*in_accident_ticket*in_accident_comm*in_ins_partner_share+F336*in_accident_ticket*in_accident_renew_comm*in_ins_partner_share*(in_accident_renew^1*SUMIFS(AO292:AO346,B292:B346,B336-12)+in_accident_renew^2*SUMIFS(AO292:AO346,B292:B346,B336-24)+in_accident_renew^3*SUMIFS(AO292:AO346,B292:B346,B336-36)+in_accident_renew^4*SUMIFS(AO292:AO346,B292:B346,B336-48))</f>
        <v/>
      </c>
      <c r="AQ336" s="40">
        <f>AQ335*(1-IF(B335&gt;=in_marketplace_from,d_hz_two_wheeler*G335,0))</f>
        <v/>
      </c>
      <c r="AR336" s="46">
        <f>AQ336*IF(B336&gt;=in_marketplace_from,d_hz_two_wheeler*G336,0)</f>
        <v/>
      </c>
      <c r="AS336" s="14">
        <f>F336*AR336*in_two_wheeler_ticket*in_two_wheeler_comm*in_ins_partner_share+F336*in_two_wheeler_ticket*in_two_wheeler_comm*in_ins_partner_share*(in_two_wheeler_renew^1*SUMIFS(AR292:AR346,B292:B346,B336-12)+in_two_wheeler_renew^2*SUMIFS(AR292:AR346,B292:B346,B336-24)+in_two_wheeler_renew^3*SUMIFS(AR292:AR346,B292:B346,B336-36)+in_two_wheeler_renew^4*SUMIFS(AR292:AR346,B292:B346,B336-48))</f>
        <v/>
      </c>
      <c r="AT336" s="40">
        <f>AT335*(1-IF(B335&gt;=in_marketplace_from,d_hz_device*G335,0))</f>
        <v/>
      </c>
      <c r="AU336" s="14">
        <f>F336*AT336*IF(B336&gt;=in_marketplace_from,d_hz_device*G336,0)*in_device_ticket*in_device_comm*in_ins_partner_share</f>
        <v/>
      </c>
      <c r="AV336" s="40">
        <f>AV335*(1-IF(B335&gt;=in_marketplace_from,d_hz_shop*G335,0))</f>
        <v/>
      </c>
      <c r="AW336" s="46">
        <f>AV336*IF(B336&gt;=in_marketplace_from,d_hz_shop*G336,0)</f>
        <v/>
      </c>
      <c r="AX336" s="14">
        <f>F336*AW336*in_shop_ticket*in_shop_comm*in_ins_partner_share+F336*in_shop_ticket*in_shop_renew_comm*in_ins_partner_share*(in_shop_renew^1*SUMIFS(AW292:AW346,B292:B346,B336-12)+in_shop_renew^2*SUMIFS(AW292:AW346,B292:B346,B336-24)+in_shop_renew^3*SUMIFS(AW292:AW346,B292:B346,B336-36)+in_shop_renew^4*SUMIFS(AW292:AW346,B292:B346,B336-48))</f>
        <v/>
      </c>
      <c r="AY336" s="40">
        <f>AY335*(1-IF(B335&gt;=in_marketplace_from,d_hz_sip*G335,0))</f>
        <v/>
      </c>
      <c r="AZ336" s="40">
        <f>AZ335*d_rho_sip+AY336*IF(B336&gt;=in_marketplace_from,d_hz_sip*G336,0)</f>
        <v/>
      </c>
      <c r="BA336" s="40">
        <f>d_rho_sip*(BA335+AZ335)</f>
        <v/>
      </c>
      <c r="BB336" s="14">
        <f>F336*in_sip_ticket*(BA336+0.5*AZ336)*in_sip_comm/12</f>
        <v/>
      </c>
      <c r="BC336" s="40">
        <f>BC335*(1-IF(B335&gt;=in_marketplace_from,d_hz_choti*G335,0))</f>
        <v/>
      </c>
      <c r="BD336" s="46">
        <f>BC336*IF(B336&gt;=in_marketplace_from,d_hz_choti*G336,0)</f>
        <v/>
      </c>
      <c r="BE336" s="14">
        <f>F336*SUMIFS(BD292:BD346,B292:B346,B336-in_choti_months)*in_choti_renew*in_choti_ticket</f>
        <v/>
      </c>
      <c r="BF336" s="40">
        <f>BF335*(1-IF(B335&gt;=in_marketplace_from,d_hz_nps*G335,0))</f>
        <v/>
      </c>
      <c r="BG336" s="14">
        <f>F336*BF336*IF(B336&gt;=in_marketplace_from,d_hz_nps*G336,0)*in_nps_ticket*in_nps_comm</f>
        <v/>
      </c>
      <c r="BH336" s="40">
        <f>BH335*(1-IF(B335&gt;=in_marketplace_from,d_hz_gold*G335,0))</f>
        <v/>
      </c>
      <c r="BI336" s="40">
        <f>BI335*d_rho_gold+BH336*IF(B336&gt;=in_marketplace_from,d_hz_gold*G336,0)</f>
        <v/>
      </c>
      <c r="BJ336" s="14">
        <f>F336*BI336*in_gold_ticket*in_gold_comm</f>
        <v/>
      </c>
      <c r="BK336" s="40">
        <f>BK335*(1-IF(B335&gt;=in_marketplace_from,d_hz_fd*G335,0))</f>
        <v/>
      </c>
      <c r="BL336" s="14">
        <f>F336*BK336*IF(B336&gt;=in_marketplace_from,d_hz_fd*G336,0)*in_fd_ticket*in_fd_comm</f>
        <v/>
      </c>
      <c r="BM336" s="40">
        <f>BM335*(1-IF(B335&gt;=in_marketplace_from,d_hz_recharge*G335,0))</f>
        <v/>
      </c>
      <c r="BN336" s="40">
        <f>BN335*d_rho_recharge+BM336*IF(B336&gt;=in_marketplace_from,d_hz_recharge*G336,0)</f>
        <v/>
      </c>
      <c r="BO336" s="14">
        <f>F336*BN336*in_recharge_ticket*in_recharge_comm/12</f>
        <v/>
      </c>
      <c r="BP336" s="40">
        <f>BP335*(1-IF(B335&gt;=in_marketplace_from,d_hz_bills*G335,0))</f>
        <v/>
      </c>
      <c r="BQ336" s="40">
        <f>BQ335*d_rho_bills+BP336*IF(B336&gt;=in_marketplace_from,d_hz_bills*G336,0)</f>
        <v/>
      </c>
      <c r="BR336" s="14">
        <f>F336*BQ336*in_bills_ticket*in_bills_comm/12</f>
        <v/>
      </c>
      <c r="BS336" s="40">
        <f>BS335*(1-IF(B335&gt;=in_marketplace_from,d_hz_loan_gold*G335,0))</f>
        <v/>
      </c>
      <c r="BT336" s="14">
        <f>F336*BS336*IF(B336&gt;=in_marketplace_from,d_hz_loan_gold*G336,0)*in_loan_gold_ticket*in_loan_gold_comm</f>
        <v/>
      </c>
      <c r="BU336" s="40">
        <f>BU335*(1-IF(B335&gt;=in_marketplace_from,d_hz_loan_cd*G335,0))</f>
        <v/>
      </c>
      <c r="BV336" s="14">
        <f>F336*BU336*IF(B336&gt;=in_marketplace_from,d_hz_loan_cd*G336,0)*in_loan_cd_ticket*in_loan_cd_comm</f>
        <v/>
      </c>
      <c r="BW336" s="40">
        <f>BW335*(1-IF(B335&gt;=in_marketplace_from,d_hz_loan_vehicle*G335,0))</f>
        <v/>
      </c>
      <c r="BX336" s="14">
        <f>F336*BW336*IF(B336&gt;=in_marketplace_from,d_hz_loan_vehicle*G336,0)*in_loan_vehicle_ticket*in_loan_vehicle_comm</f>
        <v/>
      </c>
      <c r="BY336" s="40">
        <f>BY335*(1-IF(B335&gt;=in_marketplace_from,d_hz_loan_home*G335,0)*BZ335)</f>
        <v/>
      </c>
      <c r="BZ336" s="11">
        <f>MIN(in_approval_cap,in_loan_home_approval*INDEX('Age profile'!$O$2:$O$61,B336)*(1+in_approval_growth)^(D336-1))</f>
        <v/>
      </c>
      <c r="CA336" s="14">
        <f>F336*BY336*IF(B336&gt;=in_marketplace_from,d_hz_loan_home*G336,0)*BZ336*in_loan_home_ticket*in_loan_home_comm</f>
        <v/>
      </c>
      <c r="CB336" s="40">
        <f>CB335*(1-IF(B335&gt;=in_marketplace_from,d_hz_loan_lap*G335,0)*CC335)</f>
        <v/>
      </c>
      <c r="CC336" s="11">
        <f>MIN(in_approval_cap,in_loan_lap_approval*INDEX('Age profile'!$O$2:$O$61,B336)*(1+in_approval_growth)^(D336-1))</f>
        <v/>
      </c>
      <c r="CD336" s="14">
        <f>F336*CB336*IF(B336&gt;=in_marketplace_from,d_hz_loan_lap*G336,0)*CC336*in_loan_lap_ticket*in_loan_lap_comm</f>
        <v/>
      </c>
      <c r="CE336" s="14">
        <f>AA336+AB336+AC336+AD336+AG336+AJ336+AM336+AP336+AS336+AU336+AX336+BB336+BE336+BG336+BJ336+BL336+BO336+BR336+BT336+BV336+BX336+CA336+CD336</f>
        <v/>
      </c>
    </row>
    <row r="337">
      <c r="A337" s="39" t="n">
        <v>6</v>
      </c>
      <c r="B337" s="39" t="n">
        <v>46</v>
      </c>
      <c r="C337" s="39">
        <f>A337+B337-1</f>
        <v/>
      </c>
      <c r="D337" s="39">
        <f>INT((C337-1)/12)+1</f>
        <v/>
      </c>
      <c r="E337" s="44">
        <f>INDEX(Monthly!$B$2:$B$61,A337)</f>
        <v/>
      </c>
      <c r="F337" s="44">
        <f>E337*INDEX('Age profile'!$B$2:$B$61,B337)</f>
        <v/>
      </c>
      <c r="G337" s="45">
        <f>MIN(in_takeup_cap,INDEX('Age profile'!$N$2:$N$61,B337)*(1+in_takeup_growth)^(D337-1))</f>
        <v/>
      </c>
      <c r="H337" s="11">
        <f>MIN(in_approval_cap,in_approved_first*INDEX('Age profile'!$O$2:$O$61,B337)*(1+in_approval_growth)^(D337-1))</f>
        <v/>
      </c>
      <c r="I337" s="45">
        <f>G337*MIN(in_takeup_cap,INDEX('Age profile'!$O$2:$O$61,B337)*(1+in_approval_growth)^(D337-1))</f>
        <v/>
      </c>
      <c r="J337" s="40">
        <f>(J336-L336)*F337/F336</f>
        <v/>
      </c>
      <c r="K337" s="40">
        <f>(K336-M336)*F337/F336+SUMIFS(O292:O336,B292:B336,B337-1-d_T)*F337</f>
        <v/>
      </c>
      <c r="L337" s="40">
        <f>IF(B337&gt;=in_marketplace_from,J337*d_hz*G337*in_eligible*H337,0)</f>
        <v/>
      </c>
      <c r="M337" s="40">
        <f>IF(B337&gt;=in_marketplace_from,K337*d_hz*G337*in_eligible*in_approved_repeat,0)</f>
        <v/>
      </c>
      <c r="N337" s="40">
        <f>L337+M337</f>
        <v/>
      </c>
      <c r="O337" s="46">
        <f>N337/F337</f>
        <v/>
      </c>
      <c r="P337" s="40">
        <f>F337-J337-K337</f>
        <v/>
      </c>
      <c r="Q337" s="40">
        <f>IF(B337&gt;=in_marketplace_from,(J337+K337)*d_hz*G337,0)</f>
        <v/>
      </c>
      <c r="R337" s="40">
        <f>SUMIFS(N292:N346,B292:B346,"&gt;="&amp;(B337-d_T),B292:B346,"&lt;="&amp;(B337-1))</f>
        <v/>
      </c>
      <c r="S337" s="46">
        <f>(1-d_u)*S336+IF(d_T&gt;in_topup_lag,SUMIFS(O292:O346,B292:B346,B337-in_topup_lag)-d_udrop*SUMIFS(O292:O346,B292:B346,B337-d_T),0)</f>
        <v/>
      </c>
      <c r="T337" s="40">
        <f>F337*d_u*S337</f>
        <v/>
      </c>
      <c r="U337" s="9">
        <f>L337*in_ticket+M337*d_rep_ticket</f>
        <v/>
      </c>
      <c r="V337" s="9">
        <f>U337+T337*d_topup_amt</f>
        <v/>
      </c>
      <c r="W337" s="40">
        <f>N337+T337*d_topup_ratio</f>
        <v/>
      </c>
      <c r="X337" s="40">
        <f>SUMIFS(W292:W346,B292:B346,B337-in_dpd_lag)*d_cured</f>
        <v/>
      </c>
      <c r="Y337" s="40">
        <f>SUMIFS(W292:W346,B292:B346,B337-in_rec_lag)*d_recd</f>
        <v/>
      </c>
      <c r="Z337" s="40">
        <f>IF(AND(B337&gt;=in_marketplace_from,B337&lt;in_marketplace_from+in_card_months),in_card_share/in_card_months*F337*I337,IF(AND(B337&gt;=in_marketplace_from+in_card_months,B337&lt;in_marketplace_from+2*in_card_months),in_card_share*d_card_rem/in_card_months*F337*MIN(in_takeup_cap,(1+in_takeup_growth)^(D337-1))*MIN(in_takeup_cap,(1+in_approval_growth)^(D337-1)),0))</f>
        <v/>
      </c>
      <c r="AA337" s="14">
        <f>V337*in_fee*(1-in_taken_back)</f>
        <v/>
      </c>
      <c r="AB337" s="14">
        <f>SUMIFS(W292:W346,B292:B346,B337-in_dpd_lag)*d_dpd</f>
        <v/>
      </c>
      <c r="AC337" s="14">
        <f>SUMIFS(W292:W346,B292:B346,B337-in_rec_lag)*d_rec</f>
        <v/>
      </c>
      <c r="AD337" s="14">
        <f>Z337*in_card_fee</f>
        <v/>
      </c>
      <c r="AE337" s="40">
        <f>AE336*(1-IF(B336&gt;=in_marketplace_from,d_hz_hlth_small*G336,0))</f>
        <v/>
      </c>
      <c r="AF337" s="46">
        <f>AE337*IF(B337&gt;=in_marketplace_from,d_hz_hlth_small*G337,0)</f>
        <v/>
      </c>
      <c r="AG337" s="14">
        <f>F337*AF337*in_hlth_small_ticket*in_hlth_small_comm*in_ins_partner_share+F337*in_hlth_small_ticket*in_hlth_small_renew_comm*in_ins_partner_share*(in_hlth_small_renew^1*SUMIFS(AF292:AF346,B292:B346,B337-12)+in_hlth_small_renew^2*SUMIFS(AF292:AF346,B292:B346,B337-24)+in_hlth_small_renew^3*SUMIFS(AF292:AF346,B292:B346,B337-36)+in_hlth_small_renew^4*SUMIFS(AF292:AF346,B292:B346,B337-48))</f>
        <v/>
      </c>
      <c r="AH337" s="40">
        <f>AH336*(1-IF(B336&gt;=in_marketplace_from,d_hz_hlth_family*G336,0))</f>
        <v/>
      </c>
      <c r="AI337" s="46">
        <f>AH337*IF(B337&gt;=in_marketplace_from,d_hz_hlth_family*G337,0)</f>
        <v/>
      </c>
      <c r="AJ337" s="14">
        <f>F337*AI337*in_hlth_family_ticket*in_hlth_family_comm*in_ins_partner_share+F337*in_hlth_family_ticket*in_hlth_family_renew_comm*in_ins_partner_share*(in_hlth_family_renew^1*SUMIFS(AI292:AI346,B292:B346,B337-12)+in_hlth_family_renew^2*SUMIFS(AI292:AI346,B292:B346,B337-24)+in_hlth_family_renew^3*SUMIFS(AI292:AI346,B292:B346,B337-36)+in_hlth_family_renew^4*SUMIFS(AI292:AI346,B292:B346,B337-48))</f>
        <v/>
      </c>
      <c r="AK337" s="40">
        <f>AK336*(1-IF(B336&gt;=in_marketplace_from,d_hz_life_term*G336,0))</f>
        <v/>
      </c>
      <c r="AL337" s="46">
        <f>AK337*IF(B337&gt;=in_marketplace_from,d_hz_life_term*G337,0)</f>
        <v/>
      </c>
      <c r="AM337" s="14">
        <f>F337*AL337*in_life_term_ticket*in_life_term_comm*in_ins_partner_share+F337*in_life_term_ticket*in_life_term_renew_comm*in_ins_partner_share*(in_life_term_renew^1*SUMIFS(AL292:AL346,B292:B346,B337-12)+in_life_term_renew^2*SUMIFS(AL292:AL346,B292:B346,B337-24)+in_life_term_renew^3*SUMIFS(AL292:AL346,B292:B346,B337-36)+in_life_term_renew^4*SUMIFS(AL292:AL346,B292:B346,B337-48))</f>
        <v/>
      </c>
      <c r="AN337" s="40">
        <f>AN336*(1-IF(B336&gt;=in_marketplace_from,d_hz_accident*G336,0))</f>
        <v/>
      </c>
      <c r="AO337" s="46">
        <f>AN337*IF(B337&gt;=in_marketplace_from,d_hz_accident*G337,0)</f>
        <v/>
      </c>
      <c r="AP337" s="14">
        <f>F337*AO337*in_accident_ticket*in_accident_comm*in_ins_partner_share+F337*in_accident_ticket*in_accident_renew_comm*in_ins_partner_share*(in_accident_renew^1*SUMIFS(AO292:AO346,B292:B346,B337-12)+in_accident_renew^2*SUMIFS(AO292:AO346,B292:B346,B337-24)+in_accident_renew^3*SUMIFS(AO292:AO346,B292:B346,B337-36)+in_accident_renew^4*SUMIFS(AO292:AO346,B292:B346,B337-48))</f>
        <v/>
      </c>
      <c r="AQ337" s="40">
        <f>AQ336*(1-IF(B336&gt;=in_marketplace_from,d_hz_two_wheeler*G336,0))</f>
        <v/>
      </c>
      <c r="AR337" s="46">
        <f>AQ337*IF(B337&gt;=in_marketplace_from,d_hz_two_wheeler*G337,0)</f>
        <v/>
      </c>
      <c r="AS337" s="14">
        <f>F337*AR337*in_two_wheeler_ticket*in_two_wheeler_comm*in_ins_partner_share+F337*in_two_wheeler_ticket*in_two_wheeler_comm*in_ins_partner_share*(in_two_wheeler_renew^1*SUMIFS(AR292:AR346,B292:B346,B337-12)+in_two_wheeler_renew^2*SUMIFS(AR292:AR346,B292:B346,B337-24)+in_two_wheeler_renew^3*SUMIFS(AR292:AR346,B292:B346,B337-36)+in_two_wheeler_renew^4*SUMIFS(AR292:AR346,B292:B346,B337-48))</f>
        <v/>
      </c>
      <c r="AT337" s="40">
        <f>AT336*(1-IF(B336&gt;=in_marketplace_from,d_hz_device*G336,0))</f>
        <v/>
      </c>
      <c r="AU337" s="14">
        <f>F337*AT337*IF(B337&gt;=in_marketplace_from,d_hz_device*G337,0)*in_device_ticket*in_device_comm*in_ins_partner_share</f>
        <v/>
      </c>
      <c r="AV337" s="40">
        <f>AV336*(1-IF(B336&gt;=in_marketplace_from,d_hz_shop*G336,0))</f>
        <v/>
      </c>
      <c r="AW337" s="46">
        <f>AV337*IF(B337&gt;=in_marketplace_from,d_hz_shop*G337,0)</f>
        <v/>
      </c>
      <c r="AX337" s="14">
        <f>F337*AW337*in_shop_ticket*in_shop_comm*in_ins_partner_share+F337*in_shop_ticket*in_shop_renew_comm*in_ins_partner_share*(in_shop_renew^1*SUMIFS(AW292:AW346,B292:B346,B337-12)+in_shop_renew^2*SUMIFS(AW292:AW346,B292:B346,B337-24)+in_shop_renew^3*SUMIFS(AW292:AW346,B292:B346,B337-36)+in_shop_renew^4*SUMIFS(AW292:AW346,B292:B346,B337-48))</f>
        <v/>
      </c>
      <c r="AY337" s="40">
        <f>AY336*(1-IF(B336&gt;=in_marketplace_from,d_hz_sip*G336,0))</f>
        <v/>
      </c>
      <c r="AZ337" s="40">
        <f>AZ336*d_rho_sip+AY337*IF(B337&gt;=in_marketplace_from,d_hz_sip*G337,0)</f>
        <v/>
      </c>
      <c r="BA337" s="40">
        <f>d_rho_sip*(BA336+AZ336)</f>
        <v/>
      </c>
      <c r="BB337" s="14">
        <f>F337*in_sip_ticket*(BA337+0.5*AZ337)*in_sip_comm/12</f>
        <v/>
      </c>
      <c r="BC337" s="40">
        <f>BC336*(1-IF(B336&gt;=in_marketplace_from,d_hz_choti*G336,0))</f>
        <v/>
      </c>
      <c r="BD337" s="46">
        <f>BC337*IF(B337&gt;=in_marketplace_from,d_hz_choti*G337,0)</f>
        <v/>
      </c>
      <c r="BE337" s="14">
        <f>F337*SUMIFS(BD292:BD346,B292:B346,B337-in_choti_months)*in_choti_renew*in_choti_ticket</f>
        <v/>
      </c>
      <c r="BF337" s="40">
        <f>BF336*(1-IF(B336&gt;=in_marketplace_from,d_hz_nps*G336,0))</f>
        <v/>
      </c>
      <c r="BG337" s="14">
        <f>F337*BF337*IF(B337&gt;=in_marketplace_from,d_hz_nps*G337,0)*in_nps_ticket*in_nps_comm</f>
        <v/>
      </c>
      <c r="BH337" s="40">
        <f>BH336*(1-IF(B336&gt;=in_marketplace_from,d_hz_gold*G336,0))</f>
        <v/>
      </c>
      <c r="BI337" s="40">
        <f>BI336*d_rho_gold+BH337*IF(B337&gt;=in_marketplace_from,d_hz_gold*G337,0)</f>
        <v/>
      </c>
      <c r="BJ337" s="14">
        <f>F337*BI337*in_gold_ticket*in_gold_comm</f>
        <v/>
      </c>
      <c r="BK337" s="40">
        <f>BK336*(1-IF(B336&gt;=in_marketplace_from,d_hz_fd*G336,0))</f>
        <v/>
      </c>
      <c r="BL337" s="14">
        <f>F337*BK337*IF(B337&gt;=in_marketplace_from,d_hz_fd*G337,0)*in_fd_ticket*in_fd_comm</f>
        <v/>
      </c>
      <c r="BM337" s="40">
        <f>BM336*(1-IF(B336&gt;=in_marketplace_from,d_hz_recharge*G336,0))</f>
        <v/>
      </c>
      <c r="BN337" s="40">
        <f>BN336*d_rho_recharge+BM337*IF(B337&gt;=in_marketplace_from,d_hz_recharge*G337,0)</f>
        <v/>
      </c>
      <c r="BO337" s="14">
        <f>F337*BN337*in_recharge_ticket*in_recharge_comm/12</f>
        <v/>
      </c>
      <c r="BP337" s="40">
        <f>BP336*(1-IF(B336&gt;=in_marketplace_from,d_hz_bills*G336,0))</f>
        <v/>
      </c>
      <c r="BQ337" s="40">
        <f>BQ336*d_rho_bills+BP337*IF(B337&gt;=in_marketplace_from,d_hz_bills*G337,0)</f>
        <v/>
      </c>
      <c r="BR337" s="14">
        <f>F337*BQ337*in_bills_ticket*in_bills_comm/12</f>
        <v/>
      </c>
      <c r="BS337" s="40">
        <f>BS336*(1-IF(B336&gt;=in_marketplace_from,d_hz_loan_gold*G336,0))</f>
        <v/>
      </c>
      <c r="BT337" s="14">
        <f>F337*BS337*IF(B337&gt;=in_marketplace_from,d_hz_loan_gold*G337,0)*in_loan_gold_ticket*in_loan_gold_comm</f>
        <v/>
      </c>
      <c r="BU337" s="40">
        <f>BU336*(1-IF(B336&gt;=in_marketplace_from,d_hz_loan_cd*G336,0))</f>
        <v/>
      </c>
      <c r="BV337" s="14">
        <f>F337*BU337*IF(B337&gt;=in_marketplace_from,d_hz_loan_cd*G337,0)*in_loan_cd_ticket*in_loan_cd_comm</f>
        <v/>
      </c>
      <c r="BW337" s="40">
        <f>BW336*(1-IF(B336&gt;=in_marketplace_from,d_hz_loan_vehicle*G336,0))</f>
        <v/>
      </c>
      <c r="BX337" s="14">
        <f>F337*BW337*IF(B337&gt;=in_marketplace_from,d_hz_loan_vehicle*G337,0)*in_loan_vehicle_ticket*in_loan_vehicle_comm</f>
        <v/>
      </c>
      <c r="BY337" s="40">
        <f>BY336*(1-IF(B336&gt;=in_marketplace_from,d_hz_loan_home*G336,0)*BZ336)</f>
        <v/>
      </c>
      <c r="BZ337" s="11">
        <f>MIN(in_approval_cap,in_loan_home_approval*INDEX('Age profile'!$O$2:$O$61,B337)*(1+in_approval_growth)^(D337-1))</f>
        <v/>
      </c>
      <c r="CA337" s="14">
        <f>F337*BY337*IF(B337&gt;=in_marketplace_from,d_hz_loan_home*G337,0)*BZ337*in_loan_home_ticket*in_loan_home_comm</f>
        <v/>
      </c>
      <c r="CB337" s="40">
        <f>CB336*(1-IF(B336&gt;=in_marketplace_from,d_hz_loan_lap*G336,0)*CC336)</f>
        <v/>
      </c>
      <c r="CC337" s="11">
        <f>MIN(in_approval_cap,in_loan_lap_approval*INDEX('Age profile'!$O$2:$O$61,B337)*(1+in_approval_growth)^(D337-1))</f>
        <v/>
      </c>
      <c r="CD337" s="14">
        <f>F337*CB337*IF(B337&gt;=in_marketplace_from,d_hz_loan_lap*G337,0)*CC337*in_loan_lap_ticket*in_loan_lap_comm</f>
        <v/>
      </c>
      <c r="CE337" s="14">
        <f>AA337+AB337+AC337+AD337+AG337+AJ337+AM337+AP337+AS337+AU337+AX337+BB337+BE337+BG337+BJ337+BL337+BO337+BR337+BT337+BV337+BX337+CA337+CD337</f>
        <v/>
      </c>
    </row>
    <row r="338">
      <c r="A338" s="39" t="n">
        <v>6</v>
      </c>
      <c r="B338" s="39" t="n">
        <v>47</v>
      </c>
      <c r="C338" s="39">
        <f>A338+B338-1</f>
        <v/>
      </c>
      <c r="D338" s="39">
        <f>INT((C338-1)/12)+1</f>
        <v/>
      </c>
      <c r="E338" s="44">
        <f>INDEX(Monthly!$B$2:$B$61,A338)</f>
        <v/>
      </c>
      <c r="F338" s="44">
        <f>E338*INDEX('Age profile'!$B$2:$B$61,B338)</f>
        <v/>
      </c>
      <c r="G338" s="45">
        <f>MIN(in_takeup_cap,INDEX('Age profile'!$N$2:$N$61,B338)*(1+in_takeup_growth)^(D338-1))</f>
        <v/>
      </c>
      <c r="H338" s="11">
        <f>MIN(in_approval_cap,in_approved_first*INDEX('Age profile'!$O$2:$O$61,B338)*(1+in_approval_growth)^(D338-1))</f>
        <v/>
      </c>
      <c r="I338" s="45">
        <f>G338*MIN(in_takeup_cap,INDEX('Age profile'!$O$2:$O$61,B338)*(1+in_approval_growth)^(D338-1))</f>
        <v/>
      </c>
      <c r="J338" s="40">
        <f>(J337-L337)*F338/F337</f>
        <v/>
      </c>
      <c r="K338" s="40">
        <f>(K337-M337)*F338/F337+SUMIFS(O292:O337,B292:B337,B338-1-d_T)*F338</f>
        <v/>
      </c>
      <c r="L338" s="40">
        <f>IF(B338&gt;=in_marketplace_from,J338*d_hz*G338*in_eligible*H338,0)</f>
        <v/>
      </c>
      <c r="M338" s="40">
        <f>IF(B338&gt;=in_marketplace_from,K338*d_hz*G338*in_eligible*in_approved_repeat,0)</f>
        <v/>
      </c>
      <c r="N338" s="40">
        <f>L338+M338</f>
        <v/>
      </c>
      <c r="O338" s="46">
        <f>N338/F338</f>
        <v/>
      </c>
      <c r="P338" s="40">
        <f>F338-J338-K338</f>
        <v/>
      </c>
      <c r="Q338" s="40">
        <f>IF(B338&gt;=in_marketplace_from,(J338+K338)*d_hz*G338,0)</f>
        <v/>
      </c>
      <c r="R338" s="40">
        <f>SUMIFS(N292:N346,B292:B346,"&gt;="&amp;(B338-d_T),B292:B346,"&lt;="&amp;(B338-1))</f>
        <v/>
      </c>
      <c r="S338" s="46">
        <f>(1-d_u)*S337+IF(d_T&gt;in_topup_lag,SUMIFS(O292:O346,B292:B346,B338-in_topup_lag)-d_udrop*SUMIFS(O292:O346,B292:B346,B338-d_T),0)</f>
        <v/>
      </c>
      <c r="T338" s="40">
        <f>F338*d_u*S338</f>
        <v/>
      </c>
      <c r="U338" s="9">
        <f>L338*in_ticket+M338*d_rep_ticket</f>
        <v/>
      </c>
      <c r="V338" s="9">
        <f>U338+T338*d_topup_amt</f>
        <v/>
      </c>
      <c r="W338" s="40">
        <f>N338+T338*d_topup_ratio</f>
        <v/>
      </c>
      <c r="X338" s="40">
        <f>SUMIFS(W292:W346,B292:B346,B338-in_dpd_lag)*d_cured</f>
        <v/>
      </c>
      <c r="Y338" s="40">
        <f>SUMIFS(W292:W346,B292:B346,B338-in_rec_lag)*d_recd</f>
        <v/>
      </c>
      <c r="Z338" s="40">
        <f>IF(AND(B338&gt;=in_marketplace_from,B338&lt;in_marketplace_from+in_card_months),in_card_share/in_card_months*F338*I338,IF(AND(B338&gt;=in_marketplace_from+in_card_months,B338&lt;in_marketplace_from+2*in_card_months),in_card_share*d_card_rem/in_card_months*F338*MIN(in_takeup_cap,(1+in_takeup_growth)^(D338-1))*MIN(in_takeup_cap,(1+in_approval_growth)^(D338-1)),0))</f>
        <v/>
      </c>
      <c r="AA338" s="14">
        <f>V338*in_fee*(1-in_taken_back)</f>
        <v/>
      </c>
      <c r="AB338" s="14">
        <f>SUMIFS(W292:W346,B292:B346,B338-in_dpd_lag)*d_dpd</f>
        <v/>
      </c>
      <c r="AC338" s="14">
        <f>SUMIFS(W292:W346,B292:B346,B338-in_rec_lag)*d_rec</f>
        <v/>
      </c>
      <c r="AD338" s="14">
        <f>Z338*in_card_fee</f>
        <v/>
      </c>
      <c r="AE338" s="40">
        <f>AE337*(1-IF(B337&gt;=in_marketplace_from,d_hz_hlth_small*G337,0))</f>
        <v/>
      </c>
      <c r="AF338" s="46">
        <f>AE338*IF(B338&gt;=in_marketplace_from,d_hz_hlth_small*G338,0)</f>
        <v/>
      </c>
      <c r="AG338" s="14">
        <f>F338*AF338*in_hlth_small_ticket*in_hlth_small_comm*in_ins_partner_share+F338*in_hlth_small_ticket*in_hlth_small_renew_comm*in_ins_partner_share*(in_hlth_small_renew^1*SUMIFS(AF292:AF346,B292:B346,B338-12)+in_hlth_small_renew^2*SUMIFS(AF292:AF346,B292:B346,B338-24)+in_hlth_small_renew^3*SUMIFS(AF292:AF346,B292:B346,B338-36)+in_hlth_small_renew^4*SUMIFS(AF292:AF346,B292:B346,B338-48))</f>
        <v/>
      </c>
      <c r="AH338" s="40">
        <f>AH337*(1-IF(B337&gt;=in_marketplace_from,d_hz_hlth_family*G337,0))</f>
        <v/>
      </c>
      <c r="AI338" s="46">
        <f>AH338*IF(B338&gt;=in_marketplace_from,d_hz_hlth_family*G338,0)</f>
        <v/>
      </c>
      <c r="AJ338" s="14">
        <f>F338*AI338*in_hlth_family_ticket*in_hlth_family_comm*in_ins_partner_share+F338*in_hlth_family_ticket*in_hlth_family_renew_comm*in_ins_partner_share*(in_hlth_family_renew^1*SUMIFS(AI292:AI346,B292:B346,B338-12)+in_hlth_family_renew^2*SUMIFS(AI292:AI346,B292:B346,B338-24)+in_hlth_family_renew^3*SUMIFS(AI292:AI346,B292:B346,B338-36)+in_hlth_family_renew^4*SUMIFS(AI292:AI346,B292:B346,B338-48))</f>
        <v/>
      </c>
      <c r="AK338" s="40">
        <f>AK337*(1-IF(B337&gt;=in_marketplace_from,d_hz_life_term*G337,0))</f>
        <v/>
      </c>
      <c r="AL338" s="46">
        <f>AK338*IF(B338&gt;=in_marketplace_from,d_hz_life_term*G338,0)</f>
        <v/>
      </c>
      <c r="AM338" s="14">
        <f>F338*AL338*in_life_term_ticket*in_life_term_comm*in_ins_partner_share+F338*in_life_term_ticket*in_life_term_renew_comm*in_ins_partner_share*(in_life_term_renew^1*SUMIFS(AL292:AL346,B292:B346,B338-12)+in_life_term_renew^2*SUMIFS(AL292:AL346,B292:B346,B338-24)+in_life_term_renew^3*SUMIFS(AL292:AL346,B292:B346,B338-36)+in_life_term_renew^4*SUMIFS(AL292:AL346,B292:B346,B338-48))</f>
        <v/>
      </c>
      <c r="AN338" s="40">
        <f>AN337*(1-IF(B337&gt;=in_marketplace_from,d_hz_accident*G337,0))</f>
        <v/>
      </c>
      <c r="AO338" s="46">
        <f>AN338*IF(B338&gt;=in_marketplace_from,d_hz_accident*G338,0)</f>
        <v/>
      </c>
      <c r="AP338" s="14">
        <f>F338*AO338*in_accident_ticket*in_accident_comm*in_ins_partner_share+F338*in_accident_ticket*in_accident_renew_comm*in_ins_partner_share*(in_accident_renew^1*SUMIFS(AO292:AO346,B292:B346,B338-12)+in_accident_renew^2*SUMIFS(AO292:AO346,B292:B346,B338-24)+in_accident_renew^3*SUMIFS(AO292:AO346,B292:B346,B338-36)+in_accident_renew^4*SUMIFS(AO292:AO346,B292:B346,B338-48))</f>
        <v/>
      </c>
      <c r="AQ338" s="40">
        <f>AQ337*(1-IF(B337&gt;=in_marketplace_from,d_hz_two_wheeler*G337,0))</f>
        <v/>
      </c>
      <c r="AR338" s="46">
        <f>AQ338*IF(B338&gt;=in_marketplace_from,d_hz_two_wheeler*G338,0)</f>
        <v/>
      </c>
      <c r="AS338" s="14">
        <f>F338*AR338*in_two_wheeler_ticket*in_two_wheeler_comm*in_ins_partner_share+F338*in_two_wheeler_ticket*in_two_wheeler_comm*in_ins_partner_share*(in_two_wheeler_renew^1*SUMIFS(AR292:AR346,B292:B346,B338-12)+in_two_wheeler_renew^2*SUMIFS(AR292:AR346,B292:B346,B338-24)+in_two_wheeler_renew^3*SUMIFS(AR292:AR346,B292:B346,B338-36)+in_two_wheeler_renew^4*SUMIFS(AR292:AR346,B292:B346,B338-48))</f>
        <v/>
      </c>
      <c r="AT338" s="40">
        <f>AT337*(1-IF(B337&gt;=in_marketplace_from,d_hz_device*G337,0))</f>
        <v/>
      </c>
      <c r="AU338" s="14">
        <f>F338*AT338*IF(B338&gt;=in_marketplace_from,d_hz_device*G338,0)*in_device_ticket*in_device_comm*in_ins_partner_share</f>
        <v/>
      </c>
      <c r="AV338" s="40">
        <f>AV337*(1-IF(B337&gt;=in_marketplace_from,d_hz_shop*G337,0))</f>
        <v/>
      </c>
      <c r="AW338" s="46">
        <f>AV338*IF(B338&gt;=in_marketplace_from,d_hz_shop*G338,0)</f>
        <v/>
      </c>
      <c r="AX338" s="14">
        <f>F338*AW338*in_shop_ticket*in_shop_comm*in_ins_partner_share+F338*in_shop_ticket*in_shop_renew_comm*in_ins_partner_share*(in_shop_renew^1*SUMIFS(AW292:AW346,B292:B346,B338-12)+in_shop_renew^2*SUMIFS(AW292:AW346,B292:B346,B338-24)+in_shop_renew^3*SUMIFS(AW292:AW346,B292:B346,B338-36)+in_shop_renew^4*SUMIFS(AW292:AW346,B292:B346,B338-48))</f>
        <v/>
      </c>
      <c r="AY338" s="40">
        <f>AY337*(1-IF(B337&gt;=in_marketplace_from,d_hz_sip*G337,0))</f>
        <v/>
      </c>
      <c r="AZ338" s="40">
        <f>AZ337*d_rho_sip+AY338*IF(B338&gt;=in_marketplace_from,d_hz_sip*G338,0)</f>
        <v/>
      </c>
      <c r="BA338" s="40">
        <f>d_rho_sip*(BA337+AZ337)</f>
        <v/>
      </c>
      <c r="BB338" s="14">
        <f>F338*in_sip_ticket*(BA338+0.5*AZ338)*in_sip_comm/12</f>
        <v/>
      </c>
      <c r="BC338" s="40">
        <f>BC337*(1-IF(B337&gt;=in_marketplace_from,d_hz_choti*G337,0))</f>
        <v/>
      </c>
      <c r="BD338" s="46">
        <f>BC338*IF(B338&gt;=in_marketplace_from,d_hz_choti*G338,0)</f>
        <v/>
      </c>
      <c r="BE338" s="14">
        <f>F338*SUMIFS(BD292:BD346,B292:B346,B338-in_choti_months)*in_choti_renew*in_choti_ticket</f>
        <v/>
      </c>
      <c r="BF338" s="40">
        <f>BF337*(1-IF(B337&gt;=in_marketplace_from,d_hz_nps*G337,0))</f>
        <v/>
      </c>
      <c r="BG338" s="14">
        <f>F338*BF338*IF(B338&gt;=in_marketplace_from,d_hz_nps*G338,0)*in_nps_ticket*in_nps_comm</f>
        <v/>
      </c>
      <c r="BH338" s="40">
        <f>BH337*(1-IF(B337&gt;=in_marketplace_from,d_hz_gold*G337,0))</f>
        <v/>
      </c>
      <c r="BI338" s="40">
        <f>BI337*d_rho_gold+BH338*IF(B338&gt;=in_marketplace_from,d_hz_gold*G338,0)</f>
        <v/>
      </c>
      <c r="BJ338" s="14">
        <f>F338*BI338*in_gold_ticket*in_gold_comm</f>
        <v/>
      </c>
      <c r="BK338" s="40">
        <f>BK337*(1-IF(B337&gt;=in_marketplace_from,d_hz_fd*G337,0))</f>
        <v/>
      </c>
      <c r="BL338" s="14">
        <f>F338*BK338*IF(B338&gt;=in_marketplace_from,d_hz_fd*G338,0)*in_fd_ticket*in_fd_comm</f>
        <v/>
      </c>
      <c r="BM338" s="40">
        <f>BM337*(1-IF(B337&gt;=in_marketplace_from,d_hz_recharge*G337,0))</f>
        <v/>
      </c>
      <c r="BN338" s="40">
        <f>BN337*d_rho_recharge+BM338*IF(B338&gt;=in_marketplace_from,d_hz_recharge*G338,0)</f>
        <v/>
      </c>
      <c r="BO338" s="14">
        <f>F338*BN338*in_recharge_ticket*in_recharge_comm/12</f>
        <v/>
      </c>
      <c r="BP338" s="40">
        <f>BP337*(1-IF(B337&gt;=in_marketplace_from,d_hz_bills*G337,0))</f>
        <v/>
      </c>
      <c r="BQ338" s="40">
        <f>BQ337*d_rho_bills+BP338*IF(B338&gt;=in_marketplace_from,d_hz_bills*G338,0)</f>
        <v/>
      </c>
      <c r="BR338" s="14">
        <f>F338*BQ338*in_bills_ticket*in_bills_comm/12</f>
        <v/>
      </c>
      <c r="BS338" s="40">
        <f>BS337*(1-IF(B337&gt;=in_marketplace_from,d_hz_loan_gold*G337,0))</f>
        <v/>
      </c>
      <c r="BT338" s="14">
        <f>F338*BS338*IF(B338&gt;=in_marketplace_from,d_hz_loan_gold*G338,0)*in_loan_gold_ticket*in_loan_gold_comm</f>
        <v/>
      </c>
      <c r="BU338" s="40">
        <f>BU337*(1-IF(B337&gt;=in_marketplace_from,d_hz_loan_cd*G337,0))</f>
        <v/>
      </c>
      <c r="BV338" s="14">
        <f>F338*BU338*IF(B338&gt;=in_marketplace_from,d_hz_loan_cd*G338,0)*in_loan_cd_ticket*in_loan_cd_comm</f>
        <v/>
      </c>
      <c r="BW338" s="40">
        <f>BW337*(1-IF(B337&gt;=in_marketplace_from,d_hz_loan_vehicle*G337,0))</f>
        <v/>
      </c>
      <c r="BX338" s="14">
        <f>F338*BW338*IF(B338&gt;=in_marketplace_from,d_hz_loan_vehicle*G338,0)*in_loan_vehicle_ticket*in_loan_vehicle_comm</f>
        <v/>
      </c>
      <c r="BY338" s="40">
        <f>BY337*(1-IF(B337&gt;=in_marketplace_from,d_hz_loan_home*G337,0)*BZ337)</f>
        <v/>
      </c>
      <c r="BZ338" s="11">
        <f>MIN(in_approval_cap,in_loan_home_approval*INDEX('Age profile'!$O$2:$O$61,B338)*(1+in_approval_growth)^(D338-1))</f>
        <v/>
      </c>
      <c r="CA338" s="14">
        <f>F338*BY338*IF(B338&gt;=in_marketplace_from,d_hz_loan_home*G338,0)*BZ338*in_loan_home_ticket*in_loan_home_comm</f>
        <v/>
      </c>
      <c r="CB338" s="40">
        <f>CB337*(1-IF(B337&gt;=in_marketplace_from,d_hz_loan_lap*G337,0)*CC337)</f>
        <v/>
      </c>
      <c r="CC338" s="11">
        <f>MIN(in_approval_cap,in_loan_lap_approval*INDEX('Age profile'!$O$2:$O$61,B338)*(1+in_approval_growth)^(D338-1))</f>
        <v/>
      </c>
      <c r="CD338" s="14">
        <f>F338*CB338*IF(B338&gt;=in_marketplace_from,d_hz_loan_lap*G338,0)*CC338*in_loan_lap_ticket*in_loan_lap_comm</f>
        <v/>
      </c>
      <c r="CE338" s="14">
        <f>AA338+AB338+AC338+AD338+AG338+AJ338+AM338+AP338+AS338+AU338+AX338+BB338+BE338+BG338+BJ338+BL338+BO338+BR338+BT338+BV338+BX338+CA338+CD338</f>
        <v/>
      </c>
    </row>
    <row r="339">
      <c r="A339" s="39" t="n">
        <v>6</v>
      </c>
      <c r="B339" s="39" t="n">
        <v>48</v>
      </c>
      <c r="C339" s="39">
        <f>A339+B339-1</f>
        <v/>
      </c>
      <c r="D339" s="39">
        <f>INT((C339-1)/12)+1</f>
        <v/>
      </c>
      <c r="E339" s="44">
        <f>INDEX(Monthly!$B$2:$B$61,A339)</f>
        <v/>
      </c>
      <c r="F339" s="44">
        <f>E339*INDEX('Age profile'!$B$2:$B$61,B339)</f>
        <v/>
      </c>
      <c r="G339" s="45">
        <f>MIN(in_takeup_cap,INDEX('Age profile'!$N$2:$N$61,B339)*(1+in_takeup_growth)^(D339-1))</f>
        <v/>
      </c>
      <c r="H339" s="11">
        <f>MIN(in_approval_cap,in_approved_first*INDEX('Age profile'!$O$2:$O$61,B339)*(1+in_approval_growth)^(D339-1))</f>
        <v/>
      </c>
      <c r="I339" s="45">
        <f>G339*MIN(in_takeup_cap,INDEX('Age profile'!$O$2:$O$61,B339)*(1+in_approval_growth)^(D339-1))</f>
        <v/>
      </c>
      <c r="J339" s="40">
        <f>(J338-L338)*F339/F338</f>
        <v/>
      </c>
      <c r="K339" s="40">
        <f>(K338-M338)*F339/F338+SUMIFS(O292:O338,B292:B338,B339-1-d_T)*F339</f>
        <v/>
      </c>
      <c r="L339" s="40">
        <f>IF(B339&gt;=in_marketplace_from,J339*d_hz*G339*in_eligible*H339,0)</f>
        <v/>
      </c>
      <c r="M339" s="40">
        <f>IF(B339&gt;=in_marketplace_from,K339*d_hz*G339*in_eligible*in_approved_repeat,0)</f>
        <v/>
      </c>
      <c r="N339" s="40">
        <f>L339+M339</f>
        <v/>
      </c>
      <c r="O339" s="46">
        <f>N339/F339</f>
        <v/>
      </c>
      <c r="P339" s="40">
        <f>F339-J339-K339</f>
        <v/>
      </c>
      <c r="Q339" s="40">
        <f>IF(B339&gt;=in_marketplace_from,(J339+K339)*d_hz*G339,0)</f>
        <v/>
      </c>
      <c r="R339" s="40">
        <f>SUMIFS(N292:N346,B292:B346,"&gt;="&amp;(B339-d_T),B292:B346,"&lt;="&amp;(B339-1))</f>
        <v/>
      </c>
      <c r="S339" s="46">
        <f>(1-d_u)*S338+IF(d_T&gt;in_topup_lag,SUMIFS(O292:O346,B292:B346,B339-in_topup_lag)-d_udrop*SUMIFS(O292:O346,B292:B346,B339-d_T),0)</f>
        <v/>
      </c>
      <c r="T339" s="40">
        <f>F339*d_u*S339</f>
        <v/>
      </c>
      <c r="U339" s="9">
        <f>L339*in_ticket+M339*d_rep_ticket</f>
        <v/>
      </c>
      <c r="V339" s="9">
        <f>U339+T339*d_topup_amt</f>
        <v/>
      </c>
      <c r="W339" s="40">
        <f>N339+T339*d_topup_ratio</f>
        <v/>
      </c>
      <c r="X339" s="40">
        <f>SUMIFS(W292:W346,B292:B346,B339-in_dpd_lag)*d_cured</f>
        <v/>
      </c>
      <c r="Y339" s="40">
        <f>SUMIFS(W292:W346,B292:B346,B339-in_rec_lag)*d_recd</f>
        <v/>
      </c>
      <c r="Z339" s="40">
        <f>IF(AND(B339&gt;=in_marketplace_from,B339&lt;in_marketplace_from+in_card_months),in_card_share/in_card_months*F339*I339,IF(AND(B339&gt;=in_marketplace_from+in_card_months,B339&lt;in_marketplace_from+2*in_card_months),in_card_share*d_card_rem/in_card_months*F339*MIN(in_takeup_cap,(1+in_takeup_growth)^(D339-1))*MIN(in_takeup_cap,(1+in_approval_growth)^(D339-1)),0))</f>
        <v/>
      </c>
      <c r="AA339" s="14">
        <f>V339*in_fee*(1-in_taken_back)</f>
        <v/>
      </c>
      <c r="AB339" s="14">
        <f>SUMIFS(W292:W346,B292:B346,B339-in_dpd_lag)*d_dpd</f>
        <v/>
      </c>
      <c r="AC339" s="14">
        <f>SUMIFS(W292:W346,B292:B346,B339-in_rec_lag)*d_rec</f>
        <v/>
      </c>
      <c r="AD339" s="14">
        <f>Z339*in_card_fee</f>
        <v/>
      </c>
      <c r="AE339" s="40">
        <f>AE338*(1-IF(B338&gt;=in_marketplace_from,d_hz_hlth_small*G338,0))</f>
        <v/>
      </c>
      <c r="AF339" s="46">
        <f>AE339*IF(B339&gt;=in_marketplace_from,d_hz_hlth_small*G339,0)</f>
        <v/>
      </c>
      <c r="AG339" s="14">
        <f>F339*AF339*in_hlth_small_ticket*in_hlth_small_comm*in_ins_partner_share+F339*in_hlth_small_ticket*in_hlth_small_renew_comm*in_ins_partner_share*(in_hlth_small_renew^1*SUMIFS(AF292:AF346,B292:B346,B339-12)+in_hlth_small_renew^2*SUMIFS(AF292:AF346,B292:B346,B339-24)+in_hlth_small_renew^3*SUMIFS(AF292:AF346,B292:B346,B339-36)+in_hlth_small_renew^4*SUMIFS(AF292:AF346,B292:B346,B339-48))</f>
        <v/>
      </c>
      <c r="AH339" s="40">
        <f>AH338*(1-IF(B338&gt;=in_marketplace_from,d_hz_hlth_family*G338,0))</f>
        <v/>
      </c>
      <c r="AI339" s="46">
        <f>AH339*IF(B339&gt;=in_marketplace_from,d_hz_hlth_family*G339,0)</f>
        <v/>
      </c>
      <c r="AJ339" s="14">
        <f>F339*AI339*in_hlth_family_ticket*in_hlth_family_comm*in_ins_partner_share+F339*in_hlth_family_ticket*in_hlth_family_renew_comm*in_ins_partner_share*(in_hlth_family_renew^1*SUMIFS(AI292:AI346,B292:B346,B339-12)+in_hlth_family_renew^2*SUMIFS(AI292:AI346,B292:B346,B339-24)+in_hlth_family_renew^3*SUMIFS(AI292:AI346,B292:B346,B339-36)+in_hlth_family_renew^4*SUMIFS(AI292:AI346,B292:B346,B339-48))</f>
        <v/>
      </c>
      <c r="AK339" s="40">
        <f>AK338*(1-IF(B338&gt;=in_marketplace_from,d_hz_life_term*G338,0))</f>
        <v/>
      </c>
      <c r="AL339" s="46">
        <f>AK339*IF(B339&gt;=in_marketplace_from,d_hz_life_term*G339,0)</f>
        <v/>
      </c>
      <c r="AM339" s="14">
        <f>F339*AL339*in_life_term_ticket*in_life_term_comm*in_ins_partner_share+F339*in_life_term_ticket*in_life_term_renew_comm*in_ins_partner_share*(in_life_term_renew^1*SUMIFS(AL292:AL346,B292:B346,B339-12)+in_life_term_renew^2*SUMIFS(AL292:AL346,B292:B346,B339-24)+in_life_term_renew^3*SUMIFS(AL292:AL346,B292:B346,B339-36)+in_life_term_renew^4*SUMIFS(AL292:AL346,B292:B346,B339-48))</f>
        <v/>
      </c>
      <c r="AN339" s="40">
        <f>AN338*(1-IF(B338&gt;=in_marketplace_from,d_hz_accident*G338,0))</f>
        <v/>
      </c>
      <c r="AO339" s="46">
        <f>AN339*IF(B339&gt;=in_marketplace_from,d_hz_accident*G339,0)</f>
        <v/>
      </c>
      <c r="AP339" s="14">
        <f>F339*AO339*in_accident_ticket*in_accident_comm*in_ins_partner_share+F339*in_accident_ticket*in_accident_renew_comm*in_ins_partner_share*(in_accident_renew^1*SUMIFS(AO292:AO346,B292:B346,B339-12)+in_accident_renew^2*SUMIFS(AO292:AO346,B292:B346,B339-24)+in_accident_renew^3*SUMIFS(AO292:AO346,B292:B346,B339-36)+in_accident_renew^4*SUMIFS(AO292:AO346,B292:B346,B339-48))</f>
        <v/>
      </c>
      <c r="AQ339" s="40">
        <f>AQ338*(1-IF(B338&gt;=in_marketplace_from,d_hz_two_wheeler*G338,0))</f>
        <v/>
      </c>
      <c r="AR339" s="46">
        <f>AQ339*IF(B339&gt;=in_marketplace_from,d_hz_two_wheeler*G339,0)</f>
        <v/>
      </c>
      <c r="AS339" s="14">
        <f>F339*AR339*in_two_wheeler_ticket*in_two_wheeler_comm*in_ins_partner_share+F339*in_two_wheeler_ticket*in_two_wheeler_comm*in_ins_partner_share*(in_two_wheeler_renew^1*SUMIFS(AR292:AR346,B292:B346,B339-12)+in_two_wheeler_renew^2*SUMIFS(AR292:AR346,B292:B346,B339-24)+in_two_wheeler_renew^3*SUMIFS(AR292:AR346,B292:B346,B339-36)+in_two_wheeler_renew^4*SUMIFS(AR292:AR346,B292:B346,B339-48))</f>
        <v/>
      </c>
      <c r="AT339" s="40">
        <f>AT338*(1-IF(B338&gt;=in_marketplace_from,d_hz_device*G338,0))</f>
        <v/>
      </c>
      <c r="AU339" s="14">
        <f>F339*AT339*IF(B339&gt;=in_marketplace_from,d_hz_device*G339,0)*in_device_ticket*in_device_comm*in_ins_partner_share</f>
        <v/>
      </c>
      <c r="AV339" s="40">
        <f>AV338*(1-IF(B338&gt;=in_marketplace_from,d_hz_shop*G338,0))</f>
        <v/>
      </c>
      <c r="AW339" s="46">
        <f>AV339*IF(B339&gt;=in_marketplace_from,d_hz_shop*G339,0)</f>
        <v/>
      </c>
      <c r="AX339" s="14">
        <f>F339*AW339*in_shop_ticket*in_shop_comm*in_ins_partner_share+F339*in_shop_ticket*in_shop_renew_comm*in_ins_partner_share*(in_shop_renew^1*SUMIFS(AW292:AW346,B292:B346,B339-12)+in_shop_renew^2*SUMIFS(AW292:AW346,B292:B346,B339-24)+in_shop_renew^3*SUMIFS(AW292:AW346,B292:B346,B339-36)+in_shop_renew^4*SUMIFS(AW292:AW346,B292:B346,B339-48))</f>
        <v/>
      </c>
      <c r="AY339" s="40">
        <f>AY338*(1-IF(B338&gt;=in_marketplace_from,d_hz_sip*G338,0))</f>
        <v/>
      </c>
      <c r="AZ339" s="40">
        <f>AZ338*d_rho_sip+AY339*IF(B339&gt;=in_marketplace_from,d_hz_sip*G339,0)</f>
        <v/>
      </c>
      <c r="BA339" s="40">
        <f>d_rho_sip*(BA338+AZ338)</f>
        <v/>
      </c>
      <c r="BB339" s="14">
        <f>F339*in_sip_ticket*(BA339+0.5*AZ339)*in_sip_comm/12</f>
        <v/>
      </c>
      <c r="BC339" s="40">
        <f>BC338*(1-IF(B338&gt;=in_marketplace_from,d_hz_choti*G338,0))</f>
        <v/>
      </c>
      <c r="BD339" s="46">
        <f>BC339*IF(B339&gt;=in_marketplace_from,d_hz_choti*G339,0)</f>
        <v/>
      </c>
      <c r="BE339" s="14">
        <f>F339*SUMIFS(BD292:BD346,B292:B346,B339-in_choti_months)*in_choti_renew*in_choti_ticket</f>
        <v/>
      </c>
      <c r="BF339" s="40">
        <f>BF338*(1-IF(B338&gt;=in_marketplace_from,d_hz_nps*G338,0))</f>
        <v/>
      </c>
      <c r="BG339" s="14">
        <f>F339*BF339*IF(B339&gt;=in_marketplace_from,d_hz_nps*G339,0)*in_nps_ticket*in_nps_comm</f>
        <v/>
      </c>
      <c r="BH339" s="40">
        <f>BH338*(1-IF(B338&gt;=in_marketplace_from,d_hz_gold*G338,0))</f>
        <v/>
      </c>
      <c r="BI339" s="40">
        <f>BI338*d_rho_gold+BH339*IF(B339&gt;=in_marketplace_from,d_hz_gold*G339,0)</f>
        <v/>
      </c>
      <c r="BJ339" s="14">
        <f>F339*BI339*in_gold_ticket*in_gold_comm</f>
        <v/>
      </c>
      <c r="BK339" s="40">
        <f>BK338*(1-IF(B338&gt;=in_marketplace_from,d_hz_fd*G338,0))</f>
        <v/>
      </c>
      <c r="BL339" s="14">
        <f>F339*BK339*IF(B339&gt;=in_marketplace_from,d_hz_fd*G339,0)*in_fd_ticket*in_fd_comm</f>
        <v/>
      </c>
      <c r="BM339" s="40">
        <f>BM338*(1-IF(B338&gt;=in_marketplace_from,d_hz_recharge*G338,0))</f>
        <v/>
      </c>
      <c r="BN339" s="40">
        <f>BN338*d_rho_recharge+BM339*IF(B339&gt;=in_marketplace_from,d_hz_recharge*G339,0)</f>
        <v/>
      </c>
      <c r="BO339" s="14">
        <f>F339*BN339*in_recharge_ticket*in_recharge_comm/12</f>
        <v/>
      </c>
      <c r="BP339" s="40">
        <f>BP338*(1-IF(B338&gt;=in_marketplace_from,d_hz_bills*G338,0))</f>
        <v/>
      </c>
      <c r="BQ339" s="40">
        <f>BQ338*d_rho_bills+BP339*IF(B339&gt;=in_marketplace_from,d_hz_bills*G339,0)</f>
        <v/>
      </c>
      <c r="BR339" s="14">
        <f>F339*BQ339*in_bills_ticket*in_bills_comm/12</f>
        <v/>
      </c>
      <c r="BS339" s="40">
        <f>BS338*(1-IF(B338&gt;=in_marketplace_from,d_hz_loan_gold*G338,0))</f>
        <v/>
      </c>
      <c r="BT339" s="14">
        <f>F339*BS339*IF(B339&gt;=in_marketplace_from,d_hz_loan_gold*G339,0)*in_loan_gold_ticket*in_loan_gold_comm</f>
        <v/>
      </c>
      <c r="BU339" s="40">
        <f>BU338*(1-IF(B338&gt;=in_marketplace_from,d_hz_loan_cd*G338,0))</f>
        <v/>
      </c>
      <c r="BV339" s="14">
        <f>F339*BU339*IF(B339&gt;=in_marketplace_from,d_hz_loan_cd*G339,0)*in_loan_cd_ticket*in_loan_cd_comm</f>
        <v/>
      </c>
      <c r="BW339" s="40">
        <f>BW338*(1-IF(B338&gt;=in_marketplace_from,d_hz_loan_vehicle*G338,0))</f>
        <v/>
      </c>
      <c r="BX339" s="14">
        <f>F339*BW339*IF(B339&gt;=in_marketplace_from,d_hz_loan_vehicle*G339,0)*in_loan_vehicle_ticket*in_loan_vehicle_comm</f>
        <v/>
      </c>
      <c r="BY339" s="40">
        <f>BY338*(1-IF(B338&gt;=in_marketplace_from,d_hz_loan_home*G338,0)*BZ338)</f>
        <v/>
      </c>
      <c r="BZ339" s="11">
        <f>MIN(in_approval_cap,in_loan_home_approval*INDEX('Age profile'!$O$2:$O$61,B339)*(1+in_approval_growth)^(D339-1))</f>
        <v/>
      </c>
      <c r="CA339" s="14">
        <f>F339*BY339*IF(B339&gt;=in_marketplace_from,d_hz_loan_home*G339,0)*BZ339*in_loan_home_ticket*in_loan_home_comm</f>
        <v/>
      </c>
      <c r="CB339" s="40">
        <f>CB338*(1-IF(B338&gt;=in_marketplace_from,d_hz_loan_lap*G338,0)*CC338)</f>
        <v/>
      </c>
      <c r="CC339" s="11">
        <f>MIN(in_approval_cap,in_loan_lap_approval*INDEX('Age profile'!$O$2:$O$61,B339)*(1+in_approval_growth)^(D339-1))</f>
        <v/>
      </c>
      <c r="CD339" s="14">
        <f>F339*CB339*IF(B339&gt;=in_marketplace_from,d_hz_loan_lap*G339,0)*CC339*in_loan_lap_ticket*in_loan_lap_comm</f>
        <v/>
      </c>
      <c r="CE339" s="14">
        <f>AA339+AB339+AC339+AD339+AG339+AJ339+AM339+AP339+AS339+AU339+AX339+BB339+BE339+BG339+BJ339+BL339+BO339+BR339+BT339+BV339+BX339+CA339+CD339</f>
        <v/>
      </c>
    </row>
    <row r="340">
      <c r="A340" s="39" t="n">
        <v>6</v>
      </c>
      <c r="B340" s="39" t="n">
        <v>49</v>
      </c>
      <c r="C340" s="39">
        <f>A340+B340-1</f>
        <v/>
      </c>
      <c r="D340" s="39">
        <f>INT((C340-1)/12)+1</f>
        <v/>
      </c>
      <c r="E340" s="44">
        <f>INDEX(Monthly!$B$2:$B$61,A340)</f>
        <v/>
      </c>
      <c r="F340" s="44">
        <f>E340*INDEX('Age profile'!$B$2:$B$61,B340)</f>
        <v/>
      </c>
      <c r="G340" s="45">
        <f>MIN(in_takeup_cap,INDEX('Age profile'!$N$2:$N$61,B340)*(1+in_takeup_growth)^(D340-1))</f>
        <v/>
      </c>
      <c r="H340" s="11">
        <f>MIN(in_approval_cap,in_approved_first*INDEX('Age profile'!$O$2:$O$61,B340)*(1+in_approval_growth)^(D340-1))</f>
        <v/>
      </c>
      <c r="I340" s="45">
        <f>G340*MIN(in_takeup_cap,INDEX('Age profile'!$O$2:$O$61,B340)*(1+in_approval_growth)^(D340-1))</f>
        <v/>
      </c>
      <c r="J340" s="40">
        <f>(J339-L339)*F340/F339</f>
        <v/>
      </c>
      <c r="K340" s="40">
        <f>(K339-M339)*F340/F339+SUMIFS(O292:O339,B292:B339,B340-1-d_T)*F340</f>
        <v/>
      </c>
      <c r="L340" s="40">
        <f>IF(B340&gt;=in_marketplace_from,J340*d_hz*G340*in_eligible*H340,0)</f>
        <v/>
      </c>
      <c r="M340" s="40">
        <f>IF(B340&gt;=in_marketplace_from,K340*d_hz*G340*in_eligible*in_approved_repeat,0)</f>
        <v/>
      </c>
      <c r="N340" s="40">
        <f>L340+M340</f>
        <v/>
      </c>
      <c r="O340" s="46">
        <f>N340/F340</f>
        <v/>
      </c>
      <c r="P340" s="40">
        <f>F340-J340-K340</f>
        <v/>
      </c>
      <c r="Q340" s="40">
        <f>IF(B340&gt;=in_marketplace_from,(J340+K340)*d_hz*G340,0)</f>
        <v/>
      </c>
      <c r="R340" s="40">
        <f>SUMIFS(N292:N346,B292:B346,"&gt;="&amp;(B340-d_T),B292:B346,"&lt;="&amp;(B340-1))</f>
        <v/>
      </c>
      <c r="S340" s="46">
        <f>(1-d_u)*S339+IF(d_T&gt;in_topup_lag,SUMIFS(O292:O346,B292:B346,B340-in_topup_lag)-d_udrop*SUMIFS(O292:O346,B292:B346,B340-d_T),0)</f>
        <v/>
      </c>
      <c r="T340" s="40">
        <f>F340*d_u*S340</f>
        <v/>
      </c>
      <c r="U340" s="9">
        <f>L340*in_ticket+M340*d_rep_ticket</f>
        <v/>
      </c>
      <c r="V340" s="9">
        <f>U340+T340*d_topup_amt</f>
        <v/>
      </c>
      <c r="W340" s="40">
        <f>N340+T340*d_topup_ratio</f>
        <v/>
      </c>
      <c r="X340" s="40">
        <f>SUMIFS(W292:W346,B292:B346,B340-in_dpd_lag)*d_cured</f>
        <v/>
      </c>
      <c r="Y340" s="40">
        <f>SUMIFS(W292:W346,B292:B346,B340-in_rec_lag)*d_recd</f>
        <v/>
      </c>
      <c r="Z340" s="40">
        <f>IF(AND(B340&gt;=in_marketplace_from,B340&lt;in_marketplace_from+in_card_months),in_card_share/in_card_months*F340*I340,IF(AND(B340&gt;=in_marketplace_from+in_card_months,B340&lt;in_marketplace_from+2*in_card_months),in_card_share*d_card_rem/in_card_months*F340*MIN(in_takeup_cap,(1+in_takeup_growth)^(D340-1))*MIN(in_takeup_cap,(1+in_approval_growth)^(D340-1)),0))</f>
        <v/>
      </c>
      <c r="AA340" s="14">
        <f>V340*in_fee*(1-in_taken_back)</f>
        <v/>
      </c>
      <c r="AB340" s="14">
        <f>SUMIFS(W292:W346,B292:B346,B340-in_dpd_lag)*d_dpd</f>
        <v/>
      </c>
      <c r="AC340" s="14">
        <f>SUMIFS(W292:W346,B292:B346,B340-in_rec_lag)*d_rec</f>
        <v/>
      </c>
      <c r="AD340" s="14">
        <f>Z340*in_card_fee</f>
        <v/>
      </c>
      <c r="AE340" s="40">
        <f>AE339*(1-IF(B339&gt;=in_marketplace_from,d_hz_hlth_small*G339,0))</f>
        <v/>
      </c>
      <c r="AF340" s="46">
        <f>AE340*IF(B340&gt;=in_marketplace_from,d_hz_hlth_small*G340,0)</f>
        <v/>
      </c>
      <c r="AG340" s="14">
        <f>F340*AF340*in_hlth_small_ticket*in_hlth_small_comm*in_ins_partner_share+F340*in_hlth_small_ticket*in_hlth_small_renew_comm*in_ins_partner_share*(in_hlth_small_renew^1*SUMIFS(AF292:AF346,B292:B346,B340-12)+in_hlth_small_renew^2*SUMIFS(AF292:AF346,B292:B346,B340-24)+in_hlth_small_renew^3*SUMIFS(AF292:AF346,B292:B346,B340-36)+in_hlth_small_renew^4*SUMIFS(AF292:AF346,B292:B346,B340-48))</f>
        <v/>
      </c>
      <c r="AH340" s="40">
        <f>AH339*(1-IF(B339&gt;=in_marketplace_from,d_hz_hlth_family*G339,0))</f>
        <v/>
      </c>
      <c r="AI340" s="46">
        <f>AH340*IF(B340&gt;=in_marketplace_from,d_hz_hlth_family*G340,0)</f>
        <v/>
      </c>
      <c r="AJ340" s="14">
        <f>F340*AI340*in_hlth_family_ticket*in_hlth_family_comm*in_ins_partner_share+F340*in_hlth_family_ticket*in_hlth_family_renew_comm*in_ins_partner_share*(in_hlth_family_renew^1*SUMIFS(AI292:AI346,B292:B346,B340-12)+in_hlth_family_renew^2*SUMIFS(AI292:AI346,B292:B346,B340-24)+in_hlth_family_renew^3*SUMIFS(AI292:AI346,B292:B346,B340-36)+in_hlth_family_renew^4*SUMIFS(AI292:AI346,B292:B346,B340-48))</f>
        <v/>
      </c>
      <c r="AK340" s="40">
        <f>AK339*(1-IF(B339&gt;=in_marketplace_from,d_hz_life_term*G339,0))</f>
        <v/>
      </c>
      <c r="AL340" s="46">
        <f>AK340*IF(B340&gt;=in_marketplace_from,d_hz_life_term*G340,0)</f>
        <v/>
      </c>
      <c r="AM340" s="14">
        <f>F340*AL340*in_life_term_ticket*in_life_term_comm*in_ins_partner_share+F340*in_life_term_ticket*in_life_term_renew_comm*in_ins_partner_share*(in_life_term_renew^1*SUMIFS(AL292:AL346,B292:B346,B340-12)+in_life_term_renew^2*SUMIFS(AL292:AL346,B292:B346,B340-24)+in_life_term_renew^3*SUMIFS(AL292:AL346,B292:B346,B340-36)+in_life_term_renew^4*SUMIFS(AL292:AL346,B292:B346,B340-48))</f>
        <v/>
      </c>
      <c r="AN340" s="40">
        <f>AN339*(1-IF(B339&gt;=in_marketplace_from,d_hz_accident*G339,0))</f>
        <v/>
      </c>
      <c r="AO340" s="46">
        <f>AN340*IF(B340&gt;=in_marketplace_from,d_hz_accident*G340,0)</f>
        <v/>
      </c>
      <c r="AP340" s="14">
        <f>F340*AO340*in_accident_ticket*in_accident_comm*in_ins_partner_share+F340*in_accident_ticket*in_accident_renew_comm*in_ins_partner_share*(in_accident_renew^1*SUMIFS(AO292:AO346,B292:B346,B340-12)+in_accident_renew^2*SUMIFS(AO292:AO346,B292:B346,B340-24)+in_accident_renew^3*SUMIFS(AO292:AO346,B292:B346,B340-36)+in_accident_renew^4*SUMIFS(AO292:AO346,B292:B346,B340-48))</f>
        <v/>
      </c>
      <c r="AQ340" s="40">
        <f>AQ339*(1-IF(B339&gt;=in_marketplace_from,d_hz_two_wheeler*G339,0))</f>
        <v/>
      </c>
      <c r="AR340" s="46">
        <f>AQ340*IF(B340&gt;=in_marketplace_from,d_hz_two_wheeler*G340,0)</f>
        <v/>
      </c>
      <c r="AS340" s="14">
        <f>F340*AR340*in_two_wheeler_ticket*in_two_wheeler_comm*in_ins_partner_share+F340*in_two_wheeler_ticket*in_two_wheeler_comm*in_ins_partner_share*(in_two_wheeler_renew^1*SUMIFS(AR292:AR346,B292:B346,B340-12)+in_two_wheeler_renew^2*SUMIFS(AR292:AR346,B292:B346,B340-24)+in_two_wheeler_renew^3*SUMIFS(AR292:AR346,B292:B346,B340-36)+in_two_wheeler_renew^4*SUMIFS(AR292:AR346,B292:B346,B340-48))</f>
        <v/>
      </c>
      <c r="AT340" s="40">
        <f>AT339*(1-IF(B339&gt;=in_marketplace_from,d_hz_device*G339,0))</f>
        <v/>
      </c>
      <c r="AU340" s="14">
        <f>F340*AT340*IF(B340&gt;=in_marketplace_from,d_hz_device*G340,0)*in_device_ticket*in_device_comm*in_ins_partner_share</f>
        <v/>
      </c>
      <c r="AV340" s="40">
        <f>AV339*(1-IF(B339&gt;=in_marketplace_from,d_hz_shop*G339,0))</f>
        <v/>
      </c>
      <c r="AW340" s="46">
        <f>AV340*IF(B340&gt;=in_marketplace_from,d_hz_shop*G340,0)</f>
        <v/>
      </c>
      <c r="AX340" s="14">
        <f>F340*AW340*in_shop_ticket*in_shop_comm*in_ins_partner_share+F340*in_shop_ticket*in_shop_renew_comm*in_ins_partner_share*(in_shop_renew^1*SUMIFS(AW292:AW346,B292:B346,B340-12)+in_shop_renew^2*SUMIFS(AW292:AW346,B292:B346,B340-24)+in_shop_renew^3*SUMIFS(AW292:AW346,B292:B346,B340-36)+in_shop_renew^4*SUMIFS(AW292:AW346,B292:B346,B340-48))</f>
        <v/>
      </c>
      <c r="AY340" s="40">
        <f>AY339*(1-IF(B339&gt;=in_marketplace_from,d_hz_sip*G339,0))</f>
        <v/>
      </c>
      <c r="AZ340" s="40">
        <f>AZ339*d_rho_sip+AY340*IF(B340&gt;=in_marketplace_from,d_hz_sip*G340,0)</f>
        <v/>
      </c>
      <c r="BA340" s="40">
        <f>d_rho_sip*(BA339+AZ339)</f>
        <v/>
      </c>
      <c r="BB340" s="14">
        <f>F340*in_sip_ticket*(BA340+0.5*AZ340)*in_sip_comm/12</f>
        <v/>
      </c>
      <c r="BC340" s="40">
        <f>BC339*(1-IF(B339&gt;=in_marketplace_from,d_hz_choti*G339,0))</f>
        <v/>
      </c>
      <c r="BD340" s="46">
        <f>BC340*IF(B340&gt;=in_marketplace_from,d_hz_choti*G340,0)</f>
        <v/>
      </c>
      <c r="BE340" s="14">
        <f>F340*SUMIFS(BD292:BD346,B292:B346,B340-in_choti_months)*in_choti_renew*in_choti_ticket</f>
        <v/>
      </c>
      <c r="BF340" s="40">
        <f>BF339*(1-IF(B339&gt;=in_marketplace_from,d_hz_nps*G339,0))</f>
        <v/>
      </c>
      <c r="BG340" s="14">
        <f>F340*BF340*IF(B340&gt;=in_marketplace_from,d_hz_nps*G340,0)*in_nps_ticket*in_nps_comm</f>
        <v/>
      </c>
      <c r="BH340" s="40">
        <f>BH339*(1-IF(B339&gt;=in_marketplace_from,d_hz_gold*G339,0))</f>
        <v/>
      </c>
      <c r="BI340" s="40">
        <f>BI339*d_rho_gold+BH340*IF(B340&gt;=in_marketplace_from,d_hz_gold*G340,0)</f>
        <v/>
      </c>
      <c r="BJ340" s="14">
        <f>F340*BI340*in_gold_ticket*in_gold_comm</f>
        <v/>
      </c>
      <c r="BK340" s="40">
        <f>BK339*(1-IF(B339&gt;=in_marketplace_from,d_hz_fd*G339,0))</f>
        <v/>
      </c>
      <c r="BL340" s="14">
        <f>F340*BK340*IF(B340&gt;=in_marketplace_from,d_hz_fd*G340,0)*in_fd_ticket*in_fd_comm</f>
        <v/>
      </c>
      <c r="BM340" s="40">
        <f>BM339*(1-IF(B339&gt;=in_marketplace_from,d_hz_recharge*G339,0))</f>
        <v/>
      </c>
      <c r="BN340" s="40">
        <f>BN339*d_rho_recharge+BM340*IF(B340&gt;=in_marketplace_from,d_hz_recharge*G340,0)</f>
        <v/>
      </c>
      <c r="BO340" s="14">
        <f>F340*BN340*in_recharge_ticket*in_recharge_comm/12</f>
        <v/>
      </c>
      <c r="BP340" s="40">
        <f>BP339*(1-IF(B339&gt;=in_marketplace_from,d_hz_bills*G339,0))</f>
        <v/>
      </c>
      <c r="BQ340" s="40">
        <f>BQ339*d_rho_bills+BP340*IF(B340&gt;=in_marketplace_from,d_hz_bills*G340,0)</f>
        <v/>
      </c>
      <c r="BR340" s="14">
        <f>F340*BQ340*in_bills_ticket*in_bills_comm/12</f>
        <v/>
      </c>
      <c r="BS340" s="40">
        <f>BS339*(1-IF(B339&gt;=in_marketplace_from,d_hz_loan_gold*G339,0))</f>
        <v/>
      </c>
      <c r="BT340" s="14">
        <f>F340*BS340*IF(B340&gt;=in_marketplace_from,d_hz_loan_gold*G340,0)*in_loan_gold_ticket*in_loan_gold_comm</f>
        <v/>
      </c>
      <c r="BU340" s="40">
        <f>BU339*(1-IF(B339&gt;=in_marketplace_from,d_hz_loan_cd*G339,0))</f>
        <v/>
      </c>
      <c r="BV340" s="14">
        <f>F340*BU340*IF(B340&gt;=in_marketplace_from,d_hz_loan_cd*G340,0)*in_loan_cd_ticket*in_loan_cd_comm</f>
        <v/>
      </c>
      <c r="BW340" s="40">
        <f>BW339*(1-IF(B339&gt;=in_marketplace_from,d_hz_loan_vehicle*G339,0))</f>
        <v/>
      </c>
      <c r="BX340" s="14">
        <f>F340*BW340*IF(B340&gt;=in_marketplace_from,d_hz_loan_vehicle*G340,0)*in_loan_vehicle_ticket*in_loan_vehicle_comm</f>
        <v/>
      </c>
      <c r="BY340" s="40">
        <f>BY339*(1-IF(B339&gt;=in_marketplace_from,d_hz_loan_home*G339,0)*BZ339)</f>
        <v/>
      </c>
      <c r="BZ340" s="11">
        <f>MIN(in_approval_cap,in_loan_home_approval*INDEX('Age profile'!$O$2:$O$61,B340)*(1+in_approval_growth)^(D340-1))</f>
        <v/>
      </c>
      <c r="CA340" s="14">
        <f>F340*BY340*IF(B340&gt;=in_marketplace_from,d_hz_loan_home*G340,0)*BZ340*in_loan_home_ticket*in_loan_home_comm</f>
        <v/>
      </c>
      <c r="CB340" s="40">
        <f>CB339*(1-IF(B339&gt;=in_marketplace_from,d_hz_loan_lap*G339,0)*CC339)</f>
        <v/>
      </c>
      <c r="CC340" s="11">
        <f>MIN(in_approval_cap,in_loan_lap_approval*INDEX('Age profile'!$O$2:$O$61,B340)*(1+in_approval_growth)^(D340-1))</f>
        <v/>
      </c>
      <c r="CD340" s="14">
        <f>F340*CB340*IF(B340&gt;=in_marketplace_from,d_hz_loan_lap*G340,0)*CC340*in_loan_lap_ticket*in_loan_lap_comm</f>
        <v/>
      </c>
      <c r="CE340" s="14">
        <f>AA340+AB340+AC340+AD340+AG340+AJ340+AM340+AP340+AS340+AU340+AX340+BB340+BE340+BG340+BJ340+BL340+BO340+BR340+BT340+BV340+BX340+CA340+CD340</f>
        <v/>
      </c>
    </row>
    <row r="341">
      <c r="A341" s="39" t="n">
        <v>6</v>
      </c>
      <c r="B341" s="39" t="n">
        <v>50</v>
      </c>
      <c r="C341" s="39">
        <f>A341+B341-1</f>
        <v/>
      </c>
      <c r="D341" s="39">
        <f>INT((C341-1)/12)+1</f>
        <v/>
      </c>
      <c r="E341" s="44">
        <f>INDEX(Monthly!$B$2:$B$61,A341)</f>
        <v/>
      </c>
      <c r="F341" s="44">
        <f>E341*INDEX('Age profile'!$B$2:$B$61,B341)</f>
        <v/>
      </c>
      <c r="G341" s="45">
        <f>MIN(in_takeup_cap,INDEX('Age profile'!$N$2:$N$61,B341)*(1+in_takeup_growth)^(D341-1))</f>
        <v/>
      </c>
      <c r="H341" s="11">
        <f>MIN(in_approval_cap,in_approved_first*INDEX('Age profile'!$O$2:$O$61,B341)*(1+in_approval_growth)^(D341-1))</f>
        <v/>
      </c>
      <c r="I341" s="45">
        <f>G341*MIN(in_takeup_cap,INDEX('Age profile'!$O$2:$O$61,B341)*(1+in_approval_growth)^(D341-1))</f>
        <v/>
      </c>
      <c r="J341" s="40">
        <f>(J340-L340)*F341/F340</f>
        <v/>
      </c>
      <c r="K341" s="40">
        <f>(K340-M340)*F341/F340+SUMIFS(O292:O340,B292:B340,B341-1-d_T)*F341</f>
        <v/>
      </c>
      <c r="L341" s="40">
        <f>IF(B341&gt;=in_marketplace_from,J341*d_hz*G341*in_eligible*H341,0)</f>
        <v/>
      </c>
      <c r="M341" s="40">
        <f>IF(B341&gt;=in_marketplace_from,K341*d_hz*G341*in_eligible*in_approved_repeat,0)</f>
        <v/>
      </c>
      <c r="N341" s="40">
        <f>L341+M341</f>
        <v/>
      </c>
      <c r="O341" s="46">
        <f>N341/F341</f>
        <v/>
      </c>
      <c r="P341" s="40">
        <f>F341-J341-K341</f>
        <v/>
      </c>
      <c r="Q341" s="40">
        <f>IF(B341&gt;=in_marketplace_from,(J341+K341)*d_hz*G341,0)</f>
        <v/>
      </c>
      <c r="R341" s="40">
        <f>SUMIFS(N292:N346,B292:B346,"&gt;="&amp;(B341-d_T),B292:B346,"&lt;="&amp;(B341-1))</f>
        <v/>
      </c>
      <c r="S341" s="46">
        <f>(1-d_u)*S340+IF(d_T&gt;in_topup_lag,SUMIFS(O292:O346,B292:B346,B341-in_topup_lag)-d_udrop*SUMIFS(O292:O346,B292:B346,B341-d_T),0)</f>
        <v/>
      </c>
      <c r="T341" s="40">
        <f>F341*d_u*S341</f>
        <v/>
      </c>
      <c r="U341" s="9">
        <f>L341*in_ticket+M341*d_rep_ticket</f>
        <v/>
      </c>
      <c r="V341" s="9">
        <f>U341+T341*d_topup_amt</f>
        <v/>
      </c>
      <c r="W341" s="40">
        <f>N341+T341*d_topup_ratio</f>
        <v/>
      </c>
      <c r="X341" s="40">
        <f>SUMIFS(W292:W346,B292:B346,B341-in_dpd_lag)*d_cured</f>
        <v/>
      </c>
      <c r="Y341" s="40">
        <f>SUMIFS(W292:W346,B292:B346,B341-in_rec_lag)*d_recd</f>
        <v/>
      </c>
      <c r="Z341" s="40">
        <f>IF(AND(B341&gt;=in_marketplace_from,B341&lt;in_marketplace_from+in_card_months),in_card_share/in_card_months*F341*I341,IF(AND(B341&gt;=in_marketplace_from+in_card_months,B341&lt;in_marketplace_from+2*in_card_months),in_card_share*d_card_rem/in_card_months*F341*MIN(in_takeup_cap,(1+in_takeup_growth)^(D341-1))*MIN(in_takeup_cap,(1+in_approval_growth)^(D341-1)),0))</f>
        <v/>
      </c>
      <c r="AA341" s="14">
        <f>V341*in_fee*(1-in_taken_back)</f>
        <v/>
      </c>
      <c r="AB341" s="14">
        <f>SUMIFS(W292:W346,B292:B346,B341-in_dpd_lag)*d_dpd</f>
        <v/>
      </c>
      <c r="AC341" s="14">
        <f>SUMIFS(W292:W346,B292:B346,B341-in_rec_lag)*d_rec</f>
        <v/>
      </c>
      <c r="AD341" s="14">
        <f>Z341*in_card_fee</f>
        <v/>
      </c>
      <c r="AE341" s="40">
        <f>AE340*(1-IF(B340&gt;=in_marketplace_from,d_hz_hlth_small*G340,0))</f>
        <v/>
      </c>
      <c r="AF341" s="46">
        <f>AE341*IF(B341&gt;=in_marketplace_from,d_hz_hlth_small*G341,0)</f>
        <v/>
      </c>
      <c r="AG341" s="14">
        <f>F341*AF341*in_hlth_small_ticket*in_hlth_small_comm*in_ins_partner_share+F341*in_hlth_small_ticket*in_hlth_small_renew_comm*in_ins_partner_share*(in_hlth_small_renew^1*SUMIFS(AF292:AF346,B292:B346,B341-12)+in_hlth_small_renew^2*SUMIFS(AF292:AF346,B292:B346,B341-24)+in_hlth_small_renew^3*SUMIFS(AF292:AF346,B292:B346,B341-36)+in_hlth_small_renew^4*SUMIFS(AF292:AF346,B292:B346,B341-48))</f>
        <v/>
      </c>
      <c r="AH341" s="40">
        <f>AH340*(1-IF(B340&gt;=in_marketplace_from,d_hz_hlth_family*G340,0))</f>
        <v/>
      </c>
      <c r="AI341" s="46">
        <f>AH341*IF(B341&gt;=in_marketplace_from,d_hz_hlth_family*G341,0)</f>
        <v/>
      </c>
      <c r="AJ341" s="14">
        <f>F341*AI341*in_hlth_family_ticket*in_hlth_family_comm*in_ins_partner_share+F341*in_hlth_family_ticket*in_hlth_family_renew_comm*in_ins_partner_share*(in_hlth_family_renew^1*SUMIFS(AI292:AI346,B292:B346,B341-12)+in_hlth_family_renew^2*SUMIFS(AI292:AI346,B292:B346,B341-24)+in_hlth_family_renew^3*SUMIFS(AI292:AI346,B292:B346,B341-36)+in_hlth_family_renew^4*SUMIFS(AI292:AI346,B292:B346,B341-48))</f>
        <v/>
      </c>
      <c r="AK341" s="40">
        <f>AK340*(1-IF(B340&gt;=in_marketplace_from,d_hz_life_term*G340,0))</f>
        <v/>
      </c>
      <c r="AL341" s="46">
        <f>AK341*IF(B341&gt;=in_marketplace_from,d_hz_life_term*G341,0)</f>
        <v/>
      </c>
      <c r="AM341" s="14">
        <f>F341*AL341*in_life_term_ticket*in_life_term_comm*in_ins_partner_share+F341*in_life_term_ticket*in_life_term_renew_comm*in_ins_partner_share*(in_life_term_renew^1*SUMIFS(AL292:AL346,B292:B346,B341-12)+in_life_term_renew^2*SUMIFS(AL292:AL346,B292:B346,B341-24)+in_life_term_renew^3*SUMIFS(AL292:AL346,B292:B346,B341-36)+in_life_term_renew^4*SUMIFS(AL292:AL346,B292:B346,B341-48))</f>
        <v/>
      </c>
      <c r="AN341" s="40">
        <f>AN340*(1-IF(B340&gt;=in_marketplace_from,d_hz_accident*G340,0))</f>
        <v/>
      </c>
      <c r="AO341" s="46">
        <f>AN341*IF(B341&gt;=in_marketplace_from,d_hz_accident*G341,0)</f>
        <v/>
      </c>
      <c r="AP341" s="14">
        <f>F341*AO341*in_accident_ticket*in_accident_comm*in_ins_partner_share+F341*in_accident_ticket*in_accident_renew_comm*in_ins_partner_share*(in_accident_renew^1*SUMIFS(AO292:AO346,B292:B346,B341-12)+in_accident_renew^2*SUMIFS(AO292:AO346,B292:B346,B341-24)+in_accident_renew^3*SUMIFS(AO292:AO346,B292:B346,B341-36)+in_accident_renew^4*SUMIFS(AO292:AO346,B292:B346,B341-48))</f>
        <v/>
      </c>
      <c r="AQ341" s="40">
        <f>AQ340*(1-IF(B340&gt;=in_marketplace_from,d_hz_two_wheeler*G340,0))</f>
        <v/>
      </c>
      <c r="AR341" s="46">
        <f>AQ341*IF(B341&gt;=in_marketplace_from,d_hz_two_wheeler*G341,0)</f>
        <v/>
      </c>
      <c r="AS341" s="14">
        <f>F341*AR341*in_two_wheeler_ticket*in_two_wheeler_comm*in_ins_partner_share+F341*in_two_wheeler_ticket*in_two_wheeler_comm*in_ins_partner_share*(in_two_wheeler_renew^1*SUMIFS(AR292:AR346,B292:B346,B341-12)+in_two_wheeler_renew^2*SUMIFS(AR292:AR346,B292:B346,B341-24)+in_two_wheeler_renew^3*SUMIFS(AR292:AR346,B292:B346,B341-36)+in_two_wheeler_renew^4*SUMIFS(AR292:AR346,B292:B346,B341-48))</f>
        <v/>
      </c>
      <c r="AT341" s="40">
        <f>AT340*(1-IF(B340&gt;=in_marketplace_from,d_hz_device*G340,0))</f>
        <v/>
      </c>
      <c r="AU341" s="14">
        <f>F341*AT341*IF(B341&gt;=in_marketplace_from,d_hz_device*G341,0)*in_device_ticket*in_device_comm*in_ins_partner_share</f>
        <v/>
      </c>
      <c r="AV341" s="40">
        <f>AV340*(1-IF(B340&gt;=in_marketplace_from,d_hz_shop*G340,0))</f>
        <v/>
      </c>
      <c r="AW341" s="46">
        <f>AV341*IF(B341&gt;=in_marketplace_from,d_hz_shop*G341,0)</f>
        <v/>
      </c>
      <c r="AX341" s="14">
        <f>F341*AW341*in_shop_ticket*in_shop_comm*in_ins_partner_share+F341*in_shop_ticket*in_shop_renew_comm*in_ins_partner_share*(in_shop_renew^1*SUMIFS(AW292:AW346,B292:B346,B341-12)+in_shop_renew^2*SUMIFS(AW292:AW346,B292:B346,B341-24)+in_shop_renew^3*SUMIFS(AW292:AW346,B292:B346,B341-36)+in_shop_renew^4*SUMIFS(AW292:AW346,B292:B346,B341-48))</f>
        <v/>
      </c>
      <c r="AY341" s="40">
        <f>AY340*(1-IF(B340&gt;=in_marketplace_from,d_hz_sip*G340,0))</f>
        <v/>
      </c>
      <c r="AZ341" s="40">
        <f>AZ340*d_rho_sip+AY341*IF(B341&gt;=in_marketplace_from,d_hz_sip*G341,0)</f>
        <v/>
      </c>
      <c r="BA341" s="40">
        <f>d_rho_sip*(BA340+AZ340)</f>
        <v/>
      </c>
      <c r="BB341" s="14">
        <f>F341*in_sip_ticket*(BA341+0.5*AZ341)*in_sip_comm/12</f>
        <v/>
      </c>
      <c r="BC341" s="40">
        <f>BC340*(1-IF(B340&gt;=in_marketplace_from,d_hz_choti*G340,0))</f>
        <v/>
      </c>
      <c r="BD341" s="46">
        <f>BC341*IF(B341&gt;=in_marketplace_from,d_hz_choti*G341,0)</f>
        <v/>
      </c>
      <c r="BE341" s="14">
        <f>F341*SUMIFS(BD292:BD346,B292:B346,B341-in_choti_months)*in_choti_renew*in_choti_ticket</f>
        <v/>
      </c>
      <c r="BF341" s="40">
        <f>BF340*(1-IF(B340&gt;=in_marketplace_from,d_hz_nps*G340,0))</f>
        <v/>
      </c>
      <c r="BG341" s="14">
        <f>F341*BF341*IF(B341&gt;=in_marketplace_from,d_hz_nps*G341,0)*in_nps_ticket*in_nps_comm</f>
        <v/>
      </c>
      <c r="BH341" s="40">
        <f>BH340*(1-IF(B340&gt;=in_marketplace_from,d_hz_gold*G340,0))</f>
        <v/>
      </c>
      <c r="BI341" s="40">
        <f>BI340*d_rho_gold+BH341*IF(B341&gt;=in_marketplace_from,d_hz_gold*G341,0)</f>
        <v/>
      </c>
      <c r="BJ341" s="14">
        <f>F341*BI341*in_gold_ticket*in_gold_comm</f>
        <v/>
      </c>
      <c r="BK341" s="40">
        <f>BK340*(1-IF(B340&gt;=in_marketplace_from,d_hz_fd*G340,0))</f>
        <v/>
      </c>
      <c r="BL341" s="14">
        <f>F341*BK341*IF(B341&gt;=in_marketplace_from,d_hz_fd*G341,0)*in_fd_ticket*in_fd_comm</f>
        <v/>
      </c>
      <c r="BM341" s="40">
        <f>BM340*(1-IF(B340&gt;=in_marketplace_from,d_hz_recharge*G340,0))</f>
        <v/>
      </c>
      <c r="BN341" s="40">
        <f>BN340*d_rho_recharge+BM341*IF(B341&gt;=in_marketplace_from,d_hz_recharge*G341,0)</f>
        <v/>
      </c>
      <c r="BO341" s="14">
        <f>F341*BN341*in_recharge_ticket*in_recharge_comm/12</f>
        <v/>
      </c>
      <c r="BP341" s="40">
        <f>BP340*(1-IF(B340&gt;=in_marketplace_from,d_hz_bills*G340,0))</f>
        <v/>
      </c>
      <c r="BQ341" s="40">
        <f>BQ340*d_rho_bills+BP341*IF(B341&gt;=in_marketplace_from,d_hz_bills*G341,0)</f>
        <v/>
      </c>
      <c r="BR341" s="14">
        <f>F341*BQ341*in_bills_ticket*in_bills_comm/12</f>
        <v/>
      </c>
      <c r="BS341" s="40">
        <f>BS340*(1-IF(B340&gt;=in_marketplace_from,d_hz_loan_gold*G340,0))</f>
        <v/>
      </c>
      <c r="BT341" s="14">
        <f>F341*BS341*IF(B341&gt;=in_marketplace_from,d_hz_loan_gold*G341,0)*in_loan_gold_ticket*in_loan_gold_comm</f>
        <v/>
      </c>
      <c r="BU341" s="40">
        <f>BU340*(1-IF(B340&gt;=in_marketplace_from,d_hz_loan_cd*G340,0))</f>
        <v/>
      </c>
      <c r="BV341" s="14">
        <f>F341*BU341*IF(B341&gt;=in_marketplace_from,d_hz_loan_cd*G341,0)*in_loan_cd_ticket*in_loan_cd_comm</f>
        <v/>
      </c>
      <c r="BW341" s="40">
        <f>BW340*(1-IF(B340&gt;=in_marketplace_from,d_hz_loan_vehicle*G340,0))</f>
        <v/>
      </c>
      <c r="BX341" s="14">
        <f>F341*BW341*IF(B341&gt;=in_marketplace_from,d_hz_loan_vehicle*G341,0)*in_loan_vehicle_ticket*in_loan_vehicle_comm</f>
        <v/>
      </c>
      <c r="BY341" s="40">
        <f>BY340*(1-IF(B340&gt;=in_marketplace_from,d_hz_loan_home*G340,0)*BZ340)</f>
        <v/>
      </c>
      <c r="BZ341" s="11">
        <f>MIN(in_approval_cap,in_loan_home_approval*INDEX('Age profile'!$O$2:$O$61,B341)*(1+in_approval_growth)^(D341-1))</f>
        <v/>
      </c>
      <c r="CA341" s="14">
        <f>F341*BY341*IF(B341&gt;=in_marketplace_from,d_hz_loan_home*G341,0)*BZ341*in_loan_home_ticket*in_loan_home_comm</f>
        <v/>
      </c>
      <c r="CB341" s="40">
        <f>CB340*(1-IF(B340&gt;=in_marketplace_from,d_hz_loan_lap*G340,0)*CC340)</f>
        <v/>
      </c>
      <c r="CC341" s="11">
        <f>MIN(in_approval_cap,in_loan_lap_approval*INDEX('Age profile'!$O$2:$O$61,B341)*(1+in_approval_growth)^(D341-1))</f>
        <v/>
      </c>
      <c r="CD341" s="14">
        <f>F341*CB341*IF(B341&gt;=in_marketplace_from,d_hz_loan_lap*G341,0)*CC341*in_loan_lap_ticket*in_loan_lap_comm</f>
        <v/>
      </c>
      <c r="CE341" s="14">
        <f>AA341+AB341+AC341+AD341+AG341+AJ341+AM341+AP341+AS341+AU341+AX341+BB341+BE341+BG341+BJ341+BL341+BO341+BR341+BT341+BV341+BX341+CA341+CD341</f>
        <v/>
      </c>
    </row>
    <row r="342">
      <c r="A342" s="39" t="n">
        <v>6</v>
      </c>
      <c r="B342" s="39" t="n">
        <v>51</v>
      </c>
      <c r="C342" s="39">
        <f>A342+B342-1</f>
        <v/>
      </c>
      <c r="D342" s="39">
        <f>INT((C342-1)/12)+1</f>
        <v/>
      </c>
      <c r="E342" s="44">
        <f>INDEX(Monthly!$B$2:$B$61,A342)</f>
        <v/>
      </c>
      <c r="F342" s="44">
        <f>E342*INDEX('Age profile'!$B$2:$B$61,B342)</f>
        <v/>
      </c>
      <c r="G342" s="45">
        <f>MIN(in_takeup_cap,INDEX('Age profile'!$N$2:$N$61,B342)*(1+in_takeup_growth)^(D342-1))</f>
        <v/>
      </c>
      <c r="H342" s="11">
        <f>MIN(in_approval_cap,in_approved_first*INDEX('Age profile'!$O$2:$O$61,B342)*(1+in_approval_growth)^(D342-1))</f>
        <v/>
      </c>
      <c r="I342" s="45">
        <f>G342*MIN(in_takeup_cap,INDEX('Age profile'!$O$2:$O$61,B342)*(1+in_approval_growth)^(D342-1))</f>
        <v/>
      </c>
      <c r="J342" s="40">
        <f>(J341-L341)*F342/F341</f>
        <v/>
      </c>
      <c r="K342" s="40">
        <f>(K341-M341)*F342/F341+SUMIFS(O292:O341,B292:B341,B342-1-d_T)*F342</f>
        <v/>
      </c>
      <c r="L342" s="40">
        <f>IF(B342&gt;=in_marketplace_from,J342*d_hz*G342*in_eligible*H342,0)</f>
        <v/>
      </c>
      <c r="M342" s="40">
        <f>IF(B342&gt;=in_marketplace_from,K342*d_hz*G342*in_eligible*in_approved_repeat,0)</f>
        <v/>
      </c>
      <c r="N342" s="40">
        <f>L342+M342</f>
        <v/>
      </c>
      <c r="O342" s="46">
        <f>N342/F342</f>
        <v/>
      </c>
      <c r="P342" s="40">
        <f>F342-J342-K342</f>
        <v/>
      </c>
      <c r="Q342" s="40">
        <f>IF(B342&gt;=in_marketplace_from,(J342+K342)*d_hz*G342,0)</f>
        <v/>
      </c>
      <c r="R342" s="40">
        <f>SUMIFS(N292:N346,B292:B346,"&gt;="&amp;(B342-d_T),B292:B346,"&lt;="&amp;(B342-1))</f>
        <v/>
      </c>
      <c r="S342" s="46">
        <f>(1-d_u)*S341+IF(d_T&gt;in_topup_lag,SUMIFS(O292:O346,B292:B346,B342-in_topup_lag)-d_udrop*SUMIFS(O292:O346,B292:B346,B342-d_T),0)</f>
        <v/>
      </c>
      <c r="T342" s="40">
        <f>F342*d_u*S342</f>
        <v/>
      </c>
      <c r="U342" s="9">
        <f>L342*in_ticket+M342*d_rep_ticket</f>
        <v/>
      </c>
      <c r="V342" s="9">
        <f>U342+T342*d_topup_amt</f>
        <v/>
      </c>
      <c r="W342" s="40">
        <f>N342+T342*d_topup_ratio</f>
        <v/>
      </c>
      <c r="X342" s="40">
        <f>SUMIFS(W292:W346,B292:B346,B342-in_dpd_lag)*d_cured</f>
        <v/>
      </c>
      <c r="Y342" s="40">
        <f>SUMIFS(W292:W346,B292:B346,B342-in_rec_lag)*d_recd</f>
        <v/>
      </c>
      <c r="Z342" s="40">
        <f>IF(AND(B342&gt;=in_marketplace_from,B342&lt;in_marketplace_from+in_card_months),in_card_share/in_card_months*F342*I342,IF(AND(B342&gt;=in_marketplace_from+in_card_months,B342&lt;in_marketplace_from+2*in_card_months),in_card_share*d_card_rem/in_card_months*F342*MIN(in_takeup_cap,(1+in_takeup_growth)^(D342-1))*MIN(in_takeup_cap,(1+in_approval_growth)^(D342-1)),0))</f>
        <v/>
      </c>
      <c r="AA342" s="14">
        <f>V342*in_fee*(1-in_taken_back)</f>
        <v/>
      </c>
      <c r="AB342" s="14">
        <f>SUMIFS(W292:W346,B292:B346,B342-in_dpd_lag)*d_dpd</f>
        <v/>
      </c>
      <c r="AC342" s="14">
        <f>SUMIFS(W292:W346,B292:B346,B342-in_rec_lag)*d_rec</f>
        <v/>
      </c>
      <c r="AD342" s="14">
        <f>Z342*in_card_fee</f>
        <v/>
      </c>
      <c r="AE342" s="40">
        <f>AE341*(1-IF(B341&gt;=in_marketplace_from,d_hz_hlth_small*G341,0))</f>
        <v/>
      </c>
      <c r="AF342" s="46">
        <f>AE342*IF(B342&gt;=in_marketplace_from,d_hz_hlth_small*G342,0)</f>
        <v/>
      </c>
      <c r="AG342" s="14">
        <f>F342*AF342*in_hlth_small_ticket*in_hlth_small_comm*in_ins_partner_share+F342*in_hlth_small_ticket*in_hlth_small_renew_comm*in_ins_partner_share*(in_hlth_small_renew^1*SUMIFS(AF292:AF346,B292:B346,B342-12)+in_hlth_small_renew^2*SUMIFS(AF292:AF346,B292:B346,B342-24)+in_hlth_small_renew^3*SUMIFS(AF292:AF346,B292:B346,B342-36)+in_hlth_small_renew^4*SUMIFS(AF292:AF346,B292:B346,B342-48))</f>
        <v/>
      </c>
      <c r="AH342" s="40">
        <f>AH341*(1-IF(B341&gt;=in_marketplace_from,d_hz_hlth_family*G341,0))</f>
        <v/>
      </c>
      <c r="AI342" s="46">
        <f>AH342*IF(B342&gt;=in_marketplace_from,d_hz_hlth_family*G342,0)</f>
        <v/>
      </c>
      <c r="AJ342" s="14">
        <f>F342*AI342*in_hlth_family_ticket*in_hlth_family_comm*in_ins_partner_share+F342*in_hlth_family_ticket*in_hlth_family_renew_comm*in_ins_partner_share*(in_hlth_family_renew^1*SUMIFS(AI292:AI346,B292:B346,B342-12)+in_hlth_family_renew^2*SUMIFS(AI292:AI346,B292:B346,B342-24)+in_hlth_family_renew^3*SUMIFS(AI292:AI346,B292:B346,B342-36)+in_hlth_family_renew^4*SUMIFS(AI292:AI346,B292:B346,B342-48))</f>
        <v/>
      </c>
      <c r="AK342" s="40">
        <f>AK341*(1-IF(B341&gt;=in_marketplace_from,d_hz_life_term*G341,0))</f>
        <v/>
      </c>
      <c r="AL342" s="46">
        <f>AK342*IF(B342&gt;=in_marketplace_from,d_hz_life_term*G342,0)</f>
        <v/>
      </c>
      <c r="AM342" s="14">
        <f>F342*AL342*in_life_term_ticket*in_life_term_comm*in_ins_partner_share+F342*in_life_term_ticket*in_life_term_renew_comm*in_ins_partner_share*(in_life_term_renew^1*SUMIFS(AL292:AL346,B292:B346,B342-12)+in_life_term_renew^2*SUMIFS(AL292:AL346,B292:B346,B342-24)+in_life_term_renew^3*SUMIFS(AL292:AL346,B292:B346,B342-36)+in_life_term_renew^4*SUMIFS(AL292:AL346,B292:B346,B342-48))</f>
        <v/>
      </c>
      <c r="AN342" s="40">
        <f>AN341*(1-IF(B341&gt;=in_marketplace_from,d_hz_accident*G341,0))</f>
        <v/>
      </c>
      <c r="AO342" s="46">
        <f>AN342*IF(B342&gt;=in_marketplace_from,d_hz_accident*G342,0)</f>
        <v/>
      </c>
      <c r="AP342" s="14">
        <f>F342*AO342*in_accident_ticket*in_accident_comm*in_ins_partner_share+F342*in_accident_ticket*in_accident_renew_comm*in_ins_partner_share*(in_accident_renew^1*SUMIFS(AO292:AO346,B292:B346,B342-12)+in_accident_renew^2*SUMIFS(AO292:AO346,B292:B346,B342-24)+in_accident_renew^3*SUMIFS(AO292:AO346,B292:B346,B342-36)+in_accident_renew^4*SUMIFS(AO292:AO346,B292:B346,B342-48))</f>
        <v/>
      </c>
      <c r="AQ342" s="40">
        <f>AQ341*(1-IF(B341&gt;=in_marketplace_from,d_hz_two_wheeler*G341,0))</f>
        <v/>
      </c>
      <c r="AR342" s="46">
        <f>AQ342*IF(B342&gt;=in_marketplace_from,d_hz_two_wheeler*G342,0)</f>
        <v/>
      </c>
      <c r="AS342" s="14">
        <f>F342*AR342*in_two_wheeler_ticket*in_two_wheeler_comm*in_ins_partner_share+F342*in_two_wheeler_ticket*in_two_wheeler_comm*in_ins_partner_share*(in_two_wheeler_renew^1*SUMIFS(AR292:AR346,B292:B346,B342-12)+in_two_wheeler_renew^2*SUMIFS(AR292:AR346,B292:B346,B342-24)+in_two_wheeler_renew^3*SUMIFS(AR292:AR346,B292:B346,B342-36)+in_two_wheeler_renew^4*SUMIFS(AR292:AR346,B292:B346,B342-48))</f>
        <v/>
      </c>
      <c r="AT342" s="40">
        <f>AT341*(1-IF(B341&gt;=in_marketplace_from,d_hz_device*G341,0))</f>
        <v/>
      </c>
      <c r="AU342" s="14">
        <f>F342*AT342*IF(B342&gt;=in_marketplace_from,d_hz_device*G342,0)*in_device_ticket*in_device_comm*in_ins_partner_share</f>
        <v/>
      </c>
      <c r="AV342" s="40">
        <f>AV341*(1-IF(B341&gt;=in_marketplace_from,d_hz_shop*G341,0))</f>
        <v/>
      </c>
      <c r="AW342" s="46">
        <f>AV342*IF(B342&gt;=in_marketplace_from,d_hz_shop*G342,0)</f>
        <v/>
      </c>
      <c r="AX342" s="14">
        <f>F342*AW342*in_shop_ticket*in_shop_comm*in_ins_partner_share+F342*in_shop_ticket*in_shop_renew_comm*in_ins_partner_share*(in_shop_renew^1*SUMIFS(AW292:AW346,B292:B346,B342-12)+in_shop_renew^2*SUMIFS(AW292:AW346,B292:B346,B342-24)+in_shop_renew^3*SUMIFS(AW292:AW346,B292:B346,B342-36)+in_shop_renew^4*SUMIFS(AW292:AW346,B292:B346,B342-48))</f>
        <v/>
      </c>
      <c r="AY342" s="40">
        <f>AY341*(1-IF(B341&gt;=in_marketplace_from,d_hz_sip*G341,0))</f>
        <v/>
      </c>
      <c r="AZ342" s="40">
        <f>AZ341*d_rho_sip+AY342*IF(B342&gt;=in_marketplace_from,d_hz_sip*G342,0)</f>
        <v/>
      </c>
      <c r="BA342" s="40">
        <f>d_rho_sip*(BA341+AZ341)</f>
        <v/>
      </c>
      <c r="BB342" s="14">
        <f>F342*in_sip_ticket*(BA342+0.5*AZ342)*in_sip_comm/12</f>
        <v/>
      </c>
      <c r="BC342" s="40">
        <f>BC341*(1-IF(B341&gt;=in_marketplace_from,d_hz_choti*G341,0))</f>
        <v/>
      </c>
      <c r="BD342" s="46">
        <f>BC342*IF(B342&gt;=in_marketplace_from,d_hz_choti*G342,0)</f>
        <v/>
      </c>
      <c r="BE342" s="14">
        <f>F342*SUMIFS(BD292:BD346,B292:B346,B342-in_choti_months)*in_choti_renew*in_choti_ticket</f>
        <v/>
      </c>
      <c r="BF342" s="40">
        <f>BF341*(1-IF(B341&gt;=in_marketplace_from,d_hz_nps*G341,0))</f>
        <v/>
      </c>
      <c r="BG342" s="14">
        <f>F342*BF342*IF(B342&gt;=in_marketplace_from,d_hz_nps*G342,0)*in_nps_ticket*in_nps_comm</f>
        <v/>
      </c>
      <c r="BH342" s="40">
        <f>BH341*(1-IF(B341&gt;=in_marketplace_from,d_hz_gold*G341,0))</f>
        <v/>
      </c>
      <c r="BI342" s="40">
        <f>BI341*d_rho_gold+BH342*IF(B342&gt;=in_marketplace_from,d_hz_gold*G342,0)</f>
        <v/>
      </c>
      <c r="BJ342" s="14">
        <f>F342*BI342*in_gold_ticket*in_gold_comm</f>
        <v/>
      </c>
      <c r="BK342" s="40">
        <f>BK341*(1-IF(B341&gt;=in_marketplace_from,d_hz_fd*G341,0))</f>
        <v/>
      </c>
      <c r="BL342" s="14">
        <f>F342*BK342*IF(B342&gt;=in_marketplace_from,d_hz_fd*G342,0)*in_fd_ticket*in_fd_comm</f>
        <v/>
      </c>
      <c r="BM342" s="40">
        <f>BM341*(1-IF(B341&gt;=in_marketplace_from,d_hz_recharge*G341,0))</f>
        <v/>
      </c>
      <c r="BN342" s="40">
        <f>BN341*d_rho_recharge+BM342*IF(B342&gt;=in_marketplace_from,d_hz_recharge*G342,0)</f>
        <v/>
      </c>
      <c r="BO342" s="14">
        <f>F342*BN342*in_recharge_ticket*in_recharge_comm/12</f>
        <v/>
      </c>
      <c r="BP342" s="40">
        <f>BP341*(1-IF(B341&gt;=in_marketplace_from,d_hz_bills*G341,0))</f>
        <v/>
      </c>
      <c r="BQ342" s="40">
        <f>BQ341*d_rho_bills+BP342*IF(B342&gt;=in_marketplace_from,d_hz_bills*G342,0)</f>
        <v/>
      </c>
      <c r="BR342" s="14">
        <f>F342*BQ342*in_bills_ticket*in_bills_comm/12</f>
        <v/>
      </c>
      <c r="BS342" s="40">
        <f>BS341*(1-IF(B341&gt;=in_marketplace_from,d_hz_loan_gold*G341,0))</f>
        <v/>
      </c>
      <c r="BT342" s="14">
        <f>F342*BS342*IF(B342&gt;=in_marketplace_from,d_hz_loan_gold*G342,0)*in_loan_gold_ticket*in_loan_gold_comm</f>
        <v/>
      </c>
      <c r="BU342" s="40">
        <f>BU341*(1-IF(B341&gt;=in_marketplace_from,d_hz_loan_cd*G341,0))</f>
        <v/>
      </c>
      <c r="BV342" s="14">
        <f>F342*BU342*IF(B342&gt;=in_marketplace_from,d_hz_loan_cd*G342,0)*in_loan_cd_ticket*in_loan_cd_comm</f>
        <v/>
      </c>
      <c r="BW342" s="40">
        <f>BW341*(1-IF(B341&gt;=in_marketplace_from,d_hz_loan_vehicle*G341,0))</f>
        <v/>
      </c>
      <c r="BX342" s="14">
        <f>F342*BW342*IF(B342&gt;=in_marketplace_from,d_hz_loan_vehicle*G342,0)*in_loan_vehicle_ticket*in_loan_vehicle_comm</f>
        <v/>
      </c>
      <c r="BY342" s="40">
        <f>BY341*(1-IF(B341&gt;=in_marketplace_from,d_hz_loan_home*G341,0)*BZ341)</f>
        <v/>
      </c>
      <c r="BZ342" s="11">
        <f>MIN(in_approval_cap,in_loan_home_approval*INDEX('Age profile'!$O$2:$O$61,B342)*(1+in_approval_growth)^(D342-1))</f>
        <v/>
      </c>
      <c r="CA342" s="14">
        <f>F342*BY342*IF(B342&gt;=in_marketplace_from,d_hz_loan_home*G342,0)*BZ342*in_loan_home_ticket*in_loan_home_comm</f>
        <v/>
      </c>
      <c r="CB342" s="40">
        <f>CB341*(1-IF(B341&gt;=in_marketplace_from,d_hz_loan_lap*G341,0)*CC341)</f>
        <v/>
      </c>
      <c r="CC342" s="11">
        <f>MIN(in_approval_cap,in_loan_lap_approval*INDEX('Age profile'!$O$2:$O$61,B342)*(1+in_approval_growth)^(D342-1))</f>
        <v/>
      </c>
      <c r="CD342" s="14">
        <f>F342*CB342*IF(B342&gt;=in_marketplace_from,d_hz_loan_lap*G342,0)*CC342*in_loan_lap_ticket*in_loan_lap_comm</f>
        <v/>
      </c>
      <c r="CE342" s="14">
        <f>AA342+AB342+AC342+AD342+AG342+AJ342+AM342+AP342+AS342+AU342+AX342+BB342+BE342+BG342+BJ342+BL342+BO342+BR342+BT342+BV342+BX342+CA342+CD342</f>
        <v/>
      </c>
    </row>
    <row r="343">
      <c r="A343" s="39" t="n">
        <v>6</v>
      </c>
      <c r="B343" s="39" t="n">
        <v>52</v>
      </c>
      <c r="C343" s="39">
        <f>A343+B343-1</f>
        <v/>
      </c>
      <c r="D343" s="39">
        <f>INT((C343-1)/12)+1</f>
        <v/>
      </c>
      <c r="E343" s="44">
        <f>INDEX(Monthly!$B$2:$B$61,A343)</f>
        <v/>
      </c>
      <c r="F343" s="44">
        <f>E343*INDEX('Age profile'!$B$2:$B$61,B343)</f>
        <v/>
      </c>
      <c r="G343" s="45">
        <f>MIN(in_takeup_cap,INDEX('Age profile'!$N$2:$N$61,B343)*(1+in_takeup_growth)^(D343-1))</f>
        <v/>
      </c>
      <c r="H343" s="11">
        <f>MIN(in_approval_cap,in_approved_first*INDEX('Age profile'!$O$2:$O$61,B343)*(1+in_approval_growth)^(D343-1))</f>
        <v/>
      </c>
      <c r="I343" s="45">
        <f>G343*MIN(in_takeup_cap,INDEX('Age profile'!$O$2:$O$61,B343)*(1+in_approval_growth)^(D343-1))</f>
        <v/>
      </c>
      <c r="J343" s="40">
        <f>(J342-L342)*F343/F342</f>
        <v/>
      </c>
      <c r="K343" s="40">
        <f>(K342-M342)*F343/F342+SUMIFS(O292:O342,B292:B342,B343-1-d_T)*F343</f>
        <v/>
      </c>
      <c r="L343" s="40">
        <f>IF(B343&gt;=in_marketplace_from,J343*d_hz*G343*in_eligible*H343,0)</f>
        <v/>
      </c>
      <c r="M343" s="40">
        <f>IF(B343&gt;=in_marketplace_from,K343*d_hz*G343*in_eligible*in_approved_repeat,0)</f>
        <v/>
      </c>
      <c r="N343" s="40">
        <f>L343+M343</f>
        <v/>
      </c>
      <c r="O343" s="46">
        <f>N343/F343</f>
        <v/>
      </c>
      <c r="P343" s="40">
        <f>F343-J343-K343</f>
        <v/>
      </c>
      <c r="Q343" s="40">
        <f>IF(B343&gt;=in_marketplace_from,(J343+K343)*d_hz*G343,0)</f>
        <v/>
      </c>
      <c r="R343" s="40">
        <f>SUMIFS(N292:N346,B292:B346,"&gt;="&amp;(B343-d_T),B292:B346,"&lt;="&amp;(B343-1))</f>
        <v/>
      </c>
      <c r="S343" s="46">
        <f>(1-d_u)*S342+IF(d_T&gt;in_topup_lag,SUMIFS(O292:O346,B292:B346,B343-in_topup_lag)-d_udrop*SUMIFS(O292:O346,B292:B346,B343-d_T),0)</f>
        <v/>
      </c>
      <c r="T343" s="40">
        <f>F343*d_u*S343</f>
        <v/>
      </c>
      <c r="U343" s="9">
        <f>L343*in_ticket+M343*d_rep_ticket</f>
        <v/>
      </c>
      <c r="V343" s="9">
        <f>U343+T343*d_topup_amt</f>
        <v/>
      </c>
      <c r="W343" s="40">
        <f>N343+T343*d_topup_ratio</f>
        <v/>
      </c>
      <c r="X343" s="40">
        <f>SUMIFS(W292:W346,B292:B346,B343-in_dpd_lag)*d_cured</f>
        <v/>
      </c>
      <c r="Y343" s="40">
        <f>SUMIFS(W292:W346,B292:B346,B343-in_rec_lag)*d_recd</f>
        <v/>
      </c>
      <c r="Z343" s="40">
        <f>IF(AND(B343&gt;=in_marketplace_from,B343&lt;in_marketplace_from+in_card_months),in_card_share/in_card_months*F343*I343,IF(AND(B343&gt;=in_marketplace_from+in_card_months,B343&lt;in_marketplace_from+2*in_card_months),in_card_share*d_card_rem/in_card_months*F343*MIN(in_takeup_cap,(1+in_takeup_growth)^(D343-1))*MIN(in_takeup_cap,(1+in_approval_growth)^(D343-1)),0))</f>
        <v/>
      </c>
      <c r="AA343" s="14">
        <f>V343*in_fee*(1-in_taken_back)</f>
        <v/>
      </c>
      <c r="AB343" s="14">
        <f>SUMIFS(W292:W346,B292:B346,B343-in_dpd_lag)*d_dpd</f>
        <v/>
      </c>
      <c r="AC343" s="14">
        <f>SUMIFS(W292:W346,B292:B346,B343-in_rec_lag)*d_rec</f>
        <v/>
      </c>
      <c r="AD343" s="14">
        <f>Z343*in_card_fee</f>
        <v/>
      </c>
      <c r="AE343" s="40">
        <f>AE342*(1-IF(B342&gt;=in_marketplace_from,d_hz_hlth_small*G342,0))</f>
        <v/>
      </c>
      <c r="AF343" s="46">
        <f>AE343*IF(B343&gt;=in_marketplace_from,d_hz_hlth_small*G343,0)</f>
        <v/>
      </c>
      <c r="AG343" s="14">
        <f>F343*AF343*in_hlth_small_ticket*in_hlth_small_comm*in_ins_partner_share+F343*in_hlth_small_ticket*in_hlth_small_renew_comm*in_ins_partner_share*(in_hlth_small_renew^1*SUMIFS(AF292:AF346,B292:B346,B343-12)+in_hlth_small_renew^2*SUMIFS(AF292:AF346,B292:B346,B343-24)+in_hlth_small_renew^3*SUMIFS(AF292:AF346,B292:B346,B343-36)+in_hlth_small_renew^4*SUMIFS(AF292:AF346,B292:B346,B343-48))</f>
        <v/>
      </c>
      <c r="AH343" s="40">
        <f>AH342*(1-IF(B342&gt;=in_marketplace_from,d_hz_hlth_family*G342,0))</f>
        <v/>
      </c>
      <c r="AI343" s="46">
        <f>AH343*IF(B343&gt;=in_marketplace_from,d_hz_hlth_family*G343,0)</f>
        <v/>
      </c>
      <c r="AJ343" s="14">
        <f>F343*AI343*in_hlth_family_ticket*in_hlth_family_comm*in_ins_partner_share+F343*in_hlth_family_ticket*in_hlth_family_renew_comm*in_ins_partner_share*(in_hlth_family_renew^1*SUMIFS(AI292:AI346,B292:B346,B343-12)+in_hlth_family_renew^2*SUMIFS(AI292:AI346,B292:B346,B343-24)+in_hlth_family_renew^3*SUMIFS(AI292:AI346,B292:B346,B343-36)+in_hlth_family_renew^4*SUMIFS(AI292:AI346,B292:B346,B343-48))</f>
        <v/>
      </c>
      <c r="AK343" s="40">
        <f>AK342*(1-IF(B342&gt;=in_marketplace_from,d_hz_life_term*G342,0))</f>
        <v/>
      </c>
      <c r="AL343" s="46">
        <f>AK343*IF(B343&gt;=in_marketplace_from,d_hz_life_term*G343,0)</f>
        <v/>
      </c>
      <c r="AM343" s="14">
        <f>F343*AL343*in_life_term_ticket*in_life_term_comm*in_ins_partner_share+F343*in_life_term_ticket*in_life_term_renew_comm*in_ins_partner_share*(in_life_term_renew^1*SUMIFS(AL292:AL346,B292:B346,B343-12)+in_life_term_renew^2*SUMIFS(AL292:AL346,B292:B346,B343-24)+in_life_term_renew^3*SUMIFS(AL292:AL346,B292:B346,B343-36)+in_life_term_renew^4*SUMIFS(AL292:AL346,B292:B346,B343-48))</f>
        <v/>
      </c>
      <c r="AN343" s="40">
        <f>AN342*(1-IF(B342&gt;=in_marketplace_from,d_hz_accident*G342,0))</f>
        <v/>
      </c>
      <c r="AO343" s="46">
        <f>AN343*IF(B343&gt;=in_marketplace_from,d_hz_accident*G343,0)</f>
        <v/>
      </c>
      <c r="AP343" s="14">
        <f>F343*AO343*in_accident_ticket*in_accident_comm*in_ins_partner_share+F343*in_accident_ticket*in_accident_renew_comm*in_ins_partner_share*(in_accident_renew^1*SUMIFS(AO292:AO346,B292:B346,B343-12)+in_accident_renew^2*SUMIFS(AO292:AO346,B292:B346,B343-24)+in_accident_renew^3*SUMIFS(AO292:AO346,B292:B346,B343-36)+in_accident_renew^4*SUMIFS(AO292:AO346,B292:B346,B343-48))</f>
        <v/>
      </c>
      <c r="AQ343" s="40">
        <f>AQ342*(1-IF(B342&gt;=in_marketplace_from,d_hz_two_wheeler*G342,0))</f>
        <v/>
      </c>
      <c r="AR343" s="46">
        <f>AQ343*IF(B343&gt;=in_marketplace_from,d_hz_two_wheeler*G343,0)</f>
        <v/>
      </c>
      <c r="AS343" s="14">
        <f>F343*AR343*in_two_wheeler_ticket*in_two_wheeler_comm*in_ins_partner_share+F343*in_two_wheeler_ticket*in_two_wheeler_comm*in_ins_partner_share*(in_two_wheeler_renew^1*SUMIFS(AR292:AR346,B292:B346,B343-12)+in_two_wheeler_renew^2*SUMIFS(AR292:AR346,B292:B346,B343-24)+in_two_wheeler_renew^3*SUMIFS(AR292:AR346,B292:B346,B343-36)+in_two_wheeler_renew^4*SUMIFS(AR292:AR346,B292:B346,B343-48))</f>
        <v/>
      </c>
      <c r="AT343" s="40">
        <f>AT342*(1-IF(B342&gt;=in_marketplace_from,d_hz_device*G342,0))</f>
        <v/>
      </c>
      <c r="AU343" s="14">
        <f>F343*AT343*IF(B343&gt;=in_marketplace_from,d_hz_device*G343,0)*in_device_ticket*in_device_comm*in_ins_partner_share</f>
        <v/>
      </c>
      <c r="AV343" s="40">
        <f>AV342*(1-IF(B342&gt;=in_marketplace_from,d_hz_shop*G342,0))</f>
        <v/>
      </c>
      <c r="AW343" s="46">
        <f>AV343*IF(B343&gt;=in_marketplace_from,d_hz_shop*G343,0)</f>
        <v/>
      </c>
      <c r="AX343" s="14">
        <f>F343*AW343*in_shop_ticket*in_shop_comm*in_ins_partner_share+F343*in_shop_ticket*in_shop_renew_comm*in_ins_partner_share*(in_shop_renew^1*SUMIFS(AW292:AW346,B292:B346,B343-12)+in_shop_renew^2*SUMIFS(AW292:AW346,B292:B346,B343-24)+in_shop_renew^3*SUMIFS(AW292:AW346,B292:B346,B343-36)+in_shop_renew^4*SUMIFS(AW292:AW346,B292:B346,B343-48))</f>
        <v/>
      </c>
      <c r="AY343" s="40">
        <f>AY342*(1-IF(B342&gt;=in_marketplace_from,d_hz_sip*G342,0))</f>
        <v/>
      </c>
      <c r="AZ343" s="40">
        <f>AZ342*d_rho_sip+AY343*IF(B343&gt;=in_marketplace_from,d_hz_sip*G343,0)</f>
        <v/>
      </c>
      <c r="BA343" s="40">
        <f>d_rho_sip*(BA342+AZ342)</f>
        <v/>
      </c>
      <c r="BB343" s="14">
        <f>F343*in_sip_ticket*(BA343+0.5*AZ343)*in_sip_comm/12</f>
        <v/>
      </c>
      <c r="BC343" s="40">
        <f>BC342*(1-IF(B342&gt;=in_marketplace_from,d_hz_choti*G342,0))</f>
        <v/>
      </c>
      <c r="BD343" s="46">
        <f>BC343*IF(B343&gt;=in_marketplace_from,d_hz_choti*G343,0)</f>
        <v/>
      </c>
      <c r="BE343" s="14">
        <f>F343*SUMIFS(BD292:BD346,B292:B346,B343-in_choti_months)*in_choti_renew*in_choti_ticket</f>
        <v/>
      </c>
      <c r="BF343" s="40">
        <f>BF342*(1-IF(B342&gt;=in_marketplace_from,d_hz_nps*G342,0))</f>
        <v/>
      </c>
      <c r="BG343" s="14">
        <f>F343*BF343*IF(B343&gt;=in_marketplace_from,d_hz_nps*G343,0)*in_nps_ticket*in_nps_comm</f>
        <v/>
      </c>
      <c r="BH343" s="40">
        <f>BH342*(1-IF(B342&gt;=in_marketplace_from,d_hz_gold*G342,0))</f>
        <v/>
      </c>
      <c r="BI343" s="40">
        <f>BI342*d_rho_gold+BH343*IF(B343&gt;=in_marketplace_from,d_hz_gold*G343,0)</f>
        <v/>
      </c>
      <c r="BJ343" s="14">
        <f>F343*BI343*in_gold_ticket*in_gold_comm</f>
        <v/>
      </c>
      <c r="BK343" s="40">
        <f>BK342*(1-IF(B342&gt;=in_marketplace_from,d_hz_fd*G342,0))</f>
        <v/>
      </c>
      <c r="BL343" s="14">
        <f>F343*BK343*IF(B343&gt;=in_marketplace_from,d_hz_fd*G343,0)*in_fd_ticket*in_fd_comm</f>
        <v/>
      </c>
      <c r="BM343" s="40">
        <f>BM342*(1-IF(B342&gt;=in_marketplace_from,d_hz_recharge*G342,0))</f>
        <v/>
      </c>
      <c r="BN343" s="40">
        <f>BN342*d_rho_recharge+BM343*IF(B343&gt;=in_marketplace_from,d_hz_recharge*G343,0)</f>
        <v/>
      </c>
      <c r="BO343" s="14">
        <f>F343*BN343*in_recharge_ticket*in_recharge_comm/12</f>
        <v/>
      </c>
      <c r="BP343" s="40">
        <f>BP342*(1-IF(B342&gt;=in_marketplace_from,d_hz_bills*G342,0))</f>
        <v/>
      </c>
      <c r="BQ343" s="40">
        <f>BQ342*d_rho_bills+BP343*IF(B343&gt;=in_marketplace_from,d_hz_bills*G343,0)</f>
        <v/>
      </c>
      <c r="BR343" s="14">
        <f>F343*BQ343*in_bills_ticket*in_bills_comm/12</f>
        <v/>
      </c>
      <c r="BS343" s="40">
        <f>BS342*(1-IF(B342&gt;=in_marketplace_from,d_hz_loan_gold*G342,0))</f>
        <v/>
      </c>
      <c r="BT343" s="14">
        <f>F343*BS343*IF(B343&gt;=in_marketplace_from,d_hz_loan_gold*G343,0)*in_loan_gold_ticket*in_loan_gold_comm</f>
        <v/>
      </c>
      <c r="BU343" s="40">
        <f>BU342*(1-IF(B342&gt;=in_marketplace_from,d_hz_loan_cd*G342,0))</f>
        <v/>
      </c>
      <c r="BV343" s="14">
        <f>F343*BU343*IF(B343&gt;=in_marketplace_from,d_hz_loan_cd*G343,0)*in_loan_cd_ticket*in_loan_cd_comm</f>
        <v/>
      </c>
      <c r="BW343" s="40">
        <f>BW342*(1-IF(B342&gt;=in_marketplace_from,d_hz_loan_vehicle*G342,0))</f>
        <v/>
      </c>
      <c r="BX343" s="14">
        <f>F343*BW343*IF(B343&gt;=in_marketplace_from,d_hz_loan_vehicle*G343,0)*in_loan_vehicle_ticket*in_loan_vehicle_comm</f>
        <v/>
      </c>
      <c r="BY343" s="40">
        <f>BY342*(1-IF(B342&gt;=in_marketplace_from,d_hz_loan_home*G342,0)*BZ342)</f>
        <v/>
      </c>
      <c r="BZ343" s="11">
        <f>MIN(in_approval_cap,in_loan_home_approval*INDEX('Age profile'!$O$2:$O$61,B343)*(1+in_approval_growth)^(D343-1))</f>
        <v/>
      </c>
      <c r="CA343" s="14">
        <f>F343*BY343*IF(B343&gt;=in_marketplace_from,d_hz_loan_home*G343,0)*BZ343*in_loan_home_ticket*in_loan_home_comm</f>
        <v/>
      </c>
      <c r="CB343" s="40">
        <f>CB342*(1-IF(B342&gt;=in_marketplace_from,d_hz_loan_lap*G342,0)*CC342)</f>
        <v/>
      </c>
      <c r="CC343" s="11">
        <f>MIN(in_approval_cap,in_loan_lap_approval*INDEX('Age profile'!$O$2:$O$61,B343)*(1+in_approval_growth)^(D343-1))</f>
        <v/>
      </c>
      <c r="CD343" s="14">
        <f>F343*CB343*IF(B343&gt;=in_marketplace_from,d_hz_loan_lap*G343,0)*CC343*in_loan_lap_ticket*in_loan_lap_comm</f>
        <v/>
      </c>
      <c r="CE343" s="14">
        <f>AA343+AB343+AC343+AD343+AG343+AJ343+AM343+AP343+AS343+AU343+AX343+BB343+BE343+BG343+BJ343+BL343+BO343+BR343+BT343+BV343+BX343+CA343+CD343</f>
        <v/>
      </c>
    </row>
    <row r="344">
      <c r="A344" s="39" t="n">
        <v>6</v>
      </c>
      <c r="B344" s="39" t="n">
        <v>53</v>
      </c>
      <c r="C344" s="39">
        <f>A344+B344-1</f>
        <v/>
      </c>
      <c r="D344" s="39">
        <f>INT((C344-1)/12)+1</f>
        <v/>
      </c>
      <c r="E344" s="44">
        <f>INDEX(Monthly!$B$2:$B$61,A344)</f>
        <v/>
      </c>
      <c r="F344" s="44">
        <f>E344*INDEX('Age profile'!$B$2:$B$61,B344)</f>
        <v/>
      </c>
      <c r="G344" s="45">
        <f>MIN(in_takeup_cap,INDEX('Age profile'!$N$2:$N$61,B344)*(1+in_takeup_growth)^(D344-1))</f>
        <v/>
      </c>
      <c r="H344" s="11">
        <f>MIN(in_approval_cap,in_approved_first*INDEX('Age profile'!$O$2:$O$61,B344)*(1+in_approval_growth)^(D344-1))</f>
        <v/>
      </c>
      <c r="I344" s="45">
        <f>G344*MIN(in_takeup_cap,INDEX('Age profile'!$O$2:$O$61,B344)*(1+in_approval_growth)^(D344-1))</f>
        <v/>
      </c>
      <c r="J344" s="40">
        <f>(J343-L343)*F344/F343</f>
        <v/>
      </c>
      <c r="K344" s="40">
        <f>(K343-M343)*F344/F343+SUMIFS(O292:O343,B292:B343,B344-1-d_T)*F344</f>
        <v/>
      </c>
      <c r="L344" s="40">
        <f>IF(B344&gt;=in_marketplace_from,J344*d_hz*G344*in_eligible*H344,0)</f>
        <v/>
      </c>
      <c r="M344" s="40">
        <f>IF(B344&gt;=in_marketplace_from,K344*d_hz*G344*in_eligible*in_approved_repeat,0)</f>
        <v/>
      </c>
      <c r="N344" s="40">
        <f>L344+M344</f>
        <v/>
      </c>
      <c r="O344" s="46">
        <f>N344/F344</f>
        <v/>
      </c>
      <c r="P344" s="40">
        <f>F344-J344-K344</f>
        <v/>
      </c>
      <c r="Q344" s="40">
        <f>IF(B344&gt;=in_marketplace_from,(J344+K344)*d_hz*G344,0)</f>
        <v/>
      </c>
      <c r="R344" s="40">
        <f>SUMIFS(N292:N346,B292:B346,"&gt;="&amp;(B344-d_T),B292:B346,"&lt;="&amp;(B344-1))</f>
        <v/>
      </c>
      <c r="S344" s="46">
        <f>(1-d_u)*S343+IF(d_T&gt;in_topup_lag,SUMIFS(O292:O346,B292:B346,B344-in_topup_lag)-d_udrop*SUMIFS(O292:O346,B292:B346,B344-d_T),0)</f>
        <v/>
      </c>
      <c r="T344" s="40">
        <f>F344*d_u*S344</f>
        <v/>
      </c>
      <c r="U344" s="9">
        <f>L344*in_ticket+M344*d_rep_ticket</f>
        <v/>
      </c>
      <c r="V344" s="9">
        <f>U344+T344*d_topup_amt</f>
        <v/>
      </c>
      <c r="W344" s="40">
        <f>N344+T344*d_topup_ratio</f>
        <v/>
      </c>
      <c r="X344" s="40">
        <f>SUMIFS(W292:W346,B292:B346,B344-in_dpd_lag)*d_cured</f>
        <v/>
      </c>
      <c r="Y344" s="40">
        <f>SUMIFS(W292:W346,B292:B346,B344-in_rec_lag)*d_recd</f>
        <v/>
      </c>
      <c r="Z344" s="40">
        <f>IF(AND(B344&gt;=in_marketplace_from,B344&lt;in_marketplace_from+in_card_months),in_card_share/in_card_months*F344*I344,IF(AND(B344&gt;=in_marketplace_from+in_card_months,B344&lt;in_marketplace_from+2*in_card_months),in_card_share*d_card_rem/in_card_months*F344*MIN(in_takeup_cap,(1+in_takeup_growth)^(D344-1))*MIN(in_takeup_cap,(1+in_approval_growth)^(D344-1)),0))</f>
        <v/>
      </c>
      <c r="AA344" s="14">
        <f>V344*in_fee*(1-in_taken_back)</f>
        <v/>
      </c>
      <c r="AB344" s="14">
        <f>SUMIFS(W292:W346,B292:B346,B344-in_dpd_lag)*d_dpd</f>
        <v/>
      </c>
      <c r="AC344" s="14">
        <f>SUMIFS(W292:W346,B292:B346,B344-in_rec_lag)*d_rec</f>
        <v/>
      </c>
      <c r="AD344" s="14">
        <f>Z344*in_card_fee</f>
        <v/>
      </c>
      <c r="AE344" s="40">
        <f>AE343*(1-IF(B343&gt;=in_marketplace_from,d_hz_hlth_small*G343,0))</f>
        <v/>
      </c>
      <c r="AF344" s="46">
        <f>AE344*IF(B344&gt;=in_marketplace_from,d_hz_hlth_small*G344,0)</f>
        <v/>
      </c>
      <c r="AG344" s="14">
        <f>F344*AF344*in_hlth_small_ticket*in_hlth_small_comm*in_ins_partner_share+F344*in_hlth_small_ticket*in_hlth_small_renew_comm*in_ins_partner_share*(in_hlth_small_renew^1*SUMIFS(AF292:AF346,B292:B346,B344-12)+in_hlth_small_renew^2*SUMIFS(AF292:AF346,B292:B346,B344-24)+in_hlth_small_renew^3*SUMIFS(AF292:AF346,B292:B346,B344-36)+in_hlth_small_renew^4*SUMIFS(AF292:AF346,B292:B346,B344-48))</f>
        <v/>
      </c>
      <c r="AH344" s="40">
        <f>AH343*(1-IF(B343&gt;=in_marketplace_from,d_hz_hlth_family*G343,0))</f>
        <v/>
      </c>
      <c r="AI344" s="46">
        <f>AH344*IF(B344&gt;=in_marketplace_from,d_hz_hlth_family*G344,0)</f>
        <v/>
      </c>
      <c r="AJ344" s="14">
        <f>F344*AI344*in_hlth_family_ticket*in_hlth_family_comm*in_ins_partner_share+F344*in_hlth_family_ticket*in_hlth_family_renew_comm*in_ins_partner_share*(in_hlth_family_renew^1*SUMIFS(AI292:AI346,B292:B346,B344-12)+in_hlth_family_renew^2*SUMIFS(AI292:AI346,B292:B346,B344-24)+in_hlth_family_renew^3*SUMIFS(AI292:AI346,B292:B346,B344-36)+in_hlth_family_renew^4*SUMIFS(AI292:AI346,B292:B346,B344-48))</f>
        <v/>
      </c>
      <c r="AK344" s="40">
        <f>AK343*(1-IF(B343&gt;=in_marketplace_from,d_hz_life_term*G343,0))</f>
        <v/>
      </c>
      <c r="AL344" s="46">
        <f>AK344*IF(B344&gt;=in_marketplace_from,d_hz_life_term*G344,0)</f>
        <v/>
      </c>
      <c r="AM344" s="14">
        <f>F344*AL344*in_life_term_ticket*in_life_term_comm*in_ins_partner_share+F344*in_life_term_ticket*in_life_term_renew_comm*in_ins_partner_share*(in_life_term_renew^1*SUMIFS(AL292:AL346,B292:B346,B344-12)+in_life_term_renew^2*SUMIFS(AL292:AL346,B292:B346,B344-24)+in_life_term_renew^3*SUMIFS(AL292:AL346,B292:B346,B344-36)+in_life_term_renew^4*SUMIFS(AL292:AL346,B292:B346,B344-48))</f>
        <v/>
      </c>
      <c r="AN344" s="40">
        <f>AN343*(1-IF(B343&gt;=in_marketplace_from,d_hz_accident*G343,0))</f>
        <v/>
      </c>
      <c r="AO344" s="46">
        <f>AN344*IF(B344&gt;=in_marketplace_from,d_hz_accident*G344,0)</f>
        <v/>
      </c>
      <c r="AP344" s="14">
        <f>F344*AO344*in_accident_ticket*in_accident_comm*in_ins_partner_share+F344*in_accident_ticket*in_accident_renew_comm*in_ins_partner_share*(in_accident_renew^1*SUMIFS(AO292:AO346,B292:B346,B344-12)+in_accident_renew^2*SUMIFS(AO292:AO346,B292:B346,B344-24)+in_accident_renew^3*SUMIFS(AO292:AO346,B292:B346,B344-36)+in_accident_renew^4*SUMIFS(AO292:AO346,B292:B346,B344-48))</f>
        <v/>
      </c>
      <c r="AQ344" s="40">
        <f>AQ343*(1-IF(B343&gt;=in_marketplace_from,d_hz_two_wheeler*G343,0))</f>
        <v/>
      </c>
      <c r="AR344" s="46">
        <f>AQ344*IF(B344&gt;=in_marketplace_from,d_hz_two_wheeler*G344,0)</f>
        <v/>
      </c>
      <c r="AS344" s="14">
        <f>F344*AR344*in_two_wheeler_ticket*in_two_wheeler_comm*in_ins_partner_share+F344*in_two_wheeler_ticket*in_two_wheeler_comm*in_ins_partner_share*(in_two_wheeler_renew^1*SUMIFS(AR292:AR346,B292:B346,B344-12)+in_two_wheeler_renew^2*SUMIFS(AR292:AR346,B292:B346,B344-24)+in_two_wheeler_renew^3*SUMIFS(AR292:AR346,B292:B346,B344-36)+in_two_wheeler_renew^4*SUMIFS(AR292:AR346,B292:B346,B344-48))</f>
        <v/>
      </c>
      <c r="AT344" s="40">
        <f>AT343*(1-IF(B343&gt;=in_marketplace_from,d_hz_device*G343,0))</f>
        <v/>
      </c>
      <c r="AU344" s="14">
        <f>F344*AT344*IF(B344&gt;=in_marketplace_from,d_hz_device*G344,0)*in_device_ticket*in_device_comm*in_ins_partner_share</f>
        <v/>
      </c>
      <c r="AV344" s="40">
        <f>AV343*(1-IF(B343&gt;=in_marketplace_from,d_hz_shop*G343,0))</f>
        <v/>
      </c>
      <c r="AW344" s="46">
        <f>AV344*IF(B344&gt;=in_marketplace_from,d_hz_shop*G344,0)</f>
        <v/>
      </c>
      <c r="AX344" s="14">
        <f>F344*AW344*in_shop_ticket*in_shop_comm*in_ins_partner_share+F344*in_shop_ticket*in_shop_renew_comm*in_ins_partner_share*(in_shop_renew^1*SUMIFS(AW292:AW346,B292:B346,B344-12)+in_shop_renew^2*SUMIFS(AW292:AW346,B292:B346,B344-24)+in_shop_renew^3*SUMIFS(AW292:AW346,B292:B346,B344-36)+in_shop_renew^4*SUMIFS(AW292:AW346,B292:B346,B344-48))</f>
        <v/>
      </c>
      <c r="AY344" s="40">
        <f>AY343*(1-IF(B343&gt;=in_marketplace_from,d_hz_sip*G343,0))</f>
        <v/>
      </c>
      <c r="AZ344" s="40">
        <f>AZ343*d_rho_sip+AY344*IF(B344&gt;=in_marketplace_from,d_hz_sip*G344,0)</f>
        <v/>
      </c>
      <c r="BA344" s="40">
        <f>d_rho_sip*(BA343+AZ343)</f>
        <v/>
      </c>
      <c r="BB344" s="14">
        <f>F344*in_sip_ticket*(BA344+0.5*AZ344)*in_sip_comm/12</f>
        <v/>
      </c>
      <c r="BC344" s="40">
        <f>BC343*(1-IF(B343&gt;=in_marketplace_from,d_hz_choti*G343,0))</f>
        <v/>
      </c>
      <c r="BD344" s="46">
        <f>BC344*IF(B344&gt;=in_marketplace_from,d_hz_choti*G344,0)</f>
        <v/>
      </c>
      <c r="BE344" s="14">
        <f>F344*SUMIFS(BD292:BD346,B292:B346,B344-in_choti_months)*in_choti_renew*in_choti_ticket</f>
        <v/>
      </c>
      <c r="BF344" s="40">
        <f>BF343*(1-IF(B343&gt;=in_marketplace_from,d_hz_nps*G343,0))</f>
        <v/>
      </c>
      <c r="BG344" s="14">
        <f>F344*BF344*IF(B344&gt;=in_marketplace_from,d_hz_nps*G344,0)*in_nps_ticket*in_nps_comm</f>
        <v/>
      </c>
      <c r="BH344" s="40">
        <f>BH343*(1-IF(B343&gt;=in_marketplace_from,d_hz_gold*G343,0))</f>
        <v/>
      </c>
      <c r="BI344" s="40">
        <f>BI343*d_rho_gold+BH344*IF(B344&gt;=in_marketplace_from,d_hz_gold*G344,0)</f>
        <v/>
      </c>
      <c r="BJ344" s="14">
        <f>F344*BI344*in_gold_ticket*in_gold_comm</f>
        <v/>
      </c>
      <c r="BK344" s="40">
        <f>BK343*(1-IF(B343&gt;=in_marketplace_from,d_hz_fd*G343,0))</f>
        <v/>
      </c>
      <c r="BL344" s="14">
        <f>F344*BK344*IF(B344&gt;=in_marketplace_from,d_hz_fd*G344,0)*in_fd_ticket*in_fd_comm</f>
        <v/>
      </c>
      <c r="BM344" s="40">
        <f>BM343*(1-IF(B343&gt;=in_marketplace_from,d_hz_recharge*G343,0))</f>
        <v/>
      </c>
      <c r="BN344" s="40">
        <f>BN343*d_rho_recharge+BM344*IF(B344&gt;=in_marketplace_from,d_hz_recharge*G344,0)</f>
        <v/>
      </c>
      <c r="BO344" s="14">
        <f>F344*BN344*in_recharge_ticket*in_recharge_comm/12</f>
        <v/>
      </c>
      <c r="BP344" s="40">
        <f>BP343*(1-IF(B343&gt;=in_marketplace_from,d_hz_bills*G343,0))</f>
        <v/>
      </c>
      <c r="BQ344" s="40">
        <f>BQ343*d_rho_bills+BP344*IF(B344&gt;=in_marketplace_from,d_hz_bills*G344,0)</f>
        <v/>
      </c>
      <c r="BR344" s="14">
        <f>F344*BQ344*in_bills_ticket*in_bills_comm/12</f>
        <v/>
      </c>
      <c r="BS344" s="40">
        <f>BS343*(1-IF(B343&gt;=in_marketplace_from,d_hz_loan_gold*G343,0))</f>
        <v/>
      </c>
      <c r="BT344" s="14">
        <f>F344*BS344*IF(B344&gt;=in_marketplace_from,d_hz_loan_gold*G344,0)*in_loan_gold_ticket*in_loan_gold_comm</f>
        <v/>
      </c>
      <c r="BU344" s="40">
        <f>BU343*(1-IF(B343&gt;=in_marketplace_from,d_hz_loan_cd*G343,0))</f>
        <v/>
      </c>
      <c r="BV344" s="14">
        <f>F344*BU344*IF(B344&gt;=in_marketplace_from,d_hz_loan_cd*G344,0)*in_loan_cd_ticket*in_loan_cd_comm</f>
        <v/>
      </c>
      <c r="BW344" s="40">
        <f>BW343*(1-IF(B343&gt;=in_marketplace_from,d_hz_loan_vehicle*G343,0))</f>
        <v/>
      </c>
      <c r="BX344" s="14">
        <f>F344*BW344*IF(B344&gt;=in_marketplace_from,d_hz_loan_vehicle*G344,0)*in_loan_vehicle_ticket*in_loan_vehicle_comm</f>
        <v/>
      </c>
      <c r="BY344" s="40">
        <f>BY343*(1-IF(B343&gt;=in_marketplace_from,d_hz_loan_home*G343,0)*BZ343)</f>
        <v/>
      </c>
      <c r="BZ344" s="11">
        <f>MIN(in_approval_cap,in_loan_home_approval*INDEX('Age profile'!$O$2:$O$61,B344)*(1+in_approval_growth)^(D344-1))</f>
        <v/>
      </c>
      <c r="CA344" s="14">
        <f>F344*BY344*IF(B344&gt;=in_marketplace_from,d_hz_loan_home*G344,0)*BZ344*in_loan_home_ticket*in_loan_home_comm</f>
        <v/>
      </c>
      <c r="CB344" s="40">
        <f>CB343*(1-IF(B343&gt;=in_marketplace_from,d_hz_loan_lap*G343,0)*CC343)</f>
        <v/>
      </c>
      <c r="CC344" s="11">
        <f>MIN(in_approval_cap,in_loan_lap_approval*INDEX('Age profile'!$O$2:$O$61,B344)*(1+in_approval_growth)^(D344-1))</f>
        <v/>
      </c>
      <c r="CD344" s="14">
        <f>F344*CB344*IF(B344&gt;=in_marketplace_from,d_hz_loan_lap*G344,0)*CC344*in_loan_lap_ticket*in_loan_lap_comm</f>
        <v/>
      </c>
      <c r="CE344" s="14">
        <f>AA344+AB344+AC344+AD344+AG344+AJ344+AM344+AP344+AS344+AU344+AX344+BB344+BE344+BG344+BJ344+BL344+BO344+BR344+BT344+BV344+BX344+CA344+CD344</f>
        <v/>
      </c>
    </row>
    <row r="345">
      <c r="A345" s="39" t="n">
        <v>6</v>
      </c>
      <c r="B345" s="39" t="n">
        <v>54</v>
      </c>
      <c r="C345" s="39">
        <f>A345+B345-1</f>
        <v/>
      </c>
      <c r="D345" s="39">
        <f>INT((C345-1)/12)+1</f>
        <v/>
      </c>
      <c r="E345" s="44">
        <f>INDEX(Monthly!$B$2:$B$61,A345)</f>
        <v/>
      </c>
      <c r="F345" s="44">
        <f>E345*INDEX('Age profile'!$B$2:$B$61,B345)</f>
        <v/>
      </c>
      <c r="G345" s="45">
        <f>MIN(in_takeup_cap,INDEX('Age profile'!$N$2:$N$61,B345)*(1+in_takeup_growth)^(D345-1))</f>
        <v/>
      </c>
      <c r="H345" s="11">
        <f>MIN(in_approval_cap,in_approved_first*INDEX('Age profile'!$O$2:$O$61,B345)*(1+in_approval_growth)^(D345-1))</f>
        <v/>
      </c>
      <c r="I345" s="45">
        <f>G345*MIN(in_takeup_cap,INDEX('Age profile'!$O$2:$O$61,B345)*(1+in_approval_growth)^(D345-1))</f>
        <v/>
      </c>
      <c r="J345" s="40">
        <f>(J344-L344)*F345/F344</f>
        <v/>
      </c>
      <c r="K345" s="40">
        <f>(K344-M344)*F345/F344+SUMIFS(O292:O344,B292:B344,B345-1-d_T)*F345</f>
        <v/>
      </c>
      <c r="L345" s="40">
        <f>IF(B345&gt;=in_marketplace_from,J345*d_hz*G345*in_eligible*H345,0)</f>
        <v/>
      </c>
      <c r="M345" s="40">
        <f>IF(B345&gt;=in_marketplace_from,K345*d_hz*G345*in_eligible*in_approved_repeat,0)</f>
        <v/>
      </c>
      <c r="N345" s="40">
        <f>L345+M345</f>
        <v/>
      </c>
      <c r="O345" s="46">
        <f>N345/F345</f>
        <v/>
      </c>
      <c r="P345" s="40">
        <f>F345-J345-K345</f>
        <v/>
      </c>
      <c r="Q345" s="40">
        <f>IF(B345&gt;=in_marketplace_from,(J345+K345)*d_hz*G345,0)</f>
        <v/>
      </c>
      <c r="R345" s="40">
        <f>SUMIFS(N292:N346,B292:B346,"&gt;="&amp;(B345-d_T),B292:B346,"&lt;="&amp;(B345-1))</f>
        <v/>
      </c>
      <c r="S345" s="46">
        <f>(1-d_u)*S344+IF(d_T&gt;in_topup_lag,SUMIFS(O292:O346,B292:B346,B345-in_topup_lag)-d_udrop*SUMIFS(O292:O346,B292:B346,B345-d_T),0)</f>
        <v/>
      </c>
      <c r="T345" s="40">
        <f>F345*d_u*S345</f>
        <v/>
      </c>
      <c r="U345" s="9">
        <f>L345*in_ticket+M345*d_rep_ticket</f>
        <v/>
      </c>
      <c r="V345" s="9">
        <f>U345+T345*d_topup_amt</f>
        <v/>
      </c>
      <c r="W345" s="40">
        <f>N345+T345*d_topup_ratio</f>
        <v/>
      </c>
      <c r="X345" s="40">
        <f>SUMIFS(W292:W346,B292:B346,B345-in_dpd_lag)*d_cured</f>
        <v/>
      </c>
      <c r="Y345" s="40">
        <f>SUMIFS(W292:W346,B292:B346,B345-in_rec_lag)*d_recd</f>
        <v/>
      </c>
      <c r="Z345" s="40">
        <f>IF(AND(B345&gt;=in_marketplace_from,B345&lt;in_marketplace_from+in_card_months),in_card_share/in_card_months*F345*I345,IF(AND(B345&gt;=in_marketplace_from+in_card_months,B345&lt;in_marketplace_from+2*in_card_months),in_card_share*d_card_rem/in_card_months*F345*MIN(in_takeup_cap,(1+in_takeup_growth)^(D345-1))*MIN(in_takeup_cap,(1+in_approval_growth)^(D345-1)),0))</f>
        <v/>
      </c>
      <c r="AA345" s="14">
        <f>V345*in_fee*(1-in_taken_back)</f>
        <v/>
      </c>
      <c r="AB345" s="14">
        <f>SUMIFS(W292:W346,B292:B346,B345-in_dpd_lag)*d_dpd</f>
        <v/>
      </c>
      <c r="AC345" s="14">
        <f>SUMIFS(W292:W346,B292:B346,B345-in_rec_lag)*d_rec</f>
        <v/>
      </c>
      <c r="AD345" s="14">
        <f>Z345*in_card_fee</f>
        <v/>
      </c>
      <c r="AE345" s="40">
        <f>AE344*(1-IF(B344&gt;=in_marketplace_from,d_hz_hlth_small*G344,0))</f>
        <v/>
      </c>
      <c r="AF345" s="46">
        <f>AE345*IF(B345&gt;=in_marketplace_from,d_hz_hlth_small*G345,0)</f>
        <v/>
      </c>
      <c r="AG345" s="14">
        <f>F345*AF345*in_hlth_small_ticket*in_hlth_small_comm*in_ins_partner_share+F345*in_hlth_small_ticket*in_hlth_small_renew_comm*in_ins_partner_share*(in_hlth_small_renew^1*SUMIFS(AF292:AF346,B292:B346,B345-12)+in_hlth_small_renew^2*SUMIFS(AF292:AF346,B292:B346,B345-24)+in_hlth_small_renew^3*SUMIFS(AF292:AF346,B292:B346,B345-36)+in_hlth_small_renew^4*SUMIFS(AF292:AF346,B292:B346,B345-48))</f>
        <v/>
      </c>
      <c r="AH345" s="40">
        <f>AH344*(1-IF(B344&gt;=in_marketplace_from,d_hz_hlth_family*G344,0))</f>
        <v/>
      </c>
      <c r="AI345" s="46">
        <f>AH345*IF(B345&gt;=in_marketplace_from,d_hz_hlth_family*G345,0)</f>
        <v/>
      </c>
      <c r="AJ345" s="14">
        <f>F345*AI345*in_hlth_family_ticket*in_hlth_family_comm*in_ins_partner_share+F345*in_hlth_family_ticket*in_hlth_family_renew_comm*in_ins_partner_share*(in_hlth_family_renew^1*SUMIFS(AI292:AI346,B292:B346,B345-12)+in_hlth_family_renew^2*SUMIFS(AI292:AI346,B292:B346,B345-24)+in_hlth_family_renew^3*SUMIFS(AI292:AI346,B292:B346,B345-36)+in_hlth_family_renew^4*SUMIFS(AI292:AI346,B292:B346,B345-48))</f>
        <v/>
      </c>
      <c r="AK345" s="40">
        <f>AK344*(1-IF(B344&gt;=in_marketplace_from,d_hz_life_term*G344,0))</f>
        <v/>
      </c>
      <c r="AL345" s="46">
        <f>AK345*IF(B345&gt;=in_marketplace_from,d_hz_life_term*G345,0)</f>
        <v/>
      </c>
      <c r="AM345" s="14">
        <f>F345*AL345*in_life_term_ticket*in_life_term_comm*in_ins_partner_share+F345*in_life_term_ticket*in_life_term_renew_comm*in_ins_partner_share*(in_life_term_renew^1*SUMIFS(AL292:AL346,B292:B346,B345-12)+in_life_term_renew^2*SUMIFS(AL292:AL346,B292:B346,B345-24)+in_life_term_renew^3*SUMIFS(AL292:AL346,B292:B346,B345-36)+in_life_term_renew^4*SUMIFS(AL292:AL346,B292:B346,B345-48))</f>
        <v/>
      </c>
      <c r="AN345" s="40">
        <f>AN344*(1-IF(B344&gt;=in_marketplace_from,d_hz_accident*G344,0))</f>
        <v/>
      </c>
      <c r="AO345" s="46">
        <f>AN345*IF(B345&gt;=in_marketplace_from,d_hz_accident*G345,0)</f>
        <v/>
      </c>
      <c r="AP345" s="14">
        <f>F345*AO345*in_accident_ticket*in_accident_comm*in_ins_partner_share+F345*in_accident_ticket*in_accident_renew_comm*in_ins_partner_share*(in_accident_renew^1*SUMIFS(AO292:AO346,B292:B346,B345-12)+in_accident_renew^2*SUMIFS(AO292:AO346,B292:B346,B345-24)+in_accident_renew^3*SUMIFS(AO292:AO346,B292:B346,B345-36)+in_accident_renew^4*SUMIFS(AO292:AO346,B292:B346,B345-48))</f>
        <v/>
      </c>
      <c r="AQ345" s="40">
        <f>AQ344*(1-IF(B344&gt;=in_marketplace_from,d_hz_two_wheeler*G344,0))</f>
        <v/>
      </c>
      <c r="AR345" s="46">
        <f>AQ345*IF(B345&gt;=in_marketplace_from,d_hz_two_wheeler*G345,0)</f>
        <v/>
      </c>
      <c r="AS345" s="14">
        <f>F345*AR345*in_two_wheeler_ticket*in_two_wheeler_comm*in_ins_partner_share+F345*in_two_wheeler_ticket*in_two_wheeler_comm*in_ins_partner_share*(in_two_wheeler_renew^1*SUMIFS(AR292:AR346,B292:B346,B345-12)+in_two_wheeler_renew^2*SUMIFS(AR292:AR346,B292:B346,B345-24)+in_two_wheeler_renew^3*SUMIFS(AR292:AR346,B292:B346,B345-36)+in_two_wheeler_renew^4*SUMIFS(AR292:AR346,B292:B346,B345-48))</f>
        <v/>
      </c>
      <c r="AT345" s="40">
        <f>AT344*(1-IF(B344&gt;=in_marketplace_from,d_hz_device*G344,0))</f>
        <v/>
      </c>
      <c r="AU345" s="14">
        <f>F345*AT345*IF(B345&gt;=in_marketplace_from,d_hz_device*G345,0)*in_device_ticket*in_device_comm*in_ins_partner_share</f>
        <v/>
      </c>
      <c r="AV345" s="40">
        <f>AV344*(1-IF(B344&gt;=in_marketplace_from,d_hz_shop*G344,0))</f>
        <v/>
      </c>
      <c r="AW345" s="46">
        <f>AV345*IF(B345&gt;=in_marketplace_from,d_hz_shop*G345,0)</f>
        <v/>
      </c>
      <c r="AX345" s="14">
        <f>F345*AW345*in_shop_ticket*in_shop_comm*in_ins_partner_share+F345*in_shop_ticket*in_shop_renew_comm*in_ins_partner_share*(in_shop_renew^1*SUMIFS(AW292:AW346,B292:B346,B345-12)+in_shop_renew^2*SUMIFS(AW292:AW346,B292:B346,B345-24)+in_shop_renew^3*SUMIFS(AW292:AW346,B292:B346,B345-36)+in_shop_renew^4*SUMIFS(AW292:AW346,B292:B346,B345-48))</f>
        <v/>
      </c>
      <c r="AY345" s="40">
        <f>AY344*(1-IF(B344&gt;=in_marketplace_from,d_hz_sip*G344,0))</f>
        <v/>
      </c>
      <c r="AZ345" s="40">
        <f>AZ344*d_rho_sip+AY345*IF(B345&gt;=in_marketplace_from,d_hz_sip*G345,0)</f>
        <v/>
      </c>
      <c r="BA345" s="40">
        <f>d_rho_sip*(BA344+AZ344)</f>
        <v/>
      </c>
      <c r="BB345" s="14">
        <f>F345*in_sip_ticket*(BA345+0.5*AZ345)*in_sip_comm/12</f>
        <v/>
      </c>
      <c r="BC345" s="40">
        <f>BC344*(1-IF(B344&gt;=in_marketplace_from,d_hz_choti*G344,0))</f>
        <v/>
      </c>
      <c r="BD345" s="46">
        <f>BC345*IF(B345&gt;=in_marketplace_from,d_hz_choti*G345,0)</f>
        <v/>
      </c>
      <c r="BE345" s="14">
        <f>F345*SUMIFS(BD292:BD346,B292:B346,B345-in_choti_months)*in_choti_renew*in_choti_ticket</f>
        <v/>
      </c>
      <c r="BF345" s="40">
        <f>BF344*(1-IF(B344&gt;=in_marketplace_from,d_hz_nps*G344,0))</f>
        <v/>
      </c>
      <c r="BG345" s="14">
        <f>F345*BF345*IF(B345&gt;=in_marketplace_from,d_hz_nps*G345,0)*in_nps_ticket*in_nps_comm</f>
        <v/>
      </c>
      <c r="BH345" s="40">
        <f>BH344*(1-IF(B344&gt;=in_marketplace_from,d_hz_gold*G344,0))</f>
        <v/>
      </c>
      <c r="BI345" s="40">
        <f>BI344*d_rho_gold+BH345*IF(B345&gt;=in_marketplace_from,d_hz_gold*G345,0)</f>
        <v/>
      </c>
      <c r="BJ345" s="14">
        <f>F345*BI345*in_gold_ticket*in_gold_comm</f>
        <v/>
      </c>
      <c r="BK345" s="40">
        <f>BK344*(1-IF(B344&gt;=in_marketplace_from,d_hz_fd*G344,0))</f>
        <v/>
      </c>
      <c r="BL345" s="14">
        <f>F345*BK345*IF(B345&gt;=in_marketplace_from,d_hz_fd*G345,0)*in_fd_ticket*in_fd_comm</f>
        <v/>
      </c>
      <c r="BM345" s="40">
        <f>BM344*(1-IF(B344&gt;=in_marketplace_from,d_hz_recharge*G344,0))</f>
        <v/>
      </c>
      <c r="BN345" s="40">
        <f>BN344*d_rho_recharge+BM345*IF(B345&gt;=in_marketplace_from,d_hz_recharge*G345,0)</f>
        <v/>
      </c>
      <c r="BO345" s="14">
        <f>F345*BN345*in_recharge_ticket*in_recharge_comm/12</f>
        <v/>
      </c>
      <c r="BP345" s="40">
        <f>BP344*(1-IF(B344&gt;=in_marketplace_from,d_hz_bills*G344,0))</f>
        <v/>
      </c>
      <c r="BQ345" s="40">
        <f>BQ344*d_rho_bills+BP345*IF(B345&gt;=in_marketplace_from,d_hz_bills*G345,0)</f>
        <v/>
      </c>
      <c r="BR345" s="14">
        <f>F345*BQ345*in_bills_ticket*in_bills_comm/12</f>
        <v/>
      </c>
      <c r="BS345" s="40">
        <f>BS344*(1-IF(B344&gt;=in_marketplace_from,d_hz_loan_gold*G344,0))</f>
        <v/>
      </c>
      <c r="BT345" s="14">
        <f>F345*BS345*IF(B345&gt;=in_marketplace_from,d_hz_loan_gold*G345,0)*in_loan_gold_ticket*in_loan_gold_comm</f>
        <v/>
      </c>
      <c r="BU345" s="40">
        <f>BU344*(1-IF(B344&gt;=in_marketplace_from,d_hz_loan_cd*G344,0))</f>
        <v/>
      </c>
      <c r="BV345" s="14">
        <f>F345*BU345*IF(B345&gt;=in_marketplace_from,d_hz_loan_cd*G345,0)*in_loan_cd_ticket*in_loan_cd_comm</f>
        <v/>
      </c>
      <c r="BW345" s="40">
        <f>BW344*(1-IF(B344&gt;=in_marketplace_from,d_hz_loan_vehicle*G344,0))</f>
        <v/>
      </c>
      <c r="BX345" s="14">
        <f>F345*BW345*IF(B345&gt;=in_marketplace_from,d_hz_loan_vehicle*G345,0)*in_loan_vehicle_ticket*in_loan_vehicle_comm</f>
        <v/>
      </c>
      <c r="BY345" s="40">
        <f>BY344*(1-IF(B344&gt;=in_marketplace_from,d_hz_loan_home*G344,0)*BZ344)</f>
        <v/>
      </c>
      <c r="BZ345" s="11">
        <f>MIN(in_approval_cap,in_loan_home_approval*INDEX('Age profile'!$O$2:$O$61,B345)*(1+in_approval_growth)^(D345-1))</f>
        <v/>
      </c>
      <c r="CA345" s="14">
        <f>F345*BY345*IF(B345&gt;=in_marketplace_from,d_hz_loan_home*G345,0)*BZ345*in_loan_home_ticket*in_loan_home_comm</f>
        <v/>
      </c>
      <c r="CB345" s="40">
        <f>CB344*(1-IF(B344&gt;=in_marketplace_from,d_hz_loan_lap*G344,0)*CC344)</f>
        <v/>
      </c>
      <c r="CC345" s="11">
        <f>MIN(in_approval_cap,in_loan_lap_approval*INDEX('Age profile'!$O$2:$O$61,B345)*(1+in_approval_growth)^(D345-1))</f>
        <v/>
      </c>
      <c r="CD345" s="14">
        <f>F345*CB345*IF(B345&gt;=in_marketplace_from,d_hz_loan_lap*G345,0)*CC345*in_loan_lap_ticket*in_loan_lap_comm</f>
        <v/>
      </c>
      <c r="CE345" s="14">
        <f>AA345+AB345+AC345+AD345+AG345+AJ345+AM345+AP345+AS345+AU345+AX345+BB345+BE345+BG345+BJ345+BL345+BO345+BR345+BT345+BV345+BX345+CA345+CD345</f>
        <v/>
      </c>
    </row>
    <row r="346">
      <c r="A346" s="39" t="n">
        <v>6</v>
      </c>
      <c r="B346" s="39" t="n">
        <v>55</v>
      </c>
      <c r="C346" s="39">
        <f>A346+B346-1</f>
        <v/>
      </c>
      <c r="D346" s="39">
        <f>INT((C346-1)/12)+1</f>
        <v/>
      </c>
      <c r="E346" s="44">
        <f>INDEX(Monthly!$B$2:$B$61,A346)</f>
        <v/>
      </c>
      <c r="F346" s="44">
        <f>E346*INDEX('Age profile'!$B$2:$B$61,B346)</f>
        <v/>
      </c>
      <c r="G346" s="45">
        <f>MIN(in_takeup_cap,INDEX('Age profile'!$N$2:$N$61,B346)*(1+in_takeup_growth)^(D346-1))</f>
        <v/>
      </c>
      <c r="H346" s="11">
        <f>MIN(in_approval_cap,in_approved_first*INDEX('Age profile'!$O$2:$O$61,B346)*(1+in_approval_growth)^(D346-1))</f>
        <v/>
      </c>
      <c r="I346" s="45">
        <f>G346*MIN(in_takeup_cap,INDEX('Age profile'!$O$2:$O$61,B346)*(1+in_approval_growth)^(D346-1))</f>
        <v/>
      </c>
      <c r="J346" s="40">
        <f>(J345-L345)*F346/F345</f>
        <v/>
      </c>
      <c r="K346" s="40">
        <f>(K345-M345)*F346/F345+SUMIFS(O292:O345,B292:B345,B346-1-d_T)*F346</f>
        <v/>
      </c>
      <c r="L346" s="40">
        <f>IF(B346&gt;=in_marketplace_from,J346*d_hz*G346*in_eligible*H346,0)</f>
        <v/>
      </c>
      <c r="M346" s="40">
        <f>IF(B346&gt;=in_marketplace_from,K346*d_hz*G346*in_eligible*in_approved_repeat,0)</f>
        <v/>
      </c>
      <c r="N346" s="40">
        <f>L346+M346</f>
        <v/>
      </c>
      <c r="O346" s="46">
        <f>N346/F346</f>
        <v/>
      </c>
      <c r="P346" s="40">
        <f>F346-J346-K346</f>
        <v/>
      </c>
      <c r="Q346" s="40">
        <f>IF(B346&gt;=in_marketplace_from,(J346+K346)*d_hz*G346,0)</f>
        <v/>
      </c>
      <c r="R346" s="40">
        <f>SUMIFS(N292:N346,B292:B346,"&gt;="&amp;(B346-d_T),B292:B346,"&lt;="&amp;(B346-1))</f>
        <v/>
      </c>
      <c r="S346" s="46">
        <f>(1-d_u)*S345+IF(d_T&gt;in_topup_lag,SUMIFS(O292:O346,B292:B346,B346-in_topup_lag)-d_udrop*SUMIFS(O292:O346,B292:B346,B346-d_T),0)</f>
        <v/>
      </c>
      <c r="T346" s="40">
        <f>F346*d_u*S346</f>
        <v/>
      </c>
      <c r="U346" s="9">
        <f>L346*in_ticket+M346*d_rep_ticket</f>
        <v/>
      </c>
      <c r="V346" s="9">
        <f>U346+T346*d_topup_amt</f>
        <v/>
      </c>
      <c r="W346" s="40">
        <f>N346+T346*d_topup_ratio</f>
        <v/>
      </c>
      <c r="X346" s="40">
        <f>SUMIFS(W292:W346,B292:B346,B346-in_dpd_lag)*d_cured</f>
        <v/>
      </c>
      <c r="Y346" s="40">
        <f>SUMIFS(W292:W346,B292:B346,B346-in_rec_lag)*d_recd</f>
        <v/>
      </c>
      <c r="Z346" s="40">
        <f>IF(AND(B346&gt;=in_marketplace_from,B346&lt;in_marketplace_from+in_card_months),in_card_share/in_card_months*F346*I346,IF(AND(B346&gt;=in_marketplace_from+in_card_months,B346&lt;in_marketplace_from+2*in_card_months),in_card_share*d_card_rem/in_card_months*F346*MIN(in_takeup_cap,(1+in_takeup_growth)^(D346-1))*MIN(in_takeup_cap,(1+in_approval_growth)^(D346-1)),0))</f>
        <v/>
      </c>
      <c r="AA346" s="14">
        <f>V346*in_fee*(1-in_taken_back)</f>
        <v/>
      </c>
      <c r="AB346" s="14">
        <f>SUMIFS(W292:W346,B292:B346,B346-in_dpd_lag)*d_dpd</f>
        <v/>
      </c>
      <c r="AC346" s="14">
        <f>SUMIFS(W292:W346,B292:B346,B346-in_rec_lag)*d_rec</f>
        <v/>
      </c>
      <c r="AD346" s="14">
        <f>Z346*in_card_fee</f>
        <v/>
      </c>
      <c r="AE346" s="40">
        <f>AE345*(1-IF(B345&gt;=in_marketplace_from,d_hz_hlth_small*G345,0))</f>
        <v/>
      </c>
      <c r="AF346" s="46">
        <f>AE346*IF(B346&gt;=in_marketplace_from,d_hz_hlth_small*G346,0)</f>
        <v/>
      </c>
      <c r="AG346" s="14">
        <f>F346*AF346*in_hlth_small_ticket*in_hlth_small_comm*in_ins_partner_share+F346*in_hlth_small_ticket*in_hlth_small_renew_comm*in_ins_partner_share*(in_hlth_small_renew^1*SUMIFS(AF292:AF346,B292:B346,B346-12)+in_hlth_small_renew^2*SUMIFS(AF292:AF346,B292:B346,B346-24)+in_hlth_small_renew^3*SUMIFS(AF292:AF346,B292:B346,B346-36)+in_hlth_small_renew^4*SUMIFS(AF292:AF346,B292:B346,B346-48))</f>
        <v/>
      </c>
      <c r="AH346" s="40">
        <f>AH345*(1-IF(B345&gt;=in_marketplace_from,d_hz_hlth_family*G345,0))</f>
        <v/>
      </c>
      <c r="AI346" s="46">
        <f>AH346*IF(B346&gt;=in_marketplace_from,d_hz_hlth_family*G346,0)</f>
        <v/>
      </c>
      <c r="AJ346" s="14">
        <f>F346*AI346*in_hlth_family_ticket*in_hlth_family_comm*in_ins_partner_share+F346*in_hlth_family_ticket*in_hlth_family_renew_comm*in_ins_partner_share*(in_hlth_family_renew^1*SUMIFS(AI292:AI346,B292:B346,B346-12)+in_hlth_family_renew^2*SUMIFS(AI292:AI346,B292:B346,B346-24)+in_hlth_family_renew^3*SUMIFS(AI292:AI346,B292:B346,B346-36)+in_hlth_family_renew^4*SUMIFS(AI292:AI346,B292:B346,B346-48))</f>
        <v/>
      </c>
      <c r="AK346" s="40">
        <f>AK345*(1-IF(B345&gt;=in_marketplace_from,d_hz_life_term*G345,0))</f>
        <v/>
      </c>
      <c r="AL346" s="46">
        <f>AK346*IF(B346&gt;=in_marketplace_from,d_hz_life_term*G346,0)</f>
        <v/>
      </c>
      <c r="AM346" s="14">
        <f>F346*AL346*in_life_term_ticket*in_life_term_comm*in_ins_partner_share+F346*in_life_term_ticket*in_life_term_renew_comm*in_ins_partner_share*(in_life_term_renew^1*SUMIFS(AL292:AL346,B292:B346,B346-12)+in_life_term_renew^2*SUMIFS(AL292:AL346,B292:B346,B346-24)+in_life_term_renew^3*SUMIFS(AL292:AL346,B292:B346,B346-36)+in_life_term_renew^4*SUMIFS(AL292:AL346,B292:B346,B346-48))</f>
        <v/>
      </c>
      <c r="AN346" s="40">
        <f>AN345*(1-IF(B345&gt;=in_marketplace_from,d_hz_accident*G345,0))</f>
        <v/>
      </c>
      <c r="AO346" s="46">
        <f>AN346*IF(B346&gt;=in_marketplace_from,d_hz_accident*G346,0)</f>
        <v/>
      </c>
      <c r="AP346" s="14">
        <f>F346*AO346*in_accident_ticket*in_accident_comm*in_ins_partner_share+F346*in_accident_ticket*in_accident_renew_comm*in_ins_partner_share*(in_accident_renew^1*SUMIFS(AO292:AO346,B292:B346,B346-12)+in_accident_renew^2*SUMIFS(AO292:AO346,B292:B346,B346-24)+in_accident_renew^3*SUMIFS(AO292:AO346,B292:B346,B346-36)+in_accident_renew^4*SUMIFS(AO292:AO346,B292:B346,B346-48))</f>
        <v/>
      </c>
      <c r="AQ346" s="40">
        <f>AQ345*(1-IF(B345&gt;=in_marketplace_from,d_hz_two_wheeler*G345,0))</f>
        <v/>
      </c>
      <c r="AR346" s="46">
        <f>AQ346*IF(B346&gt;=in_marketplace_from,d_hz_two_wheeler*G346,0)</f>
        <v/>
      </c>
      <c r="AS346" s="14">
        <f>F346*AR346*in_two_wheeler_ticket*in_two_wheeler_comm*in_ins_partner_share+F346*in_two_wheeler_ticket*in_two_wheeler_comm*in_ins_partner_share*(in_two_wheeler_renew^1*SUMIFS(AR292:AR346,B292:B346,B346-12)+in_two_wheeler_renew^2*SUMIFS(AR292:AR346,B292:B346,B346-24)+in_two_wheeler_renew^3*SUMIFS(AR292:AR346,B292:B346,B346-36)+in_two_wheeler_renew^4*SUMIFS(AR292:AR346,B292:B346,B346-48))</f>
        <v/>
      </c>
      <c r="AT346" s="40">
        <f>AT345*(1-IF(B345&gt;=in_marketplace_from,d_hz_device*G345,0))</f>
        <v/>
      </c>
      <c r="AU346" s="14">
        <f>F346*AT346*IF(B346&gt;=in_marketplace_from,d_hz_device*G346,0)*in_device_ticket*in_device_comm*in_ins_partner_share</f>
        <v/>
      </c>
      <c r="AV346" s="40">
        <f>AV345*(1-IF(B345&gt;=in_marketplace_from,d_hz_shop*G345,0))</f>
        <v/>
      </c>
      <c r="AW346" s="46">
        <f>AV346*IF(B346&gt;=in_marketplace_from,d_hz_shop*G346,0)</f>
        <v/>
      </c>
      <c r="AX346" s="14">
        <f>F346*AW346*in_shop_ticket*in_shop_comm*in_ins_partner_share+F346*in_shop_ticket*in_shop_renew_comm*in_ins_partner_share*(in_shop_renew^1*SUMIFS(AW292:AW346,B292:B346,B346-12)+in_shop_renew^2*SUMIFS(AW292:AW346,B292:B346,B346-24)+in_shop_renew^3*SUMIFS(AW292:AW346,B292:B346,B346-36)+in_shop_renew^4*SUMIFS(AW292:AW346,B292:B346,B346-48))</f>
        <v/>
      </c>
      <c r="AY346" s="40">
        <f>AY345*(1-IF(B345&gt;=in_marketplace_from,d_hz_sip*G345,0))</f>
        <v/>
      </c>
      <c r="AZ346" s="40">
        <f>AZ345*d_rho_sip+AY346*IF(B346&gt;=in_marketplace_from,d_hz_sip*G346,0)</f>
        <v/>
      </c>
      <c r="BA346" s="40">
        <f>d_rho_sip*(BA345+AZ345)</f>
        <v/>
      </c>
      <c r="BB346" s="14">
        <f>F346*in_sip_ticket*(BA346+0.5*AZ346)*in_sip_comm/12</f>
        <v/>
      </c>
      <c r="BC346" s="40">
        <f>BC345*(1-IF(B345&gt;=in_marketplace_from,d_hz_choti*G345,0))</f>
        <v/>
      </c>
      <c r="BD346" s="46">
        <f>BC346*IF(B346&gt;=in_marketplace_from,d_hz_choti*G346,0)</f>
        <v/>
      </c>
      <c r="BE346" s="14">
        <f>F346*SUMIFS(BD292:BD346,B292:B346,B346-in_choti_months)*in_choti_renew*in_choti_ticket</f>
        <v/>
      </c>
      <c r="BF346" s="40">
        <f>BF345*(1-IF(B345&gt;=in_marketplace_from,d_hz_nps*G345,0))</f>
        <v/>
      </c>
      <c r="BG346" s="14">
        <f>F346*BF346*IF(B346&gt;=in_marketplace_from,d_hz_nps*G346,0)*in_nps_ticket*in_nps_comm</f>
        <v/>
      </c>
      <c r="BH346" s="40">
        <f>BH345*(1-IF(B345&gt;=in_marketplace_from,d_hz_gold*G345,0))</f>
        <v/>
      </c>
      <c r="BI346" s="40">
        <f>BI345*d_rho_gold+BH346*IF(B346&gt;=in_marketplace_from,d_hz_gold*G346,0)</f>
        <v/>
      </c>
      <c r="BJ346" s="14">
        <f>F346*BI346*in_gold_ticket*in_gold_comm</f>
        <v/>
      </c>
      <c r="BK346" s="40">
        <f>BK345*(1-IF(B345&gt;=in_marketplace_from,d_hz_fd*G345,0))</f>
        <v/>
      </c>
      <c r="BL346" s="14">
        <f>F346*BK346*IF(B346&gt;=in_marketplace_from,d_hz_fd*G346,0)*in_fd_ticket*in_fd_comm</f>
        <v/>
      </c>
      <c r="BM346" s="40">
        <f>BM345*(1-IF(B345&gt;=in_marketplace_from,d_hz_recharge*G345,0))</f>
        <v/>
      </c>
      <c r="BN346" s="40">
        <f>BN345*d_rho_recharge+BM346*IF(B346&gt;=in_marketplace_from,d_hz_recharge*G346,0)</f>
        <v/>
      </c>
      <c r="BO346" s="14">
        <f>F346*BN346*in_recharge_ticket*in_recharge_comm/12</f>
        <v/>
      </c>
      <c r="BP346" s="40">
        <f>BP345*(1-IF(B345&gt;=in_marketplace_from,d_hz_bills*G345,0))</f>
        <v/>
      </c>
      <c r="BQ346" s="40">
        <f>BQ345*d_rho_bills+BP346*IF(B346&gt;=in_marketplace_from,d_hz_bills*G346,0)</f>
        <v/>
      </c>
      <c r="BR346" s="14">
        <f>F346*BQ346*in_bills_ticket*in_bills_comm/12</f>
        <v/>
      </c>
      <c r="BS346" s="40">
        <f>BS345*(1-IF(B345&gt;=in_marketplace_from,d_hz_loan_gold*G345,0))</f>
        <v/>
      </c>
      <c r="BT346" s="14">
        <f>F346*BS346*IF(B346&gt;=in_marketplace_from,d_hz_loan_gold*G346,0)*in_loan_gold_ticket*in_loan_gold_comm</f>
        <v/>
      </c>
      <c r="BU346" s="40">
        <f>BU345*(1-IF(B345&gt;=in_marketplace_from,d_hz_loan_cd*G345,0))</f>
        <v/>
      </c>
      <c r="BV346" s="14">
        <f>F346*BU346*IF(B346&gt;=in_marketplace_from,d_hz_loan_cd*G346,0)*in_loan_cd_ticket*in_loan_cd_comm</f>
        <v/>
      </c>
      <c r="BW346" s="40">
        <f>BW345*(1-IF(B345&gt;=in_marketplace_from,d_hz_loan_vehicle*G345,0))</f>
        <v/>
      </c>
      <c r="BX346" s="14">
        <f>F346*BW346*IF(B346&gt;=in_marketplace_from,d_hz_loan_vehicle*G346,0)*in_loan_vehicle_ticket*in_loan_vehicle_comm</f>
        <v/>
      </c>
      <c r="BY346" s="40">
        <f>BY345*(1-IF(B345&gt;=in_marketplace_from,d_hz_loan_home*G345,0)*BZ345)</f>
        <v/>
      </c>
      <c r="BZ346" s="11">
        <f>MIN(in_approval_cap,in_loan_home_approval*INDEX('Age profile'!$O$2:$O$61,B346)*(1+in_approval_growth)^(D346-1))</f>
        <v/>
      </c>
      <c r="CA346" s="14">
        <f>F346*BY346*IF(B346&gt;=in_marketplace_from,d_hz_loan_home*G346,0)*BZ346*in_loan_home_ticket*in_loan_home_comm</f>
        <v/>
      </c>
      <c r="CB346" s="40">
        <f>CB345*(1-IF(B345&gt;=in_marketplace_from,d_hz_loan_lap*G345,0)*CC345)</f>
        <v/>
      </c>
      <c r="CC346" s="11">
        <f>MIN(in_approval_cap,in_loan_lap_approval*INDEX('Age profile'!$O$2:$O$61,B346)*(1+in_approval_growth)^(D346-1))</f>
        <v/>
      </c>
      <c r="CD346" s="14">
        <f>F346*CB346*IF(B346&gt;=in_marketplace_from,d_hz_loan_lap*G346,0)*CC346*in_loan_lap_ticket*in_loan_lap_comm</f>
        <v/>
      </c>
      <c r="CE346" s="14">
        <f>AA346+AB346+AC346+AD346+AG346+AJ346+AM346+AP346+AS346+AU346+AX346+BB346+BE346+BG346+BJ346+BL346+BO346+BR346+BT346+BV346+BX346+CA346+CD346</f>
        <v/>
      </c>
    </row>
    <row r="347">
      <c r="A347" s="39" t="n">
        <v>7</v>
      </c>
      <c r="B347" s="39" t="n">
        <v>1</v>
      </c>
      <c r="C347" s="39">
        <f>A347+B347-1</f>
        <v/>
      </c>
      <c r="D347" s="39">
        <f>INT((C347-1)/12)+1</f>
        <v/>
      </c>
      <c r="E347" s="44">
        <f>INDEX(Monthly!$B$2:$B$61,A347)</f>
        <v/>
      </c>
      <c r="F347" s="44">
        <f>E347*INDEX('Age profile'!$B$2:$B$61,B347)</f>
        <v/>
      </c>
      <c r="G347" s="45">
        <f>MIN(in_takeup_cap,INDEX('Age profile'!$N$2:$N$61,B347)*(1+in_takeup_growth)^(D347-1))</f>
        <v/>
      </c>
      <c r="H347" s="11">
        <f>MIN(in_approval_cap,in_approved_first*INDEX('Age profile'!$O$2:$O$61,B347)*(1+in_approval_growth)^(D347-1))</f>
        <v/>
      </c>
      <c r="I347" s="45">
        <f>G347*MIN(in_takeup_cap,INDEX('Age profile'!$O$2:$O$61,B347)*(1+in_approval_growth)^(D347-1))</f>
        <v/>
      </c>
      <c r="J347" s="40">
        <f>E347</f>
        <v/>
      </c>
      <c r="K347" s="40" t="n">
        <v>0</v>
      </c>
      <c r="L347" s="40">
        <f>IF(B347&gt;=in_marketplace_from,J347*d_hz*G347*in_eligible*H347,0)</f>
        <v/>
      </c>
      <c r="M347" s="40">
        <f>IF(B347&gt;=in_marketplace_from,K347*d_hz*G347*in_eligible*in_approved_repeat,0)</f>
        <v/>
      </c>
      <c r="N347" s="40">
        <f>L347+M347</f>
        <v/>
      </c>
      <c r="O347" s="46">
        <f>N347/F347</f>
        <v/>
      </c>
      <c r="P347" s="40">
        <f>F347-J347-K347</f>
        <v/>
      </c>
      <c r="Q347" s="40">
        <f>IF(B347&gt;=in_marketplace_from,(J347+K347)*d_hz*G347,0)</f>
        <v/>
      </c>
      <c r="R347" s="40">
        <f>SUMIFS(N347:N400,B347:B400,"&gt;="&amp;(B347-d_T),B347:B400,"&lt;="&amp;(B347-1))</f>
        <v/>
      </c>
      <c r="S347" s="46" t="n">
        <v>0</v>
      </c>
      <c r="T347" s="40">
        <f>F347*d_u*S347</f>
        <v/>
      </c>
      <c r="U347" s="9">
        <f>L347*in_ticket+M347*d_rep_ticket</f>
        <v/>
      </c>
      <c r="V347" s="9">
        <f>U347+T347*d_topup_amt</f>
        <v/>
      </c>
      <c r="W347" s="40">
        <f>N347+T347*d_topup_ratio</f>
        <v/>
      </c>
      <c r="X347" s="40">
        <f>SUMIFS(W347:W400,B347:B400,B347-in_dpd_lag)*d_cured</f>
        <v/>
      </c>
      <c r="Y347" s="40">
        <f>SUMIFS(W347:W400,B347:B400,B347-in_rec_lag)*d_recd</f>
        <v/>
      </c>
      <c r="Z347" s="40">
        <f>IF(AND(B347&gt;=in_marketplace_from,B347&lt;in_marketplace_from+in_card_months),in_card_share/in_card_months*F347*I347,IF(AND(B347&gt;=in_marketplace_from+in_card_months,B347&lt;in_marketplace_from+2*in_card_months),in_card_share*d_card_rem/in_card_months*F347*MIN(in_takeup_cap,(1+in_takeup_growth)^(D347-1))*MIN(in_takeup_cap,(1+in_approval_growth)^(D347-1)),0))</f>
        <v/>
      </c>
      <c r="AA347" s="14">
        <f>V347*in_fee*(1-in_taken_back)</f>
        <v/>
      </c>
      <c r="AB347" s="14">
        <f>SUMIFS(W347:W400,B347:B400,B347-in_dpd_lag)*d_dpd</f>
        <v/>
      </c>
      <c r="AC347" s="14">
        <f>SUMIFS(W347:W400,B347:B400,B347-in_rec_lag)*d_rec</f>
        <v/>
      </c>
      <c r="AD347" s="14">
        <f>Z347*in_card_fee</f>
        <v/>
      </c>
      <c r="AE347" s="40" t="n">
        <v>1</v>
      </c>
      <c r="AF347" s="46">
        <f>AE347*IF(B347&gt;=in_marketplace_from,d_hz_hlth_small*G347,0)</f>
        <v/>
      </c>
      <c r="AG347" s="14">
        <f>F347*AF347*in_hlth_small_ticket*in_hlth_small_comm*in_ins_partner_share+F347*in_hlth_small_ticket*in_hlth_small_renew_comm*in_ins_partner_share*(in_hlth_small_renew^1*SUMIFS(AF347:AF400,B347:B400,B347-12)+in_hlth_small_renew^2*SUMIFS(AF347:AF400,B347:B400,B347-24)+in_hlth_small_renew^3*SUMIFS(AF347:AF400,B347:B400,B347-36)+in_hlth_small_renew^4*SUMIFS(AF347:AF400,B347:B400,B347-48))</f>
        <v/>
      </c>
      <c r="AH347" s="40" t="n">
        <v>1</v>
      </c>
      <c r="AI347" s="46">
        <f>AH347*IF(B347&gt;=in_marketplace_from,d_hz_hlth_family*G347,0)</f>
        <v/>
      </c>
      <c r="AJ347" s="14">
        <f>F347*AI347*in_hlth_family_ticket*in_hlth_family_comm*in_ins_partner_share+F347*in_hlth_family_ticket*in_hlth_family_renew_comm*in_ins_partner_share*(in_hlth_family_renew^1*SUMIFS(AI347:AI400,B347:B400,B347-12)+in_hlth_family_renew^2*SUMIFS(AI347:AI400,B347:B400,B347-24)+in_hlth_family_renew^3*SUMIFS(AI347:AI400,B347:B400,B347-36)+in_hlth_family_renew^4*SUMIFS(AI347:AI400,B347:B400,B347-48))</f>
        <v/>
      </c>
      <c r="AK347" s="40" t="n">
        <v>1</v>
      </c>
      <c r="AL347" s="46">
        <f>AK347*IF(B347&gt;=in_marketplace_from,d_hz_life_term*G347,0)</f>
        <v/>
      </c>
      <c r="AM347" s="14">
        <f>F347*AL347*in_life_term_ticket*in_life_term_comm*in_ins_partner_share+F347*in_life_term_ticket*in_life_term_renew_comm*in_ins_partner_share*(in_life_term_renew^1*SUMIFS(AL347:AL400,B347:B400,B347-12)+in_life_term_renew^2*SUMIFS(AL347:AL400,B347:B400,B347-24)+in_life_term_renew^3*SUMIFS(AL347:AL400,B347:B400,B347-36)+in_life_term_renew^4*SUMIFS(AL347:AL400,B347:B400,B347-48))</f>
        <v/>
      </c>
      <c r="AN347" s="40" t="n">
        <v>1</v>
      </c>
      <c r="AO347" s="46">
        <f>AN347*IF(B347&gt;=in_marketplace_from,d_hz_accident*G347,0)</f>
        <v/>
      </c>
      <c r="AP347" s="14">
        <f>F347*AO347*in_accident_ticket*in_accident_comm*in_ins_partner_share+F347*in_accident_ticket*in_accident_renew_comm*in_ins_partner_share*(in_accident_renew^1*SUMIFS(AO347:AO400,B347:B400,B347-12)+in_accident_renew^2*SUMIFS(AO347:AO400,B347:B400,B347-24)+in_accident_renew^3*SUMIFS(AO347:AO400,B347:B400,B347-36)+in_accident_renew^4*SUMIFS(AO347:AO400,B347:B400,B347-48))</f>
        <v/>
      </c>
      <c r="AQ347" s="40" t="n">
        <v>1</v>
      </c>
      <c r="AR347" s="46">
        <f>AQ347*IF(B347&gt;=in_marketplace_from,d_hz_two_wheeler*G347,0)</f>
        <v/>
      </c>
      <c r="AS347" s="14">
        <f>F347*AR347*in_two_wheeler_ticket*in_two_wheeler_comm*in_ins_partner_share+F347*in_two_wheeler_ticket*in_two_wheeler_comm*in_ins_partner_share*(in_two_wheeler_renew^1*SUMIFS(AR347:AR400,B347:B400,B347-12)+in_two_wheeler_renew^2*SUMIFS(AR347:AR400,B347:B400,B347-24)+in_two_wheeler_renew^3*SUMIFS(AR347:AR400,B347:B400,B347-36)+in_two_wheeler_renew^4*SUMIFS(AR347:AR400,B347:B400,B347-48))</f>
        <v/>
      </c>
      <c r="AT347" s="40" t="n">
        <v>1</v>
      </c>
      <c r="AU347" s="14">
        <f>F347*AT347*IF(B347&gt;=in_marketplace_from,d_hz_device*G347,0)*in_device_ticket*in_device_comm*in_ins_partner_share</f>
        <v/>
      </c>
      <c r="AV347" s="40" t="n">
        <v>1</v>
      </c>
      <c r="AW347" s="46">
        <f>AV347*IF(B347&gt;=in_marketplace_from,d_hz_shop*G347,0)</f>
        <v/>
      </c>
      <c r="AX347" s="14">
        <f>F347*AW347*in_shop_ticket*in_shop_comm*in_ins_partner_share+F347*in_shop_ticket*in_shop_renew_comm*in_ins_partner_share*(in_shop_renew^1*SUMIFS(AW347:AW400,B347:B400,B347-12)+in_shop_renew^2*SUMIFS(AW347:AW400,B347:B400,B347-24)+in_shop_renew^3*SUMIFS(AW347:AW400,B347:B400,B347-36)+in_shop_renew^4*SUMIFS(AW347:AW400,B347:B400,B347-48))</f>
        <v/>
      </c>
      <c r="AY347" s="40" t="n">
        <v>1</v>
      </c>
      <c r="AZ347" s="40">
        <f>AY347*IF(B347&gt;=in_marketplace_from,d_hz_sip*G347,0)</f>
        <v/>
      </c>
      <c r="BA347" s="40" t="n">
        <v>0</v>
      </c>
      <c r="BB347" s="14">
        <f>F347*in_sip_ticket*(BA347+0.5*AZ347)*in_sip_comm/12</f>
        <v/>
      </c>
      <c r="BC347" s="40" t="n">
        <v>1</v>
      </c>
      <c r="BD347" s="46">
        <f>BC347*IF(B347&gt;=in_marketplace_from,d_hz_choti*G347,0)</f>
        <v/>
      </c>
      <c r="BE347" s="14">
        <f>F347*SUMIFS(BD347:BD400,B347:B400,B347-in_choti_months)*in_choti_renew*in_choti_ticket</f>
        <v/>
      </c>
      <c r="BF347" s="40" t="n">
        <v>1</v>
      </c>
      <c r="BG347" s="14">
        <f>F347*BF347*IF(B347&gt;=in_marketplace_from,d_hz_nps*G347,0)*in_nps_ticket*in_nps_comm</f>
        <v/>
      </c>
      <c r="BH347" s="40" t="n">
        <v>1</v>
      </c>
      <c r="BI347" s="40">
        <f>BH347*IF(B347&gt;=in_marketplace_from,d_hz_gold*G347,0)</f>
        <v/>
      </c>
      <c r="BJ347" s="14">
        <f>F347*BI347*in_gold_ticket*in_gold_comm</f>
        <v/>
      </c>
      <c r="BK347" s="40" t="n">
        <v>1</v>
      </c>
      <c r="BL347" s="14">
        <f>F347*BK347*IF(B347&gt;=in_marketplace_from,d_hz_fd*G347,0)*in_fd_ticket*in_fd_comm</f>
        <v/>
      </c>
      <c r="BM347" s="40" t="n">
        <v>1</v>
      </c>
      <c r="BN347" s="40">
        <f>BM347*IF(B347&gt;=in_marketplace_from,d_hz_recharge*G347,0)</f>
        <v/>
      </c>
      <c r="BO347" s="14">
        <f>F347*BN347*in_recharge_ticket*in_recharge_comm/12</f>
        <v/>
      </c>
      <c r="BP347" s="40" t="n">
        <v>1</v>
      </c>
      <c r="BQ347" s="40">
        <f>BP347*IF(B347&gt;=in_marketplace_from,d_hz_bills*G347,0)</f>
        <v/>
      </c>
      <c r="BR347" s="14">
        <f>F347*BQ347*in_bills_ticket*in_bills_comm/12</f>
        <v/>
      </c>
      <c r="BS347" s="40" t="n">
        <v>1</v>
      </c>
      <c r="BT347" s="14">
        <f>F347*BS347*IF(B347&gt;=in_marketplace_from,d_hz_loan_gold*G347,0)*in_loan_gold_ticket*in_loan_gold_comm</f>
        <v/>
      </c>
      <c r="BU347" s="40" t="n">
        <v>1</v>
      </c>
      <c r="BV347" s="14">
        <f>F347*BU347*IF(B347&gt;=in_marketplace_from,d_hz_loan_cd*G347,0)*in_loan_cd_ticket*in_loan_cd_comm</f>
        <v/>
      </c>
      <c r="BW347" s="40" t="n">
        <v>1</v>
      </c>
      <c r="BX347" s="14">
        <f>F347*BW347*IF(B347&gt;=in_marketplace_from,d_hz_loan_vehicle*G347,0)*in_loan_vehicle_ticket*in_loan_vehicle_comm</f>
        <v/>
      </c>
      <c r="BY347" s="40" t="n">
        <v>1</v>
      </c>
      <c r="BZ347" s="11">
        <f>MIN(in_approval_cap,in_loan_home_approval*INDEX('Age profile'!$O$2:$O$61,B347)*(1+in_approval_growth)^(D347-1))</f>
        <v/>
      </c>
      <c r="CA347" s="14">
        <f>F347*BY347*IF(B347&gt;=in_marketplace_from,d_hz_loan_home*G347,0)*BZ347*in_loan_home_ticket*in_loan_home_comm</f>
        <v/>
      </c>
      <c r="CB347" s="40" t="n">
        <v>1</v>
      </c>
      <c r="CC347" s="11">
        <f>MIN(in_approval_cap,in_loan_lap_approval*INDEX('Age profile'!$O$2:$O$61,B347)*(1+in_approval_growth)^(D347-1))</f>
        <v/>
      </c>
      <c r="CD347" s="14">
        <f>F347*CB347*IF(B347&gt;=in_marketplace_from,d_hz_loan_lap*G347,0)*CC347*in_loan_lap_ticket*in_loan_lap_comm</f>
        <v/>
      </c>
      <c r="CE347" s="14">
        <f>AA347+AB347+AC347+AD347+AG347+AJ347+AM347+AP347+AS347+AU347+AX347+BB347+BE347+BG347+BJ347+BL347+BO347+BR347+BT347+BV347+BX347+CA347+CD347</f>
        <v/>
      </c>
    </row>
    <row r="348">
      <c r="A348" s="39" t="n">
        <v>7</v>
      </c>
      <c r="B348" s="39" t="n">
        <v>2</v>
      </c>
      <c r="C348" s="39">
        <f>A348+B348-1</f>
        <v/>
      </c>
      <c r="D348" s="39">
        <f>INT((C348-1)/12)+1</f>
        <v/>
      </c>
      <c r="E348" s="44">
        <f>INDEX(Monthly!$B$2:$B$61,A348)</f>
        <v/>
      </c>
      <c r="F348" s="44">
        <f>E348*INDEX('Age profile'!$B$2:$B$61,B348)</f>
        <v/>
      </c>
      <c r="G348" s="45">
        <f>MIN(in_takeup_cap,INDEX('Age profile'!$N$2:$N$61,B348)*(1+in_takeup_growth)^(D348-1))</f>
        <v/>
      </c>
      <c r="H348" s="11">
        <f>MIN(in_approval_cap,in_approved_first*INDEX('Age profile'!$O$2:$O$61,B348)*(1+in_approval_growth)^(D348-1))</f>
        <v/>
      </c>
      <c r="I348" s="45">
        <f>G348*MIN(in_takeup_cap,INDEX('Age profile'!$O$2:$O$61,B348)*(1+in_approval_growth)^(D348-1))</f>
        <v/>
      </c>
      <c r="J348" s="40">
        <f>(J347-L347)*F348/F347</f>
        <v/>
      </c>
      <c r="K348" s="40">
        <f>(K347-M347)*F348/F347+SUMIFS(O347:O347,B347:B347,B348-1-d_T)*F348</f>
        <v/>
      </c>
      <c r="L348" s="40">
        <f>IF(B348&gt;=in_marketplace_from,J348*d_hz*G348*in_eligible*H348,0)</f>
        <v/>
      </c>
      <c r="M348" s="40">
        <f>IF(B348&gt;=in_marketplace_from,K348*d_hz*G348*in_eligible*in_approved_repeat,0)</f>
        <v/>
      </c>
      <c r="N348" s="40">
        <f>L348+M348</f>
        <v/>
      </c>
      <c r="O348" s="46">
        <f>N348/F348</f>
        <v/>
      </c>
      <c r="P348" s="40">
        <f>F348-J348-K348</f>
        <v/>
      </c>
      <c r="Q348" s="40">
        <f>IF(B348&gt;=in_marketplace_from,(J348+K348)*d_hz*G348,0)</f>
        <v/>
      </c>
      <c r="R348" s="40">
        <f>SUMIFS(N347:N400,B347:B400,"&gt;="&amp;(B348-d_T),B347:B400,"&lt;="&amp;(B348-1))</f>
        <v/>
      </c>
      <c r="S348" s="46">
        <f>(1-d_u)*S347+IF(d_T&gt;in_topup_lag,SUMIFS(O347:O400,B347:B400,B348-in_topup_lag)-d_udrop*SUMIFS(O347:O400,B347:B400,B348-d_T),0)</f>
        <v/>
      </c>
      <c r="T348" s="40">
        <f>F348*d_u*S348</f>
        <v/>
      </c>
      <c r="U348" s="9">
        <f>L348*in_ticket+M348*d_rep_ticket</f>
        <v/>
      </c>
      <c r="V348" s="9">
        <f>U348+T348*d_topup_amt</f>
        <v/>
      </c>
      <c r="W348" s="40">
        <f>N348+T348*d_topup_ratio</f>
        <v/>
      </c>
      <c r="X348" s="40">
        <f>SUMIFS(W347:W400,B347:B400,B348-in_dpd_lag)*d_cured</f>
        <v/>
      </c>
      <c r="Y348" s="40">
        <f>SUMIFS(W347:W400,B347:B400,B348-in_rec_lag)*d_recd</f>
        <v/>
      </c>
      <c r="Z348" s="40">
        <f>IF(AND(B348&gt;=in_marketplace_from,B348&lt;in_marketplace_from+in_card_months),in_card_share/in_card_months*F348*I348,IF(AND(B348&gt;=in_marketplace_from+in_card_months,B348&lt;in_marketplace_from+2*in_card_months),in_card_share*d_card_rem/in_card_months*F348*MIN(in_takeup_cap,(1+in_takeup_growth)^(D348-1))*MIN(in_takeup_cap,(1+in_approval_growth)^(D348-1)),0))</f>
        <v/>
      </c>
      <c r="AA348" s="14">
        <f>V348*in_fee*(1-in_taken_back)</f>
        <v/>
      </c>
      <c r="AB348" s="14">
        <f>SUMIFS(W347:W400,B347:B400,B348-in_dpd_lag)*d_dpd</f>
        <v/>
      </c>
      <c r="AC348" s="14">
        <f>SUMIFS(W347:W400,B347:B400,B348-in_rec_lag)*d_rec</f>
        <v/>
      </c>
      <c r="AD348" s="14">
        <f>Z348*in_card_fee</f>
        <v/>
      </c>
      <c r="AE348" s="40">
        <f>AE347*(1-IF(B347&gt;=in_marketplace_from,d_hz_hlth_small*G347,0))</f>
        <v/>
      </c>
      <c r="AF348" s="46">
        <f>AE348*IF(B348&gt;=in_marketplace_from,d_hz_hlth_small*G348,0)</f>
        <v/>
      </c>
      <c r="AG348" s="14">
        <f>F348*AF348*in_hlth_small_ticket*in_hlth_small_comm*in_ins_partner_share+F348*in_hlth_small_ticket*in_hlth_small_renew_comm*in_ins_partner_share*(in_hlth_small_renew^1*SUMIFS(AF347:AF400,B347:B400,B348-12)+in_hlth_small_renew^2*SUMIFS(AF347:AF400,B347:B400,B348-24)+in_hlth_small_renew^3*SUMIFS(AF347:AF400,B347:B400,B348-36)+in_hlth_small_renew^4*SUMIFS(AF347:AF400,B347:B400,B348-48))</f>
        <v/>
      </c>
      <c r="AH348" s="40">
        <f>AH347*(1-IF(B347&gt;=in_marketplace_from,d_hz_hlth_family*G347,0))</f>
        <v/>
      </c>
      <c r="AI348" s="46">
        <f>AH348*IF(B348&gt;=in_marketplace_from,d_hz_hlth_family*G348,0)</f>
        <v/>
      </c>
      <c r="AJ348" s="14">
        <f>F348*AI348*in_hlth_family_ticket*in_hlth_family_comm*in_ins_partner_share+F348*in_hlth_family_ticket*in_hlth_family_renew_comm*in_ins_partner_share*(in_hlth_family_renew^1*SUMIFS(AI347:AI400,B347:B400,B348-12)+in_hlth_family_renew^2*SUMIFS(AI347:AI400,B347:B400,B348-24)+in_hlth_family_renew^3*SUMIFS(AI347:AI400,B347:B400,B348-36)+in_hlth_family_renew^4*SUMIFS(AI347:AI400,B347:B400,B348-48))</f>
        <v/>
      </c>
      <c r="AK348" s="40">
        <f>AK347*(1-IF(B347&gt;=in_marketplace_from,d_hz_life_term*G347,0))</f>
        <v/>
      </c>
      <c r="AL348" s="46">
        <f>AK348*IF(B348&gt;=in_marketplace_from,d_hz_life_term*G348,0)</f>
        <v/>
      </c>
      <c r="AM348" s="14">
        <f>F348*AL348*in_life_term_ticket*in_life_term_comm*in_ins_partner_share+F348*in_life_term_ticket*in_life_term_renew_comm*in_ins_partner_share*(in_life_term_renew^1*SUMIFS(AL347:AL400,B347:B400,B348-12)+in_life_term_renew^2*SUMIFS(AL347:AL400,B347:B400,B348-24)+in_life_term_renew^3*SUMIFS(AL347:AL400,B347:B400,B348-36)+in_life_term_renew^4*SUMIFS(AL347:AL400,B347:B400,B348-48))</f>
        <v/>
      </c>
      <c r="AN348" s="40">
        <f>AN347*(1-IF(B347&gt;=in_marketplace_from,d_hz_accident*G347,0))</f>
        <v/>
      </c>
      <c r="AO348" s="46">
        <f>AN348*IF(B348&gt;=in_marketplace_from,d_hz_accident*G348,0)</f>
        <v/>
      </c>
      <c r="AP348" s="14">
        <f>F348*AO348*in_accident_ticket*in_accident_comm*in_ins_partner_share+F348*in_accident_ticket*in_accident_renew_comm*in_ins_partner_share*(in_accident_renew^1*SUMIFS(AO347:AO400,B347:B400,B348-12)+in_accident_renew^2*SUMIFS(AO347:AO400,B347:B400,B348-24)+in_accident_renew^3*SUMIFS(AO347:AO400,B347:B400,B348-36)+in_accident_renew^4*SUMIFS(AO347:AO400,B347:B400,B348-48))</f>
        <v/>
      </c>
      <c r="AQ348" s="40">
        <f>AQ347*(1-IF(B347&gt;=in_marketplace_from,d_hz_two_wheeler*G347,0))</f>
        <v/>
      </c>
      <c r="AR348" s="46">
        <f>AQ348*IF(B348&gt;=in_marketplace_from,d_hz_two_wheeler*G348,0)</f>
        <v/>
      </c>
      <c r="AS348" s="14">
        <f>F348*AR348*in_two_wheeler_ticket*in_two_wheeler_comm*in_ins_partner_share+F348*in_two_wheeler_ticket*in_two_wheeler_comm*in_ins_partner_share*(in_two_wheeler_renew^1*SUMIFS(AR347:AR400,B347:B400,B348-12)+in_two_wheeler_renew^2*SUMIFS(AR347:AR400,B347:B400,B348-24)+in_two_wheeler_renew^3*SUMIFS(AR347:AR400,B347:B400,B348-36)+in_two_wheeler_renew^4*SUMIFS(AR347:AR400,B347:B400,B348-48))</f>
        <v/>
      </c>
      <c r="AT348" s="40">
        <f>AT347*(1-IF(B347&gt;=in_marketplace_from,d_hz_device*G347,0))</f>
        <v/>
      </c>
      <c r="AU348" s="14">
        <f>F348*AT348*IF(B348&gt;=in_marketplace_from,d_hz_device*G348,0)*in_device_ticket*in_device_comm*in_ins_partner_share</f>
        <v/>
      </c>
      <c r="AV348" s="40">
        <f>AV347*(1-IF(B347&gt;=in_marketplace_from,d_hz_shop*G347,0))</f>
        <v/>
      </c>
      <c r="AW348" s="46">
        <f>AV348*IF(B348&gt;=in_marketplace_from,d_hz_shop*G348,0)</f>
        <v/>
      </c>
      <c r="AX348" s="14">
        <f>F348*AW348*in_shop_ticket*in_shop_comm*in_ins_partner_share+F348*in_shop_ticket*in_shop_renew_comm*in_ins_partner_share*(in_shop_renew^1*SUMIFS(AW347:AW400,B347:B400,B348-12)+in_shop_renew^2*SUMIFS(AW347:AW400,B347:B400,B348-24)+in_shop_renew^3*SUMIFS(AW347:AW400,B347:B400,B348-36)+in_shop_renew^4*SUMIFS(AW347:AW400,B347:B400,B348-48))</f>
        <v/>
      </c>
      <c r="AY348" s="40">
        <f>AY347*(1-IF(B347&gt;=in_marketplace_from,d_hz_sip*G347,0))</f>
        <v/>
      </c>
      <c r="AZ348" s="40">
        <f>AZ347*d_rho_sip+AY348*IF(B348&gt;=in_marketplace_from,d_hz_sip*G348,0)</f>
        <v/>
      </c>
      <c r="BA348" s="40">
        <f>d_rho_sip*(BA347+AZ347)</f>
        <v/>
      </c>
      <c r="BB348" s="14">
        <f>F348*in_sip_ticket*(BA348+0.5*AZ348)*in_sip_comm/12</f>
        <v/>
      </c>
      <c r="BC348" s="40">
        <f>BC347*(1-IF(B347&gt;=in_marketplace_from,d_hz_choti*G347,0))</f>
        <v/>
      </c>
      <c r="BD348" s="46">
        <f>BC348*IF(B348&gt;=in_marketplace_from,d_hz_choti*G348,0)</f>
        <v/>
      </c>
      <c r="BE348" s="14">
        <f>F348*SUMIFS(BD347:BD400,B347:B400,B348-in_choti_months)*in_choti_renew*in_choti_ticket</f>
        <v/>
      </c>
      <c r="BF348" s="40">
        <f>BF347*(1-IF(B347&gt;=in_marketplace_from,d_hz_nps*G347,0))</f>
        <v/>
      </c>
      <c r="BG348" s="14">
        <f>F348*BF348*IF(B348&gt;=in_marketplace_from,d_hz_nps*G348,0)*in_nps_ticket*in_nps_comm</f>
        <v/>
      </c>
      <c r="BH348" s="40">
        <f>BH347*(1-IF(B347&gt;=in_marketplace_from,d_hz_gold*G347,0))</f>
        <v/>
      </c>
      <c r="BI348" s="40">
        <f>BI347*d_rho_gold+BH348*IF(B348&gt;=in_marketplace_from,d_hz_gold*G348,0)</f>
        <v/>
      </c>
      <c r="BJ348" s="14">
        <f>F348*BI348*in_gold_ticket*in_gold_comm</f>
        <v/>
      </c>
      <c r="BK348" s="40">
        <f>BK347*(1-IF(B347&gt;=in_marketplace_from,d_hz_fd*G347,0))</f>
        <v/>
      </c>
      <c r="BL348" s="14">
        <f>F348*BK348*IF(B348&gt;=in_marketplace_from,d_hz_fd*G348,0)*in_fd_ticket*in_fd_comm</f>
        <v/>
      </c>
      <c r="BM348" s="40">
        <f>BM347*(1-IF(B347&gt;=in_marketplace_from,d_hz_recharge*G347,0))</f>
        <v/>
      </c>
      <c r="BN348" s="40">
        <f>BN347*d_rho_recharge+BM348*IF(B348&gt;=in_marketplace_from,d_hz_recharge*G348,0)</f>
        <v/>
      </c>
      <c r="BO348" s="14">
        <f>F348*BN348*in_recharge_ticket*in_recharge_comm/12</f>
        <v/>
      </c>
      <c r="BP348" s="40">
        <f>BP347*(1-IF(B347&gt;=in_marketplace_from,d_hz_bills*G347,0))</f>
        <v/>
      </c>
      <c r="BQ348" s="40">
        <f>BQ347*d_rho_bills+BP348*IF(B348&gt;=in_marketplace_from,d_hz_bills*G348,0)</f>
        <v/>
      </c>
      <c r="BR348" s="14">
        <f>F348*BQ348*in_bills_ticket*in_bills_comm/12</f>
        <v/>
      </c>
      <c r="BS348" s="40">
        <f>BS347*(1-IF(B347&gt;=in_marketplace_from,d_hz_loan_gold*G347,0))</f>
        <v/>
      </c>
      <c r="BT348" s="14">
        <f>F348*BS348*IF(B348&gt;=in_marketplace_from,d_hz_loan_gold*G348,0)*in_loan_gold_ticket*in_loan_gold_comm</f>
        <v/>
      </c>
      <c r="BU348" s="40">
        <f>BU347*(1-IF(B347&gt;=in_marketplace_from,d_hz_loan_cd*G347,0))</f>
        <v/>
      </c>
      <c r="BV348" s="14">
        <f>F348*BU348*IF(B348&gt;=in_marketplace_from,d_hz_loan_cd*G348,0)*in_loan_cd_ticket*in_loan_cd_comm</f>
        <v/>
      </c>
      <c r="BW348" s="40">
        <f>BW347*(1-IF(B347&gt;=in_marketplace_from,d_hz_loan_vehicle*G347,0))</f>
        <v/>
      </c>
      <c r="BX348" s="14">
        <f>F348*BW348*IF(B348&gt;=in_marketplace_from,d_hz_loan_vehicle*G348,0)*in_loan_vehicle_ticket*in_loan_vehicle_comm</f>
        <v/>
      </c>
      <c r="BY348" s="40">
        <f>BY347*(1-IF(B347&gt;=in_marketplace_from,d_hz_loan_home*G347,0)*BZ347)</f>
        <v/>
      </c>
      <c r="BZ348" s="11">
        <f>MIN(in_approval_cap,in_loan_home_approval*INDEX('Age profile'!$O$2:$O$61,B348)*(1+in_approval_growth)^(D348-1))</f>
        <v/>
      </c>
      <c r="CA348" s="14">
        <f>F348*BY348*IF(B348&gt;=in_marketplace_from,d_hz_loan_home*G348,0)*BZ348*in_loan_home_ticket*in_loan_home_comm</f>
        <v/>
      </c>
      <c r="CB348" s="40">
        <f>CB347*(1-IF(B347&gt;=in_marketplace_from,d_hz_loan_lap*G347,0)*CC347)</f>
        <v/>
      </c>
      <c r="CC348" s="11">
        <f>MIN(in_approval_cap,in_loan_lap_approval*INDEX('Age profile'!$O$2:$O$61,B348)*(1+in_approval_growth)^(D348-1))</f>
        <v/>
      </c>
      <c r="CD348" s="14">
        <f>F348*CB348*IF(B348&gt;=in_marketplace_from,d_hz_loan_lap*G348,0)*CC348*in_loan_lap_ticket*in_loan_lap_comm</f>
        <v/>
      </c>
      <c r="CE348" s="14">
        <f>AA348+AB348+AC348+AD348+AG348+AJ348+AM348+AP348+AS348+AU348+AX348+BB348+BE348+BG348+BJ348+BL348+BO348+BR348+BT348+BV348+BX348+CA348+CD348</f>
        <v/>
      </c>
    </row>
    <row r="349">
      <c r="A349" s="39" t="n">
        <v>7</v>
      </c>
      <c r="B349" s="39" t="n">
        <v>3</v>
      </c>
      <c r="C349" s="39">
        <f>A349+B349-1</f>
        <v/>
      </c>
      <c r="D349" s="39">
        <f>INT((C349-1)/12)+1</f>
        <v/>
      </c>
      <c r="E349" s="44">
        <f>INDEX(Monthly!$B$2:$B$61,A349)</f>
        <v/>
      </c>
      <c r="F349" s="44">
        <f>E349*INDEX('Age profile'!$B$2:$B$61,B349)</f>
        <v/>
      </c>
      <c r="G349" s="45">
        <f>MIN(in_takeup_cap,INDEX('Age profile'!$N$2:$N$61,B349)*(1+in_takeup_growth)^(D349-1))</f>
        <v/>
      </c>
      <c r="H349" s="11">
        <f>MIN(in_approval_cap,in_approved_first*INDEX('Age profile'!$O$2:$O$61,B349)*(1+in_approval_growth)^(D349-1))</f>
        <v/>
      </c>
      <c r="I349" s="45">
        <f>G349*MIN(in_takeup_cap,INDEX('Age profile'!$O$2:$O$61,B349)*(1+in_approval_growth)^(D349-1))</f>
        <v/>
      </c>
      <c r="J349" s="40">
        <f>(J348-L348)*F349/F348</f>
        <v/>
      </c>
      <c r="K349" s="40">
        <f>(K348-M348)*F349/F348+SUMIFS(O347:O348,B347:B348,B349-1-d_T)*F349</f>
        <v/>
      </c>
      <c r="L349" s="40">
        <f>IF(B349&gt;=in_marketplace_from,J349*d_hz*G349*in_eligible*H349,0)</f>
        <v/>
      </c>
      <c r="M349" s="40">
        <f>IF(B349&gt;=in_marketplace_from,K349*d_hz*G349*in_eligible*in_approved_repeat,0)</f>
        <v/>
      </c>
      <c r="N349" s="40">
        <f>L349+M349</f>
        <v/>
      </c>
      <c r="O349" s="46">
        <f>N349/F349</f>
        <v/>
      </c>
      <c r="P349" s="40">
        <f>F349-J349-K349</f>
        <v/>
      </c>
      <c r="Q349" s="40">
        <f>IF(B349&gt;=in_marketplace_from,(J349+K349)*d_hz*G349,0)</f>
        <v/>
      </c>
      <c r="R349" s="40">
        <f>SUMIFS(N347:N400,B347:B400,"&gt;="&amp;(B349-d_T),B347:B400,"&lt;="&amp;(B349-1))</f>
        <v/>
      </c>
      <c r="S349" s="46">
        <f>(1-d_u)*S348+IF(d_T&gt;in_topup_lag,SUMIFS(O347:O400,B347:B400,B349-in_topup_lag)-d_udrop*SUMIFS(O347:O400,B347:B400,B349-d_T),0)</f>
        <v/>
      </c>
      <c r="T349" s="40">
        <f>F349*d_u*S349</f>
        <v/>
      </c>
      <c r="U349" s="9">
        <f>L349*in_ticket+M349*d_rep_ticket</f>
        <v/>
      </c>
      <c r="V349" s="9">
        <f>U349+T349*d_topup_amt</f>
        <v/>
      </c>
      <c r="W349" s="40">
        <f>N349+T349*d_topup_ratio</f>
        <v/>
      </c>
      <c r="X349" s="40">
        <f>SUMIFS(W347:W400,B347:B400,B349-in_dpd_lag)*d_cured</f>
        <v/>
      </c>
      <c r="Y349" s="40">
        <f>SUMIFS(W347:W400,B347:B400,B349-in_rec_lag)*d_recd</f>
        <v/>
      </c>
      <c r="Z349" s="40">
        <f>IF(AND(B349&gt;=in_marketplace_from,B349&lt;in_marketplace_from+in_card_months),in_card_share/in_card_months*F349*I349,IF(AND(B349&gt;=in_marketplace_from+in_card_months,B349&lt;in_marketplace_from+2*in_card_months),in_card_share*d_card_rem/in_card_months*F349*MIN(in_takeup_cap,(1+in_takeup_growth)^(D349-1))*MIN(in_takeup_cap,(1+in_approval_growth)^(D349-1)),0))</f>
        <v/>
      </c>
      <c r="AA349" s="14">
        <f>V349*in_fee*(1-in_taken_back)</f>
        <v/>
      </c>
      <c r="AB349" s="14">
        <f>SUMIFS(W347:W400,B347:B400,B349-in_dpd_lag)*d_dpd</f>
        <v/>
      </c>
      <c r="AC349" s="14">
        <f>SUMIFS(W347:W400,B347:B400,B349-in_rec_lag)*d_rec</f>
        <v/>
      </c>
      <c r="AD349" s="14">
        <f>Z349*in_card_fee</f>
        <v/>
      </c>
      <c r="AE349" s="40">
        <f>AE348*(1-IF(B348&gt;=in_marketplace_from,d_hz_hlth_small*G348,0))</f>
        <v/>
      </c>
      <c r="AF349" s="46">
        <f>AE349*IF(B349&gt;=in_marketplace_from,d_hz_hlth_small*G349,0)</f>
        <v/>
      </c>
      <c r="AG349" s="14">
        <f>F349*AF349*in_hlth_small_ticket*in_hlth_small_comm*in_ins_partner_share+F349*in_hlth_small_ticket*in_hlth_small_renew_comm*in_ins_partner_share*(in_hlth_small_renew^1*SUMIFS(AF347:AF400,B347:B400,B349-12)+in_hlth_small_renew^2*SUMIFS(AF347:AF400,B347:B400,B349-24)+in_hlth_small_renew^3*SUMIFS(AF347:AF400,B347:B400,B349-36)+in_hlth_small_renew^4*SUMIFS(AF347:AF400,B347:B400,B349-48))</f>
        <v/>
      </c>
      <c r="AH349" s="40">
        <f>AH348*(1-IF(B348&gt;=in_marketplace_from,d_hz_hlth_family*G348,0))</f>
        <v/>
      </c>
      <c r="AI349" s="46">
        <f>AH349*IF(B349&gt;=in_marketplace_from,d_hz_hlth_family*G349,0)</f>
        <v/>
      </c>
      <c r="AJ349" s="14">
        <f>F349*AI349*in_hlth_family_ticket*in_hlth_family_comm*in_ins_partner_share+F349*in_hlth_family_ticket*in_hlth_family_renew_comm*in_ins_partner_share*(in_hlth_family_renew^1*SUMIFS(AI347:AI400,B347:B400,B349-12)+in_hlth_family_renew^2*SUMIFS(AI347:AI400,B347:B400,B349-24)+in_hlth_family_renew^3*SUMIFS(AI347:AI400,B347:B400,B349-36)+in_hlth_family_renew^4*SUMIFS(AI347:AI400,B347:B400,B349-48))</f>
        <v/>
      </c>
      <c r="AK349" s="40">
        <f>AK348*(1-IF(B348&gt;=in_marketplace_from,d_hz_life_term*G348,0))</f>
        <v/>
      </c>
      <c r="AL349" s="46">
        <f>AK349*IF(B349&gt;=in_marketplace_from,d_hz_life_term*G349,0)</f>
        <v/>
      </c>
      <c r="AM349" s="14">
        <f>F349*AL349*in_life_term_ticket*in_life_term_comm*in_ins_partner_share+F349*in_life_term_ticket*in_life_term_renew_comm*in_ins_partner_share*(in_life_term_renew^1*SUMIFS(AL347:AL400,B347:B400,B349-12)+in_life_term_renew^2*SUMIFS(AL347:AL400,B347:B400,B349-24)+in_life_term_renew^3*SUMIFS(AL347:AL400,B347:B400,B349-36)+in_life_term_renew^4*SUMIFS(AL347:AL400,B347:B400,B349-48))</f>
        <v/>
      </c>
      <c r="AN349" s="40">
        <f>AN348*(1-IF(B348&gt;=in_marketplace_from,d_hz_accident*G348,0))</f>
        <v/>
      </c>
      <c r="AO349" s="46">
        <f>AN349*IF(B349&gt;=in_marketplace_from,d_hz_accident*G349,0)</f>
        <v/>
      </c>
      <c r="AP349" s="14">
        <f>F349*AO349*in_accident_ticket*in_accident_comm*in_ins_partner_share+F349*in_accident_ticket*in_accident_renew_comm*in_ins_partner_share*(in_accident_renew^1*SUMIFS(AO347:AO400,B347:B400,B349-12)+in_accident_renew^2*SUMIFS(AO347:AO400,B347:B400,B349-24)+in_accident_renew^3*SUMIFS(AO347:AO400,B347:B400,B349-36)+in_accident_renew^4*SUMIFS(AO347:AO400,B347:B400,B349-48))</f>
        <v/>
      </c>
      <c r="AQ349" s="40">
        <f>AQ348*(1-IF(B348&gt;=in_marketplace_from,d_hz_two_wheeler*G348,0))</f>
        <v/>
      </c>
      <c r="AR349" s="46">
        <f>AQ349*IF(B349&gt;=in_marketplace_from,d_hz_two_wheeler*G349,0)</f>
        <v/>
      </c>
      <c r="AS349" s="14">
        <f>F349*AR349*in_two_wheeler_ticket*in_two_wheeler_comm*in_ins_partner_share+F349*in_two_wheeler_ticket*in_two_wheeler_comm*in_ins_partner_share*(in_two_wheeler_renew^1*SUMIFS(AR347:AR400,B347:B400,B349-12)+in_two_wheeler_renew^2*SUMIFS(AR347:AR400,B347:B400,B349-24)+in_two_wheeler_renew^3*SUMIFS(AR347:AR400,B347:B400,B349-36)+in_two_wheeler_renew^4*SUMIFS(AR347:AR400,B347:B400,B349-48))</f>
        <v/>
      </c>
      <c r="AT349" s="40">
        <f>AT348*(1-IF(B348&gt;=in_marketplace_from,d_hz_device*G348,0))</f>
        <v/>
      </c>
      <c r="AU349" s="14">
        <f>F349*AT349*IF(B349&gt;=in_marketplace_from,d_hz_device*G349,0)*in_device_ticket*in_device_comm*in_ins_partner_share</f>
        <v/>
      </c>
      <c r="AV349" s="40">
        <f>AV348*(1-IF(B348&gt;=in_marketplace_from,d_hz_shop*G348,0))</f>
        <v/>
      </c>
      <c r="AW349" s="46">
        <f>AV349*IF(B349&gt;=in_marketplace_from,d_hz_shop*G349,0)</f>
        <v/>
      </c>
      <c r="AX349" s="14">
        <f>F349*AW349*in_shop_ticket*in_shop_comm*in_ins_partner_share+F349*in_shop_ticket*in_shop_renew_comm*in_ins_partner_share*(in_shop_renew^1*SUMIFS(AW347:AW400,B347:B400,B349-12)+in_shop_renew^2*SUMIFS(AW347:AW400,B347:B400,B349-24)+in_shop_renew^3*SUMIFS(AW347:AW400,B347:B400,B349-36)+in_shop_renew^4*SUMIFS(AW347:AW400,B347:B400,B349-48))</f>
        <v/>
      </c>
      <c r="AY349" s="40">
        <f>AY348*(1-IF(B348&gt;=in_marketplace_from,d_hz_sip*G348,0))</f>
        <v/>
      </c>
      <c r="AZ349" s="40">
        <f>AZ348*d_rho_sip+AY349*IF(B349&gt;=in_marketplace_from,d_hz_sip*G349,0)</f>
        <v/>
      </c>
      <c r="BA349" s="40">
        <f>d_rho_sip*(BA348+AZ348)</f>
        <v/>
      </c>
      <c r="BB349" s="14">
        <f>F349*in_sip_ticket*(BA349+0.5*AZ349)*in_sip_comm/12</f>
        <v/>
      </c>
      <c r="BC349" s="40">
        <f>BC348*(1-IF(B348&gt;=in_marketplace_from,d_hz_choti*G348,0))</f>
        <v/>
      </c>
      <c r="BD349" s="46">
        <f>BC349*IF(B349&gt;=in_marketplace_from,d_hz_choti*G349,0)</f>
        <v/>
      </c>
      <c r="BE349" s="14">
        <f>F349*SUMIFS(BD347:BD400,B347:B400,B349-in_choti_months)*in_choti_renew*in_choti_ticket</f>
        <v/>
      </c>
      <c r="BF349" s="40">
        <f>BF348*(1-IF(B348&gt;=in_marketplace_from,d_hz_nps*G348,0))</f>
        <v/>
      </c>
      <c r="BG349" s="14">
        <f>F349*BF349*IF(B349&gt;=in_marketplace_from,d_hz_nps*G349,0)*in_nps_ticket*in_nps_comm</f>
        <v/>
      </c>
      <c r="BH349" s="40">
        <f>BH348*(1-IF(B348&gt;=in_marketplace_from,d_hz_gold*G348,0))</f>
        <v/>
      </c>
      <c r="BI349" s="40">
        <f>BI348*d_rho_gold+BH349*IF(B349&gt;=in_marketplace_from,d_hz_gold*G349,0)</f>
        <v/>
      </c>
      <c r="BJ349" s="14">
        <f>F349*BI349*in_gold_ticket*in_gold_comm</f>
        <v/>
      </c>
      <c r="BK349" s="40">
        <f>BK348*(1-IF(B348&gt;=in_marketplace_from,d_hz_fd*G348,0))</f>
        <v/>
      </c>
      <c r="BL349" s="14">
        <f>F349*BK349*IF(B349&gt;=in_marketplace_from,d_hz_fd*G349,0)*in_fd_ticket*in_fd_comm</f>
        <v/>
      </c>
      <c r="BM349" s="40">
        <f>BM348*(1-IF(B348&gt;=in_marketplace_from,d_hz_recharge*G348,0))</f>
        <v/>
      </c>
      <c r="BN349" s="40">
        <f>BN348*d_rho_recharge+BM349*IF(B349&gt;=in_marketplace_from,d_hz_recharge*G349,0)</f>
        <v/>
      </c>
      <c r="BO349" s="14">
        <f>F349*BN349*in_recharge_ticket*in_recharge_comm/12</f>
        <v/>
      </c>
      <c r="BP349" s="40">
        <f>BP348*(1-IF(B348&gt;=in_marketplace_from,d_hz_bills*G348,0))</f>
        <v/>
      </c>
      <c r="BQ349" s="40">
        <f>BQ348*d_rho_bills+BP349*IF(B349&gt;=in_marketplace_from,d_hz_bills*G349,0)</f>
        <v/>
      </c>
      <c r="BR349" s="14">
        <f>F349*BQ349*in_bills_ticket*in_bills_comm/12</f>
        <v/>
      </c>
      <c r="BS349" s="40">
        <f>BS348*(1-IF(B348&gt;=in_marketplace_from,d_hz_loan_gold*G348,0))</f>
        <v/>
      </c>
      <c r="BT349" s="14">
        <f>F349*BS349*IF(B349&gt;=in_marketplace_from,d_hz_loan_gold*G349,0)*in_loan_gold_ticket*in_loan_gold_comm</f>
        <v/>
      </c>
      <c r="BU349" s="40">
        <f>BU348*(1-IF(B348&gt;=in_marketplace_from,d_hz_loan_cd*G348,0))</f>
        <v/>
      </c>
      <c r="BV349" s="14">
        <f>F349*BU349*IF(B349&gt;=in_marketplace_from,d_hz_loan_cd*G349,0)*in_loan_cd_ticket*in_loan_cd_comm</f>
        <v/>
      </c>
      <c r="BW349" s="40">
        <f>BW348*(1-IF(B348&gt;=in_marketplace_from,d_hz_loan_vehicle*G348,0))</f>
        <v/>
      </c>
      <c r="BX349" s="14">
        <f>F349*BW349*IF(B349&gt;=in_marketplace_from,d_hz_loan_vehicle*G349,0)*in_loan_vehicle_ticket*in_loan_vehicle_comm</f>
        <v/>
      </c>
      <c r="BY349" s="40">
        <f>BY348*(1-IF(B348&gt;=in_marketplace_from,d_hz_loan_home*G348,0)*BZ348)</f>
        <v/>
      </c>
      <c r="BZ349" s="11">
        <f>MIN(in_approval_cap,in_loan_home_approval*INDEX('Age profile'!$O$2:$O$61,B349)*(1+in_approval_growth)^(D349-1))</f>
        <v/>
      </c>
      <c r="CA349" s="14">
        <f>F349*BY349*IF(B349&gt;=in_marketplace_from,d_hz_loan_home*G349,0)*BZ349*in_loan_home_ticket*in_loan_home_comm</f>
        <v/>
      </c>
      <c r="CB349" s="40">
        <f>CB348*(1-IF(B348&gt;=in_marketplace_from,d_hz_loan_lap*G348,0)*CC348)</f>
        <v/>
      </c>
      <c r="CC349" s="11">
        <f>MIN(in_approval_cap,in_loan_lap_approval*INDEX('Age profile'!$O$2:$O$61,B349)*(1+in_approval_growth)^(D349-1))</f>
        <v/>
      </c>
      <c r="CD349" s="14">
        <f>F349*CB349*IF(B349&gt;=in_marketplace_from,d_hz_loan_lap*G349,0)*CC349*in_loan_lap_ticket*in_loan_lap_comm</f>
        <v/>
      </c>
      <c r="CE349" s="14">
        <f>AA349+AB349+AC349+AD349+AG349+AJ349+AM349+AP349+AS349+AU349+AX349+BB349+BE349+BG349+BJ349+BL349+BO349+BR349+BT349+BV349+BX349+CA349+CD349</f>
        <v/>
      </c>
    </row>
    <row r="350">
      <c r="A350" s="39" t="n">
        <v>7</v>
      </c>
      <c r="B350" s="39" t="n">
        <v>4</v>
      </c>
      <c r="C350" s="39">
        <f>A350+B350-1</f>
        <v/>
      </c>
      <c r="D350" s="39">
        <f>INT((C350-1)/12)+1</f>
        <v/>
      </c>
      <c r="E350" s="44">
        <f>INDEX(Monthly!$B$2:$B$61,A350)</f>
        <v/>
      </c>
      <c r="F350" s="44">
        <f>E350*INDEX('Age profile'!$B$2:$B$61,B350)</f>
        <v/>
      </c>
      <c r="G350" s="45">
        <f>MIN(in_takeup_cap,INDEX('Age profile'!$N$2:$N$61,B350)*(1+in_takeup_growth)^(D350-1))</f>
        <v/>
      </c>
      <c r="H350" s="11">
        <f>MIN(in_approval_cap,in_approved_first*INDEX('Age profile'!$O$2:$O$61,B350)*(1+in_approval_growth)^(D350-1))</f>
        <v/>
      </c>
      <c r="I350" s="45">
        <f>G350*MIN(in_takeup_cap,INDEX('Age profile'!$O$2:$O$61,B350)*(1+in_approval_growth)^(D350-1))</f>
        <v/>
      </c>
      <c r="J350" s="40">
        <f>(J349-L349)*F350/F349</f>
        <v/>
      </c>
      <c r="K350" s="40">
        <f>(K349-M349)*F350/F349+SUMIFS(O347:O349,B347:B349,B350-1-d_T)*F350</f>
        <v/>
      </c>
      <c r="L350" s="40">
        <f>IF(B350&gt;=in_marketplace_from,J350*d_hz*G350*in_eligible*H350,0)</f>
        <v/>
      </c>
      <c r="M350" s="40">
        <f>IF(B350&gt;=in_marketplace_from,K350*d_hz*G350*in_eligible*in_approved_repeat,0)</f>
        <v/>
      </c>
      <c r="N350" s="40">
        <f>L350+M350</f>
        <v/>
      </c>
      <c r="O350" s="46">
        <f>N350/F350</f>
        <v/>
      </c>
      <c r="P350" s="40">
        <f>F350-J350-K350</f>
        <v/>
      </c>
      <c r="Q350" s="40">
        <f>IF(B350&gt;=in_marketplace_from,(J350+K350)*d_hz*G350,0)</f>
        <v/>
      </c>
      <c r="R350" s="40">
        <f>SUMIFS(N347:N400,B347:B400,"&gt;="&amp;(B350-d_T),B347:B400,"&lt;="&amp;(B350-1))</f>
        <v/>
      </c>
      <c r="S350" s="46">
        <f>(1-d_u)*S349+IF(d_T&gt;in_topup_lag,SUMIFS(O347:O400,B347:B400,B350-in_topup_lag)-d_udrop*SUMIFS(O347:O400,B347:B400,B350-d_T),0)</f>
        <v/>
      </c>
      <c r="T350" s="40">
        <f>F350*d_u*S350</f>
        <v/>
      </c>
      <c r="U350" s="9">
        <f>L350*in_ticket+M350*d_rep_ticket</f>
        <v/>
      </c>
      <c r="V350" s="9">
        <f>U350+T350*d_topup_amt</f>
        <v/>
      </c>
      <c r="W350" s="40">
        <f>N350+T350*d_topup_ratio</f>
        <v/>
      </c>
      <c r="X350" s="40">
        <f>SUMIFS(W347:W400,B347:B400,B350-in_dpd_lag)*d_cured</f>
        <v/>
      </c>
      <c r="Y350" s="40">
        <f>SUMIFS(W347:W400,B347:B400,B350-in_rec_lag)*d_recd</f>
        <v/>
      </c>
      <c r="Z350" s="40">
        <f>IF(AND(B350&gt;=in_marketplace_from,B350&lt;in_marketplace_from+in_card_months),in_card_share/in_card_months*F350*I350,IF(AND(B350&gt;=in_marketplace_from+in_card_months,B350&lt;in_marketplace_from+2*in_card_months),in_card_share*d_card_rem/in_card_months*F350*MIN(in_takeup_cap,(1+in_takeup_growth)^(D350-1))*MIN(in_takeup_cap,(1+in_approval_growth)^(D350-1)),0))</f>
        <v/>
      </c>
      <c r="AA350" s="14">
        <f>V350*in_fee*(1-in_taken_back)</f>
        <v/>
      </c>
      <c r="AB350" s="14">
        <f>SUMIFS(W347:W400,B347:B400,B350-in_dpd_lag)*d_dpd</f>
        <v/>
      </c>
      <c r="AC350" s="14">
        <f>SUMIFS(W347:W400,B347:B400,B350-in_rec_lag)*d_rec</f>
        <v/>
      </c>
      <c r="AD350" s="14">
        <f>Z350*in_card_fee</f>
        <v/>
      </c>
      <c r="AE350" s="40">
        <f>AE349*(1-IF(B349&gt;=in_marketplace_from,d_hz_hlth_small*G349,0))</f>
        <v/>
      </c>
      <c r="AF350" s="46">
        <f>AE350*IF(B350&gt;=in_marketplace_from,d_hz_hlth_small*G350,0)</f>
        <v/>
      </c>
      <c r="AG350" s="14">
        <f>F350*AF350*in_hlth_small_ticket*in_hlth_small_comm*in_ins_partner_share+F350*in_hlth_small_ticket*in_hlth_small_renew_comm*in_ins_partner_share*(in_hlth_small_renew^1*SUMIFS(AF347:AF400,B347:B400,B350-12)+in_hlth_small_renew^2*SUMIFS(AF347:AF400,B347:B400,B350-24)+in_hlth_small_renew^3*SUMIFS(AF347:AF400,B347:B400,B350-36)+in_hlth_small_renew^4*SUMIFS(AF347:AF400,B347:B400,B350-48))</f>
        <v/>
      </c>
      <c r="AH350" s="40">
        <f>AH349*(1-IF(B349&gt;=in_marketplace_from,d_hz_hlth_family*G349,0))</f>
        <v/>
      </c>
      <c r="AI350" s="46">
        <f>AH350*IF(B350&gt;=in_marketplace_from,d_hz_hlth_family*G350,0)</f>
        <v/>
      </c>
      <c r="AJ350" s="14">
        <f>F350*AI350*in_hlth_family_ticket*in_hlth_family_comm*in_ins_partner_share+F350*in_hlth_family_ticket*in_hlth_family_renew_comm*in_ins_partner_share*(in_hlth_family_renew^1*SUMIFS(AI347:AI400,B347:B400,B350-12)+in_hlth_family_renew^2*SUMIFS(AI347:AI400,B347:B400,B350-24)+in_hlth_family_renew^3*SUMIFS(AI347:AI400,B347:B400,B350-36)+in_hlth_family_renew^4*SUMIFS(AI347:AI400,B347:B400,B350-48))</f>
        <v/>
      </c>
      <c r="AK350" s="40">
        <f>AK349*(1-IF(B349&gt;=in_marketplace_from,d_hz_life_term*G349,0))</f>
        <v/>
      </c>
      <c r="AL350" s="46">
        <f>AK350*IF(B350&gt;=in_marketplace_from,d_hz_life_term*G350,0)</f>
        <v/>
      </c>
      <c r="AM350" s="14">
        <f>F350*AL350*in_life_term_ticket*in_life_term_comm*in_ins_partner_share+F350*in_life_term_ticket*in_life_term_renew_comm*in_ins_partner_share*(in_life_term_renew^1*SUMIFS(AL347:AL400,B347:B400,B350-12)+in_life_term_renew^2*SUMIFS(AL347:AL400,B347:B400,B350-24)+in_life_term_renew^3*SUMIFS(AL347:AL400,B347:B400,B350-36)+in_life_term_renew^4*SUMIFS(AL347:AL400,B347:B400,B350-48))</f>
        <v/>
      </c>
      <c r="AN350" s="40">
        <f>AN349*(1-IF(B349&gt;=in_marketplace_from,d_hz_accident*G349,0))</f>
        <v/>
      </c>
      <c r="AO350" s="46">
        <f>AN350*IF(B350&gt;=in_marketplace_from,d_hz_accident*G350,0)</f>
        <v/>
      </c>
      <c r="AP350" s="14">
        <f>F350*AO350*in_accident_ticket*in_accident_comm*in_ins_partner_share+F350*in_accident_ticket*in_accident_renew_comm*in_ins_partner_share*(in_accident_renew^1*SUMIFS(AO347:AO400,B347:B400,B350-12)+in_accident_renew^2*SUMIFS(AO347:AO400,B347:B400,B350-24)+in_accident_renew^3*SUMIFS(AO347:AO400,B347:B400,B350-36)+in_accident_renew^4*SUMIFS(AO347:AO400,B347:B400,B350-48))</f>
        <v/>
      </c>
      <c r="AQ350" s="40">
        <f>AQ349*(1-IF(B349&gt;=in_marketplace_from,d_hz_two_wheeler*G349,0))</f>
        <v/>
      </c>
      <c r="AR350" s="46">
        <f>AQ350*IF(B350&gt;=in_marketplace_from,d_hz_two_wheeler*G350,0)</f>
        <v/>
      </c>
      <c r="AS350" s="14">
        <f>F350*AR350*in_two_wheeler_ticket*in_two_wheeler_comm*in_ins_partner_share+F350*in_two_wheeler_ticket*in_two_wheeler_comm*in_ins_partner_share*(in_two_wheeler_renew^1*SUMIFS(AR347:AR400,B347:B400,B350-12)+in_two_wheeler_renew^2*SUMIFS(AR347:AR400,B347:B400,B350-24)+in_two_wheeler_renew^3*SUMIFS(AR347:AR400,B347:B400,B350-36)+in_two_wheeler_renew^4*SUMIFS(AR347:AR400,B347:B400,B350-48))</f>
        <v/>
      </c>
      <c r="AT350" s="40">
        <f>AT349*(1-IF(B349&gt;=in_marketplace_from,d_hz_device*G349,0))</f>
        <v/>
      </c>
      <c r="AU350" s="14">
        <f>F350*AT350*IF(B350&gt;=in_marketplace_from,d_hz_device*G350,0)*in_device_ticket*in_device_comm*in_ins_partner_share</f>
        <v/>
      </c>
      <c r="AV350" s="40">
        <f>AV349*(1-IF(B349&gt;=in_marketplace_from,d_hz_shop*G349,0))</f>
        <v/>
      </c>
      <c r="AW350" s="46">
        <f>AV350*IF(B350&gt;=in_marketplace_from,d_hz_shop*G350,0)</f>
        <v/>
      </c>
      <c r="AX350" s="14">
        <f>F350*AW350*in_shop_ticket*in_shop_comm*in_ins_partner_share+F350*in_shop_ticket*in_shop_renew_comm*in_ins_partner_share*(in_shop_renew^1*SUMIFS(AW347:AW400,B347:B400,B350-12)+in_shop_renew^2*SUMIFS(AW347:AW400,B347:B400,B350-24)+in_shop_renew^3*SUMIFS(AW347:AW400,B347:B400,B350-36)+in_shop_renew^4*SUMIFS(AW347:AW400,B347:B400,B350-48))</f>
        <v/>
      </c>
      <c r="AY350" s="40">
        <f>AY349*(1-IF(B349&gt;=in_marketplace_from,d_hz_sip*G349,0))</f>
        <v/>
      </c>
      <c r="AZ350" s="40">
        <f>AZ349*d_rho_sip+AY350*IF(B350&gt;=in_marketplace_from,d_hz_sip*G350,0)</f>
        <v/>
      </c>
      <c r="BA350" s="40">
        <f>d_rho_sip*(BA349+AZ349)</f>
        <v/>
      </c>
      <c r="BB350" s="14">
        <f>F350*in_sip_ticket*(BA350+0.5*AZ350)*in_sip_comm/12</f>
        <v/>
      </c>
      <c r="BC350" s="40">
        <f>BC349*(1-IF(B349&gt;=in_marketplace_from,d_hz_choti*G349,0))</f>
        <v/>
      </c>
      <c r="BD350" s="46">
        <f>BC350*IF(B350&gt;=in_marketplace_from,d_hz_choti*G350,0)</f>
        <v/>
      </c>
      <c r="BE350" s="14">
        <f>F350*SUMIFS(BD347:BD400,B347:B400,B350-in_choti_months)*in_choti_renew*in_choti_ticket</f>
        <v/>
      </c>
      <c r="BF350" s="40">
        <f>BF349*(1-IF(B349&gt;=in_marketplace_from,d_hz_nps*G349,0))</f>
        <v/>
      </c>
      <c r="BG350" s="14">
        <f>F350*BF350*IF(B350&gt;=in_marketplace_from,d_hz_nps*G350,0)*in_nps_ticket*in_nps_comm</f>
        <v/>
      </c>
      <c r="BH350" s="40">
        <f>BH349*(1-IF(B349&gt;=in_marketplace_from,d_hz_gold*G349,0))</f>
        <v/>
      </c>
      <c r="BI350" s="40">
        <f>BI349*d_rho_gold+BH350*IF(B350&gt;=in_marketplace_from,d_hz_gold*G350,0)</f>
        <v/>
      </c>
      <c r="BJ350" s="14">
        <f>F350*BI350*in_gold_ticket*in_gold_comm</f>
        <v/>
      </c>
      <c r="BK350" s="40">
        <f>BK349*(1-IF(B349&gt;=in_marketplace_from,d_hz_fd*G349,0))</f>
        <v/>
      </c>
      <c r="BL350" s="14">
        <f>F350*BK350*IF(B350&gt;=in_marketplace_from,d_hz_fd*G350,0)*in_fd_ticket*in_fd_comm</f>
        <v/>
      </c>
      <c r="BM350" s="40">
        <f>BM349*(1-IF(B349&gt;=in_marketplace_from,d_hz_recharge*G349,0))</f>
        <v/>
      </c>
      <c r="BN350" s="40">
        <f>BN349*d_rho_recharge+BM350*IF(B350&gt;=in_marketplace_from,d_hz_recharge*G350,0)</f>
        <v/>
      </c>
      <c r="BO350" s="14">
        <f>F350*BN350*in_recharge_ticket*in_recharge_comm/12</f>
        <v/>
      </c>
      <c r="BP350" s="40">
        <f>BP349*(1-IF(B349&gt;=in_marketplace_from,d_hz_bills*G349,0))</f>
        <v/>
      </c>
      <c r="BQ350" s="40">
        <f>BQ349*d_rho_bills+BP350*IF(B350&gt;=in_marketplace_from,d_hz_bills*G350,0)</f>
        <v/>
      </c>
      <c r="BR350" s="14">
        <f>F350*BQ350*in_bills_ticket*in_bills_comm/12</f>
        <v/>
      </c>
      <c r="BS350" s="40">
        <f>BS349*(1-IF(B349&gt;=in_marketplace_from,d_hz_loan_gold*G349,0))</f>
        <v/>
      </c>
      <c r="BT350" s="14">
        <f>F350*BS350*IF(B350&gt;=in_marketplace_from,d_hz_loan_gold*G350,0)*in_loan_gold_ticket*in_loan_gold_comm</f>
        <v/>
      </c>
      <c r="BU350" s="40">
        <f>BU349*(1-IF(B349&gt;=in_marketplace_from,d_hz_loan_cd*G349,0))</f>
        <v/>
      </c>
      <c r="BV350" s="14">
        <f>F350*BU350*IF(B350&gt;=in_marketplace_from,d_hz_loan_cd*G350,0)*in_loan_cd_ticket*in_loan_cd_comm</f>
        <v/>
      </c>
      <c r="BW350" s="40">
        <f>BW349*(1-IF(B349&gt;=in_marketplace_from,d_hz_loan_vehicle*G349,0))</f>
        <v/>
      </c>
      <c r="BX350" s="14">
        <f>F350*BW350*IF(B350&gt;=in_marketplace_from,d_hz_loan_vehicle*G350,0)*in_loan_vehicle_ticket*in_loan_vehicle_comm</f>
        <v/>
      </c>
      <c r="BY350" s="40">
        <f>BY349*(1-IF(B349&gt;=in_marketplace_from,d_hz_loan_home*G349,0)*BZ349)</f>
        <v/>
      </c>
      <c r="BZ350" s="11">
        <f>MIN(in_approval_cap,in_loan_home_approval*INDEX('Age profile'!$O$2:$O$61,B350)*(1+in_approval_growth)^(D350-1))</f>
        <v/>
      </c>
      <c r="CA350" s="14">
        <f>F350*BY350*IF(B350&gt;=in_marketplace_from,d_hz_loan_home*G350,0)*BZ350*in_loan_home_ticket*in_loan_home_comm</f>
        <v/>
      </c>
      <c r="CB350" s="40">
        <f>CB349*(1-IF(B349&gt;=in_marketplace_from,d_hz_loan_lap*G349,0)*CC349)</f>
        <v/>
      </c>
      <c r="CC350" s="11">
        <f>MIN(in_approval_cap,in_loan_lap_approval*INDEX('Age profile'!$O$2:$O$61,B350)*(1+in_approval_growth)^(D350-1))</f>
        <v/>
      </c>
      <c r="CD350" s="14">
        <f>F350*CB350*IF(B350&gt;=in_marketplace_from,d_hz_loan_lap*G350,0)*CC350*in_loan_lap_ticket*in_loan_lap_comm</f>
        <v/>
      </c>
      <c r="CE350" s="14">
        <f>AA350+AB350+AC350+AD350+AG350+AJ350+AM350+AP350+AS350+AU350+AX350+BB350+BE350+BG350+BJ350+BL350+BO350+BR350+BT350+BV350+BX350+CA350+CD350</f>
        <v/>
      </c>
    </row>
    <row r="351">
      <c r="A351" s="39" t="n">
        <v>7</v>
      </c>
      <c r="B351" s="39" t="n">
        <v>5</v>
      </c>
      <c r="C351" s="39">
        <f>A351+B351-1</f>
        <v/>
      </c>
      <c r="D351" s="39">
        <f>INT((C351-1)/12)+1</f>
        <v/>
      </c>
      <c r="E351" s="44">
        <f>INDEX(Monthly!$B$2:$B$61,A351)</f>
        <v/>
      </c>
      <c r="F351" s="44">
        <f>E351*INDEX('Age profile'!$B$2:$B$61,B351)</f>
        <v/>
      </c>
      <c r="G351" s="45">
        <f>MIN(in_takeup_cap,INDEX('Age profile'!$N$2:$N$61,B351)*(1+in_takeup_growth)^(D351-1))</f>
        <v/>
      </c>
      <c r="H351" s="11">
        <f>MIN(in_approval_cap,in_approved_first*INDEX('Age profile'!$O$2:$O$61,B351)*(1+in_approval_growth)^(D351-1))</f>
        <v/>
      </c>
      <c r="I351" s="45">
        <f>G351*MIN(in_takeup_cap,INDEX('Age profile'!$O$2:$O$61,B351)*(1+in_approval_growth)^(D351-1))</f>
        <v/>
      </c>
      <c r="J351" s="40">
        <f>(J350-L350)*F351/F350</f>
        <v/>
      </c>
      <c r="K351" s="40">
        <f>(K350-M350)*F351/F350+SUMIFS(O347:O350,B347:B350,B351-1-d_T)*F351</f>
        <v/>
      </c>
      <c r="L351" s="40">
        <f>IF(B351&gt;=in_marketplace_from,J351*d_hz*G351*in_eligible*H351,0)</f>
        <v/>
      </c>
      <c r="M351" s="40">
        <f>IF(B351&gt;=in_marketplace_from,K351*d_hz*G351*in_eligible*in_approved_repeat,0)</f>
        <v/>
      </c>
      <c r="N351" s="40">
        <f>L351+M351</f>
        <v/>
      </c>
      <c r="O351" s="46">
        <f>N351/F351</f>
        <v/>
      </c>
      <c r="P351" s="40">
        <f>F351-J351-K351</f>
        <v/>
      </c>
      <c r="Q351" s="40">
        <f>IF(B351&gt;=in_marketplace_from,(J351+K351)*d_hz*G351,0)</f>
        <v/>
      </c>
      <c r="R351" s="40">
        <f>SUMIFS(N347:N400,B347:B400,"&gt;="&amp;(B351-d_T),B347:B400,"&lt;="&amp;(B351-1))</f>
        <v/>
      </c>
      <c r="S351" s="46">
        <f>(1-d_u)*S350+IF(d_T&gt;in_topup_lag,SUMIFS(O347:O400,B347:B400,B351-in_topup_lag)-d_udrop*SUMIFS(O347:O400,B347:B400,B351-d_T),0)</f>
        <v/>
      </c>
      <c r="T351" s="40">
        <f>F351*d_u*S351</f>
        <v/>
      </c>
      <c r="U351" s="9">
        <f>L351*in_ticket+M351*d_rep_ticket</f>
        <v/>
      </c>
      <c r="V351" s="9">
        <f>U351+T351*d_topup_amt</f>
        <v/>
      </c>
      <c r="W351" s="40">
        <f>N351+T351*d_topup_ratio</f>
        <v/>
      </c>
      <c r="X351" s="40">
        <f>SUMIFS(W347:W400,B347:B400,B351-in_dpd_lag)*d_cured</f>
        <v/>
      </c>
      <c r="Y351" s="40">
        <f>SUMIFS(W347:W400,B347:B400,B351-in_rec_lag)*d_recd</f>
        <v/>
      </c>
      <c r="Z351" s="40">
        <f>IF(AND(B351&gt;=in_marketplace_from,B351&lt;in_marketplace_from+in_card_months),in_card_share/in_card_months*F351*I351,IF(AND(B351&gt;=in_marketplace_from+in_card_months,B351&lt;in_marketplace_from+2*in_card_months),in_card_share*d_card_rem/in_card_months*F351*MIN(in_takeup_cap,(1+in_takeup_growth)^(D351-1))*MIN(in_takeup_cap,(1+in_approval_growth)^(D351-1)),0))</f>
        <v/>
      </c>
      <c r="AA351" s="14">
        <f>V351*in_fee*(1-in_taken_back)</f>
        <v/>
      </c>
      <c r="AB351" s="14">
        <f>SUMIFS(W347:W400,B347:B400,B351-in_dpd_lag)*d_dpd</f>
        <v/>
      </c>
      <c r="AC351" s="14">
        <f>SUMIFS(W347:W400,B347:B400,B351-in_rec_lag)*d_rec</f>
        <v/>
      </c>
      <c r="AD351" s="14">
        <f>Z351*in_card_fee</f>
        <v/>
      </c>
      <c r="AE351" s="40">
        <f>AE350*(1-IF(B350&gt;=in_marketplace_from,d_hz_hlth_small*G350,0))</f>
        <v/>
      </c>
      <c r="AF351" s="46">
        <f>AE351*IF(B351&gt;=in_marketplace_from,d_hz_hlth_small*G351,0)</f>
        <v/>
      </c>
      <c r="AG351" s="14">
        <f>F351*AF351*in_hlth_small_ticket*in_hlth_small_comm*in_ins_partner_share+F351*in_hlth_small_ticket*in_hlth_small_renew_comm*in_ins_partner_share*(in_hlth_small_renew^1*SUMIFS(AF347:AF400,B347:B400,B351-12)+in_hlth_small_renew^2*SUMIFS(AF347:AF400,B347:B400,B351-24)+in_hlth_small_renew^3*SUMIFS(AF347:AF400,B347:B400,B351-36)+in_hlth_small_renew^4*SUMIFS(AF347:AF400,B347:B400,B351-48))</f>
        <v/>
      </c>
      <c r="AH351" s="40">
        <f>AH350*(1-IF(B350&gt;=in_marketplace_from,d_hz_hlth_family*G350,0))</f>
        <v/>
      </c>
      <c r="AI351" s="46">
        <f>AH351*IF(B351&gt;=in_marketplace_from,d_hz_hlth_family*G351,0)</f>
        <v/>
      </c>
      <c r="AJ351" s="14">
        <f>F351*AI351*in_hlth_family_ticket*in_hlth_family_comm*in_ins_partner_share+F351*in_hlth_family_ticket*in_hlth_family_renew_comm*in_ins_partner_share*(in_hlth_family_renew^1*SUMIFS(AI347:AI400,B347:B400,B351-12)+in_hlth_family_renew^2*SUMIFS(AI347:AI400,B347:B400,B351-24)+in_hlth_family_renew^3*SUMIFS(AI347:AI400,B347:B400,B351-36)+in_hlth_family_renew^4*SUMIFS(AI347:AI400,B347:B400,B351-48))</f>
        <v/>
      </c>
      <c r="AK351" s="40">
        <f>AK350*(1-IF(B350&gt;=in_marketplace_from,d_hz_life_term*G350,0))</f>
        <v/>
      </c>
      <c r="AL351" s="46">
        <f>AK351*IF(B351&gt;=in_marketplace_from,d_hz_life_term*G351,0)</f>
        <v/>
      </c>
      <c r="AM351" s="14">
        <f>F351*AL351*in_life_term_ticket*in_life_term_comm*in_ins_partner_share+F351*in_life_term_ticket*in_life_term_renew_comm*in_ins_partner_share*(in_life_term_renew^1*SUMIFS(AL347:AL400,B347:B400,B351-12)+in_life_term_renew^2*SUMIFS(AL347:AL400,B347:B400,B351-24)+in_life_term_renew^3*SUMIFS(AL347:AL400,B347:B400,B351-36)+in_life_term_renew^4*SUMIFS(AL347:AL400,B347:B400,B351-48))</f>
        <v/>
      </c>
      <c r="AN351" s="40">
        <f>AN350*(1-IF(B350&gt;=in_marketplace_from,d_hz_accident*G350,0))</f>
        <v/>
      </c>
      <c r="AO351" s="46">
        <f>AN351*IF(B351&gt;=in_marketplace_from,d_hz_accident*G351,0)</f>
        <v/>
      </c>
      <c r="AP351" s="14">
        <f>F351*AO351*in_accident_ticket*in_accident_comm*in_ins_partner_share+F351*in_accident_ticket*in_accident_renew_comm*in_ins_partner_share*(in_accident_renew^1*SUMIFS(AO347:AO400,B347:B400,B351-12)+in_accident_renew^2*SUMIFS(AO347:AO400,B347:B400,B351-24)+in_accident_renew^3*SUMIFS(AO347:AO400,B347:B400,B351-36)+in_accident_renew^4*SUMIFS(AO347:AO400,B347:B400,B351-48))</f>
        <v/>
      </c>
      <c r="AQ351" s="40">
        <f>AQ350*(1-IF(B350&gt;=in_marketplace_from,d_hz_two_wheeler*G350,0))</f>
        <v/>
      </c>
      <c r="AR351" s="46">
        <f>AQ351*IF(B351&gt;=in_marketplace_from,d_hz_two_wheeler*G351,0)</f>
        <v/>
      </c>
      <c r="AS351" s="14">
        <f>F351*AR351*in_two_wheeler_ticket*in_two_wheeler_comm*in_ins_partner_share+F351*in_two_wheeler_ticket*in_two_wheeler_comm*in_ins_partner_share*(in_two_wheeler_renew^1*SUMIFS(AR347:AR400,B347:B400,B351-12)+in_two_wheeler_renew^2*SUMIFS(AR347:AR400,B347:B400,B351-24)+in_two_wheeler_renew^3*SUMIFS(AR347:AR400,B347:B400,B351-36)+in_two_wheeler_renew^4*SUMIFS(AR347:AR400,B347:B400,B351-48))</f>
        <v/>
      </c>
      <c r="AT351" s="40">
        <f>AT350*(1-IF(B350&gt;=in_marketplace_from,d_hz_device*G350,0))</f>
        <v/>
      </c>
      <c r="AU351" s="14">
        <f>F351*AT351*IF(B351&gt;=in_marketplace_from,d_hz_device*G351,0)*in_device_ticket*in_device_comm*in_ins_partner_share</f>
        <v/>
      </c>
      <c r="AV351" s="40">
        <f>AV350*(1-IF(B350&gt;=in_marketplace_from,d_hz_shop*G350,0))</f>
        <v/>
      </c>
      <c r="AW351" s="46">
        <f>AV351*IF(B351&gt;=in_marketplace_from,d_hz_shop*G351,0)</f>
        <v/>
      </c>
      <c r="AX351" s="14">
        <f>F351*AW351*in_shop_ticket*in_shop_comm*in_ins_partner_share+F351*in_shop_ticket*in_shop_renew_comm*in_ins_partner_share*(in_shop_renew^1*SUMIFS(AW347:AW400,B347:B400,B351-12)+in_shop_renew^2*SUMIFS(AW347:AW400,B347:B400,B351-24)+in_shop_renew^3*SUMIFS(AW347:AW400,B347:B400,B351-36)+in_shop_renew^4*SUMIFS(AW347:AW400,B347:B400,B351-48))</f>
        <v/>
      </c>
      <c r="AY351" s="40">
        <f>AY350*(1-IF(B350&gt;=in_marketplace_from,d_hz_sip*G350,0))</f>
        <v/>
      </c>
      <c r="AZ351" s="40">
        <f>AZ350*d_rho_sip+AY351*IF(B351&gt;=in_marketplace_from,d_hz_sip*G351,0)</f>
        <v/>
      </c>
      <c r="BA351" s="40">
        <f>d_rho_sip*(BA350+AZ350)</f>
        <v/>
      </c>
      <c r="BB351" s="14">
        <f>F351*in_sip_ticket*(BA351+0.5*AZ351)*in_sip_comm/12</f>
        <v/>
      </c>
      <c r="BC351" s="40">
        <f>BC350*(1-IF(B350&gt;=in_marketplace_from,d_hz_choti*G350,0))</f>
        <v/>
      </c>
      <c r="BD351" s="46">
        <f>BC351*IF(B351&gt;=in_marketplace_from,d_hz_choti*G351,0)</f>
        <v/>
      </c>
      <c r="BE351" s="14">
        <f>F351*SUMIFS(BD347:BD400,B347:B400,B351-in_choti_months)*in_choti_renew*in_choti_ticket</f>
        <v/>
      </c>
      <c r="BF351" s="40">
        <f>BF350*(1-IF(B350&gt;=in_marketplace_from,d_hz_nps*G350,0))</f>
        <v/>
      </c>
      <c r="BG351" s="14">
        <f>F351*BF351*IF(B351&gt;=in_marketplace_from,d_hz_nps*G351,0)*in_nps_ticket*in_nps_comm</f>
        <v/>
      </c>
      <c r="BH351" s="40">
        <f>BH350*(1-IF(B350&gt;=in_marketplace_from,d_hz_gold*G350,0))</f>
        <v/>
      </c>
      <c r="BI351" s="40">
        <f>BI350*d_rho_gold+BH351*IF(B351&gt;=in_marketplace_from,d_hz_gold*G351,0)</f>
        <v/>
      </c>
      <c r="BJ351" s="14">
        <f>F351*BI351*in_gold_ticket*in_gold_comm</f>
        <v/>
      </c>
      <c r="BK351" s="40">
        <f>BK350*(1-IF(B350&gt;=in_marketplace_from,d_hz_fd*G350,0))</f>
        <v/>
      </c>
      <c r="BL351" s="14">
        <f>F351*BK351*IF(B351&gt;=in_marketplace_from,d_hz_fd*G351,0)*in_fd_ticket*in_fd_comm</f>
        <v/>
      </c>
      <c r="BM351" s="40">
        <f>BM350*(1-IF(B350&gt;=in_marketplace_from,d_hz_recharge*G350,0))</f>
        <v/>
      </c>
      <c r="BN351" s="40">
        <f>BN350*d_rho_recharge+BM351*IF(B351&gt;=in_marketplace_from,d_hz_recharge*G351,0)</f>
        <v/>
      </c>
      <c r="BO351" s="14">
        <f>F351*BN351*in_recharge_ticket*in_recharge_comm/12</f>
        <v/>
      </c>
      <c r="BP351" s="40">
        <f>BP350*(1-IF(B350&gt;=in_marketplace_from,d_hz_bills*G350,0))</f>
        <v/>
      </c>
      <c r="BQ351" s="40">
        <f>BQ350*d_rho_bills+BP351*IF(B351&gt;=in_marketplace_from,d_hz_bills*G351,0)</f>
        <v/>
      </c>
      <c r="BR351" s="14">
        <f>F351*BQ351*in_bills_ticket*in_bills_comm/12</f>
        <v/>
      </c>
      <c r="BS351" s="40">
        <f>BS350*(1-IF(B350&gt;=in_marketplace_from,d_hz_loan_gold*G350,0))</f>
        <v/>
      </c>
      <c r="BT351" s="14">
        <f>F351*BS351*IF(B351&gt;=in_marketplace_from,d_hz_loan_gold*G351,0)*in_loan_gold_ticket*in_loan_gold_comm</f>
        <v/>
      </c>
      <c r="BU351" s="40">
        <f>BU350*(1-IF(B350&gt;=in_marketplace_from,d_hz_loan_cd*G350,0))</f>
        <v/>
      </c>
      <c r="BV351" s="14">
        <f>F351*BU351*IF(B351&gt;=in_marketplace_from,d_hz_loan_cd*G351,0)*in_loan_cd_ticket*in_loan_cd_comm</f>
        <v/>
      </c>
      <c r="BW351" s="40">
        <f>BW350*(1-IF(B350&gt;=in_marketplace_from,d_hz_loan_vehicle*G350,0))</f>
        <v/>
      </c>
      <c r="BX351" s="14">
        <f>F351*BW351*IF(B351&gt;=in_marketplace_from,d_hz_loan_vehicle*G351,0)*in_loan_vehicle_ticket*in_loan_vehicle_comm</f>
        <v/>
      </c>
      <c r="BY351" s="40">
        <f>BY350*(1-IF(B350&gt;=in_marketplace_from,d_hz_loan_home*G350,0)*BZ350)</f>
        <v/>
      </c>
      <c r="BZ351" s="11">
        <f>MIN(in_approval_cap,in_loan_home_approval*INDEX('Age profile'!$O$2:$O$61,B351)*(1+in_approval_growth)^(D351-1))</f>
        <v/>
      </c>
      <c r="CA351" s="14">
        <f>F351*BY351*IF(B351&gt;=in_marketplace_from,d_hz_loan_home*G351,0)*BZ351*in_loan_home_ticket*in_loan_home_comm</f>
        <v/>
      </c>
      <c r="CB351" s="40">
        <f>CB350*(1-IF(B350&gt;=in_marketplace_from,d_hz_loan_lap*G350,0)*CC350)</f>
        <v/>
      </c>
      <c r="CC351" s="11">
        <f>MIN(in_approval_cap,in_loan_lap_approval*INDEX('Age profile'!$O$2:$O$61,B351)*(1+in_approval_growth)^(D351-1))</f>
        <v/>
      </c>
      <c r="CD351" s="14">
        <f>F351*CB351*IF(B351&gt;=in_marketplace_from,d_hz_loan_lap*G351,0)*CC351*in_loan_lap_ticket*in_loan_lap_comm</f>
        <v/>
      </c>
      <c r="CE351" s="14">
        <f>AA351+AB351+AC351+AD351+AG351+AJ351+AM351+AP351+AS351+AU351+AX351+BB351+BE351+BG351+BJ351+BL351+BO351+BR351+BT351+BV351+BX351+CA351+CD351</f>
        <v/>
      </c>
    </row>
    <row r="352">
      <c r="A352" s="39" t="n">
        <v>7</v>
      </c>
      <c r="B352" s="39" t="n">
        <v>6</v>
      </c>
      <c r="C352" s="39">
        <f>A352+B352-1</f>
        <v/>
      </c>
      <c r="D352" s="39">
        <f>INT((C352-1)/12)+1</f>
        <v/>
      </c>
      <c r="E352" s="44">
        <f>INDEX(Monthly!$B$2:$B$61,A352)</f>
        <v/>
      </c>
      <c r="F352" s="44">
        <f>E352*INDEX('Age profile'!$B$2:$B$61,B352)</f>
        <v/>
      </c>
      <c r="G352" s="45">
        <f>MIN(in_takeup_cap,INDEX('Age profile'!$N$2:$N$61,B352)*(1+in_takeup_growth)^(D352-1))</f>
        <v/>
      </c>
      <c r="H352" s="11">
        <f>MIN(in_approval_cap,in_approved_first*INDEX('Age profile'!$O$2:$O$61,B352)*(1+in_approval_growth)^(D352-1))</f>
        <v/>
      </c>
      <c r="I352" s="45">
        <f>G352*MIN(in_takeup_cap,INDEX('Age profile'!$O$2:$O$61,B352)*(1+in_approval_growth)^(D352-1))</f>
        <v/>
      </c>
      <c r="J352" s="40">
        <f>(J351-L351)*F352/F351</f>
        <v/>
      </c>
      <c r="K352" s="40">
        <f>(K351-M351)*F352/F351+SUMIFS(O347:O351,B347:B351,B352-1-d_T)*F352</f>
        <v/>
      </c>
      <c r="L352" s="40">
        <f>IF(B352&gt;=in_marketplace_from,J352*d_hz*G352*in_eligible*H352,0)</f>
        <v/>
      </c>
      <c r="M352" s="40">
        <f>IF(B352&gt;=in_marketplace_from,K352*d_hz*G352*in_eligible*in_approved_repeat,0)</f>
        <v/>
      </c>
      <c r="N352" s="40">
        <f>L352+M352</f>
        <v/>
      </c>
      <c r="O352" s="46">
        <f>N352/F352</f>
        <v/>
      </c>
      <c r="P352" s="40">
        <f>F352-J352-K352</f>
        <v/>
      </c>
      <c r="Q352" s="40">
        <f>IF(B352&gt;=in_marketplace_from,(J352+K352)*d_hz*G352,0)</f>
        <v/>
      </c>
      <c r="R352" s="40">
        <f>SUMIFS(N347:N400,B347:B400,"&gt;="&amp;(B352-d_T),B347:B400,"&lt;="&amp;(B352-1))</f>
        <v/>
      </c>
      <c r="S352" s="46">
        <f>(1-d_u)*S351+IF(d_T&gt;in_topup_lag,SUMIFS(O347:O400,B347:B400,B352-in_topup_lag)-d_udrop*SUMIFS(O347:O400,B347:B400,B352-d_T),0)</f>
        <v/>
      </c>
      <c r="T352" s="40">
        <f>F352*d_u*S352</f>
        <v/>
      </c>
      <c r="U352" s="9">
        <f>L352*in_ticket+M352*d_rep_ticket</f>
        <v/>
      </c>
      <c r="V352" s="9">
        <f>U352+T352*d_topup_amt</f>
        <v/>
      </c>
      <c r="W352" s="40">
        <f>N352+T352*d_topup_ratio</f>
        <v/>
      </c>
      <c r="X352" s="40">
        <f>SUMIFS(W347:W400,B347:B400,B352-in_dpd_lag)*d_cured</f>
        <v/>
      </c>
      <c r="Y352" s="40">
        <f>SUMIFS(W347:W400,B347:B400,B352-in_rec_lag)*d_recd</f>
        <v/>
      </c>
      <c r="Z352" s="40">
        <f>IF(AND(B352&gt;=in_marketplace_from,B352&lt;in_marketplace_from+in_card_months),in_card_share/in_card_months*F352*I352,IF(AND(B352&gt;=in_marketplace_from+in_card_months,B352&lt;in_marketplace_from+2*in_card_months),in_card_share*d_card_rem/in_card_months*F352*MIN(in_takeup_cap,(1+in_takeup_growth)^(D352-1))*MIN(in_takeup_cap,(1+in_approval_growth)^(D352-1)),0))</f>
        <v/>
      </c>
      <c r="AA352" s="14">
        <f>V352*in_fee*(1-in_taken_back)</f>
        <v/>
      </c>
      <c r="AB352" s="14">
        <f>SUMIFS(W347:W400,B347:B400,B352-in_dpd_lag)*d_dpd</f>
        <v/>
      </c>
      <c r="AC352" s="14">
        <f>SUMIFS(W347:W400,B347:B400,B352-in_rec_lag)*d_rec</f>
        <v/>
      </c>
      <c r="AD352" s="14">
        <f>Z352*in_card_fee</f>
        <v/>
      </c>
      <c r="AE352" s="40">
        <f>AE351*(1-IF(B351&gt;=in_marketplace_from,d_hz_hlth_small*G351,0))</f>
        <v/>
      </c>
      <c r="AF352" s="46">
        <f>AE352*IF(B352&gt;=in_marketplace_from,d_hz_hlth_small*G352,0)</f>
        <v/>
      </c>
      <c r="AG352" s="14">
        <f>F352*AF352*in_hlth_small_ticket*in_hlth_small_comm*in_ins_partner_share+F352*in_hlth_small_ticket*in_hlth_small_renew_comm*in_ins_partner_share*(in_hlth_small_renew^1*SUMIFS(AF347:AF400,B347:B400,B352-12)+in_hlth_small_renew^2*SUMIFS(AF347:AF400,B347:B400,B352-24)+in_hlth_small_renew^3*SUMIFS(AF347:AF400,B347:B400,B352-36)+in_hlth_small_renew^4*SUMIFS(AF347:AF400,B347:B400,B352-48))</f>
        <v/>
      </c>
      <c r="AH352" s="40">
        <f>AH351*(1-IF(B351&gt;=in_marketplace_from,d_hz_hlth_family*G351,0))</f>
        <v/>
      </c>
      <c r="AI352" s="46">
        <f>AH352*IF(B352&gt;=in_marketplace_from,d_hz_hlth_family*G352,0)</f>
        <v/>
      </c>
      <c r="AJ352" s="14">
        <f>F352*AI352*in_hlth_family_ticket*in_hlth_family_comm*in_ins_partner_share+F352*in_hlth_family_ticket*in_hlth_family_renew_comm*in_ins_partner_share*(in_hlth_family_renew^1*SUMIFS(AI347:AI400,B347:B400,B352-12)+in_hlth_family_renew^2*SUMIFS(AI347:AI400,B347:B400,B352-24)+in_hlth_family_renew^3*SUMIFS(AI347:AI400,B347:B400,B352-36)+in_hlth_family_renew^4*SUMIFS(AI347:AI400,B347:B400,B352-48))</f>
        <v/>
      </c>
      <c r="AK352" s="40">
        <f>AK351*(1-IF(B351&gt;=in_marketplace_from,d_hz_life_term*G351,0))</f>
        <v/>
      </c>
      <c r="AL352" s="46">
        <f>AK352*IF(B352&gt;=in_marketplace_from,d_hz_life_term*G352,0)</f>
        <v/>
      </c>
      <c r="AM352" s="14">
        <f>F352*AL352*in_life_term_ticket*in_life_term_comm*in_ins_partner_share+F352*in_life_term_ticket*in_life_term_renew_comm*in_ins_partner_share*(in_life_term_renew^1*SUMIFS(AL347:AL400,B347:B400,B352-12)+in_life_term_renew^2*SUMIFS(AL347:AL400,B347:B400,B352-24)+in_life_term_renew^3*SUMIFS(AL347:AL400,B347:B400,B352-36)+in_life_term_renew^4*SUMIFS(AL347:AL400,B347:B400,B352-48))</f>
        <v/>
      </c>
      <c r="AN352" s="40">
        <f>AN351*(1-IF(B351&gt;=in_marketplace_from,d_hz_accident*G351,0))</f>
        <v/>
      </c>
      <c r="AO352" s="46">
        <f>AN352*IF(B352&gt;=in_marketplace_from,d_hz_accident*G352,0)</f>
        <v/>
      </c>
      <c r="AP352" s="14">
        <f>F352*AO352*in_accident_ticket*in_accident_comm*in_ins_partner_share+F352*in_accident_ticket*in_accident_renew_comm*in_ins_partner_share*(in_accident_renew^1*SUMIFS(AO347:AO400,B347:B400,B352-12)+in_accident_renew^2*SUMIFS(AO347:AO400,B347:B400,B352-24)+in_accident_renew^3*SUMIFS(AO347:AO400,B347:B400,B352-36)+in_accident_renew^4*SUMIFS(AO347:AO400,B347:B400,B352-48))</f>
        <v/>
      </c>
      <c r="AQ352" s="40">
        <f>AQ351*(1-IF(B351&gt;=in_marketplace_from,d_hz_two_wheeler*G351,0))</f>
        <v/>
      </c>
      <c r="AR352" s="46">
        <f>AQ352*IF(B352&gt;=in_marketplace_from,d_hz_two_wheeler*G352,0)</f>
        <v/>
      </c>
      <c r="AS352" s="14">
        <f>F352*AR352*in_two_wheeler_ticket*in_two_wheeler_comm*in_ins_partner_share+F352*in_two_wheeler_ticket*in_two_wheeler_comm*in_ins_partner_share*(in_two_wheeler_renew^1*SUMIFS(AR347:AR400,B347:B400,B352-12)+in_two_wheeler_renew^2*SUMIFS(AR347:AR400,B347:B400,B352-24)+in_two_wheeler_renew^3*SUMIFS(AR347:AR400,B347:B400,B352-36)+in_two_wheeler_renew^4*SUMIFS(AR347:AR400,B347:B400,B352-48))</f>
        <v/>
      </c>
      <c r="AT352" s="40">
        <f>AT351*(1-IF(B351&gt;=in_marketplace_from,d_hz_device*G351,0))</f>
        <v/>
      </c>
      <c r="AU352" s="14">
        <f>F352*AT352*IF(B352&gt;=in_marketplace_from,d_hz_device*G352,0)*in_device_ticket*in_device_comm*in_ins_partner_share</f>
        <v/>
      </c>
      <c r="AV352" s="40">
        <f>AV351*(1-IF(B351&gt;=in_marketplace_from,d_hz_shop*G351,0))</f>
        <v/>
      </c>
      <c r="AW352" s="46">
        <f>AV352*IF(B352&gt;=in_marketplace_from,d_hz_shop*G352,0)</f>
        <v/>
      </c>
      <c r="AX352" s="14">
        <f>F352*AW352*in_shop_ticket*in_shop_comm*in_ins_partner_share+F352*in_shop_ticket*in_shop_renew_comm*in_ins_partner_share*(in_shop_renew^1*SUMIFS(AW347:AW400,B347:B400,B352-12)+in_shop_renew^2*SUMIFS(AW347:AW400,B347:B400,B352-24)+in_shop_renew^3*SUMIFS(AW347:AW400,B347:B400,B352-36)+in_shop_renew^4*SUMIFS(AW347:AW400,B347:B400,B352-48))</f>
        <v/>
      </c>
      <c r="AY352" s="40">
        <f>AY351*(1-IF(B351&gt;=in_marketplace_from,d_hz_sip*G351,0))</f>
        <v/>
      </c>
      <c r="AZ352" s="40">
        <f>AZ351*d_rho_sip+AY352*IF(B352&gt;=in_marketplace_from,d_hz_sip*G352,0)</f>
        <v/>
      </c>
      <c r="BA352" s="40">
        <f>d_rho_sip*(BA351+AZ351)</f>
        <v/>
      </c>
      <c r="BB352" s="14">
        <f>F352*in_sip_ticket*(BA352+0.5*AZ352)*in_sip_comm/12</f>
        <v/>
      </c>
      <c r="BC352" s="40">
        <f>BC351*(1-IF(B351&gt;=in_marketplace_from,d_hz_choti*G351,0))</f>
        <v/>
      </c>
      <c r="BD352" s="46">
        <f>BC352*IF(B352&gt;=in_marketplace_from,d_hz_choti*G352,0)</f>
        <v/>
      </c>
      <c r="BE352" s="14">
        <f>F352*SUMIFS(BD347:BD400,B347:B400,B352-in_choti_months)*in_choti_renew*in_choti_ticket</f>
        <v/>
      </c>
      <c r="BF352" s="40">
        <f>BF351*(1-IF(B351&gt;=in_marketplace_from,d_hz_nps*G351,0))</f>
        <v/>
      </c>
      <c r="BG352" s="14">
        <f>F352*BF352*IF(B352&gt;=in_marketplace_from,d_hz_nps*G352,0)*in_nps_ticket*in_nps_comm</f>
        <v/>
      </c>
      <c r="BH352" s="40">
        <f>BH351*(1-IF(B351&gt;=in_marketplace_from,d_hz_gold*G351,0))</f>
        <v/>
      </c>
      <c r="BI352" s="40">
        <f>BI351*d_rho_gold+BH352*IF(B352&gt;=in_marketplace_from,d_hz_gold*G352,0)</f>
        <v/>
      </c>
      <c r="BJ352" s="14">
        <f>F352*BI352*in_gold_ticket*in_gold_comm</f>
        <v/>
      </c>
      <c r="BK352" s="40">
        <f>BK351*(1-IF(B351&gt;=in_marketplace_from,d_hz_fd*G351,0))</f>
        <v/>
      </c>
      <c r="BL352" s="14">
        <f>F352*BK352*IF(B352&gt;=in_marketplace_from,d_hz_fd*G352,0)*in_fd_ticket*in_fd_comm</f>
        <v/>
      </c>
      <c r="BM352" s="40">
        <f>BM351*(1-IF(B351&gt;=in_marketplace_from,d_hz_recharge*G351,0))</f>
        <v/>
      </c>
      <c r="BN352" s="40">
        <f>BN351*d_rho_recharge+BM352*IF(B352&gt;=in_marketplace_from,d_hz_recharge*G352,0)</f>
        <v/>
      </c>
      <c r="BO352" s="14">
        <f>F352*BN352*in_recharge_ticket*in_recharge_comm/12</f>
        <v/>
      </c>
      <c r="BP352" s="40">
        <f>BP351*(1-IF(B351&gt;=in_marketplace_from,d_hz_bills*G351,0))</f>
        <v/>
      </c>
      <c r="BQ352" s="40">
        <f>BQ351*d_rho_bills+BP352*IF(B352&gt;=in_marketplace_from,d_hz_bills*G352,0)</f>
        <v/>
      </c>
      <c r="BR352" s="14">
        <f>F352*BQ352*in_bills_ticket*in_bills_comm/12</f>
        <v/>
      </c>
      <c r="BS352" s="40">
        <f>BS351*(1-IF(B351&gt;=in_marketplace_from,d_hz_loan_gold*G351,0))</f>
        <v/>
      </c>
      <c r="BT352" s="14">
        <f>F352*BS352*IF(B352&gt;=in_marketplace_from,d_hz_loan_gold*G352,0)*in_loan_gold_ticket*in_loan_gold_comm</f>
        <v/>
      </c>
      <c r="BU352" s="40">
        <f>BU351*(1-IF(B351&gt;=in_marketplace_from,d_hz_loan_cd*G351,0))</f>
        <v/>
      </c>
      <c r="BV352" s="14">
        <f>F352*BU352*IF(B352&gt;=in_marketplace_from,d_hz_loan_cd*G352,0)*in_loan_cd_ticket*in_loan_cd_comm</f>
        <v/>
      </c>
      <c r="BW352" s="40">
        <f>BW351*(1-IF(B351&gt;=in_marketplace_from,d_hz_loan_vehicle*G351,0))</f>
        <v/>
      </c>
      <c r="BX352" s="14">
        <f>F352*BW352*IF(B352&gt;=in_marketplace_from,d_hz_loan_vehicle*G352,0)*in_loan_vehicle_ticket*in_loan_vehicle_comm</f>
        <v/>
      </c>
      <c r="BY352" s="40">
        <f>BY351*(1-IF(B351&gt;=in_marketplace_from,d_hz_loan_home*G351,0)*BZ351)</f>
        <v/>
      </c>
      <c r="BZ352" s="11">
        <f>MIN(in_approval_cap,in_loan_home_approval*INDEX('Age profile'!$O$2:$O$61,B352)*(1+in_approval_growth)^(D352-1))</f>
        <v/>
      </c>
      <c r="CA352" s="14">
        <f>F352*BY352*IF(B352&gt;=in_marketplace_from,d_hz_loan_home*G352,0)*BZ352*in_loan_home_ticket*in_loan_home_comm</f>
        <v/>
      </c>
      <c r="CB352" s="40">
        <f>CB351*(1-IF(B351&gt;=in_marketplace_from,d_hz_loan_lap*G351,0)*CC351)</f>
        <v/>
      </c>
      <c r="CC352" s="11">
        <f>MIN(in_approval_cap,in_loan_lap_approval*INDEX('Age profile'!$O$2:$O$61,B352)*(1+in_approval_growth)^(D352-1))</f>
        <v/>
      </c>
      <c r="CD352" s="14">
        <f>F352*CB352*IF(B352&gt;=in_marketplace_from,d_hz_loan_lap*G352,0)*CC352*in_loan_lap_ticket*in_loan_lap_comm</f>
        <v/>
      </c>
      <c r="CE352" s="14">
        <f>AA352+AB352+AC352+AD352+AG352+AJ352+AM352+AP352+AS352+AU352+AX352+BB352+BE352+BG352+BJ352+BL352+BO352+BR352+BT352+BV352+BX352+CA352+CD352</f>
        <v/>
      </c>
    </row>
    <row r="353">
      <c r="A353" s="39" t="n">
        <v>7</v>
      </c>
      <c r="B353" s="39" t="n">
        <v>7</v>
      </c>
      <c r="C353" s="39">
        <f>A353+B353-1</f>
        <v/>
      </c>
      <c r="D353" s="39">
        <f>INT((C353-1)/12)+1</f>
        <v/>
      </c>
      <c r="E353" s="44">
        <f>INDEX(Monthly!$B$2:$B$61,A353)</f>
        <v/>
      </c>
      <c r="F353" s="44">
        <f>E353*INDEX('Age profile'!$B$2:$B$61,B353)</f>
        <v/>
      </c>
      <c r="G353" s="45">
        <f>MIN(in_takeup_cap,INDEX('Age profile'!$N$2:$N$61,B353)*(1+in_takeup_growth)^(D353-1))</f>
        <v/>
      </c>
      <c r="H353" s="11">
        <f>MIN(in_approval_cap,in_approved_first*INDEX('Age profile'!$O$2:$O$61,B353)*(1+in_approval_growth)^(D353-1))</f>
        <v/>
      </c>
      <c r="I353" s="45">
        <f>G353*MIN(in_takeup_cap,INDEX('Age profile'!$O$2:$O$61,B353)*(1+in_approval_growth)^(D353-1))</f>
        <v/>
      </c>
      <c r="J353" s="40">
        <f>(J352-L352)*F353/F352</f>
        <v/>
      </c>
      <c r="K353" s="40">
        <f>(K352-M352)*F353/F352+SUMIFS(O347:O352,B347:B352,B353-1-d_T)*F353</f>
        <v/>
      </c>
      <c r="L353" s="40">
        <f>IF(B353&gt;=in_marketplace_from,J353*d_hz*G353*in_eligible*H353,0)</f>
        <v/>
      </c>
      <c r="M353" s="40">
        <f>IF(B353&gt;=in_marketplace_from,K353*d_hz*G353*in_eligible*in_approved_repeat,0)</f>
        <v/>
      </c>
      <c r="N353" s="40">
        <f>L353+M353</f>
        <v/>
      </c>
      <c r="O353" s="46">
        <f>N353/F353</f>
        <v/>
      </c>
      <c r="P353" s="40">
        <f>F353-J353-K353</f>
        <v/>
      </c>
      <c r="Q353" s="40">
        <f>IF(B353&gt;=in_marketplace_from,(J353+K353)*d_hz*G353,0)</f>
        <v/>
      </c>
      <c r="R353" s="40">
        <f>SUMIFS(N347:N400,B347:B400,"&gt;="&amp;(B353-d_T),B347:B400,"&lt;="&amp;(B353-1))</f>
        <v/>
      </c>
      <c r="S353" s="46">
        <f>(1-d_u)*S352+IF(d_T&gt;in_topup_lag,SUMIFS(O347:O400,B347:B400,B353-in_topup_lag)-d_udrop*SUMIFS(O347:O400,B347:B400,B353-d_T),0)</f>
        <v/>
      </c>
      <c r="T353" s="40">
        <f>F353*d_u*S353</f>
        <v/>
      </c>
      <c r="U353" s="9">
        <f>L353*in_ticket+M353*d_rep_ticket</f>
        <v/>
      </c>
      <c r="V353" s="9">
        <f>U353+T353*d_topup_amt</f>
        <v/>
      </c>
      <c r="W353" s="40">
        <f>N353+T353*d_topup_ratio</f>
        <v/>
      </c>
      <c r="X353" s="40">
        <f>SUMIFS(W347:W400,B347:B400,B353-in_dpd_lag)*d_cured</f>
        <v/>
      </c>
      <c r="Y353" s="40">
        <f>SUMIFS(W347:W400,B347:B400,B353-in_rec_lag)*d_recd</f>
        <v/>
      </c>
      <c r="Z353" s="40">
        <f>IF(AND(B353&gt;=in_marketplace_from,B353&lt;in_marketplace_from+in_card_months),in_card_share/in_card_months*F353*I353,IF(AND(B353&gt;=in_marketplace_from+in_card_months,B353&lt;in_marketplace_from+2*in_card_months),in_card_share*d_card_rem/in_card_months*F353*MIN(in_takeup_cap,(1+in_takeup_growth)^(D353-1))*MIN(in_takeup_cap,(1+in_approval_growth)^(D353-1)),0))</f>
        <v/>
      </c>
      <c r="AA353" s="14">
        <f>V353*in_fee*(1-in_taken_back)</f>
        <v/>
      </c>
      <c r="AB353" s="14">
        <f>SUMIFS(W347:W400,B347:B400,B353-in_dpd_lag)*d_dpd</f>
        <v/>
      </c>
      <c r="AC353" s="14">
        <f>SUMIFS(W347:W400,B347:B400,B353-in_rec_lag)*d_rec</f>
        <v/>
      </c>
      <c r="AD353" s="14">
        <f>Z353*in_card_fee</f>
        <v/>
      </c>
      <c r="AE353" s="40">
        <f>AE352*(1-IF(B352&gt;=in_marketplace_from,d_hz_hlth_small*G352,0))</f>
        <v/>
      </c>
      <c r="AF353" s="46">
        <f>AE353*IF(B353&gt;=in_marketplace_from,d_hz_hlth_small*G353,0)</f>
        <v/>
      </c>
      <c r="AG353" s="14">
        <f>F353*AF353*in_hlth_small_ticket*in_hlth_small_comm*in_ins_partner_share+F353*in_hlth_small_ticket*in_hlth_small_renew_comm*in_ins_partner_share*(in_hlth_small_renew^1*SUMIFS(AF347:AF400,B347:B400,B353-12)+in_hlth_small_renew^2*SUMIFS(AF347:AF400,B347:B400,B353-24)+in_hlth_small_renew^3*SUMIFS(AF347:AF400,B347:B400,B353-36)+in_hlth_small_renew^4*SUMIFS(AF347:AF400,B347:B400,B353-48))</f>
        <v/>
      </c>
      <c r="AH353" s="40">
        <f>AH352*(1-IF(B352&gt;=in_marketplace_from,d_hz_hlth_family*G352,0))</f>
        <v/>
      </c>
      <c r="AI353" s="46">
        <f>AH353*IF(B353&gt;=in_marketplace_from,d_hz_hlth_family*G353,0)</f>
        <v/>
      </c>
      <c r="AJ353" s="14">
        <f>F353*AI353*in_hlth_family_ticket*in_hlth_family_comm*in_ins_partner_share+F353*in_hlth_family_ticket*in_hlth_family_renew_comm*in_ins_partner_share*(in_hlth_family_renew^1*SUMIFS(AI347:AI400,B347:B400,B353-12)+in_hlth_family_renew^2*SUMIFS(AI347:AI400,B347:B400,B353-24)+in_hlth_family_renew^3*SUMIFS(AI347:AI400,B347:B400,B353-36)+in_hlth_family_renew^4*SUMIFS(AI347:AI400,B347:B400,B353-48))</f>
        <v/>
      </c>
      <c r="AK353" s="40">
        <f>AK352*(1-IF(B352&gt;=in_marketplace_from,d_hz_life_term*G352,0))</f>
        <v/>
      </c>
      <c r="AL353" s="46">
        <f>AK353*IF(B353&gt;=in_marketplace_from,d_hz_life_term*G353,0)</f>
        <v/>
      </c>
      <c r="AM353" s="14">
        <f>F353*AL353*in_life_term_ticket*in_life_term_comm*in_ins_partner_share+F353*in_life_term_ticket*in_life_term_renew_comm*in_ins_partner_share*(in_life_term_renew^1*SUMIFS(AL347:AL400,B347:B400,B353-12)+in_life_term_renew^2*SUMIFS(AL347:AL400,B347:B400,B353-24)+in_life_term_renew^3*SUMIFS(AL347:AL400,B347:B400,B353-36)+in_life_term_renew^4*SUMIFS(AL347:AL400,B347:B400,B353-48))</f>
        <v/>
      </c>
      <c r="AN353" s="40">
        <f>AN352*(1-IF(B352&gt;=in_marketplace_from,d_hz_accident*G352,0))</f>
        <v/>
      </c>
      <c r="AO353" s="46">
        <f>AN353*IF(B353&gt;=in_marketplace_from,d_hz_accident*G353,0)</f>
        <v/>
      </c>
      <c r="AP353" s="14">
        <f>F353*AO353*in_accident_ticket*in_accident_comm*in_ins_partner_share+F353*in_accident_ticket*in_accident_renew_comm*in_ins_partner_share*(in_accident_renew^1*SUMIFS(AO347:AO400,B347:B400,B353-12)+in_accident_renew^2*SUMIFS(AO347:AO400,B347:B400,B353-24)+in_accident_renew^3*SUMIFS(AO347:AO400,B347:B400,B353-36)+in_accident_renew^4*SUMIFS(AO347:AO400,B347:B400,B353-48))</f>
        <v/>
      </c>
      <c r="AQ353" s="40">
        <f>AQ352*(1-IF(B352&gt;=in_marketplace_from,d_hz_two_wheeler*G352,0))</f>
        <v/>
      </c>
      <c r="AR353" s="46">
        <f>AQ353*IF(B353&gt;=in_marketplace_from,d_hz_two_wheeler*G353,0)</f>
        <v/>
      </c>
      <c r="AS353" s="14">
        <f>F353*AR353*in_two_wheeler_ticket*in_two_wheeler_comm*in_ins_partner_share+F353*in_two_wheeler_ticket*in_two_wheeler_comm*in_ins_partner_share*(in_two_wheeler_renew^1*SUMIFS(AR347:AR400,B347:B400,B353-12)+in_two_wheeler_renew^2*SUMIFS(AR347:AR400,B347:B400,B353-24)+in_two_wheeler_renew^3*SUMIFS(AR347:AR400,B347:B400,B353-36)+in_two_wheeler_renew^4*SUMIFS(AR347:AR400,B347:B400,B353-48))</f>
        <v/>
      </c>
      <c r="AT353" s="40">
        <f>AT352*(1-IF(B352&gt;=in_marketplace_from,d_hz_device*G352,0))</f>
        <v/>
      </c>
      <c r="AU353" s="14">
        <f>F353*AT353*IF(B353&gt;=in_marketplace_from,d_hz_device*G353,0)*in_device_ticket*in_device_comm*in_ins_partner_share</f>
        <v/>
      </c>
      <c r="AV353" s="40">
        <f>AV352*(1-IF(B352&gt;=in_marketplace_from,d_hz_shop*G352,0))</f>
        <v/>
      </c>
      <c r="AW353" s="46">
        <f>AV353*IF(B353&gt;=in_marketplace_from,d_hz_shop*G353,0)</f>
        <v/>
      </c>
      <c r="AX353" s="14">
        <f>F353*AW353*in_shop_ticket*in_shop_comm*in_ins_partner_share+F353*in_shop_ticket*in_shop_renew_comm*in_ins_partner_share*(in_shop_renew^1*SUMIFS(AW347:AW400,B347:B400,B353-12)+in_shop_renew^2*SUMIFS(AW347:AW400,B347:B400,B353-24)+in_shop_renew^3*SUMIFS(AW347:AW400,B347:B400,B353-36)+in_shop_renew^4*SUMIFS(AW347:AW400,B347:B400,B353-48))</f>
        <v/>
      </c>
      <c r="AY353" s="40">
        <f>AY352*(1-IF(B352&gt;=in_marketplace_from,d_hz_sip*G352,0))</f>
        <v/>
      </c>
      <c r="AZ353" s="40">
        <f>AZ352*d_rho_sip+AY353*IF(B353&gt;=in_marketplace_from,d_hz_sip*G353,0)</f>
        <v/>
      </c>
      <c r="BA353" s="40">
        <f>d_rho_sip*(BA352+AZ352)</f>
        <v/>
      </c>
      <c r="BB353" s="14">
        <f>F353*in_sip_ticket*(BA353+0.5*AZ353)*in_sip_comm/12</f>
        <v/>
      </c>
      <c r="BC353" s="40">
        <f>BC352*(1-IF(B352&gt;=in_marketplace_from,d_hz_choti*G352,0))</f>
        <v/>
      </c>
      <c r="BD353" s="46">
        <f>BC353*IF(B353&gt;=in_marketplace_from,d_hz_choti*G353,0)</f>
        <v/>
      </c>
      <c r="BE353" s="14">
        <f>F353*SUMIFS(BD347:BD400,B347:B400,B353-in_choti_months)*in_choti_renew*in_choti_ticket</f>
        <v/>
      </c>
      <c r="BF353" s="40">
        <f>BF352*(1-IF(B352&gt;=in_marketplace_from,d_hz_nps*G352,0))</f>
        <v/>
      </c>
      <c r="BG353" s="14">
        <f>F353*BF353*IF(B353&gt;=in_marketplace_from,d_hz_nps*G353,0)*in_nps_ticket*in_nps_comm</f>
        <v/>
      </c>
      <c r="BH353" s="40">
        <f>BH352*(1-IF(B352&gt;=in_marketplace_from,d_hz_gold*G352,0))</f>
        <v/>
      </c>
      <c r="BI353" s="40">
        <f>BI352*d_rho_gold+BH353*IF(B353&gt;=in_marketplace_from,d_hz_gold*G353,0)</f>
        <v/>
      </c>
      <c r="BJ353" s="14">
        <f>F353*BI353*in_gold_ticket*in_gold_comm</f>
        <v/>
      </c>
      <c r="BK353" s="40">
        <f>BK352*(1-IF(B352&gt;=in_marketplace_from,d_hz_fd*G352,0))</f>
        <v/>
      </c>
      <c r="BL353" s="14">
        <f>F353*BK353*IF(B353&gt;=in_marketplace_from,d_hz_fd*G353,0)*in_fd_ticket*in_fd_comm</f>
        <v/>
      </c>
      <c r="BM353" s="40">
        <f>BM352*(1-IF(B352&gt;=in_marketplace_from,d_hz_recharge*G352,0))</f>
        <v/>
      </c>
      <c r="BN353" s="40">
        <f>BN352*d_rho_recharge+BM353*IF(B353&gt;=in_marketplace_from,d_hz_recharge*G353,0)</f>
        <v/>
      </c>
      <c r="BO353" s="14">
        <f>F353*BN353*in_recharge_ticket*in_recharge_comm/12</f>
        <v/>
      </c>
      <c r="BP353" s="40">
        <f>BP352*(1-IF(B352&gt;=in_marketplace_from,d_hz_bills*G352,0))</f>
        <v/>
      </c>
      <c r="BQ353" s="40">
        <f>BQ352*d_rho_bills+BP353*IF(B353&gt;=in_marketplace_from,d_hz_bills*G353,0)</f>
        <v/>
      </c>
      <c r="BR353" s="14">
        <f>F353*BQ353*in_bills_ticket*in_bills_comm/12</f>
        <v/>
      </c>
      <c r="BS353" s="40">
        <f>BS352*(1-IF(B352&gt;=in_marketplace_from,d_hz_loan_gold*G352,0))</f>
        <v/>
      </c>
      <c r="BT353" s="14">
        <f>F353*BS353*IF(B353&gt;=in_marketplace_from,d_hz_loan_gold*G353,0)*in_loan_gold_ticket*in_loan_gold_comm</f>
        <v/>
      </c>
      <c r="BU353" s="40">
        <f>BU352*(1-IF(B352&gt;=in_marketplace_from,d_hz_loan_cd*G352,0))</f>
        <v/>
      </c>
      <c r="BV353" s="14">
        <f>F353*BU353*IF(B353&gt;=in_marketplace_from,d_hz_loan_cd*G353,0)*in_loan_cd_ticket*in_loan_cd_comm</f>
        <v/>
      </c>
      <c r="BW353" s="40">
        <f>BW352*(1-IF(B352&gt;=in_marketplace_from,d_hz_loan_vehicle*G352,0))</f>
        <v/>
      </c>
      <c r="BX353" s="14">
        <f>F353*BW353*IF(B353&gt;=in_marketplace_from,d_hz_loan_vehicle*G353,0)*in_loan_vehicle_ticket*in_loan_vehicle_comm</f>
        <v/>
      </c>
      <c r="BY353" s="40">
        <f>BY352*(1-IF(B352&gt;=in_marketplace_from,d_hz_loan_home*G352,0)*BZ352)</f>
        <v/>
      </c>
      <c r="BZ353" s="11">
        <f>MIN(in_approval_cap,in_loan_home_approval*INDEX('Age profile'!$O$2:$O$61,B353)*(1+in_approval_growth)^(D353-1))</f>
        <v/>
      </c>
      <c r="CA353" s="14">
        <f>F353*BY353*IF(B353&gt;=in_marketplace_from,d_hz_loan_home*G353,0)*BZ353*in_loan_home_ticket*in_loan_home_comm</f>
        <v/>
      </c>
      <c r="CB353" s="40">
        <f>CB352*(1-IF(B352&gt;=in_marketplace_from,d_hz_loan_lap*G352,0)*CC352)</f>
        <v/>
      </c>
      <c r="CC353" s="11">
        <f>MIN(in_approval_cap,in_loan_lap_approval*INDEX('Age profile'!$O$2:$O$61,B353)*(1+in_approval_growth)^(D353-1))</f>
        <v/>
      </c>
      <c r="CD353" s="14">
        <f>F353*CB353*IF(B353&gt;=in_marketplace_from,d_hz_loan_lap*G353,0)*CC353*in_loan_lap_ticket*in_loan_lap_comm</f>
        <v/>
      </c>
      <c r="CE353" s="14">
        <f>AA353+AB353+AC353+AD353+AG353+AJ353+AM353+AP353+AS353+AU353+AX353+BB353+BE353+BG353+BJ353+BL353+BO353+BR353+BT353+BV353+BX353+CA353+CD353</f>
        <v/>
      </c>
    </row>
    <row r="354">
      <c r="A354" s="39" t="n">
        <v>7</v>
      </c>
      <c r="B354" s="39" t="n">
        <v>8</v>
      </c>
      <c r="C354" s="39">
        <f>A354+B354-1</f>
        <v/>
      </c>
      <c r="D354" s="39">
        <f>INT((C354-1)/12)+1</f>
        <v/>
      </c>
      <c r="E354" s="44">
        <f>INDEX(Monthly!$B$2:$B$61,A354)</f>
        <v/>
      </c>
      <c r="F354" s="44">
        <f>E354*INDEX('Age profile'!$B$2:$B$61,B354)</f>
        <v/>
      </c>
      <c r="G354" s="45">
        <f>MIN(in_takeup_cap,INDEX('Age profile'!$N$2:$N$61,B354)*(1+in_takeup_growth)^(D354-1))</f>
        <v/>
      </c>
      <c r="H354" s="11">
        <f>MIN(in_approval_cap,in_approved_first*INDEX('Age profile'!$O$2:$O$61,B354)*(1+in_approval_growth)^(D354-1))</f>
        <v/>
      </c>
      <c r="I354" s="45">
        <f>G354*MIN(in_takeup_cap,INDEX('Age profile'!$O$2:$O$61,B354)*(1+in_approval_growth)^(D354-1))</f>
        <v/>
      </c>
      <c r="J354" s="40">
        <f>(J353-L353)*F354/F353</f>
        <v/>
      </c>
      <c r="K354" s="40">
        <f>(K353-M353)*F354/F353+SUMIFS(O347:O353,B347:B353,B354-1-d_T)*F354</f>
        <v/>
      </c>
      <c r="L354" s="40">
        <f>IF(B354&gt;=in_marketplace_from,J354*d_hz*G354*in_eligible*H354,0)</f>
        <v/>
      </c>
      <c r="M354" s="40">
        <f>IF(B354&gt;=in_marketplace_from,K354*d_hz*G354*in_eligible*in_approved_repeat,0)</f>
        <v/>
      </c>
      <c r="N354" s="40">
        <f>L354+M354</f>
        <v/>
      </c>
      <c r="O354" s="46">
        <f>N354/F354</f>
        <v/>
      </c>
      <c r="P354" s="40">
        <f>F354-J354-K354</f>
        <v/>
      </c>
      <c r="Q354" s="40">
        <f>IF(B354&gt;=in_marketplace_from,(J354+K354)*d_hz*G354,0)</f>
        <v/>
      </c>
      <c r="R354" s="40">
        <f>SUMIFS(N347:N400,B347:B400,"&gt;="&amp;(B354-d_T),B347:B400,"&lt;="&amp;(B354-1))</f>
        <v/>
      </c>
      <c r="S354" s="46">
        <f>(1-d_u)*S353+IF(d_T&gt;in_topup_lag,SUMIFS(O347:O400,B347:B400,B354-in_topup_lag)-d_udrop*SUMIFS(O347:O400,B347:B400,B354-d_T),0)</f>
        <v/>
      </c>
      <c r="T354" s="40">
        <f>F354*d_u*S354</f>
        <v/>
      </c>
      <c r="U354" s="9">
        <f>L354*in_ticket+M354*d_rep_ticket</f>
        <v/>
      </c>
      <c r="V354" s="9">
        <f>U354+T354*d_topup_amt</f>
        <v/>
      </c>
      <c r="W354" s="40">
        <f>N354+T354*d_topup_ratio</f>
        <v/>
      </c>
      <c r="X354" s="40">
        <f>SUMIFS(W347:W400,B347:B400,B354-in_dpd_lag)*d_cured</f>
        <v/>
      </c>
      <c r="Y354" s="40">
        <f>SUMIFS(W347:W400,B347:B400,B354-in_rec_lag)*d_recd</f>
        <v/>
      </c>
      <c r="Z354" s="40">
        <f>IF(AND(B354&gt;=in_marketplace_from,B354&lt;in_marketplace_from+in_card_months),in_card_share/in_card_months*F354*I354,IF(AND(B354&gt;=in_marketplace_from+in_card_months,B354&lt;in_marketplace_from+2*in_card_months),in_card_share*d_card_rem/in_card_months*F354*MIN(in_takeup_cap,(1+in_takeup_growth)^(D354-1))*MIN(in_takeup_cap,(1+in_approval_growth)^(D354-1)),0))</f>
        <v/>
      </c>
      <c r="AA354" s="14">
        <f>V354*in_fee*(1-in_taken_back)</f>
        <v/>
      </c>
      <c r="AB354" s="14">
        <f>SUMIFS(W347:W400,B347:B400,B354-in_dpd_lag)*d_dpd</f>
        <v/>
      </c>
      <c r="AC354" s="14">
        <f>SUMIFS(W347:W400,B347:B400,B354-in_rec_lag)*d_rec</f>
        <v/>
      </c>
      <c r="AD354" s="14">
        <f>Z354*in_card_fee</f>
        <v/>
      </c>
      <c r="AE354" s="40">
        <f>AE353*(1-IF(B353&gt;=in_marketplace_from,d_hz_hlth_small*G353,0))</f>
        <v/>
      </c>
      <c r="AF354" s="46">
        <f>AE354*IF(B354&gt;=in_marketplace_from,d_hz_hlth_small*G354,0)</f>
        <v/>
      </c>
      <c r="AG354" s="14">
        <f>F354*AF354*in_hlth_small_ticket*in_hlth_small_comm*in_ins_partner_share+F354*in_hlth_small_ticket*in_hlth_small_renew_comm*in_ins_partner_share*(in_hlth_small_renew^1*SUMIFS(AF347:AF400,B347:B400,B354-12)+in_hlth_small_renew^2*SUMIFS(AF347:AF400,B347:B400,B354-24)+in_hlth_small_renew^3*SUMIFS(AF347:AF400,B347:B400,B354-36)+in_hlth_small_renew^4*SUMIFS(AF347:AF400,B347:B400,B354-48))</f>
        <v/>
      </c>
      <c r="AH354" s="40">
        <f>AH353*(1-IF(B353&gt;=in_marketplace_from,d_hz_hlth_family*G353,0))</f>
        <v/>
      </c>
      <c r="AI354" s="46">
        <f>AH354*IF(B354&gt;=in_marketplace_from,d_hz_hlth_family*G354,0)</f>
        <v/>
      </c>
      <c r="AJ354" s="14">
        <f>F354*AI354*in_hlth_family_ticket*in_hlth_family_comm*in_ins_partner_share+F354*in_hlth_family_ticket*in_hlth_family_renew_comm*in_ins_partner_share*(in_hlth_family_renew^1*SUMIFS(AI347:AI400,B347:B400,B354-12)+in_hlth_family_renew^2*SUMIFS(AI347:AI400,B347:B400,B354-24)+in_hlth_family_renew^3*SUMIFS(AI347:AI400,B347:B400,B354-36)+in_hlth_family_renew^4*SUMIFS(AI347:AI400,B347:B400,B354-48))</f>
        <v/>
      </c>
      <c r="AK354" s="40">
        <f>AK353*(1-IF(B353&gt;=in_marketplace_from,d_hz_life_term*G353,0))</f>
        <v/>
      </c>
      <c r="AL354" s="46">
        <f>AK354*IF(B354&gt;=in_marketplace_from,d_hz_life_term*G354,0)</f>
        <v/>
      </c>
      <c r="AM354" s="14">
        <f>F354*AL354*in_life_term_ticket*in_life_term_comm*in_ins_partner_share+F354*in_life_term_ticket*in_life_term_renew_comm*in_ins_partner_share*(in_life_term_renew^1*SUMIFS(AL347:AL400,B347:B400,B354-12)+in_life_term_renew^2*SUMIFS(AL347:AL400,B347:B400,B354-24)+in_life_term_renew^3*SUMIFS(AL347:AL400,B347:B400,B354-36)+in_life_term_renew^4*SUMIFS(AL347:AL400,B347:B400,B354-48))</f>
        <v/>
      </c>
      <c r="AN354" s="40">
        <f>AN353*(1-IF(B353&gt;=in_marketplace_from,d_hz_accident*G353,0))</f>
        <v/>
      </c>
      <c r="AO354" s="46">
        <f>AN354*IF(B354&gt;=in_marketplace_from,d_hz_accident*G354,0)</f>
        <v/>
      </c>
      <c r="AP354" s="14">
        <f>F354*AO354*in_accident_ticket*in_accident_comm*in_ins_partner_share+F354*in_accident_ticket*in_accident_renew_comm*in_ins_partner_share*(in_accident_renew^1*SUMIFS(AO347:AO400,B347:B400,B354-12)+in_accident_renew^2*SUMIFS(AO347:AO400,B347:B400,B354-24)+in_accident_renew^3*SUMIFS(AO347:AO400,B347:B400,B354-36)+in_accident_renew^4*SUMIFS(AO347:AO400,B347:B400,B354-48))</f>
        <v/>
      </c>
      <c r="AQ354" s="40">
        <f>AQ353*(1-IF(B353&gt;=in_marketplace_from,d_hz_two_wheeler*G353,0))</f>
        <v/>
      </c>
      <c r="AR354" s="46">
        <f>AQ354*IF(B354&gt;=in_marketplace_from,d_hz_two_wheeler*G354,0)</f>
        <v/>
      </c>
      <c r="AS354" s="14">
        <f>F354*AR354*in_two_wheeler_ticket*in_two_wheeler_comm*in_ins_partner_share+F354*in_two_wheeler_ticket*in_two_wheeler_comm*in_ins_partner_share*(in_two_wheeler_renew^1*SUMIFS(AR347:AR400,B347:B400,B354-12)+in_two_wheeler_renew^2*SUMIFS(AR347:AR400,B347:B400,B354-24)+in_two_wheeler_renew^3*SUMIFS(AR347:AR400,B347:B400,B354-36)+in_two_wheeler_renew^4*SUMIFS(AR347:AR400,B347:B400,B354-48))</f>
        <v/>
      </c>
      <c r="AT354" s="40">
        <f>AT353*(1-IF(B353&gt;=in_marketplace_from,d_hz_device*G353,0))</f>
        <v/>
      </c>
      <c r="AU354" s="14">
        <f>F354*AT354*IF(B354&gt;=in_marketplace_from,d_hz_device*G354,0)*in_device_ticket*in_device_comm*in_ins_partner_share</f>
        <v/>
      </c>
      <c r="AV354" s="40">
        <f>AV353*(1-IF(B353&gt;=in_marketplace_from,d_hz_shop*G353,0))</f>
        <v/>
      </c>
      <c r="AW354" s="46">
        <f>AV354*IF(B354&gt;=in_marketplace_from,d_hz_shop*G354,0)</f>
        <v/>
      </c>
      <c r="AX354" s="14">
        <f>F354*AW354*in_shop_ticket*in_shop_comm*in_ins_partner_share+F354*in_shop_ticket*in_shop_renew_comm*in_ins_partner_share*(in_shop_renew^1*SUMIFS(AW347:AW400,B347:B400,B354-12)+in_shop_renew^2*SUMIFS(AW347:AW400,B347:B400,B354-24)+in_shop_renew^3*SUMIFS(AW347:AW400,B347:B400,B354-36)+in_shop_renew^4*SUMIFS(AW347:AW400,B347:B400,B354-48))</f>
        <v/>
      </c>
      <c r="AY354" s="40">
        <f>AY353*(1-IF(B353&gt;=in_marketplace_from,d_hz_sip*G353,0))</f>
        <v/>
      </c>
      <c r="AZ354" s="40">
        <f>AZ353*d_rho_sip+AY354*IF(B354&gt;=in_marketplace_from,d_hz_sip*G354,0)</f>
        <v/>
      </c>
      <c r="BA354" s="40">
        <f>d_rho_sip*(BA353+AZ353)</f>
        <v/>
      </c>
      <c r="BB354" s="14">
        <f>F354*in_sip_ticket*(BA354+0.5*AZ354)*in_sip_comm/12</f>
        <v/>
      </c>
      <c r="BC354" s="40">
        <f>BC353*(1-IF(B353&gt;=in_marketplace_from,d_hz_choti*G353,0))</f>
        <v/>
      </c>
      <c r="BD354" s="46">
        <f>BC354*IF(B354&gt;=in_marketplace_from,d_hz_choti*G354,0)</f>
        <v/>
      </c>
      <c r="BE354" s="14">
        <f>F354*SUMIFS(BD347:BD400,B347:B400,B354-in_choti_months)*in_choti_renew*in_choti_ticket</f>
        <v/>
      </c>
      <c r="BF354" s="40">
        <f>BF353*(1-IF(B353&gt;=in_marketplace_from,d_hz_nps*G353,0))</f>
        <v/>
      </c>
      <c r="BG354" s="14">
        <f>F354*BF354*IF(B354&gt;=in_marketplace_from,d_hz_nps*G354,0)*in_nps_ticket*in_nps_comm</f>
        <v/>
      </c>
      <c r="BH354" s="40">
        <f>BH353*(1-IF(B353&gt;=in_marketplace_from,d_hz_gold*G353,0))</f>
        <v/>
      </c>
      <c r="BI354" s="40">
        <f>BI353*d_rho_gold+BH354*IF(B354&gt;=in_marketplace_from,d_hz_gold*G354,0)</f>
        <v/>
      </c>
      <c r="BJ354" s="14">
        <f>F354*BI354*in_gold_ticket*in_gold_comm</f>
        <v/>
      </c>
      <c r="BK354" s="40">
        <f>BK353*(1-IF(B353&gt;=in_marketplace_from,d_hz_fd*G353,0))</f>
        <v/>
      </c>
      <c r="BL354" s="14">
        <f>F354*BK354*IF(B354&gt;=in_marketplace_from,d_hz_fd*G354,0)*in_fd_ticket*in_fd_comm</f>
        <v/>
      </c>
      <c r="BM354" s="40">
        <f>BM353*(1-IF(B353&gt;=in_marketplace_from,d_hz_recharge*G353,0))</f>
        <v/>
      </c>
      <c r="BN354" s="40">
        <f>BN353*d_rho_recharge+BM354*IF(B354&gt;=in_marketplace_from,d_hz_recharge*G354,0)</f>
        <v/>
      </c>
      <c r="BO354" s="14">
        <f>F354*BN354*in_recharge_ticket*in_recharge_comm/12</f>
        <v/>
      </c>
      <c r="BP354" s="40">
        <f>BP353*(1-IF(B353&gt;=in_marketplace_from,d_hz_bills*G353,0))</f>
        <v/>
      </c>
      <c r="BQ354" s="40">
        <f>BQ353*d_rho_bills+BP354*IF(B354&gt;=in_marketplace_from,d_hz_bills*G354,0)</f>
        <v/>
      </c>
      <c r="BR354" s="14">
        <f>F354*BQ354*in_bills_ticket*in_bills_comm/12</f>
        <v/>
      </c>
      <c r="BS354" s="40">
        <f>BS353*(1-IF(B353&gt;=in_marketplace_from,d_hz_loan_gold*G353,0))</f>
        <v/>
      </c>
      <c r="BT354" s="14">
        <f>F354*BS354*IF(B354&gt;=in_marketplace_from,d_hz_loan_gold*G354,0)*in_loan_gold_ticket*in_loan_gold_comm</f>
        <v/>
      </c>
      <c r="BU354" s="40">
        <f>BU353*(1-IF(B353&gt;=in_marketplace_from,d_hz_loan_cd*G353,0))</f>
        <v/>
      </c>
      <c r="BV354" s="14">
        <f>F354*BU354*IF(B354&gt;=in_marketplace_from,d_hz_loan_cd*G354,0)*in_loan_cd_ticket*in_loan_cd_comm</f>
        <v/>
      </c>
      <c r="BW354" s="40">
        <f>BW353*(1-IF(B353&gt;=in_marketplace_from,d_hz_loan_vehicle*G353,0))</f>
        <v/>
      </c>
      <c r="BX354" s="14">
        <f>F354*BW354*IF(B354&gt;=in_marketplace_from,d_hz_loan_vehicle*G354,0)*in_loan_vehicle_ticket*in_loan_vehicle_comm</f>
        <v/>
      </c>
      <c r="BY354" s="40">
        <f>BY353*(1-IF(B353&gt;=in_marketplace_from,d_hz_loan_home*G353,0)*BZ353)</f>
        <v/>
      </c>
      <c r="BZ354" s="11">
        <f>MIN(in_approval_cap,in_loan_home_approval*INDEX('Age profile'!$O$2:$O$61,B354)*(1+in_approval_growth)^(D354-1))</f>
        <v/>
      </c>
      <c r="CA354" s="14">
        <f>F354*BY354*IF(B354&gt;=in_marketplace_from,d_hz_loan_home*G354,0)*BZ354*in_loan_home_ticket*in_loan_home_comm</f>
        <v/>
      </c>
      <c r="CB354" s="40">
        <f>CB353*(1-IF(B353&gt;=in_marketplace_from,d_hz_loan_lap*G353,0)*CC353)</f>
        <v/>
      </c>
      <c r="CC354" s="11">
        <f>MIN(in_approval_cap,in_loan_lap_approval*INDEX('Age profile'!$O$2:$O$61,B354)*(1+in_approval_growth)^(D354-1))</f>
        <v/>
      </c>
      <c r="CD354" s="14">
        <f>F354*CB354*IF(B354&gt;=in_marketplace_from,d_hz_loan_lap*G354,0)*CC354*in_loan_lap_ticket*in_loan_lap_comm</f>
        <v/>
      </c>
      <c r="CE354" s="14">
        <f>AA354+AB354+AC354+AD354+AG354+AJ354+AM354+AP354+AS354+AU354+AX354+BB354+BE354+BG354+BJ354+BL354+BO354+BR354+BT354+BV354+BX354+CA354+CD354</f>
        <v/>
      </c>
    </row>
    <row r="355">
      <c r="A355" s="39" t="n">
        <v>7</v>
      </c>
      <c r="B355" s="39" t="n">
        <v>9</v>
      </c>
      <c r="C355" s="39">
        <f>A355+B355-1</f>
        <v/>
      </c>
      <c r="D355" s="39">
        <f>INT((C355-1)/12)+1</f>
        <v/>
      </c>
      <c r="E355" s="44">
        <f>INDEX(Monthly!$B$2:$B$61,A355)</f>
        <v/>
      </c>
      <c r="F355" s="44">
        <f>E355*INDEX('Age profile'!$B$2:$B$61,B355)</f>
        <v/>
      </c>
      <c r="G355" s="45">
        <f>MIN(in_takeup_cap,INDEX('Age profile'!$N$2:$N$61,B355)*(1+in_takeup_growth)^(D355-1))</f>
        <v/>
      </c>
      <c r="H355" s="11">
        <f>MIN(in_approval_cap,in_approved_first*INDEX('Age profile'!$O$2:$O$61,B355)*(1+in_approval_growth)^(D355-1))</f>
        <v/>
      </c>
      <c r="I355" s="45">
        <f>G355*MIN(in_takeup_cap,INDEX('Age profile'!$O$2:$O$61,B355)*(1+in_approval_growth)^(D355-1))</f>
        <v/>
      </c>
      <c r="J355" s="40">
        <f>(J354-L354)*F355/F354</f>
        <v/>
      </c>
      <c r="K355" s="40">
        <f>(K354-M354)*F355/F354+SUMIFS(O347:O354,B347:B354,B355-1-d_T)*F355</f>
        <v/>
      </c>
      <c r="L355" s="40">
        <f>IF(B355&gt;=in_marketplace_from,J355*d_hz*G355*in_eligible*H355,0)</f>
        <v/>
      </c>
      <c r="M355" s="40">
        <f>IF(B355&gt;=in_marketplace_from,K355*d_hz*G355*in_eligible*in_approved_repeat,0)</f>
        <v/>
      </c>
      <c r="N355" s="40">
        <f>L355+M355</f>
        <v/>
      </c>
      <c r="O355" s="46">
        <f>N355/F355</f>
        <v/>
      </c>
      <c r="P355" s="40">
        <f>F355-J355-K355</f>
        <v/>
      </c>
      <c r="Q355" s="40">
        <f>IF(B355&gt;=in_marketplace_from,(J355+K355)*d_hz*G355,0)</f>
        <v/>
      </c>
      <c r="R355" s="40">
        <f>SUMIFS(N347:N400,B347:B400,"&gt;="&amp;(B355-d_T),B347:B400,"&lt;="&amp;(B355-1))</f>
        <v/>
      </c>
      <c r="S355" s="46">
        <f>(1-d_u)*S354+IF(d_T&gt;in_topup_lag,SUMIFS(O347:O400,B347:B400,B355-in_topup_lag)-d_udrop*SUMIFS(O347:O400,B347:B400,B355-d_T),0)</f>
        <v/>
      </c>
      <c r="T355" s="40">
        <f>F355*d_u*S355</f>
        <v/>
      </c>
      <c r="U355" s="9">
        <f>L355*in_ticket+M355*d_rep_ticket</f>
        <v/>
      </c>
      <c r="V355" s="9">
        <f>U355+T355*d_topup_amt</f>
        <v/>
      </c>
      <c r="W355" s="40">
        <f>N355+T355*d_topup_ratio</f>
        <v/>
      </c>
      <c r="X355" s="40">
        <f>SUMIFS(W347:W400,B347:B400,B355-in_dpd_lag)*d_cured</f>
        <v/>
      </c>
      <c r="Y355" s="40">
        <f>SUMIFS(W347:W400,B347:B400,B355-in_rec_lag)*d_recd</f>
        <v/>
      </c>
      <c r="Z355" s="40">
        <f>IF(AND(B355&gt;=in_marketplace_from,B355&lt;in_marketplace_from+in_card_months),in_card_share/in_card_months*F355*I355,IF(AND(B355&gt;=in_marketplace_from+in_card_months,B355&lt;in_marketplace_from+2*in_card_months),in_card_share*d_card_rem/in_card_months*F355*MIN(in_takeup_cap,(1+in_takeup_growth)^(D355-1))*MIN(in_takeup_cap,(1+in_approval_growth)^(D355-1)),0))</f>
        <v/>
      </c>
      <c r="AA355" s="14">
        <f>V355*in_fee*(1-in_taken_back)</f>
        <v/>
      </c>
      <c r="AB355" s="14">
        <f>SUMIFS(W347:W400,B347:B400,B355-in_dpd_lag)*d_dpd</f>
        <v/>
      </c>
      <c r="AC355" s="14">
        <f>SUMIFS(W347:W400,B347:B400,B355-in_rec_lag)*d_rec</f>
        <v/>
      </c>
      <c r="AD355" s="14">
        <f>Z355*in_card_fee</f>
        <v/>
      </c>
      <c r="AE355" s="40">
        <f>AE354*(1-IF(B354&gt;=in_marketplace_from,d_hz_hlth_small*G354,0))</f>
        <v/>
      </c>
      <c r="AF355" s="46">
        <f>AE355*IF(B355&gt;=in_marketplace_from,d_hz_hlth_small*G355,0)</f>
        <v/>
      </c>
      <c r="AG355" s="14">
        <f>F355*AF355*in_hlth_small_ticket*in_hlth_small_comm*in_ins_partner_share+F355*in_hlth_small_ticket*in_hlth_small_renew_comm*in_ins_partner_share*(in_hlth_small_renew^1*SUMIFS(AF347:AF400,B347:B400,B355-12)+in_hlth_small_renew^2*SUMIFS(AF347:AF400,B347:B400,B355-24)+in_hlth_small_renew^3*SUMIFS(AF347:AF400,B347:B400,B355-36)+in_hlth_small_renew^4*SUMIFS(AF347:AF400,B347:B400,B355-48))</f>
        <v/>
      </c>
      <c r="AH355" s="40">
        <f>AH354*(1-IF(B354&gt;=in_marketplace_from,d_hz_hlth_family*G354,0))</f>
        <v/>
      </c>
      <c r="AI355" s="46">
        <f>AH355*IF(B355&gt;=in_marketplace_from,d_hz_hlth_family*G355,0)</f>
        <v/>
      </c>
      <c r="AJ355" s="14">
        <f>F355*AI355*in_hlth_family_ticket*in_hlth_family_comm*in_ins_partner_share+F355*in_hlth_family_ticket*in_hlth_family_renew_comm*in_ins_partner_share*(in_hlth_family_renew^1*SUMIFS(AI347:AI400,B347:B400,B355-12)+in_hlth_family_renew^2*SUMIFS(AI347:AI400,B347:B400,B355-24)+in_hlth_family_renew^3*SUMIFS(AI347:AI400,B347:B400,B355-36)+in_hlth_family_renew^4*SUMIFS(AI347:AI400,B347:B400,B355-48))</f>
        <v/>
      </c>
      <c r="AK355" s="40">
        <f>AK354*(1-IF(B354&gt;=in_marketplace_from,d_hz_life_term*G354,0))</f>
        <v/>
      </c>
      <c r="AL355" s="46">
        <f>AK355*IF(B355&gt;=in_marketplace_from,d_hz_life_term*G355,0)</f>
        <v/>
      </c>
      <c r="AM355" s="14">
        <f>F355*AL355*in_life_term_ticket*in_life_term_comm*in_ins_partner_share+F355*in_life_term_ticket*in_life_term_renew_comm*in_ins_partner_share*(in_life_term_renew^1*SUMIFS(AL347:AL400,B347:B400,B355-12)+in_life_term_renew^2*SUMIFS(AL347:AL400,B347:B400,B355-24)+in_life_term_renew^3*SUMIFS(AL347:AL400,B347:B400,B355-36)+in_life_term_renew^4*SUMIFS(AL347:AL400,B347:B400,B355-48))</f>
        <v/>
      </c>
      <c r="AN355" s="40">
        <f>AN354*(1-IF(B354&gt;=in_marketplace_from,d_hz_accident*G354,0))</f>
        <v/>
      </c>
      <c r="AO355" s="46">
        <f>AN355*IF(B355&gt;=in_marketplace_from,d_hz_accident*G355,0)</f>
        <v/>
      </c>
      <c r="AP355" s="14">
        <f>F355*AO355*in_accident_ticket*in_accident_comm*in_ins_partner_share+F355*in_accident_ticket*in_accident_renew_comm*in_ins_partner_share*(in_accident_renew^1*SUMIFS(AO347:AO400,B347:B400,B355-12)+in_accident_renew^2*SUMIFS(AO347:AO400,B347:B400,B355-24)+in_accident_renew^3*SUMIFS(AO347:AO400,B347:B400,B355-36)+in_accident_renew^4*SUMIFS(AO347:AO400,B347:B400,B355-48))</f>
        <v/>
      </c>
      <c r="AQ355" s="40">
        <f>AQ354*(1-IF(B354&gt;=in_marketplace_from,d_hz_two_wheeler*G354,0))</f>
        <v/>
      </c>
      <c r="AR355" s="46">
        <f>AQ355*IF(B355&gt;=in_marketplace_from,d_hz_two_wheeler*G355,0)</f>
        <v/>
      </c>
      <c r="AS355" s="14">
        <f>F355*AR355*in_two_wheeler_ticket*in_two_wheeler_comm*in_ins_partner_share+F355*in_two_wheeler_ticket*in_two_wheeler_comm*in_ins_partner_share*(in_two_wheeler_renew^1*SUMIFS(AR347:AR400,B347:B400,B355-12)+in_two_wheeler_renew^2*SUMIFS(AR347:AR400,B347:B400,B355-24)+in_two_wheeler_renew^3*SUMIFS(AR347:AR400,B347:B400,B355-36)+in_two_wheeler_renew^4*SUMIFS(AR347:AR400,B347:B400,B355-48))</f>
        <v/>
      </c>
      <c r="AT355" s="40">
        <f>AT354*(1-IF(B354&gt;=in_marketplace_from,d_hz_device*G354,0))</f>
        <v/>
      </c>
      <c r="AU355" s="14">
        <f>F355*AT355*IF(B355&gt;=in_marketplace_from,d_hz_device*G355,0)*in_device_ticket*in_device_comm*in_ins_partner_share</f>
        <v/>
      </c>
      <c r="AV355" s="40">
        <f>AV354*(1-IF(B354&gt;=in_marketplace_from,d_hz_shop*G354,0))</f>
        <v/>
      </c>
      <c r="AW355" s="46">
        <f>AV355*IF(B355&gt;=in_marketplace_from,d_hz_shop*G355,0)</f>
        <v/>
      </c>
      <c r="AX355" s="14">
        <f>F355*AW355*in_shop_ticket*in_shop_comm*in_ins_partner_share+F355*in_shop_ticket*in_shop_renew_comm*in_ins_partner_share*(in_shop_renew^1*SUMIFS(AW347:AW400,B347:B400,B355-12)+in_shop_renew^2*SUMIFS(AW347:AW400,B347:B400,B355-24)+in_shop_renew^3*SUMIFS(AW347:AW400,B347:B400,B355-36)+in_shop_renew^4*SUMIFS(AW347:AW400,B347:B400,B355-48))</f>
        <v/>
      </c>
      <c r="AY355" s="40">
        <f>AY354*(1-IF(B354&gt;=in_marketplace_from,d_hz_sip*G354,0))</f>
        <v/>
      </c>
      <c r="AZ355" s="40">
        <f>AZ354*d_rho_sip+AY355*IF(B355&gt;=in_marketplace_from,d_hz_sip*G355,0)</f>
        <v/>
      </c>
      <c r="BA355" s="40">
        <f>d_rho_sip*(BA354+AZ354)</f>
        <v/>
      </c>
      <c r="BB355" s="14">
        <f>F355*in_sip_ticket*(BA355+0.5*AZ355)*in_sip_comm/12</f>
        <v/>
      </c>
      <c r="BC355" s="40">
        <f>BC354*(1-IF(B354&gt;=in_marketplace_from,d_hz_choti*G354,0))</f>
        <v/>
      </c>
      <c r="BD355" s="46">
        <f>BC355*IF(B355&gt;=in_marketplace_from,d_hz_choti*G355,0)</f>
        <v/>
      </c>
      <c r="BE355" s="14">
        <f>F355*SUMIFS(BD347:BD400,B347:B400,B355-in_choti_months)*in_choti_renew*in_choti_ticket</f>
        <v/>
      </c>
      <c r="BF355" s="40">
        <f>BF354*(1-IF(B354&gt;=in_marketplace_from,d_hz_nps*G354,0))</f>
        <v/>
      </c>
      <c r="BG355" s="14">
        <f>F355*BF355*IF(B355&gt;=in_marketplace_from,d_hz_nps*G355,0)*in_nps_ticket*in_nps_comm</f>
        <v/>
      </c>
      <c r="BH355" s="40">
        <f>BH354*(1-IF(B354&gt;=in_marketplace_from,d_hz_gold*G354,0))</f>
        <v/>
      </c>
      <c r="BI355" s="40">
        <f>BI354*d_rho_gold+BH355*IF(B355&gt;=in_marketplace_from,d_hz_gold*G355,0)</f>
        <v/>
      </c>
      <c r="BJ355" s="14">
        <f>F355*BI355*in_gold_ticket*in_gold_comm</f>
        <v/>
      </c>
      <c r="BK355" s="40">
        <f>BK354*(1-IF(B354&gt;=in_marketplace_from,d_hz_fd*G354,0))</f>
        <v/>
      </c>
      <c r="BL355" s="14">
        <f>F355*BK355*IF(B355&gt;=in_marketplace_from,d_hz_fd*G355,0)*in_fd_ticket*in_fd_comm</f>
        <v/>
      </c>
      <c r="BM355" s="40">
        <f>BM354*(1-IF(B354&gt;=in_marketplace_from,d_hz_recharge*G354,0))</f>
        <v/>
      </c>
      <c r="BN355" s="40">
        <f>BN354*d_rho_recharge+BM355*IF(B355&gt;=in_marketplace_from,d_hz_recharge*G355,0)</f>
        <v/>
      </c>
      <c r="BO355" s="14">
        <f>F355*BN355*in_recharge_ticket*in_recharge_comm/12</f>
        <v/>
      </c>
      <c r="BP355" s="40">
        <f>BP354*(1-IF(B354&gt;=in_marketplace_from,d_hz_bills*G354,0))</f>
        <v/>
      </c>
      <c r="BQ355" s="40">
        <f>BQ354*d_rho_bills+BP355*IF(B355&gt;=in_marketplace_from,d_hz_bills*G355,0)</f>
        <v/>
      </c>
      <c r="BR355" s="14">
        <f>F355*BQ355*in_bills_ticket*in_bills_comm/12</f>
        <v/>
      </c>
      <c r="BS355" s="40">
        <f>BS354*(1-IF(B354&gt;=in_marketplace_from,d_hz_loan_gold*G354,0))</f>
        <v/>
      </c>
      <c r="BT355" s="14">
        <f>F355*BS355*IF(B355&gt;=in_marketplace_from,d_hz_loan_gold*G355,0)*in_loan_gold_ticket*in_loan_gold_comm</f>
        <v/>
      </c>
      <c r="BU355" s="40">
        <f>BU354*(1-IF(B354&gt;=in_marketplace_from,d_hz_loan_cd*G354,0))</f>
        <v/>
      </c>
      <c r="BV355" s="14">
        <f>F355*BU355*IF(B355&gt;=in_marketplace_from,d_hz_loan_cd*G355,0)*in_loan_cd_ticket*in_loan_cd_comm</f>
        <v/>
      </c>
      <c r="BW355" s="40">
        <f>BW354*(1-IF(B354&gt;=in_marketplace_from,d_hz_loan_vehicle*G354,0))</f>
        <v/>
      </c>
      <c r="BX355" s="14">
        <f>F355*BW355*IF(B355&gt;=in_marketplace_from,d_hz_loan_vehicle*G355,0)*in_loan_vehicle_ticket*in_loan_vehicle_comm</f>
        <v/>
      </c>
      <c r="BY355" s="40">
        <f>BY354*(1-IF(B354&gt;=in_marketplace_from,d_hz_loan_home*G354,0)*BZ354)</f>
        <v/>
      </c>
      <c r="BZ355" s="11">
        <f>MIN(in_approval_cap,in_loan_home_approval*INDEX('Age profile'!$O$2:$O$61,B355)*(1+in_approval_growth)^(D355-1))</f>
        <v/>
      </c>
      <c r="CA355" s="14">
        <f>F355*BY355*IF(B355&gt;=in_marketplace_from,d_hz_loan_home*G355,0)*BZ355*in_loan_home_ticket*in_loan_home_comm</f>
        <v/>
      </c>
      <c r="CB355" s="40">
        <f>CB354*(1-IF(B354&gt;=in_marketplace_from,d_hz_loan_lap*G354,0)*CC354)</f>
        <v/>
      </c>
      <c r="CC355" s="11">
        <f>MIN(in_approval_cap,in_loan_lap_approval*INDEX('Age profile'!$O$2:$O$61,B355)*(1+in_approval_growth)^(D355-1))</f>
        <v/>
      </c>
      <c r="CD355" s="14">
        <f>F355*CB355*IF(B355&gt;=in_marketplace_from,d_hz_loan_lap*G355,0)*CC355*in_loan_lap_ticket*in_loan_lap_comm</f>
        <v/>
      </c>
      <c r="CE355" s="14">
        <f>AA355+AB355+AC355+AD355+AG355+AJ355+AM355+AP355+AS355+AU355+AX355+BB355+BE355+BG355+BJ355+BL355+BO355+BR355+BT355+BV355+BX355+CA355+CD355</f>
        <v/>
      </c>
    </row>
    <row r="356">
      <c r="A356" s="39" t="n">
        <v>7</v>
      </c>
      <c r="B356" s="39" t="n">
        <v>10</v>
      </c>
      <c r="C356" s="39">
        <f>A356+B356-1</f>
        <v/>
      </c>
      <c r="D356" s="39">
        <f>INT((C356-1)/12)+1</f>
        <v/>
      </c>
      <c r="E356" s="44">
        <f>INDEX(Monthly!$B$2:$B$61,A356)</f>
        <v/>
      </c>
      <c r="F356" s="44">
        <f>E356*INDEX('Age profile'!$B$2:$B$61,B356)</f>
        <v/>
      </c>
      <c r="G356" s="45">
        <f>MIN(in_takeup_cap,INDEX('Age profile'!$N$2:$N$61,B356)*(1+in_takeup_growth)^(D356-1))</f>
        <v/>
      </c>
      <c r="H356" s="11">
        <f>MIN(in_approval_cap,in_approved_first*INDEX('Age profile'!$O$2:$O$61,B356)*(1+in_approval_growth)^(D356-1))</f>
        <v/>
      </c>
      <c r="I356" s="45">
        <f>G356*MIN(in_takeup_cap,INDEX('Age profile'!$O$2:$O$61,B356)*(1+in_approval_growth)^(D356-1))</f>
        <v/>
      </c>
      <c r="J356" s="40">
        <f>(J355-L355)*F356/F355</f>
        <v/>
      </c>
      <c r="K356" s="40">
        <f>(K355-M355)*F356/F355+SUMIFS(O347:O355,B347:B355,B356-1-d_T)*F356</f>
        <v/>
      </c>
      <c r="L356" s="40">
        <f>IF(B356&gt;=in_marketplace_from,J356*d_hz*G356*in_eligible*H356,0)</f>
        <v/>
      </c>
      <c r="M356" s="40">
        <f>IF(B356&gt;=in_marketplace_from,K356*d_hz*G356*in_eligible*in_approved_repeat,0)</f>
        <v/>
      </c>
      <c r="N356" s="40">
        <f>L356+M356</f>
        <v/>
      </c>
      <c r="O356" s="46">
        <f>N356/F356</f>
        <v/>
      </c>
      <c r="P356" s="40">
        <f>F356-J356-K356</f>
        <v/>
      </c>
      <c r="Q356" s="40">
        <f>IF(B356&gt;=in_marketplace_from,(J356+K356)*d_hz*G356,0)</f>
        <v/>
      </c>
      <c r="R356" s="40">
        <f>SUMIFS(N347:N400,B347:B400,"&gt;="&amp;(B356-d_T),B347:B400,"&lt;="&amp;(B356-1))</f>
        <v/>
      </c>
      <c r="S356" s="46">
        <f>(1-d_u)*S355+IF(d_T&gt;in_topup_lag,SUMIFS(O347:O400,B347:B400,B356-in_topup_lag)-d_udrop*SUMIFS(O347:O400,B347:B400,B356-d_T),0)</f>
        <v/>
      </c>
      <c r="T356" s="40">
        <f>F356*d_u*S356</f>
        <v/>
      </c>
      <c r="U356" s="9">
        <f>L356*in_ticket+M356*d_rep_ticket</f>
        <v/>
      </c>
      <c r="V356" s="9">
        <f>U356+T356*d_topup_amt</f>
        <v/>
      </c>
      <c r="W356" s="40">
        <f>N356+T356*d_topup_ratio</f>
        <v/>
      </c>
      <c r="X356" s="40">
        <f>SUMIFS(W347:W400,B347:B400,B356-in_dpd_lag)*d_cured</f>
        <v/>
      </c>
      <c r="Y356" s="40">
        <f>SUMIFS(W347:W400,B347:B400,B356-in_rec_lag)*d_recd</f>
        <v/>
      </c>
      <c r="Z356" s="40">
        <f>IF(AND(B356&gt;=in_marketplace_from,B356&lt;in_marketplace_from+in_card_months),in_card_share/in_card_months*F356*I356,IF(AND(B356&gt;=in_marketplace_from+in_card_months,B356&lt;in_marketplace_from+2*in_card_months),in_card_share*d_card_rem/in_card_months*F356*MIN(in_takeup_cap,(1+in_takeup_growth)^(D356-1))*MIN(in_takeup_cap,(1+in_approval_growth)^(D356-1)),0))</f>
        <v/>
      </c>
      <c r="AA356" s="14">
        <f>V356*in_fee*(1-in_taken_back)</f>
        <v/>
      </c>
      <c r="AB356" s="14">
        <f>SUMIFS(W347:W400,B347:B400,B356-in_dpd_lag)*d_dpd</f>
        <v/>
      </c>
      <c r="AC356" s="14">
        <f>SUMIFS(W347:W400,B347:B400,B356-in_rec_lag)*d_rec</f>
        <v/>
      </c>
      <c r="AD356" s="14">
        <f>Z356*in_card_fee</f>
        <v/>
      </c>
      <c r="AE356" s="40">
        <f>AE355*(1-IF(B355&gt;=in_marketplace_from,d_hz_hlth_small*G355,0))</f>
        <v/>
      </c>
      <c r="AF356" s="46">
        <f>AE356*IF(B356&gt;=in_marketplace_from,d_hz_hlth_small*G356,0)</f>
        <v/>
      </c>
      <c r="AG356" s="14">
        <f>F356*AF356*in_hlth_small_ticket*in_hlth_small_comm*in_ins_partner_share+F356*in_hlth_small_ticket*in_hlth_small_renew_comm*in_ins_partner_share*(in_hlth_small_renew^1*SUMIFS(AF347:AF400,B347:B400,B356-12)+in_hlth_small_renew^2*SUMIFS(AF347:AF400,B347:B400,B356-24)+in_hlth_small_renew^3*SUMIFS(AF347:AF400,B347:B400,B356-36)+in_hlth_small_renew^4*SUMIFS(AF347:AF400,B347:B400,B356-48))</f>
        <v/>
      </c>
      <c r="AH356" s="40">
        <f>AH355*(1-IF(B355&gt;=in_marketplace_from,d_hz_hlth_family*G355,0))</f>
        <v/>
      </c>
      <c r="AI356" s="46">
        <f>AH356*IF(B356&gt;=in_marketplace_from,d_hz_hlth_family*G356,0)</f>
        <v/>
      </c>
      <c r="AJ356" s="14">
        <f>F356*AI356*in_hlth_family_ticket*in_hlth_family_comm*in_ins_partner_share+F356*in_hlth_family_ticket*in_hlth_family_renew_comm*in_ins_partner_share*(in_hlth_family_renew^1*SUMIFS(AI347:AI400,B347:B400,B356-12)+in_hlth_family_renew^2*SUMIFS(AI347:AI400,B347:B400,B356-24)+in_hlth_family_renew^3*SUMIFS(AI347:AI400,B347:B400,B356-36)+in_hlth_family_renew^4*SUMIFS(AI347:AI400,B347:B400,B356-48))</f>
        <v/>
      </c>
      <c r="AK356" s="40">
        <f>AK355*(1-IF(B355&gt;=in_marketplace_from,d_hz_life_term*G355,0))</f>
        <v/>
      </c>
      <c r="AL356" s="46">
        <f>AK356*IF(B356&gt;=in_marketplace_from,d_hz_life_term*G356,0)</f>
        <v/>
      </c>
      <c r="AM356" s="14">
        <f>F356*AL356*in_life_term_ticket*in_life_term_comm*in_ins_partner_share+F356*in_life_term_ticket*in_life_term_renew_comm*in_ins_partner_share*(in_life_term_renew^1*SUMIFS(AL347:AL400,B347:B400,B356-12)+in_life_term_renew^2*SUMIFS(AL347:AL400,B347:B400,B356-24)+in_life_term_renew^3*SUMIFS(AL347:AL400,B347:B400,B356-36)+in_life_term_renew^4*SUMIFS(AL347:AL400,B347:B400,B356-48))</f>
        <v/>
      </c>
      <c r="AN356" s="40">
        <f>AN355*(1-IF(B355&gt;=in_marketplace_from,d_hz_accident*G355,0))</f>
        <v/>
      </c>
      <c r="AO356" s="46">
        <f>AN356*IF(B356&gt;=in_marketplace_from,d_hz_accident*G356,0)</f>
        <v/>
      </c>
      <c r="AP356" s="14">
        <f>F356*AO356*in_accident_ticket*in_accident_comm*in_ins_partner_share+F356*in_accident_ticket*in_accident_renew_comm*in_ins_partner_share*(in_accident_renew^1*SUMIFS(AO347:AO400,B347:B400,B356-12)+in_accident_renew^2*SUMIFS(AO347:AO400,B347:B400,B356-24)+in_accident_renew^3*SUMIFS(AO347:AO400,B347:B400,B356-36)+in_accident_renew^4*SUMIFS(AO347:AO400,B347:B400,B356-48))</f>
        <v/>
      </c>
      <c r="AQ356" s="40">
        <f>AQ355*(1-IF(B355&gt;=in_marketplace_from,d_hz_two_wheeler*G355,0))</f>
        <v/>
      </c>
      <c r="AR356" s="46">
        <f>AQ356*IF(B356&gt;=in_marketplace_from,d_hz_two_wheeler*G356,0)</f>
        <v/>
      </c>
      <c r="AS356" s="14">
        <f>F356*AR356*in_two_wheeler_ticket*in_two_wheeler_comm*in_ins_partner_share+F356*in_two_wheeler_ticket*in_two_wheeler_comm*in_ins_partner_share*(in_two_wheeler_renew^1*SUMIFS(AR347:AR400,B347:B400,B356-12)+in_two_wheeler_renew^2*SUMIFS(AR347:AR400,B347:B400,B356-24)+in_two_wheeler_renew^3*SUMIFS(AR347:AR400,B347:B400,B356-36)+in_two_wheeler_renew^4*SUMIFS(AR347:AR400,B347:B400,B356-48))</f>
        <v/>
      </c>
      <c r="AT356" s="40">
        <f>AT355*(1-IF(B355&gt;=in_marketplace_from,d_hz_device*G355,0))</f>
        <v/>
      </c>
      <c r="AU356" s="14">
        <f>F356*AT356*IF(B356&gt;=in_marketplace_from,d_hz_device*G356,0)*in_device_ticket*in_device_comm*in_ins_partner_share</f>
        <v/>
      </c>
      <c r="AV356" s="40">
        <f>AV355*(1-IF(B355&gt;=in_marketplace_from,d_hz_shop*G355,0))</f>
        <v/>
      </c>
      <c r="AW356" s="46">
        <f>AV356*IF(B356&gt;=in_marketplace_from,d_hz_shop*G356,0)</f>
        <v/>
      </c>
      <c r="AX356" s="14">
        <f>F356*AW356*in_shop_ticket*in_shop_comm*in_ins_partner_share+F356*in_shop_ticket*in_shop_renew_comm*in_ins_partner_share*(in_shop_renew^1*SUMIFS(AW347:AW400,B347:B400,B356-12)+in_shop_renew^2*SUMIFS(AW347:AW400,B347:B400,B356-24)+in_shop_renew^3*SUMIFS(AW347:AW400,B347:B400,B356-36)+in_shop_renew^4*SUMIFS(AW347:AW400,B347:B400,B356-48))</f>
        <v/>
      </c>
      <c r="AY356" s="40">
        <f>AY355*(1-IF(B355&gt;=in_marketplace_from,d_hz_sip*G355,0))</f>
        <v/>
      </c>
      <c r="AZ356" s="40">
        <f>AZ355*d_rho_sip+AY356*IF(B356&gt;=in_marketplace_from,d_hz_sip*G356,0)</f>
        <v/>
      </c>
      <c r="BA356" s="40">
        <f>d_rho_sip*(BA355+AZ355)</f>
        <v/>
      </c>
      <c r="BB356" s="14">
        <f>F356*in_sip_ticket*(BA356+0.5*AZ356)*in_sip_comm/12</f>
        <v/>
      </c>
      <c r="BC356" s="40">
        <f>BC355*(1-IF(B355&gt;=in_marketplace_from,d_hz_choti*G355,0))</f>
        <v/>
      </c>
      <c r="BD356" s="46">
        <f>BC356*IF(B356&gt;=in_marketplace_from,d_hz_choti*G356,0)</f>
        <v/>
      </c>
      <c r="BE356" s="14">
        <f>F356*SUMIFS(BD347:BD400,B347:B400,B356-in_choti_months)*in_choti_renew*in_choti_ticket</f>
        <v/>
      </c>
      <c r="BF356" s="40">
        <f>BF355*(1-IF(B355&gt;=in_marketplace_from,d_hz_nps*G355,0))</f>
        <v/>
      </c>
      <c r="BG356" s="14">
        <f>F356*BF356*IF(B356&gt;=in_marketplace_from,d_hz_nps*G356,0)*in_nps_ticket*in_nps_comm</f>
        <v/>
      </c>
      <c r="BH356" s="40">
        <f>BH355*(1-IF(B355&gt;=in_marketplace_from,d_hz_gold*G355,0))</f>
        <v/>
      </c>
      <c r="BI356" s="40">
        <f>BI355*d_rho_gold+BH356*IF(B356&gt;=in_marketplace_from,d_hz_gold*G356,0)</f>
        <v/>
      </c>
      <c r="BJ356" s="14">
        <f>F356*BI356*in_gold_ticket*in_gold_comm</f>
        <v/>
      </c>
      <c r="BK356" s="40">
        <f>BK355*(1-IF(B355&gt;=in_marketplace_from,d_hz_fd*G355,0))</f>
        <v/>
      </c>
      <c r="BL356" s="14">
        <f>F356*BK356*IF(B356&gt;=in_marketplace_from,d_hz_fd*G356,0)*in_fd_ticket*in_fd_comm</f>
        <v/>
      </c>
      <c r="BM356" s="40">
        <f>BM355*(1-IF(B355&gt;=in_marketplace_from,d_hz_recharge*G355,0))</f>
        <v/>
      </c>
      <c r="BN356" s="40">
        <f>BN355*d_rho_recharge+BM356*IF(B356&gt;=in_marketplace_from,d_hz_recharge*G356,0)</f>
        <v/>
      </c>
      <c r="BO356" s="14">
        <f>F356*BN356*in_recharge_ticket*in_recharge_comm/12</f>
        <v/>
      </c>
      <c r="BP356" s="40">
        <f>BP355*(1-IF(B355&gt;=in_marketplace_from,d_hz_bills*G355,0))</f>
        <v/>
      </c>
      <c r="BQ356" s="40">
        <f>BQ355*d_rho_bills+BP356*IF(B356&gt;=in_marketplace_from,d_hz_bills*G356,0)</f>
        <v/>
      </c>
      <c r="BR356" s="14">
        <f>F356*BQ356*in_bills_ticket*in_bills_comm/12</f>
        <v/>
      </c>
      <c r="BS356" s="40">
        <f>BS355*(1-IF(B355&gt;=in_marketplace_from,d_hz_loan_gold*G355,0))</f>
        <v/>
      </c>
      <c r="BT356" s="14">
        <f>F356*BS356*IF(B356&gt;=in_marketplace_from,d_hz_loan_gold*G356,0)*in_loan_gold_ticket*in_loan_gold_comm</f>
        <v/>
      </c>
      <c r="BU356" s="40">
        <f>BU355*(1-IF(B355&gt;=in_marketplace_from,d_hz_loan_cd*G355,0))</f>
        <v/>
      </c>
      <c r="BV356" s="14">
        <f>F356*BU356*IF(B356&gt;=in_marketplace_from,d_hz_loan_cd*G356,0)*in_loan_cd_ticket*in_loan_cd_comm</f>
        <v/>
      </c>
      <c r="BW356" s="40">
        <f>BW355*(1-IF(B355&gt;=in_marketplace_from,d_hz_loan_vehicle*G355,0))</f>
        <v/>
      </c>
      <c r="BX356" s="14">
        <f>F356*BW356*IF(B356&gt;=in_marketplace_from,d_hz_loan_vehicle*G356,0)*in_loan_vehicle_ticket*in_loan_vehicle_comm</f>
        <v/>
      </c>
      <c r="BY356" s="40">
        <f>BY355*(1-IF(B355&gt;=in_marketplace_from,d_hz_loan_home*G355,0)*BZ355)</f>
        <v/>
      </c>
      <c r="BZ356" s="11">
        <f>MIN(in_approval_cap,in_loan_home_approval*INDEX('Age profile'!$O$2:$O$61,B356)*(1+in_approval_growth)^(D356-1))</f>
        <v/>
      </c>
      <c r="CA356" s="14">
        <f>F356*BY356*IF(B356&gt;=in_marketplace_from,d_hz_loan_home*G356,0)*BZ356*in_loan_home_ticket*in_loan_home_comm</f>
        <v/>
      </c>
      <c r="CB356" s="40">
        <f>CB355*(1-IF(B355&gt;=in_marketplace_from,d_hz_loan_lap*G355,0)*CC355)</f>
        <v/>
      </c>
      <c r="CC356" s="11">
        <f>MIN(in_approval_cap,in_loan_lap_approval*INDEX('Age profile'!$O$2:$O$61,B356)*(1+in_approval_growth)^(D356-1))</f>
        <v/>
      </c>
      <c r="CD356" s="14">
        <f>F356*CB356*IF(B356&gt;=in_marketplace_from,d_hz_loan_lap*G356,0)*CC356*in_loan_lap_ticket*in_loan_lap_comm</f>
        <v/>
      </c>
      <c r="CE356" s="14">
        <f>AA356+AB356+AC356+AD356+AG356+AJ356+AM356+AP356+AS356+AU356+AX356+BB356+BE356+BG356+BJ356+BL356+BO356+BR356+BT356+BV356+BX356+CA356+CD356</f>
        <v/>
      </c>
    </row>
    <row r="357">
      <c r="A357" s="39" t="n">
        <v>7</v>
      </c>
      <c r="B357" s="39" t="n">
        <v>11</v>
      </c>
      <c r="C357" s="39">
        <f>A357+B357-1</f>
        <v/>
      </c>
      <c r="D357" s="39">
        <f>INT((C357-1)/12)+1</f>
        <v/>
      </c>
      <c r="E357" s="44">
        <f>INDEX(Monthly!$B$2:$B$61,A357)</f>
        <v/>
      </c>
      <c r="F357" s="44">
        <f>E357*INDEX('Age profile'!$B$2:$B$61,B357)</f>
        <v/>
      </c>
      <c r="G357" s="45">
        <f>MIN(in_takeup_cap,INDEX('Age profile'!$N$2:$N$61,B357)*(1+in_takeup_growth)^(D357-1))</f>
        <v/>
      </c>
      <c r="H357" s="11">
        <f>MIN(in_approval_cap,in_approved_first*INDEX('Age profile'!$O$2:$O$61,B357)*(1+in_approval_growth)^(D357-1))</f>
        <v/>
      </c>
      <c r="I357" s="45">
        <f>G357*MIN(in_takeup_cap,INDEX('Age profile'!$O$2:$O$61,B357)*(1+in_approval_growth)^(D357-1))</f>
        <v/>
      </c>
      <c r="J357" s="40">
        <f>(J356-L356)*F357/F356</f>
        <v/>
      </c>
      <c r="K357" s="40">
        <f>(K356-M356)*F357/F356+SUMIFS(O347:O356,B347:B356,B357-1-d_T)*F357</f>
        <v/>
      </c>
      <c r="L357" s="40">
        <f>IF(B357&gt;=in_marketplace_from,J357*d_hz*G357*in_eligible*H357,0)</f>
        <v/>
      </c>
      <c r="M357" s="40">
        <f>IF(B357&gt;=in_marketplace_from,K357*d_hz*G357*in_eligible*in_approved_repeat,0)</f>
        <v/>
      </c>
      <c r="N357" s="40">
        <f>L357+M357</f>
        <v/>
      </c>
      <c r="O357" s="46">
        <f>N357/F357</f>
        <v/>
      </c>
      <c r="P357" s="40">
        <f>F357-J357-K357</f>
        <v/>
      </c>
      <c r="Q357" s="40">
        <f>IF(B357&gt;=in_marketplace_from,(J357+K357)*d_hz*G357,0)</f>
        <v/>
      </c>
      <c r="R357" s="40">
        <f>SUMIFS(N347:N400,B347:B400,"&gt;="&amp;(B357-d_T),B347:B400,"&lt;="&amp;(B357-1))</f>
        <v/>
      </c>
      <c r="S357" s="46">
        <f>(1-d_u)*S356+IF(d_T&gt;in_topup_lag,SUMIFS(O347:O400,B347:B400,B357-in_topup_lag)-d_udrop*SUMIFS(O347:O400,B347:B400,B357-d_T),0)</f>
        <v/>
      </c>
      <c r="T357" s="40">
        <f>F357*d_u*S357</f>
        <v/>
      </c>
      <c r="U357" s="9">
        <f>L357*in_ticket+M357*d_rep_ticket</f>
        <v/>
      </c>
      <c r="V357" s="9">
        <f>U357+T357*d_topup_amt</f>
        <v/>
      </c>
      <c r="W357" s="40">
        <f>N357+T357*d_topup_ratio</f>
        <v/>
      </c>
      <c r="X357" s="40">
        <f>SUMIFS(W347:W400,B347:B400,B357-in_dpd_lag)*d_cured</f>
        <v/>
      </c>
      <c r="Y357" s="40">
        <f>SUMIFS(W347:W400,B347:B400,B357-in_rec_lag)*d_recd</f>
        <v/>
      </c>
      <c r="Z357" s="40">
        <f>IF(AND(B357&gt;=in_marketplace_from,B357&lt;in_marketplace_from+in_card_months),in_card_share/in_card_months*F357*I357,IF(AND(B357&gt;=in_marketplace_from+in_card_months,B357&lt;in_marketplace_from+2*in_card_months),in_card_share*d_card_rem/in_card_months*F357*MIN(in_takeup_cap,(1+in_takeup_growth)^(D357-1))*MIN(in_takeup_cap,(1+in_approval_growth)^(D357-1)),0))</f>
        <v/>
      </c>
      <c r="AA357" s="14">
        <f>V357*in_fee*(1-in_taken_back)</f>
        <v/>
      </c>
      <c r="AB357" s="14">
        <f>SUMIFS(W347:W400,B347:B400,B357-in_dpd_lag)*d_dpd</f>
        <v/>
      </c>
      <c r="AC357" s="14">
        <f>SUMIFS(W347:W400,B347:B400,B357-in_rec_lag)*d_rec</f>
        <v/>
      </c>
      <c r="AD357" s="14">
        <f>Z357*in_card_fee</f>
        <v/>
      </c>
      <c r="AE357" s="40">
        <f>AE356*(1-IF(B356&gt;=in_marketplace_from,d_hz_hlth_small*G356,0))</f>
        <v/>
      </c>
      <c r="AF357" s="46">
        <f>AE357*IF(B357&gt;=in_marketplace_from,d_hz_hlth_small*G357,0)</f>
        <v/>
      </c>
      <c r="AG357" s="14">
        <f>F357*AF357*in_hlth_small_ticket*in_hlth_small_comm*in_ins_partner_share+F357*in_hlth_small_ticket*in_hlth_small_renew_comm*in_ins_partner_share*(in_hlth_small_renew^1*SUMIFS(AF347:AF400,B347:B400,B357-12)+in_hlth_small_renew^2*SUMIFS(AF347:AF400,B347:B400,B357-24)+in_hlth_small_renew^3*SUMIFS(AF347:AF400,B347:B400,B357-36)+in_hlth_small_renew^4*SUMIFS(AF347:AF400,B347:B400,B357-48))</f>
        <v/>
      </c>
      <c r="AH357" s="40">
        <f>AH356*(1-IF(B356&gt;=in_marketplace_from,d_hz_hlth_family*G356,0))</f>
        <v/>
      </c>
      <c r="AI357" s="46">
        <f>AH357*IF(B357&gt;=in_marketplace_from,d_hz_hlth_family*G357,0)</f>
        <v/>
      </c>
      <c r="AJ357" s="14">
        <f>F357*AI357*in_hlth_family_ticket*in_hlth_family_comm*in_ins_partner_share+F357*in_hlth_family_ticket*in_hlth_family_renew_comm*in_ins_partner_share*(in_hlth_family_renew^1*SUMIFS(AI347:AI400,B347:B400,B357-12)+in_hlth_family_renew^2*SUMIFS(AI347:AI400,B347:B400,B357-24)+in_hlth_family_renew^3*SUMIFS(AI347:AI400,B347:B400,B357-36)+in_hlth_family_renew^4*SUMIFS(AI347:AI400,B347:B400,B357-48))</f>
        <v/>
      </c>
      <c r="AK357" s="40">
        <f>AK356*(1-IF(B356&gt;=in_marketplace_from,d_hz_life_term*G356,0))</f>
        <v/>
      </c>
      <c r="AL357" s="46">
        <f>AK357*IF(B357&gt;=in_marketplace_from,d_hz_life_term*G357,0)</f>
        <v/>
      </c>
      <c r="AM357" s="14">
        <f>F357*AL357*in_life_term_ticket*in_life_term_comm*in_ins_partner_share+F357*in_life_term_ticket*in_life_term_renew_comm*in_ins_partner_share*(in_life_term_renew^1*SUMIFS(AL347:AL400,B347:B400,B357-12)+in_life_term_renew^2*SUMIFS(AL347:AL400,B347:B400,B357-24)+in_life_term_renew^3*SUMIFS(AL347:AL400,B347:B400,B357-36)+in_life_term_renew^4*SUMIFS(AL347:AL400,B347:B400,B357-48))</f>
        <v/>
      </c>
      <c r="AN357" s="40">
        <f>AN356*(1-IF(B356&gt;=in_marketplace_from,d_hz_accident*G356,0))</f>
        <v/>
      </c>
      <c r="AO357" s="46">
        <f>AN357*IF(B357&gt;=in_marketplace_from,d_hz_accident*G357,0)</f>
        <v/>
      </c>
      <c r="AP357" s="14">
        <f>F357*AO357*in_accident_ticket*in_accident_comm*in_ins_partner_share+F357*in_accident_ticket*in_accident_renew_comm*in_ins_partner_share*(in_accident_renew^1*SUMIFS(AO347:AO400,B347:B400,B357-12)+in_accident_renew^2*SUMIFS(AO347:AO400,B347:B400,B357-24)+in_accident_renew^3*SUMIFS(AO347:AO400,B347:B400,B357-36)+in_accident_renew^4*SUMIFS(AO347:AO400,B347:B400,B357-48))</f>
        <v/>
      </c>
      <c r="AQ357" s="40">
        <f>AQ356*(1-IF(B356&gt;=in_marketplace_from,d_hz_two_wheeler*G356,0))</f>
        <v/>
      </c>
      <c r="AR357" s="46">
        <f>AQ357*IF(B357&gt;=in_marketplace_from,d_hz_two_wheeler*G357,0)</f>
        <v/>
      </c>
      <c r="AS357" s="14">
        <f>F357*AR357*in_two_wheeler_ticket*in_two_wheeler_comm*in_ins_partner_share+F357*in_two_wheeler_ticket*in_two_wheeler_comm*in_ins_partner_share*(in_two_wheeler_renew^1*SUMIFS(AR347:AR400,B347:B400,B357-12)+in_two_wheeler_renew^2*SUMIFS(AR347:AR400,B347:B400,B357-24)+in_two_wheeler_renew^3*SUMIFS(AR347:AR400,B347:B400,B357-36)+in_two_wheeler_renew^4*SUMIFS(AR347:AR400,B347:B400,B357-48))</f>
        <v/>
      </c>
      <c r="AT357" s="40">
        <f>AT356*(1-IF(B356&gt;=in_marketplace_from,d_hz_device*G356,0))</f>
        <v/>
      </c>
      <c r="AU357" s="14">
        <f>F357*AT357*IF(B357&gt;=in_marketplace_from,d_hz_device*G357,0)*in_device_ticket*in_device_comm*in_ins_partner_share</f>
        <v/>
      </c>
      <c r="AV357" s="40">
        <f>AV356*(1-IF(B356&gt;=in_marketplace_from,d_hz_shop*G356,0))</f>
        <v/>
      </c>
      <c r="AW357" s="46">
        <f>AV357*IF(B357&gt;=in_marketplace_from,d_hz_shop*G357,0)</f>
        <v/>
      </c>
      <c r="AX357" s="14">
        <f>F357*AW357*in_shop_ticket*in_shop_comm*in_ins_partner_share+F357*in_shop_ticket*in_shop_renew_comm*in_ins_partner_share*(in_shop_renew^1*SUMIFS(AW347:AW400,B347:B400,B357-12)+in_shop_renew^2*SUMIFS(AW347:AW400,B347:B400,B357-24)+in_shop_renew^3*SUMIFS(AW347:AW400,B347:B400,B357-36)+in_shop_renew^4*SUMIFS(AW347:AW400,B347:B400,B357-48))</f>
        <v/>
      </c>
      <c r="AY357" s="40">
        <f>AY356*(1-IF(B356&gt;=in_marketplace_from,d_hz_sip*G356,0))</f>
        <v/>
      </c>
      <c r="AZ357" s="40">
        <f>AZ356*d_rho_sip+AY357*IF(B357&gt;=in_marketplace_from,d_hz_sip*G357,0)</f>
        <v/>
      </c>
      <c r="BA357" s="40">
        <f>d_rho_sip*(BA356+AZ356)</f>
        <v/>
      </c>
      <c r="BB357" s="14">
        <f>F357*in_sip_ticket*(BA357+0.5*AZ357)*in_sip_comm/12</f>
        <v/>
      </c>
      <c r="BC357" s="40">
        <f>BC356*(1-IF(B356&gt;=in_marketplace_from,d_hz_choti*G356,0))</f>
        <v/>
      </c>
      <c r="BD357" s="46">
        <f>BC357*IF(B357&gt;=in_marketplace_from,d_hz_choti*G357,0)</f>
        <v/>
      </c>
      <c r="BE357" s="14">
        <f>F357*SUMIFS(BD347:BD400,B347:B400,B357-in_choti_months)*in_choti_renew*in_choti_ticket</f>
        <v/>
      </c>
      <c r="BF357" s="40">
        <f>BF356*(1-IF(B356&gt;=in_marketplace_from,d_hz_nps*G356,0))</f>
        <v/>
      </c>
      <c r="BG357" s="14">
        <f>F357*BF357*IF(B357&gt;=in_marketplace_from,d_hz_nps*G357,0)*in_nps_ticket*in_nps_comm</f>
        <v/>
      </c>
      <c r="BH357" s="40">
        <f>BH356*(1-IF(B356&gt;=in_marketplace_from,d_hz_gold*G356,0))</f>
        <v/>
      </c>
      <c r="BI357" s="40">
        <f>BI356*d_rho_gold+BH357*IF(B357&gt;=in_marketplace_from,d_hz_gold*G357,0)</f>
        <v/>
      </c>
      <c r="BJ357" s="14">
        <f>F357*BI357*in_gold_ticket*in_gold_comm</f>
        <v/>
      </c>
      <c r="BK357" s="40">
        <f>BK356*(1-IF(B356&gt;=in_marketplace_from,d_hz_fd*G356,0))</f>
        <v/>
      </c>
      <c r="BL357" s="14">
        <f>F357*BK357*IF(B357&gt;=in_marketplace_from,d_hz_fd*G357,0)*in_fd_ticket*in_fd_comm</f>
        <v/>
      </c>
      <c r="BM357" s="40">
        <f>BM356*(1-IF(B356&gt;=in_marketplace_from,d_hz_recharge*G356,0))</f>
        <v/>
      </c>
      <c r="BN357" s="40">
        <f>BN356*d_rho_recharge+BM357*IF(B357&gt;=in_marketplace_from,d_hz_recharge*G357,0)</f>
        <v/>
      </c>
      <c r="BO357" s="14">
        <f>F357*BN357*in_recharge_ticket*in_recharge_comm/12</f>
        <v/>
      </c>
      <c r="BP357" s="40">
        <f>BP356*(1-IF(B356&gt;=in_marketplace_from,d_hz_bills*G356,0))</f>
        <v/>
      </c>
      <c r="BQ357" s="40">
        <f>BQ356*d_rho_bills+BP357*IF(B357&gt;=in_marketplace_from,d_hz_bills*G357,0)</f>
        <v/>
      </c>
      <c r="BR357" s="14">
        <f>F357*BQ357*in_bills_ticket*in_bills_comm/12</f>
        <v/>
      </c>
      <c r="BS357" s="40">
        <f>BS356*(1-IF(B356&gt;=in_marketplace_from,d_hz_loan_gold*G356,0))</f>
        <v/>
      </c>
      <c r="BT357" s="14">
        <f>F357*BS357*IF(B357&gt;=in_marketplace_from,d_hz_loan_gold*G357,0)*in_loan_gold_ticket*in_loan_gold_comm</f>
        <v/>
      </c>
      <c r="BU357" s="40">
        <f>BU356*(1-IF(B356&gt;=in_marketplace_from,d_hz_loan_cd*G356,0))</f>
        <v/>
      </c>
      <c r="BV357" s="14">
        <f>F357*BU357*IF(B357&gt;=in_marketplace_from,d_hz_loan_cd*G357,0)*in_loan_cd_ticket*in_loan_cd_comm</f>
        <v/>
      </c>
      <c r="BW357" s="40">
        <f>BW356*(1-IF(B356&gt;=in_marketplace_from,d_hz_loan_vehicle*G356,0))</f>
        <v/>
      </c>
      <c r="BX357" s="14">
        <f>F357*BW357*IF(B357&gt;=in_marketplace_from,d_hz_loan_vehicle*G357,0)*in_loan_vehicle_ticket*in_loan_vehicle_comm</f>
        <v/>
      </c>
      <c r="BY357" s="40">
        <f>BY356*(1-IF(B356&gt;=in_marketplace_from,d_hz_loan_home*G356,0)*BZ356)</f>
        <v/>
      </c>
      <c r="BZ357" s="11">
        <f>MIN(in_approval_cap,in_loan_home_approval*INDEX('Age profile'!$O$2:$O$61,B357)*(1+in_approval_growth)^(D357-1))</f>
        <v/>
      </c>
      <c r="CA357" s="14">
        <f>F357*BY357*IF(B357&gt;=in_marketplace_from,d_hz_loan_home*G357,0)*BZ357*in_loan_home_ticket*in_loan_home_comm</f>
        <v/>
      </c>
      <c r="CB357" s="40">
        <f>CB356*(1-IF(B356&gt;=in_marketplace_from,d_hz_loan_lap*G356,0)*CC356)</f>
        <v/>
      </c>
      <c r="CC357" s="11">
        <f>MIN(in_approval_cap,in_loan_lap_approval*INDEX('Age profile'!$O$2:$O$61,B357)*(1+in_approval_growth)^(D357-1))</f>
        <v/>
      </c>
      <c r="CD357" s="14">
        <f>F357*CB357*IF(B357&gt;=in_marketplace_from,d_hz_loan_lap*G357,0)*CC357*in_loan_lap_ticket*in_loan_lap_comm</f>
        <v/>
      </c>
      <c r="CE357" s="14">
        <f>AA357+AB357+AC357+AD357+AG357+AJ357+AM357+AP357+AS357+AU357+AX357+BB357+BE357+BG357+BJ357+BL357+BO357+BR357+BT357+BV357+BX357+CA357+CD357</f>
        <v/>
      </c>
    </row>
    <row r="358">
      <c r="A358" s="39" t="n">
        <v>7</v>
      </c>
      <c r="B358" s="39" t="n">
        <v>12</v>
      </c>
      <c r="C358" s="39">
        <f>A358+B358-1</f>
        <v/>
      </c>
      <c r="D358" s="39">
        <f>INT((C358-1)/12)+1</f>
        <v/>
      </c>
      <c r="E358" s="44">
        <f>INDEX(Monthly!$B$2:$B$61,A358)</f>
        <v/>
      </c>
      <c r="F358" s="44">
        <f>E358*INDEX('Age profile'!$B$2:$B$61,B358)</f>
        <v/>
      </c>
      <c r="G358" s="45">
        <f>MIN(in_takeup_cap,INDEX('Age profile'!$N$2:$N$61,B358)*(1+in_takeup_growth)^(D358-1))</f>
        <v/>
      </c>
      <c r="H358" s="11">
        <f>MIN(in_approval_cap,in_approved_first*INDEX('Age profile'!$O$2:$O$61,B358)*(1+in_approval_growth)^(D358-1))</f>
        <v/>
      </c>
      <c r="I358" s="45">
        <f>G358*MIN(in_takeup_cap,INDEX('Age profile'!$O$2:$O$61,B358)*(1+in_approval_growth)^(D358-1))</f>
        <v/>
      </c>
      <c r="J358" s="40">
        <f>(J357-L357)*F358/F357</f>
        <v/>
      </c>
      <c r="K358" s="40">
        <f>(K357-M357)*F358/F357+SUMIFS(O347:O357,B347:B357,B358-1-d_T)*F358</f>
        <v/>
      </c>
      <c r="L358" s="40">
        <f>IF(B358&gt;=in_marketplace_from,J358*d_hz*G358*in_eligible*H358,0)</f>
        <v/>
      </c>
      <c r="M358" s="40">
        <f>IF(B358&gt;=in_marketplace_from,K358*d_hz*G358*in_eligible*in_approved_repeat,0)</f>
        <v/>
      </c>
      <c r="N358" s="40">
        <f>L358+M358</f>
        <v/>
      </c>
      <c r="O358" s="46">
        <f>N358/F358</f>
        <v/>
      </c>
      <c r="P358" s="40">
        <f>F358-J358-K358</f>
        <v/>
      </c>
      <c r="Q358" s="40">
        <f>IF(B358&gt;=in_marketplace_from,(J358+K358)*d_hz*G358,0)</f>
        <v/>
      </c>
      <c r="R358" s="40">
        <f>SUMIFS(N347:N400,B347:B400,"&gt;="&amp;(B358-d_T),B347:B400,"&lt;="&amp;(B358-1))</f>
        <v/>
      </c>
      <c r="S358" s="46">
        <f>(1-d_u)*S357+IF(d_T&gt;in_topup_lag,SUMIFS(O347:O400,B347:B400,B358-in_topup_lag)-d_udrop*SUMIFS(O347:O400,B347:B400,B358-d_T),0)</f>
        <v/>
      </c>
      <c r="T358" s="40">
        <f>F358*d_u*S358</f>
        <v/>
      </c>
      <c r="U358" s="9">
        <f>L358*in_ticket+M358*d_rep_ticket</f>
        <v/>
      </c>
      <c r="V358" s="9">
        <f>U358+T358*d_topup_amt</f>
        <v/>
      </c>
      <c r="W358" s="40">
        <f>N358+T358*d_topup_ratio</f>
        <v/>
      </c>
      <c r="X358" s="40">
        <f>SUMIFS(W347:W400,B347:B400,B358-in_dpd_lag)*d_cured</f>
        <v/>
      </c>
      <c r="Y358" s="40">
        <f>SUMIFS(W347:W400,B347:B400,B358-in_rec_lag)*d_recd</f>
        <v/>
      </c>
      <c r="Z358" s="40">
        <f>IF(AND(B358&gt;=in_marketplace_from,B358&lt;in_marketplace_from+in_card_months),in_card_share/in_card_months*F358*I358,IF(AND(B358&gt;=in_marketplace_from+in_card_months,B358&lt;in_marketplace_from+2*in_card_months),in_card_share*d_card_rem/in_card_months*F358*MIN(in_takeup_cap,(1+in_takeup_growth)^(D358-1))*MIN(in_takeup_cap,(1+in_approval_growth)^(D358-1)),0))</f>
        <v/>
      </c>
      <c r="AA358" s="14">
        <f>V358*in_fee*(1-in_taken_back)</f>
        <v/>
      </c>
      <c r="AB358" s="14">
        <f>SUMIFS(W347:W400,B347:B400,B358-in_dpd_lag)*d_dpd</f>
        <v/>
      </c>
      <c r="AC358" s="14">
        <f>SUMIFS(W347:W400,B347:B400,B358-in_rec_lag)*d_rec</f>
        <v/>
      </c>
      <c r="AD358" s="14">
        <f>Z358*in_card_fee</f>
        <v/>
      </c>
      <c r="AE358" s="40">
        <f>AE357*(1-IF(B357&gt;=in_marketplace_from,d_hz_hlth_small*G357,0))</f>
        <v/>
      </c>
      <c r="AF358" s="46">
        <f>AE358*IF(B358&gt;=in_marketplace_from,d_hz_hlth_small*G358,0)</f>
        <v/>
      </c>
      <c r="AG358" s="14">
        <f>F358*AF358*in_hlth_small_ticket*in_hlth_small_comm*in_ins_partner_share+F358*in_hlth_small_ticket*in_hlth_small_renew_comm*in_ins_partner_share*(in_hlth_small_renew^1*SUMIFS(AF347:AF400,B347:B400,B358-12)+in_hlth_small_renew^2*SUMIFS(AF347:AF400,B347:B400,B358-24)+in_hlth_small_renew^3*SUMIFS(AF347:AF400,B347:B400,B358-36)+in_hlth_small_renew^4*SUMIFS(AF347:AF400,B347:B400,B358-48))</f>
        <v/>
      </c>
      <c r="AH358" s="40">
        <f>AH357*(1-IF(B357&gt;=in_marketplace_from,d_hz_hlth_family*G357,0))</f>
        <v/>
      </c>
      <c r="AI358" s="46">
        <f>AH358*IF(B358&gt;=in_marketplace_from,d_hz_hlth_family*G358,0)</f>
        <v/>
      </c>
      <c r="AJ358" s="14">
        <f>F358*AI358*in_hlth_family_ticket*in_hlth_family_comm*in_ins_partner_share+F358*in_hlth_family_ticket*in_hlth_family_renew_comm*in_ins_partner_share*(in_hlth_family_renew^1*SUMIFS(AI347:AI400,B347:B400,B358-12)+in_hlth_family_renew^2*SUMIFS(AI347:AI400,B347:B400,B358-24)+in_hlth_family_renew^3*SUMIFS(AI347:AI400,B347:B400,B358-36)+in_hlth_family_renew^4*SUMIFS(AI347:AI400,B347:B400,B358-48))</f>
        <v/>
      </c>
      <c r="AK358" s="40">
        <f>AK357*(1-IF(B357&gt;=in_marketplace_from,d_hz_life_term*G357,0))</f>
        <v/>
      </c>
      <c r="AL358" s="46">
        <f>AK358*IF(B358&gt;=in_marketplace_from,d_hz_life_term*G358,0)</f>
        <v/>
      </c>
      <c r="AM358" s="14">
        <f>F358*AL358*in_life_term_ticket*in_life_term_comm*in_ins_partner_share+F358*in_life_term_ticket*in_life_term_renew_comm*in_ins_partner_share*(in_life_term_renew^1*SUMIFS(AL347:AL400,B347:B400,B358-12)+in_life_term_renew^2*SUMIFS(AL347:AL400,B347:B400,B358-24)+in_life_term_renew^3*SUMIFS(AL347:AL400,B347:B400,B358-36)+in_life_term_renew^4*SUMIFS(AL347:AL400,B347:B400,B358-48))</f>
        <v/>
      </c>
      <c r="AN358" s="40">
        <f>AN357*(1-IF(B357&gt;=in_marketplace_from,d_hz_accident*G357,0))</f>
        <v/>
      </c>
      <c r="AO358" s="46">
        <f>AN358*IF(B358&gt;=in_marketplace_from,d_hz_accident*G358,0)</f>
        <v/>
      </c>
      <c r="AP358" s="14">
        <f>F358*AO358*in_accident_ticket*in_accident_comm*in_ins_partner_share+F358*in_accident_ticket*in_accident_renew_comm*in_ins_partner_share*(in_accident_renew^1*SUMIFS(AO347:AO400,B347:B400,B358-12)+in_accident_renew^2*SUMIFS(AO347:AO400,B347:B400,B358-24)+in_accident_renew^3*SUMIFS(AO347:AO400,B347:B400,B358-36)+in_accident_renew^4*SUMIFS(AO347:AO400,B347:B400,B358-48))</f>
        <v/>
      </c>
      <c r="AQ358" s="40">
        <f>AQ357*(1-IF(B357&gt;=in_marketplace_from,d_hz_two_wheeler*G357,0))</f>
        <v/>
      </c>
      <c r="AR358" s="46">
        <f>AQ358*IF(B358&gt;=in_marketplace_from,d_hz_two_wheeler*G358,0)</f>
        <v/>
      </c>
      <c r="AS358" s="14">
        <f>F358*AR358*in_two_wheeler_ticket*in_two_wheeler_comm*in_ins_partner_share+F358*in_two_wheeler_ticket*in_two_wheeler_comm*in_ins_partner_share*(in_two_wheeler_renew^1*SUMIFS(AR347:AR400,B347:B400,B358-12)+in_two_wheeler_renew^2*SUMIFS(AR347:AR400,B347:B400,B358-24)+in_two_wheeler_renew^3*SUMIFS(AR347:AR400,B347:B400,B358-36)+in_two_wheeler_renew^4*SUMIFS(AR347:AR400,B347:B400,B358-48))</f>
        <v/>
      </c>
      <c r="AT358" s="40">
        <f>AT357*(1-IF(B357&gt;=in_marketplace_from,d_hz_device*G357,0))</f>
        <v/>
      </c>
      <c r="AU358" s="14">
        <f>F358*AT358*IF(B358&gt;=in_marketplace_from,d_hz_device*G358,0)*in_device_ticket*in_device_comm*in_ins_partner_share</f>
        <v/>
      </c>
      <c r="AV358" s="40">
        <f>AV357*(1-IF(B357&gt;=in_marketplace_from,d_hz_shop*G357,0))</f>
        <v/>
      </c>
      <c r="AW358" s="46">
        <f>AV358*IF(B358&gt;=in_marketplace_from,d_hz_shop*G358,0)</f>
        <v/>
      </c>
      <c r="AX358" s="14">
        <f>F358*AW358*in_shop_ticket*in_shop_comm*in_ins_partner_share+F358*in_shop_ticket*in_shop_renew_comm*in_ins_partner_share*(in_shop_renew^1*SUMIFS(AW347:AW400,B347:B400,B358-12)+in_shop_renew^2*SUMIFS(AW347:AW400,B347:B400,B358-24)+in_shop_renew^3*SUMIFS(AW347:AW400,B347:B400,B358-36)+in_shop_renew^4*SUMIFS(AW347:AW400,B347:B400,B358-48))</f>
        <v/>
      </c>
      <c r="AY358" s="40">
        <f>AY357*(1-IF(B357&gt;=in_marketplace_from,d_hz_sip*G357,0))</f>
        <v/>
      </c>
      <c r="AZ358" s="40">
        <f>AZ357*d_rho_sip+AY358*IF(B358&gt;=in_marketplace_from,d_hz_sip*G358,0)</f>
        <v/>
      </c>
      <c r="BA358" s="40">
        <f>d_rho_sip*(BA357+AZ357)</f>
        <v/>
      </c>
      <c r="BB358" s="14">
        <f>F358*in_sip_ticket*(BA358+0.5*AZ358)*in_sip_comm/12</f>
        <v/>
      </c>
      <c r="BC358" s="40">
        <f>BC357*(1-IF(B357&gt;=in_marketplace_from,d_hz_choti*G357,0))</f>
        <v/>
      </c>
      <c r="BD358" s="46">
        <f>BC358*IF(B358&gt;=in_marketplace_from,d_hz_choti*G358,0)</f>
        <v/>
      </c>
      <c r="BE358" s="14">
        <f>F358*SUMIFS(BD347:BD400,B347:B400,B358-in_choti_months)*in_choti_renew*in_choti_ticket</f>
        <v/>
      </c>
      <c r="BF358" s="40">
        <f>BF357*(1-IF(B357&gt;=in_marketplace_from,d_hz_nps*G357,0))</f>
        <v/>
      </c>
      <c r="BG358" s="14">
        <f>F358*BF358*IF(B358&gt;=in_marketplace_from,d_hz_nps*G358,0)*in_nps_ticket*in_nps_comm</f>
        <v/>
      </c>
      <c r="BH358" s="40">
        <f>BH357*(1-IF(B357&gt;=in_marketplace_from,d_hz_gold*G357,0))</f>
        <v/>
      </c>
      <c r="BI358" s="40">
        <f>BI357*d_rho_gold+BH358*IF(B358&gt;=in_marketplace_from,d_hz_gold*G358,0)</f>
        <v/>
      </c>
      <c r="BJ358" s="14">
        <f>F358*BI358*in_gold_ticket*in_gold_comm</f>
        <v/>
      </c>
      <c r="BK358" s="40">
        <f>BK357*(1-IF(B357&gt;=in_marketplace_from,d_hz_fd*G357,0))</f>
        <v/>
      </c>
      <c r="BL358" s="14">
        <f>F358*BK358*IF(B358&gt;=in_marketplace_from,d_hz_fd*G358,0)*in_fd_ticket*in_fd_comm</f>
        <v/>
      </c>
      <c r="BM358" s="40">
        <f>BM357*(1-IF(B357&gt;=in_marketplace_from,d_hz_recharge*G357,0))</f>
        <v/>
      </c>
      <c r="BN358" s="40">
        <f>BN357*d_rho_recharge+BM358*IF(B358&gt;=in_marketplace_from,d_hz_recharge*G358,0)</f>
        <v/>
      </c>
      <c r="BO358" s="14">
        <f>F358*BN358*in_recharge_ticket*in_recharge_comm/12</f>
        <v/>
      </c>
      <c r="BP358" s="40">
        <f>BP357*(1-IF(B357&gt;=in_marketplace_from,d_hz_bills*G357,0))</f>
        <v/>
      </c>
      <c r="BQ358" s="40">
        <f>BQ357*d_rho_bills+BP358*IF(B358&gt;=in_marketplace_from,d_hz_bills*G358,0)</f>
        <v/>
      </c>
      <c r="BR358" s="14">
        <f>F358*BQ358*in_bills_ticket*in_bills_comm/12</f>
        <v/>
      </c>
      <c r="BS358" s="40">
        <f>BS357*(1-IF(B357&gt;=in_marketplace_from,d_hz_loan_gold*G357,0))</f>
        <v/>
      </c>
      <c r="BT358" s="14">
        <f>F358*BS358*IF(B358&gt;=in_marketplace_from,d_hz_loan_gold*G358,0)*in_loan_gold_ticket*in_loan_gold_comm</f>
        <v/>
      </c>
      <c r="BU358" s="40">
        <f>BU357*(1-IF(B357&gt;=in_marketplace_from,d_hz_loan_cd*G357,0))</f>
        <v/>
      </c>
      <c r="BV358" s="14">
        <f>F358*BU358*IF(B358&gt;=in_marketplace_from,d_hz_loan_cd*G358,0)*in_loan_cd_ticket*in_loan_cd_comm</f>
        <v/>
      </c>
      <c r="BW358" s="40">
        <f>BW357*(1-IF(B357&gt;=in_marketplace_from,d_hz_loan_vehicle*G357,0))</f>
        <v/>
      </c>
      <c r="BX358" s="14">
        <f>F358*BW358*IF(B358&gt;=in_marketplace_from,d_hz_loan_vehicle*G358,0)*in_loan_vehicle_ticket*in_loan_vehicle_comm</f>
        <v/>
      </c>
      <c r="BY358" s="40">
        <f>BY357*(1-IF(B357&gt;=in_marketplace_from,d_hz_loan_home*G357,0)*BZ357)</f>
        <v/>
      </c>
      <c r="BZ358" s="11">
        <f>MIN(in_approval_cap,in_loan_home_approval*INDEX('Age profile'!$O$2:$O$61,B358)*(1+in_approval_growth)^(D358-1))</f>
        <v/>
      </c>
      <c r="CA358" s="14">
        <f>F358*BY358*IF(B358&gt;=in_marketplace_from,d_hz_loan_home*G358,0)*BZ358*in_loan_home_ticket*in_loan_home_comm</f>
        <v/>
      </c>
      <c r="CB358" s="40">
        <f>CB357*(1-IF(B357&gt;=in_marketplace_from,d_hz_loan_lap*G357,0)*CC357)</f>
        <v/>
      </c>
      <c r="CC358" s="11">
        <f>MIN(in_approval_cap,in_loan_lap_approval*INDEX('Age profile'!$O$2:$O$61,B358)*(1+in_approval_growth)^(D358-1))</f>
        <v/>
      </c>
      <c r="CD358" s="14">
        <f>F358*CB358*IF(B358&gt;=in_marketplace_from,d_hz_loan_lap*G358,0)*CC358*in_loan_lap_ticket*in_loan_lap_comm</f>
        <v/>
      </c>
      <c r="CE358" s="14">
        <f>AA358+AB358+AC358+AD358+AG358+AJ358+AM358+AP358+AS358+AU358+AX358+BB358+BE358+BG358+BJ358+BL358+BO358+BR358+BT358+BV358+BX358+CA358+CD358</f>
        <v/>
      </c>
    </row>
    <row r="359">
      <c r="A359" s="39" t="n">
        <v>7</v>
      </c>
      <c r="B359" s="39" t="n">
        <v>13</v>
      </c>
      <c r="C359" s="39">
        <f>A359+B359-1</f>
        <v/>
      </c>
      <c r="D359" s="39">
        <f>INT((C359-1)/12)+1</f>
        <v/>
      </c>
      <c r="E359" s="44">
        <f>INDEX(Monthly!$B$2:$B$61,A359)</f>
        <v/>
      </c>
      <c r="F359" s="44">
        <f>E359*INDEX('Age profile'!$B$2:$B$61,B359)</f>
        <v/>
      </c>
      <c r="G359" s="45">
        <f>MIN(in_takeup_cap,INDEX('Age profile'!$N$2:$N$61,B359)*(1+in_takeup_growth)^(D359-1))</f>
        <v/>
      </c>
      <c r="H359" s="11">
        <f>MIN(in_approval_cap,in_approved_first*INDEX('Age profile'!$O$2:$O$61,B359)*(1+in_approval_growth)^(D359-1))</f>
        <v/>
      </c>
      <c r="I359" s="45">
        <f>G359*MIN(in_takeup_cap,INDEX('Age profile'!$O$2:$O$61,B359)*(1+in_approval_growth)^(D359-1))</f>
        <v/>
      </c>
      <c r="J359" s="40">
        <f>(J358-L358)*F359/F358</f>
        <v/>
      </c>
      <c r="K359" s="40">
        <f>(K358-M358)*F359/F358+SUMIFS(O347:O358,B347:B358,B359-1-d_T)*F359</f>
        <v/>
      </c>
      <c r="L359" s="40">
        <f>IF(B359&gt;=in_marketplace_from,J359*d_hz*G359*in_eligible*H359,0)</f>
        <v/>
      </c>
      <c r="M359" s="40">
        <f>IF(B359&gt;=in_marketplace_from,K359*d_hz*G359*in_eligible*in_approved_repeat,0)</f>
        <v/>
      </c>
      <c r="N359" s="40">
        <f>L359+M359</f>
        <v/>
      </c>
      <c r="O359" s="46">
        <f>N359/F359</f>
        <v/>
      </c>
      <c r="P359" s="40">
        <f>F359-J359-K359</f>
        <v/>
      </c>
      <c r="Q359" s="40">
        <f>IF(B359&gt;=in_marketplace_from,(J359+K359)*d_hz*G359,0)</f>
        <v/>
      </c>
      <c r="R359" s="40">
        <f>SUMIFS(N347:N400,B347:B400,"&gt;="&amp;(B359-d_T),B347:B400,"&lt;="&amp;(B359-1))</f>
        <v/>
      </c>
      <c r="S359" s="46">
        <f>(1-d_u)*S358+IF(d_T&gt;in_topup_lag,SUMIFS(O347:O400,B347:B400,B359-in_topup_lag)-d_udrop*SUMIFS(O347:O400,B347:B400,B359-d_T),0)</f>
        <v/>
      </c>
      <c r="T359" s="40">
        <f>F359*d_u*S359</f>
        <v/>
      </c>
      <c r="U359" s="9">
        <f>L359*in_ticket+M359*d_rep_ticket</f>
        <v/>
      </c>
      <c r="V359" s="9">
        <f>U359+T359*d_topup_amt</f>
        <v/>
      </c>
      <c r="W359" s="40">
        <f>N359+T359*d_topup_ratio</f>
        <v/>
      </c>
      <c r="X359" s="40">
        <f>SUMIFS(W347:W400,B347:B400,B359-in_dpd_lag)*d_cured</f>
        <v/>
      </c>
      <c r="Y359" s="40">
        <f>SUMIFS(W347:W400,B347:B400,B359-in_rec_lag)*d_recd</f>
        <v/>
      </c>
      <c r="Z359" s="40">
        <f>IF(AND(B359&gt;=in_marketplace_from,B359&lt;in_marketplace_from+in_card_months),in_card_share/in_card_months*F359*I359,IF(AND(B359&gt;=in_marketplace_from+in_card_months,B359&lt;in_marketplace_from+2*in_card_months),in_card_share*d_card_rem/in_card_months*F359*MIN(in_takeup_cap,(1+in_takeup_growth)^(D359-1))*MIN(in_takeup_cap,(1+in_approval_growth)^(D359-1)),0))</f>
        <v/>
      </c>
      <c r="AA359" s="14">
        <f>V359*in_fee*(1-in_taken_back)</f>
        <v/>
      </c>
      <c r="AB359" s="14">
        <f>SUMIFS(W347:W400,B347:B400,B359-in_dpd_lag)*d_dpd</f>
        <v/>
      </c>
      <c r="AC359" s="14">
        <f>SUMIFS(W347:W400,B347:B400,B359-in_rec_lag)*d_rec</f>
        <v/>
      </c>
      <c r="AD359" s="14">
        <f>Z359*in_card_fee</f>
        <v/>
      </c>
      <c r="AE359" s="40">
        <f>AE358*(1-IF(B358&gt;=in_marketplace_from,d_hz_hlth_small*G358,0))</f>
        <v/>
      </c>
      <c r="AF359" s="46">
        <f>AE359*IF(B359&gt;=in_marketplace_from,d_hz_hlth_small*G359,0)</f>
        <v/>
      </c>
      <c r="AG359" s="14">
        <f>F359*AF359*in_hlth_small_ticket*in_hlth_small_comm*in_ins_partner_share+F359*in_hlth_small_ticket*in_hlth_small_renew_comm*in_ins_partner_share*(in_hlth_small_renew^1*SUMIFS(AF347:AF400,B347:B400,B359-12)+in_hlth_small_renew^2*SUMIFS(AF347:AF400,B347:B400,B359-24)+in_hlth_small_renew^3*SUMIFS(AF347:AF400,B347:B400,B359-36)+in_hlth_small_renew^4*SUMIFS(AF347:AF400,B347:B400,B359-48))</f>
        <v/>
      </c>
      <c r="AH359" s="40">
        <f>AH358*(1-IF(B358&gt;=in_marketplace_from,d_hz_hlth_family*G358,0))</f>
        <v/>
      </c>
      <c r="AI359" s="46">
        <f>AH359*IF(B359&gt;=in_marketplace_from,d_hz_hlth_family*G359,0)</f>
        <v/>
      </c>
      <c r="AJ359" s="14">
        <f>F359*AI359*in_hlth_family_ticket*in_hlth_family_comm*in_ins_partner_share+F359*in_hlth_family_ticket*in_hlth_family_renew_comm*in_ins_partner_share*(in_hlth_family_renew^1*SUMIFS(AI347:AI400,B347:B400,B359-12)+in_hlth_family_renew^2*SUMIFS(AI347:AI400,B347:B400,B359-24)+in_hlth_family_renew^3*SUMIFS(AI347:AI400,B347:B400,B359-36)+in_hlth_family_renew^4*SUMIFS(AI347:AI400,B347:B400,B359-48))</f>
        <v/>
      </c>
      <c r="AK359" s="40">
        <f>AK358*(1-IF(B358&gt;=in_marketplace_from,d_hz_life_term*G358,0))</f>
        <v/>
      </c>
      <c r="AL359" s="46">
        <f>AK359*IF(B359&gt;=in_marketplace_from,d_hz_life_term*G359,0)</f>
        <v/>
      </c>
      <c r="AM359" s="14">
        <f>F359*AL359*in_life_term_ticket*in_life_term_comm*in_ins_partner_share+F359*in_life_term_ticket*in_life_term_renew_comm*in_ins_partner_share*(in_life_term_renew^1*SUMIFS(AL347:AL400,B347:B400,B359-12)+in_life_term_renew^2*SUMIFS(AL347:AL400,B347:B400,B359-24)+in_life_term_renew^3*SUMIFS(AL347:AL400,B347:B400,B359-36)+in_life_term_renew^4*SUMIFS(AL347:AL400,B347:B400,B359-48))</f>
        <v/>
      </c>
      <c r="AN359" s="40">
        <f>AN358*(1-IF(B358&gt;=in_marketplace_from,d_hz_accident*G358,0))</f>
        <v/>
      </c>
      <c r="AO359" s="46">
        <f>AN359*IF(B359&gt;=in_marketplace_from,d_hz_accident*G359,0)</f>
        <v/>
      </c>
      <c r="AP359" s="14">
        <f>F359*AO359*in_accident_ticket*in_accident_comm*in_ins_partner_share+F359*in_accident_ticket*in_accident_renew_comm*in_ins_partner_share*(in_accident_renew^1*SUMIFS(AO347:AO400,B347:B400,B359-12)+in_accident_renew^2*SUMIFS(AO347:AO400,B347:B400,B359-24)+in_accident_renew^3*SUMIFS(AO347:AO400,B347:B400,B359-36)+in_accident_renew^4*SUMIFS(AO347:AO400,B347:B400,B359-48))</f>
        <v/>
      </c>
      <c r="AQ359" s="40">
        <f>AQ358*(1-IF(B358&gt;=in_marketplace_from,d_hz_two_wheeler*G358,0))</f>
        <v/>
      </c>
      <c r="AR359" s="46">
        <f>AQ359*IF(B359&gt;=in_marketplace_from,d_hz_two_wheeler*G359,0)</f>
        <v/>
      </c>
      <c r="AS359" s="14">
        <f>F359*AR359*in_two_wheeler_ticket*in_two_wheeler_comm*in_ins_partner_share+F359*in_two_wheeler_ticket*in_two_wheeler_comm*in_ins_partner_share*(in_two_wheeler_renew^1*SUMIFS(AR347:AR400,B347:B400,B359-12)+in_two_wheeler_renew^2*SUMIFS(AR347:AR400,B347:B400,B359-24)+in_two_wheeler_renew^3*SUMIFS(AR347:AR400,B347:B400,B359-36)+in_two_wheeler_renew^4*SUMIFS(AR347:AR400,B347:B400,B359-48))</f>
        <v/>
      </c>
      <c r="AT359" s="40">
        <f>AT358*(1-IF(B358&gt;=in_marketplace_from,d_hz_device*G358,0))</f>
        <v/>
      </c>
      <c r="AU359" s="14">
        <f>F359*AT359*IF(B359&gt;=in_marketplace_from,d_hz_device*G359,0)*in_device_ticket*in_device_comm*in_ins_partner_share</f>
        <v/>
      </c>
      <c r="AV359" s="40">
        <f>AV358*(1-IF(B358&gt;=in_marketplace_from,d_hz_shop*G358,0))</f>
        <v/>
      </c>
      <c r="AW359" s="46">
        <f>AV359*IF(B359&gt;=in_marketplace_from,d_hz_shop*G359,0)</f>
        <v/>
      </c>
      <c r="AX359" s="14">
        <f>F359*AW359*in_shop_ticket*in_shop_comm*in_ins_partner_share+F359*in_shop_ticket*in_shop_renew_comm*in_ins_partner_share*(in_shop_renew^1*SUMIFS(AW347:AW400,B347:B400,B359-12)+in_shop_renew^2*SUMIFS(AW347:AW400,B347:B400,B359-24)+in_shop_renew^3*SUMIFS(AW347:AW400,B347:B400,B359-36)+in_shop_renew^4*SUMIFS(AW347:AW400,B347:B400,B359-48))</f>
        <v/>
      </c>
      <c r="AY359" s="40">
        <f>AY358*(1-IF(B358&gt;=in_marketplace_from,d_hz_sip*G358,0))</f>
        <v/>
      </c>
      <c r="AZ359" s="40">
        <f>AZ358*d_rho_sip+AY359*IF(B359&gt;=in_marketplace_from,d_hz_sip*G359,0)</f>
        <v/>
      </c>
      <c r="BA359" s="40">
        <f>d_rho_sip*(BA358+AZ358)</f>
        <v/>
      </c>
      <c r="BB359" s="14">
        <f>F359*in_sip_ticket*(BA359+0.5*AZ359)*in_sip_comm/12</f>
        <v/>
      </c>
      <c r="BC359" s="40">
        <f>BC358*(1-IF(B358&gt;=in_marketplace_from,d_hz_choti*G358,0))</f>
        <v/>
      </c>
      <c r="BD359" s="46">
        <f>BC359*IF(B359&gt;=in_marketplace_from,d_hz_choti*G359,0)</f>
        <v/>
      </c>
      <c r="BE359" s="14">
        <f>F359*SUMIFS(BD347:BD400,B347:B400,B359-in_choti_months)*in_choti_renew*in_choti_ticket</f>
        <v/>
      </c>
      <c r="BF359" s="40">
        <f>BF358*(1-IF(B358&gt;=in_marketplace_from,d_hz_nps*G358,0))</f>
        <v/>
      </c>
      <c r="BG359" s="14">
        <f>F359*BF359*IF(B359&gt;=in_marketplace_from,d_hz_nps*G359,0)*in_nps_ticket*in_nps_comm</f>
        <v/>
      </c>
      <c r="BH359" s="40">
        <f>BH358*(1-IF(B358&gt;=in_marketplace_from,d_hz_gold*G358,0))</f>
        <v/>
      </c>
      <c r="BI359" s="40">
        <f>BI358*d_rho_gold+BH359*IF(B359&gt;=in_marketplace_from,d_hz_gold*G359,0)</f>
        <v/>
      </c>
      <c r="BJ359" s="14">
        <f>F359*BI359*in_gold_ticket*in_gold_comm</f>
        <v/>
      </c>
      <c r="BK359" s="40">
        <f>BK358*(1-IF(B358&gt;=in_marketplace_from,d_hz_fd*G358,0))</f>
        <v/>
      </c>
      <c r="BL359" s="14">
        <f>F359*BK359*IF(B359&gt;=in_marketplace_from,d_hz_fd*G359,0)*in_fd_ticket*in_fd_comm</f>
        <v/>
      </c>
      <c r="BM359" s="40">
        <f>BM358*(1-IF(B358&gt;=in_marketplace_from,d_hz_recharge*G358,0))</f>
        <v/>
      </c>
      <c r="BN359" s="40">
        <f>BN358*d_rho_recharge+BM359*IF(B359&gt;=in_marketplace_from,d_hz_recharge*G359,0)</f>
        <v/>
      </c>
      <c r="BO359" s="14">
        <f>F359*BN359*in_recharge_ticket*in_recharge_comm/12</f>
        <v/>
      </c>
      <c r="BP359" s="40">
        <f>BP358*(1-IF(B358&gt;=in_marketplace_from,d_hz_bills*G358,0))</f>
        <v/>
      </c>
      <c r="BQ359" s="40">
        <f>BQ358*d_rho_bills+BP359*IF(B359&gt;=in_marketplace_from,d_hz_bills*G359,0)</f>
        <v/>
      </c>
      <c r="BR359" s="14">
        <f>F359*BQ359*in_bills_ticket*in_bills_comm/12</f>
        <v/>
      </c>
      <c r="BS359" s="40">
        <f>BS358*(1-IF(B358&gt;=in_marketplace_from,d_hz_loan_gold*G358,0))</f>
        <v/>
      </c>
      <c r="BT359" s="14">
        <f>F359*BS359*IF(B359&gt;=in_marketplace_from,d_hz_loan_gold*G359,0)*in_loan_gold_ticket*in_loan_gold_comm</f>
        <v/>
      </c>
      <c r="BU359" s="40">
        <f>BU358*(1-IF(B358&gt;=in_marketplace_from,d_hz_loan_cd*G358,0))</f>
        <v/>
      </c>
      <c r="BV359" s="14">
        <f>F359*BU359*IF(B359&gt;=in_marketplace_from,d_hz_loan_cd*G359,0)*in_loan_cd_ticket*in_loan_cd_comm</f>
        <v/>
      </c>
      <c r="BW359" s="40">
        <f>BW358*(1-IF(B358&gt;=in_marketplace_from,d_hz_loan_vehicle*G358,0))</f>
        <v/>
      </c>
      <c r="BX359" s="14">
        <f>F359*BW359*IF(B359&gt;=in_marketplace_from,d_hz_loan_vehicle*G359,0)*in_loan_vehicle_ticket*in_loan_vehicle_comm</f>
        <v/>
      </c>
      <c r="BY359" s="40">
        <f>BY358*(1-IF(B358&gt;=in_marketplace_from,d_hz_loan_home*G358,0)*BZ358)</f>
        <v/>
      </c>
      <c r="BZ359" s="11">
        <f>MIN(in_approval_cap,in_loan_home_approval*INDEX('Age profile'!$O$2:$O$61,B359)*(1+in_approval_growth)^(D359-1))</f>
        <v/>
      </c>
      <c r="CA359" s="14">
        <f>F359*BY359*IF(B359&gt;=in_marketplace_from,d_hz_loan_home*G359,0)*BZ359*in_loan_home_ticket*in_loan_home_comm</f>
        <v/>
      </c>
      <c r="CB359" s="40">
        <f>CB358*(1-IF(B358&gt;=in_marketplace_from,d_hz_loan_lap*G358,0)*CC358)</f>
        <v/>
      </c>
      <c r="CC359" s="11">
        <f>MIN(in_approval_cap,in_loan_lap_approval*INDEX('Age profile'!$O$2:$O$61,B359)*(1+in_approval_growth)^(D359-1))</f>
        <v/>
      </c>
      <c r="CD359" s="14">
        <f>F359*CB359*IF(B359&gt;=in_marketplace_from,d_hz_loan_lap*G359,0)*CC359*in_loan_lap_ticket*in_loan_lap_comm</f>
        <v/>
      </c>
      <c r="CE359" s="14">
        <f>AA359+AB359+AC359+AD359+AG359+AJ359+AM359+AP359+AS359+AU359+AX359+BB359+BE359+BG359+BJ359+BL359+BO359+BR359+BT359+BV359+BX359+CA359+CD359</f>
        <v/>
      </c>
    </row>
    <row r="360">
      <c r="A360" s="39" t="n">
        <v>7</v>
      </c>
      <c r="B360" s="39" t="n">
        <v>14</v>
      </c>
      <c r="C360" s="39">
        <f>A360+B360-1</f>
        <v/>
      </c>
      <c r="D360" s="39">
        <f>INT((C360-1)/12)+1</f>
        <v/>
      </c>
      <c r="E360" s="44">
        <f>INDEX(Monthly!$B$2:$B$61,A360)</f>
        <v/>
      </c>
      <c r="F360" s="44">
        <f>E360*INDEX('Age profile'!$B$2:$B$61,B360)</f>
        <v/>
      </c>
      <c r="G360" s="45">
        <f>MIN(in_takeup_cap,INDEX('Age profile'!$N$2:$N$61,B360)*(1+in_takeup_growth)^(D360-1))</f>
        <v/>
      </c>
      <c r="H360" s="11">
        <f>MIN(in_approval_cap,in_approved_first*INDEX('Age profile'!$O$2:$O$61,B360)*(1+in_approval_growth)^(D360-1))</f>
        <v/>
      </c>
      <c r="I360" s="45">
        <f>G360*MIN(in_takeup_cap,INDEX('Age profile'!$O$2:$O$61,B360)*(1+in_approval_growth)^(D360-1))</f>
        <v/>
      </c>
      <c r="J360" s="40">
        <f>(J359-L359)*F360/F359</f>
        <v/>
      </c>
      <c r="K360" s="40">
        <f>(K359-M359)*F360/F359+SUMIFS(O347:O359,B347:B359,B360-1-d_T)*F360</f>
        <v/>
      </c>
      <c r="L360" s="40">
        <f>IF(B360&gt;=in_marketplace_from,J360*d_hz*G360*in_eligible*H360,0)</f>
        <v/>
      </c>
      <c r="M360" s="40">
        <f>IF(B360&gt;=in_marketplace_from,K360*d_hz*G360*in_eligible*in_approved_repeat,0)</f>
        <v/>
      </c>
      <c r="N360" s="40">
        <f>L360+M360</f>
        <v/>
      </c>
      <c r="O360" s="46">
        <f>N360/F360</f>
        <v/>
      </c>
      <c r="P360" s="40">
        <f>F360-J360-K360</f>
        <v/>
      </c>
      <c r="Q360" s="40">
        <f>IF(B360&gt;=in_marketplace_from,(J360+K360)*d_hz*G360,0)</f>
        <v/>
      </c>
      <c r="R360" s="40">
        <f>SUMIFS(N347:N400,B347:B400,"&gt;="&amp;(B360-d_T),B347:B400,"&lt;="&amp;(B360-1))</f>
        <v/>
      </c>
      <c r="S360" s="46">
        <f>(1-d_u)*S359+IF(d_T&gt;in_topup_lag,SUMIFS(O347:O400,B347:B400,B360-in_topup_lag)-d_udrop*SUMIFS(O347:O400,B347:B400,B360-d_T),0)</f>
        <v/>
      </c>
      <c r="T360" s="40">
        <f>F360*d_u*S360</f>
        <v/>
      </c>
      <c r="U360" s="9">
        <f>L360*in_ticket+M360*d_rep_ticket</f>
        <v/>
      </c>
      <c r="V360" s="9">
        <f>U360+T360*d_topup_amt</f>
        <v/>
      </c>
      <c r="W360" s="40">
        <f>N360+T360*d_topup_ratio</f>
        <v/>
      </c>
      <c r="X360" s="40">
        <f>SUMIFS(W347:W400,B347:B400,B360-in_dpd_lag)*d_cured</f>
        <v/>
      </c>
      <c r="Y360" s="40">
        <f>SUMIFS(W347:W400,B347:B400,B360-in_rec_lag)*d_recd</f>
        <v/>
      </c>
      <c r="Z360" s="40">
        <f>IF(AND(B360&gt;=in_marketplace_from,B360&lt;in_marketplace_from+in_card_months),in_card_share/in_card_months*F360*I360,IF(AND(B360&gt;=in_marketplace_from+in_card_months,B360&lt;in_marketplace_from+2*in_card_months),in_card_share*d_card_rem/in_card_months*F360*MIN(in_takeup_cap,(1+in_takeup_growth)^(D360-1))*MIN(in_takeup_cap,(1+in_approval_growth)^(D360-1)),0))</f>
        <v/>
      </c>
      <c r="AA360" s="14">
        <f>V360*in_fee*(1-in_taken_back)</f>
        <v/>
      </c>
      <c r="AB360" s="14">
        <f>SUMIFS(W347:W400,B347:B400,B360-in_dpd_lag)*d_dpd</f>
        <v/>
      </c>
      <c r="AC360" s="14">
        <f>SUMIFS(W347:W400,B347:B400,B360-in_rec_lag)*d_rec</f>
        <v/>
      </c>
      <c r="AD360" s="14">
        <f>Z360*in_card_fee</f>
        <v/>
      </c>
      <c r="AE360" s="40">
        <f>AE359*(1-IF(B359&gt;=in_marketplace_from,d_hz_hlth_small*G359,0))</f>
        <v/>
      </c>
      <c r="AF360" s="46">
        <f>AE360*IF(B360&gt;=in_marketplace_from,d_hz_hlth_small*G360,0)</f>
        <v/>
      </c>
      <c r="AG360" s="14">
        <f>F360*AF360*in_hlth_small_ticket*in_hlth_small_comm*in_ins_partner_share+F360*in_hlth_small_ticket*in_hlth_small_renew_comm*in_ins_partner_share*(in_hlth_small_renew^1*SUMIFS(AF347:AF400,B347:B400,B360-12)+in_hlth_small_renew^2*SUMIFS(AF347:AF400,B347:B400,B360-24)+in_hlth_small_renew^3*SUMIFS(AF347:AF400,B347:B400,B360-36)+in_hlth_small_renew^4*SUMIFS(AF347:AF400,B347:B400,B360-48))</f>
        <v/>
      </c>
      <c r="AH360" s="40">
        <f>AH359*(1-IF(B359&gt;=in_marketplace_from,d_hz_hlth_family*G359,0))</f>
        <v/>
      </c>
      <c r="AI360" s="46">
        <f>AH360*IF(B360&gt;=in_marketplace_from,d_hz_hlth_family*G360,0)</f>
        <v/>
      </c>
      <c r="AJ360" s="14">
        <f>F360*AI360*in_hlth_family_ticket*in_hlth_family_comm*in_ins_partner_share+F360*in_hlth_family_ticket*in_hlth_family_renew_comm*in_ins_partner_share*(in_hlth_family_renew^1*SUMIFS(AI347:AI400,B347:B400,B360-12)+in_hlth_family_renew^2*SUMIFS(AI347:AI400,B347:B400,B360-24)+in_hlth_family_renew^3*SUMIFS(AI347:AI400,B347:B400,B360-36)+in_hlth_family_renew^4*SUMIFS(AI347:AI400,B347:B400,B360-48))</f>
        <v/>
      </c>
      <c r="AK360" s="40">
        <f>AK359*(1-IF(B359&gt;=in_marketplace_from,d_hz_life_term*G359,0))</f>
        <v/>
      </c>
      <c r="AL360" s="46">
        <f>AK360*IF(B360&gt;=in_marketplace_from,d_hz_life_term*G360,0)</f>
        <v/>
      </c>
      <c r="AM360" s="14">
        <f>F360*AL360*in_life_term_ticket*in_life_term_comm*in_ins_partner_share+F360*in_life_term_ticket*in_life_term_renew_comm*in_ins_partner_share*(in_life_term_renew^1*SUMIFS(AL347:AL400,B347:B400,B360-12)+in_life_term_renew^2*SUMIFS(AL347:AL400,B347:B400,B360-24)+in_life_term_renew^3*SUMIFS(AL347:AL400,B347:B400,B360-36)+in_life_term_renew^4*SUMIFS(AL347:AL400,B347:B400,B360-48))</f>
        <v/>
      </c>
      <c r="AN360" s="40">
        <f>AN359*(1-IF(B359&gt;=in_marketplace_from,d_hz_accident*G359,0))</f>
        <v/>
      </c>
      <c r="AO360" s="46">
        <f>AN360*IF(B360&gt;=in_marketplace_from,d_hz_accident*G360,0)</f>
        <v/>
      </c>
      <c r="AP360" s="14">
        <f>F360*AO360*in_accident_ticket*in_accident_comm*in_ins_partner_share+F360*in_accident_ticket*in_accident_renew_comm*in_ins_partner_share*(in_accident_renew^1*SUMIFS(AO347:AO400,B347:B400,B360-12)+in_accident_renew^2*SUMIFS(AO347:AO400,B347:B400,B360-24)+in_accident_renew^3*SUMIFS(AO347:AO400,B347:B400,B360-36)+in_accident_renew^4*SUMIFS(AO347:AO400,B347:B400,B360-48))</f>
        <v/>
      </c>
      <c r="AQ360" s="40">
        <f>AQ359*(1-IF(B359&gt;=in_marketplace_from,d_hz_two_wheeler*G359,0))</f>
        <v/>
      </c>
      <c r="AR360" s="46">
        <f>AQ360*IF(B360&gt;=in_marketplace_from,d_hz_two_wheeler*G360,0)</f>
        <v/>
      </c>
      <c r="AS360" s="14">
        <f>F360*AR360*in_two_wheeler_ticket*in_two_wheeler_comm*in_ins_partner_share+F360*in_two_wheeler_ticket*in_two_wheeler_comm*in_ins_partner_share*(in_two_wheeler_renew^1*SUMIFS(AR347:AR400,B347:B400,B360-12)+in_two_wheeler_renew^2*SUMIFS(AR347:AR400,B347:B400,B360-24)+in_two_wheeler_renew^3*SUMIFS(AR347:AR400,B347:B400,B360-36)+in_two_wheeler_renew^4*SUMIFS(AR347:AR400,B347:B400,B360-48))</f>
        <v/>
      </c>
      <c r="AT360" s="40">
        <f>AT359*(1-IF(B359&gt;=in_marketplace_from,d_hz_device*G359,0))</f>
        <v/>
      </c>
      <c r="AU360" s="14">
        <f>F360*AT360*IF(B360&gt;=in_marketplace_from,d_hz_device*G360,0)*in_device_ticket*in_device_comm*in_ins_partner_share</f>
        <v/>
      </c>
      <c r="AV360" s="40">
        <f>AV359*(1-IF(B359&gt;=in_marketplace_from,d_hz_shop*G359,0))</f>
        <v/>
      </c>
      <c r="AW360" s="46">
        <f>AV360*IF(B360&gt;=in_marketplace_from,d_hz_shop*G360,0)</f>
        <v/>
      </c>
      <c r="AX360" s="14">
        <f>F360*AW360*in_shop_ticket*in_shop_comm*in_ins_partner_share+F360*in_shop_ticket*in_shop_renew_comm*in_ins_partner_share*(in_shop_renew^1*SUMIFS(AW347:AW400,B347:B400,B360-12)+in_shop_renew^2*SUMIFS(AW347:AW400,B347:B400,B360-24)+in_shop_renew^3*SUMIFS(AW347:AW400,B347:B400,B360-36)+in_shop_renew^4*SUMIFS(AW347:AW400,B347:B400,B360-48))</f>
        <v/>
      </c>
      <c r="AY360" s="40">
        <f>AY359*(1-IF(B359&gt;=in_marketplace_from,d_hz_sip*G359,0))</f>
        <v/>
      </c>
      <c r="AZ360" s="40">
        <f>AZ359*d_rho_sip+AY360*IF(B360&gt;=in_marketplace_from,d_hz_sip*G360,0)</f>
        <v/>
      </c>
      <c r="BA360" s="40">
        <f>d_rho_sip*(BA359+AZ359)</f>
        <v/>
      </c>
      <c r="BB360" s="14">
        <f>F360*in_sip_ticket*(BA360+0.5*AZ360)*in_sip_comm/12</f>
        <v/>
      </c>
      <c r="BC360" s="40">
        <f>BC359*(1-IF(B359&gt;=in_marketplace_from,d_hz_choti*G359,0))</f>
        <v/>
      </c>
      <c r="BD360" s="46">
        <f>BC360*IF(B360&gt;=in_marketplace_from,d_hz_choti*G360,0)</f>
        <v/>
      </c>
      <c r="BE360" s="14">
        <f>F360*SUMIFS(BD347:BD400,B347:B400,B360-in_choti_months)*in_choti_renew*in_choti_ticket</f>
        <v/>
      </c>
      <c r="BF360" s="40">
        <f>BF359*(1-IF(B359&gt;=in_marketplace_from,d_hz_nps*G359,0))</f>
        <v/>
      </c>
      <c r="BG360" s="14">
        <f>F360*BF360*IF(B360&gt;=in_marketplace_from,d_hz_nps*G360,0)*in_nps_ticket*in_nps_comm</f>
        <v/>
      </c>
      <c r="BH360" s="40">
        <f>BH359*(1-IF(B359&gt;=in_marketplace_from,d_hz_gold*G359,0))</f>
        <v/>
      </c>
      <c r="BI360" s="40">
        <f>BI359*d_rho_gold+BH360*IF(B360&gt;=in_marketplace_from,d_hz_gold*G360,0)</f>
        <v/>
      </c>
      <c r="BJ360" s="14">
        <f>F360*BI360*in_gold_ticket*in_gold_comm</f>
        <v/>
      </c>
      <c r="BK360" s="40">
        <f>BK359*(1-IF(B359&gt;=in_marketplace_from,d_hz_fd*G359,0))</f>
        <v/>
      </c>
      <c r="BL360" s="14">
        <f>F360*BK360*IF(B360&gt;=in_marketplace_from,d_hz_fd*G360,0)*in_fd_ticket*in_fd_comm</f>
        <v/>
      </c>
      <c r="BM360" s="40">
        <f>BM359*(1-IF(B359&gt;=in_marketplace_from,d_hz_recharge*G359,0))</f>
        <v/>
      </c>
      <c r="BN360" s="40">
        <f>BN359*d_rho_recharge+BM360*IF(B360&gt;=in_marketplace_from,d_hz_recharge*G360,0)</f>
        <v/>
      </c>
      <c r="BO360" s="14">
        <f>F360*BN360*in_recharge_ticket*in_recharge_comm/12</f>
        <v/>
      </c>
      <c r="BP360" s="40">
        <f>BP359*(1-IF(B359&gt;=in_marketplace_from,d_hz_bills*G359,0))</f>
        <v/>
      </c>
      <c r="BQ360" s="40">
        <f>BQ359*d_rho_bills+BP360*IF(B360&gt;=in_marketplace_from,d_hz_bills*G360,0)</f>
        <v/>
      </c>
      <c r="BR360" s="14">
        <f>F360*BQ360*in_bills_ticket*in_bills_comm/12</f>
        <v/>
      </c>
      <c r="BS360" s="40">
        <f>BS359*(1-IF(B359&gt;=in_marketplace_from,d_hz_loan_gold*G359,0))</f>
        <v/>
      </c>
      <c r="BT360" s="14">
        <f>F360*BS360*IF(B360&gt;=in_marketplace_from,d_hz_loan_gold*G360,0)*in_loan_gold_ticket*in_loan_gold_comm</f>
        <v/>
      </c>
      <c r="BU360" s="40">
        <f>BU359*(1-IF(B359&gt;=in_marketplace_from,d_hz_loan_cd*G359,0))</f>
        <v/>
      </c>
      <c r="BV360" s="14">
        <f>F360*BU360*IF(B360&gt;=in_marketplace_from,d_hz_loan_cd*G360,0)*in_loan_cd_ticket*in_loan_cd_comm</f>
        <v/>
      </c>
      <c r="BW360" s="40">
        <f>BW359*(1-IF(B359&gt;=in_marketplace_from,d_hz_loan_vehicle*G359,0))</f>
        <v/>
      </c>
      <c r="BX360" s="14">
        <f>F360*BW360*IF(B360&gt;=in_marketplace_from,d_hz_loan_vehicle*G360,0)*in_loan_vehicle_ticket*in_loan_vehicle_comm</f>
        <v/>
      </c>
      <c r="BY360" s="40">
        <f>BY359*(1-IF(B359&gt;=in_marketplace_from,d_hz_loan_home*G359,0)*BZ359)</f>
        <v/>
      </c>
      <c r="BZ360" s="11">
        <f>MIN(in_approval_cap,in_loan_home_approval*INDEX('Age profile'!$O$2:$O$61,B360)*(1+in_approval_growth)^(D360-1))</f>
        <v/>
      </c>
      <c r="CA360" s="14">
        <f>F360*BY360*IF(B360&gt;=in_marketplace_from,d_hz_loan_home*G360,0)*BZ360*in_loan_home_ticket*in_loan_home_comm</f>
        <v/>
      </c>
      <c r="CB360" s="40">
        <f>CB359*(1-IF(B359&gt;=in_marketplace_from,d_hz_loan_lap*G359,0)*CC359)</f>
        <v/>
      </c>
      <c r="CC360" s="11">
        <f>MIN(in_approval_cap,in_loan_lap_approval*INDEX('Age profile'!$O$2:$O$61,B360)*(1+in_approval_growth)^(D360-1))</f>
        <v/>
      </c>
      <c r="CD360" s="14">
        <f>F360*CB360*IF(B360&gt;=in_marketplace_from,d_hz_loan_lap*G360,0)*CC360*in_loan_lap_ticket*in_loan_lap_comm</f>
        <v/>
      </c>
      <c r="CE360" s="14">
        <f>AA360+AB360+AC360+AD360+AG360+AJ360+AM360+AP360+AS360+AU360+AX360+BB360+BE360+BG360+BJ360+BL360+BO360+BR360+BT360+BV360+BX360+CA360+CD360</f>
        <v/>
      </c>
    </row>
    <row r="361">
      <c r="A361" s="39" t="n">
        <v>7</v>
      </c>
      <c r="B361" s="39" t="n">
        <v>15</v>
      </c>
      <c r="C361" s="39">
        <f>A361+B361-1</f>
        <v/>
      </c>
      <c r="D361" s="39">
        <f>INT((C361-1)/12)+1</f>
        <v/>
      </c>
      <c r="E361" s="44">
        <f>INDEX(Monthly!$B$2:$B$61,A361)</f>
        <v/>
      </c>
      <c r="F361" s="44">
        <f>E361*INDEX('Age profile'!$B$2:$B$61,B361)</f>
        <v/>
      </c>
      <c r="G361" s="45">
        <f>MIN(in_takeup_cap,INDEX('Age profile'!$N$2:$N$61,B361)*(1+in_takeup_growth)^(D361-1))</f>
        <v/>
      </c>
      <c r="H361" s="11">
        <f>MIN(in_approval_cap,in_approved_first*INDEX('Age profile'!$O$2:$O$61,B361)*(1+in_approval_growth)^(D361-1))</f>
        <v/>
      </c>
      <c r="I361" s="45">
        <f>G361*MIN(in_takeup_cap,INDEX('Age profile'!$O$2:$O$61,B361)*(1+in_approval_growth)^(D361-1))</f>
        <v/>
      </c>
      <c r="J361" s="40">
        <f>(J360-L360)*F361/F360</f>
        <v/>
      </c>
      <c r="K361" s="40">
        <f>(K360-M360)*F361/F360+SUMIFS(O347:O360,B347:B360,B361-1-d_T)*F361</f>
        <v/>
      </c>
      <c r="L361" s="40">
        <f>IF(B361&gt;=in_marketplace_from,J361*d_hz*G361*in_eligible*H361,0)</f>
        <v/>
      </c>
      <c r="M361" s="40">
        <f>IF(B361&gt;=in_marketplace_from,K361*d_hz*G361*in_eligible*in_approved_repeat,0)</f>
        <v/>
      </c>
      <c r="N361" s="40">
        <f>L361+M361</f>
        <v/>
      </c>
      <c r="O361" s="46">
        <f>N361/F361</f>
        <v/>
      </c>
      <c r="P361" s="40">
        <f>F361-J361-K361</f>
        <v/>
      </c>
      <c r="Q361" s="40">
        <f>IF(B361&gt;=in_marketplace_from,(J361+K361)*d_hz*G361,0)</f>
        <v/>
      </c>
      <c r="R361" s="40">
        <f>SUMIFS(N347:N400,B347:B400,"&gt;="&amp;(B361-d_T),B347:B400,"&lt;="&amp;(B361-1))</f>
        <v/>
      </c>
      <c r="S361" s="46">
        <f>(1-d_u)*S360+IF(d_T&gt;in_topup_lag,SUMIFS(O347:O400,B347:B400,B361-in_topup_lag)-d_udrop*SUMIFS(O347:O400,B347:B400,B361-d_T),0)</f>
        <v/>
      </c>
      <c r="T361" s="40">
        <f>F361*d_u*S361</f>
        <v/>
      </c>
      <c r="U361" s="9">
        <f>L361*in_ticket+M361*d_rep_ticket</f>
        <v/>
      </c>
      <c r="V361" s="9">
        <f>U361+T361*d_topup_amt</f>
        <v/>
      </c>
      <c r="W361" s="40">
        <f>N361+T361*d_topup_ratio</f>
        <v/>
      </c>
      <c r="X361" s="40">
        <f>SUMIFS(W347:W400,B347:B400,B361-in_dpd_lag)*d_cured</f>
        <v/>
      </c>
      <c r="Y361" s="40">
        <f>SUMIFS(W347:W400,B347:B400,B361-in_rec_lag)*d_recd</f>
        <v/>
      </c>
      <c r="Z361" s="40">
        <f>IF(AND(B361&gt;=in_marketplace_from,B361&lt;in_marketplace_from+in_card_months),in_card_share/in_card_months*F361*I361,IF(AND(B361&gt;=in_marketplace_from+in_card_months,B361&lt;in_marketplace_from+2*in_card_months),in_card_share*d_card_rem/in_card_months*F361*MIN(in_takeup_cap,(1+in_takeup_growth)^(D361-1))*MIN(in_takeup_cap,(1+in_approval_growth)^(D361-1)),0))</f>
        <v/>
      </c>
      <c r="AA361" s="14">
        <f>V361*in_fee*(1-in_taken_back)</f>
        <v/>
      </c>
      <c r="AB361" s="14">
        <f>SUMIFS(W347:W400,B347:B400,B361-in_dpd_lag)*d_dpd</f>
        <v/>
      </c>
      <c r="AC361" s="14">
        <f>SUMIFS(W347:W400,B347:B400,B361-in_rec_lag)*d_rec</f>
        <v/>
      </c>
      <c r="AD361" s="14">
        <f>Z361*in_card_fee</f>
        <v/>
      </c>
      <c r="AE361" s="40">
        <f>AE360*(1-IF(B360&gt;=in_marketplace_from,d_hz_hlth_small*G360,0))</f>
        <v/>
      </c>
      <c r="AF361" s="46">
        <f>AE361*IF(B361&gt;=in_marketplace_from,d_hz_hlth_small*G361,0)</f>
        <v/>
      </c>
      <c r="AG361" s="14">
        <f>F361*AF361*in_hlth_small_ticket*in_hlth_small_comm*in_ins_partner_share+F361*in_hlth_small_ticket*in_hlth_small_renew_comm*in_ins_partner_share*(in_hlth_small_renew^1*SUMIFS(AF347:AF400,B347:B400,B361-12)+in_hlth_small_renew^2*SUMIFS(AF347:AF400,B347:B400,B361-24)+in_hlth_small_renew^3*SUMIFS(AF347:AF400,B347:B400,B361-36)+in_hlth_small_renew^4*SUMIFS(AF347:AF400,B347:B400,B361-48))</f>
        <v/>
      </c>
      <c r="AH361" s="40">
        <f>AH360*(1-IF(B360&gt;=in_marketplace_from,d_hz_hlth_family*G360,0))</f>
        <v/>
      </c>
      <c r="AI361" s="46">
        <f>AH361*IF(B361&gt;=in_marketplace_from,d_hz_hlth_family*G361,0)</f>
        <v/>
      </c>
      <c r="AJ361" s="14">
        <f>F361*AI361*in_hlth_family_ticket*in_hlth_family_comm*in_ins_partner_share+F361*in_hlth_family_ticket*in_hlth_family_renew_comm*in_ins_partner_share*(in_hlth_family_renew^1*SUMIFS(AI347:AI400,B347:B400,B361-12)+in_hlth_family_renew^2*SUMIFS(AI347:AI400,B347:B400,B361-24)+in_hlth_family_renew^3*SUMIFS(AI347:AI400,B347:B400,B361-36)+in_hlth_family_renew^4*SUMIFS(AI347:AI400,B347:B400,B361-48))</f>
        <v/>
      </c>
      <c r="AK361" s="40">
        <f>AK360*(1-IF(B360&gt;=in_marketplace_from,d_hz_life_term*G360,0))</f>
        <v/>
      </c>
      <c r="AL361" s="46">
        <f>AK361*IF(B361&gt;=in_marketplace_from,d_hz_life_term*G361,0)</f>
        <v/>
      </c>
      <c r="AM361" s="14">
        <f>F361*AL361*in_life_term_ticket*in_life_term_comm*in_ins_partner_share+F361*in_life_term_ticket*in_life_term_renew_comm*in_ins_partner_share*(in_life_term_renew^1*SUMIFS(AL347:AL400,B347:B400,B361-12)+in_life_term_renew^2*SUMIFS(AL347:AL400,B347:B400,B361-24)+in_life_term_renew^3*SUMIFS(AL347:AL400,B347:B400,B361-36)+in_life_term_renew^4*SUMIFS(AL347:AL400,B347:B400,B361-48))</f>
        <v/>
      </c>
      <c r="AN361" s="40">
        <f>AN360*(1-IF(B360&gt;=in_marketplace_from,d_hz_accident*G360,0))</f>
        <v/>
      </c>
      <c r="AO361" s="46">
        <f>AN361*IF(B361&gt;=in_marketplace_from,d_hz_accident*G361,0)</f>
        <v/>
      </c>
      <c r="AP361" s="14">
        <f>F361*AO361*in_accident_ticket*in_accident_comm*in_ins_partner_share+F361*in_accident_ticket*in_accident_renew_comm*in_ins_partner_share*(in_accident_renew^1*SUMIFS(AO347:AO400,B347:B400,B361-12)+in_accident_renew^2*SUMIFS(AO347:AO400,B347:B400,B361-24)+in_accident_renew^3*SUMIFS(AO347:AO400,B347:B400,B361-36)+in_accident_renew^4*SUMIFS(AO347:AO400,B347:B400,B361-48))</f>
        <v/>
      </c>
      <c r="AQ361" s="40">
        <f>AQ360*(1-IF(B360&gt;=in_marketplace_from,d_hz_two_wheeler*G360,0))</f>
        <v/>
      </c>
      <c r="AR361" s="46">
        <f>AQ361*IF(B361&gt;=in_marketplace_from,d_hz_two_wheeler*G361,0)</f>
        <v/>
      </c>
      <c r="AS361" s="14">
        <f>F361*AR361*in_two_wheeler_ticket*in_two_wheeler_comm*in_ins_partner_share+F361*in_two_wheeler_ticket*in_two_wheeler_comm*in_ins_partner_share*(in_two_wheeler_renew^1*SUMIFS(AR347:AR400,B347:B400,B361-12)+in_two_wheeler_renew^2*SUMIFS(AR347:AR400,B347:B400,B361-24)+in_two_wheeler_renew^3*SUMIFS(AR347:AR400,B347:B400,B361-36)+in_two_wheeler_renew^4*SUMIFS(AR347:AR400,B347:B400,B361-48))</f>
        <v/>
      </c>
      <c r="AT361" s="40">
        <f>AT360*(1-IF(B360&gt;=in_marketplace_from,d_hz_device*G360,0))</f>
        <v/>
      </c>
      <c r="AU361" s="14">
        <f>F361*AT361*IF(B361&gt;=in_marketplace_from,d_hz_device*G361,0)*in_device_ticket*in_device_comm*in_ins_partner_share</f>
        <v/>
      </c>
      <c r="AV361" s="40">
        <f>AV360*(1-IF(B360&gt;=in_marketplace_from,d_hz_shop*G360,0))</f>
        <v/>
      </c>
      <c r="AW361" s="46">
        <f>AV361*IF(B361&gt;=in_marketplace_from,d_hz_shop*G361,0)</f>
        <v/>
      </c>
      <c r="AX361" s="14">
        <f>F361*AW361*in_shop_ticket*in_shop_comm*in_ins_partner_share+F361*in_shop_ticket*in_shop_renew_comm*in_ins_partner_share*(in_shop_renew^1*SUMIFS(AW347:AW400,B347:B400,B361-12)+in_shop_renew^2*SUMIFS(AW347:AW400,B347:B400,B361-24)+in_shop_renew^3*SUMIFS(AW347:AW400,B347:B400,B361-36)+in_shop_renew^4*SUMIFS(AW347:AW400,B347:B400,B361-48))</f>
        <v/>
      </c>
      <c r="AY361" s="40">
        <f>AY360*(1-IF(B360&gt;=in_marketplace_from,d_hz_sip*G360,0))</f>
        <v/>
      </c>
      <c r="AZ361" s="40">
        <f>AZ360*d_rho_sip+AY361*IF(B361&gt;=in_marketplace_from,d_hz_sip*G361,0)</f>
        <v/>
      </c>
      <c r="BA361" s="40">
        <f>d_rho_sip*(BA360+AZ360)</f>
        <v/>
      </c>
      <c r="BB361" s="14">
        <f>F361*in_sip_ticket*(BA361+0.5*AZ361)*in_sip_comm/12</f>
        <v/>
      </c>
      <c r="BC361" s="40">
        <f>BC360*(1-IF(B360&gt;=in_marketplace_from,d_hz_choti*G360,0))</f>
        <v/>
      </c>
      <c r="BD361" s="46">
        <f>BC361*IF(B361&gt;=in_marketplace_from,d_hz_choti*G361,0)</f>
        <v/>
      </c>
      <c r="BE361" s="14">
        <f>F361*SUMIFS(BD347:BD400,B347:B400,B361-in_choti_months)*in_choti_renew*in_choti_ticket</f>
        <v/>
      </c>
      <c r="BF361" s="40">
        <f>BF360*(1-IF(B360&gt;=in_marketplace_from,d_hz_nps*G360,0))</f>
        <v/>
      </c>
      <c r="BG361" s="14">
        <f>F361*BF361*IF(B361&gt;=in_marketplace_from,d_hz_nps*G361,0)*in_nps_ticket*in_nps_comm</f>
        <v/>
      </c>
      <c r="BH361" s="40">
        <f>BH360*(1-IF(B360&gt;=in_marketplace_from,d_hz_gold*G360,0))</f>
        <v/>
      </c>
      <c r="BI361" s="40">
        <f>BI360*d_rho_gold+BH361*IF(B361&gt;=in_marketplace_from,d_hz_gold*G361,0)</f>
        <v/>
      </c>
      <c r="BJ361" s="14">
        <f>F361*BI361*in_gold_ticket*in_gold_comm</f>
        <v/>
      </c>
      <c r="BK361" s="40">
        <f>BK360*(1-IF(B360&gt;=in_marketplace_from,d_hz_fd*G360,0))</f>
        <v/>
      </c>
      <c r="BL361" s="14">
        <f>F361*BK361*IF(B361&gt;=in_marketplace_from,d_hz_fd*G361,0)*in_fd_ticket*in_fd_comm</f>
        <v/>
      </c>
      <c r="BM361" s="40">
        <f>BM360*(1-IF(B360&gt;=in_marketplace_from,d_hz_recharge*G360,0))</f>
        <v/>
      </c>
      <c r="BN361" s="40">
        <f>BN360*d_rho_recharge+BM361*IF(B361&gt;=in_marketplace_from,d_hz_recharge*G361,0)</f>
        <v/>
      </c>
      <c r="BO361" s="14">
        <f>F361*BN361*in_recharge_ticket*in_recharge_comm/12</f>
        <v/>
      </c>
      <c r="BP361" s="40">
        <f>BP360*(1-IF(B360&gt;=in_marketplace_from,d_hz_bills*G360,0))</f>
        <v/>
      </c>
      <c r="BQ361" s="40">
        <f>BQ360*d_rho_bills+BP361*IF(B361&gt;=in_marketplace_from,d_hz_bills*G361,0)</f>
        <v/>
      </c>
      <c r="BR361" s="14">
        <f>F361*BQ361*in_bills_ticket*in_bills_comm/12</f>
        <v/>
      </c>
      <c r="BS361" s="40">
        <f>BS360*(1-IF(B360&gt;=in_marketplace_from,d_hz_loan_gold*G360,0))</f>
        <v/>
      </c>
      <c r="BT361" s="14">
        <f>F361*BS361*IF(B361&gt;=in_marketplace_from,d_hz_loan_gold*G361,0)*in_loan_gold_ticket*in_loan_gold_comm</f>
        <v/>
      </c>
      <c r="BU361" s="40">
        <f>BU360*(1-IF(B360&gt;=in_marketplace_from,d_hz_loan_cd*G360,0))</f>
        <v/>
      </c>
      <c r="BV361" s="14">
        <f>F361*BU361*IF(B361&gt;=in_marketplace_from,d_hz_loan_cd*G361,0)*in_loan_cd_ticket*in_loan_cd_comm</f>
        <v/>
      </c>
      <c r="BW361" s="40">
        <f>BW360*(1-IF(B360&gt;=in_marketplace_from,d_hz_loan_vehicle*G360,0))</f>
        <v/>
      </c>
      <c r="BX361" s="14">
        <f>F361*BW361*IF(B361&gt;=in_marketplace_from,d_hz_loan_vehicle*G361,0)*in_loan_vehicle_ticket*in_loan_vehicle_comm</f>
        <v/>
      </c>
      <c r="BY361" s="40">
        <f>BY360*(1-IF(B360&gt;=in_marketplace_from,d_hz_loan_home*G360,0)*BZ360)</f>
        <v/>
      </c>
      <c r="BZ361" s="11">
        <f>MIN(in_approval_cap,in_loan_home_approval*INDEX('Age profile'!$O$2:$O$61,B361)*(1+in_approval_growth)^(D361-1))</f>
        <v/>
      </c>
      <c r="CA361" s="14">
        <f>F361*BY361*IF(B361&gt;=in_marketplace_from,d_hz_loan_home*G361,0)*BZ361*in_loan_home_ticket*in_loan_home_comm</f>
        <v/>
      </c>
      <c r="CB361" s="40">
        <f>CB360*(1-IF(B360&gt;=in_marketplace_from,d_hz_loan_lap*G360,0)*CC360)</f>
        <v/>
      </c>
      <c r="CC361" s="11">
        <f>MIN(in_approval_cap,in_loan_lap_approval*INDEX('Age profile'!$O$2:$O$61,B361)*(1+in_approval_growth)^(D361-1))</f>
        <v/>
      </c>
      <c r="CD361" s="14">
        <f>F361*CB361*IF(B361&gt;=in_marketplace_from,d_hz_loan_lap*G361,0)*CC361*in_loan_lap_ticket*in_loan_lap_comm</f>
        <v/>
      </c>
      <c r="CE361" s="14">
        <f>AA361+AB361+AC361+AD361+AG361+AJ361+AM361+AP361+AS361+AU361+AX361+BB361+BE361+BG361+BJ361+BL361+BO361+BR361+BT361+BV361+BX361+CA361+CD361</f>
        <v/>
      </c>
    </row>
    <row r="362">
      <c r="A362" s="39" t="n">
        <v>7</v>
      </c>
      <c r="B362" s="39" t="n">
        <v>16</v>
      </c>
      <c r="C362" s="39">
        <f>A362+B362-1</f>
        <v/>
      </c>
      <c r="D362" s="39">
        <f>INT((C362-1)/12)+1</f>
        <v/>
      </c>
      <c r="E362" s="44">
        <f>INDEX(Monthly!$B$2:$B$61,A362)</f>
        <v/>
      </c>
      <c r="F362" s="44">
        <f>E362*INDEX('Age profile'!$B$2:$B$61,B362)</f>
        <v/>
      </c>
      <c r="G362" s="45">
        <f>MIN(in_takeup_cap,INDEX('Age profile'!$N$2:$N$61,B362)*(1+in_takeup_growth)^(D362-1))</f>
        <v/>
      </c>
      <c r="H362" s="11">
        <f>MIN(in_approval_cap,in_approved_first*INDEX('Age profile'!$O$2:$O$61,B362)*(1+in_approval_growth)^(D362-1))</f>
        <v/>
      </c>
      <c r="I362" s="45">
        <f>G362*MIN(in_takeup_cap,INDEX('Age profile'!$O$2:$O$61,B362)*(1+in_approval_growth)^(D362-1))</f>
        <v/>
      </c>
      <c r="J362" s="40">
        <f>(J361-L361)*F362/F361</f>
        <v/>
      </c>
      <c r="K362" s="40">
        <f>(K361-M361)*F362/F361+SUMIFS(O347:O361,B347:B361,B362-1-d_T)*F362</f>
        <v/>
      </c>
      <c r="L362" s="40">
        <f>IF(B362&gt;=in_marketplace_from,J362*d_hz*G362*in_eligible*H362,0)</f>
        <v/>
      </c>
      <c r="M362" s="40">
        <f>IF(B362&gt;=in_marketplace_from,K362*d_hz*G362*in_eligible*in_approved_repeat,0)</f>
        <v/>
      </c>
      <c r="N362" s="40">
        <f>L362+M362</f>
        <v/>
      </c>
      <c r="O362" s="46">
        <f>N362/F362</f>
        <v/>
      </c>
      <c r="P362" s="40">
        <f>F362-J362-K362</f>
        <v/>
      </c>
      <c r="Q362" s="40">
        <f>IF(B362&gt;=in_marketplace_from,(J362+K362)*d_hz*G362,0)</f>
        <v/>
      </c>
      <c r="R362" s="40">
        <f>SUMIFS(N347:N400,B347:B400,"&gt;="&amp;(B362-d_T),B347:B400,"&lt;="&amp;(B362-1))</f>
        <v/>
      </c>
      <c r="S362" s="46">
        <f>(1-d_u)*S361+IF(d_T&gt;in_topup_lag,SUMIFS(O347:O400,B347:B400,B362-in_topup_lag)-d_udrop*SUMIFS(O347:O400,B347:B400,B362-d_T),0)</f>
        <v/>
      </c>
      <c r="T362" s="40">
        <f>F362*d_u*S362</f>
        <v/>
      </c>
      <c r="U362" s="9">
        <f>L362*in_ticket+M362*d_rep_ticket</f>
        <v/>
      </c>
      <c r="V362" s="9">
        <f>U362+T362*d_topup_amt</f>
        <v/>
      </c>
      <c r="W362" s="40">
        <f>N362+T362*d_topup_ratio</f>
        <v/>
      </c>
      <c r="X362" s="40">
        <f>SUMIFS(W347:W400,B347:B400,B362-in_dpd_lag)*d_cured</f>
        <v/>
      </c>
      <c r="Y362" s="40">
        <f>SUMIFS(W347:W400,B347:B400,B362-in_rec_lag)*d_recd</f>
        <v/>
      </c>
      <c r="Z362" s="40">
        <f>IF(AND(B362&gt;=in_marketplace_from,B362&lt;in_marketplace_from+in_card_months),in_card_share/in_card_months*F362*I362,IF(AND(B362&gt;=in_marketplace_from+in_card_months,B362&lt;in_marketplace_from+2*in_card_months),in_card_share*d_card_rem/in_card_months*F362*MIN(in_takeup_cap,(1+in_takeup_growth)^(D362-1))*MIN(in_takeup_cap,(1+in_approval_growth)^(D362-1)),0))</f>
        <v/>
      </c>
      <c r="AA362" s="14">
        <f>V362*in_fee*(1-in_taken_back)</f>
        <v/>
      </c>
      <c r="AB362" s="14">
        <f>SUMIFS(W347:W400,B347:B400,B362-in_dpd_lag)*d_dpd</f>
        <v/>
      </c>
      <c r="AC362" s="14">
        <f>SUMIFS(W347:W400,B347:B400,B362-in_rec_lag)*d_rec</f>
        <v/>
      </c>
      <c r="AD362" s="14">
        <f>Z362*in_card_fee</f>
        <v/>
      </c>
      <c r="AE362" s="40">
        <f>AE361*(1-IF(B361&gt;=in_marketplace_from,d_hz_hlth_small*G361,0))</f>
        <v/>
      </c>
      <c r="AF362" s="46">
        <f>AE362*IF(B362&gt;=in_marketplace_from,d_hz_hlth_small*G362,0)</f>
        <v/>
      </c>
      <c r="AG362" s="14">
        <f>F362*AF362*in_hlth_small_ticket*in_hlth_small_comm*in_ins_partner_share+F362*in_hlth_small_ticket*in_hlth_small_renew_comm*in_ins_partner_share*(in_hlth_small_renew^1*SUMIFS(AF347:AF400,B347:B400,B362-12)+in_hlth_small_renew^2*SUMIFS(AF347:AF400,B347:B400,B362-24)+in_hlth_small_renew^3*SUMIFS(AF347:AF400,B347:B400,B362-36)+in_hlth_small_renew^4*SUMIFS(AF347:AF400,B347:B400,B362-48))</f>
        <v/>
      </c>
      <c r="AH362" s="40">
        <f>AH361*(1-IF(B361&gt;=in_marketplace_from,d_hz_hlth_family*G361,0))</f>
        <v/>
      </c>
      <c r="AI362" s="46">
        <f>AH362*IF(B362&gt;=in_marketplace_from,d_hz_hlth_family*G362,0)</f>
        <v/>
      </c>
      <c r="AJ362" s="14">
        <f>F362*AI362*in_hlth_family_ticket*in_hlth_family_comm*in_ins_partner_share+F362*in_hlth_family_ticket*in_hlth_family_renew_comm*in_ins_partner_share*(in_hlth_family_renew^1*SUMIFS(AI347:AI400,B347:B400,B362-12)+in_hlth_family_renew^2*SUMIFS(AI347:AI400,B347:B400,B362-24)+in_hlth_family_renew^3*SUMIFS(AI347:AI400,B347:B400,B362-36)+in_hlth_family_renew^4*SUMIFS(AI347:AI400,B347:B400,B362-48))</f>
        <v/>
      </c>
      <c r="AK362" s="40">
        <f>AK361*(1-IF(B361&gt;=in_marketplace_from,d_hz_life_term*G361,0))</f>
        <v/>
      </c>
      <c r="AL362" s="46">
        <f>AK362*IF(B362&gt;=in_marketplace_from,d_hz_life_term*G362,0)</f>
        <v/>
      </c>
      <c r="AM362" s="14">
        <f>F362*AL362*in_life_term_ticket*in_life_term_comm*in_ins_partner_share+F362*in_life_term_ticket*in_life_term_renew_comm*in_ins_partner_share*(in_life_term_renew^1*SUMIFS(AL347:AL400,B347:B400,B362-12)+in_life_term_renew^2*SUMIFS(AL347:AL400,B347:B400,B362-24)+in_life_term_renew^3*SUMIFS(AL347:AL400,B347:B400,B362-36)+in_life_term_renew^4*SUMIFS(AL347:AL400,B347:B400,B362-48))</f>
        <v/>
      </c>
      <c r="AN362" s="40">
        <f>AN361*(1-IF(B361&gt;=in_marketplace_from,d_hz_accident*G361,0))</f>
        <v/>
      </c>
      <c r="AO362" s="46">
        <f>AN362*IF(B362&gt;=in_marketplace_from,d_hz_accident*G362,0)</f>
        <v/>
      </c>
      <c r="AP362" s="14">
        <f>F362*AO362*in_accident_ticket*in_accident_comm*in_ins_partner_share+F362*in_accident_ticket*in_accident_renew_comm*in_ins_partner_share*(in_accident_renew^1*SUMIFS(AO347:AO400,B347:B400,B362-12)+in_accident_renew^2*SUMIFS(AO347:AO400,B347:B400,B362-24)+in_accident_renew^3*SUMIFS(AO347:AO400,B347:B400,B362-36)+in_accident_renew^4*SUMIFS(AO347:AO400,B347:B400,B362-48))</f>
        <v/>
      </c>
      <c r="AQ362" s="40">
        <f>AQ361*(1-IF(B361&gt;=in_marketplace_from,d_hz_two_wheeler*G361,0))</f>
        <v/>
      </c>
      <c r="AR362" s="46">
        <f>AQ362*IF(B362&gt;=in_marketplace_from,d_hz_two_wheeler*G362,0)</f>
        <v/>
      </c>
      <c r="AS362" s="14">
        <f>F362*AR362*in_two_wheeler_ticket*in_two_wheeler_comm*in_ins_partner_share+F362*in_two_wheeler_ticket*in_two_wheeler_comm*in_ins_partner_share*(in_two_wheeler_renew^1*SUMIFS(AR347:AR400,B347:B400,B362-12)+in_two_wheeler_renew^2*SUMIFS(AR347:AR400,B347:B400,B362-24)+in_two_wheeler_renew^3*SUMIFS(AR347:AR400,B347:B400,B362-36)+in_two_wheeler_renew^4*SUMIFS(AR347:AR400,B347:B400,B362-48))</f>
        <v/>
      </c>
      <c r="AT362" s="40">
        <f>AT361*(1-IF(B361&gt;=in_marketplace_from,d_hz_device*G361,0))</f>
        <v/>
      </c>
      <c r="AU362" s="14">
        <f>F362*AT362*IF(B362&gt;=in_marketplace_from,d_hz_device*G362,0)*in_device_ticket*in_device_comm*in_ins_partner_share</f>
        <v/>
      </c>
      <c r="AV362" s="40">
        <f>AV361*(1-IF(B361&gt;=in_marketplace_from,d_hz_shop*G361,0))</f>
        <v/>
      </c>
      <c r="AW362" s="46">
        <f>AV362*IF(B362&gt;=in_marketplace_from,d_hz_shop*G362,0)</f>
        <v/>
      </c>
      <c r="AX362" s="14">
        <f>F362*AW362*in_shop_ticket*in_shop_comm*in_ins_partner_share+F362*in_shop_ticket*in_shop_renew_comm*in_ins_partner_share*(in_shop_renew^1*SUMIFS(AW347:AW400,B347:B400,B362-12)+in_shop_renew^2*SUMIFS(AW347:AW400,B347:B400,B362-24)+in_shop_renew^3*SUMIFS(AW347:AW400,B347:B400,B362-36)+in_shop_renew^4*SUMIFS(AW347:AW400,B347:B400,B362-48))</f>
        <v/>
      </c>
      <c r="AY362" s="40">
        <f>AY361*(1-IF(B361&gt;=in_marketplace_from,d_hz_sip*G361,0))</f>
        <v/>
      </c>
      <c r="AZ362" s="40">
        <f>AZ361*d_rho_sip+AY362*IF(B362&gt;=in_marketplace_from,d_hz_sip*G362,0)</f>
        <v/>
      </c>
      <c r="BA362" s="40">
        <f>d_rho_sip*(BA361+AZ361)</f>
        <v/>
      </c>
      <c r="BB362" s="14">
        <f>F362*in_sip_ticket*(BA362+0.5*AZ362)*in_sip_comm/12</f>
        <v/>
      </c>
      <c r="BC362" s="40">
        <f>BC361*(1-IF(B361&gt;=in_marketplace_from,d_hz_choti*G361,0))</f>
        <v/>
      </c>
      <c r="BD362" s="46">
        <f>BC362*IF(B362&gt;=in_marketplace_from,d_hz_choti*G362,0)</f>
        <v/>
      </c>
      <c r="BE362" s="14">
        <f>F362*SUMIFS(BD347:BD400,B347:B400,B362-in_choti_months)*in_choti_renew*in_choti_ticket</f>
        <v/>
      </c>
      <c r="BF362" s="40">
        <f>BF361*(1-IF(B361&gt;=in_marketplace_from,d_hz_nps*G361,0))</f>
        <v/>
      </c>
      <c r="BG362" s="14">
        <f>F362*BF362*IF(B362&gt;=in_marketplace_from,d_hz_nps*G362,0)*in_nps_ticket*in_nps_comm</f>
        <v/>
      </c>
      <c r="BH362" s="40">
        <f>BH361*(1-IF(B361&gt;=in_marketplace_from,d_hz_gold*G361,0))</f>
        <v/>
      </c>
      <c r="BI362" s="40">
        <f>BI361*d_rho_gold+BH362*IF(B362&gt;=in_marketplace_from,d_hz_gold*G362,0)</f>
        <v/>
      </c>
      <c r="BJ362" s="14">
        <f>F362*BI362*in_gold_ticket*in_gold_comm</f>
        <v/>
      </c>
      <c r="BK362" s="40">
        <f>BK361*(1-IF(B361&gt;=in_marketplace_from,d_hz_fd*G361,0))</f>
        <v/>
      </c>
      <c r="BL362" s="14">
        <f>F362*BK362*IF(B362&gt;=in_marketplace_from,d_hz_fd*G362,0)*in_fd_ticket*in_fd_comm</f>
        <v/>
      </c>
      <c r="BM362" s="40">
        <f>BM361*(1-IF(B361&gt;=in_marketplace_from,d_hz_recharge*G361,0))</f>
        <v/>
      </c>
      <c r="BN362" s="40">
        <f>BN361*d_rho_recharge+BM362*IF(B362&gt;=in_marketplace_from,d_hz_recharge*G362,0)</f>
        <v/>
      </c>
      <c r="BO362" s="14">
        <f>F362*BN362*in_recharge_ticket*in_recharge_comm/12</f>
        <v/>
      </c>
      <c r="BP362" s="40">
        <f>BP361*(1-IF(B361&gt;=in_marketplace_from,d_hz_bills*G361,0))</f>
        <v/>
      </c>
      <c r="BQ362" s="40">
        <f>BQ361*d_rho_bills+BP362*IF(B362&gt;=in_marketplace_from,d_hz_bills*G362,0)</f>
        <v/>
      </c>
      <c r="BR362" s="14">
        <f>F362*BQ362*in_bills_ticket*in_bills_comm/12</f>
        <v/>
      </c>
      <c r="BS362" s="40">
        <f>BS361*(1-IF(B361&gt;=in_marketplace_from,d_hz_loan_gold*G361,0))</f>
        <v/>
      </c>
      <c r="BT362" s="14">
        <f>F362*BS362*IF(B362&gt;=in_marketplace_from,d_hz_loan_gold*G362,0)*in_loan_gold_ticket*in_loan_gold_comm</f>
        <v/>
      </c>
      <c r="BU362" s="40">
        <f>BU361*(1-IF(B361&gt;=in_marketplace_from,d_hz_loan_cd*G361,0))</f>
        <v/>
      </c>
      <c r="BV362" s="14">
        <f>F362*BU362*IF(B362&gt;=in_marketplace_from,d_hz_loan_cd*G362,0)*in_loan_cd_ticket*in_loan_cd_comm</f>
        <v/>
      </c>
      <c r="BW362" s="40">
        <f>BW361*(1-IF(B361&gt;=in_marketplace_from,d_hz_loan_vehicle*G361,0))</f>
        <v/>
      </c>
      <c r="BX362" s="14">
        <f>F362*BW362*IF(B362&gt;=in_marketplace_from,d_hz_loan_vehicle*G362,0)*in_loan_vehicle_ticket*in_loan_vehicle_comm</f>
        <v/>
      </c>
      <c r="BY362" s="40">
        <f>BY361*(1-IF(B361&gt;=in_marketplace_from,d_hz_loan_home*G361,0)*BZ361)</f>
        <v/>
      </c>
      <c r="BZ362" s="11">
        <f>MIN(in_approval_cap,in_loan_home_approval*INDEX('Age profile'!$O$2:$O$61,B362)*(1+in_approval_growth)^(D362-1))</f>
        <v/>
      </c>
      <c r="CA362" s="14">
        <f>F362*BY362*IF(B362&gt;=in_marketplace_from,d_hz_loan_home*G362,0)*BZ362*in_loan_home_ticket*in_loan_home_comm</f>
        <v/>
      </c>
      <c r="CB362" s="40">
        <f>CB361*(1-IF(B361&gt;=in_marketplace_from,d_hz_loan_lap*G361,0)*CC361)</f>
        <v/>
      </c>
      <c r="CC362" s="11">
        <f>MIN(in_approval_cap,in_loan_lap_approval*INDEX('Age profile'!$O$2:$O$61,B362)*(1+in_approval_growth)^(D362-1))</f>
        <v/>
      </c>
      <c r="CD362" s="14">
        <f>F362*CB362*IF(B362&gt;=in_marketplace_from,d_hz_loan_lap*G362,0)*CC362*in_loan_lap_ticket*in_loan_lap_comm</f>
        <v/>
      </c>
      <c r="CE362" s="14">
        <f>AA362+AB362+AC362+AD362+AG362+AJ362+AM362+AP362+AS362+AU362+AX362+BB362+BE362+BG362+BJ362+BL362+BO362+BR362+BT362+BV362+BX362+CA362+CD362</f>
        <v/>
      </c>
    </row>
    <row r="363">
      <c r="A363" s="39" t="n">
        <v>7</v>
      </c>
      <c r="B363" s="39" t="n">
        <v>17</v>
      </c>
      <c r="C363" s="39">
        <f>A363+B363-1</f>
        <v/>
      </c>
      <c r="D363" s="39">
        <f>INT((C363-1)/12)+1</f>
        <v/>
      </c>
      <c r="E363" s="44">
        <f>INDEX(Monthly!$B$2:$B$61,A363)</f>
        <v/>
      </c>
      <c r="F363" s="44">
        <f>E363*INDEX('Age profile'!$B$2:$B$61,B363)</f>
        <v/>
      </c>
      <c r="G363" s="45">
        <f>MIN(in_takeup_cap,INDEX('Age profile'!$N$2:$N$61,B363)*(1+in_takeup_growth)^(D363-1))</f>
        <v/>
      </c>
      <c r="H363" s="11">
        <f>MIN(in_approval_cap,in_approved_first*INDEX('Age profile'!$O$2:$O$61,B363)*(1+in_approval_growth)^(D363-1))</f>
        <v/>
      </c>
      <c r="I363" s="45">
        <f>G363*MIN(in_takeup_cap,INDEX('Age profile'!$O$2:$O$61,B363)*(1+in_approval_growth)^(D363-1))</f>
        <v/>
      </c>
      <c r="J363" s="40">
        <f>(J362-L362)*F363/F362</f>
        <v/>
      </c>
      <c r="K363" s="40">
        <f>(K362-M362)*F363/F362+SUMIFS(O347:O362,B347:B362,B363-1-d_T)*F363</f>
        <v/>
      </c>
      <c r="L363" s="40">
        <f>IF(B363&gt;=in_marketplace_from,J363*d_hz*G363*in_eligible*H363,0)</f>
        <v/>
      </c>
      <c r="M363" s="40">
        <f>IF(B363&gt;=in_marketplace_from,K363*d_hz*G363*in_eligible*in_approved_repeat,0)</f>
        <v/>
      </c>
      <c r="N363" s="40">
        <f>L363+M363</f>
        <v/>
      </c>
      <c r="O363" s="46">
        <f>N363/F363</f>
        <v/>
      </c>
      <c r="P363" s="40">
        <f>F363-J363-K363</f>
        <v/>
      </c>
      <c r="Q363" s="40">
        <f>IF(B363&gt;=in_marketplace_from,(J363+K363)*d_hz*G363,0)</f>
        <v/>
      </c>
      <c r="R363" s="40">
        <f>SUMIFS(N347:N400,B347:B400,"&gt;="&amp;(B363-d_T),B347:B400,"&lt;="&amp;(B363-1))</f>
        <v/>
      </c>
      <c r="S363" s="46">
        <f>(1-d_u)*S362+IF(d_T&gt;in_topup_lag,SUMIFS(O347:O400,B347:B400,B363-in_topup_lag)-d_udrop*SUMIFS(O347:O400,B347:B400,B363-d_T),0)</f>
        <v/>
      </c>
      <c r="T363" s="40">
        <f>F363*d_u*S363</f>
        <v/>
      </c>
      <c r="U363" s="9">
        <f>L363*in_ticket+M363*d_rep_ticket</f>
        <v/>
      </c>
      <c r="V363" s="9">
        <f>U363+T363*d_topup_amt</f>
        <v/>
      </c>
      <c r="W363" s="40">
        <f>N363+T363*d_topup_ratio</f>
        <v/>
      </c>
      <c r="X363" s="40">
        <f>SUMIFS(W347:W400,B347:B400,B363-in_dpd_lag)*d_cured</f>
        <v/>
      </c>
      <c r="Y363" s="40">
        <f>SUMIFS(W347:W400,B347:B400,B363-in_rec_lag)*d_recd</f>
        <v/>
      </c>
      <c r="Z363" s="40">
        <f>IF(AND(B363&gt;=in_marketplace_from,B363&lt;in_marketplace_from+in_card_months),in_card_share/in_card_months*F363*I363,IF(AND(B363&gt;=in_marketplace_from+in_card_months,B363&lt;in_marketplace_from+2*in_card_months),in_card_share*d_card_rem/in_card_months*F363*MIN(in_takeup_cap,(1+in_takeup_growth)^(D363-1))*MIN(in_takeup_cap,(1+in_approval_growth)^(D363-1)),0))</f>
        <v/>
      </c>
      <c r="AA363" s="14">
        <f>V363*in_fee*(1-in_taken_back)</f>
        <v/>
      </c>
      <c r="AB363" s="14">
        <f>SUMIFS(W347:W400,B347:B400,B363-in_dpd_lag)*d_dpd</f>
        <v/>
      </c>
      <c r="AC363" s="14">
        <f>SUMIFS(W347:W400,B347:B400,B363-in_rec_lag)*d_rec</f>
        <v/>
      </c>
      <c r="AD363" s="14">
        <f>Z363*in_card_fee</f>
        <v/>
      </c>
      <c r="AE363" s="40">
        <f>AE362*(1-IF(B362&gt;=in_marketplace_from,d_hz_hlth_small*G362,0))</f>
        <v/>
      </c>
      <c r="AF363" s="46">
        <f>AE363*IF(B363&gt;=in_marketplace_from,d_hz_hlth_small*G363,0)</f>
        <v/>
      </c>
      <c r="AG363" s="14">
        <f>F363*AF363*in_hlth_small_ticket*in_hlth_small_comm*in_ins_partner_share+F363*in_hlth_small_ticket*in_hlth_small_renew_comm*in_ins_partner_share*(in_hlth_small_renew^1*SUMIFS(AF347:AF400,B347:B400,B363-12)+in_hlth_small_renew^2*SUMIFS(AF347:AF400,B347:B400,B363-24)+in_hlth_small_renew^3*SUMIFS(AF347:AF400,B347:B400,B363-36)+in_hlth_small_renew^4*SUMIFS(AF347:AF400,B347:B400,B363-48))</f>
        <v/>
      </c>
      <c r="AH363" s="40">
        <f>AH362*(1-IF(B362&gt;=in_marketplace_from,d_hz_hlth_family*G362,0))</f>
        <v/>
      </c>
      <c r="AI363" s="46">
        <f>AH363*IF(B363&gt;=in_marketplace_from,d_hz_hlth_family*G363,0)</f>
        <v/>
      </c>
      <c r="AJ363" s="14">
        <f>F363*AI363*in_hlth_family_ticket*in_hlth_family_comm*in_ins_partner_share+F363*in_hlth_family_ticket*in_hlth_family_renew_comm*in_ins_partner_share*(in_hlth_family_renew^1*SUMIFS(AI347:AI400,B347:B400,B363-12)+in_hlth_family_renew^2*SUMIFS(AI347:AI400,B347:B400,B363-24)+in_hlth_family_renew^3*SUMIFS(AI347:AI400,B347:B400,B363-36)+in_hlth_family_renew^4*SUMIFS(AI347:AI400,B347:B400,B363-48))</f>
        <v/>
      </c>
      <c r="AK363" s="40">
        <f>AK362*(1-IF(B362&gt;=in_marketplace_from,d_hz_life_term*G362,0))</f>
        <v/>
      </c>
      <c r="AL363" s="46">
        <f>AK363*IF(B363&gt;=in_marketplace_from,d_hz_life_term*G363,0)</f>
        <v/>
      </c>
      <c r="AM363" s="14">
        <f>F363*AL363*in_life_term_ticket*in_life_term_comm*in_ins_partner_share+F363*in_life_term_ticket*in_life_term_renew_comm*in_ins_partner_share*(in_life_term_renew^1*SUMIFS(AL347:AL400,B347:B400,B363-12)+in_life_term_renew^2*SUMIFS(AL347:AL400,B347:B400,B363-24)+in_life_term_renew^3*SUMIFS(AL347:AL400,B347:B400,B363-36)+in_life_term_renew^4*SUMIFS(AL347:AL400,B347:B400,B363-48))</f>
        <v/>
      </c>
      <c r="AN363" s="40">
        <f>AN362*(1-IF(B362&gt;=in_marketplace_from,d_hz_accident*G362,0))</f>
        <v/>
      </c>
      <c r="AO363" s="46">
        <f>AN363*IF(B363&gt;=in_marketplace_from,d_hz_accident*G363,0)</f>
        <v/>
      </c>
      <c r="AP363" s="14">
        <f>F363*AO363*in_accident_ticket*in_accident_comm*in_ins_partner_share+F363*in_accident_ticket*in_accident_renew_comm*in_ins_partner_share*(in_accident_renew^1*SUMIFS(AO347:AO400,B347:B400,B363-12)+in_accident_renew^2*SUMIFS(AO347:AO400,B347:B400,B363-24)+in_accident_renew^3*SUMIFS(AO347:AO400,B347:B400,B363-36)+in_accident_renew^4*SUMIFS(AO347:AO400,B347:B400,B363-48))</f>
        <v/>
      </c>
      <c r="AQ363" s="40">
        <f>AQ362*(1-IF(B362&gt;=in_marketplace_from,d_hz_two_wheeler*G362,0))</f>
        <v/>
      </c>
      <c r="AR363" s="46">
        <f>AQ363*IF(B363&gt;=in_marketplace_from,d_hz_two_wheeler*G363,0)</f>
        <v/>
      </c>
      <c r="AS363" s="14">
        <f>F363*AR363*in_two_wheeler_ticket*in_two_wheeler_comm*in_ins_partner_share+F363*in_two_wheeler_ticket*in_two_wheeler_comm*in_ins_partner_share*(in_two_wheeler_renew^1*SUMIFS(AR347:AR400,B347:B400,B363-12)+in_two_wheeler_renew^2*SUMIFS(AR347:AR400,B347:B400,B363-24)+in_two_wheeler_renew^3*SUMIFS(AR347:AR400,B347:B400,B363-36)+in_two_wheeler_renew^4*SUMIFS(AR347:AR400,B347:B400,B363-48))</f>
        <v/>
      </c>
      <c r="AT363" s="40">
        <f>AT362*(1-IF(B362&gt;=in_marketplace_from,d_hz_device*G362,0))</f>
        <v/>
      </c>
      <c r="AU363" s="14">
        <f>F363*AT363*IF(B363&gt;=in_marketplace_from,d_hz_device*G363,0)*in_device_ticket*in_device_comm*in_ins_partner_share</f>
        <v/>
      </c>
      <c r="AV363" s="40">
        <f>AV362*(1-IF(B362&gt;=in_marketplace_from,d_hz_shop*G362,0))</f>
        <v/>
      </c>
      <c r="AW363" s="46">
        <f>AV363*IF(B363&gt;=in_marketplace_from,d_hz_shop*G363,0)</f>
        <v/>
      </c>
      <c r="AX363" s="14">
        <f>F363*AW363*in_shop_ticket*in_shop_comm*in_ins_partner_share+F363*in_shop_ticket*in_shop_renew_comm*in_ins_partner_share*(in_shop_renew^1*SUMIFS(AW347:AW400,B347:B400,B363-12)+in_shop_renew^2*SUMIFS(AW347:AW400,B347:B400,B363-24)+in_shop_renew^3*SUMIFS(AW347:AW400,B347:B400,B363-36)+in_shop_renew^4*SUMIFS(AW347:AW400,B347:B400,B363-48))</f>
        <v/>
      </c>
      <c r="AY363" s="40">
        <f>AY362*(1-IF(B362&gt;=in_marketplace_from,d_hz_sip*G362,0))</f>
        <v/>
      </c>
      <c r="AZ363" s="40">
        <f>AZ362*d_rho_sip+AY363*IF(B363&gt;=in_marketplace_from,d_hz_sip*G363,0)</f>
        <v/>
      </c>
      <c r="BA363" s="40">
        <f>d_rho_sip*(BA362+AZ362)</f>
        <v/>
      </c>
      <c r="BB363" s="14">
        <f>F363*in_sip_ticket*(BA363+0.5*AZ363)*in_sip_comm/12</f>
        <v/>
      </c>
      <c r="BC363" s="40">
        <f>BC362*(1-IF(B362&gt;=in_marketplace_from,d_hz_choti*G362,0))</f>
        <v/>
      </c>
      <c r="BD363" s="46">
        <f>BC363*IF(B363&gt;=in_marketplace_from,d_hz_choti*G363,0)</f>
        <v/>
      </c>
      <c r="BE363" s="14">
        <f>F363*SUMIFS(BD347:BD400,B347:B400,B363-in_choti_months)*in_choti_renew*in_choti_ticket</f>
        <v/>
      </c>
      <c r="BF363" s="40">
        <f>BF362*(1-IF(B362&gt;=in_marketplace_from,d_hz_nps*G362,0))</f>
        <v/>
      </c>
      <c r="BG363" s="14">
        <f>F363*BF363*IF(B363&gt;=in_marketplace_from,d_hz_nps*G363,0)*in_nps_ticket*in_nps_comm</f>
        <v/>
      </c>
      <c r="BH363" s="40">
        <f>BH362*(1-IF(B362&gt;=in_marketplace_from,d_hz_gold*G362,0))</f>
        <v/>
      </c>
      <c r="BI363" s="40">
        <f>BI362*d_rho_gold+BH363*IF(B363&gt;=in_marketplace_from,d_hz_gold*G363,0)</f>
        <v/>
      </c>
      <c r="BJ363" s="14">
        <f>F363*BI363*in_gold_ticket*in_gold_comm</f>
        <v/>
      </c>
      <c r="BK363" s="40">
        <f>BK362*(1-IF(B362&gt;=in_marketplace_from,d_hz_fd*G362,0))</f>
        <v/>
      </c>
      <c r="BL363" s="14">
        <f>F363*BK363*IF(B363&gt;=in_marketplace_from,d_hz_fd*G363,0)*in_fd_ticket*in_fd_comm</f>
        <v/>
      </c>
      <c r="BM363" s="40">
        <f>BM362*(1-IF(B362&gt;=in_marketplace_from,d_hz_recharge*G362,0))</f>
        <v/>
      </c>
      <c r="BN363" s="40">
        <f>BN362*d_rho_recharge+BM363*IF(B363&gt;=in_marketplace_from,d_hz_recharge*G363,0)</f>
        <v/>
      </c>
      <c r="BO363" s="14">
        <f>F363*BN363*in_recharge_ticket*in_recharge_comm/12</f>
        <v/>
      </c>
      <c r="BP363" s="40">
        <f>BP362*(1-IF(B362&gt;=in_marketplace_from,d_hz_bills*G362,0))</f>
        <v/>
      </c>
      <c r="BQ363" s="40">
        <f>BQ362*d_rho_bills+BP363*IF(B363&gt;=in_marketplace_from,d_hz_bills*G363,0)</f>
        <v/>
      </c>
      <c r="BR363" s="14">
        <f>F363*BQ363*in_bills_ticket*in_bills_comm/12</f>
        <v/>
      </c>
      <c r="BS363" s="40">
        <f>BS362*(1-IF(B362&gt;=in_marketplace_from,d_hz_loan_gold*G362,0))</f>
        <v/>
      </c>
      <c r="BT363" s="14">
        <f>F363*BS363*IF(B363&gt;=in_marketplace_from,d_hz_loan_gold*G363,0)*in_loan_gold_ticket*in_loan_gold_comm</f>
        <v/>
      </c>
      <c r="BU363" s="40">
        <f>BU362*(1-IF(B362&gt;=in_marketplace_from,d_hz_loan_cd*G362,0))</f>
        <v/>
      </c>
      <c r="BV363" s="14">
        <f>F363*BU363*IF(B363&gt;=in_marketplace_from,d_hz_loan_cd*G363,0)*in_loan_cd_ticket*in_loan_cd_comm</f>
        <v/>
      </c>
      <c r="BW363" s="40">
        <f>BW362*(1-IF(B362&gt;=in_marketplace_from,d_hz_loan_vehicle*G362,0))</f>
        <v/>
      </c>
      <c r="BX363" s="14">
        <f>F363*BW363*IF(B363&gt;=in_marketplace_from,d_hz_loan_vehicle*G363,0)*in_loan_vehicle_ticket*in_loan_vehicle_comm</f>
        <v/>
      </c>
      <c r="BY363" s="40">
        <f>BY362*(1-IF(B362&gt;=in_marketplace_from,d_hz_loan_home*G362,0)*BZ362)</f>
        <v/>
      </c>
      <c r="BZ363" s="11">
        <f>MIN(in_approval_cap,in_loan_home_approval*INDEX('Age profile'!$O$2:$O$61,B363)*(1+in_approval_growth)^(D363-1))</f>
        <v/>
      </c>
      <c r="CA363" s="14">
        <f>F363*BY363*IF(B363&gt;=in_marketplace_from,d_hz_loan_home*G363,0)*BZ363*in_loan_home_ticket*in_loan_home_comm</f>
        <v/>
      </c>
      <c r="CB363" s="40">
        <f>CB362*(1-IF(B362&gt;=in_marketplace_from,d_hz_loan_lap*G362,0)*CC362)</f>
        <v/>
      </c>
      <c r="CC363" s="11">
        <f>MIN(in_approval_cap,in_loan_lap_approval*INDEX('Age profile'!$O$2:$O$61,B363)*(1+in_approval_growth)^(D363-1))</f>
        <v/>
      </c>
      <c r="CD363" s="14">
        <f>F363*CB363*IF(B363&gt;=in_marketplace_from,d_hz_loan_lap*G363,0)*CC363*in_loan_lap_ticket*in_loan_lap_comm</f>
        <v/>
      </c>
      <c r="CE363" s="14">
        <f>AA363+AB363+AC363+AD363+AG363+AJ363+AM363+AP363+AS363+AU363+AX363+BB363+BE363+BG363+BJ363+BL363+BO363+BR363+BT363+BV363+BX363+CA363+CD363</f>
        <v/>
      </c>
    </row>
    <row r="364">
      <c r="A364" s="39" t="n">
        <v>7</v>
      </c>
      <c r="B364" s="39" t="n">
        <v>18</v>
      </c>
      <c r="C364" s="39">
        <f>A364+B364-1</f>
        <v/>
      </c>
      <c r="D364" s="39">
        <f>INT((C364-1)/12)+1</f>
        <v/>
      </c>
      <c r="E364" s="44">
        <f>INDEX(Monthly!$B$2:$B$61,A364)</f>
        <v/>
      </c>
      <c r="F364" s="44">
        <f>E364*INDEX('Age profile'!$B$2:$B$61,B364)</f>
        <v/>
      </c>
      <c r="G364" s="45">
        <f>MIN(in_takeup_cap,INDEX('Age profile'!$N$2:$N$61,B364)*(1+in_takeup_growth)^(D364-1))</f>
        <v/>
      </c>
      <c r="H364" s="11">
        <f>MIN(in_approval_cap,in_approved_first*INDEX('Age profile'!$O$2:$O$61,B364)*(1+in_approval_growth)^(D364-1))</f>
        <v/>
      </c>
      <c r="I364" s="45">
        <f>G364*MIN(in_takeup_cap,INDEX('Age profile'!$O$2:$O$61,B364)*(1+in_approval_growth)^(D364-1))</f>
        <v/>
      </c>
      <c r="J364" s="40">
        <f>(J363-L363)*F364/F363</f>
        <v/>
      </c>
      <c r="K364" s="40">
        <f>(K363-M363)*F364/F363+SUMIFS(O347:O363,B347:B363,B364-1-d_T)*F364</f>
        <v/>
      </c>
      <c r="L364" s="40">
        <f>IF(B364&gt;=in_marketplace_from,J364*d_hz*G364*in_eligible*H364,0)</f>
        <v/>
      </c>
      <c r="M364" s="40">
        <f>IF(B364&gt;=in_marketplace_from,K364*d_hz*G364*in_eligible*in_approved_repeat,0)</f>
        <v/>
      </c>
      <c r="N364" s="40">
        <f>L364+M364</f>
        <v/>
      </c>
      <c r="O364" s="46">
        <f>N364/F364</f>
        <v/>
      </c>
      <c r="P364" s="40">
        <f>F364-J364-K364</f>
        <v/>
      </c>
      <c r="Q364" s="40">
        <f>IF(B364&gt;=in_marketplace_from,(J364+K364)*d_hz*G364,0)</f>
        <v/>
      </c>
      <c r="R364" s="40">
        <f>SUMIFS(N347:N400,B347:B400,"&gt;="&amp;(B364-d_T),B347:B400,"&lt;="&amp;(B364-1))</f>
        <v/>
      </c>
      <c r="S364" s="46">
        <f>(1-d_u)*S363+IF(d_T&gt;in_topup_lag,SUMIFS(O347:O400,B347:B400,B364-in_topup_lag)-d_udrop*SUMIFS(O347:O400,B347:B400,B364-d_T),0)</f>
        <v/>
      </c>
      <c r="T364" s="40">
        <f>F364*d_u*S364</f>
        <v/>
      </c>
      <c r="U364" s="9">
        <f>L364*in_ticket+M364*d_rep_ticket</f>
        <v/>
      </c>
      <c r="V364" s="9">
        <f>U364+T364*d_topup_amt</f>
        <v/>
      </c>
      <c r="W364" s="40">
        <f>N364+T364*d_topup_ratio</f>
        <v/>
      </c>
      <c r="X364" s="40">
        <f>SUMIFS(W347:W400,B347:B400,B364-in_dpd_lag)*d_cured</f>
        <v/>
      </c>
      <c r="Y364" s="40">
        <f>SUMIFS(W347:W400,B347:B400,B364-in_rec_lag)*d_recd</f>
        <v/>
      </c>
      <c r="Z364" s="40">
        <f>IF(AND(B364&gt;=in_marketplace_from,B364&lt;in_marketplace_from+in_card_months),in_card_share/in_card_months*F364*I364,IF(AND(B364&gt;=in_marketplace_from+in_card_months,B364&lt;in_marketplace_from+2*in_card_months),in_card_share*d_card_rem/in_card_months*F364*MIN(in_takeup_cap,(1+in_takeup_growth)^(D364-1))*MIN(in_takeup_cap,(1+in_approval_growth)^(D364-1)),0))</f>
        <v/>
      </c>
      <c r="AA364" s="14">
        <f>V364*in_fee*(1-in_taken_back)</f>
        <v/>
      </c>
      <c r="AB364" s="14">
        <f>SUMIFS(W347:W400,B347:B400,B364-in_dpd_lag)*d_dpd</f>
        <v/>
      </c>
      <c r="AC364" s="14">
        <f>SUMIFS(W347:W400,B347:B400,B364-in_rec_lag)*d_rec</f>
        <v/>
      </c>
      <c r="AD364" s="14">
        <f>Z364*in_card_fee</f>
        <v/>
      </c>
      <c r="AE364" s="40">
        <f>AE363*(1-IF(B363&gt;=in_marketplace_from,d_hz_hlth_small*G363,0))</f>
        <v/>
      </c>
      <c r="AF364" s="46">
        <f>AE364*IF(B364&gt;=in_marketplace_from,d_hz_hlth_small*G364,0)</f>
        <v/>
      </c>
      <c r="AG364" s="14">
        <f>F364*AF364*in_hlth_small_ticket*in_hlth_small_comm*in_ins_partner_share+F364*in_hlth_small_ticket*in_hlth_small_renew_comm*in_ins_partner_share*(in_hlth_small_renew^1*SUMIFS(AF347:AF400,B347:B400,B364-12)+in_hlth_small_renew^2*SUMIFS(AF347:AF400,B347:B400,B364-24)+in_hlth_small_renew^3*SUMIFS(AF347:AF400,B347:B400,B364-36)+in_hlth_small_renew^4*SUMIFS(AF347:AF400,B347:B400,B364-48))</f>
        <v/>
      </c>
      <c r="AH364" s="40">
        <f>AH363*(1-IF(B363&gt;=in_marketplace_from,d_hz_hlth_family*G363,0))</f>
        <v/>
      </c>
      <c r="AI364" s="46">
        <f>AH364*IF(B364&gt;=in_marketplace_from,d_hz_hlth_family*G364,0)</f>
        <v/>
      </c>
      <c r="AJ364" s="14">
        <f>F364*AI364*in_hlth_family_ticket*in_hlth_family_comm*in_ins_partner_share+F364*in_hlth_family_ticket*in_hlth_family_renew_comm*in_ins_partner_share*(in_hlth_family_renew^1*SUMIFS(AI347:AI400,B347:B400,B364-12)+in_hlth_family_renew^2*SUMIFS(AI347:AI400,B347:B400,B364-24)+in_hlth_family_renew^3*SUMIFS(AI347:AI400,B347:B400,B364-36)+in_hlth_family_renew^4*SUMIFS(AI347:AI400,B347:B400,B364-48))</f>
        <v/>
      </c>
      <c r="AK364" s="40">
        <f>AK363*(1-IF(B363&gt;=in_marketplace_from,d_hz_life_term*G363,0))</f>
        <v/>
      </c>
      <c r="AL364" s="46">
        <f>AK364*IF(B364&gt;=in_marketplace_from,d_hz_life_term*G364,0)</f>
        <v/>
      </c>
      <c r="AM364" s="14">
        <f>F364*AL364*in_life_term_ticket*in_life_term_comm*in_ins_partner_share+F364*in_life_term_ticket*in_life_term_renew_comm*in_ins_partner_share*(in_life_term_renew^1*SUMIFS(AL347:AL400,B347:B400,B364-12)+in_life_term_renew^2*SUMIFS(AL347:AL400,B347:B400,B364-24)+in_life_term_renew^3*SUMIFS(AL347:AL400,B347:B400,B364-36)+in_life_term_renew^4*SUMIFS(AL347:AL400,B347:B400,B364-48))</f>
        <v/>
      </c>
      <c r="AN364" s="40">
        <f>AN363*(1-IF(B363&gt;=in_marketplace_from,d_hz_accident*G363,0))</f>
        <v/>
      </c>
      <c r="AO364" s="46">
        <f>AN364*IF(B364&gt;=in_marketplace_from,d_hz_accident*G364,0)</f>
        <v/>
      </c>
      <c r="AP364" s="14">
        <f>F364*AO364*in_accident_ticket*in_accident_comm*in_ins_partner_share+F364*in_accident_ticket*in_accident_renew_comm*in_ins_partner_share*(in_accident_renew^1*SUMIFS(AO347:AO400,B347:B400,B364-12)+in_accident_renew^2*SUMIFS(AO347:AO400,B347:B400,B364-24)+in_accident_renew^3*SUMIFS(AO347:AO400,B347:B400,B364-36)+in_accident_renew^4*SUMIFS(AO347:AO400,B347:B400,B364-48))</f>
        <v/>
      </c>
      <c r="AQ364" s="40">
        <f>AQ363*(1-IF(B363&gt;=in_marketplace_from,d_hz_two_wheeler*G363,0))</f>
        <v/>
      </c>
      <c r="AR364" s="46">
        <f>AQ364*IF(B364&gt;=in_marketplace_from,d_hz_two_wheeler*G364,0)</f>
        <v/>
      </c>
      <c r="AS364" s="14">
        <f>F364*AR364*in_two_wheeler_ticket*in_two_wheeler_comm*in_ins_partner_share+F364*in_two_wheeler_ticket*in_two_wheeler_comm*in_ins_partner_share*(in_two_wheeler_renew^1*SUMIFS(AR347:AR400,B347:B400,B364-12)+in_two_wheeler_renew^2*SUMIFS(AR347:AR400,B347:B400,B364-24)+in_two_wheeler_renew^3*SUMIFS(AR347:AR400,B347:B400,B364-36)+in_two_wheeler_renew^4*SUMIFS(AR347:AR400,B347:B400,B364-48))</f>
        <v/>
      </c>
      <c r="AT364" s="40">
        <f>AT363*(1-IF(B363&gt;=in_marketplace_from,d_hz_device*G363,0))</f>
        <v/>
      </c>
      <c r="AU364" s="14">
        <f>F364*AT364*IF(B364&gt;=in_marketplace_from,d_hz_device*G364,0)*in_device_ticket*in_device_comm*in_ins_partner_share</f>
        <v/>
      </c>
      <c r="AV364" s="40">
        <f>AV363*(1-IF(B363&gt;=in_marketplace_from,d_hz_shop*G363,0))</f>
        <v/>
      </c>
      <c r="AW364" s="46">
        <f>AV364*IF(B364&gt;=in_marketplace_from,d_hz_shop*G364,0)</f>
        <v/>
      </c>
      <c r="AX364" s="14">
        <f>F364*AW364*in_shop_ticket*in_shop_comm*in_ins_partner_share+F364*in_shop_ticket*in_shop_renew_comm*in_ins_partner_share*(in_shop_renew^1*SUMIFS(AW347:AW400,B347:B400,B364-12)+in_shop_renew^2*SUMIFS(AW347:AW400,B347:B400,B364-24)+in_shop_renew^3*SUMIFS(AW347:AW400,B347:B400,B364-36)+in_shop_renew^4*SUMIFS(AW347:AW400,B347:B400,B364-48))</f>
        <v/>
      </c>
      <c r="AY364" s="40">
        <f>AY363*(1-IF(B363&gt;=in_marketplace_from,d_hz_sip*G363,0))</f>
        <v/>
      </c>
      <c r="AZ364" s="40">
        <f>AZ363*d_rho_sip+AY364*IF(B364&gt;=in_marketplace_from,d_hz_sip*G364,0)</f>
        <v/>
      </c>
      <c r="BA364" s="40">
        <f>d_rho_sip*(BA363+AZ363)</f>
        <v/>
      </c>
      <c r="BB364" s="14">
        <f>F364*in_sip_ticket*(BA364+0.5*AZ364)*in_sip_comm/12</f>
        <v/>
      </c>
      <c r="BC364" s="40">
        <f>BC363*(1-IF(B363&gt;=in_marketplace_from,d_hz_choti*G363,0))</f>
        <v/>
      </c>
      <c r="BD364" s="46">
        <f>BC364*IF(B364&gt;=in_marketplace_from,d_hz_choti*G364,0)</f>
        <v/>
      </c>
      <c r="BE364" s="14">
        <f>F364*SUMIFS(BD347:BD400,B347:B400,B364-in_choti_months)*in_choti_renew*in_choti_ticket</f>
        <v/>
      </c>
      <c r="BF364" s="40">
        <f>BF363*(1-IF(B363&gt;=in_marketplace_from,d_hz_nps*G363,0))</f>
        <v/>
      </c>
      <c r="BG364" s="14">
        <f>F364*BF364*IF(B364&gt;=in_marketplace_from,d_hz_nps*G364,0)*in_nps_ticket*in_nps_comm</f>
        <v/>
      </c>
      <c r="BH364" s="40">
        <f>BH363*(1-IF(B363&gt;=in_marketplace_from,d_hz_gold*G363,0))</f>
        <v/>
      </c>
      <c r="BI364" s="40">
        <f>BI363*d_rho_gold+BH364*IF(B364&gt;=in_marketplace_from,d_hz_gold*G364,0)</f>
        <v/>
      </c>
      <c r="BJ364" s="14">
        <f>F364*BI364*in_gold_ticket*in_gold_comm</f>
        <v/>
      </c>
      <c r="BK364" s="40">
        <f>BK363*(1-IF(B363&gt;=in_marketplace_from,d_hz_fd*G363,0))</f>
        <v/>
      </c>
      <c r="BL364" s="14">
        <f>F364*BK364*IF(B364&gt;=in_marketplace_from,d_hz_fd*G364,0)*in_fd_ticket*in_fd_comm</f>
        <v/>
      </c>
      <c r="BM364" s="40">
        <f>BM363*(1-IF(B363&gt;=in_marketplace_from,d_hz_recharge*G363,0))</f>
        <v/>
      </c>
      <c r="BN364" s="40">
        <f>BN363*d_rho_recharge+BM364*IF(B364&gt;=in_marketplace_from,d_hz_recharge*G364,0)</f>
        <v/>
      </c>
      <c r="BO364" s="14">
        <f>F364*BN364*in_recharge_ticket*in_recharge_comm/12</f>
        <v/>
      </c>
      <c r="BP364" s="40">
        <f>BP363*(1-IF(B363&gt;=in_marketplace_from,d_hz_bills*G363,0))</f>
        <v/>
      </c>
      <c r="BQ364" s="40">
        <f>BQ363*d_rho_bills+BP364*IF(B364&gt;=in_marketplace_from,d_hz_bills*G364,0)</f>
        <v/>
      </c>
      <c r="BR364" s="14">
        <f>F364*BQ364*in_bills_ticket*in_bills_comm/12</f>
        <v/>
      </c>
      <c r="BS364" s="40">
        <f>BS363*(1-IF(B363&gt;=in_marketplace_from,d_hz_loan_gold*G363,0))</f>
        <v/>
      </c>
      <c r="BT364" s="14">
        <f>F364*BS364*IF(B364&gt;=in_marketplace_from,d_hz_loan_gold*G364,0)*in_loan_gold_ticket*in_loan_gold_comm</f>
        <v/>
      </c>
      <c r="BU364" s="40">
        <f>BU363*(1-IF(B363&gt;=in_marketplace_from,d_hz_loan_cd*G363,0))</f>
        <v/>
      </c>
      <c r="BV364" s="14">
        <f>F364*BU364*IF(B364&gt;=in_marketplace_from,d_hz_loan_cd*G364,0)*in_loan_cd_ticket*in_loan_cd_comm</f>
        <v/>
      </c>
      <c r="BW364" s="40">
        <f>BW363*(1-IF(B363&gt;=in_marketplace_from,d_hz_loan_vehicle*G363,0))</f>
        <v/>
      </c>
      <c r="BX364" s="14">
        <f>F364*BW364*IF(B364&gt;=in_marketplace_from,d_hz_loan_vehicle*G364,0)*in_loan_vehicle_ticket*in_loan_vehicle_comm</f>
        <v/>
      </c>
      <c r="BY364" s="40">
        <f>BY363*(1-IF(B363&gt;=in_marketplace_from,d_hz_loan_home*G363,0)*BZ363)</f>
        <v/>
      </c>
      <c r="BZ364" s="11">
        <f>MIN(in_approval_cap,in_loan_home_approval*INDEX('Age profile'!$O$2:$O$61,B364)*(1+in_approval_growth)^(D364-1))</f>
        <v/>
      </c>
      <c r="CA364" s="14">
        <f>F364*BY364*IF(B364&gt;=in_marketplace_from,d_hz_loan_home*G364,0)*BZ364*in_loan_home_ticket*in_loan_home_comm</f>
        <v/>
      </c>
      <c r="CB364" s="40">
        <f>CB363*(1-IF(B363&gt;=in_marketplace_from,d_hz_loan_lap*G363,0)*CC363)</f>
        <v/>
      </c>
      <c r="CC364" s="11">
        <f>MIN(in_approval_cap,in_loan_lap_approval*INDEX('Age profile'!$O$2:$O$61,B364)*(1+in_approval_growth)^(D364-1))</f>
        <v/>
      </c>
      <c r="CD364" s="14">
        <f>F364*CB364*IF(B364&gt;=in_marketplace_from,d_hz_loan_lap*G364,0)*CC364*in_loan_lap_ticket*in_loan_lap_comm</f>
        <v/>
      </c>
      <c r="CE364" s="14">
        <f>AA364+AB364+AC364+AD364+AG364+AJ364+AM364+AP364+AS364+AU364+AX364+BB364+BE364+BG364+BJ364+BL364+BO364+BR364+BT364+BV364+BX364+CA364+CD364</f>
        <v/>
      </c>
    </row>
    <row r="365">
      <c r="A365" s="39" t="n">
        <v>7</v>
      </c>
      <c r="B365" s="39" t="n">
        <v>19</v>
      </c>
      <c r="C365" s="39">
        <f>A365+B365-1</f>
        <v/>
      </c>
      <c r="D365" s="39">
        <f>INT((C365-1)/12)+1</f>
        <v/>
      </c>
      <c r="E365" s="44">
        <f>INDEX(Monthly!$B$2:$B$61,A365)</f>
        <v/>
      </c>
      <c r="F365" s="44">
        <f>E365*INDEX('Age profile'!$B$2:$B$61,B365)</f>
        <v/>
      </c>
      <c r="G365" s="45">
        <f>MIN(in_takeup_cap,INDEX('Age profile'!$N$2:$N$61,B365)*(1+in_takeup_growth)^(D365-1))</f>
        <v/>
      </c>
      <c r="H365" s="11">
        <f>MIN(in_approval_cap,in_approved_first*INDEX('Age profile'!$O$2:$O$61,B365)*(1+in_approval_growth)^(D365-1))</f>
        <v/>
      </c>
      <c r="I365" s="45">
        <f>G365*MIN(in_takeup_cap,INDEX('Age profile'!$O$2:$O$61,B365)*(1+in_approval_growth)^(D365-1))</f>
        <v/>
      </c>
      <c r="J365" s="40">
        <f>(J364-L364)*F365/F364</f>
        <v/>
      </c>
      <c r="K365" s="40">
        <f>(K364-M364)*F365/F364+SUMIFS(O347:O364,B347:B364,B365-1-d_T)*F365</f>
        <v/>
      </c>
      <c r="L365" s="40">
        <f>IF(B365&gt;=in_marketplace_from,J365*d_hz*G365*in_eligible*H365,0)</f>
        <v/>
      </c>
      <c r="M365" s="40">
        <f>IF(B365&gt;=in_marketplace_from,K365*d_hz*G365*in_eligible*in_approved_repeat,0)</f>
        <v/>
      </c>
      <c r="N365" s="40">
        <f>L365+M365</f>
        <v/>
      </c>
      <c r="O365" s="46">
        <f>N365/F365</f>
        <v/>
      </c>
      <c r="P365" s="40">
        <f>F365-J365-K365</f>
        <v/>
      </c>
      <c r="Q365" s="40">
        <f>IF(B365&gt;=in_marketplace_from,(J365+K365)*d_hz*G365,0)</f>
        <v/>
      </c>
      <c r="R365" s="40">
        <f>SUMIFS(N347:N400,B347:B400,"&gt;="&amp;(B365-d_T),B347:B400,"&lt;="&amp;(B365-1))</f>
        <v/>
      </c>
      <c r="S365" s="46">
        <f>(1-d_u)*S364+IF(d_T&gt;in_topup_lag,SUMIFS(O347:O400,B347:B400,B365-in_topup_lag)-d_udrop*SUMIFS(O347:O400,B347:B400,B365-d_T),0)</f>
        <v/>
      </c>
      <c r="T365" s="40">
        <f>F365*d_u*S365</f>
        <v/>
      </c>
      <c r="U365" s="9">
        <f>L365*in_ticket+M365*d_rep_ticket</f>
        <v/>
      </c>
      <c r="V365" s="9">
        <f>U365+T365*d_topup_amt</f>
        <v/>
      </c>
      <c r="W365" s="40">
        <f>N365+T365*d_topup_ratio</f>
        <v/>
      </c>
      <c r="X365" s="40">
        <f>SUMIFS(W347:W400,B347:B400,B365-in_dpd_lag)*d_cured</f>
        <v/>
      </c>
      <c r="Y365" s="40">
        <f>SUMIFS(W347:W400,B347:B400,B365-in_rec_lag)*d_recd</f>
        <v/>
      </c>
      <c r="Z365" s="40">
        <f>IF(AND(B365&gt;=in_marketplace_from,B365&lt;in_marketplace_from+in_card_months),in_card_share/in_card_months*F365*I365,IF(AND(B365&gt;=in_marketplace_from+in_card_months,B365&lt;in_marketplace_from+2*in_card_months),in_card_share*d_card_rem/in_card_months*F365*MIN(in_takeup_cap,(1+in_takeup_growth)^(D365-1))*MIN(in_takeup_cap,(1+in_approval_growth)^(D365-1)),0))</f>
        <v/>
      </c>
      <c r="AA365" s="14">
        <f>V365*in_fee*(1-in_taken_back)</f>
        <v/>
      </c>
      <c r="AB365" s="14">
        <f>SUMIFS(W347:W400,B347:B400,B365-in_dpd_lag)*d_dpd</f>
        <v/>
      </c>
      <c r="AC365" s="14">
        <f>SUMIFS(W347:W400,B347:B400,B365-in_rec_lag)*d_rec</f>
        <v/>
      </c>
      <c r="AD365" s="14">
        <f>Z365*in_card_fee</f>
        <v/>
      </c>
      <c r="AE365" s="40">
        <f>AE364*(1-IF(B364&gt;=in_marketplace_from,d_hz_hlth_small*G364,0))</f>
        <v/>
      </c>
      <c r="AF365" s="46">
        <f>AE365*IF(B365&gt;=in_marketplace_from,d_hz_hlth_small*G365,0)</f>
        <v/>
      </c>
      <c r="AG365" s="14">
        <f>F365*AF365*in_hlth_small_ticket*in_hlth_small_comm*in_ins_partner_share+F365*in_hlth_small_ticket*in_hlth_small_renew_comm*in_ins_partner_share*(in_hlth_small_renew^1*SUMIFS(AF347:AF400,B347:B400,B365-12)+in_hlth_small_renew^2*SUMIFS(AF347:AF400,B347:B400,B365-24)+in_hlth_small_renew^3*SUMIFS(AF347:AF400,B347:B400,B365-36)+in_hlth_small_renew^4*SUMIFS(AF347:AF400,B347:B400,B365-48))</f>
        <v/>
      </c>
      <c r="AH365" s="40">
        <f>AH364*(1-IF(B364&gt;=in_marketplace_from,d_hz_hlth_family*G364,0))</f>
        <v/>
      </c>
      <c r="AI365" s="46">
        <f>AH365*IF(B365&gt;=in_marketplace_from,d_hz_hlth_family*G365,0)</f>
        <v/>
      </c>
      <c r="AJ365" s="14">
        <f>F365*AI365*in_hlth_family_ticket*in_hlth_family_comm*in_ins_partner_share+F365*in_hlth_family_ticket*in_hlth_family_renew_comm*in_ins_partner_share*(in_hlth_family_renew^1*SUMIFS(AI347:AI400,B347:B400,B365-12)+in_hlth_family_renew^2*SUMIFS(AI347:AI400,B347:B400,B365-24)+in_hlth_family_renew^3*SUMIFS(AI347:AI400,B347:B400,B365-36)+in_hlth_family_renew^4*SUMIFS(AI347:AI400,B347:B400,B365-48))</f>
        <v/>
      </c>
      <c r="AK365" s="40">
        <f>AK364*(1-IF(B364&gt;=in_marketplace_from,d_hz_life_term*G364,0))</f>
        <v/>
      </c>
      <c r="AL365" s="46">
        <f>AK365*IF(B365&gt;=in_marketplace_from,d_hz_life_term*G365,0)</f>
        <v/>
      </c>
      <c r="AM365" s="14">
        <f>F365*AL365*in_life_term_ticket*in_life_term_comm*in_ins_partner_share+F365*in_life_term_ticket*in_life_term_renew_comm*in_ins_partner_share*(in_life_term_renew^1*SUMIFS(AL347:AL400,B347:B400,B365-12)+in_life_term_renew^2*SUMIFS(AL347:AL400,B347:B400,B365-24)+in_life_term_renew^3*SUMIFS(AL347:AL400,B347:B400,B365-36)+in_life_term_renew^4*SUMIFS(AL347:AL400,B347:B400,B365-48))</f>
        <v/>
      </c>
      <c r="AN365" s="40">
        <f>AN364*(1-IF(B364&gt;=in_marketplace_from,d_hz_accident*G364,0))</f>
        <v/>
      </c>
      <c r="AO365" s="46">
        <f>AN365*IF(B365&gt;=in_marketplace_from,d_hz_accident*G365,0)</f>
        <v/>
      </c>
      <c r="AP365" s="14">
        <f>F365*AO365*in_accident_ticket*in_accident_comm*in_ins_partner_share+F365*in_accident_ticket*in_accident_renew_comm*in_ins_partner_share*(in_accident_renew^1*SUMIFS(AO347:AO400,B347:B400,B365-12)+in_accident_renew^2*SUMIFS(AO347:AO400,B347:B400,B365-24)+in_accident_renew^3*SUMIFS(AO347:AO400,B347:B400,B365-36)+in_accident_renew^4*SUMIFS(AO347:AO400,B347:B400,B365-48))</f>
        <v/>
      </c>
      <c r="AQ365" s="40">
        <f>AQ364*(1-IF(B364&gt;=in_marketplace_from,d_hz_two_wheeler*G364,0))</f>
        <v/>
      </c>
      <c r="AR365" s="46">
        <f>AQ365*IF(B365&gt;=in_marketplace_from,d_hz_two_wheeler*G365,0)</f>
        <v/>
      </c>
      <c r="AS365" s="14">
        <f>F365*AR365*in_two_wheeler_ticket*in_two_wheeler_comm*in_ins_partner_share+F365*in_two_wheeler_ticket*in_two_wheeler_comm*in_ins_partner_share*(in_two_wheeler_renew^1*SUMIFS(AR347:AR400,B347:B400,B365-12)+in_two_wheeler_renew^2*SUMIFS(AR347:AR400,B347:B400,B365-24)+in_two_wheeler_renew^3*SUMIFS(AR347:AR400,B347:B400,B365-36)+in_two_wheeler_renew^4*SUMIFS(AR347:AR400,B347:B400,B365-48))</f>
        <v/>
      </c>
      <c r="AT365" s="40">
        <f>AT364*(1-IF(B364&gt;=in_marketplace_from,d_hz_device*G364,0))</f>
        <v/>
      </c>
      <c r="AU365" s="14">
        <f>F365*AT365*IF(B365&gt;=in_marketplace_from,d_hz_device*G365,0)*in_device_ticket*in_device_comm*in_ins_partner_share</f>
        <v/>
      </c>
      <c r="AV365" s="40">
        <f>AV364*(1-IF(B364&gt;=in_marketplace_from,d_hz_shop*G364,0))</f>
        <v/>
      </c>
      <c r="AW365" s="46">
        <f>AV365*IF(B365&gt;=in_marketplace_from,d_hz_shop*G365,0)</f>
        <v/>
      </c>
      <c r="AX365" s="14">
        <f>F365*AW365*in_shop_ticket*in_shop_comm*in_ins_partner_share+F365*in_shop_ticket*in_shop_renew_comm*in_ins_partner_share*(in_shop_renew^1*SUMIFS(AW347:AW400,B347:B400,B365-12)+in_shop_renew^2*SUMIFS(AW347:AW400,B347:B400,B365-24)+in_shop_renew^3*SUMIFS(AW347:AW400,B347:B400,B365-36)+in_shop_renew^4*SUMIFS(AW347:AW400,B347:B400,B365-48))</f>
        <v/>
      </c>
      <c r="AY365" s="40">
        <f>AY364*(1-IF(B364&gt;=in_marketplace_from,d_hz_sip*G364,0))</f>
        <v/>
      </c>
      <c r="AZ365" s="40">
        <f>AZ364*d_rho_sip+AY365*IF(B365&gt;=in_marketplace_from,d_hz_sip*G365,0)</f>
        <v/>
      </c>
      <c r="BA365" s="40">
        <f>d_rho_sip*(BA364+AZ364)</f>
        <v/>
      </c>
      <c r="BB365" s="14">
        <f>F365*in_sip_ticket*(BA365+0.5*AZ365)*in_sip_comm/12</f>
        <v/>
      </c>
      <c r="BC365" s="40">
        <f>BC364*(1-IF(B364&gt;=in_marketplace_from,d_hz_choti*G364,0))</f>
        <v/>
      </c>
      <c r="BD365" s="46">
        <f>BC365*IF(B365&gt;=in_marketplace_from,d_hz_choti*G365,0)</f>
        <v/>
      </c>
      <c r="BE365" s="14">
        <f>F365*SUMIFS(BD347:BD400,B347:B400,B365-in_choti_months)*in_choti_renew*in_choti_ticket</f>
        <v/>
      </c>
      <c r="BF365" s="40">
        <f>BF364*(1-IF(B364&gt;=in_marketplace_from,d_hz_nps*G364,0))</f>
        <v/>
      </c>
      <c r="BG365" s="14">
        <f>F365*BF365*IF(B365&gt;=in_marketplace_from,d_hz_nps*G365,0)*in_nps_ticket*in_nps_comm</f>
        <v/>
      </c>
      <c r="BH365" s="40">
        <f>BH364*(1-IF(B364&gt;=in_marketplace_from,d_hz_gold*G364,0))</f>
        <v/>
      </c>
      <c r="BI365" s="40">
        <f>BI364*d_rho_gold+BH365*IF(B365&gt;=in_marketplace_from,d_hz_gold*G365,0)</f>
        <v/>
      </c>
      <c r="BJ365" s="14">
        <f>F365*BI365*in_gold_ticket*in_gold_comm</f>
        <v/>
      </c>
      <c r="BK365" s="40">
        <f>BK364*(1-IF(B364&gt;=in_marketplace_from,d_hz_fd*G364,0))</f>
        <v/>
      </c>
      <c r="BL365" s="14">
        <f>F365*BK365*IF(B365&gt;=in_marketplace_from,d_hz_fd*G365,0)*in_fd_ticket*in_fd_comm</f>
        <v/>
      </c>
      <c r="BM365" s="40">
        <f>BM364*(1-IF(B364&gt;=in_marketplace_from,d_hz_recharge*G364,0))</f>
        <v/>
      </c>
      <c r="BN365" s="40">
        <f>BN364*d_rho_recharge+BM365*IF(B365&gt;=in_marketplace_from,d_hz_recharge*G365,0)</f>
        <v/>
      </c>
      <c r="BO365" s="14">
        <f>F365*BN365*in_recharge_ticket*in_recharge_comm/12</f>
        <v/>
      </c>
      <c r="BP365" s="40">
        <f>BP364*(1-IF(B364&gt;=in_marketplace_from,d_hz_bills*G364,0))</f>
        <v/>
      </c>
      <c r="BQ365" s="40">
        <f>BQ364*d_rho_bills+BP365*IF(B365&gt;=in_marketplace_from,d_hz_bills*G365,0)</f>
        <v/>
      </c>
      <c r="BR365" s="14">
        <f>F365*BQ365*in_bills_ticket*in_bills_comm/12</f>
        <v/>
      </c>
      <c r="BS365" s="40">
        <f>BS364*(1-IF(B364&gt;=in_marketplace_from,d_hz_loan_gold*G364,0))</f>
        <v/>
      </c>
      <c r="BT365" s="14">
        <f>F365*BS365*IF(B365&gt;=in_marketplace_from,d_hz_loan_gold*G365,0)*in_loan_gold_ticket*in_loan_gold_comm</f>
        <v/>
      </c>
      <c r="BU365" s="40">
        <f>BU364*(1-IF(B364&gt;=in_marketplace_from,d_hz_loan_cd*G364,0))</f>
        <v/>
      </c>
      <c r="BV365" s="14">
        <f>F365*BU365*IF(B365&gt;=in_marketplace_from,d_hz_loan_cd*G365,0)*in_loan_cd_ticket*in_loan_cd_comm</f>
        <v/>
      </c>
      <c r="BW365" s="40">
        <f>BW364*(1-IF(B364&gt;=in_marketplace_from,d_hz_loan_vehicle*G364,0))</f>
        <v/>
      </c>
      <c r="BX365" s="14">
        <f>F365*BW365*IF(B365&gt;=in_marketplace_from,d_hz_loan_vehicle*G365,0)*in_loan_vehicle_ticket*in_loan_vehicle_comm</f>
        <v/>
      </c>
      <c r="BY365" s="40">
        <f>BY364*(1-IF(B364&gt;=in_marketplace_from,d_hz_loan_home*G364,0)*BZ364)</f>
        <v/>
      </c>
      <c r="BZ365" s="11">
        <f>MIN(in_approval_cap,in_loan_home_approval*INDEX('Age profile'!$O$2:$O$61,B365)*(1+in_approval_growth)^(D365-1))</f>
        <v/>
      </c>
      <c r="CA365" s="14">
        <f>F365*BY365*IF(B365&gt;=in_marketplace_from,d_hz_loan_home*G365,0)*BZ365*in_loan_home_ticket*in_loan_home_comm</f>
        <v/>
      </c>
      <c r="CB365" s="40">
        <f>CB364*(1-IF(B364&gt;=in_marketplace_from,d_hz_loan_lap*G364,0)*CC364)</f>
        <v/>
      </c>
      <c r="CC365" s="11">
        <f>MIN(in_approval_cap,in_loan_lap_approval*INDEX('Age profile'!$O$2:$O$61,B365)*(1+in_approval_growth)^(D365-1))</f>
        <v/>
      </c>
      <c r="CD365" s="14">
        <f>F365*CB365*IF(B365&gt;=in_marketplace_from,d_hz_loan_lap*G365,0)*CC365*in_loan_lap_ticket*in_loan_lap_comm</f>
        <v/>
      </c>
      <c r="CE365" s="14">
        <f>AA365+AB365+AC365+AD365+AG365+AJ365+AM365+AP365+AS365+AU365+AX365+BB365+BE365+BG365+BJ365+BL365+BO365+BR365+BT365+BV365+BX365+CA365+CD365</f>
        <v/>
      </c>
    </row>
    <row r="366">
      <c r="A366" s="39" t="n">
        <v>7</v>
      </c>
      <c r="B366" s="39" t="n">
        <v>20</v>
      </c>
      <c r="C366" s="39">
        <f>A366+B366-1</f>
        <v/>
      </c>
      <c r="D366" s="39">
        <f>INT((C366-1)/12)+1</f>
        <v/>
      </c>
      <c r="E366" s="44">
        <f>INDEX(Monthly!$B$2:$B$61,A366)</f>
        <v/>
      </c>
      <c r="F366" s="44">
        <f>E366*INDEX('Age profile'!$B$2:$B$61,B366)</f>
        <v/>
      </c>
      <c r="G366" s="45">
        <f>MIN(in_takeup_cap,INDEX('Age profile'!$N$2:$N$61,B366)*(1+in_takeup_growth)^(D366-1))</f>
        <v/>
      </c>
      <c r="H366" s="11">
        <f>MIN(in_approval_cap,in_approved_first*INDEX('Age profile'!$O$2:$O$61,B366)*(1+in_approval_growth)^(D366-1))</f>
        <v/>
      </c>
      <c r="I366" s="45">
        <f>G366*MIN(in_takeup_cap,INDEX('Age profile'!$O$2:$O$61,B366)*(1+in_approval_growth)^(D366-1))</f>
        <v/>
      </c>
      <c r="J366" s="40">
        <f>(J365-L365)*F366/F365</f>
        <v/>
      </c>
      <c r="K366" s="40">
        <f>(K365-M365)*F366/F365+SUMIFS(O347:O365,B347:B365,B366-1-d_T)*F366</f>
        <v/>
      </c>
      <c r="L366" s="40">
        <f>IF(B366&gt;=in_marketplace_from,J366*d_hz*G366*in_eligible*H366,0)</f>
        <v/>
      </c>
      <c r="M366" s="40">
        <f>IF(B366&gt;=in_marketplace_from,K366*d_hz*G366*in_eligible*in_approved_repeat,0)</f>
        <v/>
      </c>
      <c r="N366" s="40">
        <f>L366+M366</f>
        <v/>
      </c>
      <c r="O366" s="46">
        <f>N366/F366</f>
        <v/>
      </c>
      <c r="P366" s="40">
        <f>F366-J366-K366</f>
        <v/>
      </c>
      <c r="Q366" s="40">
        <f>IF(B366&gt;=in_marketplace_from,(J366+K366)*d_hz*G366,0)</f>
        <v/>
      </c>
      <c r="R366" s="40">
        <f>SUMIFS(N347:N400,B347:B400,"&gt;="&amp;(B366-d_T),B347:B400,"&lt;="&amp;(B366-1))</f>
        <v/>
      </c>
      <c r="S366" s="46">
        <f>(1-d_u)*S365+IF(d_T&gt;in_topup_lag,SUMIFS(O347:O400,B347:B400,B366-in_topup_lag)-d_udrop*SUMIFS(O347:O400,B347:B400,B366-d_T),0)</f>
        <v/>
      </c>
      <c r="T366" s="40">
        <f>F366*d_u*S366</f>
        <v/>
      </c>
      <c r="U366" s="9">
        <f>L366*in_ticket+M366*d_rep_ticket</f>
        <v/>
      </c>
      <c r="V366" s="9">
        <f>U366+T366*d_topup_amt</f>
        <v/>
      </c>
      <c r="W366" s="40">
        <f>N366+T366*d_topup_ratio</f>
        <v/>
      </c>
      <c r="X366" s="40">
        <f>SUMIFS(W347:W400,B347:B400,B366-in_dpd_lag)*d_cured</f>
        <v/>
      </c>
      <c r="Y366" s="40">
        <f>SUMIFS(W347:W400,B347:B400,B366-in_rec_lag)*d_recd</f>
        <v/>
      </c>
      <c r="Z366" s="40">
        <f>IF(AND(B366&gt;=in_marketplace_from,B366&lt;in_marketplace_from+in_card_months),in_card_share/in_card_months*F366*I366,IF(AND(B366&gt;=in_marketplace_from+in_card_months,B366&lt;in_marketplace_from+2*in_card_months),in_card_share*d_card_rem/in_card_months*F366*MIN(in_takeup_cap,(1+in_takeup_growth)^(D366-1))*MIN(in_takeup_cap,(1+in_approval_growth)^(D366-1)),0))</f>
        <v/>
      </c>
      <c r="AA366" s="14">
        <f>V366*in_fee*(1-in_taken_back)</f>
        <v/>
      </c>
      <c r="AB366" s="14">
        <f>SUMIFS(W347:W400,B347:B400,B366-in_dpd_lag)*d_dpd</f>
        <v/>
      </c>
      <c r="AC366" s="14">
        <f>SUMIFS(W347:W400,B347:B400,B366-in_rec_lag)*d_rec</f>
        <v/>
      </c>
      <c r="AD366" s="14">
        <f>Z366*in_card_fee</f>
        <v/>
      </c>
      <c r="AE366" s="40">
        <f>AE365*(1-IF(B365&gt;=in_marketplace_from,d_hz_hlth_small*G365,0))</f>
        <v/>
      </c>
      <c r="AF366" s="46">
        <f>AE366*IF(B366&gt;=in_marketplace_from,d_hz_hlth_small*G366,0)</f>
        <v/>
      </c>
      <c r="AG366" s="14">
        <f>F366*AF366*in_hlth_small_ticket*in_hlth_small_comm*in_ins_partner_share+F366*in_hlth_small_ticket*in_hlth_small_renew_comm*in_ins_partner_share*(in_hlth_small_renew^1*SUMIFS(AF347:AF400,B347:B400,B366-12)+in_hlth_small_renew^2*SUMIFS(AF347:AF400,B347:B400,B366-24)+in_hlth_small_renew^3*SUMIFS(AF347:AF400,B347:B400,B366-36)+in_hlth_small_renew^4*SUMIFS(AF347:AF400,B347:B400,B366-48))</f>
        <v/>
      </c>
      <c r="AH366" s="40">
        <f>AH365*(1-IF(B365&gt;=in_marketplace_from,d_hz_hlth_family*G365,0))</f>
        <v/>
      </c>
      <c r="AI366" s="46">
        <f>AH366*IF(B366&gt;=in_marketplace_from,d_hz_hlth_family*G366,0)</f>
        <v/>
      </c>
      <c r="AJ366" s="14">
        <f>F366*AI366*in_hlth_family_ticket*in_hlth_family_comm*in_ins_partner_share+F366*in_hlth_family_ticket*in_hlth_family_renew_comm*in_ins_partner_share*(in_hlth_family_renew^1*SUMIFS(AI347:AI400,B347:B400,B366-12)+in_hlth_family_renew^2*SUMIFS(AI347:AI400,B347:B400,B366-24)+in_hlth_family_renew^3*SUMIFS(AI347:AI400,B347:B400,B366-36)+in_hlth_family_renew^4*SUMIFS(AI347:AI400,B347:B400,B366-48))</f>
        <v/>
      </c>
      <c r="AK366" s="40">
        <f>AK365*(1-IF(B365&gt;=in_marketplace_from,d_hz_life_term*G365,0))</f>
        <v/>
      </c>
      <c r="AL366" s="46">
        <f>AK366*IF(B366&gt;=in_marketplace_from,d_hz_life_term*G366,0)</f>
        <v/>
      </c>
      <c r="AM366" s="14">
        <f>F366*AL366*in_life_term_ticket*in_life_term_comm*in_ins_partner_share+F366*in_life_term_ticket*in_life_term_renew_comm*in_ins_partner_share*(in_life_term_renew^1*SUMIFS(AL347:AL400,B347:B400,B366-12)+in_life_term_renew^2*SUMIFS(AL347:AL400,B347:B400,B366-24)+in_life_term_renew^3*SUMIFS(AL347:AL400,B347:B400,B366-36)+in_life_term_renew^4*SUMIFS(AL347:AL400,B347:B400,B366-48))</f>
        <v/>
      </c>
      <c r="AN366" s="40">
        <f>AN365*(1-IF(B365&gt;=in_marketplace_from,d_hz_accident*G365,0))</f>
        <v/>
      </c>
      <c r="AO366" s="46">
        <f>AN366*IF(B366&gt;=in_marketplace_from,d_hz_accident*G366,0)</f>
        <v/>
      </c>
      <c r="AP366" s="14">
        <f>F366*AO366*in_accident_ticket*in_accident_comm*in_ins_partner_share+F366*in_accident_ticket*in_accident_renew_comm*in_ins_partner_share*(in_accident_renew^1*SUMIFS(AO347:AO400,B347:B400,B366-12)+in_accident_renew^2*SUMIFS(AO347:AO400,B347:B400,B366-24)+in_accident_renew^3*SUMIFS(AO347:AO400,B347:B400,B366-36)+in_accident_renew^4*SUMIFS(AO347:AO400,B347:B400,B366-48))</f>
        <v/>
      </c>
      <c r="AQ366" s="40">
        <f>AQ365*(1-IF(B365&gt;=in_marketplace_from,d_hz_two_wheeler*G365,0))</f>
        <v/>
      </c>
      <c r="AR366" s="46">
        <f>AQ366*IF(B366&gt;=in_marketplace_from,d_hz_two_wheeler*G366,0)</f>
        <v/>
      </c>
      <c r="AS366" s="14">
        <f>F366*AR366*in_two_wheeler_ticket*in_two_wheeler_comm*in_ins_partner_share+F366*in_two_wheeler_ticket*in_two_wheeler_comm*in_ins_partner_share*(in_two_wheeler_renew^1*SUMIFS(AR347:AR400,B347:B400,B366-12)+in_two_wheeler_renew^2*SUMIFS(AR347:AR400,B347:B400,B366-24)+in_two_wheeler_renew^3*SUMIFS(AR347:AR400,B347:B400,B366-36)+in_two_wheeler_renew^4*SUMIFS(AR347:AR400,B347:B400,B366-48))</f>
        <v/>
      </c>
      <c r="AT366" s="40">
        <f>AT365*(1-IF(B365&gt;=in_marketplace_from,d_hz_device*G365,0))</f>
        <v/>
      </c>
      <c r="AU366" s="14">
        <f>F366*AT366*IF(B366&gt;=in_marketplace_from,d_hz_device*G366,0)*in_device_ticket*in_device_comm*in_ins_partner_share</f>
        <v/>
      </c>
      <c r="AV366" s="40">
        <f>AV365*(1-IF(B365&gt;=in_marketplace_from,d_hz_shop*G365,0))</f>
        <v/>
      </c>
      <c r="AW366" s="46">
        <f>AV366*IF(B366&gt;=in_marketplace_from,d_hz_shop*G366,0)</f>
        <v/>
      </c>
      <c r="AX366" s="14">
        <f>F366*AW366*in_shop_ticket*in_shop_comm*in_ins_partner_share+F366*in_shop_ticket*in_shop_renew_comm*in_ins_partner_share*(in_shop_renew^1*SUMIFS(AW347:AW400,B347:B400,B366-12)+in_shop_renew^2*SUMIFS(AW347:AW400,B347:B400,B366-24)+in_shop_renew^3*SUMIFS(AW347:AW400,B347:B400,B366-36)+in_shop_renew^4*SUMIFS(AW347:AW400,B347:B400,B366-48))</f>
        <v/>
      </c>
      <c r="AY366" s="40">
        <f>AY365*(1-IF(B365&gt;=in_marketplace_from,d_hz_sip*G365,0))</f>
        <v/>
      </c>
      <c r="AZ366" s="40">
        <f>AZ365*d_rho_sip+AY366*IF(B366&gt;=in_marketplace_from,d_hz_sip*G366,0)</f>
        <v/>
      </c>
      <c r="BA366" s="40">
        <f>d_rho_sip*(BA365+AZ365)</f>
        <v/>
      </c>
      <c r="BB366" s="14">
        <f>F366*in_sip_ticket*(BA366+0.5*AZ366)*in_sip_comm/12</f>
        <v/>
      </c>
      <c r="BC366" s="40">
        <f>BC365*(1-IF(B365&gt;=in_marketplace_from,d_hz_choti*G365,0))</f>
        <v/>
      </c>
      <c r="BD366" s="46">
        <f>BC366*IF(B366&gt;=in_marketplace_from,d_hz_choti*G366,0)</f>
        <v/>
      </c>
      <c r="BE366" s="14">
        <f>F366*SUMIFS(BD347:BD400,B347:B400,B366-in_choti_months)*in_choti_renew*in_choti_ticket</f>
        <v/>
      </c>
      <c r="BF366" s="40">
        <f>BF365*(1-IF(B365&gt;=in_marketplace_from,d_hz_nps*G365,0))</f>
        <v/>
      </c>
      <c r="BG366" s="14">
        <f>F366*BF366*IF(B366&gt;=in_marketplace_from,d_hz_nps*G366,0)*in_nps_ticket*in_nps_comm</f>
        <v/>
      </c>
      <c r="BH366" s="40">
        <f>BH365*(1-IF(B365&gt;=in_marketplace_from,d_hz_gold*G365,0))</f>
        <v/>
      </c>
      <c r="BI366" s="40">
        <f>BI365*d_rho_gold+BH366*IF(B366&gt;=in_marketplace_from,d_hz_gold*G366,0)</f>
        <v/>
      </c>
      <c r="BJ366" s="14">
        <f>F366*BI366*in_gold_ticket*in_gold_comm</f>
        <v/>
      </c>
      <c r="BK366" s="40">
        <f>BK365*(1-IF(B365&gt;=in_marketplace_from,d_hz_fd*G365,0))</f>
        <v/>
      </c>
      <c r="BL366" s="14">
        <f>F366*BK366*IF(B366&gt;=in_marketplace_from,d_hz_fd*G366,0)*in_fd_ticket*in_fd_comm</f>
        <v/>
      </c>
      <c r="BM366" s="40">
        <f>BM365*(1-IF(B365&gt;=in_marketplace_from,d_hz_recharge*G365,0))</f>
        <v/>
      </c>
      <c r="BN366" s="40">
        <f>BN365*d_rho_recharge+BM366*IF(B366&gt;=in_marketplace_from,d_hz_recharge*G366,0)</f>
        <v/>
      </c>
      <c r="BO366" s="14">
        <f>F366*BN366*in_recharge_ticket*in_recharge_comm/12</f>
        <v/>
      </c>
      <c r="BP366" s="40">
        <f>BP365*(1-IF(B365&gt;=in_marketplace_from,d_hz_bills*G365,0))</f>
        <v/>
      </c>
      <c r="BQ366" s="40">
        <f>BQ365*d_rho_bills+BP366*IF(B366&gt;=in_marketplace_from,d_hz_bills*G366,0)</f>
        <v/>
      </c>
      <c r="BR366" s="14">
        <f>F366*BQ366*in_bills_ticket*in_bills_comm/12</f>
        <v/>
      </c>
      <c r="BS366" s="40">
        <f>BS365*(1-IF(B365&gt;=in_marketplace_from,d_hz_loan_gold*G365,0))</f>
        <v/>
      </c>
      <c r="BT366" s="14">
        <f>F366*BS366*IF(B366&gt;=in_marketplace_from,d_hz_loan_gold*G366,0)*in_loan_gold_ticket*in_loan_gold_comm</f>
        <v/>
      </c>
      <c r="BU366" s="40">
        <f>BU365*(1-IF(B365&gt;=in_marketplace_from,d_hz_loan_cd*G365,0))</f>
        <v/>
      </c>
      <c r="BV366" s="14">
        <f>F366*BU366*IF(B366&gt;=in_marketplace_from,d_hz_loan_cd*G366,0)*in_loan_cd_ticket*in_loan_cd_comm</f>
        <v/>
      </c>
      <c r="BW366" s="40">
        <f>BW365*(1-IF(B365&gt;=in_marketplace_from,d_hz_loan_vehicle*G365,0))</f>
        <v/>
      </c>
      <c r="BX366" s="14">
        <f>F366*BW366*IF(B366&gt;=in_marketplace_from,d_hz_loan_vehicle*G366,0)*in_loan_vehicle_ticket*in_loan_vehicle_comm</f>
        <v/>
      </c>
      <c r="BY366" s="40">
        <f>BY365*(1-IF(B365&gt;=in_marketplace_from,d_hz_loan_home*G365,0)*BZ365)</f>
        <v/>
      </c>
      <c r="BZ366" s="11">
        <f>MIN(in_approval_cap,in_loan_home_approval*INDEX('Age profile'!$O$2:$O$61,B366)*(1+in_approval_growth)^(D366-1))</f>
        <v/>
      </c>
      <c r="CA366" s="14">
        <f>F366*BY366*IF(B366&gt;=in_marketplace_from,d_hz_loan_home*G366,0)*BZ366*in_loan_home_ticket*in_loan_home_comm</f>
        <v/>
      </c>
      <c r="CB366" s="40">
        <f>CB365*(1-IF(B365&gt;=in_marketplace_from,d_hz_loan_lap*G365,0)*CC365)</f>
        <v/>
      </c>
      <c r="CC366" s="11">
        <f>MIN(in_approval_cap,in_loan_lap_approval*INDEX('Age profile'!$O$2:$O$61,B366)*(1+in_approval_growth)^(D366-1))</f>
        <v/>
      </c>
      <c r="CD366" s="14">
        <f>F366*CB366*IF(B366&gt;=in_marketplace_from,d_hz_loan_lap*G366,0)*CC366*in_loan_lap_ticket*in_loan_lap_comm</f>
        <v/>
      </c>
      <c r="CE366" s="14">
        <f>AA366+AB366+AC366+AD366+AG366+AJ366+AM366+AP366+AS366+AU366+AX366+BB366+BE366+BG366+BJ366+BL366+BO366+BR366+BT366+BV366+BX366+CA366+CD366</f>
        <v/>
      </c>
    </row>
    <row r="367">
      <c r="A367" s="39" t="n">
        <v>7</v>
      </c>
      <c r="B367" s="39" t="n">
        <v>21</v>
      </c>
      <c r="C367" s="39">
        <f>A367+B367-1</f>
        <v/>
      </c>
      <c r="D367" s="39">
        <f>INT((C367-1)/12)+1</f>
        <v/>
      </c>
      <c r="E367" s="44">
        <f>INDEX(Monthly!$B$2:$B$61,A367)</f>
        <v/>
      </c>
      <c r="F367" s="44">
        <f>E367*INDEX('Age profile'!$B$2:$B$61,B367)</f>
        <v/>
      </c>
      <c r="G367" s="45">
        <f>MIN(in_takeup_cap,INDEX('Age profile'!$N$2:$N$61,B367)*(1+in_takeup_growth)^(D367-1))</f>
        <v/>
      </c>
      <c r="H367" s="11">
        <f>MIN(in_approval_cap,in_approved_first*INDEX('Age profile'!$O$2:$O$61,B367)*(1+in_approval_growth)^(D367-1))</f>
        <v/>
      </c>
      <c r="I367" s="45">
        <f>G367*MIN(in_takeup_cap,INDEX('Age profile'!$O$2:$O$61,B367)*(1+in_approval_growth)^(D367-1))</f>
        <v/>
      </c>
      <c r="J367" s="40">
        <f>(J366-L366)*F367/F366</f>
        <v/>
      </c>
      <c r="K367" s="40">
        <f>(K366-M366)*F367/F366+SUMIFS(O347:O366,B347:B366,B367-1-d_T)*F367</f>
        <v/>
      </c>
      <c r="L367" s="40">
        <f>IF(B367&gt;=in_marketplace_from,J367*d_hz*G367*in_eligible*H367,0)</f>
        <v/>
      </c>
      <c r="M367" s="40">
        <f>IF(B367&gt;=in_marketplace_from,K367*d_hz*G367*in_eligible*in_approved_repeat,0)</f>
        <v/>
      </c>
      <c r="N367" s="40">
        <f>L367+M367</f>
        <v/>
      </c>
      <c r="O367" s="46">
        <f>N367/F367</f>
        <v/>
      </c>
      <c r="P367" s="40">
        <f>F367-J367-K367</f>
        <v/>
      </c>
      <c r="Q367" s="40">
        <f>IF(B367&gt;=in_marketplace_from,(J367+K367)*d_hz*G367,0)</f>
        <v/>
      </c>
      <c r="R367" s="40">
        <f>SUMIFS(N347:N400,B347:B400,"&gt;="&amp;(B367-d_T),B347:B400,"&lt;="&amp;(B367-1))</f>
        <v/>
      </c>
      <c r="S367" s="46">
        <f>(1-d_u)*S366+IF(d_T&gt;in_topup_lag,SUMIFS(O347:O400,B347:B400,B367-in_topup_lag)-d_udrop*SUMIFS(O347:O400,B347:B400,B367-d_T),0)</f>
        <v/>
      </c>
      <c r="T367" s="40">
        <f>F367*d_u*S367</f>
        <v/>
      </c>
      <c r="U367" s="9">
        <f>L367*in_ticket+M367*d_rep_ticket</f>
        <v/>
      </c>
      <c r="V367" s="9">
        <f>U367+T367*d_topup_amt</f>
        <v/>
      </c>
      <c r="W367" s="40">
        <f>N367+T367*d_topup_ratio</f>
        <v/>
      </c>
      <c r="X367" s="40">
        <f>SUMIFS(W347:W400,B347:B400,B367-in_dpd_lag)*d_cured</f>
        <v/>
      </c>
      <c r="Y367" s="40">
        <f>SUMIFS(W347:W400,B347:B400,B367-in_rec_lag)*d_recd</f>
        <v/>
      </c>
      <c r="Z367" s="40">
        <f>IF(AND(B367&gt;=in_marketplace_from,B367&lt;in_marketplace_from+in_card_months),in_card_share/in_card_months*F367*I367,IF(AND(B367&gt;=in_marketplace_from+in_card_months,B367&lt;in_marketplace_from+2*in_card_months),in_card_share*d_card_rem/in_card_months*F367*MIN(in_takeup_cap,(1+in_takeup_growth)^(D367-1))*MIN(in_takeup_cap,(1+in_approval_growth)^(D367-1)),0))</f>
        <v/>
      </c>
      <c r="AA367" s="14">
        <f>V367*in_fee*(1-in_taken_back)</f>
        <v/>
      </c>
      <c r="AB367" s="14">
        <f>SUMIFS(W347:W400,B347:B400,B367-in_dpd_lag)*d_dpd</f>
        <v/>
      </c>
      <c r="AC367" s="14">
        <f>SUMIFS(W347:W400,B347:B400,B367-in_rec_lag)*d_rec</f>
        <v/>
      </c>
      <c r="AD367" s="14">
        <f>Z367*in_card_fee</f>
        <v/>
      </c>
      <c r="AE367" s="40">
        <f>AE366*(1-IF(B366&gt;=in_marketplace_from,d_hz_hlth_small*G366,0))</f>
        <v/>
      </c>
      <c r="AF367" s="46">
        <f>AE367*IF(B367&gt;=in_marketplace_from,d_hz_hlth_small*G367,0)</f>
        <v/>
      </c>
      <c r="AG367" s="14">
        <f>F367*AF367*in_hlth_small_ticket*in_hlth_small_comm*in_ins_partner_share+F367*in_hlth_small_ticket*in_hlth_small_renew_comm*in_ins_partner_share*(in_hlth_small_renew^1*SUMIFS(AF347:AF400,B347:B400,B367-12)+in_hlth_small_renew^2*SUMIFS(AF347:AF400,B347:B400,B367-24)+in_hlth_small_renew^3*SUMIFS(AF347:AF400,B347:B400,B367-36)+in_hlth_small_renew^4*SUMIFS(AF347:AF400,B347:B400,B367-48))</f>
        <v/>
      </c>
      <c r="AH367" s="40">
        <f>AH366*(1-IF(B366&gt;=in_marketplace_from,d_hz_hlth_family*G366,0))</f>
        <v/>
      </c>
      <c r="AI367" s="46">
        <f>AH367*IF(B367&gt;=in_marketplace_from,d_hz_hlth_family*G367,0)</f>
        <v/>
      </c>
      <c r="AJ367" s="14">
        <f>F367*AI367*in_hlth_family_ticket*in_hlth_family_comm*in_ins_partner_share+F367*in_hlth_family_ticket*in_hlth_family_renew_comm*in_ins_partner_share*(in_hlth_family_renew^1*SUMIFS(AI347:AI400,B347:B400,B367-12)+in_hlth_family_renew^2*SUMIFS(AI347:AI400,B347:B400,B367-24)+in_hlth_family_renew^3*SUMIFS(AI347:AI400,B347:B400,B367-36)+in_hlth_family_renew^4*SUMIFS(AI347:AI400,B347:B400,B367-48))</f>
        <v/>
      </c>
      <c r="AK367" s="40">
        <f>AK366*(1-IF(B366&gt;=in_marketplace_from,d_hz_life_term*G366,0))</f>
        <v/>
      </c>
      <c r="AL367" s="46">
        <f>AK367*IF(B367&gt;=in_marketplace_from,d_hz_life_term*G367,0)</f>
        <v/>
      </c>
      <c r="AM367" s="14">
        <f>F367*AL367*in_life_term_ticket*in_life_term_comm*in_ins_partner_share+F367*in_life_term_ticket*in_life_term_renew_comm*in_ins_partner_share*(in_life_term_renew^1*SUMIFS(AL347:AL400,B347:B400,B367-12)+in_life_term_renew^2*SUMIFS(AL347:AL400,B347:B400,B367-24)+in_life_term_renew^3*SUMIFS(AL347:AL400,B347:B400,B367-36)+in_life_term_renew^4*SUMIFS(AL347:AL400,B347:B400,B367-48))</f>
        <v/>
      </c>
      <c r="AN367" s="40">
        <f>AN366*(1-IF(B366&gt;=in_marketplace_from,d_hz_accident*G366,0))</f>
        <v/>
      </c>
      <c r="AO367" s="46">
        <f>AN367*IF(B367&gt;=in_marketplace_from,d_hz_accident*G367,0)</f>
        <v/>
      </c>
      <c r="AP367" s="14">
        <f>F367*AO367*in_accident_ticket*in_accident_comm*in_ins_partner_share+F367*in_accident_ticket*in_accident_renew_comm*in_ins_partner_share*(in_accident_renew^1*SUMIFS(AO347:AO400,B347:B400,B367-12)+in_accident_renew^2*SUMIFS(AO347:AO400,B347:B400,B367-24)+in_accident_renew^3*SUMIFS(AO347:AO400,B347:B400,B367-36)+in_accident_renew^4*SUMIFS(AO347:AO400,B347:B400,B367-48))</f>
        <v/>
      </c>
      <c r="AQ367" s="40">
        <f>AQ366*(1-IF(B366&gt;=in_marketplace_from,d_hz_two_wheeler*G366,0))</f>
        <v/>
      </c>
      <c r="AR367" s="46">
        <f>AQ367*IF(B367&gt;=in_marketplace_from,d_hz_two_wheeler*G367,0)</f>
        <v/>
      </c>
      <c r="AS367" s="14">
        <f>F367*AR367*in_two_wheeler_ticket*in_two_wheeler_comm*in_ins_partner_share+F367*in_two_wheeler_ticket*in_two_wheeler_comm*in_ins_partner_share*(in_two_wheeler_renew^1*SUMIFS(AR347:AR400,B347:B400,B367-12)+in_two_wheeler_renew^2*SUMIFS(AR347:AR400,B347:B400,B367-24)+in_two_wheeler_renew^3*SUMIFS(AR347:AR400,B347:B400,B367-36)+in_two_wheeler_renew^4*SUMIFS(AR347:AR400,B347:B400,B367-48))</f>
        <v/>
      </c>
      <c r="AT367" s="40">
        <f>AT366*(1-IF(B366&gt;=in_marketplace_from,d_hz_device*G366,0))</f>
        <v/>
      </c>
      <c r="AU367" s="14">
        <f>F367*AT367*IF(B367&gt;=in_marketplace_from,d_hz_device*G367,0)*in_device_ticket*in_device_comm*in_ins_partner_share</f>
        <v/>
      </c>
      <c r="AV367" s="40">
        <f>AV366*(1-IF(B366&gt;=in_marketplace_from,d_hz_shop*G366,0))</f>
        <v/>
      </c>
      <c r="AW367" s="46">
        <f>AV367*IF(B367&gt;=in_marketplace_from,d_hz_shop*G367,0)</f>
        <v/>
      </c>
      <c r="AX367" s="14">
        <f>F367*AW367*in_shop_ticket*in_shop_comm*in_ins_partner_share+F367*in_shop_ticket*in_shop_renew_comm*in_ins_partner_share*(in_shop_renew^1*SUMIFS(AW347:AW400,B347:B400,B367-12)+in_shop_renew^2*SUMIFS(AW347:AW400,B347:B400,B367-24)+in_shop_renew^3*SUMIFS(AW347:AW400,B347:B400,B367-36)+in_shop_renew^4*SUMIFS(AW347:AW400,B347:B400,B367-48))</f>
        <v/>
      </c>
      <c r="AY367" s="40">
        <f>AY366*(1-IF(B366&gt;=in_marketplace_from,d_hz_sip*G366,0))</f>
        <v/>
      </c>
      <c r="AZ367" s="40">
        <f>AZ366*d_rho_sip+AY367*IF(B367&gt;=in_marketplace_from,d_hz_sip*G367,0)</f>
        <v/>
      </c>
      <c r="BA367" s="40">
        <f>d_rho_sip*(BA366+AZ366)</f>
        <v/>
      </c>
      <c r="BB367" s="14">
        <f>F367*in_sip_ticket*(BA367+0.5*AZ367)*in_sip_comm/12</f>
        <v/>
      </c>
      <c r="BC367" s="40">
        <f>BC366*(1-IF(B366&gt;=in_marketplace_from,d_hz_choti*G366,0))</f>
        <v/>
      </c>
      <c r="BD367" s="46">
        <f>BC367*IF(B367&gt;=in_marketplace_from,d_hz_choti*G367,0)</f>
        <v/>
      </c>
      <c r="BE367" s="14">
        <f>F367*SUMIFS(BD347:BD400,B347:B400,B367-in_choti_months)*in_choti_renew*in_choti_ticket</f>
        <v/>
      </c>
      <c r="BF367" s="40">
        <f>BF366*(1-IF(B366&gt;=in_marketplace_from,d_hz_nps*G366,0))</f>
        <v/>
      </c>
      <c r="BG367" s="14">
        <f>F367*BF367*IF(B367&gt;=in_marketplace_from,d_hz_nps*G367,0)*in_nps_ticket*in_nps_comm</f>
        <v/>
      </c>
      <c r="BH367" s="40">
        <f>BH366*(1-IF(B366&gt;=in_marketplace_from,d_hz_gold*G366,0))</f>
        <v/>
      </c>
      <c r="BI367" s="40">
        <f>BI366*d_rho_gold+BH367*IF(B367&gt;=in_marketplace_from,d_hz_gold*G367,0)</f>
        <v/>
      </c>
      <c r="BJ367" s="14">
        <f>F367*BI367*in_gold_ticket*in_gold_comm</f>
        <v/>
      </c>
      <c r="BK367" s="40">
        <f>BK366*(1-IF(B366&gt;=in_marketplace_from,d_hz_fd*G366,0))</f>
        <v/>
      </c>
      <c r="BL367" s="14">
        <f>F367*BK367*IF(B367&gt;=in_marketplace_from,d_hz_fd*G367,0)*in_fd_ticket*in_fd_comm</f>
        <v/>
      </c>
      <c r="BM367" s="40">
        <f>BM366*(1-IF(B366&gt;=in_marketplace_from,d_hz_recharge*G366,0))</f>
        <v/>
      </c>
      <c r="BN367" s="40">
        <f>BN366*d_rho_recharge+BM367*IF(B367&gt;=in_marketplace_from,d_hz_recharge*G367,0)</f>
        <v/>
      </c>
      <c r="BO367" s="14">
        <f>F367*BN367*in_recharge_ticket*in_recharge_comm/12</f>
        <v/>
      </c>
      <c r="BP367" s="40">
        <f>BP366*(1-IF(B366&gt;=in_marketplace_from,d_hz_bills*G366,0))</f>
        <v/>
      </c>
      <c r="BQ367" s="40">
        <f>BQ366*d_rho_bills+BP367*IF(B367&gt;=in_marketplace_from,d_hz_bills*G367,0)</f>
        <v/>
      </c>
      <c r="BR367" s="14">
        <f>F367*BQ367*in_bills_ticket*in_bills_comm/12</f>
        <v/>
      </c>
      <c r="BS367" s="40">
        <f>BS366*(1-IF(B366&gt;=in_marketplace_from,d_hz_loan_gold*G366,0))</f>
        <v/>
      </c>
      <c r="BT367" s="14">
        <f>F367*BS367*IF(B367&gt;=in_marketplace_from,d_hz_loan_gold*G367,0)*in_loan_gold_ticket*in_loan_gold_comm</f>
        <v/>
      </c>
      <c r="BU367" s="40">
        <f>BU366*(1-IF(B366&gt;=in_marketplace_from,d_hz_loan_cd*G366,0))</f>
        <v/>
      </c>
      <c r="BV367" s="14">
        <f>F367*BU367*IF(B367&gt;=in_marketplace_from,d_hz_loan_cd*G367,0)*in_loan_cd_ticket*in_loan_cd_comm</f>
        <v/>
      </c>
      <c r="BW367" s="40">
        <f>BW366*(1-IF(B366&gt;=in_marketplace_from,d_hz_loan_vehicle*G366,0))</f>
        <v/>
      </c>
      <c r="BX367" s="14">
        <f>F367*BW367*IF(B367&gt;=in_marketplace_from,d_hz_loan_vehicle*G367,0)*in_loan_vehicle_ticket*in_loan_vehicle_comm</f>
        <v/>
      </c>
      <c r="BY367" s="40">
        <f>BY366*(1-IF(B366&gt;=in_marketplace_from,d_hz_loan_home*G366,0)*BZ366)</f>
        <v/>
      </c>
      <c r="BZ367" s="11">
        <f>MIN(in_approval_cap,in_loan_home_approval*INDEX('Age profile'!$O$2:$O$61,B367)*(1+in_approval_growth)^(D367-1))</f>
        <v/>
      </c>
      <c r="CA367" s="14">
        <f>F367*BY367*IF(B367&gt;=in_marketplace_from,d_hz_loan_home*G367,0)*BZ367*in_loan_home_ticket*in_loan_home_comm</f>
        <v/>
      </c>
      <c r="CB367" s="40">
        <f>CB366*(1-IF(B366&gt;=in_marketplace_from,d_hz_loan_lap*G366,0)*CC366)</f>
        <v/>
      </c>
      <c r="CC367" s="11">
        <f>MIN(in_approval_cap,in_loan_lap_approval*INDEX('Age profile'!$O$2:$O$61,B367)*(1+in_approval_growth)^(D367-1))</f>
        <v/>
      </c>
      <c r="CD367" s="14">
        <f>F367*CB367*IF(B367&gt;=in_marketplace_from,d_hz_loan_lap*G367,0)*CC367*in_loan_lap_ticket*in_loan_lap_comm</f>
        <v/>
      </c>
      <c r="CE367" s="14">
        <f>AA367+AB367+AC367+AD367+AG367+AJ367+AM367+AP367+AS367+AU367+AX367+BB367+BE367+BG367+BJ367+BL367+BO367+BR367+BT367+BV367+BX367+CA367+CD367</f>
        <v/>
      </c>
    </row>
    <row r="368">
      <c r="A368" s="39" t="n">
        <v>7</v>
      </c>
      <c r="B368" s="39" t="n">
        <v>22</v>
      </c>
      <c r="C368" s="39">
        <f>A368+B368-1</f>
        <v/>
      </c>
      <c r="D368" s="39">
        <f>INT((C368-1)/12)+1</f>
        <v/>
      </c>
      <c r="E368" s="44">
        <f>INDEX(Monthly!$B$2:$B$61,A368)</f>
        <v/>
      </c>
      <c r="F368" s="44">
        <f>E368*INDEX('Age profile'!$B$2:$B$61,B368)</f>
        <v/>
      </c>
      <c r="G368" s="45">
        <f>MIN(in_takeup_cap,INDEX('Age profile'!$N$2:$N$61,B368)*(1+in_takeup_growth)^(D368-1))</f>
        <v/>
      </c>
      <c r="H368" s="11">
        <f>MIN(in_approval_cap,in_approved_first*INDEX('Age profile'!$O$2:$O$61,B368)*(1+in_approval_growth)^(D368-1))</f>
        <v/>
      </c>
      <c r="I368" s="45">
        <f>G368*MIN(in_takeup_cap,INDEX('Age profile'!$O$2:$O$61,B368)*(1+in_approval_growth)^(D368-1))</f>
        <v/>
      </c>
      <c r="J368" s="40">
        <f>(J367-L367)*F368/F367</f>
        <v/>
      </c>
      <c r="K368" s="40">
        <f>(K367-M367)*F368/F367+SUMIFS(O347:O367,B347:B367,B368-1-d_T)*F368</f>
        <v/>
      </c>
      <c r="L368" s="40">
        <f>IF(B368&gt;=in_marketplace_from,J368*d_hz*G368*in_eligible*H368,0)</f>
        <v/>
      </c>
      <c r="M368" s="40">
        <f>IF(B368&gt;=in_marketplace_from,K368*d_hz*G368*in_eligible*in_approved_repeat,0)</f>
        <v/>
      </c>
      <c r="N368" s="40">
        <f>L368+M368</f>
        <v/>
      </c>
      <c r="O368" s="46">
        <f>N368/F368</f>
        <v/>
      </c>
      <c r="P368" s="40">
        <f>F368-J368-K368</f>
        <v/>
      </c>
      <c r="Q368" s="40">
        <f>IF(B368&gt;=in_marketplace_from,(J368+K368)*d_hz*G368,0)</f>
        <v/>
      </c>
      <c r="R368" s="40">
        <f>SUMIFS(N347:N400,B347:B400,"&gt;="&amp;(B368-d_T),B347:B400,"&lt;="&amp;(B368-1))</f>
        <v/>
      </c>
      <c r="S368" s="46">
        <f>(1-d_u)*S367+IF(d_T&gt;in_topup_lag,SUMIFS(O347:O400,B347:B400,B368-in_topup_lag)-d_udrop*SUMIFS(O347:O400,B347:B400,B368-d_T),0)</f>
        <v/>
      </c>
      <c r="T368" s="40">
        <f>F368*d_u*S368</f>
        <v/>
      </c>
      <c r="U368" s="9">
        <f>L368*in_ticket+M368*d_rep_ticket</f>
        <v/>
      </c>
      <c r="V368" s="9">
        <f>U368+T368*d_topup_amt</f>
        <v/>
      </c>
      <c r="W368" s="40">
        <f>N368+T368*d_topup_ratio</f>
        <v/>
      </c>
      <c r="X368" s="40">
        <f>SUMIFS(W347:W400,B347:B400,B368-in_dpd_lag)*d_cured</f>
        <v/>
      </c>
      <c r="Y368" s="40">
        <f>SUMIFS(W347:W400,B347:B400,B368-in_rec_lag)*d_recd</f>
        <v/>
      </c>
      <c r="Z368" s="40">
        <f>IF(AND(B368&gt;=in_marketplace_from,B368&lt;in_marketplace_from+in_card_months),in_card_share/in_card_months*F368*I368,IF(AND(B368&gt;=in_marketplace_from+in_card_months,B368&lt;in_marketplace_from+2*in_card_months),in_card_share*d_card_rem/in_card_months*F368*MIN(in_takeup_cap,(1+in_takeup_growth)^(D368-1))*MIN(in_takeup_cap,(1+in_approval_growth)^(D368-1)),0))</f>
        <v/>
      </c>
      <c r="AA368" s="14">
        <f>V368*in_fee*(1-in_taken_back)</f>
        <v/>
      </c>
      <c r="AB368" s="14">
        <f>SUMIFS(W347:W400,B347:B400,B368-in_dpd_lag)*d_dpd</f>
        <v/>
      </c>
      <c r="AC368" s="14">
        <f>SUMIFS(W347:W400,B347:B400,B368-in_rec_lag)*d_rec</f>
        <v/>
      </c>
      <c r="AD368" s="14">
        <f>Z368*in_card_fee</f>
        <v/>
      </c>
      <c r="AE368" s="40">
        <f>AE367*(1-IF(B367&gt;=in_marketplace_from,d_hz_hlth_small*G367,0))</f>
        <v/>
      </c>
      <c r="AF368" s="46">
        <f>AE368*IF(B368&gt;=in_marketplace_from,d_hz_hlth_small*G368,0)</f>
        <v/>
      </c>
      <c r="AG368" s="14">
        <f>F368*AF368*in_hlth_small_ticket*in_hlth_small_comm*in_ins_partner_share+F368*in_hlth_small_ticket*in_hlth_small_renew_comm*in_ins_partner_share*(in_hlth_small_renew^1*SUMIFS(AF347:AF400,B347:B400,B368-12)+in_hlth_small_renew^2*SUMIFS(AF347:AF400,B347:B400,B368-24)+in_hlth_small_renew^3*SUMIFS(AF347:AF400,B347:B400,B368-36)+in_hlth_small_renew^4*SUMIFS(AF347:AF400,B347:B400,B368-48))</f>
        <v/>
      </c>
      <c r="AH368" s="40">
        <f>AH367*(1-IF(B367&gt;=in_marketplace_from,d_hz_hlth_family*G367,0))</f>
        <v/>
      </c>
      <c r="AI368" s="46">
        <f>AH368*IF(B368&gt;=in_marketplace_from,d_hz_hlth_family*G368,0)</f>
        <v/>
      </c>
      <c r="AJ368" s="14">
        <f>F368*AI368*in_hlth_family_ticket*in_hlth_family_comm*in_ins_partner_share+F368*in_hlth_family_ticket*in_hlth_family_renew_comm*in_ins_partner_share*(in_hlth_family_renew^1*SUMIFS(AI347:AI400,B347:B400,B368-12)+in_hlth_family_renew^2*SUMIFS(AI347:AI400,B347:B400,B368-24)+in_hlth_family_renew^3*SUMIFS(AI347:AI400,B347:B400,B368-36)+in_hlth_family_renew^4*SUMIFS(AI347:AI400,B347:B400,B368-48))</f>
        <v/>
      </c>
      <c r="AK368" s="40">
        <f>AK367*(1-IF(B367&gt;=in_marketplace_from,d_hz_life_term*G367,0))</f>
        <v/>
      </c>
      <c r="AL368" s="46">
        <f>AK368*IF(B368&gt;=in_marketplace_from,d_hz_life_term*G368,0)</f>
        <v/>
      </c>
      <c r="AM368" s="14">
        <f>F368*AL368*in_life_term_ticket*in_life_term_comm*in_ins_partner_share+F368*in_life_term_ticket*in_life_term_renew_comm*in_ins_partner_share*(in_life_term_renew^1*SUMIFS(AL347:AL400,B347:B400,B368-12)+in_life_term_renew^2*SUMIFS(AL347:AL400,B347:B400,B368-24)+in_life_term_renew^3*SUMIFS(AL347:AL400,B347:B400,B368-36)+in_life_term_renew^4*SUMIFS(AL347:AL400,B347:B400,B368-48))</f>
        <v/>
      </c>
      <c r="AN368" s="40">
        <f>AN367*(1-IF(B367&gt;=in_marketplace_from,d_hz_accident*G367,0))</f>
        <v/>
      </c>
      <c r="AO368" s="46">
        <f>AN368*IF(B368&gt;=in_marketplace_from,d_hz_accident*G368,0)</f>
        <v/>
      </c>
      <c r="AP368" s="14">
        <f>F368*AO368*in_accident_ticket*in_accident_comm*in_ins_partner_share+F368*in_accident_ticket*in_accident_renew_comm*in_ins_partner_share*(in_accident_renew^1*SUMIFS(AO347:AO400,B347:B400,B368-12)+in_accident_renew^2*SUMIFS(AO347:AO400,B347:B400,B368-24)+in_accident_renew^3*SUMIFS(AO347:AO400,B347:B400,B368-36)+in_accident_renew^4*SUMIFS(AO347:AO400,B347:B400,B368-48))</f>
        <v/>
      </c>
      <c r="AQ368" s="40">
        <f>AQ367*(1-IF(B367&gt;=in_marketplace_from,d_hz_two_wheeler*G367,0))</f>
        <v/>
      </c>
      <c r="AR368" s="46">
        <f>AQ368*IF(B368&gt;=in_marketplace_from,d_hz_two_wheeler*G368,0)</f>
        <v/>
      </c>
      <c r="AS368" s="14">
        <f>F368*AR368*in_two_wheeler_ticket*in_two_wheeler_comm*in_ins_partner_share+F368*in_two_wheeler_ticket*in_two_wheeler_comm*in_ins_partner_share*(in_two_wheeler_renew^1*SUMIFS(AR347:AR400,B347:B400,B368-12)+in_two_wheeler_renew^2*SUMIFS(AR347:AR400,B347:B400,B368-24)+in_two_wheeler_renew^3*SUMIFS(AR347:AR400,B347:B400,B368-36)+in_two_wheeler_renew^4*SUMIFS(AR347:AR400,B347:B400,B368-48))</f>
        <v/>
      </c>
      <c r="AT368" s="40">
        <f>AT367*(1-IF(B367&gt;=in_marketplace_from,d_hz_device*G367,0))</f>
        <v/>
      </c>
      <c r="AU368" s="14">
        <f>F368*AT368*IF(B368&gt;=in_marketplace_from,d_hz_device*G368,0)*in_device_ticket*in_device_comm*in_ins_partner_share</f>
        <v/>
      </c>
      <c r="AV368" s="40">
        <f>AV367*(1-IF(B367&gt;=in_marketplace_from,d_hz_shop*G367,0))</f>
        <v/>
      </c>
      <c r="AW368" s="46">
        <f>AV368*IF(B368&gt;=in_marketplace_from,d_hz_shop*G368,0)</f>
        <v/>
      </c>
      <c r="AX368" s="14">
        <f>F368*AW368*in_shop_ticket*in_shop_comm*in_ins_partner_share+F368*in_shop_ticket*in_shop_renew_comm*in_ins_partner_share*(in_shop_renew^1*SUMIFS(AW347:AW400,B347:B400,B368-12)+in_shop_renew^2*SUMIFS(AW347:AW400,B347:B400,B368-24)+in_shop_renew^3*SUMIFS(AW347:AW400,B347:B400,B368-36)+in_shop_renew^4*SUMIFS(AW347:AW400,B347:B400,B368-48))</f>
        <v/>
      </c>
      <c r="AY368" s="40">
        <f>AY367*(1-IF(B367&gt;=in_marketplace_from,d_hz_sip*G367,0))</f>
        <v/>
      </c>
      <c r="AZ368" s="40">
        <f>AZ367*d_rho_sip+AY368*IF(B368&gt;=in_marketplace_from,d_hz_sip*G368,0)</f>
        <v/>
      </c>
      <c r="BA368" s="40">
        <f>d_rho_sip*(BA367+AZ367)</f>
        <v/>
      </c>
      <c r="BB368" s="14">
        <f>F368*in_sip_ticket*(BA368+0.5*AZ368)*in_sip_comm/12</f>
        <v/>
      </c>
      <c r="BC368" s="40">
        <f>BC367*(1-IF(B367&gt;=in_marketplace_from,d_hz_choti*G367,0))</f>
        <v/>
      </c>
      <c r="BD368" s="46">
        <f>BC368*IF(B368&gt;=in_marketplace_from,d_hz_choti*G368,0)</f>
        <v/>
      </c>
      <c r="BE368" s="14">
        <f>F368*SUMIFS(BD347:BD400,B347:B400,B368-in_choti_months)*in_choti_renew*in_choti_ticket</f>
        <v/>
      </c>
      <c r="BF368" s="40">
        <f>BF367*(1-IF(B367&gt;=in_marketplace_from,d_hz_nps*G367,0))</f>
        <v/>
      </c>
      <c r="BG368" s="14">
        <f>F368*BF368*IF(B368&gt;=in_marketplace_from,d_hz_nps*G368,0)*in_nps_ticket*in_nps_comm</f>
        <v/>
      </c>
      <c r="BH368" s="40">
        <f>BH367*(1-IF(B367&gt;=in_marketplace_from,d_hz_gold*G367,0))</f>
        <v/>
      </c>
      <c r="BI368" s="40">
        <f>BI367*d_rho_gold+BH368*IF(B368&gt;=in_marketplace_from,d_hz_gold*G368,0)</f>
        <v/>
      </c>
      <c r="BJ368" s="14">
        <f>F368*BI368*in_gold_ticket*in_gold_comm</f>
        <v/>
      </c>
      <c r="BK368" s="40">
        <f>BK367*(1-IF(B367&gt;=in_marketplace_from,d_hz_fd*G367,0))</f>
        <v/>
      </c>
      <c r="BL368" s="14">
        <f>F368*BK368*IF(B368&gt;=in_marketplace_from,d_hz_fd*G368,0)*in_fd_ticket*in_fd_comm</f>
        <v/>
      </c>
      <c r="BM368" s="40">
        <f>BM367*(1-IF(B367&gt;=in_marketplace_from,d_hz_recharge*G367,0))</f>
        <v/>
      </c>
      <c r="BN368" s="40">
        <f>BN367*d_rho_recharge+BM368*IF(B368&gt;=in_marketplace_from,d_hz_recharge*G368,0)</f>
        <v/>
      </c>
      <c r="BO368" s="14">
        <f>F368*BN368*in_recharge_ticket*in_recharge_comm/12</f>
        <v/>
      </c>
      <c r="BP368" s="40">
        <f>BP367*(1-IF(B367&gt;=in_marketplace_from,d_hz_bills*G367,0))</f>
        <v/>
      </c>
      <c r="BQ368" s="40">
        <f>BQ367*d_rho_bills+BP368*IF(B368&gt;=in_marketplace_from,d_hz_bills*G368,0)</f>
        <v/>
      </c>
      <c r="BR368" s="14">
        <f>F368*BQ368*in_bills_ticket*in_bills_comm/12</f>
        <v/>
      </c>
      <c r="BS368" s="40">
        <f>BS367*(1-IF(B367&gt;=in_marketplace_from,d_hz_loan_gold*G367,0))</f>
        <v/>
      </c>
      <c r="BT368" s="14">
        <f>F368*BS368*IF(B368&gt;=in_marketplace_from,d_hz_loan_gold*G368,0)*in_loan_gold_ticket*in_loan_gold_comm</f>
        <v/>
      </c>
      <c r="BU368" s="40">
        <f>BU367*(1-IF(B367&gt;=in_marketplace_from,d_hz_loan_cd*G367,0))</f>
        <v/>
      </c>
      <c r="BV368" s="14">
        <f>F368*BU368*IF(B368&gt;=in_marketplace_from,d_hz_loan_cd*G368,0)*in_loan_cd_ticket*in_loan_cd_comm</f>
        <v/>
      </c>
      <c r="BW368" s="40">
        <f>BW367*(1-IF(B367&gt;=in_marketplace_from,d_hz_loan_vehicle*G367,0))</f>
        <v/>
      </c>
      <c r="BX368" s="14">
        <f>F368*BW368*IF(B368&gt;=in_marketplace_from,d_hz_loan_vehicle*G368,0)*in_loan_vehicle_ticket*in_loan_vehicle_comm</f>
        <v/>
      </c>
      <c r="BY368" s="40">
        <f>BY367*(1-IF(B367&gt;=in_marketplace_from,d_hz_loan_home*G367,0)*BZ367)</f>
        <v/>
      </c>
      <c r="BZ368" s="11">
        <f>MIN(in_approval_cap,in_loan_home_approval*INDEX('Age profile'!$O$2:$O$61,B368)*(1+in_approval_growth)^(D368-1))</f>
        <v/>
      </c>
      <c r="CA368" s="14">
        <f>F368*BY368*IF(B368&gt;=in_marketplace_from,d_hz_loan_home*G368,0)*BZ368*in_loan_home_ticket*in_loan_home_comm</f>
        <v/>
      </c>
      <c r="CB368" s="40">
        <f>CB367*(1-IF(B367&gt;=in_marketplace_from,d_hz_loan_lap*G367,0)*CC367)</f>
        <v/>
      </c>
      <c r="CC368" s="11">
        <f>MIN(in_approval_cap,in_loan_lap_approval*INDEX('Age profile'!$O$2:$O$61,B368)*(1+in_approval_growth)^(D368-1))</f>
        <v/>
      </c>
      <c r="CD368" s="14">
        <f>F368*CB368*IF(B368&gt;=in_marketplace_from,d_hz_loan_lap*G368,0)*CC368*in_loan_lap_ticket*in_loan_lap_comm</f>
        <v/>
      </c>
      <c r="CE368" s="14">
        <f>AA368+AB368+AC368+AD368+AG368+AJ368+AM368+AP368+AS368+AU368+AX368+BB368+BE368+BG368+BJ368+BL368+BO368+BR368+BT368+BV368+BX368+CA368+CD368</f>
        <v/>
      </c>
    </row>
    <row r="369">
      <c r="A369" s="39" t="n">
        <v>7</v>
      </c>
      <c r="B369" s="39" t="n">
        <v>23</v>
      </c>
      <c r="C369" s="39">
        <f>A369+B369-1</f>
        <v/>
      </c>
      <c r="D369" s="39">
        <f>INT((C369-1)/12)+1</f>
        <v/>
      </c>
      <c r="E369" s="44">
        <f>INDEX(Monthly!$B$2:$B$61,A369)</f>
        <v/>
      </c>
      <c r="F369" s="44">
        <f>E369*INDEX('Age profile'!$B$2:$B$61,B369)</f>
        <v/>
      </c>
      <c r="G369" s="45">
        <f>MIN(in_takeup_cap,INDEX('Age profile'!$N$2:$N$61,B369)*(1+in_takeup_growth)^(D369-1))</f>
        <v/>
      </c>
      <c r="H369" s="11">
        <f>MIN(in_approval_cap,in_approved_first*INDEX('Age profile'!$O$2:$O$61,B369)*(1+in_approval_growth)^(D369-1))</f>
        <v/>
      </c>
      <c r="I369" s="45">
        <f>G369*MIN(in_takeup_cap,INDEX('Age profile'!$O$2:$O$61,B369)*(1+in_approval_growth)^(D369-1))</f>
        <v/>
      </c>
      <c r="J369" s="40">
        <f>(J368-L368)*F369/F368</f>
        <v/>
      </c>
      <c r="K369" s="40">
        <f>(K368-M368)*F369/F368+SUMIFS(O347:O368,B347:B368,B369-1-d_T)*F369</f>
        <v/>
      </c>
      <c r="L369" s="40">
        <f>IF(B369&gt;=in_marketplace_from,J369*d_hz*G369*in_eligible*H369,0)</f>
        <v/>
      </c>
      <c r="M369" s="40">
        <f>IF(B369&gt;=in_marketplace_from,K369*d_hz*G369*in_eligible*in_approved_repeat,0)</f>
        <v/>
      </c>
      <c r="N369" s="40">
        <f>L369+M369</f>
        <v/>
      </c>
      <c r="O369" s="46">
        <f>N369/F369</f>
        <v/>
      </c>
      <c r="P369" s="40">
        <f>F369-J369-K369</f>
        <v/>
      </c>
      <c r="Q369" s="40">
        <f>IF(B369&gt;=in_marketplace_from,(J369+K369)*d_hz*G369,0)</f>
        <v/>
      </c>
      <c r="R369" s="40">
        <f>SUMIFS(N347:N400,B347:B400,"&gt;="&amp;(B369-d_T),B347:B400,"&lt;="&amp;(B369-1))</f>
        <v/>
      </c>
      <c r="S369" s="46">
        <f>(1-d_u)*S368+IF(d_T&gt;in_topup_lag,SUMIFS(O347:O400,B347:B400,B369-in_topup_lag)-d_udrop*SUMIFS(O347:O400,B347:B400,B369-d_T),0)</f>
        <v/>
      </c>
      <c r="T369" s="40">
        <f>F369*d_u*S369</f>
        <v/>
      </c>
      <c r="U369" s="9">
        <f>L369*in_ticket+M369*d_rep_ticket</f>
        <v/>
      </c>
      <c r="V369" s="9">
        <f>U369+T369*d_topup_amt</f>
        <v/>
      </c>
      <c r="W369" s="40">
        <f>N369+T369*d_topup_ratio</f>
        <v/>
      </c>
      <c r="X369" s="40">
        <f>SUMIFS(W347:W400,B347:B400,B369-in_dpd_lag)*d_cured</f>
        <v/>
      </c>
      <c r="Y369" s="40">
        <f>SUMIFS(W347:W400,B347:B400,B369-in_rec_lag)*d_recd</f>
        <v/>
      </c>
      <c r="Z369" s="40">
        <f>IF(AND(B369&gt;=in_marketplace_from,B369&lt;in_marketplace_from+in_card_months),in_card_share/in_card_months*F369*I369,IF(AND(B369&gt;=in_marketplace_from+in_card_months,B369&lt;in_marketplace_from+2*in_card_months),in_card_share*d_card_rem/in_card_months*F369*MIN(in_takeup_cap,(1+in_takeup_growth)^(D369-1))*MIN(in_takeup_cap,(1+in_approval_growth)^(D369-1)),0))</f>
        <v/>
      </c>
      <c r="AA369" s="14">
        <f>V369*in_fee*(1-in_taken_back)</f>
        <v/>
      </c>
      <c r="AB369" s="14">
        <f>SUMIFS(W347:W400,B347:B400,B369-in_dpd_lag)*d_dpd</f>
        <v/>
      </c>
      <c r="AC369" s="14">
        <f>SUMIFS(W347:W400,B347:B400,B369-in_rec_lag)*d_rec</f>
        <v/>
      </c>
      <c r="AD369" s="14">
        <f>Z369*in_card_fee</f>
        <v/>
      </c>
      <c r="AE369" s="40">
        <f>AE368*(1-IF(B368&gt;=in_marketplace_from,d_hz_hlth_small*G368,0))</f>
        <v/>
      </c>
      <c r="AF369" s="46">
        <f>AE369*IF(B369&gt;=in_marketplace_from,d_hz_hlth_small*G369,0)</f>
        <v/>
      </c>
      <c r="AG369" s="14">
        <f>F369*AF369*in_hlth_small_ticket*in_hlth_small_comm*in_ins_partner_share+F369*in_hlth_small_ticket*in_hlth_small_renew_comm*in_ins_partner_share*(in_hlth_small_renew^1*SUMIFS(AF347:AF400,B347:B400,B369-12)+in_hlth_small_renew^2*SUMIFS(AF347:AF400,B347:B400,B369-24)+in_hlth_small_renew^3*SUMIFS(AF347:AF400,B347:B400,B369-36)+in_hlth_small_renew^4*SUMIFS(AF347:AF400,B347:B400,B369-48))</f>
        <v/>
      </c>
      <c r="AH369" s="40">
        <f>AH368*(1-IF(B368&gt;=in_marketplace_from,d_hz_hlth_family*G368,0))</f>
        <v/>
      </c>
      <c r="AI369" s="46">
        <f>AH369*IF(B369&gt;=in_marketplace_from,d_hz_hlth_family*G369,0)</f>
        <v/>
      </c>
      <c r="AJ369" s="14">
        <f>F369*AI369*in_hlth_family_ticket*in_hlth_family_comm*in_ins_partner_share+F369*in_hlth_family_ticket*in_hlth_family_renew_comm*in_ins_partner_share*(in_hlth_family_renew^1*SUMIFS(AI347:AI400,B347:B400,B369-12)+in_hlth_family_renew^2*SUMIFS(AI347:AI400,B347:B400,B369-24)+in_hlth_family_renew^3*SUMIFS(AI347:AI400,B347:B400,B369-36)+in_hlth_family_renew^4*SUMIFS(AI347:AI400,B347:B400,B369-48))</f>
        <v/>
      </c>
      <c r="AK369" s="40">
        <f>AK368*(1-IF(B368&gt;=in_marketplace_from,d_hz_life_term*G368,0))</f>
        <v/>
      </c>
      <c r="AL369" s="46">
        <f>AK369*IF(B369&gt;=in_marketplace_from,d_hz_life_term*G369,0)</f>
        <v/>
      </c>
      <c r="AM369" s="14">
        <f>F369*AL369*in_life_term_ticket*in_life_term_comm*in_ins_partner_share+F369*in_life_term_ticket*in_life_term_renew_comm*in_ins_partner_share*(in_life_term_renew^1*SUMIFS(AL347:AL400,B347:B400,B369-12)+in_life_term_renew^2*SUMIFS(AL347:AL400,B347:B400,B369-24)+in_life_term_renew^3*SUMIFS(AL347:AL400,B347:B400,B369-36)+in_life_term_renew^4*SUMIFS(AL347:AL400,B347:B400,B369-48))</f>
        <v/>
      </c>
      <c r="AN369" s="40">
        <f>AN368*(1-IF(B368&gt;=in_marketplace_from,d_hz_accident*G368,0))</f>
        <v/>
      </c>
      <c r="AO369" s="46">
        <f>AN369*IF(B369&gt;=in_marketplace_from,d_hz_accident*G369,0)</f>
        <v/>
      </c>
      <c r="AP369" s="14">
        <f>F369*AO369*in_accident_ticket*in_accident_comm*in_ins_partner_share+F369*in_accident_ticket*in_accident_renew_comm*in_ins_partner_share*(in_accident_renew^1*SUMIFS(AO347:AO400,B347:B400,B369-12)+in_accident_renew^2*SUMIFS(AO347:AO400,B347:B400,B369-24)+in_accident_renew^3*SUMIFS(AO347:AO400,B347:B400,B369-36)+in_accident_renew^4*SUMIFS(AO347:AO400,B347:B400,B369-48))</f>
        <v/>
      </c>
      <c r="AQ369" s="40">
        <f>AQ368*(1-IF(B368&gt;=in_marketplace_from,d_hz_two_wheeler*G368,0))</f>
        <v/>
      </c>
      <c r="AR369" s="46">
        <f>AQ369*IF(B369&gt;=in_marketplace_from,d_hz_two_wheeler*G369,0)</f>
        <v/>
      </c>
      <c r="AS369" s="14">
        <f>F369*AR369*in_two_wheeler_ticket*in_two_wheeler_comm*in_ins_partner_share+F369*in_two_wheeler_ticket*in_two_wheeler_comm*in_ins_partner_share*(in_two_wheeler_renew^1*SUMIFS(AR347:AR400,B347:B400,B369-12)+in_two_wheeler_renew^2*SUMIFS(AR347:AR400,B347:B400,B369-24)+in_two_wheeler_renew^3*SUMIFS(AR347:AR400,B347:B400,B369-36)+in_two_wheeler_renew^4*SUMIFS(AR347:AR400,B347:B400,B369-48))</f>
        <v/>
      </c>
      <c r="AT369" s="40">
        <f>AT368*(1-IF(B368&gt;=in_marketplace_from,d_hz_device*G368,0))</f>
        <v/>
      </c>
      <c r="AU369" s="14">
        <f>F369*AT369*IF(B369&gt;=in_marketplace_from,d_hz_device*G369,0)*in_device_ticket*in_device_comm*in_ins_partner_share</f>
        <v/>
      </c>
      <c r="AV369" s="40">
        <f>AV368*(1-IF(B368&gt;=in_marketplace_from,d_hz_shop*G368,0))</f>
        <v/>
      </c>
      <c r="AW369" s="46">
        <f>AV369*IF(B369&gt;=in_marketplace_from,d_hz_shop*G369,0)</f>
        <v/>
      </c>
      <c r="AX369" s="14">
        <f>F369*AW369*in_shop_ticket*in_shop_comm*in_ins_partner_share+F369*in_shop_ticket*in_shop_renew_comm*in_ins_partner_share*(in_shop_renew^1*SUMIFS(AW347:AW400,B347:B400,B369-12)+in_shop_renew^2*SUMIFS(AW347:AW400,B347:B400,B369-24)+in_shop_renew^3*SUMIFS(AW347:AW400,B347:B400,B369-36)+in_shop_renew^4*SUMIFS(AW347:AW400,B347:B400,B369-48))</f>
        <v/>
      </c>
      <c r="AY369" s="40">
        <f>AY368*(1-IF(B368&gt;=in_marketplace_from,d_hz_sip*G368,0))</f>
        <v/>
      </c>
      <c r="AZ369" s="40">
        <f>AZ368*d_rho_sip+AY369*IF(B369&gt;=in_marketplace_from,d_hz_sip*G369,0)</f>
        <v/>
      </c>
      <c r="BA369" s="40">
        <f>d_rho_sip*(BA368+AZ368)</f>
        <v/>
      </c>
      <c r="BB369" s="14">
        <f>F369*in_sip_ticket*(BA369+0.5*AZ369)*in_sip_comm/12</f>
        <v/>
      </c>
      <c r="BC369" s="40">
        <f>BC368*(1-IF(B368&gt;=in_marketplace_from,d_hz_choti*G368,0))</f>
        <v/>
      </c>
      <c r="BD369" s="46">
        <f>BC369*IF(B369&gt;=in_marketplace_from,d_hz_choti*G369,0)</f>
        <v/>
      </c>
      <c r="BE369" s="14">
        <f>F369*SUMIFS(BD347:BD400,B347:B400,B369-in_choti_months)*in_choti_renew*in_choti_ticket</f>
        <v/>
      </c>
      <c r="BF369" s="40">
        <f>BF368*(1-IF(B368&gt;=in_marketplace_from,d_hz_nps*G368,0))</f>
        <v/>
      </c>
      <c r="BG369" s="14">
        <f>F369*BF369*IF(B369&gt;=in_marketplace_from,d_hz_nps*G369,0)*in_nps_ticket*in_nps_comm</f>
        <v/>
      </c>
      <c r="BH369" s="40">
        <f>BH368*(1-IF(B368&gt;=in_marketplace_from,d_hz_gold*G368,0))</f>
        <v/>
      </c>
      <c r="BI369" s="40">
        <f>BI368*d_rho_gold+BH369*IF(B369&gt;=in_marketplace_from,d_hz_gold*G369,0)</f>
        <v/>
      </c>
      <c r="BJ369" s="14">
        <f>F369*BI369*in_gold_ticket*in_gold_comm</f>
        <v/>
      </c>
      <c r="BK369" s="40">
        <f>BK368*(1-IF(B368&gt;=in_marketplace_from,d_hz_fd*G368,0))</f>
        <v/>
      </c>
      <c r="BL369" s="14">
        <f>F369*BK369*IF(B369&gt;=in_marketplace_from,d_hz_fd*G369,0)*in_fd_ticket*in_fd_comm</f>
        <v/>
      </c>
      <c r="BM369" s="40">
        <f>BM368*(1-IF(B368&gt;=in_marketplace_from,d_hz_recharge*G368,0))</f>
        <v/>
      </c>
      <c r="BN369" s="40">
        <f>BN368*d_rho_recharge+BM369*IF(B369&gt;=in_marketplace_from,d_hz_recharge*G369,0)</f>
        <v/>
      </c>
      <c r="BO369" s="14">
        <f>F369*BN369*in_recharge_ticket*in_recharge_comm/12</f>
        <v/>
      </c>
      <c r="BP369" s="40">
        <f>BP368*(1-IF(B368&gt;=in_marketplace_from,d_hz_bills*G368,0))</f>
        <v/>
      </c>
      <c r="BQ369" s="40">
        <f>BQ368*d_rho_bills+BP369*IF(B369&gt;=in_marketplace_from,d_hz_bills*G369,0)</f>
        <v/>
      </c>
      <c r="BR369" s="14">
        <f>F369*BQ369*in_bills_ticket*in_bills_comm/12</f>
        <v/>
      </c>
      <c r="BS369" s="40">
        <f>BS368*(1-IF(B368&gt;=in_marketplace_from,d_hz_loan_gold*G368,0))</f>
        <v/>
      </c>
      <c r="BT369" s="14">
        <f>F369*BS369*IF(B369&gt;=in_marketplace_from,d_hz_loan_gold*G369,0)*in_loan_gold_ticket*in_loan_gold_comm</f>
        <v/>
      </c>
      <c r="BU369" s="40">
        <f>BU368*(1-IF(B368&gt;=in_marketplace_from,d_hz_loan_cd*G368,0))</f>
        <v/>
      </c>
      <c r="BV369" s="14">
        <f>F369*BU369*IF(B369&gt;=in_marketplace_from,d_hz_loan_cd*G369,0)*in_loan_cd_ticket*in_loan_cd_comm</f>
        <v/>
      </c>
      <c r="BW369" s="40">
        <f>BW368*(1-IF(B368&gt;=in_marketplace_from,d_hz_loan_vehicle*G368,0))</f>
        <v/>
      </c>
      <c r="BX369" s="14">
        <f>F369*BW369*IF(B369&gt;=in_marketplace_from,d_hz_loan_vehicle*G369,0)*in_loan_vehicle_ticket*in_loan_vehicle_comm</f>
        <v/>
      </c>
      <c r="BY369" s="40">
        <f>BY368*(1-IF(B368&gt;=in_marketplace_from,d_hz_loan_home*G368,0)*BZ368)</f>
        <v/>
      </c>
      <c r="BZ369" s="11">
        <f>MIN(in_approval_cap,in_loan_home_approval*INDEX('Age profile'!$O$2:$O$61,B369)*(1+in_approval_growth)^(D369-1))</f>
        <v/>
      </c>
      <c r="CA369" s="14">
        <f>F369*BY369*IF(B369&gt;=in_marketplace_from,d_hz_loan_home*G369,0)*BZ369*in_loan_home_ticket*in_loan_home_comm</f>
        <v/>
      </c>
      <c r="CB369" s="40">
        <f>CB368*(1-IF(B368&gt;=in_marketplace_from,d_hz_loan_lap*G368,0)*CC368)</f>
        <v/>
      </c>
      <c r="CC369" s="11">
        <f>MIN(in_approval_cap,in_loan_lap_approval*INDEX('Age profile'!$O$2:$O$61,B369)*(1+in_approval_growth)^(D369-1))</f>
        <v/>
      </c>
      <c r="CD369" s="14">
        <f>F369*CB369*IF(B369&gt;=in_marketplace_from,d_hz_loan_lap*G369,0)*CC369*in_loan_lap_ticket*in_loan_lap_comm</f>
        <v/>
      </c>
      <c r="CE369" s="14">
        <f>AA369+AB369+AC369+AD369+AG369+AJ369+AM369+AP369+AS369+AU369+AX369+BB369+BE369+BG369+BJ369+BL369+BO369+BR369+BT369+BV369+BX369+CA369+CD369</f>
        <v/>
      </c>
    </row>
    <row r="370">
      <c r="A370" s="39" t="n">
        <v>7</v>
      </c>
      <c r="B370" s="39" t="n">
        <v>24</v>
      </c>
      <c r="C370" s="39">
        <f>A370+B370-1</f>
        <v/>
      </c>
      <c r="D370" s="39">
        <f>INT((C370-1)/12)+1</f>
        <v/>
      </c>
      <c r="E370" s="44">
        <f>INDEX(Monthly!$B$2:$B$61,A370)</f>
        <v/>
      </c>
      <c r="F370" s="44">
        <f>E370*INDEX('Age profile'!$B$2:$B$61,B370)</f>
        <v/>
      </c>
      <c r="G370" s="45">
        <f>MIN(in_takeup_cap,INDEX('Age profile'!$N$2:$N$61,B370)*(1+in_takeup_growth)^(D370-1))</f>
        <v/>
      </c>
      <c r="H370" s="11">
        <f>MIN(in_approval_cap,in_approved_first*INDEX('Age profile'!$O$2:$O$61,B370)*(1+in_approval_growth)^(D370-1))</f>
        <v/>
      </c>
      <c r="I370" s="45">
        <f>G370*MIN(in_takeup_cap,INDEX('Age profile'!$O$2:$O$61,B370)*(1+in_approval_growth)^(D370-1))</f>
        <v/>
      </c>
      <c r="J370" s="40">
        <f>(J369-L369)*F370/F369</f>
        <v/>
      </c>
      <c r="K370" s="40">
        <f>(K369-M369)*F370/F369+SUMIFS(O347:O369,B347:B369,B370-1-d_T)*F370</f>
        <v/>
      </c>
      <c r="L370" s="40">
        <f>IF(B370&gt;=in_marketplace_from,J370*d_hz*G370*in_eligible*H370,0)</f>
        <v/>
      </c>
      <c r="M370" s="40">
        <f>IF(B370&gt;=in_marketplace_from,K370*d_hz*G370*in_eligible*in_approved_repeat,0)</f>
        <v/>
      </c>
      <c r="N370" s="40">
        <f>L370+M370</f>
        <v/>
      </c>
      <c r="O370" s="46">
        <f>N370/F370</f>
        <v/>
      </c>
      <c r="P370" s="40">
        <f>F370-J370-K370</f>
        <v/>
      </c>
      <c r="Q370" s="40">
        <f>IF(B370&gt;=in_marketplace_from,(J370+K370)*d_hz*G370,0)</f>
        <v/>
      </c>
      <c r="R370" s="40">
        <f>SUMIFS(N347:N400,B347:B400,"&gt;="&amp;(B370-d_T),B347:B400,"&lt;="&amp;(B370-1))</f>
        <v/>
      </c>
      <c r="S370" s="46">
        <f>(1-d_u)*S369+IF(d_T&gt;in_topup_lag,SUMIFS(O347:O400,B347:B400,B370-in_topup_lag)-d_udrop*SUMIFS(O347:O400,B347:B400,B370-d_T),0)</f>
        <v/>
      </c>
      <c r="T370" s="40">
        <f>F370*d_u*S370</f>
        <v/>
      </c>
      <c r="U370" s="9">
        <f>L370*in_ticket+M370*d_rep_ticket</f>
        <v/>
      </c>
      <c r="V370" s="9">
        <f>U370+T370*d_topup_amt</f>
        <v/>
      </c>
      <c r="W370" s="40">
        <f>N370+T370*d_topup_ratio</f>
        <v/>
      </c>
      <c r="X370" s="40">
        <f>SUMIFS(W347:W400,B347:B400,B370-in_dpd_lag)*d_cured</f>
        <v/>
      </c>
      <c r="Y370" s="40">
        <f>SUMIFS(W347:W400,B347:B400,B370-in_rec_lag)*d_recd</f>
        <v/>
      </c>
      <c r="Z370" s="40">
        <f>IF(AND(B370&gt;=in_marketplace_from,B370&lt;in_marketplace_from+in_card_months),in_card_share/in_card_months*F370*I370,IF(AND(B370&gt;=in_marketplace_from+in_card_months,B370&lt;in_marketplace_from+2*in_card_months),in_card_share*d_card_rem/in_card_months*F370*MIN(in_takeup_cap,(1+in_takeup_growth)^(D370-1))*MIN(in_takeup_cap,(1+in_approval_growth)^(D370-1)),0))</f>
        <v/>
      </c>
      <c r="AA370" s="14">
        <f>V370*in_fee*(1-in_taken_back)</f>
        <v/>
      </c>
      <c r="AB370" s="14">
        <f>SUMIFS(W347:W400,B347:B400,B370-in_dpd_lag)*d_dpd</f>
        <v/>
      </c>
      <c r="AC370" s="14">
        <f>SUMIFS(W347:W400,B347:B400,B370-in_rec_lag)*d_rec</f>
        <v/>
      </c>
      <c r="AD370" s="14">
        <f>Z370*in_card_fee</f>
        <v/>
      </c>
      <c r="AE370" s="40">
        <f>AE369*(1-IF(B369&gt;=in_marketplace_from,d_hz_hlth_small*G369,0))</f>
        <v/>
      </c>
      <c r="AF370" s="46">
        <f>AE370*IF(B370&gt;=in_marketplace_from,d_hz_hlth_small*G370,0)</f>
        <v/>
      </c>
      <c r="AG370" s="14">
        <f>F370*AF370*in_hlth_small_ticket*in_hlth_small_comm*in_ins_partner_share+F370*in_hlth_small_ticket*in_hlth_small_renew_comm*in_ins_partner_share*(in_hlth_small_renew^1*SUMIFS(AF347:AF400,B347:B400,B370-12)+in_hlth_small_renew^2*SUMIFS(AF347:AF400,B347:B400,B370-24)+in_hlth_small_renew^3*SUMIFS(AF347:AF400,B347:B400,B370-36)+in_hlth_small_renew^4*SUMIFS(AF347:AF400,B347:B400,B370-48))</f>
        <v/>
      </c>
      <c r="AH370" s="40">
        <f>AH369*(1-IF(B369&gt;=in_marketplace_from,d_hz_hlth_family*G369,0))</f>
        <v/>
      </c>
      <c r="AI370" s="46">
        <f>AH370*IF(B370&gt;=in_marketplace_from,d_hz_hlth_family*G370,0)</f>
        <v/>
      </c>
      <c r="AJ370" s="14">
        <f>F370*AI370*in_hlth_family_ticket*in_hlth_family_comm*in_ins_partner_share+F370*in_hlth_family_ticket*in_hlth_family_renew_comm*in_ins_partner_share*(in_hlth_family_renew^1*SUMIFS(AI347:AI400,B347:B400,B370-12)+in_hlth_family_renew^2*SUMIFS(AI347:AI400,B347:B400,B370-24)+in_hlth_family_renew^3*SUMIFS(AI347:AI400,B347:B400,B370-36)+in_hlth_family_renew^4*SUMIFS(AI347:AI400,B347:B400,B370-48))</f>
        <v/>
      </c>
      <c r="AK370" s="40">
        <f>AK369*(1-IF(B369&gt;=in_marketplace_from,d_hz_life_term*G369,0))</f>
        <v/>
      </c>
      <c r="AL370" s="46">
        <f>AK370*IF(B370&gt;=in_marketplace_from,d_hz_life_term*G370,0)</f>
        <v/>
      </c>
      <c r="AM370" s="14">
        <f>F370*AL370*in_life_term_ticket*in_life_term_comm*in_ins_partner_share+F370*in_life_term_ticket*in_life_term_renew_comm*in_ins_partner_share*(in_life_term_renew^1*SUMIFS(AL347:AL400,B347:B400,B370-12)+in_life_term_renew^2*SUMIFS(AL347:AL400,B347:B400,B370-24)+in_life_term_renew^3*SUMIFS(AL347:AL400,B347:B400,B370-36)+in_life_term_renew^4*SUMIFS(AL347:AL400,B347:B400,B370-48))</f>
        <v/>
      </c>
      <c r="AN370" s="40">
        <f>AN369*(1-IF(B369&gt;=in_marketplace_from,d_hz_accident*G369,0))</f>
        <v/>
      </c>
      <c r="AO370" s="46">
        <f>AN370*IF(B370&gt;=in_marketplace_from,d_hz_accident*G370,0)</f>
        <v/>
      </c>
      <c r="AP370" s="14">
        <f>F370*AO370*in_accident_ticket*in_accident_comm*in_ins_partner_share+F370*in_accident_ticket*in_accident_renew_comm*in_ins_partner_share*(in_accident_renew^1*SUMIFS(AO347:AO400,B347:B400,B370-12)+in_accident_renew^2*SUMIFS(AO347:AO400,B347:B400,B370-24)+in_accident_renew^3*SUMIFS(AO347:AO400,B347:B400,B370-36)+in_accident_renew^4*SUMIFS(AO347:AO400,B347:B400,B370-48))</f>
        <v/>
      </c>
      <c r="AQ370" s="40">
        <f>AQ369*(1-IF(B369&gt;=in_marketplace_from,d_hz_two_wheeler*G369,0))</f>
        <v/>
      </c>
      <c r="AR370" s="46">
        <f>AQ370*IF(B370&gt;=in_marketplace_from,d_hz_two_wheeler*G370,0)</f>
        <v/>
      </c>
      <c r="AS370" s="14">
        <f>F370*AR370*in_two_wheeler_ticket*in_two_wheeler_comm*in_ins_partner_share+F370*in_two_wheeler_ticket*in_two_wheeler_comm*in_ins_partner_share*(in_two_wheeler_renew^1*SUMIFS(AR347:AR400,B347:B400,B370-12)+in_two_wheeler_renew^2*SUMIFS(AR347:AR400,B347:B400,B370-24)+in_two_wheeler_renew^3*SUMIFS(AR347:AR400,B347:B400,B370-36)+in_two_wheeler_renew^4*SUMIFS(AR347:AR400,B347:B400,B370-48))</f>
        <v/>
      </c>
      <c r="AT370" s="40">
        <f>AT369*(1-IF(B369&gt;=in_marketplace_from,d_hz_device*G369,0))</f>
        <v/>
      </c>
      <c r="AU370" s="14">
        <f>F370*AT370*IF(B370&gt;=in_marketplace_from,d_hz_device*G370,0)*in_device_ticket*in_device_comm*in_ins_partner_share</f>
        <v/>
      </c>
      <c r="AV370" s="40">
        <f>AV369*(1-IF(B369&gt;=in_marketplace_from,d_hz_shop*G369,0))</f>
        <v/>
      </c>
      <c r="AW370" s="46">
        <f>AV370*IF(B370&gt;=in_marketplace_from,d_hz_shop*G370,0)</f>
        <v/>
      </c>
      <c r="AX370" s="14">
        <f>F370*AW370*in_shop_ticket*in_shop_comm*in_ins_partner_share+F370*in_shop_ticket*in_shop_renew_comm*in_ins_partner_share*(in_shop_renew^1*SUMIFS(AW347:AW400,B347:B400,B370-12)+in_shop_renew^2*SUMIFS(AW347:AW400,B347:B400,B370-24)+in_shop_renew^3*SUMIFS(AW347:AW400,B347:B400,B370-36)+in_shop_renew^4*SUMIFS(AW347:AW400,B347:B400,B370-48))</f>
        <v/>
      </c>
      <c r="AY370" s="40">
        <f>AY369*(1-IF(B369&gt;=in_marketplace_from,d_hz_sip*G369,0))</f>
        <v/>
      </c>
      <c r="AZ370" s="40">
        <f>AZ369*d_rho_sip+AY370*IF(B370&gt;=in_marketplace_from,d_hz_sip*G370,0)</f>
        <v/>
      </c>
      <c r="BA370" s="40">
        <f>d_rho_sip*(BA369+AZ369)</f>
        <v/>
      </c>
      <c r="BB370" s="14">
        <f>F370*in_sip_ticket*(BA370+0.5*AZ370)*in_sip_comm/12</f>
        <v/>
      </c>
      <c r="BC370" s="40">
        <f>BC369*(1-IF(B369&gt;=in_marketplace_from,d_hz_choti*G369,0))</f>
        <v/>
      </c>
      <c r="BD370" s="46">
        <f>BC370*IF(B370&gt;=in_marketplace_from,d_hz_choti*G370,0)</f>
        <v/>
      </c>
      <c r="BE370" s="14">
        <f>F370*SUMIFS(BD347:BD400,B347:B400,B370-in_choti_months)*in_choti_renew*in_choti_ticket</f>
        <v/>
      </c>
      <c r="BF370" s="40">
        <f>BF369*(1-IF(B369&gt;=in_marketplace_from,d_hz_nps*G369,0))</f>
        <v/>
      </c>
      <c r="BG370" s="14">
        <f>F370*BF370*IF(B370&gt;=in_marketplace_from,d_hz_nps*G370,0)*in_nps_ticket*in_nps_comm</f>
        <v/>
      </c>
      <c r="BH370" s="40">
        <f>BH369*(1-IF(B369&gt;=in_marketplace_from,d_hz_gold*G369,0))</f>
        <v/>
      </c>
      <c r="BI370" s="40">
        <f>BI369*d_rho_gold+BH370*IF(B370&gt;=in_marketplace_from,d_hz_gold*G370,0)</f>
        <v/>
      </c>
      <c r="BJ370" s="14">
        <f>F370*BI370*in_gold_ticket*in_gold_comm</f>
        <v/>
      </c>
      <c r="BK370" s="40">
        <f>BK369*(1-IF(B369&gt;=in_marketplace_from,d_hz_fd*G369,0))</f>
        <v/>
      </c>
      <c r="BL370" s="14">
        <f>F370*BK370*IF(B370&gt;=in_marketplace_from,d_hz_fd*G370,0)*in_fd_ticket*in_fd_comm</f>
        <v/>
      </c>
      <c r="BM370" s="40">
        <f>BM369*(1-IF(B369&gt;=in_marketplace_from,d_hz_recharge*G369,0))</f>
        <v/>
      </c>
      <c r="BN370" s="40">
        <f>BN369*d_rho_recharge+BM370*IF(B370&gt;=in_marketplace_from,d_hz_recharge*G370,0)</f>
        <v/>
      </c>
      <c r="BO370" s="14">
        <f>F370*BN370*in_recharge_ticket*in_recharge_comm/12</f>
        <v/>
      </c>
      <c r="BP370" s="40">
        <f>BP369*(1-IF(B369&gt;=in_marketplace_from,d_hz_bills*G369,0))</f>
        <v/>
      </c>
      <c r="BQ370" s="40">
        <f>BQ369*d_rho_bills+BP370*IF(B370&gt;=in_marketplace_from,d_hz_bills*G370,0)</f>
        <v/>
      </c>
      <c r="BR370" s="14">
        <f>F370*BQ370*in_bills_ticket*in_bills_comm/12</f>
        <v/>
      </c>
      <c r="BS370" s="40">
        <f>BS369*(1-IF(B369&gt;=in_marketplace_from,d_hz_loan_gold*G369,0))</f>
        <v/>
      </c>
      <c r="BT370" s="14">
        <f>F370*BS370*IF(B370&gt;=in_marketplace_from,d_hz_loan_gold*G370,0)*in_loan_gold_ticket*in_loan_gold_comm</f>
        <v/>
      </c>
      <c r="BU370" s="40">
        <f>BU369*(1-IF(B369&gt;=in_marketplace_from,d_hz_loan_cd*G369,0))</f>
        <v/>
      </c>
      <c r="BV370" s="14">
        <f>F370*BU370*IF(B370&gt;=in_marketplace_from,d_hz_loan_cd*G370,0)*in_loan_cd_ticket*in_loan_cd_comm</f>
        <v/>
      </c>
      <c r="BW370" s="40">
        <f>BW369*(1-IF(B369&gt;=in_marketplace_from,d_hz_loan_vehicle*G369,0))</f>
        <v/>
      </c>
      <c r="BX370" s="14">
        <f>F370*BW370*IF(B370&gt;=in_marketplace_from,d_hz_loan_vehicle*G370,0)*in_loan_vehicle_ticket*in_loan_vehicle_comm</f>
        <v/>
      </c>
      <c r="BY370" s="40">
        <f>BY369*(1-IF(B369&gt;=in_marketplace_from,d_hz_loan_home*G369,0)*BZ369)</f>
        <v/>
      </c>
      <c r="BZ370" s="11">
        <f>MIN(in_approval_cap,in_loan_home_approval*INDEX('Age profile'!$O$2:$O$61,B370)*(1+in_approval_growth)^(D370-1))</f>
        <v/>
      </c>
      <c r="CA370" s="14">
        <f>F370*BY370*IF(B370&gt;=in_marketplace_from,d_hz_loan_home*G370,0)*BZ370*in_loan_home_ticket*in_loan_home_comm</f>
        <v/>
      </c>
      <c r="CB370" s="40">
        <f>CB369*(1-IF(B369&gt;=in_marketplace_from,d_hz_loan_lap*G369,0)*CC369)</f>
        <v/>
      </c>
      <c r="CC370" s="11">
        <f>MIN(in_approval_cap,in_loan_lap_approval*INDEX('Age profile'!$O$2:$O$61,B370)*(1+in_approval_growth)^(D370-1))</f>
        <v/>
      </c>
      <c r="CD370" s="14">
        <f>F370*CB370*IF(B370&gt;=in_marketplace_from,d_hz_loan_lap*G370,0)*CC370*in_loan_lap_ticket*in_loan_lap_comm</f>
        <v/>
      </c>
      <c r="CE370" s="14">
        <f>AA370+AB370+AC370+AD370+AG370+AJ370+AM370+AP370+AS370+AU370+AX370+BB370+BE370+BG370+BJ370+BL370+BO370+BR370+BT370+BV370+BX370+CA370+CD370</f>
        <v/>
      </c>
    </row>
    <row r="371">
      <c r="A371" s="39" t="n">
        <v>7</v>
      </c>
      <c r="B371" s="39" t="n">
        <v>25</v>
      </c>
      <c r="C371" s="39">
        <f>A371+B371-1</f>
        <v/>
      </c>
      <c r="D371" s="39">
        <f>INT((C371-1)/12)+1</f>
        <v/>
      </c>
      <c r="E371" s="44">
        <f>INDEX(Monthly!$B$2:$B$61,A371)</f>
        <v/>
      </c>
      <c r="F371" s="44">
        <f>E371*INDEX('Age profile'!$B$2:$B$61,B371)</f>
        <v/>
      </c>
      <c r="G371" s="45">
        <f>MIN(in_takeup_cap,INDEX('Age profile'!$N$2:$N$61,B371)*(1+in_takeup_growth)^(D371-1))</f>
        <v/>
      </c>
      <c r="H371" s="11">
        <f>MIN(in_approval_cap,in_approved_first*INDEX('Age profile'!$O$2:$O$61,B371)*(1+in_approval_growth)^(D371-1))</f>
        <v/>
      </c>
      <c r="I371" s="45">
        <f>G371*MIN(in_takeup_cap,INDEX('Age profile'!$O$2:$O$61,B371)*(1+in_approval_growth)^(D371-1))</f>
        <v/>
      </c>
      <c r="J371" s="40">
        <f>(J370-L370)*F371/F370</f>
        <v/>
      </c>
      <c r="K371" s="40">
        <f>(K370-M370)*F371/F370+SUMIFS(O347:O370,B347:B370,B371-1-d_T)*F371</f>
        <v/>
      </c>
      <c r="L371" s="40">
        <f>IF(B371&gt;=in_marketplace_from,J371*d_hz*G371*in_eligible*H371,0)</f>
        <v/>
      </c>
      <c r="M371" s="40">
        <f>IF(B371&gt;=in_marketplace_from,K371*d_hz*G371*in_eligible*in_approved_repeat,0)</f>
        <v/>
      </c>
      <c r="N371" s="40">
        <f>L371+M371</f>
        <v/>
      </c>
      <c r="O371" s="46">
        <f>N371/F371</f>
        <v/>
      </c>
      <c r="P371" s="40">
        <f>F371-J371-K371</f>
        <v/>
      </c>
      <c r="Q371" s="40">
        <f>IF(B371&gt;=in_marketplace_from,(J371+K371)*d_hz*G371,0)</f>
        <v/>
      </c>
      <c r="R371" s="40">
        <f>SUMIFS(N347:N400,B347:B400,"&gt;="&amp;(B371-d_T),B347:B400,"&lt;="&amp;(B371-1))</f>
        <v/>
      </c>
      <c r="S371" s="46">
        <f>(1-d_u)*S370+IF(d_T&gt;in_topup_lag,SUMIFS(O347:O400,B347:B400,B371-in_topup_lag)-d_udrop*SUMIFS(O347:O400,B347:B400,B371-d_T),0)</f>
        <v/>
      </c>
      <c r="T371" s="40">
        <f>F371*d_u*S371</f>
        <v/>
      </c>
      <c r="U371" s="9">
        <f>L371*in_ticket+M371*d_rep_ticket</f>
        <v/>
      </c>
      <c r="V371" s="9">
        <f>U371+T371*d_topup_amt</f>
        <v/>
      </c>
      <c r="W371" s="40">
        <f>N371+T371*d_topup_ratio</f>
        <v/>
      </c>
      <c r="X371" s="40">
        <f>SUMIFS(W347:W400,B347:B400,B371-in_dpd_lag)*d_cured</f>
        <v/>
      </c>
      <c r="Y371" s="40">
        <f>SUMIFS(W347:W400,B347:B400,B371-in_rec_lag)*d_recd</f>
        <v/>
      </c>
      <c r="Z371" s="40">
        <f>IF(AND(B371&gt;=in_marketplace_from,B371&lt;in_marketplace_from+in_card_months),in_card_share/in_card_months*F371*I371,IF(AND(B371&gt;=in_marketplace_from+in_card_months,B371&lt;in_marketplace_from+2*in_card_months),in_card_share*d_card_rem/in_card_months*F371*MIN(in_takeup_cap,(1+in_takeup_growth)^(D371-1))*MIN(in_takeup_cap,(1+in_approval_growth)^(D371-1)),0))</f>
        <v/>
      </c>
      <c r="AA371" s="14">
        <f>V371*in_fee*(1-in_taken_back)</f>
        <v/>
      </c>
      <c r="AB371" s="14">
        <f>SUMIFS(W347:W400,B347:B400,B371-in_dpd_lag)*d_dpd</f>
        <v/>
      </c>
      <c r="AC371" s="14">
        <f>SUMIFS(W347:W400,B347:B400,B371-in_rec_lag)*d_rec</f>
        <v/>
      </c>
      <c r="AD371" s="14">
        <f>Z371*in_card_fee</f>
        <v/>
      </c>
      <c r="AE371" s="40">
        <f>AE370*(1-IF(B370&gt;=in_marketplace_from,d_hz_hlth_small*G370,0))</f>
        <v/>
      </c>
      <c r="AF371" s="46">
        <f>AE371*IF(B371&gt;=in_marketplace_from,d_hz_hlth_small*G371,0)</f>
        <v/>
      </c>
      <c r="AG371" s="14">
        <f>F371*AF371*in_hlth_small_ticket*in_hlth_small_comm*in_ins_partner_share+F371*in_hlth_small_ticket*in_hlth_small_renew_comm*in_ins_partner_share*(in_hlth_small_renew^1*SUMIFS(AF347:AF400,B347:B400,B371-12)+in_hlth_small_renew^2*SUMIFS(AF347:AF400,B347:B400,B371-24)+in_hlth_small_renew^3*SUMIFS(AF347:AF400,B347:B400,B371-36)+in_hlth_small_renew^4*SUMIFS(AF347:AF400,B347:B400,B371-48))</f>
        <v/>
      </c>
      <c r="AH371" s="40">
        <f>AH370*(1-IF(B370&gt;=in_marketplace_from,d_hz_hlth_family*G370,0))</f>
        <v/>
      </c>
      <c r="AI371" s="46">
        <f>AH371*IF(B371&gt;=in_marketplace_from,d_hz_hlth_family*G371,0)</f>
        <v/>
      </c>
      <c r="AJ371" s="14">
        <f>F371*AI371*in_hlth_family_ticket*in_hlth_family_comm*in_ins_partner_share+F371*in_hlth_family_ticket*in_hlth_family_renew_comm*in_ins_partner_share*(in_hlth_family_renew^1*SUMIFS(AI347:AI400,B347:B400,B371-12)+in_hlth_family_renew^2*SUMIFS(AI347:AI400,B347:B400,B371-24)+in_hlth_family_renew^3*SUMIFS(AI347:AI400,B347:B400,B371-36)+in_hlth_family_renew^4*SUMIFS(AI347:AI400,B347:B400,B371-48))</f>
        <v/>
      </c>
      <c r="AK371" s="40">
        <f>AK370*(1-IF(B370&gt;=in_marketplace_from,d_hz_life_term*G370,0))</f>
        <v/>
      </c>
      <c r="AL371" s="46">
        <f>AK371*IF(B371&gt;=in_marketplace_from,d_hz_life_term*G371,0)</f>
        <v/>
      </c>
      <c r="AM371" s="14">
        <f>F371*AL371*in_life_term_ticket*in_life_term_comm*in_ins_partner_share+F371*in_life_term_ticket*in_life_term_renew_comm*in_ins_partner_share*(in_life_term_renew^1*SUMIFS(AL347:AL400,B347:B400,B371-12)+in_life_term_renew^2*SUMIFS(AL347:AL400,B347:B400,B371-24)+in_life_term_renew^3*SUMIFS(AL347:AL400,B347:B400,B371-36)+in_life_term_renew^4*SUMIFS(AL347:AL400,B347:B400,B371-48))</f>
        <v/>
      </c>
      <c r="AN371" s="40">
        <f>AN370*(1-IF(B370&gt;=in_marketplace_from,d_hz_accident*G370,0))</f>
        <v/>
      </c>
      <c r="AO371" s="46">
        <f>AN371*IF(B371&gt;=in_marketplace_from,d_hz_accident*G371,0)</f>
        <v/>
      </c>
      <c r="AP371" s="14">
        <f>F371*AO371*in_accident_ticket*in_accident_comm*in_ins_partner_share+F371*in_accident_ticket*in_accident_renew_comm*in_ins_partner_share*(in_accident_renew^1*SUMIFS(AO347:AO400,B347:B400,B371-12)+in_accident_renew^2*SUMIFS(AO347:AO400,B347:B400,B371-24)+in_accident_renew^3*SUMIFS(AO347:AO400,B347:B400,B371-36)+in_accident_renew^4*SUMIFS(AO347:AO400,B347:B400,B371-48))</f>
        <v/>
      </c>
      <c r="AQ371" s="40">
        <f>AQ370*(1-IF(B370&gt;=in_marketplace_from,d_hz_two_wheeler*G370,0))</f>
        <v/>
      </c>
      <c r="AR371" s="46">
        <f>AQ371*IF(B371&gt;=in_marketplace_from,d_hz_two_wheeler*G371,0)</f>
        <v/>
      </c>
      <c r="AS371" s="14">
        <f>F371*AR371*in_two_wheeler_ticket*in_two_wheeler_comm*in_ins_partner_share+F371*in_two_wheeler_ticket*in_two_wheeler_comm*in_ins_partner_share*(in_two_wheeler_renew^1*SUMIFS(AR347:AR400,B347:B400,B371-12)+in_two_wheeler_renew^2*SUMIFS(AR347:AR400,B347:B400,B371-24)+in_two_wheeler_renew^3*SUMIFS(AR347:AR400,B347:B400,B371-36)+in_two_wheeler_renew^4*SUMIFS(AR347:AR400,B347:B400,B371-48))</f>
        <v/>
      </c>
      <c r="AT371" s="40">
        <f>AT370*(1-IF(B370&gt;=in_marketplace_from,d_hz_device*G370,0))</f>
        <v/>
      </c>
      <c r="AU371" s="14">
        <f>F371*AT371*IF(B371&gt;=in_marketplace_from,d_hz_device*G371,0)*in_device_ticket*in_device_comm*in_ins_partner_share</f>
        <v/>
      </c>
      <c r="AV371" s="40">
        <f>AV370*(1-IF(B370&gt;=in_marketplace_from,d_hz_shop*G370,0))</f>
        <v/>
      </c>
      <c r="AW371" s="46">
        <f>AV371*IF(B371&gt;=in_marketplace_from,d_hz_shop*G371,0)</f>
        <v/>
      </c>
      <c r="AX371" s="14">
        <f>F371*AW371*in_shop_ticket*in_shop_comm*in_ins_partner_share+F371*in_shop_ticket*in_shop_renew_comm*in_ins_partner_share*(in_shop_renew^1*SUMIFS(AW347:AW400,B347:B400,B371-12)+in_shop_renew^2*SUMIFS(AW347:AW400,B347:B400,B371-24)+in_shop_renew^3*SUMIFS(AW347:AW400,B347:B400,B371-36)+in_shop_renew^4*SUMIFS(AW347:AW400,B347:B400,B371-48))</f>
        <v/>
      </c>
      <c r="AY371" s="40">
        <f>AY370*(1-IF(B370&gt;=in_marketplace_from,d_hz_sip*G370,0))</f>
        <v/>
      </c>
      <c r="AZ371" s="40">
        <f>AZ370*d_rho_sip+AY371*IF(B371&gt;=in_marketplace_from,d_hz_sip*G371,0)</f>
        <v/>
      </c>
      <c r="BA371" s="40">
        <f>d_rho_sip*(BA370+AZ370)</f>
        <v/>
      </c>
      <c r="BB371" s="14">
        <f>F371*in_sip_ticket*(BA371+0.5*AZ371)*in_sip_comm/12</f>
        <v/>
      </c>
      <c r="BC371" s="40">
        <f>BC370*(1-IF(B370&gt;=in_marketplace_from,d_hz_choti*G370,0))</f>
        <v/>
      </c>
      <c r="BD371" s="46">
        <f>BC371*IF(B371&gt;=in_marketplace_from,d_hz_choti*G371,0)</f>
        <v/>
      </c>
      <c r="BE371" s="14">
        <f>F371*SUMIFS(BD347:BD400,B347:B400,B371-in_choti_months)*in_choti_renew*in_choti_ticket</f>
        <v/>
      </c>
      <c r="BF371" s="40">
        <f>BF370*(1-IF(B370&gt;=in_marketplace_from,d_hz_nps*G370,0))</f>
        <v/>
      </c>
      <c r="BG371" s="14">
        <f>F371*BF371*IF(B371&gt;=in_marketplace_from,d_hz_nps*G371,0)*in_nps_ticket*in_nps_comm</f>
        <v/>
      </c>
      <c r="BH371" s="40">
        <f>BH370*(1-IF(B370&gt;=in_marketplace_from,d_hz_gold*G370,0))</f>
        <v/>
      </c>
      <c r="BI371" s="40">
        <f>BI370*d_rho_gold+BH371*IF(B371&gt;=in_marketplace_from,d_hz_gold*G371,0)</f>
        <v/>
      </c>
      <c r="BJ371" s="14">
        <f>F371*BI371*in_gold_ticket*in_gold_comm</f>
        <v/>
      </c>
      <c r="BK371" s="40">
        <f>BK370*(1-IF(B370&gt;=in_marketplace_from,d_hz_fd*G370,0))</f>
        <v/>
      </c>
      <c r="BL371" s="14">
        <f>F371*BK371*IF(B371&gt;=in_marketplace_from,d_hz_fd*G371,0)*in_fd_ticket*in_fd_comm</f>
        <v/>
      </c>
      <c r="BM371" s="40">
        <f>BM370*(1-IF(B370&gt;=in_marketplace_from,d_hz_recharge*G370,0))</f>
        <v/>
      </c>
      <c r="BN371" s="40">
        <f>BN370*d_rho_recharge+BM371*IF(B371&gt;=in_marketplace_from,d_hz_recharge*G371,0)</f>
        <v/>
      </c>
      <c r="BO371" s="14">
        <f>F371*BN371*in_recharge_ticket*in_recharge_comm/12</f>
        <v/>
      </c>
      <c r="BP371" s="40">
        <f>BP370*(1-IF(B370&gt;=in_marketplace_from,d_hz_bills*G370,0))</f>
        <v/>
      </c>
      <c r="BQ371" s="40">
        <f>BQ370*d_rho_bills+BP371*IF(B371&gt;=in_marketplace_from,d_hz_bills*G371,0)</f>
        <v/>
      </c>
      <c r="BR371" s="14">
        <f>F371*BQ371*in_bills_ticket*in_bills_comm/12</f>
        <v/>
      </c>
      <c r="BS371" s="40">
        <f>BS370*(1-IF(B370&gt;=in_marketplace_from,d_hz_loan_gold*G370,0))</f>
        <v/>
      </c>
      <c r="BT371" s="14">
        <f>F371*BS371*IF(B371&gt;=in_marketplace_from,d_hz_loan_gold*G371,0)*in_loan_gold_ticket*in_loan_gold_comm</f>
        <v/>
      </c>
      <c r="BU371" s="40">
        <f>BU370*(1-IF(B370&gt;=in_marketplace_from,d_hz_loan_cd*G370,0))</f>
        <v/>
      </c>
      <c r="BV371" s="14">
        <f>F371*BU371*IF(B371&gt;=in_marketplace_from,d_hz_loan_cd*G371,0)*in_loan_cd_ticket*in_loan_cd_comm</f>
        <v/>
      </c>
      <c r="BW371" s="40">
        <f>BW370*(1-IF(B370&gt;=in_marketplace_from,d_hz_loan_vehicle*G370,0))</f>
        <v/>
      </c>
      <c r="BX371" s="14">
        <f>F371*BW371*IF(B371&gt;=in_marketplace_from,d_hz_loan_vehicle*G371,0)*in_loan_vehicle_ticket*in_loan_vehicle_comm</f>
        <v/>
      </c>
      <c r="BY371" s="40">
        <f>BY370*(1-IF(B370&gt;=in_marketplace_from,d_hz_loan_home*G370,0)*BZ370)</f>
        <v/>
      </c>
      <c r="BZ371" s="11">
        <f>MIN(in_approval_cap,in_loan_home_approval*INDEX('Age profile'!$O$2:$O$61,B371)*(1+in_approval_growth)^(D371-1))</f>
        <v/>
      </c>
      <c r="CA371" s="14">
        <f>F371*BY371*IF(B371&gt;=in_marketplace_from,d_hz_loan_home*G371,0)*BZ371*in_loan_home_ticket*in_loan_home_comm</f>
        <v/>
      </c>
      <c r="CB371" s="40">
        <f>CB370*(1-IF(B370&gt;=in_marketplace_from,d_hz_loan_lap*G370,0)*CC370)</f>
        <v/>
      </c>
      <c r="CC371" s="11">
        <f>MIN(in_approval_cap,in_loan_lap_approval*INDEX('Age profile'!$O$2:$O$61,B371)*(1+in_approval_growth)^(D371-1))</f>
        <v/>
      </c>
      <c r="CD371" s="14">
        <f>F371*CB371*IF(B371&gt;=in_marketplace_from,d_hz_loan_lap*G371,0)*CC371*in_loan_lap_ticket*in_loan_lap_comm</f>
        <v/>
      </c>
      <c r="CE371" s="14">
        <f>AA371+AB371+AC371+AD371+AG371+AJ371+AM371+AP371+AS371+AU371+AX371+BB371+BE371+BG371+BJ371+BL371+BO371+BR371+BT371+BV371+BX371+CA371+CD371</f>
        <v/>
      </c>
    </row>
    <row r="372">
      <c r="A372" s="39" t="n">
        <v>7</v>
      </c>
      <c r="B372" s="39" t="n">
        <v>26</v>
      </c>
      <c r="C372" s="39">
        <f>A372+B372-1</f>
        <v/>
      </c>
      <c r="D372" s="39">
        <f>INT((C372-1)/12)+1</f>
        <v/>
      </c>
      <c r="E372" s="44">
        <f>INDEX(Monthly!$B$2:$B$61,A372)</f>
        <v/>
      </c>
      <c r="F372" s="44">
        <f>E372*INDEX('Age profile'!$B$2:$B$61,B372)</f>
        <v/>
      </c>
      <c r="G372" s="45">
        <f>MIN(in_takeup_cap,INDEX('Age profile'!$N$2:$N$61,B372)*(1+in_takeup_growth)^(D372-1))</f>
        <v/>
      </c>
      <c r="H372" s="11">
        <f>MIN(in_approval_cap,in_approved_first*INDEX('Age profile'!$O$2:$O$61,B372)*(1+in_approval_growth)^(D372-1))</f>
        <v/>
      </c>
      <c r="I372" s="45">
        <f>G372*MIN(in_takeup_cap,INDEX('Age profile'!$O$2:$O$61,B372)*(1+in_approval_growth)^(D372-1))</f>
        <v/>
      </c>
      <c r="J372" s="40">
        <f>(J371-L371)*F372/F371</f>
        <v/>
      </c>
      <c r="K372" s="40">
        <f>(K371-M371)*F372/F371+SUMIFS(O347:O371,B347:B371,B372-1-d_T)*F372</f>
        <v/>
      </c>
      <c r="L372" s="40">
        <f>IF(B372&gt;=in_marketplace_from,J372*d_hz*G372*in_eligible*H372,0)</f>
        <v/>
      </c>
      <c r="M372" s="40">
        <f>IF(B372&gt;=in_marketplace_from,K372*d_hz*G372*in_eligible*in_approved_repeat,0)</f>
        <v/>
      </c>
      <c r="N372" s="40">
        <f>L372+M372</f>
        <v/>
      </c>
      <c r="O372" s="46">
        <f>N372/F372</f>
        <v/>
      </c>
      <c r="P372" s="40">
        <f>F372-J372-K372</f>
        <v/>
      </c>
      <c r="Q372" s="40">
        <f>IF(B372&gt;=in_marketplace_from,(J372+K372)*d_hz*G372,0)</f>
        <v/>
      </c>
      <c r="R372" s="40">
        <f>SUMIFS(N347:N400,B347:B400,"&gt;="&amp;(B372-d_T),B347:B400,"&lt;="&amp;(B372-1))</f>
        <v/>
      </c>
      <c r="S372" s="46">
        <f>(1-d_u)*S371+IF(d_T&gt;in_topup_lag,SUMIFS(O347:O400,B347:B400,B372-in_topup_lag)-d_udrop*SUMIFS(O347:O400,B347:B400,B372-d_T),0)</f>
        <v/>
      </c>
      <c r="T372" s="40">
        <f>F372*d_u*S372</f>
        <v/>
      </c>
      <c r="U372" s="9">
        <f>L372*in_ticket+M372*d_rep_ticket</f>
        <v/>
      </c>
      <c r="V372" s="9">
        <f>U372+T372*d_topup_amt</f>
        <v/>
      </c>
      <c r="W372" s="40">
        <f>N372+T372*d_topup_ratio</f>
        <v/>
      </c>
      <c r="X372" s="40">
        <f>SUMIFS(W347:W400,B347:B400,B372-in_dpd_lag)*d_cured</f>
        <v/>
      </c>
      <c r="Y372" s="40">
        <f>SUMIFS(W347:W400,B347:B400,B372-in_rec_lag)*d_recd</f>
        <v/>
      </c>
      <c r="Z372" s="40">
        <f>IF(AND(B372&gt;=in_marketplace_from,B372&lt;in_marketplace_from+in_card_months),in_card_share/in_card_months*F372*I372,IF(AND(B372&gt;=in_marketplace_from+in_card_months,B372&lt;in_marketplace_from+2*in_card_months),in_card_share*d_card_rem/in_card_months*F372*MIN(in_takeup_cap,(1+in_takeup_growth)^(D372-1))*MIN(in_takeup_cap,(1+in_approval_growth)^(D372-1)),0))</f>
        <v/>
      </c>
      <c r="AA372" s="14">
        <f>V372*in_fee*(1-in_taken_back)</f>
        <v/>
      </c>
      <c r="AB372" s="14">
        <f>SUMIFS(W347:W400,B347:B400,B372-in_dpd_lag)*d_dpd</f>
        <v/>
      </c>
      <c r="AC372" s="14">
        <f>SUMIFS(W347:W400,B347:B400,B372-in_rec_lag)*d_rec</f>
        <v/>
      </c>
      <c r="AD372" s="14">
        <f>Z372*in_card_fee</f>
        <v/>
      </c>
      <c r="AE372" s="40">
        <f>AE371*(1-IF(B371&gt;=in_marketplace_from,d_hz_hlth_small*G371,0))</f>
        <v/>
      </c>
      <c r="AF372" s="46">
        <f>AE372*IF(B372&gt;=in_marketplace_from,d_hz_hlth_small*G372,0)</f>
        <v/>
      </c>
      <c r="AG372" s="14">
        <f>F372*AF372*in_hlth_small_ticket*in_hlth_small_comm*in_ins_partner_share+F372*in_hlth_small_ticket*in_hlth_small_renew_comm*in_ins_partner_share*(in_hlth_small_renew^1*SUMIFS(AF347:AF400,B347:B400,B372-12)+in_hlth_small_renew^2*SUMIFS(AF347:AF400,B347:B400,B372-24)+in_hlth_small_renew^3*SUMIFS(AF347:AF400,B347:B400,B372-36)+in_hlth_small_renew^4*SUMIFS(AF347:AF400,B347:B400,B372-48))</f>
        <v/>
      </c>
      <c r="AH372" s="40">
        <f>AH371*(1-IF(B371&gt;=in_marketplace_from,d_hz_hlth_family*G371,0))</f>
        <v/>
      </c>
      <c r="AI372" s="46">
        <f>AH372*IF(B372&gt;=in_marketplace_from,d_hz_hlth_family*G372,0)</f>
        <v/>
      </c>
      <c r="AJ372" s="14">
        <f>F372*AI372*in_hlth_family_ticket*in_hlth_family_comm*in_ins_partner_share+F372*in_hlth_family_ticket*in_hlth_family_renew_comm*in_ins_partner_share*(in_hlth_family_renew^1*SUMIFS(AI347:AI400,B347:B400,B372-12)+in_hlth_family_renew^2*SUMIFS(AI347:AI400,B347:B400,B372-24)+in_hlth_family_renew^3*SUMIFS(AI347:AI400,B347:B400,B372-36)+in_hlth_family_renew^4*SUMIFS(AI347:AI400,B347:B400,B372-48))</f>
        <v/>
      </c>
      <c r="AK372" s="40">
        <f>AK371*(1-IF(B371&gt;=in_marketplace_from,d_hz_life_term*G371,0))</f>
        <v/>
      </c>
      <c r="AL372" s="46">
        <f>AK372*IF(B372&gt;=in_marketplace_from,d_hz_life_term*G372,0)</f>
        <v/>
      </c>
      <c r="AM372" s="14">
        <f>F372*AL372*in_life_term_ticket*in_life_term_comm*in_ins_partner_share+F372*in_life_term_ticket*in_life_term_renew_comm*in_ins_partner_share*(in_life_term_renew^1*SUMIFS(AL347:AL400,B347:B400,B372-12)+in_life_term_renew^2*SUMIFS(AL347:AL400,B347:B400,B372-24)+in_life_term_renew^3*SUMIFS(AL347:AL400,B347:B400,B372-36)+in_life_term_renew^4*SUMIFS(AL347:AL400,B347:B400,B372-48))</f>
        <v/>
      </c>
      <c r="AN372" s="40">
        <f>AN371*(1-IF(B371&gt;=in_marketplace_from,d_hz_accident*G371,0))</f>
        <v/>
      </c>
      <c r="AO372" s="46">
        <f>AN372*IF(B372&gt;=in_marketplace_from,d_hz_accident*G372,0)</f>
        <v/>
      </c>
      <c r="AP372" s="14">
        <f>F372*AO372*in_accident_ticket*in_accident_comm*in_ins_partner_share+F372*in_accident_ticket*in_accident_renew_comm*in_ins_partner_share*(in_accident_renew^1*SUMIFS(AO347:AO400,B347:B400,B372-12)+in_accident_renew^2*SUMIFS(AO347:AO400,B347:B400,B372-24)+in_accident_renew^3*SUMIFS(AO347:AO400,B347:B400,B372-36)+in_accident_renew^4*SUMIFS(AO347:AO400,B347:B400,B372-48))</f>
        <v/>
      </c>
      <c r="AQ372" s="40">
        <f>AQ371*(1-IF(B371&gt;=in_marketplace_from,d_hz_two_wheeler*G371,0))</f>
        <v/>
      </c>
      <c r="AR372" s="46">
        <f>AQ372*IF(B372&gt;=in_marketplace_from,d_hz_two_wheeler*G372,0)</f>
        <v/>
      </c>
      <c r="AS372" s="14">
        <f>F372*AR372*in_two_wheeler_ticket*in_two_wheeler_comm*in_ins_partner_share+F372*in_two_wheeler_ticket*in_two_wheeler_comm*in_ins_partner_share*(in_two_wheeler_renew^1*SUMIFS(AR347:AR400,B347:B400,B372-12)+in_two_wheeler_renew^2*SUMIFS(AR347:AR400,B347:B400,B372-24)+in_two_wheeler_renew^3*SUMIFS(AR347:AR400,B347:B400,B372-36)+in_two_wheeler_renew^4*SUMIFS(AR347:AR400,B347:B400,B372-48))</f>
        <v/>
      </c>
      <c r="AT372" s="40">
        <f>AT371*(1-IF(B371&gt;=in_marketplace_from,d_hz_device*G371,0))</f>
        <v/>
      </c>
      <c r="AU372" s="14">
        <f>F372*AT372*IF(B372&gt;=in_marketplace_from,d_hz_device*G372,0)*in_device_ticket*in_device_comm*in_ins_partner_share</f>
        <v/>
      </c>
      <c r="AV372" s="40">
        <f>AV371*(1-IF(B371&gt;=in_marketplace_from,d_hz_shop*G371,0))</f>
        <v/>
      </c>
      <c r="AW372" s="46">
        <f>AV372*IF(B372&gt;=in_marketplace_from,d_hz_shop*G372,0)</f>
        <v/>
      </c>
      <c r="AX372" s="14">
        <f>F372*AW372*in_shop_ticket*in_shop_comm*in_ins_partner_share+F372*in_shop_ticket*in_shop_renew_comm*in_ins_partner_share*(in_shop_renew^1*SUMIFS(AW347:AW400,B347:B400,B372-12)+in_shop_renew^2*SUMIFS(AW347:AW400,B347:B400,B372-24)+in_shop_renew^3*SUMIFS(AW347:AW400,B347:B400,B372-36)+in_shop_renew^4*SUMIFS(AW347:AW400,B347:B400,B372-48))</f>
        <v/>
      </c>
      <c r="AY372" s="40">
        <f>AY371*(1-IF(B371&gt;=in_marketplace_from,d_hz_sip*G371,0))</f>
        <v/>
      </c>
      <c r="AZ372" s="40">
        <f>AZ371*d_rho_sip+AY372*IF(B372&gt;=in_marketplace_from,d_hz_sip*G372,0)</f>
        <v/>
      </c>
      <c r="BA372" s="40">
        <f>d_rho_sip*(BA371+AZ371)</f>
        <v/>
      </c>
      <c r="BB372" s="14">
        <f>F372*in_sip_ticket*(BA372+0.5*AZ372)*in_sip_comm/12</f>
        <v/>
      </c>
      <c r="BC372" s="40">
        <f>BC371*(1-IF(B371&gt;=in_marketplace_from,d_hz_choti*G371,0))</f>
        <v/>
      </c>
      <c r="BD372" s="46">
        <f>BC372*IF(B372&gt;=in_marketplace_from,d_hz_choti*G372,0)</f>
        <v/>
      </c>
      <c r="BE372" s="14">
        <f>F372*SUMIFS(BD347:BD400,B347:B400,B372-in_choti_months)*in_choti_renew*in_choti_ticket</f>
        <v/>
      </c>
      <c r="BF372" s="40">
        <f>BF371*(1-IF(B371&gt;=in_marketplace_from,d_hz_nps*G371,0))</f>
        <v/>
      </c>
      <c r="BG372" s="14">
        <f>F372*BF372*IF(B372&gt;=in_marketplace_from,d_hz_nps*G372,0)*in_nps_ticket*in_nps_comm</f>
        <v/>
      </c>
      <c r="BH372" s="40">
        <f>BH371*(1-IF(B371&gt;=in_marketplace_from,d_hz_gold*G371,0))</f>
        <v/>
      </c>
      <c r="BI372" s="40">
        <f>BI371*d_rho_gold+BH372*IF(B372&gt;=in_marketplace_from,d_hz_gold*G372,0)</f>
        <v/>
      </c>
      <c r="BJ372" s="14">
        <f>F372*BI372*in_gold_ticket*in_gold_comm</f>
        <v/>
      </c>
      <c r="BK372" s="40">
        <f>BK371*(1-IF(B371&gt;=in_marketplace_from,d_hz_fd*G371,0))</f>
        <v/>
      </c>
      <c r="BL372" s="14">
        <f>F372*BK372*IF(B372&gt;=in_marketplace_from,d_hz_fd*G372,0)*in_fd_ticket*in_fd_comm</f>
        <v/>
      </c>
      <c r="BM372" s="40">
        <f>BM371*(1-IF(B371&gt;=in_marketplace_from,d_hz_recharge*G371,0))</f>
        <v/>
      </c>
      <c r="BN372" s="40">
        <f>BN371*d_rho_recharge+BM372*IF(B372&gt;=in_marketplace_from,d_hz_recharge*G372,0)</f>
        <v/>
      </c>
      <c r="BO372" s="14">
        <f>F372*BN372*in_recharge_ticket*in_recharge_comm/12</f>
        <v/>
      </c>
      <c r="BP372" s="40">
        <f>BP371*(1-IF(B371&gt;=in_marketplace_from,d_hz_bills*G371,0))</f>
        <v/>
      </c>
      <c r="BQ372" s="40">
        <f>BQ371*d_rho_bills+BP372*IF(B372&gt;=in_marketplace_from,d_hz_bills*G372,0)</f>
        <v/>
      </c>
      <c r="BR372" s="14">
        <f>F372*BQ372*in_bills_ticket*in_bills_comm/12</f>
        <v/>
      </c>
      <c r="BS372" s="40">
        <f>BS371*(1-IF(B371&gt;=in_marketplace_from,d_hz_loan_gold*G371,0))</f>
        <v/>
      </c>
      <c r="BT372" s="14">
        <f>F372*BS372*IF(B372&gt;=in_marketplace_from,d_hz_loan_gold*G372,0)*in_loan_gold_ticket*in_loan_gold_comm</f>
        <v/>
      </c>
      <c r="BU372" s="40">
        <f>BU371*(1-IF(B371&gt;=in_marketplace_from,d_hz_loan_cd*G371,0))</f>
        <v/>
      </c>
      <c r="BV372" s="14">
        <f>F372*BU372*IF(B372&gt;=in_marketplace_from,d_hz_loan_cd*G372,0)*in_loan_cd_ticket*in_loan_cd_comm</f>
        <v/>
      </c>
      <c r="BW372" s="40">
        <f>BW371*(1-IF(B371&gt;=in_marketplace_from,d_hz_loan_vehicle*G371,0))</f>
        <v/>
      </c>
      <c r="BX372" s="14">
        <f>F372*BW372*IF(B372&gt;=in_marketplace_from,d_hz_loan_vehicle*G372,0)*in_loan_vehicle_ticket*in_loan_vehicle_comm</f>
        <v/>
      </c>
      <c r="BY372" s="40">
        <f>BY371*(1-IF(B371&gt;=in_marketplace_from,d_hz_loan_home*G371,0)*BZ371)</f>
        <v/>
      </c>
      <c r="BZ372" s="11">
        <f>MIN(in_approval_cap,in_loan_home_approval*INDEX('Age profile'!$O$2:$O$61,B372)*(1+in_approval_growth)^(D372-1))</f>
        <v/>
      </c>
      <c r="CA372" s="14">
        <f>F372*BY372*IF(B372&gt;=in_marketplace_from,d_hz_loan_home*G372,0)*BZ372*in_loan_home_ticket*in_loan_home_comm</f>
        <v/>
      </c>
      <c r="CB372" s="40">
        <f>CB371*(1-IF(B371&gt;=in_marketplace_from,d_hz_loan_lap*G371,0)*CC371)</f>
        <v/>
      </c>
      <c r="CC372" s="11">
        <f>MIN(in_approval_cap,in_loan_lap_approval*INDEX('Age profile'!$O$2:$O$61,B372)*(1+in_approval_growth)^(D372-1))</f>
        <v/>
      </c>
      <c r="CD372" s="14">
        <f>F372*CB372*IF(B372&gt;=in_marketplace_from,d_hz_loan_lap*G372,0)*CC372*in_loan_lap_ticket*in_loan_lap_comm</f>
        <v/>
      </c>
      <c r="CE372" s="14">
        <f>AA372+AB372+AC372+AD372+AG372+AJ372+AM372+AP372+AS372+AU372+AX372+BB372+BE372+BG372+BJ372+BL372+BO372+BR372+BT372+BV372+BX372+CA372+CD372</f>
        <v/>
      </c>
    </row>
    <row r="373">
      <c r="A373" s="39" t="n">
        <v>7</v>
      </c>
      <c r="B373" s="39" t="n">
        <v>27</v>
      </c>
      <c r="C373" s="39">
        <f>A373+B373-1</f>
        <v/>
      </c>
      <c r="D373" s="39">
        <f>INT((C373-1)/12)+1</f>
        <v/>
      </c>
      <c r="E373" s="44">
        <f>INDEX(Monthly!$B$2:$B$61,A373)</f>
        <v/>
      </c>
      <c r="F373" s="44">
        <f>E373*INDEX('Age profile'!$B$2:$B$61,B373)</f>
        <v/>
      </c>
      <c r="G373" s="45">
        <f>MIN(in_takeup_cap,INDEX('Age profile'!$N$2:$N$61,B373)*(1+in_takeup_growth)^(D373-1))</f>
        <v/>
      </c>
      <c r="H373" s="11">
        <f>MIN(in_approval_cap,in_approved_first*INDEX('Age profile'!$O$2:$O$61,B373)*(1+in_approval_growth)^(D373-1))</f>
        <v/>
      </c>
      <c r="I373" s="45">
        <f>G373*MIN(in_takeup_cap,INDEX('Age profile'!$O$2:$O$61,B373)*(1+in_approval_growth)^(D373-1))</f>
        <v/>
      </c>
      <c r="J373" s="40">
        <f>(J372-L372)*F373/F372</f>
        <v/>
      </c>
      <c r="K373" s="40">
        <f>(K372-M372)*F373/F372+SUMIFS(O347:O372,B347:B372,B373-1-d_T)*F373</f>
        <v/>
      </c>
      <c r="L373" s="40">
        <f>IF(B373&gt;=in_marketplace_from,J373*d_hz*G373*in_eligible*H373,0)</f>
        <v/>
      </c>
      <c r="M373" s="40">
        <f>IF(B373&gt;=in_marketplace_from,K373*d_hz*G373*in_eligible*in_approved_repeat,0)</f>
        <v/>
      </c>
      <c r="N373" s="40">
        <f>L373+M373</f>
        <v/>
      </c>
      <c r="O373" s="46">
        <f>N373/F373</f>
        <v/>
      </c>
      <c r="P373" s="40">
        <f>F373-J373-K373</f>
        <v/>
      </c>
      <c r="Q373" s="40">
        <f>IF(B373&gt;=in_marketplace_from,(J373+K373)*d_hz*G373,0)</f>
        <v/>
      </c>
      <c r="R373" s="40">
        <f>SUMIFS(N347:N400,B347:B400,"&gt;="&amp;(B373-d_T),B347:B400,"&lt;="&amp;(B373-1))</f>
        <v/>
      </c>
      <c r="S373" s="46">
        <f>(1-d_u)*S372+IF(d_T&gt;in_topup_lag,SUMIFS(O347:O400,B347:B400,B373-in_topup_lag)-d_udrop*SUMIFS(O347:O400,B347:B400,B373-d_T),0)</f>
        <v/>
      </c>
      <c r="T373" s="40">
        <f>F373*d_u*S373</f>
        <v/>
      </c>
      <c r="U373" s="9">
        <f>L373*in_ticket+M373*d_rep_ticket</f>
        <v/>
      </c>
      <c r="V373" s="9">
        <f>U373+T373*d_topup_amt</f>
        <v/>
      </c>
      <c r="W373" s="40">
        <f>N373+T373*d_topup_ratio</f>
        <v/>
      </c>
      <c r="X373" s="40">
        <f>SUMIFS(W347:W400,B347:B400,B373-in_dpd_lag)*d_cured</f>
        <v/>
      </c>
      <c r="Y373" s="40">
        <f>SUMIFS(W347:W400,B347:B400,B373-in_rec_lag)*d_recd</f>
        <v/>
      </c>
      <c r="Z373" s="40">
        <f>IF(AND(B373&gt;=in_marketplace_from,B373&lt;in_marketplace_from+in_card_months),in_card_share/in_card_months*F373*I373,IF(AND(B373&gt;=in_marketplace_from+in_card_months,B373&lt;in_marketplace_from+2*in_card_months),in_card_share*d_card_rem/in_card_months*F373*MIN(in_takeup_cap,(1+in_takeup_growth)^(D373-1))*MIN(in_takeup_cap,(1+in_approval_growth)^(D373-1)),0))</f>
        <v/>
      </c>
      <c r="AA373" s="14">
        <f>V373*in_fee*(1-in_taken_back)</f>
        <v/>
      </c>
      <c r="AB373" s="14">
        <f>SUMIFS(W347:W400,B347:B400,B373-in_dpd_lag)*d_dpd</f>
        <v/>
      </c>
      <c r="AC373" s="14">
        <f>SUMIFS(W347:W400,B347:B400,B373-in_rec_lag)*d_rec</f>
        <v/>
      </c>
      <c r="AD373" s="14">
        <f>Z373*in_card_fee</f>
        <v/>
      </c>
      <c r="AE373" s="40">
        <f>AE372*(1-IF(B372&gt;=in_marketplace_from,d_hz_hlth_small*G372,0))</f>
        <v/>
      </c>
      <c r="AF373" s="46">
        <f>AE373*IF(B373&gt;=in_marketplace_from,d_hz_hlth_small*G373,0)</f>
        <v/>
      </c>
      <c r="AG373" s="14">
        <f>F373*AF373*in_hlth_small_ticket*in_hlth_small_comm*in_ins_partner_share+F373*in_hlth_small_ticket*in_hlth_small_renew_comm*in_ins_partner_share*(in_hlth_small_renew^1*SUMIFS(AF347:AF400,B347:B400,B373-12)+in_hlth_small_renew^2*SUMIFS(AF347:AF400,B347:B400,B373-24)+in_hlth_small_renew^3*SUMIFS(AF347:AF400,B347:B400,B373-36)+in_hlth_small_renew^4*SUMIFS(AF347:AF400,B347:B400,B373-48))</f>
        <v/>
      </c>
      <c r="AH373" s="40">
        <f>AH372*(1-IF(B372&gt;=in_marketplace_from,d_hz_hlth_family*G372,0))</f>
        <v/>
      </c>
      <c r="AI373" s="46">
        <f>AH373*IF(B373&gt;=in_marketplace_from,d_hz_hlth_family*G373,0)</f>
        <v/>
      </c>
      <c r="AJ373" s="14">
        <f>F373*AI373*in_hlth_family_ticket*in_hlth_family_comm*in_ins_partner_share+F373*in_hlth_family_ticket*in_hlth_family_renew_comm*in_ins_partner_share*(in_hlth_family_renew^1*SUMIFS(AI347:AI400,B347:B400,B373-12)+in_hlth_family_renew^2*SUMIFS(AI347:AI400,B347:B400,B373-24)+in_hlth_family_renew^3*SUMIFS(AI347:AI400,B347:B400,B373-36)+in_hlth_family_renew^4*SUMIFS(AI347:AI400,B347:B400,B373-48))</f>
        <v/>
      </c>
      <c r="AK373" s="40">
        <f>AK372*(1-IF(B372&gt;=in_marketplace_from,d_hz_life_term*G372,0))</f>
        <v/>
      </c>
      <c r="AL373" s="46">
        <f>AK373*IF(B373&gt;=in_marketplace_from,d_hz_life_term*G373,0)</f>
        <v/>
      </c>
      <c r="AM373" s="14">
        <f>F373*AL373*in_life_term_ticket*in_life_term_comm*in_ins_partner_share+F373*in_life_term_ticket*in_life_term_renew_comm*in_ins_partner_share*(in_life_term_renew^1*SUMIFS(AL347:AL400,B347:B400,B373-12)+in_life_term_renew^2*SUMIFS(AL347:AL400,B347:B400,B373-24)+in_life_term_renew^3*SUMIFS(AL347:AL400,B347:B400,B373-36)+in_life_term_renew^4*SUMIFS(AL347:AL400,B347:B400,B373-48))</f>
        <v/>
      </c>
      <c r="AN373" s="40">
        <f>AN372*(1-IF(B372&gt;=in_marketplace_from,d_hz_accident*G372,0))</f>
        <v/>
      </c>
      <c r="AO373" s="46">
        <f>AN373*IF(B373&gt;=in_marketplace_from,d_hz_accident*G373,0)</f>
        <v/>
      </c>
      <c r="AP373" s="14">
        <f>F373*AO373*in_accident_ticket*in_accident_comm*in_ins_partner_share+F373*in_accident_ticket*in_accident_renew_comm*in_ins_partner_share*(in_accident_renew^1*SUMIFS(AO347:AO400,B347:B400,B373-12)+in_accident_renew^2*SUMIFS(AO347:AO400,B347:B400,B373-24)+in_accident_renew^3*SUMIFS(AO347:AO400,B347:B400,B373-36)+in_accident_renew^4*SUMIFS(AO347:AO400,B347:B400,B373-48))</f>
        <v/>
      </c>
      <c r="AQ373" s="40">
        <f>AQ372*(1-IF(B372&gt;=in_marketplace_from,d_hz_two_wheeler*G372,0))</f>
        <v/>
      </c>
      <c r="AR373" s="46">
        <f>AQ373*IF(B373&gt;=in_marketplace_from,d_hz_two_wheeler*G373,0)</f>
        <v/>
      </c>
      <c r="AS373" s="14">
        <f>F373*AR373*in_two_wheeler_ticket*in_two_wheeler_comm*in_ins_partner_share+F373*in_two_wheeler_ticket*in_two_wheeler_comm*in_ins_partner_share*(in_two_wheeler_renew^1*SUMIFS(AR347:AR400,B347:B400,B373-12)+in_two_wheeler_renew^2*SUMIFS(AR347:AR400,B347:B400,B373-24)+in_two_wheeler_renew^3*SUMIFS(AR347:AR400,B347:B400,B373-36)+in_two_wheeler_renew^4*SUMIFS(AR347:AR400,B347:B400,B373-48))</f>
        <v/>
      </c>
      <c r="AT373" s="40">
        <f>AT372*(1-IF(B372&gt;=in_marketplace_from,d_hz_device*G372,0))</f>
        <v/>
      </c>
      <c r="AU373" s="14">
        <f>F373*AT373*IF(B373&gt;=in_marketplace_from,d_hz_device*G373,0)*in_device_ticket*in_device_comm*in_ins_partner_share</f>
        <v/>
      </c>
      <c r="AV373" s="40">
        <f>AV372*(1-IF(B372&gt;=in_marketplace_from,d_hz_shop*G372,0))</f>
        <v/>
      </c>
      <c r="AW373" s="46">
        <f>AV373*IF(B373&gt;=in_marketplace_from,d_hz_shop*G373,0)</f>
        <v/>
      </c>
      <c r="AX373" s="14">
        <f>F373*AW373*in_shop_ticket*in_shop_comm*in_ins_partner_share+F373*in_shop_ticket*in_shop_renew_comm*in_ins_partner_share*(in_shop_renew^1*SUMIFS(AW347:AW400,B347:B400,B373-12)+in_shop_renew^2*SUMIFS(AW347:AW400,B347:B400,B373-24)+in_shop_renew^3*SUMIFS(AW347:AW400,B347:B400,B373-36)+in_shop_renew^4*SUMIFS(AW347:AW400,B347:B400,B373-48))</f>
        <v/>
      </c>
      <c r="AY373" s="40">
        <f>AY372*(1-IF(B372&gt;=in_marketplace_from,d_hz_sip*G372,0))</f>
        <v/>
      </c>
      <c r="AZ373" s="40">
        <f>AZ372*d_rho_sip+AY373*IF(B373&gt;=in_marketplace_from,d_hz_sip*G373,0)</f>
        <v/>
      </c>
      <c r="BA373" s="40">
        <f>d_rho_sip*(BA372+AZ372)</f>
        <v/>
      </c>
      <c r="BB373" s="14">
        <f>F373*in_sip_ticket*(BA373+0.5*AZ373)*in_sip_comm/12</f>
        <v/>
      </c>
      <c r="BC373" s="40">
        <f>BC372*(1-IF(B372&gt;=in_marketplace_from,d_hz_choti*G372,0))</f>
        <v/>
      </c>
      <c r="BD373" s="46">
        <f>BC373*IF(B373&gt;=in_marketplace_from,d_hz_choti*G373,0)</f>
        <v/>
      </c>
      <c r="BE373" s="14">
        <f>F373*SUMIFS(BD347:BD400,B347:B400,B373-in_choti_months)*in_choti_renew*in_choti_ticket</f>
        <v/>
      </c>
      <c r="BF373" s="40">
        <f>BF372*(1-IF(B372&gt;=in_marketplace_from,d_hz_nps*G372,0))</f>
        <v/>
      </c>
      <c r="BG373" s="14">
        <f>F373*BF373*IF(B373&gt;=in_marketplace_from,d_hz_nps*G373,0)*in_nps_ticket*in_nps_comm</f>
        <v/>
      </c>
      <c r="BH373" s="40">
        <f>BH372*(1-IF(B372&gt;=in_marketplace_from,d_hz_gold*G372,0))</f>
        <v/>
      </c>
      <c r="BI373" s="40">
        <f>BI372*d_rho_gold+BH373*IF(B373&gt;=in_marketplace_from,d_hz_gold*G373,0)</f>
        <v/>
      </c>
      <c r="BJ373" s="14">
        <f>F373*BI373*in_gold_ticket*in_gold_comm</f>
        <v/>
      </c>
      <c r="BK373" s="40">
        <f>BK372*(1-IF(B372&gt;=in_marketplace_from,d_hz_fd*G372,0))</f>
        <v/>
      </c>
      <c r="BL373" s="14">
        <f>F373*BK373*IF(B373&gt;=in_marketplace_from,d_hz_fd*G373,0)*in_fd_ticket*in_fd_comm</f>
        <v/>
      </c>
      <c r="BM373" s="40">
        <f>BM372*(1-IF(B372&gt;=in_marketplace_from,d_hz_recharge*G372,0))</f>
        <v/>
      </c>
      <c r="BN373" s="40">
        <f>BN372*d_rho_recharge+BM373*IF(B373&gt;=in_marketplace_from,d_hz_recharge*G373,0)</f>
        <v/>
      </c>
      <c r="BO373" s="14">
        <f>F373*BN373*in_recharge_ticket*in_recharge_comm/12</f>
        <v/>
      </c>
      <c r="BP373" s="40">
        <f>BP372*(1-IF(B372&gt;=in_marketplace_from,d_hz_bills*G372,0))</f>
        <v/>
      </c>
      <c r="BQ373" s="40">
        <f>BQ372*d_rho_bills+BP373*IF(B373&gt;=in_marketplace_from,d_hz_bills*G373,0)</f>
        <v/>
      </c>
      <c r="BR373" s="14">
        <f>F373*BQ373*in_bills_ticket*in_bills_comm/12</f>
        <v/>
      </c>
      <c r="BS373" s="40">
        <f>BS372*(1-IF(B372&gt;=in_marketplace_from,d_hz_loan_gold*G372,0))</f>
        <v/>
      </c>
      <c r="BT373" s="14">
        <f>F373*BS373*IF(B373&gt;=in_marketplace_from,d_hz_loan_gold*G373,0)*in_loan_gold_ticket*in_loan_gold_comm</f>
        <v/>
      </c>
      <c r="BU373" s="40">
        <f>BU372*(1-IF(B372&gt;=in_marketplace_from,d_hz_loan_cd*G372,0))</f>
        <v/>
      </c>
      <c r="BV373" s="14">
        <f>F373*BU373*IF(B373&gt;=in_marketplace_from,d_hz_loan_cd*G373,0)*in_loan_cd_ticket*in_loan_cd_comm</f>
        <v/>
      </c>
      <c r="BW373" s="40">
        <f>BW372*(1-IF(B372&gt;=in_marketplace_from,d_hz_loan_vehicle*G372,0))</f>
        <v/>
      </c>
      <c r="BX373" s="14">
        <f>F373*BW373*IF(B373&gt;=in_marketplace_from,d_hz_loan_vehicle*G373,0)*in_loan_vehicle_ticket*in_loan_vehicle_comm</f>
        <v/>
      </c>
      <c r="BY373" s="40">
        <f>BY372*(1-IF(B372&gt;=in_marketplace_from,d_hz_loan_home*G372,0)*BZ372)</f>
        <v/>
      </c>
      <c r="BZ373" s="11">
        <f>MIN(in_approval_cap,in_loan_home_approval*INDEX('Age profile'!$O$2:$O$61,B373)*(1+in_approval_growth)^(D373-1))</f>
        <v/>
      </c>
      <c r="CA373" s="14">
        <f>F373*BY373*IF(B373&gt;=in_marketplace_from,d_hz_loan_home*G373,0)*BZ373*in_loan_home_ticket*in_loan_home_comm</f>
        <v/>
      </c>
      <c r="CB373" s="40">
        <f>CB372*(1-IF(B372&gt;=in_marketplace_from,d_hz_loan_lap*G372,0)*CC372)</f>
        <v/>
      </c>
      <c r="CC373" s="11">
        <f>MIN(in_approval_cap,in_loan_lap_approval*INDEX('Age profile'!$O$2:$O$61,B373)*(1+in_approval_growth)^(D373-1))</f>
        <v/>
      </c>
      <c r="CD373" s="14">
        <f>F373*CB373*IF(B373&gt;=in_marketplace_from,d_hz_loan_lap*G373,0)*CC373*in_loan_lap_ticket*in_loan_lap_comm</f>
        <v/>
      </c>
      <c r="CE373" s="14">
        <f>AA373+AB373+AC373+AD373+AG373+AJ373+AM373+AP373+AS373+AU373+AX373+BB373+BE373+BG373+BJ373+BL373+BO373+BR373+BT373+BV373+BX373+CA373+CD373</f>
        <v/>
      </c>
    </row>
    <row r="374">
      <c r="A374" s="39" t="n">
        <v>7</v>
      </c>
      <c r="B374" s="39" t="n">
        <v>28</v>
      </c>
      <c r="C374" s="39">
        <f>A374+B374-1</f>
        <v/>
      </c>
      <c r="D374" s="39">
        <f>INT((C374-1)/12)+1</f>
        <v/>
      </c>
      <c r="E374" s="44">
        <f>INDEX(Monthly!$B$2:$B$61,A374)</f>
        <v/>
      </c>
      <c r="F374" s="44">
        <f>E374*INDEX('Age profile'!$B$2:$B$61,B374)</f>
        <v/>
      </c>
      <c r="G374" s="45">
        <f>MIN(in_takeup_cap,INDEX('Age profile'!$N$2:$N$61,B374)*(1+in_takeup_growth)^(D374-1))</f>
        <v/>
      </c>
      <c r="H374" s="11">
        <f>MIN(in_approval_cap,in_approved_first*INDEX('Age profile'!$O$2:$O$61,B374)*(1+in_approval_growth)^(D374-1))</f>
        <v/>
      </c>
      <c r="I374" s="45">
        <f>G374*MIN(in_takeup_cap,INDEX('Age profile'!$O$2:$O$61,B374)*(1+in_approval_growth)^(D374-1))</f>
        <v/>
      </c>
      <c r="J374" s="40">
        <f>(J373-L373)*F374/F373</f>
        <v/>
      </c>
      <c r="K374" s="40">
        <f>(K373-M373)*F374/F373+SUMIFS(O347:O373,B347:B373,B374-1-d_T)*F374</f>
        <v/>
      </c>
      <c r="L374" s="40">
        <f>IF(B374&gt;=in_marketplace_from,J374*d_hz*G374*in_eligible*H374,0)</f>
        <v/>
      </c>
      <c r="M374" s="40">
        <f>IF(B374&gt;=in_marketplace_from,K374*d_hz*G374*in_eligible*in_approved_repeat,0)</f>
        <v/>
      </c>
      <c r="N374" s="40">
        <f>L374+M374</f>
        <v/>
      </c>
      <c r="O374" s="46">
        <f>N374/F374</f>
        <v/>
      </c>
      <c r="P374" s="40">
        <f>F374-J374-K374</f>
        <v/>
      </c>
      <c r="Q374" s="40">
        <f>IF(B374&gt;=in_marketplace_from,(J374+K374)*d_hz*G374,0)</f>
        <v/>
      </c>
      <c r="R374" s="40">
        <f>SUMIFS(N347:N400,B347:B400,"&gt;="&amp;(B374-d_T),B347:B400,"&lt;="&amp;(B374-1))</f>
        <v/>
      </c>
      <c r="S374" s="46">
        <f>(1-d_u)*S373+IF(d_T&gt;in_topup_lag,SUMIFS(O347:O400,B347:B400,B374-in_topup_lag)-d_udrop*SUMIFS(O347:O400,B347:B400,B374-d_T),0)</f>
        <v/>
      </c>
      <c r="T374" s="40">
        <f>F374*d_u*S374</f>
        <v/>
      </c>
      <c r="U374" s="9">
        <f>L374*in_ticket+M374*d_rep_ticket</f>
        <v/>
      </c>
      <c r="V374" s="9">
        <f>U374+T374*d_topup_amt</f>
        <v/>
      </c>
      <c r="W374" s="40">
        <f>N374+T374*d_topup_ratio</f>
        <v/>
      </c>
      <c r="X374" s="40">
        <f>SUMIFS(W347:W400,B347:B400,B374-in_dpd_lag)*d_cured</f>
        <v/>
      </c>
      <c r="Y374" s="40">
        <f>SUMIFS(W347:W400,B347:B400,B374-in_rec_lag)*d_recd</f>
        <v/>
      </c>
      <c r="Z374" s="40">
        <f>IF(AND(B374&gt;=in_marketplace_from,B374&lt;in_marketplace_from+in_card_months),in_card_share/in_card_months*F374*I374,IF(AND(B374&gt;=in_marketplace_from+in_card_months,B374&lt;in_marketplace_from+2*in_card_months),in_card_share*d_card_rem/in_card_months*F374*MIN(in_takeup_cap,(1+in_takeup_growth)^(D374-1))*MIN(in_takeup_cap,(1+in_approval_growth)^(D374-1)),0))</f>
        <v/>
      </c>
      <c r="AA374" s="14">
        <f>V374*in_fee*(1-in_taken_back)</f>
        <v/>
      </c>
      <c r="AB374" s="14">
        <f>SUMIFS(W347:W400,B347:B400,B374-in_dpd_lag)*d_dpd</f>
        <v/>
      </c>
      <c r="AC374" s="14">
        <f>SUMIFS(W347:W400,B347:B400,B374-in_rec_lag)*d_rec</f>
        <v/>
      </c>
      <c r="AD374" s="14">
        <f>Z374*in_card_fee</f>
        <v/>
      </c>
      <c r="AE374" s="40">
        <f>AE373*(1-IF(B373&gt;=in_marketplace_from,d_hz_hlth_small*G373,0))</f>
        <v/>
      </c>
      <c r="AF374" s="46">
        <f>AE374*IF(B374&gt;=in_marketplace_from,d_hz_hlth_small*G374,0)</f>
        <v/>
      </c>
      <c r="AG374" s="14">
        <f>F374*AF374*in_hlth_small_ticket*in_hlth_small_comm*in_ins_partner_share+F374*in_hlth_small_ticket*in_hlth_small_renew_comm*in_ins_partner_share*(in_hlth_small_renew^1*SUMIFS(AF347:AF400,B347:B400,B374-12)+in_hlth_small_renew^2*SUMIFS(AF347:AF400,B347:B400,B374-24)+in_hlth_small_renew^3*SUMIFS(AF347:AF400,B347:B400,B374-36)+in_hlth_small_renew^4*SUMIFS(AF347:AF400,B347:B400,B374-48))</f>
        <v/>
      </c>
      <c r="AH374" s="40">
        <f>AH373*(1-IF(B373&gt;=in_marketplace_from,d_hz_hlth_family*G373,0))</f>
        <v/>
      </c>
      <c r="AI374" s="46">
        <f>AH374*IF(B374&gt;=in_marketplace_from,d_hz_hlth_family*G374,0)</f>
        <v/>
      </c>
      <c r="AJ374" s="14">
        <f>F374*AI374*in_hlth_family_ticket*in_hlth_family_comm*in_ins_partner_share+F374*in_hlth_family_ticket*in_hlth_family_renew_comm*in_ins_partner_share*(in_hlth_family_renew^1*SUMIFS(AI347:AI400,B347:B400,B374-12)+in_hlth_family_renew^2*SUMIFS(AI347:AI400,B347:B400,B374-24)+in_hlth_family_renew^3*SUMIFS(AI347:AI400,B347:B400,B374-36)+in_hlth_family_renew^4*SUMIFS(AI347:AI400,B347:B400,B374-48))</f>
        <v/>
      </c>
      <c r="AK374" s="40">
        <f>AK373*(1-IF(B373&gt;=in_marketplace_from,d_hz_life_term*G373,0))</f>
        <v/>
      </c>
      <c r="AL374" s="46">
        <f>AK374*IF(B374&gt;=in_marketplace_from,d_hz_life_term*G374,0)</f>
        <v/>
      </c>
      <c r="AM374" s="14">
        <f>F374*AL374*in_life_term_ticket*in_life_term_comm*in_ins_partner_share+F374*in_life_term_ticket*in_life_term_renew_comm*in_ins_partner_share*(in_life_term_renew^1*SUMIFS(AL347:AL400,B347:B400,B374-12)+in_life_term_renew^2*SUMIFS(AL347:AL400,B347:B400,B374-24)+in_life_term_renew^3*SUMIFS(AL347:AL400,B347:B400,B374-36)+in_life_term_renew^4*SUMIFS(AL347:AL400,B347:B400,B374-48))</f>
        <v/>
      </c>
      <c r="AN374" s="40">
        <f>AN373*(1-IF(B373&gt;=in_marketplace_from,d_hz_accident*G373,0))</f>
        <v/>
      </c>
      <c r="AO374" s="46">
        <f>AN374*IF(B374&gt;=in_marketplace_from,d_hz_accident*G374,0)</f>
        <v/>
      </c>
      <c r="AP374" s="14">
        <f>F374*AO374*in_accident_ticket*in_accident_comm*in_ins_partner_share+F374*in_accident_ticket*in_accident_renew_comm*in_ins_partner_share*(in_accident_renew^1*SUMIFS(AO347:AO400,B347:B400,B374-12)+in_accident_renew^2*SUMIFS(AO347:AO400,B347:B400,B374-24)+in_accident_renew^3*SUMIFS(AO347:AO400,B347:B400,B374-36)+in_accident_renew^4*SUMIFS(AO347:AO400,B347:B400,B374-48))</f>
        <v/>
      </c>
      <c r="AQ374" s="40">
        <f>AQ373*(1-IF(B373&gt;=in_marketplace_from,d_hz_two_wheeler*G373,0))</f>
        <v/>
      </c>
      <c r="AR374" s="46">
        <f>AQ374*IF(B374&gt;=in_marketplace_from,d_hz_two_wheeler*G374,0)</f>
        <v/>
      </c>
      <c r="AS374" s="14">
        <f>F374*AR374*in_two_wheeler_ticket*in_two_wheeler_comm*in_ins_partner_share+F374*in_two_wheeler_ticket*in_two_wheeler_comm*in_ins_partner_share*(in_two_wheeler_renew^1*SUMIFS(AR347:AR400,B347:B400,B374-12)+in_two_wheeler_renew^2*SUMIFS(AR347:AR400,B347:B400,B374-24)+in_two_wheeler_renew^3*SUMIFS(AR347:AR400,B347:B400,B374-36)+in_two_wheeler_renew^4*SUMIFS(AR347:AR400,B347:B400,B374-48))</f>
        <v/>
      </c>
      <c r="AT374" s="40">
        <f>AT373*(1-IF(B373&gt;=in_marketplace_from,d_hz_device*G373,0))</f>
        <v/>
      </c>
      <c r="AU374" s="14">
        <f>F374*AT374*IF(B374&gt;=in_marketplace_from,d_hz_device*G374,0)*in_device_ticket*in_device_comm*in_ins_partner_share</f>
        <v/>
      </c>
      <c r="AV374" s="40">
        <f>AV373*(1-IF(B373&gt;=in_marketplace_from,d_hz_shop*G373,0))</f>
        <v/>
      </c>
      <c r="AW374" s="46">
        <f>AV374*IF(B374&gt;=in_marketplace_from,d_hz_shop*G374,0)</f>
        <v/>
      </c>
      <c r="AX374" s="14">
        <f>F374*AW374*in_shop_ticket*in_shop_comm*in_ins_partner_share+F374*in_shop_ticket*in_shop_renew_comm*in_ins_partner_share*(in_shop_renew^1*SUMIFS(AW347:AW400,B347:B400,B374-12)+in_shop_renew^2*SUMIFS(AW347:AW400,B347:B400,B374-24)+in_shop_renew^3*SUMIFS(AW347:AW400,B347:B400,B374-36)+in_shop_renew^4*SUMIFS(AW347:AW400,B347:B400,B374-48))</f>
        <v/>
      </c>
      <c r="AY374" s="40">
        <f>AY373*(1-IF(B373&gt;=in_marketplace_from,d_hz_sip*G373,0))</f>
        <v/>
      </c>
      <c r="AZ374" s="40">
        <f>AZ373*d_rho_sip+AY374*IF(B374&gt;=in_marketplace_from,d_hz_sip*G374,0)</f>
        <v/>
      </c>
      <c r="BA374" s="40">
        <f>d_rho_sip*(BA373+AZ373)</f>
        <v/>
      </c>
      <c r="BB374" s="14">
        <f>F374*in_sip_ticket*(BA374+0.5*AZ374)*in_sip_comm/12</f>
        <v/>
      </c>
      <c r="BC374" s="40">
        <f>BC373*(1-IF(B373&gt;=in_marketplace_from,d_hz_choti*G373,0))</f>
        <v/>
      </c>
      <c r="BD374" s="46">
        <f>BC374*IF(B374&gt;=in_marketplace_from,d_hz_choti*G374,0)</f>
        <v/>
      </c>
      <c r="BE374" s="14">
        <f>F374*SUMIFS(BD347:BD400,B347:B400,B374-in_choti_months)*in_choti_renew*in_choti_ticket</f>
        <v/>
      </c>
      <c r="BF374" s="40">
        <f>BF373*(1-IF(B373&gt;=in_marketplace_from,d_hz_nps*G373,0))</f>
        <v/>
      </c>
      <c r="BG374" s="14">
        <f>F374*BF374*IF(B374&gt;=in_marketplace_from,d_hz_nps*G374,0)*in_nps_ticket*in_nps_comm</f>
        <v/>
      </c>
      <c r="BH374" s="40">
        <f>BH373*(1-IF(B373&gt;=in_marketplace_from,d_hz_gold*G373,0))</f>
        <v/>
      </c>
      <c r="BI374" s="40">
        <f>BI373*d_rho_gold+BH374*IF(B374&gt;=in_marketplace_from,d_hz_gold*G374,0)</f>
        <v/>
      </c>
      <c r="BJ374" s="14">
        <f>F374*BI374*in_gold_ticket*in_gold_comm</f>
        <v/>
      </c>
      <c r="BK374" s="40">
        <f>BK373*(1-IF(B373&gt;=in_marketplace_from,d_hz_fd*G373,0))</f>
        <v/>
      </c>
      <c r="BL374" s="14">
        <f>F374*BK374*IF(B374&gt;=in_marketplace_from,d_hz_fd*G374,0)*in_fd_ticket*in_fd_comm</f>
        <v/>
      </c>
      <c r="BM374" s="40">
        <f>BM373*(1-IF(B373&gt;=in_marketplace_from,d_hz_recharge*G373,0))</f>
        <v/>
      </c>
      <c r="BN374" s="40">
        <f>BN373*d_rho_recharge+BM374*IF(B374&gt;=in_marketplace_from,d_hz_recharge*G374,0)</f>
        <v/>
      </c>
      <c r="BO374" s="14">
        <f>F374*BN374*in_recharge_ticket*in_recharge_comm/12</f>
        <v/>
      </c>
      <c r="BP374" s="40">
        <f>BP373*(1-IF(B373&gt;=in_marketplace_from,d_hz_bills*G373,0))</f>
        <v/>
      </c>
      <c r="BQ374" s="40">
        <f>BQ373*d_rho_bills+BP374*IF(B374&gt;=in_marketplace_from,d_hz_bills*G374,0)</f>
        <v/>
      </c>
      <c r="BR374" s="14">
        <f>F374*BQ374*in_bills_ticket*in_bills_comm/12</f>
        <v/>
      </c>
      <c r="BS374" s="40">
        <f>BS373*(1-IF(B373&gt;=in_marketplace_from,d_hz_loan_gold*G373,0))</f>
        <v/>
      </c>
      <c r="BT374" s="14">
        <f>F374*BS374*IF(B374&gt;=in_marketplace_from,d_hz_loan_gold*G374,0)*in_loan_gold_ticket*in_loan_gold_comm</f>
        <v/>
      </c>
      <c r="BU374" s="40">
        <f>BU373*(1-IF(B373&gt;=in_marketplace_from,d_hz_loan_cd*G373,0))</f>
        <v/>
      </c>
      <c r="BV374" s="14">
        <f>F374*BU374*IF(B374&gt;=in_marketplace_from,d_hz_loan_cd*G374,0)*in_loan_cd_ticket*in_loan_cd_comm</f>
        <v/>
      </c>
      <c r="BW374" s="40">
        <f>BW373*(1-IF(B373&gt;=in_marketplace_from,d_hz_loan_vehicle*G373,0))</f>
        <v/>
      </c>
      <c r="BX374" s="14">
        <f>F374*BW374*IF(B374&gt;=in_marketplace_from,d_hz_loan_vehicle*G374,0)*in_loan_vehicle_ticket*in_loan_vehicle_comm</f>
        <v/>
      </c>
      <c r="BY374" s="40">
        <f>BY373*(1-IF(B373&gt;=in_marketplace_from,d_hz_loan_home*G373,0)*BZ373)</f>
        <v/>
      </c>
      <c r="BZ374" s="11">
        <f>MIN(in_approval_cap,in_loan_home_approval*INDEX('Age profile'!$O$2:$O$61,B374)*(1+in_approval_growth)^(D374-1))</f>
        <v/>
      </c>
      <c r="CA374" s="14">
        <f>F374*BY374*IF(B374&gt;=in_marketplace_from,d_hz_loan_home*G374,0)*BZ374*in_loan_home_ticket*in_loan_home_comm</f>
        <v/>
      </c>
      <c r="CB374" s="40">
        <f>CB373*(1-IF(B373&gt;=in_marketplace_from,d_hz_loan_lap*G373,0)*CC373)</f>
        <v/>
      </c>
      <c r="CC374" s="11">
        <f>MIN(in_approval_cap,in_loan_lap_approval*INDEX('Age profile'!$O$2:$O$61,B374)*(1+in_approval_growth)^(D374-1))</f>
        <v/>
      </c>
      <c r="CD374" s="14">
        <f>F374*CB374*IF(B374&gt;=in_marketplace_from,d_hz_loan_lap*G374,0)*CC374*in_loan_lap_ticket*in_loan_lap_comm</f>
        <v/>
      </c>
      <c r="CE374" s="14">
        <f>AA374+AB374+AC374+AD374+AG374+AJ374+AM374+AP374+AS374+AU374+AX374+BB374+BE374+BG374+BJ374+BL374+BO374+BR374+BT374+BV374+BX374+CA374+CD374</f>
        <v/>
      </c>
    </row>
    <row r="375">
      <c r="A375" s="39" t="n">
        <v>7</v>
      </c>
      <c r="B375" s="39" t="n">
        <v>29</v>
      </c>
      <c r="C375" s="39">
        <f>A375+B375-1</f>
        <v/>
      </c>
      <c r="D375" s="39">
        <f>INT((C375-1)/12)+1</f>
        <v/>
      </c>
      <c r="E375" s="44">
        <f>INDEX(Monthly!$B$2:$B$61,A375)</f>
        <v/>
      </c>
      <c r="F375" s="44">
        <f>E375*INDEX('Age profile'!$B$2:$B$61,B375)</f>
        <v/>
      </c>
      <c r="G375" s="45">
        <f>MIN(in_takeup_cap,INDEX('Age profile'!$N$2:$N$61,B375)*(1+in_takeup_growth)^(D375-1))</f>
        <v/>
      </c>
      <c r="H375" s="11">
        <f>MIN(in_approval_cap,in_approved_first*INDEX('Age profile'!$O$2:$O$61,B375)*(1+in_approval_growth)^(D375-1))</f>
        <v/>
      </c>
      <c r="I375" s="45">
        <f>G375*MIN(in_takeup_cap,INDEX('Age profile'!$O$2:$O$61,B375)*(1+in_approval_growth)^(D375-1))</f>
        <v/>
      </c>
      <c r="J375" s="40">
        <f>(J374-L374)*F375/F374</f>
        <v/>
      </c>
      <c r="K375" s="40">
        <f>(K374-M374)*F375/F374+SUMIFS(O347:O374,B347:B374,B375-1-d_T)*F375</f>
        <v/>
      </c>
      <c r="L375" s="40">
        <f>IF(B375&gt;=in_marketplace_from,J375*d_hz*G375*in_eligible*H375,0)</f>
        <v/>
      </c>
      <c r="M375" s="40">
        <f>IF(B375&gt;=in_marketplace_from,K375*d_hz*G375*in_eligible*in_approved_repeat,0)</f>
        <v/>
      </c>
      <c r="N375" s="40">
        <f>L375+M375</f>
        <v/>
      </c>
      <c r="O375" s="46">
        <f>N375/F375</f>
        <v/>
      </c>
      <c r="P375" s="40">
        <f>F375-J375-K375</f>
        <v/>
      </c>
      <c r="Q375" s="40">
        <f>IF(B375&gt;=in_marketplace_from,(J375+K375)*d_hz*G375,0)</f>
        <v/>
      </c>
      <c r="R375" s="40">
        <f>SUMIFS(N347:N400,B347:B400,"&gt;="&amp;(B375-d_T),B347:B400,"&lt;="&amp;(B375-1))</f>
        <v/>
      </c>
      <c r="S375" s="46">
        <f>(1-d_u)*S374+IF(d_T&gt;in_topup_lag,SUMIFS(O347:O400,B347:B400,B375-in_topup_lag)-d_udrop*SUMIFS(O347:O400,B347:B400,B375-d_T),0)</f>
        <v/>
      </c>
      <c r="T375" s="40">
        <f>F375*d_u*S375</f>
        <v/>
      </c>
      <c r="U375" s="9">
        <f>L375*in_ticket+M375*d_rep_ticket</f>
        <v/>
      </c>
      <c r="V375" s="9">
        <f>U375+T375*d_topup_amt</f>
        <v/>
      </c>
      <c r="W375" s="40">
        <f>N375+T375*d_topup_ratio</f>
        <v/>
      </c>
      <c r="X375" s="40">
        <f>SUMIFS(W347:W400,B347:B400,B375-in_dpd_lag)*d_cured</f>
        <v/>
      </c>
      <c r="Y375" s="40">
        <f>SUMIFS(W347:W400,B347:B400,B375-in_rec_lag)*d_recd</f>
        <v/>
      </c>
      <c r="Z375" s="40">
        <f>IF(AND(B375&gt;=in_marketplace_from,B375&lt;in_marketplace_from+in_card_months),in_card_share/in_card_months*F375*I375,IF(AND(B375&gt;=in_marketplace_from+in_card_months,B375&lt;in_marketplace_from+2*in_card_months),in_card_share*d_card_rem/in_card_months*F375*MIN(in_takeup_cap,(1+in_takeup_growth)^(D375-1))*MIN(in_takeup_cap,(1+in_approval_growth)^(D375-1)),0))</f>
        <v/>
      </c>
      <c r="AA375" s="14">
        <f>V375*in_fee*(1-in_taken_back)</f>
        <v/>
      </c>
      <c r="AB375" s="14">
        <f>SUMIFS(W347:W400,B347:B400,B375-in_dpd_lag)*d_dpd</f>
        <v/>
      </c>
      <c r="AC375" s="14">
        <f>SUMIFS(W347:W400,B347:B400,B375-in_rec_lag)*d_rec</f>
        <v/>
      </c>
      <c r="AD375" s="14">
        <f>Z375*in_card_fee</f>
        <v/>
      </c>
      <c r="AE375" s="40">
        <f>AE374*(1-IF(B374&gt;=in_marketplace_from,d_hz_hlth_small*G374,0))</f>
        <v/>
      </c>
      <c r="AF375" s="46">
        <f>AE375*IF(B375&gt;=in_marketplace_from,d_hz_hlth_small*G375,0)</f>
        <v/>
      </c>
      <c r="AG375" s="14">
        <f>F375*AF375*in_hlth_small_ticket*in_hlth_small_comm*in_ins_partner_share+F375*in_hlth_small_ticket*in_hlth_small_renew_comm*in_ins_partner_share*(in_hlth_small_renew^1*SUMIFS(AF347:AF400,B347:B400,B375-12)+in_hlth_small_renew^2*SUMIFS(AF347:AF400,B347:B400,B375-24)+in_hlth_small_renew^3*SUMIFS(AF347:AF400,B347:B400,B375-36)+in_hlth_small_renew^4*SUMIFS(AF347:AF400,B347:B400,B375-48))</f>
        <v/>
      </c>
      <c r="AH375" s="40">
        <f>AH374*(1-IF(B374&gt;=in_marketplace_from,d_hz_hlth_family*G374,0))</f>
        <v/>
      </c>
      <c r="AI375" s="46">
        <f>AH375*IF(B375&gt;=in_marketplace_from,d_hz_hlth_family*G375,0)</f>
        <v/>
      </c>
      <c r="AJ375" s="14">
        <f>F375*AI375*in_hlth_family_ticket*in_hlth_family_comm*in_ins_partner_share+F375*in_hlth_family_ticket*in_hlth_family_renew_comm*in_ins_partner_share*(in_hlth_family_renew^1*SUMIFS(AI347:AI400,B347:B400,B375-12)+in_hlth_family_renew^2*SUMIFS(AI347:AI400,B347:B400,B375-24)+in_hlth_family_renew^3*SUMIFS(AI347:AI400,B347:B400,B375-36)+in_hlth_family_renew^4*SUMIFS(AI347:AI400,B347:B400,B375-48))</f>
        <v/>
      </c>
      <c r="AK375" s="40">
        <f>AK374*(1-IF(B374&gt;=in_marketplace_from,d_hz_life_term*G374,0))</f>
        <v/>
      </c>
      <c r="AL375" s="46">
        <f>AK375*IF(B375&gt;=in_marketplace_from,d_hz_life_term*G375,0)</f>
        <v/>
      </c>
      <c r="AM375" s="14">
        <f>F375*AL375*in_life_term_ticket*in_life_term_comm*in_ins_partner_share+F375*in_life_term_ticket*in_life_term_renew_comm*in_ins_partner_share*(in_life_term_renew^1*SUMIFS(AL347:AL400,B347:B400,B375-12)+in_life_term_renew^2*SUMIFS(AL347:AL400,B347:B400,B375-24)+in_life_term_renew^3*SUMIFS(AL347:AL400,B347:B400,B375-36)+in_life_term_renew^4*SUMIFS(AL347:AL400,B347:B400,B375-48))</f>
        <v/>
      </c>
      <c r="AN375" s="40">
        <f>AN374*(1-IF(B374&gt;=in_marketplace_from,d_hz_accident*G374,0))</f>
        <v/>
      </c>
      <c r="AO375" s="46">
        <f>AN375*IF(B375&gt;=in_marketplace_from,d_hz_accident*G375,0)</f>
        <v/>
      </c>
      <c r="AP375" s="14">
        <f>F375*AO375*in_accident_ticket*in_accident_comm*in_ins_partner_share+F375*in_accident_ticket*in_accident_renew_comm*in_ins_partner_share*(in_accident_renew^1*SUMIFS(AO347:AO400,B347:B400,B375-12)+in_accident_renew^2*SUMIFS(AO347:AO400,B347:B400,B375-24)+in_accident_renew^3*SUMIFS(AO347:AO400,B347:B400,B375-36)+in_accident_renew^4*SUMIFS(AO347:AO400,B347:B400,B375-48))</f>
        <v/>
      </c>
      <c r="AQ375" s="40">
        <f>AQ374*(1-IF(B374&gt;=in_marketplace_from,d_hz_two_wheeler*G374,0))</f>
        <v/>
      </c>
      <c r="AR375" s="46">
        <f>AQ375*IF(B375&gt;=in_marketplace_from,d_hz_two_wheeler*G375,0)</f>
        <v/>
      </c>
      <c r="AS375" s="14">
        <f>F375*AR375*in_two_wheeler_ticket*in_two_wheeler_comm*in_ins_partner_share+F375*in_two_wheeler_ticket*in_two_wheeler_comm*in_ins_partner_share*(in_two_wheeler_renew^1*SUMIFS(AR347:AR400,B347:B400,B375-12)+in_two_wheeler_renew^2*SUMIFS(AR347:AR400,B347:B400,B375-24)+in_two_wheeler_renew^3*SUMIFS(AR347:AR400,B347:B400,B375-36)+in_two_wheeler_renew^4*SUMIFS(AR347:AR400,B347:B400,B375-48))</f>
        <v/>
      </c>
      <c r="AT375" s="40">
        <f>AT374*(1-IF(B374&gt;=in_marketplace_from,d_hz_device*G374,0))</f>
        <v/>
      </c>
      <c r="AU375" s="14">
        <f>F375*AT375*IF(B375&gt;=in_marketplace_from,d_hz_device*G375,0)*in_device_ticket*in_device_comm*in_ins_partner_share</f>
        <v/>
      </c>
      <c r="AV375" s="40">
        <f>AV374*(1-IF(B374&gt;=in_marketplace_from,d_hz_shop*G374,0))</f>
        <v/>
      </c>
      <c r="AW375" s="46">
        <f>AV375*IF(B375&gt;=in_marketplace_from,d_hz_shop*G375,0)</f>
        <v/>
      </c>
      <c r="AX375" s="14">
        <f>F375*AW375*in_shop_ticket*in_shop_comm*in_ins_partner_share+F375*in_shop_ticket*in_shop_renew_comm*in_ins_partner_share*(in_shop_renew^1*SUMIFS(AW347:AW400,B347:B400,B375-12)+in_shop_renew^2*SUMIFS(AW347:AW400,B347:B400,B375-24)+in_shop_renew^3*SUMIFS(AW347:AW400,B347:B400,B375-36)+in_shop_renew^4*SUMIFS(AW347:AW400,B347:B400,B375-48))</f>
        <v/>
      </c>
      <c r="AY375" s="40">
        <f>AY374*(1-IF(B374&gt;=in_marketplace_from,d_hz_sip*G374,0))</f>
        <v/>
      </c>
      <c r="AZ375" s="40">
        <f>AZ374*d_rho_sip+AY375*IF(B375&gt;=in_marketplace_from,d_hz_sip*G375,0)</f>
        <v/>
      </c>
      <c r="BA375" s="40">
        <f>d_rho_sip*(BA374+AZ374)</f>
        <v/>
      </c>
      <c r="BB375" s="14">
        <f>F375*in_sip_ticket*(BA375+0.5*AZ375)*in_sip_comm/12</f>
        <v/>
      </c>
      <c r="BC375" s="40">
        <f>BC374*(1-IF(B374&gt;=in_marketplace_from,d_hz_choti*G374,0))</f>
        <v/>
      </c>
      <c r="BD375" s="46">
        <f>BC375*IF(B375&gt;=in_marketplace_from,d_hz_choti*G375,0)</f>
        <v/>
      </c>
      <c r="BE375" s="14">
        <f>F375*SUMIFS(BD347:BD400,B347:B400,B375-in_choti_months)*in_choti_renew*in_choti_ticket</f>
        <v/>
      </c>
      <c r="BF375" s="40">
        <f>BF374*(1-IF(B374&gt;=in_marketplace_from,d_hz_nps*G374,0))</f>
        <v/>
      </c>
      <c r="BG375" s="14">
        <f>F375*BF375*IF(B375&gt;=in_marketplace_from,d_hz_nps*G375,0)*in_nps_ticket*in_nps_comm</f>
        <v/>
      </c>
      <c r="BH375" s="40">
        <f>BH374*(1-IF(B374&gt;=in_marketplace_from,d_hz_gold*G374,0))</f>
        <v/>
      </c>
      <c r="BI375" s="40">
        <f>BI374*d_rho_gold+BH375*IF(B375&gt;=in_marketplace_from,d_hz_gold*G375,0)</f>
        <v/>
      </c>
      <c r="BJ375" s="14">
        <f>F375*BI375*in_gold_ticket*in_gold_comm</f>
        <v/>
      </c>
      <c r="BK375" s="40">
        <f>BK374*(1-IF(B374&gt;=in_marketplace_from,d_hz_fd*G374,0))</f>
        <v/>
      </c>
      <c r="BL375" s="14">
        <f>F375*BK375*IF(B375&gt;=in_marketplace_from,d_hz_fd*G375,0)*in_fd_ticket*in_fd_comm</f>
        <v/>
      </c>
      <c r="BM375" s="40">
        <f>BM374*(1-IF(B374&gt;=in_marketplace_from,d_hz_recharge*G374,0))</f>
        <v/>
      </c>
      <c r="BN375" s="40">
        <f>BN374*d_rho_recharge+BM375*IF(B375&gt;=in_marketplace_from,d_hz_recharge*G375,0)</f>
        <v/>
      </c>
      <c r="BO375" s="14">
        <f>F375*BN375*in_recharge_ticket*in_recharge_comm/12</f>
        <v/>
      </c>
      <c r="BP375" s="40">
        <f>BP374*(1-IF(B374&gt;=in_marketplace_from,d_hz_bills*G374,0))</f>
        <v/>
      </c>
      <c r="BQ375" s="40">
        <f>BQ374*d_rho_bills+BP375*IF(B375&gt;=in_marketplace_from,d_hz_bills*G375,0)</f>
        <v/>
      </c>
      <c r="BR375" s="14">
        <f>F375*BQ375*in_bills_ticket*in_bills_comm/12</f>
        <v/>
      </c>
      <c r="BS375" s="40">
        <f>BS374*(1-IF(B374&gt;=in_marketplace_from,d_hz_loan_gold*G374,0))</f>
        <v/>
      </c>
      <c r="BT375" s="14">
        <f>F375*BS375*IF(B375&gt;=in_marketplace_from,d_hz_loan_gold*G375,0)*in_loan_gold_ticket*in_loan_gold_comm</f>
        <v/>
      </c>
      <c r="BU375" s="40">
        <f>BU374*(1-IF(B374&gt;=in_marketplace_from,d_hz_loan_cd*G374,0))</f>
        <v/>
      </c>
      <c r="BV375" s="14">
        <f>F375*BU375*IF(B375&gt;=in_marketplace_from,d_hz_loan_cd*G375,0)*in_loan_cd_ticket*in_loan_cd_comm</f>
        <v/>
      </c>
      <c r="BW375" s="40">
        <f>BW374*(1-IF(B374&gt;=in_marketplace_from,d_hz_loan_vehicle*G374,0))</f>
        <v/>
      </c>
      <c r="BX375" s="14">
        <f>F375*BW375*IF(B375&gt;=in_marketplace_from,d_hz_loan_vehicle*G375,0)*in_loan_vehicle_ticket*in_loan_vehicle_comm</f>
        <v/>
      </c>
      <c r="BY375" s="40">
        <f>BY374*(1-IF(B374&gt;=in_marketplace_from,d_hz_loan_home*G374,0)*BZ374)</f>
        <v/>
      </c>
      <c r="BZ375" s="11">
        <f>MIN(in_approval_cap,in_loan_home_approval*INDEX('Age profile'!$O$2:$O$61,B375)*(1+in_approval_growth)^(D375-1))</f>
        <v/>
      </c>
      <c r="CA375" s="14">
        <f>F375*BY375*IF(B375&gt;=in_marketplace_from,d_hz_loan_home*G375,0)*BZ375*in_loan_home_ticket*in_loan_home_comm</f>
        <v/>
      </c>
      <c r="CB375" s="40">
        <f>CB374*(1-IF(B374&gt;=in_marketplace_from,d_hz_loan_lap*G374,0)*CC374)</f>
        <v/>
      </c>
      <c r="CC375" s="11">
        <f>MIN(in_approval_cap,in_loan_lap_approval*INDEX('Age profile'!$O$2:$O$61,B375)*(1+in_approval_growth)^(D375-1))</f>
        <v/>
      </c>
      <c r="CD375" s="14">
        <f>F375*CB375*IF(B375&gt;=in_marketplace_from,d_hz_loan_lap*G375,0)*CC375*in_loan_lap_ticket*in_loan_lap_comm</f>
        <v/>
      </c>
      <c r="CE375" s="14">
        <f>AA375+AB375+AC375+AD375+AG375+AJ375+AM375+AP375+AS375+AU375+AX375+BB375+BE375+BG375+BJ375+BL375+BO375+BR375+BT375+BV375+BX375+CA375+CD375</f>
        <v/>
      </c>
    </row>
    <row r="376">
      <c r="A376" s="39" t="n">
        <v>7</v>
      </c>
      <c r="B376" s="39" t="n">
        <v>30</v>
      </c>
      <c r="C376" s="39">
        <f>A376+B376-1</f>
        <v/>
      </c>
      <c r="D376" s="39">
        <f>INT((C376-1)/12)+1</f>
        <v/>
      </c>
      <c r="E376" s="44">
        <f>INDEX(Monthly!$B$2:$B$61,A376)</f>
        <v/>
      </c>
      <c r="F376" s="44">
        <f>E376*INDEX('Age profile'!$B$2:$B$61,B376)</f>
        <v/>
      </c>
      <c r="G376" s="45">
        <f>MIN(in_takeup_cap,INDEX('Age profile'!$N$2:$N$61,B376)*(1+in_takeup_growth)^(D376-1))</f>
        <v/>
      </c>
      <c r="H376" s="11">
        <f>MIN(in_approval_cap,in_approved_first*INDEX('Age profile'!$O$2:$O$61,B376)*(1+in_approval_growth)^(D376-1))</f>
        <v/>
      </c>
      <c r="I376" s="45">
        <f>G376*MIN(in_takeup_cap,INDEX('Age profile'!$O$2:$O$61,B376)*(1+in_approval_growth)^(D376-1))</f>
        <v/>
      </c>
      <c r="J376" s="40">
        <f>(J375-L375)*F376/F375</f>
        <v/>
      </c>
      <c r="K376" s="40">
        <f>(K375-M375)*F376/F375+SUMIFS(O347:O375,B347:B375,B376-1-d_T)*F376</f>
        <v/>
      </c>
      <c r="L376" s="40">
        <f>IF(B376&gt;=in_marketplace_from,J376*d_hz*G376*in_eligible*H376,0)</f>
        <v/>
      </c>
      <c r="M376" s="40">
        <f>IF(B376&gt;=in_marketplace_from,K376*d_hz*G376*in_eligible*in_approved_repeat,0)</f>
        <v/>
      </c>
      <c r="N376" s="40">
        <f>L376+M376</f>
        <v/>
      </c>
      <c r="O376" s="46">
        <f>N376/F376</f>
        <v/>
      </c>
      <c r="P376" s="40">
        <f>F376-J376-K376</f>
        <v/>
      </c>
      <c r="Q376" s="40">
        <f>IF(B376&gt;=in_marketplace_from,(J376+K376)*d_hz*G376,0)</f>
        <v/>
      </c>
      <c r="R376" s="40">
        <f>SUMIFS(N347:N400,B347:B400,"&gt;="&amp;(B376-d_T),B347:B400,"&lt;="&amp;(B376-1))</f>
        <v/>
      </c>
      <c r="S376" s="46">
        <f>(1-d_u)*S375+IF(d_T&gt;in_topup_lag,SUMIFS(O347:O400,B347:B400,B376-in_topup_lag)-d_udrop*SUMIFS(O347:O400,B347:B400,B376-d_T),0)</f>
        <v/>
      </c>
      <c r="T376" s="40">
        <f>F376*d_u*S376</f>
        <v/>
      </c>
      <c r="U376" s="9">
        <f>L376*in_ticket+M376*d_rep_ticket</f>
        <v/>
      </c>
      <c r="V376" s="9">
        <f>U376+T376*d_topup_amt</f>
        <v/>
      </c>
      <c r="W376" s="40">
        <f>N376+T376*d_topup_ratio</f>
        <v/>
      </c>
      <c r="X376" s="40">
        <f>SUMIFS(W347:W400,B347:B400,B376-in_dpd_lag)*d_cured</f>
        <v/>
      </c>
      <c r="Y376" s="40">
        <f>SUMIFS(W347:W400,B347:B400,B376-in_rec_lag)*d_recd</f>
        <v/>
      </c>
      <c r="Z376" s="40">
        <f>IF(AND(B376&gt;=in_marketplace_from,B376&lt;in_marketplace_from+in_card_months),in_card_share/in_card_months*F376*I376,IF(AND(B376&gt;=in_marketplace_from+in_card_months,B376&lt;in_marketplace_from+2*in_card_months),in_card_share*d_card_rem/in_card_months*F376*MIN(in_takeup_cap,(1+in_takeup_growth)^(D376-1))*MIN(in_takeup_cap,(1+in_approval_growth)^(D376-1)),0))</f>
        <v/>
      </c>
      <c r="AA376" s="14">
        <f>V376*in_fee*(1-in_taken_back)</f>
        <v/>
      </c>
      <c r="AB376" s="14">
        <f>SUMIFS(W347:W400,B347:B400,B376-in_dpd_lag)*d_dpd</f>
        <v/>
      </c>
      <c r="AC376" s="14">
        <f>SUMIFS(W347:W400,B347:B400,B376-in_rec_lag)*d_rec</f>
        <v/>
      </c>
      <c r="AD376" s="14">
        <f>Z376*in_card_fee</f>
        <v/>
      </c>
      <c r="AE376" s="40">
        <f>AE375*(1-IF(B375&gt;=in_marketplace_from,d_hz_hlth_small*G375,0))</f>
        <v/>
      </c>
      <c r="AF376" s="46">
        <f>AE376*IF(B376&gt;=in_marketplace_from,d_hz_hlth_small*G376,0)</f>
        <v/>
      </c>
      <c r="AG376" s="14">
        <f>F376*AF376*in_hlth_small_ticket*in_hlth_small_comm*in_ins_partner_share+F376*in_hlth_small_ticket*in_hlth_small_renew_comm*in_ins_partner_share*(in_hlth_small_renew^1*SUMIFS(AF347:AF400,B347:B400,B376-12)+in_hlth_small_renew^2*SUMIFS(AF347:AF400,B347:B400,B376-24)+in_hlth_small_renew^3*SUMIFS(AF347:AF400,B347:B400,B376-36)+in_hlth_small_renew^4*SUMIFS(AF347:AF400,B347:B400,B376-48))</f>
        <v/>
      </c>
      <c r="AH376" s="40">
        <f>AH375*(1-IF(B375&gt;=in_marketplace_from,d_hz_hlth_family*G375,0))</f>
        <v/>
      </c>
      <c r="AI376" s="46">
        <f>AH376*IF(B376&gt;=in_marketplace_from,d_hz_hlth_family*G376,0)</f>
        <v/>
      </c>
      <c r="AJ376" s="14">
        <f>F376*AI376*in_hlth_family_ticket*in_hlth_family_comm*in_ins_partner_share+F376*in_hlth_family_ticket*in_hlth_family_renew_comm*in_ins_partner_share*(in_hlth_family_renew^1*SUMIFS(AI347:AI400,B347:B400,B376-12)+in_hlth_family_renew^2*SUMIFS(AI347:AI400,B347:B400,B376-24)+in_hlth_family_renew^3*SUMIFS(AI347:AI400,B347:B400,B376-36)+in_hlth_family_renew^4*SUMIFS(AI347:AI400,B347:B400,B376-48))</f>
        <v/>
      </c>
      <c r="AK376" s="40">
        <f>AK375*(1-IF(B375&gt;=in_marketplace_from,d_hz_life_term*G375,0))</f>
        <v/>
      </c>
      <c r="AL376" s="46">
        <f>AK376*IF(B376&gt;=in_marketplace_from,d_hz_life_term*G376,0)</f>
        <v/>
      </c>
      <c r="AM376" s="14">
        <f>F376*AL376*in_life_term_ticket*in_life_term_comm*in_ins_partner_share+F376*in_life_term_ticket*in_life_term_renew_comm*in_ins_partner_share*(in_life_term_renew^1*SUMIFS(AL347:AL400,B347:B400,B376-12)+in_life_term_renew^2*SUMIFS(AL347:AL400,B347:B400,B376-24)+in_life_term_renew^3*SUMIFS(AL347:AL400,B347:B400,B376-36)+in_life_term_renew^4*SUMIFS(AL347:AL400,B347:B400,B376-48))</f>
        <v/>
      </c>
      <c r="AN376" s="40">
        <f>AN375*(1-IF(B375&gt;=in_marketplace_from,d_hz_accident*G375,0))</f>
        <v/>
      </c>
      <c r="AO376" s="46">
        <f>AN376*IF(B376&gt;=in_marketplace_from,d_hz_accident*G376,0)</f>
        <v/>
      </c>
      <c r="AP376" s="14">
        <f>F376*AO376*in_accident_ticket*in_accident_comm*in_ins_partner_share+F376*in_accident_ticket*in_accident_renew_comm*in_ins_partner_share*(in_accident_renew^1*SUMIFS(AO347:AO400,B347:B400,B376-12)+in_accident_renew^2*SUMIFS(AO347:AO400,B347:B400,B376-24)+in_accident_renew^3*SUMIFS(AO347:AO400,B347:B400,B376-36)+in_accident_renew^4*SUMIFS(AO347:AO400,B347:B400,B376-48))</f>
        <v/>
      </c>
      <c r="AQ376" s="40">
        <f>AQ375*(1-IF(B375&gt;=in_marketplace_from,d_hz_two_wheeler*G375,0))</f>
        <v/>
      </c>
      <c r="AR376" s="46">
        <f>AQ376*IF(B376&gt;=in_marketplace_from,d_hz_two_wheeler*G376,0)</f>
        <v/>
      </c>
      <c r="AS376" s="14">
        <f>F376*AR376*in_two_wheeler_ticket*in_two_wheeler_comm*in_ins_partner_share+F376*in_two_wheeler_ticket*in_two_wheeler_comm*in_ins_partner_share*(in_two_wheeler_renew^1*SUMIFS(AR347:AR400,B347:B400,B376-12)+in_two_wheeler_renew^2*SUMIFS(AR347:AR400,B347:B400,B376-24)+in_two_wheeler_renew^3*SUMIFS(AR347:AR400,B347:B400,B376-36)+in_two_wheeler_renew^4*SUMIFS(AR347:AR400,B347:B400,B376-48))</f>
        <v/>
      </c>
      <c r="AT376" s="40">
        <f>AT375*(1-IF(B375&gt;=in_marketplace_from,d_hz_device*G375,0))</f>
        <v/>
      </c>
      <c r="AU376" s="14">
        <f>F376*AT376*IF(B376&gt;=in_marketplace_from,d_hz_device*G376,0)*in_device_ticket*in_device_comm*in_ins_partner_share</f>
        <v/>
      </c>
      <c r="AV376" s="40">
        <f>AV375*(1-IF(B375&gt;=in_marketplace_from,d_hz_shop*G375,0))</f>
        <v/>
      </c>
      <c r="AW376" s="46">
        <f>AV376*IF(B376&gt;=in_marketplace_from,d_hz_shop*G376,0)</f>
        <v/>
      </c>
      <c r="AX376" s="14">
        <f>F376*AW376*in_shop_ticket*in_shop_comm*in_ins_partner_share+F376*in_shop_ticket*in_shop_renew_comm*in_ins_partner_share*(in_shop_renew^1*SUMIFS(AW347:AW400,B347:B400,B376-12)+in_shop_renew^2*SUMIFS(AW347:AW400,B347:B400,B376-24)+in_shop_renew^3*SUMIFS(AW347:AW400,B347:B400,B376-36)+in_shop_renew^4*SUMIFS(AW347:AW400,B347:B400,B376-48))</f>
        <v/>
      </c>
      <c r="AY376" s="40">
        <f>AY375*(1-IF(B375&gt;=in_marketplace_from,d_hz_sip*G375,0))</f>
        <v/>
      </c>
      <c r="AZ376" s="40">
        <f>AZ375*d_rho_sip+AY376*IF(B376&gt;=in_marketplace_from,d_hz_sip*G376,0)</f>
        <v/>
      </c>
      <c r="BA376" s="40">
        <f>d_rho_sip*(BA375+AZ375)</f>
        <v/>
      </c>
      <c r="BB376" s="14">
        <f>F376*in_sip_ticket*(BA376+0.5*AZ376)*in_sip_comm/12</f>
        <v/>
      </c>
      <c r="BC376" s="40">
        <f>BC375*(1-IF(B375&gt;=in_marketplace_from,d_hz_choti*G375,0))</f>
        <v/>
      </c>
      <c r="BD376" s="46">
        <f>BC376*IF(B376&gt;=in_marketplace_from,d_hz_choti*G376,0)</f>
        <v/>
      </c>
      <c r="BE376" s="14">
        <f>F376*SUMIFS(BD347:BD400,B347:B400,B376-in_choti_months)*in_choti_renew*in_choti_ticket</f>
        <v/>
      </c>
      <c r="BF376" s="40">
        <f>BF375*(1-IF(B375&gt;=in_marketplace_from,d_hz_nps*G375,0))</f>
        <v/>
      </c>
      <c r="BG376" s="14">
        <f>F376*BF376*IF(B376&gt;=in_marketplace_from,d_hz_nps*G376,0)*in_nps_ticket*in_nps_comm</f>
        <v/>
      </c>
      <c r="BH376" s="40">
        <f>BH375*(1-IF(B375&gt;=in_marketplace_from,d_hz_gold*G375,0))</f>
        <v/>
      </c>
      <c r="BI376" s="40">
        <f>BI375*d_rho_gold+BH376*IF(B376&gt;=in_marketplace_from,d_hz_gold*G376,0)</f>
        <v/>
      </c>
      <c r="BJ376" s="14">
        <f>F376*BI376*in_gold_ticket*in_gold_comm</f>
        <v/>
      </c>
      <c r="BK376" s="40">
        <f>BK375*(1-IF(B375&gt;=in_marketplace_from,d_hz_fd*G375,0))</f>
        <v/>
      </c>
      <c r="BL376" s="14">
        <f>F376*BK376*IF(B376&gt;=in_marketplace_from,d_hz_fd*G376,0)*in_fd_ticket*in_fd_comm</f>
        <v/>
      </c>
      <c r="BM376" s="40">
        <f>BM375*(1-IF(B375&gt;=in_marketplace_from,d_hz_recharge*G375,0))</f>
        <v/>
      </c>
      <c r="BN376" s="40">
        <f>BN375*d_rho_recharge+BM376*IF(B376&gt;=in_marketplace_from,d_hz_recharge*G376,0)</f>
        <v/>
      </c>
      <c r="BO376" s="14">
        <f>F376*BN376*in_recharge_ticket*in_recharge_comm/12</f>
        <v/>
      </c>
      <c r="BP376" s="40">
        <f>BP375*(1-IF(B375&gt;=in_marketplace_from,d_hz_bills*G375,0))</f>
        <v/>
      </c>
      <c r="BQ376" s="40">
        <f>BQ375*d_rho_bills+BP376*IF(B376&gt;=in_marketplace_from,d_hz_bills*G376,0)</f>
        <v/>
      </c>
      <c r="BR376" s="14">
        <f>F376*BQ376*in_bills_ticket*in_bills_comm/12</f>
        <v/>
      </c>
      <c r="BS376" s="40">
        <f>BS375*(1-IF(B375&gt;=in_marketplace_from,d_hz_loan_gold*G375,0))</f>
        <v/>
      </c>
      <c r="BT376" s="14">
        <f>F376*BS376*IF(B376&gt;=in_marketplace_from,d_hz_loan_gold*G376,0)*in_loan_gold_ticket*in_loan_gold_comm</f>
        <v/>
      </c>
      <c r="BU376" s="40">
        <f>BU375*(1-IF(B375&gt;=in_marketplace_from,d_hz_loan_cd*G375,0))</f>
        <v/>
      </c>
      <c r="BV376" s="14">
        <f>F376*BU376*IF(B376&gt;=in_marketplace_from,d_hz_loan_cd*G376,0)*in_loan_cd_ticket*in_loan_cd_comm</f>
        <v/>
      </c>
      <c r="BW376" s="40">
        <f>BW375*(1-IF(B375&gt;=in_marketplace_from,d_hz_loan_vehicle*G375,0))</f>
        <v/>
      </c>
      <c r="BX376" s="14">
        <f>F376*BW376*IF(B376&gt;=in_marketplace_from,d_hz_loan_vehicle*G376,0)*in_loan_vehicle_ticket*in_loan_vehicle_comm</f>
        <v/>
      </c>
      <c r="BY376" s="40">
        <f>BY375*(1-IF(B375&gt;=in_marketplace_from,d_hz_loan_home*G375,0)*BZ375)</f>
        <v/>
      </c>
      <c r="BZ376" s="11">
        <f>MIN(in_approval_cap,in_loan_home_approval*INDEX('Age profile'!$O$2:$O$61,B376)*(1+in_approval_growth)^(D376-1))</f>
        <v/>
      </c>
      <c r="CA376" s="14">
        <f>F376*BY376*IF(B376&gt;=in_marketplace_from,d_hz_loan_home*G376,0)*BZ376*in_loan_home_ticket*in_loan_home_comm</f>
        <v/>
      </c>
      <c r="CB376" s="40">
        <f>CB375*(1-IF(B375&gt;=in_marketplace_from,d_hz_loan_lap*G375,0)*CC375)</f>
        <v/>
      </c>
      <c r="CC376" s="11">
        <f>MIN(in_approval_cap,in_loan_lap_approval*INDEX('Age profile'!$O$2:$O$61,B376)*(1+in_approval_growth)^(D376-1))</f>
        <v/>
      </c>
      <c r="CD376" s="14">
        <f>F376*CB376*IF(B376&gt;=in_marketplace_from,d_hz_loan_lap*G376,0)*CC376*in_loan_lap_ticket*in_loan_lap_comm</f>
        <v/>
      </c>
      <c r="CE376" s="14">
        <f>AA376+AB376+AC376+AD376+AG376+AJ376+AM376+AP376+AS376+AU376+AX376+BB376+BE376+BG376+BJ376+BL376+BO376+BR376+BT376+BV376+BX376+CA376+CD376</f>
        <v/>
      </c>
    </row>
    <row r="377">
      <c r="A377" s="39" t="n">
        <v>7</v>
      </c>
      <c r="B377" s="39" t="n">
        <v>31</v>
      </c>
      <c r="C377" s="39">
        <f>A377+B377-1</f>
        <v/>
      </c>
      <c r="D377" s="39">
        <f>INT((C377-1)/12)+1</f>
        <v/>
      </c>
      <c r="E377" s="44">
        <f>INDEX(Monthly!$B$2:$B$61,A377)</f>
        <v/>
      </c>
      <c r="F377" s="44">
        <f>E377*INDEX('Age profile'!$B$2:$B$61,B377)</f>
        <v/>
      </c>
      <c r="G377" s="45">
        <f>MIN(in_takeup_cap,INDEX('Age profile'!$N$2:$N$61,B377)*(1+in_takeup_growth)^(D377-1))</f>
        <v/>
      </c>
      <c r="H377" s="11">
        <f>MIN(in_approval_cap,in_approved_first*INDEX('Age profile'!$O$2:$O$61,B377)*(1+in_approval_growth)^(D377-1))</f>
        <v/>
      </c>
      <c r="I377" s="45">
        <f>G377*MIN(in_takeup_cap,INDEX('Age profile'!$O$2:$O$61,B377)*(1+in_approval_growth)^(D377-1))</f>
        <v/>
      </c>
      <c r="J377" s="40">
        <f>(J376-L376)*F377/F376</f>
        <v/>
      </c>
      <c r="K377" s="40">
        <f>(K376-M376)*F377/F376+SUMIFS(O347:O376,B347:B376,B377-1-d_T)*F377</f>
        <v/>
      </c>
      <c r="L377" s="40">
        <f>IF(B377&gt;=in_marketplace_from,J377*d_hz*G377*in_eligible*H377,0)</f>
        <v/>
      </c>
      <c r="M377" s="40">
        <f>IF(B377&gt;=in_marketplace_from,K377*d_hz*G377*in_eligible*in_approved_repeat,0)</f>
        <v/>
      </c>
      <c r="N377" s="40">
        <f>L377+M377</f>
        <v/>
      </c>
      <c r="O377" s="46">
        <f>N377/F377</f>
        <v/>
      </c>
      <c r="P377" s="40">
        <f>F377-J377-K377</f>
        <v/>
      </c>
      <c r="Q377" s="40">
        <f>IF(B377&gt;=in_marketplace_from,(J377+K377)*d_hz*G377,0)</f>
        <v/>
      </c>
      <c r="R377" s="40">
        <f>SUMIFS(N347:N400,B347:B400,"&gt;="&amp;(B377-d_T),B347:B400,"&lt;="&amp;(B377-1))</f>
        <v/>
      </c>
      <c r="S377" s="46">
        <f>(1-d_u)*S376+IF(d_T&gt;in_topup_lag,SUMIFS(O347:O400,B347:B400,B377-in_topup_lag)-d_udrop*SUMIFS(O347:O400,B347:B400,B377-d_T),0)</f>
        <v/>
      </c>
      <c r="T377" s="40">
        <f>F377*d_u*S377</f>
        <v/>
      </c>
      <c r="U377" s="9">
        <f>L377*in_ticket+M377*d_rep_ticket</f>
        <v/>
      </c>
      <c r="V377" s="9">
        <f>U377+T377*d_topup_amt</f>
        <v/>
      </c>
      <c r="W377" s="40">
        <f>N377+T377*d_topup_ratio</f>
        <v/>
      </c>
      <c r="X377" s="40">
        <f>SUMIFS(W347:W400,B347:B400,B377-in_dpd_lag)*d_cured</f>
        <v/>
      </c>
      <c r="Y377" s="40">
        <f>SUMIFS(W347:W400,B347:B400,B377-in_rec_lag)*d_recd</f>
        <v/>
      </c>
      <c r="Z377" s="40">
        <f>IF(AND(B377&gt;=in_marketplace_from,B377&lt;in_marketplace_from+in_card_months),in_card_share/in_card_months*F377*I377,IF(AND(B377&gt;=in_marketplace_from+in_card_months,B377&lt;in_marketplace_from+2*in_card_months),in_card_share*d_card_rem/in_card_months*F377*MIN(in_takeup_cap,(1+in_takeup_growth)^(D377-1))*MIN(in_takeup_cap,(1+in_approval_growth)^(D377-1)),0))</f>
        <v/>
      </c>
      <c r="AA377" s="14">
        <f>V377*in_fee*(1-in_taken_back)</f>
        <v/>
      </c>
      <c r="AB377" s="14">
        <f>SUMIFS(W347:W400,B347:B400,B377-in_dpd_lag)*d_dpd</f>
        <v/>
      </c>
      <c r="AC377" s="14">
        <f>SUMIFS(W347:W400,B347:B400,B377-in_rec_lag)*d_rec</f>
        <v/>
      </c>
      <c r="AD377" s="14">
        <f>Z377*in_card_fee</f>
        <v/>
      </c>
      <c r="AE377" s="40">
        <f>AE376*(1-IF(B376&gt;=in_marketplace_from,d_hz_hlth_small*G376,0))</f>
        <v/>
      </c>
      <c r="AF377" s="46">
        <f>AE377*IF(B377&gt;=in_marketplace_from,d_hz_hlth_small*G377,0)</f>
        <v/>
      </c>
      <c r="AG377" s="14">
        <f>F377*AF377*in_hlth_small_ticket*in_hlth_small_comm*in_ins_partner_share+F377*in_hlth_small_ticket*in_hlth_small_renew_comm*in_ins_partner_share*(in_hlth_small_renew^1*SUMIFS(AF347:AF400,B347:B400,B377-12)+in_hlth_small_renew^2*SUMIFS(AF347:AF400,B347:B400,B377-24)+in_hlth_small_renew^3*SUMIFS(AF347:AF400,B347:B400,B377-36)+in_hlth_small_renew^4*SUMIFS(AF347:AF400,B347:B400,B377-48))</f>
        <v/>
      </c>
      <c r="AH377" s="40">
        <f>AH376*(1-IF(B376&gt;=in_marketplace_from,d_hz_hlth_family*G376,0))</f>
        <v/>
      </c>
      <c r="AI377" s="46">
        <f>AH377*IF(B377&gt;=in_marketplace_from,d_hz_hlth_family*G377,0)</f>
        <v/>
      </c>
      <c r="AJ377" s="14">
        <f>F377*AI377*in_hlth_family_ticket*in_hlth_family_comm*in_ins_partner_share+F377*in_hlth_family_ticket*in_hlth_family_renew_comm*in_ins_partner_share*(in_hlth_family_renew^1*SUMIFS(AI347:AI400,B347:B400,B377-12)+in_hlth_family_renew^2*SUMIFS(AI347:AI400,B347:B400,B377-24)+in_hlth_family_renew^3*SUMIFS(AI347:AI400,B347:B400,B377-36)+in_hlth_family_renew^4*SUMIFS(AI347:AI400,B347:B400,B377-48))</f>
        <v/>
      </c>
      <c r="AK377" s="40">
        <f>AK376*(1-IF(B376&gt;=in_marketplace_from,d_hz_life_term*G376,0))</f>
        <v/>
      </c>
      <c r="AL377" s="46">
        <f>AK377*IF(B377&gt;=in_marketplace_from,d_hz_life_term*G377,0)</f>
        <v/>
      </c>
      <c r="AM377" s="14">
        <f>F377*AL377*in_life_term_ticket*in_life_term_comm*in_ins_partner_share+F377*in_life_term_ticket*in_life_term_renew_comm*in_ins_partner_share*(in_life_term_renew^1*SUMIFS(AL347:AL400,B347:B400,B377-12)+in_life_term_renew^2*SUMIFS(AL347:AL400,B347:B400,B377-24)+in_life_term_renew^3*SUMIFS(AL347:AL400,B347:B400,B377-36)+in_life_term_renew^4*SUMIFS(AL347:AL400,B347:B400,B377-48))</f>
        <v/>
      </c>
      <c r="AN377" s="40">
        <f>AN376*(1-IF(B376&gt;=in_marketplace_from,d_hz_accident*G376,0))</f>
        <v/>
      </c>
      <c r="AO377" s="46">
        <f>AN377*IF(B377&gt;=in_marketplace_from,d_hz_accident*G377,0)</f>
        <v/>
      </c>
      <c r="AP377" s="14">
        <f>F377*AO377*in_accident_ticket*in_accident_comm*in_ins_partner_share+F377*in_accident_ticket*in_accident_renew_comm*in_ins_partner_share*(in_accident_renew^1*SUMIFS(AO347:AO400,B347:B400,B377-12)+in_accident_renew^2*SUMIFS(AO347:AO400,B347:B400,B377-24)+in_accident_renew^3*SUMIFS(AO347:AO400,B347:B400,B377-36)+in_accident_renew^4*SUMIFS(AO347:AO400,B347:B400,B377-48))</f>
        <v/>
      </c>
      <c r="AQ377" s="40">
        <f>AQ376*(1-IF(B376&gt;=in_marketplace_from,d_hz_two_wheeler*G376,0))</f>
        <v/>
      </c>
      <c r="AR377" s="46">
        <f>AQ377*IF(B377&gt;=in_marketplace_from,d_hz_two_wheeler*G377,0)</f>
        <v/>
      </c>
      <c r="AS377" s="14">
        <f>F377*AR377*in_two_wheeler_ticket*in_two_wheeler_comm*in_ins_partner_share+F377*in_two_wheeler_ticket*in_two_wheeler_comm*in_ins_partner_share*(in_two_wheeler_renew^1*SUMIFS(AR347:AR400,B347:B400,B377-12)+in_two_wheeler_renew^2*SUMIFS(AR347:AR400,B347:B400,B377-24)+in_two_wheeler_renew^3*SUMIFS(AR347:AR400,B347:B400,B377-36)+in_two_wheeler_renew^4*SUMIFS(AR347:AR400,B347:B400,B377-48))</f>
        <v/>
      </c>
      <c r="AT377" s="40">
        <f>AT376*(1-IF(B376&gt;=in_marketplace_from,d_hz_device*G376,0))</f>
        <v/>
      </c>
      <c r="AU377" s="14">
        <f>F377*AT377*IF(B377&gt;=in_marketplace_from,d_hz_device*G377,0)*in_device_ticket*in_device_comm*in_ins_partner_share</f>
        <v/>
      </c>
      <c r="AV377" s="40">
        <f>AV376*(1-IF(B376&gt;=in_marketplace_from,d_hz_shop*G376,0))</f>
        <v/>
      </c>
      <c r="AW377" s="46">
        <f>AV377*IF(B377&gt;=in_marketplace_from,d_hz_shop*G377,0)</f>
        <v/>
      </c>
      <c r="AX377" s="14">
        <f>F377*AW377*in_shop_ticket*in_shop_comm*in_ins_partner_share+F377*in_shop_ticket*in_shop_renew_comm*in_ins_partner_share*(in_shop_renew^1*SUMIFS(AW347:AW400,B347:B400,B377-12)+in_shop_renew^2*SUMIFS(AW347:AW400,B347:B400,B377-24)+in_shop_renew^3*SUMIFS(AW347:AW400,B347:B400,B377-36)+in_shop_renew^4*SUMIFS(AW347:AW400,B347:B400,B377-48))</f>
        <v/>
      </c>
      <c r="AY377" s="40">
        <f>AY376*(1-IF(B376&gt;=in_marketplace_from,d_hz_sip*G376,0))</f>
        <v/>
      </c>
      <c r="AZ377" s="40">
        <f>AZ376*d_rho_sip+AY377*IF(B377&gt;=in_marketplace_from,d_hz_sip*G377,0)</f>
        <v/>
      </c>
      <c r="BA377" s="40">
        <f>d_rho_sip*(BA376+AZ376)</f>
        <v/>
      </c>
      <c r="BB377" s="14">
        <f>F377*in_sip_ticket*(BA377+0.5*AZ377)*in_sip_comm/12</f>
        <v/>
      </c>
      <c r="BC377" s="40">
        <f>BC376*(1-IF(B376&gt;=in_marketplace_from,d_hz_choti*G376,0))</f>
        <v/>
      </c>
      <c r="BD377" s="46">
        <f>BC377*IF(B377&gt;=in_marketplace_from,d_hz_choti*G377,0)</f>
        <v/>
      </c>
      <c r="BE377" s="14">
        <f>F377*SUMIFS(BD347:BD400,B347:B400,B377-in_choti_months)*in_choti_renew*in_choti_ticket</f>
        <v/>
      </c>
      <c r="BF377" s="40">
        <f>BF376*(1-IF(B376&gt;=in_marketplace_from,d_hz_nps*G376,0))</f>
        <v/>
      </c>
      <c r="BG377" s="14">
        <f>F377*BF377*IF(B377&gt;=in_marketplace_from,d_hz_nps*G377,0)*in_nps_ticket*in_nps_comm</f>
        <v/>
      </c>
      <c r="BH377" s="40">
        <f>BH376*(1-IF(B376&gt;=in_marketplace_from,d_hz_gold*G376,0))</f>
        <v/>
      </c>
      <c r="BI377" s="40">
        <f>BI376*d_rho_gold+BH377*IF(B377&gt;=in_marketplace_from,d_hz_gold*G377,0)</f>
        <v/>
      </c>
      <c r="BJ377" s="14">
        <f>F377*BI377*in_gold_ticket*in_gold_comm</f>
        <v/>
      </c>
      <c r="BK377" s="40">
        <f>BK376*(1-IF(B376&gt;=in_marketplace_from,d_hz_fd*G376,0))</f>
        <v/>
      </c>
      <c r="BL377" s="14">
        <f>F377*BK377*IF(B377&gt;=in_marketplace_from,d_hz_fd*G377,0)*in_fd_ticket*in_fd_comm</f>
        <v/>
      </c>
      <c r="BM377" s="40">
        <f>BM376*(1-IF(B376&gt;=in_marketplace_from,d_hz_recharge*G376,0))</f>
        <v/>
      </c>
      <c r="BN377" s="40">
        <f>BN376*d_rho_recharge+BM377*IF(B377&gt;=in_marketplace_from,d_hz_recharge*G377,0)</f>
        <v/>
      </c>
      <c r="BO377" s="14">
        <f>F377*BN377*in_recharge_ticket*in_recharge_comm/12</f>
        <v/>
      </c>
      <c r="BP377" s="40">
        <f>BP376*(1-IF(B376&gt;=in_marketplace_from,d_hz_bills*G376,0))</f>
        <v/>
      </c>
      <c r="BQ377" s="40">
        <f>BQ376*d_rho_bills+BP377*IF(B377&gt;=in_marketplace_from,d_hz_bills*G377,0)</f>
        <v/>
      </c>
      <c r="BR377" s="14">
        <f>F377*BQ377*in_bills_ticket*in_bills_comm/12</f>
        <v/>
      </c>
      <c r="BS377" s="40">
        <f>BS376*(1-IF(B376&gt;=in_marketplace_from,d_hz_loan_gold*G376,0))</f>
        <v/>
      </c>
      <c r="BT377" s="14">
        <f>F377*BS377*IF(B377&gt;=in_marketplace_from,d_hz_loan_gold*G377,0)*in_loan_gold_ticket*in_loan_gold_comm</f>
        <v/>
      </c>
      <c r="BU377" s="40">
        <f>BU376*(1-IF(B376&gt;=in_marketplace_from,d_hz_loan_cd*G376,0))</f>
        <v/>
      </c>
      <c r="BV377" s="14">
        <f>F377*BU377*IF(B377&gt;=in_marketplace_from,d_hz_loan_cd*G377,0)*in_loan_cd_ticket*in_loan_cd_comm</f>
        <v/>
      </c>
      <c r="BW377" s="40">
        <f>BW376*(1-IF(B376&gt;=in_marketplace_from,d_hz_loan_vehicle*G376,0))</f>
        <v/>
      </c>
      <c r="BX377" s="14">
        <f>F377*BW377*IF(B377&gt;=in_marketplace_from,d_hz_loan_vehicle*G377,0)*in_loan_vehicle_ticket*in_loan_vehicle_comm</f>
        <v/>
      </c>
      <c r="BY377" s="40">
        <f>BY376*(1-IF(B376&gt;=in_marketplace_from,d_hz_loan_home*G376,0)*BZ376)</f>
        <v/>
      </c>
      <c r="BZ377" s="11">
        <f>MIN(in_approval_cap,in_loan_home_approval*INDEX('Age profile'!$O$2:$O$61,B377)*(1+in_approval_growth)^(D377-1))</f>
        <v/>
      </c>
      <c r="CA377" s="14">
        <f>F377*BY377*IF(B377&gt;=in_marketplace_from,d_hz_loan_home*G377,0)*BZ377*in_loan_home_ticket*in_loan_home_comm</f>
        <v/>
      </c>
      <c r="CB377" s="40">
        <f>CB376*(1-IF(B376&gt;=in_marketplace_from,d_hz_loan_lap*G376,0)*CC376)</f>
        <v/>
      </c>
      <c r="CC377" s="11">
        <f>MIN(in_approval_cap,in_loan_lap_approval*INDEX('Age profile'!$O$2:$O$61,B377)*(1+in_approval_growth)^(D377-1))</f>
        <v/>
      </c>
      <c r="CD377" s="14">
        <f>F377*CB377*IF(B377&gt;=in_marketplace_from,d_hz_loan_lap*G377,0)*CC377*in_loan_lap_ticket*in_loan_lap_comm</f>
        <v/>
      </c>
      <c r="CE377" s="14">
        <f>AA377+AB377+AC377+AD377+AG377+AJ377+AM377+AP377+AS377+AU377+AX377+BB377+BE377+BG377+BJ377+BL377+BO377+BR377+BT377+BV377+BX377+CA377+CD377</f>
        <v/>
      </c>
    </row>
    <row r="378">
      <c r="A378" s="39" t="n">
        <v>7</v>
      </c>
      <c r="B378" s="39" t="n">
        <v>32</v>
      </c>
      <c r="C378" s="39">
        <f>A378+B378-1</f>
        <v/>
      </c>
      <c r="D378" s="39">
        <f>INT((C378-1)/12)+1</f>
        <v/>
      </c>
      <c r="E378" s="44">
        <f>INDEX(Monthly!$B$2:$B$61,A378)</f>
        <v/>
      </c>
      <c r="F378" s="44">
        <f>E378*INDEX('Age profile'!$B$2:$B$61,B378)</f>
        <v/>
      </c>
      <c r="G378" s="45">
        <f>MIN(in_takeup_cap,INDEX('Age profile'!$N$2:$N$61,B378)*(1+in_takeup_growth)^(D378-1))</f>
        <v/>
      </c>
      <c r="H378" s="11">
        <f>MIN(in_approval_cap,in_approved_first*INDEX('Age profile'!$O$2:$O$61,B378)*(1+in_approval_growth)^(D378-1))</f>
        <v/>
      </c>
      <c r="I378" s="45">
        <f>G378*MIN(in_takeup_cap,INDEX('Age profile'!$O$2:$O$61,B378)*(1+in_approval_growth)^(D378-1))</f>
        <v/>
      </c>
      <c r="J378" s="40">
        <f>(J377-L377)*F378/F377</f>
        <v/>
      </c>
      <c r="K378" s="40">
        <f>(K377-M377)*F378/F377+SUMIFS(O347:O377,B347:B377,B378-1-d_T)*F378</f>
        <v/>
      </c>
      <c r="L378" s="40">
        <f>IF(B378&gt;=in_marketplace_from,J378*d_hz*G378*in_eligible*H378,0)</f>
        <v/>
      </c>
      <c r="M378" s="40">
        <f>IF(B378&gt;=in_marketplace_from,K378*d_hz*G378*in_eligible*in_approved_repeat,0)</f>
        <v/>
      </c>
      <c r="N378" s="40">
        <f>L378+M378</f>
        <v/>
      </c>
      <c r="O378" s="46">
        <f>N378/F378</f>
        <v/>
      </c>
      <c r="P378" s="40">
        <f>F378-J378-K378</f>
        <v/>
      </c>
      <c r="Q378" s="40">
        <f>IF(B378&gt;=in_marketplace_from,(J378+K378)*d_hz*G378,0)</f>
        <v/>
      </c>
      <c r="R378" s="40">
        <f>SUMIFS(N347:N400,B347:B400,"&gt;="&amp;(B378-d_T),B347:B400,"&lt;="&amp;(B378-1))</f>
        <v/>
      </c>
      <c r="S378" s="46">
        <f>(1-d_u)*S377+IF(d_T&gt;in_topup_lag,SUMIFS(O347:O400,B347:B400,B378-in_topup_lag)-d_udrop*SUMIFS(O347:O400,B347:B400,B378-d_T),0)</f>
        <v/>
      </c>
      <c r="T378" s="40">
        <f>F378*d_u*S378</f>
        <v/>
      </c>
      <c r="U378" s="9">
        <f>L378*in_ticket+M378*d_rep_ticket</f>
        <v/>
      </c>
      <c r="V378" s="9">
        <f>U378+T378*d_topup_amt</f>
        <v/>
      </c>
      <c r="W378" s="40">
        <f>N378+T378*d_topup_ratio</f>
        <v/>
      </c>
      <c r="X378" s="40">
        <f>SUMIFS(W347:W400,B347:B400,B378-in_dpd_lag)*d_cured</f>
        <v/>
      </c>
      <c r="Y378" s="40">
        <f>SUMIFS(W347:W400,B347:B400,B378-in_rec_lag)*d_recd</f>
        <v/>
      </c>
      <c r="Z378" s="40">
        <f>IF(AND(B378&gt;=in_marketplace_from,B378&lt;in_marketplace_from+in_card_months),in_card_share/in_card_months*F378*I378,IF(AND(B378&gt;=in_marketplace_from+in_card_months,B378&lt;in_marketplace_from+2*in_card_months),in_card_share*d_card_rem/in_card_months*F378*MIN(in_takeup_cap,(1+in_takeup_growth)^(D378-1))*MIN(in_takeup_cap,(1+in_approval_growth)^(D378-1)),0))</f>
        <v/>
      </c>
      <c r="AA378" s="14">
        <f>V378*in_fee*(1-in_taken_back)</f>
        <v/>
      </c>
      <c r="AB378" s="14">
        <f>SUMIFS(W347:W400,B347:B400,B378-in_dpd_lag)*d_dpd</f>
        <v/>
      </c>
      <c r="AC378" s="14">
        <f>SUMIFS(W347:W400,B347:B400,B378-in_rec_lag)*d_rec</f>
        <v/>
      </c>
      <c r="AD378" s="14">
        <f>Z378*in_card_fee</f>
        <v/>
      </c>
      <c r="AE378" s="40">
        <f>AE377*(1-IF(B377&gt;=in_marketplace_from,d_hz_hlth_small*G377,0))</f>
        <v/>
      </c>
      <c r="AF378" s="46">
        <f>AE378*IF(B378&gt;=in_marketplace_from,d_hz_hlth_small*G378,0)</f>
        <v/>
      </c>
      <c r="AG378" s="14">
        <f>F378*AF378*in_hlth_small_ticket*in_hlth_small_comm*in_ins_partner_share+F378*in_hlth_small_ticket*in_hlth_small_renew_comm*in_ins_partner_share*(in_hlth_small_renew^1*SUMIFS(AF347:AF400,B347:B400,B378-12)+in_hlth_small_renew^2*SUMIFS(AF347:AF400,B347:B400,B378-24)+in_hlth_small_renew^3*SUMIFS(AF347:AF400,B347:B400,B378-36)+in_hlth_small_renew^4*SUMIFS(AF347:AF400,B347:B400,B378-48))</f>
        <v/>
      </c>
      <c r="AH378" s="40">
        <f>AH377*(1-IF(B377&gt;=in_marketplace_from,d_hz_hlth_family*G377,0))</f>
        <v/>
      </c>
      <c r="AI378" s="46">
        <f>AH378*IF(B378&gt;=in_marketplace_from,d_hz_hlth_family*G378,0)</f>
        <v/>
      </c>
      <c r="AJ378" s="14">
        <f>F378*AI378*in_hlth_family_ticket*in_hlth_family_comm*in_ins_partner_share+F378*in_hlth_family_ticket*in_hlth_family_renew_comm*in_ins_partner_share*(in_hlth_family_renew^1*SUMIFS(AI347:AI400,B347:B400,B378-12)+in_hlth_family_renew^2*SUMIFS(AI347:AI400,B347:B400,B378-24)+in_hlth_family_renew^3*SUMIFS(AI347:AI400,B347:B400,B378-36)+in_hlth_family_renew^4*SUMIFS(AI347:AI400,B347:B400,B378-48))</f>
        <v/>
      </c>
      <c r="AK378" s="40">
        <f>AK377*(1-IF(B377&gt;=in_marketplace_from,d_hz_life_term*G377,0))</f>
        <v/>
      </c>
      <c r="AL378" s="46">
        <f>AK378*IF(B378&gt;=in_marketplace_from,d_hz_life_term*G378,0)</f>
        <v/>
      </c>
      <c r="AM378" s="14">
        <f>F378*AL378*in_life_term_ticket*in_life_term_comm*in_ins_partner_share+F378*in_life_term_ticket*in_life_term_renew_comm*in_ins_partner_share*(in_life_term_renew^1*SUMIFS(AL347:AL400,B347:B400,B378-12)+in_life_term_renew^2*SUMIFS(AL347:AL400,B347:B400,B378-24)+in_life_term_renew^3*SUMIFS(AL347:AL400,B347:B400,B378-36)+in_life_term_renew^4*SUMIFS(AL347:AL400,B347:B400,B378-48))</f>
        <v/>
      </c>
      <c r="AN378" s="40">
        <f>AN377*(1-IF(B377&gt;=in_marketplace_from,d_hz_accident*G377,0))</f>
        <v/>
      </c>
      <c r="AO378" s="46">
        <f>AN378*IF(B378&gt;=in_marketplace_from,d_hz_accident*G378,0)</f>
        <v/>
      </c>
      <c r="AP378" s="14">
        <f>F378*AO378*in_accident_ticket*in_accident_comm*in_ins_partner_share+F378*in_accident_ticket*in_accident_renew_comm*in_ins_partner_share*(in_accident_renew^1*SUMIFS(AO347:AO400,B347:B400,B378-12)+in_accident_renew^2*SUMIFS(AO347:AO400,B347:B400,B378-24)+in_accident_renew^3*SUMIFS(AO347:AO400,B347:B400,B378-36)+in_accident_renew^4*SUMIFS(AO347:AO400,B347:B400,B378-48))</f>
        <v/>
      </c>
      <c r="AQ378" s="40">
        <f>AQ377*(1-IF(B377&gt;=in_marketplace_from,d_hz_two_wheeler*G377,0))</f>
        <v/>
      </c>
      <c r="AR378" s="46">
        <f>AQ378*IF(B378&gt;=in_marketplace_from,d_hz_two_wheeler*G378,0)</f>
        <v/>
      </c>
      <c r="AS378" s="14">
        <f>F378*AR378*in_two_wheeler_ticket*in_two_wheeler_comm*in_ins_partner_share+F378*in_two_wheeler_ticket*in_two_wheeler_comm*in_ins_partner_share*(in_two_wheeler_renew^1*SUMIFS(AR347:AR400,B347:B400,B378-12)+in_two_wheeler_renew^2*SUMIFS(AR347:AR400,B347:B400,B378-24)+in_two_wheeler_renew^3*SUMIFS(AR347:AR400,B347:B400,B378-36)+in_two_wheeler_renew^4*SUMIFS(AR347:AR400,B347:B400,B378-48))</f>
        <v/>
      </c>
      <c r="AT378" s="40">
        <f>AT377*(1-IF(B377&gt;=in_marketplace_from,d_hz_device*G377,0))</f>
        <v/>
      </c>
      <c r="AU378" s="14">
        <f>F378*AT378*IF(B378&gt;=in_marketplace_from,d_hz_device*G378,0)*in_device_ticket*in_device_comm*in_ins_partner_share</f>
        <v/>
      </c>
      <c r="AV378" s="40">
        <f>AV377*(1-IF(B377&gt;=in_marketplace_from,d_hz_shop*G377,0))</f>
        <v/>
      </c>
      <c r="AW378" s="46">
        <f>AV378*IF(B378&gt;=in_marketplace_from,d_hz_shop*G378,0)</f>
        <v/>
      </c>
      <c r="AX378" s="14">
        <f>F378*AW378*in_shop_ticket*in_shop_comm*in_ins_partner_share+F378*in_shop_ticket*in_shop_renew_comm*in_ins_partner_share*(in_shop_renew^1*SUMIFS(AW347:AW400,B347:B400,B378-12)+in_shop_renew^2*SUMIFS(AW347:AW400,B347:B400,B378-24)+in_shop_renew^3*SUMIFS(AW347:AW400,B347:B400,B378-36)+in_shop_renew^4*SUMIFS(AW347:AW400,B347:B400,B378-48))</f>
        <v/>
      </c>
      <c r="AY378" s="40">
        <f>AY377*(1-IF(B377&gt;=in_marketplace_from,d_hz_sip*G377,0))</f>
        <v/>
      </c>
      <c r="AZ378" s="40">
        <f>AZ377*d_rho_sip+AY378*IF(B378&gt;=in_marketplace_from,d_hz_sip*G378,0)</f>
        <v/>
      </c>
      <c r="BA378" s="40">
        <f>d_rho_sip*(BA377+AZ377)</f>
        <v/>
      </c>
      <c r="BB378" s="14">
        <f>F378*in_sip_ticket*(BA378+0.5*AZ378)*in_sip_comm/12</f>
        <v/>
      </c>
      <c r="BC378" s="40">
        <f>BC377*(1-IF(B377&gt;=in_marketplace_from,d_hz_choti*G377,0))</f>
        <v/>
      </c>
      <c r="BD378" s="46">
        <f>BC378*IF(B378&gt;=in_marketplace_from,d_hz_choti*G378,0)</f>
        <v/>
      </c>
      <c r="BE378" s="14">
        <f>F378*SUMIFS(BD347:BD400,B347:B400,B378-in_choti_months)*in_choti_renew*in_choti_ticket</f>
        <v/>
      </c>
      <c r="BF378" s="40">
        <f>BF377*(1-IF(B377&gt;=in_marketplace_from,d_hz_nps*G377,0))</f>
        <v/>
      </c>
      <c r="BG378" s="14">
        <f>F378*BF378*IF(B378&gt;=in_marketplace_from,d_hz_nps*G378,0)*in_nps_ticket*in_nps_comm</f>
        <v/>
      </c>
      <c r="BH378" s="40">
        <f>BH377*(1-IF(B377&gt;=in_marketplace_from,d_hz_gold*G377,0))</f>
        <v/>
      </c>
      <c r="BI378" s="40">
        <f>BI377*d_rho_gold+BH378*IF(B378&gt;=in_marketplace_from,d_hz_gold*G378,0)</f>
        <v/>
      </c>
      <c r="BJ378" s="14">
        <f>F378*BI378*in_gold_ticket*in_gold_comm</f>
        <v/>
      </c>
      <c r="BK378" s="40">
        <f>BK377*(1-IF(B377&gt;=in_marketplace_from,d_hz_fd*G377,0))</f>
        <v/>
      </c>
      <c r="BL378" s="14">
        <f>F378*BK378*IF(B378&gt;=in_marketplace_from,d_hz_fd*G378,0)*in_fd_ticket*in_fd_comm</f>
        <v/>
      </c>
      <c r="BM378" s="40">
        <f>BM377*(1-IF(B377&gt;=in_marketplace_from,d_hz_recharge*G377,0))</f>
        <v/>
      </c>
      <c r="BN378" s="40">
        <f>BN377*d_rho_recharge+BM378*IF(B378&gt;=in_marketplace_from,d_hz_recharge*G378,0)</f>
        <v/>
      </c>
      <c r="BO378" s="14">
        <f>F378*BN378*in_recharge_ticket*in_recharge_comm/12</f>
        <v/>
      </c>
      <c r="BP378" s="40">
        <f>BP377*(1-IF(B377&gt;=in_marketplace_from,d_hz_bills*G377,0))</f>
        <v/>
      </c>
      <c r="BQ378" s="40">
        <f>BQ377*d_rho_bills+BP378*IF(B378&gt;=in_marketplace_from,d_hz_bills*G378,0)</f>
        <v/>
      </c>
      <c r="BR378" s="14">
        <f>F378*BQ378*in_bills_ticket*in_bills_comm/12</f>
        <v/>
      </c>
      <c r="BS378" s="40">
        <f>BS377*(1-IF(B377&gt;=in_marketplace_from,d_hz_loan_gold*G377,0))</f>
        <v/>
      </c>
      <c r="BT378" s="14">
        <f>F378*BS378*IF(B378&gt;=in_marketplace_from,d_hz_loan_gold*G378,0)*in_loan_gold_ticket*in_loan_gold_comm</f>
        <v/>
      </c>
      <c r="BU378" s="40">
        <f>BU377*(1-IF(B377&gt;=in_marketplace_from,d_hz_loan_cd*G377,0))</f>
        <v/>
      </c>
      <c r="BV378" s="14">
        <f>F378*BU378*IF(B378&gt;=in_marketplace_from,d_hz_loan_cd*G378,0)*in_loan_cd_ticket*in_loan_cd_comm</f>
        <v/>
      </c>
      <c r="BW378" s="40">
        <f>BW377*(1-IF(B377&gt;=in_marketplace_from,d_hz_loan_vehicle*G377,0))</f>
        <v/>
      </c>
      <c r="BX378" s="14">
        <f>F378*BW378*IF(B378&gt;=in_marketplace_from,d_hz_loan_vehicle*G378,0)*in_loan_vehicle_ticket*in_loan_vehicle_comm</f>
        <v/>
      </c>
      <c r="BY378" s="40">
        <f>BY377*(1-IF(B377&gt;=in_marketplace_from,d_hz_loan_home*G377,0)*BZ377)</f>
        <v/>
      </c>
      <c r="BZ378" s="11">
        <f>MIN(in_approval_cap,in_loan_home_approval*INDEX('Age profile'!$O$2:$O$61,B378)*(1+in_approval_growth)^(D378-1))</f>
        <v/>
      </c>
      <c r="CA378" s="14">
        <f>F378*BY378*IF(B378&gt;=in_marketplace_from,d_hz_loan_home*G378,0)*BZ378*in_loan_home_ticket*in_loan_home_comm</f>
        <v/>
      </c>
      <c r="CB378" s="40">
        <f>CB377*(1-IF(B377&gt;=in_marketplace_from,d_hz_loan_lap*G377,0)*CC377)</f>
        <v/>
      </c>
      <c r="CC378" s="11">
        <f>MIN(in_approval_cap,in_loan_lap_approval*INDEX('Age profile'!$O$2:$O$61,B378)*(1+in_approval_growth)^(D378-1))</f>
        <v/>
      </c>
      <c r="CD378" s="14">
        <f>F378*CB378*IF(B378&gt;=in_marketplace_from,d_hz_loan_lap*G378,0)*CC378*in_loan_lap_ticket*in_loan_lap_comm</f>
        <v/>
      </c>
      <c r="CE378" s="14">
        <f>AA378+AB378+AC378+AD378+AG378+AJ378+AM378+AP378+AS378+AU378+AX378+BB378+BE378+BG378+BJ378+BL378+BO378+BR378+BT378+BV378+BX378+CA378+CD378</f>
        <v/>
      </c>
    </row>
    <row r="379">
      <c r="A379" s="39" t="n">
        <v>7</v>
      </c>
      <c r="B379" s="39" t="n">
        <v>33</v>
      </c>
      <c r="C379" s="39">
        <f>A379+B379-1</f>
        <v/>
      </c>
      <c r="D379" s="39">
        <f>INT((C379-1)/12)+1</f>
        <v/>
      </c>
      <c r="E379" s="44">
        <f>INDEX(Monthly!$B$2:$B$61,A379)</f>
        <v/>
      </c>
      <c r="F379" s="44">
        <f>E379*INDEX('Age profile'!$B$2:$B$61,B379)</f>
        <v/>
      </c>
      <c r="G379" s="45">
        <f>MIN(in_takeup_cap,INDEX('Age profile'!$N$2:$N$61,B379)*(1+in_takeup_growth)^(D379-1))</f>
        <v/>
      </c>
      <c r="H379" s="11">
        <f>MIN(in_approval_cap,in_approved_first*INDEX('Age profile'!$O$2:$O$61,B379)*(1+in_approval_growth)^(D379-1))</f>
        <v/>
      </c>
      <c r="I379" s="45">
        <f>G379*MIN(in_takeup_cap,INDEX('Age profile'!$O$2:$O$61,B379)*(1+in_approval_growth)^(D379-1))</f>
        <v/>
      </c>
      <c r="J379" s="40">
        <f>(J378-L378)*F379/F378</f>
        <v/>
      </c>
      <c r="K379" s="40">
        <f>(K378-M378)*F379/F378+SUMIFS(O347:O378,B347:B378,B379-1-d_T)*F379</f>
        <v/>
      </c>
      <c r="L379" s="40">
        <f>IF(B379&gt;=in_marketplace_from,J379*d_hz*G379*in_eligible*H379,0)</f>
        <v/>
      </c>
      <c r="M379" s="40">
        <f>IF(B379&gt;=in_marketplace_from,K379*d_hz*G379*in_eligible*in_approved_repeat,0)</f>
        <v/>
      </c>
      <c r="N379" s="40">
        <f>L379+M379</f>
        <v/>
      </c>
      <c r="O379" s="46">
        <f>N379/F379</f>
        <v/>
      </c>
      <c r="P379" s="40">
        <f>F379-J379-K379</f>
        <v/>
      </c>
      <c r="Q379" s="40">
        <f>IF(B379&gt;=in_marketplace_from,(J379+K379)*d_hz*G379,0)</f>
        <v/>
      </c>
      <c r="R379" s="40">
        <f>SUMIFS(N347:N400,B347:B400,"&gt;="&amp;(B379-d_T),B347:B400,"&lt;="&amp;(B379-1))</f>
        <v/>
      </c>
      <c r="S379" s="46">
        <f>(1-d_u)*S378+IF(d_T&gt;in_topup_lag,SUMIFS(O347:O400,B347:B400,B379-in_topup_lag)-d_udrop*SUMIFS(O347:O400,B347:B400,B379-d_T),0)</f>
        <v/>
      </c>
      <c r="T379" s="40">
        <f>F379*d_u*S379</f>
        <v/>
      </c>
      <c r="U379" s="9">
        <f>L379*in_ticket+M379*d_rep_ticket</f>
        <v/>
      </c>
      <c r="V379" s="9">
        <f>U379+T379*d_topup_amt</f>
        <v/>
      </c>
      <c r="W379" s="40">
        <f>N379+T379*d_topup_ratio</f>
        <v/>
      </c>
      <c r="X379" s="40">
        <f>SUMIFS(W347:W400,B347:B400,B379-in_dpd_lag)*d_cured</f>
        <v/>
      </c>
      <c r="Y379" s="40">
        <f>SUMIFS(W347:W400,B347:B400,B379-in_rec_lag)*d_recd</f>
        <v/>
      </c>
      <c r="Z379" s="40">
        <f>IF(AND(B379&gt;=in_marketplace_from,B379&lt;in_marketplace_from+in_card_months),in_card_share/in_card_months*F379*I379,IF(AND(B379&gt;=in_marketplace_from+in_card_months,B379&lt;in_marketplace_from+2*in_card_months),in_card_share*d_card_rem/in_card_months*F379*MIN(in_takeup_cap,(1+in_takeup_growth)^(D379-1))*MIN(in_takeup_cap,(1+in_approval_growth)^(D379-1)),0))</f>
        <v/>
      </c>
      <c r="AA379" s="14">
        <f>V379*in_fee*(1-in_taken_back)</f>
        <v/>
      </c>
      <c r="AB379" s="14">
        <f>SUMIFS(W347:W400,B347:B400,B379-in_dpd_lag)*d_dpd</f>
        <v/>
      </c>
      <c r="AC379" s="14">
        <f>SUMIFS(W347:W400,B347:B400,B379-in_rec_lag)*d_rec</f>
        <v/>
      </c>
      <c r="AD379" s="14">
        <f>Z379*in_card_fee</f>
        <v/>
      </c>
      <c r="AE379" s="40">
        <f>AE378*(1-IF(B378&gt;=in_marketplace_from,d_hz_hlth_small*G378,0))</f>
        <v/>
      </c>
      <c r="AF379" s="46">
        <f>AE379*IF(B379&gt;=in_marketplace_from,d_hz_hlth_small*G379,0)</f>
        <v/>
      </c>
      <c r="AG379" s="14">
        <f>F379*AF379*in_hlth_small_ticket*in_hlth_small_comm*in_ins_partner_share+F379*in_hlth_small_ticket*in_hlth_small_renew_comm*in_ins_partner_share*(in_hlth_small_renew^1*SUMIFS(AF347:AF400,B347:B400,B379-12)+in_hlth_small_renew^2*SUMIFS(AF347:AF400,B347:B400,B379-24)+in_hlth_small_renew^3*SUMIFS(AF347:AF400,B347:B400,B379-36)+in_hlth_small_renew^4*SUMIFS(AF347:AF400,B347:B400,B379-48))</f>
        <v/>
      </c>
      <c r="AH379" s="40">
        <f>AH378*(1-IF(B378&gt;=in_marketplace_from,d_hz_hlth_family*G378,0))</f>
        <v/>
      </c>
      <c r="AI379" s="46">
        <f>AH379*IF(B379&gt;=in_marketplace_from,d_hz_hlth_family*G379,0)</f>
        <v/>
      </c>
      <c r="AJ379" s="14">
        <f>F379*AI379*in_hlth_family_ticket*in_hlth_family_comm*in_ins_partner_share+F379*in_hlth_family_ticket*in_hlth_family_renew_comm*in_ins_partner_share*(in_hlth_family_renew^1*SUMIFS(AI347:AI400,B347:B400,B379-12)+in_hlth_family_renew^2*SUMIFS(AI347:AI400,B347:B400,B379-24)+in_hlth_family_renew^3*SUMIFS(AI347:AI400,B347:B400,B379-36)+in_hlth_family_renew^4*SUMIFS(AI347:AI400,B347:B400,B379-48))</f>
        <v/>
      </c>
      <c r="AK379" s="40">
        <f>AK378*(1-IF(B378&gt;=in_marketplace_from,d_hz_life_term*G378,0))</f>
        <v/>
      </c>
      <c r="AL379" s="46">
        <f>AK379*IF(B379&gt;=in_marketplace_from,d_hz_life_term*G379,0)</f>
        <v/>
      </c>
      <c r="AM379" s="14">
        <f>F379*AL379*in_life_term_ticket*in_life_term_comm*in_ins_partner_share+F379*in_life_term_ticket*in_life_term_renew_comm*in_ins_partner_share*(in_life_term_renew^1*SUMIFS(AL347:AL400,B347:B400,B379-12)+in_life_term_renew^2*SUMIFS(AL347:AL400,B347:B400,B379-24)+in_life_term_renew^3*SUMIFS(AL347:AL400,B347:B400,B379-36)+in_life_term_renew^4*SUMIFS(AL347:AL400,B347:B400,B379-48))</f>
        <v/>
      </c>
      <c r="AN379" s="40">
        <f>AN378*(1-IF(B378&gt;=in_marketplace_from,d_hz_accident*G378,0))</f>
        <v/>
      </c>
      <c r="AO379" s="46">
        <f>AN379*IF(B379&gt;=in_marketplace_from,d_hz_accident*G379,0)</f>
        <v/>
      </c>
      <c r="AP379" s="14">
        <f>F379*AO379*in_accident_ticket*in_accident_comm*in_ins_partner_share+F379*in_accident_ticket*in_accident_renew_comm*in_ins_partner_share*(in_accident_renew^1*SUMIFS(AO347:AO400,B347:B400,B379-12)+in_accident_renew^2*SUMIFS(AO347:AO400,B347:B400,B379-24)+in_accident_renew^3*SUMIFS(AO347:AO400,B347:B400,B379-36)+in_accident_renew^4*SUMIFS(AO347:AO400,B347:B400,B379-48))</f>
        <v/>
      </c>
      <c r="AQ379" s="40">
        <f>AQ378*(1-IF(B378&gt;=in_marketplace_from,d_hz_two_wheeler*G378,0))</f>
        <v/>
      </c>
      <c r="AR379" s="46">
        <f>AQ379*IF(B379&gt;=in_marketplace_from,d_hz_two_wheeler*G379,0)</f>
        <v/>
      </c>
      <c r="AS379" s="14">
        <f>F379*AR379*in_two_wheeler_ticket*in_two_wheeler_comm*in_ins_partner_share+F379*in_two_wheeler_ticket*in_two_wheeler_comm*in_ins_partner_share*(in_two_wheeler_renew^1*SUMIFS(AR347:AR400,B347:B400,B379-12)+in_two_wheeler_renew^2*SUMIFS(AR347:AR400,B347:B400,B379-24)+in_two_wheeler_renew^3*SUMIFS(AR347:AR400,B347:B400,B379-36)+in_two_wheeler_renew^4*SUMIFS(AR347:AR400,B347:B400,B379-48))</f>
        <v/>
      </c>
      <c r="AT379" s="40">
        <f>AT378*(1-IF(B378&gt;=in_marketplace_from,d_hz_device*G378,0))</f>
        <v/>
      </c>
      <c r="AU379" s="14">
        <f>F379*AT379*IF(B379&gt;=in_marketplace_from,d_hz_device*G379,0)*in_device_ticket*in_device_comm*in_ins_partner_share</f>
        <v/>
      </c>
      <c r="AV379" s="40">
        <f>AV378*(1-IF(B378&gt;=in_marketplace_from,d_hz_shop*G378,0))</f>
        <v/>
      </c>
      <c r="AW379" s="46">
        <f>AV379*IF(B379&gt;=in_marketplace_from,d_hz_shop*G379,0)</f>
        <v/>
      </c>
      <c r="AX379" s="14">
        <f>F379*AW379*in_shop_ticket*in_shop_comm*in_ins_partner_share+F379*in_shop_ticket*in_shop_renew_comm*in_ins_partner_share*(in_shop_renew^1*SUMIFS(AW347:AW400,B347:B400,B379-12)+in_shop_renew^2*SUMIFS(AW347:AW400,B347:B400,B379-24)+in_shop_renew^3*SUMIFS(AW347:AW400,B347:B400,B379-36)+in_shop_renew^4*SUMIFS(AW347:AW400,B347:B400,B379-48))</f>
        <v/>
      </c>
      <c r="AY379" s="40">
        <f>AY378*(1-IF(B378&gt;=in_marketplace_from,d_hz_sip*G378,0))</f>
        <v/>
      </c>
      <c r="AZ379" s="40">
        <f>AZ378*d_rho_sip+AY379*IF(B379&gt;=in_marketplace_from,d_hz_sip*G379,0)</f>
        <v/>
      </c>
      <c r="BA379" s="40">
        <f>d_rho_sip*(BA378+AZ378)</f>
        <v/>
      </c>
      <c r="BB379" s="14">
        <f>F379*in_sip_ticket*(BA379+0.5*AZ379)*in_sip_comm/12</f>
        <v/>
      </c>
      <c r="BC379" s="40">
        <f>BC378*(1-IF(B378&gt;=in_marketplace_from,d_hz_choti*G378,0))</f>
        <v/>
      </c>
      <c r="BD379" s="46">
        <f>BC379*IF(B379&gt;=in_marketplace_from,d_hz_choti*G379,0)</f>
        <v/>
      </c>
      <c r="BE379" s="14">
        <f>F379*SUMIFS(BD347:BD400,B347:B400,B379-in_choti_months)*in_choti_renew*in_choti_ticket</f>
        <v/>
      </c>
      <c r="BF379" s="40">
        <f>BF378*(1-IF(B378&gt;=in_marketplace_from,d_hz_nps*G378,0))</f>
        <v/>
      </c>
      <c r="BG379" s="14">
        <f>F379*BF379*IF(B379&gt;=in_marketplace_from,d_hz_nps*G379,0)*in_nps_ticket*in_nps_comm</f>
        <v/>
      </c>
      <c r="BH379" s="40">
        <f>BH378*(1-IF(B378&gt;=in_marketplace_from,d_hz_gold*G378,0))</f>
        <v/>
      </c>
      <c r="BI379" s="40">
        <f>BI378*d_rho_gold+BH379*IF(B379&gt;=in_marketplace_from,d_hz_gold*G379,0)</f>
        <v/>
      </c>
      <c r="BJ379" s="14">
        <f>F379*BI379*in_gold_ticket*in_gold_comm</f>
        <v/>
      </c>
      <c r="BK379" s="40">
        <f>BK378*(1-IF(B378&gt;=in_marketplace_from,d_hz_fd*G378,0))</f>
        <v/>
      </c>
      <c r="BL379" s="14">
        <f>F379*BK379*IF(B379&gt;=in_marketplace_from,d_hz_fd*G379,0)*in_fd_ticket*in_fd_comm</f>
        <v/>
      </c>
      <c r="BM379" s="40">
        <f>BM378*(1-IF(B378&gt;=in_marketplace_from,d_hz_recharge*G378,0))</f>
        <v/>
      </c>
      <c r="BN379" s="40">
        <f>BN378*d_rho_recharge+BM379*IF(B379&gt;=in_marketplace_from,d_hz_recharge*G379,0)</f>
        <v/>
      </c>
      <c r="BO379" s="14">
        <f>F379*BN379*in_recharge_ticket*in_recharge_comm/12</f>
        <v/>
      </c>
      <c r="BP379" s="40">
        <f>BP378*(1-IF(B378&gt;=in_marketplace_from,d_hz_bills*G378,0))</f>
        <v/>
      </c>
      <c r="BQ379" s="40">
        <f>BQ378*d_rho_bills+BP379*IF(B379&gt;=in_marketplace_from,d_hz_bills*G379,0)</f>
        <v/>
      </c>
      <c r="BR379" s="14">
        <f>F379*BQ379*in_bills_ticket*in_bills_comm/12</f>
        <v/>
      </c>
      <c r="BS379" s="40">
        <f>BS378*(1-IF(B378&gt;=in_marketplace_from,d_hz_loan_gold*G378,0))</f>
        <v/>
      </c>
      <c r="BT379" s="14">
        <f>F379*BS379*IF(B379&gt;=in_marketplace_from,d_hz_loan_gold*G379,0)*in_loan_gold_ticket*in_loan_gold_comm</f>
        <v/>
      </c>
      <c r="BU379" s="40">
        <f>BU378*(1-IF(B378&gt;=in_marketplace_from,d_hz_loan_cd*G378,0))</f>
        <v/>
      </c>
      <c r="BV379" s="14">
        <f>F379*BU379*IF(B379&gt;=in_marketplace_from,d_hz_loan_cd*G379,0)*in_loan_cd_ticket*in_loan_cd_comm</f>
        <v/>
      </c>
      <c r="BW379" s="40">
        <f>BW378*(1-IF(B378&gt;=in_marketplace_from,d_hz_loan_vehicle*G378,0))</f>
        <v/>
      </c>
      <c r="BX379" s="14">
        <f>F379*BW379*IF(B379&gt;=in_marketplace_from,d_hz_loan_vehicle*G379,0)*in_loan_vehicle_ticket*in_loan_vehicle_comm</f>
        <v/>
      </c>
      <c r="BY379" s="40">
        <f>BY378*(1-IF(B378&gt;=in_marketplace_from,d_hz_loan_home*G378,0)*BZ378)</f>
        <v/>
      </c>
      <c r="BZ379" s="11">
        <f>MIN(in_approval_cap,in_loan_home_approval*INDEX('Age profile'!$O$2:$O$61,B379)*(1+in_approval_growth)^(D379-1))</f>
        <v/>
      </c>
      <c r="CA379" s="14">
        <f>F379*BY379*IF(B379&gt;=in_marketplace_from,d_hz_loan_home*G379,0)*BZ379*in_loan_home_ticket*in_loan_home_comm</f>
        <v/>
      </c>
      <c r="CB379" s="40">
        <f>CB378*(1-IF(B378&gt;=in_marketplace_from,d_hz_loan_lap*G378,0)*CC378)</f>
        <v/>
      </c>
      <c r="CC379" s="11">
        <f>MIN(in_approval_cap,in_loan_lap_approval*INDEX('Age profile'!$O$2:$O$61,B379)*(1+in_approval_growth)^(D379-1))</f>
        <v/>
      </c>
      <c r="CD379" s="14">
        <f>F379*CB379*IF(B379&gt;=in_marketplace_from,d_hz_loan_lap*G379,0)*CC379*in_loan_lap_ticket*in_loan_lap_comm</f>
        <v/>
      </c>
      <c r="CE379" s="14">
        <f>AA379+AB379+AC379+AD379+AG379+AJ379+AM379+AP379+AS379+AU379+AX379+BB379+BE379+BG379+BJ379+BL379+BO379+BR379+BT379+BV379+BX379+CA379+CD379</f>
        <v/>
      </c>
    </row>
    <row r="380">
      <c r="A380" s="39" t="n">
        <v>7</v>
      </c>
      <c r="B380" s="39" t="n">
        <v>34</v>
      </c>
      <c r="C380" s="39">
        <f>A380+B380-1</f>
        <v/>
      </c>
      <c r="D380" s="39">
        <f>INT((C380-1)/12)+1</f>
        <v/>
      </c>
      <c r="E380" s="44">
        <f>INDEX(Monthly!$B$2:$B$61,A380)</f>
        <v/>
      </c>
      <c r="F380" s="44">
        <f>E380*INDEX('Age profile'!$B$2:$B$61,B380)</f>
        <v/>
      </c>
      <c r="G380" s="45">
        <f>MIN(in_takeup_cap,INDEX('Age profile'!$N$2:$N$61,B380)*(1+in_takeup_growth)^(D380-1))</f>
        <v/>
      </c>
      <c r="H380" s="11">
        <f>MIN(in_approval_cap,in_approved_first*INDEX('Age profile'!$O$2:$O$61,B380)*(1+in_approval_growth)^(D380-1))</f>
        <v/>
      </c>
      <c r="I380" s="45">
        <f>G380*MIN(in_takeup_cap,INDEX('Age profile'!$O$2:$O$61,B380)*(1+in_approval_growth)^(D380-1))</f>
        <v/>
      </c>
      <c r="J380" s="40">
        <f>(J379-L379)*F380/F379</f>
        <v/>
      </c>
      <c r="K380" s="40">
        <f>(K379-M379)*F380/F379+SUMIFS(O347:O379,B347:B379,B380-1-d_T)*F380</f>
        <v/>
      </c>
      <c r="L380" s="40">
        <f>IF(B380&gt;=in_marketplace_from,J380*d_hz*G380*in_eligible*H380,0)</f>
        <v/>
      </c>
      <c r="M380" s="40">
        <f>IF(B380&gt;=in_marketplace_from,K380*d_hz*G380*in_eligible*in_approved_repeat,0)</f>
        <v/>
      </c>
      <c r="N380" s="40">
        <f>L380+M380</f>
        <v/>
      </c>
      <c r="O380" s="46">
        <f>N380/F380</f>
        <v/>
      </c>
      <c r="P380" s="40">
        <f>F380-J380-K380</f>
        <v/>
      </c>
      <c r="Q380" s="40">
        <f>IF(B380&gt;=in_marketplace_from,(J380+K380)*d_hz*G380,0)</f>
        <v/>
      </c>
      <c r="R380" s="40">
        <f>SUMIFS(N347:N400,B347:B400,"&gt;="&amp;(B380-d_T),B347:B400,"&lt;="&amp;(B380-1))</f>
        <v/>
      </c>
      <c r="S380" s="46">
        <f>(1-d_u)*S379+IF(d_T&gt;in_topup_lag,SUMIFS(O347:O400,B347:B400,B380-in_topup_lag)-d_udrop*SUMIFS(O347:O400,B347:B400,B380-d_T),0)</f>
        <v/>
      </c>
      <c r="T380" s="40">
        <f>F380*d_u*S380</f>
        <v/>
      </c>
      <c r="U380" s="9">
        <f>L380*in_ticket+M380*d_rep_ticket</f>
        <v/>
      </c>
      <c r="V380" s="9">
        <f>U380+T380*d_topup_amt</f>
        <v/>
      </c>
      <c r="W380" s="40">
        <f>N380+T380*d_topup_ratio</f>
        <v/>
      </c>
      <c r="X380" s="40">
        <f>SUMIFS(W347:W400,B347:B400,B380-in_dpd_lag)*d_cured</f>
        <v/>
      </c>
      <c r="Y380" s="40">
        <f>SUMIFS(W347:W400,B347:B400,B380-in_rec_lag)*d_recd</f>
        <v/>
      </c>
      <c r="Z380" s="40">
        <f>IF(AND(B380&gt;=in_marketplace_from,B380&lt;in_marketplace_from+in_card_months),in_card_share/in_card_months*F380*I380,IF(AND(B380&gt;=in_marketplace_from+in_card_months,B380&lt;in_marketplace_from+2*in_card_months),in_card_share*d_card_rem/in_card_months*F380*MIN(in_takeup_cap,(1+in_takeup_growth)^(D380-1))*MIN(in_takeup_cap,(1+in_approval_growth)^(D380-1)),0))</f>
        <v/>
      </c>
      <c r="AA380" s="14">
        <f>V380*in_fee*(1-in_taken_back)</f>
        <v/>
      </c>
      <c r="AB380" s="14">
        <f>SUMIFS(W347:W400,B347:B400,B380-in_dpd_lag)*d_dpd</f>
        <v/>
      </c>
      <c r="AC380" s="14">
        <f>SUMIFS(W347:W400,B347:B400,B380-in_rec_lag)*d_rec</f>
        <v/>
      </c>
      <c r="AD380" s="14">
        <f>Z380*in_card_fee</f>
        <v/>
      </c>
      <c r="AE380" s="40">
        <f>AE379*(1-IF(B379&gt;=in_marketplace_from,d_hz_hlth_small*G379,0))</f>
        <v/>
      </c>
      <c r="AF380" s="46">
        <f>AE380*IF(B380&gt;=in_marketplace_from,d_hz_hlth_small*G380,0)</f>
        <v/>
      </c>
      <c r="AG380" s="14">
        <f>F380*AF380*in_hlth_small_ticket*in_hlth_small_comm*in_ins_partner_share+F380*in_hlth_small_ticket*in_hlth_small_renew_comm*in_ins_partner_share*(in_hlth_small_renew^1*SUMIFS(AF347:AF400,B347:B400,B380-12)+in_hlth_small_renew^2*SUMIFS(AF347:AF400,B347:B400,B380-24)+in_hlth_small_renew^3*SUMIFS(AF347:AF400,B347:B400,B380-36)+in_hlth_small_renew^4*SUMIFS(AF347:AF400,B347:B400,B380-48))</f>
        <v/>
      </c>
      <c r="AH380" s="40">
        <f>AH379*(1-IF(B379&gt;=in_marketplace_from,d_hz_hlth_family*G379,0))</f>
        <v/>
      </c>
      <c r="AI380" s="46">
        <f>AH380*IF(B380&gt;=in_marketplace_from,d_hz_hlth_family*G380,0)</f>
        <v/>
      </c>
      <c r="AJ380" s="14">
        <f>F380*AI380*in_hlth_family_ticket*in_hlth_family_comm*in_ins_partner_share+F380*in_hlth_family_ticket*in_hlth_family_renew_comm*in_ins_partner_share*(in_hlth_family_renew^1*SUMIFS(AI347:AI400,B347:B400,B380-12)+in_hlth_family_renew^2*SUMIFS(AI347:AI400,B347:B400,B380-24)+in_hlth_family_renew^3*SUMIFS(AI347:AI400,B347:B400,B380-36)+in_hlth_family_renew^4*SUMIFS(AI347:AI400,B347:B400,B380-48))</f>
        <v/>
      </c>
      <c r="AK380" s="40">
        <f>AK379*(1-IF(B379&gt;=in_marketplace_from,d_hz_life_term*G379,0))</f>
        <v/>
      </c>
      <c r="AL380" s="46">
        <f>AK380*IF(B380&gt;=in_marketplace_from,d_hz_life_term*G380,0)</f>
        <v/>
      </c>
      <c r="AM380" s="14">
        <f>F380*AL380*in_life_term_ticket*in_life_term_comm*in_ins_partner_share+F380*in_life_term_ticket*in_life_term_renew_comm*in_ins_partner_share*(in_life_term_renew^1*SUMIFS(AL347:AL400,B347:B400,B380-12)+in_life_term_renew^2*SUMIFS(AL347:AL400,B347:B400,B380-24)+in_life_term_renew^3*SUMIFS(AL347:AL400,B347:B400,B380-36)+in_life_term_renew^4*SUMIFS(AL347:AL400,B347:B400,B380-48))</f>
        <v/>
      </c>
      <c r="AN380" s="40">
        <f>AN379*(1-IF(B379&gt;=in_marketplace_from,d_hz_accident*G379,0))</f>
        <v/>
      </c>
      <c r="AO380" s="46">
        <f>AN380*IF(B380&gt;=in_marketplace_from,d_hz_accident*G380,0)</f>
        <v/>
      </c>
      <c r="AP380" s="14">
        <f>F380*AO380*in_accident_ticket*in_accident_comm*in_ins_partner_share+F380*in_accident_ticket*in_accident_renew_comm*in_ins_partner_share*(in_accident_renew^1*SUMIFS(AO347:AO400,B347:B400,B380-12)+in_accident_renew^2*SUMIFS(AO347:AO400,B347:B400,B380-24)+in_accident_renew^3*SUMIFS(AO347:AO400,B347:B400,B380-36)+in_accident_renew^4*SUMIFS(AO347:AO400,B347:B400,B380-48))</f>
        <v/>
      </c>
      <c r="AQ380" s="40">
        <f>AQ379*(1-IF(B379&gt;=in_marketplace_from,d_hz_two_wheeler*G379,0))</f>
        <v/>
      </c>
      <c r="AR380" s="46">
        <f>AQ380*IF(B380&gt;=in_marketplace_from,d_hz_two_wheeler*G380,0)</f>
        <v/>
      </c>
      <c r="AS380" s="14">
        <f>F380*AR380*in_two_wheeler_ticket*in_two_wheeler_comm*in_ins_partner_share+F380*in_two_wheeler_ticket*in_two_wheeler_comm*in_ins_partner_share*(in_two_wheeler_renew^1*SUMIFS(AR347:AR400,B347:B400,B380-12)+in_two_wheeler_renew^2*SUMIFS(AR347:AR400,B347:B400,B380-24)+in_two_wheeler_renew^3*SUMIFS(AR347:AR400,B347:B400,B380-36)+in_two_wheeler_renew^4*SUMIFS(AR347:AR400,B347:B400,B380-48))</f>
        <v/>
      </c>
      <c r="AT380" s="40">
        <f>AT379*(1-IF(B379&gt;=in_marketplace_from,d_hz_device*G379,0))</f>
        <v/>
      </c>
      <c r="AU380" s="14">
        <f>F380*AT380*IF(B380&gt;=in_marketplace_from,d_hz_device*G380,0)*in_device_ticket*in_device_comm*in_ins_partner_share</f>
        <v/>
      </c>
      <c r="AV380" s="40">
        <f>AV379*(1-IF(B379&gt;=in_marketplace_from,d_hz_shop*G379,0))</f>
        <v/>
      </c>
      <c r="AW380" s="46">
        <f>AV380*IF(B380&gt;=in_marketplace_from,d_hz_shop*G380,0)</f>
        <v/>
      </c>
      <c r="AX380" s="14">
        <f>F380*AW380*in_shop_ticket*in_shop_comm*in_ins_partner_share+F380*in_shop_ticket*in_shop_renew_comm*in_ins_partner_share*(in_shop_renew^1*SUMIFS(AW347:AW400,B347:B400,B380-12)+in_shop_renew^2*SUMIFS(AW347:AW400,B347:B400,B380-24)+in_shop_renew^3*SUMIFS(AW347:AW400,B347:B400,B380-36)+in_shop_renew^4*SUMIFS(AW347:AW400,B347:B400,B380-48))</f>
        <v/>
      </c>
      <c r="AY380" s="40">
        <f>AY379*(1-IF(B379&gt;=in_marketplace_from,d_hz_sip*G379,0))</f>
        <v/>
      </c>
      <c r="AZ380" s="40">
        <f>AZ379*d_rho_sip+AY380*IF(B380&gt;=in_marketplace_from,d_hz_sip*G380,0)</f>
        <v/>
      </c>
      <c r="BA380" s="40">
        <f>d_rho_sip*(BA379+AZ379)</f>
        <v/>
      </c>
      <c r="BB380" s="14">
        <f>F380*in_sip_ticket*(BA380+0.5*AZ380)*in_sip_comm/12</f>
        <v/>
      </c>
      <c r="BC380" s="40">
        <f>BC379*(1-IF(B379&gt;=in_marketplace_from,d_hz_choti*G379,0))</f>
        <v/>
      </c>
      <c r="BD380" s="46">
        <f>BC380*IF(B380&gt;=in_marketplace_from,d_hz_choti*G380,0)</f>
        <v/>
      </c>
      <c r="BE380" s="14">
        <f>F380*SUMIFS(BD347:BD400,B347:B400,B380-in_choti_months)*in_choti_renew*in_choti_ticket</f>
        <v/>
      </c>
      <c r="BF380" s="40">
        <f>BF379*(1-IF(B379&gt;=in_marketplace_from,d_hz_nps*G379,0))</f>
        <v/>
      </c>
      <c r="BG380" s="14">
        <f>F380*BF380*IF(B380&gt;=in_marketplace_from,d_hz_nps*G380,0)*in_nps_ticket*in_nps_comm</f>
        <v/>
      </c>
      <c r="BH380" s="40">
        <f>BH379*(1-IF(B379&gt;=in_marketplace_from,d_hz_gold*G379,0))</f>
        <v/>
      </c>
      <c r="BI380" s="40">
        <f>BI379*d_rho_gold+BH380*IF(B380&gt;=in_marketplace_from,d_hz_gold*G380,0)</f>
        <v/>
      </c>
      <c r="BJ380" s="14">
        <f>F380*BI380*in_gold_ticket*in_gold_comm</f>
        <v/>
      </c>
      <c r="BK380" s="40">
        <f>BK379*(1-IF(B379&gt;=in_marketplace_from,d_hz_fd*G379,0))</f>
        <v/>
      </c>
      <c r="BL380" s="14">
        <f>F380*BK380*IF(B380&gt;=in_marketplace_from,d_hz_fd*G380,0)*in_fd_ticket*in_fd_comm</f>
        <v/>
      </c>
      <c r="BM380" s="40">
        <f>BM379*(1-IF(B379&gt;=in_marketplace_from,d_hz_recharge*G379,0))</f>
        <v/>
      </c>
      <c r="BN380" s="40">
        <f>BN379*d_rho_recharge+BM380*IF(B380&gt;=in_marketplace_from,d_hz_recharge*G380,0)</f>
        <v/>
      </c>
      <c r="BO380" s="14">
        <f>F380*BN380*in_recharge_ticket*in_recharge_comm/12</f>
        <v/>
      </c>
      <c r="BP380" s="40">
        <f>BP379*(1-IF(B379&gt;=in_marketplace_from,d_hz_bills*G379,0))</f>
        <v/>
      </c>
      <c r="BQ380" s="40">
        <f>BQ379*d_rho_bills+BP380*IF(B380&gt;=in_marketplace_from,d_hz_bills*G380,0)</f>
        <v/>
      </c>
      <c r="BR380" s="14">
        <f>F380*BQ380*in_bills_ticket*in_bills_comm/12</f>
        <v/>
      </c>
      <c r="BS380" s="40">
        <f>BS379*(1-IF(B379&gt;=in_marketplace_from,d_hz_loan_gold*G379,0))</f>
        <v/>
      </c>
      <c r="BT380" s="14">
        <f>F380*BS380*IF(B380&gt;=in_marketplace_from,d_hz_loan_gold*G380,0)*in_loan_gold_ticket*in_loan_gold_comm</f>
        <v/>
      </c>
      <c r="BU380" s="40">
        <f>BU379*(1-IF(B379&gt;=in_marketplace_from,d_hz_loan_cd*G379,0))</f>
        <v/>
      </c>
      <c r="BV380" s="14">
        <f>F380*BU380*IF(B380&gt;=in_marketplace_from,d_hz_loan_cd*G380,0)*in_loan_cd_ticket*in_loan_cd_comm</f>
        <v/>
      </c>
      <c r="BW380" s="40">
        <f>BW379*(1-IF(B379&gt;=in_marketplace_from,d_hz_loan_vehicle*G379,0))</f>
        <v/>
      </c>
      <c r="BX380" s="14">
        <f>F380*BW380*IF(B380&gt;=in_marketplace_from,d_hz_loan_vehicle*G380,0)*in_loan_vehicle_ticket*in_loan_vehicle_comm</f>
        <v/>
      </c>
      <c r="BY380" s="40">
        <f>BY379*(1-IF(B379&gt;=in_marketplace_from,d_hz_loan_home*G379,0)*BZ379)</f>
        <v/>
      </c>
      <c r="BZ380" s="11">
        <f>MIN(in_approval_cap,in_loan_home_approval*INDEX('Age profile'!$O$2:$O$61,B380)*(1+in_approval_growth)^(D380-1))</f>
        <v/>
      </c>
      <c r="CA380" s="14">
        <f>F380*BY380*IF(B380&gt;=in_marketplace_from,d_hz_loan_home*G380,0)*BZ380*in_loan_home_ticket*in_loan_home_comm</f>
        <v/>
      </c>
      <c r="CB380" s="40">
        <f>CB379*(1-IF(B379&gt;=in_marketplace_from,d_hz_loan_lap*G379,0)*CC379)</f>
        <v/>
      </c>
      <c r="CC380" s="11">
        <f>MIN(in_approval_cap,in_loan_lap_approval*INDEX('Age profile'!$O$2:$O$61,B380)*(1+in_approval_growth)^(D380-1))</f>
        <v/>
      </c>
      <c r="CD380" s="14">
        <f>F380*CB380*IF(B380&gt;=in_marketplace_from,d_hz_loan_lap*G380,0)*CC380*in_loan_lap_ticket*in_loan_lap_comm</f>
        <v/>
      </c>
      <c r="CE380" s="14">
        <f>AA380+AB380+AC380+AD380+AG380+AJ380+AM380+AP380+AS380+AU380+AX380+BB380+BE380+BG380+BJ380+BL380+BO380+BR380+BT380+BV380+BX380+CA380+CD380</f>
        <v/>
      </c>
    </row>
    <row r="381">
      <c r="A381" s="39" t="n">
        <v>7</v>
      </c>
      <c r="B381" s="39" t="n">
        <v>35</v>
      </c>
      <c r="C381" s="39">
        <f>A381+B381-1</f>
        <v/>
      </c>
      <c r="D381" s="39">
        <f>INT((C381-1)/12)+1</f>
        <v/>
      </c>
      <c r="E381" s="44">
        <f>INDEX(Monthly!$B$2:$B$61,A381)</f>
        <v/>
      </c>
      <c r="F381" s="44">
        <f>E381*INDEX('Age profile'!$B$2:$B$61,B381)</f>
        <v/>
      </c>
      <c r="G381" s="45">
        <f>MIN(in_takeup_cap,INDEX('Age profile'!$N$2:$N$61,B381)*(1+in_takeup_growth)^(D381-1))</f>
        <v/>
      </c>
      <c r="H381" s="11">
        <f>MIN(in_approval_cap,in_approved_first*INDEX('Age profile'!$O$2:$O$61,B381)*(1+in_approval_growth)^(D381-1))</f>
        <v/>
      </c>
      <c r="I381" s="45">
        <f>G381*MIN(in_takeup_cap,INDEX('Age profile'!$O$2:$O$61,B381)*(1+in_approval_growth)^(D381-1))</f>
        <v/>
      </c>
      <c r="J381" s="40">
        <f>(J380-L380)*F381/F380</f>
        <v/>
      </c>
      <c r="K381" s="40">
        <f>(K380-M380)*F381/F380+SUMIFS(O347:O380,B347:B380,B381-1-d_T)*F381</f>
        <v/>
      </c>
      <c r="L381" s="40">
        <f>IF(B381&gt;=in_marketplace_from,J381*d_hz*G381*in_eligible*H381,0)</f>
        <v/>
      </c>
      <c r="M381" s="40">
        <f>IF(B381&gt;=in_marketplace_from,K381*d_hz*G381*in_eligible*in_approved_repeat,0)</f>
        <v/>
      </c>
      <c r="N381" s="40">
        <f>L381+M381</f>
        <v/>
      </c>
      <c r="O381" s="46">
        <f>N381/F381</f>
        <v/>
      </c>
      <c r="P381" s="40">
        <f>F381-J381-K381</f>
        <v/>
      </c>
      <c r="Q381" s="40">
        <f>IF(B381&gt;=in_marketplace_from,(J381+K381)*d_hz*G381,0)</f>
        <v/>
      </c>
      <c r="R381" s="40">
        <f>SUMIFS(N347:N400,B347:B400,"&gt;="&amp;(B381-d_T),B347:B400,"&lt;="&amp;(B381-1))</f>
        <v/>
      </c>
      <c r="S381" s="46">
        <f>(1-d_u)*S380+IF(d_T&gt;in_topup_lag,SUMIFS(O347:O400,B347:B400,B381-in_topup_lag)-d_udrop*SUMIFS(O347:O400,B347:B400,B381-d_T),0)</f>
        <v/>
      </c>
      <c r="T381" s="40">
        <f>F381*d_u*S381</f>
        <v/>
      </c>
      <c r="U381" s="9">
        <f>L381*in_ticket+M381*d_rep_ticket</f>
        <v/>
      </c>
      <c r="V381" s="9">
        <f>U381+T381*d_topup_amt</f>
        <v/>
      </c>
      <c r="W381" s="40">
        <f>N381+T381*d_topup_ratio</f>
        <v/>
      </c>
      <c r="X381" s="40">
        <f>SUMIFS(W347:W400,B347:B400,B381-in_dpd_lag)*d_cured</f>
        <v/>
      </c>
      <c r="Y381" s="40">
        <f>SUMIFS(W347:W400,B347:B400,B381-in_rec_lag)*d_recd</f>
        <v/>
      </c>
      <c r="Z381" s="40">
        <f>IF(AND(B381&gt;=in_marketplace_from,B381&lt;in_marketplace_from+in_card_months),in_card_share/in_card_months*F381*I381,IF(AND(B381&gt;=in_marketplace_from+in_card_months,B381&lt;in_marketplace_from+2*in_card_months),in_card_share*d_card_rem/in_card_months*F381*MIN(in_takeup_cap,(1+in_takeup_growth)^(D381-1))*MIN(in_takeup_cap,(1+in_approval_growth)^(D381-1)),0))</f>
        <v/>
      </c>
      <c r="AA381" s="14">
        <f>V381*in_fee*(1-in_taken_back)</f>
        <v/>
      </c>
      <c r="AB381" s="14">
        <f>SUMIFS(W347:W400,B347:B400,B381-in_dpd_lag)*d_dpd</f>
        <v/>
      </c>
      <c r="AC381" s="14">
        <f>SUMIFS(W347:W400,B347:B400,B381-in_rec_lag)*d_rec</f>
        <v/>
      </c>
      <c r="AD381" s="14">
        <f>Z381*in_card_fee</f>
        <v/>
      </c>
      <c r="AE381" s="40">
        <f>AE380*(1-IF(B380&gt;=in_marketplace_from,d_hz_hlth_small*G380,0))</f>
        <v/>
      </c>
      <c r="AF381" s="46">
        <f>AE381*IF(B381&gt;=in_marketplace_from,d_hz_hlth_small*G381,0)</f>
        <v/>
      </c>
      <c r="AG381" s="14">
        <f>F381*AF381*in_hlth_small_ticket*in_hlth_small_comm*in_ins_partner_share+F381*in_hlth_small_ticket*in_hlth_small_renew_comm*in_ins_partner_share*(in_hlth_small_renew^1*SUMIFS(AF347:AF400,B347:B400,B381-12)+in_hlth_small_renew^2*SUMIFS(AF347:AF400,B347:B400,B381-24)+in_hlth_small_renew^3*SUMIFS(AF347:AF400,B347:B400,B381-36)+in_hlth_small_renew^4*SUMIFS(AF347:AF400,B347:B400,B381-48))</f>
        <v/>
      </c>
      <c r="AH381" s="40">
        <f>AH380*(1-IF(B380&gt;=in_marketplace_from,d_hz_hlth_family*G380,0))</f>
        <v/>
      </c>
      <c r="AI381" s="46">
        <f>AH381*IF(B381&gt;=in_marketplace_from,d_hz_hlth_family*G381,0)</f>
        <v/>
      </c>
      <c r="AJ381" s="14">
        <f>F381*AI381*in_hlth_family_ticket*in_hlth_family_comm*in_ins_partner_share+F381*in_hlth_family_ticket*in_hlth_family_renew_comm*in_ins_partner_share*(in_hlth_family_renew^1*SUMIFS(AI347:AI400,B347:B400,B381-12)+in_hlth_family_renew^2*SUMIFS(AI347:AI400,B347:B400,B381-24)+in_hlth_family_renew^3*SUMIFS(AI347:AI400,B347:B400,B381-36)+in_hlth_family_renew^4*SUMIFS(AI347:AI400,B347:B400,B381-48))</f>
        <v/>
      </c>
      <c r="AK381" s="40">
        <f>AK380*(1-IF(B380&gt;=in_marketplace_from,d_hz_life_term*G380,0))</f>
        <v/>
      </c>
      <c r="AL381" s="46">
        <f>AK381*IF(B381&gt;=in_marketplace_from,d_hz_life_term*G381,0)</f>
        <v/>
      </c>
      <c r="AM381" s="14">
        <f>F381*AL381*in_life_term_ticket*in_life_term_comm*in_ins_partner_share+F381*in_life_term_ticket*in_life_term_renew_comm*in_ins_partner_share*(in_life_term_renew^1*SUMIFS(AL347:AL400,B347:B400,B381-12)+in_life_term_renew^2*SUMIFS(AL347:AL400,B347:B400,B381-24)+in_life_term_renew^3*SUMIFS(AL347:AL400,B347:B400,B381-36)+in_life_term_renew^4*SUMIFS(AL347:AL400,B347:B400,B381-48))</f>
        <v/>
      </c>
      <c r="AN381" s="40">
        <f>AN380*(1-IF(B380&gt;=in_marketplace_from,d_hz_accident*G380,0))</f>
        <v/>
      </c>
      <c r="AO381" s="46">
        <f>AN381*IF(B381&gt;=in_marketplace_from,d_hz_accident*G381,0)</f>
        <v/>
      </c>
      <c r="AP381" s="14">
        <f>F381*AO381*in_accident_ticket*in_accident_comm*in_ins_partner_share+F381*in_accident_ticket*in_accident_renew_comm*in_ins_partner_share*(in_accident_renew^1*SUMIFS(AO347:AO400,B347:B400,B381-12)+in_accident_renew^2*SUMIFS(AO347:AO400,B347:B400,B381-24)+in_accident_renew^3*SUMIFS(AO347:AO400,B347:B400,B381-36)+in_accident_renew^4*SUMIFS(AO347:AO400,B347:B400,B381-48))</f>
        <v/>
      </c>
      <c r="AQ381" s="40">
        <f>AQ380*(1-IF(B380&gt;=in_marketplace_from,d_hz_two_wheeler*G380,0))</f>
        <v/>
      </c>
      <c r="AR381" s="46">
        <f>AQ381*IF(B381&gt;=in_marketplace_from,d_hz_two_wheeler*G381,0)</f>
        <v/>
      </c>
      <c r="AS381" s="14">
        <f>F381*AR381*in_two_wheeler_ticket*in_two_wheeler_comm*in_ins_partner_share+F381*in_two_wheeler_ticket*in_two_wheeler_comm*in_ins_partner_share*(in_two_wheeler_renew^1*SUMIFS(AR347:AR400,B347:B400,B381-12)+in_two_wheeler_renew^2*SUMIFS(AR347:AR400,B347:B400,B381-24)+in_two_wheeler_renew^3*SUMIFS(AR347:AR400,B347:B400,B381-36)+in_two_wheeler_renew^4*SUMIFS(AR347:AR400,B347:B400,B381-48))</f>
        <v/>
      </c>
      <c r="AT381" s="40">
        <f>AT380*(1-IF(B380&gt;=in_marketplace_from,d_hz_device*G380,0))</f>
        <v/>
      </c>
      <c r="AU381" s="14">
        <f>F381*AT381*IF(B381&gt;=in_marketplace_from,d_hz_device*G381,0)*in_device_ticket*in_device_comm*in_ins_partner_share</f>
        <v/>
      </c>
      <c r="AV381" s="40">
        <f>AV380*(1-IF(B380&gt;=in_marketplace_from,d_hz_shop*G380,0))</f>
        <v/>
      </c>
      <c r="AW381" s="46">
        <f>AV381*IF(B381&gt;=in_marketplace_from,d_hz_shop*G381,0)</f>
        <v/>
      </c>
      <c r="AX381" s="14">
        <f>F381*AW381*in_shop_ticket*in_shop_comm*in_ins_partner_share+F381*in_shop_ticket*in_shop_renew_comm*in_ins_partner_share*(in_shop_renew^1*SUMIFS(AW347:AW400,B347:B400,B381-12)+in_shop_renew^2*SUMIFS(AW347:AW400,B347:B400,B381-24)+in_shop_renew^3*SUMIFS(AW347:AW400,B347:B400,B381-36)+in_shop_renew^4*SUMIFS(AW347:AW400,B347:B400,B381-48))</f>
        <v/>
      </c>
      <c r="AY381" s="40">
        <f>AY380*(1-IF(B380&gt;=in_marketplace_from,d_hz_sip*G380,0))</f>
        <v/>
      </c>
      <c r="AZ381" s="40">
        <f>AZ380*d_rho_sip+AY381*IF(B381&gt;=in_marketplace_from,d_hz_sip*G381,0)</f>
        <v/>
      </c>
      <c r="BA381" s="40">
        <f>d_rho_sip*(BA380+AZ380)</f>
        <v/>
      </c>
      <c r="BB381" s="14">
        <f>F381*in_sip_ticket*(BA381+0.5*AZ381)*in_sip_comm/12</f>
        <v/>
      </c>
      <c r="BC381" s="40">
        <f>BC380*(1-IF(B380&gt;=in_marketplace_from,d_hz_choti*G380,0))</f>
        <v/>
      </c>
      <c r="BD381" s="46">
        <f>BC381*IF(B381&gt;=in_marketplace_from,d_hz_choti*G381,0)</f>
        <v/>
      </c>
      <c r="BE381" s="14">
        <f>F381*SUMIFS(BD347:BD400,B347:B400,B381-in_choti_months)*in_choti_renew*in_choti_ticket</f>
        <v/>
      </c>
      <c r="BF381" s="40">
        <f>BF380*(1-IF(B380&gt;=in_marketplace_from,d_hz_nps*G380,0))</f>
        <v/>
      </c>
      <c r="BG381" s="14">
        <f>F381*BF381*IF(B381&gt;=in_marketplace_from,d_hz_nps*G381,0)*in_nps_ticket*in_nps_comm</f>
        <v/>
      </c>
      <c r="BH381" s="40">
        <f>BH380*(1-IF(B380&gt;=in_marketplace_from,d_hz_gold*G380,0))</f>
        <v/>
      </c>
      <c r="BI381" s="40">
        <f>BI380*d_rho_gold+BH381*IF(B381&gt;=in_marketplace_from,d_hz_gold*G381,0)</f>
        <v/>
      </c>
      <c r="BJ381" s="14">
        <f>F381*BI381*in_gold_ticket*in_gold_comm</f>
        <v/>
      </c>
      <c r="BK381" s="40">
        <f>BK380*(1-IF(B380&gt;=in_marketplace_from,d_hz_fd*G380,0))</f>
        <v/>
      </c>
      <c r="BL381" s="14">
        <f>F381*BK381*IF(B381&gt;=in_marketplace_from,d_hz_fd*G381,0)*in_fd_ticket*in_fd_comm</f>
        <v/>
      </c>
      <c r="BM381" s="40">
        <f>BM380*(1-IF(B380&gt;=in_marketplace_from,d_hz_recharge*G380,0))</f>
        <v/>
      </c>
      <c r="BN381" s="40">
        <f>BN380*d_rho_recharge+BM381*IF(B381&gt;=in_marketplace_from,d_hz_recharge*G381,0)</f>
        <v/>
      </c>
      <c r="BO381" s="14">
        <f>F381*BN381*in_recharge_ticket*in_recharge_comm/12</f>
        <v/>
      </c>
      <c r="BP381" s="40">
        <f>BP380*(1-IF(B380&gt;=in_marketplace_from,d_hz_bills*G380,0))</f>
        <v/>
      </c>
      <c r="BQ381" s="40">
        <f>BQ380*d_rho_bills+BP381*IF(B381&gt;=in_marketplace_from,d_hz_bills*G381,0)</f>
        <v/>
      </c>
      <c r="BR381" s="14">
        <f>F381*BQ381*in_bills_ticket*in_bills_comm/12</f>
        <v/>
      </c>
      <c r="BS381" s="40">
        <f>BS380*(1-IF(B380&gt;=in_marketplace_from,d_hz_loan_gold*G380,0))</f>
        <v/>
      </c>
      <c r="BT381" s="14">
        <f>F381*BS381*IF(B381&gt;=in_marketplace_from,d_hz_loan_gold*G381,0)*in_loan_gold_ticket*in_loan_gold_comm</f>
        <v/>
      </c>
      <c r="BU381" s="40">
        <f>BU380*(1-IF(B380&gt;=in_marketplace_from,d_hz_loan_cd*G380,0))</f>
        <v/>
      </c>
      <c r="BV381" s="14">
        <f>F381*BU381*IF(B381&gt;=in_marketplace_from,d_hz_loan_cd*G381,0)*in_loan_cd_ticket*in_loan_cd_comm</f>
        <v/>
      </c>
      <c r="BW381" s="40">
        <f>BW380*(1-IF(B380&gt;=in_marketplace_from,d_hz_loan_vehicle*G380,0))</f>
        <v/>
      </c>
      <c r="BX381" s="14">
        <f>F381*BW381*IF(B381&gt;=in_marketplace_from,d_hz_loan_vehicle*G381,0)*in_loan_vehicle_ticket*in_loan_vehicle_comm</f>
        <v/>
      </c>
      <c r="BY381" s="40">
        <f>BY380*(1-IF(B380&gt;=in_marketplace_from,d_hz_loan_home*G380,0)*BZ380)</f>
        <v/>
      </c>
      <c r="BZ381" s="11">
        <f>MIN(in_approval_cap,in_loan_home_approval*INDEX('Age profile'!$O$2:$O$61,B381)*(1+in_approval_growth)^(D381-1))</f>
        <v/>
      </c>
      <c r="CA381" s="14">
        <f>F381*BY381*IF(B381&gt;=in_marketplace_from,d_hz_loan_home*G381,0)*BZ381*in_loan_home_ticket*in_loan_home_comm</f>
        <v/>
      </c>
      <c r="CB381" s="40">
        <f>CB380*(1-IF(B380&gt;=in_marketplace_from,d_hz_loan_lap*G380,0)*CC380)</f>
        <v/>
      </c>
      <c r="CC381" s="11">
        <f>MIN(in_approval_cap,in_loan_lap_approval*INDEX('Age profile'!$O$2:$O$61,B381)*(1+in_approval_growth)^(D381-1))</f>
        <v/>
      </c>
      <c r="CD381" s="14">
        <f>F381*CB381*IF(B381&gt;=in_marketplace_from,d_hz_loan_lap*G381,0)*CC381*in_loan_lap_ticket*in_loan_lap_comm</f>
        <v/>
      </c>
      <c r="CE381" s="14">
        <f>AA381+AB381+AC381+AD381+AG381+AJ381+AM381+AP381+AS381+AU381+AX381+BB381+BE381+BG381+BJ381+BL381+BO381+BR381+BT381+BV381+BX381+CA381+CD381</f>
        <v/>
      </c>
    </row>
    <row r="382">
      <c r="A382" s="39" t="n">
        <v>7</v>
      </c>
      <c r="B382" s="39" t="n">
        <v>36</v>
      </c>
      <c r="C382" s="39">
        <f>A382+B382-1</f>
        <v/>
      </c>
      <c r="D382" s="39">
        <f>INT((C382-1)/12)+1</f>
        <v/>
      </c>
      <c r="E382" s="44">
        <f>INDEX(Monthly!$B$2:$B$61,A382)</f>
        <v/>
      </c>
      <c r="F382" s="44">
        <f>E382*INDEX('Age profile'!$B$2:$B$61,B382)</f>
        <v/>
      </c>
      <c r="G382" s="45">
        <f>MIN(in_takeup_cap,INDEX('Age profile'!$N$2:$N$61,B382)*(1+in_takeup_growth)^(D382-1))</f>
        <v/>
      </c>
      <c r="H382" s="11">
        <f>MIN(in_approval_cap,in_approved_first*INDEX('Age profile'!$O$2:$O$61,B382)*(1+in_approval_growth)^(D382-1))</f>
        <v/>
      </c>
      <c r="I382" s="45">
        <f>G382*MIN(in_takeup_cap,INDEX('Age profile'!$O$2:$O$61,B382)*(1+in_approval_growth)^(D382-1))</f>
        <v/>
      </c>
      <c r="J382" s="40">
        <f>(J381-L381)*F382/F381</f>
        <v/>
      </c>
      <c r="K382" s="40">
        <f>(K381-M381)*F382/F381+SUMIFS(O347:O381,B347:B381,B382-1-d_T)*F382</f>
        <v/>
      </c>
      <c r="L382" s="40">
        <f>IF(B382&gt;=in_marketplace_from,J382*d_hz*G382*in_eligible*H382,0)</f>
        <v/>
      </c>
      <c r="M382" s="40">
        <f>IF(B382&gt;=in_marketplace_from,K382*d_hz*G382*in_eligible*in_approved_repeat,0)</f>
        <v/>
      </c>
      <c r="N382" s="40">
        <f>L382+M382</f>
        <v/>
      </c>
      <c r="O382" s="46">
        <f>N382/F382</f>
        <v/>
      </c>
      <c r="P382" s="40">
        <f>F382-J382-K382</f>
        <v/>
      </c>
      <c r="Q382" s="40">
        <f>IF(B382&gt;=in_marketplace_from,(J382+K382)*d_hz*G382,0)</f>
        <v/>
      </c>
      <c r="R382" s="40">
        <f>SUMIFS(N347:N400,B347:B400,"&gt;="&amp;(B382-d_T),B347:B400,"&lt;="&amp;(B382-1))</f>
        <v/>
      </c>
      <c r="S382" s="46">
        <f>(1-d_u)*S381+IF(d_T&gt;in_topup_lag,SUMIFS(O347:O400,B347:B400,B382-in_topup_lag)-d_udrop*SUMIFS(O347:O400,B347:B400,B382-d_T),0)</f>
        <v/>
      </c>
      <c r="T382" s="40">
        <f>F382*d_u*S382</f>
        <v/>
      </c>
      <c r="U382" s="9">
        <f>L382*in_ticket+M382*d_rep_ticket</f>
        <v/>
      </c>
      <c r="V382" s="9">
        <f>U382+T382*d_topup_amt</f>
        <v/>
      </c>
      <c r="W382" s="40">
        <f>N382+T382*d_topup_ratio</f>
        <v/>
      </c>
      <c r="X382" s="40">
        <f>SUMIFS(W347:W400,B347:B400,B382-in_dpd_lag)*d_cured</f>
        <v/>
      </c>
      <c r="Y382" s="40">
        <f>SUMIFS(W347:W400,B347:B400,B382-in_rec_lag)*d_recd</f>
        <v/>
      </c>
      <c r="Z382" s="40">
        <f>IF(AND(B382&gt;=in_marketplace_from,B382&lt;in_marketplace_from+in_card_months),in_card_share/in_card_months*F382*I382,IF(AND(B382&gt;=in_marketplace_from+in_card_months,B382&lt;in_marketplace_from+2*in_card_months),in_card_share*d_card_rem/in_card_months*F382*MIN(in_takeup_cap,(1+in_takeup_growth)^(D382-1))*MIN(in_takeup_cap,(1+in_approval_growth)^(D382-1)),0))</f>
        <v/>
      </c>
      <c r="AA382" s="14">
        <f>V382*in_fee*(1-in_taken_back)</f>
        <v/>
      </c>
      <c r="AB382" s="14">
        <f>SUMIFS(W347:W400,B347:B400,B382-in_dpd_lag)*d_dpd</f>
        <v/>
      </c>
      <c r="AC382" s="14">
        <f>SUMIFS(W347:W400,B347:B400,B382-in_rec_lag)*d_rec</f>
        <v/>
      </c>
      <c r="AD382" s="14">
        <f>Z382*in_card_fee</f>
        <v/>
      </c>
      <c r="AE382" s="40">
        <f>AE381*(1-IF(B381&gt;=in_marketplace_from,d_hz_hlth_small*G381,0))</f>
        <v/>
      </c>
      <c r="AF382" s="46">
        <f>AE382*IF(B382&gt;=in_marketplace_from,d_hz_hlth_small*G382,0)</f>
        <v/>
      </c>
      <c r="AG382" s="14">
        <f>F382*AF382*in_hlth_small_ticket*in_hlth_small_comm*in_ins_partner_share+F382*in_hlth_small_ticket*in_hlth_small_renew_comm*in_ins_partner_share*(in_hlth_small_renew^1*SUMIFS(AF347:AF400,B347:B400,B382-12)+in_hlth_small_renew^2*SUMIFS(AF347:AF400,B347:B400,B382-24)+in_hlth_small_renew^3*SUMIFS(AF347:AF400,B347:B400,B382-36)+in_hlth_small_renew^4*SUMIFS(AF347:AF400,B347:B400,B382-48))</f>
        <v/>
      </c>
      <c r="AH382" s="40">
        <f>AH381*(1-IF(B381&gt;=in_marketplace_from,d_hz_hlth_family*G381,0))</f>
        <v/>
      </c>
      <c r="AI382" s="46">
        <f>AH382*IF(B382&gt;=in_marketplace_from,d_hz_hlth_family*G382,0)</f>
        <v/>
      </c>
      <c r="AJ382" s="14">
        <f>F382*AI382*in_hlth_family_ticket*in_hlth_family_comm*in_ins_partner_share+F382*in_hlth_family_ticket*in_hlth_family_renew_comm*in_ins_partner_share*(in_hlth_family_renew^1*SUMIFS(AI347:AI400,B347:B400,B382-12)+in_hlth_family_renew^2*SUMIFS(AI347:AI400,B347:B400,B382-24)+in_hlth_family_renew^3*SUMIFS(AI347:AI400,B347:B400,B382-36)+in_hlth_family_renew^4*SUMIFS(AI347:AI400,B347:B400,B382-48))</f>
        <v/>
      </c>
      <c r="AK382" s="40">
        <f>AK381*(1-IF(B381&gt;=in_marketplace_from,d_hz_life_term*G381,0))</f>
        <v/>
      </c>
      <c r="AL382" s="46">
        <f>AK382*IF(B382&gt;=in_marketplace_from,d_hz_life_term*G382,0)</f>
        <v/>
      </c>
      <c r="AM382" s="14">
        <f>F382*AL382*in_life_term_ticket*in_life_term_comm*in_ins_partner_share+F382*in_life_term_ticket*in_life_term_renew_comm*in_ins_partner_share*(in_life_term_renew^1*SUMIFS(AL347:AL400,B347:B400,B382-12)+in_life_term_renew^2*SUMIFS(AL347:AL400,B347:B400,B382-24)+in_life_term_renew^3*SUMIFS(AL347:AL400,B347:B400,B382-36)+in_life_term_renew^4*SUMIFS(AL347:AL400,B347:B400,B382-48))</f>
        <v/>
      </c>
      <c r="AN382" s="40">
        <f>AN381*(1-IF(B381&gt;=in_marketplace_from,d_hz_accident*G381,0))</f>
        <v/>
      </c>
      <c r="AO382" s="46">
        <f>AN382*IF(B382&gt;=in_marketplace_from,d_hz_accident*G382,0)</f>
        <v/>
      </c>
      <c r="AP382" s="14">
        <f>F382*AO382*in_accident_ticket*in_accident_comm*in_ins_partner_share+F382*in_accident_ticket*in_accident_renew_comm*in_ins_partner_share*(in_accident_renew^1*SUMIFS(AO347:AO400,B347:B400,B382-12)+in_accident_renew^2*SUMIFS(AO347:AO400,B347:B400,B382-24)+in_accident_renew^3*SUMIFS(AO347:AO400,B347:B400,B382-36)+in_accident_renew^4*SUMIFS(AO347:AO400,B347:B400,B382-48))</f>
        <v/>
      </c>
      <c r="AQ382" s="40">
        <f>AQ381*(1-IF(B381&gt;=in_marketplace_from,d_hz_two_wheeler*G381,0))</f>
        <v/>
      </c>
      <c r="AR382" s="46">
        <f>AQ382*IF(B382&gt;=in_marketplace_from,d_hz_two_wheeler*G382,0)</f>
        <v/>
      </c>
      <c r="AS382" s="14">
        <f>F382*AR382*in_two_wheeler_ticket*in_two_wheeler_comm*in_ins_partner_share+F382*in_two_wheeler_ticket*in_two_wheeler_comm*in_ins_partner_share*(in_two_wheeler_renew^1*SUMIFS(AR347:AR400,B347:B400,B382-12)+in_two_wheeler_renew^2*SUMIFS(AR347:AR400,B347:B400,B382-24)+in_two_wheeler_renew^3*SUMIFS(AR347:AR400,B347:B400,B382-36)+in_two_wheeler_renew^4*SUMIFS(AR347:AR400,B347:B400,B382-48))</f>
        <v/>
      </c>
      <c r="AT382" s="40">
        <f>AT381*(1-IF(B381&gt;=in_marketplace_from,d_hz_device*G381,0))</f>
        <v/>
      </c>
      <c r="AU382" s="14">
        <f>F382*AT382*IF(B382&gt;=in_marketplace_from,d_hz_device*G382,0)*in_device_ticket*in_device_comm*in_ins_partner_share</f>
        <v/>
      </c>
      <c r="AV382" s="40">
        <f>AV381*(1-IF(B381&gt;=in_marketplace_from,d_hz_shop*G381,0))</f>
        <v/>
      </c>
      <c r="AW382" s="46">
        <f>AV382*IF(B382&gt;=in_marketplace_from,d_hz_shop*G382,0)</f>
        <v/>
      </c>
      <c r="AX382" s="14">
        <f>F382*AW382*in_shop_ticket*in_shop_comm*in_ins_partner_share+F382*in_shop_ticket*in_shop_renew_comm*in_ins_partner_share*(in_shop_renew^1*SUMIFS(AW347:AW400,B347:B400,B382-12)+in_shop_renew^2*SUMIFS(AW347:AW400,B347:B400,B382-24)+in_shop_renew^3*SUMIFS(AW347:AW400,B347:B400,B382-36)+in_shop_renew^4*SUMIFS(AW347:AW400,B347:B400,B382-48))</f>
        <v/>
      </c>
      <c r="AY382" s="40">
        <f>AY381*(1-IF(B381&gt;=in_marketplace_from,d_hz_sip*G381,0))</f>
        <v/>
      </c>
      <c r="AZ382" s="40">
        <f>AZ381*d_rho_sip+AY382*IF(B382&gt;=in_marketplace_from,d_hz_sip*G382,0)</f>
        <v/>
      </c>
      <c r="BA382" s="40">
        <f>d_rho_sip*(BA381+AZ381)</f>
        <v/>
      </c>
      <c r="BB382" s="14">
        <f>F382*in_sip_ticket*(BA382+0.5*AZ382)*in_sip_comm/12</f>
        <v/>
      </c>
      <c r="BC382" s="40">
        <f>BC381*(1-IF(B381&gt;=in_marketplace_from,d_hz_choti*G381,0))</f>
        <v/>
      </c>
      <c r="BD382" s="46">
        <f>BC382*IF(B382&gt;=in_marketplace_from,d_hz_choti*G382,0)</f>
        <v/>
      </c>
      <c r="BE382" s="14">
        <f>F382*SUMIFS(BD347:BD400,B347:B400,B382-in_choti_months)*in_choti_renew*in_choti_ticket</f>
        <v/>
      </c>
      <c r="BF382" s="40">
        <f>BF381*(1-IF(B381&gt;=in_marketplace_from,d_hz_nps*G381,0))</f>
        <v/>
      </c>
      <c r="BG382" s="14">
        <f>F382*BF382*IF(B382&gt;=in_marketplace_from,d_hz_nps*G382,0)*in_nps_ticket*in_nps_comm</f>
        <v/>
      </c>
      <c r="BH382" s="40">
        <f>BH381*(1-IF(B381&gt;=in_marketplace_from,d_hz_gold*G381,0))</f>
        <v/>
      </c>
      <c r="BI382" s="40">
        <f>BI381*d_rho_gold+BH382*IF(B382&gt;=in_marketplace_from,d_hz_gold*G382,0)</f>
        <v/>
      </c>
      <c r="BJ382" s="14">
        <f>F382*BI382*in_gold_ticket*in_gold_comm</f>
        <v/>
      </c>
      <c r="BK382" s="40">
        <f>BK381*(1-IF(B381&gt;=in_marketplace_from,d_hz_fd*G381,0))</f>
        <v/>
      </c>
      <c r="BL382" s="14">
        <f>F382*BK382*IF(B382&gt;=in_marketplace_from,d_hz_fd*G382,0)*in_fd_ticket*in_fd_comm</f>
        <v/>
      </c>
      <c r="BM382" s="40">
        <f>BM381*(1-IF(B381&gt;=in_marketplace_from,d_hz_recharge*G381,0))</f>
        <v/>
      </c>
      <c r="BN382" s="40">
        <f>BN381*d_rho_recharge+BM382*IF(B382&gt;=in_marketplace_from,d_hz_recharge*G382,0)</f>
        <v/>
      </c>
      <c r="BO382" s="14">
        <f>F382*BN382*in_recharge_ticket*in_recharge_comm/12</f>
        <v/>
      </c>
      <c r="BP382" s="40">
        <f>BP381*(1-IF(B381&gt;=in_marketplace_from,d_hz_bills*G381,0))</f>
        <v/>
      </c>
      <c r="BQ382" s="40">
        <f>BQ381*d_rho_bills+BP382*IF(B382&gt;=in_marketplace_from,d_hz_bills*G382,0)</f>
        <v/>
      </c>
      <c r="BR382" s="14">
        <f>F382*BQ382*in_bills_ticket*in_bills_comm/12</f>
        <v/>
      </c>
      <c r="BS382" s="40">
        <f>BS381*(1-IF(B381&gt;=in_marketplace_from,d_hz_loan_gold*G381,0))</f>
        <v/>
      </c>
      <c r="BT382" s="14">
        <f>F382*BS382*IF(B382&gt;=in_marketplace_from,d_hz_loan_gold*G382,0)*in_loan_gold_ticket*in_loan_gold_comm</f>
        <v/>
      </c>
      <c r="BU382" s="40">
        <f>BU381*(1-IF(B381&gt;=in_marketplace_from,d_hz_loan_cd*G381,0))</f>
        <v/>
      </c>
      <c r="BV382" s="14">
        <f>F382*BU382*IF(B382&gt;=in_marketplace_from,d_hz_loan_cd*G382,0)*in_loan_cd_ticket*in_loan_cd_comm</f>
        <v/>
      </c>
      <c r="BW382" s="40">
        <f>BW381*(1-IF(B381&gt;=in_marketplace_from,d_hz_loan_vehicle*G381,0))</f>
        <v/>
      </c>
      <c r="BX382" s="14">
        <f>F382*BW382*IF(B382&gt;=in_marketplace_from,d_hz_loan_vehicle*G382,0)*in_loan_vehicle_ticket*in_loan_vehicle_comm</f>
        <v/>
      </c>
      <c r="BY382" s="40">
        <f>BY381*(1-IF(B381&gt;=in_marketplace_from,d_hz_loan_home*G381,0)*BZ381)</f>
        <v/>
      </c>
      <c r="BZ382" s="11">
        <f>MIN(in_approval_cap,in_loan_home_approval*INDEX('Age profile'!$O$2:$O$61,B382)*(1+in_approval_growth)^(D382-1))</f>
        <v/>
      </c>
      <c r="CA382" s="14">
        <f>F382*BY382*IF(B382&gt;=in_marketplace_from,d_hz_loan_home*G382,0)*BZ382*in_loan_home_ticket*in_loan_home_comm</f>
        <v/>
      </c>
      <c r="CB382" s="40">
        <f>CB381*(1-IF(B381&gt;=in_marketplace_from,d_hz_loan_lap*G381,0)*CC381)</f>
        <v/>
      </c>
      <c r="CC382" s="11">
        <f>MIN(in_approval_cap,in_loan_lap_approval*INDEX('Age profile'!$O$2:$O$61,B382)*(1+in_approval_growth)^(D382-1))</f>
        <v/>
      </c>
      <c r="CD382" s="14">
        <f>F382*CB382*IF(B382&gt;=in_marketplace_from,d_hz_loan_lap*G382,0)*CC382*in_loan_lap_ticket*in_loan_lap_comm</f>
        <v/>
      </c>
      <c r="CE382" s="14">
        <f>AA382+AB382+AC382+AD382+AG382+AJ382+AM382+AP382+AS382+AU382+AX382+BB382+BE382+BG382+BJ382+BL382+BO382+BR382+BT382+BV382+BX382+CA382+CD382</f>
        <v/>
      </c>
    </row>
    <row r="383">
      <c r="A383" s="39" t="n">
        <v>7</v>
      </c>
      <c r="B383" s="39" t="n">
        <v>37</v>
      </c>
      <c r="C383" s="39">
        <f>A383+B383-1</f>
        <v/>
      </c>
      <c r="D383" s="39">
        <f>INT((C383-1)/12)+1</f>
        <v/>
      </c>
      <c r="E383" s="44">
        <f>INDEX(Monthly!$B$2:$B$61,A383)</f>
        <v/>
      </c>
      <c r="F383" s="44">
        <f>E383*INDEX('Age profile'!$B$2:$B$61,B383)</f>
        <v/>
      </c>
      <c r="G383" s="45">
        <f>MIN(in_takeup_cap,INDEX('Age profile'!$N$2:$N$61,B383)*(1+in_takeup_growth)^(D383-1))</f>
        <v/>
      </c>
      <c r="H383" s="11">
        <f>MIN(in_approval_cap,in_approved_first*INDEX('Age profile'!$O$2:$O$61,B383)*(1+in_approval_growth)^(D383-1))</f>
        <v/>
      </c>
      <c r="I383" s="45">
        <f>G383*MIN(in_takeup_cap,INDEX('Age profile'!$O$2:$O$61,B383)*(1+in_approval_growth)^(D383-1))</f>
        <v/>
      </c>
      <c r="J383" s="40">
        <f>(J382-L382)*F383/F382</f>
        <v/>
      </c>
      <c r="K383" s="40">
        <f>(K382-M382)*F383/F382+SUMIFS(O347:O382,B347:B382,B383-1-d_T)*F383</f>
        <v/>
      </c>
      <c r="L383" s="40">
        <f>IF(B383&gt;=in_marketplace_from,J383*d_hz*G383*in_eligible*H383,0)</f>
        <v/>
      </c>
      <c r="M383" s="40">
        <f>IF(B383&gt;=in_marketplace_from,K383*d_hz*G383*in_eligible*in_approved_repeat,0)</f>
        <v/>
      </c>
      <c r="N383" s="40">
        <f>L383+M383</f>
        <v/>
      </c>
      <c r="O383" s="46">
        <f>N383/F383</f>
        <v/>
      </c>
      <c r="P383" s="40">
        <f>F383-J383-K383</f>
        <v/>
      </c>
      <c r="Q383" s="40">
        <f>IF(B383&gt;=in_marketplace_from,(J383+K383)*d_hz*G383,0)</f>
        <v/>
      </c>
      <c r="R383" s="40">
        <f>SUMIFS(N347:N400,B347:B400,"&gt;="&amp;(B383-d_T),B347:B400,"&lt;="&amp;(B383-1))</f>
        <v/>
      </c>
      <c r="S383" s="46">
        <f>(1-d_u)*S382+IF(d_T&gt;in_topup_lag,SUMIFS(O347:O400,B347:B400,B383-in_topup_lag)-d_udrop*SUMIFS(O347:O400,B347:B400,B383-d_T),0)</f>
        <v/>
      </c>
      <c r="T383" s="40">
        <f>F383*d_u*S383</f>
        <v/>
      </c>
      <c r="U383" s="9">
        <f>L383*in_ticket+M383*d_rep_ticket</f>
        <v/>
      </c>
      <c r="V383" s="9">
        <f>U383+T383*d_topup_amt</f>
        <v/>
      </c>
      <c r="W383" s="40">
        <f>N383+T383*d_topup_ratio</f>
        <v/>
      </c>
      <c r="X383" s="40">
        <f>SUMIFS(W347:W400,B347:B400,B383-in_dpd_lag)*d_cured</f>
        <v/>
      </c>
      <c r="Y383" s="40">
        <f>SUMIFS(W347:W400,B347:B400,B383-in_rec_lag)*d_recd</f>
        <v/>
      </c>
      <c r="Z383" s="40">
        <f>IF(AND(B383&gt;=in_marketplace_from,B383&lt;in_marketplace_from+in_card_months),in_card_share/in_card_months*F383*I383,IF(AND(B383&gt;=in_marketplace_from+in_card_months,B383&lt;in_marketplace_from+2*in_card_months),in_card_share*d_card_rem/in_card_months*F383*MIN(in_takeup_cap,(1+in_takeup_growth)^(D383-1))*MIN(in_takeup_cap,(1+in_approval_growth)^(D383-1)),0))</f>
        <v/>
      </c>
      <c r="AA383" s="14">
        <f>V383*in_fee*(1-in_taken_back)</f>
        <v/>
      </c>
      <c r="AB383" s="14">
        <f>SUMIFS(W347:W400,B347:B400,B383-in_dpd_lag)*d_dpd</f>
        <v/>
      </c>
      <c r="AC383" s="14">
        <f>SUMIFS(W347:W400,B347:B400,B383-in_rec_lag)*d_rec</f>
        <v/>
      </c>
      <c r="AD383" s="14">
        <f>Z383*in_card_fee</f>
        <v/>
      </c>
      <c r="AE383" s="40">
        <f>AE382*(1-IF(B382&gt;=in_marketplace_from,d_hz_hlth_small*G382,0))</f>
        <v/>
      </c>
      <c r="AF383" s="46">
        <f>AE383*IF(B383&gt;=in_marketplace_from,d_hz_hlth_small*G383,0)</f>
        <v/>
      </c>
      <c r="AG383" s="14">
        <f>F383*AF383*in_hlth_small_ticket*in_hlth_small_comm*in_ins_partner_share+F383*in_hlth_small_ticket*in_hlth_small_renew_comm*in_ins_partner_share*(in_hlth_small_renew^1*SUMIFS(AF347:AF400,B347:B400,B383-12)+in_hlth_small_renew^2*SUMIFS(AF347:AF400,B347:B400,B383-24)+in_hlth_small_renew^3*SUMIFS(AF347:AF400,B347:B400,B383-36)+in_hlth_small_renew^4*SUMIFS(AF347:AF400,B347:B400,B383-48))</f>
        <v/>
      </c>
      <c r="AH383" s="40">
        <f>AH382*(1-IF(B382&gt;=in_marketplace_from,d_hz_hlth_family*G382,0))</f>
        <v/>
      </c>
      <c r="AI383" s="46">
        <f>AH383*IF(B383&gt;=in_marketplace_from,d_hz_hlth_family*G383,0)</f>
        <v/>
      </c>
      <c r="AJ383" s="14">
        <f>F383*AI383*in_hlth_family_ticket*in_hlth_family_comm*in_ins_partner_share+F383*in_hlth_family_ticket*in_hlth_family_renew_comm*in_ins_partner_share*(in_hlth_family_renew^1*SUMIFS(AI347:AI400,B347:B400,B383-12)+in_hlth_family_renew^2*SUMIFS(AI347:AI400,B347:B400,B383-24)+in_hlth_family_renew^3*SUMIFS(AI347:AI400,B347:B400,B383-36)+in_hlth_family_renew^4*SUMIFS(AI347:AI400,B347:B400,B383-48))</f>
        <v/>
      </c>
      <c r="AK383" s="40">
        <f>AK382*(1-IF(B382&gt;=in_marketplace_from,d_hz_life_term*G382,0))</f>
        <v/>
      </c>
      <c r="AL383" s="46">
        <f>AK383*IF(B383&gt;=in_marketplace_from,d_hz_life_term*G383,0)</f>
        <v/>
      </c>
      <c r="AM383" s="14">
        <f>F383*AL383*in_life_term_ticket*in_life_term_comm*in_ins_partner_share+F383*in_life_term_ticket*in_life_term_renew_comm*in_ins_partner_share*(in_life_term_renew^1*SUMIFS(AL347:AL400,B347:B400,B383-12)+in_life_term_renew^2*SUMIFS(AL347:AL400,B347:B400,B383-24)+in_life_term_renew^3*SUMIFS(AL347:AL400,B347:B400,B383-36)+in_life_term_renew^4*SUMIFS(AL347:AL400,B347:B400,B383-48))</f>
        <v/>
      </c>
      <c r="AN383" s="40">
        <f>AN382*(1-IF(B382&gt;=in_marketplace_from,d_hz_accident*G382,0))</f>
        <v/>
      </c>
      <c r="AO383" s="46">
        <f>AN383*IF(B383&gt;=in_marketplace_from,d_hz_accident*G383,0)</f>
        <v/>
      </c>
      <c r="AP383" s="14">
        <f>F383*AO383*in_accident_ticket*in_accident_comm*in_ins_partner_share+F383*in_accident_ticket*in_accident_renew_comm*in_ins_partner_share*(in_accident_renew^1*SUMIFS(AO347:AO400,B347:B400,B383-12)+in_accident_renew^2*SUMIFS(AO347:AO400,B347:B400,B383-24)+in_accident_renew^3*SUMIFS(AO347:AO400,B347:B400,B383-36)+in_accident_renew^4*SUMIFS(AO347:AO400,B347:B400,B383-48))</f>
        <v/>
      </c>
      <c r="AQ383" s="40">
        <f>AQ382*(1-IF(B382&gt;=in_marketplace_from,d_hz_two_wheeler*G382,0))</f>
        <v/>
      </c>
      <c r="AR383" s="46">
        <f>AQ383*IF(B383&gt;=in_marketplace_from,d_hz_two_wheeler*G383,0)</f>
        <v/>
      </c>
      <c r="AS383" s="14">
        <f>F383*AR383*in_two_wheeler_ticket*in_two_wheeler_comm*in_ins_partner_share+F383*in_two_wheeler_ticket*in_two_wheeler_comm*in_ins_partner_share*(in_two_wheeler_renew^1*SUMIFS(AR347:AR400,B347:B400,B383-12)+in_two_wheeler_renew^2*SUMIFS(AR347:AR400,B347:B400,B383-24)+in_two_wheeler_renew^3*SUMIFS(AR347:AR400,B347:B400,B383-36)+in_two_wheeler_renew^4*SUMIFS(AR347:AR400,B347:B400,B383-48))</f>
        <v/>
      </c>
      <c r="AT383" s="40">
        <f>AT382*(1-IF(B382&gt;=in_marketplace_from,d_hz_device*G382,0))</f>
        <v/>
      </c>
      <c r="AU383" s="14">
        <f>F383*AT383*IF(B383&gt;=in_marketplace_from,d_hz_device*G383,0)*in_device_ticket*in_device_comm*in_ins_partner_share</f>
        <v/>
      </c>
      <c r="AV383" s="40">
        <f>AV382*(1-IF(B382&gt;=in_marketplace_from,d_hz_shop*G382,0))</f>
        <v/>
      </c>
      <c r="AW383" s="46">
        <f>AV383*IF(B383&gt;=in_marketplace_from,d_hz_shop*G383,0)</f>
        <v/>
      </c>
      <c r="AX383" s="14">
        <f>F383*AW383*in_shop_ticket*in_shop_comm*in_ins_partner_share+F383*in_shop_ticket*in_shop_renew_comm*in_ins_partner_share*(in_shop_renew^1*SUMIFS(AW347:AW400,B347:B400,B383-12)+in_shop_renew^2*SUMIFS(AW347:AW400,B347:B400,B383-24)+in_shop_renew^3*SUMIFS(AW347:AW400,B347:B400,B383-36)+in_shop_renew^4*SUMIFS(AW347:AW400,B347:B400,B383-48))</f>
        <v/>
      </c>
      <c r="AY383" s="40">
        <f>AY382*(1-IF(B382&gt;=in_marketplace_from,d_hz_sip*G382,0))</f>
        <v/>
      </c>
      <c r="AZ383" s="40">
        <f>AZ382*d_rho_sip+AY383*IF(B383&gt;=in_marketplace_from,d_hz_sip*G383,0)</f>
        <v/>
      </c>
      <c r="BA383" s="40">
        <f>d_rho_sip*(BA382+AZ382)</f>
        <v/>
      </c>
      <c r="BB383" s="14">
        <f>F383*in_sip_ticket*(BA383+0.5*AZ383)*in_sip_comm/12</f>
        <v/>
      </c>
      <c r="BC383" s="40">
        <f>BC382*(1-IF(B382&gt;=in_marketplace_from,d_hz_choti*G382,0))</f>
        <v/>
      </c>
      <c r="BD383" s="46">
        <f>BC383*IF(B383&gt;=in_marketplace_from,d_hz_choti*G383,0)</f>
        <v/>
      </c>
      <c r="BE383" s="14">
        <f>F383*SUMIFS(BD347:BD400,B347:B400,B383-in_choti_months)*in_choti_renew*in_choti_ticket</f>
        <v/>
      </c>
      <c r="BF383" s="40">
        <f>BF382*(1-IF(B382&gt;=in_marketplace_from,d_hz_nps*G382,0))</f>
        <v/>
      </c>
      <c r="BG383" s="14">
        <f>F383*BF383*IF(B383&gt;=in_marketplace_from,d_hz_nps*G383,0)*in_nps_ticket*in_nps_comm</f>
        <v/>
      </c>
      <c r="BH383" s="40">
        <f>BH382*(1-IF(B382&gt;=in_marketplace_from,d_hz_gold*G382,0))</f>
        <v/>
      </c>
      <c r="BI383" s="40">
        <f>BI382*d_rho_gold+BH383*IF(B383&gt;=in_marketplace_from,d_hz_gold*G383,0)</f>
        <v/>
      </c>
      <c r="BJ383" s="14">
        <f>F383*BI383*in_gold_ticket*in_gold_comm</f>
        <v/>
      </c>
      <c r="BK383" s="40">
        <f>BK382*(1-IF(B382&gt;=in_marketplace_from,d_hz_fd*G382,0))</f>
        <v/>
      </c>
      <c r="BL383" s="14">
        <f>F383*BK383*IF(B383&gt;=in_marketplace_from,d_hz_fd*G383,0)*in_fd_ticket*in_fd_comm</f>
        <v/>
      </c>
      <c r="BM383" s="40">
        <f>BM382*(1-IF(B382&gt;=in_marketplace_from,d_hz_recharge*G382,0))</f>
        <v/>
      </c>
      <c r="BN383" s="40">
        <f>BN382*d_rho_recharge+BM383*IF(B383&gt;=in_marketplace_from,d_hz_recharge*G383,0)</f>
        <v/>
      </c>
      <c r="BO383" s="14">
        <f>F383*BN383*in_recharge_ticket*in_recharge_comm/12</f>
        <v/>
      </c>
      <c r="BP383" s="40">
        <f>BP382*(1-IF(B382&gt;=in_marketplace_from,d_hz_bills*G382,0))</f>
        <v/>
      </c>
      <c r="BQ383" s="40">
        <f>BQ382*d_rho_bills+BP383*IF(B383&gt;=in_marketplace_from,d_hz_bills*G383,0)</f>
        <v/>
      </c>
      <c r="BR383" s="14">
        <f>F383*BQ383*in_bills_ticket*in_bills_comm/12</f>
        <v/>
      </c>
      <c r="BS383" s="40">
        <f>BS382*(1-IF(B382&gt;=in_marketplace_from,d_hz_loan_gold*G382,0))</f>
        <v/>
      </c>
      <c r="BT383" s="14">
        <f>F383*BS383*IF(B383&gt;=in_marketplace_from,d_hz_loan_gold*G383,0)*in_loan_gold_ticket*in_loan_gold_comm</f>
        <v/>
      </c>
      <c r="BU383" s="40">
        <f>BU382*(1-IF(B382&gt;=in_marketplace_from,d_hz_loan_cd*G382,0))</f>
        <v/>
      </c>
      <c r="BV383" s="14">
        <f>F383*BU383*IF(B383&gt;=in_marketplace_from,d_hz_loan_cd*G383,0)*in_loan_cd_ticket*in_loan_cd_comm</f>
        <v/>
      </c>
      <c r="BW383" s="40">
        <f>BW382*(1-IF(B382&gt;=in_marketplace_from,d_hz_loan_vehicle*G382,0))</f>
        <v/>
      </c>
      <c r="BX383" s="14">
        <f>F383*BW383*IF(B383&gt;=in_marketplace_from,d_hz_loan_vehicle*G383,0)*in_loan_vehicle_ticket*in_loan_vehicle_comm</f>
        <v/>
      </c>
      <c r="BY383" s="40">
        <f>BY382*(1-IF(B382&gt;=in_marketplace_from,d_hz_loan_home*G382,0)*BZ382)</f>
        <v/>
      </c>
      <c r="BZ383" s="11">
        <f>MIN(in_approval_cap,in_loan_home_approval*INDEX('Age profile'!$O$2:$O$61,B383)*(1+in_approval_growth)^(D383-1))</f>
        <v/>
      </c>
      <c r="CA383" s="14">
        <f>F383*BY383*IF(B383&gt;=in_marketplace_from,d_hz_loan_home*G383,0)*BZ383*in_loan_home_ticket*in_loan_home_comm</f>
        <v/>
      </c>
      <c r="CB383" s="40">
        <f>CB382*(1-IF(B382&gt;=in_marketplace_from,d_hz_loan_lap*G382,0)*CC382)</f>
        <v/>
      </c>
      <c r="CC383" s="11">
        <f>MIN(in_approval_cap,in_loan_lap_approval*INDEX('Age profile'!$O$2:$O$61,B383)*(1+in_approval_growth)^(D383-1))</f>
        <v/>
      </c>
      <c r="CD383" s="14">
        <f>F383*CB383*IF(B383&gt;=in_marketplace_from,d_hz_loan_lap*G383,0)*CC383*in_loan_lap_ticket*in_loan_lap_comm</f>
        <v/>
      </c>
      <c r="CE383" s="14">
        <f>AA383+AB383+AC383+AD383+AG383+AJ383+AM383+AP383+AS383+AU383+AX383+BB383+BE383+BG383+BJ383+BL383+BO383+BR383+BT383+BV383+BX383+CA383+CD383</f>
        <v/>
      </c>
    </row>
    <row r="384">
      <c r="A384" s="39" t="n">
        <v>7</v>
      </c>
      <c r="B384" s="39" t="n">
        <v>38</v>
      </c>
      <c r="C384" s="39">
        <f>A384+B384-1</f>
        <v/>
      </c>
      <c r="D384" s="39">
        <f>INT((C384-1)/12)+1</f>
        <v/>
      </c>
      <c r="E384" s="44">
        <f>INDEX(Monthly!$B$2:$B$61,A384)</f>
        <v/>
      </c>
      <c r="F384" s="44">
        <f>E384*INDEX('Age profile'!$B$2:$B$61,B384)</f>
        <v/>
      </c>
      <c r="G384" s="45">
        <f>MIN(in_takeup_cap,INDEX('Age profile'!$N$2:$N$61,B384)*(1+in_takeup_growth)^(D384-1))</f>
        <v/>
      </c>
      <c r="H384" s="11">
        <f>MIN(in_approval_cap,in_approved_first*INDEX('Age profile'!$O$2:$O$61,B384)*(1+in_approval_growth)^(D384-1))</f>
        <v/>
      </c>
      <c r="I384" s="45">
        <f>G384*MIN(in_takeup_cap,INDEX('Age profile'!$O$2:$O$61,B384)*(1+in_approval_growth)^(D384-1))</f>
        <v/>
      </c>
      <c r="J384" s="40">
        <f>(J383-L383)*F384/F383</f>
        <v/>
      </c>
      <c r="K384" s="40">
        <f>(K383-M383)*F384/F383+SUMIFS(O347:O383,B347:B383,B384-1-d_T)*F384</f>
        <v/>
      </c>
      <c r="L384" s="40">
        <f>IF(B384&gt;=in_marketplace_from,J384*d_hz*G384*in_eligible*H384,0)</f>
        <v/>
      </c>
      <c r="M384" s="40">
        <f>IF(B384&gt;=in_marketplace_from,K384*d_hz*G384*in_eligible*in_approved_repeat,0)</f>
        <v/>
      </c>
      <c r="N384" s="40">
        <f>L384+M384</f>
        <v/>
      </c>
      <c r="O384" s="46">
        <f>N384/F384</f>
        <v/>
      </c>
      <c r="P384" s="40">
        <f>F384-J384-K384</f>
        <v/>
      </c>
      <c r="Q384" s="40">
        <f>IF(B384&gt;=in_marketplace_from,(J384+K384)*d_hz*G384,0)</f>
        <v/>
      </c>
      <c r="R384" s="40">
        <f>SUMIFS(N347:N400,B347:B400,"&gt;="&amp;(B384-d_T),B347:B400,"&lt;="&amp;(B384-1))</f>
        <v/>
      </c>
      <c r="S384" s="46">
        <f>(1-d_u)*S383+IF(d_T&gt;in_topup_lag,SUMIFS(O347:O400,B347:B400,B384-in_topup_lag)-d_udrop*SUMIFS(O347:O400,B347:B400,B384-d_T),0)</f>
        <v/>
      </c>
      <c r="T384" s="40">
        <f>F384*d_u*S384</f>
        <v/>
      </c>
      <c r="U384" s="9">
        <f>L384*in_ticket+M384*d_rep_ticket</f>
        <v/>
      </c>
      <c r="V384" s="9">
        <f>U384+T384*d_topup_amt</f>
        <v/>
      </c>
      <c r="W384" s="40">
        <f>N384+T384*d_topup_ratio</f>
        <v/>
      </c>
      <c r="X384" s="40">
        <f>SUMIFS(W347:W400,B347:B400,B384-in_dpd_lag)*d_cured</f>
        <v/>
      </c>
      <c r="Y384" s="40">
        <f>SUMIFS(W347:W400,B347:B400,B384-in_rec_lag)*d_recd</f>
        <v/>
      </c>
      <c r="Z384" s="40">
        <f>IF(AND(B384&gt;=in_marketplace_from,B384&lt;in_marketplace_from+in_card_months),in_card_share/in_card_months*F384*I384,IF(AND(B384&gt;=in_marketplace_from+in_card_months,B384&lt;in_marketplace_from+2*in_card_months),in_card_share*d_card_rem/in_card_months*F384*MIN(in_takeup_cap,(1+in_takeup_growth)^(D384-1))*MIN(in_takeup_cap,(1+in_approval_growth)^(D384-1)),0))</f>
        <v/>
      </c>
      <c r="AA384" s="14">
        <f>V384*in_fee*(1-in_taken_back)</f>
        <v/>
      </c>
      <c r="AB384" s="14">
        <f>SUMIFS(W347:W400,B347:B400,B384-in_dpd_lag)*d_dpd</f>
        <v/>
      </c>
      <c r="AC384" s="14">
        <f>SUMIFS(W347:W400,B347:B400,B384-in_rec_lag)*d_rec</f>
        <v/>
      </c>
      <c r="AD384" s="14">
        <f>Z384*in_card_fee</f>
        <v/>
      </c>
      <c r="AE384" s="40">
        <f>AE383*(1-IF(B383&gt;=in_marketplace_from,d_hz_hlth_small*G383,0))</f>
        <v/>
      </c>
      <c r="AF384" s="46">
        <f>AE384*IF(B384&gt;=in_marketplace_from,d_hz_hlth_small*G384,0)</f>
        <v/>
      </c>
      <c r="AG384" s="14">
        <f>F384*AF384*in_hlth_small_ticket*in_hlth_small_comm*in_ins_partner_share+F384*in_hlth_small_ticket*in_hlth_small_renew_comm*in_ins_partner_share*(in_hlth_small_renew^1*SUMIFS(AF347:AF400,B347:B400,B384-12)+in_hlth_small_renew^2*SUMIFS(AF347:AF400,B347:B400,B384-24)+in_hlth_small_renew^3*SUMIFS(AF347:AF400,B347:B400,B384-36)+in_hlth_small_renew^4*SUMIFS(AF347:AF400,B347:B400,B384-48))</f>
        <v/>
      </c>
      <c r="AH384" s="40">
        <f>AH383*(1-IF(B383&gt;=in_marketplace_from,d_hz_hlth_family*G383,0))</f>
        <v/>
      </c>
      <c r="AI384" s="46">
        <f>AH384*IF(B384&gt;=in_marketplace_from,d_hz_hlth_family*G384,0)</f>
        <v/>
      </c>
      <c r="AJ384" s="14">
        <f>F384*AI384*in_hlth_family_ticket*in_hlth_family_comm*in_ins_partner_share+F384*in_hlth_family_ticket*in_hlth_family_renew_comm*in_ins_partner_share*(in_hlth_family_renew^1*SUMIFS(AI347:AI400,B347:B400,B384-12)+in_hlth_family_renew^2*SUMIFS(AI347:AI400,B347:B400,B384-24)+in_hlth_family_renew^3*SUMIFS(AI347:AI400,B347:B400,B384-36)+in_hlth_family_renew^4*SUMIFS(AI347:AI400,B347:B400,B384-48))</f>
        <v/>
      </c>
      <c r="AK384" s="40">
        <f>AK383*(1-IF(B383&gt;=in_marketplace_from,d_hz_life_term*G383,0))</f>
        <v/>
      </c>
      <c r="AL384" s="46">
        <f>AK384*IF(B384&gt;=in_marketplace_from,d_hz_life_term*G384,0)</f>
        <v/>
      </c>
      <c r="AM384" s="14">
        <f>F384*AL384*in_life_term_ticket*in_life_term_comm*in_ins_partner_share+F384*in_life_term_ticket*in_life_term_renew_comm*in_ins_partner_share*(in_life_term_renew^1*SUMIFS(AL347:AL400,B347:B400,B384-12)+in_life_term_renew^2*SUMIFS(AL347:AL400,B347:B400,B384-24)+in_life_term_renew^3*SUMIFS(AL347:AL400,B347:B400,B384-36)+in_life_term_renew^4*SUMIFS(AL347:AL400,B347:B400,B384-48))</f>
        <v/>
      </c>
      <c r="AN384" s="40">
        <f>AN383*(1-IF(B383&gt;=in_marketplace_from,d_hz_accident*G383,0))</f>
        <v/>
      </c>
      <c r="AO384" s="46">
        <f>AN384*IF(B384&gt;=in_marketplace_from,d_hz_accident*G384,0)</f>
        <v/>
      </c>
      <c r="AP384" s="14">
        <f>F384*AO384*in_accident_ticket*in_accident_comm*in_ins_partner_share+F384*in_accident_ticket*in_accident_renew_comm*in_ins_partner_share*(in_accident_renew^1*SUMIFS(AO347:AO400,B347:B400,B384-12)+in_accident_renew^2*SUMIFS(AO347:AO400,B347:B400,B384-24)+in_accident_renew^3*SUMIFS(AO347:AO400,B347:B400,B384-36)+in_accident_renew^4*SUMIFS(AO347:AO400,B347:B400,B384-48))</f>
        <v/>
      </c>
      <c r="AQ384" s="40">
        <f>AQ383*(1-IF(B383&gt;=in_marketplace_from,d_hz_two_wheeler*G383,0))</f>
        <v/>
      </c>
      <c r="AR384" s="46">
        <f>AQ384*IF(B384&gt;=in_marketplace_from,d_hz_two_wheeler*G384,0)</f>
        <v/>
      </c>
      <c r="AS384" s="14">
        <f>F384*AR384*in_two_wheeler_ticket*in_two_wheeler_comm*in_ins_partner_share+F384*in_two_wheeler_ticket*in_two_wheeler_comm*in_ins_partner_share*(in_two_wheeler_renew^1*SUMIFS(AR347:AR400,B347:B400,B384-12)+in_two_wheeler_renew^2*SUMIFS(AR347:AR400,B347:B400,B384-24)+in_two_wheeler_renew^3*SUMIFS(AR347:AR400,B347:B400,B384-36)+in_two_wheeler_renew^4*SUMIFS(AR347:AR400,B347:B400,B384-48))</f>
        <v/>
      </c>
      <c r="AT384" s="40">
        <f>AT383*(1-IF(B383&gt;=in_marketplace_from,d_hz_device*G383,0))</f>
        <v/>
      </c>
      <c r="AU384" s="14">
        <f>F384*AT384*IF(B384&gt;=in_marketplace_from,d_hz_device*G384,0)*in_device_ticket*in_device_comm*in_ins_partner_share</f>
        <v/>
      </c>
      <c r="AV384" s="40">
        <f>AV383*(1-IF(B383&gt;=in_marketplace_from,d_hz_shop*G383,0))</f>
        <v/>
      </c>
      <c r="AW384" s="46">
        <f>AV384*IF(B384&gt;=in_marketplace_from,d_hz_shop*G384,0)</f>
        <v/>
      </c>
      <c r="AX384" s="14">
        <f>F384*AW384*in_shop_ticket*in_shop_comm*in_ins_partner_share+F384*in_shop_ticket*in_shop_renew_comm*in_ins_partner_share*(in_shop_renew^1*SUMIFS(AW347:AW400,B347:B400,B384-12)+in_shop_renew^2*SUMIFS(AW347:AW400,B347:B400,B384-24)+in_shop_renew^3*SUMIFS(AW347:AW400,B347:B400,B384-36)+in_shop_renew^4*SUMIFS(AW347:AW400,B347:B400,B384-48))</f>
        <v/>
      </c>
      <c r="AY384" s="40">
        <f>AY383*(1-IF(B383&gt;=in_marketplace_from,d_hz_sip*G383,0))</f>
        <v/>
      </c>
      <c r="AZ384" s="40">
        <f>AZ383*d_rho_sip+AY384*IF(B384&gt;=in_marketplace_from,d_hz_sip*G384,0)</f>
        <v/>
      </c>
      <c r="BA384" s="40">
        <f>d_rho_sip*(BA383+AZ383)</f>
        <v/>
      </c>
      <c r="BB384" s="14">
        <f>F384*in_sip_ticket*(BA384+0.5*AZ384)*in_sip_comm/12</f>
        <v/>
      </c>
      <c r="BC384" s="40">
        <f>BC383*(1-IF(B383&gt;=in_marketplace_from,d_hz_choti*G383,0))</f>
        <v/>
      </c>
      <c r="BD384" s="46">
        <f>BC384*IF(B384&gt;=in_marketplace_from,d_hz_choti*G384,0)</f>
        <v/>
      </c>
      <c r="BE384" s="14">
        <f>F384*SUMIFS(BD347:BD400,B347:B400,B384-in_choti_months)*in_choti_renew*in_choti_ticket</f>
        <v/>
      </c>
      <c r="BF384" s="40">
        <f>BF383*(1-IF(B383&gt;=in_marketplace_from,d_hz_nps*G383,0))</f>
        <v/>
      </c>
      <c r="BG384" s="14">
        <f>F384*BF384*IF(B384&gt;=in_marketplace_from,d_hz_nps*G384,0)*in_nps_ticket*in_nps_comm</f>
        <v/>
      </c>
      <c r="BH384" s="40">
        <f>BH383*(1-IF(B383&gt;=in_marketplace_from,d_hz_gold*G383,0))</f>
        <v/>
      </c>
      <c r="BI384" s="40">
        <f>BI383*d_rho_gold+BH384*IF(B384&gt;=in_marketplace_from,d_hz_gold*G384,0)</f>
        <v/>
      </c>
      <c r="BJ384" s="14">
        <f>F384*BI384*in_gold_ticket*in_gold_comm</f>
        <v/>
      </c>
      <c r="BK384" s="40">
        <f>BK383*(1-IF(B383&gt;=in_marketplace_from,d_hz_fd*G383,0))</f>
        <v/>
      </c>
      <c r="BL384" s="14">
        <f>F384*BK384*IF(B384&gt;=in_marketplace_from,d_hz_fd*G384,0)*in_fd_ticket*in_fd_comm</f>
        <v/>
      </c>
      <c r="BM384" s="40">
        <f>BM383*(1-IF(B383&gt;=in_marketplace_from,d_hz_recharge*G383,0))</f>
        <v/>
      </c>
      <c r="BN384" s="40">
        <f>BN383*d_rho_recharge+BM384*IF(B384&gt;=in_marketplace_from,d_hz_recharge*G384,0)</f>
        <v/>
      </c>
      <c r="BO384" s="14">
        <f>F384*BN384*in_recharge_ticket*in_recharge_comm/12</f>
        <v/>
      </c>
      <c r="BP384" s="40">
        <f>BP383*(1-IF(B383&gt;=in_marketplace_from,d_hz_bills*G383,0))</f>
        <v/>
      </c>
      <c r="BQ384" s="40">
        <f>BQ383*d_rho_bills+BP384*IF(B384&gt;=in_marketplace_from,d_hz_bills*G384,0)</f>
        <v/>
      </c>
      <c r="BR384" s="14">
        <f>F384*BQ384*in_bills_ticket*in_bills_comm/12</f>
        <v/>
      </c>
      <c r="BS384" s="40">
        <f>BS383*(1-IF(B383&gt;=in_marketplace_from,d_hz_loan_gold*G383,0))</f>
        <v/>
      </c>
      <c r="BT384" s="14">
        <f>F384*BS384*IF(B384&gt;=in_marketplace_from,d_hz_loan_gold*G384,0)*in_loan_gold_ticket*in_loan_gold_comm</f>
        <v/>
      </c>
      <c r="BU384" s="40">
        <f>BU383*(1-IF(B383&gt;=in_marketplace_from,d_hz_loan_cd*G383,0))</f>
        <v/>
      </c>
      <c r="BV384" s="14">
        <f>F384*BU384*IF(B384&gt;=in_marketplace_from,d_hz_loan_cd*G384,0)*in_loan_cd_ticket*in_loan_cd_comm</f>
        <v/>
      </c>
      <c r="BW384" s="40">
        <f>BW383*(1-IF(B383&gt;=in_marketplace_from,d_hz_loan_vehicle*G383,0))</f>
        <v/>
      </c>
      <c r="BX384" s="14">
        <f>F384*BW384*IF(B384&gt;=in_marketplace_from,d_hz_loan_vehicle*G384,0)*in_loan_vehicle_ticket*in_loan_vehicle_comm</f>
        <v/>
      </c>
      <c r="BY384" s="40">
        <f>BY383*(1-IF(B383&gt;=in_marketplace_from,d_hz_loan_home*G383,0)*BZ383)</f>
        <v/>
      </c>
      <c r="BZ384" s="11">
        <f>MIN(in_approval_cap,in_loan_home_approval*INDEX('Age profile'!$O$2:$O$61,B384)*(1+in_approval_growth)^(D384-1))</f>
        <v/>
      </c>
      <c r="CA384" s="14">
        <f>F384*BY384*IF(B384&gt;=in_marketplace_from,d_hz_loan_home*G384,0)*BZ384*in_loan_home_ticket*in_loan_home_comm</f>
        <v/>
      </c>
      <c r="CB384" s="40">
        <f>CB383*(1-IF(B383&gt;=in_marketplace_from,d_hz_loan_lap*G383,0)*CC383)</f>
        <v/>
      </c>
      <c r="CC384" s="11">
        <f>MIN(in_approval_cap,in_loan_lap_approval*INDEX('Age profile'!$O$2:$O$61,B384)*(1+in_approval_growth)^(D384-1))</f>
        <v/>
      </c>
      <c r="CD384" s="14">
        <f>F384*CB384*IF(B384&gt;=in_marketplace_from,d_hz_loan_lap*G384,0)*CC384*in_loan_lap_ticket*in_loan_lap_comm</f>
        <v/>
      </c>
      <c r="CE384" s="14">
        <f>AA384+AB384+AC384+AD384+AG384+AJ384+AM384+AP384+AS384+AU384+AX384+BB384+BE384+BG384+BJ384+BL384+BO384+BR384+BT384+BV384+BX384+CA384+CD384</f>
        <v/>
      </c>
    </row>
    <row r="385">
      <c r="A385" s="39" t="n">
        <v>7</v>
      </c>
      <c r="B385" s="39" t="n">
        <v>39</v>
      </c>
      <c r="C385" s="39">
        <f>A385+B385-1</f>
        <v/>
      </c>
      <c r="D385" s="39">
        <f>INT((C385-1)/12)+1</f>
        <v/>
      </c>
      <c r="E385" s="44">
        <f>INDEX(Monthly!$B$2:$B$61,A385)</f>
        <v/>
      </c>
      <c r="F385" s="44">
        <f>E385*INDEX('Age profile'!$B$2:$B$61,B385)</f>
        <v/>
      </c>
      <c r="G385" s="45">
        <f>MIN(in_takeup_cap,INDEX('Age profile'!$N$2:$N$61,B385)*(1+in_takeup_growth)^(D385-1))</f>
        <v/>
      </c>
      <c r="H385" s="11">
        <f>MIN(in_approval_cap,in_approved_first*INDEX('Age profile'!$O$2:$O$61,B385)*(1+in_approval_growth)^(D385-1))</f>
        <v/>
      </c>
      <c r="I385" s="45">
        <f>G385*MIN(in_takeup_cap,INDEX('Age profile'!$O$2:$O$61,B385)*(1+in_approval_growth)^(D385-1))</f>
        <v/>
      </c>
      <c r="J385" s="40">
        <f>(J384-L384)*F385/F384</f>
        <v/>
      </c>
      <c r="K385" s="40">
        <f>(K384-M384)*F385/F384+SUMIFS(O347:O384,B347:B384,B385-1-d_T)*F385</f>
        <v/>
      </c>
      <c r="L385" s="40">
        <f>IF(B385&gt;=in_marketplace_from,J385*d_hz*G385*in_eligible*H385,0)</f>
        <v/>
      </c>
      <c r="M385" s="40">
        <f>IF(B385&gt;=in_marketplace_from,K385*d_hz*G385*in_eligible*in_approved_repeat,0)</f>
        <v/>
      </c>
      <c r="N385" s="40">
        <f>L385+M385</f>
        <v/>
      </c>
      <c r="O385" s="46">
        <f>N385/F385</f>
        <v/>
      </c>
      <c r="P385" s="40">
        <f>F385-J385-K385</f>
        <v/>
      </c>
      <c r="Q385" s="40">
        <f>IF(B385&gt;=in_marketplace_from,(J385+K385)*d_hz*G385,0)</f>
        <v/>
      </c>
      <c r="R385" s="40">
        <f>SUMIFS(N347:N400,B347:B400,"&gt;="&amp;(B385-d_T),B347:B400,"&lt;="&amp;(B385-1))</f>
        <v/>
      </c>
      <c r="S385" s="46">
        <f>(1-d_u)*S384+IF(d_T&gt;in_topup_lag,SUMIFS(O347:O400,B347:B400,B385-in_topup_lag)-d_udrop*SUMIFS(O347:O400,B347:B400,B385-d_T),0)</f>
        <v/>
      </c>
      <c r="T385" s="40">
        <f>F385*d_u*S385</f>
        <v/>
      </c>
      <c r="U385" s="9">
        <f>L385*in_ticket+M385*d_rep_ticket</f>
        <v/>
      </c>
      <c r="V385" s="9">
        <f>U385+T385*d_topup_amt</f>
        <v/>
      </c>
      <c r="W385" s="40">
        <f>N385+T385*d_topup_ratio</f>
        <v/>
      </c>
      <c r="X385" s="40">
        <f>SUMIFS(W347:W400,B347:B400,B385-in_dpd_lag)*d_cured</f>
        <v/>
      </c>
      <c r="Y385" s="40">
        <f>SUMIFS(W347:W400,B347:B400,B385-in_rec_lag)*d_recd</f>
        <v/>
      </c>
      <c r="Z385" s="40">
        <f>IF(AND(B385&gt;=in_marketplace_from,B385&lt;in_marketplace_from+in_card_months),in_card_share/in_card_months*F385*I385,IF(AND(B385&gt;=in_marketplace_from+in_card_months,B385&lt;in_marketplace_from+2*in_card_months),in_card_share*d_card_rem/in_card_months*F385*MIN(in_takeup_cap,(1+in_takeup_growth)^(D385-1))*MIN(in_takeup_cap,(1+in_approval_growth)^(D385-1)),0))</f>
        <v/>
      </c>
      <c r="AA385" s="14">
        <f>V385*in_fee*(1-in_taken_back)</f>
        <v/>
      </c>
      <c r="AB385" s="14">
        <f>SUMIFS(W347:W400,B347:B400,B385-in_dpd_lag)*d_dpd</f>
        <v/>
      </c>
      <c r="AC385" s="14">
        <f>SUMIFS(W347:W400,B347:B400,B385-in_rec_lag)*d_rec</f>
        <v/>
      </c>
      <c r="AD385" s="14">
        <f>Z385*in_card_fee</f>
        <v/>
      </c>
      <c r="AE385" s="40">
        <f>AE384*(1-IF(B384&gt;=in_marketplace_from,d_hz_hlth_small*G384,0))</f>
        <v/>
      </c>
      <c r="AF385" s="46">
        <f>AE385*IF(B385&gt;=in_marketplace_from,d_hz_hlth_small*G385,0)</f>
        <v/>
      </c>
      <c r="AG385" s="14">
        <f>F385*AF385*in_hlth_small_ticket*in_hlth_small_comm*in_ins_partner_share+F385*in_hlth_small_ticket*in_hlth_small_renew_comm*in_ins_partner_share*(in_hlth_small_renew^1*SUMIFS(AF347:AF400,B347:B400,B385-12)+in_hlth_small_renew^2*SUMIFS(AF347:AF400,B347:B400,B385-24)+in_hlth_small_renew^3*SUMIFS(AF347:AF400,B347:B400,B385-36)+in_hlth_small_renew^4*SUMIFS(AF347:AF400,B347:B400,B385-48))</f>
        <v/>
      </c>
      <c r="AH385" s="40">
        <f>AH384*(1-IF(B384&gt;=in_marketplace_from,d_hz_hlth_family*G384,0))</f>
        <v/>
      </c>
      <c r="AI385" s="46">
        <f>AH385*IF(B385&gt;=in_marketplace_from,d_hz_hlth_family*G385,0)</f>
        <v/>
      </c>
      <c r="AJ385" s="14">
        <f>F385*AI385*in_hlth_family_ticket*in_hlth_family_comm*in_ins_partner_share+F385*in_hlth_family_ticket*in_hlth_family_renew_comm*in_ins_partner_share*(in_hlth_family_renew^1*SUMIFS(AI347:AI400,B347:B400,B385-12)+in_hlth_family_renew^2*SUMIFS(AI347:AI400,B347:B400,B385-24)+in_hlth_family_renew^3*SUMIFS(AI347:AI400,B347:B400,B385-36)+in_hlth_family_renew^4*SUMIFS(AI347:AI400,B347:B400,B385-48))</f>
        <v/>
      </c>
      <c r="AK385" s="40">
        <f>AK384*(1-IF(B384&gt;=in_marketplace_from,d_hz_life_term*G384,0))</f>
        <v/>
      </c>
      <c r="AL385" s="46">
        <f>AK385*IF(B385&gt;=in_marketplace_from,d_hz_life_term*G385,0)</f>
        <v/>
      </c>
      <c r="AM385" s="14">
        <f>F385*AL385*in_life_term_ticket*in_life_term_comm*in_ins_partner_share+F385*in_life_term_ticket*in_life_term_renew_comm*in_ins_partner_share*(in_life_term_renew^1*SUMIFS(AL347:AL400,B347:B400,B385-12)+in_life_term_renew^2*SUMIFS(AL347:AL400,B347:B400,B385-24)+in_life_term_renew^3*SUMIFS(AL347:AL400,B347:B400,B385-36)+in_life_term_renew^4*SUMIFS(AL347:AL400,B347:B400,B385-48))</f>
        <v/>
      </c>
      <c r="AN385" s="40">
        <f>AN384*(1-IF(B384&gt;=in_marketplace_from,d_hz_accident*G384,0))</f>
        <v/>
      </c>
      <c r="AO385" s="46">
        <f>AN385*IF(B385&gt;=in_marketplace_from,d_hz_accident*G385,0)</f>
        <v/>
      </c>
      <c r="AP385" s="14">
        <f>F385*AO385*in_accident_ticket*in_accident_comm*in_ins_partner_share+F385*in_accident_ticket*in_accident_renew_comm*in_ins_partner_share*(in_accident_renew^1*SUMIFS(AO347:AO400,B347:B400,B385-12)+in_accident_renew^2*SUMIFS(AO347:AO400,B347:B400,B385-24)+in_accident_renew^3*SUMIFS(AO347:AO400,B347:B400,B385-36)+in_accident_renew^4*SUMIFS(AO347:AO400,B347:B400,B385-48))</f>
        <v/>
      </c>
      <c r="AQ385" s="40">
        <f>AQ384*(1-IF(B384&gt;=in_marketplace_from,d_hz_two_wheeler*G384,0))</f>
        <v/>
      </c>
      <c r="AR385" s="46">
        <f>AQ385*IF(B385&gt;=in_marketplace_from,d_hz_two_wheeler*G385,0)</f>
        <v/>
      </c>
      <c r="AS385" s="14">
        <f>F385*AR385*in_two_wheeler_ticket*in_two_wheeler_comm*in_ins_partner_share+F385*in_two_wheeler_ticket*in_two_wheeler_comm*in_ins_partner_share*(in_two_wheeler_renew^1*SUMIFS(AR347:AR400,B347:B400,B385-12)+in_two_wheeler_renew^2*SUMIFS(AR347:AR400,B347:B400,B385-24)+in_two_wheeler_renew^3*SUMIFS(AR347:AR400,B347:B400,B385-36)+in_two_wheeler_renew^4*SUMIFS(AR347:AR400,B347:B400,B385-48))</f>
        <v/>
      </c>
      <c r="AT385" s="40">
        <f>AT384*(1-IF(B384&gt;=in_marketplace_from,d_hz_device*G384,0))</f>
        <v/>
      </c>
      <c r="AU385" s="14">
        <f>F385*AT385*IF(B385&gt;=in_marketplace_from,d_hz_device*G385,0)*in_device_ticket*in_device_comm*in_ins_partner_share</f>
        <v/>
      </c>
      <c r="AV385" s="40">
        <f>AV384*(1-IF(B384&gt;=in_marketplace_from,d_hz_shop*G384,0))</f>
        <v/>
      </c>
      <c r="AW385" s="46">
        <f>AV385*IF(B385&gt;=in_marketplace_from,d_hz_shop*G385,0)</f>
        <v/>
      </c>
      <c r="AX385" s="14">
        <f>F385*AW385*in_shop_ticket*in_shop_comm*in_ins_partner_share+F385*in_shop_ticket*in_shop_renew_comm*in_ins_partner_share*(in_shop_renew^1*SUMIFS(AW347:AW400,B347:B400,B385-12)+in_shop_renew^2*SUMIFS(AW347:AW400,B347:B400,B385-24)+in_shop_renew^3*SUMIFS(AW347:AW400,B347:B400,B385-36)+in_shop_renew^4*SUMIFS(AW347:AW400,B347:B400,B385-48))</f>
        <v/>
      </c>
      <c r="AY385" s="40">
        <f>AY384*(1-IF(B384&gt;=in_marketplace_from,d_hz_sip*G384,0))</f>
        <v/>
      </c>
      <c r="AZ385" s="40">
        <f>AZ384*d_rho_sip+AY385*IF(B385&gt;=in_marketplace_from,d_hz_sip*G385,0)</f>
        <v/>
      </c>
      <c r="BA385" s="40">
        <f>d_rho_sip*(BA384+AZ384)</f>
        <v/>
      </c>
      <c r="BB385" s="14">
        <f>F385*in_sip_ticket*(BA385+0.5*AZ385)*in_sip_comm/12</f>
        <v/>
      </c>
      <c r="BC385" s="40">
        <f>BC384*(1-IF(B384&gt;=in_marketplace_from,d_hz_choti*G384,0))</f>
        <v/>
      </c>
      <c r="BD385" s="46">
        <f>BC385*IF(B385&gt;=in_marketplace_from,d_hz_choti*G385,0)</f>
        <v/>
      </c>
      <c r="BE385" s="14">
        <f>F385*SUMIFS(BD347:BD400,B347:B400,B385-in_choti_months)*in_choti_renew*in_choti_ticket</f>
        <v/>
      </c>
      <c r="BF385" s="40">
        <f>BF384*(1-IF(B384&gt;=in_marketplace_from,d_hz_nps*G384,0))</f>
        <v/>
      </c>
      <c r="BG385" s="14">
        <f>F385*BF385*IF(B385&gt;=in_marketplace_from,d_hz_nps*G385,0)*in_nps_ticket*in_nps_comm</f>
        <v/>
      </c>
      <c r="BH385" s="40">
        <f>BH384*(1-IF(B384&gt;=in_marketplace_from,d_hz_gold*G384,0))</f>
        <v/>
      </c>
      <c r="BI385" s="40">
        <f>BI384*d_rho_gold+BH385*IF(B385&gt;=in_marketplace_from,d_hz_gold*G385,0)</f>
        <v/>
      </c>
      <c r="BJ385" s="14">
        <f>F385*BI385*in_gold_ticket*in_gold_comm</f>
        <v/>
      </c>
      <c r="BK385" s="40">
        <f>BK384*(1-IF(B384&gt;=in_marketplace_from,d_hz_fd*G384,0))</f>
        <v/>
      </c>
      <c r="BL385" s="14">
        <f>F385*BK385*IF(B385&gt;=in_marketplace_from,d_hz_fd*G385,0)*in_fd_ticket*in_fd_comm</f>
        <v/>
      </c>
      <c r="BM385" s="40">
        <f>BM384*(1-IF(B384&gt;=in_marketplace_from,d_hz_recharge*G384,0))</f>
        <v/>
      </c>
      <c r="BN385" s="40">
        <f>BN384*d_rho_recharge+BM385*IF(B385&gt;=in_marketplace_from,d_hz_recharge*G385,0)</f>
        <v/>
      </c>
      <c r="BO385" s="14">
        <f>F385*BN385*in_recharge_ticket*in_recharge_comm/12</f>
        <v/>
      </c>
      <c r="BP385" s="40">
        <f>BP384*(1-IF(B384&gt;=in_marketplace_from,d_hz_bills*G384,0))</f>
        <v/>
      </c>
      <c r="BQ385" s="40">
        <f>BQ384*d_rho_bills+BP385*IF(B385&gt;=in_marketplace_from,d_hz_bills*G385,0)</f>
        <v/>
      </c>
      <c r="BR385" s="14">
        <f>F385*BQ385*in_bills_ticket*in_bills_comm/12</f>
        <v/>
      </c>
      <c r="BS385" s="40">
        <f>BS384*(1-IF(B384&gt;=in_marketplace_from,d_hz_loan_gold*G384,0))</f>
        <v/>
      </c>
      <c r="BT385" s="14">
        <f>F385*BS385*IF(B385&gt;=in_marketplace_from,d_hz_loan_gold*G385,0)*in_loan_gold_ticket*in_loan_gold_comm</f>
        <v/>
      </c>
      <c r="BU385" s="40">
        <f>BU384*(1-IF(B384&gt;=in_marketplace_from,d_hz_loan_cd*G384,0))</f>
        <v/>
      </c>
      <c r="BV385" s="14">
        <f>F385*BU385*IF(B385&gt;=in_marketplace_from,d_hz_loan_cd*G385,0)*in_loan_cd_ticket*in_loan_cd_comm</f>
        <v/>
      </c>
      <c r="BW385" s="40">
        <f>BW384*(1-IF(B384&gt;=in_marketplace_from,d_hz_loan_vehicle*G384,0))</f>
        <v/>
      </c>
      <c r="BX385" s="14">
        <f>F385*BW385*IF(B385&gt;=in_marketplace_from,d_hz_loan_vehicle*G385,0)*in_loan_vehicle_ticket*in_loan_vehicle_comm</f>
        <v/>
      </c>
      <c r="BY385" s="40">
        <f>BY384*(1-IF(B384&gt;=in_marketplace_from,d_hz_loan_home*G384,0)*BZ384)</f>
        <v/>
      </c>
      <c r="BZ385" s="11">
        <f>MIN(in_approval_cap,in_loan_home_approval*INDEX('Age profile'!$O$2:$O$61,B385)*(1+in_approval_growth)^(D385-1))</f>
        <v/>
      </c>
      <c r="CA385" s="14">
        <f>F385*BY385*IF(B385&gt;=in_marketplace_from,d_hz_loan_home*G385,0)*BZ385*in_loan_home_ticket*in_loan_home_comm</f>
        <v/>
      </c>
      <c r="CB385" s="40">
        <f>CB384*(1-IF(B384&gt;=in_marketplace_from,d_hz_loan_lap*G384,0)*CC384)</f>
        <v/>
      </c>
      <c r="CC385" s="11">
        <f>MIN(in_approval_cap,in_loan_lap_approval*INDEX('Age profile'!$O$2:$O$61,B385)*(1+in_approval_growth)^(D385-1))</f>
        <v/>
      </c>
      <c r="CD385" s="14">
        <f>F385*CB385*IF(B385&gt;=in_marketplace_from,d_hz_loan_lap*G385,0)*CC385*in_loan_lap_ticket*in_loan_lap_comm</f>
        <v/>
      </c>
      <c r="CE385" s="14">
        <f>AA385+AB385+AC385+AD385+AG385+AJ385+AM385+AP385+AS385+AU385+AX385+BB385+BE385+BG385+BJ385+BL385+BO385+BR385+BT385+BV385+BX385+CA385+CD385</f>
        <v/>
      </c>
    </row>
    <row r="386">
      <c r="A386" s="39" t="n">
        <v>7</v>
      </c>
      <c r="B386" s="39" t="n">
        <v>40</v>
      </c>
      <c r="C386" s="39">
        <f>A386+B386-1</f>
        <v/>
      </c>
      <c r="D386" s="39">
        <f>INT((C386-1)/12)+1</f>
        <v/>
      </c>
      <c r="E386" s="44">
        <f>INDEX(Monthly!$B$2:$B$61,A386)</f>
        <v/>
      </c>
      <c r="F386" s="44">
        <f>E386*INDEX('Age profile'!$B$2:$B$61,B386)</f>
        <v/>
      </c>
      <c r="G386" s="45">
        <f>MIN(in_takeup_cap,INDEX('Age profile'!$N$2:$N$61,B386)*(1+in_takeup_growth)^(D386-1))</f>
        <v/>
      </c>
      <c r="H386" s="11">
        <f>MIN(in_approval_cap,in_approved_first*INDEX('Age profile'!$O$2:$O$61,B386)*(1+in_approval_growth)^(D386-1))</f>
        <v/>
      </c>
      <c r="I386" s="45">
        <f>G386*MIN(in_takeup_cap,INDEX('Age profile'!$O$2:$O$61,B386)*(1+in_approval_growth)^(D386-1))</f>
        <v/>
      </c>
      <c r="J386" s="40">
        <f>(J385-L385)*F386/F385</f>
        <v/>
      </c>
      <c r="K386" s="40">
        <f>(K385-M385)*F386/F385+SUMIFS(O347:O385,B347:B385,B386-1-d_T)*F386</f>
        <v/>
      </c>
      <c r="L386" s="40">
        <f>IF(B386&gt;=in_marketplace_from,J386*d_hz*G386*in_eligible*H386,0)</f>
        <v/>
      </c>
      <c r="M386" s="40">
        <f>IF(B386&gt;=in_marketplace_from,K386*d_hz*G386*in_eligible*in_approved_repeat,0)</f>
        <v/>
      </c>
      <c r="N386" s="40">
        <f>L386+M386</f>
        <v/>
      </c>
      <c r="O386" s="46">
        <f>N386/F386</f>
        <v/>
      </c>
      <c r="P386" s="40">
        <f>F386-J386-K386</f>
        <v/>
      </c>
      <c r="Q386" s="40">
        <f>IF(B386&gt;=in_marketplace_from,(J386+K386)*d_hz*G386,0)</f>
        <v/>
      </c>
      <c r="R386" s="40">
        <f>SUMIFS(N347:N400,B347:B400,"&gt;="&amp;(B386-d_T),B347:B400,"&lt;="&amp;(B386-1))</f>
        <v/>
      </c>
      <c r="S386" s="46">
        <f>(1-d_u)*S385+IF(d_T&gt;in_topup_lag,SUMIFS(O347:O400,B347:B400,B386-in_topup_lag)-d_udrop*SUMIFS(O347:O400,B347:B400,B386-d_T),0)</f>
        <v/>
      </c>
      <c r="T386" s="40">
        <f>F386*d_u*S386</f>
        <v/>
      </c>
      <c r="U386" s="9">
        <f>L386*in_ticket+M386*d_rep_ticket</f>
        <v/>
      </c>
      <c r="V386" s="9">
        <f>U386+T386*d_topup_amt</f>
        <v/>
      </c>
      <c r="W386" s="40">
        <f>N386+T386*d_topup_ratio</f>
        <v/>
      </c>
      <c r="X386" s="40">
        <f>SUMIFS(W347:W400,B347:B400,B386-in_dpd_lag)*d_cured</f>
        <v/>
      </c>
      <c r="Y386" s="40">
        <f>SUMIFS(W347:W400,B347:B400,B386-in_rec_lag)*d_recd</f>
        <v/>
      </c>
      <c r="Z386" s="40">
        <f>IF(AND(B386&gt;=in_marketplace_from,B386&lt;in_marketplace_from+in_card_months),in_card_share/in_card_months*F386*I386,IF(AND(B386&gt;=in_marketplace_from+in_card_months,B386&lt;in_marketplace_from+2*in_card_months),in_card_share*d_card_rem/in_card_months*F386*MIN(in_takeup_cap,(1+in_takeup_growth)^(D386-1))*MIN(in_takeup_cap,(1+in_approval_growth)^(D386-1)),0))</f>
        <v/>
      </c>
      <c r="AA386" s="14">
        <f>V386*in_fee*(1-in_taken_back)</f>
        <v/>
      </c>
      <c r="AB386" s="14">
        <f>SUMIFS(W347:W400,B347:B400,B386-in_dpd_lag)*d_dpd</f>
        <v/>
      </c>
      <c r="AC386" s="14">
        <f>SUMIFS(W347:W400,B347:B400,B386-in_rec_lag)*d_rec</f>
        <v/>
      </c>
      <c r="AD386" s="14">
        <f>Z386*in_card_fee</f>
        <v/>
      </c>
      <c r="AE386" s="40">
        <f>AE385*(1-IF(B385&gt;=in_marketplace_from,d_hz_hlth_small*G385,0))</f>
        <v/>
      </c>
      <c r="AF386" s="46">
        <f>AE386*IF(B386&gt;=in_marketplace_from,d_hz_hlth_small*G386,0)</f>
        <v/>
      </c>
      <c r="AG386" s="14">
        <f>F386*AF386*in_hlth_small_ticket*in_hlth_small_comm*in_ins_partner_share+F386*in_hlth_small_ticket*in_hlth_small_renew_comm*in_ins_partner_share*(in_hlth_small_renew^1*SUMIFS(AF347:AF400,B347:B400,B386-12)+in_hlth_small_renew^2*SUMIFS(AF347:AF400,B347:B400,B386-24)+in_hlth_small_renew^3*SUMIFS(AF347:AF400,B347:B400,B386-36)+in_hlth_small_renew^4*SUMIFS(AF347:AF400,B347:B400,B386-48))</f>
        <v/>
      </c>
      <c r="AH386" s="40">
        <f>AH385*(1-IF(B385&gt;=in_marketplace_from,d_hz_hlth_family*G385,0))</f>
        <v/>
      </c>
      <c r="AI386" s="46">
        <f>AH386*IF(B386&gt;=in_marketplace_from,d_hz_hlth_family*G386,0)</f>
        <v/>
      </c>
      <c r="AJ386" s="14">
        <f>F386*AI386*in_hlth_family_ticket*in_hlth_family_comm*in_ins_partner_share+F386*in_hlth_family_ticket*in_hlth_family_renew_comm*in_ins_partner_share*(in_hlth_family_renew^1*SUMIFS(AI347:AI400,B347:B400,B386-12)+in_hlth_family_renew^2*SUMIFS(AI347:AI400,B347:B400,B386-24)+in_hlth_family_renew^3*SUMIFS(AI347:AI400,B347:B400,B386-36)+in_hlth_family_renew^4*SUMIFS(AI347:AI400,B347:B400,B386-48))</f>
        <v/>
      </c>
      <c r="AK386" s="40">
        <f>AK385*(1-IF(B385&gt;=in_marketplace_from,d_hz_life_term*G385,0))</f>
        <v/>
      </c>
      <c r="AL386" s="46">
        <f>AK386*IF(B386&gt;=in_marketplace_from,d_hz_life_term*G386,0)</f>
        <v/>
      </c>
      <c r="AM386" s="14">
        <f>F386*AL386*in_life_term_ticket*in_life_term_comm*in_ins_partner_share+F386*in_life_term_ticket*in_life_term_renew_comm*in_ins_partner_share*(in_life_term_renew^1*SUMIFS(AL347:AL400,B347:B400,B386-12)+in_life_term_renew^2*SUMIFS(AL347:AL400,B347:B400,B386-24)+in_life_term_renew^3*SUMIFS(AL347:AL400,B347:B400,B386-36)+in_life_term_renew^4*SUMIFS(AL347:AL400,B347:B400,B386-48))</f>
        <v/>
      </c>
      <c r="AN386" s="40">
        <f>AN385*(1-IF(B385&gt;=in_marketplace_from,d_hz_accident*G385,0))</f>
        <v/>
      </c>
      <c r="AO386" s="46">
        <f>AN386*IF(B386&gt;=in_marketplace_from,d_hz_accident*G386,0)</f>
        <v/>
      </c>
      <c r="AP386" s="14">
        <f>F386*AO386*in_accident_ticket*in_accident_comm*in_ins_partner_share+F386*in_accident_ticket*in_accident_renew_comm*in_ins_partner_share*(in_accident_renew^1*SUMIFS(AO347:AO400,B347:B400,B386-12)+in_accident_renew^2*SUMIFS(AO347:AO400,B347:B400,B386-24)+in_accident_renew^3*SUMIFS(AO347:AO400,B347:B400,B386-36)+in_accident_renew^4*SUMIFS(AO347:AO400,B347:B400,B386-48))</f>
        <v/>
      </c>
      <c r="AQ386" s="40">
        <f>AQ385*(1-IF(B385&gt;=in_marketplace_from,d_hz_two_wheeler*G385,0))</f>
        <v/>
      </c>
      <c r="AR386" s="46">
        <f>AQ386*IF(B386&gt;=in_marketplace_from,d_hz_two_wheeler*G386,0)</f>
        <v/>
      </c>
      <c r="AS386" s="14">
        <f>F386*AR386*in_two_wheeler_ticket*in_two_wheeler_comm*in_ins_partner_share+F386*in_two_wheeler_ticket*in_two_wheeler_comm*in_ins_partner_share*(in_two_wheeler_renew^1*SUMIFS(AR347:AR400,B347:B400,B386-12)+in_two_wheeler_renew^2*SUMIFS(AR347:AR400,B347:B400,B386-24)+in_two_wheeler_renew^3*SUMIFS(AR347:AR400,B347:B400,B386-36)+in_two_wheeler_renew^4*SUMIFS(AR347:AR400,B347:B400,B386-48))</f>
        <v/>
      </c>
      <c r="AT386" s="40">
        <f>AT385*(1-IF(B385&gt;=in_marketplace_from,d_hz_device*G385,0))</f>
        <v/>
      </c>
      <c r="AU386" s="14">
        <f>F386*AT386*IF(B386&gt;=in_marketplace_from,d_hz_device*G386,0)*in_device_ticket*in_device_comm*in_ins_partner_share</f>
        <v/>
      </c>
      <c r="AV386" s="40">
        <f>AV385*(1-IF(B385&gt;=in_marketplace_from,d_hz_shop*G385,0))</f>
        <v/>
      </c>
      <c r="AW386" s="46">
        <f>AV386*IF(B386&gt;=in_marketplace_from,d_hz_shop*G386,0)</f>
        <v/>
      </c>
      <c r="AX386" s="14">
        <f>F386*AW386*in_shop_ticket*in_shop_comm*in_ins_partner_share+F386*in_shop_ticket*in_shop_renew_comm*in_ins_partner_share*(in_shop_renew^1*SUMIFS(AW347:AW400,B347:B400,B386-12)+in_shop_renew^2*SUMIFS(AW347:AW400,B347:B400,B386-24)+in_shop_renew^3*SUMIFS(AW347:AW400,B347:B400,B386-36)+in_shop_renew^4*SUMIFS(AW347:AW400,B347:B400,B386-48))</f>
        <v/>
      </c>
      <c r="AY386" s="40">
        <f>AY385*(1-IF(B385&gt;=in_marketplace_from,d_hz_sip*G385,0))</f>
        <v/>
      </c>
      <c r="AZ386" s="40">
        <f>AZ385*d_rho_sip+AY386*IF(B386&gt;=in_marketplace_from,d_hz_sip*G386,0)</f>
        <v/>
      </c>
      <c r="BA386" s="40">
        <f>d_rho_sip*(BA385+AZ385)</f>
        <v/>
      </c>
      <c r="BB386" s="14">
        <f>F386*in_sip_ticket*(BA386+0.5*AZ386)*in_sip_comm/12</f>
        <v/>
      </c>
      <c r="BC386" s="40">
        <f>BC385*(1-IF(B385&gt;=in_marketplace_from,d_hz_choti*G385,0))</f>
        <v/>
      </c>
      <c r="BD386" s="46">
        <f>BC386*IF(B386&gt;=in_marketplace_from,d_hz_choti*G386,0)</f>
        <v/>
      </c>
      <c r="BE386" s="14">
        <f>F386*SUMIFS(BD347:BD400,B347:B400,B386-in_choti_months)*in_choti_renew*in_choti_ticket</f>
        <v/>
      </c>
      <c r="BF386" s="40">
        <f>BF385*(1-IF(B385&gt;=in_marketplace_from,d_hz_nps*G385,0))</f>
        <v/>
      </c>
      <c r="BG386" s="14">
        <f>F386*BF386*IF(B386&gt;=in_marketplace_from,d_hz_nps*G386,0)*in_nps_ticket*in_nps_comm</f>
        <v/>
      </c>
      <c r="BH386" s="40">
        <f>BH385*(1-IF(B385&gt;=in_marketplace_from,d_hz_gold*G385,0))</f>
        <v/>
      </c>
      <c r="BI386" s="40">
        <f>BI385*d_rho_gold+BH386*IF(B386&gt;=in_marketplace_from,d_hz_gold*G386,0)</f>
        <v/>
      </c>
      <c r="BJ386" s="14">
        <f>F386*BI386*in_gold_ticket*in_gold_comm</f>
        <v/>
      </c>
      <c r="BK386" s="40">
        <f>BK385*(1-IF(B385&gt;=in_marketplace_from,d_hz_fd*G385,0))</f>
        <v/>
      </c>
      <c r="BL386" s="14">
        <f>F386*BK386*IF(B386&gt;=in_marketplace_from,d_hz_fd*G386,0)*in_fd_ticket*in_fd_comm</f>
        <v/>
      </c>
      <c r="BM386" s="40">
        <f>BM385*(1-IF(B385&gt;=in_marketplace_from,d_hz_recharge*G385,0))</f>
        <v/>
      </c>
      <c r="BN386" s="40">
        <f>BN385*d_rho_recharge+BM386*IF(B386&gt;=in_marketplace_from,d_hz_recharge*G386,0)</f>
        <v/>
      </c>
      <c r="BO386" s="14">
        <f>F386*BN386*in_recharge_ticket*in_recharge_comm/12</f>
        <v/>
      </c>
      <c r="BP386" s="40">
        <f>BP385*(1-IF(B385&gt;=in_marketplace_from,d_hz_bills*G385,0))</f>
        <v/>
      </c>
      <c r="BQ386" s="40">
        <f>BQ385*d_rho_bills+BP386*IF(B386&gt;=in_marketplace_from,d_hz_bills*G386,0)</f>
        <v/>
      </c>
      <c r="BR386" s="14">
        <f>F386*BQ386*in_bills_ticket*in_bills_comm/12</f>
        <v/>
      </c>
      <c r="BS386" s="40">
        <f>BS385*(1-IF(B385&gt;=in_marketplace_from,d_hz_loan_gold*G385,0))</f>
        <v/>
      </c>
      <c r="BT386" s="14">
        <f>F386*BS386*IF(B386&gt;=in_marketplace_from,d_hz_loan_gold*G386,0)*in_loan_gold_ticket*in_loan_gold_comm</f>
        <v/>
      </c>
      <c r="BU386" s="40">
        <f>BU385*(1-IF(B385&gt;=in_marketplace_from,d_hz_loan_cd*G385,0))</f>
        <v/>
      </c>
      <c r="BV386" s="14">
        <f>F386*BU386*IF(B386&gt;=in_marketplace_from,d_hz_loan_cd*G386,0)*in_loan_cd_ticket*in_loan_cd_comm</f>
        <v/>
      </c>
      <c r="BW386" s="40">
        <f>BW385*(1-IF(B385&gt;=in_marketplace_from,d_hz_loan_vehicle*G385,0))</f>
        <v/>
      </c>
      <c r="BX386" s="14">
        <f>F386*BW386*IF(B386&gt;=in_marketplace_from,d_hz_loan_vehicle*G386,0)*in_loan_vehicle_ticket*in_loan_vehicle_comm</f>
        <v/>
      </c>
      <c r="BY386" s="40">
        <f>BY385*(1-IF(B385&gt;=in_marketplace_from,d_hz_loan_home*G385,0)*BZ385)</f>
        <v/>
      </c>
      <c r="BZ386" s="11">
        <f>MIN(in_approval_cap,in_loan_home_approval*INDEX('Age profile'!$O$2:$O$61,B386)*(1+in_approval_growth)^(D386-1))</f>
        <v/>
      </c>
      <c r="CA386" s="14">
        <f>F386*BY386*IF(B386&gt;=in_marketplace_from,d_hz_loan_home*G386,0)*BZ386*in_loan_home_ticket*in_loan_home_comm</f>
        <v/>
      </c>
      <c r="CB386" s="40">
        <f>CB385*(1-IF(B385&gt;=in_marketplace_from,d_hz_loan_lap*G385,0)*CC385)</f>
        <v/>
      </c>
      <c r="CC386" s="11">
        <f>MIN(in_approval_cap,in_loan_lap_approval*INDEX('Age profile'!$O$2:$O$61,B386)*(1+in_approval_growth)^(D386-1))</f>
        <v/>
      </c>
      <c r="CD386" s="14">
        <f>F386*CB386*IF(B386&gt;=in_marketplace_from,d_hz_loan_lap*G386,0)*CC386*in_loan_lap_ticket*in_loan_lap_comm</f>
        <v/>
      </c>
      <c r="CE386" s="14">
        <f>AA386+AB386+AC386+AD386+AG386+AJ386+AM386+AP386+AS386+AU386+AX386+BB386+BE386+BG386+BJ386+BL386+BO386+BR386+BT386+BV386+BX386+CA386+CD386</f>
        <v/>
      </c>
    </row>
    <row r="387">
      <c r="A387" s="39" t="n">
        <v>7</v>
      </c>
      <c r="B387" s="39" t="n">
        <v>41</v>
      </c>
      <c r="C387" s="39">
        <f>A387+B387-1</f>
        <v/>
      </c>
      <c r="D387" s="39">
        <f>INT((C387-1)/12)+1</f>
        <v/>
      </c>
      <c r="E387" s="44">
        <f>INDEX(Monthly!$B$2:$B$61,A387)</f>
        <v/>
      </c>
      <c r="F387" s="44">
        <f>E387*INDEX('Age profile'!$B$2:$B$61,B387)</f>
        <v/>
      </c>
      <c r="G387" s="45">
        <f>MIN(in_takeup_cap,INDEX('Age profile'!$N$2:$N$61,B387)*(1+in_takeup_growth)^(D387-1))</f>
        <v/>
      </c>
      <c r="H387" s="11">
        <f>MIN(in_approval_cap,in_approved_first*INDEX('Age profile'!$O$2:$O$61,B387)*(1+in_approval_growth)^(D387-1))</f>
        <v/>
      </c>
      <c r="I387" s="45">
        <f>G387*MIN(in_takeup_cap,INDEX('Age profile'!$O$2:$O$61,B387)*(1+in_approval_growth)^(D387-1))</f>
        <v/>
      </c>
      <c r="J387" s="40">
        <f>(J386-L386)*F387/F386</f>
        <v/>
      </c>
      <c r="K387" s="40">
        <f>(K386-M386)*F387/F386+SUMIFS(O347:O386,B347:B386,B387-1-d_T)*F387</f>
        <v/>
      </c>
      <c r="L387" s="40">
        <f>IF(B387&gt;=in_marketplace_from,J387*d_hz*G387*in_eligible*H387,0)</f>
        <v/>
      </c>
      <c r="M387" s="40">
        <f>IF(B387&gt;=in_marketplace_from,K387*d_hz*G387*in_eligible*in_approved_repeat,0)</f>
        <v/>
      </c>
      <c r="N387" s="40">
        <f>L387+M387</f>
        <v/>
      </c>
      <c r="O387" s="46">
        <f>N387/F387</f>
        <v/>
      </c>
      <c r="P387" s="40">
        <f>F387-J387-K387</f>
        <v/>
      </c>
      <c r="Q387" s="40">
        <f>IF(B387&gt;=in_marketplace_from,(J387+K387)*d_hz*G387,0)</f>
        <v/>
      </c>
      <c r="R387" s="40">
        <f>SUMIFS(N347:N400,B347:B400,"&gt;="&amp;(B387-d_T),B347:B400,"&lt;="&amp;(B387-1))</f>
        <v/>
      </c>
      <c r="S387" s="46">
        <f>(1-d_u)*S386+IF(d_T&gt;in_topup_lag,SUMIFS(O347:O400,B347:B400,B387-in_topup_lag)-d_udrop*SUMIFS(O347:O400,B347:B400,B387-d_T),0)</f>
        <v/>
      </c>
      <c r="T387" s="40">
        <f>F387*d_u*S387</f>
        <v/>
      </c>
      <c r="U387" s="9">
        <f>L387*in_ticket+M387*d_rep_ticket</f>
        <v/>
      </c>
      <c r="V387" s="9">
        <f>U387+T387*d_topup_amt</f>
        <v/>
      </c>
      <c r="W387" s="40">
        <f>N387+T387*d_topup_ratio</f>
        <v/>
      </c>
      <c r="X387" s="40">
        <f>SUMIFS(W347:W400,B347:B400,B387-in_dpd_lag)*d_cured</f>
        <v/>
      </c>
      <c r="Y387" s="40">
        <f>SUMIFS(W347:W400,B347:B400,B387-in_rec_lag)*d_recd</f>
        <v/>
      </c>
      <c r="Z387" s="40">
        <f>IF(AND(B387&gt;=in_marketplace_from,B387&lt;in_marketplace_from+in_card_months),in_card_share/in_card_months*F387*I387,IF(AND(B387&gt;=in_marketplace_from+in_card_months,B387&lt;in_marketplace_from+2*in_card_months),in_card_share*d_card_rem/in_card_months*F387*MIN(in_takeup_cap,(1+in_takeup_growth)^(D387-1))*MIN(in_takeup_cap,(1+in_approval_growth)^(D387-1)),0))</f>
        <v/>
      </c>
      <c r="AA387" s="14">
        <f>V387*in_fee*(1-in_taken_back)</f>
        <v/>
      </c>
      <c r="AB387" s="14">
        <f>SUMIFS(W347:W400,B347:B400,B387-in_dpd_lag)*d_dpd</f>
        <v/>
      </c>
      <c r="AC387" s="14">
        <f>SUMIFS(W347:W400,B347:B400,B387-in_rec_lag)*d_rec</f>
        <v/>
      </c>
      <c r="AD387" s="14">
        <f>Z387*in_card_fee</f>
        <v/>
      </c>
      <c r="AE387" s="40">
        <f>AE386*(1-IF(B386&gt;=in_marketplace_from,d_hz_hlth_small*G386,0))</f>
        <v/>
      </c>
      <c r="AF387" s="46">
        <f>AE387*IF(B387&gt;=in_marketplace_from,d_hz_hlth_small*G387,0)</f>
        <v/>
      </c>
      <c r="AG387" s="14">
        <f>F387*AF387*in_hlth_small_ticket*in_hlth_small_comm*in_ins_partner_share+F387*in_hlth_small_ticket*in_hlth_small_renew_comm*in_ins_partner_share*(in_hlth_small_renew^1*SUMIFS(AF347:AF400,B347:B400,B387-12)+in_hlth_small_renew^2*SUMIFS(AF347:AF400,B347:B400,B387-24)+in_hlth_small_renew^3*SUMIFS(AF347:AF400,B347:B400,B387-36)+in_hlth_small_renew^4*SUMIFS(AF347:AF400,B347:B400,B387-48))</f>
        <v/>
      </c>
      <c r="AH387" s="40">
        <f>AH386*(1-IF(B386&gt;=in_marketplace_from,d_hz_hlth_family*G386,0))</f>
        <v/>
      </c>
      <c r="AI387" s="46">
        <f>AH387*IF(B387&gt;=in_marketplace_from,d_hz_hlth_family*G387,0)</f>
        <v/>
      </c>
      <c r="AJ387" s="14">
        <f>F387*AI387*in_hlth_family_ticket*in_hlth_family_comm*in_ins_partner_share+F387*in_hlth_family_ticket*in_hlth_family_renew_comm*in_ins_partner_share*(in_hlth_family_renew^1*SUMIFS(AI347:AI400,B347:B400,B387-12)+in_hlth_family_renew^2*SUMIFS(AI347:AI400,B347:B400,B387-24)+in_hlth_family_renew^3*SUMIFS(AI347:AI400,B347:B400,B387-36)+in_hlth_family_renew^4*SUMIFS(AI347:AI400,B347:B400,B387-48))</f>
        <v/>
      </c>
      <c r="AK387" s="40">
        <f>AK386*(1-IF(B386&gt;=in_marketplace_from,d_hz_life_term*G386,0))</f>
        <v/>
      </c>
      <c r="AL387" s="46">
        <f>AK387*IF(B387&gt;=in_marketplace_from,d_hz_life_term*G387,0)</f>
        <v/>
      </c>
      <c r="AM387" s="14">
        <f>F387*AL387*in_life_term_ticket*in_life_term_comm*in_ins_partner_share+F387*in_life_term_ticket*in_life_term_renew_comm*in_ins_partner_share*(in_life_term_renew^1*SUMIFS(AL347:AL400,B347:B400,B387-12)+in_life_term_renew^2*SUMIFS(AL347:AL400,B347:B400,B387-24)+in_life_term_renew^3*SUMIFS(AL347:AL400,B347:B400,B387-36)+in_life_term_renew^4*SUMIFS(AL347:AL400,B347:B400,B387-48))</f>
        <v/>
      </c>
      <c r="AN387" s="40">
        <f>AN386*(1-IF(B386&gt;=in_marketplace_from,d_hz_accident*G386,0))</f>
        <v/>
      </c>
      <c r="AO387" s="46">
        <f>AN387*IF(B387&gt;=in_marketplace_from,d_hz_accident*G387,0)</f>
        <v/>
      </c>
      <c r="AP387" s="14">
        <f>F387*AO387*in_accident_ticket*in_accident_comm*in_ins_partner_share+F387*in_accident_ticket*in_accident_renew_comm*in_ins_partner_share*(in_accident_renew^1*SUMIFS(AO347:AO400,B347:B400,B387-12)+in_accident_renew^2*SUMIFS(AO347:AO400,B347:B400,B387-24)+in_accident_renew^3*SUMIFS(AO347:AO400,B347:B400,B387-36)+in_accident_renew^4*SUMIFS(AO347:AO400,B347:B400,B387-48))</f>
        <v/>
      </c>
      <c r="AQ387" s="40">
        <f>AQ386*(1-IF(B386&gt;=in_marketplace_from,d_hz_two_wheeler*G386,0))</f>
        <v/>
      </c>
      <c r="AR387" s="46">
        <f>AQ387*IF(B387&gt;=in_marketplace_from,d_hz_two_wheeler*G387,0)</f>
        <v/>
      </c>
      <c r="AS387" s="14">
        <f>F387*AR387*in_two_wheeler_ticket*in_two_wheeler_comm*in_ins_partner_share+F387*in_two_wheeler_ticket*in_two_wheeler_comm*in_ins_partner_share*(in_two_wheeler_renew^1*SUMIFS(AR347:AR400,B347:B400,B387-12)+in_two_wheeler_renew^2*SUMIFS(AR347:AR400,B347:B400,B387-24)+in_two_wheeler_renew^3*SUMIFS(AR347:AR400,B347:B400,B387-36)+in_two_wheeler_renew^4*SUMIFS(AR347:AR400,B347:B400,B387-48))</f>
        <v/>
      </c>
      <c r="AT387" s="40">
        <f>AT386*(1-IF(B386&gt;=in_marketplace_from,d_hz_device*G386,0))</f>
        <v/>
      </c>
      <c r="AU387" s="14">
        <f>F387*AT387*IF(B387&gt;=in_marketplace_from,d_hz_device*G387,0)*in_device_ticket*in_device_comm*in_ins_partner_share</f>
        <v/>
      </c>
      <c r="AV387" s="40">
        <f>AV386*(1-IF(B386&gt;=in_marketplace_from,d_hz_shop*G386,0))</f>
        <v/>
      </c>
      <c r="AW387" s="46">
        <f>AV387*IF(B387&gt;=in_marketplace_from,d_hz_shop*G387,0)</f>
        <v/>
      </c>
      <c r="AX387" s="14">
        <f>F387*AW387*in_shop_ticket*in_shop_comm*in_ins_partner_share+F387*in_shop_ticket*in_shop_renew_comm*in_ins_partner_share*(in_shop_renew^1*SUMIFS(AW347:AW400,B347:B400,B387-12)+in_shop_renew^2*SUMIFS(AW347:AW400,B347:B400,B387-24)+in_shop_renew^3*SUMIFS(AW347:AW400,B347:B400,B387-36)+in_shop_renew^4*SUMIFS(AW347:AW400,B347:B400,B387-48))</f>
        <v/>
      </c>
      <c r="AY387" s="40">
        <f>AY386*(1-IF(B386&gt;=in_marketplace_from,d_hz_sip*G386,0))</f>
        <v/>
      </c>
      <c r="AZ387" s="40">
        <f>AZ386*d_rho_sip+AY387*IF(B387&gt;=in_marketplace_from,d_hz_sip*G387,0)</f>
        <v/>
      </c>
      <c r="BA387" s="40">
        <f>d_rho_sip*(BA386+AZ386)</f>
        <v/>
      </c>
      <c r="BB387" s="14">
        <f>F387*in_sip_ticket*(BA387+0.5*AZ387)*in_sip_comm/12</f>
        <v/>
      </c>
      <c r="BC387" s="40">
        <f>BC386*(1-IF(B386&gt;=in_marketplace_from,d_hz_choti*G386,0))</f>
        <v/>
      </c>
      <c r="BD387" s="46">
        <f>BC387*IF(B387&gt;=in_marketplace_from,d_hz_choti*G387,0)</f>
        <v/>
      </c>
      <c r="BE387" s="14">
        <f>F387*SUMIFS(BD347:BD400,B347:B400,B387-in_choti_months)*in_choti_renew*in_choti_ticket</f>
        <v/>
      </c>
      <c r="BF387" s="40">
        <f>BF386*(1-IF(B386&gt;=in_marketplace_from,d_hz_nps*G386,0))</f>
        <v/>
      </c>
      <c r="BG387" s="14">
        <f>F387*BF387*IF(B387&gt;=in_marketplace_from,d_hz_nps*G387,0)*in_nps_ticket*in_nps_comm</f>
        <v/>
      </c>
      <c r="BH387" s="40">
        <f>BH386*(1-IF(B386&gt;=in_marketplace_from,d_hz_gold*G386,0))</f>
        <v/>
      </c>
      <c r="BI387" s="40">
        <f>BI386*d_rho_gold+BH387*IF(B387&gt;=in_marketplace_from,d_hz_gold*G387,0)</f>
        <v/>
      </c>
      <c r="BJ387" s="14">
        <f>F387*BI387*in_gold_ticket*in_gold_comm</f>
        <v/>
      </c>
      <c r="BK387" s="40">
        <f>BK386*(1-IF(B386&gt;=in_marketplace_from,d_hz_fd*G386,0))</f>
        <v/>
      </c>
      <c r="BL387" s="14">
        <f>F387*BK387*IF(B387&gt;=in_marketplace_from,d_hz_fd*G387,0)*in_fd_ticket*in_fd_comm</f>
        <v/>
      </c>
      <c r="BM387" s="40">
        <f>BM386*(1-IF(B386&gt;=in_marketplace_from,d_hz_recharge*G386,0))</f>
        <v/>
      </c>
      <c r="BN387" s="40">
        <f>BN386*d_rho_recharge+BM387*IF(B387&gt;=in_marketplace_from,d_hz_recharge*G387,0)</f>
        <v/>
      </c>
      <c r="BO387" s="14">
        <f>F387*BN387*in_recharge_ticket*in_recharge_comm/12</f>
        <v/>
      </c>
      <c r="BP387" s="40">
        <f>BP386*(1-IF(B386&gt;=in_marketplace_from,d_hz_bills*G386,0))</f>
        <v/>
      </c>
      <c r="BQ387" s="40">
        <f>BQ386*d_rho_bills+BP387*IF(B387&gt;=in_marketplace_from,d_hz_bills*G387,0)</f>
        <v/>
      </c>
      <c r="BR387" s="14">
        <f>F387*BQ387*in_bills_ticket*in_bills_comm/12</f>
        <v/>
      </c>
      <c r="BS387" s="40">
        <f>BS386*(1-IF(B386&gt;=in_marketplace_from,d_hz_loan_gold*G386,0))</f>
        <v/>
      </c>
      <c r="BT387" s="14">
        <f>F387*BS387*IF(B387&gt;=in_marketplace_from,d_hz_loan_gold*G387,0)*in_loan_gold_ticket*in_loan_gold_comm</f>
        <v/>
      </c>
      <c r="BU387" s="40">
        <f>BU386*(1-IF(B386&gt;=in_marketplace_from,d_hz_loan_cd*G386,0))</f>
        <v/>
      </c>
      <c r="BV387" s="14">
        <f>F387*BU387*IF(B387&gt;=in_marketplace_from,d_hz_loan_cd*G387,0)*in_loan_cd_ticket*in_loan_cd_comm</f>
        <v/>
      </c>
      <c r="BW387" s="40">
        <f>BW386*(1-IF(B386&gt;=in_marketplace_from,d_hz_loan_vehicle*G386,0))</f>
        <v/>
      </c>
      <c r="BX387" s="14">
        <f>F387*BW387*IF(B387&gt;=in_marketplace_from,d_hz_loan_vehicle*G387,0)*in_loan_vehicle_ticket*in_loan_vehicle_comm</f>
        <v/>
      </c>
      <c r="BY387" s="40">
        <f>BY386*(1-IF(B386&gt;=in_marketplace_from,d_hz_loan_home*G386,0)*BZ386)</f>
        <v/>
      </c>
      <c r="BZ387" s="11">
        <f>MIN(in_approval_cap,in_loan_home_approval*INDEX('Age profile'!$O$2:$O$61,B387)*(1+in_approval_growth)^(D387-1))</f>
        <v/>
      </c>
      <c r="CA387" s="14">
        <f>F387*BY387*IF(B387&gt;=in_marketplace_from,d_hz_loan_home*G387,0)*BZ387*in_loan_home_ticket*in_loan_home_comm</f>
        <v/>
      </c>
      <c r="CB387" s="40">
        <f>CB386*(1-IF(B386&gt;=in_marketplace_from,d_hz_loan_lap*G386,0)*CC386)</f>
        <v/>
      </c>
      <c r="CC387" s="11">
        <f>MIN(in_approval_cap,in_loan_lap_approval*INDEX('Age profile'!$O$2:$O$61,B387)*(1+in_approval_growth)^(D387-1))</f>
        <v/>
      </c>
      <c r="CD387" s="14">
        <f>F387*CB387*IF(B387&gt;=in_marketplace_from,d_hz_loan_lap*G387,0)*CC387*in_loan_lap_ticket*in_loan_lap_comm</f>
        <v/>
      </c>
      <c r="CE387" s="14">
        <f>AA387+AB387+AC387+AD387+AG387+AJ387+AM387+AP387+AS387+AU387+AX387+BB387+BE387+BG387+BJ387+BL387+BO387+BR387+BT387+BV387+BX387+CA387+CD387</f>
        <v/>
      </c>
    </row>
    <row r="388">
      <c r="A388" s="39" t="n">
        <v>7</v>
      </c>
      <c r="B388" s="39" t="n">
        <v>42</v>
      </c>
      <c r="C388" s="39">
        <f>A388+B388-1</f>
        <v/>
      </c>
      <c r="D388" s="39">
        <f>INT((C388-1)/12)+1</f>
        <v/>
      </c>
      <c r="E388" s="44">
        <f>INDEX(Monthly!$B$2:$B$61,A388)</f>
        <v/>
      </c>
      <c r="F388" s="44">
        <f>E388*INDEX('Age profile'!$B$2:$B$61,B388)</f>
        <v/>
      </c>
      <c r="G388" s="45">
        <f>MIN(in_takeup_cap,INDEX('Age profile'!$N$2:$N$61,B388)*(1+in_takeup_growth)^(D388-1))</f>
        <v/>
      </c>
      <c r="H388" s="11">
        <f>MIN(in_approval_cap,in_approved_first*INDEX('Age profile'!$O$2:$O$61,B388)*(1+in_approval_growth)^(D388-1))</f>
        <v/>
      </c>
      <c r="I388" s="45">
        <f>G388*MIN(in_takeup_cap,INDEX('Age profile'!$O$2:$O$61,B388)*(1+in_approval_growth)^(D388-1))</f>
        <v/>
      </c>
      <c r="J388" s="40">
        <f>(J387-L387)*F388/F387</f>
        <v/>
      </c>
      <c r="K388" s="40">
        <f>(K387-M387)*F388/F387+SUMIFS(O347:O387,B347:B387,B388-1-d_T)*F388</f>
        <v/>
      </c>
      <c r="L388" s="40">
        <f>IF(B388&gt;=in_marketplace_from,J388*d_hz*G388*in_eligible*H388,0)</f>
        <v/>
      </c>
      <c r="M388" s="40">
        <f>IF(B388&gt;=in_marketplace_from,K388*d_hz*G388*in_eligible*in_approved_repeat,0)</f>
        <v/>
      </c>
      <c r="N388" s="40">
        <f>L388+M388</f>
        <v/>
      </c>
      <c r="O388" s="46">
        <f>N388/F388</f>
        <v/>
      </c>
      <c r="P388" s="40">
        <f>F388-J388-K388</f>
        <v/>
      </c>
      <c r="Q388" s="40">
        <f>IF(B388&gt;=in_marketplace_from,(J388+K388)*d_hz*G388,0)</f>
        <v/>
      </c>
      <c r="R388" s="40">
        <f>SUMIFS(N347:N400,B347:B400,"&gt;="&amp;(B388-d_T),B347:B400,"&lt;="&amp;(B388-1))</f>
        <v/>
      </c>
      <c r="S388" s="46">
        <f>(1-d_u)*S387+IF(d_T&gt;in_topup_lag,SUMIFS(O347:O400,B347:B400,B388-in_topup_lag)-d_udrop*SUMIFS(O347:O400,B347:B400,B388-d_T),0)</f>
        <v/>
      </c>
      <c r="T388" s="40">
        <f>F388*d_u*S388</f>
        <v/>
      </c>
      <c r="U388" s="9">
        <f>L388*in_ticket+M388*d_rep_ticket</f>
        <v/>
      </c>
      <c r="V388" s="9">
        <f>U388+T388*d_topup_amt</f>
        <v/>
      </c>
      <c r="W388" s="40">
        <f>N388+T388*d_topup_ratio</f>
        <v/>
      </c>
      <c r="X388" s="40">
        <f>SUMIFS(W347:W400,B347:B400,B388-in_dpd_lag)*d_cured</f>
        <v/>
      </c>
      <c r="Y388" s="40">
        <f>SUMIFS(W347:W400,B347:B400,B388-in_rec_lag)*d_recd</f>
        <v/>
      </c>
      <c r="Z388" s="40">
        <f>IF(AND(B388&gt;=in_marketplace_from,B388&lt;in_marketplace_from+in_card_months),in_card_share/in_card_months*F388*I388,IF(AND(B388&gt;=in_marketplace_from+in_card_months,B388&lt;in_marketplace_from+2*in_card_months),in_card_share*d_card_rem/in_card_months*F388*MIN(in_takeup_cap,(1+in_takeup_growth)^(D388-1))*MIN(in_takeup_cap,(1+in_approval_growth)^(D388-1)),0))</f>
        <v/>
      </c>
      <c r="AA388" s="14">
        <f>V388*in_fee*(1-in_taken_back)</f>
        <v/>
      </c>
      <c r="AB388" s="14">
        <f>SUMIFS(W347:W400,B347:B400,B388-in_dpd_lag)*d_dpd</f>
        <v/>
      </c>
      <c r="AC388" s="14">
        <f>SUMIFS(W347:W400,B347:B400,B388-in_rec_lag)*d_rec</f>
        <v/>
      </c>
      <c r="AD388" s="14">
        <f>Z388*in_card_fee</f>
        <v/>
      </c>
      <c r="AE388" s="40">
        <f>AE387*(1-IF(B387&gt;=in_marketplace_from,d_hz_hlth_small*G387,0))</f>
        <v/>
      </c>
      <c r="AF388" s="46">
        <f>AE388*IF(B388&gt;=in_marketplace_from,d_hz_hlth_small*G388,0)</f>
        <v/>
      </c>
      <c r="AG388" s="14">
        <f>F388*AF388*in_hlth_small_ticket*in_hlth_small_comm*in_ins_partner_share+F388*in_hlth_small_ticket*in_hlth_small_renew_comm*in_ins_partner_share*(in_hlth_small_renew^1*SUMIFS(AF347:AF400,B347:B400,B388-12)+in_hlth_small_renew^2*SUMIFS(AF347:AF400,B347:B400,B388-24)+in_hlth_small_renew^3*SUMIFS(AF347:AF400,B347:B400,B388-36)+in_hlth_small_renew^4*SUMIFS(AF347:AF400,B347:B400,B388-48))</f>
        <v/>
      </c>
      <c r="AH388" s="40">
        <f>AH387*(1-IF(B387&gt;=in_marketplace_from,d_hz_hlth_family*G387,0))</f>
        <v/>
      </c>
      <c r="AI388" s="46">
        <f>AH388*IF(B388&gt;=in_marketplace_from,d_hz_hlth_family*G388,0)</f>
        <v/>
      </c>
      <c r="AJ388" s="14">
        <f>F388*AI388*in_hlth_family_ticket*in_hlth_family_comm*in_ins_partner_share+F388*in_hlth_family_ticket*in_hlth_family_renew_comm*in_ins_partner_share*(in_hlth_family_renew^1*SUMIFS(AI347:AI400,B347:B400,B388-12)+in_hlth_family_renew^2*SUMIFS(AI347:AI400,B347:B400,B388-24)+in_hlth_family_renew^3*SUMIFS(AI347:AI400,B347:B400,B388-36)+in_hlth_family_renew^4*SUMIFS(AI347:AI400,B347:B400,B388-48))</f>
        <v/>
      </c>
      <c r="AK388" s="40">
        <f>AK387*(1-IF(B387&gt;=in_marketplace_from,d_hz_life_term*G387,0))</f>
        <v/>
      </c>
      <c r="AL388" s="46">
        <f>AK388*IF(B388&gt;=in_marketplace_from,d_hz_life_term*G388,0)</f>
        <v/>
      </c>
      <c r="AM388" s="14">
        <f>F388*AL388*in_life_term_ticket*in_life_term_comm*in_ins_partner_share+F388*in_life_term_ticket*in_life_term_renew_comm*in_ins_partner_share*(in_life_term_renew^1*SUMIFS(AL347:AL400,B347:B400,B388-12)+in_life_term_renew^2*SUMIFS(AL347:AL400,B347:B400,B388-24)+in_life_term_renew^3*SUMIFS(AL347:AL400,B347:B400,B388-36)+in_life_term_renew^4*SUMIFS(AL347:AL400,B347:B400,B388-48))</f>
        <v/>
      </c>
      <c r="AN388" s="40">
        <f>AN387*(1-IF(B387&gt;=in_marketplace_from,d_hz_accident*G387,0))</f>
        <v/>
      </c>
      <c r="AO388" s="46">
        <f>AN388*IF(B388&gt;=in_marketplace_from,d_hz_accident*G388,0)</f>
        <v/>
      </c>
      <c r="AP388" s="14">
        <f>F388*AO388*in_accident_ticket*in_accident_comm*in_ins_partner_share+F388*in_accident_ticket*in_accident_renew_comm*in_ins_partner_share*(in_accident_renew^1*SUMIFS(AO347:AO400,B347:B400,B388-12)+in_accident_renew^2*SUMIFS(AO347:AO400,B347:B400,B388-24)+in_accident_renew^3*SUMIFS(AO347:AO400,B347:B400,B388-36)+in_accident_renew^4*SUMIFS(AO347:AO400,B347:B400,B388-48))</f>
        <v/>
      </c>
      <c r="AQ388" s="40">
        <f>AQ387*(1-IF(B387&gt;=in_marketplace_from,d_hz_two_wheeler*G387,0))</f>
        <v/>
      </c>
      <c r="AR388" s="46">
        <f>AQ388*IF(B388&gt;=in_marketplace_from,d_hz_two_wheeler*G388,0)</f>
        <v/>
      </c>
      <c r="AS388" s="14">
        <f>F388*AR388*in_two_wheeler_ticket*in_two_wheeler_comm*in_ins_partner_share+F388*in_two_wheeler_ticket*in_two_wheeler_comm*in_ins_partner_share*(in_two_wheeler_renew^1*SUMIFS(AR347:AR400,B347:B400,B388-12)+in_two_wheeler_renew^2*SUMIFS(AR347:AR400,B347:B400,B388-24)+in_two_wheeler_renew^3*SUMIFS(AR347:AR400,B347:B400,B388-36)+in_two_wheeler_renew^4*SUMIFS(AR347:AR400,B347:B400,B388-48))</f>
        <v/>
      </c>
      <c r="AT388" s="40">
        <f>AT387*(1-IF(B387&gt;=in_marketplace_from,d_hz_device*G387,0))</f>
        <v/>
      </c>
      <c r="AU388" s="14">
        <f>F388*AT388*IF(B388&gt;=in_marketplace_from,d_hz_device*G388,0)*in_device_ticket*in_device_comm*in_ins_partner_share</f>
        <v/>
      </c>
      <c r="AV388" s="40">
        <f>AV387*(1-IF(B387&gt;=in_marketplace_from,d_hz_shop*G387,0))</f>
        <v/>
      </c>
      <c r="AW388" s="46">
        <f>AV388*IF(B388&gt;=in_marketplace_from,d_hz_shop*G388,0)</f>
        <v/>
      </c>
      <c r="AX388" s="14">
        <f>F388*AW388*in_shop_ticket*in_shop_comm*in_ins_partner_share+F388*in_shop_ticket*in_shop_renew_comm*in_ins_partner_share*(in_shop_renew^1*SUMIFS(AW347:AW400,B347:B400,B388-12)+in_shop_renew^2*SUMIFS(AW347:AW400,B347:B400,B388-24)+in_shop_renew^3*SUMIFS(AW347:AW400,B347:B400,B388-36)+in_shop_renew^4*SUMIFS(AW347:AW400,B347:B400,B388-48))</f>
        <v/>
      </c>
      <c r="AY388" s="40">
        <f>AY387*(1-IF(B387&gt;=in_marketplace_from,d_hz_sip*G387,0))</f>
        <v/>
      </c>
      <c r="AZ388" s="40">
        <f>AZ387*d_rho_sip+AY388*IF(B388&gt;=in_marketplace_from,d_hz_sip*G388,0)</f>
        <v/>
      </c>
      <c r="BA388" s="40">
        <f>d_rho_sip*(BA387+AZ387)</f>
        <v/>
      </c>
      <c r="BB388" s="14">
        <f>F388*in_sip_ticket*(BA388+0.5*AZ388)*in_sip_comm/12</f>
        <v/>
      </c>
      <c r="BC388" s="40">
        <f>BC387*(1-IF(B387&gt;=in_marketplace_from,d_hz_choti*G387,0))</f>
        <v/>
      </c>
      <c r="BD388" s="46">
        <f>BC388*IF(B388&gt;=in_marketplace_from,d_hz_choti*G388,0)</f>
        <v/>
      </c>
      <c r="BE388" s="14">
        <f>F388*SUMIFS(BD347:BD400,B347:B400,B388-in_choti_months)*in_choti_renew*in_choti_ticket</f>
        <v/>
      </c>
      <c r="BF388" s="40">
        <f>BF387*(1-IF(B387&gt;=in_marketplace_from,d_hz_nps*G387,0))</f>
        <v/>
      </c>
      <c r="BG388" s="14">
        <f>F388*BF388*IF(B388&gt;=in_marketplace_from,d_hz_nps*G388,0)*in_nps_ticket*in_nps_comm</f>
        <v/>
      </c>
      <c r="BH388" s="40">
        <f>BH387*(1-IF(B387&gt;=in_marketplace_from,d_hz_gold*G387,0))</f>
        <v/>
      </c>
      <c r="BI388" s="40">
        <f>BI387*d_rho_gold+BH388*IF(B388&gt;=in_marketplace_from,d_hz_gold*G388,0)</f>
        <v/>
      </c>
      <c r="BJ388" s="14">
        <f>F388*BI388*in_gold_ticket*in_gold_comm</f>
        <v/>
      </c>
      <c r="BK388" s="40">
        <f>BK387*(1-IF(B387&gt;=in_marketplace_from,d_hz_fd*G387,0))</f>
        <v/>
      </c>
      <c r="BL388" s="14">
        <f>F388*BK388*IF(B388&gt;=in_marketplace_from,d_hz_fd*G388,0)*in_fd_ticket*in_fd_comm</f>
        <v/>
      </c>
      <c r="BM388" s="40">
        <f>BM387*(1-IF(B387&gt;=in_marketplace_from,d_hz_recharge*G387,0))</f>
        <v/>
      </c>
      <c r="BN388" s="40">
        <f>BN387*d_rho_recharge+BM388*IF(B388&gt;=in_marketplace_from,d_hz_recharge*G388,0)</f>
        <v/>
      </c>
      <c r="BO388" s="14">
        <f>F388*BN388*in_recharge_ticket*in_recharge_comm/12</f>
        <v/>
      </c>
      <c r="BP388" s="40">
        <f>BP387*(1-IF(B387&gt;=in_marketplace_from,d_hz_bills*G387,0))</f>
        <v/>
      </c>
      <c r="BQ388" s="40">
        <f>BQ387*d_rho_bills+BP388*IF(B388&gt;=in_marketplace_from,d_hz_bills*G388,0)</f>
        <v/>
      </c>
      <c r="BR388" s="14">
        <f>F388*BQ388*in_bills_ticket*in_bills_comm/12</f>
        <v/>
      </c>
      <c r="BS388" s="40">
        <f>BS387*(1-IF(B387&gt;=in_marketplace_from,d_hz_loan_gold*G387,0))</f>
        <v/>
      </c>
      <c r="BT388" s="14">
        <f>F388*BS388*IF(B388&gt;=in_marketplace_from,d_hz_loan_gold*G388,0)*in_loan_gold_ticket*in_loan_gold_comm</f>
        <v/>
      </c>
      <c r="BU388" s="40">
        <f>BU387*(1-IF(B387&gt;=in_marketplace_from,d_hz_loan_cd*G387,0))</f>
        <v/>
      </c>
      <c r="BV388" s="14">
        <f>F388*BU388*IF(B388&gt;=in_marketplace_from,d_hz_loan_cd*G388,0)*in_loan_cd_ticket*in_loan_cd_comm</f>
        <v/>
      </c>
      <c r="BW388" s="40">
        <f>BW387*(1-IF(B387&gt;=in_marketplace_from,d_hz_loan_vehicle*G387,0))</f>
        <v/>
      </c>
      <c r="BX388" s="14">
        <f>F388*BW388*IF(B388&gt;=in_marketplace_from,d_hz_loan_vehicle*G388,0)*in_loan_vehicle_ticket*in_loan_vehicle_comm</f>
        <v/>
      </c>
      <c r="BY388" s="40">
        <f>BY387*(1-IF(B387&gt;=in_marketplace_from,d_hz_loan_home*G387,0)*BZ387)</f>
        <v/>
      </c>
      <c r="BZ388" s="11">
        <f>MIN(in_approval_cap,in_loan_home_approval*INDEX('Age profile'!$O$2:$O$61,B388)*(1+in_approval_growth)^(D388-1))</f>
        <v/>
      </c>
      <c r="CA388" s="14">
        <f>F388*BY388*IF(B388&gt;=in_marketplace_from,d_hz_loan_home*G388,0)*BZ388*in_loan_home_ticket*in_loan_home_comm</f>
        <v/>
      </c>
      <c r="CB388" s="40">
        <f>CB387*(1-IF(B387&gt;=in_marketplace_from,d_hz_loan_lap*G387,0)*CC387)</f>
        <v/>
      </c>
      <c r="CC388" s="11">
        <f>MIN(in_approval_cap,in_loan_lap_approval*INDEX('Age profile'!$O$2:$O$61,B388)*(1+in_approval_growth)^(D388-1))</f>
        <v/>
      </c>
      <c r="CD388" s="14">
        <f>F388*CB388*IF(B388&gt;=in_marketplace_from,d_hz_loan_lap*G388,0)*CC388*in_loan_lap_ticket*in_loan_lap_comm</f>
        <v/>
      </c>
      <c r="CE388" s="14">
        <f>AA388+AB388+AC388+AD388+AG388+AJ388+AM388+AP388+AS388+AU388+AX388+BB388+BE388+BG388+BJ388+BL388+BO388+BR388+BT388+BV388+BX388+CA388+CD388</f>
        <v/>
      </c>
    </row>
    <row r="389">
      <c r="A389" s="39" t="n">
        <v>7</v>
      </c>
      <c r="B389" s="39" t="n">
        <v>43</v>
      </c>
      <c r="C389" s="39">
        <f>A389+B389-1</f>
        <v/>
      </c>
      <c r="D389" s="39">
        <f>INT((C389-1)/12)+1</f>
        <v/>
      </c>
      <c r="E389" s="44">
        <f>INDEX(Monthly!$B$2:$B$61,A389)</f>
        <v/>
      </c>
      <c r="F389" s="44">
        <f>E389*INDEX('Age profile'!$B$2:$B$61,B389)</f>
        <v/>
      </c>
      <c r="G389" s="45">
        <f>MIN(in_takeup_cap,INDEX('Age profile'!$N$2:$N$61,B389)*(1+in_takeup_growth)^(D389-1))</f>
        <v/>
      </c>
      <c r="H389" s="11">
        <f>MIN(in_approval_cap,in_approved_first*INDEX('Age profile'!$O$2:$O$61,B389)*(1+in_approval_growth)^(D389-1))</f>
        <v/>
      </c>
      <c r="I389" s="45">
        <f>G389*MIN(in_takeup_cap,INDEX('Age profile'!$O$2:$O$61,B389)*(1+in_approval_growth)^(D389-1))</f>
        <v/>
      </c>
      <c r="J389" s="40">
        <f>(J388-L388)*F389/F388</f>
        <v/>
      </c>
      <c r="K389" s="40">
        <f>(K388-M388)*F389/F388+SUMIFS(O347:O388,B347:B388,B389-1-d_T)*F389</f>
        <v/>
      </c>
      <c r="L389" s="40">
        <f>IF(B389&gt;=in_marketplace_from,J389*d_hz*G389*in_eligible*H389,0)</f>
        <v/>
      </c>
      <c r="M389" s="40">
        <f>IF(B389&gt;=in_marketplace_from,K389*d_hz*G389*in_eligible*in_approved_repeat,0)</f>
        <v/>
      </c>
      <c r="N389" s="40">
        <f>L389+M389</f>
        <v/>
      </c>
      <c r="O389" s="46">
        <f>N389/F389</f>
        <v/>
      </c>
      <c r="P389" s="40">
        <f>F389-J389-K389</f>
        <v/>
      </c>
      <c r="Q389" s="40">
        <f>IF(B389&gt;=in_marketplace_from,(J389+K389)*d_hz*G389,0)</f>
        <v/>
      </c>
      <c r="R389" s="40">
        <f>SUMIFS(N347:N400,B347:B400,"&gt;="&amp;(B389-d_T),B347:B400,"&lt;="&amp;(B389-1))</f>
        <v/>
      </c>
      <c r="S389" s="46">
        <f>(1-d_u)*S388+IF(d_T&gt;in_topup_lag,SUMIFS(O347:O400,B347:B400,B389-in_topup_lag)-d_udrop*SUMIFS(O347:O400,B347:B400,B389-d_T),0)</f>
        <v/>
      </c>
      <c r="T389" s="40">
        <f>F389*d_u*S389</f>
        <v/>
      </c>
      <c r="U389" s="9">
        <f>L389*in_ticket+M389*d_rep_ticket</f>
        <v/>
      </c>
      <c r="V389" s="9">
        <f>U389+T389*d_topup_amt</f>
        <v/>
      </c>
      <c r="W389" s="40">
        <f>N389+T389*d_topup_ratio</f>
        <v/>
      </c>
      <c r="X389" s="40">
        <f>SUMIFS(W347:W400,B347:B400,B389-in_dpd_lag)*d_cured</f>
        <v/>
      </c>
      <c r="Y389" s="40">
        <f>SUMIFS(W347:W400,B347:B400,B389-in_rec_lag)*d_recd</f>
        <v/>
      </c>
      <c r="Z389" s="40">
        <f>IF(AND(B389&gt;=in_marketplace_from,B389&lt;in_marketplace_from+in_card_months),in_card_share/in_card_months*F389*I389,IF(AND(B389&gt;=in_marketplace_from+in_card_months,B389&lt;in_marketplace_from+2*in_card_months),in_card_share*d_card_rem/in_card_months*F389*MIN(in_takeup_cap,(1+in_takeup_growth)^(D389-1))*MIN(in_takeup_cap,(1+in_approval_growth)^(D389-1)),0))</f>
        <v/>
      </c>
      <c r="AA389" s="14">
        <f>V389*in_fee*(1-in_taken_back)</f>
        <v/>
      </c>
      <c r="AB389" s="14">
        <f>SUMIFS(W347:W400,B347:B400,B389-in_dpd_lag)*d_dpd</f>
        <v/>
      </c>
      <c r="AC389" s="14">
        <f>SUMIFS(W347:W400,B347:B400,B389-in_rec_lag)*d_rec</f>
        <v/>
      </c>
      <c r="AD389" s="14">
        <f>Z389*in_card_fee</f>
        <v/>
      </c>
      <c r="AE389" s="40">
        <f>AE388*(1-IF(B388&gt;=in_marketplace_from,d_hz_hlth_small*G388,0))</f>
        <v/>
      </c>
      <c r="AF389" s="46">
        <f>AE389*IF(B389&gt;=in_marketplace_from,d_hz_hlth_small*G389,0)</f>
        <v/>
      </c>
      <c r="AG389" s="14">
        <f>F389*AF389*in_hlth_small_ticket*in_hlth_small_comm*in_ins_partner_share+F389*in_hlth_small_ticket*in_hlth_small_renew_comm*in_ins_partner_share*(in_hlth_small_renew^1*SUMIFS(AF347:AF400,B347:B400,B389-12)+in_hlth_small_renew^2*SUMIFS(AF347:AF400,B347:B400,B389-24)+in_hlth_small_renew^3*SUMIFS(AF347:AF400,B347:B400,B389-36)+in_hlth_small_renew^4*SUMIFS(AF347:AF400,B347:B400,B389-48))</f>
        <v/>
      </c>
      <c r="AH389" s="40">
        <f>AH388*(1-IF(B388&gt;=in_marketplace_from,d_hz_hlth_family*G388,0))</f>
        <v/>
      </c>
      <c r="AI389" s="46">
        <f>AH389*IF(B389&gt;=in_marketplace_from,d_hz_hlth_family*G389,0)</f>
        <v/>
      </c>
      <c r="AJ389" s="14">
        <f>F389*AI389*in_hlth_family_ticket*in_hlth_family_comm*in_ins_partner_share+F389*in_hlth_family_ticket*in_hlth_family_renew_comm*in_ins_partner_share*(in_hlth_family_renew^1*SUMIFS(AI347:AI400,B347:B400,B389-12)+in_hlth_family_renew^2*SUMIFS(AI347:AI400,B347:B400,B389-24)+in_hlth_family_renew^3*SUMIFS(AI347:AI400,B347:B400,B389-36)+in_hlth_family_renew^4*SUMIFS(AI347:AI400,B347:B400,B389-48))</f>
        <v/>
      </c>
      <c r="AK389" s="40">
        <f>AK388*(1-IF(B388&gt;=in_marketplace_from,d_hz_life_term*G388,0))</f>
        <v/>
      </c>
      <c r="AL389" s="46">
        <f>AK389*IF(B389&gt;=in_marketplace_from,d_hz_life_term*G389,0)</f>
        <v/>
      </c>
      <c r="AM389" s="14">
        <f>F389*AL389*in_life_term_ticket*in_life_term_comm*in_ins_partner_share+F389*in_life_term_ticket*in_life_term_renew_comm*in_ins_partner_share*(in_life_term_renew^1*SUMIFS(AL347:AL400,B347:B400,B389-12)+in_life_term_renew^2*SUMIFS(AL347:AL400,B347:B400,B389-24)+in_life_term_renew^3*SUMIFS(AL347:AL400,B347:B400,B389-36)+in_life_term_renew^4*SUMIFS(AL347:AL400,B347:B400,B389-48))</f>
        <v/>
      </c>
      <c r="AN389" s="40">
        <f>AN388*(1-IF(B388&gt;=in_marketplace_from,d_hz_accident*G388,0))</f>
        <v/>
      </c>
      <c r="AO389" s="46">
        <f>AN389*IF(B389&gt;=in_marketplace_from,d_hz_accident*G389,0)</f>
        <v/>
      </c>
      <c r="AP389" s="14">
        <f>F389*AO389*in_accident_ticket*in_accident_comm*in_ins_partner_share+F389*in_accident_ticket*in_accident_renew_comm*in_ins_partner_share*(in_accident_renew^1*SUMIFS(AO347:AO400,B347:B400,B389-12)+in_accident_renew^2*SUMIFS(AO347:AO400,B347:B400,B389-24)+in_accident_renew^3*SUMIFS(AO347:AO400,B347:B400,B389-36)+in_accident_renew^4*SUMIFS(AO347:AO400,B347:B400,B389-48))</f>
        <v/>
      </c>
      <c r="AQ389" s="40">
        <f>AQ388*(1-IF(B388&gt;=in_marketplace_from,d_hz_two_wheeler*G388,0))</f>
        <v/>
      </c>
      <c r="AR389" s="46">
        <f>AQ389*IF(B389&gt;=in_marketplace_from,d_hz_two_wheeler*G389,0)</f>
        <v/>
      </c>
      <c r="AS389" s="14">
        <f>F389*AR389*in_two_wheeler_ticket*in_two_wheeler_comm*in_ins_partner_share+F389*in_two_wheeler_ticket*in_two_wheeler_comm*in_ins_partner_share*(in_two_wheeler_renew^1*SUMIFS(AR347:AR400,B347:B400,B389-12)+in_two_wheeler_renew^2*SUMIFS(AR347:AR400,B347:B400,B389-24)+in_two_wheeler_renew^3*SUMIFS(AR347:AR400,B347:B400,B389-36)+in_two_wheeler_renew^4*SUMIFS(AR347:AR400,B347:B400,B389-48))</f>
        <v/>
      </c>
      <c r="AT389" s="40">
        <f>AT388*(1-IF(B388&gt;=in_marketplace_from,d_hz_device*G388,0))</f>
        <v/>
      </c>
      <c r="AU389" s="14">
        <f>F389*AT389*IF(B389&gt;=in_marketplace_from,d_hz_device*G389,0)*in_device_ticket*in_device_comm*in_ins_partner_share</f>
        <v/>
      </c>
      <c r="AV389" s="40">
        <f>AV388*(1-IF(B388&gt;=in_marketplace_from,d_hz_shop*G388,0))</f>
        <v/>
      </c>
      <c r="AW389" s="46">
        <f>AV389*IF(B389&gt;=in_marketplace_from,d_hz_shop*G389,0)</f>
        <v/>
      </c>
      <c r="AX389" s="14">
        <f>F389*AW389*in_shop_ticket*in_shop_comm*in_ins_partner_share+F389*in_shop_ticket*in_shop_renew_comm*in_ins_partner_share*(in_shop_renew^1*SUMIFS(AW347:AW400,B347:B400,B389-12)+in_shop_renew^2*SUMIFS(AW347:AW400,B347:B400,B389-24)+in_shop_renew^3*SUMIFS(AW347:AW400,B347:B400,B389-36)+in_shop_renew^4*SUMIFS(AW347:AW400,B347:B400,B389-48))</f>
        <v/>
      </c>
      <c r="AY389" s="40">
        <f>AY388*(1-IF(B388&gt;=in_marketplace_from,d_hz_sip*G388,0))</f>
        <v/>
      </c>
      <c r="AZ389" s="40">
        <f>AZ388*d_rho_sip+AY389*IF(B389&gt;=in_marketplace_from,d_hz_sip*G389,0)</f>
        <v/>
      </c>
      <c r="BA389" s="40">
        <f>d_rho_sip*(BA388+AZ388)</f>
        <v/>
      </c>
      <c r="BB389" s="14">
        <f>F389*in_sip_ticket*(BA389+0.5*AZ389)*in_sip_comm/12</f>
        <v/>
      </c>
      <c r="BC389" s="40">
        <f>BC388*(1-IF(B388&gt;=in_marketplace_from,d_hz_choti*G388,0))</f>
        <v/>
      </c>
      <c r="BD389" s="46">
        <f>BC389*IF(B389&gt;=in_marketplace_from,d_hz_choti*G389,0)</f>
        <v/>
      </c>
      <c r="BE389" s="14">
        <f>F389*SUMIFS(BD347:BD400,B347:B400,B389-in_choti_months)*in_choti_renew*in_choti_ticket</f>
        <v/>
      </c>
      <c r="BF389" s="40">
        <f>BF388*(1-IF(B388&gt;=in_marketplace_from,d_hz_nps*G388,0))</f>
        <v/>
      </c>
      <c r="BG389" s="14">
        <f>F389*BF389*IF(B389&gt;=in_marketplace_from,d_hz_nps*G389,0)*in_nps_ticket*in_nps_comm</f>
        <v/>
      </c>
      <c r="BH389" s="40">
        <f>BH388*(1-IF(B388&gt;=in_marketplace_from,d_hz_gold*G388,0))</f>
        <v/>
      </c>
      <c r="BI389" s="40">
        <f>BI388*d_rho_gold+BH389*IF(B389&gt;=in_marketplace_from,d_hz_gold*G389,0)</f>
        <v/>
      </c>
      <c r="BJ389" s="14">
        <f>F389*BI389*in_gold_ticket*in_gold_comm</f>
        <v/>
      </c>
      <c r="BK389" s="40">
        <f>BK388*(1-IF(B388&gt;=in_marketplace_from,d_hz_fd*G388,0))</f>
        <v/>
      </c>
      <c r="BL389" s="14">
        <f>F389*BK389*IF(B389&gt;=in_marketplace_from,d_hz_fd*G389,0)*in_fd_ticket*in_fd_comm</f>
        <v/>
      </c>
      <c r="BM389" s="40">
        <f>BM388*(1-IF(B388&gt;=in_marketplace_from,d_hz_recharge*G388,0))</f>
        <v/>
      </c>
      <c r="BN389" s="40">
        <f>BN388*d_rho_recharge+BM389*IF(B389&gt;=in_marketplace_from,d_hz_recharge*G389,0)</f>
        <v/>
      </c>
      <c r="BO389" s="14">
        <f>F389*BN389*in_recharge_ticket*in_recharge_comm/12</f>
        <v/>
      </c>
      <c r="BP389" s="40">
        <f>BP388*(1-IF(B388&gt;=in_marketplace_from,d_hz_bills*G388,0))</f>
        <v/>
      </c>
      <c r="BQ389" s="40">
        <f>BQ388*d_rho_bills+BP389*IF(B389&gt;=in_marketplace_from,d_hz_bills*G389,0)</f>
        <v/>
      </c>
      <c r="BR389" s="14">
        <f>F389*BQ389*in_bills_ticket*in_bills_comm/12</f>
        <v/>
      </c>
      <c r="BS389" s="40">
        <f>BS388*(1-IF(B388&gt;=in_marketplace_from,d_hz_loan_gold*G388,0))</f>
        <v/>
      </c>
      <c r="BT389" s="14">
        <f>F389*BS389*IF(B389&gt;=in_marketplace_from,d_hz_loan_gold*G389,0)*in_loan_gold_ticket*in_loan_gold_comm</f>
        <v/>
      </c>
      <c r="BU389" s="40">
        <f>BU388*(1-IF(B388&gt;=in_marketplace_from,d_hz_loan_cd*G388,0))</f>
        <v/>
      </c>
      <c r="BV389" s="14">
        <f>F389*BU389*IF(B389&gt;=in_marketplace_from,d_hz_loan_cd*G389,0)*in_loan_cd_ticket*in_loan_cd_comm</f>
        <v/>
      </c>
      <c r="BW389" s="40">
        <f>BW388*(1-IF(B388&gt;=in_marketplace_from,d_hz_loan_vehicle*G388,0))</f>
        <v/>
      </c>
      <c r="BX389" s="14">
        <f>F389*BW389*IF(B389&gt;=in_marketplace_from,d_hz_loan_vehicle*G389,0)*in_loan_vehicle_ticket*in_loan_vehicle_comm</f>
        <v/>
      </c>
      <c r="BY389" s="40">
        <f>BY388*(1-IF(B388&gt;=in_marketplace_from,d_hz_loan_home*G388,0)*BZ388)</f>
        <v/>
      </c>
      <c r="BZ389" s="11">
        <f>MIN(in_approval_cap,in_loan_home_approval*INDEX('Age profile'!$O$2:$O$61,B389)*(1+in_approval_growth)^(D389-1))</f>
        <v/>
      </c>
      <c r="CA389" s="14">
        <f>F389*BY389*IF(B389&gt;=in_marketplace_from,d_hz_loan_home*G389,0)*BZ389*in_loan_home_ticket*in_loan_home_comm</f>
        <v/>
      </c>
      <c r="CB389" s="40">
        <f>CB388*(1-IF(B388&gt;=in_marketplace_from,d_hz_loan_lap*G388,0)*CC388)</f>
        <v/>
      </c>
      <c r="CC389" s="11">
        <f>MIN(in_approval_cap,in_loan_lap_approval*INDEX('Age profile'!$O$2:$O$61,B389)*(1+in_approval_growth)^(D389-1))</f>
        <v/>
      </c>
      <c r="CD389" s="14">
        <f>F389*CB389*IF(B389&gt;=in_marketplace_from,d_hz_loan_lap*G389,0)*CC389*in_loan_lap_ticket*in_loan_lap_comm</f>
        <v/>
      </c>
      <c r="CE389" s="14">
        <f>AA389+AB389+AC389+AD389+AG389+AJ389+AM389+AP389+AS389+AU389+AX389+BB389+BE389+BG389+BJ389+BL389+BO389+BR389+BT389+BV389+BX389+CA389+CD389</f>
        <v/>
      </c>
    </row>
    <row r="390">
      <c r="A390" s="39" t="n">
        <v>7</v>
      </c>
      <c r="B390" s="39" t="n">
        <v>44</v>
      </c>
      <c r="C390" s="39">
        <f>A390+B390-1</f>
        <v/>
      </c>
      <c r="D390" s="39">
        <f>INT((C390-1)/12)+1</f>
        <v/>
      </c>
      <c r="E390" s="44">
        <f>INDEX(Monthly!$B$2:$B$61,A390)</f>
        <v/>
      </c>
      <c r="F390" s="44">
        <f>E390*INDEX('Age profile'!$B$2:$B$61,B390)</f>
        <v/>
      </c>
      <c r="G390" s="45">
        <f>MIN(in_takeup_cap,INDEX('Age profile'!$N$2:$N$61,B390)*(1+in_takeup_growth)^(D390-1))</f>
        <v/>
      </c>
      <c r="H390" s="11">
        <f>MIN(in_approval_cap,in_approved_first*INDEX('Age profile'!$O$2:$O$61,B390)*(1+in_approval_growth)^(D390-1))</f>
        <v/>
      </c>
      <c r="I390" s="45">
        <f>G390*MIN(in_takeup_cap,INDEX('Age profile'!$O$2:$O$61,B390)*(1+in_approval_growth)^(D390-1))</f>
        <v/>
      </c>
      <c r="J390" s="40">
        <f>(J389-L389)*F390/F389</f>
        <v/>
      </c>
      <c r="K390" s="40">
        <f>(K389-M389)*F390/F389+SUMIFS(O347:O389,B347:B389,B390-1-d_T)*F390</f>
        <v/>
      </c>
      <c r="L390" s="40">
        <f>IF(B390&gt;=in_marketplace_from,J390*d_hz*G390*in_eligible*H390,0)</f>
        <v/>
      </c>
      <c r="M390" s="40">
        <f>IF(B390&gt;=in_marketplace_from,K390*d_hz*G390*in_eligible*in_approved_repeat,0)</f>
        <v/>
      </c>
      <c r="N390" s="40">
        <f>L390+M390</f>
        <v/>
      </c>
      <c r="O390" s="46">
        <f>N390/F390</f>
        <v/>
      </c>
      <c r="P390" s="40">
        <f>F390-J390-K390</f>
        <v/>
      </c>
      <c r="Q390" s="40">
        <f>IF(B390&gt;=in_marketplace_from,(J390+K390)*d_hz*G390,0)</f>
        <v/>
      </c>
      <c r="R390" s="40">
        <f>SUMIFS(N347:N400,B347:B400,"&gt;="&amp;(B390-d_T),B347:B400,"&lt;="&amp;(B390-1))</f>
        <v/>
      </c>
      <c r="S390" s="46">
        <f>(1-d_u)*S389+IF(d_T&gt;in_topup_lag,SUMIFS(O347:O400,B347:B400,B390-in_topup_lag)-d_udrop*SUMIFS(O347:O400,B347:B400,B390-d_T),0)</f>
        <v/>
      </c>
      <c r="T390" s="40">
        <f>F390*d_u*S390</f>
        <v/>
      </c>
      <c r="U390" s="9">
        <f>L390*in_ticket+M390*d_rep_ticket</f>
        <v/>
      </c>
      <c r="V390" s="9">
        <f>U390+T390*d_topup_amt</f>
        <v/>
      </c>
      <c r="W390" s="40">
        <f>N390+T390*d_topup_ratio</f>
        <v/>
      </c>
      <c r="X390" s="40">
        <f>SUMIFS(W347:W400,B347:B400,B390-in_dpd_lag)*d_cured</f>
        <v/>
      </c>
      <c r="Y390" s="40">
        <f>SUMIFS(W347:W400,B347:B400,B390-in_rec_lag)*d_recd</f>
        <v/>
      </c>
      <c r="Z390" s="40">
        <f>IF(AND(B390&gt;=in_marketplace_from,B390&lt;in_marketplace_from+in_card_months),in_card_share/in_card_months*F390*I390,IF(AND(B390&gt;=in_marketplace_from+in_card_months,B390&lt;in_marketplace_from+2*in_card_months),in_card_share*d_card_rem/in_card_months*F390*MIN(in_takeup_cap,(1+in_takeup_growth)^(D390-1))*MIN(in_takeup_cap,(1+in_approval_growth)^(D390-1)),0))</f>
        <v/>
      </c>
      <c r="AA390" s="14">
        <f>V390*in_fee*(1-in_taken_back)</f>
        <v/>
      </c>
      <c r="AB390" s="14">
        <f>SUMIFS(W347:W400,B347:B400,B390-in_dpd_lag)*d_dpd</f>
        <v/>
      </c>
      <c r="AC390" s="14">
        <f>SUMIFS(W347:W400,B347:B400,B390-in_rec_lag)*d_rec</f>
        <v/>
      </c>
      <c r="AD390" s="14">
        <f>Z390*in_card_fee</f>
        <v/>
      </c>
      <c r="AE390" s="40">
        <f>AE389*(1-IF(B389&gt;=in_marketplace_from,d_hz_hlth_small*G389,0))</f>
        <v/>
      </c>
      <c r="AF390" s="46">
        <f>AE390*IF(B390&gt;=in_marketplace_from,d_hz_hlth_small*G390,0)</f>
        <v/>
      </c>
      <c r="AG390" s="14">
        <f>F390*AF390*in_hlth_small_ticket*in_hlth_small_comm*in_ins_partner_share+F390*in_hlth_small_ticket*in_hlth_small_renew_comm*in_ins_partner_share*(in_hlth_small_renew^1*SUMIFS(AF347:AF400,B347:B400,B390-12)+in_hlth_small_renew^2*SUMIFS(AF347:AF400,B347:B400,B390-24)+in_hlth_small_renew^3*SUMIFS(AF347:AF400,B347:B400,B390-36)+in_hlth_small_renew^4*SUMIFS(AF347:AF400,B347:B400,B390-48))</f>
        <v/>
      </c>
      <c r="AH390" s="40">
        <f>AH389*(1-IF(B389&gt;=in_marketplace_from,d_hz_hlth_family*G389,0))</f>
        <v/>
      </c>
      <c r="AI390" s="46">
        <f>AH390*IF(B390&gt;=in_marketplace_from,d_hz_hlth_family*G390,0)</f>
        <v/>
      </c>
      <c r="AJ390" s="14">
        <f>F390*AI390*in_hlth_family_ticket*in_hlth_family_comm*in_ins_partner_share+F390*in_hlth_family_ticket*in_hlth_family_renew_comm*in_ins_partner_share*(in_hlth_family_renew^1*SUMIFS(AI347:AI400,B347:B400,B390-12)+in_hlth_family_renew^2*SUMIFS(AI347:AI400,B347:B400,B390-24)+in_hlth_family_renew^3*SUMIFS(AI347:AI400,B347:B400,B390-36)+in_hlth_family_renew^4*SUMIFS(AI347:AI400,B347:B400,B390-48))</f>
        <v/>
      </c>
      <c r="AK390" s="40">
        <f>AK389*(1-IF(B389&gt;=in_marketplace_from,d_hz_life_term*G389,0))</f>
        <v/>
      </c>
      <c r="AL390" s="46">
        <f>AK390*IF(B390&gt;=in_marketplace_from,d_hz_life_term*G390,0)</f>
        <v/>
      </c>
      <c r="AM390" s="14">
        <f>F390*AL390*in_life_term_ticket*in_life_term_comm*in_ins_partner_share+F390*in_life_term_ticket*in_life_term_renew_comm*in_ins_partner_share*(in_life_term_renew^1*SUMIFS(AL347:AL400,B347:B400,B390-12)+in_life_term_renew^2*SUMIFS(AL347:AL400,B347:B400,B390-24)+in_life_term_renew^3*SUMIFS(AL347:AL400,B347:B400,B390-36)+in_life_term_renew^4*SUMIFS(AL347:AL400,B347:B400,B390-48))</f>
        <v/>
      </c>
      <c r="AN390" s="40">
        <f>AN389*(1-IF(B389&gt;=in_marketplace_from,d_hz_accident*G389,0))</f>
        <v/>
      </c>
      <c r="AO390" s="46">
        <f>AN390*IF(B390&gt;=in_marketplace_from,d_hz_accident*G390,0)</f>
        <v/>
      </c>
      <c r="AP390" s="14">
        <f>F390*AO390*in_accident_ticket*in_accident_comm*in_ins_partner_share+F390*in_accident_ticket*in_accident_renew_comm*in_ins_partner_share*(in_accident_renew^1*SUMIFS(AO347:AO400,B347:B400,B390-12)+in_accident_renew^2*SUMIFS(AO347:AO400,B347:B400,B390-24)+in_accident_renew^3*SUMIFS(AO347:AO400,B347:B400,B390-36)+in_accident_renew^4*SUMIFS(AO347:AO400,B347:B400,B390-48))</f>
        <v/>
      </c>
      <c r="AQ390" s="40">
        <f>AQ389*(1-IF(B389&gt;=in_marketplace_from,d_hz_two_wheeler*G389,0))</f>
        <v/>
      </c>
      <c r="AR390" s="46">
        <f>AQ390*IF(B390&gt;=in_marketplace_from,d_hz_two_wheeler*G390,0)</f>
        <v/>
      </c>
      <c r="AS390" s="14">
        <f>F390*AR390*in_two_wheeler_ticket*in_two_wheeler_comm*in_ins_partner_share+F390*in_two_wheeler_ticket*in_two_wheeler_comm*in_ins_partner_share*(in_two_wheeler_renew^1*SUMIFS(AR347:AR400,B347:B400,B390-12)+in_two_wheeler_renew^2*SUMIFS(AR347:AR400,B347:B400,B390-24)+in_two_wheeler_renew^3*SUMIFS(AR347:AR400,B347:B400,B390-36)+in_two_wheeler_renew^4*SUMIFS(AR347:AR400,B347:B400,B390-48))</f>
        <v/>
      </c>
      <c r="AT390" s="40">
        <f>AT389*(1-IF(B389&gt;=in_marketplace_from,d_hz_device*G389,0))</f>
        <v/>
      </c>
      <c r="AU390" s="14">
        <f>F390*AT390*IF(B390&gt;=in_marketplace_from,d_hz_device*G390,0)*in_device_ticket*in_device_comm*in_ins_partner_share</f>
        <v/>
      </c>
      <c r="AV390" s="40">
        <f>AV389*(1-IF(B389&gt;=in_marketplace_from,d_hz_shop*G389,0))</f>
        <v/>
      </c>
      <c r="AW390" s="46">
        <f>AV390*IF(B390&gt;=in_marketplace_from,d_hz_shop*G390,0)</f>
        <v/>
      </c>
      <c r="AX390" s="14">
        <f>F390*AW390*in_shop_ticket*in_shop_comm*in_ins_partner_share+F390*in_shop_ticket*in_shop_renew_comm*in_ins_partner_share*(in_shop_renew^1*SUMIFS(AW347:AW400,B347:B400,B390-12)+in_shop_renew^2*SUMIFS(AW347:AW400,B347:B400,B390-24)+in_shop_renew^3*SUMIFS(AW347:AW400,B347:B400,B390-36)+in_shop_renew^4*SUMIFS(AW347:AW400,B347:B400,B390-48))</f>
        <v/>
      </c>
      <c r="AY390" s="40">
        <f>AY389*(1-IF(B389&gt;=in_marketplace_from,d_hz_sip*G389,0))</f>
        <v/>
      </c>
      <c r="AZ390" s="40">
        <f>AZ389*d_rho_sip+AY390*IF(B390&gt;=in_marketplace_from,d_hz_sip*G390,0)</f>
        <v/>
      </c>
      <c r="BA390" s="40">
        <f>d_rho_sip*(BA389+AZ389)</f>
        <v/>
      </c>
      <c r="BB390" s="14">
        <f>F390*in_sip_ticket*(BA390+0.5*AZ390)*in_sip_comm/12</f>
        <v/>
      </c>
      <c r="BC390" s="40">
        <f>BC389*(1-IF(B389&gt;=in_marketplace_from,d_hz_choti*G389,0))</f>
        <v/>
      </c>
      <c r="BD390" s="46">
        <f>BC390*IF(B390&gt;=in_marketplace_from,d_hz_choti*G390,0)</f>
        <v/>
      </c>
      <c r="BE390" s="14">
        <f>F390*SUMIFS(BD347:BD400,B347:B400,B390-in_choti_months)*in_choti_renew*in_choti_ticket</f>
        <v/>
      </c>
      <c r="BF390" s="40">
        <f>BF389*(1-IF(B389&gt;=in_marketplace_from,d_hz_nps*G389,0))</f>
        <v/>
      </c>
      <c r="BG390" s="14">
        <f>F390*BF390*IF(B390&gt;=in_marketplace_from,d_hz_nps*G390,0)*in_nps_ticket*in_nps_comm</f>
        <v/>
      </c>
      <c r="BH390" s="40">
        <f>BH389*(1-IF(B389&gt;=in_marketplace_from,d_hz_gold*G389,0))</f>
        <v/>
      </c>
      <c r="BI390" s="40">
        <f>BI389*d_rho_gold+BH390*IF(B390&gt;=in_marketplace_from,d_hz_gold*G390,0)</f>
        <v/>
      </c>
      <c r="BJ390" s="14">
        <f>F390*BI390*in_gold_ticket*in_gold_comm</f>
        <v/>
      </c>
      <c r="BK390" s="40">
        <f>BK389*(1-IF(B389&gt;=in_marketplace_from,d_hz_fd*G389,0))</f>
        <v/>
      </c>
      <c r="BL390" s="14">
        <f>F390*BK390*IF(B390&gt;=in_marketplace_from,d_hz_fd*G390,0)*in_fd_ticket*in_fd_comm</f>
        <v/>
      </c>
      <c r="BM390" s="40">
        <f>BM389*(1-IF(B389&gt;=in_marketplace_from,d_hz_recharge*G389,0))</f>
        <v/>
      </c>
      <c r="BN390" s="40">
        <f>BN389*d_rho_recharge+BM390*IF(B390&gt;=in_marketplace_from,d_hz_recharge*G390,0)</f>
        <v/>
      </c>
      <c r="BO390" s="14">
        <f>F390*BN390*in_recharge_ticket*in_recharge_comm/12</f>
        <v/>
      </c>
      <c r="BP390" s="40">
        <f>BP389*(1-IF(B389&gt;=in_marketplace_from,d_hz_bills*G389,0))</f>
        <v/>
      </c>
      <c r="BQ390" s="40">
        <f>BQ389*d_rho_bills+BP390*IF(B390&gt;=in_marketplace_from,d_hz_bills*G390,0)</f>
        <v/>
      </c>
      <c r="BR390" s="14">
        <f>F390*BQ390*in_bills_ticket*in_bills_comm/12</f>
        <v/>
      </c>
      <c r="BS390" s="40">
        <f>BS389*(1-IF(B389&gt;=in_marketplace_from,d_hz_loan_gold*G389,0))</f>
        <v/>
      </c>
      <c r="BT390" s="14">
        <f>F390*BS390*IF(B390&gt;=in_marketplace_from,d_hz_loan_gold*G390,0)*in_loan_gold_ticket*in_loan_gold_comm</f>
        <v/>
      </c>
      <c r="BU390" s="40">
        <f>BU389*(1-IF(B389&gt;=in_marketplace_from,d_hz_loan_cd*G389,0))</f>
        <v/>
      </c>
      <c r="BV390" s="14">
        <f>F390*BU390*IF(B390&gt;=in_marketplace_from,d_hz_loan_cd*G390,0)*in_loan_cd_ticket*in_loan_cd_comm</f>
        <v/>
      </c>
      <c r="BW390" s="40">
        <f>BW389*(1-IF(B389&gt;=in_marketplace_from,d_hz_loan_vehicle*G389,0))</f>
        <v/>
      </c>
      <c r="BX390" s="14">
        <f>F390*BW390*IF(B390&gt;=in_marketplace_from,d_hz_loan_vehicle*G390,0)*in_loan_vehicle_ticket*in_loan_vehicle_comm</f>
        <v/>
      </c>
      <c r="BY390" s="40">
        <f>BY389*(1-IF(B389&gt;=in_marketplace_from,d_hz_loan_home*G389,0)*BZ389)</f>
        <v/>
      </c>
      <c r="BZ390" s="11">
        <f>MIN(in_approval_cap,in_loan_home_approval*INDEX('Age profile'!$O$2:$O$61,B390)*(1+in_approval_growth)^(D390-1))</f>
        <v/>
      </c>
      <c r="CA390" s="14">
        <f>F390*BY390*IF(B390&gt;=in_marketplace_from,d_hz_loan_home*G390,0)*BZ390*in_loan_home_ticket*in_loan_home_comm</f>
        <v/>
      </c>
      <c r="CB390" s="40">
        <f>CB389*(1-IF(B389&gt;=in_marketplace_from,d_hz_loan_lap*G389,0)*CC389)</f>
        <v/>
      </c>
      <c r="CC390" s="11">
        <f>MIN(in_approval_cap,in_loan_lap_approval*INDEX('Age profile'!$O$2:$O$61,B390)*(1+in_approval_growth)^(D390-1))</f>
        <v/>
      </c>
      <c r="CD390" s="14">
        <f>F390*CB390*IF(B390&gt;=in_marketplace_from,d_hz_loan_lap*G390,0)*CC390*in_loan_lap_ticket*in_loan_lap_comm</f>
        <v/>
      </c>
      <c r="CE390" s="14">
        <f>AA390+AB390+AC390+AD390+AG390+AJ390+AM390+AP390+AS390+AU390+AX390+BB390+BE390+BG390+BJ390+BL390+BO390+BR390+BT390+BV390+BX390+CA390+CD390</f>
        <v/>
      </c>
    </row>
    <row r="391">
      <c r="A391" s="39" t="n">
        <v>7</v>
      </c>
      <c r="B391" s="39" t="n">
        <v>45</v>
      </c>
      <c r="C391" s="39">
        <f>A391+B391-1</f>
        <v/>
      </c>
      <c r="D391" s="39">
        <f>INT((C391-1)/12)+1</f>
        <v/>
      </c>
      <c r="E391" s="44">
        <f>INDEX(Monthly!$B$2:$B$61,A391)</f>
        <v/>
      </c>
      <c r="F391" s="44">
        <f>E391*INDEX('Age profile'!$B$2:$B$61,B391)</f>
        <v/>
      </c>
      <c r="G391" s="45">
        <f>MIN(in_takeup_cap,INDEX('Age profile'!$N$2:$N$61,B391)*(1+in_takeup_growth)^(D391-1))</f>
        <v/>
      </c>
      <c r="H391" s="11">
        <f>MIN(in_approval_cap,in_approved_first*INDEX('Age profile'!$O$2:$O$61,B391)*(1+in_approval_growth)^(D391-1))</f>
        <v/>
      </c>
      <c r="I391" s="45">
        <f>G391*MIN(in_takeup_cap,INDEX('Age profile'!$O$2:$O$61,B391)*(1+in_approval_growth)^(D391-1))</f>
        <v/>
      </c>
      <c r="J391" s="40">
        <f>(J390-L390)*F391/F390</f>
        <v/>
      </c>
      <c r="K391" s="40">
        <f>(K390-M390)*F391/F390+SUMIFS(O347:O390,B347:B390,B391-1-d_T)*F391</f>
        <v/>
      </c>
      <c r="L391" s="40">
        <f>IF(B391&gt;=in_marketplace_from,J391*d_hz*G391*in_eligible*H391,0)</f>
        <v/>
      </c>
      <c r="M391" s="40">
        <f>IF(B391&gt;=in_marketplace_from,K391*d_hz*G391*in_eligible*in_approved_repeat,0)</f>
        <v/>
      </c>
      <c r="N391" s="40">
        <f>L391+M391</f>
        <v/>
      </c>
      <c r="O391" s="46">
        <f>N391/F391</f>
        <v/>
      </c>
      <c r="P391" s="40">
        <f>F391-J391-K391</f>
        <v/>
      </c>
      <c r="Q391" s="40">
        <f>IF(B391&gt;=in_marketplace_from,(J391+K391)*d_hz*G391,0)</f>
        <v/>
      </c>
      <c r="R391" s="40">
        <f>SUMIFS(N347:N400,B347:B400,"&gt;="&amp;(B391-d_T),B347:B400,"&lt;="&amp;(B391-1))</f>
        <v/>
      </c>
      <c r="S391" s="46">
        <f>(1-d_u)*S390+IF(d_T&gt;in_topup_lag,SUMIFS(O347:O400,B347:B400,B391-in_topup_lag)-d_udrop*SUMIFS(O347:O400,B347:B400,B391-d_T),0)</f>
        <v/>
      </c>
      <c r="T391" s="40">
        <f>F391*d_u*S391</f>
        <v/>
      </c>
      <c r="U391" s="9">
        <f>L391*in_ticket+M391*d_rep_ticket</f>
        <v/>
      </c>
      <c r="V391" s="9">
        <f>U391+T391*d_topup_amt</f>
        <v/>
      </c>
      <c r="W391" s="40">
        <f>N391+T391*d_topup_ratio</f>
        <v/>
      </c>
      <c r="X391" s="40">
        <f>SUMIFS(W347:W400,B347:B400,B391-in_dpd_lag)*d_cured</f>
        <v/>
      </c>
      <c r="Y391" s="40">
        <f>SUMIFS(W347:W400,B347:B400,B391-in_rec_lag)*d_recd</f>
        <v/>
      </c>
      <c r="Z391" s="40">
        <f>IF(AND(B391&gt;=in_marketplace_from,B391&lt;in_marketplace_from+in_card_months),in_card_share/in_card_months*F391*I391,IF(AND(B391&gt;=in_marketplace_from+in_card_months,B391&lt;in_marketplace_from+2*in_card_months),in_card_share*d_card_rem/in_card_months*F391*MIN(in_takeup_cap,(1+in_takeup_growth)^(D391-1))*MIN(in_takeup_cap,(1+in_approval_growth)^(D391-1)),0))</f>
        <v/>
      </c>
      <c r="AA391" s="14">
        <f>V391*in_fee*(1-in_taken_back)</f>
        <v/>
      </c>
      <c r="AB391" s="14">
        <f>SUMIFS(W347:W400,B347:B400,B391-in_dpd_lag)*d_dpd</f>
        <v/>
      </c>
      <c r="AC391" s="14">
        <f>SUMIFS(W347:W400,B347:B400,B391-in_rec_lag)*d_rec</f>
        <v/>
      </c>
      <c r="AD391" s="14">
        <f>Z391*in_card_fee</f>
        <v/>
      </c>
      <c r="AE391" s="40">
        <f>AE390*(1-IF(B390&gt;=in_marketplace_from,d_hz_hlth_small*G390,0))</f>
        <v/>
      </c>
      <c r="AF391" s="46">
        <f>AE391*IF(B391&gt;=in_marketplace_from,d_hz_hlth_small*G391,0)</f>
        <v/>
      </c>
      <c r="AG391" s="14">
        <f>F391*AF391*in_hlth_small_ticket*in_hlth_small_comm*in_ins_partner_share+F391*in_hlth_small_ticket*in_hlth_small_renew_comm*in_ins_partner_share*(in_hlth_small_renew^1*SUMIFS(AF347:AF400,B347:B400,B391-12)+in_hlth_small_renew^2*SUMIFS(AF347:AF400,B347:B400,B391-24)+in_hlth_small_renew^3*SUMIFS(AF347:AF400,B347:B400,B391-36)+in_hlth_small_renew^4*SUMIFS(AF347:AF400,B347:B400,B391-48))</f>
        <v/>
      </c>
      <c r="AH391" s="40">
        <f>AH390*(1-IF(B390&gt;=in_marketplace_from,d_hz_hlth_family*G390,0))</f>
        <v/>
      </c>
      <c r="AI391" s="46">
        <f>AH391*IF(B391&gt;=in_marketplace_from,d_hz_hlth_family*G391,0)</f>
        <v/>
      </c>
      <c r="AJ391" s="14">
        <f>F391*AI391*in_hlth_family_ticket*in_hlth_family_comm*in_ins_partner_share+F391*in_hlth_family_ticket*in_hlth_family_renew_comm*in_ins_partner_share*(in_hlth_family_renew^1*SUMIFS(AI347:AI400,B347:B400,B391-12)+in_hlth_family_renew^2*SUMIFS(AI347:AI400,B347:B400,B391-24)+in_hlth_family_renew^3*SUMIFS(AI347:AI400,B347:B400,B391-36)+in_hlth_family_renew^4*SUMIFS(AI347:AI400,B347:B400,B391-48))</f>
        <v/>
      </c>
      <c r="AK391" s="40">
        <f>AK390*(1-IF(B390&gt;=in_marketplace_from,d_hz_life_term*G390,0))</f>
        <v/>
      </c>
      <c r="AL391" s="46">
        <f>AK391*IF(B391&gt;=in_marketplace_from,d_hz_life_term*G391,0)</f>
        <v/>
      </c>
      <c r="AM391" s="14">
        <f>F391*AL391*in_life_term_ticket*in_life_term_comm*in_ins_partner_share+F391*in_life_term_ticket*in_life_term_renew_comm*in_ins_partner_share*(in_life_term_renew^1*SUMIFS(AL347:AL400,B347:B400,B391-12)+in_life_term_renew^2*SUMIFS(AL347:AL400,B347:B400,B391-24)+in_life_term_renew^3*SUMIFS(AL347:AL400,B347:B400,B391-36)+in_life_term_renew^4*SUMIFS(AL347:AL400,B347:B400,B391-48))</f>
        <v/>
      </c>
      <c r="AN391" s="40">
        <f>AN390*(1-IF(B390&gt;=in_marketplace_from,d_hz_accident*G390,0))</f>
        <v/>
      </c>
      <c r="AO391" s="46">
        <f>AN391*IF(B391&gt;=in_marketplace_from,d_hz_accident*G391,0)</f>
        <v/>
      </c>
      <c r="AP391" s="14">
        <f>F391*AO391*in_accident_ticket*in_accident_comm*in_ins_partner_share+F391*in_accident_ticket*in_accident_renew_comm*in_ins_partner_share*(in_accident_renew^1*SUMIFS(AO347:AO400,B347:B400,B391-12)+in_accident_renew^2*SUMIFS(AO347:AO400,B347:B400,B391-24)+in_accident_renew^3*SUMIFS(AO347:AO400,B347:B400,B391-36)+in_accident_renew^4*SUMIFS(AO347:AO400,B347:B400,B391-48))</f>
        <v/>
      </c>
      <c r="AQ391" s="40">
        <f>AQ390*(1-IF(B390&gt;=in_marketplace_from,d_hz_two_wheeler*G390,0))</f>
        <v/>
      </c>
      <c r="AR391" s="46">
        <f>AQ391*IF(B391&gt;=in_marketplace_from,d_hz_two_wheeler*G391,0)</f>
        <v/>
      </c>
      <c r="AS391" s="14">
        <f>F391*AR391*in_two_wheeler_ticket*in_two_wheeler_comm*in_ins_partner_share+F391*in_two_wheeler_ticket*in_two_wheeler_comm*in_ins_partner_share*(in_two_wheeler_renew^1*SUMIFS(AR347:AR400,B347:B400,B391-12)+in_two_wheeler_renew^2*SUMIFS(AR347:AR400,B347:B400,B391-24)+in_two_wheeler_renew^3*SUMIFS(AR347:AR400,B347:B400,B391-36)+in_two_wheeler_renew^4*SUMIFS(AR347:AR400,B347:B400,B391-48))</f>
        <v/>
      </c>
      <c r="AT391" s="40">
        <f>AT390*(1-IF(B390&gt;=in_marketplace_from,d_hz_device*G390,0))</f>
        <v/>
      </c>
      <c r="AU391" s="14">
        <f>F391*AT391*IF(B391&gt;=in_marketplace_from,d_hz_device*G391,0)*in_device_ticket*in_device_comm*in_ins_partner_share</f>
        <v/>
      </c>
      <c r="AV391" s="40">
        <f>AV390*(1-IF(B390&gt;=in_marketplace_from,d_hz_shop*G390,0))</f>
        <v/>
      </c>
      <c r="AW391" s="46">
        <f>AV391*IF(B391&gt;=in_marketplace_from,d_hz_shop*G391,0)</f>
        <v/>
      </c>
      <c r="AX391" s="14">
        <f>F391*AW391*in_shop_ticket*in_shop_comm*in_ins_partner_share+F391*in_shop_ticket*in_shop_renew_comm*in_ins_partner_share*(in_shop_renew^1*SUMIFS(AW347:AW400,B347:B400,B391-12)+in_shop_renew^2*SUMIFS(AW347:AW400,B347:B400,B391-24)+in_shop_renew^3*SUMIFS(AW347:AW400,B347:B400,B391-36)+in_shop_renew^4*SUMIFS(AW347:AW400,B347:B400,B391-48))</f>
        <v/>
      </c>
      <c r="AY391" s="40">
        <f>AY390*(1-IF(B390&gt;=in_marketplace_from,d_hz_sip*G390,0))</f>
        <v/>
      </c>
      <c r="AZ391" s="40">
        <f>AZ390*d_rho_sip+AY391*IF(B391&gt;=in_marketplace_from,d_hz_sip*G391,0)</f>
        <v/>
      </c>
      <c r="BA391" s="40">
        <f>d_rho_sip*(BA390+AZ390)</f>
        <v/>
      </c>
      <c r="BB391" s="14">
        <f>F391*in_sip_ticket*(BA391+0.5*AZ391)*in_sip_comm/12</f>
        <v/>
      </c>
      <c r="BC391" s="40">
        <f>BC390*(1-IF(B390&gt;=in_marketplace_from,d_hz_choti*G390,0))</f>
        <v/>
      </c>
      <c r="BD391" s="46">
        <f>BC391*IF(B391&gt;=in_marketplace_from,d_hz_choti*G391,0)</f>
        <v/>
      </c>
      <c r="BE391" s="14">
        <f>F391*SUMIFS(BD347:BD400,B347:B400,B391-in_choti_months)*in_choti_renew*in_choti_ticket</f>
        <v/>
      </c>
      <c r="BF391" s="40">
        <f>BF390*(1-IF(B390&gt;=in_marketplace_from,d_hz_nps*G390,0))</f>
        <v/>
      </c>
      <c r="BG391" s="14">
        <f>F391*BF391*IF(B391&gt;=in_marketplace_from,d_hz_nps*G391,0)*in_nps_ticket*in_nps_comm</f>
        <v/>
      </c>
      <c r="BH391" s="40">
        <f>BH390*(1-IF(B390&gt;=in_marketplace_from,d_hz_gold*G390,0))</f>
        <v/>
      </c>
      <c r="BI391" s="40">
        <f>BI390*d_rho_gold+BH391*IF(B391&gt;=in_marketplace_from,d_hz_gold*G391,0)</f>
        <v/>
      </c>
      <c r="BJ391" s="14">
        <f>F391*BI391*in_gold_ticket*in_gold_comm</f>
        <v/>
      </c>
      <c r="BK391" s="40">
        <f>BK390*(1-IF(B390&gt;=in_marketplace_from,d_hz_fd*G390,0))</f>
        <v/>
      </c>
      <c r="BL391" s="14">
        <f>F391*BK391*IF(B391&gt;=in_marketplace_from,d_hz_fd*G391,0)*in_fd_ticket*in_fd_comm</f>
        <v/>
      </c>
      <c r="BM391" s="40">
        <f>BM390*(1-IF(B390&gt;=in_marketplace_from,d_hz_recharge*G390,0))</f>
        <v/>
      </c>
      <c r="BN391" s="40">
        <f>BN390*d_rho_recharge+BM391*IF(B391&gt;=in_marketplace_from,d_hz_recharge*G391,0)</f>
        <v/>
      </c>
      <c r="BO391" s="14">
        <f>F391*BN391*in_recharge_ticket*in_recharge_comm/12</f>
        <v/>
      </c>
      <c r="BP391" s="40">
        <f>BP390*(1-IF(B390&gt;=in_marketplace_from,d_hz_bills*G390,0))</f>
        <v/>
      </c>
      <c r="BQ391" s="40">
        <f>BQ390*d_rho_bills+BP391*IF(B391&gt;=in_marketplace_from,d_hz_bills*G391,0)</f>
        <v/>
      </c>
      <c r="BR391" s="14">
        <f>F391*BQ391*in_bills_ticket*in_bills_comm/12</f>
        <v/>
      </c>
      <c r="BS391" s="40">
        <f>BS390*(1-IF(B390&gt;=in_marketplace_from,d_hz_loan_gold*G390,0))</f>
        <v/>
      </c>
      <c r="BT391" s="14">
        <f>F391*BS391*IF(B391&gt;=in_marketplace_from,d_hz_loan_gold*G391,0)*in_loan_gold_ticket*in_loan_gold_comm</f>
        <v/>
      </c>
      <c r="BU391" s="40">
        <f>BU390*(1-IF(B390&gt;=in_marketplace_from,d_hz_loan_cd*G390,0))</f>
        <v/>
      </c>
      <c r="BV391" s="14">
        <f>F391*BU391*IF(B391&gt;=in_marketplace_from,d_hz_loan_cd*G391,0)*in_loan_cd_ticket*in_loan_cd_comm</f>
        <v/>
      </c>
      <c r="BW391" s="40">
        <f>BW390*(1-IF(B390&gt;=in_marketplace_from,d_hz_loan_vehicle*G390,0))</f>
        <v/>
      </c>
      <c r="BX391" s="14">
        <f>F391*BW391*IF(B391&gt;=in_marketplace_from,d_hz_loan_vehicle*G391,0)*in_loan_vehicle_ticket*in_loan_vehicle_comm</f>
        <v/>
      </c>
      <c r="BY391" s="40">
        <f>BY390*(1-IF(B390&gt;=in_marketplace_from,d_hz_loan_home*G390,0)*BZ390)</f>
        <v/>
      </c>
      <c r="BZ391" s="11">
        <f>MIN(in_approval_cap,in_loan_home_approval*INDEX('Age profile'!$O$2:$O$61,B391)*(1+in_approval_growth)^(D391-1))</f>
        <v/>
      </c>
      <c r="CA391" s="14">
        <f>F391*BY391*IF(B391&gt;=in_marketplace_from,d_hz_loan_home*G391,0)*BZ391*in_loan_home_ticket*in_loan_home_comm</f>
        <v/>
      </c>
      <c r="CB391" s="40">
        <f>CB390*(1-IF(B390&gt;=in_marketplace_from,d_hz_loan_lap*G390,0)*CC390)</f>
        <v/>
      </c>
      <c r="CC391" s="11">
        <f>MIN(in_approval_cap,in_loan_lap_approval*INDEX('Age profile'!$O$2:$O$61,B391)*(1+in_approval_growth)^(D391-1))</f>
        <v/>
      </c>
      <c r="CD391" s="14">
        <f>F391*CB391*IF(B391&gt;=in_marketplace_from,d_hz_loan_lap*G391,0)*CC391*in_loan_lap_ticket*in_loan_lap_comm</f>
        <v/>
      </c>
      <c r="CE391" s="14">
        <f>AA391+AB391+AC391+AD391+AG391+AJ391+AM391+AP391+AS391+AU391+AX391+BB391+BE391+BG391+BJ391+BL391+BO391+BR391+BT391+BV391+BX391+CA391+CD391</f>
        <v/>
      </c>
    </row>
    <row r="392">
      <c r="A392" s="39" t="n">
        <v>7</v>
      </c>
      <c r="B392" s="39" t="n">
        <v>46</v>
      </c>
      <c r="C392" s="39">
        <f>A392+B392-1</f>
        <v/>
      </c>
      <c r="D392" s="39">
        <f>INT((C392-1)/12)+1</f>
        <v/>
      </c>
      <c r="E392" s="44">
        <f>INDEX(Monthly!$B$2:$B$61,A392)</f>
        <v/>
      </c>
      <c r="F392" s="44">
        <f>E392*INDEX('Age profile'!$B$2:$B$61,B392)</f>
        <v/>
      </c>
      <c r="G392" s="45">
        <f>MIN(in_takeup_cap,INDEX('Age profile'!$N$2:$N$61,B392)*(1+in_takeup_growth)^(D392-1))</f>
        <v/>
      </c>
      <c r="H392" s="11">
        <f>MIN(in_approval_cap,in_approved_first*INDEX('Age profile'!$O$2:$O$61,B392)*(1+in_approval_growth)^(D392-1))</f>
        <v/>
      </c>
      <c r="I392" s="45">
        <f>G392*MIN(in_takeup_cap,INDEX('Age profile'!$O$2:$O$61,B392)*(1+in_approval_growth)^(D392-1))</f>
        <v/>
      </c>
      <c r="J392" s="40">
        <f>(J391-L391)*F392/F391</f>
        <v/>
      </c>
      <c r="K392" s="40">
        <f>(K391-M391)*F392/F391+SUMIFS(O347:O391,B347:B391,B392-1-d_T)*F392</f>
        <v/>
      </c>
      <c r="L392" s="40">
        <f>IF(B392&gt;=in_marketplace_from,J392*d_hz*G392*in_eligible*H392,0)</f>
        <v/>
      </c>
      <c r="M392" s="40">
        <f>IF(B392&gt;=in_marketplace_from,K392*d_hz*G392*in_eligible*in_approved_repeat,0)</f>
        <v/>
      </c>
      <c r="N392" s="40">
        <f>L392+M392</f>
        <v/>
      </c>
      <c r="O392" s="46">
        <f>N392/F392</f>
        <v/>
      </c>
      <c r="P392" s="40">
        <f>F392-J392-K392</f>
        <v/>
      </c>
      <c r="Q392" s="40">
        <f>IF(B392&gt;=in_marketplace_from,(J392+K392)*d_hz*G392,0)</f>
        <v/>
      </c>
      <c r="R392" s="40">
        <f>SUMIFS(N347:N400,B347:B400,"&gt;="&amp;(B392-d_T),B347:B400,"&lt;="&amp;(B392-1))</f>
        <v/>
      </c>
      <c r="S392" s="46">
        <f>(1-d_u)*S391+IF(d_T&gt;in_topup_lag,SUMIFS(O347:O400,B347:B400,B392-in_topup_lag)-d_udrop*SUMIFS(O347:O400,B347:B400,B392-d_T),0)</f>
        <v/>
      </c>
      <c r="T392" s="40">
        <f>F392*d_u*S392</f>
        <v/>
      </c>
      <c r="U392" s="9">
        <f>L392*in_ticket+M392*d_rep_ticket</f>
        <v/>
      </c>
      <c r="V392" s="9">
        <f>U392+T392*d_topup_amt</f>
        <v/>
      </c>
      <c r="W392" s="40">
        <f>N392+T392*d_topup_ratio</f>
        <v/>
      </c>
      <c r="X392" s="40">
        <f>SUMIFS(W347:W400,B347:B400,B392-in_dpd_lag)*d_cured</f>
        <v/>
      </c>
      <c r="Y392" s="40">
        <f>SUMIFS(W347:W400,B347:B400,B392-in_rec_lag)*d_recd</f>
        <v/>
      </c>
      <c r="Z392" s="40">
        <f>IF(AND(B392&gt;=in_marketplace_from,B392&lt;in_marketplace_from+in_card_months),in_card_share/in_card_months*F392*I392,IF(AND(B392&gt;=in_marketplace_from+in_card_months,B392&lt;in_marketplace_from+2*in_card_months),in_card_share*d_card_rem/in_card_months*F392*MIN(in_takeup_cap,(1+in_takeup_growth)^(D392-1))*MIN(in_takeup_cap,(1+in_approval_growth)^(D392-1)),0))</f>
        <v/>
      </c>
      <c r="AA392" s="14">
        <f>V392*in_fee*(1-in_taken_back)</f>
        <v/>
      </c>
      <c r="AB392" s="14">
        <f>SUMIFS(W347:W400,B347:B400,B392-in_dpd_lag)*d_dpd</f>
        <v/>
      </c>
      <c r="AC392" s="14">
        <f>SUMIFS(W347:W400,B347:B400,B392-in_rec_lag)*d_rec</f>
        <v/>
      </c>
      <c r="AD392" s="14">
        <f>Z392*in_card_fee</f>
        <v/>
      </c>
      <c r="AE392" s="40">
        <f>AE391*(1-IF(B391&gt;=in_marketplace_from,d_hz_hlth_small*G391,0))</f>
        <v/>
      </c>
      <c r="AF392" s="46">
        <f>AE392*IF(B392&gt;=in_marketplace_from,d_hz_hlth_small*G392,0)</f>
        <v/>
      </c>
      <c r="AG392" s="14">
        <f>F392*AF392*in_hlth_small_ticket*in_hlth_small_comm*in_ins_partner_share+F392*in_hlth_small_ticket*in_hlth_small_renew_comm*in_ins_partner_share*(in_hlth_small_renew^1*SUMIFS(AF347:AF400,B347:B400,B392-12)+in_hlth_small_renew^2*SUMIFS(AF347:AF400,B347:B400,B392-24)+in_hlth_small_renew^3*SUMIFS(AF347:AF400,B347:B400,B392-36)+in_hlth_small_renew^4*SUMIFS(AF347:AF400,B347:B400,B392-48))</f>
        <v/>
      </c>
      <c r="AH392" s="40">
        <f>AH391*(1-IF(B391&gt;=in_marketplace_from,d_hz_hlth_family*G391,0))</f>
        <v/>
      </c>
      <c r="AI392" s="46">
        <f>AH392*IF(B392&gt;=in_marketplace_from,d_hz_hlth_family*G392,0)</f>
        <v/>
      </c>
      <c r="AJ392" s="14">
        <f>F392*AI392*in_hlth_family_ticket*in_hlth_family_comm*in_ins_partner_share+F392*in_hlth_family_ticket*in_hlth_family_renew_comm*in_ins_partner_share*(in_hlth_family_renew^1*SUMIFS(AI347:AI400,B347:B400,B392-12)+in_hlth_family_renew^2*SUMIFS(AI347:AI400,B347:B400,B392-24)+in_hlth_family_renew^3*SUMIFS(AI347:AI400,B347:B400,B392-36)+in_hlth_family_renew^4*SUMIFS(AI347:AI400,B347:B400,B392-48))</f>
        <v/>
      </c>
      <c r="AK392" s="40">
        <f>AK391*(1-IF(B391&gt;=in_marketplace_from,d_hz_life_term*G391,0))</f>
        <v/>
      </c>
      <c r="AL392" s="46">
        <f>AK392*IF(B392&gt;=in_marketplace_from,d_hz_life_term*G392,0)</f>
        <v/>
      </c>
      <c r="AM392" s="14">
        <f>F392*AL392*in_life_term_ticket*in_life_term_comm*in_ins_partner_share+F392*in_life_term_ticket*in_life_term_renew_comm*in_ins_partner_share*(in_life_term_renew^1*SUMIFS(AL347:AL400,B347:B400,B392-12)+in_life_term_renew^2*SUMIFS(AL347:AL400,B347:B400,B392-24)+in_life_term_renew^3*SUMIFS(AL347:AL400,B347:B400,B392-36)+in_life_term_renew^4*SUMIFS(AL347:AL400,B347:B400,B392-48))</f>
        <v/>
      </c>
      <c r="AN392" s="40">
        <f>AN391*(1-IF(B391&gt;=in_marketplace_from,d_hz_accident*G391,0))</f>
        <v/>
      </c>
      <c r="AO392" s="46">
        <f>AN392*IF(B392&gt;=in_marketplace_from,d_hz_accident*G392,0)</f>
        <v/>
      </c>
      <c r="AP392" s="14">
        <f>F392*AO392*in_accident_ticket*in_accident_comm*in_ins_partner_share+F392*in_accident_ticket*in_accident_renew_comm*in_ins_partner_share*(in_accident_renew^1*SUMIFS(AO347:AO400,B347:B400,B392-12)+in_accident_renew^2*SUMIFS(AO347:AO400,B347:B400,B392-24)+in_accident_renew^3*SUMIFS(AO347:AO400,B347:B400,B392-36)+in_accident_renew^4*SUMIFS(AO347:AO400,B347:B400,B392-48))</f>
        <v/>
      </c>
      <c r="AQ392" s="40">
        <f>AQ391*(1-IF(B391&gt;=in_marketplace_from,d_hz_two_wheeler*G391,0))</f>
        <v/>
      </c>
      <c r="AR392" s="46">
        <f>AQ392*IF(B392&gt;=in_marketplace_from,d_hz_two_wheeler*G392,0)</f>
        <v/>
      </c>
      <c r="AS392" s="14">
        <f>F392*AR392*in_two_wheeler_ticket*in_two_wheeler_comm*in_ins_partner_share+F392*in_two_wheeler_ticket*in_two_wheeler_comm*in_ins_partner_share*(in_two_wheeler_renew^1*SUMIFS(AR347:AR400,B347:B400,B392-12)+in_two_wheeler_renew^2*SUMIFS(AR347:AR400,B347:B400,B392-24)+in_two_wheeler_renew^3*SUMIFS(AR347:AR400,B347:B400,B392-36)+in_two_wheeler_renew^4*SUMIFS(AR347:AR400,B347:B400,B392-48))</f>
        <v/>
      </c>
      <c r="AT392" s="40">
        <f>AT391*(1-IF(B391&gt;=in_marketplace_from,d_hz_device*G391,0))</f>
        <v/>
      </c>
      <c r="AU392" s="14">
        <f>F392*AT392*IF(B392&gt;=in_marketplace_from,d_hz_device*G392,0)*in_device_ticket*in_device_comm*in_ins_partner_share</f>
        <v/>
      </c>
      <c r="AV392" s="40">
        <f>AV391*(1-IF(B391&gt;=in_marketplace_from,d_hz_shop*G391,0))</f>
        <v/>
      </c>
      <c r="AW392" s="46">
        <f>AV392*IF(B392&gt;=in_marketplace_from,d_hz_shop*G392,0)</f>
        <v/>
      </c>
      <c r="AX392" s="14">
        <f>F392*AW392*in_shop_ticket*in_shop_comm*in_ins_partner_share+F392*in_shop_ticket*in_shop_renew_comm*in_ins_partner_share*(in_shop_renew^1*SUMIFS(AW347:AW400,B347:B400,B392-12)+in_shop_renew^2*SUMIFS(AW347:AW400,B347:B400,B392-24)+in_shop_renew^3*SUMIFS(AW347:AW400,B347:B400,B392-36)+in_shop_renew^4*SUMIFS(AW347:AW400,B347:B400,B392-48))</f>
        <v/>
      </c>
      <c r="AY392" s="40">
        <f>AY391*(1-IF(B391&gt;=in_marketplace_from,d_hz_sip*G391,0))</f>
        <v/>
      </c>
      <c r="AZ392" s="40">
        <f>AZ391*d_rho_sip+AY392*IF(B392&gt;=in_marketplace_from,d_hz_sip*G392,0)</f>
        <v/>
      </c>
      <c r="BA392" s="40">
        <f>d_rho_sip*(BA391+AZ391)</f>
        <v/>
      </c>
      <c r="BB392" s="14">
        <f>F392*in_sip_ticket*(BA392+0.5*AZ392)*in_sip_comm/12</f>
        <v/>
      </c>
      <c r="BC392" s="40">
        <f>BC391*(1-IF(B391&gt;=in_marketplace_from,d_hz_choti*G391,0))</f>
        <v/>
      </c>
      <c r="BD392" s="46">
        <f>BC392*IF(B392&gt;=in_marketplace_from,d_hz_choti*G392,0)</f>
        <v/>
      </c>
      <c r="BE392" s="14">
        <f>F392*SUMIFS(BD347:BD400,B347:B400,B392-in_choti_months)*in_choti_renew*in_choti_ticket</f>
        <v/>
      </c>
      <c r="BF392" s="40">
        <f>BF391*(1-IF(B391&gt;=in_marketplace_from,d_hz_nps*G391,0))</f>
        <v/>
      </c>
      <c r="BG392" s="14">
        <f>F392*BF392*IF(B392&gt;=in_marketplace_from,d_hz_nps*G392,0)*in_nps_ticket*in_nps_comm</f>
        <v/>
      </c>
      <c r="BH392" s="40">
        <f>BH391*(1-IF(B391&gt;=in_marketplace_from,d_hz_gold*G391,0))</f>
        <v/>
      </c>
      <c r="BI392" s="40">
        <f>BI391*d_rho_gold+BH392*IF(B392&gt;=in_marketplace_from,d_hz_gold*G392,0)</f>
        <v/>
      </c>
      <c r="BJ392" s="14">
        <f>F392*BI392*in_gold_ticket*in_gold_comm</f>
        <v/>
      </c>
      <c r="BK392" s="40">
        <f>BK391*(1-IF(B391&gt;=in_marketplace_from,d_hz_fd*G391,0))</f>
        <v/>
      </c>
      <c r="BL392" s="14">
        <f>F392*BK392*IF(B392&gt;=in_marketplace_from,d_hz_fd*G392,0)*in_fd_ticket*in_fd_comm</f>
        <v/>
      </c>
      <c r="BM392" s="40">
        <f>BM391*(1-IF(B391&gt;=in_marketplace_from,d_hz_recharge*G391,0))</f>
        <v/>
      </c>
      <c r="BN392" s="40">
        <f>BN391*d_rho_recharge+BM392*IF(B392&gt;=in_marketplace_from,d_hz_recharge*G392,0)</f>
        <v/>
      </c>
      <c r="BO392" s="14">
        <f>F392*BN392*in_recharge_ticket*in_recharge_comm/12</f>
        <v/>
      </c>
      <c r="BP392" s="40">
        <f>BP391*(1-IF(B391&gt;=in_marketplace_from,d_hz_bills*G391,0))</f>
        <v/>
      </c>
      <c r="BQ392" s="40">
        <f>BQ391*d_rho_bills+BP392*IF(B392&gt;=in_marketplace_from,d_hz_bills*G392,0)</f>
        <v/>
      </c>
      <c r="BR392" s="14">
        <f>F392*BQ392*in_bills_ticket*in_bills_comm/12</f>
        <v/>
      </c>
      <c r="BS392" s="40">
        <f>BS391*(1-IF(B391&gt;=in_marketplace_from,d_hz_loan_gold*G391,0))</f>
        <v/>
      </c>
      <c r="BT392" s="14">
        <f>F392*BS392*IF(B392&gt;=in_marketplace_from,d_hz_loan_gold*G392,0)*in_loan_gold_ticket*in_loan_gold_comm</f>
        <v/>
      </c>
      <c r="BU392" s="40">
        <f>BU391*(1-IF(B391&gt;=in_marketplace_from,d_hz_loan_cd*G391,0))</f>
        <v/>
      </c>
      <c r="BV392" s="14">
        <f>F392*BU392*IF(B392&gt;=in_marketplace_from,d_hz_loan_cd*G392,0)*in_loan_cd_ticket*in_loan_cd_comm</f>
        <v/>
      </c>
      <c r="BW392" s="40">
        <f>BW391*(1-IF(B391&gt;=in_marketplace_from,d_hz_loan_vehicle*G391,0))</f>
        <v/>
      </c>
      <c r="BX392" s="14">
        <f>F392*BW392*IF(B392&gt;=in_marketplace_from,d_hz_loan_vehicle*G392,0)*in_loan_vehicle_ticket*in_loan_vehicle_comm</f>
        <v/>
      </c>
      <c r="BY392" s="40">
        <f>BY391*(1-IF(B391&gt;=in_marketplace_from,d_hz_loan_home*G391,0)*BZ391)</f>
        <v/>
      </c>
      <c r="BZ392" s="11">
        <f>MIN(in_approval_cap,in_loan_home_approval*INDEX('Age profile'!$O$2:$O$61,B392)*(1+in_approval_growth)^(D392-1))</f>
        <v/>
      </c>
      <c r="CA392" s="14">
        <f>F392*BY392*IF(B392&gt;=in_marketplace_from,d_hz_loan_home*G392,0)*BZ392*in_loan_home_ticket*in_loan_home_comm</f>
        <v/>
      </c>
      <c r="CB392" s="40">
        <f>CB391*(1-IF(B391&gt;=in_marketplace_from,d_hz_loan_lap*G391,0)*CC391)</f>
        <v/>
      </c>
      <c r="CC392" s="11">
        <f>MIN(in_approval_cap,in_loan_lap_approval*INDEX('Age profile'!$O$2:$O$61,B392)*(1+in_approval_growth)^(D392-1))</f>
        <v/>
      </c>
      <c r="CD392" s="14">
        <f>F392*CB392*IF(B392&gt;=in_marketplace_from,d_hz_loan_lap*G392,0)*CC392*in_loan_lap_ticket*in_loan_lap_comm</f>
        <v/>
      </c>
      <c r="CE392" s="14">
        <f>AA392+AB392+AC392+AD392+AG392+AJ392+AM392+AP392+AS392+AU392+AX392+BB392+BE392+BG392+BJ392+BL392+BO392+BR392+BT392+BV392+BX392+CA392+CD392</f>
        <v/>
      </c>
    </row>
    <row r="393">
      <c r="A393" s="39" t="n">
        <v>7</v>
      </c>
      <c r="B393" s="39" t="n">
        <v>47</v>
      </c>
      <c r="C393" s="39">
        <f>A393+B393-1</f>
        <v/>
      </c>
      <c r="D393" s="39">
        <f>INT((C393-1)/12)+1</f>
        <v/>
      </c>
      <c r="E393" s="44">
        <f>INDEX(Monthly!$B$2:$B$61,A393)</f>
        <v/>
      </c>
      <c r="F393" s="44">
        <f>E393*INDEX('Age profile'!$B$2:$B$61,B393)</f>
        <v/>
      </c>
      <c r="G393" s="45">
        <f>MIN(in_takeup_cap,INDEX('Age profile'!$N$2:$N$61,B393)*(1+in_takeup_growth)^(D393-1))</f>
        <v/>
      </c>
      <c r="H393" s="11">
        <f>MIN(in_approval_cap,in_approved_first*INDEX('Age profile'!$O$2:$O$61,B393)*(1+in_approval_growth)^(D393-1))</f>
        <v/>
      </c>
      <c r="I393" s="45">
        <f>G393*MIN(in_takeup_cap,INDEX('Age profile'!$O$2:$O$61,B393)*(1+in_approval_growth)^(D393-1))</f>
        <v/>
      </c>
      <c r="J393" s="40">
        <f>(J392-L392)*F393/F392</f>
        <v/>
      </c>
      <c r="K393" s="40">
        <f>(K392-M392)*F393/F392+SUMIFS(O347:O392,B347:B392,B393-1-d_T)*F393</f>
        <v/>
      </c>
      <c r="L393" s="40">
        <f>IF(B393&gt;=in_marketplace_from,J393*d_hz*G393*in_eligible*H393,0)</f>
        <v/>
      </c>
      <c r="M393" s="40">
        <f>IF(B393&gt;=in_marketplace_from,K393*d_hz*G393*in_eligible*in_approved_repeat,0)</f>
        <v/>
      </c>
      <c r="N393" s="40">
        <f>L393+M393</f>
        <v/>
      </c>
      <c r="O393" s="46">
        <f>N393/F393</f>
        <v/>
      </c>
      <c r="P393" s="40">
        <f>F393-J393-K393</f>
        <v/>
      </c>
      <c r="Q393" s="40">
        <f>IF(B393&gt;=in_marketplace_from,(J393+K393)*d_hz*G393,0)</f>
        <v/>
      </c>
      <c r="R393" s="40">
        <f>SUMIFS(N347:N400,B347:B400,"&gt;="&amp;(B393-d_T),B347:B400,"&lt;="&amp;(B393-1))</f>
        <v/>
      </c>
      <c r="S393" s="46">
        <f>(1-d_u)*S392+IF(d_T&gt;in_topup_lag,SUMIFS(O347:O400,B347:B400,B393-in_topup_lag)-d_udrop*SUMIFS(O347:O400,B347:B400,B393-d_T),0)</f>
        <v/>
      </c>
      <c r="T393" s="40">
        <f>F393*d_u*S393</f>
        <v/>
      </c>
      <c r="U393" s="9">
        <f>L393*in_ticket+M393*d_rep_ticket</f>
        <v/>
      </c>
      <c r="V393" s="9">
        <f>U393+T393*d_topup_amt</f>
        <v/>
      </c>
      <c r="W393" s="40">
        <f>N393+T393*d_topup_ratio</f>
        <v/>
      </c>
      <c r="X393" s="40">
        <f>SUMIFS(W347:W400,B347:B400,B393-in_dpd_lag)*d_cured</f>
        <v/>
      </c>
      <c r="Y393" s="40">
        <f>SUMIFS(W347:W400,B347:B400,B393-in_rec_lag)*d_recd</f>
        <v/>
      </c>
      <c r="Z393" s="40">
        <f>IF(AND(B393&gt;=in_marketplace_from,B393&lt;in_marketplace_from+in_card_months),in_card_share/in_card_months*F393*I393,IF(AND(B393&gt;=in_marketplace_from+in_card_months,B393&lt;in_marketplace_from+2*in_card_months),in_card_share*d_card_rem/in_card_months*F393*MIN(in_takeup_cap,(1+in_takeup_growth)^(D393-1))*MIN(in_takeup_cap,(1+in_approval_growth)^(D393-1)),0))</f>
        <v/>
      </c>
      <c r="AA393" s="14">
        <f>V393*in_fee*(1-in_taken_back)</f>
        <v/>
      </c>
      <c r="AB393" s="14">
        <f>SUMIFS(W347:W400,B347:B400,B393-in_dpd_lag)*d_dpd</f>
        <v/>
      </c>
      <c r="AC393" s="14">
        <f>SUMIFS(W347:W400,B347:B400,B393-in_rec_lag)*d_rec</f>
        <v/>
      </c>
      <c r="AD393" s="14">
        <f>Z393*in_card_fee</f>
        <v/>
      </c>
      <c r="AE393" s="40">
        <f>AE392*(1-IF(B392&gt;=in_marketplace_from,d_hz_hlth_small*G392,0))</f>
        <v/>
      </c>
      <c r="AF393" s="46">
        <f>AE393*IF(B393&gt;=in_marketplace_from,d_hz_hlth_small*G393,0)</f>
        <v/>
      </c>
      <c r="AG393" s="14">
        <f>F393*AF393*in_hlth_small_ticket*in_hlth_small_comm*in_ins_partner_share+F393*in_hlth_small_ticket*in_hlth_small_renew_comm*in_ins_partner_share*(in_hlth_small_renew^1*SUMIFS(AF347:AF400,B347:B400,B393-12)+in_hlth_small_renew^2*SUMIFS(AF347:AF400,B347:B400,B393-24)+in_hlth_small_renew^3*SUMIFS(AF347:AF400,B347:B400,B393-36)+in_hlth_small_renew^4*SUMIFS(AF347:AF400,B347:B400,B393-48))</f>
        <v/>
      </c>
      <c r="AH393" s="40">
        <f>AH392*(1-IF(B392&gt;=in_marketplace_from,d_hz_hlth_family*G392,0))</f>
        <v/>
      </c>
      <c r="AI393" s="46">
        <f>AH393*IF(B393&gt;=in_marketplace_from,d_hz_hlth_family*G393,0)</f>
        <v/>
      </c>
      <c r="AJ393" s="14">
        <f>F393*AI393*in_hlth_family_ticket*in_hlth_family_comm*in_ins_partner_share+F393*in_hlth_family_ticket*in_hlth_family_renew_comm*in_ins_partner_share*(in_hlth_family_renew^1*SUMIFS(AI347:AI400,B347:B400,B393-12)+in_hlth_family_renew^2*SUMIFS(AI347:AI400,B347:B400,B393-24)+in_hlth_family_renew^3*SUMIFS(AI347:AI400,B347:B400,B393-36)+in_hlth_family_renew^4*SUMIFS(AI347:AI400,B347:B400,B393-48))</f>
        <v/>
      </c>
      <c r="AK393" s="40">
        <f>AK392*(1-IF(B392&gt;=in_marketplace_from,d_hz_life_term*G392,0))</f>
        <v/>
      </c>
      <c r="AL393" s="46">
        <f>AK393*IF(B393&gt;=in_marketplace_from,d_hz_life_term*G393,0)</f>
        <v/>
      </c>
      <c r="AM393" s="14">
        <f>F393*AL393*in_life_term_ticket*in_life_term_comm*in_ins_partner_share+F393*in_life_term_ticket*in_life_term_renew_comm*in_ins_partner_share*(in_life_term_renew^1*SUMIFS(AL347:AL400,B347:B400,B393-12)+in_life_term_renew^2*SUMIFS(AL347:AL400,B347:B400,B393-24)+in_life_term_renew^3*SUMIFS(AL347:AL400,B347:B400,B393-36)+in_life_term_renew^4*SUMIFS(AL347:AL400,B347:B400,B393-48))</f>
        <v/>
      </c>
      <c r="AN393" s="40">
        <f>AN392*(1-IF(B392&gt;=in_marketplace_from,d_hz_accident*G392,0))</f>
        <v/>
      </c>
      <c r="AO393" s="46">
        <f>AN393*IF(B393&gt;=in_marketplace_from,d_hz_accident*G393,0)</f>
        <v/>
      </c>
      <c r="AP393" s="14">
        <f>F393*AO393*in_accident_ticket*in_accident_comm*in_ins_partner_share+F393*in_accident_ticket*in_accident_renew_comm*in_ins_partner_share*(in_accident_renew^1*SUMIFS(AO347:AO400,B347:B400,B393-12)+in_accident_renew^2*SUMIFS(AO347:AO400,B347:B400,B393-24)+in_accident_renew^3*SUMIFS(AO347:AO400,B347:B400,B393-36)+in_accident_renew^4*SUMIFS(AO347:AO400,B347:B400,B393-48))</f>
        <v/>
      </c>
      <c r="AQ393" s="40">
        <f>AQ392*(1-IF(B392&gt;=in_marketplace_from,d_hz_two_wheeler*G392,0))</f>
        <v/>
      </c>
      <c r="AR393" s="46">
        <f>AQ393*IF(B393&gt;=in_marketplace_from,d_hz_two_wheeler*G393,0)</f>
        <v/>
      </c>
      <c r="AS393" s="14">
        <f>F393*AR393*in_two_wheeler_ticket*in_two_wheeler_comm*in_ins_partner_share+F393*in_two_wheeler_ticket*in_two_wheeler_comm*in_ins_partner_share*(in_two_wheeler_renew^1*SUMIFS(AR347:AR400,B347:B400,B393-12)+in_two_wheeler_renew^2*SUMIFS(AR347:AR400,B347:B400,B393-24)+in_two_wheeler_renew^3*SUMIFS(AR347:AR400,B347:B400,B393-36)+in_two_wheeler_renew^4*SUMIFS(AR347:AR400,B347:B400,B393-48))</f>
        <v/>
      </c>
      <c r="AT393" s="40">
        <f>AT392*(1-IF(B392&gt;=in_marketplace_from,d_hz_device*G392,0))</f>
        <v/>
      </c>
      <c r="AU393" s="14">
        <f>F393*AT393*IF(B393&gt;=in_marketplace_from,d_hz_device*G393,0)*in_device_ticket*in_device_comm*in_ins_partner_share</f>
        <v/>
      </c>
      <c r="AV393" s="40">
        <f>AV392*(1-IF(B392&gt;=in_marketplace_from,d_hz_shop*G392,0))</f>
        <v/>
      </c>
      <c r="AW393" s="46">
        <f>AV393*IF(B393&gt;=in_marketplace_from,d_hz_shop*G393,0)</f>
        <v/>
      </c>
      <c r="AX393" s="14">
        <f>F393*AW393*in_shop_ticket*in_shop_comm*in_ins_partner_share+F393*in_shop_ticket*in_shop_renew_comm*in_ins_partner_share*(in_shop_renew^1*SUMIFS(AW347:AW400,B347:B400,B393-12)+in_shop_renew^2*SUMIFS(AW347:AW400,B347:B400,B393-24)+in_shop_renew^3*SUMIFS(AW347:AW400,B347:B400,B393-36)+in_shop_renew^4*SUMIFS(AW347:AW400,B347:B400,B393-48))</f>
        <v/>
      </c>
      <c r="AY393" s="40">
        <f>AY392*(1-IF(B392&gt;=in_marketplace_from,d_hz_sip*G392,0))</f>
        <v/>
      </c>
      <c r="AZ393" s="40">
        <f>AZ392*d_rho_sip+AY393*IF(B393&gt;=in_marketplace_from,d_hz_sip*G393,0)</f>
        <v/>
      </c>
      <c r="BA393" s="40">
        <f>d_rho_sip*(BA392+AZ392)</f>
        <v/>
      </c>
      <c r="BB393" s="14">
        <f>F393*in_sip_ticket*(BA393+0.5*AZ393)*in_sip_comm/12</f>
        <v/>
      </c>
      <c r="BC393" s="40">
        <f>BC392*(1-IF(B392&gt;=in_marketplace_from,d_hz_choti*G392,0))</f>
        <v/>
      </c>
      <c r="BD393" s="46">
        <f>BC393*IF(B393&gt;=in_marketplace_from,d_hz_choti*G393,0)</f>
        <v/>
      </c>
      <c r="BE393" s="14">
        <f>F393*SUMIFS(BD347:BD400,B347:B400,B393-in_choti_months)*in_choti_renew*in_choti_ticket</f>
        <v/>
      </c>
      <c r="BF393" s="40">
        <f>BF392*(1-IF(B392&gt;=in_marketplace_from,d_hz_nps*G392,0))</f>
        <v/>
      </c>
      <c r="BG393" s="14">
        <f>F393*BF393*IF(B393&gt;=in_marketplace_from,d_hz_nps*G393,0)*in_nps_ticket*in_nps_comm</f>
        <v/>
      </c>
      <c r="BH393" s="40">
        <f>BH392*(1-IF(B392&gt;=in_marketplace_from,d_hz_gold*G392,0))</f>
        <v/>
      </c>
      <c r="BI393" s="40">
        <f>BI392*d_rho_gold+BH393*IF(B393&gt;=in_marketplace_from,d_hz_gold*G393,0)</f>
        <v/>
      </c>
      <c r="BJ393" s="14">
        <f>F393*BI393*in_gold_ticket*in_gold_comm</f>
        <v/>
      </c>
      <c r="BK393" s="40">
        <f>BK392*(1-IF(B392&gt;=in_marketplace_from,d_hz_fd*G392,0))</f>
        <v/>
      </c>
      <c r="BL393" s="14">
        <f>F393*BK393*IF(B393&gt;=in_marketplace_from,d_hz_fd*G393,0)*in_fd_ticket*in_fd_comm</f>
        <v/>
      </c>
      <c r="BM393" s="40">
        <f>BM392*(1-IF(B392&gt;=in_marketplace_from,d_hz_recharge*G392,0))</f>
        <v/>
      </c>
      <c r="BN393" s="40">
        <f>BN392*d_rho_recharge+BM393*IF(B393&gt;=in_marketplace_from,d_hz_recharge*G393,0)</f>
        <v/>
      </c>
      <c r="BO393" s="14">
        <f>F393*BN393*in_recharge_ticket*in_recharge_comm/12</f>
        <v/>
      </c>
      <c r="BP393" s="40">
        <f>BP392*(1-IF(B392&gt;=in_marketplace_from,d_hz_bills*G392,0))</f>
        <v/>
      </c>
      <c r="BQ393" s="40">
        <f>BQ392*d_rho_bills+BP393*IF(B393&gt;=in_marketplace_from,d_hz_bills*G393,0)</f>
        <v/>
      </c>
      <c r="BR393" s="14">
        <f>F393*BQ393*in_bills_ticket*in_bills_comm/12</f>
        <v/>
      </c>
      <c r="BS393" s="40">
        <f>BS392*(1-IF(B392&gt;=in_marketplace_from,d_hz_loan_gold*G392,0))</f>
        <v/>
      </c>
      <c r="BT393" s="14">
        <f>F393*BS393*IF(B393&gt;=in_marketplace_from,d_hz_loan_gold*G393,0)*in_loan_gold_ticket*in_loan_gold_comm</f>
        <v/>
      </c>
      <c r="BU393" s="40">
        <f>BU392*(1-IF(B392&gt;=in_marketplace_from,d_hz_loan_cd*G392,0))</f>
        <v/>
      </c>
      <c r="BV393" s="14">
        <f>F393*BU393*IF(B393&gt;=in_marketplace_from,d_hz_loan_cd*G393,0)*in_loan_cd_ticket*in_loan_cd_comm</f>
        <v/>
      </c>
      <c r="BW393" s="40">
        <f>BW392*(1-IF(B392&gt;=in_marketplace_from,d_hz_loan_vehicle*G392,0))</f>
        <v/>
      </c>
      <c r="BX393" s="14">
        <f>F393*BW393*IF(B393&gt;=in_marketplace_from,d_hz_loan_vehicle*G393,0)*in_loan_vehicle_ticket*in_loan_vehicle_comm</f>
        <v/>
      </c>
      <c r="BY393" s="40">
        <f>BY392*(1-IF(B392&gt;=in_marketplace_from,d_hz_loan_home*G392,0)*BZ392)</f>
        <v/>
      </c>
      <c r="BZ393" s="11">
        <f>MIN(in_approval_cap,in_loan_home_approval*INDEX('Age profile'!$O$2:$O$61,B393)*(1+in_approval_growth)^(D393-1))</f>
        <v/>
      </c>
      <c r="CA393" s="14">
        <f>F393*BY393*IF(B393&gt;=in_marketplace_from,d_hz_loan_home*G393,0)*BZ393*in_loan_home_ticket*in_loan_home_comm</f>
        <v/>
      </c>
      <c r="CB393" s="40">
        <f>CB392*(1-IF(B392&gt;=in_marketplace_from,d_hz_loan_lap*G392,0)*CC392)</f>
        <v/>
      </c>
      <c r="CC393" s="11">
        <f>MIN(in_approval_cap,in_loan_lap_approval*INDEX('Age profile'!$O$2:$O$61,B393)*(1+in_approval_growth)^(D393-1))</f>
        <v/>
      </c>
      <c r="CD393" s="14">
        <f>F393*CB393*IF(B393&gt;=in_marketplace_from,d_hz_loan_lap*G393,0)*CC393*in_loan_lap_ticket*in_loan_lap_comm</f>
        <v/>
      </c>
      <c r="CE393" s="14">
        <f>AA393+AB393+AC393+AD393+AG393+AJ393+AM393+AP393+AS393+AU393+AX393+BB393+BE393+BG393+BJ393+BL393+BO393+BR393+BT393+BV393+BX393+CA393+CD393</f>
        <v/>
      </c>
    </row>
    <row r="394">
      <c r="A394" s="39" t="n">
        <v>7</v>
      </c>
      <c r="B394" s="39" t="n">
        <v>48</v>
      </c>
      <c r="C394" s="39">
        <f>A394+B394-1</f>
        <v/>
      </c>
      <c r="D394" s="39">
        <f>INT((C394-1)/12)+1</f>
        <v/>
      </c>
      <c r="E394" s="44">
        <f>INDEX(Monthly!$B$2:$B$61,A394)</f>
        <v/>
      </c>
      <c r="F394" s="44">
        <f>E394*INDEX('Age profile'!$B$2:$B$61,B394)</f>
        <v/>
      </c>
      <c r="G394" s="45">
        <f>MIN(in_takeup_cap,INDEX('Age profile'!$N$2:$N$61,B394)*(1+in_takeup_growth)^(D394-1))</f>
        <v/>
      </c>
      <c r="H394" s="11">
        <f>MIN(in_approval_cap,in_approved_first*INDEX('Age profile'!$O$2:$O$61,B394)*(1+in_approval_growth)^(D394-1))</f>
        <v/>
      </c>
      <c r="I394" s="45">
        <f>G394*MIN(in_takeup_cap,INDEX('Age profile'!$O$2:$O$61,B394)*(1+in_approval_growth)^(D394-1))</f>
        <v/>
      </c>
      <c r="J394" s="40">
        <f>(J393-L393)*F394/F393</f>
        <v/>
      </c>
      <c r="K394" s="40">
        <f>(K393-M393)*F394/F393+SUMIFS(O347:O393,B347:B393,B394-1-d_T)*F394</f>
        <v/>
      </c>
      <c r="L394" s="40">
        <f>IF(B394&gt;=in_marketplace_from,J394*d_hz*G394*in_eligible*H394,0)</f>
        <v/>
      </c>
      <c r="M394" s="40">
        <f>IF(B394&gt;=in_marketplace_from,K394*d_hz*G394*in_eligible*in_approved_repeat,0)</f>
        <v/>
      </c>
      <c r="N394" s="40">
        <f>L394+M394</f>
        <v/>
      </c>
      <c r="O394" s="46">
        <f>N394/F394</f>
        <v/>
      </c>
      <c r="P394" s="40">
        <f>F394-J394-K394</f>
        <v/>
      </c>
      <c r="Q394" s="40">
        <f>IF(B394&gt;=in_marketplace_from,(J394+K394)*d_hz*G394,0)</f>
        <v/>
      </c>
      <c r="R394" s="40">
        <f>SUMIFS(N347:N400,B347:B400,"&gt;="&amp;(B394-d_T),B347:B400,"&lt;="&amp;(B394-1))</f>
        <v/>
      </c>
      <c r="S394" s="46">
        <f>(1-d_u)*S393+IF(d_T&gt;in_topup_lag,SUMIFS(O347:O400,B347:B400,B394-in_topup_lag)-d_udrop*SUMIFS(O347:O400,B347:B400,B394-d_T),0)</f>
        <v/>
      </c>
      <c r="T394" s="40">
        <f>F394*d_u*S394</f>
        <v/>
      </c>
      <c r="U394" s="9">
        <f>L394*in_ticket+M394*d_rep_ticket</f>
        <v/>
      </c>
      <c r="V394" s="9">
        <f>U394+T394*d_topup_amt</f>
        <v/>
      </c>
      <c r="W394" s="40">
        <f>N394+T394*d_topup_ratio</f>
        <v/>
      </c>
      <c r="X394" s="40">
        <f>SUMIFS(W347:W400,B347:B400,B394-in_dpd_lag)*d_cured</f>
        <v/>
      </c>
      <c r="Y394" s="40">
        <f>SUMIFS(W347:W400,B347:B400,B394-in_rec_lag)*d_recd</f>
        <v/>
      </c>
      <c r="Z394" s="40">
        <f>IF(AND(B394&gt;=in_marketplace_from,B394&lt;in_marketplace_from+in_card_months),in_card_share/in_card_months*F394*I394,IF(AND(B394&gt;=in_marketplace_from+in_card_months,B394&lt;in_marketplace_from+2*in_card_months),in_card_share*d_card_rem/in_card_months*F394*MIN(in_takeup_cap,(1+in_takeup_growth)^(D394-1))*MIN(in_takeup_cap,(1+in_approval_growth)^(D394-1)),0))</f>
        <v/>
      </c>
      <c r="AA394" s="14">
        <f>V394*in_fee*(1-in_taken_back)</f>
        <v/>
      </c>
      <c r="AB394" s="14">
        <f>SUMIFS(W347:W400,B347:B400,B394-in_dpd_lag)*d_dpd</f>
        <v/>
      </c>
      <c r="AC394" s="14">
        <f>SUMIFS(W347:W400,B347:B400,B394-in_rec_lag)*d_rec</f>
        <v/>
      </c>
      <c r="AD394" s="14">
        <f>Z394*in_card_fee</f>
        <v/>
      </c>
      <c r="AE394" s="40">
        <f>AE393*(1-IF(B393&gt;=in_marketplace_from,d_hz_hlth_small*G393,0))</f>
        <v/>
      </c>
      <c r="AF394" s="46">
        <f>AE394*IF(B394&gt;=in_marketplace_from,d_hz_hlth_small*G394,0)</f>
        <v/>
      </c>
      <c r="AG394" s="14">
        <f>F394*AF394*in_hlth_small_ticket*in_hlth_small_comm*in_ins_partner_share+F394*in_hlth_small_ticket*in_hlth_small_renew_comm*in_ins_partner_share*(in_hlth_small_renew^1*SUMIFS(AF347:AF400,B347:B400,B394-12)+in_hlth_small_renew^2*SUMIFS(AF347:AF400,B347:B400,B394-24)+in_hlth_small_renew^3*SUMIFS(AF347:AF400,B347:B400,B394-36)+in_hlth_small_renew^4*SUMIFS(AF347:AF400,B347:B400,B394-48))</f>
        <v/>
      </c>
      <c r="AH394" s="40">
        <f>AH393*(1-IF(B393&gt;=in_marketplace_from,d_hz_hlth_family*G393,0))</f>
        <v/>
      </c>
      <c r="AI394" s="46">
        <f>AH394*IF(B394&gt;=in_marketplace_from,d_hz_hlth_family*G394,0)</f>
        <v/>
      </c>
      <c r="AJ394" s="14">
        <f>F394*AI394*in_hlth_family_ticket*in_hlth_family_comm*in_ins_partner_share+F394*in_hlth_family_ticket*in_hlth_family_renew_comm*in_ins_partner_share*(in_hlth_family_renew^1*SUMIFS(AI347:AI400,B347:B400,B394-12)+in_hlth_family_renew^2*SUMIFS(AI347:AI400,B347:B400,B394-24)+in_hlth_family_renew^3*SUMIFS(AI347:AI400,B347:B400,B394-36)+in_hlth_family_renew^4*SUMIFS(AI347:AI400,B347:B400,B394-48))</f>
        <v/>
      </c>
      <c r="AK394" s="40">
        <f>AK393*(1-IF(B393&gt;=in_marketplace_from,d_hz_life_term*G393,0))</f>
        <v/>
      </c>
      <c r="AL394" s="46">
        <f>AK394*IF(B394&gt;=in_marketplace_from,d_hz_life_term*G394,0)</f>
        <v/>
      </c>
      <c r="AM394" s="14">
        <f>F394*AL394*in_life_term_ticket*in_life_term_comm*in_ins_partner_share+F394*in_life_term_ticket*in_life_term_renew_comm*in_ins_partner_share*(in_life_term_renew^1*SUMIFS(AL347:AL400,B347:B400,B394-12)+in_life_term_renew^2*SUMIFS(AL347:AL400,B347:B400,B394-24)+in_life_term_renew^3*SUMIFS(AL347:AL400,B347:B400,B394-36)+in_life_term_renew^4*SUMIFS(AL347:AL400,B347:B400,B394-48))</f>
        <v/>
      </c>
      <c r="AN394" s="40">
        <f>AN393*(1-IF(B393&gt;=in_marketplace_from,d_hz_accident*G393,0))</f>
        <v/>
      </c>
      <c r="AO394" s="46">
        <f>AN394*IF(B394&gt;=in_marketplace_from,d_hz_accident*G394,0)</f>
        <v/>
      </c>
      <c r="AP394" s="14">
        <f>F394*AO394*in_accident_ticket*in_accident_comm*in_ins_partner_share+F394*in_accident_ticket*in_accident_renew_comm*in_ins_partner_share*(in_accident_renew^1*SUMIFS(AO347:AO400,B347:B400,B394-12)+in_accident_renew^2*SUMIFS(AO347:AO400,B347:B400,B394-24)+in_accident_renew^3*SUMIFS(AO347:AO400,B347:B400,B394-36)+in_accident_renew^4*SUMIFS(AO347:AO400,B347:B400,B394-48))</f>
        <v/>
      </c>
      <c r="AQ394" s="40">
        <f>AQ393*(1-IF(B393&gt;=in_marketplace_from,d_hz_two_wheeler*G393,0))</f>
        <v/>
      </c>
      <c r="AR394" s="46">
        <f>AQ394*IF(B394&gt;=in_marketplace_from,d_hz_two_wheeler*G394,0)</f>
        <v/>
      </c>
      <c r="AS394" s="14">
        <f>F394*AR394*in_two_wheeler_ticket*in_two_wheeler_comm*in_ins_partner_share+F394*in_two_wheeler_ticket*in_two_wheeler_comm*in_ins_partner_share*(in_two_wheeler_renew^1*SUMIFS(AR347:AR400,B347:B400,B394-12)+in_two_wheeler_renew^2*SUMIFS(AR347:AR400,B347:B400,B394-24)+in_two_wheeler_renew^3*SUMIFS(AR347:AR400,B347:B400,B394-36)+in_two_wheeler_renew^4*SUMIFS(AR347:AR400,B347:B400,B394-48))</f>
        <v/>
      </c>
      <c r="AT394" s="40">
        <f>AT393*(1-IF(B393&gt;=in_marketplace_from,d_hz_device*G393,0))</f>
        <v/>
      </c>
      <c r="AU394" s="14">
        <f>F394*AT394*IF(B394&gt;=in_marketplace_from,d_hz_device*G394,0)*in_device_ticket*in_device_comm*in_ins_partner_share</f>
        <v/>
      </c>
      <c r="AV394" s="40">
        <f>AV393*(1-IF(B393&gt;=in_marketplace_from,d_hz_shop*G393,0))</f>
        <v/>
      </c>
      <c r="AW394" s="46">
        <f>AV394*IF(B394&gt;=in_marketplace_from,d_hz_shop*G394,0)</f>
        <v/>
      </c>
      <c r="AX394" s="14">
        <f>F394*AW394*in_shop_ticket*in_shop_comm*in_ins_partner_share+F394*in_shop_ticket*in_shop_renew_comm*in_ins_partner_share*(in_shop_renew^1*SUMIFS(AW347:AW400,B347:B400,B394-12)+in_shop_renew^2*SUMIFS(AW347:AW400,B347:B400,B394-24)+in_shop_renew^3*SUMIFS(AW347:AW400,B347:B400,B394-36)+in_shop_renew^4*SUMIFS(AW347:AW400,B347:B400,B394-48))</f>
        <v/>
      </c>
      <c r="AY394" s="40">
        <f>AY393*(1-IF(B393&gt;=in_marketplace_from,d_hz_sip*G393,0))</f>
        <v/>
      </c>
      <c r="AZ394" s="40">
        <f>AZ393*d_rho_sip+AY394*IF(B394&gt;=in_marketplace_from,d_hz_sip*G394,0)</f>
        <v/>
      </c>
      <c r="BA394" s="40">
        <f>d_rho_sip*(BA393+AZ393)</f>
        <v/>
      </c>
      <c r="BB394" s="14">
        <f>F394*in_sip_ticket*(BA394+0.5*AZ394)*in_sip_comm/12</f>
        <v/>
      </c>
      <c r="BC394" s="40">
        <f>BC393*(1-IF(B393&gt;=in_marketplace_from,d_hz_choti*G393,0))</f>
        <v/>
      </c>
      <c r="BD394" s="46">
        <f>BC394*IF(B394&gt;=in_marketplace_from,d_hz_choti*G394,0)</f>
        <v/>
      </c>
      <c r="BE394" s="14">
        <f>F394*SUMIFS(BD347:BD400,B347:B400,B394-in_choti_months)*in_choti_renew*in_choti_ticket</f>
        <v/>
      </c>
      <c r="BF394" s="40">
        <f>BF393*(1-IF(B393&gt;=in_marketplace_from,d_hz_nps*G393,0))</f>
        <v/>
      </c>
      <c r="BG394" s="14">
        <f>F394*BF394*IF(B394&gt;=in_marketplace_from,d_hz_nps*G394,0)*in_nps_ticket*in_nps_comm</f>
        <v/>
      </c>
      <c r="BH394" s="40">
        <f>BH393*(1-IF(B393&gt;=in_marketplace_from,d_hz_gold*G393,0))</f>
        <v/>
      </c>
      <c r="BI394" s="40">
        <f>BI393*d_rho_gold+BH394*IF(B394&gt;=in_marketplace_from,d_hz_gold*G394,0)</f>
        <v/>
      </c>
      <c r="BJ394" s="14">
        <f>F394*BI394*in_gold_ticket*in_gold_comm</f>
        <v/>
      </c>
      <c r="BK394" s="40">
        <f>BK393*(1-IF(B393&gt;=in_marketplace_from,d_hz_fd*G393,0))</f>
        <v/>
      </c>
      <c r="BL394" s="14">
        <f>F394*BK394*IF(B394&gt;=in_marketplace_from,d_hz_fd*G394,0)*in_fd_ticket*in_fd_comm</f>
        <v/>
      </c>
      <c r="BM394" s="40">
        <f>BM393*(1-IF(B393&gt;=in_marketplace_from,d_hz_recharge*G393,0))</f>
        <v/>
      </c>
      <c r="BN394" s="40">
        <f>BN393*d_rho_recharge+BM394*IF(B394&gt;=in_marketplace_from,d_hz_recharge*G394,0)</f>
        <v/>
      </c>
      <c r="BO394" s="14">
        <f>F394*BN394*in_recharge_ticket*in_recharge_comm/12</f>
        <v/>
      </c>
      <c r="BP394" s="40">
        <f>BP393*(1-IF(B393&gt;=in_marketplace_from,d_hz_bills*G393,0))</f>
        <v/>
      </c>
      <c r="BQ394" s="40">
        <f>BQ393*d_rho_bills+BP394*IF(B394&gt;=in_marketplace_from,d_hz_bills*G394,0)</f>
        <v/>
      </c>
      <c r="BR394" s="14">
        <f>F394*BQ394*in_bills_ticket*in_bills_comm/12</f>
        <v/>
      </c>
      <c r="BS394" s="40">
        <f>BS393*(1-IF(B393&gt;=in_marketplace_from,d_hz_loan_gold*G393,0))</f>
        <v/>
      </c>
      <c r="BT394" s="14">
        <f>F394*BS394*IF(B394&gt;=in_marketplace_from,d_hz_loan_gold*G394,0)*in_loan_gold_ticket*in_loan_gold_comm</f>
        <v/>
      </c>
      <c r="BU394" s="40">
        <f>BU393*(1-IF(B393&gt;=in_marketplace_from,d_hz_loan_cd*G393,0))</f>
        <v/>
      </c>
      <c r="BV394" s="14">
        <f>F394*BU394*IF(B394&gt;=in_marketplace_from,d_hz_loan_cd*G394,0)*in_loan_cd_ticket*in_loan_cd_comm</f>
        <v/>
      </c>
      <c r="BW394" s="40">
        <f>BW393*(1-IF(B393&gt;=in_marketplace_from,d_hz_loan_vehicle*G393,0))</f>
        <v/>
      </c>
      <c r="BX394" s="14">
        <f>F394*BW394*IF(B394&gt;=in_marketplace_from,d_hz_loan_vehicle*G394,0)*in_loan_vehicle_ticket*in_loan_vehicle_comm</f>
        <v/>
      </c>
      <c r="BY394" s="40">
        <f>BY393*(1-IF(B393&gt;=in_marketplace_from,d_hz_loan_home*G393,0)*BZ393)</f>
        <v/>
      </c>
      <c r="BZ394" s="11">
        <f>MIN(in_approval_cap,in_loan_home_approval*INDEX('Age profile'!$O$2:$O$61,B394)*(1+in_approval_growth)^(D394-1))</f>
        <v/>
      </c>
      <c r="CA394" s="14">
        <f>F394*BY394*IF(B394&gt;=in_marketplace_from,d_hz_loan_home*G394,0)*BZ394*in_loan_home_ticket*in_loan_home_comm</f>
        <v/>
      </c>
      <c r="CB394" s="40">
        <f>CB393*(1-IF(B393&gt;=in_marketplace_from,d_hz_loan_lap*G393,0)*CC393)</f>
        <v/>
      </c>
      <c r="CC394" s="11">
        <f>MIN(in_approval_cap,in_loan_lap_approval*INDEX('Age profile'!$O$2:$O$61,B394)*(1+in_approval_growth)^(D394-1))</f>
        <v/>
      </c>
      <c r="CD394" s="14">
        <f>F394*CB394*IF(B394&gt;=in_marketplace_from,d_hz_loan_lap*G394,0)*CC394*in_loan_lap_ticket*in_loan_lap_comm</f>
        <v/>
      </c>
      <c r="CE394" s="14">
        <f>AA394+AB394+AC394+AD394+AG394+AJ394+AM394+AP394+AS394+AU394+AX394+BB394+BE394+BG394+BJ394+BL394+BO394+BR394+BT394+BV394+BX394+CA394+CD394</f>
        <v/>
      </c>
    </row>
    <row r="395">
      <c r="A395" s="39" t="n">
        <v>7</v>
      </c>
      <c r="B395" s="39" t="n">
        <v>49</v>
      </c>
      <c r="C395" s="39">
        <f>A395+B395-1</f>
        <v/>
      </c>
      <c r="D395" s="39">
        <f>INT((C395-1)/12)+1</f>
        <v/>
      </c>
      <c r="E395" s="44">
        <f>INDEX(Monthly!$B$2:$B$61,A395)</f>
        <v/>
      </c>
      <c r="F395" s="44">
        <f>E395*INDEX('Age profile'!$B$2:$B$61,B395)</f>
        <v/>
      </c>
      <c r="G395" s="45">
        <f>MIN(in_takeup_cap,INDEX('Age profile'!$N$2:$N$61,B395)*(1+in_takeup_growth)^(D395-1))</f>
        <v/>
      </c>
      <c r="H395" s="11">
        <f>MIN(in_approval_cap,in_approved_first*INDEX('Age profile'!$O$2:$O$61,B395)*(1+in_approval_growth)^(D395-1))</f>
        <v/>
      </c>
      <c r="I395" s="45">
        <f>G395*MIN(in_takeup_cap,INDEX('Age profile'!$O$2:$O$61,B395)*(1+in_approval_growth)^(D395-1))</f>
        <v/>
      </c>
      <c r="J395" s="40">
        <f>(J394-L394)*F395/F394</f>
        <v/>
      </c>
      <c r="K395" s="40">
        <f>(K394-M394)*F395/F394+SUMIFS(O347:O394,B347:B394,B395-1-d_T)*F395</f>
        <v/>
      </c>
      <c r="L395" s="40">
        <f>IF(B395&gt;=in_marketplace_from,J395*d_hz*G395*in_eligible*H395,0)</f>
        <v/>
      </c>
      <c r="M395" s="40">
        <f>IF(B395&gt;=in_marketplace_from,K395*d_hz*G395*in_eligible*in_approved_repeat,0)</f>
        <v/>
      </c>
      <c r="N395" s="40">
        <f>L395+M395</f>
        <v/>
      </c>
      <c r="O395" s="46">
        <f>N395/F395</f>
        <v/>
      </c>
      <c r="P395" s="40">
        <f>F395-J395-K395</f>
        <v/>
      </c>
      <c r="Q395" s="40">
        <f>IF(B395&gt;=in_marketplace_from,(J395+K395)*d_hz*G395,0)</f>
        <v/>
      </c>
      <c r="R395" s="40">
        <f>SUMIFS(N347:N400,B347:B400,"&gt;="&amp;(B395-d_T),B347:B400,"&lt;="&amp;(B395-1))</f>
        <v/>
      </c>
      <c r="S395" s="46">
        <f>(1-d_u)*S394+IF(d_T&gt;in_topup_lag,SUMIFS(O347:O400,B347:B400,B395-in_topup_lag)-d_udrop*SUMIFS(O347:O400,B347:B400,B395-d_T),0)</f>
        <v/>
      </c>
      <c r="T395" s="40">
        <f>F395*d_u*S395</f>
        <v/>
      </c>
      <c r="U395" s="9">
        <f>L395*in_ticket+M395*d_rep_ticket</f>
        <v/>
      </c>
      <c r="V395" s="9">
        <f>U395+T395*d_topup_amt</f>
        <v/>
      </c>
      <c r="W395" s="40">
        <f>N395+T395*d_topup_ratio</f>
        <v/>
      </c>
      <c r="X395" s="40">
        <f>SUMIFS(W347:W400,B347:B400,B395-in_dpd_lag)*d_cured</f>
        <v/>
      </c>
      <c r="Y395" s="40">
        <f>SUMIFS(W347:W400,B347:B400,B395-in_rec_lag)*d_recd</f>
        <v/>
      </c>
      <c r="Z395" s="40">
        <f>IF(AND(B395&gt;=in_marketplace_from,B395&lt;in_marketplace_from+in_card_months),in_card_share/in_card_months*F395*I395,IF(AND(B395&gt;=in_marketplace_from+in_card_months,B395&lt;in_marketplace_from+2*in_card_months),in_card_share*d_card_rem/in_card_months*F395*MIN(in_takeup_cap,(1+in_takeup_growth)^(D395-1))*MIN(in_takeup_cap,(1+in_approval_growth)^(D395-1)),0))</f>
        <v/>
      </c>
      <c r="AA395" s="14">
        <f>V395*in_fee*(1-in_taken_back)</f>
        <v/>
      </c>
      <c r="AB395" s="14">
        <f>SUMIFS(W347:W400,B347:B400,B395-in_dpd_lag)*d_dpd</f>
        <v/>
      </c>
      <c r="AC395" s="14">
        <f>SUMIFS(W347:W400,B347:B400,B395-in_rec_lag)*d_rec</f>
        <v/>
      </c>
      <c r="AD395" s="14">
        <f>Z395*in_card_fee</f>
        <v/>
      </c>
      <c r="AE395" s="40">
        <f>AE394*(1-IF(B394&gt;=in_marketplace_from,d_hz_hlth_small*G394,0))</f>
        <v/>
      </c>
      <c r="AF395" s="46">
        <f>AE395*IF(B395&gt;=in_marketplace_from,d_hz_hlth_small*G395,0)</f>
        <v/>
      </c>
      <c r="AG395" s="14">
        <f>F395*AF395*in_hlth_small_ticket*in_hlth_small_comm*in_ins_partner_share+F395*in_hlth_small_ticket*in_hlth_small_renew_comm*in_ins_partner_share*(in_hlth_small_renew^1*SUMIFS(AF347:AF400,B347:B400,B395-12)+in_hlth_small_renew^2*SUMIFS(AF347:AF400,B347:B400,B395-24)+in_hlth_small_renew^3*SUMIFS(AF347:AF400,B347:B400,B395-36)+in_hlth_small_renew^4*SUMIFS(AF347:AF400,B347:B400,B395-48))</f>
        <v/>
      </c>
      <c r="AH395" s="40">
        <f>AH394*(1-IF(B394&gt;=in_marketplace_from,d_hz_hlth_family*G394,0))</f>
        <v/>
      </c>
      <c r="AI395" s="46">
        <f>AH395*IF(B395&gt;=in_marketplace_from,d_hz_hlth_family*G395,0)</f>
        <v/>
      </c>
      <c r="AJ395" s="14">
        <f>F395*AI395*in_hlth_family_ticket*in_hlth_family_comm*in_ins_partner_share+F395*in_hlth_family_ticket*in_hlth_family_renew_comm*in_ins_partner_share*(in_hlth_family_renew^1*SUMIFS(AI347:AI400,B347:B400,B395-12)+in_hlth_family_renew^2*SUMIFS(AI347:AI400,B347:B400,B395-24)+in_hlth_family_renew^3*SUMIFS(AI347:AI400,B347:B400,B395-36)+in_hlth_family_renew^4*SUMIFS(AI347:AI400,B347:B400,B395-48))</f>
        <v/>
      </c>
      <c r="AK395" s="40">
        <f>AK394*(1-IF(B394&gt;=in_marketplace_from,d_hz_life_term*G394,0))</f>
        <v/>
      </c>
      <c r="AL395" s="46">
        <f>AK395*IF(B395&gt;=in_marketplace_from,d_hz_life_term*G395,0)</f>
        <v/>
      </c>
      <c r="AM395" s="14">
        <f>F395*AL395*in_life_term_ticket*in_life_term_comm*in_ins_partner_share+F395*in_life_term_ticket*in_life_term_renew_comm*in_ins_partner_share*(in_life_term_renew^1*SUMIFS(AL347:AL400,B347:B400,B395-12)+in_life_term_renew^2*SUMIFS(AL347:AL400,B347:B400,B395-24)+in_life_term_renew^3*SUMIFS(AL347:AL400,B347:B400,B395-36)+in_life_term_renew^4*SUMIFS(AL347:AL400,B347:B400,B395-48))</f>
        <v/>
      </c>
      <c r="AN395" s="40">
        <f>AN394*(1-IF(B394&gt;=in_marketplace_from,d_hz_accident*G394,0))</f>
        <v/>
      </c>
      <c r="AO395" s="46">
        <f>AN395*IF(B395&gt;=in_marketplace_from,d_hz_accident*G395,0)</f>
        <v/>
      </c>
      <c r="AP395" s="14">
        <f>F395*AO395*in_accident_ticket*in_accident_comm*in_ins_partner_share+F395*in_accident_ticket*in_accident_renew_comm*in_ins_partner_share*(in_accident_renew^1*SUMIFS(AO347:AO400,B347:B400,B395-12)+in_accident_renew^2*SUMIFS(AO347:AO400,B347:B400,B395-24)+in_accident_renew^3*SUMIFS(AO347:AO400,B347:B400,B395-36)+in_accident_renew^4*SUMIFS(AO347:AO400,B347:B400,B395-48))</f>
        <v/>
      </c>
      <c r="AQ395" s="40">
        <f>AQ394*(1-IF(B394&gt;=in_marketplace_from,d_hz_two_wheeler*G394,0))</f>
        <v/>
      </c>
      <c r="AR395" s="46">
        <f>AQ395*IF(B395&gt;=in_marketplace_from,d_hz_two_wheeler*G395,0)</f>
        <v/>
      </c>
      <c r="AS395" s="14">
        <f>F395*AR395*in_two_wheeler_ticket*in_two_wheeler_comm*in_ins_partner_share+F395*in_two_wheeler_ticket*in_two_wheeler_comm*in_ins_partner_share*(in_two_wheeler_renew^1*SUMIFS(AR347:AR400,B347:B400,B395-12)+in_two_wheeler_renew^2*SUMIFS(AR347:AR400,B347:B400,B395-24)+in_two_wheeler_renew^3*SUMIFS(AR347:AR400,B347:B400,B395-36)+in_two_wheeler_renew^4*SUMIFS(AR347:AR400,B347:B400,B395-48))</f>
        <v/>
      </c>
      <c r="AT395" s="40">
        <f>AT394*(1-IF(B394&gt;=in_marketplace_from,d_hz_device*G394,0))</f>
        <v/>
      </c>
      <c r="AU395" s="14">
        <f>F395*AT395*IF(B395&gt;=in_marketplace_from,d_hz_device*G395,0)*in_device_ticket*in_device_comm*in_ins_partner_share</f>
        <v/>
      </c>
      <c r="AV395" s="40">
        <f>AV394*(1-IF(B394&gt;=in_marketplace_from,d_hz_shop*G394,0))</f>
        <v/>
      </c>
      <c r="AW395" s="46">
        <f>AV395*IF(B395&gt;=in_marketplace_from,d_hz_shop*G395,0)</f>
        <v/>
      </c>
      <c r="AX395" s="14">
        <f>F395*AW395*in_shop_ticket*in_shop_comm*in_ins_partner_share+F395*in_shop_ticket*in_shop_renew_comm*in_ins_partner_share*(in_shop_renew^1*SUMIFS(AW347:AW400,B347:B400,B395-12)+in_shop_renew^2*SUMIFS(AW347:AW400,B347:B400,B395-24)+in_shop_renew^3*SUMIFS(AW347:AW400,B347:B400,B395-36)+in_shop_renew^4*SUMIFS(AW347:AW400,B347:B400,B395-48))</f>
        <v/>
      </c>
      <c r="AY395" s="40">
        <f>AY394*(1-IF(B394&gt;=in_marketplace_from,d_hz_sip*G394,0))</f>
        <v/>
      </c>
      <c r="AZ395" s="40">
        <f>AZ394*d_rho_sip+AY395*IF(B395&gt;=in_marketplace_from,d_hz_sip*G395,0)</f>
        <v/>
      </c>
      <c r="BA395" s="40">
        <f>d_rho_sip*(BA394+AZ394)</f>
        <v/>
      </c>
      <c r="BB395" s="14">
        <f>F395*in_sip_ticket*(BA395+0.5*AZ395)*in_sip_comm/12</f>
        <v/>
      </c>
      <c r="BC395" s="40">
        <f>BC394*(1-IF(B394&gt;=in_marketplace_from,d_hz_choti*G394,0))</f>
        <v/>
      </c>
      <c r="BD395" s="46">
        <f>BC395*IF(B395&gt;=in_marketplace_from,d_hz_choti*G395,0)</f>
        <v/>
      </c>
      <c r="BE395" s="14">
        <f>F395*SUMIFS(BD347:BD400,B347:B400,B395-in_choti_months)*in_choti_renew*in_choti_ticket</f>
        <v/>
      </c>
      <c r="BF395" s="40">
        <f>BF394*(1-IF(B394&gt;=in_marketplace_from,d_hz_nps*G394,0))</f>
        <v/>
      </c>
      <c r="BG395" s="14">
        <f>F395*BF395*IF(B395&gt;=in_marketplace_from,d_hz_nps*G395,0)*in_nps_ticket*in_nps_comm</f>
        <v/>
      </c>
      <c r="BH395" s="40">
        <f>BH394*(1-IF(B394&gt;=in_marketplace_from,d_hz_gold*G394,0))</f>
        <v/>
      </c>
      <c r="BI395" s="40">
        <f>BI394*d_rho_gold+BH395*IF(B395&gt;=in_marketplace_from,d_hz_gold*G395,0)</f>
        <v/>
      </c>
      <c r="BJ395" s="14">
        <f>F395*BI395*in_gold_ticket*in_gold_comm</f>
        <v/>
      </c>
      <c r="BK395" s="40">
        <f>BK394*(1-IF(B394&gt;=in_marketplace_from,d_hz_fd*G394,0))</f>
        <v/>
      </c>
      <c r="BL395" s="14">
        <f>F395*BK395*IF(B395&gt;=in_marketplace_from,d_hz_fd*G395,0)*in_fd_ticket*in_fd_comm</f>
        <v/>
      </c>
      <c r="BM395" s="40">
        <f>BM394*(1-IF(B394&gt;=in_marketplace_from,d_hz_recharge*G394,0))</f>
        <v/>
      </c>
      <c r="BN395" s="40">
        <f>BN394*d_rho_recharge+BM395*IF(B395&gt;=in_marketplace_from,d_hz_recharge*G395,0)</f>
        <v/>
      </c>
      <c r="BO395" s="14">
        <f>F395*BN395*in_recharge_ticket*in_recharge_comm/12</f>
        <v/>
      </c>
      <c r="BP395" s="40">
        <f>BP394*(1-IF(B394&gt;=in_marketplace_from,d_hz_bills*G394,0))</f>
        <v/>
      </c>
      <c r="BQ395" s="40">
        <f>BQ394*d_rho_bills+BP395*IF(B395&gt;=in_marketplace_from,d_hz_bills*G395,0)</f>
        <v/>
      </c>
      <c r="BR395" s="14">
        <f>F395*BQ395*in_bills_ticket*in_bills_comm/12</f>
        <v/>
      </c>
      <c r="BS395" s="40">
        <f>BS394*(1-IF(B394&gt;=in_marketplace_from,d_hz_loan_gold*G394,0))</f>
        <v/>
      </c>
      <c r="BT395" s="14">
        <f>F395*BS395*IF(B395&gt;=in_marketplace_from,d_hz_loan_gold*G395,0)*in_loan_gold_ticket*in_loan_gold_comm</f>
        <v/>
      </c>
      <c r="BU395" s="40">
        <f>BU394*(1-IF(B394&gt;=in_marketplace_from,d_hz_loan_cd*G394,0))</f>
        <v/>
      </c>
      <c r="BV395" s="14">
        <f>F395*BU395*IF(B395&gt;=in_marketplace_from,d_hz_loan_cd*G395,0)*in_loan_cd_ticket*in_loan_cd_comm</f>
        <v/>
      </c>
      <c r="BW395" s="40">
        <f>BW394*(1-IF(B394&gt;=in_marketplace_from,d_hz_loan_vehicle*G394,0))</f>
        <v/>
      </c>
      <c r="BX395" s="14">
        <f>F395*BW395*IF(B395&gt;=in_marketplace_from,d_hz_loan_vehicle*G395,0)*in_loan_vehicle_ticket*in_loan_vehicle_comm</f>
        <v/>
      </c>
      <c r="BY395" s="40">
        <f>BY394*(1-IF(B394&gt;=in_marketplace_from,d_hz_loan_home*G394,0)*BZ394)</f>
        <v/>
      </c>
      <c r="BZ395" s="11">
        <f>MIN(in_approval_cap,in_loan_home_approval*INDEX('Age profile'!$O$2:$O$61,B395)*(1+in_approval_growth)^(D395-1))</f>
        <v/>
      </c>
      <c r="CA395" s="14">
        <f>F395*BY395*IF(B395&gt;=in_marketplace_from,d_hz_loan_home*G395,0)*BZ395*in_loan_home_ticket*in_loan_home_comm</f>
        <v/>
      </c>
      <c r="CB395" s="40">
        <f>CB394*(1-IF(B394&gt;=in_marketplace_from,d_hz_loan_lap*G394,0)*CC394)</f>
        <v/>
      </c>
      <c r="CC395" s="11">
        <f>MIN(in_approval_cap,in_loan_lap_approval*INDEX('Age profile'!$O$2:$O$61,B395)*(1+in_approval_growth)^(D395-1))</f>
        <v/>
      </c>
      <c r="CD395" s="14">
        <f>F395*CB395*IF(B395&gt;=in_marketplace_from,d_hz_loan_lap*G395,0)*CC395*in_loan_lap_ticket*in_loan_lap_comm</f>
        <v/>
      </c>
      <c r="CE395" s="14">
        <f>AA395+AB395+AC395+AD395+AG395+AJ395+AM395+AP395+AS395+AU395+AX395+BB395+BE395+BG395+BJ395+BL395+BO395+BR395+BT395+BV395+BX395+CA395+CD395</f>
        <v/>
      </c>
    </row>
    <row r="396">
      <c r="A396" s="39" t="n">
        <v>7</v>
      </c>
      <c r="B396" s="39" t="n">
        <v>50</v>
      </c>
      <c r="C396" s="39">
        <f>A396+B396-1</f>
        <v/>
      </c>
      <c r="D396" s="39">
        <f>INT((C396-1)/12)+1</f>
        <v/>
      </c>
      <c r="E396" s="44">
        <f>INDEX(Monthly!$B$2:$B$61,A396)</f>
        <v/>
      </c>
      <c r="F396" s="44">
        <f>E396*INDEX('Age profile'!$B$2:$B$61,B396)</f>
        <v/>
      </c>
      <c r="G396" s="45">
        <f>MIN(in_takeup_cap,INDEX('Age profile'!$N$2:$N$61,B396)*(1+in_takeup_growth)^(D396-1))</f>
        <v/>
      </c>
      <c r="H396" s="11">
        <f>MIN(in_approval_cap,in_approved_first*INDEX('Age profile'!$O$2:$O$61,B396)*(1+in_approval_growth)^(D396-1))</f>
        <v/>
      </c>
      <c r="I396" s="45">
        <f>G396*MIN(in_takeup_cap,INDEX('Age profile'!$O$2:$O$61,B396)*(1+in_approval_growth)^(D396-1))</f>
        <v/>
      </c>
      <c r="J396" s="40">
        <f>(J395-L395)*F396/F395</f>
        <v/>
      </c>
      <c r="K396" s="40">
        <f>(K395-M395)*F396/F395+SUMIFS(O347:O395,B347:B395,B396-1-d_T)*F396</f>
        <v/>
      </c>
      <c r="L396" s="40">
        <f>IF(B396&gt;=in_marketplace_from,J396*d_hz*G396*in_eligible*H396,0)</f>
        <v/>
      </c>
      <c r="M396" s="40">
        <f>IF(B396&gt;=in_marketplace_from,K396*d_hz*G396*in_eligible*in_approved_repeat,0)</f>
        <v/>
      </c>
      <c r="N396" s="40">
        <f>L396+M396</f>
        <v/>
      </c>
      <c r="O396" s="46">
        <f>N396/F396</f>
        <v/>
      </c>
      <c r="P396" s="40">
        <f>F396-J396-K396</f>
        <v/>
      </c>
      <c r="Q396" s="40">
        <f>IF(B396&gt;=in_marketplace_from,(J396+K396)*d_hz*G396,0)</f>
        <v/>
      </c>
      <c r="R396" s="40">
        <f>SUMIFS(N347:N400,B347:B400,"&gt;="&amp;(B396-d_T),B347:B400,"&lt;="&amp;(B396-1))</f>
        <v/>
      </c>
      <c r="S396" s="46">
        <f>(1-d_u)*S395+IF(d_T&gt;in_topup_lag,SUMIFS(O347:O400,B347:B400,B396-in_topup_lag)-d_udrop*SUMIFS(O347:O400,B347:B400,B396-d_T),0)</f>
        <v/>
      </c>
      <c r="T396" s="40">
        <f>F396*d_u*S396</f>
        <v/>
      </c>
      <c r="U396" s="9">
        <f>L396*in_ticket+M396*d_rep_ticket</f>
        <v/>
      </c>
      <c r="V396" s="9">
        <f>U396+T396*d_topup_amt</f>
        <v/>
      </c>
      <c r="W396" s="40">
        <f>N396+T396*d_topup_ratio</f>
        <v/>
      </c>
      <c r="X396" s="40">
        <f>SUMIFS(W347:W400,B347:B400,B396-in_dpd_lag)*d_cured</f>
        <v/>
      </c>
      <c r="Y396" s="40">
        <f>SUMIFS(W347:W400,B347:B400,B396-in_rec_lag)*d_recd</f>
        <v/>
      </c>
      <c r="Z396" s="40">
        <f>IF(AND(B396&gt;=in_marketplace_from,B396&lt;in_marketplace_from+in_card_months),in_card_share/in_card_months*F396*I396,IF(AND(B396&gt;=in_marketplace_from+in_card_months,B396&lt;in_marketplace_from+2*in_card_months),in_card_share*d_card_rem/in_card_months*F396*MIN(in_takeup_cap,(1+in_takeup_growth)^(D396-1))*MIN(in_takeup_cap,(1+in_approval_growth)^(D396-1)),0))</f>
        <v/>
      </c>
      <c r="AA396" s="14">
        <f>V396*in_fee*(1-in_taken_back)</f>
        <v/>
      </c>
      <c r="AB396" s="14">
        <f>SUMIFS(W347:W400,B347:B400,B396-in_dpd_lag)*d_dpd</f>
        <v/>
      </c>
      <c r="AC396" s="14">
        <f>SUMIFS(W347:W400,B347:B400,B396-in_rec_lag)*d_rec</f>
        <v/>
      </c>
      <c r="AD396" s="14">
        <f>Z396*in_card_fee</f>
        <v/>
      </c>
      <c r="AE396" s="40">
        <f>AE395*(1-IF(B395&gt;=in_marketplace_from,d_hz_hlth_small*G395,0))</f>
        <v/>
      </c>
      <c r="AF396" s="46">
        <f>AE396*IF(B396&gt;=in_marketplace_from,d_hz_hlth_small*G396,0)</f>
        <v/>
      </c>
      <c r="AG396" s="14">
        <f>F396*AF396*in_hlth_small_ticket*in_hlth_small_comm*in_ins_partner_share+F396*in_hlth_small_ticket*in_hlth_small_renew_comm*in_ins_partner_share*(in_hlth_small_renew^1*SUMIFS(AF347:AF400,B347:B400,B396-12)+in_hlth_small_renew^2*SUMIFS(AF347:AF400,B347:B400,B396-24)+in_hlth_small_renew^3*SUMIFS(AF347:AF400,B347:B400,B396-36)+in_hlth_small_renew^4*SUMIFS(AF347:AF400,B347:B400,B396-48))</f>
        <v/>
      </c>
      <c r="AH396" s="40">
        <f>AH395*(1-IF(B395&gt;=in_marketplace_from,d_hz_hlth_family*G395,0))</f>
        <v/>
      </c>
      <c r="AI396" s="46">
        <f>AH396*IF(B396&gt;=in_marketplace_from,d_hz_hlth_family*G396,0)</f>
        <v/>
      </c>
      <c r="AJ396" s="14">
        <f>F396*AI396*in_hlth_family_ticket*in_hlth_family_comm*in_ins_partner_share+F396*in_hlth_family_ticket*in_hlth_family_renew_comm*in_ins_partner_share*(in_hlth_family_renew^1*SUMIFS(AI347:AI400,B347:B400,B396-12)+in_hlth_family_renew^2*SUMIFS(AI347:AI400,B347:B400,B396-24)+in_hlth_family_renew^3*SUMIFS(AI347:AI400,B347:B400,B396-36)+in_hlth_family_renew^4*SUMIFS(AI347:AI400,B347:B400,B396-48))</f>
        <v/>
      </c>
      <c r="AK396" s="40">
        <f>AK395*(1-IF(B395&gt;=in_marketplace_from,d_hz_life_term*G395,0))</f>
        <v/>
      </c>
      <c r="AL396" s="46">
        <f>AK396*IF(B396&gt;=in_marketplace_from,d_hz_life_term*G396,0)</f>
        <v/>
      </c>
      <c r="AM396" s="14">
        <f>F396*AL396*in_life_term_ticket*in_life_term_comm*in_ins_partner_share+F396*in_life_term_ticket*in_life_term_renew_comm*in_ins_partner_share*(in_life_term_renew^1*SUMIFS(AL347:AL400,B347:B400,B396-12)+in_life_term_renew^2*SUMIFS(AL347:AL400,B347:B400,B396-24)+in_life_term_renew^3*SUMIFS(AL347:AL400,B347:B400,B396-36)+in_life_term_renew^4*SUMIFS(AL347:AL400,B347:B400,B396-48))</f>
        <v/>
      </c>
      <c r="AN396" s="40">
        <f>AN395*(1-IF(B395&gt;=in_marketplace_from,d_hz_accident*G395,0))</f>
        <v/>
      </c>
      <c r="AO396" s="46">
        <f>AN396*IF(B396&gt;=in_marketplace_from,d_hz_accident*G396,0)</f>
        <v/>
      </c>
      <c r="AP396" s="14">
        <f>F396*AO396*in_accident_ticket*in_accident_comm*in_ins_partner_share+F396*in_accident_ticket*in_accident_renew_comm*in_ins_partner_share*(in_accident_renew^1*SUMIFS(AO347:AO400,B347:B400,B396-12)+in_accident_renew^2*SUMIFS(AO347:AO400,B347:B400,B396-24)+in_accident_renew^3*SUMIFS(AO347:AO400,B347:B400,B396-36)+in_accident_renew^4*SUMIFS(AO347:AO400,B347:B400,B396-48))</f>
        <v/>
      </c>
      <c r="AQ396" s="40">
        <f>AQ395*(1-IF(B395&gt;=in_marketplace_from,d_hz_two_wheeler*G395,0))</f>
        <v/>
      </c>
      <c r="AR396" s="46">
        <f>AQ396*IF(B396&gt;=in_marketplace_from,d_hz_two_wheeler*G396,0)</f>
        <v/>
      </c>
      <c r="AS396" s="14">
        <f>F396*AR396*in_two_wheeler_ticket*in_two_wheeler_comm*in_ins_partner_share+F396*in_two_wheeler_ticket*in_two_wheeler_comm*in_ins_partner_share*(in_two_wheeler_renew^1*SUMIFS(AR347:AR400,B347:B400,B396-12)+in_two_wheeler_renew^2*SUMIFS(AR347:AR400,B347:B400,B396-24)+in_two_wheeler_renew^3*SUMIFS(AR347:AR400,B347:B400,B396-36)+in_two_wheeler_renew^4*SUMIFS(AR347:AR400,B347:B400,B396-48))</f>
        <v/>
      </c>
      <c r="AT396" s="40">
        <f>AT395*(1-IF(B395&gt;=in_marketplace_from,d_hz_device*G395,0))</f>
        <v/>
      </c>
      <c r="AU396" s="14">
        <f>F396*AT396*IF(B396&gt;=in_marketplace_from,d_hz_device*G396,0)*in_device_ticket*in_device_comm*in_ins_partner_share</f>
        <v/>
      </c>
      <c r="AV396" s="40">
        <f>AV395*(1-IF(B395&gt;=in_marketplace_from,d_hz_shop*G395,0))</f>
        <v/>
      </c>
      <c r="AW396" s="46">
        <f>AV396*IF(B396&gt;=in_marketplace_from,d_hz_shop*G396,0)</f>
        <v/>
      </c>
      <c r="AX396" s="14">
        <f>F396*AW396*in_shop_ticket*in_shop_comm*in_ins_partner_share+F396*in_shop_ticket*in_shop_renew_comm*in_ins_partner_share*(in_shop_renew^1*SUMIFS(AW347:AW400,B347:B400,B396-12)+in_shop_renew^2*SUMIFS(AW347:AW400,B347:B400,B396-24)+in_shop_renew^3*SUMIFS(AW347:AW400,B347:B400,B396-36)+in_shop_renew^4*SUMIFS(AW347:AW400,B347:B400,B396-48))</f>
        <v/>
      </c>
      <c r="AY396" s="40">
        <f>AY395*(1-IF(B395&gt;=in_marketplace_from,d_hz_sip*G395,0))</f>
        <v/>
      </c>
      <c r="AZ396" s="40">
        <f>AZ395*d_rho_sip+AY396*IF(B396&gt;=in_marketplace_from,d_hz_sip*G396,0)</f>
        <v/>
      </c>
      <c r="BA396" s="40">
        <f>d_rho_sip*(BA395+AZ395)</f>
        <v/>
      </c>
      <c r="BB396" s="14">
        <f>F396*in_sip_ticket*(BA396+0.5*AZ396)*in_sip_comm/12</f>
        <v/>
      </c>
      <c r="BC396" s="40">
        <f>BC395*(1-IF(B395&gt;=in_marketplace_from,d_hz_choti*G395,0))</f>
        <v/>
      </c>
      <c r="BD396" s="46">
        <f>BC396*IF(B396&gt;=in_marketplace_from,d_hz_choti*G396,0)</f>
        <v/>
      </c>
      <c r="BE396" s="14">
        <f>F396*SUMIFS(BD347:BD400,B347:B400,B396-in_choti_months)*in_choti_renew*in_choti_ticket</f>
        <v/>
      </c>
      <c r="BF396" s="40">
        <f>BF395*(1-IF(B395&gt;=in_marketplace_from,d_hz_nps*G395,0))</f>
        <v/>
      </c>
      <c r="BG396" s="14">
        <f>F396*BF396*IF(B396&gt;=in_marketplace_from,d_hz_nps*G396,0)*in_nps_ticket*in_nps_comm</f>
        <v/>
      </c>
      <c r="BH396" s="40">
        <f>BH395*(1-IF(B395&gt;=in_marketplace_from,d_hz_gold*G395,0))</f>
        <v/>
      </c>
      <c r="BI396" s="40">
        <f>BI395*d_rho_gold+BH396*IF(B396&gt;=in_marketplace_from,d_hz_gold*G396,0)</f>
        <v/>
      </c>
      <c r="BJ396" s="14">
        <f>F396*BI396*in_gold_ticket*in_gold_comm</f>
        <v/>
      </c>
      <c r="BK396" s="40">
        <f>BK395*(1-IF(B395&gt;=in_marketplace_from,d_hz_fd*G395,0))</f>
        <v/>
      </c>
      <c r="BL396" s="14">
        <f>F396*BK396*IF(B396&gt;=in_marketplace_from,d_hz_fd*G396,0)*in_fd_ticket*in_fd_comm</f>
        <v/>
      </c>
      <c r="BM396" s="40">
        <f>BM395*(1-IF(B395&gt;=in_marketplace_from,d_hz_recharge*G395,0))</f>
        <v/>
      </c>
      <c r="BN396" s="40">
        <f>BN395*d_rho_recharge+BM396*IF(B396&gt;=in_marketplace_from,d_hz_recharge*G396,0)</f>
        <v/>
      </c>
      <c r="BO396" s="14">
        <f>F396*BN396*in_recharge_ticket*in_recharge_comm/12</f>
        <v/>
      </c>
      <c r="BP396" s="40">
        <f>BP395*(1-IF(B395&gt;=in_marketplace_from,d_hz_bills*G395,0))</f>
        <v/>
      </c>
      <c r="BQ396" s="40">
        <f>BQ395*d_rho_bills+BP396*IF(B396&gt;=in_marketplace_from,d_hz_bills*G396,0)</f>
        <v/>
      </c>
      <c r="BR396" s="14">
        <f>F396*BQ396*in_bills_ticket*in_bills_comm/12</f>
        <v/>
      </c>
      <c r="BS396" s="40">
        <f>BS395*(1-IF(B395&gt;=in_marketplace_from,d_hz_loan_gold*G395,0))</f>
        <v/>
      </c>
      <c r="BT396" s="14">
        <f>F396*BS396*IF(B396&gt;=in_marketplace_from,d_hz_loan_gold*G396,0)*in_loan_gold_ticket*in_loan_gold_comm</f>
        <v/>
      </c>
      <c r="BU396" s="40">
        <f>BU395*(1-IF(B395&gt;=in_marketplace_from,d_hz_loan_cd*G395,0))</f>
        <v/>
      </c>
      <c r="BV396" s="14">
        <f>F396*BU396*IF(B396&gt;=in_marketplace_from,d_hz_loan_cd*G396,0)*in_loan_cd_ticket*in_loan_cd_comm</f>
        <v/>
      </c>
      <c r="BW396" s="40">
        <f>BW395*(1-IF(B395&gt;=in_marketplace_from,d_hz_loan_vehicle*G395,0))</f>
        <v/>
      </c>
      <c r="BX396" s="14">
        <f>F396*BW396*IF(B396&gt;=in_marketplace_from,d_hz_loan_vehicle*G396,0)*in_loan_vehicle_ticket*in_loan_vehicle_comm</f>
        <v/>
      </c>
      <c r="BY396" s="40">
        <f>BY395*(1-IF(B395&gt;=in_marketplace_from,d_hz_loan_home*G395,0)*BZ395)</f>
        <v/>
      </c>
      <c r="BZ396" s="11">
        <f>MIN(in_approval_cap,in_loan_home_approval*INDEX('Age profile'!$O$2:$O$61,B396)*(1+in_approval_growth)^(D396-1))</f>
        <v/>
      </c>
      <c r="CA396" s="14">
        <f>F396*BY396*IF(B396&gt;=in_marketplace_from,d_hz_loan_home*G396,0)*BZ396*in_loan_home_ticket*in_loan_home_comm</f>
        <v/>
      </c>
      <c r="CB396" s="40">
        <f>CB395*(1-IF(B395&gt;=in_marketplace_from,d_hz_loan_lap*G395,0)*CC395)</f>
        <v/>
      </c>
      <c r="CC396" s="11">
        <f>MIN(in_approval_cap,in_loan_lap_approval*INDEX('Age profile'!$O$2:$O$61,B396)*(1+in_approval_growth)^(D396-1))</f>
        <v/>
      </c>
      <c r="CD396" s="14">
        <f>F396*CB396*IF(B396&gt;=in_marketplace_from,d_hz_loan_lap*G396,0)*CC396*in_loan_lap_ticket*in_loan_lap_comm</f>
        <v/>
      </c>
      <c r="CE396" s="14">
        <f>AA396+AB396+AC396+AD396+AG396+AJ396+AM396+AP396+AS396+AU396+AX396+BB396+BE396+BG396+BJ396+BL396+BO396+BR396+BT396+BV396+BX396+CA396+CD396</f>
        <v/>
      </c>
    </row>
    <row r="397">
      <c r="A397" s="39" t="n">
        <v>7</v>
      </c>
      <c r="B397" s="39" t="n">
        <v>51</v>
      </c>
      <c r="C397" s="39">
        <f>A397+B397-1</f>
        <v/>
      </c>
      <c r="D397" s="39">
        <f>INT((C397-1)/12)+1</f>
        <v/>
      </c>
      <c r="E397" s="44">
        <f>INDEX(Monthly!$B$2:$B$61,A397)</f>
        <v/>
      </c>
      <c r="F397" s="44">
        <f>E397*INDEX('Age profile'!$B$2:$B$61,B397)</f>
        <v/>
      </c>
      <c r="G397" s="45">
        <f>MIN(in_takeup_cap,INDEX('Age profile'!$N$2:$N$61,B397)*(1+in_takeup_growth)^(D397-1))</f>
        <v/>
      </c>
      <c r="H397" s="11">
        <f>MIN(in_approval_cap,in_approved_first*INDEX('Age profile'!$O$2:$O$61,B397)*(1+in_approval_growth)^(D397-1))</f>
        <v/>
      </c>
      <c r="I397" s="45">
        <f>G397*MIN(in_takeup_cap,INDEX('Age profile'!$O$2:$O$61,B397)*(1+in_approval_growth)^(D397-1))</f>
        <v/>
      </c>
      <c r="J397" s="40">
        <f>(J396-L396)*F397/F396</f>
        <v/>
      </c>
      <c r="K397" s="40">
        <f>(K396-M396)*F397/F396+SUMIFS(O347:O396,B347:B396,B397-1-d_T)*F397</f>
        <v/>
      </c>
      <c r="L397" s="40">
        <f>IF(B397&gt;=in_marketplace_from,J397*d_hz*G397*in_eligible*H397,0)</f>
        <v/>
      </c>
      <c r="M397" s="40">
        <f>IF(B397&gt;=in_marketplace_from,K397*d_hz*G397*in_eligible*in_approved_repeat,0)</f>
        <v/>
      </c>
      <c r="N397" s="40">
        <f>L397+M397</f>
        <v/>
      </c>
      <c r="O397" s="46">
        <f>N397/F397</f>
        <v/>
      </c>
      <c r="P397" s="40">
        <f>F397-J397-K397</f>
        <v/>
      </c>
      <c r="Q397" s="40">
        <f>IF(B397&gt;=in_marketplace_from,(J397+K397)*d_hz*G397,0)</f>
        <v/>
      </c>
      <c r="R397" s="40">
        <f>SUMIFS(N347:N400,B347:B400,"&gt;="&amp;(B397-d_T),B347:B400,"&lt;="&amp;(B397-1))</f>
        <v/>
      </c>
      <c r="S397" s="46">
        <f>(1-d_u)*S396+IF(d_T&gt;in_topup_lag,SUMIFS(O347:O400,B347:B400,B397-in_topup_lag)-d_udrop*SUMIFS(O347:O400,B347:B400,B397-d_T),0)</f>
        <v/>
      </c>
      <c r="T397" s="40">
        <f>F397*d_u*S397</f>
        <v/>
      </c>
      <c r="U397" s="9">
        <f>L397*in_ticket+M397*d_rep_ticket</f>
        <v/>
      </c>
      <c r="V397" s="9">
        <f>U397+T397*d_topup_amt</f>
        <v/>
      </c>
      <c r="W397" s="40">
        <f>N397+T397*d_topup_ratio</f>
        <v/>
      </c>
      <c r="X397" s="40">
        <f>SUMIFS(W347:W400,B347:B400,B397-in_dpd_lag)*d_cured</f>
        <v/>
      </c>
      <c r="Y397" s="40">
        <f>SUMIFS(W347:W400,B347:B400,B397-in_rec_lag)*d_recd</f>
        <v/>
      </c>
      <c r="Z397" s="40">
        <f>IF(AND(B397&gt;=in_marketplace_from,B397&lt;in_marketplace_from+in_card_months),in_card_share/in_card_months*F397*I397,IF(AND(B397&gt;=in_marketplace_from+in_card_months,B397&lt;in_marketplace_from+2*in_card_months),in_card_share*d_card_rem/in_card_months*F397*MIN(in_takeup_cap,(1+in_takeup_growth)^(D397-1))*MIN(in_takeup_cap,(1+in_approval_growth)^(D397-1)),0))</f>
        <v/>
      </c>
      <c r="AA397" s="14">
        <f>V397*in_fee*(1-in_taken_back)</f>
        <v/>
      </c>
      <c r="AB397" s="14">
        <f>SUMIFS(W347:W400,B347:B400,B397-in_dpd_lag)*d_dpd</f>
        <v/>
      </c>
      <c r="AC397" s="14">
        <f>SUMIFS(W347:W400,B347:B400,B397-in_rec_lag)*d_rec</f>
        <v/>
      </c>
      <c r="AD397" s="14">
        <f>Z397*in_card_fee</f>
        <v/>
      </c>
      <c r="AE397" s="40">
        <f>AE396*(1-IF(B396&gt;=in_marketplace_from,d_hz_hlth_small*G396,0))</f>
        <v/>
      </c>
      <c r="AF397" s="46">
        <f>AE397*IF(B397&gt;=in_marketplace_from,d_hz_hlth_small*G397,0)</f>
        <v/>
      </c>
      <c r="AG397" s="14">
        <f>F397*AF397*in_hlth_small_ticket*in_hlth_small_comm*in_ins_partner_share+F397*in_hlth_small_ticket*in_hlth_small_renew_comm*in_ins_partner_share*(in_hlth_small_renew^1*SUMIFS(AF347:AF400,B347:B400,B397-12)+in_hlth_small_renew^2*SUMIFS(AF347:AF400,B347:B400,B397-24)+in_hlth_small_renew^3*SUMIFS(AF347:AF400,B347:B400,B397-36)+in_hlth_small_renew^4*SUMIFS(AF347:AF400,B347:B400,B397-48))</f>
        <v/>
      </c>
      <c r="AH397" s="40">
        <f>AH396*(1-IF(B396&gt;=in_marketplace_from,d_hz_hlth_family*G396,0))</f>
        <v/>
      </c>
      <c r="AI397" s="46">
        <f>AH397*IF(B397&gt;=in_marketplace_from,d_hz_hlth_family*G397,0)</f>
        <v/>
      </c>
      <c r="AJ397" s="14">
        <f>F397*AI397*in_hlth_family_ticket*in_hlth_family_comm*in_ins_partner_share+F397*in_hlth_family_ticket*in_hlth_family_renew_comm*in_ins_partner_share*(in_hlth_family_renew^1*SUMIFS(AI347:AI400,B347:B400,B397-12)+in_hlth_family_renew^2*SUMIFS(AI347:AI400,B347:B400,B397-24)+in_hlth_family_renew^3*SUMIFS(AI347:AI400,B347:B400,B397-36)+in_hlth_family_renew^4*SUMIFS(AI347:AI400,B347:B400,B397-48))</f>
        <v/>
      </c>
      <c r="AK397" s="40">
        <f>AK396*(1-IF(B396&gt;=in_marketplace_from,d_hz_life_term*G396,0))</f>
        <v/>
      </c>
      <c r="AL397" s="46">
        <f>AK397*IF(B397&gt;=in_marketplace_from,d_hz_life_term*G397,0)</f>
        <v/>
      </c>
      <c r="AM397" s="14">
        <f>F397*AL397*in_life_term_ticket*in_life_term_comm*in_ins_partner_share+F397*in_life_term_ticket*in_life_term_renew_comm*in_ins_partner_share*(in_life_term_renew^1*SUMIFS(AL347:AL400,B347:B400,B397-12)+in_life_term_renew^2*SUMIFS(AL347:AL400,B347:B400,B397-24)+in_life_term_renew^3*SUMIFS(AL347:AL400,B347:B400,B397-36)+in_life_term_renew^4*SUMIFS(AL347:AL400,B347:B400,B397-48))</f>
        <v/>
      </c>
      <c r="AN397" s="40">
        <f>AN396*(1-IF(B396&gt;=in_marketplace_from,d_hz_accident*G396,0))</f>
        <v/>
      </c>
      <c r="AO397" s="46">
        <f>AN397*IF(B397&gt;=in_marketplace_from,d_hz_accident*G397,0)</f>
        <v/>
      </c>
      <c r="AP397" s="14">
        <f>F397*AO397*in_accident_ticket*in_accident_comm*in_ins_partner_share+F397*in_accident_ticket*in_accident_renew_comm*in_ins_partner_share*(in_accident_renew^1*SUMIFS(AO347:AO400,B347:B400,B397-12)+in_accident_renew^2*SUMIFS(AO347:AO400,B347:B400,B397-24)+in_accident_renew^3*SUMIFS(AO347:AO400,B347:B400,B397-36)+in_accident_renew^4*SUMIFS(AO347:AO400,B347:B400,B397-48))</f>
        <v/>
      </c>
      <c r="AQ397" s="40">
        <f>AQ396*(1-IF(B396&gt;=in_marketplace_from,d_hz_two_wheeler*G396,0))</f>
        <v/>
      </c>
      <c r="AR397" s="46">
        <f>AQ397*IF(B397&gt;=in_marketplace_from,d_hz_two_wheeler*G397,0)</f>
        <v/>
      </c>
      <c r="AS397" s="14">
        <f>F397*AR397*in_two_wheeler_ticket*in_two_wheeler_comm*in_ins_partner_share+F397*in_two_wheeler_ticket*in_two_wheeler_comm*in_ins_partner_share*(in_two_wheeler_renew^1*SUMIFS(AR347:AR400,B347:B400,B397-12)+in_two_wheeler_renew^2*SUMIFS(AR347:AR400,B347:B400,B397-24)+in_two_wheeler_renew^3*SUMIFS(AR347:AR400,B347:B400,B397-36)+in_two_wheeler_renew^4*SUMIFS(AR347:AR400,B347:B400,B397-48))</f>
        <v/>
      </c>
      <c r="AT397" s="40">
        <f>AT396*(1-IF(B396&gt;=in_marketplace_from,d_hz_device*G396,0))</f>
        <v/>
      </c>
      <c r="AU397" s="14">
        <f>F397*AT397*IF(B397&gt;=in_marketplace_from,d_hz_device*G397,0)*in_device_ticket*in_device_comm*in_ins_partner_share</f>
        <v/>
      </c>
      <c r="AV397" s="40">
        <f>AV396*(1-IF(B396&gt;=in_marketplace_from,d_hz_shop*G396,0))</f>
        <v/>
      </c>
      <c r="AW397" s="46">
        <f>AV397*IF(B397&gt;=in_marketplace_from,d_hz_shop*G397,0)</f>
        <v/>
      </c>
      <c r="AX397" s="14">
        <f>F397*AW397*in_shop_ticket*in_shop_comm*in_ins_partner_share+F397*in_shop_ticket*in_shop_renew_comm*in_ins_partner_share*(in_shop_renew^1*SUMIFS(AW347:AW400,B347:B400,B397-12)+in_shop_renew^2*SUMIFS(AW347:AW400,B347:B400,B397-24)+in_shop_renew^3*SUMIFS(AW347:AW400,B347:B400,B397-36)+in_shop_renew^4*SUMIFS(AW347:AW400,B347:B400,B397-48))</f>
        <v/>
      </c>
      <c r="AY397" s="40">
        <f>AY396*(1-IF(B396&gt;=in_marketplace_from,d_hz_sip*G396,0))</f>
        <v/>
      </c>
      <c r="AZ397" s="40">
        <f>AZ396*d_rho_sip+AY397*IF(B397&gt;=in_marketplace_from,d_hz_sip*G397,0)</f>
        <v/>
      </c>
      <c r="BA397" s="40">
        <f>d_rho_sip*(BA396+AZ396)</f>
        <v/>
      </c>
      <c r="BB397" s="14">
        <f>F397*in_sip_ticket*(BA397+0.5*AZ397)*in_sip_comm/12</f>
        <v/>
      </c>
      <c r="BC397" s="40">
        <f>BC396*(1-IF(B396&gt;=in_marketplace_from,d_hz_choti*G396,0))</f>
        <v/>
      </c>
      <c r="BD397" s="46">
        <f>BC397*IF(B397&gt;=in_marketplace_from,d_hz_choti*G397,0)</f>
        <v/>
      </c>
      <c r="BE397" s="14">
        <f>F397*SUMIFS(BD347:BD400,B347:B400,B397-in_choti_months)*in_choti_renew*in_choti_ticket</f>
        <v/>
      </c>
      <c r="BF397" s="40">
        <f>BF396*(1-IF(B396&gt;=in_marketplace_from,d_hz_nps*G396,0))</f>
        <v/>
      </c>
      <c r="BG397" s="14">
        <f>F397*BF397*IF(B397&gt;=in_marketplace_from,d_hz_nps*G397,0)*in_nps_ticket*in_nps_comm</f>
        <v/>
      </c>
      <c r="BH397" s="40">
        <f>BH396*(1-IF(B396&gt;=in_marketplace_from,d_hz_gold*G396,0))</f>
        <v/>
      </c>
      <c r="BI397" s="40">
        <f>BI396*d_rho_gold+BH397*IF(B397&gt;=in_marketplace_from,d_hz_gold*G397,0)</f>
        <v/>
      </c>
      <c r="BJ397" s="14">
        <f>F397*BI397*in_gold_ticket*in_gold_comm</f>
        <v/>
      </c>
      <c r="BK397" s="40">
        <f>BK396*(1-IF(B396&gt;=in_marketplace_from,d_hz_fd*G396,0))</f>
        <v/>
      </c>
      <c r="BL397" s="14">
        <f>F397*BK397*IF(B397&gt;=in_marketplace_from,d_hz_fd*G397,0)*in_fd_ticket*in_fd_comm</f>
        <v/>
      </c>
      <c r="BM397" s="40">
        <f>BM396*(1-IF(B396&gt;=in_marketplace_from,d_hz_recharge*G396,0))</f>
        <v/>
      </c>
      <c r="BN397" s="40">
        <f>BN396*d_rho_recharge+BM397*IF(B397&gt;=in_marketplace_from,d_hz_recharge*G397,0)</f>
        <v/>
      </c>
      <c r="BO397" s="14">
        <f>F397*BN397*in_recharge_ticket*in_recharge_comm/12</f>
        <v/>
      </c>
      <c r="BP397" s="40">
        <f>BP396*(1-IF(B396&gt;=in_marketplace_from,d_hz_bills*G396,0))</f>
        <v/>
      </c>
      <c r="BQ397" s="40">
        <f>BQ396*d_rho_bills+BP397*IF(B397&gt;=in_marketplace_from,d_hz_bills*G397,0)</f>
        <v/>
      </c>
      <c r="BR397" s="14">
        <f>F397*BQ397*in_bills_ticket*in_bills_comm/12</f>
        <v/>
      </c>
      <c r="BS397" s="40">
        <f>BS396*(1-IF(B396&gt;=in_marketplace_from,d_hz_loan_gold*G396,0))</f>
        <v/>
      </c>
      <c r="BT397" s="14">
        <f>F397*BS397*IF(B397&gt;=in_marketplace_from,d_hz_loan_gold*G397,0)*in_loan_gold_ticket*in_loan_gold_comm</f>
        <v/>
      </c>
      <c r="BU397" s="40">
        <f>BU396*(1-IF(B396&gt;=in_marketplace_from,d_hz_loan_cd*G396,0))</f>
        <v/>
      </c>
      <c r="BV397" s="14">
        <f>F397*BU397*IF(B397&gt;=in_marketplace_from,d_hz_loan_cd*G397,0)*in_loan_cd_ticket*in_loan_cd_comm</f>
        <v/>
      </c>
      <c r="BW397" s="40">
        <f>BW396*(1-IF(B396&gt;=in_marketplace_from,d_hz_loan_vehicle*G396,0))</f>
        <v/>
      </c>
      <c r="BX397" s="14">
        <f>F397*BW397*IF(B397&gt;=in_marketplace_from,d_hz_loan_vehicle*G397,0)*in_loan_vehicle_ticket*in_loan_vehicle_comm</f>
        <v/>
      </c>
      <c r="BY397" s="40">
        <f>BY396*(1-IF(B396&gt;=in_marketplace_from,d_hz_loan_home*G396,0)*BZ396)</f>
        <v/>
      </c>
      <c r="BZ397" s="11">
        <f>MIN(in_approval_cap,in_loan_home_approval*INDEX('Age profile'!$O$2:$O$61,B397)*(1+in_approval_growth)^(D397-1))</f>
        <v/>
      </c>
      <c r="CA397" s="14">
        <f>F397*BY397*IF(B397&gt;=in_marketplace_from,d_hz_loan_home*G397,0)*BZ397*in_loan_home_ticket*in_loan_home_comm</f>
        <v/>
      </c>
      <c r="CB397" s="40">
        <f>CB396*(1-IF(B396&gt;=in_marketplace_from,d_hz_loan_lap*G396,0)*CC396)</f>
        <v/>
      </c>
      <c r="CC397" s="11">
        <f>MIN(in_approval_cap,in_loan_lap_approval*INDEX('Age profile'!$O$2:$O$61,B397)*(1+in_approval_growth)^(D397-1))</f>
        <v/>
      </c>
      <c r="CD397" s="14">
        <f>F397*CB397*IF(B397&gt;=in_marketplace_from,d_hz_loan_lap*G397,0)*CC397*in_loan_lap_ticket*in_loan_lap_comm</f>
        <v/>
      </c>
      <c r="CE397" s="14">
        <f>AA397+AB397+AC397+AD397+AG397+AJ397+AM397+AP397+AS397+AU397+AX397+BB397+BE397+BG397+BJ397+BL397+BO397+BR397+BT397+BV397+BX397+CA397+CD397</f>
        <v/>
      </c>
    </row>
    <row r="398">
      <c r="A398" s="39" t="n">
        <v>7</v>
      </c>
      <c r="B398" s="39" t="n">
        <v>52</v>
      </c>
      <c r="C398" s="39">
        <f>A398+B398-1</f>
        <v/>
      </c>
      <c r="D398" s="39">
        <f>INT((C398-1)/12)+1</f>
        <v/>
      </c>
      <c r="E398" s="44">
        <f>INDEX(Monthly!$B$2:$B$61,A398)</f>
        <v/>
      </c>
      <c r="F398" s="44">
        <f>E398*INDEX('Age profile'!$B$2:$B$61,B398)</f>
        <v/>
      </c>
      <c r="G398" s="45">
        <f>MIN(in_takeup_cap,INDEX('Age profile'!$N$2:$N$61,B398)*(1+in_takeup_growth)^(D398-1))</f>
        <v/>
      </c>
      <c r="H398" s="11">
        <f>MIN(in_approval_cap,in_approved_first*INDEX('Age profile'!$O$2:$O$61,B398)*(1+in_approval_growth)^(D398-1))</f>
        <v/>
      </c>
      <c r="I398" s="45">
        <f>G398*MIN(in_takeup_cap,INDEX('Age profile'!$O$2:$O$61,B398)*(1+in_approval_growth)^(D398-1))</f>
        <v/>
      </c>
      <c r="J398" s="40">
        <f>(J397-L397)*F398/F397</f>
        <v/>
      </c>
      <c r="K398" s="40">
        <f>(K397-M397)*F398/F397+SUMIFS(O347:O397,B347:B397,B398-1-d_T)*F398</f>
        <v/>
      </c>
      <c r="L398" s="40">
        <f>IF(B398&gt;=in_marketplace_from,J398*d_hz*G398*in_eligible*H398,0)</f>
        <v/>
      </c>
      <c r="M398" s="40">
        <f>IF(B398&gt;=in_marketplace_from,K398*d_hz*G398*in_eligible*in_approved_repeat,0)</f>
        <v/>
      </c>
      <c r="N398" s="40">
        <f>L398+M398</f>
        <v/>
      </c>
      <c r="O398" s="46">
        <f>N398/F398</f>
        <v/>
      </c>
      <c r="P398" s="40">
        <f>F398-J398-K398</f>
        <v/>
      </c>
      <c r="Q398" s="40">
        <f>IF(B398&gt;=in_marketplace_from,(J398+K398)*d_hz*G398,0)</f>
        <v/>
      </c>
      <c r="R398" s="40">
        <f>SUMIFS(N347:N400,B347:B400,"&gt;="&amp;(B398-d_T),B347:B400,"&lt;="&amp;(B398-1))</f>
        <v/>
      </c>
      <c r="S398" s="46">
        <f>(1-d_u)*S397+IF(d_T&gt;in_topup_lag,SUMIFS(O347:O400,B347:B400,B398-in_topup_lag)-d_udrop*SUMIFS(O347:O400,B347:B400,B398-d_T),0)</f>
        <v/>
      </c>
      <c r="T398" s="40">
        <f>F398*d_u*S398</f>
        <v/>
      </c>
      <c r="U398" s="9">
        <f>L398*in_ticket+M398*d_rep_ticket</f>
        <v/>
      </c>
      <c r="V398" s="9">
        <f>U398+T398*d_topup_amt</f>
        <v/>
      </c>
      <c r="W398" s="40">
        <f>N398+T398*d_topup_ratio</f>
        <v/>
      </c>
      <c r="X398" s="40">
        <f>SUMIFS(W347:W400,B347:B400,B398-in_dpd_lag)*d_cured</f>
        <v/>
      </c>
      <c r="Y398" s="40">
        <f>SUMIFS(W347:W400,B347:B400,B398-in_rec_lag)*d_recd</f>
        <v/>
      </c>
      <c r="Z398" s="40">
        <f>IF(AND(B398&gt;=in_marketplace_from,B398&lt;in_marketplace_from+in_card_months),in_card_share/in_card_months*F398*I398,IF(AND(B398&gt;=in_marketplace_from+in_card_months,B398&lt;in_marketplace_from+2*in_card_months),in_card_share*d_card_rem/in_card_months*F398*MIN(in_takeup_cap,(1+in_takeup_growth)^(D398-1))*MIN(in_takeup_cap,(1+in_approval_growth)^(D398-1)),0))</f>
        <v/>
      </c>
      <c r="AA398" s="14">
        <f>V398*in_fee*(1-in_taken_back)</f>
        <v/>
      </c>
      <c r="AB398" s="14">
        <f>SUMIFS(W347:W400,B347:B400,B398-in_dpd_lag)*d_dpd</f>
        <v/>
      </c>
      <c r="AC398" s="14">
        <f>SUMIFS(W347:W400,B347:B400,B398-in_rec_lag)*d_rec</f>
        <v/>
      </c>
      <c r="AD398" s="14">
        <f>Z398*in_card_fee</f>
        <v/>
      </c>
      <c r="AE398" s="40">
        <f>AE397*(1-IF(B397&gt;=in_marketplace_from,d_hz_hlth_small*G397,0))</f>
        <v/>
      </c>
      <c r="AF398" s="46">
        <f>AE398*IF(B398&gt;=in_marketplace_from,d_hz_hlth_small*G398,0)</f>
        <v/>
      </c>
      <c r="AG398" s="14">
        <f>F398*AF398*in_hlth_small_ticket*in_hlth_small_comm*in_ins_partner_share+F398*in_hlth_small_ticket*in_hlth_small_renew_comm*in_ins_partner_share*(in_hlth_small_renew^1*SUMIFS(AF347:AF400,B347:B400,B398-12)+in_hlth_small_renew^2*SUMIFS(AF347:AF400,B347:B400,B398-24)+in_hlth_small_renew^3*SUMIFS(AF347:AF400,B347:B400,B398-36)+in_hlth_small_renew^4*SUMIFS(AF347:AF400,B347:B400,B398-48))</f>
        <v/>
      </c>
      <c r="AH398" s="40">
        <f>AH397*(1-IF(B397&gt;=in_marketplace_from,d_hz_hlth_family*G397,0))</f>
        <v/>
      </c>
      <c r="AI398" s="46">
        <f>AH398*IF(B398&gt;=in_marketplace_from,d_hz_hlth_family*G398,0)</f>
        <v/>
      </c>
      <c r="AJ398" s="14">
        <f>F398*AI398*in_hlth_family_ticket*in_hlth_family_comm*in_ins_partner_share+F398*in_hlth_family_ticket*in_hlth_family_renew_comm*in_ins_partner_share*(in_hlth_family_renew^1*SUMIFS(AI347:AI400,B347:B400,B398-12)+in_hlth_family_renew^2*SUMIFS(AI347:AI400,B347:B400,B398-24)+in_hlth_family_renew^3*SUMIFS(AI347:AI400,B347:B400,B398-36)+in_hlth_family_renew^4*SUMIFS(AI347:AI400,B347:B400,B398-48))</f>
        <v/>
      </c>
      <c r="AK398" s="40">
        <f>AK397*(1-IF(B397&gt;=in_marketplace_from,d_hz_life_term*G397,0))</f>
        <v/>
      </c>
      <c r="AL398" s="46">
        <f>AK398*IF(B398&gt;=in_marketplace_from,d_hz_life_term*G398,0)</f>
        <v/>
      </c>
      <c r="AM398" s="14">
        <f>F398*AL398*in_life_term_ticket*in_life_term_comm*in_ins_partner_share+F398*in_life_term_ticket*in_life_term_renew_comm*in_ins_partner_share*(in_life_term_renew^1*SUMIFS(AL347:AL400,B347:B400,B398-12)+in_life_term_renew^2*SUMIFS(AL347:AL400,B347:B400,B398-24)+in_life_term_renew^3*SUMIFS(AL347:AL400,B347:B400,B398-36)+in_life_term_renew^4*SUMIFS(AL347:AL400,B347:B400,B398-48))</f>
        <v/>
      </c>
      <c r="AN398" s="40">
        <f>AN397*(1-IF(B397&gt;=in_marketplace_from,d_hz_accident*G397,0))</f>
        <v/>
      </c>
      <c r="AO398" s="46">
        <f>AN398*IF(B398&gt;=in_marketplace_from,d_hz_accident*G398,0)</f>
        <v/>
      </c>
      <c r="AP398" s="14">
        <f>F398*AO398*in_accident_ticket*in_accident_comm*in_ins_partner_share+F398*in_accident_ticket*in_accident_renew_comm*in_ins_partner_share*(in_accident_renew^1*SUMIFS(AO347:AO400,B347:B400,B398-12)+in_accident_renew^2*SUMIFS(AO347:AO400,B347:B400,B398-24)+in_accident_renew^3*SUMIFS(AO347:AO400,B347:B400,B398-36)+in_accident_renew^4*SUMIFS(AO347:AO400,B347:B400,B398-48))</f>
        <v/>
      </c>
      <c r="AQ398" s="40">
        <f>AQ397*(1-IF(B397&gt;=in_marketplace_from,d_hz_two_wheeler*G397,0))</f>
        <v/>
      </c>
      <c r="AR398" s="46">
        <f>AQ398*IF(B398&gt;=in_marketplace_from,d_hz_two_wheeler*G398,0)</f>
        <v/>
      </c>
      <c r="AS398" s="14">
        <f>F398*AR398*in_two_wheeler_ticket*in_two_wheeler_comm*in_ins_partner_share+F398*in_two_wheeler_ticket*in_two_wheeler_comm*in_ins_partner_share*(in_two_wheeler_renew^1*SUMIFS(AR347:AR400,B347:B400,B398-12)+in_two_wheeler_renew^2*SUMIFS(AR347:AR400,B347:B400,B398-24)+in_two_wheeler_renew^3*SUMIFS(AR347:AR400,B347:B400,B398-36)+in_two_wheeler_renew^4*SUMIFS(AR347:AR400,B347:B400,B398-48))</f>
        <v/>
      </c>
      <c r="AT398" s="40">
        <f>AT397*(1-IF(B397&gt;=in_marketplace_from,d_hz_device*G397,0))</f>
        <v/>
      </c>
      <c r="AU398" s="14">
        <f>F398*AT398*IF(B398&gt;=in_marketplace_from,d_hz_device*G398,0)*in_device_ticket*in_device_comm*in_ins_partner_share</f>
        <v/>
      </c>
      <c r="AV398" s="40">
        <f>AV397*(1-IF(B397&gt;=in_marketplace_from,d_hz_shop*G397,0))</f>
        <v/>
      </c>
      <c r="AW398" s="46">
        <f>AV398*IF(B398&gt;=in_marketplace_from,d_hz_shop*G398,0)</f>
        <v/>
      </c>
      <c r="AX398" s="14">
        <f>F398*AW398*in_shop_ticket*in_shop_comm*in_ins_partner_share+F398*in_shop_ticket*in_shop_renew_comm*in_ins_partner_share*(in_shop_renew^1*SUMIFS(AW347:AW400,B347:B400,B398-12)+in_shop_renew^2*SUMIFS(AW347:AW400,B347:B400,B398-24)+in_shop_renew^3*SUMIFS(AW347:AW400,B347:B400,B398-36)+in_shop_renew^4*SUMIFS(AW347:AW400,B347:B400,B398-48))</f>
        <v/>
      </c>
      <c r="AY398" s="40">
        <f>AY397*(1-IF(B397&gt;=in_marketplace_from,d_hz_sip*G397,0))</f>
        <v/>
      </c>
      <c r="AZ398" s="40">
        <f>AZ397*d_rho_sip+AY398*IF(B398&gt;=in_marketplace_from,d_hz_sip*G398,0)</f>
        <v/>
      </c>
      <c r="BA398" s="40">
        <f>d_rho_sip*(BA397+AZ397)</f>
        <v/>
      </c>
      <c r="BB398" s="14">
        <f>F398*in_sip_ticket*(BA398+0.5*AZ398)*in_sip_comm/12</f>
        <v/>
      </c>
      <c r="BC398" s="40">
        <f>BC397*(1-IF(B397&gt;=in_marketplace_from,d_hz_choti*G397,0))</f>
        <v/>
      </c>
      <c r="BD398" s="46">
        <f>BC398*IF(B398&gt;=in_marketplace_from,d_hz_choti*G398,0)</f>
        <v/>
      </c>
      <c r="BE398" s="14">
        <f>F398*SUMIFS(BD347:BD400,B347:B400,B398-in_choti_months)*in_choti_renew*in_choti_ticket</f>
        <v/>
      </c>
      <c r="BF398" s="40">
        <f>BF397*(1-IF(B397&gt;=in_marketplace_from,d_hz_nps*G397,0))</f>
        <v/>
      </c>
      <c r="BG398" s="14">
        <f>F398*BF398*IF(B398&gt;=in_marketplace_from,d_hz_nps*G398,0)*in_nps_ticket*in_nps_comm</f>
        <v/>
      </c>
      <c r="BH398" s="40">
        <f>BH397*(1-IF(B397&gt;=in_marketplace_from,d_hz_gold*G397,0))</f>
        <v/>
      </c>
      <c r="BI398" s="40">
        <f>BI397*d_rho_gold+BH398*IF(B398&gt;=in_marketplace_from,d_hz_gold*G398,0)</f>
        <v/>
      </c>
      <c r="BJ398" s="14">
        <f>F398*BI398*in_gold_ticket*in_gold_comm</f>
        <v/>
      </c>
      <c r="BK398" s="40">
        <f>BK397*(1-IF(B397&gt;=in_marketplace_from,d_hz_fd*G397,0))</f>
        <v/>
      </c>
      <c r="BL398" s="14">
        <f>F398*BK398*IF(B398&gt;=in_marketplace_from,d_hz_fd*G398,0)*in_fd_ticket*in_fd_comm</f>
        <v/>
      </c>
      <c r="BM398" s="40">
        <f>BM397*(1-IF(B397&gt;=in_marketplace_from,d_hz_recharge*G397,0))</f>
        <v/>
      </c>
      <c r="BN398" s="40">
        <f>BN397*d_rho_recharge+BM398*IF(B398&gt;=in_marketplace_from,d_hz_recharge*G398,0)</f>
        <v/>
      </c>
      <c r="BO398" s="14">
        <f>F398*BN398*in_recharge_ticket*in_recharge_comm/12</f>
        <v/>
      </c>
      <c r="BP398" s="40">
        <f>BP397*(1-IF(B397&gt;=in_marketplace_from,d_hz_bills*G397,0))</f>
        <v/>
      </c>
      <c r="BQ398" s="40">
        <f>BQ397*d_rho_bills+BP398*IF(B398&gt;=in_marketplace_from,d_hz_bills*G398,0)</f>
        <v/>
      </c>
      <c r="BR398" s="14">
        <f>F398*BQ398*in_bills_ticket*in_bills_comm/12</f>
        <v/>
      </c>
      <c r="BS398" s="40">
        <f>BS397*(1-IF(B397&gt;=in_marketplace_from,d_hz_loan_gold*G397,0))</f>
        <v/>
      </c>
      <c r="BT398" s="14">
        <f>F398*BS398*IF(B398&gt;=in_marketplace_from,d_hz_loan_gold*G398,0)*in_loan_gold_ticket*in_loan_gold_comm</f>
        <v/>
      </c>
      <c r="BU398" s="40">
        <f>BU397*(1-IF(B397&gt;=in_marketplace_from,d_hz_loan_cd*G397,0))</f>
        <v/>
      </c>
      <c r="BV398" s="14">
        <f>F398*BU398*IF(B398&gt;=in_marketplace_from,d_hz_loan_cd*G398,0)*in_loan_cd_ticket*in_loan_cd_comm</f>
        <v/>
      </c>
      <c r="BW398" s="40">
        <f>BW397*(1-IF(B397&gt;=in_marketplace_from,d_hz_loan_vehicle*G397,0))</f>
        <v/>
      </c>
      <c r="BX398" s="14">
        <f>F398*BW398*IF(B398&gt;=in_marketplace_from,d_hz_loan_vehicle*G398,0)*in_loan_vehicle_ticket*in_loan_vehicle_comm</f>
        <v/>
      </c>
      <c r="BY398" s="40">
        <f>BY397*(1-IF(B397&gt;=in_marketplace_from,d_hz_loan_home*G397,0)*BZ397)</f>
        <v/>
      </c>
      <c r="BZ398" s="11">
        <f>MIN(in_approval_cap,in_loan_home_approval*INDEX('Age profile'!$O$2:$O$61,B398)*(1+in_approval_growth)^(D398-1))</f>
        <v/>
      </c>
      <c r="CA398" s="14">
        <f>F398*BY398*IF(B398&gt;=in_marketplace_from,d_hz_loan_home*G398,0)*BZ398*in_loan_home_ticket*in_loan_home_comm</f>
        <v/>
      </c>
      <c r="CB398" s="40">
        <f>CB397*(1-IF(B397&gt;=in_marketplace_from,d_hz_loan_lap*G397,0)*CC397)</f>
        <v/>
      </c>
      <c r="CC398" s="11">
        <f>MIN(in_approval_cap,in_loan_lap_approval*INDEX('Age profile'!$O$2:$O$61,B398)*(1+in_approval_growth)^(D398-1))</f>
        <v/>
      </c>
      <c r="CD398" s="14">
        <f>F398*CB398*IF(B398&gt;=in_marketplace_from,d_hz_loan_lap*G398,0)*CC398*in_loan_lap_ticket*in_loan_lap_comm</f>
        <v/>
      </c>
      <c r="CE398" s="14">
        <f>AA398+AB398+AC398+AD398+AG398+AJ398+AM398+AP398+AS398+AU398+AX398+BB398+BE398+BG398+BJ398+BL398+BO398+BR398+BT398+BV398+BX398+CA398+CD398</f>
        <v/>
      </c>
    </row>
    <row r="399">
      <c r="A399" s="39" t="n">
        <v>7</v>
      </c>
      <c r="B399" s="39" t="n">
        <v>53</v>
      </c>
      <c r="C399" s="39">
        <f>A399+B399-1</f>
        <v/>
      </c>
      <c r="D399" s="39">
        <f>INT((C399-1)/12)+1</f>
        <v/>
      </c>
      <c r="E399" s="44">
        <f>INDEX(Monthly!$B$2:$B$61,A399)</f>
        <v/>
      </c>
      <c r="F399" s="44">
        <f>E399*INDEX('Age profile'!$B$2:$B$61,B399)</f>
        <v/>
      </c>
      <c r="G399" s="45">
        <f>MIN(in_takeup_cap,INDEX('Age profile'!$N$2:$N$61,B399)*(1+in_takeup_growth)^(D399-1))</f>
        <v/>
      </c>
      <c r="H399" s="11">
        <f>MIN(in_approval_cap,in_approved_first*INDEX('Age profile'!$O$2:$O$61,B399)*(1+in_approval_growth)^(D399-1))</f>
        <v/>
      </c>
      <c r="I399" s="45">
        <f>G399*MIN(in_takeup_cap,INDEX('Age profile'!$O$2:$O$61,B399)*(1+in_approval_growth)^(D399-1))</f>
        <v/>
      </c>
      <c r="J399" s="40">
        <f>(J398-L398)*F399/F398</f>
        <v/>
      </c>
      <c r="K399" s="40">
        <f>(K398-M398)*F399/F398+SUMIFS(O347:O398,B347:B398,B399-1-d_T)*F399</f>
        <v/>
      </c>
      <c r="L399" s="40">
        <f>IF(B399&gt;=in_marketplace_from,J399*d_hz*G399*in_eligible*H399,0)</f>
        <v/>
      </c>
      <c r="M399" s="40">
        <f>IF(B399&gt;=in_marketplace_from,K399*d_hz*G399*in_eligible*in_approved_repeat,0)</f>
        <v/>
      </c>
      <c r="N399" s="40">
        <f>L399+M399</f>
        <v/>
      </c>
      <c r="O399" s="46">
        <f>N399/F399</f>
        <v/>
      </c>
      <c r="P399" s="40">
        <f>F399-J399-K399</f>
        <v/>
      </c>
      <c r="Q399" s="40">
        <f>IF(B399&gt;=in_marketplace_from,(J399+K399)*d_hz*G399,0)</f>
        <v/>
      </c>
      <c r="R399" s="40">
        <f>SUMIFS(N347:N400,B347:B400,"&gt;="&amp;(B399-d_T),B347:B400,"&lt;="&amp;(B399-1))</f>
        <v/>
      </c>
      <c r="S399" s="46">
        <f>(1-d_u)*S398+IF(d_T&gt;in_topup_lag,SUMIFS(O347:O400,B347:B400,B399-in_topup_lag)-d_udrop*SUMIFS(O347:O400,B347:B400,B399-d_T),0)</f>
        <v/>
      </c>
      <c r="T399" s="40">
        <f>F399*d_u*S399</f>
        <v/>
      </c>
      <c r="U399" s="9">
        <f>L399*in_ticket+M399*d_rep_ticket</f>
        <v/>
      </c>
      <c r="V399" s="9">
        <f>U399+T399*d_topup_amt</f>
        <v/>
      </c>
      <c r="W399" s="40">
        <f>N399+T399*d_topup_ratio</f>
        <v/>
      </c>
      <c r="X399" s="40">
        <f>SUMIFS(W347:W400,B347:B400,B399-in_dpd_lag)*d_cured</f>
        <v/>
      </c>
      <c r="Y399" s="40">
        <f>SUMIFS(W347:W400,B347:B400,B399-in_rec_lag)*d_recd</f>
        <v/>
      </c>
      <c r="Z399" s="40">
        <f>IF(AND(B399&gt;=in_marketplace_from,B399&lt;in_marketplace_from+in_card_months),in_card_share/in_card_months*F399*I399,IF(AND(B399&gt;=in_marketplace_from+in_card_months,B399&lt;in_marketplace_from+2*in_card_months),in_card_share*d_card_rem/in_card_months*F399*MIN(in_takeup_cap,(1+in_takeup_growth)^(D399-1))*MIN(in_takeup_cap,(1+in_approval_growth)^(D399-1)),0))</f>
        <v/>
      </c>
      <c r="AA399" s="14">
        <f>V399*in_fee*(1-in_taken_back)</f>
        <v/>
      </c>
      <c r="AB399" s="14">
        <f>SUMIFS(W347:W400,B347:B400,B399-in_dpd_lag)*d_dpd</f>
        <v/>
      </c>
      <c r="AC399" s="14">
        <f>SUMIFS(W347:W400,B347:B400,B399-in_rec_lag)*d_rec</f>
        <v/>
      </c>
      <c r="AD399" s="14">
        <f>Z399*in_card_fee</f>
        <v/>
      </c>
      <c r="AE399" s="40">
        <f>AE398*(1-IF(B398&gt;=in_marketplace_from,d_hz_hlth_small*G398,0))</f>
        <v/>
      </c>
      <c r="AF399" s="46">
        <f>AE399*IF(B399&gt;=in_marketplace_from,d_hz_hlth_small*G399,0)</f>
        <v/>
      </c>
      <c r="AG399" s="14">
        <f>F399*AF399*in_hlth_small_ticket*in_hlth_small_comm*in_ins_partner_share+F399*in_hlth_small_ticket*in_hlth_small_renew_comm*in_ins_partner_share*(in_hlth_small_renew^1*SUMIFS(AF347:AF400,B347:B400,B399-12)+in_hlth_small_renew^2*SUMIFS(AF347:AF400,B347:B400,B399-24)+in_hlth_small_renew^3*SUMIFS(AF347:AF400,B347:B400,B399-36)+in_hlth_small_renew^4*SUMIFS(AF347:AF400,B347:B400,B399-48))</f>
        <v/>
      </c>
      <c r="AH399" s="40">
        <f>AH398*(1-IF(B398&gt;=in_marketplace_from,d_hz_hlth_family*G398,0))</f>
        <v/>
      </c>
      <c r="AI399" s="46">
        <f>AH399*IF(B399&gt;=in_marketplace_from,d_hz_hlth_family*G399,0)</f>
        <v/>
      </c>
      <c r="AJ399" s="14">
        <f>F399*AI399*in_hlth_family_ticket*in_hlth_family_comm*in_ins_partner_share+F399*in_hlth_family_ticket*in_hlth_family_renew_comm*in_ins_partner_share*(in_hlth_family_renew^1*SUMIFS(AI347:AI400,B347:B400,B399-12)+in_hlth_family_renew^2*SUMIFS(AI347:AI400,B347:B400,B399-24)+in_hlth_family_renew^3*SUMIFS(AI347:AI400,B347:B400,B399-36)+in_hlth_family_renew^4*SUMIFS(AI347:AI400,B347:B400,B399-48))</f>
        <v/>
      </c>
      <c r="AK399" s="40">
        <f>AK398*(1-IF(B398&gt;=in_marketplace_from,d_hz_life_term*G398,0))</f>
        <v/>
      </c>
      <c r="AL399" s="46">
        <f>AK399*IF(B399&gt;=in_marketplace_from,d_hz_life_term*G399,0)</f>
        <v/>
      </c>
      <c r="AM399" s="14">
        <f>F399*AL399*in_life_term_ticket*in_life_term_comm*in_ins_partner_share+F399*in_life_term_ticket*in_life_term_renew_comm*in_ins_partner_share*(in_life_term_renew^1*SUMIFS(AL347:AL400,B347:B400,B399-12)+in_life_term_renew^2*SUMIFS(AL347:AL400,B347:B400,B399-24)+in_life_term_renew^3*SUMIFS(AL347:AL400,B347:B400,B399-36)+in_life_term_renew^4*SUMIFS(AL347:AL400,B347:B400,B399-48))</f>
        <v/>
      </c>
      <c r="AN399" s="40">
        <f>AN398*(1-IF(B398&gt;=in_marketplace_from,d_hz_accident*G398,0))</f>
        <v/>
      </c>
      <c r="AO399" s="46">
        <f>AN399*IF(B399&gt;=in_marketplace_from,d_hz_accident*G399,0)</f>
        <v/>
      </c>
      <c r="AP399" s="14">
        <f>F399*AO399*in_accident_ticket*in_accident_comm*in_ins_partner_share+F399*in_accident_ticket*in_accident_renew_comm*in_ins_partner_share*(in_accident_renew^1*SUMIFS(AO347:AO400,B347:B400,B399-12)+in_accident_renew^2*SUMIFS(AO347:AO400,B347:B400,B399-24)+in_accident_renew^3*SUMIFS(AO347:AO400,B347:B400,B399-36)+in_accident_renew^4*SUMIFS(AO347:AO400,B347:B400,B399-48))</f>
        <v/>
      </c>
      <c r="AQ399" s="40">
        <f>AQ398*(1-IF(B398&gt;=in_marketplace_from,d_hz_two_wheeler*G398,0))</f>
        <v/>
      </c>
      <c r="AR399" s="46">
        <f>AQ399*IF(B399&gt;=in_marketplace_from,d_hz_two_wheeler*G399,0)</f>
        <v/>
      </c>
      <c r="AS399" s="14">
        <f>F399*AR399*in_two_wheeler_ticket*in_two_wheeler_comm*in_ins_partner_share+F399*in_two_wheeler_ticket*in_two_wheeler_comm*in_ins_partner_share*(in_two_wheeler_renew^1*SUMIFS(AR347:AR400,B347:B400,B399-12)+in_two_wheeler_renew^2*SUMIFS(AR347:AR400,B347:B400,B399-24)+in_two_wheeler_renew^3*SUMIFS(AR347:AR400,B347:B400,B399-36)+in_two_wheeler_renew^4*SUMIFS(AR347:AR400,B347:B400,B399-48))</f>
        <v/>
      </c>
      <c r="AT399" s="40">
        <f>AT398*(1-IF(B398&gt;=in_marketplace_from,d_hz_device*G398,0))</f>
        <v/>
      </c>
      <c r="AU399" s="14">
        <f>F399*AT399*IF(B399&gt;=in_marketplace_from,d_hz_device*G399,0)*in_device_ticket*in_device_comm*in_ins_partner_share</f>
        <v/>
      </c>
      <c r="AV399" s="40">
        <f>AV398*(1-IF(B398&gt;=in_marketplace_from,d_hz_shop*G398,0))</f>
        <v/>
      </c>
      <c r="AW399" s="46">
        <f>AV399*IF(B399&gt;=in_marketplace_from,d_hz_shop*G399,0)</f>
        <v/>
      </c>
      <c r="AX399" s="14">
        <f>F399*AW399*in_shop_ticket*in_shop_comm*in_ins_partner_share+F399*in_shop_ticket*in_shop_renew_comm*in_ins_partner_share*(in_shop_renew^1*SUMIFS(AW347:AW400,B347:B400,B399-12)+in_shop_renew^2*SUMIFS(AW347:AW400,B347:B400,B399-24)+in_shop_renew^3*SUMIFS(AW347:AW400,B347:B400,B399-36)+in_shop_renew^4*SUMIFS(AW347:AW400,B347:B400,B399-48))</f>
        <v/>
      </c>
      <c r="AY399" s="40">
        <f>AY398*(1-IF(B398&gt;=in_marketplace_from,d_hz_sip*G398,0))</f>
        <v/>
      </c>
      <c r="AZ399" s="40">
        <f>AZ398*d_rho_sip+AY399*IF(B399&gt;=in_marketplace_from,d_hz_sip*G399,0)</f>
        <v/>
      </c>
      <c r="BA399" s="40">
        <f>d_rho_sip*(BA398+AZ398)</f>
        <v/>
      </c>
      <c r="BB399" s="14">
        <f>F399*in_sip_ticket*(BA399+0.5*AZ399)*in_sip_comm/12</f>
        <v/>
      </c>
      <c r="BC399" s="40">
        <f>BC398*(1-IF(B398&gt;=in_marketplace_from,d_hz_choti*G398,0))</f>
        <v/>
      </c>
      <c r="BD399" s="46">
        <f>BC399*IF(B399&gt;=in_marketplace_from,d_hz_choti*G399,0)</f>
        <v/>
      </c>
      <c r="BE399" s="14">
        <f>F399*SUMIFS(BD347:BD400,B347:B400,B399-in_choti_months)*in_choti_renew*in_choti_ticket</f>
        <v/>
      </c>
      <c r="BF399" s="40">
        <f>BF398*(1-IF(B398&gt;=in_marketplace_from,d_hz_nps*G398,0))</f>
        <v/>
      </c>
      <c r="BG399" s="14">
        <f>F399*BF399*IF(B399&gt;=in_marketplace_from,d_hz_nps*G399,0)*in_nps_ticket*in_nps_comm</f>
        <v/>
      </c>
      <c r="BH399" s="40">
        <f>BH398*(1-IF(B398&gt;=in_marketplace_from,d_hz_gold*G398,0))</f>
        <v/>
      </c>
      <c r="BI399" s="40">
        <f>BI398*d_rho_gold+BH399*IF(B399&gt;=in_marketplace_from,d_hz_gold*G399,0)</f>
        <v/>
      </c>
      <c r="BJ399" s="14">
        <f>F399*BI399*in_gold_ticket*in_gold_comm</f>
        <v/>
      </c>
      <c r="BK399" s="40">
        <f>BK398*(1-IF(B398&gt;=in_marketplace_from,d_hz_fd*G398,0))</f>
        <v/>
      </c>
      <c r="BL399" s="14">
        <f>F399*BK399*IF(B399&gt;=in_marketplace_from,d_hz_fd*G399,0)*in_fd_ticket*in_fd_comm</f>
        <v/>
      </c>
      <c r="BM399" s="40">
        <f>BM398*(1-IF(B398&gt;=in_marketplace_from,d_hz_recharge*G398,0))</f>
        <v/>
      </c>
      <c r="BN399" s="40">
        <f>BN398*d_rho_recharge+BM399*IF(B399&gt;=in_marketplace_from,d_hz_recharge*G399,0)</f>
        <v/>
      </c>
      <c r="BO399" s="14">
        <f>F399*BN399*in_recharge_ticket*in_recharge_comm/12</f>
        <v/>
      </c>
      <c r="BP399" s="40">
        <f>BP398*(1-IF(B398&gt;=in_marketplace_from,d_hz_bills*G398,0))</f>
        <v/>
      </c>
      <c r="BQ399" s="40">
        <f>BQ398*d_rho_bills+BP399*IF(B399&gt;=in_marketplace_from,d_hz_bills*G399,0)</f>
        <v/>
      </c>
      <c r="BR399" s="14">
        <f>F399*BQ399*in_bills_ticket*in_bills_comm/12</f>
        <v/>
      </c>
      <c r="BS399" s="40">
        <f>BS398*(1-IF(B398&gt;=in_marketplace_from,d_hz_loan_gold*G398,0))</f>
        <v/>
      </c>
      <c r="BT399" s="14">
        <f>F399*BS399*IF(B399&gt;=in_marketplace_from,d_hz_loan_gold*G399,0)*in_loan_gold_ticket*in_loan_gold_comm</f>
        <v/>
      </c>
      <c r="BU399" s="40">
        <f>BU398*(1-IF(B398&gt;=in_marketplace_from,d_hz_loan_cd*G398,0))</f>
        <v/>
      </c>
      <c r="BV399" s="14">
        <f>F399*BU399*IF(B399&gt;=in_marketplace_from,d_hz_loan_cd*G399,0)*in_loan_cd_ticket*in_loan_cd_comm</f>
        <v/>
      </c>
      <c r="BW399" s="40">
        <f>BW398*(1-IF(B398&gt;=in_marketplace_from,d_hz_loan_vehicle*G398,0))</f>
        <v/>
      </c>
      <c r="BX399" s="14">
        <f>F399*BW399*IF(B399&gt;=in_marketplace_from,d_hz_loan_vehicle*G399,0)*in_loan_vehicle_ticket*in_loan_vehicle_comm</f>
        <v/>
      </c>
      <c r="BY399" s="40">
        <f>BY398*(1-IF(B398&gt;=in_marketplace_from,d_hz_loan_home*G398,0)*BZ398)</f>
        <v/>
      </c>
      <c r="BZ399" s="11">
        <f>MIN(in_approval_cap,in_loan_home_approval*INDEX('Age profile'!$O$2:$O$61,B399)*(1+in_approval_growth)^(D399-1))</f>
        <v/>
      </c>
      <c r="CA399" s="14">
        <f>F399*BY399*IF(B399&gt;=in_marketplace_from,d_hz_loan_home*G399,0)*BZ399*in_loan_home_ticket*in_loan_home_comm</f>
        <v/>
      </c>
      <c r="CB399" s="40">
        <f>CB398*(1-IF(B398&gt;=in_marketplace_from,d_hz_loan_lap*G398,0)*CC398)</f>
        <v/>
      </c>
      <c r="CC399" s="11">
        <f>MIN(in_approval_cap,in_loan_lap_approval*INDEX('Age profile'!$O$2:$O$61,B399)*(1+in_approval_growth)^(D399-1))</f>
        <v/>
      </c>
      <c r="CD399" s="14">
        <f>F399*CB399*IF(B399&gt;=in_marketplace_from,d_hz_loan_lap*G399,0)*CC399*in_loan_lap_ticket*in_loan_lap_comm</f>
        <v/>
      </c>
      <c r="CE399" s="14">
        <f>AA399+AB399+AC399+AD399+AG399+AJ399+AM399+AP399+AS399+AU399+AX399+BB399+BE399+BG399+BJ399+BL399+BO399+BR399+BT399+BV399+BX399+CA399+CD399</f>
        <v/>
      </c>
    </row>
    <row r="400">
      <c r="A400" s="39" t="n">
        <v>7</v>
      </c>
      <c r="B400" s="39" t="n">
        <v>54</v>
      </c>
      <c r="C400" s="39">
        <f>A400+B400-1</f>
        <v/>
      </c>
      <c r="D400" s="39">
        <f>INT((C400-1)/12)+1</f>
        <v/>
      </c>
      <c r="E400" s="44">
        <f>INDEX(Monthly!$B$2:$B$61,A400)</f>
        <v/>
      </c>
      <c r="F400" s="44">
        <f>E400*INDEX('Age profile'!$B$2:$B$61,B400)</f>
        <v/>
      </c>
      <c r="G400" s="45">
        <f>MIN(in_takeup_cap,INDEX('Age profile'!$N$2:$N$61,B400)*(1+in_takeup_growth)^(D400-1))</f>
        <v/>
      </c>
      <c r="H400" s="11">
        <f>MIN(in_approval_cap,in_approved_first*INDEX('Age profile'!$O$2:$O$61,B400)*(1+in_approval_growth)^(D400-1))</f>
        <v/>
      </c>
      <c r="I400" s="45">
        <f>G400*MIN(in_takeup_cap,INDEX('Age profile'!$O$2:$O$61,B400)*(1+in_approval_growth)^(D400-1))</f>
        <v/>
      </c>
      <c r="J400" s="40">
        <f>(J399-L399)*F400/F399</f>
        <v/>
      </c>
      <c r="K400" s="40">
        <f>(K399-M399)*F400/F399+SUMIFS(O347:O399,B347:B399,B400-1-d_T)*F400</f>
        <v/>
      </c>
      <c r="L400" s="40">
        <f>IF(B400&gt;=in_marketplace_from,J400*d_hz*G400*in_eligible*H400,0)</f>
        <v/>
      </c>
      <c r="M400" s="40">
        <f>IF(B400&gt;=in_marketplace_from,K400*d_hz*G400*in_eligible*in_approved_repeat,0)</f>
        <v/>
      </c>
      <c r="N400" s="40">
        <f>L400+M400</f>
        <v/>
      </c>
      <c r="O400" s="46">
        <f>N400/F400</f>
        <v/>
      </c>
      <c r="P400" s="40">
        <f>F400-J400-K400</f>
        <v/>
      </c>
      <c r="Q400" s="40">
        <f>IF(B400&gt;=in_marketplace_from,(J400+K400)*d_hz*G400,0)</f>
        <v/>
      </c>
      <c r="R400" s="40">
        <f>SUMIFS(N347:N400,B347:B400,"&gt;="&amp;(B400-d_T),B347:B400,"&lt;="&amp;(B400-1))</f>
        <v/>
      </c>
      <c r="S400" s="46">
        <f>(1-d_u)*S399+IF(d_T&gt;in_topup_lag,SUMIFS(O347:O400,B347:B400,B400-in_topup_lag)-d_udrop*SUMIFS(O347:O400,B347:B400,B400-d_T),0)</f>
        <v/>
      </c>
      <c r="T400" s="40">
        <f>F400*d_u*S400</f>
        <v/>
      </c>
      <c r="U400" s="9">
        <f>L400*in_ticket+M400*d_rep_ticket</f>
        <v/>
      </c>
      <c r="V400" s="9">
        <f>U400+T400*d_topup_amt</f>
        <v/>
      </c>
      <c r="W400" s="40">
        <f>N400+T400*d_topup_ratio</f>
        <v/>
      </c>
      <c r="X400" s="40">
        <f>SUMIFS(W347:W400,B347:B400,B400-in_dpd_lag)*d_cured</f>
        <v/>
      </c>
      <c r="Y400" s="40">
        <f>SUMIFS(W347:W400,B347:B400,B400-in_rec_lag)*d_recd</f>
        <v/>
      </c>
      <c r="Z400" s="40">
        <f>IF(AND(B400&gt;=in_marketplace_from,B400&lt;in_marketplace_from+in_card_months),in_card_share/in_card_months*F400*I400,IF(AND(B400&gt;=in_marketplace_from+in_card_months,B400&lt;in_marketplace_from+2*in_card_months),in_card_share*d_card_rem/in_card_months*F400*MIN(in_takeup_cap,(1+in_takeup_growth)^(D400-1))*MIN(in_takeup_cap,(1+in_approval_growth)^(D400-1)),0))</f>
        <v/>
      </c>
      <c r="AA400" s="14">
        <f>V400*in_fee*(1-in_taken_back)</f>
        <v/>
      </c>
      <c r="AB400" s="14">
        <f>SUMIFS(W347:W400,B347:B400,B400-in_dpd_lag)*d_dpd</f>
        <v/>
      </c>
      <c r="AC400" s="14">
        <f>SUMIFS(W347:W400,B347:B400,B400-in_rec_lag)*d_rec</f>
        <v/>
      </c>
      <c r="AD400" s="14">
        <f>Z400*in_card_fee</f>
        <v/>
      </c>
      <c r="AE400" s="40">
        <f>AE399*(1-IF(B399&gt;=in_marketplace_from,d_hz_hlth_small*G399,0))</f>
        <v/>
      </c>
      <c r="AF400" s="46">
        <f>AE400*IF(B400&gt;=in_marketplace_from,d_hz_hlth_small*G400,0)</f>
        <v/>
      </c>
      <c r="AG400" s="14">
        <f>F400*AF400*in_hlth_small_ticket*in_hlth_small_comm*in_ins_partner_share+F400*in_hlth_small_ticket*in_hlth_small_renew_comm*in_ins_partner_share*(in_hlth_small_renew^1*SUMIFS(AF347:AF400,B347:B400,B400-12)+in_hlth_small_renew^2*SUMIFS(AF347:AF400,B347:B400,B400-24)+in_hlth_small_renew^3*SUMIFS(AF347:AF400,B347:B400,B400-36)+in_hlth_small_renew^4*SUMIFS(AF347:AF400,B347:B400,B400-48))</f>
        <v/>
      </c>
      <c r="AH400" s="40">
        <f>AH399*(1-IF(B399&gt;=in_marketplace_from,d_hz_hlth_family*G399,0))</f>
        <v/>
      </c>
      <c r="AI400" s="46">
        <f>AH400*IF(B400&gt;=in_marketplace_from,d_hz_hlth_family*G400,0)</f>
        <v/>
      </c>
      <c r="AJ400" s="14">
        <f>F400*AI400*in_hlth_family_ticket*in_hlth_family_comm*in_ins_partner_share+F400*in_hlth_family_ticket*in_hlth_family_renew_comm*in_ins_partner_share*(in_hlth_family_renew^1*SUMIFS(AI347:AI400,B347:B400,B400-12)+in_hlth_family_renew^2*SUMIFS(AI347:AI400,B347:B400,B400-24)+in_hlth_family_renew^3*SUMIFS(AI347:AI400,B347:B400,B400-36)+in_hlth_family_renew^4*SUMIFS(AI347:AI400,B347:B400,B400-48))</f>
        <v/>
      </c>
      <c r="AK400" s="40">
        <f>AK399*(1-IF(B399&gt;=in_marketplace_from,d_hz_life_term*G399,0))</f>
        <v/>
      </c>
      <c r="AL400" s="46">
        <f>AK400*IF(B400&gt;=in_marketplace_from,d_hz_life_term*G400,0)</f>
        <v/>
      </c>
      <c r="AM400" s="14">
        <f>F400*AL400*in_life_term_ticket*in_life_term_comm*in_ins_partner_share+F400*in_life_term_ticket*in_life_term_renew_comm*in_ins_partner_share*(in_life_term_renew^1*SUMIFS(AL347:AL400,B347:B400,B400-12)+in_life_term_renew^2*SUMIFS(AL347:AL400,B347:B400,B400-24)+in_life_term_renew^3*SUMIFS(AL347:AL400,B347:B400,B400-36)+in_life_term_renew^4*SUMIFS(AL347:AL400,B347:B400,B400-48))</f>
        <v/>
      </c>
      <c r="AN400" s="40">
        <f>AN399*(1-IF(B399&gt;=in_marketplace_from,d_hz_accident*G399,0))</f>
        <v/>
      </c>
      <c r="AO400" s="46">
        <f>AN400*IF(B400&gt;=in_marketplace_from,d_hz_accident*G400,0)</f>
        <v/>
      </c>
      <c r="AP400" s="14">
        <f>F400*AO400*in_accident_ticket*in_accident_comm*in_ins_partner_share+F400*in_accident_ticket*in_accident_renew_comm*in_ins_partner_share*(in_accident_renew^1*SUMIFS(AO347:AO400,B347:B400,B400-12)+in_accident_renew^2*SUMIFS(AO347:AO400,B347:B400,B400-24)+in_accident_renew^3*SUMIFS(AO347:AO400,B347:B400,B400-36)+in_accident_renew^4*SUMIFS(AO347:AO400,B347:B400,B400-48))</f>
        <v/>
      </c>
      <c r="AQ400" s="40">
        <f>AQ399*(1-IF(B399&gt;=in_marketplace_from,d_hz_two_wheeler*G399,0))</f>
        <v/>
      </c>
      <c r="AR400" s="46">
        <f>AQ400*IF(B400&gt;=in_marketplace_from,d_hz_two_wheeler*G400,0)</f>
        <v/>
      </c>
      <c r="AS400" s="14">
        <f>F400*AR400*in_two_wheeler_ticket*in_two_wheeler_comm*in_ins_partner_share+F400*in_two_wheeler_ticket*in_two_wheeler_comm*in_ins_partner_share*(in_two_wheeler_renew^1*SUMIFS(AR347:AR400,B347:B400,B400-12)+in_two_wheeler_renew^2*SUMIFS(AR347:AR400,B347:B400,B400-24)+in_two_wheeler_renew^3*SUMIFS(AR347:AR400,B347:B400,B400-36)+in_two_wheeler_renew^4*SUMIFS(AR347:AR400,B347:B400,B400-48))</f>
        <v/>
      </c>
      <c r="AT400" s="40">
        <f>AT399*(1-IF(B399&gt;=in_marketplace_from,d_hz_device*G399,0))</f>
        <v/>
      </c>
      <c r="AU400" s="14">
        <f>F400*AT400*IF(B400&gt;=in_marketplace_from,d_hz_device*G400,0)*in_device_ticket*in_device_comm*in_ins_partner_share</f>
        <v/>
      </c>
      <c r="AV400" s="40">
        <f>AV399*(1-IF(B399&gt;=in_marketplace_from,d_hz_shop*G399,0))</f>
        <v/>
      </c>
      <c r="AW400" s="46">
        <f>AV400*IF(B400&gt;=in_marketplace_from,d_hz_shop*G400,0)</f>
        <v/>
      </c>
      <c r="AX400" s="14">
        <f>F400*AW400*in_shop_ticket*in_shop_comm*in_ins_partner_share+F400*in_shop_ticket*in_shop_renew_comm*in_ins_partner_share*(in_shop_renew^1*SUMIFS(AW347:AW400,B347:B400,B400-12)+in_shop_renew^2*SUMIFS(AW347:AW400,B347:B400,B400-24)+in_shop_renew^3*SUMIFS(AW347:AW400,B347:B400,B400-36)+in_shop_renew^4*SUMIFS(AW347:AW400,B347:B400,B400-48))</f>
        <v/>
      </c>
      <c r="AY400" s="40">
        <f>AY399*(1-IF(B399&gt;=in_marketplace_from,d_hz_sip*G399,0))</f>
        <v/>
      </c>
      <c r="AZ400" s="40">
        <f>AZ399*d_rho_sip+AY400*IF(B400&gt;=in_marketplace_from,d_hz_sip*G400,0)</f>
        <v/>
      </c>
      <c r="BA400" s="40">
        <f>d_rho_sip*(BA399+AZ399)</f>
        <v/>
      </c>
      <c r="BB400" s="14">
        <f>F400*in_sip_ticket*(BA400+0.5*AZ400)*in_sip_comm/12</f>
        <v/>
      </c>
      <c r="BC400" s="40">
        <f>BC399*(1-IF(B399&gt;=in_marketplace_from,d_hz_choti*G399,0))</f>
        <v/>
      </c>
      <c r="BD400" s="46">
        <f>BC400*IF(B400&gt;=in_marketplace_from,d_hz_choti*G400,0)</f>
        <v/>
      </c>
      <c r="BE400" s="14">
        <f>F400*SUMIFS(BD347:BD400,B347:B400,B400-in_choti_months)*in_choti_renew*in_choti_ticket</f>
        <v/>
      </c>
      <c r="BF400" s="40">
        <f>BF399*(1-IF(B399&gt;=in_marketplace_from,d_hz_nps*G399,0))</f>
        <v/>
      </c>
      <c r="BG400" s="14">
        <f>F400*BF400*IF(B400&gt;=in_marketplace_from,d_hz_nps*G400,0)*in_nps_ticket*in_nps_comm</f>
        <v/>
      </c>
      <c r="BH400" s="40">
        <f>BH399*(1-IF(B399&gt;=in_marketplace_from,d_hz_gold*G399,0))</f>
        <v/>
      </c>
      <c r="BI400" s="40">
        <f>BI399*d_rho_gold+BH400*IF(B400&gt;=in_marketplace_from,d_hz_gold*G400,0)</f>
        <v/>
      </c>
      <c r="BJ400" s="14">
        <f>F400*BI400*in_gold_ticket*in_gold_comm</f>
        <v/>
      </c>
      <c r="BK400" s="40">
        <f>BK399*(1-IF(B399&gt;=in_marketplace_from,d_hz_fd*G399,0))</f>
        <v/>
      </c>
      <c r="BL400" s="14">
        <f>F400*BK400*IF(B400&gt;=in_marketplace_from,d_hz_fd*G400,0)*in_fd_ticket*in_fd_comm</f>
        <v/>
      </c>
      <c r="BM400" s="40">
        <f>BM399*(1-IF(B399&gt;=in_marketplace_from,d_hz_recharge*G399,0))</f>
        <v/>
      </c>
      <c r="BN400" s="40">
        <f>BN399*d_rho_recharge+BM400*IF(B400&gt;=in_marketplace_from,d_hz_recharge*G400,0)</f>
        <v/>
      </c>
      <c r="BO400" s="14">
        <f>F400*BN400*in_recharge_ticket*in_recharge_comm/12</f>
        <v/>
      </c>
      <c r="BP400" s="40">
        <f>BP399*(1-IF(B399&gt;=in_marketplace_from,d_hz_bills*G399,0))</f>
        <v/>
      </c>
      <c r="BQ400" s="40">
        <f>BQ399*d_rho_bills+BP400*IF(B400&gt;=in_marketplace_from,d_hz_bills*G400,0)</f>
        <v/>
      </c>
      <c r="BR400" s="14">
        <f>F400*BQ400*in_bills_ticket*in_bills_comm/12</f>
        <v/>
      </c>
      <c r="BS400" s="40">
        <f>BS399*(1-IF(B399&gt;=in_marketplace_from,d_hz_loan_gold*G399,0))</f>
        <v/>
      </c>
      <c r="BT400" s="14">
        <f>F400*BS400*IF(B400&gt;=in_marketplace_from,d_hz_loan_gold*G400,0)*in_loan_gold_ticket*in_loan_gold_comm</f>
        <v/>
      </c>
      <c r="BU400" s="40">
        <f>BU399*(1-IF(B399&gt;=in_marketplace_from,d_hz_loan_cd*G399,0))</f>
        <v/>
      </c>
      <c r="BV400" s="14">
        <f>F400*BU400*IF(B400&gt;=in_marketplace_from,d_hz_loan_cd*G400,0)*in_loan_cd_ticket*in_loan_cd_comm</f>
        <v/>
      </c>
      <c r="BW400" s="40">
        <f>BW399*(1-IF(B399&gt;=in_marketplace_from,d_hz_loan_vehicle*G399,0))</f>
        <v/>
      </c>
      <c r="BX400" s="14">
        <f>F400*BW400*IF(B400&gt;=in_marketplace_from,d_hz_loan_vehicle*G400,0)*in_loan_vehicle_ticket*in_loan_vehicle_comm</f>
        <v/>
      </c>
      <c r="BY400" s="40">
        <f>BY399*(1-IF(B399&gt;=in_marketplace_from,d_hz_loan_home*G399,0)*BZ399)</f>
        <v/>
      </c>
      <c r="BZ400" s="11">
        <f>MIN(in_approval_cap,in_loan_home_approval*INDEX('Age profile'!$O$2:$O$61,B400)*(1+in_approval_growth)^(D400-1))</f>
        <v/>
      </c>
      <c r="CA400" s="14">
        <f>F400*BY400*IF(B400&gt;=in_marketplace_from,d_hz_loan_home*G400,0)*BZ400*in_loan_home_ticket*in_loan_home_comm</f>
        <v/>
      </c>
      <c r="CB400" s="40">
        <f>CB399*(1-IF(B399&gt;=in_marketplace_from,d_hz_loan_lap*G399,0)*CC399)</f>
        <v/>
      </c>
      <c r="CC400" s="11">
        <f>MIN(in_approval_cap,in_loan_lap_approval*INDEX('Age profile'!$O$2:$O$61,B400)*(1+in_approval_growth)^(D400-1))</f>
        <v/>
      </c>
      <c r="CD400" s="14">
        <f>F400*CB400*IF(B400&gt;=in_marketplace_from,d_hz_loan_lap*G400,0)*CC400*in_loan_lap_ticket*in_loan_lap_comm</f>
        <v/>
      </c>
      <c r="CE400" s="14">
        <f>AA400+AB400+AC400+AD400+AG400+AJ400+AM400+AP400+AS400+AU400+AX400+BB400+BE400+BG400+BJ400+BL400+BO400+BR400+BT400+BV400+BX400+CA400+CD400</f>
        <v/>
      </c>
    </row>
    <row r="401">
      <c r="A401" s="39" t="n">
        <v>8</v>
      </c>
      <c r="B401" s="39" t="n">
        <v>1</v>
      </c>
      <c r="C401" s="39">
        <f>A401+B401-1</f>
        <v/>
      </c>
      <c r="D401" s="39">
        <f>INT((C401-1)/12)+1</f>
        <v/>
      </c>
      <c r="E401" s="44">
        <f>INDEX(Monthly!$B$2:$B$61,A401)</f>
        <v/>
      </c>
      <c r="F401" s="44">
        <f>E401*INDEX('Age profile'!$B$2:$B$61,B401)</f>
        <v/>
      </c>
      <c r="G401" s="45">
        <f>MIN(in_takeup_cap,INDEX('Age profile'!$N$2:$N$61,B401)*(1+in_takeup_growth)^(D401-1))</f>
        <v/>
      </c>
      <c r="H401" s="11">
        <f>MIN(in_approval_cap,in_approved_first*INDEX('Age profile'!$O$2:$O$61,B401)*(1+in_approval_growth)^(D401-1))</f>
        <v/>
      </c>
      <c r="I401" s="45">
        <f>G401*MIN(in_takeup_cap,INDEX('Age profile'!$O$2:$O$61,B401)*(1+in_approval_growth)^(D401-1))</f>
        <v/>
      </c>
      <c r="J401" s="40">
        <f>E401</f>
        <v/>
      </c>
      <c r="K401" s="40" t="n">
        <v>0</v>
      </c>
      <c r="L401" s="40">
        <f>IF(B401&gt;=in_marketplace_from,J401*d_hz*G401*in_eligible*H401,0)</f>
        <v/>
      </c>
      <c r="M401" s="40">
        <f>IF(B401&gt;=in_marketplace_from,K401*d_hz*G401*in_eligible*in_approved_repeat,0)</f>
        <v/>
      </c>
      <c r="N401" s="40">
        <f>L401+M401</f>
        <v/>
      </c>
      <c r="O401" s="46">
        <f>N401/F401</f>
        <v/>
      </c>
      <c r="P401" s="40">
        <f>F401-J401-K401</f>
        <v/>
      </c>
      <c r="Q401" s="40">
        <f>IF(B401&gt;=in_marketplace_from,(J401+K401)*d_hz*G401,0)</f>
        <v/>
      </c>
      <c r="R401" s="40">
        <f>SUMIFS(N401:N453,B401:B453,"&gt;="&amp;(B401-d_T),B401:B453,"&lt;="&amp;(B401-1))</f>
        <v/>
      </c>
      <c r="S401" s="46" t="n">
        <v>0</v>
      </c>
      <c r="T401" s="40">
        <f>F401*d_u*S401</f>
        <v/>
      </c>
      <c r="U401" s="9">
        <f>L401*in_ticket+M401*d_rep_ticket</f>
        <v/>
      </c>
      <c r="V401" s="9">
        <f>U401+T401*d_topup_amt</f>
        <v/>
      </c>
      <c r="W401" s="40">
        <f>N401+T401*d_topup_ratio</f>
        <v/>
      </c>
      <c r="X401" s="40">
        <f>SUMIFS(W401:W453,B401:B453,B401-in_dpd_lag)*d_cured</f>
        <v/>
      </c>
      <c r="Y401" s="40">
        <f>SUMIFS(W401:W453,B401:B453,B401-in_rec_lag)*d_recd</f>
        <v/>
      </c>
      <c r="Z401" s="40">
        <f>IF(AND(B401&gt;=in_marketplace_from,B401&lt;in_marketplace_from+in_card_months),in_card_share/in_card_months*F401*I401,IF(AND(B401&gt;=in_marketplace_from+in_card_months,B401&lt;in_marketplace_from+2*in_card_months),in_card_share*d_card_rem/in_card_months*F401*MIN(in_takeup_cap,(1+in_takeup_growth)^(D401-1))*MIN(in_takeup_cap,(1+in_approval_growth)^(D401-1)),0))</f>
        <v/>
      </c>
      <c r="AA401" s="14">
        <f>V401*in_fee*(1-in_taken_back)</f>
        <v/>
      </c>
      <c r="AB401" s="14">
        <f>SUMIFS(W401:W453,B401:B453,B401-in_dpd_lag)*d_dpd</f>
        <v/>
      </c>
      <c r="AC401" s="14">
        <f>SUMIFS(W401:W453,B401:B453,B401-in_rec_lag)*d_rec</f>
        <v/>
      </c>
      <c r="AD401" s="14">
        <f>Z401*in_card_fee</f>
        <v/>
      </c>
      <c r="AE401" s="40" t="n">
        <v>1</v>
      </c>
      <c r="AF401" s="46">
        <f>AE401*IF(B401&gt;=in_marketplace_from,d_hz_hlth_small*G401,0)</f>
        <v/>
      </c>
      <c r="AG401" s="14">
        <f>F401*AF401*in_hlth_small_ticket*in_hlth_small_comm*in_ins_partner_share+F401*in_hlth_small_ticket*in_hlth_small_renew_comm*in_ins_partner_share*(in_hlth_small_renew^1*SUMIFS(AF401:AF453,B401:B453,B401-12)+in_hlth_small_renew^2*SUMIFS(AF401:AF453,B401:B453,B401-24)+in_hlth_small_renew^3*SUMIFS(AF401:AF453,B401:B453,B401-36)+in_hlth_small_renew^4*SUMIFS(AF401:AF453,B401:B453,B401-48))</f>
        <v/>
      </c>
      <c r="AH401" s="40" t="n">
        <v>1</v>
      </c>
      <c r="AI401" s="46">
        <f>AH401*IF(B401&gt;=in_marketplace_from,d_hz_hlth_family*G401,0)</f>
        <v/>
      </c>
      <c r="AJ401" s="14">
        <f>F401*AI401*in_hlth_family_ticket*in_hlth_family_comm*in_ins_partner_share+F401*in_hlth_family_ticket*in_hlth_family_renew_comm*in_ins_partner_share*(in_hlth_family_renew^1*SUMIFS(AI401:AI453,B401:B453,B401-12)+in_hlth_family_renew^2*SUMIFS(AI401:AI453,B401:B453,B401-24)+in_hlth_family_renew^3*SUMIFS(AI401:AI453,B401:B453,B401-36)+in_hlth_family_renew^4*SUMIFS(AI401:AI453,B401:B453,B401-48))</f>
        <v/>
      </c>
      <c r="AK401" s="40" t="n">
        <v>1</v>
      </c>
      <c r="AL401" s="46">
        <f>AK401*IF(B401&gt;=in_marketplace_from,d_hz_life_term*G401,0)</f>
        <v/>
      </c>
      <c r="AM401" s="14">
        <f>F401*AL401*in_life_term_ticket*in_life_term_comm*in_ins_partner_share+F401*in_life_term_ticket*in_life_term_renew_comm*in_ins_partner_share*(in_life_term_renew^1*SUMIFS(AL401:AL453,B401:B453,B401-12)+in_life_term_renew^2*SUMIFS(AL401:AL453,B401:B453,B401-24)+in_life_term_renew^3*SUMIFS(AL401:AL453,B401:B453,B401-36)+in_life_term_renew^4*SUMIFS(AL401:AL453,B401:B453,B401-48))</f>
        <v/>
      </c>
      <c r="AN401" s="40" t="n">
        <v>1</v>
      </c>
      <c r="AO401" s="46">
        <f>AN401*IF(B401&gt;=in_marketplace_from,d_hz_accident*G401,0)</f>
        <v/>
      </c>
      <c r="AP401" s="14">
        <f>F401*AO401*in_accident_ticket*in_accident_comm*in_ins_partner_share+F401*in_accident_ticket*in_accident_renew_comm*in_ins_partner_share*(in_accident_renew^1*SUMIFS(AO401:AO453,B401:B453,B401-12)+in_accident_renew^2*SUMIFS(AO401:AO453,B401:B453,B401-24)+in_accident_renew^3*SUMIFS(AO401:AO453,B401:B453,B401-36)+in_accident_renew^4*SUMIFS(AO401:AO453,B401:B453,B401-48))</f>
        <v/>
      </c>
      <c r="AQ401" s="40" t="n">
        <v>1</v>
      </c>
      <c r="AR401" s="46">
        <f>AQ401*IF(B401&gt;=in_marketplace_from,d_hz_two_wheeler*G401,0)</f>
        <v/>
      </c>
      <c r="AS401" s="14">
        <f>F401*AR401*in_two_wheeler_ticket*in_two_wheeler_comm*in_ins_partner_share+F401*in_two_wheeler_ticket*in_two_wheeler_comm*in_ins_partner_share*(in_two_wheeler_renew^1*SUMIFS(AR401:AR453,B401:B453,B401-12)+in_two_wheeler_renew^2*SUMIFS(AR401:AR453,B401:B453,B401-24)+in_two_wheeler_renew^3*SUMIFS(AR401:AR453,B401:B453,B401-36)+in_two_wheeler_renew^4*SUMIFS(AR401:AR453,B401:B453,B401-48))</f>
        <v/>
      </c>
      <c r="AT401" s="40" t="n">
        <v>1</v>
      </c>
      <c r="AU401" s="14">
        <f>F401*AT401*IF(B401&gt;=in_marketplace_from,d_hz_device*G401,0)*in_device_ticket*in_device_comm*in_ins_partner_share</f>
        <v/>
      </c>
      <c r="AV401" s="40" t="n">
        <v>1</v>
      </c>
      <c r="AW401" s="46">
        <f>AV401*IF(B401&gt;=in_marketplace_from,d_hz_shop*G401,0)</f>
        <v/>
      </c>
      <c r="AX401" s="14">
        <f>F401*AW401*in_shop_ticket*in_shop_comm*in_ins_partner_share+F401*in_shop_ticket*in_shop_renew_comm*in_ins_partner_share*(in_shop_renew^1*SUMIFS(AW401:AW453,B401:B453,B401-12)+in_shop_renew^2*SUMIFS(AW401:AW453,B401:B453,B401-24)+in_shop_renew^3*SUMIFS(AW401:AW453,B401:B453,B401-36)+in_shop_renew^4*SUMIFS(AW401:AW453,B401:B453,B401-48))</f>
        <v/>
      </c>
      <c r="AY401" s="40" t="n">
        <v>1</v>
      </c>
      <c r="AZ401" s="40">
        <f>AY401*IF(B401&gt;=in_marketplace_from,d_hz_sip*G401,0)</f>
        <v/>
      </c>
      <c r="BA401" s="40" t="n">
        <v>0</v>
      </c>
      <c r="BB401" s="14">
        <f>F401*in_sip_ticket*(BA401+0.5*AZ401)*in_sip_comm/12</f>
        <v/>
      </c>
      <c r="BC401" s="40" t="n">
        <v>1</v>
      </c>
      <c r="BD401" s="46">
        <f>BC401*IF(B401&gt;=in_marketplace_from,d_hz_choti*G401,0)</f>
        <v/>
      </c>
      <c r="BE401" s="14">
        <f>F401*SUMIFS(BD401:BD453,B401:B453,B401-in_choti_months)*in_choti_renew*in_choti_ticket</f>
        <v/>
      </c>
      <c r="BF401" s="40" t="n">
        <v>1</v>
      </c>
      <c r="BG401" s="14">
        <f>F401*BF401*IF(B401&gt;=in_marketplace_from,d_hz_nps*G401,0)*in_nps_ticket*in_nps_comm</f>
        <v/>
      </c>
      <c r="BH401" s="40" t="n">
        <v>1</v>
      </c>
      <c r="BI401" s="40">
        <f>BH401*IF(B401&gt;=in_marketplace_from,d_hz_gold*G401,0)</f>
        <v/>
      </c>
      <c r="BJ401" s="14">
        <f>F401*BI401*in_gold_ticket*in_gold_comm</f>
        <v/>
      </c>
      <c r="BK401" s="40" t="n">
        <v>1</v>
      </c>
      <c r="BL401" s="14">
        <f>F401*BK401*IF(B401&gt;=in_marketplace_from,d_hz_fd*G401,0)*in_fd_ticket*in_fd_comm</f>
        <v/>
      </c>
      <c r="BM401" s="40" t="n">
        <v>1</v>
      </c>
      <c r="BN401" s="40">
        <f>BM401*IF(B401&gt;=in_marketplace_from,d_hz_recharge*G401,0)</f>
        <v/>
      </c>
      <c r="BO401" s="14">
        <f>F401*BN401*in_recharge_ticket*in_recharge_comm/12</f>
        <v/>
      </c>
      <c r="BP401" s="40" t="n">
        <v>1</v>
      </c>
      <c r="BQ401" s="40">
        <f>BP401*IF(B401&gt;=in_marketplace_from,d_hz_bills*G401,0)</f>
        <v/>
      </c>
      <c r="BR401" s="14">
        <f>F401*BQ401*in_bills_ticket*in_bills_comm/12</f>
        <v/>
      </c>
      <c r="BS401" s="40" t="n">
        <v>1</v>
      </c>
      <c r="BT401" s="14">
        <f>F401*BS401*IF(B401&gt;=in_marketplace_from,d_hz_loan_gold*G401,0)*in_loan_gold_ticket*in_loan_gold_comm</f>
        <v/>
      </c>
      <c r="BU401" s="40" t="n">
        <v>1</v>
      </c>
      <c r="BV401" s="14">
        <f>F401*BU401*IF(B401&gt;=in_marketplace_from,d_hz_loan_cd*G401,0)*in_loan_cd_ticket*in_loan_cd_comm</f>
        <v/>
      </c>
      <c r="BW401" s="40" t="n">
        <v>1</v>
      </c>
      <c r="BX401" s="14">
        <f>F401*BW401*IF(B401&gt;=in_marketplace_from,d_hz_loan_vehicle*G401,0)*in_loan_vehicle_ticket*in_loan_vehicle_comm</f>
        <v/>
      </c>
      <c r="BY401" s="40" t="n">
        <v>1</v>
      </c>
      <c r="BZ401" s="11">
        <f>MIN(in_approval_cap,in_loan_home_approval*INDEX('Age profile'!$O$2:$O$61,B401)*(1+in_approval_growth)^(D401-1))</f>
        <v/>
      </c>
      <c r="CA401" s="14">
        <f>F401*BY401*IF(B401&gt;=in_marketplace_from,d_hz_loan_home*G401,0)*BZ401*in_loan_home_ticket*in_loan_home_comm</f>
        <v/>
      </c>
      <c r="CB401" s="40" t="n">
        <v>1</v>
      </c>
      <c r="CC401" s="11">
        <f>MIN(in_approval_cap,in_loan_lap_approval*INDEX('Age profile'!$O$2:$O$61,B401)*(1+in_approval_growth)^(D401-1))</f>
        <v/>
      </c>
      <c r="CD401" s="14">
        <f>F401*CB401*IF(B401&gt;=in_marketplace_from,d_hz_loan_lap*G401,0)*CC401*in_loan_lap_ticket*in_loan_lap_comm</f>
        <v/>
      </c>
      <c r="CE401" s="14">
        <f>AA401+AB401+AC401+AD401+AG401+AJ401+AM401+AP401+AS401+AU401+AX401+BB401+BE401+BG401+BJ401+BL401+BO401+BR401+BT401+BV401+BX401+CA401+CD401</f>
        <v/>
      </c>
    </row>
    <row r="402">
      <c r="A402" s="39" t="n">
        <v>8</v>
      </c>
      <c r="B402" s="39" t="n">
        <v>2</v>
      </c>
      <c r="C402" s="39">
        <f>A402+B402-1</f>
        <v/>
      </c>
      <c r="D402" s="39">
        <f>INT((C402-1)/12)+1</f>
        <v/>
      </c>
      <c r="E402" s="44">
        <f>INDEX(Monthly!$B$2:$B$61,A402)</f>
        <v/>
      </c>
      <c r="F402" s="44">
        <f>E402*INDEX('Age profile'!$B$2:$B$61,B402)</f>
        <v/>
      </c>
      <c r="G402" s="45">
        <f>MIN(in_takeup_cap,INDEX('Age profile'!$N$2:$N$61,B402)*(1+in_takeup_growth)^(D402-1))</f>
        <v/>
      </c>
      <c r="H402" s="11">
        <f>MIN(in_approval_cap,in_approved_first*INDEX('Age profile'!$O$2:$O$61,B402)*(1+in_approval_growth)^(D402-1))</f>
        <v/>
      </c>
      <c r="I402" s="45">
        <f>G402*MIN(in_takeup_cap,INDEX('Age profile'!$O$2:$O$61,B402)*(1+in_approval_growth)^(D402-1))</f>
        <v/>
      </c>
      <c r="J402" s="40">
        <f>(J401-L401)*F402/F401</f>
        <v/>
      </c>
      <c r="K402" s="40">
        <f>(K401-M401)*F402/F401+SUMIFS(O401:O401,B401:B401,B402-1-d_T)*F402</f>
        <v/>
      </c>
      <c r="L402" s="40">
        <f>IF(B402&gt;=in_marketplace_from,J402*d_hz*G402*in_eligible*H402,0)</f>
        <v/>
      </c>
      <c r="M402" s="40">
        <f>IF(B402&gt;=in_marketplace_from,K402*d_hz*G402*in_eligible*in_approved_repeat,0)</f>
        <v/>
      </c>
      <c r="N402" s="40">
        <f>L402+M402</f>
        <v/>
      </c>
      <c r="O402" s="46">
        <f>N402/F402</f>
        <v/>
      </c>
      <c r="P402" s="40">
        <f>F402-J402-K402</f>
        <v/>
      </c>
      <c r="Q402" s="40">
        <f>IF(B402&gt;=in_marketplace_from,(J402+K402)*d_hz*G402,0)</f>
        <v/>
      </c>
      <c r="R402" s="40">
        <f>SUMIFS(N401:N453,B401:B453,"&gt;="&amp;(B402-d_T),B401:B453,"&lt;="&amp;(B402-1))</f>
        <v/>
      </c>
      <c r="S402" s="46">
        <f>(1-d_u)*S401+IF(d_T&gt;in_topup_lag,SUMIFS(O401:O453,B401:B453,B402-in_topup_lag)-d_udrop*SUMIFS(O401:O453,B401:B453,B402-d_T),0)</f>
        <v/>
      </c>
      <c r="T402" s="40">
        <f>F402*d_u*S402</f>
        <v/>
      </c>
      <c r="U402" s="9">
        <f>L402*in_ticket+M402*d_rep_ticket</f>
        <v/>
      </c>
      <c r="V402" s="9">
        <f>U402+T402*d_topup_amt</f>
        <v/>
      </c>
      <c r="W402" s="40">
        <f>N402+T402*d_topup_ratio</f>
        <v/>
      </c>
      <c r="X402" s="40">
        <f>SUMIFS(W401:W453,B401:B453,B402-in_dpd_lag)*d_cured</f>
        <v/>
      </c>
      <c r="Y402" s="40">
        <f>SUMIFS(W401:W453,B401:B453,B402-in_rec_lag)*d_recd</f>
        <v/>
      </c>
      <c r="Z402" s="40">
        <f>IF(AND(B402&gt;=in_marketplace_from,B402&lt;in_marketplace_from+in_card_months),in_card_share/in_card_months*F402*I402,IF(AND(B402&gt;=in_marketplace_from+in_card_months,B402&lt;in_marketplace_from+2*in_card_months),in_card_share*d_card_rem/in_card_months*F402*MIN(in_takeup_cap,(1+in_takeup_growth)^(D402-1))*MIN(in_takeup_cap,(1+in_approval_growth)^(D402-1)),0))</f>
        <v/>
      </c>
      <c r="AA402" s="14">
        <f>V402*in_fee*(1-in_taken_back)</f>
        <v/>
      </c>
      <c r="AB402" s="14">
        <f>SUMIFS(W401:W453,B401:B453,B402-in_dpd_lag)*d_dpd</f>
        <v/>
      </c>
      <c r="AC402" s="14">
        <f>SUMIFS(W401:W453,B401:B453,B402-in_rec_lag)*d_rec</f>
        <v/>
      </c>
      <c r="AD402" s="14">
        <f>Z402*in_card_fee</f>
        <v/>
      </c>
      <c r="AE402" s="40">
        <f>AE401*(1-IF(B401&gt;=in_marketplace_from,d_hz_hlth_small*G401,0))</f>
        <v/>
      </c>
      <c r="AF402" s="46">
        <f>AE402*IF(B402&gt;=in_marketplace_from,d_hz_hlth_small*G402,0)</f>
        <v/>
      </c>
      <c r="AG402" s="14">
        <f>F402*AF402*in_hlth_small_ticket*in_hlth_small_comm*in_ins_partner_share+F402*in_hlth_small_ticket*in_hlth_small_renew_comm*in_ins_partner_share*(in_hlth_small_renew^1*SUMIFS(AF401:AF453,B401:B453,B402-12)+in_hlth_small_renew^2*SUMIFS(AF401:AF453,B401:B453,B402-24)+in_hlth_small_renew^3*SUMIFS(AF401:AF453,B401:B453,B402-36)+in_hlth_small_renew^4*SUMIFS(AF401:AF453,B401:B453,B402-48))</f>
        <v/>
      </c>
      <c r="AH402" s="40">
        <f>AH401*(1-IF(B401&gt;=in_marketplace_from,d_hz_hlth_family*G401,0))</f>
        <v/>
      </c>
      <c r="AI402" s="46">
        <f>AH402*IF(B402&gt;=in_marketplace_from,d_hz_hlth_family*G402,0)</f>
        <v/>
      </c>
      <c r="AJ402" s="14">
        <f>F402*AI402*in_hlth_family_ticket*in_hlth_family_comm*in_ins_partner_share+F402*in_hlth_family_ticket*in_hlth_family_renew_comm*in_ins_partner_share*(in_hlth_family_renew^1*SUMIFS(AI401:AI453,B401:B453,B402-12)+in_hlth_family_renew^2*SUMIFS(AI401:AI453,B401:B453,B402-24)+in_hlth_family_renew^3*SUMIFS(AI401:AI453,B401:B453,B402-36)+in_hlth_family_renew^4*SUMIFS(AI401:AI453,B401:B453,B402-48))</f>
        <v/>
      </c>
      <c r="AK402" s="40">
        <f>AK401*(1-IF(B401&gt;=in_marketplace_from,d_hz_life_term*G401,0))</f>
        <v/>
      </c>
      <c r="AL402" s="46">
        <f>AK402*IF(B402&gt;=in_marketplace_from,d_hz_life_term*G402,0)</f>
        <v/>
      </c>
      <c r="AM402" s="14">
        <f>F402*AL402*in_life_term_ticket*in_life_term_comm*in_ins_partner_share+F402*in_life_term_ticket*in_life_term_renew_comm*in_ins_partner_share*(in_life_term_renew^1*SUMIFS(AL401:AL453,B401:B453,B402-12)+in_life_term_renew^2*SUMIFS(AL401:AL453,B401:B453,B402-24)+in_life_term_renew^3*SUMIFS(AL401:AL453,B401:B453,B402-36)+in_life_term_renew^4*SUMIFS(AL401:AL453,B401:B453,B402-48))</f>
        <v/>
      </c>
      <c r="AN402" s="40">
        <f>AN401*(1-IF(B401&gt;=in_marketplace_from,d_hz_accident*G401,0))</f>
        <v/>
      </c>
      <c r="AO402" s="46">
        <f>AN402*IF(B402&gt;=in_marketplace_from,d_hz_accident*G402,0)</f>
        <v/>
      </c>
      <c r="AP402" s="14">
        <f>F402*AO402*in_accident_ticket*in_accident_comm*in_ins_partner_share+F402*in_accident_ticket*in_accident_renew_comm*in_ins_partner_share*(in_accident_renew^1*SUMIFS(AO401:AO453,B401:B453,B402-12)+in_accident_renew^2*SUMIFS(AO401:AO453,B401:B453,B402-24)+in_accident_renew^3*SUMIFS(AO401:AO453,B401:B453,B402-36)+in_accident_renew^4*SUMIFS(AO401:AO453,B401:B453,B402-48))</f>
        <v/>
      </c>
      <c r="AQ402" s="40">
        <f>AQ401*(1-IF(B401&gt;=in_marketplace_from,d_hz_two_wheeler*G401,0))</f>
        <v/>
      </c>
      <c r="AR402" s="46">
        <f>AQ402*IF(B402&gt;=in_marketplace_from,d_hz_two_wheeler*G402,0)</f>
        <v/>
      </c>
      <c r="AS402" s="14">
        <f>F402*AR402*in_two_wheeler_ticket*in_two_wheeler_comm*in_ins_partner_share+F402*in_two_wheeler_ticket*in_two_wheeler_comm*in_ins_partner_share*(in_two_wheeler_renew^1*SUMIFS(AR401:AR453,B401:B453,B402-12)+in_two_wheeler_renew^2*SUMIFS(AR401:AR453,B401:B453,B402-24)+in_two_wheeler_renew^3*SUMIFS(AR401:AR453,B401:B453,B402-36)+in_two_wheeler_renew^4*SUMIFS(AR401:AR453,B401:B453,B402-48))</f>
        <v/>
      </c>
      <c r="AT402" s="40">
        <f>AT401*(1-IF(B401&gt;=in_marketplace_from,d_hz_device*G401,0))</f>
        <v/>
      </c>
      <c r="AU402" s="14">
        <f>F402*AT402*IF(B402&gt;=in_marketplace_from,d_hz_device*G402,0)*in_device_ticket*in_device_comm*in_ins_partner_share</f>
        <v/>
      </c>
      <c r="AV402" s="40">
        <f>AV401*(1-IF(B401&gt;=in_marketplace_from,d_hz_shop*G401,0))</f>
        <v/>
      </c>
      <c r="AW402" s="46">
        <f>AV402*IF(B402&gt;=in_marketplace_from,d_hz_shop*G402,0)</f>
        <v/>
      </c>
      <c r="AX402" s="14">
        <f>F402*AW402*in_shop_ticket*in_shop_comm*in_ins_partner_share+F402*in_shop_ticket*in_shop_renew_comm*in_ins_partner_share*(in_shop_renew^1*SUMIFS(AW401:AW453,B401:B453,B402-12)+in_shop_renew^2*SUMIFS(AW401:AW453,B401:B453,B402-24)+in_shop_renew^3*SUMIFS(AW401:AW453,B401:B453,B402-36)+in_shop_renew^4*SUMIFS(AW401:AW453,B401:B453,B402-48))</f>
        <v/>
      </c>
      <c r="AY402" s="40">
        <f>AY401*(1-IF(B401&gt;=in_marketplace_from,d_hz_sip*G401,0))</f>
        <v/>
      </c>
      <c r="AZ402" s="40">
        <f>AZ401*d_rho_sip+AY402*IF(B402&gt;=in_marketplace_from,d_hz_sip*G402,0)</f>
        <v/>
      </c>
      <c r="BA402" s="40">
        <f>d_rho_sip*(BA401+AZ401)</f>
        <v/>
      </c>
      <c r="BB402" s="14">
        <f>F402*in_sip_ticket*(BA402+0.5*AZ402)*in_sip_comm/12</f>
        <v/>
      </c>
      <c r="BC402" s="40">
        <f>BC401*(1-IF(B401&gt;=in_marketplace_from,d_hz_choti*G401,0))</f>
        <v/>
      </c>
      <c r="BD402" s="46">
        <f>BC402*IF(B402&gt;=in_marketplace_from,d_hz_choti*G402,0)</f>
        <v/>
      </c>
      <c r="BE402" s="14">
        <f>F402*SUMIFS(BD401:BD453,B401:B453,B402-in_choti_months)*in_choti_renew*in_choti_ticket</f>
        <v/>
      </c>
      <c r="BF402" s="40">
        <f>BF401*(1-IF(B401&gt;=in_marketplace_from,d_hz_nps*G401,0))</f>
        <v/>
      </c>
      <c r="BG402" s="14">
        <f>F402*BF402*IF(B402&gt;=in_marketplace_from,d_hz_nps*G402,0)*in_nps_ticket*in_nps_comm</f>
        <v/>
      </c>
      <c r="BH402" s="40">
        <f>BH401*(1-IF(B401&gt;=in_marketplace_from,d_hz_gold*G401,0))</f>
        <v/>
      </c>
      <c r="BI402" s="40">
        <f>BI401*d_rho_gold+BH402*IF(B402&gt;=in_marketplace_from,d_hz_gold*G402,0)</f>
        <v/>
      </c>
      <c r="BJ402" s="14">
        <f>F402*BI402*in_gold_ticket*in_gold_comm</f>
        <v/>
      </c>
      <c r="BK402" s="40">
        <f>BK401*(1-IF(B401&gt;=in_marketplace_from,d_hz_fd*G401,0))</f>
        <v/>
      </c>
      <c r="BL402" s="14">
        <f>F402*BK402*IF(B402&gt;=in_marketplace_from,d_hz_fd*G402,0)*in_fd_ticket*in_fd_comm</f>
        <v/>
      </c>
      <c r="BM402" s="40">
        <f>BM401*(1-IF(B401&gt;=in_marketplace_from,d_hz_recharge*G401,0))</f>
        <v/>
      </c>
      <c r="BN402" s="40">
        <f>BN401*d_rho_recharge+BM402*IF(B402&gt;=in_marketplace_from,d_hz_recharge*G402,0)</f>
        <v/>
      </c>
      <c r="BO402" s="14">
        <f>F402*BN402*in_recharge_ticket*in_recharge_comm/12</f>
        <v/>
      </c>
      <c r="BP402" s="40">
        <f>BP401*(1-IF(B401&gt;=in_marketplace_from,d_hz_bills*G401,0))</f>
        <v/>
      </c>
      <c r="BQ402" s="40">
        <f>BQ401*d_rho_bills+BP402*IF(B402&gt;=in_marketplace_from,d_hz_bills*G402,0)</f>
        <v/>
      </c>
      <c r="BR402" s="14">
        <f>F402*BQ402*in_bills_ticket*in_bills_comm/12</f>
        <v/>
      </c>
      <c r="BS402" s="40">
        <f>BS401*(1-IF(B401&gt;=in_marketplace_from,d_hz_loan_gold*G401,0))</f>
        <v/>
      </c>
      <c r="BT402" s="14">
        <f>F402*BS402*IF(B402&gt;=in_marketplace_from,d_hz_loan_gold*G402,0)*in_loan_gold_ticket*in_loan_gold_comm</f>
        <v/>
      </c>
      <c r="BU402" s="40">
        <f>BU401*(1-IF(B401&gt;=in_marketplace_from,d_hz_loan_cd*G401,0))</f>
        <v/>
      </c>
      <c r="BV402" s="14">
        <f>F402*BU402*IF(B402&gt;=in_marketplace_from,d_hz_loan_cd*G402,0)*in_loan_cd_ticket*in_loan_cd_comm</f>
        <v/>
      </c>
      <c r="BW402" s="40">
        <f>BW401*(1-IF(B401&gt;=in_marketplace_from,d_hz_loan_vehicle*G401,0))</f>
        <v/>
      </c>
      <c r="BX402" s="14">
        <f>F402*BW402*IF(B402&gt;=in_marketplace_from,d_hz_loan_vehicle*G402,0)*in_loan_vehicle_ticket*in_loan_vehicle_comm</f>
        <v/>
      </c>
      <c r="BY402" s="40">
        <f>BY401*(1-IF(B401&gt;=in_marketplace_from,d_hz_loan_home*G401,0)*BZ401)</f>
        <v/>
      </c>
      <c r="BZ402" s="11">
        <f>MIN(in_approval_cap,in_loan_home_approval*INDEX('Age profile'!$O$2:$O$61,B402)*(1+in_approval_growth)^(D402-1))</f>
        <v/>
      </c>
      <c r="CA402" s="14">
        <f>F402*BY402*IF(B402&gt;=in_marketplace_from,d_hz_loan_home*G402,0)*BZ402*in_loan_home_ticket*in_loan_home_comm</f>
        <v/>
      </c>
      <c r="CB402" s="40">
        <f>CB401*(1-IF(B401&gt;=in_marketplace_from,d_hz_loan_lap*G401,0)*CC401)</f>
        <v/>
      </c>
      <c r="CC402" s="11">
        <f>MIN(in_approval_cap,in_loan_lap_approval*INDEX('Age profile'!$O$2:$O$61,B402)*(1+in_approval_growth)^(D402-1))</f>
        <v/>
      </c>
      <c r="CD402" s="14">
        <f>F402*CB402*IF(B402&gt;=in_marketplace_from,d_hz_loan_lap*G402,0)*CC402*in_loan_lap_ticket*in_loan_lap_comm</f>
        <v/>
      </c>
      <c r="CE402" s="14">
        <f>AA402+AB402+AC402+AD402+AG402+AJ402+AM402+AP402+AS402+AU402+AX402+BB402+BE402+BG402+BJ402+BL402+BO402+BR402+BT402+BV402+BX402+CA402+CD402</f>
        <v/>
      </c>
    </row>
    <row r="403">
      <c r="A403" s="39" t="n">
        <v>8</v>
      </c>
      <c r="B403" s="39" t="n">
        <v>3</v>
      </c>
      <c r="C403" s="39">
        <f>A403+B403-1</f>
        <v/>
      </c>
      <c r="D403" s="39">
        <f>INT((C403-1)/12)+1</f>
        <v/>
      </c>
      <c r="E403" s="44">
        <f>INDEX(Monthly!$B$2:$B$61,A403)</f>
        <v/>
      </c>
      <c r="F403" s="44">
        <f>E403*INDEX('Age profile'!$B$2:$B$61,B403)</f>
        <v/>
      </c>
      <c r="G403" s="45">
        <f>MIN(in_takeup_cap,INDEX('Age profile'!$N$2:$N$61,B403)*(1+in_takeup_growth)^(D403-1))</f>
        <v/>
      </c>
      <c r="H403" s="11">
        <f>MIN(in_approval_cap,in_approved_first*INDEX('Age profile'!$O$2:$O$61,B403)*(1+in_approval_growth)^(D403-1))</f>
        <v/>
      </c>
      <c r="I403" s="45">
        <f>G403*MIN(in_takeup_cap,INDEX('Age profile'!$O$2:$O$61,B403)*(1+in_approval_growth)^(D403-1))</f>
        <v/>
      </c>
      <c r="J403" s="40">
        <f>(J402-L402)*F403/F402</f>
        <v/>
      </c>
      <c r="K403" s="40">
        <f>(K402-M402)*F403/F402+SUMIFS(O401:O402,B401:B402,B403-1-d_T)*F403</f>
        <v/>
      </c>
      <c r="L403" s="40">
        <f>IF(B403&gt;=in_marketplace_from,J403*d_hz*G403*in_eligible*H403,0)</f>
        <v/>
      </c>
      <c r="M403" s="40">
        <f>IF(B403&gt;=in_marketplace_from,K403*d_hz*G403*in_eligible*in_approved_repeat,0)</f>
        <v/>
      </c>
      <c r="N403" s="40">
        <f>L403+M403</f>
        <v/>
      </c>
      <c r="O403" s="46">
        <f>N403/F403</f>
        <v/>
      </c>
      <c r="P403" s="40">
        <f>F403-J403-K403</f>
        <v/>
      </c>
      <c r="Q403" s="40">
        <f>IF(B403&gt;=in_marketplace_from,(J403+K403)*d_hz*G403,0)</f>
        <v/>
      </c>
      <c r="R403" s="40">
        <f>SUMIFS(N401:N453,B401:B453,"&gt;="&amp;(B403-d_T),B401:B453,"&lt;="&amp;(B403-1))</f>
        <v/>
      </c>
      <c r="S403" s="46">
        <f>(1-d_u)*S402+IF(d_T&gt;in_topup_lag,SUMIFS(O401:O453,B401:B453,B403-in_topup_lag)-d_udrop*SUMIFS(O401:O453,B401:B453,B403-d_T),0)</f>
        <v/>
      </c>
      <c r="T403" s="40">
        <f>F403*d_u*S403</f>
        <v/>
      </c>
      <c r="U403" s="9">
        <f>L403*in_ticket+M403*d_rep_ticket</f>
        <v/>
      </c>
      <c r="V403" s="9">
        <f>U403+T403*d_topup_amt</f>
        <v/>
      </c>
      <c r="W403" s="40">
        <f>N403+T403*d_topup_ratio</f>
        <v/>
      </c>
      <c r="X403" s="40">
        <f>SUMIFS(W401:W453,B401:B453,B403-in_dpd_lag)*d_cured</f>
        <v/>
      </c>
      <c r="Y403" s="40">
        <f>SUMIFS(W401:W453,B401:B453,B403-in_rec_lag)*d_recd</f>
        <v/>
      </c>
      <c r="Z403" s="40">
        <f>IF(AND(B403&gt;=in_marketplace_from,B403&lt;in_marketplace_from+in_card_months),in_card_share/in_card_months*F403*I403,IF(AND(B403&gt;=in_marketplace_from+in_card_months,B403&lt;in_marketplace_from+2*in_card_months),in_card_share*d_card_rem/in_card_months*F403*MIN(in_takeup_cap,(1+in_takeup_growth)^(D403-1))*MIN(in_takeup_cap,(1+in_approval_growth)^(D403-1)),0))</f>
        <v/>
      </c>
      <c r="AA403" s="14">
        <f>V403*in_fee*(1-in_taken_back)</f>
        <v/>
      </c>
      <c r="AB403" s="14">
        <f>SUMIFS(W401:W453,B401:B453,B403-in_dpd_lag)*d_dpd</f>
        <v/>
      </c>
      <c r="AC403" s="14">
        <f>SUMIFS(W401:W453,B401:B453,B403-in_rec_lag)*d_rec</f>
        <v/>
      </c>
      <c r="AD403" s="14">
        <f>Z403*in_card_fee</f>
        <v/>
      </c>
      <c r="AE403" s="40">
        <f>AE402*(1-IF(B402&gt;=in_marketplace_from,d_hz_hlth_small*G402,0))</f>
        <v/>
      </c>
      <c r="AF403" s="46">
        <f>AE403*IF(B403&gt;=in_marketplace_from,d_hz_hlth_small*G403,0)</f>
        <v/>
      </c>
      <c r="AG403" s="14">
        <f>F403*AF403*in_hlth_small_ticket*in_hlth_small_comm*in_ins_partner_share+F403*in_hlth_small_ticket*in_hlth_small_renew_comm*in_ins_partner_share*(in_hlth_small_renew^1*SUMIFS(AF401:AF453,B401:B453,B403-12)+in_hlth_small_renew^2*SUMIFS(AF401:AF453,B401:B453,B403-24)+in_hlth_small_renew^3*SUMIFS(AF401:AF453,B401:B453,B403-36)+in_hlth_small_renew^4*SUMIFS(AF401:AF453,B401:B453,B403-48))</f>
        <v/>
      </c>
      <c r="AH403" s="40">
        <f>AH402*(1-IF(B402&gt;=in_marketplace_from,d_hz_hlth_family*G402,0))</f>
        <v/>
      </c>
      <c r="AI403" s="46">
        <f>AH403*IF(B403&gt;=in_marketplace_from,d_hz_hlth_family*G403,0)</f>
        <v/>
      </c>
      <c r="AJ403" s="14">
        <f>F403*AI403*in_hlth_family_ticket*in_hlth_family_comm*in_ins_partner_share+F403*in_hlth_family_ticket*in_hlth_family_renew_comm*in_ins_partner_share*(in_hlth_family_renew^1*SUMIFS(AI401:AI453,B401:B453,B403-12)+in_hlth_family_renew^2*SUMIFS(AI401:AI453,B401:B453,B403-24)+in_hlth_family_renew^3*SUMIFS(AI401:AI453,B401:B453,B403-36)+in_hlth_family_renew^4*SUMIFS(AI401:AI453,B401:B453,B403-48))</f>
        <v/>
      </c>
      <c r="AK403" s="40">
        <f>AK402*(1-IF(B402&gt;=in_marketplace_from,d_hz_life_term*G402,0))</f>
        <v/>
      </c>
      <c r="AL403" s="46">
        <f>AK403*IF(B403&gt;=in_marketplace_from,d_hz_life_term*G403,0)</f>
        <v/>
      </c>
      <c r="AM403" s="14">
        <f>F403*AL403*in_life_term_ticket*in_life_term_comm*in_ins_partner_share+F403*in_life_term_ticket*in_life_term_renew_comm*in_ins_partner_share*(in_life_term_renew^1*SUMIFS(AL401:AL453,B401:B453,B403-12)+in_life_term_renew^2*SUMIFS(AL401:AL453,B401:B453,B403-24)+in_life_term_renew^3*SUMIFS(AL401:AL453,B401:B453,B403-36)+in_life_term_renew^4*SUMIFS(AL401:AL453,B401:B453,B403-48))</f>
        <v/>
      </c>
      <c r="AN403" s="40">
        <f>AN402*(1-IF(B402&gt;=in_marketplace_from,d_hz_accident*G402,0))</f>
        <v/>
      </c>
      <c r="AO403" s="46">
        <f>AN403*IF(B403&gt;=in_marketplace_from,d_hz_accident*G403,0)</f>
        <v/>
      </c>
      <c r="AP403" s="14">
        <f>F403*AO403*in_accident_ticket*in_accident_comm*in_ins_partner_share+F403*in_accident_ticket*in_accident_renew_comm*in_ins_partner_share*(in_accident_renew^1*SUMIFS(AO401:AO453,B401:B453,B403-12)+in_accident_renew^2*SUMIFS(AO401:AO453,B401:B453,B403-24)+in_accident_renew^3*SUMIFS(AO401:AO453,B401:B453,B403-36)+in_accident_renew^4*SUMIFS(AO401:AO453,B401:B453,B403-48))</f>
        <v/>
      </c>
      <c r="AQ403" s="40">
        <f>AQ402*(1-IF(B402&gt;=in_marketplace_from,d_hz_two_wheeler*G402,0))</f>
        <v/>
      </c>
      <c r="AR403" s="46">
        <f>AQ403*IF(B403&gt;=in_marketplace_from,d_hz_two_wheeler*G403,0)</f>
        <v/>
      </c>
      <c r="AS403" s="14">
        <f>F403*AR403*in_two_wheeler_ticket*in_two_wheeler_comm*in_ins_partner_share+F403*in_two_wheeler_ticket*in_two_wheeler_comm*in_ins_partner_share*(in_two_wheeler_renew^1*SUMIFS(AR401:AR453,B401:B453,B403-12)+in_two_wheeler_renew^2*SUMIFS(AR401:AR453,B401:B453,B403-24)+in_two_wheeler_renew^3*SUMIFS(AR401:AR453,B401:B453,B403-36)+in_two_wheeler_renew^4*SUMIFS(AR401:AR453,B401:B453,B403-48))</f>
        <v/>
      </c>
      <c r="AT403" s="40">
        <f>AT402*(1-IF(B402&gt;=in_marketplace_from,d_hz_device*G402,0))</f>
        <v/>
      </c>
      <c r="AU403" s="14">
        <f>F403*AT403*IF(B403&gt;=in_marketplace_from,d_hz_device*G403,0)*in_device_ticket*in_device_comm*in_ins_partner_share</f>
        <v/>
      </c>
      <c r="AV403" s="40">
        <f>AV402*(1-IF(B402&gt;=in_marketplace_from,d_hz_shop*G402,0))</f>
        <v/>
      </c>
      <c r="AW403" s="46">
        <f>AV403*IF(B403&gt;=in_marketplace_from,d_hz_shop*G403,0)</f>
        <v/>
      </c>
      <c r="AX403" s="14">
        <f>F403*AW403*in_shop_ticket*in_shop_comm*in_ins_partner_share+F403*in_shop_ticket*in_shop_renew_comm*in_ins_partner_share*(in_shop_renew^1*SUMIFS(AW401:AW453,B401:B453,B403-12)+in_shop_renew^2*SUMIFS(AW401:AW453,B401:B453,B403-24)+in_shop_renew^3*SUMIFS(AW401:AW453,B401:B453,B403-36)+in_shop_renew^4*SUMIFS(AW401:AW453,B401:B453,B403-48))</f>
        <v/>
      </c>
      <c r="AY403" s="40">
        <f>AY402*(1-IF(B402&gt;=in_marketplace_from,d_hz_sip*G402,0))</f>
        <v/>
      </c>
      <c r="AZ403" s="40">
        <f>AZ402*d_rho_sip+AY403*IF(B403&gt;=in_marketplace_from,d_hz_sip*G403,0)</f>
        <v/>
      </c>
      <c r="BA403" s="40">
        <f>d_rho_sip*(BA402+AZ402)</f>
        <v/>
      </c>
      <c r="BB403" s="14">
        <f>F403*in_sip_ticket*(BA403+0.5*AZ403)*in_sip_comm/12</f>
        <v/>
      </c>
      <c r="BC403" s="40">
        <f>BC402*(1-IF(B402&gt;=in_marketplace_from,d_hz_choti*G402,0))</f>
        <v/>
      </c>
      <c r="BD403" s="46">
        <f>BC403*IF(B403&gt;=in_marketplace_from,d_hz_choti*G403,0)</f>
        <v/>
      </c>
      <c r="BE403" s="14">
        <f>F403*SUMIFS(BD401:BD453,B401:B453,B403-in_choti_months)*in_choti_renew*in_choti_ticket</f>
        <v/>
      </c>
      <c r="BF403" s="40">
        <f>BF402*(1-IF(B402&gt;=in_marketplace_from,d_hz_nps*G402,0))</f>
        <v/>
      </c>
      <c r="BG403" s="14">
        <f>F403*BF403*IF(B403&gt;=in_marketplace_from,d_hz_nps*G403,0)*in_nps_ticket*in_nps_comm</f>
        <v/>
      </c>
      <c r="BH403" s="40">
        <f>BH402*(1-IF(B402&gt;=in_marketplace_from,d_hz_gold*G402,0))</f>
        <v/>
      </c>
      <c r="BI403" s="40">
        <f>BI402*d_rho_gold+BH403*IF(B403&gt;=in_marketplace_from,d_hz_gold*G403,0)</f>
        <v/>
      </c>
      <c r="BJ403" s="14">
        <f>F403*BI403*in_gold_ticket*in_gold_comm</f>
        <v/>
      </c>
      <c r="BK403" s="40">
        <f>BK402*(1-IF(B402&gt;=in_marketplace_from,d_hz_fd*G402,0))</f>
        <v/>
      </c>
      <c r="BL403" s="14">
        <f>F403*BK403*IF(B403&gt;=in_marketplace_from,d_hz_fd*G403,0)*in_fd_ticket*in_fd_comm</f>
        <v/>
      </c>
      <c r="BM403" s="40">
        <f>BM402*(1-IF(B402&gt;=in_marketplace_from,d_hz_recharge*G402,0))</f>
        <v/>
      </c>
      <c r="BN403" s="40">
        <f>BN402*d_rho_recharge+BM403*IF(B403&gt;=in_marketplace_from,d_hz_recharge*G403,0)</f>
        <v/>
      </c>
      <c r="BO403" s="14">
        <f>F403*BN403*in_recharge_ticket*in_recharge_comm/12</f>
        <v/>
      </c>
      <c r="BP403" s="40">
        <f>BP402*(1-IF(B402&gt;=in_marketplace_from,d_hz_bills*G402,0))</f>
        <v/>
      </c>
      <c r="BQ403" s="40">
        <f>BQ402*d_rho_bills+BP403*IF(B403&gt;=in_marketplace_from,d_hz_bills*G403,0)</f>
        <v/>
      </c>
      <c r="BR403" s="14">
        <f>F403*BQ403*in_bills_ticket*in_bills_comm/12</f>
        <v/>
      </c>
      <c r="BS403" s="40">
        <f>BS402*(1-IF(B402&gt;=in_marketplace_from,d_hz_loan_gold*G402,0))</f>
        <v/>
      </c>
      <c r="BT403" s="14">
        <f>F403*BS403*IF(B403&gt;=in_marketplace_from,d_hz_loan_gold*G403,0)*in_loan_gold_ticket*in_loan_gold_comm</f>
        <v/>
      </c>
      <c r="BU403" s="40">
        <f>BU402*(1-IF(B402&gt;=in_marketplace_from,d_hz_loan_cd*G402,0))</f>
        <v/>
      </c>
      <c r="BV403" s="14">
        <f>F403*BU403*IF(B403&gt;=in_marketplace_from,d_hz_loan_cd*G403,0)*in_loan_cd_ticket*in_loan_cd_comm</f>
        <v/>
      </c>
      <c r="BW403" s="40">
        <f>BW402*(1-IF(B402&gt;=in_marketplace_from,d_hz_loan_vehicle*G402,0))</f>
        <v/>
      </c>
      <c r="BX403" s="14">
        <f>F403*BW403*IF(B403&gt;=in_marketplace_from,d_hz_loan_vehicle*G403,0)*in_loan_vehicle_ticket*in_loan_vehicle_comm</f>
        <v/>
      </c>
      <c r="BY403" s="40">
        <f>BY402*(1-IF(B402&gt;=in_marketplace_from,d_hz_loan_home*G402,0)*BZ402)</f>
        <v/>
      </c>
      <c r="BZ403" s="11">
        <f>MIN(in_approval_cap,in_loan_home_approval*INDEX('Age profile'!$O$2:$O$61,B403)*(1+in_approval_growth)^(D403-1))</f>
        <v/>
      </c>
      <c r="CA403" s="14">
        <f>F403*BY403*IF(B403&gt;=in_marketplace_from,d_hz_loan_home*G403,0)*BZ403*in_loan_home_ticket*in_loan_home_comm</f>
        <v/>
      </c>
      <c r="CB403" s="40">
        <f>CB402*(1-IF(B402&gt;=in_marketplace_from,d_hz_loan_lap*G402,0)*CC402)</f>
        <v/>
      </c>
      <c r="CC403" s="11">
        <f>MIN(in_approval_cap,in_loan_lap_approval*INDEX('Age profile'!$O$2:$O$61,B403)*(1+in_approval_growth)^(D403-1))</f>
        <v/>
      </c>
      <c r="CD403" s="14">
        <f>F403*CB403*IF(B403&gt;=in_marketplace_from,d_hz_loan_lap*G403,0)*CC403*in_loan_lap_ticket*in_loan_lap_comm</f>
        <v/>
      </c>
      <c r="CE403" s="14">
        <f>AA403+AB403+AC403+AD403+AG403+AJ403+AM403+AP403+AS403+AU403+AX403+BB403+BE403+BG403+BJ403+BL403+BO403+BR403+BT403+BV403+BX403+CA403+CD403</f>
        <v/>
      </c>
    </row>
    <row r="404">
      <c r="A404" s="39" t="n">
        <v>8</v>
      </c>
      <c r="B404" s="39" t="n">
        <v>4</v>
      </c>
      <c r="C404" s="39">
        <f>A404+B404-1</f>
        <v/>
      </c>
      <c r="D404" s="39">
        <f>INT((C404-1)/12)+1</f>
        <v/>
      </c>
      <c r="E404" s="44">
        <f>INDEX(Monthly!$B$2:$B$61,A404)</f>
        <v/>
      </c>
      <c r="F404" s="44">
        <f>E404*INDEX('Age profile'!$B$2:$B$61,B404)</f>
        <v/>
      </c>
      <c r="G404" s="45">
        <f>MIN(in_takeup_cap,INDEX('Age profile'!$N$2:$N$61,B404)*(1+in_takeup_growth)^(D404-1))</f>
        <v/>
      </c>
      <c r="H404" s="11">
        <f>MIN(in_approval_cap,in_approved_first*INDEX('Age profile'!$O$2:$O$61,B404)*(1+in_approval_growth)^(D404-1))</f>
        <v/>
      </c>
      <c r="I404" s="45">
        <f>G404*MIN(in_takeup_cap,INDEX('Age profile'!$O$2:$O$61,B404)*(1+in_approval_growth)^(D404-1))</f>
        <v/>
      </c>
      <c r="J404" s="40">
        <f>(J403-L403)*F404/F403</f>
        <v/>
      </c>
      <c r="K404" s="40">
        <f>(K403-M403)*F404/F403+SUMIFS(O401:O403,B401:B403,B404-1-d_T)*F404</f>
        <v/>
      </c>
      <c r="L404" s="40">
        <f>IF(B404&gt;=in_marketplace_from,J404*d_hz*G404*in_eligible*H404,0)</f>
        <v/>
      </c>
      <c r="M404" s="40">
        <f>IF(B404&gt;=in_marketplace_from,K404*d_hz*G404*in_eligible*in_approved_repeat,0)</f>
        <v/>
      </c>
      <c r="N404" s="40">
        <f>L404+M404</f>
        <v/>
      </c>
      <c r="O404" s="46">
        <f>N404/F404</f>
        <v/>
      </c>
      <c r="P404" s="40">
        <f>F404-J404-K404</f>
        <v/>
      </c>
      <c r="Q404" s="40">
        <f>IF(B404&gt;=in_marketplace_from,(J404+K404)*d_hz*G404,0)</f>
        <v/>
      </c>
      <c r="R404" s="40">
        <f>SUMIFS(N401:N453,B401:B453,"&gt;="&amp;(B404-d_T),B401:B453,"&lt;="&amp;(B404-1))</f>
        <v/>
      </c>
      <c r="S404" s="46">
        <f>(1-d_u)*S403+IF(d_T&gt;in_topup_lag,SUMIFS(O401:O453,B401:B453,B404-in_topup_lag)-d_udrop*SUMIFS(O401:O453,B401:B453,B404-d_T),0)</f>
        <v/>
      </c>
      <c r="T404" s="40">
        <f>F404*d_u*S404</f>
        <v/>
      </c>
      <c r="U404" s="9">
        <f>L404*in_ticket+M404*d_rep_ticket</f>
        <v/>
      </c>
      <c r="V404" s="9">
        <f>U404+T404*d_topup_amt</f>
        <v/>
      </c>
      <c r="W404" s="40">
        <f>N404+T404*d_topup_ratio</f>
        <v/>
      </c>
      <c r="X404" s="40">
        <f>SUMIFS(W401:W453,B401:B453,B404-in_dpd_lag)*d_cured</f>
        <v/>
      </c>
      <c r="Y404" s="40">
        <f>SUMIFS(W401:W453,B401:B453,B404-in_rec_lag)*d_recd</f>
        <v/>
      </c>
      <c r="Z404" s="40">
        <f>IF(AND(B404&gt;=in_marketplace_from,B404&lt;in_marketplace_from+in_card_months),in_card_share/in_card_months*F404*I404,IF(AND(B404&gt;=in_marketplace_from+in_card_months,B404&lt;in_marketplace_from+2*in_card_months),in_card_share*d_card_rem/in_card_months*F404*MIN(in_takeup_cap,(1+in_takeup_growth)^(D404-1))*MIN(in_takeup_cap,(1+in_approval_growth)^(D404-1)),0))</f>
        <v/>
      </c>
      <c r="AA404" s="14">
        <f>V404*in_fee*(1-in_taken_back)</f>
        <v/>
      </c>
      <c r="AB404" s="14">
        <f>SUMIFS(W401:W453,B401:B453,B404-in_dpd_lag)*d_dpd</f>
        <v/>
      </c>
      <c r="AC404" s="14">
        <f>SUMIFS(W401:W453,B401:B453,B404-in_rec_lag)*d_rec</f>
        <v/>
      </c>
      <c r="AD404" s="14">
        <f>Z404*in_card_fee</f>
        <v/>
      </c>
      <c r="AE404" s="40">
        <f>AE403*(1-IF(B403&gt;=in_marketplace_from,d_hz_hlth_small*G403,0))</f>
        <v/>
      </c>
      <c r="AF404" s="46">
        <f>AE404*IF(B404&gt;=in_marketplace_from,d_hz_hlth_small*G404,0)</f>
        <v/>
      </c>
      <c r="AG404" s="14">
        <f>F404*AF404*in_hlth_small_ticket*in_hlth_small_comm*in_ins_partner_share+F404*in_hlth_small_ticket*in_hlth_small_renew_comm*in_ins_partner_share*(in_hlth_small_renew^1*SUMIFS(AF401:AF453,B401:B453,B404-12)+in_hlth_small_renew^2*SUMIFS(AF401:AF453,B401:B453,B404-24)+in_hlth_small_renew^3*SUMIFS(AF401:AF453,B401:B453,B404-36)+in_hlth_small_renew^4*SUMIFS(AF401:AF453,B401:B453,B404-48))</f>
        <v/>
      </c>
      <c r="AH404" s="40">
        <f>AH403*(1-IF(B403&gt;=in_marketplace_from,d_hz_hlth_family*G403,0))</f>
        <v/>
      </c>
      <c r="AI404" s="46">
        <f>AH404*IF(B404&gt;=in_marketplace_from,d_hz_hlth_family*G404,0)</f>
        <v/>
      </c>
      <c r="AJ404" s="14">
        <f>F404*AI404*in_hlth_family_ticket*in_hlth_family_comm*in_ins_partner_share+F404*in_hlth_family_ticket*in_hlth_family_renew_comm*in_ins_partner_share*(in_hlth_family_renew^1*SUMIFS(AI401:AI453,B401:B453,B404-12)+in_hlth_family_renew^2*SUMIFS(AI401:AI453,B401:B453,B404-24)+in_hlth_family_renew^3*SUMIFS(AI401:AI453,B401:B453,B404-36)+in_hlth_family_renew^4*SUMIFS(AI401:AI453,B401:B453,B404-48))</f>
        <v/>
      </c>
      <c r="AK404" s="40">
        <f>AK403*(1-IF(B403&gt;=in_marketplace_from,d_hz_life_term*G403,0))</f>
        <v/>
      </c>
      <c r="AL404" s="46">
        <f>AK404*IF(B404&gt;=in_marketplace_from,d_hz_life_term*G404,0)</f>
        <v/>
      </c>
      <c r="AM404" s="14">
        <f>F404*AL404*in_life_term_ticket*in_life_term_comm*in_ins_partner_share+F404*in_life_term_ticket*in_life_term_renew_comm*in_ins_partner_share*(in_life_term_renew^1*SUMIFS(AL401:AL453,B401:B453,B404-12)+in_life_term_renew^2*SUMIFS(AL401:AL453,B401:B453,B404-24)+in_life_term_renew^3*SUMIFS(AL401:AL453,B401:B453,B404-36)+in_life_term_renew^4*SUMIFS(AL401:AL453,B401:B453,B404-48))</f>
        <v/>
      </c>
      <c r="AN404" s="40">
        <f>AN403*(1-IF(B403&gt;=in_marketplace_from,d_hz_accident*G403,0))</f>
        <v/>
      </c>
      <c r="AO404" s="46">
        <f>AN404*IF(B404&gt;=in_marketplace_from,d_hz_accident*G404,0)</f>
        <v/>
      </c>
      <c r="AP404" s="14">
        <f>F404*AO404*in_accident_ticket*in_accident_comm*in_ins_partner_share+F404*in_accident_ticket*in_accident_renew_comm*in_ins_partner_share*(in_accident_renew^1*SUMIFS(AO401:AO453,B401:B453,B404-12)+in_accident_renew^2*SUMIFS(AO401:AO453,B401:B453,B404-24)+in_accident_renew^3*SUMIFS(AO401:AO453,B401:B453,B404-36)+in_accident_renew^4*SUMIFS(AO401:AO453,B401:B453,B404-48))</f>
        <v/>
      </c>
      <c r="AQ404" s="40">
        <f>AQ403*(1-IF(B403&gt;=in_marketplace_from,d_hz_two_wheeler*G403,0))</f>
        <v/>
      </c>
      <c r="AR404" s="46">
        <f>AQ404*IF(B404&gt;=in_marketplace_from,d_hz_two_wheeler*G404,0)</f>
        <v/>
      </c>
      <c r="AS404" s="14">
        <f>F404*AR404*in_two_wheeler_ticket*in_two_wheeler_comm*in_ins_partner_share+F404*in_two_wheeler_ticket*in_two_wheeler_comm*in_ins_partner_share*(in_two_wheeler_renew^1*SUMIFS(AR401:AR453,B401:B453,B404-12)+in_two_wheeler_renew^2*SUMIFS(AR401:AR453,B401:B453,B404-24)+in_two_wheeler_renew^3*SUMIFS(AR401:AR453,B401:B453,B404-36)+in_two_wheeler_renew^4*SUMIFS(AR401:AR453,B401:B453,B404-48))</f>
        <v/>
      </c>
      <c r="AT404" s="40">
        <f>AT403*(1-IF(B403&gt;=in_marketplace_from,d_hz_device*G403,0))</f>
        <v/>
      </c>
      <c r="AU404" s="14">
        <f>F404*AT404*IF(B404&gt;=in_marketplace_from,d_hz_device*G404,0)*in_device_ticket*in_device_comm*in_ins_partner_share</f>
        <v/>
      </c>
      <c r="AV404" s="40">
        <f>AV403*(1-IF(B403&gt;=in_marketplace_from,d_hz_shop*G403,0))</f>
        <v/>
      </c>
      <c r="AW404" s="46">
        <f>AV404*IF(B404&gt;=in_marketplace_from,d_hz_shop*G404,0)</f>
        <v/>
      </c>
      <c r="AX404" s="14">
        <f>F404*AW404*in_shop_ticket*in_shop_comm*in_ins_partner_share+F404*in_shop_ticket*in_shop_renew_comm*in_ins_partner_share*(in_shop_renew^1*SUMIFS(AW401:AW453,B401:B453,B404-12)+in_shop_renew^2*SUMIFS(AW401:AW453,B401:B453,B404-24)+in_shop_renew^3*SUMIFS(AW401:AW453,B401:B453,B404-36)+in_shop_renew^4*SUMIFS(AW401:AW453,B401:B453,B404-48))</f>
        <v/>
      </c>
      <c r="AY404" s="40">
        <f>AY403*(1-IF(B403&gt;=in_marketplace_from,d_hz_sip*G403,0))</f>
        <v/>
      </c>
      <c r="AZ404" s="40">
        <f>AZ403*d_rho_sip+AY404*IF(B404&gt;=in_marketplace_from,d_hz_sip*G404,0)</f>
        <v/>
      </c>
      <c r="BA404" s="40">
        <f>d_rho_sip*(BA403+AZ403)</f>
        <v/>
      </c>
      <c r="BB404" s="14">
        <f>F404*in_sip_ticket*(BA404+0.5*AZ404)*in_sip_comm/12</f>
        <v/>
      </c>
      <c r="BC404" s="40">
        <f>BC403*(1-IF(B403&gt;=in_marketplace_from,d_hz_choti*G403,0))</f>
        <v/>
      </c>
      <c r="BD404" s="46">
        <f>BC404*IF(B404&gt;=in_marketplace_from,d_hz_choti*G404,0)</f>
        <v/>
      </c>
      <c r="BE404" s="14">
        <f>F404*SUMIFS(BD401:BD453,B401:B453,B404-in_choti_months)*in_choti_renew*in_choti_ticket</f>
        <v/>
      </c>
      <c r="BF404" s="40">
        <f>BF403*(1-IF(B403&gt;=in_marketplace_from,d_hz_nps*G403,0))</f>
        <v/>
      </c>
      <c r="BG404" s="14">
        <f>F404*BF404*IF(B404&gt;=in_marketplace_from,d_hz_nps*G404,0)*in_nps_ticket*in_nps_comm</f>
        <v/>
      </c>
      <c r="BH404" s="40">
        <f>BH403*(1-IF(B403&gt;=in_marketplace_from,d_hz_gold*G403,0))</f>
        <v/>
      </c>
      <c r="BI404" s="40">
        <f>BI403*d_rho_gold+BH404*IF(B404&gt;=in_marketplace_from,d_hz_gold*G404,0)</f>
        <v/>
      </c>
      <c r="BJ404" s="14">
        <f>F404*BI404*in_gold_ticket*in_gold_comm</f>
        <v/>
      </c>
      <c r="BK404" s="40">
        <f>BK403*(1-IF(B403&gt;=in_marketplace_from,d_hz_fd*G403,0))</f>
        <v/>
      </c>
      <c r="BL404" s="14">
        <f>F404*BK404*IF(B404&gt;=in_marketplace_from,d_hz_fd*G404,0)*in_fd_ticket*in_fd_comm</f>
        <v/>
      </c>
      <c r="BM404" s="40">
        <f>BM403*(1-IF(B403&gt;=in_marketplace_from,d_hz_recharge*G403,0))</f>
        <v/>
      </c>
      <c r="BN404" s="40">
        <f>BN403*d_rho_recharge+BM404*IF(B404&gt;=in_marketplace_from,d_hz_recharge*G404,0)</f>
        <v/>
      </c>
      <c r="BO404" s="14">
        <f>F404*BN404*in_recharge_ticket*in_recharge_comm/12</f>
        <v/>
      </c>
      <c r="BP404" s="40">
        <f>BP403*(1-IF(B403&gt;=in_marketplace_from,d_hz_bills*G403,0))</f>
        <v/>
      </c>
      <c r="BQ404" s="40">
        <f>BQ403*d_rho_bills+BP404*IF(B404&gt;=in_marketplace_from,d_hz_bills*G404,0)</f>
        <v/>
      </c>
      <c r="BR404" s="14">
        <f>F404*BQ404*in_bills_ticket*in_bills_comm/12</f>
        <v/>
      </c>
      <c r="BS404" s="40">
        <f>BS403*(1-IF(B403&gt;=in_marketplace_from,d_hz_loan_gold*G403,0))</f>
        <v/>
      </c>
      <c r="BT404" s="14">
        <f>F404*BS404*IF(B404&gt;=in_marketplace_from,d_hz_loan_gold*G404,0)*in_loan_gold_ticket*in_loan_gold_comm</f>
        <v/>
      </c>
      <c r="BU404" s="40">
        <f>BU403*(1-IF(B403&gt;=in_marketplace_from,d_hz_loan_cd*G403,0))</f>
        <v/>
      </c>
      <c r="BV404" s="14">
        <f>F404*BU404*IF(B404&gt;=in_marketplace_from,d_hz_loan_cd*G404,0)*in_loan_cd_ticket*in_loan_cd_comm</f>
        <v/>
      </c>
      <c r="BW404" s="40">
        <f>BW403*(1-IF(B403&gt;=in_marketplace_from,d_hz_loan_vehicle*G403,0))</f>
        <v/>
      </c>
      <c r="BX404" s="14">
        <f>F404*BW404*IF(B404&gt;=in_marketplace_from,d_hz_loan_vehicle*G404,0)*in_loan_vehicle_ticket*in_loan_vehicle_comm</f>
        <v/>
      </c>
      <c r="BY404" s="40">
        <f>BY403*(1-IF(B403&gt;=in_marketplace_from,d_hz_loan_home*G403,0)*BZ403)</f>
        <v/>
      </c>
      <c r="BZ404" s="11">
        <f>MIN(in_approval_cap,in_loan_home_approval*INDEX('Age profile'!$O$2:$O$61,B404)*(1+in_approval_growth)^(D404-1))</f>
        <v/>
      </c>
      <c r="CA404" s="14">
        <f>F404*BY404*IF(B404&gt;=in_marketplace_from,d_hz_loan_home*G404,0)*BZ404*in_loan_home_ticket*in_loan_home_comm</f>
        <v/>
      </c>
      <c r="CB404" s="40">
        <f>CB403*(1-IF(B403&gt;=in_marketplace_from,d_hz_loan_lap*G403,0)*CC403)</f>
        <v/>
      </c>
      <c r="CC404" s="11">
        <f>MIN(in_approval_cap,in_loan_lap_approval*INDEX('Age profile'!$O$2:$O$61,B404)*(1+in_approval_growth)^(D404-1))</f>
        <v/>
      </c>
      <c r="CD404" s="14">
        <f>F404*CB404*IF(B404&gt;=in_marketplace_from,d_hz_loan_lap*G404,0)*CC404*in_loan_lap_ticket*in_loan_lap_comm</f>
        <v/>
      </c>
      <c r="CE404" s="14">
        <f>AA404+AB404+AC404+AD404+AG404+AJ404+AM404+AP404+AS404+AU404+AX404+BB404+BE404+BG404+BJ404+BL404+BO404+BR404+BT404+BV404+BX404+CA404+CD404</f>
        <v/>
      </c>
    </row>
    <row r="405">
      <c r="A405" s="39" t="n">
        <v>8</v>
      </c>
      <c r="B405" s="39" t="n">
        <v>5</v>
      </c>
      <c r="C405" s="39">
        <f>A405+B405-1</f>
        <v/>
      </c>
      <c r="D405" s="39">
        <f>INT((C405-1)/12)+1</f>
        <v/>
      </c>
      <c r="E405" s="44">
        <f>INDEX(Monthly!$B$2:$B$61,A405)</f>
        <v/>
      </c>
      <c r="F405" s="44">
        <f>E405*INDEX('Age profile'!$B$2:$B$61,B405)</f>
        <v/>
      </c>
      <c r="G405" s="45">
        <f>MIN(in_takeup_cap,INDEX('Age profile'!$N$2:$N$61,B405)*(1+in_takeup_growth)^(D405-1))</f>
        <v/>
      </c>
      <c r="H405" s="11">
        <f>MIN(in_approval_cap,in_approved_first*INDEX('Age profile'!$O$2:$O$61,B405)*(1+in_approval_growth)^(D405-1))</f>
        <v/>
      </c>
      <c r="I405" s="45">
        <f>G405*MIN(in_takeup_cap,INDEX('Age profile'!$O$2:$O$61,B405)*(1+in_approval_growth)^(D405-1))</f>
        <v/>
      </c>
      <c r="J405" s="40">
        <f>(J404-L404)*F405/F404</f>
        <v/>
      </c>
      <c r="K405" s="40">
        <f>(K404-M404)*F405/F404+SUMIFS(O401:O404,B401:B404,B405-1-d_T)*F405</f>
        <v/>
      </c>
      <c r="L405" s="40">
        <f>IF(B405&gt;=in_marketplace_from,J405*d_hz*G405*in_eligible*H405,0)</f>
        <v/>
      </c>
      <c r="M405" s="40">
        <f>IF(B405&gt;=in_marketplace_from,K405*d_hz*G405*in_eligible*in_approved_repeat,0)</f>
        <v/>
      </c>
      <c r="N405" s="40">
        <f>L405+M405</f>
        <v/>
      </c>
      <c r="O405" s="46">
        <f>N405/F405</f>
        <v/>
      </c>
      <c r="P405" s="40">
        <f>F405-J405-K405</f>
        <v/>
      </c>
      <c r="Q405" s="40">
        <f>IF(B405&gt;=in_marketplace_from,(J405+K405)*d_hz*G405,0)</f>
        <v/>
      </c>
      <c r="R405" s="40">
        <f>SUMIFS(N401:N453,B401:B453,"&gt;="&amp;(B405-d_T),B401:B453,"&lt;="&amp;(B405-1))</f>
        <v/>
      </c>
      <c r="S405" s="46">
        <f>(1-d_u)*S404+IF(d_T&gt;in_topup_lag,SUMIFS(O401:O453,B401:B453,B405-in_topup_lag)-d_udrop*SUMIFS(O401:O453,B401:B453,B405-d_T),0)</f>
        <v/>
      </c>
      <c r="T405" s="40">
        <f>F405*d_u*S405</f>
        <v/>
      </c>
      <c r="U405" s="9">
        <f>L405*in_ticket+M405*d_rep_ticket</f>
        <v/>
      </c>
      <c r="V405" s="9">
        <f>U405+T405*d_topup_amt</f>
        <v/>
      </c>
      <c r="W405" s="40">
        <f>N405+T405*d_topup_ratio</f>
        <v/>
      </c>
      <c r="X405" s="40">
        <f>SUMIFS(W401:W453,B401:B453,B405-in_dpd_lag)*d_cured</f>
        <v/>
      </c>
      <c r="Y405" s="40">
        <f>SUMIFS(W401:W453,B401:B453,B405-in_rec_lag)*d_recd</f>
        <v/>
      </c>
      <c r="Z405" s="40">
        <f>IF(AND(B405&gt;=in_marketplace_from,B405&lt;in_marketplace_from+in_card_months),in_card_share/in_card_months*F405*I405,IF(AND(B405&gt;=in_marketplace_from+in_card_months,B405&lt;in_marketplace_from+2*in_card_months),in_card_share*d_card_rem/in_card_months*F405*MIN(in_takeup_cap,(1+in_takeup_growth)^(D405-1))*MIN(in_takeup_cap,(1+in_approval_growth)^(D405-1)),0))</f>
        <v/>
      </c>
      <c r="AA405" s="14">
        <f>V405*in_fee*(1-in_taken_back)</f>
        <v/>
      </c>
      <c r="AB405" s="14">
        <f>SUMIFS(W401:W453,B401:B453,B405-in_dpd_lag)*d_dpd</f>
        <v/>
      </c>
      <c r="AC405" s="14">
        <f>SUMIFS(W401:W453,B401:B453,B405-in_rec_lag)*d_rec</f>
        <v/>
      </c>
      <c r="AD405" s="14">
        <f>Z405*in_card_fee</f>
        <v/>
      </c>
      <c r="AE405" s="40">
        <f>AE404*(1-IF(B404&gt;=in_marketplace_from,d_hz_hlth_small*G404,0))</f>
        <v/>
      </c>
      <c r="AF405" s="46">
        <f>AE405*IF(B405&gt;=in_marketplace_from,d_hz_hlth_small*G405,0)</f>
        <v/>
      </c>
      <c r="AG405" s="14">
        <f>F405*AF405*in_hlth_small_ticket*in_hlth_small_comm*in_ins_partner_share+F405*in_hlth_small_ticket*in_hlth_small_renew_comm*in_ins_partner_share*(in_hlth_small_renew^1*SUMIFS(AF401:AF453,B401:B453,B405-12)+in_hlth_small_renew^2*SUMIFS(AF401:AF453,B401:B453,B405-24)+in_hlth_small_renew^3*SUMIFS(AF401:AF453,B401:B453,B405-36)+in_hlth_small_renew^4*SUMIFS(AF401:AF453,B401:B453,B405-48))</f>
        <v/>
      </c>
      <c r="AH405" s="40">
        <f>AH404*(1-IF(B404&gt;=in_marketplace_from,d_hz_hlth_family*G404,0))</f>
        <v/>
      </c>
      <c r="AI405" s="46">
        <f>AH405*IF(B405&gt;=in_marketplace_from,d_hz_hlth_family*G405,0)</f>
        <v/>
      </c>
      <c r="AJ405" s="14">
        <f>F405*AI405*in_hlth_family_ticket*in_hlth_family_comm*in_ins_partner_share+F405*in_hlth_family_ticket*in_hlth_family_renew_comm*in_ins_partner_share*(in_hlth_family_renew^1*SUMIFS(AI401:AI453,B401:B453,B405-12)+in_hlth_family_renew^2*SUMIFS(AI401:AI453,B401:B453,B405-24)+in_hlth_family_renew^3*SUMIFS(AI401:AI453,B401:B453,B405-36)+in_hlth_family_renew^4*SUMIFS(AI401:AI453,B401:B453,B405-48))</f>
        <v/>
      </c>
      <c r="AK405" s="40">
        <f>AK404*(1-IF(B404&gt;=in_marketplace_from,d_hz_life_term*G404,0))</f>
        <v/>
      </c>
      <c r="AL405" s="46">
        <f>AK405*IF(B405&gt;=in_marketplace_from,d_hz_life_term*G405,0)</f>
        <v/>
      </c>
      <c r="AM405" s="14">
        <f>F405*AL405*in_life_term_ticket*in_life_term_comm*in_ins_partner_share+F405*in_life_term_ticket*in_life_term_renew_comm*in_ins_partner_share*(in_life_term_renew^1*SUMIFS(AL401:AL453,B401:B453,B405-12)+in_life_term_renew^2*SUMIFS(AL401:AL453,B401:B453,B405-24)+in_life_term_renew^3*SUMIFS(AL401:AL453,B401:B453,B405-36)+in_life_term_renew^4*SUMIFS(AL401:AL453,B401:B453,B405-48))</f>
        <v/>
      </c>
      <c r="AN405" s="40">
        <f>AN404*(1-IF(B404&gt;=in_marketplace_from,d_hz_accident*G404,0))</f>
        <v/>
      </c>
      <c r="AO405" s="46">
        <f>AN405*IF(B405&gt;=in_marketplace_from,d_hz_accident*G405,0)</f>
        <v/>
      </c>
      <c r="AP405" s="14">
        <f>F405*AO405*in_accident_ticket*in_accident_comm*in_ins_partner_share+F405*in_accident_ticket*in_accident_renew_comm*in_ins_partner_share*(in_accident_renew^1*SUMIFS(AO401:AO453,B401:B453,B405-12)+in_accident_renew^2*SUMIFS(AO401:AO453,B401:B453,B405-24)+in_accident_renew^3*SUMIFS(AO401:AO453,B401:B453,B405-36)+in_accident_renew^4*SUMIFS(AO401:AO453,B401:B453,B405-48))</f>
        <v/>
      </c>
      <c r="AQ405" s="40">
        <f>AQ404*(1-IF(B404&gt;=in_marketplace_from,d_hz_two_wheeler*G404,0))</f>
        <v/>
      </c>
      <c r="AR405" s="46">
        <f>AQ405*IF(B405&gt;=in_marketplace_from,d_hz_two_wheeler*G405,0)</f>
        <v/>
      </c>
      <c r="AS405" s="14">
        <f>F405*AR405*in_two_wheeler_ticket*in_two_wheeler_comm*in_ins_partner_share+F405*in_two_wheeler_ticket*in_two_wheeler_comm*in_ins_partner_share*(in_two_wheeler_renew^1*SUMIFS(AR401:AR453,B401:B453,B405-12)+in_two_wheeler_renew^2*SUMIFS(AR401:AR453,B401:B453,B405-24)+in_two_wheeler_renew^3*SUMIFS(AR401:AR453,B401:B453,B405-36)+in_two_wheeler_renew^4*SUMIFS(AR401:AR453,B401:B453,B405-48))</f>
        <v/>
      </c>
      <c r="AT405" s="40">
        <f>AT404*(1-IF(B404&gt;=in_marketplace_from,d_hz_device*G404,0))</f>
        <v/>
      </c>
      <c r="AU405" s="14">
        <f>F405*AT405*IF(B405&gt;=in_marketplace_from,d_hz_device*G405,0)*in_device_ticket*in_device_comm*in_ins_partner_share</f>
        <v/>
      </c>
      <c r="AV405" s="40">
        <f>AV404*(1-IF(B404&gt;=in_marketplace_from,d_hz_shop*G404,0))</f>
        <v/>
      </c>
      <c r="AW405" s="46">
        <f>AV405*IF(B405&gt;=in_marketplace_from,d_hz_shop*G405,0)</f>
        <v/>
      </c>
      <c r="AX405" s="14">
        <f>F405*AW405*in_shop_ticket*in_shop_comm*in_ins_partner_share+F405*in_shop_ticket*in_shop_renew_comm*in_ins_partner_share*(in_shop_renew^1*SUMIFS(AW401:AW453,B401:B453,B405-12)+in_shop_renew^2*SUMIFS(AW401:AW453,B401:B453,B405-24)+in_shop_renew^3*SUMIFS(AW401:AW453,B401:B453,B405-36)+in_shop_renew^4*SUMIFS(AW401:AW453,B401:B453,B405-48))</f>
        <v/>
      </c>
      <c r="AY405" s="40">
        <f>AY404*(1-IF(B404&gt;=in_marketplace_from,d_hz_sip*G404,0))</f>
        <v/>
      </c>
      <c r="AZ405" s="40">
        <f>AZ404*d_rho_sip+AY405*IF(B405&gt;=in_marketplace_from,d_hz_sip*G405,0)</f>
        <v/>
      </c>
      <c r="BA405" s="40">
        <f>d_rho_sip*(BA404+AZ404)</f>
        <v/>
      </c>
      <c r="BB405" s="14">
        <f>F405*in_sip_ticket*(BA405+0.5*AZ405)*in_sip_comm/12</f>
        <v/>
      </c>
      <c r="BC405" s="40">
        <f>BC404*(1-IF(B404&gt;=in_marketplace_from,d_hz_choti*G404,0))</f>
        <v/>
      </c>
      <c r="BD405" s="46">
        <f>BC405*IF(B405&gt;=in_marketplace_from,d_hz_choti*G405,0)</f>
        <v/>
      </c>
      <c r="BE405" s="14">
        <f>F405*SUMIFS(BD401:BD453,B401:B453,B405-in_choti_months)*in_choti_renew*in_choti_ticket</f>
        <v/>
      </c>
      <c r="BF405" s="40">
        <f>BF404*(1-IF(B404&gt;=in_marketplace_from,d_hz_nps*G404,0))</f>
        <v/>
      </c>
      <c r="BG405" s="14">
        <f>F405*BF405*IF(B405&gt;=in_marketplace_from,d_hz_nps*G405,0)*in_nps_ticket*in_nps_comm</f>
        <v/>
      </c>
      <c r="BH405" s="40">
        <f>BH404*(1-IF(B404&gt;=in_marketplace_from,d_hz_gold*G404,0))</f>
        <v/>
      </c>
      <c r="BI405" s="40">
        <f>BI404*d_rho_gold+BH405*IF(B405&gt;=in_marketplace_from,d_hz_gold*G405,0)</f>
        <v/>
      </c>
      <c r="BJ405" s="14">
        <f>F405*BI405*in_gold_ticket*in_gold_comm</f>
        <v/>
      </c>
      <c r="BK405" s="40">
        <f>BK404*(1-IF(B404&gt;=in_marketplace_from,d_hz_fd*G404,0))</f>
        <v/>
      </c>
      <c r="BL405" s="14">
        <f>F405*BK405*IF(B405&gt;=in_marketplace_from,d_hz_fd*G405,0)*in_fd_ticket*in_fd_comm</f>
        <v/>
      </c>
      <c r="BM405" s="40">
        <f>BM404*(1-IF(B404&gt;=in_marketplace_from,d_hz_recharge*G404,0))</f>
        <v/>
      </c>
      <c r="BN405" s="40">
        <f>BN404*d_rho_recharge+BM405*IF(B405&gt;=in_marketplace_from,d_hz_recharge*G405,0)</f>
        <v/>
      </c>
      <c r="BO405" s="14">
        <f>F405*BN405*in_recharge_ticket*in_recharge_comm/12</f>
        <v/>
      </c>
      <c r="BP405" s="40">
        <f>BP404*(1-IF(B404&gt;=in_marketplace_from,d_hz_bills*G404,0))</f>
        <v/>
      </c>
      <c r="BQ405" s="40">
        <f>BQ404*d_rho_bills+BP405*IF(B405&gt;=in_marketplace_from,d_hz_bills*G405,0)</f>
        <v/>
      </c>
      <c r="BR405" s="14">
        <f>F405*BQ405*in_bills_ticket*in_bills_comm/12</f>
        <v/>
      </c>
      <c r="BS405" s="40">
        <f>BS404*(1-IF(B404&gt;=in_marketplace_from,d_hz_loan_gold*G404,0))</f>
        <v/>
      </c>
      <c r="BT405" s="14">
        <f>F405*BS405*IF(B405&gt;=in_marketplace_from,d_hz_loan_gold*G405,0)*in_loan_gold_ticket*in_loan_gold_comm</f>
        <v/>
      </c>
      <c r="BU405" s="40">
        <f>BU404*(1-IF(B404&gt;=in_marketplace_from,d_hz_loan_cd*G404,0))</f>
        <v/>
      </c>
      <c r="BV405" s="14">
        <f>F405*BU405*IF(B405&gt;=in_marketplace_from,d_hz_loan_cd*G405,0)*in_loan_cd_ticket*in_loan_cd_comm</f>
        <v/>
      </c>
      <c r="BW405" s="40">
        <f>BW404*(1-IF(B404&gt;=in_marketplace_from,d_hz_loan_vehicle*G404,0))</f>
        <v/>
      </c>
      <c r="BX405" s="14">
        <f>F405*BW405*IF(B405&gt;=in_marketplace_from,d_hz_loan_vehicle*G405,0)*in_loan_vehicle_ticket*in_loan_vehicle_comm</f>
        <v/>
      </c>
      <c r="BY405" s="40">
        <f>BY404*(1-IF(B404&gt;=in_marketplace_from,d_hz_loan_home*G404,0)*BZ404)</f>
        <v/>
      </c>
      <c r="BZ405" s="11">
        <f>MIN(in_approval_cap,in_loan_home_approval*INDEX('Age profile'!$O$2:$O$61,B405)*(1+in_approval_growth)^(D405-1))</f>
        <v/>
      </c>
      <c r="CA405" s="14">
        <f>F405*BY405*IF(B405&gt;=in_marketplace_from,d_hz_loan_home*G405,0)*BZ405*in_loan_home_ticket*in_loan_home_comm</f>
        <v/>
      </c>
      <c r="CB405" s="40">
        <f>CB404*(1-IF(B404&gt;=in_marketplace_from,d_hz_loan_lap*G404,0)*CC404)</f>
        <v/>
      </c>
      <c r="CC405" s="11">
        <f>MIN(in_approval_cap,in_loan_lap_approval*INDEX('Age profile'!$O$2:$O$61,B405)*(1+in_approval_growth)^(D405-1))</f>
        <v/>
      </c>
      <c r="CD405" s="14">
        <f>F405*CB405*IF(B405&gt;=in_marketplace_from,d_hz_loan_lap*G405,0)*CC405*in_loan_lap_ticket*in_loan_lap_comm</f>
        <v/>
      </c>
      <c r="CE405" s="14">
        <f>AA405+AB405+AC405+AD405+AG405+AJ405+AM405+AP405+AS405+AU405+AX405+BB405+BE405+BG405+BJ405+BL405+BO405+BR405+BT405+BV405+BX405+CA405+CD405</f>
        <v/>
      </c>
    </row>
    <row r="406">
      <c r="A406" s="39" t="n">
        <v>8</v>
      </c>
      <c r="B406" s="39" t="n">
        <v>6</v>
      </c>
      <c r="C406" s="39">
        <f>A406+B406-1</f>
        <v/>
      </c>
      <c r="D406" s="39">
        <f>INT((C406-1)/12)+1</f>
        <v/>
      </c>
      <c r="E406" s="44">
        <f>INDEX(Monthly!$B$2:$B$61,A406)</f>
        <v/>
      </c>
      <c r="F406" s="44">
        <f>E406*INDEX('Age profile'!$B$2:$B$61,B406)</f>
        <v/>
      </c>
      <c r="G406" s="45">
        <f>MIN(in_takeup_cap,INDEX('Age profile'!$N$2:$N$61,B406)*(1+in_takeup_growth)^(D406-1))</f>
        <v/>
      </c>
      <c r="H406" s="11">
        <f>MIN(in_approval_cap,in_approved_first*INDEX('Age profile'!$O$2:$O$61,B406)*(1+in_approval_growth)^(D406-1))</f>
        <v/>
      </c>
      <c r="I406" s="45">
        <f>G406*MIN(in_takeup_cap,INDEX('Age profile'!$O$2:$O$61,B406)*(1+in_approval_growth)^(D406-1))</f>
        <v/>
      </c>
      <c r="J406" s="40">
        <f>(J405-L405)*F406/F405</f>
        <v/>
      </c>
      <c r="K406" s="40">
        <f>(K405-M405)*F406/F405+SUMIFS(O401:O405,B401:B405,B406-1-d_T)*F406</f>
        <v/>
      </c>
      <c r="L406" s="40">
        <f>IF(B406&gt;=in_marketplace_from,J406*d_hz*G406*in_eligible*H406,0)</f>
        <v/>
      </c>
      <c r="M406" s="40">
        <f>IF(B406&gt;=in_marketplace_from,K406*d_hz*G406*in_eligible*in_approved_repeat,0)</f>
        <v/>
      </c>
      <c r="N406" s="40">
        <f>L406+M406</f>
        <v/>
      </c>
      <c r="O406" s="46">
        <f>N406/F406</f>
        <v/>
      </c>
      <c r="P406" s="40">
        <f>F406-J406-K406</f>
        <v/>
      </c>
      <c r="Q406" s="40">
        <f>IF(B406&gt;=in_marketplace_from,(J406+K406)*d_hz*G406,0)</f>
        <v/>
      </c>
      <c r="R406" s="40">
        <f>SUMIFS(N401:N453,B401:B453,"&gt;="&amp;(B406-d_T),B401:B453,"&lt;="&amp;(B406-1))</f>
        <v/>
      </c>
      <c r="S406" s="46">
        <f>(1-d_u)*S405+IF(d_T&gt;in_topup_lag,SUMIFS(O401:O453,B401:B453,B406-in_topup_lag)-d_udrop*SUMIFS(O401:O453,B401:B453,B406-d_T),0)</f>
        <v/>
      </c>
      <c r="T406" s="40">
        <f>F406*d_u*S406</f>
        <v/>
      </c>
      <c r="U406" s="9">
        <f>L406*in_ticket+M406*d_rep_ticket</f>
        <v/>
      </c>
      <c r="V406" s="9">
        <f>U406+T406*d_topup_amt</f>
        <v/>
      </c>
      <c r="W406" s="40">
        <f>N406+T406*d_topup_ratio</f>
        <v/>
      </c>
      <c r="X406" s="40">
        <f>SUMIFS(W401:W453,B401:B453,B406-in_dpd_lag)*d_cured</f>
        <v/>
      </c>
      <c r="Y406" s="40">
        <f>SUMIFS(W401:W453,B401:B453,B406-in_rec_lag)*d_recd</f>
        <v/>
      </c>
      <c r="Z406" s="40">
        <f>IF(AND(B406&gt;=in_marketplace_from,B406&lt;in_marketplace_from+in_card_months),in_card_share/in_card_months*F406*I406,IF(AND(B406&gt;=in_marketplace_from+in_card_months,B406&lt;in_marketplace_from+2*in_card_months),in_card_share*d_card_rem/in_card_months*F406*MIN(in_takeup_cap,(1+in_takeup_growth)^(D406-1))*MIN(in_takeup_cap,(1+in_approval_growth)^(D406-1)),0))</f>
        <v/>
      </c>
      <c r="AA406" s="14">
        <f>V406*in_fee*(1-in_taken_back)</f>
        <v/>
      </c>
      <c r="AB406" s="14">
        <f>SUMIFS(W401:W453,B401:B453,B406-in_dpd_lag)*d_dpd</f>
        <v/>
      </c>
      <c r="AC406" s="14">
        <f>SUMIFS(W401:W453,B401:B453,B406-in_rec_lag)*d_rec</f>
        <v/>
      </c>
      <c r="AD406" s="14">
        <f>Z406*in_card_fee</f>
        <v/>
      </c>
      <c r="AE406" s="40">
        <f>AE405*(1-IF(B405&gt;=in_marketplace_from,d_hz_hlth_small*G405,0))</f>
        <v/>
      </c>
      <c r="AF406" s="46">
        <f>AE406*IF(B406&gt;=in_marketplace_from,d_hz_hlth_small*G406,0)</f>
        <v/>
      </c>
      <c r="AG406" s="14">
        <f>F406*AF406*in_hlth_small_ticket*in_hlth_small_comm*in_ins_partner_share+F406*in_hlth_small_ticket*in_hlth_small_renew_comm*in_ins_partner_share*(in_hlth_small_renew^1*SUMIFS(AF401:AF453,B401:B453,B406-12)+in_hlth_small_renew^2*SUMIFS(AF401:AF453,B401:B453,B406-24)+in_hlth_small_renew^3*SUMIFS(AF401:AF453,B401:B453,B406-36)+in_hlth_small_renew^4*SUMIFS(AF401:AF453,B401:B453,B406-48))</f>
        <v/>
      </c>
      <c r="AH406" s="40">
        <f>AH405*(1-IF(B405&gt;=in_marketplace_from,d_hz_hlth_family*G405,0))</f>
        <v/>
      </c>
      <c r="AI406" s="46">
        <f>AH406*IF(B406&gt;=in_marketplace_from,d_hz_hlth_family*G406,0)</f>
        <v/>
      </c>
      <c r="AJ406" s="14">
        <f>F406*AI406*in_hlth_family_ticket*in_hlth_family_comm*in_ins_partner_share+F406*in_hlth_family_ticket*in_hlth_family_renew_comm*in_ins_partner_share*(in_hlth_family_renew^1*SUMIFS(AI401:AI453,B401:B453,B406-12)+in_hlth_family_renew^2*SUMIFS(AI401:AI453,B401:B453,B406-24)+in_hlth_family_renew^3*SUMIFS(AI401:AI453,B401:B453,B406-36)+in_hlth_family_renew^4*SUMIFS(AI401:AI453,B401:B453,B406-48))</f>
        <v/>
      </c>
      <c r="AK406" s="40">
        <f>AK405*(1-IF(B405&gt;=in_marketplace_from,d_hz_life_term*G405,0))</f>
        <v/>
      </c>
      <c r="AL406" s="46">
        <f>AK406*IF(B406&gt;=in_marketplace_from,d_hz_life_term*G406,0)</f>
        <v/>
      </c>
      <c r="AM406" s="14">
        <f>F406*AL406*in_life_term_ticket*in_life_term_comm*in_ins_partner_share+F406*in_life_term_ticket*in_life_term_renew_comm*in_ins_partner_share*(in_life_term_renew^1*SUMIFS(AL401:AL453,B401:B453,B406-12)+in_life_term_renew^2*SUMIFS(AL401:AL453,B401:B453,B406-24)+in_life_term_renew^3*SUMIFS(AL401:AL453,B401:B453,B406-36)+in_life_term_renew^4*SUMIFS(AL401:AL453,B401:B453,B406-48))</f>
        <v/>
      </c>
      <c r="AN406" s="40">
        <f>AN405*(1-IF(B405&gt;=in_marketplace_from,d_hz_accident*G405,0))</f>
        <v/>
      </c>
      <c r="AO406" s="46">
        <f>AN406*IF(B406&gt;=in_marketplace_from,d_hz_accident*G406,0)</f>
        <v/>
      </c>
      <c r="AP406" s="14">
        <f>F406*AO406*in_accident_ticket*in_accident_comm*in_ins_partner_share+F406*in_accident_ticket*in_accident_renew_comm*in_ins_partner_share*(in_accident_renew^1*SUMIFS(AO401:AO453,B401:B453,B406-12)+in_accident_renew^2*SUMIFS(AO401:AO453,B401:B453,B406-24)+in_accident_renew^3*SUMIFS(AO401:AO453,B401:B453,B406-36)+in_accident_renew^4*SUMIFS(AO401:AO453,B401:B453,B406-48))</f>
        <v/>
      </c>
      <c r="AQ406" s="40">
        <f>AQ405*(1-IF(B405&gt;=in_marketplace_from,d_hz_two_wheeler*G405,0))</f>
        <v/>
      </c>
      <c r="AR406" s="46">
        <f>AQ406*IF(B406&gt;=in_marketplace_from,d_hz_two_wheeler*G406,0)</f>
        <v/>
      </c>
      <c r="AS406" s="14">
        <f>F406*AR406*in_two_wheeler_ticket*in_two_wheeler_comm*in_ins_partner_share+F406*in_two_wheeler_ticket*in_two_wheeler_comm*in_ins_partner_share*(in_two_wheeler_renew^1*SUMIFS(AR401:AR453,B401:B453,B406-12)+in_two_wheeler_renew^2*SUMIFS(AR401:AR453,B401:B453,B406-24)+in_two_wheeler_renew^3*SUMIFS(AR401:AR453,B401:B453,B406-36)+in_two_wheeler_renew^4*SUMIFS(AR401:AR453,B401:B453,B406-48))</f>
        <v/>
      </c>
      <c r="AT406" s="40">
        <f>AT405*(1-IF(B405&gt;=in_marketplace_from,d_hz_device*G405,0))</f>
        <v/>
      </c>
      <c r="AU406" s="14">
        <f>F406*AT406*IF(B406&gt;=in_marketplace_from,d_hz_device*G406,0)*in_device_ticket*in_device_comm*in_ins_partner_share</f>
        <v/>
      </c>
      <c r="AV406" s="40">
        <f>AV405*(1-IF(B405&gt;=in_marketplace_from,d_hz_shop*G405,0))</f>
        <v/>
      </c>
      <c r="AW406" s="46">
        <f>AV406*IF(B406&gt;=in_marketplace_from,d_hz_shop*G406,0)</f>
        <v/>
      </c>
      <c r="AX406" s="14">
        <f>F406*AW406*in_shop_ticket*in_shop_comm*in_ins_partner_share+F406*in_shop_ticket*in_shop_renew_comm*in_ins_partner_share*(in_shop_renew^1*SUMIFS(AW401:AW453,B401:B453,B406-12)+in_shop_renew^2*SUMIFS(AW401:AW453,B401:B453,B406-24)+in_shop_renew^3*SUMIFS(AW401:AW453,B401:B453,B406-36)+in_shop_renew^4*SUMIFS(AW401:AW453,B401:B453,B406-48))</f>
        <v/>
      </c>
      <c r="AY406" s="40">
        <f>AY405*(1-IF(B405&gt;=in_marketplace_from,d_hz_sip*G405,0))</f>
        <v/>
      </c>
      <c r="AZ406" s="40">
        <f>AZ405*d_rho_sip+AY406*IF(B406&gt;=in_marketplace_from,d_hz_sip*G406,0)</f>
        <v/>
      </c>
      <c r="BA406" s="40">
        <f>d_rho_sip*(BA405+AZ405)</f>
        <v/>
      </c>
      <c r="BB406" s="14">
        <f>F406*in_sip_ticket*(BA406+0.5*AZ406)*in_sip_comm/12</f>
        <v/>
      </c>
      <c r="BC406" s="40">
        <f>BC405*(1-IF(B405&gt;=in_marketplace_from,d_hz_choti*G405,0))</f>
        <v/>
      </c>
      <c r="BD406" s="46">
        <f>BC406*IF(B406&gt;=in_marketplace_from,d_hz_choti*G406,0)</f>
        <v/>
      </c>
      <c r="BE406" s="14">
        <f>F406*SUMIFS(BD401:BD453,B401:B453,B406-in_choti_months)*in_choti_renew*in_choti_ticket</f>
        <v/>
      </c>
      <c r="BF406" s="40">
        <f>BF405*(1-IF(B405&gt;=in_marketplace_from,d_hz_nps*G405,0))</f>
        <v/>
      </c>
      <c r="BG406" s="14">
        <f>F406*BF406*IF(B406&gt;=in_marketplace_from,d_hz_nps*G406,0)*in_nps_ticket*in_nps_comm</f>
        <v/>
      </c>
      <c r="BH406" s="40">
        <f>BH405*(1-IF(B405&gt;=in_marketplace_from,d_hz_gold*G405,0))</f>
        <v/>
      </c>
      <c r="BI406" s="40">
        <f>BI405*d_rho_gold+BH406*IF(B406&gt;=in_marketplace_from,d_hz_gold*G406,0)</f>
        <v/>
      </c>
      <c r="BJ406" s="14">
        <f>F406*BI406*in_gold_ticket*in_gold_comm</f>
        <v/>
      </c>
      <c r="BK406" s="40">
        <f>BK405*(1-IF(B405&gt;=in_marketplace_from,d_hz_fd*G405,0))</f>
        <v/>
      </c>
      <c r="BL406" s="14">
        <f>F406*BK406*IF(B406&gt;=in_marketplace_from,d_hz_fd*G406,0)*in_fd_ticket*in_fd_comm</f>
        <v/>
      </c>
      <c r="BM406" s="40">
        <f>BM405*(1-IF(B405&gt;=in_marketplace_from,d_hz_recharge*G405,0))</f>
        <v/>
      </c>
      <c r="BN406" s="40">
        <f>BN405*d_rho_recharge+BM406*IF(B406&gt;=in_marketplace_from,d_hz_recharge*G406,0)</f>
        <v/>
      </c>
      <c r="BO406" s="14">
        <f>F406*BN406*in_recharge_ticket*in_recharge_comm/12</f>
        <v/>
      </c>
      <c r="BP406" s="40">
        <f>BP405*(1-IF(B405&gt;=in_marketplace_from,d_hz_bills*G405,0))</f>
        <v/>
      </c>
      <c r="BQ406" s="40">
        <f>BQ405*d_rho_bills+BP406*IF(B406&gt;=in_marketplace_from,d_hz_bills*G406,0)</f>
        <v/>
      </c>
      <c r="BR406" s="14">
        <f>F406*BQ406*in_bills_ticket*in_bills_comm/12</f>
        <v/>
      </c>
      <c r="BS406" s="40">
        <f>BS405*(1-IF(B405&gt;=in_marketplace_from,d_hz_loan_gold*G405,0))</f>
        <v/>
      </c>
      <c r="BT406" s="14">
        <f>F406*BS406*IF(B406&gt;=in_marketplace_from,d_hz_loan_gold*G406,0)*in_loan_gold_ticket*in_loan_gold_comm</f>
        <v/>
      </c>
      <c r="BU406" s="40">
        <f>BU405*(1-IF(B405&gt;=in_marketplace_from,d_hz_loan_cd*G405,0))</f>
        <v/>
      </c>
      <c r="BV406" s="14">
        <f>F406*BU406*IF(B406&gt;=in_marketplace_from,d_hz_loan_cd*G406,0)*in_loan_cd_ticket*in_loan_cd_comm</f>
        <v/>
      </c>
      <c r="BW406" s="40">
        <f>BW405*(1-IF(B405&gt;=in_marketplace_from,d_hz_loan_vehicle*G405,0))</f>
        <v/>
      </c>
      <c r="BX406" s="14">
        <f>F406*BW406*IF(B406&gt;=in_marketplace_from,d_hz_loan_vehicle*G406,0)*in_loan_vehicle_ticket*in_loan_vehicle_comm</f>
        <v/>
      </c>
      <c r="BY406" s="40">
        <f>BY405*(1-IF(B405&gt;=in_marketplace_from,d_hz_loan_home*G405,0)*BZ405)</f>
        <v/>
      </c>
      <c r="BZ406" s="11">
        <f>MIN(in_approval_cap,in_loan_home_approval*INDEX('Age profile'!$O$2:$O$61,B406)*(1+in_approval_growth)^(D406-1))</f>
        <v/>
      </c>
      <c r="CA406" s="14">
        <f>F406*BY406*IF(B406&gt;=in_marketplace_from,d_hz_loan_home*G406,0)*BZ406*in_loan_home_ticket*in_loan_home_comm</f>
        <v/>
      </c>
      <c r="CB406" s="40">
        <f>CB405*(1-IF(B405&gt;=in_marketplace_from,d_hz_loan_lap*G405,0)*CC405)</f>
        <v/>
      </c>
      <c r="CC406" s="11">
        <f>MIN(in_approval_cap,in_loan_lap_approval*INDEX('Age profile'!$O$2:$O$61,B406)*(1+in_approval_growth)^(D406-1))</f>
        <v/>
      </c>
      <c r="CD406" s="14">
        <f>F406*CB406*IF(B406&gt;=in_marketplace_from,d_hz_loan_lap*G406,0)*CC406*in_loan_lap_ticket*in_loan_lap_comm</f>
        <v/>
      </c>
      <c r="CE406" s="14">
        <f>AA406+AB406+AC406+AD406+AG406+AJ406+AM406+AP406+AS406+AU406+AX406+BB406+BE406+BG406+BJ406+BL406+BO406+BR406+BT406+BV406+BX406+CA406+CD406</f>
        <v/>
      </c>
    </row>
    <row r="407">
      <c r="A407" s="39" t="n">
        <v>8</v>
      </c>
      <c r="B407" s="39" t="n">
        <v>7</v>
      </c>
      <c r="C407" s="39">
        <f>A407+B407-1</f>
        <v/>
      </c>
      <c r="D407" s="39">
        <f>INT((C407-1)/12)+1</f>
        <v/>
      </c>
      <c r="E407" s="44">
        <f>INDEX(Monthly!$B$2:$B$61,A407)</f>
        <v/>
      </c>
      <c r="F407" s="44">
        <f>E407*INDEX('Age profile'!$B$2:$B$61,B407)</f>
        <v/>
      </c>
      <c r="G407" s="45">
        <f>MIN(in_takeup_cap,INDEX('Age profile'!$N$2:$N$61,B407)*(1+in_takeup_growth)^(D407-1))</f>
        <v/>
      </c>
      <c r="H407" s="11">
        <f>MIN(in_approval_cap,in_approved_first*INDEX('Age profile'!$O$2:$O$61,B407)*(1+in_approval_growth)^(D407-1))</f>
        <v/>
      </c>
      <c r="I407" s="45">
        <f>G407*MIN(in_takeup_cap,INDEX('Age profile'!$O$2:$O$61,B407)*(1+in_approval_growth)^(D407-1))</f>
        <v/>
      </c>
      <c r="J407" s="40">
        <f>(J406-L406)*F407/F406</f>
        <v/>
      </c>
      <c r="K407" s="40">
        <f>(K406-M406)*F407/F406+SUMIFS(O401:O406,B401:B406,B407-1-d_T)*F407</f>
        <v/>
      </c>
      <c r="L407" s="40">
        <f>IF(B407&gt;=in_marketplace_from,J407*d_hz*G407*in_eligible*H407,0)</f>
        <v/>
      </c>
      <c r="M407" s="40">
        <f>IF(B407&gt;=in_marketplace_from,K407*d_hz*G407*in_eligible*in_approved_repeat,0)</f>
        <v/>
      </c>
      <c r="N407" s="40">
        <f>L407+M407</f>
        <v/>
      </c>
      <c r="O407" s="46">
        <f>N407/F407</f>
        <v/>
      </c>
      <c r="P407" s="40">
        <f>F407-J407-K407</f>
        <v/>
      </c>
      <c r="Q407" s="40">
        <f>IF(B407&gt;=in_marketplace_from,(J407+K407)*d_hz*G407,0)</f>
        <v/>
      </c>
      <c r="R407" s="40">
        <f>SUMIFS(N401:N453,B401:B453,"&gt;="&amp;(B407-d_T),B401:B453,"&lt;="&amp;(B407-1))</f>
        <v/>
      </c>
      <c r="S407" s="46">
        <f>(1-d_u)*S406+IF(d_T&gt;in_topup_lag,SUMIFS(O401:O453,B401:B453,B407-in_topup_lag)-d_udrop*SUMIFS(O401:O453,B401:B453,B407-d_T),0)</f>
        <v/>
      </c>
      <c r="T407" s="40">
        <f>F407*d_u*S407</f>
        <v/>
      </c>
      <c r="U407" s="9">
        <f>L407*in_ticket+M407*d_rep_ticket</f>
        <v/>
      </c>
      <c r="V407" s="9">
        <f>U407+T407*d_topup_amt</f>
        <v/>
      </c>
      <c r="W407" s="40">
        <f>N407+T407*d_topup_ratio</f>
        <v/>
      </c>
      <c r="X407" s="40">
        <f>SUMIFS(W401:W453,B401:B453,B407-in_dpd_lag)*d_cured</f>
        <v/>
      </c>
      <c r="Y407" s="40">
        <f>SUMIFS(W401:W453,B401:B453,B407-in_rec_lag)*d_recd</f>
        <v/>
      </c>
      <c r="Z407" s="40">
        <f>IF(AND(B407&gt;=in_marketplace_from,B407&lt;in_marketplace_from+in_card_months),in_card_share/in_card_months*F407*I407,IF(AND(B407&gt;=in_marketplace_from+in_card_months,B407&lt;in_marketplace_from+2*in_card_months),in_card_share*d_card_rem/in_card_months*F407*MIN(in_takeup_cap,(1+in_takeup_growth)^(D407-1))*MIN(in_takeup_cap,(1+in_approval_growth)^(D407-1)),0))</f>
        <v/>
      </c>
      <c r="AA407" s="14">
        <f>V407*in_fee*(1-in_taken_back)</f>
        <v/>
      </c>
      <c r="AB407" s="14">
        <f>SUMIFS(W401:W453,B401:B453,B407-in_dpd_lag)*d_dpd</f>
        <v/>
      </c>
      <c r="AC407" s="14">
        <f>SUMIFS(W401:W453,B401:B453,B407-in_rec_lag)*d_rec</f>
        <v/>
      </c>
      <c r="AD407" s="14">
        <f>Z407*in_card_fee</f>
        <v/>
      </c>
      <c r="AE407" s="40">
        <f>AE406*(1-IF(B406&gt;=in_marketplace_from,d_hz_hlth_small*G406,0))</f>
        <v/>
      </c>
      <c r="AF407" s="46">
        <f>AE407*IF(B407&gt;=in_marketplace_from,d_hz_hlth_small*G407,0)</f>
        <v/>
      </c>
      <c r="AG407" s="14">
        <f>F407*AF407*in_hlth_small_ticket*in_hlth_small_comm*in_ins_partner_share+F407*in_hlth_small_ticket*in_hlth_small_renew_comm*in_ins_partner_share*(in_hlth_small_renew^1*SUMIFS(AF401:AF453,B401:B453,B407-12)+in_hlth_small_renew^2*SUMIFS(AF401:AF453,B401:B453,B407-24)+in_hlth_small_renew^3*SUMIFS(AF401:AF453,B401:B453,B407-36)+in_hlth_small_renew^4*SUMIFS(AF401:AF453,B401:B453,B407-48))</f>
        <v/>
      </c>
      <c r="AH407" s="40">
        <f>AH406*(1-IF(B406&gt;=in_marketplace_from,d_hz_hlth_family*G406,0))</f>
        <v/>
      </c>
      <c r="AI407" s="46">
        <f>AH407*IF(B407&gt;=in_marketplace_from,d_hz_hlth_family*G407,0)</f>
        <v/>
      </c>
      <c r="AJ407" s="14">
        <f>F407*AI407*in_hlth_family_ticket*in_hlth_family_comm*in_ins_partner_share+F407*in_hlth_family_ticket*in_hlth_family_renew_comm*in_ins_partner_share*(in_hlth_family_renew^1*SUMIFS(AI401:AI453,B401:B453,B407-12)+in_hlth_family_renew^2*SUMIFS(AI401:AI453,B401:B453,B407-24)+in_hlth_family_renew^3*SUMIFS(AI401:AI453,B401:B453,B407-36)+in_hlth_family_renew^4*SUMIFS(AI401:AI453,B401:B453,B407-48))</f>
        <v/>
      </c>
      <c r="AK407" s="40">
        <f>AK406*(1-IF(B406&gt;=in_marketplace_from,d_hz_life_term*G406,0))</f>
        <v/>
      </c>
      <c r="AL407" s="46">
        <f>AK407*IF(B407&gt;=in_marketplace_from,d_hz_life_term*G407,0)</f>
        <v/>
      </c>
      <c r="AM407" s="14">
        <f>F407*AL407*in_life_term_ticket*in_life_term_comm*in_ins_partner_share+F407*in_life_term_ticket*in_life_term_renew_comm*in_ins_partner_share*(in_life_term_renew^1*SUMIFS(AL401:AL453,B401:B453,B407-12)+in_life_term_renew^2*SUMIFS(AL401:AL453,B401:B453,B407-24)+in_life_term_renew^3*SUMIFS(AL401:AL453,B401:B453,B407-36)+in_life_term_renew^4*SUMIFS(AL401:AL453,B401:B453,B407-48))</f>
        <v/>
      </c>
      <c r="AN407" s="40">
        <f>AN406*(1-IF(B406&gt;=in_marketplace_from,d_hz_accident*G406,0))</f>
        <v/>
      </c>
      <c r="AO407" s="46">
        <f>AN407*IF(B407&gt;=in_marketplace_from,d_hz_accident*G407,0)</f>
        <v/>
      </c>
      <c r="AP407" s="14">
        <f>F407*AO407*in_accident_ticket*in_accident_comm*in_ins_partner_share+F407*in_accident_ticket*in_accident_renew_comm*in_ins_partner_share*(in_accident_renew^1*SUMIFS(AO401:AO453,B401:B453,B407-12)+in_accident_renew^2*SUMIFS(AO401:AO453,B401:B453,B407-24)+in_accident_renew^3*SUMIFS(AO401:AO453,B401:B453,B407-36)+in_accident_renew^4*SUMIFS(AO401:AO453,B401:B453,B407-48))</f>
        <v/>
      </c>
      <c r="AQ407" s="40">
        <f>AQ406*(1-IF(B406&gt;=in_marketplace_from,d_hz_two_wheeler*G406,0))</f>
        <v/>
      </c>
      <c r="AR407" s="46">
        <f>AQ407*IF(B407&gt;=in_marketplace_from,d_hz_two_wheeler*G407,0)</f>
        <v/>
      </c>
      <c r="AS407" s="14">
        <f>F407*AR407*in_two_wheeler_ticket*in_two_wheeler_comm*in_ins_partner_share+F407*in_two_wheeler_ticket*in_two_wheeler_comm*in_ins_partner_share*(in_two_wheeler_renew^1*SUMIFS(AR401:AR453,B401:B453,B407-12)+in_two_wheeler_renew^2*SUMIFS(AR401:AR453,B401:B453,B407-24)+in_two_wheeler_renew^3*SUMIFS(AR401:AR453,B401:B453,B407-36)+in_two_wheeler_renew^4*SUMIFS(AR401:AR453,B401:B453,B407-48))</f>
        <v/>
      </c>
      <c r="AT407" s="40">
        <f>AT406*(1-IF(B406&gt;=in_marketplace_from,d_hz_device*G406,0))</f>
        <v/>
      </c>
      <c r="AU407" s="14">
        <f>F407*AT407*IF(B407&gt;=in_marketplace_from,d_hz_device*G407,0)*in_device_ticket*in_device_comm*in_ins_partner_share</f>
        <v/>
      </c>
      <c r="AV407" s="40">
        <f>AV406*(1-IF(B406&gt;=in_marketplace_from,d_hz_shop*G406,0))</f>
        <v/>
      </c>
      <c r="AW407" s="46">
        <f>AV407*IF(B407&gt;=in_marketplace_from,d_hz_shop*G407,0)</f>
        <v/>
      </c>
      <c r="AX407" s="14">
        <f>F407*AW407*in_shop_ticket*in_shop_comm*in_ins_partner_share+F407*in_shop_ticket*in_shop_renew_comm*in_ins_partner_share*(in_shop_renew^1*SUMIFS(AW401:AW453,B401:B453,B407-12)+in_shop_renew^2*SUMIFS(AW401:AW453,B401:B453,B407-24)+in_shop_renew^3*SUMIFS(AW401:AW453,B401:B453,B407-36)+in_shop_renew^4*SUMIFS(AW401:AW453,B401:B453,B407-48))</f>
        <v/>
      </c>
      <c r="AY407" s="40">
        <f>AY406*(1-IF(B406&gt;=in_marketplace_from,d_hz_sip*G406,0))</f>
        <v/>
      </c>
      <c r="AZ407" s="40">
        <f>AZ406*d_rho_sip+AY407*IF(B407&gt;=in_marketplace_from,d_hz_sip*G407,0)</f>
        <v/>
      </c>
      <c r="BA407" s="40">
        <f>d_rho_sip*(BA406+AZ406)</f>
        <v/>
      </c>
      <c r="BB407" s="14">
        <f>F407*in_sip_ticket*(BA407+0.5*AZ407)*in_sip_comm/12</f>
        <v/>
      </c>
      <c r="BC407" s="40">
        <f>BC406*(1-IF(B406&gt;=in_marketplace_from,d_hz_choti*G406,0))</f>
        <v/>
      </c>
      <c r="BD407" s="46">
        <f>BC407*IF(B407&gt;=in_marketplace_from,d_hz_choti*G407,0)</f>
        <v/>
      </c>
      <c r="BE407" s="14">
        <f>F407*SUMIFS(BD401:BD453,B401:B453,B407-in_choti_months)*in_choti_renew*in_choti_ticket</f>
        <v/>
      </c>
      <c r="BF407" s="40">
        <f>BF406*(1-IF(B406&gt;=in_marketplace_from,d_hz_nps*G406,0))</f>
        <v/>
      </c>
      <c r="BG407" s="14">
        <f>F407*BF407*IF(B407&gt;=in_marketplace_from,d_hz_nps*G407,0)*in_nps_ticket*in_nps_comm</f>
        <v/>
      </c>
      <c r="BH407" s="40">
        <f>BH406*(1-IF(B406&gt;=in_marketplace_from,d_hz_gold*G406,0))</f>
        <v/>
      </c>
      <c r="BI407" s="40">
        <f>BI406*d_rho_gold+BH407*IF(B407&gt;=in_marketplace_from,d_hz_gold*G407,0)</f>
        <v/>
      </c>
      <c r="BJ407" s="14">
        <f>F407*BI407*in_gold_ticket*in_gold_comm</f>
        <v/>
      </c>
      <c r="BK407" s="40">
        <f>BK406*(1-IF(B406&gt;=in_marketplace_from,d_hz_fd*G406,0))</f>
        <v/>
      </c>
      <c r="BL407" s="14">
        <f>F407*BK407*IF(B407&gt;=in_marketplace_from,d_hz_fd*G407,0)*in_fd_ticket*in_fd_comm</f>
        <v/>
      </c>
      <c r="BM407" s="40">
        <f>BM406*(1-IF(B406&gt;=in_marketplace_from,d_hz_recharge*G406,0))</f>
        <v/>
      </c>
      <c r="BN407" s="40">
        <f>BN406*d_rho_recharge+BM407*IF(B407&gt;=in_marketplace_from,d_hz_recharge*G407,0)</f>
        <v/>
      </c>
      <c r="BO407" s="14">
        <f>F407*BN407*in_recharge_ticket*in_recharge_comm/12</f>
        <v/>
      </c>
      <c r="BP407" s="40">
        <f>BP406*(1-IF(B406&gt;=in_marketplace_from,d_hz_bills*G406,0))</f>
        <v/>
      </c>
      <c r="BQ407" s="40">
        <f>BQ406*d_rho_bills+BP407*IF(B407&gt;=in_marketplace_from,d_hz_bills*G407,0)</f>
        <v/>
      </c>
      <c r="BR407" s="14">
        <f>F407*BQ407*in_bills_ticket*in_bills_comm/12</f>
        <v/>
      </c>
      <c r="BS407" s="40">
        <f>BS406*(1-IF(B406&gt;=in_marketplace_from,d_hz_loan_gold*G406,0))</f>
        <v/>
      </c>
      <c r="BT407" s="14">
        <f>F407*BS407*IF(B407&gt;=in_marketplace_from,d_hz_loan_gold*G407,0)*in_loan_gold_ticket*in_loan_gold_comm</f>
        <v/>
      </c>
      <c r="BU407" s="40">
        <f>BU406*(1-IF(B406&gt;=in_marketplace_from,d_hz_loan_cd*G406,0))</f>
        <v/>
      </c>
      <c r="BV407" s="14">
        <f>F407*BU407*IF(B407&gt;=in_marketplace_from,d_hz_loan_cd*G407,0)*in_loan_cd_ticket*in_loan_cd_comm</f>
        <v/>
      </c>
      <c r="BW407" s="40">
        <f>BW406*(1-IF(B406&gt;=in_marketplace_from,d_hz_loan_vehicle*G406,0))</f>
        <v/>
      </c>
      <c r="BX407" s="14">
        <f>F407*BW407*IF(B407&gt;=in_marketplace_from,d_hz_loan_vehicle*G407,0)*in_loan_vehicle_ticket*in_loan_vehicle_comm</f>
        <v/>
      </c>
      <c r="BY407" s="40">
        <f>BY406*(1-IF(B406&gt;=in_marketplace_from,d_hz_loan_home*G406,0)*BZ406)</f>
        <v/>
      </c>
      <c r="BZ407" s="11">
        <f>MIN(in_approval_cap,in_loan_home_approval*INDEX('Age profile'!$O$2:$O$61,B407)*(1+in_approval_growth)^(D407-1))</f>
        <v/>
      </c>
      <c r="CA407" s="14">
        <f>F407*BY407*IF(B407&gt;=in_marketplace_from,d_hz_loan_home*G407,0)*BZ407*in_loan_home_ticket*in_loan_home_comm</f>
        <v/>
      </c>
      <c r="CB407" s="40">
        <f>CB406*(1-IF(B406&gt;=in_marketplace_from,d_hz_loan_lap*G406,0)*CC406)</f>
        <v/>
      </c>
      <c r="CC407" s="11">
        <f>MIN(in_approval_cap,in_loan_lap_approval*INDEX('Age profile'!$O$2:$O$61,B407)*(1+in_approval_growth)^(D407-1))</f>
        <v/>
      </c>
      <c r="CD407" s="14">
        <f>F407*CB407*IF(B407&gt;=in_marketplace_from,d_hz_loan_lap*G407,0)*CC407*in_loan_lap_ticket*in_loan_lap_comm</f>
        <v/>
      </c>
      <c r="CE407" s="14">
        <f>AA407+AB407+AC407+AD407+AG407+AJ407+AM407+AP407+AS407+AU407+AX407+BB407+BE407+BG407+BJ407+BL407+BO407+BR407+BT407+BV407+BX407+CA407+CD407</f>
        <v/>
      </c>
    </row>
    <row r="408">
      <c r="A408" s="39" t="n">
        <v>8</v>
      </c>
      <c r="B408" s="39" t="n">
        <v>8</v>
      </c>
      <c r="C408" s="39">
        <f>A408+B408-1</f>
        <v/>
      </c>
      <c r="D408" s="39">
        <f>INT((C408-1)/12)+1</f>
        <v/>
      </c>
      <c r="E408" s="44">
        <f>INDEX(Monthly!$B$2:$B$61,A408)</f>
        <v/>
      </c>
      <c r="F408" s="44">
        <f>E408*INDEX('Age profile'!$B$2:$B$61,B408)</f>
        <v/>
      </c>
      <c r="G408" s="45">
        <f>MIN(in_takeup_cap,INDEX('Age profile'!$N$2:$N$61,B408)*(1+in_takeup_growth)^(D408-1))</f>
        <v/>
      </c>
      <c r="H408" s="11">
        <f>MIN(in_approval_cap,in_approved_first*INDEX('Age profile'!$O$2:$O$61,B408)*(1+in_approval_growth)^(D408-1))</f>
        <v/>
      </c>
      <c r="I408" s="45">
        <f>G408*MIN(in_takeup_cap,INDEX('Age profile'!$O$2:$O$61,B408)*(1+in_approval_growth)^(D408-1))</f>
        <v/>
      </c>
      <c r="J408" s="40">
        <f>(J407-L407)*F408/F407</f>
        <v/>
      </c>
      <c r="K408" s="40">
        <f>(K407-M407)*F408/F407+SUMIFS(O401:O407,B401:B407,B408-1-d_T)*F408</f>
        <v/>
      </c>
      <c r="L408" s="40">
        <f>IF(B408&gt;=in_marketplace_from,J408*d_hz*G408*in_eligible*H408,0)</f>
        <v/>
      </c>
      <c r="M408" s="40">
        <f>IF(B408&gt;=in_marketplace_from,K408*d_hz*G408*in_eligible*in_approved_repeat,0)</f>
        <v/>
      </c>
      <c r="N408" s="40">
        <f>L408+M408</f>
        <v/>
      </c>
      <c r="O408" s="46">
        <f>N408/F408</f>
        <v/>
      </c>
      <c r="P408" s="40">
        <f>F408-J408-K408</f>
        <v/>
      </c>
      <c r="Q408" s="40">
        <f>IF(B408&gt;=in_marketplace_from,(J408+K408)*d_hz*G408,0)</f>
        <v/>
      </c>
      <c r="R408" s="40">
        <f>SUMIFS(N401:N453,B401:B453,"&gt;="&amp;(B408-d_T),B401:B453,"&lt;="&amp;(B408-1))</f>
        <v/>
      </c>
      <c r="S408" s="46">
        <f>(1-d_u)*S407+IF(d_T&gt;in_topup_lag,SUMIFS(O401:O453,B401:B453,B408-in_topup_lag)-d_udrop*SUMIFS(O401:O453,B401:B453,B408-d_T),0)</f>
        <v/>
      </c>
      <c r="T408" s="40">
        <f>F408*d_u*S408</f>
        <v/>
      </c>
      <c r="U408" s="9">
        <f>L408*in_ticket+M408*d_rep_ticket</f>
        <v/>
      </c>
      <c r="V408" s="9">
        <f>U408+T408*d_topup_amt</f>
        <v/>
      </c>
      <c r="W408" s="40">
        <f>N408+T408*d_topup_ratio</f>
        <v/>
      </c>
      <c r="X408" s="40">
        <f>SUMIFS(W401:W453,B401:B453,B408-in_dpd_lag)*d_cured</f>
        <v/>
      </c>
      <c r="Y408" s="40">
        <f>SUMIFS(W401:W453,B401:B453,B408-in_rec_lag)*d_recd</f>
        <v/>
      </c>
      <c r="Z408" s="40">
        <f>IF(AND(B408&gt;=in_marketplace_from,B408&lt;in_marketplace_from+in_card_months),in_card_share/in_card_months*F408*I408,IF(AND(B408&gt;=in_marketplace_from+in_card_months,B408&lt;in_marketplace_from+2*in_card_months),in_card_share*d_card_rem/in_card_months*F408*MIN(in_takeup_cap,(1+in_takeup_growth)^(D408-1))*MIN(in_takeup_cap,(1+in_approval_growth)^(D408-1)),0))</f>
        <v/>
      </c>
      <c r="AA408" s="14">
        <f>V408*in_fee*(1-in_taken_back)</f>
        <v/>
      </c>
      <c r="AB408" s="14">
        <f>SUMIFS(W401:W453,B401:B453,B408-in_dpd_lag)*d_dpd</f>
        <v/>
      </c>
      <c r="AC408" s="14">
        <f>SUMIFS(W401:W453,B401:B453,B408-in_rec_lag)*d_rec</f>
        <v/>
      </c>
      <c r="AD408" s="14">
        <f>Z408*in_card_fee</f>
        <v/>
      </c>
      <c r="AE408" s="40">
        <f>AE407*(1-IF(B407&gt;=in_marketplace_from,d_hz_hlth_small*G407,0))</f>
        <v/>
      </c>
      <c r="AF408" s="46">
        <f>AE408*IF(B408&gt;=in_marketplace_from,d_hz_hlth_small*G408,0)</f>
        <v/>
      </c>
      <c r="AG408" s="14">
        <f>F408*AF408*in_hlth_small_ticket*in_hlth_small_comm*in_ins_partner_share+F408*in_hlth_small_ticket*in_hlth_small_renew_comm*in_ins_partner_share*(in_hlth_small_renew^1*SUMIFS(AF401:AF453,B401:B453,B408-12)+in_hlth_small_renew^2*SUMIFS(AF401:AF453,B401:B453,B408-24)+in_hlth_small_renew^3*SUMIFS(AF401:AF453,B401:B453,B408-36)+in_hlth_small_renew^4*SUMIFS(AF401:AF453,B401:B453,B408-48))</f>
        <v/>
      </c>
      <c r="AH408" s="40">
        <f>AH407*(1-IF(B407&gt;=in_marketplace_from,d_hz_hlth_family*G407,0))</f>
        <v/>
      </c>
      <c r="AI408" s="46">
        <f>AH408*IF(B408&gt;=in_marketplace_from,d_hz_hlth_family*G408,0)</f>
        <v/>
      </c>
      <c r="AJ408" s="14">
        <f>F408*AI408*in_hlth_family_ticket*in_hlth_family_comm*in_ins_partner_share+F408*in_hlth_family_ticket*in_hlth_family_renew_comm*in_ins_partner_share*(in_hlth_family_renew^1*SUMIFS(AI401:AI453,B401:B453,B408-12)+in_hlth_family_renew^2*SUMIFS(AI401:AI453,B401:B453,B408-24)+in_hlth_family_renew^3*SUMIFS(AI401:AI453,B401:B453,B408-36)+in_hlth_family_renew^4*SUMIFS(AI401:AI453,B401:B453,B408-48))</f>
        <v/>
      </c>
      <c r="AK408" s="40">
        <f>AK407*(1-IF(B407&gt;=in_marketplace_from,d_hz_life_term*G407,0))</f>
        <v/>
      </c>
      <c r="AL408" s="46">
        <f>AK408*IF(B408&gt;=in_marketplace_from,d_hz_life_term*G408,0)</f>
        <v/>
      </c>
      <c r="AM408" s="14">
        <f>F408*AL408*in_life_term_ticket*in_life_term_comm*in_ins_partner_share+F408*in_life_term_ticket*in_life_term_renew_comm*in_ins_partner_share*(in_life_term_renew^1*SUMIFS(AL401:AL453,B401:B453,B408-12)+in_life_term_renew^2*SUMIFS(AL401:AL453,B401:B453,B408-24)+in_life_term_renew^3*SUMIFS(AL401:AL453,B401:B453,B408-36)+in_life_term_renew^4*SUMIFS(AL401:AL453,B401:B453,B408-48))</f>
        <v/>
      </c>
      <c r="AN408" s="40">
        <f>AN407*(1-IF(B407&gt;=in_marketplace_from,d_hz_accident*G407,0))</f>
        <v/>
      </c>
      <c r="AO408" s="46">
        <f>AN408*IF(B408&gt;=in_marketplace_from,d_hz_accident*G408,0)</f>
        <v/>
      </c>
      <c r="AP408" s="14">
        <f>F408*AO408*in_accident_ticket*in_accident_comm*in_ins_partner_share+F408*in_accident_ticket*in_accident_renew_comm*in_ins_partner_share*(in_accident_renew^1*SUMIFS(AO401:AO453,B401:B453,B408-12)+in_accident_renew^2*SUMIFS(AO401:AO453,B401:B453,B408-24)+in_accident_renew^3*SUMIFS(AO401:AO453,B401:B453,B408-36)+in_accident_renew^4*SUMIFS(AO401:AO453,B401:B453,B408-48))</f>
        <v/>
      </c>
      <c r="AQ408" s="40">
        <f>AQ407*(1-IF(B407&gt;=in_marketplace_from,d_hz_two_wheeler*G407,0))</f>
        <v/>
      </c>
      <c r="AR408" s="46">
        <f>AQ408*IF(B408&gt;=in_marketplace_from,d_hz_two_wheeler*G408,0)</f>
        <v/>
      </c>
      <c r="AS408" s="14">
        <f>F408*AR408*in_two_wheeler_ticket*in_two_wheeler_comm*in_ins_partner_share+F408*in_two_wheeler_ticket*in_two_wheeler_comm*in_ins_partner_share*(in_two_wheeler_renew^1*SUMIFS(AR401:AR453,B401:B453,B408-12)+in_two_wheeler_renew^2*SUMIFS(AR401:AR453,B401:B453,B408-24)+in_two_wheeler_renew^3*SUMIFS(AR401:AR453,B401:B453,B408-36)+in_two_wheeler_renew^4*SUMIFS(AR401:AR453,B401:B453,B408-48))</f>
        <v/>
      </c>
      <c r="AT408" s="40">
        <f>AT407*(1-IF(B407&gt;=in_marketplace_from,d_hz_device*G407,0))</f>
        <v/>
      </c>
      <c r="AU408" s="14">
        <f>F408*AT408*IF(B408&gt;=in_marketplace_from,d_hz_device*G408,0)*in_device_ticket*in_device_comm*in_ins_partner_share</f>
        <v/>
      </c>
      <c r="AV408" s="40">
        <f>AV407*(1-IF(B407&gt;=in_marketplace_from,d_hz_shop*G407,0))</f>
        <v/>
      </c>
      <c r="AW408" s="46">
        <f>AV408*IF(B408&gt;=in_marketplace_from,d_hz_shop*G408,0)</f>
        <v/>
      </c>
      <c r="AX408" s="14">
        <f>F408*AW408*in_shop_ticket*in_shop_comm*in_ins_partner_share+F408*in_shop_ticket*in_shop_renew_comm*in_ins_partner_share*(in_shop_renew^1*SUMIFS(AW401:AW453,B401:B453,B408-12)+in_shop_renew^2*SUMIFS(AW401:AW453,B401:B453,B408-24)+in_shop_renew^3*SUMIFS(AW401:AW453,B401:B453,B408-36)+in_shop_renew^4*SUMIFS(AW401:AW453,B401:B453,B408-48))</f>
        <v/>
      </c>
      <c r="AY408" s="40">
        <f>AY407*(1-IF(B407&gt;=in_marketplace_from,d_hz_sip*G407,0))</f>
        <v/>
      </c>
      <c r="AZ408" s="40">
        <f>AZ407*d_rho_sip+AY408*IF(B408&gt;=in_marketplace_from,d_hz_sip*G408,0)</f>
        <v/>
      </c>
      <c r="BA408" s="40">
        <f>d_rho_sip*(BA407+AZ407)</f>
        <v/>
      </c>
      <c r="BB408" s="14">
        <f>F408*in_sip_ticket*(BA408+0.5*AZ408)*in_sip_comm/12</f>
        <v/>
      </c>
      <c r="BC408" s="40">
        <f>BC407*(1-IF(B407&gt;=in_marketplace_from,d_hz_choti*G407,0))</f>
        <v/>
      </c>
      <c r="BD408" s="46">
        <f>BC408*IF(B408&gt;=in_marketplace_from,d_hz_choti*G408,0)</f>
        <v/>
      </c>
      <c r="BE408" s="14">
        <f>F408*SUMIFS(BD401:BD453,B401:B453,B408-in_choti_months)*in_choti_renew*in_choti_ticket</f>
        <v/>
      </c>
      <c r="BF408" s="40">
        <f>BF407*(1-IF(B407&gt;=in_marketplace_from,d_hz_nps*G407,0))</f>
        <v/>
      </c>
      <c r="BG408" s="14">
        <f>F408*BF408*IF(B408&gt;=in_marketplace_from,d_hz_nps*G408,0)*in_nps_ticket*in_nps_comm</f>
        <v/>
      </c>
      <c r="BH408" s="40">
        <f>BH407*(1-IF(B407&gt;=in_marketplace_from,d_hz_gold*G407,0))</f>
        <v/>
      </c>
      <c r="BI408" s="40">
        <f>BI407*d_rho_gold+BH408*IF(B408&gt;=in_marketplace_from,d_hz_gold*G408,0)</f>
        <v/>
      </c>
      <c r="BJ408" s="14">
        <f>F408*BI408*in_gold_ticket*in_gold_comm</f>
        <v/>
      </c>
      <c r="BK408" s="40">
        <f>BK407*(1-IF(B407&gt;=in_marketplace_from,d_hz_fd*G407,0))</f>
        <v/>
      </c>
      <c r="BL408" s="14">
        <f>F408*BK408*IF(B408&gt;=in_marketplace_from,d_hz_fd*G408,0)*in_fd_ticket*in_fd_comm</f>
        <v/>
      </c>
      <c r="BM408" s="40">
        <f>BM407*(1-IF(B407&gt;=in_marketplace_from,d_hz_recharge*G407,0))</f>
        <v/>
      </c>
      <c r="BN408" s="40">
        <f>BN407*d_rho_recharge+BM408*IF(B408&gt;=in_marketplace_from,d_hz_recharge*G408,0)</f>
        <v/>
      </c>
      <c r="BO408" s="14">
        <f>F408*BN408*in_recharge_ticket*in_recharge_comm/12</f>
        <v/>
      </c>
      <c r="BP408" s="40">
        <f>BP407*(1-IF(B407&gt;=in_marketplace_from,d_hz_bills*G407,0))</f>
        <v/>
      </c>
      <c r="BQ408" s="40">
        <f>BQ407*d_rho_bills+BP408*IF(B408&gt;=in_marketplace_from,d_hz_bills*G408,0)</f>
        <v/>
      </c>
      <c r="BR408" s="14">
        <f>F408*BQ408*in_bills_ticket*in_bills_comm/12</f>
        <v/>
      </c>
      <c r="BS408" s="40">
        <f>BS407*(1-IF(B407&gt;=in_marketplace_from,d_hz_loan_gold*G407,0))</f>
        <v/>
      </c>
      <c r="BT408" s="14">
        <f>F408*BS408*IF(B408&gt;=in_marketplace_from,d_hz_loan_gold*G408,0)*in_loan_gold_ticket*in_loan_gold_comm</f>
        <v/>
      </c>
      <c r="BU408" s="40">
        <f>BU407*(1-IF(B407&gt;=in_marketplace_from,d_hz_loan_cd*G407,0))</f>
        <v/>
      </c>
      <c r="BV408" s="14">
        <f>F408*BU408*IF(B408&gt;=in_marketplace_from,d_hz_loan_cd*G408,0)*in_loan_cd_ticket*in_loan_cd_comm</f>
        <v/>
      </c>
      <c r="BW408" s="40">
        <f>BW407*(1-IF(B407&gt;=in_marketplace_from,d_hz_loan_vehicle*G407,0))</f>
        <v/>
      </c>
      <c r="BX408" s="14">
        <f>F408*BW408*IF(B408&gt;=in_marketplace_from,d_hz_loan_vehicle*G408,0)*in_loan_vehicle_ticket*in_loan_vehicle_comm</f>
        <v/>
      </c>
      <c r="BY408" s="40">
        <f>BY407*(1-IF(B407&gt;=in_marketplace_from,d_hz_loan_home*G407,0)*BZ407)</f>
        <v/>
      </c>
      <c r="BZ408" s="11">
        <f>MIN(in_approval_cap,in_loan_home_approval*INDEX('Age profile'!$O$2:$O$61,B408)*(1+in_approval_growth)^(D408-1))</f>
        <v/>
      </c>
      <c r="CA408" s="14">
        <f>F408*BY408*IF(B408&gt;=in_marketplace_from,d_hz_loan_home*G408,0)*BZ408*in_loan_home_ticket*in_loan_home_comm</f>
        <v/>
      </c>
      <c r="CB408" s="40">
        <f>CB407*(1-IF(B407&gt;=in_marketplace_from,d_hz_loan_lap*G407,0)*CC407)</f>
        <v/>
      </c>
      <c r="CC408" s="11">
        <f>MIN(in_approval_cap,in_loan_lap_approval*INDEX('Age profile'!$O$2:$O$61,B408)*(1+in_approval_growth)^(D408-1))</f>
        <v/>
      </c>
      <c r="CD408" s="14">
        <f>F408*CB408*IF(B408&gt;=in_marketplace_from,d_hz_loan_lap*G408,0)*CC408*in_loan_lap_ticket*in_loan_lap_comm</f>
        <v/>
      </c>
      <c r="CE408" s="14">
        <f>AA408+AB408+AC408+AD408+AG408+AJ408+AM408+AP408+AS408+AU408+AX408+BB408+BE408+BG408+BJ408+BL408+BO408+BR408+BT408+BV408+BX408+CA408+CD408</f>
        <v/>
      </c>
    </row>
    <row r="409">
      <c r="A409" s="39" t="n">
        <v>8</v>
      </c>
      <c r="B409" s="39" t="n">
        <v>9</v>
      </c>
      <c r="C409" s="39">
        <f>A409+B409-1</f>
        <v/>
      </c>
      <c r="D409" s="39">
        <f>INT((C409-1)/12)+1</f>
        <v/>
      </c>
      <c r="E409" s="44">
        <f>INDEX(Monthly!$B$2:$B$61,A409)</f>
        <v/>
      </c>
      <c r="F409" s="44">
        <f>E409*INDEX('Age profile'!$B$2:$B$61,B409)</f>
        <v/>
      </c>
      <c r="G409" s="45">
        <f>MIN(in_takeup_cap,INDEX('Age profile'!$N$2:$N$61,B409)*(1+in_takeup_growth)^(D409-1))</f>
        <v/>
      </c>
      <c r="H409" s="11">
        <f>MIN(in_approval_cap,in_approved_first*INDEX('Age profile'!$O$2:$O$61,B409)*(1+in_approval_growth)^(D409-1))</f>
        <v/>
      </c>
      <c r="I409" s="45">
        <f>G409*MIN(in_takeup_cap,INDEX('Age profile'!$O$2:$O$61,B409)*(1+in_approval_growth)^(D409-1))</f>
        <v/>
      </c>
      <c r="J409" s="40">
        <f>(J408-L408)*F409/F408</f>
        <v/>
      </c>
      <c r="K409" s="40">
        <f>(K408-M408)*F409/F408+SUMIFS(O401:O408,B401:B408,B409-1-d_T)*F409</f>
        <v/>
      </c>
      <c r="L409" s="40">
        <f>IF(B409&gt;=in_marketplace_from,J409*d_hz*G409*in_eligible*H409,0)</f>
        <v/>
      </c>
      <c r="M409" s="40">
        <f>IF(B409&gt;=in_marketplace_from,K409*d_hz*G409*in_eligible*in_approved_repeat,0)</f>
        <v/>
      </c>
      <c r="N409" s="40">
        <f>L409+M409</f>
        <v/>
      </c>
      <c r="O409" s="46">
        <f>N409/F409</f>
        <v/>
      </c>
      <c r="P409" s="40">
        <f>F409-J409-K409</f>
        <v/>
      </c>
      <c r="Q409" s="40">
        <f>IF(B409&gt;=in_marketplace_from,(J409+K409)*d_hz*G409,0)</f>
        <v/>
      </c>
      <c r="R409" s="40">
        <f>SUMIFS(N401:N453,B401:B453,"&gt;="&amp;(B409-d_T),B401:B453,"&lt;="&amp;(B409-1))</f>
        <v/>
      </c>
      <c r="S409" s="46">
        <f>(1-d_u)*S408+IF(d_T&gt;in_topup_lag,SUMIFS(O401:O453,B401:B453,B409-in_topup_lag)-d_udrop*SUMIFS(O401:O453,B401:B453,B409-d_T),0)</f>
        <v/>
      </c>
      <c r="T409" s="40">
        <f>F409*d_u*S409</f>
        <v/>
      </c>
      <c r="U409" s="9">
        <f>L409*in_ticket+M409*d_rep_ticket</f>
        <v/>
      </c>
      <c r="V409" s="9">
        <f>U409+T409*d_topup_amt</f>
        <v/>
      </c>
      <c r="W409" s="40">
        <f>N409+T409*d_topup_ratio</f>
        <v/>
      </c>
      <c r="X409" s="40">
        <f>SUMIFS(W401:W453,B401:B453,B409-in_dpd_lag)*d_cured</f>
        <v/>
      </c>
      <c r="Y409" s="40">
        <f>SUMIFS(W401:W453,B401:B453,B409-in_rec_lag)*d_recd</f>
        <v/>
      </c>
      <c r="Z409" s="40">
        <f>IF(AND(B409&gt;=in_marketplace_from,B409&lt;in_marketplace_from+in_card_months),in_card_share/in_card_months*F409*I409,IF(AND(B409&gt;=in_marketplace_from+in_card_months,B409&lt;in_marketplace_from+2*in_card_months),in_card_share*d_card_rem/in_card_months*F409*MIN(in_takeup_cap,(1+in_takeup_growth)^(D409-1))*MIN(in_takeup_cap,(1+in_approval_growth)^(D409-1)),0))</f>
        <v/>
      </c>
      <c r="AA409" s="14">
        <f>V409*in_fee*(1-in_taken_back)</f>
        <v/>
      </c>
      <c r="AB409" s="14">
        <f>SUMIFS(W401:W453,B401:B453,B409-in_dpd_lag)*d_dpd</f>
        <v/>
      </c>
      <c r="AC409" s="14">
        <f>SUMIFS(W401:W453,B401:B453,B409-in_rec_lag)*d_rec</f>
        <v/>
      </c>
      <c r="AD409" s="14">
        <f>Z409*in_card_fee</f>
        <v/>
      </c>
      <c r="AE409" s="40">
        <f>AE408*(1-IF(B408&gt;=in_marketplace_from,d_hz_hlth_small*G408,0))</f>
        <v/>
      </c>
      <c r="AF409" s="46">
        <f>AE409*IF(B409&gt;=in_marketplace_from,d_hz_hlth_small*G409,0)</f>
        <v/>
      </c>
      <c r="AG409" s="14">
        <f>F409*AF409*in_hlth_small_ticket*in_hlth_small_comm*in_ins_partner_share+F409*in_hlth_small_ticket*in_hlth_small_renew_comm*in_ins_partner_share*(in_hlth_small_renew^1*SUMIFS(AF401:AF453,B401:B453,B409-12)+in_hlth_small_renew^2*SUMIFS(AF401:AF453,B401:B453,B409-24)+in_hlth_small_renew^3*SUMIFS(AF401:AF453,B401:B453,B409-36)+in_hlth_small_renew^4*SUMIFS(AF401:AF453,B401:B453,B409-48))</f>
        <v/>
      </c>
      <c r="AH409" s="40">
        <f>AH408*(1-IF(B408&gt;=in_marketplace_from,d_hz_hlth_family*G408,0))</f>
        <v/>
      </c>
      <c r="AI409" s="46">
        <f>AH409*IF(B409&gt;=in_marketplace_from,d_hz_hlth_family*G409,0)</f>
        <v/>
      </c>
      <c r="AJ409" s="14">
        <f>F409*AI409*in_hlth_family_ticket*in_hlth_family_comm*in_ins_partner_share+F409*in_hlth_family_ticket*in_hlth_family_renew_comm*in_ins_partner_share*(in_hlth_family_renew^1*SUMIFS(AI401:AI453,B401:B453,B409-12)+in_hlth_family_renew^2*SUMIFS(AI401:AI453,B401:B453,B409-24)+in_hlth_family_renew^3*SUMIFS(AI401:AI453,B401:B453,B409-36)+in_hlth_family_renew^4*SUMIFS(AI401:AI453,B401:B453,B409-48))</f>
        <v/>
      </c>
      <c r="AK409" s="40">
        <f>AK408*(1-IF(B408&gt;=in_marketplace_from,d_hz_life_term*G408,0))</f>
        <v/>
      </c>
      <c r="AL409" s="46">
        <f>AK409*IF(B409&gt;=in_marketplace_from,d_hz_life_term*G409,0)</f>
        <v/>
      </c>
      <c r="AM409" s="14">
        <f>F409*AL409*in_life_term_ticket*in_life_term_comm*in_ins_partner_share+F409*in_life_term_ticket*in_life_term_renew_comm*in_ins_partner_share*(in_life_term_renew^1*SUMIFS(AL401:AL453,B401:B453,B409-12)+in_life_term_renew^2*SUMIFS(AL401:AL453,B401:B453,B409-24)+in_life_term_renew^3*SUMIFS(AL401:AL453,B401:B453,B409-36)+in_life_term_renew^4*SUMIFS(AL401:AL453,B401:B453,B409-48))</f>
        <v/>
      </c>
      <c r="AN409" s="40">
        <f>AN408*(1-IF(B408&gt;=in_marketplace_from,d_hz_accident*G408,0))</f>
        <v/>
      </c>
      <c r="AO409" s="46">
        <f>AN409*IF(B409&gt;=in_marketplace_from,d_hz_accident*G409,0)</f>
        <v/>
      </c>
      <c r="AP409" s="14">
        <f>F409*AO409*in_accident_ticket*in_accident_comm*in_ins_partner_share+F409*in_accident_ticket*in_accident_renew_comm*in_ins_partner_share*(in_accident_renew^1*SUMIFS(AO401:AO453,B401:B453,B409-12)+in_accident_renew^2*SUMIFS(AO401:AO453,B401:B453,B409-24)+in_accident_renew^3*SUMIFS(AO401:AO453,B401:B453,B409-36)+in_accident_renew^4*SUMIFS(AO401:AO453,B401:B453,B409-48))</f>
        <v/>
      </c>
      <c r="AQ409" s="40">
        <f>AQ408*(1-IF(B408&gt;=in_marketplace_from,d_hz_two_wheeler*G408,0))</f>
        <v/>
      </c>
      <c r="AR409" s="46">
        <f>AQ409*IF(B409&gt;=in_marketplace_from,d_hz_two_wheeler*G409,0)</f>
        <v/>
      </c>
      <c r="AS409" s="14">
        <f>F409*AR409*in_two_wheeler_ticket*in_two_wheeler_comm*in_ins_partner_share+F409*in_two_wheeler_ticket*in_two_wheeler_comm*in_ins_partner_share*(in_two_wheeler_renew^1*SUMIFS(AR401:AR453,B401:B453,B409-12)+in_two_wheeler_renew^2*SUMIFS(AR401:AR453,B401:B453,B409-24)+in_two_wheeler_renew^3*SUMIFS(AR401:AR453,B401:B453,B409-36)+in_two_wheeler_renew^4*SUMIFS(AR401:AR453,B401:B453,B409-48))</f>
        <v/>
      </c>
      <c r="AT409" s="40">
        <f>AT408*(1-IF(B408&gt;=in_marketplace_from,d_hz_device*G408,0))</f>
        <v/>
      </c>
      <c r="AU409" s="14">
        <f>F409*AT409*IF(B409&gt;=in_marketplace_from,d_hz_device*G409,0)*in_device_ticket*in_device_comm*in_ins_partner_share</f>
        <v/>
      </c>
      <c r="AV409" s="40">
        <f>AV408*(1-IF(B408&gt;=in_marketplace_from,d_hz_shop*G408,0))</f>
        <v/>
      </c>
      <c r="AW409" s="46">
        <f>AV409*IF(B409&gt;=in_marketplace_from,d_hz_shop*G409,0)</f>
        <v/>
      </c>
      <c r="AX409" s="14">
        <f>F409*AW409*in_shop_ticket*in_shop_comm*in_ins_partner_share+F409*in_shop_ticket*in_shop_renew_comm*in_ins_partner_share*(in_shop_renew^1*SUMIFS(AW401:AW453,B401:B453,B409-12)+in_shop_renew^2*SUMIFS(AW401:AW453,B401:B453,B409-24)+in_shop_renew^3*SUMIFS(AW401:AW453,B401:B453,B409-36)+in_shop_renew^4*SUMIFS(AW401:AW453,B401:B453,B409-48))</f>
        <v/>
      </c>
      <c r="AY409" s="40">
        <f>AY408*(1-IF(B408&gt;=in_marketplace_from,d_hz_sip*G408,0))</f>
        <v/>
      </c>
      <c r="AZ409" s="40">
        <f>AZ408*d_rho_sip+AY409*IF(B409&gt;=in_marketplace_from,d_hz_sip*G409,0)</f>
        <v/>
      </c>
      <c r="BA409" s="40">
        <f>d_rho_sip*(BA408+AZ408)</f>
        <v/>
      </c>
      <c r="BB409" s="14">
        <f>F409*in_sip_ticket*(BA409+0.5*AZ409)*in_sip_comm/12</f>
        <v/>
      </c>
      <c r="BC409" s="40">
        <f>BC408*(1-IF(B408&gt;=in_marketplace_from,d_hz_choti*G408,0))</f>
        <v/>
      </c>
      <c r="BD409" s="46">
        <f>BC409*IF(B409&gt;=in_marketplace_from,d_hz_choti*G409,0)</f>
        <v/>
      </c>
      <c r="BE409" s="14">
        <f>F409*SUMIFS(BD401:BD453,B401:B453,B409-in_choti_months)*in_choti_renew*in_choti_ticket</f>
        <v/>
      </c>
      <c r="BF409" s="40">
        <f>BF408*(1-IF(B408&gt;=in_marketplace_from,d_hz_nps*G408,0))</f>
        <v/>
      </c>
      <c r="BG409" s="14">
        <f>F409*BF409*IF(B409&gt;=in_marketplace_from,d_hz_nps*G409,0)*in_nps_ticket*in_nps_comm</f>
        <v/>
      </c>
      <c r="BH409" s="40">
        <f>BH408*(1-IF(B408&gt;=in_marketplace_from,d_hz_gold*G408,0))</f>
        <v/>
      </c>
      <c r="BI409" s="40">
        <f>BI408*d_rho_gold+BH409*IF(B409&gt;=in_marketplace_from,d_hz_gold*G409,0)</f>
        <v/>
      </c>
      <c r="BJ409" s="14">
        <f>F409*BI409*in_gold_ticket*in_gold_comm</f>
        <v/>
      </c>
      <c r="BK409" s="40">
        <f>BK408*(1-IF(B408&gt;=in_marketplace_from,d_hz_fd*G408,0))</f>
        <v/>
      </c>
      <c r="BL409" s="14">
        <f>F409*BK409*IF(B409&gt;=in_marketplace_from,d_hz_fd*G409,0)*in_fd_ticket*in_fd_comm</f>
        <v/>
      </c>
      <c r="BM409" s="40">
        <f>BM408*(1-IF(B408&gt;=in_marketplace_from,d_hz_recharge*G408,0))</f>
        <v/>
      </c>
      <c r="BN409" s="40">
        <f>BN408*d_rho_recharge+BM409*IF(B409&gt;=in_marketplace_from,d_hz_recharge*G409,0)</f>
        <v/>
      </c>
      <c r="BO409" s="14">
        <f>F409*BN409*in_recharge_ticket*in_recharge_comm/12</f>
        <v/>
      </c>
      <c r="BP409" s="40">
        <f>BP408*(1-IF(B408&gt;=in_marketplace_from,d_hz_bills*G408,0))</f>
        <v/>
      </c>
      <c r="BQ409" s="40">
        <f>BQ408*d_rho_bills+BP409*IF(B409&gt;=in_marketplace_from,d_hz_bills*G409,0)</f>
        <v/>
      </c>
      <c r="BR409" s="14">
        <f>F409*BQ409*in_bills_ticket*in_bills_comm/12</f>
        <v/>
      </c>
      <c r="BS409" s="40">
        <f>BS408*(1-IF(B408&gt;=in_marketplace_from,d_hz_loan_gold*G408,0))</f>
        <v/>
      </c>
      <c r="BT409" s="14">
        <f>F409*BS409*IF(B409&gt;=in_marketplace_from,d_hz_loan_gold*G409,0)*in_loan_gold_ticket*in_loan_gold_comm</f>
        <v/>
      </c>
      <c r="BU409" s="40">
        <f>BU408*(1-IF(B408&gt;=in_marketplace_from,d_hz_loan_cd*G408,0))</f>
        <v/>
      </c>
      <c r="BV409" s="14">
        <f>F409*BU409*IF(B409&gt;=in_marketplace_from,d_hz_loan_cd*G409,0)*in_loan_cd_ticket*in_loan_cd_comm</f>
        <v/>
      </c>
      <c r="BW409" s="40">
        <f>BW408*(1-IF(B408&gt;=in_marketplace_from,d_hz_loan_vehicle*G408,0))</f>
        <v/>
      </c>
      <c r="BX409" s="14">
        <f>F409*BW409*IF(B409&gt;=in_marketplace_from,d_hz_loan_vehicle*G409,0)*in_loan_vehicle_ticket*in_loan_vehicle_comm</f>
        <v/>
      </c>
      <c r="BY409" s="40">
        <f>BY408*(1-IF(B408&gt;=in_marketplace_from,d_hz_loan_home*G408,0)*BZ408)</f>
        <v/>
      </c>
      <c r="BZ409" s="11">
        <f>MIN(in_approval_cap,in_loan_home_approval*INDEX('Age profile'!$O$2:$O$61,B409)*(1+in_approval_growth)^(D409-1))</f>
        <v/>
      </c>
      <c r="CA409" s="14">
        <f>F409*BY409*IF(B409&gt;=in_marketplace_from,d_hz_loan_home*G409,0)*BZ409*in_loan_home_ticket*in_loan_home_comm</f>
        <v/>
      </c>
      <c r="CB409" s="40">
        <f>CB408*(1-IF(B408&gt;=in_marketplace_from,d_hz_loan_lap*G408,0)*CC408)</f>
        <v/>
      </c>
      <c r="CC409" s="11">
        <f>MIN(in_approval_cap,in_loan_lap_approval*INDEX('Age profile'!$O$2:$O$61,B409)*(1+in_approval_growth)^(D409-1))</f>
        <v/>
      </c>
      <c r="CD409" s="14">
        <f>F409*CB409*IF(B409&gt;=in_marketplace_from,d_hz_loan_lap*G409,0)*CC409*in_loan_lap_ticket*in_loan_lap_comm</f>
        <v/>
      </c>
      <c r="CE409" s="14">
        <f>AA409+AB409+AC409+AD409+AG409+AJ409+AM409+AP409+AS409+AU409+AX409+BB409+BE409+BG409+BJ409+BL409+BO409+BR409+BT409+BV409+BX409+CA409+CD409</f>
        <v/>
      </c>
    </row>
    <row r="410">
      <c r="A410" s="39" t="n">
        <v>8</v>
      </c>
      <c r="B410" s="39" t="n">
        <v>10</v>
      </c>
      <c r="C410" s="39">
        <f>A410+B410-1</f>
        <v/>
      </c>
      <c r="D410" s="39">
        <f>INT((C410-1)/12)+1</f>
        <v/>
      </c>
      <c r="E410" s="44">
        <f>INDEX(Monthly!$B$2:$B$61,A410)</f>
        <v/>
      </c>
      <c r="F410" s="44">
        <f>E410*INDEX('Age profile'!$B$2:$B$61,B410)</f>
        <v/>
      </c>
      <c r="G410" s="45">
        <f>MIN(in_takeup_cap,INDEX('Age profile'!$N$2:$N$61,B410)*(1+in_takeup_growth)^(D410-1))</f>
        <v/>
      </c>
      <c r="H410" s="11">
        <f>MIN(in_approval_cap,in_approved_first*INDEX('Age profile'!$O$2:$O$61,B410)*(1+in_approval_growth)^(D410-1))</f>
        <v/>
      </c>
      <c r="I410" s="45">
        <f>G410*MIN(in_takeup_cap,INDEX('Age profile'!$O$2:$O$61,B410)*(1+in_approval_growth)^(D410-1))</f>
        <v/>
      </c>
      <c r="J410" s="40">
        <f>(J409-L409)*F410/F409</f>
        <v/>
      </c>
      <c r="K410" s="40">
        <f>(K409-M409)*F410/F409+SUMIFS(O401:O409,B401:B409,B410-1-d_T)*F410</f>
        <v/>
      </c>
      <c r="L410" s="40">
        <f>IF(B410&gt;=in_marketplace_from,J410*d_hz*G410*in_eligible*H410,0)</f>
        <v/>
      </c>
      <c r="M410" s="40">
        <f>IF(B410&gt;=in_marketplace_from,K410*d_hz*G410*in_eligible*in_approved_repeat,0)</f>
        <v/>
      </c>
      <c r="N410" s="40">
        <f>L410+M410</f>
        <v/>
      </c>
      <c r="O410" s="46">
        <f>N410/F410</f>
        <v/>
      </c>
      <c r="P410" s="40">
        <f>F410-J410-K410</f>
        <v/>
      </c>
      <c r="Q410" s="40">
        <f>IF(B410&gt;=in_marketplace_from,(J410+K410)*d_hz*G410,0)</f>
        <v/>
      </c>
      <c r="R410" s="40">
        <f>SUMIFS(N401:N453,B401:B453,"&gt;="&amp;(B410-d_T),B401:B453,"&lt;="&amp;(B410-1))</f>
        <v/>
      </c>
      <c r="S410" s="46">
        <f>(1-d_u)*S409+IF(d_T&gt;in_topup_lag,SUMIFS(O401:O453,B401:B453,B410-in_topup_lag)-d_udrop*SUMIFS(O401:O453,B401:B453,B410-d_T),0)</f>
        <v/>
      </c>
      <c r="T410" s="40">
        <f>F410*d_u*S410</f>
        <v/>
      </c>
      <c r="U410" s="9">
        <f>L410*in_ticket+M410*d_rep_ticket</f>
        <v/>
      </c>
      <c r="V410" s="9">
        <f>U410+T410*d_topup_amt</f>
        <v/>
      </c>
      <c r="W410" s="40">
        <f>N410+T410*d_topup_ratio</f>
        <v/>
      </c>
      <c r="X410" s="40">
        <f>SUMIFS(W401:W453,B401:B453,B410-in_dpd_lag)*d_cured</f>
        <v/>
      </c>
      <c r="Y410" s="40">
        <f>SUMIFS(W401:W453,B401:B453,B410-in_rec_lag)*d_recd</f>
        <v/>
      </c>
      <c r="Z410" s="40">
        <f>IF(AND(B410&gt;=in_marketplace_from,B410&lt;in_marketplace_from+in_card_months),in_card_share/in_card_months*F410*I410,IF(AND(B410&gt;=in_marketplace_from+in_card_months,B410&lt;in_marketplace_from+2*in_card_months),in_card_share*d_card_rem/in_card_months*F410*MIN(in_takeup_cap,(1+in_takeup_growth)^(D410-1))*MIN(in_takeup_cap,(1+in_approval_growth)^(D410-1)),0))</f>
        <v/>
      </c>
      <c r="AA410" s="14">
        <f>V410*in_fee*(1-in_taken_back)</f>
        <v/>
      </c>
      <c r="AB410" s="14">
        <f>SUMIFS(W401:W453,B401:B453,B410-in_dpd_lag)*d_dpd</f>
        <v/>
      </c>
      <c r="AC410" s="14">
        <f>SUMIFS(W401:W453,B401:B453,B410-in_rec_lag)*d_rec</f>
        <v/>
      </c>
      <c r="AD410" s="14">
        <f>Z410*in_card_fee</f>
        <v/>
      </c>
      <c r="AE410" s="40">
        <f>AE409*(1-IF(B409&gt;=in_marketplace_from,d_hz_hlth_small*G409,0))</f>
        <v/>
      </c>
      <c r="AF410" s="46">
        <f>AE410*IF(B410&gt;=in_marketplace_from,d_hz_hlth_small*G410,0)</f>
        <v/>
      </c>
      <c r="AG410" s="14">
        <f>F410*AF410*in_hlth_small_ticket*in_hlth_small_comm*in_ins_partner_share+F410*in_hlth_small_ticket*in_hlth_small_renew_comm*in_ins_partner_share*(in_hlth_small_renew^1*SUMIFS(AF401:AF453,B401:B453,B410-12)+in_hlth_small_renew^2*SUMIFS(AF401:AF453,B401:B453,B410-24)+in_hlth_small_renew^3*SUMIFS(AF401:AF453,B401:B453,B410-36)+in_hlth_small_renew^4*SUMIFS(AF401:AF453,B401:B453,B410-48))</f>
        <v/>
      </c>
      <c r="AH410" s="40">
        <f>AH409*(1-IF(B409&gt;=in_marketplace_from,d_hz_hlth_family*G409,0))</f>
        <v/>
      </c>
      <c r="AI410" s="46">
        <f>AH410*IF(B410&gt;=in_marketplace_from,d_hz_hlth_family*G410,0)</f>
        <v/>
      </c>
      <c r="AJ410" s="14">
        <f>F410*AI410*in_hlth_family_ticket*in_hlth_family_comm*in_ins_partner_share+F410*in_hlth_family_ticket*in_hlth_family_renew_comm*in_ins_partner_share*(in_hlth_family_renew^1*SUMIFS(AI401:AI453,B401:B453,B410-12)+in_hlth_family_renew^2*SUMIFS(AI401:AI453,B401:B453,B410-24)+in_hlth_family_renew^3*SUMIFS(AI401:AI453,B401:B453,B410-36)+in_hlth_family_renew^4*SUMIFS(AI401:AI453,B401:B453,B410-48))</f>
        <v/>
      </c>
      <c r="AK410" s="40">
        <f>AK409*(1-IF(B409&gt;=in_marketplace_from,d_hz_life_term*G409,0))</f>
        <v/>
      </c>
      <c r="AL410" s="46">
        <f>AK410*IF(B410&gt;=in_marketplace_from,d_hz_life_term*G410,0)</f>
        <v/>
      </c>
      <c r="AM410" s="14">
        <f>F410*AL410*in_life_term_ticket*in_life_term_comm*in_ins_partner_share+F410*in_life_term_ticket*in_life_term_renew_comm*in_ins_partner_share*(in_life_term_renew^1*SUMIFS(AL401:AL453,B401:B453,B410-12)+in_life_term_renew^2*SUMIFS(AL401:AL453,B401:B453,B410-24)+in_life_term_renew^3*SUMIFS(AL401:AL453,B401:B453,B410-36)+in_life_term_renew^4*SUMIFS(AL401:AL453,B401:B453,B410-48))</f>
        <v/>
      </c>
      <c r="AN410" s="40">
        <f>AN409*(1-IF(B409&gt;=in_marketplace_from,d_hz_accident*G409,0))</f>
        <v/>
      </c>
      <c r="AO410" s="46">
        <f>AN410*IF(B410&gt;=in_marketplace_from,d_hz_accident*G410,0)</f>
        <v/>
      </c>
      <c r="AP410" s="14">
        <f>F410*AO410*in_accident_ticket*in_accident_comm*in_ins_partner_share+F410*in_accident_ticket*in_accident_renew_comm*in_ins_partner_share*(in_accident_renew^1*SUMIFS(AO401:AO453,B401:B453,B410-12)+in_accident_renew^2*SUMIFS(AO401:AO453,B401:B453,B410-24)+in_accident_renew^3*SUMIFS(AO401:AO453,B401:B453,B410-36)+in_accident_renew^4*SUMIFS(AO401:AO453,B401:B453,B410-48))</f>
        <v/>
      </c>
      <c r="AQ410" s="40">
        <f>AQ409*(1-IF(B409&gt;=in_marketplace_from,d_hz_two_wheeler*G409,0))</f>
        <v/>
      </c>
      <c r="AR410" s="46">
        <f>AQ410*IF(B410&gt;=in_marketplace_from,d_hz_two_wheeler*G410,0)</f>
        <v/>
      </c>
      <c r="AS410" s="14">
        <f>F410*AR410*in_two_wheeler_ticket*in_two_wheeler_comm*in_ins_partner_share+F410*in_two_wheeler_ticket*in_two_wheeler_comm*in_ins_partner_share*(in_two_wheeler_renew^1*SUMIFS(AR401:AR453,B401:B453,B410-12)+in_two_wheeler_renew^2*SUMIFS(AR401:AR453,B401:B453,B410-24)+in_two_wheeler_renew^3*SUMIFS(AR401:AR453,B401:B453,B410-36)+in_two_wheeler_renew^4*SUMIFS(AR401:AR453,B401:B453,B410-48))</f>
        <v/>
      </c>
      <c r="AT410" s="40">
        <f>AT409*(1-IF(B409&gt;=in_marketplace_from,d_hz_device*G409,0))</f>
        <v/>
      </c>
      <c r="AU410" s="14">
        <f>F410*AT410*IF(B410&gt;=in_marketplace_from,d_hz_device*G410,0)*in_device_ticket*in_device_comm*in_ins_partner_share</f>
        <v/>
      </c>
      <c r="AV410" s="40">
        <f>AV409*(1-IF(B409&gt;=in_marketplace_from,d_hz_shop*G409,0))</f>
        <v/>
      </c>
      <c r="AW410" s="46">
        <f>AV410*IF(B410&gt;=in_marketplace_from,d_hz_shop*G410,0)</f>
        <v/>
      </c>
      <c r="AX410" s="14">
        <f>F410*AW410*in_shop_ticket*in_shop_comm*in_ins_partner_share+F410*in_shop_ticket*in_shop_renew_comm*in_ins_partner_share*(in_shop_renew^1*SUMIFS(AW401:AW453,B401:B453,B410-12)+in_shop_renew^2*SUMIFS(AW401:AW453,B401:B453,B410-24)+in_shop_renew^3*SUMIFS(AW401:AW453,B401:B453,B410-36)+in_shop_renew^4*SUMIFS(AW401:AW453,B401:B453,B410-48))</f>
        <v/>
      </c>
      <c r="AY410" s="40">
        <f>AY409*(1-IF(B409&gt;=in_marketplace_from,d_hz_sip*G409,0))</f>
        <v/>
      </c>
      <c r="AZ410" s="40">
        <f>AZ409*d_rho_sip+AY410*IF(B410&gt;=in_marketplace_from,d_hz_sip*G410,0)</f>
        <v/>
      </c>
      <c r="BA410" s="40">
        <f>d_rho_sip*(BA409+AZ409)</f>
        <v/>
      </c>
      <c r="BB410" s="14">
        <f>F410*in_sip_ticket*(BA410+0.5*AZ410)*in_sip_comm/12</f>
        <v/>
      </c>
      <c r="BC410" s="40">
        <f>BC409*(1-IF(B409&gt;=in_marketplace_from,d_hz_choti*G409,0))</f>
        <v/>
      </c>
      <c r="BD410" s="46">
        <f>BC410*IF(B410&gt;=in_marketplace_from,d_hz_choti*G410,0)</f>
        <v/>
      </c>
      <c r="BE410" s="14">
        <f>F410*SUMIFS(BD401:BD453,B401:B453,B410-in_choti_months)*in_choti_renew*in_choti_ticket</f>
        <v/>
      </c>
      <c r="BF410" s="40">
        <f>BF409*(1-IF(B409&gt;=in_marketplace_from,d_hz_nps*G409,0))</f>
        <v/>
      </c>
      <c r="BG410" s="14">
        <f>F410*BF410*IF(B410&gt;=in_marketplace_from,d_hz_nps*G410,0)*in_nps_ticket*in_nps_comm</f>
        <v/>
      </c>
      <c r="BH410" s="40">
        <f>BH409*(1-IF(B409&gt;=in_marketplace_from,d_hz_gold*G409,0))</f>
        <v/>
      </c>
      <c r="BI410" s="40">
        <f>BI409*d_rho_gold+BH410*IF(B410&gt;=in_marketplace_from,d_hz_gold*G410,0)</f>
        <v/>
      </c>
      <c r="BJ410" s="14">
        <f>F410*BI410*in_gold_ticket*in_gold_comm</f>
        <v/>
      </c>
      <c r="BK410" s="40">
        <f>BK409*(1-IF(B409&gt;=in_marketplace_from,d_hz_fd*G409,0))</f>
        <v/>
      </c>
      <c r="BL410" s="14">
        <f>F410*BK410*IF(B410&gt;=in_marketplace_from,d_hz_fd*G410,0)*in_fd_ticket*in_fd_comm</f>
        <v/>
      </c>
      <c r="BM410" s="40">
        <f>BM409*(1-IF(B409&gt;=in_marketplace_from,d_hz_recharge*G409,0))</f>
        <v/>
      </c>
      <c r="BN410" s="40">
        <f>BN409*d_rho_recharge+BM410*IF(B410&gt;=in_marketplace_from,d_hz_recharge*G410,0)</f>
        <v/>
      </c>
      <c r="BO410" s="14">
        <f>F410*BN410*in_recharge_ticket*in_recharge_comm/12</f>
        <v/>
      </c>
      <c r="BP410" s="40">
        <f>BP409*(1-IF(B409&gt;=in_marketplace_from,d_hz_bills*G409,0))</f>
        <v/>
      </c>
      <c r="BQ410" s="40">
        <f>BQ409*d_rho_bills+BP410*IF(B410&gt;=in_marketplace_from,d_hz_bills*G410,0)</f>
        <v/>
      </c>
      <c r="BR410" s="14">
        <f>F410*BQ410*in_bills_ticket*in_bills_comm/12</f>
        <v/>
      </c>
      <c r="BS410" s="40">
        <f>BS409*(1-IF(B409&gt;=in_marketplace_from,d_hz_loan_gold*G409,0))</f>
        <v/>
      </c>
      <c r="BT410" s="14">
        <f>F410*BS410*IF(B410&gt;=in_marketplace_from,d_hz_loan_gold*G410,0)*in_loan_gold_ticket*in_loan_gold_comm</f>
        <v/>
      </c>
      <c r="BU410" s="40">
        <f>BU409*(1-IF(B409&gt;=in_marketplace_from,d_hz_loan_cd*G409,0))</f>
        <v/>
      </c>
      <c r="BV410" s="14">
        <f>F410*BU410*IF(B410&gt;=in_marketplace_from,d_hz_loan_cd*G410,0)*in_loan_cd_ticket*in_loan_cd_comm</f>
        <v/>
      </c>
      <c r="BW410" s="40">
        <f>BW409*(1-IF(B409&gt;=in_marketplace_from,d_hz_loan_vehicle*G409,0))</f>
        <v/>
      </c>
      <c r="BX410" s="14">
        <f>F410*BW410*IF(B410&gt;=in_marketplace_from,d_hz_loan_vehicle*G410,0)*in_loan_vehicle_ticket*in_loan_vehicle_comm</f>
        <v/>
      </c>
      <c r="BY410" s="40">
        <f>BY409*(1-IF(B409&gt;=in_marketplace_from,d_hz_loan_home*G409,0)*BZ409)</f>
        <v/>
      </c>
      <c r="BZ410" s="11">
        <f>MIN(in_approval_cap,in_loan_home_approval*INDEX('Age profile'!$O$2:$O$61,B410)*(1+in_approval_growth)^(D410-1))</f>
        <v/>
      </c>
      <c r="CA410" s="14">
        <f>F410*BY410*IF(B410&gt;=in_marketplace_from,d_hz_loan_home*G410,0)*BZ410*in_loan_home_ticket*in_loan_home_comm</f>
        <v/>
      </c>
      <c r="CB410" s="40">
        <f>CB409*(1-IF(B409&gt;=in_marketplace_from,d_hz_loan_lap*G409,0)*CC409)</f>
        <v/>
      </c>
      <c r="CC410" s="11">
        <f>MIN(in_approval_cap,in_loan_lap_approval*INDEX('Age profile'!$O$2:$O$61,B410)*(1+in_approval_growth)^(D410-1))</f>
        <v/>
      </c>
      <c r="CD410" s="14">
        <f>F410*CB410*IF(B410&gt;=in_marketplace_from,d_hz_loan_lap*G410,0)*CC410*in_loan_lap_ticket*in_loan_lap_comm</f>
        <v/>
      </c>
      <c r="CE410" s="14">
        <f>AA410+AB410+AC410+AD410+AG410+AJ410+AM410+AP410+AS410+AU410+AX410+BB410+BE410+BG410+BJ410+BL410+BO410+BR410+BT410+BV410+BX410+CA410+CD410</f>
        <v/>
      </c>
    </row>
    <row r="411">
      <c r="A411" s="39" t="n">
        <v>8</v>
      </c>
      <c r="B411" s="39" t="n">
        <v>11</v>
      </c>
      <c r="C411" s="39">
        <f>A411+B411-1</f>
        <v/>
      </c>
      <c r="D411" s="39">
        <f>INT((C411-1)/12)+1</f>
        <v/>
      </c>
      <c r="E411" s="44">
        <f>INDEX(Monthly!$B$2:$B$61,A411)</f>
        <v/>
      </c>
      <c r="F411" s="44">
        <f>E411*INDEX('Age profile'!$B$2:$B$61,B411)</f>
        <v/>
      </c>
      <c r="G411" s="45">
        <f>MIN(in_takeup_cap,INDEX('Age profile'!$N$2:$N$61,B411)*(1+in_takeup_growth)^(D411-1))</f>
        <v/>
      </c>
      <c r="H411" s="11">
        <f>MIN(in_approval_cap,in_approved_first*INDEX('Age profile'!$O$2:$O$61,B411)*(1+in_approval_growth)^(D411-1))</f>
        <v/>
      </c>
      <c r="I411" s="45">
        <f>G411*MIN(in_takeup_cap,INDEX('Age profile'!$O$2:$O$61,B411)*(1+in_approval_growth)^(D411-1))</f>
        <v/>
      </c>
      <c r="J411" s="40">
        <f>(J410-L410)*F411/F410</f>
        <v/>
      </c>
      <c r="K411" s="40">
        <f>(K410-M410)*F411/F410+SUMIFS(O401:O410,B401:B410,B411-1-d_T)*F411</f>
        <v/>
      </c>
      <c r="L411" s="40">
        <f>IF(B411&gt;=in_marketplace_from,J411*d_hz*G411*in_eligible*H411,0)</f>
        <v/>
      </c>
      <c r="M411" s="40">
        <f>IF(B411&gt;=in_marketplace_from,K411*d_hz*G411*in_eligible*in_approved_repeat,0)</f>
        <v/>
      </c>
      <c r="N411" s="40">
        <f>L411+M411</f>
        <v/>
      </c>
      <c r="O411" s="46">
        <f>N411/F411</f>
        <v/>
      </c>
      <c r="P411" s="40">
        <f>F411-J411-K411</f>
        <v/>
      </c>
      <c r="Q411" s="40">
        <f>IF(B411&gt;=in_marketplace_from,(J411+K411)*d_hz*G411,0)</f>
        <v/>
      </c>
      <c r="R411" s="40">
        <f>SUMIFS(N401:N453,B401:B453,"&gt;="&amp;(B411-d_T),B401:B453,"&lt;="&amp;(B411-1))</f>
        <v/>
      </c>
      <c r="S411" s="46">
        <f>(1-d_u)*S410+IF(d_T&gt;in_topup_lag,SUMIFS(O401:O453,B401:B453,B411-in_topup_lag)-d_udrop*SUMIFS(O401:O453,B401:B453,B411-d_T),0)</f>
        <v/>
      </c>
      <c r="T411" s="40">
        <f>F411*d_u*S411</f>
        <v/>
      </c>
      <c r="U411" s="9">
        <f>L411*in_ticket+M411*d_rep_ticket</f>
        <v/>
      </c>
      <c r="V411" s="9">
        <f>U411+T411*d_topup_amt</f>
        <v/>
      </c>
      <c r="W411" s="40">
        <f>N411+T411*d_topup_ratio</f>
        <v/>
      </c>
      <c r="X411" s="40">
        <f>SUMIFS(W401:W453,B401:B453,B411-in_dpd_lag)*d_cured</f>
        <v/>
      </c>
      <c r="Y411" s="40">
        <f>SUMIFS(W401:W453,B401:B453,B411-in_rec_lag)*d_recd</f>
        <v/>
      </c>
      <c r="Z411" s="40">
        <f>IF(AND(B411&gt;=in_marketplace_from,B411&lt;in_marketplace_from+in_card_months),in_card_share/in_card_months*F411*I411,IF(AND(B411&gt;=in_marketplace_from+in_card_months,B411&lt;in_marketplace_from+2*in_card_months),in_card_share*d_card_rem/in_card_months*F411*MIN(in_takeup_cap,(1+in_takeup_growth)^(D411-1))*MIN(in_takeup_cap,(1+in_approval_growth)^(D411-1)),0))</f>
        <v/>
      </c>
      <c r="AA411" s="14">
        <f>V411*in_fee*(1-in_taken_back)</f>
        <v/>
      </c>
      <c r="AB411" s="14">
        <f>SUMIFS(W401:W453,B401:B453,B411-in_dpd_lag)*d_dpd</f>
        <v/>
      </c>
      <c r="AC411" s="14">
        <f>SUMIFS(W401:W453,B401:B453,B411-in_rec_lag)*d_rec</f>
        <v/>
      </c>
      <c r="AD411" s="14">
        <f>Z411*in_card_fee</f>
        <v/>
      </c>
      <c r="AE411" s="40">
        <f>AE410*(1-IF(B410&gt;=in_marketplace_from,d_hz_hlth_small*G410,0))</f>
        <v/>
      </c>
      <c r="AF411" s="46">
        <f>AE411*IF(B411&gt;=in_marketplace_from,d_hz_hlth_small*G411,0)</f>
        <v/>
      </c>
      <c r="AG411" s="14">
        <f>F411*AF411*in_hlth_small_ticket*in_hlth_small_comm*in_ins_partner_share+F411*in_hlth_small_ticket*in_hlth_small_renew_comm*in_ins_partner_share*(in_hlth_small_renew^1*SUMIFS(AF401:AF453,B401:B453,B411-12)+in_hlth_small_renew^2*SUMIFS(AF401:AF453,B401:B453,B411-24)+in_hlth_small_renew^3*SUMIFS(AF401:AF453,B401:B453,B411-36)+in_hlth_small_renew^4*SUMIFS(AF401:AF453,B401:B453,B411-48))</f>
        <v/>
      </c>
      <c r="AH411" s="40">
        <f>AH410*(1-IF(B410&gt;=in_marketplace_from,d_hz_hlth_family*G410,0))</f>
        <v/>
      </c>
      <c r="AI411" s="46">
        <f>AH411*IF(B411&gt;=in_marketplace_from,d_hz_hlth_family*G411,0)</f>
        <v/>
      </c>
      <c r="AJ411" s="14">
        <f>F411*AI411*in_hlth_family_ticket*in_hlth_family_comm*in_ins_partner_share+F411*in_hlth_family_ticket*in_hlth_family_renew_comm*in_ins_partner_share*(in_hlth_family_renew^1*SUMIFS(AI401:AI453,B401:B453,B411-12)+in_hlth_family_renew^2*SUMIFS(AI401:AI453,B401:B453,B411-24)+in_hlth_family_renew^3*SUMIFS(AI401:AI453,B401:B453,B411-36)+in_hlth_family_renew^4*SUMIFS(AI401:AI453,B401:B453,B411-48))</f>
        <v/>
      </c>
      <c r="AK411" s="40">
        <f>AK410*(1-IF(B410&gt;=in_marketplace_from,d_hz_life_term*G410,0))</f>
        <v/>
      </c>
      <c r="AL411" s="46">
        <f>AK411*IF(B411&gt;=in_marketplace_from,d_hz_life_term*G411,0)</f>
        <v/>
      </c>
      <c r="AM411" s="14">
        <f>F411*AL411*in_life_term_ticket*in_life_term_comm*in_ins_partner_share+F411*in_life_term_ticket*in_life_term_renew_comm*in_ins_partner_share*(in_life_term_renew^1*SUMIFS(AL401:AL453,B401:B453,B411-12)+in_life_term_renew^2*SUMIFS(AL401:AL453,B401:B453,B411-24)+in_life_term_renew^3*SUMIFS(AL401:AL453,B401:B453,B411-36)+in_life_term_renew^4*SUMIFS(AL401:AL453,B401:B453,B411-48))</f>
        <v/>
      </c>
      <c r="AN411" s="40">
        <f>AN410*(1-IF(B410&gt;=in_marketplace_from,d_hz_accident*G410,0))</f>
        <v/>
      </c>
      <c r="AO411" s="46">
        <f>AN411*IF(B411&gt;=in_marketplace_from,d_hz_accident*G411,0)</f>
        <v/>
      </c>
      <c r="AP411" s="14">
        <f>F411*AO411*in_accident_ticket*in_accident_comm*in_ins_partner_share+F411*in_accident_ticket*in_accident_renew_comm*in_ins_partner_share*(in_accident_renew^1*SUMIFS(AO401:AO453,B401:B453,B411-12)+in_accident_renew^2*SUMIFS(AO401:AO453,B401:B453,B411-24)+in_accident_renew^3*SUMIFS(AO401:AO453,B401:B453,B411-36)+in_accident_renew^4*SUMIFS(AO401:AO453,B401:B453,B411-48))</f>
        <v/>
      </c>
      <c r="AQ411" s="40">
        <f>AQ410*(1-IF(B410&gt;=in_marketplace_from,d_hz_two_wheeler*G410,0))</f>
        <v/>
      </c>
      <c r="AR411" s="46">
        <f>AQ411*IF(B411&gt;=in_marketplace_from,d_hz_two_wheeler*G411,0)</f>
        <v/>
      </c>
      <c r="AS411" s="14">
        <f>F411*AR411*in_two_wheeler_ticket*in_two_wheeler_comm*in_ins_partner_share+F411*in_two_wheeler_ticket*in_two_wheeler_comm*in_ins_partner_share*(in_two_wheeler_renew^1*SUMIFS(AR401:AR453,B401:B453,B411-12)+in_two_wheeler_renew^2*SUMIFS(AR401:AR453,B401:B453,B411-24)+in_two_wheeler_renew^3*SUMIFS(AR401:AR453,B401:B453,B411-36)+in_two_wheeler_renew^4*SUMIFS(AR401:AR453,B401:B453,B411-48))</f>
        <v/>
      </c>
      <c r="AT411" s="40">
        <f>AT410*(1-IF(B410&gt;=in_marketplace_from,d_hz_device*G410,0))</f>
        <v/>
      </c>
      <c r="AU411" s="14">
        <f>F411*AT411*IF(B411&gt;=in_marketplace_from,d_hz_device*G411,0)*in_device_ticket*in_device_comm*in_ins_partner_share</f>
        <v/>
      </c>
      <c r="AV411" s="40">
        <f>AV410*(1-IF(B410&gt;=in_marketplace_from,d_hz_shop*G410,0))</f>
        <v/>
      </c>
      <c r="AW411" s="46">
        <f>AV411*IF(B411&gt;=in_marketplace_from,d_hz_shop*G411,0)</f>
        <v/>
      </c>
      <c r="AX411" s="14">
        <f>F411*AW411*in_shop_ticket*in_shop_comm*in_ins_partner_share+F411*in_shop_ticket*in_shop_renew_comm*in_ins_partner_share*(in_shop_renew^1*SUMIFS(AW401:AW453,B401:B453,B411-12)+in_shop_renew^2*SUMIFS(AW401:AW453,B401:B453,B411-24)+in_shop_renew^3*SUMIFS(AW401:AW453,B401:B453,B411-36)+in_shop_renew^4*SUMIFS(AW401:AW453,B401:B453,B411-48))</f>
        <v/>
      </c>
      <c r="AY411" s="40">
        <f>AY410*(1-IF(B410&gt;=in_marketplace_from,d_hz_sip*G410,0))</f>
        <v/>
      </c>
      <c r="AZ411" s="40">
        <f>AZ410*d_rho_sip+AY411*IF(B411&gt;=in_marketplace_from,d_hz_sip*G411,0)</f>
        <v/>
      </c>
      <c r="BA411" s="40">
        <f>d_rho_sip*(BA410+AZ410)</f>
        <v/>
      </c>
      <c r="BB411" s="14">
        <f>F411*in_sip_ticket*(BA411+0.5*AZ411)*in_sip_comm/12</f>
        <v/>
      </c>
      <c r="BC411" s="40">
        <f>BC410*(1-IF(B410&gt;=in_marketplace_from,d_hz_choti*G410,0))</f>
        <v/>
      </c>
      <c r="BD411" s="46">
        <f>BC411*IF(B411&gt;=in_marketplace_from,d_hz_choti*G411,0)</f>
        <v/>
      </c>
      <c r="BE411" s="14">
        <f>F411*SUMIFS(BD401:BD453,B401:B453,B411-in_choti_months)*in_choti_renew*in_choti_ticket</f>
        <v/>
      </c>
      <c r="BF411" s="40">
        <f>BF410*(1-IF(B410&gt;=in_marketplace_from,d_hz_nps*G410,0))</f>
        <v/>
      </c>
      <c r="BG411" s="14">
        <f>F411*BF411*IF(B411&gt;=in_marketplace_from,d_hz_nps*G411,0)*in_nps_ticket*in_nps_comm</f>
        <v/>
      </c>
      <c r="BH411" s="40">
        <f>BH410*(1-IF(B410&gt;=in_marketplace_from,d_hz_gold*G410,0))</f>
        <v/>
      </c>
      <c r="BI411" s="40">
        <f>BI410*d_rho_gold+BH411*IF(B411&gt;=in_marketplace_from,d_hz_gold*G411,0)</f>
        <v/>
      </c>
      <c r="BJ411" s="14">
        <f>F411*BI411*in_gold_ticket*in_gold_comm</f>
        <v/>
      </c>
      <c r="BK411" s="40">
        <f>BK410*(1-IF(B410&gt;=in_marketplace_from,d_hz_fd*G410,0))</f>
        <v/>
      </c>
      <c r="BL411" s="14">
        <f>F411*BK411*IF(B411&gt;=in_marketplace_from,d_hz_fd*G411,0)*in_fd_ticket*in_fd_comm</f>
        <v/>
      </c>
      <c r="BM411" s="40">
        <f>BM410*(1-IF(B410&gt;=in_marketplace_from,d_hz_recharge*G410,0))</f>
        <v/>
      </c>
      <c r="BN411" s="40">
        <f>BN410*d_rho_recharge+BM411*IF(B411&gt;=in_marketplace_from,d_hz_recharge*G411,0)</f>
        <v/>
      </c>
      <c r="BO411" s="14">
        <f>F411*BN411*in_recharge_ticket*in_recharge_comm/12</f>
        <v/>
      </c>
      <c r="BP411" s="40">
        <f>BP410*(1-IF(B410&gt;=in_marketplace_from,d_hz_bills*G410,0))</f>
        <v/>
      </c>
      <c r="BQ411" s="40">
        <f>BQ410*d_rho_bills+BP411*IF(B411&gt;=in_marketplace_from,d_hz_bills*G411,0)</f>
        <v/>
      </c>
      <c r="BR411" s="14">
        <f>F411*BQ411*in_bills_ticket*in_bills_comm/12</f>
        <v/>
      </c>
      <c r="BS411" s="40">
        <f>BS410*(1-IF(B410&gt;=in_marketplace_from,d_hz_loan_gold*G410,0))</f>
        <v/>
      </c>
      <c r="BT411" s="14">
        <f>F411*BS411*IF(B411&gt;=in_marketplace_from,d_hz_loan_gold*G411,0)*in_loan_gold_ticket*in_loan_gold_comm</f>
        <v/>
      </c>
      <c r="BU411" s="40">
        <f>BU410*(1-IF(B410&gt;=in_marketplace_from,d_hz_loan_cd*G410,0))</f>
        <v/>
      </c>
      <c r="BV411" s="14">
        <f>F411*BU411*IF(B411&gt;=in_marketplace_from,d_hz_loan_cd*G411,0)*in_loan_cd_ticket*in_loan_cd_comm</f>
        <v/>
      </c>
      <c r="BW411" s="40">
        <f>BW410*(1-IF(B410&gt;=in_marketplace_from,d_hz_loan_vehicle*G410,0))</f>
        <v/>
      </c>
      <c r="BX411" s="14">
        <f>F411*BW411*IF(B411&gt;=in_marketplace_from,d_hz_loan_vehicle*G411,0)*in_loan_vehicle_ticket*in_loan_vehicle_comm</f>
        <v/>
      </c>
      <c r="BY411" s="40">
        <f>BY410*(1-IF(B410&gt;=in_marketplace_from,d_hz_loan_home*G410,0)*BZ410)</f>
        <v/>
      </c>
      <c r="BZ411" s="11">
        <f>MIN(in_approval_cap,in_loan_home_approval*INDEX('Age profile'!$O$2:$O$61,B411)*(1+in_approval_growth)^(D411-1))</f>
        <v/>
      </c>
      <c r="CA411" s="14">
        <f>F411*BY411*IF(B411&gt;=in_marketplace_from,d_hz_loan_home*G411,0)*BZ411*in_loan_home_ticket*in_loan_home_comm</f>
        <v/>
      </c>
      <c r="CB411" s="40">
        <f>CB410*(1-IF(B410&gt;=in_marketplace_from,d_hz_loan_lap*G410,0)*CC410)</f>
        <v/>
      </c>
      <c r="CC411" s="11">
        <f>MIN(in_approval_cap,in_loan_lap_approval*INDEX('Age profile'!$O$2:$O$61,B411)*(1+in_approval_growth)^(D411-1))</f>
        <v/>
      </c>
      <c r="CD411" s="14">
        <f>F411*CB411*IF(B411&gt;=in_marketplace_from,d_hz_loan_lap*G411,0)*CC411*in_loan_lap_ticket*in_loan_lap_comm</f>
        <v/>
      </c>
      <c r="CE411" s="14">
        <f>AA411+AB411+AC411+AD411+AG411+AJ411+AM411+AP411+AS411+AU411+AX411+BB411+BE411+BG411+BJ411+BL411+BO411+BR411+BT411+BV411+BX411+CA411+CD411</f>
        <v/>
      </c>
    </row>
    <row r="412">
      <c r="A412" s="39" t="n">
        <v>8</v>
      </c>
      <c r="B412" s="39" t="n">
        <v>12</v>
      </c>
      <c r="C412" s="39">
        <f>A412+B412-1</f>
        <v/>
      </c>
      <c r="D412" s="39">
        <f>INT((C412-1)/12)+1</f>
        <v/>
      </c>
      <c r="E412" s="44">
        <f>INDEX(Monthly!$B$2:$B$61,A412)</f>
        <v/>
      </c>
      <c r="F412" s="44">
        <f>E412*INDEX('Age profile'!$B$2:$B$61,B412)</f>
        <v/>
      </c>
      <c r="G412" s="45">
        <f>MIN(in_takeup_cap,INDEX('Age profile'!$N$2:$N$61,B412)*(1+in_takeup_growth)^(D412-1))</f>
        <v/>
      </c>
      <c r="H412" s="11">
        <f>MIN(in_approval_cap,in_approved_first*INDEX('Age profile'!$O$2:$O$61,B412)*(1+in_approval_growth)^(D412-1))</f>
        <v/>
      </c>
      <c r="I412" s="45">
        <f>G412*MIN(in_takeup_cap,INDEX('Age profile'!$O$2:$O$61,B412)*(1+in_approval_growth)^(D412-1))</f>
        <v/>
      </c>
      <c r="J412" s="40">
        <f>(J411-L411)*F412/F411</f>
        <v/>
      </c>
      <c r="K412" s="40">
        <f>(K411-M411)*F412/F411+SUMIFS(O401:O411,B401:B411,B412-1-d_T)*F412</f>
        <v/>
      </c>
      <c r="L412" s="40">
        <f>IF(B412&gt;=in_marketplace_from,J412*d_hz*G412*in_eligible*H412,0)</f>
        <v/>
      </c>
      <c r="M412" s="40">
        <f>IF(B412&gt;=in_marketplace_from,K412*d_hz*G412*in_eligible*in_approved_repeat,0)</f>
        <v/>
      </c>
      <c r="N412" s="40">
        <f>L412+M412</f>
        <v/>
      </c>
      <c r="O412" s="46">
        <f>N412/F412</f>
        <v/>
      </c>
      <c r="P412" s="40">
        <f>F412-J412-K412</f>
        <v/>
      </c>
      <c r="Q412" s="40">
        <f>IF(B412&gt;=in_marketplace_from,(J412+K412)*d_hz*G412,0)</f>
        <v/>
      </c>
      <c r="R412" s="40">
        <f>SUMIFS(N401:N453,B401:B453,"&gt;="&amp;(B412-d_T),B401:B453,"&lt;="&amp;(B412-1))</f>
        <v/>
      </c>
      <c r="S412" s="46">
        <f>(1-d_u)*S411+IF(d_T&gt;in_topup_lag,SUMIFS(O401:O453,B401:B453,B412-in_topup_lag)-d_udrop*SUMIFS(O401:O453,B401:B453,B412-d_T),0)</f>
        <v/>
      </c>
      <c r="T412" s="40">
        <f>F412*d_u*S412</f>
        <v/>
      </c>
      <c r="U412" s="9">
        <f>L412*in_ticket+M412*d_rep_ticket</f>
        <v/>
      </c>
      <c r="V412" s="9">
        <f>U412+T412*d_topup_amt</f>
        <v/>
      </c>
      <c r="W412" s="40">
        <f>N412+T412*d_topup_ratio</f>
        <v/>
      </c>
      <c r="X412" s="40">
        <f>SUMIFS(W401:W453,B401:B453,B412-in_dpd_lag)*d_cured</f>
        <v/>
      </c>
      <c r="Y412" s="40">
        <f>SUMIFS(W401:W453,B401:B453,B412-in_rec_lag)*d_recd</f>
        <v/>
      </c>
      <c r="Z412" s="40">
        <f>IF(AND(B412&gt;=in_marketplace_from,B412&lt;in_marketplace_from+in_card_months),in_card_share/in_card_months*F412*I412,IF(AND(B412&gt;=in_marketplace_from+in_card_months,B412&lt;in_marketplace_from+2*in_card_months),in_card_share*d_card_rem/in_card_months*F412*MIN(in_takeup_cap,(1+in_takeup_growth)^(D412-1))*MIN(in_takeup_cap,(1+in_approval_growth)^(D412-1)),0))</f>
        <v/>
      </c>
      <c r="AA412" s="14">
        <f>V412*in_fee*(1-in_taken_back)</f>
        <v/>
      </c>
      <c r="AB412" s="14">
        <f>SUMIFS(W401:W453,B401:B453,B412-in_dpd_lag)*d_dpd</f>
        <v/>
      </c>
      <c r="AC412" s="14">
        <f>SUMIFS(W401:W453,B401:B453,B412-in_rec_lag)*d_rec</f>
        <v/>
      </c>
      <c r="AD412" s="14">
        <f>Z412*in_card_fee</f>
        <v/>
      </c>
      <c r="AE412" s="40">
        <f>AE411*(1-IF(B411&gt;=in_marketplace_from,d_hz_hlth_small*G411,0))</f>
        <v/>
      </c>
      <c r="AF412" s="46">
        <f>AE412*IF(B412&gt;=in_marketplace_from,d_hz_hlth_small*G412,0)</f>
        <v/>
      </c>
      <c r="AG412" s="14">
        <f>F412*AF412*in_hlth_small_ticket*in_hlth_small_comm*in_ins_partner_share+F412*in_hlth_small_ticket*in_hlth_small_renew_comm*in_ins_partner_share*(in_hlth_small_renew^1*SUMIFS(AF401:AF453,B401:B453,B412-12)+in_hlth_small_renew^2*SUMIFS(AF401:AF453,B401:B453,B412-24)+in_hlth_small_renew^3*SUMIFS(AF401:AF453,B401:B453,B412-36)+in_hlth_small_renew^4*SUMIFS(AF401:AF453,B401:B453,B412-48))</f>
        <v/>
      </c>
      <c r="AH412" s="40">
        <f>AH411*(1-IF(B411&gt;=in_marketplace_from,d_hz_hlth_family*G411,0))</f>
        <v/>
      </c>
      <c r="AI412" s="46">
        <f>AH412*IF(B412&gt;=in_marketplace_from,d_hz_hlth_family*G412,0)</f>
        <v/>
      </c>
      <c r="AJ412" s="14">
        <f>F412*AI412*in_hlth_family_ticket*in_hlth_family_comm*in_ins_partner_share+F412*in_hlth_family_ticket*in_hlth_family_renew_comm*in_ins_partner_share*(in_hlth_family_renew^1*SUMIFS(AI401:AI453,B401:B453,B412-12)+in_hlth_family_renew^2*SUMIFS(AI401:AI453,B401:B453,B412-24)+in_hlth_family_renew^3*SUMIFS(AI401:AI453,B401:B453,B412-36)+in_hlth_family_renew^4*SUMIFS(AI401:AI453,B401:B453,B412-48))</f>
        <v/>
      </c>
      <c r="AK412" s="40">
        <f>AK411*(1-IF(B411&gt;=in_marketplace_from,d_hz_life_term*G411,0))</f>
        <v/>
      </c>
      <c r="AL412" s="46">
        <f>AK412*IF(B412&gt;=in_marketplace_from,d_hz_life_term*G412,0)</f>
        <v/>
      </c>
      <c r="AM412" s="14">
        <f>F412*AL412*in_life_term_ticket*in_life_term_comm*in_ins_partner_share+F412*in_life_term_ticket*in_life_term_renew_comm*in_ins_partner_share*(in_life_term_renew^1*SUMIFS(AL401:AL453,B401:B453,B412-12)+in_life_term_renew^2*SUMIFS(AL401:AL453,B401:B453,B412-24)+in_life_term_renew^3*SUMIFS(AL401:AL453,B401:B453,B412-36)+in_life_term_renew^4*SUMIFS(AL401:AL453,B401:B453,B412-48))</f>
        <v/>
      </c>
      <c r="AN412" s="40">
        <f>AN411*(1-IF(B411&gt;=in_marketplace_from,d_hz_accident*G411,0))</f>
        <v/>
      </c>
      <c r="AO412" s="46">
        <f>AN412*IF(B412&gt;=in_marketplace_from,d_hz_accident*G412,0)</f>
        <v/>
      </c>
      <c r="AP412" s="14">
        <f>F412*AO412*in_accident_ticket*in_accident_comm*in_ins_partner_share+F412*in_accident_ticket*in_accident_renew_comm*in_ins_partner_share*(in_accident_renew^1*SUMIFS(AO401:AO453,B401:B453,B412-12)+in_accident_renew^2*SUMIFS(AO401:AO453,B401:B453,B412-24)+in_accident_renew^3*SUMIFS(AO401:AO453,B401:B453,B412-36)+in_accident_renew^4*SUMIFS(AO401:AO453,B401:B453,B412-48))</f>
        <v/>
      </c>
      <c r="AQ412" s="40">
        <f>AQ411*(1-IF(B411&gt;=in_marketplace_from,d_hz_two_wheeler*G411,0))</f>
        <v/>
      </c>
      <c r="AR412" s="46">
        <f>AQ412*IF(B412&gt;=in_marketplace_from,d_hz_two_wheeler*G412,0)</f>
        <v/>
      </c>
      <c r="AS412" s="14">
        <f>F412*AR412*in_two_wheeler_ticket*in_two_wheeler_comm*in_ins_partner_share+F412*in_two_wheeler_ticket*in_two_wheeler_comm*in_ins_partner_share*(in_two_wheeler_renew^1*SUMIFS(AR401:AR453,B401:B453,B412-12)+in_two_wheeler_renew^2*SUMIFS(AR401:AR453,B401:B453,B412-24)+in_two_wheeler_renew^3*SUMIFS(AR401:AR453,B401:B453,B412-36)+in_two_wheeler_renew^4*SUMIFS(AR401:AR453,B401:B453,B412-48))</f>
        <v/>
      </c>
      <c r="AT412" s="40">
        <f>AT411*(1-IF(B411&gt;=in_marketplace_from,d_hz_device*G411,0))</f>
        <v/>
      </c>
      <c r="AU412" s="14">
        <f>F412*AT412*IF(B412&gt;=in_marketplace_from,d_hz_device*G412,0)*in_device_ticket*in_device_comm*in_ins_partner_share</f>
        <v/>
      </c>
      <c r="AV412" s="40">
        <f>AV411*(1-IF(B411&gt;=in_marketplace_from,d_hz_shop*G411,0))</f>
        <v/>
      </c>
      <c r="AW412" s="46">
        <f>AV412*IF(B412&gt;=in_marketplace_from,d_hz_shop*G412,0)</f>
        <v/>
      </c>
      <c r="AX412" s="14">
        <f>F412*AW412*in_shop_ticket*in_shop_comm*in_ins_partner_share+F412*in_shop_ticket*in_shop_renew_comm*in_ins_partner_share*(in_shop_renew^1*SUMIFS(AW401:AW453,B401:B453,B412-12)+in_shop_renew^2*SUMIFS(AW401:AW453,B401:B453,B412-24)+in_shop_renew^3*SUMIFS(AW401:AW453,B401:B453,B412-36)+in_shop_renew^4*SUMIFS(AW401:AW453,B401:B453,B412-48))</f>
        <v/>
      </c>
      <c r="AY412" s="40">
        <f>AY411*(1-IF(B411&gt;=in_marketplace_from,d_hz_sip*G411,0))</f>
        <v/>
      </c>
      <c r="AZ412" s="40">
        <f>AZ411*d_rho_sip+AY412*IF(B412&gt;=in_marketplace_from,d_hz_sip*G412,0)</f>
        <v/>
      </c>
      <c r="BA412" s="40">
        <f>d_rho_sip*(BA411+AZ411)</f>
        <v/>
      </c>
      <c r="BB412" s="14">
        <f>F412*in_sip_ticket*(BA412+0.5*AZ412)*in_sip_comm/12</f>
        <v/>
      </c>
      <c r="BC412" s="40">
        <f>BC411*(1-IF(B411&gt;=in_marketplace_from,d_hz_choti*G411,0))</f>
        <v/>
      </c>
      <c r="BD412" s="46">
        <f>BC412*IF(B412&gt;=in_marketplace_from,d_hz_choti*G412,0)</f>
        <v/>
      </c>
      <c r="BE412" s="14">
        <f>F412*SUMIFS(BD401:BD453,B401:B453,B412-in_choti_months)*in_choti_renew*in_choti_ticket</f>
        <v/>
      </c>
      <c r="BF412" s="40">
        <f>BF411*(1-IF(B411&gt;=in_marketplace_from,d_hz_nps*G411,0))</f>
        <v/>
      </c>
      <c r="BG412" s="14">
        <f>F412*BF412*IF(B412&gt;=in_marketplace_from,d_hz_nps*G412,0)*in_nps_ticket*in_nps_comm</f>
        <v/>
      </c>
      <c r="BH412" s="40">
        <f>BH411*(1-IF(B411&gt;=in_marketplace_from,d_hz_gold*G411,0))</f>
        <v/>
      </c>
      <c r="BI412" s="40">
        <f>BI411*d_rho_gold+BH412*IF(B412&gt;=in_marketplace_from,d_hz_gold*G412,0)</f>
        <v/>
      </c>
      <c r="BJ412" s="14">
        <f>F412*BI412*in_gold_ticket*in_gold_comm</f>
        <v/>
      </c>
      <c r="BK412" s="40">
        <f>BK411*(1-IF(B411&gt;=in_marketplace_from,d_hz_fd*G411,0))</f>
        <v/>
      </c>
      <c r="BL412" s="14">
        <f>F412*BK412*IF(B412&gt;=in_marketplace_from,d_hz_fd*G412,0)*in_fd_ticket*in_fd_comm</f>
        <v/>
      </c>
      <c r="BM412" s="40">
        <f>BM411*(1-IF(B411&gt;=in_marketplace_from,d_hz_recharge*G411,0))</f>
        <v/>
      </c>
      <c r="BN412" s="40">
        <f>BN411*d_rho_recharge+BM412*IF(B412&gt;=in_marketplace_from,d_hz_recharge*G412,0)</f>
        <v/>
      </c>
      <c r="BO412" s="14">
        <f>F412*BN412*in_recharge_ticket*in_recharge_comm/12</f>
        <v/>
      </c>
      <c r="BP412" s="40">
        <f>BP411*(1-IF(B411&gt;=in_marketplace_from,d_hz_bills*G411,0))</f>
        <v/>
      </c>
      <c r="BQ412" s="40">
        <f>BQ411*d_rho_bills+BP412*IF(B412&gt;=in_marketplace_from,d_hz_bills*G412,0)</f>
        <v/>
      </c>
      <c r="BR412" s="14">
        <f>F412*BQ412*in_bills_ticket*in_bills_comm/12</f>
        <v/>
      </c>
      <c r="BS412" s="40">
        <f>BS411*(1-IF(B411&gt;=in_marketplace_from,d_hz_loan_gold*G411,0))</f>
        <v/>
      </c>
      <c r="BT412" s="14">
        <f>F412*BS412*IF(B412&gt;=in_marketplace_from,d_hz_loan_gold*G412,0)*in_loan_gold_ticket*in_loan_gold_comm</f>
        <v/>
      </c>
      <c r="BU412" s="40">
        <f>BU411*(1-IF(B411&gt;=in_marketplace_from,d_hz_loan_cd*G411,0))</f>
        <v/>
      </c>
      <c r="BV412" s="14">
        <f>F412*BU412*IF(B412&gt;=in_marketplace_from,d_hz_loan_cd*G412,0)*in_loan_cd_ticket*in_loan_cd_comm</f>
        <v/>
      </c>
      <c r="BW412" s="40">
        <f>BW411*(1-IF(B411&gt;=in_marketplace_from,d_hz_loan_vehicle*G411,0))</f>
        <v/>
      </c>
      <c r="BX412" s="14">
        <f>F412*BW412*IF(B412&gt;=in_marketplace_from,d_hz_loan_vehicle*G412,0)*in_loan_vehicle_ticket*in_loan_vehicle_comm</f>
        <v/>
      </c>
      <c r="BY412" s="40">
        <f>BY411*(1-IF(B411&gt;=in_marketplace_from,d_hz_loan_home*G411,0)*BZ411)</f>
        <v/>
      </c>
      <c r="BZ412" s="11">
        <f>MIN(in_approval_cap,in_loan_home_approval*INDEX('Age profile'!$O$2:$O$61,B412)*(1+in_approval_growth)^(D412-1))</f>
        <v/>
      </c>
      <c r="CA412" s="14">
        <f>F412*BY412*IF(B412&gt;=in_marketplace_from,d_hz_loan_home*G412,0)*BZ412*in_loan_home_ticket*in_loan_home_comm</f>
        <v/>
      </c>
      <c r="CB412" s="40">
        <f>CB411*(1-IF(B411&gt;=in_marketplace_from,d_hz_loan_lap*G411,0)*CC411)</f>
        <v/>
      </c>
      <c r="CC412" s="11">
        <f>MIN(in_approval_cap,in_loan_lap_approval*INDEX('Age profile'!$O$2:$O$61,B412)*(1+in_approval_growth)^(D412-1))</f>
        <v/>
      </c>
      <c r="CD412" s="14">
        <f>F412*CB412*IF(B412&gt;=in_marketplace_from,d_hz_loan_lap*G412,0)*CC412*in_loan_lap_ticket*in_loan_lap_comm</f>
        <v/>
      </c>
      <c r="CE412" s="14">
        <f>AA412+AB412+AC412+AD412+AG412+AJ412+AM412+AP412+AS412+AU412+AX412+BB412+BE412+BG412+BJ412+BL412+BO412+BR412+BT412+BV412+BX412+CA412+CD412</f>
        <v/>
      </c>
    </row>
    <row r="413">
      <c r="A413" s="39" t="n">
        <v>8</v>
      </c>
      <c r="B413" s="39" t="n">
        <v>13</v>
      </c>
      <c r="C413" s="39">
        <f>A413+B413-1</f>
        <v/>
      </c>
      <c r="D413" s="39">
        <f>INT((C413-1)/12)+1</f>
        <v/>
      </c>
      <c r="E413" s="44">
        <f>INDEX(Monthly!$B$2:$B$61,A413)</f>
        <v/>
      </c>
      <c r="F413" s="44">
        <f>E413*INDEX('Age profile'!$B$2:$B$61,B413)</f>
        <v/>
      </c>
      <c r="G413" s="45">
        <f>MIN(in_takeup_cap,INDEX('Age profile'!$N$2:$N$61,B413)*(1+in_takeup_growth)^(D413-1))</f>
        <v/>
      </c>
      <c r="H413" s="11">
        <f>MIN(in_approval_cap,in_approved_first*INDEX('Age profile'!$O$2:$O$61,B413)*(1+in_approval_growth)^(D413-1))</f>
        <v/>
      </c>
      <c r="I413" s="45">
        <f>G413*MIN(in_takeup_cap,INDEX('Age profile'!$O$2:$O$61,B413)*(1+in_approval_growth)^(D413-1))</f>
        <v/>
      </c>
      <c r="J413" s="40">
        <f>(J412-L412)*F413/F412</f>
        <v/>
      </c>
      <c r="K413" s="40">
        <f>(K412-M412)*F413/F412+SUMIFS(O401:O412,B401:B412,B413-1-d_T)*F413</f>
        <v/>
      </c>
      <c r="L413" s="40">
        <f>IF(B413&gt;=in_marketplace_from,J413*d_hz*G413*in_eligible*H413,0)</f>
        <v/>
      </c>
      <c r="M413" s="40">
        <f>IF(B413&gt;=in_marketplace_from,K413*d_hz*G413*in_eligible*in_approved_repeat,0)</f>
        <v/>
      </c>
      <c r="N413" s="40">
        <f>L413+M413</f>
        <v/>
      </c>
      <c r="O413" s="46">
        <f>N413/F413</f>
        <v/>
      </c>
      <c r="P413" s="40">
        <f>F413-J413-K413</f>
        <v/>
      </c>
      <c r="Q413" s="40">
        <f>IF(B413&gt;=in_marketplace_from,(J413+K413)*d_hz*G413,0)</f>
        <v/>
      </c>
      <c r="R413" s="40">
        <f>SUMIFS(N401:N453,B401:B453,"&gt;="&amp;(B413-d_T),B401:B453,"&lt;="&amp;(B413-1))</f>
        <v/>
      </c>
      <c r="S413" s="46">
        <f>(1-d_u)*S412+IF(d_T&gt;in_topup_lag,SUMIFS(O401:O453,B401:B453,B413-in_topup_lag)-d_udrop*SUMIFS(O401:O453,B401:B453,B413-d_T),0)</f>
        <v/>
      </c>
      <c r="T413" s="40">
        <f>F413*d_u*S413</f>
        <v/>
      </c>
      <c r="U413" s="9">
        <f>L413*in_ticket+M413*d_rep_ticket</f>
        <v/>
      </c>
      <c r="V413" s="9">
        <f>U413+T413*d_topup_amt</f>
        <v/>
      </c>
      <c r="W413" s="40">
        <f>N413+T413*d_topup_ratio</f>
        <v/>
      </c>
      <c r="X413" s="40">
        <f>SUMIFS(W401:W453,B401:B453,B413-in_dpd_lag)*d_cured</f>
        <v/>
      </c>
      <c r="Y413" s="40">
        <f>SUMIFS(W401:W453,B401:B453,B413-in_rec_lag)*d_recd</f>
        <v/>
      </c>
      <c r="Z413" s="40">
        <f>IF(AND(B413&gt;=in_marketplace_from,B413&lt;in_marketplace_from+in_card_months),in_card_share/in_card_months*F413*I413,IF(AND(B413&gt;=in_marketplace_from+in_card_months,B413&lt;in_marketplace_from+2*in_card_months),in_card_share*d_card_rem/in_card_months*F413*MIN(in_takeup_cap,(1+in_takeup_growth)^(D413-1))*MIN(in_takeup_cap,(1+in_approval_growth)^(D413-1)),0))</f>
        <v/>
      </c>
      <c r="AA413" s="14">
        <f>V413*in_fee*(1-in_taken_back)</f>
        <v/>
      </c>
      <c r="AB413" s="14">
        <f>SUMIFS(W401:W453,B401:B453,B413-in_dpd_lag)*d_dpd</f>
        <v/>
      </c>
      <c r="AC413" s="14">
        <f>SUMIFS(W401:W453,B401:B453,B413-in_rec_lag)*d_rec</f>
        <v/>
      </c>
      <c r="AD413" s="14">
        <f>Z413*in_card_fee</f>
        <v/>
      </c>
      <c r="AE413" s="40">
        <f>AE412*(1-IF(B412&gt;=in_marketplace_from,d_hz_hlth_small*G412,0))</f>
        <v/>
      </c>
      <c r="AF413" s="46">
        <f>AE413*IF(B413&gt;=in_marketplace_from,d_hz_hlth_small*G413,0)</f>
        <v/>
      </c>
      <c r="AG413" s="14">
        <f>F413*AF413*in_hlth_small_ticket*in_hlth_small_comm*in_ins_partner_share+F413*in_hlth_small_ticket*in_hlth_small_renew_comm*in_ins_partner_share*(in_hlth_small_renew^1*SUMIFS(AF401:AF453,B401:B453,B413-12)+in_hlth_small_renew^2*SUMIFS(AF401:AF453,B401:B453,B413-24)+in_hlth_small_renew^3*SUMIFS(AF401:AF453,B401:B453,B413-36)+in_hlth_small_renew^4*SUMIFS(AF401:AF453,B401:B453,B413-48))</f>
        <v/>
      </c>
      <c r="AH413" s="40">
        <f>AH412*(1-IF(B412&gt;=in_marketplace_from,d_hz_hlth_family*G412,0))</f>
        <v/>
      </c>
      <c r="AI413" s="46">
        <f>AH413*IF(B413&gt;=in_marketplace_from,d_hz_hlth_family*G413,0)</f>
        <v/>
      </c>
      <c r="AJ413" s="14">
        <f>F413*AI413*in_hlth_family_ticket*in_hlth_family_comm*in_ins_partner_share+F413*in_hlth_family_ticket*in_hlth_family_renew_comm*in_ins_partner_share*(in_hlth_family_renew^1*SUMIFS(AI401:AI453,B401:B453,B413-12)+in_hlth_family_renew^2*SUMIFS(AI401:AI453,B401:B453,B413-24)+in_hlth_family_renew^3*SUMIFS(AI401:AI453,B401:B453,B413-36)+in_hlth_family_renew^4*SUMIFS(AI401:AI453,B401:B453,B413-48))</f>
        <v/>
      </c>
      <c r="AK413" s="40">
        <f>AK412*(1-IF(B412&gt;=in_marketplace_from,d_hz_life_term*G412,0))</f>
        <v/>
      </c>
      <c r="AL413" s="46">
        <f>AK413*IF(B413&gt;=in_marketplace_from,d_hz_life_term*G413,0)</f>
        <v/>
      </c>
      <c r="AM413" s="14">
        <f>F413*AL413*in_life_term_ticket*in_life_term_comm*in_ins_partner_share+F413*in_life_term_ticket*in_life_term_renew_comm*in_ins_partner_share*(in_life_term_renew^1*SUMIFS(AL401:AL453,B401:B453,B413-12)+in_life_term_renew^2*SUMIFS(AL401:AL453,B401:B453,B413-24)+in_life_term_renew^3*SUMIFS(AL401:AL453,B401:B453,B413-36)+in_life_term_renew^4*SUMIFS(AL401:AL453,B401:B453,B413-48))</f>
        <v/>
      </c>
      <c r="AN413" s="40">
        <f>AN412*(1-IF(B412&gt;=in_marketplace_from,d_hz_accident*G412,0))</f>
        <v/>
      </c>
      <c r="AO413" s="46">
        <f>AN413*IF(B413&gt;=in_marketplace_from,d_hz_accident*G413,0)</f>
        <v/>
      </c>
      <c r="AP413" s="14">
        <f>F413*AO413*in_accident_ticket*in_accident_comm*in_ins_partner_share+F413*in_accident_ticket*in_accident_renew_comm*in_ins_partner_share*(in_accident_renew^1*SUMIFS(AO401:AO453,B401:B453,B413-12)+in_accident_renew^2*SUMIFS(AO401:AO453,B401:B453,B413-24)+in_accident_renew^3*SUMIFS(AO401:AO453,B401:B453,B413-36)+in_accident_renew^4*SUMIFS(AO401:AO453,B401:B453,B413-48))</f>
        <v/>
      </c>
      <c r="AQ413" s="40">
        <f>AQ412*(1-IF(B412&gt;=in_marketplace_from,d_hz_two_wheeler*G412,0))</f>
        <v/>
      </c>
      <c r="AR413" s="46">
        <f>AQ413*IF(B413&gt;=in_marketplace_from,d_hz_two_wheeler*G413,0)</f>
        <v/>
      </c>
      <c r="AS413" s="14">
        <f>F413*AR413*in_two_wheeler_ticket*in_two_wheeler_comm*in_ins_partner_share+F413*in_two_wheeler_ticket*in_two_wheeler_comm*in_ins_partner_share*(in_two_wheeler_renew^1*SUMIFS(AR401:AR453,B401:B453,B413-12)+in_two_wheeler_renew^2*SUMIFS(AR401:AR453,B401:B453,B413-24)+in_two_wheeler_renew^3*SUMIFS(AR401:AR453,B401:B453,B413-36)+in_two_wheeler_renew^4*SUMIFS(AR401:AR453,B401:B453,B413-48))</f>
        <v/>
      </c>
      <c r="AT413" s="40">
        <f>AT412*(1-IF(B412&gt;=in_marketplace_from,d_hz_device*G412,0))</f>
        <v/>
      </c>
      <c r="AU413" s="14">
        <f>F413*AT413*IF(B413&gt;=in_marketplace_from,d_hz_device*G413,0)*in_device_ticket*in_device_comm*in_ins_partner_share</f>
        <v/>
      </c>
      <c r="AV413" s="40">
        <f>AV412*(1-IF(B412&gt;=in_marketplace_from,d_hz_shop*G412,0))</f>
        <v/>
      </c>
      <c r="AW413" s="46">
        <f>AV413*IF(B413&gt;=in_marketplace_from,d_hz_shop*G413,0)</f>
        <v/>
      </c>
      <c r="AX413" s="14">
        <f>F413*AW413*in_shop_ticket*in_shop_comm*in_ins_partner_share+F413*in_shop_ticket*in_shop_renew_comm*in_ins_partner_share*(in_shop_renew^1*SUMIFS(AW401:AW453,B401:B453,B413-12)+in_shop_renew^2*SUMIFS(AW401:AW453,B401:B453,B413-24)+in_shop_renew^3*SUMIFS(AW401:AW453,B401:B453,B413-36)+in_shop_renew^4*SUMIFS(AW401:AW453,B401:B453,B413-48))</f>
        <v/>
      </c>
      <c r="AY413" s="40">
        <f>AY412*(1-IF(B412&gt;=in_marketplace_from,d_hz_sip*G412,0))</f>
        <v/>
      </c>
      <c r="AZ413" s="40">
        <f>AZ412*d_rho_sip+AY413*IF(B413&gt;=in_marketplace_from,d_hz_sip*G413,0)</f>
        <v/>
      </c>
      <c r="BA413" s="40">
        <f>d_rho_sip*(BA412+AZ412)</f>
        <v/>
      </c>
      <c r="BB413" s="14">
        <f>F413*in_sip_ticket*(BA413+0.5*AZ413)*in_sip_comm/12</f>
        <v/>
      </c>
      <c r="BC413" s="40">
        <f>BC412*(1-IF(B412&gt;=in_marketplace_from,d_hz_choti*G412,0))</f>
        <v/>
      </c>
      <c r="BD413" s="46">
        <f>BC413*IF(B413&gt;=in_marketplace_from,d_hz_choti*G413,0)</f>
        <v/>
      </c>
      <c r="BE413" s="14">
        <f>F413*SUMIFS(BD401:BD453,B401:B453,B413-in_choti_months)*in_choti_renew*in_choti_ticket</f>
        <v/>
      </c>
      <c r="BF413" s="40">
        <f>BF412*(1-IF(B412&gt;=in_marketplace_from,d_hz_nps*G412,0))</f>
        <v/>
      </c>
      <c r="BG413" s="14">
        <f>F413*BF413*IF(B413&gt;=in_marketplace_from,d_hz_nps*G413,0)*in_nps_ticket*in_nps_comm</f>
        <v/>
      </c>
      <c r="BH413" s="40">
        <f>BH412*(1-IF(B412&gt;=in_marketplace_from,d_hz_gold*G412,0))</f>
        <v/>
      </c>
      <c r="BI413" s="40">
        <f>BI412*d_rho_gold+BH413*IF(B413&gt;=in_marketplace_from,d_hz_gold*G413,0)</f>
        <v/>
      </c>
      <c r="BJ413" s="14">
        <f>F413*BI413*in_gold_ticket*in_gold_comm</f>
        <v/>
      </c>
      <c r="BK413" s="40">
        <f>BK412*(1-IF(B412&gt;=in_marketplace_from,d_hz_fd*G412,0))</f>
        <v/>
      </c>
      <c r="BL413" s="14">
        <f>F413*BK413*IF(B413&gt;=in_marketplace_from,d_hz_fd*G413,0)*in_fd_ticket*in_fd_comm</f>
        <v/>
      </c>
      <c r="BM413" s="40">
        <f>BM412*(1-IF(B412&gt;=in_marketplace_from,d_hz_recharge*G412,0))</f>
        <v/>
      </c>
      <c r="BN413" s="40">
        <f>BN412*d_rho_recharge+BM413*IF(B413&gt;=in_marketplace_from,d_hz_recharge*G413,0)</f>
        <v/>
      </c>
      <c r="BO413" s="14">
        <f>F413*BN413*in_recharge_ticket*in_recharge_comm/12</f>
        <v/>
      </c>
      <c r="BP413" s="40">
        <f>BP412*(1-IF(B412&gt;=in_marketplace_from,d_hz_bills*G412,0))</f>
        <v/>
      </c>
      <c r="BQ413" s="40">
        <f>BQ412*d_rho_bills+BP413*IF(B413&gt;=in_marketplace_from,d_hz_bills*G413,0)</f>
        <v/>
      </c>
      <c r="BR413" s="14">
        <f>F413*BQ413*in_bills_ticket*in_bills_comm/12</f>
        <v/>
      </c>
      <c r="BS413" s="40">
        <f>BS412*(1-IF(B412&gt;=in_marketplace_from,d_hz_loan_gold*G412,0))</f>
        <v/>
      </c>
      <c r="BT413" s="14">
        <f>F413*BS413*IF(B413&gt;=in_marketplace_from,d_hz_loan_gold*G413,0)*in_loan_gold_ticket*in_loan_gold_comm</f>
        <v/>
      </c>
      <c r="BU413" s="40">
        <f>BU412*(1-IF(B412&gt;=in_marketplace_from,d_hz_loan_cd*G412,0))</f>
        <v/>
      </c>
      <c r="BV413" s="14">
        <f>F413*BU413*IF(B413&gt;=in_marketplace_from,d_hz_loan_cd*G413,0)*in_loan_cd_ticket*in_loan_cd_comm</f>
        <v/>
      </c>
      <c r="BW413" s="40">
        <f>BW412*(1-IF(B412&gt;=in_marketplace_from,d_hz_loan_vehicle*G412,0))</f>
        <v/>
      </c>
      <c r="BX413" s="14">
        <f>F413*BW413*IF(B413&gt;=in_marketplace_from,d_hz_loan_vehicle*G413,0)*in_loan_vehicle_ticket*in_loan_vehicle_comm</f>
        <v/>
      </c>
      <c r="BY413" s="40">
        <f>BY412*(1-IF(B412&gt;=in_marketplace_from,d_hz_loan_home*G412,0)*BZ412)</f>
        <v/>
      </c>
      <c r="BZ413" s="11">
        <f>MIN(in_approval_cap,in_loan_home_approval*INDEX('Age profile'!$O$2:$O$61,B413)*(1+in_approval_growth)^(D413-1))</f>
        <v/>
      </c>
      <c r="CA413" s="14">
        <f>F413*BY413*IF(B413&gt;=in_marketplace_from,d_hz_loan_home*G413,0)*BZ413*in_loan_home_ticket*in_loan_home_comm</f>
        <v/>
      </c>
      <c r="CB413" s="40">
        <f>CB412*(1-IF(B412&gt;=in_marketplace_from,d_hz_loan_lap*G412,0)*CC412)</f>
        <v/>
      </c>
      <c r="CC413" s="11">
        <f>MIN(in_approval_cap,in_loan_lap_approval*INDEX('Age profile'!$O$2:$O$61,B413)*(1+in_approval_growth)^(D413-1))</f>
        <v/>
      </c>
      <c r="CD413" s="14">
        <f>F413*CB413*IF(B413&gt;=in_marketplace_from,d_hz_loan_lap*G413,0)*CC413*in_loan_lap_ticket*in_loan_lap_comm</f>
        <v/>
      </c>
      <c r="CE413" s="14">
        <f>AA413+AB413+AC413+AD413+AG413+AJ413+AM413+AP413+AS413+AU413+AX413+BB413+BE413+BG413+BJ413+BL413+BO413+BR413+BT413+BV413+BX413+CA413+CD413</f>
        <v/>
      </c>
    </row>
    <row r="414">
      <c r="A414" s="39" t="n">
        <v>8</v>
      </c>
      <c r="B414" s="39" t="n">
        <v>14</v>
      </c>
      <c r="C414" s="39">
        <f>A414+B414-1</f>
        <v/>
      </c>
      <c r="D414" s="39">
        <f>INT((C414-1)/12)+1</f>
        <v/>
      </c>
      <c r="E414" s="44">
        <f>INDEX(Monthly!$B$2:$B$61,A414)</f>
        <v/>
      </c>
      <c r="F414" s="44">
        <f>E414*INDEX('Age profile'!$B$2:$B$61,B414)</f>
        <v/>
      </c>
      <c r="G414" s="45">
        <f>MIN(in_takeup_cap,INDEX('Age profile'!$N$2:$N$61,B414)*(1+in_takeup_growth)^(D414-1))</f>
        <v/>
      </c>
      <c r="H414" s="11">
        <f>MIN(in_approval_cap,in_approved_first*INDEX('Age profile'!$O$2:$O$61,B414)*(1+in_approval_growth)^(D414-1))</f>
        <v/>
      </c>
      <c r="I414" s="45">
        <f>G414*MIN(in_takeup_cap,INDEX('Age profile'!$O$2:$O$61,B414)*(1+in_approval_growth)^(D414-1))</f>
        <v/>
      </c>
      <c r="J414" s="40">
        <f>(J413-L413)*F414/F413</f>
        <v/>
      </c>
      <c r="K414" s="40">
        <f>(K413-M413)*F414/F413+SUMIFS(O401:O413,B401:B413,B414-1-d_T)*F414</f>
        <v/>
      </c>
      <c r="L414" s="40">
        <f>IF(B414&gt;=in_marketplace_from,J414*d_hz*G414*in_eligible*H414,0)</f>
        <v/>
      </c>
      <c r="M414" s="40">
        <f>IF(B414&gt;=in_marketplace_from,K414*d_hz*G414*in_eligible*in_approved_repeat,0)</f>
        <v/>
      </c>
      <c r="N414" s="40">
        <f>L414+M414</f>
        <v/>
      </c>
      <c r="O414" s="46">
        <f>N414/F414</f>
        <v/>
      </c>
      <c r="P414" s="40">
        <f>F414-J414-K414</f>
        <v/>
      </c>
      <c r="Q414" s="40">
        <f>IF(B414&gt;=in_marketplace_from,(J414+K414)*d_hz*G414,0)</f>
        <v/>
      </c>
      <c r="R414" s="40">
        <f>SUMIFS(N401:N453,B401:B453,"&gt;="&amp;(B414-d_T),B401:B453,"&lt;="&amp;(B414-1))</f>
        <v/>
      </c>
      <c r="S414" s="46">
        <f>(1-d_u)*S413+IF(d_T&gt;in_topup_lag,SUMIFS(O401:O453,B401:B453,B414-in_topup_lag)-d_udrop*SUMIFS(O401:O453,B401:B453,B414-d_T),0)</f>
        <v/>
      </c>
      <c r="T414" s="40">
        <f>F414*d_u*S414</f>
        <v/>
      </c>
      <c r="U414" s="9">
        <f>L414*in_ticket+M414*d_rep_ticket</f>
        <v/>
      </c>
      <c r="V414" s="9">
        <f>U414+T414*d_topup_amt</f>
        <v/>
      </c>
      <c r="W414" s="40">
        <f>N414+T414*d_topup_ratio</f>
        <v/>
      </c>
      <c r="X414" s="40">
        <f>SUMIFS(W401:W453,B401:B453,B414-in_dpd_lag)*d_cured</f>
        <v/>
      </c>
      <c r="Y414" s="40">
        <f>SUMIFS(W401:W453,B401:B453,B414-in_rec_lag)*d_recd</f>
        <v/>
      </c>
      <c r="Z414" s="40">
        <f>IF(AND(B414&gt;=in_marketplace_from,B414&lt;in_marketplace_from+in_card_months),in_card_share/in_card_months*F414*I414,IF(AND(B414&gt;=in_marketplace_from+in_card_months,B414&lt;in_marketplace_from+2*in_card_months),in_card_share*d_card_rem/in_card_months*F414*MIN(in_takeup_cap,(1+in_takeup_growth)^(D414-1))*MIN(in_takeup_cap,(1+in_approval_growth)^(D414-1)),0))</f>
        <v/>
      </c>
      <c r="AA414" s="14">
        <f>V414*in_fee*(1-in_taken_back)</f>
        <v/>
      </c>
      <c r="AB414" s="14">
        <f>SUMIFS(W401:W453,B401:B453,B414-in_dpd_lag)*d_dpd</f>
        <v/>
      </c>
      <c r="AC414" s="14">
        <f>SUMIFS(W401:W453,B401:B453,B414-in_rec_lag)*d_rec</f>
        <v/>
      </c>
      <c r="AD414" s="14">
        <f>Z414*in_card_fee</f>
        <v/>
      </c>
      <c r="AE414" s="40">
        <f>AE413*(1-IF(B413&gt;=in_marketplace_from,d_hz_hlth_small*G413,0))</f>
        <v/>
      </c>
      <c r="AF414" s="46">
        <f>AE414*IF(B414&gt;=in_marketplace_from,d_hz_hlth_small*G414,0)</f>
        <v/>
      </c>
      <c r="AG414" s="14">
        <f>F414*AF414*in_hlth_small_ticket*in_hlth_small_comm*in_ins_partner_share+F414*in_hlth_small_ticket*in_hlth_small_renew_comm*in_ins_partner_share*(in_hlth_small_renew^1*SUMIFS(AF401:AF453,B401:B453,B414-12)+in_hlth_small_renew^2*SUMIFS(AF401:AF453,B401:B453,B414-24)+in_hlth_small_renew^3*SUMIFS(AF401:AF453,B401:B453,B414-36)+in_hlth_small_renew^4*SUMIFS(AF401:AF453,B401:B453,B414-48))</f>
        <v/>
      </c>
      <c r="AH414" s="40">
        <f>AH413*(1-IF(B413&gt;=in_marketplace_from,d_hz_hlth_family*G413,0))</f>
        <v/>
      </c>
      <c r="AI414" s="46">
        <f>AH414*IF(B414&gt;=in_marketplace_from,d_hz_hlth_family*G414,0)</f>
        <v/>
      </c>
      <c r="AJ414" s="14">
        <f>F414*AI414*in_hlth_family_ticket*in_hlth_family_comm*in_ins_partner_share+F414*in_hlth_family_ticket*in_hlth_family_renew_comm*in_ins_partner_share*(in_hlth_family_renew^1*SUMIFS(AI401:AI453,B401:B453,B414-12)+in_hlth_family_renew^2*SUMIFS(AI401:AI453,B401:B453,B414-24)+in_hlth_family_renew^3*SUMIFS(AI401:AI453,B401:B453,B414-36)+in_hlth_family_renew^4*SUMIFS(AI401:AI453,B401:B453,B414-48))</f>
        <v/>
      </c>
      <c r="AK414" s="40">
        <f>AK413*(1-IF(B413&gt;=in_marketplace_from,d_hz_life_term*G413,0))</f>
        <v/>
      </c>
      <c r="AL414" s="46">
        <f>AK414*IF(B414&gt;=in_marketplace_from,d_hz_life_term*G414,0)</f>
        <v/>
      </c>
      <c r="AM414" s="14">
        <f>F414*AL414*in_life_term_ticket*in_life_term_comm*in_ins_partner_share+F414*in_life_term_ticket*in_life_term_renew_comm*in_ins_partner_share*(in_life_term_renew^1*SUMIFS(AL401:AL453,B401:B453,B414-12)+in_life_term_renew^2*SUMIFS(AL401:AL453,B401:B453,B414-24)+in_life_term_renew^3*SUMIFS(AL401:AL453,B401:B453,B414-36)+in_life_term_renew^4*SUMIFS(AL401:AL453,B401:B453,B414-48))</f>
        <v/>
      </c>
      <c r="AN414" s="40">
        <f>AN413*(1-IF(B413&gt;=in_marketplace_from,d_hz_accident*G413,0))</f>
        <v/>
      </c>
      <c r="AO414" s="46">
        <f>AN414*IF(B414&gt;=in_marketplace_from,d_hz_accident*G414,0)</f>
        <v/>
      </c>
      <c r="AP414" s="14">
        <f>F414*AO414*in_accident_ticket*in_accident_comm*in_ins_partner_share+F414*in_accident_ticket*in_accident_renew_comm*in_ins_partner_share*(in_accident_renew^1*SUMIFS(AO401:AO453,B401:B453,B414-12)+in_accident_renew^2*SUMIFS(AO401:AO453,B401:B453,B414-24)+in_accident_renew^3*SUMIFS(AO401:AO453,B401:B453,B414-36)+in_accident_renew^4*SUMIFS(AO401:AO453,B401:B453,B414-48))</f>
        <v/>
      </c>
      <c r="AQ414" s="40">
        <f>AQ413*(1-IF(B413&gt;=in_marketplace_from,d_hz_two_wheeler*G413,0))</f>
        <v/>
      </c>
      <c r="AR414" s="46">
        <f>AQ414*IF(B414&gt;=in_marketplace_from,d_hz_two_wheeler*G414,0)</f>
        <v/>
      </c>
      <c r="AS414" s="14">
        <f>F414*AR414*in_two_wheeler_ticket*in_two_wheeler_comm*in_ins_partner_share+F414*in_two_wheeler_ticket*in_two_wheeler_comm*in_ins_partner_share*(in_two_wheeler_renew^1*SUMIFS(AR401:AR453,B401:B453,B414-12)+in_two_wheeler_renew^2*SUMIFS(AR401:AR453,B401:B453,B414-24)+in_two_wheeler_renew^3*SUMIFS(AR401:AR453,B401:B453,B414-36)+in_two_wheeler_renew^4*SUMIFS(AR401:AR453,B401:B453,B414-48))</f>
        <v/>
      </c>
      <c r="AT414" s="40">
        <f>AT413*(1-IF(B413&gt;=in_marketplace_from,d_hz_device*G413,0))</f>
        <v/>
      </c>
      <c r="AU414" s="14">
        <f>F414*AT414*IF(B414&gt;=in_marketplace_from,d_hz_device*G414,0)*in_device_ticket*in_device_comm*in_ins_partner_share</f>
        <v/>
      </c>
      <c r="AV414" s="40">
        <f>AV413*(1-IF(B413&gt;=in_marketplace_from,d_hz_shop*G413,0))</f>
        <v/>
      </c>
      <c r="AW414" s="46">
        <f>AV414*IF(B414&gt;=in_marketplace_from,d_hz_shop*G414,0)</f>
        <v/>
      </c>
      <c r="AX414" s="14">
        <f>F414*AW414*in_shop_ticket*in_shop_comm*in_ins_partner_share+F414*in_shop_ticket*in_shop_renew_comm*in_ins_partner_share*(in_shop_renew^1*SUMIFS(AW401:AW453,B401:B453,B414-12)+in_shop_renew^2*SUMIFS(AW401:AW453,B401:B453,B414-24)+in_shop_renew^3*SUMIFS(AW401:AW453,B401:B453,B414-36)+in_shop_renew^4*SUMIFS(AW401:AW453,B401:B453,B414-48))</f>
        <v/>
      </c>
      <c r="AY414" s="40">
        <f>AY413*(1-IF(B413&gt;=in_marketplace_from,d_hz_sip*G413,0))</f>
        <v/>
      </c>
      <c r="AZ414" s="40">
        <f>AZ413*d_rho_sip+AY414*IF(B414&gt;=in_marketplace_from,d_hz_sip*G414,0)</f>
        <v/>
      </c>
      <c r="BA414" s="40">
        <f>d_rho_sip*(BA413+AZ413)</f>
        <v/>
      </c>
      <c r="BB414" s="14">
        <f>F414*in_sip_ticket*(BA414+0.5*AZ414)*in_sip_comm/12</f>
        <v/>
      </c>
      <c r="BC414" s="40">
        <f>BC413*(1-IF(B413&gt;=in_marketplace_from,d_hz_choti*G413,0))</f>
        <v/>
      </c>
      <c r="BD414" s="46">
        <f>BC414*IF(B414&gt;=in_marketplace_from,d_hz_choti*G414,0)</f>
        <v/>
      </c>
      <c r="BE414" s="14">
        <f>F414*SUMIFS(BD401:BD453,B401:B453,B414-in_choti_months)*in_choti_renew*in_choti_ticket</f>
        <v/>
      </c>
      <c r="BF414" s="40">
        <f>BF413*(1-IF(B413&gt;=in_marketplace_from,d_hz_nps*G413,0))</f>
        <v/>
      </c>
      <c r="BG414" s="14">
        <f>F414*BF414*IF(B414&gt;=in_marketplace_from,d_hz_nps*G414,0)*in_nps_ticket*in_nps_comm</f>
        <v/>
      </c>
      <c r="BH414" s="40">
        <f>BH413*(1-IF(B413&gt;=in_marketplace_from,d_hz_gold*G413,0))</f>
        <v/>
      </c>
      <c r="BI414" s="40">
        <f>BI413*d_rho_gold+BH414*IF(B414&gt;=in_marketplace_from,d_hz_gold*G414,0)</f>
        <v/>
      </c>
      <c r="BJ414" s="14">
        <f>F414*BI414*in_gold_ticket*in_gold_comm</f>
        <v/>
      </c>
      <c r="BK414" s="40">
        <f>BK413*(1-IF(B413&gt;=in_marketplace_from,d_hz_fd*G413,0))</f>
        <v/>
      </c>
      <c r="BL414" s="14">
        <f>F414*BK414*IF(B414&gt;=in_marketplace_from,d_hz_fd*G414,0)*in_fd_ticket*in_fd_comm</f>
        <v/>
      </c>
      <c r="BM414" s="40">
        <f>BM413*(1-IF(B413&gt;=in_marketplace_from,d_hz_recharge*G413,0))</f>
        <v/>
      </c>
      <c r="BN414" s="40">
        <f>BN413*d_rho_recharge+BM414*IF(B414&gt;=in_marketplace_from,d_hz_recharge*G414,0)</f>
        <v/>
      </c>
      <c r="BO414" s="14">
        <f>F414*BN414*in_recharge_ticket*in_recharge_comm/12</f>
        <v/>
      </c>
      <c r="BP414" s="40">
        <f>BP413*(1-IF(B413&gt;=in_marketplace_from,d_hz_bills*G413,0))</f>
        <v/>
      </c>
      <c r="BQ414" s="40">
        <f>BQ413*d_rho_bills+BP414*IF(B414&gt;=in_marketplace_from,d_hz_bills*G414,0)</f>
        <v/>
      </c>
      <c r="BR414" s="14">
        <f>F414*BQ414*in_bills_ticket*in_bills_comm/12</f>
        <v/>
      </c>
      <c r="BS414" s="40">
        <f>BS413*(1-IF(B413&gt;=in_marketplace_from,d_hz_loan_gold*G413,0))</f>
        <v/>
      </c>
      <c r="BT414" s="14">
        <f>F414*BS414*IF(B414&gt;=in_marketplace_from,d_hz_loan_gold*G414,0)*in_loan_gold_ticket*in_loan_gold_comm</f>
        <v/>
      </c>
      <c r="BU414" s="40">
        <f>BU413*(1-IF(B413&gt;=in_marketplace_from,d_hz_loan_cd*G413,0))</f>
        <v/>
      </c>
      <c r="BV414" s="14">
        <f>F414*BU414*IF(B414&gt;=in_marketplace_from,d_hz_loan_cd*G414,0)*in_loan_cd_ticket*in_loan_cd_comm</f>
        <v/>
      </c>
      <c r="BW414" s="40">
        <f>BW413*(1-IF(B413&gt;=in_marketplace_from,d_hz_loan_vehicle*G413,0))</f>
        <v/>
      </c>
      <c r="BX414" s="14">
        <f>F414*BW414*IF(B414&gt;=in_marketplace_from,d_hz_loan_vehicle*G414,0)*in_loan_vehicle_ticket*in_loan_vehicle_comm</f>
        <v/>
      </c>
      <c r="BY414" s="40">
        <f>BY413*(1-IF(B413&gt;=in_marketplace_from,d_hz_loan_home*G413,0)*BZ413)</f>
        <v/>
      </c>
      <c r="BZ414" s="11">
        <f>MIN(in_approval_cap,in_loan_home_approval*INDEX('Age profile'!$O$2:$O$61,B414)*(1+in_approval_growth)^(D414-1))</f>
        <v/>
      </c>
      <c r="CA414" s="14">
        <f>F414*BY414*IF(B414&gt;=in_marketplace_from,d_hz_loan_home*G414,0)*BZ414*in_loan_home_ticket*in_loan_home_comm</f>
        <v/>
      </c>
      <c r="CB414" s="40">
        <f>CB413*(1-IF(B413&gt;=in_marketplace_from,d_hz_loan_lap*G413,0)*CC413)</f>
        <v/>
      </c>
      <c r="CC414" s="11">
        <f>MIN(in_approval_cap,in_loan_lap_approval*INDEX('Age profile'!$O$2:$O$61,B414)*(1+in_approval_growth)^(D414-1))</f>
        <v/>
      </c>
      <c r="CD414" s="14">
        <f>F414*CB414*IF(B414&gt;=in_marketplace_from,d_hz_loan_lap*G414,0)*CC414*in_loan_lap_ticket*in_loan_lap_comm</f>
        <v/>
      </c>
      <c r="CE414" s="14">
        <f>AA414+AB414+AC414+AD414+AG414+AJ414+AM414+AP414+AS414+AU414+AX414+BB414+BE414+BG414+BJ414+BL414+BO414+BR414+BT414+BV414+BX414+CA414+CD414</f>
        <v/>
      </c>
    </row>
    <row r="415">
      <c r="A415" s="39" t="n">
        <v>8</v>
      </c>
      <c r="B415" s="39" t="n">
        <v>15</v>
      </c>
      <c r="C415" s="39">
        <f>A415+B415-1</f>
        <v/>
      </c>
      <c r="D415" s="39">
        <f>INT((C415-1)/12)+1</f>
        <v/>
      </c>
      <c r="E415" s="44">
        <f>INDEX(Monthly!$B$2:$B$61,A415)</f>
        <v/>
      </c>
      <c r="F415" s="44">
        <f>E415*INDEX('Age profile'!$B$2:$B$61,B415)</f>
        <v/>
      </c>
      <c r="G415" s="45">
        <f>MIN(in_takeup_cap,INDEX('Age profile'!$N$2:$N$61,B415)*(1+in_takeup_growth)^(D415-1))</f>
        <v/>
      </c>
      <c r="H415" s="11">
        <f>MIN(in_approval_cap,in_approved_first*INDEX('Age profile'!$O$2:$O$61,B415)*(1+in_approval_growth)^(D415-1))</f>
        <v/>
      </c>
      <c r="I415" s="45">
        <f>G415*MIN(in_takeup_cap,INDEX('Age profile'!$O$2:$O$61,B415)*(1+in_approval_growth)^(D415-1))</f>
        <v/>
      </c>
      <c r="J415" s="40">
        <f>(J414-L414)*F415/F414</f>
        <v/>
      </c>
      <c r="K415" s="40">
        <f>(K414-M414)*F415/F414+SUMIFS(O401:O414,B401:B414,B415-1-d_T)*F415</f>
        <v/>
      </c>
      <c r="L415" s="40">
        <f>IF(B415&gt;=in_marketplace_from,J415*d_hz*G415*in_eligible*H415,0)</f>
        <v/>
      </c>
      <c r="M415" s="40">
        <f>IF(B415&gt;=in_marketplace_from,K415*d_hz*G415*in_eligible*in_approved_repeat,0)</f>
        <v/>
      </c>
      <c r="N415" s="40">
        <f>L415+M415</f>
        <v/>
      </c>
      <c r="O415" s="46">
        <f>N415/F415</f>
        <v/>
      </c>
      <c r="P415" s="40">
        <f>F415-J415-K415</f>
        <v/>
      </c>
      <c r="Q415" s="40">
        <f>IF(B415&gt;=in_marketplace_from,(J415+K415)*d_hz*G415,0)</f>
        <v/>
      </c>
      <c r="R415" s="40">
        <f>SUMIFS(N401:N453,B401:B453,"&gt;="&amp;(B415-d_T),B401:B453,"&lt;="&amp;(B415-1))</f>
        <v/>
      </c>
      <c r="S415" s="46">
        <f>(1-d_u)*S414+IF(d_T&gt;in_topup_lag,SUMIFS(O401:O453,B401:B453,B415-in_topup_lag)-d_udrop*SUMIFS(O401:O453,B401:B453,B415-d_T),0)</f>
        <v/>
      </c>
      <c r="T415" s="40">
        <f>F415*d_u*S415</f>
        <v/>
      </c>
      <c r="U415" s="9">
        <f>L415*in_ticket+M415*d_rep_ticket</f>
        <v/>
      </c>
      <c r="V415" s="9">
        <f>U415+T415*d_topup_amt</f>
        <v/>
      </c>
      <c r="W415" s="40">
        <f>N415+T415*d_topup_ratio</f>
        <v/>
      </c>
      <c r="X415" s="40">
        <f>SUMIFS(W401:W453,B401:B453,B415-in_dpd_lag)*d_cured</f>
        <v/>
      </c>
      <c r="Y415" s="40">
        <f>SUMIFS(W401:W453,B401:B453,B415-in_rec_lag)*d_recd</f>
        <v/>
      </c>
      <c r="Z415" s="40">
        <f>IF(AND(B415&gt;=in_marketplace_from,B415&lt;in_marketplace_from+in_card_months),in_card_share/in_card_months*F415*I415,IF(AND(B415&gt;=in_marketplace_from+in_card_months,B415&lt;in_marketplace_from+2*in_card_months),in_card_share*d_card_rem/in_card_months*F415*MIN(in_takeup_cap,(1+in_takeup_growth)^(D415-1))*MIN(in_takeup_cap,(1+in_approval_growth)^(D415-1)),0))</f>
        <v/>
      </c>
      <c r="AA415" s="14">
        <f>V415*in_fee*(1-in_taken_back)</f>
        <v/>
      </c>
      <c r="AB415" s="14">
        <f>SUMIFS(W401:W453,B401:B453,B415-in_dpd_lag)*d_dpd</f>
        <v/>
      </c>
      <c r="AC415" s="14">
        <f>SUMIFS(W401:W453,B401:B453,B415-in_rec_lag)*d_rec</f>
        <v/>
      </c>
      <c r="AD415" s="14">
        <f>Z415*in_card_fee</f>
        <v/>
      </c>
      <c r="AE415" s="40">
        <f>AE414*(1-IF(B414&gt;=in_marketplace_from,d_hz_hlth_small*G414,0))</f>
        <v/>
      </c>
      <c r="AF415" s="46">
        <f>AE415*IF(B415&gt;=in_marketplace_from,d_hz_hlth_small*G415,0)</f>
        <v/>
      </c>
      <c r="AG415" s="14">
        <f>F415*AF415*in_hlth_small_ticket*in_hlth_small_comm*in_ins_partner_share+F415*in_hlth_small_ticket*in_hlth_small_renew_comm*in_ins_partner_share*(in_hlth_small_renew^1*SUMIFS(AF401:AF453,B401:B453,B415-12)+in_hlth_small_renew^2*SUMIFS(AF401:AF453,B401:B453,B415-24)+in_hlth_small_renew^3*SUMIFS(AF401:AF453,B401:B453,B415-36)+in_hlth_small_renew^4*SUMIFS(AF401:AF453,B401:B453,B415-48))</f>
        <v/>
      </c>
      <c r="AH415" s="40">
        <f>AH414*(1-IF(B414&gt;=in_marketplace_from,d_hz_hlth_family*G414,0))</f>
        <v/>
      </c>
      <c r="AI415" s="46">
        <f>AH415*IF(B415&gt;=in_marketplace_from,d_hz_hlth_family*G415,0)</f>
        <v/>
      </c>
      <c r="AJ415" s="14">
        <f>F415*AI415*in_hlth_family_ticket*in_hlth_family_comm*in_ins_partner_share+F415*in_hlth_family_ticket*in_hlth_family_renew_comm*in_ins_partner_share*(in_hlth_family_renew^1*SUMIFS(AI401:AI453,B401:B453,B415-12)+in_hlth_family_renew^2*SUMIFS(AI401:AI453,B401:B453,B415-24)+in_hlth_family_renew^3*SUMIFS(AI401:AI453,B401:B453,B415-36)+in_hlth_family_renew^4*SUMIFS(AI401:AI453,B401:B453,B415-48))</f>
        <v/>
      </c>
      <c r="AK415" s="40">
        <f>AK414*(1-IF(B414&gt;=in_marketplace_from,d_hz_life_term*G414,0))</f>
        <v/>
      </c>
      <c r="AL415" s="46">
        <f>AK415*IF(B415&gt;=in_marketplace_from,d_hz_life_term*G415,0)</f>
        <v/>
      </c>
      <c r="AM415" s="14">
        <f>F415*AL415*in_life_term_ticket*in_life_term_comm*in_ins_partner_share+F415*in_life_term_ticket*in_life_term_renew_comm*in_ins_partner_share*(in_life_term_renew^1*SUMIFS(AL401:AL453,B401:B453,B415-12)+in_life_term_renew^2*SUMIFS(AL401:AL453,B401:B453,B415-24)+in_life_term_renew^3*SUMIFS(AL401:AL453,B401:B453,B415-36)+in_life_term_renew^4*SUMIFS(AL401:AL453,B401:B453,B415-48))</f>
        <v/>
      </c>
      <c r="AN415" s="40">
        <f>AN414*(1-IF(B414&gt;=in_marketplace_from,d_hz_accident*G414,0))</f>
        <v/>
      </c>
      <c r="AO415" s="46">
        <f>AN415*IF(B415&gt;=in_marketplace_from,d_hz_accident*G415,0)</f>
        <v/>
      </c>
      <c r="AP415" s="14">
        <f>F415*AO415*in_accident_ticket*in_accident_comm*in_ins_partner_share+F415*in_accident_ticket*in_accident_renew_comm*in_ins_partner_share*(in_accident_renew^1*SUMIFS(AO401:AO453,B401:B453,B415-12)+in_accident_renew^2*SUMIFS(AO401:AO453,B401:B453,B415-24)+in_accident_renew^3*SUMIFS(AO401:AO453,B401:B453,B415-36)+in_accident_renew^4*SUMIFS(AO401:AO453,B401:B453,B415-48))</f>
        <v/>
      </c>
      <c r="AQ415" s="40">
        <f>AQ414*(1-IF(B414&gt;=in_marketplace_from,d_hz_two_wheeler*G414,0))</f>
        <v/>
      </c>
      <c r="AR415" s="46">
        <f>AQ415*IF(B415&gt;=in_marketplace_from,d_hz_two_wheeler*G415,0)</f>
        <v/>
      </c>
      <c r="AS415" s="14">
        <f>F415*AR415*in_two_wheeler_ticket*in_two_wheeler_comm*in_ins_partner_share+F415*in_two_wheeler_ticket*in_two_wheeler_comm*in_ins_partner_share*(in_two_wheeler_renew^1*SUMIFS(AR401:AR453,B401:B453,B415-12)+in_two_wheeler_renew^2*SUMIFS(AR401:AR453,B401:B453,B415-24)+in_two_wheeler_renew^3*SUMIFS(AR401:AR453,B401:B453,B415-36)+in_two_wheeler_renew^4*SUMIFS(AR401:AR453,B401:B453,B415-48))</f>
        <v/>
      </c>
      <c r="AT415" s="40">
        <f>AT414*(1-IF(B414&gt;=in_marketplace_from,d_hz_device*G414,0))</f>
        <v/>
      </c>
      <c r="AU415" s="14">
        <f>F415*AT415*IF(B415&gt;=in_marketplace_from,d_hz_device*G415,0)*in_device_ticket*in_device_comm*in_ins_partner_share</f>
        <v/>
      </c>
      <c r="AV415" s="40">
        <f>AV414*(1-IF(B414&gt;=in_marketplace_from,d_hz_shop*G414,0))</f>
        <v/>
      </c>
      <c r="AW415" s="46">
        <f>AV415*IF(B415&gt;=in_marketplace_from,d_hz_shop*G415,0)</f>
        <v/>
      </c>
      <c r="AX415" s="14">
        <f>F415*AW415*in_shop_ticket*in_shop_comm*in_ins_partner_share+F415*in_shop_ticket*in_shop_renew_comm*in_ins_partner_share*(in_shop_renew^1*SUMIFS(AW401:AW453,B401:B453,B415-12)+in_shop_renew^2*SUMIFS(AW401:AW453,B401:B453,B415-24)+in_shop_renew^3*SUMIFS(AW401:AW453,B401:B453,B415-36)+in_shop_renew^4*SUMIFS(AW401:AW453,B401:B453,B415-48))</f>
        <v/>
      </c>
      <c r="AY415" s="40">
        <f>AY414*(1-IF(B414&gt;=in_marketplace_from,d_hz_sip*G414,0))</f>
        <v/>
      </c>
      <c r="AZ415" s="40">
        <f>AZ414*d_rho_sip+AY415*IF(B415&gt;=in_marketplace_from,d_hz_sip*G415,0)</f>
        <v/>
      </c>
      <c r="BA415" s="40">
        <f>d_rho_sip*(BA414+AZ414)</f>
        <v/>
      </c>
      <c r="BB415" s="14">
        <f>F415*in_sip_ticket*(BA415+0.5*AZ415)*in_sip_comm/12</f>
        <v/>
      </c>
      <c r="BC415" s="40">
        <f>BC414*(1-IF(B414&gt;=in_marketplace_from,d_hz_choti*G414,0))</f>
        <v/>
      </c>
      <c r="BD415" s="46">
        <f>BC415*IF(B415&gt;=in_marketplace_from,d_hz_choti*G415,0)</f>
        <v/>
      </c>
      <c r="BE415" s="14">
        <f>F415*SUMIFS(BD401:BD453,B401:B453,B415-in_choti_months)*in_choti_renew*in_choti_ticket</f>
        <v/>
      </c>
      <c r="BF415" s="40">
        <f>BF414*(1-IF(B414&gt;=in_marketplace_from,d_hz_nps*G414,0))</f>
        <v/>
      </c>
      <c r="BG415" s="14">
        <f>F415*BF415*IF(B415&gt;=in_marketplace_from,d_hz_nps*G415,0)*in_nps_ticket*in_nps_comm</f>
        <v/>
      </c>
      <c r="BH415" s="40">
        <f>BH414*(1-IF(B414&gt;=in_marketplace_from,d_hz_gold*G414,0))</f>
        <v/>
      </c>
      <c r="BI415" s="40">
        <f>BI414*d_rho_gold+BH415*IF(B415&gt;=in_marketplace_from,d_hz_gold*G415,0)</f>
        <v/>
      </c>
      <c r="BJ415" s="14">
        <f>F415*BI415*in_gold_ticket*in_gold_comm</f>
        <v/>
      </c>
      <c r="BK415" s="40">
        <f>BK414*(1-IF(B414&gt;=in_marketplace_from,d_hz_fd*G414,0))</f>
        <v/>
      </c>
      <c r="BL415" s="14">
        <f>F415*BK415*IF(B415&gt;=in_marketplace_from,d_hz_fd*G415,0)*in_fd_ticket*in_fd_comm</f>
        <v/>
      </c>
      <c r="BM415" s="40">
        <f>BM414*(1-IF(B414&gt;=in_marketplace_from,d_hz_recharge*G414,0))</f>
        <v/>
      </c>
      <c r="BN415" s="40">
        <f>BN414*d_rho_recharge+BM415*IF(B415&gt;=in_marketplace_from,d_hz_recharge*G415,0)</f>
        <v/>
      </c>
      <c r="BO415" s="14">
        <f>F415*BN415*in_recharge_ticket*in_recharge_comm/12</f>
        <v/>
      </c>
      <c r="BP415" s="40">
        <f>BP414*(1-IF(B414&gt;=in_marketplace_from,d_hz_bills*G414,0))</f>
        <v/>
      </c>
      <c r="BQ415" s="40">
        <f>BQ414*d_rho_bills+BP415*IF(B415&gt;=in_marketplace_from,d_hz_bills*G415,0)</f>
        <v/>
      </c>
      <c r="BR415" s="14">
        <f>F415*BQ415*in_bills_ticket*in_bills_comm/12</f>
        <v/>
      </c>
      <c r="BS415" s="40">
        <f>BS414*(1-IF(B414&gt;=in_marketplace_from,d_hz_loan_gold*G414,0))</f>
        <v/>
      </c>
      <c r="BT415" s="14">
        <f>F415*BS415*IF(B415&gt;=in_marketplace_from,d_hz_loan_gold*G415,0)*in_loan_gold_ticket*in_loan_gold_comm</f>
        <v/>
      </c>
      <c r="BU415" s="40">
        <f>BU414*(1-IF(B414&gt;=in_marketplace_from,d_hz_loan_cd*G414,0))</f>
        <v/>
      </c>
      <c r="BV415" s="14">
        <f>F415*BU415*IF(B415&gt;=in_marketplace_from,d_hz_loan_cd*G415,0)*in_loan_cd_ticket*in_loan_cd_comm</f>
        <v/>
      </c>
      <c r="BW415" s="40">
        <f>BW414*(1-IF(B414&gt;=in_marketplace_from,d_hz_loan_vehicle*G414,0))</f>
        <v/>
      </c>
      <c r="BX415" s="14">
        <f>F415*BW415*IF(B415&gt;=in_marketplace_from,d_hz_loan_vehicle*G415,0)*in_loan_vehicle_ticket*in_loan_vehicle_comm</f>
        <v/>
      </c>
      <c r="BY415" s="40">
        <f>BY414*(1-IF(B414&gt;=in_marketplace_from,d_hz_loan_home*G414,0)*BZ414)</f>
        <v/>
      </c>
      <c r="BZ415" s="11">
        <f>MIN(in_approval_cap,in_loan_home_approval*INDEX('Age profile'!$O$2:$O$61,B415)*(1+in_approval_growth)^(D415-1))</f>
        <v/>
      </c>
      <c r="CA415" s="14">
        <f>F415*BY415*IF(B415&gt;=in_marketplace_from,d_hz_loan_home*G415,0)*BZ415*in_loan_home_ticket*in_loan_home_comm</f>
        <v/>
      </c>
      <c r="CB415" s="40">
        <f>CB414*(1-IF(B414&gt;=in_marketplace_from,d_hz_loan_lap*G414,0)*CC414)</f>
        <v/>
      </c>
      <c r="CC415" s="11">
        <f>MIN(in_approval_cap,in_loan_lap_approval*INDEX('Age profile'!$O$2:$O$61,B415)*(1+in_approval_growth)^(D415-1))</f>
        <v/>
      </c>
      <c r="CD415" s="14">
        <f>F415*CB415*IF(B415&gt;=in_marketplace_from,d_hz_loan_lap*G415,0)*CC415*in_loan_lap_ticket*in_loan_lap_comm</f>
        <v/>
      </c>
      <c r="CE415" s="14">
        <f>AA415+AB415+AC415+AD415+AG415+AJ415+AM415+AP415+AS415+AU415+AX415+BB415+BE415+BG415+BJ415+BL415+BO415+BR415+BT415+BV415+BX415+CA415+CD415</f>
        <v/>
      </c>
    </row>
    <row r="416">
      <c r="A416" s="39" t="n">
        <v>8</v>
      </c>
      <c r="B416" s="39" t="n">
        <v>16</v>
      </c>
      <c r="C416" s="39">
        <f>A416+B416-1</f>
        <v/>
      </c>
      <c r="D416" s="39">
        <f>INT((C416-1)/12)+1</f>
        <v/>
      </c>
      <c r="E416" s="44">
        <f>INDEX(Monthly!$B$2:$B$61,A416)</f>
        <v/>
      </c>
      <c r="F416" s="44">
        <f>E416*INDEX('Age profile'!$B$2:$B$61,B416)</f>
        <v/>
      </c>
      <c r="G416" s="45">
        <f>MIN(in_takeup_cap,INDEX('Age profile'!$N$2:$N$61,B416)*(1+in_takeup_growth)^(D416-1))</f>
        <v/>
      </c>
      <c r="H416" s="11">
        <f>MIN(in_approval_cap,in_approved_first*INDEX('Age profile'!$O$2:$O$61,B416)*(1+in_approval_growth)^(D416-1))</f>
        <v/>
      </c>
      <c r="I416" s="45">
        <f>G416*MIN(in_takeup_cap,INDEX('Age profile'!$O$2:$O$61,B416)*(1+in_approval_growth)^(D416-1))</f>
        <v/>
      </c>
      <c r="J416" s="40">
        <f>(J415-L415)*F416/F415</f>
        <v/>
      </c>
      <c r="K416" s="40">
        <f>(K415-M415)*F416/F415+SUMIFS(O401:O415,B401:B415,B416-1-d_T)*F416</f>
        <v/>
      </c>
      <c r="L416" s="40">
        <f>IF(B416&gt;=in_marketplace_from,J416*d_hz*G416*in_eligible*H416,0)</f>
        <v/>
      </c>
      <c r="M416" s="40">
        <f>IF(B416&gt;=in_marketplace_from,K416*d_hz*G416*in_eligible*in_approved_repeat,0)</f>
        <v/>
      </c>
      <c r="N416" s="40">
        <f>L416+M416</f>
        <v/>
      </c>
      <c r="O416" s="46">
        <f>N416/F416</f>
        <v/>
      </c>
      <c r="P416" s="40">
        <f>F416-J416-K416</f>
        <v/>
      </c>
      <c r="Q416" s="40">
        <f>IF(B416&gt;=in_marketplace_from,(J416+K416)*d_hz*G416,0)</f>
        <v/>
      </c>
      <c r="R416" s="40">
        <f>SUMIFS(N401:N453,B401:B453,"&gt;="&amp;(B416-d_T),B401:B453,"&lt;="&amp;(B416-1))</f>
        <v/>
      </c>
      <c r="S416" s="46">
        <f>(1-d_u)*S415+IF(d_T&gt;in_topup_lag,SUMIFS(O401:O453,B401:B453,B416-in_topup_lag)-d_udrop*SUMIFS(O401:O453,B401:B453,B416-d_T),0)</f>
        <v/>
      </c>
      <c r="T416" s="40">
        <f>F416*d_u*S416</f>
        <v/>
      </c>
      <c r="U416" s="9">
        <f>L416*in_ticket+M416*d_rep_ticket</f>
        <v/>
      </c>
      <c r="V416" s="9">
        <f>U416+T416*d_topup_amt</f>
        <v/>
      </c>
      <c r="W416" s="40">
        <f>N416+T416*d_topup_ratio</f>
        <v/>
      </c>
      <c r="X416" s="40">
        <f>SUMIFS(W401:W453,B401:B453,B416-in_dpd_lag)*d_cured</f>
        <v/>
      </c>
      <c r="Y416" s="40">
        <f>SUMIFS(W401:W453,B401:B453,B416-in_rec_lag)*d_recd</f>
        <v/>
      </c>
      <c r="Z416" s="40">
        <f>IF(AND(B416&gt;=in_marketplace_from,B416&lt;in_marketplace_from+in_card_months),in_card_share/in_card_months*F416*I416,IF(AND(B416&gt;=in_marketplace_from+in_card_months,B416&lt;in_marketplace_from+2*in_card_months),in_card_share*d_card_rem/in_card_months*F416*MIN(in_takeup_cap,(1+in_takeup_growth)^(D416-1))*MIN(in_takeup_cap,(1+in_approval_growth)^(D416-1)),0))</f>
        <v/>
      </c>
      <c r="AA416" s="14">
        <f>V416*in_fee*(1-in_taken_back)</f>
        <v/>
      </c>
      <c r="AB416" s="14">
        <f>SUMIFS(W401:W453,B401:B453,B416-in_dpd_lag)*d_dpd</f>
        <v/>
      </c>
      <c r="AC416" s="14">
        <f>SUMIFS(W401:W453,B401:B453,B416-in_rec_lag)*d_rec</f>
        <v/>
      </c>
      <c r="AD416" s="14">
        <f>Z416*in_card_fee</f>
        <v/>
      </c>
      <c r="AE416" s="40">
        <f>AE415*(1-IF(B415&gt;=in_marketplace_from,d_hz_hlth_small*G415,0))</f>
        <v/>
      </c>
      <c r="AF416" s="46">
        <f>AE416*IF(B416&gt;=in_marketplace_from,d_hz_hlth_small*G416,0)</f>
        <v/>
      </c>
      <c r="AG416" s="14">
        <f>F416*AF416*in_hlth_small_ticket*in_hlth_small_comm*in_ins_partner_share+F416*in_hlth_small_ticket*in_hlth_small_renew_comm*in_ins_partner_share*(in_hlth_small_renew^1*SUMIFS(AF401:AF453,B401:B453,B416-12)+in_hlth_small_renew^2*SUMIFS(AF401:AF453,B401:B453,B416-24)+in_hlth_small_renew^3*SUMIFS(AF401:AF453,B401:B453,B416-36)+in_hlth_small_renew^4*SUMIFS(AF401:AF453,B401:B453,B416-48))</f>
        <v/>
      </c>
      <c r="AH416" s="40">
        <f>AH415*(1-IF(B415&gt;=in_marketplace_from,d_hz_hlth_family*G415,0))</f>
        <v/>
      </c>
      <c r="AI416" s="46">
        <f>AH416*IF(B416&gt;=in_marketplace_from,d_hz_hlth_family*G416,0)</f>
        <v/>
      </c>
      <c r="AJ416" s="14">
        <f>F416*AI416*in_hlth_family_ticket*in_hlth_family_comm*in_ins_partner_share+F416*in_hlth_family_ticket*in_hlth_family_renew_comm*in_ins_partner_share*(in_hlth_family_renew^1*SUMIFS(AI401:AI453,B401:B453,B416-12)+in_hlth_family_renew^2*SUMIFS(AI401:AI453,B401:B453,B416-24)+in_hlth_family_renew^3*SUMIFS(AI401:AI453,B401:B453,B416-36)+in_hlth_family_renew^4*SUMIFS(AI401:AI453,B401:B453,B416-48))</f>
        <v/>
      </c>
      <c r="AK416" s="40">
        <f>AK415*(1-IF(B415&gt;=in_marketplace_from,d_hz_life_term*G415,0))</f>
        <v/>
      </c>
      <c r="AL416" s="46">
        <f>AK416*IF(B416&gt;=in_marketplace_from,d_hz_life_term*G416,0)</f>
        <v/>
      </c>
      <c r="AM416" s="14">
        <f>F416*AL416*in_life_term_ticket*in_life_term_comm*in_ins_partner_share+F416*in_life_term_ticket*in_life_term_renew_comm*in_ins_partner_share*(in_life_term_renew^1*SUMIFS(AL401:AL453,B401:B453,B416-12)+in_life_term_renew^2*SUMIFS(AL401:AL453,B401:B453,B416-24)+in_life_term_renew^3*SUMIFS(AL401:AL453,B401:B453,B416-36)+in_life_term_renew^4*SUMIFS(AL401:AL453,B401:B453,B416-48))</f>
        <v/>
      </c>
      <c r="AN416" s="40">
        <f>AN415*(1-IF(B415&gt;=in_marketplace_from,d_hz_accident*G415,0))</f>
        <v/>
      </c>
      <c r="AO416" s="46">
        <f>AN416*IF(B416&gt;=in_marketplace_from,d_hz_accident*G416,0)</f>
        <v/>
      </c>
      <c r="AP416" s="14">
        <f>F416*AO416*in_accident_ticket*in_accident_comm*in_ins_partner_share+F416*in_accident_ticket*in_accident_renew_comm*in_ins_partner_share*(in_accident_renew^1*SUMIFS(AO401:AO453,B401:B453,B416-12)+in_accident_renew^2*SUMIFS(AO401:AO453,B401:B453,B416-24)+in_accident_renew^3*SUMIFS(AO401:AO453,B401:B453,B416-36)+in_accident_renew^4*SUMIFS(AO401:AO453,B401:B453,B416-48))</f>
        <v/>
      </c>
      <c r="AQ416" s="40">
        <f>AQ415*(1-IF(B415&gt;=in_marketplace_from,d_hz_two_wheeler*G415,0))</f>
        <v/>
      </c>
      <c r="AR416" s="46">
        <f>AQ416*IF(B416&gt;=in_marketplace_from,d_hz_two_wheeler*G416,0)</f>
        <v/>
      </c>
      <c r="AS416" s="14">
        <f>F416*AR416*in_two_wheeler_ticket*in_two_wheeler_comm*in_ins_partner_share+F416*in_two_wheeler_ticket*in_two_wheeler_comm*in_ins_partner_share*(in_two_wheeler_renew^1*SUMIFS(AR401:AR453,B401:B453,B416-12)+in_two_wheeler_renew^2*SUMIFS(AR401:AR453,B401:B453,B416-24)+in_two_wheeler_renew^3*SUMIFS(AR401:AR453,B401:B453,B416-36)+in_two_wheeler_renew^4*SUMIFS(AR401:AR453,B401:B453,B416-48))</f>
        <v/>
      </c>
      <c r="AT416" s="40">
        <f>AT415*(1-IF(B415&gt;=in_marketplace_from,d_hz_device*G415,0))</f>
        <v/>
      </c>
      <c r="AU416" s="14">
        <f>F416*AT416*IF(B416&gt;=in_marketplace_from,d_hz_device*G416,0)*in_device_ticket*in_device_comm*in_ins_partner_share</f>
        <v/>
      </c>
      <c r="AV416" s="40">
        <f>AV415*(1-IF(B415&gt;=in_marketplace_from,d_hz_shop*G415,0))</f>
        <v/>
      </c>
      <c r="AW416" s="46">
        <f>AV416*IF(B416&gt;=in_marketplace_from,d_hz_shop*G416,0)</f>
        <v/>
      </c>
      <c r="AX416" s="14">
        <f>F416*AW416*in_shop_ticket*in_shop_comm*in_ins_partner_share+F416*in_shop_ticket*in_shop_renew_comm*in_ins_partner_share*(in_shop_renew^1*SUMIFS(AW401:AW453,B401:B453,B416-12)+in_shop_renew^2*SUMIFS(AW401:AW453,B401:B453,B416-24)+in_shop_renew^3*SUMIFS(AW401:AW453,B401:B453,B416-36)+in_shop_renew^4*SUMIFS(AW401:AW453,B401:B453,B416-48))</f>
        <v/>
      </c>
      <c r="AY416" s="40">
        <f>AY415*(1-IF(B415&gt;=in_marketplace_from,d_hz_sip*G415,0))</f>
        <v/>
      </c>
      <c r="AZ416" s="40">
        <f>AZ415*d_rho_sip+AY416*IF(B416&gt;=in_marketplace_from,d_hz_sip*G416,0)</f>
        <v/>
      </c>
      <c r="BA416" s="40">
        <f>d_rho_sip*(BA415+AZ415)</f>
        <v/>
      </c>
      <c r="BB416" s="14">
        <f>F416*in_sip_ticket*(BA416+0.5*AZ416)*in_sip_comm/12</f>
        <v/>
      </c>
      <c r="BC416" s="40">
        <f>BC415*(1-IF(B415&gt;=in_marketplace_from,d_hz_choti*G415,0))</f>
        <v/>
      </c>
      <c r="BD416" s="46">
        <f>BC416*IF(B416&gt;=in_marketplace_from,d_hz_choti*G416,0)</f>
        <v/>
      </c>
      <c r="BE416" s="14">
        <f>F416*SUMIFS(BD401:BD453,B401:B453,B416-in_choti_months)*in_choti_renew*in_choti_ticket</f>
        <v/>
      </c>
      <c r="BF416" s="40">
        <f>BF415*(1-IF(B415&gt;=in_marketplace_from,d_hz_nps*G415,0))</f>
        <v/>
      </c>
      <c r="BG416" s="14">
        <f>F416*BF416*IF(B416&gt;=in_marketplace_from,d_hz_nps*G416,0)*in_nps_ticket*in_nps_comm</f>
        <v/>
      </c>
      <c r="BH416" s="40">
        <f>BH415*(1-IF(B415&gt;=in_marketplace_from,d_hz_gold*G415,0))</f>
        <v/>
      </c>
      <c r="BI416" s="40">
        <f>BI415*d_rho_gold+BH416*IF(B416&gt;=in_marketplace_from,d_hz_gold*G416,0)</f>
        <v/>
      </c>
      <c r="BJ416" s="14">
        <f>F416*BI416*in_gold_ticket*in_gold_comm</f>
        <v/>
      </c>
      <c r="BK416" s="40">
        <f>BK415*(1-IF(B415&gt;=in_marketplace_from,d_hz_fd*G415,0))</f>
        <v/>
      </c>
      <c r="BL416" s="14">
        <f>F416*BK416*IF(B416&gt;=in_marketplace_from,d_hz_fd*G416,0)*in_fd_ticket*in_fd_comm</f>
        <v/>
      </c>
      <c r="BM416" s="40">
        <f>BM415*(1-IF(B415&gt;=in_marketplace_from,d_hz_recharge*G415,0))</f>
        <v/>
      </c>
      <c r="BN416" s="40">
        <f>BN415*d_rho_recharge+BM416*IF(B416&gt;=in_marketplace_from,d_hz_recharge*G416,0)</f>
        <v/>
      </c>
      <c r="BO416" s="14">
        <f>F416*BN416*in_recharge_ticket*in_recharge_comm/12</f>
        <v/>
      </c>
      <c r="BP416" s="40">
        <f>BP415*(1-IF(B415&gt;=in_marketplace_from,d_hz_bills*G415,0))</f>
        <v/>
      </c>
      <c r="BQ416" s="40">
        <f>BQ415*d_rho_bills+BP416*IF(B416&gt;=in_marketplace_from,d_hz_bills*G416,0)</f>
        <v/>
      </c>
      <c r="BR416" s="14">
        <f>F416*BQ416*in_bills_ticket*in_bills_comm/12</f>
        <v/>
      </c>
      <c r="BS416" s="40">
        <f>BS415*(1-IF(B415&gt;=in_marketplace_from,d_hz_loan_gold*G415,0))</f>
        <v/>
      </c>
      <c r="BT416" s="14">
        <f>F416*BS416*IF(B416&gt;=in_marketplace_from,d_hz_loan_gold*G416,0)*in_loan_gold_ticket*in_loan_gold_comm</f>
        <v/>
      </c>
      <c r="BU416" s="40">
        <f>BU415*(1-IF(B415&gt;=in_marketplace_from,d_hz_loan_cd*G415,0))</f>
        <v/>
      </c>
      <c r="BV416" s="14">
        <f>F416*BU416*IF(B416&gt;=in_marketplace_from,d_hz_loan_cd*G416,0)*in_loan_cd_ticket*in_loan_cd_comm</f>
        <v/>
      </c>
      <c r="BW416" s="40">
        <f>BW415*(1-IF(B415&gt;=in_marketplace_from,d_hz_loan_vehicle*G415,0))</f>
        <v/>
      </c>
      <c r="BX416" s="14">
        <f>F416*BW416*IF(B416&gt;=in_marketplace_from,d_hz_loan_vehicle*G416,0)*in_loan_vehicle_ticket*in_loan_vehicle_comm</f>
        <v/>
      </c>
      <c r="BY416" s="40">
        <f>BY415*(1-IF(B415&gt;=in_marketplace_from,d_hz_loan_home*G415,0)*BZ415)</f>
        <v/>
      </c>
      <c r="BZ416" s="11">
        <f>MIN(in_approval_cap,in_loan_home_approval*INDEX('Age profile'!$O$2:$O$61,B416)*(1+in_approval_growth)^(D416-1))</f>
        <v/>
      </c>
      <c r="CA416" s="14">
        <f>F416*BY416*IF(B416&gt;=in_marketplace_from,d_hz_loan_home*G416,0)*BZ416*in_loan_home_ticket*in_loan_home_comm</f>
        <v/>
      </c>
      <c r="CB416" s="40">
        <f>CB415*(1-IF(B415&gt;=in_marketplace_from,d_hz_loan_lap*G415,0)*CC415)</f>
        <v/>
      </c>
      <c r="CC416" s="11">
        <f>MIN(in_approval_cap,in_loan_lap_approval*INDEX('Age profile'!$O$2:$O$61,B416)*(1+in_approval_growth)^(D416-1))</f>
        <v/>
      </c>
      <c r="CD416" s="14">
        <f>F416*CB416*IF(B416&gt;=in_marketplace_from,d_hz_loan_lap*G416,0)*CC416*in_loan_lap_ticket*in_loan_lap_comm</f>
        <v/>
      </c>
      <c r="CE416" s="14">
        <f>AA416+AB416+AC416+AD416+AG416+AJ416+AM416+AP416+AS416+AU416+AX416+BB416+BE416+BG416+BJ416+BL416+BO416+BR416+BT416+BV416+BX416+CA416+CD416</f>
        <v/>
      </c>
    </row>
    <row r="417">
      <c r="A417" s="39" t="n">
        <v>8</v>
      </c>
      <c r="B417" s="39" t="n">
        <v>17</v>
      </c>
      <c r="C417" s="39">
        <f>A417+B417-1</f>
        <v/>
      </c>
      <c r="D417" s="39">
        <f>INT((C417-1)/12)+1</f>
        <v/>
      </c>
      <c r="E417" s="44">
        <f>INDEX(Monthly!$B$2:$B$61,A417)</f>
        <v/>
      </c>
      <c r="F417" s="44">
        <f>E417*INDEX('Age profile'!$B$2:$B$61,B417)</f>
        <v/>
      </c>
      <c r="G417" s="45">
        <f>MIN(in_takeup_cap,INDEX('Age profile'!$N$2:$N$61,B417)*(1+in_takeup_growth)^(D417-1))</f>
        <v/>
      </c>
      <c r="H417" s="11">
        <f>MIN(in_approval_cap,in_approved_first*INDEX('Age profile'!$O$2:$O$61,B417)*(1+in_approval_growth)^(D417-1))</f>
        <v/>
      </c>
      <c r="I417" s="45">
        <f>G417*MIN(in_takeup_cap,INDEX('Age profile'!$O$2:$O$61,B417)*(1+in_approval_growth)^(D417-1))</f>
        <v/>
      </c>
      <c r="J417" s="40">
        <f>(J416-L416)*F417/F416</f>
        <v/>
      </c>
      <c r="K417" s="40">
        <f>(K416-M416)*F417/F416+SUMIFS(O401:O416,B401:B416,B417-1-d_T)*F417</f>
        <v/>
      </c>
      <c r="L417" s="40">
        <f>IF(B417&gt;=in_marketplace_from,J417*d_hz*G417*in_eligible*H417,0)</f>
        <v/>
      </c>
      <c r="M417" s="40">
        <f>IF(B417&gt;=in_marketplace_from,K417*d_hz*G417*in_eligible*in_approved_repeat,0)</f>
        <v/>
      </c>
      <c r="N417" s="40">
        <f>L417+M417</f>
        <v/>
      </c>
      <c r="O417" s="46">
        <f>N417/F417</f>
        <v/>
      </c>
      <c r="P417" s="40">
        <f>F417-J417-K417</f>
        <v/>
      </c>
      <c r="Q417" s="40">
        <f>IF(B417&gt;=in_marketplace_from,(J417+K417)*d_hz*G417,0)</f>
        <v/>
      </c>
      <c r="R417" s="40">
        <f>SUMIFS(N401:N453,B401:B453,"&gt;="&amp;(B417-d_T),B401:B453,"&lt;="&amp;(B417-1))</f>
        <v/>
      </c>
      <c r="S417" s="46">
        <f>(1-d_u)*S416+IF(d_T&gt;in_topup_lag,SUMIFS(O401:O453,B401:B453,B417-in_topup_lag)-d_udrop*SUMIFS(O401:O453,B401:B453,B417-d_T),0)</f>
        <v/>
      </c>
      <c r="T417" s="40">
        <f>F417*d_u*S417</f>
        <v/>
      </c>
      <c r="U417" s="9">
        <f>L417*in_ticket+M417*d_rep_ticket</f>
        <v/>
      </c>
      <c r="V417" s="9">
        <f>U417+T417*d_topup_amt</f>
        <v/>
      </c>
      <c r="W417" s="40">
        <f>N417+T417*d_topup_ratio</f>
        <v/>
      </c>
      <c r="X417" s="40">
        <f>SUMIFS(W401:W453,B401:B453,B417-in_dpd_lag)*d_cured</f>
        <v/>
      </c>
      <c r="Y417" s="40">
        <f>SUMIFS(W401:W453,B401:B453,B417-in_rec_lag)*d_recd</f>
        <v/>
      </c>
      <c r="Z417" s="40">
        <f>IF(AND(B417&gt;=in_marketplace_from,B417&lt;in_marketplace_from+in_card_months),in_card_share/in_card_months*F417*I417,IF(AND(B417&gt;=in_marketplace_from+in_card_months,B417&lt;in_marketplace_from+2*in_card_months),in_card_share*d_card_rem/in_card_months*F417*MIN(in_takeup_cap,(1+in_takeup_growth)^(D417-1))*MIN(in_takeup_cap,(1+in_approval_growth)^(D417-1)),0))</f>
        <v/>
      </c>
      <c r="AA417" s="14">
        <f>V417*in_fee*(1-in_taken_back)</f>
        <v/>
      </c>
      <c r="AB417" s="14">
        <f>SUMIFS(W401:W453,B401:B453,B417-in_dpd_lag)*d_dpd</f>
        <v/>
      </c>
      <c r="AC417" s="14">
        <f>SUMIFS(W401:W453,B401:B453,B417-in_rec_lag)*d_rec</f>
        <v/>
      </c>
      <c r="AD417" s="14">
        <f>Z417*in_card_fee</f>
        <v/>
      </c>
      <c r="AE417" s="40">
        <f>AE416*(1-IF(B416&gt;=in_marketplace_from,d_hz_hlth_small*G416,0))</f>
        <v/>
      </c>
      <c r="AF417" s="46">
        <f>AE417*IF(B417&gt;=in_marketplace_from,d_hz_hlth_small*G417,0)</f>
        <v/>
      </c>
      <c r="AG417" s="14">
        <f>F417*AF417*in_hlth_small_ticket*in_hlth_small_comm*in_ins_partner_share+F417*in_hlth_small_ticket*in_hlth_small_renew_comm*in_ins_partner_share*(in_hlth_small_renew^1*SUMIFS(AF401:AF453,B401:B453,B417-12)+in_hlth_small_renew^2*SUMIFS(AF401:AF453,B401:B453,B417-24)+in_hlth_small_renew^3*SUMIFS(AF401:AF453,B401:B453,B417-36)+in_hlth_small_renew^4*SUMIFS(AF401:AF453,B401:B453,B417-48))</f>
        <v/>
      </c>
      <c r="AH417" s="40">
        <f>AH416*(1-IF(B416&gt;=in_marketplace_from,d_hz_hlth_family*G416,0))</f>
        <v/>
      </c>
      <c r="AI417" s="46">
        <f>AH417*IF(B417&gt;=in_marketplace_from,d_hz_hlth_family*G417,0)</f>
        <v/>
      </c>
      <c r="AJ417" s="14">
        <f>F417*AI417*in_hlth_family_ticket*in_hlth_family_comm*in_ins_partner_share+F417*in_hlth_family_ticket*in_hlth_family_renew_comm*in_ins_partner_share*(in_hlth_family_renew^1*SUMIFS(AI401:AI453,B401:B453,B417-12)+in_hlth_family_renew^2*SUMIFS(AI401:AI453,B401:B453,B417-24)+in_hlth_family_renew^3*SUMIFS(AI401:AI453,B401:B453,B417-36)+in_hlth_family_renew^4*SUMIFS(AI401:AI453,B401:B453,B417-48))</f>
        <v/>
      </c>
      <c r="AK417" s="40">
        <f>AK416*(1-IF(B416&gt;=in_marketplace_from,d_hz_life_term*G416,0))</f>
        <v/>
      </c>
      <c r="AL417" s="46">
        <f>AK417*IF(B417&gt;=in_marketplace_from,d_hz_life_term*G417,0)</f>
        <v/>
      </c>
      <c r="AM417" s="14">
        <f>F417*AL417*in_life_term_ticket*in_life_term_comm*in_ins_partner_share+F417*in_life_term_ticket*in_life_term_renew_comm*in_ins_partner_share*(in_life_term_renew^1*SUMIFS(AL401:AL453,B401:B453,B417-12)+in_life_term_renew^2*SUMIFS(AL401:AL453,B401:B453,B417-24)+in_life_term_renew^3*SUMIFS(AL401:AL453,B401:B453,B417-36)+in_life_term_renew^4*SUMIFS(AL401:AL453,B401:B453,B417-48))</f>
        <v/>
      </c>
      <c r="AN417" s="40">
        <f>AN416*(1-IF(B416&gt;=in_marketplace_from,d_hz_accident*G416,0))</f>
        <v/>
      </c>
      <c r="AO417" s="46">
        <f>AN417*IF(B417&gt;=in_marketplace_from,d_hz_accident*G417,0)</f>
        <v/>
      </c>
      <c r="AP417" s="14">
        <f>F417*AO417*in_accident_ticket*in_accident_comm*in_ins_partner_share+F417*in_accident_ticket*in_accident_renew_comm*in_ins_partner_share*(in_accident_renew^1*SUMIFS(AO401:AO453,B401:B453,B417-12)+in_accident_renew^2*SUMIFS(AO401:AO453,B401:B453,B417-24)+in_accident_renew^3*SUMIFS(AO401:AO453,B401:B453,B417-36)+in_accident_renew^4*SUMIFS(AO401:AO453,B401:B453,B417-48))</f>
        <v/>
      </c>
      <c r="AQ417" s="40">
        <f>AQ416*(1-IF(B416&gt;=in_marketplace_from,d_hz_two_wheeler*G416,0))</f>
        <v/>
      </c>
      <c r="AR417" s="46">
        <f>AQ417*IF(B417&gt;=in_marketplace_from,d_hz_two_wheeler*G417,0)</f>
        <v/>
      </c>
      <c r="AS417" s="14">
        <f>F417*AR417*in_two_wheeler_ticket*in_two_wheeler_comm*in_ins_partner_share+F417*in_two_wheeler_ticket*in_two_wheeler_comm*in_ins_partner_share*(in_two_wheeler_renew^1*SUMIFS(AR401:AR453,B401:B453,B417-12)+in_two_wheeler_renew^2*SUMIFS(AR401:AR453,B401:B453,B417-24)+in_two_wheeler_renew^3*SUMIFS(AR401:AR453,B401:B453,B417-36)+in_two_wheeler_renew^4*SUMIFS(AR401:AR453,B401:B453,B417-48))</f>
        <v/>
      </c>
      <c r="AT417" s="40">
        <f>AT416*(1-IF(B416&gt;=in_marketplace_from,d_hz_device*G416,0))</f>
        <v/>
      </c>
      <c r="AU417" s="14">
        <f>F417*AT417*IF(B417&gt;=in_marketplace_from,d_hz_device*G417,0)*in_device_ticket*in_device_comm*in_ins_partner_share</f>
        <v/>
      </c>
      <c r="AV417" s="40">
        <f>AV416*(1-IF(B416&gt;=in_marketplace_from,d_hz_shop*G416,0))</f>
        <v/>
      </c>
      <c r="AW417" s="46">
        <f>AV417*IF(B417&gt;=in_marketplace_from,d_hz_shop*G417,0)</f>
        <v/>
      </c>
      <c r="AX417" s="14">
        <f>F417*AW417*in_shop_ticket*in_shop_comm*in_ins_partner_share+F417*in_shop_ticket*in_shop_renew_comm*in_ins_partner_share*(in_shop_renew^1*SUMIFS(AW401:AW453,B401:B453,B417-12)+in_shop_renew^2*SUMIFS(AW401:AW453,B401:B453,B417-24)+in_shop_renew^3*SUMIFS(AW401:AW453,B401:B453,B417-36)+in_shop_renew^4*SUMIFS(AW401:AW453,B401:B453,B417-48))</f>
        <v/>
      </c>
      <c r="AY417" s="40">
        <f>AY416*(1-IF(B416&gt;=in_marketplace_from,d_hz_sip*G416,0))</f>
        <v/>
      </c>
      <c r="AZ417" s="40">
        <f>AZ416*d_rho_sip+AY417*IF(B417&gt;=in_marketplace_from,d_hz_sip*G417,0)</f>
        <v/>
      </c>
      <c r="BA417" s="40">
        <f>d_rho_sip*(BA416+AZ416)</f>
        <v/>
      </c>
      <c r="BB417" s="14">
        <f>F417*in_sip_ticket*(BA417+0.5*AZ417)*in_sip_comm/12</f>
        <v/>
      </c>
      <c r="BC417" s="40">
        <f>BC416*(1-IF(B416&gt;=in_marketplace_from,d_hz_choti*G416,0))</f>
        <v/>
      </c>
      <c r="BD417" s="46">
        <f>BC417*IF(B417&gt;=in_marketplace_from,d_hz_choti*G417,0)</f>
        <v/>
      </c>
      <c r="BE417" s="14">
        <f>F417*SUMIFS(BD401:BD453,B401:B453,B417-in_choti_months)*in_choti_renew*in_choti_ticket</f>
        <v/>
      </c>
      <c r="BF417" s="40">
        <f>BF416*(1-IF(B416&gt;=in_marketplace_from,d_hz_nps*G416,0))</f>
        <v/>
      </c>
      <c r="BG417" s="14">
        <f>F417*BF417*IF(B417&gt;=in_marketplace_from,d_hz_nps*G417,0)*in_nps_ticket*in_nps_comm</f>
        <v/>
      </c>
      <c r="BH417" s="40">
        <f>BH416*(1-IF(B416&gt;=in_marketplace_from,d_hz_gold*G416,0))</f>
        <v/>
      </c>
      <c r="BI417" s="40">
        <f>BI416*d_rho_gold+BH417*IF(B417&gt;=in_marketplace_from,d_hz_gold*G417,0)</f>
        <v/>
      </c>
      <c r="BJ417" s="14">
        <f>F417*BI417*in_gold_ticket*in_gold_comm</f>
        <v/>
      </c>
      <c r="BK417" s="40">
        <f>BK416*(1-IF(B416&gt;=in_marketplace_from,d_hz_fd*G416,0))</f>
        <v/>
      </c>
      <c r="BL417" s="14">
        <f>F417*BK417*IF(B417&gt;=in_marketplace_from,d_hz_fd*G417,0)*in_fd_ticket*in_fd_comm</f>
        <v/>
      </c>
      <c r="BM417" s="40">
        <f>BM416*(1-IF(B416&gt;=in_marketplace_from,d_hz_recharge*G416,0))</f>
        <v/>
      </c>
      <c r="BN417" s="40">
        <f>BN416*d_rho_recharge+BM417*IF(B417&gt;=in_marketplace_from,d_hz_recharge*G417,0)</f>
        <v/>
      </c>
      <c r="BO417" s="14">
        <f>F417*BN417*in_recharge_ticket*in_recharge_comm/12</f>
        <v/>
      </c>
      <c r="BP417" s="40">
        <f>BP416*(1-IF(B416&gt;=in_marketplace_from,d_hz_bills*G416,0))</f>
        <v/>
      </c>
      <c r="BQ417" s="40">
        <f>BQ416*d_rho_bills+BP417*IF(B417&gt;=in_marketplace_from,d_hz_bills*G417,0)</f>
        <v/>
      </c>
      <c r="BR417" s="14">
        <f>F417*BQ417*in_bills_ticket*in_bills_comm/12</f>
        <v/>
      </c>
      <c r="BS417" s="40">
        <f>BS416*(1-IF(B416&gt;=in_marketplace_from,d_hz_loan_gold*G416,0))</f>
        <v/>
      </c>
      <c r="BT417" s="14">
        <f>F417*BS417*IF(B417&gt;=in_marketplace_from,d_hz_loan_gold*G417,0)*in_loan_gold_ticket*in_loan_gold_comm</f>
        <v/>
      </c>
      <c r="BU417" s="40">
        <f>BU416*(1-IF(B416&gt;=in_marketplace_from,d_hz_loan_cd*G416,0))</f>
        <v/>
      </c>
      <c r="BV417" s="14">
        <f>F417*BU417*IF(B417&gt;=in_marketplace_from,d_hz_loan_cd*G417,0)*in_loan_cd_ticket*in_loan_cd_comm</f>
        <v/>
      </c>
      <c r="BW417" s="40">
        <f>BW416*(1-IF(B416&gt;=in_marketplace_from,d_hz_loan_vehicle*G416,0))</f>
        <v/>
      </c>
      <c r="BX417" s="14">
        <f>F417*BW417*IF(B417&gt;=in_marketplace_from,d_hz_loan_vehicle*G417,0)*in_loan_vehicle_ticket*in_loan_vehicle_comm</f>
        <v/>
      </c>
      <c r="BY417" s="40">
        <f>BY416*(1-IF(B416&gt;=in_marketplace_from,d_hz_loan_home*G416,0)*BZ416)</f>
        <v/>
      </c>
      <c r="BZ417" s="11">
        <f>MIN(in_approval_cap,in_loan_home_approval*INDEX('Age profile'!$O$2:$O$61,B417)*(1+in_approval_growth)^(D417-1))</f>
        <v/>
      </c>
      <c r="CA417" s="14">
        <f>F417*BY417*IF(B417&gt;=in_marketplace_from,d_hz_loan_home*G417,0)*BZ417*in_loan_home_ticket*in_loan_home_comm</f>
        <v/>
      </c>
      <c r="CB417" s="40">
        <f>CB416*(1-IF(B416&gt;=in_marketplace_from,d_hz_loan_lap*G416,0)*CC416)</f>
        <v/>
      </c>
      <c r="CC417" s="11">
        <f>MIN(in_approval_cap,in_loan_lap_approval*INDEX('Age profile'!$O$2:$O$61,B417)*(1+in_approval_growth)^(D417-1))</f>
        <v/>
      </c>
      <c r="CD417" s="14">
        <f>F417*CB417*IF(B417&gt;=in_marketplace_from,d_hz_loan_lap*G417,0)*CC417*in_loan_lap_ticket*in_loan_lap_comm</f>
        <v/>
      </c>
      <c r="CE417" s="14">
        <f>AA417+AB417+AC417+AD417+AG417+AJ417+AM417+AP417+AS417+AU417+AX417+BB417+BE417+BG417+BJ417+BL417+BO417+BR417+BT417+BV417+BX417+CA417+CD417</f>
        <v/>
      </c>
    </row>
    <row r="418">
      <c r="A418" s="39" t="n">
        <v>8</v>
      </c>
      <c r="B418" s="39" t="n">
        <v>18</v>
      </c>
      <c r="C418" s="39">
        <f>A418+B418-1</f>
        <v/>
      </c>
      <c r="D418" s="39">
        <f>INT((C418-1)/12)+1</f>
        <v/>
      </c>
      <c r="E418" s="44">
        <f>INDEX(Monthly!$B$2:$B$61,A418)</f>
        <v/>
      </c>
      <c r="F418" s="44">
        <f>E418*INDEX('Age profile'!$B$2:$B$61,B418)</f>
        <v/>
      </c>
      <c r="G418" s="45">
        <f>MIN(in_takeup_cap,INDEX('Age profile'!$N$2:$N$61,B418)*(1+in_takeup_growth)^(D418-1))</f>
        <v/>
      </c>
      <c r="H418" s="11">
        <f>MIN(in_approval_cap,in_approved_first*INDEX('Age profile'!$O$2:$O$61,B418)*(1+in_approval_growth)^(D418-1))</f>
        <v/>
      </c>
      <c r="I418" s="45">
        <f>G418*MIN(in_takeup_cap,INDEX('Age profile'!$O$2:$O$61,B418)*(1+in_approval_growth)^(D418-1))</f>
        <v/>
      </c>
      <c r="J418" s="40">
        <f>(J417-L417)*F418/F417</f>
        <v/>
      </c>
      <c r="K418" s="40">
        <f>(K417-M417)*F418/F417+SUMIFS(O401:O417,B401:B417,B418-1-d_T)*F418</f>
        <v/>
      </c>
      <c r="L418" s="40">
        <f>IF(B418&gt;=in_marketplace_from,J418*d_hz*G418*in_eligible*H418,0)</f>
        <v/>
      </c>
      <c r="M418" s="40">
        <f>IF(B418&gt;=in_marketplace_from,K418*d_hz*G418*in_eligible*in_approved_repeat,0)</f>
        <v/>
      </c>
      <c r="N418" s="40">
        <f>L418+M418</f>
        <v/>
      </c>
      <c r="O418" s="46">
        <f>N418/F418</f>
        <v/>
      </c>
      <c r="P418" s="40">
        <f>F418-J418-K418</f>
        <v/>
      </c>
      <c r="Q418" s="40">
        <f>IF(B418&gt;=in_marketplace_from,(J418+K418)*d_hz*G418,0)</f>
        <v/>
      </c>
      <c r="R418" s="40">
        <f>SUMIFS(N401:N453,B401:B453,"&gt;="&amp;(B418-d_T),B401:B453,"&lt;="&amp;(B418-1))</f>
        <v/>
      </c>
      <c r="S418" s="46">
        <f>(1-d_u)*S417+IF(d_T&gt;in_topup_lag,SUMIFS(O401:O453,B401:B453,B418-in_topup_lag)-d_udrop*SUMIFS(O401:O453,B401:B453,B418-d_T),0)</f>
        <v/>
      </c>
      <c r="T418" s="40">
        <f>F418*d_u*S418</f>
        <v/>
      </c>
      <c r="U418" s="9">
        <f>L418*in_ticket+M418*d_rep_ticket</f>
        <v/>
      </c>
      <c r="V418" s="9">
        <f>U418+T418*d_topup_amt</f>
        <v/>
      </c>
      <c r="W418" s="40">
        <f>N418+T418*d_topup_ratio</f>
        <v/>
      </c>
      <c r="X418" s="40">
        <f>SUMIFS(W401:W453,B401:B453,B418-in_dpd_lag)*d_cured</f>
        <v/>
      </c>
      <c r="Y418" s="40">
        <f>SUMIFS(W401:W453,B401:B453,B418-in_rec_lag)*d_recd</f>
        <v/>
      </c>
      <c r="Z418" s="40">
        <f>IF(AND(B418&gt;=in_marketplace_from,B418&lt;in_marketplace_from+in_card_months),in_card_share/in_card_months*F418*I418,IF(AND(B418&gt;=in_marketplace_from+in_card_months,B418&lt;in_marketplace_from+2*in_card_months),in_card_share*d_card_rem/in_card_months*F418*MIN(in_takeup_cap,(1+in_takeup_growth)^(D418-1))*MIN(in_takeup_cap,(1+in_approval_growth)^(D418-1)),0))</f>
        <v/>
      </c>
      <c r="AA418" s="14">
        <f>V418*in_fee*(1-in_taken_back)</f>
        <v/>
      </c>
      <c r="AB418" s="14">
        <f>SUMIFS(W401:W453,B401:B453,B418-in_dpd_lag)*d_dpd</f>
        <v/>
      </c>
      <c r="AC418" s="14">
        <f>SUMIFS(W401:W453,B401:B453,B418-in_rec_lag)*d_rec</f>
        <v/>
      </c>
      <c r="AD418" s="14">
        <f>Z418*in_card_fee</f>
        <v/>
      </c>
      <c r="AE418" s="40">
        <f>AE417*(1-IF(B417&gt;=in_marketplace_from,d_hz_hlth_small*G417,0))</f>
        <v/>
      </c>
      <c r="AF418" s="46">
        <f>AE418*IF(B418&gt;=in_marketplace_from,d_hz_hlth_small*G418,0)</f>
        <v/>
      </c>
      <c r="AG418" s="14">
        <f>F418*AF418*in_hlth_small_ticket*in_hlth_small_comm*in_ins_partner_share+F418*in_hlth_small_ticket*in_hlth_small_renew_comm*in_ins_partner_share*(in_hlth_small_renew^1*SUMIFS(AF401:AF453,B401:B453,B418-12)+in_hlth_small_renew^2*SUMIFS(AF401:AF453,B401:B453,B418-24)+in_hlth_small_renew^3*SUMIFS(AF401:AF453,B401:B453,B418-36)+in_hlth_small_renew^4*SUMIFS(AF401:AF453,B401:B453,B418-48))</f>
        <v/>
      </c>
      <c r="AH418" s="40">
        <f>AH417*(1-IF(B417&gt;=in_marketplace_from,d_hz_hlth_family*G417,0))</f>
        <v/>
      </c>
      <c r="AI418" s="46">
        <f>AH418*IF(B418&gt;=in_marketplace_from,d_hz_hlth_family*G418,0)</f>
        <v/>
      </c>
      <c r="AJ418" s="14">
        <f>F418*AI418*in_hlth_family_ticket*in_hlth_family_comm*in_ins_partner_share+F418*in_hlth_family_ticket*in_hlth_family_renew_comm*in_ins_partner_share*(in_hlth_family_renew^1*SUMIFS(AI401:AI453,B401:B453,B418-12)+in_hlth_family_renew^2*SUMIFS(AI401:AI453,B401:B453,B418-24)+in_hlth_family_renew^3*SUMIFS(AI401:AI453,B401:B453,B418-36)+in_hlth_family_renew^4*SUMIFS(AI401:AI453,B401:B453,B418-48))</f>
        <v/>
      </c>
      <c r="AK418" s="40">
        <f>AK417*(1-IF(B417&gt;=in_marketplace_from,d_hz_life_term*G417,0))</f>
        <v/>
      </c>
      <c r="AL418" s="46">
        <f>AK418*IF(B418&gt;=in_marketplace_from,d_hz_life_term*G418,0)</f>
        <v/>
      </c>
      <c r="AM418" s="14">
        <f>F418*AL418*in_life_term_ticket*in_life_term_comm*in_ins_partner_share+F418*in_life_term_ticket*in_life_term_renew_comm*in_ins_partner_share*(in_life_term_renew^1*SUMIFS(AL401:AL453,B401:B453,B418-12)+in_life_term_renew^2*SUMIFS(AL401:AL453,B401:B453,B418-24)+in_life_term_renew^3*SUMIFS(AL401:AL453,B401:B453,B418-36)+in_life_term_renew^4*SUMIFS(AL401:AL453,B401:B453,B418-48))</f>
        <v/>
      </c>
      <c r="AN418" s="40">
        <f>AN417*(1-IF(B417&gt;=in_marketplace_from,d_hz_accident*G417,0))</f>
        <v/>
      </c>
      <c r="AO418" s="46">
        <f>AN418*IF(B418&gt;=in_marketplace_from,d_hz_accident*G418,0)</f>
        <v/>
      </c>
      <c r="AP418" s="14">
        <f>F418*AO418*in_accident_ticket*in_accident_comm*in_ins_partner_share+F418*in_accident_ticket*in_accident_renew_comm*in_ins_partner_share*(in_accident_renew^1*SUMIFS(AO401:AO453,B401:B453,B418-12)+in_accident_renew^2*SUMIFS(AO401:AO453,B401:B453,B418-24)+in_accident_renew^3*SUMIFS(AO401:AO453,B401:B453,B418-36)+in_accident_renew^4*SUMIFS(AO401:AO453,B401:B453,B418-48))</f>
        <v/>
      </c>
      <c r="AQ418" s="40">
        <f>AQ417*(1-IF(B417&gt;=in_marketplace_from,d_hz_two_wheeler*G417,0))</f>
        <v/>
      </c>
      <c r="AR418" s="46">
        <f>AQ418*IF(B418&gt;=in_marketplace_from,d_hz_two_wheeler*G418,0)</f>
        <v/>
      </c>
      <c r="AS418" s="14">
        <f>F418*AR418*in_two_wheeler_ticket*in_two_wheeler_comm*in_ins_partner_share+F418*in_two_wheeler_ticket*in_two_wheeler_comm*in_ins_partner_share*(in_two_wheeler_renew^1*SUMIFS(AR401:AR453,B401:B453,B418-12)+in_two_wheeler_renew^2*SUMIFS(AR401:AR453,B401:B453,B418-24)+in_two_wheeler_renew^3*SUMIFS(AR401:AR453,B401:B453,B418-36)+in_two_wheeler_renew^4*SUMIFS(AR401:AR453,B401:B453,B418-48))</f>
        <v/>
      </c>
      <c r="AT418" s="40">
        <f>AT417*(1-IF(B417&gt;=in_marketplace_from,d_hz_device*G417,0))</f>
        <v/>
      </c>
      <c r="AU418" s="14">
        <f>F418*AT418*IF(B418&gt;=in_marketplace_from,d_hz_device*G418,0)*in_device_ticket*in_device_comm*in_ins_partner_share</f>
        <v/>
      </c>
      <c r="AV418" s="40">
        <f>AV417*(1-IF(B417&gt;=in_marketplace_from,d_hz_shop*G417,0))</f>
        <v/>
      </c>
      <c r="AW418" s="46">
        <f>AV418*IF(B418&gt;=in_marketplace_from,d_hz_shop*G418,0)</f>
        <v/>
      </c>
      <c r="AX418" s="14">
        <f>F418*AW418*in_shop_ticket*in_shop_comm*in_ins_partner_share+F418*in_shop_ticket*in_shop_renew_comm*in_ins_partner_share*(in_shop_renew^1*SUMIFS(AW401:AW453,B401:B453,B418-12)+in_shop_renew^2*SUMIFS(AW401:AW453,B401:B453,B418-24)+in_shop_renew^3*SUMIFS(AW401:AW453,B401:B453,B418-36)+in_shop_renew^4*SUMIFS(AW401:AW453,B401:B453,B418-48))</f>
        <v/>
      </c>
      <c r="AY418" s="40">
        <f>AY417*(1-IF(B417&gt;=in_marketplace_from,d_hz_sip*G417,0))</f>
        <v/>
      </c>
      <c r="AZ418" s="40">
        <f>AZ417*d_rho_sip+AY418*IF(B418&gt;=in_marketplace_from,d_hz_sip*G418,0)</f>
        <v/>
      </c>
      <c r="BA418" s="40">
        <f>d_rho_sip*(BA417+AZ417)</f>
        <v/>
      </c>
      <c r="BB418" s="14">
        <f>F418*in_sip_ticket*(BA418+0.5*AZ418)*in_sip_comm/12</f>
        <v/>
      </c>
      <c r="BC418" s="40">
        <f>BC417*(1-IF(B417&gt;=in_marketplace_from,d_hz_choti*G417,0))</f>
        <v/>
      </c>
      <c r="BD418" s="46">
        <f>BC418*IF(B418&gt;=in_marketplace_from,d_hz_choti*G418,0)</f>
        <v/>
      </c>
      <c r="BE418" s="14">
        <f>F418*SUMIFS(BD401:BD453,B401:B453,B418-in_choti_months)*in_choti_renew*in_choti_ticket</f>
        <v/>
      </c>
      <c r="BF418" s="40">
        <f>BF417*(1-IF(B417&gt;=in_marketplace_from,d_hz_nps*G417,0))</f>
        <v/>
      </c>
      <c r="BG418" s="14">
        <f>F418*BF418*IF(B418&gt;=in_marketplace_from,d_hz_nps*G418,0)*in_nps_ticket*in_nps_comm</f>
        <v/>
      </c>
      <c r="BH418" s="40">
        <f>BH417*(1-IF(B417&gt;=in_marketplace_from,d_hz_gold*G417,0))</f>
        <v/>
      </c>
      <c r="BI418" s="40">
        <f>BI417*d_rho_gold+BH418*IF(B418&gt;=in_marketplace_from,d_hz_gold*G418,0)</f>
        <v/>
      </c>
      <c r="BJ418" s="14">
        <f>F418*BI418*in_gold_ticket*in_gold_comm</f>
        <v/>
      </c>
      <c r="BK418" s="40">
        <f>BK417*(1-IF(B417&gt;=in_marketplace_from,d_hz_fd*G417,0))</f>
        <v/>
      </c>
      <c r="BL418" s="14">
        <f>F418*BK418*IF(B418&gt;=in_marketplace_from,d_hz_fd*G418,0)*in_fd_ticket*in_fd_comm</f>
        <v/>
      </c>
      <c r="BM418" s="40">
        <f>BM417*(1-IF(B417&gt;=in_marketplace_from,d_hz_recharge*G417,0))</f>
        <v/>
      </c>
      <c r="BN418" s="40">
        <f>BN417*d_rho_recharge+BM418*IF(B418&gt;=in_marketplace_from,d_hz_recharge*G418,0)</f>
        <v/>
      </c>
      <c r="BO418" s="14">
        <f>F418*BN418*in_recharge_ticket*in_recharge_comm/12</f>
        <v/>
      </c>
      <c r="BP418" s="40">
        <f>BP417*(1-IF(B417&gt;=in_marketplace_from,d_hz_bills*G417,0))</f>
        <v/>
      </c>
      <c r="BQ418" s="40">
        <f>BQ417*d_rho_bills+BP418*IF(B418&gt;=in_marketplace_from,d_hz_bills*G418,0)</f>
        <v/>
      </c>
      <c r="BR418" s="14">
        <f>F418*BQ418*in_bills_ticket*in_bills_comm/12</f>
        <v/>
      </c>
      <c r="BS418" s="40">
        <f>BS417*(1-IF(B417&gt;=in_marketplace_from,d_hz_loan_gold*G417,0))</f>
        <v/>
      </c>
      <c r="BT418" s="14">
        <f>F418*BS418*IF(B418&gt;=in_marketplace_from,d_hz_loan_gold*G418,0)*in_loan_gold_ticket*in_loan_gold_comm</f>
        <v/>
      </c>
      <c r="BU418" s="40">
        <f>BU417*(1-IF(B417&gt;=in_marketplace_from,d_hz_loan_cd*G417,0))</f>
        <v/>
      </c>
      <c r="BV418" s="14">
        <f>F418*BU418*IF(B418&gt;=in_marketplace_from,d_hz_loan_cd*G418,0)*in_loan_cd_ticket*in_loan_cd_comm</f>
        <v/>
      </c>
      <c r="BW418" s="40">
        <f>BW417*(1-IF(B417&gt;=in_marketplace_from,d_hz_loan_vehicle*G417,0))</f>
        <v/>
      </c>
      <c r="BX418" s="14">
        <f>F418*BW418*IF(B418&gt;=in_marketplace_from,d_hz_loan_vehicle*G418,0)*in_loan_vehicle_ticket*in_loan_vehicle_comm</f>
        <v/>
      </c>
      <c r="BY418" s="40">
        <f>BY417*(1-IF(B417&gt;=in_marketplace_from,d_hz_loan_home*G417,0)*BZ417)</f>
        <v/>
      </c>
      <c r="BZ418" s="11">
        <f>MIN(in_approval_cap,in_loan_home_approval*INDEX('Age profile'!$O$2:$O$61,B418)*(1+in_approval_growth)^(D418-1))</f>
        <v/>
      </c>
      <c r="CA418" s="14">
        <f>F418*BY418*IF(B418&gt;=in_marketplace_from,d_hz_loan_home*G418,0)*BZ418*in_loan_home_ticket*in_loan_home_comm</f>
        <v/>
      </c>
      <c r="CB418" s="40">
        <f>CB417*(1-IF(B417&gt;=in_marketplace_from,d_hz_loan_lap*G417,0)*CC417)</f>
        <v/>
      </c>
      <c r="CC418" s="11">
        <f>MIN(in_approval_cap,in_loan_lap_approval*INDEX('Age profile'!$O$2:$O$61,B418)*(1+in_approval_growth)^(D418-1))</f>
        <v/>
      </c>
      <c r="CD418" s="14">
        <f>F418*CB418*IF(B418&gt;=in_marketplace_from,d_hz_loan_lap*G418,0)*CC418*in_loan_lap_ticket*in_loan_lap_comm</f>
        <v/>
      </c>
      <c r="CE418" s="14">
        <f>AA418+AB418+AC418+AD418+AG418+AJ418+AM418+AP418+AS418+AU418+AX418+BB418+BE418+BG418+BJ418+BL418+BO418+BR418+BT418+BV418+BX418+CA418+CD418</f>
        <v/>
      </c>
    </row>
    <row r="419">
      <c r="A419" s="39" t="n">
        <v>8</v>
      </c>
      <c r="B419" s="39" t="n">
        <v>19</v>
      </c>
      <c r="C419" s="39">
        <f>A419+B419-1</f>
        <v/>
      </c>
      <c r="D419" s="39">
        <f>INT((C419-1)/12)+1</f>
        <v/>
      </c>
      <c r="E419" s="44">
        <f>INDEX(Monthly!$B$2:$B$61,A419)</f>
        <v/>
      </c>
      <c r="F419" s="44">
        <f>E419*INDEX('Age profile'!$B$2:$B$61,B419)</f>
        <v/>
      </c>
      <c r="G419" s="45">
        <f>MIN(in_takeup_cap,INDEX('Age profile'!$N$2:$N$61,B419)*(1+in_takeup_growth)^(D419-1))</f>
        <v/>
      </c>
      <c r="H419" s="11">
        <f>MIN(in_approval_cap,in_approved_first*INDEX('Age profile'!$O$2:$O$61,B419)*(1+in_approval_growth)^(D419-1))</f>
        <v/>
      </c>
      <c r="I419" s="45">
        <f>G419*MIN(in_takeup_cap,INDEX('Age profile'!$O$2:$O$61,B419)*(1+in_approval_growth)^(D419-1))</f>
        <v/>
      </c>
      <c r="J419" s="40">
        <f>(J418-L418)*F419/F418</f>
        <v/>
      </c>
      <c r="K419" s="40">
        <f>(K418-M418)*F419/F418+SUMIFS(O401:O418,B401:B418,B419-1-d_T)*F419</f>
        <v/>
      </c>
      <c r="L419" s="40">
        <f>IF(B419&gt;=in_marketplace_from,J419*d_hz*G419*in_eligible*H419,0)</f>
        <v/>
      </c>
      <c r="M419" s="40">
        <f>IF(B419&gt;=in_marketplace_from,K419*d_hz*G419*in_eligible*in_approved_repeat,0)</f>
        <v/>
      </c>
      <c r="N419" s="40">
        <f>L419+M419</f>
        <v/>
      </c>
      <c r="O419" s="46">
        <f>N419/F419</f>
        <v/>
      </c>
      <c r="P419" s="40">
        <f>F419-J419-K419</f>
        <v/>
      </c>
      <c r="Q419" s="40">
        <f>IF(B419&gt;=in_marketplace_from,(J419+K419)*d_hz*G419,0)</f>
        <v/>
      </c>
      <c r="R419" s="40">
        <f>SUMIFS(N401:N453,B401:B453,"&gt;="&amp;(B419-d_T),B401:B453,"&lt;="&amp;(B419-1))</f>
        <v/>
      </c>
      <c r="S419" s="46">
        <f>(1-d_u)*S418+IF(d_T&gt;in_topup_lag,SUMIFS(O401:O453,B401:B453,B419-in_topup_lag)-d_udrop*SUMIFS(O401:O453,B401:B453,B419-d_T),0)</f>
        <v/>
      </c>
      <c r="T419" s="40">
        <f>F419*d_u*S419</f>
        <v/>
      </c>
      <c r="U419" s="9">
        <f>L419*in_ticket+M419*d_rep_ticket</f>
        <v/>
      </c>
      <c r="V419" s="9">
        <f>U419+T419*d_topup_amt</f>
        <v/>
      </c>
      <c r="W419" s="40">
        <f>N419+T419*d_topup_ratio</f>
        <v/>
      </c>
      <c r="X419" s="40">
        <f>SUMIFS(W401:W453,B401:B453,B419-in_dpd_lag)*d_cured</f>
        <v/>
      </c>
      <c r="Y419" s="40">
        <f>SUMIFS(W401:W453,B401:B453,B419-in_rec_lag)*d_recd</f>
        <v/>
      </c>
      <c r="Z419" s="40">
        <f>IF(AND(B419&gt;=in_marketplace_from,B419&lt;in_marketplace_from+in_card_months),in_card_share/in_card_months*F419*I419,IF(AND(B419&gt;=in_marketplace_from+in_card_months,B419&lt;in_marketplace_from+2*in_card_months),in_card_share*d_card_rem/in_card_months*F419*MIN(in_takeup_cap,(1+in_takeup_growth)^(D419-1))*MIN(in_takeup_cap,(1+in_approval_growth)^(D419-1)),0))</f>
        <v/>
      </c>
      <c r="AA419" s="14">
        <f>V419*in_fee*(1-in_taken_back)</f>
        <v/>
      </c>
      <c r="AB419" s="14">
        <f>SUMIFS(W401:W453,B401:B453,B419-in_dpd_lag)*d_dpd</f>
        <v/>
      </c>
      <c r="AC419" s="14">
        <f>SUMIFS(W401:W453,B401:B453,B419-in_rec_lag)*d_rec</f>
        <v/>
      </c>
      <c r="AD419" s="14">
        <f>Z419*in_card_fee</f>
        <v/>
      </c>
      <c r="AE419" s="40">
        <f>AE418*(1-IF(B418&gt;=in_marketplace_from,d_hz_hlth_small*G418,0))</f>
        <v/>
      </c>
      <c r="AF419" s="46">
        <f>AE419*IF(B419&gt;=in_marketplace_from,d_hz_hlth_small*G419,0)</f>
        <v/>
      </c>
      <c r="AG419" s="14">
        <f>F419*AF419*in_hlth_small_ticket*in_hlth_small_comm*in_ins_partner_share+F419*in_hlth_small_ticket*in_hlth_small_renew_comm*in_ins_partner_share*(in_hlth_small_renew^1*SUMIFS(AF401:AF453,B401:B453,B419-12)+in_hlth_small_renew^2*SUMIFS(AF401:AF453,B401:B453,B419-24)+in_hlth_small_renew^3*SUMIFS(AF401:AF453,B401:B453,B419-36)+in_hlth_small_renew^4*SUMIFS(AF401:AF453,B401:B453,B419-48))</f>
        <v/>
      </c>
      <c r="AH419" s="40">
        <f>AH418*(1-IF(B418&gt;=in_marketplace_from,d_hz_hlth_family*G418,0))</f>
        <v/>
      </c>
      <c r="AI419" s="46">
        <f>AH419*IF(B419&gt;=in_marketplace_from,d_hz_hlth_family*G419,0)</f>
        <v/>
      </c>
      <c r="AJ419" s="14">
        <f>F419*AI419*in_hlth_family_ticket*in_hlth_family_comm*in_ins_partner_share+F419*in_hlth_family_ticket*in_hlth_family_renew_comm*in_ins_partner_share*(in_hlth_family_renew^1*SUMIFS(AI401:AI453,B401:B453,B419-12)+in_hlth_family_renew^2*SUMIFS(AI401:AI453,B401:B453,B419-24)+in_hlth_family_renew^3*SUMIFS(AI401:AI453,B401:B453,B419-36)+in_hlth_family_renew^4*SUMIFS(AI401:AI453,B401:B453,B419-48))</f>
        <v/>
      </c>
      <c r="AK419" s="40">
        <f>AK418*(1-IF(B418&gt;=in_marketplace_from,d_hz_life_term*G418,0))</f>
        <v/>
      </c>
      <c r="AL419" s="46">
        <f>AK419*IF(B419&gt;=in_marketplace_from,d_hz_life_term*G419,0)</f>
        <v/>
      </c>
      <c r="AM419" s="14">
        <f>F419*AL419*in_life_term_ticket*in_life_term_comm*in_ins_partner_share+F419*in_life_term_ticket*in_life_term_renew_comm*in_ins_partner_share*(in_life_term_renew^1*SUMIFS(AL401:AL453,B401:B453,B419-12)+in_life_term_renew^2*SUMIFS(AL401:AL453,B401:B453,B419-24)+in_life_term_renew^3*SUMIFS(AL401:AL453,B401:B453,B419-36)+in_life_term_renew^4*SUMIFS(AL401:AL453,B401:B453,B419-48))</f>
        <v/>
      </c>
      <c r="AN419" s="40">
        <f>AN418*(1-IF(B418&gt;=in_marketplace_from,d_hz_accident*G418,0))</f>
        <v/>
      </c>
      <c r="AO419" s="46">
        <f>AN419*IF(B419&gt;=in_marketplace_from,d_hz_accident*G419,0)</f>
        <v/>
      </c>
      <c r="AP419" s="14">
        <f>F419*AO419*in_accident_ticket*in_accident_comm*in_ins_partner_share+F419*in_accident_ticket*in_accident_renew_comm*in_ins_partner_share*(in_accident_renew^1*SUMIFS(AO401:AO453,B401:B453,B419-12)+in_accident_renew^2*SUMIFS(AO401:AO453,B401:B453,B419-24)+in_accident_renew^3*SUMIFS(AO401:AO453,B401:B453,B419-36)+in_accident_renew^4*SUMIFS(AO401:AO453,B401:B453,B419-48))</f>
        <v/>
      </c>
      <c r="AQ419" s="40">
        <f>AQ418*(1-IF(B418&gt;=in_marketplace_from,d_hz_two_wheeler*G418,0))</f>
        <v/>
      </c>
      <c r="AR419" s="46">
        <f>AQ419*IF(B419&gt;=in_marketplace_from,d_hz_two_wheeler*G419,0)</f>
        <v/>
      </c>
      <c r="AS419" s="14">
        <f>F419*AR419*in_two_wheeler_ticket*in_two_wheeler_comm*in_ins_partner_share+F419*in_two_wheeler_ticket*in_two_wheeler_comm*in_ins_partner_share*(in_two_wheeler_renew^1*SUMIFS(AR401:AR453,B401:B453,B419-12)+in_two_wheeler_renew^2*SUMIFS(AR401:AR453,B401:B453,B419-24)+in_two_wheeler_renew^3*SUMIFS(AR401:AR453,B401:B453,B419-36)+in_two_wheeler_renew^4*SUMIFS(AR401:AR453,B401:B453,B419-48))</f>
        <v/>
      </c>
      <c r="AT419" s="40">
        <f>AT418*(1-IF(B418&gt;=in_marketplace_from,d_hz_device*G418,0))</f>
        <v/>
      </c>
      <c r="AU419" s="14">
        <f>F419*AT419*IF(B419&gt;=in_marketplace_from,d_hz_device*G419,0)*in_device_ticket*in_device_comm*in_ins_partner_share</f>
        <v/>
      </c>
      <c r="AV419" s="40">
        <f>AV418*(1-IF(B418&gt;=in_marketplace_from,d_hz_shop*G418,0))</f>
        <v/>
      </c>
      <c r="AW419" s="46">
        <f>AV419*IF(B419&gt;=in_marketplace_from,d_hz_shop*G419,0)</f>
        <v/>
      </c>
      <c r="AX419" s="14">
        <f>F419*AW419*in_shop_ticket*in_shop_comm*in_ins_partner_share+F419*in_shop_ticket*in_shop_renew_comm*in_ins_partner_share*(in_shop_renew^1*SUMIFS(AW401:AW453,B401:B453,B419-12)+in_shop_renew^2*SUMIFS(AW401:AW453,B401:B453,B419-24)+in_shop_renew^3*SUMIFS(AW401:AW453,B401:B453,B419-36)+in_shop_renew^4*SUMIFS(AW401:AW453,B401:B453,B419-48))</f>
        <v/>
      </c>
      <c r="AY419" s="40">
        <f>AY418*(1-IF(B418&gt;=in_marketplace_from,d_hz_sip*G418,0))</f>
        <v/>
      </c>
      <c r="AZ419" s="40">
        <f>AZ418*d_rho_sip+AY419*IF(B419&gt;=in_marketplace_from,d_hz_sip*G419,0)</f>
        <v/>
      </c>
      <c r="BA419" s="40">
        <f>d_rho_sip*(BA418+AZ418)</f>
        <v/>
      </c>
      <c r="BB419" s="14">
        <f>F419*in_sip_ticket*(BA419+0.5*AZ419)*in_sip_comm/12</f>
        <v/>
      </c>
      <c r="BC419" s="40">
        <f>BC418*(1-IF(B418&gt;=in_marketplace_from,d_hz_choti*G418,0))</f>
        <v/>
      </c>
      <c r="BD419" s="46">
        <f>BC419*IF(B419&gt;=in_marketplace_from,d_hz_choti*G419,0)</f>
        <v/>
      </c>
      <c r="BE419" s="14">
        <f>F419*SUMIFS(BD401:BD453,B401:B453,B419-in_choti_months)*in_choti_renew*in_choti_ticket</f>
        <v/>
      </c>
      <c r="BF419" s="40">
        <f>BF418*(1-IF(B418&gt;=in_marketplace_from,d_hz_nps*G418,0))</f>
        <v/>
      </c>
      <c r="BG419" s="14">
        <f>F419*BF419*IF(B419&gt;=in_marketplace_from,d_hz_nps*G419,0)*in_nps_ticket*in_nps_comm</f>
        <v/>
      </c>
      <c r="BH419" s="40">
        <f>BH418*(1-IF(B418&gt;=in_marketplace_from,d_hz_gold*G418,0))</f>
        <v/>
      </c>
      <c r="BI419" s="40">
        <f>BI418*d_rho_gold+BH419*IF(B419&gt;=in_marketplace_from,d_hz_gold*G419,0)</f>
        <v/>
      </c>
      <c r="BJ419" s="14">
        <f>F419*BI419*in_gold_ticket*in_gold_comm</f>
        <v/>
      </c>
      <c r="BK419" s="40">
        <f>BK418*(1-IF(B418&gt;=in_marketplace_from,d_hz_fd*G418,0))</f>
        <v/>
      </c>
      <c r="BL419" s="14">
        <f>F419*BK419*IF(B419&gt;=in_marketplace_from,d_hz_fd*G419,0)*in_fd_ticket*in_fd_comm</f>
        <v/>
      </c>
      <c r="BM419" s="40">
        <f>BM418*(1-IF(B418&gt;=in_marketplace_from,d_hz_recharge*G418,0))</f>
        <v/>
      </c>
      <c r="BN419" s="40">
        <f>BN418*d_rho_recharge+BM419*IF(B419&gt;=in_marketplace_from,d_hz_recharge*G419,0)</f>
        <v/>
      </c>
      <c r="BO419" s="14">
        <f>F419*BN419*in_recharge_ticket*in_recharge_comm/12</f>
        <v/>
      </c>
      <c r="BP419" s="40">
        <f>BP418*(1-IF(B418&gt;=in_marketplace_from,d_hz_bills*G418,0))</f>
        <v/>
      </c>
      <c r="BQ419" s="40">
        <f>BQ418*d_rho_bills+BP419*IF(B419&gt;=in_marketplace_from,d_hz_bills*G419,0)</f>
        <v/>
      </c>
      <c r="BR419" s="14">
        <f>F419*BQ419*in_bills_ticket*in_bills_comm/12</f>
        <v/>
      </c>
      <c r="BS419" s="40">
        <f>BS418*(1-IF(B418&gt;=in_marketplace_from,d_hz_loan_gold*G418,0))</f>
        <v/>
      </c>
      <c r="BT419" s="14">
        <f>F419*BS419*IF(B419&gt;=in_marketplace_from,d_hz_loan_gold*G419,0)*in_loan_gold_ticket*in_loan_gold_comm</f>
        <v/>
      </c>
      <c r="BU419" s="40">
        <f>BU418*(1-IF(B418&gt;=in_marketplace_from,d_hz_loan_cd*G418,0))</f>
        <v/>
      </c>
      <c r="BV419" s="14">
        <f>F419*BU419*IF(B419&gt;=in_marketplace_from,d_hz_loan_cd*G419,0)*in_loan_cd_ticket*in_loan_cd_comm</f>
        <v/>
      </c>
      <c r="BW419" s="40">
        <f>BW418*(1-IF(B418&gt;=in_marketplace_from,d_hz_loan_vehicle*G418,0))</f>
        <v/>
      </c>
      <c r="BX419" s="14">
        <f>F419*BW419*IF(B419&gt;=in_marketplace_from,d_hz_loan_vehicle*G419,0)*in_loan_vehicle_ticket*in_loan_vehicle_comm</f>
        <v/>
      </c>
      <c r="BY419" s="40">
        <f>BY418*(1-IF(B418&gt;=in_marketplace_from,d_hz_loan_home*G418,0)*BZ418)</f>
        <v/>
      </c>
      <c r="BZ419" s="11">
        <f>MIN(in_approval_cap,in_loan_home_approval*INDEX('Age profile'!$O$2:$O$61,B419)*(1+in_approval_growth)^(D419-1))</f>
        <v/>
      </c>
      <c r="CA419" s="14">
        <f>F419*BY419*IF(B419&gt;=in_marketplace_from,d_hz_loan_home*G419,0)*BZ419*in_loan_home_ticket*in_loan_home_comm</f>
        <v/>
      </c>
      <c r="CB419" s="40">
        <f>CB418*(1-IF(B418&gt;=in_marketplace_from,d_hz_loan_lap*G418,0)*CC418)</f>
        <v/>
      </c>
      <c r="CC419" s="11">
        <f>MIN(in_approval_cap,in_loan_lap_approval*INDEX('Age profile'!$O$2:$O$61,B419)*(1+in_approval_growth)^(D419-1))</f>
        <v/>
      </c>
      <c r="CD419" s="14">
        <f>F419*CB419*IF(B419&gt;=in_marketplace_from,d_hz_loan_lap*G419,0)*CC419*in_loan_lap_ticket*in_loan_lap_comm</f>
        <v/>
      </c>
      <c r="CE419" s="14">
        <f>AA419+AB419+AC419+AD419+AG419+AJ419+AM419+AP419+AS419+AU419+AX419+BB419+BE419+BG419+BJ419+BL419+BO419+BR419+BT419+BV419+BX419+CA419+CD419</f>
        <v/>
      </c>
    </row>
    <row r="420">
      <c r="A420" s="39" t="n">
        <v>8</v>
      </c>
      <c r="B420" s="39" t="n">
        <v>20</v>
      </c>
      <c r="C420" s="39">
        <f>A420+B420-1</f>
        <v/>
      </c>
      <c r="D420" s="39">
        <f>INT((C420-1)/12)+1</f>
        <v/>
      </c>
      <c r="E420" s="44">
        <f>INDEX(Monthly!$B$2:$B$61,A420)</f>
        <v/>
      </c>
      <c r="F420" s="44">
        <f>E420*INDEX('Age profile'!$B$2:$B$61,B420)</f>
        <v/>
      </c>
      <c r="G420" s="45">
        <f>MIN(in_takeup_cap,INDEX('Age profile'!$N$2:$N$61,B420)*(1+in_takeup_growth)^(D420-1))</f>
        <v/>
      </c>
      <c r="H420" s="11">
        <f>MIN(in_approval_cap,in_approved_first*INDEX('Age profile'!$O$2:$O$61,B420)*(1+in_approval_growth)^(D420-1))</f>
        <v/>
      </c>
      <c r="I420" s="45">
        <f>G420*MIN(in_takeup_cap,INDEX('Age profile'!$O$2:$O$61,B420)*(1+in_approval_growth)^(D420-1))</f>
        <v/>
      </c>
      <c r="J420" s="40">
        <f>(J419-L419)*F420/F419</f>
        <v/>
      </c>
      <c r="K420" s="40">
        <f>(K419-M419)*F420/F419+SUMIFS(O401:O419,B401:B419,B420-1-d_T)*F420</f>
        <v/>
      </c>
      <c r="L420" s="40">
        <f>IF(B420&gt;=in_marketplace_from,J420*d_hz*G420*in_eligible*H420,0)</f>
        <v/>
      </c>
      <c r="M420" s="40">
        <f>IF(B420&gt;=in_marketplace_from,K420*d_hz*G420*in_eligible*in_approved_repeat,0)</f>
        <v/>
      </c>
      <c r="N420" s="40">
        <f>L420+M420</f>
        <v/>
      </c>
      <c r="O420" s="46">
        <f>N420/F420</f>
        <v/>
      </c>
      <c r="P420" s="40">
        <f>F420-J420-K420</f>
        <v/>
      </c>
      <c r="Q420" s="40">
        <f>IF(B420&gt;=in_marketplace_from,(J420+K420)*d_hz*G420,0)</f>
        <v/>
      </c>
      <c r="R420" s="40">
        <f>SUMIFS(N401:N453,B401:B453,"&gt;="&amp;(B420-d_T),B401:B453,"&lt;="&amp;(B420-1))</f>
        <v/>
      </c>
      <c r="S420" s="46">
        <f>(1-d_u)*S419+IF(d_T&gt;in_topup_lag,SUMIFS(O401:O453,B401:B453,B420-in_topup_lag)-d_udrop*SUMIFS(O401:O453,B401:B453,B420-d_T),0)</f>
        <v/>
      </c>
      <c r="T420" s="40">
        <f>F420*d_u*S420</f>
        <v/>
      </c>
      <c r="U420" s="9">
        <f>L420*in_ticket+M420*d_rep_ticket</f>
        <v/>
      </c>
      <c r="V420" s="9">
        <f>U420+T420*d_topup_amt</f>
        <v/>
      </c>
      <c r="W420" s="40">
        <f>N420+T420*d_topup_ratio</f>
        <v/>
      </c>
      <c r="X420" s="40">
        <f>SUMIFS(W401:W453,B401:B453,B420-in_dpd_lag)*d_cured</f>
        <v/>
      </c>
      <c r="Y420" s="40">
        <f>SUMIFS(W401:W453,B401:B453,B420-in_rec_lag)*d_recd</f>
        <v/>
      </c>
      <c r="Z420" s="40">
        <f>IF(AND(B420&gt;=in_marketplace_from,B420&lt;in_marketplace_from+in_card_months),in_card_share/in_card_months*F420*I420,IF(AND(B420&gt;=in_marketplace_from+in_card_months,B420&lt;in_marketplace_from+2*in_card_months),in_card_share*d_card_rem/in_card_months*F420*MIN(in_takeup_cap,(1+in_takeup_growth)^(D420-1))*MIN(in_takeup_cap,(1+in_approval_growth)^(D420-1)),0))</f>
        <v/>
      </c>
      <c r="AA420" s="14">
        <f>V420*in_fee*(1-in_taken_back)</f>
        <v/>
      </c>
      <c r="AB420" s="14">
        <f>SUMIFS(W401:W453,B401:B453,B420-in_dpd_lag)*d_dpd</f>
        <v/>
      </c>
      <c r="AC420" s="14">
        <f>SUMIFS(W401:W453,B401:B453,B420-in_rec_lag)*d_rec</f>
        <v/>
      </c>
      <c r="AD420" s="14">
        <f>Z420*in_card_fee</f>
        <v/>
      </c>
      <c r="AE420" s="40">
        <f>AE419*(1-IF(B419&gt;=in_marketplace_from,d_hz_hlth_small*G419,0))</f>
        <v/>
      </c>
      <c r="AF420" s="46">
        <f>AE420*IF(B420&gt;=in_marketplace_from,d_hz_hlth_small*G420,0)</f>
        <v/>
      </c>
      <c r="AG420" s="14">
        <f>F420*AF420*in_hlth_small_ticket*in_hlth_small_comm*in_ins_partner_share+F420*in_hlth_small_ticket*in_hlth_small_renew_comm*in_ins_partner_share*(in_hlth_small_renew^1*SUMIFS(AF401:AF453,B401:B453,B420-12)+in_hlth_small_renew^2*SUMIFS(AF401:AF453,B401:B453,B420-24)+in_hlth_small_renew^3*SUMIFS(AF401:AF453,B401:B453,B420-36)+in_hlth_small_renew^4*SUMIFS(AF401:AF453,B401:B453,B420-48))</f>
        <v/>
      </c>
      <c r="AH420" s="40">
        <f>AH419*(1-IF(B419&gt;=in_marketplace_from,d_hz_hlth_family*G419,0))</f>
        <v/>
      </c>
      <c r="AI420" s="46">
        <f>AH420*IF(B420&gt;=in_marketplace_from,d_hz_hlth_family*G420,0)</f>
        <v/>
      </c>
      <c r="AJ420" s="14">
        <f>F420*AI420*in_hlth_family_ticket*in_hlth_family_comm*in_ins_partner_share+F420*in_hlth_family_ticket*in_hlth_family_renew_comm*in_ins_partner_share*(in_hlth_family_renew^1*SUMIFS(AI401:AI453,B401:B453,B420-12)+in_hlth_family_renew^2*SUMIFS(AI401:AI453,B401:B453,B420-24)+in_hlth_family_renew^3*SUMIFS(AI401:AI453,B401:B453,B420-36)+in_hlth_family_renew^4*SUMIFS(AI401:AI453,B401:B453,B420-48))</f>
        <v/>
      </c>
      <c r="AK420" s="40">
        <f>AK419*(1-IF(B419&gt;=in_marketplace_from,d_hz_life_term*G419,0))</f>
        <v/>
      </c>
      <c r="AL420" s="46">
        <f>AK420*IF(B420&gt;=in_marketplace_from,d_hz_life_term*G420,0)</f>
        <v/>
      </c>
      <c r="AM420" s="14">
        <f>F420*AL420*in_life_term_ticket*in_life_term_comm*in_ins_partner_share+F420*in_life_term_ticket*in_life_term_renew_comm*in_ins_partner_share*(in_life_term_renew^1*SUMIFS(AL401:AL453,B401:B453,B420-12)+in_life_term_renew^2*SUMIFS(AL401:AL453,B401:B453,B420-24)+in_life_term_renew^3*SUMIFS(AL401:AL453,B401:B453,B420-36)+in_life_term_renew^4*SUMIFS(AL401:AL453,B401:B453,B420-48))</f>
        <v/>
      </c>
      <c r="AN420" s="40">
        <f>AN419*(1-IF(B419&gt;=in_marketplace_from,d_hz_accident*G419,0))</f>
        <v/>
      </c>
      <c r="AO420" s="46">
        <f>AN420*IF(B420&gt;=in_marketplace_from,d_hz_accident*G420,0)</f>
        <v/>
      </c>
      <c r="AP420" s="14">
        <f>F420*AO420*in_accident_ticket*in_accident_comm*in_ins_partner_share+F420*in_accident_ticket*in_accident_renew_comm*in_ins_partner_share*(in_accident_renew^1*SUMIFS(AO401:AO453,B401:B453,B420-12)+in_accident_renew^2*SUMIFS(AO401:AO453,B401:B453,B420-24)+in_accident_renew^3*SUMIFS(AO401:AO453,B401:B453,B420-36)+in_accident_renew^4*SUMIFS(AO401:AO453,B401:B453,B420-48))</f>
        <v/>
      </c>
      <c r="AQ420" s="40">
        <f>AQ419*(1-IF(B419&gt;=in_marketplace_from,d_hz_two_wheeler*G419,0))</f>
        <v/>
      </c>
      <c r="AR420" s="46">
        <f>AQ420*IF(B420&gt;=in_marketplace_from,d_hz_two_wheeler*G420,0)</f>
        <v/>
      </c>
      <c r="AS420" s="14">
        <f>F420*AR420*in_two_wheeler_ticket*in_two_wheeler_comm*in_ins_partner_share+F420*in_two_wheeler_ticket*in_two_wheeler_comm*in_ins_partner_share*(in_two_wheeler_renew^1*SUMIFS(AR401:AR453,B401:B453,B420-12)+in_two_wheeler_renew^2*SUMIFS(AR401:AR453,B401:B453,B420-24)+in_two_wheeler_renew^3*SUMIFS(AR401:AR453,B401:B453,B420-36)+in_two_wheeler_renew^4*SUMIFS(AR401:AR453,B401:B453,B420-48))</f>
        <v/>
      </c>
      <c r="AT420" s="40">
        <f>AT419*(1-IF(B419&gt;=in_marketplace_from,d_hz_device*G419,0))</f>
        <v/>
      </c>
      <c r="AU420" s="14">
        <f>F420*AT420*IF(B420&gt;=in_marketplace_from,d_hz_device*G420,0)*in_device_ticket*in_device_comm*in_ins_partner_share</f>
        <v/>
      </c>
      <c r="AV420" s="40">
        <f>AV419*(1-IF(B419&gt;=in_marketplace_from,d_hz_shop*G419,0))</f>
        <v/>
      </c>
      <c r="AW420" s="46">
        <f>AV420*IF(B420&gt;=in_marketplace_from,d_hz_shop*G420,0)</f>
        <v/>
      </c>
      <c r="AX420" s="14">
        <f>F420*AW420*in_shop_ticket*in_shop_comm*in_ins_partner_share+F420*in_shop_ticket*in_shop_renew_comm*in_ins_partner_share*(in_shop_renew^1*SUMIFS(AW401:AW453,B401:B453,B420-12)+in_shop_renew^2*SUMIFS(AW401:AW453,B401:B453,B420-24)+in_shop_renew^3*SUMIFS(AW401:AW453,B401:B453,B420-36)+in_shop_renew^4*SUMIFS(AW401:AW453,B401:B453,B420-48))</f>
        <v/>
      </c>
      <c r="AY420" s="40">
        <f>AY419*(1-IF(B419&gt;=in_marketplace_from,d_hz_sip*G419,0))</f>
        <v/>
      </c>
      <c r="AZ420" s="40">
        <f>AZ419*d_rho_sip+AY420*IF(B420&gt;=in_marketplace_from,d_hz_sip*G420,0)</f>
        <v/>
      </c>
      <c r="BA420" s="40">
        <f>d_rho_sip*(BA419+AZ419)</f>
        <v/>
      </c>
      <c r="BB420" s="14">
        <f>F420*in_sip_ticket*(BA420+0.5*AZ420)*in_sip_comm/12</f>
        <v/>
      </c>
      <c r="BC420" s="40">
        <f>BC419*(1-IF(B419&gt;=in_marketplace_from,d_hz_choti*G419,0))</f>
        <v/>
      </c>
      <c r="BD420" s="46">
        <f>BC420*IF(B420&gt;=in_marketplace_from,d_hz_choti*G420,0)</f>
        <v/>
      </c>
      <c r="BE420" s="14">
        <f>F420*SUMIFS(BD401:BD453,B401:B453,B420-in_choti_months)*in_choti_renew*in_choti_ticket</f>
        <v/>
      </c>
      <c r="BF420" s="40">
        <f>BF419*(1-IF(B419&gt;=in_marketplace_from,d_hz_nps*G419,0))</f>
        <v/>
      </c>
      <c r="BG420" s="14">
        <f>F420*BF420*IF(B420&gt;=in_marketplace_from,d_hz_nps*G420,0)*in_nps_ticket*in_nps_comm</f>
        <v/>
      </c>
      <c r="BH420" s="40">
        <f>BH419*(1-IF(B419&gt;=in_marketplace_from,d_hz_gold*G419,0))</f>
        <v/>
      </c>
      <c r="BI420" s="40">
        <f>BI419*d_rho_gold+BH420*IF(B420&gt;=in_marketplace_from,d_hz_gold*G420,0)</f>
        <v/>
      </c>
      <c r="BJ420" s="14">
        <f>F420*BI420*in_gold_ticket*in_gold_comm</f>
        <v/>
      </c>
      <c r="BK420" s="40">
        <f>BK419*(1-IF(B419&gt;=in_marketplace_from,d_hz_fd*G419,0))</f>
        <v/>
      </c>
      <c r="BL420" s="14">
        <f>F420*BK420*IF(B420&gt;=in_marketplace_from,d_hz_fd*G420,0)*in_fd_ticket*in_fd_comm</f>
        <v/>
      </c>
      <c r="BM420" s="40">
        <f>BM419*(1-IF(B419&gt;=in_marketplace_from,d_hz_recharge*G419,0))</f>
        <v/>
      </c>
      <c r="BN420" s="40">
        <f>BN419*d_rho_recharge+BM420*IF(B420&gt;=in_marketplace_from,d_hz_recharge*G420,0)</f>
        <v/>
      </c>
      <c r="BO420" s="14">
        <f>F420*BN420*in_recharge_ticket*in_recharge_comm/12</f>
        <v/>
      </c>
      <c r="BP420" s="40">
        <f>BP419*(1-IF(B419&gt;=in_marketplace_from,d_hz_bills*G419,0))</f>
        <v/>
      </c>
      <c r="BQ420" s="40">
        <f>BQ419*d_rho_bills+BP420*IF(B420&gt;=in_marketplace_from,d_hz_bills*G420,0)</f>
        <v/>
      </c>
      <c r="BR420" s="14">
        <f>F420*BQ420*in_bills_ticket*in_bills_comm/12</f>
        <v/>
      </c>
      <c r="BS420" s="40">
        <f>BS419*(1-IF(B419&gt;=in_marketplace_from,d_hz_loan_gold*G419,0))</f>
        <v/>
      </c>
      <c r="BT420" s="14">
        <f>F420*BS420*IF(B420&gt;=in_marketplace_from,d_hz_loan_gold*G420,0)*in_loan_gold_ticket*in_loan_gold_comm</f>
        <v/>
      </c>
      <c r="BU420" s="40">
        <f>BU419*(1-IF(B419&gt;=in_marketplace_from,d_hz_loan_cd*G419,0))</f>
        <v/>
      </c>
      <c r="BV420" s="14">
        <f>F420*BU420*IF(B420&gt;=in_marketplace_from,d_hz_loan_cd*G420,0)*in_loan_cd_ticket*in_loan_cd_comm</f>
        <v/>
      </c>
      <c r="BW420" s="40">
        <f>BW419*(1-IF(B419&gt;=in_marketplace_from,d_hz_loan_vehicle*G419,0))</f>
        <v/>
      </c>
      <c r="BX420" s="14">
        <f>F420*BW420*IF(B420&gt;=in_marketplace_from,d_hz_loan_vehicle*G420,0)*in_loan_vehicle_ticket*in_loan_vehicle_comm</f>
        <v/>
      </c>
      <c r="BY420" s="40">
        <f>BY419*(1-IF(B419&gt;=in_marketplace_from,d_hz_loan_home*G419,0)*BZ419)</f>
        <v/>
      </c>
      <c r="BZ420" s="11">
        <f>MIN(in_approval_cap,in_loan_home_approval*INDEX('Age profile'!$O$2:$O$61,B420)*(1+in_approval_growth)^(D420-1))</f>
        <v/>
      </c>
      <c r="CA420" s="14">
        <f>F420*BY420*IF(B420&gt;=in_marketplace_from,d_hz_loan_home*G420,0)*BZ420*in_loan_home_ticket*in_loan_home_comm</f>
        <v/>
      </c>
      <c r="CB420" s="40">
        <f>CB419*(1-IF(B419&gt;=in_marketplace_from,d_hz_loan_lap*G419,0)*CC419)</f>
        <v/>
      </c>
      <c r="CC420" s="11">
        <f>MIN(in_approval_cap,in_loan_lap_approval*INDEX('Age profile'!$O$2:$O$61,B420)*(1+in_approval_growth)^(D420-1))</f>
        <v/>
      </c>
      <c r="CD420" s="14">
        <f>F420*CB420*IF(B420&gt;=in_marketplace_from,d_hz_loan_lap*G420,0)*CC420*in_loan_lap_ticket*in_loan_lap_comm</f>
        <v/>
      </c>
      <c r="CE420" s="14">
        <f>AA420+AB420+AC420+AD420+AG420+AJ420+AM420+AP420+AS420+AU420+AX420+BB420+BE420+BG420+BJ420+BL420+BO420+BR420+BT420+BV420+BX420+CA420+CD420</f>
        <v/>
      </c>
    </row>
    <row r="421">
      <c r="A421" s="39" t="n">
        <v>8</v>
      </c>
      <c r="B421" s="39" t="n">
        <v>21</v>
      </c>
      <c r="C421" s="39">
        <f>A421+B421-1</f>
        <v/>
      </c>
      <c r="D421" s="39">
        <f>INT((C421-1)/12)+1</f>
        <v/>
      </c>
      <c r="E421" s="44">
        <f>INDEX(Monthly!$B$2:$B$61,A421)</f>
        <v/>
      </c>
      <c r="F421" s="44">
        <f>E421*INDEX('Age profile'!$B$2:$B$61,B421)</f>
        <v/>
      </c>
      <c r="G421" s="45">
        <f>MIN(in_takeup_cap,INDEX('Age profile'!$N$2:$N$61,B421)*(1+in_takeup_growth)^(D421-1))</f>
        <v/>
      </c>
      <c r="H421" s="11">
        <f>MIN(in_approval_cap,in_approved_first*INDEX('Age profile'!$O$2:$O$61,B421)*(1+in_approval_growth)^(D421-1))</f>
        <v/>
      </c>
      <c r="I421" s="45">
        <f>G421*MIN(in_takeup_cap,INDEX('Age profile'!$O$2:$O$61,B421)*(1+in_approval_growth)^(D421-1))</f>
        <v/>
      </c>
      <c r="J421" s="40">
        <f>(J420-L420)*F421/F420</f>
        <v/>
      </c>
      <c r="K421" s="40">
        <f>(K420-M420)*F421/F420+SUMIFS(O401:O420,B401:B420,B421-1-d_T)*F421</f>
        <v/>
      </c>
      <c r="L421" s="40">
        <f>IF(B421&gt;=in_marketplace_from,J421*d_hz*G421*in_eligible*H421,0)</f>
        <v/>
      </c>
      <c r="M421" s="40">
        <f>IF(B421&gt;=in_marketplace_from,K421*d_hz*G421*in_eligible*in_approved_repeat,0)</f>
        <v/>
      </c>
      <c r="N421" s="40">
        <f>L421+M421</f>
        <v/>
      </c>
      <c r="O421" s="46">
        <f>N421/F421</f>
        <v/>
      </c>
      <c r="P421" s="40">
        <f>F421-J421-K421</f>
        <v/>
      </c>
      <c r="Q421" s="40">
        <f>IF(B421&gt;=in_marketplace_from,(J421+K421)*d_hz*G421,0)</f>
        <v/>
      </c>
      <c r="R421" s="40">
        <f>SUMIFS(N401:N453,B401:B453,"&gt;="&amp;(B421-d_T),B401:B453,"&lt;="&amp;(B421-1))</f>
        <v/>
      </c>
      <c r="S421" s="46">
        <f>(1-d_u)*S420+IF(d_T&gt;in_topup_lag,SUMIFS(O401:O453,B401:B453,B421-in_topup_lag)-d_udrop*SUMIFS(O401:O453,B401:B453,B421-d_T),0)</f>
        <v/>
      </c>
      <c r="T421" s="40">
        <f>F421*d_u*S421</f>
        <v/>
      </c>
      <c r="U421" s="9">
        <f>L421*in_ticket+M421*d_rep_ticket</f>
        <v/>
      </c>
      <c r="V421" s="9">
        <f>U421+T421*d_topup_amt</f>
        <v/>
      </c>
      <c r="W421" s="40">
        <f>N421+T421*d_topup_ratio</f>
        <v/>
      </c>
      <c r="X421" s="40">
        <f>SUMIFS(W401:W453,B401:B453,B421-in_dpd_lag)*d_cured</f>
        <v/>
      </c>
      <c r="Y421" s="40">
        <f>SUMIFS(W401:W453,B401:B453,B421-in_rec_lag)*d_recd</f>
        <v/>
      </c>
      <c r="Z421" s="40">
        <f>IF(AND(B421&gt;=in_marketplace_from,B421&lt;in_marketplace_from+in_card_months),in_card_share/in_card_months*F421*I421,IF(AND(B421&gt;=in_marketplace_from+in_card_months,B421&lt;in_marketplace_from+2*in_card_months),in_card_share*d_card_rem/in_card_months*F421*MIN(in_takeup_cap,(1+in_takeup_growth)^(D421-1))*MIN(in_takeup_cap,(1+in_approval_growth)^(D421-1)),0))</f>
        <v/>
      </c>
      <c r="AA421" s="14">
        <f>V421*in_fee*(1-in_taken_back)</f>
        <v/>
      </c>
      <c r="AB421" s="14">
        <f>SUMIFS(W401:W453,B401:B453,B421-in_dpd_lag)*d_dpd</f>
        <v/>
      </c>
      <c r="AC421" s="14">
        <f>SUMIFS(W401:W453,B401:B453,B421-in_rec_lag)*d_rec</f>
        <v/>
      </c>
      <c r="AD421" s="14">
        <f>Z421*in_card_fee</f>
        <v/>
      </c>
      <c r="AE421" s="40">
        <f>AE420*(1-IF(B420&gt;=in_marketplace_from,d_hz_hlth_small*G420,0))</f>
        <v/>
      </c>
      <c r="AF421" s="46">
        <f>AE421*IF(B421&gt;=in_marketplace_from,d_hz_hlth_small*G421,0)</f>
        <v/>
      </c>
      <c r="AG421" s="14">
        <f>F421*AF421*in_hlth_small_ticket*in_hlth_small_comm*in_ins_partner_share+F421*in_hlth_small_ticket*in_hlth_small_renew_comm*in_ins_partner_share*(in_hlth_small_renew^1*SUMIFS(AF401:AF453,B401:B453,B421-12)+in_hlth_small_renew^2*SUMIFS(AF401:AF453,B401:B453,B421-24)+in_hlth_small_renew^3*SUMIFS(AF401:AF453,B401:B453,B421-36)+in_hlth_small_renew^4*SUMIFS(AF401:AF453,B401:B453,B421-48))</f>
        <v/>
      </c>
      <c r="AH421" s="40">
        <f>AH420*(1-IF(B420&gt;=in_marketplace_from,d_hz_hlth_family*G420,0))</f>
        <v/>
      </c>
      <c r="AI421" s="46">
        <f>AH421*IF(B421&gt;=in_marketplace_from,d_hz_hlth_family*G421,0)</f>
        <v/>
      </c>
      <c r="AJ421" s="14">
        <f>F421*AI421*in_hlth_family_ticket*in_hlth_family_comm*in_ins_partner_share+F421*in_hlth_family_ticket*in_hlth_family_renew_comm*in_ins_partner_share*(in_hlth_family_renew^1*SUMIFS(AI401:AI453,B401:B453,B421-12)+in_hlth_family_renew^2*SUMIFS(AI401:AI453,B401:B453,B421-24)+in_hlth_family_renew^3*SUMIFS(AI401:AI453,B401:B453,B421-36)+in_hlth_family_renew^4*SUMIFS(AI401:AI453,B401:B453,B421-48))</f>
        <v/>
      </c>
      <c r="AK421" s="40">
        <f>AK420*(1-IF(B420&gt;=in_marketplace_from,d_hz_life_term*G420,0))</f>
        <v/>
      </c>
      <c r="AL421" s="46">
        <f>AK421*IF(B421&gt;=in_marketplace_from,d_hz_life_term*G421,0)</f>
        <v/>
      </c>
      <c r="AM421" s="14">
        <f>F421*AL421*in_life_term_ticket*in_life_term_comm*in_ins_partner_share+F421*in_life_term_ticket*in_life_term_renew_comm*in_ins_partner_share*(in_life_term_renew^1*SUMIFS(AL401:AL453,B401:B453,B421-12)+in_life_term_renew^2*SUMIFS(AL401:AL453,B401:B453,B421-24)+in_life_term_renew^3*SUMIFS(AL401:AL453,B401:B453,B421-36)+in_life_term_renew^4*SUMIFS(AL401:AL453,B401:B453,B421-48))</f>
        <v/>
      </c>
      <c r="AN421" s="40">
        <f>AN420*(1-IF(B420&gt;=in_marketplace_from,d_hz_accident*G420,0))</f>
        <v/>
      </c>
      <c r="AO421" s="46">
        <f>AN421*IF(B421&gt;=in_marketplace_from,d_hz_accident*G421,0)</f>
        <v/>
      </c>
      <c r="AP421" s="14">
        <f>F421*AO421*in_accident_ticket*in_accident_comm*in_ins_partner_share+F421*in_accident_ticket*in_accident_renew_comm*in_ins_partner_share*(in_accident_renew^1*SUMIFS(AO401:AO453,B401:B453,B421-12)+in_accident_renew^2*SUMIFS(AO401:AO453,B401:B453,B421-24)+in_accident_renew^3*SUMIFS(AO401:AO453,B401:B453,B421-36)+in_accident_renew^4*SUMIFS(AO401:AO453,B401:B453,B421-48))</f>
        <v/>
      </c>
      <c r="AQ421" s="40">
        <f>AQ420*(1-IF(B420&gt;=in_marketplace_from,d_hz_two_wheeler*G420,0))</f>
        <v/>
      </c>
      <c r="AR421" s="46">
        <f>AQ421*IF(B421&gt;=in_marketplace_from,d_hz_two_wheeler*G421,0)</f>
        <v/>
      </c>
      <c r="AS421" s="14">
        <f>F421*AR421*in_two_wheeler_ticket*in_two_wheeler_comm*in_ins_partner_share+F421*in_two_wheeler_ticket*in_two_wheeler_comm*in_ins_partner_share*(in_two_wheeler_renew^1*SUMIFS(AR401:AR453,B401:B453,B421-12)+in_two_wheeler_renew^2*SUMIFS(AR401:AR453,B401:B453,B421-24)+in_two_wheeler_renew^3*SUMIFS(AR401:AR453,B401:B453,B421-36)+in_two_wheeler_renew^4*SUMIFS(AR401:AR453,B401:B453,B421-48))</f>
        <v/>
      </c>
      <c r="AT421" s="40">
        <f>AT420*(1-IF(B420&gt;=in_marketplace_from,d_hz_device*G420,0))</f>
        <v/>
      </c>
      <c r="AU421" s="14">
        <f>F421*AT421*IF(B421&gt;=in_marketplace_from,d_hz_device*G421,0)*in_device_ticket*in_device_comm*in_ins_partner_share</f>
        <v/>
      </c>
      <c r="AV421" s="40">
        <f>AV420*(1-IF(B420&gt;=in_marketplace_from,d_hz_shop*G420,0))</f>
        <v/>
      </c>
      <c r="AW421" s="46">
        <f>AV421*IF(B421&gt;=in_marketplace_from,d_hz_shop*G421,0)</f>
        <v/>
      </c>
      <c r="AX421" s="14">
        <f>F421*AW421*in_shop_ticket*in_shop_comm*in_ins_partner_share+F421*in_shop_ticket*in_shop_renew_comm*in_ins_partner_share*(in_shop_renew^1*SUMIFS(AW401:AW453,B401:B453,B421-12)+in_shop_renew^2*SUMIFS(AW401:AW453,B401:B453,B421-24)+in_shop_renew^3*SUMIFS(AW401:AW453,B401:B453,B421-36)+in_shop_renew^4*SUMIFS(AW401:AW453,B401:B453,B421-48))</f>
        <v/>
      </c>
      <c r="AY421" s="40">
        <f>AY420*(1-IF(B420&gt;=in_marketplace_from,d_hz_sip*G420,0))</f>
        <v/>
      </c>
      <c r="AZ421" s="40">
        <f>AZ420*d_rho_sip+AY421*IF(B421&gt;=in_marketplace_from,d_hz_sip*G421,0)</f>
        <v/>
      </c>
      <c r="BA421" s="40">
        <f>d_rho_sip*(BA420+AZ420)</f>
        <v/>
      </c>
      <c r="BB421" s="14">
        <f>F421*in_sip_ticket*(BA421+0.5*AZ421)*in_sip_comm/12</f>
        <v/>
      </c>
      <c r="BC421" s="40">
        <f>BC420*(1-IF(B420&gt;=in_marketplace_from,d_hz_choti*G420,0))</f>
        <v/>
      </c>
      <c r="BD421" s="46">
        <f>BC421*IF(B421&gt;=in_marketplace_from,d_hz_choti*G421,0)</f>
        <v/>
      </c>
      <c r="BE421" s="14">
        <f>F421*SUMIFS(BD401:BD453,B401:B453,B421-in_choti_months)*in_choti_renew*in_choti_ticket</f>
        <v/>
      </c>
      <c r="BF421" s="40">
        <f>BF420*(1-IF(B420&gt;=in_marketplace_from,d_hz_nps*G420,0))</f>
        <v/>
      </c>
      <c r="BG421" s="14">
        <f>F421*BF421*IF(B421&gt;=in_marketplace_from,d_hz_nps*G421,0)*in_nps_ticket*in_nps_comm</f>
        <v/>
      </c>
      <c r="BH421" s="40">
        <f>BH420*(1-IF(B420&gt;=in_marketplace_from,d_hz_gold*G420,0))</f>
        <v/>
      </c>
      <c r="BI421" s="40">
        <f>BI420*d_rho_gold+BH421*IF(B421&gt;=in_marketplace_from,d_hz_gold*G421,0)</f>
        <v/>
      </c>
      <c r="BJ421" s="14">
        <f>F421*BI421*in_gold_ticket*in_gold_comm</f>
        <v/>
      </c>
      <c r="BK421" s="40">
        <f>BK420*(1-IF(B420&gt;=in_marketplace_from,d_hz_fd*G420,0))</f>
        <v/>
      </c>
      <c r="BL421" s="14">
        <f>F421*BK421*IF(B421&gt;=in_marketplace_from,d_hz_fd*G421,0)*in_fd_ticket*in_fd_comm</f>
        <v/>
      </c>
      <c r="BM421" s="40">
        <f>BM420*(1-IF(B420&gt;=in_marketplace_from,d_hz_recharge*G420,0))</f>
        <v/>
      </c>
      <c r="BN421" s="40">
        <f>BN420*d_rho_recharge+BM421*IF(B421&gt;=in_marketplace_from,d_hz_recharge*G421,0)</f>
        <v/>
      </c>
      <c r="BO421" s="14">
        <f>F421*BN421*in_recharge_ticket*in_recharge_comm/12</f>
        <v/>
      </c>
      <c r="BP421" s="40">
        <f>BP420*(1-IF(B420&gt;=in_marketplace_from,d_hz_bills*G420,0))</f>
        <v/>
      </c>
      <c r="BQ421" s="40">
        <f>BQ420*d_rho_bills+BP421*IF(B421&gt;=in_marketplace_from,d_hz_bills*G421,0)</f>
        <v/>
      </c>
      <c r="BR421" s="14">
        <f>F421*BQ421*in_bills_ticket*in_bills_comm/12</f>
        <v/>
      </c>
      <c r="BS421" s="40">
        <f>BS420*(1-IF(B420&gt;=in_marketplace_from,d_hz_loan_gold*G420,0))</f>
        <v/>
      </c>
      <c r="BT421" s="14">
        <f>F421*BS421*IF(B421&gt;=in_marketplace_from,d_hz_loan_gold*G421,0)*in_loan_gold_ticket*in_loan_gold_comm</f>
        <v/>
      </c>
      <c r="BU421" s="40">
        <f>BU420*(1-IF(B420&gt;=in_marketplace_from,d_hz_loan_cd*G420,0))</f>
        <v/>
      </c>
      <c r="BV421" s="14">
        <f>F421*BU421*IF(B421&gt;=in_marketplace_from,d_hz_loan_cd*G421,0)*in_loan_cd_ticket*in_loan_cd_comm</f>
        <v/>
      </c>
      <c r="BW421" s="40">
        <f>BW420*(1-IF(B420&gt;=in_marketplace_from,d_hz_loan_vehicle*G420,0))</f>
        <v/>
      </c>
      <c r="BX421" s="14">
        <f>F421*BW421*IF(B421&gt;=in_marketplace_from,d_hz_loan_vehicle*G421,0)*in_loan_vehicle_ticket*in_loan_vehicle_comm</f>
        <v/>
      </c>
      <c r="BY421" s="40">
        <f>BY420*(1-IF(B420&gt;=in_marketplace_from,d_hz_loan_home*G420,0)*BZ420)</f>
        <v/>
      </c>
      <c r="BZ421" s="11">
        <f>MIN(in_approval_cap,in_loan_home_approval*INDEX('Age profile'!$O$2:$O$61,B421)*(1+in_approval_growth)^(D421-1))</f>
        <v/>
      </c>
      <c r="CA421" s="14">
        <f>F421*BY421*IF(B421&gt;=in_marketplace_from,d_hz_loan_home*G421,0)*BZ421*in_loan_home_ticket*in_loan_home_comm</f>
        <v/>
      </c>
      <c r="CB421" s="40">
        <f>CB420*(1-IF(B420&gt;=in_marketplace_from,d_hz_loan_lap*G420,0)*CC420)</f>
        <v/>
      </c>
      <c r="CC421" s="11">
        <f>MIN(in_approval_cap,in_loan_lap_approval*INDEX('Age profile'!$O$2:$O$61,B421)*(1+in_approval_growth)^(D421-1))</f>
        <v/>
      </c>
      <c r="CD421" s="14">
        <f>F421*CB421*IF(B421&gt;=in_marketplace_from,d_hz_loan_lap*G421,0)*CC421*in_loan_lap_ticket*in_loan_lap_comm</f>
        <v/>
      </c>
      <c r="CE421" s="14">
        <f>AA421+AB421+AC421+AD421+AG421+AJ421+AM421+AP421+AS421+AU421+AX421+BB421+BE421+BG421+BJ421+BL421+BO421+BR421+BT421+BV421+BX421+CA421+CD421</f>
        <v/>
      </c>
    </row>
    <row r="422">
      <c r="A422" s="39" t="n">
        <v>8</v>
      </c>
      <c r="B422" s="39" t="n">
        <v>22</v>
      </c>
      <c r="C422" s="39">
        <f>A422+B422-1</f>
        <v/>
      </c>
      <c r="D422" s="39">
        <f>INT((C422-1)/12)+1</f>
        <v/>
      </c>
      <c r="E422" s="44">
        <f>INDEX(Monthly!$B$2:$B$61,A422)</f>
        <v/>
      </c>
      <c r="F422" s="44">
        <f>E422*INDEX('Age profile'!$B$2:$B$61,B422)</f>
        <v/>
      </c>
      <c r="G422" s="45">
        <f>MIN(in_takeup_cap,INDEX('Age profile'!$N$2:$N$61,B422)*(1+in_takeup_growth)^(D422-1))</f>
        <v/>
      </c>
      <c r="H422" s="11">
        <f>MIN(in_approval_cap,in_approved_first*INDEX('Age profile'!$O$2:$O$61,B422)*(1+in_approval_growth)^(D422-1))</f>
        <v/>
      </c>
      <c r="I422" s="45">
        <f>G422*MIN(in_takeup_cap,INDEX('Age profile'!$O$2:$O$61,B422)*(1+in_approval_growth)^(D422-1))</f>
        <v/>
      </c>
      <c r="J422" s="40">
        <f>(J421-L421)*F422/F421</f>
        <v/>
      </c>
      <c r="K422" s="40">
        <f>(K421-M421)*F422/F421+SUMIFS(O401:O421,B401:B421,B422-1-d_T)*F422</f>
        <v/>
      </c>
      <c r="L422" s="40">
        <f>IF(B422&gt;=in_marketplace_from,J422*d_hz*G422*in_eligible*H422,0)</f>
        <v/>
      </c>
      <c r="M422" s="40">
        <f>IF(B422&gt;=in_marketplace_from,K422*d_hz*G422*in_eligible*in_approved_repeat,0)</f>
        <v/>
      </c>
      <c r="N422" s="40">
        <f>L422+M422</f>
        <v/>
      </c>
      <c r="O422" s="46">
        <f>N422/F422</f>
        <v/>
      </c>
      <c r="P422" s="40">
        <f>F422-J422-K422</f>
        <v/>
      </c>
      <c r="Q422" s="40">
        <f>IF(B422&gt;=in_marketplace_from,(J422+K422)*d_hz*G422,0)</f>
        <v/>
      </c>
      <c r="R422" s="40">
        <f>SUMIFS(N401:N453,B401:B453,"&gt;="&amp;(B422-d_T),B401:B453,"&lt;="&amp;(B422-1))</f>
        <v/>
      </c>
      <c r="S422" s="46">
        <f>(1-d_u)*S421+IF(d_T&gt;in_topup_lag,SUMIFS(O401:O453,B401:B453,B422-in_topup_lag)-d_udrop*SUMIFS(O401:O453,B401:B453,B422-d_T),0)</f>
        <v/>
      </c>
      <c r="T422" s="40">
        <f>F422*d_u*S422</f>
        <v/>
      </c>
      <c r="U422" s="9">
        <f>L422*in_ticket+M422*d_rep_ticket</f>
        <v/>
      </c>
      <c r="V422" s="9">
        <f>U422+T422*d_topup_amt</f>
        <v/>
      </c>
      <c r="W422" s="40">
        <f>N422+T422*d_topup_ratio</f>
        <v/>
      </c>
      <c r="X422" s="40">
        <f>SUMIFS(W401:W453,B401:B453,B422-in_dpd_lag)*d_cured</f>
        <v/>
      </c>
      <c r="Y422" s="40">
        <f>SUMIFS(W401:W453,B401:B453,B422-in_rec_lag)*d_recd</f>
        <v/>
      </c>
      <c r="Z422" s="40">
        <f>IF(AND(B422&gt;=in_marketplace_from,B422&lt;in_marketplace_from+in_card_months),in_card_share/in_card_months*F422*I422,IF(AND(B422&gt;=in_marketplace_from+in_card_months,B422&lt;in_marketplace_from+2*in_card_months),in_card_share*d_card_rem/in_card_months*F422*MIN(in_takeup_cap,(1+in_takeup_growth)^(D422-1))*MIN(in_takeup_cap,(1+in_approval_growth)^(D422-1)),0))</f>
        <v/>
      </c>
      <c r="AA422" s="14">
        <f>V422*in_fee*(1-in_taken_back)</f>
        <v/>
      </c>
      <c r="AB422" s="14">
        <f>SUMIFS(W401:W453,B401:B453,B422-in_dpd_lag)*d_dpd</f>
        <v/>
      </c>
      <c r="AC422" s="14">
        <f>SUMIFS(W401:W453,B401:B453,B422-in_rec_lag)*d_rec</f>
        <v/>
      </c>
      <c r="AD422" s="14">
        <f>Z422*in_card_fee</f>
        <v/>
      </c>
      <c r="AE422" s="40">
        <f>AE421*(1-IF(B421&gt;=in_marketplace_from,d_hz_hlth_small*G421,0))</f>
        <v/>
      </c>
      <c r="AF422" s="46">
        <f>AE422*IF(B422&gt;=in_marketplace_from,d_hz_hlth_small*G422,0)</f>
        <v/>
      </c>
      <c r="AG422" s="14">
        <f>F422*AF422*in_hlth_small_ticket*in_hlth_small_comm*in_ins_partner_share+F422*in_hlth_small_ticket*in_hlth_small_renew_comm*in_ins_partner_share*(in_hlth_small_renew^1*SUMIFS(AF401:AF453,B401:B453,B422-12)+in_hlth_small_renew^2*SUMIFS(AF401:AF453,B401:B453,B422-24)+in_hlth_small_renew^3*SUMIFS(AF401:AF453,B401:B453,B422-36)+in_hlth_small_renew^4*SUMIFS(AF401:AF453,B401:B453,B422-48))</f>
        <v/>
      </c>
      <c r="AH422" s="40">
        <f>AH421*(1-IF(B421&gt;=in_marketplace_from,d_hz_hlth_family*G421,0))</f>
        <v/>
      </c>
      <c r="AI422" s="46">
        <f>AH422*IF(B422&gt;=in_marketplace_from,d_hz_hlth_family*G422,0)</f>
        <v/>
      </c>
      <c r="AJ422" s="14">
        <f>F422*AI422*in_hlth_family_ticket*in_hlth_family_comm*in_ins_partner_share+F422*in_hlth_family_ticket*in_hlth_family_renew_comm*in_ins_partner_share*(in_hlth_family_renew^1*SUMIFS(AI401:AI453,B401:B453,B422-12)+in_hlth_family_renew^2*SUMIFS(AI401:AI453,B401:B453,B422-24)+in_hlth_family_renew^3*SUMIFS(AI401:AI453,B401:B453,B422-36)+in_hlth_family_renew^4*SUMIFS(AI401:AI453,B401:B453,B422-48))</f>
        <v/>
      </c>
      <c r="AK422" s="40">
        <f>AK421*(1-IF(B421&gt;=in_marketplace_from,d_hz_life_term*G421,0))</f>
        <v/>
      </c>
      <c r="AL422" s="46">
        <f>AK422*IF(B422&gt;=in_marketplace_from,d_hz_life_term*G422,0)</f>
        <v/>
      </c>
      <c r="AM422" s="14">
        <f>F422*AL422*in_life_term_ticket*in_life_term_comm*in_ins_partner_share+F422*in_life_term_ticket*in_life_term_renew_comm*in_ins_partner_share*(in_life_term_renew^1*SUMIFS(AL401:AL453,B401:B453,B422-12)+in_life_term_renew^2*SUMIFS(AL401:AL453,B401:B453,B422-24)+in_life_term_renew^3*SUMIFS(AL401:AL453,B401:B453,B422-36)+in_life_term_renew^4*SUMIFS(AL401:AL453,B401:B453,B422-48))</f>
        <v/>
      </c>
      <c r="AN422" s="40">
        <f>AN421*(1-IF(B421&gt;=in_marketplace_from,d_hz_accident*G421,0))</f>
        <v/>
      </c>
      <c r="AO422" s="46">
        <f>AN422*IF(B422&gt;=in_marketplace_from,d_hz_accident*G422,0)</f>
        <v/>
      </c>
      <c r="AP422" s="14">
        <f>F422*AO422*in_accident_ticket*in_accident_comm*in_ins_partner_share+F422*in_accident_ticket*in_accident_renew_comm*in_ins_partner_share*(in_accident_renew^1*SUMIFS(AO401:AO453,B401:B453,B422-12)+in_accident_renew^2*SUMIFS(AO401:AO453,B401:B453,B422-24)+in_accident_renew^3*SUMIFS(AO401:AO453,B401:B453,B422-36)+in_accident_renew^4*SUMIFS(AO401:AO453,B401:B453,B422-48))</f>
        <v/>
      </c>
      <c r="AQ422" s="40">
        <f>AQ421*(1-IF(B421&gt;=in_marketplace_from,d_hz_two_wheeler*G421,0))</f>
        <v/>
      </c>
      <c r="AR422" s="46">
        <f>AQ422*IF(B422&gt;=in_marketplace_from,d_hz_two_wheeler*G422,0)</f>
        <v/>
      </c>
      <c r="AS422" s="14">
        <f>F422*AR422*in_two_wheeler_ticket*in_two_wheeler_comm*in_ins_partner_share+F422*in_two_wheeler_ticket*in_two_wheeler_comm*in_ins_partner_share*(in_two_wheeler_renew^1*SUMIFS(AR401:AR453,B401:B453,B422-12)+in_two_wheeler_renew^2*SUMIFS(AR401:AR453,B401:B453,B422-24)+in_two_wheeler_renew^3*SUMIFS(AR401:AR453,B401:B453,B422-36)+in_two_wheeler_renew^4*SUMIFS(AR401:AR453,B401:B453,B422-48))</f>
        <v/>
      </c>
      <c r="AT422" s="40">
        <f>AT421*(1-IF(B421&gt;=in_marketplace_from,d_hz_device*G421,0))</f>
        <v/>
      </c>
      <c r="AU422" s="14">
        <f>F422*AT422*IF(B422&gt;=in_marketplace_from,d_hz_device*G422,0)*in_device_ticket*in_device_comm*in_ins_partner_share</f>
        <v/>
      </c>
      <c r="AV422" s="40">
        <f>AV421*(1-IF(B421&gt;=in_marketplace_from,d_hz_shop*G421,0))</f>
        <v/>
      </c>
      <c r="AW422" s="46">
        <f>AV422*IF(B422&gt;=in_marketplace_from,d_hz_shop*G422,0)</f>
        <v/>
      </c>
      <c r="AX422" s="14">
        <f>F422*AW422*in_shop_ticket*in_shop_comm*in_ins_partner_share+F422*in_shop_ticket*in_shop_renew_comm*in_ins_partner_share*(in_shop_renew^1*SUMIFS(AW401:AW453,B401:B453,B422-12)+in_shop_renew^2*SUMIFS(AW401:AW453,B401:B453,B422-24)+in_shop_renew^3*SUMIFS(AW401:AW453,B401:B453,B422-36)+in_shop_renew^4*SUMIFS(AW401:AW453,B401:B453,B422-48))</f>
        <v/>
      </c>
      <c r="AY422" s="40">
        <f>AY421*(1-IF(B421&gt;=in_marketplace_from,d_hz_sip*G421,0))</f>
        <v/>
      </c>
      <c r="AZ422" s="40">
        <f>AZ421*d_rho_sip+AY422*IF(B422&gt;=in_marketplace_from,d_hz_sip*G422,0)</f>
        <v/>
      </c>
      <c r="BA422" s="40">
        <f>d_rho_sip*(BA421+AZ421)</f>
        <v/>
      </c>
      <c r="BB422" s="14">
        <f>F422*in_sip_ticket*(BA422+0.5*AZ422)*in_sip_comm/12</f>
        <v/>
      </c>
      <c r="BC422" s="40">
        <f>BC421*(1-IF(B421&gt;=in_marketplace_from,d_hz_choti*G421,0))</f>
        <v/>
      </c>
      <c r="BD422" s="46">
        <f>BC422*IF(B422&gt;=in_marketplace_from,d_hz_choti*G422,0)</f>
        <v/>
      </c>
      <c r="BE422" s="14">
        <f>F422*SUMIFS(BD401:BD453,B401:B453,B422-in_choti_months)*in_choti_renew*in_choti_ticket</f>
        <v/>
      </c>
      <c r="BF422" s="40">
        <f>BF421*(1-IF(B421&gt;=in_marketplace_from,d_hz_nps*G421,0))</f>
        <v/>
      </c>
      <c r="BG422" s="14">
        <f>F422*BF422*IF(B422&gt;=in_marketplace_from,d_hz_nps*G422,0)*in_nps_ticket*in_nps_comm</f>
        <v/>
      </c>
      <c r="BH422" s="40">
        <f>BH421*(1-IF(B421&gt;=in_marketplace_from,d_hz_gold*G421,0))</f>
        <v/>
      </c>
      <c r="BI422" s="40">
        <f>BI421*d_rho_gold+BH422*IF(B422&gt;=in_marketplace_from,d_hz_gold*G422,0)</f>
        <v/>
      </c>
      <c r="BJ422" s="14">
        <f>F422*BI422*in_gold_ticket*in_gold_comm</f>
        <v/>
      </c>
      <c r="BK422" s="40">
        <f>BK421*(1-IF(B421&gt;=in_marketplace_from,d_hz_fd*G421,0))</f>
        <v/>
      </c>
      <c r="BL422" s="14">
        <f>F422*BK422*IF(B422&gt;=in_marketplace_from,d_hz_fd*G422,0)*in_fd_ticket*in_fd_comm</f>
        <v/>
      </c>
      <c r="BM422" s="40">
        <f>BM421*(1-IF(B421&gt;=in_marketplace_from,d_hz_recharge*G421,0))</f>
        <v/>
      </c>
      <c r="BN422" s="40">
        <f>BN421*d_rho_recharge+BM422*IF(B422&gt;=in_marketplace_from,d_hz_recharge*G422,0)</f>
        <v/>
      </c>
      <c r="BO422" s="14">
        <f>F422*BN422*in_recharge_ticket*in_recharge_comm/12</f>
        <v/>
      </c>
      <c r="BP422" s="40">
        <f>BP421*(1-IF(B421&gt;=in_marketplace_from,d_hz_bills*G421,0))</f>
        <v/>
      </c>
      <c r="BQ422" s="40">
        <f>BQ421*d_rho_bills+BP422*IF(B422&gt;=in_marketplace_from,d_hz_bills*G422,0)</f>
        <v/>
      </c>
      <c r="BR422" s="14">
        <f>F422*BQ422*in_bills_ticket*in_bills_comm/12</f>
        <v/>
      </c>
      <c r="BS422" s="40">
        <f>BS421*(1-IF(B421&gt;=in_marketplace_from,d_hz_loan_gold*G421,0))</f>
        <v/>
      </c>
      <c r="BT422" s="14">
        <f>F422*BS422*IF(B422&gt;=in_marketplace_from,d_hz_loan_gold*G422,0)*in_loan_gold_ticket*in_loan_gold_comm</f>
        <v/>
      </c>
      <c r="BU422" s="40">
        <f>BU421*(1-IF(B421&gt;=in_marketplace_from,d_hz_loan_cd*G421,0))</f>
        <v/>
      </c>
      <c r="BV422" s="14">
        <f>F422*BU422*IF(B422&gt;=in_marketplace_from,d_hz_loan_cd*G422,0)*in_loan_cd_ticket*in_loan_cd_comm</f>
        <v/>
      </c>
      <c r="BW422" s="40">
        <f>BW421*(1-IF(B421&gt;=in_marketplace_from,d_hz_loan_vehicle*G421,0))</f>
        <v/>
      </c>
      <c r="BX422" s="14">
        <f>F422*BW422*IF(B422&gt;=in_marketplace_from,d_hz_loan_vehicle*G422,0)*in_loan_vehicle_ticket*in_loan_vehicle_comm</f>
        <v/>
      </c>
      <c r="BY422" s="40">
        <f>BY421*(1-IF(B421&gt;=in_marketplace_from,d_hz_loan_home*G421,0)*BZ421)</f>
        <v/>
      </c>
      <c r="BZ422" s="11">
        <f>MIN(in_approval_cap,in_loan_home_approval*INDEX('Age profile'!$O$2:$O$61,B422)*(1+in_approval_growth)^(D422-1))</f>
        <v/>
      </c>
      <c r="CA422" s="14">
        <f>F422*BY422*IF(B422&gt;=in_marketplace_from,d_hz_loan_home*G422,0)*BZ422*in_loan_home_ticket*in_loan_home_comm</f>
        <v/>
      </c>
      <c r="CB422" s="40">
        <f>CB421*(1-IF(B421&gt;=in_marketplace_from,d_hz_loan_lap*G421,0)*CC421)</f>
        <v/>
      </c>
      <c r="CC422" s="11">
        <f>MIN(in_approval_cap,in_loan_lap_approval*INDEX('Age profile'!$O$2:$O$61,B422)*(1+in_approval_growth)^(D422-1))</f>
        <v/>
      </c>
      <c r="CD422" s="14">
        <f>F422*CB422*IF(B422&gt;=in_marketplace_from,d_hz_loan_lap*G422,0)*CC422*in_loan_lap_ticket*in_loan_lap_comm</f>
        <v/>
      </c>
      <c r="CE422" s="14">
        <f>AA422+AB422+AC422+AD422+AG422+AJ422+AM422+AP422+AS422+AU422+AX422+BB422+BE422+BG422+BJ422+BL422+BO422+BR422+BT422+BV422+BX422+CA422+CD422</f>
        <v/>
      </c>
    </row>
    <row r="423">
      <c r="A423" s="39" t="n">
        <v>8</v>
      </c>
      <c r="B423" s="39" t="n">
        <v>23</v>
      </c>
      <c r="C423" s="39">
        <f>A423+B423-1</f>
        <v/>
      </c>
      <c r="D423" s="39">
        <f>INT((C423-1)/12)+1</f>
        <v/>
      </c>
      <c r="E423" s="44">
        <f>INDEX(Monthly!$B$2:$B$61,A423)</f>
        <v/>
      </c>
      <c r="F423" s="44">
        <f>E423*INDEX('Age profile'!$B$2:$B$61,B423)</f>
        <v/>
      </c>
      <c r="G423" s="45">
        <f>MIN(in_takeup_cap,INDEX('Age profile'!$N$2:$N$61,B423)*(1+in_takeup_growth)^(D423-1))</f>
        <v/>
      </c>
      <c r="H423" s="11">
        <f>MIN(in_approval_cap,in_approved_first*INDEX('Age profile'!$O$2:$O$61,B423)*(1+in_approval_growth)^(D423-1))</f>
        <v/>
      </c>
      <c r="I423" s="45">
        <f>G423*MIN(in_takeup_cap,INDEX('Age profile'!$O$2:$O$61,B423)*(1+in_approval_growth)^(D423-1))</f>
        <v/>
      </c>
      <c r="J423" s="40">
        <f>(J422-L422)*F423/F422</f>
        <v/>
      </c>
      <c r="K423" s="40">
        <f>(K422-M422)*F423/F422+SUMIFS(O401:O422,B401:B422,B423-1-d_T)*F423</f>
        <v/>
      </c>
      <c r="L423" s="40">
        <f>IF(B423&gt;=in_marketplace_from,J423*d_hz*G423*in_eligible*H423,0)</f>
        <v/>
      </c>
      <c r="M423" s="40">
        <f>IF(B423&gt;=in_marketplace_from,K423*d_hz*G423*in_eligible*in_approved_repeat,0)</f>
        <v/>
      </c>
      <c r="N423" s="40">
        <f>L423+M423</f>
        <v/>
      </c>
      <c r="O423" s="46">
        <f>N423/F423</f>
        <v/>
      </c>
      <c r="P423" s="40">
        <f>F423-J423-K423</f>
        <v/>
      </c>
      <c r="Q423" s="40">
        <f>IF(B423&gt;=in_marketplace_from,(J423+K423)*d_hz*G423,0)</f>
        <v/>
      </c>
      <c r="R423" s="40">
        <f>SUMIFS(N401:N453,B401:B453,"&gt;="&amp;(B423-d_T),B401:B453,"&lt;="&amp;(B423-1))</f>
        <v/>
      </c>
      <c r="S423" s="46">
        <f>(1-d_u)*S422+IF(d_T&gt;in_topup_lag,SUMIFS(O401:O453,B401:B453,B423-in_topup_lag)-d_udrop*SUMIFS(O401:O453,B401:B453,B423-d_T),0)</f>
        <v/>
      </c>
      <c r="T423" s="40">
        <f>F423*d_u*S423</f>
        <v/>
      </c>
      <c r="U423" s="9">
        <f>L423*in_ticket+M423*d_rep_ticket</f>
        <v/>
      </c>
      <c r="V423" s="9">
        <f>U423+T423*d_topup_amt</f>
        <v/>
      </c>
      <c r="W423" s="40">
        <f>N423+T423*d_topup_ratio</f>
        <v/>
      </c>
      <c r="X423" s="40">
        <f>SUMIFS(W401:W453,B401:B453,B423-in_dpd_lag)*d_cured</f>
        <v/>
      </c>
      <c r="Y423" s="40">
        <f>SUMIFS(W401:W453,B401:B453,B423-in_rec_lag)*d_recd</f>
        <v/>
      </c>
      <c r="Z423" s="40">
        <f>IF(AND(B423&gt;=in_marketplace_from,B423&lt;in_marketplace_from+in_card_months),in_card_share/in_card_months*F423*I423,IF(AND(B423&gt;=in_marketplace_from+in_card_months,B423&lt;in_marketplace_from+2*in_card_months),in_card_share*d_card_rem/in_card_months*F423*MIN(in_takeup_cap,(1+in_takeup_growth)^(D423-1))*MIN(in_takeup_cap,(1+in_approval_growth)^(D423-1)),0))</f>
        <v/>
      </c>
      <c r="AA423" s="14">
        <f>V423*in_fee*(1-in_taken_back)</f>
        <v/>
      </c>
      <c r="AB423" s="14">
        <f>SUMIFS(W401:W453,B401:B453,B423-in_dpd_lag)*d_dpd</f>
        <v/>
      </c>
      <c r="AC423" s="14">
        <f>SUMIFS(W401:W453,B401:B453,B423-in_rec_lag)*d_rec</f>
        <v/>
      </c>
      <c r="AD423" s="14">
        <f>Z423*in_card_fee</f>
        <v/>
      </c>
      <c r="AE423" s="40">
        <f>AE422*(1-IF(B422&gt;=in_marketplace_from,d_hz_hlth_small*G422,0))</f>
        <v/>
      </c>
      <c r="AF423" s="46">
        <f>AE423*IF(B423&gt;=in_marketplace_from,d_hz_hlth_small*G423,0)</f>
        <v/>
      </c>
      <c r="AG423" s="14">
        <f>F423*AF423*in_hlth_small_ticket*in_hlth_small_comm*in_ins_partner_share+F423*in_hlth_small_ticket*in_hlth_small_renew_comm*in_ins_partner_share*(in_hlth_small_renew^1*SUMIFS(AF401:AF453,B401:B453,B423-12)+in_hlth_small_renew^2*SUMIFS(AF401:AF453,B401:B453,B423-24)+in_hlth_small_renew^3*SUMIFS(AF401:AF453,B401:B453,B423-36)+in_hlth_small_renew^4*SUMIFS(AF401:AF453,B401:B453,B423-48))</f>
        <v/>
      </c>
      <c r="AH423" s="40">
        <f>AH422*(1-IF(B422&gt;=in_marketplace_from,d_hz_hlth_family*G422,0))</f>
        <v/>
      </c>
      <c r="AI423" s="46">
        <f>AH423*IF(B423&gt;=in_marketplace_from,d_hz_hlth_family*G423,0)</f>
        <v/>
      </c>
      <c r="AJ423" s="14">
        <f>F423*AI423*in_hlth_family_ticket*in_hlth_family_comm*in_ins_partner_share+F423*in_hlth_family_ticket*in_hlth_family_renew_comm*in_ins_partner_share*(in_hlth_family_renew^1*SUMIFS(AI401:AI453,B401:B453,B423-12)+in_hlth_family_renew^2*SUMIFS(AI401:AI453,B401:B453,B423-24)+in_hlth_family_renew^3*SUMIFS(AI401:AI453,B401:B453,B423-36)+in_hlth_family_renew^4*SUMIFS(AI401:AI453,B401:B453,B423-48))</f>
        <v/>
      </c>
      <c r="AK423" s="40">
        <f>AK422*(1-IF(B422&gt;=in_marketplace_from,d_hz_life_term*G422,0))</f>
        <v/>
      </c>
      <c r="AL423" s="46">
        <f>AK423*IF(B423&gt;=in_marketplace_from,d_hz_life_term*G423,0)</f>
        <v/>
      </c>
      <c r="AM423" s="14">
        <f>F423*AL423*in_life_term_ticket*in_life_term_comm*in_ins_partner_share+F423*in_life_term_ticket*in_life_term_renew_comm*in_ins_partner_share*(in_life_term_renew^1*SUMIFS(AL401:AL453,B401:B453,B423-12)+in_life_term_renew^2*SUMIFS(AL401:AL453,B401:B453,B423-24)+in_life_term_renew^3*SUMIFS(AL401:AL453,B401:B453,B423-36)+in_life_term_renew^4*SUMIFS(AL401:AL453,B401:B453,B423-48))</f>
        <v/>
      </c>
      <c r="AN423" s="40">
        <f>AN422*(1-IF(B422&gt;=in_marketplace_from,d_hz_accident*G422,0))</f>
        <v/>
      </c>
      <c r="AO423" s="46">
        <f>AN423*IF(B423&gt;=in_marketplace_from,d_hz_accident*G423,0)</f>
        <v/>
      </c>
      <c r="AP423" s="14">
        <f>F423*AO423*in_accident_ticket*in_accident_comm*in_ins_partner_share+F423*in_accident_ticket*in_accident_renew_comm*in_ins_partner_share*(in_accident_renew^1*SUMIFS(AO401:AO453,B401:B453,B423-12)+in_accident_renew^2*SUMIFS(AO401:AO453,B401:B453,B423-24)+in_accident_renew^3*SUMIFS(AO401:AO453,B401:B453,B423-36)+in_accident_renew^4*SUMIFS(AO401:AO453,B401:B453,B423-48))</f>
        <v/>
      </c>
      <c r="AQ423" s="40">
        <f>AQ422*(1-IF(B422&gt;=in_marketplace_from,d_hz_two_wheeler*G422,0))</f>
        <v/>
      </c>
      <c r="AR423" s="46">
        <f>AQ423*IF(B423&gt;=in_marketplace_from,d_hz_two_wheeler*G423,0)</f>
        <v/>
      </c>
      <c r="AS423" s="14">
        <f>F423*AR423*in_two_wheeler_ticket*in_two_wheeler_comm*in_ins_partner_share+F423*in_two_wheeler_ticket*in_two_wheeler_comm*in_ins_partner_share*(in_two_wheeler_renew^1*SUMIFS(AR401:AR453,B401:B453,B423-12)+in_two_wheeler_renew^2*SUMIFS(AR401:AR453,B401:B453,B423-24)+in_two_wheeler_renew^3*SUMIFS(AR401:AR453,B401:B453,B423-36)+in_two_wheeler_renew^4*SUMIFS(AR401:AR453,B401:B453,B423-48))</f>
        <v/>
      </c>
      <c r="AT423" s="40">
        <f>AT422*(1-IF(B422&gt;=in_marketplace_from,d_hz_device*G422,0))</f>
        <v/>
      </c>
      <c r="AU423" s="14">
        <f>F423*AT423*IF(B423&gt;=in_marketplace_from,d_hz_device*G423,0)*in_device_ticket*in_device_comm*in_ins_partner_share</f>
        <v/>
      </c>
      <c r="AV423" s="40">
        <f>AV422*(1-IF(B422&gt;=in_marketplace_from,d_hz_shop*G422,0))</f>
        <v/>
      </c>
      <c r="AW423" s="46">
        <f>AV423*IF(B423&gt;=in_marketplace_from,d_hz_shop*G423,0)</f>
        <v/>
      </c>
      <c r="AX423" s="14">
        <f>F423*AW423*in_shop_ticket*in_shop_comm*in_ins_partner_share+F423*in_shop_ticket*in_shop_renew_comm*in_ins_partner_share*(in_shop_renew^1*SUMIFS(AW401:AW453,B401:B453,B423-12)+in_shop_renew^2*SUMIFS(AW401:AW453,B401:B453,B423-24)+in_shop_renew^3*SUMIFS(AW401:AW453,B401:B453,B423-36)+in_shop_renew^4*SUMIFS(AW401:AW453,B401:B453,B423-48))</f>
        <v/>
      </c>
      <c r="AY423" s="40">
        <f>AY422*(1-IF(B422&gt;=in_marketplace_from,d_hz_sip*G422,0))</f>
        <v/>
      </c>
      <c r="AZ423" s="40">
        <f>AZ422*d_rho_sip+AY423*IF(B423&gt;=in_marketplace_from,d_hz_sip*G423,0)</f>
        <v/>
      </c>
      <c r="BA423" s="40">
        <f>d_rho_sip*(BA422+AZ422)</f>
        <v/>
      </c>
      <c r="BB423" s="14">
        <f>F423*in_sip_ticket*(BA423+0.5*AZ423)*in_sip_comm/12</f>
        <v/>
      </c>
      <c r="BC423" s="40">
        <f>BC422*(1-IF(B422&gt;=in_marketplace_from,d_hz_choti*G422,0))</f>
        <v/>
      </c>
      <c r="BD423" s="46">
        <f>BC423*IF(B423&gt;=in_marketplace_from,d_hz_choti*G423,0)</f>
        <v/>
      </c>
      <c r="BE423" s="14">
        <f>F423*SUMIFS(BD401:BD453,B401:B453,B423-in_choti_months)*in_choti_renew*in_choti_ticket</f>
        <v/>
      </c>
      <c r="BF423" s="40">
        <f>BF422*(1-IF(B422&gt;=in_marketplace_from,d_hz_nps*G422,0))</f>
        <v/>
      </c>
      <c r="BG423" s="14">
        <f>F423*BF423*IF(B423&gt;=in_marketplace_from,d_hz_nps*G423,0)*in_nps_ticket*in_nps_comm</f>
        <v/>
      </c>
      <c r="BH423" s="40">
        <f>BH422*(1-IF(B422&gt;=in_marketplace_from,d_hz_gold*G422,0))</f>
        <v/>
      </c>
      <c r="BI423" s="40">
        <f>BI422*d_rho_gold+BH423*IF(B423&gt;=in_marketplace_from,d_hz_gold*G423,0)</f>
        <v/>
      </c>
      <c r="BJ423" s="14">
        <f>F423*BI423*in_gold_ticket*in_gold_comm</f>
        <v/>
      </c>
      <c r="BK423" s="40">
        <f>BK422*(1-IF(B422&gt;=in_marketplace_from,d_hz_fd*G422,0))</f>
        <v/>
      </c>
      <c r="BL423" s="14">
        <f>F423*BK423*IF(B423&gt;=in_marketplace_from,d_hz_fd*G423,0)*in_fd_ticket*in_fd_comm</f>
        <v/>
      </c>
      <c r="BM423" s="40">
        <f>BM422*(1-IF(B422&gt;=in_marketplace_from,d_hz_recharge*G422,0))</f>
        <v/>
      </c>
      <c r="BN423" s="40">
        <f>BN422*d_rho_recharge+BM423*IF(B423&gt;=in_marketplace_from,d_hz_recharge*G423,0)</f>
        <v/>
      </c>
      <c r="BO423" s="14">
        <f>F423*BN423*in_recharge_ticket*in_recharge_comm/12</f>
        <v/>
      </c>
      <c r="BP423" s="40">
        <f>BP422*(1-IF(B422&gt;=in_marketplace_from,d_hz_bills*G422,0))</f>
        <v/>
      </c>
      <c r="BQ423" s="40">
        <f>BQ422*d_rho_bills+BP423*IF(B423&gt;=in_marketplace_from,d_hz_bills*G423,0)</f>
        <v/>
      </c>
      <c r="BR423" s="14">
        <f>F423*BQ423*in_bills_ticket*in_bills_comm/12</f>
        <v/>
      </c>
      <c r="BS423" s="40">
        <f>BS422*(1-IF(B422&gt;=in_marketplace_from,d_hz_loan_gold*G422,0))</f>
        <v/>
      </c>
      <c r="BT423" s="14">
        <f>F423*BS423*IF(B423&gt;=in_marketplace_from,d_hz_loan_gold*G423,0)*in_loan_gold_ticket*in_loan_gold_comm</f>
        <v/>
      </c>
      <c r="BU423" s="40">
        <f>BU422*(1-IF(B422&gt;=in_marketplace_from,d_hz_loan_cd*G422,0))</f>
        <v/>
      </c>
      <c r="BV423" s="14">
        <f>F423*BU423*IF(B423&gt;=in_marketplace_from,d_hz_loan_cd*G423,0)*in_loan_cd_ticket*in_loan_cd_comm</f>
        <v/>
      </c>
      <c r="BW423" s="40">
        <f>BW422*(1-IF(B422&gt;=in_marketplace_from,d_hz_loan_vehicle*G422,0))</f>
        <v/>
      </c>
      <c r="BX423" s="14">
        <f>F423*BW423*IF(B423&gt;=in_marketplace_from,d_hz_loan_vehicle*G423,0)*in_loan_vehicle_ticket*in_loan_vehicle_comm</f>
        <v/>
      </c>
      <c r="BY423" s="40">
        <f>BY422*(1-IF(B422&gt;=in_marketplace_from,d_hz_loan_home*G422,0)*BZ422)</f>
        <v/>
      </c>
      <c r="BZ423" s="11">
        <f>MIN(in_approval_cap,in_loan_home_approval*INDEX('Age profile'!$O$2:$O$61,B423)*(1+in_approval_growth)^(D423-1))</f>
        <v/>
      </c>
      <c r="CA423" s="14">
        <f>F423*BY423*IF(B423&gt;=in_marketplace_from,d_hz_loan_home*G423,0)*BZ423*in_loan_home_ticket*in_loan_home_comm</f>
        <v/>
      </c>
      <c r="CB423" s="40">
        <f>CB422*(1-IF(B422&gt;=in_marketplace_from,d_hz_loan_lap*G422,0)*CC422)</f>
        <v/>
      </c>
      <c r="CC423" s="11">
        <f>MIN(in_approval_cap,in_loan_lap_approval*INDEX('Age profile'!$O$2:$O$61,B423)*(1+in_approval_growth)^(D423-1))</f>
        <v/>
      </c>
      <c r="CD423" s="14">
        <f>F423*CB423*IF(B423&gt;=in_marketplace_from,d_hz_loan_lap*G423,0)*CC423*in_loan_lap_ticket*in_loan_lap_comm</f>
        <v/>
      </c>
      <c r="CE423" s="14">
        <f>AA423+AB423+AC423+AD423+AG423+AJ423+AM423+AP423+AS423+AU423+AX423+BB423+BE423+BG423+BJ423+BL423+BO423+BR423+BT423+BV423+BX423+CA423+CD423</f>
        <v/>
      </c>
    </row>
    <row r="424">
      <c r="A424" s="39" t="n">
        <v>8</v>
      </c>
      <c r="B424" s="39" t="n">
        <v>24</v>
      </c>
      <c r="C424" s="39">
        <f>A424+B424-1</f>
        <v/>
      </c>
      <c r="D424" s="39">
        <f>INT((C424-1)/12)+1</f>
        <v/>
      </c>
      <c r="E424" s="44">
        <f>INDEX(Monthly!$B$2:$B$61,A424)</f>
        <v/>
      </c>
      <c r="F424" s="44">
        <f>E424*INDEX('Age profile'!$B$2:$B$61,B424)</f>
        <v/>
      </c>
      <c r="G424" s="45">
        <f>MIN(in_takeup_cap,INDEX('Age profile'!$N$2:$N$61,B424)*(1+in_takeup_growth)^(D424-1))</f>
        <v/>
      </c>
      <c r="H424" s="11">
        <f>MIN(in_approval_cap,in_approved_first*INDEX('Age profile'!$O$2:$O$61,B424)*(1+in_approval_growth)^(D424-1))</f>
        <v/>
      </c>
      <c r="I424" s="45">
        <f>G424*MIN(in_takeup_cap,INDEX('Age profile'!$O$2:$O$61,B424)*(1+in_approval_growth)^(D424-1))</f>
        <v/>
      </c>
      <c r="J424" s="40">
        <f>(J423-L423)*F424/F423</f>
        <v/>
      </c>
      <c r="K424" s="40">
        <f>(K423-M423)*F424/F423+SUMIFS(O401:O423,B401:B423,B424-1-d_T)*F424</f>
        <v/>
      </c>
      <c r="L424" s="40">
        <f>IF(B424&gt;=in_marketplace_from,J424*d_hz*G424*in_eligible*H424,0)</f>
        <v/>
      </c>
      <c r="M424" s="40">
        <f>IF(B424&gt;=in_marketplace_from,K424*d_hz*G424*in_eligible*in_approved_repeat,0)</f>
        <v/>
      </c>
      <c r="N424" s="40">
        <f>L424+M424</f>
        <v/>
      </c>
      <c r="O424" s="46">
        <f>N424/F424</f>
        <v/>
      </c>
      <c r="P424" s="40">
        <f>F424-J424-K424</f>
        <v/>
      </c>
      <c r="Q424" s="40">
        <f>IF(B424&gt;=in_marketplace_from,(J424+K424)*d_hz*G424,0)</f>
        <v/>
      </c>
      <c r="R424" s="40">
        <f>SUMIFS(N401:N453,B401:B453,"&gt;="&amp;(B424-d_T),B401:B453,"&lt;="&amp;(B424-1))</f>
        <v/>
      </c>
      <c r="S424" s="46">
        <f>(1-d_u)*S423+IF(d_T&gt;in_topup_lag,SUMIFS(O401:O453,B401:B453,B424-in_topup_lag)-d_udrop*SUMIFS(O401:O453,B401:B453,B424-d_T),0)</f>
        <v/>
      </c>
      <c r="T424" s="40">
        <f>F424*d_u*S424</f>
        <v/>
      </c>
      <c r="U424" s="9">
        <f>L424*in_ticket+M424*d_rep_ticket</f>
        <v/>
      </c>
      <c r="V424" s="9">
        <f>U424+T424*d_topup_amt</f>
        <v/>
      </c>
      <c r="W424" s="40">
        <f>N424+T424*d_topup_ratio</f>
        <v/>
      </c>
      <c r="X424" s="40">
        <f>SUMIFS(W401:W453,B401:B453,B424-in_dpd_lag)*d_cured</f>
        <v/>
      </c>
      <c r="Y424" s="40">
        <f>SUMIFS(W401:W453,B401:B453,B424-in_rec_lag)*d_recd</f>
        <v/>
      </c>
      <c r="Z424" s="40">
        <f>IF(AND(B424&gt;=in_marketplace_from,B424&lt;in_marketplace_from+in_card_months),in_card_share/in_card_months*F424*I424,IF(AND(B424&gt;=in_marketplace_from+in_card_months,B424&lt;in_marketplace_from+2*in_card_months),in_card_share*d_card_rem/in_card_months*F424*MIN(in_takeup_cap,(1+in_takeup_growth)^(D424-1))*MIN(in_takeup_cap,(1+in_approval_growth)^(D424-1)),0))</f>
        <v/>
      </c>
      <c r="AA424" s="14">
        <f>V424*in_fee*(1-in_taken_back)</f>
        <v/>
      </c>
      <c r="AB424" s="14">
        <f>SUMIFS(W401:W453,B401:B453,B424-in_dpd_lag)*d_dpd</f>
        <v/>
      </c>
      <c r="AC424" s="14">
        <f>SUMIFS(W401:W453,B401:B453,B424-in_rec_lag)*d_rec</f>
        <v/>
      </c>
      <c r="AD424" s="14">
        <f>Z424*in_card_fee</f>
        <v/>
      </c>
      <c r="AE424" s="40">
        <f>AE423*(1-IF(B423&gt;=in_marketplace_from,d_hz_hlth_small*G423,0))</f>
        <v/>
      </c>
      <c r="AF424" s="46">
        <f>AE424*IF(B424&gt;=in_marketplace_from,d_hz_hlth_small*G424,0)</f>
        <v/>
      </c>
      <c r="AG424" s="14">
        <f>F424*AF424*in_hlth_small_ticket*in_hlth_small_comm*in_ins_partner_share+F424*in_hlth_small_ticket*in_hlth_small_renew_comm*in_ins_partner_share*(in_hlth_small_renew^1*SUMIFS(AF401:AF453,B401:B453,B424-12)+in_hlth_small_renew^2*SUMIFS(AF401:AF453,B401:B453,B424-24)+in_hlth_small_renew^3*SUMIFS(AF401:AF453,B401:B453,B424-36)+in_hlth_small_renew^4*SUMIFS(AF401:AF453,B401:B453,B424-48))</f>
        <v/>
      </c>
      <c r="AH424" s="40">
        <f>AH423*(1-IF(B423&gt;=in_marketplace_from,d_hz_hlth_family*G423,0))</f>
        <v/>
      </c>
      <c r="AI424" s="46">
        <f>AH424*IF(B424&gt;=in_marketplace_from,d_hz_hlth_family*G424,0)</f>
        <v/>
      </c>
      <c r="AJ424" s="14">
        <f>F424*AI424*in_hlth_family_ticket*in_hlth_family_comm*in_ins_partner_share+F424*in_hlth_family_ticket*in_hlth_family_renew_comm*in_ins_partner_share*(in_hlth_family_renew^1*SUMIFS(AI401:AI453,B401:B453,B424-12)+in_hlth_family_renew^2*SUMIFS(AI401:AI453,B401:B453,B424-24)+in_hlth_family_renew^3*SUMIFS(AI401:AI453,B401:B453,B424-36)+in_hlth_family_renew^4*SUMIFS(AI401:AI453,B401:B453,B424-48))</f>
        <v/>
      </c>
      <c r="AK424" s="40">
        <f>AK423*(1-IF(B423&gt;=in_marketplace_from,d_hz_life_term*G423,0))</f>
        <v/>
      </c>
      <c r="AL424" s="46">
        <f>AK424*IF(B424&gt;=in_marketplace_from,d_hz_life_term*G424,0)</f>
        <v/>
      </c>
      <c r="AM424" s="14">
        <f>F424*AL424*in_life_term_ticket*in_life_term_comm*in_ins_partner_share+F424*in_life_term_ticket*in_life_term_renew_comm*in_ins_partner_share*(in_life_term_renew^1*SUMIFS(AL401:AL453,B401:B453,B424-12)+in_life_term_renew^2*SUMIFS(AL401:AL453,B401:B453,B424-24)+in_life_term_renew^3*SUMIFS(AL401:AL453,B401:B453,B424-36)+in_life_term_renew^4*SUMIFS(AL401:AL453,B401:B453,B424-48))</f>
        <v/>
      </c>
      <c r="AN424" s="40">
        <f>AN423*(1-IF(B423&gt;=in_marketplace_from,d_hz_accident*G423,0))</f>
        <v/>
      </c>
      <c r="AO424" s="46">
        <f>AN424*IF(B424&gt;=in_marketplace_from,d_hz_accident*G424,0)</f>
        <v/>
      </c>
      <c r="AP424" s="14">
        <f>F424*AO424*in_accident_ticket*in_accident_comm*in_ins_partner_share+F424*in_accident_ticket*in_accident_renew_comm*in_ins_partner_share*(in_accident_renew^1*SUMIFS(AO401:AO453,B401:B453,B424-12)+in_accident_renew^2*SUMIFS(AO401:AO453,B401:B453,B424-24)+in_accident_renew^3*SUMIFS(AO401:AO453,B401:B453,B424-36)+in_accident_renew^4*SUMIFS(AO401:AO453,B401:B453,B424-48))</f>
        <v/>
      </c>
      <c r="AQ424" s="40">
        <f>AQ423*(1-IF(B423&gt;=in_marketplace_from,d_hz_two_wheeler*G423,0))</f>
        <v/>
      </c>
      <c r="AR424" s="46">
        <f>AQ424*IF(B424&gt;=in_marketplace_from,d_hz_two_wheeler*G424,0)</f>
        <v/>
      </c>
      <c r="AS424" s="14">
        <f>F424*AR424*in_two_wheeler_ticket*in_two_wheeler_comm*in_ins_partner_share+F424*in_two_wheeler_ticket*in_two_wheeler_comm*in_ins_partner_share*(in_two_wheeler_renew^1*SUMIFS(AR401:AR453,B401:B453,B424-12)+in_two_wheeler_renew^2*SUMIFS(AR401:AR453,B401:B453,B424-24)+in_two_wheeler_renew^3*SUMIFS(AR401:AR453,B401:B453,B424-36)+in_two_wheeler_renew^4*SUMIFS(AR401:AR453,B401:B453,B424-48))</f>
        <v/>
      </c>
      <c r="AT424" s="40">
        <f>AT423*(1-IF(B423&gt;=in_marketplace_from,d_hz_device*G423,0))</f>
        <v/>
      </c>
      <c r="AU424" s="14">
        <f>F424*AT424*IF(B424&gt;=in_marketplace_from,d_hz_device*G424,0)*in_device_ticket*in_device_comm*in_ins_partner_share</f>
        <v/>
      </c>
      <c r="AV424" s="40">
        <f>AV423*(1-IF(B423&gt;=in_marketplace_from,d_hz_shop*G423,0))</f>
        <v/>
      </c>
      <c r="AW424" s="46">
        <f>AV424*IF(B424&gt;=in_marketplace_from,d_hz_shop*G424,0)</f>
        <v/>
      </c>
      <c r="AX424" s="14">
        <f>F424*AW424*in_shop_ticket*in_shop_comm*in_ins_partner_share+F424*in_shop_ticket*in_shop_renew_comm*in_ins_partner_share*(in_shop_renew^1*SUMIFS(AW401:AW453,B401:B453,B424-12)+in_shop_renew^2*SUMIFS(AW401:AW453,B401:B453,B424-24)+in_shop_renew^3*SUMIFS(AW401:AW453,B401:B453,B424-36)+in_shop_renew^4*SUMIFS(AW401:AW453,B401:B453,B424-48))</f>
        <v/>
      </c>
      <c r="AY424" s="40">
        <f>AY423*(1-IF(B423&gt;=in_marketplace_from,d_hz_sip*G423,0))</f>
        <v/>
      </c>
      <c r="AZ424" s="40">
        <f>AZ423*d_rho_sip+AY424*IF(B424&gt;=in_marketplace_from,d_hz_sip*G424,0)</f>
        <v/>
      </c>
      <c r="BA424" s="40">
        <f>d_rho_sip*(BA423+AZ423)</f>
        <v/>
      </c>
      <c r="BB424" s="14">
        <f>F424*in_sip_ticket*(BA424+0.5*AZ424)*in_sip_comm/12</f>
        <v/>
      </c>
      <c r="BC424" s="40">
        <f>BC423*(1-IF(B423&gt;=in_marketplace_from,d_hz_choti*G423,0))</f>
        <v/>
      </c>
      <c r="BD424" s="46">
        <f>BC424*IF(B424&gt;=in_marketplace_from,d_hz_choti*G424,0)</f>
        <v/>
      </c>
      <c r="BE424" s="14">
        <f>F424*SUMIFS(BD401:BD453,B401:B453,B424-in_choti_months)*in_choti_renew*in_choti_ticket</f>
        <v/>
      </c>
      <c r="BF424" s="40">
        <f>BF423*(1-IF(B423&gt;=in_marketplace_from,d_hz_nps*G423,0))</f>
        <v/>
      </c>
      <c r="BG424" s="14">
        <f>F424*BF424*IF(B424&gt;=in_marketplace_from,d_hz_nps*G424,0)*in_nps_ticket*in_nps_comm</f>
        <v/>
      </c>
      <c r="BH424" s="40">
        <f>BH423*(1-IF(B423&gt;=in_marketplace_from,d_hz_gold*G423,0))</f>
        <v/>
      </c>
      <c r="BI424" s="40">
        <f>BI423*d_rho_gold+BH424*IF(B424&gt;=in_marketplace_from,d_hz_gold*G424,0)</f>
        <v/>
      </c>
      <c r="BJ424" s="14">
        <f>F424*BI424*in_gold_ticket*in_gold_comm</f>
        <v/>
      </c>
      <c r="BK424" s="40">
        <f>BK423*(1-IF(B423&gt;=in_marketplace_from,d_hz_fd*G423,0))</f>
        <v/>
      </c>
      <c r="BL424" s="14">
        <f>F424*BK424*IF(B424&gt;=in_marketplace_from,d_hz_fd*G424,0)*in_fd_ticket*in_fd_comm</f>
        <v/>
      </c>
      <c r="BM424" s="40">
        <f>BM423*(1-IF(B423&gt;=in_marketplace_from,d_hz_recharge*G423,0))</f>
        <v/>
      </c>
      <c r="BN424" s="40">
        <f>BN423*d_rho_recharge+BM424*IF(B424&gt;=in_marketplace_from,d_hz_recharge*G424,0)</f>
        <v/>
      </c>
      <c r="BO424" s="14">
        <f>F424*BN424*in_recharge_ticket*in_recharge_comm/12</f>
        <v/>
      </c>
      <c r="BP424" s="40">
        <f>BP423*(1-IF(B423&gt;=in_marketplace_from,d_hz_bills*G423,0))</f>
        <v/>
      </c>
      <c r="BQ424" s="40">
        <f>BQ423*d_rho_bills+BP424*IF(B424&gt;=in_marketplace_from,d_hz_bills*G424,0)</f>
        <v/>
      </c>
      <c r="BR424" s="14">
        <f>F424*BQ424*in_bills_ticket*in_bills_comm/12</f>
        <v/>
      </c>
      <c r="BS424" s="40">
        <f>BS423*(1-IF(B423&gt;=in_marketplace_from,d_hz_loan_gold*G423,0))</f>
        <v/>
      </c>
      <c r="BT424" s="14">
        <f>F424*BS424*IF(B424&gt;=in_marketplace_from,d_hz_loan_gold*G424,0)*in_loan_gold_ticket*in_loan_gold_comm</f>
        <v/>
      </c>
      <c r="BU424" s="40">
        <f>BU423*(1-IF(B423&gt;=in_marketplace_from,d_hz_loan_cd*G423,0))</f>
        <v/>
      </c>
      <c r="BV424" s="14">
        <f>F424*BU424*IF(B424&gt;=in_marketplace_from,d_hz_loan_cd*G424,0)*in_loan_cd_ticket*in_loan_cd_comm</f>
        <v/>
      </c>
      <c r="BW424" s="40">
        <f>BW423*(1-IF(B423&gt;=in_marketplace_from,d_hz_loan_vehicle*G423,0))</f>
        <v/>
      </c>
      <c r="BX424" s="14">
        <f>F424*BW424*IF(B424&gt;=in_marketplace_from,d_hz_loan_vehicle*G424,0)*in_loan_vehicle_ticket*in_loan_vehicle_comm</f>
        <v/>
      </c>
      <c r="BY424" s="40">
        <f>BY423*(1-IF(B423&gt;=in_marketplace_from,d_hz_loan_home*G423,0)*BZ423)</f>
        <v/>
      </c>
      <c r="BZ424" s="11">
        <f>MIN(in_approval_cap,in_loan_home_approval*INDEX('Age profile'!$O$2:$O$61,B424)*(1+in_approval_growth)^(D424-1))</f>
        <v/>
      </c>
      <c r="CA424" s="14">
        <f>F424*BY424*IF(B424&gt;=in_marketplace_from,d_hz_loan_home*G424,0)*BZ424*in_loan_home_ticket*in_loan_home_comm</f>
        <v/>
      </c>
      <c r="CB424" s="40">
        <f>CB423*(1-IF(B423&gt;=in_marketplace_from,d_hz_loan_lap*G423,0)*CC423)</f>
        <v/>
      </c>
      <c r="CC424" s="11">
        <f>MIN(in_approval_cap,in_loan_lap_approval*INDEX('Age profile'!$O$2:$O$61,B424)*(1+in_approval_growth)^(D424-1))</f>
        <v/>
      </c>
      <c r="CD424" s="14">
        <f>F424*CB424*IF(B424&gt;=in_marketplace_from,d_hz_loan_lap*G424,0)*CC424*in_loan_lap_ticket*in_loan_lap_comm</f>
        <v/>
      </c>
      <c r="CE424" s="14">
        <f>AA424+AB424+AC424+AD424+AG424+AJ424+AM424+AP424+AS424+AU424+AX424+BB424+BE424+BG424+BJ424+BL424+BO424+BR424+BT424+BV424+BX424+CA424+CD424</f>
        <v/>
      </c>
    </row>
    <row r="425">
      <c r="A425" s="39" t="n">
        <v>8</v>
      </c>
      <c r="B425" s="39" t="n">
        <v>25</v>
      </c>
      <c r="C425" s="39">
        <f>A425+B425-1</f>
        <v/>
      </c>
      <c r="D425" s="39">
        <f>INT((C425-1)/12)+1</f>
        <v/>
      </c>
      <c r="E425" s="44">
        <f>INDEX(Monthly!$B$2:$B$61,A425)</f>
        <v/>
      </c>
      <c r="F425" s="44">
        <f>E425*INDEX('Age profile'!$B$2:$B$61,B425)</f>
        <v/>
      </c>
      <c r="G425" s="45">
        <f>MIN(in_takeup_cap,INDEX('Age profile'!$N$2:$N$61,B425)*(1+in_takeup_growth)^(D425-1))</f>
        <v/>
      </c>
      <c r="H425" s="11">
        <f>MIN(in_approval_cap,in_approved_first*INDEX('Age profile'!$O$2:$O$61,B425)*(1+in_approval_growth)^(D425-1))</f>
        <v/>
      </c>
      <c r="I425" s="45">
        <f>G425*MIN(in_takeup_cap,INDEX('Age profile'!$O$2:$O$61,B425)*(1+in_approval_growth)^(D425-1))</f>
        <v/>
      </c>
      <c r="J425" s="40">
        <f>(J424-L424)*F425/F424</f>
        <v/>
      </c>
      <c r="K425" s="40">
        <f>(K424-M424)*F425/F424+SUMIFS(O401:O424,B401:B424,B425-1-d_T)*F425</f>
        <v/>
      </c>
      <c r="L425" s="40">
        <f>IF(B425&gt;=in_marketplace_from,J425*d_hz*G425*in_eligible*H425,0)</f>
        <v/>
      </c>
      <c r="M425" s="40">
        <f>IF(B425&gt;=in_marketplace_from,K425*d_hz*G425*in_eligible*in_approved_repeat,0)</f>
        <v/>
      </c>
      <c r="N425" s="40">
        <f>L425+M425</f>
        <v/>
      </c>
      <c r="O425" s="46">
        <f>N425/F425</f>
        <v/>
      </c>
      <c r="P425" s="40">
        <f>F425-J425-K425</f>
        <v/>
      </c>
      <c r="Q425" s="40">
        <f>IF(B425&gt;=in_marketplace_from,(J425+K425)*d_hz*G425,0)</f>
        <v/>
      </c>
      <c r="R425" s="40">
        <f>SUMIFS(N401:N453,B401:B453,"&gt;="&amp;(B425-d_T),B401:B453,"&lt;="&amp;(B425-1))</f>
        <v/>
      </c>
      <c r="S425" s="46">
        <f>(1-d_u)*S424+IF(d_T&gt;in_topup_lag,SUMIFS(O401:O453,B401:B453,B425-in_topup_lag)-d_udrop*SUMIFS(O401:O453,B401:B453,B425-d_T),0)</f>
        <v/>
      </c>
      <c r="T425" s="40">
        <f>F425*d_u*S425</f>
        <v/>
      </c>
      <c r="U425" s="9">
        <f>L425*in_ticket+M425*d_rep_ticket</f>
        <v/>
      </c>
      <c r="V425" s="9">
        <f>U425+T425*d_topup_amt</f>
        <v/>
      </c>
      <c r="W425" s="40">
        <f>N425+T425*d_topup_ratio</f>
        <v/>
      </c>
      <c r="X425" s="40">
        <f>SUMIFS(W401:W453,B401:B453,B425-in_dpd_lag)*d_cured</f>
        <v/>
      </c>
      <c r="Y425" s="40">
        <f>SUMIFS(W401:W453,B401:B453,B425-in_rec_lag)*d_recd</f>
        <v/>
      </c>
      <c r="Z425" s="40">
        <f>IF(AND(B425&gt;=in_marketplace_from,B425&lt;in_marketplace_from+in_card_months),in_card_share/in_card_months*F425*I425,IF(AND(B425&gt;=in_marketplace_from+in_card_months,B425&lt;in_marketplace_from+2*in_card_months),in_card_share*d_card_rem/in_card_months*F425*MIN(in_takeup_cap,(1+in_takeup_growth)^(D425-1))*MIN(in_takeup_cap,(1+in_approval_growth)^(D425-1)),0))</f>
        <v/>
      </c>
      <c r="AA425" s="14">
        <f>V425*in_fee*(1-in_taken_back)</f>
        <v/>
      </c>
      <c r="AB425" s="14">
        <f>SUMIFS(W401:W453,B401:B453,B425-in_dpd_lag)*d_dpd</f>
        <v/>
      </c>
      <c r="AC425" s="14">
        <f>SUMIFS(W401:W453,B401:B453,B425-in_rec_lag)*d_rec</f>
        <v/>
      </c>
      <c r="AD425" s="14">
        <f>Z425*in_card_fee</f>
        <v/>
      </c>
      <c r="AE425" s="40">
        <f>AE424*(1-IF(B424&gt;=in_marketplace_from,d_hz_hlth_small*G424,0))</f>
        <v/>
      </c>
      <c r="AF425" s="46">
        <f>AE425*IF(B425&gt;=in_marketplace_from,d_hz_hlth_small*G425,0)</f>
        <v/>
      </c>
      <c r="AG425" s="14">
        <f>F425*AF425*in_hlth_small_ticket*in_hlth_small_comm*in_ins_partner_share+F425*in_hlth_small_ticket*in_hlth_small_renew_comm*in_ins_partner_share*(in_hlth_small_renew^1*SUMIFS(AF401:AF453,B401:B453,B425-12)+in_hlth_small_renew^2*SUMIFS(AF401:AF453,B401:B453,B425-24)+in_hlth_small_renew^3*SUMIFS(AF401:AF453,B401:B453,B425-36)+in_hlth_small_renew^4*SUMIFS(AF401:AF453,B401:B453,B425-48))</f>
        <v/>
      </c>
      <c r="AH425" s="40">
        <f>AH424*(1-IF(B424&gt;=in_marketplace_from,d_hz_hlth_family*G424,0))</f>
        <v/>
      </c>
      <c r="AI425" s="46">
        <f>AH425*IF(B425&gt;=in_marketplace_from,d_hz_hlth_family*G425,0)</f>
        <v/>
      </c>
      <c r="AJ425" s="14">
        <f>F425*AI425*in_hlth_family_ticket*in_hlth_family_comm*in_ins_partner_share+F425*in_hlth_family_ticket*in_hlth_family_renew_comm*in_ins_partner_share*(in_hlth_family_renew^1*SUMIFS(AI401:AI453,B401:B453,B425-12)+in_hlth_family_renew^2*SUMIFS(AI401:AI453,B401:B453,B425-24)+in_hlth_family_renew^3*SUMIFS(AI401:AI453,B401:B453,B425-36)+in_hlth_family_renew^4*SUMIFS(AI401:AI453,B401:B453,B425-48))</f>
        <v/>
      </c>
      <c r="AK425" s="40">
        <f>AK424*(1-IF(B424&gt;=in_marketplace_from,d_hz_life_term*G424,0))</f>
        <v/>
      </c>
      <c r="AL425" s="46">
        <f>AK425*IF(B425&gt;=in_marketplace_from,d_hz_life_term*G425,0)</f>
        <v/>
      </c>
      <c r="AM425" s="14">
        <f>F425*AL425*in_life_term_ticket*in_life_term_comm*in_ins_partner_share+F425*in_life_term_ticket*in_life_term_renew_comm*in_ins_partner_share*(in_life_term_renew^1*SUMIFS(AL401:AL453,B401:B453,B425-12)+in_life_term_renew^2*SUMIFS(AL401:AL453,B401:B453,B425-24)+in_life_term_renew^3*SUMIFS(AL401:AL453,B401:B453,B425-36)+in_life_term_renew^4*SUMIFS(AL401:AL453,B401:B453,B425-48))</f>
        <v/>
      </c>
      <c r="AN425" s="40">
        <f>AN424*(1-IF(B424&gt;=in_marketplace_from,d_hz_accident*G424,0))</f>
        <v/>
      </c>
      <c r="AO425" s="46">
        <f>AN425*IF(B425&gt;=in_marketplace_from,d_hz_accident*G425,0)</f>
        <v/>
      </c>
      <c r="AP425" s="14">
        <f>F425*AO425*in_accident_ticket*in_accident_comm*in_ins_partner_share+F425*in_accident_ticket*in_accident_renew_comm*in_ins_partner_share*(in_accident_renew^1*SUMIFS(AO401:AO453,B401:B453,B425-12)+in_accident_renew^2*SUMIFS(AO401:AO453,B401:B453,B425-24)+in_accident_renew^3*SUMIFS(AO401:AO453,B401:B453,B425-36)+in_accident_renew^4*SUMIFS(AO401:AO453,B401:B453,B425-48))</f>
        <v/>
      </c>
      <c r="AQ425" s="40">
        <f>AQ424*(1-IF(B424&gt;=in_marketplace_from,d_hz_two_wheeler*G424,0))</f>
        <v/>
      </c>
      <c r="AR425" s="46">
        <f>AQ425*IF(B425&gt;=in_marketplace_from,d_hz_two_wheeler*G425,0)</f>
        <v/>
      </c>
      <c r="AS425" s="14">
        <f>F425*AR425*in_two_wheeler_ticket*in_two_wheeler_comm*in_ins_partner_share+F425*in_two_wheeler_ticket*in_two_wheeler_comm*in_ins_partner_share*(in_two_wheeler_renew^1*SUMIFS(AR401:AR453,B401:B453,B425-12)+in_two_wheeler_renew^2*SUMIFS(AR401:AR453,B401:B453,B425-24)+in_two_wheeler_renew^3*SUMIFS(AR401:AR453,B401:B453,B425-36)+in_two_wheeler_renew^4*SUMIFS(AR401:AR453,B401:B453,B425-48))</f>
        <v/>
      </c>
      <c r="AT425" s="40">
        <f>AT424*(1-IF(B424&gt;=in_marketplace_from,d_hz_device*G424,0))</f>
        <v/>
      </c>
      <c r="AU425" s="14">
        <f>F425*AT425*IF(B425&gt;=in_marketplace_from,d_hz_device*G425,0)*in_device_ticket*in_device_comm*in_ins_partner_share</f>
        <v/>
      </c>
      <c r="AV425" s="40">
        <f>AV424*(1-IF(B424&gt;=in_marketplace_from,d_hz_shop*G424,0))</f>
        <v/>
      </c>
      <c r="AW425" s="46">
        <f>AV425*IF(B425&gt;=in_marketplace_from,d_hz_shop*G425,0)</f>
        <v/>
      </c>
      <c r="AX425" s="14">
        <f>F425*AW425*in_shop_ticket*in_shop_comm*in_ins_partner_share+F425*in_shop_ticket*in_shop_renew_comm*in_ins_partner_share*(in_shop_renew^1*SUMIFS(AW401:AW453,B401:B453,B425-12)+in_shop_renew^2*SUMIFS(AW401:AW453,B401:B453,B425-24)+in_shop_renew^3*SUMIFS(AW401:AW453,B401:B453,B425-36)+in_shop_renew^4*SUMIFS(AW401:AW453,B401:B453,B425-48))</f>
        <v/>
      </c>
      <c r="AY425" s="40">
        <f>AY424*(1-IF(B424&gt;=in_marketplace_from,d_hz_sip*G424,0))</f>
        <v/>
      </c>
      <c r="AZ425" s="40">
        <f>AZ424*d_rho_sip+AY425*IF(B425&gt;=in_marketplace_from,d_hz_sip*G425,0)</f>
        <v/>
      </c>
      <c r="BA425" s="40">
        <f>d_rho_sip*(BA424+AZ424)</f>
        <v/>
      </c>
      <c r="BB425" s="14">
        <f>F425*in_sip_ticket*(BA425+0.5*AZ425)*in_sip_comm/12</f>
        <v/>
      </c>
      <c r="BC425" s="40">
        <f>BC424*(1-IF(B424&gt;=in_marketplace_from,d_hz_choti*G424,0))</f>
        <v/>
      </c>
      <c r="BD425" s="46">
        <f>BC425*IF(B425&gt;=in_marketplace_from,d_hz_choti*G425,0)</f>
        <v/>
      </c>
      <c r="BE425" s="14">
        <f>F425*SUMIFS(BD401:BD453,B401:B453,B425-in_choti_months)*in_choti_renew*in_choti_ticket</f>
        <v/>
      </c>
      <c r="BF425" s="40">
        <f>BF424*(1-IF(B424&gt;=in_marketplace_from,d_hz_nps*G424,0))</f>
        <v/>
      </c>
      <c r="BG425" s="14">
        <f>F425*BF425*IF(B425&gt;=in_marketplace_from,d_hz_nps*G425,0)*in_nps_ticket*in_nps_comm</f>
        <v/>
      </c>
      <c r="BH425" s="40">
        <f>BH424*(1-IF(B424&gt;=in_marketplace_from,d_hz_gold*G424,0))</f>
        <v/>
      </c>
      <c r="BI425" s="40">
        <f>BI424*d_rho_gold+BH425*IF(B425&gt;=in_marketplace_from,d_hz_gold*G425,0)</f>
        <v/>
      </c>
      <c r="BJ425" s="14">
        <f>F425*BI425*in_gold_ticket*in_gold_comm</f>
        <v/>
      </c>
      <c r="BK425" s="40">
        <f>BK424*(1-IF(B424&gt;=in_marketplace_from,d_hz_fd*G424,0))</f>
        <v/>
      </c>
      <c r="BL425" s="14">
        <f>F425*BK425*IF(B425&gt;=in_marketplace_from,d_hz_fd*G425,0)*in_fd_ticket*in_fd_comm</f>
        <v/>
      </c>
      <c r="BM425" s="40">
        <f>BM424*(1-IF(B424&gt;=in_marketplace_from,d_hz_recharge*G424,0))</f>
        <v/>
      </c>
      <c r="BN425" s="40">
        <f>BN424*d_rho_recharge+BM425*IF(B425&gt;=in_marketplace_from,d_hz_recharge*G425,0)</f>
        <v/>
      </c>
      <c r="BO425" s="14">
        <f>F425*BN425*in_recharge_ticket*in_recharge_comm/12</f>
        <v/>
      </c>
      <c r="BP425" s="40">
        <f>BP424*(1-IF(B424&gt;=in_marketplace_from,d_hz_bills*G424,0))</f>
        <v/>
      </c>
      <c r="BQ425" s="40">
        <f>BQ424*d_rho_bills+BP425*IF(B425&gt;=in_marketplace_from,d_hz_bills*G425,0)</f>
        <v/>
      </c>
      <c r="BR425" s="14">
        <f>F425*BQ425*in_bills_ticket*in_bills_comm/12</f>
        <v/>
      </c>
      <c r="BS425" s="40">
        <f>BS424*(1-IF(B424&gt;=in_marketplace_from,d_hz_loan_gold*G424,0))</f>
        <v/>
      </c>
      <c r="BT425" s="14">
        <f>F425*BS425*IF(B425&gt;=in_marketplace_from,d_hz_loan_gold*G425,0)*in_loan_gold_ticket*in_loan_gold_comm</f>
        <v/>
      </c>
      <c r="BU425" s="40">
        <f>BU424*(1-IF(B424&gt;=in_marketplace_from,d_hz_loan_cd*G424,0))</f>
        <v/>
      </c>
      <c r="BV425" s="14">
        <f>F425*BU425*IF(B425&gt;=in_marketplace_from,d_hz_loan_cd*G425,0)*in_loan_cd_ticket*in_loan_cd_comm</f>
        <v/>
      </c>
      <c r="BW425" s="40">
        <f>BW424*(1-IF(B424&gt;=in_marketplace_from,d_hz_loan_vehicle*G424,0))</f>
        <v/>
      </c>
      <c r="BX425" s="14">
        <f>F425*BW425*IF(B425&gt;=in_marketplace_from,d_hz_loan_vehicle*G425,0)*in_loan_vehicle_ticket*in_loan_vehicle_comm</f>
        <v/>
      </c>
      <c r="BY425" s="40">
        <f>BY424*(1-IF(B424&gt;=in_marketplace_from,d_hz_loan_home*G424,0)*BZ424)</f>
        <v/>
      </c>
      <c r="BZ425" s="11">
        <f>MIN(in_approval_cap,in_loan_home_approval*INDEX('Age profile'!$O$2:$O$61,B425)*(1+in_approval_growth)^(D425-1))</f>
        <v/>
      </c>
      <c r="CA425" s="14">
        <f>F425*BY425*IF(B425&gt;=in_marketplace_from,d_hz_loan_home*G425,0)*BZ425*in_loan_home_ticket*in_loan_home_comm</f>
        <v/>
      </c>
      <c r="CB425" s="40">
        <f>CB424*(1-IF(B424&gt;=in_marketplace_from,d_hz_loan_lap*G424,0)*CC424)</f>
        <v/>
      </c>
      <c r="CC425" s="11">
        <f>MIN(in_approval_cap,in_loan_lap_approval*INDEX('Age profile'!$O$2:$O$61,B425)*(1+in_approval_growth)^(D425-1))</f>
        <v/>
      </c>
      <c r="CD425" s="14">
        <f>F425*CB425*IF(B425&gt;=in_marketplace_from,d_hz_loan_lap*G425,0)*CC425*in_loan_lap_ticket*in_loan_lap_comm</f>
        <v/>
      </c>
      <c r="CE425" s="14">
        <f>AA425+AB425+AC425+AD425+AG425+AJ425+AM425+AP425+AS425+AU425+AX425+BB425+BE425+BG425+BJ425+BL425+BO425+BR425+BT425+BV425+BX425+CA425+CD425</f>
        <v/>
      </c>
    </row>
    <row r="426">
      <c r="A426" s="39" t="n">
        <v>8</v>
      </c>
      <c r="B426" s="39" t="n">
        <v>26</v>
      </c>
      <c r="C426" s="39">
        <f>A426+B426-1</f>
        <v/>
      </c>
      <c r="D426" s="39">
        <f>INT((C426-1)/12)+1</f>
        <v/>
      </c>
      <c r="E426" s="44">
        <f>INDEX(Monthly!$B$2:$B$61,A426)</f>
        <v/>
      </c>
      <c r="F426" s="44">
        <f>E426*INDEX('Age profile'!$B$2:$B$61,B426)</f>
        <v/>
      </c>
      <c r="G426" s="45">
        <f>MIN(in_takeup_cap,INDEX('Age profile'!$N$2:$N$61,B426)*(1+in_takeup_growth)^(D426-1))</f>
        <v/>
      </c>
      <c r="H426" s="11">
        <f>MIN(in_approval_cap,in_approved_first*INDEX('Age profile'!$O$2:$O$61,B426)*(1+in_approval_growth)^(D426-1))</f>
        <v/>
      </c>
      <c r="I426" s="45">
        <f>G426*MIN(in_takeup_cap,INDEX('Age profile'!$O$2:$O$61,B426)*(1+in_approval_growth)^(D426-1))</f>
        <v/>
      </c>
      <c r="J426" s="40">
        <f>(J425-L425)*F426/F425</f>
        <v/>
      </c>
      <c r="K426" s="40">
        <f>(K425-M425)*F426/F425+SUMIFS(O401:O425,B401:B425,B426-1-d_T)*F426</f>
        <v/>
      </c>
      <c r="L426" s="40">
        <f>IF(B426&gt;=in_marketplace_from,J426*d_hz*G426*in_eligible*H426,0)</f>
        <v/>
      </c>
      <c r="M426" s="40">
        <f>IF(B426&gt;=in_marketplace_from,K426*d_hz*G426*in_eligible*in_approved_repeat,0)</f>
        <v/>
      </c>
      <c r="N426" s="40">
        <f>L426+M426</f>
        <v/>
      </c>
      <c r="O426" s="46">
        <f>N426/F426</f>
        <v/>
      </c>
      <c r="P426" s="40">
        <f>F426-J426-K426</f>
        <v/>
      </c>
      <c r="Q426" s="40">
        <f>IF(B426&gt;=in_marketplace_from,(J426+K426)*d_hz*G426,0)</f>
        <v/>
      </c>
      <c r="R426" s="40">
        <f>SUMIFS(N401:N453,B401:B453,"&gt;="&amp;(B426-d_T),B401:B453,"&lt;="&amp;(B426-1))</f>
        <v/>
      </c>
      <c r="S426" s="46">
        <f>(1-d_u)*S425+IF(d_T&gt;in_topup_lag,SUMIFS(O401:O453,B401:B453,B426-in_topup_lag)-d_udrop*SUMIFS(O401:O453,B401:B453,B426-d_T),0)</f>
        <v/>
      </c>
      <c r="T426" s="40">
        <f>F426*d_u*S426</f>
        <v/>
      </c>
      <c r="U426" s="9">
        <f>L426*in_ticket+M426*d_rep_ticket</f>
        <v/>
      </c>
      <c r="V426" s="9">
        <f>U426+T426*d_topup_amt</f>
        <v/>
      </c>
      <c r="W426" s="40">
        <f>N426+T426*d_topup_ratio</f>
        <v/>
      </c>
      <c r="X426" s="40">
        <f>SUMIFS(W401:W453,B401:B453,B426-in_dpd_lag)*d_cured</f>
        <v/>
      </c>
      <c r="Y426" s="40">
        <f>SUMIFS(W401:W453,B401:B453,B426-in_rec_lag)*d_recd</f>
        <v/>
      </c>
      <c r="Z426" s="40">
        <f>IF(AND(B426&gt;=in_marketplace_from,B426&lt;in_marketplace_from+in_card_months),in_card_share/in_card_months*F426*I426,IF(AND(B426&gt;=in_marketplace_from+in_card_months,B426&lt;in_marketplace_from+2*in_card_months),in_card_share*d_card_rem/in_card_months*F426*MIN(in_takeup_cap,(1+in_takeup_growth)^(D426-1))*MIN(in_takeup_cap,(1+in_approval_growth)^(D426-1)),0))</f>
        <v/>
      </c>
      <c r="AA426" s="14">
        <f>V426*in_fee*(1-in_taken_back)</f>
        <v/>
      </c>
      <c r="AB426" s="14">
        <f>SUMIFS(W401:W453,B401:B453,B426-in_dpd_lag)*d_dpd</f>
        <v/>
      </c>
      <c r="AC426" s="14">
        <f>SUMIFS(W401:W453,B401:B453,B426-in_rec_lag)*d_rec</f>
        <v/>
      </c>
      <c r="AD426" s="14">
        <f>Z426*in_card_fee</f>
        <v/>
      </c>
      <c r="AE426" s="40">
        <f>AE425*(1-IF(B425&gt;=in_marketplace_from,d_hz_hlth_small*G425,0))</f>
        <v/>
      </c>
      <c r="AF426" s="46">
        <f>AE426*IF(B426&gt;=in_marketplace_from,d_hz_hlth_small*G426,0)</f>
        <v/>
      </c>
      <c r="AG426" s="14">
        <f>F426*AF426*in_hlth_small_ticket*in_hlth_small_comm*in_ins_partner_share+F426*in_hlth_small_ticket*in_hlth_small_renew_comm*in_ins_partner_share*(in_hlth_small_renew^1*SUMIFS(AF401:AF453,B401:B453,B426-12)+in_hlth_small_renew^2*SUMIFS(AF401:AF453,B401:B453,B426-24)+in_hlth_small_renew^3*SUMIFS(AF401:AF453,B401:B453,B426-36)+in_hlth_small_renew^4*SUMIFS(AF401:AF453,B401:B453,B426-48))</f>
        <v/>
      </c>
      <c r="AH426" s="40">
        <f>AH425*(1-IF(B425&gt;=in_marketplace_from,d_hz_hlth_family*G425,0))</f>
        <v/>
      </c>
      <c r="AI426" s="46">
        <f>AH426*IF(B426&gt;=in_marketplace_from,d_hz_hlth_family*G426,0)</f>
        <v/>
      </c>
      <c r="AJ426" s="14">
        <f>F426*AI426*in_hlth_family_ticket*in_hlth_family_comm*in_ins_partner_share+F426*in_hlth_family_ticket*in_hlth_family_renew_comm*in_ins_partner_share*(in_hlth_family_renew^1*SUMIFS(AI401:AI453,B401:B453,B426-12)+in_hlth_family_renew^2*SUMIFS(AI401:AI453,B401:B453,B426-24)+in_hlth_family_renew^3*SUMIFS(AI401:AI453,B401:B453,B426-36)+in_hlth_family_renew^4*SUMIFS(AI401:AI453,B401:B453,B426-48))</f>
        <v/>
      </c>
      <c r="AK426" s="40">
        <f>AK425*(1-IF(B425&gt;=in_marketplace_from,d_hz_life_term*G425,0))</f>
        <v/>
      </c>
      <c r="AL426" s="46">
        <f>AK426*IF(B426&gt;=in_marketplace_from,d_hz_life_term*G426,0)</f>
        <v/>
      </c>
      <c r="AM426" s="14">
        <f>F426*AL426*in_life_term_ticket*in_life_term_comm*in_ins_partner_share+F426*in_life_term_ticket*in_life_term_renew_comm*in_ins_partner_share*(in_life_term_renew^1*SUMIFS(AL401:AL453,B401:B453,B426-12)+in_life_term_renew^2*SUMIFS(AL401:AL453,B401:B453,B426-24)+in_life_term_renew^3*SUMIFS(AL401:AL453,B401:B453,B426-36)+in_life_term_renew^4*SUMIFS(AL401:AL453,B401:B453,B426-48))</f>
        <v/>
      </c>
      <c r="AN426" s="40">
        <f>AN425*(1-IF(B425&gt;=in_marketplace_from,d_hz_accident*G425,0))</f>
        <v/>
      </c>
      <c r="AO426" s="46">
        <f>AN426*IF(B426&gt;=in_marketplace_from,d_hz_accident*G426,0)</f>
        <v/>
      </c>
      <c r="AP426" s="14">
        <f>F426*AO426*in_accident_ticket*in_accident_comm*in_ins_partner_share+F426*in_accident_ticket*in_accident_renew_comm*in_ins_partner_share*(in_accident_renew^1*SUMIFS(AO401:AO453,B401:B453,B426-12)+in_accident_renew^2*SUMIFS(AO401:AO453,B401:B453,B426-24)+in_accident_renew^3*SUMIFS(AO401:AO453,B401:B453,B426-36)+in_accident_renew^4*SUMIFS(AO401:AO453,B401:B453,B426-48))</f>
        <v/>
      </c>
      <c r="AQ426" s="40">
        <f>AQ425*(1-IF(B425&gt;=in_marketplace_from,d_hz_two_wheeler*G425,0))</f>
        <v/>
      </c>
      <c r="AR426" s="46">
        <f>AQ426*IF(B426&gt;=in_marketplace_from,d_hz_two_wheeler*G426,0)</f>
        <v/>
      </c>
      <c r="AS426" s="14">
        <f>F426*AR426*in_two_wheeler_ticket*in_two_wheeler_comm*in_ins_partner_share+F426*in_two_wheeler_ticket*in_two_wheeler_comm*in_ins_partner_share*(in_two_wheeler_renew^1*SUMIFS(AR401:AR453,B401:B453,B426-12)+in_two_wheeler_renew^2*SUMIFS(AR401:AR453,B401:B453,B426-24)+in_two_wheeler_renew^3*SUMIFS(AR401:AR453,B401:B453,B426-36)+in_two_wheeler_renew^4*SUMIFS(AR401:AR453,B401:B453,B426-48))</f>
        <v/>
      </c>
      <c r="AT426" s="40">
        <f>AT425*(1-IF(B425&gt;=in_marketplace_from,d_hz_device*G425,0))</f>
        <v/>
      </c>
      <c r="AU426" s="14">
        <f>F426*AT426*IF(B426&gt;=in_marketplace_from,d_hz_device*G426,0)*in_device_ticket*in_device_comm*in_ins_partner_share</f>
        <v/>
      </c>
      <c r="AV426" s="40">
        <f>AV425*(1-IF(B425&gt;=in_marketplace_from,d_hz_shop*G425,0))</f>
        <v/>
      </c>
      <c r="AW426" s="46">
        <f>AV426*IF(B426&gt;=in_marketplace_from,d_hz_shop*G426,0)</f>
        <v/>
      </c>
      <c r="AX426" s="14">
        <f>F426*AW426*in_shop_ticket*in_shop_comm*in_ins_partner_share+F426*in_shop_ticket*in_shop_renew_comm*in_ins_partner_share*(in_shop_renew^1*SUMIFS(AW401:AW453,B401:B453,B426-12)+in_shop_renew^2*SUMIFS(AW401:AW453,B401:B453,B426-24)+in_shop_renew^3*SUMIFS(AW401:AW453,B401:B453,B426-36)+in_shop_renew^4*SUMIFS(AW401:AW453,B401:B453,B426-48))</f>
        <v/>
      </c>
      <c r="AY426" s="40">
        <f>AY425*(1-IF(B425&gt;=in_marketplace_from,d_hz_sip*G425,0))</f>
        <v/>
      </c>
      <c r="AZ426" s="40">
        <f>AZ425*d_rho_sip+AY426*IF(B426&gt;=in_marketplace_from,d_hz_sip*G426,0)</f>
        <v/>
      </c>
      <c r="BA426" s="40">
        <f>d_rho_sip*(BA425+AZ425)</f>
        <v/>
      </c>
      <c r="BB426" s="14">
        <f>F426*in_sip_ticket*(BA426+0.5*AZ426)*in_sip_comm/12</f>
        <v/>
      </c>
      <c r="BC426" s="40">
        <f>BC425*(1-IF(B425&gt;=in_marketplace_from,d_hz_choti*G425,0))</f>
        <v/>
      </c>
      <c r="BD426" s="46">
        <f>BC426*IF(B426&gt;=in_marketplace_from,d_hz_choti*G426,0)</f>
        <v/>
      </c>
      <c r="BE426" s="14">
        <f>F426*SUMIFS(BD401:BD453,B401:B453,B426-in_choti_months)*in_choti_renew*in_choti_ticket</f>
        <v/>
      </c>
      <c r="BF426" s="40">
        <f>BF425*(1-IF(B425&gt;=in_marketplace_from,d_hz_nps*G425,0))</f>
        <v/>
      </c>
      <c r="BG426" s="14">
        <f>F426*BF426*IF(B426&gt;=in_marketplace_from,d_hz_nps*G426,0)*in_nps_ticket*in_nps_comm</f>
        <v/>
      </c>
      <c r="BH426" s="40">
        <f>BH425*(1-IF(B425&gt;=in_marketplace_from,d_hz_gold*G425,0))</f>
        <v/>
      </c>
      <c r="BI426" s="40">
        <f>BI425*d_rho_gold+BH426*IF(B426&gt;=in_marketplace_from,d_hz_gold*G426,0)</f>
        <v/>
      </c>
      <c r="BJ426" s="14">
        <f>F426*BI426*in_gold_ticket*in_gold_comm</f>
        <v/>
      </c>
      <c r="BK426" s="40">
        <f>BK425*(1-IF(B425&gt;=in_marketplace_from,d_hz_fd*G425,0))</f>
        <v/>
      </c>
      <c r="BL426" s="14">
        <f>F426*BK426*IF(B426&gt;=in_marketplace_from,d_hz_fd*G426,0)*in_fd_ticket*in_fd_comm</f>
        <v/>
      </c>
      <c r="BM426" s="40">
        <f>BM425*(1-IF(B425&gt;=in_marketplace_from,d_hz_recharge*G425,0))</f>
        <v/>
      </c>
      <c r="BN426" s="40">
        <f>BN425*d_rho_recharge+BM426*IF(B426&gt;=in_marketplace_from,d_hz_recharge*G426,0)</f>
        <v/>
      </c>
      <c r="BO426" s="14">
        <f>F426*BN426*in_recharge_ticket*in_recharge_comm/12</f>
        <v/>
      </c>
      <c r="BP426" s="40">
        <f>BP425*(1-IF(B425&gt;=in_marketplace_from,d_hz_bills*G425,0))</f>
        <v/>
      </c>
      <c r="BQ426" s="40">
        <f>BQ425*d_rho_bills+BP426*IF(B426&gt;=in_marketplace_from,d_hz_bills*G426,0)</f>
        <v/>
      </c>
      <c r="BR426" s="14">
        <f>F426*BQ426*in_bills_ticket*in_bills_comm/12</f>
        <v/>
      </c>
      <c r="BS426" s="40">
        <f>BS425*(1-IF(B425&gt;=in_marketplace_from,d_hz_loan_gold*G425,0))</f>
        <v/>
      </c>
      <c r="BT426" s="14">
        <f>F426*BS426*IF(B426&gt;=in_marketplace_from,d_hz_loan_gold*G426,0)*in_loan_gold_ticket*in_loan_gold_comm</f>
        <v/>
      </c>
      <c r="BU426" s="40">
        <f>BU425*(1-IF(B425&gt;=in_marketplace_from,d_hz_loan_cd*G425,0))</f>
        <v/>
      </c>
      <c r="BV426" s="14">
        <f>F426*BU426*IF(B426&gt;=in_marketplace_from,d_hz_loan_cd*G426,0)*in_loan_cd_ticket*in_loan_cd_comm</f>
        <v/>
      </c>
      <c r="BW426" s="40">
        <f>BW425*(1-IF(B425&gt;=in_marketplace_from,d_hz_loan_vehicle*G425,0))</f>
        <v/>
      </c>
      <c r="BX426" s="14">
        <f>F426*BW426*IF(B426&gt;=in_marketplace_from,d_hz_loan_vehicle*G426,0)*in_loan_vehicle_ticket*in_loan_vehicle_comm</f>
        <v/>
      </c>
      <c r="BY426" s="40">
        <f>BY425*(1-IF(B425&gt;=in_marketplace_from,d_hz_loan_home*G425,0)*BZ425)</f>
        <v/>
      </c>
      <c r="BZ426" s="11">
        <f>MIN(in_approval_cap,in_loan_home_approval*INDEX('Age profile'!$O$2:$O$61,B426)*(1+in_approval_growth)^(D426-1))</f>
        <v/>
      </c>
      <c r="CA426" s="14">
        <f>F426*BY426*IF(B426&gt;=in_marketplace_from,d_hz_loan_home*G426,0)*BZ426*in_loan_home_ticket*in_loan_home_comm</f>
        <v/>
      </c>
      <c r="CB426" s="40">
        <f>CB425*(1-IF(B425&gt;=in_marketplace_from,d_hz_loan_lap*G425,0)*CC425)</f>
        <v/>
      </c>
      <c r="CC426" s="11">
        <f>MIN(in_approval_cap,in_loan_lap_approval*INDEX('Age profile'!$O$2:$O$61,B426)*(1+in_approval_growth)^(D426-1))</f>
        <v/>
      </c>
      <c r="CD426" s="14">
        <f>F426*CB426*IF(B426&gt;=in_marketplace_from,d_hz_loan_lap*G426,0)*CC426*in_loan_lap_ticket*in_loan_lap_comm</f>
        <v/>
      </c>
      <c r="CE426" s="14">
        <f>AA426+AB426+AC426+AD426+AG426+AJ426+AM426+AP426+AS426+AU426+AX426+BB426+BE426+BG426+BJ426+BL426+BO426+BR426+BT426+BV426+BX426+CA426+CD426</f>
        <v/>
      </c>
    </row>
    <row r="427">
      <c r="A427" s="39" t="n">
        <v>8</v>
      </c>
      <c r="B427" s="39" t="n">
        <v>27</v>
      </c>
      <c r="C427" s="39">
        <f>A427+B427-1</f>
        <v/>
      </c>
      <c r="D427" s="39">
        <f>INT((C427-1)/12)+1</f>
        <v/>
      </c>
      <c r="E427" s="44">
        <f>INDEX(Monthly!$B$2:$B$61,A427)</f>
        <v/>
      </c>
      <c r="F427" s="44">
        <f>E427*INDEX('Age profile'!$B$2:$B$61,B427)</f>
        <v/>
      </c>
      <c r="G427" s="45">
        <f>MIN(in_takeup_cap,INDEX('Age profile'!$N$2:$N$61,B427)*(1+in_takeup_growth)^(D427-1))</f>
        <v/>
      </c>
      <c r="H427" s="11">
        <f>MIN(in_approval_cap,in_approved_first*INDEX('Age profile'!$O$2:$O$61,B427)*(1+in_approval_growth)^(D427-1))</f>
        <v/>
      </c>
      <c r="I427" s="45">
        <f>G427*MIN(in_takeup_cap,INDEX('Age profile'!$O$2:$O$61,B427)*(1+in_approval_growth)^(D427-1))</f>
        <v/>
      </c>
      <c r="J427" s="40">
        <f>(J426-L426)*F427/F426</f>
        <v/>
      </c>
      <c r="K427" s="40">
        <f>(K426-M426)*F427/F426+SUMIFS(O401:O426,B401:B426,B427-1-d_T)*F427</f>
        <v/>
      </c>
      <c r="L427" s="40">
        <f>IF(B427&gt;=in_marketplace_from,J427*d_hz*G427*in_eligible*H427,0)</f>
        <v/>
      </c>
      <c r="M427" s="40">
        <f>IF(B427&gt;=in_marketplace_from,K427*d_hz*G427*in_eligible*in_approved_repeat,0)</f>
        <v/>
      </c>
      <c r="N427" s="40">
        <f>L427+M427</f>
        <v/>
      </c>
      <c r="O427" s="46">
        <f>N427/F427</f>
        <v/>
      </c>
      <c r="P427" s="40">
        <f>F427-J427-K427</f>
        <v/>
      </c>
      <c r="Q427" s="40">
        <f>IF(B427&gt;=in_marketplace_from,(J427+K427)*d_hz*G427,0)</f>
        <v/>
      </c>
      <c r="R427" s="40">
        <f>SUMIFS(N401:N453,B401:B453,"&gt;="&amp;(B427-d_T),B401:B453,"&lt;="&amp;(B427-1))</f>
        <v/>
      </c>
      <c r="S427" s="46">
        <f>(1-d_u)*S426+IF(d_T&gt;in_topup_lag,SUMIFS(O401:O453,B401:B453,B427-in_topup_lag)-d_udrop*SUMIFS(O401:O453,B401:B453,B427-d_T),0)</f>
        <v/>
      </c>
      <c r="T427" s="40">
        <f>F427*d_u*S427</f>
        <v/>
      </c>
      <c r="U427" s="9">
        <f>L427*in_ticket+M427*d_rep_ticket</f>
        <v/>
      </c>
      <c r="V427" s="9">
        <f>U427+T427*d_topup_amt</f>
        <v/>
      </c>
      <c r="W427" s="40">
        <f>N427+T427*d_topup_ratio</f>
        <v/>
      </c>
      <c r="X427" s="40">
        <f>SUMIFS(W401:W453,B401:B453,B427-in_dpd_lag)*d_cured</f>
        <v/>
      </c>
      <c r="Y427" s="40">
        <f>SUMIFS(W401:W453,B401:B453,B427-in_rec_lag)*d_recd</f>
        <v/>
      </c>
      <c r="Z427" s="40">
        <f>IF(AND(B427&gt;=in_marketplace_from,B427&lt;in_marketplace_from+in_card_months),in_card_share/in_card_months*F427*I427,IF(AND(B427&gt;=in_marketplace_from+in_card_months,B427&lt;in_marketplace_from+2*in_card_months),in_card_share*d_card_rem/in_card_months*F427*MIN(in_takeup_cap,(1+in_takeup_growth)^(D427-1))*MIN(in_takeup_cap,(1+in_approval_growth)^(D427-1)),0))</f>
        <v/>
      </c>
      <c r="AA427" s="14">
        <f>V427*in_fee*(1-in_taken_back)</f>
        <v/>
      </c>
      <c r="AB427" s="14">
        <f>SUMIFS(W401:W453,B401:B453,B427-in_dpd_lag)*d_dpd</f>
        <v/>
      </c>
      <c r="AC427" s="14">
        <f>SUMIFS(W401:W453,B401:B453,B427-in_rec_lag)*d_rec</f>
        <v/>
      </c>
      <c r="AD427" s="14">
        <f>Z427*in_card_fee</f>
        <v/>
      </c>
      <c r="AE427" s="40">
        <f>AE426*(1-IF(B426&gt;=in_marketplace_from,d_hz_hlth_small*G426,0))</f>
        <v/>
      </c>
      <c r="AF427" s="46">
        <f>AE427*IF(B427&gt;=in_marketplace_from,d_hz_hlth_small*G427,0)</f>
        <v/>
      </c>
      <c r="AG427" s="14">
        <f>F427*AF427*in_hlth_small_ticket*in_hlth_small_comm*in_ins_partner_share+F427*in_hlth_small_ticket*in_hlth_small_renew_comm*in_ins_partner_share*(in_hlth_small_renew^1*SUMIFS(AF401:AF453,B401:B453,B427-12)+in_hlth_small_renew^2*SUMIFS(AF401:AF453,B401:B453,B427-24)+in_hlth_small_renew^3*SUMIFS(AF401:AF453,B401:B453,B427-36)+in_hlth_small_renew^4*SUMIFS(AF401:AF453,B401:B453,B427-48))</f>
        <v/>
      </c>
      <c r="AH427" s="40">
        <f>AH426*(1-IF(B426&gt;=in_marketplace_from,d_hz_hlth_family*G426,0))</f>
        <v/>
      </c>
      <c r="AI427" s="46">
        <f>AH427*IF(B427&gt;=in_marketplace_from,d_hz_hlth_family*G427,0)</f>
        <v/>
      </c>
      <c r="AJ427" s="14">
        <f>F427*AI427*in_hlth_family_ticket*in_hlth_family_comm*in_ins_partner_share+F427*in_hlth_family_ticket*in_hlth_family_renew_comm*in_ins_partner_share*(in_hlth_family_renew^1*SUMIFS(AI401:AI453,B401:B453,B427-12)+in_hlth_family_renew^2*SUMIFS(AI401:AI453,B401:B453,B427-24)+in_hlth_family_renew^3*SUMIFS(AI401:AI453,B401:B453,B427-36)+in_hlth_family_renew^4*SUMIFS(AI401:AI453,B401:B453,B427-48))</f>
        <v/>
      </c>
      <c r="AK427" s="40">
        <f>AK426*(1-IF(B426&gt;=in_marketplace_from,d_hz_life_term*G426,0))</f>
        <v/>
      </c>
      <c r="AL427" s="46">
        <f>AK427*IF(B427&gt;=in_marketplace_from,d_hz_life_term*G427,0)</f>
        <v/>
      </c>
      <c r="AM427" s="14">
        <f>F427*AL427*in_life_term_ticket*in_life_term_comm*in_ins_partner_share+F427*in_life_term_ticket*in_life_term_renew_comm*in_ins_partner_share*(in_life_term_renew^1*SUMIFS(AL401:AL453,B401:B453,B427-12)+in_life_term_renew^2*SUMIFS(AL401:AL453,B401:B453,B427-24)+in_life_term_renew^3*SUMIFS(AL401:AL453,B401:B453,B427-36)+in_life_term_renew^4*SUMIFS(AL401:AL453,B401:B453,B427-48))</f>
        <v/>
      </c>
      <c r="AN427" s="40">
        <f>AN426*(1-IF(B426&gt;=in_marketplace_from,d_hz_accident*G426,0))</f>
        <v/>
      </c>
      <c r="AO427" s="46">
        <f>AN427*IF(B427&gt;=in_marketplace_from,d_hz_accident*G427,0)</f>
        <v/>
      </c>
      <c r="AP427" s="14">
        <f>F427*AO427*in_accident_ticket*in_accident_comm*in_ins_partner_share+F427*in_accident_ticket*in_accident_renew_comm*in_ins_partner_share*(in_accident_renew^1*SUMIFS(AO401:AO453,B401:B453,B427-12)+in_accident_renew^2*SUMIFS(AO401:AO453,B401:B453,B427-24)+in_accident_renew^3*SUMIFS(AO401:AO453,B401:B453,B427-36)+in_accident_renew^4*SUMIFS(AO401:AO453,B401:B453,B427-48))</f>
        <v/>
      </c>
      <c r="AQ427" s="40">
        <f>AQ426*(1-IF(B426&gt;=in_marketplace_from,d_hz_two_wheeler*G426,0))</f>
        <v/>
      </c>
      <c r="AR427" s="46">
        <f>AQ427*IF(B427&gt;=in_marketplace_from,d_hz_two_wheeler*G427,0)</f>
        <v/>
      </c>
      <c r="AS427" s="14">
        <f>F427*AR427*in_two_wheeler_ticket*in_two_wheeler_comm*in_ins_partner_share+F427*in_two_wheeler_ticket*in_two_wheeler_comm*in_ins_partner_share*(in_two_wheeler_renew^1*SUMIFS(AR401:AR453,B401:B453,B427-12)+in_two_wheeler_renew^2*SUMIFS(AR401:AR453,B401:B453,B427-24)+in_two_wheeler_renew^3*SUMIFS(AR401:AR453,B401:B453,B427-36)+in_two_wheeler_renew^4*SUMIFS(AR401:AR453,B401:B453,B427-48))</f>
        <v/>
      </c>
      <c r="AT427" s="40">
        <f>AT426*(1-IF(B426&gt;=in_marketplace_from,d_hz_device*G426,0))</f>
        <v/>
      </c>
      <c r="AU427" s="14">
        <f>F427*AT427*IF(B427&gt;=in_marketplace_from,d_hz_device*G427,0)*in_device_ticket*in_device_comm*in_ins_partner_share</f>
        <v/>
      </c>
      <c r="AV427" s="40">
        <f>AV426*(1-IF(B426&gt;=in_marketplace_from,d_hz_shop*G426,0))</f>
        <v/>
      </c>
      <c r="AW427" s="46">
        <f>AV427*IF(B427&gt;=in_marketplace_from,d_hz_shop*G427,0)</f>
        <v/>
      </c>
      <c r="AX427" s="14">
        <f>F427*AW427*in_shop_ticket*in_shop_comm*in_ins_partner_share+F427*in_shop_ticket*in_shop_renew_comm*in_ins_partner_share*(in_shop_renew^1*SUMIFS(AW401:AW453,B401:B453,B427-12)+in_shop_renew^2*SUMIFS(AW401:AW453,B401:B453,B427-24)+in_shop_renew^3*SUMIFS(AW401:AW453,B401:B453,B427-36)+in_shop_renew^4*SUMIFS(AW401:AW453,B401:B453,B427-48))</f>
        <v/>
      </c>
      <c r="AY427" s="40">
        <f>AY426*(1-IF(B426&gt;=in_marketplace_from,d_hz_sip*G426,0))</f>
        <v/>
      </c>
      <c r="AZ427" s="40">
        <f>AZ426*d_rho_sip+AY427*IF(B427&gt;=in_marketplace_from,d_hz_sip*G427,0)</f>
        <v/>
      </c>
      <c r="BA427" s="40">
        <f>d_rho_sip*(BA426+AZ426)</f>
        <v/>
      </c>
      <c r="BB427" s="14">
        <f>F427*in_sip_ticket*(BA427+0.5*AZ427)*in_sip_comm/12</f>
        <v/>
      </c>
      <c r="BC427" s="40">
        <f>BC426*(1-IF(B426&gt;=in_marketplace_from,d_hz_choti*G426,0))</f>
        <v/>
      </c>
      <c r="BD427" s="46">
        <f>BC427*IF(B427&gt;=in_marketplace_from,d_hz_choti*G427,0)</f>
        <v/>
      </c>
      <c r="BE427" s="14">
        <f>F427*SUMIFS(BD401:BD453,B401:B453,B427-in_choti_months)*in_choti_renew*in_choti_ticket</f>
        <v/>
      </c>
      <c r="BF427" s="40">
        <f>BF426*(1-IF(B426&gt;=in_marketplace_from,d_hz_nps*G426,0))</f>
        <v/>
      </c>
      <c r="BG427" s="14">
        <f>F427*BF427*IF(B427&gt;=in_marketplace_from,d_hz_nps*G427,0)*in_nps_ticket*in_nps_comm</f>
        <v/>
      </c>
      <c r="BH427" s="40">
        <f>BH426*(1-IF(B426&gt;=in_marketplace_from,d_hz_gold*G426,0))</f>
        <v/>
      </c>
      <c r="BI427" s="40">
        <f>BI426*d_rho_gold+BH427*IF(B427&gt;=in_marketplace_from,d_hz_gold*G427,0)</f>
        <v/>
      </c>
      <c r="BJ427" s="14">
        <f>F427*BI427*in_gold_ticket*in_gold_comm</f>
        <v/>
      </c>
      <c r="BK427" s="40">
        <f>BK426*(1-IF(B426&gt;=in_marketplace_from,d_hz_fd*G426,0))</f>
        <v/>
      </c>
      <c r="BL427" s="14">
        <f>F427*BK427*IF(B427&gt;=in_marketplace_from,d_hz_fd*G427,0)*in_fd_ticket*in_fd_comm</f>
        <v/>
      </c>
      <c r="BM427" s="40">
        <f>BM426*(1-IF(B426&gt;=in_marketplace_from,d_hz_recharge*G426,0))</f>
        <v/>
      </c>
      <c r="BN427" s="40">
        <f>BN426*d_rho_recharge+BM427*IF(B427&gt;=in_marketplace_from,d_hz_recharge*G427,0)</f>
        <v/>
      </c>
      <c r="BO427" s="14">
        <f>F427*BN427*in_recharge_ticket*in_recharge_comm/12</f>
        <v/>
      </c>
      <c r="BP427" s="40">
        <f>BP426*(1-IF(B426&gt;=in_marketplace_from,d_hz_bills*G426,0))</f>
        <v/>
      </c>
      <c r="BQ427" s="40">
        <f>BQ426*d_rho_bills+BP427*IF(B427&gt;=in_marketplace_from,d_hz_bills*G427,0)</f>
        <v/>
      </c>
      <c r="BR427" s="14">
        <f>F427*BQ427*in_bills_ticket*in_bills_comm/12</f>
        <v/>
      </c>
      <c r="BS427" s="40">
        <f>BS426*(1-IF(B426&gt;=in_marketplace_from,d_hz_loan_gold*G426,0))</f>
        <v/>
      </c>
      <c r="BT427" s="14">
        <f>F427*BS427*IF(B427&gt;=in_marketplace_from,d_hz_loan_gold*G427,0)*in_loan_gold_ticket*in_loan_gold_comm</f>
        <v/>
      </c>
      <c r="BU427" s="40">
        <f>BU426*(1-IF(B426&gt;=in_marketplace_from,d_hz_loan_cd*G426,0))</f>
        <v/>
      </c>
      <c r="BV427" s="14">
        <f>F427*BU427*IF(B427&gt;=in_marketplace_from,d_hz_loan_cd*G427,0)*in_loan_cd_ticket*in_loan_cd_comm</f>
        <v/>
      </c>
      <c r="BW427" s="40">
        <f>BW426*(1-IF(B426&gt;=in_marketplace_from,d_hz_loan_vehicle*G426,0))</f>
        <v/>
      </c>
      <c r="BX427" s="14">
        <f>F427*BW427*IF(B427&gt;=in_marketplace_from,d_hz_loan_vehicle*G427,0)*in_loan_vehicle_ticket*in_loan_vehicle_comm</f>
        <v/>
      </c>
      <c r="BY427" s="40">
        <f>BY426*(1-IF(B426&gt;=in_marketplace_from,d_hz_loan_home*G426,0)*BZ426)</f>
        <v/>
      </c>
      <c r="BZ427" s="11">
        <f>MIN(in_approval_cap,in_loan_home_approval*INDEX('Age profile'!$O$2:$O$61,B427)*(1+in_approval_growth)^(D427-1))</f>
        <v/>
      </c>
      <c r="CA427" s="14">
        <f>F427*BY427*IF(B427&gt;=in_marketplace_from,d_hz_loan_home*G427,0)*BZ427*in_loan_home_ticket*in_loan_home_comm</f>
        <v/>
      </c>
      <c r="CB427" s="40">
        <f>CB426*(1-IF(B426&gt;=in_marketplace_from,d_hz_loan_lap*G426,0)*CC426)</f>
        <v/>
      </c>
      <c r="CC427" s="11">
        <f>MIN(in_approval_cap,in_loan_lap_approval*INDEX('Age profile'!$O$2:$O$61,B427)*(1+in_approval_growth)^(D427-1))</f>
        <v/>
      </c>
      <c r="CD427" s="14">
        <f>F427*CB427*IF(B427&gt;=in_marketplace_from,d_hz_loan_lap*G427,0)*CC427*in_loan_lap_ticket*in_loan_lap_comm</f>
        <v/>
      </c>
      <c r="CE427" s="14">
        <f>AA427+AB427+AC427+AD427+AG427+AJ427+AM427+AP427+AS427+AU427+AX427+BB427+BE427+BG427+BJ427+BL427+BO427+BR427+BT427+BV427+BX427+CA427+CD427</f>
        <v/>
      </c>
    </row>
    <row r="428">
      <c r="A428" s="39" t="n">
        <v>8</v>
      </c>
      <c r="B428" s="39" t="n">
        <v>28</v>
      </c>
      <c r="C428" s="39">
        <f>A428+B428-1</f>
        <v/>
      </c>
      <c r="D428" s="39">
        <f>INT((C428-1)/12)+1</f>
        <v/>
      </c>
      <c r="E428" s="44">
        <f>INDEX(Monthly!$B$2:$B$61,A428)</f>
        <v/>
      </c>
      <c r="F428" s="44">
        <f>E428*INDEX('Age profile'!$B$2:$B$61,B428)</f>
        <v/>
      </c>
      <c r="G428" s="45">
        <f>MIN(in_takeup_cap,INDEX('Age profile'!$N$2:$N$61,B428)*(1+in_takeup_growth)^(D428-1))</f>
        <v/>
      </c>
      <c r="H428" s="11">
        <f>MIN(in_approval_cap,in_approved_first*INDEX('Age profile'!$O$2:$O$61,B428)*(1+in_approval_growth)^(D428-1))</f>
        <v/>
      </c>
      <c r="I428" s="45">
        <f>G428*MIN(in_takeup_cap,INDEX('Age profile'!$O$2:$O$61,B428)*(1+in_approval_growth)^(D428-1))</f>
        <v/>
      </c>
      <c r="J428" s="40">
        <f>(J427-L427)*F428/F427</f>
        <v/>
      </c>
      <c r="K428" s="40">
        <f>(K427-M427)*F428/F427+SUMIFS(O401:O427,B401:B427,B428-1-d_T)*F428</f>
        <v/>
      </c>
      <c r="L428" s="40">
        <f>IF(B428&gt;=in_marketplace_from,J428*d_hz*G428*in_eligible*H428,0)</f>
        <v/>
      </c>
      <c r="M428" s="40">
        <f>IF(B428&gt;=in_marketplace_from,K428*d_hz*G428*in_eligible*in_approved_repeat,0)</f>
        <v/>
      </c>
      <c r="N428" s="40">
        <f>L428+M428</f>
        <v/>
      </c>
      <c r="O428" s="46">
        <f>N428/F428</f>
        <v/>
      </c>
      <c r="P428" s="40">
        <f>F428-J428-K428</f>
        <v/>
      </c>
      <c r="Q428" s="40">
        <f>IF(B428&gt;=in_marketplace_from,(J428+K428)*d_hz*G428,0)</f>
        <v/>
      </c>
      <c r="R428" s="40">
        <f>SUMIFS(N401:N453,B401:B453,"&gt;="&amp;(B428-d_T),B401:B453,"&lt;="&amp;(B428-1))</f>
        <v/>
      </c>
      <c r="S428" s="46">
        <f>(1-d_u)*S427+IF(d_T&gt;in_topup_lag,SUMIFS(O401:O453,B401:B453,B428-in_topup_lag)-d_udrop*SUMIFS(O401:O453,B401:B453,B428-d_T),0)</f>
        <v/>
      </c>
      <c r="T428" s="40">
        <f>F428*d_u*S428</f>
        <v/>
      </c>
      <c r="U428" s="9">
        <f>L428*in_ticket+M428*d_rep_ticket</f>
        <v/>
      </c>
      <c r="V428" s="9">
        <f>U428+T428*d_topup_amt</f>
        <v/>
      </c>
      <c r="W428" s="40">
        <f>N428+T428*d_topup_ratio</f>
        <v/>
      </c>
      <c r="X428" s="40">
        <f>SUMIFS(W401:W453,B401:B453,B428-in_dpd_lag)*d_cured</f>
        <v/>
      </c>
      <c r="Y428" s="40">
        <f>SUMIFS(W401:W453,B401:B453,B428-in_rec_lag)*d_recd</f>
        <v/>
      </c>
      <c r="Z428" s="40">
        <f>IF(AND(B428&gt;=in_marketplace_from,B428&lt;in_marketplace_from+in_card_months),in_card_share/in_card_months*F428*I428,IF(AND(B428&gt;=in_marketplace_from+in_card_months,B428&lt;in_marketplace_from+2*in_card_months),in_card_share*d_card_rem/in_card_months*F428*MIN(in_takeup_cap,(1+in_takeup_growth)^(D428-1))*MIN(in_takeup_cap,(1+in_approval_growth)^(D428-1)),0))</f>
        <v/>
      </c>
      <c r="AA428" s="14">
        <f>V428*in_fee*(1-in_taken_back)</f>
        <v/>
      </c>
      <c r="AB428" s="14">
        <f>SUMIFS(W401:W453,B401:B453,B428-in_dpd_lag)*d_dpd</f>
        <v/>
      </c>
      <c r="AC428" s="14">
        <f>SUMIFS(W401:W453,B401:B453,B428-in_rec_lag)*d_rec</f>
        <v/>
      </c>
      <c r="AD428" s="14">
        <f>Z428*in_card_fee</f>
        <v/>
      </c>
      <c r="AE428" s="40">
        <f>AE427*(1-IF(B427&gt;=in_marketplace_from,d_hz_hlth_small*G427,0))</f>
        <v/>
      </c>
      <c r="AF428" s="46">
        <f>AE428*IF(B428&gt;=in_marketplace_from,d_hz_hlth_small*G428,0)</f>
        <v/>
      </c>
      <c r="AG428" s="14">
        <f>F428*AF428*in_hlth_small_ticket*in_hlth_small_comm*in_ins_partner_share+F428*in_hlth_small_ticket*in_hlth_small_renew_comm*in_ins_partner_share*(in_hlth_small_renew^1*SUMIFS(AF401:AF453,B401:B453,B428-12)+in_hlth_small_renew^2*SUMIFS(AF401:AF453,B401:B453,B428-24)+in_hlth_small_renew^3*SUMIFS(AF401:AF453,B401:B453,B428-36)+in_hlth_small_renew^4*SUMIFS(AF401:AF453,B401:B453,B428-48))</f>
        <v/>
      </c>
      <c r="AH428" s="40">
        <f>AH427*(1-IF(B427&gt;=in_marketplace_from,d_hz_hlth_family*G427,0))</f>
        <v/>
      </c>
      <c r="AI428" s="46">
        <f>AH428*IF(B428&gt;=in_marketplace_from,d_hz_hlth_family*G428,0)</f>
        <v/>
      </c>
      <c r="AJ428" s="14">
        <f>F428*AI428*in_hlth_family_ticket*in_hlth_family_comm*in_ins_partner_share+F428*in_hlth_family_ticket*in_hlth_family_renew_comm*in_ins_partner_share*(in_hlth_family_renew^1*SUMIFS(AI401:AI453,B401:B453,B428-12)+in_hlth_family_renew^2*SUMIFS(AI401:AI453,B401:B453,B428-24)+in_hlth_family_renew^3*SUMIFS(AI401:AI453,B401:B453,B428-36)+in_hlth_family_renew^4*SUMIFS(AI401:AI453,B401:B453,B428-48))</f>
        <v/>
      </c>
      <c r="AK428" s="40">
        <f>AK427*(1-IF(B427&gt;=in_marketplace_from,d_hz_life_term*G427,0))</f>
        <v/>
      </c>
      <c r="AL428" s="46">
        <f>AK428*IF(B428&gt;=in_marketplace_from,d_hz_life_term*G428,0)</f>
        <v/>
      </c>
      <c r="AM428" s="14">
        <f>F428*AL428*in_life_term_ticket*in_life_term_comm*in_ins_partner_share+F428*in_life_term_ticket*in_life_term_renew_comm*in_ins_partner_share*(in_life_term_renew^1*SUMIFS(AL401:AL453,B401:B453,B428-12)+in_life_term_renew^2*SUMIFS(AL401:AL453,B401:B453,B428-24)+in_life_term_renew^3*SUMIFS(AL401:AL453,B401:B453,B428-36)+in_life_term_renew^4*SUMIFS(AL401:AL453,B401:B453,B428-48))</f>
        <v/>
      </c>
      <c r="AN428" s="40">
        <f>AN427*(1-IF(B427&gt;=in_marketplace_from,d_hz_accident*G427,0))</f>
        <v/>
      </c>
      <c r="AO428" s="46">
        <f>AN428*IF(B428&gt;=in_marketplace_from,d_hz_accident*G428,0)</f>
        <v/>
      </c>
      <c r="AP428" s="14">
        <f>F428*AO428*in_accident_ticket*in_accident_comm*in_ins_partner_share+F428*in_accident_ticket*in_accident_renew_comm*in_ins_partner_share*(in_accident_renew^1*SUMIFS(AO401:AO453,B401:B453,B428-12)+in_accident_renew^2*SUMIFS(AO401:AO453,B401:B453,B428-24)+in_accident_renew^3*SUMIFS(AO401:AO453,B401:B453,B428-36)+in_accident_renew^4*SUMIFS(AO401:AO453,B401:B453,B428-48))</f>
        <v/>
      </c>
      <c r="AQ428" s="40">
        <f>AQ427*(1-IF(B427&gt;=in_marketplace_from,d_hz_two_wheeler*G427,0))</f>
        <v/>
      </c>
      <c r="AR428" s="46">
        <f>AQ428*IF(B428&gt;=in_marketplace_from,d_hz_two_wheeler*G428,0)</f>
        <v/>
      </c>
      <c r="AS428" s="14">
        <f>F428*AR428*in_two_wheeler_ticket*in_two_wheeler_comm*in_ins_partner_share+F428*in_two_wheeler_ticket*in_two_wheeler_comm*in_ins_partner_share*(in_two_wheeler_renew^1*SUMIFS(AR401:AR453,B401:B453,B428-12)+in_two_wheeler_renew^2*SUMIFS(AR401:AR453,B401:B453,B428-24)+in_two_wheeler_renew^3*SUMIFS(AR401:AR453,B401:B453,B428-36)+in_two_wheeler_renew^4*SUMIFS(AR401:AR453,B401:B453,B428-48))</f>
        <v/>
      </c>
      <c r="AT428" s="40">
        <f>AT427*(1-IF(B427&gt;=in_marketplace_from,d_hz_device*G427,0))</f>
        <v/>
      </c>
      <c r="AU428" s="14">
        <f>F428*AT428*IF(B428&gt;=in_marketplace_from,d_hz_device*G428,0)*in_device_ticket*in_device_comm*in_ins_partner_share</f>
        <v/>
      </c>
      <c r="AV428" s="40">
        <f>AV427*(1-IF(B427&gt;=in_marketplace_from,d_hz_shop*G427,0))</f>
        <v/>
      </c>
      <c r="AW428" s="46">
        <f>AV428*IF(B428&gt;=in_marketplace_from,d_hz_shop*G428,0)</f>
        <v/>
      </c>
      <c r="AX428" s="14">
        <f>F428*AW428*in_shop_ticket*in_shop_comm*in_ins_partner_share+F428*in_shop_ticket*in_shop_renew_comm*in_ins_partner_share*(in_shop_renew^1*SUMIFS(AW401:AW453,B401:B453,B428-12)+in_shop_renew^2*SUMIFS(AW401:AW453,B401:B453,B428-24)+in_shop_renew^3*SUMIFS(AW401:AW453,B401:B453,B428-36)+in_shop_renew^4*SUMIFS(AW401:AW453,B401:B453,B428-48))</f>
        <v/>
      </c>
      <c r="AY428" s="40">
        <f>AY427*(1-IF(B427&gt;=in_marketplace_from,d_hz_sip*G427,0))</f>
        <v/>
      </c>
      <c r="AZ428" s="40">
        <f>AZ427*d_rho_sip+AY428*IF(B428&gt;=in_marketplace_from,d_hz_sip*G428,0)</f>
        <v/>
      </c>
      <c r="BA428" s="40">
        <f>d_rho_sip*(BA427+AZ427)</f>
        <v/>
      </c>
      <c r="BB428" s="14">
        <f>F428*in_sip_ticket*(BA428+0.5*AZ428)*in_sip_comm/12</f>
        <v/>
      </c>
      <c r="BC428" s="40">
        <f>BC427*(1-IF(B427&gt;=in_marketplace_from,d_hz_choti*G427,0))</f>
        <v/>
      </c>
      <c r="BD428" s="46">
        <f>BC428*IF(B428&gt;=in_marketplace_from,d_hz_choti*G428,0)</f>
        <v/>
      </c>
      <c r="BE428" s="14">
        <f>F428*SUMIFS(BD401:BD453,B401:B453,B428-in_choti_months)*in_choti_renew*in_choti_ticket</f>
        <v/>
      </c>
      <c r="BF428" s="40">
        <f>BF427*(1-IF(B427&gt;=in_marketplace_from,d_hz_nps*G427,0))</f>
        <v/>
      </c>
      <c r="BG428" s="14">
        <f>F428*BF428*IF(B428&gt;=in_marketplace_from,d_hz_nps*G428,0)*in_nps_ticket*in_nps_comm</f>
        <v/>
      </c>
      <c r="BH428" s="40">
        <f>BH427*(1-IF(B427&gt;=in_marketplace_from,d_hz_gold*G427,0))</f>
        <v/>
      </c>
      <c r="BI428" s="40">
        <f>BI427*d_rho_gold+BH428*IF(B428&gt;=in_marketplace_from,d_hz_gold*G428,0)</f>
        <v/>
      </c>
      <c r="BJ428" s="14">
        <f>F428*BI428*in_gold_ticket*in_gold_comm</f>
        <v/>
      </c>
      <c r="BK428" s="40">
        <f>BK427*(1-IF(B427&gt;=in_marketplace_from,d_hz_fd*G427,0))</f>
        <v/>
      </c>
      <c r="BL428" s="14">
        <f>F428*BK428*IF(B428&gt;=in_marketplace_from,d_hz_fd*G428,0)*in_fd_ticket*in_fd_comm</f>
        <v/>
      </c>
      <c r="BM428" s="40">
        <f>BM427*(1-IF(B427&gt;=in_marketplace_from,d_hz_recharge*G427,0))</f>
        <v/>
      </c>
      <c r="BN428" s="40">
        <f>BN427*d_rho_recharge+BM428*IF(B428&gt;=in_marketplace_from,d_hz_recharge*G428,0)</f>
        <v/>
      </c>
      <c r="BO428" s="14">
        <f>F428*BN428*in_recharge_ticket*in_recharge_comm/12</f>
        <v/>
      </c>
      <c r="BP428" s="40">
        <f>BP427*(1-IF(B427&gt;=in_marketplace_from,d_hz_bills*G427,0))</f>
        <v/>
      </c>
      <c r="BQ428" s="40">
        <f>BQ427*d_rho_bills+BP428*IF(B428&gt;=in_marketplace_from,d_hz_bills*G428,0)</f>
        <v/>
      </c>
      <c r="BR428" s="14">
        <f>F428*BQ428*in_bills_ticket*in_bills_comm/12</f>
        <v/>
      </c>
      <c r="BS428" s="40">
        <f>BS427*(1-IF(B427&gt;=in_marketplace_from,d_hz_loan_gold*G427,0))</f>
        <v/>
      </c>
      <c r="BT428" s="14">
        <f>F428*BS428*IF(B428&gt;=in_marketplace_from,d_hz_loan_gold*G428,0)*in_loan_gold_ticket*in_loan_gold_comm</f>
        <v/>
      </c>
      <c r="BU428" s="40">
        <f>BU427*(1-IF(B427&gt;=in_marketplace_from,d_hz_loan_cd*G427,0))</f>
        <v/>
      </c>
      <c r="BV428" s="14">
        <f>F428*BU428*IF(B428&gt;=in_marketplace_from,d_hz_loan_cd*G428,0)*in_loan_cd_ticket*in_loan_cd_comm</f>
        <v/>
      </c>
      <c r="BW428" s="40">
        <f>BW427*(1-IF(B427&gt;=in_marketplace_from,d_hz_loan_vehicle*G427,0))</f>
        <v/>
      </c>
      <c r="BX428" s="14">
        <f>F428*BW428*IF(B428&gt;=in_marketplace_from,d_hz_loan_vehicle*G428,0)*in_loan_vehicle_ticket*in_loan_vehicle_comm</f>
        <v/>
      </c>
      <c r="BY428" s="40">
        <f>BY427*(1-IF(B427&gt;=in_marketplace_from,d_hz_loan_home*G427,0)*BZ427)</f>
        <v/>
      </c>
      <c r="BZ428" s="11">
        <f>MIN(in_approval_cap,in_loan_home_approval*INDEX('Age profile'!$O$2:$O$61,B428)*(1+in_approval_growth)^(D428-1))</f>
        <v/>
      </c>
      <c r="CA428" s="14">
        <f>F428*BY428*IF(B428&gt;=in_marketplace_from,d_hz_loan_home*G428,0)*BZ428*in_loan_home_ticket*in_loan_home_comm</f>
        <v/>
      </c>
      <c r="CB428" s="40">
        <f>CB427*(1-IF(B427&gt;=in_marketplace_from,d_hz_loan_lap*G427,0)*CC427)</f>
        <v/>
      </c>
      <c r="CC428" s="11">
        <f>MIN(in_approval_cap,in_loan_lap_approval*INDEX('Age profile'!$O$2:$O$61,B428)*(1+in_approval_growth)^(D428-1))</f>
        <v/>
      </c>
      <c r="CD428" s="14">
        <f>F428*CB428*IF(B428&gt;=in_marketplace_from,d_hz_loan_lap*G428,0)*CC428*in_loan_lap_ticket*in_loan_lap_comm</f>
        <v/>
      </c>
      <c r="CE428" s="14">
        <f>AA428+AB428+AC428+AD428+AG428+AJ428+AM428+AP428+AS428+AU428+AX428+BB428+BE428+BG428+BJ428+BL428+BO428+BR428+BT428+BV428+BX428+CA428+CD428</f>
        <v/>
      </c>
    </row>
    <row r="429">
      <c r="A429" s="39" t="n">
        <v>8</v>
      </c>
      <c r="B429" s="39" t="n">
        <v>29</v>
      </c>
      <c r="C429" s="39">
        <f>A429+B429-1</f>
        <v/>
      </c>
      <c r="D429" s="39">
        <f>INT((C429-1)/12)+1</f>
        <v/>
      </c>
      <c r="E429" s="44">
        <f>INDEX(Monthly!$B$2:$B$61,A429)</f>
        <v/>
      </c>
      <c r="F429" s="44">
        <f>E429*INDEX('Age profile'!$B$2:$B$61,B429)</f>
        <v/>
      </c>
      <c r="G429" s="45">
        <f>MIN(in_takeup_cap,INDEX('Age profile'!$N$2:$N$61,B429)*(1+in_takeup_growth)^(D429-1))</f>
        <v/>
      </c>
      <c r="H429" s="11">
        <f>MIN(in_approval_cap,in_approved_first*INDEX('Age profile'!$O$2:$O$61,B429)*(1+in_approval_growth)^(D429-1))</f>
        <v/>
      </c>
      <c r="I429" s="45">
        <f>G429*MIN(in_takeup_cap,INDEX('Age profile'!$O$2:$O$61,B429)*(1+in_approval_growth)^(D429-1))</f>
        <v/>
      </c>
      <c r="J429" s="40">
        <f>(J428-L428)*F429/F428</f>
        <v/>
      </c>
      <c r="K429" s="40">
        <f>(K428-M428)*F429/F428+SUMIFS(O401:O428,B401:B428,B429-1-d_T)*F429</f>
        <v/>
      </c>
      <c r="L429" s="40">
        <f>IF(B429&gt;=in_marketplace_from,J429*d_hz*G429*in_eligible*H429,0)</f>
        <v/>
      </c>
      <c r="M429" s="40">
        <f>IF(B429&gt;=in_marketplace_from,K429*d_hz*G429*in_eligible*in_approved_repeat,0)</f>
        <v/>
      </c>
      <c r="N429" s="40">
        <f>L429+M429</f>
        <v/>
      </c>
      <c r="O429" s="46">
        <f>N429/F429</f>
        <v/>
      </c>
      <c r="P429" s="40">
        <f>F429-J429-K429</f>
        <v/>
      </c>
      <c r="Q429" s="40">
        <f>IF(B429&gt;=in_marketplace_from,(J429+K429)*d_hz*G429,0)</f>
        <v/>
      </c>
      <c r="R429" s="40">
        <f>SUMIFS(N401:N453,B401:B453,"&gt;="&amp;(B429-d_T),B401:B453,"&lt;="&amp;(B429-1))</f>
        <v/>
      </c>
      <c r="S429" s="46">
        <f>(1-d_u)*S428+IF(d_T&gt;in_topup_lag,SUMIFS(O401:O453,B401:B453,B429-in_topup_lag)-d_udrop*SUMIFS(O401:O453,B401:B453,B429-d_T),0)</f>
        <v/>
      </c>
      <c r="T429" s="40">
        <f>F429*d_u*S429</f>
        <v/>
      </c>
      <c r="U429" s="9">
        <f>L429*in_ticket+M429*d_rep_ticket</f>
        <v/>
      </c>
      <c r="V429" s="9">
        <f>U429+T429*d_topup_amt</f>
        <v/>
      </c>
      <c r="W429" s="40">
        <f>N429+T429*d_topup_ratio</f>
        <v/>
      </c>
      <c r="X429" s="40">
        <f>SUMIFS(W401:W453,B401:B453,B429-in_dpd_lag)*d_cured</f>
        <v/>
      </c>
      <c r="Y429" s="40">
        <f>SUMIFS(W401:W453,B401:B453,B429-in_rec_lag)*d_recd</f>
        <v/>
      </c>
      <c r="Z429" s="40">
        <f>IF(AND(B429&gt;=in_marketplace_from,B429&lt;in_marketplace_from+in_card_months),in_card_share/in_card_months*F429*I429,IF(AND(B429&gt;=in_marketplace_from+in_card_months,B429&lt;in_marketplace_from+2*in_card_months),in_card_share*d_card_rem/in_card_months*F429*MIN(in_takeup_cap,(1+in_takeup_growth)^(D429-1))*MIN(in_takeup_cap,(1+in_approval_growth)^(D429-1)),0))</f>
        <v/>
      </c>
      <c r="AA429" s="14">
        <f>V429*in_fee*(1-in_taken_back)</f>
        <v/>
      </c>
      <c r="AB429" s="14">
        <f>SUMIFS(W401:W453,B401:B453,B429-in_dpd_lag)*d_dpd</f>
        <v/>
      </c>
      <c r="AC429" s="14">
        <f>SUMIFS(W401:W453,B401:B453,B429-in_rec_lag)*d_rec</f>
        <v/>
      </c>
      <c r="AD429" s="14">
        <f>Z429*in_card_fee</f>
        <v/>
      </c>
      <c r="AE429" s="40">
        <f>AE428*(1-IF(B428&gt;=in_marketplace_from,d_hz_hlth_small*G428,0))</f>
        <v/>
      </c>
      <c r="AF429" s="46">
        <f>AE429*IF(B429&gt;=in_marketplace_from,d_hz_hlth_small*G429,0)</f>
        <v/>
      </c>
      <c r="AG429" s="14">
        <f>F429*AF429*in_hlth_small_ticket*in_hlth_small_comm*in_ins_partner_share+F429*in_hlth_small_ticket*in_hlth_small_renew_comm*in_ins_partner_share*(in_hlth_small_renew^1*SUMIFS(AF401:AF453,B401:B453,B429-12)+in_hlth_small_renew^2*SUMIFS(AF401:AF453,B401:B453,B429-24)+in_hlth_small_renew^3*SUMIFS(AF401:AF453,B401:B453,B429-36)+in_hlth_small_renew^4*SUMIFS(AF401:AF453,B401:B453,B429-48))</f>
        <v/>
      </c>
      <c r="AH429" s="40">
        <f>AH428*(1-IF(B428&gt;=in_marketplace_from,d_hz_hlth_family*G428,0))</f>
        <v/>
      </c>
      <c r="AI429" s="46">
        <f>AH429*IF(B429&gt;=in_marketplace_from,d_hz_hlth_family*G429,0)</f>
        <v/>
      </c>
      <c r="AJ429" s="14">
        <f>F429*AI429*in_hlth_family_ticket*in_hlth_family_comm*in_ins_partner_share+F429*in_hlth_family_ticket*in_hlth_family_renew_comm*in_ins_partner_share*(in_hlth_family_renew^1*SUMIFS(AI401:AI453,B401:B453,B429-12)+in_hlth_family_renew^2*SUMIFS(AI401:AI453,B401:B453,B429-24)+in_hlth_family_renew^3*SUMIFS(AI401:AI453,B401:B453,B429-36)+in_hlth_family_renew^4*SUMIFS(AI401:AI453,B401:B453,B429-48))</f>
        <v/>
      </c>
      <c r="AK429" s="40">
        <f>AK428*(1-IF(B428&gt;=in_marketplace_from,d_hz_life_term*G428,0))</f>
        <v/>
      </c>
      <c r="AL429" s="46">
        <f>AK429*IF(B429&gt;=in_marketplace_from,d_hz_life_term*G429,0)</f>
        <v/>
      </c>
      <c r="AM429" s="14">
        <f>F429*AL429*in_life_term_ticket*in_life_term_comm*in_ins_partner_share+F429*in_life_term_ticket*in_life_term_renew_comm*in_ins_partner_share*(in_life_term_renew^1*SUMIFS(AL401:AL453,B401:B453,B429-12)+in_life_term_renew^2*SUMIFS(AL401:AL453,B401:B453,B429-24)+in_life_term_renew^3*SUMIFS(AL401:AL453,B401:B453,B429-36)+in_life_term_renew^4*SUMIFS(AL401:AL453,B401:B453,B429-48))</f>
        <v/>
      </c>
      <c r="AN429" s="40">
        <f>AN428*(1-IF(B428&gt;=in_marketplace_from,d_hz_accident*G428,0))</f>
        <v/>
      </c>
      <c r="AO429" s="46">
        <f>AN429*IF(B429&gt;=in_marketplace_from,d_hz_accident*G429,0)</f>
        <v/>
      </c>
      <c r="AP429" s="14">
        <f>F429*AO429*in_accident_ticket*in_accident_comm*in_ins_partner_share+F429*in_accident_ticket*in_accident_renew_comm*in_ins_partner_share*(in_accident_renew^1*SUMIFS(AO401:AO453,B401:B453,B429-12)+in_accident_renew^2*SUMIFS(AO401:AO453,B401:B453,B429-24)+in_accident_renew^3*SUMIFS(AO401:AO453,B401:B453,B429-36)+in_accident_renew^4*SUMIFS(AO401:AO453,B401:B453,B429-48))</f>
        <v/>
      </c>
      <c r="AQ429" s="40">
        <f>AQ428*(1-IF(B428&gt;=in_marketplace_from,d_hz_two_wheeler*G428,0))</f>
        <v/>
      </c>
      <c r="AR429" s="46">
        <f>AQ429*IF(B429&gt;=in_marketplace_from,d_hz_two_wheeler*G429,0)</f>
        <v/>
      </c>
      <c r="AS429" s="14">
        <f>F429*AR429*in_two_wheeler_ticket*in_two_wheeler_comm*in_ins_partner_share+F429*in_two_wheeler_ticket*in_two_wheeler_comm*in_ins_partner_share*(in_two_wheeler_renew^1*SUMIFS(AR401:AR453,B401:B453,B429-12)+in_two_wheeler_renew^2*SUMIFS(AR401:AR453,B401:B453,B429-24)+in_two_wheeler_renew^3*SUMIFS(AR401:AR453,B401:B453,B429-36)+in_two_wheeler_renew^4*SUMIFS(AR401:AR453,B401:B453,B429-48))</f>
        <v/>
      </c>
      <c r="AT429" s="40">
        <f>AT428*(1-IF(B428&gt;=in_marketplace_from,d_hz_device*G428,0))</f>
        <v/>
      </c>
      <c r="AU429" s="14">
        <f>F429*AT429*IF(B429&gt;=in_marketplace_from,d_hz_device*G429,0)*in_device_ticket*in_device_comm*in_ins_partner_share</f>
        <v/>
      </c>
      <c r="AV429" s="40">
        <f>AV428*(1-IF(B428&gt;=in_marketplace_from,d_hz_shop*G428,0))</f>
        <v/>
      </c>
      <c r="AW429" s="46">
        <f>AV429*IF(B429&gt;=in_marketplace_from,d_hz_shop*G429,0)</f>
        <v/>
      </c>
      <c r="AX429" s="14">
        <f>F429*AW429*in_shop_ticket*in_shop_comm*in_ins_partner_share+F429*in_shop_ticket*in_shop_renew_comm*in_ins_partner_share*(in_shop_renew^1*SUMIFS(AW401:AW453,B401:B453,B429-12)+in_shop_renew^2*SUMIFS(AW401:AW453,B401:B453,B429-24)+in_shop_renew^3*SUMIFS(AW401:AW453,B401:B453,B429-36)+in_shop_renew^4*SUMIFS(AW401:AW453,B401:B453,B429-48))</f>
        <v/>
      </c>
      <c r="AY429" s="40">
        <f>AY428*(1-IF(B428&gt;=in_marketplace_from,d_hz_sip*G428,0))</f>
        <v/>
      </c>
      <c r="AZ429" s="40">
        <f>AZ428*d_rho_sip+AY429*IF(B429&gt;=in_marketplace_from,d_hz_sip*G429,0)</f>
        <v/>
      </c>
      <c r="BA429" s="40">
        <f>d_rho_sip*(BA428+AZ428)</f>
        <v/>
      </c>
      <c r="BB429" s="14">
        <f>F429*in_sip_ticket*(BA429+0.5*AZ429)*in_sip_comm/12</f>
        <v/>
      </c>
      <c r="BC429" s="40">
        <f>BC428*(1-IF(B428&gt;=in_marketplace_from,d_hz_choti*G428,0))</f>
        <v/>
      </c>
      <c r="BD429" s="46">
        <f>BC429*IF(B429&gt;=in_marketplace_from,d_hz_choti*G429,0)</f>
        <v/>
      </c>
      <c r="BE429" s="14">
        <f>F429*SUMIFS(BD401:BD453,B401:B453,B429-in_choti_months)*in_choti_renew*in_choti_ticket</f>
        <v/>
      </c>
      <c r="BF429" s="40">
        <f>BF428*(1-IF(B428&gt;=in_marketplace_from,d_hz_nps*G428,0))</f>
        <v/>
      </c>
      <c r="BG429" s="14">
        <f>F429*BF429*IF(B429&gt;=in_marketplace_from,d_hz_nps*G429,0)*in_nps_ticket*in_nps_comm</f>
        <v/>
      </c>
      <c r="BH429" s="40">
        <f>BH428*(1-IF(B428&gt;=in_marketplace_from,d_hz_gold*G428,0))</f>
        <v/>
      </c>
      <c r="BI429" s="40">
        <f>BI428*d_rho_gold+BH429*IF(B429&gt;=in_marketplace_from,d_hz_gold*G429,0)</f>
        <v/>
      </c>
      <c r="BJ429" s="14">
        <f>F429*BI429*in_gold_ticket*in_gold_comm</f>
        <v/>
      </c>
      <c r="BK429" s="40">
        <f>BK428*(1-IF(B428&gt;=in_marketplace_from,d_hz_fd*G428,0))</f>
        <v/>
      </c>
      <c r="BL429" s="14">
        <f>F429*BK429*IF(B429&gt;=in_marketplace_from,d_hz_fd*G429,0)*in_fd_ticket*in_fd_comm</f>
        <v/>
      </c>
      <c r="BM429" s="40">
        <f>BM428*(1-IF(B428&gt;=in_marketplace_from,d_hz_recharge*G428,0))</f>
        <v/>
      </c>
      <c r="BN429" s="40">
        <f>BN428*d_rho_recharge+BM429*IF(B429&gt;=in_marketplace_from,d_hz_recharge*G429,0)</f>
        <v/>
      </c>
      <c r="BO429" s="14">
        <f>F429*BN429*in_recharge_ticket*in_recharge_comm/12</f>
        <v/>
      </c>
      <c r="BP429" s="40">
        <f>BP428*(1-IF(B428&gt;=in_marketplace_from,d_hz_bills*G428,0))</f>
        <v/>
      </c>
      <c r="BQ429" s="40">
        <f>BQ428*d_rho_bills+BP429*IF(B429&gt;=in_marketplace_from,d_hz_bills*G429,0)</f>
        <v/>
      </c>
      <c r="BR429" s="14">
        <f>F429*BQ429*in_bills_ticket*in_bills_comm/12</f>
        <v/>
      </c>
      <c r="BS429" s="40">
        <f>BS428*(1-IF(B428&gt;=in_marketplace_from,d_hz_loan_gold*G428,0))</f>
        <v/>
      </c>
      <c r="BT429" s="14">
        <f>F429*BS429*IF(B429&gt;=in_marketplace_from,d_hz_loan_gold*G429,0)*in_loan_gold_ticket*in_loan_gold_comm</f>
        <v/>
      </c>
      <c r="BU429" s="40">
        <f>BU428*(1-IF(B428&gt;=in_marketplace_from,d_hz_loan_cd*G428,0))</f>
        <v/>
      </c>
      <c r="BV429" s="14">
        <f>F429*BU429*IF(B429&gt;=in_marketplace_from,d_hz_loan_cd*G429,0)*in_loan_cd_ticket*in_loan_cd_comm</f>
        <v/>
      </c>
      <c r="BW429" s="40">
        <f>BW428*(1-IF(B428&gt;=in_marketplace_from,d_hz_loan_vehicle*G428,0))</f>
        <v/>
      </c>
      <c r="BX429" s="14">
        <f>F429*BW429*IF(B429&gt;=in_marketplace_from,d_hz_loan_vehicle*G429,0)*in_loan_vehicle_ticket*in_loan_vehicle_comm</f>
        <v/>
      </c>
      <c r="BY429" s="40">
        <f>BY428*(1-IF(B428&gt;=in_marketplace_from,d_hz_loan_home*G428,0)*BZ428)</f>
        <v/>
      </c>
      <c r="BZ429" s="11">
        <f>MIN(in_approval_cap,in_loan_home_approval*INDEX('Age profile'!$O$2:$O$61,B429)*(1+in_approval_growth)^(D429-1))</f>
        <v/>
      </c>
      <c r="CA429" s="14">
        <f>F429*BY429*IF(B429&gt;=in_marketplace_from,d_hz_loan_home*G429,0)*BZ429*in_loan_home_ticket*in_loan_home_comm</f>
        <v/>
      </c>
      <c r="CB429" s="40">
        <f>CB428*(1-IF(B428&gt;=in_marketplace_from,d_hz_loan_lap*G428,0)*CC428)</f>
        <v/>
      </c>
      <c r="CC429" s="11">
        <f>MIN(in_approval_cap,in_loan_lap_approval*INDEX('Age profile'!$O$2:$O$61,B429)*(1+in_approval_growth)^(D429-1))</f>
        <v/>
      </c>
      <c r="CD429" s="14">
        <f>F429*CB429*IF(B429&gt;=in_marketplace_from,d_hz_loan_lap*G429,0)*CC429*in_loan_lap_ticket*in_loan_lap_comm</f>
        <v/>
      </c>
      <c r="CE429" s="14">
        <f>AA429+AB429+AC429+AD429+AG429+AJ429+AM429+AP429+AS429+AU429+AX429+BB429+BE429+BG429+BJ429+BL429+BO429+BR429+BT429+BV429+BX429+CA429+CD429</f>
        <v/>
      </c>
    </row>
    <row r="430">
      <c r="A430" s="39" t="n">
        <v>8</v>
      </c>
      <c r="B430" s="39" t="n">
        <v>30</v>
      </c>
      <c r="C430" s="39">
        <f>A430+B430-1</f>
        <v/>
      </c>
      <c r="D430" s="39">
        <f>INT((C430-1)/12)+1</f>
        <v/>
      </c>
      <c r="E430" s="44">
        <f>INDEX(Monthly!$B$2:$B$61,A430)</f>
        <v/>
      </c>
      <c r="F430" s="44">
        <f>E430*INDEX('Age profile'!$B$2:$B$61,B430)</f>
        <v/>
      </c>
      <c r="G430" s="45">
        <f>MIN(in_takeup_cap,INDEX('Age profile'!$N$2:$N$61,B430)*(1+in_takeup_growth)^(D430-1))</f>
        <v/>
      </c>
      <c r="H430" s="11">
        <f>MIN(in_approval_cap,in_approved_first*INDEX('Age profile'!$O$2:$O$61,B430)*(1+in_approval_growth)^(D430-1))</f>
        <v/>
      </c>
      <c r="I430" s="45">
        <f>G430*MIN(in_takeup_cap,INDEX('Age profile'!$O$2:$O$61,B430)*(1+in_approval_growth)^(D430-1))</f>
        <v/>
      </c>
      <c r="J430" s="40">
        <f>(J429-L429)*F430/F429</f>
        <v/>
      </c>
      <c r="K430" s="40">
        <f>(K429-M429)*F430/F429+SUMIFS(O401:O429,B401:B429,B430-1-d_T)*F430</f>
        <v/>
      </c>
      <c r="L430" s="40">
        <f>IF(B430&gt;=in_marketplace_from,J430*d_hz*G430*in_eligible*H430,0)</f>
        <v/>
      </c>
      <c r="M430" s="40">
        <f>IF(B430&gt;=in_marketplace_from,K430*d_hz*G430*in_eligible*in_approved_repeat,0)</f>
        <v/>
      </c>
      <c r="N430" s="40">
        <f>L430+M430</f>
        <v/>
      </c>
      <c r="O430" s="46">
        <f>N430/F430</f>
        <v/>
      </c>
      <c r="P430" s="40">
        <f>F430-J430-K430</f>
        <v/>
      </c>
      <c r="Q430" s="40">
        <f>IF(B430&gt;=in_marketplace_from,(J430+K430)*d_hz*G430,0)</f>
        <v/>
      </c>
      <c r="R430" s="40">
        <f>SUMIFS(N401:N453,B401:B453,"&gt;="&amp;(B430-d_T),B401:B453,"&lt;="&amp;(B430-1))</f>
        <v/>
      </c>
      <c r="S430" s="46">
        <f>(1-d_u)*S429+IF(d_T&gt;in_topup_lag,SUMIFS(O401:O453,B401:B453,B430-in_topup_lag)-d_udrop*SUMIFS(O401:O453,B401:B453,B430-d_T),0)</f>
        <v/>
      </c>
      <c r="T430" s="40">
        <f>F430*d_u*S430</f>
        <v/>
      </c>
      <c r="U430" s="9">
        <f>L430*in_ticket+M430*d_rep_ticket</f>
        <v/>
      </c>
      <c r="V430" s="9">
        <f>U430+T430*d_topup_amt</f>
        <v/>
      </c>
      <c r="W430" s="40">
        <f>N430+T430*d_topup_ratio</f>
        <v/>
      </c>
      <c r="X430" s="40">
        <f>SUMIFS(W401:W453,B401:B453,B430-in_dpd_lag)*d_cured</f>
        <v/>
      </c>
      <c r="Y430" s="40">
        <f>SUMIFS(W401:W453,B401:B453,B430-in_rec_lag)*d_recd</f>
        <v/>
      </c>
      <c r="Z430" s="40">
        <f>IF(AND(B430&gt;=in_marketplace_from,B430&lt;in_marketplace_from+in_card_months),in_card_share/in_card_months*F430*I430,IF(AND(B430&gt;=in_marketplace_from+in_card_months,B430&lt;in_marketplace_from+2*in_card_months),in_card_share*d_card_rem/in_card_months*F430*MIN(in_takeup_cap,(1+in_takeup_growth)^(D430-1))*MIN(in_takeup_cap,(1+in_approval_growth)^(D430-1)),0))</f>
        <v/>
      </c>
      <c r="AA430" s="14">
        <f>V430*in_fee*(1-in_taken_back)</f>
        <v/>
      </c>
      <c r="AB430" s="14">
        <f>SUMIFS(W401:W453,B401:B453,B430-in_dpd_lag)*d_dpd</f>
        <v/>
      </c>
      <c r="AC430" s="14">
        <f>SUMIFS(W401:W453,B401:B453,B430-in_rec_lag)*d_rec</f>
        <v/>
      </c>
      <c r="AD430" s="14">
        <f>Z430*in_card_fee</f>
        <v/>
      </c>
      <c r="AE430" s="40">
        <f>AE429*(1-IF(B429&gt;=in_marketplace_from,d_hz_hlth_small*G429,0))</f>
        <v/>
      </c>
      <c r="AF430" s="46">
        <f>AE430*IF(B430&gt;=in_marketplace_from,d_hz_hlth_small*G430,0)</f>
        <v/>
      </c>
      <c r="AG430" s="14">
        <f>F430*AF430*in_hlth_small_ticket*in_hlth_small_comm*in_ins_partner_share+F430*in_hlth_small_ticket*in_hlth_small_renew_comm*in_ins_partner_share*(in_hlth_small_renew^1*SUMIFS(AF401:AF453,B401:B453,B430-12)+in_hlth_small_renew^2*SUMIFS(AF401:AF453,B401:B453,B430-24)+in_hlth_small_renew^3*SUMIFS(AF401:AF453,B401:B453,B430-36)+in_hlth_small_renew^4*SUMIFS(AF401:AF453,B401:B453,B430-48))</f>
        <v/>
      </c>
      <c r="AH430" s="40">
        <f>AH429*(1-IF(B429&gt;=in_marketplace_from,d_hz_hlth_family*G429,0))</f>
        <v/>
      </c>
      <c r="AI430" s="46">
        <f>AH430*IF(B430&gt;=in_marketplace_from,d_hz_hlth_family*G430,0)</f>
        <v/>
      </c>
      <c r="AJ430" s="14">
        <f>F430*AI430*in_hlth_family_ticket*in_hlth_family_comm*in_ins_partner_share+F430*in_hlth_family_ticket*in_hlth_family_renew_comm*in_ins_partner_share*(in_hlth_family_renew^1*SUMIFS(AI401:AI453,B401:B453,B430-12)+in_hlth_family_renew^2*SUMIFS(AI401:AI453,B401:B453,B430-24)+in_hlth_family_renew^3*SUMIFS(AI401:AI453,B401:B453,B430-36)+in_hlth_family_renew^4*SUMIFS(AI401:AI453,B401:B453,B430-48))</f>
        <v/>
      </c>
      <c r="AK430" s="40">
        <f>AK429*(1-IF(B429&gt;=in_marketplace_from,d_hz_life_term*G429,0))</f>
        <v/>
      </c>
      <c r="AL430" s="46">
        <f>AK430*IF(B430&gt;=in_marketplace_from,d_hz_life_term*G430,0)</f>
        <v/>
      </c>
      <c r="AM430" s="14">
        <f>F430*AL430*in_life_term_ticket*in_life_term_comm*in_ins_partner_share+F430*in_life_term_ticket*in_life_term_renew_comm*in_ins_partner_share*(in_life_term_renew^1*SUMIFS(AL401:AL453,B401:B453,B430-12)+in_life_term_renew^2*SUMIFS(AL401:AL453,B401:B453,B430-24)+in_life_term_renew^3*SUMIFS(AL401:AL453,B401:B453,B430-36)+in_life_term_renew^4*SUMIFS(AL401:AL453,B401:B453,B430-48))</f>
        <v/>
      </c>
      <c r="AN430" s="40">
        <f>AN429*(1-IF(B429&gt;=in_marketplace_from,d_hz_accident*G429,0))</f>
        <v/>
      </c>
      <c r="AO430" s="46">
        <f>AN430*IF(B430&gt;=in_marketplace_from,d_hz_accident*G430,0)</f>
        <v/>
      </c>
      <c r="AP430" s="14">
        <f>F430*AO430*in_accident_ticket*in_accident_comm*in_ins_partner_share+F430*in_accident_ticket*in_accident_renew_comm*in_ins_partner_share*(in_accident_renew^1*SUMIFS(AO401:AO453,B401:B453,B430-12)+in_accident_renew^2*SUMIFS(AO401:AO453,B401:B453,B430-24)+in_accident_renew^3*SUMIFS(AO401:AO453,B401:B453,B430-36)+in_accident_renew^4*SUMIFS(AO401:AO453,B401:B453,B430-48))</f>
        <v/>
      </c>
      <c r="AQ430" s="40">
        <f>AQ429*(1-IF(B429&gt;=in_marketplace_from,d_hz_two_wheeler*G429,0))</f>
        <v/>
      </c>
      <c r="AR430" s="46">
        <f>AQ430*IF(B430&gt;=in_marketplace_from,d_hz_two_wheeler*G430,0)</f>
        <v/>
      </c>
      <c r="AS430" s="14">
        <f>F430*AR430*in_two_wheeler_ticket*in_two_wheeler_comm*in_ins_partner_share+F430*in_two_wheeler_ticket*in_two_wheeler_comm*in_ins_partner_share*(in_two_wheeler_renew^1*SUMIFS(AR401:AR453,B401:B453,B430-12)+in_two_wheeler_renew^2*SUMIFS(AR401:AR453,B401:B453,B430-24)+in_two_wheeler_renew^3*SUMIFS(AR401:AR453,B401:B453,B430-36)+in_two_wheeler_renew^4*SUMIFS(AR401:AR453,B401:B453,B430-48))</f>
        <v/>
      </c>
      <c r="AT430" s="40">
        <f>AT429*(1-IF(B429&gt;=in_marketplace_from,d_hz_device*G429,0))</f>
        <v/>
      </c>
      <c r="AU430" s="14">
        <f>F430*AT430*IF(B430&gt;=in_marketplace_from,d_hz_device*G430,0)*in_device_ticket*in_device_comm*in_ins_partner_share</f>
        <v/>
      </c>
      <c r="AV430" s="40">
        <f>AV429*(1-IF(B429&gt;=in_marketplace_from,d_hz_shop*G429,0))</f>
        <v/>
      </c>
      <c r="AW430" s="46">
        <f>AV430*IF(B430&gt;=in_marketplace_from,d_hz_shop*G430,0)</f>
        <v/>
      </c>
      <c r="AX430" s="14">
        <f>F430*AW430*in_shop_ticket*in_shop_comm*in_ins_partner_share+F430*in_shop_ticket*in_shop_renew_comm*in_ins_partner_share*(in_shop_renew^1*SUMIFS(AW401:AW453,B401:B453,B430-12)+in_shop_renew^2*SUMIFS(AW401:AW453,B401:B453,B430-24)+in_shop_renew^3*SUMIFS(AW401:AW453,B401:B453,B430-36)+in_shop_renew^4*SUMIFS(AW401:AW453,B401:B453,B430-48))</f>
        <v/>
      </c>
      <c r="AY430" s="40">
        <f>AY429*(1-IF(B429&gt;=in_marketplace_from,d_hz_sip*G429,0))</f>
        <v/>
      </c>
      <c r="AZ430" s="40">
        <f>AZ429*d_rho_sip+AY430*IF(B430&gt;=in_marketplace_from,d_hz_sip*G430,0)</f>
        <v/>
      </c>
      <c r="BA430" s="40">
        <f>d_rho_sip*(BA429+AZ429)</f>
        <v/>
      </c>
      <c r="BB430" s="14">
        <f>F430*in_sip_ticket*(BA430+0.5*AZ430)*in_sip_comm/12</f>
        <v/>
      </c>
      <c r="BC430" s="40">
        <f>BC429*(1-IF(B429&gt;=in_marketplace_from,d_hz_choti*G429,0))</f>
        <v/>
      </c>
      <c r="BD430" s="46">
        <f>BC430*IF(B430&gt;=in_marketplace_from,d_hz_choti*G430,0)</f>
        <v/>
      </c>
      <c r="BE430" s="14">
        <f>F430*SUMIFS(BD401:BD453,B401:B453,B430-in_choti_months)*in_choti_renew*in_choti_ticket</f>
        <v/>
      </c>
      <c r="BF430" s="40">
        <f>BF429*(1-IF(B429&gt;=in_marketplace_from,d_hz_nps*G429,0))</f>
        <v/>
      </c>
      <c r="BG430" s="14">
        <f>F430*BF430*IF(B430&gt;=in_marketplace_from,d_hz_nps*G430,0)*in_nps_ticket*in_nps_comm</f>
        <v/>
      </c>
      <c r="BH430" s="40">
        <f>BH429*(1-IF(B429&gt;=in_marketplace_from,d_hz_gold*G429,0))</f>
        <v/>
      </c>
      <c r="BI430" s="40">
        <f>BI429*d_rho_gold+BH430*IF(B430&gt;=in_marketplace_from,d_hz_gold*G430,0)</f>
        <v/>
      </c>
      <c r="BJ430" s="14">
        <f>F430*BI430*in_gold_ticket*in_gold_comm</f>
        <v/>
      </c>
      <c r="BK430" s="40">
        <f>BK429*(1-IF(B429&gt;=in_marketplace_from,d_hz_fd*G429,0))</f>
        <v/>
      </c>
      <c r="BL430" s="14">
        <f>F430*BK430*IF(B430&gt;=in_marketplace_from,d_hz_fd*G430,0)*in_fd_ticket*in_fd_comm</f>
        <v/>
      </c>
      <c r="BM430" s="40">
        <f>BM429*(1-IF(B429&gt;=in_marketplace_from,d_hz_recharge*G429,0))</f>
        <v/>
      </c>
      <c r="BN430" s="40">
        <f>BN429*d_rho_recharge+BM430*IF(B430&gt;=in_marketplace_from,d_hz_recharge*G430,0)</f>
        <v/>
      </c>
      <c r="BO430" s="14">
        <f>F430*BN430*in_recharge_ticket*in_recharge_comm/12</f>
        <v/>
      </c>
      <c r="BP430" s="40">
        <f>BP429*(1-IF(B429&gt;=in_marketplace_from,d_hz_bills*G429,0))</f>
        <v/>
      </c>
      <c r="BQ430" s="40">
        <f>BQ429*d_rho_bills+BP430*IF(B430&gt;=in_marketplace_from,d_hz_bills*G430,0)</f>
        <v/>
      </c>
      <c r="BR430" s="14">
        <f>F430*BQ430*in_bills_ticket*in_bills_comm/12</f>
        <v/>
      </c>
      <c r="BS430" s="40">
        <f>BS429*(1-IF(B429&gt;=in_marketplace_from,d_hz_loan_gold*G429,0))</f>
        <v/>
      </c>
      <c r="BT430" s="14">
        <f>F430*BS430*IF(B430&gt;=in_marketplace_from,d_hz_loan_gold*G430,0)*in_loan_gold_ticket*in_loan_gold_comm</f>
        <v/>
      </c>
      <c r="BU430" s="40">
        <f>BU429*(1-IF(B429&gt;=in_marketplace_from,d_hz_loan_cd*G429,0))</f>
        <v/>
      </c>
      <c r="BV430" s="14">
        <f>F430*BU430*IF(B430&gt;=in_marketplace_from,d_hz_loan_cd*G430,0)*in_loan_cd_ticket*in_loan_cd_comm</f>
        <v/>
      </c>
      <c r="BW430" s="40">
        <f>BW429*(1-IF(B429&gt;=in_marketplace_from,d_hz_loan_vehicle*G429,0))</f>
        <v/>
      </c>
      <c r="BX430" s="14">
        <f>F430*BW430*IF(B430&gt;=in_marketplace_from,d_hz_loan_vehicle*G430,0)*in_loan_vehicle_ticket*in_loan_vehicle_comm</f>
        <v/>
      </c>
      <c r="BY430" s="40">
        <f>BY429*(1-IF(B429&gt;=in_marketplace_from,d_hz_loan_home*G429,0)*BZ429)</f>
        <v/>
      </c>
      <c r="BZ430" s="11">
        <f>MIN(in_approval_cap,in_loan_home_approval*INDEX('Age profile'!$O$2:$O$61,B430)*(1+in_approval_growth)^(D430-1))</f>
        <v/>
      </c>
      <c r="CA430" s="14">
        <f>F430*BY430*IF(B430&gt;=in_marketplace_from,d_hz_loan_home*G430,0)*BZ430*in_loan_home_ticket*in_loan_home_comm</f>
        <v/>
      </c>
      <c r="CB430" s="40">
        <f>CB429*(1-IF(B429&gt;=in_marketplace_from,d_hz_loan_lap*G429,0)*CC429)</f>
        <v/>
      </c>
      <c r="CC430" s="11">
        <f>MIN(in_approval_cap,in_loan_lap_approval*INDEX('Age profile'!$O$2:$O$61,B430)*(1+in_approval_growth)^(D430-1))</f>
        <v/>
      </c>
      <c r="CD430" s="14">
        <f>F430*CB430*IF(B430&gt;=in_marketplace_from,d_hz_loan_lap*G430,0)*CC430*in_loan_lap_ticket*in_loan_lap_comm</f>
        <v/>
      </c>
      <c r="CE430" s="14">
        <f>AA430+AB430+AC430+AD430+AG430+AJ430+AM430+AP430+AS430+AU430+AX430+BB430+BE430+BG430+BJ430+BL430+BO430+BR430+BT430+BV430+BX430+CA430+CD430</f>
        <v/>
      </c>
    </row>
    <row r="431">
      <c r="A431" s="39" t="n">
        <v>8</v>
      </c>
      <c r="B431" s="39" t="n">
        <v>31</v>
      </c>
      <c r="C431" s="39">
        <f>A431+B431-1</f>
        <v/>
      </c>
      <c r="D431" s="39">
        <f>INT((C431-1)/12)+1</f>
        <v/>
      </c>
      <c r="E431" s="44">
        <f>INDEX(Monthly!$B$2:$B$61,A431)</f>
        <v/>
      </c>
      <c r="F431" s="44">
        <f>E431*INDEX('Age profile'!$B$2:$B$61,B431)</f>
        <v/>
      </c>
      <c r="G431" s="45">
        <f>MIN(in_takeup_cap,INDEX('Age profile'!$N$2:$N$61,B431)*(1+in_takeup_growth)^(D431-1))</f>
        <v/>
      </c>
      <c r="H431" s="11">
        <f>MIN(in_approval_cap,in_approved_first*INDEX('Age profile'!$O$2:$O$61,B431)*(1+in_approval_growth)^(D431-1))</f>
        <v/>
      </c>
      <c r="I431" s="45">
        <f>G431*MIN(in_takeup_cap,INDEX('Age profile'!$O$2:$O$61,B431)*(1+in_approval_growth)^(D431-1))</f>
        <v/>
      </c>
      <c r="J431" s="40">
        <f>(J430-L430)*F431/F430</f>
        <v/>
      </c>
      <c r="K431" s="40">
        <f>(K430-M430)*F431/F430+SUMIFS(O401:O430,B401:B430,B431-1-d_T)*F431</f>
        <v/>
      </c>
      <c r="L431" s="40">
        <f>IF(B431&gt;=in_marketplace_from,J431*d_hz*G431*in_eligible*H431,0)</f>
        <v/>
      </c>
      <c r="M431" s="40">
        <f>IF(B431&gt;=in_marketplace_from,K431*d_hz*G431*in_eligible*in_approved_repeat,0)</f>
        <v/>
      </c>
      <c r="N431" s="40">
        <f>L431+M431</f>
        <v/>
      </c>
      <c r="O431" s="46">
        <f>N431/F431</f>
        <v/>
      </c>
      <c r="P431" s="40">
        <f>F431-J431-K431</f>
        <v/>
      </c>
      <c r="Q431" s="40">
        <f>IF(B431&gt;=in_marketplace_from,(J431+K431)*d_hz*G431,0)</f>
        <v/>
      </c>
      <c r="R431" s="40">
        <f>SUMIFS(N401:N453,B401:B453,"&gt;="&amp;(B431-d_T),B401:B453,"&lt;="&amp;(B431-1))</f>
        <v/>
      </c>
      <c r="S431" s="46">
        <f>(1-d_u)*S430+IF(d_T&gt;in_topup_lag,SUMIFS(O401:O453,B401:B453,B431-in_topup_lag)-d_udrop*SUMIFS(O401:O453,B401:B453,B431-d_T),0)</f>
        <v/>
      </c>
      <c r="T431" s="40">
        <f>F431*d_u*S431</f>
        <v/>
      </c>
      <c r="U431" s="9">
        <f>L431*in_ticket+M431*d_rep_ticket</f>
        <v/>
      </c>
      <c r="V431" s="9">
        <f>U431+T431*d_topup_amt</f>
        <v/>
      </c>
      <c r="W431" s="40">
        <f>N431+T431*d_topup_ratio</f>
        <v/>
      </c>
      <c r="X431" s="40">
        <f>SUMIFS(W401:W453,B401:B453,B431-in_dpd_lag)*d_cured</f>
        <v/>
      </c>
      <c r="Y431" s="40">
        <f>SUMIFS(W401:W453,B401:B453,B431-in_rec_lag)*d_recd</f>
        <v/>
      </c>
      <c r="Z431" s="40">
        <f>IF(AND(B431&gt;=in_marketplace_from,B431&lt;in_marketplace_from+in_card_months),in_card_share/in_card_months*F431*I431,IF(AND(B431&gt;=in_marketplace_from+in_card_months,B431&lt;in_marketplace_from+2*in_card_months),in_card_share*d_card_rem/in_card_months*F431*MIN(in_takeup_cap,(1+in_takeup_growth)^(D431-1))*MIN(in_takeup_cap,(1+in_approval_growth)^(D431-1)),0))</f>
        <v/>
      </c>
      <c r="AA431" s="14">
        <f>V431*in_fee*(1-in_taken_back)</f>
        <v/>
      </c>
      <c r="AB431" s="14">
        <f>SUMIFS(W401:W453,B401:B453,B431-in_dpd_lag)*d_dpd</f>
        <v/>
      </c>
      <c r="AC431" s="14">
        <f>SUMIFS(W401:W453,B401:B453,B431-in_rec_lag)*d_rec</f>
        <v/>
      </c>
      <c r="AD431" s="14">
        <f>Z431*in_card_fee</f>
        <v/>
      </c>
      <c r="AE431" s="40">
        <f>AE430*(1-IF(B430&gt;=in_marketplace_from,d_hz_hlth_small*G430,0))</f>
        <v/>
      </c>
      <c r="AF431" s="46">
        <f>AE431*IF(B431&gt;=in_marketplace_from,d_hz_hlth_small*G431,0)</f>
        <v/>
      </c>
      <c r="AG431" s="14">
        <f>F431*AF431*in_hlth_small_ticket*in_hlth_small_comm*in_ins_partner_share+F431*in_hlth_small_ticket*in_hlth_small_renew_comm*in_ins_partner_share*(in_hlth_small_renew^1*SUMIFS(AF401:AF453,B401:B453,B431-12)+in_hlth_small_renew^2*SUMIFS(AF401:AF453,B401:B453,B431-24)+in_hlth_small_renew^3*SUMIFS(AF401:AF453,B401:B453,B431-36)+in_hlth_small_renew^4*SUMIFS(AF401:AF453,B401:B453,B431-48))</f>
        <v/>
      </c>
      <c r="AH431" s="40">
        <f>AH430*(1-IF(B430&gt;=in_marketplace_from,d_hz_hlth_family*G430,0))</f>
        <v/>
      </c>
      <c r="AI431" s="46">
        <f>AH431*IF(B431&gt;=in_marketplace_from,d_hz_hlth_family*G431,0)</f>
        <v/>
      </c>
      <c r="AJ431" s="14">
        <f>F431*AI431*in_hlth_family_ticket*in_hlth_family_comm*in_ins_partner_share+F431*in_hlth_family_ticket*in_hlth_family_renew_comm*in_ins_partner_share*(in_hlth_family_renew^1*SUMIFS(AI401:AI453,B401:B453,B431-12)+in_hlth_family_renew^2*SUMIFS(AI401:AI453,B401:B453,B431-24)+in_hlth_family_renew^3*SUMIFS(AI401:AI453,B401:B453,B431-36)+in_hlth_family_renew^4*SUMIFS(AI401:AI453,B401:B453,B431-48))</f>
        <v/>
      </c>
      <c r="AK431" s="40">
        <f>AK430*(1-IF(B430&gt;=in_marketplace_from,d_hz_life_term*G430,0))</f>
        <v/>
      </c>
      <c r="AL431" s="46">
        <f>AK431*IF(B431&gt;=in_marketplace_from,d_hz_life_term*G431,0)</f>
        <v/>
      </c>
      <c r="AM431" s="14">
        <f>F431*AL431*in_life_term_ticket*in_life_term_comm*in_ins_partner_share+F431*in_life_term_ticket*in_life_term_renew_comm*in_ins_partner_share*(in_life_term_renew^1*SUMIFS(AL401:AL453,B401:B453,B431-12)+in_life_term_renew^2*SUMIFS(AL401:AL453,B401:B453,B431-24)+in_life_term_renew^3*SUMIFS(AL401:AL453,B401:B453,B431-36)+in_life_term_renew^4*SUMIFS(AL401:AL453,B401:B453,B431-48))</f>
        <v/>
      </c>
      <c r="AN431" s="40">
        <f>AN430*(1-IF(B430&gt;=in_marketplace_from,d_hz_accident*G430,0))</f>
        <v/>
      </c>
      <c r="AO431" s="46">
        <f>AN431*IF(B431&gt;=in_marketplace_from,d_hz_accident*G431,0)</f>
        <v/>
      </c>
      <c r="AP431" s="14">
        <f>F431*AO431*in_accident_ticket*in_accident_comm*in_ins_partner_share+F431*in_accident_ticket*in_accident_renew_comm*in_ins_partner_share*(in_accident_renew^1*SUMIFS(AO401:AO453,B401:B453,B431-12)+in_accident_renew^2*SUMIFS(AO401:AO453,B401:B453,B431-24)+in_accident_renew^3*SUMIFS(AO401:AO453,B401:B453,B431-36)+in_accident_renew^4*SUMIFS(AO401:AO453,B401:B453,B431-48))</f>
        <v/>
      </c>
      <c r="AQ431" s="40">
        <f>AQ430*(1-IF(B430&gt;=in_marketplace_from,d_hz_two_wheeler*G430,0))</f>
        <v/>
      </c>
      <c r="AR431" s="46">
        <f>AQ431*IF(B431&gt;=in_marketplace_from,d_hz_two_wheeler*G431,0)</f>
        <v/>
      </c>
      <c r="AS431" s="14">
        <f>F431*AR431*in_two_wheeler_ticket*in_two_wheeler_comm*in_ins_partner_share+F431*in_two_wheeler_ticket*in_two_wheeler_comm*in_ins_partner_share*(in_two_wheeler_renew^1*SUMIFS(AR401:AR453,B401:B453,B431-12)+in_two_wheeler_renew^2*SUMIFS(AR401:AR453,B401:B453,B431-24)+in_two_wheeler_renew^3*SUMIFS(AR401:AR453,B401:B453,B431-36)+in_two_wheeler_renew^4*SUMIFS(AR401:AR453,B401:B453,B431-48))</f>
        <v/>
      </c>
      <c r="AT431" s="40">
        <f>AT430*(1-IF(B430&gt;=in_marketplace_from,d_hz_device*G430,0))</f>
        <v/>
      </c>
      <c r="AU431" s="14">
        <f>F431*AT431*IF(B431&gt;=in_marketplace_from,d_hz_device*G431,0)*in_device_ticket*in_device_comm*in_ins_partner_share</f>
        <v/>
      </c>
      <c r="AV431" s="40">
        <f>AV430*(1-IF(B430&gt;=in_marketplace_from,d_hz_shop*G430,0))</f>
        <v/>
      </c>
      <c r="AW431" s="46">
        <f>AV431*IF(B431&gt;=in_marketplace_from,d_hz_shop*G431,0)</f>
        <v/>
      </c>
      <c r="AX431" s="14">
        <f>F431*AW431*in_shop_ticket*in_shop_comm*in_ins_partner_share+F431*in_shop_ticket*in_shop_renew_comm*in_ins_partner_share*(in_shop_renew^1*SUMIFS(AW401:AW453,B401:B453,B431-12)+in_shop_renew^2*SUMIFS(AW401:AW453,B401:B453,B431-24)+in_shop_renew^3*SUMIFS(AW401:AW453,B401:B453,B431-36)+in_shop_renew^4*SUMIFS(AW401:AW453,B401:B453,B431-48))</f>
        <v/>
      </c>
      <c r="AY431" s="40">
        <f>AY430*(1-IF(B430&gt;=in_marketplace_from,d_hz_sip*G430,0))</f>
        <v/>
      </c>
      <c r="AZ431" s="40">
        <f>AZ430*d_rho_sip+AY431*IF(B431&gt;=in_marketplace_from,d_hz_sip*G431,0)</f>
        <v/>
      </c>
      <c r="BA431" s="40">
        <f>d_rho_sip*(BA430+AZ430)</f>
        <v/>
      </c>
      <c r="BB431" s="14">
        <f>F431*in_sip_ticket*(BA431+0.5*AZ431)*in_sip_comm/12</f>
        <v/>
      </c>
      <c r="BC431" s="40">
        <f>BC430*(1-IF(B430&gt;=in_marketplace_from,d_hz_choti*G430,0))</f>
        <v/>
      </c>
      <c r="BD431" s="46">
        <f>BC431*IF(B431&gt;=in_marketplace_from,d_hz_choti*G431,0)</f>
        <v/>
      </c>
      <c r="BE431" s="14">
        <f>F431*SUMIFS(BD401:BD453,B401:B453,B431-in_choti_months)*in_choti_renew*in_choti_ticket</f>
        <v/>
      </c>
      <c r="BF431" s="40">
        <f>BF430*(1-IF(B430&gt;=in_marketplace_from,d_hz_nps*G430,0))</f>
        <v/>
      </c>
      <c r="BG431" s="14">
        <f>F431*BF431*IF(B431&gt;=in_marketplace_from,d_hz_nps*G431,0)*in_nps_ticket*in_nps_comm</f>
        <v/>
      </c>
      <c r="BH431" s="40">
        <f>BH430*(1-IF(B430&gt;=in_marketplace_from,d_hz_gold*G430,0))</f>
        <v/>
      </c>
      <c r="BI431" s="40">
        <f>BI430*d_rho_gold+BH431*IF(B431&gt;=in_marketplace_from,d_hz_gold*G431,0)</f>
        <v/>
      </c>
      <c r="BJ431" s="14">
        <f>F431*BI431*in_gold_ticket*in_gold_comm</f>
        <v/>
      </c>
      <c r="BK431" s="40">
        <f>BK430*(1-IF(B430&gt;=in_marketplace_from,d_hz_fd*G430,0))</f>
        <v/>
      </c>
      <c r="BL431" s="14">
        <f>F431*BK431*IF(B431&gt;=in_marketplace_from,d_hz_fd*G431,0)*in_fd_ticket*in_fd_comm</f>
        <v/>
      </c>
      <c r="BM431" s="40">
        <f>BM430*(1-IF(B430&gt;=in_marketplace_from,d_hz_recharge*G430,0))</f>
        <v/>
      </c>
      <c r="BN431" s="40">
        <f>BN430*d_rho_recharge+BM431*IF(B431&gt;=in_marketplace_from,d_hz_recharge*G431,0)</f>
        <v/>
      </c>
      <c r="BO431" s="14">
        <f>F431*BN431*in_recharge_ticket*in_recharge_comm/12</f>
        <v/>
      </c>
      <c r="BP431" s="40">
        <f>BP430*(1-IF(B430&gt;=in_marketplace_from,d_hz_bills*G430,0))</f>
        <v/>
      </c>
      <c r="BQ431" s="40">
        <f>BQ430*d_rho_bills+BP431*IF(B431&gt;=in_marketplace_from,d_hz_bills*G431,0)</f>
        <v/>
      </c>
      <c r="BR431" s="14">
        <f>F431*BQ431*in_bills_ticket*in_bills_comm/12</f>
        <v/>
      </c>
      <c r="BS431" s="40">
        <f>BS430*(1-IF(B430&gt;=in_marketplace_from,d_hz_loan_gold*G430,0))</f>
        <v/>
      </c>
      <c r="BT431" s="14">
        <f>F431*BS431*IF(B431&gt;=in_marketplace_from,d_hz_loan_gold*G431,0)*in_loan_gold_ticket*in_loan_gold_comm</f>
        <v/>
      </c>
      <c r="BU431" s="40">
        <f>BU430*(1-IF(B430&gt;=in_marketplace_from,d_hz_loan_cd*G430,0))</f>
        <v/>
      </c>
      <c r="BV431" s="14">
        <f>F431*BU431*IF(B431&gt;=in_marketplace_from,d_hz_loan_cd*G431,0)*in_loan_cd_ticket*in_loan_cd_comm</f>
        <v/>
      </c>
      <c r="BW431" s="40">
        <f>BW430*(1-IF(B430&gt;=in_marketplace_from,d_hz_loan_vehicle*G430,0))</f>
        <v/>
      </c>
      <c r="BX431" s="14">
        <f>F431*BW431*IF(B431&gt;=in_marketplace_from,d_hz_loan_vehicle*G431,0)*in_loan_vehicle_ticket*in_loan_vehicle_comm</f>
        <v/>
      </c>
      <c r="BY431" s="40">
        <f>BY430*(1-IF(B430&gt;=in_marketplace_from,d_hz_loan_home*G430,0)*BZ430)</f>
        <v/>
      </c>
      <c r="BZ431" s="11">
        <f>MIN(in_approval_cap,in_loan_home_approval*INDEX('Age profile'!$O$2:$O$61,B431)*(1+in_approval_growth)^(D431-1))</f>
        <v/>
      </c>
      <c r="CA431" s="14">
        <f>F431*BY431*IF(B431&gt;=in_marketplace_from,d_hz_loan_home*G431,0)*BZ431*in_loan_home_ticket*in_loan_home_comm</f>
        <v/>
      </c>
      <c r="CB431" s="40">
        <f>CB430*(1-IF(B430&gt;=in_marketplace_from,d_hz_loan_lap*G430,0)*CC430)</f>
        <v/>
      </c>
      <c r="CC431" s="11">
        <f>MIN(in_approval_cap,in_loan_lap_approval*INDEX('Age profile'!$O$2:$O$61,B431)*(1+in_approval_growth)^(D431-1))</f>
        <v/>
      </c>
      <c r="CD431" s="14">
        <f>F431*CB431*IF(B431&gt;=in_marketplace_from,d_hz_loan_lap*G431,0)*CC431*in_loan_lap_ticket*in_loan_lap_comm</f>
        <v/>
      </c>
      <c r="CE431" s="14">
        <f>AA431+AB431+AC431+AD431+AG431+AJ431+AM431+AP431+AS431+AU431+AX431+BB431+BE431+BG431+BJ431+BL431+BO431+BR431+BT431+BV431+BX431+CA431+CD431</f>
        <v/>
      </c>
    </row>
    <row r="432">
      <c r="A432" s="39" t="n">
        <v>8</v>
      </c>
      <c r="B432" s="39" t="n">
        <v>32</v>
      </c>
      <c r="C432" s="39">
        <f>A432+B432-1</f>
        <v/>
      </c>
      <c r="D432" s="39">
        <f>INT((C432-1)/12)+1</f>
        <v/>
      </c>
      <c r="E432" s="44">
        <f>INDEX(Monthly!$B$2:$B$61,A432)</f>
        <v/>
      </c>
      <c r="F432" s="44">
        <f>E432*INDEX('Age profile'!$B$2:$B$61,B432)</f>
        <v/>
      </c>
      <c r="G432" s="45">
        <f>MIN(in_takeup_cap,INDEX('Age profile'!$N$2:$N$61,B432)*(1+in_takeup_growth)^(D432-1))</f>
        <v/>
      </c>
      <c r="H432" s="11">
        <f>MIN(in_approval_cap,in_approved_first*INDEX('Age profile'!$O$2:$O$61,B432)*(1+in_approval_growth)^(D432-1))</f>
        <v/>
      </c>
      <c r="I432" s="45">
        <f>G432*MIN(in_takeup_cap,INDEX('Age profile'!$O$2:$O$61,B432)*(1+in_approval_growth)^(D432-1))</f>
        <v/>
      </c>
      <c r="J432" s="40">
        <f>(J431-L431)*F432/F431</f>
        <v/>
      </c>
      <c r="K432" s="40">
        <f>(K431-M431)*F432/F431+SUMIFS(O401:O431,B401:B431,B432-1-d_T)*F432</f>
        <v/>
      </c>
      <c r="L432" s="40">
        <f>IF(B432&gt;=in_marketplace_from,J432*d_hz*G432*in_eligible*H432,0)</f>
        <v/>
      </c>
      <c r="M432" s="40">
        <f>IF(B432&gt;=in_marketplace_from,K432*d_hz*G432*in_eligible*in_approved_repeat,0)</f>
        <v/>
      </c>
      <c r="N432" s="40">
        <f>L432+M432</f>
        <v/>
      </c>
      <c r="O432" s="46">
        <f>N432/F432</f>
        <v/>
      </c>
      <c r="P432" s="40">
        <f>F432-J432-K432</f>
        <v/>
      </c>
      <c r="Q432" s="40">
        <f>IF(B432&gt;=in_marketplace_from,(J432+K432)*d_hz*G432,0)</f>
        <v/>
      </c>
      <c r="R432" s="40">
        <f>SUMIFS(N401:N453,B401:B453,"&gt;="&amp;(B432-d_T),B401:B453,"&lt;="&amp;(B432-1))</f>
        <v/>
      </c>
      <c r="S432" s="46">
        <f>(1-d_u)*S431+IF(d_T&gt;in_topup_lag,SUMIFS(O401:O453,B401:B453,B432-in_topup_lag)-d_udrop*SUMIFS(O401:O453,B401:B453,B432-d_T),0)</f>
        <v/>
      </c>
      <c r="T432" s="40">
        <f>F432*d_u*S432</f>
        <v/>
      </c>
      <c r="U432" s="9">
        <f>L432*in_ticket+M432*d_rep_ticket</f>
        <v/>
      </c>
      <c r="V432" s="9">
        <f>U432+T432*d_topup_amt</f>
        <v/>
      </c>
      <c r="W432" s="40">
        <f>N432+T432*d_topup_ratio</f>
        <v/>
      </c>
      <c r="X432" s="40">
        <f>SUMIFS(W401:W453,B401:B453,B432-in_dpd_lag)*d_cured</f>
        <v/>
      </c>
      <c r="Y432" s="40">
        <f>SUMIFS(W401:W453,B401:B453,B432-in_rec_lag)*d_recd</f>
        <v/>
      </c>
      <c r="Z432" s="40">
        <f>IF(AND(B432&gt;=in_marketplace_from,B432&lt;in_marketplace_from+in_card_months),in_card_share/in_card_months*F432*I432,IF(AND(B432&gt;=in_marketplace_from+in_card_months,B432&lt;in_marketplace_from+2*in_card_months),in_card_share*d_card_rem/in_card_months*F432*MIN(in_takeup_cap,(1+in_takeup_growth)^(D432-1))*MIN(in_takeup_cap,(1+in_approval_growth)^(D432-1)),0))</f>
        <v/>
      </c>
      <c r="AA432" s="14">
        <f>V432*in_fee*(1-in_taken_back)</f>
        <v/>
      </c>
      <c r="AB432" s="14">
        <f>SUMIFS(W401:W453,B401:B453,B432-in_dpd_lag)*d_dpd</f>
        <v/>
      </c>
      <c r="AC432" s="14">
        <f>SUMIFS(W401:W453,B401:B453,B432-in_rec_lag)*d_rec</f>
        <v/>
      </c>
      <c r="AD432" s="14">
        <f>Z432*in_card_fee</f>
        <v/>
      </c>
      <c r="AE432" s="40">
        <f>AE431*(1-IF(B431&gt;=in_marketplace_from,d_hz_hlth_small*G431,0))</f>
        <v/>
      </c>
      <c r="AF432" s="46">
        <f>AE432*IF(B432&gt;=in_marketplace_from,d_hz_hlth_small*G432,0)</f>
        <v/>
      </c>
      <c r="AG432" s="14">
        <f>F432*AF432*in_hlth_small_ticket*in_hlth_small_comm*in_ins_partner_share+F432*in_hlth_small_ticket*in_hlth_small_renew_comm*in_ins_partner_share*(in_hlth_small_renew^1*SUMIFS(AF401:AF453,B401:B453,B432-12)+in_hlth_small_renew^2*SUMIFS(AF401:AF453,B401:B453,B432-24)+in_hlth_small_renew^3*SUMIFS(AF401:AF453,B401:B453,B432-36)+in_hlth_small_renew^4*SUMIFS(AF401:AF453,B401:B453,B432-48))</f>
        <v/>
      </c>
      <c r="AH432" s="40">
        <f>AH431*(1-IF(B431&gt;=in_marketplace_from,d_hz_hlth_family*G431,0))</f>
        <v/>
      </c>
      <c r="AI432" s="46">
        <f>AH432*IF(B432&gt;=in_marketplace_from,d_hz_hlth_family*G432,0)</f>
        <v/>
      </c>
      <c r="AJ432" s="14">
        <f>F432*AI432*in_hlth_family_ticket*in_hlth_family_comm*in_ins_partner_share+F432*in_hlth_family_ticket*in_hlth_family_renew_comm*in_ins_partner_share*(in_hlth_family_renew^1*SUMIFS(AI401:AI453,B401:B453,B432-12)+in_hlth_family_renew^2*SUMIFS(AI401:AI453,B401:B453,B432-24)+in_hlth_family_renew^3*SUMIFS(AI401:AI453,B401:B453,B432-36)+in_hlth_family_renew^4*SUMIFS(AI401:AI453,B401:B453,B432-48))</f>
        <v/>
      </c>
      <c r="AK432" s="40">
        <f>AK431*(1-IF(B431&gt;=in_marketplace_from,d_hz_life_term*G431,0))</f>
        <v/>
      </c>
      <c r="AL432" s="46">
        <f>AK432*IF(B432&gt;=in_marketplace_from,d_hz_life_term*G432,0)</f>
        <v/>
      </c>
      <c r="AM432" s="14">
        <f>F432*AL432*in_life_term_ticket*in_life_term_comm*in_ins_partner_share+F432*in_life_term_ticket*in_life_term_renew_comm*in_ins_partner_share*(in_life_term_renew^1*SUMIFS(AL401:AL453,B401:B453,B432-12)+in_life_term_renew^2*SUMIFS(AL401:AL453,B401:B453,B432-24)+in_life_term_renew^3*SUMIFS(AL401:AL453,B401:B453,B432-36)+in_life_term_renew^4*SUMIFS(AL401:AL453,B401:B453,B432-48))</f>
        <v/>
      </c>
      <c r="AN432" s="40">
        <f>AN431*(1-IF(B431&gt;=in_marketplace_from,d_hz_accident*G431,0))</f>
        <v/>
      </c>
      <c r="AO432" s="46">
        <f>AN432*IF(B432&gt;=in_marketplace_from,d_hz_accident*G432,0)</f>
        <v/>
      </c>
      <c r="AP432" s="14">
        <f>F432*AO432*in_accident_ticket*in_accident_comm*in_ins_partner_share+F432*in_accident_ticket*in_accident_renew_comm*in_ins_partner_share*(in_accident_renew^1*SUMIFS(AO401:AO453,B401:B453,B432-12)+in_accident_renew^2*SUMIFS(AO401:AO453,B401:B453,B432-24)+in_accident_renew^3*SUMIFS(AO401:AO453,B401:B453,B432-36)+in_accident_renew^4*SUMIFS(AO401:AO453,B401:B453,B432-48))</f>
        <v/>
      </c>
      <c r="AQ432" s="40">
        <f>AQ431*(1-IF(B431&gt;=in_marketplace_from,d_hz_two_wheeler*G431,0))</f>
        <v/>
      </c>
      <c r="AR432" s="46">
        <f>AQ432*IF(B432&gt;=in_marketplace_from,d_hz_two_wheeler*G432,0)</f>
        <v/>
      </c>
      <c r="AS432" s="14">
        <f>F432*AR432*in_two_wheeler_ticket*in_two_wheeler_comm*in_ins_partner_share+F432*in_two_wheeler_ticket*in_two_wheeler_comm*in_ins_partner_share*(in_two_wheeler_renew^1*SUMIFS(AR401:AR453,B401:B453,B432-12)+in_two_wheeler_renew^2*SUMIFS(AR401:AR453,B401:B453,B432-24)+in_two_wheeler_renew^3*SUMIFS(AR401:AR453,B401:B453,B432-36)+in_two_wheeler_renew^4*SUMIFS(AR401:AR453,B401:B453,B432-48))</f>
        <v/>
      </c>
      <c r="AT432" s="40">
        <f>AT431*(1-IF(B431&gt;=in_marketplace_from,d_hz_device*G431,0))</f>
        <v/>
      </c>
      <c r="AU432" s="14">
        <f>F432*AT432*IF(B432&gt;=in_marketplace_from,d_hz_device*G432,0)*in_device_ticket*in_device_comm*in_ins_partner_share</f>
        <v/>
      </c>
      <c r="AV432" s="40">
        <f>AV431*(1-IF(B431&gt;=in_marketplace_from,d_hz_shop*G431,0))</f>
        <v/>
      </c>
      <c r="AW432" s="46">
        <f>AV432*IF(B432&gt;=in_marketplace_from,d_hz_shop*G432,0)</f>
        <v/>
      </c>
      <c r="AX432" s="14">
        <f>F432*AW432*in_shop_ticket*in_shop_comm*in_ins_partner_share+F432*in_shop_ticket*in_shop_renew_comm*in_ins_partner_share*(in_shop_renew^1*SUMIFS(AW401:AW453,B401:B453,B432-12)+in_shop_renew^2*SUMIFS(AW401:AW453,B401:B453,B432-24)+in_shop_renew^3*SUMIFS(AW401:AW453,B401:B453,B432-36)+in_shop_renew^4*SUMIFS(AW401:AW453,B401:B453,B432-48))</f>
        <v/>
      </c>
      <c r="AY432" s="40">
        <f>AY431*(1-IF(B431&gt;=in_marketplace_from,d_hz_sip*G431,0))</f>
        <v/>
      </c>
      <c r="AZ432" s="40">
        <f>AZ431*d_rho_sip+AY432*IF(B432&gt;=in_marketplace_from,d_hz_sip*G432,0)</f>
        <v/>
      </c>
      <c r="BA432" s="40">
        <f>d_rho_sip*(BA431+AZ431)</f>
        <v/>
      </c>
      <c r="BB432" s="14">
        <f>F432*in_sip_ticket*(BA432+0.5*AZ432)*in_sip_comm/12</f>
        <v/>
      </c>
      <c r="BC432" s="40">
        <f>BC431*(1-IF(B431&gt;=in_marketplace_from,d_hz_choti*G431,0))</f>
        <v/>
      </c>
      <c r="BD432" s="46">
        <f>BC432*IF(B432&gt;=in_marketplace_from,d_hz_choti*G432,0)</f>
        <v/>
      </c>
      <c r="BE432" s="14">
        <f>F432*SUMIFS(BD401:BD453,B401:B453,B432-in_choti_months)*in_choti_renew*in_choti_ticket</f>
        <v/>
      </c>
      <c r="BF432" s="40">
        <f>BF431*(1-IF(B431&gt;=in_marketplace_from,d_hz_nps*G431,0))</f>
        <v/>
      </c>
      <c r="BG432" s="14">
        <f>F432*BF432*IF(B432&gt;=in_marketplace_from,d_hz_nps*G432,0)*in_nps_ticket*in_nps_comm</f>
        <v/>
      </c>
      <c r="BH432" s="40">
        <f>BH431*(1-IF(B431&gt;=in_marketplace_from,d_hz_gold*G431,0))</f>
        <v/>
      </c>
      <c r="BI432" s="40">
        <f>BI431*d_rho_gold+BH432*IF(B432&gt;=in_marketplace_from,d_hz_gold*G432,0)</f>
        <v/>
      </c>
      <c r="BJ432" s="14">
        <f>F432*BI432*in_gold_ticket*in_gold_comm</f>
        <v/>
      </c>
      <c r="BK432" s="40">
        <f>BK431*(1-IF(B431&gt;=in_marketplace_from,d_hz_fd*G431,0))</f>
        <v/>
      </c>
      <c r="BL432" s="14">
        <f>F432*BK432*IF(B432&gt;=in_marketplace_from,d_hz_fd*G432,0)*in_fd_ticket*in_fd_comm</f>
        <v/>
      </c>
      <c r="BM432" s="40">
        <f>BM431*(1-IF(B431&gt;=in_marketplace_from,d_hz_recharge*G431,0))</f>
        <v/>
      </c>
      <c r="BN432" s="40">
        <f>BN431*d_rho_recharge+BM432*IF(B432&gt;=in_marketplace_from,d_hz_recharge*G432,0)</f>
        <v/>
      </c>
      <c r="BO432" s="14">
        <f>F432*BN432*in_recharge_ticket*in_recharge_comm/12</f>
        <v/>
      </c>
      <c r="BP432" s="40">
        <f>BP431*(1-IF(B431&gt;=in_marketplace_from,d_hz_bills*G431,0))</f>
        <v/>
      </c>
      <c r="BQ432" s="40">
        <f>BQ431*d_rho_bills+BP432*IF(B432&gt;=in_marketplace_from,d_hz_bills*G432,0)</f>
        <v/>
      </c>
      <c r="BR432" s="14">
        <f>F432*BQ432*in_bills_ticket*in_bills_comm/12</f>
        <v/>
      </c>
      <c r="BS432" s="40">
        <f>BS431*(1-IF(B431&gt;=in_marketplace_from,d_hz_loan_gold*G431,0))</f>
        <v/>
      </c>
      <c r="BT432" s="14">
        <f>F432*BS432*IF(B432&gt;=in_marketplace_from,d_hz_loan_gold*G432,0)*in_loan_gold_ticket*in_loan_gold_comm</f>
        <v/>
      </c>
      <c r="BU432" s="40">
        <f>BU431*(1-IF(B431&gt;=in_marketplace_from,d_hz_loan_cd*G431,0))</f>
        <v/>
      </c>
      <c r="BV432" s="14">
        <f>F432*BU432*IF(B432&gt;=in_marketplace_from,d_hz_loan_cd*G432,0)*in_loan_cd_ticket*in_loan_cd_comm</f>
        <v/>
      </c>
      <c r="BW432" s="40">
        <f>BW431*(1-IF(B431&gt;=in_marketplace_from,d_hz_loan_vehicle*G431,0))</f>
        <v/>
      </c>
      <c r="BX432" s="14">
        <f>F432*BW432*IF(B432&gt;=in_marketplace_from,d_hz_loan_vehicle*G432,0)*in_loan_vehicle_ticket*in_loan_vehicle_comm</f>
        <v/>
      </c>
      <c r="BY432" s="40">
        <f>BY431*(1-IF(B431&gt;=in_marketplace_from,d_hz_loan_home*G431,0)*BZ431)</f>
        <v/>
      </c>
      <c r="BZ432" s="11">
        <f>MIN(in_approval_cap,in_loan_home_approval*INDEX('Age profile'!$O$2:$O$61,B432)*(1+in_approval_growth)^(D432-1))</f>
        <v/>
      </c>
      <c r="CA432" s="14">
        <f>F432*BY432*IF(B432&gt;=in_marketplace_from,d_hz_loan_home*G432,0)*BZ432*in_loan_home_ticket*in_loan_home_comm</f>
        <v/>
      </c>
      <c r="CB432" s="40">
        <f>CB431*(1-IF(B431&gt;=in_marketplace_from,d_hz_loan_lap*G431,0)*CC431)</f>
        <v/>
      </c>
      <c r="CC432" s="11">
        <f>MIN(in_approval_cap,in_loan_lap_approval*INDEX('Age profile'!$O$2:$O$61,B432)*(1+in_approval_growth)^(D432-1))</f>
        <v/>
      </c>
      <c r="CD432" s="14">
        <f>F432*CB432*IF(B432&gt;=in_marketplace_from,d_hz_loan_lap*G432,0)*CC432*in_loan_lap_ticket*in_loan_lap_comm</f>
        <v/>
      </c>
      <c r="CE432" s="14">
        <f>AA432+AB432+AC432+AD432+AG432+AJ432+AM432+AP432+AS432+AU432+AX432+BB432+BE432+BG432+BJ432+BL432+BO432+BR432+BT432+BV432+BX432+CA432+CD432</f>
        <v/>
      </c>
    </row>
    <row r="433">
      <c r="A433" s="39" t="n">
        <v>8</v>
      </c>
      <c r="B433" s="39" t="n">
        <v>33</v>
      </c>
      <c r="C433" s="39">
        <f>A433+B433-1</f>
        <v/>
      </c>
      <c r="D433" s="39">
        <f>INT((C433-1)/12)+1</f>
        <v/>
      </c>
      <c r="E433" s="44">
        <f>INDEX(Monthly!$B$2:$B$61,A433)</f>
        <v/>
      </c>
      <c r="F433" s="44">
        <f>E433*INDEX('Age profile'!$B$2:$B$61,B433)</f>
        <v/>
      </c>
      <c r="G433" s="45">
        <f>MIN(in_takeup_cap,INDEX('Age profile'!$N$2:$N$61,B433)*(1+in_takeup_growth)^(D433-1))</f>
        <v/>
      </c>
      <c r="H433" s="11">
        <f>MIN(in_approval_cap,in_approved_first*INDEX('Age profile'!$O$2:$O$61,B433)*(1+in_approval_growth)^(D433-1))</f>
        <v/>
      </c>
      <c r="I433" s="45">
        <f>G433*MIN(in_takeup_cap,INDEX('Age profile'!$O$2:$O$61,B433)*(1+in_approval_growth)^(D433-1))</f>
        <v/>
      </c>
      <c r="J433" s="40">
        <f>(J432-L432)*F433/F432</f>
        <v/>
      </c>
      <c r="K433" s="40">
        <f>(K432-M432)*F433/F432+SUMIFS(O401:O432,B401:B432,B433-1-d_T)*F433</f>
        <v/>
      </c>
      <c r="L433" s="40">
        <f>IF(B433&gt;=in_marketplace_from,J433*d_hz*G433*in_eligible*H433,0)</f>
        <v/>
      </c>
      <c r="M433" s="40">
        <f>IF(B433&gt;=in_marketplace_from,K433*d_hz*G433*in_eligible*in_approved_repeat,0)</f>
        <v/>
      </c>
      <c r="N433" s="40">
        <f>L433+M433</f>
        <v/>
      </c>
      <c r="O433" s="46">
        <f>N433/F433</f>
        <v/>
      </c>
      <c r="P433" s="40">
        <f>F433-J433-K433</f>
        <v/>
      </c>
      <c r="Q433" s="40">
        <f>IF(B433&gt;=in_marketplace_from,(J433+K433)*d_hz*G433,0)</f>
        <v/>
      </c>
      <c r="R433" s="40">
        <f>SUMIFS(N401:N453,B401:B453,"&gt;="&amp;(B433-d_T),B401:B453,"&lt;="&amp;(B433-1))</f>
        <v/>
      </c>
      <c r="S433" s="46">
        <f>(1-d_u)*S432+IF(d_T&gt;in_topup_lag,SUMIFS(O401:O453,B401:B453,B433-in_topup_lag)-d_udrop*SUMIFS(O401:O453,B401:B453,B433-d_T),0)</f>
        <v/>
      </c>
      <c r="T433" s="40">
        <f>F433*d_u*S433</f>
        <v/>
      </c>
      <c r="U433" s="9">
        <f>L433*in_ticket+M433*d_rep_ticket</f>
        <v/>
      </c>
      <c r="V433" s="9">
        <f>U433+T433*d_topup_amt</f>
        <v/>
      </c>
      <c r="W433" s="40">
        <f>N433+T433*d_topup_ratio</f>
        <v/>
      </c>
      <c r="X433" s="40">
        <f>SUMIFS(W401:W453,B401:B453,B433-in_dpd_lag)*d_cured</f>
        <v/>
      </c>
      <c r="Y433" s="40">
        <f>SUMIFS(W401:W453,B401:B453,B433-in_rec_lag)*d_recd</f>
        <v/>
      </c>
      <c r="Z433" s="40">
        <f>IF(AND(B433&gt;=in_marketplace_from,B433&lt;in_marketplace_from+in_card_months),in_card_share/in_card_months*F433*I433,IF(AND(B433&gt;=in_marketplace_from+in_card_months,B433&lt;in_marketplace_from+2*in_card_months),in_card_share*d_card_rem/in_card_months*F433*MIN(in_takeup_cap,(1+in_takeup_growth)^(D433-1))*MIN(in_takeup_cap,(1+in_approval_growth)^(D433-1)),0))</f>
        <v/>
      </c>
      <c r="AA433" s="14">
        <f>V433*in_fee*(1-in_taken_back)</f>
        <v/>
      </c>
      <c r="AB433" s="14">
        <f>SUMIFS(W401:W453,B401:B453,B433-in_dpd_lag)*d_dpd</f>
        <v/>
      </c>
      <c r="AC433" s="14">
        <f>SUMIFS(W401:W453,B401:B453,B433-in_rec_lag)*d_rec</f>
        <v/>
      </c>
      <c r="AD433" s="14">
        <f>Z433*in_card_fee</f>
        <v/>
      </c>
      <c r="AE433" s="40">
        <f>AE432*(1-IF(B432&gt;=in_marketplace_from,d_hz_hlth_small*G432,0))</f>
        <v/>
      </c>
      <c r="AF433" s="46">
        <f>AE433*IF(B433&gt;=in_marketplace_from,d_hz_hlth_small*G433,0)</f>
        <v/>
      </c>
      <c r="AG433" s="14">
        <f>F433*AF433*in_hlth_small_ticket*in_hlth_small_comm*in_ins_partner_share+F433*in_hlth_small_ticket*in_hlth_small_renew_comm*in_ins_partner_share*(in_hlth_small_renew^1*SUMIFS(AF401:AF453,B401:B453,B433-12)+in_hlth_small_renew^2*SUMIFS(AF401:AF453,B401:B453,B433-24)+in_hlth_small_renew^3*SUMIFS(AF401:AF453,B401:B453,B433-36)+in_hlth_small_renew^4*SUMIFS(AF401:AF453,B401:B453,B433-48))</f>
        <v/>
      </c>
      <c r="AH433" s="40">
        <f>AH432*(1-IF(B432&gt;=in_marketplace_from,d_hz_hlth_family*G432,0))</f>
        <v/>
      </c>
      <c r="AI433" s="46">
        <f>AH433*IF(B433&gt;=in_marketplace_from,d_hz_hlth_family*G433,0)</f>
        <v/>
      </c>
      <c r="AJ433" s="14">
        <f>F433*AI433*in_hlth_family_ticket*in_hlth_family_comm*in_ins_partner_share+F433*in_hlth_family_ticket*in_hlth_family_renew_comm*in_ins_partner_share*(in_hlth_family_renew^1*SUMIFS(AI401:AI453,B401:B453,B433-12)+in_hlth_family_renew^2*SUMIFS(AI401:AI453,B401:B453,B433-24)+in_hlth_family_renew^3*SUMIFS(AI401:AI453,B401:B453,B433-36)+in_hlth_family_renew^4*SUMIFS(AI401:AI453,B401:B453,B433-48))</f>
        <v/>
      </c>
      <c r="AK433" s="40">
        <f>AK432*(1-IF(B432&gt;=in_marketplace_from,d_hz_life_term*G432,0))</f>
        <v/>
      </c>
      <c r="AL433" s="46">
        <f>AK433*IF(B433&gt;=in_marketplace_from,d_hz_life_term*G433,0)</f>
        <v/>
      </c>
      <c r="AM433" s="14">
        <f>F433*AL433*in_life_term_ticket*in_life_term_comm*in_ins_partner_share+F433*in_life_term_ticket*in_life_term_renew_comm*in_ins_partner_share*(in_life_term_renew^1*SUMIFS(AL401:AL453,B401:B453,B433-12)+in_life_term_renew^2*SUMIFS(AL401:AL453,B401:B453,B433-24)+in_life_term_renew^3*SUMIFS(AL401:AL453,B401:B453,B433-36)+in_life_term_renew^4*SUMIFS(AL401:AL453,B401:B453,B433-48))</f>
        <v/>
      </c>
      <c r="AN433" s="40">
        <f>AN432*(1-IF(B432&gt;=in_marketplace_from,d_hz_accident*G432,0))</f>
        <v/>
      </c>
      <c r="AO433" s="46">
        <f>AN433*IF(B433&gt;=in_marketplace_from,d_hz_accident*G433,0)</f>
        <v/>
      </c>
      <c r="AP433" s="14">
        <f>F433*AO433*in_accident_ticket*in_accident_comm*in_ins_partner_share+F433*in_accident_ticket*in_accident_renew_comm*in_ins_partner_share*(in_accident_renew^1*SUMIFS(AO401:AO453,B401:B453,B433-12)+in_accident_renew^2*SUMIFS(AO401:AO453,B401:B453,B433-24)+in_accident_renew^3*SUMIFS(AO401:AO453,B401:B453,B433-36)+in_accident_renew^4*SUMIFS(AO401:AO453,B401:B453,B433-48))</f>
        <v/>
      </c>
      <c r="AQ433" s="40">
        <f>AQ432*(1-IF(B432&gt;=in_marketplace_from,d_hz_two_wheeler*G432,0))</f>
        <v/>
      </c>
      <c r="AR433" s="46">
        <f>AQ433*IF(B433&gt;=in_marketplace_from,d_hz_two_wheeler*G433,0)</f>
        <v/>
      </c>
      <c r="AS433" s="14">
        <f>F433*AR433*in_two_wheeler_ticket*in_two_wheeler_comm*in_ins_partner_share+F433*in_two_wheeler_ticket*in_two_wheeler_comm*in_ins_partner_share*(in_two_wheeler_renew^1*SUMIFS(AR401:AR453,B401:B453,B433-12)+in_two_wheeler_renew^2*SUMIFS(AR401:AR453,B401:B453,B433-24)+in_two_wheeler_renew^3*SUMIFS(AR401:AR453,B401:B453,B433-36)+in_two_wheeler_renew^4*SUMIFS(AR401:AR453,B401:B453,B433-48))</f>
        <v/>
      </c>
      <c r="AT433" s="40">
        <f>AT432*(1-IF(B432&gt;=in_marketplace_from,d_hz_device*G432,0))</f>
        <v/>
      </c>
      <c r="AU433" s="14">
        <f>F433*AT433*IF(B433&gt;=in_marketplace_from,d_hz_device*G433,0)*in_device_ticket*in_device_comm*in_ins_partner_share</f>
        <v/>
      </c>
      <c r="AV433" s="40">
        <f>AV432*(1-IF(B432&gt;=in_marketplace_from,d_hz_shop*G432,0))</f>
        <v/>
      </c>
      <c r="AW433" s="46">
        <f>AV433*IF(B433&gt;=in_marketplace_from,d_hz_shop*G433,0)</f>
        <v/>
      </c>
      <c r="AX433" s="14">
        <f>F433*AW433*in_shop_ticket*in_shop_comm*in_ins_partner_share+F433*in_shop_ticket*in_shop_renew_comm*in_ins_partner_share*(in_shop_renew^1*SUMIFS(AW401:AW453,B401:B453,B433-12)+in_shop_renew^2*SUMIFS(AW401:AW453,B401:B453,B433-24)+in_shop_renew^3*SUMIFS(AW401:AW453,B401:B453,B433-36)+in_shop_renew^4*SUMIFS(AW401:AW453,B401:B453,B433-48))</f>
        <v/>
      </c>
      <c r="AY433" s="40">
        <f>AY432*(1-IF(B432&gt;=in_marketplace_from,d_hz_sip*G432,0))</f>
        <v/>
      </c>
      <c r="AZ433" s="40">
        <f>AZ432*d_rho_sip+AY433*IF(B433&gt;=in_marketplace_from,d_hz_sip*G433,0)</f>
        <v/>
      </c>
      <c r="BA433" s="40">
        <f>d_rho_sip*(BA432+AZ432)</f>
        <v/>
      </c>
      <c r="BB433" s="14">
        <f>F433*in_sip_ticket*(BA433+0.5*AZ433)*in_sip_comm/12</f>
        <v/>
      </c>
      <c r="BC433" s="40">
        <f>BC432*(1-IF(B432&gt;=in_marketplace_from,d_hz_choti*G432,0))</f>
        <v/>
      </c>
      <c r="BD433" s="46">
        <f>BC433*IF(B433&gt;=in_marketplace_from,d_hz_choti*G433,0)</f>
        <v/>
      </c>
      <c r="BE433" s="14">
        <f>F433*SUMIFS(BD401:BD453,B401:B453,B433-in_choti_months)*in_choti_renew*in_choti_ticket</f>
        <v/>
      </c>
      <c r="BF433" s="40">
        <f>BF432*(1-IF(B432&gt;=in_marketplace_from,d_hz_nps*G432,0))</f>
        <v/>
      </c>
      <c r="BG433" s="14">
        <f>F433*BF433*IF(B433&gt;=in_marketplace_from,d_hz_nps*G433,0)*in_nps_ticket*in_nps_comm</f>
        <v/>
      </c>
      <c r="BH433" s="40">
        <f>BH432*(1-IF(B432&gt;=in_marketplace_from,d_hz_gold*G432,0))</f>
        <v/>
      </c>
      <c r="BI433" s="40">
        <f>BI432*d_rho_gold+BH433*IF(B433&gt;=in_marketplace_from,d_hz_gold*G433,0)</f>
        <v/>
      </c>
      <c r="BJ433" s="14">
        <f>F433*BI433*in_gold_ticket*in_gold_comm</f>
        <v/>
      </c>
      <c r="BK433" s="40">
        <f>BK432*(1-IF(B432&gt;=in_marketplace_from,d_hz_fd*G432,0))</f>
        <v/>
      </c>
      <c r="BL433" s="14">
        <f>F433*BK433*IF(B433&gt;=in_marketplace_from,d_hz_fd*G433,0)*in_fd_ticket*in_fd_comm</f>
        <v/>
      </c>
      <c r="BM433" s="40">
        <f>BM432*(1-IF(B432&gt;=in_marketplace_from,d_hz_recharge*G432,0))</f>
        <v/>
      </c>
      <c r="BN433" s="40">
        <f>BN432*d_rho_recharge+BM433*IF(B433&gt;=in_marketplace_from,d_hz_recharge*G433,0)</f>
        <v/>
      </c>
      <c r="BO433" s="14">
        <f>F433*BN433*in_recharge_ticket*in_recharge_comm/12</f>
        <v/>
      </c>
      <c r="BP433" s="40">
        <f>BP432*(1-IF(B432&gt;=in_marketplace_from,d_hz_bills*G432,0))</f>
        <v/>
      </c>
      <c r="BQ433" s="40">
        <f>BQ432*d_rho_bills+BP433*IF(B433&gt;=in_marketplace_from,d_hz_bills*G433,0)</f>
        <v/>
      </c>
      <c r="BR433" s="14">
        <f>F433*BQ433*in_bills_ticket*in_bills_comm/12</f>
        <v/>
      </c>
      <c r="BS433" s="40">
        <f>BS432*(1-IF(B432&gt;=in_marketplace_from,d_hz_loan_gold*G432,0))</f>
        <v/>
      </c>
      <c r="BT433" s="14">
        <f>F433*BS433*IF(B433&gt;=in_marketplace_from,d_hz_loan_gold*G433,0)*in_loan_gold_ticket*in_loan_gold_comm</f>
        <v/>
      </c>
      <c r="BU433" s="40">
        <f>BU432*(1-IF(B432&gt;=in_marketplace_from,d_hz_loan_cd*G432,0))</f>
        <v/>
      </c>
      <c r="BV433" s="14">
        <f>F433*BU433*IF(B433&gt;=in_marketplace_from,d_hz_loan_cd*G433,0)*in_loan_cd_ticket*in_loan_cd_comm</f>
        <v/>
      </c>
      <c r="BW433" s="40">
        <f>BW432*(1-IF(B432&gt;=in_marketplace_from,d_hz_loan_vehicle*G432,0))</f>
        <v/>
      </c>
      <c r="BX433" s="14">
        <f>F433*BW433*IF(B433&gt;=in_marketplace_from,d_hz_loan_vehicle*G433,0)*in_loan_vehicle_ticket*in_loan_vehicle_comm</f>
        <v/>
      </c>
      <c r="BY433" s="40">
        <f>BY432*(1-IF(B432&gt;=in_marketplace_from,d_hz_loan_home*G432,0)*BZ432)</f>
        <v/>
      </c>
      <c r="BZ433" s="11">
        <f>MIN(in_approval_cap,in_loan_home_approval*INDEX('Age profile'!$O$2:$O$61,B433)*(1+in_approval_growth)^(D433-1))</f>
        <v/>
      </c>
      <c r="CA433" s="14">
        <f>F433*BY433*IF(B433&gt;=in_marketplace_from,d_hz_loan_home*G433,0)*BZ433*in_loan_home_ticket*in_loan_home_comm</f>
        <v/>
      </c>
      <c r="CB433" s="40">
        <f>CB432*(1-IF(B432&gt;=in_marketplace_from,d_hz_loan_lap*G432,0)*CC432)</f>
        <v/>
      </c>
      <c r="CC433" s="11">
        <f>MIN(in_approval_cap,in_loan_lap_approval*INDEX('Age profile'!$O$2:$O$61,B433)*(1+in_approval_growth)^(D433-1))</f>
        <v/>
      </c>
      <c r="CD433" s="14">
        <f>F433*CB433*IF(B433&gt;=in_marketplace_from,d_hz_loan_lap*G433,0)*CC433*in_loan_lap_ticket*in_loan_lap_comm</f>
        <v/>
      </c>
      <c r="CE433" s="14">
        <f>AA433+AB433+AC433+AD433+AG433+AJ433+AM433+AP433+AS433+AU433+AX433+BB433+BE433+BG433+BJ433+BL433+BO433+BR433+BT433+BV433+BX433+CA433+CD433</f>
        <v/>
      </c>
    </row>
    <row r="434">
      <c r="A434" s="39" t="n">
        <v>8</v>
      </c>
      <c r="B434" s="39" t="n">
        <v>34</v>
      </c>
      <c r="C434" s="39">
        <f>A434+B434-1</f>
        <v/>
      </c>
      <c r="D434" s="39">
        <f>INT((C434-1)/12)+1</f>
        <v/>
      </c>
      <c r="E434" s="44">
        <f>INDEX(Monthly!$B$2:$B$61,A434)</f>
        <v/>
      </c>
      <c r="F434" s="44">
        <f>E434*INDEX('Age profile'!$B$2:$B$61,B434)</f>
        <v/>
      </c>
      <c r="G434" s="45">
        <f>MIN(in_takeup_cap,INDEX('Age profile'!$N$2:$N$61,B434)*(1+in_takeup_growth)^(D434-1))</f>
        <v/>
      </c>
      <c r="H434" s="11">
        <f>MIN(in_approval_cap,in_approved_first*INDEX('Age profile'!$O$2:$O$61,B434)*(1+in_approval_growth)^(D434-1))</f>
        <v/>
      </c>
      <c r="I434" s="45">
        <f>G434*MIN(in_takeup_cap,INDEX('Age profile'!$O$2:$O$61,B434)*(1+in_approval_growth)^(D434-1))</f>
        <v/>
      </c>
      <c r="J434" s="40">
        <f>(J433-L433)*F434/F433</f>
        <v/>
      </c>
      <c r="K434" s="40">
        <f>(K433-M433)*F434/F433+SUMIFS(O401:O433,B401:B433,B434-1-d_T)*F434</f>
        <v/>
      </c>
      <c r="L434" s="40">
        <f>IF(B434&gt;=in_marketplace_from,J434*d_hz*G434*in_eligible*H434,0)</f>
        <v/>
      </c>
      <c r="M434" s="40">
        <f>IF(B434&gt;=in_marketplace_from,K434*d_hz*G434*in_eligible*in_approved_repeat,0)</f>
        <v/>
      </c>
      <c r="N434" s="40">
        <f>L434+M434</f>
        <v/>
      </c>
      <c r="O434" s="46">
        <f>N434/F434</f>
        <v/>
      </c>
      <c r="P434" s="40">
        <f>F434-J434-K434</f>
        <v/>
      </c>
      <c r="Q434" s="40">
        <f>IF(B434&gt;=in_marketplace_from,(J434+K434)*d_hz*G434,0)</f>
        <v/>
      </c>
      <c r="R434" s="40">
        <f>SUMIFS(N401:N453,B401:B453,"&gt;="&amp;(B434-d_T),B401:B453,"&lt;="&amp;(B434-1))</f>
        <v/>
      </c>
      <c r="S434" s="46">
        <f>(1-d_u)*S433+IF(d_T&gt;in_topup_lag,SUMIFS(O401:O453,B401:B453,B434-in_topup_lag)-d_udrop*SUMIFS(O401:O453,B401:B453,B434-d_T),0)</f>
        <v/>
      </c>
      <c r="T434" s="40">
        <f>F434*d_u*S434</f>
        <v/>
      </c>
      <c r="U434" s="9">
        <f>L434*in_ticket+M434*d_rep_ticket</f>
        <v/>
      </c>
      <c r="V434" s="9">
        <f>U434+T434*d_topup_amt</f>
        <v/>
      </c>
      <c r="W434" s="40">
        <f>N434+T434*d_topup_ratio</f>
        <v/>
      </c>
      <c r="X434" s="40">
        <f>SUMIFS(W401:W453,B401:B453,B434-in_dpd_lag)*d_cured</f>
        <v/>
      </c>
      <c r="Y434" s="40">
        <f>SUMIFS(W401:W453,B401:B453,B434-in_rec_lag)*d_recd</f>
        <v/>
      </c>
      <c r="Z434" s="40">
        <f>IF(AND(B434&gt;=in_marketplace_from,B434&lt;in_marketplace_from+in_card_months),in_card_share/in_card_months*F434*I434,IF(AND(B434&gt;=in_marketplace_from+in_card_months,B434&lt;in_marketplace_from+2*in_card_months),in_card_share*d_card_rem/in_card_months*F434*MIN(in_takeup_cap,(1+in_takeup_growth)^(D434-1))*MIN(in_takeup_cap,(1+in_approval_growth)^(D434-1)),0))</f>
        <v/>
      </c>
      <c r="AA434" s="14">
        <f>V434*in_fee*(1-in_taken_back)</f>
        <v/>
      </c>
      <c r="AB434" s="14">
        <f>SUMIFS(W401:W453,B401:B453,B434-in_dpd_lag)*d_dpd</f>
        <v/>
      </c>
      <c r="AC434" s="14">
        <f>SUMIFS(W401:W453,B401:B453,B434-in_rec_lag)*d_rec</f>
        <v/>
      </c>
      <c r="AD434" s="14">
        <f>Z434*in_card_fee</f>
        <v/>
      </c>
      <c r="AE434" s="40">
        <f>AE433*(1-IF(B433&gt;=in_marketplace_from,d_hz_hlth_small*G433,0))</f>
        <v/>
      </c>
      <c r="AF434" s="46">
        <f>AE434*IF(B434&gt;=in_marketplace_from,d_hz_hlth_small*G434,0)</f>
        <v/>
      </c>
      <c r="AG434" s="14">
        <f>F434*AF434*in_hlth_small_ticket*in_hlth_small_comm*in_ins_partner_share+F434*in_hlth_small_ticket*in_hlth_small_renew_comm*in_ins_partner_share*(in_hlth_small_renew^1*SUMIFS(AF401:AF453,B401:B453,B434-12)+in_hlth_small_renew^2*SUMIFS(AF401:AF453,B401:B453,B434-24)+in_hlth_small_renew^3*SUMIFS(AF401:AF453,B401:B453,B434-36)+in_hlth_small_renew^4*SUMIFS(AF401:AF453,B401:B453,B434-48))</f>
        <v/>
      </c>
      <c r="AH434" s="40">
        <f>AH433*(1-IF(B433&gt;=in_marketplace_from,d_hz_hlth_family*G433,0))</f>
        <v/>
      </c>
      <c r="AI434" s="46">
        <f>AH434*IF(B434&gt;=in_marketplace_from,d_hz_hlth_family*G434,0)</f>
        <v/>
      </c>
      <c r="AJ434" s="14">
        <f>F434*AI434*in_hlth_family_ticket*in_hlth_family_comm*in_ins_partner_share+F434*in_hlth_family_ticket*in_hlth_family_renew_comm*in_ins_partner_share*(in_hlth_family_renew^1*SUMIFS(AI401:AI453,B401:B453,B434-12)+in_hlth_family_renew^2*SUMIFS(AI401:AI453,B401:B453,B434-24)+in_hlth_family_renew^3*SUMIFS(AI401:AI453,B401:B453,B434-36)+in_hlth_family_renew^4*SUMIFS(AI401:AI453,B401:B453,B434-48))</f>
        <v/>
      </c>
      <c r="AK434" s="40">
        <f>AK433*(1-IF(B433&gt;=in_marketplace_from,d_hz_life_term*G433,0))</f>
        <v/>
      </c>
      <c r="AL434" s="46">
        <f>AK434*IF(B434&gt;=in_marketplace_from,d_hz_life_term*G434,0)</f>
        <v/>
      </c>
      <c r="AM434" s="14">
        <f>F434*AL434*in_life_term_ticket*in_life_term_comm*in_ins_partner_share+F434*in_life_term_ticket*in_life_term_renew_comm*in_ins_partner_share*(in_life_term_renew^1*SUMIFS(AL401:AL453,B401:B453,B434-12)+in_life_term_renew^2*SUMIFS(AL401:AL453,B401:B453,B434-24)+in_life_term_renew^3*SUMIFS(AL401:AL453,B401:B453,B434-36)+in_life_term_renew^4*SUMIFS(AL401:AL453,B401:B453,B434-48))</f>
        <v/>
      </c>
      <c r="AN434" s="40">
        <f>AN433*(1-IF(B433&gt;=in_marketplace_from,d_hz_accident*G433,0))</f>
        <v/>
      </c>
      <c r="AO434" s="46">
        <f>AN434*IF(B434&gt;=in_marketplace_from,d_hz_accident*G434,0)</f>
        <v/>
      </c>
      <c r="AP434" s="14">
        <f>F434*AO434*in_accident_ticket*in_accident_comm*in_ins_partner_share+F434*in_accident_ticket*in_accident_renew_comm*in_ins_partner_share*(in_accident_renew^1*SUMIFS(AO401:AO453,B401:B453,B434-12)+in_accident_renew^2*SUMIFS(AO401:AO453,B401:B453,B434-24)+in_accident_renew^3*SUMIFS(AO401:AO453,B401:B453,B434-36)+in_accident_renew^4*SUMIFS(AO401:AO453,B401:B453,B434-48))</f>
        <v/>
      </c>
      <c r="AQ434" s="40">
        <f>AQ433*(1-IF(B433&gt;=in_marketplace_from,d_hz_two_wheeler*G433,0))</f>
        <v/>
      </c>
      <c r="AR434" s="46">
        <f>AQ434*IF(B434&gt;=in_marketplace_from,d_hz_two_wheeler*G434,0)</f>
        <v/>
      </c>
      <c r="AS434" s="14">
        <f>F434*AR434*in_two_wheeler_ticket*in_two_wheeler_comm*in_ins_partner_share+F434*in_two_wheeler_ticket*in_two_wheeler_comm*in_ins_partner_share*(in_two_wheeler_renew^1*SUMIFS(AR401:AR453,B401:B453,B434-12)+in_two_wheeler_renew^2*SUMIFS(AR401:AR453,B401:B453,B434-24)+in_two_wheeler_renew^3*SUMIFS(AR401:AR453,B401:B453,B434-36)+in_two_wheeler_renew^4*SUMIFS(AR401:AR453,B401:B453,B434-48))</f>
        <v/>
      </c>
      <c r="AT434" s="40">
        <f>AT433*(1-IF(B433&gt;=in_marketplace_from,d_hz_device*G433,0))</f>
        <v/>
      </c>
      <c r="AU434" s="14">
        <f>F434*AT434*IF(B434&gt;=in_marketplace_from,d_hz_device*G434,0)*in_device_ticket*in_device_comm*in_ins_partner_share</f>
        <v/>
      </c>
      <c r="AV434" s="40">
        <f>AV433*(1-IF(B433&gt;=in_marketplace_from,d_hz_shop*G433,0))</f>
        <v/>
      </c>
      <c r="AW434" s="46">
        <f>AV434*IF(B434&gt;=in_marketplace_from,d_hz_shop*G434,0)</f>
        <v/>
      </c>
      <c r="AX434" s="14">
        <f>F434*AW434*in_shop_ticket*in_shop_comm*in_ins_partner_share+F434*in_shop_ticket*in_shop_renew_comm*in_ins_partner_share*(in_shop_renew^1*SUMIFS(AW401:AW453,B401:B453,B434-12)+in_shop_renew^2*SUMIFS(AW401:AW453,B401:B453,B434-24)+in_shop_renew^3*SUMIFS(AW401:AW453,B401:B453,B434-36)+in_shop_renew^4*SUMIFS(AW401:AW453,B401:B453,B434-48))</f>
        <v/>
      </c>
      <c r="AY434" s="40">
        <f>AY433*(1-IF(B433&gt;=in_marketplace_from,d_hz_sip*G433,0))</f>
        <v/>
      </c>
      <c r="AZ434" s="40">
        <f>AZ433*d_rho_sip+AY434*IF(B434&gt;=in_marketplace_from,d_hz_sip*G434,0)</f>
        <v/>
      </c>
      <c r="BA434" s="40">
        <f>d_rho_sip*(BA433+AZ433)</f>
        <v/>
      </c>
      <c r="BB434" s="14">
        <f>F434*in_sip_ticket*(BA434+0.5*AZ434)*in_sip_comm/12</f>
        <v/>
      </c>
      <c r="BC434" s="40">
        <f>BC433*(1-IF(B433&gt;=in_marketplace_from,d_hz_choti*G433,0))</f>
        <v/>
      </c>
      <c r="BD434" s="46">
        <f>BC434*IF(B434&gt;=in_marketplace_from,d_hz_choti*G434,0)</f>
        <v/>
      </c>
      <c r="BE434" s="14">
        <f>F434*SUMIFS(BD401:BD453,B401:B453,B434-in_choti_months)*in_choti_renew*in_choti_ticket</f>
        <v/>
      </c>
      <c r="BF434" s="40">
        <f>BF433*(1-IF(B433&gt;=in_marketplace_from,d_hz_nps*G433,0))</f>
        <v/>
      </c>
      <c r="BG434" s="14">
        <f>F434*BF434*IF(B434&gt;=in_marketplace_from,d_hz_nps*G434,0)*in_nps_ticket*in_nps_comm</f>
        <v/>
      </c>
      <c r="BH434" s="40">
        <f>BH433*(1-IF(B433&gt;=in_marketplace_from,d_hz_gold*G433,0))</f>
        <v/>
      </c>
      <c r="BI434" s="40">
        <f>BI433*d_rho_gold+BH434*IF(B434&gt;=in_marketplace_from,d_hz_gold*G434,0)</f>
        <v/>
      </c>
      <c r="BJ434" s="14">
        <f>F434*BI434*in_gold_ticket*in_gold_comm</f>
        <v/>
      </c>
      <c r="BK434" s="40">
        <f>BK433*(1-IF(B433&gt;=in_marketplace_from,d_hz_fd*G433,0))</f>
        <v/>
      </c>
      <c r="BL434" s="14">
        <f>F434*BK434*IF(B434&gt;=in_marketplace_from,d_hz_fd*G434,0)*in_fd_ticket*in_fd_comm</f>
        <v/>
      </c>
      <c r="BM434" s="40">
        <f>BM433*(1-IF(B433&gt;=in_marketplace_from,d_hz_recharge*G433,0))</f>
        <v/>
      </c>
      <c r="BN434" s="40">
        <f>BN433*d_rho_recharge+BM434*IF(B434&gt;=in_marketplace_from,d_hz_recharge*G434,0)</f>
        <v/>
      </c>
      <c r="BO434" s="14">
        <f>F434*BN434*in_recharge_ticket*in_recharge_comm/12</f>
        <v/>
      </c>
      <c r="BP434" s="40">
        <f>BP433*(1-IF(B433&gt;=in_marketplace_from,d_hz_bills*G433,0))</f>
        <v/>
      </c>
      <c r="BQ434" s="40">
        <f>BQ433*d_rho_bills+BP434*IF(B434&gt;=in_marketplace_from,d_hz_bills*G434,0)</f>
        <v/>
      </c>
      <c r="BR434" s="14">
        <f>F434*BQ434*in_bills_ticket*in_bills_comm/12</f>
        <v/>
      </c>
      <c r="BS434" s="40">
        <f>BS433*(1-IF(B433&gt;=in_marketplace_from,d_hz_loan_gold*G433,0))</f>
        <v/>
      </c>
      <c r="BT434" s="14">
        <f>F434*BS434*IF(B434&gt;=in_marketplace_from,d_hz_loan_gold*G434,0)*in_loan_gold_ticket*in_loan_gold_comm</f>
        <v/>
      </c>
      <c r="BU434" s="40">
        <f>BU433*(1-IF(B433&gt;=in_marketplace_from,d_hz_loan_cd*G433,0))</f>
        <v/>
      </c>
      <c r="BV434" s="14">
        <f>F434*BU434*IF(B434&gt;=in_marketplace_from,d_hz_loan_cd*G434,0)*in_loan_cd_ticket*in_loan_cd_comm</f>
        <v/>
      </c>
      <c r="BW434" s="40">
        <f>BW433*(1-IF(B433&gt;=in_marketplace_from,d_hz_loan_vehicle*G433,0))</f>
        <v/>
      </c>
      <c r="BX434" s="14">
        <f>F434*BW434*IF(B434&gt;=in_marketplace_from,d_hz_loan_vehicle*G434,0)*in_loan_vehicle_ticket*in_loan_vehicle_comm</f>
        <v/>
      </c>
      <c r="BY434" s="40">
        <f>BY433*(1-IF(B433&gt;=in_marketplace_from,d_hz_loan_home*G433,0)*BZ433)</f>
        <v/>
      </c>
      <c r="BZ434" s="11">
        <f>MIN(in_approval_cap,in_loan_home_approval*INDEX('Age profile'!$O$2:$O$61,B434)*(1+in_approval_growth)^(D434-1))</f>
        <v/>
      </c>
      <c r="CA434" s="14">
        <f>F434*BY434*IF(B434&gt;=in_marketplace_from,d_hz_loan_home*G434,0)*BZ434*in_loan_home_ticket*in_loan_home_comm</f>
        <v/>
      </c>
      <c r="CB434" s="40">
        <f>CB433*(1-IF(B433&gt;=in_marketplace_from,d_hz_loan_lap*G433,0)*CC433)</f>
        <v/>
      </c>
      <c r="CC434" s="11">
        <f>MIN(in_approval_cap,in_loan_lap_approval*INDEX('Age profile'!$O$2:$O$61,B434)*(1+in_approval_growth)^(D434-1))</f>
        <v/>
      </c>
      <c r="CD434" s="14">
        <f>F434*CB434*IF(B434&gt;=in_marketplace_from,d_hz_loan_lap*G434,0)*CC434*in_loan_lap_ticket*in_loan_lap_comm</f>
        <v/>
      </c>
      <c r="CE434" s="14">
        <f>AA434+AB434+AC434+AD434+AG434+AJ434+AM434+AP434+AS434+AU434+AX434+BB434+BE434+BG434+BJ434+BL434+BO434+BR434+BT434+BV434+BX434+CA434+CD434</f>
        <v/>
      </c>
    </row>
    <row r="435">
      <c r="A435" s="39" t="n">
        <v>8</v>
      </c>
      <c r="B435" s="39" t="n">
        <v>35</v>
      </c>
      <c r="C435" s="39">
        <f>A435+B435-1</f>
        <v/>
      </c>
      <c r="D435" s="39">
        <f>INT((C435-1)/12)+1</f>
        <v/>
      </c>
      <c r="E435" s="44">
        <f>INDEX(Monthly!$B$2:$B$61,A435)</f>
        <v/>
      </c>
      <c r="F435" s="44">
        <f>E435*INDEX('Age profile'!$B$2:$B$61,B435)</f>
        <v/>
      </c>
      <c r="G435" s="45">
        <f>MIN(in_takeup_cap,INDEX('Age profile'!$N$2:$N$61,B435)*(1+in_takeup_growth)^(D435-1))</f>
        <v/>
      </c>
      <c r="H435" s="11">
        <f>MIN(in_approval_cap,in_approved_first*INDEX('Age profile'!$O$2:$O$61,B435)*(1+in_approval_growth)^(D435-1))</f>
        <v/>
      </c>
      <c r="I435" s="45">
        <f>G435*MIN(in_takeup_cap,INDEX('Age profile'!$O$2:$O$61,B435)*(1+in_approval_growth)^(D435-1))</f>
        <v/>
      </c>
      <c r="J435" s="40">
        <f>(J434-L434)*F435/F434</f>
        <v/>
      </c>
      <c r="K435" s="40">
        <f>(K434-M434)*F435/F434+SUMIFS(O401:O434,B401:B434,B435-1-d_T)*F435</f>
        <v/>
      </c>
      <c r="L435" s="40">
        <f>IF(B435&gt;=in_marketplace_from,J435*d_hz*G435*in_eligible*H435,0)</f>
        <v/>
      </c>
      <c r="M435" s="40">
        <f>IF(B435&gt;=in_marketplace_from,K435*d_hz*G435*in_eligible*in_approved_repeat,0)</f>
        <v/>
      </c>
      <c r="N435" s="40">
        <f>L435+M435</f>
        <v/>
      </c>
      <c r="O435" s="46">
        <f>N435/F435</f>
        <v/>
      </c>
      <c r="P435" s="40">
        <f>F435-J435-K435</f>
        <v/>
      </c>
      <c r="Q435" s="40">
        <f>IF(B435&gt;=in_marketplace_from,(J435+K435)*d_hz*G435,0)</f>
        <v/>
      </c>
      <c r="R435" s="40">
        <f>SUMIFS(N401:N453,B401:B453,"&gt;="&amp;(B435-d_T),B401:B453,"&lt;="&amp;(B435-1))</f>
        <v/>
      </c>
      <c r="S435" s="46">
        <f>(1-d_u)*S434+IF(d_T&gt;in_topup_lag,SUMIFS(O401:O453,B401:B453,B435-in_topup_lag)-d_udrop*SUMIFS(O401:O453,B401:B453,B435-d_T),0)</f>
        <v/>
      </c>
      <c r="T435" s="40">
        <f>F435*d_u*S435</f>
        <v/>
      </c>
      <c r="U435" s="9">
        <f>L435*in_ticket+M435*d_rep_ticket</f>
        <v/>
      </c>
      <c r="V435" s="9">
        <f>U435+T435*d_topup_amt</f>
        <v/>
      </c>
      <c r="W435" s="40">
        <f>N435+T435*d_topup_ratio</f>
        <v/>
      </c>
      <c r="X435" s="40">
        <f>SUMIFS(W401:W453,B401:B453,B435-in_dpd_lag)*d_cured</f>
        <v/>
      </c>
      <c r="Y435" s="40">
        <f>SUMIFS(W401:W453,B401:B453,B435-in_rec_lag)*d_recd</f>
        <v/>
      </c>
      <c r="Z435" s="40">
        <f>IF(AND(B435&gt;=in_marketplace_from,B435&lt;in_marketplace_from+in_card_months),in_card_share/in_card_months*F435*I435,IF(AND(B435&gt;=in_marketplace_from+in_card_months,B435&lt;in_marketplace_from+2*in_card_months),in_card_share*d_card_rem/in_card_months*F435*MIN(in_takeup_cap,(1+in_takeup_growth)^(D435-1))*MIN(in_takeup_cap,(1+in_approval_growth)^(D435-1)),0))</f>
        <v/>
      </c>
      <c r="AA435" s="14">
        <f>V435*in_fee*(1-in_taken_back)</f>
        <v/>
      </c>
      <c r="AB435" s="14">
        <f>SUMIFS(W401:W453,B401:B453,B435-in_dpd_lag)*d_dpd</f>
        <v/>
      </c>
      <c r="AC435" s="14">
        <f>SUMIFS(W401:W453,B401:B453,B435-in_rec_lag)*d_rec</f>
        <v/>
      </c>
      <c r="AD435" s="14">
        <f>Z435*in_card_fee</f>
        <v/>
      </c>
      <c r="AE435" s="40">
        <f>AE434*(1-IF(B434&gt;=in_marketplace_from,d_hz_hlth_small*G434,0))</f>
        <v/>
      </c>
      <c r="AF435" s="46">
        <f>AE435*IF(B435&gt;=in_marketplace_from,d_hz_hlth_small*G435,0)</f>
        <v/>
      </c>
      <c r="AG435" s="14">
        <f>F435*AF435*in_hlth_small_ticket*in_hlth_small_comm*in_ins_partner_share+F435*in_hlth_small_ticket*in_hlth_small_renew_comm*in_ins_partner_share*(in_hlth_small_renew^1*SUMIFS(AF401:AF453,B401:B453,B435-12)+in_hlth_small_renew^2*SUMIFS(AF401:AF453,B401:B453,B435-24)+in_hlth_small_renew^3*SUMIFS(AF401:AF453,B401:B453,B435-36)+in_hlth_small_renew^4*SUMIFS(AF401:AF453,B401:B453,B435-48))</f>
        <v/>
      </c>
      <c r="AH435" s="40">
        <f>AH434*(1-IF(B434&gt;=in_marketplace_from,d_hz_hlth_family*G434,0))</f>
        <v/>
      </c>
      <c r="AI435" s="46">
        <f>AH435*IF(B435&gt;=in_marketplace_from,d_hz_hlth_family*G435,0)</f>
        <v/>
      </c>
      <c r="AJ435" s="14">
        <f>F435*AI435*in_hlth_family_ticket*in_hlth_family_comm*in_ins_partner_share+F435*in_hlth_family_ticket*in_hlth_family_renew_comm*in_ins_partner_share*(in_hlth_family_renew^1*SUMIFS(AI401:AI453,B401:B453,B435-12)+in_hlth_family_renew^2*SUMIFS(AI401:AI453,B401:B453,B435-24)+in_hlth_family_renew^3*SUMIFS(AI401:AI453,B401:B453,B435-36)+in_hlth_family_renew^4*SUMIFS(AI401:AI453,B401:B453,B435-48))</f>
        <v/>
      </c>
      <c r="AK435" s="40">
        <f>AK434*(1-IF(B434&gt;=in_marketplace_from,d_hz_life_term*G434,0))</f>
        <v/>
      </c>
      <c r="AL435" s="46">
        <f>AK435*IF(B435&gt;=in_marketplace_from,d_hz_life_term*G435,0)</f>
        <v/>
      </c>
      <c r="AM435" s="14">
        <f>F435*AL435*in_life_term_ticket*in_life_term_comm*in_ins_partner_share+F435*in_life_term_ticket*in_life_term_renew_comm*in_ins_partner_share*(in_life_term_renew^1*SUMIFS(AL401:AL453,B401:B453,B435-12)+in_life_term_renew^2*SUMIFS(AL401:AL453,B401:B453,B435-24)+in_life_term_renew^3*SUMIFS(AL401:AL453,B401:B453,B435-36)+in_life_term_renew^4*SUMIFS(AL401:AL453,B401:B453,B435-48))</f>
        <v/>
      </c>
      <c r="AN435" s="40">
        <f>AN434*(1-IF(B434&gt;=in_marketplace_from,d_hz_accident*G434,0))</f>
        <v/>
      </c>
      <c r="AO435" s="46">
        <f>AN435*IF(B435&gt;=in_marketplace_from,d_hz_accident*G435,0)</f>
        <v/>
      </c>
      <c r="AP435" s="14">
        <f>F435*AO435*in_accident_ticket*in_accident_comm*in_ins_partner_share+F435*in_accident_ticket*in_accident_renew_comm*in_ins_partner_share*(in_accident_renew^1*SUMIFS(AO401:AO453,B401:B453,B435-12)+in_accident_renew^2*SUMIFS(AO401:AO453,B401:B453,B435-24)+in_accident_renew^3*SUMIFS(AO401:AO453,B401:B453,B435-36)+in_accident_renew^4*SUMIFS(AO401:AO453,B401:B453,B435-48))</f>
        <v/>
      </c>
      <c r="AQ435" s="40">
        <f>AQ434*(1-IF(B434&gt;=in_marketplace_from,d_hz_two_wheeler*G434,0))</f>
        <v/>
      </c>
      <c r="AR435" s="46">
        <f>AQ435*IF(B435&gt;=in_marketplace_from,d_hz_two_wheeler*G435,0)</f>
        <v/>
      </c>
      <c r="AS435" s="14">
        <f>F435*AR435*in_two_wheeler_ticket*in_two_wheeler_comm*in_ins_partner_share+F435*in_two_wheeler_ticket*in_two_wheeler_comm*in_ins_partner_share*(in_two_wheeler_renew^1*SUMIFS(AR401:AR453,B401:B453,B435-12)+in_two_wheeler_renew^2*SUMIFS(AR401:AR453,B401:B453,B435-24)+in_two_wheeler_renew^3*SUMIFS(AR401:AR453,B401:B453,B435-36)+in_two_wheeler_renew^4*SUMIFS(AR401:AR453,B401:B453,B435-48))</f>
        <v/>
      </c>
      <c r="AT435" s="40">
        <f>AT434*(1-IF(B434&gt;=in_marketplace_from,d_hz_device*G434,0))</f>
        <v/>
      </c>
      <c r="AU435" s="14">
        <f>F435*AT435*IF(B435&gt;=in_marketplace_from,d_hz_device*G435,0)*in_device_ticket*in_device_comm*in_ins_partner_share</f>
        <v/>
      </c>
      <c r="AV435" s="40">
        <f>AV434*(1-IF(B434&gt;=in_marketplace_from,d_hz_shop*G434,0))</f>
        <v/>
      </c>
      <c r="AW435" s="46">
        <f>AV435*IF(B435&gt;=in_marketplace_from,d_hz_shop*G435,0)</f>
        <v/>
      </c>
      <c r="AX435" s="14">
        <f>F435*AW435*in_shop_ticket*in_shop_comm*in_ins_partner_share+F435*in_shop_ticket*in_shop_renew_comm*in_ins_partner_share*(in_shop_renew^1*SUMIFS(AW401:AW453,B401:B453,B435-12)+in_shop_renew^2*SUMIFS(AW401:AW453,B401:B453,B435-24)+in_shop_renew^3*SUMIFS(AW401:AW453,B401:B453,B435-36)+in_shop_renew^4*SUMIFS(AW401:AW453,B401:B453,B435-48))</f>
        <v/>
      </c>
      <c r="AY435" s="40">
        <f>AY434*(1-IF(B434&gt;=in_marketplace_from,d_hz_sip*G434,0))</f>
        <v/>
      </c>
      <c r="AZ435" s="40">
        <f>AZ434*d_rho_sip+AY435*IF(B435&gt;=in_marketplace_from,d_hz_sip*G435,0)</f>
        <v/>
      </c>
      <c r="BA435" s="40">
        <f>d_rho_sip*(BA434+AZ434)</f>
        <v/>
      </c>
      <c r="BB435" s="14">
        <f>F435*in_sip_ticket*(BA435+0.5*AZ435)*in_sip_comm/12</f>
        <v/>
      </c>
      <c r="BC435" s="40">
        <f>BC434*(1-IF(B434&gt;=in_marketplace_from,d_hz_choti*G434,0))</f>
        <v/>
      </c>
      <c r="BD435" s="46">
        <f>BC435*IF(B435&gt;=in_marketplace_from,d_hz_choti*G435,0)</f>
        <v/>
      </c>
      <c r="BE435" s="14">
        <f>F435*SUMIFS(BD401:BD453,B401:B453,B435-in_choti_months)*in_choti_renew*in_choti_ticket</f>
        <v/>
      </c>
      <c r="BF435" s="40">
        <f>BF434*(1-IF(B434&gt;=in_marketplace_from,d_hz_nps*G434,0))</f>
        <v/>
      </c>
      <c r="BG435" s="14">
        <f>F435*BF435*IF(B435&gt;=in_marketplace_from,d_hz_nps*G435,0)*in_nps_ticket*in_nps_comm</f>
        <v/>
      </c>
      <c r="BH435" s="40">
        <f>BH434*(1-IF(B434&gt;=in_marketplace_from,d_hz_gold*G434,0))</f>
        <v/>
      </c>
      <c r="BI435" s="40">
        <f>BI434*d_rho_gold+BH435*IF(B435&gt;=in_marketplace_from,d_hz_gold*G435,0)</f>
        <v/>
      </c>
      <c r="BJ435" s="14">
        <f>F435*BI435*in_gold_ticket*in_gold_comm</f>
        <v/>
      </c>
      <c r="BK435" s="40">
        <f>BK434*(1-IF(B434&gt;=in_marketplace_from,d_hz_fd*G434,0))</f>
        <v/>
      </c>
      <c r="BL435" s="14">
        <f>F435*BK435*IF(B435&gt;=in_marketplace_from,d_hz_fd*G435,0)*in_fd_ticket*in_fd_comm</f>
        <v/>
      </c>
      <c r="BM435" s="40">
        <f>BM434*(1-IF(B434&gt;=in_marketplace_from,d_hz_recharge*G434,0))</f>
        <v/>
      </c>
      <c r="BN435" s="40">
        <f>BN434*d_rho_recharge+BM435*IF(B435&gt;=in_marketplace_from,d_hz_recharge*G435,0)</f>
        <v/>
      </c>
      <c r="BO435" s="14">
        <f>F435*BN435*in_recharge_ticket*in_recharge_comm/12</f>
        <v/>
      </c>
      <c r="BP435" s="40">
        <f>BP434*(1-IF(B434&gt;=in_marketplace_from,d_hz_bills*G434,0))</f>
        <v/>
      </c>
      <c r="BQ435" s="40">
        <f>BQ434*d_rho_bills+BP435*IF(B435&gt;=in_marketplace_from,d_hz_bills*G435,0)</f>
        <v/>
      </c>
      <c r="BR435" s="14">
        <f>F435*BQ435*in_bills_ticket*in_bills_comm/12</f>
        <v/>
      </c>
      <c r="BS435" s="40">
        <f>BS434*(1-IF(B434&gt;=in_marketplace_from,d_hz_loan_gold*G434,0))</f>
        <v/>
      </c>
      <c r="BT435" s="14">
        <f>F435*BS435*IF(B435&gt;=in_marketplace_from,d_hz_loan_gold*G435,0)*in_loan_gold_ticket*in_loan_gold_comm</f>
        <v/>
      </c>
      <c r="BU435" s="40">
        <f>BU434*(1-IF(B434&gt;=in_marketplace_from,d_hz_loan_cd*G434,0))</f>
        <v/>
      </c>
      <c r="BV435" s="14">
        <f>F435*BU435*IF(B435&gt;=in_marketplace_from,d_hz_loan_cd*G435,0)*in_loan_cd_ticket*in_loan_cd_comm</f>
        <v/>
      </c>
      <c r="BW435" s="40">
        <f>BW434*(1-IF(B434&gt;=in_marketplace_from,d_hz_loan_vehicle*G434,0))</f>
        <v/>
      </c>
      <c r="BX435" s="14">
        <f>F435*BW435*IF(B435&gt;=in_marketplace_from,d_hz_loan_vehicle*G435,0)*in_loan_vehicle_ticket*in_loan_vehicle_comm</f>
        <v/>
      </c>
      <c r="BY435" s="40">
        <f>BY434*(1-IF(B434&gt;=in_marketplace_from,d_hz_loan_home*G434,0)*BZ434)</f>
        <v/>
      </c>
      <c r="BZ435" s="11">
        <f>MIN(in_approval_cap,in_loan_home_approval*INDEX('Age profile'!$O$2:$O$61,B435)*(1+in_approval_growth)^(D435-1))</f>
        <v/>
      </c>
      <c r="CA435" s="14">
        <f>F435*BY435*IF(B435&gt;=in_marketplace_from,d_hz_loan_home*G435,0)*BZ435*in_loan_home_ticket*in_loan_home_comm</f>
        <v/>
      </c>
      <c r="CB435" s="40">
        <f>CB434*(1-IF(B434&gt;=in_marketplace_from,d_hz_loan_lap*G434,0)*CC434)</f>
        <v/>
      </c>
      <c r="CC435" s="11">
        <f>MIN(in_approval_cap,in_loan_lap_approval*INDEX('Age profile'!$O$2:$O$61,B435)*(1+in_approval_growth)^(D435-1))</f>
        <v/>
      </c>
      <c r="CD435" s="14">
        <f>F435*CB435*IF(B435&gt;=in_marketplace_from,d_hz_loan_lap*G435,0)*CC435*in_loan_lap_ticket*in_loan_lap_comm</f>
        <v/>
      </c>
      <c r="CE435" s="14">
        <f>AA435+AB435+AC435+AD435+AG435+AJ435+AM435+AP435+AS435+AU435+AX435+BB435+BE435+BG435+BJ435+BL435+BO435+BR435+BT435+BV435+BX435+CA435+CD435</f>
        <v/>
      </c>
    </row>
    <row r="436">
      <c r="A436" s="39" t="n">
        <v>8</v>
      </c>
      <c r="B436" s="39" t="n">
        <v>36</v>
      </c>
      <c r="C436" s="39">
        <f>A436+B436-1</f>
        <v/>
      </c>
      <c r="D436" s="39">
        <f>INT((C436-1)/12)+1</f>
        <v/>
      </c>
      <c r="E436" s="44">
        <f>INDEX(Monthly!$B$2:$B$61,A436)</f>
        <v/>
      </c>
      <c r="F436" s="44">
        <f>E436*INDEX('Age profile'!$B$2:$B$61,B436)</f>
        <v/>
      </c>
      <c r="G436" s="45">
        <f>MIN(in_takeup_cap,INDEX('Age profile'!$N$2:$N$61,B436)*(1+in_takeup_growth)^(D436-1))</f>
        <v/>
      </c>
      <c r="H436" s="11">
        <f>MIN(in_approval_cap,in_approved_first*INDEX('Age profile'!$O$2:$O$61,B436)*(1+in_approval_growth)^(D436-1))</f>
        <v/>
      </c>
      <c r="I436" s="45">
        <f>G436*MIN(in_takeup_cap,INDEX('Age profile'!$O$2:$O$61,B436)*(1+in_approval_growth)^(D436-1))</f>
        <v/>
      </c>
      <c r="J436" s="40">
        <f>(J435-L435)*F436/F435</f>
        <v/>
      </c>
      <c r="K436" s="40">
        <f>(K435-M435)*F436/F435+SUMIFS(O401:O435,B401:B435,B436-1-d_T)*F436</f>
        <v/>
      </c>
      <c r="L436" s="40">
        <f>IF(B436&gt;=in_marketplace_from,J436*d_hz*G436*in_eligible*H436,0)</f>
        <v/>
      </c>
      <c r="M436" s="40">
        <f>IF(B436&gt;=in_marketplace_from,K436*d_hz*G436*in_eligible*in_approved_repeat,0)</f>
        <v/>
      </c>
      <c r="N436" s="40">
        <f>L436+M436</f>
        <v/>
      </c>
      <c r="O436" s="46">
        <f>N436/F436</f>
        <v/>
      </c>
      <c r="P436" s="40">
        <f>F436-J436-K436</f>
        <v/>
      </c>
      <c r="Q436" s="40">
        <f>IF(B436&gt;=in_marketplace_from,(J436+K436)*d_hz*G436,0)</f>
        <v/>
      </c>
      <c r="R436" s="40">
        <f>SUMIFS(N401:N453,B401:B453,"&gt;="&amp;(B436-d_T),B401:B453,"&lt;="&amp;(B436-1))</f>
        <v/>
      </c>
      <c r="S436" s="46">
        <f>(1-d_u)*S435+IF(d_T&gt;in_topup_lag,SUMIFS(O401:O453,B401:B453,B436-in_topup_lag)-d_udrop*SUMIFS(O401:O453,B401:B453,B436-d_T),0)</f>
        <v/>
      </c>
      <c r="T436" s="40">
        <f>F436*d_u*S436</f>
        <v/>
      </c>
      <c r="U436" s="9">
        <f>L436*in_ticket+M436*d_rep_ticket</f>
        <v/>
      </c>
      <c r="V436" s="9">
        <f>U436+T436*d_topup_amt</f>
        <v/>
      </c>
      <c r="W436" s="40">
        <f>N436+T436*d_topup_ratio</f>
        <v/>
      </c>
      <c r="X436" s="40">
        <f>SUMIFS(W401:W453,B401:B453,B436-in_dpd_lag)*d_cured</f>
        <v/>
      </c>
      <c r="Y436" s="40">
        <f>SUMIFS(W401:W453,B401:B453,B436-in_rec_lag)*d_recd</f>
        <v/>
      </c>
      <c r="Z436" s="40">
        <f>IF(AND(B436&gt;=in_marketplace_from,B436&lt;in_marketplace_from+in_card_months),in_card_share/in_card_months*F436*I436,IF(AND(B436&gt;=in_marketplace_from+in_card_months,B436&lt;in_marketplace_from+2*in_card_months),in_card_share*d_card_rem/in_card_months*F436*MIN(in_takeup_cap,(1+in_takeup_growth)^(D436-1))*MIN(in_takeup_cap,(1+in_approval_growth)^(D436-1)),0))</f>
        <v/>
      </c>
      <c r="AA436" s="14">
        <f>V436*in_fee*(1-in_taken_back)</f>
        <v/>
      </c>
      <c r="AB436" s="14">
        <f>SUMIFS(W401:W453,B401:B453,B436-in_dpd_lag)*d_dpd</f>
        <v/>
      </c>
      <c r="AC436" s="14">
        <f>SUMIFS(W401:W453,B401:B453,B436-in_rec_lag)*d_rec</f>
        <v/>
      </c>
      <c r="AD436" s="14">
        <f>Z436*in_card_fee</f>
        <v/>
      </c>
      <c r="AE436" s="40">
        <f>AE435*(1-IF(B435&gt;=in_marketplace_from,d_hz_hlth_small*G435,0))</f>
        <v/>
      </c>
      <c r="AF436" s="46">
        <f>AE436*IF(B436&gt;=in_marketplace_from,d_hz_hlth_small*G436,0)</f>
        <v/>
      </c>
      <c r="AG436" s="14">
        <f>F436*AF436*in_hlth_small_ticket*in_hlth_small_comm*in_ins_partner_share+F436*in_hlth_small_ticket*in_hlth_small_renew_comm*in_ins_partner_share*(in_hlth_small_renew^1*SUMIFS(AF401:AF453,B401:B453,B436-12)+in_hlth_small_renew^2*SUMIFS(AF401:AF453,B401:B453,B436-24)+in_hlth_small_renew^3*SUMIFS(AF401:AF453,B401:B453,B436-36)+in_hlth_small_renew^4*SUMIFS(AF401:AF453,B401:B453,B436-48))</f>
        <v/>
      </c>
      <c r="AH436" s="40">
        <f>AH435*(1-IF(B435&gt;=in_marketplace_from,d_hz_hlth_family*G435,0))</f>
        <v/>
      </c>
      <c r="AI436" s="46">
        <f>AH436*IF(B436&gt;=in_marketplace_from,d_hz_hlth_family*G436,0)</f>
        <v/>
      </c>
      <c r="AJ436" s="14">
        <f>F436*AI436*in_hlth_family_ticket*in_hlth_family_comm*in_ins_partner_share+F436*in_hlth_family_ticket*in_hlth_family_renew_comm*in_ins_partner_share*(in_hlth_family_renew^1*SUMIFS(AI401:AI453,B401:B453,B436-12)+in_hlth_family_renew^2*SUMIFS(AI401:AI453,B401:B453,B436-24)+in_hlth_family_renew^3*SUMIFS(AI401:AI453,B401:B453,B436-36)+in_hlth_family_renew^4*SUMIFS(AI401:AI453,B401:B453,B436-48))</f>
        <v/>
      </c>
      <c r="AK436" s="40">
        <f>AK435*(1-IF(B435&gt;=in_marketplace_from,d_hz_life_term*G435,0))</f>
        <v/>
      </c>
      <c r="AL436" s="46">
        <f>AK436*IF(B436&gt;=in_marketplace_from,d_hz_life_term*G436,0)</f>
        <v/>
      </c>
      <c r="AM436" s="14">
        <f>F436*AL436*in_life_term_ticket*in_life_term_comm*in_ins_partner_share+F436*in_life_term_ticket*in_life_term_renew_comm*in_ins_partner_share*(in_life_term_renew^1*SUMIFS(AL401:AL453,B401:B453,B436-12)+in_life_term_renew^2*SUMIFS(AL401:AL453,B401:B453,B436-24)+in_life_term_renew^3*SUMIFS(AL401:AL453,B401:B453,B436-36)+in_life_term_renew^4*SUMIFS(AL401:AL453,B401:B453,B436-48))</f>
        <v/>
      </c>
      <c r="AN436" s="40">
        <f>AN435*(1-IF(B435&gt;=in_marketplace_from,d_hz_accident*G435,0))</f>
        <v/>
      </c>
      <c r="AO436" s="46">
        <f>AN436*IF(B436&gt;=in_marketplace_from,d_hz_accident*G436,0)</f>
        <v/>
      </c>
      <c r="AP436" s="14">
        <f>F436*AO436*in_accident_ticket*in_accident_comm*in_ins_partner_share+F436*in_accident_ticket*in_accident_renew_comm*in_ins_partner_share*(in_accident_renew^1*SUMIFS(AO401:AO453,B401:B453,B436-12)+in_accident_renew^2*SUMIFS(AO401:AO453,B401:B453,B436-24)+in_accident_renew^3*SUMIFS(AO401:AO453,B401:B453,B436-36)+in_accident_renew^4*SUMIFS(AO401:AO453,B401:B453,B436-48))</f>
        <v/>
      </c>
      <c r="AQ436" s="40">
        <f>AQ435*(1-IF(B435&gt;=in_marketplace_from,d_hz_two_wheeler*G435,0))</f>
        <v/>
      </c>
      <c r="AR436" s="46">
        <f>AQ436*IF(B436&gt;=in_marketplace_from,d_hz_two_wheeler*G436,0)</f>
        <v/>
      </c>
      <c r="AS436" s="14">
        <f>F436*AR436*in_two_wheeler_ticket*in_two_wheeler_comm*in_ins_partner_share+F436*in_two_wheeler_ticket*in_two_wheeler_comm*in_ins_partner_share*(in_two_wheeler_renew^1*SUMIFS(AR401:AR453,B401:B453,B436-12)+in_two_wheeler_renew^2*SUMIFS(AR401:AR453,B401:B453,B436-24)+in_two_wheeler_renew^3*SUMIFS(AR401:AR453,B401:B453,B436-36)+in_two_wheeler_renew^4*SUMIFS(AR401:AR453,B401:B453,B436-48))</f>
        <v/>
      </c>
      <c r="AT436" s="40">
        <f>AT435*(1-IF(B435&gt;=in_marketplace_from,d_hz_device*G435,0))</f>
        <v/>
      </c>
      <c r="AU436" s="14">
        <f>F436*AT436*IF(B436&gt;=in_marketplace_from,d_hz_device*G436,0)*in_device_ticket*in_device_comm*in_ins_partner_share</f>
        <v/>
      </c>
      <c r="AV436" s="40">
        <f>AV435*(1-IF(B435&gt;=in_marketplace_from,d_hz_shop*G435,0))</f>
        <v/>
      </c>
      <c r="AW436" s="46">
        <f>AV436*IF(B436&gt;=in_marketplace_from,d_hz_shop*G436,0)</f>
        <v/>
      </c>
      <c r="AX436" s="14">
        <f>F436*AW436*in_shop_ticket*in_shop_comm*in_ins_partner_share+F436*in_shop_ticket*in_shop_renew_comm*in_ins_partner_share*(in_shop_renew^1*SUMIFS(AW401:AW453,B401:B453,B436-12)+in_shop_renew^2*SUMIFS(AW401:AW453,B401:B453,B436-24)+in_shop_renew^3*SUMIFS(AW401:AW453,B401:B453,B436-36)+in_shop_renew^4*SUMIFS(AW401:AW453,B401:B453,B436-48))</f>
        <v/>
      </c>
      <c r="AY436" s="40">
        <f>AY435*(1-IF(B435&gt;=in_marketplace_from,d_hz_sip*G435,0))</f>
        <v/>
      </c>
      <c r="AZ436" s="40">
        <f>AZ435*d_rho_sip+AY436*IF(B436&gt;=in_marketplace_from,d_hz_sip*G436,0)</f>
        <v/>
      </c>
      <c r="BA436" s="40">
        <f>d_rho_sip*(BA435+AZ435)</f>
        <v/>
      </c>
      <c r="BB436" s="14">
        <f>F436*in_sip_ticket*(BA436+0.5*AZ436)*in_sip_comm/12</f>
        <v/>
      </c>
      <c r="BC436" s="40">
        <f>BC435*(1-IF(B435&gt;=in_marketplace_from,d_hz_choti*G435,0))</f>
        <v/>
      </c>
      <c r="BD436" s="46">
        <f>BC436*IF(B436&gt;=in_marketplace_from,d_hz_choti*G436,0)</f>
        <v/>
      </c>
      <c r="BE436" s="14">
        <f>F436*SUMIFS(BD401:BD453,B401:B453,B436-in_choti_months)*in_choti_renew*in_choti_ticket</f>
        <v/>
      </c>
      <c r="BF436" s="40">
        <f>BF435*(1-IF(B435&gt;=in_marketplace_from,d_hz_nps*G435,0))</f>
        <v/>
      </c>
      <c r="BG436" s="14">
        <f>F436*BF436*IF(B436&gt;=in_marketplace_from,d_hz_nps*G436,0)*in_nps_ticket*in_nps_comm</f>
        <v/>
      </c>
      <c r="BH436" s="40">
        <f>BH435*(1-IF(B435&gt;=in_marketplace_from,d_hz_gold*G435,0))</f>
        <v/>
      </c>
      <c r="BI436" s="40">
        <f>BI435*d_rho_gold+BH436*IF(B436&gt;=in_marketplace_from,d_hz_gold*G436,0)</f>
        <v/>
      </c>
      <c r="BJ436" s="14">
        <f>F436*BI436*in_gold_ticket*in_gold_comm</f>
        <v/>
      </c>
      <c r="BK436" s="40">
        <f>BK435*(1-IF(B435&gt;=in_marketplace_from,d_hz_fd*G435,0))</f>
        <v/>
      </c>
      <c r="BL436" s="14">
        <f>F436*BK436*IF(B436&gt;=in_marketplace_from,d_hz_fd*G436,0)*in_fd_ticket*in_fd_comm</f>
        <v/>
      </c>
      <c r="BM436" s="40">
        <f>BM435*(1-IF(B435&gt;=in_marketplace_from,d_hz_recharge*G435,0))</f>
        <v/>
      </c>
      <c r="BN436" s="40">
        <f>BN435*d_rho_recharge+BM436*IF(B436&gt;=in_marketplace_from,d_hz_recharge*G436,0)</f>
        <v/>
      </c>
      <c r="BO436" s="14">
        <f>F436*BN436*in_recharge_ticket*in_recharge_comm/12</f>
        <v/>
      </c>
      <c r="BP436" s="40">
        <f>BP435*(1-IF(B435&gt;=in_marketplace_from,d_hz_bills*G435,0))</f>
        <v/>
      </c>
      <c r="BQ436" s="40">
        <f>BQ435*d_rho_bills+BP436*IF(B436&gt;=in_marketplace_from,d_hz_bills*G436,0)</f>
        <v/>
      </c>
      <c r="BR436" s="14">
        <f>F436*BQ436*in_bills_ticket*in_bills_comm/12</f>
        <v/>
      </c>
      <c r="BS436" s="40">
        <f>BS435*(1-IF(B435&gt;=in_marketplace_from,d_hz_loan_gold*G435,0))</f>
        <v/>
      </c>
      <c r="BT436" s="14">
        <f>F436*BS436*IF(B436&gt;=in_marketplace_from,d_hz_loan_gold*G436,0)*in_loan_gold_ticket*in_loan_gold_comm</f>
        <v/>
      </c>
      <c r="BU436" s="40">
        <f>BU435*(1-IF(B435&gt;=in_marketplace_from,d_hz_loan_cd*G435,0))</f>
        <v/>
      </c>
      <c r="BV436" s="14">
        <f>F436*BU436*IF(B436&gt;=in_marketplace_from,d_hz_loan_cd*G436,0)*in_loan_cd_ticket*in_loan_cd_comm</f>
        <v/>
      </c>
      <c r="BW436" s="40">
        <f>BW435*(1-IF(B435&gt;=in_marketplace_from,d_hz_loan_vehicle*G435,0))</f>
        <v/>
      </c>
      <c r="BX436" s="14">
        <f>F436*BW436*IF(B436&gt;=in_marketplace_from,d_hz_loan_vehicle*G436,0)*in_loan_vehicle_ticket*in_loan_vehicle_comm</f>
        <v/>
      </c>
      <c r="BY436" s="40">
        <f>BY435*(1-IF(B435&gt;=in_marketplace_from,d_hz_loan_home*G435,0)*BZ435)</f>
        <v/>
      </c>
      <c r="BZ436" s="11">
        <f>MIN(in_approval_cap,in_loan_home_approval*INDEX('Age profile'!$O$2:$O$61,B436)*(1+in_approval_growth)^(D436-1))</f>
        <v/>
      </c>
      <c r="CA436" s="14">
        <f>F436*BY436*IF(B436&gt;=in_marketplace_from,d_hz_loan_home*G436,0)*BZ436*in_loan_home_ticket*in_loan_home_comm</f>
        <v/>
      </c>
      <c r="CB436" s="40">
        <f>CB435*(1-IF(B435&gt;=in_marketplace_from,d_hz_loan_lap*G435,0)*CC435)</f>
        <v/>
      </c>
      <c r="CC436" s="11">
        <f>MIN(in_approval_cap,in_loan_lap_approval*INDEX('Age profile'!$O$2:$O$61,B436)*(1+in_approval_growth)^(D436-1))</f>
        <v/>
      </c>
      <c r="CD436" s="14">
        <f>F436*CB436*IF(B436&gt;=in_marketplace_from,d_hz_loan_lap*G436,0)*CC436*in_loan_lap_ticket*in_loan_lap_comm</f>
        <v/>
      </c>
      <c r="CE436" s="14">
        <f>AA436+AB436+AC436+AD436+AG436+AJ436+AM436+AP436+AS436+AU436+AX436+BB436+BE436+BG436+BJ436+BL436+BO436+BR436+BT436+BV436+BX436+CA436+CD436</f>
        <v/>
      </c>
    </row>
    <row r="437">
      <c r="A437" s="39" t="n">
        <v>8</v>
      </c>
      <c r="B437" s="39" t="n">
        <v>37</v>
      </c>
      <c r="C437" s="39">
        <f>A437+B437-1</f>
        <v/>
      </c>
      <c r="D437" s="39">
        <f>INT((C437-1)/12)+1</f>
        <v/>
      </c>
      <c r="E437" s="44">
        <f>INDEX(Monthly!$B$2:$B$61,A437)</f>
        <v/>
      </c>
      <c r="F437" s="44">
        <f>E437*INDEX('Age profile'!$B$2:$B$61,B437)</f>
        <v/>
      </c>
      <c r="G437" s="45">
        <f>MIN(in_takeup_cap,INDEX('Age profile'!$N$2:$N$61,B437)*(1+in_takeup_growth)^(D437-1))</f>
        <v/>
      </c>
      <c r="H437" s="11">
        <f>MIN(in_approval_cap,in_approved_first*INDEX('Age profile'!$O$2:$O$61,B437)*(1+in_approval_growth)^(D437-1))</f>
        <v/>
      </c>
      <c r="I437" s="45">
        <f>G437*MIN(in_takeup_cap,INDEX('Age profile'!$O$2:$O$61,B437)*(1+in_approval_growth)^(D437-1))</f>
        <v/>
      </c>
      <c r="J437" s="40">
        <f>(J436-L436)*F437/F436</f>
        <v/>
      </c>
      <c r="K437" s="40">
        <f>(K436-M436)*F437/F436+SUMIFS(O401:O436,B401:B436,B437-1-d_T)*F437</f>
        <v/>
      </c>
      <c r="L437" s="40">
        <f>IF(B437&gt;=in_marketplace_from,J437*d_hz*G437*in_eligible*H437,0)</f>
        <v/>
      </c>
      <c r="M437" s="40">
        <f>IF(B437&gt;=in_marketplace_from,K437*d_hz*G437*in_eligible*in_approved_repeat,0)</f>
        <v/>
      </c>
      <c r="N437" s="40">
        <f>L437+M437</f>
        <v/>
      </c>
      <c r="O437" s="46">
        <f>N437/F437</f>
        <v/>
      </c>
      <c r="P437" s="40">
        <f>F437-J437-K437</f>
        <v/>
      </c>
      <c r="Q437" s="40">
        <f>IF(B437&gt;=in_marketplace_from,(J437+K437)*d_hz*G437,0)</f>
        <v/>
      </c>
      <c r="R437" s="40">
        <f>SUMIFS(N401:N453,B401:B453,"&gt;="&amp;(B437-d_T),B401:B453,"&lt;="&amp;(B437-1))</f>
        <v/>
      </c>
      <c r="S437" s="46">
        <f>(1-d_u)*S436+IF(d_T&gt;in_topup_lag,SUMIFS(O401:O453,B401:B453,B437-in_topup_lag)-d_udrop*SUMIFS(O401:O453,B401:B453,B437-d_T),0)</f>
        <v/>
      </c>
      <c r="T437" s="40">
        <f>F437*d_u*S437</f>
        <v/>
      </c>
      <c r="U437" s="9">
        <f>L437*in_ticket+M437*d_rep_ticket</f>
        <v/>
      </c>
      <c r="V437" s="9">
        <f>U437+T437*d_topup_amt</f>
        <v/>
      </c>
      <c r="W437" s="40">
        <f>N437+T437*d_topup_ratio</f>
        <v/>
      </c>
      <c r="X437" s="40">
        <f>SUMIFS(W401:W453,B401:B453,B437-in_dpd_lag)*d_cured</f>
        <v/>
      </c>
      <c r="Y437" s="40">
        <f>SUMIFS(W401:W453,B401:B453,B437-in_rec_lag)*d_recd</f>
        <v/>
      </c>
      <c r="Z437" s="40">
        <f>IF(AND(B437&gt;=in_marketplace_from,B437&lt;in_marketplace_from+in_card_months),in_card_share/in_card_months*F437*I437,IF(AND(B437&gt;=in_marketplace_from+in_card_months,B437&lt;in_marketplace_from+2*in_card_months),in_card_share*d_card_rem/in_card_months*F437*MIN(in_takeup_cap,(1+in_takeup_growth)^(D437-1))*MIN(in_takeup_cap,(1+in_approval_growth)^(D437-1)),0))</f>
        <v/>
      </c>
      <c r="AA437" s="14">
        <f>V437*in_fee*(1-in_taken_back)</f>
        <v/>
      </c>
      <c r="AB437" s="14">
        <f>SUMIFS(W401:W453,B401:B453,B437-in_dpd_lag)*d_dpd</f>
        <v/>
      </c>
      <c r="AC437" s="14">
        <f>SUMIFS(W401:W453,B401:B453,B437-in_rec_lag)*d_rec</f>
        <v/>
      </c>
      <c r="AD437" s="14">
        <f>Z437*in_card_fee</f>
        <v/>
      </c>
      <c r="AE437" s="40">
        <f>AE436*(1-IF(B436&gt;=in_marketplace_from,d_hz_hlth_small*G436,0))</f>
        <v/>
      </c>
      <c r="AF437" s="46">
        <f>AE437*IF(B437&gt;=in_marketplace_from,d_hz_hlth_small*G437,0)</f>
        <v/>
      </c>
      <c r="AG437" s="14">
        <f>F437*AF437*in_hlth_small_ticket*in_hlth_small_comm*in_ins_partner_share+F437*in_hlth_small_ticket*in_hlth_small_renew_comm*in_ins_partner_share*(in_hlth_small_renew^1*SUMIFS(AF401:AF453,B401:B453,B437-12)+in_hlth_small_renew^2*SUMIFS(AF401:AF453,B401:B453,B437-24)+in_hlth_small_renew^3*SUMIFS(AF401:AF453,B401:B453,B437-36)+in_hlth_small_renew^4*SUMIFS(AF401:AF453,B401:B453,B437-48))</f>
        <v/>
      </c>
      <c r="AH437" s="40">
        <f>AH436*(1-IF(B436&gt;=in_marketplace_from,d_hz_hlth_family*G436,0))</f>
        <v/>
      </c>
      <c r="AI437" s="46">
        <f>AH437*IF(B437&gt;=in_marketplace_from,d_hz_hlth_family*G437,0)</f>
        <v/>
      </c>
      <c r="AJ437" s="14">
        <f>F437*AI437*in_hlth_family_ticket*in_hlth_family_comm*in_ins_partner_share+F437*in_hlth_family_ticket*in_hlth_family_renew_comm*in_ins_partner_share*(in_hlth_family_renew^1*SUMIFS(AI401:AI453,B401:B453,B437-12)+in_hlth_family_renew^2*SUMIFS(AI401:AI453,B401:B453,B437-24)+in_hlth_family_renew^3*SUMIFS(AI401:AI453,B401:B453,B437-36)+in_hlth_family_renew^4*SUMIFS(AI401:AI453,B401:B453,B437-48))</f>
        <v/>
      </c>
      <c r="AK437" s="40">
        <f>AK436*(1-IF(B436&gt;=in_marketplace_from,d_hz_life_term*G436,0))</f>
        <v/>
      </c>
      <c r="AL437" s="46">
        <f>AK437*IF(B437&gt;=in_marketplace_from,d_hz_life_term*G437,0)</f>
        <v/>
      </c>
      <c r="AM437" s="14">
        <f>F437*AL437*in_life_term_ticket*in_life_term_comm*in_ins_partner_share+F437*in_life_term_ticket*in_life_term_renew_comm*in_ins_partner_share*(in_life_term_renew^1*SUMIFS(AL401:AL453,B401:B453,B437-12)+in_life_term_renew^2*SUMIFS(AL401:AL453,B401:B453,B437-24)+in_life_term_renew^3*SUMIFS(AL401:AL453,B401:B453,B437-36)+in_life_term_renew^4*SUMIFS(AL401:AL453,B401:B453,B437-48))</f>
        <v/>
      </c>
      <c r="AN437" s="40">
        <f>AN436*(1-IF(B436&gt;=in_marketplace_from,d_hz_accident*G436,0))</f>
        <v/>
      </c>
      <c r="AO437" s="46">
        <f>AN437*IF(B437&gt;=in_marketplace_from,d_hz_accident*G437,0)</f>
        <v/>
      </c>
      <c r="AP437" s="14">
        <f>F437*AO437*in_accident_ticket*in_accident_comm*in_ins_partner_share+F437*in_accident_ticket*in_accident_renew_comm*in_ins_partner_share*(in_accident_renew^1*SUMIFS(AO401:AO453,B401:B453,B437-12)+in_accident_renew^2*SUMIFS(AO401:AO453,B401:B453,B437-24)+in_accident_renew^3*SUMIFS(AO401:AO453,B401:B453,B437-36)+in_accident_renew^4*SUMIFS(AO401:AO453,B401:B453,B437-48))</f>
        <v/>
      </c>
      <c r="AQ437" s="40">
        <f>AQ436*(1-IF(B436&gt;=in_marketplace_from,d_hz_two_wheeler*G436,0))</f>
        <v/>
      </c>
      <c r="AR437" s="46">
        <f>AQ437*IF(B437&gt;=in_marketplace_from,d_hz_two_wheeler*G437,0)</f>
        <v/>
      </c>
      <c r="AS437" s="14">
        <f>F437*AR437*in_two_wheeler_ticket*in_two_wheeler_comm*in_ins_partner_share+F437*in_two_wheeler_ticket*in_two_wheeler_comm*in_ins_partner_share*(in_two_wheeler_renew^1*SUMIFS(AR401:AR453,B401:B453,B437-12)+in_two_wheeler_renew^2*SUMIFS(AR401:AR453,B401:B453,B437-24)+in_two_wheeler_renew^3*SUMIFS(AR401:AR453,B401:B453,B437-36)+in_two_wheeler_renew^4*SUMIFS(AR401:AR453,B401:B453,B437-48))</f>
        <v/>
      </c>
      <c r="AT437" s="40">
        <f>AT436*(1-IF(B436&gt;=in_marketplace_from,d_hz_device*G436,0))</f>
        <v/>
      </c>
      <c r="AU437" s="14">
        <f>F437*AT437*IF(B437&gt;=in_marketplace_from,d_hz_device*G437,0)*in_device_ticket*in_device_comm*in_ins_partner_share</f>
        <v/>
      </c>
      <c r="AV437" s="40">
        <f>AV436*(1-IF(B436&gt;=in_marketplace_from,d_hz_shop*G436,0))</f>
        <v/>
      </c>
      <c r="AW437" s="46">
        <f>AV437*IF(B437&gt;=in_marketplace_from,d_hz_shop*G437,0)</f>
        <v/>
      </c>
      <c r="AX437" s="14">
        <f>F437*AW437*in_shop_ticket*in_shop_comm*in_ins_partner_share+F437*in_shop_ticket*in_shop_renew_comm*in_ins_partner_share*(in_shop_renew^1*SUMIFS(AW401:AW453,B401:B453,B437-12)+in_shop_renew^2*SUMIFS(AW401:AW453,B401:B453,B437-24)+in_shop_renew^3*SUMIFS(AW401:AW453,B401:B453,B437-36)+in_shop_renew^4*SUMIFS(AW401:AW453,B401:B453,B437-48))</f>
        <v/>
      </c>
      <c r="AY437" s="40">
        <f>AY436*(1-IF(B436&gt;=in_marketplace_from,d_hz_sip*G436,0))</f>
        <v/>
      </c>
      <c r="AZ437" s="40">
        <f>AZ436*d_rho_sip+AY437*IF(B437&gt;=in_marketplace_from,d_hz_sip*G437,0)</f>
        <v/>
      </c>
      <c r="BA437" s="40">
        <f>d_rho_sip*(BA436+AZ436)</f>
        <v/>
      </c>
      <c r="BB437" s="14">
        <f>F437*in_sip_ticket*(BA437+0.5*AZ437)*in_sip_comm/12</f>
        <v/>
      </c>
      <c r="BC437" s="40">
        <f>BC436*(1-IF(B436&gt;=in_marketplace_from,d_hz_choti*G436,0))</f>
        <v/>
      </c>
      <c r="BD437" s="46">
        <f>BC437*IF(B437&gt;=in_marketplace_from,d_hz_choti*G437,0)</f>
        <v/>
      </c>
      <c r="BE437" s="14">
        <f>F437*SUMIFS(BD401:BD453,B401:B453,B437-in_choti_months)*in_choti_renew*in_choti_ticket</f>
        <v/>
      </c>
      <c r="BF437" s="40">
        <f>BF436*(1-IF(B436&gt;=in_marketplace_from,d_hz_nps*G436,0))</f>
        <v/>
      </c>
      <c r="BG437" s="14">
        <f>F437*BF437*IF(B437&gt;=in_marketplace_from,d_hz_nps*G437,0)*in_nps_ticket*in_nps_comm</f>
        <v/>
      </c>
      <c r="BH437" s="40">
        <f>BH436*(1-IF(B436&gt;=in_marketplace_from,d_hz_gold*G436,0))</f>
        <v/>
      </c>
      <c r="BI437" s="40">
        <f>BI436*d_rho_gold+BH437*IF(B437&gt;=in_marketplace_from,d_hz_gold*G437,0)</f>
        <v/>
      </c>
      <c r="BJ437" s="14">
        <f>F437*BI437*in_gold_ticket*in_gold_comm</f>
        <v/>
      </c>
      <c r="BK437" s="40">
        <f>BK436*(1-IF(B436&gt;=in_marketplace_from,d_hz_fd*G436,0))</f>
        <v/>
      </c>
      <c r="BL437" s="14">
        <f>F437*BK437*IF(B437&gt;=in_marketplace_from,d_hz_fd*G437,0)*in_fd_ticket*in_fd_comm</f>
        <v/>
      </c>
      <c r="BM437" s="40">
        <f>BM436*(1-IF(B436&gt;=in_marketplace_from,d_hz_recharge*G436,0))</f>
        <v/>
      </c>
      <c r="BN437" s="40">
        <f>BN436*d_rho_recharge+BM437*IF(B437&gt;=in_marketplace_from,d_hz_recharge*G437,0)</f>
        <v/>
      </c>
      <c r="BO437" s="14">
        <f>F437*BN437*in_recharge_ticket*in_recharge_comm/12</f>
        <v/>
      </c>
      <c r="BP437" s="40">
        <f>BP436*(1-IF(B436&gt;=in_marketplace_from,d_hz_bills*G436,0))</f>
        <v/>
      </c>
      <c r="BQ437" s="40">
        <f>BQ436*d_rho_bills+BP437*IF(B437&gt;=in_marketplace_from,d_hz_bills*G437,0)</f>
        <v/>
      </c>
      <c r="BR437" s="14">
        <f>F437*BQ437*in_bills_ticket*in_bills_comm/12</f>
        <v/>
      </c>
      <c r="BS437" s="40">
        <f>BS436*(1-IF(B436&gt;=in_marketplace_from,d_hz_loan_gold*G436,0))</f>
        <v/>
      </c>
      <c r="BT437" s="14">
        <f>F437*BS437*IF(B437&gt;=in_marketplace_from,d_hz_loan_gold*G437,0)*in_loan_gold_ticket*in_loan_gold_comm</f>
        <v/>
      </c>
      <c r="BU437" s="40">
        <f>BU436*(1-IF(B436&gt;=in_marketplace_from,d_hz_loan_cd*G436,0))</f>
        <v/>
      </c>
      <c r="BV437" s="14">
        <f>F437*BU437*IF(B437&gt;=in_marketplace_from,d_hz_loan_cd*G437,0)*in_loan_cd_ticket*in_loan_cd_comm</f>
        <v/>
      </c>
      <c r="BW437" s="40">
        <f>BW436*(1-IF(B436&gt;=in_marketplace_from,d_hz_loan_vehicle*G436,0))</f>
        <v/>
      </c>
      <c r="BX437" s="14">
        <f>F437*BW437*IF(B437&gt;=in_marketplace_from,d_hz_loan_vehicle*G437,0)*in_loan_vehicle_ticket*in_loan_vehicle_comm</f>
        <v/>
      </c>
      <c r="BY437" s="40">
        <f>BY436*(1-IF(B436&gt;=in_marketplace_from,d_hz_loan_home*G436,0)*BZ436)</f>
        <v/>
      </c>
      <c r="BZ437" s="11">
        <f>MIN(in_approval_cap,in_loan_home_approval*INDEX('Age profile'!$O$2:$O$61,B437)*(1+in_approval_growth)^(D437-1))</f>
        <v/>
      </c>
      <c r="CA437" s="14">
        <f>F437*BY437*IF(B437&gt;=in_marketplace_from,d_hz_loan_home*G437,0)*BZ437*in_loan_home_ticket*in_loan_home_comm</f>
        <v/>
      </c>
      <c r="CB437" s="40">
        <f>CB436*(1-IF(B436&gt;=in_marketplace_from,d_hz_loan_lap*G436,0)*CC436)</f>
        <v/>
      </c>
      <c r="CC437" s="11">
        <f>MIN(in_approval_cap,in_loan_lap_approval*INDEX('Age profile'!$O$2:$O$61,B437)*(1+in_approval_growth)^(D437-1))</f>
        <v/>
      </c>
      <c r="CD437" s="14">
        <f>F437*CB437*IF(B437&gt;=in_marketplace_from,d_hz_loan_lap*G437,0)*CC437*in_loan_lap_ticket*in_loan_lap_comm</f>
        <v/>
      </c>
      <c r="CE437" s="14">
        <f>AA437+AB437+AC437+AD437+AG437+AJ437+AM437+AP437+AS437+AU437+AX437+BB437+BE437+BG437+BJ437+BL437+BO437+BR437+BT437+BV437+BX437+CA437+CD437</f>
        <v/>
      </c>
    </row>
    <row r="438">
      <c r="A438" s="39" t="n">
        <v>8</v>
      </c>
      <c r="B438" s="39" t="n">
        <v>38</v>
      </c>
      <c r="C438" s="39">
        <f>A438+B438-1</f>
        <v/>
      </c>
      <c r="D438" s="39">
        <f>INT((C438-1)/12)+1</f>
        <v/>
      </c>
      <c r="E438" s="44">
        <f>INDEX(Monthly!$B$2:$B$61,A438)</f>
        <v/>
      </c>
      <c r="F438" s="44">
        <f>E438*INDEX('Age profile'!$B$2:$B$61,B438)</f>
        <v/>
      </c>
      <c r="G438" s="45">
        <f>MIN(in_takeup_cap,INDEX('Age profile'!$N$2:$N$61,B438)*(1+in_takeup_growth)^(D438-1))</f>
        <v/>
      </c>
      <c r="H438" s="11">
        <f>MIN(in_approval_cap,in_approved_first*INDEX('Age profile'!$O$2:$O$61,B438)*(1+in_approval_growth)^(D438-1))</f>
        <v/>
      </c>
      <c r="I438" s="45">
        <f>G438*MIN(in_takeup_cap,INDEX('Age profile'!$O$2:$O$61,B438)*(1+in_approval_growth)^(D438-1))</f>
        <v/>
      </c>
      <c r="J438" s="40">
        <f>(J437-L437)*F438/F437</f>
        <v/>
      </c>
      <c r="K438" s="40">
        <f>(K437-M437)*F438/F437+SUMIFS(O401:O437,B401:B437,B438-1-d_T)*F438</f>
        <v/>
      </c>
      <c r="L438" s="40">
        <f>IF(B438&gt;=in_marketplace_from,J438*d_hz*G438*in_eligible*H438,0)</f>
        <v/>
      </c>
      <c r="M438" s="40">
        <f>IF(B438&gt;=in_marketplace_from,K438*d_hz*G438*in_eligible*in_approved_repeat,0)</f>
        <v/>
      </c>
      <c r="N438" s="40">
        <f>L438+M438</f>
        <v/>
      </c>
      <c r="O438" s="46">
        <f>N438/F438</f>
        <v/>
      </c>
      <c r="P438" s="40">
        <f>F438-J438-K438</f>
        <v/>
      </c>
      <c r="Q438" s="40">
        <f>IF(B438&gt;=in_marketplace_from,(J438+K438)*d_hz*G438,0)</f>
        <v/>
      </c>
      <c r="R438" s="40">
        <f>SUMIFS(N401:N453,B401:B453,"&gt;="&amp;(B438-d_T),B401:B453,"&lt;="&amp;(B438-1))</f>
        <v/>
      </c>
      <c r="S438" s="46">
        <f>(1-d_u)*S437+IF(d_T&gt;in_topup_lag,SUMIFS(O401:O453,B401:B453,B438-in_topup_lag)-d_udrop*SUMIFS(O401:O453,B401:B453,B438-d_T),0)</f>
        <v/>
      </c>
      <c r="T438" s="40">
        <f>F438*d_u*S438</f>
        <v/>
      </c>
      <c r="U438" s="9">
        <f>L438*in_ticket+M438*d_rep_ticket</f>
        <v/>
      </c>
      <c r="V438" s="9">
        <f>U438+T438*d_topup_amt</f>
        <v/>
      </c>
      <c r="W438" s="40">
        <f>N438+T438*d_topup_ratio</f>
        <v/>
      </c>
      <c r="X438" s="40">
        <f>SUMIFS(W401:W453,B401:B453,B438-in_dpd_lag)*d_cured</f>
        <v/>
      </c>
      <c r="Y438" s="40">
        <f>SUMIFS(W401:W453,B401:B453,B438-in_rec_lag)*d_recd</f>
        <v/>
      </c>
      <c r="Z438" s="40">
        <f>IF(AND(B438&gt;=in_marketplace_from,B438&lt;in_marketplace_from+in_card_months),in_card_share/in_card_months*F438*I438,IF(AND(B438&gt;=in_marketplace_from+in_card_months,B438&lt;in_marketplace_from+2*in_card_months),in_card_share*d_card_rem/in_card_months*F438*MIN(in_takeup_cap,(1+in_takeup_growth)^(D438-1))*MIN(in_takeup_cap,(1+in_approval_growth)^(D438-1)),0))</f>
        <v/>
      </c>
      <c r="AA438" s="14">
        <f>V438*in_fee*(1-in_taken_back)</f>
        <v/>
      </c>
      <c r="AB438" s="14">
        <f>SUMIFS(W401:W453,B401:B453,B438-in_dpd_lag)*d_dpd</f>
        <v/>
      </c>
      <c r="AC438" s="14">
        <f>SUMIFS(W401:W453,B401:B453,B438-in_rec_lag)*d_rec</f>
        <v/>
      </c>
      <c r="AD438" s="14">
        <f>Z438*in_card_fee</f>
        <v/>
      </c>
      <c r="AE438" s="40">
        <f>AE437*(1-IF(B437&gt;=in_marketplace_from,d_hz_hlth_small*G437,0))</f>
        <v/>
      </c>
      <c r="AF438" s="46">
        <f>AE438*IF(B438&gt;=in_marketplace_from,d_hz_hlth_small*G438,0)</f>
        <v/>
      </c>
      <c r="AG438" s="14">
        <f>F438*AF438*in_hlth_small_ticket*in_hlth_small_comm*in_ins_partner_share+F438*in_hlth_small_ticket*in_hlth_small_renew_comm*in_ins_partner_share*(in_hlth_small_renew^1*SUMIFS(AF401:AF453,B401:B453,B438-12)+in_hlth_small_renew^2*SUMIFS(AF401:AF453,B401:B453,B438-24)+in_hlth_small_renew^3*SUMIFS(AF401:AF453,B401:B453,B438-36)+in_hlth_small_renew^4*SUMIFS(AF401:AF453,B401:B453,B438-48))</f>
        <v/>
      </c>
      <c r="AH438" s="40">
        <f>AH437*(1-IF(B437&gt;=in_marketplace_from,d_hz_hlth_family*G437,0))</f>
        <v/>
      </c>
      <c r="AI438" s="46">
        <f>AH438*IF(B438&gt;=in_marketplace_from,d_hz_hlth_family*G438,0)</f>
        <v/>
      </c>
      <c r="AJ438" s="14">
        <f>F438*AI438*in_hlth_family_ticket*in_hlth_family_comm*in_ins_partner_share+F438*in_hlth_family_ticket*in_hlth_family_renew_comm*in_ins_partner_share*(in_hlth_family_renew^1*SUMIFS(AI401:AI453,B401:B453,B438-12)+in_hlth_family_renew^2*SUMIFS(AI401:AI453,B401:B453,B438-24)+in_hlth_family_renew^3*SUMIFS(AI401:AI453,B401:B453,B438-36)+in_hlth_family_renew^4*SUMIFS(AI401:AI453,B401:B453,B438-48))</f>
        <v/>
      </c>
      <c r="AK438" s="40">
        <f>AK437*(1-IF(B437&gt;=in_marketplace_from,d_hz_life_term*G437,0))</f>
        <v/>
      </c>
      <c r="AL438" s="46">
        <f>AK438*IF(B438&gt;=in_marketplace_from,d_hz_life_term*G438,0)</f>
        <v/>
      </c>
      <c r="AM438" s="14">
        <f>F438*AL438*in_life_term_ticket*in_life_term_comm*in_ins_partner_share+F438*in_life_term_ticket*in_life_term_renew_comm*in_ins_partner_share*(in_life_term_renew^1*SUMIFS(AL401:AL453,B401:B453,B438-12)+in_life_term_renew^2*SUMIFS(AL401:AL453,B401:B453,B438-24)+in_life_term_renew^3*SUMIFS(AL401:AL453,B401:B453,B438-36)+in_life_term_renew^4*SUMIFS(AL401:AL453,B401:B453,B438-48))</f>
        <v/>
      </c>
      <c r="AN438" s="40">
        <f>AN437*(1-IF(B437&gt;=in_marketplace_from,d_hz_accident*G437,0))</f>
        <v/>
      </c>
      <c r="AO438" s="46">
        <f>AN438*IF(B438&gt;=in_marketplace_from,d_hz_accident*G438,0)</f>
        <v/>
      </c>
      <c r="AP438" s="14">
        <f>F438*AO438*in_accident_ticket*in_accident_comm*in_ins_partner_share+F438*in_accident_ticket*in_accident_renew_comm*in_ins_partner_share*(in_accident_renew^1*SUMIFS(AO401:AO453,B401:B453,B438-12)+in_accident_renew^2*SUMIFS(AO401:AO453,B401:B453,B438-24)+in_accident_renew^3*SUMIFS(AO401:AO453,B401:B453,B438-36)+in_accident_renew^4*SUMIFS(AO401:AO453,B401:B453,B438-48))</f>
        <v/>
      </c>
      <c r="AQ438" s="40">
        <f>AQ437*(1-IF(B437&gt;=in_marketplace_from,d_hz_two_wheeler*G437,0))</f>
        <v/>
      </c>
      <c r="AR438" s="46">
        <f>AQ438*IF(B438&gt;=in_marketplace_from,d_hz_two_wheeler*G438,0)</f>
        <v/>
      </c>
      <c r="AS438" s="14">
        <f>F438*AR438*in_two_wheeler_ticket*in_two_wheeler_comm*in_ins_partner_share+F438*in_two_wheeler_ticket*in_two_wheeler_comm*in_ins_partner_share*(in_two_wheeler_renew^1*SUMIFS(AR401:AR453,B401:B453,B438-12)+in_two_wheeler_renew^2*SUMIFS(AR401:AR453,B401:B453,B438-24)+in_two_wheeler_renew^3*SUMIFS(AR401:AR453,B401:B453,B438-36)+in_two_wheeler_renew^4*SUMIFS(AR401:AR453,B401:B453,B438-48))</f>
        <v/>
      </c>
      <c r="AT438" s="40">
        <f>AT437*(1-IF(B437&gt;=in_marketplace_from,d_hz_device*G437,0))</f>
        <v/>
      </c>
      <c r="AU438" s="14">
        <f>F438*AT438*IF(B438&gt;=in_marketplace_from,d_hz_device*G438,0)*in_device_ticket*in_device_comm*in_ins_partner_share</f>
        <v/>
      </c>
      <c r="AV438" s="40">
        <f>AV437*(1-IF(B437&gt;=in_marketplace_from,d_hz_shop*G437,0))</f>
        <v/>
      </c>
      <c r="AW438" s="46">
        <f>AV438*IF(B438&gt;=in_marketplace_from,d_hz_shop*G438,0)</f>
        <v/>
      </c>
      <c r="AX438" s="14">
        <f>F438*AW438*in_shop_ticket*in_shop_comm*in_ins_partner_share+F438*in_shop_ticket*in_shop_renew_comm*in_ins_partner_share*(in_shop_renew^1*SUMIFS(AW401:AW453,B401:B453,B438-12)+in_shop_renew^2*SUMIFS(AW401:AW453,B401:B453,B438-24)+in_shop_renew^3*SUMIFS(AW401:AW453,B401:B453,B438-36)+in_shop_renew^4*SUMIFS(AW401:AW453,B401:B453,B438-48))</f>
        <v/>
      </c>
      <c r="AY438" s="40">
        <f>AY437*(1-IF(B437&gt;=in_marketplace_from,d_hz_sip*G437,0))</f>
        <v/>
      </c>
      <c r="AZ438" s="40">
        <f>AZ437*d_rho_sip+AY438*IF(B438&gt;=in_marketplace_from,d_hz_sip*G438,0)</f>
        <v/>
      </c>
      <c r="BA438" s="40">
        <f>d_rho_sip*(BA437+AZ437)</f>
        <v/>
      </c>
      <c r="BB438" s="14">
        <f>F438*in_sip_ticket*(BA438+0.5*AZ438)*in_sip_comm/12</f>
        <v/>
      </c>
      <c r="BC438" s="40">
        <f>BC437*(1-IF(B437&gt;=in_marketplace_from,d_hz_choti*G437,0))</f>
        <v/>
      </c>
      <c r="BD438" s="46">
        <f>BC438*IF(B438&gt;=in_marketplace_from,d_hz_choti*G438,0)</f>
        <v/>
      </c>
      <c r="BE438" s="14">
        <f>F438*SUMIFS(BD401:BD453,B401:B453,B438-in_choti_months)*in_choti_renew*in_choti_ticket</f>
        <v/>
      </c>
      <c r="BF438" s="40">
        <f>BF437*(1-IF(B437&gt;=in_marketplace_from,d_hz_nps*G437,0))</f>
        <v/>
      </c>
      <c r="BG438" s="14">
        <f>F438*BF438*IF(B438&gt;=in_marketplace_from,d_hz_nps*G438,0)*in_nps_ticket*in_nps_comm</f>
        <v/>
      </c>
      <c r="BH438" s="40">
        <f>BH437*(1-IF(B437&gt;=in_marketplace_from,d_hz_gold*G437,0))</f>
        <v/>
      </c>
      <c r="BI438" s="40">
        <f>BI437*d_rho_gold+BH438*IF(B438&gt;=in_marketplace_from,d_hz_gold*G438,0)</f>
        <v/>
      </c>
      <c r="BJ438" s="14">
        <f>F438*BI438*in_gold_ticket*in_gold_comm</f>
        <v/>
      </c>
      <c r="BK438" s="40">
        <f>BK437*(1-IF(B437&gt;=in_marketplace_from,d_hz_fd*G437,0))</f>
        <v/>
      </c>
      <c r="BL438" s="14">
        <f>F438*BK438*IF(B438&gt;=in_marketplace_from,d_hz_fd*G438,0)*in_fd_ticket*in_fd_comm</f>
        <v/>
      </c>
      <c r="BM438" s="40">
        <f>BM437*(1-IF(B437&gt;=in_marketplace_from,d_hz_recharge*G437,0))</f>
        <v/>
      </c>
      <c r="BN438" s="40">
        <f>BN437*d_rho_recharge+BM438*IF(B438&gt;=in_marketplace_from,d_hz_recharge*G438,0)</f>
        <v/>
      </c>
      <c r="BO438" s="14">
        <f>F438*BN438*in_recharge_ticket*in_recharge_comm/12</f>
        <v/>
      </c>
      <c r="BP438" s="40">
        <f>BP437*(1-IF(B437&gt;=in_marketplace_from,d_hz_bills*G437,0))</f>
        <v/>
      </c>
      <c r="BQ438" s="40">
        <f>BQ437*d_rho_bills+BP438*IF(B438&gt;=in_marketplace_from,d_hz_bills*G438,0)</f>
        <v/>
      </c>
      <c r="BR438" s="14">
        <f>F438*BQ438*in_bills_ticket*in_bills_comm/12</f>
        <v/>
      </c>
      <c r="BS438" s="40">
        <f>BS437*(1-IF(B437&gt;=in_marketplace_from,d_hz_loan_gold*G437,0))</f>
        <v/>
      </c>
      <c r="BT438" s="14">
        <f>F438*BS438*IF(B438&gt;=in_marketplace_from,d_hz_loan_gold*G438,0)*in_loan_gold_ticket*in_loan_gold_comm</f>
        <v/>
      </c>
      <c r="BU438" s="40">
        <f>BU437*(1-IF(B437&gt;=in_marketplace_from,d_hz_loan_cd*G437,0))</f>
        <v/>
      </c>
      <c r="BV438" s="14">
        <f>F438*BU438*IF(B438&gt;=in_marketplace_from,d_hz_loan_cd*G438,0)*in_loan_cd_ticket*in_loan_cd_comm</f>
        <v/>
      </c>
      <c r="BW438" s="40">
        <f>BW437*(1-IF(B437&gt;=in_marketplace_from,d_hz_loan_vehicle*G437,0))</f>
        <v/>
      </c>
      <c r="BX438" s="14">
        <f>F438*BW438*IF(B438&gt;=in_marketplace_from,d_hz_loan_vehicle*G438,0)*in_loan_vehicle_ticket*in_loan_vehicle_comm</f>
        <v/>
      </c>
      <c r="BY438" s="40">
        <f>BY437*(1-IF(B437&gt;=in_marketplace_from,d_hz_loan_home*G437,0)*BZ437)</f>
        <v/>
      </c>
      <c r="BZ438" s="11">
        <f>MIN(in_approval_cap,in_loan_home_approval*INDEX('Age profile'!$O$2:$O$61,B438)*(1+in_approval_growth)^(D438-1))</f>
        <v/>
      </c>
      <c r="CA438" s="14">
        <f>F438*BY438*IF(B438&gt;=in_marketplace_from,d_hz_loan_home*G438,0)*BZ438*in_loan_home_ticket*in_loan_home_comm</f>
        <v/>
      </c>
      <c r="CB438" s="40">
        <f>CB437*(1-IF(B437&gt;=in_marketplace_from,d_hz_loan_lap*G437,0)*CC437)</f>
        <v/>
      </c>
      <c r="CC438" s="11">
        <f>MIN(in_approval_cap,in_loan_lap_approval*INDEX('Age profile'!$O$2:$O$61,B438)*(1+in_approval_growth)^(D438-1))</f>
        <v/>
      </c>
      <c r="CD438" s="14">
        <f>F438*CB438*IF(B438&gt;=in_marketplace_from,d_hz_loan_lap*G438,0)*CC438*in_loan_lap_ticket*in_loan_lap_comm</f>
        <v/>
      </c>
      <c r="CE438" s="14">
        <f>AA438+AB438+AC438+AD438+AG438+AJ438+AM438+AP438+AS438+AU438+AX438+BB438+BE438+BG438+BJ438+BL438+BO438+BR438+BT438+BV438+BX438+CA438+CD438</f>
        <v/>
      </c>
    </row>
    <row r="439">
      <c r="A439" s="39" t="n">
        <v>8</v>
      </c>
      <c r="B439" s="39" t="n">
        <v>39</v>
      </c>
      <c r="C439" s="39">
        <f>A439+B439-1</f>
        <v/>
      </c>
      <c r="D439" s="39">
        <f>INT((C439-1)/12)+1</f>
        <v/>
      </c>
      <c r="E439" s="44">
        <f>INDEX(Monthly!$B$2:$B$61,A439)</f>
        <v/>
      </c>
      <c r="F439" s="44">
        <f>E439*INDEX('Age profile'!$B$2:$B$61,B439)</f>
        <v/>
      </c>
      <c r="G439" s="45">
        <f>MIN(in_takeup_cap,INDEX('Age profile'!$N$2:$N$61,B439)*(1+in_takeup_growth)^(D439-1))</f>
        <v/>
      </c>
      <c r="H439" s="11">
        <f>MIN(in_approval_cap,in_approved_first*INDEX('Age profile'!$O$2:$O$61,B439)*(1+in_approval_growth)^(D439-1))</f>
        <v/>
      </c>
      <c r="I439" s="45">
        <f>G439*MIN(in_takeup_cap,INDEX('Age profile'!$O$2:$O$61,B439)*(1+in_approval_growth)^(D439-1))</f>
        <v/>
      </c>
      <c r="J439" s="40">
        <f>(J438-L438)*F439/F438</f>
        <v/>
      </c>
      <c r="K439" s="40">
        <f>(K438-M438)*F439/F438+SUMIFS(O401:O438,B401:B438,B439-1-d_T)*F439</f>
        <v/>
      </c>
      <c r="L439" s="40">
        <f>IF(B439&gt;=in_marketplace_from,J439*d_hz*G439*in_eligible*H439,0)</f>
        <v/>
      </c>
      <c r="M439" s="40">
        <f>IF(B439&gt;=in_marketplace_from,K439*d_hz*G439*in_eligible*in_approved_repeat,0)</f>
        <v/>
      </c>
      <c r="N439" s="40">
        <f>L439+M439</f>
        <v/>
      </c>
      <c r="O439" s="46">
        <f>N439/F439</f>
        <v/>
      </c>
      <c r="P439" s="40">
        <f>F439-J439-K439</f>
        <v/>
      </c>
      <c r="Q439" s="40">
        <f>IF(B439&gt;=in_marketplace_from,(J439+K439)*d_hz*G439,0)</f>
        <v/>
      </c>
      <c r="R439" s="40">
        <f>SUMIFS(N401:N453,B401:B453,"&gt;="&amp;(B439-d_T),B401:B453,"&lt;="&amp;(B439-1))</f>
        <v/>
      </c>
      <c r="S439" s="46">
        <f>(1-d_u)*S438+IF(d_T&gt;in_topup_lag,SUMIFS(O401:O453,B401:B453,B439-in_topup_lag)-d_udrop*SUMIFS(O401:O453,B401:B453,B439-d_T),0)</f>
        <v/>
      </c>
      <c r="T439" s="40">
        <f>F439*d_u*S439</f>
        <v/>
      </c>
      <c r="U439" s="9">
        <f>L439*in_ticket+M439*d_rep_ticket</f>
        <v/>
      </c>
      <c r="V439" s="9">
        <f>U439+T439*d_topup_amt</f>
        <v/>
      </c>
      <c r="W439" s="40">
        <f>N439+T439*d_topup_ratio</f>
        <v/>
      </c>
      <c r="X439" s="40">
        <f>SUMIFS(W401:W453,B401:B453,B439-in_dpd_lag)*d_cured</f>
        <v/>
      </c>
      <c r="Y439" s="40">
        <f>SUMIFS(W401:W453,B401:B453,B439-in_rec_lag)*d_recd</f>
        <v/>
      </c>
      <c r="Z439" s="40">
        <f>IF(AND(B439&gt;=in_marketplace_from,B439&lt;in_marketplace_from+in_card_months),in_card_share/in_card_months*F439*I439,IF(AND(B439&gt;=in_marketplace_from+in_card_months,B439&lt;in_marketplace_from+2*in_card_months),in_card_share*d_card_rem/in_card_months*F439*MIN(in_takeup_cap,(1+in_takeup_growth)^(D439-1))*MIN(in_takeup_cap,(1+in_approval_growth)^(D439-1)),0))</f>
        <v/>
      </c>
      <c r="AA439" s="14">
        <f>V439*in_fee*(1-in_taken_back)</f>
        <v/>
      </c>
      <c r="AB439" s="14">
        <f>SUMIFS(W401:W453,B401:B453,B439-in_dpd_lag)*d_dpd</f>
        <v/>
      </c>
      <c r="AC439" s="14">
        <f>SUMIFS(W401:W453,B401:B453,B439-in_rec_lag)*d_rec</f>
        <v/>
      </c>
      <c r="AD439" s="14">
        <f>Z439*in_card_fee</f>
        <v/>
      </c>
      <c r="AE439" s="40">
        <f>AE438*(1-IF(B438&gt;=in_marketplace_from,d_hz_hlth_small*G438,0))</f>
        <v/>
      </c>
      <c r="AF439" s="46">
        <f>AE439*IF(B439&gt;=in_marketplace_from,d_hz_hlth_small*G439,0)</f>
        <v/>
      </c>
      <c r="AG439" s="14">
        <f>F439*AF439*in_hlth_small_ticket*in_hlth_small_comm*in_ins_partner_share+F439*in_hlth_small_ticket*in_hlth_small_renew_comm*in_ins_partner_share*(in_hlth_small_renew^1*SUMIFS(AF401:AF453,B401:B453,B439-12)+in_hlth_small_renew^2*SUMIFS(AF401:AF453,B401:B453,B439-24)+in_hlth_small_renew^3*SUMIFS(AF401:AF453,B401:B453,B439-36)+in_hlth_small_renew^4*SUMIFS(AF401:AF453,B401:B453,B439-48))</f>
        <v/>
      </c>
      <c r="AH439" s="40">
        <f>AH438*(1-IF(B438&gt;=in_marketplace_from,d_hz_hlth_family*G438,0))</f>
        <v/>
      </c>
      <c r="AI439" s="46">
        <f>AH439*IF(B439&gt;=in_marketplace_from,d_hz_hlth_family*G439,0)</f>
        <v/>
      </c>
      <c r="AJ439" s="14">
        <f>F439*AI439*in_hlth_family_ticket*in_hlth_family_comm*in_ins_partner_share+F439*in_hlth_family_ticket*in_hlth_family_renew_comm*in_ins_partner_share*(in_hlth_family_renew^1*SUMIFS(AI401:AI453,B401:B453,B439-12)+in_hlth_family_renew^2*SUMIFS(AI401:AI453,B401:B453,B439-24)+in_hlth_family_renew^3*SUMIFS(AI401:AI453,B401:B453,B439-36)+in_hlth_family_renew^4*SUMIFS(AI401:AI453,B401:B453,B439-48))</f>
        <v/>
      </c>
      <c r="AK439" s="40">
        <f>AK438*(1-IF(B438&gt;=in_marketplace_from,d_hz_life_term*G438,0))</f>
        <v/>
      </c>
      <c r="AL439" s="46">
        <f>AK439*IF(B439&gt;=in_marketplace_from,d_hz_life_term*G439,0)</f>
        <v/>
      </c>
      <c r="AM439" s="14">
        <f>F439*AL439*in_life_term_ticket*in_life_term_comm*in_ins_partner_share+F439*in_life_term_ticket*in_life_term_renew_comm*in_ins_partner_share*(in_life_term_renew^1*SUMIFS(AL401:AL453,B401:B453,B439-12)+in_life_term_renew^2*SUMIFS(AL401:AL453,B401:B453,B439-24)+in_life_term_renew^3*SUMIFS(AL401:AL453,B401:B453,B439-36)+in_life_term_renew^4*SUMIFS(AL401:AL453,B401:B453,B439-48))</f>
        <v/>
      </c>
      <c r="AN439" s="40">
        <f>AN438*(1-IF(B438&gt;=in_marketplace_from,d_hz_accident*G438,0))</f>
        <v/>
      </c>
      <c r="AO439" s="46">
        <f>AN439*IF(B439&gt;=in_marketplace_from,d_hz_accident*G439,0)</f>
        <v/>
      </c>
      <c r="AP439" s="14">
        <f>F439*AO439*in_accident_ticket*in_accident_comm*in_ins_partner_share+F439*in_accident_ticket*in_accident_renew_comm*in_ins_partner_share*(in_accident_renew^1*SUMIFS(AO401:AO453,B401:B453,B439-12)+in_accident_renew^2*SUMIFS(AO401:AO453,B401:B453,B439-24)+in_accident_renew^3*SUMIFS(AO401:AO453,B401:B453,B439-36)+in_accident_renew^4*SUMIFS(AO401:AO453,B401:B453,B439-48))</f>
        <v/>
      </c>
      <c r="AQ439" s="40">
        <f>AQ438*(1-IF(B438&gt;=in_marketplace_from,d_hz_two_wheeler*G438,0))</f>
        <v/>
      </c>
      <c r="AR439" s="46">
        <f>AQ439*IF(B439&gt;=in_marketplace_from,d_hz_two_wheeler*G439,0)</f>
        <v/>
      </c>
      <c r="AS439" s="14">
        <f>F439*AR439*in_two_wheeler_ticket*in_two_wheeler_comm*in_ins_partner_share+F439*in_two_wheeler_ticket*in_two_wheeler_comm*in_ins_partner_share*(in_two_wheeler_renew^1*SUMIFS(AR401:AR453,B401:B453,B439-12)+in_two_wheeler_renew^2*SUMIFS(AR401:AR453,B401:B453,B439-24)+in_two_wheeler_renew^3*SUMIFS(AR401:AR453,B401:B453,B439-36)+in_two_wheeler_renew^4*SUMIFS(AR401:AR453,B401:B453,B439-48))</f>
        <v/>
      </c>
      <c r="AT439" s="40">
        <f>AT438*(1-IF(B438&gt;=in_marketplace_from,d_hz_device*G438,0))</f>
        <v/>
      </c>
      <c r="AU439" s="14">
        <f>F439*AT439*IF(B439&gt;=in_marketplace_from,d_hz_device*G439,0)*in_device_ticket*in_device_comm*in_ins_partner_share</f>
        <v/>
      </c>
      <c r="AV439" s="40">
        <f>AV438*(1-IF(B438&gt;=in_marketplace_from,d_hz_shop*G438,0))</f>
        <v/>
      </c>
      <c r="AW439" s="46">
        <f>AV439*IF(B439&gt;=in_marketplace_from,d_hz_shop*G439,0)</f>
        <v/>
      </c>
      <c r="AX439" s="14">
        <f>F439*AW439*in_shop_ticket*in_shop_comm*in_ins_partner_share+F439*in_shop_ticket*in_shop_renew_comm*in_ins_partner_share*(in_shop_renew^1*SUMIFS(AW401:AW453,B401:B453,B439-12)+in_shop_renew^2*SUMIFS(AW401:AW453,B401:B453,B439-24)+in_shop_renew^3*SUMIFS(AW401:AW453,B401:B453,B439-36)+in_shop_renew^4*SUMIFS(AW401:AW453,B401:B453,B439-48))</f>
        <v/>
      </c>
      <c r="AY439" s="40">
        <f>AY438*(1-IF(B438&gt;=in_marketplace_from,d_hz_sip*G438,0))</f>
        <v/>
      </c>
      <c r="AZ439" s="40">
        <f>AZ438*d_rho_sip+AY439*IF(B439&gt;=in_marketplace_from,d_hz_sip*G439,0)</f>
        <v/>
      </c>
      <c r="BA439" s="40">
        <f>d_rho_sip*(BA438+AZ438)</f>
        <v/>
      </c>
      <c r="BB439" s="14">
        <f>F439*in_sip_ticket*(BA439+0.5*AZ439)*in_sip_comm/12</f>
        <v/>
      </c>
      <c r="BC439" s="40">
        <f>BC438*(1-IF(B438&gt;=in_marketplace_from,d_hz_choti*G438,0))</f>
        <v/>
      </c>
      <c r="BD439" s="46">
        <f>BC439*IF(B439&gt;=in_marketplace_from,d_hz_choti*G439,0)</f>
        <v/>
      </c>
      <c r="BE439" s="14">
        <f>F439*SUMIFS(BD401:BD453,B401:B453,B439-in_choti_months)*in_choti_renew*in_choti_ticket</f>
        <v/>
      </c>
      <c r="BF439" s="40">
        <f>BF438*(1-IF(B438&gt;=in_marketplace_from,d_hz_nps*G438,0))</f>
        <v/>
      </c>
      <c r="BG439" s="14">
        <f>F439*BF439*IF(B439&gt;=in_marketplace_from,d_hz_nps*G439,0)*in_nps_ticket*in_nps_comm</f>
        <v/>
      </c>
      <c r="BH439" s="40">
        <f>BH438*(1-IF(B438&gt;=in_marketplace_from,d_hz_gold*G438,0))</f>
        <v/>
      </c>
      <c r="BI439" s="40">
        <f>BI438*d_rho_gold+BH439*IF(B439&gt;=in_marketplace_from,d_hz_gold*G439,0)</f>
        <v/>
      </c>
      <c r="BJ439" s="14">
        <f>F439*BI439*in_gold_ticket*in_gold_comm</f>
        <v/>
      </c>
      <c r="BK439" s="40">
        <f>BK438*(1-IF(B438&gt;=in_marketplace_from,d_hz_fd*G438,0))</f>
        <v/>
      </c>
      <c r="BL439" s="14">
        <f>F439*BK439*IF(B439&gt;=in_marketplace_from,d_hz_fd*G439,0)*in_fd_ticket*in_fd_comm</f>
        <v/>
      </c>
      <c r="BM439" s="40">
        <f>BM438*(1-IF(B438&gt;=in_marketplace_from,d_hz_recharge*G438,0))</f>
        <v/>
      </c>
      <c r="BN439" s="40">
        <f>BN438*d_rho_recharge+BM439*IF(B439&gt;=in_marketplace_from,d_hz_recharge*G439,0)</f>
        <v/>
      </c>
      <c r="BO439" s="14">
        <f>F439*BN439*in_recharge_ticket*in_recharge_comm/12</f>
        <v/>
      </c>
      <c r="BP439" s="40">
        <f>BP438*(1-IF(B438&gt;=in_marketplace_from,d_hz_bills*G438,0))</f>
        <v/>
      </c>
      <c r="BQ439" s="40">
        <f>BQ438*d_rho_bills+BP439*IF(B439&gt;=in_marketplace_from,d_hz_bills*G439,0)</f>
        <v/>
      </c>
      <c r="BR439" s="14">
        <f>F439*BQ439*in_bills_ticket*in_bills_comm/12</f>
        <v/>
      </c>
      <c r="BS439" s="40">
        <f>BS438*(1-IF(B438&gt;=in_marketplace_from,d_hz_loan_gold*G438,0))</f>
        <v/>
      </c>
      <c r="BT439" s="14">
        <f>F439*BS439*IF(B439&gt;=in_marketplace_from,d_hz_loan_gold*G439,0)*in_loan_gold_ticket*in_loan_gold_comm</f>
        <v/>
      </c>
      <c r="BU439" s="40">
        <f>BU438*(1-IF(B438&gt;=in_marketplace_from,d_hz_loan_cd*G438,0))</f>
        <v/>
      </c>
      <c r="BV439" s="14">
        <f>F439*BU439*IF(B439&gt;=in_marketplace_from,d_hz_loan_cd*G439,0)*in_loan_cd_ticket*in_loan_cd_comm</f>
        <v/>
      </c>
      <c r="BW439" s="40">
        <f>BW438*(1-IF(B438&gt;=in_marketplace_from,d_hz_loan_vehicle*G438,0))</f>
        <v/>
      </c>
      <c r="BX439" s="14">
        <f>F439*BW439*IF(B439&gt;=in_marketplace_from,d_hz_loan_vehicle*G439,0)*in_loan_vehicle_ticket*in_loan_vehicle_comm</f>
        <v/>
      </c>
      <c r="BY439" s="40">
        <f>BY438*(1-IF(B438&gt;=in_marketplace_from,d_hz_loan_home*G438,0)*BZ438)</f>
        <v/>
      </c>
      <c r="BZ439" s="11">
        <f>MIN(in_approval_cap,in_loan_home_approval*INDEX('Age profile'!$O$2:$O$61,B439)*(1+in_approval_growth)^(D439-1))</f>
        <v/>
      </c>
      <c r="CA439" s="14">
        <f>F439*BY439*IF(B439&gt;=in_marketplace_from,d_hz_loan_home*G439,0)*BZ439*in_loan_home_ticket*in_loan_home_comm</f>
        <v/>
      </c>
      <c r="CB439" s="40">
        <f>CB438*(1-IF(B438&gt;=in_marketplace_from,d_hz_loan_lap*G438,0)*CC438)</f>
        <v/>
      </c>
      <c r="CC439" s="11">
        <f>MIN(in_approval_cap,in_loan_lap_approval*INDEX('Age profile'!$O$2:$O$61,B439)*(1+in_approval_growth)^(D439-1))</f>
        <v/>
      </c>
      <c r="CD439" s="14">
        <f>F439*CB439*IF(B439&gt;=in_marketplace_from,d_hz_loan_lap*G439,0)*CC439*in_loan_lap_ticket*in_loan_lap_comm</f>
        <v/>
      </c>
      <c r="CE439" s="14">
        <f>AA439+AB439+AC439+AD439+AG439+AJ439+AM439+AP439+AS439+AU439+AX439+BB439+BE439+BG439+BJ439+BL439+BO439+BR439+BT439+BV439+BX439+CA439+CD439</f>
        <v/>
      </c>
    </row>
    <row r="440">
      <c r="A440" s="39" t="n">
        <v>8</v>
      </c>
      <c r="B440" s="39" t="n">
        <v>40</v>
      </c>
      <c r="C440" s="39">
        <f>A440+B440-1</f>
        <v/>
      </c>
      <c r="D440" s="39">
        <f>INT((C440-1)/12)+1</f>
        <v/>
      </c>
      <c r="E440" s="44">
        <f>INDEX(Monthly!$B$2:$B$61,A440)</f>
        <v/>
      </c>
      <c r="F440" s="44">
        <f>E440*INDEX('Age profile'!$B$2:$B$61,B440)</f>
        <v/>
      </c>
      <c r="G440" s="45">
        <f>MIN(in_takeup_cap,INDEX('Age profile'!$N$2:$N$61,B440)*(1+in_takeup_growth)^(D440-1))</f>
        <v/>
      </c>
      <c r="H440" s="11">
        <f>MIN(in_approval_cap,in_approved_first*INDEX('Age profile'!$O$2:$O$61,B440)*(1+in_approval_growth)^(D440-1))</f>
        <v/>
      </c>
      <c r="I440" s="45">
        <f>G440*MIN(in_takeup_cap,INDEX('Age profile'!$O$2:$O$61,B440)*(1+in_approval_growth)^(D440-1))</f>
        <v/>
      </c>
      <c r="J440" s="40">
        <f>(J439-L439)*F440/F439</f>
        <v/>
      </c>
      <c r="K440" s="40">
        <f>(K439-M439)*F440/F439+SUMIFS(O401:O439,B401:B439,B440-1-d_T)*F440</f>
        <v/>
      </c>
      <c r="L440" s="40">
        <f>IF(B440&gt;=in_marketplace_from,J440*d_hz*G440*in_eligible*H440,0)</f>
        <v/>
      </c>
      <c r="M440" s="40">
        <f>IF(B440&gt;=in_marketplace_from,K440*d_hz*G440*in_eligible*in_approved_repeat,0)</f>
        <v/>
      </c>
      <c r="N440" s="40">
        <f>L440+M440</f>
        <v/>
      </c>
      <c r="O440" s="46">
        <f>N440/F440</f>
        <v/>
      </c>
      <c r="P440" s="40">
        <f>F440-J440-K440</f>
        <v/>
      </c>
      <c r="Q440" s="40">
        <f>IF(B440&gt;=in_marketplace_from,(J440+K440)*d_hz*G440,0)</f>
        <v/>
      </c>
      <c r="R440" s="40">
        <f>SUMIFS(N401:N453,B401:B453,"&gt;="&amp;(B440-d_T),B401:B453,"&lt;="&amp;(B440-1))</f>
        <v/>
      </c>
      <c r="S440" s="46">
        <f>(1-d_u)*S439+IF(d_T&gt;in_topup_lag,SUMIFS(O401:O453,B401:B453,B440-in_topup_lag)-d_udrop*SUMIFS(O401:O453,B401:B453,B440-d_T),0)</f>
        <v/>
      </c>
      <c r="T440" s="40">
        <f>F440*d_u*S440</f>
        <v/>
      </c>
      <c r="U440" s="9">
        <f>L440*in_ticket+M440*d_rep_ticket</f>
        <v/>
      </c>
      <c r="V440" s="9">
        <f>U440+T440*d_topup_amt</f>
        <v/>
      </c>
      <c r="W440" s="40">
        <f>N440+T440*d_topup_ratio</f>
        <v/>
      </c>
      <c r="X440" s="40">
        <f>SUMIFS(W401:W453,B401:B453,B440-in_dpd_lag)*d_cured</f>
        <v/>
      </c>
      <c r="Y440" s="40">
        <f>SUMIFS(W401:W453,B401:B453,B440-in_rec_lag)*d_recd</f>
        <v/>
      </c>
      <c r="Z440" s="40">
        <f>IF(AND(B440&gt;=in_marketplace_from,B440&lt;in_marketplace_from+in_card_months),in_card_share/in_card_months*F440*I440,IF(AND(B440&gt;=in_marketplace_from+in_card_months,B440&lt;in_marketplace_from+2*in_card_months),in_card_share*d_card_rem/in_card_months*F440*MIN(in_takeup_cap,(1+in_takeup_growth)^(D440-1))*MIN(in_takeup_cap,(1+in_approval_growth)^(D440-1)),0))</f>
        <v/>
      </c>
      <c r="AA440" s="14">
        <f>V440*in_fee*(1-in_taken_back)</f>
        <v/>
      </c>
      <c r="AB440" s="14">
        <f>SUMIFS(W401:W453,B401:B453,B440-in_dpd_lag)*d_dpd</f>
        <v/>
      </c>
      <c r="AC440" s="14">
        <f>SUMIFS(W401:W453,B401:B453,B440-in_rec_lag)*d_rec</f>
        <v/>
      </c>
      <c r="AD440" s="14">
        <f>Z440*in_card_fee</f>
        <v/>
      </c>
      <c r="AE440" s="40">
        <f>AE439*(1-IF(B439&gt;=in_marketplace_from,d_hz_hlth_small*G439,0))</f>
        <v/>
      </c>
      <c r="AF440" s="46">
        <f>AE440*IF(B440&gt;=in_marketplace_from,d_hz_hlth_small*G440,0)</f>
        <v/>
      </c>
      <c r="AG440" s="14">
        <f>F440*AF440*in_hlth_small_ticket*in_hlth_small_comm*in_ins_partner_share+F440*in_hlth_small_ticket*in_hlth_small_renew_comm*in_ins_partner_share*(in_hlth_small_renew^1*SUMIFS(AF401:AF453,B401:B453,B440-12)+in_hlth_small_renew^2*SUMIFS(AF401:AF453,B401:B453,B440-24)+in_hlth_small_renew^3*SUMIFS(AF401:AF453,B401:B453,B440-36)+in_hlth_small_renew^4*SUMIFS(AF401:AF453,B401:B453,B440-48))</f>
        <v/>
      </c>
      <c r="AH440" s="40">
        <f>AH439*(1-IF(B439&gt;=in_marketplace_from,d_hz_hlth_family*G439,0))</f>
        <v/>
      </c>
      <c r="AI440" s="46">
        <f>AH440*IF(B440&gt;=in_marketplace_from,d_hz_hlth_family*G440,0)</f>
        <v/>
      </c>
      <c r="AJ440" s="14">
        <f>F440*AI440*in_hlth_family_ticket*in_hlth_family_comm*in_ins_partner_share+F440*in_hlth_family_ticket*in_hlth_family_renew_comm*in_ins_partner_share*(in_hlth_family_renew^1*SUMIFS(AI401:AI453,B401:B453,B440-12)+in_hlth_family_renew^2*SUMIFS(AI401:AI453,B401:B453,B440-24)+in_hlth_family_renew^3*SUMIFS(AI401:AI453,B401:B453,B440-36)+in_hlth_family_renew^4*SUMIFS(AI401:AI453,B401:B453,B440-48))</f>
        <v/>
      </c>
      <c r="AK440" s="40">
        <f>AK439*(1-IF(B439&gt;=in_marketplace_from,d_hz_life_term*G439,0))</f>
        <v/>
      </c>
      <c r="AL440" s="46">
        <f>AK440*IF(B440&gt;=in_marketplace_from,d_hz_life_term*G440,0)</f>
        <v/>
      </c>
      <c r="AM440" s="14">
        <f>F440*AL440*in_life_term_ticket*in_life_term_comm*in_ins_partner_share+F440*in_life_term_ticket*in_life_term_renew_comm*in_ins_partner_share*(in_life_term_renew^1*SUMIFS(AL401:AL453,B401:B453,B440-12)+in_life_term_renew^2*SUMIFS(AL401:AL453,B401:B453,B440-24)+in_life_term_renew^3*SUMIFS(AL401:AL453,B401:B453,B440-36)+in_life_term_renew^4*SUMIFS(AL401:AL453,B401:B453,B440-48))</f>
        <v/>
      </c>
      <c r="AN440" s="40">
        <f>AN439*(1-IF(B439&gt;=in_marketplace_from,d_hz_accident*G439,0))</f>
        <v/>
      </c>
      <c r="AO440" s="46">
        <f>AN440*IF(B440&gt;=in_marketplace_from,d_hz_accident*G440,0)</f>
        <v/>
      </c>
      <c r="AP440" s="14">
        <f>F440*AO440*in_accident_ticket*in_accident_comm*in_ins_partner_share+F440*in_accident_ticket*in_accident_renew_comm*in_ins_partner_share*(in_accident_renew^1*SUMIFS(AO401:AO453,B401:B453,B440-12)+in_accident_renew^2*SUMIFS(AO401:AO453,B401:B453,B440-24)+in_accident_renew^3*SUMIFS(AO401:AO453,B401:B453,B440-36)+in_accident_renew^4*SUMIFS(AO401:AO453,B401:B453,B440-48))</f>
        <v/>
      </c>
      <c r="AQ440" s="40">
        <f>AQ439*(1-IF(B439&gt;=in_marketplace_from,d_hz_two_wheeler*G439,0))</f>
        <v/>
      </c>
      <c r="AR440" s="46">
        <f>AQ440*IF(B440&gt;=in_marketplace_from,d_hz_two_wheeler*G440,0)</f>
        <v/>
      </c>
      <c r="AS440" s="14">
        <f>F440*AR440*in_two_wheeler_ticket*in_two_wheeler_comm*in_ins_partner_share+F440*in_two_wheeler_ticket*in_two_wheeler_comm*in_ins_partner_share*(in_two_wheeler_renew^1*SUMIFS(AR401:AR453,B401:B453,B440-12)+in_two_wheeler_renew^2*SUMIFS(AR401:AR453,B401:B453,B440-24)+in_two_wheeler_renew^3*SUMIFS(AR401:AR453,B401:B453,B440-36)+in_two_wheeler_renew^4*SUMIFS(AR401:AR453,B401:B453,B440-48))</f>
        <v/>
      </c>
      <c r="AT440" s="40">
        <f>AT439*(1-IF(B439&gt;=in_marketplace_from,d_hz_device*G439,0))</f>
        <v/>
      </c>
      <c r="AU440" s="14">
        <f>F440*AT440*IF(B440&gt;=in_marketplace_from,d_hz_device*G440,0)*in_device_ticket*in_device_comm*in_ins_partner_share</f>
        <v/>
      </c>
      <c r="AV440" s="40">
        <f>AV439*(1-IF(B439&gt;=in_marketplace_from,d_hz_shop*G439,0))</f>
        <v/>
      </c>
      <c r="AW440" s="46">
        <f>AV440*IF(B440&gt;=in_marketplace_from,d_hz_shop*G440,0)</f>
        <v/>
      </c>
      <c r="AX440" s="14">
        <f>F440*AW440*in_shop_ticket*in_shop_comm*in_ins_partner_share+F440*in_shop_ticket*in_shop_renew_comm*in_ins_partner_share*(in_shop_renew^1*SUMIFS(AW401:AW453,B401:B453,B440-12)+in_shop_renew^2*SUMIFS(AW401:AW453,B401:B453,B440-24)+in_shop_renew^3*SUMIFS(AW401:AW453,B401:B453,B440-36)+in_shop_renew^4*SUMIFS(AW401:AW453,B401:B453,B440-48))</f>
        <v/>
      </c>
      <c r="AY440" s="40">
        <f>AY439*(1-IF(B439&gt;=in_marketplace_from,d_hz_sip*G439,0))</f>
        <v/>
      </c>
      <c r="AZ440" s="40">
        <f>AZ439*d_rho_sip+AY440*IF(B440&gt;=in_marketplace_from,d_hz_sip*G440,0)</f>
        <v/>
      </c>
      <c r="BA440" s="40">
        <f>d_rho_sip*(BA439+AZ439)</f>
        <v/>
      </c>
      <c r="BB440" s="14">
        <f>F440*in_sip_ticket*(BA440+0.5*AZ440)*in_sip_comm/12</f>
        <v/>
      </c>
      <c r="BC440" s="40">
        <f>BC439*(1-IF(B439&gt;=in_marketplace_from,d_hz_choti*G439,0))</f>
        <v/>
      </c>
      <c r="BD440" s="46">
        <f>BC440*IF(B440&gt;=in_marketplace_from,d_hz_choti*G440,0)</f>
        <v/>
      </c>
      <c r="BE440" s="14">
        <f>F440*SUMIFS(BD401:BD453,B401:B453,B440-in_choti_months)*in_choti_renew*in_choti_ticket</f>
        <v/>
      </c>
      <c r="BF440" s="40">
        <f>BF439*(1-IF(B439&gt;=in_marketplace_from,d_hz_nps*G439,0))</f>
        <v/>
      </c>
      <c r="BG440" s="14">
        <f>F440*BF440*IF(B440&gt;=in_marketplace_from,d_hz_nps*G440,0)*in_nps_ticket*in_nps_comm</f>
        <v/>
      </c>
      <c r="BH440" s="40">
        <f>BH439*(1-IF(B439&gt;=in_marketplace_from,d_hz_gold*G439,0))</f>
        <v/>
      </c>
      <c r="BI440" s="40">
        <f>BI439*d_rho_gold+BH440*IF(B440&gt;=in_marketplace_from,d_hz_gold*G440,0)</f>
        <v/>
      </c>
      <c r="BJ440" s="14">
        <f>F440*BI440*in_gold_ticket*in_gold_comm</f>
        <v/>
      </c>
      <c r="BK440" s="40">
        <f>BK439*(1-IF(B439&gt;=in_marketplace_from,d_hz_fd*G439,0))</f>
        <v/>
      </c>
      <c r="BL440" s="14">
        <f>F440*BK440*IF(B440&gt;=in_marketplace_from,d_hz_fd*G440,0)*in_fd_ticket*in_fd_comm</f>
        <v/>
      </c>
      <c r="BM440" s="40">
        <f>BM439*(1-IF(B439&gt;=in_marketplace_from,d_hz_recharge*G439,0))</f>
        <v/>
      </c>
      <c r="BN440" s="40">
        <f>BN439*d_rho_recharge+BM440*IF(B440&gt;=in_marketplace_from,d_hz_recharge*G440,0)</f>
        <v/>
      </c>
      <c r="BO440" s="14">
        <f>F440*BN440*in_recharge_ticket*in_recharge_comm/12</f>
        <v/>
      </c>
      <c r="BP440" s="40">
        <f>BP439*(1-IF(B439&gt;=in_marketplace_from,d_hz_bills*G439,0))</f>
        <v/>
      </c>
      <c r="BQ440" s="40">
        <f>BQ439*d_rho_bills+BP440*IF(B440&gt;=in_marketplace_from,d_hz_bills*G440,0)</f>
        <v/>
      </c>
      <c r="BR440" s="14">
        <f>F440*BQ440*in_bills_ticket*in_bills_comm/12</f>
        <v/>
      </c>
      <c r="BS440" s="40">
        <f>BS439*(1-IF(B439&gt;=in_marketplace_from,d_hz_loan_gold*G439,0))</f>
        <v/>
      </c>
      <c r="BT440" s="14">
        <f>F440*BS440*IF(B440&gt;=in_marketplace_from,d_hz_loan_gold*G440,0)*in_loan_gold_ticket*in_loan_gold_comm</f>
        <v/>
      </c>
      <c r="BU440" s="40">
        <f>BU439*(1-IF(B439&gt;=in_marketplace_from,d_hz_loan_cd*G439,0))</f>
        <v/>
      </c>
      <c r="BV440" s="14">
        <f>F440*BU440*IF(B440&gt;=in_marketplace_from,d_hz_loan_cd*G440,0)*in_loan_cd_ticket*in_loan_cd_comm</f>
        <v/>
      </c>
      <c r="BW440" s="40">
        <f>BW439*(1-IF(B439&gt;=in_marketplace_from,d_hz_loan_vehicle*G439,0))</f>
        <v/>
      </c>
      <c r="BX440" s="14">
        <f>F440*BW440*IF(B440&gt;=in_marketplace_from,d_hz_loan_vehicle*G440,0)*in_loan_vehicle_ticket*in_loan_vehicle_comm</f>
        <v/>
      </c>
      <c r="BY440" s="40">
        <f>BY439*(1-IF(B439&gt;=in_marketplace_from,d_hz_loan_home*G439,0)*BZ439)</f>
        <v/>
      </c>
      <c r="BZ440" s="11">
        <f>MIN(in_approval_cap,in_loan_home_approval*INDEX('Age profile'!$O$2:$O$61,B440)*(1+in_approval_growth)^(D440-1))</f>
        <v/>
      </c>
      <c r="CA440" s="14">
        <f>F440*BY440*IF(B440&gt;=in_marketplace_from,d_hz_loan_home*G440,0)*BZ440*in_loan_home_ticket*in_loan_home_comm</f>
        <v/>
      </c>
      <c r="CB440" s="40">
        <f>CB439*(1-IF(B439&gt;=in_marketplace_from,d_hz_loan_lap*G439,0)*CC439)</f>
        <v/>
      </c>
      <c r="CC440" s="11">
        <f>MIN(in_approval_cap,in_loan_lap_approval*INDEX('Age profile'!$O$2:$O$61,B440)*(1+in_approval_growth)^(D440-1))</f>
        <v/>
      </c>
      <c r="CD440" s="14">
        <f>F440*CB440*IF(B440&gt;=in_marketplace_from,d_hz_loan_lap*G440,0)*CC440*in_loan_lap_ticket*in_loan_lap_comm</f>
        <v/>
      </c>
      <c r="CE440" s="14">
        <f>AA440+AB440+AC440+AD440+AG440+AJ440+AM440+AP440+AS440+AU440+AX440+BB440+BE440+BG440+BJ440+BL440+BO440+BR440+BT440+BV440+BX440+CA440+CD440</f>
        <v/>
      </c>
    </row>
    <row r="441">
      <c r="A441" s="39" t="n">
        <v>8</v>
      </c>
      <c r="B441" s="39" t="n">
        <v>41</v>
      </c>
      <c r="C441" s="39">
        <f>A441+B441-1</f>
        <v/>
      </c>
      <c r="D441" s="39">
        <f>INT((C441-1)/12)+1</f>
        <v/>
      </c>
      <c r="E441" s="44">
        <f>INDEX(Monthly!$B$2:$B$61,A441)</f>
        <v/>
      </c>
      <c r="F441" s="44">
        <f>E441*INDEX('Age profile'!$B$2:$B$61,B441)</f>
        <v/>
      </c>
      <c r="G441" s="45">
        <f>MIN(in_takeup_cap,INDEX('Age profile'!$N$2:$N$61,B441)*(1+in_takeup_growth)^(D441-1))</f>
        <v/>
      </c>
      <c r="H441" s="11">
        <f>MIN(in_approval_cap,in_approved_first*INDEX('Age profile'!$O$2:$O$61,B441)*(1+in_approval_growth)^(D441-1))</f>
        <v/>
      </c>
      <c r="I441" s="45">
        <f>G441*MIN(in_takeup_cap,INDEX('Age profile'!$O$2:$O$61,B441)*(1+in_approval_growth)^(D441-1))</f>
        <v/>
      </c>
      <c r="J441" s="40">
        <f>(J440-L440)*F441/F440</f>
        <v/>
      </c>
      <c r="K441" s="40">
        <f>(K440-M440)*F441/F440+SUMIFS(O401:O440,B401:B440,B441-1-d_T)*F441</f>
        <v/>
      </c>
      <c r="L441" s="40">
        <f>IF(B441&gt;=in_marketplace_from,J441*d_hz*G441*in_eligible*H441,0)</f>
        <v/>
      </c>
      <c r="M441" s="40">
        <f>IF(B441&gt;=in_marketplace_from,K441*d_hz*G441*in_eligible*in_approved_repeat,0)</f>
        <v/>
      </c>
      <c r="N441" s="40">
        <f>L441+M441</f>
        <v/>
      </c>
      <c r="O441" s="46">
        <f>N441/F441</f>
        <v/>
      </c>
      <c r="P441" s="40">
        <f>F441-J441-K441</f>
        <v/>
      </c>
      <c r="Q441" s="40">
        <f>IF(B441&gt;=in_marketplace_from,(J441+K441)*d_hz*G441,0)</f>
        <v/>
      </c>
      <c r="R441" s="40">
        <f>SUMIFS(N401:N453,B401:B453,"&gt;="&amp;(B441-d_T),B401:B453,"&lt;="&amp;(B441-1))</f>
        <v/>
      </c>
      <c r="S441" s="46">
        <f>(1-d_u)*S440+IF(d_T&gt;in_topup_lag,SUMIFS(O401:O453,B401:B453,B441-in_topup_lag)-d_udrop*SUMIFS(O401:O453,B401:B453,B441-d_T),0)</f>
        <v/>
      </c>
      <c r="T441" s="40">
        <f>F441*d_u*S441</f>
        <v/>
      </c>
      <c r="U441" s="9">
        <f>L441*in_ticket+M441*d_rep_ticket</f>
        <v/>
      </c>
      <c r="V441" s="9">
        <f>U441+T441*d_topup_amt</f>
        <v/>
      </c>
      <c r="W441" s="40">
        <f>N441+T441*d_topup_ratio</f>
        <v/>
      </c>
      <c r="X441" s="40">
        <f>SUMIFS(W401:W453,B401:B453,B441-in_dpd_lag)*d_cured</f>
        <v/>
      </c>
      <c r="Y441" s="40">
        <f>SUMIFS(W401:W453,B401:B453,B441-in_rec_lag)*d_recd</f>
        <v/>
      </c>
      <c r="Z441" s="40">
        <f>IF(AND(B441&gt;=in_marketplace_from,B441&lt;in_marketplace_from+in_card_months),in_card_share/in_card_months*F441*I441,IF(AND(B441&gt;=in_marketplace_from+in_card_months,B441&lt;in_marketplace_from+2*in_card_months),in_card_share*d_card_rem/in_card_months*F441*MIN(in_takeup_cap,(1+in_takeup_growth)^(D441-1))*MIN(in_takeup_cap,(1+in_approval_growth)^(D441-1)),0))</f>
        <v/>
      </c>
      <c r="AA441" s="14">
        <f>V441*in_fee*(1-in_taken_back)</f>
        <v/>
      </c>
      <c r="AB441" s="14">
        <f>SUMIFS(W401:W453,B401:B453,B441-in_dpd_lag)*d_dpd</f>
        <v/>
      </c>
      <c r="AC441" s="14">
        <f>SUMIFS(W401:W453,B401:B453,B441-in_rec_lag)*d_rec</f>
        <v/>
      </c>
      <c r="AD441" s="14">
        <f>Z441*in_card_fee</f>
        <v/>
      </c>
      <c r="AE441" s="40">
        <f>AE440*(1-IF(B440&gt;=in_marketplace_from,d_hz_hlth_small*G440,0))</f>
        <v/>
      </c>
      <c r="AF441" s="46">
        <f>AE441*IF(B441&gt;=in_marketplace_from,d_hz_hlth_small*G441,0)</f>
        <v/>
      </c>
      <c r="AG441" s="14">
        <f>F441*AF441*in_hlth_small_ticket*in_hlth_small_comm*in_ins_partner_share+F441*in_hlth_small_ticket*in_hlth_small_renew_comm*in_ins_partner_share*(in_hlth_small_renew^1*SUMIFS(AF401:AF453,B401:B453,B441-12)+in_hlth_small_renew^2*SUMIFS(AF401:AF453,B401:B453,B441-24)+in_hlth_small_renew^3*SUMIFS(AF401:AF453,B401:B453,B441-36)+in_hlth_small_renew^4*SUMIFS(AF401:AF453,B401:B453,B441-48))</f>
        <v/>
      </c>
      <c r="AH441" s="40">
        <f>AH440*(1-IF(B440&gt;=in_marketplace_from,d_hz_hlth_family*G440,0))</f>
        <v/>
      </c>
      <c r="AI441" s="46">
        <f>AH441*IF(B441&gt;=in_marketplace_from,d_hz_hlth_family*G441,0)</f>
        <v/>
      </c>
      <c r="AJ441" s="14">
        <f>F441*AI441*in_hlth_family_ticket*in_hlth_family_comm*in_ins_partner_share+F441*in_hlth_family_ticket*in_hlth_family_renew_comm*in_ins_partner_share*(in_hlth_family_renew^1*SUMIFS(AI401:AI453,B401:B453,B441-12)+in_hlth_family_renew^2*SUMIFS(AI401:AI453,B401:B453,B441-24)+in_hlth_family_renew^3*SUMIFS(AI401:AI453,B401:B453,B441-36)+in_hlth_family_renew^4*SUMIFS(AI401:AI453,B401:B453,B441-48))</f>
        <v/>
      </c>
      <c r="AK441" s="40">
        <f>AK440*(1-IF(B440&gt;=in_marketplace_from,d_hz_life_term*G440,0))</f>
        <v/>
      </c>
      <c r="AL441" s="46">
        <f>AK441*IF(B441&gt;=in_marketplace_from,d_hz_life_term*G441,0)</f>
        <v/>
      </c>
      <c r="AM441" s="14">
        <f>F441*AL441*in_life_term_ticket*in_life_term_comm*in_ins_partner_share+F441*in_life_term_ticket*in_life_term_renew_comm*in_ins_partner_share*(in_life_term_renew^1*SUMIFS(AL401:AL453,B401:B453,B441-12)+in_life_term_renew^2*SUMIFS(AL401:AL453,B401:B453,B441-24)+in_life_term_renew^3*SUMIFS(AL401:AL453,B401:B453,B441-36)+in_life_term_renew^4*SUMIFS(AL401:AL453,B401:B453,B441-48))</f>
        <v/>
      </c>
      <c r="AN441" s="40">
        <f>AN440*(1-IF(B440&gt;=in_marketplace_from,d_hz_accident*G440,0))</f>
        <v/>
      </c>
      <c r="AO441" s="46">
        <f>AN441*IF(B441&gt;=in_marketplace_from,d_hz_accident*G441,0)</f>
        <v/>
      </c>
      <c r="AP441" s="14">
        <f>F441*AO441*in_accident_ticket*in_accident_comm*in_ins_partner_share+F441*in_accident_ticket*in_accident_renew_comm*in_ins_partner_share*(in_accident_renew^1*SUMIFS(AO401:AO453,B401:B453,B441-12)+in_accident_renew^2*SUMIFS(AO401:AO453,B401:B453,B441-24)+in_accident_renew^3*SUMIFS(AO401:AO453,B401:B453,B441-36)+in_accident_renew^4*SUMIFS(AO401:AO453,B401:B453,B441-48))</f>
        <v/>
      </c>
      <c r="AQ441" s="40">
        <f>AQ440*(1-IF(B440&gt;=in_marketplace_from,d_hz_two_wheeler*G440,0))</f>
        <v/>
      </c>
      <c r="AR441" s="46">
        <f>AQ441*IF(B441&gt;=in_marketplace_from,d_hz_two_wheeler*G441,0)</f>
        <v/>
      </c>
      <c r="AS441" s="14">
        <f>F441*AR441*in_two_wheeler_ticket*in_two_wheeler_comm*in_ins_partner_share+F441*in_two_wheeler_ticket*in_two_wheeler_comm*in_ins_partner_share*(in_two_wheeler_renew^1*SUMIFS(AR401:AR453,B401:B453,B441-12)+in_two_wheeler_renew^2*SUMIFS(AR401:AR453,B401:B453,B441-24)+in_two_wheeler_renew^3*SUMIFS(AR401:AR453,B401:B453,B441-36)+in_two_wheeler_renew^4*SUMIFS(AR401:AR453,B401:B453,B441-48))</f>
        <v/>
      </c>
      <c r="AT441" s="40">
        <f>AT440*(1-IF(B440&gt;=in_marketplace_from,d_hz_device*G440,0))</f>
        <v/>
      </c>
      <c r="AU441" s="14">
        <f>F441*AT441*IF(B441&gt;=in_marketplace_from,d_hz_device*G441,0)*in_device_ticket*in_device_comm*in_ins_partner_share</f>
        <v/>
      </c>
      <c r="AV441" s="40">
        <f>AV440*(1-IF(B440&gt;=in_marketplace_from,d_hz_shop*G440,0))</f>
        <v/>
      </c>
      <c r="AW441" s="46">
        <f>AV441*IF(B441&gt;=in_marketplace_from,d_hz_shop*G441,0)</f>
        <v/>
      </c>
      <c r="AX441" s="14">
        <f>F441*AW441*in_shop_ticket*in_shop_comm*in_ins_partner_share+F441*in_shop_ticket*in_shop_renew_comm*in_ins_partner_share*(in_shop_renew^1*SUMIFS(AW401:AW453,B401:B453,B441-12)+in_shop_renew^2*SUMIFS(AW401:AW453,B401:B453,B441-24)+in_shop_renew^3*SUMIFS(AW401:AW453,B401:B453,B441-36)+in_shop_renew^4*SUMIFS(AW401:AW453,B401:B453,B441-48))</f>
        <v/>
      </c>
      <c r="AY441" s="40">
        <f>AY440*(1-IF(B440&gt;=in_marketplace_from,d_hz_sip*G440,0))</f>
        <v/>
      </c>
      <c r="AZ441" s="40">
        <f>AZ440*d_rho_sip+AY441*IF(B441&gt;=in_marketplace_from,d_hz_sip*G441,0)</f>
        <v/>
      </c>
      <c r="BA441" s="40">
        <f>d_rho_sip*(BA440+AZ440)</f>
        <v/>
      </c>
      <c r="BB441" s="14">
        <f>F441*in_sip_ticket*(BA441+0.5*AZ441)*in_sip_comm/12</f>
        <v/>
      </c>
      <c r="BC441" s="40">
        <f>BC440*(1-IF(B440&gt;=in_marketplace_from,d_hz_choti*G440,0))</f>
        <v/>
      </c>
      <c r="BD441" s="46">
        <f>BC441*IF(B441&gt;=in_marketplace_from,d_hz_choti*G441,0)</f>
        <v/>
      </c>
      <c r="BE441" s="14">
        <f>F441*SUMIFS(BD401:BD453,B401:B453,B441-in_choti_months)*in_choti_renew*in_choti_ticket</f>
        <v/>
      </c>
      <c r="BF441" s="40">
        <f>BF440*(1-IF(B440&gt;=in_marketplace_from,d_hz_nps*G440,0))</f>
        <v/>
      </c>
      <c r="BG441" s="14">
        <f>F441*BF441*IF(B441&gt;=in_marketplace_from,d_hz_nps*G441,0)*in_nps_ticket*in_nps_comm</f>
        <v/>
      </c>
      <c r="BH441" s="40">
        <f>BH440*(1-IF(B440&gt;=in_marketplace_from,d_hz_gold*G440,0))</f>
        <v/>
      </c>
      <c r="BI441" s="40">
        <f>BI440*d_rho_gold+BH441*IF(B441&gt;=in_marketplace_from,d_hz_gold*G441,0)</f>
        <v/>
      </c>
      <c r="BJ441" s="14">
        <f>F441*BI441*in_gold_ticket*in_gold_comm</f>
        <v/>
      </c>
      <c r="BK441" s="40">
        <f>BK440*(1-IF(B440&gt;=in_marketplace_from,d_hz_fd*G440,0))</f>
        <v/>
      </c>
      <c r="BL441" s="14">
        <f>F441*BK441*IF(B441&gt;=in_marketplace_from,d_hz_fd*G441,0)*in_fd_ticket*in_fd_comm</f>
        <v/>
      </c>
      <c r="BM441" s="40">
        <f>BM440*(1-IF(B440&gt;=in_marketplace_from,d_hz_recharge*G440,0))</f>
        <v/>
      </c>
      <c r="BN441" s="40">
        <f>BN440*d_rho_recharge+BM441*IF(B441&gt;=in_marketplace_from,d_hz_recharge*G441,0)</f>
        <v/>
      </c>
      <c r="BO441" s="14">
        <f>F441*BN441*in_recharge_ticket*in_recharge_comm/12</f>
        <v/>
      </c>
      <c r="BP441" s="40">
        <f>BP440*(1-IF(B440&gt;=in_marketplace_from,d_hz_bills*G440,0))</f>
        <v/>
      </c>
      <c r="BQ441" s="40">
        <f>BQ440*d_rho_bills+BP441*IF(B441&gt;=in_marketplace_from,d_hz_bills*G441,0)</f>
        <v/>
      </c>
      <c r="BR441" s="14">
        <f>F441*BQ441*in_bills_ticket*in_bills_comm/12</f>
        <v/>
      </c>
      <c r="BS441" s="40">
        <f>BS440*(1-IF(B440&gt;=in_marketplace_from,d_hz_loan_gold*G440,0))</f>
        <v/>
      </c>
      <c r="BT441" s="14">
        <f>F441*BS441*IF(B441&gt;=in_marketplace_from,d_hz_loan_gold*G441,0)*in_loan_gold_ticket*in_loan_gold_comm</f>
        <v/>
      </c>
      <c r="BU441" s="40">
        <f>BU440*(1-IF(B440&gt;=in_marketplace_from,d_hz_loan_cd*G440,0))</f>
        <v/>
      </c>
      <c r="BV441" s="14">
        <f>F441*BU441*IF(B441&gt;=in_marketplace_from,d_hz_loan_cd*G441,0)*in_loan_cd_ticket*in_loan_cd_comm</f>
        <v/>
      </c>
      <c r="BW441" s="40">
        <f>BW440*(1-IF(B440&gt;=in_marketplace_from,d_hz_loan_vehicle*G440,0))</f>
        <v/>
      </c>
      <c r="BX441" s="14">
        <f>F441*BW441*IF(B441&gt;=in_marketplace_from,d_hz_loan_vehicle*G441,0)*in_loan_vehicle_ticket*in_loan_vehicle_comm</f>
        <v/>
      </c>
      <c r="BY441" s="40">
        <f>BY440*(1-IF(B440&gt;=in_marketplace_from,d_hz_loan_home*G440,0)*BZ440)</f>
        <v/>
      </c>
      <c r="BZ441" s="11">
        <f>MIN(in_approval_cap,in_loan_home_approval*INDEX('Age profile'!$O$2:$O$61,B441)*(1+in_approval_growth)^(D441-1))</f>
        <v/>
      </c>
      <c r="CA441" s="14">
        <f>F441*BY441*IF(B441&gt;=in_marketplace_from,d_hz_loan_home*G441,0)*BZ441*in_loan_home_ticket*in_loan_home_comm</f>
        <v/>
      </c>
      <c r="CB441" s="40">
        <f>CB440*(1-IF(B440&gt;=in_marketplace_from,d_hz_loan_lap*G440,0)*CC440)</f>
        <v/>
      </c>
      <c r="CC441" s="11">
        <f>MIN(in_approval_cap,in_loan_lap_approval*INDEX('Age profile'!$O$2:$O$61,B441)*(1+in_approval_growth)^(D441-1))</f>
        <v/>
      </c>
      <c r="CD441" s="14">
        <f>F441*CB441*IF(B441&gt;=in_marketplace_from,d_hz_loan_lap*G441,0)*CC441*in_loan_lap_ticket*in_loan_lap_comm</f>
        <v/>
      </c>
      <c r="CE441" s="14">
        <f>AA441+AB441+AC441+AD441+AG441+AJ441+AM441+AP441+AS441+AU441+AX441+BB441+BE441+BG441+BJ441+BL441+BO441+BR441+BT441+BV441+BX441+CA441+CD441</f>
        <v/>
      </c>
    </row>
    <row r="442">
      <c r="A442" s="39" t="n">
        <v>8</v>
      </c>
      <c r="B442" s="39" t="n">
        <v>42</v>
      </c>
      <c r="C442" s="39">
        <f>A442+B442-1</f>
        <v/>
      </c>
      <c r="D442" s="39">
        <f>INT((C442-1)/12)+1</f>
        <v/>
      </c>
      <c r="E442" s="44">
        <f>INDEX(Monthly!$B$2:$B$61,A442)</f>
        <v/>
      </c>
      <c r="F442" s="44">
        <f>E442*INDEX('Age profile'!$B$2:$B$61,B442)</f>
        <v/>
      </c>
      <c r="G442" s="45">
        <f>MIN(in_takeup_cap,INDEX('Age profile'!$N$2:$N$61,B442)*(1+in_takeup_growth)^(D442-1))</f>
        <v/>
      </c>
      <c r="H442" s="11">
        <f>MIN(in_approval_cap,in_approved_first*INDEX('Age profile'!$O$2:$O$61,B442)*(1+in_approval_growth)^(D442-1))</f>
        <v/>
      </c>
      <c r="I442" s="45">
        <f>G442*MIN(in_takeup_cap,INDEX('Age profile'!$O$2:$O$61,B442)*(1+in_approval_growth)^(D442-1))</f>
        <v/>
      </c>
      <c r="J442" s="40">
        <f>(J441-L441)*F442/F441</f>
        <v/>
      </c>
      <c r="K442" s="40">
        <f>(K441-M441)*F442/F441+SUMIFS(O401:O441,B401:B441,B442-1-d_T)*F442</f>
        <v/>
      </c>
      <c r="L442" s="40">
        <f>IF(B442&gt;=in_marketplace_from,J442*d_hz*G442*in_eligible*H442,0)</f>
        <v/>
      </c>
      <c r="M442" s="40">
        <f>IF(B442&gt;=in_marketplace_from,K442*d_hz*G442*in_eligible*in_approved_repeat,0)</f>
        <v/>
      </c>
      <c r="N442" s="40">
        <f>L442+M442</f>
        <v/>
      </c>
      <c r="O442" s="46">
        <f>N442/F442</f>
        <v/>
      </c>
      <c r="P442" s="40">
        <f>F442-J442-K442</f>
        <v/>
      </c>
      <c r="Q442" s="40">
        <f>IF(B442&gt;=in_marketplace_from,(J442+K442)*d_hz*G442,0)</f>
        <v/>
      </c>
      <c r="R442" s="40">
        <f>SUMIFS(N401:N453,B401:B453,"&gt;="&amp;(B442-d_T),B401:B453,"&lt;="&amp;(B442-1))</f>
        <v/>
      </c>
      <c r="S442" s="46">
        <f>(1-d_u)*S441+IF(d_T&gt;in_topup_lag,SUMIFS(O401:O453,B401:B453,B442-in_topup_lag)-d_udrop*SUMIFS(O401:O453,B401:B453,B442-d_T),0)</f>
        <v/>
      </c>
      <c r="T442" s="40">
        <f>F442*d_u*S442</f>
        <v/>
      </c>
      <c r="U442" s="9">
        <f>L442*in_ticket+M442*d_rep_ticket</f>
        <v/>
      </c>
      <c r="V442" s="9">
        <f>U442+T442*d_topup_amt</f>
        <v/>
      </c>
      <c r="W442" s="40">
        <f>N442+T442*d_topup_ratio</f>
        <v/>
      </c>
      <c r="X442" s="40">
        <f>SUMIFS(W401:W453,B401:B453,B442-in_dpd_lag)*d_cured</f>
        <v/>
      </c>
      <c r="Y442" s="40">
        <f>SUMIFS(W401:W453,B401:B453,B442-in_rec_lag)*d_recd</f>
        <v/>
      </c>
      <c r="Z442" s="40">
        <f>IF(AND(B442&gt;=in_marketplace_from,B442&lt;in_marketplace_from+in_card_months),in_card_share/in_card_months*F442*I442,IF(AND(B442&gt;=in_marketplace_from+in_card_months,B442&lt;in_marketplace_from+2*in_card_months),in_card_share*d_card_rem/in_card_months*F442*MIN(in_takeup_cap,(1+in_takeup_growth)^(D442-1))*MIN(in_takeup_cap,(1+in_approval_growth)^(D442-1)),0))</f>
        <v/>
      </c>
      <c r="AA442" s="14">
        <f>V442*in_fee*(1-in_taken_back)</f>
        <v/>
      </c>
      <c r="AB442" s="14">
        <f>SUMIFS(W401:W453,B401:B453,B442-in_dpd_lag)*d_dpd</f>
        <v/>
      </c>
      <c r="AC442" s="14">
        <f>SUMIFS(W401:W453,B401:B453,B442-in_rec_lag)*d_rec</f>
        <v/>
      </c>
      <c r="AD442" s="14">
        <f>Z442*in_card_fee</f>
        <v/>
      </c>
      <c r="AE442" s="40">
        <f>AE441*(1-IF(B441&gt;=in_marketplace_from,d_hz_hlth_small*G441,0))</f>
        <v/>
      </c>
      <c r="AF442" s="46">
        <f>AE442*IF(B442&gt;=in_marketplace_from,d_hz_hlth_small*G442,0)</f>
        <v/>
      </c>
      <c r="AG442" s="14">
        <f>F442*AF442*in_hlth_small_ticket*in_hlth_small_comm*in_ins_partner_share+F442*in_hlth_small_ticket*in_hlth_small_renew_comm*in_ins_partner_share*(in_hlth_small_renew^1*SUMIFS(AF401:AF453,B401:B453,B442-12)+in_hlth_small_renew^2*SUMIFS(AF401:AF453,B401:B453,B442-24)+in_hlth_small_renew^3*SUMIFS(AF401:AF453,B401:B453,B442-36)+in_hlth_small_renew^4*SUMIFS(AF401:AF453,B401:B453,B442-48))</f>
        <v/>
      </c>
      <c r="AH442" s="40">
        <f>AH441*(1-IF(B441&gt;=in_marketplace_from,d_hz_hlth_family*G441,0))</f>
        <v/>
      </c>
      <c r="AI442" s="46">
        <f>AH442*IF(B442&gt;=in_marketplace_from,d_hz_hlth_family*G442,0)</f>
        <v/>
      </c>
      <c r="AJ442" s="14">
        <f>F442*AI442*in_hlth_family_ticket*in_hlth_family_comm*in_ins_partner_share+F442*in_hlth_family_ticket*in_hlth_family_renew_comm*in_ins_partner_share*(in_hlth_family_renew^1*SUMIFS(AI401:AI453,B401:B453,B442-12)+in_hlth_family_renew^2*SUMIFS(AI401:AI453,B401:B453,B442-24)+in_hlth_family_renew^3*SUMIFS(AI401:AI453,B401:B453,B442-36)+in_hlth_family_renew^4*SUMIFS(AI401:AI453,B401:B453,B442-48))</f>
        <v/>
      </c>
      <c r="AK442" s="40">
        <f>AK441*(1-IF(B441&gt;=in_marketplace_from,d_hz_life_term*G441,0))</f>
        <v/>
      </c>
      <c r="AL442" s="46">
        <f>AK442*IF(B442&gt;=in_marketplace_from,d_hz_life_term*G442,0)</f>
        <v/>
      </c>
      <c r="AM442" s="14">
        <f>F442*AL442*in_life_term_ticket*in_life_term_comm*in_ins_partner_share+F442*in_life_term_ticket*in_life_term_renew_comm*in_ins_partner_share*(in_life_term_renew^1*SUMIFS(AL401:AL453,B401:B453,B442-12)+in_life_term_renew^2*SUMIFS(AL401:AL453,B401:B453,B442-24)+in_life_term_renew^3*SUMIFS(AL401:AL453,B401:B453,B442-36)+in_life_term_renew^4*SUMIFS(AL401:AL453,B401:B453,B442-48))</f>
        <v/>
      </c>
      <c r="AN442" s="40">
        <f>AN441*(1-IF(B441&gt;=in_marketplace_from,d_hz_accident*G441,0))</f>
        <v/>
      </c>
      <c r="AO442" s="46">
        <f>AN442*IF(B442&gt;=in_marketplace_from,d_hz_accident*G442,0)</f>
        <v/>
      </c>
      <c r="AP442" s="14">
        <f>F442*AO442*in_accident_ticket*in_accident_comm*in_ins_partner_share+F442*in_accident_ticket*in_accident_renew_comm*in_ins_partner_share*(in_accident_renew^1*SUMIFS(AO401:AO453,B401:B453,B442-12)+in_accident_renew^2*SUMIFS(AO401:AO453,B401:B453,B442-24)+in_accident_renew^3*SUMIFS(AO401:AO453,B401:B453,B442-36)+in_accident_renew^4*SUMIFS(AO401:AO453,B401:B453,B442-48))</f>
        <v/>
      </c>
      <c r="AQ442" s="40">
        <f>AQ441*(1-IF(B441&gt;=in_marketplace_from,d_hz_two_wheeler*G441,0))</f>
        <v/>
      </c>
      <c r="AR442" s="46">
        <f>AQ442*IF(B442&gt;=in_marketplace_from,d_hz_two_wheeler*G442,0)</f>
        <v/>
      </c>
      <c r="AS442" s="14">
        <f>F442*AR442*in_two_wheeler_ticket*in_two_wheeler_comm*in_ins_partner_share+F442*in_two_wheeler_ticket*in_two_wheeler_comm*in_ins_partner_share*(in_two_wheeler_renew^1*SUMIFS(AR401:AR453,B401:B453,B442-12)+in_two_wheeler_renew^2*SUMIFS(AR401:AR453,B401:B453,B442-24)+in_two_wheeler_renew^3*SUMIFS(AR401:AR453,B401:B453,B442-36)+in_two_wheeler_renew^4*SUMIFS(AR401:AR453,B401:B453,B442-48))</f>
        <v/>
      </c>
      <c r="AT442" s="40">
        <f>AT441*(1-IF(B441&gt;=in_marketplace_from,d_hz_device*G441,0))</f>
        <v/>
      </c>
      <c r="AU442" s="14">
        <f>F442*AT442*IF(B442&gt;=in_marketplace_from,d_hz_device*G442,0)*in_device_ticket*in_device_comm*in_ins_partner_share</f>
        <v/>
      </c>
      <c r="AV442" s="40">
        <f>AV441*(1-IF(B441&gt;=in_marketplace_from,d_hz_shop*G441,0))</f>
        <v/>
      </c>
      <c r="AW442" s="46">
        <f>AV442*IF(B442&gt;=in_marketplace_from,d_hz_shop*G442,0)</f>
        <v/>
      </c>
      <c r="AX442" s="14">
        <f>F442*AW442*in_shop_ticket*in_shop_comm*in_ins_partner_share+F442*in_shop_ticket*in_shop_renew_comm*in_ins_partner_share*(in_shop_renew^1*SUMIFS(AW401:AW453,B401:B453,B442-12)+in_shop_renew^2*SUMIFS(AW401:AW453,B401:B453,B442-24)+in_shop_renew^3*SUMIFS(AW401:AW453,B401:B453,B442-36)+in_shop_renew^4*SUMIFS(AW401:AW453,B401:B453,B442-48))</f>
        <v/>
      </c>
      <c r="AY442" s="40">
        <f>AY441*(1-IF(B441&gt;=in_marketplace_from,d_hz_sip*G441,0))</f>
        <v/>
      </c>
      <c r="AZ442" s="40">
        <f>AZ441*d_rho_sip+AY442*IF(B442&gt;=in_marketplace_from,d_hz_sip*G442,0)</f>
        <v/>
      </c>
      <c r="BA442" s="40">
        <f>d_rho_sip*(BA441+AZ441)</f>
        <v/>
      </c>
      <c r="BB442" s="14">
        <f>F442*in_sip_ticket*(BA442+0.5*AZ442)*in_sip_comm/12</f>
        <v/>
      </c>
      <c r="BC442" s="40">
        <f>BC441*(1-IF(B441&gt;=in_marketplace_from,d_hz_choti*G441,0))</f>
        <v/>
      </c>
      <c r="BD442" s="46">
        <f>BC442*IF(B442&gt;=in_marketplace_from,d_hz_choti*G442,0)</f>
        <v/>
      </c>
      <c r="BE442" s="14">
        <f>F442*SUMIFS(BD401:BD453,B401:B453,B442-in_choti_months)*in_choti_renew*in_choti_ticket</f>
        <v/>
      </c>
      <c r="BF442" s="40">
        <f>BF441*(1-IF(B441&gt;=in_marketplace_from,d_hz_nps*G441,0))</f>
        <v/>
      </c>
      <c r="BG442" s="14">
        <f>F442*BF442*IF(B442&gt;=in_marketplace_from,d_hz_nps*G442,0)*in_nps_ticket*in_nps_comm</f>
        <v/>
      </c>
      <c r="BH442" s="40">
        <f>BH441*(1-IF(B441&gt;=in_marketplace_from,d_hz_gold*G441,0))</f>
        <v/>
      </c>
      <c r="BI442" s="40">
        <f>BI441*d_rho_gold+BH442*IF(B442&gt;=in_marketplace_from,d_hz_gold*G442,0)</f>
        <v/>
      </c>
      <c r="BJ442" s="14">
        <f>F442*BI442*in_gold_ticket*in_gold_comm</f>
        <v/>
      </c>
      <c r="BK442" s="40">
        <f>BK441*(1-IF(B441&gt;=in_marketplace_from,d_hz_fd*G441,0))</f>
        <v/>
      </c>
      <c r="BL442" s="14">
        <f>F442*BK442*IF(B442&gt;=in_marketplace_from,d_hz_fd*G442,0)*in_fd_ticket*in_fd_comm</f>
        <v/>
      </c>
      <c r="BM442" s="40">
        <f>BM441*(1-IF(B441&gt;=in_marketplace_from,d_hz_recharge*G441,0))</f>
        <v/>
      </c>
      <c r="BN442" s="40">
        <f>BN441*d_rho_recharge+BM442*IF(B442&gt;=in_marketplace_from,d_hz_recharge*G442,0)</f>
        <v/>
      </c>
      <c r="BO442" s="14">
        <f>F442*BN442*in_recharge_ticket*in_recharge_comm/12</f>
        <v/>
      </c>
      <c r="BP442" s="40">
        <f>BP441*(1-IF(B441&gt;=in_marketplace_from,d_hz_bills*G441,0))</f>
        <v/>
      </c>
      <c r="BQ442" s="40">
        <f>BQ441*d_rho_bills+BP442*IF(B442&gt;=in_marketplace_from,d_hz_bills*G442,0)</f>
        <v/>
      </c>
      <c r="BR442" s="14">
        <f>F442*BQ442*in_bills_ticket*in_bills_comm/12</f>
        <v/>
      </c>
      <c r="BS442" s="40">
        <f>BS441*(1-IF(B441&gt;=in_marketplace_from,d_hz_loan_gold*G441,0))</f>
        <v/>
      </c>
      <c r="BT442" s="14">
        <f>F442*BS442*IF(B442&gt;=in_marketplace_from,d_hz_loan_gold*G442,0)*in_loan_gold_ticket*in_loan_gold_comm</f>
        <v/>
      </c>
      <c r="BU442" s="40">
        <f>BU441*(1-IF(B441&gt;=in_marketplace_from,d_hz_loan_cd*G441,0))</f>
        <v/>
      </c>
      <c r="BV442" s="14">
        <f>F442*BU442*IF(B442&gt;=in_marketplace_from,d_hz_loan_cd*G442,0)*in_loan_cd_ticket*in_loan_cd_comm</f>
        <v/>
      </c>
      <c r="BW442" s="40">
        <f>BW441*(1-IF(B441&gt;=in_marketplace_from,d_hz_loan_vehicle*G441,0))</f>
        <v/>
      </c>
      <c r="BX442" s="14">
        <f>F442*BW442*IF(B442&gt;=in_marketplace_from,d_hz_loan_vehicle*G442,0)*in_loan_vehicle_ticket*in_loan_vehicle_comm</f>
        <v/>
      </c>
      <c r="BY442" s="40">
        <f>BY441*(1-IF(B441&gt;=in_marketplace_from,d_hz_loan_home*G441,0)*BZ441)</f>
        <v/>
      </c>
      <c r="BZ442" s="11">
        <f>MIN(in_approval_cap,in_loan_home_approval*INDEX('Age profile'!$O$2:$O$61,B442)*(1+in_approval_growth)^(D442-1))</f>
        <v/>
      </c>
      <c r="CA442" s="14">
        <f>F442*BY442*IF(B442&gt;=in_marketplace_from,d_hz_loan_home*G442,0)*BZ442*in_loan_home_ticket*in_loan_home_comm</f>
        <v/>
      </c>
      <c r="CB442" s="40">
        <f>CB441*(1-IF(B441&gt;=in_marketplace_from,d_hz_loan_lap*G441,0)*CC441)</f>
        <v/>
      </c>
      <c r="CC442" s="11">
        <f>MIN(in_approval_cap,in_loan_lap_approval*INDEX('Age profile'!$O$2:$O$61,B442)*(1+in_approval_growth)^(D442-1))</f>
        <v/>
      </c>
      <c r="CD442" s="14">
        <f>F442*CB442*IF(B442&gt;=in_marketplace_from,d_hz_loan_lap*G442,0)*CC442*in_loan_lap_ticket*in_loan_lap_comm</f>
        <v/>
      </c>
      <c r="CE442" s="14">
        <f>AA442+AB442+AC442+AD442+AG442+AJ442+AM442+AP442+AS442+AU442+AX442+BB442+BE442+BG442+BJ442+BL442+BO442+BR442+BT442+BV442+BX442+CA442+CD442</f>
        <v/>
      </c>
    </row>
    <row r="443">
      <c r="A443" s="39" t="n">
        <v>8</v>
      </c>
      <c r="B443" s="39" t="n">
        <v>43</v>
      </c>
      <c r="C443" s="39">
        <f>A443+B443-1</f>
        <v/>
      </c>
      <c r="D443" s="39">
        <f>INT((C443-1)/12)+1</f>
        <v/>
      </c>
      <c r="E443" s="44">
        <f>INDEX(Monthly!$B$2:$B$61,A443)</f>
        <v/>
      </c>
      <c r="F443" s="44">
        <f>E443*INDEX('Age profile'!$B$2:$B$61,B443)</f>
        <v/>
      </c>
      <c r="G443" s="45">
        <f>MIN(in_takeup_cap,INDEX('Age profile'!$N$2:$N$61,B443)*(1+in_takeup_growth)^(D443-1))</f>
        <v/>
      </c>
      <c r="H443" s="11">
        <f>MIN(in_approval_cap,in_approved_first*INDEX('Age profile'!$O$2:$O$61,B443)*(1+in_approval_growth)^(D443-1))</f>
        <v/>
      </c>
      <c r="I443" s="45">
        <f>G443*MIN(in_takeup_cap,INDEX('Age profile'!$O$2:$O$61,B443)*(1+in_approval_growth)^(D443-1))</f>
        <v/>
      </c>
      <c r="J443" s="40">
        <f>(J442-L442)*F443/F442</f>
        <v/>
      </c>
      <c r="K443" s="40">
        <f>(K442-M442)*F443/F442+SUMIFS(O401:O442,B401:B442,B443-1-d_T)*F443</f>
        <v/>
      </c>
      <c r="L443" s="40">
        <f>IF(B443&gt;=in_marketplace_from,J443*d_hz*G443*in_eligible*H443,0)</f>
        <v/>
      </c>
      <c r="M443" s="40">
        <f>IF(B443&gt;=in_marketplace_from,K443*d_hz*G443*in_eligible*in_approved_repeat,0)</f>
        <v/>
      </c>
      <c r="N443" s="40">
        <f>L443+M443</f>
        <v/>
      </c>
      <c r="O443" s="46">
        <f>N443/F443</f>
        <v/>
      </c>
      <c r="P443" s="40">
        <f>F443-J443-K443</f>
        <v/>
      </c>
      <c r="Q443" s="40">
        <f>IF(B443&gt;=in_marketplace_from,(J443+K443)*d_hz*G443,0)</f>
        <v/>
      </c>
      <c r="R443" s="40">
        <f>SUMIFS(N401:N453,B401:B453,"&gt;="&amp;(B443-d_T),B401:B453,"&lt;="&amp;(B443-1))</f>
        <v/>
      </c>
      <c r="S443" s="46">
        <f>(1-d_u)*S442+IF(d_T&gt;in_topup_lag,SUMIFS(O401:O453,B401:B453,B443-in_topup_lag)-d_udrop*SUMIFS(O401:O453,B401:B453,B443-d_T),0)</f>
        <v/>
      </c>
      <c r="T443" s="40">
        <f>F443*d_u*S443</f>
        <v/>
      </c>
      <c r="U443" s="9">
        <f>L443*in_ticket+M443*d_rep_ticket</f>
        <v/>
      </c>
      <c r="V443" s="9">
        <f>U443+T443*d_topup_amt</f>
        <v/>
      </c>
      <c r="W443" s="40">
        <f>N443+T443*d_topup_ratio</f>
        <v/>
      </c>
      <c r="X443" s="40">
        <f>SUMIFS(W401:W453,B401:B453,B443-in_dpd_lag)*d_cured</f>
        <v/>
      </c>
      <c r="Y443" s="40">
        <f>SUMIFS(W401:W453,B401:B453,B443-in_rec_lag)*d_recd</f>
        <v/>
      </c>
      <c r="Z443" s="40">
        <f>IF(AND(B443&gt;=in_marketplace_from,B443&lt;in_marketplace_from+in_card_months),in_card_share/in_card_months*F443*I443,IF(AND(B443&gt;=in_marketplace_from+in_card_months,B443&lt;in_marketplace_from+2*in_card_months),in_card_share*d_card_rem/in_card_months*F443*MIN(in_takeup_cap,(1+in_takeup_growth)^(D443-1))*MIN(in_takeup_cap,(1+in_approval_growth)^(D443-1)),0))</f>
        <v/>
      </c>
      <c r="AA443" s="14">
        <f>V443*in_fee*(1-in_taken_back)</f>
        <v/>
      </c>
      <c r="AB443" s="14">
        <f>SUMIFS(W401:W453,B401:B453,B443-in_dpd_lag)*d_dpd</f>
        <v/>
      </c>
      <c r="AC443" s="14">
        <f>SUMIFS(W401:W453,B401:B453,B443-in_rec_lag)*d_rec</f>
        <v/>
      </c>
      <c r="AD443" s="14">
        <f>Z443*in_card_fee</f>
        <v/>
      </c>
      <c r="AE443" s="40">
        <f>AE442*(1-IF(B442&gt;=in_marketplace_from,d_hz_hlth_small*G442,0))</f>
        <v/>
      </c>
      <c r="AF443" s="46">
        <f>AE443*IF(B443&gt;=in_marketplace_from,d_hz_hlth_small*G443,0)</f>
        <v/>
      </c>
      <c r="AG443" s="14">
        <f>F443*AF443*in_hlth_small_ticket*in_hlth_small_comm*in_ins_partner_share+F443*in_hlth_small_ticket*in_hlth_small_renew_comm*in_ins_partner_share*(in_hlth_small_renew^1*SUMIFS(AF401:AF453,B401:B453,B443-12)+in_hlth_small_renew^2*SUMIFS(AF401:AF453,B401:B453,B443-24)+in_hlth_small_renew^3*SUMIFS(AF401:AF453,B401:B453,B443-36)+in_hlth_small_renew^4*SUMIFS(AF401:AF453,B401:B453,B443-48))</f>
        <v/>
      </c>
      <c r="AH443" s="40">
        <f>AH442*(1-IF(B442&gt;=in_marketplace_from,d_hz_hlth_family*G442,0))</f>
        <v/>
      </c>
      <c r="AI443" s="46">
        <f>AH443*IF(B443&gt;=in_marketplace_from,d_hz_hlth_family*G443,0)</f>
        <v/>
      </c>
      <c r="AJ443" s="14">
        <f>F443*AI443*in_hlth_family_ticket*in_hlth_family_comm*in_ins_partner_share+F443*in_hlth_family_ticket*in_hlth_family_renew_comm*in_ins_partner_share*(in_hlth_family_renew^1*SUMIFS(AI401:AI453,B401:B453,B443-12)+in_hlth_family_renew^2*SUMIFS(AI401:AI453,B401:B453,B443-24)+in_hlth_family_renew^3*SUMIFS(AI401:AI453,B401:B453,B443-36)+in_hlth_family_renew^4*SUMIFS(AI401:AI453,B401:B453,B443-48))</f>
        <v/>
      </c>
      <c r="AK443" s="40">
        <f>AK442*(1-IF(B442&gt;=in_marketplace_from,d_hz_life_term*G442,0))</f>
        <v/>
      </c>
      <c r="AL443" s="46">
        <f>AK443*IF(B443&gt;=in_marketplace_from,d_hz_life_term*G443,0)</f>
        <v/>
      </c>
      <c r="AM443" s="14">
        <f>F443*AL443*in_life_term_ticket*in_life_term_comm*in_ins_partner_share+F443*in_life_term_ticket*in_life_term_renew_comm*in_ins_partner_share*(in_life_term_renew^1*SUMIFS(AL401:AL453,B401:B453,B443-12)+in_life_term_renew^2*SUMIFS(AL401:AL453,B401:B453,B443-24)+in_life_term_renew^3*SUMIFS(AL401:AL453,B401:B453,B443-36)+in_life_term_renew^4*SUMIFS(AL401:AL453,B401:B453,B443-48))</f>
        <v/>
      </c>
      <c r="AN443" s="40">
        <f>AN442*(1-IF(B442&gt;=in_marketplace_from,d_hz_accident*G442,0))</f>
        <v/>
      </c>
      <c r="AO443" s="46">
        <f>AN443*IF(B443&gt;=in_marketplace_from,d_hz_accident*G443,0)</f>
        <v/>
      </c>
      <c r="AP443" s="14">
        <f>F443*AO443*in_accident_ticket*in_accident_comm*in_ins_partner_share+F443*in_accident_ticket*in_accident_renew_comm*in_ins_partner_share*(in_accident_renew^1*SUMIFS(AO401:AO453,B401:B453,B443-12)+in_accident_renew^2*SUMIFS(AO401:AO453,B401:B453,B443-24)+in_accident_renew^3*SUMIFS(AO401:AO453,B401:B453,B443-36)+in_accident_renew^4*SUMIFS(AO401:AO453,B401:B453,B443-48))</f>
        <v/>
      </c>
      <c r="AQ443" s="40">
        <f>AQ442*(1-IF(B442&gt;=in_marketplace_from,d_hz_two_wheeler*G442,0))</f>
        <v/>
      </c>
      <c r="AR443" s="46">
        <f>AQ443*IF(B443&gt;=in_marketplace_from,d_hz_two_wheeler*G443,0)</f>
        <v/>
      </c>
      <c r="AS443" s="14">
        <f>F443*AR443*in_two_wheeler_ticket*in_two_wheeler_comm*in_ins_partner_share+F443*in_two_wheeler_ticket*in_two_wheeler_comm*in_ins_partner_share*(in_two_wheeler_renew^1*SUMIFS(AR401:AR453,B401:B453,B443-12)+in_two_wheeler_renew^2*SUMIFS(AR401:AR453,B401:B453,B443-24)+in_two_wheeler_renew^3*SUMIFS(AR401:AR453,B401:B453,B443-36)+in_two_wheeler_renew^4*SUMIFS(AR401:AR453,B401:B453,B443-48))</f>
        <v/>
      </c>
      <c r="AT443" s="40">
        <f>AT442*(1-IF(B442&gt;=in_marketplace_from,d_hz_device*G442,0))</f>
        <v/>
      </c>
      <c r="AU443" s="14">
        <f>F443*AT443*IF(B443&gt;=in_marketplace_from,d_hz_device*G443,0)*in_device_ticket*in_device_comm*in_ins_partner_share</f>
        <v/>
      </c>
      <c r="AV443" s="40">
        <f>AV442*(1-IF(B442&gt;=in_marketplace_from,d_hz_shop*G442,0))</f>
        <v/>
      </c>
      <c r="AW443" s="46">
        <f>AV443*IF(B443&gt;=in_marketplace_from,d_hz_shop*G443,0)</f>
        <v/>
      </c>
      <c r="AX443" s="14">
        <f>F443*AW443*in_shop_ticket*in_shop_comm*in_ins_partner_share+F443*in_shop_ticket*in_shop_renew_comm*in_ins_partner_share*(in_shop_renew^1*SUMIFS(AW401:AW453,B401:B453,B443-12)+in_shop_renew^2*SUMIFS(AW401:AW453,B401:B453,B443-24)+in_shop_renew^3*SUMIFS(AW401:AW453,B401:B453,B443-36)+in_shop_renew^4*SUMIFS(AW401:AW453,B401:B453,B443-48))</f>
        <v/>
      </c>
      <c r="AY443" s="40">
        <f>AY442*(1-IF(B442&gt;=in_marketplace_from,d_hz_sip*G442,0))</f>
        <v/>
      </c>
      <c r="AZ443" s="40">
        <f>AZ442*d_rho_sip+AY443*IF(B443&gt;=in_marketplace_from,d_hz_sip*G443,0)</f>
        <v/>
      </c>
      <c r="BA443" s="40">
        <f>d_rho_sip*(BA442+AZ442)</f>
        <v/>
      </c>
      <c r="BB443" s="14">
        <f>F443*in_sip_ticket*(BA443+0.5*AZ443)*in_sip_comm/12</f>
        <v/>
      </c>
      <c r="BC443" s="40">
        <f>BC442*(1-IF(B442&gt;=in_marketplace_from,d_hz_choti*G442,0))</f>
        <v/>
      </c>
      <c r="BD443" s="46">
        <f>BC443*IF(B443&gt;=in_marketplace_from,d_hz_choti*G443,0)</f>
        <v/>
      </c>
      <c r="BE443" s="14">
        <f>F443*SUMIFS(BD401:BD453,B401:B453,B443-in_choti_months)*in_choti_renew*in_choti_ticket</f>
        <v/>
      </c>
      <c r="BF443" s="40">
        <f>BF442*(1-IF(B442&gt;=in_marketplace_from,d_hz_nps*G442,0))</f>
        <v/>
      </c>
      <c r="BG443" s="14">
        <f>F443*BF443*IF(B443&gt;=in_marketplace_from,d_hz_nps*G443,0)*in_nps_ticket*in_nps_comm</f>
        <v/>
      </c>
      <c r="BH443" s="40">
        <f>BH442*(1-IF(B442&gt;=in_marketplace_from,d_hz_gold*G442,0))</f>
        <v/>
      </c>
      <c r="BI443" s="40">
        <f>BI442*d_rho_gold+BH443*IF(B443&gt;=in_marketplace_from,d_hz_gold*G443,0)</f>
        <v/>
      </c>
      <c r="BJ443" s="14">
        <f>F443*BI443*in_gold_ticket*in_gold_comm</f>
        <v/>
      </c>
      <c r="BK443" s="40">
        <f>BK442*(1-IF(B442&gt;=in_marketplace_from,d_hz_fd*G442,0))</f>
        <v/>
      </c>
      <c r="BL443" s="14">
        <f>F443*BK443*IF(B443&gt;=in_marketplace_from,d_hz_fd*G443,0)*in_fd_ticket*in_fd_comm</f>
        <v/>
      </c>
      <c r="BM443" s="40">
        <f>BM442*(1-IF(B442&gt;=in_marketplace_from,d_hz_recharge*G442,0))</f>
        <v/>
      </c>
      <c r="BN443" s="40">
        <f>BN442*d_rho_recharge+BM443*IF(B443&gt;=in_marketplace_from,d_hz_recharge*G443,0)</f>
        <v/>
      </c>
      <c r="BO443" s="14">
        <f>F443*BN443*in_recharge_ticket*in_recharge_comm/12</f>
        <v/>
      </c>
      <c r="BP443" s="40">
        <f>BP442*(1-IF(B442&gt;=in_marketplace_from,d_hz_bills*G442,0))</f>
        <v/>
      </c>
      <c r="BQ443" s="40">
        <f>BQ442*d_rho_bills+BP443*IF(B443&gt;=in_marketplace_from,d_hz_bills*G443,0)</f>
        <v/>
      </c>
      <c r="BR443" s="14">
        <f>F443*BQ443*in_bills_ticket*in_bills_comm/12</f>
        <v/>
      </c>
      <c r="BS443" s="40">
        <f>BS442*(1-IF(B442&gt;=in_marketplace_from,d_hz_loan_gold*G442,0))</f>
        <v/>
      </c>
      <c r="BT443" s="14">
        <f>F443*BS443*IF(B443&gt;=in_marketplace_from,d_hz_loan_gold*G443,0)*in_loan_gold_ticket*in_loan_gold_comm</f>
        <v/>
      </c>
      <c r="BU443" s="40">
        <f>BU442*(1-IF(B442&gt;=in_marketplace_from,d_hz_loan_cd*G442,0))</f>
        <v/>
      </c>
      <c r="BV443" s="14">
        <f>F443*BU443*IF(B443&gt;=in_marketplace_from,d_hz_loan_cd*G443,0)*in_loan_cd_ticket*in_loan_cd_comm</f>
        <v/>
      </c>
      <c r="BW443" s="40">
        <f>BW442*(1-IF(B442&gt;=in_marketplace_from,d_hz_loan_vehicle*G442,0))</f>
        <v/>
      </c>
      <c r="BX443" s="14">
        <f>F443*BW443*IF(B443&gt;=in_marketplace_from,d_hz_loan_vehicle*G443,0)*in_loan_vehicle_ticket*in_loan_vehicle_comm</f>
        <v/>
      </c>
      <c r="BY443" s="40">
        <f>BY442*(1-IF(B442&gt;=in_marketplace_from,d_hz_loan_home*G442,0)*BZ442)</f>
        <v/>
      </c>
      <c r="BZ443" s="11">
        <f>MIN(in_approval_cap,in_loan_home_approval*INDEX('Age profile'!$O$2:$O$61,B443)*(1+in_approval_growth)^(D443-1))</f>
        <v/>
      </c>
      <c r="CA443" s="14">
        <f>F443*BY443*IF(B443&gt;=in_marketplace_from,d_hz_loan_home*G443,0)*BZ443*in_loan_home_ticket*in_loan_home_comm</f>
        <v/>
      </c>
      <c r="CB443" s="40">
        <f>CB442*(1-IF(B442&gt;=in_marketplace_from,d_hz_loan_lap*G442,0)*CC442)</f>
        <v/>
      </c>
      <c r="CC443" s="11">
        <f>MIN(in_approval_cap,in_loan_lap_approval*INDEX('Age profile'!$O$2:$O$61,B443)*(1+in_approval_growth)^(D443-1))</f>
        <v/>
      </c>
      <c r="CD443" s="14">
        <f>F443*CB443*IF(B443&gt;=in_marketplace_from,d_hz_loan_lap*G443,0)*CC443*in_loan_lap_ticket*in_loan_lap_comm</f>
        <v/>
      </c>
      <c r="CE443" s="14">
        <f>AA443+AB443+AC443+AD443+AG443+AJ443+AM443+AP443+AS443+AU443+AX443+BB443+BE443+BG443+BJ443+BL443+BO443+BR443+BT443+BV443+BX443+CA443+CD443</f>
        <v/>
      </c>
    </row>
    <row r="444">
      <c r="A444" s="39" t="n">
        <v>8</v>
      </c>
      <c r="B444" s="39" t="n">
        <v>44</v>
      </c>
      <c r="C444" s="39">
        <f>A444+B444-1</f>
        <v/>
      </c>
      <c r="D444" s="39">
        <f>INT((C444-1)/12)+1</f>
        <v/>
      </c>
      <c r="E444" s="44">
        <f>INDEX(Monthly!$B$2:$B$61,A444)</f>
        <v/>
      </c>
      <c r="F444" s="44">
        <f>E444*INDEX('Age profile'!$B$2:$B$61,B444)</f>
        <v/>
      </c>
      <c r="G444" s="45">
        <f>MIN(in_takeup_cap,INDEX('Age profile'!$N$2:$N$61,B444)*(1+in_takeup_growth)^(D444-1))</f>
        <v/>
      </c>
      <c r="H444" s="11">
        <f>MIN(in_approval_cap,in_approved_first*INDEX('Age profile'!$O$2:$O$61,B444)*(1+in_approval_growth)^(D444-1))</f>
        <v/>
      </c>
      <c r="I444" s="45">
        <f>G444*MIN(in_takeup_cap,INDEX('Age profile'!$O$2:$O$61,B444)*(1+in_approval_growth)^(D444-1))</f>
        <v/>
      </c>
      <c r="J444" s="40">
        <f>(J443-L443)*F444/F443</f>
        <v/>
      </c>
      <c r="K444" s="40">
        <f>(K443-M443)*F444/F443+SUMIFS(O401:O443,B401:B443,B444-1-d_T)*F444</f>
        <v/>
      </c>
      <c r="L444" s="40">
        <f>IF(B444&gt;=in_marketplace_from,J444*d_hz*G444*in_eligible*H444,0)</f>
        <v/>
      </c>
      <c r="M444" s="40">
        <f>IF(B444&gt;=in_marketplace_from,K444*d_hz*G444*in_eligible*in_approved_repeat,0)</f>
        <v/>
      </c>
      <c r="N444" s="40">
        <f>L444+M444</f>
        <v/>
      </c>
      <c r="O444" s="46">
        <f>N444/F444</f>
        <v/>
      </c>
      <c r="P444" s="40">
        <f>F444-J444-K444</f>
        <v/>
      </c>
      <c r="Q444" s="40">
        <f>IF(B444&gt;=in_marketplace_from,(J444+K444)*d_hz*G444,0)</f>
        <v/>
      </c>
      <c r="R444" s="40">
        <f>SUMIFS(N401:N453,B401:B453,"&gt;="&amp;(B444-d_T),B401:B453,"&lt;="&amp;(B444-1))</f>
        <v/>
      </c>
      <c r="S444" s="46">
        <f>(1-d_u)*S443+IF(d_T&gt;in_topup_lag,SUMIFS(O401:O453,B401:B453,B444-in_topup_lag)-d_udrop*SUMIFS(O401:O453,B401:B453,B444-d_T),0)</f>
        <v/>
      </c>
      <c r="T444" s="40">
        <f>F444*d_u*S444</f>
        <v/>
      </c>
      <c r="U444" s="9">
        <f>L444*in_ticket+M444*d_rep_ticket</f>
        <v/>
      </c>
      <c r="V444" s="9">
        <f>U444+T444*d_topup_amt</f>
        <v/>
      </c>
      <c r="W444" s="40">
        <f>N444+T444*d_topup_ratio</f>
        <v/>
      </c>
      <c r="X444" s="40">
        <f>SUMIFS(W401:W453,B401:B453,B444-in_dpd_lag)*d_cured</f>
        <v/>
      </c>
      <c r="Y444" s="40">
        <f>SUMIFS(W401:W453,B401:B453,B444-in_rec_lag)*d_recd</f>
        <v/>
      </c>
      <c r="Z444" s="40">
        <f>IF(AND(B444&gt;=in_marketplace_from,B444&lt;in_marketplace_from+in_card_months),in_card_share/in_card_months*F444*I444,IF(AND(B444&gt;=in_marketplace_from+in_card_months,B444&lt;in_marketplace_from+2*in_card_months),in_card_share*d_card_rem/in_card_months*F444*MIN(in_takeup_cap,(1+in_takeup_growth)^(D444-1))*MIN(in_takeup_cap,(1+in_approval_growth)^(D444-1)),0))</f>
        <v/>
      </c>
      <c r="AA444" s="14">
        <f>V444*in_fee*(1-in_taken_back)</f>
        <v/>
      </c>
      <c r="AB444" s="14">
        <f>SUMIFS(W401:W453,B401:B453,B444-in_dpd_lag)*d_dpd</f>
        <v/>
      </c>
      <c r="AC444" s="14">
        <f>SUMIFS(W401:W453,B401:B453,B444-in_rec_lag)*d_rec</f>
        <v/>
      </c>
      <c r="AD444" s="14">
        <f>Z444*in_card_fee</f>
        <v/>
      </c>
      <c r="AE444" s="40">
        <f>AE443*(1-IF(B443&gt;=in_marketplace_from,d_hz_hlth_small*G443,0))</f>
        <v/>
      </c>
      <c r="AF444" s="46">
        <f>AE444*IF(B444&gt;=in_marketplace_from,d_hz_hlth_small*G444,0)</f>
        <v/>
      </c>
      <c r="AG444" s="14">
        <f>F444*AF444*in_hlth_small_ticket*in_hlth_small_comm*in_ins_partner_share+F444*in_hlth_small_ticket*in_hlth_small_renew_comm*in_ins_partner_share*(in_hlth_small_renew^1*SUMIFS(AF401:AF453,B401:B453,B444-12)+in_hlth_small_renew^2*SUMIFS(AF401:AF453,B401:B453,B444-24)+in_hlth_small_renew^3*SUMIFS(AF401:AF453,B401:B453,B444-36)+in_hlth_small_renew^4*SUMIFS(AF401:AF453,B401:B453,B444-48))</f>
        <v/>
      </c>
      <c r="AH444" s="40">
        <f>AH443*(1-IF(B443&gt;=in_marketplace_from,d_hz_hlth_family*G443,0))</f>
        <v/>
      </c>
      <c r="AI444" s="46">
        <f>AH444*IF(B444&gt;=in_marketplace_from,d_hz_hlth_family*G444,0)</f>
        <v/>
      </c>
      <c r="AJ444" s="14">
        <f>F444*AI444*in_hlth_family_ticket*in_hlth_family_comm*in_ins_partner_share+F444*in_hlth_family_ticket*in_hlth_family_renew_comm*in_ins_partner_share*(in_hlth_family_renew^1*SUMIFS(AI401:AI453,B401:B453,B444-12)+in_hlth_family_renew^2*SUMIFS(AI401:AI453,B401:B453,B444-24)+in_hlth_family_renew^3*SUMIFS(AI401:AI453,B401:B453,B444-36)+in_hlth_family_renew^4*SUMIFS(AI401:AI453,B401:B453,B444-48))</f>
        <v/>
      </c>
      <c r="AK444" s="40">
        <f>AK443*(1-IF(B443&gt;=in_marketplace_from,d_hz_life_term*G443,0))</f>
        <v/>
      </c>
      <c r="AL444" s="46">
        <f>AK444*IF(B444&gt;=in_marketplace_from,d_hz_life_term*G444,0)</f>
        <v/>
      </c>
      <c r="AM444" s="14">
        <f>F444*AL444*in_life_term_ticket*in_life_term_comm*in_ins_partner_share+F444*in_life_term_ticket*in_life_term_renew_comm*in_ins_partner_share*(in_life_term_renew^1*SUMIFS(AL401:AL453,B401:B453,B444-12)+in_life_term_renew^2*SUMIFS(AL401:AL453,B401:B453,B444-24)+in_life_term_renew^3*SUMIFS(AL401:AL453,B401:B453,B444-36)+in_life_term_renew^4*SUMIFS(AL401:AL453,B401:B453,B444-48))</f>
        <v/>
      </c>
      <c r="AN444" s="40">
        <f>AN443*(1-IF(B443&gt;=in_marketplace_from,d_hz_accident*G443,0))</f>
        <v/>
      </c>
      <c r="AO444" s="46">
        <f>AN444*IF(B444&gt;=in_marketplace_from,d_hz_accident*G444,0)</f>
        <v/>
      </c>
      <c r="AP444" s="14">
        <f>F444*AO444*in_accident_ticket*in_accident_comm*in_ins_partner_share+F444*in_accident_ticket*in_accident_renew_comm*in_ins_partner_share*(in_accident_renew^1*SUMIFS(AO401:AO453,B401:B453,B444-12)+in_accident_renew^2*SUMIFS(AO401:AO453,B401:B453,B444-24)+in_accident_renew^3*SUMIFS(AO401:AO453,B401:B453,B444-36)+in_accident_renew^4*SUMIFS(AO401:AO453,B401:B453,B444-48))</f>
        <v/>
      </c>
      <c r="AQ444" s="40">
        <f>AQ443*(1-IF(B443&gt;=in_marketplace_from,d_hz_two_wheeler*G443,0))</f>
        <v/>
      </c>
      <c r="AR444" s="46">
        <f>AQ444*IF(B444&gt;=in_marketplace_from,d_hz_two_wheeler*G444,0)</f>
        <v/>
      </c>
      <c r="AS444" s="14">
        <f>F444*AR444*in_two_wheeler_ticket*in_two_wheeler_comm*in_ins_partner_share+F444*in_two_wheeler_ticket*in_two_wheeler_comm*in_ins_partner_share*(in_two_wheeler_renew^1*SUMIFS(AR401:AR453,B401:B453,B444-12)+in_two_wheeler_renew^2*SUMIFS(AR401:AR453,B401:B453,B444-24)+in_two_wheeler_renew^3*SUMIFS(AR401:AR453,B401:B453,B444-36)+in_two_wheeler_renew^4*SUMIFS(AR401:AR453,B401:B453,B444-48))</f>
        <v/>
      </c>
      <c r="AT444" s="40">
        <f>AT443*(1-IF(B443&gt;=in_marketplace_from,d_hz_device*G443,0))</f>
        <v/>
      </c>
      <c r="AU444" s="14">
        <f>F444*AT444*IF(B444&gt;=in_marketplace_from,d_hz_device*G444,0)*in_device_ticket*in_device_comm*in_ins_partner_share</f>
        <v/>
      </c>
      <c r="AV444" s="40">
        <f>AV443*(1-IF(B443&gt;=in_marketplace_from,d_hz_shop*G443,0))</f>
        <v/>
      </c>
      <c r="AW444" s="46">
        <f>AV444*IF(B444&gt;=in_marketplace_from,d_hz_shop*G444,0)</f>
        <v/>
      </c>
      <c r="AX444" s="14">
        <f>F444*AW444*in_shop_ticket*in_shop_comm*in_ins_partner_share+F444*in_shop_ticket*in_shop_renew_comm*in_ins_partner_share*(in_shop_renew^1*SUMIFS(AW401:AW453,B401:B453,B444-12)+in_shop_renew^2*SUMIFS(AW401:AW453,B401:B453,B444-24)+in_shop_renew^3*SUMIFS(AW401:AW453,B401:B453,B444-36)+in_shop_renew^4*SUMIFS(AW401:AW453,B401:B453,B444-48))</f>
        <v/>
      </c>
      <c r="AY444" s="40">
        <f>AY443*(1-IF(B443&gt;=in_marketplace_from,d_hz_sip*G443,0))</f>
        <v/>
      </c>
      <c r="AZ444" s="40">
        <f>AZ443*d_rho_sip+AY444*IF(B444&gt;=in_marketplace_from,d_hz_sip*G444,0)</f>
        <v/>
      </c>
      <c r="BA444" s="40">
        <f>d_rho_sip*(BA443+AZ443)</f>
        <v/>
      </c>
      <c r="BB444" s="14">
        <f>F444*in_sip_ticket*(BA444+0.5*AZ444)*in_sip_comm/12</f>
        <v/>
      </c>
      <c r="BC444" s="40">
        <f>BC443*(1-IF(B443&gt;=in_marketplace_from,d_hz_choti*G443,0))</f>
        <v/>
      </c>
      <c r="BD444" s="46">
        <f>BC444*IF(B444&gt;=in_marketplace_from,d_hz_choti*G444,0)</f>
        <v/>
      </c>
      <c r="BE444" s="14">
        <f>F444*SUMIFS(BD401:BD453,B401:B453,B444-in_choti_months)*in_choti_renew*in_choti_ticket</f>
        <v/>
      </c>
      <c r="BF444" s="40">
        <f>BF443*(1-IF(B443&gt;=in_marketplace_from,d_hz_nps*G443,0))</f>
        <v/>
      </c>
      <c r="BG444" s="14">
        <f>F444*BF444*IF(B444&gt;=in_marketplace_from,d_hz_nps*G444,0)*in_nps_ticket*in_nps_comm</f>
        <v/>
      </c>
      <c r="BH444" s="40">
        <f>BH443*(1-IF(B443&gt;=in_marketplace_from,d_hz_gold*G443,0))</f>
        <v/>
      </c>
      <c r="BI444" s="40">
        <f>BI443*d_rho_gold+BH444*IF(B444&gt;=in_marketplace_from,d_hz_gold*G444,0)</f>
        <v/>
      </c>
      <c r="BJ444" s="14">
        <f>F444*BI444*in_gold_ticket*in_gold_comm</f>
        <v/>
      </c>
      <c r="BK444" s="40">
        <f>BK443*(1-IF(B443&gt;=in_marketplace_from,d_hz_fd*G443,0))</f>
        <v/>
      </c>
      <c r="BL444" s="14">
        <f>F444*BK444*IF(B444&gt;=in_marketplace_from,d_hz_fd*G444,0)*in_fd_ticket*in_fd_comm</f>
        <v/>
      </c>
      <c r="BM444" s="40">
        <f>BM443*(1-IF(B443&gt;=in_marketplace_from,d_hz_recharge*G443,0))</f>
        <v/>
      </c>
      <c r="BN444" s="40">
        <f>BN443*d_rho_recharge+BM444*IF(B444&gt;=in_marketplace_from,d_hz_recharge*G444,0)</f>
        <v/>
      </c>
      <c r="BO444" s="14">
        <f>F444*BN444*in_recharge_ticket*in_recharge_comm/12</f>
        <v/>
      </c>
      <c r="BP444" s="40">
        <f>BP443*(1-IF(B443&gt;=in_marketplace_from,d_hz_bills*G443,0))</f>
        <v/>
      </c>
      <c r="BQ444" s="40">
        <f>BQ443*d_rho_bills+BP444*IF(B444&gt;=in_marketplace_from,d_hz_bills*G444,0)</f>
        <v/>
      </c>
      <c r="BR444" s="14">
        <f>F444*BQ444*in_bills_ticket*in_bills_comm/12</f>
        <v/>
      </c>
      <c r="BS444" s="40">
        <f>BS443*(1-IF(B443&gt;=in_marketplace_from,d_hz_loan_gold*G443,0))</f>
        <v/>
      </c>
      <c r="BT444" s="14">
        <f>F444*BS444*IF(B444&gt;=in_marketplace_from,d_hz_loan_gold*G444,0)*in_loan_gold_ticket*in_loan_gold_comm</f>
        <v/>
      </c>
      <c r="BU444" s="40">
        <f>BU443*(1-IF(B443&gt;=in_marketplace_from,d_hz_loan_cd*G443,0))</f>
        <v/>
      </c>
      <c r="BV444" s="14">
        <f>F444*BU444*IF(B444&gt;=in_marketplace_from,d_hz_loan_cd*G444,0)*in_loan_cd_ticket*in_loan_cd_comm</f>
        <v/>
      </c>
      <c r="BW444" s="40">
        <f>BW443*(1-IF(B443&gt;=in_marketplace_from,d_hz_loan_vehicle*G443,0))</f>
        <v/>
      </c>
      <c r="BX444" s="14">
        <f>F444*BW444*IF(B444&gt;=in_marketplace_from,d_hz_loan_vehicle*G444,0)*in_loan_vehicle_ticket*in_loan_vehicle_comm</f>
        <v/>
      </c>
      <c r="BY444" s="40">
        <f>BY443*(1-IF(B443&gt;=in_marketplace_from,d_hz_loan_home*G443,0)*BZ443)</f>
        <v/>
      </c>
      <c r="BZ444" s="11">
        <f>MIN(in_approval_cap,in_loan_home_approval*INDEX('Age profile'!$O$2:$O$61,B444)*(1+in_approval_growth)^(D444-1))</f>
        <v/>
      </c>
      <c r="CA444" s="14">
        <f>F444*BY444*IF(B444&gt;=in_marketplace_from,d_hz_loan_home*G444,0)*BZ444*in_loan_home_ticket*in_loan_home_comm</f>
        <v/>
      </c>
      <c r="CB444" s="40">
        <f>CB443*(1-IF(B443&gt;=in_marketplace_from,d_hz_loan_lap*G443,0)*CC443)</f>
        <v/>
      </c>
      <c r="CC444" s="11">
        <f>MIN(in_approval_cap,in_loan_lap_approval*INDEX('Age profile'!$O$2:$O$61,B444)*(1+in_approval_growth)^(D444-1))</f>
        <v/>
      </c>
      <c r="CD444" s="14">
        <f>F444*CB444*IF(B444&gt;=in_marketplace_from,d_hz_loan_lap*G444,0)*CC444*in_loan_lap_ticket*in_loan_lap_comm</f>
        <v/>
      </c>
      <c r="CE444" s="14">
        <f>AA444+AB444+AC444+AD444+AG444+AJ444+AM444+AP444+AS444+AU444+AX444+BB444+BE444+BG444+BJ444+BL444+BO444+BR444+BT444+BV444+BX444+CA444+CD444</f>
        <v/>
      </c>
    </row>
    <row r="445">
      <c r="A445" s="39" t="n">
        <v>8</v>
      </c>
      <c r="B445" s="39" t="n">
        <v>45</v>
      </c>
      <c r="C445" s="39">
        <f>A445+B445-1</f>
        <v/>
      </c>
      <c r="D445" s="39">
        <f>INT((C445-1)/12)+1</f>
        <v/>
      </c>
      <c r="E445" s="44">
        <f>INDEX(Monthly!$B$2:$B$61,A445)</f>
        <v/>
      </c>
      <c r="F445" s="44">
        <f>E445*INDEX('Age profile'!$B$2:$B$61,B445)</f>
        <v/>
      </c>
      <c r="G445" s="45">
        <f>MIN(in_takeup_cap,INDEX('Age profile'!$N$2:$N$61,B445)*(1+in_takeup_growth)^(D445-1))</f>
        <v/>
      </c>
      <c r="H445" s="11">
        <f>MIN(in_approval_cap,in_approved_first*INDEX('Age profile'!$O$2:$O$61,B445)*(1+in_approval_growth)^(D445-1))</f>
        <v/>
      </c>
      <c r="I445" s="45">
        <f>G445*MIN(in_takeup_cap,INDEX('Age profile'!$O$2:$O$61,B445)*(1+in_approval_growth)^(D445-1))</f>
        <v/>
      </c>
      <c r="J445" s="40">
        <f>(J444-L444)*F445/F444</f>
        <v/>
      </c>
      <c r="K445" s="40">
        <f>(K444-M444)*F445/F444+SUMIFS(O401:O444,B401:B444,B445-1-d_T)*F445</f>
        <v/>
      </c>
      <c r="L445" s="40">
        <f>IF(B445&gt;=in_marketplace_from,J445*d_hz*G445*in_eligible*H445,0)</f>
        <v/>
      </c>
      <c r="M445" s="40">
        <f>IF(B445&gt;=in_marketplace_from,K445*d_hz*G445*in_eligible*in_approved_repeat,0)</f>
        <v/>
      </c>
      <c r="N445" s="40">
        <f>L445+M445</f>
        <v/>
      </c>
      <c r="O445" s="46">
        <f>N445/F445</f>
        <v/>
      </c>
      <c r="P445" s="40">
        <f>F445-J445-K445</f>
        <v/>
      </c>
      <c r="Q445" s="40">
        <f>IF(B445&gt;=in_marketplace_from,(J445+K445)*d_hz*G445,0)</f>
        <v/>
      </c>
      <c r="R445" s="40">
        <f>SUMIFS(N401:N453,B401:B453,"&gt;="&amp;(B445-d_T),B401:B453,"&lt;="&amp;(B445-1))</f>
        <v/>
      </c>
      <c r="S445" s="46">
        <f>(1-d_u)*S444+IF(d_T&gt;in_topup_lag,SUMIFS(O401:O453,B401:B453,B445-in_topup_lag)-d_udrop*SUMIFS(O401:O453,B401:B453,B445-d_T),0)</f>
        <v/>
      </c>
      <c r="T445" s="40">
        <f>F445*d_u*S445</f>
        <v/>
      </c>
      <c r="U445" s="9">
        <f>L445*in_ticket+M445*d_rep_ticket</f>
        <v/>
      </c>
      <c r="V445" s="9">
        <f>U445+T445*d_topup_amt</f>
        <v/>
      </c>
      <c r="W445" s="40">
        <f>N445+T445*d_topup_ratio</f>
        <v/>
      </c>
      <c r="X445" s="40">
        <f>SUMIFS(W401:W453,B401:B453,B445-in_dpd_lag)*d_cured</f>
        <v/>
      </c>
      <c r="Y445" s="40">
        <f>SUMIFS(W401:W453,B401:B453,B445-in_rec_lag)*d_recd</f>
        <v/>
      </c>
      <c r="Z445" s="40">
        <f>IF(AND(B445&gt;=in_marketplace_from,B445&lt;in_marketplace_from+in_card_months),in_card_share/in_card_months*F445*I445,IF(AND(B445&gt;=in_marketplace_from+in_card_months,B445&lt;in_marketplace_from+2*in_card_months),in_card_share*d_card_rem/in_card_months*F445*MIN(in_takeup_cap,(1+in_takeup_growth)^(D445-1))*MIN(in_takeup_cap,(1+in_approval_growth)^(D445-1)),0))</f>
        <v/>
      </c>
      <c r="AA445" s="14">
        <f>V445*in_fee*(1-in_taken_back)</f>
        <v/>
      </c>
      <c r="AB445" s="14">
        <f>SUMIFS(W401:W453,B401:B453,B445-in_dpd_lag)*d_dpd</f>
        <v/>
      </c>
      <c r="AC445" s="14">
        <f>SUMIFS(W401:W453,B401:B453,B445-in_rec_lag)*d_rec</f>
        <v/>
      </c>
      <c r="AD445" s="14">
        <f>Z445*in_card_fee</f>
        <v/>
      </c>
      <c r="AE445" s="40">
        <f>AE444*(1-IF(B444&gt;=in_marketplace_from,d_hz_hlth_small*G444,0))</f>
        <v/>
      </c>
      <c r="AF445" s="46">
        <f>AE445*IF(B445&gt;=in_marketplace_from,d_hz_hlth_small*G445,0)</f>
        <v/>
      </c>
      <c r="AG445" s="14">
        <f>F445*AF445*in_hlth_small_ticket*in_hlth_small_comm*in_ins_partner_share+F445*in_hlth_small_ticket*in_hlth_small_renew_comm*in_ins_partner_share*(in_hlth_small_renew^1*SUMIFS(AF401:AF453,B401:B453,B445-12)+in_hlth_small_renew^2*SUMIFS(AF401:AF453,B401:B453,B445-24)+in_hlth_small_renew^3*SUMIFS(AF401:AF453,B401:B453,B445-36)+in_hlth_small_renew^4*SUMIFS(AF401:AF453,B401:B453,B445-48))</f>
        <v/>
      </c>
      <c r="AH445" s="40">
        <f>AH444*(1-IF(B444&gt;=in_marketplace_from,d_hz_hlth_family*G444,0))</f>
        <v/>
      </c>
      <c r="AI445" s="46">
        <f>AH445*IF(B445&gt;=in_marketplace_from,d_hz_hlth_family*G445,0)</f>
        <v/>
      </c>
      <c r="AJ445" s="14">
        <f>F445*AI445*in_hlth_family_ticket*in_hlth_family_comm*in_ins_partner_share+F445*in_hlth_family_ticket*in_hlth_family_renew_comm*in_ins_partner_share*(in_hlth_family_renew^1*SUMIFS(AI401:AI453,B401:B453,B445-12)+in_hlth_family_renew^2*SUMIFS(AI401:AI453,B401:B453,B445-24)+in_hlth_family_renew^3*SUMIFS(AI401:AI453,B401:B453,B445-36)+in_hlth_family_renew^4*SUMIFS(AI401:AI453,B401:B453,B445-48))</f>
        <v/>
      </c>
      <c r="AK445" s="40">
        <f>AK444*(1-IF(B444&gt;=in_marketplace_from,d_hz_life_term*G444,0))</f>
        <v/>
      </c>
      <c r="AL445" s="46">
        <f>AK445*IF(B445&gt;=in_marketplace_from,d_hz_life_term*G445,0)</f>
        <v/>
      </c>
      <c r="AM445" s="14">
        <f>F445*AL445*in_life_term_ticket*in_life_term_comm*in_ins_partner_share+F445*in_life_term_ticket*in_life_term_renew_comm*in_ins_partner_share*(in_life_term_renew^1*SUMIFS(AL401:AL453,B401:B453,B445-12)+in_life_term_renew^2*SUMIFS(AL401:AL453,B401:B453,B445-24)+in_life_term_renew^3*SUMIFS(AL401:AL453,B401:B453,B445-36)+in_life_term_renew^4*SUMIFS(AL401:AL453,B401:B453,B445-48))</f>
        <v/>
      </c>
      <c r="AN445" s="40">
        <f>AN444*(1-IF(B444&gt;=in_marketplace_from,d_hz_accident*G444,0))</f>
        <v/>
      </c>
      <c r="AO445" s="46">
        <f>AN445*IF(B445&gt;=in_marketplace_from,d_hz_accident*G445,0)</f>
        <v/>
      </c>
      <c r="AP445" s="14">
        <f>F445*AO445*in_accident_ticket*in_accident_comm*in_ins_partner_share+F445*in_accident_ticket*in_accident_renew_comm*in_ins_partner_share*(in_accident_renew^1*SUMIFS(AO401:AO453,B401:B453,B445-12)+in_accident_renew^2*SUMIFS(AO401:AO453,B401:B453,B445-24)+in_accident_renew^3*SUMIFS(AO401:AO453,B401:B453,B445-36)+in_accident_renew^4*SUMIFS(AO401:AO453,B401:B453,B445-48))</f>
        <v/>
      </c>
      <c r="AQ445" s="40">
        <f>AQ444*(1-IF(B444&gt;=in_marketplace_from,d_hz_two_wheeler*G444,0))</f>
        <v/>
      </c>
      <c r="AR445" s="46">
        <f>AQ445*IF(B445&gt;=in_marketplace_from,d_hz_two_wheeler*G445,0)</f>
        <v/>
      </c>
      <c r="AS445" s="14">
        <f>F445*AR445*in_two_wheeler_ticket*in_two_wheeler_comm*in_ins_partner_share+F445*in_two_wheeler_ticket*in_two_wheeler_comm*in_ins_partner_share*(in_two_wheeler_renew^1*SUMIFS(AR401:AR453,B401:B453,B445-12)+in_two_wheeler_renew^2*SUMIFS(AR401:AR453,B401:B453,B445-24)+in_two_wheeler_renew^3*SUMIFS(AR401:AR453,B401:B453,B445-36)+in_two_wheeler_renew^4*SUMIFS(AR401:AR453,B401:B453,B445-48))</f>
        <v/>
      </c>
      <c r="AT445" s="40">
        <f>AT444*(1-IF(B444&gt;=in_marketplace_from,d_hz_device*G444,0))</f>
        <v/>
      </c>
      <c r="AU445" s="14">
        <f>F445*AT445*IF(B445&gt;=in_marketplace_from,d_hz_device*G445,0)*in_device_ticket*in_device_comm*in_ins_partner_share</f>
        <v/>
      </c>
      <c r="AV445" s="40">
        <f>AV444*(1-IF(B444&gt;=in_marketplace_from,d_hz_shop*G444,0))</f>
        <v/>
      </c>
      <c r="AW445" s="46">
        <f>AV445*IF(B445&gt;=in_marketplace_from,d_hz_shop*G445,0)</f>
        <v/>
      </c>
      <c r="AX445" s="14">
        <f>F445*AW445*in_shop_ticket*in_shop_comm*in_ins_partner_share+F445*in_shop_ticket*in_shop_renew_comm*in_ins_partner_share*(in_shop_renew^1*SUMIFS(AW401:AW453,B401:B453,B445-12)+in_shop_renew^2*SUMIFS(AW401:AW453,B401:B453,B445-24)+in_shop_renew^3*SUMIFS(AW401:AW453,B401:B453,B445-36)+in_shop_renew^4*SUMIFS(AW401:AW453,B401:B453,B445-48))</f>
        <v/>
      </c>
      <c r="AY445" s="40">
        <f>AY444*(1-IF(B444&gt;=in_marketplace_from,d_hz_sip*G444,0))</f>
        <v/>
      </c>
      <c r="AZ445" s="40">
        <f>AZ444*d_rho_sip+AY445*IF(B445&gt;=in_marketplace_from,d_hz_sip*G445,0)</f>
        <v/>
      </c>
      <c r="BA445" s="40">
        <f>d_rho_sip*(BA444+AZ444)</f>
        <v/>
      </c>
      <c r="BB445" s="14">
        <f>F445*in_sip_ticket*(BA445+0.5*AZ445)*in_sip_comm/12</f>
        <v/>
      </c>
      <c r="BC445" s="40">
        <f>BC444*(1-IF(B444&gt;=in_marketplace_from,d_hz_choti*G444,0))</f>
        <v/>
      </c>
      <c r="BD445" s="46">
        <f>BC445*IF(B445&gt;=in_marketplace_from,d_hz_choti*G445,0)</f>
        <v/>
      </c>
      <c r="BE445" s="14">
        <f>F445*SUMIFS(BD401:BD453,B401:B453,B445-in_choti_months)*in_choti_renew*in_choti_ticket</f>
        <v/>
      </c>
      <c r="BF445" s="40">
        <f>BF444*(1-IF(B444&gt;=in_marketplace_from,d_hz_nps*G444,0))</f>
        <v/>
      </c>
      <c r="BG445" s="14">
        <f>F445*BF445*IF(B445&gt;=in_marketplace_from,d_hz_nps*G445,0)*in_nps_ticket*in_nps_comm</f>
        <v/>
      </c>
      <c r="BH445" s="40">
        <f>BH444*(1-IF(B444&gt;=in_marketplace_from,d_hz_gold*G444,0))</f>
        <v/>
      </c>
      <c r="BI445" s="40">
        <f>BI444*d_rho_gold+BH445*IF(B445&gt;=in_marketplace_from,d_hz_gold*G445,0)</f>
        <v/>
      </c>
      <c r="BJ445" s="14">
        <f>F445*BI445*in_gold_ticket*in_gold_comm</f>
        <v/>
      </c>
      <c r="BK445" s="40">
        <f>BK444*(1-IF(B444&gt;=in_marketplace_from,d_hz_fd*G444,0))</f>
        <v/>
      </c>
      <c r="BL445" s="14">
        <f>F445*BK445*IF(B445&gt;=in_marketplace_from,d_hz_fd*G445,0)*in_fd_ticket*in_fd_comm</f>
        <v/>
      </c>
      <c r="BM445" s="40">
        <f>BM444*(1-IF(B444&gt;=in_marketplace_from,d_hz_recharge*G444,0))</f>
        <v/>
      </c>
      <c r="BN445" s="40">
        <f>BN444*d_rho_recharge+BM445*IF(B445&gt;=in_marketplace_from,d_hz_recharge*G445,0)</f>
        <v/>
      </c>
      <c r="BO445" s="14">
        <f>F445*BN445*in_recharge_ticket*in_recharge_comm/12</f>
        <v/>
      </c>
      <c r="BP445" s="40">
        <f>BP444*(1-IF(B444&gt;=in_marketplace_from,d_hz_bills*G444,0))</f>
        <v/>
      </c>
      <c r="BQ445" s="40">
        <f>BQ444*d_rho_bills+BP445*IF(B445&gt;=in_marketplace_from,d_hz_bills*G445,0)</f>
        <v/>
      </c>
      <c r="BR445" s="14">
        <f>F445*BQ445*in_bills_ticket*in_bills_comm/12</f>
        <v/>
      </c>
      <c r="BS445" s="40">
        <f>BS444*(1-IF(B444&gt;=in_marketplace_from,d_hz_loan_gold*G444,0))</f>
        <v/>
      </c>
      <c r="BT445" s="14">
        <f>F445*BS445*IF(B445&gt;=in_marketplace_from,d_hz_loan_gold*G445,0)*in_loan_gold_ticket*in_loan_gold_comm</f>
        <v/>
      </c>
      <c r="BU445" s="40">
        <f>BU444*(1-IF(B444&gt;=in_marketplace_from,d_hz_loan_cd*G444,0))</f>
        <v/>
      </c>
      <c r="BV445" s="14">
        <f>F445*BU445*IF(B445&gt;=in_marketplace_from,d_hz_loan_cd*G445,0)*in_loan_cd_ticket*in_loan_cd_comm</f>
        <v/>
      </c>
      <c r="BW445" s="40">
        <f>BW444*(1-IF(B444&gt;=in_marketplace_from,d_hz_loan_vehicle*G444,0))</f>
        <v/>
      </c>
      <c r="BX445" s="14">
        <f>F445*BW445*IF(B445&gt;=in_marketplace_from,d_hz_loan_vehicle*G445,0)*in_loan_vehicle_ticket*in_loan_vehicle_comm</f>
        <v/>
      </c>
      <c r="BY445" s="40">
        <f>BY444*(1-IF(B444&gt;=in_marketplace_from,d_hz_loan_home*G444,0)*BZ444)</f>
        <v/>
      </c>
      <c r="BZ445" s="11">
        <f>MIN(in_approval_cap,in_loan_home_approval*INDEX('Age profile'!$O$2:$O$61,B445)*(1+in_approval_growth)^(D445-1))</f>
        <v/>
      </c>
      <c r="CA445" s="14">
        <f>F445*BY445*IF(B445&gt;=in_marketplace_from,d_hz_loan_home*G445,0)*BZ445*in_loan_home_ticket*in_loan_home_comm</f>
        <v/>
      </c>
      <c r="CB445" s="40">
        <f>CB444*(1-IF(B444&gt;=in_marketplace_from,d_hz_loan_lap*G444,0)*CC444)</f>
        <v/>
      </c>
      <c r="CC445" s="11">
        <f>MIN(in_approval_cap,in_loan_lap_approval*INDEX('Age profile'!$O$2:$O$61,B445)*(1+in_approval_growth)^(D445-1))</f>
        <v/>
      </c>
      <c r="CD445" s="14">
        <f>F445*CB445*IF(B445&gt;=in_marketplace_from,d_hz_loan_lap*G445,0)*CC445*in_loan_lap_ticket*in_loan_lap_comm</f>
        <v/>
      </c>
      <c r="CE445" s="14">
        <f>AA445+AB445+AC445+AD445+AG445+AJ445+AM445+AP445+AS445+AU445+AX445+BB445+BE445+BG445+BJ445+BL445+BO445+BR445+BT445+BV445+BX445+CA445+CD445</f>
        <v/>
      </c>
    </row>
    <row r="446">
      <c r="A446" s="39" t="n">
        <v>8</v>
      </c>
      <c r="B446" s="39" t="n">
        <v>46</v>
      </c>
      <c r="C446" s="39">
        <f>A446+B446-1</f>
        <v/>
      </c>
      <c r="D446" s="39">
        <f>INT((C446-1)/12)+1</f>
        <v/>
      </c>
      <c r="E446" s="44">
        <f>INDEX(Monthly!$B$2:$B$61,A446)</f>
        <v/>
      </c>
      <c r="F446" s="44">
        <f>E446*INDEX('Age profile'!$B$2:$B$61,B446)</f>
        <v/>
      </c>
      <c r="G446" s="45">
        <f>MIN(in_takeup_cap,INDEX('Age profile'!$N$2:$N$61,B446)*(1+in_takeup_growth)^(D446-1))</f>
        <v/>
      </c>
      <c r="H446" s="11">
        <f>MIN(in_approval_cap,in_approved_first*INDEX('Age profile'!$O$2:$O$61,B446)*(1+in_approval_growth)^(D446-1))</f>
        <v/>
      </c>
      <c r="I446" s="45">
        <f>G446*MIN(in_takeup_cap,INDEX('Age profile'!$O$2:$O$61,B446)*(1+in_approval_growth)^(D446-1))</f>
        <v/>
      </c>
      <c r="J446" s="40">
        <f>(J445-L445)*F446/F445</f>
        <v/>
      </c>
      <c r="K446" s="40">
        <f>(K445-M445)*F446/F445+SUMIFS(O401:O445,B401:B445,B446-1-d_T)*F446</f>
        <v/>
      </c>
      <c r="L446" s="40">
        <f>IF(B446&gt;=in_marketplace_from,J446*d_hz*G446*in_eligible*H446,0)</f>
        <v/>
      </c>
      <c r="M446" s="40">
        <f>IF(B446&gt;=in_marketplace_from,K446*d_hz*G446*in_eligible*in_approved_repeat,0)</f>
        <v/>
      </c>
      <c r="N446" s="40">
        <f>L446+M446</f>
        <v/>
      </c>
      <c r="O446" s="46">
        <f>N446/F446</f>
        <v/>
      </c>
      <c r="P446" s="40">
        <f>F446-J446-K446</f>
        <v/>
      </c>
      <c r="Q446" s="40">
        <f>IF(B446&gt;=in_marketplace_from,(J446+K446)*d_hz*G446,0)</f>
        <v/>
      </c>
      <c r="R446" s="40">
        <f>SUMIFS(N401:N453,B401:B453,"&gt;="&amp;(B446-d_T),B401:B453,"&lt;="&amp;(B446-1))</f>
        <v/>
      </c>
      <c r="S446" s="46">
        <f>(1-d_u)*S445+IF(d_T&gt;in_topup_lag,SUMIFS(O401:O453,B401:B453,B446-in_topup_lag)-d_udrop*SUMIFS(O401:O453,B401:B453,B446-d_T),0)</f>
        <v/>
      </c>
      <c r="T446" s="40">
        <f>F446*d_u*S446</f>
        <v/>
      </c>
      <c r="U446" s="9">
        <f>L446*in_ticket+M446*d_rep_ticket</f>
        <v/>
      </c>
      <c r="V446" s="9">
        <f>U446+T446*d_topup_amt</f>
        <v/>
      </c>
      <c r="W446" s="40">
        <f>N446+T446*d_topup_ratio</f>
        <v/>
      </c>
      <c r="X446" s="40">
        <f>SUMIFS(W401:W453,B401:B453,B446-in_dpd_lag)*d_cured</f>
        <v/>
      </c>
      <c r="Y446" s="40">
        <f>SUMIFS(W401:W453,B401:B453,B446-in_rec_lag)*d_recd</f>
        <v/>
      </c>
      <c r="Z446" s="40">
        <f>IF(AND(B446&gt;=in_marketplace_from,B446&lt;in_marketplace_from+in_card_months),in_card_share/in_card_months*F446*I446,IF(AND(B446&gt;=in_marketplace_from+in_card_months,B446&lt;in_marketplace_from+2*in_card_months),in_card_share*d_card_rem/in_card_months*F446*MIN(in_takeup_cap,(1+in_takeup_growth)^(D446-1))*MIN(in_takeup_cap,(1+in_approval_growth)^(D446-1)),0))</f>
        <v/>
      </c>
      <c r="AA446" s="14">
        <f>V446*in_fee*(1-in_taken_back)</f>
        <v/>
      </c>
      <c r="AB446" s="14">
        <f>SUMIFS(W401:W453,B401:B453,B446-in_dpd_lag)*d_dpd</f>
        <v/>
      </c>
      <c r="AC446" s="14">
        <f>SUMIFS(W401:W453,B401:B453,B446-in_rec_lag)*d_rec</f>
        <v/>
      </c>
      <c r="AD446" s="14">
        <f>Z446*in_card_fee</f>
        <v/>
      </c>
      <c r="AE446" s="40">
        <f>AE445*(1-IF(B445&gt;=in_marketplace_from,d_hz_hlth_small*G445,0))</f>
        <v/>
      </c>
      <c r="AF446" s="46">
        <f>AE446*IF(B446&gt;=in_marketplace_from,d_hz_hlth_small*G446,0)</f>
        <v/>
      </c>
      <c r="AG446" s="14">
        <f>F446*AF446*in_hlth_small_ticket*in_hlth_small_comm*in_ins_partner_share+F446*in_hlth_small_ticket*in_hlth_small_renew_comm*in_ins_partner_share*(in_hlth_small_renew^1*SUMIFS(AF401:AF453,B401:B453,B446-12)+in_hlth_small_renew^2*SUMIFS(AF401:AF453,B401:B453,B446-24)+in_hlth_small_renew^3*SUMIFS(AF401:AF453,B401:B453,B446-36)+in_hlth_small_renew^4*SUMIFS(AF401:AF453,B401:B453,B446-48))</f>
        <v/>
      </c>
      <c r="AH446" s="40">
        <f>AH445*(1-IF(B445&gt;=in_marketplace_from,d_hz_hlth_family*G445,0))</f>
        <v/>
      </c>
      <c r="AI446" s="46">
        <f>AH446*IF(B446&gt;=in_marketplace_from,d_hz_hlth_family*G446,0)</f>
        <v/>
      </c>
      <c r="AJ446" s="14">
        <f>F446*AI446*in_hlth_family_ticket*in_hlth_family_comm*in_ins_partner_share+F446*in_hlth_family_ticket*in_hlth_family_renew_comm*in_ins_partner_share*(in_hlth_family_renew^1*SUMIFS(AI401:AI453,B401:B453,B446-12)+in_hlth_family_renew^2*SUMIFS(AI401:AI453,B401:B453,B446-24)+in_hlth_family_renew^3*SUMIFS(AI401:AI453,B401:B453,B446-36)+in_hlth_family_renew^4*SUMIFS(AI401:AI453,B401:B453,B446-48))</f>
        <v/>
      </c>
      <c r="AK446" s="40">
        <f>AK445*(1-IF(B445&gt;=in_marketplace_from,d_hz_life_term*G445,0))</f>
        <v/>
      </c>
      <c r="AL446" s="46">
        <f>AK446*IF(B446&gt;=in_marketplace_from,d_hz_life_term*G446,0)</f>
        <v/>
      </c>
      <c r="AM446" s="14">
        <f>F446*AL446*in_life_term_ticket*in_life_term_comm*in_ins_partner_share+F446*in_life_term_ticket*in_life_term_renew_comm*in_ins_partner_share*(in_life_term_renew^1*SUMIFS(AL401:AL453,B401:B453,B446-12)+in_life_term_renew^2*SUMIFS(AL401:AL453,B401:B453,B446-24)+in_life_term_renew^3*SUMIFS(AL401:AL453,B401:B453,B446-36)+in_life_term_renew^4*SUMIFS(AL401:AL453,B401:B453,B446-48))</f>
        <v/>
      </c>
      <c r="AN446" s="40">
        <f>AN445*(1-IF(B445&gt;=in_marketplace_from,d_hz_accident*G445,0))</f>
        <v/>
      </c>
      <c r="AO446" s="46">
        <f>AN446*IF(B446&gt;=in_marketplace_from,d_hz_accident*G446,0)</f>
        <v/>
      </c>
      <c r="AP446" s="14">
        <f>F446*AO446*in_accident_ticket*in_accident_comm*in_ins_partner_share+F446*in_accident_ticket*in_accident_renew_comm*in_ins_partner_share*(in_accident_renew^1*SUMIFS(AO401:AO453,B401:B453,B446-12)+in_accident_renew^2*SUMIFS(AO401:AO453,B401:B453,B446-24)+in_accident_renew^3*SUMIFS(AO401:AO453,B401:B453,B446-36)+in_accident_renew^4*SUMIFS(AO401:AO453,B401:B453,B446-48))</f>
        <v/>
      </c>
      <c r="AQ446" s="40">
        <f>AQ445*(1-IF(B445&gt;=in_marketplace_from,d_hz_two_wheeler*G445,0))</f>
        <v/>
      </c>
      <c r="AR446" s="46">
        <f>AQ446*IF(B446&gt;=in_marketplace_from,d_hz_two_wheeler*G446,0)</f>
        <v/>
      </c>
      <c r="AS446" s="14">
        <f>F446*AR446*in_two_wheeler_ticket*in_two_wheeler_comm*in_ins_partner_share+F446*in_two_wheeler_ticket*in_two_wheeler_comm*in_ins_partner_share*(in_two_wheeler_renew^1*SUMIFS(AR401:AR453,B401:B453,B446-12)+in_two_wheeler_renew^2*SUMIFS(AR401:AR453,B401:B453,B446-24)+in_two_wheeler_renew^3*SUMIFS(AR401:AR453,B401:B453,B446-36)+in_two_wheeler_renew^4*SUMIFS(AR401:AR453,B401:B453,B446-48))</f>
        <v/>
      </c>
      <c r="AT446" s="40">
        <f>AT445*(1-IF(B445&gt;=in_marketplace_from,d_hz_device*G445,0))</f>
        <v/>
      </c>
      <c r="AU446" s="14">
        <f>F446*AT446*IF(B446&gt;=in_marketplace_from,d_hz_device*G446,0)*in_device_ticket*in_device_comm*in_ins_partner_share</f>
        <v/>
      </c>
      <c r="AV446" s="40">
        <f>AV445*(1-IF(B445&gt;=in_marketplace_from,d_hz_shop*G445,0))</f>
        <v/>
      </c>
      <c r="AW446" s="46">
        <f>AV446*IF(B446&gt;=in_marketplace_from,d_hz_shop*G446,0)</f>
        <v/>
      </c>
      <c r="AX446" s="14">
        <f>F446*AW446*in_shop_ticket*in_shop_comm*in_ins_partner_share+F446*in_shop_ticket*in_shop_renew_comm*in_ins_partner_share*(in_shop_renew^1*SUMIFS(AW401:AW453,B401:B453,B446-12)+in_shop_renew^2*SUMIFS(AW401:AW453,B401:B453,B446-24)+in_shop_renew^3*SUMIFS(AW401:AW453,B401:B453,B446-36)+in_shop_renew^4*SUMIFS(AW401:AW453,B401:B453,B446-48))</f>
        <v/>
      </c>
      <c r="AY446" s="40">
        <f>AY445*(1-IF(B445&gt;=in_marketplace_from,d_hz_sip*G445,0))</f>
        <v/>
      </c>
      <c r="AZ446" s="40">
        <f>AZ445*d_rho_sip+AY446*IF(B446&gt;=in_marketplace_from,d_hz_sip*G446,0)</f>
        <v/>
      </c>
      <c r="BA446" s="40">
        <f>d_rho_sip*(BA445+AZ445)</f>
        <v/>
      </c>
      <c r="BB446" s="14">
        <f>F446*in_sip_ticket*(BA446+0.5*AZ446)*in_sip_comm/12</f>
        <v/>
      </c>
      <c r="BC446" s="40">
        <f>BC445*(1-IF(B445&gt;=in_marketplace_from,d_hz_choti*G445,0))</f>
        <v/>
      </c>
      <c r="BD446" s="46">
        <f>BC446*IF(B446&gt;=in_marketplace_from,d_hz_choti*G446,0)</f>
        <v/>
      </c>
      <c r="BE446" s="14">
        <f>F446*SUMIFS(BD401:BD453,B401:B453,B446-in_choti_months)*in_choti_renew*in_choti_ticket</f>
        <v/>
      </c>
      <c r="BF446" s="40">
        <f>BF445*(1-IF(B445&gt;=in_marketplace_from,d_hz_nps*G445,0))</f>
        <v/>
      </c>
      <c r="BG446" s="14">
        <f>F446*BF446*IF(B446&gt;=in_marketplace_from,d_hz_nps*G446,0)*in_nps_ticket*in_nps_comm</f>
        <v/>
      </c>
      <c r="BH446" s="40">
        <f>BH445*(1-IF(B445&gt;=in_marketplace_from,d_hz_gold*G445,0))</f>
        <v/>
      </c>
      <c r="BI446" s="40">
        <f>BI445*d_rho_gold+BH446*IF(B446&gt;=in_marketplace_from,d_hz_gold*G446,0)</f>
        <v/>
      </c>
      <c r="BJ446" s="14">
        <f>F446*BI446*in_gold_ticket*in_gold_comm</f>
        <v/>
      </c>
      <c r="BK446" s="40">
        <f>BK445*(1-IF(B445&gt;=in_marketplace_from,d_hz_fd*G445,0))</f>
        <v/>
      </c>
      <c r="BL446" s="14">
        <f>F446*BK446*IF(B446&gt;=in_marketplace_from,d_hz_fd*G446,0)*in_fd_ticket*in_fd_comm</f>
        <v/>
      </c>
      <c r="BM446" s="40">
        <f>BM445*(1-IF(B445&gt;=in_marketplace_from,d_hz_recharge*G445,0))</f>
        <v/>
      </c>
      <c r="BN446" s="40">
        <f>BN445*d_rho_recharge+BM446*IF(B446&gt;=in_marketplace_from,d_hz_recharge*G446,0)</f>
        <v/>
      </c>
      <c r="BO446" s="14">
        <f>F446*BN446*in_recharge_ticket*in_recharge_comm/12</f>
        <v/>
      </c>
      <c r="BP446" s="40">
        <f>BP445*(1-IF(B445&gt;=in_marketplace_from,d_hz_bills*G445,0))</f>
        <v/>
      </c>
      <c r="BQ446" s="40">
        <f>BQ445*d_rho_bills+BP446*IF(B446&gt;=in_marketplace_from,d_hz_bills*G446,0)</f>
        <v/>
      </c>
      <c r="BR446" s="14">
        <f>F446*BQ446*in_bills_ticket*in_bills_comm/12</f>
        <v/>
      </c>
      <c r="BS446" s="40">
        <f>BS445*(1-IF(B445&gt;=in_marketplace_from,d_hz_loan_gold*G445,0))</f>
        <v/>
      </c>
      <c r="BT446" s="14">
        <f>F446*BS446*IF(B446&gt;=in_marketplace_from,d_hz_loan_gold*G446,0)*in_loan_gold_ticket*in_loan_gold_comm</f>
        <v/>
      </c>
      <c r="BU446" s="40">
        <f>BU445*(1-IF(B445&gt;=in_marketplace_from,d_hz_loan_cd*G445,0))</f>
        <v/>
      </c>
      <c r="BV446" s="14">
        <f>F446*BU446*IF(B446&gt;=in_marketplace_from,d_hz_loan_cd*G446,0)*in_loan_cd_ticket*in_loan_cd_comm</f>
        <v/>
      </c>
      <c r="BW446" s="40">
        <f>BW445*(1-IF(B445&gt;=in_marketplace_from,d_hz_loan_vehicle*G445,0))</f>
        <v/>
      </c>
      <c r="BX446" s="14">
        <f>F446*BW446*IF(B446&gt;=in_marketplace_from,d_hz_loan_vehicle*G446,0)*in_loan_vehicle_ticket*in_loan_vehicle_comm</f>
        <v/>
      </c>
      <c r="BY446" s="40">
        <f>BY445*(1-IF(B445&gt;=in_marketplace_from,d_hz_loan_home*G445,0)*BZ445)</f>
        <v/>
      </c>
      <c r="BZ446" s="11">
        <f>MIN(in_approval_cap,in_loan_home_approval*INDEX('Age profile'!$O$2:$O$61,B446)*(1+in_approval_growth)^(D446-1))</f>
        <v/>
      </c>
      <c r="CA446" s="14">
        <f>F446*BY446*IF(B446&gt;=in_marketplace_from,d_hz_loan_home*G446,0)*BZ446*in_loan_home_ticket*in_loan_home_comm</f>
        <v/>
      </c>
      <c r="CB446" s="40">
        <f>CB445*(1-IF(B445&gt;=in_marketplace_from,d_hz_loan_lap*G445,0)*CC445)</f>
        <v/>
      </c>
      <c r="CC446" s="11">
        <f>MIN(in_approval_cap,in_loan_lap_approval*INDEX('Age profile'!$O$2:$O$61,B446)*(1+in_approval_growth)^(D446-1))</f>
        <v/>
      </c>
      <c r="CD446" s="14">
        <f>F446*CB446*IF(B446&gt;=in_marketplace_from,d_hz_loan_lap*G446,0)*CC446*in_loan_lap_ticket*in_loan_lap_comm</f>
        <v/>
      </c>
      <c r="CE446" s="14">
        <f>AA446+AB446+AC446+AD446+AG446+AJ446+AM446+AP446+AS446+AU446+AX446+BB446+BE446+BG446+BJ446+BL446+BO446+BR446+BT446+BV446+BX446+CA446+CD446</f>
        <v/>
      </c>
    </row>
    <row r="447">
      <c r="A447" s="39" t="n">
        <v>8</v>
      </c>
      <c r="B447" s="39" t="n">
        <v>47</v>
      </c>
      <c r="C447" s="39">
        <f>A447+B447-1</f>
        <v/>
      </c>
      <c r="D447" s="39">
        <f>INT((C447-1)/12)+1</f>
        <v/>
      </c>
      <c r="E447" s="44">
        <f>INDEX(Monthly!$B$2:$B$61,A447)</f>
        <v/>
      </c>
      <c r="F447" s="44">
        <f>E447*INDEX('Age profile'!$B$2:$B$61,B447)</f>
        <v/>
      </c>
      <c r="G447" s="45">
        <f>MIN(in_takeup_cap,INDEX('Age profile'!$N$2:$N$61,B447)*(1+in_takeup_growth)^(D447-1))</f>
        <v/>
      </c>
      <c r="H447" s="11">
        <f>MIN(in_approval_cap,in_approved_first*INDEX('Age profile'!$O$2:$O$61,B447)*(1+in_approval_growth)^(D447-1))</f>
        <v/>
      </c>
      <c r="I447" s="45">
        <f>G447*MIN(in_takeup_cap,INDEX('Age profile'!$O$2:$O$61,B447)*(1+in_approval_growth)^(D447-1))</f>
        <v/>
      </c>
      <c r="J447" s="40">
        <f>(J446-L446)*F447/F446</f>
        <v/>
      </c>
      <c r="K447" s="40">
        <f>(K446-M446)*F447/F446+SUMIFS(O401:O446,B401:B446,B447-1-d_T)*F447</f>
        <v/>
      </c>
      <c r="L447" s="40">
        <f>IF(B447&gt;=in_marketplace_from,J447*d_hz*G447*in_eligible*H447,0)</f>
        <v/>
      </c>
      <c r="M447" s="40">
        <f>IF(B447&gt;=in_marketplace_from,K447*d_hz*G447*in_eligible*in_approved_repeat,0)</f>
        <v/>
      </c>
      <c r="N447" s="40">
        <f>L447+M447</f>
        <v/>
      </c>
      <c r="O447" s="46">
        <f>N447/F447</f>
        <v/>
      </c>
      <c r="P447" s="40">
        <f>F447-J447-K447</f>
        <v/>
      </c>
      <c r="Q447" s="40">
        <f>IF(B447&gt;=in_marketplace_from,(J447+K447)*d_hz*G447,0)</f>
        <v/>
      </c>
      <c r="R447" s="40">
        <f>SUMIFS(N401:N453,B401:B453,"&gt;="&amp;(B447-d_T),B401:B453,"&lt;="&amp;(B447-1))</f>
        <v/>
      </c>
      <c r="S447" s="46">
        <f>(1-d_u)*S446+IF(d_T&gt;in_topup_lag,SUMIFS(O401:O453,B401:B453,B447-in_topup_lag)-d_udrop*SUMIFS(O401:O453,B401:B453,B447-d_T),0)</f>
        <v/>
      </c>
      <c r="T447" s="40">
        <f>F447*d_u*S447</f>
        <v/>
      </c>
      <c r="U447" s="9">
        <f>L447*in_ticket+M447*d_rep_ticket</f>
        <v/>
      </c>
      <c r="V447" s="9">
        <f>U447+T447*d_topup_amt</f>
        <v/>
      </c>
      <c r="W447" s="40">
        <f>N447+T447*d_topup_ratio</f>
        <v/>
      </c>
      <c r="X447" s="40">
        <f>SUMIFS(W401:W453,B401:B453,B447-in_dpd_lag)*d_cured</f>
        <v/>
      </c>
      <c r="Y447" s="40">
        <f>SUMIFS(W401:W453,B401:B453,B447-in_rec_lag)*d_recd</f>
        <v/>
      </c>
      <c r="Z447" s="40">
        <f>IF(AND(B447&gt;=in_marketplace_from,B447&lt;in_marketplace_from+in_card_months),in_card_share/in_card_months*F447*I447,IF(AND(B447&gt;=in_marketplace_from+in_card_months,B447&lt;in_marketplace_from+2*in_card_months),in_card_share*d_card_rem/in_card_months*F447*MIN(in_takeup_cap,(1+in_takeup_growth)^(D447-1))*MIN(in_takeup_cap,(1+in_approval_growth)^(D447-1)),0))</f>
        <v/>
      </c>
      <c r="AA447" s="14">
        <f>V447*in_fee*(1-in_taken_back)</f>
        <v/>
      </c>
      <c r="AB447" s="14">
        <f>SUMIFS(W401:W453,B401:B453,B447-in_dpd_lag)*d_dpd</f>
        <v/>
      </c>
      <c r="AC447" s="14">
        <f>SUMIFS(W401:W453,B401:B453,B447-in_rec_lag)*d_rec</f>
        <v/>
      </c>
      <c r="AD447" s="14">
        <f>Z447*in_card_fee</f>
        <v/>
      </c>
      <c r="AE447" s="40">
        <f>AE446*(1-IF(B446&gt;=in_marketplace_from,d_hz_hlth_small*G446,0))</f>
        <v/>
      </c>
      <c r="AF447" s="46">
        <f>AE447*IF(B447&gt;=in_marketplace_from,d_hz_hlth_small*G447,0)</f>
        <v/>
      </c>
      <c r="AG447" s="14">
        <f>F447*AF447*in_hlth_small_ticket*in_hlth_small_comm*in_ins_partner_share+F447*in_hlth_small_ticket*in_hlth_small_renew_comm*in_ins_partner_share*(in_hlth_small_renew^1*SUMIFS(AF401:AF453,B401:B453,B447-12)+in_hlth_small_renew^2*SUMIFS(AF401:AF453,B401:B453,B447-24)+in_hlth_small_renew^3*SUMIFS(AF401:AF453,B401:B453,B447-36)+in_hlth_small_renew^4*SUMIFS(AF401:AF453,B401:B453,B447-48))</f>
        <v/>
      </c>
      <c r="AH447" s="40">
        <f>AH446*(1-IF(B446&gt;=in_marketplace_from,d_hz_hlth_family*G446,0))</f>
        <v/>
      </c>
      <c r="AI447" s="46">
        <f>AH447*IF(B447&gt;=in_marketplace_from,d_hz_hlth_family*G447,0)</f>
        <v/>
      </c>
      <c r="AJ447" s="14">
        <f>F447*AI447*in_hlth_family_ticket*in_hlth_family_comm*in_ins_partner_share+F447*in_hlth_family_ticket*in_hlth_family_renew_comm*in_ins_partner_share*(in_hlth_family_renew^1*SUMIFS(AI401:AI453,B401:B453,B447-12)+in_hlth_family_renew^2*SUMIFS(AI401:AI453,B401:B453,B447-24)+in_hlth_family_renew^3*SUMIFS(AI401:AI453,B401:B453,B447-36)+in_hlth_family_renew^4*SUMIFS(AI401:AI453,B401:B453,B447-48))</f>
        <v/>
      </c>
      <c r="AK447" s="40">
        <f>AK446*(1-IF(B446&gt;=in_marketplace_from,d_hz_life_term*G446,0))</f>
        <v/>
      </c>
      <c r="AL447" s="46">
        <f>AK447*IF(B447&gt;=in_marketplace_from,d_hz_life_term*G447,0)</f>
        <v/>
      </c>
      <c r="AM447" s="14">
        <f>F447*AL447*in_life_term_ticket*in_life_term_comm*in_ins_partner_share+F447*in_life_term_ticket*in_life_term_renew_comm*in_ins_partner_share*(in_life_term_renew^1*SUMIFS(AL401:AL453,B401:B453,B447-12)+in_life_term_renew^2*SUMIFS(AL401:AL453,B401:B453,B447-24)+in_life_term_renew^3*SUMIFS(AL401:AL453,B401:B453,B447-36)+in_life_term_renew^4*SUMIFS(AL401:AL453,B401:B453,B447-48))</f>
        <v/>
      </c>
      <c r="AN447" s="40">
        <f>AN446*(1-IF(B446&gt;=in_marketplace_from,d_hz_accident*G446,0))</f>
        <v/>
      </c>
      <c r="AO447" s="46">
        <f>AN447*IF(B447&gt;=in_marketplace_from,d_hz_accident*G447,0)</f>
        <v/>
      </c>
      <c r="AP447" s="14">
        <f>F447*AO447*in_accident_ticket*in_accident_comm*in_ins_partner_share+F447*in_accident_ticket*in_accident_renew_comm*in_ins_partner_share*(in_accident_renew^1*SUMIFS(AO401:AO453,B401:B453,B447-12)+in_accident_renew^2*SUMIFS(AO401:AO453,B401:B453,B447-24)+in_accident_renew^3*SUMIFS(AO401:AO453,B401:B453,B447-36)+in_accident_renew^4*SUMIFS(AO401:AO453,B401:B453,B447-48))</f>
        <v/>
      </c>
      <c r="AQ447" s="40">
        <f>AQ446*(1-IF(B446&gt;=in_marketplace_from,d_hz_two_wheeler*G446,0))</f>
        <v/>
      </c>
      <c r="AR447" s="46">
        <f>AQ447*IF(B447&gt;=in_marketplace_from,d_hz_two_wheeler*G447,0)</f>
        <v/>
      </c>
      <c r="AS447" s="14">
        <f>F447*AR447*in_two_wheeler_ticket*in_two_wheeler_comm*in_ins_partner_share+F447*in_two_wheeler_ticket*in_two_wheeler_comm*in_ins_partner_share*(in_two_wheeler_renew^1*SUMIFS(AR401:AR453,B401:B453,B447-12)+in_two_wheeler_renew^2*SUMIFS(AR401:AR453,B401:B453,B447-24)+in_two_wheeler_renew^3*SUMIFS(AR401:AR453,B401:B453,B447-36)+in_two_wheeler_renew^4*SUMIFS(AR401:AR453,B401:B453,B447-48))</f>
        <v/>
      </c>
      <c r="AT447" s="40">
        <f>AT446*(1-IF(B446&gt;=in_marketplace_from,d_hz_device*G446,0))</f>
        <v/>
      </c>
      <c r="AU447" s="14">
        <f>F447*AT447*IF(B447&gt;=in_marketplace_from,d_hz_device*G447,0)*in_device_ticket*in_device_comm*in_ins_partner_share</f>
        <v/>
      </c>
      <c r="AV447" s="40">
        <f>AV446*(1-IF(B446&gt;=in_marketplace_from,d_hz_shop*G446,0))</f>
        <v/>
      </c>
      <c r="AW447" s="46">
        <f>AV447*IF(B447&gt;=in_marketplace_from,d_hz_shop*G447,0)</f>
        <v/>
      </c>
      <c r="AX447" s="14">
        <f>F447*AW447*in_shop_ticket*in_shop_comm*in_ins_partner_share+F447*in_shop_ticket*in_shop_renew_comm*in_ins_partner_share*(in_shop_renew^1*SUMIFS(AW401:AW453,B401:B453,B447-12)+in_shop_renew^2*SUMIFS(AW401:AW453,B401:B453,B447-24)+in_shop_renew^3*SUMIFS(AW401:AW453,B401:B453,B447-36)+in_shop_renew^4*SUMIFS(AW401:AW453,B401:B453,B447-48))</f>
        <v/>
      </c>
      <c r="AY447" s="40">
        <f>AY446*(1-IF(B446&gt;=in_marketplace_from,d_hz_sip*G446,0))</f>
        <v/>
      </c>
      <c r="AZ447" s="40">
        <f>AZ446*d_rho_sip+AY447*IF(B447&gt;=in_marketplace_from,d_hz_sip*G447,0)</f>
        <v/>
      </c>
      <c r="BA447" s="40">
        <f>d_rho_sip*(BA446+AZ446)</f>
        <v/>
      </c>
      <c r="BB447" s="14">
        <f>F447*in_sip_ticket*(BA447+0.5*AZ447)*in_sip_comm/12</f>
        <v/>
      </c>
      <c r="BC447" s="40">
        <f>BC446*(1-IF(B446&gt;=in_marketplace_from,d_hz_choti*G446,0))</f>
        <v/>
      </c>
      <c r="BD447" s="46">
        <f>BC447*IF(B447&gt;=in_marketplace_from,d_hz_choti*G447,0)</f>
        <v/>
      </c>
      <c r="BE447" s="14">
        <f>F447*SUMIFS(BD401:BD453,B401:B453,B447-in_choti_months)*in_choti_renew*in_choti_ticket</f>
        <v/>
      </c>
      <c r="BF447" s="40">
        <f>BF446*(1-IF(B446&gt;=in_marketplace_from,d_hz_nps*G446,0))</f>
        <v/>
      </c>
      <c r="BG447" s="14">
        <f>F447*BF447*IF(B447&gt;=in_marketplace_from,d_hz_nps*G447,0)*in_nps_ticket*in_nps_comm</f>
        <v/>
      </c>
      <c r="BH447" s="40">
        <f>BH446*(1-IF(B446&gt;=in_marketplace_from,d_hz_gold*G446,0))</f>
        <v/>
      </c>
      <c r="BI447" s="40">
        <f>BI446*d_rho_gold+BH447*IF(B447&gt;=in_marketplace_from,d_hz_gold*G447,0)</f>
        <v/>
      </c>
      <c r="BJ447" s="14">
        <f>F447*BI447*in_gold_ticket*in_gold_comm</f>
        <v/>
      </c>
      <c r="BK447" s="40">
        <f>BK446*(1-IF(B446&gt;=in_marketplace_from,d_hz_fd*G446,0))</f>
        <v/>
      </c>
      <c r="BL447" s="14">
        <f>F447*BK447*IF(B447&gt;=in_marketplace_from,d_hz_fd*G447,0)*in_fd_ticket*in_fd_comm</f>
        <v/>
      </c>
      <c r="BM447" s="40">
        <f>BM446*(1-IF(B446&gt;=in_marketplace_from,d_hz_recharge*G446,0))</f>
        <v/>
      </c>
      <c r="BN447" s="40">
        <f>BN446*d_rho_recharge+BM447*IF(B447&gt;=in_marketplace_from,d_hz_recharge*G447,0)</f>
        <v/>
      </c>
      <c r="BO447" s="14">
        <f>F447*BN447*in_recharge_ticket*in_recharge_comm/12</f>
        <v/>
      </c>
      <c r="BP447" s="40">
        <f>BP446*(1-IF(B446&gt;=in_marketplace_from,d_hz_bills*G446,0))</f>
        <v/>
      </c>
      <c r="BQ447" s="40">
        <f>BQ446*d_rho_bills+BP447*IF(B447&gt;=in_marketplace_from,d_hz_bills*G447,0)</f>
        <v/>
      </c>
      <c r="BR447" s="14">
        <f>F447*BQ447*in_bills_ticket*in_bills_comm/12</f>
        <v/>
      </c>
      <c r="BS447" s="40">
        <f>BS446*(1-IF(B446&gt;=in_marketplace_from,d_hz_loan_gold*G446,0))</f>
        <v/>
      </c>
      <c r="BT447" s="14">
        <f>F447*BS447*IF(B447&gt;=in_marketplace_from,d_hz_loan_gold*G447,0)*in_loan_gold_ticket*in_loan_gold_comm</f>
        <v/>
      </c>
      <c r="BU447" s="40">
        <f>BU446*(1-IF(B446&gt;=in_marketplace_from,d_hz_loan_cd*G446,0))</f>
        <v/>
      </c>
      <c r="BV447" s="14">
        <f>F447*BU447*IF(B447&gt;=in_marketplace_from,d_hz_loan_cd*G447,0)*in_loan_cd_ticket*in_loan_cd_comm</f>
        <v/>
      </c>
      <c r="BW447" s="40">
        <f>BW446*(1-IF(B446&gt;=in_marketplace_from,d_hz_loan_vehicle*G446,0))</f>
        <v/>
      </c>
      <c r="BX447" s="14">
        <f>F447*BW447*IF(B447&gt;=in_marketplace_from,d_hz_loan_vehicle*G447,0)*in_loan_vehicle_ticket*in_loan_vehicle_comm</f>
        <v/>
      </c>
      <c r="BY447" s="40">
        <f>BY446*(1-IF(B446&gt;=in_marketplace_from,d_hz_loan_home*G446,0)*BZ446)</f>
        <v/>
      </c>
      <c r="BZ447" s="11">
        <f>MIN(in_approval_cap,in_loan_home_approval*INDEX('Age profile'!$O$2:$O$61,B447)*(1+in_approval_growth)^(D447-1))</f>
        <v/>
      </c>
      <c r="CA447" s="14">
        <f>F447*BY447*IF(B447&gt;=in_marketplace_from,d_hz_loan_home*G447,0)*BZ447*in_loan_home_ticket*in_loan_home_comm</f>
        <v/>
      </c>
      <c r="CB447" s="40">
        <f>CB446*(1-IF(B446&gt;=in_marketplace_from,d_hz_loan_lap*G446,0)*CC446)</f>
        <v/>
      </c>
      <c r="CC447" s="11">
        <f>MIN(in_approval_cap,in_loan_lap_approval*INDEX('Age profile'!$O$2:$O$61,B447)*(1+in_approval_growth)^(D447-1))</f>
        <v/>
      </c>
      <c r="CD447" s="14">
        <f>F447*CB447*IF(B447&gt;=in_marketplace_from,d_hz_loan_lap*G447,0)*CC447*in_loan_lap_ticket*in_loan_lap_comm</f>
        <v/>
      </c>
      <c r="CE447" s="14">
        <f>AA447+AB447+AC447+AD447+AG447+AJ447+AM447+AP447+AS447+AU447+AX447+BB447+BE447+BG447+BJ447+BL447+BO447+BR447+BT447+BV447+BX447+CA447+CD447</f>
        <v/>
      </c>
    </row>
    <row r="448">
      <c r="A448" s="39" t="n">
        <v>8</v>
      </c>
      <c r="B448" s="39" t="n">
        <v>48</v>
      </c>
      <c r="C448" s="39">
        <f>A448+B448-1</f>
        <v/>
      </c>
      <c r="D448" s="39">
        <f>INT((C448-1)/12)+1</f>
        <v/>
      </c>
      <c r="E448" s="44">
        <f>INDEX(Monthly!$B$2:$B$61,A448)</f>
        <v/>
      </c>
      <c r="F448" s="44">
        <f>E448*INDEX('Age profile'!$B$2:$B$61,B448)</f>
        <v/>
      </c>
      <c r="G448" s="45">
        <f>MIN(in_takeup_cap,INDEX('Age profile'!$N$2:$N$61,B448)*(1+in_takeup_growth)^(D448-1))</f>
        <v/>
      </c>
      <c r="H448" s="11">
        <f>MIN(in_approval_cap,in_approved_first*INDEX('Age profile'!$O$2:$O$61,B448)*(1+in_approval_growth)^(D448-1))</f>
        <v/>
      </c>
      <c r="I448" s="45">
        <f>G448*MIN(in_takeup_cap,INDEX('Age profile'!$O$2:$O$61,B448)*(1+in_approval_growth)^(D448-1))</f>
        <v/>
      </c>
      <c r="J448" s="40">
        <f>(J447-L447)*F448/F447</f>
        <v/>
      </c>
      <c r="K448" s="40">
        <f>(K447-M447)*F448/F447+SUMIFS(O401:O447,B401:B447,B448-1-d_T)*F448</f>
        <v/>
      </c>
      <c r="L448" s="40">
        <f>IF(B448&gt;=in_marketplace_from,J448*d_hz*G448*in_eligible*H448,0)</f>
        <v/>
      </c>
      <c r="M448" s="40">
        <f>IF(B448&gt;=in_marketplace_from,K448*d_hz*G448*in_eligible*in_approved_repeat,0)</f>
        <v/>
      </c>
      <c r="N448" s="40">
        <f>L448+M448</f>
        <v/>
      </c>
      <c r="O448" s="46">
        <f>N448/F448</f>
        <v/>
      </c>
      <c r="P448" s="40">
        <f>F448-J448-K448</f>
        <v/>
      </c>
      <c r="Q448" s="40">
        <f>IF(B448&gt;=in_marketplace_from,(J448+K448)*d_hz*G448,0)</f>
        <v/>
      </c>
      <c r="R448" s="40">
        <f>SUMIFS(N401:N453,B401:B453,"&gt;="&amp;(B448-d_T),B401:B453,"&lt;="&amp;(B448-1))</f>
        <v/>
      </c>
      <c r="S448" s="46">
        <f>(1-d_u)*S447+IF(d_T&gt;in_topup_lag,SUMIFS(O401:O453,B401:B453,B448-in_topup_lag)-d_udrop*SUMIFS(O401:O453,B401:B453,B448-d_T),0)</f>
        <v/>
      </c>
      <c r="T448" s="40">
        <f>F448*d_u*S448</f>
        <v/>
      </c>
      <c r="U448" s="9">
        <f>L448*in_ticket+M448*d_rep_ticket</f>
        <v/>
      </c>
      <c r="V448" s="9">
        <f>U448+T448*d_topup_amt</f>
        <v/>
      </c>
      <c r="W448" s="40">
        <f>N448+T448*d_topup_ratio</f>
        <v/>
      </c>
      <c r="X448" s="40">
        <f>SUMIFS(W401:W453,B401:B453,B448-in_dpd_lag)*d_cured</f>
        <v/>
      </c>
      <c r="Y448" s="40">
        <f>SUMIFS(W401:W453,B401:B453,B448-in_rec_lag)*d_recd</f>
        <v/>
      </c>
      <c r="Z448" s="40">
        <f>IF(AND(B448&gt;=in_marketplace_from,B448&lt;in_marketplace_from+in_card_months),in_card_share/in_card_months*F448*I448,IF(AND(B448&gt;=in_marketplace_from+in_card_months,B448&lt;in_marketplace_from+2*in_card_months),in_card_share*d_card_rem/in_card_months*F448*MIN(in_takeup_cap,(1+in_takeup_growth)^(D448-1))*MIN(in_takeup_cap,(1+in_approval_growth)^(D448-1)),0))</f>
        <v/>
      </c>
      <c r="AA448" s="14">
        <f>V448*in_fee*(1-in_taken_back)</f>
        <v/>
      </c>
      <c r="AB448" s="14">
        <f>SUMIFS(W401:W453,B401:B453,B448-in_dpd_lag)*d_dpd</f>
        <v/>
      </c>
      <c r="AC448" s="14">
        <f>SUMIFS(W401:W453,B401:B453,B448-in_rec_lag)*d_rec</f>
        <v/>
      </c>
      <c r="AD448" s="14">
        <f>Z448*in_card_fee</f>
        <v/>
      </c>
      <c r="AE448" s="40">
        <f>AE447*(1-IF(B447&gt;=in_marketplace_from,d_hz_hlth_small*G447,0))</f>
        <v/>
      </c>
      <c r="AF448" s="46">
        <f>AE448*IF(B448&gt;=in_marketplace_from,d_hz_hlth_small*G448,0)</f>
        <v/>
      </c>
      <c r="AG448" s="14">
        <f>F448*AF448*in_hlth_small_ticket*in_hlth_small_comm*in_ins_partner_share+F448*in_hlth_small_ticket*in_hlth_small_renew_comm*in_ins_partner_share*(in_hlth_small_renew^1*SUMIFS(AF401:AF453,B401:B453,B448-12)+in_hlth_small_renew^2*SUMIFS(AF401:AF453,B401:B453,B448-24)+in_hlth_small_renew^3*SUMIFS(AF401:AF453,B401:B453,B448-36)+in_hlth_small_renew^4*SUMIFS(AF401:AF453,B401:B453,B448-48))</f>
        <v/>
      </c>
      <c r="AH448" s="40">
        <f>AH447*(1-IF(B447&gt;=in_marketplace_from,d_hz_hlth_family*G447,0))</f>
        <v/>
      </c>
      <c r="AI448" s="46">
        <f>AH448*IF(B448&gt;=in_marketplace_from,d_hz_hlth_family*G448,0)</f>
        <v/>
      </c>
      <c r="AJ448" s="14">
        <f>F448*AI448*in_hlth_family_ticket*in_hlth_family_comm*in_ins_partner_share+F448*in_hlth_family_ticket*in_hlth_family_renew_comm*in_ins_partner_share*(in_hlth_family_renew^1*SUMIFS(AI401:AI453,B401:B453,B448-12)+in_hlth_family_renew^2*SUMIFS(AI401:AI453,B401:B453,B448-24)+in_hlth_family_renew^3*SUMIFS(AI401:AI453,B401:B453,B448-36)+in_hlth_family_renew^4*SUMIFS(AI401:AI453,B401:B453,B448-48))</f>
        <v/>
      </c>
      <c r="AK448" s="40">
        <f>AK447*(1-IF(B447&gt;=in_marketplace_from,d_hz_life_term*G447,0))</f>
        <v/>
      </c>
      <c r="AL448" s="46">
        <f>AK448*IF(B448&gt;=in_marketplace_from,d_hz_life_term*G448,0)</f>
        <v/>
      </c>
      <c r="AM448" s="14">
        <f>F448*AL448*in_life_term_ticket*in_life_term_comm*in_ins_partner_share+F448*in_life_term_ticket*in_life_term_renew_comm*in_ins_partner_share*(in_life_term_renew^1*SUMIFS(AL401:AL453,B401:B453,B448-12)+in_life_term_renew^2*SUMIFS(AL401:AL453,B401:B453,B448-24)+in_life_term_renew^3*SUMIFS(AL401:AL453,B401:B453,B448-36)+in_life_term_renew^4*SUMIFS(AL401:AL453,B401:B453,B448-48))</f>
        <v/>
      </c>
      <c r="AN448" s="40">
        <f>AN447*(1-IF(B447&gt;=in_marketplace_from,d_hz_accident*G447,0))</f>
        <v/>
      </c>
      <c r="AO448" s="46">
        <f>AN448*IF(B448&gt;=in_marketplace_from,d_hz_accident*G448,0)</f>
        <v/>
      </c>
      <c r="AP448" s="14">
        <f>F448*AO448*in_accident_ticket*in_accident_comm*in_ins_partner_share+F448*in_accident_ticket*in_accident_renew_comm*in_ins_partner_share*(in_accident_renew^1*SUMIFS(AO401:AO453,B401:B453,B448-12)+in_accident_renew^2*SUMIFS(AO401:AO453,B401:B453,B448-24)+in_accident_renew^3*SUMIFS(AO401:AO453,B401:B453,B448-36)+in_accident_renew^4*SUMIFS(AO401:AO453,B401:B453,B448-48))</f>
        <v/>
      </c>
      <c r="AQ448" s="40">
        <f>AQ447*(1-IF(B447&gt;=in_marketplace_from,d_hz_two_wheeler*G447,0))</f>
        <v/>
      </c>
      <c r="AR448" s="46">
        <f>AQ448*IF(B448&gt;=in_marketplace_from,d_hz_two_wheeler*G448,0)</f>
        <v/>
      </c>
      <c r="AS448" s="14">
        <f>F448*AR448*in_two_wheeler_ticket*in_two_wheeler_comm*in_ins_partner_share+F448*in_two_wheeler_ticket*in_two_wheeler_comm*in_ins_partner_share*(in_two_wheeler_renew^1*SUMIFS(AR401:AR453,B401:B453,B448-12)+in_two_wheeler_renew^2*SUMIFS(AR401:AR453,B401:B453,B448-24)+in_two_wheeler_renew^3*SUMIFS(AR401:AR453,B401:B453,B448-36)+in_two_wheeler_renew^4*SUMIFS(AR401:AR453,B401:B453,B448-48))</f>
        <v/>
      </c>
      <c r="AT448" s="40">
        <f>AT447*(1-IF(B447&gt;=in_marketplace_from,d_hz_device*G447,0))</f>
        <v/>
      </c>
      <c r="AU448" s="14">
        <f>F448*AT448*IF(B448&gt;=in_marketplace_from,d_hz_device*G448,0)*in_device_ticket*in_device_comm*in_ins_partner_share</f>
        <v/>
      </c>
      <c r="AV448" s="40">
        <f>AV447*(1-IF(B447&gt;=in_marketplace_from,d_hz_shop*G447,0))</f>
        <v/>
      </c>
      <c r="AW448" s="46">
        <f>AV448*IF(B448&gt;=in_marketplace_from,d_hz_shop*G448,0)</f>
        <v/>
      </c>
      <c r="AX448" s="14">
        <f>F448*AW448*in_shop_ticket*in_shop_comm*in_ins_partner_share+F448*in_shop_ticket*in_shop_renew_comm*in_ins_partner_share*(in_shop_renew^1*SUMIFS(AW401:AW453,B401:B453,B448-12)+in_shop_renew^2*SUMIFS(AW401:AW453,B401:B453,B448-24)+in_shop_renew^3*SUMIFS(AW401:AW453,B401:B453,B448-36)+in_shop_renew^4*SUMIFS(AW401:AW453,B401:B453,B448-48))</f>
        <v/>
      </c>
      <c r="AY448" s="40">
        <f>AY447*(1-IF(B447&gt;=in_marketplace_from,d_hz_sip*G447,0))</f>
        <v/>
      </c>
      <c r="AZ448" s="40">
        <f>AZ447*d_rho_sip+AY448*IF(B448&gt;=in_marketplace_from,d_hz_sip*G448,0)</f>
        <v/>
      </c>
      <c r="BA448" s="40">
        <f>d_rho_sip*(BA447+AZ447)</f>
        <v/>
      </c>
      <c r="BB448" s="14">
        <f>F448*in_sip_ticket*(BA448+0.5*AZ448)*in_sip_comm/12</f>
        <v/>
      </c>
      <c r="BC448" s="40">
        <f>BC447*(1-IF(B447&gt;=in_marketplace_from,d_hz_choti*G447,0))</f>
        <v/>
      </c>
      <c r="BD448" s="46">
        <f>BC448*IF(B448&gt;=in_marketplace_from,d_hz_choti*G448,0)</f>
        <v/>
      </c>
      <c r="BE448" s="14">
        <f>F448*SUMIFS(BD401:BD453,B401:B453,B448-in_choti_months)*in_choti_renew*in_choti_ticket</f>
        <v/>
      </c>
      <c r="BF448" s="40">
        <f>BF447*(1-IF(B447&gt;=in_marketplace_from,d_hz_nps*G447,0))</f>
        <v/>
      </c>
      <c r="BG448" s="14">
        <f>F448*BF448*IF(B448&gt;=in_marketplace_from,d_hz_nps*G448,0)*in_nps_ticket*in_nps_comm</f>
        <v/>
      </c>
      <c r="BH448" s="40">
        <f>BH447*(1-IF(B447&gt;=in_marketplace_from,d_hz_gold*G447,0))</f>
        <v/>
      </c>
      <c r="BI448" s="40">
        <f>BI447*d_rho_gold+BH448*IF(B448&gt;=in_marketplace_from,d_hz_gold*G448,0)</f>
        <v/>
      </c>
      <c r="BJ448" s="14">
        <f>F448*BI448*in_gold_ticket*in_gold_comm</f>
        <v/>
      </c>
      <c r="BK448" s="40">
        <f>BK447*(1-IF(B447&gt;=in_marketplace_from,d_hz_fd*G447,0))</f>
        <v/>
      </c>
      <c r="BL448" s="14">
        <f>F448*BK448*IF(B448&gt;=in_marketplace_from,d_hz_fd*G448,0)*in_fd_ticket*in_fd_comm</f>
        <v/>
      </c>
      <c r="BM448" s="40">
        <f>BM447*(1-IF(B447&gt;=in_marketplace_from,d_hz_recharge*G447,0))</f>
        <v/>
      </c>
      <c r="BN448" s="40">
        <f>BN447*d_rho_recharge+BM448*IF(B448&gt;=in_marketplace_from,d_hz_recharge*G448,0)</f>
        <v/>
      </c>
      <c r="BO448" s="14">
        <f>F448*BN448*in_recharge_ticket*in_recharge_comm/12</f>
        <v/>
      </c>
      <c r="BP448" s="40">
        <f>BP447*(1-IF(B447&gt;=in_marketplace_from,d_hz_bills*G447,0))</f>
        <v/>
      </c>
      <c r="BQ448" s="40">
        <f>BQ447*d_rho_bills+BP448*IF(B448&gt;=in_marketplace_from,d_hz_bills*G448,0)</f>
        <v/>
      </c>
      <c r="BR448" s="14">
        <f>F448*BQ448*in_bills_ticket*in_bills_comm/12</f>
        <v/>
      </c>
      <c r="BS448" s="40">
        <f>BS447*(1-IF(B447&gt;=in_marketplace_from,d_hz_loan_gold*G447,0))</f>
        <v/>
      </c>
      <c r="BT448" s="14">
        <f>F448*BS448*IF(B448&gt;=in_marketplace_from,d_hz_loan_gold*G448,0)*in_loan_gold_ticket*in_loan_gold_comm</f>
        <v/>
      </c>
      <c r="BU448" s="40">
        <f>BU447*(1-IF(B447&gt;=in_marketplace_from,d_hz_loan_cd*G447,0))</f>
        <v/>
      </c>
      <c r="BV448" s="14">
        <f>F448*BU448*IF(B448&gt;=in_marketplace_from,d_hz_loan_cd*G448,0)*in_loan_cd_ticket*in_loan_cd_comm</f>
        <v/>
      </c>
      <c r="BW448" s="40">
        <f>BW447*(1-IF(B447&gt;=in_marketplace_from,d_hz_loan_vehicle*G447,0))</f>
        <v/>
      </c>
      <c r="BX448" s="14">
        <f>F448*BW448*IF(B448&gt;=in_marketplace_from,d_hz_loan_vehicle*G448,0)*in_loan_vehicle_ticket*in_loan_vehicle_comm</f>
        <v/>
      </c>
      <c r="BY448" s="40">
        <f>BY447*(1-IF(B447&gt;=in_marketplace_from,d_hz_loan_home*G447,0)*BZ447)</f>
        <v/>
      </c>
      <c r="BZ448" s="11">
        <f>MIN(in_approval_cap,in_loan_home_approval*INDEX('Age profile'!$O$2:$O$61,B448)*(1+in_approval_growth)^(D448-1))</f>
        <v/>
      </c>
      <c r="CA448" s="14">
        <f>F448*BY448*IF(B448&gt;=in_marketplace_from,d_hz_loan_home*G448,0)*BZ448*in_loan_home_ticket*in_loan_home_comm</f>
        <v/>
      </c>
      <c r="CB448" s="40">
        <f>CB447*(1-IF(B447&gt;=in_marketplace_from,d_hz_loan_lap*G447,0)*CC447)</f>
        <v/>
      </c>
      <c r="CC448" s="11">
        <f>MIN(in_approval_cap,in_loan_lap_approval*INDEX('Age profile'!$O$2:$O$61,B448)*(1+in_approval_growth)^(D448-1))</f>
        <v/>
      </c>
      <c r="CD448" s="14">
        <f>F448*CB448*IF(B448&gt;=in_marketplace_from,d_hz_loan_lap*G448,0)*CC448*in_loan_lap_ticket*in_loan_lap_comm</f>
        <v/>
      </c>
      <c r="CE448" s="14">
        <f>AA448+AB448+AC448+AD448+AG448+AJ448+AM448+AP448+AS448+AU448+AX448+BB448+BE448+BG448+BJ448+BL448+BO448+BR448+BT448+BV448+BX448+CA448+CD448</f>
        <v/>
      </c>
    </row>
    <row r="449">
      <c r="A449" s="39" t="n">
        <v>8</v>
      </c>
      <c r="B449" s="39" t="n">
        <v>49</v>
      </c>
      <c r="C449" s="39">
        <f>A449+B449-1</f>
        <v/>
      </c>
      <c r="D449" s="39">
        <f>INT((C449-1)/12)+1</f>
        <v/>
      </c>
      <c r="E449" s="44">
        <f>INDEX(Monthly!$B$2:$B$61,A449)</f>
        <v/>
      </c>
      <c r="F449" s="44">
        <f>E449*INDEX('Age profile'!$B$2:$B$61,B449)</f>
        <v/>
      </c>
      <c r="G449" s="45">
        <f>MIN(in_takeup_cap,INDEX('Age profile'!$N$2:$N$61,B449)*(1+in_takeup_growth)^(D449-1))</f>
        <v/>
      </c>
      <c r="H449" s="11">
        <f>MIN(in_approval_cap,in_approved_first*INDEX('Age profile'!$O$2:$O$61,B449)*(1+in_approval_growth)^(D449-1))</f>
        <v/>
      </c>
      <c r="I449" s="45">
        <f>G449*MIN(in_takeup_cap,INDEX('Age profile'!$O$2:$O$61,B449)*(1+in_approval_growth)^(D449-1))</f>
        <v/>
      </c>
      <c r="J449" s="40">
        <f>(J448-L448)*F449/F448</f>
        <v/>
      </c>
      <c r="K449" s="40">
        <f>(K448-M448)*F449/F448+SUMIFS(O401:O448,B401:B448,B449-1-d_T)*F449</f>
        <v/>
      </c>
      <c r="L449" s="40">
        <f>IF(B449&gt;=in_marketplace_from,J449*d_hz*G449*in_eligible*H449,0)</f>
        <v/>
      </c>
      <c r="M449" s="40">
        <f>IF(B449&gt;=in_marketplace_from,K449*d_hz*G449*in_eligible*in_approved_repeat,0)</f>
        <v/>
      </c>
      <c r="N449" s="40">
        <f>L449+M449</f>
        <v/>
      </c>
      <c r="O449" s="46">
        <f>N449/F449</f>
        <v/>
      </c>
      <c r="P449" s="40">
        <f>F449-J449-K449</f>
        <v/>
      </c>
      <c r="Q449" s="40">
        <f>IF(B449&gt;=in_marketplace_from,(J449+K449)*d_hz*G449,0)</f>
        <v/>
      </c>
      <c r="R449" s="40">
        <f>SUMIFS(N401:N453,B401:B453,"&gt;="&amp;(B449-d_T),B401:B453,"&lt;="&amp;(B449-1))</f>
        <v/>
      </c>
      <c r="S449" s="46">
        <f>(1-d_u)*S448+IF(d_T&gt;in_topup_lag,SUMIFS(O401:O453,B401:B453,B449-in_topup_lag)-d_udrop*SUMIFS(O401:O453,B401:B453,B449-d_T),0)</f>
        <v/>
      </c>
      <c r="T449" s="40">
        <f>F449*d_u*S449</f>
        <v/>
      </c>
      <c r="U449" s="9">
        <f>L449*in_ticket+M449*d_rep_ticket</f>
        <v/>
      </c>
      <c r="V449" s="9">
        <f>U449+T449*d_topup_amt</f>
        <v/>
      </c>
      <c r="W449" s="40">
        <f>N449+T449*d_topup_ratio</f>
        <v/>
      </c>
      <c r="X449" s="40">
        <f>SUMIFS(W401:W453,B401:B453,B449-in_dpd_lag)*d_cured</f>
        <v/>
      </c>
      <c r="Y449" s="40">
        <f>SUMIFS(W401:W453,B401:B453,B449-in_rec_lag)*d_recd</f>
        <v/>
      </c>
      <c r="Z449" s="40">
        <f>IF(AND(B449&gt;=in_marketplace_from,B449&lt;in_marketplace_from+in_card_months),in_card_share/in_card_months*F449*I449,IF(AND(B449&gt;=in_marketplace_from+in_card_months,B449&lt;in_marketplace_from+2*in_card_months),in_card_share*d_card_rem/in_card_months*F449*MIN(in_takeup_cap,(1+in_takeup_growth)^(D449-1))*MIN(in_takeup_cap,(1+in_approval_growth)^(D449-1)),0))</f>
        <v/>
      </c>
      <c r="AA449" s="14">
        <f>V449*in_fee*(1-in_taken_back)</f>
        <v/>
      </c>
      <c r="AB449" s="14">
        <f>SUMIFS(W401:W453,B401:B453,B449-in_dpd_lag)*d_dpd</f>
        <v/>
      </c>
      <c r="AC449" s="14">
        <f>SUMIFS(W401:W453,B401:B453,B449-in_rec_lag)*d_rec</f>
        <v/>
      </c>
      <c r="AD449" s="14">
        <f>Z449*in_card_fee</f>
        <v/>
      </c>
      <c r="AE449" s="40">
        <f>AE448*(1-IF(B448&gt;=in_marketplace_from,d_hz_hlth_small*G448,0))</f>
        <v/>
      </c>
      <c r="AF449" s="46">
        <f>AE449*IF(B449&gt;=in_marketplace_from,d_hz_hlth_small*G449,0)</f>
        <v/>
      </c>
      <c r="AG449" s="14">
        <f>F449*AF449*in_hlth_small_ticket*in_hlth_small_comm*in_ins_partner_share+F449*in_hlth_small_ticket*in_hlth_small_renew_comm*in_ins_partner_share*(in_hlth_small_renew^1*SUMIFS(AF401:AF453,B401:B453,B449-12)+in_hlth_small_renew^2*SUMIFS(AF401:AF453,B401:B453,B449-24)+in_hlth_small_renew^3*SUMIFS(AF401:AF453,B401:B453,B449-36)+in_hlth_small_renew^4*SUMIFS(AF401:AF453,B401:B453,B449-48))</f>
        <v/>
      </c>
      <c r="AH449" s="40">
        <f>AH448*(1-IF(B448&gt;=in_marketplace_from,d_hz_hlth_family*G448,0))</f>
        <v/>
      </c>
      <c r="AI449" s="46">
        <f>AH449*IF(B449&gt;=in_marketplace_from,d_hz_hlth_family*G449,0)</f>
        <v/>
      </c>
      <c r="AJ449" s="14">
        <f>F449*AI449*in_hlth_family_ticket*in_hlth_family_comm*in_ins_partner_share+F449*in_hlth_family_ticket*in_hlth_family_renew_comm*in_ins_partner_share*(in_hlth_family_renew^1*SUMIFS(AI401:AI453,B401:B453,B449-12)+in_hlth_family_renew^2*SUMIFS(AI401:AI453,B401:B453,B449-24)+in_hlth_family_renew^3*SUMIFS(AI401:AI453,B401:B453,B449-36)+in_hlth_family_renew^4*SUMIFS(AI401:AI453,B401:B453,B449-48))</f>
        <v/>
      </c>
      <c r="AK449" s="40">
        <f>AK448*(1-IF(B448&gt;=in_marketplace_from,d_hz_life_term*G448,0))</f>
        <v/>
      </c>
      <c r="AL449" s="46">
        <f>AK449*IF(B449&gt;=in_marketplace_from,d_hz_life_term*G449,0)</f>
        <v/>
      </c>
      <c r="AM449" s="14">
        <f>F449*AL449*in_life_term_ticket*in_life_term_comm*in_ins_partner_share+F449*in_life_term_ticket*in_life_term_renew_comm*in_ins_partner_share*(in_life_term_renew^1*SUMIFS(AL401:AL453,B401:B453,B449-12)+in_life_term_renew^2*SUMIFS(AL401:AL453,B401:B453,B449-24)+in_life_term_renew^3*SUMIFS(AL401:AL453,B401:B453,B449-36)+in_life_term_renew^4*SUMIFS(AL401:AL453,B401:B453,B449-48))</f>
        <v/>
      </c>
      <c r="AN449" s="40">
        <f>AN448*(1-IF(B448&gt;=in_marketplace_from,d_hz_accident*G448,0))</f>
        <v/>
      </c>
      <c r="AO449" s="46">
        <f>AN449*IF(B449&gt;=in_marketplace_from,d_hz_accident*G449,0)</f>
        <v/>
      </c>
      <c r="AP449" s="14">
        <f>F449*AO449*in_accident_ticket*in_accident_comm*in_ins_partner_share+F449*in_accident_ticket*in_accident_renew_comm*in_ins_partner_share*(in_accident_renew^1*SUMIFS(AO401:AO453,B401:B453,B449-12)+in_accident_renew^2*SUMIFS(AO401:AO453,B401:B453,B449-24)+in_accident_renew^3*SUMIFS(AO401:AO453,B401:B453,B449-36)+in_accident_renew^4*SUMIFS(AO401:AO453,B401:B453,B449-48))</f>
        <v/>
      </c>
      <c r="AQ449" s="40">
        <f>AQ448*(1-IF(B448&gt;=in_marketplace_from,d_hz_two_wheeler*G448,0))</f>
        <v/>
      </c>
      <c r="AR449" s="46">
        <f>AQ449*IF(B449&gt;=in_marketplace_from,d_hz_two_wheeler*G449,0)</f>
        <v/>
      </c>
      <c r="AS449" s="14">
        <f>F449*AR449*in_two_wheeler_ticket*in_two_wheeler_comm*in_ins_partner_share+F449*in_two_wheeler_ticket*in_two_wheeler_comm*in_ins_partner_share*(in_two_wheeler_renew^1*SUMIFS(AR401:AR453,B401:B453,B449-12)+in_two_wheeler_renew^2*SUMIFS(AR401:AR453,B401:B453,B449-24)+in_two_wheeler_renew^3*SUMIFS(AR401:AR453,B401:B453,B449-36)+in_two_wheeler_renew^4*SUMIFS(AR401:AR453,B401:B453,B449-48))</f>
        <v/>
      </c>
      <c r="AT449" s="40">
        <f>AT448*(1-IF(B448&gt;=in_marketplace_from,d_hz_device*G448,0))</f>
        <v/>
      </c>
      <c r="AU449" s="14">
        <f>F449*AT449*IF(B449&gt;=in_marketplace_from,d_hz_device*G449,0)*in_device_ticket*in_device_comm*in_ins_partner_share</f>
        <v/>
      </c>
      <c r="AV449" s="40">
        <f>AV448*(1-IF(B448&gt;=in_marketplace_from,d_hz_shop*G448,0))</f>
        <v/>
      </c>
      <c r="AW449" s="46">
        <f>AV449*IF(B449&gt;=in_marketplace_from,d_hz_shop*G449,0)</f>
        <v/>
      </c>
      <c r="AX449" s="14">
        <f>F449*AW449*in_shop_ticket*in_shop_comm*in_ins_partner_share+F449*in_shop_ticket*in_shop_renew_comm*in_ins_partner_share*(in_shop_renew^1*SUMIFS(AW401:AW453,B401:B453,B449-12)+in_shop_renew^2*SUMIFS(AW401:AW453,B401:B453,B449-24)+in_shop_renew^3*SUMIFS(AW401:AW453,B401:B453,B449-36)+in_shop_renew^4*SUMIFS(AW401:AW453,B401:B453,B449-48))</f>
        <v/>
      </c>
      <c r="AY449" s="40">
        <f>AY448*(1-IF(B448&gt;=in_marketplace_from,d_hz_sip*G448,0))</f>
        <v/>
      </c>
      <c r="AZ449" s="40">
        <f>AZ448*d_rho_sip+AY449*IF(B449&gt;=in_marketplace_from,d_hz_sip*G449,0)</f>
        <v/>
      </c>
      <c r="BA449" s="40">
        <f>d_rho_sip*(BA448+AZ448)</f>
        <v/>
      </c>
      <c r="BB449" s="14">
        <f>F449*in_sip_ticket*(BA449+0.5*AZ449)*in_sip_comm/12</f>
        <v/>
      </c>
      <c r="BC449" s="40">
        <f>BC448*(1-IF(B448&gt;=in_marketplace_from,d_hz_choti*G448,0))</f>
        <v/>
      </c>
      <c r="BD449" s="46">
        <f>BC449*IF(B449&gt;=in_marketplace_from,d_hz_choti*G449,0)</f>
        <v/>
      </c>
      <c r="BE449" s="14">
        <f>F449*SUMIFS(BD401:BD453,B401:B453,B449-in_choti_months)*in_choti_renew*in_choti_ticket</f>
        <v/>
      </c>
      <c r="BF449" s="40">
        <f>BF448*(1-IF(B448&gt;=in_marketplace_from,d_hz_nps*G448,0))</f>
        <v/>
      </c>
      <c r="BG449" s="14">
        <f>F449*BF449*IF(B449&gt;=in_marketplace_from,d_hz_nps*G449,0)*in_nps_ticket*in_nps_comm</f>
        <v/>
      </c>
      <c r="BH449" s="40">
        <f>BH448*(1-IF(B448&gt;=in_marketplace_from,d_hz_gold*G448,0))</f>
        <v/>
      </c>
      <c r="BI449" s="40">
        <f>BI448*d_rho_gold+BH449*IF(B449&gt;=in_marketplace_from,d_hz_gold*G449,0)</f>
        <v/>
      </c>
      <c r="BJ449" s="14">
        <f>F449*BI449*in_gold_ticket*in_gold_comm</f>
        <v/>
      </c>
      <c r="BK449" s="40">
        <f>BK448*(1-IF(B448&gt;=in_marketplace_from,d_hz_fd*G448,0))</f>
        <v/>
      </c>
      <c r="BL449" s="14">
        <f>F449*BK449*IF(B449&gt;=in_marketplace_from,d_hz_fd*G449,0)*in_fd_ticket*in_fd_comm</f>
        <v/>
      </c>
      <c r="BM449" s="40">
        <f>BM448*(1-IF(B448&gt;=in_marketplace_from,d_hz_recharge*G448,0))</f>
        <v/>
      </c>
      <c r="BN449" s="40">
        <f>BN448*d_rho_recharge+BM449*IF(B449&gt;=in_marketplace_from,d_hz_recharge*G449,0)</f>
        <v/>
      </c>
      <c r="BO449" s="14">
        <f>F449*BN449*in_recharge_ticket*in_recharge_comm/12</f>
        <v/>
      </c>
      <c r="BP449" s="40">
        <f>BP448*(1-IF(B448&gt;=in_marketplace_from,d_hz_bills*G448,0))</f>
        <v/>
      </c>
      <c r="BQ449" s="40">
        <f>BQ448*d_rho_bills+BP449*IF(B449&gt;=in_marketplace_from,d_hz_bills*G449,0)</f>
        <v/>
      </c>
      <c r="BR449" s="14">
        <f>F449*BQ449*in_bills_ticket*in_bills_comm/12</f>
        <v/>
      </c>
      <c r="BS449" s="40">
        <f>BS448*(1-IF(B448&gt;=in_marketplace_from,d_hz_loan_gold*G448,0))</f>
        <v/>
      </c>
      <c r="BT449" s="14">
        <f>F449*BS449*IF(B449&gt;=in_marketplace_from,d_hz_loan_gold*G449,0)*in_loan_gold_ticket*in_loan_gold_comm</f>
        <v/>
      </c>
      <c r="BU449" s="40">
        <f>BU448*(1-IF(B448&gt;=in_marketplace_from,d_hz_loan_cd*G448,0))</f>
        <v/>
      </c>
      <c r="BV449" s="14">
        <f>F449*BU449*IF(B449&gt;=in_marketplace_from,d_hz_loan_cd*G449,0)*in_loan_cd_ticket*in_loan_cd_comm</f>
        <v/>
      </c>
      <c r="BW449" s="40">
        <f>BW448*(1-IF(B448&gt;=in_marketplace_from,d_hz_loan_vehicle*G448,0))</f>
        <v/>
      </c>
      <c r="BX449" s="14">
        <f>F449*BW449*IF(B449&gt;=in_marketplace_from,d_hz_loan_vehicle*G449,0)*in_loan_vehicle_ticket*in_loan_vehicle_comm</f>
        <v/>
      </c>
      <c r="BY449" s="40">
        <f>BY448*(1-IF(B448&gt;=in_marketplace_from,d_hz_loan_home*G448,0)*BZ448)</f>
        <v/>
      </c>
      <c r="BZ449" s="11">
        <f>MIN(in_approval_cap,in_loan_home_approval*INDEX('Age profile'!$O$2:$O$61,B449)*(1+in_approval_growth)^(D449-1))</f>
        <v/>
      </c>
      <c r="CA449" s="14">
        <f>F449*BY449*IF(B449&gt;=in_marketplace_from,d_hz_loan_home*G449,0)*BZ449*in_loan_home_ticket*in_loan_home_comm</f>
        <v/>
      </c>
      <c r="CB449" s="40">
        <f>CB448*(1-IF(B448&gt;=in_marketplace_from,d_hz_loan_lap*G448,0)*CC448)</f>
        <v/>
      </c>
      <c r="CC449" s="11">
        <f>MIN(in_approval_cap,in_loan_lap_approval*INDEX('Age profile'!$O$2:$O$61,B449)*(1+in_approval_growth)^(D449-1))</f>
        <v/>
      </c>
      <c r="CD449" s="14">
        <f>F449*CB449*IF(B449&gt;=in_marketplace_from,d_hz_loan_lap*G449,0)*CC449*in_loan_lap_ticket*in_loan_lap_comm</f>
        <v/>
      </c>
      <c r="CE449" s="14">
        <f>AA449+AB449+AC449+AD449+AG449+AJ449+AM449+AP449+AS449+AU449+AX449+BB449+BE449+BG449+BJ449+BL449+BO449+BR449+BT449+BV449+BX449+CA449+CD449</f>
        <v/>
      </c>
    </row>
    <row r="450">
      <c r="A450" s="39" t="n">
        <v>8</v>
      </c>
      <c r="B450" s="39" t="n">
        <v>50</v>
      </c>
      <c r="C450" s="39">
        <f>A450+B450-1</f>
        <v/>
      </c>
      <c r="D450" s="39">
        <f>INT((C450-1)/12)+1</f>
        <v/>
      </c>
      <c r="E450" s="44">
        <f>INDEX(Monthly!$B$2:$B$61,A450)</f>
        <v/>
      </c>
      <c r="F450" s="44">
        <f>E450*INDEX('Age profile'!$B$2:$B$61,B450)</f>
        <v/>
      </c>
      <c r="G450" s="45">
        <f>MIN(in_takeup_cap,INDEX('Age profile'!$N$2:$N$61,B450)*(1+in_takeup_growth)^(D450-1))</f>
        <v/>
      </c>
      <c r="H450" s="11">
        <f>MIN(in_approval_cap,in_approved_first*INDEX('Age profile'!$O$2:$O$61,B450)*(1+in_approval_growth)^(D450-1))</f>
        <v/>
      </c>
      <c r="I450" s="45">
        <f>G450*MIN(in_takeup_cap,INDEX('Age profile'!$O$2:$O$61,B450)*(1+in_approval_growth)^(D450-1))</f>
        <v/>
      </c>
      <c r="J450" s="40">
        <f>(J449-L449)*F450/F449</f>
        <v/>
      </c>
      <c r="K450" s="40">
        <f>(K449-M449)*F450/F449+SUMIFS(O401:O449,B401:B449,B450-1-d_T)*F450</f>
        <v/>
      </c>
      <c r="L450" s="40">
        <f>IF(B450&gt;=in_marketplace_from,J450*d_hz*G450*in_eligible*H450,0)</f>
        <v/>
      </c>
      <c r="M450" s="40">
        <f>IF(B450&gt;=in_marketplace_from,K450*d_hz*G450*in_eligible*in_approved_repeat,0)</f>
        <v/>
      </c>
      <c r="N450" s="40">
        <f>L450+M450</f>
        <v/>
      </c>
      <c r="O450" s="46">
        <f>N450/F450</f>
        <v/>
      </c>
      <c r="P450" s="40">
        <f>F450-J450-K450</f>
        <v/>
      </c>
      <c r="Q450" s="40">
        <f>IF(B450&gt;=in_marketplace_from,(J450+K450)*d_hz*G450,0)</f>
        <v/>
      </c>
      <c r="R450" s="40">
        <f>SUMIFS(N401:N453,B401:B453,"&gt;="&amp;(B450-d_T),B401:B453,"&lt;="&amp;(B450-1))</f>
        <v/>
      </c>
      <c r="S450" s="46">
        <f>(1-d_u)*S449+IF(d_T&gt;in_topup_lag,SUMIFS(O401:O453,B401:B453,B450-in_topup_lag)-d_udrop*SUMIFS(O401:O453,B401:B453,B450-d_T),0)</f>
        <v/>
      </c>
      <c r="T450" s="40">
        <f>F450*d_u*S450</f>
        <v/>
      </c>
      <c r="U450" s="9">
        <f>L450*in_ticket+M450*d_rep_ticket</f>
        <v/>
      </c>
      <c r="V450" s="9">
        <f>U450+T450*d_topup_amt</f>
        <v/>
      </c>
      <c r="W450" s="40">
        <f>N450+T450*d_topup_ratio</f>
        <v/>
      </c>
      <c r="X450" s="40">
        <f>SUMIFS(W401:W453,B401:B453,B450-in_dpd_lag)*d_cured</f>
        <v/>
      </c>
      <c r="Y450" s="40">
        <f>SUMIFS(W401:W453,B401:B453,B450-in_rec_lag)*d_recd</f>
        <v/>
      </c>
      <c r="Z450" s="40">
        <f>IF(AND(B450&gt;=in_marketplace_from,B450&lt;in_marketplace_from+in_card_months),in_card_share/in_card_months*F450*I450,IF(AND(B450&gt;=in_marketplace_from+in_card_months,B450&lt;in_marketplace_from+2*in_card_months),in_card_share*d_card_rem/in_card_months*F450*MIN(in_takeup_cap,(1+in_takeup_growth)^(D450-1))*MIN(in_takeup_cap,(1+in_approval_growth)^(D450-1)),0))</f>
        <v/>
      </c>
      <c r="AA450" s="14">
        <f>V450*in_fee*(1-in_taken_back)</f>
        <v/>
      </c>
      <c r="AB450" s="14">
        <f>SUMIFS(W401:W453,B401:B453,B450-in_dpd_lag)*d_dpd</f>
        <v/>
      </c>
      <c r="AC450" s="14">
        <f>SUMIFS(W401:W453,B401:B453,B450-in_rec_lag)*d_rec</f>
        <v/>
      </c>
      <c r="AD450" s="14">
        <f>Z450*in_card_fee</f>
        <v/>
      </c>
      <c r="AE450" s="40">
        <f>AE449*(1-IF(B449&gt;=in_marketplace_from,d_hz_hlth_small*G449,0))</f>
        <v/>
      </c>
      <c r="AF450" s="46">
        <f>AE450*IF(B450&gt;=in_marketplace_from,d_hz_hlth_small*G450,0)</f>
        <v/>
      </c>
      <c r="AG450" s="14">
        <f>F450*AF450*in_hlth_small_ticket*in_hlth_small_comm*in_ins_partner_share+F450*in_hlth_small_ticket*in_hlth_small_renew_comm*in_ins_partner_share*(in_hlth_small_renew^1*SUMIFS(AF401:AF453,B401:B453,B450-12)+in_hlth_small_renew^2*SUMIFS(AF401:AF453,B401:B453,B450-24)+in_hlth_small_renew^3*SUMIFS(AF401:AF453,B401:B453,B450-36)+in_hlth_small_renew^4*SUMIFS(AF401:AF453,B401:B453,B450-48))</f>
        <v/>
      </c>
      <c r="AH450" s="40">
        <f>AH449*(1-IF(B449&gt;=in_marketplace_from,d_hz_hlth_family*G449,0))</f>
        <v/>
      </c>
      <c r="AI450" s="46">
        <f>AH450*IF(B450&gt;=in_marketplace_from,d_hz_hlth_family*G450,0)</f>
        <v/>
      </c>
      <c r="AJ450" s="14">
        <f>F450*AI450*in_hlth_family_ticket*in_hlth_family_comm*in_ins_partner_share+F450*in_hlth_family_ticket*in_hlth_family_renew_comm*in_ins_partner_share*(in_hlth_family_renew^1*SUMIFS(AI401:AI453,B401:B453,B450-12)+in_hlth_family_renew^2*SUMIFS(AI401:AI453,B401:B453,B450-24)+in_hlth_family_renew^3*SUMIFS(AI401:AI453,B401:B453,B450-36)+in_hlth_family_renew^4*SUMIFS(AI401:AI453,B401:B453,B450-48))</f>
        <v/>
      </c>
      <c r="AK450" s="40">
        <f>AK449*(1-IF(B449&gt;=in_marketplace_from,d_hz_life_term*G449,0))</f>
        <v/>
      </c>
      <c r="AL450" s="46">
        <f>AK450*IF(B450&gt;=in_marketplace_from,d_hz_life_term*G450,0)</f>
        <v/>
      </c>
      <c r="AM450" s="14">
        <f>F450*AL450*in_life_term_ticket*in_life_term_comm*in_ins_partner_share+F450*in_life_term_ticket*in_life_term_renew_comm*in_ins_partner_share*(in_life_term_renew^1*SUMIFS(AL401:AL453,B401:B453,B450-12)+in_life_term_renew^2*SUMIFS(AL401:AL453,B401:B453,B450-24)+in_life_term_renew^3*SUMIFS(AL401:AL453,B401:B453,B450-36)+in_life_term_renew^4*SUMIFS(AL401:AL453,B401:B453,B450-48))</f>
        <v/>
      </c>
      <c r="AN450" s="40">
        <f>AN449*(1-IF(B449&gt;=in_marketplace_from,d_hz_accident*G449,0))</f>
        <v/>
      </c>
      <c r="AO450" s="46">
        <f>AN450*IF(B450&gt;=in_marketplace_from,d_hz_accident*G450,0)</f>
        <v/>
      </c>
      <c r="AP450" s="14">
        <f>F450*AO450*in_accident_ticket*in_accident_comm*in_ins_partner_share+F450*in_accident_ticket*in_accident_renew_comm*in_ins_partner_share*(in_accident_renew^1*SUMIFS(AO401:AO453,B401:B453,B450-12)+in_accident_renew^2*SUMIFS(AO401:AO453,B401:B453,B450-24)+in_accident_renew^3*SUMIFS(AO401:AO453,B401:B453,B450-36)+in_accident_renew^4*SUMIFS(AO401:AO453,B401:B453,B450-48))</f>
        <v/>
      </c>
      <c r="AQ450" s="40">
        <f>AQ449*(1-IF(B449&gt;=in_marketplace_from,d_hz_two_wheeler*G449,0))</f>
        <v/>
      </c>
      <c r="AR450" s="46">
        <f>AQ450*IF(B450&gt;=in_marketplace_from,d_hz_two_wheeler*G450,0)</f>
        <v/>
      </c>
      <c r="AS450" s="14">
        <f>F450*AR450*in_two_wheeler_ticket*in_two_wheeler_comm*in_ins_partner_share+F450*in_two_wheeler_ticket*in_two_wheeler_comm*in_ins_partner_share*(in_two_wheeler_renew^1*SUMIFS(AR401:AR453,B401:B453,B450-12)+in_two_wheeler_renew^2*SUMIFS(AR401:AR453,B401:B453,B450-24)+in_two_wheeler_renew^3*SUMIFS(AR401:AR453,B401:B453,B450-36)+in_two_wheeler_renew^4*SUMIFS(AR401:AR453,B401:B453,B450-48))</f>
        <v/>
      </c>
      <c r="AT450" s="40">
        <f>AT449*(1-IF(B449&gt;=in_marketplace_from,d_hz_device*G449,0))</f>
        <v/>
      </c>
      <c r="AU450" s="14">
        <f>F450*AT450*IF(B450&gt;=in_marketplace_from,d_hz_device*G450,0)*in_device_ticket*in_device_comm*in_ins_partner_share</f>
        <v/>
      </c>
      <c r="AV450" s="40">
        <f>AV449*(1-IF(B449&gt;=in_marketplace_from,d_hz_shop*G449,0))</f>
        <v/>
      </c>
      <c r="AW450" s="46">
        <f>AV450*IF(B450&gt;=in_marketplace_from,d_hz_shop*G450,0)</f>
        <v/>
      </c>
      <c r="AX450" s="14">
        <f>F450*AW450*in_shop_ticket*in_shop_comm*in_ins_partner_share+F450*in_shop_ticket*in_shop_renew_comm*in_ins_partner_share*(in_shop_renew^1*SUMIFS(AW401:AW453,B401:B453,B450-12)+in_shop_renew^2*SUMIFS(AW401:AW453,B401:B453,B450-24)+in_shop_renew^3*SUMIFS(AW401:AW453,B401:B453,B450-36)+in_shop_renew^4*SUMIFS(AW401:AW453,B401:B453,B450-48))</f>
        <v/>
      </c>
      <c r="AY450" s="40">
        <f>AY449*(1-IF(B449&gt;=in_marketplace_from,d_hz_sip*G449,0))</f>
        <v/>
      </c>
      <c r="AZ450" s="40">
        <f>AZ449*d_rho_sip+AY450*IF(B450&gt;=in_marketplace_from,d_hz_sip*G450,0)</f>
        <v/>
      </c>
      <c r="BA450" s="40">
        <f>d_rho_sip*(BA449+AZ449)</f>
        <v/>
      </c>
      <c r="BB450" s="14">
        <f>F450*in_sip_ticket*(BA450+0.5*AZ450)*in_sip_comm/12</f>
        <v/>
      </c>
      <c r="BC450" s="40">
        <f>BC449*(1-IF(B449&gt;=in_marketplace_from,d_hz_choti*G449,0))</f>
        <v/>
      </c>
      <c r="BD450" s="46">
        <f>BC450*IF(B450&gt;=in_marketplace_from,d_hz_choti*G450,0)</f>
        <v/>
      </c>
      <c r="BE450" s="14">
        <f>F450*SUMIFS(BD401:BD453,B401:B453,B450-in_choti_months)*in_choti_renew*in_choti_ticket</f>
        <v/>
      </c>
      <c r="BF450" s="40">
        <f>BF449*(1-IF(B449&gt;=in_marketplace_from,d_hz_nps*G449,0))</f>
        <v/>
      </c>
      <c r="BG450" s="14">
        <f>F450*BF450*IF(B450&gt;=in_marketplace_from,d_hz_nps*G450,0)*in_nps_ticket*in_nps_comm</f>
        <v/>
      </c>
      <c r="BH450" s="40">
        <f>BH449*(1-IF(B449&gt;=in_marketplace_from,d_hz_gold*G449,0))</f>
        <v/>
      </c>
      <c r="BI450" s="40">
        <f>BI449*d_rho_gold+BH450*IF(B450&gt;=in_marketplace_from,d_hz_gold*G450,0)</f>
        <v/>
      </c>
      <c r="BJ450" s="14">
        <f>F450*BI450*in_gold_ticket*in_gold_comm</f>
        <v/>
      </c>
      <c r="BK450" s="40">
        <f>BK449*(1-IF(B449&gt;=in_marketplace_from,d_hz_fd*G449,0))</f>
        <v/>
      </c>
      <c r="BL450" s="14">
        <f>F450*BK450*IF(B450&gt;=in_marketplace_from,d_hz_fd*G450,0)*in_fd_ticket*in_fd_comm</f>
        <v/>
      </c>
      <c r="BM450" s="40">
        <f>BM449*(1-IF(B449&gt;=in_marketplace_from,d_hz_recharge*G449,0))</f>
        <v/>
      </c>
      <c r="BN450" s="40">
        <f>BN449*d_rho_recharge+BM450*IF(B450&gt;=in_marketplace_from,d_hz_recharge*G450,0)</f>
        <v/>
      </c>
      <c r="BO450" s="14">
        <f>F450*BN450*in_recharge_ticket*in_recharge_comm/12</f>
        <v/>
      </c>
      <c r="BP450" s="40">
        <f>BP449*(1-IF(B449&gt;=in_marketplace_from,d_hz_bills*G449,0))</f>
        <v/>
      </c>
      <c r="BQ450" s="40">
        <f>BQ449*d_rho_bills+BP450*IF(B450&gt;=in_marketplace_from,d_hz_bills*G450,0)</f>
        <v/>
      </c>
      <c r="BR450" s="14">
        <f>F450*BQ450*in_bills_ticket*in_bills_comm/12</f>
        <v/>
      </c>
      <c r="BS450" s="40">
        <f>BS449*(1-IF(B449&gt;=in_marketplace_from,d_hz_loan_gold*G449,0))</f>
        <v/>
      </c>
      <c r="BT450" s="14">
        <f>F450*BS450*IF(B450&gt;=in_marketplace_from,d_hz_loan_gold*G450,0)*in_loan_gold_ticket*in_loan_gold_comm</f>
        <v/>
      </c>
      <c r="BU450" s="40">
        <f>BU449*(1-IF(B449&gt;=in_marketplace_from,d_hz_loan_cd*G449,0))</f>
        <v/>
      </c>
      <c r="BV450" s="14">
        <f>F450*BU450*IF(B450&gt;=in_marketplace_from,d_hz_loan_cd*G450,0)*in_loan_cd_ticket*in_loan_cd_comm</f>
        <v/>
      </c>
      <c r="BW450" s="40">
        <f>BW449*(1-IF(B449&gt;=in_marketplace_from,d_hz_loan_vehicle*G449,0))</f>
        <v/>
      </c>
      <c r="BX450" s="14">
        <f>F450*BW450*IF(B450&gt;=in_marketplace_from,d_hz_loan_vehicle*G450,0)*in_loan_vehicle_ticket*in_loan_vehicle_comm</f>
        <v/>
      </c>
      <c r="BY450" s="40">
        <f>BY449*(1-IF(B449&gt;=in_marketplace_from,d_hz_loan_home*G449,0)*BZ449)</f>
        <v/>
      </c>
      <c r="BZ450" s="11">
        <f>MIN(in_approval_cap,in_loan_home_approval*INDEX('Age profile'!$O$2:$O$61,B450)*(1+in_approval_growth)^(D450-1))</f>
        <v/>
      </c>
      <c r="CA450" s="14">
        <f>F450*BY450*IF(B450&gt;=in_marketplace_from,d_hz_loan_home*G450,0)*BZ450*in_loan_home_ticket*in_loan_home_comm</f>
        <v/>
      </c>
      <c r="CB450" s="40">
        <f>CB449*(1-IF(B449&gt;=in_marketplace_from,d_hz_loan_lap*G449,0)*CC449)</f>
        <v/>
      </c>
      <c r="CC450" s="11">
        <f>MIN(in_approval_cap,in_loan_lap_approval*INDEX('Age profile'!$O$2:$O$61,B450)*(1+in_approval_growth)^(D450-1))</f>
        <v/>
      </c>
      <c r="CD450" s="14">
        <f>F450*CB450*IF(B450&gt;=in_marketplace_from,d_hz_loan_lap*G450,0)*CC450*in_loan_lap_ticket*in_loan_lap_comm</f>
        <v/>
      </c>
      <c r="CE450" s="14">
        <f>AA450+AB450+AC450+AD450+AG450+AJ450+AM450+AP450+AS450+AU450+AX450+BB450+BE450+BG450+BJ450+BL450+BO450+BR450+BT450+BV450+BX450+CA450+CD450</f>
        <v/>
      </c>
    </row>
    <row r="451">
      <c r="A451" s="39" t="n">
        <v>8</v>
      </c>
      <c r="B451" s="39" t="n">
        <v>51</v>
      </c>
      <c r="C451" s="39">
        <f>A451+B451-1</f>
        <v/>
      </c>
      <c r="D451" s="39">
        <f>INT((C451-1)/12)+1</f>
        <v/>
      </c>
      <c r="E451" s="44">
        <f>INDEX(Monthly!$B$2:$B$61,A451)</f>
        <v/>
      </c>
      <c r="F451" s="44">
        <f>E451*INDEX('Age profile'!$B$2:$B$61,B451)</f>
        <v/>
      </c>
      <c r="G451" s="45">
        <f>MIN(in_takeup_cap,INDEX('Age profile'!$N$2:$N$61,B451)*(1+in_takeup_growth)^(D451-1))</f>
        <v/>
      </c>
      <c r="H451" s="11">
        <f>MIN(in_approval_cap,in_approved_first*INDEX('Age profile'!$O$2:$O$61,B451)*(1+in_approval_growth)^(D451-1))</f>
        <v/>
      </c>
      <c r="I451" s="45">
        <f>G451*MIN(in_takeup_cap,INDEX('Age profile'!$O$2:$O$61,B451)*(1+in_approval_growth)^(D451-1))</f>
        <v/>
      </c>
      <c r="J451" s="40">
        <f>(J450-L450)*F451/F450</f>
        <v/>
      </c>
      <c r="K451" s="40">
        <f>(K450-M450)*F451/F450+SUMIFS(O401:O450,B401:B450,B451-1-d_T)*F451</f>
        <v/>
      </c>
      <c r="L451" s="40">
        <f>IF(B451&gt;=in_marketplace_from,J451*d_hz*G451*in_eligible*H451,0)</f>
        <v/>
      </c>
      <c r="M451" s="40">
        <f>IF(B451&gt;=in_marketplace_from,K451*d_hz*G451*in_eligible*in_approved_repeat,0)</f>
        <v/>
      </c>
      <c r="N451" s="40">
        <f>L451+M451</f>
        <v/>
      </c>
      <c r="O451" s="46">
        <f>N451/F451</f>
        <v/>
      </c>
      <c r="P451" s="40">
        <f>F451-J451-K451</f>
        <v/>
      </c>
      <c r="Q451" s="40">
        <f>IF(B451&gt;=in_marketplace_from,(J451+K451)*d_hz*G451,0)</f>
        <v/>
      </c>
      <c r="R451" s="40">
        <f>SUMIFS(N401:N453,B401:B453,"&gt;="&amp;(B451-d_T),B401:B453,"&lt;="&amp;(B451-1))</f>
        <v/>
      </c>
      <c r="S451" s="46">
        <f>(1-d_u)*S450+IF(d_T&gt;in_topup_lag,SUMIFS(O401:O453,B401:B453,B451-in_topup_lag)-d_udrop*SUMIFS(O401:O453,B401:B453,B451-d_T),0)</f>
        <v/>
      </c>
      <c r="T451" s="40">
        <f>F451*d_u*S451</f>
        <v/>
      </c>
      <c r="U451" s="9">
        <f>L451*in_ticket+M451*d_rep_ticket</f>
        <v/>
      </c>
      <c r="V451" s="9">
        <f>U451+T451*d_topup_amt</f>
        <v/>
      </c>
      <c r="W451" s="40">
        <f>N451+T451*d_topup_ratio</f>
        <v/>
      </c>
      <c r="X451" s="40">
        <f>SUMIFS(W401:W453,B401:B453,B451-in_dpd_lag)*d_cured</f>
        <v/>
      </c>
      <c r="Y451" s="40">
        <f>SUMIFS(W401:W453,B401:B453,B451-in_rec_lag)*d_recd</f>
        <v/>
      </c>
      <c r="Z451" s="40">
        <f>IF(AND(B451&gt;=in_marketplace_from,B451&lt;in_marketplace_from+in_card_months),in_card_share/in_card_months*F451*I451,IF(AND(B451&gt;=in_marketplace_from+in_card_months,B451&lt;in_marketplace_from+2*in_card_months),in_card_share*d_card_rem/in_card_months*F451*MIN(in_takeup_cap,(1+in_takeup_growth)^(D451-1))*MIN(in_takeup_cap,(1+in_approval_growth)^(D451-1)),0))</f>
        <v/>
      </c>
      <c r="AA451" s="14">
        <f>V451*in_fee*(1-in_taken_back)</f>
        <v/>
      </c>
      <c r="AB451" s="14">
        <f>SUMIFS(W401:W453,B401:B453,B451-in_dpd_lag)*d_dpd</f>
        <v/>
      </c>
      <c r="AC451" s="14">
        <f>SUMIFS(W401:W453,B401:B453,B451-in_rec_lag)*d_rec</f>
        <v/>
      </c>
      <c r="AD451" s="14">
        <f>Z451*in_card_fee</f>
        <v/>
      </c>
      <c r="AE451" s="40">
        <f>AE450*(1-IF(B450&gt;=in_marketplace_from,d_hz_hlth_small*G450,0))</f>
        <v/>
      </c>
      <c r="AF451" s="46">
        <f>AE451*IF(B451&gt;=in_marketplace_from,d_hz_hlth_small*G451,0)</f>
        <v/>
      </c>
      <c r="AG451" s="14">
        <f>F451*AF451*in_hlth_small_ticket*in_hlth_small_comm*in_ins_partner_share+F451*in_hlth_small_ticket*in_hlth_small_renew_comm*in_ins_partner_share*(in_hlth_small_renew^1*SUMIFS(AF401:AF453,B401:B453,B451-12)+in_hlth_small_renew^2*SUMIFS(AF401:AF453,B401:B453,B451-24)+in_hlth_small_renew^3*SUMIFS(AF401:AF453,B401:B453,B451-36)+in_hlth_small_renew^4*SUMIFS(AF401:AF453,B401:B453,B451-48))</f>
        <v/>
      </c>
      <c r="AH451" s="40">
        <f>AH450*(1-IF(B450&gt;=in_marketplace_from,d_hz_hlth_family*G450,0))</f>
        <v/>
      </c>
      <c r="AI451" s="46">
        <f>AH451*IF(B451&gt;=in_marketplace_from,d_hz_hlth_family*G451,0)</f>
        <v/>
      </c>
      <c r="AJ451" s="14">
        <f>F451*AI451*in_hlth_family_ticket*in_hlth_family_comm*in_ins_partner_share+F451*in_hlth_family_ticket*in_hlth_family_renew_comm*in_ins_partner_share*(in_hlth_family_renew^1*SUMIFS(AI401:AI453,B401:B453,B451-12)+in_hlth_family_renew^2*SUMIFS(AI401:AI453,B401:B453,B451-24)+in_hlth_family_renew^3*SUMIFS(AI401:AI453,B401:B453,B451-36)+in_hlth_family_renew^4*SUMIFS(AI401:AI453,B401:B453,B451-48))</f>
        <v/>
      </c>
      <c r="AK451" s="40">
        <f>AK450*(1-IF(B450&gt;=in_marketplace_from,d_hz_life_term*G450,0))</f>
        <v/>
      </c>
      <c r="AL451" s="46">
        <f>AK451*IF(B451&gt;=in_marketplace_from,d_hz_life_term*G451,0)</f>
        <v/>
      </c>
      <c r="AM451" s="14">
        <f>F451*AL451*in_life_term_ticket*in_life_term_comm*in_ins_partner_share+F451*in_life_term_ticket*in_life_term_renew_comm*in_ins_partner_share*(in_life_term_renew^1*SUMIFS(AL401:AL453,B401:B453,B451-12)+in_life_term_renew^2*SUMIFS(AL401:AL453,B401:B453,B451-24)+in_life_term_renew^3*SUMIFS(AL401:AL453,B401:B453,B451-36)+in_life_term_renew^4*SUMIFS(AL401:AL453,B401:B453,B451-48))</f>
        <v/>
      </c>
      <c r="AN451" s="40">
        <f>AN450*(1-IF(B450&gt;=in_marketplace_from,d_hz_accident*G450,0))</f>
        <v/>
      </c>
      <c r="AO451" s="46">
        <f>AN451*IF(B451&gt;=in_marketplace_from,d_hz_accident*G451,0)</f>
        <v/>
      </c>
      <c r="AP451" s="14">
        <f>F451*AO451*in_accident_ticket*in_accident_comm*in_ins_partner_share+F451*in_accident_ticket*in_accident_renew_comm*in_ins_partner_share*(in_accident_renew^1*SUMIFS(AO401:AO453,B401:B453,B451-12)+in_accident_renew^2*SUMIFS(AO401:AO453,B401:B453,B451-24)+in_accident_renew^3*SUMIFS(AO401:AO453,B401:B453,B451-36)+in_accident_renew^4*SUMIFS(AO401:AO453,B401:B453,B451-48))</f>
        <v/>
      </c>
      <c r="AQ451" s="40">
        <f>AQ450*(1-IF(B450&gt;=in_marketplace_from,d_hz_two_wheeler*G450,0))</f>
        <v/>
      </c>
      <c r="AR451" s="46">
        <f>AQ451*IF(B451&gt;=in_marketplace_from,d_hz_two_wheeler*G451,0)</f>
        <v/>
      </c>
      <c r="AS451" s="14">
        <f>F451*AR451*in_two_wheeler_ticket*in_two_wheeler_comm*in_ins_partner_share+F451*in_two_wheeler_ticket*in_two_wheeler_comm*in_ins_partner_share*(in_two_wheeler_renew^1*SUMIFS(AR401:AR453,B401:B453,B451-12)+in_two_wheeler_renew^2*SUMIFS(AR401:AR453,B401:B453,B451-24)+in_two_wheeler_renew^3*SUMIFS(AR401:AR453,B401:B453,B451-36)+in_two_wheeler_renew^4*SUMIFS(AR401:AR453,B401:B453,B451-48))</f>
        <v/>
      </c>
      <c r="AT451" s="40">
        <f>AT450*(1-IF(B450&gt;=in_marketplace_from,d_hz_device*G450,0))</f>
        <v/>
      </c>
      <c r="AU451" s="14">
        <f>F451*AT451*IF(B451&gt;=in_marketplace_from,d_hz_device*G451,0)*in_device_ticket*in_device_comm*in_ins_partner_share</f>
        <v/>
      </c>
      <c r="AV451" s="40">
        <f>AV450*(1-IF(B450&gt;=in_marketplace_from,d_hz_shop*G450,0))</f>
        <v/>
      </c>
      <c r="AW451" s="46">
        <f>AV451*IF(B451&gt;=in_marketplace_from,d_hz_shop*G451,0)</f>
        <v/>
      </c>
      <c r="AX451" s="14">
        <f>F451*AW451*in_shop_ticket*in_shop_comm*in_ins_partner_share+F451*in_shop_ticket*in_shop_renew_comm*in_ins_partner_share*(in_shop_renew^1*SUMIFS(AW401:AW453,B401:B453,B451-12)+in_shop_renew^2*SUMIFS(AW401:AW453,B401:B453,B451-24)+in_shop_renew^3*SUMIFS(AW401:AW453,B401:B453,B451-36)+in_shop_renew^4*SUMIFS(AW401:AW453,B401:B453,B451-48))</f>
        <v/>
      </c>
      <c r="AY451" s="40">
        <f>AY450*(1-IF(B450&gt;=in_marketplace_from,d_hz_sip*G450,0))</f>
        <v/>
      </c>
      <c r="AZ451" s="40">
        <f>AZ450*d_rho_sip+AY451*IF(B451&gt;=in_marketplace_from,d_hz_sip*G451,0)</f>
        <v/>
      </c>
      <c r="BA451" s="40">
        <f>d_rho_sip*(BA450+AZ450)</f>
        <v/>
      </c>
      <c r="BB451" s="14">
        <f>F451*in_sip_ticket*(BA451+0.5*AZ451)*in_sip_comm/12</f>
        <v/>
      </c>
      <c r="BC451" s="40">
        <f>BC450*(1-IF(B450&gt;=in_marketplace_from,d_hz_choti*G450,0))</f>
        <v/>
      </c>
      <c r="BD451" s="46">
        <f>BC451*IF(B451&gt;=in_marketplace_from,d_hz_choti*G451,0)</f>
        <v/>
      </c>
      <c r="BE451" s="14">
        <f>F451*SUMIFS(BD401:BD453,B401:B453,B451-in_choti_months)*in_choti_renew*in_choti_ticket</f>
        <v/>
      </c>
      <c r="BF451" s="40">
        <f>BF450*(1-IF(B450&gt;=in_marketplace_from,d_hz_nps*G450,0))</f>
        <v/>
      </c>
      <c r="BG451" s="14">
        <f>F451*BF451*IF(B451&gt;=in_marketplace_from,d_hz_nps*G451,0)*in_nps_ticket*in_nps_comm</f>
        <v/>
      </c>
      <c r="BH451" s="40">
        <f>BH450*(1-IF(B450&gt;=in_marketplace_from,d_hz_gold*G450,0))</f>
        <v/>
      </c>
      <c r="BI451" s="40">
        <f>BI450*d_rho_gold+BH451*IF(B451&gt;=in_marketplace_from,d_hz_gold*G451,0)</f>
        <v/>
      </c>
      <c r="BJ451" s="14">
        <f>F451*BI451*in_gold_ticket*in_gold_comm</f>
        <v/>
      </c>
      <c r="BK451" s="40">
        <f>BK450*(1-IF(B450&gt;=in_marketplace_from,d_hz_fd*G450,0))</f>
        <v/>
      </c>
      <c r="BL451" s="14">
        <f>F451*BK451*IF(B451&gt;=in_marketplace_from,d_hz_fd*G451,0)*in_fd_ticket*in_fd_comm</f>
        <v/>
      </c>
      <c r="BM451" s="40">
        <f>BM450*(1-IF(B450&gt;=in_marketplace_from,d_hz_recharge*G450,0))</f>
        <v/>
      </c>
      <c r="BN451" s="40">
        <f>BN450*d_rho_recharge+BM451*IF(B451&gt;=in_marketplace_from,d_hz_recharge*G451,0)</f>
        <v/>
      </c>
      <c r="BO451" s="14">
        <f>F451*BN451*in_recharge_ticket*in_recharge_comm/12</f>
        <v/>
      </c>
      <c r="BP451" s="40">
        <f>BP450*(1-IF(B450&gt;=in_marketplace_from,d_hz_bills*G450,0))</f>
        <v/>
      </c>
      <c r="BQ451" s="40">
        <f>BQ450*d_rho_bills+BP451*IF(B451&gt;=in_marketplace_from,d_hz_bills*G451,0)</f>
        <v/>
      </c>
      <c r="BR451" s="14">
        <f>F451*BQ451*in_bills_ticket*in_bills_comm/12</f>
        <v/>
      </c>
      <c r="BS451" s="40">
        <f>BS450*(1-IF(B450&gt;=in_marketplace_from,d_hz_loan_gold*G450,0))</f>
        <v/>
      </c>
      <c r="BT451" s="14">
        <f>F451*BS451*IF(B451&gt;=in_marketplace_from,d_hz_loan_gold*G451,0)*in_loan_gold_ticket*in_loan_gold_comm</f>
        <v/>
      </c>
      <c r="BU451" s="40">
        <f>BU450*(1-IF(B450&gt;=in_marketplace_from,d_hz_loan_cd*G450,0))</f>
        <v/>
      </c>
      <c r="BV451" s="14">
        <f>F451*BU451*IF(B451&gt;=in_marketplace_from,d_hz_loan_cd*G451,0)*in_loan_cd_ticket*in_loan_cd_comm</f>
        <v/>
      </c>
      <c r="BW451" s="40">
        <f>BW450*(1-IF(B450&gt;=in_marketplace_from,d_hz_loan_vehicle*G450,0))</f>
        <v/>
      </c>
      <c r="BX451" s="14">
        <f>F451*BW451*IF(B451&gt;=in_marketplace_from,d_hz_loan_vehicle*G451,0)*in_loan_vehicle_ticket*in_loan_vehicle_comm</f>
        <v/>
      </c>
      <c r="BY451" s="40">
        <f>BY450*(1-IF(B450&gt;=in_marketplace_from,d_hz_loan_home*G450,0)*BZ450)</f>
        <v/>
      </c>
      <c r="BZ451" s="11">
        <f>MIN(in_approval_cap,in_loan_home_approval*INDEX('Age profile'!$O$2:$O$61,B451)*(1+in_approval_growth)^(D451-1))</f>
        <v/>
      </c>
      <c r="CA451" s="14">
        <f>F451*BY451*IF(B451&gt;=in_marketplace_from,d_hz_loan_home*G451,0)*BZ451*in_loan_home_ticket*in_loan_home_comm</f>
        <v/>
      </c>
      <c r="CB451" s="40">
        <f>CB450*(1-IF(B450&gt;=in_marketplace_from,d_hz_loan_lap*G450,0)*CC450)</f>
        <v/>
      </c>
      <c r="CC451" s="11">
        <f>MIN(in_approval_cap,in_loan_lap_approval*INDEX('Age profile'!$O$2:$O$61,B451)*(1+in_approval_growth)^(D451-1))</f>
        <v/>
      </c>
      <c r="CD451" s="14">
        <f>F451*CB451*IF(B451&gt;=in_marketplace_from,d_hz_loan_lap*G451,0)*CC451*in_loan_lap_ticket*in_loan_lap_comm</f>
        <v/>
      </c>
      <c r="CE451" s="14">
        <f>AA451+AB451+AC451+AD451+AG451+AJ451+AM451+AP451+AS451+AU451+AX451+BB451+BE451+BG451+BJ451+BL451+BO451+BR451+BT451+BV451+BX451+CA451+CD451</f>
        <v/>
      </c>
    </row>
    <row r="452">
      <c r="A452" s="39" t="n">
        <v>8</v>
      </c>
      <c r="B452" s="39" t="n">
        <v>52</v>
      </c>
      <c r="C452" s="39">
        <f>A452+B452-1</f>
        <v/>
      </c>
      <c r="D452" s="39">
        <f>INT((C452-1)/12)+1</f>
        <v/>
      </c>
      <c r="E452" s="44">
        <f>INDEX(Monthly!$B$2:$B$61,A452)</f>
        <v/>
      </c>
      <c r="F452" s="44">
        <f>E452*INDEX('Age profile'!$B$2:$B$61,B452)</f>
        <v/>
      </c>
      <c r="G452" s="45">
        <f>MIN(in_takeup_cap,INDEX('Age profile'!$N$2:$N$61,B452)*(1+in_takeup_growth)^(D452-1))</f>
        <v/>
      </c>
      <c r="H452" s="11">
        <f>MIN(in_approval_cap,in_approved_first*INDEX('Age profile'!$O$2:$O$61,B452)*(1+in_approval_growth)^(D452-1))</f>
        <v/>
      </c>
      <c r="I452" s="45">
        <f>G452*MIN(in_takeup_cap,INDEX('Age profile'!$O$2:$O$61,B452)*(1+in_approval_growth)^(D452-1))</f>
        <v/>
      </c>
      <c r="J452" s="40">
        <f>(J451-L451)*F452/F451</f>
        <v/>
      </c>
      <c r="K452" s="40">
        <f>(K451-M451)*F452/F451+SUMIFS(O401:O451,B401:B451,B452-1-d_T)*F452</f>
        <v/>
      </c>
      <c r="L452" s="40">
        <f>IF(B452&gt;=in_marketplace_from,J452*d_hz*G452*in_eligible*H452,0)</f>
        <v/>
      </c>
      <c r="M452" s="40">
        <f>IF(B452&gt;=in_marketplace_from,K452*d_hz*G452*in_eligible*in_approved_repeat,0)</f>
        <v/>
      </c>
      <c r="N452" s="40">
        <f>L452+M452</f>
        <v/>
      </c>
      <c r="O452" s="46">
        <f>N452/F452</f>
        <v/>
      </c>
      <c r="P452" s="40">
        <f>F452-J452-K452</f>
        <v/>
      </c>
      <c r="Q452" s="40">
        <f>IF(B452&gt;=in_marketplace_from,(J452+K452)*d_hz*G452,0)</f>
        <v/>
      </c>
      <c r="R452" s="40">
        <f>SUMIFS(N401:N453,B401:B453,"&gt;="&amp;(B452-d_T),B401:B453,"&lt;="&amp;(B452-1))</f>
        <v/>
      </c>
      <c r="S452" s="46">
        <f>(1-d_u)*S451+IF(d_T&gt;in_topup_lag,SUMIFS(O401:O453,B401:B453,B452-in_topup_lag)-d_udrop*SUMIFS(O401:O453,B401:B453,B452-d_T),0)</f>
        <v/>
      </c>
      <c r="T452" s="40">
        <f>F452*d_u*S452</f>
        <v/>
      </c>
      <c r="U452" s="9">
        <f>L452*in_ticket+M452*d_rep_ticket</f>
        <v/>
      </c>
      <c r="V452" s="9">
        <f>U452+T452*d_topup_amt</f>
        <v/>
      </c>
      <c r="W452" s="40">
        <f>N452+T452*d_topup_ratio</f>
        <v/>
      </c>
      <c r="X452" s="40">
        <f>SUMIFS(W401:W453,B401:B453,B452-in_dpd_lag)*d_cured</f>
        <v/>
      </c>
      <c r="Y452" s="40">
        <f>SUMIFS(W401:W453,B401:B453,B452-in_rec_lag)*d_recd</f>
        <v/>
      </c>
      <c r="Z452" s="40">
        <f>IF(AND(B452&gt;=in_marketplace_from,B452&lt;in_marketplace_from+in_card_months),in_card_share/in_card_months*F452*I452,IF(AND(B452&gt;=in_marketplace_from+in_card_months,B452&lt;in_marketplace_from+2*in_card_months),in_card_share*d_card_rem/in_card_months*F452*MIN(in_takeup_cap,(1+in_takeup_growth)^(D452-1))*MIN(in_takeup_cap,(1+in_approval_growth)^(D452-1)),0))</f>
        <v/>
      </c>
      <c r="AA452" s="14">
        <f>V452*in_fee*(1-in_taken_back)</f>
        <v/>
      </c>
      <c r="AB452" s="14">
        <f>SUMIFS(W401:W453,B401:B453,B452-in_dpd_lag)*d_dpd</f>
        <v/>
      </c>
      <c r="AC452" s="14">
        <f>SUMIFS(W401:W453,B401:B453,B452-in_rec_lag)*d_rec</f>
        <v/>
      </c>
      <c r="AD452" s="14">
        <f>Z452*in_card_fee</f>
        <v/>
      </c>
      <c r="AE452" s="40">
        <f>AE451*(1-IF(B451&gt;=in_marketplace_from,d_hz_hlth_small*G451,0))</f>
        <v/>
      </c>
      <c r="AF452" s="46">
        <f>AE452*IF(B452&gt;=in_marketplace_from,d_hz_hlth_small*G452,0)</f>
        <v/>
      </c>
      <c r="AG452" s="14">
        <f>F452*AF452*in_hlth_small_ticket*in_hlth_small_comm*in_ins_partner_share+F452*in_hlth_small_ticket*in_hlth_small_renew_comm*in_ins_partner_share*(in_hlth_small_renew^1*SUMIFS(AF401:AF453,B401:B453,B452-12)+in_hlth_small_renew^2*SUMIFS(AF401:AF453,B401:B453,B452-24)+in_hlth_small_renew^3*SUMIFS(AF401:AF453,B401:B453,B452-36)+in_hlth_small_renew^4*SUMIFS(AF401:AF453,B401:B453,B452-48))</f>
        <v/>
      </c>
      <c r="AH452" s="40">
        <f>AH451*(1-IF(B451&gt;=in_marketplace_from,d_hz_hlth_family*G451,0))</f>
        <v/>
      </c>
      <c r="AI452" s="46">
        <f>AH452*IF(B452&gt;=in_marketplace_from,d_hz_hlth_family*G452,0)</f>
        <v/>
      </c>
      <c r="AJ452" s="14">
        <f>F452*AI452*in_hlth_family_ticket*in_hlth_family_comm*in_ins_partner_share+F452*in_hlth_family_ticket*in_hlth_family_renew_comm*in_ins_partner_share*(in_hlth_family_renew^1*SUMIFS(AI401:AI453,B401:B453,B452-12)+in_hlth_family_renew^2*SUMIFS(AI401:AI453,B401:B453,B452-24)+in_hlth_family_renew^3*SUMIFS(AI401:AI453,B401:B453,B452-36)+in_hlth_family_renew^4*SUMIFS(AI401:AI453,B401:B453,B452-48))</f>
        <v/>
      </c>
      <c r="AK452" s="40">
        <f>AK451*(1-IF(B451&gt;=in_marketplace_from,d_hz_life_term*G451,0))</f>
        <v/>
      </c>
      <c r="AL452" s="46">
        <f>AK452*IF(B452&gt;=in_marketplace_from,d_hz_life_term*G452,0)</f>
        <v/>
      </c>
      <c r="AM452" s="14">
        <f>F452*AL452*in_life_term_ticket*in_life_term_comm*in_ins_partner_share+F452*in_life_term_ticket*in_life_term_renew_comm*in_ins_partner_share*(in_life_term_renew^1*SUMIFS(AL401:AL453,B401:B453,B452-12)+in_life_term_renew^2*SUMIFS(AL401:AL453,B401:B453,B452-24)+in_life_term_renew^3*SUMIFS(AL401:AL453,B401:B453,B452-36)+in_life_term_renew^4*SUMIFS(AL401:AL453,B401:B453,B452-48))</f>
        <v/>
      </c>
      <c r="AN452" s="40">
        <f>AN451*(1-IF(B451&gt;=in_marketplace_from,d_hz_accident*G451,0))</f>
        <v/>
      </c>
      <c r="AO452" s="46">
        <f>AN452*IF(B452&gt;=in_marketplace_from,d_hz_accident*G452,0)</f>
        <v/>
      </c>
      <c r="AP452" s="14">
        <f>F452*AO452*in_accident_ticket*in_accident_comm*in_ins_partner_share+F452*in_accident_ticket*in_accident_renew_comm*in_ins_partner_share*(in_accident_renew^1*SUMIFS(AO401:AO453,B401:B453,B452-12)+in_accident_renew^2*SUMIFS(AO401:AO453,B401:B453,B452-24)+in_accident_renew^3*SUMIFS(AO401:AO453,B401:B453,B452-36)+in_accident_renew^4*SUMIFS(AO401:AO453,B401:B453,B452-48))</f>
        <v/>
      </c>
      <c r="AQ452" s="40">
        <f>AQ451*(1-IF(B451&gt;=in_marketplace_from,d_hz_two_wheeler*G451,0))</f>
        <v/>
      </c>
      <c r="AR452" s="46">
        <f>AQ452*IF(B452&gt;=in_marketplace_from,d_hz_two_wheeler*G452,0)</f>
        <v/>
      </c>
      <c r="AS452" s="14">
        <f>F452*AR452*in_two_wheeler_ticket*in_two_wheeler_comm*in_ins_partner_share+F452*in_two_wheeler_ticket*in_two_wheeler_comm*in_ins_partner_share*(in_two_wheeler_renew^1*SUMIFS(AR401:AR453,B401:B453,B452-12)+in_two_wheeler_renew^2*SUMIFS(AR401:AR453,B401:B453,B452-24)+in_two_wheeler_renew^3*SUMIFS(AR401:AR453,B401:B453,B452-36)+in_two_wheeler_renew^4*SUMIFS(AR401:AR453,B401:B453,B452-48))</f>
        <v/>
      </c>
      <c r="AT452" s="40">
        <f>AT451*(1-IF(B451&gt;=in_marketplace_from,d_hz_device*G451,0))</f>
        <v/>
      </c>
      <c r="AU452" s="14">
        <f>F452*AT452*IF(B452&gt;=in_marketplace_from,d_hz_device*G452,0)*in_device_ticket*in_device_comm*in_ins_partner_share</f>
        <v/>
      </c>
      <c r="AV452" s="40">
        <f>AV451*(1-IF(B451&gt;=in_marketplace_from,d_hz_shop*G451,0))</f>
        <v/>
      </c>
      <c r="AW452" s="46">
        <f>AV452*IF(B452&gt;=in_marketplace_from,d_hz_shop*G452,0)</f>
        <v/>
      </c>
      <c r="AX452" s="14">
        <f>F452*AW452*in_shop_ticket*in_shop_comm*in_ins_partner_share+F452*in_shop_ticket*in_shop_renew_comm*in_ins_partner_share*(in_shop_renew^1*SUMIFS(AW401:AW453,B401:B453,B452-12)+in_shop_renew^2*SUMIFS(AW401:AW453,B401:B453,B452-24)+in_shop_renew^3*SUMIFS(AW401:AW453,B401:B453,B452-36)+in_shop_renew^4*SUMIFS(AW401:AW453,B401:B453,B452-48))</f>
        <v/>
      </c>
      <c r="AY452" s="40">
        <f>AY451*(1-IF(B451&gt;=in_marketplace_from,d_hz_sip*G451,0))</f>
        <v/>
      </c>
      <c r="AZ452" s="40">
        <f>AZ451*d_rho_sip+AY452*IF(B452&gt;=in_marketplace_from,d_hz_sip*G452,0)</f>
        <v/>
      </c>
      <c r="BA452" s="40">
        <f>d_rho_sip*(BA451+AZ451)</f>
        <v/>
      </c>
      <c r="BB452" s="14">
        <f>F452*in_sip_ticket*(BA452+0.5*AZ452)*in_sip_comm/12</f>
        <v/>
      </c>
      <c r="BC452" s="40">
        <f>BC451*(1-IF(B451&gt;=in_marketplace_from,d_hz_choti*G451,0))</f>
        <v/>
      </c>
      <c r="BD452" s="46">
        <f>BC452*IF(B452&gt;=in_marketplace_from,d_hz_choti*G452,0)</f>
        <v/>
      </c>
      <c r="BE452" s="14">
        <f>F452*SUMIFS(BD401:BD453,B401:B453,B452-in_choti_months)*in_choti_renew*in_choti_ticket</f>
        <v/>
      </c>
      <c r="BF452" s="40">
        <f>BF451*(1-IF(B451&gt;=in_marketplace_from,d_hz_nps*G451,0))</f>
        <v/>
      </c>
      <c r="BG452" s="14">
        <f>F452*BF452*IF(B452&gt;=in_marketplace_from,d_hz_nps*G452,0)*in_nps_ticket*in_nps_comm</f>
        <v/>
      </c>
      <c r="BH452" s="40">
        <f>BH451*(1-IF(B451&gt;=in_marketplace_from,d_hz_gold*G451,0))</f>
        <v/>
      </c>
      <c r="BI452" s="40">
        <f>BI451*d_rho_gold+BH452*IF(B452&gt;=in_marketplace_from,d_hz_gold*G452,0)</f>
        <v/>
      </c>
      <c r="BJ452" s="14">
        <f>F452*BI452*in_gold_ticket*in_gold_comm</f>
        <v/>
      </c>
      <c r="BK452" s="40">
        <f>BK451*(1-IF(B451&gt;=in_marketplace_from,d_hz_fd*G451,0))</f>
        <v/>
      </c>
      <c r="BL452" s="14">
        <f>F452*BK452*IF(B452&gt;=in_marketplace_from,d_hz_fd*G452,0)*in_fd_ticket*in_fd_comm</f>
        <v/>
      </c>
      <c r="BM452" s="40">
        <f>BM451*(1-IF(B451&gt;=in_marketplace_from,d_hz_recharge*G451,0))</f>
        <v/>
      </c>
      <c r="BN452" s="40">
        <f>BN451*d_rho_recharge+BM452*IF(B452&gt;=in_marketplace_from,d_hz_recharge*G452,0)</f>
        <v/>
      </c>
      <c r="BO452" s="14">
        <f>F452*BN452*in_recharge_ticket*in_recharge_comm/12</f>
        <v/>
      </c>
      <c r="BP452" s="40">
        <f>BP451*(1-IF(B451&gt;=in_marketplace_from,d_hz_bills*G451,0))</f>
        <v/>
      </c>
      <c r="BQ452" s="40">
        <f>BQ451*d_rho_bills+BP452*IF(B452&gt;=in_marketplace_from,d_hz_bills*G452,0)</f>
        <v/>
      </c>
      <c r="BR452" s="14">
        <f>F452*BQ452*in_bills_ticket*in_bills_comm/12</f>
        <v/>
      </c>
      <c r="BS452" s="40">
        <f>BS451*(1-IF(B451&gt;=in_marketplace_from,d_hz_loan_gold*G451,0))</f>
        <v/>
      </c>
      <c r="BT452" s="14">
        <f>F452*BS452*IF(B452&gt;=in_marketplace_from,d_hz_loan_gold*G452,0)*in_loan_gold_ticket*in_loan_gold_comm</f>
        <v/>
      </c>
      <c r="BU452" s="40">
        <f>BU451*(1-IF(B451&gt;=in_marketplace_from,d_hz_loan_cd*G451,0))</f>
        <v/>
      </c>
      <c r="BV452" s="14">
        <f>F452*BU452*IF(B452&gt;=in_marketplace_from,d_hz_loan_cd*G452,0)*in_loan_cd_ticket*in_loan_cd_comm</f>
        <v/>
      </c>
      <c r="BW452" s="40">
        <f>BW451*(1-IF(B451&gt;=in_marketplace_from,d_hz_loan_vehicle*G451,0))</f>
        <v/>
      </c>
      <c r="BX452" s="14">
        <f>F452*BW452*IF(B452&gt;=in_marketplace_from,d_hz_loan_vehicle*G452,0)*in_loan_vehicle_ticket*in_loan_vehicle_comm</f>
        <v/>
      </c>
      <c r="BY452" s="40">
        <f>BY451*(1-IF(B451&gt;=in_marketplace_from,d_hz_loan_home*G451,0)*BZ451)</f>
        <v/>
      </c>
      <c r="BZ452" s="11">
        <f>MIN(in_approval_cap,in_loan_home_approval*INDEX('Age profile'!$O$2:$O$61,B452)*(1+in_approval_growth)^(D452-1))</f>
        <v/>
      </c>
      <c r="CA452" s="14">
        <f>F452*BY452*IF(B452&gt;=in_marketplace_from,d_hz_loan_home*G452,0)*BZ452*in_loan_home_ticket*in_loan_home_comm</f>
        <v/>
      </c>
      <c r="CB452" s="40">
        <f>CB451*(1-IF(B451&gt;=in_marketplace_from,d_hz_loan_lap*G451,0)*CC451)</f>
        <v/>
      </c>
      <c r="CC452" s="11">
        <f>MIN(in_approval_cap,in_loan_lap_approval*INDEX('Age profile'!$O$2:$O$61,B452)*(1+in_approval_growth)^(D452-1))</f>
        <v/>
      </c>
      <c r="CD452" s="14">
        <f>F452*CB452*IF(B452&gt;=in_marketplace_from,d_hz_loan_lap*G452,0)*CC452*in_loan_lap_ticket*in_loan_lap_comm</f>
        <v/>
      </c>
      <c r="CE452" s="14">
        <f>AA452+AB452+AC452+AD452+AG452+AJ452+AM452+AP452+AS452+AU452+AX452+BB452+BE452+BG452+BJ452+BL452+BO452+BR452+BT452+BV452+BX452+CA452+CD452</f>
        <v/>
      </c>
    </row>
    <row r="453">
      <c r="A453" s="39" t="n">
        <v>8</v>
      </c>
      <c r="B453" s="39" t="n">
        <v>53</v>
      </c>
      <c r="C453" s="39">
        <f>A453+B453-1</f>
        <v/>
      </c>
      <c r="D453" s="39">
        <f>INT((C453-1)/12)+1</f>
        <v/>
      </c>
      <c r="E453" s="44">
        <f>INDEX(Monthly!$B$2:$B$61,A453)</f>
        <v/>
      </c>
      <c r="F453" s="44">
        <f>E453*INDEX('Age profile'!$B$2:$B$61,B453)</f>
        <v/>
      </c>
      <c r="G453" s="45">
        <f>MIN(in_takeup_cap,INDEX('Age profile'!$N$2:$N$61,B453)*(1+in_takeup_growth)^(D453-1))</f>
        <v/>
      </c>
      <c r="H453" s="11">
        <f>MIN(in_approval_cap,in_approved_first*INDEX('Age profile'!$O$2:$O$61,B453)*(1+in_approval_growth)^(D453-1))</f>
        <v/>
      </c>
      <c r="I453" s="45">
        <f>G453*MIN(in_takeup_cap,INDEX('Age profile'!$O$2:$O$61,B453)*(1+in_approval_growth)^(D453-1))</f>
        <v/>
      </c>
      <c r="J453" s="40">
        <f>(J452-L452)*F453/F452</f>
        <v/>
      </c>
      <c r="K453" s="40">
        <f>(K452-M452)*F453/F452+SUMIFS(O401:O452,B401:B452,B453-1-d_T)*F453</f>
        <v/>
      </c>
      <c r="L453" s="40">
        <f>IF(B453&gt;=in_marketplace_from,J453*d_hz*G453*in_eligible*H453,0)</f>
        <v/>
      </c>
      <c r="M453" s="40">
        <f>IF(B453&gt;=in_marketplace_from,K453*d_hz*G453*in_eligible*in_approved_repeat,0)</f>
        <v/>
      </c>
      <c r="N453" s="40">
        <f>L453+M453</f>
        <v/>
      </c>
      <c r="O453" s="46">
        <f>N453/F453</f>
        <v/>
      </c>
      <c r="P453" s="40">
        <f>F453-J453-K453</f>
        <v/>
      </c>
      <c r="Q453" s="40">
        <f>IF(B453&gt;=in_marketplace_from,(J453+K453)*d_hz*G453,0)</f>
        <v/>
      </c>
      <c r="R453" s="40">
        <f>SUMIFS(N401:N453,B401:B453,"&gt;="&amp;(B453-d_T),B401:B453,"&lt;="&amp;(B453-1))</f>
        <v/>
      </c>
      <c r="S453" s="46">
        <f>(1-d_u)*S452+IF(d_T&gt;in_topup_lag,SUMIFS(O401:O453,B401:B453,B453-in_topup_lag)-d_udrop*SUMIFS(O401:O453,B401:B453,B453-d_T),0)</f>
        <v/>
      </c>
      <c r="T453" s="40">
        <f>F453*d_u*S453</f>
        <v/>
      </c>
      <c r="U453" s="9">
        <f>L453*in_ticket+M453*d_rep_ticket</f>
        <v/>
      </c>
      <c r="V453" s="9">
        <f>U453+T453*d_topup_amt</f>
        <v/>
      </c>
      <c r="W453" s="40">
        <f>N453+T453*d_topup_ratio</f>
        <v/>
      </c>
      <c r="X453" s="40">
        <f>SUMIFS(W401:W453,B401:B453,B453-in_dpd_lag)*d_cured</f>
        <v/>
      </c>
      <c r="Y453" s="40">
        <f>SUMIFS(W401:W453,B401:B453,B453-in_rec_lag)*d_recd</f>
        <v/>
      </c>
      <c r="Z453" s="40">
        <f>IF(AND(B453&gt;=in_marketplace_from,B453&lt;in_marketplace_from+in_card_months),in_card_share/in_card_months*F453*I453,IF(AND(B453&gt;=in_marketplace_from+in_card_months,B453&lt;in_marketplace_from+2*in_card_months),in_card_share*d_card_rem/in_card_months*F453*MIN(in_takeup_cap,(1+in_takeup_growth)^(D453-1))*MIN(in_takeup_cap,(1+in_approval_growth)^(D453-1)),0))</f>
        <v/>
      </c>
      <c r="AA453" s="14">
        <f>V453*in_fee*(1-in_taken_back)</f>
        <v/>
      </c>
      <c r="AB453" s="14">
        <f>SUMIFS(W401:W453,B401:B453,B453-in_dpd_lag)*d_dpd</f>
        <v/>
      </c>
      <c r="AC453" s="14">
        <f>SUMIFS(W401:W453,B401:B453,B453-in_rec_lag)*d_rec</f>
        <v/>
      </c>
      <c r="AD453" s="14">
        <f>Z453*in_card_fee</f>
        <v/>
      </c>
      <c r="AE453" s="40">
        <f>AE452*(1-IF(B452&gt;=in_marketplace_from,d_hz_hlth_small*G452,0))</f>
        <v/>
      </c>
      <c r="AF453" s="46">
        <f>AE453*IF(B453&gt;=in_marketplace_from,d_hz_hlth_small*G453,0)</f>
        <v/>
      </c>
      <c r="AG453" s="14">
        <f>F453*AF453*in_hlth_small_ticket*in_hlth_small_comm*in_ins_partner_share+F453*in_hlth_small_ticket*in_hlth_small_renew_comm*in_ins_partner_share*(in_hlth_small_renew^1*SUMIFS(AF401:AF453,B401:B453,B453-12)+in_hlth_small_renew^2*SUMIFS(AF401:AF453,B401:B453,B453-24)+in_hlth_small_renew^3*SUMIFS(AF401:AF453,B401:B453,B453-36)+in_hlth_small_renew^4*SUMIFS(AF401:AF453,B401:B453,B453-48))</f>
        <v/>
      </c>
      <c r="AH453" s="40">
        <f>AH452*(1-IF(B452&gt;=in_marketplace_from,d_hz_hlth_family*G452,0))</f>
        <v/>
      </c>
      <c r="AI453" s="46">
        <f>AH453*IF(B453&gt;=in_marketplace_from,d_hz_hlth_family*G453,0)</f>
        <v/>
      </c>
      <c r="AJ453" s="14">
        <f>F453*AI453*in_hlth_family_ticket*in_hlth_family_comm*in_ins_partner_share+F453*in_hlth_family_ticket*in_hlth_family_renew_comm*in_ins_partner_share*(in_hlth_family_renew^1*SUMIFS(AI401:AI453,B401:B453,B453-12)+in_hlth_family_renew^2*SUMIFS(AI401:AI453,B401:B453,B453-24)+in_hlth_family_renew^3*SUMIFS(AI401:AI453,B401:B453,B453-36)+in_hlth_family_renew^4*SUMIFS(AI401:AI453,B401:B453,B453-48))</f>
        <v/>
      </c>
      <c r="AK453" s="40">
        <f>AK452*(1-IF(B452&gt;=in_marketplace_from,d_hz_life_term*G452,0))</f>
        <v/>
      </c>
      <c r="AL453" s="46">
        <f>AK453*IF(B453&gt;=in_marketplace_from,d_hz_life_term*G453,0)</f>
        <v/>
      </c>
      <c r="AM453" s="14">
        <f>F453*AL453*in_life_term_ticket*in_life_term_comm*in_ins_partner_share+F453*in_life_term_ticket*in_life_term_renew_comm*in_ins_partner_share*(in_life_term_renew^1*SUMIFS(AL401:AL453,B401:B453,B453-12)+in_life_term_renew^2*SUMIFS(AL401:AL453,B401:B453,B453-24)+in_life_term_renew^3*SUMIFS(AL401:AL453,B401:B453,B453-36)+in_life_term_renew^4*SUMIFS(AL401:AL453,B401:B453,B453-48))</f>
        <v/>
      </c>
      <c r="AN453" s="40">
        <f>AN452*(1-IF(B452&gt;=in_marketplace_from,d_hz_accident*G452,0))</f>
        <v/>
      </c>
      <c r="AO453" s="46">
        <f>AN453*IF(B453&gt;=in_marketplace_from,d_hz_accident*G453,0)</f>
        <v/>
      </c>
      <c r="AP453" s="14">
        <f>F453*AO453*in_accident_ticket*in_accident_comm*in_ins_partner_share+F453*in_accident_ticket*in_accident_renew_comm*in_ins_partner_share*(in_accident_renew^1*SUMIFS(AO401:AO453,B401:B453,B453-12)+in_accident_renew^2*SUMIFS(AO401:AO453,B401:B453,B453-24)+in_accident_renew^3*SUMIFS(AO401:AO453,B401:B453,B453-36)+in_accident_renew^4*SUMIFS(AO401:AO453,B401:B453,B453-48))</f>
        <v/>
      </c>
      <c r="AQ453" s="40">
        <f>AQ452*(1-IF(B452&gt;=in_marketplace_from,d_hz_two_wheeler*G452,0))</f>
        <v/>
      </c>
      <c r="AR453" s="46">
        <f>AQ453*IF(B453&gt;=in_marketplace_from,d_hz_two_wheeler*G453,0)</f>
        <v/>
      </c>
      <c r="AS453" s="14">
        <f>F453*AR453*in_two_wheeler_ticket*in_two_wheeler_comm*in_ins_partner_share+F453*in_two_wheeler_ticket*in_two_wheeler_comm*in_ins_partner_share*(in_two_wheeler_renew^1*SUMIFS(AR401:AR453,B401:B453,B453-12)+in_two_wheeler_renew^2*SUMIFS(AR401:AR453,B401:B453,B453-24)+in_two_wheeler_renew^3*SUMIFS(AR401:AR453,B401:B453,B453-36)+in_two_wheeler_renew^4*SUMIFS(AR401:AR453,B401:B453,B453-48))</f>
        <v/>
      </c>
      <c r="AT453" s="40">
        <f>AT452*(1-IF(B452&gt;=in_marketplace_from,d_hz_device*G452,0))</f>
        <v/>
      </c>
      <c r="AU453" s="14">
        <f>F453*AT453*IF(B453&gt;=in_marketplace_from,d_hz_device*G453,0)*in_device_ticket*in_device_comm*in_ins_partner_share</f>
        <v/>
      </c>
      <c r="AV453" s="40">
        <f>AV452*(1-IF(B452&gt;=in_marketplace_from,d_hz_shop*G452,0))</f>
        <v/>
      </c>
      <c r="AW453" s="46">
        <f>AV453*IF(B453&gt;=in_marketplace_from,d_hz_shop*G453,0)</f>
        <v/>
      </c>
      <c r="AX453" s="14">
        <f>F453*AW453*in_shop_ticket*in_shop_comm*in_ins_partner_share+F453*in_shop_ticket*in_shop_renew_comm*in_ins_partner_share*(in_shop_renew^1*SUMIFS(AW401:AW453,B401:B453,B453-12)+in_shop_renew^2*SUMIFS(AW401:AW453,B401:B453,B453-24)+in_shop_renew^3*SUMIFS(AW401:AW453,B401:B453,B453-36)+in_shop_renew^4*SUMIFS(AW401:AW453,B401:B453,B453-48))</f>
        <v/>
      </c>
      <c r="AY453" s="40">
        <f>AY452*(1-IF(B452&gt;=in_marketplace_from,d_hz_sip*G452,0))</f>
        <v/>
      </c>
      <c r="AZ453" s="40">
        <f>AZ452*d_rho_sip+AY453*IF(B453&gt;=in_marketplace_from,d_hz_sip*G453,0)</f>
        <v/>
      </c>
      <c r="BA453" s="40">
        <f>d_rho_sip*(BA452+AZ452)</f>
        <v/>
      </c>
      <c r="BB453" s="14">
        <f>F453*in_sip_ticket*(BA453+0.5*AZ453)*in_sip_comm/12</f>
        <v/>
      </c>
      <c r="BC453" s="40">
        <f>BC452*(1-IF(B452&gt;=in_marketplace_from,d_hz_choti*G452,0))</f>
        <v/>
      </c>
      <c r="BD453" s="46">
        <f>BC453*IF(B453&gt;=in_marketplace_from,d_hz_choti*G453,0)</f>
        <v/>
      </c>
      <c r="BE453" s="14">
        <f>F453*SUMIFS(BD401:BD453,B401:B453,B453-in_choti_months)*in_choti_renew*in_choti_ticket</f>
        <v/>
      </c>
      <c r="BF453" s="40">
        <f>BF452*(1-IF(B452&gt;=in_marketplace_from,d_hz_nps*G452,0))</f>
        <v/>
      </c>
      <c r="BG453" s="14">
        <f>F453*BF453*IF(B453&gt;=in_marketplace_from,d_hz_nps*G453,0)*in_nps_ticket*in_nps_comm</f>
        <v/>
      </c>
      <c r="BH453" s="40">
        <f>BH452*(1-IF(B452&gt;=in_marketplace_from,d_hz_gold*G452,0))</f>
        <v/>
      </c>
      <c r="BI453" s="40">
        <f>BI452*d_rho_gold+BH453*IF(B453&gt;=in_marketplace_from,d_hz_gold*G453,0)</f>
        <v/>
      </c>
      <c r="BJ453" s="14">
        <f>F453*BI453*in_gold_ticket*in_gold_comm</f>
        <v/>
      </c>
      <c r="BK453" s="40">
        <f>BK452*(1-IF(B452&gt;=in_marketplace_from,d_hz_fd*G452,0))</f>
        <v/>
      </c>
      <c r="BL453" s="14">
        <f>F453*BK453*IF(B453&gt;=in_marketplace_from,d_hz_fd*G453,0)*in_fd_ticket*in_fd_comm</f>
        <v/>
      </c>
      <c r="BM453" s="40">
        <f>BM452*(1-IF(B452&gt;=in_marketplace_from,d_hz_recharge*G452,0))</f>
        <v/>
      </c>
      <c r="BN453" s="40">
        <f>BN452*d_rho_recharge+BM453*IF(B453&gt;=in_marketplace_from,d_hz_recharge*G453,0)</f>
        <v/>
      </c>
      <c r="BO453" s="14">
        <f>F453*BN453*in_recharge_ticket*in_recharge_comm/12</f>
        <v/>
      </c>
      <c r="BP453" s="40">
        <f>BP452*(1-IF(B452&gt;=in_marketplace_from,d_hz_bills*G452,0))</f>
        <v/>
      </c>
      <c r="BQ453" s="40">
        <f>BQ452*d_rho_bills+BP453*IF(B453&gt;=in_marketplace_from,d_hz_bills*G453,0)</f>
        <v/>
      </c>
      <c r="BR453" s="14">
        <f>F453*BQ453*in_bills_ticket*in_bills_comm/12</f>
        <v/>
      </c>
      <c r="BS453" s="40">
        <f>BS452*(1-IF(B452&gt;=in_marketplace_from,d_hz_loan_gold*G452,0))</f>
        <v/>
      </c>
      <c r="BT453" s="14">
        <f>F453*BS453*IF(B453&gt;=in_marketplace_from,d_hz_loan_gold*G453,0)*in_loan_gold_ticket*in_loan_gold_comm</f>
        <v/>
      </c>
      <c r="BU453" s="40">
        <f>BU452*(1-IF(B452&gt;=in_marketplace_from,d_hz_loan_cd*G452,0))</f>
        <v/>
      </c>
      <c r="BV453" s="14">
        <f>F453*BU453*IF(B453&gt;=in_marketplace_from,d_hz_loan_cd*G453,0)*in_loan_cd_ticket*in_loan_cd_comm</f>
        <v/>
      </c>
      <c r="BW453" s="40">
        <f>BW452*(1-IF(B452&gt;=in_marketplace_from,d_hz_loan_vehicle*G452,0))</f>
        <v/>
      </c>
      <c r="BX453" s="14">
        <f>F453*BW453*IF(B453&gt;=in_marketplace_from,d_hz_loan_vehicle*G453,0)*in_loan_vehicle_ticket*in_loan_vehicle_comm</f>
        <v/>
      </c>
      <c r="BY453" s="40">
        <f>BY452*(1-IF(B452&gt;=in_marketplace_from,d_hz_loan_home*G452,0)*BZ452)</f>
        <v/>
      </c>
      <c r="BZ453" s="11">
        <f>MIN(in_approval_cap,in_loan_home_approval*INDEX('Age profile'!$O$2:$O$61,B453)*(1+in_approval_growth)^(D453-1))</f>
        <v/>
      </c>
      <c r="CA453" s="14">
        <f>F453*BY453*IF(B453&gt;=in_marketplace_from,d_hz_loan_home*G453,0)*BZ453*in_loan_home_ticket*in_loan_home_comm</f>
        <v/>
      </c>
      <c r="CB453" s="40">
        <f>CB452*(1-IF(B452&gt;=in_marketplace_from,d_hz_loan_lap*G452,0)*CC452)</f>
        <v/>
      </c>
      <c r="CC453" s="11">
        <f>MIN(in_approval_cap,in_loan_lap_approval*INDEX('Age profile'!$O$2:$O$61,B453)*(1+in_approval_growth)^(D453-1))</f>
        <v/>
      </c>
      <c r="CD453" s="14">
        <f>F453*CB453*IF(B453&gt;=in_marketplace_from,d_hz_loan_lap*G453,0)*CC453*in_loan_lap_ticket*in_loan_lap_comm</f>
        <v/>
      </c>
      <c r="CE453" s="14">
        <f>AA453+AB453+AC453+AD453+AG453+AJ453+AM453+AP453+AS453+AU453+AX453+BB453+BE453+BG453+BJ453+BL453+BO453+BR453+BT453+BV453+BX453+CA453+CD453</f>
        <v/>
      </c>
    </row>
    <row r="454">
      <c r="A454" s="39" t="n">
        <v>9</v>
      </c>
      <c r="B454" s="39" t="n">
        <v>1</v>
      </c>
      <c r="C454" s="39">
        <f>A454+B454-1</f>
        <v/>
      </c>
      <c r="D454" s="39">
        <f>INT((C454-1)/12)+1</f>
        <v/>
      </c>
      <c r="E454" s="44">
        <f>INDEX(Monthly!$B$2:$B$61,A454)</f>
        <v/>
      </c>
      <c r="F454" s="44">
        <f>E454*INDEX('Age profile'!$B$2:$B$61,B454)</f>
        <v/>
      </c>
      <c r="G454" s="45">
        <f>MIN(in_takeup_cap,INDEX('Age profile'!$N$2:$N$61,B454)*(1+in_takeup_growth)^(D454-1))</f>
        <v/>
      </c>
      <c r="H454" s="11">
        <f>MIN(in_approval_cap,in_approved_first*INDEX('Age profile'!$O$2:$O$61,B454)*(1+in_approval_growth)^(D454-1))</f>
        <v/>
      </c>
      <c r="I454" s="45">
        <f>G454*MIN(in_takeup_cap,INDEX('Age profile'!$O$2:$O$61,B454)*(1+in_approval_growth)^(D454-1))</f>
        <v/>
      </c>
      <c r="J454" s="40">
        <f>E454</f>
        <v/>
      </c>
      <c r="K454" s="40" t="n">
        <v>0</v>
      </c>
      <c r="L454" s="40">
        <f>IF(B454&gt;=in_marketplace_from,J454*d_hz*G454*in_eligible*H454,0)</f>
        <v/>
      </c>
      <c r="M454" s="40">
        <f>IF(B454&gt;=in_marketplace_from,K454*d_hz*G454*in_eligible*in_approved_repeat,0)</f>
        <v/>
      </c>
      <c r="N454" s="40">
        <f>L454+M454</f>
        <v/>
      </c>
      <c r="O454" s="46">
        <f>N454/F454</f>
        <v/>
      </c>
      <c r="P454" s="40">
        <f>F454-J454-K454</f>
        <v/>
      </c>
      <c r="Q454" s="40">
        <f>IF(B454&gt;=in_marketplace_from,(J454+K454)*d_hz*G454,0)</f>
        <v/>
      </c>
      <c r="R454" s="40">
        <f>SUMIFS(N454:N505,B454:B505,"&gt;="&amp;(B454-d_T),B454:B505,"&lt;="&amp;(B454-1))</f>
        <v/>
      </c>
      <c r="S454" s="46" t="n">
        <v>0</v>
      </c>
      <c r="T454" s="40">
        <f>F454*d_u*S454</f>
        <v/>
      </c>
      <c r="U454" s="9">
        <f>L454*in_ticket+M454*d_rep_ticket</f>
        <v/>
      </c>
      <c r="V454" s="9">
        <f>U454+T454*d_topup_amt</f>
        <v/>
      </c>
      <c r="W454" s="40">
        <f>N454+T454*d_topup_ratio</f>
        <v/>
      </c>
      <c r="X454" s="40">
        <f>SUMIFS(W454:W505,B454:B505,B454-in_dpd_lag)*d_cured</f>
        <v/>
      </c>
      <c r="Y454" s="40">
        <f>SUMIFS(W454:W505,B454:B505,B454-in_rec_lag)*d_recd</f>
        <v/>
      </c>
      <c r="Z454" s="40">
        <f>IF(AND(B454&gt;=in_marketplace_from,B454&lt;in_marketplace_from+in_card_months),in_card_share/in_card_months*F454*I454,IF(AND(B454&gt;=in_marketplace_from+in_card_months,B454&lt;in_marketplace_from+2*in_card_months),in_card_share*d_card_rem/in_card_months*F454*MIN(in_takeup_cap,(1+in_takeup_growth)^(D454-1))*MIN(in_takeup_cap,(1+in_approval_growth)^(D454-1)),0))</f>
        <v/>
      </c>
      <c r="AA454" s="14">
        <f>V454*in_fee*(1-in_taken_back)</f>
        <v/>
      </c>
      <c r="AB454" s="14">
        <f>SUMIFS(W454:W505,B454:B505,B454-in_dpd_lag)*d_dpd</f>
        <v/>
      </c>
      <c r="AC454" s="14">
        <f>SUMIFS(W454:W505,B454:B505,B454-in_rec_lag)*d_rec</f>
        <v/>
      </c>
      <c r="AD454" s="14">
        <f>Z454*in_card_fee</f>
        <v/>
      </c>
      <c r="AE454" s="40" t="n">
        <v>1</v>
      </c>
      <c r="AF454" s="46">
        <f>AE454*IF(B454&gt;=in_marketplace_from,d_hz_hlth_small*G454,0)</f>
        <v/>
      </c>
      <c r="AG454" s="14">
        <f>F454*AF454*in_hlth_small_ticket*in_hlth_small_comm*in_ins_partner_share+F454*in_hlth_small_ticket*in_hlth_small_renew_comm*in_ins_partner_share*(in_hlth_small_renew^1*SUMIFS(AF454:AF505,B454:B505,B454-12)+in_hlth_small_renew^2*SUMIFS(AF454:AF505,B454:B505,B454-24)+in_hlth_small_renew^3*SUMIFS(AF454:AF505,B454:B505,B454-36)+in_hlth_small_renew^4*SUMIFS(AF454:AF505,B454:B505,B454-48))</f>
        <v/>
      </c>
      <c r="AH454" s="40" t="n">
        <v>1</v>
      </c>
      <c r="AI454" s="46">
        <f>AH454*IF(B454&gt;=in_marketplace_from,d_hz_hlth_family*G454,0)</f>
        <v/>
      </c>
      <c r="AJ454" s="14">
        <f>F454*AI454*in_hlth_family_ticket*in_hlth_family_comm*in_ins_partner_share+F454*in_hlth_family_ticket*in_hlth_family_renew_comm*in_ins_partner_share*(in_hlth_family_renew^1*SUMIFS(AI454:AI505,B454:B505,B454-12)+in_hlth_family_renew^2*SUMIFS(AI454:AI505,B454:B505,B454-24)+in_hlth_family_renew^3*SUMIFS(AI454:AI505,B454:B505,B454-36)+in_hlth_family_renew^4*SUMIFS(AI454:AI505,B454:B505,B454-48))</f>
        <v/>
      </c>
      <c r="AK454" s="40" t="n">
        <v>1</v>
      </c>
      <c r="AL454" s="46">
        <f>AK454*IF(B454&gt;=in_marketplace_from,d_hz_life_term*G454,0)</f>
        <v/>
      </c>
      <c r="AM454" s="14">
        <f>F454*AL454*in_life_term_ticket*in_life_term_comm*in_ins_partner_share+F454*in_life_term_ticket*in_life_term_renew_comm*in_ins_partner_share*(in_life_term_renew^1*SUMIFS(AL454:AL505,B454:B505,B454-12)+in_life_term_renew^2*SUMIFS(AL454:AL505,B454:B505,B454-24)+in_life_term_renew^3*SUMIFS(AL454:AL505,B454:B505,B454-36)+in_life_term_renew^4*SUMIFS(AL454:AL505,B454:B505,B454-48))</f>
        <v/>
      </c>
      <c r="AN454" s="40" t="n">
        <v>1</v>
      </c>
      <c r="AO454" s="46">
        <f>AN454*IF(B454&gt;=in_marketplace_from,d_hz_accident*G454,0)</f>
        <v/>
      </c>
      <c r="AP454" s="14">
        <f>F454*AO454*in_accident_ticket*in_accident_comm*in_ins_partner_share+F454*in_accident_ticket*in_accident_renew_comm*in_ins_partner_share*(in_accident_renew^1*SUMIFS(AO454:AO505,B454:B505,B454-12)+in_accident_renew^2*SUMIFS(AO454:AO505,B454:B505,B454-24)+in_accident_renew^3*SUMIFS(AO454:AO505,B454:B505,B454-36)+in_accident_renew^4*SUMIFS(AO454:AO505,B454:B505,B454-48))</f>
        <v/>
      </c>
      <c r="AQ454" s="40" t="n">
        <v>1</v>
      </c>
      <c r="AR454" s="46">
        <f>AQ454*IF(B454&gt;=in_marketplace_from,d_hz_two_wheeler*G454,0)</f>
        <v/>
      </c>
      <c r="AS454" s="14">
        <f>F454*AR454*in_two_wheeler_ticket*in_two_wheeler_comm*in_ins_partner_share+F454*in_two_wheeler_ticket*in_two_wheeler_comm*in_ins_partner_share*(in_two_wheeler_renew^1*SUMIFS(AR454:AR505,B454:B505,B454-12)+in_two_wheeler_renew^2*SUMIFS(AR454:AR505,B454:B505,B454-24)+in_two_wheeler_renew^3*SUMIFS(AR454:AR505,B454:B505,B454-36)+in_two_wheeler_renew^4*SUMIFS(AR454:AR505,B454:B505,B454-48))</f>
        <v/>
      </c>
      <c r="AT454" s="40" t="n">
        <v>1</v>
      </c>
      <c r="AU454" s="14">
        <f>F454*AT454*IF(B454&gt;=in_marketplace_from,d_hz_device*G454,0)*in_device_ticket*in_device_comm*in_ins_partner_share</f>
        <v/>
      </c>
      <c r="AV454" s="40" t="n">
        <v>1</v>
      </c>
      <c r="AW454" s="46">
        <f>AV454*IF(B454&gt;=in_marketplace_from,d_hz_shop*G454,0)</f>
        <v/>
      </c>
      <c r="AX454" s="14">
        <f>F454*AW454*in_shop_ticket*in_shop_comm*in_ins_partner_share+F454*in_shop_ticket*in_shop_renew_comm*in_ins_partner_share*(in_shop_renew^1*SUMIFS(AW454:AW505,B454:B505,B454-12)+in_shop_renew^2*SUMIFS(AW454:AW505,B454:B505,B454-24)+in_shop_renew^3*SUMIFS(AW454:AW505,B454:B505,B454-36)+in_shop_renew^4*SUMIFS(AW454:AW505,B454:B505,B454-48))</f>
        <v/>
      </c>
      <c r="AY454" s="40" t="n">
        <v>1</v>
      </c>
      <c r="AZ454" s="40">
        <f>AY454*IF(B454&gt;=in_marketplace_from,d_hz_sip*G454,0)</f>
        <v/>
      </c>
      <c r="BA454" s="40" t="n">
        <v>0</v>
      </c>
      <c r="BB454" s="14">
        <f>F454*in_sip_ticket*(BA454+0.5*AZ454)*in_sip_comm/12</f>
        <v/>
      </c>
      <c r="BC454" s="40" t="n">
        <v>1</v>
      </c>
      <c r="BD454" s="46">
        <f>BC454*IF(B454&gt;=in_marketplace_from,d_hz_choti*G454,0)</f>
        <v/>
      </c>
      <c r="BE454" s="14">
        <f>F454*SUMIFS(BD454:BD505,B454:B505,B454-in_choti_months)*in_choti_renew*in_choti_ticket</f>
        <v/>
      </c>
      <c r="BF454" s="40" t="n">
        <v>1</v>
      </c>
      <c r="BG454" s="14">
        <f>F454*BF454*IF(B454&gt;=in_marketplace_from,d_hz_nps*G454,0)*in_nps_ticket*in_nps_comm</f>
        <v/>
      </c>
      <c r="BH454" s="40" t="n">
        <v>1</v>
      </c>
      <c r="BI454" s="40">
        <f>BH454*IF(B454&gt;=in_marketplace_from,d_hz_gold*G454,0)</f>
        <v/>
      </c>
      <c r="BJ454" s="14">
        <f>F454*BI454*in_gold_ticket*in_gold_comm</f>
        <v/>
      </c>
      <c r="BK454" s="40" t="n">
        <v>1</v>
      </c>
      <c r="BL454" s="14">
        <f>F454*BK454*IF(B454&gt;=in_marketplace_from,d_hz_fd*G454,0)*in_fd_ticket*in_fd_comm</f>
        <v/>
      </c>
      <c r="BM454" s="40" t="n">
        <v>1</v>
      </c>
      <c r="BN454" s="40">
        <f>BM454*IF(B454&gt;=in_marketplace_from,d_hz_recharge*G454,0)</f>
        <v/>
      </c>
      <c r="BO454" s="14">
        <f>F454*BN454*in_recharge_ticket*in_recharge_comm/12</f>
        <v/>
      </c>
      <c r="BP454" s="40" t="n">
        <v>1</v>
      </c>
      <c r="BQ454" s="40">
        <f>BP454*IF(B454&gt;=in_marketplace_from,d_hz_bills*G454,0)</f>
        <v/>
      </c>
      <c r="BR454" s="14">
        <f>F454*BQ454*in_bills_ticket*in_bills_comm/12</f>
        <v/>
      </c>
      <c r="BS454" s="40" t="n">
        <v>1</v>
      </c>
      <c r="BT454" s="14">
        <f>F454*BS454*IF(B454&gt;=in_marketplace_from,d_hz_loan_gold*G454,0)*in_loan_gold_ticket*in_loan_gold_comm</f>
        <v/>
      </c>
      <c r="BU454" s="40" t="n">
        <v>1</v>
      </c>
      <c r="BV454" s="14">
        <f>F454*BU454*IF(B454&gt;=in_marketplace_from,d_hz_loan_cd*G454,0)*in_loan_cd_ticket*in_loan_cd_comm</f>
        <v/>
      </c>
      <c r="BW454" s="40" t="n">
        <v>1</v>
      </c>
      <c r="BX454" s="14">
        <f>F454*BW454*IF(B454&gt;=in_marketplace_from,d_hz_loan_vehicle*G454,0)*in_loan_vehicle_ticket*in_loan_vehicle_comm</f>
        <v/>
      </c>
      <c r="BY454" s="40" t="n">
        <v>1</v>
      </c>
      <c r="BZ454" s="11">
        <f>MIN(in_approval_cap,in_loan_home_approval*INDEX('Age profile'!$O$2:$O$61,B454)*(1+in_approval_growth)^(D454-1))</f>
        <v/>
      </c>
      <c r="CA454" s="14">
        <f>F454*BY454*IF(B454&gt;=in_marketplace_from,d_hz_loan_home*G454,0)*BZ454*in_loan_home_ticket*in_loan_home_comm</f>
        <v/>
      </c>
      <c r="CB454" s="40" t="n">
        <v>1</v>
      </c>
      <c r="CC454" s="11">
        <f>MIN(in_approval_cap,in_loan_lap_approval*INDEX('Age profile'!$O$2:$O$61,B454)*(1+in_approval_growth)^(D454-1))</f>
        <v/>
      </c>
      <c r="CD454" s="14">
        <f>F454*CB454*IF(B454&gt;=in_marketplace_from,d_hz_loan_lap*G454,0)*CC454*in_loan_lap_ticket*in_loan_lap_comm</f>
        <v/>
      </c>
      <c r="CE454" s="14">
        <f>AA454+AB454+AC454+AD454+AG454+AJ454+AM454+AP454+AS454+AU454+AX454+BB454+BE454+BG454+BJ454+BL454+BO454+BR454+BT454+BV454+BX454+CA454+CD454</f>
        <v/>
      </c>
    </row>
    <row r="455">
      <c r="A455" s="39" t="n">
        <v>9</v>
      </c>
      <c r="B455" s="39" t="n">
        <v>2</v>
      </c>
      <c r="C455" s="39">
        <f>A455+B455-1</f>
        <v/>
      </c>
      <c r="D455" s="39">
        <f>INT((C455-1)/12)+1</f>
        <v/>
      </c>
      <c r="E455" s="44">
        <f>INDEX(Monthly!$B$2:$B$61,A455)</f>
        <v/>
      </c>
      <c r="F455" s="44">
        <f>E455*INDEX('Age profile'!$B$2:$B$61,B455)</f>
        <v/>
      </c>
      <c r="G455" s="45">
        <f>MIN(in_takeup_cap,INDEX('Age profile'!$N$2:$N$61,B455)*(1+in_takeup_growth)^(D455-1))</f>
        <v/>
      </c>
      <c r="H455" s="11">
        <f>MIN(in_approval_cap,in_approved_first*INDEX('Age profile'!$O$2:$O$61,B455)*(1+in_approval_growth)^(D455-1))</f>
        <v/>
      </c>
      <c r="I455" s="45">
        <f>G455*MIN(in_takeup_cap,INDEX('Age profile'!$O$2:$O$61,B455)*(1+in_approval_growth)^(D455-1))</f>
        <v/>
      </c>
      <c r="J455" s="40">
        <f>(J454-L454)*F455/F454</f>
        <v/>
      </c>
      <c r="K455" s="40">
        <f>(K454-M454)*F455/F454+SUMIFS(O454:O454,B454:B454,B455-1-d_T)*F455</f>
        <v/>
      </c>
      <c r="L455" s="40">
        <f>IF(B455&gt;=in_marketplace_from,J455*d_hz*G455*in_eligible*H455,0)</f>
        <v/>
      </c>
      <c r="M455" s="40">
        <f>IF(B455&gt;=in_marketplace_from,K455*d_hz*G455*in_eligible*in_approved_repeat,0)</f>
        <v/>
      </c>
      <c r="N455" s="40">
        <f>L455+M455</f>
        <v/>
      </c>
      <c r="O455" s="46">
        <f>N455/F455</f>
        <v/>
      </c>
      <c r="P455" s="40">
        <f>F455-J455-K455</f>
        <v/>
      </c>
      <c r="Q455" s="40">
        <f>IF(B455&gt;=in_marketplace_from,(J455+K455)*d_hz*G455,0)</f>
        <v/>
      </c>
      <c r="R455" s="40">
        <f>SUMIFS(N454:N505,B454:B505,"&gt;="&amp;(B455-d_T),B454:B505,"&lt;="&amp;(B455-1))</f>
        <v/>
      </c>
      <c r="S455" s="46">
        <f>(1-d_u)*S454+IF(d_T&gt;in_topup_lag,SUMIFS(O454:O505,B454:B505,B455-in_topup_lag)-d_udrop*SUMIFS(O454:O505,B454:B505,B455-d_T),0)</f>
        <v/>
      </c>
      <c r="T455" s="40">
        <f>F455*d_u*S455</f>
        <v/>
      </c>
      <c r="U455" s="9">
        <f>L455*in_ticket+M455*d_rep_ticket</f>
        <v/>
      </c>
      <c r="V455" s="9">
        <f>U455+T455*d_topup_amt</f>
        <v/>
      </c>
      <c r="W455" s="40">
        <f>N455+T455*d_topup_ratio</f>
        <v/>
      </c>
      <c r="X455" s="40">
        <f>SUMIFS(W454:W505,B454:B505,B455-in_dpd_lag)*d_cured</f>
        <v/>
      </c>
      <c r="Y455" s="40">
        <f>SUMIFS(W454:W505,B454:B505,B455-in_rec_lag)*d_recd</f>
        <v/>
      </c>
      <c r="Z455" s="40">
        <f>IF(AND(B455&gt;=in_marketplace_from,B455&lt;in_marketplace_from+in_card_months),in_card_share/in_card_months*F455*I455,IF(AND(B455&gt;=in_marketplace_from+in_card_months,B455&lt;in_marketplace_from+2*in_card_months),in_card_share*d_card_rem/in_card_months*F455*MIN(in_takeup_cap,(1+in_takeup_growth)^(D455-1))*MIN(in_takeup_cap,(1+in_approval_growth)^(D455-1)),0))</f>
        <v/>
      </c>
      <c r="AA455" s="14">
        <f>V455*in_fee*(1-in_taken_back)</f>
        <v/>
      </c>
      <c r="AB455" s="14">
        <f>SUMIFS(W454:W505,B454:B505,B455-in_dpd_lag)*d_dpd</f>
        <v/>
      </c>
      <c r="AC455" s="14">
        <f>SUMIFS(W454:W505,B454:B505,B455-in_rec_lag)*d_rec</f>
        <v/>
      </c>
      <c r="AD455" s="14">
        <f>Z455*in_card_fee</f>
        <v/>
      </c>
      <c r="AE455" s="40">
        <f>AE454*(1-IF(B454&gt;=in_marketplace_from,d_hz_hlth_small*G454,0))</f>
        <v/>
      </c>
      <c r="AF455" s="46">
        <f>AE455*IF(B455&gt;=in_marketplace_from,d_hz_hlth_small*G455,0)</f>
        <v/>
      </c>
      <c r="AG455" s="14">
        <f>F455*AF455*in_hlth_small_ticket*in_hlth_small_comm*in_ins_partner_share+F455*in_hlth_small_ticket*in_hlth_small_renew_comm*in_ins_partner_share*(in_hlth_small_renew^1*SUMIFS(AF454:AF505,B454:B505,B455-12)+in_hlth_small_renew^2*SUMIFS(AF454:AF505,B454:B505,B455-24)+in_hlth_small_renew^3*SUMIFS(AF454:AF505,B454:B505,B455-36)+in_hlth_small_renew^4*SUMIFS(AF454:AF505,B454:B505,B455-48))</f>
        <v/>
      </c>
      <c r="AH455" s="40">
        <f>AH454*(1-IF(B454&gt;=in_marketplace_from,d_hz_hlth_family*G454,0))</f>
        <v/>
      </c>
      <c r="AI455" s="46">
        <f>AH455*IF(B455&gt;=in_marketplace_from,d_hz_hlth_family*G455,0)</f>
        <v/>
      </c>
      <c r="AJ455" s="14">
        <f>F455*AI455*in_hlth_family_ticket*in_hlth_family_comm*in_ins_partner_share+F455*in_hlth_family_ticket*in_hlth_family_renew_comm*in_ins_partner_share*(in_hlth_family_renew^1*SUMIFS(AI454:AI505,B454:B505,B455-12)+in_hlth_family_renew^2*SUMIFS(AI454:AI505,B454:B505,B455-24)+in_hlth_family_renew^3*SUMIFS(AI454:AI505,B454:B505,B455-36)+in_hlth_family_renew^4*SUMIFS(AI454:AI505,B454:B505,B455-48))</f>
        <v/>
      </c>
      <c r="AK455" s="40">
        <f>AK454*(1-IF(B454&gt;=in_marketplace_from,d_hz_life_term*G454,0))</f>
        <v/>
      </c>
      <c r="AL455" s="46">
        <f>AK455*IF(B455&gt;=in_marketplace_from,d_hz_life_term*G455,0)</f>
        <v/>
      </c>
      <c r="AM455" s="14">
        <f>F455*AL455*in_life_term_ticket*in_life_term_comm*in_ins_partner_share+F455*in_life_term_ticket*in_life_term_renew_comm*in_ins_partner_share*(in_life_term_renew^1*SUMIFS(AL454:AL505,B454:B505,B455-12)+in_life_term_renew^2*SUMIFS(AL454:AL505,B454:B505,B455-24)+in_life_term_renew^3*SUMIFS(AL454:AL505,B454:B505,B455-36)+in_life_term_renew^4*SUMIFS(AL454:AL505,B454:B505,B455-48))</f>
        <v/>
      </c>
      <c r="AN455" s="40">
        <f>AN454*(1-IF(B454&gt;=in_marketplace_from,d_hz_accident*G454,0))</f>
        <v/>
      </c>
      <c r="AO455" s="46">
        <f>AN455*IF(B455&gt;=in_marketplace_from,d_hz_accident*G455,0)</f>
        <v/>
      </c>
      <c r="AP455" s="14">
        <f>F455*AO455*in_accident_ticket*in_accident_comm*in_ins_partner_share+F455*in_accident_ticket*in_accident_renew_comm*in_ins_partner_share*(in_accident_renew^1*SUMIFS(AO454:AO505,B454:B505,B455-12)+in_accident_renew^2*SUMIFS(AO454:AO505,B454:B505,B455-24)+in_accident_renew^3*SUMIFS(AO454:AO505,B454:B505,B455-36)+in_accident_renew^4*SUMIFS(AO454:AO505,B454:B505,B455-48))</f>
        <v/>
      </c>
      <c r="AQ455" s="40">
        <f>AQ454*(1-IF(B454&gt;=in_marketplace_from,d_hz_two_wheeler*G454,0))</f>
        <v/>
      </c>
      <c r="AR455" s="46">
        <f>AQ455*IF(B455&gt;=in_marketplace_from,d_hz_two_wheeler*G455,0)</f>
        <v/>
      </c>
      <c r="AS455" s="14">
        <f>F455*AR455*in_two_wheeler_ticket*in_two_wheeler_comm*in_ins_partner_share+F455*in_two_wheeler_ticket*in_two_wheeler_comm*in_ins_partner_share*(in_two_wheeler_renew^1*SUMIFS(AR454:AR505,B454:B505,B455-12)+in_two_wheeler_renew^2*SUMIFS(AR454:AR505,B454:B505,B455-24)+in_two_wheeler_renew^3*SUMIFS(AR454:AR505,B454:B505,B455-36)+in_two_wheeler_renew^4*SUMIFS(AR454:AR505,B454:B505,B455-48))</f>
        <v/>
      </c>
      <c r="AT455" s="40">
        <f>AT454*(1-IF(B454&gt;=in_marketplace_from,d_hz_device*G454,0))</f>
        <v/>
      </c>
      <c r="AU455" s="14">
        <f>F455*AT455*IF(B455&gt;=in_marketplace_from,d_hz_device*G455,0)*in_device_ticket*in_device_comm*in_ins_partner_share</f>
        <v/>
      </c>
      <c r="AV455" s="40">
        <f>AV454*(1-IF(B454&gt;=in_marketplace_from,d_hz_shop*G454,0))</f>
        <v/>
      </c>
      <c r="AW455" s="46">
        <f>AV455*IF(B455&gt;=in_marketplace_from,d_hz_shop*G455,0)</f>
        <v/>
      </c>
      <c r="AX455" s="14">
        <f>F455*AW455*in_shop_ticket*in_shop_comm*in_ins_partner_share+F455*in_shop_ticket*in_shop_renew_comm*in_ins_partner_share*(in_shop_renew^1*SUMIFS(AW454:AW505,B454:B505,B455-12)+in_shop_renew^2*SUMIFS(AW454:AW505,B454:B505,B455-24)+in_shop_renew^3*SUMIFS(AW454:AW505,B454:B505,B455-36)+in_shop_renew^4*SUMIFS(AW454:AW505,B454:B505,B455-48))</f>
        <v/>
      </c>
      <c r="AY455" s="40">
        <f>AY454*(1-IF(B454&gt;=in_marketplace_from,d_hz_sip*G454,0))</f>
        <v/>
      </c>
      <c r="AZ455" s="40">
        <f>AZ454*d_rho_sip+AY455*IF(B455&gt;=in_marketplace_from,d_hz_sip*G455,0)</f>
        <v/>
      </c>
      <c r="BA455" s="40">
        <f>d_rho_sip*(BA454+AZ454)</f>
        <v/>
      </c>
      <c r="BB455" s="14">
        <f>F455*in_sip_ticket*(BA455+0.5*AZ455)*in_sip_comm/12</f>
        <v/>
      </c>
      <c r="BC455" s="40">
        <f>BC454*(1-IF(B454&gt;=in_marketplace_from,d_hz_choti*G454,0))</f>
        <v/>
      </c>
      <c r="BD455" s="46">
        <f>BC455*IF(B455&gt;=in_marketplace_from,d_hz_choti*G455,0)</f>
        <v/>
      </c>
      <c r="BE455" s="14">
        <f>F455*SUMIFS(BD454:BD505,B454:B505,B455-in_choti_months)*in_choti_renew*in_choti_ticket</f>
        <v/>
      </c>
      <c r="BF455" s="40">
        <f>BF454*(1-IF(B454&gt;=in_marketplace_from,d_hz_nps*G454,0))</f>
        <v/>
      </c>
      <c r="BG455" s="14">
        <f>F455*BF455*IF(B455&gt;=in_marketplace_from,d_hz_nps*G455,0)*in_nps_ticket*in_nps_comm</f>
        <v/>
      </c>
      <c r="BH455" s="40">
        <f>BH454*(1-IF(B454&gt;=in_marketplace_from,d_hz_gold*G454,0))</f>
        <v/>
      </c>
      <c r="BI455" s="40">
        <f>BI454*d_rho_gold+BH455*IF(B455&gt;=in_marketplace_from,d_hz_gold*G455,0)</f>
        <v/>
      </c>
      <c r="BJ455" s="14">
        <f>F455*BI455*in_gold_ticket*in_gold_comm</f>
        <v/>
      </c>
      <c r="BK455" s="40">
        <f>BK454*(1-IF(B454&gt;=in_marketplace_from,d_hz_fd*G454,0))</f>
        <v/>
      </c>
      <c r="BL455" s="14">
        <f>F455*BK455*IF(B455&gt;=in_marketplace_from,d_hz_fd*G455,0)*in_fd_ticket*in_fd_comm</f>
        <v/>
      </c>
      <c r="BM455" s="40">
        <f>BM454*(1-IF(B454&gt;=in_marketplace_from,d_hz_recharge*G454,0))</f>
        <v/>
      </c>
      <c r="BN455" s="40">
        <f>BN454*d_rho_recharge+BM455*IF(B455&gt;=in_marketplace_from,d_hz_recharge*G455,0)</f>
        <v/>
      </c>
      <c r="BO455" s="14">
        <f>F455*BN455*in_recharge_ticket*in_recharge_comm/12</f>
        <v/>
      </c>
      <c r="BP455" s="40">
        <f>BP454*(1-IF(B454&gt;=in_marketplace_from,d_hz_bills*G454,0))</f>
        <v/>
      </c>
      <c r="BQ455" s="40">
        <f>BQ454*d_rho_bills+BP455*IF(B455&gt;=in_marketplace_from,d_hz_bills*G455,0)</f>
        <v/>
      </c>
      <c r="BR455" s="14">
        <f>F455*BQ455*in_bills_ticket*in_bills_comm/12</f>
        <v/>
      </c>
      <c r="BS455" s="40">
        <f>BS454*(1-IF(B454&gt;=in_marketplace_from,d_hz_loan_gold*G454,0))</f>
        <v/>
      </c>
      <c r="BT455" s="14">
        <f>F455*BS455*IF(B455&gt;=in_marketplace_from,d_hz_loan_gold*G455,0)*in_loan_gold_ticket*in_loan_gold_comm</f>
        <v/>
      </c>
      <c r="BU455" s="40">
        <f>BU454*(1-IF(B454&gt;=in_marketplace_from,d_hz_loan_cd*G454,0))</f>
        <v/>
      </c>
      <c r="BV455" s="14">
        <f>F455*BU455*IF(B455&gt;=in_marketplace_from,d_hz_loan_cd*G455,0)*in_loan_cd_ticket*in_loan_cd_comm</f>
        <v/>
      </c>
      <c r="BW455" s="40">
        <f>BW454*(1-IF(B454&gt;=in_marketplace_from,d_hz_loan_vehicle*G454,0))</f>
        <v/>
      </c>
      <c r="BX455" s="14">
        <f>F455*BW455*IF(B455&gt;=in_marketplace_from,d_hz_loan_vehicle*G455,0)*in_loan_vehicle_ticket*in_loan_vehicle_comm</f>
        <v/>
      </c>
      <c r="BY455" s="40">
        <f>BY454*(1-IF(B454&gt;=in_marketplace_from,d_hz_loan_home*G454,0)*BZ454)</f>
        <v/>
      </c>
      <c r="BZ455" s="11">
        <f>MIN(in_approval_cap,in_loan_home_approval*INDEX('Age profile'!$O$2:$O$61,B455)*(1+in_approval_growth)^(D455-1))</f>
        <v/>
      </c>
      <c r="CA455" s="14">
        <f>F455*BY455*IF(B455&gt;=in_marketplace_from,d_hz_loan_home*G455,0)*BZ455*in_loan_home_ticket*in_loan_home_comm</f>
        <v/>
      </c>
      <c r="CB455" s="40">
        <f>CB454*(1-IF(B454&gt;=in_marketplace_from,d_hz_loan_lap*G454,0)*CC454)</f>
        <v/>
      </c>
      <c r="CC455" s="11">
        <f>MIN(in_approval_cap,in_loan_lap_approval*INDEX('Age profile'!$O$2:$O$61,B455)*(1+in_approval_growth)^(D455-1))</f>
        <v/>
      </c>
      <c r="CD455" s="14">
        <f>F455*CB455*IF(B455&gt;=in_marketplace_from,d_hz_loan_lap*G455,0)*CC455*in_loan_lap_ticket*in_loan_lap_comm</f>
        <v/>
      </c>
      <c r="CE455" s="14">
        <f>AA455+AB455+AC455+AD455+AG455+AJ455+AM455+AP455+AS455+AU455+AX455+BB455+BE455+BG455+BJ455+BL455+BO455+BR455+BT455+BV455+BX455+CA455+CD455</f>
        <v/>
      </c>
    </row>
    <row r="456">
      <c r="A456" s="39" t="n">
        <v>9</v>
      </c>
      <c r="B456" s="39" t="n">
        <v>3</v>
      </c>
      <c r="C456" s="39">
        <f>A456+B456-1</f>
        <v/>
      </c>
      <c r="D456" s="39">
        <f>INT((C456-1)/12)+1</f>
        <v/>
      </c>
      <c r="E456" s="44">
        <f>INDEX(Monthly!$B$2:$B$61,A456)</f>
        <v/>
      </c>
      <c r="F456" s="44">
        <f>E456*INDEX('Age profile'!$B$2:$B$61,B456)</f>
        <v/>
      </c>
      <c r="G456" s="45">
        <f>MIN(in_takeup_cap,INDEX('Age profile'!$N$2:$N$61,B456)*(1+in_takeup_growth)^(D456-1))</f>
        <v/>
      </c>
      <c r="H456" s="11">
        <f>MIN(in_approval_cap,in_approved_first*INDEX('Age profile'!$O$2:$O$61,B456)*(1+in_approval_growth)^(D456-1))</f>
        <v/>
      </c>
      <c r="I456" s="45">
        <f>G456*MIN(in_takeup_cap,INDEX('Age profile'!$O$2:$O$61,B456)*(1+in_approval_growth)^(D456-1))</f>
        <v/>
      </c>
      <c r="J456" s="40">
        <f>(J455-L455)*F456/F455</f>
        <v/>
      </c>
      <c r="K456" s="40">
        <f>(K455-M455)*F456/F455+SUMIFS(O454:O455,B454:B455,B456-1-d_T)*F456</f>
        <v/>
      </c>
      <c r="L456" s="40">
        <f>IF(B456&gt;=in_marketplace_from,J456*d_hz*G456*in_eligible*H456,0)</f>
        <v/>
      </c>
      <c r="M456" s="40">
        <f>IF(B456&gt;=in_marketplace_from,K456*d_hz*G456*in_eligible*in_approved_repeat,0)</f>
        <v/>
      </c>
      <c r="N456" s="40">
        <f>L456+M456</f>
        <v/>
      </c>
      <c r="O456" s="46">
        <f>N456/F456</f>
        <v/>
      </c>
      <c r="P456" s="40">
        <f>F456-J456-K456</f>
        <v/>
      </c>
      <c r="Q456" s="40">
        <f>IF(B456&gt;=in_marketplace_from,(J456+K456)*d_hz*G456,0)</f>
        <v/>
      </c>
      <c r="R456" s="40">
        <f>SUMIFS(N454:N505,B454:B505,"&gt;="&amp;(B456-d_T),B454:B505,"&lt;="&amp;(B456-1))</f>
        <v/>
      </c>
      <c r="S456" s="46">
        <f>(1-d_u)*S455+IF(d_T&gt;in_topup_lag,SUMIFS(O454:O505,B454:B505,B456-in_topup_lag)-d_udrop*SUMIFS(O454:O505,B454:B505,B456-d_T),0)</f>
        <v/>
      </c>
      <c r="T456" s="40">
        <f>F456*d_u*S456</f>
        <v/>
      </c>
      <c r="U456" s="9">
        <f>L456*in_ticket+M456*d_rep_ticket</f>
        <v/>
      </c>
      <c r="V456" s="9">
        <f>U456+T456*d_topup_amt</f>
        <v/>
      </c>
      <c r="W456" s="40">
        <f>N456+T456*d_topup_ratio</f>
        <v/>
      </c>
      <c r="X456" s="40">
        <f>SUMIFS(W454:W505,B454:B505,B456-in_dpd_lag)*d_cured</f>
        <v/>
      </c>
      <c r="Y456" s="40">
        <f>SUMIFS(W454:W505,B454:B505,B456-in_rec_lag)*d_recd</f>
        <v/>
      </c>
      <c r="Z456" s="40">
        <f>IF(AND(B456&gt;=in_marketplace_from,B456&lt;in_marketplace_from+in_card_months),in_card_share/in_card_months*F456*I456,IF(AND(B456&gt;=in_marketplace_from+in_card_months,B456&lt;in_marketplace_from+2*in_card_months),in_card_share*d_card_rem/in_card_months*F456*MIN(in_takeup_cap,(1+in_takeup_growth)^(D456-1))*MIN(in_takeup_cap,(1+in_approval_growth)^(D456-1)),0))</f>
        <v/>
      </c>
      <c r="AA456" s="14">
        <f>V456*in_fee*(1-in_taken_back)</f>
        <v/>
      </c>
      <c r="AB456" s="14">
        <f>SUMIFS(W454:W505,B454:B505,B456-in_dpd_lag)*d_dpd</f>
        <v/>
      </c>
      <c r="AC456" s="14">
        <f>SUMIFS(W454:W505,B454:B505,B456-in_rec_lag)*d_rec</f>
        <v/>
      </c>
      <c r="AD456" s="14">
        <f>Z456*in_card_fee</f>
        <v/>
      </c>
      <c r="AE456" s="40">
        <f>AE455*(1-IF(B455&gt;=in_marketplace_from,d_hz_hlth_small*G455,0))</f>
        <v/>
      </c>
      <c r="AF456" s="46">
        <f>AE456*IF(B456&gt;=in_marketplace_from,d_hz_hlth_small*G456,0)</f>
        <v/>
      </c>
      <c r="AG456" s="14">
        <f>F456*AF456*in_hlth_small_ticket*in_hlth_small_comm*in_ins_partner_share+F456*in_hlth_small_ticket*in_hlth_small_renew_comm*in_ins_partner_share*(in_hlth_small_renew^1*SUMIFS(AF454:AF505,B454:B505,B456-12)+in_hlth_small_renew^2*SUMIFS(AF454:AF505,B454:B505,B456-24)+in_hlth_small_renew^3*SUMIFS(AF454:AF505,B454:B505,B456-36)+in_hlth_small_renew^4*SUMIFS(AF454:AF505,B454:B505,B456-48))</f>
        <v/>
      </c>
      <c r="AH456" s="40">
        <f>AH455*(1-IF(B455&gt;=in_marketplace_from,d_hz_hlth_family*G455,0))</f>
        <v/>
      </c>
      <c r="AI456" s="46">
        <f>AH456*IF(B456&gt;=in_marketplace_from,d_hz_hlth_family*G456,0)</f>
        <v/>
      </c>
      <c r="AJ456" s="14">
        <f>F456*AI456*in_hlth_family_ticket*in_hlth_family_comm*in_ins_partner_share+F456*in_hlth_family_ticket*in_hlth_family_renew_comm*in_ins_partner_share*(in_hlth_family_renew^1*SUMIFS(AI454:AI505,B454:B505,B456-12)+in_hlth_family_renew^2*SUMIFS(AI454:AI505,B454:B505,B456-24)+in_hlth_family_renew^3*SUMIFS(AI454:AI505,B454:B505,B456-36)+in_hlth_family_renew^4*SUMIFS(AI454:AI505,B454:B505,B456-48))</f>
        <v/>
      </c>
      <c r="AK456" s="40">
        <f>AK455*(1-IF(B455&gt;=in_marketplace_from,d_hz_life_term*G455,0))</f>
        <v/>
      </c>
      <c r="AL456" s="46">
        <f>AK456*IF(B456&gt;=in_marketplace_from,d_hz_life_term*G456,0)</f>
        <v/>
      </c>
      <c r="AM456" s="14">
        <f>F456*AL456*in_life_term_ticket*in_life_term_comm*in_ins_partner_share+F456*in_life_term_ticket*in_life_term_renew_comm*in_ins_partner_share*(in_life_term_renew^1*SUMIFS(AL454:AL505,B454:B505,B456-12)+in_life_term_renew^2*SUMIFS(AL454:AL505,B454:B505,B456-24)+in_life_term_renew^3*SUMIFS(AL454:AL505,B454:B505,B456-36)+in_life_term_renew^4*SUMIFS(AL454:AL505,B454:B505,B456-48))</f>
        <v/>
      </c>
      <c r="AN456" s="40">
        <f>AN455*(1-IF(B455&gt;=in_marketplace_from,d_hz_accident*G455,0))</f>
        <v/>
      </c>
      <c r="AO456" s="46">
        <f>AN456*IF(B456&gt;=in_marketplace_from,d_hz_accident*G456,0)</f>
        <v/>
      </c>
      <c r="AP456" s="14">
        <f>F456*AO456*in_accident_ticket*in_accident_comm*in_ins_partner_share+F456*in_accident_ticket*in_accident_renew_comm*in_ins_partner_share*(in_accident_renew^1*SUMIFS(AO454:AO505,B454:B505,B456-12)+in_accident_renew^2*SUMIFS(AO454:AO505,B454:B505,B456-24)+in_accident_renew^3*SUMIFS(AO454:AO505,B454:B505,B456-36)+in_accident_renew^4*SUMIFS(AO454:AO505,B454:B505,B456-48))</f>
        <v/>
      </c>
      <c r="AQ456" s="40">
        <f>AQ455*(1-IF(B455&gt;=in_marketplace_from,d_hz_two_wheeler*G455,0))</f>
        <v/>
      </c>
      <c r="AR456" s="46">
        <f>AQ456*IF(B456&gt;=in_marketplace_from,d_hz_two_wheeler*G456,0)</f>
        <v/>
      </c>
      <c r="AS456" s="14">
        <f>F456*AR456*in_two_wheeler_ticket*in_two_wheeler_comm*in_ins_partner_share+F456*in_two_wheeler_ticket*in_two_wheeler_comm*in_ins_partner_share*(in_two_wheeler_renew^1*SUMIFS(AR454:AR505,B454:B505,B456-12)+in_two_wheeler_renew^2*SUMIFS(AR454:AR505,B454:B505,B456-24)+in_two_wheeler_renew^3*SUMIFS(AR454:AR505,B454:B505,B456-36)+in_two_wheeler_renew^4*SUMIFS(AR454:AR505,B454:B505,B456-48))</f>
        <v/>
      </c>
      <c r="AT456" s="40">
        <f>AT455*(1-IF(B455&gt;=in_marketplace_from,d_hz_device*G455,0))</f>
        <v/>
      </c>
      <c r="AU456" s="14">
        <f>F456*AT456*IF(B456&gt;=in_marketplace_from,d_hz_device*G456,0)*in_device_ticket*in_device_comm*in_ins_partner_share</f>
        <v/>
      </c>
      <c r="AV456" s="40">
        <f>AV455*(1-IF(B455&gt;=in_marketplace_from,d_hz_shop*G455,0))</f>
        <v/>
      </c>
      <c r="AW456" s="46">
        <f>AV456*IF(B456&gt;=in_marketplace_from,d_hz_shop*G456,0)</f>
        <v/>
      </c>
      <c r="AX456" s="14">
        <f>F456*AW456*in_shop_ticket*in_shop_comm*in_ins_partner_share+F456*in_shop_ticket*in_shop_renew_comm*in_ins_partner_share*(in_shop_renew^1*SUMIFS(AW454:AW505,B454:B505,B456-12)+in_shop_renew^2*SUMIFS(AW454:AW505,B454:B505,B456-24)+in_shop_renew^3*SUMIFS(AW454:AW505,B454:B505,B456-36)+in_shop_renew^4*SUMIFS(AW454:AW505,B454:B505,B456-48))</f>
        <v/>
      </c>
      <c r="AY456" s="40">
        <f>AY455*(1-IF(B455&gt;=in_marketplace_from,d_hz_sip*G455,0))</f>
        <v/>
      </c>
      <c r="AZ456" s="40">
        <f>AZ455*d_rho_sip+AY456*IF(B456&gt;=in_marketplace_from,d_hz_sip*G456,0)</f>
        <v/>
      </c>
      <c r="BA456" s="40">
        <f>d_rho_sip*(BA455+AZ455)</f>
        <v/>
      </c>
      <c r="BB456" s="14">
        <f>F456*in_sip_ticket*(BA456+0.5*AZ456)*in_sip_comm/12</f>
        <v/>
      </c>
      <c r="BC456" s="40">
        <f>BC455*(1-IF(B455&gt;=in_marketplace_from,d_hz_choti*G455,0))</f>
        <v/>
      </c>
      <c r="BD456" s="46">
        <f>BC456*IF(B456&gt;=in_marketplace_from,d_hz_choti*G456,0)</f>
        <v/>
      </c>
      <c r="BE456" s="14">
        <f>F456*SUMIFS(BD454:BD505,B454:B505,B456-in_choti_months)*in_choti_renew*in_choti_ticket</f>
        <v/>
      </c>
      <c r="BF456" s="40">
        <f>BF455*(1-IF(B455&gt;=in_marketplace_from,d_hz_nps*G455,0))</f>
        <v/>
      </c>
      <c r="BG456" s="14">
        <f>F456*BF456*IF(B456&gt;=in_marketplace_from,d_hz_nps*G456,0)*in_nps_ticket*in_nps_comm</f>
        <v/>
      </c>
      <c r="BH456" s="40">
        <f>BH455*(1-IF(B455&gt;=in_marketplace_from,d_hz_gold*G455,0))</f>
        <v/>
      </c>
      <c r="BI456" s="40">
        <f>BI455*d_rho_gold+BH456*IF(B456&gt;=in_marketplace_from,d_hz_gold*G456,0)</f>
        <v/>
      </c>
      <c r="BJ456" s="14">
        <f>F456*BI456*in_gold_ticket*in_gold_comm</f>
        <v/>
      </c>
      <c r="BK456" s="40">
        <f>BK455*(1-IF(B455&gt;=in_marketplace_from,d_hz_fd*G455,0))</f>
        <v/>
      </c>
      <c r="BL456" s="14">
        <f>F456*BK456*IF(B456&gt;=in_marketplace_from,d_hz_fd*G456,0)*in_fd_ticket*in_fd_comm</f>
        <v/>
      </c>
      <c r="BM456" s="40">
        <f>BM455*(1-IF(B455&gt;=in_marketplace_from,d_hz_recharge*G455,0))</f>
        <v/>
      </c>
      <c r="BN456" s="40">
        <f>BN455*d_rho_recharge+BM456*IF(B456&gt;=in_marketplace_from,d_hz_recharge*G456,0)</f>
        <v/>
      </c>
      <c r="BO456" s="14">
        <f>F456*BN456*in_recharge_ticket*in_recharge_comm/12</f>
        <v/>
      </c>
      <c r="BP456" s="40">
        <f>BP455*(1-IF(B455&gt;=in_marketplace_from,d_hz_bills*G455,0))</f>
        <v/>
      </c>
      <c r="BQ456" s="40">
        <f>BQ455*d_rho_bills+BP456*IF(B456&gt;=in_marketplace_from,d_hz_bills*G456,0)</f>
        <v/>
      </c>
      <c r="BR456" s="14">
        <f>F456*BQ456*in_bills_ticket*in_bills_comm/12</f>
        <v/>
      </c>
      <c r="BS456" s="40">
        <f>BS455*(1-IF(B455&gt;=in_marketplace_from,d_hz_loan_gold*G455,0))</f>
        <v/>
      </c>
      <c r="BT456" s="14">
        <f>F456*BS456*IF(B456&gt;=in_marketplace_from,d_hz_loan_gold*G456,0)*in_loan_gold_ticket*in_loan_gold_comm</f>
        <v/>
      </c>
      <c r="BU456" s="40">
        <f>BU455*(1-IF(B455&gt;=in_marketplace_from,d_hz_loan_cd*G455,0))</f>
        <v/>
      </c>
      <c r="BV456" s="14">
        <f>F456*BU456*IF(B456&gt;=in_marketplace_from,d_hz_loan_cd*G456,0)*in_loan_cd_ticket*in_loan_cd_comm</f>
        <v/>
      </c>
      <c r="BW456" s="40">
        <f>BW455*(1-IF(B455&gt;=in_marketplace_from,d_hz_loan_vehicle*G455,0))</f>
        <v/>
      </c>
      <c r="BX456" s="14">
        <f>F456*BW456*IF(B456&gt;=in_marketplace_from,d_hz_loan_vehicle*G456,0)*in_loan_vehicle_ticket*in_loan_vehicle_comm</f>
        <v/>
      </c>
      <c r="BY456" s="40">
        <f>BY455*(1-IF(B455&gt;=in_marketplace_from,d_hz_loan_home*G455,0)*BZ455)</f>
        <v/>
      </c>
      <c r="BZ456" s="11">
        <f>MIN(in_approval_cap,in_loan_home_approval*INDEX('Age profile'!$O$2:$O$61,B456)*(1+in_approval_growth)^(D456-1))</f>
        <v/>
      </c>
      <c r="CA456" s="14">
        <f>F456*BY456*IF(B456&gt;=in_marketplace_from,d_hz_loan_home*G456,0)*BZ456*in_loan_home_ticket*in_loan_home_comm</f>
        <v/>
      </c>
      <c r="CB456" s="40">
        <f>CB455*(1-IF(B455&gt;=in_marketplace_from,d_hz_loan_lap*G455,0)*CC455)</f>
        <v/>
      </c>
      <c r="CC456" s="11">
        <f>MIN(in_approval_cap,in_loan_lap_approval*INDEX('Age profile'!$O$2:$O$61,B456)*(1+in_approval_growth)^(D456-1))</f>
        <v/>
      </c>
      <c r="CD456" s="14">
        <f>F456*CB456*IF(B456&gt;=in_marketplace_from,d_hz_loan_lap*G456,0)*CC456*in_loan_lap_ticket*in_loan_lap_comm</f>
        <v/>
      </c>
      <c r="CE456" s="14">
        <f>AA456+AB456+AC456+AD456+AG456+AJ456+AM456+AP456+AS456+AU456+AX456+BB456+BE456+BG456+BJ456+BL456+BO456+BR456+BT456+BV456+BX456+CA456+CD456</f>
        <v/>
      </c>
    </row>
    <row r="457">
      <c r="A457" s="39" t="n">
        <v>9</v>
      </c>
      <c r="B457" s="39" t="n">
        <v>4</v>
      </c>
      <c r="C457" s="39">
        <f>A457+B457-1</f>
        <v/>
      </c>
      <c r="D457" s="39">
        <f>INT((C457-1)/12)+1</f>
        <v/>
      </c>
      <c r="E457" s="44">
        <f>INDEX(Monthly!$B$2:$B$61,A457)</f>
        <v/>
      </c>
      <c r="F457" s="44">
        <f>E457*INDEX('Age profile'!$B$2:$B$61,B457)</f>
        <v/>
      </c>
      <c r="G457" s="45">
        <f>MIN(in_takeup_cap,INDEX('Age profile'!$N$2:$N$61,B457)*(1+in_takeup_growth)^(D457-1))</f>
        <v/>
      </c>
      <c r="H457" s="11">
        <f>MIN(in_approval_cap,in_approved_first*INDEX('Age profile'!$O$2:$O$61,B457)*(1+in_approval_growth)^(D457-1))</f>
        <v/>
      </c>
      <c r="I457" s="45">
        <f>G457*MIN(in_takeup_cap,INDEX('Age profile'!$O$2:$O$61,B457)*(1+in_approval_growth)^(D457-1))</f>
        <v/>
      </c>
      <c r="J457" s="40">
        <f>(J456-L456)*F457/F456</f>
        <v/>
      </c>
      <c r="K457" s="40">
        <f>(K456-M456)*F457/F456+SUMIFS(O454:O456,B454:B456,B457-1-d_T)*F457</f>
        <v/>
      </c>
      <c r="L457" s="40">
        <f>IF(B457&gt;=in_marketplace_from,J457*d_hz*G457*in_eligible*H457,0)</f>
        <v/>
      </c>
      <c r="M457" s="40">
        <f>IF(B457&gt;=in_marketplace_from,K457*d_hz*G457*in_eligible*in_approved_repeat,0)</f>
        <v/>
      </c>
      <c r="N457" s="40">
        <f>L457+M457</f>
        <v/>
      </c>
      <c r="O457" s="46">
        <f>N457/F457</f>
        <v/>
      </c>
      <c r="P457" s="40">
        <f>F457-J457-K457</f>
        <v/>
      </c>
      <c r="Q457" s="40">
        <f>IF(B457&gt;=in_marketplace_from,(J457+K457)*d_hz*G457,0)</f>
        <v/>
      </c>
      <c r="R457" s="40">
        <f>SUMIFS(N454:N505,B454:B505,"&gt;="&amp;(B457-d_T),B454:B505,"&lt;="&amp;(B457-1))</f>
        <v/>
      </c>
      <c r="S457" s="46">
        <f>(1-d_u)*S456+IF(d_T&gt;in_topup_lag,SUMIFS(O454:O505,B454:B505,B457-in_topup_lag)-d_udrop*SUMIFS(O454:O505,B454:B505,B457-d_T),0)</f>
        <v/>
      </c>
      <c r="T457" s="40">
        <f>F457*d_u*S457</f>
        <v/>
      </c>
      <c r="U457" s="9">
        <f>L457*in_ticket+M457*d_rep_ticket</f>
        <v/>
      </c>
      <c r="V457" s="9">
        <f>U457+T457*d_topup_amt</f>
        <v/>
      </c>
      <c r="W457" s="40">
        <f>N457+T457*d_topup_ratio</f>
        <v/>
      </c>
      <c r="X457" s="40">
        <f>SUMIFS(W454:W505,B454:B505,B457-in_dpd_lag)*d_cured</f>
        <v/>
      </c>
      <c r="Y457" s="40">
        <f>SUMIFS(W454:W505,B454:B505,B457-in_rec_lag)*d_recd</f>
        <v/>
      </c>
      <c r="Z457" s="40">
        <f>IF(AND(B457&gt;=in_marketplace_from,B457&lt;in_marketplace_from+in_card_months),in_card_share/in_card_months*F457*I457,IF(AND(B457&gt;=in_marketplace_from+in_card_months,B457&lt;in_marketplace_from+2*in_card_months),in_card_share*d_card_rem/in_card_months*F457*MIN(in_takeup_cap,(1+in_takeup_growth)^(D457-1))*MIN(in_takeup_cap,(1+in_approval_growth)^(D457-1)),0))</f>
        <v/>
      </c>
      <c r="AA457" s="14">
        <f>V457*in_fee*(1-in_taken_back)</f>
        <v/>
      </c>
      <c r="AB457" s="14">
        <f>SUMIFS(W454:W505,B454:B505,B457-in_dpd_lag)*d_dpd</f>
        <v/>
      </c>
      <c r="AC457" s="14">
        <f>SUMIFS(W454:W505,B454:B505,B457-in_rec_lag)*d_rec</f>
        <v/>
      </c>
      <c r="AD457" s="14">
        <f>Z457*in_card_fee</f>
        <v/>
      </c>
      <c r="AE457" s="40">
        <f>AE456*(1-IF(B456&gt;=in_marketplace_from,d_hz_hlth_small*G456,0))</f>
        <v/>
      </c>
      <c r="AF457" s="46">
        <f>AE457*IF(B457&gt;=in_marketplace_from,d_hz_hlth_small*G457,0)</f>
        <v/>
      </c>
      <c r="AG457" s="14">
        <f>F457*AF457*in_hlth_small_ticket*in_hlth_small_comm*in_ins_partner_share+F457*in_hlth_small_ticket*in_hlth_small_renew_comm*in_ins_partner_share*(in_hlth_small_renew^1*SUMIFS(AF454:AF505,B454:B505,B457-12)+in_hlth_small_renew^2*SUMIFS(AF454:AF505,B454:B505,B457-24)+in_hlth_small_renew^3*SUMIFS(AF454:AF505,B454:B505,B457-36)+in_hlth_small_renew^4*SUMIFS(AF454:AF505,B454:B505,B457-48))</f>
        <v/>
      </c>
      <c r="AH457" s="40">
        <f>AH456*(1-IF(B456&gt;=in_marketplace_from,d_hz_hlth_family*G456,0))</f>
        <v/>
      </c>
      <c r="AI457" s="46">
        <f>AH457*IF(B457&gt;=in_marketplace_from,d_hz_hlth_family*G457,0)</f>
        <v/>
      </c>
      <c r="AJ457" s="14">
        <f>F457*AI457*in_hlth_family_ticket*in_hlth_family_comm*in_ins_partner_share+F457*in_hlth_family_ticket*in_hlth_family_renew_comm*in_ins_partner_share*(in_hlth_family_renew^1*SUMIFS(AI454:AI505,B454:B505,B457-12)+in_hlth_family_renew^2*SUMIFS(AI454:AI505,B454:B505,B457-24)+in_hlth_family_renew^3*SUMIFS(AI454:AI505,B454:B505,B457-36)+in_hlth_family_renew^4*SUMIFS(AI454:AI505,B454:B505,B457-48))</f>
        <v/>
      </c>
      <c r="AK457" s="40">
        <f>AK456*(1-IF(B456&gt;=in_marketplace_from,d_hz_life_term*G456,0))</f>
        <v/>
      </c>
      <c r="AL457" s="46">
        <f>AK457*IF(B457&gt;=in_marketplace_from,d_hz_life_term*G457,0)</f>
        <v/>
      </c>
      <c r="AM457" s="14">
        <f>F457*AL457*in_life_term_ticket*in_life_term_comm*in_ins_partner_share+F457*in_life_term_ticket*in_life_term_renew_comm*in_ins_partner_share*(in_life_term_renew^1*SUMIFS(AL454:AL505,B454:B505,B457-12)+in_life_term_renew^2*SUMIFS(AL454:AL505,B454:B505,B457-24)+in_life_term_renew^3*SUMIFS(AL454:AL505,B454:B505,B457-36)+in_life_term_renew^4*SUMIFS(AL454:AL505,B454:B505,B457-48))</f>
        <v/>
      </c>
      <c r="AN457" s="40">
        <f>AN456*(1-IF(B456&gt;=in_marketplace_from,d_hz_accident*G456,0))</f>
        <v/>
      </c>
      <c r="AO457" s="46">
        <f>AN457*IF(B457&gt;=in_marketplace_from,d_hz_accident*G457,0)</f>
        <v/>
      </c>
      <c r="AP457" s="14">
        <f>F457*AO457*in_accident_ticket*in_accident_comm*in_ins_partner_share+F457*in_accident_ticket*in_accident_renew_comm*in_ins_partner_share*(in_accident_renew^1*SUMIFS(AO454:AO505,B454:B505,B457-12)+in_accident_renew^2*SUMIFS(AO454:AO505,B454:B505,B457-24)+in_accident_renew^3*SUMIFS(AO454:AO505,B454:B505,B457-36)+in_accident_renew^4*SUMIFS(AO454:AO505,B454:B505,B457-48))</f>
        <v/>
      </c>
      <c r="AQ457" s="40">
        <f>AQ456*(1-IF(B456&gt;=in_marketplace_from,d_hz_two_wheeler*G456,0))</f>
        <v/>
      </c>
      <c r="AR457" s="46">
        <f>AQ457*IF(B457&gt;=in_marketplace_from,d_hz_two_wheeler*G457,0)</f>
        <v/>
      </c>
      <c r="AS457" s="14">
        <f>F457*AR457*in_two_wheeler_ticket*in_two_wheeler_comm*in_ins_partner_share+F457*in_two_wheeler_ticket*in_two_wheeler_comm*in_ins_partner_share*(in_two_wheeler_renew^1*SUMIFS(AR454:AR505,B454:B505,B457-12)+in_two_wheeler_renew^2*SUMIFS(AR454:AR505,B454:B505,B457-24)+in_two_wheeler_renew^3*SUMIFS(AR454:AR505,B454:B505,B457-36)+in_two_wheeler_renew^4*SUMIFS(AR454:AR505,B454:B505,B457-48))</f>
        <v/>
      </c>
      <c r="AT457" s="40">
        <f>AT456*(1-IF(B456&gt;=in_marketplace_from,d_hz_device*G456,0))</f>
        <v/>
      </c>
      <c r="AU457" s="14">
        <f>F457*AT457*IF(B457&gt;=in_marketplace_from,d_hz_device*G457,0)*in_device_ticket*in_device_comm*in_ins_partner_share</f>
        <v/>
      </c>
      <c r="AV457" s="40">
        <f>AV456*(1-IF(B456&gt;=in_marketplace_from,d_hz_shop*G456,0))</f>
        <v/>
      </c>
      <c r="AW457" s="46">
        <f>AV457*IF(B457&gt;=in_marketplace_from,d_hz_shop*G457,0)</f>
        <v/>
      </c>
      <c r="AX457" s="14">
        <f>F457*AW457*in_shop_ticket*in_shop_comm*in_ins_partner_share+F457*in_shop_ticket*in_shop_renew_comm*in_ins_partner_share*(in_shop_renew^1*SUMIFS(AW454:AW505,B454:B505,B457-12)+in_shop_renew^2*SUMIFS(AW454:AW505,B454:B505,B457-24)+in_shop_renew^3*SUMIFS(AW454:AW505,B454:B505,B457-36)+in_shop_renew^4*SUMIFS(AW454:AW505,B454:B505,B457-48))</f>
        <v/>
      </c>
      <c r="AY457" s="40">
        <f>AY456*(1-IF(B456&gt;=in_marketplace_from,d_hz_sip*G456,0))</f>
        <v/>
      </c>
      <c r="AZ457" s="40">
        <f>AZ456*d_rho_sip+AY457*IF(B457&gt;=in_marketplace_from,d_hz_sip*G457,0)</f>
        <v/>
      </c>
      <c r="BA457" s="40">
        <f>d_rho_sip*(BA456+AZ456)</f>
        <v/>
      </c>
      <c r="BB457" s="14">
        <f>F457*in_sip_ticket*(BA457+0.5*AZ457)*in_sip_comm/12</f>
        <v/>
      </c>
      <c r="BC457" s="40">
        <f>BC456*(1-IF(B456&gt;=in_marketplace_from,d_hz_choti*G456,0))</f>
        <v/>
      </c>
      <c r="BD457" s="46">
        <f>BC457*IF(B457&gt;=in_marketplace_from,d_hz_choti*G457,0)</f>
        <v/>
      </c>
      <c r="BE457" s="14">
        <f>F457*SUMIFS(BD454:BD505,B454:B505,B457-in_choti_months)*in_choti_renew*in_choti_ticket</f>
        <v/>
      </c>
      <c r="BF457" s="40">
        <f>BF456*(1-IF(B456&gt;=in_marketplace_from,d_hz_nps*G456,0))</f>
        <v/>
      </c>
      <c r="BG457" s="14">
        <f>F457*BF457*IF(B457&gt;=in_marketplace_from,d_hz_nps*G457,0)*in_nps_ticket*in_nps_comm</f>
        <v/>
      </c>
      <c r="BH457" s="40">
        <f>BH456*(1-IF(B456&gt;=in_marketplace_from,d_hz_gold*G456,0))</f>
        <v/>
      </c>
      <c r="BI457" s="40">
        <f>BI456*d_rho_gold+BH457*IF(B457&gt;=in_marketplace_from,d_hz_gold*G457,0)</f>
        <v/>
      </c>
      <c r="BJ457" s="14">
        <f>F457*BI457*in_gold_ticket*in_gold_comm</f>
        <v/>
      </c>
      <c r="BK457" s="40">
        <f>BK456*(1-IF(B456&gt;=in_marketplace_from,d_hz_fd*G456,0))</f>
        <v/>
      </c>
      <c r="BL457" s="14">
        <f>F457*BK457*IF(B457&gt;=in_marketplace_from,d_hz_fd*G457,0)*in_fd_ticket*in_fd_comm</f>
        <v/>
      </c>
      <c r="BM457" s="40">
        <f>BM456*(1-IF(B456&gt;=in_marketplace_from,d_hz_recharge*G456,0))</f>
        <v/>
      </c>
      <c r="BN457" s="40">
        <f>BN456*d_rho_recharge+BM457*IF(B457&gt;=in_marketplace_from,d_hz_recharge*G457,0)</f>
        <v/>
      </c>
      <c r="BO457" s="14">
        <f>F457*BN457*in_recharge_ticket*in_recharge_comm/12</f>
        <v/>
      </c>
      <c r="BP457" s="40">
        <f>BP456*(1-IF(B456&gt;=in_marketplace_from,d_hz_bills*G456,0))</f>
        <v/>
      </c>
      <c r="BQ457" s="40">
        <f>BQ456*d_rho_bills+BP457*IF(B457&gt;=in_marketplace_from,d_hz_bills*G457,0)</f>
        <v/>
      </c>
      <c r="BR457" s="14">
        <f>F457*BQ457*in_bills_ticket*in_bills_comm/12</f>
        <v/>
      </c>
      <c r="BS457" s="40">
        <f>BS456*(1-IF(B456&gt;=in_marketplace_from,d_hz_loan_gold*G456,0))</f>
        <v/>
      </c>
      <c r="BT457" s="14">
        <f>F457*BS457*IF(B457&gt;=in_marketplace_from,d_hz_loan_gold*G457,0)*in_loan_gold_ticket*in_loan_gold_comm</f>
        <v/>
      </c>
      <c r="BU457" s="40">
        <f>BU456*(1-IF(B456&gt;=in_marketplace_from,d_hz_loan_cd*G456,0))</f>
        <v/>
      </c>
      <c r="BV457" s="14">
        <f>F457*BU457*IF(B457&gt;=in_marketplace_from,d_hz_loan_cd*G457,0)*in_loan_cd_ticket*in_loan_cd_comm</f>
        <v/>
      </c>
      <c r="BW457" s="40">
        <f>BW456*(1-IF(B456&gt;=in_marketplace_from,d_hz_loan_vehicle*G456,0))</f>
        <v/>
      </c>
      <c r="BX457" s="14">
        <f>F457*BW457*IF(B457&gt;=in_marketplace_from,d_hz_loan_vehicle*G457,0)*in_loan_vehicle_ticket*in_loan_vehicle_comm</f>
        <v/>
      </c>
      <c r="BY457" s="40">
        <f>BY456*(1-IF(B456&gt;=in_marketplace_from,d_hz_loan_home*G456,0)*BZ456)</f>
        <v/>
      </c>
      <c r="BZ457" s="11">
        <f>MIN(in_approval_cap,in_loan_home_approval*INDEX('Age profile'!$O$2:$O$61,B457)*(1+in_approval_growth)^(D457-1))</f>
        <v/>
      </c>
      <c r="CA457" s="14">
        <f>F457*BY457*IF(B457&gt;=in_marketplace_from,d_hz_loan_home*G457,0)*BZ457*in_loan_home_ticket*in_loan_home_comm</f>
        <v/>
      </c>
      <c r="CB457" s="40">
        <f>CB456*(1-IF(B456&gt;=in_marketplace_from,d_hz_loan_lap*G456,0)*CC456)</f>
        <v/>
      </c>
      <c r="CC457" s="11">
        <f>MIN(in_approval_cap,in_loan_lap_approval*INDEX('Age profile'!$O$2:$O$61,B457)*(1+in_approval_growth)^(D457-1))</f>
        <v/>
      </c>
      <c r="CD457" s="14">
        <f>F457*CB457*IF(B457&gt;=in_marketplace_from,d_hz_loan_lap*G457,0)*CC457*in_loan_lap_ticket*in_loan_lap_comm</f>
        <v/>
      </c>
      <c r="CE457" s="14">
        <f>AA457+AB457+AC457+AD457+AG457+AJ457+AM457+AP457+AS457+AU457+AX457+BB457+BE457+BG457+BJ457+BL457+BO457+BR457+BT457+BV457+BX457+CA457+CD457</f>
        <v/>
      </c>
    </row>
    <row r="458">
      <c r="A458" s="39" t="n">
        <v>9</v>
      </c>
      <c r="B458" s="39" t="n">
        <v>5</v>
      </c>
      <c r="C458" s="39">
        <f>A458+B458-1</f>
        <v/>
      </c>
      <c r="D458" s="39">
        <f>INT((C458-1)/12)+1</f>
        <v/>
      </c>
      <c r="E458" s="44">
        <f>INDEX(Monthly!$B$2:$B$61,A458)</f>
        <v/>
      </c>
      <c r="F458" s="44">
        <f>E458*INDEX('Age profile'!$B$2:$B$61,B458)</f>
        <v/>
      </c>
      <c r="G458" s="45">
        <f>MIN(in_takeup_cap,INDEX('Age profile'!$N$2:$N$61,B458)*(1+in_takeup_growth)^(D458-1))</f>
        <v/>
      </c>
      <c r="H458" s="11">
        <f>MIN(in_approval_cap,in_approved_first*INDEX('Age profile'!$O$2:$O$61,B458)*(1+in_approval_growth)^(D458-1))</f>
        <v/>
      </c>
      <c r="I458" s="45">
        <f>G458*MIN(in_takeup_cap,INDEX('Age profile'!$O$2:$O$61,B458)*(1+in_approval_growth)^(D458-1))</f>
        <v/>
      </c>
      <c r="J458" s="40">
        <f>(J457-L457)*F458/F457</f>
        <v/>
      </c>
      <c r="K458" s="40">
        <f>(K457-M457)*F458/F457+SUMIFS(O454:O457,B454:B457,B458-1-d_T)*F458</f>
        <v/>
      </c>
      <c r="L458" s="40">
        <f>IF(B458&gt;=in_marketplace_from,J458*d_hz*G458*in_eligible*H458,0)</f>
        <v/>
      </c>
      <c r="M458" s="40">
        <f>IF(B458&gt;=in_marketplace_from,K458*d_hz*G458*in_eligible*in_approved_repeat,0)</f>
        <v/>
      </c>
      <c r="N458" s="40">
        <f>L458+M458</f>
        <v/>
      </c>
      <c r="O458" s="46">
        <f>N458/F458</f>
        <v/>
      </c>
      <c r="P458" s="40">
        <f>F458-J458-K458</f>
        <v/>
      </c>
      <c r="Q458" s="40">
        <f>IF(B458&gt;=in_marketplace_from,(J458+K458)*d_hz*G458,0)</f>
        <v/>
      </c>
      <c r="R458" s="40">
        <f>SUMIFS(N454:N505,B454:B505,"&gt;="&amp;(B458-d_T),B454:B505,"&lt;="&amp;(B458-1))</f>
        <v/>
      </c>
      <c r="S458" s="46">
        <f>(1-d_u)*S457+IF(d_T&gt;in_topup_lag,SUMIFS(O454:O505,B454:B505,B458-in_topup_lag)-d_udrop*SUMIFS(O454:O505,B454:B505,B458-d_T),0)</f>
        <v/>
      </c>
      <c r="T458" s="40">
        <f>F458*d_u*S458</f>
        <v/>
      </c>
      <c r="U458" s="9">
        <f>L458*in_ticket+M458*d_rep_ticket</f>
        <v/>
      </c>
      <c r="V458" s="9">
        <f>U458+T458*d_topup_amt</f>
        <v/>
      </c>
      <c r="W458" s="40">
        <f>N458+T458*d_topup_ratio</f>
        <v/>
      </c>
      <c r="X458" s="40">
        <f>SUMIFS(W454:W505,B454:B505,B458-in_dpd_lag)*d_cured</f>
        <v/>
      </c>
      <c r="Y458" s="40">
        <f>SUMIFS(W454:W505,B454:B505,B458-in_rec_lag)*d_recd</f>
        <v/>
      </c>
      <c r="Z458" s="40">
        <f>IF(AND(B458&gt;=in_marketplace_from,B458&lt;in_marketplace_from+in_card_months),in_card_share/in_card_months*F458*I458,IF(AND(B458&gt;=in_marketplace_from+in_card_months,B458&lt;in_marketplace_from+2*in_card_months),in_card_share*d_card_rem/in_card_months*F458*MIN(in_takeup_cap,(1+in_takeup_growth)^(D458-1))*MIN(in_takeup_cap,(1+in_approval_growth)^(D458-1)),0))</f>
        <v/>
      </c>
      <c r="AA458" s="14">
        <f>V458*in_fee*(1-in_taken_back)</f>
        <v/>
      </c>
      <c r="AB458" s="14">
        <f>SUMIFS(W454:W505,B454:B505,B458-in_dpd_lag)*d_dpd</f>
        <v/>
      </c>
      <c r="AC458" s="14">
        <f>SUMIFS(W454:W505,B454:B505,B458-in_rec_lag)*d_rec</f>
        <v/>
      </c>
      <c r="AD458" s="14">
        <f>Z458*in_card_fee</f>
        <v/>
      </c>
      <c r="AE458" s="40">
        <f>AE457*(1-IF(B457&gt;=in_marketplace_from,d_hz_hlth_small*G457,0))</f>
        <v/>
      </c>
      <c r="AF458" s="46">
        <f>AE458*IF(B458&gt;=in_marketplace_from,d_hz_hlth_small*G458,0)</f>
        <v/>
      </c>
      <c r="AG458" s="14">
        <f>F458*AF458*in_hlth_small_ticket*in_hlth_small_comm*in_ins_partner_share+F458*in_hlth_small_ticket*in_hlth_small_renew_comm*in_ins_partner_share*(in_hlth_small_renew^1*SUMIFS(AF454:AF505,B454:B505,B458-12)+in_hlth_small_renew^2*SUMIFS(AF454:AF505,B454:B505,B458-24)+in_hlth_small_renew^3*SUMIFS(AF454:AF505,B454:B505,B458-36)+in_hlth_small_renew^4*SUMIFS(AF454:AF505,B454:B505,B458-48))</f>
        <v/>
      </c>
      <c r="AH458" s="40">
        <f>AH457*(1-IF(B457&gt;=in_marketplace_from,d_hz_hlth_family*G457,0))</f>
        <v/>
      </c>
      <c r="AI458" s="46">
        <f>AH458*IF(B458&gt;=in_marketplace_from,d_hz_hlth_family*G458,0)</f>
        <v/>
      </c>
      <c r="AJ458" s="14">
        <f>F458*AI458*in_hlth_family_ticket*in_hlth_family_comm*in_ins_partner_share+F458*in_hlth_family_ticket*in_hlth_family_renew_comm*in_ins_partner_share*(in_hlth_family_renew^1*SUMIFS(AI454:AI505,B454:B505,B458-12)+in_hlth_family_renew^2*SUMIFS(AI454:AI505,B454:B505,B458-24)+in_hlth_family_renew^3*SUMIFS(AI454:AI505,B454:B505,B458-36)+in_hlth_family_renew^4*SUMIFS(AI454:AI505,B454:B505,B458-48))</f>
        <v/>
      </c>
      <c r="AK458" s="40">
        <f>AK457*(1-IF(B457&gt;=in_marketplace_from,d_hz_life_term*G457,0))</f>
        <v/>
      </c>
      <c r="AL458" s="46">
        <f>AK458*IF(B458&gt;=in_marketplace_from,d_hz_life_term*G458,0)</f>
        <v/>
      </c>
      <c r="AM458" s="14">
        <f>F458*AL458*in_life_term_ticket*in_life_term_comm*in_ins_partner_share+F458*in_life_term_ticket*in_life_term_renew_comm*in_ins_partner_share*(in_life_term_renew^1*SUMIFS(AL454:AL505,B454:B505,B458-12)+in_life_term_renew^2*SUMIFS(AL454:AL505,B454:B505,B458-24)+in_life_term_renew^3*SUMIFS(AL454:AL505,B454:B505,B458-36)+in_life_term_renew^4*SUMIFS(AL454:AL505,B454:B505,B458-48))</f>
        <v/>
      </c>
      <c r="AN458" s="40">
        <f>AN457*(1-IF(B457&gt;=in_marketplace_from,d_hz_accident*G457,0))</f>
        <v/>
      </c>
      <c r="AO458" s="46">
        <f>AN458*IF(B458&gt;=in_marketplace_from,d_hz_accident*G458,0)</f>
        <v/>
      </c>
      <c r="AP458" s="14">
        <f>F458*AO458*in_accident_ticket*in_accident_comm*in_ins_partner_share+F458*in_accident_ticket*in_accident_renew_comm*in_ins_partner_share*(in_accident_renew^1*SUMIFS(AO454:AO505,B454:B505,B458-12)+in_accident_renew^2*SUMIFS(AO454:AO505,B454:B505,B458-24)+in_accident_renew^3*SUMIFS(AO454:AO505,B454:B505,B458-36)+in_accident_renew^4*SUMIFS(AO454:AO505,B454:B505,B458-48))</f>
        <v/>
      </c>
      <c r="AQ458" s="40">
        <f>AQ457*(1-IF(B457&gt;=in_marketplace_from,d_hz_two_wheeler*G457,0))</f>
        <v/>
      </c>
      <c r="AR458" s="46">
        <f>AQ458*IF(B458&gt;=in_marketplace_from,d_hz_two_wheeler*G458,0)</f>
        <v/>
      </c>
      <c r="AS458" s="14">
        <f>F458*AR458*in_two_wheeler_ticket*in_two_wheeler_comm*in_ins_partner_share+F458*in_two_wheeler_ticket*in_two_wheeler_comm*in_ins_partner_share*(in_two_wheeler_renew^1*SUMIFS(AR454:AR505,B454:B505,B458-12)+in_two_wheeler_renew^2*SUMIFS(AR454:AR505,B454:B505,B458-24)+in_two_wheeler_renew^3*SUMIFS(AR454:AR505,B454:B505,B458-36)+in_two_wheeler_renew^4*SUMIFS(AR454:AR505,B454:B505,B458-48))</f>
        <v/>
      </c>
      <c r="AT458" s="40">
        <f>AT457*(1-IF(B457&gt;=in_marketplace_from,d_hz_device*G457,0))</f>
        <v/>
      </c>
      <c r="AU458" s="14">
        <f>F458*AT458*IF(B458&gt;=in_marketplace_from,d_hz_device*G458,0)*in_device_ticket*in_device_comm*in_ins_partner_share</f>
        <v/>
      </c>
      <c r="AV458" s="40">
        <f>AV457*(1-IF(B457&gt;=in_marketplace_from,d_hz_shop*G457,0))</f>
        <v/>
      </c>
      <c r="AW458" s="46">
        <f>AV458*IF(B458&gt;=in_marketplace_from,d_hz_shop*G458,0)</f>
        <v/>
      </c>
      <c r="AX458" s="14">
        <f>F458*AW458*in_shop_ticket*in_shop_comm*in_ins_partner_share+F458*in_shop_ticket*in_shop_renew_comm*in_ins_partner_share*(in_shop_renew^1*SUMIFS(AW454:AW505,B454:B505,B458-12)+in_shop_renew^2*SUMIFS(AW454:AW505,B454:B505,B458-24)+in_shop_renew^3*SUMIFS(AW454:AW505,B454:B505,B458-36)+in_shop_renew^4*SUMIFS(AW454:AW505,B454:B505,B458-48))</f>
        <v/>
      </c>
      <c r="AY458" s="40">
        <f>AY457*(1-IF(B457&gt;=in_marketplace_from,d_hz_sip*G457,0))</f>
        <v/>
      </c>
      <c r="AZ458" s="40">
        <f>AZ457*d_rho_sip+AY458*IF(B458&gt;=in_marketplace_from,d_hz_sip*G458,0)</f>
        <v/>
      </c>
      <c r="BA458" s="40">
        <f>d_rho_sip*(BA457+AZ457)</f>
        <v/>
      </c>
      <c r="BB458" s="14">
        <f>F458*in_sip_ticket*(BA458+0.5*AZ458)*in_sip_comm/12</f>
        <v/>
      </c>
      <c r="BC458" s="40">
        <f>BC457*(1-IF(B457&gt;=in_marketplace_from,d_hz_choti*G457,0))</f>
        <v/>
      </c>
      <c r="BD458" s="46">
        <f>BC458*IF(B458&gt;=in_marketplace_from,d_hz_choti*G458,0)</f>
        <v/>
      </c>
      <c r="BE458" s="14">
        <f>F458*SUMIFS(BD454:BD505,B454:B505,B458-in_choti_months)*in_choti_renew*in_choti_ticket</f>
        <v/>
      </c>
      <c r="BF458" s="40">
        <f>BF457*(1-IF(B457&gt;=in_marketplace_from,d_hz_nps*G457,0))</f>
        <v/>
      </c>
      <c r="BG458" s="14">
        <f>F458*BF458*IF(B458&gt;=in_marketplace_from,d_hz_nps*G458,0)*in_nps_ticket*in_nps_comm</f>
        <v/>
      </c>
      <c r="BH458" s="40">
        <f>BH457*(1-IF(B457&gt;=in_marketplace_from,d_hz_gold*G457,0))</f>
        <v/>
      </c>
      <c r="BI458" s="40">
        <f>BI457*d_rho_gold+BH458*IF(B458&gt;=in_marketplace_from,d_hz_gold*G458,0)</f>
        <v/>
      </c>
      <c r="BJ458" s="14">
        <f>F458*BI458*in_gold_ticket*in_gold_comm</f>
        <v/>
      </c>
      <c r="BK458" s="40">
        <f>BK457*(1-IF(B457&gt;=in_marketplace_from,d_hz_fd*G457,0))</f>
        <v/>
      </c>
      <c r="BL458" s="14">
        <f>F458*BK458*IF(B458&gt;=in_marketplace_from,d_hz_fd*G458,0)*in_fd_ticket*in_fd_comm</f>
        <v/>
      </c>
      <c r="BM458" s="40">
        <f>BM457*(1-IF(B457&gt;=in_marketplace_from,d_hz_recharge*G457,0))</f>
        <v/>
      </c>
      <c r="BN458" s="40">
        <f>BN457*d_rho_recharge+BM458*IF(B458&gt;=in_marketplace_from,d_hz_recharge*G458,0)</f>
        <v/>
      </c>
      <c r="BO458" s="14">
        <f>F458*BN458*in_recharge_ticket*in_recharge_comm/12</f>
        <v/>
      </c>
      <c r="BP458" s="40">
        <f>BP457*(1-IF(B457&gt;=in_marketplace_from,d_hz_bills*G457,0))</f>
        <v/>
      </c>
      <c r="BQ458" s="40">
        <f>BQ457*d_rho_bills+BP458*IF(B458&gt;=in_marketplace_from,d_hz_bills*G458,0)</f>
        <v/>
      </c>
      <c r="BR458" s="14">
        <f>F458*BQ458*in_bills_ticket*in_bills_comm/12</f>
        <v/>
      </c>
      <c r="BS458" s="40">
        <f>BS457*(1-IF(B457&gt;=in_marketplace_from,d_hz_loan_gold*G457,0))</f>
        <v/>
      </c>
      <c r="BT458" s="14">
        <f>F458*BS458*IF(B458&gt;=in_marketplace_from,d_hz_loan_gold*G458,0)*in_loan_gold_ticket*in_loan_gold_comm</f>
        <v/>
      </c>
      <c r="BU458" s="40">
        <f>BU457*(1-IF(B457&gt;=in_marketplace_from,d_hz_loan_cd*G457,0))</f>
        <v/>
      </c>
      <c r="BV458" s="14">
        <f>F458*BU458*IF(B458&gt;=in_marketplace_from,d_hz_loan_cd*G458,0)*in_loan_cd_ticket*in_loan_cd_comm</f>
        <v/>
      </c>
      <c r="BW458" s="40">
        <f>BW457*(1-IF(B457&gt;=in_marketplace_from,d_hz_loan_vehicle*G457,0))</f>
        <v/>
      </c>
      <c r="BX458" s="14">
        <f>F458*BW458*IF(B458&gt;=in_marketplace_from,d_hz_loan_vehicle*G458,0)*in_loan_vehicle_ticket*in_loan_vehicle_comm</f>
        <v/>
      </c>
      <c r="BY458" s="40">
        <f>BY457*(1-IF(B457&gt;=in_marketplace_from,d_hz_loan_home*G457,0)*BZ457)</f>
        <v/>
      </c>
      <c r="BZ458" s="11">
        <f>MIN(in_approval_cap,in_loan_home_approval*INDEX('Age profile'!$O$2:$O$61,B458)*(1+in_approval_growth)^(D458-1))</f>
        <v/>
      </c>
      <c r="CA458" s="14">
        <f>F458*BY458*IF(B458&gt;=in_marketplace_from,d_hz_loan_home*G458,0)*BZ458*in_loan_home_ticket*in_loan_home_comm</f>
        <v/>
      </c>
      <c r="CB458" s="40">
        <f>CB457*(1-IF(B457&gt;=in_marketplace_from,d_hz_loan_lap*G457,0)*CC457)</f>
        <v/>
      </c>
      <c r="CC458" s="11">
        <f>MIN(in_approval_cap,in_loan_lap_approval*INDEX('Age profile'!$O$2:$O$61,B458)*(1+in_approval_growth)^(D458-1))</f>
        <v/>
      </c>
      <c r="CD458" s="14">
        <f>F458*CB458*IF(B458&gt;=in_marketplace_from,d_hz_loan_lap*G458,0)*CC458*in_loan_lap_ticket*in_loan_lap_comm</f>
        <v/>
      </c>
      <c r="CE458" s="14">
        <f>AA458+AB458+AC458+AD458+AG458+AJ458+AM458+AP458+AS458+AU458+AX458+BB458+BE458+BG458+BJ458+BL458+BO458+BR458+BT458+BV458+BX458+CA458+CD458</f>
        <v/>
      </c>
    </row>
    <row r="459">
      <c r="A459" s="39" t="n">
        <v>9</v>
      </c>
      <c r="B459" s="39" t="n">
        <v>6</v>
      </c>
      <c r="C459" s="39">
        <f>A459+B459-1</f>
        <v/>
      </c>
      <c r="D459" s="39">
        <f>INT((C459-1)/12)+1</f>
        <v/>
      </c>
      <c r="E459" s="44">
        <f>INDEX(Monthly!$B$2:$B$61,A459)</f>
        <v/>
      </c>
      <c r="F459" s="44">
        <f>E459*INDEX('Age profile'!$B$2:$B$61,B459)</f>
        <v/>
      </c>
      <c r="G459" s="45">
        <f>MIN(in_takeup_cap,INDEX('Age profile'!$N$2:$N$61,B459)*(1+in_takeup_growth)^(D459-1))</f>
        <v/>
      </c>
      <c r="H459" s="11">
        <f>MIN(in_approval_cap,in_approved_first*INDEX('Age profile'!$O$2:$O$61,B459)*(1+in_approval_growth)^(D459-1))</f>
        <v/>
      </c>
      <c r="I459" s="45">
        <f>G459*MIN(in_takeup_cap,INDEX('Age profile'!$O$2:$O$61,B459)*(1+in_approval_growth)^(D459-1))</f>
        <v/>
      </c>
      <c r="J459" s="40">
        <f>(J458-L458)*F459/F458</f>
        <v/>
      </c>
      <c r="K459" s="40">
        <f>(K458-M458)*F459/F458+SUMIFS(O454:O458,B454:B458,B459-1-d_T)*F459</f>
        <v/>
      </c>
      <c r="L459" s="40">
        <f>IF(B459&gt;=in_marketplace_from,J459*d_hz*G459*in_eligible*H459,0)</f>
        <v/>
      </c>
      <c r="M459" s="40">
        <f>IF(B459&gt;=in_marketplace_from,K459*d_hz*G459*in_eligible*in_approved_repeat,0)</f>
        <v/>
      </c>
      <c r="N459" s="40">
        <f>L459+M459</f>
        <v/>
      </c>
      <c r="O459" s="46">
        <f>N459/F459</f>
        <v/>
      </c>
      <c r="P459" s="40">
        <f>F459-J459-K459</f>
        <v/>
      </c>
      <c r="Q459" s="40">
        <f>IF(B459&gt;=in_marketplace_from,(J459+K459)*d_hz*G459,0)</f>
        <v/>
      </c>
      <c r="R459" s="40">
        <f>SUMIFS(N454:N505,B454:B505,"&gt;="&amp;(B459-d_T),B454:B505,"&lt;="&amp;(B459-1))</f>
        <v/>
      </c>
      <c r="S459" s="46">
        <f>(1-d_u)*S458+IF(d_T&gt;in_topup_lag,SUMIFS(O454:O505,B454:B505,B459-in_topup_lag)-d_udrop*SUMIFS(O454:O505,B454:B505,B459-d_T),0)</f>
        <v/>
      </c>
      <c r="T459" s="40">
        <f>F459*d_u*S459</f>
        <v/>
      </c>
      <c r="U459" s="9">
        <f>L459*in_ticket+M459*d_rep_ticket</f>
        <v/>
      </c>
      <c r="V459" s="9">
        <f>U459+T459*d_topup_amt</f>
        <v/>
      </c>
      <c r="W459" s="40">
        <f>N459+T459*d_topup_ratio</f>
        <v/>
      </c>
      <c r="X459" s="40">
        <f>SUMIFS(W454:W505,B454:B505,B459-in_dpd_lag)*d_cured</f>
        <v/>
      </c>
      <c r="Y459" s="40">
        <f>SUMIFS(W454:W505,B454:B505,B459-in_rec_lag)*d_recd</f>
        <v/>
      </c>
      <c r="Z459" s="40">
        <f>IF(AND(B459&gt;=in_marketplace_from,B459&lt;in_marketplace_from+in_card_months),in_card_share/in_card_months*F459*I459,IF(AND(B459&gt;=in_marketplace_from+in_card_months,B459&lt;in_marketplace_from+2*in_card_months),in_card_share*d_card_rem/in_card_months*F459*MIN(in_takeup_cap,(1+in_takeup_growth)^(D459-1))*MIN(in_takeup_cap,(1+in_approval_growth)^(D459-1)),0))</f>
        <v/>
      </c>
      <c r="AA459" s="14">
        <f>V459*in_fee*(1-in_taken_back)</f>
        <v/>
      </c>
      <c r="AB459" s="14">
        <f>SUMIFS(W454:W505,B454:B505,B459-in_dpd_lag)*d_dpd</f>
        <v/>
      </c>
      <c r="AC459" s="14">
        <f>SUMIFS(W454:W505,B454:B505,B459-in_rec_lag)*d_rec</f>
        <v/>
      </c>
      <c r="AD459" s="14">
        <f>Z459*in_card_fee</f>
        <v/>
      </c>
      <c r="AE459" s="40">
        <f>AE458*(1-IF(B458&gt;=in_marketplace_from,d_hz_hlth_small*G458,0))</f>
        <v/>
      </c>
      <c r="AF459" s="46">
        <f>AE459*IF(B459&gt;=in_marketplace_from,d_hz_hlth_small*G459,0)</f>
        <v/>
      </c>
      <c r="AG459" s="14">
        <f>F459*AF459*in_hlth_small_ticket*in_hlth_small_comm*in_ins_partner_share+F459*in_hlth_small_ticket*in_hlth_small_renew_comm*in_ins_partner_share*(in_hlth_small_renew^1*SUMIFS(AF454:AF505,B454:B505,B459-12)+in_hlth_small_renew^2*SUMIFS(AF454:AF505,B454:B505,B459-24)+in_hlth_small_renew^3*SUMIFS(AF454:AF505,B454:B505,B459-36)+in_hlth_small_renew^4*SUMIFS(AF454:AF505,B454:B505,B459-48))</f>
        <v/>
      </c>
      <c r="AH459" s="40">
        <f>AH458*(1-IF(B458&gt;=in_marketplace_from,d_hz_hlth_family*G458,0))</f>
        <v/>
      </c>
      <c r="AI459" s="46">
        <f>AH459*IF(B459&gt;=in_marketplace_from,d_hz_hlth_family*G459,0)</f>
        <v/>
      </c>
      <c r="AJ459" s="14">
        <f>F459*AI459*in_hlth_family_ticket*in_hlth_family_comm*in_ins_partner_share+F459*in_hlth_family_ticket*in_hlth_family_renew_comm*in_ins_partner_share*(in_hlth_family_renew^1*SUMIFS(AI454:AI505,B454:B505,B459-12)+in_hlth_family_renew^2*SUMIFS(AI454:AI505,B454:B505,B459-24)+in_hlth_family_renew^3*SUMIFS(AI454:AI505,B454:B505,B459-36)+in_hlth_family_renew^4*SUMIFS(AI454:AI505,B454:B505,B459-48))</f>
        <v/>
      </c>
      <c r="AK459" s="40">
        <f>AK458*(1-IF(B458&gt;=in_marketplace_from,d_hz_life_term*G458,0))</f>
        <v/>
      </c>
      <c r="AL459" s="46">
        <f>AK459*IF(B459&gt;=in_marketplace_from,d_hz_life_term*G459,0)</f>
        <v/>
      </c>
      <c r="AM459" s="14">
        <f>F459*AL459*in_life_term_ticket*in_life_term_comm*in_ins_partner_share+F459*in_life_term_ticket*in_life_term_renew_comm*in_ins_partner_share*(in_life_term_renew^1*SUMIFS(AL454:AL505,B454:B505,B459-12)+in_life_term_renew^2*SUMIFS(AL454:AL505,B454:B505,B459-24)+in_life_term_renew^3*SUMIFS(AL454:AL505,B454:B505,B459-36)+in_life_term_renew^4*SUMIFS(AL454:AL505,B454:B505,B459-48))</f>
        <v/>
      </c>
      <c r="AN459" s="40">
        <f>AN458*(1-IF(B458&gt;=in_marketplace_from,d_hz_accident*G458,0))</f>
        <v/>
      </c>
      <c r="AO459" s="46">
        <f>AN459*IF(B459&gt;=in_marketplace_from,d_hz_accident*G459,0)</f>
        <v/>
      </c>
      <c r="AP459" s="14">
        <f>F459*AO459*in_accident_ticket*in_accident_comm*in_ins_partner_share+F459*in_accident_ticket*in_accident_renew_comm*in_ins_partner_share*(in_accident_renew^1*SUMIFS(AO454:AO505,B454:B505,B459-12)+in_accident_renew^2*SUMIFS(AO454:AO505,B454:B505,B459-24)+in_accident_renew^3*SUMIFS(AO454:AO505,B454:B505,B459-36)+in_accident_renew^4*SUMIFS(AO454:AO505,B454:B505,B459-48))</f>
        <v/>
      </c>
      <c r="AQ459" s="40">
        <f>AQ458*(1-IF(B458&gt;=in_marketplace_from,d_hz_two_wheeler*G458,0))</f>
        <v/>
      </c>
      <c r="AR459" s="46">
        <f>AQ459*IF(B459&gt;=in_marketplace_from,d_hz_two_wheeler*G459,0)</f>
        <v/>
      </c>
      <c r="AS459" s="14">
        <f>F459*AR459*in_two_wheeler_ticket*in_two_wheeler_comm*in_ins_partner_share+F459*in_two_wheeler_ticket*in_two_wheeler_comm*in_ins_partner_share*(in_two_wheeler_renew^1*SUMIFS(AR454:AR505,B454:B505,B459-12)+in_two_wheeler_renew^2*SUMIFS(AR454:AR505,B454:B505,B459-24)+in_two_wheeler_renew^3*SUMIFS(AR454:AR505,B454:B505,B459-36)+in_two_wheeler_renew^4*SUMIFS(AR454:AR505,B454:B505,B459-48))</f>
        <v/>
      </c>
      <c r="AT459" s="40">
        <f>AT458*(1-IF(B458&gt;=in_marketplace_from,d_hz_device*G458,0))</f>
        <v/>
      </c>
      <c r="AU459" s="14">
        <f>F459*AT459*IF(B459&gt;=in_marketplace_from,d_hz_device*G459,0)*in_device_ticket*in_device_comm*in_ins_partner_share</f>
        <v/>
      </c>
      <c r="AV459" s="40">
        <f>AV458*(1-IF(B458&gt;=in_marketplace_from,d_hz_shop*G458,0))</f>
        <v/>
      </c>
      <c r="AW459" s="46">
        <f>AV459*IF(B459&gt;=in_marketplace_from,d_hz_shop*G459,0)</f>
        <v/>
      </c>
      <c r="AX459" s="14">
        <f>F459*AW459*in_shop_ticket*in_shop_comm*in_ins_partner_share+F459*in_shop_ticket*in_shop_renew_comm*in_ins_partner_share*(in_shop_renew^1*SUMIFS(AW454:AW505,B454:B505,B459-12)+in_shop_renew^2*SUMIFS(AW454:AW505,B454:B505,B459-24)+in_shop_renew^3*SUMIFS(AW454:AW505,B454:B505,B459-36)+in_shop_renew^4*SUMIFS(AW454:AW505,B454:B505,B459-48))</f>
        <v/>
      </c>
      <c r="AY459" s="40">
        <f>AY458*(1-IF(B458&gt;=in_marketplace_from,d_hz_sip*G458,0))</f>
        <v/>
      </c>
      <c r="AZ459" s="40">
        <f>AZ458*d_rho_sip+AY459*IF(B459&gt;=in_marketplace_from,d_hz_sip*G459,0)</f>
        <v/>
      </c>
      <c r="BA459" s="40">
        <f>d_rho_sip*(BA458+AZ458)</f>
        <v/>
      </c>
      <c r="BB459" s="14">
        <f>F459*in_sip_ticket*(BA459+0.5*AZ459)*in_sip_comm/12</f>
        <v/>
      </c>
      <c r="BC459" s="40">
        <f>BC458*(1-IF(B458&gt;=in_marketplace_from,d_hz_choti*G458,0))</f>
        <v/>
      </c>
      <c r="BD459" s="46">
        <f>BC459*IF(B459&gt;=in_marketplace_from,d_hz_choti*G459,0)</f>
        <v/>
      </c>
      <c r="BE459" s="14">
        <f>F459*SUMIFS(BD454:BD505,B454:B505,B459-in_choti_months)*in_choti_renew*in_choti_ticket</f>
        <v/>
      </c>
      <c r="BF459" s="40">
        <f>BF458*(1-IF(B458&gt;=in_marketplace_from,d_hz_nps*G458,0))</f>
        <v/>
      </c>
      <c r="BG459" s="14">
        <f>F459*BF459*IF(B459&gt;=in_marketplace_from,d_hz_nps*G459,0)*in_nps_ticket*in_nps_comm</f>
        <v/>
      </c>
      <c r="BH459" s="40">
        <f>BH458*(1-IF(B458&gt;=in_marketplace_from,d_hz_gold*G458,0))</f>
        <v/>
      </c>
      <c r="BI459" s="40">
        <f>BI458*d_rho_gold+BH459*IF(B459&gt;=in_marketplace_from,d_hz_gold*G459,0)</f>
        <v/>
      </c>
      <c r="BJ459" s="14">
        <f>F459*BI459*in_gold_ticket*in_gold_comm</f>
        <v/>
      </c>
      <c r="BK459" s="40">
        <f>BK458*(1-IF(B458&gt;=in_marketplace_from,d_hz_fd*G458,0))</f>
        <v/>
      </c>
      <c r="BL459" s="14">
        <f>F459*BK459*IF(B459&gt;=in_marketplace_from,d_hz_fd*G459,0)*in_fd_ticket*in_fd_comm</f>
        <v/>
      </c>
      <c r="BM459" s="40">
        <f>BM458*(1-IF(B458&gt;=in_marketplace_from,d_hz_recharge*G458,0))</f>
        <v/>
      </c>
      <c r="BN459" s="40">
        <f>BN458*d_rho_recharge+BM459*IF(B459&gt;=in_marketplace_from,d_hz_recharge*G459,0)</f>
        <v/>
      </c>
      <c r="BO459" s="14">
        <f>F459*BN459*in_recharge_ticket*in_recharge_comm/12</f>
        <v/>
      </c>
      <c r="BP459" s="40">
        <f>BP458*(1-IF(B458&gt;=in_marketplace_from,d_hz_bills*G458,0))</f>
        <v/>
      </c>
      <c r="BQ459" s="40">
        <f>BQ458*d_rho_bills+BP459*IF(B459&gt;=in_marketplace_from,d_hz_bills*G459,0)</f>
        <v/>
      </c>
      <c r="BR459" s="14">
        <f>F459*BQ459*in_bills_ticket*in_bills_comm/12</f>
        <v/>
      </c>
      <c r="BS459" s="40">
        <f>BS458*(1-IF(B458&gt;=in_marketplace_from,d_hz_loan_gold*G458,0))</f>
        <v/>
      </c>
      <c r="BT459" s="14">
        <f>F459*BS459*IF(B459&gt;=in_marketplace_from,d_hz_loan_gold*G459,0)*in_loan_gold_ticket*in_loan_gold_comm</f>
        <v/>
      </c>
      <c r="BU459" s="40">
        <f>BU458*(1-IF(B458&gt;=in_marketplace_from,d_hz_loan_cd*G458,0))</f>
        <v/>
      </c>
      <c r="BV459" s="14">
        <f>F459*BU459*IF(B459&gt;=in_marketplace_from,d_hz_loan_cd*G459,0)*in_loan_cd_ticket*in_loan_cd_comm</f>
        <v/>
      </c>
      <c r="BW459" s="40">
        <f>BW458*(1-IF(B458&gt;=in_marketplace_from,d_hz_loan_vehicle*G458,0))</f>
        <v/>
      </c>
      <c r="BX459" s="14">
        <f>F459*BW459*IF(B459&gt;=in_marketplace_from,d_hz_loan_vehicle*G459,0)*in_loan_vehicle_ticket*in_loan_vehicle_comm</f>
        <v/>
      </c>
      <c r="BY459" s="40">
        <f>BY458*(1-IF(B458&gt;=in_marketplace_from,d_hz_loan_home*G458,0)*BZ458)</f>
        <v/>
      </c>
      <c r="BZ459" s="11">
        <f>MIN(in_approval_cap,in_loan_home_approval*INDEX('Age profile'!$O$2:$O$61,B459)*(1+in_approval_growth)^(D459-1))</f>
        <v/>
      </c>
      <c r="CA459" s="14">
        <f>F459*BY459*IF(B459&gt;=in_marketplace_from,d_hz_loan_home*G459,0)*BZ459*in_loan_home_ticket*in_loan_home_comm</f>
        <v/>
      </c>
      <c r="CB459" s="40">
        <f>CB458*(1-IF(B458&gt;=in_marketplace_from,d_hz_loan_lap*G458,0)*CC458)</f>
        <v/>
      </c>
      <c r="CC459" s="11">
        <f>MIN(in_approval_cap,in_loan_lap_approval*INDEX('Age profile'!$O$2:$O$61,B459)*(1+in_approval_growth)^(D459-1))</f>
        <v/>
      </c>
      <c r="CD459" s="14">
        <f>F459*CB459*IF(B459&gt;=in_marketplace_from,d_hz_loan_lap*G459,0)*CC459*in_loan_lap_ticket*in_loan_lap_comm</f>
        <v/>
      </c>
      <c r="CE459" s="14">
        <f>AA459+AB459+AC459+AD459+AG459+AJ459+AM459+AP459+AS459+AU459+AX459+BB459+BE459+BG459+BJ459+BL459+BO459+BR459+BT459+BV459+BX459+CA459+CD459</f>
        <v/>
      </c>
    </row>
    <row r="460">
      <c r="A460" s="39" t="n">
        <v>9</v>
      </c>
      <c r="B460" s="39" t="n">
        <v>7</v>
      </c>
      <c r="C460" s="39">
        <f>A460+B460-1</f>
        <v/>
      </c>
      <c r="D460" s="39">
        <f>INT((C460-1)/12)+1</f>
        <v/>
      </c>
      <c r="E460" s="44">
        <f>INDEX(Monthly!$B$2:$B$61,A460)</f>
        <v/>
      </c>
      <c r="F460" s="44">
        <f>E460*INDEX('Age profile'!$B$2:$B$61,B460)</f>
        <v/>
      </c>
      <c r="G460" s="45">
        <f>MIN(in_takeup_cap,INDEX('Age profile'!$N$2:$N$61,B460)*(1+in_takeup_growth)^(D460-1))</f>
        <v/>
      </c>
      <c r="H460" s="11">
        <f>MIN(in_approval_cap,in_approved_first*INDEX('Age profile'!$O$2:$O$61,B460)*(1+in_approval_growth)^(D460-1))</f>
        <v/>
      </c>
      <c r="I460" s="45">
        <f>G460*MIN(in_takeup_cap,INDEX('Age profile'!$O$2:$O$61,B460)*(1+in_approval_growth)^(D460-1))</f>
        <v/>
      </c>
      <c r="J460" s="40">
        <f>(J459-L459)*F460/F459</f>
        <v/>
      </c>
      <c r="K460" s="40">
        <f>(K459-M459)*F460/F459+SUMIFS(O454:O459,B454:B459,B460-1-d_T)*F460</f>
        <v/>
      </c>
      <c r="L460" s="40">
        <f>IF(B460&gt;=in_marketplace_from,J460*d_hz*G460*in_eligible*H460,0)</f>
        <v/>
      </c>
      <c r="M460" s="40">
        <f>IF(B460&gt;=in_marketplace_from,K460*d_hz*G460*in_eligible*in_approved_repeat,0)</f>
        <v/>
      </c>
      <c r="N460" s="40">
        <f>L460+M460</f>
        <v/>
      </c>
      <c r="O460" s="46">
        <f>N460/F460</f>
        <v/>
      </c>
      <c r="P460" s="40">
        <f>F460-J460-K460</f>
        <v/>
      </c>
      <c r="Q460" s="40">
        <f>IF(B460&gt;=in_marketplace_from,(J460+K460)*d_hz*G460,0)</f>
        <v/>
      </c>
      <c r="R460" s="40">
        <f>SUMIFS(N454:N505,B454:B505,"&gt;="&amp;(B460-d_T),B454:B505,"&lt;="&amp;(B460-1))</f>
        <v/>
      </c>
      <c r="S460" s="46">
        <f>(1-d_u)*S459+IF(d_T&gt;in_topup_lag,SUMIFS(O454:O505,B454:B505,B460-in_topup_lag)-d_udrop*SUMIFS(O454:O505,B454:B505,B460-d_T),0)</f>
        <v/>
      </c>
      <c r="T460" s="40">
        <f>F460*d_u*S460</f>
        <v/>
      </c>
      <c r="U460" s="9">
        <f>L460*in_ticket+M460*d_rep_ticket</f>
        <v/>
      </c>
      <c r="V460" s="9">
        <f>U460+T460*d_topup_amt</f>
        <v/>
      </c>
      <c r="W460" s="40">
        <f>N460+T460*d_topup_ratio</f>
        <v/>
      </c>
      <c r="X460" s="40">
        <f>SUMIFS(W454:W505,B454:B505,B460-in_dpd_lag)*d_cured</f>
        <v/>
      </c>
      <c r="Y460" s="40">
        <f>SUMIFS(W454:W505,B454:B505,B460-in_rec_lag)*d_recd</f>
        <v/>
      </c>
      <c r="Z460" s="40">
        <f>IF(AND(B460&gt;=in_marketplace_from,B460&lt;in_marketplace_from+in_card_months),in_card_share/in_card_months*F460*I460,IF(AND(B460&gt;=in_marketplace_from+in_card_months,B460&lt;in_marketplace_from+2*in_card_months),in_card_share*d_card_rem/in_card_months*F460*MIN(in_takeup_cap,(1+in_takeup_growth)^(D460-1))*MIN(in_takeup_cap,(1+in_approval_growth)^(D460-1)),0))</f>
        <v/>
      </c>
      <c r="AA460" s="14">
        <f>V460*in_fee*(1-in_taken_back)</f>
        <v/>
      </c>
      <c r="AB460" s="14">
        <f>SUMIFS(W454:W505,B454:B505,B460-in_dpd_lag)*d_dpd</f>
        <v/>
      </c>
      <c r="AC460" s="14">
        <f>SUMIFS(W454:W505,B454:B505,B460-in_rec_lag)*d_rec</f>
        <v/>
      </c>
      <c r="AD460" s="14">
        <f>Z460*in_card_fee</f>
        <v/>
      </c>
      <c r="AE460" s="40">
        <f>AE459*(1-IF(B459&gt;=in_marketplace_from,d_hz_hlth_small*G459,0))</f>
        <v/>
      </c>
      <c r="AF460" s="46">
        <f>AE460*IF(B460&gt;=in_marketplace_from,d_hz_hlth_small*G460,0)</f>
        <v/>
      </c>
      <c r="AG460" s="14">
        <f>F460*AF460*in_hlth_small_ticket*in_hlth_small_comm*in_ins_partner_share+F460*in_hlth_small_ticket*in_hlth_small_renew_comm*in_ins_partner_share*(in_hlth_small_renew^1*SUMIFS(AF454:AF505,B454:B505,B460-12)+in_hlth_small_renew^2*SUMIFS(AF454:AF505,B454:B505,B460-24)+in_hlth_small_renew^3*SUMIFS(AF454:AF505,B454:B505,B460-36)+in_hlth_small_renew^4*SUMIFS(AF454:AF505,B454:B505,B460-48))</f>
        <v/>
      </c>
      <c r="AH460" s="40">
        <f>AH459*(1-IF(B459&gt;=in_marketplace_from,d_hz_hlth_family*G459,0))</f>
        <v/>
      </c>
      <c r="AI460" s="46">
        <f>AH460*IF(B460&gt;=in_marketplace_from,d_hz_hlth_family*G460,0)</f>
        <v/>
      </c>
      <c r="AJ460" s="14">
        <f>F460*AI460*in_hlth_family_ticket*in_hlth_family_comm*in_ins_partner_share+F460*in_hlth_family_ticket*in_hlth_family_renew_comm*in_ins_partner_share*(in_hlth_family_renew^1*SUMIFS(AI454:AI505,B454:B505,B460-12)+in_hlth_family_renew^2*SUMIFS(AI454:AI505,B454:B505,B460-24)+in_hlth_family_renew^3*SUMIFS(AI454:AI505,B454:B505,B460-36)+in_hlth_family_renew^4*SUMIFS(AI454:AI505,B454:B505,B460-48))</f>
        <v/>
      </c>
      <c r="AK460" s="40">
        <f>AK459*(1-IF(B459&gt;=in_marketplace_from,d_hz_life_term*G459,0))</f>
        <v/>
      </c>
      <c r="AL460" s="46">
        <f>AK460*IF(B460&gt;=in_marketplace_from,d_hz_life_term*G460,0)</f>
        <v/>
      </c>
      <c r="AM460" s="14">
        <f>F460*AL460*in_life_term_ticket*in_life_term_comm*in_ins_partner_share+F460*in_life_term_ticket*in_life_term_renew_comm*in_ins_partner_share*(in_life_term_renew^1*SUMIFS(AL454:AL505,B454:B505,B460-12)+in_life_term_renew^2*SUMIFS(AL454:AL505,B454:B505,B460-24)+in_life_term_renew^3*SUMIFS(AL454:AL505,B454:B505,B460-36)+in_life_term_renew^4*SUMIFS(AL454:AL505,B454:B505,B460-48))</f>
        <v/>
      </c>
      <c r="AN460" s="40">
        <f>AN459*(1-IF(B459&gt;=in_marketplace_from,d_hz_accident*G459,0))</f>
        <v/>
      </c>
      <c r="AO460" s="46">
        <f>AN460*IF(B460&gt;=in_marketplace_from,d_hz_accident*G460,0)</f>
        <v/>
      </c>
      <c r="AP460" s="14">
        <f>F460*AO460*in_accident_ticket*in_accident_comm*in_ins_partner_share+F460*in_accident_ticket*in_accident_renew_comm*in_ins_partner_share*(in_accident_renew^1*SUMIFS(AO454:AO505,B454:B505,B460-12)+in_accident_renew^2*SUMIFS(AO454:AO505,B454:B505,B460-24)+in_accident_renew^3*SUMIFS(AO454:AO505,B454:B505,B460-36)+in_accident_renew^4*SUMIFS(AO454:AO505,B454:B505,B460-48))</f>
        <v/>
      </c>
      <c r="AQ460" s="40">
        <f>AQ459*(1-IF(B459&gt;=in_marketplace_from,d_hz_two_wheeler*G459,0))</f>
        <v/>
      </c>
      <c r="AR460" s="46">
        <f>AQ460*IF(B460&gt;=in_marketplace_from,d_hz_two_wheeler*G460,0)</f>
        <v/>
      </c>
      <c r="AS460" s="14">
        <f>F460*AR460*in_two_wheeler_ticket*in_two_wheeler_comm*in_ins_partner_share+F460*in_two_wheeler_ticket*in_two_wheeler_comm*in_ins_partner_share*(in_two_wheeler_renew^1*SUMIFS(AR454:AR505,B454:B505,B460-12)+in_two_wheeler_renew^2*SUMIFS(AR454:AR505,B454:B505,B460-24)+in_two_wheeler_renew^3*SUMIFS(AR454:AR505,B454:B505,B460-36)+in_two_wheeler_renew^4*SUMIFS(AR454:AR505,B454:B505,B460-48))</f>
        <v/>
      </c>
      <c r="AT460" s="40">
        <f>AT459*(1-IF(B459&gt;=in_marketplace_from,d_hz_device*G459,0))</f>
        <v/>
      </c>
      <c r="AU460" s="14">
        <f>F460*AT460*IF(B460&gt;=in_marketplace_from,d_hz_device*G460,0)*in_device_ticket*in_device_comm*in_ins_partner_share</f>
        <v/>
      </c>
      <c r="AV460" s="40">
        <f>AV459*(1-IF(B459&gt;=in_marketplace_from,d_hz_shop*G459,0))</f>
        <v/>
      </c>
      <c r="AW460" s="46">
        <f>AV460*IF(B460&gt;=in_marketplace_from,d_hz_shop*G460,0)</f>
        <v/>
      </c>
      <c r="AX460" s="14">
        <f>F460*AW460*in_shop_ticket*in_shop_comm*in_ins_partner_share+F460*in_shop_ticket*in_shop_renew_comm*in_ins_partner_share*(in_shop_renew^1*SUMIFS(AW454:AW505,B454:B505,B460-12)+in_shop_renew^2*SUMIFS(AW454:AW505,B454:B505,B460-24)+in_shop_renew^3*SUMIFS(AW454:AW505,B454:B505,B460-36)+in_shop_renew^4*SUMIFS(AW454:AW505,B454:B505,B460-48))</f>
        <v/>
      </c>
      <c r="AY460" s="40">
        <f>AY459*(1-IF(B459&gt;=in_marketplace_from,d_hz_sip*G459,0))</f>
        <v/>
      </c>
      <c r="AZ460" s="40">
        <f>AZ459*d_rho_sip+AY460*IF(B460&gt;=in_marketplace_from,d_hz_sip*G460,0)</f>
        <v/>
      </c>
      <c r="BA460" s="40">
        <f>d_rho_sip*(BA459+AZ459)</f>
        <v/>
      </c>
      <c r="BB460" s="14">
        <f>F460*in_sip_ticket*(BA460+0.5*AZ460)*in_sip_comm/12</f>
        <v/>
      </c>
      <c r="BC460" s="40">
        <f>BC459*(1-IF(B459&gt;=in_marketplace_from,d_hz_choti*G459,0))</f>
        <v/>
      </c>
      <c r="BD460" s="46">
        <f>BC460*IF(B460&gt;=in_marketplace_from,d_hz_choti*G460,0)</f>
        <v/>
      </c>
      <c r="BE460" s="14">
        <f>F460*SUMIFS(BD454:BD505,B454:B505,B460-in_choti_months)*in_choti_renew*in_choti_ticket</f>
        <v/>
      </c>
      <c r="BF460" s="40">
        <f>BF459*(1-IF(B459&gt;=in_marketplace_from,d_hz_nps*G459,0))</f>
        <v/>
      </c>
      <c r="BG460" s="14">
        <f>F460*BF460*IF(B460&gt;=in_marketplace_from,d_hz_nps*G460,0)*in_nps_ticket*in_nps_comm</f>
        <v/>
      </c>
      <c r="BH460" s="40">
        <f>BH459*(1-IF(B459&gt;=in_marketplace_from,d_hz_gold*G459,0))</f>
        <v/>
      </c>
      <c r="BI460" s="40">
        <f>BI459*d_rho_gold+BH460*IF(B460&gt;=in_marketplace_from,d_hz_gold*G460,0)</f>
        <v/>
      </c>
      <c r="BJ460" s="14">
        <f>F460*BI460*in_gold_ticket*in_gold_comm</f>
        <v/>
      </c>
      <c r="BK460" s="40">
        <f>BK459*(1-IF(B459&gt;=in_marketplace_from,d_hz_fd*G459,0))</f>
        <v/>
      </c>
      <c r="BL460" s="14">
        <f>F460*BK460*IF(B460&gt;=in_marketplace_from,d_hz_fd*G460,0)*in_fd_ticket*in_fd_comm</f>
        <v/>
      </c>
      <c r="BM460" s="40">
        <f>BM459*(1-IF(B459&gt;=in_marketplace_from,d_hz_recharge*G459,0))</f>
        <v/>
      </c>
      <c r="BN460" s="40">
        <f>BN459*d_rho_recharge+BM460*IF(B460&gt;=in_marketplace_from,d_hz_recharge*G460,0)</f>
        <v/>
      </c>
      <c r="BO460" s="14">
        <f>F460*BN460*in_recharge_ticket*in_recharge_comm/12</f>
        <v/>
      </c>
      <c r="BP460" s="40">
        <f>BP459*(1-IF(B459&gt;=in_marketplace_from,d_hz_bills*G459,0))</f>
        <v/>
      </c>
      <c r="BQ460" s="40">
        <f>BQ459*d_rho_bills+BP460*IF(B460&gt;=in_marketplace_from,d_hz_bills*G460,0)</f>
        <v/>
      </c>
      <c r="BR460" s="14">
        <f>F460*BQ460*in_bills_ticket*in_bills_comm/12</f>
        <v/>
      </c>
      <c r="BS460" s="40">
        <f>BS459*(1-IF(B459&gt;=in_marketplace_from,d_hz_loan_gold*G459,0))</f>
        <v/>
      </c>
      <c r="BT460" s="14">
        <f>F460*BS460*IF(B460&gt;=in_marketplace_from,d_hz_loan_gold*G460,0)*in_loan_gold_ticket*in_loan_gold_comm</f>
        <v/>
      </c>
      <c r="BU460" s="40">
        <f>BU459*(1-IF(B459&gt;=in_marketplace_from,d_hz_loan_cd*G459,0))</f>
        <v/>
      </c>
      <c r="BV460" s="14">
        <f>F460*BU460*IF(B460&gt;=in_marketplace_from,d_hz_loan_cd*G460,0)*in_loan_cd_ticket*in_loan_cd_comm</f>
        <v/>
      </c>
      <c r="BW460" s="40">
        <f>BW459*(1-IF(B459&gt;=in_marketplace_from,d_hz_loan_vehicle*G459,0))</f>
        <v/>
      </c>
      <c r="BX460" s="14">
        <f>F460*BW460*IF(B460&gt;=in_marketplace_from,d_hz_loan_vehicle*G460,0)*in_loan_vehicle_ticket*in_loan_vehicle_comm</f>
        <v/>
      </c>
      <c r="BY460" s="40">
        <f>BY459*(1-IF(B459&gt;=in_marketplace_from,d_hz_loan_home*G459,0)*BZ459)</f>
        <v/>
      </c>
      <c r="BZ460" s="11">
        <f>MIN(in_approval_cap,in_loan_home_approval*INDEX('Age profile'!$O$2:$O$61,B460)*(1+in_approval_growth)^(D460-1))</f>
        <v/>
      </c>
      <c r="CA460" s="14">
        <f>F460*BY460*IF(B460&gt;=in_marketplace_from,d_hz_loan_home*G460,0)*BZ460*in_loan_home_ticket*in_loan_home_comm</f>
        <v/>
      </c>
      <c r="CB460" s="40">
        <f>CB459*(1-IF(B459&gt;=in_marketplace_from,d_hz_loan_lap*G459,0)*CC459)</f>
        <v/>
      </c>
      <c r="CC460" s="11">
        <f>MIN(in_approval_cap,in_loan_lap_approval*INDEX('Age profile'!$O$2:$O$61,B460)*(1+in_approval_growth)^(D460-1))</f>
        <v/>
      </c>
      <c r="CD460" s="14">
        <f>F460*CB460*IF(B460&gt;=in_marketplace_from,d_hz_loan_lap*G460,0)*CC460*in_loan_lap_ticket*in_loan_lap_comm</f>
        <v/>
      </c>
      <c r="CE460" s="14">
        <f>AA460+AB460+AC460+AD460+AG460+AJ460+AM460+AP460+AS460+AU460+AX460+BB460+BE460+BG460+BJ460+BL460+BO460+BR460+BT460+BV460+BX460+CA460+CD460</f>
        <v/>
      </c>
    </row>
    <row r="461">
      <c r="A461" s="39" t="n">
        <v>9</v>
      </c>
      <c r="B461" s="39" t="n">
        <v>8</v>
      </c>
      <c r="C461" s="39">
        <f>A461+B461-1</f>
        <v/>
      </c>
      <c r="D461" s="39">
        <f>INT((C461-1)/12)+1</f>
        <v/>
      </c>
      <c r="E461" s="44">
        <f>INDEX(Monthly!$B$2:$B$61,A461)</f>
        <v/>
      </c>
      <c r="F461" s="44">
        <f>E461*INDEX('Age profile'!$B$2:$B$61,B461)</f>
        <v/>
      </c>
      <c r="G461" s="45">
        <f>MIN(in_takeup_cap,INDEX('Age profile'!$N$2:$N$61,B461)*(1+in_takeup_growth)^(D461-1))</f>
        <v/>
      </c>
      <c r="H461" s="11">
        <f>MIN(in_approval_cap,in_approved_first*INDEX('Age profile'!$O$2:$O$61,B461)*(1+in_approval_growth)^(D461-1))</f>
        <v/>
      </c>
      <c r="I461" s="45">
        <f>G461*MIN(in_takeup_cap,INDEX('Age profile'!$O$2:$O$61,B461)*(1+in_approval_growth)^(D461-1))</f>
        <v/>
      </c>
      <c r="J461" s="40">
        <f>(J460-L460)*F461/F460</f>
        <v/>
      </c>
      <c r="K461" s="40">
        <f>(K460-M460)*F461/F460+SUMIFS(O454:O460,B454:B460,B461-1-d_T)*F461</f>
        <v/>
      </c>
      <c r="L461" s="40">
        <f>IF(B461&gt;=in_marketplace_from,J461*d_hz*G461*in_eligible*H461,0)</f>
        <v/>
      </c>
      <c r="M461" s="40">
        <f>IF(B461&gt;=in_marketplace_from,K461*d_hz*G461*in_eligible*in_approved_repeat,0)</f>
        <v/>
      </c>
      <c r="N461" s="40">
        <f>L461+M461</f>
        <v/>
      </c>
      <c r="O461" s="46">
        <f>N461/F461</f>
        <v/>
      </c>
      <c r="P461" s="40">
        <f>F461-J461-K461</f>
        <v/>
      </c>
      <c r="Q461" s="40">
        <f>IF(B461&gt;=in_marketplace_from,(J461+K461)*d_hz*G461,0)</f>
        <v/>
      </c>
      <c r="R461" s="40">
        <f>SUMIFS(N454:N505,B454:B505,"&gt;="&amp;(B461-d_T),B454:B505,"&lt;="&amp;(B461-1))</f>
        <v/>
      </c>
      <c r="S461" s="46">
        <f>(1-d_u)*S460+IF(d_T&gt;in_topup_lag,SUMIFS(O454:O505,B454:B505,B461-in_topup_lag)-d_udrop*SUMIFS(O454:O505,B454:B505,B461-d_T),0)</f>
        <v/>
      </c>
      <c r="T461" s="40">
        <f>F461*d_u*S461</f>
        <v/>
      </c>
      <c r="U461" s="9">
        <f>L461*in_ticket+M461*d_rep_ticket</f>
        <v/>
      </c>
      <c r="V461" s="9">
        <f>U461+T461*d_topup_amt</f>
        <v/>
      </c>
      <c r="W461" s="40">
        <f>N461+T461*d_topup_ratio</f>
        <v/>
      </c>
      <c r="X461" s="40">
        <f>SUMIFS(W454:W505,B454:B505,B461-in_dpd_lag)*d_cured</f>
        <v/>
      </c>
      <c r="Y461" s="40">
        <f>SUMIFS(W454:W505,B454:B505,B461-in_rec_lag)*d_recd</f>
        <v/>
      </c>
      <c r="Z461" s="40">
        <f>IF(AND(B461&gt;=in_marketplace_from,B461&lt;in_marketplace_from+in_card_months),in_card_share/in_card_months*F461*I461,IF(AND(B461&gt;=in_marketplace_from+in_card_months,B461&lt;in_marketplace_from+2*in_card_months),in_card_share*d_card_rem/in_card_months*F461*MIN(in_takeup_cap,(1+in_takeup_growth)^(D461-1))*MIN(in_takeup_cap,(1+in_approval_growth)^(D461-1)),0))</f>
        <v/>
      </c>
      <c r="AA461" s="14">
        <f>V461*in_fee*(1-in_taken_back)</f>
        <v/>
      </c>
      <c r="AB461" s="14">
        <f>SUMIFS(W454:W505,B454:B505,B461-in_dpd_lag)*d_dpd</f>
        <v/>
      </c>
      <c r="AC461" s="14">
        <f>SUMIFS(W454:W505,B454:B505,B461-in_rec_lag)*d_rec</f>
        <v/>
      </c>
      <c r="AD461" s="14">
        <f>Z461*in_card_fee</f>
        <v/>
      </c>
      <c r="AE461" s="40">
        <f>AE460*(1-IF(B460&gt;=in_marketplace_from,d_hz_hlth_small*G460,0))</f>
        <v/>
      </c>
      <c r="AF461" s="46">
        <f>AE461*IF(B461&gt;=in_marketplace_from,d_hz_hlth_small*G461,0)</f>
        <v/>
      </c>
      <c r="AG461" s="14">
        <f>F461*AF461*in_hlth_small_ticket*in_hlth_small_comm*in_ins_partner_share+F461*in_hlth_small_ticket*in_hlth_small_renew_comm*in_ins_partner_share*(in_hlth_small_renew^1*SUMIFS(AF454:AF505,B454:B505,B461-12)+in_hlth_small_renew^2*SUMIFS(AF454:AF505,B454:B505,B461-24)+in_hlth_small_renew^3*SUMIFS(AF454:AF505,B454:B505,B461-36)+in_hlth_small_renew^4*SUMIFS(AF454:AF505,B454:B505,B461-48))</f>
        <v/>
      </c>
      <c r="AH461" s="40">
        <f>AH460*(1-IF(B460&gt;=in_marketplace_from,d_hz_hlth_family*G460,0))</f>
        <v/>
      </c>
      <c r="AI461" s="46">
        <f>AH461*IF(B461&gt;=in_marketplace_from,d_hz_hlth_family*G461,0)</f>
        <v/>
      </c>
      <c r="AJ461" s="14">
        <f>F461*AI461*in_hlth_family_ticket*in_hlth_family_comm*in_ins_partner_share+F461*in_hlth_family_ticket*in_hlth_family_renew_comm*in_ins_partner_share*(in_hlth_family_renew^1*SUMIFS(AI454:AI505,B454:B505,B461-12)+in_hlth_family_renew^2*SUMIFS(AI454:AI505,B454:B505,B461-24)+in_hlth_family_renew^3*SUMIFS(AI454:AI505,B454:B505,B461-36)+in_hlth_family_renew^4*SUMIFS(AI454:AI505,B454:B505,B461-48))</f>
        <v/>
      </c>
      <c r="AK461" s="40">
        <f>AK460*(1-IF(B460&gt;=in_marketplace_from,d_hz_life_term*G460,0))</f>
        <v/>
      </c>
      <c r="AL461" s="46">
        <f>AK461*IF(B461&gt;=in_marketplace_from,d_hz_life_term*G461,0)</f>
        <v/>
      </c>
      <c r="AM461" s="14">
        <f>F461*AL461*in_life_term_ticket*in_life_term_comm*in_ins_partner_share+F461*in_life_term_ticket*in_life_term_renew_comm*in_ins_partner_share*(in_life_term_renew^1*SUMIFS(AL454:AL505,B454:B505,B461-12)+in_life_term_renew^2*SUMIFS(AL454:AL505,B454:B505,B461-24)+in_life_term_renew^3*SUMIFS(AL454:AL505,B454:B505,B461-36)+in_life_term_renew^4*SUMIFS(AL454:AL505,B454:B505,B461-48))</f>
        <v/>
      </c>
      <c r="AN461" s="40">
        <f>AN460*(1-IF(B460&gt;=in_marketplace_from,d_hz_accident*G460,0))</f>
        <v/>
      </c>
      <c r="AO461" s="46">
        <f>AN461*IF(B461&gt;=in_marketplace_from,d_hz_accident*G461,0)</f>
        <v/>
      </c>
      <c r="AP461" s="14">
        <f>F461*AO461*in_accident_ticket*in_accident_comm*in_ins_partner_share+F461*in_accident_ticket*in_accident_renew_comm*in_ins_partner_share*(in_accident_renew^1*SUMIFS(AO454:AO505,B454:B505,B461-12)+in_accident_renew^2*SUMIFS(AO454:AO505,B454:B505,B461-24)+in_accident_renew^3*SUMIFS(AO454:AO505,B454:B505,B461-36)+in_accident_renew^4*SUMIFS(AO454:AO505,B454:B505,B461-48))</f>
        <v/>
      </c>
      <c r="AQ461" s="40">
        <f>AQ460*(1-IF(B460&gt;=in_marketplace_from,d_hz_two_wheeler*G460,0))</f>
        <v/>
      </c>
      <c r="AR461" s="46">
        <f>AQ461*IF(B461&gt;=in_marketplace_from,d_hz_two_wheeler*G461,0)</f>
        <v/>
      </c>
      <c r="AS461" s="14">
        <f>F461*AR461*in_two_wheeler_ticket*in_two_wheeler_comm*in_ins_partner_share+F461*in_two_wheeler_ticket*in_two_wheeler_comm*in_ins_partner_share*(in_two_wheeler_renew^1*SUMIFS(AR454:AR505,B454:B505,B461-12)+in_two_wheeler_renew^2*SUMIFS(AR454:AR505,B454:B505,B461-24)+in_two_wheeler_renew^3*SUMIFS(AR454:AR505,B454:B505,B461-36)+in_two_wheeler_renew^4*SUMIFS(AR454:AR505,B454:B505,B461-48))</f>
        <v/>
      </c>
      <c r="AT461" s="40">
        <f>AT460*(1-IF(B460&gt;=in_marketplace_from,d_hz_device*G460,0))</f>
        <v/>
      </c>
      <c r="AU461" s="14">
        <f>F461*AT461*IF(B461&gt;=in_marketplace_from,d_hz_device*G461,0)*in_device_ticket*in_device_comm*in_ins_partner_share</f>
        <v/>
      </c>
      <c r="AV461" s="40">
        <f>AV460*(1-IF(B460&gt;=in_marketplace_from,d_hz_shop*G460,0))</f>
        <v/>
      </c>
      <c r="AW461" s="46">
        <f>AV461*IF(B461&gt;=in_marketplace_from,d_hz_shop*G461,0)</f>
        <v/>
      </c>
      <c r="AX461" s="14">
        <f>F461*AW461*in_shop_ticket*in_shop_comm*in_ins_partner_share+F461*in_shop_ticket*in_shop_renew_comm*in_ins_partner_share*(in_shop_renew^1*SUMIFS(AW454:AW505,B454:B505,B461-12)+in_shop_renew^2*SUMIFS(AW454:AW505,B454:B505,B461-24)+in_shop_renew^3*SUMIFS(AW454:AW505,B454:B505,B461-36)+in_shop_renew^4*SUMIFS(AW454:AW505,B454:B505,B461-48))</f>
        <v/>
      </c>
      <c r="AY461" s="40">
        <f>AY460*(1-IF(B460&gt;=in_marketplace_from,d_hz_sip*G460,0))</f>
        <v/>
      </c>
      <c r="AZ461" s="40">
        <f>AZ460*d_rho_sip+AY461*IF(B461&gt;=in_marketplace_from,d_hz_sip*G461,0)</f>
        <v/>
      </c>
      <c r="BA461" s="40">
        <f>d_rho_sip*(BA460+AZ460)</f>
        <v/>
      </c>
      <c r="BB461" s="14">
        <f>F461*in_sip_ticket*(BA461+0.5*AZ461)*in_sip_comm/12</f>
        <v/>
      </c>
      <c r="BC461" s="40">
        <f>BC460*(1-IF(B460&gt;=in_marketplace_from,d_hz_choti*G460,0))</f>
        <v/>
      </c>
      <c r="BD461" s="46">
        <f>BC461*IF(B461&gt;=in_marketplace_from,d_hz_choti*G461,0)</f>
        <v/>
      </c>
      <c r="BE461" s="14">
        <f>F461*SUMIFS(BD454:BD505,B454:B505,B461-in_choti_months)*in_choti_renew*in_choti_ticket</f>
        <v/>
      </c>
      <c r="BF461" s="40">
        <f>BF460*(1-IF(B460&gt;=in_marketplace_from,d_hz_nps*G460,0))</f>
        <v/>
      </c>
      <c r="BG461" s="14">
        <f>F461*BF461*IF(B461&gt;=in_marketplace_from,d_hz_nps*G461,0)*in_nps_ticket*in_nps_comm</f>
        <v/>
      </c>
      <c r="BH461" s="40">
        <f>BH460*(1-IF(B460&gt;=in_marketplace_from,d_hz_gold*G460,0))</f>
        <v/>
      </c>
      <c r="BI461" s="40">
        <f>BI460*d_rho_gold+BH461*IF(B461&gt;=in_marketplace_from,d_hz_gold*G461,0)</f>
        <v/>
      </c>
      <c r="BJ461" s="14">
        <f>F461*BI461*in_gold_ticket*in_gold_comm</f>
        <v/>
      </c>
      <c r="BK461" s="40">
        <f>BK460*(1-IF(B460&gt;=in_marketplace_from,d_hz_fd*G460,0))</f>
        <v/>
      </c>
      <c r="BL461" s="14">
        <f>F461*BK461*IF(B461&gt;=in_marketplace_from,d_hz_fd*G461,0)*in_fd_ticket*in_fd_comm</f>
        <v/>
      </c>
      <c r="BM461" s="40">
        <f>BM460*(1-IF(B460&gt;=in_marketplace_from,d_hz_recharge*G460,0))</f>
        <v/>
      </c>
      <c r="BN461" s="40">
        <f>BN460*d_rho_recharge+BM461*IF(B461&gt;=in_marketplace_from,d_hz_recharge*G461,0)</f>
        <v/>
      </c>
      <c r="BO461" s="14">
        <f>F461*BN461*in_recharge_ticket*in_recharge_comm/12</f>
        <v/>
      </c>
      <c r="BP461" s="40">
        <f>BP460*(1-IF(B460&gt;=in_marketplace_from,d_hz_bills*G460,0))</f>
        <v/>
      </c>
      <c r="BQ461" s="40">
        <f>BQ460*d_rho_bills+BP461*IF(B461&gt;=in_marketplace_from,d_hz_bills*G461,0)</f>
        <v/>
      </c>
      <c r="BR461" s="14">
        <f>F461*BQ461*in_bills_ticket*in_bills_comm/12</f>
        <v/>
      </c>
      <c r="BS461" s="40">
        <f>BS460*(1-IF(B460&gt;=in_marketplace_from,d_hz_loan_gold*G460,0))</f>
        <v/>
      </c>
      <c r="BT461" s="14">
        <f>F461*BS461*IF(B461&gt;=in_marketplace_from,d_hz_loan_gold*G461,0)*in_loan_gold_ticket*in_loan_gold_comm</f>
        <v/>
      </c>
      <c r="BU461" s="40">
        <f>BU460*(1-IF(B460&gt;=in_marketplace_from,d_hz_loan_cd*G460,0))</f>
        <v/>
      </c>
      <c r="BV461" s="14">
        <f>F461*BU461*IF(B461&gt;=in_marketplace_from,d_hz_loan_cd*G461,0)*in_loan_cd_ticket*in_loan_cd_comm</f>
        <v/>
      </c>
      <c r="BW461" s="40">
        <f>BW460*(1-IF(B460&gt;=in_marketplace_from,d_hz_loan_vehicle*G460,0))</f>
        <v/>
      </c>
      <c r="BX461" s="14">
        <f>F461*BW461*IF(B461&gt;=in_marketplace_from,d_hz_loan_vehicle*G461,0)*in_loan_vehicle_ticket*in_loan_vehicle_comm</f>
        <v/>
      </c>
      <c r="BY461" s="40">
        <f>BY460*(1-IF(B460&gt;=in_marketplace_from,d_hz_loan_home*G460,0)*BZ460)</f>
        <v/>
      </c>
      <c r="BZ461" s="11">
        <f>MIN(in_approval_cap,in_loan_home_approval*INDEX('Age profile'!$O$2:$O$61,B461)*(1+in_approval_growth)^(D461-1))</f>
        <v/>
      </c>
      <c r="CA461" s="14">
        <f>F461*BY461*IF(B461&gt;=in_marketplace_from,d_hz_loan_home*G461,0)*BZ461*in_loan_home_ticket*in_loan_home_comm</f>
        <v/>
      </c>
      <c r="CB461" s="40">
        <f>CB460*(1-IF(B460&gt;=in_marketplace_from,d_hz_loan_lap*G460,0)*CC460)</f>
        <v/>
      </c>
      <c r="CC461" s="11">
        <f>MIN(in_approval_cap,in_loan_lap_approval*INDEX('Age profile'!$O$2:$O$61,B461)*(1+in_approval_growth)^(D461-1))</f>
        <v/>
      </c>
      <c r="CD461" s="14">
        <f>F461*CB461*IF(B461&gt;=in_marketplace_from,d_hz_loan_lap*G461,0)*CC461*in_loan_lap_ticket*in_loan_lap_comm</f>
        <v/>
      </c>
      <c r="CE461" s="14">
        <f>AA461+AB461+AC461+AD461+AG461+AJ461+AM461+AP461+AS461+AU461+AX461+BB461+BE461+BG461+BJ461+BL461+BO461+BR461+BT461+BV461+BX461+CA461+CD461</f>
        <v/>
      </c>
    </row>
    <row r="462">
      <c r="A462" s="39" t="n">
        <v>9</v>
      </c>
      <c r="B462" s="39" t="n">
        <v>9</v>
      </c>
      <c r="C462" s="39">
        <f>A462+B462-1</f>
        <v/>
      </c>
      <c r="D462" s="39">
        <f>INT((C462-1)/12)+1</f>
        <v/>
      </c>
      <c r="E462" s="44">
        <f>INDEX(Monthly!$B$2:$B$61,A462)</f>
        <v/>
      </c>
      <c r="F462" s="44">
        <f>E462*INDEX('Age profile'!$B$2:$B$61,B462)</f>
        <v/>
      </c>
      <c r="G462" s="45">
        <f>MIN(in_takeup_cap,INDEX('Age profile'!$N$2:$N$61,B462)*(1+in_takeup_growth)^(D462-1))</f>
        <v/>
      </c>
      <c r="H462" s="11">
        <f>MIN(in_approval_cap,in_approved_first*INDEX('Age profile'!$O$2:$O$61,B462)*(1+in_approval_growth)^(D462-1))</f>
        <v/>
      </c>
      <c r="I462" s="45">
        <f>G462*MIN(in_takeup_cap,INDEX('Age profile'!$O$2:$O$61,B462)*(1+in_approval_growth)^(D462-1))</f>
        <v/>
      </c>
      <c r="J462" s="40">
        <f>(J461-L461)*F462/F461</f>
        <v/>
      </c>
      <c r="K462" s="40">
        <f>(K461-M461)*F462/F461+SUMIFS(O454:O461,B454:B461,B462-1-d_T)*F462</f>
        <v/>
      </c>
      <c r="L462" s="40">
        <f>IF(B462&gt;=in_marketplace_from,J462*d_hz*G462*in_eligible*H462,0)</f>
        <v/>
      </c>
      <c r="M462" s="40">
        <f>IF(B462&gt;=in_marketplace_from,K462*d_hz*G462*in_eligible*in_approved_repeat,0)</f>
        <v/>
      </c>
      <c r="N462" s="40">
        <f>L462+M462</f>
        <v/>
      </c>
      <c r="O462" s="46">
        <f>N462/F462</f>
        <v/>
      </c>
      <c r="P462" s="40">
        <f>F462-J462-K462</f>
        <v/>
      </c>
      <c r="Q462" s="40">
        <f>IF(B462&gt;=in_marketplace_from,(J462+K462)*d_hz*G462,0)</f>
        <v/>
      </c>
      <c r="R462" s="40">
        <f>SUMIFS(N454:N505,B454:B505,"&gt;="&amp;(B462-d_T),B454:B505,"&lt;="&amp;(B462-1))</f>
        <v/>
      </c>
      <c r="S462" s="46">
        <f>(1-d_u)*S461+IF(d_T&gt;in_topup_lag,SUMIFS(O454:O505,B454:B505,B462-in_topup_lag)-d_udrop*SUMIFS(O454:O505,B454:B505,B462-d_T),0)</f>
        <v/>
      </c>
      <c r="T462" s="40">
        <f>F462*d_u*S462</f>
        <v/>
      </c>
      <c r="U462" s="9">
        <f>L462*in_ticket+M462*d_rep_ticket</f>
        <v/>
      </c>
      <c r="V462" s="9">
        <f>U462+T462*d_topup_amt</f>
        <v/>
      </c>
      <c r="W462" s="40">
        <f>N462+T462*d_topup_ratio</f>
        <v/>
      </c>
      <c r="X462" s="40">
        <f>SUMIFS(W454:W505,B454:B505,B462-in_dpd_lag)*d_cured</f>
        <v/>
      </c>
      <c r="Y462" s="40">
        <f>SUMIFS(W454:W505,B454:B505,B462-in_rec_lag)*d_recd</f>
        <v/>
      </c>
      <c r="Z462" s="40">
        <f>IF(AND(B462&gt;=in_marketplace_from,B462&lt;in_marketplace_from+in_card_months),in_card_share/in_card_months*F462*I462,IF(AND(B462&gt;=in_marketplace_from+in_card_months,B462&lt;in_marketplace_from+2*in_card_months),in_card_share*d_card_rem/in_card_months*F462*MIN(in_takeup_cap,(1+in_takeup_growth)^(D462-1))*MIN(in_takeup_cap,(1+in_approval_growth)^(D462-1)),0))</f>
        <v/>
      </c>
      <c r="AA462" s="14">
        <f>V462*in_fee*(1-in_taken_back)</f>
        <v/>
      </c>
      <c r="AB462" s="14">
        <f>SUMIFS(W454:W505,B454:B505,B462-in_dpd_lag)*d_dpd</f>
        <v/>
      </c>
      <c r="AC462" s="14">
        <f>SUMIFS(W454:W505,B454:B505,B462-in_rec_lag)*d_rec</f>
        <v/>
      </c>
      <c r="AD462" s="14">
        <f>Z462*in_card_fee</f>
        <v/>
      </c>
      <c r="AE462" s="40">
        <f>AE461*(1-IF(B461&gt;=in_marketplace_from,d_hz_hlth_small*G461,0))</f>
        <v/>
      </c>
      <c r="AF462" s="46">
        <f>AE462*IF(B462&gt;=in_marketplace_from,d_hz_hlth_small*G462,0)</f>
        <v/>
      </c>
      <c r="AG462" s="14">
        <f>F462*AF462*in_hlth_small_ticket*in_hlth_small_comm*in_ins_partner_share+F462*in_hlth_small_ticket*in_hlth_small_renew_comm*in_ins_partner_share*(in_hlth_small_renew^1*SUMIFS(AF454:AF505,B454:B505,B462-12)+in_hlth_small_renew^2*SUMIFS(AF454:AF505,B454:B505,B462-24)+in_hlth_small_renew^3*SUMIFS(AF454:AF505,B454:B505,B462-36)+in_hlth_small_renew^4*SUMIFS(AF454:AF505,B454:B505,B462-48))</f>
        <v/>
      </c>
      <c r="AH462" s="40">
        <f>AH461*(1-IF(B461&gt;=in_marketplace_from,d_hz_hlth_family*G461,0))</f>
        <v/>
      </c>
      <c r="AI462" s="46">
        <f>AH462*IF(B462&gt;=in_marketplace_from,d_hz_hlth_family*G462,0)</f>
        <v/>
      </c>
      <c r="AJ462" s="14">
        <f>F462*AI462*in_hlth_family_ticket*in_hlth_family_comm*in_ins_partner_share+F462*in_hlth_family_ticket*in_hlth_family_renew_comm*in_ins_partner_share*(in_hlth_family_renew^1*SUMIFS(AI454:AI505,B454:B505,B462-12)+in_hlth_family_renew^2*SUMIFS(AI454:AI505,B454:B505,B462-24)+in_hlth_family_renew^3*SUMIFS(AI454:AI505,B454:B505,B462-36)+in_hlth_family_renew^4*SUMIFS(AI454:AI505,B454:B505,B462-48))</f>
        <v/>
      </c>
      <c r="AK462" s="40">
        <f>AK461*(1-IF(B461&gt;=in_marketplace_from,d_hz_life_term*G461,0))</f>
        <v/>
      </c>
      <c r="AL462" s="46">
        <f>AK462*IF(B462&gt;=in_marketplace_from,d_hz_life_term*G462,0)</f>
        <v/>
      </c>
      <c r="AM462" s="14">
        <f>F462*AL462*in_life_term_ticket*in_life_term_comm*in_ins_partner_share+F462*in_life_term_ticket*in_life_term_renew_comm*in_ins_partner_share*(in_life_term_renew^1*SUMIFS(AL454:AL505,B454:B505,B462-12)+in_life_term_renew^2*SUMIFS(AL454:AL505,B454:B505,B462-24)+in_life_term_renew^3*SUMIFS(AL454:AL505,B454:B505,B462-36)+in_life_term_renew^4*SUMIFS(AL454:AL505,B454:B505,B462-48))</f>
        <v/>
      </c>
      <c r="AN462" s="40">
        <f>AN461*(1-IF(B461&gt;=in_marketplace_from,d_hz_accident*G461,0))</f>
        <v/>
      </c>
      <c r="AO462" s="46">
        <f>AN462*IF(B462&gt;=in_marketplace_from,d_hz_accident*G462,0)</f>
        <v/>
      </c>
      <c r="AP462" s="14">
        <f>F462*AO462*in_accident_ticket*in_accident_comm*in_ins_partner_share+F462*in_accident_ticket*in_accident_renew_comm*in_ins_partner_share*(in_accident_renew^1*SUMIFS(AO454:AO505,B454:B505,B462-12)+in_accident_renew^2*SUMIFS(AO454:AO505,B454:B505,B462-24)+in_accident_renew^3*SUMIFS(AO454:AO505,B454:B505,B462-36)+in_accident_renew^4*SUMIFS(AO454:AO505,B454:B505,B462-48))</f>
        <v/>
      </c>
      <c r="AQ462" s="40">
        <f>AQ461*(1-IF(B461&gt;=in_marketplace_from,d_hz_two_wheeler*G461,0))</f>
        <v/>
      </c>
      <c r="AR462" s="46">
        <f>AQ462*IF(B462&gt;=in_marketplace_from,d_hz_two_wheeler*G462,0)</f>
        <v/>
      </c>
      <c r="AS462" s="14">
        <f>F462*AR462*in_two_wheeler_ticket*in_two_wheeler_comm*in_ins_partner_share+F462*in_two_wheeler_ticket*in_two_wheeler_comm*in_ins_partner_share*(in_two_wheeler_renew^1*SUMIFS(AR454:AR505,B454:B505,B462-12)+in_two_wheeler_renew^2*SUMIFS(AR454:AR505,B454:B505,B462-24)+in_two_wheeler_renew^3*SUMIFS(AR454:AR505,B454:B505,B462-36)+in_two_wheeler_renew^4*SUMIFS(AR454:AR505,B454:B505,B462-48))</f>
        <v/>
      </c>
      <c r="AT462" s="40">
        <f>AT461*(1-IF(B461&gt;=in_marketplace_from,d_hz_device*G461,0))</f>
        <v/>
      </c>
      <c r="AU462" s="14">
        <f>F462*AT462*IF(B462&gt;=in_marketplace_from,d_hz_device*G462,0)*in_device_ticket*in_device_comm*in_ins_partner_share</f>
        <v/>
      </c>
      <c r="AV462" s="40">
        <f>AV461*(1-IF(B461&gt;=in_marketplace_from,d_hz_shop*G461,0))</f>
        <v/>
      </c>
      <c r="AW462" s="46">
        <f>AV462*IF(B462&gt;=in_marketplace_from,d_hz_shop*G462,0)</f>
        <v/>
      </c>
      <c r="AX462" s="14">
        <f>F462*AW462*in_shop_ticket*in_shop_comm*in_ins_partner_share+F462*in_shop_ticket*in_shop_renew_comm*in_ins_partner_share*(in_shop_renew^1*SUMIFS(AW454:AW505,B454:B505,B462-12)+in_shop_renew^2*SUMIFS(AW454:AW505,B454:B505,B462-24)+in_shop_renew^3*SUMIFS(AW454:AW505,B454:B505,B462-36)+in_shop_renew^4*SUMIFS(AW454:AW505,B454:B505,B462-48))</f>
        <v/>
      </c>
      <c r="AY462" s="40">
        <f>AY461*(1-IF(B461&gt;=in_marketplace_from,d_hz_sip*G461,0))</f>
        <v/>
      </c>
      <c r="AZ462" s="40">
        <f>AZ461*d_rho_sip+AY462*IF(B462&gt;=in_marketplace_from,d_hz_sip*G462,0)</f>
        <v/>
      </c>
      <c r="BA462" s="40">
        <f>d_rho_sip*(BA461+AZ461)</f>
        <v/>
      </c>
      <c r="BB462" s="14">
        <f>F462*in_sip_ticket*(BA462+0.5*AZ462)*in_sip_comm/12</f>
        <v/>
      </c>
      <c r="BC462" s="40">
        <f>BC461*(1-IF(B461&gt;=in_marketplace_from,d_hz_choti*G461,0))</f>
        <v/>
      </c>
      <c r="BD462" s="46">
        <f>BC462*IF(B462&gt;=in_marketplace_from,d_hz_choti*G462,0)</f>
        <v/>
      </c>
      <c r="BE462" s="14">
        <f>F462*SUMIFS(BD454:BD505,B454:B505,B462-in_choti_months)*in_choti_renew*in_choti_ticket</f>
        <v/>
      </c>
      <c r="BF462" s="40">
        <f>BF461*(1-IF(B461&gt;=in_marketplace_from,d_hz_nps*G461,0))</f>
        <v/>
      </c>
      <c r="BG462" s="14">
        <f>F462*BF462*IF(B462&gt;=in_marketplace_from,d_hz_nps*G462,0)*in_nps_ticket*in_nps_comm</f>
        <v/>
      </c>
      <c r="BH462" s="40">
        <f>BH461*(1-IF(B461&gt;=in_marketplace_from,d_hz_gold*G461,0))</f>
        <v/>
      </c>
      <c r="BI462" s="40">
        <f>BI461*d_rho_gold+BH462*IF(B462&gt;=in_marketplace_from,d_hz_gold*G462,0)</f>
        <v/>
      </c>
      <c r="BJ462" s="14">
        <f>F462*BI462*in_gold_ticket*in_gold_comm</f>
        <v/>
      </c>
      <c r="BK462" s="40">
        <f>BK461*(1-IF(B461&gt;=in_marketplace_from,d_hz_fd*G461,0))</f>
        <v/>
      </c>
      <c r="BL462" s="14">
        <f>F462*BK462*IF(B462&gt;=in_marketplace_from,d_hz_fd*G462,0)*in_fd_ticket*in_fd_comm</f>
        <v/>
      </c>
      <c r="BM462" s="40">
        <f>BM461*(1-IF(B461&gt;=in_marketplace_from,d_hz_recharge*G461,0))</f>
        <v/>
      </c>
      <c r="BN462" s="40">
        <f>BN461*d_rho_recharge+BM462*IF(B462&gt;=in_marketplace_from,d_hz_recharge*G462,0)</f>
        <v/>
      </c>
      <c r="BO462" s="14">
        <f>F462*BN462*in_recharge_ticket*in_recharge_comm/12</f>
        <v/>
      </c>
      <c r="BP462" s="40">
        <f>BP461*(1-IF(B461&gt;=in_marketplace_from,d_hz_bills*G461,0))</f>
        <v/>
      </c>
      <c r="BQ462" s="40">
        <f>BQ461*d_rho_bills+BP462*IF(B462&gt;=in_marketplace_from,d_hz_bills*G462,0)</f>
        <v/>
      </c>
      <c r="BR462" s="14">
        <f>F462*BQ462*in_bills_ticket*in_bills_comm/12</f>
        <v/>
      </c>
      <c r="BS462" s="40">
        <f>BS461*(1-IF(B461&gt;=in_marketplace_from,d_hz_loan_gold*G461,0))</f>
        <v/>
      </c>
      <c r="BT462" s="14">
        <f>F462*BS462*IF(B462&gt;=in_marketplace_from,d_hz_loan_gold*G462,0)*in_loan_gold_ticket*in_loan_gold_comm</f>
        <v/>
      </c>
      <c r="BU462" s="40">
        <f>BU461*(1-IF(B461&gt;=in_marketplace_from,d_hz_loan_cd*G461,0))</f>
        <v/>
      </c>
      <c r="BV462" s="14">
        <f>F462*BU462*IF(B462&gt;=in_marketplace_from,d_hz_loan_cd*G462,0)*in_loan_cd_ticket*in_loan_cd_comm</f>
        <v/>
      </c>
      <c r="BW462" s="40">
        <f>BW461*(1-IF(B461&gt;=in_marketplace_from,d_hz_loan_vehicle*G461,0))</f>
        <v/>
      </c>
      <c r="BX462" s="14">
        <f>F462*BW462*IF(B462&gt;=in_marketplace_from,d_hz_loan_vehicle*G462,0)*in_loan_vehicle_ticket*in_loan_vehicle_comm</f>
        <v/>
      </c>
      <c r="BY462" s="40">
        <f>BY461*(1-IF(B461&gt;=in_marketplace_from,d_hz_loan_home*G461,0)*BZ461)</f>
        <v/>
      </c>
      <c r="BZ462" s="11">
        <f>MIN(in_approval_cap,in_loan_home_approval*INDEX('Age profile'!$O$2:$O$61,B462)*(1+in_approval_growth)^(D462-1))</f>
        <v/>
      </c>
      <c r="CA462" s="14">
        <f>F462*BY462*IF(B462&gt;=in_marketplace_from,d_hz_loan_home*G462,0)*BZ462*in_loan_home_ticket*in_loan_home_comm</f>
        <v/>
      </c>
      <c r="CB462" s="40">
        <f>CB461*(1-IF(B461&gt;=in_marketplace_from,d_hz_loan_lap*G461,0)*CC461)</f>
        <v/>
      </c>
      <c r="CC462" s="11">
        <f>MIN(in_approval_cap,in_loan_lap_approval*INDEX('Age profile'!$O$2:$O$61,B462)*(1+in_approval_growth)^(D462-1))</f>
        <v/>
      </c>
      <c r="CD462" s="14">
        <f>F462*CB462*IF(B462&gt;=in_marketplace_from,d_hz_loan_lap*G462,0)*CC462*in_loan_lap_ticket*in_loan_lap_comm</f>
        <v/>
      </c>
      <c r="CE462" s="14">
        <f>AA462+AB462+AC462+AD462+AG462+AJ462+AM462+AP462+AS462+AU462+AX462+BB462+BE462+BG462+BJ462+BL462+BO462+BR462+BT462+BV462+BX462+CA462+CD462</f>
        <v/>
      </c>
    </row>
    <row r="463">
      <c r="A463" s="39" t="n">
        <v>9</v>
      </c>
      <c r="B463" s="39" t="n">
        <v>10</v>
      </c>
      <c r="C463" s="39">
        <f>A463+B463-1</f>
        <v/>
      </c>
      <c r="D463" s="39">
        <f>INT((C463-1)/12)+1</f>
        <v/>
      </c>
      <c r="E463" s="44">
        <f>INDEX(Monthly!$B$2:$B$61,A463)</f>
        <v/>
      </c>
      <c r="F463" s="44">
        <f>E463*INDEX('Age profile'!$B$2:$B$61,B463)</f>
        <v/>
      </c>
      <c r="G463" s="45">
        <f>MIN(in_takeup_cap,INDEX('Age profile'!$N$2:$N$61,B463)*(1+in_takeup_growth)^(D463-1))</f>
        <v/>
      </c>
      <c r="H463" s="11">
        <f>MIN(in_approval_cap,in_approved_first*INDEX('Age profile'!$O$2:$O$61,B463)*(1+in_approval_growth)^(D463-1))</f>
        <v/>
      </c>
      <c r="I463" s="45">
        <f>G463*MIN(in_takeup_cap,INDEX('Age profile'!$O$2:$O$61,B463)*(1+in_approval_growth)^(D463-1))</f>
        <v/>
      </c>
      <c r="J463" s="40">
        <f>(J462-L462)*F463/F462</f>
        <v/>
      </c>
      <c r="K463" s="40">
        <f>(K462-M462)*F463/F462+SUMIFS(O454:O462,B454:B462,B463-1-d_T)*F463</f>
        <v/>
      </c>
      <c r="L463" s="40">
        <f>IF(B463&gt;=in_marketplace_from,J463*d_hz*G463*in_eligible*H463,0)</f>
        <v/>
      </c>
      <c r="M463" s="40">
        <f>IF(B463&gt;=in_marketplace_from,K463*d_hz*G463*in_eligible*in_approved_repeat,0)</f>
        <v/>
      </c>
      <c r="N463" s="40">
        <f>L463+M463</f>
        <v/>
      </c>
      <c r="O463" s="46">
        <f>N463/F463</f>
        <v/>
      </c>
      <c r="P463" s="40">
        <f>F463-J463-K463</f>
        <v/>
      </c>
      <c r="Q463" s="40">
        <f>IF(B463&gt;=in_marketplace_from,(J463+K463)*d_hz*G463,0)</f>
        <v/>
      </c>
      <c r="R463" s="40">
        <f>SUMIFS(N454:N505,B454:B505,"&gt;="&amp;(B463-d_T),B454:B505,"&lt;="&amp;(B463-1))</f>
        <v/>
      </c>
      <c r="S463" s="46">
        <f>(1-d_u)*S462+IF(d_T&gt;in_topup_lag,SUMIFS(O454:O505,B454:B505,B463-in_topup_lag)-d_udrop*SUMIFS(O454:O505,B454:B505,B463-d_T),0)</f>
        <v/>
      </c>
      <c r="T463" s="40">
        <f>F463*d_u*S463</f>
        <v/>
      </c>
      <c r="U463" s="9">
        <f>L463*in_ticket+M463*d_rep_ticket</f>
        <v/>
      </c>
      <c r="V463" s="9">
        <f>U463+T463*d_topup_amt</f>
        <v/>
      </c>
      <c r="W463" s="40">
        <f>N463+T463*d_topup_ratio</f>
        <v/>
      </c>
      <c r="X463" s="40">
        <f>SUMIFS(W454:W505,B454:B505,B463-in_dpd_lag)*d_cured</f>
        <v/>
      </c>
      <c r="Y463" s="40">
        <f>SUMIFS(W454:W505,B454:B505,B463-in_rec_lag)*d_recd</f>
        <v/>
      </c>
      <c r="Z463" s="40">
        <f>IF(AND(B463&gt;=in_marketplace_from,B463&lt;in_marketplace_from+in_card_months),in_card_share/in_card_months*F463*I463,IF(AND(B463&gt;=in_marketplace_from+in_card_months,B463&lt;in_marketplace_from+2*in_card_months),in_card_share*d_card_rem/in_card_months*F463*MIN(in_takeup_cap,(1+in_takeup_growth)^(D463-1))*MIN(in_takeup_cap,(1+in_approval_growth)^(D463-1)),0))</f>
        <v/>
      </c>
      <c r="AA463" s="14">
        <f>V463*in_fee*(1-in_taken_back)</f>
        <v/>
      </c>
      <c r="AB463" s="14">
        <f>SUMIFS(W454:W505,B454:B505,B463-in_dpd_lag)*d_dpd</f>
        <v/>
      </c>
      <c r="AC463" s="14">
        <f>SUMIFS(W454:W505,B454:B505,B463-in_rec_lag)*d_rec</f>
        <v/>
      </c>
      <c r="AD463" s="14">
        <f>Z463*in_card_fee</f>
        <v/>
      </c>
      <c r="AE463" s="40">
        <f>AE462*(1-IF(B462&gt;=in_marketplace_from,d_hz_hlth_small*G462,0))</f>
        <v/>
      </c>
      <c r="AF463" s="46">
        <f>AE463*IF(B463&gt;=in_marketplace_from,d_hz_hlth_small*G463,0)</f>
        <v/>
      </c>
      <c r="AG463" s="14">
        <f>F463*AF463*in_hlth_small_ticket*in_hlth_small_comm*in_ins_partner_share+F463*in_hlth_small_ticket*in_hlth_small_renew_comm*in_ins_partner_share*(in_hlth_small_renew^1*SUMIFS(AF454:AF505,B454:B505,B463-12)+in_hlth_small_renew^2*SUMIFS(AF454:AF505,B454:B505,B463-24)+in_hlth_small_renew^3*SUMIFS(AF454:AF505,B454:B505,B463-36)+in_hlth_small_renew^4*SUMIFS(AF454:AF505,B454:B505,B463-48))</f>
        <v/>
      </c>
      <c r="AH463" s="40">
        <f>AH462*(1-IF(B462&gt;=in_marketplace_from,d_hz_hlth_family*G462,0))</f>
        <v/>
      </c>
      <c r="AI463" s="46">
        <f>AH463*IF(B463&gt;=in_marketplace_from,d_hz_hlth_family*G463,0)</f>
        <v/>
      </c>
      <c r="AJ463" s="14">
        <f>F463*AI463*in_hlth_family_ticket*in_hlth_family_comm*in_ins_partner_share+F463*in_hlth_family_ticket*in_hlth_family_renew_comm*in_ins_partner_share*(in_hlth_family_renew^1*SUMIFS(AI454:AI505,B454:B505,B463-12)+in_hlth_family_renew^2*SUMIFS(AI454:AI505,B454:B505,B463-24)+in_hlth_family_renew^3*SUMIFS(AI454:AI505,B454:B505,B463-36)+in_hlth_family_renew^4*SUMIFS(AI454:AI505,B454:B505,B463-48))</f>
        <v/>
      </c>
      <c r="AK463" s="40">
        <f>AK462*(1-IF(B462&gt;=in_marketplace_from,d_hz_life_term*G462,0))</f>
        <v/>
      </c>
      <c r="AL463" s="46">
        <f>AK463*IF(B463&gt;=in_marketplace_from,d_hz_life_term*G463,0)</f>
        <v/>
      </c>
      <c r="AM463" s="14">
        <f>F463*AL463*in_life_term_ticket*in_life_term_comm*in_ins_partner_share+F463*in_life_term_ticket*in_life_term_renew_comm*in_ins_partner_share*(in_life_term_renew^1*SUMIFS(AL454:AL505,B454:B505,B463-12)+in_life_term_renew^2*SUMIFS(AL454:AL505,B454:B505,B463-24)+in_life_term_renew^3*SUMIFS(AL454:AL505,B454:B505,B463-36)+in_life_term_renew^4*SUMIFS(AL454:AL505,B454:B505,B463-48))</f>
        <v/>
      </c>
      <c r="AN463" s="40">
        <f>AN462*(1-IF(B462&gt;=in_marketplace_from,d_hz_accident*G462,0))</f>
        <v/>
      </c>
      <c r="AO463" s="46">
        <f>AN463*IF(B463&gt;=in_marketplace_from,d_hz_accident*G463,0)</f>
        <v/>
      </c>
      <c r="AP463" s="14">
        <f>F463*AO463*in_accident_ticket*in_accident_comm*in_ins_partner_share+F463*in_accident_ticket*in_accident_renew_comm*in_ins_partner_share*(in_accident_renew^1*SUMIFS(AO454:AO505,B454:B505,B463-12)+in_accident_renew^2*SUMIFS(AO454:AO505,B454:B505,B463-24)+in_accident_renew^3*SUMIFS(AO454:AO505,B454:B505,B463-36)+in_accident_renew^4*SUMIFS(AO454:AO505,B454:B505,B463-48))</f>
        <v/>
      </c>
      <c r="AQ463" s="40">
        <f>AQ462*(1-IF(B462&gt;=in_marketplace_from,d_hz_two_wheeler*G462,0))</f>
        <v/>
      </c>
      <c r="AR463" s="46">
        <f>AQ463*IF(B463&gt;=in_marketplace_from,d_hz_two_wheeler*G463,0)</f>
        <v/>
      </c>
      <c r="AS463" s="14">
        <f>F463*AR463*in_two_wheeler_ticket*in_two_wheeler_comm*in_ins_partner_share+F463*in_two_wheeler_ticket*in_two_wheeler_comm*in_ins_partner_share*(in_two_wheeler_renew^1*SUMIFS(AR454:AR505,B454:B505,B463-12)+in_two_wheeler_renew^2*SUMIFS(AR454:AR505,B454:B505,B463-24)+in_two_wheeler_renew^3*SUMIFS(AR454:AR505,B454:B505,B463-36)+in_two_wheeler_renew^4*SUMIFS(AR454:AR505,B454:B505,B463-48))</f>
        <v/>
      </c>
      <c r="AT463" s="40">
        <f>AT462*(1-IF(B462&gt;=in_marketplace_from,d_hz_device*G462,0))</f>
        <v/>
      </c>
      <c r="AU463" s="14">
        <f>F463*AT463*IF(B463&gt;=in_marketplace_from,d_hz_device*G463,0)*in_device_ticket*in_device_comm*in_ins_partner_share</f>
        <v/>
      </c>
      <c r="AV463" s="40">
        <f>AV462*(1-IF(B462&gt;=in_marketplace_from,d_hz_shop*G462,0))</f>
        <v/>
      </c>
      <c r="AW463" s="46">
        <f>AV463*IF(B463&gt;=in_marketplace_from,d_hz_shop*G463,0)</f>
        <v/>
      </c>
      <c r="AX463" s="14">
        <f>F463*AW463*in_shop_ticket*in_shop_comm*in_ins_partner_share+F463*in_shop_ticket*in_shop_renew_comm*in_ins_partner_share*(in_shop_renew^1*SUMIFS(AW454:AW505,B454:B505,B463-12)+in_shop_renew^2*SUMIFS(AW454:AW505,B454:B505,B463-24)+in_shop_renew^3*SUMIFS(AW454:AW505,B454:B505,B463-36)+in_shop_renew^4*SUMIFS(AW454:AW505,B454:B505,B463-48))</f>
        <v/>
      </c>
      <c r="AY463" s="40">
        <f>AY462*(1-IF(B462&gt;=in_marketplace_from,d_hz_sip*G462,0))</f>
        <v/>
      </c>
      <c r="AZ463" s="40">
        <f>AZ462*d_rho_sip+AY463*IF(B463&gt;=in_marketplace_from,d_hz_sip*G463,0)</f>
        <v/>
      </c>
      <c r="BA463" s="40">
        <f>d_rho_sip*(BA462+AZ462)</f>
        <v/>
      </c>
      <c r="BB463" s="14">
        <f>F463*in_sip_ticket*(BA463+0.5*AZ463)*in_sip_comm/12</f>
        <v/>
      </c>
      <c r="BC463" s="40">
        <f>BC462*(1-IF(B462&gt;=in_marketplace_from,d_hz_choti*G462,0))</f>
        <v/>
      </c>
      <c r="BD463" s="46">
        <f>BC463*IF(B463&gt;=in_marketplace_from,d_hz_choti*G463,0)</f>
        <v/>
      </c>
      <c r="BE463" s="14">
        <f>F463*SUMIFS(BD454:BD505,B454:B505,B463-in_choti_months)*in_choti_renew*in_choti_ticket</f>
        <v/>
      </c>
      <c r="BF463" s="40">
        <f>BF462*(1-IF(B462&gt;=in_marketplace_from,d_hz_nps*G462,0))</f>
        <v/>
      </c>
      <c r="BG463" s="14">
        <f>F463*BF463*IF(B463&gt;=in_marketplace_from,d_hz_nps*G463,0)*in_nps_ticket*in_nps_comm</f>
        <v/>
      </c>
      <c r="BH463" s="40">
        <f>BH462*(1-IF(B462&gt;=in_marketplace_from,d_hz_gold*G462,0))</f>
        <v/>
      </c>
      <c r="BI463" s="40">
        <f>BI462*d_rho_gold+BH463*IF(B463&gt;=in_marketplace_from,d_hz_gold*G463,0)</f>
        <v/>
      </c>
      <c r="BJ463" s="14">
        <f>F463*BI463*in_gold_ticket*in_gold_comm</f>
        <v/>
      </c>
      <c r="BK463" s="40">
        <f>BK462*(1-IF(B462&gt;=in_marketplace_from,d_hz_fd*G462,0))</f>
        <v/>
      </c>
      <c r="BL463" s="14">
        <f>F463*BK463*IF(B463&gt;=in_marketplace_from,d_hz_fd*G463,0)*in_fd_ticket*in_fd_comm</f>
        <v/>
      </c>
      <c r="BM463" s="40">
        <f>BM462*(1-IF(B462&gt;=in_marketplace_from,d_hz_recharge*G462,0))</f>
        <v/>
      </c>
      <c r="BN463" s="40">
        <f>BN462*d_rho_recharge+BM463*IF(B463&gt;=in_marketplace_from,d_hz_recharge*G463,0)</f>
        <v/>
      </c>
      <c r="BO463" s="14">
        <f>F463*BN463*in_recharge_ticket*in_recharge_comm/12</f>
        <v/>
      </c>
      <c r="BP463" s="40">
        <f>BP462*(1-IF(B462&gt;=in_marketplace_from,d_hz_bills*G462,0))</f>
        <v/>
      </c>
      <c r="BQ463" s="40">
        <f>BQ462*d_rho_bills+BP463*IF(B463&gt;=in_marketplace_from,d_hz_bills*G463,0)</f>
        <v/>
      </c>
      <c r="BR463" s="14">
        <f>F463*BQ463*in_bills_ticket*in_bills_comm/12</f>
        <v/>
      </c>
      <c r="BS463" s="40">
        <f>BS462*(1-IF(B462&gt;=in_marketplace_from,d_hz_loan_gold*G462,0))</f>
        <v/>
      </c>
      <c r="BT463" s="14">
        <f>F463*BS463*IF(B463&gt;=in_marketplace_from,d_hz_loan_gold*G463,0)*in_loan_gold_ticket*in_loan_gold_comm</f>
        <v/>
      </c>
      <c r="BU463" s="40">
        <f>BU462*(1-IF(B462&gt;=in_marketplace_from,d_hz_loan_cd*G462,0))</f>
        <v/>
      </c>
      <c r="BV463" s="14">
        <f>F463*BU463*IF(B463&gt;=in_marketplace_from,d_hz_loan_cd*G463,0)*in_loan_cd_ticket*in_loan_cd_comm</f>
        <v/>
      </c>
      <c r="BW463" s="40">
        <f>BW462*(1-IF(B462&gt;=in_marketplace_from,d_hz_loan_vehicle*G462,0))</f>
        <v/>
      </c>
      <c r="BX463" s="14">
        <f>F463*BW463*IF(B463&gt;=in_marketplace_from,d_hz_loan_vehicle*G463,0)*in_loan_vehicle_ticket*in_loan_vehicle_comm</f>
        <v/>
      </c>
      <c r="BY463" s="40">
        <f>BY462*(1-IF(B462&gt;=in_marketplace_from,d_hz_loan_home*G462,0)*BZ462)</f>
        <v/>
      </c>
      <c r="BZ463" s="11">
        <f>MIN(in_approval_cap,in_loan_home_approval*INDEX('Age profile'!$O$2:$O$61,B463)*(1+in_approval_growth)^(D463-1))</f>
        <v/>
      </c>
      <c r="CA463" s="14">
        <f>F463*BY463*IF(B463&gt;=in_marketplace_from,d_hz_loan_home*G463,0)*BZ463*in_loan_home_ticket*in_loan_home_comm</f>
        <v/>
      </c>
      <c r="CB463" s="40">
        <f>CB462*(1-IF(B462&gt;=in_marketplace_from,d_hz_loan_lap*G462,0)*CC462)</f>
        <v/>
      </c>
      <c r="CC463" s="11">
        <f>MIN(in_approval_cap,in_loan_lap_approval*INDEX('Age profile'!$O$2:$O$61,B463)*(1+in_approval_growth)^(D463-1))</f>
        <v/>
      </c>
      <c r="CD463" s="14">
        <f>F463*CB463*IF(B463&gt;=in_marketplace_from,d_hz_loan_lap*G463,0)*CC463*in_loan_lap_ticket*in_loan_lap_comm</f>
        <v/>
      </c>
      <c r="CE463" s="14">
        <f>AA463+AB463+AC463+AD463+AG463+AJ463+AM463+AP463+AS463+AU463+AX463+BB463+BE463+BG463+BJ463+BL463+BO463+BR463+BT463+BV463+BX463+CA463+CD463</f>
        <v/>
      </c>
    </row>
    <row r="464">
      <c r="A464" s="39" t="n">
        <v>9</v>
      </c>
      <c r="B464" s="39" t="n">
        <v>11</v>
      </c>
      <c r="C464" s="39">
        <f>A464+B464-1</f>
        <v/>
      </c>
      <c r="D464" s="39">
        <f>INT((C464-1)/12)+1</f>
        <v/>
      </c>
      <c r="E464" s="44">
        <f>INDEX(Monthly!$B$2:$B$61,A464)</f>
        <v/>
      </c>
      <c r="F464" s="44">
        <f>E464*INDEX('Age profile'!$B$2:$B$61,B464)</f>
        <v/>
      </c>
      <c r="G464" s="45">
        <f>MIN(in_takeup_cap,INDEX('Age profile'!$N$2:$N$61,B464)*(1+in_takeup_growth)^(D464-1))</f>
        <v/>
      </c>
      <c r="H464" s="11">
        <f>MIN(in_approval_cap,in_approved_first*INDEX('Age profile'!$O$2:$O$61,B464)*(1+in_approval_growth)^(D464-1))</f>
        <v/>
      </c>
      <c r="I464" s="45">
        <f>G464*MIN(in_takeup_cap,INDEX('Age profile'!$O$2:$O$61,B464)*(1+in_approval_growth)^(D464-1))</f>
        <v/>
      </c>
      <c r="J464" s="40">
        <f>(J463-L463)*F464/F463</f>
        <v/>
      </c>
      <c r="K464" s="40">
        <f>(K463-M463)*F464/F463+SUMIFS(O454:O463,B454:B463,B464-1-d_T)*F464</f>
        <v/>
      </c>
      <c r="L464" s="40">
        <f>IF(B464&gt;=in_marketplace_from,J464*d_hz*G464*in_eligible*H464,0)</f>
        <v/>
      </c>
      <c r="M464" s="40">
        <f>IF(B464&gt;=in_marketplace_from,K464*d_hz*G464*in_eligible*in_approved_repeat,0)</f>
        <v/>
      </c>
      <c r="N464" s="40">
        <f>L464+M464</f>
        <v/>
      </c>
      <c r="O464" s="46">
        <f>N464/F464</f>
        <v/>
      </c>
      <c r="P464" s="40">
        <f>F464-J464-K464</f>
        <v/>
      </c>
      <c r="Q464" s="40">
        <f>IF(B464&gt;=in_marketplace_from,(J464+K464)*d_hz*G464,0)</f>
        <v/>
      </c>
      <c r="R464" s="40">
        <f>SUMIFS(N454:N505,B454:B505,"&gt;="&amp;(B464-d_T),B454:B505,"&lt;="&amp;(B464-1))</f>
        <v/>
      </c>
      <c r="S464" s="46">
        <f>(1-d_u)*S463+IF(d_T&gt;in_topup_lag,SUMIFS(O454:O505,B454:B505,B464-in_topup_lag)-d_udrop*SUMIFS(O454:O505,B454:B505,B464-d_T),0)</f>
        <v/>
      </c>
      <c r="T464" s="40">
        <f>F464*d_u*S464</f>
        <v/>
      </c>
      <c r="U464" s="9">
        <f>L464*in_ticket+M464*d_rep_ticket</f>
        <v/>
      </c>
      <c r="V464" s="9">
        <f>U464+T464*d_topup_amt</f>
        <v/>
      </c>
      <c r="W464" s="40">
        <f>N464+T464*d_topup_ratio</f>
        <v/>
      </c>
      <c r="X464" s="40">
        <f>SUMIFS(W454:W505,B454:B505,B464-in_dpd_lag)*d_cured</f>
        <v/>
      </c>
      <c r="Y464" s="40">
        <f>SUMIFS(W454:W505,B454:B505,B464-in_rec_lag)*d_recd</f>
        <v/>
      </c>
      <c r="Z464" s="40">
        <f>IF(AND(B464&gt;=in_marketplace_from,B464&lt;in_marketplace_from+in_card_months),in_card_share/in_card_months*F464*I464,IF(AND(B464&gt;=in_marketplace_from+in_card_months,B464&lt;in_marketplace_from+2*in_card_months),in_card_share*d_card_rem/in_card_months*F464*MIN(in_takeup_cap,(1+in_takeup_growth)^(D464-1))*MIN(in_takeup_cap,(1+in_approval_growth)^(D464-1)),0))</f>
        <v/>
      </c>
      <c r="AA464" s="14">
        <f>V464*in_fee*(1-in_taken_back)</f>
        <v/>
      </c>
      <c r="AB464" s="14">
        <f>SUMIFS(W454:W505,B454:B505,B464-in_dpd_lag)*d_dpd</f>
        <v/>
      </c>
      <c r="AC464" s="14">
        <f>SUMIFS(W454:W505,B454:B505,B464-in_rec_lag)*d_rec</f>
        <v/>
      </c>
      <c r="AD464" s="14">
        <f>Z464*in_card_fee</f>
        <v/>
      </c>
      <c r="AE464" s="40">
        <f>AE463*(1-IF(B463&gt;=in_marketplace_from,d_hz_hlth_small*G463,0))</f>
        <v/>
      </c>
      <c r="AF464" s="46">
        <f>AE464*IF(B464&gt;=in_marketplace_from,d_hz_hlth_small*G464,0)</f>
        <v/>
      </c>
      <c r="AG464" s="14">
        <f>F464*AF464*in_hlth_small_ticket*in_hlth_small_comm*in_ins_partner_share+F464*in_hlth_small_ticket*in_hlth_small_renew_comm*in_ins_partner_share*(in_hlth_small_renew^1*SUMIFS(AF454:AF505,B454:B505,B464-12)+in_hlth_small_renew^2*SUMIFS(AF454:AF505,B454:B505,B464-24)+in_hlth_small_renew^3*SUMIFS(AF454:AF505,B454:B505,B464-36)+in_hlth_small_renew^4*SUMIFS(AF454:AF505,B454:B505,B464-48))</f>
        <v/>
      </c>
      <c r="AH464" s="40">
        <f>AH463*(1-IF(B463&gt;=in_marketplace_from,d_hz_hlth_family*G463,0))</f>
        <v/>
      </c>
      <c r="AI464" s="46">
        <f>AH464*IF(B464&gt;=in_marketplace_from,d_hz_hlth_family*G464,0)</f>
        <v/>
      </c>
      <c r="AJ464" s="14">
        <f>F464*AI464*in_hlth_family_ticket*in_hlth_family_comm*in_ins_partner_share+F464*in_hlth_family_ticket*in_hlth_family_renew_comm*in_ins_partner_share*(in_hlth_family_renew^1*SUMIFS(AI454:AI505,B454:B505,B464-12)+in_hlth_family_renew^2*SUMIFS(AI454:AI505,B454:B505,B464-24)+in_hlth_family_renew^3*SUMIFS(AI454:AI505,B454:B505,B464-36)+in_hlth_family_renew^4*SUMIFS(AI454:AI505,B454:B505,B464-48))</f>
        <v/>
      </c>
      <c r="AK464" s="40">
        <f>AK463*(1-IF(B463&gt;=in_marketplace_from,d_hz_life_term*G463,0))</f>
        <v/>
      </c>
      <c r="AL464" s="46">
        <f>AK464*IF(B464&gt;=in_marketplace_from,d_hz_life_term*G464,0)</f>
        <v/>
      </c>
      <c r="AM464" s="14">
        <f>F464*AL464*in_life_term_ticket*in_life_term_comm*in_ins_partner_share+F464*in_life_term_ticket*in_life_term_renew_comm*in_ins_partner_share*(in_life_term_renew^1*SUMIFS(AL454:AL505,B454:B505,B464-12)+in_life_term_renew^2*SUMIFS(AL454:AL505,B454:B505,B464-24)+in_life_term_renew^3*SUMIFS(AL454:AL505,B454:B505,B464-36)+in_life_term_renew^4*SUMIFS(AL454:AL505,B454:B505,B464-48))</f>
        <v/>
      </c>
      <c r="AN464" s="40">
        <f>AN463*(1-IF(B463&gt;=in_marketplace_from,d_hz_accident*G463,0))</f>
        <v/>
      </c>
      <c r="AO464" s="46">
        <f>AN464*IF(B464&gt;=in_marketplace_from,d_hz_accident*G464,0)</f>
        <v/>
      </c>
      <c r="AP464" s="14">
        <f>F464*AO464*in_accident_ticket*in_accident_comm*in_ins_partner_share+F464*in_accident_ticket*in_accident_renew_comm*in_ins_partner_share*(in_accident_renew^1*SUMIFS(AO454:AO505,B454:B505,B464-12)+in_accident_renew^2*SUMIFS(AO454:AO505,B454:B505,B464-24)+in_accident_renew^3*SUMIFS(AO454:AO505,B454:B505,B464-36)+in_accident_renew^4*SUMIFS(AO454:AO505,B454:B505,B464-48))</f>
        <v/>
      </c>
      <c r="AQ464" s="40">
        <f>AQ463*(1-IF(B463&gt;=in_marketplace_from,d_hz_two_wheeler*G463,0))</f>
        <v/>
      </c>
      <c r="AR464" s="46">
        <f>AQ464*IF(B464&gt;=in_marketplace_from,d_hz_two_wheeler*G464,0)</f>
        <v/>
      </c>
      <c r="AS464" s="14">
        <f>F464*AR464*in_two_wheeler_ticket*in_two_wheeler_comm*in_ins_partner_share+F464*in_two_wheeler_ticket*in_two_wheeler_comm*in_ins_partner_share*(in_two_wheeler_renew^1*SUMIFS(AR454:AR505,B454:B505,B464-12)+in_two_wheeler_renew^2*SUMIFS(AR454:AR505,B454:B505,B464-24)+in_two_wheeler_renew^3*SUMIFS(AR454:AR505,B454:B505,B464-36)+in_two_wheeler_renew^4*SUMIFS(AR454:AR505,B454:B505,B464-48))</f>
        <v/>
      </c>
      <c r="AT464" s="40">
        <f>AT463*(1-IF(B463&gt;=in_marketplace_from,d_hz_device*G463,0))</f>
        <v/>
      </c>
      <c r="AU464" s="14">
        <f>F464*AT464*IF(B464&gt;=in_marketplace_from,d_hz_device*G464,0)*in_device_ticket*in_device_comm*in_ins_partner_share</f>
        <v/>
      </c>
      <c r="AV464" s="40">
        <f>AV463*(1-IF(B463&gt;=in_marketplace_from,d_hz_shop*G463,0))</f>
        <v/>
      </c>
      <c r="AW464" s="46">
        <f>AV464*IF(B464&gt;=in_marketplace_from,d_hz_shop*G464,0)</f>
        <v/>
      </c>
      <c r="AX464" s="14">
        <f>F464*AW464*in_shop_ticket*in_shop_comm*in_ins_partner_share+F464*in_shop_ticket*in_shop_renew_comm*in_ins_partner_share*(in_shop_renew^1*SUMIFS(AW454:AW505,B454:B505,B464-12)+in_shop_renew^2*SUMIFS(AW454:AW505,B454:B505,B464-24)+in_shop_renew^3*SUMIFS(AW454:AW505,B454:B505,B464-36)+in_shop_renew^4*SUMIFS(AW454:AW505,B454:B505,B464-48))</f>
        <v/>
      </c>
      <c r="AY464" s="40">
        <f>AY463*(1-IF(B463&gt;=in_marketplace_from,d_hz_sip*G463,0))</f>
        <v/>
      </c>
      <c r="AZ464" s="40">
        <f>AZ463*d_rho_sip+AY464*IF(B464&gt;=in_marketplace_from,d_hz_sip*G464,0)</f>
        <v/>
      </c>
      <c r="BA464" s="40">
        <f>d_rho_sip*(BA463+AZ463)</f>
        <v/>
      </c>
      <c r="BB464" s="14">
        <f>F464*in_sip_ticket*(BA464+0.5*AZ464)*in_sip_comm/12</f>
        <v/>
      </c>
      <c r="BC464" s="40">
        <f>BC463*(1-IF(B463&gt;=in_marketplace_from,d_hz_choti*G463,0))</f>
        <v/>
      </c>
      <c r="BD464" s="46">
        <f>BC464*IF(B464&gt;=in_marketplace_from,d_hz_choti*G464,0)</f>
        <v/>
      </c>
      <c r="BE464" s="14">
        <f>F464*SUMIFS(BD454:BD505,B454:B505,B464-in_choti_months)*in_choti_renew*in_choti_ticket</f>
        <v/>
      </c>
      <c r="BF464" s="40">
        <f>BF463*(1-IF(B463&gt;=in_marketplace_from,d_hz_nps*G463,0))</f>
        <v/>
      </c>
      <c r="BG464" s="14">
        <f>F464*BF464*IF(B464&gt;=in_marketplace_from,d_hz_nps*G464,0)*in_nps_ticket*in_nps_comm</f>
        <v/>
      </c>
      <c r="BH464" s="40">
        <f>BH463*(1-IF(B463&gt;=in_marketplace_from,d_hz_gold*G463,0))</f>
        <v/>
      </c>
      <c r="BI464" s="40">
        <f>BI463*d_rho_gold+BH464*IF(B464&gt;=in_marketplace_from,d_hz_gold*G464,0)</f>
        <v/>
      </c>
      <c r="BJ464" s="14">
        <f>F464*BI464*in_gold_ticket*in_gold_comm</f>
        <v/>
      </c>
      <c r="BK464" s="40">
        <f>BK463*(1-IF(B463&gt;=in_marketplace_from,d_hz_fd*G463,0))</f>
        <v/>
      </c>
      <c r="BL464" s="14">
        <f>F464*BK464*IF(B464&gt;=in_marketplace_from,d_hz_fd*G464,0)*in_fd_ticket*in_fd_comm</f>
        <v/>
      </c>
      <c r="BM464" s="40">
        <f>BM463*(1-IF(B463&gt;=in_marketplace_from,d_hz_recharge*G463,0))</f>
        <v/>
      </c>
      <c r="BN464" s="40">
        <f>BN463*d_rho_recharge+BM464*IF(B464&gt;=in_marketplace_from,d_hz_recharge*G464,0)</f>
        <v/>
      </c>
      <c r="BO464" s="14">
        <f>F464*BN464*in_recharge_ticket*in_recharge_comm/12</f>
        <v/>
      </c>
      <c r="BP464" s="40">
        <f>BP463*(1-IF(B463&gt;=in_marketplace_from,d_hz_bills*G463,0))</f>
        <v/>
      </c>
      <c r="BQ464" s="40">
        <f>BQ463*d_rho_bills+BP464*IF(B464&gt;=in_marketplace_from,d_hz_bills*G464,0)</f>
        <v/>
      </c>
      <c r="BR464" s="14">
        <f>F464*BQ464*in_bills_ticket*in_bills_comm/12</f>
        <v/>
      </c>
      <c r="BS464" s="40">
        <f>BS463*(1-IF(B463&gt;=in_marketplace_from,d_hz_loan_gold*G463,0))</f>
        <v/>
      </c>
      <c r="BT464" s="14">
        <f>F464*BS464*IF(B464&gt;=in_marketplace_from,d_hz_loan_gold*G464,0)*in_loan_gold_ticket*in_loan_gold_comm</f>
        <v/>
      </c>
      <c r="BU464" s="40">
        <f>BU463*(1-IF(B463&gt;=in_marketplace_from,d_hz_loan_cd*G463,0))</f>
        <v/>
      </c>
      <c r="BV464" s="14">
        <f>F464*BU464*IF(B464&gt;=in_marketplace_from,d_hz_loan_cd*G464,0)*in_loan_cd_ticket*in_loan_cd_comm</f>
        <v/>
      </c>
      <c r="BW464" s="40">
        <f>BW463*(1-IF(B463&gt;=in_marketplace_from,d_hz_loan_vehicle*G463,0))</f>
        <v/>
      </c>
      <c r="BX464" s="14">
        <f>F464*BW464*IF(B464&gt;=in_marketplace_from,d_hz_loan_vehicle*G464,0)*in_loan_vehicle_ticket*in_loan_vehicle_comm</f>
        <v/>
      </c>
      <c r="BY464" s="40">
        <f>BY463*(1-IF(B463&gt;=in_marketplace_from,d_hz_loan_home*G463,0)*BZ463)</f>
        <v/>
      </c>
      <c r="BZ464" s="11">
        <f>MIN(in_approval_cap,in_loan_home_approval*INDEX('Age profile'!$O$2:$O$61,B464)*(1+in_approval_growth)^(D464-1))</f>
        <v/>
      </c>
      <c r="CA464" s="14">
        <f>F464*BY464*IF(B464&gt;=in_marketplace_from,d_hz_loan_home*G464,0)*BZ464*in_loan_home_ticket*in_loan_home_comm</f>
        <v/>
      </c>
      <c r="CB464" s="40">
        <f>CB463*(1-IF(B463&gt;=in_marketplace_from,d_hz_loan_lap*G463,0)*CC463)</f>
        <v/>
      </c>
      <c r="CC464" s="11">
        <f>MIN(in_approval_cap,in_loan_lap_approval*INDEX('Age profile'!$O$2:$O$61,B464)*(1+in_approval_growth)^(D464-1))</f>
        <v/>
      </c>
      <c r="CD464" s="14">
        <f>F464*CB464*IF(B464&gt;=in_marketplace_from,d_hz_loan_lap*G464,0)*CC464*in_loan_lap_ticket*in_loan_lap_comm</f>
        <v/>
      </c>
      <c r="CE464" s="14">
        <f>AA464+AB464+AC464+AD464+AG464+AJ464+AM464+AP464+AS464+AU464+AX464+BB464+BE464+BG464+BJ464+BL464+BO464+BR464+BT464+BV464+BX464+CA464+CD464</f>
        <v/>
      </c>
    </row>
    <row r="465">
      <c r="A465" s="39" t="n">
        <v>9</v>
      </c>
      <c r="B465" s="39" t="n">
        <v>12</v>
      </c>
      <c r="C465" s="39">
        <f>A465+B465-1</f>
        <v/>
      </c>
      <c r="D465" s="39">
        <f>INT((C465-1)/12)+1</f>
        <v/>
      </c>
      <c r="E465" s="44">
        <f>INDEX(Monthly!$B$2:$B$61,A465)</f>
        <v/>
      </c>
      <c r="F465" s="44">
        <f>E465*INDEX('Age profile'!$B$2:$B$61,B465)</f>
        <v/>
      </c>
      <c r="G465" s="45">
        <f>MIN(in_takeup_cap,INDEX('Age profile'!$N$2:$N$61,B465)*(1+in_takeup_growth)^(D465-1))</f>
        <v/>
      </c>
      <c r="H465" s="11">
        <f>MIN(in_approval_cap,in_approved_first*INDEX('Age profile'!$O$2:$O$61,B465)*(1+in_approval_growth)^(D465-1))</f>
        <v/>
      </c>
      <c r="I465" s="45">
        <f>G465*MIN(in_takeup_cap,INDEX('Age profile'!$O$2:$O$61,B465)*(1+in_approval_growth)^(D465-1))</f>
        <v/>
      </c>
      <c r="J465" s="40">
        <f>(J464-L464)*F465/F464</f>
        <v/>
      </c>
      <c r="K465" s="40">
        <f>(K464-M464)*F465/F464+SUMIFS(O454:O464,B454:B464,B465-1-d_T)*F465</f>
        <v/>
      </c>
      <c r="L465" s="40">
        <f>IF(B465&gt;=in_marketplace_from,J465*d_hz*G465*in_eligible*H465,0)</f>
        <v/>
      </c>
      <c r="M465" s="40">
        <f>IF(B465&gt;=in_marketplace_from,K465*d_hz*G465*in_eligible*in_approved_repeat,0)</f>
        <v/>
      </c>
      <c r="N465" s="40">
        <f>L465+M465</f>
        <v/>
      </c>
      <c r="O465" s="46">
        <f>N465/F465</f>
        <v/>
      </c>
      <c r="P465" s="40">
        <f>F465-J465-K465</f>
        <v/>
      </c>
      <c r="Q465" s="40">
        <f>IF(B465&gt;=in_marketplace_from,(J465+K465)*d_hz*G465,0)</f>
        <v/>
      </c>
      <c r="R465" s="40">
        <f>SUMIFS(N454:N505,B454:B505,"&gt;="&amp;(B465-d_T),B454:B505,"&lt;="&amp;(B465-1))</f>
        <v/>
      </c>
      <c r="S465" s="46">
        <f>(1-d_u)*S464+IF(d_T&gt;in_topup_lag,SUMIFS(O454:O505,B454:B505,B465-in_topup_lag)-d_udrop*SUMIFS(O454:O505,B454:B505,B465-d_T),0)</f>
        <v/>
      </c>
      <c r="T465" s="40">
        <f>F465*d_u*S465</f>
        <v/>
      </c>
      <c r="U465" s="9">
        <f>L465*in_ticket+M465*d_rep_ticket</f>
        <v/>
      </c>
      <c r="V465" s="9">
        <f>U465+T465*d_topup_amt</f>
        <v/>
      </c>
      <c r="W465" s="40">
        <f>N465+T465*d_topup_ratio</f>
        <v/>
      </c>
      <c r="X465" s="40">
        <f>SUMIFS(W454:W505,B454:B505,B465-in_dpd_lag)*d_cured</f>
        <v/>
      </c>
      <c r="Y465" s="40">
        <f>SUMIFS(W454:W505,B454:B505,B465-in_rec_lag)*d_recd</f>
        <v/>
      </c>
      <c r="Z465" s="40">
        <f>IF(AND(B465&gt;=in_marketplace_from,B465&lt;in_marketplace_from+in_card_months),in_card_share/in_card_months*F465*I465,IF(AND(B465&gt;=in_marketplace_from+in_card_months,B465&lt;in_marketplace_from+2*in_card_months),in_card_share*d_card_rem/in_card_months*F465*MIN(in_takeup_cap,(1+in_takeup_growth)^(D465-1))*MIN(in_takeup_cap,(1+in_approval_growth)^(D465-1)),0))</f>
        <v/>
      </c>
      <c r="AA465" s="14">
        <f>V465*in_fee*(1-in_taken_back)</f>
        <v/>
      </c>
      <c r="AB465" s="14">
        <f>SUMIFS(W454:W505,B454:B505,B465-in_dpd_lag)*d_dpd</f>
        <v/>
      </c>
      <c r="AC465" s="14">
        <f>SUMIFS(W454:W505,B454:B505,B465-in_rec_lag)*d_rec</f>
        <v/>
      </c>
      <c r="AD465" s="14">
        <f>Z465*in_card_fee</f>
        <v/>
      </c>
      <c r="AE465" s="40">
        <f>AE464*(1-IF(B464&gt;=in_marketplace_from,d_hz_hlth_small*G464,0))</f>
        <v/>
      </c>
      <c r="AF465" s="46">
        <f>AE465*IF(B465&gt;=in_marketplace_from,d_hz_hlth_small*G465,0)</f>
        <v/>
      </c>
      <c r="AG465" s="14">
        <f>F465*AF465*in_hlth_small_ticket*in_hlth_small_comm*in_ins_partner_share+F465*in_hlth_small_ticket*in_hlth_small_renew_comm*in_ins_partner_share*(in_hlth_small_renew^1*SUMIFS(AF454:AF505,B454:B505,B465-12)+in_hlth_small_renew^2*SUMIFS(AF454:AF505,B454:B505,B465-24)+in_hlth_small_renew^3*SUMIFS(AF454:AF505,B454:B505,B465-36)+in_hlth_small_renew^4*SUMIFS(AF454:AF505,B454:B505,B465-48))</f>
        <v/>
      </c>
      <c r="AH465" s="40">
        <f>AH464*(1-IF(B464&gt;=in_marketplace_from,d_hz_hlth_family*G464,0))</f>
        <v/>
      </c>
      <c r="AI465" s="46">
        <f>AH465*IF(B465&gt;=in_marketplace_from,d_hz_hlth_family*G465,0)</f>
        <v/>
      </c>
      <c r="AJ465" s="14">
        <f>F465*AI465*in_hlth_family_ticket*in_hlth_family_comm*in_ins_partner_share+F465*in_hlth_family_ticket*in_hlth_family_renew_comm*in_ins_partner_share*(in_hlth_family_renew^1*SUMIFS(AI454:AI505,B454:B505,B465-12)+in_hlth_family_renew^2*SUMIFS(AI454:AI505,B454:B505,B465-24)+in_hlth_family_renew^3*SUMIFS(AI454:AI505,B454:B505,B465-36)+in_hlth_family_renew^4*SUMIFS(AI454:AI505,B454:B505,B465-48))</f>
        <v/>
      </c>
      <c r="AK465" s="40">
        <f>AK464*(1-IF(B464&gt;=in_marketplace_from,d_hz_life_term*G464,0))</f>
        <v/>
      </c>
      <c r="AL465" s="46">
        <f>AK465*IF(B465&gt;=in_marketplace_from,d_hz_life_term*G465,0)</f>
        <v/>
      </c>
      <c r="AM465" s="14">
        <f>F465*AL465*in_life_term_ticket*in_life_term_comm*in_ins_partner_share+F465*in_life_term_ticket*in_life_term_renew_comm*in_ins_partner_share*(in_life_term_renew^1*SUMIFS(AL454:AL505,B454:B505,B465-12)+in_life_term_renew^2*SUMIFS(AL454:AL505,B454:B505,B465-24)+in_life_term_renew^3*SUMIFS(AL454:AL505,B454:B505,B465-36)+in_life_term_renew^4*SUMIFS(AL454:AL505,B454:B505,B465-48))</f>
        <v/>
      </c>
      <c r="AN465" s="40">
        <f>AN464*(1-IF(B464&gt;=in_marketplace_from,d_hz_accident*G464,0))</f>
        <v/>
      </c>
      <c r="AO465" s="46">
        <f>AN465*IF(B465&gt;=in_marketplace_from,d_hz_accident*G465,0)</f>
        <v/>
      </c>
      <c r="AP465" s="14">
        <f>F465*AO465*in_accident_ticket*in_accident_comm*in_ins_partner_share+F465*in_accident_ticket*in_accident_renew_comm*in_ins_partner_share*(in_accident_renew^1*SUMIFS(AO454:AO505,B454:B505,B465-12)+in_accident_renew^2*SUMIFS(AO454:AO505,B454:B505,B465-24)+in_accident_renew^3*SUMIFS(AO454:AO505,B454:B505,B465-36)+in_accident_renew^4*SUMIFS(AO454:AO505,B454:B505,B465-48))</f>
        <v/>
      </c>
      <c r="AQ465" s="40">
        <f>AQ464*(1-IF(B464&gt;=in_marketplace_from,d_hz_two_wheeler*G464,0))</f>
        <v/>
      </c>
      <c r="AR465" s="46">
        <f>AQ465*IF(B465&gt;=in_marketplace_from,d_hz_two_wheeler*G465,0)</f>
        <v/>
      </c>
      <c r="AS465" s="14">
        <f>F465*AR465*in_two_wheeler_ticket*in_two_wheeler_comm*in_ins_partner_share+F465*in_two_wheeler_ticket*in_two_wheeler_comm*in_ins_partner_share*(in_two_wheeler_renew^1*SUMIFS(AR454:AR505,B454:B505,B465-12)+in_two_wheeler_renew^2*SUMIFS(AR454:AR505,B454:B505,B465-24)+in_two_wheeler_renew^3*SUMIFS(AR454:AR505,B454:B505,B465-36)+in_two_wheeler_renew^4*SUMIFS(AR454:AR505,B454:B505,B465-48))</f>
        <v/>
      </c>
      <c r="AT465" s="40">
        <f>AT464*(1-IF(B464&gt;=in_marketplace_from,d_hz_device*G464,0))</f>
        <v/>
      </c>
      <c r="AU465" s="14">
        <f>F465*AT465*IF(B465&gt;=in_marketplace_from,d_hz_device*G465,0)*in_device_ticket*in_device_comm*in_ins_partner_share</f>
        <v/>
      </c>
      <c r="AV465" s="40">
        <f>AV464*(1-IF(B464&gt;=in_marketplace_from,d_hz_shop*G464,0))</f>
        <v/>
      </c>
      <c r="AW465" s="46">
        <f>AV465*IF(B465&gt;=in_marketplace_from,d_hz_shop*G465,0)</f>
        <v/>
      </c>
      <c r="AX465" s="14">
        <f>F465*AW465*in_shop_ticket*in_shop_comm*in_ins_partner_share+F465*in_shop_ticket*in_shop_renew_comm*in_ins_partner_share*(in_shop_renew^1*SUMIFS(AW454:AW505,B454:B505,B465-12)+in_shop_renew^2*SUMIFS(AW454:AW505,B454:B505,B465-24)+in_shop_renew^3*SUMIFS(AW454:AW505,B454:B505,B465-36)+in_shop_renew^4*SUMIFS(AW454:AW505,B454:B505,B465-48))</f>
        <v/>
      </c>
      <c r="AY465" s="40">
        <f>AY464*(1-IF(B464&gt;=in_marketplace_from,d_hz_sip*G464,0))</f>
        <v/>
      </c>
      <c r="AZ465" s="40">
        <f>AZ464*d_rho_sip+AY465*IF(B465&gt;=in_marketplace_from,d_hz_sip*G465,0)</f>
        <v/>
      </c>
      <c r="BA465" s="40">
        <f>d_rho_sip*(BA464+AZ464)</f>
        <v/>
      </c>
      <c r="BB465" s="14">
        <f>F465*in_sip_ticket*(BA465+0.5*AZ465)*in_sip_comm/12</f>
        <v/>
      </c>
      <c r="BC465" s="40">
        <f>BC464*(1-IF(B464&gt;=in_marketplace_from,d_hz_choti*G464,0))</f>
        <v/>
      </c>
      <c r="BD465" s="46">
        <f>BC465*IF(B465&gt;=in_marketplace_from,d_hz_choti*G465,0)</f>
        <v/>
      </c>
      <c r="BE465" s="14">
        <f>F465*SUMIFS(BD454:BD505,B454:B505,B465-in_choti_months)*in_choti_renew*in_choti_ticket</f>
        <v/>
      </c>
      <c r="BF465" s="40">
        <f>BF464*(1-IF(B464&gt;=in_marketplace_from,d_hz_nps*G464,0))</f>
        <v/>
      </c>
      <c r="BG465" s="14">
        <f>F465*BF465*IF(B465&gt;=in_marketplace_from,d_hz_nps*G465,0)*in_nps_ticket*in_nps_comm</f>
        <v/>
      </c>
      <c r="BH465" s="40">
        <f>BH464*(1-IF(B464&gt;=in_marketplace_from,d_hz_gold*G464,0))</f>
        <v/>
      </c>
      <c r="BI465" s="40">
        <f>BI464*d_rho_gold+BH465*IF(B465&gt;=in_marketplace_from,d_hz_gold*G465,0)</f>
        <v/>
      </c>
      <c r="BJ465" s="14">
        <f>F465*BI465*in_gold_ticket*in_gold_comm</f>
        <v/>
      </c>
      <c r="BK465" s="40">
        <f>BK464*(1-IF(B464&gt;=in_marketplace_from,d_hz_fd*G464,0))</f>
        <v/>
      </c>
      <c r="BL465" s="14">
        <f>F465*BK465*IF(B465&gt;=in_marketplace_from,d_hz_fd*G465,0)*in_fd_ticket*in_fd_comm</f>
        <v/>
      </c>
      <c r="BM465" s="40">
        <f>BM464*(1-IF(B464&gt;=in_marketplace_from,d_hz_recharge*G464,0))</f>
        <v/>
      </c>
      <c r="BN465" s="40">
        <f>BN464*d_rho_recharge+BM465*IF(B465&gt;=in_marketplace_from,d_hz_recharge*G465,0)</f>
        <v/>
      </c>
      <c r="BO465" s="14">
        <f>F465*BN465*in_recharge_ticket*in_recharge_comm/12</f>
        <v/>
      </c>
      <c r="BP465" s="40">
        <f>BP464*(1-IF(B464&gt;=in_marketplace_from,d_hz_bills*G464,0))</f>
        <v/>
      </c>
      <c r="BQ465" s="40">
        <f>BQ464*d_rho_bills+BP465*IF(B465&gt;=in_marketplace_from,d_hz_bills*G465,0)</f>
        <v/>
      </c>
      <c r="BR465" s="14">
        <f>F465*BQ465*in_bills_ticket*in_bills_comm/12</f>
        <v/>
      </c>
      <c r="BS465" s="40">
        <f>BS464*(1-IF(B464&gt;=in_marketplace_from,d_hz_loan_gold*G464,0))</f>
        <v/>
      </c>
      <c r="BT465" s="14">
        <f>F465*BS465*IF(B465&gt;=in_marketplace_from,d_hz_loan_gold*G465,0)*in_loan_gold_ticket*in_loan_gold_comm</f>
        <v/>
      </c>
      <c r="BU465" s="40">
        <f>BU464*(1-IF(B464&gt;=in_marketplace_from,d_hz_loan_cd*G464,0))</f>
        <v/>
      </c>
      <c r="BV465" s="14">
        <f>F465*BU465*IF(B465&gt;=in_marketplace_from,d_hz_loan_cd*G465,0)*in_loan_cd_ticket*in_loan_cd_comm</f>
        <v/>
      </c>
      <c r="BW465" s="40">
        <f>BW464*(1-IF(B464&gt;=in_marketplace_from,d_hz_loan_vehicle*G464,0))</f>
        <v/>
      </c>
      <c r="BX465" s="14">
        <f>F465*BW465*IF(B465&gt;=in_marketplace_from,d_hz_loan_vehicle*G465,0)*in_loan_vehicle_ticket*in_loan_vehicle_comm</f>
        <v/>
      </c>
      <c r="BY465" s="40">
        <f>BY464*(1-IF(B464&gt;=in_marketplace_from,d_hz_loan_home*G464,0)*BZ464)</f>
        <v/>
      </c>
      <c r="BZ465" s="11">
        <f>MIN(in_approval_cap,in_loan_home_approval*INDEX('Age profile'!$O$2:$O$61,B465)*(1+in_approval_growth)^(D465-1))</f>
        <v/>
      </c>
      <c r="CA465" s="14">
        <f>F465*BY465*IF(B465&gt;=in_marketplace_from,d_hz_loan_home*G465,0)*BZ465*in_loan_home_ticket*in_loan_home_comm</f>
        <v/>
      </c>
      <c r="CB465" s="40">
        <f>CB464*(1-IF(B464&gt;=in_marketplace_from,d_hz_loan_lap*G464,0)*CC464)</f>
        <v/>
      </c>
      <c r="CC465" s="11">
        <f>MIN(in_approval_cap,in_loan_lap_approval*INDEX('Age profile'!$O$2:$O$61,B465)*(1+in_approval_growth)^(D465-1))</f>
        <v/>
      </c>
      <c r="CD465" s="14">
        <f>F465*CB465*IF(B465&gt;=in_marketplace_from,d_hz_loan_lap*G465,0)*CC465*in_loan_lap_ticket*in_loan_lap_comm</f>
        <v/>
      </c>
      <c r="CE465" s="14">
        <f>AA465+AB465+AC465+AD465+AG465+AJ465+AM465+AP465+AS465+AU465+AX465+BB465+BE465+BG465+BJ465+BL465+BO465+BR465+BT465+BV465+BX465+CA465+CD465</f>
        <v/>
      </c>
    </row>
    <row r="466">
      <c r="A466" s="39" t="n">
        <v>9</v>
      </c>
      <c r="B466" s="39" t="n">
        <v>13</v>
      </c>
      <c r="C466" s="39">
        <f>A466+B466-1</f>
        <v/>
      </c>
      <c r="D466" s="39">
        <f>INT((C466-1)/12)+1</f>
        <v/>
      </c>
      <c r="E466" s="44">
        <f>INDEX(Monthly!$B$2:$B$61,A466)</f>
        <v/>
      </c>
      <c r="F466" s="44">
        <f>E466*INDEX('Age profile'!$B$2:$B$61,B466)</f>
        <v/>
      </c>
      <c r="G466" s="45">
        <f>MIN(in_takeup_cap,INDEX('Age profile'!$N$2:$N$61,B466)*(1+in_takeup_growth)^(D466-1))</f>
        <v/>
      </c>
      <c r="H466" s="11">
        <f>MIN(in_approval_cap,in_approved_first*INDEX('Age profile'!$O$2:$O$61,B466)*(1+in_approval_growth)^(D466-1))</f>
        <v/>
      </c>
      <c r="I466" s="45">
        <f>G466*MIN(in_takeup_cap,INDEX('Age profile'!$O$2:$O$61,B466)*(1+in_approval_growth)^(D466-1))</f>
        <v/>
      </c>
      <c r="J466" s="40">
        <f>(J465-L465)*F466/F465</f>
        <v/>
      </c>
      <c r="K466" s="40">
        <f>(K465-M465)*F466/F465+SUMIFS(O454:O465,B454:B465,B466-1-d_T)*F466</f>
        <v/>
      </c>
      <c r="L466" s="40">
        <f>IF(B466&gt;=in_marketplace_from,J466*d_hz*G466*in_eligible*H466,0)</f>
        <v/>
      </c>
      <c r="M466" s="40">
        <f>IF(B466&gt;=in_marketplace_from,K466*d_hz*G466*in_eligible*in_approved_repeat,0)</f>
        <v/>
      </c>
      <c r="N466" s="40">
        <f>L466+M466</f>
        <v/>
      </c>
      <c r="O466" s="46">
        <f>N466/F466</f>
        <v/>
      </c>
      <c r="P466" s="40">
        <f>F466-J466-K466</f>
        <v/>
      </c>
      <c r="Q466" s="40">
        <f>IF(B466&gt;=in_marketplace_from,(J466+K466)*d_hz*G466,0)</f>
        <v/>
      </c>
      <c r="R466" s="40">
        <f>SUMIFS(N454:N505,B454:B505,"&gt;="&amp;(B466-d_T),B454:B505,"&lt;="&amp;(B466-1))</f>
        <v/>
      </c>
      <c r="S466" s="46">
        <f>(1-d_u)*S465+IF(d_T&gt;in_topup_lag,SUMIFS(O454:O505,B454:B505,B466-in_topup_lag)-d_udrop*SUMIFS(O454:O505,B454:B505,B466-d_T),0)</f>
        <v/>
      </c>
      <c r="T466" s="40">
        <f>F466*d_u*S466</f>
        <v/>
      </c>
      <c r="U466" s="9">
        <f>L466*in_ticket+M466*d_rep_ticket</f>
        <v/>
      </c>
      <c r="V466" s="9">
        <f>U466+T466*d_topup_amt</f>
        <v/>
      </c>
      <c r="W466" s="40">
        <f>N466+T466*d_topup_ratio</f>
        <v/>
      </c>
      <c r="X466" s="40">
        <f>SUMIFS(W454:W505,B454:B505,B466-in_dpd_lag)*d_cured</f>
        <v/>
      </c>
      <c r="Y466" s="40">
        <f>SUMIFS(W454:W505,B454:B505,B466-in_rec_lag)*d_recd</f>
        <v/>
      </c>
      <c r="Z466" s="40">
        <f>IF(AND(B466&gt;=in_marketplace_from,B466&lt;in_marketplace_from+in_card_months),in_card_share/in_card_months*F466*I466,IF(AND(B466&gt;=in_marketplace_from+in_card_months,B466&lt;in_marketplace_from+2*in_card_months),in_card_share*d_card_rem/in_card_months*F466*MIN(in_takeup_cap,(1+in_takeup_growth)^(D466-1))*MIN(in_takeup_cap,(1+in_approval_growth)^(D466-1)),0))</f>
        <v/>
      </c>
      <c r="AA466" s="14">
        <f>V466*in_fee*(1-in_taken_back)</f>
        <v/>
      </c>
      <c r="AB466" s="14">
        <f>SUMIFS(W454:W505,B454:B505,B466-in_dpd_lag)*d_dpd</f>
        <v/>
      </c>
      <c r="AC466" s="14">
        <f>SUMIFS(W454:W505,B454:B505,B466-in_rec_lag)*d_rec</f>
        <v/>
      </c>
      <c r="AD466" s="14">
        <f>Z466*in_card_fee</f>
        <v/>
      </c>
      <c r="AE466" s="40">
        <f>AE465*(1-IF(B465&gt;=in_marketplace_from,d_hz_hlth_small*G465,0))</f>
        <v/>
      </c>
      <c r="AF466" s="46">
        <f>AE466*IF(B466&gt;=in_marketplace_from,d_hz_hlth_small*G466,0)</f>
        <v/>
      </c>
      <c r="AG466" s="14">
        <f>F466*AF466*in_hlth_small_ticket*in_hlth_small_comm*in_ins_partner_share+F466*in_hlth_small_ticket*in_hlth_small_renew_comm*in_ins_partner_share*(in_hlth_small_renew^1*SUMIFS(AF454:AF505,B454:B505,B466-12)+in_hlth_small_renew^2*SUMIFS(AF454:AF505,B454:B505,B466-24)+in_hlth_small_renew^3*SUMIFS(AF454:AF505,B454:B505,B466-36)+in_hlth_small_renew^4*SUMIFS(AF454:AF505,B454:B505,B466-48))</f>
        <v/>
      </c>
      <c r="AH466" s="40">
        <f>AH465*(1-IF(B465&gt;=in_marketplace_from,d_hz_hlth_family*G465,0))</f>
        <v/>
      </c>
      <c r="AI466" s="46">
        <f>AH466*IF(B466&gt;=in_marketplace_from,d_hz_hlth_family*G466,0)</f>
        <v/>
      </c>
      <c r="AJ466" s="14">
        <f>F466*AI466*in_hlth_family_ticket*in_hlth_family_comm*in_ins_partner_share+F466*in_hlth_family_ticket*in_hlth_family_renew_comm*in_ins_partner_share*(in_hlth_family_renew^1*SUMIFS(AI454:AI505,B454:B505,B466-12)+in_hlth_family_renew^2*SUMIFS(AI454:AI505,B454:B505,B466-24)+in_hlth_family_renew^3*SUMIFS(AI454:AI505,B454:B505,B466-36)+in_hlth_family_renew^4*SUMIFS(AI454:AI505,B454:B505,B466-48))</f>
        <v/>
      </c>
      <c r="AK466" s="40">
        <f>AK465*(1-IF(B465&gt;=in_marketplace_from,d_hz_life_term*G465,0))</f>
        <v/>
      </c>
      <c r="AL466" s="46">
        <f>AK466*IF(B466&gt;=in_marketplace_from,d_hz_life_term*G466,0)</f>
        <v/>
      </c>
      <c r="AM466" s="14">
        <f>F466*AL466*in_life_term_ticket*in_life_term_comm*in_ins_partner_share+F466*in_life_term_ticket*in_life_term_renew_comm*in_ins_partner_share*(in_life_term_renew^1*SUMIFS(AL454:AL505,B454:B505,B466-12)+in_life_term_renew^2*SUMIFS(AL454:AL505,B454:B505,B466-24)+in_life_term_renew^3*SUMIFS(AL454:AL505,B454:B505,B466-36)+in_life_term_renew^4*SUMIFS(AL454:AL505,B454:B505,B466-48))</f>
        <v/>
      </c>
      <c r="AN466" s="40">
        <f>AN465*(1-IF(B465&gt;=in_marketplace_from,d_hz_accident*G465,0))</f>
        <v/>
      </c>
      <c r="AO466" s="46">
        <f>AN466*IF(B466&gt;=in_marketplace_from,d_hz_accident*G466,0)</f>
        <v/>
      </c>
      <c r="AP466" s="14">
        <f>F466*AO466*in_accident_ticket*in_accident_comm*in_ins_partner_share+F466*in_accident_ticket*in_accident_renew_comm*in_ins_partner_share*(in_accident_renew^1*SUMIFS(AO454:AO505,B454:B505,B466-12)+in_accident_renew^2*SUMIFS(AO454:AO505,B454:B505,B466-24)+in_accident_renew^3*SUMIFS(AO454:AO505,B454:B505,B466-36)+in_accident_renew^4*SUMIFS(AO454:AO505,B454:B505,B466-48))</f>
        <v/>
      </c>
      <c r="AQ466" s="40">
        <f>AQ465*(1-IF(B465&gt;=in_marketplace_from,d_hz_two_wheeler*G465,0))</f>
        <v/>
      </c>
      <c r="AR466" s="46">
        <f>AQ466*IF(B466&gt;=in_marketplace_from,d_hz_two_wheeler*G466,0)</f>
        <v/>
      </c>
      <c r="AS466" s="14">
        <f>F466*AR466*in_two_wheeler_ticket*in_two_wheeler_comm*in_ins_partner_share+F466*in_two_wheeler_ticket*in_two_wheeler_comm*in_ins_partner_share*(in_two_wheeler_renew^1*SUMIFS(AR454:AR505,B454:B505,B466-12)+in_two_wheeler_renew^2*SUMIFS(AR454:AR505,B454:B505,B466-24)+in_two_wheeler_renew^3*SUMIFS(AR454:AR505,B454:B505,B466-36)+in_two_wheeler_renew^4*SUMIFS(AR454:AR505,B454:B505,B466-48))</f>
        <v/>
      </c>
      <c r="AT466" s="40">
        <f>AT465*(1-IF(B465&gt;=in_marketplace_from,d_hz_device*G465,0))</f>
        <v/>
      </c>
      <c r="AU466" s="14">
        <f>F466*AT466*IF(B466&gt;=in_marketplace_from,d_hz_device*G466,0)*in_device_ticket*in_device_comm*in_ins_partner_share</f>
        <v/>
      </c>
      <c r="AV466" s="40">
        <f>AV465*(1-IF(B465&gt;=in_marketplace_from,d_hz_shop*G465,0))</f>
        <v/>
      </c>
      <c r="AW466" s="46">
        <f>AV466*IF(B466&gt;=in_marketplace_from,d_hz_shop*G466,0)</f>
        <v/>
      </c>
      <c r="AX466" s="14">
        <f>F466*AW466*in_shop_ticket*in_shop_comm*in_ins_partner_share+F466*in_shop_ticket*in_shop_renew_comm*in_ins_partner_share*(in_shop_renew^1*SUMIFS(AW454:AW505,B454:B505,B466-12)+in_shop_renew^2*SUMIFS(AW454:AW505,B454:B505,B466-24)+in_shop_renew^3*SUMIFS(AW454:AW505,B454:B505,B466-36)+in_shop_renew^4*SUMIFS(AW454:AW505,B454:B505,B466-48))</f>
        <v/>
      </c>
      <c r="AY466" s="40">
        <f>AY465*(1-IF(B465&gt;=in_marketplace_from,d_hz_sip*G465,0))</f>
        <v/>
      </c>
      <c r="AZ466" s="40">
        <f>AZ465*d_rho_sip+AY466*IF(B466&gt;=in_marketplace_from,d_hz_sip*G466,0)</f>
        <v/>
      </c>
      <c r="BA466" s="40">
        <f>d_rho_sip*(BA465+AZ465)</f>
        <v/>
      </c>
      <c r="BB466" s="14">
        <f>F466*in_sip_ticket*(BA466+0.5*AZ466)*in_sip_comm/12</f>
        <v/>
      </c>
      <c r="BC466" s="40">
        <f>BC465*(1-IF(B465&gt;=in_marketplace_from,d_hz_choti*G465,0))</f>
        <v/>
      </c>
      <c r="BD466" s="46">
        <f>BC466*IF(B466&gt;=in_marketplace_from,d_hz_choti*G466,0)</f>
        <v/>
      </c>
      <c r="BE466" s="14">
        <f>F466*SUMIFS(BD454:BD505,B454:B505,B466-in_choti_months)*in_choti_renew*in_choti_ticket</f>
        <v/>
      </c>
      <c r="BF466" s="40">
        <f>BF465*(1-IF(B465&gt;=in_marketplace_from,d_hz_nps*G465,0))</f>
        <v/>
      </c>
      <c r="BG466" s="14">
        <f>F466*BF466*IF(B466&gt;=in_marketplace_from,d_hz_nps*G466,0)*in_nps_ticket*in_nps_comm</f>
        <v/>
      </c>
      <c r="BH466" s="40">
        <f>BH465*(1-IF(B465&gt;=in_marketplace_from,d_hz_gold*G465,0))</f>
        <v/>
      </c>
      <c r="BI466" s="40">
        <f>BI465*d_rho_gold+BH466*IF(B466&gt;=in_marketplace_from,d_hz_gold*G466,0)</f>
        <v/>
      </c>
      <c r="BJ466" s="14">
        <f>F466*BI466*in_gold_ticket*in_gold_comm</f>
        <v/>
      </c>
      <c r="BK466" s="40">
        <f>BK465*(1-IF(B465&gt;=in_marketplace_from,d_hz_fd*G465,0))</f>
        <v/>
      </c>
      <c r="BL466" s="14">
        <f>F466*BK466*IF(B466&gt;=in_marketplace_from,d_hz_fd*G466,0)*in_fd_ticket*in_fd_comm</f>
        <v/>
      </c>
      <c r="BM466" s="40">
        <f>BM465*(1-IF(B465&gt;=in_marketplace_from,d_hz_recharge*G465,0))</f>
        <v/>
      </c>
      <c r="BN466" s="40">
        <f>BN465*d_rho_recharge+BM466*IF(B466&gt;=in_marketplace_from,d_hz_recharge*G466,0)</f>
        <v/>
      </c>
      <c r="BO466" s="14">
        <f>F466*BN466*in_recharge_ticket*in_recharge_comm/12</f>
        <v/>
      </c>
      <c r="BP466" s="40">
        <f>BP465*(1-IF(B465&gt;=in_marketplace_from,d_hz_bills*G465,0))</f>
        <v/>
      </c>
      <c r="BQ466" s="40">
        <f>BQ465*d_rho_bills+BP466*IF(B466&gt;=in_marketplace_from,d_hz_bills*G466,0)</f>
        <v/>
      </c>
      <c r="BR466" s="14">
        <f>F466*BQ466*in_bills_ticket*in_bills_comm/12</f>
        <v/>
      </c>
      <c r="BS466" s="40">
        <f>BS465*(1-IF(B465&gt;=in_marketplace_from,d_hz_loan_gold*G465,0))</f>
        <v/>
      </c>
      <c r="BT466" s="14">
        <f>F466*BS466*IF(B466&gt;=in_marketplace_from,d_hz_loan_gold*G466,0)*in_loan_gold_ticket*in_loan_gold_comm</f>
        <v/>
      </c>
      <c r="BU466" s="40">
        <f>BU465*(1-IF(B465&gt;=in_marketplace_from,d_hz_loan_cd*G465,0))</f>
        <v/>
      </c>
      <c r="BV466" s="14">
        <f>F466*BU466*IF(B466&gt;=in_marketplace_from,d_hz_loan_cd*G466,0)*in_loan_cd_ticket*in_loan_cd_comm</f>
        <v/>
      </c>
      <c r="BW466" s="40">
        <f>BW465*(1-IF(B465&gt;=in_marketplace_from,d_hz_loan_vehicle*G465,0))</f>
        <v/>
      </c>
      <c r="BX466" s="14">
        <f>F466*BW466*IF(B466&gt;=in_marketplace_from,d_hz_loan_vehicle*G466,0)*in_loan_vehicle_ticket*in_loan_vehicle_comm</f>
        <v/>
      </c>
      <c r="BY466" s="40">
        <f>BY465*(1-IF(B465&gt;=in_marketplace_from,d_hz_loan_home*G465,0)*BZ465)</f>
        <v/>
      </c>
      <c r="BZ466" s="11">
        <f>MIN(in_approval_cap,in_loan_home_approval*INDEX('Age profile'!$O$2:$O$61,B466)*(1+in_approval_growth)^(D466-1))</f>
        <v/>
      </c>
      <c r="CA466" s="14">
        <f>F466*BY466*IF(B466&gt;=in_marketplace_from,d_hz_loan_home*G466,0)*BZ466*in_loan_home_ticket*in_loan_home_comm</f>
        <v/>
      </c>
      <c r="CB466" s="40">
        <f>CB465*(1-IF(B465&gt;=in_marketplace_from,d_hz_loan_lap*G465,0)*CC465)</f>
        <v/>
      </c>
      <c r="CC466" s="11">
        <f>MIN(in_approval_cap,in_loan_lap_approval*INDEX('Age profile'!$O$2:$O$61,B466)*(1+in_approval_growth)^(D466-1))</f>
        <v/>
      </c>
      <c r="CD466" s="14">
        <f>F466*CB466*IF(B466&gt;=in_marketplace_from,d_hz_loan_lap*G466,0)*CC466*in_loan_lap_ticket*in_loan_lap_comm</f>
        <v/>
      </c>
      <c r="CE466" s="14">
        <f>AA466+AB466+AC466+AD466+AG466+AJ466+AM466+AP466+AS466+AU466+AX466+BB466+BE466+BG466+BJ466+BL466+BO466+BR466+BT466+BV466+BX466+CA466+CD466</f>
        <v/>
      </c>
    </row>
    <row r="467">
      <c r="A467" s="39" t="n">
        <v>9</v>
      </c>
      <c r="B467" s="39" t="n">
        <v>14</v>
      </c>
      <c r="C467" s="39">
        <f>A467+B467-1</f>
        <v/>
      </c>
      <c r="D467" s="39">
        <f>INT((C467-1)/12)+1</f>
        <v/>
      </c>
      <c r="E467" s="44">
        <f>INDEX(Monthly!$B$2:$B$61,A467)</f>
        <v/>
      </c>
      <c r="F467" s="44">
        <f>E467*INDEX('Age profile'!$B$2:$B$61,B467)</f>
        <v/>
      </c>
      <c r="G467" s="45">
        <f>MIN(in_takeup_cap,INDEX('Age profile'!$N$2:$N$61,B467)*(1+in_takeup_growth)^(D467-1))</f>
        <v/>
      </c>
      <c r="H467" s="11">
        <f>MIN(in_approval_cap,in_approved_first*INDEX('Age profile'!$O$2:$O$61,B467)*(1+in_approval_growth)^(D467-1))</f>
        <v/>
      </c>
      <c r="I467" s="45">
        <f>G467*MIN(in_takeup_cap,INDEX('Age profile'!$O$2:$O$61,B467)*(1+in_approval_growth)^(D467-1))</f>
        <v/>
      </c>
      <c r="J467" s="40">
        <f>(J466-L466)*F467/F466</f>
        <v/>
      </c>
      <c r="K467" s="40">
        <f>(K466-M466)*F467/F466+SUMIFS(O454:O466,B454:B466,B467-1-d_T)*F467</f>
        <v/>
      </c>
      <c r="L467" s="40">
        <f>IF(B467&gt;=in_marketplace_from,J467*d_hz*G467*in_eligible*H467,0)</f>
        <v/>
      </c>
      <c r="M467" s="40">
        <f>IF(B467&gt;=in_marketplace_from,K467*d_hz*G467*in_eligible*in_approved_repeat,0)</f>
        <v/>
      </c>
      <c r="N467" s="40">
        <f>L467+M467</f>
        <v/>
      </c>
      <c r="O467" s="46">
        <f>N467/F467</f>
        <v/>
      </c>
      <c r="P467" s="40">
        <f>F467-J467-K467</f>
        <v/>
      </c>
      <c r="Q467" s="40">
        <f>IF(B467&gt;=in_marketplace_from,(J467+K467)*d_hz*G467,0)</f>
        <v/>
      </c>
      <c r="R467" s="40">
        <f>SUMIFS(N454:N505,B454:B505,"&gt;="&amp;(B467-d_T),B454:B505,"&lt;="&amp;(B467-1))</f>
        <v/>
      </c>
      <c r="S467" s="46">
        <f>(1-d_u)*S466+IF(d_T&gt;in_topup_lag,SUMIFS(O454:O505,B454:B505,B467-in_topup_lag)-d_udrop*SUMIFS(O454:O505,B454:B505,B467-d_T),0)</f>
        <v/>
      </c>
      <c r="T467" s="40">
        <f>F467*d_u*S467</f>
        <v/>
      </c>
      <c r="U467" s="9">
        <f>L467*in_ticket+M467*d_rep_ticket</f>
        <v/>
      </c>
      <c r="V467" s="9">
        <f>U467+T467*d_topup_amt</f>
        <v/>
      </c>
      <c r="W467" s="40">
        <f>N467+T467*d_topup_ratio</f>
        <v/>
      </c>
      <c r="X467" s="40">
        <f>SUMIFS(W454:W505,B454:B505,B467-in_dpd_lag)*d_cured</f>
        <v/>
      </c>
      <c r="Y467" s="40">
        <f>SUMIFS(W454:W505,B454:B505,B467-in_rec_lag)*d_recd</f>
        <v/>
      </c>
      <c r="Z467" s="40">
        <f>IF(AND(B467&gt;=in_marketplace_from,B467&lt;in_marketplace_from+in_card_months),in_card_share/in_card_months*F467*I467,IF(AND(B467&gt;=in_marketplace_from+in_card_months,B467&lt;in_marketplace_from+2*in_card_months),in_card_share*d_card_rem/in_card_months*F467*MIN(in_takeup_cap,(1+in_takeup_growth)^(D467-1))*MIN(in_takeup_cap,(1+in_approval_growth)^(D467-1)),0))</f>
        <v/>
      </c>
      <c r="AA467" s="14">
        <f>V467*in_fee*(1-in_taken_back)</f>
        <v/>
      </c>
      <c r="AB467" s="14">
        <f>SUMIFS(W454:W505,B454:B505,B467-in_dpd_lag)*d_dpd</f>
        <v/>
      </c>
      <c r="AC467" s="14">
        <f>SUMIFS(W454:W505,B454:B505,B467-in_rec_lag)*d_rec</f>
        <v/>
      </c>
      <c r="AD467" s="14">
        <f>Z467*in_card_fee</f>
        <v/>
      </c>
      <c r="AE467" s="40">
        <f>AE466*(1-IF(B466&gt;=in_marketplace_from,d_hz_hlth_small*G466,0))</f>
        <v/>
      </c>
      <c r="AF467" s="46">
        <f>AE467*IF(B467&gt;=in_marketplace_from,d_hz_hlth_small*G467,0)</f>
        <v/>
      </c>
      <c r="AG467" s="14">
        <f>F467*AF467*in_hlth_small_ticket*in_hlth_small_comm*in_ins_partner_share+F467*in_hlth_small_ticket*in_hlth_small_renew_comm*in_ins_partner_share*(in_hlth_small_renew^1*SUMIFS(AF454:AF505,B454:B505,B467-12)+in_hlth_small_renew^2*SUMIFS(AF454:AF505,B454:B505,B467-24)+in_hlth_small_renew^3*SUMIFS(AF454:AF505,B454:B505,B467-36)+in_hlth_small_renew^4*SUMIFS(AF454:AF505,B454:B505,B467-48))</f>
        <v/>
      </c>
      <c r="AH467" s="40">
        <f>AH466*(1-IF(B466&gt;=in_marketplace_from,d_hz_hlth_family*G466,0))</f>
        <v/>
      </c>
      <c r="AI467" s="46">
        <f>AH467*IF(B467&gt;=in_marketplace_from,d_hz_hlth_family*G467,0)</f>
        <v/>
      </c>
      <c r="AJ467" s="14">
        <f>F467*AI467*in_hlth_family_ticket*in_hlth_family_comm*in_ins_partner_share+F467*in_hlth_family_ticket*in_hlth_family_renew_comm*in_ins_partner_share*(in_hlth_family_renew^1*SUMIFS(AI454:AI505,B454:B505,B467-12)+in_hlth_family_renew^2*SUMIFS(AI454:AI505,B454:B505,B467-24)+in_hlth_family_renew^3*SUMIFS(AI454:AI505,B454:B505,B467-36)+in_hlth_family_renew^4*SUMIFS(AI454:AI505,B454:B505,B467-48))</f>
        <v/>
      </c>
      <c r="AK467" s="40">
        <f>AK466*(1-IF(B466&gt;=in_marketplace_from,d_hz_life_term*G466,0))</f>
        <v/>
      </c>
      <c r="AL467" s="46">
        <f>AK467*IF(B467&gt;=in_marketplace_from,d_hz_life_term*G467,0)</f>
        <v/>
      </c>
      <c r="AM467" s="14">
        <f>F467*AL467*in_life_term_ticket*in_life_term_comm*in_ins_partner_share+F467*in_life_term_ticket*in_life_term_renew_comm*in_ins_partner_share*(in_life_term_renew^1*SUMIFS(AL454:AL505,B454:B505,B467-12)+in_life_term_renew^2*SUMIFS(AL454:AL505,B454:B505,B467-24)+in_life_term_renew^3*SUMIFS(AL454:AL505,B454:B505,B467-36)+in_life_term_renew^4*SUMIFS(AL454:AL505,B454:B505,B467-48))</f>
        <v/>
      </c>
      <c r="AN467" s="40">
        <f>AN466*(1-IF(B466&gt;=in_marketplace_from,d_hz_accident*G466,0))</f>
        <v/>
      </c>
      <c r="AO467" s="46">
        <f>AN467*IF(B467&gt;=in_marketplace_from,d_hz_accident*G467,0)</f>
        <v/>
      </c>
      <c r="AP467" s="14">
        <f>F467*AO467*in_accident_ticket*in_accident_comm*in_ins_partner_share+F467*in_accident_ticket*in_accident_renew_comm*in_ins_partner_share*(in_accident_renew^1*SUMIFS(AO454:AO505,B454:B505,B467-12)+in_accident_renew^2*SUMIFS(AO454:AO505,B454:B505,B467-24)+in_accident_renew^3*SUMIFS(AO454:AO505,B454:B505,B467-36)+in_accident_renew^4*SUMIFS(AO454:AO505,B454:B505,B467-48))</f>
        <v/>
      </c>
      <c r="AQ467" s="40">
        <f>AQ466*(1-IF(B466&gt;=in_marketplace_from,d_hz_two_wheeler*G466,0))</f>
        <v/>
      </c>
      <c r="AR467" s="46">
        <f>AQ467*IF(B467&gt;=in_marketplace_from,d_hz_two_wheeler*G467,0)</f>
        <v/>
      </c>
      <c r="AS467" s="14">
        <f>F467*AR467*in_two_wheeler_ticket*in_two_wheeler_comm*in_ins_partner_share+F467*in_two_wheeler_ticket*in_two_wheeler_comm*in_ins_partner_share*(in_two_wheeler_renew^1*SUMIFS(AR454:AR505,B454:B505,B467-12)+in_two_wheeler_renew^2*SUMIFS(AR454:AR505,B454:B505,B467-24)+in_two_wheeler_renew^3*SUMIFS(AR454:AR505,B454:B505,B467-36)+in_two_wheeler_renew^4*SUMIFS(AR454:AR505,B454:B505,B467-48))</f>
        <v/>
      </c>
      <c r="AT467" s="40">
        <f>AT466*(1-IF(B466&gt;=in_marketplace_from,d_hz_device*G466,0))</f>
        <v/>
      </c>
      <c r="AU467" s="14">
        <f>F467*AT467*IF(B467&gt;=in_marketplace_from,d_hz_device*G467,0)*in_device_ticket*in_device_comm*in_ins_partner_share</f>
        <v/>
      </c>
      <c r="AV467" s="40">
        <f>AV466*(1-IF(B466&gt;=in_marketplace_from,d_hz_shop*G466,0))</f>
        <v/>
      </c>
      <c r="AW467" s="46">
        <f>AV467*IF(B467&gt;=in_marketplace_from,d_hz_shop*G467,0)</f>
        <v/>
      </c>
      <c r="AX467" s="14">
        <f>F467*AW467*in_shop_ticket*in_shop_comm*in_ins_partner_share+F467*in_shop_ticket*in_shop_renew_comm*in_ins_partner_share*(in_shop_renew^1*SUMIFS(AW454:AW505,B454:B505,B467-12)+in_shop_renew^2*SUMIFS(AW454:AW505,B454:B505,B467-24)+in_shop_renew^3*SUMIFS(AW454:AW505,B454:B505,B467-36)+in_shop_renew^4*SUMIFS(AW454:AW505,B454:B505,B467-48))</f>
        <v/>
      </c>
      <c r="AY467" s="40">
        <f>AY466*(1-IF(B466&gt;=in_marketplace_from,d_hz_sip*G466,0))</f>
        <v/>
      </c>
      <c r="AZ467" s="40">
        <f>AZ466*d_rho_sip+AY467*IF(B467&gt;=in_marketplace_from,d_hz_sip*G467,0)</f>
        <v/>
      </c>
      <c r="BA467" s="40">
        <f>d_rho_sip*(BA466+AZ466)</f>
        <v/>
      </c>
      <c r="BB467" s="14">
        <f>F467*in_sip_ticket*(BA467+0.5*AZ467)*in_sip_comm/12</f>
        <v/>
      </c>
      <c r="BC467" s="40">
        <f>BC466*(1-IF(B466&gt;=in_marketplace_from,d_hz_choti*G466,0))</f>
        <v/>
      </c>
      <c r="BD467" s="46">
        <f>BC467*IF(B467&gt;=in_marketplace_from,d_hz_choti*G467,0)</f>
        <v/>
      </c>
      <c r="BE467" s="14">
        <f>F467*SUMIFS(BD454:BD505,B454:B505,B467-in_choti_months)*in_choti_renew*in_choti_ticket</f>
        <v/>
      </c>
      <c r="BF467" s="40">
        <f>BF466*(1-IF(B466&gt;=in_marketplace_from,d_hz_nps*G466,0))</f>
        <v/>
      </c>
      <c r="BG467" s="14">
        <f>F467*BF467*IF(B467&gt;=in_marketplace_from,d_hz_nps*G467,0)*in_nps_ticket*in_nps_comm</f>
        <v/>
      </c>
      <c r="BH467" s="40">
        <f>BH466*(1-IF(B466&gt;=in_marketplace_from,d_hz_gold*G466,0))</f>
        <v/>
      </c>
      <c r="BI467" s="40">
        <f>BI466*d_rho_gold+BH467*IF(B467&gt;=in_marketplace_from,d_hz_gold*G467,0)</f>
        <v/>
      </c>
      <c r="BJ467" s="14">
        <f>F467*BI467*in_gold_ticket*in_gold_comm</f>
        <v/>
      </c>
      <c r="BK467" s="40">
        <f>BK466*(1-IF(B466&gt;=in_marketplace_from,d_hz_fd*G466,0))</f>
        <v/>
      </c>
      <c r="BL467" s="14">
        <f>F467*BK467*IF(B467&gt;=in_marketplace_from,d_hz_fd*G467,0)*in_fd_ticket*in_fd_comm</f>
        <v/>
      </c>
      <c r="BM467" s="40">
        <f>BM466*(1-IF(B466&gt;=in_marketplace_from,d_hz_recharge*G466,0))</f>
        <v/>
      </c>
      <c r="BN467" s="40">
        <f>BN466*d_rho_recharge+BM467*IF(B467&gt;=in_marketplace_from,d_hz_recharge*G467,0)</f>
        <v/>
      </c>
      <c r="BO467" s="14">
        <f>F467*BN467*in_recharge_ticket*in_recharge_comm/12</f>
        <v/>
      </c>
      <c r="BP467" s="40">
        <f>BP466*(1-IF(B466&gt;=in_marketplace_from,d_hz_bills*G466,0))</f>
        <v/>
      </c>
      <c r="BQ467" s="40">
        <f>BQ466*d_rho_bills+BP467*IF(B467&gt;=in_marketplace_from,d_hz_bills*G467,0)</f>
        <v/>
      </c>
      <c r="BR467" s="14">
        <f>F467*BQ467*in_bills_ticket*in_bills_comm/12</f>
        <v/>
      </c>
      <c r="BS467" s="40">
        <f>BS466*(1-IF(B466&gt;=in_marketplace_from,d_hz_loan_gold*G466,0))</f>
        <v/>
      </c>
      <c r="BT467" s="14">
        <f>F467*BS467*IF(B467&gt;=in_marketplace_from,d_hz_loan_gold*G467,0)*in_loan_gold_ticket*in_loan_gold_comm</f>
        <v/>
      </c>
      <c r="BU467" s="40">
        <f>BU466*(1-IF(B466&gt;=in_marketplace_from,d_hz_loan_cd*G466,0))</f>
        <v/>
      </c>
      <c r="BV467" s="14">
        <f>F467*BU467*IF(B467&gt;=in_marketplace_from,d_hz_loan_cd*G467,0)*in_loan_cd_ticket*in_loan_cd_comm</f>
        <v/>
      </c>
      <c r="BW467" s="40">
        <f>BW466*(1-IF(B466&gt;=in_marketplace_from,d_hz_loan_vehicle*G466,0))</f>
        <v/>
      </c>
      <c r="BX467" s="14">
        <f>F467*BW467*IF(B467&gt;=in_marketplace_from,d_hz_loan_vehicle*G467,0)*in_loan_vehicle_ticket*in_loan_vehicle_comm</f>
        <v/>
      </c>
      <c r="BY467" s="40">
        <f>BY466*(1-IF(B466&gt;=in_marketplace_from,d_hz_loan_home*G466,0)*BZ466)</f>
        <v/>
      </c>
      <c r="BZ467" s="11">
        <f>MIN(in_approval_cap,in_loan_home_approval*INDEX('Age profile'!$O$2:$O$61,B467)*(1+in_approval_growth)^(D467-1))</f>
        <v/>
      </c>
      <c r="CA467" s="14">
        <f>F467*BY467*IF(B467&gt;=in_marketplace_from,d_hz_loan_home*G467,0)*BZ467*in_loan_home_ticket*in_loan_home_comm</f>
        <v/>
      </c>
      <c r="CB467" s="40">
        <f>CB466*(1-IF(B466&gt;=in_marketplace_from,d_hz_loan_lap*G466,0)*CC466)</f>
        <v/>
      </c>
      <c r="CC467" s="11">
        <f>MIN(in_approval_cap,in_loan_lap_approval*INDEX('Age profile'!$O$2:$O$61,B467)*(1+in_approval_growth)^(D467-1))</f>
        <v/>
      </c>
      <c r="CD467" s="14">
        <f>F467*CB467*IF(B467&gt;=in_marketplace_from,d_hz_loan_lap*G467,0)*CC467*in_loan_lap_ticket*in_loan_lap_comm</f>
        <v/>
      </c>
      <c r="CE467" s="14">
        <f>AA467+AB467+AC467+AD467+AG467+AJ467+AM467+AP467+AS467+AU467+AX467+BB467+BE467+BG467+BJ467+BL467+BO467+BR467+BT467+BV467+BX467+CA467+CD467</f>
        <v/>
      </c>
    </row>
    <row r="468">
      <c r="A468" s="39" t="n">
        <v>9</v>
      </c>
      <c r="B468" s="39" t="n">
        <v>15</v>
      </c>
      <c r="C468" s="39">
        <f>A468+B468-1</f>
        <v/>
      </c>
      <c r="D468" s="39">
        <f>INT((C468-1)/12)+1</f>
        <v/>
      </c>
      <c r="E468" s="44">
        <f>INDEX(Monthly!$B$2:$B$61,A468)</f>
        <v/>
      </c>
      <c r="F468" s="44">
        <f>E468*INDEX('Age profile'!$B$2:$B$61,B468)</f>
        <v/>
      </c>
      <c r="G468" s="45">
        <f>MIN(in_takeup_cap,INDEX('Age profile'!$N$2:$N$61,B468)*(1+in_takeup_growth)^(D468-1))</f>
        <v/>
      </c>
      <c r="H468" s="11">
        <f>MIN(in_approval_cap,in_approved_first*INDEX('Age profile'!$O$2:$O$61,B468)*(1+in_approval_growth)^(D468-1))</f>
        <v/>
      </c>
      <c r="I468" s="45">
        <f>G468*MIN(in_takeup_cap,INDEX('Age profile'!$O$2:$O$61,B468)*(1+in_approval_growth)^(D468-1))</f>
        <v/>
      </c>
      <c r="J468" s="40">
        <f>(J467-L467)*F468/F467</f>
        <v/>
      </c>
      <c r="K468" s="40">
        <f>(K467-M467)*F468/F467+SUMIFS(O454:O467,B454:B467,B468-1-d_T)*F468</f>
        <v/>
      </c>
      <c r="L468" s="40">
        <f>IF(B468&gt;=in_marketplace_from,J468*d_hz*G468*in_eligible*H468,0)</f>
        <v/>
      </c>
      <c r="M468" s="40">
        <f>IF(B468&gt;=in_marketplace_from,K468*d_hz*G468*in_eligible*in_approved_repeat,0)</f>
        <v/>
      </c>
      <c r="N468" s="40">
        <f>L468+M468</f>
        <v/>
      </c>
      <c r="O468" s="46">
        <f>N468/F468</f>
        <v/>
      </c>
      <c r="P468" s="40">
        <f>F468-J468-K468</f>
        <v/>
      </c>
      <c r="Q468" s="40">
        <f>IF(B468&gt;=in_marketplace_from,(J468+K468)*d_hz*G468,0)</f>
        <v/>
      </c>
      <c r="R468" s="40">
        <f>SUMIFS(N454:N505,B454:B505,"&gt;="&amp;(B468-d_T),B454:B505,"&lt;="&amp;(B468-1))</f>
        <v/>
      </c>
      <c r="S468" s="46">
        <f>(1-d_u)*S467+IF(d_T&gt;in_topup_lag,SUMIFS(O454:O505,B454:B505,B468-in_topup_lag)-d_udrop*SUMIFS(O454:O505,B454:B505,B468-d_T),0)</f>
        <v/>
      </c>
      <c r="T468" s="40">
        <f>F468*d_u*S468</f>
        <v/>
      </c>
      <c r="U468" s="9">
        <f>L468*in_ticket+M468*d_rep_ticket</f>
        <v/>
      </c>
      <c r="V468" s="9">
        <f>U468+T468*d_topup_amt</f>
        <v/>
      </c>
      <c r="W468" s="40">
        <f>N468+T468*d_topup_ratio</f>
        <v/>
      </c>
      <c r="X468" s="40">
        <f>SUMIFS(W454:W505,B454:B505,B468-in_dpd_lag)*d_cured</f>
        <v/>
      </c>
      <c r="Y468" s="40">
        <f>SUMIFS(W454:W505,B454:B505,B468-in_rec_lag)*d_recd</f>
        <v/>
      </c>
      <c r="Z468" s="40">
        <f>IF(AND(B468&gt;=in_marketplace_from,B468&lt;in_marketplace_from+in_card_months),in_card_share/in_card_months*F468*I468,IF(AND(B468&gt;=in_marketplace_from+in_card_months,B468&lt;in_marketplace_from+2*in_card_months),in_card_share*d_card_rem/in_card_months*F468*MIN(in_takeup_cap,(1+in_takeup_growth)^(D468-1))*MIN(in_takeup_cap,(1+in_approval_growth)^(D468-1)),0))</f>
        <v/>
      </c>
      <c r="AA468" s="14">
        <f>V468*in_fee*(1-in_taken_back)</f>
        <v/>
      </c>
      <c r="AB468" s="14">
        <f>SUMIFS(W454:W505,B454:B505,B468-in_dpd_lag)*d_dpd</f>
        <v/>
      </c>
      <c r="AC468" s="14">
        <f>SUMIFS(W454:W505,B454:B505,B468-in_rec_lag)*d_rec</f>
        <v/>
      </c>
      <c r="AD468" s="14">
        <f>Z468*in_card_fee</f>
        <v/>
      </c>
      <c r="AE468" s="40">
        <f>AE467*(1-IF(B467&gt;=in_marketplace_from,d_hz_hlth_small*G467,0))</f>
        <v/>
      </c>
      <c r="AF468" s="46">
        <f>AE468*IF(B468&gt;=in_marketplace_from,d_hz_hlth_small*G468,0)</f>
        <v/>
      </c>
      <c r="AG468" s="14">
        <f>F468*AF468*in_hlth_small_ticket*in_hlth_small_comm*in_ins_partner_share+F468*in_hlth_small_ticket*in_hlth_small_renew_comm*in_ins_partner_share*(in_hlth_small_renew^1*SUMIFS(AF454:AF505,B454:B505,B468-12)+in_hlth_small_renew^2*SUMIFS(AF454:AF505,B454:B505,B468-24)+in_hlth_small_renew^3*SUMIFS(AF454:AF505,B454:B505,B468-36)+in_hlth_small_renew^4*SUMIFS(AF454:AF505,B454:B505,B468-48))</f>
        <v/>
      </c>
      <c r="AH468" s="40">
        <f>AH467*(1-IF(B467&gt;=in_marketplace_from,d_hz_hlth_family*G467,0))</f>
        <v/>
      </c>
      <c r="AI468" s="46">
        <f>AH468*IF(B468&gt;=in_marketplace_from,d_hz_hlth_family*G468,0)</f>
        <v/>
      </c>
      <c r="AJ468" s="14">
        <f>F468*AI468*in_hlth_family_ticket*in_hlth_family_comm*in_ins_partner_share+F468*in_hlth_family_ticket*in_hlth_family_renew_comm*in_ins_partner_share*(in_hlth_family_renew^1*SUMIFS(AI454:AI505,B454:B505,B468-12)+in_hlth_family_renew^2*SUMIFS(AI454:AI505,B454:B505,B468-24)+in_hlth_family_renew^3*SUMIFS(AI454:AI505,B454:B505,B468-36)+in_hlth_family_renew^4*SUMIFS(AI454:AI505,B454:B505,B468-48))</f>
        <v/>
      </c>
      <c r="AK468" s="40">
        <f>AK467*(1-IF(B467&gt;=in_marketplace_from,d_hz_life_term*G467,0))</f>
        <v/>
      </c>
      <c r="AL468" s="46">
        <f>AK468*IF(B468&gt;=in_marketplace_from,d_hz_life_term*G468,0)</f>
        <v/>
      </c>
      <c r="AM468" s="14">
        <f>F468*AL468*in_life_term_ticket*in_life_term_comm*in_ins_partner_share+F468*in_life_term_ticket*in_life_term_renew_comm*in_ins_partner_share*(in_life_term_renew^1*SUMIFS(AL454:AL505,B454:B505,B468-12)+in_life_term_renew^2*SUMIFS(AL454:AL505,B454:B505,B468-24)+in_life_term_renew^3*SUMIFS(AL454:AL505,B454:B505,B468-36)+in_life_term_renew^4*SUMIFS(AL454:AL505,B454:B505,B468-48))</f>
        <v/>
      </c>
      <c r="AN468" s="40">
        <f>AN467*(1-IF(B467&gt;=in_marketplace_from,d_hz_accident*G467,0))</f>
        <v/>
      </c>
      <c r="AO468" s="46">
        <f>AN468*IF(B468&gt;=in_marketplace_from,d_hz_accident*G468,0)</f>
        <v/>
      </c>
      <c r="AP468" s="14">
        <f>F468*AO468*in_accident_ticket*in_accident_comm*in_ins_partner_share+F468*in_accident_ticket*in_accident_renew_comm*in_ins_partner_share*(in_accident_renew^1*SUMIFS(AO454:AO505,B454:B505,B468-12)+in_accident_renew^2*SUMIFS(AO454:AO505,B454:B505,B468-24)+in_accident_renew^3*SUMIFS(AO454:AO505,B454:B505,B468-36)+in_accident_renew^4*SUMIFS(AO454:AO505,B454:B505,B468-48))</f>
        <v/>
      </c>
      <c r="AQ468" s="40">
        <f>AQ467*(1-IF(B467&gt;=in_marketplace_from,d_hz_two_wheeler*G467,0))</f>
        <v/>
      </c>
      <c r="AR468" s="46">
        <f>AQ468*IF(B468&gt;=in_marketplace_from,d_hz_two_wheeler*G468,0)</f>
        <v/>
      </c>
      <c r="AS468" s="14">
        <f>F468*AR468*in_two_wheeler_ticket*in_two_wheeler_comm*in_ins_partner_share+F468*in_two_wheeler_ticket*in_two_wheeler_comm*in_ins_partner_share*(in_two_wheeler_renew^1*SUMIFS(AR454:AR505,B454:B505,B468-12)+in_two_wheeler_renew^2*SUMIFS(AR454:AR505,B454:B505,B468-24)+in_two_wheeler_renew^3*SUMIFS(AR454:AR505,B454:B505,B468-36)+in_two_wheeler_renew^4*SUMIFS(AR454:AR505,B454:B505,B468-48))</f>
        <v/>
      </c>
      <c r="AT468" s="40">
        <f>AT467*(1-IF(B467&gt;=in_marketplace_from,d_hz_device*G467,0))</f>
        <v/>
      </c>
      <c r="AU468" s="14">
        <f>F468*AT468*IF(B468&gt;=in_marketplace_from,d_hz_device*G468,0)*in_device_ticket*in_device_comm*in_ins_partner_share</f>
        <v/>
      </c>
      <c r="AV468" s="40">
        <f>AV467*(1-IF(B467&gt;=in_marketplace_from,d_hz_shop*G467,0))</f>
        <v/>
      </c>
      <c r="AW468" s="46">
        <f>AV468*IF(B468&gt;=in_marketplace_from,d_hz_shop*G468,0)</f>
        <v/>
      </c>
      <c r="AX468" s="14">
        <f>F468*AW468*in_shop_ticket*in_shop_comm*in_ins_partner_share+F468*in_shop_ticket*in_shop_renew_comm*in_ins_partner_share*(in_shop_renew^1*SUMIFS(AW454:AW505,B454:B505,B468-12)+in_shop_renew^2*SUMIFS(AW454:AW505,B454:B505,B468-24)+in_shop_renew^3*SUMIFS(AW454:AW505,B454:B505,B468-36)+in_shop_renew^4*SUMIFS(AW454:AW505,B454:B505,B468-48))</f>
        <v/>
      </c>
      <c r="AY468" s="40">
        <f>AY467*(1-IF(B467&gt;=in_marketplace_from,d_hz_sip*G467,0))</f>
        <v/>
      </c>
      <c r="AZ468" s="40">
        <f>AZ467*d_rho_sip+AY468*IF(B468&gt;=in_marketplace_from,d_hz_sip*G468,0)</f>
        <v/>
      </c>
      <c r="BA468" s="40">
        <f>d_rho_sip*(BA467+AZ467)</f>
        <v/>
      </c>
      <c r="BB468" s="14">
        <f>F468*in_sip_ticket*(BA468+0.5*AZ468)*in_sip_comm/12</f>
        <v/>
      </c>
      <c r="BC468" s="40">
        <f>BC467*(1-IF(B467&gt;=in_marketplace_from,d_hz_choti*G467,0))</f>
        <v/>
      </c>
      <c r="BD468" s="46">
        <f>BC468*IF(B468&gt;=in_marketplace_from,d_hz_choti*G468,0)</f>
        <v/>
      </c>
      <c r="BE468" s="14">
        <f>F468*SUMIFS(BD454:BD505,B454:B505,B468-in_choti_months)*in_choti_renew*in_choti_ticket</f>
        <v/>
      </c>
      <c r="BF468" s="40">
        <f>BF467*(1-IF(B467&gt;=in_marketplace_from,d_hz_nps*G467,0))</f>
        <v/>
      </c>
      <c r="BG468" s="14">
        <f>F468*BF468*IF(B468&gt;=in_marketplace_from,d_hz_nps*G468,0)*in_nps_ticket*in_nps_comm</f>
        <v/>
      </c>
      <c r="BH468" s="40">
        <f>BH467*(1-IF(B467&gt;=in_marketplace_from,d_hz_gold*G467,0))</f>
        <v/>
      </c>
      <c r="BI468" s="40">
        <f>BI467*d_rho_gold+BH468*IF(B468&gt;=in_marketplace_from,d_hz_gold*G468,0)</f>
        <v/>
      </c>
      <c r="BJ468" s="14">
        <f>F468*BI468*in_gold_ticket*in_gold_comm</f>
        <v/>
      </c>
      <c r="BK468" s="40">
        <f>BK467*(1-IF(B467&gt;=in_marketplace_from,d_hz_fd*G467,0))</f>
        <v/>
      </c>
      <c r="BL468" s="14">
        <f>F468*BK468*IF(B468&gt;=in_marketplace_from,d_hz_fd*G468,0)*in_fd_ticket*in_fd_comm</f>
        <v/>
      </c>
      <c r="BM468" s="40">
        <f>BM467*(1-IF(B467&gt;=in_marketplace_from,d_hz_recharge*G467,0))</f>
        <v/>
      </c>
      <c r="BN468" s="40">
        <f>BN467*d_rho_recharge+BM468*IF(B468&gt;=in_marketplace_from,d_hz_recharge*G468,0)</f>
        <v/>
      </c>
      <c r="BO468" s="14">
        <f>F468*BN468*in_recharge_ticket*in_recharge_comm/12</f>
        <v/>
      </c>
      <c r="BP468" s="40">
        <f>BP467*(1-IF(B467&gt;=in_marketplace_from,d_hz_bills*G467,0))</f>
        <v/>
      </c>
      <c r="BQ468" s="40">
        <f>BQ467*d_rho_bills+BP468*IF(B468&gt;=in_marketplace_from,d_hz_bills*G468,0)</f>
        <v/>
      </c>
      <c r="BR468" s="14">
        <f>F468*BQ468*in_bills_ticket*in_bills_comm/12</f>
        <v/>
      </c>
      <c r="BS468" s="40">
        <f>BS467*(1-IF(B467&gt;=in_marketplace_from,d_hz_loan_gold*G467,0))</f>
        <v/>
      </c>
      <c r="BT468" s="14">
        <f>F468*BS468*IF(B468&gt;=in_marketplace_from,d_hz_loan_gold*G468,0)*in_loan_gold_ticket*in_loan_gold_comm</f>
        <v/>
      </c>
      <c r="BU468" s="40">
        <f>BU467*(1-IF(B467&gt;=in_marketplace_from,d_hz_loan_cd*G467,0))</f>
        <v/>
      </c>
      <c r="BV468" s="14">
        <f>F468*BU468*IF(B468&gt;=in_marketplace_from,d_hz_loan_cd*G468,0)*in_loan_cd_ticket*in_loan_cd_comm</f>
        <v/>
      </c>
      <c r="BW468" s="40">
        <f>BW467*(1-IF(B467&gt;=in_marketplace_from,d_hz_loan_vehicle*G467,0))</f>
        <v/>
      </c>
      <c r="BX468" s="14">
        <f>F468*BW468*IF(B468&gt;=in_marketplace_from,d_hz_loan_vehicle*G468,0)*in_loan_vehicle_ticket*in_loan_vehicle_comm</f>
        <v/>
      </c>
      <c r="BY468" s="40">
        <f>BY467*(1-IF(B467&gt;=in_marketplace_from,d_hz_loan_home*G467,0)*BZ467)</f>
        <v/>
      </c>
      <c r="BZ468" s="11">
        <f>MIN(in_approval_cap,in_loan_home_approval*INDEX('Age profile'!$O$2:$O$61,B468)*(1+in_approval_growth)^(D468-1))</f>
        <v/>
      </c>
      <c r="CA468" s="14">
        <f>F468*BY468*IF(B468&gt;=in_marketplace_from,d_hz_loan_home*G468,0)*BZ468*in_loan_home_ticket*in_loan_home_comm</f>
        <v/>
      </c>
      <c r="CB468" s="40">
        <f>CB467*(1-IF(B467&gt;=in_marketplace_from,d_hz_loan_lap*G467,0)*CC467)</f>
        <v/>
      </c>
      <c r="CC468" s="11">
        <f>MIN(in_approval_cap,in_loan_lap_approval*INDEX('Age profile'!$O$2:$O$61,B468)*(1+in_approval_growth)^(D468-1))</f>
        <v/>
      </c>
      <c r="CD468" s="14">
        <f>F468*CB468*IF(B468&gt;=in_marketplace_from,d_hz_loan_lap*G468,0)*CC468*in_loan_lap_ticket*in_loan_lap_comm</f>
        <v/>
      </c>
      <c r="CE468" s="14">
        <f>AA468+AB468+AC468+AD468+AG468+AJ468+AM468+AP468+AS468+AU468+AX468+BB468+BE468+BG468+BJ468+BL468+BO468+BR468+BT468+BV468+BX468+CA468+CD468</f>
        <v/>
      </c>
    </row>
    <row r="469">
      <c r="A469" s="39" t="n">
        <v>9</v>
      </c>
      <c r="B469" s="39" t="n">
        <v>16</v>
      </c>
      <c r="C469" s="39">
        <f>A469+B469-1</f>
        <v/>
      </c>
      <c r="D469" s="39">
        <f>INT((C469-1)/12)+1</f>
        <v/>
      </c>
      <c r="E469" s="44">
        <f>INDEX(Monthly!$B$2:$B$61,A469)</f>
        <v/>
      </c>
      <c r="F469" s="44">
        <f>E469*INDEX('Age profile'!$B$2:$B$61,B469)</f>
        <v/>
      </c>
      <c r="G469" s="45">
        <f>MIN(in_takeup_cap,INDEX('Age profile'!$N$2:$N$61,B469)*(1+in_takeup_growth)^(D469-1))</f>
        <v/>
      </c>
      <c r="H469" s="11">
        <f>MIN(in_approval_cap,in_approved_first*INDEX('Age profile'!$O$2:$O$61,B469)*(1+in_approval_growth)^(D469-1))</f>
        <v/>
      </c>
      <c r="I469" s="45">
        <f>G469*MIN(in_takeup_cap,INDEX('Age profile'!$O$2:$O$61,B469)*(1+in_approval_growth)^(D469-1))</f>
        <v/>
      </c>
      <c r="J469" s="40">
        <f>(J468-L468)*F469/F468</f>
        <v/>
      </c>
      <c r="K469" s="40">
        <f>(K468-M468)*F469/F468+SUMIFS(O454:O468,B454:B468,B469-1-d_T)*F469</f>
        <v/>
      </c>
      <c r="L469" s="40">
        <f>IF(B469&gt;=in_marketplace_from,J469*d_hz*G469*in_eligible*H469,0)</f>
        <v/>
      </c>
      <c r="M469" s="40">
        <f>IF(B469&gt;=in_marketplace_from,K469*d_hz*G469*in_eligible*in_approved_repeat,0)</f>
        <v/>
      </c>
      <c r="N469" s="40">
        <f>L469+M469</f>
        <v/>
      </c>
      <c r="O469" s="46">
        <f>N469/F469</f>
        <v/>
      </c>
      <c r="P469" s="40">
        <f>F469-J469-K469</f>
        <v/>
      </c>
      <c r="Q469" s="40">
        <f>IF(B469&gt;=in_marketplace_from,(J469+K469)*d_hz*G469,0)</f>
        <v/>
      </c>
      <c r="R469" s="40">
        <f>SUMIFS(N454:N505,B454:B505,"&gt;="&amp;(B469-d_T),B454:B505,"&lt;="&amp;(B469-1))</f>
        <v/>
      </c>
      <c r="S469" s="46">
        <f>(1-d_u)*S468+IF(d_T&gt;in_topup_lag,SUMIFS(O454:O505,B454:B505,B469-in_topup_lag)-d_udrop*SUMIFS(O454:O505,B454:B505,B469-d_T),0)</f>
        <v/>
      </c>
      <c r="T469" s="40">
        <f>F469*d_u*S469</f>
        <v/>
      </c>
      <c r="U469" s="9">
        <f>L469*in_ticket+M469*d_rep_ticket</f>
        <v/>
      </c>
      <c r="V469" s="9">
        <f>U469+T469*d_topup_amt</f>
        <v/>
      </c>
      <c r="W469" s="40">
        <f>N469+T469*d_topup_ratio</f>
        <v/>
      </c>
      <c r="X469" s="40">
        <f>SUMIFS(W454:W505,B454:B505,B469-in_dpd_lag)*d_cured</f>
        <v/>
      </c>
      <c r="Y469" s="40">
        <f>SUMIFS(W454:W505,B454:B505,B469-in_rec_lag)*d_recd</f>
        <v/>
      </c>
      <c r="Z469" s="40">
        <f>IF(AND(B469&gt;=in_marketplace_from,B469&lt;in_marketplace_from+in_card_months),in_card_share/in_card_months*F469*I469,IF(AND(B469&gt;=in_marketplace_from+in_card_months,B469&lt;in_marketplace_from+2*in_card_months),in_card_share*d_card_rem/in_card_months*F469*MIN(in_takeup_cap,(1+in_takeup_growth)^(D469-1))*MIN(in_takeup_cap,(1+in_approval_growth)^(D469-1)),0))</f>
        <v/>
      </c>
      <c r="AA469" s="14">
        <f>V469*in_fee*(1-in_taken_back)</f>
        <v/>
      </c>
      <c r="AB469" s="14">
        <f>SUMIFS(W454:W505,B454:B505,B469-in_dpd_lag)*d_dpd</f>
        <v/>
      </c>
      <c r="AC469" s="14">
        <f>SUMIFS(W454:W505,B454:B505,B469-in_rec_lag)*d_rec</f>
        <v/>
      </c>
      <c r="AD469" s="14">
        <f>Z469*in_card_fee</f>
        <v/>
      </c>
      <c r="AE469" s="40">
        <f>AE468*(1-IF(B468&gt;=in_marketplace_from,d_hz_hlth_small*G468,0))</f>
        <v/>
      </c>
      <c r="AF469" s="46">
        <f>AE469*IF(B469&gt;=in_marketplace_from,d_hz_hlth_small*G469,0)</f>
        <v/>
      </c>
      <c r="AG469" s="14">
        <f>F469*AF469*in_hlth_small_ticket*in_hlth_small_comm*in_ins_partner_share+F469*in_hlth_small_ticket*in_hlth_small_renew_comm*in_ins_partner_share*(in_hlth_small_renew^1*SUMIFS(AF454:AF505,B454:B505,B469-12)+in_hlth_small_renew^2*SUMIFS(AF454:AF505,B454:B505,B469-24)+in_hlth_small_renew^3*SUMIFS(AF454:AF505,B454:B505,B469-36)+in_hlth_small_renew^4*SUMIFS(AF454:AF505,B454:B505,B469-48))</f>
        <v/>
      </c>
      <c r="AH469" s="40">
        <f>AH468*(1-IF(B468&gt;=in_marketplace_from,d_hz_hlth_family*G468,0))</f>
        <v/>
      </c>
      <c r="AI469" s="46">
        <f>AH469*IF(B469&gt;=in_marketplace_from,d_hz_hlth_family*G469,0)</f>
        <v/>
      </c>
      <c r="AJ469" s="14">
        <f>F469*AI469*in_hlth_family_ticket*in_hlth_family_comm*in_ins_partner_share+F469*in_hlth_family_ticket*in_hlth_family_renew_comm*in_ins_partner_share*(in_hlth_family_renew^1*SUMIFS(AI454:AI505,B454:B505,B469-12)+in_hlth_family_renew^2*SUMIFS(AI454:AI505,B454:B505,B469-24)+in_hlth_family_renew^3*SUMIFS(AI454:AI505,B454:B505,B469-36)+in_hlth_family_renew^4*SUMIFS(AI454:AI505,B454:B505,B469-48))</f>
        <v/>
      </c>
      <c r="AK469" s="40">
        <f>AK468*(1-IF(B468&gt;=in_marketplace_from,d_hz_life_term*G468,0))</f>
        <v/>
      </c>
      <c r="AL469" s="46">
        <f>AK469*IF(B469&gt;=in_marketplace_from,d_hz_life_term*G469,0)</f>
        <v/>
      </c>
      <c r="AM469" s="14">
        <f>F469*AL469*in_life_term_ticket*in_life_term_comm*in_ins_partner_share+F469*in_life_term_ticket*in_life_term_renew_comm*in_ins_partner_share*(in_life_term_renew^1*SUMIFS(AL454:AL505,B454:B505,B469-12)+in_life_term_renew^2*SUMIFS(AL454:AL505,B454:B505,B469-24)+in_life_term_renew^3*SUMIFS(AL454:AL505,B454:B505,B469-36)+in_life_term_renew^4*SUMIFS(AL454:AL505,B454:B505,B469-48))</f>
        <v/>
      </c>
      <c r="AN469" s="40">
        <f>AN468*(1-IF(B468&gt;=in_marketplace_from,d_hz_accident*G468,0))</f>
        <v/>
      </c>
      <c r="AO469" s="46">
        <f>AN469*IF(B469&gt;=in_marketplace_from,d_hz_accident*G469,0)</f>
        <v/>
      </c>
      <c r="AP469" s="14">
        <f>F469*AO469*in_accident_ticket*in_accident_comm*in_ins_partner_share+F469*in_accident_ticket*in_accident_renew_comm*in_ins_partner_share*(in_accident_renew^1*SUMIFS(AO454:AO505,B454:B505,B469-12)+in_accident_renew^2*SUMIFS(AO454:AO505,B454:B505,B469-24)+in_accident_renew^3*SUMIFS(AO454:AO505,B454:B505,B469-36)+in_accident_renew^4*SUMIFS(AO454:AO505,B454:B505,B469-48))</f>
        <v/>
      </c>
      <c r="AQ469" s="40">
        <f>AQ468*(1-IF(B468&gt;=in_marketplace_from,d_hz_two_wheeler*G468,0))</f>
        <v/>
      </c>
      <c r="AR469" s="46">
        <f>AQ469*IF(B469&gt;=in_marketplace_from,d_hz_two_wheeler*G469,0)</f>
        <v/>
      </c>
      <c r="AS469" s="14">
        <f>F469*AR469*in_two_wheeler_ticket*in_two_wheeler_comm*in_ins_partner_share+F469*in_two_wheeler_ticket*in_two_wheeler_comm*in_ins_partner_share*(in_two_wheeler_renew^1*SUMIFS(AR454:AR505,B454:B505,B469-12)+in_two_wheeler_renew^2*SUMIFS(AR454:AR505,B454:B505,B469-24)+in_two_wheeler_renew^3*SUMIFS(AR454:AR505,B454:B505,B469-36)+in_two_wheeler_renew^4*SUMIFS(AR454:AR505,B454:B505,B469-48))</f>
        <v/>
      </c>
      <c r="AT469" s="40">
        <f>AT468*(1-IF(B468&gt;=in_marketplace_from,d_hz_device*G468,0))</f>
        <v/>
      </c>
      <c r="AU469" s="14">
        <f>F469*AT469*IF(B469&gt;=in_marketplace_from,d_hz_device*G469,0)*in_device_ticket*in_device_comm*in_ins_partner_share</f>
        <v/>
      </c>
      <c r="AV469" s="40">
        <f>AV468*(1-IF(B468&gt;=in_marketplace_from,d_hz_shop*G468,0))</f>
        <v/>
      </c>
      <c r="AW469" s="46">
        <f>AV469*IF(B469&gt;=in_marketplace_from,d_hz_shop*G469,0)</f>
        <v/>
      </c>
      <c r="AX469" s="14">
        <f>F469*AW469*in_shop_ticket*in_shop_comm*in_ins_partner_share+F469*in_shop_ticket*in_shop_renew_comm*in_ins_partner_share*(in_shop_renew^1*SUMIFS(AW454:AW505,B454:B505,B469-12)+in_shop_renew^2*SUMIFS(AW454:AW505,B454:B505,B469-24)+in_shop_renew^3*SUMIFS(AW454:AW505,B454:B505,B469-36)+in_shop_renew^4*SUMIFS(AW454:AW505,B454:B505,B469-48))</f>
        <v/>
      </c>
      <c r="AY469" s="40">
        <f>AY468*(1-IF(B468&gt;=in_marketplace_from,d_hz_sip*G468,0))</f>
        <v/>
      </c>
      <c r="AZ469" s="40">
        <f>AZ468*d_rho_sip+AY469*IF(B469&gt;=in_marketplace_from,d_hz_sip*G469,0)</f>
        <v/>
      </c>
      <c r="BA469" s="40">
        <f>d_rho_sip*(BA468+AZ468)</f>
        <v/>
      </c>
      <c r="BB469" s="14">
        <f>F469*in_sip_ticket*(BA469+0.5*AZ469)*in_sip_comm/12</f>
        <v/>
      </c>
      <c r="BC469" s="40">
        <f>BC468*(1-IF(B468&gt;=in_marketplace_from,d_hz_choti*G468,0))</f>
        <v/>
      </c>
      <c r="BD469" s="46">
        <f>BC469*IF(B469&gt;=in_marketplace_from,d_hz_choti*G469,0)</f>
        <v/>
      </c>
      <c r="BE469" s="14">
        <f>F469*SUMIFS(BD454:BD505,B454:B505,B469-in_choti_months)*in_choti_renew*in_choti_ticket</f>
        <v/>
      </c>
      <c r="BF469" s="40">
        <f>BF468*(1-IF(B468&gt;=in_marketplace_from,d_hz_nps*G468,0))</f>
        <v/>
      </c>
      <c r="BG469" s="14">
        <f>F469*BF469*IF(B469&gt;=in_marketplace_from,d_hz_nps*G469,0)*in_nps_ticket*in_nps_comm</f>
        <v/>
      </c>
      <c r="BH469" s="40">
        <f>BH468*(1-IF(B468&gt;=in_marketplace_from,d_hz_gold*G468,0))</f>
        <v/>
      </c>
      <c r="BI469" s="40">
        <f>BI468*d_rho_gold+BH469*IF(B469&gt;=in_marketplace_from,d_hz_gold*G469,0)</f>
        <v/>
      </c>
      <c r="BJ469" s="14">
        <f>F469*BI469*in_gold_ticket*in_gold_comm</f>
        <v/>
      </c>
      <c r="BK469" s="40">
        <f>BK468*(1-IF(B468&gt;=in_marketplace_from,d_hz_fd*G468,0))</f>
        <v/>
      </c>
      <c r="BL469" s="14">
        <f>F469*BK469*IF(B469&gt;=in_marketplace_from,d_hz_fd*G469,0)*in_fd_ticket*in_fd_comm</f>
        <v/>
      </c>
      <c r="BM469" s="40">
        <f>BM468*(1-IF(B468&gt;=in_marketplace_from,d_hz_recharge*G468,0))</f>
        <v/>
      </c>
      <c r="BN469" s="40">
        <f>BN468*d_rho_recharge+BM469*IF(B469&gt;=in_marketplace_from,d_hz_recharge*G469,0)</f>
        <v/>
      </c>
      <c r="BO469" s="14">
        <f>F469*BN469*in_recharge_ticket*in_recharge_comm/12</f>
        <v/>
      </c>
      <c r="BP469" s="40">
        <f>BP468*(1-IF(B468&gt;=in_marketplace_from,d_hz_bills*G468,0))</f>
        <v/>
      </c>
      <c r="BQ469" s="40">
        <f>BQ468*d_rho_bills+BP469*IF(B469&gt;=in_marketplace_from,d_hz_bills*G469,0)</f>
        <v/>
      </c>
      <c r="BR469" s="14">
        <f>F469*BQ469*in_bills_ticket*in_bills_comm/12</f>
        <v/>
      </c>
      <c r="BS469" s="40">
        <f>BS468*(1-IF(B468&gt;=in_marketplace_from,d_hz_loan_gold*G468,0))</f>
        <v/>
      </c>
      <c r="BT469" s="14">
        <f>F469*BS469*IF(B469&gt;=in_marketplace_from,d_hz_loan_gold*G469,0)*in_loan_gold_ticket*in_loan_gold_comm</f>
        <v/>
      </c>
      <c r="BU469" s="40">
        <f>BU468*(1-IF(B468&gt;=in_marketplace_from,d_hz_loan_cd*G468,0))</f>
        <v/>
      </c>
      <c r="BV469" s="14">
        <f>F469*BU469*IF(B469&gt;=in_marketplace_from,d_hz_loan_cd*G469,0)*in_loan_cd_ticket*in_loan_cd_comm</f>
        <v/>
      </c>
      <c r="BW469" s="40">
        <f>BW468*(1-IF(B468&gt;=in_marketplace_from,d_hz_loan_vehicle*G468,0))</f>
        <v/>
      </c>
      <c r="BX469" s="14">
        <f>F469*BW469*IF(B469&gt;=in_marketplace_from,d_hz_loan_vehicle*G469,0)*in_loan_vehicle_ticket*in_loan_vehicle_comm</f>
        <v/>
      </c>
      <c r="BY469" s="40">
        <f>BY468*(1-IF(B468&gt;=in_marketplace_from,d_hz_loan_home*G468,0)*BZ468)</f>
        <v/>
      </c>
      <c r="BZ469" s="11">
        <f>MIN(in_approval_cap,in_loan_home_approval*INDEX('Age profile'!$O$2:$O$61,B469)*(1+in_approval_growth)^(D469-1))</f>
        <v/>
      </c>
      <c r="CA469" s="14">
        <f>F469*BY469*IF(B469&gt;=in_marketplace_from,d_hz_loan_home*G469,0)*BZ469*in_loan_home_ticket*in_loan_home_comm</f>
        <v/>
      </c>
      <c r="CB469" s="40">
        <f>CB468*(1-IF(B468&gt;=in_marketplace_from,d_hz_loan_lap*G468,0)*CC468)</f>
        <v/>
      </c>
      <c r="CC469" s="11">
        <f>MIN(in_approval_cap,in_loan_lap_approval*INDEX('Age profile'!$O$2:$O$61,B469)*(1+in_approval_growth)^(D469-1))</f>
        <v/>
      </c>
      <c r="CD469" s="14">
        <f>F469*CB469*IF(B469&gt;=in_marketplace_from,d_hz_loan_lap*G469,0)*CC469*in_loan_lap_ticket*in_loan_lap_comm</f>
        <v/>
      </c>
      <c r="CE469" s="14">
        <f>AA469+AB469+AC469+AD469+AG469+AJ469+AM469+AP469+AS469+AU469+AX469+BB469+BE469+BG469+BJ469+BL469+BO469+BR469+BT469+BV469+BX469+CA469+CD469</f>
        <v/>
      </c>
    </row>
    <row r="470">
      <c r="A470" s="39" t="n">
        <v>9</v>
      </c>
      <c r="B470" s="39" t="n">
        <v>17</v>
      </c>
      <c r="C470" s="39">
        <f>A470+B470-1</f>
        <v/>
      </c>
      <c r="D470" s="39">
        <f>INT((C470-1)/12)+1</f>
        <v/>
      </c>
      <c r="E470" s="44">
        <f>INDEX(Monthly!$B$2:$B$61,A470)</f>
        <v/>
      </c>
      <c r="F470" s="44">
        <f>E470*INDEX('Age profile'!$B$2:$B$61,B470)</f>
        <v/>
      </c>
      <c r="G470" s="45">
        <f>MIN(in_takeup_cap,INDEX('Age profile'!$N$2:$N$61,B470)*(1+in_takeup_growth)^(D470-1))</f>
        <v/>
      </c>
      <c r="H470" s="11">
        <f>MIN(in_approval_cap,in_approved_first*INDEX('Age profile'!$O$2:$O$61,B470)*(1+in_approval_growth)^(D470-1))</f>
        <v/>
      </c>
      <c r="I470" s="45">
        <f>G470*MIN(in_takeup_cap,INDEX('Age profile'!$O$2:$O$61,B470)*(1+in_approval_growth)^(D470-1))</f>
        <v/>
      </c>
      <c r="J470" s="40">
        <f>(J469-L469)*F470/F469</f>
        <v/>
      </c>
      <c r="K470" s="40">
        <f>(K469-M469)*F470/F469+SUMIFS(O454:O469,B454:B469,B470-1-d_T)*F470</f>
        <v/>
      </c>
      <c r="L470" s="40">
        <f>IF(B470&gt;=in_marketplace_from,J470*d_hz*G470*in_eligible*H470,0)</f>
        <v/>
      </c>
      <c r="M470" s="40">
        <f>IF(B470&gt;=in_marketplace_from,K470*d_hz*G470*in_eligible*in_approved_repeat,0)</f>
        <v/>
      </c>
      <c r="N470" s="40">
        <f>L470+M470</f>
        <v/>
      </c>
      <c r="O470" s="46">
        <f>N470/F470</f>
        <v/>
      </c>
      <c r="P470" s="40">
        <f>F470-J470-K470</f>
        <v/>
      </c>
      <c r="Q470" s="40">
        <f>IF(B470&gt;=in_marketplace_from,(J470+K470)*d_hz*G470,0)</f>
        <v/>
      </c>
      <c r="R470" s="40">
        <f>SUMIFS(N454:N505,B454:B505,"&gt;="&amp;(B470-d_T),B454:B505,"&lt;="&amp;(B470-1))</f>
        <v/>
      </c>
      <c r="S470" s="46">
        <f>(1-d_u)*S469+IF(d_T&gt;in_topup_lag,SUMIFS(O454:O505,B454:B505,B470-in_topup_lag)-d_udrop*SUMIFS(O454:O505,B454:B505,B470-d_T),0)</f>
        <v/>
      </c>
      <c r="T470" s="40">
        <f>F470*d_u*S470</f>
        <v/>
      </c>
      <c r="U470" s="9">
        <f>L470*in_ticket+M470*d_rep_ticket</f>
        <v/>
      </c>
      <c r="V470" s="9">
        <f>U470+T470*d_topup_amt</f>
        <v/>
      </c>
      <c r="W470" s="40">
        <f>N470+T470*d_topup_ratio</f>
        <v/>
      </c>
      <c r="X470" s="40">
        <f>SUMIFS(W454:W505,B454:B505,B470-in_dpd_lag)*d_cured</f>
        <v/>
      </c>
      <c r="Y470" s="40">
        <f>SUMIFS(W454:W505,B454:B505,B470-in_rec_lag)*d_recd</f>
        <v/>
      </c>
      <c r="Z470" s="40">
        <f>IF(AND(B470&gt;=in_marketplace_from,B470&lt;in_marketplace_from+in_card_months),in_card_share/in_card_months*F470*I470,IF(AND(B470&gt;=in_marketplace_from+in_card_months,B470&lt;in_marketplace_from+2*in_card_months),in_card_share*d_card_rem/in_card_months*F470*MIN(in_takeup_cap,(1+in_takeup_growth)^(D470-1))*MIN(in_takeup_cap,(1+in_approval_growth)^(D470-1)),0))</f>
        <v/>
      </c>
      <c r="AA470" s="14">
        <f>V470*in_fee*(1-in_taken_back)</f>
        <v/>
      </c>
      <c r="AB470" s="14">
        <f>SUMIFS(W454:W505,B454:B505,B470-in_dpd_lag)*d_dpd</f>
        <v/>
      </c>
      <c r="AC470" s="14">
        <f>SUMIFS(W454:W505,B454:B505,B470-in_rec_lag)*d_rec</f>
        <v/>
      </c>
      <c r="AD470" s="14">
        <f>Z470*in_card_fee</f>
        <v/>
      </c>
      <c r="AE470" s="40">
        <f>AE469*(1-IF(B469&gt;=in_marketplace_from,d_hz_hlth_small*G469,0))</f>
        <v/>
      </c>
      <c r="AF470" s="46">
        <f>AE470*IF(B470&gt;=in_marketplace_from,d_hz_hlth_small*G470,0)</f>
        <v/>
      </c>
      <c r="AG470" s="14">
        <f>F470*AF470*in_hlth_small_ticket*in_hlth_small_comm*in_ins_partner_share+F470*in_hlth_small_ticket*in_hlth_small_renew_comm*in_ins_partner_share*(in_hlth_small_renew^1*SUMIFS(AF454:AF505,B454:B505,B470-12)+in_hlth_small_renew^2*SUMIFS(AF454:AF505,B454:B505,B470-24)+in_hlth_small_renew^3*SUMIFS(AF454:AF505,B454:B505,B470-36)+in_hlth_small_renew^4*SUMIFS(AF454:AF505,B454:B505,B470-48))</f>
        <v/>
      </c>
      <c r="AH470" s="40">
        <f>AH469*(1-IF(B469&gt;=in_marketplace_from,d_hz_hlth_family*G469,0))</f>
        <v/>
      </c>
      <c r="AI470" s="46">
        <f>AH470*IF(B470&gt;=in_marketplace_from,d_hz_hlth_family*G470,0)</f>
        <v/>
      </c>
      <c r="AJ470" s="14">
        <f>F470*AI470*in_hlth_family_ticket*in_hlth_family_comm*in_ins_partner_share+F470*in_hlth_family_ticket*in_hlth_family_renew_comm*in_ins_partner_share*(in_hlth_family_renew^1*SUMIFS(AI454:AI505,B454:B505,B470-12)+in_hlth_family_renew^2*SUMIFS(AI454:AI505,B454:B505,B470-24)+in_hlth_family_renew^3*SUMIFS(AI454:AI505,B454:B505,B470-36)+in_hlth_family_renew^4*SUMIFS(AI454:AI505,B454:B505,B470-48))</f>
        <v/>
      </c>
      <c r="AK470" s="40">
        <f>AK469*(1-IF(B469&gt;=in_marketplace_from,d_hz_life_term*G469,0))</f>
        <v/>
      </c>
      <c r="AL470" s="46">
        <f>AK470*IF(B470&gt;=in_marketplace_from,d_hz_life_term*G470,0)</f>
        <v/>
      </c>
      <c r="AM470" s="14">
        <f>F470*AL470*in_life_term_ticket*in_life_term_comm*in_ins_partner_share+F470*in_life_term_ticket*in_life_term_renew_comm*in_ins_partner_share*(in_life_term_renew^1*SUMIFS(AL454:AL505,B454:B505,B470-12)+in_life_term_renew^2*SUMIFS(AL454:AL505,B454:B505,B470-24)+in_life_term_renew^3*SUMIFS(AL454:AL505,B454:B505,B470-36)+in_life_term_renew^4*SUMIFS(AL454:AL505,B454:B505,B470-48))</f>
        <v/>
      </c>
      <c r="AN470" s="40">
        <f>AN469*(1-IF(B469&gt;=in_marketplace_from,d_hz_accident*G469,0))</f>
        <v/>
      </c>
      <c r="AO470" s="46">
        <f>AN470*IF(B470&gt;=in_marketplace_from,d_hz_accident*G470,0)</f>
        <v/>
      </c>
      <c r="AP470" s="14">
        <f>F470*AO470*in_accident_ticket*in_accident_comm*in_ins_partner_share+F470*in_accident_ticket*in_accident_renew_comm*in_ins_partner_share*(in_accident_renew^1*SUMIFS(AO454:AO505,B454:B505,B470-12)+in_accident_renew^2*SUMIFS(AO454:AO505,B454:B505,B470-24)+in_accident_renew^3*SUMIFS(AO454:AO505,B454:B505,B470-36)+in_accident_renew^4*SUMIFS(AO454:AO505,B454:B505,B470-48))</f>
        <v/>
      </c>
      <c r="AQ470" s="40">
        <f>AQ469*(1-IF(B469&gt;=in_marketplace_from,d_hz_two_wheeler*G469,0))</f>
        <v/>
      </c>
      <c r="AR470" s="46">
        <f>AQ470*IF(B470&gt;=in_marketplace_from,d_hz_two_wheeler*G470,0)</f>
        <v/>
      </c>
      <c r="AS470" s="14">
        <f>F470*AR470*in_two_wheeler_ticket*in_two_wheeler_comm*in_ins_partner_share+F470*in_two_wheeler_ticket*in_two_wheeler_comm*in_ins_partner_share*(in_two_wheeler_renew^1*SUMIFS(AR454:AR505,B454:B505,B470-12)+in_two_wheeler_renew^2*SUMIFS(AR454:AR505,B454:B505,B470-24)+in_two_wheeler_renew^3*SUMIFS(AR454:AR505,B454:B505,B470-36)+in_two_wheeler_renew^4*SUMIFS(AR454:AR505,B454:B505,B470-48))</f>
        <v/>
      </c>
      <c r="AT470" s="40">
        <f>AT469*(1-IF(B469&gt;=in_marketplace_from,d_hz_device*G469,0))</f>
        <v/>
      </c>
      <c r="AU470" s="14">
        <f>F470*AT470*IF(B470&gt;=in_marketplace_from,d_hz_device*G470,0)*in_device_ticket*in_device_comm*in_ins_partner_share</f>
        <v/>
      </c>
      <c r="AV470" s="40">
        <f>AV469*(1-IF(B469&gt;=in_marketplace_from,d_hz_shop*G469,0))</f>
        <v/>
      </c>
      <c r="AW470" s="46">
        <f>AV470*IF(B470&gt;=in_marketplace_from,d_hz_shop*G470,0)</f>
        <v/>
      </c>
      <c r="AX470" s="14">
        <f>F470*AW470*in_shop_ticket*in_shop_comm*in_ins_partner_share+F470*in_shop_ticket*in_shop_renew_comm*in_ins_partner_share*(in_shop_renew^1*SUMIFS(AW454:AW505,B454:B505,B470-12)+in_shop_renew^2*SUMIFS(AW454:AW505,B454:B505,B470-24)+in_shop_renew^3*SUMIFS(AW454:AW505,B454:B505,B470-36)+in_shop_renew^4*SUMIFS(AW454:AW505,B454:B505,B470-48))</f>
        <v/>
      </c>
      <c r="AY470" s="40">
        <f>AY469*(1-IF(B469&gt;=in_marketplace_from,d_hz_sip*G469,0))</f>
        <v/>
      </c>
      <c r="AZ470" s="40">
        <f>AZ469*d_rho_sip+AY470*IF(B470&gt;=in_marketplace_from,d_hz_sip*G470,0)</f>
        <v/>
      </c>
      <c r="BA470" s="40">
        <f>d_rho_sip*(BA469+AZ469)</f>
        <v/>
      </c>
      <c r="BB470" s="14">
        <f>F470*in_sip_ticket*(BA470+0.5*AZ470)*in_sip_comm/12</f>
        <v/>
      </c>
      <c r="BC470" s="40">
        <f>BC469*(1-IF(B469&gt;=in_marketplace_from,d_hz_choti*G469,0))</f>
        <v/>
      </c>
      <c r="BD470" s="46">
        <f>BC470*IF(B470&gt;=in_marketplace_from,d_hz_choti*G470,0)</f>
        <v/>
      </c>
      <c r="BE470" s="14">
        <f>F470*SUMIFS(BD454:BD505,B454:B505,B470-in_choti_months)*in_choti_renew*in_choti_ticket</f>
        <v/>
      </c>
      <c r="BF470" s="40">
        <f>BF469*(1-IF(B469&gt;=in_marketplace_from,d_hz_nps*G469,0))</f>
        <v/>
      </c>
      <c r="BG470" s="14">
        <f>F470*BF470*IF(B470&gt;=in_marketplace_from,d_hz_nps*G470,0)*in_nps_ticket*in_nps_comm</f>
        <v/>
      </c>
      <c r="BH470" s="40">
        <f>BH469*(1-IF(B469&gt;=in_marketplace_from,d_hz_gold*G469,0))</f>
        <v/>
      </c>
      <c r="BI470" s="40">
        <f>BI469*d_rho_gold+BH470*IF(B470&gt;=in_marketplace_from,d_hz_gold*G470,0)</f>
        <v/>
      </c>
      <c r="BJ470" s="14">
        <f>F470*BI470*in_gold_ticket*in_gold_comm</f>
        <v/>
      </c>
      <c r="BK470" s="40">
        <f>BK469*(1-IF(B469&gt;=in_marketplace_from,d_hz_fd*G469,0))</f>
        <v/>
      </c>
      <c r="BL470" s="14">
        <f>F470*BK470*IF(B470&gt;=in_marketplace_from,d_hz_fd*G470,0)*in_fd_ticket*in_fd_comm</f>
        <v/>
      </c>
      <c r="BM470" s="40">
        <f>BM469*(1-IF(B469&gt;=in_marketplace_from,d_hz_recharge*G469,0))</f>
        <v/>
      </c>
      <c r="BN470" s="40">
        <f>BN469*d_rho_recharge+BM470*IF(B470&gt;=in_marketplace_from,d_hz_recharge*G470,0)</f>
        <v/>
      </c>
      <c r="BO470" s="14">
        <f>F470*BN470*in_recharge_ticket*in_recharge_comm/12</f>
        <v/>
      </c>
      <c r="BP470" s="40">
        <f>BP469*(1-IF(B469&gt;=in_marketplace_from,d_hz_bills*G469,0))</f>
        <v/>
      </c>
      <c r="BQ470" s="40">
        <f>BQ469*d_rho_bills+BP470*IF(B470&gt;=in_marketplace_from,d_hz_bills*G470,0)</f>
        <v/>
      </c>
      <c r="BR470" s="14">
        <f>F470*BQ470*in_bills_ticket*in_bills_comm/12</f>
        <v/>
      </c>
      <c r="BS470" s="40">
        <f>BS469*(1-IF(B469&gt;=in_marketplace_from,d_hz_loan_gold*G469,0))</f>
        <v/>
      </c>
      <c r="BT470" s="14">
        <f>F470*BS470*IF(B470&gt;=in_marketplace_from,d_hz_loan_gold*G470,0)*in_loan_gold_ticket*in_loan_gold_comm</f>
        <v/>
      </c>
      <c r="BU470" s="40">
        <f>BU469*(1-IF(B469&gt;=in_marketplace_from,d_hz_loan_cd*G469,0))</f>
        <v/>
      </c>
      <c r="BV470" s="14">
        <f>F470*BU470*IF(B470&gt;=in_marketplace_from,d_hz_loan_cd*G470,0)*in_loan_cd_ticket*in_loan_cd_comm</f>
        <v/>
      </c>
      <c r="BW470" s="40">
        <f>BW469*(1-IF(B469&gt;=in_marketplace_from,d_hz_loan_vehicle*G469,0))</f>
        <v/>
      </c>
      <c r="BX470" s="14">
        <f>F470*BW470*IF(B470&gt;=in_marketplace_from,d_hz_loan_vehicle*G470,0)*in_loan_vehicle_ticket*in_loan_vehicle_comm</f>
        <v/>
      </c>
      <c r="BY470" s="40">
        <f>BY469*(1-IF(B469&gt;=in_marketplace_from,d_hz_loan_home*G469,0)*BZ469)</f>
        <v/>
      </c>
      <c r="BZ470" s="11">
        <f>MIN(in_approval_cap,in_loan_home_approval*INDEX('Age profile'!$O$2:$O$61,B470)*(1+in_approval_growth)^(D470-1))</f>
        <v/>
      </c>
      <c r="CA470" s="14">
        <f>F470*BY470*IF(B470&gt;=in_marketplace_from,d_hz_loan_home*G470,0)*BZ470*in_loan_home_ticket*in_loan_home_comm</f>
        <v/>
      </c>
      <c r="CB470" s="40">
        <f>CB469*(1-IF(B469&gt;=in_marketplace_from,d_hz_loan_lap*G469,0)*CC469)</f>
        <v/>
      </c>
      <c r="CC470" s="11">
        <f>MIN(in_approval_cap,in_loan_lap_approval*INDEX('Age profile'!$O$2:$O$61,B470)*(1+in_approval_growth)^(D470-1))</f>
        <v/>
      </c>
      <c r="CD470" s="14">
        <f>F470*CB470*IF(B470&gt;=in_marketplace_from,d_hz_loan_lap*G470,0)*CC470*in_loan_lap_ticket*in_loan_lap_comm</f>
        <v/>
      </c>
      <c r="CE470" s="14">
        <f>AA470+AB470+AC470+AD470+AG470+AJ470+AM470+AP470+AS470+AU470+AX470+BB470+BE470+BG470+BJ470+BL470+BO470+BR470+BT470+BV470+BX470+CA470+CD470</f>
        <v/>
      </c>
    </row>
    <row r="471">
      <c r="A471" s="39" t="n">
        <v>9</v>
      </c>
      <c r="B471" s="39" t="n">
        <v>18</v>
      </c>
      <c r="C471" s="39">
        <f>A471+B471-1</f>
        <v/>
      </c>
      <c r="D471" s="39">
        <f>INT((C471-1)/12)+1</f>
        <v/>
      </c>
      <c r="E471" s="44">
        <f>INDEX(Monthly!$B$2:$B$61,A471)</f>
        <v/>
      </c>
      <c r="F471" s="44">
        <f>E471*INDEX('Age profile'!$B$2:$B$61,B471)</f>
        <v/>
      </c>
      <c r="G471" s="45">
        <f>MIN(in_takeup_cap,INDEX('Age profile'!$N$2:$N$61,B471)*(1+in_takeup_growth)^(D471-1))</f>
        <v/>
      </c>
      <c r="H471" s="11">
        <f>MIN(in_approval_cap,in_approved_first*INDEX('Age profile'!$O$2:$O$61,B471)*(1+in_approval_growth)^(D471-1))</f>
        <v/>
      </c>
      <c r="I471" s="45">
        <f>G471*MIN(in_takeup_cap,INDEX('Age profile'!$O$2:$O$61,B471)*(1+in_approval_growth)^(D471-1))</f>
        <v/>
      </c>
      <c r="J471" s="40">
        <f>(J470-L470)*F471/F470</f>
        <v/>
      </c>
      <c r="K471" s="40">
        <f>(K470-M470)*F471/F470+SUMIFS(O454:O470,B454:B470,B471-1-d_T)*F471</f>
        <v/>
      </c>
      <c r="L471" s="40">
        <f>IF(B471&gt;=in_marketplace_from,J471*d_hz*G471*in_eligible*H471,0)</f>
        <v/>
      </c>
      <c r="M471" s="40">
        <f>IF(B471&gt;=in_marketplace_from,K471*d_hz*G471*in_eligible*in_approved_repeat,0)</f>
        <v/>
      </c>
      <c r="N471" s="40">
        <f>L471+M471</f>
        <v/>
      </c>
      <c r="O471" s="46">
        <f>N471/F471</f>
        <v/>
      </c>
      <c r="P471" s="40">
        <f>F471-J471-K471</f>
        <v/>
      </c>
      <c r="Q471" s="40">
        <f>IF(B471&gt;=in_marketplace_from,(J471+K471)*d_hz*G471,0)</f>
        <v/>
      </c>
      <c r="R471" s="40">
        <f>SUMIFS(N454:N505,B454:B505,"&gt;="&amp;(B471-d_T),B454:B505,"&lt;="&amp;(B471-1))</f>
        <v/>
      </c>
      <c r="S471" s="46">
        <f>(1-d_u)*S470+IF(d_T&gt;in_topup_lag,SUMIFS(O454:O505,B454:B505,B471-in_topup_lag)-d_udrop*SUMIFS(O454:O505,B454:B505,B471-d_T),0)</f>
        <v/>
      </c>
      <c r="T471" s="40">
        <f>F471*d_u*S471</f>
        <v/>
      </c>
      <c r="U471" s="9">
        <f>L471*in_ticket+M471*d_rep_ticket</f>
        <v/>
      </c>
      <c r="V471" s="9">
        <f>U471+T471*d_topup_amt</f>
        <v/>
      </c>
      <c r="W471" s="40">
        <f>N471+T471*d_topup_ratio</f>
        <v/>
      </c>
      <c r="X471" s="40">
        <f>SUMIFS(W454:W505,B454:B505,B471-in_dpd_lag)*d_cured</f>
        <v/>
      </c>
      <c r="Y471" s="40">
        <f>SUMIFS(W454:W505,B454:B505,B471-in_rec_lag)*d_recd</f>
        <v/>
      </c>
      <c r="Z471" s="40">
        <f>IF(AND(B471&gt;=in_marketplace_from,B471&lt;in_marketplace_from+in_card_months),in_card_share/in_card_months*F471*I471,IF(AND(B471&gt;=in_marketplace_from+in_card_months,B471&lt;in_marketplace_from+2*in_card_months),in_card_share*d_card_rem/in_card_months*F471*MIN(in_takeup_cap,(1+in_takeup_growth)^(D471-1))*MIN(in_takeup_cap,(1+in_approval_growth)^(D471-1)),0))</f>
        <v/>
      </c>
      <c r="AA471" s="14">
        <f>V471*in_fee*(1-in_taken_back)</f>
        <v/>
      </c>
      <c r="AB471" s="14">
        <f>SUMIFS(W454:W505,B454:B505,B471-in_dpd_lag)*d_dpd</f>
        <v/>
      </c>
      <c r="AC471" s="14">
        <f>SUMIFS(W454:W505,B454:B505,B471-in_rec_lag)*d_rec</f>
        <v/>
      </c>
      <c r="AD471" s="14">
        <f>Z471*in_card_fee</f>
        <v/>
      </c>
      <c r="AE471" s="40">
        <f>AE470*(1-IF(B470&gt;=in_marketplace_from,d_hz_hlth_small*G470,0))</f>
        <v/>
      </c>
      <c r="AF471" s="46">
        <f>AE471*IF(B471&gt;=in_marketplace_from,d_hz_hlth_small*G471,0)</f>
        <v/>
      </c>
      <c r="AG471" s="14">
        <f>F471*AF471*in_hlth_small_ticket*in_hlth_small_comm*in_ins_partner_share+F471*in_hlth_small_ticket*in_hlth_small_renew_comm*in_ins_partner_share*(in_hlth_small_renew^1*SUMIFS(AF454:AF505,B454:B505,B471-12)+in_hlth_small_renew^2*SUMIFS(AF454:AF505,B454:B505,B471-24)+in_hlth_small_renew^3*SUMIFS(AF454:AF505,B454:B505,B471-36)+in_hlth_small_renew^4*SUMIFS(AF454:AF505,B454:B505,B471-48))</f>
        <v/>
      </c>
      <c r="AH471" s="40">
        <f>AH470*(1-IF(B470&gt;=in_marketplace_from,d_hz_hlth_family*G470,0))</f>
        <v/>
      </c>
      <c r="AI471" s="46">
        <f>AH471*IF(B471&gt;=in_marketplace_from,d_hz_hlth_family*G471,0)</f>
        <v/>
      </c>
      <c r="AJ471" s="14">
        <f>F471*AI471*in_hlth_family_ticket*in_hlth_family_comm*in_ins_partner_share+F471*in_hlth_family_ticket*in_hlth_family_renew_comm*in_ins_partner_share*(in_hlth_family_renew^1*SUMIFS(AI454:AI505,B454:B505,B471-12)+in_hlth_family_renew^2*SUMIFS(AI454:AI505,B454:B505,B471-24)+in_hlth_family_renew^3*SUMIFS(AI454:AI505,B454:B505,B471-36)+in_hlth_family_renew^4*SUMIFS(AI454:AI505,B454:B505,B471-48))</f>
        <v/>
      </c>
      <c r="AK471" s="40">
        <f>AK470*(1-IF(B470&gt;=in_marketplace_from,d_hz_life_term*G470,0))</f>
        <v/>
      </c>
      <c r="AL471" s="46">
        <f>AK471*IF(B471&gt;=in_marketplace_from,d_hz_life_term*G471,0)</f>
        <v/>
      </c>
      <c r="AM471" s="14">
        <f>F471*AL471*in_life_term_ticket*in_life_term_comm*in_ins_partner_share+F471*in_life_term_ticket*in_life_term_renew_comm*in_ins_partner_share*(in_life_term_renew^1*SUMIFS(AL454:AL505,B454:B505,B471-12)+in_life_term_renew^2*SUMIFS(AL454:AL505,B454:B505,B471-24)+in_life_term_renew^3*SUMIFS(AL454:AL505,B454:B505,B471-36)+in_life_term_renew^4*SUMIFS(AL454:AL505,B454:B505,B471-48))</f>
        <v/>
      </c>
      <c r="AN471" s="40">
        <f>AN470*(1-IF(B470&gt;=in_marketplace_from,d_hz_accident*G470,0))</f>
        <v/>
      </c>
      <c r="AO471" s="46">
        <f>AN471*IF(B471&gt;=in_marketplace_from,d_hz_accident*G471,0)</f>
        <v/>
      </c>
      <c r="AP471" s="14">
        <f>F471*AO471*in_accident_ticket*in_accident_comm*in_ins_partner_share+F471*in_accident_ticket*in_accident_renew_comm*in_ins_partner_share*(in_accident_renew^1*SUMIFS(AO454:AO505,B454:B505,B471-12)+in_accident_renew^2*SUMIFS(AO454:AO505,B454:B505,B471-24)+in_accident_renew^3*SUMIFS(AO454:AO505,B454:B505,B471-36)+in_accident_renew^4*SUMIFS(AO454:AO505,B454:B505,B471-48))</f>
        <v/>
      </c>
      <c r="AQ471" s="40">
        <f>AQ470*(1-IF(B470&gt;=in_marketplace_from,d_hz_two_wheeler*G470,0))</f>
        <v/>
      </c>
      <c r="AR471" s="46">
        <f>AQ471*IF(B471&gt;=in_marketplace_from,d_hz_two_wheeler*G471,0)</f>
        <v/>
      </c>
      <c r="AS471" s="14">
        <f>F471*AR471*in_two_wheeler_ticket*in_two_wheeler_comm*in_ins_partner_share+F471*in_two_wheeler_ticket*in_two_wheeler_comm*in_ins_partner_share*(in_two_wheeler_renew^1*SUMIFS(AR454:AR505,B454:B505,B471-12)+in_two_wheeler_renew^2*SUMIFS(AR454:AR505,B454:B505,B471-24)+in_two_wheeler_renew^3*SUMIFS(AR454:AR505,B454:B505,B471-36)+in_two_wheeler_renew^4*SUMIFS(AR454:AR505,B454:B505,B471-48))</f>
        <v/>
      </c>
      <c r="AT471" s="40">
        <f>AT470*(1-IF(B470&gt;=in_marketplace_from,d_hz_device*G470,0))</f>
        <v/>
      </c>
      <c r="AU471" s="14">
        <f>F471*AT471*IF(B471&gt;=in_marketplace_from,d_hz_device*G471,0)*in_device_ticket*in_device_comm*in_ins_partner_share</f>
        <v/>
      </c>
      <c r="AV471" s="40">
        <f>AV470*(1-IF(B470&gt;=in_marketplace_from,d_hz_shop*G470,0))</f>
        <v/>
      </c>
      <c r="AW471" s="46">
        <f>AV471*IF(B471&gt;=in_marketplace_from,d_hz_shop*G471,0)</f>
        <v/>
      </c>
      <c r="AX471" s="14">
        <f>F471*AW471*in_shop_ticket*in_shop_comm*in_ins_partner_share+F471*in_shop_ticket*in_shop_renew_comm*in_ins_partner_share*(in_shop_renew^1*SUMIFS(AW454:AW505,B454:B505,B471-12)+in_shop_renew^2*SUMIFS(AW454:AW505,B454:B505,B471-24)+in_shop_renew^3*SUMIFS(AW454:AW505,B454:B505,B471-36)+in_shop_renew^4*SUMIFS(AW454:AW505,B454:B505,B471-48))</f>
        <v/>
      </c>
      <c r="AY471" s="40">
        <f>AY470*(1-IF(B470&gt;=in_marketplace_from,d_hz_sip*G470,0))</f>
        <v/>
      </c>
      <c r="AZ471" s="40">
        <f>AZ470*d_rho_sip+AY471*IF(B471&gt;=in_marketplace_from,d_hz_sip*G471,0)</f>
        <v/>
      </c>
      <c r="BA471" s="40">
        <f>d_rho_sip*(BA470+AZ470)</f>
        <v/>
      </c>
      <c r="BB471" s="14">
        <f>F471*in_sip_ticket*(BA471+0.5*AZ471)*in_sip_comm/12</f>
        <v/>
      </c>
      <c r="BC471" s="40">
        <f>BC470*(1-IF(B470&gt;=in_marketplace_from,d_hz_choti*G470,0))</f>
        <v/>
      </c>
      <c r="BD471" s="46">
        <f>BC471*IF(B471&gt;=in_marketplace_from,d_hz_choti*G471,0)</f>
        <v/>
      </c>
      <c r="BE471" s="14">
        <f>F471*SUMIFS(BD454:BD505,B454:B505,B471-in_choti_months)*in_choti_renew*in_choti_ticket</f>
        <v/>
      </c>
      <c r="BF471" s="40">
        <f>BF470*(1-IF(B470&gt;=in_marketplace_from,d_hz_nps*G470,0))</f>
        <v/>
      </c>
      <c r="BG471" s="14">
        <f>F471*BF471*IF(B471&gt;=in_marketplace_from,d_hz_nps*G471,0)*in_nps_ticket*in_nps_comm</f>
        <v/>
      </c>
      <c r="BH471" s="40">
        <f>BH470*(1-IF(B470&gt;=in_marketplace_from,d_hz_gold*G470,0))</f>
        <v/>
      </c>
      <c r="BI471" s="40">
        <f>BI470*d_rho_gold+BH471*IF(B471&gt;=in_marketplace_from,d_hz_gold*G471,0)</f>
        <v/>
      </c>
      <c r="BJ471" s="14">
        <f>F471*BI471*in_gold_ticket*in_gold_comm</f>
        <v/>
      </c>
      <c r="BK471" s="40">
        <f>BK470*(1-IF(B470&gt;=in_marketplace_from,d_hz_fd*G470,0))</f>
        <v/>
      </c>
      <c r="BL471" s="14">
        <f>F471*BK471*IF(B471&gt;=in_marketplace_from,d_hz_fd*G471,0)*in_fd_ticket*in_fd_comm</f>
        <v/>
      </c>
      <c r="BM471" s="40">
        <f>BM470*(1-IF(B470&gt;=in_marketplace_from,d_hz_recharge*G470,0))</f>
        <v/>
      </c>
      <c r="BN471" s="40">
        <f>BN470*d_rho_recharge+BM471*IF(B471&gt;=in_marketplace_from,d_hz_recharge*G471,0)</f>
        <v/>
      </c>
      <c r="BO471" s="14">
        <f>F471*BN471*in_recharge_ticket*in_recharge_comm/12</f>
        <v/>
      </c>
      <c r="BP471" s="40">
        <f>BP470*(1-IF(B470&gt;=in_marketplace_from,d_hz_bills*G470,0))</f>
        <v/>
      </c>
      <c r="BQ471" s="40">
        <f>BQ470*d_rho_bills+BP471*IF(B471&gt;=in_marketplace_from,d_hz_bills*G471,0)</f>
        <v/>
      </c>
      <c r="BR471" s="14">
        <f>F471*BQ471*in_bills_ticket*in_bills_comm/12</f>
        <v/>
      </c>
      <c r="BS471" s="40">
        <f>BS470*(1-IF(B470&gt;=in_marketplace_from,d_hz_loan_gold*G470,0))</f>
        <v/>
      </c>
      <c r="BT471" s="14">
        <f>F471*BS471*IF(B471&gt;=in_marketplace_from,d_hz_loan_gold*G471,0)*in_loan_gold_ticket*in_loan_gold_comm</f>
        <v/>
      </c>
      <c r="BU471" s="40">
        <f>BU470*(1-IF(B470&gt;=in_marketplace_from,d_hz_loan_cd*G470,0))</f>
        <v/>
      </c>
      <c r="BV471" s="14">
        <f>F471*BU471*IF(B471&gt;=in_marketplace_from,d_hz_loan_cd*G471,0)*in_loan_cd_ticket*in_loan_cd_comm</f>
        <v/>
      </c>
      <c r="BW471" s="40">
        <f>BW470*(1-IF(B470&gt;=in_marketplace_from,d_hz_loan_vehicle*G470,0))</f>
        <v/>
      </c>
      <c r="BX471" s="14">
        <f>F471*BW471*IF(B471&gt;=in_marketplace_from,d_hz_loan_vehicle*G471,0)*in_loan_vehicle_ticket*in_loan_vehicle_comm</f>
        <v/>
      </c>
      <c r="BY471" s="40">
        <f>BY470*(1-IF(B470&gt;=in_marketplace_from,d_hz_loan_home*G470,0)*BZ470)</f>
        <v/>
      </c>
      <c r="BZ471" s="11">
        <f>MIN(in_approval_cap,in_loan_home_approval*INDEX('Age profile'!$O$2:$O$61,B471)*(1+in_approval_growth)^(D471-1))</f>
        <v/>
      </c>
      <c r="CA471" s="14">
        <f>F471*BY471*IF(B471&gt;=in_marketplace_from,d_hz_loan_home*G471,0)*BZ471*in_loan_home_ticket*in_loan_home_comm</f>
        <v/>
      </c>
      <c r="CB471" s="40">
        <f>CB470*(1-IF(B470&gt;=in_marketplace_from,d_hz_loan_lap*G470,0)*CC470)</f>
        <v/>
      </c>
      <c r="CC471" s="11">
        <f>MIN(in_approval_cap,in_loan_lap_approval*INDEX('Age profile'!$O$2:$O$61,B471)*(1+in_approval_growth)^(D471-1))</f>
        <v/>
      </c>
      <c r="CD471" s="14">
        <f>F471*CB471*IF(B471&gt;=in_marketplace_from,d_hz_loan_lap*G471,0)*CC471*in_loan_lap_ticket*in_loan_lap_comm</f>
        <v/>
      </c>
      <c r="CE471" s="14">
        <f>AA471+AB471+AC471+AD471+AG471+AJ471+AM471+AP471+AS471+AU471+AX471+BB471+BE471+BG471+BJ471+BL471+BO471+BR471+BT471+BV471+BX471+CA471+CD471</f>
        <v/>
      </c>
    </row>
    <row r="472">
      <c r="A472" s="39" t="n">
        <v>9</v>
      </c>
      <c r="B472" s="39" t="n">
        <v>19</v>
      </c>
      <c r="C472" s="39">
        <f>A472+B472-1</f>
        <v/>
      </c>
      <c r="D472" s="39">
        <f>INT((C472-1)/12)+1</f>
        <v/>
      </c>
      <c r="E472" s="44">
        <f>INDEX(Monthly!$B$2:$B$61,A472)</f>
        <v/>
      </c>
      <c r="F472" s="44">
        <f>E472*INDEX('Age profile'!$B$2:$B$61,B472)</f>
        <v/>
      </c>
      <c r="G472" s="45">
        <f>MIN(in_takeup_cap,INDEX('Age profile'!$N$2:$N$61,B472)*(1+in_takeup_growth)^(D472-1))</f>
        <v/>
      </c>
      <c r="H472" s="11">
        <f>MIN(in_approval_cap,in_approved_first*INDEX('Age profile'!$O$2:$O$61,B472)*(1+in_approval_growth)^(D472-1))</f>
        <v/>
      </c>
      <c r="I472" s="45">
        <f>G472*MIN(in_takeup_cap,INDEX('Age profile'!$O$2:$O$61,B472)*(1+in_approval_growth)^(D472-1))</f>
        <v/>
      </c>
      <c r="J472" s="40">
        <f>(J471-L471)*F472/F471</f>
        <v/>
      </c>
      <c r="K472" s="40">
        <f>(K471-M471)*F472/F471+SUMIFS(O454:O471,B454:B471,B472-1-d_T)*F472</f>
        <v/>
      </c>
      <c r="L472" s="40">
        <f>IF(B472&gt;=in_marketplace_from,J472*d_hz*G472*in_eligible*H472,0)</f>
        <v/>
      </c>
      <c r="M472" s="40">
        <f>IF(B472&gt;=in_marketplace_from,K472*d_hz*G472*in_eligible*in_approved_repeat,0)</f>
        <v/>
      </c>
      <c r="N472" s="40">
        <f>L472+M472</f>
        <v/>
      </c>
      <c r="O472" s="46">
        <f>N472/F472</f>
        <v/>
      </c>
      <c r="P472" s="40">
        <f>F472-J472-K472</f>
        <v/>
      </c>
      <c r="Q472" s="40">
        <f>IF(B472&gt;=in_marketplace_from,(J472+K472)*d_hz*G472,0)</f>
        <v/>
      </c>
      <c r="R472" s="40">
        <f>SUMIFS(N454:N505,B454:B505,"&gt;="&amp;(B472-d_T),B454:B505,"&lt;="&amp;(B472-1))</f>
        <v/>
      </c>
      <c r="S472" s="46">
        <f>(1-d_u)*S471+IF(d_T&gt;in_topup_lag,SUMIFS(O454:O505,B454:B505,B472-in_topup_lag)-d_udrop*SUMIFS(O454:O505,B454:B505,B472-d_T),0)</f>
        <v/>
      </c>
      <c r="T472" s="40">
        <f>F472*d_u*S472</f>
        <v/>
      </c>
      <c r="U472" s="9">
        <f>L472*in_ticket+M472*d_rep_ticket</f>
        <v/>
      </c>
      <c r="V472" s="9">
        <f>U472+T472*d_topup_amt</f>
        <v/>
      </c>
      <c r="W472" s="40">
        <f>N472+T472*d_topup_ratio</f>
        <v/>
      </c>
      <c r="X472" s="40">
        <f>SUMIFS(W454:W505,B454:B505,B472-in_dpd_lag)*d_cured</f>
        <v/>
      </c>
      <c r="Y472" s="40">
        <f>SUMIFS(W454:W505,B454:B505,B472-in_rec_lag)*d_recd</f>
        <v/>
      </c>
      <c r="Z472" s="40">
        <f>IF(AND(B472&gt;=in_marketplace_from,B472&lt;in_marketplace_from+in_card_months),in_card_share/in_card_months*F472*I472,IF(AND(B472&gt;=in_marketplace_from+in_card_months,B472&lt;in_marketplace_from+2*in_card_months),in_card_share*d_card_rem/in_card_months*F472*MIN(in_takeup_cap,(1+in_takeup_growth)^(D472-1))*MIN(in_takeup_cap,(1+in_approval_growth)^(D472-1)),0))</f>
        <v/>
      </c>
      <c r="AA472" s="14">
        <f>V472*in_fee*(1-in_taken_back)</f>
        <v/>
      </c>
      <c r="AB472" s="14">
        <f>SUMIFS(W454:W505,B454:B505,B472-in_dpd_lag)*d_dpd</f>
        <v/>
      </c>
      <c r="AC472" s="14">
        <f>SUMIFS(W454:W505,B454:B505,B472-in_rec_lag)*d_rec</f>
        <v/>
      </c>
      <c r="AD472" s="14">
        <f>Z472*in_card_fee</f>
        <v/>
      </c>
      <c r="AE472" s="40">
        <f>AE471*(1-IF(B471&gt;=in_marketplace_from,d_hz_hlth_small*G471,0))</f>
        <v/>
      </c>
      <c r="AF472" s="46">
        <f>AE472*IF(B472&gt;=in_marketplace_from,d_hz_hlth_small*G472,0)</f>
        <v/>
      </c>
      <c r="AG472" s="14">
        <f>F472*AF472*in_hlth_small_ticket*in_hlth_small_comm*in_ins_partner_share+F472*in_hlth_small_ticket*in_hlth_small_renew_comm*in_ins_partner_share*(in_hlth_small_renew^1*SUMIFS(AF454:AF505,B454:B505,B472-12)+in_hlth_small_renew^2*SUMIFS(AF454:AF505,B454:B505,B472-24)+in_hlth_small_renew^3*SUMIFS(AF454:AF505,B454:B505,B472-36)+in_hlth_small_renew^4*SUMIFS(AF454:AF505,B454:B505,B472-48))</f>
        <v/>
      </c>
      <c r="AH472" s="40">
        <f>AH471*(1-IF(B471&gt;=in_marketplace_from,d_hz_hlth_family*G471,0))</f>
        <v/>
      </c>
      <c r="AI472" s="46">
        <f>AH472*IF(B472&gt;=in_marketplace_from,d_hz_hlth_family*G472,0)</f>
        <v/>
      </c>
      <c r="AJ472" s="14">
        <f>F472*AI472*in_hlth_family_ticket*in_hlth_family_comm*in_ins_partner_share+F472*in_hlth_family_ticket*in_hlth_family_renew_comm*in_ins_partner_share*(in_hlth_family_renew^1*SUMIFS(AI454:AI505,B454:B505,B472-12)+in_hlth_family_renew^2*SUMIFS(AI454:AI505,B454:B505,B472-24)+in_hlth_family_renew^3*SUMIFS(AI454:AI505,B454:B505,B472-36)+in_hlth_family_renew^4*SUMIFS(AI454:AI505,B454:B505,B472-48))</f>
        <v/>
      </c>
      <c r="AK472" s="40">
        <f>AK471*(1-IF(B471&gt;=in_marketplace_from,d_hz_life_term*G471,0))</f>
        <v/>
      </c>
      <c r="AL472" s="46">
        <f>AK472*IF(B472&gt;=in_marketplace_from,d_hz_life_term*G472,0)</f>
        <v/>
      </c>
      <c r="AM472" s="14">
        <f>F472*AL472*in_life_term_ticket*in_life_term_comm*in_ins_partner_share+F472*in_life_term_ticket*in_life_term_renew_comm*in_ins_partner_share*(in_life_term_renew^1*SUMIFS(AL454:AL505,B454:B505,B472-12)+in_life_term_renew^2*SUMIFS(AL454:AL505,B454:B505,B472-24)+in_life_term_renew^3*SUMIFS(AL454:AL505,B454:B505,B472-36)+in_life_term_renew^4*SUMIFS(AL454:AL505,B454:B505,B472-48))</f>
        <v/>
      </c>
      <c r="AN472" s="40">
        <f>AN471*(1-IF(B471&gt;=in_marketplace_from,d_hz_accident*G471,0))</f>
        <v/>
      </c>
      <c r="AO472" s="46">
        <f>AN472*IF(B472&gt;=in_marketplace_from,d_hz_accident*G472,0)</f>
        <v/>
      </c>
      <c r="AP472" s="14">
        <f>F472*AO472*in_accident_ticket*in_accident_comm*in_ins_partner_share+F472*in_accident_ticket*in_accident_renew_comm*in_ins_partner_share*(in_accident_renew^1*SUMIFS(AO454:AO505,B454:B505,B472-12)+in_accident_renew^2*SUMIFS(AO454:AO505,B454:B505,B472-24)+in_accident_renew^3*SUMIFS(AO454:AO505,B454:B505,B472-36)+in_accident_renew^4*SUMIFS(AO454:AO505,B454:B505,B472-48))</f>
        <v/>
      </c>
      <c r="AQ472" s="40">
        <f>AQ471*(1-IF(B471&gt;=in_marketplace_from,d_hz_two_wheeler*G471,0))</f>
        <v/>
      </c>
      <c r="AR472" s="46">
        <f>AQ472*IF(B472&gt;=in_marketplace_from,d_hz_two_wheeler*G472,0)</f>
        <v/>
      </c>
      <c r="AS472" s="14">
        <f>F472*AR472*in_two_wheeler_ticket*in_two_wheeler_comm*in_ins_partner_share+F472*in_two_wheeler_ticket*in_two_wheeler_comm*in_ins_partner_share*(in_two_wheeler_renew^1*SUMIFS(AR454:AR505,B454:B505,B472-12)+in_two_wheeler_renew^2*SUMIFS(AR454:AR505,B454:B505,B472-24)+in_two_wheeler_renew^3*SUMIFS(AR454:AR505,B454:B505,B472-36)+in_two_wheeler_renew^4*SUMIFS(AR454:AR505,B454:B505,B472-48))</f>
        <v/>
      </c>
      <c r="AT472" s="40">
        <f>AT471*(1-IF(B471&gt;=in_marketplace_from,d_hz_device*G471,0))</f>
        <v/>
      </c>
      <c r="AU472" s="14">
        <f>F472*AT472*IF(B472&gt;=in_marketplace_from,d_hz_device*G472,0)*in_device_ticket*in_device_comm*in_ins_partner_share</f>
        <v/>
      </c>
      <c r="AV472" s="40">
        <f>AV471*(1-IF(B471&gt;=in_marketplace_from,d_hz_shop*G471,0))</f>
        <v/>
      </c>
      <c r="AW472" s="46">
        <f>AV472*IF(B472&gt;=in_marketplace_from,d_hz_shop*G472,0)</f>
        <v/>
      </c>
      <c r="AX472" s="14">
        <f>F472*AW472*in_shop_ticket*in_shop_comm*in_ins_partner_share+F472*in_shop_ticket*in_shop_renew_comm*in_ins_partner_share*(in_shop_renew^1*SUMIFS(AW454:AW505,B454:B505,B472-12)+in_shop_renew^2*SUMIFS(AW454:AW505,B454:B505,B472-24)+in_shop_renew^3*SUMIFS(AW454:AW505,B454:B505,B472-36)+in_shop_renew^4*SUMIFS(AW454:AW505,B454:B505,B472-48))</f>
        <v/>
      </c>
      <c r="AY472" s="40">
        <f>AY471*(1-IF(B471&gt;=in_marketplace_from,d_hz_sip*G471,0))</f>
        <v/>
      </c>
      <c r="AZ472" s="40">
        <f>AZ471*d_rho_sip+AY472*IF(B472&gt;=in_marketplace_from,d_hz_sip*G472,0)</f>
        <v/>
      </c>
      <c r="BA472" s="40">
        <f>d_rho_sip*(BA471+AZ471)</f>
        <v/>
      </c>
      <c r="BB472" s="14">
        <f>F472*in_sip_ticket*(BA472+0.5*AZ472)*in_sip_comm/12</f>
        <v/>
      </c>
      <c r="BC472" s="40">
        <f>BC471*(1-IF(B471&gt;=in_marketplace_from,d_hz_choti*G471,0))</f>
        <v/>
      </c>
      <c r="BD472" s="46">
        <f>BC472*IF(B472&gt;=in_marketplace_from,d_hz_choti*G472,0)</f>
        <v/>
      </c>
      <c r="BE472" s="14">
        <f>F472*SUMIFS(BD454:BD505,B454:B505,B472-in_choti_months)*in_choti_renew*in_choti_ticket</f>
        <v/>
      </c>
      <c r="BF472" s="40">
        <f>BF471*(1-IF(B471&gt;=in_marketplace_from,d_hz_nps*G471,0))</f>
        <v/>
      </c>
      <c r="BG472" s="14">
        <f>F472*BF472*IF(B472&gt;=in_marketplace_from,d_hz_nps*G472,0)*in_nps_ticket*in_nps_comm</f>
        <v/>
      </c>
      <c r="BH472" s="40">
        <f>BH471*(1-IF(B471&gt;=in_marketplace_from,d_hz_gold*G471,0))</f>
        <v/>
      </c>
      <c r="BI472" s="40">
        <f>BI471*d_rho_gold+BH472*IF(B472&gt;=in_marketplace_from,d_hz_gold*G472,0)</f>
        <v/>
      </c>
      <c r="BJ472" s="14">
        <f>F472*BI472*in_gold_ticket*in_gold_comm</f>
        <v/>
      </c>
      <c r="BK472" s="40">
        <f>BK471*(1-IF(B471&gt;=in_marketplace_from,d_hz_fd*G471,0))</f>
        <v/>
      </c>
      <c r="BL472" s="14">
        <f>F472*BK472*IF(B472&gt;=in_marketplace_from,d_hz_fd*G472,0)*in_fd_ticket*in_fd_comm</f>
        <v/>
      </c>
      <c r="BM472" s="40">
        <f>BM471*(1-IF(B471&gt;=in_marketplace_from,d_hz_recharge*G471,0))</f>
        <v/>
      </c>
      <c r="BN472" s="40">
        <f>BN471*d_rho_recharge+BM472*IF(B472&gt;=in_marketplace_from,d_hz_recharge*G472,0)</f>
        <v/>
      </c>
      <c r="BO472" s="14">
        <f>F472*BN472*in_recharge_ticket*in_recharge_comm/12</f>
        <v/>
      </c>
      <c r="BP472" s="40">
        <f>BP471*(1-IF(B471&gt;=in_marketplace_from,d_hz_bills*G471,0))</f>
        <v/>
      </c>
      <c r="BQ472" s="40">
        <f>BQ471*d_rho_bills+BP472*IF(B472&gt;=in_marketplace_from,d_hz_bills*G472,0)</f>
        <v/>
      </c>
      <c r="BR472" s="14">
        <f>F472*BQ472*in_bills_ticket*in_bills_comm/12</f>
        <v/>
      </c>
      <c r="BS472" s="40">
        <f>BS471*(1-IF(B471&gt;=in_marketplace_from,d_hz_loan_gold*G471,0))</f>
        <v/>
      </c>
      <c r="BT472" s="14">
        <f>F472*BS472*IF(B472&gt;=in_marketplace_from,d_hz_loan_gold*G472,0)*in_loan_gold_ticket*in_loan_gold_comm</f>
        <v/>
      </c>
      <c r="BU472" s="40">
        <f>BU471*(1-IF(B471&gt;=in_marketplace_from,d_hz_loan_cd*G471,0))</f>
        <v/>
      </c>
      <c r="BV472" s="14">
        <f>F472*BU472*IF(B472&gt;=in_marketplace_from,d_hz_loan_cd*G472,0)*in_loan_cd_ticket*in_loan_cd_comm</f>
        <v/>
      </c>
      <c r="BW472" s="40">
        <f>BW471*(1-IF(B471&gt;=in_marketplace_from,d_hz_loan_vehicle*G471,0))</f>
        <v/>
      </c>
      <c r="BX472" s="14">
        <f>F472*BW472*IF(B472&gt;=in_marketplace_from,d_hz_loan_vehicle*G472,0)*in_loan_vehicle_ticket*in_loan_vehicle_comm</f>
        <v/>
      </c>
      <c r="BY472" s="40">
        <f>BY471*(1-IF(B471&gt;=in_marketplace_from,d_hz_loan_home*G471,0)*BZ471)</f>
        <v/>
      </c>
      <c r="BZ472" s="11">
        <f>MIN(in_approval_cap,in_loan_home_approval*INDEX('Age profile'!$O$2:$O$61,B472)*(1+in_approval_growth)^(D472-1))</f>
        <v/>
      </c>
      <c r="CA472" s="14">
        <f>F472*BY472*IF(B472&gt;=in_marketplace_from,d_hz_loan_home*G472,0)*BZ472*in_loan_home_ticket*in_loan_home_comm</f>
        <v/>
      </c>
      <c r="CB472" s="40">
        <f>CB471*(1-IF(B471&gt;=in_marketplace_from,d_hz_loan_lap*G471,0)*CC471)</f>
        <v/>
      </c>
      <c r="CC472" s="11">
        <f>MIN(in_approval_cap,in_loan_lap_approval*INDEX('Age profile'!$O$2:$O$61,B472)*(1+in_approval_growth)^(D472-1))</f>
        <v/>
      </c>
      <c r="CD472" s="14">
        <f>F472*CB472*IF(B472&gt;=in_marketplace_from,d_hz_loan_lap*G472,0)*CC472*in_loan_lap_ticket*in_loan_lap_comm</f>
        <v/>
      </c>
      <c r="CE472" s="14">
        <f>AA472+AB472+AC472+AD472+AG472+AJ472+AM472+AP472+AS472+AU472+AX472+BB472+BE472+BG472+BJ472+BL472+BO472+BR472+BT472+BV472+BX472+CA472+CD472</f>
        <v/>
      </c>
    </row>
    <row r="473">
      <c r="A473" s="39" t="n">
        <v>9</v>
      </c>
      <c r="B473" s="39" t="n">
        <v>20</v>
      </c>
      <c r="C473" s="39">
        <f>A473+B473-1</f>
        <v/>
      </c>
      <c r="D473" s="39">
        <f>INT((C473-1)/12)+1</f>
        <v/>
      </c>
      <c r="E473" s="44">
        <f>INDEX(Monthly!$B$2:$B$61,A473)</f>
        <v/>
      </c>
      <c r="F473" s="44">
        <f>E473*INDEX('Age profile'!$B$2:$B$61,B473)</f>
        <v/>
      </c>
      <c r="G473" s="45">
        <f>MIN(in_takeup_cap,INDEX('Age profile'!$N$2:$N$61,B473)*(1+in_takeup_growth)^(D473-1))</f>
        <v/>
      </c>
      <c r="H473" s="11">
        <f>MIN(in_approval_cap,in_approved_first*INDEX('Age profile'!$O$2:$O$61,B473)*(1+in_approval_growth)^(D473-1))</f>
        <v/>
      </c>
      <c r="I473" s="45">
        <f>G473*MIN(in_takeup_cap,INDEX('Age profile'!$O$2:$O$61,B473)*(1+in_approval_growth)^(D473-1))</f>
        <v/>
      </c>
      <c r="J473" s="40">
        <f>(J472-L472)*F473/F472</f>
        <v/>
      </c>
      <c r="K473" s="40">
        <f>(K472-M472)*F473/F472+SUMIFS(O454:O472,B454:B472,B473-1-d_T)*F473</f>
        <v/>
      </c>
      <c r="L473" s="40">
        <f>IF(B473&gt;=in_marketplace_from,J473*d_hz*G473*in_eligible*H473,0)</f>
        <v/>
      </c>
      <c r="M473" s="40">
        <f>IF(B473&gt;=in_marketplace_from,K473*d_hz*G473*in_eligible*in_approved_repeat,0)</f>
        <v/>
      </c>
      <c r="N473" s="40">
        <f>L473+M473</f>
        <v/>
      </c>
      <c r="O473" s="46">
        <f>N473/F473</f>
        <v/>
      </c>
      <c r="P473" s="40">
        <f>F473-J473-K473</f>
        <v/>
      </c>
      <c r="Q473" s="40">
        <f>IF(B473&gt;=in_marketplace_from,(J473+K473)*d_hz*G473,0)</f>
        <v/>
      </c>
      <c r="R473" s="40">
        <f>SUMIFS(N454:N505,B454:B505,"&gt;="&amp;(B473-d_T),B454:B505,"&lt;="&amp;(B473-1))</f>
        <v/>
      </c>
      <c r="S473" s="46">
        <f>(1-d_u)*S472+IF(d_T&gt;in_topup_lag,SUMIFS(O454:O505,B454:B505,B473-in_topup_lag)-d_udrop*SUMIFS(O454:O505,B454:B505,B473-d_T),0)</f>
        <v/>
      </c>
      <c r="T473" s="40">
        <f>F473*d_u*S473</f>
        <v/>
      </c>
      <c r="U473" s="9">
        <f>L473*in_ticket+M473*d_rep_ticket</f>
        <v/>
      </c>
      <c r="V473" s="9">
        <f>U473+T473*d_topup_amt</f>
        <v/>
      </c>
      <c r="W473" s="40">
        <f>N473+T473*d_topup_ratio</f>
        <v/>
      </c>
      <c r="X473" s="40">
        <f>SUMIFS(W454:W505,B454:B505,B473-in_dpd_lag)*d_cured</f>
        <v/>
      </c>
      <c r="Y473" s="40">
        <f>SUMIFS(W454:W505,B454:B505,B473-in_rec_lag)*d_recd</f>
        <v/>
      </c>
      <c r="Z473" s="40">
        <f>IF(AND(B473&gt;=in_marketplace_from,B473&lt;in_marketplace_from+in_card_months),in_card_share/in_card_months*F473*I473,IF(AND(B473&gt;=in_marketplace_from+in_card_months,B473&lt;in_marketplace_from+2*in_card_months),in_card_share*d_card_rem/in_card_months*F473*MIN(in_takeup_cap,(1+in_takeup_growth)^(D473-1))*MIN(in_takeup_cap,(1+in_approval_growth)^(D473-1)),0))</f>
        <v/>
      </c>
      <c r="AA473" s="14">
        <f>V473*in_fee*(1-in_taken_back)</f>
        <v/>
      </c>
      <c r="AB473" s="14">
        <f>SUMIFS(W454:W505,B454:B505,B473-in_dpd_lag)*d_dpd</f>
        <v/>
      </c>
      <c r="AC473" s="14">
        <f>SUMIFS(W454:W505,B454:B505,B473-in_rec_lag)*d_rec</f>
        <v/>
      </c>
      <c r="AD473" s="14">
        <f>Z473*in_card_fee</f>
        <v/>
      </c>
      <c r="AE473" s="40">
        <f>AE472*(1-IF(B472&gt;=in_marketplace_from,d_hz_hlth_small*G472,0))</f>
        <v/>
      </c>
      <c r="AF473" s="46">
        <f>AE473*IF(B473&gt;=in_marketplace_from,d_hz_hlth_small*G473,0)</f>
        <v/>
      </c>
      <c r="AG473" s="14">
        <f>F473*AF473*in_hlth_small_ticket*in_hlth_small_comm*in_ins_partner_share+F473*in_hlth_small_ticket*in_hlth_small_renew_comm*in_ins_partner_share*(in_hlth_small_renew^1*SUMIFS(AF454:AF505,B454:B505,B473-12)+in_hlth_small_renew^2*SUMIFS(AF454:AF505,B454:B505,B473-24)+in_hlth_small_renew^3*SUMIFS(AF454:AF505,B454:B505,B473-36)+in_hlth_small_renew^4*SUMIFS(AF454:AF505,B454:B505,B473-48))</f>
        <v/>
      </c>
      <c r="AH473" s="40">
        <f>AH472*(1-IF(B472&gt;=in_marketplace_from,d_hz_hlth_family*G472,0))</f>
        <v/>
      </c>
      <c r="AI473" s="46">
        <f>AH473*IF(B473&gt;=in_marketplace_from,d_hz_hlth_family*G473,0)</f>
        <v/>
      </c>
      <c r="AJ473" s="14">
        <f>F473*AI473*in_hlth_family_ticket*in_hlth_family_comm*in_ins_partner_share+F473*in_hlth_family_ticket*in_hlth_family_renew_comm*in_ins_partner_share*(in_hlth_family_renew^1*SUMIFS(AI454:AI505,B454:B505,B473-12)+in_hlth_family_renew^2*SUMIFS(AI454:AI505,B454:B505,B473-24)+in_hlth_family_renew^3*SUMIFS(AI454:AI505,B454:B505,B473-36)+in_hlth_family_renew^4*SUMIFS(AI454:AI505,B454:B505,B473-48))</f>
        <v/>
      </c>
      <c r="AK473" s="40">
        <f>AK472*(1-IF(B472&gt;=in_marketplace_from,d_hz_life_term*G472,0))</f>
        <v/>
      </c>
      <c r="AL473" s="46">
        <f>AK473*IF(B473&gt;=in_marketplace_from,d_hz_life_term*G473,0)</f>
        <v/>
      </c>
      <c r="AM473" s="14">
        <f>F473*AL473*in_life_term_ticket*in_life_term_comm*in_ins_partner_share+F473*in_life_term_ticket*in_life_term_renew_comm*in_ins_partner_share*(in_life_term_renew^1*SUMIFS(AL454:AL505,B454:B505,B473-12)+in_life_term_renew^2*SUMIFS(AL454:AL505,B454:B505,B473-24)+in_life_term_renew^3*SUMIFS(AL454:AL505,B454:B505,B473-36)+in_life_term_renew^4*SUMIFS(AL454:AL505,B454:B505,B473-48))</f>
        <v/>
      </c>
      <c r="AN473" s="40">
        <f>AN472*(1-IF(B472&gt;=in_marketplace_from,d_hz_accident*G472,0))</f>
        <v/>
      </c>
      <c r="AO473" s="46">
        <f>AN473*IF(B473&gt;=in_marketplace_from,d_hz_accident*G473,0)</f>
        <v/>
      </c>
      <c r="AP473" s="14">
        <f>F473*AO473*in_accident_ticket*in_accident_comm*in_ins_partner_share+F473*in_accident_ticket*in_accident_renew_comm*in_ins_partner_share*(in_accident_renew^1*SUMIFS(AO454:AO505,B454:B505,B473-12)+in_accident_renew^2*SUMIFS(AO454:AO505,B454:B505,B473-24)+in_accident_renew^3*SUMIFS(AO454:AO505,B454:B505,B473-36)+in_accident_renew^4*SUMIFS(AO454:AO505,B454:B505,B473-48))</f>
        <v/>
      </c>
      <c r="AQ473" s="40">
        <f>AQ472*(1-IF(B472&gt;=in_marketplace_from,d_hz_two_wheeler*G472,0))</f>
        <v/>
      </c>
      <c r="AR473" s="46">
        <f>AQ473*IF(B473&gt;=in_marketplace_from,d_hz_two_wheeler*G473,0)</f>
        <v/>
      </c>
      <c r="AS473" s="14">
        <f>F473*AR473*in_two_wheeler_ticket*in_two_wheeler_comm*in_ins_partner_share+F473*in_two_wheeler_ticket*in_two_wheeler_comm*in_ins_partner_share*(in_two_wheeler_renew^1*SUMIFS(AR454:AR505,B454:B505,B473-12)+in_two_wheeler_renew^2*SUMIFS(AR454:AR505,B454:B505,B473-24)+in_two_wheeler_renew^3*SUMIFS(AR454:AR505,B454:B505,B473-36)+in_two_wheeler_renew^4*SUMIFS(AR454:AR505,B454:B505,B473-48))</f>
        <v/>
      </c>
      <c r="AT473" s="40">
        <f>AT472*(1-IF(B472&gt;=in_marketplace_from,d_hz_device*G472,0))</f>
        <v/>
      </c>
      <c r="AU473" s="14">
        <f>F473*AT473*IF(B473&gt;=in_marketplace_from,d_hz_device*G473,0)*in_device_ticket*in_device_comm*in_ins_partner_share</f>
        <v/>
      </c>
      <c r="AV473" s="40">
        <f>AV472*(1-IF(B472&gt;=in_marketplace_from,d_hz_shop*G472,0))</f>
        <v/>
      </c>
      <c r="AW473" s="46">
        <f>AV473*IF(B473&gt;=in_marketplace_from,d_hz_shop*G473,0)</f>
        <v/>
      </c>
      <c r="AX473" s="14">
        <f>F473*AW473*in_shop_ticket*in_shop_comm*in_ins_partner_share+F473*in_shop_ticket*in_shop_renew_comm*in_ins_partner_share*(in_shop_renew^1*SUMIFS(AW454:AW505,B454:B505,B473-12)+in_shop_renew^2*SUMIFS(AW454:AW505,B454:B505,B473-24)+in_shop_renew^3*SUMIFS(AW454:AW505,B454:B505,B473-36)+in_shop_renew^4*SUMIFS(AW454:AW505,B454:B505,B473-48))</f>
        <v/>
      </c>
      <c r="AY473" s="40">
        <f>AY472*(1-IF(B472&gt;=in_marketplace_from,d_hz_sip*G472,0))</f>
        <v/>
      </c>
      <c r="AZ473" s="40">
        <f>AZ472*d_rho_sip+AY473*IF(B473&gt;=in_marketplace_from,d_hz_sip*G473,0)</f>
        <v/>
      </c>
      <c r="BA473" s="40">
        <f>d_rho_sip*(BA472+AZ472)</f>
        <v/>
      </c>
      <c r="BB473" s="14">
        <f>F473*in_sip_ticket*(BA473+0.5*AZ473)*in_sip_comm/12</f>
        <v/>
      </c>
      <c r="BC473" s="40">
        <f>BC472*(1-IF(B472&gt;=in_marketplace_from,d_hz_choti*G472,0))</f>
        <v/>
      </c>
      <c r="BD473" s="46">
        <f>BC473*IF(B473&gt;=in_marketplace_from,d_hz_choti*G473,0)</f>
        <v/>
      </c>
      <c r="BE473" s="14">
        <f>F473*SUMIFS(BD454:BD505,B454:B505,B473-in_choti_months)*in_choti_renew*in_choti_ticket</f>
        <v/>
      </c>
      <c r="BF473" s="40">
        <f>BF472*(1-IF(B472&gt;=in_marketplace_from,d_hz_nps*G472,0))</f>
        <v/>
      </c>
      <c r="BG473" s="14">
        <f>F473*BF473*IF(B473&gt;=in_marketplace_from,d_hz_nps*G473,0)*in_nps_ticket*in_nps_comm</f>
        <v/>
      </c>
      <c r="BH473" s="40">
        <f>BH472*(1-IF(B472&gt;=in_marketplace_from,d_hz_gold*G472,0))</f>
        <v/>
      </c>
      <c r="BI473" s="40">
        <f>BI472*d_rho_gold+BH473*IF(B473&gt;=in_marketplace_from,d_hz_gold*G473,0)</f>
        <v/>
      </c>
      <c r="BJ473" s="14">
        <f>F473*BI473*in_gold_ticket*in_gold_comm</f>
        <v/>
      </c>
      <c r="BK473" s="40">
        <f>BK472*(1-IF(B472&gt;=in_marketplace_from,d_hz_fd*G472,0))</f>
        <v/>
      </c>
      <c r="BL473" s="14">
        <f>F473*BK473*IF(B473&gt;=in_marketplace_from,d_hz_fd*G473,0)*in_fd_ticket*in_fd_comm</f>
        <v/>
      </c>
      <c r="BM473" s="40">
        <f>BM472*(1-IF(B472&gt;=in_marketplace_from,d_hz_recharge*G472,0))</f>
        <v/>
      </c>
      <c r="BN473" s="40">
        <f>BN472*d_rho_recharge+BM473*IF(B473&gt;=in_marketplace_from,d_hz_recharge*G473,0)</f>
        <v/>
      </c>
      <c r="BO473" s="14">
        <f>F473*BN473*in_recharge_ticket*in_recharge_comm/12</f>
        <v/>
      </c>
      <c r="BP473" s="40">
        <f>BP472*(1-IF(B472&gt;=in_marketplace_from,d_hz_bills*G472,0))</f>
        <v/>
      </c>
      <c r="BQ473" s="40">
        <f>BQ472*d_rho_bills+BP473*IF(B473&gt;=in_marketplace_from,d_hz_bills*G473,0)</f>
        <v/>
      </c>
      <c r="BR473" s="14">
        <f>F473*BQ473*in_bills_ticket*in_bills_comm/12</f>
        <v/>
      </c>
      <c r="BS473" s="40">
        <f>BS472*(1-IF(B472&gt;=in_marketplace_from,d_hz_loan_gold*G472,0))</f>
        <v/>
      </c>
      <c r="BT473" s="14">
        <f>F473*BS473*IF(B473&gt;=in_marketplace_from,d_hz_loan_gold*G473,0)*in_loan_gold_ticket*in_loan_gold_comm</f>
        <v/>
      </c>
      <c r="BU473" s="40">
        <f>BU472*(1-IF(B472&gt;=in_marketplace_from,d_hz_loan_cd*G472,0))</f>
        <v/>
      </c>
      <c r="BV473" s="14">
        <f>F473*BU473*IF(B473&gt;=in_marketplace_from,d_hz_loan_cd*G473,0)*in_loan_cd_ticket*in_loan_cd_comm</f>
        <v/>
      </c>
      <c r="BW473" s="40">
        <f>BW472*(1-IF(B472&gt;=in_marketplace_from,d_hz_loan_vehicle*G472,0))</f>
        <v/>
      </c>
      <c r="BX473" s="14">
        <f>F473*BW473*IF(B473&gt;=in_marketplace_from,d_hz_loan_vehicle*G473,0)*in_loan_vehicle_ticket*in_loan_vehicle_comm</f>
        <v/>
      </c>
      <c r="BY473" s="40">
        <f>BY472*(1-IF(B472&gt;=in_marketplace_from,d_hz_loan_home*G472,0)*BZ472)</f>
        <v/>
      </c>
      <c r="BZ473" s="11">
        <f>MIN(in_approval_cap,in_loan_home_approval*INDEX('Age profile'!$O$2:$O$61,B473)*(1+in_approval_growth)^(D473-1))</f>
        <v/>
      </c>
      <c r="CA473" s="14">
        <f>F473*BY473*IF(B473&gt;=in_marketplace_from,d_hz_loan_home*G473,0)*BZ473*in_loan_home_ticket*in_loan_home_comm</f>
        <v/>
      </c>
      <c r="CB473" s="40">
        <f>CB472*(1-IF(B472&gt;=in_marketplace_from,d_hz_loan_lap*G472,0)*CC472)</f>
        <v/>
      </c>
      <c r="CC473" s="11">
        <f>MIN(in_approval_cap,in_loan_lap_approval*INDEX('Age profile'!$O$2:$O$61,B473)*(1+in_approval_growth)^(D473-1))</f>
        <v/>
      </c>
      <c r="CD473" s="14">
        <f>F473*CB473*IF(B473&gt;=in_marketplace_from,d_hz_loan_lap*G473,0)*CC473*in_loan_lap_ticket*in_loan_lap_comm</f>
        <v/>
      </c>
      <c r="CE473" s="14">
        <f>AA473+AB473+AC473+AD473+AG473+AJ473+AM473+AP473+AS473+AU473+AX473+BB473+BE473+BG473+BJ473+BL473+BO473+BR473+BT473+BV473+BX473+CA473+CD473</f>
        <v/>
      </c>
    </row>
    <row r="474">
      <c r="A474" s="39" t="n">
        <v>9</v>
      </c>
      <c r="B474" s="39" t="n">
        <v>21</v>
      </c>
      <c r="C474" s="39">
        <f>A474+B474-1</f>
        <v/>
      </c>
      <c r="D474" s="39">
        <f>INT((C474-1)/12)+1</f>
        <v/>
      </c>
      <c r="E474" s="44">
        <f>INDEX(Monthly!$B$2:$B$61,A474)</f>
        <v/>
      </c>
      <c r="F474" s="44">
        <f>E474*INDEX('Age profile'!$B$2:$B$61,B474)</f>
        <v/>
      </c>
      <c r="G474" s="45">
        <f>MIN(in_takeup_cap,INDEX('Age profile'!$N$2:$N$61,B474)*(1+in_takeup_growth)^(D474-1))</f>
        <v/>
      </c>
      <c r="H474" s="11">
        <f>MIN(in_approval_cap,in_approved_first*INDEX('Age profile'!$O$2:$O$61,B474)*(1+in_approval_growth)^(D474-1))</f>
        <v/>
      </c>
      <c r="I474" s="45">
        <f>G474*MIN(in_takeup_cap,INDEX('Age profile'!$O$2:$O$61,B474)*(1+in_approval_growth)^(D474-1))</f>
        <v/>
      </c>
      <c r="J474" s="40">
        <f>(J473-L473)*F474/F473</f>
        <v/>
      </c>
      <c r="K474" s="40">
        <f>(K473-M473)*F474/F473+SUMIFS(O454:O473,B454:B473,B474-1-d_T)*F474</f>
        <v/>
      </c>
      <c r="L474" s="40">
        <f>IF(B474&gt;=in_marketplace_from,J474*d_hz*G474*in_eligible*H474,0)</f>
        <v/>
      </c>
      <c r="M474" s="40">
        <f>IF(B474&gt;=in_marketplace_from,K474*d_hz*G474*in_eligible*in_approved_repeat,0)</f>
        <v/>
      </c>
      <c r="N474" s="40">
        <f>L474+M474</f>
        <v/>
      </c>
      <c r="O474" s="46">
        <f>N474/F474</f>
        <v/>
      </c>
      <c r="P474" s="40">
        <f>F474-J474-K474</f>
        <v/>
      </c>
      <c r="Q474" s="40">
        <f>IF(B474&gt;=in_marketplace_from,(J474+K474)*d_hz*G474,0)</f>
        <v/>
      </c>
      <c r="R474" s="40">
        <f>SUMIFS(N454:N505,B454:B505,"&gt;="&amp;(B474-d_T),B454:B505,"&lt;="&amp;(B474-1))</f>
        <v/>
      </c>
      <c r="S474" s="46">
        <f>(1-d_u)*S473+IF(d_T&gt;in_topup_lag,SUMIFS(O454:O505,B454:B505,B474-in_topup_lag)-d_udrop*SUMIFS(O454:O505,B454:B505,B474-d_T),0)</f>
        <v/>
      </c>
      <c r="T474" s="40">
        <f>F474*d_u*S474</f>
        <v/>
      </c>
      <c r="U474" s="9">
        <f>L474*in_ticket+M474*d_rep_ticket</f>
        <v/>
      </c>
      <c r="V474" s="9">
        <f>U474+T474*d_topup_amt</f>
        <v/>
      </c>
      <c r="W474" s="40">
        <f>N474+T474*d_topup_ratio</f>
        <v/>
      </c>
      <c r="X474" s="40">
        <f>SUMIFS(W454:W505,B454:B505,B474-in_dpd_lag)*d_cured</f>
        <v/>
      </c>
      <c r="Y474" s="40">
        <f>SUMIFS(W454:W505,B454:B505,B474-in_rec_lag)*d_recd</f>
        <v/>
      </c>
      <c r="Z474" s="40">
        <f>IF(AND(B474&gt;=in_marketplace_from,B474&lt;in_marketplace_from+in_card_months),in_card_share/in_card_months*F474*I474,IF(AND(B474&gt;=in_marketplace_from+in_card_months,B474&lt;in_marketplace_from+2*in_card_months),in_card_share*d_card_rem/in_card_months*F474*MIN(in_takeup_cap,(1+in_takeup_growth)^(D474-1))*MIN(in_takeup_cap,(1+in_approval_growth)^(D474-1)),0))</f>
        <v/>
      </c>
      <c r="AA474" s="14">
        <f>V474*in_fee*(1-in_taken_back)</f>
        <v/>
      </c>
      <c r="AB474" s="14">
        <f>SUMIFS(W454:W505,B454:B505,B474-in_dpd_lag)*d_dpd</f>
        <v/>
      </c>
      <c r="AC474" s="14">
        <f>SUMIFS(W454:W505,B454:B505,B474-in_rec_lag)*d_rec</f>
        <v/>
      </c>
      <c r="AD474" s="14">
        <f>Z474*in_card_fee</f>
        <v/>
      </c>
      <c r="AE474" s="40">
        <f>AE473*(1-IF(B473&gt;=in_marketplace_from,d_hz_hlth_small*G473,0))</f>
        <v/>
      </c>
      <c r="AF474" s="46">
        <f>AE474*IF(B474&gt;=in_marketplace_from,d_hz_hlth_small*G474,0)</f>
        <v/>
      </c>
      <c r="AG474" s="14">
        <f>F474*AF474*in_hlth_small_ticket*in_hlth_small_comm*in_ins_partner_share+F474*in_hlth_small_ticket*in_hlth_small_renew_comm*in_ins_partner_share*(in_hlth_small_renew^1*SUMIFS(AF454:AF505,B454:B505,B474-12)+in_hlth_small_renew^2*SUMIFS(AF454:AF505,B454:B505,B474-24)+in_hlth_small_renew^3*SUMIFS(AF454:AF505,B454:B505,B474-36)+in_hlth_small_renew^4*SUMIFS(AF454:AF505,B454:B505,B474-48))</f>
        <v/>
      </c>
      <c r="AH474" s="40">
        <f>AH473*(1-IF(B473&gt;=in_marketplace_from,d_hz_hlth_family*G473,0))</f>
        <v/>
      </c>
      <c r="AI474" s="46">
        <f>AH474*IF(B474&gt;=in_marketplace_from,d_hz_hlth_family*G474,0)</f>
        <v/>
      </c>
      <c r="AJ474" s="14">
        <f>F474*AI474*in_hlth_family_ticket*in_hlth_family_comm*in_ins_partner_share+F474*in_hlth_family_ticket*in_hlth_family_renew_comm*in_ins_partner_share*(in_hlth_family_renew^1*SUMIFS(AI454:AI505,B454:B505,B474-12)+in_hlth_family_renew^2*SUMIFS(AI454:AI505,B454:B505,B474-24)+in_hlth_family_renew^3*SUMIFS(AI454:AI505,B454:B505,B474-36)+in_hlth_family_renew^4*SUMIFS(AI454:AI505,B454:B505,B474-48))</f>
        <v/>
      </c>
      <c r="AK474" s="40">
        <f>AK473*(1-IF(B473&gt;=in_marketplace_from,d_hz_life_term*G473,0))</f>
        <v/>
      </c>
      <c r="AL474" s="46">
        <f>AK474*IF(B474&gt;=in_marketplace_from,d_hz_life_term*G474,0)</f>
        <v/>
      </c>
      <c r="AM474" s="14">
        <f>F474*AL474*in_life_term_ticket*in_life_term_comm*in_ins_partner_share+F474*in_life_term_ticket*in_life_term_renew_comm*in_ins_partner_share*(in_life_term_renew^1*SUMIFS(AL454:AL505,B454:B505,B474-12)+in_life_term_renew^2*SUMIFS(AL454:AL505,B454:B505,B474-24)+in_life_term_renew^3*SUMIFS(AL454:AL505,B454:B505,B474-36)+in_life_term_renew^4*SUMIFS(AL454:AL505,B454:B505,B474-48))</f>
        <v/>
      </c>
      <c r="AN474" s="40">
        <f>AN473*(1-IF(B473&gt;=in_marketplace_from,d_hz_accident*G473,0))</f>
        <v/>
      </c>
      <c r="AO474" s="46">
        <f>AN474*IF(B474&gt;=in_marketplace_from,d_hz_accident*G474,0)</f>
        <v/>
      </c>
      <c r="AP474" s="14">
        <f>F474*AO474*in_accident_ticket*in_accident_comm*in_ins_partner_share+F474*in_accident_ticket*in_accident_renew_comm*in_ins_partner_share*(in_accident_renew^1*SUMIFS(AO454:AO505,B454:B505,B474-12)+in_accident_renew^2*SUMIFS(AO454:AO505,B454:B505,B474-24)+in_accident_renew^3*SUMIFS(AO454:AO505,B454:B505,B474-36)+in_accident_renew^4*SUMIFS(AO454:AO505,B454:B505,B474-48))</f>
        <v/>
      </c>
      <c r="AQ474" s="40">
        <f>AQ473*(1-IF(B473&gt;=in_marketplace_from,d_hz_two_wheeler*G473,0))</f>
        <v/>
      </c>
      <c r="AR474" s="46">
        <f>AQ474*IF(B474&gt;=in_marketplace_from,d_hz_two_wheeler*G474,0)</f>
        <v/>
      </c>
      <c r="AS474" s="14">
        <f>F474*AR474*in_two_wheeler_ticket*in_two_wheeler_comm*in_ins_partner_share+F474*in_two_wheeler_ticket*in_two_wheeler_comm*in_ins_partner_share*(in_two_wheeler_renew^1*SUMIFS(AR454:AR505,B454:B505,B474-12)+in_two_wheeler_renew^2*SUMIFS(AR454:AR505,B454:B505,B474-24)+in_two_wheeler_renew^3*SUMIFS(AR454:AR505,B454:B505,B474-36)+in_two_wheeler_renew^4*SUMIFS(AR454:AR505,B454:B505,B474-48))</f>
        <v/>
      </c>
      <c r="AT474" s="40">
        <f>AT473*(1-IF(B473&gt;=in_marketplace_from,d_hz_device*G473,0))</f>
        <v/>
      </c>
      <c r="AU474" s="14">
        <f>F474*AT474*IF(B474&gt;=in_marketplace_from,d_hz_device*G474,0)*in_device_ticket*in_device_comm*in_ins_partner_share</f>
        <v/>
      </c>
      <c r="AV474" s="40">
        <f>AV473*(1-IF(B473&gt;=in_marketplace_from,d_hz_shop*G473,0))</f>
        <v/>
      </c>
      <c r="AW474" s="46">
        <f>AV474*IF(B474&gt;=in_marketplace_from,d_hz_shop*G474,0)</f>
        <v/>
      </c>
      <c r="AX474" s="14">
        <f>F474*AW474*in_shop_ticket*in_shop_comm*in_ins_partner_share+F474*in_shop_ticket*in_shop_renew_comm*in_ins_partner_share*(in_shop_renew^1*SUMIFS(AW454:AW505,B454:B505,B474-12)+in_shop_renew^2*SUMIFS(AW454:AW505,B454:B505,B474-24)+in_shop_renew^3*SUMIFS(AW454:AW505,B454:B505,B474-36)+in_shop_renew^4*SUMIFS(AW454:AW505,B454:B505,B474-48))</f>
        <v/>
      </c>
      <c r="AY474" s="40">
        <f>AY473*(1-IF(B473&gt;=in_marketplace_from,d_hz_sip*G473,0))</f>
        <v/>
      </c>
      <c r="AZ474" s="40">
        <f>AZ473*d_rho_sip+AY474*IF(B474&gt;=in_marketplace_from,d_hz_sip*G474,0)</f>
        <v/>
      </c>
      <c r="BA474" s="40">
        <f>d_rho_sip*(BA473+AZ473)</f>
        <v/>
      </c>
      <c r="BB474" s="14">
        <f>F474*in_sip_ticket*(BA474+0.5*AZ474)*in_sip_comm/12</f>
        <v/>
      </c>
      <c r="BC474" s="40">
        <f>BC473*(1-IF(B473&gt;=in_marketplace_from,d_hz_choti*G473,0))</f>
        <v/>
      </c>
      <c r="BD474" s="46">
        <f>BC474*IF(B474&gt;=in_marketplace_from,d_hz_choti*G474,0)</f>
        <v/>
      </c>
      <c r="BE474" s="14">
        <f>F474*SUMIFS(BD454:BD505,B454:B505,B474-in_choti_months)*in_choti_renew*in_choti_ticket</f>
        <v/>
      </c>
      <c r="BF474" s="40">
        <f>BF473*(1-IF(B473&gt;=in_marketplace_from,d_hz_nps*G473,0))</f>
        <v/>
      </c>
      <c r="BG474" s="14">
        <f>F474*BF474*IF(B474&gt;=in_marketplace_from,d_hz_nps*G474,0)*in_nps_ticket*in_nps_comm</f>
        <v/>
      </c>
      <c r="BH474" s="40">
        <f>BH473*(1-IF(B473&gt;=in_marketplace_from,d_hz_gold*G473,0))</f>
        <v/>
      </c>
      <c r="BI474" s="40">
        <f>BI473*d_rho_gold+BH474*IF(B474&gt;=in_marketplace_from,d_hz_gold*G474,0)</f>
        <v/>
      </c>
      <c r="BJ474" s="14">
        <f>F474*BI474*in_gold_ticket*in_gold_comm</f>
        <v/>
      </c>
      <c r="BK474" s="40">
        <f>BK473*(1-IF(B473&gt;=in_marketplace_from,d_hz_fd*G473,0))</f>
        <v/>
      </c>
      <c r="BL474" s="14">
        <f>F474*BK474*IF(B474&gt;=in_marketplace_from,d_hz_fd*G474,0)*in_fd_ticket*in_fd_comm</f>
        <v/>
      </c>
      <c r="BM474" s="40">
        <f>BM473*(1-IF(B473&gt;=in_marketplace_from,d_hz_recharge*G473,0))</f>
        <v/>
      </c>
      <c r="BN474" s="40">
        <f>BN473*d_rho_recharge+BM474*IF(B474&gt;=in_marketplace_from,d_hz_recharge*G474,0)</f>
        <v/>
      </c>
      <c r="BO474" s="14">
        <f>F474*BN474*in_recharge_ticket*in_recharge_comm/12</f>
        <v/>
      </c>
      <c r="BP474" s="40">
        <f>BP473*(1-IF(B473&gt;=in_marketplace_from,d_hz_bills*G473,0))</f>
        <v/>
      </c>
      <c r="BQ474" s="40">
        <f>BQ473*d_rho_bills+BP474*IF(B474&gt;=in_marketplace_from,d_hz_bills*G474,0)</f>
        <v/>
      </c>
      <c r="BR474" s="14">
        <f>F474*BQ474*in_bills_ticket*in_bills_comm/12</f>
        <v/>
      </c>
      <c r="BS474" s="40">
        <f>BS473*(1-IF(B473&gt;=in_marketplace_from,d_hz_loan_gold*G473,0))</f>
        <v/>
      </c>
      <c r="BT474" s="14">
        <f>F474*BS474*IF(B474&gt;=in_marketplace_from,d_hz_loan_gold*G474,0)*in_loan_gold_ticket*in_loan_gold_comm</f>
        <v/>
      </c>
      <c r="BU474" s="40">
        <f>BU473*(1-IF(B473&gt;=in_marketplace_from,d_hz_loan_cd*G473,0))</f>
        <v/>
      </c>
      <c r="BV474" s="14">
        <f>F474*BU474*IF(B474&gt;=in_marketplace_from,d_hz_loan_cd*G474,0)*in_loan_cd_ticket*in_loan_cd_comm</f>
        <v/>
      </c>
      <c r="BW474" s="40">
        <f>BW473*(1-IF(B473&gt;=in_marketplace_from,d_hz_loan_vehicle*G473,0))</f>
        <v/>
      </c>
      <c r="BX474" s="14">
        <f>F474*BW474*IF(B474&gt;=in_marketplace_from,d_hz_loan_vehicle*G474,0)*in_loan_vehicle_ticket*in_loan_vehicle_comm</f>
        <v/>
      </c>
      <c r="BY474" s="40">
        <f>BY473*(1-IF(B473&gt;=in_marketplace_from,d_hz_loan_home*G473,0)*BZ473)</f>
        <v/>
      </c>
      <c r="BZ474" s="11">
        <f>MIN(in_approval_cap,in_loan_home_approval*INDEX('Age profile'!$O$2:$O$61,B474)*(1+in_approval_growth)^(D474-1))</f>
        <v/>
      </c>
      <c r="CA474" s="14">
        <f>F474*BY474*IF(B474&gt;=in_marketplace_from,d_hz_loan_home*G474,0)*BZ474*in_loan_home_ticket*in_loan_home_comm</f>
        <v/>
      </c>
      <c r="CB474" s="40">
        <f>CB473*(1-IF(B473&gt;=in_marketplace_from,d_hz_loan_lap*G473,0)*CC473)</f>
        <v/>
      </c>
      <c r="CC474" s="11">
        <f>MIN(in_approval_cap,in_loan_lap_approval*INDEX('Age profile'!$O$2:$O$61,B474)*(1+in_approval_growth)^(D474-1))</f>
        <v/>
      </c>
      <c r="CD474" s="14">
        <f>F474*CB474*IF(B474&gt;=in_marketplace_from,d_hz_loan_lap*G474,0)*CC474*in_loan_lap_ticket*in_loan_lap_comm</f>
        <v/>
      </c>
      <c r="CE474" s="14">
        <f>AA474+AB474+AC474+AD474+AG474+AJ474+AM474+AP474+AS474+AU474+AX474+BB474+BE474+BG474+BJ474+BL474+BO474+BR474+BT474+BV474+BX474+CA474+CD474</f>
        <v/>
      </c>
    </row>
    <row r="475">
      <c r="A475" s="39" t="n">
        <v>9</v>
      </c>
      <c r="B475" s="39" t="n">
        <v>22</v>
      </c>
      <c r="C475" s="39">
        <f>A475+B475-1</f>
        <v/>
      </c>
      <c r="D475" s="39">
        <f>INT((C475-1)/12)+1</f>
        <v/>
      </c>
      <c r="E475" s="44">
        <f>INDEX(Monthly!$B$2:$B$61,A475)</f>
        <v/>
      </c>
      <c r="F475" s="44">
        <f>E475*INDEX('Age profile'!$B$2:$B$61,B475)</f>
        <v/>
      </c>
      <c r="G475" s="45">
        <f>MIN(in_takeup_cap,INDEX('Age profile'!$N$2:$N$61,B475)*(1+in_takeup_growth)^(D475-1))</f>
        <v/>
      </c>
      <c r="H475" s="11">
        <f>MIN(in_approval_cap,in_approved_first*INDEX('Age profile'!$O$2:$O$61,B475)*(1+in_approval_growth)^(D475-1))</f>
        <v/>
      </c>
      <c r="I475" s="45">
        <f>G475*MIN(in_takeup_cap,INDEX('Age profile'!$O$2:$O$61,B475)*(1+in_approval_growth)^(D475-1))</f>
        <v/>
      </c>
      <c r="J475" s="40">
        <f>(J474-L474)*F475/F474</f>
        <v/>
      </c>
      <c r="K475" s="40">
        <f>(K474-M474)*F475/F474+SUMIFS(O454:O474,B454:B474,B475-1-d_T)*F475</f>
        <v/>
      </c>
      <c r="L475" s="40">
        <f>IF(B475&gt;=in_marketplace_from,J475*d_hz*G475*in_eligible*H475,0)</f>
        <v/>
      </c>
      <c r="M475" s="40">
        <f>IF(B475&gt;=in_marketplace_from,K475*d_hz*G475*in_eligible*in_approved_repeat,0)</f>
        <v/>
      </c>
      <c r="N475" s="40">
        <f>L475+M475</f>
        <v/>
      </c>
      <c r="O475" s="46">
        <f>N475/F475</f>
        <v/>
      </c>
      <c r="P475" s="40">
        <f>F475-J475-K475</f>
        <v/>
      </c>
      <c r="Q475" s="40">
        <f>IF(B475&gt;=in_marketplace_from,(J475+K475)*d_hz*G475,0)</f>
        <v/>
      </c>
      <c r="R475" s="40">
        <f>SUMIFS(N454:N505,B454:B505,"&gt;="&amp;(B475-d_T),B454:B505,"&lt;="&amp;(B475-1))</f>
        <v/>
      </c>
      <c r="S475" s="46">
        <f>(1-d_u)*S474+IF(d_T&gt;in_topup_lag,SUMIFS(O454:O505,B454:B505,B475-in_topup_lag)-d_udrop*SUMIFS(O454:O505,B454:B505,B475-d_T),0)</f>
        <v/>
      </c>
      <c r="T475" s="40">
        <f>F475*d_u*S475</f>
        <v/>
      </c>
      <c r="U475" s="9">
        <f>L475*in_ticket+M475*d_rep_ticket</f>
        <v/>
      </c>
      <c r="V475" s="9">
        <f>U475+T475*d_topup_amt</f>
        <v/>
      </c>
      <c r="W475" s="40">
        <f>N475+T475*d_topup_ratio</f>
        <v/>
      </c>
      <c r="X475" s="40">
        <f>SUMIFS(W454:W505,B454:B505,B475-in_dpd_lag)*d_cured</f>
        <v/>
      </c>
      <c r="Y475" s="40">
        <f>SUMIFS(W454:W505,B454:B505,B475-in_rec_lag)*d_recd</f>
        <v/>
      </c>
      <c r="Z475" s="40">
        <f>IF(AND(B475&gt;=in_marketplace_from,B475&lt;in_marketplace_from+in_card_months),in_card_share/in_card_months*F475*I475,IF(AND(B475&gt;=in_marketplace_from+in_card_months,B475&lt;in_marketplace_from+2*in_card_months),in_card_share*d_card_rem/in_card_months*F475*MIN(in_takeup_cap,(1+in_takeup_growth)^(D475-1))*MIN(in_takeup_cap,(1+in_approval_growth)^(D475-1)),0))</f>
        <v/>
      </c>
      <c r="AA475" s="14">
        <f>V475*in_fee*(1-in_taken_back)</f>
        <v/>
      </c>
      <c r="AB475" s="14">
        <f>SUMIFS(W454:W505,B454:B505,B475-in_dpd_lag)*d_dpd</f>
        <v/>
      </c>
      <c r="AC475" s="14">
        <f>SUMIFS(W454:W505,B454:B505,B475-in_rec_lag)*d_rec</f>
        <v/>
      </c>
      <c r="AD475" s="14">
        <f>Z475*in_card_fee</f>
        <v/>
      </c>
      <c r="AE475" s="40">
        <f>AE474*(1-IF(B474&gt;=in_marketplace_from,d_hz_hlth_small*G474,0))</f>
        <v/>
      </c>
      <c r="AF475" s="46">
        <f>AE475*IF(B475&gt;=in_marketplace_from,d_hz_hlth_small*G475,0)</f>
        <v/>
      </c>
      <c r="AG475" s="14">
        <f>F475*AF475*in_hlth_small_ticket*in_hlth_small_comm*in_ins_partner_share+F475*in_hlth_small_ticket*in_hlth_small_renew_comm*in_ins_partner_share*(in_hlth_small_renew^1*SUMIFS(AF454:AF505,B454:B505,B475-12)+in_hlth_small_renew^2*SUMIFS(AF454:AF505,B454:B505,B475-24)+in_hlth_small_renew^3*SUMIFS(AF454:AF505,B454:B505,B475-36)+in_hlth_small_renew^4*SUMIFS(AF454:AF505,B454:B505,B475-48))</f>
        <v/>
      </c>
      <c r="AH475" s="40">
        <f>AH474*(1-IF(B474&gt;=in_marketplace_from,d_hz_hlth_family*G474,0))</f>
        <v/>
      </c>
      <c r="AI475" s="46">
        <f>AH475*IF(B475&gt;=in_marketplace_from,d_hz_hlth_family*G475,0)</f>
        <v/>
      </c>
      <c r="AJ475" s="14">
        <f>F475*AI475*in_hlth_family_ticket*in_hlth_family_comm*in_ins_partner_share+F475*in_hlth_family_ticket*in_hlth_family_renew_comm*in_ins_partner_share*(in_hlth_family_renew^1*SUMIFS(AI454:AI505,B454:B505,B475-12)+in_hlth_family_renew^2*SUMIFS(AI454:AI505,B454:B505,B475-24)+in_hlth_family_renew^3*SUMIFS(AI454:AI505,B454:B505,B475-36)+in_hlth_family_renew^4*SUMIFS(AI454:AI505,B454:B505,B475-48))</f>
        <v/>
      </c>
      <c r="AK475" s="40">
        <f>AK474*(1-IF(B474&gt;=in_marketplace_from,d_hz_life_term*G474,0))</f>
        <v/>
      </c>
      <c r="AL475" s="46">
        <f>AK475*IF(B475&gt;=in_marketplace_from,d_hz_life_term*G475,0)</f>
        <v/>
      </c>
      <c r="AM475" s="14">
        <f>F475*AL475*in_life_term_ticket*in_life_term_comm*in_ins_partner_share+F475*in_life_term_ticket*in_life_term_renew_comm*in_ins_partner_share*(in_life_term_renew^1*SUMIFS(AL454:AL505,B454:B505,B475-12)+in_life_term_renew^2*SUMIFS(AL454:AL505,B454:B505,B475-24)+in_life_term_renew^3*SUMIFS(AL454:AL505,B454:B505,B475-36)+in_life_term_renew^4*SUMIFS(AL454:AL505,B454:B505,B475-48))</f>
        <v/>
      </c>
      <c r="AN475" s="40">
        <f>AN474*(1-IF(B474&gt;=in_marketplace_from,d_hz_accident*G474,0))</f>
        <v/>
      </c>
      <c r="AO475" s="46">
        <f>AN475*IF(B475&gt;=in_marketplace_from,d_hz_accident*G475,0)</f>
        <v/>
      </c>
      <c r="AP475" s="14">
        <f>F475*AO475*in_accident_ticket*in_accident_comm*in_ins_partner_share+F475*in_accident_ticket*in_accident_renew_comm*in_ins_partner_share*(in_accident_renew^1*SUMIFS(AO454:AO505,B454:B505,B475-12)+in_accident_renew^2*SUMIFS(AO454:AO505,B454:B505,B475-24)+in_accident_renew^3*SUMIFS(AO454:AO505,B454:B505,B475-36)+in_accident_renew^4*SUMIFS(AO454:AO505,B454:B505,B475-48))</f>
        <v/>
      </c>
      <c r="AQ475" s="40">
        <f>AQ474*(1-IF(B474&gt;=in_marketplace_from,d_hz_two_wheeler*G474,0))</f>
        <v/>
      </c>
      <c r="AR475" s="46">
        <f>AQ475*IF(B475&gt;=in_marketplace_from,d_hz_two_wheeler*G475,0)</f>
        <v/>
      </c>
      <c r="AS475" s="14">
        <f>F475*AR475*in_two_wheeler_ticket*in_two_wheeler_comm*in_ins_partner_share+F475*in_two_wheeler_ticket*in_two_wheeler_comm*in_ins_partner_share*(in_two_wheeler_renew^1*SUMIFS(AR454:AR505,B454:B505,B475-12)+in_two_wheeler_renew^2*SUMIFS(AR454:AR505,B454:B505,B475-24)+in_two_wheeler_renew^3*SUMIFS(AR454:AR505,B454:B505,B475-36)+in_two_wheeler_renew^4*SUMIFS(AR454:AR505,B454:B505,B475-48))</f>
        <v/>
      </c>
      <c r="AT475" s="40">
        <f>AT474*(1-IF(B474&gt;=in_marketplace_from,d_hz_device*G474,0))</f>
        <v/>
      </c>
      <c r="AU475" s="14">
        <f>F475*AT475*IF(B475&gt;=in_marketplace_from,d_hz_device*G475,0)*in_device_ticket*in_device_comm*in_ins_partner_share</f>
        <v/>
      </c>
      <c r="AV475" s="40">
        <f>AV474*(1-IF(B474&gt;=in_marketplace_from,d_hz_shop*G474,0))</f>
        <v/>
      </c>
      <c r="AW475" s="46">
        <f>AV475*IF(B475&gt;=in_marketplace_from,d_hz_shop*G475,0)</f>
        <v/>
      </c>
      <c r="AX475" s="14">
        <f>F475*AW475*in_shop_ticket*in_shop_comm*in_ins_partner_share+F475*in_shop_ticket*in_shop_renew_comm*in_ins_partner_share*(in_shop_renew^1*SUMIFS(AW454:AW505,B454:B505,B475-12)+in_shop_renew^2*SUMIFS(AW454:AW505,B454:B505,B475-24)+in_shop_renew^3*SUMIFS(AW454:AW505,B454:B505,B475-36)+in_shop_renew^4*SUMIFS(AW454:AW505,B454:B505,B475-48))</f>
        <v/>
      </c>
      <c r="AY475" s="40">
        <f>AY474*(1-IF(B474&gt;=in_marketplace_from,d_hz_sip*G474,0))</f>
        <v/>
      </c>
      <c r="AZ475" s="40">
        <f>AZ474*d_rho_sip+AY475*IF(B475&gt;=in_marketplace_from,d_hz_sip*G475,0)</f>
        <v/>
      </c>
      <c r="BA475" s="40">
        <f>d_rho_sip*(BA474+AZ474)</f>
        <v/>
      </c>
      <c r="BB475" s="14">
        <f>F475*in_sip_ticket*(BA475+0.5*AZ475)*in_sip_comm/12</f>
        <v/>
      </c>
      <c r="BC475" s="40">
        <f>BC474*(1-IF(B474&gt;=in_marketplace_from,d_hz_choti*G474,0))</f>
        <v/>
      </c>
      <c r="BD475" s="46">
        <f>BC475*IF(B475&gt;=in_marketplace_from,d_hz_choti*G475,0)</f>
        <v/>
      </c>
      <c r="BE475" s="14">
        <f>F475*SUMIFS(BD454:BD505,B454:B505,B475-in_choti_months)*in_choti_renew*in_choti_ticket</f>
        <v/>
      </c>
      <c r="BF475" s="40">
        <f>BF474*(1-IF(B474&gt;=in_marketplace_from,d_hz_nps*G474,0))</f>
        <v/>
      </c>
      <c r="BG475" s="14">
        <f>F475*BF475*IF(B475&gt;=in_marketplace_from,d_hz_nps*G475,0)*in_nps_ticket*in_nps_comm</f>
        <v/>
      </c>
      <c r="BH475" s="40">
        <f>BH474*(1-IF(B474&gt;=in_marketplace_from,d_hz_gold*G474,0))</f>
        <v/>
      </c>
      <c r="BI475" s="40">
        <f>BI474*d_rho_gold+BH475*IF(B475&gt;=in_marketplace_from,d_hz_gold*G475,0)</f>
        <v/>
      </c>
      <c r="BJ475" s="14">
        <f>F475*BI475*in_gold_ticket*in_gold_comm</f>
        <v/>
      </c>
      <c r="BK475" s="40">
        <f>BK474*(1-IF(B474&gt;=in_marketplace_from,d_hz_fd*G474,0))</f>
        <v/>
      </c>
      <c r="BL475" s="14">
        <f>F475*BK475*IF(B475&gt;=in_marketplace_from,d_hz_fd*G475,0)*in_fd_ticket*in_fd_comm</f>
        <v/>
      </c>
      <c r="BM475" s="40">
        <f>BM474*(1-IF(B474&gt;=in_marketplace_from,d_hz_recharge*G474,0))</f>
        <v/>
      </c>
      <c r="BN475" s="40">
        <f>BN474*d_rho_recharge+BM475*IF(B475&gt;=in_marketplace_from,d_hz_recharge*G475,0)</f>
        <v/>
      </c>
      <c r="BO475" s="14">
        <f>F475*BN475*in_recharge_ticket*in_recharge_comm/12</f>
        <v/>
      </c>
      <c r="BP475" s="40">
        <f>BP474*(1-IF(B474&gt;=in_marketplace_from,d_hz_bills*G474,0))</f>
        <v/>
      </c>
      <c r="BQ475" s="40">
        <f>BQ474*d_rho_bills+BP475*IF(B475&gt;=in_marketplace_from,d_hz_bills*G475,0)</f>
        <v/>
      </c>
      <c r="BR475" s="14">
        <f>F475*BQ475*in_bills_ticket*in_bills_comm/12</f>
        <v/>
      </c>
      <c r="BS475" s="40">
        <f>BS474*(1-IF(B474&gt;=in_marketplace_from,d_hz_loan_gold*G474,0))</f>
        <v/>
      </c>
      <c r="BT475" s="14">
        <f>F475*BS475*IF(B475&gt;=in_marketplace_from,d_hz_loan_gold*G475,0)*in_loan_gold_ticket*in_loan_gold_comm</f>
        <v/>
      </c>
      <c r="BU475" s="40">
        <f>BU474*(1-IF(B474&gt;=in_marketplace_from,d_hz_loan_cd*G474,0))</f>
        <v/>
      </c>
      <c r="BV475" s="14">
        <f>F475*BU475*IF(B475&gt;=in_marketplace_from,d_hz_loan_cd*G475,0)*in_loan_cd_ticket*in_loan_cd_comm</f>
        <v/>
      </c>
      <c r="BW475" s="40">
        <f>BW474*(1-IF(B474&gt;=in_marketplace_from,d_hz_loan_vehicle*G474,0))</f>
        <v/>
      </c>
      <c r="BX475" s="14">
        <f>F475*BW475*IF(B475&gt;=in_marketplace_from,d_hz_loan_vehicle*G475,0)*in_loan_vehicle_ticket*in_loan_vehicle_comm</f>
        <v/>
      </c>
      <c r="BY475" s="40">
        <f>BY474*(1-IF(B474&gt;=in_marketplace_from,d_hz_loan_home*G474,0)*BZ474)</f>
        <v/>
      </c>
      <c r="BZ475" s="11">
        <f>MIN(in_approval_cap,in_loan_home_approval*INDEX('Age profile'!$O$2:$O$61,B475)*(1+in_approval_growth)^(D475-1))</f>
        <v/>
      </c>
      <c r="CA475" s="14">
        <f>F475*BY475*IF(B475&gt;=in_marketplace_from,d_hz_loan_home*G475,0)*BZ475*in_loan_home_ticket*in_loan_home_comm</f>
        <v/>
      </c>
      <c r="CB475" s="40">
        <f>CB474*(1-IF(B474&gt;=in_marketplace_from,d_hz_loan_lap*G474,0)*CC474)</f>
        <v/>
      </c>
      <c r="CC475" s="11">
        <f>MIN(in_approval_cap,in_loan_lap_approval*INDEX('Age profile'!$O$2:$O$61,B475)*(1+in_approval_growth)^(D475-1))</f>
        <v/>
      </c>
      <c r="CD475" s="14">
        <f>F475*CB475*IF(B475&gt;=in_marketplace_from,d_hz_loan_lap*G475,0)*CC475*in_loan_lap_ticket*in_loan_lap_comm</f>
        <v/>
      </c>
      <c r="CE475" s="14">
        <f>AA475+AB475+AC475+AD475+AG475+AJ475+AM475+AP475+AS475+AU475+AX475+BB475+BE475+BG475+BJ475+BL475+BO475+BR475+BT475+BV475+BX475+CA475+CD475</f>
        <v/>
      </c>
    </row>
    <row r="476">
      <c r="A476" s="39" t="n">
        <v>9</v>
      </c>
      <c r="B476" s="39" t="n">
        <v>23</v>
      </c>
      <c r="C476" s="39">
        <f>A476+B476-1</f>
        <v/>
      </c>
      <c r="D476" s="39">
        <f>INT((C476-1)/12)+1</f>
        <v/>
      </c>
      <c r="E476" s="44">
        <f>INDEX(Monthly!$B$2:$B$61,A476)</f>
        <v/>
      </c>
      <c r="F476" s="44">
        <f>E476*INDEX('Age profile'!$B$2:$B$61,B476)</f>
        <v/>
      </c>
      <c r="G476" s="45">
        <f>MIN(in_takeup_cap,INDEX('Age profile'!$N$2:$N$61,B476)*(1+in_takeup_growth)^(D476-1))</f>
        <v/>
      </c>
      <c r="H476" s="11">
        <f>MIN(in_approval_cap,in_approved_first*INDEX('Age profile'!$O$2:$O$61,B476)*(1+in_approval_growth)^(D476-1))</f>
        <v/>
      </c>
      <c r="I476" s="45">
        <f>G476*MIN(in_takeup_cap,INDEX('Age profile'!$O$2:$O$61,B476)*(1+in_approval_growth)^(D476-1))</f>
        <v/>
      </c>
      <c r="J476" s="40">
        <f>(J475-L475)*F476/F475</f>
        <v/>
      </c>
      <c r="K476" s="40">
        <f>(K475-M475)*F476/F475+SUMIFS(O454:O475,B454:B475,B476-1-d_T)*F476</f>
        <v/>
      </c>
      <c r="L476" s="40">
        <f>IF(B476&gt;=in_marketplace_from,J476*d_hz*G476*in_eligible*H476,0)</f>
        <v/>
      </c>
      <c r="M476" s="40">
        <f>IF(B476&gt;=in_marketplace_from,K476*d_hz*G476*in_eligible*in_approved_repeat,0)</f>
        <v/>
      </c>
      <c r="N476" s="40">
        <f>L476+M476</f>
        <v/>
      </c>
      <c r="O476" s="46">
        <f>N476/F476</f>
        <v/>
      </c>
      <c r="P476" s="40">
        <f>F476-J476-K476</f>
        <v/>
      </c>
      <c r="Q476" s="40">
        <f>IF(B476&gt;=in_marketplace_from,(J476+K476)*d_hz*G476,0)</f>
        <v/>
      </c>
      <c r="R476" s="40">
        <f>SUMIFS(N454:N505,B454:B505,"&gt;="&amp;(B476-d_T),B454:B505,"&lt;="&amp;(B476-1))</f>
        <v/>
      </c>
      <c r="S476" s="46">
        <f>(1-d_u)*S475+IF(d_T&gt;in_topup_lag,SUMIFS(O454:O505,B454:B505,B476-in_topup_lag)-d_udrop*SUMIFS(O454:O505,B454:B505,B476-d_T),0)</f>
        <v/>
      </c>
      <c r="T476" s="40">
        <f>F476*d_u*S476</f>
        <v/>
      </c>
      <c r="U476" s="9">
        <f>L476*in_ticket+M476*d_rep_ticket</f>
        <v/>
      </c>
      <c r="V476" s="9">
        <f>U476+T476*d_topup_amt</f>
        <v/>
      </c>
      <c r="W476" s="40">
        <f>N476+T476*d_topup_ratio</f>
        <v/>
      </c>
      <c r="X476" s="40">
        <f>SUMIFS(W454:W505,B454:B505,B476-in_dpd_lag)*d_cured</f>
        <v/>
      </c>
      <c r="Y476" s="40">
        <f>SUMIFS(W454:W505,B454:B505,B476-in_rec_lag)*d_recd</f>
        <v/>
      </c>
      <c r="Z476" s="40">
        <f>IF(AND(B476&gt;=in_marketplace_from,B476&lt;in_marketplace_from+in_card_months),in_card_share/in_card_months*F476*I476,IF(AND(B476&gt;=in_marketplace_from+in_card_months,B476&lt;in_marketplace_from+2*in_card_months),in_card_share*d_card_rem/in_card_months*F476*MIN(in_takeup_cap,(1+in_takeup_growth)^(D476-1))*MIN(in_takeup_cap,(1+in_approval_growth)^(D476-1)),0))</f>
        <v/>
      </c>
      <c r="AA476" s="14">
        <f>V476*in_fee*(1-in_taken_back)</f>
        <v/>
      </c>
      <c r="AB476" s="14">
        <f>SUMIFS(W454:W505,B454:B505,B476-in_dpd_lag)*d_dpd</f>
        <v/>
      </c>
      <c r="AC476" s="14">
        <f>SUMIFS(W454:W505,B454:B505,B476-in_rec_lag)*d_rec</f>
        <v/>
      </c>
      <c r="AD476" s="14">
        <f>Z476*in_card_fee</f>
        <v/>
      </c>
      <c r="AE476" s="40">
        <f>AE475*(1-IF(B475&gt;=in_marketplace_from,d_hz_hlth_small*G475,0))</f>
        <v/>
      </c>
      <c r="AF476" s="46">
        <f>AE476*IF(B476&gt;=in_marketplace_from,d_hz_hlth_small*G476,0)</f>
        <v/>
      </c>
      <c r="AG476" s="14">
        <f>F476*AF476*in_hlth_small_ticket*in_hlth_small_comm*in_ins_partner_share+F476*in_hlth_small_ticket*in_hlth_small_renew_comm*in_ins_partner_share*(in_hlth_small_renew^1*SUMIFS(AF454:AF505,B454:B505,B476-12)+in_hlth_small_renew^2*SUMIFS(AF454:AF505,B454:B505,B476-24)+in_hlth_small_renew^3*SUMIFS(AF454:AF505,B454:B505,B476-36)+in_hlth_small_renew^4*SUMIFS(AF454:AF505,B454:B505,B476-48))</f>
        <v/>
      </c>
      <c r="AH476" s="40">
        <f>AH475*(1-IF(B475&gt;=in_marketplace_from,d_hz_hlth_family*G475,0))</f>
        <v/>
      </c>
      <c r="AI476" s="46">
        <f>AH476*IF(B476&gt;=in_marketplace_from,d_hz_hlth_family*G476,0)</f>
        <v/>
      </c>
      <c r="AJ476" s="14">
        <f>F476*AI476*in_hlth_family_ticket*in_hlth_family_comm*in_ins_partner_share+F476*in_hlth_family_ticket*in_hlth_family_renew_comm*in_ins_partner_share*(in_hlth_family_renew^1*SUMIFS(AI454:AI505,B454:B505,B476-12)+in_hlth_family_renew^2*SUMIFS(AI454:AI505,B454:B505,B476-24)+in_hlth_family_renew^3*SUMIFS(AI454:AI505,B454:B505,B476-36)+in_hlth_family_renew^4*SUMIFS(AI454:AI505,B454:B505,B476-48))</f>
        <v/>
      </c>
      <c r="AK476" s="40">
        <f>AK475*(1-IF(B475&gt;=in_marketplace_from,d_hz_life_term*G475,0))</f>
        <v/>
      </c>
      <c r="AL476" s="46">
        <f>AK476*IF(B476&gt;=in_marketplace_from,d_hz_life_term*G476,0)</f>
        <v/>
      </c>
      <c r="AM476" s="14">
        <f>F476*AL476*in_life_term_ticket*in_life_term_comm*in_ins_partner_share+F476*in_life_term_ticket*in_life_term_renew_comm*in_ins_partner_share*(in_life_term_renew^1*SUMIFS(AL454:AL505,B454:B505,B476-12)+in_life_term_renew^2*SUMIFS(AL454:AL505,B454:B505,B476-24)+in_life_term_renew^3*SUMIFS(AL454:AL505,B454:B505,B476-36)+in_life_term_renew^4*SUMIFS(AL454:AL505,B454:B505,B476-48))</f>
        <v/>
      </c>
      <c r="AN476" s="40">
        <f>AN475*(1-IF(B475&gt;=in_marketplace_from,d_hz_accident*G475,0))</f>
        <v/>
      </c>
      <c r="AO476" s="46">
        <f>AN476*IF(B476&gt;=in_marketplace_from,d_hz_accident*G476,0)</f>
        <v/>
      </c>
      <c r="AP476" s="14">
        <f>F476*AO476*in_accident_ticket*in_accident_comm*in_ins_partner_share+F476*in_accident_ticket*in_accident_renew_comm*in_ins_partner_share*(in_accident_renew^1*SUMIFS(AO454:AO505,B454:B505,B476-12)+in_accident_renew^2*SUMIFS(AO454:AO505,B454:B505,B476-24)+in_accident_renew^3*SUMIFS(AO454:AO505,B454:B505,B476-36)+in_accident_renew^4*SUMIFS(AO454:AO505,B454:B505,B476-48))</f>
        <v/>
      </c>
      <c r="AQ476" s="40">
        <f>AQ475*(1-IF(B475&gt;=in_marketplace_from,d_hz_two_wheeler*G475,0))</f>
        <v/>
      </c>
      <c r="AR476" s="46">
        <f>AQ476*IF(B476&gt;=in_marketplace_from,d_hz_two_wheeler*G476,0)</f>
        <v/>
      </c>
      <c r="AS476" s="14">
        <f>F476*AR476*in_two_wheeler_ticket*in_two_wheeler_comm*in_ins_partner_share+F476*in_two_wheeler_ticket*in_two_wheeler_comm*in_ins_partner_share*(in_two_wheeler_renew^1*SUMIFS(AR454:AR505,B454:B505,B476-12)+in_two_wheeler_renew^2*SUMIFS(AR454:AR505,B454:B505,B476-24)+in_two_wheeler_renew^3*SUMIFS(AR454:AR505,B454:B505,B476-36)+in_two_wheeler_renew^4*SUMIFS(AR454:AR505,B454:B505,B476-48))</f>
        <v/>
      </c>
      <c r="AT476" s="40">
        <f>AT475*(1-IF(B475&gt;=in_marketplace_from,d_hz_device*G475,0))</f>
        <v/>
      </c>
      <c r="AU476" s="14">
        <f>F476*AT476*IF(B476&gt;=in_marketplace_from,d_hz_device*G476,0)*in_device_ticket*in_device_comm*in_ins_partner_share</f>
        <v/>
      </c>
      <c r="AV476" s="40">
        <f>AV475*(1-IF(B475&gt;=in_marketplace_from,d_hz_shop*G475,0))</f>
        <v/>
      </c>
      <c r="AW476" s="46">
        <f>AV476*IF(B476&gt;=in_marketplace_from,d_hz_shop*G476,0)</f>
        <v/>
      </c>
      <c r="AX476" s="14">
        <f>F476*AW476*in_shop_ticket*in_shop_comm*in_ins_partner_share+F476*in_shop_ticket*in_shop_renew_comm*in_ins_partner_share*(in_shop_renew^1*SUMIFS(AW454:AW505,B454:B505,B476-12)+in_shop_renew^2*SUMIFS(AW454:AW505,B454:B505,B476-24)+in_shop_renew^3*SUMIFS(AW454:AW505,B454:B505,B476-36)+in_shop_renew^4*SUMIFS(AW454:AW505,B454:B505,B476-48))</f>
        <v/>
      </c>
      <c r="AY476" s="40">
        <f>AY475*(1-IF(B475&gt;=in_marketplace_from,d_hz_sip*G475,0))</f>
        <v/>
      </c>
      <c r="AZ476" s="40">
        <f>AZ475*d_rho_sip+AY476*IF(B476&gt;=in_marketplace_from,d_hz_sip*G476,0)</f>
        <v/>
      </c>
      <c r="BA476" s="40">
        <f>d_rho_sip*(BA475+AZ475)</f>
        <v/>
      </c>
      <c r="BB476" s="14">
        <f>F476*in_sip_ticket*(BA476+0.5*AZ476)*in_sip_comm/12</f>
        <v/>
      </c>
      <c r="BC476" s="40">
        <f>BC475*(1-IF(B475&gt;=in_marketplace_from,d_hz_choti*G475,0))</f>
        <v/>
      </c>
      <c r="BD476" s="46">
        <f>BC476*IF(B476&gt;=in_marketplace_from,d_hz_choti*G476,0)</f>
        <v/>
      </c>
      <c r="BE476" s="14">
        <f>F476*SUMIFS(BD454:BD505,B454:B505,B476-in_choti_months)*in_choti_renew*in_choti_ticket</f>
        <v/>
      </c>
      <c r="BF476" s="40">
        <f>BF475*(1-IF(B475&gt;=in_marketplace_from,d_hz_nps*G475,0))</f>
        <v/>
      </c>
      <c r="BG476" s="14">
        <f>F476*BF476*IF(B476&gt;=in_marketplace_from,d_hz_nps*G476,0)*in_nps_ticket*in_nps_comm</f>
        <v/>
      </c>
      <c r="BH476" s="40">
        <f>BH475*(1-IF(B475&gt;=in_marketplace_from,d_hz_gold*G475,0))</f>
        <v/>
      </c>
      <c r="BI476" s="40">
        <f>BI475*d_rho_gold+BH476*IF(B476&gt;=in_marketplace_from,d_hz_gold*G476,0)</f>
        <v/>
      </c>
      <c r="BJ476" s="14">
        <f>F476*BI476*in_gold_ticket*in_gold_comm</f>
        <v/>
      </c>
      <c r="BK476" s="40">
        <f>BK475*(1-IF(B475&gt;=in_marketplace_from,d_hz_fd*G475,0))</f>
        <v/>
      </c>
      <c r="BL476" s="14">
        <f>F476*BK476*IF(B476&gt;=in_marketplace_from,d_hz_fd*G476,0)*in_fd_ticket*in_fd_comm</f>
        <v/>
      </c>
      <c r="BM476" s="40">
        <f>BM475*(1-IF(B475&gt;=in_marketplace_from,d_hz_recharge*G475,0))</f>
        <v/>
      </c>
      <c r="BN476" s="40">
        <f>BN475*d_rho_recharge+BM476*IF(B476&gt;=in_marketplace_from,d_hz_recharge*G476,0)</f>
        <v/>
      </c>
      <c r="BO476" s="14">
        <f>F476*BN476*in_recharge_ticket*in_recharge_comm/12</f>
        <v/>
      </c>
      <c r="BP476" s="40">
        <f>BP475*(1-IF(B475&gt;=in_marketplace_from,d_hz_bills*G475,0))</f>
        <v/>
      </c>
      <c r="BQ476" s="40">
        <f>BQ475*d_rho_bills+BP476*IF(B476&gt;=in_marketplace_from,d_hz_bills*G476,0)</f>
        <v/>
      </c>
      <c r="BR476" s="14">
        <f>F476*BQ476*in_bills_ticket*in_bills_comm/12</f>
        <v/>
      </c>
      <c r="BS476" s="40">
        <f>BS475*(1-IF(B475&gt;=in_marketplace_from,d_hz_loan_gold*G475,0))</f>
        <v/>
      </c>
      <c r="BT476" s="14">
        <f>F476*BS476*IF(B476&gt;=in_marketplace_from,d_hz_loan_gold*G476,0)*in_loan_gold_ticket*in_loan_gold_comm</f>
        <v/>
      </c>
      <c r="BU476" s="40">
        <f>BU475*(1-IF(B475&gt;=in_marketplace_from,d_hz_loan_cd*G475,0))</f>
        <v/>
      </c>
      <c r="BV476" s="14">
        <f>F476*BU476*IF(B476&gt;=in_marketplace_from,d_hz_loan_cd*G476,0)*in_loan_cd_ticket*in_loan_cd_comm</f>
        <v/>
      </c>
      <c r="BW476" s="40">
        <f>BW475*(1-IF(B475&gt;=in_marketplace_from,d_hz_loan_vehicle*G475,0))</f>
        <v/>
      </c>
      <c r="BX476" s="14">
        <f>F476*BW476*IF(B476&gt;=in_marketplace_from,d_hz_loan_vehicle*G476,0)*in_loan_vehicle_ticket*in_loan_vehicle_comm</f>
        <v/>
      </c>
      <c r="BY476" s="40">
        <f>BY475*(1-IF(B475&gt;=in_marketplace_from,d_hz_loan_home*G475,0)*BZ475)</f>
        <v/>
      </c>
      <c r="BZ476" s="11">
        <f>MIN(in_approval_cap,in_loan_home_approval*INDEX('Age profile'!$O$2:$O$61,B476)*(1+in_approval_growth)^(D476-1))</f>
        <v/>
      </c>
      <c r="CA476" s="14">
        <f>F476*BY476*IF(B476&gt;=in_marketplace_from,d_hz_loan_home*G476,0)*BZ476*in_loan_home_ticket*in_loan_home_comm</f>
        <v/>
      </c>
      <c r="CB476" s="40">
        <f>CB475*(1-IF(B475&gt;=in_marketplace_from,d_hz_loan_lap*G475,0)*CC475)</f>
        <v/>
      </c>
      <c r="CC476" s="11">
        <f>MIN(in_approval_cap,in_loan_lap_approval*INDEX('Age profile'!$O$2:$O$61,B476)*(1+in_approval_growth)^(D476-1))</f>
        <v/>
      </c>
      <c r="CD476" s="14">
        <f>F476*CB476*IF(B476&gt;=in_marketplace_from,d_hz_loan_lap*G476,0)*CC476*in_loan_lap_ticket*in_loan_lap_comm</f>
        <v/>
      </c>
      <c r="CE476" s="14">
        <f>AA476+AB476+AC476+AD476+AG476+AJ476+AM476+AP476+AS476+AU476+AX476+BB476+BE476+BG476+BJ476+BL476+BO476+BR476+BT476+BV476+BX476+CA476+CD476</f>
        <v/>
      </c>
    </row>
    <row r="477">
      <c r="A477" s="39" t="n">
        <v>9</v>
      </c>
      <c r="B477" s="39" t="n">
        <v>24</v>
      </c>
      <c r="C477" s="39">
        <f>A477+B477-1</f>
        <v/>
      </c>
      <c r="D477" s="39">
        <f>INT((C477-1)/12)+1</f>
        <v/>
      </c>
      <c r="E477" s="44">
        <f>INDEX(Monthly!$B$2:$B$61,A477)</f>
        <v/>
      </c>
      <c r="F477" s="44">
        <f>E477*INDEX('Age profile'!$B$2:$B$61,B477)</f>
        <v/>
      </c>
      <c r="G477" s="45">
        <f>MIN(in_takeup_cap,INDEX('Age profile'!$N$2:$N$61,B477)*(1+in_takeup_growth)^(D477-1))</f>
        <v/>
      </c>
      <c r="H477" s="11">
        <f>MIN(in_approval_cap,in_approved_first*INDEX('Age profile'!$O$2:$O$61,B477)*(1+in_approval_growth)^(D477-1))</f>
        <v/>
      </c>
      <c r="I477" s="45">
        <f>G477*MIN(in_takeup_cap,INDEX('Age profile'!$O$2:$O$61,B477)*(1+in_approval_growth)^(D477-1))</f>
        <v/>
      </c>
      <c r="J477" s="40">
        <f>(J476-L476)*F477/F476</f>
        <v/>
      </c>
      <c r="K477" s="40">
        <f>(K476-M476)*F477/F476+SUMIFS(O454:O476,B454:B476,B477-1-d_T)*F477</f>
        <v/>
      </c>
      <c r="L477" s="40">
        <f>IF(B477&gt;=in_marketplace_from,J477*d_hz*G477*in_eligible*H477,0)</f>
        <v/>
      </c>
      <c r="M477" s="40">
        <f>IF(B477&gt;=in_marketplace_from,K477*d_hz*G477*in_eligible*in_approved_repeat,0)</f>
        <v/>
      </c>
      <c r="N477" s="40">
        <f>L477+M477</f>
        <v/>
      </c>
      <c r="O477" s="46">
        <f>N477/F477</f>
        <v/>
      </c>
      <c r="P477" s="40">
        <f>F477-J477-K477</f>
        <v/>
      </c>
      <c r="Q477" s="40">
        <f>IF(B477&gt;=in_marketplace_from,(J477+K477)*d_hz*G477,0)</f>
        <v/>
      </c>
      <c r="R477" s="40">
        <f>SUMIFS(N454:N505,B454:B505,"&gt;="&amp;(B477-d_T),B454:B505,"&lt;="&amp;(B477-1))</f>
        <v/>
      </c>
      <c r="S477" s="46">
        <f>(1-d_u)*S476+IF(d_T&gt;in_topup_lag,SUMIFS(O454:O505,B454:B505,B477-in_topup_lag)-d_udrop*SUMIFS(O454:O505,B454:B505,B477-d_T),0)</f>
        <v/>
      </c>
      <c r="T477" s="40">
        <f>F477*d_u*S477</f>
        <v/>
      </c>
      <c r="U477" s="9">
        <f>L477*in_ticket+M477*d_rep_ticket</f>
        <v/>
      </c>
      <c r="V477" s="9">
        <f>U477+T477*d_topup_amt</f>
        <v/>
      </c>
      <c r="W477" s="40">
        <f>N477+T477*d_topup_ratio</f>
        <v/>
      </c>
      <c r="X477" s="40">
        <f>SUMIFS(W454:W505,B454:B505,B477-in_dpd_lag)*d_cured</f>
        <v/>
      </c>
      <c r="Y477" s="40">
        <f>SUMIFS(W454:W505,B454:B505,B477-in_rec_lag)*d_recd</f>
        <v/>
      </c>
      <c r="Z477" s="40">
        <f>IF(AND(B477&gt;=in_marketplace_from,B477&lt;in_marketplace_from+in_card_months),in_card_share/in_card_months*F477*I477,IF(AND(B477&gt;=in_marketplace_from+in_card_months,B477&lt;in_marketplace_from+2*in_card_months),in_card_share*d_card_rem/in_card_months*F477*MIN(in_takeup_cap,(1+in_takeup_growth)^(D477-1))*MIN(in_takeup_cap,(1+in_approval_growth)^(D477-1)),0))</f>
        <v/>
      </c>
      <c r="AA477" s="14">
        <f>V477*in_fee*(1-in_taken_back)</f>
        <v/>
      </c>
      <c r="AB477" s="14">
        <f>SUMIFS(W454:W505,B454:B505,B477-in_dpd_lag)*d_dpd</f>
        <v/>
      </c>
      <c r="AC477" s="14">
        <f>SUMIFS(W454:W505,B454:B505,B477-in_rec_lag)*d_rec</f>
        <v/>
      </c>
      <c r="AD477" s="14">
        <f>Z477*in_card_fee</f>
        <v/>
      </c>
      <c r="AE477" s="40">
        <f>AE476*(1-IF(B476&gt;=in_marketplace_from,d_hz_hlth_small*G476,0))</f>
        <v/>
      </c>
      <c r="AF477" s="46">
        <f>AE477*IF(B477&gt;=in_marketplace_from,d_hz_hlth_small*G477,0)</f>
        <v/>
      </c>
      <c r="AG477" s="14">
        <f>F477*AF477*in_hlth_small_ticket*in_hlth_small_comm*in_ins_partner_share+F477*in_hlth_small_ticket*in_hlth_small_renew_comm*in_ins_partner_share*(in_hlth_small_renew^1*SUMIFS(AF454:AF505,B454:B505,B477-12)+in_hlth_small_renew^2*SUMIFS(AF454:AF505,B454:B505,B477-24)+in_hlth_small_renew^3*SUMIFS(AF454:AF505,B454:B505,B477-36)+in_hlth_small_renew^4*SUMIFS(AF454:AF505,B454:B505,B477-48))</f>
        <v/>
      </c>
      <c r="AH477" s="40">
        <f>AH476*(1-IF(B476&gt;=in_marketplace_from,d_hz_hlth_family*G476,0))</f>
        <v/>
      </c>
      <c r="AI477" s="46">
        <f>AH477*IF(B477&gt;=in_marketplace_from,d_hz_hlth_family*G477,0)</f>
        <v/>
      </c>
      <c r="AJ477" s="14">
        <f>F477*AI477*in_hlth_family_ticket*in_hlth_family_comm*in_ins_partner_share+F477*in_hlth_family_ticket*in_hlth_family_renew_comm*in_ins_partner_share*(in_hlth_family_renew^1*SUMIFS(AI454:AI505,B454:B505,B477-12)+in_hlth_family_renew^2*SUMIFS(AI454:AI505,B454:B505,B477-24)+in_hlth_family_renew^3*SUMIFS(AI454:AI505,B454:B505,B477-36)+in_hlth_family_renew^4*SUMIFS(AI454:AI505,B454:B505,B477-48))</f>
        <v/>
      </c>
      <c r="AK477" s="40">
        <f>AK476*(1-IF(B476&gt;=in_marketplace_from,d_hz_life_term*G476,0))</f>
        <v/>
      </c>
      <c r="AL477" s="46">
        <f>AK477*IF(B477&gt;=in_marketplace_from,d_hz_life_term*G477,0)</f>
        <v/>
      </c>
      <c r="AM477" s="14">
        <f>F477*AL477*in_life_term_ticket*in_life_term_comm*in_ins_partner_share+F477*in_life_term_ticket*in_life_term_renew_comm*in_ins_partner_share*(in_life_term_renew^1*SUMIFS(AL454:AL505,B454:B505,B477-12)+in_life_term_renew^2*SUMIFS(AL454:AL505,B454:B505,B477-24)+in_life_term_renew^3*SUMIFS(AL454:AL505,B454:B505,B477-36)+in_life_term_renew^4*SUMIFS(AL454:AL505,B454:B505,B477-48))</f>
        <v/>
      </c>
      <c r="AN477" s="40">
        <f>AN476*(1-IF(B476&gt;=in_marketplace_from,d_hz_accident*G476,0))</f>
        <v/>
      </c>
      <c r="AO477" s="46">
        <f>AN477*IF(B477&gt;=in_marketplace_from,d_hz_accident*G477,0)</f>
        <v/>
      </c>
      <c r="AP477" s="14">
        <f>F477*AO477*in_accident_ticket*in_accident_comm*in_ins_partner_share+F477*in_accident_ticket*in_accident_renew_comm*in_ins_partner_share*(in_accident_renew^1*SUMIFS(AO454:AO505,B454:B505,B477-12)+in_accident_renew^2*SUMIFS(AO454:AO505,B454:B505,B477-24)+in_accident_renew^3*SUMIFS(AO454:AO505,B454:B505,B477-36)+in_accident_renew^4*SUMIFS(AO454:AO505,B454:B505,B477-48))</f>
        <v/>
      </c>
      <c r="AQ477" s="40">
        <f>AQ476*(1-IF(B476&gt;=in_marketplace_from,d_hz_two_wheeler*G476,0))</f>
        <v/>
      </c>
      <c r="AR477" s="46">
        <f>AQ477*IF(B477&gt;=in_marketplace_from,d_hz_two_wheeler*G477,0)</f>
        <v/>
      </c>
      <c r="AS477" s="14">
        <f>F477*AR477*in_two_wheeler_ticket*in_two_wheeler_comm*in_ins_partner_share+F477*in_two_wheeler_ticket*in_two_wheeler_comm*in_ins_partner_share*(in_two_wheeler_renew^1*SUMIFS(AR454:AR505,B454:B505,B477-12)+in_two_wheeler_renew^2*SUMIFS(AR454:AR505,B454:B505,B477-24)+in_two_wheeler_renew^3*SUMIFS(AR454:AR505,B454:B505,B477-36)+in_two_wheeler_renew^4*SUMIFS(AR454:AR505,B454:B505,B477-48))</f>
        <v/>
      </c>
      <c r="AT477" s="40">
        <f>AT476*(1-IF(B476&gt;=in_marketplace_from,d_hz_device*G476,0))</f>
        <v/>
      </c>
      <c r="AU477" s="14">
        <f>F477*AT477*IF(B477&gt;=in_marketplace_from,d_hz_device*G477,0)*in_device_ticket*in_device_comm*in_ins_partner_share</f>
        <v/>
      </c>
      <c r="AV477" s="40">
        <f>AV476*(1-IF(B476&gt;=in_marketplace_from,d_hz_shop*G476,0))</f>
        <v/>
      </c>
      <c r="AW477" s="46">
        <f>AV477*IF(B477&gt;=in_marketplace_from,d_hz_shop*G477,0)</f>
        <v/>
      </c>
      <c r="AX477" s="14">
        <f>F477*AW477*in_shop_ticket*in_shop_comm*in_ins_partner_share+F477*in_shop_ticket*in_shop_renew_comm*in_ins_partner_share*(in_shop_renew^1*SUMIFS(AW454:AW505,B454:B505,B477-12)+in_shop_renew^2*SUMIFS(AW454:AW505,B454:B505,B477-24)+in_shop_renew^3*SUMIFS(AW454:AW505,B454:B505,B477-36)+in_shop_renew^4*SUMIFS(AW454:AW505,B454:B505,B477-48))</f>
        <v/>
      </c>
      <c r="AY477" s="40">
        <f>AY476*(1-IF(B476&gt;=in_marketplace_from,d_hz_sip*G476,0))</f>
        <v/>
      </c>
      <c r="AZ477" s="40">
        <f>AZ476*d_rho_sip+AY477*IF(B477&gt;=in_marketplace_from,d_hz_sip*G477,0)</f>
        <v/>
      </c>
      <c r="BA477" s="40">
        <f>d_rho_sip*(BA476+AZ476)</f>
        <v/>
      </c>
      <c r="BB477" s="14">
        <f>F477*in_sip_ticket*(BA477+0.5*AZ477)*in_sip_comm/12</f>
        <v/>
      </c>
      <c r="BC477" s="40">
        <f>BC476*(1-IF(B476&gt;=in_marketplace_from,d_hz_choti*G476,0))</f>
        <v/>
      </c>
      <c r="BD477" s="46">
        <f>BC477*IF(B477&gt;=in_marketplace_from,d_hz_choti*G477,0)</f>
        <v/>
      </c>
      <c r="BE477" s="14">
        <f>F477*SUMIFS(BD454:BD505,B454:B505,B477-in_choti_months)*in_choti_renew*in_choti_ticket</f>
        <v/>
      </c>
      <c r="BF477" s="40">
        <f>BF476*(1-IF(B476&gt;=in_marketplace_from,d_hz_nps*G476,0))</f>
        <v/>
      </c>
      <c r="BG477" s="14">
        <f>F477*BF477*IF(B477&gt;=in_marketplace_from,d_hz_nps*G477,0)*in_nps_ticket*in_nps_comm</f>
        <v/>
      </c>
      <c r="BH477" s="40">
        <f>BH476*(1-IF(B476&gt;=in_marketplace_from,d_hz_gold*G476,0))</f>
        <v/>
      </c>
      <c r="BI477" s="40">
        <f>BI476*d_rho_gold+BH477*IF(B477&gt;=in_marketplace_from,d_hz_gold*G477,0)</f>
        <v/>
      </c>
      <c r="BJ477" s="14">
        <f>F477*BI477*in_gold_ticket*in_gold_comm</f>
        <v/>
      </c>
      <c r="BK477" s="40">
        <f>BK476*(1-IF(B476&gt;=in_marketplace_from,d_hz_fd*G476,0))</f>
        <v/>
      </c>
      <c r="BL477" s="14">
        <f>F477*BK477*IF(B477&gt;=in_marketplace_from,d_hz_fd*G477,0)*in_fd_ticket*in_fd_comm</f>
        <v/>
      </c>
      <c r="BM477" s="40">
        <f>BM476*(1-IF(B476&gt;=in_marketplace_from,d_hz_recharge*G476,0))</f>
        <v/>
      </c>
      <c r="BN477" s="40">
        <f>BN476*d_rho_recharge+BM477*IF(B477&gt;=in_marketplace_from,d_hz_recharge*G477,0)</f>
        <v/>
      </c>
      <c r="BO477" s="14">
        <f>F477*BN477*in_recharge_ticket*in_recharge_comm/12</f>
        <v/>
      </c>
      <c r="BP477" s="40">
        <f>BP476*(1-IF(B476&gt;=in_marketplace_from,d_hz_bills*G476,0))</f>
        <v/>
      </c>
      <c r="BQ477" s="40">
        <f>BQ476*d_rho_bills+BP477*IF(B477&gt;=in_marketplace_from,d_hz_bills*G477,0)</f>
        <v/>
      </c>
      <c r="BR477" s="14">
        <f>F477*BQ477*in_bills_ticket*in_bills_comm/12</f>
        <v/>
      </c>
      <c r="BS477" s="40">
        <f>BS476*(1-IF(B476&gt;=in_marketplace_from,d_hz_loan_gold*G476,0))</f>
        <v/>
      </c>
      <c r="BT477" s="14">
        <f>F477*BS477*IF(B477&gt;=in_marketplace_from,d_hz_loan_gold*G477,0)*in_loan_gold_ticket*in_loan_gold_comm</f>
        <v/>
      </c>
      <c r="BU477" s="40">
        <f>BU476*(1-IF(B476&gt;=in_marketplace_from,d_hz_loan_cd*G476,0))</f>
        <v/>
      </c>
      <c r="BV477" s="14">
        <f>F477*BU477*IF(B477&gt;=in_marketplace_from,d_hz_loan_cd*G477,0)*in_loan_cd_ticket*in_loan_cd_comm</f>
        <v/>
      </c>
      <c r="BW477" s="40">
        <f>BW476*(1-IF(B476&gt;=in_marketplace_from,d_hz_loan_vehicle*G476,0))</f>
        <v/>
      </c>
      <c r="BX477" s="14">
        <f>F477*BW477*IF(B477&gt;=in_marketplace_from,d_hz_loan_vehicle*G477,0)*in_loan_vehicle_ticket*in_loan_vehicle_comm</f>
        <v/>
      </c>
      <c r="BY477" s="40">
        <f>BY476*(1-IF(B476&gt;=in_marketplace_from,d_hz_loan_home*G476,0)*BZ476)</f>
        <v/>
      </c>
      <c r="BZ477" s="11">
        <f>MIN(in_approval_cap,in_loan_home_approval*INDEX('Age profile'!$O$2:$O$61,B477)*(1+in_approval_growth)^(D477-1))</f>
        <v/>
      </c>
      <c r="CA477" s="14">
        <f>F477*BY477*IF(B477&gt;=in_marketplace_from,d_hz_loan_home*G477,0)*BZ477*in_loan_home_ticket*in_loan_home_comm</f>
        <v/>
      </c>
      <c r="CB477" s="40">
        <f>CB476*(1-IF(B476&gt;=in_marketplace_from,d_hz_loan_lap*G476,0)*CC476)</f>
        <v/>
      </c>
      <c r="CC477" s="11">
        <f>MIN(in_approval_cap,in_loan_lap_approval*INDEX('Age profile'!$O$2:$O$61,B477)*(1+in_approval_growth)^(D477-1))</f>
        <v/>
      </c>
      <c r="CD477" s="14">
        <f>F477*CB477*IF(B477&gt;=in_marketplace_from,d_hz_loan_lap*G477,0)*CC477*in_loan_lap_ticket*in_loan_lap_comm</f>
        <v/>
      </c>
      <c r="CE477" s="14">
        <f>AA477+AB477+AC477+AD477+AG477+AJ477+AM477+AP477+AS477+AU477+AX477+BB477+BE477+BG477+BJ477+BL477+BO477+BR477+BT477+BV477+BX477+CA477+CD477</f>
        <v/>
      </c>
    </row>
    <row r="478">
      <c r="A478" s="39" t="n">
        <v>9</v>
      </c>
      <c r="B478" s="39" t="n">
        <v>25</v>
      </c>
      <c r="C478" s="39">
        <f>A478+B478-1</f>
        <v/>
      </c>
      <c r="D478" s="39">
        <f>INT((C478-1)/12)+1</f>
        <v/>
      </c>
      <c r="E478" s="44">
        <f>INDEX(Monthly!$B$2:$B$61,A478)</f>
        <v/>
      </c>
      <c r="F478" s="44">
        <f>E478*INDEX('Age profile'!$B$2:$B$61,B478)</f>
        <v/>
      </c>
      <c r="G478" s="45">
        <f>MIN(in_takeup_cap,INDEX('Age profile'!$N$2:$N$61,B478)*(1+in_takeup_growth)^(D478-1))</f>
        <v/>
      </c>
      <c r="H478" s="11">
        <f>MIN(in_approval_cap,in_approved_first*INDEX('Age profile'!$O$2:$O$61,B478)*(1+in_approval_growth)^(D478-1))</f>
        <v/>
      </c>
      <c r="I478" s="45">
        <f>G478*MIN(in_takeup_cap,INDEX('Age profile'!$O$2:$O$61,B478)*(1+in_approval_growth)^(D478-1))</f>
        <v/>
      </c>
      <c r="J478" s="40">
        <f>(J477-L477)*F478/F477</f>
        <v/>
      </c>
      <c r="K478" s="40">
        <f>(K477-M477)*F478/F477+SUMIFS(O454:O477,B454:B477,B478-1-d_T)*F478</f>
        <v/>
      </c>
      <c r="L478" s="40">
        <f>IF(B478&gt;=in_marketplace_from,J478*d_hz*G478*in_eligible*H478,0)</f>
        <v/>
      </c>
      <c r="M478" s="40">
        <f>IF(B478&gt;=in_marketplace_from,K478*d_hz*G478*in_eligible*in_approved_repeat,0)</f>
        <v/>
      </c>
      <c r="N478" s="40">
        <f>L478+M478</f>
        <v/>
      </c>
      <c r="O478" s="46">
        <f>N478/F478</f>
        <v/>
      </c>
      <c r="P478" s="40">
        <f>F478-J478-K478</f>
        <v/>
      </c>
      <c r="Q478" s="40">
        <f>IF(B478&gt;=in_marketplace_from,(J478+K478)*d_hz*G478,0)</f>
        <v/>
      </c>
      <c r="R478" s="40">
        <f>SUMIFS(N454:N505,B454:B505,"&gt;="&amp;(B478-d_T),B454:B505,"&lt;="&amp;(B478-1))</f>
        <v/>
      </c>
      <c r="S478" s="46">
        <f>(1-d_u)*S477+IF(d_T&gt;in_topup_lag,SUMIFS(O454:O505,B454:B505,B478-in_topup_lag)-d_udrop*SUMIFS(O454:O505,B454:B505,B478-d_T),0)</f>
        <v/>
      </c>
      <c r="T478" s="40">
        <f>F478*d_u*S478</f>
        <v/>
      </c>
      <c r="U478" s="9">
        <f>L478*in_ticket+M478*d_rep_ticket</f>
        <v/>
      </c>
      <c r="V478" s="9">
        <f>U478+T478*d_topup_amt</f>
        <v/>
      </c>
      <c r="W478" s="40">
        <f>N478+T478*d_topup_ratio</f>
        <v/>
      </c>
      <c r="X478" s="40">
        <f>SUMIFS(W454:W505,B454:B505,B478-in_dpd_lag)*d_cured</f>
        <v/>
      </c>
      <c r="Y478" s="40">
        <f>SUMIFS(W454:W505,B454:B505,B478-in_rec_lag)*d_recd</f>
        <v/>
      </c>
      <c r="Z478" s="40">
        <f>IF(AND(B478&gt;=in_marketplace_from,B478&lt;in_marketplace_from+in_card_months),in_card_share/in_card_months*F478*I478,IF(AND(B478&gt;=in_marketplace_from+in_card_months,B478&lt;in_marketplace_from+2*in_card_months),in_card_share*d_card_rem/in_card_months*F478*MIN(in_takeup_cap,(1+in_takeup_growth)^(D478-1))*MIN(in_takeup_cap,(1+in_approval_growth)^(D478-1)),0))</f>
        <v/>
      </c>
      <c r="AA478" s="14">
        <f>V478*in_fee*(1-in_taken_back)</f>
        <v/>
      </c>
      <c r="AB478" s="14">
        <f>SUMIFS(W454:W505,B454:B505,B478-in_dpd_lag)*d_dpd</f>
        <v/>
      </c>
      <c r="AC478" s="14">
        <f>SUMIFS(W454:W505,B454:B505,B478-in_rec_lag)*d_rec</f>
        <v/>
      </c>
      <c r="AD478" s="14">
        <f>Z478*in_card_fee</f>
        <v/>
      </c>
      <c r="AE478" s="40">
        <f>AE477*(1-IF(B477&gt;=in_marketplace_from,d_hz_hlth_small*G477,0))</f>
        <v/>
      </c>
      <c r="AF478" s="46">
        <f>AE478*IF(B478&gt;=in_marketplace_from,d_hz_hlth_small*G478,0)</f>
        <v/>
      </c>
      <c r="AG478" s="14">
        <f>F478*AF478*in_hlth_small_ticket*in_hlth_small_comm*in_ins_partner_share+F478*in_hlth_small_ticket*in_hlth_small_renew_comm*in_ins_partner_share*(in_hlth_small_renew^1*SUMIFS(AF454:AF505,B454:B505,B478-12)+in_hlth_small_renew^2*SUMIFS(AF454:AF505,B454:B505,B478-24)+in_hlth_small_renew^3*SUMIFS(AF454:AF505,B454:B505,B478-36)+in_hlth_small_renew^4*SUMIFS(AF454:AF505,B454:B505,B478-48))</f>
        <v/>
      </c>
      <c r="AH478" s="40">
        <f>AH477*(1-IF(B477&gt;=in_marketplace_from,d_hz_hlth_family*G477,0))</f>
        <v/>
      </c>
      <c r="AI478" s="46">
        <f>AH478*IF(B478&gt;=in_marketplace_from,d_hz_hlth_family*G478,0)</f>
        <v/>
      </c>
      <c r="AJ478" s="14">
        <f>F478*AI478*in_hlth_family_ticket*in_hlth_family_comm*in_ins_partner_share+F478*in_hlth_family_ticket*in_hlth_family_renew_comm*in_ins_partner_share*(in_hlth_family_renew^1*SUMIFS(AI454:AI505,B454:B505,B478-12)+in_hlth_family_renew^2*SUMIFS(AI454:AI505,B454:B505,B478-24)+in_hlth_family_renew^3*SUMIFS(AI454:AI505,B454:B505,B478-36)+in_hlth_family_renew^4*SUMIFS(AI454:AI505,B454:B505,B478-48))</f>
        <v/>
      </c>
      <c r="AK478" s="40">
        <f>AK477*(1-IF(B477&gt;=in_marketplace_from,d_hz_life_term*G477,0))</f>
        <v/>
      </c>
      <c r="AL478" s="46">
        <f>AK478*IF(B478&gt;=in_marketplace_from,d_hz_life_term*G478,0)</f>
        <v/>
      </c>
      <c r="AM478" s="14">
        <f>F478*AL478*in_life_term_ticket*in_life_term_comm*in_ins_partner_share+F478*in_life_term_ticket*in_life_term_renew_comm*in_ins_partner_share*(in_life_term_renew^1*SUMIFS(AL454:AL505,B454:B505,B478-12)+in_life_term_renew^2*SUMIFS(AL454:AL505,B454:B505,B478-24)+in_life_term_renew^3*SUMIFS(AL454:AL505,B454:B505,B478-36)+in_life_term_renew^4*SUMIFS(AL454:AL505,B454:B505,B478-48))</f>
        <v/>
      </c>
      <c r="AN478" s="40">
        <f>AN477*(1-IF(B477&gt;=in_marketplace_from,d_hz_accident*G477,0))</f>
        <v/>
      </c>
      <c r="AO478" s="46">
        <f>AN478*IF(B478&gt;=in_marketplace_from,d_hz_accident*G478,0)</f>
        <v/>
      </c>
      <c r="AP478" s="14">
        <f>F478*AO478*in_accident_ticket*in_accident_comm*in_ins_partner_share+F478*in_accident_ticket*in_accident_renew_comm*in_ins_partner_share*(in_accident_renew^1*SUMIFS(AO454:AO505,B454:B505,B478-12)+in_accident_renew^2*SUMIFS(AO454:AO505,B454:B505,B478-24)+in_accident_renew^3*SUMIFS(AO454:AO505,B454:B505,B478-36)+in_accident_renew^4*SUMIFS(AO454:AO505,B454:B505,B478-48))</f>
        <v/>
      </c>
      <c r="AQ478" s="40">
        <f>AQ477*(1-IF(B477&gt;=in_marketplace_from,d_hz_two_wheeler*G477,0))</f>
        <v/>
      </c>
      <c r="AR478" s="46">
        <f>AQ478*IF(B478&gt;=in_marketplace_from,d_hz_two_wheeler*G478,0)</f>
        <v/>
      </c>
      <c r="AS478" s="14">
        <f>F478*AR478*in_two_wheeler_ticket*in_two_wheeler_comm*in_ins_partner_share+F478*in_two_wheeler_ticket*in_two_wheeler_comm*in_ins_partner_share*(in_two_wheeler_renew^1*SUMIFS(AR454:AR505,B454:B505,B478-12)+in_two_wheeler_renew^2*SUMIFS(AR454:AR505,B454:B505,B478-24)+in_two_wheeler_renew^3*SUMIFS(AR454:AR505,B454:B505,B478-36)+in_two_wheeler_renew^4*SUMIFS(AR454:AR505,B454:B505,B478-48))</f>
        <v/>
      </c>
      <c r="AT478" s="40">
        <f>AT477*(1-IF(B477&gt;=in_marketplace_from,d_hz_device*G477,0))</f>
        <v/>
      </c>
      <c r="AU478" s="14">
        <f>F478*AT478*IF(B478&gt;=in_marketplace_from,d_hz_device*G478,0)*in_device_ticket*in_device_comm*in_ins_partner_share</f>
        <v/>
      </c>
      <c r="AV478" s="40">
        <f>AV477*(1-IF(B477&gt;=in_marketplace_from,d_hz_shop*G477,0))</f>
        <v/>
      </c>
      <c r="AW478" s="46">
        <f>AV478*IF(B478&gt;=in_marketplace_from,d_hz_shop*G478,0)</f>
        <v/>
      </c>
      <c r="AX478" s="14">
        <f>F478*AW478*in_shop_ticket*in_shop_comm*in_ins_partner_share+F478*in_shop_ticket*in_shop_renew_comm*in_ins_partner_share*(in_shop_renew^1*SUMIFS(AW454:AW505,B454:B505,B478-12)+in_shop_renew^2*SUMIFS(AW454:AW505,B454:B505,B478-24)+in_shop_renew^3*SUMIFS(AW454:AW505,B454:B505,B478-36)+in_shop_renew^4*SUMIFS(AW454:AW505,B454:B505,B478-48))</f>
        <v/>
      </c>
      <c r="AY478" s="40">
        <f>AY477*(1-IF(B477&gt;=in_marketplace_from,d_hz_sip*G477,0))</f>
        <v/>
      </c>
      <c r="AZ478" s="40">
        <f>AZ477*d_rho_sip+AY478*IF(B478&gt;=in_marketplace_from,d_hz_sip*G478,0)</f>
        <v/>
      </c>
      <c r="BA478" s="40">
        <f>d_rho_sip*(BA477+AZ477)</f>
        <v/>
      </c>
      <c r="BB478" s="14">
        <f>F478*in_sip_ticket*(BA478+0.5*AZ478)*in_sip_comm/12</f>
        <v/>
      </c>
      <c r="BC478" s="40">
        <f>BC477*(1-IF(B477&gt;=in_marketplace_from,d_hz_choti*G477,0))</f>
        <v/>
      </c>
      <c r="BD478" s="46">
        <f>BC478*IF(B478&gt;=in_marketplace_from,d_hz_choti*G478,0)</f>
        <v/>
      </c>
      <c r="BE478" s="14">
        <f>F478*SUMIFS(BD454:BD505,B454:B505,B478-in_choti_months)*in_choti_renew*in_choti_ticket</f>
        <v/>
      </c>
      <c r="BF478" s="40">
        <f>BF477*(1-IF(B477&gt;=in_marketplace_from,d_hz_nps*G477,0))</f>
        <v/>
      </c>
      <c r="BG478" s="14">
        <f>F478*BF478*IF(B478&gt;=in_marketplace_from,d_hz_nps*G478,0)*in_nps_ticket*in_nps_comm</f>
        <v/>
      </c>
      <c r="BH478" s="40">
        <f>BH477*(1-IF(B477&gt;=in_marketplace_from,d_hz_gold*G477,0))</f>
        <v/>
      </c>
      <c r="BI478" s="40">
        <f>BI477*d_rho_gold+BH478*IF(B478&gt;=in_marketplace_from,d_hz_gold*G478,0)</f>
        <v/>
      </c>
      <c r="BJ478" s="14">
        <f>F478*BI478*in_gold_ticket*in_gold_comm</f>
        <v/>
      </c>
      <c r="BK478" s="40">
        <f>BK477*(1-IF(B477&gt;=in_marketplace_from,d_hz_fd*G477,0))</f>
        <v/>
      </c>
      <c r="BL478" s="14">
        <f>F478*BK478*IF(B478&gt;=in_marketplace_from,d_hz_fd*G478,0)*in_fd_ticket*in_fd_comm</f>
        <v/>
      </c>
      <c r="BM478" s="40">
        <f>BM477*(1-IF(B477&gt;=in_marketplace_from,d_hz_recharge*G477,0))</f>
        <v/>
      </c>
      <c r="BN478" s="40">
        <f>BN477*d_rho_recharge+BM478*IF(B478&gt;=in_marketplace_from,d_hz_recharge*G478,0)</f>
        <v/>
      </c>
      <c r="BO478" s="14">
        <f>F478*BN478*in_recharge_ticket*in_recharge_comm/12</f>
        <v/>
      </c>
      <c r="BP478" s="40">
        <f>BP477*(1-IF(B477&gt;=in_marketplace_from,d_hz_bills*G477,0))</f>
        <v/>
      </c>
      <c r="BQ478" s="40">
        <f>BQ477*d_rho_bills+BP478*IF(B478&gt;=in_marketplace_from,d_hz_bills*G478,0)</f>
        <v/>
      </c>
      <c r="BR478" s="14">
        <f>F478*BQ478*in_bills_ticket*in_bills_comm/12</f>
        <v/>
      </c>
      <c r="BS478" s="40">
        <f>BS477*(1-IF(B477&gt;=in_marketplace_from,d_hz_loan_gold*G477,0))</f>
        <v/>
      </c>
      <c r="BT478" s="14">
        <f>F478*BS478*IF(B478&gt;=in_marketplace_from,d_hz_loan_gold*G478,0)*in_loan_gold_ticket*in_loan_gold_comm</f>
        <v/>
      </c>
      <c r="BU478" s="40">
        <f>BU477*(1-IF(B477&gt;=in_marketplace_from,d_hz_loan_cd*G477,0))</f>
        <v/>
      </c>
      <c r="BV478" s="14">
        <f>F478*BU478*IF(B478&gt;=in_marketplace_from,d_hz_loan_cd*G478,0)*in_loan_cd_ticket*in_loan_cd_comm</f>
        <v/>
      </c>
      <c r="BW478" s="40">
        <f>BW477*(1-IF(B477&gt;=in_marketplace_from,d_hz_loan_vehicle*G477,0))</f>
        <v/>
      </c>
      <c r="BX478" s="14">
        <f>F478*BW478*IF(B478&gt;=in_marketplace_from,d_hz_loan_vehicle*G478,0)*in_loan_vehicle_ticket*in_loan_vehicle_comm</f>
        <v/>
      </c>
      <c r="BY478" s="40">
        <f>BY477*(1-IF(B477&gt;=in_marketplace_from,d_hz_loan_home*G477,0)*BZ477)</f>
        <v/>
      </c>
      <c r="BZ478" s="11">
        <f>MIN(in_approval_cap,in_loan_home_approval*INDEX('Age profile'!$O$2:$O$61,B478)*(1+in_approval_growth)^(D478-1))</f>
        <v/>
      </c>
      <c r="CA478" s="14">
        <f>F478*BY478*IF(B478&gt;=in_marketplace_from,d_hz_loan_home*G478,0)*BZ478*in_loan_home_ticket*in_loan_home_comm</f>
        <v/>
      </c>
      <c r="CB478" s="40">
        <f>CB477*(1-IF(B477&gt;=in_marketplace_from,d_hz_loan_lap*G477,0)*CC477)</f>
        <v/>
      </c>
      <c r="CC478" s="11">
        <f>MIN(in_approval_cap,in_loan_lap_approval*INDEX('Age profile'!$O$2:$O$61,B478)*(1+in_approval_growth)^(D478-1))</f>
        <v/>
      </c>
      <c r="CD478" s="14">
        <f>F478*CB478*IF(B478&gt;=in_marketplace_from,d_hz_loan_lap*G478,0)*CC478*in_loan_lap_ticket*in_loan_lap_comm</f>
        <v/>
      </c>
      <c r="CE478" s="14">
        <f>AA478+AB478+AC478+AD478+AG478+AJ478+AM478+AP478+AS478+AU478+AX478+BB478+BE478+BG478+BJ478+BL478+BO478+BR478+BT478+BV478+BX478+CA478+CD478</f>
        <v/>
      </c>
    </row>
    <row r="479">
      <c r="A479" s="39" t="n">
        <v>9</v>
      </c>
      <c r="B479" s="39" t="n">
        <v>26</v>
      </c>
      <c r="C479" s="39">
        <f>A479+B479-1</f>
        <v/>
      </c>
      <c r="D479" s="39">
        <f>INT((C479-1)/12)+1</f>
        <v/>
      </c>
      <c r="E479" s="44">
        <f>INDEX(Monthly!$B$2:$B$61,A479)</f>
        <v/>
      </c>
      <c r="F479" s="44">
        <f>E479*INDEX('Age profile'!$B$2:$B$61,B479)</f>
        <v/>
      </c>
      <c r="G479" s="45">
        <f>MIN(in_takeup_cap,INDEX('Age profile'!$N$2:$N$61,B479)*(1+in_takeup_growth)^(D479-1))</f>
        <v/>
      </c>
      <c r="H479" s="11">
        <f>MIN(in_approval_cap,in_approved_first*INDEX('Age profile'!$O$2:$O$61,B479)*(1+in_approval_growth)^(D479-1))</f>
        <v/>
      </c>
      <c r="I479" s="45">
        <f>G479*MIN(in_takeup_cap,INDEX('Age profile'!$O$2:$O$61,B479)*(1+in_approval_growth)^(D479-1))</f>
        <v/>
      </c>
      <c r="J479" s="40">
        <f>(J478-L478)*F479/F478</f>
        <v/>
      </c>
      <c r="K479" s="40">
        <f>(K478-M478)*F479/F478+SUMIFS(O454:O478,B454:B478,B479-1-d_T)*F479</f>
        <v/>
      </c>
      <c r="L479" s="40">
        <f>IF(B479&gt;=in_marketplace_from,J479*d_hz*G479*in_eligible*H479,0)</f>
        <v/>
      </c>
      <c r="M479" s="40">
        <f>IF(B479&gt;=in_marketplace_from,K479*d_hz*G479*in_eligible*in_approved_repeat,0)</f>
        <v/>
      </c>
      <c r="N479" s="40">
        <f>L479+M479</f>
        <v/>
      </c>
      <c r="O479" s="46">
        <f>N479/F479</f>
        <v/>
      </c>
      <c r="P479" s="40">
        <f>F479-J479-K479</f>
        <v/>
      </c>
      <c r="Q479" s="40">
        <f>IF(B479&gt;=in_marketplace_from,(J479+K479)*d_hz*G479,0)</f>
        <v/>
      </c>
      <c r="R479" s="40">
        <f>SUMIFS(N454:N505,B454:B505,"&gt;="&amp;(B479-d_T),B454:B505,"&lt;="&amp;(B479-1))</f>
        <v/>
      </c>
      <c r="S479" s="46">
        <f>(1-d_u)*S478+IF(d_T&gt;in_topup_lag,SUMIFS(O454:O505,B454:B505,B479-in_topup_lag)-d_udrop*SUMIFS(O454:O505,B454:B505,B479-d_T),0)</f>
        <v/>
      </c>
      <c r="T479" s="40">
        <f>F479*d_u*S479</f>
        <v/>
      </c>
      <c r="U479" s="9">
        <f>L479*in_ticket+M479*d_rep_ticket</f>
        <v/>
      </c>
      <c r="V479" s="9">
        <f>U479+T479*d_topup_amt</f>
        <v/>
      </c>
      <c r="W479" s="40">
        <f>N479+T479*d_topup_ratio</f>
        <v/>
      </c>
      <c r="X479" s="40">
        <f>SUMIFS(W454:W505,B454:B505,B479-in_dpd_lag)*d_cured</f>
        <v/>
      </c>
      <c r="Y479" s="40">
        <f>SUMIFS(W454:W505,B454:B505,B479-in_rec_lag)*d_recd</f>
        <v/>
      </c>
      <c r="Z479" s="40">
        <f>IF(AND(B479&gt;=in_marketplace_from,B479&lt;in_marketplace_from+in_card_months),in_card_share/in_card_months*F479*I479,IF(AND(B479&gt;=in_marketplace_from+in_card_months,B479&lt;in_marketplace_from+2*in_card_months),in_card_share*d_card_rem/in_card_months*F479*MIN(in_takeup_cap,(1+in_takeup_growth)^(D479-1))*MIN(in_takeup_cap,(1+in_approval_growth)^(D479-1)),0))</f>
        <v/>
      </c>
      <c r="AA479" s="14">
        <f>V479*in_fee*(1-in_taken_back)</f>
        <v/>
      </c>
      <c r="AB479" s="14">
        <f>SUMIFS(W454:W505,B454:B505,B479-in_dpd_lag)*d_dpd</f>
        <v/>
      </c>
      <c r="AC479" s="14">
        <f>SUMIFS(W454:W505,B454:B505,B479-in_rec_lag)*d_rec</f>
        <v/>
      </c>
      <c r="AD479" s="14">
        <f>Z479*in_card_fee</f>
        <v/>
      </c>
      <c r="AE479" s="40">
        <f>AE478*(1-IF(B478&gt;=in_marketplace_from,d_hz_hlth_small*G478,0))</f>
        <v/>
      </c>
      <c r="AF479" s="46">
        <f>AE479*IF(B479&gt;=in_marketplace_from,d_hz_hlth_small*G479,0)</f>
        <v/>
      </c>
      <c r="AG479" s="14">
        <f>F479*AF479*in_hlth_small_ticket*in_hlth_small_comm*in_ins_partner_share+F479*in_hlth_small_ticket*in_hlth_small_renew_comm*in_ins_partner_share*(in_hlth_small_renew^1*SUMIFS(AF454:AF505,B454:B505,B479-12)+in_hlth_small_renew^2*SUMIFS(AF454:AF505,B454:B505,B479-24)+in_hlth_small_renew^3*SUMIFS(AF454:AF505,B454:B505,B479-36)+in_hlth_small_renew^4*SUMIFS(AF454:AF505,B454:B505,B479-48))</f>
        <v/>
      </c>
      <c r="AH479" s="40">
        <f>AH478*(1-IF(B478&gt;=in_marketplace_from,d_hz_hlth_family*G478,0))</f>
        <v/>
      </c>
      <c r="AI479" s="46">
        <f>AH479*IF(B479&gt;=in_marketplace_from,d_hz_hlth_family*G479,0)</f>
        <v/>
      </c>
      <c r="AJ479" s="14">
        <f>F479*AI479*in_hlth_family_ticket*in_hlth_family_comm*in_ins_partner_share+F479*in_hlth_family_ticket*in_hlth_family_renew_comm*in_ins_partner_share*(in_hlth_family_renew^1*SUMIFS(AI454:AI505,B454:B505,B479-12)+in_hlth_family_renew^2*SUMIFS(AI454:AI505,B454:B505,B479-24)+in_hlth_family_renew^3*SUMIFS(AI454:AI505,B454:B505,B479-36)+in_hlth_family_renew^4*SUMIFS(AI454:AI505,B454:B505,B479-48))</f>
        <v/>
      </c>
      <c r="AK479" s="40">
        <f>AK478*(1-IF(B478&gt;=in_marketplace_from,d_hz_life_term*G478,0))</f>
        <v/>
      </c>
      <c r="AL479" s="46">
        <f>AK479*IF(B479&gt;=in_marketplace_from,d_hz_life_term*G479,0)</f>
        <v/>
      </c>
      <c r="AM479" s="14">
        <f>F479*AL479*in_life_term_ticket*in_life_term_comm*in_ins_partner_share+F479*in_life_term_ticket*in_life_term_renew_comm*in_ins_partner_share*(in_life_term_renew^1*SUMIFS(AL454:AL505,B454:B505,B479-12)+in_life_term_renew^2*SUMIFS(AL454:AL505,B454:B505,B479-24)+in_life_term_renew^3*SUMIFS(AL454:AL505,B454:B505,B479-36)+in_life_term_renew^4*SUMIFS(AL454:AL505,B454:B505,B479-48))</f>
        <v/>
      </c>
      <c r="AN479" s="40">
        <f>AN478*(1-IF(B478&gt;=in_marketplace_from,d_hz_accident*G478,0))</f>
        <v/>
      </c>
      <c r="AO479" s="46">
        <f>AN479*IF(B479&gt;=in_marketplace_from,d_hz_accident*G479,0)</f>
        <v/>
      </c>
      <c r="AP479" s="14">
        <f>F479*AO479*in_accident_ticket*in_accident_comm*in_ins_partner_share+F479*in_accident_ticket*in_accident_renew_comm*in_ins_partner_share*(in_accident_renew^1*SUMIFS(AO454:AO505,B454:B505,B479-12)+in_accident_renew^2*SUMIFS(AO454:AO505,B454:B505,B479-24)+in_accident_renew^3*SUMIFS(AO454:AO505,B454:B505,B479-36)+in_accident_renew^4*SUMIFS(AO454:AO505,B454:B505,B479-48))</f>
        <v/>
      </c>
      <c r="AQ479" s="40">
        <f>AQ478*(1-IF(B478&gt;=in_marketplace_from,d_hz_two_wheeler*G478,0))</f>
        <v/>
      </c>
      <c r="AR479" s="46">
        <f>AQ479*IF(B479&gt;=in_marketplace_from,d_hz_two_wheeler*G479,0)</f>
        <v/>
      </c>
      <c r="AS479" s="14">
        <f>F479*AR479*in_two_wheeler_ticket*in_two_wheeler_comm*in_ins_partner_share+F479*in_two_wheeler_ticket*in_two_wheeler_comm*in_ins_partner_share*(in_two_wheeler_renew^1*SUMIFS(AR454:AR505,B454:B505,B479-12)+in_two_wheeler_renew^2*SUMIFS(AR454:AR505,B454:B505,B479-24)+in_two_wheeler_renew^3*SUMIFS(AR454:AR505,B454:B505,B479-36)+in_two_wheeler_renew^4*SUMIFS(AR454:AR505,B454:B505,B479-48))</f>
        <v/>
      </c>
      <c r="AT479" s="40">
        <f>AT478*(1-IF(B478&gt;=in_marketplace_from,d_hz_device*G478,0))</f>
        <v/>
      </c>
      <c r="AU479" s="14">
        <f>F479*AT479*IF(B479&gt;=in_marketplace_from,d_hz_device*G479,0)*in_device_ticket*in_device_comm*in_ins_partner_share</f>
        <v/>
      </c>
      <c r="AV479" s="40">
        <f>AV478*(1-IF(B478&gt;=in_marketplace_from,d_hz_shop*G478,0))</f>
        <v/>
      </c>
      <c r="AW479" s="46">
        <f>AV479*IF(B479&gt;=in_marketplace_from,d_hz_shop*G479,0)</f>
        <v/>
      </c>
      <c r="AX479" s="14">
        <f>F479*AW479*in_shop_ticket*in_shop_comm*in_ins_partner_share+F479*in_shop_ticket*in_shop_renew_comm*in_ins_partner_share*(in_shop_renew^1*SUMIFS(AW454:AW505,B454:B505,B479-12)+in_shop_renew^2*SUMIFS(AW454:AW505,B454:B505,B479-24)+in_shop_renew^3*SUMIFS(AW454:AW505,B454:B505,B479-36)+in_shop_renew^4*SUMIFS(AW454:AW505,B454:B505,B479-48))</f>
        <v/>
      </c>
      <c r="AY479" s="40">
        <f>AY478*(1-IF(B478&gt;=in_marketplace_from,d_hz_sip*G478,0))</f>
        <v/>
      </c>
      <c r="AZ479" s="40">
        <f>AZ478*d_rho_sip+AY479*IF(B479&gt;=in_marketplace_from,d_hz_sip*G479,0)</f>
        <v/>
      </c>
      <c r="BA479" s="40">
        <f>d_rho_sip*(BA478+AZ478)</f>
        <v/>
      </c>
      <c r="BB479" s="14">
        <f>F479*in_sip_ticket*(BA479+0.5*AZ479)*in_sip_comm/12</f>
        <v/>
      </c>
      <c r="BC479" s="40">
        <f>BC478*(1-IF(B478&gt;=in_marketplace_from,d_hz_choti*G478,0))</f>
        <v/>
      </c>
      <c r="BD479" s="46">
        <f>BC479*IF(B479&gt;=in_marketplace_from,d_hz_choti*G479,0)</f>
        <v/>
      </c>
      <c r="BE479" s="14">
        <f>F479*SUMIFS(BD454:BD505,B454:B505,B479-in_choti_months)*in_choti_renew*in_choti_ticket</f>
        <v/>
      </c>
      <c r="BF479" s="40">
        <f>BF478*(1-IF(B478&gt;=in_marketplace_from,d_hz_nps*G478,0))</f>
        <v/>
      </c>
      <c r="BG479" s="14">
        <f>F479*BF479*IF(B479&gt;=in_marketplace_from,d_hz_nps*G479,0)*in_nps_ticket*in_nps_comm</f>
        <v/>
      </c>
      <c r="BH479" s="40">
        <f>BH478*(1-IF(B478&gt;=in_marketplace_from,d_hz_gold*G478,0))</f>
        <v/>
      </c>
      <c r="BI479" s="40">
        <f>BI478*d_rho_gold+BH479*IF(B479&gt;=in_marketplace_from,d_hz_gold*G479,0)</f>
        <v/>
      </c>
      <c r="BJ479" s="14">
        <f>F479*BI479*in_gold_ticket*in_gold_comm</f>
        <v/>
      </c>
      <c r="BK479" s="40">
        <f>BK478*(1-IF(B478&gt;=in_marketplace_from,d_hz_fd*G478,0))</f>
        <v/>
      </c>
      <c r="BL479" s="14">
        <f>F479*BK479*IF(B479&gt;=in_marketplace_from,d_hz_fd*G479,0)*in_fd_ticket*in_fd_comm</f>
        <v/>
      </c>
      <c r="BM479" s="40">
        <f>BM478*(1-IF(B478&gt;=in_marketplace_from,d_hz_recharge*G478,0))</f>
        <v/>
      </c>
      <c r="BN479" s="40">
        <f>BN478*d_rho_recharge+BM479*IF(B479&gt;=in_marketplace_from,d_hz_recharge*G479,0)</f>
        <v/>
      </c>
      <c r="BO479" s="14">
        <f>F479*BN479*in_recharge_ticket*in_recharge_comm/12</f>
        <v/>
      </c>
      <c r="BP479" s="40">
        <f>BP478*(1-IF(B478&gt;=in_marketplace_from,d_hz_bills*G478,0))</f>
        <v/>
      </c>
      <c r="BQ479" s="40">
        <f>BQ478*d_rho_bills+BP479*IF(B479&gt;=in_marketplace_from,d_hz_bills*G479,0)</f>
        <v/>
      </c>
      <c r="BR479" s="14">
        <f>F479*BQ479*in_bills_ticket*in_bills_comm/12</f>
        <v/>
      </c>
      <c r="BS479" s="40">
        <f>BS478*(1-IF(B478&gt;=in_marketplace_from,d_hz_loan_gold*G478,0))</f>
        <v/>
      </c>
      <c r="BT479" s="14">
        <f>F479*BS479*IF(B479&gt;=in_marketplace_from,d_hz_loan_gold*G479,0)*in_loan_gold_ticket*in_loan_gold_comm</f>
        <v/>
      </c>
      <c r="BU479" s="40">
        <f>BU478*(1-IF(B478&gt;=in_marketplace_from,d_hz_loan_cd*G478,0))</f>
        <v/>
      </c>
      <c r="BV479" s="14">
        <f>F479*BU479*IF(B479&gt;=in_marketplace_from,d_hz_loan_cd*G479,0)*in_loan_cd_ticket*in_loan_cd_comm</f>
        <v/>
      </c>
      <c r="BW479" s="40">
        <f>BW478*(1-IF(B478&gt;=in_marketplace_from,d_hz_loan_vehicle*G478,0))</f>
        <v/>
      </c>
      <c r="BX479" s="14">
        <f>F479*BW479*IF(B479&gt;=in_marketplace_from,d_hz_loan_vehicle*G479,0)*in_loan_vehicle_ticket*in_loan_vehicle_comm</f>
        <v/>
      </c>
      <c r="BY479" s="40">
        <f>BY478*(1-IF(B478&gt;=in_marketplace_from,d_hz_loan_home*G478,0)*BZ478)</f>
        <v/>
      </c>
      <c r="BZ479" s="11">
        <f>MIN(in_approval_cap,in_loan_home_approval*INDEX('Age profile'!$O$2:$O$61,B479)*(1+in_approval_growth)^(D479-1))</f>
        <v/>
      </c>
      <c r="CA479" s="14">
        <f>F479*BY479*IF(B479&gt;=in_marketplace_from,d_hz_loan_home*G479,0)*BZ479*in_loan_home_ticket*in_loan_home_comm</f>
        <v/>
      </c>
      <c r="CB479" s="40">
        <f>CB478*(1-IF(B478&gt;=in_marketplace_from,d_hz_loan_lap*G478,0)*CC478)</f>
        <v/>
      </c>
      <c r="CC479" s="11">
        <f>MIN(in_approval_cap,in_loan_lap_approval*INDEX('Age profile'!$O$2:$O$61,B479)*(1+in_approval_growth)^(D479-1))</f>
        <v/>
      </c>
      <c r="CD479" s="14">
        <f>F479*CB479*IF(B479&gt;=in_marketplace_from,d_hz_loan_lap*G479,0)*CC479*in_loan_lap_ticket*in_loan_lap_comm</f>
        <v/>
      </c>
      <c r="CE479" s="14">
        <f>AA479+AB479+AC479+AD479+AG479+AJ479+AM479+AP479+AS479+AU479+AX479+BB479+BE479+BG479+BJ479+BL479+BO479+BR479+BT479+BV479+BX479+CA479+CD479</f>
        <v/>
      </c>
    </row>
    <row r="480">
      <c r="A480" s="39" t="n">
        <v>9</v>
      </c>
      <c r="B480" s="39" t="n">
        <v>27</v>
      </c>
      <c r="C480" s="39">
        <f>A480+B480-1</f>
        <v/>
      </c>
      <c r="D480" s="39">
        <f>INT((C480-1)/12)+1</f>
        <v/>
      </c>
      <c r="E480" s="44">
        <f>INDEX(Monthly!$B$2:$B$61,A480)</f>
        <v/>
      </c>
      <c r="F480" s="44">
        <f>E480*INDEX('Age profile'!$B$2:$B$61,B480)</f>
        <v/>
      </c>
      <c r="G480" s="45">
        <f>MIN(in_takeup_cap,INDEX('Age profile'!$N$2:$N$61,B480)*(1+in_takeup_growth)^(D480-1))</f>
        <v/>
      </c>
      <c r="H480" s="11">
        <f>MIN(in_approval_cap,in_approved_first*INDEX('Age profile'!$O$2:$O$61,B480)*(1+in_approval_growth)^(D480-1))</f>
        <v/>
      </c>
      <c r="I480" s="45">
        <f>G480*MIN(in_takeup_cap,INDEX('Age profile'!$O$2:$O$61,B480)*(1+in_approval_growth)^(D480-1))</f>
        <v/>
      </c>
      <c r="J480" s="40">
        <f>(J479-L479)*F480/F479</f>
        <v/>
      </c>
      <c r="K480" s="40">
        <f>(K479-M479)*F480/F479+SUMIFS(O454:O479,B454:B479,B480-1-d_T)*F480</f>
        <v/>
      </c>
      <c r="L480" s="40">
        <f>IF(B480&gt;=in_marketplace_from,J480*d_hz*G480*in_eligible*H480,0)</f>
        <v/>
      </c>
      <c r="M480" s="40">
        <f>IF(B480&gt;=in_marketplace_from,K480*d_hz*G480*in_eligible*in_approved_repeat,0)</f>
        <v/>
      </c>
      <c r="N480" s="40">
        <f>L480+M480</f>
        <v/>
      </c>
      <c r="O480" s="46">
        <f>N480/F480</f>
        <v/>
      </c>
      <c r="P480" s="40">
        <f>F480-J480-K480</f>
        <v/>
      </c>
      <c r="Q480" s="40">
        <f>IF(B480&gt;=in_marketplace_from,(J480+K480)*d_hz*G480,0)</f>
        <v/>
      </c>
      <c r="R480" s="40">
        <f>SUMIFS(N454:N505,B454:B505,"&gt;="&amp;(B480-d_T),B454:B505,"&lt;="&amp;(B480-1))</f>
        <v/>
      </c>
      <c r="S480" s="46">
        <f>(1-d_u)*S479+IF(d_T&gt;in_topup_lag,SUMIFS(O454:O505,B454:B505,B480-in_topup_lag)-d_udrop*SUMIFS(O454:O505,B454:B505,B480-d_T),0)</f>
        <v/>
      </c>
      <c r="T480" s="40">
        <f>F480*d_u*S480</f>
        <v/>
      </c>
      <c r="U480" s="9">
        <f>L480*in_ticket+M480*d_rep_ticket</f>
        <v/>
      </c>
      <c r="V480" s="9">
        <f>U480+T480*d_topup_amt</f>
        <v/>
      </c>
      <c r="W480" s="40">
        <f>N480+T480*d_topup_ratio</f>
        <v/>
      </c>
      <c r="X480" s="40">
        <f>SUMIFS(W454:W505,B454:B505,B480-in_dpd_lag)*d_cured</f>
        <v/>
      </c>
      <c r="Y480" s="40">
        <f>SUMIFS(W454:W505,B454:B505,B480-in_rec_lag)*d_recd</f>
        <v/>
      </c>
      <c r="Z480" s="40">
        <f>IF(AND(B480&gt;=in_marketplace_from,B480&lt;in_marketplace_from+in_card_months),in_card_share/in_card_months*F480*I480,IF(AND(B480&gt;=in_marketplace_from+in_card_months,B480&lt;in_marketplace_from+2*in_card_months),in_card_share*d_card_rem/in_card_months*F480*MIN(in_takeup_cap,(1+in_takeup_growth)^(D480-1))*MIN(in_takeup_cap,(1+in_approval_growth)^(D480-1)),0))</f>
        <v/>
      </c>
      <c r="AA480" s="14">
        <f>V480*in_fee*(1-in_taken_back)</f>
        <v/>
      </c>
      <c r="AB480" s="14">
        <f>SUMIFS(W454:W505,B454:B505,B480-in_dpd_lag)*d_dpd</f>
        <v/>
      </c>
      <c r="AC480" s="14">
        <f>SUMIFS(W454:W505,B454:B505,B480-in_rec_lag)*d_rec</f>
        <v/>
      </c>
      <c r="AD480" s="14">
        <f>Z480*in_card_fee</f>
        <v/>
      </c>
      <c r="AE480" s="40">
        <f>AE479*(1-IF(B479&gt;=in_marketplace_from,d_hz_hlth_small*G479,0))</f>
        <v/>
      </c>
      <c r="AF480" s="46">
        <f>AE480*IF(B480&gt;=in_marketplace_from,d_hz_hlth_small*G480,0)</f>
        <v/>
      </c>
      <c r="AG480" s="14">
        <f>F480*AF480*in_hlth_small_ticket*in_hlth_small_comm*in_ins_partner_share+F480*in_hlth_small_ticket*in_hlth_small_renew_comm*in_ins_partner_share*(in_hlth_small_renew^1*SUMIFS(AF454:AF505,B454:B505,B480-12)+in_hlth_small_renew^2*SUMIFS(AF454:AF505,B454:B505,B480-24)+in_hlth_small_renew^3*SUMIFS(AF454:AF505,B454:B505,B480-36)+in_hlth_small_renew^4*SUMIFS(AF454:AF505,B454:B505,B480-48))</f>
        <v/>
      </c>
      <c r="AH480" s="40">
        <f>AH479*(1-IF(B479&gt;=in_marketplace_from,d_hz_hlth_family*G479,0))</f>
        <v/>
      </c>
      <c r="AI480" s="46">
        <f>AH480*IF(B480&gt;=in_marketplace_from,d_hz_hlth_family*G480,0)</f>
        <v/>
      </c>
      <c r="AJ480" s="14">
        <f>F480*AI480*in_hlth_family_ticket*in_hlth_family_comm*in_ins_partner_share+F480*in_hlth_family_ticket*in_hlth_family_renew_comm*in_ins_partner_share*(in_hlth_family_renew^1*SUMIFS(AI454:AI505,B454:B505,B480-12)+in_hlth_family_renew^2*SUMIFS(AI454:AI505,B454:B505,B480-24)+in_hlth_family_renew^3*SUMIFS(AI454:AI505,B454:B505,B480-36)+in_hlth_family_renew^4*SUMIFS(AI454:AI505,B454:B505,B480-48))</f>
        <v/>
      </c>
      <c r="AK480" s="40">
        <f>AK479*(1-IF(B479&gt;=in_marketplace_from,d_hz_life_term*G479,0))</f>
        <v/>
      </c>
      <c r="AL480" s="46">
        <f>AK480*IF(B480&gt;=in_marketplace_from,d_hz_life_term*G480,0)</f>
        <v/>
      </c>
      <c r="AM480" s="14">
        <f>F480*AL480*in_life_term_ticket*in_life_term_comm*in_ins_partner_share+F480*in_life_term_ticket*in_life_term_renew_comm*in_ins_partner_share*(in_life_term_renew^1*SUMIFS(AL454:AL505,B454:B505,B480-12)+in_life_term_renew^2*SUMIFS(AL454:AL505,B454:B505,B480-24)+in_life_term_renew^3*SUMIFS(AL454:AL505,B454:B505,B480-36)+in_life_term_renew^4*SUMIFS(AL454:AL505,B454:B505,B480-48))</f>
        <v/>
      </c>
      <c r="AN480" s="40">
        <f>AN479*(1-IF(B479&gt;=in_marketplace_from,d_hz_accident*G479,0))</f>
        <v/>
      </c>
      <c r="AO480" s="46">
        <f>AN480*IF(B480&gt;=in_marketplace_from,d_hz_accident*G480,0)</f>
        <v/>
      </c>
      <c r="AP480" s="14">
        <f>F480*AO480*in_accident_ticket*in_accident_comm*in_ins_partner_share+F480*in_accident_ticket*in_accident_renew_comm*in_ins_partner_share*(in_accident_renew^1*SUMIFS(AO454:AO505,B454:B505,B480-12)+in_accident_renew^2*SUMIFS(AO454:AO505,B454:B505,B480-24)+in_accident_renew^3*SUMIFS(AO454:AO505,B454:B505,B480-36)+in_accident_renew^4*SUMIFS(AO454:AO505,B454:B505,B480-48))</f>
        <v/>
      </c>
      <c r="AQ480" s="40">
        <f>AQ479*(1-IF(B479&gt;=in_marketplace_from,d_hz_two_wheeler*G479,0))</f>
        <v/>
      </c>
      <c r="AR480" s="46">
        <f>AQ480*IF(B480&gt;=in_marketplace_from,d_hz_two_wheeler*G480,0)</f>
        <v/>
      </c>
      <c r="AS480" s="14">
        <f>F480*AR480*in_two_wheeler_ticket*in_two_wheeler_comm*in_ins_partner_share+F480*in_two_wheeler_ticket*in_two_wheeler_comm*in_ins_partner_share*(in_two_wheeler_renew^1*SUMIFS(AR454:AR505,B454:B505,B480-12)+in_two_wheeler_renew^2*SUMIFS(AR454:AR505,B454:B505,B480-24)+in_two_wheeler_renew^3*SUMIFS(AR454:AR505,B454:B505,B480-36)+in_two_wheeler_renew^4*SUMIFS(AR454:AR505,B454:B505,B480-48))</f>
        <v/>
      </c>
      <c r="AT480" s="40">
        <f>AT479*(1-IF(B479&gt;=in_marketplace_from,d_hz_device*G479,0))</f>
        <v/>
      </c>
      <c r="AU480" s="14">
        <f>F480*AT480*IF(B480&gt;=in_marketplace_from,d_hz_device*G480,0)*in_device_ticket*in_device_comm*in_ins_partner_share</f>
        <v/>
      </c>
      <c r="AV480" s="40">
        <f>AV479*(1-IF(B479&gt;=in_marketplace_from,d_hz_shop*G479,0))</f>
        <v/>
      </c>
      <c r="AW480" s="46">
        <f>AV480*IF(B480&gt;=in_marketplace_from,d_hz_shop*G480,0)</f>
        <v/>
      </c>
      <c r="AX480" s="14">
        <f>F480*AW480*in_shop_ticket*in_shop_comm*in_ins_partner_share+F480*in_shop_ticket*in_shop_renew_comm*in_ins_partner_share*(in_shop_renew^1*SUMIFS(AW454:AW505,B454:B505,B480-12)+in_shop_renew^2*SUMIFS(AW454:AW505,B454:B505,B480-24)+in_shop_renew^3*SUMIFS(AW454:AW505,B454:B505,B480-36)+in_shop_renew^4*SUMIFS(AW454:AW505,B454:B505,B480-48))</f>
        <v/>
      </c>
      <c r="AY480" s="40">
        <f>AY479*(1-IF(B479&gt;=in_marketplace_from,d_hz_sip*G479,0))</f>
        <v/>
      </c>
      <c r="AZ480" s="40">
        <f>AZ479*d_rho_sip+AY480*IF(B480&gt;=in_marketplace_from,d_hz_sip*G480,0)</f>
        <v/>
      </c>
      <c r="BA480" s="40">
        <f>d_rho_sip*(BA479+AZ479)</f>
        <v/>
      </c>
      <c r="BB480" s="14">
        <f>F480*in_sip_ticket*(BA480+0.5*AZ480)*in_sip_comm/12</f>
        <v/>
      </c>
      <c r="BC480" s="40">
        <f>BC479*(1-IF(B479&gt;=in_marketplace_from,d_hz_choti*G479,0))</f>
        <v/>
      </c>
      <c r="BD480" s="46">
        <f>BC480*IF(B480&gt;=in_marketplace_from,d_hz_choti*G480,0)</f>
        <v/>
      </c>
      <c r="BE480" s="14">
        <f>F480*SUMIFS(BD454:BD505,B454:B505,B480-in_choti_months)*in_choti_renew*in_choti_ticket</f>
        <v/>
      </c>
      <c r="BF480" s="40">
        <f>BF479*(1-IF(B479&gt;=in_marketplace_from,d_hz_nps*G479,0))</f>
        <v/>
      </c>
      <c r="BG480" s="14">
        <f>F480*BF480*IF(B480&gt;=in_marketplace_from,d_hz_nps*G480,0)*in_nps_ticket*in_nps_comm</f>
        <v/>
      </c>
      <c r="BH480" s="40">
        <f>BH479*(1-IF(B479&gt;=in_marketplace_from,d_hz_gold*G479,0))</f>
        <v/>
      </c>
      <c r="BI480" s="40">
        <f>BI479*d_rho_gold+BH480*IF(B480&gt;=in_marketplace_from,d_hz_gold*G480,0)</f>
        <v/>
      </c>
      <c r="BJ480" s="14">
        <f>F480*BI480*in_gold_ticket*in_gold_comm</f>
        <v/>
      </c>
      <c r="BK480" s="40">
        <f>BK479*(1-IF(B479&gt;=in_marketplace_from,d_hz_fd*G479,0))</f>
        <v/>
      </c>
      <c r="BL480" s="14">
        <f>F480*BK480*IF(B480&gt;=in_marketplace_from,d_hz_fd*G480,0)*in_fd_ticket*in_fd_comm</f>
        <v/>
      </c>
      <c r="BM480" s="40">
        <f>BM479*(1-IF(B479&gt;=in_marketplace_from,d_hz_recharge*G479,0))</f>
        <v/>
      </c>
      <c r="BN480" s="40">
        <f>BN479*d_rho_recharge+BM480*IF(B480&gt;=in_marketplace_from,d_hz_recharge*G480,0)</f>
        <v/>
      </c>
      <c r="BO480" s="14">
        <f>F480*BN480*in_recharge_ticket*in_recharge_comm/12</f>
        <v/>
      </c>
      <c r="BP480" s="40">
        <f>BP479*(1-IF(B479&gt;=in_marketplace_from,d_hz_bills*G479,0))</f>
        <v/>
      </c>
      <c r="BQ480" s="40">
        <f>BQ479*d_rho_bills+BP480*IF(B480&gt;=in_marketplace_from,d_hz_bills*G480,0)</f>
        <v/>
      </c>
      <c r="BR480" s="14">
        <f>F480*BQ480*in_bills_ticket*in_bills_comm/12</f>
        <v/>
      </c>
      <c r="BS480" s="40">
        <f>BS479*(1-IF(B479&gt;=in_marketplace_from,d_hz_loan_gold*G479,0))</f>
        <v/>
      </c>
      <c r="BT480" s="14">
        <f>F480*BS480*IF(B480&gt;=in_marketplace_from,d_hz_loan_gold*G480,0)*in_loan_gold_ticket*in_loan_gold_comm</f>
        <v/>
      </c>
      <c r="BU480" s="40">
        <f>BU479*(1-IF(B479&gt;=in_marketplace_from,d_hz_loan_cd*G479,0))</f>
        <v/>
      </c>
      <c r="BV480" s="14">
        <f>F480*BU480*IF(B480&gt;=in_marketplace_from,d_hz_loan_cd*G480,0)*in_loan_cd_ticket*in_loan_cd_comm</f>
        <v/>
      </c>
      <c r="BW480" s="40">
        <f>BW479*(1-IF(B479&gt;=in_marketplace_from,d_hz_loan_vehicle*G479,0))</f>
        <v/>
      </c>
      <c r="BX480" s="14">
        <f>F480*BW480*IF(B480&gt;=in_marketplace_from,d_hz_loan_vehicle*G480,0)*in_loan_vehicle_ticket*in_loan_vehicle_comm</f>
        <v/>
      </c>
      <c r="BY480" s="40">
        <f>BY479*(1-IF(B479&gt;=in_marketplace_from,d_hz_loan_home*G479,0)*BZ479)</f>
        <v/>
      </c>
      <c r="BZ480" s="11">
        <f>MIN(in_approval_cap,in_loan_home_approval*INDEX('Age profile'!$O$2:$O$61,B480)*(1+in_approval_growth)^(D480-1))</f>
        <v/>
      </c>
      <c r="CA480" s="14">
        <f>F480*BY480*IF(B480&gt;=in_marketplace_from,d_hz_loan_home*G480,0)*BZ480*in_loan_home_ticket*in_loan_home_comm</f>
        <v/>
      </c>
      <c r="CB480" s="40">
        <f>CB479*(1-IF(B479&gt;=in_marketplace_from,d_hz_loan_lap*G479,0)*CC479)</f>
        <v/>
      </c>
      <c r="CC480" s="11">
        <f>MIN(in_approval_cap,in_loan_lap_approval*INDEX('Age profile'!$O$2:$O$61,B480)*(1+in_approval_growth)^(D480-1))</f>
        <v/>
      </c>
      <c r="CD480" s="14">
        <f>F480*CB480*IF(B480&gt;=in_marketplace_from,d_hz_loan_lap*G480,0)*CC480*in_loan_lap_ticket*in_loan_lap_comm</f>
        <v/>
      </c>
      <c r="CE480" s="14">
        <f>AA480+AB480+AC480+AD480+AG480+AJ480+AM480+AP480+AS480+AU480+AX480+BB480+BE480+BG480+BJ480+BL480+BO480+BR480+BT480+BV480+BX480+CA480+CD480</f>
        <v/>
      </c>
    </row>
    <row r="481">
      <c r="A481" s="39" t="n">
        <v>9</v>
      </c>
      <c r="B481" s="39" t="n">
        <v>28</v>
      </c>
      <c r="C481" s="39">
        <f>A481+B481-1</f>
        <v/>
      </c>
      <c r="D481" s="39">
        <f>INT((C481-1)/12)+1</f>
        <v/>
      </c>
      <c r="E481" s="44">
        <f>INDEX(Monthly!$B$2:$B$61,A481)</f>
        <v/>
      </c>
      <c r="F481" s="44">
        <f>E481*INDEX('Age profile'!$B$2:$B$61,B481)</f>
        <v/>
      </c>
      <c r="G481" s="45">
        <f>MIN(in_takeup_cap,INDEX('Age profile'!$N$2:$N$61,B481)*(1+in_takeup_growth)^(D481-1))</f>
        <v/>
      </c>
      <c r="H481" s="11">
        <f>MIN(in_approval_cap,in_approved_first*INDEX('Age profile'!$O$2:$O$61,B481)*(1+in_approval_growth)^(D481-1))</f>
        <v/>
      </c>
      <c r="I481" s="45">
        <f>G481*MIN(in_takeup_cap,INDEX('Age profile'!$O$2:$O$61,B481)*(1+in_approval_growth)^(D481-1))</f>
        <v/>
      </c>
      <c r="J481" s="40">
        <f>(J480-L480)*F481/F480</f>
        <v/>
      </c>
      <c r="K481" s="40">
        <f>(K480-M480)*F481/F480+SUMIFS(O454:O480,B454:B480,B481-1-d_T)*F481</f>
        <v/>
      </c>
      <c r="L481" s="40">
        <f>IF(B481&gt;=in_marketplace_from,J481*d_hz*G481*in_eligible*H481,0)</f>
        <v/>
      </c>
      <c r="M481" s="40">
        <f>IF(B481&gt;=in_marketplace_from,K481*d_hz*G481*in_eligible*in_approved_repeat,0)</f>
        <v/>
      </c>
      <c r="N481" s="40">
        <f>L481+M481</f>
        <v/>
      </c>
      <c r="O481" s="46">
        <f>N481/F481</f>
        <v/>
      </c>
      <c r="P481" s="40">
        <f>F481-J481-K481</f>
        <v/>
      </c>
      <c r="Q481" s="40">
        <f>IF(B481&gt;=in_marketplace_from,(J481+K481)*d_hz*G481,0)</f>
        <v/>
      </c>
      <c r="R481" s="40">
        <f>SUMIFS(N454:N505,B454:B505,"&gt;="&amp;(B481-d_T),B454:B505,"&lt;="&amp;(B481-1))</f>
        <v/>
      </c>
      <c r="S481" s="46">
        <f>(1-d_u)*S480+IF(d_T&gt;in_topup_lag,SUMIFS(O454:O505,B454:B505,B481-in_topup_lag)-d_udrop*SUMIFS(O454:O505,B454:B505,B481-d_T),0)</f>
        <v/>
      </c>
      <c r="T481" s="40">
        <f>F481*d_u*S481</f>
        <v/>
      </c>
      <c r="U481" s="9">
        <f>L481*in_ticket+M481*d_rep_ticket</f>
        <v/>
      </c>
      <c r="V481" s="9">
        <f>U481+T481*d_topup_amt</f>
        <v/>
      </c>
      <c r="W481" s="40">
        <f>N481+T481*d_topup_ratio</f>
        <v/>
      </c>
      <c r="X481" s="40">
        <f>SUMIFS(W454:W505,B454:B505,B481-in_dpd_lag)*d_cured</f>
        <v/>
      </c>
      <c r="Y481" s="40">
        <f>SUMIFS(W454:W505,B454:B505,B481-in_rec_lag)*d_recd</f>
        <v/>
      </c>
      <c r="Z481" s="40">
        <f>IF(AND(B481&gt;=in_marketplace_from,B481&lt;in_marketplace_from+in_card_months),in_card_share/in_card_months*F481*I481,IF(AND(B481&gt;=in_marketplace_from+in_card_months,B481&lt;in_marketplace_from+2*in_card_months),in_card_share*d_card_rem/in_card_months*F481*MIN(in_takeup_cap,(1+in_takeup_growth)^(D481-1))*MIN(in_takeup_cap,(1+in_approval_growth)^(D481-1)),0))</f>
        <v/>
      </c>
      <c r="AA481" s="14">
        <f>V481*in_fee*(1-in_taken_back)</f>
        <v/>
      </c>
      <c r="AB481" s="14">
        <f>SUMIFS(W454:W505,B454:B505,B481-in_dpd_lag)*d_dpd</f>
        <v/>
      </c>
      <c r="AC481" s="14">
        <f>SUMIFS(W454:W505,B454:B505,B481-in_rec_lag)*d_rec</f>
        <v/>
      </c>
      <c r="AD481" s="14">
        <f>Z481*in_card_fee</f>
        <v/>
      </c>
      <c r="AE481" s="40">
        <f>AE480*(1-IF(B480&gt;=in_marketplace_from,d_hz_hlth_small*G480,0))</f>
        <v/>
      </c>
      <c r="AF481" s="46">
        <f>AE481*IF(B481&gt;=in_marketplace_from,d_hz_hlth_small*G481,0)</f>
        <v/>
      </c>
      <c r="AG481" s="14">
        <f>F481*AF481*in_hlth_small_ticket*in_hlth_small_comm*in_ins_partner_share+F481*in_hlth_small_ticket*in_hlth_small_renew_comm*in_ins_partner_share*(in_hlth_small_renew^1*SUMIFS(AF454:AF505,B454:B505,B481-12)+in_hlth_small_renew^2*SUMIFS(AF454:AF505,B454:B505,B481-24)+in_hlth_small_renew^3*SUMIFS(AF454:AF505,B454:B505,B481-36)+in_hlth_small_renew^4*SUMIFS(AF454:AF505,B454:B505,B481-48))</f>
        <v/>
      </c>
      <c r="AH481" s="40">
        <f>AH480*(1-IF(B480&gt;=in_marketplace_from,d_hz_hlth_family*G480,0))</f>
        <v/>
      </c>
      <c r="AI481" s="46">
        <f>AH481*IF(B481&gt;=in_marketplace_from,d_hz_hlth_family*G481,0)</f>
        <v/>
      </c>
      <c r="AJ481" s="14">
        <f>F481*AI481*in_hlth_family_ticket*in_hlth_family_comm*in_ins_partner_share+F481*in_hlth_family_ticket*in_hlth_family_renew_comm*in_ins_partner_share*(in_hlth_family_renew^1*SUMIFS(AI454:AI505,B454:B505,B481-12)+in_hlth_family_renew^2*SUMIFS(AI454:AI505,B454:B505,B481-24)+in_hlth_family_renew^3*SUMIFS(AI454:AI505,B454:B505,B481-36)+in_hlth_family_renew^4*SUMIFS(AI454:AI505,B454:B505,B481-48))</f>
        <v/>
      </c>
      <c r="AK481" s="40">
        <f>AK480*(1-IF(B480&gt;=in_marketplace_from,d_hz_life_term*G480,0))</f>
        <v/>
      </c>
      <c r="AL481" s="46">
        <f>AK481*IF(B481&gt;=in_marketplace_from,d_hz_life_term*G481,0)</f>
        <v/>
      </c>
      <c r="AM481" s="14">
        <f>F481*AL481*in_life_term_ticket*in_life_term_comm*in_ins_partner_share+F481*in_life_term_ticket*in_life_term_renew_comm*in_ins_partner_share*(in_life_term_renew^1*SUMIFS(AL454:AL505,B454:B505,B481-12)+in_life_term_renew^2*SUMIFS(AL454:AL505,B454:B505,B481-24)+in_life_term_renew^3*SUMIFS(AL454:AL505,B454:B505,B481-36)+in_life_term_renew^4*SUMIFS(AL454:AL505,B454:B505,B481-48))</f>
        <v/>
      </c>
      <c r="AN481" s="40">
        <f>AN480*(1-IF(B480&gt;=in_marketplace_from,d_hz_accident*G480,0))</f>
        <v/>
      </c>
      <c r="AO481" s="46">
        <f>AN481*IF(B481&gt;=in_marketplace_from,d_hz_accident*G481,0)</f>
        <v/>
      </c>
      <c r="AP481" s="14">
        <f>F481*AO481*in_accident_ticket*in_accident_comm*in_ins_partner_share+F481*in_accident_ticket*in_accident_renew_comm*in_ins_partner_share*(in_accident_renew^1*SUMIFS(AO454:AO505,B454:B505,B481-12)+in_accident_renew^2*SUMIFS(AO454:AO505,B454:B505,B481-24)+in_accident_renew^3*SUMIFS(AO454:AO505,B454:B505,B481-36)+in_accident_renew^4*SUMIFS(AO454:AO505,B454:B505,B481-48))</f>
        <v/>
      </c>
      <c r="AQ481" s="40">
        <f>AQ480*(1-IF(B480&gt;=in_marketplace_from,d_hz_two_wheeler*G480,0))</f>
        <v/>
      </c>
      <c r="AR481" s="46">
        <f>AQ481*IF(B481&gt;=in_marketplace_from,d_hz_two_wheeler*G481,0)</f>
        <v/>
      </c>
      <c r="AS481" s="14">
        <f>F481*AR481*in_two_wheeler_ticket*in_two_wheeler_comm*in_ins_partner_share+F481*in_two_wheeler_ticket*in_two_wheeler_comm*in_ins_partner_share*(in_two_wheeler_renew^1*SUMIFS(AR454:AR505,B454:B505,B481-12)+in_two_wheeler_renew^2*SUMIFS(AR454:AR505,B454:B505,B481-24)+in_two_wheeler_renew^3*SUMIFS(AR454:AR505,B454:B505,B481-36)+in_two_wheeler_renew^4*SUMIFS(AR454:AR505,B454:B505,B481-48))</f>
        <v/>
      </c>
      <c r="AT481" s="40">
        <f>AT480*(1-IF(B480&gt;=in_marketplace_from,d_hz_device*G480,0))</f>
        <v/>
      </c>
      <c r="AU481" s="14">
        <f>F481*AT481*IF(B481&gt;=in_marketplace_from,d_hz_device*G481,0)*in_device_ticket*in_device_comm*in_ins_partner_share</f>
        <v/>
      </c>
      <c r="AV481" s="40">
        <f>AV480*(1-IF(B480&gt;=in_marketplace_from,d_hz_shop*G480,0))</f>
        <v/>
      </c>
      <c r="AW481" s="46">
        <f>AV481*IF(B481&gt;=in_marketplace_from,d_hz_shop*G481,0)</f>
        <v/>
      </c>
      <c r="AX481" s="14">
        <f>F481*AW481*in_shop_ticket*in_shop_comm*in_ins_partner_share+F481*in_shop_ticket*in_shop_renew_comm*in_ins_partner_share*(in_shop_renew^1*SUMIFS(AW454:AW505,B454:B505,B481-12)+in_shop_renew^2*SUMIFS(AW454:AW505,B454:B505,B481-24)+in_shop_renew^3*SUMIFS(AW454:AW505,B454:B505,B481-36)+in_shop_renew^4*SUMIFS(AW454:AW505,B454:B505,B481-48))</f>
        <v/>
      </c>
      <c r="AY481" s="40">
        <f>AY480*(1-IF(B480&gt;=in_marketplace_from,d_hz_sip*G480,0))</f>
        <v/>
      </c>
      <c r="AZ481" s="40">
        <f>AZ480*d_rho_sip+AY481*IF(B481&gt;=in_marketplace_from,d_hz_sip*G481,0)</f>
        <v/>
      </c>
      <c r="BA481" s="40">
        <f>d_rho_sip*(BA480+AZ480)</f>
        <v/>
      </c>
      <c r="BB481" s="14">
        <f>F481*in_sip_ticket*(BA481+0.5*AZ481)*in_sip_comm/12</f>
        <v/>
      </c>
      <c r="BC481" s="40">
        <f>BC480*(1-IF(B480&gt;=in_marketplace_from,d_hz_choti*G480,0))</f>
        <v/>
      </c>
      <c r="BD481" s="46">
        <f>BC481*IF(B481&gt;=in_marketplace_from,d_hz_choti*G481,0)</f>
        <v/>
      </c>
      <c r="BE481" s="14">
        <f>F481*SUMIFS(BD454:BD505,B454:B505,B481-in_choti_months)*in_choti_renew*in_choti_ticket</f>
        <v/>
      </c>
      <c r="BF481" s="40">
        <f>BF480*(1-IF(B480&gt;=in_marketplace_from,d_hz_nps*G480,0))</f>
        <v/>
      </c>
      <c r="BG481" s="14">
        <f>F481*BF481*IF(B481&gt;=in_marketplace_from,d_hz_nps*G481,0)*in_nps_ticket*in_nps_comm</f>
        <v/>
      </c>
      <c r="BH481" s="40">
        <f>BH480*(1-IF(B480&gt;=in_marketplace_from,d_hz_gold*G480,0))</f>
        <v/>
      </c>
      <c r="BI481" s="40">
        <f>BI480*d_rho_gold+BH481*IF(B481&gt;=in_marketplace_from,d_hz_gold*G481,0)</f>
        <v/>
      </c>
      <c r="BJ481" s="14">
        <f>F481*BI481*in_gold_ticket*in_gold_comm</f>
        <v/>
      </c>
      <c r="BK481" s="40">
        <f>BK480*(1-IF(B480&gt;=in_marketplace_from,d_hz_fd*G480,0))</f>
        <v/>
      </c>
      <c r="BL481" s="14">
        <f>F481*BK481*IF(B481&gt;=in_marketplace_from,d_hz_fd*G481,0)*in_fd_ticket*in_fd_comm</f>
        <v/>
      </c>
      <c r="BM481" s="40">
        <f>BM480*(1-IF(B480&gt;=in_marketplace_from,d_hz_recharge*G480,0))</f>
        <v/>
      </c>
      <c r="BN481" s="40">
        <f>BN480*d_rho_recharge+BM481*IF(B481&gt;=in_marketplace_from,d_hz_recharge*G481,0)</f>
        <v/>
      </c>
      <c r="BO481" s="14">
        <f>F481*BN481*in_recharge_ticket*in_recharge_comm/12</f>
        <v/>
      </c>
      <c r="BP481" s="40">
        <f>BP480*(1-IF(B480&gt;=in_marketplace_from,d_hz_bills*G480,0))</f>
        <v/>
      </c>
      <c r="BQ481" s="40">
        <f>BQ480*d_rho_bills+BP481*IF(B481&gt;=in_marketplace_from,d_hz_bills*G481,0)</f>
        <v/>
      </c>
      <c r="BR481" s="14">
        <f>F481*BQ481*in_bills_ticket*in_bills_comm/12</f>
        <v/>
      </c>
      <c r="BS481" s="40">
        <f>BS480*(1-IF(B480&gt;=in_marketplace_from,d_hz_loan_gold*G480,0))</f>
        <v/>
      </c>
      <c r="BT481" s="14">
        <f>F481*BS481*IF(B481&gt;=in_marketplace_from,d_hz_loan_gold*G481,0)*in_loan_gold_ticket*in_loan_gold_comm</f>
        <v/>
      </c>
      <c r="BU481" s="40">
        <f>BU480*(1-IF(B480&gt;=in_marketplace_from,d_hz_loan_cd*G480,0))</f>
        <v/>
      </c>
      <c r="BV481" s="14">
        <f>F481*BU481*IF(B481&gt;=in_marketplace_from,d_hz_loan_cd*G481,0)*in_loan_cd_ticket*in_loan_cd_comm</f>
        <v/>
      </c>
      <c r="BW481" s="40">
        <f>BW480*(1-IF(B480&gt;=in_marketplace_from,d_hz_loan_vehicle*G480,0))</f>
        <v/>
      </c>
      <c r="BX481" s="14">
        <f>F481*BW481*IF(B481&gt;=in_marketplace_from,d_hz_loan_vehicle*G481,0)*in_loan_vehicle_ticket*in_loan_vehicle_comm</f>
        <v/>
      </c>
      <c r="BY481" s="40">
        <f>BY480*(1-IF(B480&gt;=in_marketplace_from,d_hz_loan_home*G480,0)*BZ480)</f>
        <v/>
      </c>
      <c r="BZ481" s="11">
        <f>MIN(in_approval_cap,in_loan_home_approval*INDEX('Age profile'!$O$2:$O$61,B481)*(1+in_approval_growth)^(D481-1))</f>
        <v/>
      </c>
      <c r="CA481" s="14">
        <f>F481*BY481*IF(B481&gt;=in_marketplace_from,d_hz_loan_home*G481,0)*BZ481*in_loan_home_ticket*in_loan_home_comm</f>
        <v/>
      </c>
      <c r="CB481" s="40">
        <f>CB480*(1-IF(B480&gt;=in_marketplace_from,d_hz_loan_lap*G480,0)*CC480)</f>
        <v/>
      </c>
      <c r="CC481" s="11">
        <f>MIN(in_approval_cap,in_loan_lap_approval*INDEX('Age profile'!$O$2:$O$61,B481)*(1+in_approval_growth)^(D481-1))</f>
        <v/>
      </c>
      <c r="CD481" s="14">
        <f>F481*CB481*IF(B481&gt;=in_marketplace_from,d_hz_loan_lap*G481,0)*CC481*in_loan_lap_ticket*in_loan_lap_comm</f>
        <v/>
      </c>
      <c r="CE481" s="14">
        <f>AA481+AB481+AC481+AD481+AG481+AJ481+AM481+AP481+AS481+AU481+AX481+BB481+BE481+BG481+BJ481+BL481+BO481+BR481+BT481+BV481+BX481+CA481+CD481</f>
        <v/>
      </c>
    </row>
    <row r="482">
      <c r="A482" s="39" t="n">
        <v>9</v>
      </c>
      <c r="B482" s="39" t="n">
        <v>29</v>
      </c>
      <c r="C482" s="39">
        <f>A482+B482-1</f>
        <v/>
      </c>
      <c r="D482" s="39">
        <f>INT((C482-1)/12)+1</f>
        <v/>
      </c>
      <c r="E482" s="44">
        <f>INDEX(Monthly!$B$2:$B$61,A482)</f>
        <v/>
      </c>
      <c r="F482" s="44">
        <f>E482*INDEX('Age profile'!$B$2:$B$61,B482)</f>
        <v/>
      </c>
      <c r="G482" s="45">
        <f>MIN(in_takeup_cap,INDEX('Age profile'!$N$2:$N$61,B482)*(1+in_takeup_growth)^(D482-1))</f>
        <v/>
      </c>
      <c r="H482" s="11">
        <f>MIN(in_approval_cap,in_approved_first*INDEX('Age profile'!$O$2:$O$61,B482)*(1+in_approval_growth)^(D482-1))</f>
        <v/>
      </c>
      <c r="I482" s="45">
        <f>G482*MIN(in_takeup_cap,INDEX('Age profile'!$O$2:$O$61,B482)*(1+in_approval_growth)^(D482-1))</f>
        <v/>
      </c>
      <c r="J482" s="40">
        <f>(J481-L481)*F482/F481</f>
        <v/>
      </c>
      <c r="K482" s="40">
        <f>(K481-M481)*F482/F481+SUMIFS(O454:O481,B454:B481,B482-1-d_T)*F482</f>
        <v/>
      </c>
      <c r="L482" s="40">
        <f>IF(B482&gt;=in_marketplace_from,J482*d_hz*G482*in_eligible*H482,0)</f>
        <v/>
      </c>
      <c r="M482" s="40">
        <f>IF(B482&gt;=in_marketplace_from,K482*d_hz*G482*in_eligible*in_approved_repeat,0)</f>
        <v/>
      </c>
      <c r="N482" s="40">
        <f>L482+M482</f>
        <v/>
      </c>
      <c r="O482" s="46">
        <f>N482/F482</f>
        <v/>
      </c>
      <c r="P482" s="40">
        <f>F482-J482-K482</f>
        <v/>
      </c>
      <c r="Q482" s="40">
        <f>IF(B482&gt;=in_marketplace_from,(J482+K482)*d_hz*G482,0)</f>
        <v/>
      </c>
      <c r="R482" s="40">
        <f>SUMIFS(N454:N505,B454:B505,"&gt;="&amp;(B482-d_T),B454:B505,"&lt;="&amp;(B482-1))</f>
        <v/>
      </c>
      <c r="S482" s="46">
        <f>(1-d_u)*S481+IF(d_T&gt;in_topup_lag,SUMIFS(O454:O505,B454:B505,B482-in_topup_lag)-d_udrop*SUMIFS(O454:O505,B454:B505,B482-d_T),0)</f>
        <v/>
      </c>
      <c r="T482" s="40">
        <f>F482*d_u*S482</f>
        <v/>
      </c>
      <c r="U482" s="9">
        <f>L482*in_ticket+M482*d_rep_ticket</f>
        <v/>
      </c>
      <c r="V482" s="9">
        <f>U482+T482*d_topup_amt</f>
        <v/>
      </c>
      <c r="W482" s="40">
        <f>N482+T482*d_topup_ratio</f>
        <v/>
      </c>
      <c r="X482" s="40">
        <f>SUMIFS(W454:W505,B454:B505,B482-in_dpd_lag)*d_cured</f>
        <v/>
      </c>
      <c r="Y482" s="40">
        <f>SUMIFS(W454:W505,B454:B505,B482-in_rec_lag)*d_recd</f>
        <v/>
      </c>
      <c r="Z482" s="40">
        <f>IF(AND(B482&gt;=in_marketplace_from,B482&lt;in_marketplace_from+in_card_months),in_card_share/in_card_months*F482*I482,IF(AND(B482&gt;=in_marketplace_from+in_card_months,B482&lt;in_marketplace_from+2*in_card_months),in_card_share*d_card_rem/in_card_months*F482*MIN(in_takeup_cap,(1+in_takeup_growth)^(D482-1))*MIN(in_takeup_cap,(1+in_approval_growth)^(D482-1)),0))</f>
        <v/>
      </c>
      <c r="AA482" s="14">
        <f>V482*in_fee*(1-in_taken_back)</f>
        <v/>
      </c>
      <c r="AB482" s="14">
        <f>SUMIFS(W454:W505,B454:B505,B482-in_dpd_lag)*d_dpd</f>
        <v/>
      </c>
      <c r="AC482" s="14">
        <f>SUMIFS(W454:W505,B454:B505,B482-in_rec_lag)*d_rec</f>
        <v/>
      </c>
      <c r="AD482" s="14">
        <f>Z482*in_card_fee</f>
        <v/>
      </c>
      <c r="AE482" s="40">
        <f>AE481*(1-IF(B481&gt;=in_marketplace_from,d_hz_hlth_small*G481,0))</f>
        <v/>
      </c>
      <c r="AF482" s="46">
        <f>AE482*IF(B482&gt;=in_marketplace_from,d_hz_hlth_small*G482,0)</f>
        <v/>
      </c>
      <c r="AG482" s="14">
        <f>F482*AF482*in_hlth_small_ticket*in_hlth_small_comm*in_ins_partner_share+F482*in_hlth_small_ticket*in_hlth_small_renew_comm*in_ins_partner_share*(in_hlth_small_renew^1*SUMIFS(AF454:AF505,B454:B505,B482-12)+in_hlth_small_renew^2*SUMIFS(AF454:AF505,B454:B505,B482-24)+in_hlth_small_renew^3*SUMIFS(AF454:AF505,B454:B505,B482-36)+in_hlth_small_renew^4*SUMIFS(AF454:AF505,B454:B505,B482-48))</f>
        <v/>
      </c>
      <c r="AH482" s="40">
        <f>AH481*(1-IF(B481&gt;=in_marketplace_from,d_hz_hlth_family*G481,0))</f>
        <v/>
      </c>
      <c r="AI482" s="46">
        <f>AH482*IF(B482&gt;=in_marketplace_from,d_hz_hlth_family*G482,0)</f>
        <v/>
      </c>
      <c r="AJ482" s="14">
        <f>F482*AI482*in_hlth_family_ticket*in_hlth_family_comm*in_ins_partner_share+F482*in_hlth_family_ticket*in_hlth_family_renew_comm*in_ins_partner_share*(in_hlth_family_renew^1*SUMIFS(AI454:AI505,B454:B505,B482-12)+in_hlth_family_renew^2*SUMIFS(AI454:AI505,B454:B505,B482-24)+in_hlth_family_renew^3*SUMIFS(AI454:AI505,B454:B505,B482-36)+in_hlth_family_renew^4*SUMIFS(AI454:AI505,B454:B505,B482-48))</f>
        <v/>
      </c>
      <c r="AK482" s="40">
        <f>AK481*(1-IF(B481&gt;=in_marketplace_from,d_hz_life_term*G481,0))</f>
        <v/>
      </c>
      <c r="AL482" s="46">
        <f>AK482*IF(B482&gt;=in_marketplace_from,d_hz_life_term*G482,0)</f>
        <v/>
      </c>
      <c r="AM482" s="14">
        <f>F482*AL482*in_life_term_ticket*in_life_term_comm*in_ins_partner_share+F482*in_life_term_ticket*in_life_term_renew_comm*in_ins_partner_share*(in_life_term_renew^1*SUMIFS(AL454:AL505,B454:B505,B482-12)+in_life_term_renew^2*SUMIFS(AL454:AL505,B454:B505,B482-24)+in_life_term_renew^3*SUMIFS(AL454:AL505,B454:B505,B482-36)+in_life_term_renew^4*SUMIFS(AL454:AL505,B454:B505,B482-48))</f>
        <v/>
      </c>
      <c r="AN482" s="40">
        <f>AN481*(1-IF(B481&gt;=in_marketplace_from,d_hz_accident*G481,0))</f>
        <v/>
      </c>
      <c r="AO482" s="46">
        <f>AN482*IF(B482&gt;=in_marketplace_from,d_hz_accident*G482,0)</f>
        <v/>
      </c>
      <c r="AP482" s="14">
        <f>F482*AO482*in_accident_ticket*in_accident_comm*in_ins_partner_share+F482*in_accident_ticket*in_accident_renew_comm*in_ins_partner_share*(in_accident_renew^1*SUMIFS(AO454:AO505,B454:B505,B482-12)+in_accident_renew^2*SUMIFS(AO454:AO505,B454:B505,B482-24)+in_accident_renew^3*SUMIFS(AO454:AO505,B454:B505,B482-36)+in_accident_renew^4*SUMIFS(AO454:AO505,B454:B505,B482-48))</f>
        <v/>
      </c>
      <c r="AQ482" s="40">
        <f>AQ481*(1-IF(B481&gt;=in_marketplace_from,d_hz_two_wheeler*G481,0))</f>
        <v/>
      </c>
      <c r="AR482" s="46">
        <f>AQ482*IF(B482&gt;=in_marketplace_from,d_hz_two_wheeler*G482,0)</f>
        <v/>
      </c>
      <c r="AS482" s="14">
        <f>F482*AR482*in_two_wheeler_ticket*in_two_wheeler_comm*in_ins_partner_share+F482*in_two_wheeler_ticket*in_two_wheeler_comm*in_ins_partner_share*(in_two_wheeler_renew^1*SUMIFS(AR454:AR505,B454:B505,B482-12)+in_two_wheeler_renew^2*SUMIFS(AR454:AR505,B454:B505,B482-24)+in_two_wheeler_renew^3*SUMIFS(AR454:AR505,B454:B505,B482-36)+in_two_wheeler_renew^4*SUMIFS(AR454:AR505,B454:B505,B482-48))</f>
        <v/>
      </c>
      <c r="AT482" s="40">
        <f>AT481*(1-IF(B481&gt;=in_marketplace_from,d_hz_device*G481,0))</f>
        <v/>
      </c>
      <c r="AU482" s="14">
        <f>F482*AT482*IF(B482&gt;=in_marketplace_from,d_hz_device*G482,0)*in_device_ticket*in_device_comm*in_ins_partner_share</f>
        <v/>
      </c>
      <c r="AV482" s="40">
        <f>AV481*(1-IF(B481&gt;=in_marketplace_from,d_hz_shop*G481,0))</f>
        <v/>
      </c>
      <c r="AW482" s="46">
        <f>AV482*IF(B482&gt;=in_marketplace_from,d_hz_shop*G482,0)</f>
        <v/>
      </c>
      <c r="AX482" s="14">
        <f>F482*AW482*in_shop_ticket*in_shop_comm*in_ins_partner_share+F482*in_shop_ticket*in_shop_renew_comm*in_ins_partner_share*(in_shop_renew^1*SUMIFS(AW454:AW505,B454:B505,B482-12)+in_shop_renew^2*SUMIFS(AW454:AW505,B454:B505,B482-24)+in_shop_renew^3*SUMIFS(AW454:AW505,B454:B505,B482-36)+in_shop_renew^4*SUMIFS(AW454:AW505,B454:B505,B482-48))</f>
        <v/>
      </c>
      <c r="AY482" s="40">
        <f>AY481*(1-IF(B481&gt;=in_marketplace_from,d_hz_sip*G481,0))</f>
        <v/>
      </c>
      <c r="AZ482" s="40">
        <f>AZ481*d_rho_sip+AY482*IF(B482&gt;=in_marketplace_from,d_hz_sip*G482,0)</f>
        <v/>
      </c>
      <c r="BA482" s="40">
        <f>d_rho_sip*(BA481+AZ481)</f>
        <v/>
      </c>
      <c r="BB482" s="14">
        <f>F482*in_sip_ticket*(BA482+0.5*AZ482)*in_sip_comm/12</f>
        <v/>
      </c>
      <c r="BC482" s="40">
        <f>BC481*(1-IF(B481&gt;=in_marketplace_from,d_hz_choti*G481,0))</f>
        <v/>
      </c>
      <c r="BD482" s="46">
        <f>BC482*IF(B482&gt;=in_marketplace_from,d_hz_choti*G482,0)</f>
        <v/>
      </c>
      <c r="BE482" s="14">
        <f>F482*SUMIFS(BD454:BD505,B454:B505,B482-in_choti_months)*in_choti_renew*in_choti_ticket</f>
        <v/>
      </c>
      <c r="BF482" s="40">
        <f>BF481*(1-IF(B481&gt;=in_marketplace_from,d_hz_nps*G481,0))</f>
        <v/>
      </c>
      <c r="BG482" s="14">
        <f>F482*BF482*IF(B482&gt;=in_marketplace_from,d_hz_nps*G482,0)*in_nps_ticket*in_nps_comm</f>
        <v/>
      </c>
      <c r="BH482" s="40">
        <f>BH481*(1-IF(B481&gt;=in_marketplace_from,d_hz_gold*G481,0))</f>
        <v/>
      </c>
      <c r="BI482" s="40">
        <f>BI481*d_rho_gold+BH482*IF(B482&gt;=in_marketplace_from,d_hz_gold*G482,0)</f>
        <v/>
      </c>
      <c r="BJ482" s="14">
        <f>F482*BI482*in_gold_ticket*in_gold_comm</f>
        <v/>
      </c>
      <c r="BK482" s="40">
        <f>BK481*(1-IF(B481&gt;=in_marketplace_from,d_hz_fd*G481,0))</f>
        <v/>
      </c>
      <c r="BL482" s="14">
        <f>F482*BK482*IF(B482&gt;=in_marketplace_from,d_hz_fd*G482,0)*in_fd_ticket*in_fd_comm</f>
        <v/>
      </c>
      <c r="BM482" s="40">
        <f>BM481*(1-IF(B481&gt;=in_marketplace_from,d_hz_recharge*G481,0))</f>
        <v/>
      </c>
      <c r="BN482" s="40">
        <f>BN481*d_rho_recharge+BM482*IF(B482&gt;=in_marketplace_from,d_hz_recharge*G482,0)</f>
        <v/>
      </c>
      <c r="BO482" s="14">
        <f>F482*BN482*in_recharge_ticket*in_recharge_comm/12</f>
        <v/>
      </c>
      <c r="BP482" s="40">
        <f>BP481*(1-IF(B481&gt;=in_marketplace_from,d_hz_bills*G481,0))</f>
        <v/>
      </c>
      <c r="BQ482" s="40">
        <f>BQ481*d_rho_bills+BP482*IF(B482&gt;=in_marketplace_from,d_hz_bills*G482,0)</f>
        <v/>
      </c>
      <c r="BR482" s="14">
        <f>F482*BQ482*in_bills_ticket*in_bills_comm/12</f>
        <v/>
      </c>
      <c r="BS482" s="40">
        <f>BS481*(1-IF(B481&gt;=in_marketplace_from,d_hz_loan_gold*G481,0))</f>
        <v/>
      </c>
      <c r="BT482" s="14">
        <f>F482*BS482*IF(B482&gt;=in_marketplace_from,d_hz_loan_gold*G482,0)*in_loan_gold_ticket*in_loan_gold_comm</f>
        <v/>
      </c>
      <c r="BU482" s="40">
        <f>BU481*(1-IF(B481&gt;=in_marketplace_from,d_hz_loan_cd*G481,0))</f>
        <v/>
      </c>
      <c r="BV482" s="14">
        <f>F482*BU482*IF(B482&gt;=in_marketplace_from,d_hz_loan_cd*G482,0)*in_loan_cd_ticket*in_loan_cd_comm</f>
        <v/>
      </c>
      <c r="BW482" s="40">
        <f>BW481*(1-IF(B481&gt;=in_marketplace_from,d_hz_loan_vehicle*G481,0))</f>
        <v/>
      </c>
      <c r="BX482" s="14">
        <f>F482*BW482*IF(B482&gt;=in_marketplace_from,d_hz_loan_vehicle*G482,0)*in_loan_vehicle_ticket*in_loan_vehicle_comm</f>
        <v/>
      </c>
      <c r="BY482" s="40">
        <f>BY481*(1-IF(B481&gt;=in_marketplace_from,d_hz_loan_home*G481,0)*BZ481)</f>
        <v/>
      </c>
      <c r="BZ482" s="11">
        <f>MIN(in_approval_cap,in_loan_home_approval*INDEX('Age profile'!$O$2:$O$61,B482)*(1+in_approval_growth)^(D482-1))</f>
        <v/>
      </c>
      <c r="CA482" s="14">
        <f>F482*BY482*IF(B482&gt;=in_marketplace_from,d_hz_loan_home*G482,0)*BZ482*in_loan_home_ticket*in_loan_home_comm</f>
        <v/>
      </c>
      <c r="CB482" s="40">
        <f>CB481*(1-IF(B481&gt;=in_marketplace_from,d_hz_loan_lap*G481,0)*CC481)</f>
        <v/>
      </c>
      <c r="CC482" s="11">
        <f>MIN(in_approval_cap,in_loan_lap_approval*INDEX('Age profile'!$O$2:$O$61,B482)*(1+in_approval_growth)^(D482-1))</f>
        <v/>
      </c>
      <c r="CD482" s="14">
        <f>F482*CB482*IF(B482&gt;=in_marketplace_from,d_hz_loan_lap*G482,0)*CC482*in_loan_lap_ticket*in_loan_lap_comm</f>
        <v/>
      </c>
      <c r="CE482" s="14">
        <f>AA482+AB482+AC482+AD482+AG482+AJ482+AM482+AP482+AS482+AU482+AX482+BB482+BE482+BG482+BJ482+BL482+BO482+BR482+BT482+BV482+BX482+CA482+CD482</f>
        <v/>
      </c>
    </row>
    <row r="483">
      <c r="A483" s="39" t="n">
        <v>9</v>
      </c>
      <c r="B483" s="39" t="n">
        <v>30</v>
      </c>
      <c r="C483" s="39">
        <f>A483+B483-1</f>
        <v/>
      </c>
      <c r="D483" s="39">
        <f>INT((C483-1)/12)+1</f>
        <v/>
      </c>
      <c r="E483" s="44">
        <f>INDEX(Monthly!$B$2:$B$61,A483)</f>
        <v/>
      </c>
      <c r="F483" s="44">
        <f>E483*INDEX('Age profile'!$B$2:$B$61,B483)</f>
        <v/>
      </c>
      <c r="G483" s="45">
        <f>MIN(in_takeup_cap,INDEX('Age profile'!$N$2:$N$61,B483)*(1+in_takeup_growth)^(D483-1))</f>
        <v/>
      </c>
      <c r="H483" s="11">
        <f>MIN(in_approval_cap,in_approved_first*INDEX('Age profile'!$O$2:$O$61,B483)*(1+in_approval_growth)^(D483-1))</f>
        <v/>
      </c>
      <c r="I483" s="45">
        <f>G483*MIN(in_takeup_cap,INDEX('Age profile'!$O$2:$O$61,B483)*(1+in_approval_growth)^(D483-1))</f>
        <v/>
      </c>
      <c r="J483" s="40">
        <f>(J482-L482)*F483/F482</f>
        <v/>
      </c>
      <c r="K483" s="40">
        <f>(K482-M482)*F483/F482+SUMIFS(O454:O482,B454:B482,B483-1-d_T)*F483</f>
        <v/>
      </c>
      <c r="L483" s="40">
        <f>IF(B483&gt;=in_marketplace_from,J483*d_hz*G483*in_eligible*H483,0)</f>
        <v/>
      </c>
      <c r="M483" s="40">
        <f>IF(B483&gt;=in_marketplace_from,K483*d_hz*G483*in_eligible*in_approved_repeat,0)</f>
        <v/>
      </c>
      <c r="N483" s="40">
        <f>L483+M483</f>
        <v/>
      </c>
      <c r="O483" s="46">
        <f>N483/F483</f>
        <v/>
      </c>
      <c r="P483" s="40">
        <f>F483-J483-K483</f>
        <v/>
      </c>
      <c r="Q483" s="40">
        <f>IF(B483&gt;=in_marketplace_from,(J483+K483)*d_hz*G483,0)</f>
        <v/>
      </c>
      <c r="R483" s="40">
        <f>SUMIFS(N454:N505,B454:B505,"&gt;="&amp;(B483-d_T),B454:B505,"&lt;="&amp;(B483-1))</f>
        <v/>
      </c>
      <c r="S483" s="46">
        <f>(1-d_u)*S482+IF(d_T&gt;in_topup_lag,SUMIFS(O454:O505,B454:B505,B483-in_topup_lag)-d_udrop*SUMIFS(O454:O505,B454:B505,B483-d_T),0)</f>
        <v/>
      </c>
      <c r="T483" s="40">
        <f>F483*d_u*S483</f>
        <v/>
      </c>
      <c r="U483" s="9">
        <f>L483*in_ticket+M483*d_rep_ticket</f>
        <v/>
      </c>
      <c r="V483" s="9">
        <f>U483+T483*d_topup_amt</f>
        <v/>
      </c>
      <c r="W483" s="40">
        <f>N483+T483*d_topup_ratio</f>
        <v/>
      </c>
      <c r="X483" s="40">
        <f>SUMIFS(W454:W505,B454:B505,B483-in_dpd_lag)*d_cured</f>
        <v/>
      </c>
      <c r="Y483" s="40">
        <f>SUMIFS(W454:W505,B454:B505,B483-in_rec_lag)*d_recd</f>
        <v/>
      </c>
      <c r="Z483" s="40">
        <f>IF(AND(B483&gt;=in_marketplace_from,B483&lt;in_marketplace_from+in_card_months),in_card_share/in_card_months*F483*I483,IF(AND(B483&gt;=in_marketplace_from+in_card_months,B483&lt;in_marketplace_from+2*in_card_months),in_card_share*d_card_rem/in_card_months*F483*MIN(in_takeup_cap,(1+in_takeup_growth)^(D483-1))*MIN(in_takeup_cap,(1+in_approval_growth)^(D483-1)),0))</f>
        <v/>
      </c>
      <c r="AA483" s="14">
        <f>V483*in_fee*(1-in_taken_back)</f>
        <v/>
      </c>
      <c r="AB483" s="14">
        <f>SUMIFS(W454:W505,B454:B505,B483-in_dpd_lag)*d_dpd</f>
        <v/>
      </c>
      <c r="AC483" s="14">
        <f>SUMIFS(W454:W505,B454:B505,B483-in_rec_lag)*d_rec</f>
        <v/>
      </c>
      <c r="AD483" s="14">
        <f>Z483*in_card_fee</f>
        <v/>
      </c>
      <c r="AE483" s="40">
        <f>AE482*(1-IF(B482&gt;=in_marketplace_from,d_hz_hlth_small*G482,0))</f>
        <v/>
      </c>
      <c r="AF483" s="46">
        <f>AE483*IF(B483&gt;=in_marketplace_from,d_hz_hlth_small*G483,0)</f>
        <v/>
      </c>
      <c r="AG483" s="14">
        <f>F483*AF483*in_hlth_small_ticket*in_hlth_small_comm*in_ins_partner_share+F483*in_hlth_small_ticket*in_hlth_small_renew_comm*in_ins_partner_share*(in_hlth_small_renew^1*SUMIFS(AF454:AF505,B454:B505,B483-12)+in_hlth_small_renew^2*SUMIFS(AF454:AF505,B454:B505,B483-24)+in_hlth_small_renew^3*SUMIFS(AF454:AF505,B454:B505,B483-36)+in_hlth_small_renew^4*SUMIFS(AF454:AF505,B454:B505,B483-48))</f>
        <v/>
      </c>
      <c r="AH483" s="40">
        <f>AH482*(1-IF(B482&gt;=in_marketplace_from,d_hz_hlth_family*G482,0))</f>
        <v/>
      </c>
      <c r="AI483" s="46">
        <f>AH483*IF(B483&gt;=in_marketplace_from,d_hz_hlth_family*G483,0)</f>
        <v/>
      </c>
      <c r="AJ483" s="14">
        <f>F483*AI483*in_hlth_family_ticket*in_hlth_family_comm*in_ins_partner_share+F483*in_hlth_family_ticket*in_hlth_family_renew_comm*in_ins_partner_share*(in_hlth_family_renew^1*SUMIFS(AI454:AI505,B454:B505,B483-12)+in_hlth_family_renew^2*SUMIFS(AI454:AI505,B454:B505,B483-24)+in_hlth_family_renew^3*SUMIFS(AI454:AI505,B454:B505,B483-36)+in_hlth_family_renew^4*SUMIFS(AI454:AI505,B454:B505,B483-48))</f>
        <v/>
      </c>
      <c r="AK483" s="40">
        <f>AK482*(1-IF(B482&gt;=in_marketplace_from,d_hz_life_term*G482,0))</f>
        <v/>
      </c>
      <c r="AL483" s="46">
        <f>AK483*IF(B483&gt;=in_marketplace_from,d_hz_life_term*G483,0)</f>
        <v/>
      </c>
      <c r="AM483" s="14">
        <f>F483*AL483*in_life_term_ticket*in_life_term_comm*in_ins_partner_share+F483*in_life_term_ticket*in_life_term_renew_comm*in_ins_partner_share*(in_life_term_renew^1*SUMIFS(AL454:AL505,B454:B505,B483-12)+in_life_term_renew^2*SUMIFS(AL454:AL505,B454:B505,B483-24)+in_life_term_renew^3*SUMIFS(AL454:AL505,B454:B505,B483-36)+in_life_term_renew^4*SUMIFS(AL454:AL505,B454:B505,B483-48))</f>
        <v/>
      </c>
      <c r="AN483" s="40">
        <f>AN482*(1-IF(B482&gt;=in_marketplace_from,d_hz_accident*G482,0))</f>
        <v/>
      </c>
      <c r="AO483" s="46">
        <f>AN483*IF(B483&gt;=in_marketplace_from,d_hz_accident*G483,0)</f>
        <v/>
      </c>
      <c r="AP483" s="14">
        <f>F483*AO483*in_accident_ticket*in_accident_comm*in_ins_partner_share+F483*in_accident_ticket*in_accident_renew_comm*in_ins_partner_share*(in_accident_renew^1*SUMIFS(AO454:AO505,B454:B505,B483-12)+in_accident_renew^2*SUMIFS(AO454:AO505,B454:B505,B483-24)+in_accident_renew^3*SUMIFS(AO454:AO505,B454:B505,B483-36)+in_accident_renew^4*SUMIFS(AO454:AO505,B454:B505,B483-48))</f>
        <v/>
      </c>
      <c r="AQ483" s="40">
        <f>AQ482*(1-IF(B482&gt;=in_marketplace_from,d_hz_two_wheeler*G482,0))</f>
        <v/>
      </c>
      <c r="AR483" s="46">
        <f>AQ483*IF(B483&gt;=in_marketplace_from,d_hz_two_wheeler*G483,0)</f>
        <v/>
      </c>
      <c r="AS483" s="14">
        <f>F483*AR483*in_two_wheeler_ticket*in_two_wheeler_comm*in_ins_partner_share+F483*in_two_wheeler_ticket*in_two_wheeler_comm*in_ins_partner_share*(in_two_wheeler_renew^1*SUMIFS(AR454:AR505,B454:B505,B483-12)+in_two_wheeler_renew^2*SUMIFS(AR454:AR505,B454:B505,B483-24)+in_two_wheeler_renew^3*SUMIFS(AR454:AR505,B454:B505,B483-36)+in_two_wheeler_renew^4*SUMIFS(AR454:AR505,B454:B505,B483-48))</f>
        <v/>
      </c>
      <c r="AT483" s="40">
        <f>AT482*(1-IF(B482&gt;=in_marketplace_from,d_hz_device*G482,0))</f>
        <v/>
      </c>
      <c r="AU483" s="14">
        <f>F483*AT483*IF(B483&gt;=in_marketplace_from,d_hz_device*G483,0)*in_device_ticket*in_device_comm*in_ins_partner_share</f>
        <v/>
      </c>
      <c r="AV483" s="40">
        <f>AV482*(1-IF(B482&gt;=in_marketplace_from,d_hz_shop*G482,0))</f>
        <v/>
      </c>
      <c r="AW483" s="46">
        <f>AV483*IF(B483&gt;=in_marketplace_from,d_hz_shop*G483,0)</f>
        <v/>
      </c>
      <c r="AX483" s="14">
        <f>F483*AW483*in_shop_ticket*in_shop_comm*in_ins_partner_share+F483*in_shop_ticket*in_shop_renew_comm*in_ins_partner_share*(in_shop_renew^1*SUMIFS(AW454:AW505,B454:B505,B483-12)+in_shop_renew^2*SUMIFS(AW454:AW505,B454:B505,B483-24)+in_shop_renew^3*SUMIFS(AW454:AW505,B454:B505,B483-36)+in_shop_renew^4*SUMIFS(AW454:AW505,B454:B505,B483-48))</f>
        <v/>
      </c>
      <c r="AY483" s="40">
        <f>AY482*(1-IF(B482&gt;=in_marketplace_from,d_hz_sip*G482,0))</f>
        <v/>
      </c>
      <c r="AZ483" s="40">
        <f>AZ482*d_rho_sip+AY483*IF(B483&gt;=in_marketplace_from,d_hz_sip*G483,0)</f>
        <v/>
      </c>
      <c r="BA483" s="40">
        <f>d_rho_sip*(BA482+AZ482)</f>
        <v/>
      </c>
      <c r="BB483" s="14">
        <f>F483*in_sip_ticket*(BA483+0.5*AZ483)*in_sip_comm/12</f>
        <v/>
      </c>
      <c r="BC483" s="40">
        <f>BC482*(1-IF(B482&gt;=in_marketplace_from,d_hz_choti*G482,0))</f>
        <v/>
      </c>
      <c r="BD483" s="46">
        <f>BC483*IF(B483&gt;=in_marketplace_from,d_hz_choti*G483,0)</f>
        <v/>
      </c>
      <c r="BE483" s="14">
        <f>F483*SUMIFS(BD454:BD505,B454:B505,B483-in_choti_months)*in_choti_renew*in_choti_ticket</f>
        <v/>
      </c>
      <c r="BF483" s="40">
        <f>BF482*(1-IF(B482&gt;=in_marketplace_from,d_hz_nps*G482,0))</f>
        <v/>
      </c>
      <c r="BG483" s="14">
        <f>F483*BF483*IF(B483&gt;=in_marketplace_from,d_hz_nps*G483,0)*in_nps_ticket*in_nps_comm</f>
        <v/>
      </c>
      <c r="BH483" s="40">
        <f>BH482*(1-IF(B482&gt;=in_marketplace_from,d_hz_gold*G482,0))</f>
        <v/>
      </c>
      <c r="BI483" s="40">
        <f>BI482*d_rho_gold+BH483*IF(B483&gt;=in_marketplace_from,d_hz_gold*G483,0)</f>
        <v/>
      </c>
      <c r="BJ483" s="14">
        <f>F483*BI483*in_gold_ticket*in_gold_comm</f>
        <v/>
      </c>
      <c r="BK483" s="40">
        <f>BK482*(1-IF(B482&gt;=in_marketplace_from,d_hz_fd*G482,0))</f>
        <v/>
      </c>
      <c r="BL483" s="14">
        <f>F483*BK483*IF(B483&gt;=in_marketplace_from,d_hz_fd*G483,0)*in_fd_ticket*in_fd_comm</f>
        <v/>
      </c>
      <c r="BM483" s="40">
        <f>BM482*(1-IF(B482&gt;=in_marketplace_from,d_hz_recharge*G482,0))</f>
        <v/>
      </c>
      <c r="BN483" s="40">
        <f>BN482*d_rho_recharge+BM483*IF(B483&gt;=in_marketplace_from,d_hz_recharge*G483,0)</f>
        <v/>
      </c>
      <c r="BO483" s="14">
        <f>F483*BN483*in_recharge_ticket*in_recharge_comm/12</f>
        <v/>
      </c>
      <c r="BP483" s="40">
        <f>BP482*(1-IF(B482&gt;=in_marketplace_from,d_hz_bills*G482,0))</f>
        <v/>
      </c>
      <c r="BQ483" s="40">
        <f>BQ482*d_rho_bills+BP483*IF(B483&gt;=in_marketplace_from,d_hz_bills*G483,0)</f>
        <v/>
      </c>
      <c r="BR483" s="14">
        <f>F483*BQ483*in_bills_ticket*in_bills_comm/12</f>
        <v/>
      </c>
      <c r="BS483" s="40">
        <f>BS482*(1-IF(B482&gt;=in_marketplace_from,d_hz_loan_gold*G482,0))</f>
        <v/>
      </c>
      <c r="BT483" s="14">
        <f>F483*BS483*IF(B483&gt;=in_marketplace_from,d_hz_loan_gold*G483,0)*in_loan_gold_ticket*in_loan_gold_comm</f>
        <v/>
      </c>
      <c r="BU483" s="40">
        <f>BU482*(1-IF(B482&gt;=in_marketplace_from,d_hz_loan_cd*G482,0))</f>
        <v/>
      </c>
      <c r="BV483" s="14">
        <f>F483*BU483*IF(B483&gt;=in_marketplace_from,d_hz_loan_cd*G483,0)*in_loan_cd_ticket*in_loan_cd_comm</f>
        <v/>
      </c>
      <c r="BW483" s="40">
        <f>BW482*(1-IF(B482&gt;=in_marketplace_from,d_hz_loan_vehicle*G482,0))</f>
        <v/>
      </c>
      <c r="BX483" s="14">
        <f>F483*BW483*IF(B483&gt;=in_marketplace_from,d_hz_loan_vehicle*G483,0)*in_loan_vehicle_ticket*in_loan_vehicle_comm</f>
        <v/>
      </c>
      <c r="BY483" s="40">
        <f>BY482*(1-IF(B482&gt;=in_marketplace_from,d_hz_loan_home*G482,0)*BZ482)</f>
        <v/>
      </c>
      <c r="BZ483" s="11">
        <f>MIN(in_approval_cap,in_loan_home_approval*INDEX('Age profile'!$O$2:$O$61,B483)*(1+in_approval_growth)^(D483-1))</f>
        <v/>
      </c>
      <c r="CA483" s="14">
        <f>F483*BY483*IF(B483&gt;=in_marketplace_from,d_hz_loan_home*G483,0)*BZ483*in_loan_home_ticket*in_loan_home_comm</f>
        <v/>
      </c>
      <c r="CB483" s="40">
        <f>CB482*(1-IF(B482&gt;=in_marketplace_from,d_hz_loan_lap*G482,0)*CC482)</f>
        <v/>
      </c>
      <c r="CC483" s="11">
        <f>MIN(in_approval_cap,in_loan_lap_approval*INDEX('Age profile'!$O$2:$O$61,B483)*(1+in_approval_growth)^(D483-1))</f>
        <v/>
      </c>
      <c r="CD483" s="14">
        <f>F483*CB483*IF(B483&gt;=in_marketplace_from,d_hz_loan_lap*G483,0)*CC483*in_loan_lap_ticket*in_loan_lap_comm</f>
        <v/>
      </c>
      <c r="CE483" s="14">
        <f>AA483+AB483+AC483+AD483+AG483+AJ483+AM483+AP483+AS483+AU483+AX483+BB483+BE483+BG483+BJ483+BL483+BO483+BR483+BT483+BV483+BX483+CA483+CD483</f>
        <v/>
      </c>
    </row>
    <row r="484">
      <c r="A484" s="39" t="n">
        <v>9</v>
      </c>
      <c r="B484" s="39" t="n">
        <v>31</v>
      </c>
      <c r="C484" s="39">
        <f>A484+B484-1</f>
        <v/>
      </c>
      <c r="D484" s="39">
        <f>INT((C484-1)/12)+1</f>
        <v/>
      </c>
      <c r="E484" s="44">
        <f>INDEX(Monthly!$B$2:$B$61,A484)</f>
        <v/>
      </c>
      <c r="F484" s="44">
        <f>E484*INDEX('Age profile'!$B$2:$B$61,B484)</f>
        <v/>
      </c>
      <c r="G484" s="45">
        <f>MIN(in_takeup_cap,INDEX('Age profile'!$N$2:$N$61,B484)*(1+in_takeup_growth)^(D484-1))</f>
        <v/>
      </c>
      <c r="H484" s="11">
        <f>MIN(in_approval_cap,in_approved_first*INDEX('Age profile'!$O$2:$O$61,B484)*(1+in_approval_growth)^(D484-1))</f>
        <v/>
      </c>
      <c r="I484" s="45">
        <f>G484*MIN(in_takeup_cap,INDEX('Age profile'!$O$2:$O$61,B484)*(1+in_approval_growth)^(D484-1))</f>
        <v/>
      </c>
      <c r="J484" s="40">
        <f>(J483-L483)*F484/F483</f>
        <v/>
      </c>
      <c r="K484" s="40">
        <f>(K483-M483)*F484/F483+SUMIFS(O454:O483,B454:B483,B484-1-d_T)*F484</f>
        <v/>
      </c>
      <c r="L484" s="40">
        <f>IF(B484&gt;=in_marketplace_from,J484*d_hz*G484*in_eligible*H484,0)</f>
        <v/>
      </c>
      <c r="M484" s="40">
        <f>IF(B484&gt;=in_marketplace_from,K484*d_hz*G484*in_eligible*in_approved_repeat,0)</f>
        <v/>
      </c>
      <c r="N484" s="40">
        <f>L484+M484</f>
        <v/>
      </c>
      <c r="O484" s="46">
        <f>N484/F484</f>
        <v/>
      </c>
      <c r="P484" s="40">
        <f>F484-J484-K484</f>
        <v/>
      </c>
      <c r="Q484" s="40">
        <f>IF(B484&gt;=in_marketplace_from,(J484+K484)*d_hz*G484,0)</f>
        <v/>
      </c>
      <c r="R484" s="40">
        <f>SUMIFS(N454:N505,B454:B505,"&gt;="&amp;(B484-d_T),B454:B505,"&lt;="&amp;(B484-1))</f>
        <v/>
      </c>
      <c r="S484" s="46">
        <f>(1-d_u)*S483+IF(d_T&gt;in_topup_lag,SUMIFS(O454:O505,B454:B505,B484-in_topup_lag)-d_udrop*SUMIFS(O454:O505,B454:B505,B484-d_T),0)</f>
        <v/>
      </c>
      <c r="T484" s="40">
        <f>F484*d_u*S484</f>
        <v/>
      </c>
      <c r="U484" s="9">
        <f>L484*in_ticket+M484*d_rep_ticket</f>
        <v/>
      </c>
      <c r="V484" s="9">
        <f>U484+T484*d_topup_amt</f>
        <v/>
      </c>
      <c r="W484" s="40">
        <f>N484+T484*d_topup_ratio</f>
        <v/>
      </c>
      <c r="X484" s="40">
        <f>SUMIFS(W454:W505,B454:B505,B484-in_dpd_lag)*d_cured</f>
        <v/>
      </c>
      <c r="Y484" s="40">
        <f>SUMIFS(W454:W505,B454:B505,B484-in_rec_lag)*d_recd</f>
        <v/>
      </c>
      <c r="Z484" s="40">
        <f>IF(AND(B484&gt;=in_marketplace_from,B484&lt;in_marketplace_from+in_card_months),in_card_share/in_card_months*F484*I484,IF(AND(B484&gt;=in_marketplace_from+in_card_months,B484&lt;in_marketplace_from+2*in_card_months),in_card_share*d_card_rem/in_card_months*F484*MIN(in_takeup_cap,(1+in_takeup_growth)^(D484-1))*MIN(in_takeup_cap,(1+in_approval_growth)^(D484-1)),0))</f>
        <v/>
      </c>
      <c r="AA484" s="14">
        <f>V484*in_fee*(1-in_taken_back)</f>
        <v/>
      </c>
      <c r="AB484" s="14">
        <f>SUMIFS(W454:W505,B454:B505,B484-in_dpd_lag)*d_dpd</f>
        <v/>
      </c>
      <c r="AC484" s="14">
        <f>SUMIFS(W454:W505,B454:B505,B484-in_rec_lag)*d_rec</f>
        <v/>
      </c>
      <c r="AD484" s="14">
        <f>Z484*in_card_fee</f>
        <v/>
      </c>
      <c r="AE484" s="40">
        <f>AE483*(1-IF(B483&gt;=in_marketplace_from,d_hz_hlth_small*G483,0))</f>
        <v/>
      </c>
      <c r="AF484" s="46">
        <f>AE484*IF(B484&gt;=in_marketplace_from,d_hz_hlth_small*G484,0)</f>
        <v/>
      </c>
      <c r="AG484" s="14">
        <f>F484*AF484*in_hlth_small_ticket*in_hlth_small_comm*in_ins_partner_share+F484*in_hlth_small_ticket*in_hlth_small_renew_comm*in_ins_partner_share*(in_hlth_small_renew^1*SUMIFS(AF454:AF505,B454:B505,B484-12)+in_hlth_small_renew^2*SUMIFS(AF454:AF505,B454:B505,B484-24)+in_hlth_small_renew^3*SUMIFS(AF454:AF505,B454:B505,B484-36)+in_hlth_small_renew^4*SUMIFS(AF454:AF505,B454:B505,B484-48))</f>
        <v/>
      </c>
      <c r="AH484" s="40">
        <f>AH483*(1-IF(B483&gt;=in_marketplace_from,d_hz_hlth_family*G483,0))</f>
        <v/>
      </c>
      <c r="AI484" s="46">
        <f>AH484*IF(B484&gt;=in_marketplace_from,d_hz_hlth_family*G484,0)</f>
        <v/>
      </c>
      <c r="AJ484" s="14">
        <f>F484*AI484*in_hlth_family_ticket*in_hlth_family_comm*in_ins_partner_share+F484*in_hlth_family_ticket*in_hlth_family_renew_comm*in_ins_partner_share*(in_hlth_family_renew^1*SUMIFS(AI454:AI505,B454:B505,B484-12)+in_hlth_family_renew^2*SUMIFS(AI454:AI505,B454:B505,B484-24)+in_hlth_family_renew^3*SUMIFS(AI454:AI505,B454:B505,B484-36)+in_hlth_family_renew^4*SUMIFS(AI454:AI505,B454:B505,B484-48))</f>
        <v/>
      </c>
      <c r="AK484" s="40">
        <f>AK483*(1-IF(B483&gt;=in_marketplace_from,d_hz_life_term*G483,0))</f>
        <v/>
      </c>
      <c r="AL484" s="46">
        <f>AK484*IF(B484&gt;=in_marketplace_from,d_hz_life_term*G484,0)</f>
        <v/>
      </c>
      <c r="AM484" s="14">
        <f>F484*AL484*in_life_term_ticket*in_life_term_comm*in_ins_partner_share+F484*in_life_term_ticket*in_life_term_renew_comm*in_ins_partner_share*(in_life_term_renew^1*SUMIFS(AL454:AL505,B454:B505,B484-12)+in_life_term_renew^2*SUMIFS(AL454:AL505,B454:B505,B484-24)+in_life_term_renew^3*SUMIFS(AL454:AL505,B454:B505,B484-36)+in_life_term_renew^4*SUMIFS(AL454:AL505,B454:B505,B484-48))</f>
        <v/>
      </c>
      <c r="AN484" s="40">
        <f>AN483*(1-IF(B483&gt;=in_marketplace_from,d_hz_accident*G483,0))</f>
        <v/>
      </c>
      <c r="AO484" s="46">
        <f>AN484*IF(B484&gt;=in_marketplace_from,d_hz_accident*G484,0)</f>
        <v/>
      </c>
      <c r="AP484" s="14">
        <f>F484*AO484*in_accident_ticket*in_accident_comm*in_ins_partner_share+F484*in_accident_ticket*in_accident_renew_comm*in_ins_partner_share*(in_accident_renew^1*SUMIFS(AO454:AO505,B454:B505,B484-12)+in_accident_renew^2*SUMIFS(AO454:AO505,B454:B505,B484-24)+in_accident_renew^3*SUMIFS(AO454:AO505,B454:B505,B484-36)+in_accident_renew^4*SUMIFS(AO454:AO505,B454:B505,B484-48))</f>
        <v/>
      </c>
      <c r="AQ484" s="40">
        <f>AQ483*(1-IF(B483&gt;=in_marketplace_from,d_hz_two_wheeler*G483,0))</f>
        <v/>
      </c>
      <c r="AR484" s="46">
        <f>AQ484*IF(B484&gt;=in_marketplace_from,d_hz_two_wheeler*G484,0)</f>
        <v/>
      </c>
      <c r="AS484" s="14">
        <f>F484*AR484*in_two_wheeler_ticket*in_two_wheeler_comm*in_ins_partner_share+F484*in_two_wheeler_ticket*in_two_wheeler_comm*in_ins_partner_share*(in_two_wheeler_renew^1*SUMIFS(AR454:AR505,B454:B505,B484-12)+in_two_wheeler_renew^2*SUMIFS(AR454:AR505,B454:B505,B484-24)+in_two_wheeler_renew^3*SUMIFS(AR454:AR505,B454:B505,B484-36)+in_two_wheeler_renew^4*SUMIFS(AR454:AR505,B454:B505,B484-48))</f>
        <v/>
      </c>
      <c r="AT484" s="40">
        <f>AT483*(1-IF(B483&gt;=in_marketplace_from,d_hz_device*G483,0))</f>
        <v/>
      </c>
      <c r="AU484" s="14">
        <f>F484*AT484*IF(B484&gt;=in_marketplace_from,d_hz_device*G484,0)*in_device_ticket*in_device_comm*in_ins_partner_share</f>
        <v/>
      </c>
      <c r="AV484" s="40">
        <f>AV483*(1-IF(B483&gt;=in_marketplace_from,d_hz_shop*G483,0))</f>
        <v/>
      </c>
      <c r="AW484" s="46">
        <f>AV484*IF(B484&gt;=in_marketplace_from,d_hz_shop*G484,0)</f>
        <v/>
      </c>
      <c r="AX484" s="14">
        <f>F484*AW484*in_shop_ticket*in_shop_comm*in_ins_partner_share+F484*in_shop_ticket*in_shop_renew_comm*in_ins_partner_share*(in_shop_renew^1*SUMIFS(AW454:AW505,B454:B505,B484-12)+in_shop_renew^2*SUMIFS(AW454:AW505,B454:B505,B484-24)+in_shop_renew^3*SUMIFS(AW454:AW505,B454:B505,B484-36)+in_shop_renew^4*SUMIFS(AW454:AW505,B454:B505,B484-48))</f>
        <v/>
      </c>
      <c r="AY484" s="40">
        <f>AY483*(1-IF(B483&gt;=in_marketplace_from,d_hz_sip*G483,0))</f>
        <v/>
      </c>
      <c r="AZ484" s="40">
        <f>AZ483*d_rho_sip+AY484*IF(B484&gt;=in_marketplace_from,d_hz_sip*G484,0)</f>
        <v/>
      </c>
      <c r="BA484" s="40">
        <f>d_rho_sip*(BA483+AZ483)</f>
        <v/>
      </c>
      <c r="BB484" s="14">
        <f>F484*in_sip_ticket*(BA484+0.5*AZ484)*in_sip_comm/12</f>
        <v/>
      </c>
      <c r="BC484" s="40">
        <f>BC483*(1-IF(B483&gt;=in_marketplace_from,d_hz_choti*G483,0))</f>
        <v/>
      </c>
      <c r="BD484" s="46">
        <f>BC484*IF(B484&gt;=in_marketplace_from,d_hz_choti*G484,0)</f>
        <v/>
      </c>
      <c r="BE484" s="14">
        <f>F484*SUMIFS(BD454:BD505,B454:B505,B484-in_choti_months)*in_choti_renew*in_choti_ticket</f>
        <v/>
      </c>
      <c r="BF484" s="40">
        <f>BF483*(1-IF(B483&gt;=in_marketplace_from,d_hz_nps*G483,0))</f>
        <v/>
      </c>
      <c r="BG484" s="14">
        <f>F484*BF484*IF(B484&gt;=in_marketplace_from,d_hz_nps*G484,0)*in_nps_ticket*in_nps_comm</f>
        <v/>
      </c>
      <c r="BH484" s="40">
        <f>BH483*(1-IF(B483&gt;=in_marketplace_from,d_hz_gold*G483,0))</f>
        <v/>
      </c>
      <c r="BI484" s="40">
        <f>BI483*d_rho_gold+BH484*IF(B484&gt;=in_marketplace_from,d_hz_gold*G484,0)</f>
        <v/>
      </c>
      <c r="BJ484" s="14">
        <f>F484*BI484*in_gold_ticket*in_gold_comm</f>
        <v/>
      </c>
      <c r="BK484" s="40">
        <f>BK483*(1-IF(B483&gt;=in_marketplace_from,d_hz_fd*G483,0))</f>
        <v/>
      </c>
      <c r="BL484" s="14">
        <f>F484*BK484*IF(B484&gt;=in_marketplace_from,d_hz_fd*G484,0)*in_fd_ticket*in_fd_comm</f>
        <v/>
      </c>
      <c r="BM484" s="40">
        <f>BM483*(1-IF(B483&gt;=in_marketplace_from,d_hz_recharge*G483,0))</f>
        <v/>
      </c>
      <c r="BN484" s="40">
        <f>BN483*d_rho_recharge+BM484*IF(B484&gt;=in_marketplace_from,d_hz_recharge*G484,0)</f>
        <v/>
      </c>
      <c r="BO484" s="14">
        <f>F484*BN484*in_recharge_ticket*in_recharge_comm/12</f>
        <v/>
      </c>
      <c r="BP484" s="40">
        <f>BP483*(1-IF(B483&gt;=in_marketplace_from,d_hz_bills*G483,0))</f>
        <v/>
      </c>
      <c r="BQ484" s="40">
        <f>BQ483*d_rho_bills+BP484*IF(B484&gt;=in_marketplace_from,d_hz_bills*G484,0)</f>
        <v/>
      </c>
      <c r="BR484" s="14">
        <f>F484*BQ484*in_bills_ticket*in_bills_comm/12</f>
        <v/>
      </c>
      <c r="BS484" s="40">
        <f>BS483*(1-IF(B483&gt;=in_marketplace_from,d_hz_loan_gold*G483,0))</f>
        <v/>
      </c>
      <c r="BT484" s="14">
        <f>F484*BS484*IF(B484&gt;=in_marketplace_from,d_hz_loan_gold*G484,0)*in_loan_gold_ticket*in_loan_gold_comm</f>
        <v/>
      </c>
      <c r="BU484" s="40">
        <f>BU483*(1-IF(B483&gt;=in_marketplace_from,d_hz_loan_cd*G483,0))</f>
        <v/>
      </c>
      <c r="BV484" s="14">
        <f>F484*BU484*IF(B484&gt;=in_marketplace_from,d_hz_loan_cd*G484,0)*in_loan_cd_ticket*in_loan_cd_comm</f>
        <v/>
      </c>
      <c r="BW484" s="40">
        <f>BW483*(1-IF(B483&gt;=in_marketplace_from,d_hz_loan_vehicle*G483,0))</f>
        <v/>
      </c>
      <c r="BX484" s="14">
        <f>F484*BW484*IF(B484&gt;=in_marketplace_from,d_hz_loan_vehicle*G484,0)*in_loan_vehicle_ticket*in_loan_vehicle_comm</f>
        <v/>
      </c>
      <c r="BY484" s="40">
        <f>BY483*(1-IF(B483&gt;=in_marketplace_from,d_hz_loan_home*G483,0)*BZ483)</f>
        <v/>
      </c>
      <c r="BZ484" s="11">
        <f>MIN(in_approval_cap,in_loan_home_approval*INDEX('Age profile'!$O$2:$O$61,B484)*(1+in_approval_growth)^(D484-1))</f>
        <v/>
      </c>
      <c r="CA484" s="14">
        <f>F484*BY484*IF(B484&gt;=in_marketplace_from,d_hz_loan_home*G484,0)*BZ484*in_loan_home_ticket*in_loan_home_comm</f>
        <v/>
      </c>
      <c r="CB484" s="40">
        <f>CB483*(1-IF(B483&gt;=in_marketplace_from,d_hz_loan_lap*G483,0)*CC483)</f>
        <v/>
      </c>
      <c r="CC484" s="11">
        <f>MIN(in_approval_cap,in_loan_lap_approval*INDEX('Age profile'!$O$2:$O$61,B484)*(1+in_approval_growth)^(D484-1))</f>
        <v/>
      </c>
      <c r="CD484" s="14">
        <f>F484*CB484*IF(B484&gt;=in_marketplace_from,d_hz_loan_lap*G484,0)*CC484*in_loan_lap_ticket*in_loan_lap_comm</f>
        <v/>
      </c>
      <c r="CE484" s="14">
        <f>AA484+AB484+AC484+AD484+AG484+AJ484+AM484+AP484+AS484+AU484+AX484+BB484+BE484+BG484+BJ484+BL484+BO484+BR484+BT484+BV484+BX484+CA484+CD484</f>
        <v/>
      </c>
    </row>
    <row r="485">
      <c r="A485" s="39" t="n">
        <v>9</v>
      </c>
      <c r="B485" s="39" t="n">
        <v>32</v>
      </c>
      <c r="C485" s="39">
        <f>A485+B485-1</f>
        <v/>
      </c>
      <c r="D485" s="39">
        <f>INT((C485-1)/12)+1</f>
        <v/>
      </c>
      <c r="E485" s="44">
        <f>INDEX(Monthly!$B$2:$B$61,A485)</f>
        <v/>
      </c>
      <c r="F485" s="44">
        <f>E485*INDEX('Age profile'!$B$2:$B$61,B485)</f>
        <v/>
      </c>
      <c r="G485" s="45">
        <f>MIN(in_takeup_cap,INDEX('Age profile'!$N$2:$N$61,B485)*(1+in_takeup_growth)^(D485-1))</f>
        <v/>
      </c>
      <c r="H485" s="11">
        <f>MIN(in_approval_cap,in_approved_first*INDEX('Age profile'!$O$2:$O$61,B485)*(1+in_approval_growth)^(D485-1))</f>
        <v/>
      </c>
      <c r="I485" s="45">
        <f>G485*MIN(in_takeup_cap,INDEX('Age profile'!$O$2:$O$61,B485)*(1+in_approval_growth)^(D485-1))</f>
        <v/>
      </c>
      <c r="J485" s="40">
        <f>(J484-L484)*F485/F484</f>
        <v/>
      </c>
      <c r="K485" s="40">
        <f>(K484-M484)*F485/F484+SUMIFS(O454:O484,B454:B484,B485-1-d_T)*F485</f>
        <v/>
      </c>
      <c r="L485" s="40">
        <f>IF(B485&gt;=in_marketplace_from,J485*d_hz*G485*in_eligible*H485,0)</f>
        <v/>
      </c>
      <c r="M485" s="40">
        <f>IF(B485&gt;=in_marketplace_from,K485*d_hz*G485*in_eligible*in_approved_repeat,0)</f>
        <v/>
      </c>
      <c r="N485" s="40">
        <f>L485+M485</f>
        <v/>
      </c>
      <c r="O485" s="46">
        <f>N485/F485</f>
        <v/>
      </c>
      <c r="P485" s="40">
        <f>F485-J485-K485</f>
        <v/>
      </c>
      <c r="Q485" s="40">
        <f>IF(B485&gt;=in_marketplace_from,(J485+K485)*d_hz*G485,0)</f>
        <v/>
      </c>
      <c r="R485" s="40">
        <f>SUMIFS(N454:N505,B454:B505,"&gt;="&amp;(B485-d_T),B454:B505,"&lt;="&amp;(B485-1))</f>
        <v/>
      </c>
      <c r="S485" s="46">
        <f>(1-d_u)*S484+IF(d_T&gt;in_topup_lag,SUMIFS(O454:O505,B454:B505,B485-in_topup_lag)-d_udrop*SUMIFS(O454:O505,B454:B505,B485-d_T),0)</f>
        <v/>
      </c>
      <c r="T485" s="40">
        <f>F485*d_u*S485</f>
        <v/>
      </c>
      <c r="U485" s="9">
        <f>L485*in_ticket+M485*d_rep_ticket</f>
        <v/>
      </c>
      <c r="V485" s="9">
        <f>U485+T485*d_topup_amt</f>
        <v/>
      </c>
      <c r="W485" s="40">
        <f>N485+T485*d_topup_ratio</f>
        <v/>
      </c>
      <c r="X485" s="40">
        <f>SUMIFS(W454:W505,B454:B505,B485-in_dpd_lag)*d_cured</f>
        <v/>
      </c>
      <c r="Y485" s="40">
        <f>SUMIFS(W454:W505,B454:B505,B485-in_rec_lag)*d_recd</f>
        <v/>
      </c>
      <c r="Z485" s="40">
        <f>IF(AND(B485&gt;=in_marketplace_from,B485&lt;in_marketplace_from+in_card_months),in_card_share/in_card_months*F485*I485,IF(AND(B485&gt;=in_marketplace_from+in_card_months,B485&lt;in_marketplace_from+2*in_card_months),in_card_share*d_card_rem/in_card_months*F485*MIN(in_takeup_cap,(1+in_takeup_growth)^(D485-1))*MIN(in_takeup_cap,(1+in_approval_growth)^(D485-1)),0))</f>
        <v/>
      </c>
      <c r="AA485" s="14">
        <f>V485*in_fee*(1-in_taken_back)</f>
        <v/>
      </c>
      <c r="AB485" s="14">
        <f>SUMIFS(W454:W505,B454:B505,B485-in_dpd_lag)*d_dpd</f>
        <v/>
      </c>
      <c r="AC485" s="14">
        <f>SUMIFS(W454:W505,B454:B505,B485-in_rec_lag)*d_rec</f>
        <v/>
      </c>
      <c r="AD485" s="14">
        <f>Z485*in_card_fee</f>
        <v/>
      </c>
      <c r="AE485" s="40">
        <f>AE484*(1-IF(B484&gt;=in_marketplace_from,d_hz_hlth_small*G484,0))</f>
        <v/>
      </c>
      <c r="AF485" s="46">
        <f>AE485*IF(B485&gt;=in_marketplace_from,d_hz_hlth_small*G485,0)</f>
        <v/>
      </c>
      <c r="AG485" s="14">
        <f>F485*AF485*in_hlth_small_ticket*in_hlth_small_comm*in_ins_partner_share+F485*in_hlth_small_ticket*in_hlth_small_renew_comm*in_ins_partner_share*(in_hlth_small_renew^1*SUMIFS(AF454:AF505,B454:B505,B485-12)+in_hlth_small_renew^2*SUMIFS(AF454:AF505,B454:B505,B485-24)+in_hlth_small_renew^3*SUMIFS(AF454:AF505,B454:B505,B485-36)+in_hlth_small_renew^4*SUMIFS(AF454:AF505,B454:B505,B485-48))</f>
        <v/>
      </c>
      <c r="AH485" s="40">
        <f>AH484*(1-IF(B484&gt;=in_marketplace_from,d_hz_hlth_family*G484,0))</f>
        <v/>
      </c>
      <c r="AI485" s="46">
        <f>AH485*IF(B485&gt;=in_marketplace_from,d_hz_hlth_family*G485,0)</f>
        <v/>
      </c>
      <c r="AJ485" s="14">
        <f>F485*AI485*in_hlth_family_ticket*in_hlth_family_comm*in_ins_partner_share+F485*in_hlth_family_ticket*in_hlth_family_renew_comm*in_ins_partner_share*(in_hlth_family_renew^1*SUMIFS(AI454:AI505,B454:B505,B485-12)+in_hlth_family_renew^2*SUMIFS(AI454:AI505,B454:B505,B485-24)+in_hlth_family_renew^3*SUMIFS(AI454:AI505,B454:B505,B485-36)+in_hlth_family_renew^4*SUMIFS(AI454:AI505,B454:B505,B485-48))</f>
        <v/>
      </c>
      <c r="AK485" s="40">
        <f>AK484*(1-IF(B484&gt;=in_marketplace_from,d_hz_life_term*G484,0))</f>
        <v/>
      </c>
      <c r="AL485" s="46">
        <f>AK485*IF(B485&gt;=in_marketplace_from,d_hz_life_term*G485,0)</f>
        <v/>
      </c>
      <c r="AM485" s="14">
        <f>F485*AL485*in_life_term_ticket*in_life_term_comm*in_ins_partner_share+F485*in_life_term_ticket*in_life_term_renew_comm*in_ins_partner_share*(in_life_term_renew^1*SUMIFS(AL454:AL505,B454:B505,B485-12)+in_life_term_renew^2*SUMIFS(AL454:AL505,B454:B505,B485-24)+in_life_term_renew^3*SUMIFS(AL454:AL505,B454:B505,B485-36)+in_life_term_renew^4*SUMIFS(AL454:AL505,B454:B505,B485-48))</f>
        <v/>
      </c>
      <c r="AN485" s="40">
        <f>AN484*(1-IF(B484&gt;=in_marketplace_from,d_hz_accident*G484,0))</f>
        <v/>
      </c>
      <c r="AO485" s="46">
        <f>AN485*IF(B485&gt;=in_marketplace_from,d_hz_accident*G485,0)</f>
        <v/>
      </c>
      <c r="AP485" s="14">
        <f>F485*AO485*in_accident_ticket*in_accident_comm*in_ins_partner_share+F485*in_accident_ticket*in_accident_renew_comm*in_ins_partner_share*(in_accident_renew^1*SUMIFS(AO454:AO505,B454:B505,B485-12)+in_accident_renew^2*SUMIFS(AO454:AO505,B454:B505,B485-24)+in_accident_renew^3*SUMIFS(AO454:AO505,B454:B505,B485-36)+in_accident_renew^4*SUMIFS(AO454:AO505,B454:B505,B485-48))</f>
        <v/>
      </c>
      <c r="AQ485" s="40">
        <f>AQ484*(1-IF(B484&gt;=in_marketplace_from,d_hz_two_wheeler*G484,0))</f>
        <v/>
      </c>
      <c r="AR485" s="46">
        <f>AQ485*IF(B485&gt;=in_marketplace_from,d_hz_two_wheeler*G485,0)</f>
        <v/>
      </c>
      <c r="AS485" s="14">
        <f>F485*AR485*in_two_wheeler_ticket*in_two_wheeler_comm*in_ins_partner_share+F485*in_two_wheeler_ticket*in_two_wheeler_comm*in_ins_partner_share*(in_two_wheeler_renew^1*SUMIFS(AR454:AR505,B454:B505,B485-12)+in_two_wheeler_renew^2*SUMIFS(AR454:AR505,B454:B505,B485-24)+in_two_wheeler_renew^3*SUMIFS(AR454:AR505,B454:B505,B485-36)+in_two_wheeler_renew^4*SUMIFS(AR454:AR505,B454:B505,B485-48))</f>
        <v/>
      </c>
      <c r="AT485" s="40">
        <f>AT484*(1-IF(B484&gt;=in_marketplace_from,d_hz_device*G484,0))</f>
        <v/>
      </c>
      <c r="AU485" s="14">
        <f>F485*AT485*IF(B485&gt;=in_marketplace_from,d_hz_device*G485,0)*in_device_ticket*in_device_comm*in_ins_partner_share</f>
        <v/>
      </c>
      <c r="AV485" s="40">
        <f>AV484*(1-IF(B484&gt;=in_marketplace_from,d_hz_shop*G484,0))</f>
        <v/>
      </c>
      <c r="AW485" s="46">
        <f>AV485*IF(B485&gt;=in_marketplace_from,d_hz_shop*G485,0)</f>
        <v/>
      </c>
      <c r="AX485" s="14">
        <f>F485*AW485*in_shop_ticket*in_shop_comm*in_ins_partner_share+F485*in_shop_ticket*in_shop_renew_comm*in_ins_partner_share*(in_shop_renew^1*SUMIFS(AW454:AW505,B454:B505,B485-12)+in_shop_renew^2*SUMIFS(AW454:AW505,B454:B505,B485-24)+in_shop_renew^3*SUMIFS(AW454:AW505,B454:B505,B485-36)+in_shop_renew^4*SUMIFS(AW454:AW505,B454:B505,B485-48))</f>
        <v/>
      </c>
      <c r="AY485" s="40">
        <f>AY484*(1-IF(B484&gt;=in_marketplace_from,d_hz_sip*G484,0))</f>
        <v/>
      </c>
      <c r="AZ485" s="40">
        <f>AZ484*d_rho_sip+AY485*IF(B485&gt;=in_marketplace_from,d_hz_sip*G485,0)</f>
        <v/>
      </c>
      <c r="BA485" s="40">
        <f>d_rho_sip*(BA484+AZ484)</f>
        <v/>
      </c>
      <c r="BB485" s="14">
        <f>F485*in_sip_ticket*(BA485+0.5*AZ485)*in_sip_comm/12</f>
        <v/>
      </c>
      <c r="BC485" s="40">
        <f>BC484*(1-IF(B484&gt;=in_marketplace_from,d_hz_choti*G484,0))</f>
        <v/>
      </c>
      <c r="BD485" s="46">
        <f>BC485*IF(B485&gt;=in_marketplace_from,d_hz_choti*G485,0)</f>
        <v/>
      </c>
      <c r="BE485" s="14">
        <f>F485*SUMIFS(BD454:BD505,B454:B505,B485-in_choti_months)*in_choti_renew*in_choti_ticket</f>
        <v/>
      </c>
      <c r="BF485" s="40">
        <f>BF484*(1-IF(B484&gt;=in_marketplace_from,d_hz_nps*G484,0))</f>
        <v/>
      </c>
      <c r="BG485" s="14">
        <f>F485*BF485*IF(B485&gt;=in_marketplace_from,d_hz_nps*G485,0)*in_nps_ticket*in_nps_comm</f>
        <v/>
      </c>
      <c r="BH485" s="40">
        <f>BH484*(1-IF(B484&gt;=in_marketplace_from,d_hz_gold*G484,0))</f>
        <v/>
      </c>
      <c r="BI485" s="40">
        <f>BI484*d_rho_gold+BH485*IF(B485&gt;=in_marketplace_from,d_hz_gold*G485,0)</f>
        <v/>
      </c>
      <c r="BJ485" s="14">
        <f>F485*BI485*in_gold_ticket*in_gold_comm</f>
        <v/>
      </c>
      <c r="BK485" s="40">
        <f>BK484*(1-IF(B484&gt;=in_marketplace_from,d_hz_fd*G484,0))</f>
        <v/>
      </c>
      <c r="BL485" s="14">
        <f>F485*BK485*IF(B485&gt;=in_marketplace_from,d_hz_fd*G485,0)*in_fd_ticket*in_fd_comm</f>
        <v/>
      </c>
      <c r="BM485" s="40">
        <f>BM484*(1-IF(B484&gt;=in_marketplace_from,d_hz_recharge*G484,0))</f>
        <v/>
      </c>
      <c r="BN485" s="40">
        <f>BN484*d_rho_recharge+BM485*IF(B485&gt;=in_marketplace_from,d_hz_recharge*G485,0)</f>
        <v/>
      </c>
      <c r="BO485" s="14">
        <f>F485*BN485*in_recharge_ticket*in_recharge_comm/12</f>
        <v/>
      </c>
      <c r="BP485" s="40">
        <f>BP484*(1-IF(B484&gt;=in_marketplace_from,d_hz_bills*G484,0))</f>
        <v/>
      </c>
      <c r="BQ485" s="40">
        <f>BQ484*d_rho_bills+BP485*IF(B485&gt;=in_marketplace_from,d_hz_bills*G485,0)</f>
        <v/>
      </c>
      <c r="BR485" s="14">
        <f>F485*BQ485*in_bills_ticket*in_bills_comm/12</f>
        <v/>
      </c>
      <c r="BS485" s="40">
        <f>BS484*(1-IF(B484&gt;=in_marketplace_from,d_hz_loan_gold*G484,0))</f>
        <v/>
      </c>
      <c r="BT485" s="14">
        <f>F485*BS485*IF(B485&gt;=in_marketplace_from,d_hz_loan_gold*G485,0)*in_loan_gold_ticket*in_loan_gold_comm</f>
        <v/>
      </c>
      <c r="BU485" s="40">
        <f>BU484*(1-IF(B484&gt;=in_marketplace_from,d_hz_loan_cd*G484,0))</f>
        <v/>
      </c>
      <c r="BV485" s="14">
        <f>F485*BU485*IF(B485&gt;=in_marketplace_from,d_hz_loan_cd*G485,0)*in_loan_cd_ticket*in_loan_cd_comm</f>
        <v/>
      </c>
      <c r="BW485" s="40">
        <f>BW484*(1-IF(B484&gt;=in_marketplace_from,d_hz_loan_vehicle*G484,0))</f>
        <v/>
      </c>
      <c r="BX485" s="14">
        <f>F485*BW485*IF(B485&gt;=in_marketplace_from,d_hz_loan_vehicle*G485,0)*in_loan_vehicle_ticket*in_loan_vehicle_comm</f>
        <v/>
      </c>
      <c r="BY485" s="40">
        <f>BY484*(1-IF(B484&gt;=in_marketplace_from,d_hz_loan_home*G484,0)*BZ484)</f>
        <v/>
      </c>
      <c r="BZ485" s="11">
        <f>MIN(in_approval_cap,in_loan_home_approval*INDEX('Age profile'!$O$2:$O$61,B485)*(1+in_approval_growth)^(D485-1))</f>
        <v/>
      </c>
      <c r="CA485" s="14">
        <f>F485*BY485*IF(B485&gt;=in_marketplace_from,d_hz_loan_home*G485,0)*BZ485*in_loan_home_ticket*in_loan_home_comm</f>
        <v/>
      </c>
      <c r="CB485" s="40">
        <f>CB484*(1-IF(B484&gt;=in_marketplace_from,d_hz_loan_lap*G484,0)*CC484)</f>
        <v/>
      </c>
      <c r="CC485" s="11">
        <f>MIN(in_approval_cap,in_loan_lap_approval*INDEX('Age profile'!$O$2:$O$61,B485)*(1+in_approval_growth)^(D485-1))</f>
        <v/>
      </c>
      <c r="CD485" s="14">
        <f>F485*CB485*IF(B485&gt;=in_marketplace_from,d_hz_loan_lap*G485,0)*CC485*in_loan_lap_ticket*in_loan_lap_comm</f>
        <v/>
      </c>
      <c r="CE485" s="14">
        <f>AA485+AB485+AC485+AD485+AG485+AJ485+AM485+AP485+AS485+AU485+AX485+BB485+BE485+BG485+BJ485+BL485+BO485+BR485+BT485+BV485+BX485+CA485+CD485</f>
        <v/>
      </c>
    </row>
    <row r="486">
      <c r="A486" s="39" t="n">
        <v>9</v>
      </c>
      <c r="B486" s="39" t="n">
        <v>33</v>
      </c>
      <c r="C486" s="39">
        <f>A486+B486-1</f>
        <v/>
      </c>
      <c r="D486" s="39">
        <f>INT((C486-1)/12)+1</f>
        <v/>
      </c>
      <c r="E486" s="44">
        <f>INDEX(Monthly!$B$2:$B$61,A486)</f>
        <v/>
      </c>
      <c r="F486" s="44">
        <f>E486*INDEX('Age profile'!$B$2:$B$61,B486)</f>
        <v/>
      </c>
      <c r="G486" s="45">
        <f>MIN(in_takeup_cap,INDEX('Age profile'!$N$2:$N$61,B486)*(1+in_takeup_growth)^(D486-1))</f>
        <v/>
      </c>
      <c r="H486" s="11">
        <f>MIN(in_approval_cap,in_approved_first*INDEX('Age profile'!$O$2:$O$61,B486)*(1+in_approval_growth)^(D486-1))</f>
        <v/>
      </c>
      <c r="I486" s="45">
        <f>G486*MIN(in_takeup_cap,INDEX('Age profile'!$O$2:$O$61,B486)*(1+in_approval_growth)^(D486-1))</f>
        <v/>
      </c>
      <c r="J486" s="40">
        <f>(J485-L485)*F486/F485</f>
        <v/>
      </c>
      <c r="K486" s="40">
        <f>(K485-M485)*F486/F485+SUMIFS(O454:O485,B454:B485,B486-1-d_T)*F486</f>
        <v/>
      </c>
      <c r="L486" s="40">
        <f>IF(B486&gt;=in_marketplace_from,J486*d_hz*G486*in_eligible*H486,0)</f>
        <v/>
      </c>
      <c r="M486" s="40">
        <f>IF(B486&gt;=in_marketplace_from,K486*d_hz*G486*in_eligible*in_approved_repeat,0)</f>
        <v/>
      </c>
      <c r="N486" s="40">
        <f>L486+M486</f>
        <v/>
      </c>
      <c r="O486" s="46">
        <f>N486/F486</f>
        <v/>
      </c>
      <c r="P486" s="40">
        <f>F486-J486-K486</f>
        <v/>
      </c>
      <c r="Q486" s="40">
        <f>IF(B486&gt;=in_marketplace_from,(J486+K486)*d_hz*G486,0)</f>
        <v/>
      </c>
      <c r="R486" s="40">
        <f>SUMIFS(N454:N505,B454:B505,"&gt;="&amp;(B486-d_T),B454:B505,"&lt;="&amp;(B486-1))</f>
        <v/>
      </c>
      <c r="S486" s="46">
        <f>(1-d_u)*S485+IF(d_T&gt;in_topup_lag,SUMIFS(O454:O505,B454:B505,B486-in_topup_lag)-d_udrop*SUMIFS(O454:O505,B454:B505,B486-d_T),0)</f>
        <v/>
      </c>
      <c r="T486" s="40">
        <f>F486*d_u*S486</f>
        <v/>
      </c>
      <c r="U486" s="9">
        <f>L486*in_ticket+M486*d_rep_ticket</f>
        <v/>
      </c>
      <c r="V486" s="9">
        <f>U486+T486*d_topup_amt</f>
        <v/>
      </c>
      <c r="W486" s="40">
        <f>N486+T486*d_topup_ratio</f>
        <v/>
      </c>
      <c r="X486" s="40">
        <f>SUMIFS(W454:W505,B454:B505,B486-in_dpd_lag)*d_cured</f>
        <v/>
      </c>
      <c r="Y486" s="40">
        <f>SUMIFS(W454:W505,B454:B505,B486-in_rec_lag)*d_recd</f>
        <v/>
      </c>
      <c r="Z486" s="40">
        <f>IF(AND(B486&gt;=in_marketplace_from,B486&lt;in_marketplace_from+in_card_months),in_card_share/in_card_months*F486*I486,IF(AND(B486&gt;=in_marketplace_from+in_card_months,B486&lt;in_marketplace_from+2*in_card_months),in_card_share*d_card_rem/in_card_months*F486*MIN(in_takeup_cap,(1+in_takeup_growth)^(D486-1))*MIN(in_takeup_cap,(1+in_approval_growth)^(D486-1)),0))</f>
        <v/>
      </c>
      <c r="AA486" s="14">
        <f>V486*in_fee*(1-in_taken_back)</f>
        <v/>
      </c>
      <c r="AB486" s="14">
        <f>SUMIFS(W454:W505,B454:B505,B486-in_dpd_lag)*d_dpd</f>
        <v/>
      </c>
      <c r="AC486" s="14">
        <f>SUMIFS(W454:W505,B454:B505,B486-in_rec_lag)*d_rec</f>
        <v/>
      </c>
      <c r="AD486" s="14">
        <f>Z486*in_card_fee</f>
        <v/>
      </c>
      <c r="AE486" s="40">
        <f>AE485*(1-IF(B485&gt;=in_marketplace_from,d_hz_hlth_small*G485,0))</f>
        <v/>
      </c>
      <c r="AF486" s="46">
        <f>AE486*IF(B486&gt;=in_marketplace_from,d_hz_hlth_small*G486,0)</f>
        <v/>
      </c>
      <c r="AG486" s="14">
        <f>F486*AF486*in_hlth_small_ticket*in_hlth_small_comm*in_ins_partner_share+F486*in_hlth_small_ticket*in_hlth_small_renew_comm*in_ins_partner_share*(in_hlth_small_renew^1*SUMIFS(AF454:AF505,B454:B505,B486-12)+in_hlth_small_renew^2*SUMIFS(AF454:AF505,B454:B505,B486-24)+in_hlth_small_renew^3*SUMIFS(AF454:AF505,B454:B505,B486-36)+in_hlth_small_renew^4*SUMIFS(AF454:AF505,B454:B505,B486-48))</f>
        <v/>
      </c>
      <c r="AH486" s="40">
        <f>AH485*(1-IF(B485&gt;=in_marketplace_from,d_hz_hlth_family*G485,0))</f>
        <v/>
      </c>
      <c r="AI486" s="46">
        <f>AH486*IF(B486&gt;=in_marketplace_from,d_hz_hlth_family*G486,0)</f>
        <v/>
      </c>
      <c r="AJ486" s="14">
        <f>F486*AI486*in_hlth_family_ticket*in_hlth_family_comm*in_ins_partner_share+F486*in_hlth_family_ticket*in_hlth_family_renew_comm*in_ins_partner_share*(in_hlth_family_renew^1*SUMIFS(AI454:AI505,B454:B505,B486-12)+in_hlth_family_renew^2*SUMIFS(AI454:AI505,B454:B505,B486-24)+in_hlth_family_renew^3*SUMIFS(AI454:AI505,B454:B505,B486-36)+in_hlth_family_renew^4*SUMIFS(AI454:AI505,B454:B505,B486-48))</f>
        <v/>
      </c>
      <c r="AK486" s="40">
        <f>AK485*(1-IF(B485&gt;=in_marketplace_from,d_hz_life_term*G485,0))</f>
        <v/>
      </c>
      <c r="AL486" s="46">
        <f>AK486*IF(B486&gt;=in_marketplace_from,d_hz_life_term*G486,0)</f>
        <v/>
      </c>
      <c r="AM486" s="14">
        <f>F486*AL486*in_life_term_ticket*in_life_term_comm*in_ins_partner_share+F486*in_life_term_ticket*in_life_term_renew_comm*in_ins_partner_share*(in_life_term_renew^1*SUMIFS(AL454:AL505,B454:B505,B486-12)+in_life_term_renew^2*SUMIFS(AL454:AL505,B454:B505,B486-24)+in_life_term_renew^3*SUMIFS(AL454:AL505,B454:B505,B486-36)+in_life_term_renew^4*SUMIFS(AL454:AL505,B454:B505,B486-48))</f>
        <v/>
      </c>
      <c r="AN486" s="40">
        <f>AN485*(1-IF(B485&gt;=in_marketplace_from,d_hz_accident*G485,0))</f>
        <v/>
      </c>
      <c r="AO486" s="46">
        <f>AN486*IF(B486&gt;=in_marketplace_from,d_hz_accident*G486,0)</f>
        <v/>
      </c>
      <c r="AP486" s="14">
        <f>F486*AO486*in_accident_ticket*in_accident_comm*in_ins_partner_share+F486*in_accident_ticket*in_accident_renew_comm*in_ins_partner_share*(in_accident_renew^1*SUMIFS(AO454:AO505,B454:B505,B486-12)+in_accident_renew^2*SUMIFS(AO454:AO505,B454:B505,B486-24)+in_accident_renew^3*SUMIFS(AO454:AO505,B454:B505,B486-36)+in_accident_renew^4*SUMIFS(AO454:AO505,B454:B505,B486-48))</f>
        <v/>
      </c>
      <c r="AQ486" s="40">
        <f>AQ485*(1-IF(B485&gt;=in_marketplace_from,d_hz_two_wheeler*G485,0))</f>
        <v/>
      </c>
      <c r="AR486" s="46">
        <f>AQ486*IF(B486&gt;=in_marketplace_from,d_hz_two_wheeler*G486,0)</f>
        <v/>
      </c>
      <c r="AS486" s="14">
        <f>F486*AR486*in_two_wheeler_ticket*in_two_wheeler_comm*in_ins_partner_share+F486*in_two_wheeler_ticket*in_two_wheeler_comm*in_ins_partner_share*(in_two_wheeler_renew^1*SUMIFS(AR454:AR505,B454:B505,B486-12)+in_two_wheeler_renew^2*SUMIFS(AR454:AR505,B454:B505,B486-24)+in_two_wheeler_renew^3*SUMIFS(AR454:AR505,B454:B505,B486-36)+in_two_wheeler_renew^4*SUMIFS(AR454:AR505,B454:B505,B486-48))</f>
        <v/>
      </c>
      <c r="AT486" s="40">
        <f>AT485*(1-IF(B485&gt;=in_marketplace_from,d_hz_device*G485,0))</f>
        <v/>
      </c>
      <c r="AU486" s="14">
        <f>F486*AT486*IF(B486&gt;=in_marketplace_from,d_hz_device*G486,0)*in_device_ticket*in_device_comm*in_ins_partner_share</f>
        <v/>
      </c>
      <c r="AV486" s="40">
        <f>AV485*(1-IF(B485&gt;=in_marketplace_from,d_hz_shop*G485,0))</f>
        <v/>
      </c>
      <c r="AW486" s="46">
        <f>AV486*IF(B486&gt;=in_marketplace_from,d_hz_shop*G486,0)</f>
        <v/>
      </c>
      <c r="AX486" s="14">
        <f>F486*AW486*in_shop_ticket*in_shop_comm*in_ins_partner_share+F486*in_shop_ticket*in_shop_renew_comm*in_ins_partner_share*(in_shop_renew^1*SUMIFS(AW454:AW505,B454:B505,B486-12)+in_shop_renew^2*SUMIFS(AW454:AW505,B454:B505,B486-24)+in_shop_renew^3*SUMIFS(AW454:AW505,B454:B505,B486-36)+in_shop_renew^4*SUMIFS(AW454:AW505,B454:B505,B486-48))</f>
        <v/>
      </c>
      <c r="AY486" s="40">
        <f>AY485*(1-IF(B485&gt;=in_marketplace_from,d_hz_sip*G485,0))</f>
        <v/>
      </c>
      <c r="AZ486" s="40">
        <f>AZ485*d_rho_sip+AY486*IF(B486&gt;=in_marketplace_from,d_hz_sip*G486,0)</f>
        <v/>
      </c>
      <c r="BA486" s="40">
        <f>d_rho_sip*(BA485+AZ485)</f>
        <v/>
      </c>
      <c r="BB486" s="14">
        <f>F486*in_sip_ticket*(BA486+0.5*AZ486)*in_sip_comm/12</f>
        <v/>
      </c>
      <c r="BC486" s="40">
        <f>BC485*(1-IF(B485&gt;=in_marketplace_from,d_hz_choti*G485,0))</f>
        <v/>
      </c>
      <c r="BD486" s="46">
        <f>BC486*IF(B486&gt;=in_marketplace_from,d_hz_choti*G486,0)</f>
        <v/>
      </c>
      <c r="BE486" s="14">
        <f>F486*SUMIFS(BD454:BD505,B454:B505,B486-in_choti_months)*in_choti_renew*in_choti_ticket</f>
        <v/>
      </c>
      <c r="BF486" s="40">
        <f>BF485*(1-IF(B485&gt;=in_marketplace_from,d_hz_nps*G485,0))</f>
        <v/>
      </c>
      <c r="BG486" s="14">
        <f>F486*BF486*IF(B486&gt;=in_marketplace_from,d_hz_nps*G486,0)*in_nps_ticket*in_nps_comm</f>
        <v/>
      </c>
      <c r="BH486" s="40">
        <f>BH485*(1-IF(B485&gt;=in_marketplace_from,d_hz_gold*G485,0))</f>
        <v/>
      </c>
      <c r="BI486" s="40">
        <f>BI485*d_rho_gold+BH486*IF(B486&gt;=in_marketplace_from,d_hz_gold*G486,0)</f>
        <v/>
      </c>
      <c r="BJ486" s="14">
        <f>F486*BI486*in_gold_ticket*in_gold_comm</f>
        <v/>
      </c>
      <c r="BK486" s="40">
        <f>BK485*(1-IF(B485&gt;=in_marketplace_from,d_hz_fd*G485,0))</f>
        <v/>
      </c>
      <c r="BL486" s="14">
        <f>F486*BK486*IF(B486&gt;=in_marketplace_from,d_hz_fd*G486,0)*in_fd_ticket*in_fd_comm</f>
        <v/>
      </c>
      <c r="BM486" s="40">
        <f>BM485*(1-IF(B485&gt;=in_marketplace_from,d_hz_recharge*G485,0))</f>
        <v/>
      </c>
      <c r="BN486" s="40">
        <f>BN485*d_rho_recharge+BM486*IF(B486&gt;=in_marketplace_from,d_hz_recharge*G486,0)</f>
        <v/>
      </c>
      <c r="BO486" s="14">
        <f>F486*BN486*in_recharge_ticket*in_recharge_comm/12</f>
        <v/>
      </c>
      <c r="BP486" s="40">
        <f>BP485*(1-IF(B485&gt;=in_marketplace_from,d_hz_bills*G485,0))</f>
        <v/>
      </c>
      <c r="BQ486" s="40">
        <f>BQ485*d_rho_bills+BP486*IF(B486&gt;=in_marketplace_from,d_hz_bills*G486,0)</f>
        <v/>
      </c>
      <c r="BR486" s="14">
        <f>F486*BQ486*in_bills_ticket*in_bills_comm/12</f>
        <v/>
      </c>
      <c r="BS486" s="40">
        <f>BS485*(1-IF(B485&gt;=in_marketplace_from,d_hz_loan_gold*G485,0))</f>
        <v/>
      </c>
      <c r="BT486" s="14">
        <f>F486*BS486*IF(B486&gt;=in_marketplace_from,d_hz_loan_gold*G486,0)*in_loan_gold_ticket*in_loan_gold_comm</f>
        <v/>
      </c>
      <c r="BU486" s="40">
        <f>BU485*(1-IF(B485&gt;=in_marketplace_from,d_hz_loan_cd*G485,0))</f>
        <v/>
      </c>
      <c r="BV486" s="14">
        <f>F486*BU486*IF(B486&gt;=in_marketplace_from,d_hz_loan_cd*G486,0)*in_loan_cd_ticket*in_loan_cd_comm</f>
        <v/>
      </c>
      <c r="BW486" s="40">
        <f>BW485*(1-IF(B485&gt;=in_marketplace_from,d_hz_loan_vehicle*G485,0))</f>
        <v/>
      </c>
      <c r="BX486" s="14">
        <f>F486*BW486*IF(B486&gt;=in_marketplace_from,d_hz_loan_vehicle*G486,0)*in_loan_vehicle_ticket*in_loan_vehicle_comm</f>
        <v/>
      </c>
      <c r="BY486" s="40">
        <f>BY485*(1-IF(B485&gt;=in_marketplace_from,d_hz_loan_home*G485,0)*BZ485)</f>
        <v/>
      </c>
      <c r="BZ486" s="11">
        <f>MIN(in_approval_cap,in_loan_home_approval*INDEX('Age profile'!$O$2:$O$61,B486)*(1+in_approval_growth)^(D486-1))</f>
        <v/>
      </c>
      <c r="CA486" s="14">
        <f>F486*BY486*IF(B486&gt;=in_marketplace_from,d_hz_loan_home*G486,0)*BZ486*in_loan_home_ticket*in_loan_home_comm</f>
        <v/>
      </c>
      <c r="CB486" s="40">
        <f>CB485*(1-IF(B485&gt;=in_marketplace_from,d_hz_loan_lap*G485,0)*CC485)</f>
        <v/>
      </c>
      <c r="CC486" s="11">
        <f>MIN(in_approval_cap,in_loan_lap_approval*INDEX('Age profile'!$O$2:$O$61,B486)*(1+in_approval_growth)^(D486-1))</f>
        <v/>
      </c>
      <c r="CD486" s="14">
        <f>F486*CB486*IF(B486&gt;=in_marketplace_from,d_hz_loan_lap*G486,0)*CC486*in_loan_lap_ticket*in_loan_lap_comm</f>
        <v/>
      </c>
      <c r="CE486" s="14">
        <f>AA486+AB486+AC486+AD486+AG486+AJ486+AM486+AP486+AS486+AU486+AX486+BB486+BE486+BG486+BJ486+BL486+BO486+BR486+BT486+BV486+BX486+CA486+CD486</f>
        <v/>
      </c>
    </row>
    <row r="487">
      <c r="A487" s="39" t="n">
        <v>9</v>
      </c>
      <c r="B487" s="39" t="n">
        <v>34</v>
      </c>
      <c r="C487" s="39">
        <f>A487+B487-1</f>
        <v/>
      </c>
      <c r="D487" s="39">
        <f>INT((C487-1)/12)+1</f>
        <v/>
      </c>
      <c r="E487" s="44">
        <f>INDEX(Monthly!$B$2:$B$61,A487)</f>
        <v/>
      </c>
      <c r="F487" s="44">
        <f>E487*INDEX('Age profile'!$B$2:$B$61,B487)</f>
        <v/>
      </c>
      <c r="G487" s="45">
        <f>MIN(in_takeup_cap,INDEX('Age profile'!$N$2:$N$61,B487)*(1+in_takeup_growth)^(D487-1))</f>
        <v/>
      </c>
      <c r="H487" s="11">
        <f>MIN(in_approval_cap,in_approved_first*INDEX('Age profile'!$O$2:$O$61,B487)*(1+in_approval_growth)^(D487-1))</f>
        <v/>
      </c>
      <c r="I487" s="45">
        <f>G487*MIN(in_takeup_cap,INDEX('Age profile'!$O$2:$O$61,B487)*(1+in_approval_growth)^(D487-1))</f>
        <v/>
      </c>
      <c r="J487" s="40">
        <f>(J486-L486)*F487/F486</f>
        <v/>
      </c>
      <c r="K487" s="40">
        <f>(K486-M486)*F487/F486+SUMIFS(O454:O486,B454:B486,B487-1-d_T)*F487</f>
        <v/>
      </c>
      <c r="L487" s="40">
        <f>IF(B487&gt;=in_marketplace_from,J487*d_hz*G487*in_eligible*H487,0)</f>
        <v/>
      </c>
      <c r="M487" s="40">
        <f>IF(B487&gt;=in_marketplace_from,K487*d_hz*G487*in_eligible*in_approved_repeat,0)</f>
        <v/>
      </c>
      <c r="N487" s="40">
        <f>L487+M487</f>
        <v/>
      </c>
      <c r="O487" s="46">
        <f>N487/F487</f>
        <v/>
      </c>
      <c r="P487" s="40">
        <f>F487-J487-K487</f>
        <v/>
      </c>
      <c r="Q487" s="40">
        <f>IF(B487&gt;=in_marketplace_from,(J487+K487)*d_hz*G487,0)</f>
        <v/>
      </c>
      <c r="R487" s="40">
        <f>SUMIFS(N454:N505,B454:B505,"&gt;="&amp;(B487-d_T),B454:B505,"&lt;="&amp;(B487-1))</f>
        <v/>
      </c>
      <c r="S487" s="46">
        <f>(1-d_u)*S486+IF(d_T&gt;in_topup_lag,SUMIFS(O454:O505,B454:B505,B487-in_topup_lag)-d_udrop*SUMIFS(O454:O505,B454:B505,B487-d_T),0)</f>
        <v/>
      </c>
      <c r="T487" s="40">
        <f>F487*d_u*S487</f>
        <v/>
      </c>
      <c r="U487" s="9">
        <f>L487*in_ticket+M487*d_rep_ticket</f>
        <v/>
      </c>
      <c r="V487" s="9">
        <f>U487+T487*d_topup_amt</f>
        <v/>
      </c>
      <c r="W487" s="40">
        <f>N487+T487*d_topup_ratio</f>
        <v/>
      </c>
      <c r="X487" s="40">
        <f>SUMIFS(W454:W505,B454:B505,B487-in_dpd_lag)*d_cured</f>
        <v/>
      </c>
      <c r="Y487" s="40">
        <f>SUMIFS(W454:W505,B454:B505,B487-in_rec_lag)*d_recd</f>
        <v/>
      </c>
      <c r="Z487" s="40">
        <f>IF(AND(B487&gt;=in_marketplace_from,B487&lt;in_marketplace_from+in_card_months),in_card_share/in_card_months*F487*I487,IF(AND(B487&gt;=in_marketplace_from+in_card_months,B487&lt;in_marketplace_from+2*in_card_months),in_card_share*d_card_rem/in_card_months*F487*MIN(in_takeup_cap,(1+in_takeup_growth)^(D487-1))*MIN(in_takeup_cap,(1+in_approval_growth)^(D487-1)),0))</f>
        <v/>
      </c>
      <c r="AA487" s="14">
        <f>V487*in_fee*(1-in_taken_back)</f>
        <v/>
      </c>
      <c r="AB487" s="14">
        <f>SUMIFS(W454:W505,B454:B505,B487-in_dpd_lag)*d_dpd</f>
        <v/>
      </c>
      <c r="AC487" s="14">
        <f>SUMIFS(W454:W505,B454:B505,B487-in_rec_lag)*d_rec</f>
        <v/>
      </c>
      <c r="AD487" s="14">
        <f>Z487*in_card_fee</f>
        <v/>
      </c>
      <c r="AE487" s="40">
        <f>AE486*(1-IF(B486&gt;=in_marketplace_from,d_hz_hlth_small*G486,0))</f>
        <v/>
      </c>
      <c r="AF487" s="46">
        <f>AE487*IF(B487&gt;=in_marketplace_from,d_hz_hlth_small*G487,0)</f>
        <v/>
      </c>
      <c r="AG487" s="14">
        <f>F487*AF487*in_hlth_small_ticket*in_hlth_small_comm*in_ins_partner_share+F487*in_hlth_small_ticket*in_hlth_small_renew_comm*in_ins_partner_share*(in_hlth_small_renew^1*SUMIFS(AF454:AF505,B454:B505,B487-12)+in_hlth_small_renew^2*SUMIFS(AF454:AF505,B454:B505,B487-24)+in_hlth_small_renew^3*SUMIFS(AF454:AF505,B454:B505,B487-36)+in_hlth_small_renew^4*SUMIFS(AF454:AF505,B454:B505,B487-48))</f>
        <v/>
      </c>
      <c r="AH487" s="40">
        <f>AH486*(1-IF(B486&gt;=in_marketplace_from,d_hz_hlth_family*G486,0))</f>
        <v/>
      </c>
      <c r="AI487" s="46">
        <f>AH487*IF(B487&gt;=in_marketplace_from,d_hz_hlth_family*G487,0)</f>
        <v/>
      </c>
      <c r="AJ487" s="14">
        <f>F487*AI487*in_hlth_family_ticket*in_hlth_family_comm*in_ins_partner_share+F487*in_hlth_family_ticket*in_hlth_family_renew_comm*in_ins_partner_share*(in_hlth_family_renew^1*SUMIFS(AI454:AI505,B454:B505,B487-12)+in_hlth_family_renew^2*SUMIFS(AI454:AI505,B454:B505,B487-24)+in_hlth_family_renew^3*SUMIFS(AI454:AI505,B454:B505,B487-36)+in_hlth_family_renew^4*SUMIFS(AI454:AI505,B454:B505,B487-48))</f>
        <v/>
      </c>
      <c r="AK487" s="40">
        <f>AK486*(1-IF(B486&gt;=in_marketplace_from,d_hz_life_term*G486,0))</f>
        <v/>
      </c>
      <c r="AL487" s="46">
        <f>AK487*IF(B487&gt;=in_marketplace_from,d_hz_life_term*G487,0)</f>
        <v/>
      </c>
      <c r="AM487" s="14">
        <f>F487*AL487*in_life_term_ticket*in_life_term_comm*in_ins_partner_share+F487*in_life_term_ticket*in_life_term_renew_comm*in_ins_partner_share*(in_life_term_renew^1*SUMIFS(AL454:AL505,B454:B505,B487-12)+in_life_term_renew^2*SUMIFS(AL454:AL505,B454:B505,B487-24)+in_life_term_renew^3*SUMIFS(AL454:AL505,B454:B505,B487-36)+in_life_term_renew^4*SUMIFS(AL454:AL505,B454:B505,B487-48))</f>
        <v/>
      </c>
      <c r="AN487" s="40">
        <f>AN486*(1-IF(B486&gt;=in_marketplace_from,d_hz_accident*G486,0))</f>
        <v/>
      </c>
      <c r="AO487" s="46">
        <f>AN487*IF(B487&gt;=in_marketplace_from,d_hz_accident*G487,0)</f>
        <v/>
      </c>
      <c r="AP487" s="14">
        <f>F487*AO487*in_accident_ticket*in_accident_comm*in_ins_partner_share+F487*in_accident_ticket*in_accident_renew_comm*in_ins_partner_share*(in_accident_renew^1*SUMIFS(AO454:AO505,B454:B505,B487-12)+in_accident_renew^2*SUMIFS(AO454:AO505,B454:B505,B487-24)+in_accident_renew^3*SUMIFS(AO454:AO505,B454:B505,B487-36)+in_accident_renew^4*SUMIFS(AO454:AO505,B454:B505,B487-48))</f>
        <v/>
      </c>
      <c r="AQ487" s="40">
        <f>AQ486*(1-IF(B486&gt;=in_marketplace_from,d_hz_two_wheeler*G486,0))</f>
        <v/>
      </c>
      <c r="AR487" s="46">
        <f>AQ487*IF(B487&gt;=in_marketplace_from,d_hz_two_wheeler*G487,0)</f>
        <v/>
      </c>
      <c r="AS487" s="14">
        <f>F487*AR487*in_two_wheeler_ticket*in_two_wheeler_comm*in_ins_partner_share+F487*in_two_wheeler_ticket*in_two_wheeler_comm*in_ins_partner_share*(in_two_wheeler_renew^1*SUMIFS(AR454:AR505,B454:B505,B487-12)+in_two_wheeler_renew^2*SUMIFS(AR454:AR505,B454:B505,B487-24)+in_two_wheeler_renew^3*SUMIFS(AR454:AR505,B454:B505,B487-36)+in_two_wheeler_renew^4*SUMIFS(AR454:AR505,B454:B505,B487-48))</f>
        <v/>
      </c>
      <c r="AT487" s="40">
        <f>AT486*(1-IF(B486&gt;=in_marketplace_from,d_hz_device*G486,0))</f>
        <v/>
      </c>
      <c r="AU487" s="14">
        <f>F487*AT487*IF(B487&gt;=in_marketplace_from,d_hz_device*G487,0)*in_device_ticket*in_device_comm*in_ins_partner_share</f>
        <v/>
      </c>
      <c r="AV487" s="40">
        <f>AV486*(1-IF(B486&gt;=in_marketplace_from,d_hz_shop*G486,0))</f>
        <v/>
      </c>
      <c r="AW487" s="46">
        <f>AV487*IF(B487&gt;=in_marketplace_from,d_hz_shop*G487,0)</f>
        <v/>
      </c>
      <c r="AX487" s="14">
        <f>F487*AW487*in_shop_ticket*in_shop_comm*in_ins_partner_share+F487*in_shop_ticket*in_shop_renew_comm*in_ins_partner_share*(in_shop_renew^1*SUMIFS(AW454:AW505,B454:B505,B487-12)+in_shop_renew^2*SUMIFS(AW454:AW505,B454:B505,B487-24)+in_shop_renew^3*SUMIFS(AW454:AW505,B454:B505,B487-36)+in_shop_renew^4*SUMIFS(AW454:AW505,B454:B505,B487-48))</f>
        <v/>
      </c>
      <c r="AY487" s="40">
        <f>AY486*(1-IF(B486&gt;=in_marketplace_from,d_hz_sip*G486,0))</f>
        <v/>
      </c>
      <c r="AZ487" s="40">
        <f>AZ486*d_rho_sip+AY487*IF(B487&gt;=in_marketplace_from,d_hz_sip*G487,0)</f>
        <v/>
      </c>
      <c r="BA487" s="40">
        <f>d_rho_sip*(BA486+AZ486)</f>
        <v/>
      </c>
      <c r="BB487" s="14">
        <f>F487*in_sip_ticket*(BA487+0.5*AZ487)*in_sip_comm/12</f>
        <v/>
      </c>
      <c r="BC487" s="40">
        <f>BC486*(1-IF(B486&gt;=in_marketplace_from,d_hz_choti*G486,0))</f>
        <v/>
      </c>
      <c r="BD487" s="46">
        <f>BC487*IF(B487&gt;=in_marketplace_from,d_hz_choti*G487,0)</f>
        <v/>
      </c>
      <c r="BE487" s="14">
        <f>F487*SUMIFS(BD454:BD505,B454:B505,B487-in_choti_months)*in_choti_renew*in_choti_ticket</f>
        <v/>
      </c>
      <c r="BF487" s="40">
        <f>BF486*(1-IF(B486&gt;=in_marketplace_from,d_hz_nps*G486,0))</f>
        <v/>
      </c>
      <c r="BG487" s="14">
        <f>F487*BF487*IF(B487&gt;=in_marketplace_from,d_hz_nps*G487,0)*in_nps_ticket*in_nps_comm</f>
        <v/>
      </c>
      <c r="BH487" s="40">
        <f>BH486*(1-IF(B486&gt;=in_marketplace_from,d_hz_gold*G486,0))</f>
        <v/>
      </c>
      <c r="BI487" s="40">
        <f>BI486*d_rho_gold+BH487*IF(B487&gt;=in_marketplace_from,d_hz_gold*G487,0)</f>
        <v/>
      </c>
      <c r="BJ487" s="14">
        <f>F487*BI487*in_gold_ticket*in_gold_comm</f>
        <v/>
      </c>
      <c r="BK487" s="40">
        <f>BK486*(1-IF(B486&gt;=in_marketplace_from,d_hz_fd*G486,0))</f>
        <v/>
      </c>
      <c r="BL487" s="14">
        <f>F487*BK487*IF(B487&gt;=in_marketplace_from,d_hz_fd*G487,0)*in_fd_ticket*in_fd_comm</f>
        <v/>
      </c>
      <c r="BM487" s="40">
        <f>BM486*(1-IF(B486&gt;=in_marketplace_from,d_hz_recharge*G486,0))</f>
        <v/>
      </c>
      <c r="BN487" s="40">
        <f>BN486*d_rho_recharge+BM487*IF(B487&gt;=in_marketplace_from,d_hz_recharge*G487,0)</f>
        <v/>
      </c>
      <c r="BO487" s="14">
        <f>F487*BN487*in_recharge_ticket*in_recharge_comm/12</f>
        <v/>
      </c>
      <c r="BP487" s="40">
        <f>BP486*(1-IF(B486&gt;=in_marketplace_from,d_hz_bills*G486,0))</f>
        <v/>
      </c>
      <c r="BQ487" s="40">
        <f>BQ486*d_rho_bills+BP487*IF(B487&gt;=in_marketplace_from,d_hz_bills*G487,0)</f>
        <v/>
      </c>
      <c r="BR487" s="14">
        <f>F487*BQ487*in_bills_ticket*in_bills_comm/12</f>
        <v/>
      </c>
      <c r="BS487" s="40">
        <f>BS486*(1-IF(B486&gt;=in_marketplace_from,d_hz_loan_gold*G486,0))</f>
        <v/>
      </c>
      <c r="BT487" s="14">
        <f>F487*BS487*IF(B487&gt;=in_marketplace_from,d_hz_loan_gold*G487,0)*in_loan_gold_ticket*in_loan_gold_comm</f>
        <v/>
      </c>
      <c r="BU487" s="40">
        <f>BU486*(1-IF(B486&gt;=in_marketplace_from,d_hz_loan_cd*G486,0))</f>
        <v/>
      </c>
      <c r="BV487" s="14">
        <f>F487*BU487*IF(B487&gt;=in_marketplace_from,d_hz_loan_cd*G487,0)*in_loan_cd_ticket*in_loan_cd_comm</f>
        <v/>
      </c>
      <c r="BW487" s="40">
        <f>BW486*(1-IF(B486&gt;=in_marketplace_from,d_hz_loan_vehicle*G486,0))</f>
        <v/>
      </c>
      <c r="BX487" s="14">
        <f>F487*BW487*IF(B487&gt;=in_marketplace_from,d_hz_loan_vehicle*G487,0)*in_loan_vehicle_ticket*in_loan_vehicle_comm</f>
        <v/>
      </c>
      <c r="BY487" s="40">
        <f>BY486*(1-IF(B486&gt;=in_marketplace_from,d_hz_loan_home*G486,0)*BZ486)</f>
        <v/>
      </c>
      <c r="BZ487" s="11">
        <f>MIN(in_approval_cap,in_loan_home_approval*INDEX('Age profile'!$O$2:$O$61,B487)*(1+in_approval_growth)^(D487-1))</f>
        <v/>
      </c>
      <c r="CA487" s="14">
        <f>F487*BY487*IF(B487&gt;=in_marketplace_from,d_hz_loan_home*G487,0)*BZ487*in_loan_home_ticket*in_loan_home_comm</f>
        <v/>
      </c>
      <c r="CB487" s="40">
        <f>CB486*(1-IF(B486&gt;=in_marketplace_from,d_hz_loan_lap*G486,0)*CC486)</f>
        <v/>
      </c>
      <c r="CC487" s="11">
        <f>MIN(in_approval_cap,in_loan_lap_approval*INDEX('Age profile'!$O$2:$O$61,B487)*(1+in_approval_growth)^(D487-1))</f>
        <v/>
      </c>
      <c r="CD487" s="14">
        <f>F487*CB487*IF(B487&gt;=in_marketplace_from,d_hz_loan_lap*G487,0)*CC487*in_loan_lap_ticket*in_loan_lap_comm</f>
        <v/>
      </c>
      <c r="CE487" s="14">
        <f>AA487+AB487+AC487+AD487+AG487+AJ487+AM487+AP487+AS487+AU487+AX487+BB487+BE487+BG487+BJ487+BL487+BO487+BR487+BT487+BV487+BX487+CA487+CD487</f>
        <v/>
      </c>
    </row>
    <row r="488">
      <c r="A488" s="39" t="n">
        <v>9</v>
      </c>
      <c r="B488" s="39" t="n">
        <v>35</v>
      </c>
      <c r="C488" s="39">
        <f>A488+B488-1</f>
        <v/>
      </c>
      <c r="D488" s="39">
        <f>INT((C488-1)/12)+1</f>
        <v/>
      </c>
      <c r="E488" s="44">
        <f>INDEX(Monthly!$B$2:$B$61,A488)</f>
        <v/>
      </c>
      <c r="F488" s="44">
        <f>E488*INDEX('Age profile'!$B$2:$B$61,B488)</f>
        <v/>
      </c>
      <c r="G488" s="45">
        <f>MIN(in_takeup_cap,INDEX('Age profile'!$N$2:$N$61,B488)*(1+in_takeup_growth)^(D488-1))</f>
        <v/>
      </c>
      <c r="H488" s="11">
        <f>MIN(in_approval_cap,in_approved_first*INDEX('Age profile'!$O$2:$O$61,B488)*(1+in_approval_growth)^(D488-1))</f>
        <v/>
      </c>
      <c r="I488" s="45">
        <f>G488*MIN(in_takeup_cap,INDEX('Age profile'!$O$2:$O$61,B488)*(1+in_approval_growth)^(D488-1))</f>
        <v/>
      </c>
      <c r="J488" s="40">
        <f>(J487-L487)*F488/F487</f>
        <v/>
      </c>
      <c r="K488" s="40">
        <f>(K487-M487)*F488/F487+SUMIFS(O454:O487,B454:B487,B488-1-d_T)*F488</f>
        <v/>
      </c>
      <c r="L488" s="40">
        <f>IF(B488&gt;=in_marketplace_from,J488*d_hz*G488*in_eligible*H488,0)</f>
        <v/>
      </c>
      <c r="M488" s="40">
        <f>IF(B488&gt;=in_marketplace_from,K488*d_hz*G488*in_eligible*in_approved_repeat,0)</f>
        <v/>
      </c>
      <c r="N488" s="40">
        <f>L488+M488</f>
        <v/>
      </c>
      <c r="O488" s="46">
        <f>N488/F488</f>
        <v/>
      </c>
      <c r="P488" s="40">
        <f>F488-J488-K488</f>
        <v/>
      </c>
      <c r="Q488" s="40">
        <f>IF(B488&gt;=in_marketplace_from,(J488+K488)*d_hz*G488,0)</f>
        <v/>
      </c>
      <c r="R488" s="40">
        <f>SUMIFS(N454:N505,B454:B505,"&gt;="&amp;(B488-d_T),B454:B505,"&lt;="&amp;(B488-1))</f>
        <v/>
      </c>
      <c r="S488" s="46">
        <f>(1-d_u)*S487+IF(d_T&gt;in_topup_lag,SUMIFS(O454:O505,B454:B505,B488-in_topup_lag)-d_udrop*SUMIFS(O454:O505,B454:B505,B488-d_T),0)</f>
        <v/>
      </c>
      <c r="T488" s="40">
        <f>F488*d_u*S488</f>
        <v/>
      </c>
      <c r="U488" s="9">
        <f>L488*in_ticket+M488*d_rep_ticket</f>
        <v/>
      </c>
      <c r="V488" s="9">
        <f>U488+T488*d_topup_amt</f>
        <v/>
      </c>
      <c r="W488" s="40">
        <f>N488+T488*d_topup_ratio</f>
        <v/>
      </c>
      <c r="X488" s="40">
        <f>SUMIFS(W454:W505,B454:B505,B488-in_dpd_lag)*d_cured</f>
        <v/>
      </c>
      <c r="Y488" s="40">
        <f>SUMIFS(W454:W505,B454:B505,B488-in_rec_lag)*d_recd</f>
        <v/>
      </c>
      <c r="Z488" s="40">
        <f>IF(AND(B488&gt;=in_marketplace_from,B488&lt;in_marketplace_from+in_card_months),in_card_share/in_card_months*F488*I488,IF(AND(B488&gt;=in_marketplace_from+in_card_months,B488&lt;in_marketplace_from+2*in_card_months),in_card_share*d_card_rem/in_card_months*F488*MIN(in_takeup_cap,(1+in_takeup_growth)^(D488-1))*MIN(in_takeup_cap,(1+in_approval_growth)^(D488-1)),0))</f>
        <v/>
      </c>
      <c r="AA488" s="14">
        <f>V488*in_fee*(1-in_taken_back)</f>
        <v/>
      </c>
      <c r="AB488" s="14">
        <f>SUMIFS(W454:W505,B454:B505,B488-in_dpd_lag)*d_dpd</f>
        <v/>
      </c>
      <c r="AC488" s="14">
        <f>SUMIFS(W454:W505,B454:B505,B488-in_rec_lag)*d_rec</f>
        <v/>
      </c>
      <c r="AD488" s="14">
        <f>Z488*in_card_fee</f>
        <v/>
      </c>
      <c r="AE488" s="40">
        <f>AE487*(1-IF(B487&gt;=in_marketplace_from,d_hz_hlth_small*G487,0))</f>
        <v/>
      </c>
      <c r="AF488" s="46">
        <f>AE488*IF(B488&gt;=in_marketplace_from,d_hz_hlth_small*G488,0)</f>
        <v/>
      </c>
      <c r="AG488" s="14">
        <f>F488*AF488*in_hlth_small_ticket*in_hlth_small_comm*in_ins_partner_share+F488*in_hlth_small_ticket*in_hlth_small_renew_comm*in_ins_partner_share*(in_hlth_small_renew^1*SUMIFS(AF454:AF505,B454:B505,B488-12)+in_hlth_small_renew^2*SUMIFS(AF454:AF505,B454:B505,B488-24)+in_hlth_small_renew^3*SUMIFS(AF454:AF505,B454:B505,B488-36)+in_hlth_small_renew^4*SUMIFS(AF454:AF505,B454:B505,B488-48))</f>
        <v/>
      </c>
      <c r="AH488" s="40">
        <f>AH487*(1-IF(B487&gt;=in_marketplace_from,d_hz_hlth_family*G487,0))</f>
        <v/>
      </c>
      <c r="AI488" s="46">
        <f>AH488*IF(B488&gt;=in_marketplace_from,d_hz_hlth_family*G488,0)</f>
        <v/>
      </c>
      <c r="AJ488" s="14">
        <f>F488*AI488*in_hlth_family_ticket*in_hlth_family_comm*in_ins_partner_share+F488*in_hlth_family_ticket*in_hlth_family_renew_comm*in_ins_partner_share*(in_hlth_family_renew^1*SUMIFS(AI454:AI505,B454:B505,B488-12)+in_hlth_family_renew^2*SUMIFS(AI454:AI505,B454:B505,B488-24)+in_hlth_family_renew^3*SUMIFS(AI454:AI505,B454:B505,B488-36)+in_hlth_family_renew^4*SUMIFS(AI454:AI505,B454:B505,B488-48))</f>
        <v/>
      </c>
      <c r="AK488" s="40">
        <f>AK487*(1-IF(B487&gt;=in_marketplace_from,d_hz_life_term*G487,0))</f>
        <v/>
      </c>
      <c r="AL488" s="46">
        <f>AK488*IF(B488&gt;=in_marketplace_from,d_hz_life_term*G488,0)</f>
        <v/>
      </c>
      <c r="AM488" s="14">
        <f>F488*AL488*in_life_term_ticket*in_life_term_comm*in_ins_partner_share+F488*in_life_term_ticket*in_life_term_renew_comm*in_ins_partner_share*(in_life_term_renew^1*SUMIFS(AL454:AL505,B454:B505,B488-12)+in_life_term_renew^2*SUMIFS(AL454:AL505,B454:B505,B488-24)+in_life_term_renew^3*SUMIFS(AL454:AL505,B454:B505,B488-36)+in_life_term_renew^4*SUMIFS(AL454:AL505,B454:B505,B488-48))</f>
        <v/>
      </c>
      <c r="AN488" s="40">
        <f>AN487*(1-IF(B487&gt;=in_marketplace_from,d_hz_accident*G487,0))</f>
        <v/>
      </c>
      <c r="AO488" s="46">
        <f>AN488*IF(B488&gt;=in_marketplace_from,d_hz_accident*G488,0)</f>
        <v/>
      </c>
      <c r="AP488" s="14">
        <f>F488*AO488*in_accident_ticket*in_accident_comm*in_ins_partner_share+F488*in_accident_ticket*in_accident_renew_comm*in_ins_partner_share*(in_accident_renew^1*SUMIFS(AO454:AO505,B454:B505,B488-12)+in_accident_renew^2*SUMIFS(AO454:AO505,B454:B505,B488-24)+in_accident_renew^3*SUMIFS(AO454:AO505,B454:B505,B488-36)+in_accident_renew^4*SUMIFS(AO454:AO505,B454:B505,B488-48))</f>
        <v/>
      </c>
      <c r="AQ488" s="40">
        <f>AQ487*(1-IF(B487&gt;=in_marketplace_from,d_hz_two_wheeler*G487,0))</f>
        <v/>
      </c>
      <c r="AR488" s="46">
        <f>AQ488*IF(B488&gt;=in_marketplace_from,d_hz_two_wheeler*G488,0)</f>
        <v/>
      </c>
      <c r="AS488" s="14">
        <f>F488*AR488*in_two_wheeler_ticket*in_two_wheeler_comm*in_ins_partner_share+F488*in_two_wheeler_ticket*in_two_wheeler_comm*in_ins_partner_share*(in_two_wheeler_renew^1*SUMIFS(AR454:AR505,B454:B505,B488-12)+in_two_wheeler_renew^2*SUMIFS(AR454:AR505,B454:B505,B488-24)+in_two_wheeler_renew^3*SUMIFS(AR454:AR505,B454:B505,B488-36)+in_two_wheeler_renew^4*SUMIFS(AR454:AR505,B454:B505,B488-48))</f>
        <v/>
      </c>
      <c r="AT488" s="40">
        <f>AT487*(1-IF(B487&gt;=in_marketplace_from,d_hz_device*G487,0))</f>
        <v/>
      </c>
      <c r="AU488" s="14">
        <f>F488*AT488*IF(B488&gt;=in_marketplace_from,d_hz_device*G488,0)*in_device_ticket*in_device_comm*in_ins_partner_share</f>
        <v/>
      </c>
      <c r="AV488" s="40">
        <f>AV487*(1-IF(B487&gt;=in_marketplace_from,d_hz_shop*G487,0))</f>
        <v/>
      </c>
      <c r="AW488" s="46">
        <f>AV488*IF(B488&gt;=in_marketplace_from,d_hz_shop*G488,0)</f>
        <v/>
      </c>
      <c r="AX488" s="14">
        <f>F488*AW488*in_shop_ticket*in_shop_comm*in_ins_partner_share+F488*in_shop_ticket*in_shop_renew_comm*in_ins_partner_share*(in_shop_renew^1*SUMIFS(AW454:AW505,B454:B505,B488-12)+in_shop_renew^2*SUMIFS(AW454:AW505,B454:B505,B488-24)+in_shop_renew^3*SUMIFS(AW454:AW505,B454:B505,B488-36)+in_shop_renew^4*SUMIFS(AW454:AW505,B454:B505,B488-48))</f>
        <v/>
      </c>
      <c r="AY488" s="40">
        <f>AY487*(1-IF(B487&gt;=in_marketplace_from,d_hz_sip*G487,0))</f>
        <v/>
      </c>
      <c r="AZ488" s="40">
        <f>AZ487*d_rho_sip+AY488*IF(B488&gt;=in_marketplace_from,d_hz_sip*G488,0)</f>
        <v/>
      </c>
      <c r="BA488" s="40">
        <f>d_rho_sip*(BA487+AZ487)</f>
        <v/>
      </c>
      <c r="BB488" s="14">
        <f>F488*in_sip_ticket*(BA488+0.5*AZ488)*in_sip_comm/12</f>
        <v/>
      </c>
      <c r="BC488" s="40">
        <f>BC487*(1-IF(B487&gt;=in_marketplace_from,d_hz_choti*G487,0))</f>
        <v/>
      </c>
      <c r="BD488" s="46">
        <f>BC488*IF(B488&gt;=in_marketplace_from,d_hz_choti*G488,0)</f>
        <v/>
      </c>
      <c r="BE488" s="14">
        <f>F488*SUMIFS(BD454:BD505,B454:B505,B488-in_choti_months)*in_choti_renew*in_choti_ticket</f>
        <v/>
      </c>
      <c r="BF488" s="40">
        <f>BF487*(1-IF(B487&gt;=in_marketplace_from,d_hz_nps*G487,0))</f>
        <v/>
      </c>
      <c r="BG488" s="14">
        <f>F488*BF488*IF(B488&gt;=in_marketplace_from,d_hz_nps*G488,0)*in_nps_ticket*in_nps_comm</f>
        <v/>
      </c>
      <c r="BH488" s="40">
        <f>BH487*(1-IF(B487&gt;=in_marketplace_from,d_hz_gold*G487,0))</f>
        <v/>
      </c>
      <c r="BI488" s="40">
        <f>BI487*d_rho_gold+BH488*IF(B488&gt;=in_marketplace_from,d_hz_gold*G488,0)</f>
        <v/>
      </c>
      <c r="BJ488" s="14">
        <f>F488*BI488*in_gold_ticket*in_gold_comm</f>
        <v/>
      </c>
      <c r="BK488" s="40">
        <f>BK487*(1-IF(B487&gt;=in_marketplace_from,d_hz_fd*G487,0))</f>
        <v/>
      </c>
      <c r="BL488" s="14">
        <f>F488*BK488*IF(B488&gt;=in_marketplace_from,d_hz_fd*G488,0)*in_fd_ticket*in_fd_comm</f>
        <v/>
      </c>
      <c r="BM488" s="40">
        <f>BM487*(1-IF(B487&gt;=in_marketplace_from,d_hz_recharge*G487,0))</f>
        <v/>
      </c>
      <c r="BN488" s="40">
        <f>BN487*d_rho_recharge+BM488*IF(B488&gt;=in_marketplace_from,d_hz_recharge*G488,0)</f>
        <v/>
      </c>
      <c r="BO488" s="14">
        <f>F488*BN488*in_recharge_ticket*in_recharge_comm/12</f>
        <v/>
      </c>
      <c r="BP488" s="40">
        <f>BP487*(1-IF(B487&gt;=in_marketplace_from,d_hz_bills*G487,0))</f>
        <v/>
      </c>
      <c r="BQ488" s="40">
        <f>BQ487*d_rho_bills+BP488*IF(B488&gt;=in_marketplace_from,d_hz_bills*G488,0)</f>
        <v/>
      </c>
      <c r="BR488" s="14">
        <f>F488*BQ488*in_bills_ticket*in_bills_comm/12</f>
        <v/>
      </c>
      <c r="BS488" s="40">
        <f>BS487*(1-IF(B487&gt;=in_marketplace_from,d_hz_loan_gold*G487,0))</f>
        <v/>
      </c>
      <c r="BT488" s="14">
        <f>F488*BS488*IF(B488&gt;=in_marketplace_from,d_hz_loan_gold*G488,0)*in_loan_gold_ticket*in_loan_gold_comm</f>
        <v/>
      </c>
      <c r="BU488" s="40">
        <f>BU487*(1-IF(B487&gt;=in_marketplace_from,d_hz_loan_cd*G487,0))</f>
        <v/>
      </c>
      <c r="BV488" s="14">
        <f>F488*BU488*IF(B488&gt;=in_marketplace_from,d_hz_loan_cd*G488,0)*in_loan_cd_ticket*in_loan_cd_comm</f>
        <v/>
      </c>
      <c r="BW488" s="40">
        <f>BW487*(1-IF(B487&gt;=in_marketplace_from,d_hz_loan_vehicle*G487,0))</f>
        <v/>
      </c>
      <c r="BX488" s="14">
        <f>F488*BW488*IF(B488&gt;=in_marketplace_from,d_hz_loan_vehicle*G488,0)*in_loan_vehicle_ticket*in_loan_vehicle_comm</f>
        <v/>
      </c>
      <c r="BY488" s="40">
        <f>BY487*(1-IF(B487&gt;=in_marketplace_from,d_hz_loan_home*G487,0)*BZ487)</f>
        <v/>
      </c>
      <c r="BZ488" s="11">
        <f>MIN(in_approval_cap,in_loan_home_approval*INDEX('Age profile'!$O$2:$O$61,B488)*(1+in_approval_growth)^(D488-1))</f>
        <v/>
      </c>
      <c r="CA488" s="14">
        <f>F488*BY488*IF(B488&gt;=in_marketplace_from,d_hz_loan_home*G488,0)*BZ488*in_loan_home_ticket*in_loan_home_comm</f>
        <v/>
      </c>
      <c r="CB488" s="40">
        <f>CB487*(1-IF(B487&gt;=in_marketplace_from,d_hz_loan_lap*G487,0)*CC487)</f>
        <v/>
      </c>
      <c r="CC488" s="11">
        <f>MIN(in_approval_cap,in_loan_lap_approval*INDEX('Age profile'!$O$2:$O$61,B488)*(1+in_approval_growth)^(D488-1))</f>
        <v/>
      </c>
      <c r="CD488" s="14">
        <f>F488*CB488*IF(B488&gt;=in_marketplace_from,d_hz_loan_lap*G488,0)*CC488*in_loan_lap_ticket*in_loan_lap_comm</f>
        <v/>
      </c>
      <c r="CE488" s="14">
        <f>AA488+AB488+AC488+AD488+AG488+AJ488+AM488+AP488+AS488+AU488+AX488+BB488+BE488+BG488+BJ488+BL488+BO488+BR488+BT488+BV488+BX488+CA488+CD488</f>
        <v/>
      </c>
    </row>
    <row r="489">
      <c r="A489" s="39" t="n">
        <v>9</v>
      </c>
      <c r="B489" s="39" t="n">
        <v>36</v>
      </c>
      <c r="C489" s="39">
        <f>A489+B489-1</f>
        <v/>
      </c>
      <c r="D489" s="39">
        <f>INT((C489-1)/12)+1</f>
        <v/>
      </c>
      <c r="E489" s="44">
        <f>INDEX(Monthly!$B$2:$B$61,A489)</f>
        <v/>
      </c>
      <c r="F489" s="44">
        <f>E489*INDEX('Age profile'!$B$2:$B$61,B489)</f>
        <v/>
      </c>
      <c r="G489" s="45">
        <f>MIN(in_takeup_cap,INDEX('Age profile'!$N$2:$N$61,B489)*(1+in_takeup_growth)^(D489-1))</f>
        <v/>
      </c>
      <c r="H489" s="11">
        <f>MIN(in_approval_cap,in_approved_first*INDEX('Age profile'!$O$2:$O$61,B489)*(1+in_approval_growth)^(D489-1))</f>
        <v/>
      </c>
      <c r="I489" s="45">
        <f>G489*MIN(in_takeup_cap,INDEX('Age profile'!$O$2:$O$61,B489)*(1+in_approval_growth)^(D489-1))</f>
        <v/>
      </c>
      <c r="J489" s="40">
        <f>(J488-L488)*F489/F488</f>
        <v/>
      </c>
      <c r="K489" s="40">
        <f>(K488-M488)*F489/F488+SUMIFS(O454:O488,B454:B488,B489-1-d_T)*F489</f>
        <v/>
      </c>
      <c r="L489" s="40">
        <f>IF(B489&gt;=in_marketplace_from,J489*d_hz*G489*in_eligible*H489,0)</f>
        <v/>
      </c>
      <c r="M489" s="40">
        <f>IF(B489&gt;=in_marketplace_from,K489*d_hz*G489*in_eligible*in_approved_repeat,0)</f>
        <v/>
      </c>
      <c r="N489" s="40">
        <f>L489+M489</f>
        <v/>
      </c>
      <c r="O489" s="46">
        <f>N489/F489</f>
        <v/>
      </c>
      <c r="P489" s="40">
        <f>F489-J489-K489</f>
        <v/>
      </c>
      <c r="Q489" s="40">
        <f>IF(B489&gt;=in_marketplace_from,(J489+K489)*d_hz*G489,0)</f>
        <v/>
      </c>
      <c r="R489" s="40">
        <f>SUMIFS(N454:N505,B454:B505,"&gt;="&amp;(B489-d_T),B454:B505,"&lt;="&amp;(B489-1))</f>
        <v/>
      </c>
      <c r="S489" s="46">
        <f>(1-d_u)*S488+IF(d_T&gt;in_topup_lag,SUMIFS(O454:O505,B454:B505,B489-in_topup_lag)-d_udrop*SUMIFS(O454:O505,B454:B505,B489-d_T),0)</f>
        <v/>
      </c>
      <c r="T489" s="40">
        <f>F489*d_u*S489</f>
        <v/>
      </c>
      <c r="U489" s="9">
        <f>L489*in_ticket+M489*d_rep_ticket</f>
        <v/>
      </c>
      <c r="V489" s="9">
        <f>U489+T489*d_topup_amt</f>
        <v/>
      </c>
      <c r="W489" s="40">
        <f>N489+T489*d_topup_ratio</f>
        <v/>
      </c>
      <c r="X489" s="40">
        <f>SUMIFS(W454:W505,B454:B505,B489-in_dpd_lag)*d_cured</f>
        <v/>
      </c>
      <c r="Y489" s="40">
        <f>SUMIFS(W454:W505,B454:B505,B489-in_rec_lag)*d_recd</f>
        <v/>
      </c>
      <c r="Z489" s="40">
        <f>IF(AND(B489&gt;=in_marketplace_from,B489&lt;in_marketplace_from+in_card_months),in_card_share/in_card_months*F489*I489,IF(AND(B489&gt;=in_marketplace_from+in_card_months,B489&lt;in_marketplace_from+2*in_card_months),in_card_share*d_card_rem/in_card_months*F489*MIN(in_takeup_cap,(1+in_takeup_growth)^(D489-1))*MIN(in_takeup_cap,(1+in_approval_growth)^(D489-1)),0))</f>
        <v/>
      </c>
      <c r="AA489" s="14">
        <f>V489*in_fee*(1-in_taken_back)</f>
        <v/>
      </c>
      <c r="AB489" s="14">
        <f>SUMIFS(W454:W505,B454:B505,B489-in_dpd_lag)*d_dpd</f>
        <v/>
      </c>
      <c r="AC489" s="14">
        <f>SUMIFS(W454:W505,B454:B505,B489-in_rec_lag)*d_rec</f>
        <v/>
      </c>
      <c r="AD489" s="14">
        <f>Z489*in_card_fee</f>
        <v/>
      </c>
      <c r="AE489" s="40">
        <f>AE488*(1-IF(B488&gt;=in_marketplace_from,d_hz_hlth_small*G488,0))</f>
        <v/>
      </c>
      <c r="AF489" s="46">
        <f>AE489*IF(B489&gt;=in_marketplace_from,d_hz_hlth_small*G489,0)</f>
        <v/>
      </c>
      <c r="AG489" s="14">
        <f>F489*AF489*in_hlth_small_ticket*in_hlth_small_comm*in_ins_partner_share+F489*in_hlth_small_ticket*in_hlth_small_renew_comm*in_ins_partner_share*(in_hlth_small_renew^1*SUMIFS(AF454:AF505,B454:B505,B489-12)+in_hlth_small_renew^2*SUMIFS(AF454:AF505,B454:B505,B489-24)+in_hlth_small_renew^3*SUMIFS(AF454:AF505,B454:B505,B489-36)+in_hlth_small_renew^4*SUMIFS(AF454:AF505,B454:B505,B489-48))</f>
        <v/>
      </c>
      <c r="AH489" s="40">
        <f>AH488*(1-IF(B488&gt;=in_marketplace_from,d_hz_hlth_family*G488,0))</f>
        <v/>
      </c>
      <c r="AI489" s="46">
        <f>AH489*IF(B489&gt;=in_marketplace_from,d_hz_hlth_family*G489,0)</f>
        <v/>
      </c>
      <c r="AJ489" s="14">
        <f>F489*AI489*in_hlth_family_ticket*in_hlth_family_comm*in_ins_partner_share+F489*in_hlth_family_ticket*in_hlth_family_renew_comm*in_ins_partner_share*(in_hlth_family_renew^1*SUMIFS(AI454:AI505,B454:B505,B489-12)+in_hlth_family_renew^2*SUMIFS(AI454:AI505,B454:B505,B489-24)+in_hlth_family_renew^3*SUMIFS(AI454:AI505,B454:B505,B489-36)+in_hlth_family_renew^4*SUMIFS(AI454:AI505,B454:B505,B489-48))</f>
        <v/>
      </c>
      <c r="AK489" s="40">
        <f>AK488*(1-IF(B488&gt;=in_marketplace_from,d_hz_life_term*G488,0))</f>
        <v/>
      </c>
      <c r="AL489" s="46">
        <f>AK489*IF(B489&gt;=in_marketplace_from,d_hz_life_term*G489,0)</f>
        <v/>
      </c>
      <c r="AM489" s="14">
        <f>F489*AL489*in_life_term_ticket*in_life_term_comm*in_ins_partner_share+F489*in_life_term_ticket*in_life_term_renew_comm*in_ins_partner_share*(in_life_term_renew^1*SUMIFS(AL454:AL505,B454:B505,B489-12)+in_life_term_renew^2*SUMIFS(AL454:AL505,B454:B505,B489-24)+in_life_term_renew^3*SUMIFS(AL454:AL505,B454:B505,B489-36)+in_life_term_renew^4*SUMIFS(AL454:AL505,B454:B505,B489-48))</f>
        <v/>
      </c>
      <c r="AN489" s="40">
        <f>AN488*(1-IF(B488&gt;=in_marketplace_from,d_hz_accident*G488,0))</f>
        <v/>
      </c>
      <c r="AO489" s="46">
        <f>AN489*IF(B489&gt;=in_marketplace_from,d_hz_accident*G489,0)</f>
        <v/>
      </c>
      <c r="AP489" s="14">
        <f>F489*AO489*in_accident_ticket*in_accident_comm*in_ins_partner_share+F489*in_accident_ticket*in_accident_renew_comm*in_ins_partner_share*(in_accident_renew^1*SUMIFS(AO454:AO505,B454:B505,B489-12)+in_accident_renew^2*SUMIFS(AO454:AO505,B454:B505,B489-24)+in_accident_renew^3*SUMIFS(AO454:AO505,B454:B505,B489-36)+in_accident_renew^4*SUMIFS(AO454:AO505,B454:B505,B489-48))</f>
        <v/>
      </c>
      <c r="AQ489" s="40">
        <f>AQ488*(1-IF(B488&gt;=in_marketplace_from,d_hz_two_wheeler*G488,0))</f>
        <v/>
      </c>
      <c r="AR489" s="46">
        <f>AQ489*IF(B489&gt;=in_marketplace_from,d_hz_two_wheeler*G489,0)</f>
        <v/>
      </c>
      <c r="AS489" s="14">
        <f>F489*AR489*in_two_wheeler_ticket*in_two_wheeler_comm*in_ins_partner_share+F489*in_two_wheeler_ticket*in_two_wheeler_comm*in_ins_partner_share*(in_two_wheeler_renew^1*SUMIFS(AR454:AR505,B454:B505,B489-12)+in_two_wheeler_renew^2*SUMIFS(AR454:AR505,B454:B505,B489-24)+in_two_wheeler_renew^3*SUMIFS(AR454:AR505,B454:B505,B489-36)+in_two_wheeler_renew^4*SUMIFS(AR454:AR505,B454:B505,B489-48))</f>
        <v/>
      </c>
      <c r="AT489" s="40">
        <f>AT488*(1-IF(B488&gt;=in_marketplace_from,d_hz_device*G488,0))</f>
        <v/>
      </c>
      <c r="AU489" s="14">
        <f>F489*AT489*IF(B489&gt;=in_marketplace_from,d_hz_device*G489,0)*in_device_ticket*in_device_comm*in_ins_partner_share</f>
        <v/>
      </c>
      <c r="AV489" s="40">
        <f>AV488*(1-IF(B488&gt;=in_marketplace_from,d_hz_shop*G488,0))</f>
        <v/>
      </c>
      <c r="AW489" s="46">
        <f>AV489*IF(B489&gt;=in_marketplace_from,d_hz_shop*G489,0)</f>
        <v/>
      </c>
      <c r="AX489" s="14">
        <f>F489*AW489*in_shop_ticket*in_shop_comm*in_ins_partner_share+F489*in_shop_ticket*in_shop_renew_comm*in_ins_partner_share*(in_shop_renew^1*SUMIFS(AW454:AW505,B454:B505,B489-12)+in_shop_renew^2*SUMIFS(AW454:AW505,B454:B505,B489-24)+in_shop_renew^3*SUMIFS(AW454:AW505,B454:B505,B489-36)+in_shop_renew^4*SUMIFS(AW454:AW505,B454:B505,B489-48))</f>
        <v/>
      </c>
      <c r="AY489" s="40">
        <f>AY488*(1-IF(B488&gt;=in_marketplace_from,d_hz_sip*G488,0))</f>
        <v/>
      </c>
      <c r="AZ489" s="40">
        <f>AZ488*d_rho_sip+AY489*IF(B489&gt;=in_marketplace_from,d_hz_sip*G489,0)</f>
        <v/>
      </c>
      <c r="BA489" s="40">
        <f>d_rho_sip*(BA488+AZ488)</f>
        <v/>
      </c>
      <c r="BB489" s="14">
        <f>F489*in_sip_ticket*(BA489+0.5*AZ489)*in_sip_comm/12</f>
        <v/>
      </c>
      <c r="BC489" s="40">
        <f>BC488*(1-IF(B488&gt;=in_marketplace_from,d_hz_choti*G488,0))</f>
        <v/>
      </c>
      <c r="BD489" s="46">
        <f>BC489*IF(B489&gt;=in_marketplace_from,d_hz_choti*G489,0)</f>
        <v/>
      </c>
      <c r="BE489" s="14">
        <f>F489*SUMIFS(BD454:BD505,B454:B505,B489-in_choti_months)*in_choti_renew*in_choti_ticket</f>
        <v/>
      </c>
      <c r="BF489" s="40">
        <f>BF488*(1-IF(B488&gt;=in_marketplace_from,d_hz_nps*G488,0))</f>
        <v/>
      </c>
      <c r="BG489" s="14">
        <f>F489*BF489*IF(B489&gt;=in_marketplace_from,d_hz_nps*G489,0)*in_nps_ticket*in_nps_comm</f>
        <v/>
      </c>
      <c r="BH489" s="40">
        <f>BH488*(1-IF(B488&gt;=in_marketplace_from,d_hz_gold*G488,0))</f>
        <v/>
      </c>
      <c r="BI489" s="40">
        <f>BI488*d_rho_gold+BH489*IF(B489&gt;=in_marketplace_from,d_hz_gold*G489,0)</f>
        <v/>
      </c>
      <c r="BJ489" s="14">
        <f>F489*BI489*in_gold_ticket*in_gold_comm</f>
        <v/>
      </c>
      <c r="BK489" s="40">
        <f>BK488*(1-IF(B488&gt;=in_marketplace_from,d_hz_fd*G488,0))</f>
        <v/>
      </c>
      <c r="BL489" s="14">
        <f>F489*BK489*IF(B489&gt;=in_marketplace_from,d_hz_fd*G489,0)*in_fd_ticket*in_fd_comm</f>
        <v/>
      </c>
      <c r="BM489" s="40">
        <f>BM488*(1-IF(B488&gt;=in_marketplace_from,d_hz_recharge*G488,0))</f>
        <v/>
      </c>
      <c r="BN489" s="40">
        <f>BN488*d_rho_recharge+BM489*IF(B489&gt;=in_marketplace_from,d_hz_recharge*G489,0)</f>
        <v/>
      </c>
      <c r="BO489" s="14">
        <f>F489*BN489*in_recharge_ticket*in_recharge_comm/12</f>
        <v/>
      </c>
      <c r="BP489" s="40">
        <f>BP488*(1-IF(B488&gt;=in_marketplace_from,d_hz_bills*G488,0))</f>
        <v/>
      </c>
      <c r="BQ489" s="40">
        <f>BQ488*d_rho_bills+BP489*IF(B489&gt;=in_marketplace_from,d_hz_bills*G489,0)</f>
        <v/>
      </c>
      <c r="BR489" s="14">
        <f>F489*BQ489*in_bills_ticket*in_bills_comm/12</f>
        <v/>
      </c>
      <c r="BS489" s="40">
        <f>BS488*(1-IF(B488&gt;=in_marketplace_from,d_hz_loan_gold*G488,0))</f>
        <v/>
      </c>
      <c r="BT489" s="14">
        <f>F489*BS489*IF(B489&gt;=in_marketplace_from,d_hz_loan_gold*G489,0)*in_loan_gold_ticket*in_loan_gold_comm</f>
        <v/>
      </c>
      <c r="BU489" s="40">
        <f>BU488*(1-IF(B488&gt;=in_marketplace_from,d_hz_loan_cd*G488,0))</f>
        <v/>
      </c>
      <c r="BV489" s="14">
        <f>F489*BU489*IF(B489&gt;=in_marketplace_from,d_hz_loan_cd*G489,0)*in_loan_cd_ticket*in_loan_cd_comm</f>
        <v/>
      </c>
      <c r="BW489" s="40">
        <f>BW488*(1-IF(B488&gt;=in_marketplace_from,d_hz_loan_vehicle*G488,0))</f>
        <v/>
      </c>
      <c r="BX489" s="14">
        <f>F489*BW489*IF(B489&gt;=in_marketplace_from,d_hz_loan_vehicle*G489,0)*in_loan_vehicle_ticket*in_loan_vehicle_comm</f>
        <v/>
      </c>
      <c r="BY489" s="40">
        <f>BY488*(1-IF(B488&gt;=in_marketplace_from,d_hz_loan_home*G488,0)*BZ488)</f>
        <v/>
      </c>
      <c r="BZ489" s="11">
        <f>MIN(in_approval_cap,in_loan_home_approval*INDEX('Age profile'!$O$2:$O$61,B489)*(1+in_approval_growth)^(D489-1))</f>
        <v/>
      </c>
      <c r="CA489" s="14">
        <f>F489*BY489*IF(B489&gt;=in_marketplace_from,d_hz_loan_home*G489,0)*BZ489*in_loan_home_ticket*in_loan_home_comm</f>
        <v/>
      </c>
      <c r="CB489" s="40">
        <f>CB488*(1-IF(B488&gt;=in_marketplace_from,d_hz_loan_lap*G488,0)*CC488)</f>
        <v/>
      </c>
      <c r="CC489" s="11">
        <f>MIN(in_approval_cap,in_loan_lap_approval*INDEX('Age profile'!$O$2:$O$61,B489)*(1+in_approval_growth)^(D489-1))</f>
        <v/>
      </c>
      <c r="CD489" s="14">
        <f>F489*CB489*IF(B489&gt;=in_marketplace_from,d_hz_loan_lap*G489,0)*CC489*in_loan_lap_ticket*in_loan_lap_comm</f>
        <v/>
      </c>
      <c r="CE489" s="14">
        <f>AA489+AB489+AC489+AD489+AG489+AJ489+AM489+AP489+AS489+AU489+AX489+BB489+BE489+BG489+BJ489+BL489+BO489+BR489+BT489+BV489+BX489+CA489+CD489</f>
        <v/>
      </c>
    </row>
    <row r="490">
      <c r="A490" s="39" t="n">
        <v>9</v>
      </c>
      <c r="B490" s="39" t="n">
        <v>37</v>
      </c>
      <c r="C490" s="39">
        <f>A490+B490-1</f>
        <v/>
      </c>
      <c r="D490" s="39">
        <f>INT((C490-1)/12)+1</f>
        <v/>
      </c>
      <c r="E490" s="44">
        <f>INDEX(Monthly!$B$2:$B$61,A490)</f>
        <v/>
      </c>
      <c r="F490" s="44">
        <f>E490*INDEX('Age profile'!$B$2:$B$61,B490)</f>
        <v/>
      </c>
      <c r="G490" s="45">
        <f>MIN(in_takeup_cap,INDEX('Age profile'!$N$2:$N$61,B490)*(1+in_takeup_growth)^(D490-1))</f>
        <v/>
      </c>
      <c r="H490" s="11">
        <f>MIN(in_approval_cap,in_approved_first*INDEX('Age profile'!$O$2:$O$61,B490)*(1+in_approval_growth)^(D490-1))</f>
        <v/>
      </c>
      <c r="I490" s="45">
        <f>G490*MIN(in_takeup_cap,INDEX('Age profile'!$O$2:$O$61,B490)*(1+in_approval_growth)^(D490-1))</f>
        <v/>
      </c>
      <c r="J490" s="40">
        <f>(J489-L489)*F490/F489</f>
        <v/>
      </c>
      <c r="K490" s="40">
        <f>(K489-M489)*F490/F489+SUMIFS(O454:O489,B454:B489,B490-1-d_T)*F490</f>
        <v/>
      </c>
      <c r="L490" s="40">
        <f>IF(B490&gt;=in_marketplace_from,J490*d_hz*G490*in_eligible*H490,0)</f>
        <v/>
      </c>
      <c r="M490" s="40">
        <f>IF(B490&gt;=in_marketplace_from,K490*d_hz*G490*in_eligible*in_approved_repeat,0)</f>
        <v/>
      </c>
      <c r="N490" s="40">
        <f>L490+M490</f>
        <v/>
      </c>
      <c r="O490" s="46">
        <f>N490/F490</f>
        <v/>
      </c>
      <c r="P490" s="40">
        <f>F490-J490-K490</f>
        <v/>
      </c>
      <c r="Q490" s="40">
        <f>IF(B490&gt;=in_marketplace_from,(J490+K490)*d_hz*G490,0)</f>
        <v/>
      </c>
      <c r="R490" s="40">
        <f>SUMIFS(N454:N505,B454:B505,"&gt;="&amp;(B490-d_T),B454:B505,"&lt;="&amp;(B490-1))</f>
        <v/>
      </c>
      <c r="S490" s="46">
        <f>(1-d_u)*S489+IF(d_T&gt;in_topup_lag,SUMIFS(O454:O505,B454:B505,B490-in_topup_lag)-d_udrop*SUMIFS(O454:O505,B454:B505,B490-d_T),0)</f>
        <v/>
      </c>
      <c r="T490" s="40">
        <f>F490*d_u*S490</f>
        <v/>
      </c>
      <c r="U490" s="9">
        <f>L490*in_ticket+M490*d_rep_ticket</f>
        <v/>
      </c>
      <c r="V490" s="9">
        <f>U490+T490*d_topup_amt</f>
        <v/>
      </c>
      <c r="W490" s="40">
        <f>N490+T490*d_topup_ratio</f>
        <v/>
      </c>
      <c r="X490" s="40">
        <f>SUMIFS(W454:W505,B454:B505,B490-in_dpd_lag)*d_cured</f>
        <v/>
      </c>
      <c r="Y490" s="40">
        <f>SUMIFS(W454:W505,B454:B505,B490-in_rec_lag)*d_recd</f>
        <v/>
      </c>
      <c r="Z490" s="40">
        <f>IF(AND(B490&gt;=in_marketplace_from,B490&lt;in_marketplace_from+in_card_months),in_card_share/in_card_months*F490*I490,IF(AND(B490&gt;=in_marketplace_from+in_card_months,B490&lt;in_marketplace_from+2*in_card_months),in_card_share*d_card_rem/in_card_months*F490*MIN(in_takeup_cap,(1+in_takeup_growth)^(D490-1))*MIN(in_takeup_cap,(1+in_approval_growth)^(D490-1)),0))</f>
        <v/>
      </c>
      <c r="AA490" s="14">
        <f>V490*in_fee*(1-in_taken_back)</f>
        <v/>
      </c>
      <c r="AB490" s="14">
        <f>SUMIFS(W454:W505,B454:B505,B490-in_dpd_lag)*d_dpd</f>
        <v/>
      </c>
      <c r="AC490" s="14">
        <f>SUMIFS(W454:W505,B454:B505,B490-in_rec_lag)*d_rec</f>
        <v/>
      </c>
      <c r="AD490" s="14">
        <f>Z490*in_card_fee</f>
        <v/>
      </c>
      <c r="AE490" s="40">
        <f>AE489*(1-IF(B489&gt;=in_marketplace_from,d_hz_hlth_small*G489,0))</f>
        <v/>
      </c>
      <c r="AF490" s="46">
        <f>AE490*IF(B490&gt;=in_marketplace_from,d_hz_hlth_small*G490,0)</f>
        <v/>
      </c>
      <c r="AG490" s="14">
        <f>F490*AF490*in_hlth_small_ticket*in_hlth_small_comm*in_ins_partner_share+F490*in_hlth_small_ticket*in_hlth_small_renew_comm*in_ins_partner_share*(in_hlth_small_renew^1*SUMIFS(AF454:AF505,B454:B505,B490-12)+in_hlth_small_renew^2*SUMIFS(AF454:AF505,B454:B505,B490-24)+in_hlth_small_renew^3*SUMIFS(AF454:AF505,B454:B505,B490-36)+in_hlth_small_renew^4*SUMIFS(AF454:AF505,B454:B505,B490-48))</f>
        <v/>
      </c>
      <c r="AH490" s="40">
        <f>AH489*(1-IF(B489&gt;=in_marketplace_from,d_hz_hlth_family*G489,0))</f>
        <v/>
      </c>
      <c r="AI490" s="46">
        <f>AH490*IF(B490&gt;=in_marketplace_from,d_hz_hlth_family*G490,0)</f>
        <v/>
      </c>
      <c r="AJ490" s="14">
        <f>F490*AI490*in_hlth_family_ticket*in_hlth_family_comm*in_ins_partner_share+F490*in_hlth_family_ticket*in_hlth_family_renew_comm*in_ins_partner_share*(in_hlth_family_renew^1*SUMIFS(AI454:AI505,B454:B505,B490-12)+in_hlth_family_renew^2*SUMIFS(AI454:AI505,B454:B505,B490-24)+in_hlth_family_renew^3*SUMIFS(AI454:AI505,B454:B505,B490-36)+in_hlth_family_renew^4*SUMIFS(AI454:AI505,B454:B505,B490-48))</f>
        <v/>
      </c>
      <c r="AK490" s="40">
        <f>AK489*(1-IF(B489&gt;=in_marketplace_from,d_hz_life_term*G489,0))</f>
        <v/>
      </c>
      <c r="AL490" s="46">
        <f>AK490*IF(B490&gt;=in_marketplace_from,d_hz_life_term*G490,0)</f>
        <v/>
      </c>
      <c r="AM490" s="14">
        <f>F490*AL490*in_life_term_ticket*in_life_term_comm*in_ins_partner_share+F490*in_life_term_ticket*in_life_term_renew_comm*in_ins_partner_share*(in_life_term_renew^1*SUMIFS(AL454:AL505,B454:B505,B490-12)+in_life_term_renew^2*SUMIFS(AL454:AL505,B454:B505,B490-24)+in_life_term_renew^3*SUMIFS(AL454:AL505,B454:B505,B490-36)+in_life_term_renew^4*SUMIFS(AL454:AL505,B454:B505,B490-48))</f>
        <v/>
      </c>
      <c r="AN490" s="40">
        <f>AN489*(1-IF(B489&gt;=in_marketplace_from,d_hz_accident*G489,0))</f>
        <v/>
      </c>
      <c r="AO490" s="46">
        <f>AN490*IF(B490&gt;=in_marketplace_from,d_hz_accident*G490,0)</f>
        <v/>
      </c>
      <c r="AP490" s="14">
        <f>F490*AO490*in_accident_ticket*in_accident_comm*in_ins_partner_share+F490*in_accident_ticket*in_accident_renew_comm*in_ins_partner_share*(in_accident_renew^1*SUMIFS(AO454:AO505,B454:B505,B490-12)+in_accident_renew^2*SUMIFS(AO454:AO505,B454:B505,B490-24)+in_accident_renew^3*SUMIFS(AO454:AO505,B454:B505,B490-36)+in_accident_renew^4*SUMIFS(AO454:AO505,B454:B505,B490-48))</f>
        <v/>
      </c>
      <c r="AQ490" s="40">
        <f>AQ489*(1-IF(B489&gt;=in_marketplace_from,d_hz_two_wheeler*G489,0))</f>
        <v/>
      </c>
      <c r="AR490" s="46">
        <f>AQ490*IF(B490&gt;=in_marketplace_from,d_hz_two_wheeler*G490,0)</f>
        <v/>
      </c>
      <c r="AS490" s="14">
        <f>F490*AR490*in_two_wheeler_ticket*in_two_wheeler_comm*in_ins_partner_share+F490*in_two_wheeler_ticket*in_two_wheeler_comm*in_ins_partner_share*(in_two_wheeler_renew^1*SUMIFS(AR454:AR505,B454:B505,B490-12)+in_two_wheeler_renew^2*SUMIFS(AR454:AR505,B454:B505,B490-24)+in_two_wheeler_renew^3*SUMIFS(AR454:AR505,B454:B505,B490-36)+in_two_wheeler_renew^4*SUMIFS(AR454:AR505,B454:B505,B490-48))</f>
        <v/>
      </c>
      <c r="AT490" s="40">
        <f>AT489*(1-IF(B489&gt;=in_marketplace_from,d_hz_device*G489,0))</f>
        <v/>
      </c>
      <c r="AU490" s="14">
        <f>F490*AT490*IF(B490&gt;=in_marketplace_from,d_hz_device*G490,0)*in_device_ticket*in_device_comm*in_ins_partner_share</f>
        <v/>
      </c>
      <c r="AV490" s="40">
        <f>AV489*(1-IF(B489&gt;=in_marketplace_from,d_hz_shop*G489,0))</f>
        <v/>
      </c>
      <c r="AW490" s="46">
        <f>AV490*IF(B490&gt;=in_marketplace_from,d_hz_shop*G490,0)</f>
        <v/>
      </c>
      <c r="AX490" s="14">
        <f>F490*AW490*in_shop_ticket*in_shop_comm*in_ins_partner_share+F490*in_shop_ticket*in_shop_renew_comm*in_ins_partner_share*(in_shop_renew^1*SUMIFS(AW454:AW505,B454:B505,B490-12)+in_shop_renew^2*SUMIFS(AW454:AW505,B454:B505,B490-24)+in_shop_renew^3*SUMIFS(AW454:AW505,B454:B505,B490-36)+in_shop_renew^4*SUMIFS(AW454:AW505,B454:B505,B490-48))</f>
        <v/>
      </c>
      <c r="AY490" s="40">
        <f>AY489*(1-IF(B489&gt;=in_marketplace_from,d_hz_sip*G489,0))</f>
        <v/>
      </c>
      <c r="AZ490" s="40">
        <f>AZ489*d_rho_sip+AY490*IF(B490&gt;=in_marketplace_from,d_hz_sip*G490,0)</f>
        <v/>
      </c>
      <c r="BA490" s="40">
        <f>d_rho_sip*(BA489+AZ489)</f>
        <v/>
      </c>
      <c r="BB490" s="14">
        <f>F490*in_sip_ticket*(BA490+0.5*AZ490)*in_sip_comm/12</f>
        <v/>
      </c>
      <c r="BC490" s="40">
        <f>BC489*(1-IF(B489&gt;=in_marketplace_from,d_hz_choti*G489,0))</f>
        <v/>
      </c>
      <c r="BD490" s="46">
        <f>BC490*IF(B490&gt;=in_marketplace_from,d_hz_choti*G490,0)</f>
        <v/>
      </c>
      <c r="BE490" s="14">
        <f>F490*SUMIFS(BD454:BD505,B454:B505,B490-in_choti_months)*in_choti_renew*in_choti_ticket</f>
        <v/>
      </c>
      <c r="BF490" s="40">
        <f>BF489*(1-IF(B489&gt;=in_marketplace_from,d_hz_nps*G489,0))</f>
        <v/>
      </c>
      <c r="BG490" s="14">
        <f>F490*BF490*IF(B490&gt;=in_marketplace_from,d_hz_nps*G490,0)*in_nps_ticket*in_nps_comm</f>
        <v/>
      </c>
      <c r="BH490" s="40">
        <f>BH489*(1-IF(B489&gt;=in_marketplace_from,d_hz_gold*G489,0))</f>
        <v/>
      </c>
      <c r="BI490" s="40">
        <f>BI489*d_rho_gold+BH490*IF(B490&gt;=in_marketplace_from,d_hz_gold*G490,0)</f>
        <v/>
      </c>
      <c r="BJ490" s="14">
        <f>F490*BI490*in_gold_ticket*in_gold_comm</f>
        <v/>
      </c>
      <c r="BK490" s="40">
        <f>BK489*(1-IF(B489&gt;=in_marketplace_from,d_hz_fd*G489,0))</f>
        <v/>
      </c>
      <c r="BL490" s="14">
        <f>F490*BK490*IF(B490&gt;=in_marketplace_from,d_hz_fd*G490,0)*in_fd_ticket*in_fd_comm</f>
        <v/>
      </c>
      <c r="BM490" s="40">
        <f>BM489*(1-IF(B489&gt;=in_marketplace_from,d_hz_recharge*G489,0))</f>
        <v/>
      </c>
      <c r="BN490" s="40">
        <f>BN489*d_rho_recharge+BM490*IF(B490&gt;=in_marketplace_from,d_hz_recharge*G490,0)</f>
        <v/>
      </c>
      <c r="BO490" s="14">
        <f>F490*BN490*in_recharge_ticket*in_recharge_comm/12</f>
        <v/>
      </c>
      <c r="BP490" s="40">
        <f>BP489*(1-IF(B489&gt;=in_marketplace_from,d_hz_bills*G489,0))</f>
        <v/>
      </c>
      <c r="BQ490" s="40">
        <f>BQ489*d_rho_bills+BP490*IF(B490&gt;=in_marketplace_from,d_hz_bills*G490,0)</f>
        <v/>
      </c>
      <c r="BR490" s="14">
        <f>F490*BQ490*in_bills_ticket*in_bills_comm/12</f>
        <v/>
      </c>
      <c r="BS490" s="40">
        <f>BS489*(1-IF(B489&gt;=in_marketplace_from,d_hz_loan_gold*G489,0))</f>
        <v/>
      </c>
      <c r="BT490" s="14">
        <f>F490*BS490*IF(B490&gt;=in_marketplace_from,d_hz_loan_gold*G490,0)*in_loan_gold_ticket*in_loan_gold_comm</f>
        <v/>
      </c>
      <c r="BU490" s="40">
        <f>BU489*(1-IF(B489&gt;=in_marketplace_from,d_hz_loan_cd*G489,0))</f>
        <v/>
      </c>
      <c r="BV490" s="14">
        <f>F490*BU490*IF(B490&gt;=in_marketplace_from,d_hz_loan_cd*G490,0)*in_loan_cd_ticket*in_loan_cd_comm</f>
        <v/>
      </c>
      <c r="BW490" s="40">
        <f>BW489*(1-IF(B489&gt;=in_marketplace_from,d_hz_loan_vehicle*G489,0))</f>
        <v/>
      </c>
      <c r="BX490" s="14">
        <f>F490*BW490*IF(B490&gt;=in_marketplace_from,d_hz_loan_vehicle*G490,0)*in_loan_vehicle_ticket*in_loan_vehicle_comm</f>
        <v/>
      </c>
      <c r="BY490" s="40">
        <f>BY489*(1-IF(B489&gt;=in_marketplace_from,d_hz_loan_home*G489,0)*BZ489)</f>
        <v/>
      </c>
      <c r="BZ490" s="11">
        <f>MIN(in_approval_cap,in_loan_home_approval*INDEX('Age profile'!$O$2:$O$61,B490)*(1+in_approval_growth)^(D490-1))</f>
        <v/>
      </c>
      <c r="CA490" s="14">
        <f>F490*BY490*IF(B490&gt;=in_marketplace_from,d_hz_loan_home*G490,0)*BZ490*in_loan_home_ticket*in_loan_home_comm</f>
        <v/>
      </c>
      <c r="CB490" s="40">
        <f>CB489*(1-IF(B489&gt;=in_marketplace_from,d_hz_loan_lap*G489,0)*CC489)</f>
        <v/>
      </c>
      <c r="CC490" s="11">
        <f>MIN(in_approval_cap,in_loan_lap_approval*INDEX('Age profile'!$O$2:$O$61,B490)*(1+in_approval_growth)^(D490-1))</f>
        <v/>
      </c>
      <c r="CD490" s="14">
        <f>F490*CB490*IF(B490&gt;=in_marketplace_from,d_hz_loan_lap*G490,0)*CC490*in_loan_lap_ticket*in_loan_lap_comm</f>
        <v/>
      </c>
      <c r="CE490" s="14">
        <f>AA490+AB490+AC490+AD490+AG490+AJ490+AM490+AP490+AS490+AU490+AX490+BB490+BE490+BG490+BJ490+BL490+BO490+BR490+BT490+BV490+BX490+CA490+CD490</f>
        <v/>
      </c>
    </row>
    <row r="491">
      <c r="A491" s="39" t="n">
        <v>9</v>
      </c>
      <c r="B491" s="39" t="n">
        <v>38</v>
      </c>
      <c r="C491" s="39">
        <f>A491+B491-1</f>
        <v/>
      </c>
      <c r="D491" s="39">
        <f>INT((C491-1)/12)+1</f>
        <v/>
      </c>
      <c r="E491" s="44">
        <f>INDEX(Monthly!$B$2:$B$61,A491)</f>
        <v/>
      </c>
      <c r="F491" s="44">
        <f>E491*INDEX('Age profile'!$B$2:$B$61,B491)</f>
        <v/>
      </c>
      <c r="G491" s="45">
        <f>MIN(in_takeup_cap,INDEX('Age profile'!$N$2:$N$61,B491)*(1+in_takeup_growth)^(D491-1))</f>
        <v/>
      </c>
      <c r="H491" s="11">
        <f>MIN(in_approval_cap,in_approved_first*INDEX('Age profile'!$O$2:$O$61,B491)*(1+in_approval_growth)^(D491-1))</f>
        <v/>
      </c>
      <c r="I491" s="45">
        <f>G491*MIN(in_takeup_cap,INDEX('Age profile'!$O$2:$O$61,B491)*(1+in_approval_growth)^(D491-1))</f>
        <v/>
      </c>
      <c r="J491" s="40">
        <f>(J490-L490)*F491/F490</f>
        <v/>
      </c>
      <c r="K491" s="40">
        <f>(K490-M490)*F491/F490+SUMIFS(O454:O490,B454:B490,B491-1-d_T)*F491</f>
        <v/>
      </c>
      <c r="L491" s="40">
        <f>IF(B491&gt;=in_marketplace_from,J491*d_hz*G491*in_eligible*H491,0)</f>
        <v/>
      </c>
      <c r="M491" s="40">
        <f>IF(B491&gt;=in_marketplace_from,K491*d_hz*G491*in_eligible*in_approved_repeat,0)</f>
        <v/>
      </c>
      <c r="N491" s="40">
        <f>L491+M491</f>
        <v/>
      </c>
      <c r="O491" s="46">
        <f>N491/F491</f>
        <v/>
      </c>
      <c r="P491" s="40">
        <f>F491-J491-K491</f>
        <v/>
      </c>
      <c r="Q491" s="40">
        <f>IF(B491&gt;=in_marketplace_from,(J491+K491)*d_hz*G491,0)</f>
        <v/>
      </c>
      <c r="R491" s="40">
        <f>SUMIFS(N454:N505,B454:B505,"&gt;="&amp;(B491-d_T),B454:B505,"&lt;="&amp;(B491-1))</f>
        <v/>
      </c>
      <c r="S491" s="46">
        <f>(1-d_u)*S490+IF(d_T&gt;in_topup_lag,SUMIFS(O454:O505,B454:B505,B491-in_topup_lag)-d_udrop*SUMIFS(O454:O505,B454:B505,B491-d_T),0)</f>
        <v/>
      </c>
      <c r="T491" s="40">
        <f>F491*d_u*S491</f>
        <v/>
      </c>
      <c r="U491" s="9">
        <f>L491*in_ticket+M491*d_rep_ticket</f>
        <v/>
      </c>
      <c r="V491" s="9">
        <f>U491+T491*d_topup_amt</f>
        <v/>
      </c>
      <c r="W491" s="40">
        <f>N491+T491*d_topup_ratio</f>
        <v/>
      </c>
      <c r="X491" s="40">
        <f>SUMIFS(W454:W505,B454:B505,B491-in_dpd_lag)*d_cured</f>
        <v/>
      </c>
      <c r="Y491" s="40">
        <f>SUMIFS(W454:W505,B454:B505,B491-in_rec_lag)*d_recd</f>
        <v/>
      </c>
      <c r="Z491" s="40">
        <f>IF(AND(B491&gt;=in_marketplace_from,B491&lt;in_marketplace_from+in_card_months),in_card_share/in_card_months*F491*I491,IF(AND(B491&gt;=in_marketplace_from+in_card_months,B491&lt;in_marketplace_from+2*in_card_months),in_card_share*d_card_rem/in_card_months*F491*MIN(in_takeup_cap,(1+in_takeup_growth)^(D491-1))*MIN(in_takeup_cap,(1+in_approval_growth)^(D491-1)),0))</f>
        <v/>
      </c>
      <c r="AA491" s="14">
        <f>V491*in_fee*(1-in_taken_back)</f>
        <v/>
      </c>
      <c r="AB491" s="14">
        <f>SUMIFS(W454:W505,B454:B505,B491-in_dpd_lag)*d_dpd</f>
        <v/>
      </c>
      <c r="AC491" s="14">
        <f>SUMIFS(W454:W505,B454:B505,B491-in_rec_lag)*d_rec</f>
        <v/>
      </c>
      <c r="AD491" s="14">
        <f>Z491*in_card_fee</f>
        <v/>
      </c>
      <c r="AE491" s="40">
        <f>AE490*(1-IF(B490&gt;=in_marketplace_from,d_hz_hlth_small*G490,0))</f>
        <v/>
      </c>
      <c r="AF491" s="46">
        <f>AE491*IF(B491&gt;=in_marketplace_from,d_hz_hlth_small*G491,0)</f>
        <v/>
      </c>
      <c r="AG491" s="14">
        <f>F491*AF491*in_hlth_small_ticket*in_hlth_small_comm*in_ins_partner_share+F491*in_hlth_small_ticket*in_hlth_small_renew_comm*in_ins_partner_share*(in_hlth_small_renew^1*SUMIFS(AF454:AF505,B454:B505,B491-12)+in_hlth_small_renew^2*SUMIFS(AF454:AF505,B454:B505,B491-24)+in_hlth_small_renew^3*SUMIFS(AF454:AF505,B454:B505,B491-36)+in_hlth_small_renew^4*SUMIFS(AF454:AF505,B454:B505,B491-48))</f>
        <v/>
      </c>
      <c r="AH491" s="40">
        <f>AH490*(1-IF(B490&gt;=in_marketplace_from,d_hz_hlth_family*G490,0))</f>
        <v/>
      </c>
      <c r="AI491" s="46">
        <f>AH491*IF(B491&gt;=in_marketplace_from,d_hz_hlth_family*G491,0)</f>
        <v/>
      </c>
      <c r="AJ491" s="14">
        <f>F491*AI491*in_hlth_family_ticket*in_hlth_family_comm*in_ins_partner_share+F491*in_hlth_family_ticket*in_hlth_family_renew_comm*in_ins_partner_share*(in_hlth_family_renew^1*SUMIFS(AI454:AI505,B454:B505,B491-12)+in_hlth_family_renew^2*SUMIFS(AI454:AI505,B454:B505,B491-24)+in_hlth_family_renew^3*SUMIFS(AI454:AI505,B454:B505,B491-36)+in_hlth_family_renew^4*SUMIFS(AI454:AI505,B454:B505,B491-48))</f>
        <v/>
      </c>
      <c r="AK491" s="40">
        <f>AK490*(1-IF(B490&gt;=in_marketplace_from,d_hz_life_term*G490,0))</f>
        <v/>
      </c>
      <c r="AL491" s="46">
        <f>AK491*IF(B491&gt;=in_marketplace_from,d_hz_life_term*G491,0)</f>
        <v/>
      </c>
      <c r="AM491" s="14">
        <f>F491*AL491*in_life_term_ticket*in_life_term_comm*in_ins_partner_share+F491*in_life_term_ticket*in_life_term_renew_comm*in_ins_partner_share*(in_life_term_renew^1*SUMIFS(AL454:AL505,B454:B505,B491-12)+in_life_term_renew^2*SUMIFS(AL454:AL505,B454:B505,B491-24)+in_life_term_renew^3*SUMIFS(AL454:AL505,B454:B505,B491-36)+in_life_term_renew^4*SUMIFS(AL454:AL505,B454:B505,B491-48))</f>
        <v/>
      </c>
      <c r="AN491" s="40">
        <f>AN490*(1-IF(B490&gt;=in_marketplace_from,d_hz_accident*G490,0))</f>
        <v/>
      </c>
      <c r="AO491" s="46">
        <f>AN491*IF(B491&gt;=in_marketplace_from,d_hz_accident*G491,0)</f>
        <v/>
      </c>
      <c r="AP491" s="14">
        <f>F491*AO491*in_accident_ticket*in_accident_comm*in_ins_partner_share+F491*in_accident_ticket*in_accident_renew_comm*in_ins_partner_share*(in_accident_renew^1*SUMIFS(AO454:AO505,B454:B505,B491-12)+in_accident_renew^2*SUMIFS(AO454:AO505,B454:B505,B491-24)+in_accident_renew^3*SUMIFS(AO454:AO505,B454:B505,B491-36)+in_accident_renew^4*SUMIFS(AO454:AO505,B454:B505,B491-48))</f>
        <v/>
      </c>
      <c r="AQ491" s="40">
        <f>AQ490*(1-IF(B490&gt;=in_marketplace_from,d_hz_two_wheeler*G490,0))</f>
        <v/>
      </c>
      <c r="AR491" s="46">
        <f>AQ491*IF(B491&gt;=in_marketplace_from,d_hz_two_wheeler*G491,0)</f>
        <v/>
      </c>
      <c r="AS491" s="14">
        <f>F491*AR491*in_two_wheeler_ticket*in_two_wheeler_comm*in_ins_partner_share+F491*in_two_wheeler_ticket*in_two_wheeler_comm*in_ins_partner_share*(in_two_wheeler_renew^1*SUMIFS(AR454:AR505,B454:B505,B491-12)+in_two_wheeler_renew^2*SUMIFS(AR454:AR505,B454:B505,B491-24)+in_two_wheeler_renew^3*SUMIFS(AR454:AR505,B454:B505,B491-36)+in_two_wheeler_renew^4*SUMIFS(AR454:AR505,B454:B505,B491-48))</f>
        <v/>
      </c>
      <c r="AT491" s="40">
        <f>AT490*(1-IF(B490&gt;=in_marketplace_from,d_hz_device*G490,0))</f>
        <v/>
      </c>
      <c r="AU491" s="14">
        <f>F491*AT491*IF(B491&gt;=in_marketplace_from,d_hz_device*G491,0)*in_device_ticket*in_device_comm*in_ins_partner_share</f>
        <v/>
      </c>
      <c r="AV491" s="40">
        <f>AV490*(1-IF(B490&gt;=in_marketplace_from,d_hz_shop*G490,0))</f>
        <v/>
      </c>
      <c r="AW491" s="46">
        <f>AV491*IF(B491&gt;=in_marketplace_from,d_hz_shop*G491,0)</f>
        <v/>
      </c>
      <c r="AX491" s="14">
        <f>F491*AW491*in_shop_ticket*in_shop_comm*in_ins_partner_share+F491*in_shop_ticket*in_shop_renew_comm*in_ins_partner_share*(in_shop_renew^1*SUMIFS(AW454:AW505,B454:B505,B491-12)+in_shop_renew^2*SUMIFS(AW454:AW505,B454:B505,B491-24)+in_shop_renew^3*SUMIFS(AW454:AW505,B454:B505,B491-36)+in_shop_renew^4*SUMIFS(AW454:AW505,B454:B505,B491-48))</f>
        <v/>
      </c>
      <c r="AY491" s="40">
        <f>AY490*(1-IF(B490&gt;=in_marketplace_from,d_hz_sip*G490,0))</f>
        <v/>
      </c>
      <c r="AZ491" s="40">
        <f>AZ490*d_rho_sip+AY491*IF(B491&gt;=in_marketplace_from,d_hz_sip*G491,0)</f>
        <v/>
      </c>
      <c r="BA491" s="40">
        <f>d_rho_sip*(BA490+AZ490)</f>
        <v/>
      </c>
      <c r="BB491" s="14">
        <f>F491*in_sip_ticket*(BA491+0.5*AZ491)*in_sip_comm/12</f>
        <v/>
      </c>
      <c r="BC491" s="40">
        <f>BC490*(1-IF(B490&gt;=in_marketplace_from,d_hz_choti*G490,0))</f>
        <v/>
      </c>
      <c r="BD491" s="46">
        <f>BC491*IF(B491&gt;=in_marketplace_from,d_hz_choti*G491,0)</f>
        <v/>
      </c>
      <c r="BE491" s="14">
        <f>F491*SUMIFS(BD454:BD505,B454:B505,B491-in_choti_months)*in_choti_renew*in_choti_ticket</f>
        <v/>
      </c>
      <c r="BF491" s="40">
        <f>BF490*(1-IF(B490&gt;=in_marketplace_from,d_hz_nps*G490,0))</f>
        <v/>
      </c>
      <c r="BG491" s="14">
        <f>F491*BF491*IF(B491&gt;=in_marketplace_from,d_hz_nps*G491,0)*in_nps_ticket*in_nps_comm</f>
        <v/>
      </c>
      <c r="BH491" s="40">
        <f>BH490*(1-IF(B490&gt;=in_marketplace_from,d_hz_gold*G490,0))</f>
        <v/>
      </c>
      <c r="BI491" s="40">
        <f>BI490*d_rho_gold+BH491*IF(B491&gt;=in_marketplace_from,d_hz_gold*G491,0)</f>
        <v/>
      </c>
      <c r="BJ491" s="14">
        <f>F491*BI491*in_gold_ticket*in_gold_comm</f>
        <v/>
      </c>
      <c r="BK491" s="40">
        <f>BK490*(1-IF(B490&gt;=in_marketplace_from,d_hz_fd*G490,0))</f>
        <v/>
      </c>
      <c r="BL491" s="14">
        <f>F491*BK491*IF(B491&gt;=in_marketplace_from,d_hz_fd*G491,0)*in_fd_ticket*in_fd_comm</f>
        <v/>
      </c>
      <c r="BM491" s="40">
        <f>BM490*(1-IF(B490&gt;=in_marketplace_from,d_hz_recharge*G490,0))</f>
        <v/>
      </c>
      <c r="BN491" s="40">
        <f>BN490*d_rho_recharge+BM491*IF(B491&gt;=in_marketplace_from,d_hz_recharge*G491,0)</f>
        <v/>
      </c>
      <c r="BO491" s="14">
        <f>F491*BN491*in_recharge_ticket*in_recharge_comm/12</f>
        <v/>
      </c>
      <c r="BP491" s="40">
        <f>BP490*(1-IF(B490&gt;=in_marketplace_from,d_hz_bills*G490,0))</f>
        <v/>
      </c>
      <c r="BQ491" s="40">
        <f>BQ490*d_rho_bills+BP491*IF(B491&gt;=in_marketplace_from,d_hz_bills*G491,0)</f>
        <v/>
      </c>
      <c r="BR491" s="14">
        <f>F491*BQ491*in_bills_ticket*in_bills_comm/12</f>
        <v/>
      </c>
      <c r="BS491" s="40">
        <f>BS490*(1-IF(B490&gt;=in_marketplace_from,d_hz_loan_gold*G490,0))</f>
        <v/>
      </c>
      <c r="BT491" s="14">
        <f>F491*BS491*IF(B491&gt;=in_marketplace_from,d_hz_loan_gold*G491,0)*in_loan_gold_ticket*in_loan_gold_comm</f>
        <v/>
      </c>
      <c r="BU491" s="40">
        <f>BU490*(1-IF(B490&gt;=in_marketplace_from,d_hz_loan_cd*G490,0))</f>
        <v/>
      </c>
      <c r="BV491" s="14">
        <f>F491*BU491*IF(B491&gt;=in_marketplace_from,d_hz_loan_cd*G491,0)*in_loan_cd_ticket*in_loan_cd_comm</f>
        <v/>
      </c>
      <c r="BW491" s="40">
        <f>BW490*(1-IF(B490&gt;=in_marketplace_from,d_hz_loan_vehicle*G490,0))</f>
        <v/>
      </c>
      <c r="BX491" s="14">
        <f>F491*BW491*IF(B491&gt;=in_marketplace_from,d_hz_loan_vehicle*G491,0)*in_loan_vehicle_ticket*in_loan_vehicle_comm</f>
        <v/>
      </c>
      <c r="BY491" s="40">
        <f>BY490*(1-IF(B490&gt;=in_marketplace_from,d_hz_loan_home*G490,0)*BZ490)</f>
        <v/>
      </c>
      <c r="BZ491" s="11">
        <f>MIN(in_approval_cap,in_loan_home_approval*INDEX('Age profile'!$O$2:$O$61,B491)*(1+in_approval_growth)^(D491-1))</f>
        <v/>
      </c>
      <c r="CA491" s="14">
        <f>F491*BY491*IF(B491&gt;=in_marketplace_from,d_hz_loan_home*G491,0)*BZ491*in_loan_home_ticket*in_loan_home_comm</f>
        <v/>
      </c>
      <c r="CB491" s="40">
        <f>CB490*(1-IF(B490&gt;=in_marketplace_from,d_hz_loan_lap*G490,0)*CC490)</f>
        <v/>
      </c>
      <c r="CC491" s="11">
        <f>MIN(in_approval_cap,in_loan_lap_approval*INDEX('Age profile'!$O$2:$O$61,B491)*(1+in_approval_growth)^(D491-1))</f>
        <v/>
      </c>
      <c r="CD491" s="14">
        <f>F491*CB491*IF(B491&gt;=in_marketplace_from,d_hz_loan_lap*G491,0)*CC491*in_loan_lap_ticket*in_loan_lap_comm</f>
        <v/>
      </c>
      <c r="CE491" s="14">
        <f>AA491+AB491+AC491+AD491+AG491+AJ491+AM491+AP491+AS491+AU491+AX491+BB491+BE491+BG491+BJ491+BL491+BO491+BR491+BT491+BV491+BX491+CA491+CD491</f>
        <v/>
      </c>
    </row>
    <row r="492">
      <c r="A492" s="39" t="n">
        <v>9</v>
      </c>
      <c r="B492" s="39" t="n">
        <v>39</v>
      </c>
      <c r="C492" s="39">
        <f>A492+B492-1</f>
        <v/>
      </c>
      <c r="D492" s="39">
        <f>INT((C492-1)/12)+1</f>
        <v/>
      </c>
      <c r="E492" s="44">
        <f>INDEX(Monthly!$B$2:$B$61,A492)</f>
        <v/>
      </c>
      <c r="F492" s="44">
        <f>E492*INDEX('Age profile'!$B$2:$B$61,B492)</f>
        <v/>
      </c>
      <c r="G492" s="45">
        <f>MIN(in_takeup_cap,INDEX('Age profile'!$N$2:$N$61,B492)*(1+in_takeup_growth)^(D492-1))</f>
        <v/>
      </c>
      <c r="H492" s="11">
        <f>MIN(in_approval_cap,in_approved_first*INDEX('Age profile'!$O$2:$O$61,B492)*(1+in_approval_growth)^(D492-1))</f>
        <v/>
      </c>
      <c r="I492" s="45">
        <f>G492*MIN(in_takeup_cap,INDEX('Age profile'!$O$2:$O$61,B492)*(1+in_approval_growth)^(D492-1))</f>
        <v/>
      </c>
      <c r="J492" s="40">
        <f>(J491-L491)*F492/F491</f>
        <v/>
      </c>
      <c r="K492" s="40">
        <f>(K491-M491)*F492/F491+SUMIFS(O454:O491,B454:B491,B492-1-d_T)*F492</f>
        <v/>
      </c>
      <c r="L492" s="40">
        <f>IF(B492&gt;=in_marketplace_from,J492*d_hz*G492*in_eligible*H492,0)</f>
        <v/>
      </c>
      <c r="M492" s="40">
        <f>IF(B492&gt;=in_marketplace_from,K492*d_hz*G492*in_eligible*in_approved_repeat,0)</f>
        <v/>
      </c>
      <c r="N492" s="40">
        <f>L492+M492</f>
        <v/>
      </c>
      <c r="O492" s="46">
        <f>N492/F492</f>
        <v/>
      </c>
      <c r="P492" s="40">
        <f>F492-J492-K492</f>
        <v/>
      </c>
      <c r="Q492" s="40">
        <f>IF(B492&gt;=in_marketplace_from,(J492+K492)*d_hz*G492,0)</f>
        <v/>
      </c>
      <c r="R492" s="40">
        <f>SUMIFS(N454:N505,B454:B505,"&gt;="&amp;(B492-d_T),B454:B505,"&lt;="&amp;(B492-1))</f>
        <v/>
      </c>
      <c r="S492" s="46">
        <f>(1-d_u)*S491+IF(d_T&gt;in_topup_lag,SUMIFS(O454:O505,B454:B505,B492-in_topup_lag)-d_udrop*SUMIFS(O454:O505,B454:B505,B492-d_T),0)</f>
        <v/>
      </c>
      <c r="T492" s="40">
        <f>F492*d_u*S492</f>
        <v/>
      </c>
      <c r="U492" s="9">
        <f>L492*in_ticket+M492*d_rep_ticket</f>
        <v/>
      </c>
      <c r="V492" s="9">
        <f>U492+T492*d_topup_amt</f>
        <v/>
      </c>
      <c r="W492" s="40">
        <f>N492+T492*d_topup_ratio</f>
        <v/>
      </c>
      <c r="X492" s="40">
        <f>SUMIFS(W454:W505,B454:B505,B492-in_dpd_lag)*d_cured</f>
        <v/>
      </c>
      <c r="Y492" s="40">
        <f>SUMIFS(W454:W505,B454:B505,B492-in_rec_lag)*d_recd</f>
        <v/>
      </c>
      <c r="Z492" s="40">
        <f>IF(AND(B492&gt;=in_marketplace_from,B492&lt;in_marketplace_from+in_card_months),in_card_share/in_card_months*F492*I492,IF(AND(B492&gt;=in_marketplace_from+in_card_months,B492&lt;in_marketplace_from+2*in_card_months),in_card_share*d_card_rem/in_card_months*F492*MIN(in_takeup_cap,(1+in_takeup_growth)^(D492-1))*MIN(in_takeup_cap,(1+in_approval_growth)^(D492-1)),0))</f>
        <v/>
      </c>
      <c r="AA492" s="14">
        <f>V492*in_fee*(1-in_taken_back)</f>
        <v/>
      </c>
      <c r="AB492" s="14">
        <f>SUMIFS(W454:W505,B454:B505,B492-in_dpd_lag)*d_dpd</f>
        <v/>
      </c>
      <c r="AC492" s="14">
        <f>SUMIFS(W454:W505,B454:B505,B492-in_rec_lag)*d_rec</f>
        <v/>
      </c>
      <c r="AD492" s="14">
        <f>Z492*in_card_fee</f>
        <v/>
      </c>
      <c r="AE492" s="40">
        <f>AE491*(1-IF(B491&gt;=in_marketplace_from,d_hz_hlth_small*G491,0))</f>
        <v/>
      </c>
      <c r="AF492" s="46">
        <f>AE492*IF(B492&gt;=in_marketplace_from,d_hz_hlth_small*G492,0)</f>
        <v/>
      </c>
      <c r="AG492" s="14">
        <f>F492*AF492*in_hlth_small_ticket*in_hlth_small_comm*in_ins_partner_share+F492*in_hlth_small_ticket*in_hlth_small_renew_comm*in_ins_partner_share*(in_hlth_small_renew^1*SUMIFS(AF454:AF505,B454:B505,B492-12)+in_hlth_small_renew^2*SUMIFS(AF454:AF505,B454:B505,B492-24)+in_hlth_small_renew^3*SUMIFS(AF454:AF505,B454:B505,B492-36)+in_hlth_small_renew^4*SUMIFS(AF454:AF505,B454:B505,B492-48))</f>
        <v/>
      </c>
      <c r="AH492" s="40">
        <f>AH491*(1-IF(B491&gt;=in_marketplace_from,d_hz_hlth_family*G491,0))</f>
        <v/>
      </c>
      <c r="AI492" s="46">
        <f>AH492*IF(B492&gt;=in_marketplace_from,d_hz_hlth_family*G492,0)</f>
        <v/>
      </c>
      <c r="AJ492" s="14">
        <f>F492*AI492*in_hlth_family_ticket*in_hlth_family_comm*in_ins_partner_share+F492*in_hlth_family_ticket*in_hlth_family_renew_comm*in_ins_partner_share*(in_hlth_family_renew^1*SUMIFS(AI454:AI505,B454:B505,B492-12)+in_hlth_family_renew^2*SUMIFS(AI454:AI505,B454:B505,B492-24)+in_hlth_family_renew^3*SUMIFS(AI454:AI505,B454:B505,B492-36)+in_hlth_family_renew^4*SUMIFS(AI454:AI505,B454:B505,B492-48))</f>
        <v/>
      </c>
      <c r="AK492" s="40">
        <f>AK491*(1-IF(B491&gt;=in_marketplace_from,d_hz_life_term*G491,0))</f>
        <v/>
      </c>
      <c r="AL492" s="46">
        <f>AK492*IF(B492&gt;=in_marketplace_from,d_hz_life_term*G492,0)</f>
        <v/>
      </c>
      <c r="AM492" s="14">
        <f>F492*AL492*in_life_term_ticket*in_life_term_comm*in_ins_partner_share+F492*in_life_term_ticket*in_life_term_renew_comm*in_ins_partner_share*(in_life_term_renew^1*SUMIFS(AL454:AL505,B454:B505,B492-12)+in_life_term_renew^2*SUMIFS(AL454:AL505,B454:B505,B492-24)+in_life_term_renew^3*SUMIFS(AL454:AL505,B454:B505,B492-36)+in_life_term_renew^4*SUMIFS(AL454:AL505,B454:B505,B492-48))</f>
        <v/>
      </c>
      <c r="AN492" s="40">
        <f>AN491*(1-IF(B491&gt;=in_marketplace_from,d_hz_accident*G491,0))</f>
        <v/>
      </c>
      <c r="AO492" s="46">
        <f>AN492*IF(B492&gt;=in_marketplace_from,d_hz_accident*G492,0)</f>
        <v/>
      </c>
      <c r="AP492" s="14">
        <f>F492*AO492*in_accident_ticket*in_accident_comm*in_ins_partner_share+F492*in_accident_ticket*in_accident_renew_comm*in_ins_partner_share*(in_accident_renew^1*SUMIFS(AO454:AO505,B454:B505,B492-12)+in_accident_renew^2*SUMIFS(AO454:AO505,B454:B505,B492-24)+in_accident_renew^3*SUMIFS(AO454:AO505,B454:B505,B492-36)+in_accident_renew^4*SUMIFS(AO454:AO505,B454:B505,B492-48))</f>
        <v/>
      </c>
      <c r="AQ492" s="40">
        <f>AQ491*(1-IF(B491&gt;=in_marketplace_from,d_hz_two_wheeler*G491,0))</f>
        <v/>
      </c>
      <c r="AR492" s="46">
        <f>AQ492*IF(B492&gt;=in_marketplace_from,d_hz_two_wheeler*G492,0)</f>
        <v/>
      </c>
      <c r="AS492" s="14">
        <f>F492*AR492*in_two_wheeler_ticket*in_two_wheeler_comm*in_ins_partner_share+F492*in_two_wheeler_ticket*in_two_wheeler_comm*in_ins_partner_share*(in_two_wheeler_renew^1*SUMIFS(AR454:AR505,B454:B505,B492-12)+in_two_wheeler_renew^2*SUMIFS(AR454:AR505,B454:B505,B492-24)+in_two_wheeler_renew^3*SUMIFS(AR454:AR505,B454:B505,B492-36)+in_two_wheeler_renew^4*SUMIFS(AR454:AR505,B454:B505,B492-48))</f>
        <v/>
      </c>
      <c r="AT492" s="40">
        <f>AT491*(1-IF(B491&gt;=in_marketplace_from,d_hz_device*G491,0))</f>
        <v/>
      </c>
      <c r="AU492" s="14">
        <f>F492*AT492*IF(B492&gt;=in_marketplace_from,d_hz_device*G492,0)*in_device_ticket*in_device_comm*in_ins_partner_share</f>
        <v/>
      </c>
      <c r="AV492" s="40">
        <f>AV491*(1-IF(B491&gt;=in_marketplace_from,d_hz_shop*G491,0))</f>
        <v/>
      </c>
      <c r="AW492" s="46">
        <f>AV492*IF(B492&gt;=in_marketplace_from,d_hz_shop*G492,0)</f>
        <v/>
      </c>
      <c r="AX492" s="14">
        <f>F492*AW492*in_shop_ticket*in_shop_comm*in_ins_partner_share+F492*in_shop_ticket*in_shop_renew_comm*in_ins_partner_share*(in_shop_renew^1*SUMIFS(AW454:AW505,B454:B505,B492-12)+in_shop_renew^2*SUMIFS(AW454:AW505,B454:B505,B492-24)+in_shop_renew^3*SUMIFS(AW454:AW505,B454:B505,B492-36)+in_shop_renew^4*SUMIFS(AW454:AW505,B454:B505,B492-48))</f>
        <v/>
      </c>
      <c r="AY492" s="40">
        <f>AY491*(1-IF(B491&gt;=in_marketplace_from,d_hz_sip*G491,0))</f>
        <v/>
      </c>
      <c r="AZ492" s="40">
        <f>AZ491*d_rho_sip+AY492*IF(B492&gt;=in_marketplace_from,d_hz_sip*G492,0)</f>
        <v/>
      </c>
      <c r="BA492" s="40">
        <f>d_rho_sip*(BA491+AZ491)</f>
        <v/>
      </c>
      <c r="BB492" s="14">
        <f>F492*in_sip_ticket*(BA492+0.5*AZ492)*in_sip_comm/12</f>
        <v/>
      </c>
      <c r="BC492" s="40">
        <f>BC491*(1-IF(B491&gt;=in_marketplace_from,d_hz_choti*G491,0))</f>
        <v/>
      </c>
      <c r="BD492" s="46">
        <f>BC492*IF(B492&gt;=in_marketplace_from,d_hz_choti*G492,0)</f>
        <v/>
      </c>
      <c r="BE492" s="14">
        <f>F492*SUMIFS(BD454:BD505,B454:B505,B492-in_choti_months)*in_choti_renew*in_choti_ticket</f>
        <v/>
      </c>
      <c r="BF492" s="40">
        <f>BF491*(1-IF(B491&gt;=in_marketplace_from,d_hz_nps*G491,0))</f>
        <v/>
      </c>
      <c r="BG492" s="14">
        <f>F492*BF492*IF(B492&gt;=in_marketplace_from,d_hz_nps*G492,0)*in_nps_ticket*in_nps_comm</f>
        <v/>
      </c>
      <c r="BH492" s="40">
        <f>BH491*(1-IF(B491&gt;=in_marketplace_from,d_hz_gold*G491,0))</f>
        <v/>
      </c>
      <c r="BI492" s="40">
        <f>BI491*d_rho_gold+BH492*IF(B492&gt;=in_marketplace_from,d_hz_gold*G492,0)</f>
        <v/>
      </c>
      <c r="BJ492" s="14">
        <f>F492*BI492*in_gold_ticket*in_gold_comm</f>
        <v/>
      </c>
      <c r="BK492" s="40">
        <f>BK491*(1-IF(B491&gt;=in_marketplace_from,d_hz_fd*G491,0))</f>
        <v/>
      </c>
      <c r="BL492" s="14">
        <f>F492*BK492*IF(B492&gt;=in_marketplace_from,d_hz_fd*G492,0)*in_fd_ticket*in_fd_comm</f>
        <v/>
      </c>
      <c r="BM492" s="40">
        <f>BM491*(1-IF(B491&gt;=in_marketplace_from,d_hz_recharge*G491,0))</f>
        <v/>
      </c>
      <c r="BN492" s="40">
        <f>BN491*d_rho_recharge+BM492*IF(B492&gt;=in_marketplace_from,d_hz_recharge*G492,0)</f>
        <v/>
      </c>
      <c r="BO492" s="14">
        <f>F492*BN492*in_recharge_ticket*in_recharge_comm/12</f>
        <v/>
      </c>
      <c r="BP492" s="40">
        <f>BP491*(1-IF(B491&gt;=in_marketplace_from,d_hz_bills*G491,0))</f>
        <v/>
      </c>
      <c r="BQ492" s="40">
        <f>BQ491*d_rho_bills+BP492*IF(B492&gt;=in_marketplace_from,d_hz_bills*G492,0)</f>
        <v/>
      </c>
      <c r="BR492" s="14">
        <f>F492*BQ492*in_bills_ticket*in_bills_comm/12</f>
        <v/>
      </c>
      <c r="BS492" s="40">
        <f>BS491*(1-IF(B491&gt;=in_marketplace_from,d_hz_loan_gold*G491,0))</f>
        <v/>
      </c>
      <c r="BT492" s="14">
        <f>F492*BS492*IF(B492&gt;=in_marketplace_from,d_hz_loan_gold*G492,0)*in_loan_gold_ticket*in_loan_gold_comm</f>
        <v/>
      </c>
      <c r="BU492" s="40">
        <f>BU491*(1-IF(B491&gt;=in_marketplace_from,d_hz_loan_cd*G491,0))</f>
        <v/>
      </c>
      <c r="BV492" s="14">
        <f>F492*BU492*IF(B492&gt;=in_marketplace_from,d_hz_loan_cd*G492,0)*in_loan_cd_ticket*in_loan_cd_comm</f>
        <v/>
      </c>
      <c r="BW492" s="40">
        <f>BW491*(1-IF(B491&gt;=in_marketplace_from,d_hz_loan_vehicle*G491,0))</f>
        <v/>
      </c>
      <c r="BX492" s="14">
        <f>F492*BW492*IF(B492&gt;=in_marketplace_from,d_hz_loan_vehicle*G492,0)*in_loan_vehicle_ticket*in_loan_vehicle_comm</f>
        <v/>
      </c>
      <c r="BY492" s="40">
        <f>BY491*(1-IF(B491&gt;=in_marketplace_from,d_hz_loan_home*G491,0)*BZ491)</f>
        <v/>
      </c>
      <c r="BZ492" s="11">
        <f>MIN(in_approval_cap,in_loan_home_approval*INDEX('Age profile'!$O$2:$O$61,B492)*(1+in_approval_growth)^(D492-1))</f>
        <v/>
      </c>
      <c r="CA492" s="14">
        <f>F492*BY492*IF(B492&gt;=in_marketplace_from,d_hz_loan_home*G492,0)*BZ492*in_loan_home_ticket*in_loan_home_comm</f>
        <v/>
      </c>
      <c r="CB492" s="40">
        <f>CB491*(1-IF(B491&gt;=in_marketplace_from,d_hz_loan_lap*G491,0)*CC491)</f>
        <v/>
      </c>
      <c r="CC492" s="11">
        <f>MIN(in_approval_cap,in_loan_lap_approval*INDEX('Age profile'!$O$2:$O$61,B492)*(1+in_approval_growth)^(D492-1))</f>
        <v/>
      </c>
      <c r="CD492" s="14">
        <f>F492*CB492*IF(B492&gt;=in_marketplace_from,d_hz_loan_lap*G492,0)*CC492*in_loan_lap_ticket*in_loan_lap_comm</f>
        <v/>
      </c>
      <c r="CE492" s="14">
        <f>AA492+AB492+AC492+AD492+AG492+AJ492+AM492+AP492+AS492+AU492+AX492+BB492+BE492+BG492+BJ492+BL492+BO492+BR492+BT492+BV492+BX492+CA492+CD492</f>
        <v/>
      </c>
    </row>
    <row r="493">
      <c r="A493" s="39" t="n">
        <v>9</v>
      </c>
      <c r="B493" s="39" t="n">
        <v>40</v>
      </c>
      <c r="C493" s="39">
        <f>A493+B493-1</f>
        <v/>
      </c>
      <c r="D493" s="39">
        <f>INT((C493-1)/12)+1</f>
        <v/>
      </c>
      <c r="E493" s="44">
        <f>INDEX(Monthly!$B$2:$B$61,A493)</f>
        <v/>
      </c>
      <c r="F493" s="44">
        <f>E493*INDEX('Age profile'!$B$2:$B$61,B493)</f>
        <v/>
      </c>
      <c r="G493" s="45">
        <f>MIN(in_takeup_cap,INDEX('Age profile'!$N$2:$N$61,B493)*(1+in_takeup_growth)^(D493-1))</f>
        <v/>
      </c>
      <c r="H493" s="11">
        <f>MIN(in_approval_cap,in_approved_first*INDEX('Age profile'!$O$2:$O$61,B493)*(1+in_approval_growth)^(D493-1))</f>
        <v/>
      </c>
      <c r="I493" s="45">
        <f>G493*MIN(in_takeup_cap,INDEX('Age profile'!$O$2:$O$61,B493)*(1+in_approval_growth)^(D493-1))</f>
        <v/>
      </c>
      <c r="J493" s="40">
        <f>(J492-L492)*F493/F492</f>
        <v/>
      </c>
      <c r="K493" s="40">
        <f>(K492-M492)*F493/F492+SUMIFS(O454:O492,B454:B492,B493-1-d_T)*F493</f>
        <v/>
      </c>
      <c r="L493" s="40">
        <f>IF(B493&gt;=in_marketplace_from,J493*d_hz*G493*in_eligible*H493,0)</f>
        <v/>
      </c>
      <c r="M493" s="40">
        <f>IF(B493&gt;=in_marketplace_from,K493*d_hz*G493*in_eligible*in_approved_repeat,0)</f>
        <v/>
      </c>
      <c r="N493" s="40">
        <f>L493+M493</f>
        <v/>
      </c>
      <c r="O493" s="46">
        <f>N493/F493</f>
        <v/>
      </c>
      <c r="P493" s="40">
        <f>F493-J493-K493</f>
        <v/>
      </c>
      <c r="Q493" s="40">
        <f>IF(B493&gt;=in_marketplace_from,(J493+K493)*d_hz*G493,0)</f>
        <v/>
      </c>
      <c r="R493" s="40">
        <f>SUMIFS(N454:N505,B454:B505,"&gt;="&amp;(B493-d_T),B454:B505,"&lt;="&amp;(B493-1))</f>
        <v/>
      </c>
      <c r="S493" s="46">
        <f>(1-d_u)*S492+IF(d_T&gt;in_topup_lag,SUMIFS(O454:O505,B454:B505,B493-in_topup_lag)-d_udrop*SUMIFS(O454:O505,B454:B505,B493-d_T),0)</f>
        <v/>
      </c>
      <c r="T493" s="40">
        <f>F493*d_u*S493</f>
        <v/>
      </c>
      <c r="U493" s="9">
        <f>L493*in_ticket+M493*d_rep_ticket</f>
        <v/>
      </c>
      <c r="V493" s="9">
        <f>U493+T493*d_topup_amt</f>
        <v/>
      </c>
      <c r="W493" s="40">
        <f>N493+T493*d_topup_ratio</f>
        <v/>
      </c>
      <c r="X493" s="40">
        <f>SUMIFS(W454:W505,B454:B505,B493-in_dpd_lag)*d_cured</f>
        <v/>
      </c>
      <c r="Y493" s="40">
        <f>SUMIFS(W454:W505,B454:B505,B493-in_rec_lag)*d_recd</f>
        <v/>
      </c>
      <c r="Z493" s="40">
        <f>IF(AND(B493&gt;=in_marketplace_from,B493&lt;in_marketplace_from+in_card_months),in_card_share/in_card_months*F493*I493,IF(AND(B493&gt;=in_marketplace_from+in_card_months,B493&lt;in_marketplace_from+2*in_card_months),in_card_share*d_card_rem/in_card_months*F493*MIN(in_takeup_cap,(1+in_takeup_growth)^(D493-1))*MIN(in_takeup_cap,(1+in_approval_growth)^(D493-1)),0))</f>
        <v/>
      </c>
      <c r="AA493" s="14">
        <f>V493*in_fee*(1-in_taken_back)</f>
        <v/>
      </c>
      <c r="AB493" s="14">
        <f>SUMIFS(W454:W505,B454:B505,B493-in_dpd_lag)*d_dpd</f>
        <v/>
      </c>
      <c r="AC493" s="14">
        <f>SUMIFS(W454:W505,B454:B505,B493-in_rec_lag)*d_rec</f>
        <v/>
      </c>
      <c r="AD493" s="14">
        <f>Z493*in_card_fee</f>
        <v/>
      </c>
      <c r="AE493" s="40">
        <f>AE492*(1-IF(B492&gt;=in_marketplace_from,d_hz_hlth_small*G492,0))</f>
        <v/>
      </c>
      <c r="AF493" s="46">
        <f>AE493*IF(B493&gt;=in_marketplace_from,d_hz_hlth_small*G493,0)</f>
        <v/>
      </c>
      <c r="AG493" s="14">
        <f>F493*AF493*in_hlth_small_ticket*in_hlth_small_comm*in_ins_partner_share+F493*in_hlth_small_ticket*in_hlth_small_renew_comm*in_ins_partner_share*(in_hlth_small_renew^1*SUMIFS(AF454:AF505,B454:B505,B493-12)+in_hlth_small_renew^2*SUMIFS(AF454:AF505,B454:B505,B493-24)+in_hlth_small_renew^3*SUMIFS(AF454:AF505,B454:B505,B493-36)+in_hlth_small_renew^4*SUMIFS(AF454:AF505,B454:B505,B493-48))</f>
        <v/>
      </c>
      <c r="AH493" s="40">
        <f>AH492*(1-IF(B492&gt;=in_marketplace_from,d_hz_hlth_family*G492,0))</f>
        <v/>
      </c>
      <c r="AI493" s="46">
        <f>AH493*IF(B493&gt;=in_marketplace_from,d_hz_hlth_family*G493,0)</f>
        <v/>
      </c>
      <c r="AJ493" s="14">
        <f>F493*AI493*in_hlth_family_ticket*in_hlth_family_comm*in_ins_partner_share+F493*in_hlth_family_ticket*in_hlth_family_renew_comm*in_ins_partner_share*(in_hlth_family_renew^1*SUMIFS(AI454:AI505,B454:B505,B493-12)+in_hlth_family_renew^2*SUMIFS(AI454:AI505,B454:B505,B493-24)+in_hlth_family_renew^3*SUMIFS(AI454:AI505,B454:B505,B493-36)+in_hlth_family_renew^4*SUMIFS(AI454:AI505,B454:B505,B493-48))</f>
        <v/>
      </c>
      <c r="AK493" s="40">
        <f>AK492*(1-IF(B492&gt;=in_marketplace_from,d_hz_life_term*G492,0))</f>
        <v/>
      </c>
      <c r="AL493" s="46">
        <f>AK493*IF(B493&gt;=in_marketplace_from,d_hz_life_term*G493,0)</f>
        <v/>
      </c>
      <c r="AM493" s="14">
        <f>F493*AL493*in_life_term_ticket*in_life_term_comm*in_ins_partner_share+F493*in_life_term_ticket*in_life_term_renew_comm*in_ins_partner_share*(in_life_term_renew^1*SUMIFS(AL454:AL505,B454:B505,B493-12)+in_life_term_renew^2*SUMIFS(AL454:AL505,B454:B505,B493-24)+in_life_term_renew^3*SUMIFS(AL454:AL505,B454:B505,B493-36)+in_life_term_renew^4*SUMIFS(AL454:AL505,B454:B505,B493-48))</f>
        <v/>
      </c>
      <c r="AN493" s="40">
        <f>AN492*(1-IF(B492&gt;=in_marketplace_from,d_hz_accident*G492,0))</f>
        <v/>
      </c>
      <c r="AO493" s="46">
        <f>AN493*IF(B493&gt;=in_marketplace_from,d_hz_accident*G493,0)</f>
        <v/>
      </c>
      <c r="AP493" s="14">
        <f>F493*AO493*in_accident_ticket*in_accident_comm*in_ins_partner_share+F493*in_accident_ticket*in_accident_renew_comm*in_ins_partner_share*(in_accident_renew^1*SUMIFS(AO454:AO505,B454:B505,B493-12)+in_accident_renew^2*SUMIFS(AO454:AO505,B454:B505,B493-24)+in_accident_renew^3*SUMIFS(AO454:AO505,B454:B505,B493-36)+in_accident_renew^4*SUMIFS(AO454:AO505,B454:B505,B493-48))</f>
        <v/>
      </c>
      <c r="AQ493" s="40">
        <f>AQ492*(1-IF(B492&gt;=in_marketplace_from,d_hz_two_wheeler*G492,0))</f>
        <v/>
      </c>
      <c r="AR493" s="46">
        <f>AQ493*IF(B493&gt;=in_marketplace_from,d_hz_two_wheeler*G493,0)</f>
        <v/>
      </c>
      <c r="AS493" s="14">
        <f>F493*AR493*in_two_wheeler_ticket*in_two_wheeler_comm*in_ins_partner_share+F493*in_two_wheeler_ticket*in_two_wheeler_comm*in_ins_partner_share*(in_two_wheeler_renew^1*SUMIFS(AR454:AR505,B454:B505,B493-12)+in_two_wheeler_renew^2*SUMIFS(AR454:AR505,B454:B505,B493-24)+in_two_wheeler_renew^3*SUMIFS(AR454:AR505,B454:B505,B493-36)+in_two_wheeler_renew^4*SUMIFS(AR454:AR505,B454:B505,B493-48))</f>
        <v/>
      </c>
      <c r="AT493" s="40">
        <f>AT492*(1-IF(B492&gt;=in_marketplace_from,d_hz_device*G492,0))</f>
        <v/>
      </c>
      <c r="AU493" s="14">
        <f>F493*AT493*IF(B493&gt;=in_marketplace_from,d_hz_device*G493,0)*in_device_ticket*in_device_comm*in_ins_partner_share</f>
        <v/>
      </c>
      <c r="AV493" s="40">
        <f>AV492*(1-IF(B492&gt;=in_marketplace_from,d_hz_shop*G492,0))</f>
        <v/>
      </c>
      <c r="AW493" s="46">
        <f>AV493*IF(B493&gt;=in_marketplace_from,d_hz_shop*G493,0)</f>
        <v/>
      </c>
      <c r="AX493" s="14">
        <f>F493*AW493*in_shop_ticket*in_shop_comm*in_ins_partner_share+F493*in_shop_ticket*in_shop_renew_comm*in_ins_partner_share*(in_shop_renew^1*SUMIFS(AW454:AW505,B454:B505,B493-12)+in_shop_renew^2*SUMIFS(AW454:AW505,B454:B505,B493-24)+in_shop_renew^3*SUMIFS(AW454:AW505,B454:B505,B493-36)+in_shop_renew^4*SUMIFS(AW454:AW505,B454:B505,B493-48))</f>
        <v/>
      </c>
      <c r="AY493" s="40">
        <f>AY492*(1-IF(B492&gt;=in_marketplace_from,d_hz_sip*G492,0))</f>
        <v/>
      </c>
      <c r="AZ493" s="40">
        <f>AZ492*d_rho_sip+AY493*IF(B493&gt;=in_marketplace_from,d_hz_sip*G493,0)</f>
        <v/>
      </c>
      <c r="BA493" s="40">
        <f>d_rho_sip*(BA492+AZ492)</f>
        <v/>
      </c>
      <c r="BB493" s="14">
        <f>F493*in_sip_ticket*(BA493+0.5*AZ493)*in_sip_comm/12</f>
        <v/>
      </c>
      <c r="BC493" s="40">
        <f>BC492*(1-IF(B492&gt;=in_marketplace_from,d_hz_choti*G492,0))</f>
        <v/>
      </c>
      <c r="BD493" s="46">
        <f>BC493*IF(B493&gt;=in_marketplace_from,d_hz_choti*G493,0)</f>
        <v/>
      </c>
      <c r="BE493" s="14">
        <f>F493*SUMIFS(BD454:BD505,B454:B505,B493-in_choti_months)*in_choti_renew*in_choti_ticket</f>
        <v/>
      </c>
      <c r="BF493" s="40">
        <f>BF492*(1-IF(B492&gt;=in_marketplace_from,d_hz_nps*G492,0))</f>
        <v/>
      </c>
      <c r="BG493" s="14">
        <f>F493*BF493*IF(B493&gt;=in_marketplace_from,d_hz_nps*G493,0)*in_nps_ticket*in_nps_comm</f>
        <v/>
      </c>
      <c r="BH493" s="40">
        <f>BH492*(1-IF(B492&gt;=in_marketplace_from,d_hz_gold*G492,0))</f>
        <v/>
      </c>
      <c r="BI493" s="40">
        <f>BI492*d_rho_gold+BH493*IF(B493&gt;=in_marketplace_from,d_hz_gold*G493,0)</f>
        <v/>
      </c>
      <c r="BJ493" s="14">
        <f>F493*BI493*in_gold_ticket*in_gold_comm</f>
        <v/>
      </c>
      <c r="BK493" s="40">
        <f>BK492*(1-IF(B492&gt;=in_marketplace_from,d_hz_fd*G492,0))</f>
        <v/>
      </c>
      <c r="BL493" s="14">
        <f>F493*BK493*IF(B493&gt;=in_marketplace_from,d_hz_fd*G493,0)*in_fd_ticket*in_fd_comm</f>
        <v/>
      </c>
      <c r="BM493" s="40">
        <f>BM492*(1-IF(B492&gt;=in_marketplace_from,d_hz_recharge*G492,0))</f>
        <v/>
      </c>
      <c r="BN493" s="40">
        <f>BN492*d_rho_recharge+BM493*IF(B493&gt;=in_marketplace_from,d_hz_recharge*G493,0)</f>
        <v/>
      </c>
      <c r="BO493" s="14">
        <f>F493*BN493*in_recharge_ticket*in_recharge_comm/12</f>
        <v/>
      </c>
      <c r="BP493" s="40">
        <f>BP492*(1-IF(B492&gt;=in_marketplace_from,d_hz_bills*G492,0))</f>
        <v/>
      </c>
      <c r="BQ493" s="40">
        <f>BQ492*d_rho_bills+BP493*IF(B493&gt;=in_marketplace_from,d_hz_bills*G493,0)</f>
        <v/>
      </c>
      <c r="BR493" s="14">
        <f>F493*BQ493*in_bills_ticket*in_bills_comm/12</f>
        <v/>
      </c>
      <c r="BS493" s="40">
        <f>BS492*(1-IF(B492&gt;=in_marketplace_from,d_hz_loan_gold*G492,0))</f>
        <v/>
      </c>
      <c r="BT493" s="14">
        <f>F493*BS493*IF(B493&gt;=in_marketplace_from,d_hz_loan_gold*G493,0)*in_loan_gold_ticket*in_loan_gold_comm</f>
        <v/>
      </c>
      <c r="BU493" s="40">
        <f>BU492*(1-IF(B492&gt;=in_marketplace_from,d_hz_loan_cd*G492,0))</f>
        <v/>
      </c>
      <c r="BV493" s="14">
        <f>F493*BU493*IF(B493&gt;=in_marketplace_from,d_hz_loan_cd*G493,0)*in_loan_cd_ticket*in_loan_cd_comm</f>
        <v/>
      </c>
      <c r="BW493" s="40">
        <f>BW492*(1-IF(B492&gt;=in_marketplace_from,d_hz_loan_vehicle*G492,0))</f>
        <v/>
      </c>
      <c r="BX493" s="14">
        <f>F493*BW493*IF(B493&gt;=in_marketplace_from,d_hz_loan_vehicle*G493,0)*in_loan_vehicle_ticket*in_loan_vehicle_comm</f>
        <v/>
      </c>
      <c r="BY493" s="40">
        <f>BY492*(1-IF(B492&gt;=in_marketplace_from,d_hz_loan_home*G492,0)*BZ492)</f>
        <v/>
      </c>
      <c r="BZ493" s="11">
        <f>MIN(in_approval_cap,in_loan_home_approval*INDEX('Age profile'!$O$2:$O$61,B493)*(1+in_approval_growth)^(D493-1))</f>
        <v/>
      </c>
      <c r="CA493" s="14">
        <f>F493*BY493*IF(B493&gt;=in_marketplace_from,d_hz_loan_home*G493,0)*BZ493*in_loan_home_ticket*in_loan_home_comm</f>
        <v/>
      </c>
      <c r="CB493" s="40">
        <f>CB492*(1-IF(B492&gt;=in_marketplace_from,d_hz_loan_lap*G492,0)*CC492)</f>
        <v/>
      </c>
      <c r="CC493" s="11">
        <f>MIN(in_approval_cap,in_loan_lap_approval*INDEX('Age profile'!$O$2:$O$61,B493)*(1+in_approval_growth)^(D493-1))</f>
        <v/>
      </c>
      <c r="CD493" s="14">
        <f>F493*CB493*IF(B493&gt;=in_marketplace_from,d_hz_loan_lap*G493,0)*CC493*in_loan_lap_ticket*in_loan_lap_comm</f>
        <v/>
      </c>
      <c r="CE493" s="14">
        <f>AA493+AB493+AC493+AD493+AG493+AJ493+AM493+AP493+AS493+AU493+AX493+BB493+BE493+BG493+BJ493+BL493+BO493+BR493+BT493+BV493+BX493+CA493+CD493</f>
        <v/>
      </c>
    </row>
    <row r="494">
      <c r="A494" s="39" t="n">
        <v>9</v>
      </c>
      <c r="B494" s="39" t="n">
        <v>41</v>
      </c>
      <c r="C494" s="39">
        <f>A494+B494-1</f>
        <v/>
      </c>
      <c r="D494" s="39">
        <f>INT((C494-1)/12)+1</f>
        <v/>
      </c>
      <c r="E494" s="44">
        <f>INDEX(Monthly!$B$2:$B$61,A494)</f>
        <v/>
      </c>
      <c r="F494" s="44">
        <f>E494*INDEX('Age profile'!$B$2:$B$61,B494)</f>
        <v/>
      </c>
      <c r="G494" s="45">
        <f>MIN(in_takeup_cap,INDEX('Age profile'!$N$2:$N$61,B494)*(1+in_takeup_growth)^(D494-1))</f>
        <v/>
      </c>
      <c r="H494" s="11">
        <f>MIN(in_approval_cap,in_approved_first*INDEX('Age profile'!$O$2:$O$61,B494)*(1+in_approval_growth)^(D494-1))</f>
        <v/>
      </c>
      <c r="I494" s="45">
        <f>G494*MIN(in_takeup_cap,INDEX('Age profile'!$O$2:$O$61,B494)*(1+in_approval_growth)^(D494-1))</f>
        <v/>
      </c>
      <c r="J494" s="40">
        <f>(J493-L493)*F494/F493</f>
        <v/>
      </c>
      <c r="K494" s="40">
        <f>(K493-M493)*F494/F493+SUMIFS(O454:O493,B454:B493,B494-1-d_T)*F494</f>
        <v/>
      </c>
      <c r="L494" s="40">
        <f>IF(B494&gt;=in_marketplace_from,J494*d_hz*G494*in_eligible*H494,0)</f>
        <v/>
      </c>
      <c r="M494" s="40">
        <f>IF(B494&gt;=in_marketplace_from,K494*d_hz*G494*in_eligible*in_approved_repeat,0)</f>
        <v/>
      </c>
      <c r="N494" s="40">
        <f>L494+M494</f>
        <v/>
      </c>
      <c r="O494" s="46">
        <f>N494/F494</f>
        <v/>
      </c>
      <c r="P494" s="40">
        <f>F494-J494-K494</f>
        <v/>
      </c>
      <c r="Q494" s="40">
        <f>IF(B494&gt;=in_marketplace_from,(J494+K494)*d_hz*G494,0)</f>
        <v/>
      </c>
      <c r="R494" s="40">
        <f>SUMIFS(N454:N505,B454:B505,"&gt;="&amp;(B494-d_T),B454:B505,"&lt;="&amp;(B494-1))</f>
        <v/>
      </c>
      <c r="S494" s="46">
        <f>(1-d_u)*S493+IF(d_T&gt;in_topup_lag,SUMIFS(O454:O505,B454:B505,B494-in_topup_lag)-d_udrop*SUMIFS(O454:O505,B454:B505,B494-d_T),0)</f>
        <v/>
      </c>
      <c r="T494" s="40">
        <f>F494*d_u*S494</f>
        <v/>
      </c>
      <c r="U494" s="9">
        <f>L494*in_ticket+M494*d_rep_ticket</f>
        <v/>
      </c>
      <c r="V494" s="9">
        <f>U494+T494*d_topup_amt</f>
        <v/>
      </c>
      <c r="W494" s="40">
        <f>N494+T494*d_topup_ratio</f>
        <v/>
      </c>
      <c r="X494" s="40">
        <f>SUMIFS(W454:W505,B454:B505,B494-in_dpd_lag)*d_cured</f>
        <v/>
      </c>
      <c r="Y494" s="40">
        <f>SUMIFS(W454:W505,B454:B505,B494-in_rec_lag)*d_recd</f>
        <v/>
      </c>
      <c r="Z494" s="40">
        <f>IF(AND(B494&gt;=in_marketplace_from,B494&lt;in_marketplace_from+in_card_months),in_card_share/in_card_months*F494*I494,IF(AND(B494&gt;=in_marketplace_from+in_card_months,B494&lt;in_marketplace_from+2*in_card_months),in_card_share*d_card_rem/in_card_months*F494*MIN(in_takeup_cap,(1+in_takeup_growth)^(D494-1))*MIN(in_takeup_cap,(1+in_approval_growth)^(D494-1)),0))</f>
        <v/>
      </c>
      <c r="AA494" s="14">
        <f>V494*in_fee*(1-in_taken_back)</f>
        <v/>
      </c>
      <c r="AB494" s="14">
        <f>SUMIFS(W454:W505,B454:B505,B494-in_dpd_lag)*d_dpd</f>
        <v/>
      </c>
      <c r="AC494" s="14">
        <f>SUMIFS(W454:W505,B454:B505,B494-in_rec_lag)*d_rec</f>
        <v/>
      </c>
      <c r="AD494" s="14">
        <f>Z494*in_card_fee</f>
        <v/>
      </c>
      <c r="AE494" s="40">
        <f>AE493*(1-IF(B493&gt;=in_marketplace_from,d_hz_hlth_small*G493,0))</f>
        <v/>
      </c>
      <c r="AF494" s="46">
        <f>AE494*IF(B494&gt;=in_marketplace_from,d_hz_hlth_small*G494,0)</f>
        <v/>
      </c>
      <c r="AG494" s="14">
        <f>F494*AF494*in_hlth_small_ticket*in_hlth_small_comm*in_ins_partner_share+F494*in_hlth_small_ticket*in_hlth_small_renew_comm*in_ins_partner_share*(in_hlth_small_renew^1*SUMIFS(AF454:AF505,B454:B505,B494-12)+in_hlth_small_renew^2*SUMIFS(AF454:AF505,B454:B505,B494-24)+in_hlth_small_renew^3*SUMIFS(AF454:AF505,B454:B505,B494-36)+in_hlth_small_renew^4*SUMIFS(AF454:AF505,B454:B505,B494-48))</f>
        <v/>
      </c>
      <c r="AH494" s="40">
        <f>AH493*(1-IF(B493&gt;=in_marketplace_from,d_hz_hlth_family*G493,0))</f>
        <v/>
      </c>
      <c r="AI494" s="46">
        <f>AH494*IF(B494&gt;=in_marketplace_from,d_hz_hlth_family*G494,0)</f>
        <v/>
      </c>
      <c r="AJ494" s="14">
        <f>F494*AI494*in_hlth_family_ticket*in_hlth_family_comm*in_ins_partner_share+F494*in_hlth_family_ticket*in_hlth_family_renew_comm*in_ins_partner_share*(in_hlth_family_renew^1*SUMIFS(AI454:AI505,B454:B505,B494-12)+in_hlth_family_renew^2*SUMIFS(AI454:AI505,B454:B505,B494-24)+in_hlth_family_renew^3*SUMIFS(AI454:AI505,B454:B505,B494-36)+in_hlth_family_renew^4*SUMIFS(AI454:AI505,B454:B505,B494-48))</f>
        <v/>
      </c>
      <c r="AK494" s="40">
        <f>AK493*(1-IF(B493&gt;=in_marketplace_from,d_hz_life_term*G493,0))</f>
        <v/>
      </c>
      <c r="AL494" s="46">
        <f>AK494*IF(B494&gt;=in_marketplace_from,d_hz_life_term*G494,0)</f>
        <v/>
      </c>
      <c r="AM494" s="14">
        <f>F494*AL494*in_life_term_ticket*in_life_term_comm*in_ins_partner_share+F494*in_life_term_ticket*in_life_term_renew_comm*in_ins_partner_share*(in_life_term_renew^1*SUMIFS(AL454:AL505,B454:B505,B494-12)+in_life_term_renew^2*SUMIFS(AL454:AL505,B454:B505,B494-24)+in_life_term_renew^3*SUMIFS(AL454:AL505,B454:B505,B494-36)+in_life_term_renew^4*SUMIFS(AL454:AL505,B454:B505,B494-48))</f>
        <v/>
      </c>
      <c r="AN494" s="40">
        <f>AN493*(1-IF(B493&gt;=in_marketplace_from,d_hz_accident*G493,0))</f>
        <v/>
      </c>
      <c r="AO494" s="46">
        <f>AN494*IF(B494&gt;=in_marketplace_from,d_hz_accident*G494,0)</f>
        <v/>
      </c>
      <c r="AP494" s="14">
        <f>F494*AO494*in_accident_ticket*in_accident_comm*in_ins_partner_share+F494*in_accident_ticket*in_accident_renew_comm*in_ins_partner_share*(in_accident_renew^1*SUMIFS(AO454:AO505,B454:B505,B494-12)+in_accident_renew^2*SUMIFS(AO454:AO505,B454:B505,B494-24)+in_accident_renew^3*SUMIFS(AO454:AO505,B454:B505,B494-36)+in_accident_renew^4*SUMIFS(AO454:AO505,B454:B505,B494-48))</f>
        <v/>
      </c>
      <c r="AQ494" s="40">
        <f>AQ493*(1-IF(B493&gt;=in_marketplace_from,d_hz_two_wheeler*G493,0))</f>
        <v/>
      </c>
      <c r="AR494" s="46">
        <f>AQ494*IF(B494&gt;=in_marketplace_from,d_hz_two_wheeler*G494,0)</f>
        <v/>
      </c>
      <c r="AS494" s="14">
        <f>F494*AR494*in_two_wheeler_ticket*in_two_wheeler_comm*in_ins_partner_share+F494*in_two_wheeler_ticket*in_two_wheeler_comm*in_ins_partner_share*(in_two_wheeler_renew^1*SUMIFS(AR454:AR505,B454:B505,B494-12)+in_two_wheeler_renew^2*SUMIFS(AR454:AR505,B454:B505,B494-24)+in_two_wheeler_renew^3*SUMIFS(AR454:AR505,B454:B505,B494-36)+in_two_wheeler_renew^4*SUMIFS(AR454:AR505,B454:B505,B494-48))</f>
        <v/>
      </c>
      <c r="AT494" s="40">
        <f>AT493*(1-IF(B493&gt;=in_marketplace_from,d_hz_device*G493,0))</f>
        <v/>
      </c>
      <c r="AU494" s="14">
        <f>F494*AT494*IF(B494&gt;=in_marketplace_from,d_hz_device*G494,0)*in_device_ticket*in_device_comm*in_ins_partner_share</f>
        <v/>
      </c>
      <c r="AV494" s="40">
        <f>AV493*(1-IF(B493&gt;=in_marketplace_from,d_hz_shop*G493,0))</f>
        <v/>
      </c>
      <c r="AW494" s="46">
        <f>AV494*IF(B494&gt;=in_marketplace_from,d_hz_shop*G494,0)</f>
        <v/>
      </c>
      <c r="AX494" s="14">
        <f>F494*AW494*in_shop_ticket*in_shop_comm*in_ins_partner_share+F494*in_shop_ticket*in_shop_renew_comm*in_ins_partner_share*(in_shop_renew^1*SUMIFS(AW454:AW505,B454:B505,B494-12)+in_shop_renew^2*SUMIFS(AW454:AW505,B454:B505,B494-24)+in_shop_renew^3*SUMIFS(AW454:AW505,B454:B505,B494-36)+in_shop_renew^4*SUMIFS(AW454:AW505,B454:B505,B494-48))</f>
        <v/>
      </c>
      <c r="AY494" s="40">
        <f>AY493*(1-IF(B493&gt;=in_marketplace_from,d_hz_sip*G493,0))</f>
        <v/>
      </c>
      <c r="AZ494" s="40">
        <f>AZ493*d_rho_sip+AY494*IF(B494&gt;=in_marketplace_from,d_hz_sip*G494,0)</f>
        <v/>
      </c>
      <c r="BA494" s="40">
        <f>d_rho_sip*(BA493+AZ493)</f>
        <v/>
      </c>
      <c r="BB494" s="14">
        <f>F494*in_sip_ticket*(BA494+0.5*AZ494)*in_sip_comm/12</f>
        <v/>
      </c>
      <c r="BC494" s="40">
        <f>BC493*(1-IF(B493&gt;=in_marketplace_from,d_hz_choti*G493,0))</f>
        <v/>
      </c>
      <c r="BD494" s="46">
        <f>BC494*IF(B494&gt;=in_marketplace_from,d_hz_choti*G494,0)</f>
        <v/>
      </c>
      <c r="BE494" s="14">
        <f>F494*SUMIFS(BD454:BD505,B454:B505,B494-in_choti_months)*in_choti_renew*in_choti_ticket</f>
        <v/>
      </c>
      <c r="BF494" s="40">
        <f>BF493*(1-IF(B493&gt;=in_marketplace_from,d_hz_nps*G493,0))</f>
        <v/>
      </c>
      <c r="BG494" s="14">
        <f>F494*BF494*IF(B494&gt;=in_marketplace_from,d_hz_nps*G494,0)*in_nps_ticket*in_nps_comm</f>
        <v/>
      </c>
      <c r="BH494" s="40">
        <f>BH493*(1-IF(B493&gt;=in_marketplace_from,d_hz_gold*G493,0))</f>
        <v/>
      </c>
      <c r="BI494" s="40">
        <f>BI493*d_rho_gold+BH494*IF(B494&gt;=in_marketplace_from,d_hz_gold*G494,0)</f>
        <v/>
      </c>
      <c r="BJ494" s="14">
        <f>F494*BI494*in_gold_ticket*in_gold_comm</f>
        <v/>
      </c>
      <c r="BK494" s="40">
        <f>BK493*(1-IF(B493&gt;=in_marketplace_from,d_hz_fd*G493,0))</f>
        <v/>
      </c>
      <c r="BL494" s="14">
        <f>F494*BK494*IF(B494&gt;=in_marketplace_from,d_hz_fd*G494,0)*in_fd_ticket*in_fd_comm</f>
        <v/>
      </c>
      <c r="BM494" s="40">
        <f>BM493*(1-IF(B493&gt;=in_marketplace_from,d_hz_recharge*G493,0))</f>
        <v/>
      </c>
      <c r="BN494" s="40">
        <f>BN493*d_rho_recharge+BM494*IF(B494&gt;=in_marketplace_from,d_hz_recharge*G494,0)</f>
        <v/>
      </c>
      <c r="BO494" s="14">
        <f>F494*BN494*in_recharge_ticket*in_recharge_comm/12</f>
        <v/>
      </c>
      <c r="BP494" s="40">
        <f>BP493*(1-IF(B493&gt;=in_marketplace_from,d_hz_bills*G493,0))</f>
        <v/>
      </c>
      <c r="BQ494" s="40">
        <f>BQ493*d_rho_bills+BP494*IF(B494&gt;=in_marketplace_from,d_hz_bills*G494,0)</f>
        <v/>
      </c>
      <c r="BR494" s="14">
        <f>F494*BQ494*in_bills_ticket*in_bills_comm/12</f>
        <v/>
      </c>
      <c r="BS494" s="40">
        <f>BS493*(1-IF(B493&gt;=in_marketplace_from,d_hz_loan_gold*G493,0))</f>
        <v/>
      </c>
      <c r="BT494" s="14">
        <f>F494*BS494*IF(B494&gt;=in_marketplace_from,d_hz_loan_gold*G494,0)*in_loan_gold_ticket*in_loan_gold_comm</f>
        <v/>
      </c>
      <c r="BU494" s="40">
        <f>BU493*(1-IF(B493&gt;=in_marketplace_from,d_hz_loan_cd*G493,0))</f>
        <v/>
      </c>
      <c r="BV494" s="14">
        <f>F494*BU494*IF(B494&gt;=in_marketplace_from,d_hz_loan_cd*G494,0)*in_loan_cd_ticket*in_loan_cd_comm</f>
        <v/>
      </c>
      <c r="BW494" s="40">
        <f>BW493*(1-IF(B493&gt;=in_marketplace_from,d_hz_loan_vehicle*G493,0))</f>
        <v/>
      </c>
      <c r="BX494" s="14">
        <f>F494*BW494*IF(B494&gt;=in_marketplace_from,d_hz_loan_vehicle*G494,0)*in_loan_vehicle_ticket*in_loan_vehicle_comm</f>
        <v/>
      </c>
      <c r="BY494" s="40">
        <f>BY493*(1-IF(B493&gt;=in_marketplace_from,d_hz_loan_home*G493,0)*BZ493)</f>
        <v/>
      </c>
      <c r="BZ494" s="11">
        <f>MIN(in_approval_cap,in_loan_home_approval*INDEX('Age profile'!$O$2:$O$61,B494)*(1+in_approval_growth)^(D494-1))</f>
        <v/>
      </c>
      <c r="CA494" s="14">
        <f>F494*BY494*IF(B494&gt;=in_marketplace_from,d_hz_loan_home*G494,0)*BZ494*in_loan_home_ticket*in_loan_home_comm</f>
        <v/>
      </c>
      <c r="CB494" s="40">
        <f>CB493*(1-IF(B493&gt;=in_marketplace_from,d_hz_loan_lap*G493,0)*CC493)</f>
        <v/>
      </c>
      <c r="CC494" s="11">
        <f>MIN(in_approval_cap,in_loan_lap_approval*INDEX('Age profile'!$O$2:$O$61,B494)*(1+in_approval_growth)^(D494-1))</f>
        <v/>
      </c>
      <c r="CD494" s="14">
        <f>F494*CB494*IF(B494&gt;=in_marketplace_from,d_hz_loan_lap*G494,0)*CC494*in_loan_lap_ticket*in_loan_lap_comm</f>
        <v/>
      </c>
      <c r="CE494" s="14">
        <f>AA494+AB494+AC494+AD494+AG494+AJ494+AM494+AP494+AS494+AU494+AX494+BB494+BE494+BG494+BJ494+BL494+BO494+BR494+BT494+BV494+BX494+CA494+CD494</f>
        <v/>
      </c>
    </row>
    <row r="495">
      <c r="A495" s="39" t="n">
        <v>9</v>
      </c>
      <c r="B495" s="39" t="n">
        <v>42</v>
      </c>
      <c r="C495" s="39">
        <f>A495+B495-1</f>
        <v/>
      </c>
      <c r="D495" s="39">
        <f>INT((C495-1)/12)+1</f>
        <v/>
      </c>
      <c r="E495" s="44">
        <f>INDEX(Monthly!$B$2:$B$61,A495)</f>
        <v/>
      </c>
      <c r="F495" s="44">
        <f>E495*INDEX('Age profile'!$B$2:$B$61,B495)</f>
        <v/>
      </c>
      <c r="G495" s="45">
        <f>MIN(in_takeup_cap,INDEX('Age profile'!$N$2:$N$61,B495)*(1+in_takeup_growth)^(D495-1))</f>
        <v/>
      </c>
      <c r="H495" s="11">
        <f>MIN(in_approval_cap,in_approved_first*INDEX('Age profile'!$O$2:$O$61,B495)*(1+in_approval_growth)^(D495-1))</f>
        <v/>
      </c>
      <c r="I495" s="45">
        <f>G495*MIN(in_takeup_cap,INDEX('Age profile'!$O$2:$O$61,B495)*(1+in_approval_growth)^(D495-1))</f>
        <v/>
      </c>
      <c r="J495" s="40">
        <f>(J494-L494)*F495/F494</f>
        <v/>
      </c>
      <c r="K495" s="40">
        <f>(K494-M494)*F495/F494+SUMIFS(O454:O494,B454:B494,B495-1-d_T)*F495</f>
        <v/>
      </c>
      <c r="L495" s="40">
        <f>IF(B495&gt;=in_marketplace_from,J495*d_hz*G495*in_eligible*H495,0)</f>
        <v/>
      </c>
      <c r="M495" s="40">
        <f>IF(B495&gt;=in_marketplace_from,K495*d_hz*G495*in_eligible*in_approved_repeat,0)</f>
        <v/>
      </c>
      <c r="N495" s="40">
        <f>L495+M495</f>
        <v/>
      </c>
      <c r="O495" s="46">
        <f>N495/F495</f>
        <v/>
      </c>
      <c r="P495" s="40">
        <f>F495-J495-K495</f>
        <v/>
      </c>
      <c r="Q495" s="40">
        <f>IF(B495&gt;=in_marketplace_from,(J495+K495)*d_hz*G495,0)</f>
        <v/>
      </c>
      <c r="R495" s="40">
        <f>SUMIFS(N454:N505,B454:B505,"&gt;="&amp;(B495-d_T),B454:B505,"&lt;="&amp;(B495-1))</f>
        <v/>
      </c>
      <c r="S495" s="46">
        <f>(1-d_u)*S494+IF(d_T&gt;in_topup_lag,SUMIFS(O454:O505,B454:B505,B495-in_topup_lag)-d_udrop*SUMIFS(O454:O505,B454:B505,B495-d_T),0)</f>
        <v/>
      </c>
      <c r="T495" s="40">
        <f>F495*d_u*S495</f>
        <v/>
      </c>
      <c r="U495" s="9">
        <f>L495*in_ticket+M495*d_rep_ticket</f>
        <v/>
      </c>
      <c r="V495" s="9">
        <f>U495+T495*d_topup_amt</f>
        <v/>
      </c>
      <c r="W495" s="40">
        <f>N495+T495*d_topup_ratio</f>
        <v/>
      </c>
      <c r="X495" s="40">
        <f>SUMIFS(W454:W505,B454:B505,B495-in_dpd_lag)*d_cured</f>
        <v/>
      </c>
      <c r="Y495" s="40">
        <f>SUMIFS(W454:W505,B454:B505,B495-in_rec_lag)*d_recd</f>
        <v/>
      </c>
      <c r="Z495" s="40">
        <f>IF(AND(B495&gt;=in_marketplace_from,B495&lt;in_marketplace_from+in_card_months),in_card_share/in_card_months*F495*I495,IF(AND(B495&gt;=in_marketplace_from+in_card_months,B495&lt;in_marketplace_from+2*in_card_months),in_card_share*d_card_rem/in_card_months*F495*MIN(in_takeup_cap,(1+in_takeup_growth)^(D495-1))*MIN(in_takeup_cap,(1+in_approval_growth)^(D495-1)),0))</f>
        <v/>
      </c>
      <c r="AA495" s="14">
        <f>V495*in_fee*(1-in_taken_back)</f>
        <v/>
      </c>
      <c r="AB495" s="14">
        <f>SUMIFS(W454:W505,B454:B505,B495-in_dpd_lag)*d_dpd</f>
        <v/>
      </c>
      <c r="AC495" s="14">
        <f>SUMIFS(W454:W505,B454:B505,B495-in_rec_lag)*d_rec</f>
        <v/>
      </c>
      <c r="AD495" s="14">
        <f>Z495*in_card_fee</f>
        <v/>
      </c>
      <c r="AE495" s="40">
        <f>AE494*(1-IF(B494&gt;=in_marketplace_from,d_hz_hlth_small*G494,0))</f>
        <v/>
      </c>
      <c r="AF495" s="46">
        <f>AE495*IF(B495&gt;=in_marketplace_from,d_hz_hlth_small*G495,0)</f>
        <v/>
      </c>
      <c r="AG495" s="14">
        <f>F495*AF495*in_hlth_small_ticket*in_hlth_small_comm*in_ins_partner_share+F495*in_hlth_small_ticket*in_hlth_small_renew_comm*in_ins_partner_share*(in_hlth_small_renew^1*SUMIFS(AF454:AF505,B454:B505,B495-12)+in_hlth_small_renew^2*SUMIFS(AF454:AF505,B454:B505,B495-24)+in_hlth_small_renew^3*SUMIFS(AF454:AF505,B454:B505,B495-36)+in_hlth_small_renew^4*SUMIFS(AF454:AF505,B454:B505,B495-48))</f>
        <v/>
      </c>
      <c r="AH495" s="40">
        <f>AH494*(1-IF(B494&gt;=in_marketplace_from,d_hz_hlth_family*G494,0))</f>
        <v/>
      </c>
      <c r="AI495" s="46">
        <f>AH495*IF(B495&gt;=in_marketplace_from,d_hz_hlth_family*G495,0)</f>
        <v/>
      </c>
      <c r="AJ495" s="14">
        <f>F495*AI495*in_hlth_family_ticket*in_hlth_family_comm*in_ins_partner_share+F495*in_hlth_family_ticket*in_hlth_family_renew_comm*in_ins_partner_share*(in_hlth_family_renew^1*SUMIFS(AI454:AI505,B454:B505,B495-12)+in_hlth_family_renew^2*SUMIFS(AI454:AI505,B454:B505,B495-24)+in_hlth_family_renew^3*SUMIFS(AI454:AI505,B454:B505,B495-36)+in_hlth_family_renew^4*SUMIFS(AI454:AI505,B454:B505,B495-48))</f>
        <v/>
      </c>
      <c r="AK495" s="40">
        <f>AK494*(1-IF(B494&gt;=in_marketplace_from,d_hz_life_term*G494,0))</f>
        <v/>
      </c>
      <c r="AL495" s="46">
        <f>AK495*IF(B495&gt;=in_marketplace_from,d_hz_life_term*G495,0)</f>
        <v/>
      </c>
      <c r="AM495" s="14">
        <f>F495*AL495*in_life_term_ticket*in_life_term_comm*in_ins_partner_share+F495*in_life_term_ticket*in_life_term_renew_comm*in_ins_partner_share*(in_life_term_renew^1*SUMIFS(AL454:AL505,B454:B505,B495-12)+in_life_term_renew^2*SUMIFS(AL454:AL505,B454:B505,B495-24)+in_life_term_renew^3*SUMIFS(AL454:AL505,B454:B505,B495-36)+in_life_term_renew^4*SUMIFS(AL454:AL505,B454:B505,B495-48))</f>
        <v/>
      </c>
      <c r="AN495" s="40">
        <f>AN494*(1-IF(B494&gt;=in_marketplace_from,d_hz_accident*G494,0))</f>
        <v/>
      </c>
      <c r="AO495" s="46">
        <f>AN495*IF(B495&gt;=in_marketplace_from,d_hz_accident*G495,0)</f>
        <v/>
      </c>
      <c r="AP495" s="14">
        <f>F495*AO495*in_accident_ticket*in_accident_comm*in_ins_partner_share+F495*in_accident_ticket*in_accident_renew_comm*in_ins_partner_share*(in_accident_renew^1*SUMIFS(AO454:AO505,B454:B505,B495-12)+in_accident_renew^2*SUMIFS(AO454:AO505,B454:B505,B495-24)+in_accident_renew^3*SUMIFS(AO454:AO505,B454:B505,B495-36)+in_accident_renew^4*SUMIFS(AO454:AO505,B454:B505,B495-48))</f>
        <v/>
      </c>
      <c r="AQ495" s="40">
        <f>AQ494*(1-IF(B494&gt;=in_marketplace_from,d_hz_two_wheeler*G494,0))</f>
        <v/>
      </c>
      <c r="AR495" s="46">
        <f>AQ495*IF(B495&gt;=in_marketplace_from,d_hz_two_wheeler*G495,0)</f>
        <v/>
      </c>
      <c r="AS495" s="14">
        <f>F495*AR495*in_two_wheeler_ticket*in_two_wheeler_comm*in_ins_partner_share+F495*in_two_wheeler_ticket*in_two_wheeler_comm*in_ins_partner_share*(in_two_wheeler_renew^1*SUMIFS(AR454:AR505,B454:B505,B495-12)+in_two_wheeler_renew^2*SUMIFS(AR454:AR505,B454:B505,B495-24)+in_two_wheeler_renew^3*SUMIFS(AR454:AR505,B454:B505,B495-36)+in_two_wheeler_renew^4*SUMIFS(AR454:AR505,B454:B505,B495-48))</f>
        <v/>
      </c>
      <c r="AT495" s="40">
        <f>AT494*(1-IF(B494&gt;=in_marketplace_from,d_hz_device*G494,0))</f>
        <v/>
      </c>
      <c r="AU495" s="14">
        <f>F495*AT495*IF(B495&gt;=in_marketplace_from,d_hz_device*G495,0)*in_device_ticket*in_device_comm*in_ins_partner_share</f>
        <v/>
      </c>
      <c r="AV495" s="40">
        <f>AV494*(1-IF(B494&gt;=in_marketplace_from,d_hz_shop*G494,0))</f>
        <v/>
      </c>
      <c r="AW495" s="46">
        <f>AV495*IF(B495&gt;=in_marketplace_from,d_hz_shop*G495,0)</f>
        <v/>
      </c>
      <c r="AX495" s="14">
        <f>F495*AW495*in_shop_ticket*in_shop_comm*in_ins_partner_share+F495*in_shop_ticket*in_shop_renew_comm*in_ins_partner_share*(in_shop_renew^1*SUMIFS(AW454:AW505,B454:B505,B495-12)+in_shop_renew^2*SUMIFS(AW454:AW505,B454:B505,B495-24)+in_shop_renew^3*SUMIFS(AW454:AW505,B454:B505,B495-36)+in_shop_renew^4*SUMIFS(AW454:AW505,B454:B505,B495-48))</f>
        <v/>
      </c>
      <c r="AY495" s="40">
        <f>AY494*(1-IF(B494&gt;=in_marketplace_from,d_hz_sip*G494,0))</f>
        <v/>
      </c>
      <c r="AZ495" s="40">
        <f>AZ494*d_rho_sip+AY495*IF(B495&gt;=in_marketplace_from,d_hz_sip*G495,0)</f>
        <v/>
      </c>
      <c r="BA495" s="40">
        <f>d_rho_sip*(BA494+AZ494)</f>
        <v/>
      </c>
      <c r="BB495" s="14">
        <f>F495*in_sip_ticket*(BA495+0.5*AZ495)*in_sip_comm/12</f>
        <v/>
      </c>
      <c r="BC495" s="40">
        <f>BC494*(1-IF(B494&gt;=in_marketplace_from,d_hz_choti*G494,0))</f>
        <v/>
      </c>
      <c r="BD495" s="46">
        <f>BC495*IF(B495&gt;=in_marketplace_from,d_hz_choti*G495,0)</f>
        <v/>
      </c>
      <c r="BE495" s="14">
        <f>F495*SUMIFS(BD454:BD505,B454:B505,B495-in_choti_months)*in_choti_renew*in_choti_ticket</f>
        <v/>
      </c>
      <c r="BF495" s="40">
        <f>BF494*(1-IF(B494&gt;=in_marketplace_from,d_hz_nps*G494,0))</f>
        <v/>
      </c>
      <c r="BG495" s="14">
        <f>F495*BF495*IF(B495&gt;=in_marketplace_from,d_hz_nps*G495,0)*in_nps_ticket*in_nps_comm</f>
        <v/>
      </c>
      <c r="BH495" s="40">
        <f>BH494*(1-IF(B494&gt;=in_marketplace_from,d_hz_gold*G494,0))</f>
        <v/>
      </c>
      <c r="BI495" s="40">
        <f>BI494*d_rho_gold+BH495*IF(B495&gt;=in_marketplace_from,d_hz_gold*G495,0)</f>
        <v/>
      </c>
      <c r="BJ495" s="14">
        <f>F495*BI495*in_gold_ticket*in_gold_comm</f>
        <v/>
      </c>
      <c r="BK495" s="40">
        <f>BK494*(1-IF(B494&gt;=in_marketplace_from,d_hz_fd*G494,0))</f>
        <v/>
      </c>
      <c r="BL495" s="14">
        <f>F495*BK495*IF(B495&gt;=in_marketplace_from,d_hz_fd*G495,0)*in_fd_ticket*in_fd_comm</f>
        <v/>
      </c>
      <c r="BM495" s="40">
        <f>BM494*(1-IF(B494&gt;=in_marketplace_from,d_hz_recharge*G494,0))</f>
        <v/>
      </c>
      <c r="BN495" s="40">
        <f>BN494*d_rho_recharge+BM495*IF(B495&gt;=in_marketplace_from,d_hz_recharge*G495,0)</f>
        <v/>
      </c>
      <c r="BO495" s="14">
        <f>F495*BN495*in_recharge_ticket*in_recharge_comm/12</f>
        <v/>
      </c>
      <c r="BP495" s="40">
        <f>BP494*(1-IF(B494&gt;=in_marketplace_from,d_hz_bills*G494,0))</f>
        <v/>
      </c>
      <c r="BQ495" s="40">
        <f>BQ494*d_rho_bills+BP495*IF(B495&gt;=in_marketplace_from,d_hz_bills*G495,0)</f>
        <v/>
      </c>
      <c r="BR495" s="14">
        <f>F495*BQ495*in_bills_ticket*in_bills_comm/12</f>
        <v/>
      </c>
      <c r="BS495" s="40">
        <f>BS494*(1-IF(B494&gt;=in_marketplace_from,d_hz_loan_gold*G494,0))</f>
        <v/>
      </c>
      <c r="BT495" s="14">
        <f>F495*BS495*IF(B495&gt;=in_marketplace_from,d_hz_loan_gold*G495,0)*in_loan_gold_ticket*in_loan_gold_comm</f>
        <v/>
      </c>
      <c r="BU495" s="40">
        <f>BU494*(1-IF(B494&gt;=in_marketplace_from,d_hz_loan_cd*G494,0))</f>
        <v/>
      </c>
      <c r="BV495" s="14">
        <f>F495*BU495*IF(B495&gt;=in_marketplace_from,d_hz_loan_cd*G495,0)*in_loan_cd_ticket*in_loan_cd_comm</f>
        <v/>
      </c>
      <c r="BW495" s="40">
        <f>BW494*(1-IF(B494&gt;=in_marketplace_from,d_hz_loan_vehicle*G494,0))</f>
        <v/>
      </c>
      <c r="BX495" s="14">
        <f>F495*BW495*IF(B495&gt;=in_marketplace_from,d_hz_loan_vehicle*G495,0)*in_loan_vehicle_ticket*in_loan_vehicle_comm</f>
        <v/>
      </c>
      <c r="BY495" s="40">
        <f>BY494*(1-IF(B494&gt;=in_marketplace_from,d_hz_loan_home*G494,0)*BZ494)</f>
        <v/>
      </c>
      <c r="BZ495" s="11">
        <f>MIN(in_approval_cap,in_loan_home_approval*INDEX('Age profile'!$O$2:$O$61,B495)*(1+in_approval_growth)^(D495-1))</f>
        <v/>
      </c>
      <c r="CA495" s="14">
        <f>F495*BY495*IF(B495&gt;=in_marketplace_from,d_hz_loan_home*G495,0)*BZ495*in_loan_home_ticket*in_loan_home_comm</f>
        <v/>
      </c>
      <c r="CB495" s="40">
        <f>CB494*(1-IF(B494&gt;=in_marketplace_from,d_hz_loan_lap*G494,0)*CC494)</f>
        <v/>
      </c>
      <c r="CC495" s="11">
        <f>MIN(in_approval_cap,in_loan_lap_approval*INDEX('Age profile'!$O$2:$O$61,B495)*(1+in_approval_growth)^(D495-1))</f>
        <v/>
      </c>
      <c r="CD495" s="14">
        <f>F495*CB495*IF(B495&gt;=in_marketplace_from,d_hz_loan_lap*G495,0)*CC495*in_loan_lap_ticket*in_loan_lap_comm</f>
        <v/>
      </c>
      <c r="CE495" s="14">
        <f>AA495+AB495+AC495+AD495+AG495+AJ495+AM495+AP495+AS495+AU495+AX495+BB495+BE495+BG495+BJ495+BL495+BO495+BR495+BT495+BV495+BX495+CA495+CD495</f>
        <v/>
      </c>
    </row>
    <row r="496">
      <c r="A496" s="39" t="n">
        <v>9</v>
      </c>
      <c r="B496" s="39" t="n">
        <v>43</v>
      </c>
      <c r="C496" s="39">
        <f>A496+B496-1</f>
        <v/>
      </c>
      <c r="D496" s="39">
        <f>INT((C496-1)/12)+1</f>
        <v/>
      </c>
      <c r="E496" s="44">
        <f>INDEX(Monthly!$B$2:$B$61,A496)</f>
        <v/>
      </c>
      <c r="F496" s="44">
        <f>E496*INDEX('Age profile'!$B$2:$B$61,B496)</f>
        <v/>
      </c>
      <c r="G496" s="45">
        <f>MIN(in_takeup_cap,INDEX('Age profile'!$N$2:$N$61,B496)*(1+in_takeup_growth)^(D496-1))</f>
        <v/>
      </c>
      <c r="H496" s="11">
        <f>MIN(in_approval_cap,in_approved_first*INDEX('Age profile'!$O$2:$O$61,B496)*(1+in_approval_growth)^(D496-1))</f>
        <v/>
      </c>
      <c r="I496" s="45">
        <f>G496*MIN(in_takeup_cap,INDEX('Age profile'!$O$2:$O$61,B496)*(1+in_approval_growth)^(D496-1))</f>
        <v/>
      </c>
      <c r="J496" s="40">
        <f>(J495-L495)*F496/F495</f>
        <v/>
      </c>
      <c r="K496" s="40">
        <f>(K495-M495)*F496/F495+SUMIFS(O454:O495,B454:B495,B496-1-d_T)*F496</f>
        <v/>
      </c>
      <c r="L496" s="40">
        <f>IF(B496&gt;=in_marketplace_from,J496*d_hz*G496*in_eligible*H496,0)</f>
        <v/>
      </c>
      <c r="M496" s="40">
        <f>IF(B496&gt;=in_marketplace_from,K496*d_hz*G496*in_eligible*in_approved_repeat,0)</f>
        <v/>
      </c>
      <c r="N496" s="40">
        <f>L496+M496</f>
        <v/>
      </c>
      <c r="O496" s="46">
        <f>N496/F496</f>
        <v/>
      </c>
      <c r="P496" s="40">
        <f>F496-J496-K496</f>
        <v/>
      </c>
      <c r="Q496" s="40">
        <f>IF(B496&gt;=in_marketplace_from,(J496+K496)*d_hz*G496,0)</f>
        <v/>
      </c>
      <c r="R496" s="40">
        <f>SUMIFS(N454:N505,B454:B505,"&gt;="&amp;(B496-d_T),B454:B505,"&lt;="&amp;(B496-1))</f>
        <v/>
      </c>
      <c r="S496" s="46">
        <f>(1-d_u)*S495+IF(d_T&gt;in_topup_lag,SUMIFS(O454:O505,B454:B505,B496-in_topup_lag)-d_udrop*SUMIFS(O454:O505,B454:B505,B496-d_T),0)</f>
        <v/>
      </c>
      <c r="T496" s="40">
        <f>F496*d_u*S496</f>
        <v/>
      </c>
      <c r="U496" s="9">
        <f>L496*in_ticket+M496*d_rep_ticket</f>
        <v/>
      </c>
      <c r="V496" s="9">
        <f>U496+T496*d_topup_amt</f>
        <v/>
      </c>
      <c r="W496" s="40">
        <f>N496+T496*d_topup_ratio</f>
        <v/>
      </c>
      <c r="X496" s="40">
        <f>SUMIFS(W454:W505,B454:B505,B496-in_dpd_lag)*d_cured</f>
        <v/>
      </c>
      <c r="Y496" s="40">
        <f>SUMIFS(W454:W505,B454:B505,B496-in_rec_lag)*d_recd</f>
        <v/>
      </c>
      <c r="Z496" s="40">
        <f>IF(AND(B496&gt;=in_marketplace_from,B496&lt;in_marketplace_from+in_card_months),in_card_share/in_card_months*F496*I496,IF(AND(B496&gt;=in_marketplace_from+in_card_months,B496&lt;in_marketplace_from+2*in_card_months),in_card_share*d_card_rem/in_card_months*F496*MIN(in_takeup_cap,(1+in_takeup_growth)^(D496-1))*MIN(in_takeup_cap,(1+in_approval_growth)^(D496-1)),0))</f>
        <v/>
      </c>
      <c r="AA496" s="14">
        <f>V496*in_fee*(1-in_taken_back)</f>
        <v/>
      </c>
      <c r="AB496" s="14">
        <f>SUMIFS(W454:W505,B454:B505,B496-in_dpd_lag)*d_dpd</f>
        <v/>
      </c>
      <c r="AC496" s="14">
        <f>SUMIFS(W454:W505,B454:B505,B496-in_rec_lag)*d_rec</f>
        <v/>
      </c>
      <c r="AD496" s="14">
        <f>Z496*in_card_fee</f>
        <v/>
      </c>
      <c r="AE496" s="40">
        <f>AE495*(1-IF(B495&gt;=in_marketplace_from,d_hz_hlth_small*G495,0))</f>
        <v/>
      </c>
      <c r="AF496" s="46">
        <f>AE496*IF(B496&gt;=in_marketplace_from,d_hz_hlth_small*G496,0)</f>
        <v/>
      </c>
      <c r="AG496" s="14">
        <f>F496*AF496*in_hlth_small_ticket*in_hlth_small_comm*in_ins_partner_share+F496*in_hlth_small_ticket*in_hlth_small_renew_comm*in_ins_partner_share*(in_hlth_small_renew^1*SUMIFS(AF454:AF505,B454:B505,B496-12)+in_hlth_small_renew^2*SUMIFS(AF454:AF505,B454:B505,B496-24)+in_hlth_small_renew^3*SUMIFS(AF454:AF505,B454:B505,B496-36)+in_hlth_small_renew^4*SUMIFS(AF454:AF505,B454:B505,B496-48))</f>
        <v/>
      </c>
      <c r="AH496" s="40">
        <f>AH495*(1-IF(B495&gt;=in_marketplace_from,d_hz_hlth_family*G495,0))</f>
        <v/>
      </c>
      <c r="AI496" s="46">
        <f>AH496*IF(B496&gt;=in_marketplace_from,d_hz_hlth_family*G496,0)</f>
        <v/>
      </c>
      <c r="AJ496" s="14">
        <f>F496*AI496*in_hlth_family_ticket*in_hlth_family_comm*in_ins_partner_share+F496*in_hlth_family_ticket*in_hlth_family_renew_comm*in_ins_partner_share*(in_hlth_family_renew^1*SUMIFS(AI454:AI505,B454:B505,B496-12)+in_hlth_family_renew^2*SUMIFS(AI454:AI505,B454:B505,B496-24)+in_hlth_family_renew^3*SUMIFS(AI454:AI505,B454:B505,B496-36)+in_hlth_family_renew^4*SUMIFS(AI454:AI505,B454:B505,B496-48))</f>
        <v/>
      </c>
      <c r="AK496" s="40">
        <f>AK495*(1-IF(B495&gt;=in_marketplace_from,d_hz_life_term*G495,0))</f>
        <v/>
      </c>
      <c r="AL496" s="46">
        <f>AK496*IF(B496&gt;=in_marketplace_from,d_hz_life_term*G496,0)</f>
        <v/>
      </c>
      <c r="AM496" s="14">
        <f>F496*AL496*in_life_term_ticket*in_life_term_comm*in_ins_partner_share+F496*in_life_term_ticket*in_life_term_renew_comm*in_ins_partner_share*(in_life_term_renew^1*SUMIFS(AL454:AL505,B454:B505,B496-12)+in_life_term_renew^2*SUMIFS(AL454:AL505,B454:B505,B496-24)+in_life_term_renew^3*SUMIFS(AL454:AL505,B454:B505,B496-36)+in_life_term_renew^4*SUMIFS(AL454:AL505,B454:B505,B496-48))</f>
        <v/>
      </c>
      <c r="AN496" s="40">
        <f>AN495*(1-IF(B495&gt;=in_marketplace_from,d_hz_accident*G495,0))</f>
        <v/>
      </c>
      <c r="AO496" s="46">
        <f>AN496*IF(B496&gt;=in_marketplace_from,d_hz_accident*G496,0)</f>
        <v/>
      </c>
      <c r="AP496" s="14">
        <f>F496*AO496*in_accident_ticket*in_accident_comm*in_ins_partner_share+F496*in_accident_ticket*in_accident_renew_comm*in_ins_partner_share*(in_accident_renew^1*SUMIFS(AO454:AO505,B454:B505,B496-12)+in_accident_renew^2*SUMIFS(AO454:AO505,B454:B505,B496-24)+in_accident_renew^3*SUMIFS(AO454:AO505,B454:B505,B496-36)+in_accident_renew^4*SUMIFS(AO454:AO505,B454:B505,B496-48))</f>
        <v/>
      </c>
      <c r="AQ496" s="40">
        <f>AQ495*(1-IF(B495&gt;=in_marketplace_from,d_hz_two_wheeler*G495,0))</f>
        <v/>
      </c>
      <c r="AR496" s="46">
        <f>AQ496*IF(B496&gt;=in_marketplace_from,d_hz_two_wheeler*G496,0)</f>
        <v/>
      </c>
      <c r="AS496" s="14">
        <f>F496*AR496*in_two_wheeler_ticket*in_two_wheeler_comm*in_ins_partner_share+F496*in_two_wheeler_ticket*in_two_wheeler_comm*in_ins_partner_share*(in_two_wheeler_renew^1*SUMIFS(AR454:AR505,B454:B505,B496-12)+in_two_wheeler_renew^2*SUMIFS(AR454:AR505,B454:B505,B496-24)+in_two_wheeler_renew^3*SUMIFS(AR454:AR505,B454:B505,B496-36)+in_two_wheeler_renew^4*SUMIFS(AR454:AR505,B454:B505,B496-48))</f>
        <v/>
      </c>
      <c r="AT496" s="40">
        <f>AT495*(1-IF(B495&gt;=in_marketplace_from,d_hz_device*G495,0))</f>
        <v/>
      </c>
      <c r="AU496" s="14">
        <f>F496*AT496*IF(B496&gt;=in_marketplace_from,d_hz_device*G496,0)*in_device_ticket*in_device_comm*in_ins_partner_share</f>
        <v/>
      </c>
      <c r="AV496" s="40">
        <f>AV495*(1-IF(B495&gt;=in_marketplace_from,d_hz_shop*G495,0))</f>
        <v/>
      </c>
      <c r="AW496" s="46">
        <f>AV496*IF(B496&gt;=in_marketplace_from,d_hz_shop*G496,0)</f>
        <v/>
      </c>
      <c r="AX496" s="14">
        <f>F496*AW496*in_shop_ticket*in_shop_comm*in_ins_partner_share+F496*in_shop_ticket*in_shop_renew_comm*in_ins_partner_share*(in_shop_renew^1*SUMIFS(AW454:AW505,B454:B505,B496-12)+in_shop_renew^2*SUMIFS(AW454:AW505,B454:B505,B496-24)+in_shop_renew^3*SUMIFS(AW454:AW505,B454:B505,B496-36)+in_shop_renew^4*SUMIFS(AW454:AW505,B454:B505,B496-48))</f>
        <v/>
      </c>
      <c r="AY496" s="40">
        <f>AY495*(1-IF(B495&gt;=in_marketplace_from,d_hz_sip*G495,0))</f>
        <v/>
      </c>
      <c r="AZ496" s="40">
        <f>AZ495*d_rho_sip+AY496*IF(B496&gt;=in_marketplace_from,d_hz_sip*G496,0)</f>
        <v/>
      </c>
      <c r="BA496" s="40">
        <f>d_rho_sip*(BA495+AZ495)</f>
        <v/>
      </c>
      <c r="BB496" s="14">
        <f>F496*in_sip_ticket*(BA496+0.5*AZ496)*in_sip_comm/12</f>
        <v/>
      </c>
      <c r="BC496" s="40">
        <f>BC495*(1-IF(B495&gt;=in_marketplace_from,d_hz_choti*G495,0))</f>
        <v/>
      </c>
      <c r="BD496" s="46">
        <f>BC496*IF(B496&gt;=in_marketplace_from,d_hz_choti*G496,0)</f>
        <v/>
      </c>
      <c r="BE496" s="14">
        <f>F496*SUMIFS(BD454:BD505,B454:B505,B496-in_choti_months)*in_choti_renew*in_choti_ticket</f>
        <v/>
      </c>
      <c r="BF496" s="40">
        <f>BF495*(1-IF(B495&gt;=in_marketplace_from,d_hz_nps*G495,0))</f>
        <v/>
      </c>
      <c r="BG496" s="14">
        <f>F496*BF496*IF(B496&gt;=in_marketplace_from,d_hz_nps*G496,0)*in_nps_ticket*in_nps_comm</f>
        <v/>
      </c>
      <c r="BH496" s="40">
        <f>BH495*(1-IF(B495&gt;=in_marketplace_from,d_hz_gold*G495,0))</f>
        <v/>
      </c>
      <c r="BI496" s="40">
        <f>BI495*d_rho_gold+BH496*IF(B496&gt;=in_marketplace_from,d_hz_gold*G496,0)</f>
        <v/>
      </c>
      <c r="BJ496" s="14">
        <f>F496*BI496*in_gold_ticket*in_gold_comm</f>
        <v/>
      </c>
      <c r="BK496" s="40">
        <f>BK495*(1-IF(B495&gt;=in_marketplace_from,d_hz_fd*G495,0))</f>
        <v/>
      </c>
      <c r="BL496" s="14">
        <f>F496*BK496*IF(B496&gt;=in_marketplace_from,d_hz_fd*G496,0)*in_fd_ticket*in_fd_comm</f>
        <v/>
      </c>
      <c r="BM496" s="40">
        <f>BM495*(1-IF(B495&gt;=in_marketplace_from,d_hz_recharge*G495,0))</f>
        <v/>
      </c>
      <c r="BN496" s="40">
        <f>BN495*d_rho_recharge+BM496*IF(B496&gt;=in_marketplace_from,d_hz_recharge*G496,0)</f>
        <v/>
      </c>
      <c r="BO496" s="14">
        <f>F496*BN496*in_recharge_ticket*in_recharge_comm/12</f>
        <v/>
      </c>
      <c r="BP496" s="40">
        <f>BP495*(1-IF(B495&gt;=in_marketplace_from,d_hz_bills*G495,0))</f>
        <v/>
      </c>
      <c r="BQ496" s="40">
        <f>BQ495*d_rho_bills+BP496*IF(B496&gt;=in_marketplace_from,d_hz_bills*G496,0)</f>
        <v/>
      </c>
      <c r="BR496" s="14">
        <f>F496*BQ496*in_bills_ticket*in_bills_comm/12</f>
        <v/>
      </c>
      <c r="BS496" s="40">
        <f>BS495*(1-IF(B495&gt;=in_marketplace_from,d_hz_loan_gold*G495,0))</f>
        <v/>
      </c>
      <c r="BT496" s="14">
        <f>F496*BS496*IF(B496&gt;=in_marketplace_from,d_hz_loan_gold*G496,0)*in_loan_gold_ticket*in_loan_gold_comm</f>
        <v/>
      </c>
      <c r="BU496" s="40">
        <f>BU495*(1-IF(B495&gt;=in_marketplace_from,d_hz_loan_cd*G495,0))</f>
        <v/>
      </c>
      <c r="BV496" s="14">
        <f>F496*BU496*IF(B496&gt;=in_marketplace_from,d_hz_loan_cd*G496,0)*in_loan_cd_ticket*in_loan_cd_comm</f>
        <v/>
      </c>
      <c r="BW496" s="40">
        <f>BW495*(1-IF(B495&gt;=in_marketplace_from,d_hz_loan_vehicle*G495,0))</f>
        <v/>
      </c>
      <c r="BX496" s="14">
        <f>F496*BW496*IF(B496&gt;=in_marketplace_from,d_hz_loan_vehicle*G496,0)*in_loan_vehicle_ticket*in_loan_vehicle_comm</f>
        <v/>
      </c>
      <c r="BY496" s="40">
        <f>BY495*(1-IF(B495&gt;=in_marketplace_from,d_hz_loan_home*G495,0)*BZ495)</f>
        <v/>
      </c>
      <c r="BZ496" s="11">
        <f>MIN(in_approval_cap,in_loan_home_approval*INDEX('Age profile'!$O$2:$O$61,B496)*(1+in_approval_growth)^(D496-1))</f>
        <v/>
      </c>
      <c r="CA496" s="14">
        <f>F496*BY496*IF(B496&gt;=in_marketplace_from,d_hz_loan_home*G496,0)*BZ496*in_loan_home_ticket*in_loan_home_comm</f>
        <v/>
      </c>
      <c r="CB496" s="40">
        <f>CB495*(1-IF(B495&gt;=in_marketplace_from,d_hz_loan_lap*G495,0)*CC495)</f>
        <v/>
      </c>
      <c r="CC496" s="11">
        <f>MIN(in_approval_cap,in_loan_lap_approval*INDEX('Age profile'!$O$2:$O$61,B496)*(1+in_approval_growth)^(D496-1))</f>
        <v/>
      </c>
      <c r="CD496" s="14">
        <f>F496*CB496*IF(B496&gt;=in_marketplace_from,d_hz_loan_lap*G496,0)*CC496*in_loan_lap_ticket*in_loan_lap_comm</f>
        <v/>
      </c>
      <c r="CE496" s="14">
        <f>AA496+AB496+AC496+AD496+AG496+AJ496+AM496+AP496+AS496+AU496+AX496+BB496+BE496+BG496+BJ496+BL496+BO496+BR496+BT496+BV496+BX496+CA496+CD496</f>
        <v/>
      </c>
    </row>
    <row r="497">
      <c r="A497" s="39" t="n">
        <v>9</v>
      </c>
      <c r="B497" s="39" t="n">
        <v>44</v>
      </c>
      <c r="C497" s="39">
        <f>A497+B497-1</f>
        <v/>
      </c>
      <c r="D497" s="39">
        <f>INT((C497-1)/12)+1</f>
        <v/>
      </c>
      <c r="E497" s="44">
        <f>INDEX(Monthly!$B$2:$B$61,A497)</f>
        <v/>
      </c>
      <c r="F497" s="44">
        <f>E497*INDEX('Age profile'!$B$2:$B$61,B497)</f>
        <v/>
      </c>
      <c r="G497" s="45">
        <f>MIN(in_takeup_cap,INDEX('Age profile'!$N$2:$N$61,B497)*(1+in_takeup_growth)^(D497-1))</f>
        <v/>
      </c>
      <c r="H497" s="11">
        <f>MIN(in_approval_cap,in_approved_first*INDEX('Age profile'!$O$2:$O$61,B497)*(1+in_approval_growth)^(D497-1))</f>
        <v/>
      </c>
      <c r="I497" s="45">
        <f>G497*MIN(in_takeup_cap,INDEX('Age profile'!$O$2:$O$61,B497)*(1+in_approval_growth)^(D497-1))</f>
        <v/>
      </c>
      <c r="J497" s="40">
        <f>(J496-L496)*F497/F496</f>
        <v/>
      </c>
      <c r="K497" s="40">
        <f>(K496-M496)*F497/F496+SUMIFS(O454:O496,B454:B496,B497-1-d_T)*F497</f>
        <v/>
      </c>
      <c r="L497" s="40">
        <f>IF(B497&gt;=in_marketplace_from,J497*d_hz*G497*in_eligible*H497,0)</f>
        <v/>
      </c>
      <c r="M497" s="40">
        <f>IF(B497&gt;=in_marketplace_from,K497*d_hz*G497*in_eligible*in_approved_repeat,0)</f>
        <v/>
      </c>
      <c r="N497" s="40">
        <f>L497+M497</f>
        <v/>
      </c>
      <c r="O497" s="46">
        <f>N497/F497</f>
        <v/>
      </c>
      <c r="P497" s="40">
        <f>F497-J497-K497</f>
        <v/>
      </c>
      <c r="Q497" s="40">
        <f>IF(B497&gt;=in_marketplace_from,(J497+K497)*d_hz*G497,0)</f>
        <v/>
      </c>
      <c r="R497" s="40">
        <f>SUMIFS(N454:N505,B454:B505,"&gt;="&amp;(B497-d_T),B454:B505,"&lt;="&amp;(B497-1))</f>
        <v/>
      </c>
      <c r="S497" s="46">
        <f>(1-d_u)*S496+IF(d_T&gt;in_topup_lag,SUMIFS(O454:O505,B454:B505,B497-in_topup_lag)-d_udrop*SUMIFS(O454:O505,B454:B505,B497-d_T),0)</f>
        <v/>
      </c>
      <c r="T497" s="40">
        <f>F497*d_u*S497</f>
        <v/>
      </c>
      <c r="U497" s="9">
        <f>L497*in_ticket+M497*d_rep_ticket</f>
        <v/>
      </c>
      <c r="V497" s="9">
        <f>U497+T497*d_topup_amt</f>
        <v/>
      </c>
      <c r="W497" s="40">
        <f>N497+T497*d_topup_ratio</f>
        <v/>
      </c>
      <c r="X497" s="40">
        <f>SUMIFS(W454:W505,B454:B505,B497-in_dpd_lag)*d_cured</f>
        <v/>
      </c>
      <c r="Y497" s="40">
        <f>SUMIFS(W454:W505,B454:B505,B497-in_rec_lag)*d_recd</f>
        <v/>
      </c>
      <c r="Z497" s="40">
        <f>IF(AND(B497&gt;=in_marketplace_from,B497&lt;in_marketplace_from+in_card_months),in_card_share/in_card_months*F497*I497,IF(AND(B497&gt;=in_marketplace_from+in_card_months,B497&lt;in_marketplace_from+2*in_card_months),in_card_share*d_card_rem/in_card_months*F497*MIN(in_takeup_cap,(1+in_takeup_growth)^(D497-1))*MIN(in_takeup_cap,(1+in_approval_growth)^(D497-1)),0))</f>
        <v/>
      </c>
      <c r="AA497" s="14">
        <f>V497*in_fee*(1-in_taken_back)</f>
        <v/>
      </c>
      <c r="AB497" s="14">
        <f>SUMIFS(W454:W505,B454:B505,B497-in_dpd_lag)*d_dpd</f>
        <v/>
      </c>
      <c r="AC497" s="14">
        <f>SUMIFS(W454:W505,B454:B505,B497-in_rec_lag)*d_rec</f>
        <v/>
      </c>
      <c r="AD497" s="14">
        <f>Z497*in_card_fee</f>
        <v/>
      </c>
      <c r="AE497" s="40">
        <f>AE496*(1-IF(B496&gt;=in_marketplace_from,d_hz_hlth_small*G496,0))</f>
        <v/>
      </c>
      <c r="AF497" s="46">
        <f>AE497*IF(B497&gt;=in_marketplace_from,d_hz_hlth_small*G497,0)</f>
        <v/>
      </c>
      <c r="AG497" s="14">
        <f>F497*AF497*in_hlth_small_ticket*in_hlth_small_comm*in_ins_partner_share+F497*in_hlth_small_ticket*in_hlth_small_renew_comm*in_ins_partner_share*(in_hlth_small_renew^1*SUMIFS(AF454:AF505,B454:B505,B497-12)+in_hlth_small_renew^2*SUMIFS(AF454:AF505,B454:B505,B497-24)+in_hlth_small_renew^3*SUMIFS(AF454:AF505,B454:B505,B497-36)+in_hlth_small_renew^4*SUMIFS(AF454:AF505,B454:B505,B497-48))</f>
        <v/>
      </c>
      <c r="AH497" s="40">
        <f>AH496*(1-IF(B496&gt;=in_marketplace_from,d_hz_hlth_family*G496,0))</f>
        <v/>
      </c>
      <c r="AI497" s="46">
        <f>AH497*IF(B497&gt;=in_marketplace_from,d_hz_hlth_family*G497,0)</f>
        <v/>
      </c>
      <c r="AJ497" s="14">
        <f>F497*AI497*in_hlth_family_ticket*in_hlth_family_comm*in_ins_partner_share+F497*in_hlth_family_ticket*in_hlth_family_renew_comm*in_ins_partner_share*(in_hlth_family_renew^1*SUMIFS(AI454:AI505,B454:B505,B497-12)+in_hlth_family_renew^2*SUMIFS(AI454:AI505,B454:B505,B497-24)+in_hlth_family_renew^3*SUMIFS(AI454:AI505,B454:B505,B497-36)+in_hlth_family_renew^4*SUMIFS(AI454:AI505,B454:B505,B497-48))</f>
        <v/>
      </c>
      <c r="AK497" s="40">
        <f>AK496*(1-IF(B496&gt;=in_marketplace_from,d_hz_life_term*G496,0))</f>
        <v/>
      </c>
      <c r="AL497" s="46">
        <f>AK497*IF(B497&gt;=in_marketplace_from,d_hz_life_term*G497,0)</f>
        <v/>
      </c>
      <c r="AM497" s="14">
        <f>F497*AL497*in_life_term_ticket*in_life_term_comm*in_ins_partner_share+F497*in_life_term_ticket*in_life_term_renew_comm*in_ins_partner_share*(in_life_term_renew^1*SUMIFS(AL454:AL505,B454:B505,B497-12)+in_life_term_renew^2*SUMIFS(AL454:AL505,B454:B505,B497-24)+in_life_term_renew^3*SUMIFS(AL454:AL505,B454:B505,B497-36)+in_life_term_renew^4*SUMIFS(AL454:AL505,B454:B505,B497-48))</f>
        <v/>
      </c>
      <c r="AN497" s="40">
        <f>AN496*(1-IF(B496&gt;=in_marketplace_from,d_hz_accident*G496,0))</f>
        <v/>
      </c>
      <c r="AO497" s="46">
        <f>AN497*IF(B497&gt;=in_marketplace_from,d_hz_accident*G497,0)</f>
        <v/>
      </c>
      <c r="AP497" s="14">
        <f>F497*AO497*in_accident_ticket*in_accident_comm*in_ins_partner_share+F497*in_accident_ticket*in_accident_renew_comm*in_ins_partner_share*(in_accident_renew^1*SUMIFS(AO454:AO505,B454:B505,B497-12)+in_accident_renew^2*SUMIFS(AO454:AO505,B454:B505,B497-24)+in_accident_renew^3*SUMIFS(AO454:AO505,B454:B505,B497-36)+in_accident_renew^4*SUMIFS(AO454:AO505,B454:B505,B497-48))</f>
        <v/>
      </c>
      <c r="AQ497" s="40">
        <f>AQ496*(1-IF(B496&gt;=in_marketplace_from,d_hz_two_wheeler*G496,0))</f>
        <v/>
      </c>
      <c r="AR497" s="46">
        <f>AQ497*IF(B497&gt;=in_marketplace_from,d_hz_two_wheeler*G497,0)</f>
        <v/>
      </c>
      <c r="AS497" s="14">
        <f>F497*AR497*in_two_wheeler_ticket*in_two_wheeler_comm*in_ins_partner_share+F497*in_two_wheeler_ticket*in_two_wheeler_comm*in_ins_partner_share*(in_two_wheeler_renew^1*SUMIFS(AR454:AR505,B454:B505,B497-12)+in_two_wheeler_renew^2*SUMIFS(AR454:AR505,B454:B505,B497-24)+in_two_wheeler_renew^3*SUMIFS(AR454:AR505,B454:B505,B497-36)+in_two_wheeler_renew^4*SUMIFS(AR454:AR505,B454:B505,B497-48))</f>
        <v/>
      </c>
      <c r="AT497" s="40">
        <f>AT496*(1-IF(B496&gt;=in_marketplace_from,d_hz_device*G496,0))</f>
        <v/>
      </c>
      <c r="AU497" s="14">
        <f>F497*AT497*IF(B497&gt;=in_marketplace_from,d_hz_device*G497,0)*in_device_ticket*in_device_comm*in_ins_partner_share</f>
        <v/>
      </c>
      <c r="AV497" s="40">
        <f>AV496*(1-IF(B496&gt;=in_marketplace_from,d_hz_shop*G496,0))</f>
        <v/>
      </c>
      <c r="AW497" s="46">
        <f>AV497*IF(B497&gt;=in_marketplace_from,d_hz_shop*G497,0)</f>
        <v/>
      </c>
      <c r="AX497" s="14">
        <f>F497*AW497*in_shop_ticket*in_shop_comm*in_ins_partner_share+F497*in_shop_ticket*in_shop_renew_comm*in_ins_partner_share*(in_shop_renew^1*SUMIFS(AW454:AW505,B454:B505,B497-12)+in_shop_renew^2*SUMIFS(AW454:AW505,B454:B505,B497-24)+in_shop_renew^3*SUMIFS(AW454:AW505,B454:B505,B497-36)+in_shop_renew^4*SUMIFS(AW454:AW505,B454:B505,B497-48))</f>
        <v/>
      </c>
      <c r="AY497" s="40">
        <f>AY496*(1-IF(B496&gt;=in_marketplace_from,d_hz_sip*G496,0))</f>
        <v/>
      </c>
      <c r="AZ497" s="40">
        <f>AZ496*d_rho_sip+AY497*IF(B497&gt;=in_marketplace_from,d_hz_sip*G497,0)</f>
        <v/>
      </c>
      <c r="BA497" s="40">
        <f>d_rho_sip*(BA496+AZ496)</f>
        <v/>
      </c>
      <c r="BB497" s="14">
        <f>F497*in_sip_ticket*(BA497+0.5*AZ497)*in_sip_comm/12</f>
        <v/>
      </c>
      <c r="BC497" s="40">
        <f>BC496*(1-IF(B496&gt;=in_marketplace_from,d_hz_choti*G496,0))</f>
        <v/>
      </c>
      <c r="BD497" s="46">
        <f>BC497*IF(B497&gt;=in_marketplace_from,d_hz_choti*G497,0)</f>
        <v/>
      </c>
      <c r="BE497" s="14">
        <f>F497*SUMIFS(BD454:BD505,B454:B505,B497-in_choti_months)*in_choti_renew*in_choti_ticket</f>
        <v/>
      </c>
      <c r="BF497" s="40">
        <f>BF496*(1-IF(B496&gt;=in_marketplace_from,d_hz_nps*G496,0))</f>
        <v/>
      </c>
      <c r="BG497" s="14">
        <f>F497*BF497*IF(B497&gt;=in_marketplace_from,d_hz_nps*G497,0)*in_nps_ticket*in_nps_comm</f>
        <v/>
      </c>
      <c r="BH497" s="40">
        <f>BH496*(1-IF(B496&gt;=in_marketplace_from,d_hz_gold*G496,0))</f>
        <v/>
      </c>
      <c r="BI497" s="40">
        <f>BI496*d_rho_gold+BH497*IF(B497&gt;=in_marketplace_from,d_hz_gold*G497,0)</f>
        <v/>
      </c>
      <c r="BJ497" s="14">
        <f>F497*BI497*in_gold_ticket*in_gold_comm</f>
        <v/>
      </c>
      <c r="BK497" s="40">
        <f>BK496*(1-IF(B496&gt;=in_marketplace_from,d_hz_fd*G496,0))</f>
        <v/>
      </c>
      <c r="BL497" s="14">
        <f>F497*BK497*IF(B497&gt;=in_marketplace_from,d_hz_fd*G497,0)*in_fd_ticket*in_fd_comm</f>
        <v/>
      </c>
      <c r="BM497" s="40">
        <f>BM496*(1-IF(B496&gt;=in_marketplace_from,d_hz_recharge*G496,0))</f>
        <v/>
      </c>
      <c r="BN497" s="40">
        <f>BN496*d_rho_recharge+BM497*IF(B497&gt;=in_marketplace_from,d_hz_recharge*G497,0)</f>
        <v/>
      </c>
      <c r="BO497" s="14">
        <f>F497*BN497*in_recharge_ticket*in_recharge_comm/12</f>
        <v/>
      </c>
      <c r="BP497" s="40">
        <f>BP496*(1-IF(B496&gt;=in_marketplace_from,d_hz_bills*G496,0))</f>
        <v/>
      </c>
      <c r="BQ497" s="40">
        <f>BQ496*d_rho_bills+BP497*IF(B497&gt;=in_marketplace_from,d_hz_bills*G497,0)</f>
        <v/>
      </c>
      <c r="BR497" s="14">
        <f>F497*BQ497*in_bills_ticket*in_bills_comm/12</f>
        <v/>
      </c>
      <c r="BS497" s="40">
        <f>BS496*(1-IF(B496&gt;=in_marketplace_from,d_hz_loan_gold*G496,0))</f>
        <v/>
      </c>
      <c r="BT497" s="14">
        <f>F497*BS497*IF(B497&gt;=in_marketplace_from,d_hz_loan_gold*G497,0)*in_loan_gold_ticket*in_loan_gold_comm</f>
        <v/>
      </c>
      <c r="BU497" s="40">
        <f>BU496*(1-IF(B496&gt;=in_marketplace_from,d_hz_loan_cd*G496,0))</f>
        <v/>
      </c>
      <c r="BV497" s="14">
        <f>F497*BU497*IF(B497&gt;=in_marketplace_from,d_hz_loan_cd*G497,0)*in_loan_cd_ticket*in_loan_cd_comm</f>
        <v/>
      </c>
      <c r="BW497" s="40">
        <f>BW496*(1-IF(B496&gt;=in_marketplace_from,d_hz_loan_vehicle*G496,0))</f>
        <v/>
      </c>
      <c r="BX497" s="14">
        <f>F497*BW497*IF(B497&gt;=in_marketplace_from,d_hz_loan_vehicle*G497,0)*in_loan_vehicle_ticket*in_loan_vehicle_comm</f>
        <v/>
      </c>
      <c r="BY497" s="40">
        <f>BY496*(1-IF(B496&gt;=in_marketplace_from,d_hz_loan_home*G496,0)*BZ496)</f>
        <v/>
      </c>
      <c r="BZ497" s="11">
        <f>MIN(in_approval_cap,in_loan_home_approval*INDEX('Age profile'!$O$2:$O$61,B497)*(1+in_approval_growth)^(D497-1))</f>
        <v/>
      </c>
      <c r="CA497" s="14">
        <f>F497*BY497*IF(B497&gt;=in_marketplace_from,d_hz_loan_home*G497,0)*BZ497*in_loan_home_ticket*in_loan_home_comm</f>
        <v/>
      </c>
      <c r="CB497" s="40">
        <f>CB496*(1-IF(B496&gt;=in_marketplace_from,d_hz_loan_lap*G496,0)*CC496)</f>
        <v/>
      </c>
      <c r="CC497" s="11">
        <f>MIN(in_approval_cap,in_loan_lap_approval*INDEX('Age profile'!$O$2:$O$61,B497)*(1+in_approval_growth)^(D497-1))</f>
        <v/>
      </c>
      <c r="CD497" s="14">
        <f>F497*CB497*IF(B497&gt;=in_marketplace_from,d_hz_loan_lap*G497,0)*CC497*in_loan_lap_ticket*in_loan_lap_comm</f>
        <v/>
      </c>
      <c r="CE497" s="14">
        <f>AA497+AB497+AC497+AD497+AG497+AJ497+AM497+AP497+AS497+AU497+AX497+BB497+BE497+BG497+BJ497+BL497+BO497+BR497+BT497+BV497+BX497+CA497+CD497</f>
        <v/>
      </c>
    </row>
    <row r="498">
      <c r="A498" s="39" t="n">
        <v>9</v>
      </c>
      <c r="B498" s="39" t="n">
        <v>45</v>
      </c>
      <c r="C498" s="39">
        <f>A498+B498-1</f>
        <v/>
      </c>
      <c r="D498" s="39">
        <f>INT((C498-1)/12)+1</f>
        <v/>
      </c>
      <c r="E498" s="44">
        <f>INDEX(Monthly!$B$2:$B$61,A498)</f>
        <v/>
      </c>
      <c r="F498" s="44">
        <f>E498*INDEX('Age profile'!$B$2:$B$61,B498)</f>
        <v/>
      </c>
      <c r="G498" s="45">
        <f>MIN(in_takeup_cap,INDEX('Age profile'!$N$2:$N$61,B498)*(1+in_takeup_growth)^(D498-1))</f>
        <v/>
      </c>
      <c r="H498" s="11">
        <f>MIN(in_approval_cap,in_approved_first*INDEX('Age profile'!$O$2:$O$61,B498)*(1+in_approval_growth)^(D498-1))</f>
        <v/>
      </c>
      <c r="I498" s="45">
        <f>G498*MIN(in_takeup_cap,INDEX('Age profile'!$O$2:$O$61,B498)*(1+in_approval_growth)^(D498-1))</f>
        <v/>
      </c>
      <c r="J498" s="40">
        <f>(J497-L497)*F498/F497</f>
        <v/>
      </c>
      <c r="K498" s="40">
        <f>(K497-M497)*F498/F497+SUMIFS(O454:O497,B454:B497,B498-1-d_T)*F498</f>
        <v/>
      </c>
      <c r="L498" s="40">
        <f>IF(B498&gt;=in_marketplace_from,J498*d_hz*G498*in_eligible*H498,0)</f>
        <v/>
      </c>
      <c r="M498" s="40">
        <f>IF(B498&gt;=in_marketplace_from,K498*d_hz*G498*in_eligible*in_approved_repeat,0)</f>
        <v/>
      </c>
      <c r="N498" s="40">
        <f>L498+M498</f>
        <v/>
      </c>
      <c r="O498" s="46">
        <f>N498/F498</f>
        <v/>
      </c>
      <c r="P498" s="40">
        <f>F498-J498-K498</f>
        <v/>
      </c>
      <c r="Q498" s="40">
        <f>IF(B498&gt;=in_marketplace_from,(J498+K498)*d_hz*G498,0)</f>
        <v/>
      </c>
      <c r="R498" s="40">
        <f>SUMIFS(N454:N505,B454:B505,"&gt;="&amp;(B498-d_T),B454:B505,"&lt;="&amp;(B498-1))</f>
        <v/>
      </c>
      <c r="S498" s="46">
        <f>(1-d_u)*S497+IF(d_T&gt;in_topup_lag,SUMIFS(O454:O505,B454:B505,B498-in_topup_lag)-d_udrop*SUMIFS(O454:O505,B454:B505,B498-d_T),0)</f>
        <v/>
      </c>
      <c r="T498" s="40">
        <f>F498*d_u*S498</f>
        <v/>
      </c>
      <c r="U498" s="9">
        <f>L498*in_ticket+M498*d_rep_ticket</f>
        <v/>
      </c>
      <c r="V498" s="9">
        <f>U498+T498*d_topup_amt</f>
        <v/>
      </c>
      <c r="W498" s="40">
        <f>N498+T498*d_topup_ratio</f>
        <v/>
      </c>
      <c r="X498" s="40">
        <f>SUMIFS(W454:W505,B454:B505,B498-in_dpd_lag)*d_cured</f>
        <v/>
      </c>
      <c r="Y498" s="40">
        <f>SUMIFS(W454:W505,B454:B505,B498-in_rec_lag)*d_recd</f>
        <v/>
      </c>
      <c r="Z498" s="40">
        <f>IF(AND(B498&gt;=in_marketplace_from,B498&lt;in_marketplace_from+in_card_months),in_card_share/in_card_months*F498*I498,IF(AND(B498&gt;=in_marketplace_from+in_card_months,B498&lt;in_marketplace_from+2*in_card_months),in_card_share*d_card_rem/in_card_months*F498*MIN(in_takeup_cap,(1+in_takeup_growth)^(D498-1))*MIN(in_takeup_cap,(1+in_approval_growth)^(D498-1)),0))</f>
        <v/>
      </c>
      <c r="AA498" s="14">
        <f>V498*in_fee*(1-in_taken_back)</f>
        <v/>
      </c>
      <c r="AB498" s="14">
        <f>SUMIFS(W454:W505,B454:B505,B498-in_dpd_lag)*d_dpd</f>
        <v/>
      </c>
      <c r="AC498" s="14">
        <f>SUMIFS(W454:W505,B454:B505,B498-in_rec_lag)*d_rec</f>
        <v/>
      </c>
      <c r="AD498" s="14">
        <f>Z498*in_card_fee</f>
        <v/>
      </c>
      <c r="AE498" s="40">
        <f>AE497*(1-IF(B497&gt;=in_marketplace_from,d_hz_hlth_small*G497,0))</f>
        <v/>
      </c>
      <c r="AF498" s="46">
        <f>AE498*IF(B498&gt;=in_marketplace_from,d_hz_hlth_small*G498,0)</f>
        <v/>
      </c>
      <c r="AG498" s="14">
        <f>F498*AF498*in_hlth_small_ticket*in_hlth_small_comm*in_ins_partner_share+F498*in_hlth_small_ticket*in_hlth_small_renew_comm*in_ins_partner_share*(in_hlth_small_renew^1*SUMIFS(AF454:AF505,B454:B505,B498-12)+in_hlth_small_renew^2*SUMIFS(AF454:AF505,B454:B505,B498-24)+in_hlth_small_renew^3*SUMIFS(AF454:AF505,B454:B505,B498-36)+in_hlth_small_renew^4*SUMIFS(AF454:AF505,B454:B505,B498-48))</f>
        <v/>
      </c>
      <c r="AH498" s="40">
        <f>AH497*(1-IF(B497&gt;=in_marketplace_from,d_hz_hlth_family*G497,0))</f>
        <v/>
      </c>
      <c r="AI498" s="46">
        <f>AH498*IF(B498&gt;=in_marketplace_from,d_hz_hlth_family*G498,0)</f>
        <v/>
      </c>
      <c r="AJ498" s="14">
        <f>F498*AI498*in_hlth_family_ticket*in_hlth_family_comm*in_ins_partner_share+F498*in_hlth_family_ticket*in_hlth_family_renew_comm*in_ins_partner_share*(in_hlth_family_renew^1*SUMIFS(AI454:AI505,B454:B505,B498-12)+in_hlth_family_renew^2*SUMIFS(AI454:AI505,B454:B505,B498-24)+in_hlth_family_renew^3*SUMIFS(AI454:AI505,B454:B505,B498-36)+in_hlth_family_renew^4*SUMIFS(AI454:AI505,B454:B505,B498-48))</f>
        <v/>
      </c>
      <c r="AK498" s="40">
        <f>AK497*(1-IF(B497&gt;=in_marketplace_from,d_hz_life_term*G497,0))</f>
        <v/>
      </c>
      <c r="AL498" s="46">
        <f>AK498*IF(B498&gt;=in_marketplace_from,d_hz_life_term*G498,0)</f>
        <v/>
      </c>
      <c r="AM498" s="14">
        <f>F498*AL498*in_life_term_ticket*in_life_term_comm*in_ins_partner_share+F498*in_life_term_ticket*in_life_term_renew_comm*in_ins_partner_share*(in_life_term_renew^1*SUMIFS(AL454:AL505,B454:B505,B498-12)+in_life_term_renew^2*SUMIFS(AL454:AL505,B454:B505,B498-24)+in_life_term_renew^3*SUMIFS(AL454:AL505,B454:B505,B498-36)+in_life_term_renew^4*SUMIFS(AL454:AL505,B454:B505,B498-48))</f>
        <v/>
      </c>
      <c r="AN498" s="40">
        <f>AN497*(1-IF(B497&gt;=in_marketplace_from,d_hz_accident*G497,0))</f>
        <v/>
      </c>
      <c r="AO498" s="46">
        <f>AN498*IF(B498&gt;=in_marketplace_from,d_hz_accident*G498,0)</f>
        <v/>
      </c>
      <c r="AP498" s="14">
        <f>F498*AO498*in_accident_ticket*in_accident_comm*in_ins_partner_share+F498*in_accident_ticket*in_accident_renew_comm*in_ins_partner_share*(in_accident_renew^1*SUMIFS(AO454:AO505,B454:B505,B498-12)+in_accident_renew^2*SUMIFS(AO454:AO505,B454:B505,B498-24)+in_accident_renew^3*SUMIFS(AO454:AO505,B454:B505,B498-36)+in_accident_renew^4*SUMIFS(AO454:AO505,B454:B505,B498-48))</f>
        <v/>
      </c>
      <c r="AQ498" s="40">
        <f>AQ497*(1-IF(B497&gt;=in_marketplace_from,d_hz_two_wheeler*G497,0))</f>
        <v/>
      </c>
      <c r="AR498" s="46">
        <f>AQ498*IF(B498&gt;=in_marketplace_from,d_hz_two_wheeler*G498,0)</f>
        <v/>
      </c>
      <c r="AS498" s="14">
        <f>F498*AR498*in_two_wheeler_ticket*in_two_wheeler_comm*in_ins_partner_share+F498*in_two_wheeler_ticket*in_two_wheeler_comm*in_ins_partner_share*(in_two_wheeler_renew^1*SUMIFS(AR454:AR505,B454:B505,B498-12)+in_two_wheeler_renew^2*SUMIFS(AR454:AR505,B454:B505,B498-24)+in_two_wheeler_renew^3*SUMIFS(AR454:AR505,B454:B505,B498-36)+in_two_wheeler_renew^4*SUMIFS(AR454:AR505,B454:B505,B498-48))</f>
        <v/>
      </c>
      <c r="AT498" s="40">
        <f>AT497*(1-IF(B497&gt;=in_marketplace_from,d_hz_device*G497,0))</f>
        <v/>
      </c>
      <c r="AU498" s="14">
        <f>F498*AT498*IF(B498&gt;=in_marketplace_from,d_hz_device*G498,0)*in_device_ticket*in_device_comm*in_ins_partner_share</f>
        <v/>
      </c>
      <c r="AV498" s="40">
        <f>AV497*(1-IF(B497&gt;=in_marketplace_from,d_hz_shop*G497,0))</f>
        <v/>
      </c>
      <c r="AW498" s="46">
        <f>AV498*IF(B498&gt;=in_marketplace_from,d_hz_shop*G498,0)</f>
        <v/>
      </c>
      <c r="AX498" s="14">
        <f>F498*AW498*in_shop_ticket*in_shop_comm*in_ins_partner_share+F498*in_shop_ticket*in_shop_renew_comm*in_ins_partner_share*(in_shop_renew^1*SUMIFS(AW454:AW505,B454:B505,B498-12)+in_shop_renew^2*SUMIFS(AW454:AW505,B454:B505,B498-24)+in_shop_renew^3*SUMIFS(AW454:AW505,B454:B505,B498-36)+in_shop_renew^4*SUMIFS(AW454:AW505,B454:B505,B498-48))</f>
        <v/>
      </c>
      <c r="AY498" s="40">
        <f>AY497*(1-IF(B497&gt;=in_marketplace_from,d_hz_sip*G497,0))</f>
        <v/>
      </c>
      <c r="AZ498" s="40">
        <f>AZ497*d_rho_sip+AY498*IF(B498&gt;=in_marketplace_from,d_hz_sip*G498,0)</f>
        <v/>
      </c>
      <c r="BA498" s="40">
        <f>d_rho_sip*(BA497+AZ497)</f>
        <v/>
      </c>
      <c r="BB498" s="14">
        <f>F498*in_sip_ticket*(BA498+0.5*AZ498)*in_sip_comm/12</f>
        <v/>
      </c>
      <c r="BC498" s="40">
        <f>BC497*(1-IF(B497&gt;=in_marketplace_from,d_hz_choti*G497,0))</f>
        <v/>
      </c>
      <c r="BD498" s="46">
        <f>BC498*IF(B498&gt;=in_marketplace_from,d_hz_choti*G498,0)</f>
        <v/>
      </c>
      <c r="BE498" s="14">
        <f>F498*SUMIFS(BD454:BD505,B454:B505,B498-in_choti_months)*in_choti_renew*in_choti_ticket</f>
        <v/>
      </c>
      <c r="BF498" s="40">
        <f>BF497*(1-IF(B497&gt;=in_marketplace_from,d_hz_nps*G497,0))</f>
        <v/>
      </c>
      <c r="BG498" s="14">
        <f>F498*BF498*IF(B498&gt;=in_marketplace_from,d_hz_nps*G498,0)*in_nps_ticket*in_nps_comm</f>
        <v/>
      </c>
      <c r="BH498" s="40">
        <f>BH497*(1-IF(B497&gt;=in_marketplace_from,d_hz_gold*G497,0))</f>
        <v/>
      </c>
      <c r="BI498" s="40">
        <f>BI497*d_rho_gold+BH498*IF(B498&gt;=in_marketplace_from,d_hz_gold*G498,0)</f>
        <v/>
      </c>
      <c r="BJ498" s="14">
        <f>F498*BI498*in_gold_ticket*in_gold_comm</f>
        <v/>
      </c>
      <c r="BK498" s="40">
        <f>BK497*(1-IF(B497&gt;=in_marketplace_from,d_hz_fd*G497,0))</f>
        <v/>
      </c>
      <c r="BL498" s="14">
        <f>F498*BK498*IF(B498&gt;=in_marketplace_from,d_hz_fd*G498,0)*in_fd_ticket*in_fd_comm</f>
        <v/>
      </c>
      <c r="BM498" s="40">
        <f>BM497*(1-IF(B497&gt;=in_marketplace_from,d_hz_recharge*G497,0))</f>
        <v/>
      </c>
      <c r="BN498" s="40">
        <f>BN497*d_rho_recharge+BM498*IF(B498&gt;=in_marketplace_from,d_hz_recharge*G498,0)</f>
        <v/>
      </c>
      <c r="BO498" s="14">
        <f>F498*BN498*in_recharge_ticket*in_recharge_comm/12</f>
        <v/>
      </c>
      <c r="BP498" s="40">
        <f>BP497*(1-IF(B497&gt;=in_marketplace_from,d_hz_bills*G497,0))</f>
        <v/>
      </c>
      <c r="BQ498" s="40">
        <f>BQ497*d_rho_bills+BP498*IF(B498&gt;=in_marketplace_from,d_hz_bills*G498,0)</f>
        <v/>
      </c>
      <c r="BR498" s="14">
        <f>F498*BQ498*in_bills_ticket*in_bills_comm/12</f>
        <v/>
      </c>
      <c r="BS498" s="40">
        <f>BS497*(1-IF(B497&gt;=in_marketplace_from,d_hz_loan_gold*G497,0))</f>
        <v/>
      </c>
      <c r="BT498" s="14">
        <f>F498*BS498*IF(B498&gt;=in_marketplace_from,d_hz_loan_gold*G498,0)*in_loan_gold_ticket*in_loan_gold_comm</f>
        <v/>
      </c>
      <c r="BU498" s="40">
        <f>BU497*(1-IF(B497&gt;=in_marketplace_from,d_hz_loan_cd*G497,0))</f>
        <v/>
      </c>
      <c r="BV498" s="14">
        <f>F498*BU498*IF(B498&gt;=in_marketplace_from,d_hz_loan_cd*G498,0)*in_loan_cd_ticket*in_loan_cd_comm</f>
        <v/>
      </c>
      <c r="BW498" s="40">
        <f>BW497*(1-IF(B497&gt;=in_marketplace_from,d_hz_loan_vehicle*G497,0))</f>
        <v/>
      </c>
      <c r="BX498" s="14">
        <f>F498*BW498*IF(B498&gt;=in_marketplace_from,d_hz_loan_vehicle*G498,0)*in_loan_vehicle_ticket*in_loan_vehicle_comm</f>
        <v/>
      </c>
      <c r="BY498" s="40">
        <f>BY497*(1-IF(B497&gt;=in_marketplace_from,d_hz_loan_home*G497,0)*BZ497)</f>
        <v/>
      </c>
      <c r="BZ498" s="11">
        <f>MIN(in_approval_cap,in_loan_home_approval*INDEX('Age profile'!$O$2:$O$61,B498)*(1+in_approval_growth)^(D498-1))</f>
        <v/>
      </c>
      <c r="CA498" s="14">
        <f>F498*BY498*IF(B498&gt;=in_marketplace_from,d_hz_loan_home*G498,0)*BZ498*in_loan_home_ticket*in_loan_home_comm</f>
        <v/>
      </c>
      <c r="CB498" s="40">
        <f>CB497*(1-IF(B497&gt;=in_marketplace_from,d_hz_loan_lap*G497,0)*CC497)</f>
        <v/>
      </c>
      <c r="CC498" s="11">
        <f>MIN(in_approval_cap,in_loan_lap_approval*INDEX('Age profile'!$O$2:$O$61,B498)*(1+in_approval_growth)^(D498-1))</f>
        <v/>
      </c>
      <c r="CD498" s="14">
        <f>F498*CB498*IF(B498&gt;=in_marketplace_from,d_hz_loan_lap*G498,0)*CC498*in_loan_lap_ticket*in_loan_lap_comm</f>
        <v/>
      </c>
      <c r="CE498" s="14">
        <f>AA498+AB498+AC498+AD498+AG498+AJ498+AM498+AP498+AS498+AU498+AX498+BB498+BE498+BG498+BJ498+BL498+BO498+BR498+BT498+BV498+BX498+CA498+CD498</f>
        <v/>
      </c>
    </row>
    <row r="499">
      <c r="A499" s="39" t="n">
        <v>9</v>
      </c>
      <c r="B499" s="39" t="n">
        <v>46</v>
      </c>
      <c r="C499" s="39">
        <f>A499+B499-1</f>
        <v/>
      </c>
      <c r="D499" s="39">
        <f>INT((C499-1)/12)+1</f>
        <v/>
      </c>
      <c r="E499" s="44">
        <f>INDEX(Monthly!$B$2:$B$61,A499)</f>
        <v/>
      </c>
      <c r="F499" s="44">
        <f>E499*INDEX('Age profile'!$B$2:$B$61,B499)</f>
        <v/>
      </c>
      <c r="G499" s="45">
        <f>MIN(in_takeup_cap,INDEX('Age profile'!$N$2:$N$61,B499)*(1+in_takeup_growth)^(D499-1))</f>
        <v/>
      </c>
      <c r="H499" s="11">
        <f>MIN(in_approval_cap,in_approved_first*INDEX('Age profile'!$O$2:$O$61,B499)*(1+in_approval_growth)^(D499-1))</f>
        <v/>
      </c>
      <c r="I499" s="45">
        <f>G499*MIN(in_takeup_cap,INDEX('Age profile'!$O$2:$O$61,B499)*(1+in_approval_growth)^(D499-1))</f>
        <v/>
      </c>
      <c r="J499" s="40">
        <f>(J498-L498)*F499/F498</f>
        <v/>
      </c>
      <c r="K499" s="40">
        <f>(K498-M498)*F499/F498+SUMIFS(O454:O498,B454:B498,B499-1-d_T)*F499</f>
        <v/>
      </c>
      <c r="L499" s="40">
        <f>IF(B499&gt;=in_marketplace_from,J499*d_hz*G499*in_eligible*H499,0)</f>
        <v/>
      </c>
      <c r="M499" s="40">
        <f>IF(B499&gt;=in_marketplace_from,K499*d_hz*G499*in_eligible*in_approved_repeat,0)</f>
        <v/>
      </c>
      <c r="N499" s="40">
        <f>L499+M499</f>
        <v/>
      </c>
      <c r="O499" s="46">
        <f>N499/F499</f>
        <v/>
      </c>
      <c r="P499" s="40">
        <f>F499-J499-K499</f>
        <v/>
      </c>
      <c r="Q499" s="40">
        <f>IF(B499&gt;=in_marketplace_from,(J499+K499)*d_hz*G499,0)</f>
        <v/>
      </c>
      <c r="R499" s="40">
        <f>SUMIFS(N454:N505,B454:B505,"&gt;="&amp;(B499-d_T),B454:B505,"&lt;="&amp;(B499-1))</f>
        <v/>
      </c>
      <c r="S499" s="46">
        <f>(1-d_u)*S498+IF(d_T&gt;in_topup_lag,SUMIFS(O454:O505,B454:B505,B499-in_topup_lag)-d_udrop*SUMIFS(O454:O505,B454:B505,B499-d_T),0)</f>
        <v/>
      </c>
      <c r="T499" s="40">
        <f>F499*d_u*S499</f>
        <v/>
      </c>
      <c r="U499" s="9">
        <f>L499*in_ticket+M499*d_rep_ticket</f>
        <v/>
      </c>
      <c r="V499" s="9">
        <f>U499+T499*d_topup_amt</f>
        <v/>
      </c>
      <c r="W499" s="40">
        <f>N499+T499*d_topup_ratio</f>
        <v/>
      </c>
      <c r="X499" s="40">
        <f>SUMIFS(W454:W505,B454:B505,B499-in_dpd_lag)*d_cured</f>
        <v/>
      </c>
      <c r="Y499" s="40">
        <f>SUMIFS(W454:W505,B454:B505,B499-in_rec_lag)*d_recd</f>
        <v/>
      </c>
      <c r="Z499" s="40">
        <f>IF(AND(B499&gt;=in_marketplace_from,B499&lt;in_marketplace_from+in_card_months),in_card_share/in_card_months*F499*I499,IF(AND(B499&gt;=in_marketplace_from+in_card_months,B499&lt;in_marketplace_from+2*in_card_months),in_card_share*d_card_rem/in_card_months*F499*MIN(in_takeup_cap,(1+in_takeup_growth)^(D499-1))*MIN(in_takeup_cap,(1+in_approval_growth)^(D499-1)),0))</f>
        <v/>
      </c>
      <c r="AA499" s="14">
        <f>V499*in_fee*(1-in_taken_back)</f>
        <v/>
      </c>
      <c r="AB499" s="14">
        <f>SUMIFS(W454:W505,B454:B505,B499-in_dpd_lag)*d_dpd</f>
        <v/>
      </c>
      <c r="AC499" s="14">
        <f>SUMIFS(W454:W505,B454:B505,B499-in_rec_lag)*d_rec</f>
        <v/>
      </c>
      <c r="AD499" s="14">
        <f>Z499*in_card_fee</f>
        <v/>
      </c>
      <c r="AE499" s="40">
        <f>AE498*(1-IF(B498&gt;=in_marketplace_from,d_hz_hlth_small*G498,0))</f>
        <v/>
      </c>
      <c r="AF499" s="46">
        <f>AE499*IF(B499&gt;=in_marketplace_from,d_hz_hlth_small*G499,0)</f>
        <v/>
      </c>
      <c r="AG499" s="14">
        <f>F499*AF499*in_hlth_small_ticket*in_hlth_small_comm*in_ins_partner_share+F499*in_hlth_small_ticket*in_hlth_small_renew_comm*in_ins_partner_share*(in_hlth_small_renew^1*SUMIFS(AF454:AF505,B454:B505,B499-12)+in_hlth_small_renew^2*SUMIFS(AF454:AF505,B454:B505,B499-24)+in_hlth_small_renew^3*SUMIFS(AF454:AF505,B454:B505,B499-36)+in_hlth_small_renew^4*SUMIFS(AF454:AF505,B454:B505,B499-48))</f>
        <v/>
      </c>
      <c r="AH499" s="40">
        <f>AH498*(1-IF(B498&gt;=in_marketplace_from,d_hz_hlth_family*G498,0))</f>
        <v/>
      </c>
      <c r="AI499" s="46">
        <f>AH499*IF(B499&gt;=in_marketplace_from,d_hz_hlth_family*G499,0)</f>
        <v/>
      </c>
      <c r="AJ499" s="14">
        <f>F499*AI499*in_hlth_family_ticket*in_hlth_family_comm*in_ins_partner_share+F499*in_hlth_family_ticket*in_hlth_family_renew_comm*in_ins_partner_share*(in_hlth_family_renew^1*SUMIFS(AI454:AI505,B454:B505,B499-12)+in_hlth_family_renew^2*SUMIFS(AI454:AI505,B454:B505,B499-24)+in_hlth_family_renew^3*SUMIFS(AI454:AI505,B454:B505,B499-36)+in_hlth_family_renew^4*SUMIFS(AI454:AI505,B454:B505,B499-48))</f>
        <v/>
      </c>
      <c r="AK499" s="40">
        <f>AK498*(1-IF(B498&gt;=in_marketplace_from,d_hz_life_term*G498,0))</f>
        <v/>
      </c>
      <c r="AL499" s="46">
        <f>AK499*IF(B499&gt;=in_marketplace_from,d_hz_life_term*G499,0)</f>
        <v/>
      </c>
      <c r="AM499" s="14">
        <f>F499*AL499*in_life_term_ticket*in_life_term_comm*in_ins_partner_share+F499*in_life_term_ticket*in_life_term_renew_comm*in_ins_partner_share*(in_life_term_renew^1*SUMIFS(AL454:AL505,B454:B505,B499-12)+in_life_term_renew^2*SUMIFS(AL454:AL505,B454:B505,B499-24)+in_life_term_renew^3*SUMIFS(AL454:AL505,B454:B505,B499-36)+in_life_term_renew^4*SUMIFS(AL454:AL505,B454:B505,B499-48))</f>
        <v/>
      </c>
      <c r="AN499" s="40">
        <f>AN498*(1-IF(B498&gt;=in_marketplace_from,d_hz_accident*G498,0))</f>
        <v/>
      </c>
      <c r="AO499" s="46">
        <f>AN499*IF(B499&gt;=in_marketplace_from,d_hz_accident*G499,0)</f>
        <v/>
      </c>
      <c r="AP499" s="14">
        <f>F499*AO499*in_accident_ticket*in_accident_comm*in_ins_partner_share+F499*in_accident_ticket*in_accident_renew_comm*in_ins_partner_share*(in_accident_renew^1*SUMIFS(AO454:AO505,B454:B505,B499-12)+in_accident_renew^2*SUMIFS(AO454:AO505,B454:B505,B499-24)+in_accident_renew^3*SUMIFS(AO454:AO505,B454:B505,B499-36)+in_accident_renew^4*SUMIFS(AO454:AO505,B454:B505,B499-48))</f>
        <v/>
      </c>
      <c r="AQ499" s="40">
        <f>AQ498*(1-IF(B498&gt;=in_marketplace_from,d_hz_two_wheeler*G498,0))</f>
        <v/>
      </c>
      <c r="AR499" s="46">
        <f>AQ499*IF(B499&gt;=in_marketplace_from,d_hz_two_wheeler*G499,0)</f>
        <v/>
      </c>
      <c r="AS499" s="14">
        <f>F499*AR499*in_two_wheeler_ticket*in_two_wheeler_comm*in_ins_partner_share+F499*in_two_wheeler_ticket*in_two_wheeler_comm*in_ins_partner_share*(in_two_wheeler_renew^1*SUMIFS(AR454:AR505,B454:B505,B499-12)+in_two_wheeler_renew^2*SUMIFS(AR454:AR505,B454:B505,B499-24)+in_two_wheeler_renew^3*SUMIFS(AR454:AR505,B454:B505,B499-36)+in_two_wheeler_renew^4*SUMIFS(AR454:AR505,B454:B505,B499-48))</f>
        <v/>
      </c>
      <c r="AT499" s="40">
        <f>AT498*(1-IF(B498&gt;=in_marketplace_from,d_hz_device*G498,0))</f>
        <v/>
      </c>
      <c r="AU499" s="14">
        <f>F499*AT499*IF(B499&gt;=in_marketplace_from,d_hz_device*G499,0)*in_device_ticket*in_device_comm*in_ins_partner_share</f>
        <v/>
      </c>
      <c r="AV499" s="40">
        <f>AV498*(1-IF(B498&gt;=in_marketplace_from,d_hz_shop*G498,0))</f>
        <v/>
      </c>
      <c r="AW499" s="46">
        <f>AV499*IF(B499&gt;=in_marketplace_from,d_hz_shop*G499,0)</f>
        <v/>
      </c>
      <c r="AX499" s="14">
        <f>F499*AW499*in_shop_ticket*in_shop_comm*in_ins_partner_share+F499*in_shop_ticket*in_shop_renew_comm*in_ins_partner_share*(in_shop_renew^1*SUMIFS(AW454:AW505,B454:B505,B499-12)+in_shop_renew^2*SUMIFS(AW454:AW505,B454:B505,B499-24)+in_shop_renew^3*SUMIFS(AW454:AW505,B454:B505,B499-36)+in_shop_renew^4*SUMIFS(AW454:AW505,B454:B505,B499-48))</f>
        <v/>
      </c>
      <c r="AY499" s="40">
        <f>AY498*(1-IF(B498&gt;=in_marketplace_from,d_hz_sip*G498,0))</f>
        <v/>
      </c>
      <c r="AZ499" s="40">
        <f>AZ498*d_rho_sip+AY499*IF(B499&gt;=in_marketplace_from,d_hz_sip*G499,0)</f>
        <v/>
      </c>
      <c r="BA499" s="40">
        <f>d_rho_sip*(BA498+AZ498)</f>
        <v/>
      </c>
      <c r="BB499" s="14">
        <f>F499*in_sip_ticket*(BA499+0.5*AZ499)*in_sip_comm/12</f>
        <v/>
      </c>
      <c r="BC499" s="40">
        <f>BC498*(1-IF(B498&gt;=in_marketplace_from,d_hz_choti*G498,0))</f>
        <v/>
      </c>
      <c r="BD499" s="46">
        <f>BC499*IF(B499&gt;=in_marketplace_from,d_hz_choti*G499,0)</f>
        <v/>
      </c>
      <c r="BE499" s="14">
        <f>F499*SUMIFS(BD454:BD505,B454:B505,B499-in_choti_months)*in_choti_renew*in_choti_ticket</f>
        <v/>
      </c>
      <c r="BF499" s="40">
        <f>BF498*(1-IF(B498&gt;=in_marketplace_from,d_hz_nps*G498,0))</f>
        <v/>
      </c>
      <c r="BG499" s="14">
        <f>F499*BF499*IF(B499&gt;=in_marketplace_from,d_hz_nps*G499,0)*in_nps_ticket*in_nps_comm</f>
        <v/>
      </c>
      <c r="BH499" s="40">
        <f>BH498*(1-IF(B498&gt;=in_marketplace_from,d_hz_gold*G498,0))</f>
        <v/>
      </c>
      <c r="BI499" s="40">
        <f>BI498*d_rho_gold+BH499*IF(B499&gt;=in_marketplace_from,d_hz_gold*G499,0)</f>
        <v/>
      </c>
      <c r="BJ499" s="14">
        <f>F499*BI499*in_gold_ticket*in_gold_comm</f>
        <v/>
      </c>
      <c r="BK499" s="40">
        <f>BK498*(1-IF(B498&gt;=in_marketplace_from,d_hz_fd*G498,0))</f>
        <v/>
      </c>
      <c r="BL499" s="14">
        <f>F499*BK499*IF(B499&gt;=in_marketplace_from,d_hz_fd*G499,0)*in_fd_ticket*in_fd_comm</f>
        <v/>
      </c>
      <c r="BM499" s="40">
        <f>BM498*(1-IF(B498&gt;=in_marketplace_from,d_hz_recharge*G498,0))</f>
        <v/>
      </c>
      <c r="BN499" s="40">
        <f>BN498*d_rho_recharge+BM499*IF(B499&gt;=in_marketplace_from,d_hz_recharge*G499,0)</f>
        <v/>
      </c>
      <c r="BO499" s="14">
        <f>F499*BN499*in_recharge_ticket*in_recharge_comm/12</f>
        <v/>
      </c>
      <c r="BP499" s="40">
        <f>BP498*(1-IF(B498&gt;=in_marketplace_from,d_hz_bills*G498,0))</f>
        <v/>
      </c>
      <c r="BQ499" s="40">
        <f>BQ498*d_rho_bills+BP499*IF(B499&gt;=in_marketplace_from,d_hz_bills*G499,0)</f>
        <v/>
      </c>
      <c r="BR499" s="14">
        <f>F499*BQ499*in_bills_ticket*in_bills_comm/12</f>
        <v/>
      </c>
      <c r="BS499" s="40">
        <f>BS498*(1-IF(B498&gt;=in_marketplace_from,d_hz_loan_gold*G498,0))</f>
        <v/>
      </c>
      <c r="BT499" s="14">
        <f>F499*BS499*IF(B499&gt;=in_marketplace_from,d_hz_loan_gold*G499,0)*in_loan_gold_ticket*in_loan_gold_comm</f>
        <v/>
      </c>
      <c r="BU499" s="40">
        <f>BU498*(1-IF(B498&gt;=in_marketplace_from,d_hz_loan_cd*G498,0))</f>
        <v/>
      </c>
      <c r="BV499" s="14">
        <f>F499*BU499*IF(B499&gt;=in_marketplace_from,d_hz_loan_cd*G499,0)*in_loan_cd_ticket*in_loan_cd_comm</f>
        <v/>
      </c>
      <c r="BW499" s="40">
        <f>BW498*(1-IF(B498&gt;=in_marketplace_from,d_hz_loan_vehicle*G498,0))</f>
        <v/>
      </c>
      <c r="BX499" s="14">
        <f>F499*BW499*IF(B499&gt;=in_marketplace_from,d_hz_loan_vehicle*G499,0)*in_loan_vehicle_ticket*in_loan_vehicle_comm</f>
        <v/>
      </c>
      <c r="BY499" s="40">
        <f>BY498*(1-IF(B498&gt;=in_marketplace_from,d_hz_loan_home*G498,0)*BZ498)</f>
        <v/>
      </c>
      <c r="BZ499" s="11">
        <f>MIN(in_approval_cap,in_loan_home_approval*INDEX('Age profile'!$O$2:$O$61,B499)*(1+in_approval_growth)^(D499-1))</f>
        <v/>
      </c>
      <c r="CA499" s="14">
        <f>F499*BY499*IF(B499&gt;=in_marketplace_from,d_hz_loan_home*G499,0)*BZ499*in_loan_home_ticket*in_loan_home_comm</f>
        <v/>
      </c>
      <c r="CB499" s="40">
        <f>CB498*(1-IF(B498&gt;=in_marketplace_from,d_hz_loan_lap*G498,0)*CC498)</f>
        <v/>
      </c>
      <c r="CC499" s="11">
        <f>MIN(in_approval_cap,in_loan_lap_approval*INDEX('Age profile'!$O$2:$O$61,B499)*(1+in_approval_growth)^(D499-1))</f>
        <v/>
      </c>
      <c r="CD499" s="14">
        <f>F499*CB499*IF(B499&gt;=in_marketplace_from,d_hz_loan_lap*G499,0)*CC499*in_loan_lap_ticket*in_loan_lap_comm</f>
        <v/>
      </c>
      <c r="CE499" s="14">
        <f>AA499+AB499+AC499+AD499+AG499+AJ499+AM499+AP499+AS499+AU499+AX499+BB499+BE499+BG499+BJ499+BL499+BO499+BR499+BT499+BV499+BX499+CA499+CD499</f>
        <v/>
      </c>
    </row>
    <row r="500">
      <c r="A500" s="39" t="n">
        <v>9</v>
      </c>
      <c r="B500" s="39" t="n">
        <v>47</v>
      </c>
      <c r="C500" s="39">
        <f>A500+B500-1</f>
        <v/>
      </c>
      <c r="D500" s="39">
        <f>INT((C500-1)/12)+1</f>
        <v/>
      </c>
      <c r="E500" s="44">
        <f>INDEX(Monthly!$B$2:$B$61,A500)</f>
        <v/>
      </c>
      <c r="F500" s="44">
        <f>E500*INDEX('Age profile'!$B$2:$B$61,B500)</f>
        <v/>
      </c>
      <c r="G500" s="45">
        <f>MIN(in_takeup_cap,INDEX('Age profile'!$N$2:$N$61,B500)*(1+in_takeup_growth)^(D500-1))</f>
        <v/>
      </c>
      <c r="H500" s="11">
        <f>MIN(in_approval_cap,in_approved_first*INDEX('Age profile'!$O$2:$O$61,B500)*(1+in_approval_growth)^(D500-1))</f>
        <v/>
      </c>
      <c r="I500" s="45">
        <f>G500*MIN(in_takeup_cap,INDEX('Age profile'!$O$2:$O$61,B500)*(1+in_approval_growth)^(D500-1))</f>
        <v/>
      </c>
      <c r="J500" s="40">
        <f>(J499-L499)*F500/F499</f>
        <v/>
      </c>
      <c r="K500" s="40">
        <f>(K499-M499)*F500/F499+SUMIFS(O454:O499,B454:B499,B500-1-d_T)*F500</f>
        <v/>
      </c>
      <c r="L500" s="40">
        <f>IF(B500&gt;=in_marketplace_from,J500*d_hz*G500*in_eligible*H500,0)</f>
        <v/>
      </c>
      <c r="M500" s="40">
        <f>IF(B500&gt;=in_marketplace_from,K500*d_hz*G500*in_eligible*in_approved_repeat,0)</f>
        <v/>
      </c>
      <c r="N500" s="40">
        <f>L500+M500</f>
        <v/>
      </c>
      <c r="O500" s="46">
        <f>N500/F500</f>
        <v/>
      </c>
      <c r="P500" s="40">
        <f>F500-J500-K500</f>
        <v/>
      </c>
      <c r="Q500" s="40">
        <f>IF(B500&gt;=in_marketplace_from,(J500+K500)*d_hz*G500,0)</f>
        <v/>
      </c>
      <c r="R500" s="40">
        <f>SUMIFS(N454:N505,B454:B505,"&gt;="&amp;(B500-d_T),B454:B505,"&lt;="&amp;(B500-1))</f>
        <v/>
      </c>
      <c r="S500" s="46">
        <f>(1-d_u)*S499+IF(d_T&gt;in_topup_lag,SUMIFS(O454:O505,B454:B505,B500-in_topup_lag)-d_udrop*SUMIFS(O454:O505,B454:B505,B500-d_T),0)</f>
        <v/>
      </c>
      <c r="T500" s="40">
        <f>F500*d_u*S500</f>
        <v/>
      </c>
      <c r="U500" s="9">
        <f>L500*in_ticket+M500*d_rep_ticket</f>
        <v/>
      </c>
      <c r="V500" s="9">
        <f>U500+T500*d_topup_amt</f>
        <v/>
      </c>
      <c r="W500" s="40">
        <f>N500+T500*d_topup_ratio</f>
        <v/>
      </c>
      <c r="X500" s="40">
        <f>SUMIFS(W454:W505,B454:B505,B500-in_dpd_lag)*d_cured</f>
        <v/>
      </c>
      <c r="Y500" s="40">
        <f>SUMIFS(W454:W505,B454:B505,B500-in_rec_lag)*d_recd</f>
        <v/>
      </c>
      <c r="Z500" s="40">
        <f>IF(AND(B500&gt;=in_marketplace_from,B500&lt;in_marketplace_from+in_card_months),in_card_share/in_card_months*F500*I500,IF(AND(B500&gt;=in_marketplace_from+in_card_months,B500&lt;in_marketplace_from+2*in_card_months),in_card_share*d_card_rem/in_card_months*F500*MIN(in_takeup_cap,(1+in_takeup_growth)^(D500-1))*MIN(in_takeup_cap,(1+in_approval_growth)^(D500-1)),0))</f>
        <v/>
      </c>
      <c r="AA500" s="14">
        <f>V500*in_fee*(1-in_taken_back)</f>
        <v/>
      </c>
      <c r="AB500" s="14">
        <f>SUMIFS(W454:W505,B454:B505,B500-in_dpd_lag)*d_dpd</f>
        <v/>
      </c>
      <c r="AC500" s="14">
        <f>SUMIFS(W454:W505,B454:B505,B500-in_rec_lag)*d_rec</f>
        <v/>
      </c>
      <c r="AD500" s="14">
        <f>Z500*in_card_fee</f>
        <v/>
      </c>
      <c r="AE500" s="40">
        <f>AE499*(1-IF(B499&gt;=in_marketplace_from,d_hz_hlth_small*G499,0))</f>
        <v/>
      </c>
      <c r="AF500" s="46">
        <f>AE500*IF(B500&gt;=in_marketplace_from,d_hz_hlth_small*G500,0)</f>
        <v/>
      </c>
      <c r="AG500" s="14">
        <f>F500*AF500*in_hlth_small_ticket*in_hlth_small_comm*in_ins_partner_share+F500*in_hlth_small_ticket*in_hlth_small_renew_comm*in_ins_partner_share*(in_hlth_small_renew^1*SUMIFS(AF454:AF505,B454:B505,B500-12)+in_hlth_small_renew^2*SUMIFS(AF454:AF505,B454:B505,B500-24)+in_hlth_small_renew^3*SUMIFS(AF454:AF505,B454:B505,B500-36)+in_hlth_small_renew^4*SUMIFS(AF454:AF505,B454:B505,B500-48))</f>
        <v/>
      </c>
      <c r="AH500" s="40">
        <f>AH499*(1-IF(B499&gt;=in_marketplace_from,d_hz_hlth_family*G499,0))</f>
        <v/>
      </c>
      <c r="AI500" s="46">
        <f>AH500*IF(B500&gt;=in_marketplace_from,d_hz_hlth_family*G500,0)</f>
        <v/>
      </c>
      <c r="AJ500" s="14">
        <f>F500*AI500*in_hlth_family_ticket*in_hlth_family_comm*in_ins_partner_share+F500*in_hlth_family_ticket*in_hlth_family_renew_comm*in_ins_partner_share*(in_hlth_family_renew^1*SUMIFS(AI454:AI505,B454:B505,B500-12)+in_hlth_family_renew^2*SUMIFS(AI454:AI505,B454:B505,B500-24)+in_hlth_family_renew^3*SUMIFS(AI454:AI505,B454:B505,B500-36)+in_hlth_family_renew^4*SUMIFS(AI454:AI505,B454:B505,B500-48))</f>
        <v/>
      </c>
      <c r="AK500" s="40">
        <f>AK499*(1-IF(B499&gt;=in_marketplace_from,d_hz_life_term*G499,0))</f>
        <v/>
      </c>
      <c r="AL500" s="46">
        <f>AK500*IF(B500&gt;=in_marketplace_from,d_hz_life_term*G500,0)</f>
        <v/>
      </c>
      <c r="AM500" s="14">
        <f>F500*AL500*in_life_term_ticket*in_life_term_comm*in_ins_partner_share+F500*in_life_term_ticket*in_life_term_renew_comm*in_ins_partner_share*(in_life_term_renew^1*SUMIFS(AL454:AL505,B454:B505,B500-12)+in_life_term_renew^2*SUMIFS(AL454:AL505,B454:B505,B500-24)+in_life_term_renew^3*SUMIFS(AL454:AL505,B454:B505,B500-36)+in_life_term_renew^4*SUMIFS(AL454:AL505,B454:B505,B500-48))</f>
        <v/>
      </c>
      <c r="AN500" s="40">
        <f>AN499*(1-IF(B499&gt;=in_marketplace_from,d_hz_accident*G499,0))</f>
        <v/>
      </c>
      <c r="AO500" s="46">
        <f>AN500*IF(B500&gt;=in_marketplace_from,d_hz_accident*G500,0)</f>
        <v/>
      </c>
      <c r="AP500" s="14">
        <f>F500*AO500*in_accident_ticket*in_accident_comm*in_ins_partner_share+F500*in_accident_ticket*in_accident_renew_comm*in_ins_partner_share*(in_accident_renew^1*SUMIFS(AO454:AO505,B454:B505,B500-12)+in_accident_renew^2*SUMIFS(AO454:AO505,B454:B505,B500-24)+in_accident_renew^3*SUMIFS(AO454:AO505,B454:B505,B500-36)+in_accident_renew^4*SUMIFS(AO454:AO505,B454:B505,B500-48))</f>
        <v/>
      </c>
      <c r="AQ500" s="40">
        <f>AQ499*(1-IF(B499&gt;=in_marketplace_from,d_hz_two_wheeler*G499,0))</f>
        <v/>
      </c>
      <c r="AR500" s="46">
        <f>AQ500*IF(B500&gt;=in_marketplace_from,d_hz_two_wheeler*G500,0)</f>
        <v/>
      </c>
      <c r="AS500" s="14">
        <f>F500*AR500*in_two_wheeler_ticket*in_two_wheeler_comm*in_ins_partner_share+F500*in_two_wheeler_ticket*in_two_wheeler_comm*in_ins_partner_share*(in_two_wheeler_renew^1*SUMIFS(AR454:AR505,B454:B505,B500-12)+in_two_wheeler_renew^2*SUMIFS(AR454:AR505,B454:B505,B500-24)+in_two_wheeler_renew^3*SUMIFS(AR454:AR505,B454:B505,B500-36)+in_two_wheeler_renew^4*SUMIFS(AR454:AR505,B454:B505,B500-48))</f>
        <v/>
      </c>
      <c r="AT500" s="40">
        <f>AT499*(1-IF(B499&gt;=in_marketplace_from,d_hz_device*G499,0))</f>
        <v/>
      </c>
      <c r="AU500" s="14">
        <f>F500*AT500*IF(B500&gt;=in_marketplace_from,d_hz_device*G500,0)*in_device_ticket*in_device_comm*in_ins_partner_share</f>
        <v/>
      </c>
      <c r="AV500" s="40">
        <f>AV499*(1-IF(B499&gt;=in_marketplace_from,d_hz_shop*G499,0))</f>
        <v/>
      </c>
      <c r="AW500" s="46">
        <f>AV500*IF(B500&gt;=in_marketplace_from,d_hz_shop*G500,0)</f>
        <v/>
      </c>
      <c r="AX500" s="14">
        <f>F500*AW500*in_shop_ticket*in_shop_comm*in_ins_partner_share+F500*in_shop_ticket*in_shop_renew_comm*in_ins_partner_share*(in_shop_renew^1*SUMIFS(AW454:AW505,B454:B505,B500-12)+in_shop_renew^2*SUMIFS(AW454:AW505,B454:B505,B500-24)+in_shop_renew^3*SUMIFS(AW454:AW505,B454:B505,B500-36)+in_shop_renew^4*SUMIFS(AW454:AW505,B454:B505,B500-48))</f>
        <v/>
      </c>
      <c r="AY500" s="40">
        <f>AY499*(1-IF(B499&gt;=in_marketplace_from,d_hz_sip*G499,0))</f>
        <v/>
      </c>
      <c r="AZ500" s="40">
        <f>AZ499*d_rho_sip+AY500*IF(B500&gt;=in_marketplace_from,d_hz_sip*G500,0)</f>
        <v/>
      </c>
      <c r="BA500" s="40">
        <f>d_rho_sip*(BA499+AZ499)</f>
        <v/>
      </c>
      <c r="BB500" s="14">
        <f>F500*in_sip_ticket*(BA500+0.5*AZ500)*in_sip_comm/12</f>
        <v/>
      </c>
      <c r="BC500" s="40">
        <f>BC499*(1-IF(B499&gt;=in_marketplace_from,d_hz_choti*G499,0))</f>
        <v/>
      </c>
      <c r="BD500" s="46">
        <f>BC500*IF(B500&gt;=in_marketplace_from,d_hz_choti*G500,0)</f>
        <v/>
      </c>
      <c r="BE500" s="14">
        <f>F500*SUMIFS(BD454:BD505,B454:B505,B500-in_choti_months)*in_choti_renew*in_choti_ticket</f>
        <v/>
      </c>
      <c r="BF500" s="40">
        <f>BF499*(1-IF(B499&gt;=in_marketplace_from,d_hz_nps*G499,0))</f>
        <v/>
      </c>
      <c r="BG500" s="14">
        <f>F500*BF500*IF(B500&gt;=in_marketplace_from,d_hz_nps*G500,0)*in_nps_ticket*in_nps_comm</f>
        <v/>
      </c>
      <c r="BH500" s="40">
        <f>BH499*(1-IF(B499&gt;=in_marketplace_from,d_hz_gold*G499,0))</f>
        <v/>
      </c>
      <c r="BI500" s="40">
        <f>BI499*d_rho_gold+BH500*IF(B500&gt;=in_marketplace_from,d_hz_gold*G500,0)</f>
        <v/>
      </c>
      <c r="BJ500" s="14">
        <f>F500*BI500*in_gold_ticket*in_gold_comm</f>
        <v/>
      </c>
      <c r="BK500" s="40">
        <f>BK499*(1-IF(B499&gt;=in_marketplace_from,d_hz_fd*G499,0))</f>
        <v/>
      </c>
      <c r="BL500" s="14">
        <f>F500*BK500*IF(B500&gt;=in_marketplace_from,d_hz_fd*G500,0)*in_fd_ticket*in_fd_comm</f>
        <v/>
      </c>
      <c r="BM500" s="40">
        <f>BM499*(1-IF(B499&gt;=in_marketplace_from,d_hz_recharge*G499,0))</f>
        <v/>
      </c>
      <c r="BN500" s="40">
        <f>BN499*d_rho_recharge+BM500*IF(B500&gt;=in_marketplace_from,d_hz_recharge*G500,0)</f>
        <v/>
      </c>
      <c r="BO500" s="14">
        <f>F500*BN500*in_recharge_ticket*in_recharge_comm/12</f>
        <v/>
      </c>
      <c r="BP500" s="40">
        <f>BP499*(1-IF(B499&gt;=in_marketplace_from,d_hz_bills*G499,0))</f>
        <v/>
      </c>
      <c r="BQ500" s="40">
        <f>BQ499*d_rho_bills+BP500*IF(B500&gt;=in_marketplace_from,d_hz_bills*G500,0)</f>
        <v/>
      </c>
      <c r="BR500" s="14">
        <f>F500*BQ500*in_bills_ticket*in_bills_comm/12</f>
        <v/>
      </c>
      <c r="BS500" s="40">
        <f>BS499*(1-IF(B499&gt;=in_marketplace_from,d_hz_loan_gold*G499,0))</f>
        <v/>
      </c>
      <c r="BT500" s="14">
        <f>F500*BS500*IF(B500&gt;=in_marketplace_from,d_hz_loan_gold*G500,0)*in_loan_gold_ticket*in_loan_gold_comm</f>
        <v/>
      </c>
      <c r="BU500" s="40">
        <f>BU499*(1-IF(B499&gt;=in_marketplace_from,d_hz_loan_cd*G499,0))</f>
        <v/>
      </c>
      <c r="BV500" s="14">
        <f>F500*BU500*IF(B500&gt;=in_marketplace_from,d_hz_loan_cd*G500,0)*in_loan_cd_ticket*in_loan_cd_comm</f>
        <v/>
      </c>
      <c r="BW500" s="40">
        <f>BW499*(1-IF(B499&gt;=in_marketplace_from,d_hz_loan_vehicle*G499,0))</f>
        <v/>
      </c>
      <c r="BX500" s="14">
        <f>F500*BW500*IF(B500&gt;=in_marketplace_from,d_hz_loan_vehicle*G500,0)*in_loan_vehicle_ticket*in_loan_vehicle_comm</f>
        <v/>
      </c>
      <c r="BY500" s="40">
        <f>BY499*(1-IF(B499&gt;=in_marketplace_from,d_hz_loan_home*G499,0)*BZ499)</f>
        <v/>
      </c>
      <c r="BZ500" s="11">
        <f>MIN(in_approval_cap,in_loan_home_approval*INDEX('Age profile'!$O$2:$O$61,B500)*(1+in_approval_growth)^(D500-1))</f>
        <v/>
      </c>
      <c r="CA500" s="14">
        <f>F500*BY500*IF(B500&gt;=in_marketplace_from,d_hz_loan_home*G500,0)*BZ500*in_loan_home_ticket*in_loan_home_comm</f>
        <v/>
      </c>
      <c r="CB500" s="40">
        <f>CB499*(1-IF(B499&gt;=in_marketplace_from,d_hz_loan_lap*G499,0)*CC499)</f>
        <v/>
      </c>
      <c r="CC500" s="11">
        <f>MIN(in_approval_cap,in_loan_lap_approval*INDEX('Age profile'!$O$2:$O$61,B500)*(1+in_approval_growth)^(D500-1))</f>
        <v/>
      </c>
      <c r="CD500" s="14">
        <f>F500*CB500*IF(B500&gt;=in_marketplace_from,d_hz_loan_lap*G500,0)*CC500*in_loan_lap_ticket*in_loan_lap_comm</f>
        <v/>
      </c>
      <c r="CE500" s="14">
        <f>AA500+AB500+AC500+AD500+AG500+AJ500+AM500+AP500+AS500+AU500+AX500+BB500+BE500+BG500+BJ500+BL500+BO500+BR500+BT500+BV500+BX500+CA500+CD500</f>
        <v/>
      </c>
    </row>
    <row r="501">
      <c r="A501" s="39" t="n">
        <v>9</v>
      </c>
      <c r="B501" s="39" t="n">
        <v>48</v>
      </c>
      <c r="C501" s="39">
        <f>A501+B501-1</f>
        <v/>
      </c>
      <c r="D501" s="39">
        <f>INT((C501-1)/12)+1</f>
        <v/>
      </c>
      <c r="E501" s="44">
        <f>INDEX(Monthly!$B$2:$B$61,A501)</f>
        <v/>
      </c>
      <c r="F501" s="44">
        <f>E501*INDEX('Age profile'!$B$2:$B$61,B501)</f>
        <v/>
      </c>
      <c r="G501" s="45">
        <f>MIN(in_takeup_cap,INDEX('Age profile'!$N$2:$N$61,B501)*(1+in_takeup_growth)^(D501-1))</f>
        <v/>
      </c>
      <c r="H501" s="11">
        <f>MIN(in_approval_cap,in_approved_first*INDEX('Age profile'!$O$2:$O$61,B501)*(1+in_approval_growth)^(D501-1))</f>
        <v/>
      </c>
      <c r="I501" s="45">
        <f>G501*MIN(in_takeup_cap,INDEX('Age profile'!$O$2:$O$61,B501)*(1+in_approval_growth)^(D501-1))</f>
        <v/>
      </c>
      <c r="J501" s="40">
        <f>(J500-L500)*F501/F500</f>
        <v/>
      </c>
      <c r="K501" s="40">
        <f>(K500-M500)*F501/F500+SUMIFS(O454:O500,B454:B500,B501-1-d_T)*F501</f>
        <v/>
      </c>
      <c r="L501" s="40">
        <f>IF(B501&gt;=in_marketplace_from,J501*d_hz*G501*in_eligible*H501,0)</f>
        <v/>
      </c>
      <c r="M501" s="40">
        <f>IF(B501&gt;=in_marketplace_from,K501*d_hz*G501*in_eligible*in_approved_repeat,0)</f>
        <v/>
      </c>
      <c r="N501" s="40">
        <f>L501+M501</f>
        <v/>
      </c>
      <c r="O501" s="46">
        <f>N501/F501</f>
        <v/>
      </c>
      <c r="P501" s="40">
        <f>F501-J501-K501</f>
        <v/>
      </c>
      <c r="Q501" s="40">
        <f>IF(B501&gt;=in_marketplace_from,(J501+K501)*d_hz*G501,0)</f>
        <v/>
      </c>
      <c r="R501" s="40">
        <f>SUMIFS(N454:N505,B454:B505,"&gt;="&amp;(B501-d_T),B454:B505,"&lt;="&amp;(B501-1))</f>
        <v/>
      </c>
      <c r="S501" s="46">
        <f>(1-d_u)*S500+IF(d_T&gt;in_topup_lag,SUMIFS(O454:O505,B454:B505,B501-in_topup_lag)-d_udrop*SUMIFS(O454:O505,B454:B505,B501-d_T),0)</f>
        <v/>
      </c>
      <c r="T501" s="40">
        <f>F501*d_u*S501</f>
        <v/>
      </c>
      <c r="U501" s="9">
        <f>L501*in_ticket+M501*d_rep_ticket</f>
        <v/>
      </c>
      <c r="V501" s="9">
        <f>U501+T501*d_topup_amt</f>
        <v/>
      </c>
      <c r="W501" s="40">
        <f>N501+T501*d_topup_ratio</f>
        <v/>
      </c>
      <c r="X501" s="40">
        <f>SUMIFS(W454:W505,B454:B505,B501-in_dpd_lag)*d_cured</f>
        <v/>
      </c>
      <c r="Y501" s="40">
        <f>SUMIFS(W454:W505,B454:B505,B501-in_rec_lag)*d_recd</f>
        <v/>
      </c>
      <c r="Z501" s="40">
        <f>IF(AND(B501&gt;=in_marketplace_from,B501&lt;in_marketplace_from+in_card_months),in_card_share/in_card_months*F501*I501,IF(AND(B501&gt;=in_marketplace_from+in_card_months,B501&lt;in_marketplace_from+2*in_card_months),in_card_share*d_card_rem/in_card_months*F501*MIN(in_takeup_cap,(1+in_takeup_growth)^(D501-1))*MIN(in_takeup_cap,(1+in_approval_growth)^(D501-1)),0))</f>
        <v/>
      </c>
      <c r="AA501" s="14">
        <f>V501*in_fee*(1-in_taken_back)</f>
        <v/>
      </c>
      <c r="AB501" s="14">
        <f>SUMIFS(W454:W505,B454:B505,B501-in_dpd_lag)*d_dpd</f>
        <v/>
      </c>
      <c r="AC501" s="14">
        <f>SUMIFS(W454:W505,B454:B505,B501-in_rec_lag)*d_rec</f>
        <v/>
      </c>
      <c r="AD501" s="14">
        <f>Z501*in_card_fee</f>
        <v/>
      </c>
      <c r="AE501" s="40">
        <f>AE500*(1-IF(B500&gt;=in_marketplace_from,d_hz_hlth_small*G500,0))</f>
        <v/>
      </c>
      <c r="AF501" s="46">
        <f>AE501*IF(B501&gt;=in_marketplace_from,d_hz_hlth_small*G501,0)</f>
        <v/>
      </c>
      <c r="AG501" s="14">
        <f>F501*AF501*in_hlth_small_ticket*in_hlth_small_comm*in_ins_partner_share+F501*in_hlth_small_ticket*in_hlth_small_renew_comm*in_ins_partner_share*(in_hlth_small_renew^1*SUMIFS(AF454:AF505,B454:B505,B501-12)+in_hlth_small_renew^2*SUMIFS(AF454:AF505,B454:B505,B501-24)+in_hlth_small_renew^3*SUMIFS(AF454:AF505,B454:B505,B501-36)+in_hlth_small_renew^4*SUMIFS(AF454:AF505,B454:B505,B501-48))</f>
        <v/>
      </c>
      <c r="AH501" s="40">
        <f>AH500*(1-IF(B500&gt;=in_marketplace_from,d_hz_hlth_family*G500,0))</f>
        <v/>
      </c>
      <c r="AI501" s="46">
        <f>AH501*IF(B501&gt;=in_marketplace_from,d_hz_hlth_family*G501,0)</f>
        <v/>
      </c>
      <c r="AJ501" s="14">
        <f>F501*AI501*in_hlth_family_ticket*in_hlth_family_comm*in_ins_partner_share+F501*in_hlth_family_ticket*in_hlth_family_renew_comm*in_ins_partner_share*(in_hlth_family_renew^1*SUMIFS(AI454:AI505,B454:B505,B501-12)+in_hlth_family_renew^2*SUMIFS(AI454:AI505,B454:B505,B501-24)+in_hlth_family_renew^3*SUMIFS(AI454:AI505,B454:B505,B501-36)+in_hlth_family_renew^4*SUMIFS(AI454:AI505,B454:B505,B501-48))</f>
        <v/>
      </c>
      <c r="AK501" s="40">
        <f>AK500*(1-IF(B500&gt;=in_marketplace_from,d_hz_life_term*G500,0))</f>
        <v/>
      </c>
      <c r="AL501" s="46">
        <f>AK501*IF(B501&gt;=in_marketplace_from,d_hz_life_term*G501,0)</f>
        <v/>
      </c>
      <c r="AM501" s="14">
        <f>F501*AL501*in_life_term_ticket*in_life_term_comm*in_ins_partner_share+F501*in_life_term_ticket*in_life_term_renew_comm*in_ins_partner_share*(in_life_term_renew^1*SUMIFS(AL454:AL505,B454:B505,B501-12)+in_life_term_renew^2*SUMIFS(AL454:AL505,B454:B505,B501-24)+in_life_term_renew^3*SUMIFS(AL454:AL505,B454:B505,B501-36)+in_life_term_renew^4*SUMIFS(AL454:AL505,B454:B505,B501-48))</f>
        <v/>
      </c>
      <c r="AN501" s="40">
        <f>AN500*(1-IF(B500&gt;=in_marketplace_from,d_hz_accident*G500,0))</f>
        <v/>
      </c>
      <c r="AO501" s="46">
        <f>AN501*IF(B501&gt;=in_marketplace_from,d_hz_accident*G501,0)</f>
        <v/>
      </c>
      <c r="AP501" s="14">
        <f>F501*AO501*in_accident_ticket*in_accident_comm*in_ins_partner_share+F501*in_accident_ticket*in_accident_renew_comm*in_ins_partner_share*(in_accident_renew^1*SUMIFS(AO454:AO505,B454:B505,B501-12)+in_accident_renew^2*SUMIFS(AO454:AO505,B454:B505,B501-24)+in_accident_renew^3*SUMIFS(AO454:AO505,B454:B505,B501-36)+in_accident_renew^4*SUMIFS(AO454:AO505,B454:B505,B501-48))</f>
        <v/>
      </c>
      <c r="AQ501" s="40">
        <f>AQ500*(1-IF(B500&gt;=in_marketplace_from,d_hz_two_wheeler*G500,0))</f>
        <v/>
      </c>
      <c r="AR501" s="46">
        <f>AQ501*IF(B501&gt;=in_marketplace_from,d_hz_two_wheeler*G501,0)</f>
        <v/>
      </c>
      <c r="AS501" s="14">
        <f>F501*AR501*in_two_wheeler_ticket*in_two_wheeler_comm*in_ins_partner_share+F501*in_two_wheeler_ticket*in_two_wheeler_comm*in_ins_partner_share*(in_two_wheeler_renew^1*SUMIFS(AR454:AR505,B454:B505,B501-12)+in_two_wheeler_renew^2*SUMIFS(AR454:AR505,B454:B505,B501-24)+in_two_wheeler_renew^3*SUMIFS(AR454:AR505,B454:B505,B501-36)+in_two_wheeler_renew^4*SUMIFS(AR454:AR505,B454:B505,B501-48))</f>
        <v/>
      </c>
      <c r="AT501" s="40">
        <f>AT500*(1-IF(B500&gt;=in_marketplace_from,d_hz_device*G500,0))</f>
        <v/>
      </c>
      <c r="AU501" s="14">
        <f>F501*AT501*IF(B501&gt;=in_marketplace_from,d_hz_device*G501,0)*in_device_ticket*in_device_comm*in_ins_partner_share</f>
        <v/>
      </c>
      <c r="AV501" s="40">
        <f>AV500*(1-IF(B500&gt;=in_marketplace_from,d_hz_shop*G500,0))</f>
        <v/>
      </c>
      <c r="AW501" s="46">
        <f>AV501*IF(B501&gt;=in_marketplace_from,d_hz_shop*G501,0)</f>
        <v/>
      </c>
      <c r="AX501" s="14">
        <f>F501*AW501*in_shop_ticket*in_shop_comm*in_ins_partner_share+F501*in_shop_ticket*in_shop_renew_comm*in_ins_partner_share*(in_shop_renew^1*SUMIFS(AW454:AW505,B454:B505,B501-12)+in_shop_renew^2*SUMIFS(AW454:AW505,B454:B505,B501-24)+in_shop_renew^3*SUMIFS(AW454:AW505,B454:B505,B501-36)+in_shop_renew^4*SUMIFS(AW454:AW505,B454:B505,B501-48))</f>
        <v/>
      </c>
      <c r="AY501" s="40">
        <f>AY500*(1-IF(B500&gt;=in_marketplace_from,d_hz_sip*G500,0))</f>
        <v/>
      </c>
      <c r="AZ501" s="40">
        <f>AZ500*d_rho_sip+AY501*IF(B501&gt;=in_marketplace_from,d_hz_sip*G501,0)</f>
        <v/>
      </c>
      <c r="BA501" s="40">
        <f>d_rho_sip*(BA500+AZ500)</f>
        <v/>
      </c>
      <c r="BB501" s="14">
        <f>F501*in_sip_ticket*(BA501+0.5*AZ501)*in_sip_comm/12</f>
        <v/>
      </c>
      <c r="BC501" s="40">
        <f>BC500*(1-IF(B500&gt;=in_marketplace_from,d_hz_choti*G500,0))</f>
        <v/>
      </c>
      <c r="BD501" s="46">
        <f>BC501*IF(B501&gt;=in_marketplace_from,d_hz_choti*G501,0)</f>
        <v/>
      </c>
      <c r="BE501" s="14">
        <f>F501*SUMIFS(BD454:BD505,B454:B505,B501-in_choti_months)*in_choti_renew*in_choti_ticket</f>
        <v/>
      </c>
      <c r="BF501" s="40">
        <f>BF500*(1-IF(B500&gt;=in_marketplace_from,d_hz_nps*G500,0))</f>
        <v/>
      </c>
      <c r="BG501" s="14">
        <f>F501*BF501*IF(B501&gt;=in_marketplace_from,d_hz_nps*G501,0)*in_nps_ticket*in_nps_comm</f>
        <v/>
      </c>
      <c r="BH501" s="40">
        <f>BH500*(1-IF(B500&gt;=in_marketplace_from,d_hz_gold*G500,0))</f>
        <v/>
      </c>
      <c r="BI501" s="40">
        <f>BI500*d_rho_gold+BH501*IF(B501&gt;=in_marketplace_from,d_hz_gold*G501,0)</f>
        <v/>
      </c>
      <c r="BJ501" s="14">
        <f>F501*BI501*in_gold_ticket*in_gold_comm</f>
        <v/>
      </c>
      <c r="BK501" s="40">
        <f>BK500*(1-IF(B500&gt;=in_marketplace_from,d_hz_fd*G500,0))</f>
        <v/>
      </c>
      <c r="BL501" s="14">
        <f>F501*BK501*IF(B501&gt;=in_marketplace_from,d_hz_fd*G501,0)*in_fd_ticket*in_fd_comm</f>
        <v/>
      </c>
      <c r="BM501" s="40">
        <f>BM500*(1-IF(B500&gt;=in_marketplace_from,d_hz_recharge*G500,0))</f>
        <v/>
      </c>
      <c r="BN501" s="40">
        <f>BN500*d_rho_recharge+BM501*IF(B501&gt;=in_marketplace_from,d_hz_recharge*G501,0)</f>
        <v/>
      </c>
      <c r="BO501" s="14">
        <f>F501*BN501*in_recharge_ticket*in_recharge_comm/12</f>
        <v/>
      </c>
      <c r="BP501" s="40">
        <f>BP500*(1-IF(B500&gt;=in_marketplace_from,d_hz_bills*G500,0))</f>
        <v/>
      </c>
      <c r="BQ501" s="40">
        <f>BQ500*d_rho_bills+BP501*IF(B501&gt;=in_marketplace_from,d_hz_bills*G501,0)</f>
        <v/>
      </c>
      <c r="BR501" s="14">
        <f>F501*BQ501*in_bills_ticket*in_bills_comm/12</f>
        <v/>
      </c>
      <c r="BS501" s="40">
        <f>BS500*(1-IF(B500&gt;=in_marketplace_from,d_hz_loan_gold*G500,0))</f>
        <v/>
      </c>
      <c r="BT501" s="14">
        <f>F501*BS501*IF(B501&gt;=in_marketplace_from,d_hz_loan_gold*G501,0)*in_loan_gold_ticket*in_loan_gold_comm</f>
        <v/>
      </c>
      <c r="BU501" s="40">
        <f>BU500*(1-IF(B500&gt;=in_marketplace_from,d_hz_loan_cd*G500,0))</f>
        <v/>
      </c>
      <c r="BV501" s="14">
        <f>F501*BU501*IF(B501&gt;=in_marketplace_from,d_hz_loan_cd*G501,0)*in_loan_cd_ticket*in_loan_cd_comm</f>
        <v/>
      </c>
      <c r="BW501" s="40">
        <f>BW500*(1-IF(B500&gt;=in_marketplace_from,d_hz_loan_vehicle*G500,0))</f>
        <v/>
      </c>
      <c r="BX501" s="14">
        <f>F501*BW501*IF(B501&gt;=in_marketplace_from,d_hz_loan_vehicle*G501,0)*in_loan_vehicle_ticket*in_loan_vehicle_comm</f>
        <v/>
      </c>
      <c r="BY501" s="40">
        <f>BY500*(1-IF(B500&gt;=in_marketplace_from,d_hz_loan_home*G500,0)*BZ500)</f>
        <v/>
      </c>
      <c r="BZ501" s="11">
        <f>MIN(in_approval_cap,in_loan_home_approval*INDEX('Age profile'!$O$2:$O$61,B501)*(1+in_approval_growth)^(D501-1))</f>
        <v/>
      </c>
      <c r="CA501" s="14">
        <f>F501*BY501*IF(B501&gt;=in_marketplace_from,d_hz_loan_home*G501,0)*BZ501*in_loan_home_ticket*in_loan_home_comm</f>
        <v/>
      </c>
      <c r="CB501" s="40">
        <f>CB500*(1-IF(B500&gt;=in_marketplace_from,d_hz_loan_lap*G500,0)*CC500)</f>
        <v/>
      </c>
      <c r="CC501" s="11">
        <f>MIN(in_approval_cap,in_loan_lap_approval*INDEX('Age profile'!$O$2:$O$61,B501)*(1+in_approval_growth)^(D501-1))</f>
        <v/>
      </c>
      <c r="CD501" s="14">
        <f>F501*CB501*IF(B501&gt;=in_marketplace_from,d_hz_loan_lap*G501,0)*CC501*in_loan_lap_ticket*in_loan_lap_comm</f>
        <v/>
      </c>
      <c r="CE501" s="14">
        <f>AA501+AB501+AC501+AD501+AG501+AJ501+AM501+AP501+AS501+AU501+AX501+BB501+BE501+BG501+BJ501+BL501+BO501+BR501+BT501+BV501+BX501+CA501+CD501</f>
        <v/>
      </c>
    </row>
    <row r="502">
      <c r="A502" s="39" t="n">
        <v>9</v>
      </c>
      <c r="B502" s="39" t="n">
        <v>49</v>
      </c>
      <c r="C502" s="39">
        <f>A502+B502-1</f>
        <v/>
      </c>
      <c r="D502" s="39">
        <f>INT((C502-1)/12)+1</f>
        <v/>
      </c>
      <c r="E502" s="44">
        <f>INDEX(Monthly!$B$2:$B$61,A502)</f>
        <v/>
      </c>
      <c r="F502" s="44">
        <f>E502*INDEX('Age profile'!$B$2:$B$61,B502)</f>
        <v/>
      </c>
      <c r="G502" s="45">
        <f>MIN(in_takeup_cap,INDEX('Age profile'!$N$2:$N$61,B502)*(1+in_takeup_growth)^(D502-1))</f>
        <v/>
      </c>
      <c r="H502" s="11">
        <f>MIN(in_approval_cap,in_approved_first*INDEX('Age profile'!$O$2:$O$61,B502)*(1+in_approval_growth)^(D502-1))</f>
        <v/>
      </c>
      <c r="I502" s="45">
        <f>G502*MIN(in_takeup_cap,INDEX('Age profile'!$O$2:$O$61,B502)*(1+in_approval_growth)^(D502-1))</f>
        <v/>
      </c>
      <c r="J502" s="40">
        <f>(J501-L501)*F502/F501</f>
        <v/>
      </c>
      <c r="K502" s="40">
        <f>(K501-M501)*F502/F501+SUMIFS(O454:O501,B454:B501,B502-1-d_T)*F502</f>
        <v/>
      </c>
      <c r="L502" s="40">
        <f>IF(B502&gt;=in_marketplace_from,J502*d_hz*G502*in_eligible*H502,0)</f>
        <v/>
      </c>
      <c r="M502" s="40">
        <f>IF(B502&gt;=in_marketplace_from,K502*d_hz*G502*in_eligible*in_approved_repeat,0)</f>
        <v/>
      </c>
      <c r="N502" s="40">
        <f>L502+M502</f>
        <v/>
      </c>
      <c r="O502" s="46">
        <f>N502/F502</f>
        <v/>
      </c>
      <c r="P502" s="40">
        <f>F502-J502-K502</f>
        <v/>
      </c>
      <c r="Q502" s="40">
        <f>IF(B502&gt;=in_marketplace_from,(J502+K502)*d_hz*G502,0)</f>
        <v/>
      </c>
      <c r="R502" s="40">
        <f>SUMIFS(N454:N505,B454:B505,"&gt;="&amp;(B502-d_T),B454:B505,"&lt;="&amp;(B502-1))</f>
        <v/>
      </c>
      <c r="S502" s="46">
        <f>(1-d_u)*S501+IF(d_T&gt;in_topup_lag,SUMIFS(O454:O505,B454:B505,B502-in_topup_lag)-d_udrop*SUMIFS(O454:O505,B454:B505,B502-d_T),0)</f>
        <v/>
      </c>
      <c r="T502" s="40">
        <f>F502*d_u*S502</f>
        <v/>
      </c>
      <c r="U502" s="9">
        <f>L502*in_ticket+M502*d_rep_ticket</f>
        <v/>
      </c>
      <c r="V502" s="9">
        <f>U502+T502*d_topup_amt</f>
        <v/>
      </c>
      <c r="W502" s="40">
        <f>N502+T502*d_topup_ratio</f>
        <v/>
      </c>
      <c r="X502" s="40">
        <f>SUMIFS(W454:W505,B454:B505,B502-in_dpd_lag)*d_cured</f>
        <v/>
      </c>
      <c r="Y502" s="40">
        <f>SUMIFS(W454:W505,B454:B505,B502-in_rec_lag)*d_recd</f>
        <v/>
      </c>
      <c r="Z502" s="40">
        <f>IF(AND(B502&gt;=in_marketplace_from,B502&lt;in_marketplace_from+in_card_months),in_card_share/in_card_months*F502*I502,IF(AND(B502&gt;=in_marketplace_from+in_card_months,B502&lt;in_marketplace_from+2*in_card_months),in_card_share*d_card_rem/in_card_months*F502*MIN(in_takeup_cap,(1+in_takeup_growth)^(D502-1))*MIN(in_takeup_cap,(1+in_approval_growth)^(D502-1)),0))</f>
        <v/>
      </c>
      <c r="AA502" s="14">
        <f>V502*in_fee*(1-in_taken_back)</f>
        <v/>
      </c>
      <c r="AB502" s="14">
        <f>SUMIFS(W454:W505,B454:B505,B502-in_dpd_lag)*d_dpd</f>
        <v/>
      </c>
      <c r="AC502" s="14">
        <f>SUMIFS(W454:W505,B454:B505,B502-in_rec_lag)*d_rec</f>
        <v/>
      </c>
      <c r="AD502" s="14">
        <f>Z502*in_card_fee</f>
        <v/>
      </c>
      <c r="AE502" s="40">
        <f>AE501*(1-IF(B501&gt;=in_marketplace_from,d_hz_hlth_small*G501,0))</f>
        <v/>
      </c>
      <c r="AF502" s="46">
        <f>AE502*IF(B502&gt;=in_marketplace_from,d_hz_hlth_small*G502,0)</f>
        <v/>
      </c>
      <c r="AG502" s="14">
        <f>F502*AF502*in_hlth_small_ticket*in_hlth_small_comm*in_ins_partner_share+F502*in_hlth_small_ticket*in_hlth_small_renew_comm*in_ins_partner_share*(in_hlth_small_renew^1*SUMIFS(AF454:AF505,B454:B505,B502-12)+in_hlth_small_renew^2*SUMIFS(AF454:AF505,B454:B505,B502-24)+in_hlth_small_renew^3*SUMIFS(AF454:AF505,B454:B505,B502-36)+in_hlth_small_renew^4*SUMIFS(AF454:AF505,B454:B505,B502-48))</f>
        <v/>
      </c>
      <c r="AH502" s="40">
        <f>AH501*(1-IF(B501&gt;=in_marketplace_from,d_hz_hlth_family*G501,0))</f>
        <v/>
      </c>
      <c r="AI502" s="46">
        <f>AH502*IF(B502&gt;=in_marketplace_from,d_hz_hlth_family*G502,0)</f>
        <v/>
      </c>
      <c r="AJ502" s="14">
        <f>F502*AI502*in_hlth_family_ticket*in_hlth_family_comm*in_ins_partner_share+F502*in_hlth_family_ticket*in_hlth_family_renew_comm*in_ins_partner_share*(in_hlth_family_renew^1*SUMIFS(AI454:AI505,B454:B505,B502-12)+in_hlth_family_renew^2*SUMIFS(AI454:AI505,B454:B505,B502-24)+in_hlth_family_renew^3*SUMIFS(AI454:AI505,B454:B505,B502-36)+in_hlth_family_renew^4*SUMIFS(AI454:AI505,B454:B505,B502-48))</f>
        <v/>
      </c>
      <c r="AK502" s="40">
        <f>AK501*(1-IF(B501&gt;=in_marketplace_from,d_hz_life_term*G501,0))</f>
        <v/>
      </c>
      <c r="AL502" s="46">
        <f>AK502*IF(B502&gt;=in_marketplace_from,d_hz_life_term*G502,0)</f>
        <v/>
      </c>
      <c r="AM502" s="14">
        <f>F502*AL502*in_life_term_ticket*in_life_term_comm*in_ins_partner_share+F502*in_life_term_ticket*in_life_term_renew_comm*in_ins_partner_share*(in_life_term_renew^1*SUMIFS(AL454:AL505,B454:B505,B502-12)+in_life_term_renew^2*SUMIFS(AL454:AL505,B454:B505,B502-24)+in_life_term_renew^3*SUMIFS(AL454:AL505,B454:B505,B502-36)+in_life_term_renew^4*SUMIFS(AL454:AL505,B454:B505,B502-48))</f>
        <v/>
      </c>
      <c r="AN502" s="40">
        <f>AN501*(1-IF(B501&gt;=in_marketplace_from,d_hz_accident*G501,0))</f>
        <v/>
      </c>
      <c r="AO502" s="46">
        <f>AN502*IF(B502&gt;=in_marketplace_from,d_hz_accident*G502,0)</f>
        <v/>
      </c>
      <c r="AP502" s="14">
        <f>F502*AO502*in_accident_ticket*in_accident_comm*in_ins_partner_share+F502*in_accident_ticket*in_accident_renew_comm*in_ins_partner_share*(in_accident_renew^1*SUMIFS(AO454:AO505,B454:B505,B502-12)+in_accident_renew^2*SUMIFS(AO454:AO505,B454:B505,B502-24)+in_accident_renew^3*SUMIFS(AO454:AO505,B454:B505,B502-36)+in_accident_renew^4*SUMIFS(AO454:AO505,B454:B505,B502-48))</f>
        <v/>
      </c>
      <c r="AQ502" s="40">
        <f>AQ501*(1-IF(B501&gt;=in_marketplace_from,d_hz_two_wheeler*G501,0))</f>
        <v/>
      </c>
      <c r="AR502" s="46">
        <f>AQ502*IF(B502&gt;=in_marketplace_from,d_hz_two_wheeler*G502,0)</f>
        <v/>
      </c>
      <c r="AS502" s="14">
        <f>F502*AR502*in_two_wheeler_ticket*in_two_wheeler_comm*in_ins_partner_share+F502*in_two_wheeler_ticket*in_two_wheeler_comm*in_ins_partner_share*(in_two_wheeler_renew^1*SUMIFS(AR454:AR505,B454:B505,B502-12)+in_two_wheeler_renew^2*SUMIFS(AR454:AR505,B454:B505,B502-24)+in_two_wheeler_renew^3*SUMIFS(AR454:AR505,B454:B505,B502-36)+in_two_wheeler_renew^4*SUMIFS(AR454:AR505,B454:B505,B502-48))</f>
        <v/>
      </c>
      <c r="AT502" s="40">
        <f>AT501*(1-IF(B501&gt;=in_marketplace_from,d_hz_device*G501,0))</f>
        <v/>
      </c>
      <c r="AU502" s="14">
        <f>F502*AT502*IF(B502&gt;=in_marketplace_from,d_hz_device*G502,0)*in_device_ticket*in_device_comm*in_ins_partner_share</f>
        <v/>
      </c>
      <c r="AV502" s="40">
        <f>AV501*(1-IF(B501&gt;=in_marketplace_from,d_hz_shop*G501,0))</f>
        <v/>
      </c>
      <c r="AW502" s="46">
        <f>AV502*IF(B502&gt;=in_marketplace_from,d_hz_shop*G502,0)</f>
        <v/>
      </c>
      <c r="AX502" s="14">
        <f>F502*AW502*in_shop_ticket*in_shop_comm*in_ins_partner_share+F502*in_shop_ticket*in_shop_renew_comm*in_ins_partner_share*(in_shop_renew^1*SUMIFS(AW454:AW505,B454:B505,B502-12)+in_shop_renew^2*SUMIFS(AW454:AW505,B454:B505,B502-24)+in_shop_renew^3*SUMIFS(AW454:AW505,B454:B505,B502-36)+in_shop_renew^4*SUMIFS(AW454:AW505,B454:B505,B502-48))</f>
        <v/>
      </c>
      <c r="AY502" s="40">
        <f>AY501*(1-IF(B501&gt;=in_marketplace_from,d_hz_sip*G501,0))</f>
        <v/>
      </c>
      <c r="AZ502" s="40">
        <f>AZ501*d_rho_sip+AY502*IF(B502&gt;=in_marketplace_from,d_hz_sip*G502,0)</f>
        <v/>
      </c>
      <c r="BA502" s="40">
        <f>d_rho_sip*(BA501+AZ501)</f>
        <v/>
      </c>
      <c r="BB502" s="14">
        <f>F502*in_sip_ticket*(BA502+0.5*AZ502)*in_sip_comm/12</f>
        <v/>
      </c>
      <c r="BC502" s="40">
        <f>BC501*(1-IF(B501&gt;=in_marketplace_from,d_hz_choti*G501,0))</f>
        <v/>
      </c>
      <c r="BD502" s="46">
        <f>BC502*IF(B502&gt;=in_marketplace_from,d_hz_choti*G502,0)</f>
        <v/>
      </c>
      <c r="BE502" s="14">
        <f>F502*SUMIFS(BD454:BD505,B454:B505,B502-in_choti_months)*in_choti_renew*in_choti_ticket</f>
        <v/>
      </c>
      <c r="BF502" s="40">
        <f>BF501*(1-IF(B501&gt;=in_marketplace_from,d_hz_nps*G501,0))</f>
        <v/>
      </c>
      <c r="BG502" s="14">
        <f>F502*BF502*IF(B502&gt;=in_marketplace_from,d_hz_nps*G502,0)*in_nps_ticket*in_nps_comm</f>
        <v/>
      </c>
      <c r="BH502" s="40">
        <f>BH501*(1-IF(B501&gt;=in_marketplace_from,d_hz_gold*G501,0))</f>
        <v/>
      </c>
      <c r="BI502" s="40">
        <f>BI501*d_rho_gold+BH502*IF(B502&gt;=in_marketplace_from,d_hz_gold*G502,0)</f>
        <v/>
      </c>
      <c r="BJ502" s="14">
        <f>F502*BI502*in_gold_ticket*in_gold_comm</f>
        <v/>
      </c>
      <c r="BK502" s="40">
        <f>BK501*(1-IF(B501&gt;=in_marketplace_from,d_hz_fd*G501,0))</f>
        <v/>
      </c>
      <c r="BL502" s="14">
        <f>F502*BK502*IF(B502&gt;=in_marketplace_from,d_hz_fd*G502,0)*in_fd_ticket*in_fd_comm</f>
        <v/>
      </c>
      <c r="BM502" s="40">
        <f>BM501*(1-IF(B501&gt;=in_marketplace_from,d_hz_recharge*G501,0))</f>
        <v/>
      </c>
      <c r="BN502" s="40">
        <f>BN501*d_rho_recharge+BM502*IF(B502&gt;=in_marketplace_from,d_hz_recharge*G502,0)</f>
        <v/>
      </c>
      <c r="BO502" s="14">
        <f>F502*BN502*in_recharge_ticket*in_recharge_comm/12</f>
        <v/>
      </c>
      <c r="BP502" s="40">
        <f>BP501*(1-IF(B501&gt;=in_marketplace_from,d_hz_bills*G501,0))</f>
        <v/>
      </c>
      <c r="BQ502" s="40">
        <f>BQ501*d_rho_bills+BP502*IF(B502&gt;=in_marketplace_from,d_hz_bills*G502,0)</f>
        <v/>
      </c>
      <c r="BR502" s="14">
        <f>F502*BQ502*in_bills_ticket*in_bills_comm/12</f>
        <v/>
      </c>
      <c r="BS502" s="40">
        <f>BS501*(1-IF(B501&gt;=in_marketplace_from,d_hz_loan_gold*G501,0))</f>
        <v/>
      </c>
      <c r="BT502" s="14">
        <f>F502*BS502*IF(B502&gt;=in_marketplace_from,d_hz_loan_gold*G502,0)*in_loan_gold_ticket*in_loan_gold_comm</f>
        <v/>
      </c>
      <c r="BU502" s="40">
        <f>BU501*(1-IF(B501&gt;=in_marketplace_from,d_hz_loan_cd*G501,0))</f>
        <v/>
      </c>
      <c r="BV502" s="14">
        <f>F502*BU502*IF(B502&gt;=in_marketplace_from,d_hz_loan_cd*G502,0)*in_loan_cd_ticket*in_loan_cd_comm</f>
        <v/>
      </c>
      <c r="BW502" s="40">
        <f>BW501*(1-IF(B501&gt;=in_marketplace_from,d_hz_loan_vehicle*G501,0))</f>
        <v/>
      </c>
      <c r="BX502" s="14">
        <f>F502*BW502*IF(B502&gt;=in_marketplace_from,d_hz_loan_vehicle*G502,0)*in_loan_vehicle_ticket*in_loan_vehicle_comm</f>
        <v/>
      </c>
      <c r="BY502" s="40">
        <f>BY501*(1-IF(B501&gt;=in_marketplace_from,d_hz_loan_home*G501,0)*BZ501)</f>
        <v/>
      </c>
      <c r="BZ502" s="11">
        <f>MIN(in_approval_cap,in_loan_home_approval*INDEX('Age profile'!$O$2:$O$61,B502)*(1+in_approval_growth)^(D502-1))</f>
        <v/>
      </c>
      <c r="CA502" s="14">
        <f>F502*BY502*IF(B502&gt;=in_marketplace_from,d_hz_loan_home*G502,0)*BZ502*in_loan_home_ticket*in_loan_home_comm</f>
        <v/>
      </c>
      <c r="CB502" s="40">
        <f>CB501*(1-IF(B501&gt;=in_marketplace_from,d_hz_loan_lap*G501,0)*CC501)</f>
        <v/>
      </c>
      <c r="CC502" s="11">
        <f>MIN(in_approval_cap,in_loan_lap_approval*INDEX('Age profile'!$O$2:$O$61,B502)*(1+in_approval_growth)^(D502-1))</f>
        <v/>
      </c>
      <c r="CD502" s="14">
        <f>F502*CB502*IF(B502&gt;=in_marketplace_from,d_hz_loan_lap*G502,0)*CC502*in_loan_lap_ticket*in_loan_lap_comm</f>
        <v/>
      </c>
      <c r="CE502" s="14">
        <f>AA502+AB502+AC502+AD502+AG502+AJ502+AM502+AP502+AS502+AU502+AX502+BB502+BE502+BG502+BJ502+BL502+BO502+BR502+BT502+BV502+BX502+CA502+CD502</f>
        <v/>
      </c>
    </row>
    <row r="503">
      <c r="A503" s="39" t="n">
        <v>9</v>
      </c>
      <c r="B503" s="39" t="n">
        <v>50</v>
      </c>
      <c r="C503" s="39">
        <f>A503+B503-1</f>
        <v/>
      </c>
      <c r="D503" s="39">
        <f>INT((C503-1)/12)+1</f>
        <v/>
      </c>
      <c r="E503" s="44">
        <f>INDEX(Monthly!$B$2:$B$61,A503)</f>
        <v/>
      </c>
      <c r="F503" s="44">
        <f>E503*INDEX('Age profile'!$B$2:$B$61,B503)</f>
        <v/>
      </c>
      <c r="G503" s="45">
        <f>MIN(in_takeup_cap,INDEX('Age profile'!$N$2:$N$61,B503)*(1+in_takeup_growth)^(D503-1))</f>
        <v/>
      </c>
      <c r="H503" s="11">
        <f>MIN(in_approval_cap,in_approved_first*INDEX('Age profile'!$O$2:$O$61,B503)*(1+in_approval_growth)^(D503-1))</f>
        <v/>
      </c>
      <c r="I503" s="45">
        <f>G503*MIN(in_takeup_cap,INDEX('Age profile'!$O$2:$O$61,B503)*(1+in_approval_growth)^(D503-1))</f>
        <v/>
      </c>
      <c r="J503" s="40">
        <f>(J502-L502)*F503/F502</f>
        <v/>
      </c>
      <c r="K503" s="40">
        <f>(K502-M502)*F503/F502+SUMIFS(O454:O502,B454:B502,B503-1-d_T)*F503</f>
        <v/>
      </c>
      <c r="L503" s="40">
        <f>IF(B503&gt;=in_marketplace_from,J503*d_hz*G503*in_eligible*H503,0)</f>
        <v/>
      </c>
      <c r="M503" s="40">
        <f>IF(B503&gt;=in_marketplace_from,K503*d_hz*G503*in_eligible*in_approved_repeat,0)</f>
        <v/>
      </c>
      <c r="N503" s="40">
        <f>L503+M503</f>
        <v/>
      </c>
      <c r="O503" s="46">
        <f>N503/F503</f>
        <v/>
      </c>
      <c r="P503" s="40">
        <f>F503-J503-K503</f>
        <v/>
      </c>
      <c r="Q503" s="40">
        <f>IF(B503&gt;=in_marketplace_from,(J503+K503)*d_hz*G503,0)</f>
        <v/>
      </c>
      <c r="R503" s="40">
        <f>SUMIFS(N454:N505,B454:B505,"&gt;="&amp;(B503-d_T),B454:B505,"&lt;="&amp;(B503-1))</f>
        <v/>
      </c>
      <c r="S503" s="46">
        <f>(1-d_u)*S502+IF(d_T&gt;in_topup_lag,SUMIFS(O454:O505,B454:B505,B503-in_topup_lag)-d_udrop*SUMIFS(O454:O505,B454:B505,B503-d_T),0)</f>
        <v/>
      </c>
      <c r="T503" s="40">
        <f>F503*d_u*S503</f>
        <v/>
      </c>
      <c r="U503" s="9">
        <f>L503*in_ticket+M503*d_rep_ticket</f>
        <v/>
      </c>
      <c r="V503" s="9">
        <f>U503+T503*d_topup_amt</f>
        <v/>
      </c>
      <c r="W503" s="40">
        <f>N503+T503*d_topup_ratio</f>
        <v/>
      </c>
      <c r="X503" s="40">
        <f>SUMIFS(W454:W505,B454:B505,B503-in_dpd_lag)*d_cured</f>
        <v/>
      </c>
      <c r="Y503" s="40">
        <f>SUMIFS(W454:W505,B454:B505,B503-in_rec_lag)*d_recd</f>
        <v/>
      </c>
      <c r="Z503" s="40">
        <f>IF(AND(B503&gt;=in_marketplace_from,B503&lt;in_marketplace_from+in_card_months),in_card_share/in_card_months*F503*I503,IF(AND(B503&gt;=in_marketplace_from+in_card_months,B503&lt;in_marketplace_from+2*in_card_months),in_card_share*d_card_rem/in_card_months*F503*MIN(in_takeup_cap,(1+in_takeup_growth)^(D503-1))*MIN(in_takeup_cap,(1+in_approval_growth)^(D503-1)),0))</f>
        <v/>
      </c>
      <c r="AA503" s="14">
        <f>V503*in_fee*(1-in_taken_back)</f>
        <v/>
      </c>
      <c r="AB503" s="14">
        <f>SUMIFS(W454:W505,B454:B505,B503-in_dpd_lag)*d_dpd</f>
        <v/>
      </c>
      <c r="AC503" s="14">
        <f>SUMIFS(W454:W505,B454:B505,B503-in_rec_lag)*d_rec</f>
        <v/>
      </c>
      <c r="AD503" s="14">
        <f>Z503*in_card_fee</f>
        <v/>
      </c>
      <c r="AE503" s="40">
        <f>AE502*(1-IF(B502&gt;=in_marketplace_from,d_hz_hlth_small*G502,0))</f>
        <v/>
      </c>
      <c r="AF503" s="46">
        <f>AE503*IF(B503&gt;=in_marketplace_from,d_hz_hlth_small*G503,0)</f>
        <v/>
      </c>
      <c r="AG503" s="14">
        <f>F503*AF503*in_hlth_small_ticket*in_hlth_small_comm*in_ins_partner_share+F503*in_hlth_small_ticket*in_hlth_small_renew_comm*in_ins_partner_share*(in_hlth_small_renew^1*SUMIFS(AF454:AF505,B454:B505,B503-12)+in_hlth_small_renew^2*SUMIFS(AF454:AF505,B454:B505,B503-24)+in_hlth_small_renew^3*SUMIFS(AF454:AF505,B454:B505,B503-36)+in_hlth_small_renew^4*SUMIFS(AF454:AF505,B454:B505,B503-48))</f>
        <v/>
      </c>
      <c r="AH503" s="40">
        <f>AH502*(1-IF(B502&gt;=in_marketplace_from,d_hz_hlth_family*G502,0))</f>
        <v/>
      </c>
      <c r="AI503" s="46">
        <f>AH503*IF(B503&gt;=in_marketplace_from,d_hz_hlth_family*G503,0)</f>
        <v/>
      </c>
      <c r="AJ503" s="14">
        <f>F503*AI503*in_hlth_family_ticket*in_hlth_family_comm*in_ins_partner_share+F503*in_hlth_family_ticket*in_hlth_family_renew_comm*in_ins_partner_share*(in_hlth_family_renew^1*SUMIFS(AI454:AI505,B454:B505,B503-12)+in_hlth_family_renew^2*SUMIFS(AI454:AI505,B454:B505,B503-24)+in_hlth_family_renew^3*SUMIFS(AI454:AI505,B454:B505,B503-36)+in_hlth_family_renew^4*SUMIFS(AI454:AI505,B454:B505,B503-48))</f>
        <v/>
      </c>
      <c r="AK503" s="40">
        <f>AK502*(1-IF(B502&gt;=in_marketplace_from,d_hz_life_term*G502,0))</f>
        <v/>
      </c>
      <c r="AL503" s="46">
        <f>AK503*IF(B503&gt;=in_marketplace_from,d_hz_life_term*G503,0)</f>
        <v/>
      </c>
      <c r="AM503" s="14">
        <f>F503*AL503*in_life_term_ticket*in_life_term_comm*in_ins_partner_share+F503*in_life_term_ticket*in_life_term_renew_comm*in_ins_partner_share*(in_life_term_renew^1*SUMIFS(AL454:AL505,B454:B505,B503-12)+in_life_term_renew^2*SUMIFS(AL454:AL505,B454:B505,B503-24)+in_life_term_renew^3*SUMIFS(AL454:AL505,B454:B505,B503-36)+in_life_term_renew^4*SUMIFS(AL454:AL505,B454:B505,B503-48))</f>
        <v/>
      </c>
      <c r="AN503" s="40">
        <f>AN502*(1-IF(B502&gt;=in_marketplace_from,d_hz_accident*G502,0))</f>
        <v/>
      </c>
      <c r="AO503" s="46">
        <f>AN503*IF(B503&gt;=in_marketplace_from,d_hz_accident*G503,0)</f>
        <v/>
      </c>
      <c r="AP503" s="14">
        <f>F503*AO503*in_accident_ticket*in_accident_comm*in_ins_partner_share+F503*in_accident_ticket*in_accident_renew_comm*in_ins_partner_share*(in_accident_renew^1*SUMIFS(AO454:AO505,B454:B505,B503-12)+in_accident_renew^2*SUMIFS(AO454:AO505,B454:B505,B503-24)+in_accident_renew^3*SUMIFS(AO454:AO505,B454:B505,B503-36)+in_accident_renew^4*SUMIFS(AO454:AO505,B454:B505,B503-48))</f>
        <v/>
      </c>
      <c r="AQ503" s="40">
        <f>AQ502*(1-IF(B502&gt;=in_marketplace_from,d_hz_two_wheeler*G502,0))</f>
        <v/>
      </c>
      <c r="AR503" s="46">
        <f>AQ503*IF(B503&gt;=in_marketplace_from,d_hz_two_wheeler*G503,0)</f>
        <v/>
      </c>
      <c r="AS503" s="14">
        <f>F503*AR503*in_two_wheeler_ticket*in_two_wheeler_comm*in_ins_partner_share+F503*in_two_wheeler_ticket*in_two_wheeler_comm*in_ins_partner_share*(in_two_wheeler_renew^1*SUMIFS(AR454:AR505,B454:B505,B503-12)+in_two_wheeler_renew^2*SUMIFS(AR454:AR505,B454:B505,B503-24)+in_two_wheeler_renew^3*SUMIFS(AR454:AR505,B454:B505,B503-36)+in_two_wheeler_renew^4*SUMIFS(AR454:AR505,B454:B505,B503-48))</f>
        <v/>
      </c>
      <c r="AT503" s="40">
        <f>AT502*(1-IF(B502&gt;=in_marketplace_from,d_hz_device*G502,0))</f>
        <v/>
      </c>
      <c r="AU503" s="14">
        <f>F503*AT503*IF(B503&gt;=in_marketplace_from,d_hz_device*G503,0)*in_device_ticket*in_device_comm*in_ins_partner_share</f>
        <v/>
      </c>
      <c r="AV503" s="40">
        <f>AV502*(1-IF(B502&gt;=in_marketplace_from,d_hz_shop*G502,0))</f>
        <v/>
      </c>
      <c r="AW503" s="46">
        <f>AV503*IF(B503&gt;=in_marketplace_from,d_hz_shop*G503,0)</f>
        <v/>
      </c>
      <c r="AX503" s="14">
        <f>F503*AW503*in_shop_ticket*in_shop_comm*in_ins_partner_share+F503*in_shop_ticket*in_shop_renew_comm*in_ins_partner_share*(in_shop_renew^1*SUMIFS(AW454:AW505,B454:B505,B503-12)+in_shop_renew^2*SUMIFS(AW454:AW505,B454:B505,B503-24)+in_shop_renew^3*SUMIFS(AW454:AW505,B454:B505,B503-36)+in_shop_renew^4*SUMIFS(AW454:AW505,B454:B505,B503-48))</f>
        <v/>
      </c>
      <c r="AY503" s="40">
        <f>AY502*(1-IF(B502&gt;=in_marketplace_from,d_hz_sip*G502,0))</f>
        <v/>
      </c>
      <c r="AZ503" s="40">
        <f>AZ502*d_rho_sip+AY503*IF(B503&gt;=in_marketplace_from,d_hz_sip*G503,0)</f>
        <v/>
      </c>
      <c r="BA503" s="40">
        <f>d_rho_sip*(BA502+AZ502)</f>
        <v/>
      </c>
      <c r="BB503" s="14">
        <f>F503*in_sip_ticket*(BA503+0.5*AZ503)*in_sip_comm/12</f>
        <v/>
      </c>
      <c r="BC503" s="40">
        <f>BC502*(1-IF(B502&gt;=in_marketplace_from,d_hz_choti*G502,0))</f>
        <v/>
      </c>
      <c r="BD503" s="46">
        <f>BC503*IF(B503&gt;=in_marketplace_from,d_hz_choti*G503,0)</f>
        <v/>
      </c>
      <c r="BE503" s="14">
        <f>F503*SUMIFS(BD454:BD505,B454:B505,B503-in_choti_months)*in_choti_renew*in_choti_ticket</f>
        <v/>
      </c>
      <c r="BF503" s="40">
        <f>BF502*(1-IF(B502&gt;=in_marketplace_from,d_hz_nps*G502,0))</f>
        <v/>
      </c>
      <c r="BG503" s="14">
        <f>F503*BF503*IF(B503&gt;=in_marketplace_from,d_hz_nps*G503,0)*in_nps_ticket*in_nps_comm</f>
        <v/>
      </c>
      <c r="BH503" s="40">
        <f>BH502*(1-IF(B502&gt;=in_marketplace_from,d_hz_gold*G502,0))</f>
        <v/>
      </c>
      <c r="BI503" s="40">
        <f>BI502*d_rho_gold+BH503*IF(B503&gt;=in_marketplace_from,d_hz_gold*G503,0)</f>
        <v/>
      </c>
      <c r="BJ503" s="14">
        <f>F503*BI503*in_gold_ticket*in_gold_comm</f>
        <v/>
      </c>
      <c r="BK503" s="40">
        <f>BK502*(1-IF(B502&gt;=in_marketplace_from,d_hz_fd*G502,0))</f>
        <v/>
      </c>
      <c r="BL503" s="14">
        <f>F503*BK503*IF(B503&gt;=in_marketplace_from,d_hz_fd*G503,0)*in_fd_ticket*in_fd_comm</f>
        <v/>
      </c>
      <c r="BM503" s="40">
        <f>BM502*(1-IF(B502&gt;=in_marketplace_from,d_hz_recharge*G502,0))</f>
        <v/>
      </c>
      <c r="BN503" s="40">
        <f>BN502*d_rho_recharge+BM503*IF(B503&gt;=in_marketplace_from,d_hz_recharge*G503,0)</f>
        <v/>
      </c>
      <c r="BO503" s="14">
        <f>F503*BN503*in_recharge_ticket*in_recharge_comm/12</f>
        <v/>
      </c>
      <c r="BP503" s="40">
        <f>BP502*(1-IF(B502&gt;=in_marketplace_from,d_hz_bills*G502,0))</f>
        <v/>
      </c>
      <c r="BQ503" s="40">
        <f>BQ502*d_rho_bills+BP503*IF(B503&gt;=in_marketplace_from,d_hz_bills*G503,0)</f>
        <v/>
      </c>
      <c r="BR503" s="14">
        <f>F503*BQ503*in_bills_ticket*in_bills_comm/12</f>
        <v/>
      </c>
      <c r="BS503" s="40">
        <f>BS502*(1-IF(B502&gt;=in_marketplace_from,d_hz_loan_gold*G502,0))</f>
        <v/>
      </c>
      <c r="BT503" s="14">
        <f>F503*BS503*IF(B503&gt;=in_marketplace_from,d_hz_loan_gold*G503,0)*in_loan_gold_ticket*in_loan_gold_comm</f>
        <v/>
      </c>
      <c r="BU503" s="40">
        <f>BU502*(1-IF(B502&gt;=in_marketplace_from,d_hz_loan_cd*G502,0))</f>
        <v/>
      </c>
      <c r="BV503" s="14">
        <f>F503*BU503*IF(B503&gt;=in_marketplace_from,d_hz_loan_cd*G503,0)*in_loan_cd_ticket*in_loan_cd_comm</f>
        <v/>
      </c>
      <c r="BW503" s="40">
        <f>BW502*(1-IF(B502&gt;=in_marketplace_from,d_hz_loan_vehicle*G502,0))</f>
        <v/>
      </c>
      <c r="BX503" s="14">
        <f>F503*BW503*IF(B503&gt;=in_marketplace_from,d_hz_loan_vehicle*G503,0)*in_loan_vehicle_ticket*in_loan_vehicle_comm</f>
        <v/>
      </c>
      <c r="BY503" s="40">
        <f>BY502*(1-IF(B502&gt;=in_marketplace_from,d_hz_loan_home*G502,0)*BZ502)</f>
        <v/>
      </c>
      <c r="BZ503" s="11">
        <f>MIN(in_approval_cap,in_loan_home_approval*INDEX('Age profile'!$O$2:$O$61,B503)*(1+in_approval_growth)^(D503-1))</f>
        <v/>
      </c>
      <c r="CA503" s="14">
        <f>F503*BY503*IF(B503&gt;=in_marketplace_from,d_hz_loan_home*G503,0)*BZ503*in_loan_home_ticket*in_loan_home_comm</f>
        <v/>
      </c>
      <c r="CB503" s="40">
        <f>CB502*(1-IF(B502&gt;=in_marketplace_from,d_hz_loan_lap*G502,0)*CC502)</f>
        <v/>
      </c>
      <c r="CC503" s="11">
        <f>MIN(in_approval_cap,in_loan_lap_approval*INDEX('Age profile'!$O$2:$O$61,B503)*(1+in_approval_growth)^(D503-1))</f>
        <v/>
      </c>
      <c r="CD503" s="14">
        <f>F503*CB503*IF(B503&gt;=in_marketplace_from,d_hz_loan_lap*G503,0)*CC503*in_loan_lap_ticket*in_loan_lap_comm</f>
        <v/>
      </c>
      <c r="CE503" s="14">
        <f>AA503+AB503+AC503+AD503+AG503+AJ503+AM503+AP503+AS503+AU503+AX503+BB503+BE503+BG503+BJ503+BL503+BO503+BR503+BT503+BV503+BX503+CA503+CD503</f>
        <v/>
      </c>
    </row>
    <row r="504">
      <c r="A504" s="39" t="n">
        <v>9</v>
      </c>
      <c r="B504" s="39" t="n">
        <v>51</v>
      </c>
      <c r="C504" s="39">
        <f>A504+B504-1</f>
        <v/>
      </c>
      <c r="D504" s="39">
        <f>INT((C504-1)/12)+1</f>
        <v/>
      </c>
      <c r="E504" s="44">
        <f>INDEX(Monthly!$B$2:$B$61,A504)</f>
        <v/>
      </c>
      <c r="F504" s="44">
        <f>E504*INDEX('Age profile'!$B$2:$B$61,B504)</f>
        <v/>
      </c>
      <c r="G504" s="45">
        <f>MIN(in_takeup_cap,INDEX('Age profile'!$N$2:$N$61,B504)*(1+in_takeup_growth)^(D504-1))</f>
        <v/>
      </c>
      <c r="H504" s="11">
        <f>MIN(in_approval_cap,in_approved_first*INDEX('Age profile'!$O$2:$O$61,B504)*(1+in_approval_growth)^(D504-1))</f>
        <v/>
      </c>
      <c r="I504" s="45">
        <f>G504*MIN(in_takeup_cap,INDEX('Age profile'!$O$2:$O$61,B504)*(1+in_approval_growth)^(D504-1))</f>
        <v/>
      </c>
      <c r="J504" s="40">
        <f>(J503-L503)*F504/F503</f>
        <v/>
      </c>
      <c r="K504" s="40">
        <f>(K503-M503)*F504/F503+SUMIFS(O454:O503,B454:B503,B504-1-d_T)*F504</f>
        <v/>
      </c>
      <c r="L504" s="40">
        <f>IF(B504&gt;=in_marketplace_from,J504*d_hz*G504*in_eligible*H504,0)</f>
        <v/>
      </c>
      <c r="M504" s="40">
        <f>IF(B504&gt;=in_marketplace_from,K504*d_hz*G504*in_eligible*in_approved_repeat,0)</f>
        <v/>
      </c>
      <c r="N504" s="40">
        <f>L504+M504</f>
        <v/>
      </c>
      <c r="O504" s="46">
        <f>N504/F504</f>
        <v/>
      </c>
      <c r="P504" s="40">
        <f>F504-J504-K504</f>
        <v/>
      </c>
      <c r="Q504" s="40">
        <f>IF(B504&gt;=in_marketplace_from,(J504+K504)*d_hz*G504,0)</f>
        <v/>
      </c>
      <c r="R504" s="40">
        <f>SUMIFS(N454:N505,B454:B505,"&gt;="&amp;(B504-d_T),B454:B505,"&lt;="&amp;(B504-1))</f>
        <v/>
      </c>
      <c r="S504" s="46">
        <f>(1-d_u)*S503+IF(d_T&gt;in_topup_lag,SUMIFS(O454:O505,B454:B505,B504-in_topup_lag)-d_udrop*SUMIFS(O454:O505,B454:B505,B504-d_T),0)</f>
        <v/>
      </c>
      <c r="T504" s="40">
        <f>F504*d_u*S504</f>
        <v/>
      </c>
      <c r="U504" s="9">
        <f>L504*in_ticket+M504*d_rep_ticket</f>
        <v/>
      </c>
      <c r="V504" s="9">
        <f>U504+T504*d_topup_amt</f>
        <v/>
      </c>
      <c r="W504" s="40">
        <f>N504+T504*d_topup_ratio</f>
        <v/>
      </c>
      <c r="X504" s="40">
        <f>SUMIFS(W454:W505,B454:B505,B504-in_dpd_lag)*d_cured</f>
        <v/>
      </c>
      <c r="Y504" s="40">
        <f>SUMIFS(W454:W505,B454:B505,B504-in_rec_lag)*d_recd</f>
        <v/>
      </c>
      <c r="Z504" s="40">
        <f>IF(AND(B504&gt;=in_marketplace_from,B504&lt;in_marketplace_from+in_card_months),in_card_share/in_card_months*F504*I504,IF(AND(B504&gt;=in_marketplace_from+in_card_months,B504&lt;in_marketplace_from+2*in_card_months),in_card_share*d_card_rem/in_card_months*F504*MIN(in_takeup_cap,(1+in_takeup_growth)^(D504-1))*MIN(in_takeup_cap,(1+in_approval_growth)^(D504-1)),0))</f>
        <v/>
      </c>
      <c r="AA504" s="14">
        <f>V504*in_fee*(1-in_taken_back)</f>
        <v/>
      </c>
      <c r="AB504" s="14">
        <f>SUMIFS(W454:W505,B454:B505,B504-in_dpd_lag)*d_dpd</f>
        <v/>
      </c>
      <c r="AC504" s="14">
        <f>SUMIFS(W454:W505,B454:B505,B504-in_rec_lag)*d_rec</f>
        <v/>
      </c>
      <c r="AD504" s="14">
        <f>Z504*in_card_fee</f>
        <v/>
      </c>
      <c r="AE504" s="40">
        <f>AE503*(1-IF(B503&gt;=in_marketplace_from,d_hz_hlth_small*G503,0))</f>
        <v/>
      </c>
      <c r="AF504" s="46">
        <f>AE504*IF(B504&gt;=in_marketplace_from,d_hz_hlth_small*G504,0)</f>
        <v/>
      </c>
      <c r="AG504" s="14">
        <f>F504*AF504*in_hlth_small_ticket*in_hlth_small_comm*in_ins_partner_share+F504*in_hlth_small_ticket*in_hlth_small_renew_comm*in_ins_partner_share*(in_hlth_small_renew^1*SUMIFS(AF454:AF505,B454:B505,B504-12)+in_hlth_small_renew^2*SUMIFS(AF454:AF505,B454:B505,B504-24)+in_hlth_small_renew^3*SUMIFS(AF454:AF505,B454:B505,B504-36)+in_hlth_small_renew^4*SUMIFS(AF454:AF505,B454:B505,B504-48))</f>
        <v/>
      </c>
      <c r="AH504" s="40">
        <f>AH503*(1-IF(B503&gt;=in_marketplace_from,d_hz_hlth_family*G503,0))</f>
        <v/>
      </c>
      <c r="AI504" s="46">
        <f>AH504*IF(B504&gt;=in_marketplace_from,d_hz_hlth_family*G504,0)</f>
        <v/>
      </c>
      <c r="AJ504" s="14">
        <f>F504*AI504*in_hlth_family_ticket*in_hlth_family_comm*in_ins_partner_share+F504*in_hlth_family_ticket*in_hlth_family_renew_comm*in_ins_partner_share*(in_hlth_family_renew^1*SUMIFS(AI454:AI505,B454:B505,B504-12)+in_hlth_family_renew^2*SUMIFS(AI454:AI505,B454:B505,B504-24)+in_hlth_family_renew^3*SUMIFS(AI454:AI505,B454:B505,B504-36)+in_hlth_family_renew^4*SUMIFS(AI454:AI505,B454:B505,B504-48))</f>
        <v/>
      </c>
      <c r="AK504" s="40">
        <f>AK503*(1-IF(B503&gt;=in_marketplace_from,d_hz_life_term*G503,0))</f>
        <v/>
      </c>
      <c r="AL504" s="46">
        <f>AK504*IF(B504&gt;=in_marketplace_from,d_hz_life_term*G504,0)</f>
        <v/>
      </c>
      <c r="AM504" s="14">
        <f>F504*AL504*in_life_term_ticket*in_life_term_comm*in_ins_partner_share+F504*in_life_term_ticket*in_life_term_renew_comm*in_ins_partner_share*(in_life_term_renew^1*SUMIFS(AL454:AL505,B454:B505,B504-12)+in_life_term_renew^2*SUMIFS(AL454:AL505,B454:B505,B504-24)+in_life_term_renew^3*SUMIFS(AL454:AL505,B454:B505,B504-36)+in_life_term_renew^4*SUMIFS(AL454:AL505,B454:B505,B504-48))</f>
        <v/>
      </c>
      <c r="AN504" s="40">
        <f>AN503*(1-IF(B503&gt;=in_marketplace_from,d_hz_accident*G503,0))</f>
        <v/>
      </c>
      <c r="AO504" s="46">
        <f>AN504*IF(B504&gt;=in_marketplace_from,d_hz_accident*G504,0)</f>
        <v/>
      </c>
      <c r="AP504" s="14">
        <f>F504*AO504*in_accident_ticket*in_accident_comm*in_ins_partner_share+F504*in_accident_ticket*in_accident_renew_comm*in_ins_partner_share*(in_accident_renew^1*SUMIFS(AO454:AO505,B454:B505,B504-12)+in_accident_renew^2*SUMIFS(AO454:AO505,B454:B505,B504-24)+in_accident_renew^3*SUMIFS(AO454:AO505,B454:B505,B504-36)+in_accident_renew^4*SUMIFS(AO454:AO505,B454:B505,B504-48))</f>
        <v/>
      </c>
      <c r="AQ504" s="40">
        <f>AQ503*(1-IF(B503&gt;=in_marketplace_from,d_hz_two_wheeler*G503,0))</f>
        <v/>
      </c>
      <c r="AR504" s="46">
        <f>AQ504*IF(B504&gt;=in_marketplace_from,d_hz_two_wheeler*G504,0)</f>
        <v/>
      </c>
      <c r="AS504" s="14">
        <f>F504*AR504*in_two_wheeler_ticket*in_two_wheeler_comm*in_ins_partner_share+F504*in_two_wheeler_ticket*in_two_wheeler_comm*in_ins_partner_share*(in_two_wheeler_renew^1*SUMIFS(AR454:AR505,B454:B505,B504-12)+in_two_wheeler_renew^2*SUMIFS(AR454:AR505,B454:B505,B504-24)+in_two_wheeler_renew^3*SUMIFS(AR454:AR505,B454:B505,B504-36)+in_two_wheeler_renew^4*SUMIFS(AR454:AR505,B454:B505,B504-48))</f>
        <v/>
      </c>
      <c r="AT504" s="40">
        <f>AT503*(1-IF(B503&gt;=in_marketplace_from,d_hz_device*G503,0))</f>
        <v/>
      </c>
      <c r="AU504" s="14">
        <f>F504*AT504*IF(B504&gt;=in_marketplace_from,d_hz_device*G504,0)*in_device_ticket*in_device_comm*in_ins_partner_share</f>
        <v/>
      </c>
      <c r="AV504" s="40">
        <f>AV503*(1-IF(B503&gt;=in_marketplace_from,d_hz_shop*G503,0))</f>
        <v/>
      </c>
      <c r="AW504" s="46">
        <f>AV504*IF(B504&gt;=in_marketplace_from,d_hz_shop*G504,0)</f>
        <v/>
      </c>
      <c r="AX504" s="14">
        <f>F504*AW504*in_shop_ticket*in_shop_comm*in_ins_partner_share+F504*in_shop_ticket*in_shop_renew_comm*in_ins_partner_share*(in_shop_renew^1*SUMIFS(AW454:AW505,B454:B505,B504-12)+in_shop_renew^2*SUMIFS(AW454:AW505,B454:B505,B504-24)+in_shop_renew^3*SUMIFS(AW454:AW505,B454:B505,B504-36)+in_shop_renew^4*SUMIFS(AW454:AW505,B454:B505,B504-48))</f>
        <v/>
      </c>
      <c r="AY504" s="40">
        <f>AY503*(1-IF(B503&gt;=in_marketplace_from,d_hz_sip*G503,0))</f>
        <v/>
      </c>
      <c r="AZ504" s="40">
        <f>AZ503*d_rho_sip+AY504*IF(B504&gt;=in_marketplace_from,d_hz_sip*G504,0)</f>
        <v/>
      </c>
      <c r="BA504" s="40">
        <f>d_rho_sip*(BA503+AZ503)</f>
        <v/>
      </c>
      <c r="BB504" s="14">
        <f>F504*in_sip_ticket*(BA504+0.5*AZ504)*in_sip_comm/12</f>
        <v/>
      </c>
      <c r="BC504" s="40">
        <f>BC503*(1-IF(B503&gt;=in_marketplace_from,d_hz_choti*G503,0))</f>
        <v/>
      </c>
      <c r="BD504" s="46">
        <f>BC504*IF(B504&gt;=in_marketplace_from,d_hz_choti*G504,0)</f>
        <v/>
      </c>
      <c r="BE504" s="14">
        <f>F504*SUMIFS(BD454:BD505,B454:B505,B504-in_choti_months)*in_choti_renew*in_choti_ticket</f>
        <v/>
      </c>
      <c r="BF504" s="40">
        <f>BF503*(1-IF(B503&gt;=in_marketplace_from,d_hz_nps*G503,0))</f>
        <v/>
      </c>
      <c r="BG504" s="14">
        <f>F504*BF504*IF(B504&gt;=in_marketplace_from,d_hz_nps*G504,0)*in_nps_ticket*in_nps_comm</f>
        <v/>
      </c>
      <c r="BH504" s="40">
        <f>BH503*(1-IF(B503&gt;=in_marketplace_from,d_hz_gold*G503,0))</f>
        <v/>
      </c>
      <c r="BI504" s="40">
        <f>BI503*d_rho_gold+BH504*IF(B504&gt;=in_marketplace_from,d_hz_gold*G504,0)</f>
        <v/>
      </c>
      <c r="BJ504" s="14">
        <f>F504*BI504*in_gold_ticket*in_gold_comm</f>
        <v/>
      </c>
      <c r="BK504" s="40">
        <f>BK503*(1-IF(B503&gt;=in_marketplace_from,d_hz_fd*G503,0))</f>
        <v/>
      </c>
      <c r="BL504" s="14">
        <f>F504*BK504*IF(B504&gt;=in_marketplace_from,d_hz_fd*G504,0)*in_fd_ticket*in_fd_comm</f>
        <v/>
      </c>
      <c r="BM504" s="40">
        <f>BM503*(1-IF(B503&gt;=in_marketplace_from,d_hz_recharge*G503,0))</f>
        <v/>
      </c>
      <c r="BN504" s="40">
        <f>BN503*d_rho_recharge+BM504*IF(B504&gt;=in_marketplace_from,d_hz_recharge*G504,0)</f>
        <v/>
      </c>
      <c r="BO504" s="14">
        <f>F504*BN504*in_recharge_ticket*in_recharge_comm/12</f>
        <v/>
      </c>
      <c r="BP504" s="40">
        <f>BP503*(1-IF(B503&gt;=in_marketplace_from,d_hz_bills*G503,0))</f>
        <v/>
      </c>
      <c r="BQ504" s="40">
        <f>BQ503*d_rho_bills+BP504*IF(B504&gt;=in_marketplace_from,d_hz_bills*G504,0)</f>
        <v/>
      </c>
      <c r="BR504" s="14">
        <f>F504*BQ504*in_bills_ticket*in_bills_comm/12</f>
        <v/>
      </c>
      <c r="BS504" s="40">
        <f>BS503*(1-IF(B503&gt;=in_marketplace_from,d_hz_loan_gold*G503,0))</f>
        <v/>
      </c>
      <c r="BT504" s="14">
        <f>F504*BS504*IF(B504&gt;=in_marketplace_from,d_hz_loan_gold*G504,0)*in_loan_gold_ticket*in_loan_gold_comm</f>
        <v/>
      </c>
      <c r="BU504" s="40">
        <f>BU503*(1-IF(B503&gt;=in_marketplace_from,d_hz_loan_cd*G503,0))</f>
        <v/>
      </c>
      <c r="BV504" s="14">
        <f>F504*BU504*IF(B504&gt;=in_marketplace_from,d_hz_loan_cd*G504,0)*in_loan_cd_ticket*in_loan_cd_comm</f>
        <v/>
      </c>
      <c r="BW504" s="40">
        <f>BW503*(1-IF(B503&gt;=in_marketplace_from,d_hz_loan_vehicle*G503,0))</f>
        <v/>
      </c>
      <c r="BX504" s="14">
        <f>F504*BW504*IF(B504&gt;=in_marketplace_from,d_hz_loan_vehicle*G504,0)*in_loan_vehicle_ticket*in_loan_vehicle_comm</f>
        <v/>
      </c>
      <c r="BY504" s="40">
        <f>BY503*(1-IF(B503&gt;=in_marketplace_from,d_hz_loan_home*G503,0)*BZ503)</f>
        <v/>
      </c>
      <c r="BZ504" s="11">
        <f>MIN(in_approval_cap,in_loan_home_approval*INDEX('Age profile'!$O$2:$O$61,B504)*(1+in_approval_growth)^(D504-1))</f>
        <v/>
      </c>
      <c r="CA504" s="14">
        <f>F504*BY504*IF(B504&gt;=in_marketplace_from,d_hz_loan_home*G504,0)*BZ504*in_loan_home_ticket*in_loan_home_comm</f>
        <v/>
      </c>
      <c r="CB504" s="40">
        <f>CB503*(1-IF(B503&gt;=in_marketplace_from,d_hz_loan_lap*G503,0)*CC503)</f>
        <v/>
      </c>
      <c r="CC504" s="11">
        <f>MIN(in_approval_cap,in_loan_lap_approval*INDEX('Age profile'!$O$2:$O$61,B504)*(1+in_approval_growth)^(D504-1))</f>
        <v/>
      </c>
      <c r="CD504" s="14">
        <f>F504*CB504*IF(B504&gt;=in_marketplace_from,d_hz_loan_lap*G504,0)*CC504*in_loan_lap_ticket*in_loan_lap_comm</f>
        <v/>
      </c>
      <c r="CE504" s="14">
        <f>AA504+AB504+AC504+AD504+AG504+AJ504+AM504+AP504+AS504+AU504+AX504+BB504+BE504+BG504+BJ504+BL504+BO504+BR504+BT504+BV504+BX504+CA504+CD504</f>
        <v/>
      </c>
    </row>
    <row r="505">
      <c r="A505" s="39" t="n">
        <v>9</v>
      </c>
      <c r="B505" s="39" t="n">
        <v>52</v>
      </c>
      <c r="C505" s="39">
        <f>A505+B505-1</f>
        <v/>
      </c>
      <c r="D505" s="39">
        <f>INT((C505-1)/12)+1</f>
        <v/>
      </c>
      <c r="E505" s="44">
        <f>INDEX(Monthly!$B$2:$B$61,A505)</f>
        <v/>
      </c>
      <c r="F505" s="44">
        <f>E505*INDEX('Age profile'!$B$2:$B$61,B505)</f>
        <v/>
      </c>
      <c r="G505" s="45">
        <f>MIN(in_takeup_cap,INDEX('Age profile'!$N$2:$N$61,B505)*(1+in_takeup_growth)^(D505-1))</f>
        <v/>
      </c>
      <c r="H505" s="11">
        <f>MIN(in_approval_cap,in_approved_first*INDEX('Age profile'!$O$2:$O$61,B505)*(1+in_approval_growth)^(D505-1))</f>
        <v/>
      </c>
      <c r="I505" s="45">
        <f>G505*MIN(in_takeup_cap,INDEX('Age profile'!$O$2:$O$61,B505)*(1+in_approval_growth)^(D505-1))</f>
        <v/>
      </c>
      <c r="J505" s="40">
        <f>(J504-L504)*F505/F504</f>
        <v/>
      </c>
      <c r="K505" s="40">
        <f>(K504-M504)*F505/F504+SUMIFS(O454:O504,B454:B504,B505-1-d_T)*F505</f>
        <v/>
      </c>
      <c r="L505" s="40">
        <f>IF(B505&gt;=in_marketplace_from,J505*d_hz*G505*in_eligible*H505,0)</f>
        <v/>
      </c>
      <c r="M505" s="40">
        <f>IF(B505&gt;=in_marketplace_from,K505*d_hz*G505*in_eligible*in_approved_repeat,0)</f>
        <v/>
      </c>
      <c r="N505" s="40">
        <f>L505+M505</f>
        <v/>
      </c>
      <c r="O505" s="46">
        <f>N505/F505</f>
        <v/>
      </c>
      <c r="P505" s="40">
        <f>F505-J505-K505</f>
        <v/>
      </c>
      <c r="Q505" s="40">
        <f>IF(B505&gt;=in_marketplace_from,(J505+K505)*d_hz*G505,0)</f>
        <v/>
      </c>
      <c r="R505" s="40">
        <f>SUMIFS(N454:N505,B454:B505,"&gt;="&amp;(B505-d_T),B454:B505,"&lt;="&amp;(B505-1))</f>
        <v/>
      </c>
      <c r="S505" s="46">
        <f>(1-d_u)*S504+IF(d_T&gt;in_topup_lag,SUMIFS(O454:O505,B454:B505,B505-in_topup_lag)-d_udrop*SUMIFS(O454:O505,B454:B505,B505-d_T),0)</f>
        <v/>
      </c>
      <c r="T505" s="40">
        <f>F505*d_u*S505</f>
        <v/>
      </c>
      <c r="U505" s="9">
        <f>L505*in_ticket+M505*d_rep_ticket</f>
        <v/>
      </c>
      <c r="V505" s="9">
        <f>U505+T505*d_topup_amt</f>
        <v/>
      </c>
      <c r="W505" s="40">
        <f>N505+T505*d_topup_ratio</f>
        <v/>
      </c>
      <c r="X505" s="40">
        <f>SUMIFS(W454:W505,B454:B505,B505-in_dpd_lag)*d_cured</f>
        <v/>
      </c>
      <c r="Y505" s="40">
        <f>SUMIFS(W454:W505,B454:B505,B505-in_rec_lag)*d_recd</f>
        <v/>
      </c>
      <c r="Z505" s="40">
        <f>IF(AND(B505&gt;=in_marketplace_from,B505&lt;in_marketplace_from+in_card_months),in_card_share/in_card_months*F505*I505,IF(AND(B505&gt;=in_marketplace_from+in_card_months,B505&lt;in_marketplace_from+2*in_card_months),in_card_share*d_card_rem/in_card_months*F505*MIN(in_takeup_cap,(1+in_takeup_growth)^(D505-1))*MIN(in_takeup_cap,(1+in_approval_growth)^(D505-1)),0))</f>
        <v/>
      </c>
      <c r="AA505" s="14">
        <f>V505*in_fee*(1-in_taken_back)</f>
        <v/>
      </c>
      <c r="AB505" s="14">
        <f>SUMIFS(W454:W505,B454:B505,B505-in_dpd_lag)*d_dpd</f>
        <v/>
      </c>
      <c r="AC505" s="14">
        <f>SUMIFS(W454:W505,B454:B505,B505-in_rec_lag)*d_rec</f>
        <v/>
      </c>
      <c r="AD505" s="14">
        <f>Z505*in_card_fee</f>
        <v/>
      </c>
      <c r="AE505" s="40">
        <f>AE504*(1-IF(B504&gt;=in_marketplace_from,d_hz_hlth_small*G504,0))</f>
        <v/>
      </c>
      <c r="AF505" s="46">
        <f>AE505*IF(B505&gt;=in_marketplace_from,d_hz_hlth_small*G505,0)</f>
        <v/>
      </c>
      <c r="AG505" s="14">
        <f>F505*AF505*in_hlth_small_ticket*in_hlth_small_comm*in_ins_partner_share+F505*in_hlth_small_ticket*in_hlth_small_renew_comm*in_ins_partner_share*(in_hlth_small_renew^1*SUMIFS(AF454:AF505,B454:B505,B505-12)+in_hlth_small_renew^2*SUMIFS(AF454:AF505,B454:B505,B505-24)+in_hlth_small_renew^3*SUMIFS(AF454:AF505,B454:B505,B505-36)+in_hlth_small_renew^4*SUMIFS(AF454:AF505,B454:B505,B505-48))</f>
        <v/>
      </c>
      <c r="AH505" s="40">
        <f>AH504*(1-IF(B504&gt;=in_marketplace_from,d_hz_hlth_family*G504,0))</f>
        <v/>
      </c>
      <c r="AI505" s="46">
        <f>AH505*IF(B505&gt;=in_marketplace_from,d_hz_hlth_family*G505,0)</f>
        <v/>
      </c>
      <c r="AJ505" s="14">
        <f>F505*AI505*in_hlth_family_ticket*in_hlth_family_comm*in_ins_partner_share+F505*in_hlth_family_ticket*in_hlth_family_renew_comm*in_ins_partner_share*(in_hlth_family_renew^1*SUMIFS(AI454:AI505,B454:B505,B505-12)+in_hlth_family_renew^2*SUMIFS(AI454:AI505,B454:B505,B505-24)+in_hlth_family_renew^3*SUMIFS(AI454:AI505,B454:B505,B505-36)+in_hlth_family_renew^4*SUMIFS(AI454:AI505,B454:B505,B505-48))</f>
        <v/>
      </c>
      <c r="AK505" s="40">
        <f>AK504*(1-IF(B504&gt;=in_marketplace_from,d_hz_life_term*G504,0))</f>
        <v/>
      </c>
      <c r="AL505" s="46">
        <f>AK505*IF(B505&gt;=in_marketplace_from,d_hz_life_term*G505,0)</f>
        <v/>
      </c>
      <c r="AM505" s="14">
        <f>F505*AL505*in_life_term_ticket*in_life_term_comm*in_ins_partner_share+F505*in_life_term_ticket*in_life_term_renew_comm*in_ins_partner_share*(in_life_term_renew^1*SUMIFS(AL454:AL505,B454:B505,B505-12)+in_life_term_renew^2*SUMIFS(AL454:AL505,B454:B505,B505-24)+in_life_term_renew^3*SUMIFS(AL454:AL505,B454:B505,B505-36)+in_life_term_renew^4*SUMIFS(AL454:AL505,B454:B505,B505-48))</f>
        <v/>
      </c>
      <c r="AN505" s="40">
        <f>AN504*(1-IF(B504&gt;=in_marketplace_from,d_hz_accident*G504,0))</f>
        <v/>
      </c>
      <c r="AO505" s="46">
        <f>AN505*IF(B505&gt;=in_marketplace_from,d_hz_accident*G505,0)</f>
        <v/>
      </c>
      <c r="AP505" s="14">
        <f>F505*AO505*in_accident_ticket*in_accident_comm*in_ins_partner_share+F505*in_accident_ticket*in_accident_renew_comm*in_ins_partner_share*(in_accident_renew^1*SUMIFS(AO454:AO505,B454:B505,B505-12)+in_accident_renew^2*SUMIFS(AO454:AO505,B454:B505,B505-24)+in_accident_renew^3*SUMIFS(AO454:AO505,B454:B505,B505-36)+in_accident_renew^4*SUMIFS(AO454:AO505,B454:B505,B505-48))</f>
        <v/>
      </c>
      <c r="AQ505" s="40">
        <f>AQ504*(1-IF(B504&gt;=in_marketplace_from,d_hz_two_wheeler*G504,0))</f>
        <v/>
      </c>
      <c r="AR505" s="46">
        <f>AQ505*IF(B505&gt;=in_marketplace_from,d_hz_two_wheeler*G505,0)</f>
        <v/>
      </c>
      <c r="AS505" s="14">
        <f>F505*AR505*in_two_wheeler_ticket*in_two_wheeler_comm*in_ins_partner_share+F505*in_two_wheeler_ticket*in_two_wheeler_comm*in_ins_partner_share*(in_two_wheeler_renew^1*SUMIFS(AR454:AR505,B454:B505,B505-12)+in_two_wheeler_renew^2*SUMIFS(AR454:AR505,B454:B505,B505-24)+in_two_wheeler_renew^3*SUMIFS(AR454:AR505,B454:B505,B505-36)+in_two_wheeler_renew^4*SUMIFS(AR454:AR505,B454:B505,B505-48))</f>
        <v/>
      </c>
      <c r="AT505" s="40">
        <f>AT504*(1-IF(B504&gt;=in_marketplace_from,d_hz_device*G504,0))</f>
        <v/>
      </c>
      <c r="AU505" s="14">
        <f>F505*AT505*IF(B505&gt;=in_marketplace_from,d_hz_device*G505,0)*in_device_ticket*in_device_comm*in_ins_partner_share</f>
        <v/>
      </c>
      <c r="AV505" s="40">
        <f>AV504*(1-IF(B504&gt;=in_marketplace_from,d_hz_shop*G504,0))</f>
        <v/>
      </c>
      <c r="AW505" s="46">
        <f>AV505*IF(B505&gt;=in_marketplace_from,d_hz_shop*G505,0)</f>
        <v/>
      </c>
      <c r="AX505" s="14">
        <f>F505*AW505*in_shop_ticket*in_shop_comm*in_ins_partner_share+F505*in_shop_ticket*in_shop_renew_comm*in_ins_partner_share*(in_shop_renew^1*SUMIFS(AW454:AW505,B454:B505,B505-12)+in_shop_renew^2*SUMIFS(AW454:AW505,B454:B505,B505-24)+in_shop_renew^3*SUMIFS(AW454:AW505,B454:B505,B505-36)+in_shop_renew^4*SUMIFS(AW454:AW505,B454:B505,B505-48))</f>
        <v/>
      </c>
      <c r="AY505" s="40">
        <f>AY504*(1-IF(B504&gt;=in_marketplace_from,d_hz_sip*G504,0))</f>
        <v/>
      </c>
      <c r="AZ505" s="40">
        <f>AZ504*d_rho_sip+AY505*IF(B505&gt;=in_marketplace_from,d_hz_sip*G505,0)</f>
        <v/>
      </c>
      <c r="BA505" s="40">
        <f>d_rho_sip*(BA504+AZ504)</f>
        <v/>
      </c>
      <c r="BB505" s="14">
        <f>F505*in_sip_ticket*(BA505+0.5*AZ505)*in_sip_comm/12</f>
        <v/>
      </c>
      <c r="BC505" s="40">
        <f>BC504*(1-IF(B504&gt;=in_marketplace_from,d_hz_choti*G504,0))</f>
        <v/>
      </c>
      <c r="BD505" s="46">
        <f>BC505*IF(B505&gt;=in_marketplace_from,d_hz_choti*G505,0)</f>
        <v/>
      </c>
      <c r="BE505" s="14">
        <f>F505*SUMIFS(BD454:BD505,B454:B505,B505-in_choti_months)*in_choti_renew*in_choti_ticket</f>
        <v/>
      </c>
      <c r="BF505" s="40">
        <f>BF504*(1-IF(B504&gt;=in_marketplace_from,d_hz_nps*G504,0))</f>
        <v/>
      </c>
      <c r="BG505" s="14">
        <f>F505*BF505*IF(B505&gt;=in_marketplace_from,d_hz_nps*G505,0)*in_nps_ticket*in_nps_comm</f>
        <v/>
      </c>
      <c r="BH505" s="40">
        <f>BH504*(1-IF(B504&gt;=in_marketplace_from,d_hz_gold*G504,0))</f>
        <v/>
      </c>
      <c r="BI505" s="40">
        <f>BI504*d_rho_gold+BH505*IF(B505&gt;=in_marketplace_from,d_hz_gold*G505,0)</f>
        <v/>
      </c>
      <c r="BJ505" s="14">
        <f>F505*BI505*in_gold_ticket*in_gold_comm</f>
        <v/>
      </c>
      <c r="BK505" s="40">
        <f>BK504*(1-IF(B504&gt;=in_marketplace_from,d_hz_fd*G504,0))</f>
        <v/>
      </c>
      <c r="BL505" s="14">
        <f>F505*BK505*IF(B505&gt;=in_marketplace_from,d_hz_fd*G505,0)*in_fd_ticket*in_fd_comm</f>
        <v/>
      </c>
      <c r="BM505" s="40">
        <f>BM504*(1-IF(B504&gt;=in_marketplace_from,d_hz_recharge*G504,0))</f>
        <v/>
      </c>
      <c r="BN505" s="40">
        <f>BN504*d_rho_recharge+BM505*IF(B505&gt;=in_marketplace_from,d_hz_recharge*G505,0)</f>
        <v/>
      </c>
      <c r="BO505" s="14">
        <f>F505*BN505*in_recharge_ticket*in_recharge_comm/12</f>
        <v/>
      </c>
      <c r="BP505" s="40">
        <f>BP504*(1-IF(B504&gt;=in_marketplace_from,d_hz_bills*G504,0))</f>
        <v/>
      </c>
      <c r="BQ505" s="40">
        <f>BQ504*d_rho_bills+BP505*IF(B505&gt;=in_marketplace_from,d_hz_bills*G505,0)</f>
        <v/>
      </c>
      <c r="BR505" s="14">
        <f>F505*BQ505*in_bills_ticket*in_bills_comm/12</f>
        <v/>
      </c>
      <c r="BS505" s="40">
        <f>BS504*(1-IF(B504&gt;=in_marketplace_from,d_hz_loan_gold*G504,0))</f>
        <v/>
      </c>
      <c r="BT505" s="14">
        <f>F505*BS505*IF(B505&gt;=in_marketplace_from,d_hz_loan_gold*G505,0)*in_loan_gold_ticket*in_loan_gold_comm</f>
        <v/>
      </c>
      <c r="BU505" s="40">
        <f>BU504*(1-IF(B504&gt;=in_marketplace_from,d_hz_loan_cd*G504,0))</f>
        <v/>
      </c>
      <c r="BV505" s="14">
        <f>F505*BU505*IF(B505&gt;=in_marketplace_from,d_hz_loan_cd*G505,0)*in_loan_cd_ticket*in_loan_cd_comm</f>
        <v/>
      </c>
      <c r="BW505" s="40">
        <f>BW504*(1-IF(B504&gt;=in_marketplace_from,d_hz_loan_vehicle*G504,0))</f>
        <v/>
      </c>
      <c r="BX505" s="14">
        <f>F505*BW505*IF(B505&gt;=in_marketplace_from,d_hz_loan_vehicle*G505,0)*in_loan_vehicle_ticket*in_loan_vehicle_comm</f>
        <v/>
      </c>
      <c r="BY505" s="40">
        <f>BY504*(1-IF(B504&gt;=in_marketplace_from,d_hz_loan_home*G504,0)*BZ504)</f>
        <v/>
      </c>
      <c r="BZ505" s="11">
        <f>MIN(in_approval_cap,in_loan_home_approval*INDEX('Age profile'!$O$2:$O$61,B505)*(1+in_approval_growth)^(D505-1))</f>
        <v/>
      </c>
      <c r="CA505" s="14">
        <f>F505*BY505*IF(B505&gt;=in_marketplace_from,d_hz_loan_home*G505,0)*BZ505*in_loan_home_ticket*in_loan_home_comm</f>
        <v/>
      </c>
      <c r="CB505" s="40">
        <f>CB504*(1-IF(B504&gt;=in_marketplace_from,d_hz_loan_lap*G504,0)*CC504)</f>
        <v/>
      </c>
      <c r="CC505" s="11">
        <f>MIN(in_approval_cap,in_loan_lap_approval*INDEX('Age profile'!$O$2:$O$61,B505)*(1+in_approval_growth)^(D505-1))</f>
        <v/>
      </c>
      <c r="CD505" s="14">
        <f>F505*CB505*IF(B505&gt;=in_marketplace_from,d_hz_loan_lap*G505,0)*CC505*in_loan_lap_ticket*in_loan_lap_comm</f>
        <v/>
      </c>
      <c r="CE505" s="14">
        <f>AA505+AB505+AC505+AD505+AG505+AJ505+AM505+AP505+AS505+AU505+AX505+BB505+BE505+BG505+BJ505+BL505+BO505+BR505+BT505+BV505+BX505+CA505+CD505</f>
        <v/>
      </c>
    </row>
    <row r="506">
      <c r="A506" s="39" t="n">
        <v>10</v>
      </c>
      <c r="B506" s="39" t="n">
        <v>1</v>
      </c>
      <c r="C506" s="39">
        <f>A506+B506-1</f>
        <v/>
      </c>
      <c r="D506" s="39">
        <f>INT((C506-1)/12)+1</f>
        <v/>
      </c>
      <c r="E506" s="44">
        <f>INDEX(Monthly!$B$2:$B$61,A506)</f>
        <v/>
      </c>
      <c r="F506" s="44">
        <f>E506*INDEX('Age profile'!$B$2:$B$61,B506)</f>
        <v/>
      </c>
      <c r="G506" s="45">
        <f>MIN(in_takeup_cap,INDEX('Age profile'!$N$2:$N$61,B506)*(1+in_takeup_growth)^(D506-1))</f>
        <v/>
      </c>
      <c r="H506" s="11">
        <f>MIN(in_approval_cap,in_approved_first*INDEX('Age profile'!$O$2:$O$61,B506)*(1+in_approval_growth)^(D506-1))</f>
        <v/>
      </c>
      <c r="I506" s="45">
        <f>G506*MIN(in_takeup_cap,INDEX('Age profile'!$O$2:$O$61,B506)*(1+in_approval_growth)^(D506-1))</f>
        <v/>
      </c>
      <c r="J506" s="40">
        <f>E506</f>
        <v/>
      </c>
      <c r="K506" s="40" t="n">
        <v>0</v>
      </c>
      <c r="L506" s="40">
        <f>IF(B506&gt;=in_marketplace_from,J506*d_hz*G506*in_eligible*H506,0)</f>
        <v/>
      </c>
      <c r="M506" s="40">
        <f>IF(B506&gt;=in_marketplace_from,K506*d_hz*G506*in_eligible*in_approved_repeat,0)</f>
        <v/>
      </c>
      <c r="N506" s="40">
        <f>L506+M506</f>
        <v/>
      </c>
      <c r="O506" s="46">
        <f>N506/F506</f>
        <v/>
      </c>
      <c r="P506" s="40">
        <f>F506-J506-K506</f>
        <v/>
      </c>
      <c r="Q506" s="40">
        <f>IF(B506&gt;=in_marketplace_from,(J506+K506)*d_hz*G506,0)</f>
        <v/>
      </c>
      <c r="R506" s="40">
        <f>SUMIFS(N506:N556,B506:B556,"&gt;="&amp;(B506-d_T),B506:B556,"&lt;="&amp;(B506-1))</f>
        <v/>
      </c>
      <c r="S506" s="46" t="n">
        <v>0</v>
      </c>
      <c r="T506" s="40">
        <f>F506*d_u*S506</f>
        <v/>
      </c>
      <c r="U506" s="9">
        <f>L506*in_ticket+M506*d_rep_ticket</f>
        <v/>
      </c>
      <c r="V506" s="9">
        <f>U506+T506*d_topup_amt</f>
        <v/>
      </c>
      <c r="W506" s="40">
        <f>N506+T506*d_topup_ratio</f>
        <v/>
      </c>
      <c r="X506" s="40">
        <f>SUMIFS(W506:W556,B506:B556,B506-in_dpd_lag)*d_cured</f>
        <v/>
      </c>
      <c r="Y506" s="40">
        <f>SUMIFS(W506:W556,B506:B556,B506-in_rec_lag)*d_recd</f>
        <v/>
      </c>
      <c r="Z506" s="40">
        <f>IF(AND(B506&gt;=in_marketplace_from,B506&lt;in_marketplace_from+in_card_months),in_card_share/in_card_months*F506*I506,IF(AND(B506&gt;=in_marketplace_from+in_card_months,B506&lt;in_marketplace_from+2*in_card_months),in_card_share*d_card_rem/in_card_months*F506*MIN(in_takeup_cap,(1+in_takeup_growth)^(D506-1))*MIN(in_takeup_cap,(1+in_approval_growth)^(D506-1)),0))</f>
        <v/>
      </c>
      <c r="AA506" s="14">
        <f>V506*in_fee*(1-in_taken_back)</f>
        <v/>
      </c>
      <c r="AB506" s="14">
        <f>SUMIFS(W506:W556,B506:B556,B506-in_dpd_lag)*d_dpd</f>
        <v/>
      </c>
      <c r="AC506" s="14">
        <f>SUMIFS(W506:W556,B506:B556,B506-in_rec_lag)*d_rec</f>
        <v/>
      </c>
      <c r="AD506" s="14">
        <f>Z506*in_card_fee</f>
        <v/>
      </c>
      <c r="AE506" s="40" t="n">
        <v>1</v>
      </c>
      <c r="AF506" s="46">
        <f>AE506*IF(B506&gt;=in_marketplace_from,d_hz_hlth_small*G506,0)</f>
        <v/>
      </c>
      <c r="AG506" s="14">
        <f>F506*AF506*in_hlth_small_ticket*in_hlth_small_comm*in_ins_partner_share+F506*in_hlth_small_ticket*in_hlth_small_renew_comm*in_ins_partner_share*(in_hlth_small_renew^1*SUMIFS(AF506:AF556,B506:B556,B506-12)+in_hlth_small_renew^2*SUMIFS(AF506:AF556,B506:B556,B506-24)+in_hlth_small_renew^3*SUMIFS(AF506:AF556,B506:B556,B506-36)+in_hlth_small_renew^4*SUMIFS(AF506:AF556,B506:B556,B506-48))</f>
        <v/>
      </c>
      <c r="AH506" s="40" t="n">
        <v>1</v>
      </c>
      <c r="AI506" s="46">
        <f>AH506*IF(B506&gt;=in_marketplace_from,d_hz_hlth_family*G506,0)</f>
        <v/>
      </c>
      <c r="AJ506" s="14">
        <f>F506*AI506*in_hlth_family_ticket*in_hlth_family_comm*in_ins_partner_share+F506*in_hlth_family_ticket*in_hlth_family_renew_comm*in_ins_partner_share*(in_hlth_family_renew^1*SUMIFS(AI506:AI556,B506:B556,B506-12)+in_hlth_family_renew^2*SUMIFS(AI506:AI556,B506:B556,B506-24)+in_hlth_family_renew^3*SUMIFS(AI506:AI556,B506:B556,B506-36)+in_hlth_family_renew^4*SUMIFS(AI506:AI556,B506:B556,B506-48))</f>
        <v/>
      </c>
      <c r="AK506" s="40" t="n">
        <v>1</v>
      </c>
      <c r="AL506" s="46">
        <f>AK506*IF(B506&gt;=in_marketplace_from,d_hz_life_term*G506,0)</f>
        <v/>
      </c>
      <c r="AM506" s="14">
        <f>F506*AL506*in_life_term_ticket*in_life_term_comm*in_ins_partner_share+F506*in_life_term_ticket*in_life_term_renew_comm*in_ins_partner_share*(in_life_term_renew^1*SUMIFS(AL506:AL556,B506:B556,B506-12)+in_life_term_renew^2*SUMIFS(AL506:AL556,B506:B556,B506-24)+in_life_term_renew^3*SUMIFS(AL506:AL556,B506:B556,B506-36)+in_life_term_renew^4*SUMIFS(AL506:AL556,B506:B556,B506-48))</f>
        <v/>
      </c>
      <c r="AN506" s="40" t="n">
        <v>1</v>
      </c>
      <c r="AO506" s="46">
        <f>AN506*IF(B506&gt;=in_marketplace_from,d_hz_accident*G506,0)</f>
        <v/>
      </c>
      <c r="AP506" s="14">
        <f>F506*AO506*in_accident_ticket*in_accident_comm*in_ins_partner_share+F506*in_accident_ticket*in_accident_renew_comm*in_ins_partner_share*(in_accident_renew^1*SUMIFS(AO506:AO556,B506:B556,B506-12)+in_accident_renew^2*SUMIFS(AO506:AO556,B506:B556,B506-24)+in_accident_renew^3*SUMIFS(AO506:AO556,B506:B556,B506-36)+in_accident_renew^4*SUMIFS(AO506:AO556,B506:B556,B506-48))</f>
        <v/>
      </c>
      <c r="AQ506" s="40" t="n">
        <v>1</v>
      </c>
      <c r="AR506" s="46">
        <f>AQ506*IF(B506&gt;=in_marketplace_from,d_hz_two_wheeler*G506,0)</f>
        <v/>
      </c>
      <c r="AS506" s="14">
        <f>F506*AR506*in_two_wheeler_ticket*in_two_wheeler_comm*in_ins_partner_share+F506*in_two_wheeler_ticket*in_two_wheeler_comm*in_ins_partner_share*(in_two_wheeler_renew^1*SUMIFS(AR506:AR556,B506:B556,B506-12)+in_two_wheeler_renew^2*SUMIFS(AR506:AR556,B506:B556,B506-24)+in_two_wheeler_renew^3*SUMIFS(AR506:AR556,B506:B556,B506-36)+in_two_wheeler_renew^4*SUMIFS(AR506:AR556,B506:B556,B506-48))</f>
        <v/>
      </c>
      <c r="AT506" s="40" t="n">
        <v>1</v>
      </c>
      <c r="AU506" s="14">
        <f>F506*AT506*IF(B506&gt;=in_marketplace_from,d_hz_device*G506,0)*in_device_ticket*in_device_comm*in_ins_partner_share</f>
        <v/>
      </c>
      <c r="AV506" s="40" t="n">
        <v>1</v>
      </c>
      <c r="AW506" s="46">
        <f>AV506*IF(B506&gt;=in_marketplace_from,d_hz_shop*G506,0)</f>
        <v/>
      </c>
      <c r="AX506" s="14">
        <f>F506*AW506*in_shop_ticket*in_shop_comm*in_ins_partner_share+F506*in_shop_ticket*in_shop_renew_comm*in_ins_partner_share*(in_shop_renew^1*SUMIFS(AW506:AW556,B506:B556,B506-12)+in_shop_renew^2*SUMIFS(AW506:AW556,B506:B556,B506-24)+in_shop_renew^3*SUMIFS(AW506:AW556,B506:B556,B506-36)+in_shop_renew^4*SUMIFS(AW506:AW556,B506:B556,B506-48))</f>
        <v/>
      </c>
      <c r="AY506" s="40" t="n">
        <v>1</v>
      </c>
      <c r="AZ506" s="40">
        <f>AY506*IF(B506&gt;=in_marketplace_from,d_hz_sip*G506,0)</f>
        <v/>
      </c>
      <c r="BA506" s="40" t="n">
        <v>0</v>
      </c>
      <c r="BB506" s="14">
        <f>F506*in_sip_ticket*(BA506+0.5*AZ506)*in_sip_comm/12</f>
        <v/>
      </c>
      <c r="BC506" s="40" t="n">
        <v>1</v>
      </c>
      <c r="BD506" s="46">
        <f>BC506*IF(B506&gt;=in_marketplace_from,d_hz_choti*G506,0)</f>
        <v/>
      </c>
      <c r="BE506" s="14">
        <f>F506*SUMIFS(BD506:BD556,B506:B556,B506-in_choti_months)*in_choti_renew*in_choti_ticket</f>
        <v/>
      </c>
      <c r="BF506" s="40" t="n">
        <v>1</v>
      </c>
      <c r="BG506" s="14">
        <f>F506*BF506*IF(B506&gt;=in_marketplace_from,d_hz_nps*G506,0)*in_nps_ticket*in_nps_comm</f>
        <v/>
      </c>
      <c r="BH506" s="40" t="n">
        <v>1</v>
      </c>
      <c r="BI506" s="40">
        <f>BH506*IF(B506&gt;=in_marketplace_from,d_hz_gold*G506,0)</f>
        <v/>
      </c>
      <c r="BJ506" s="14">
        <f>F506*BI506*in_gold_ticket*in_gold_comm</f>
        <v/>
      </c>
      <c r="BK506" s="40" t="n">
        <v>1</v>
      </c>
      <c r="BL506" s="14">
        <f>F506*BK506*IF(B506&gt;=in_marketplace_from,d_hz_fd*G506,0)*in_fd_ticket*in_fd_comm</f>
        <v/>
      </c>
      <c r="BM506" s="40" t="n">
        <v>1</v>
      </c>
      <c r="BN506" s="40">
        <f>BM506*IF(B506&gt;=in_marketplace_from,d_hz_recharge*G506,0)</f>
        <v/>
      </c>
      <c r="BO506" s="14">
        <f>F506*BN506*in_recharge_ticket*in_recharge_comm/12</f>
        <v/>
      </c>
      <c r="BP506" s="40" t="n">
        <v>1</v>
      </c>
      <c r="BQ506" s="40">
        <f>BP506*IF(B506&gt;=in_marketplace_from,d_hz_bills*G506,0)</f>
        <v/>
      </c>
      <c r="BR506" s="14">
        <f>F506*BQ506*in_bills_ticket*in_bills_comm/12</f>
        <v/>
      </c>
      <c r="BS506" s="40" t="n">
        <v>1</v>
      </c>
      <c r="BT506" s="14">
        <f>F506*BS506*IF(B506&gt;=in_marketplace_from,d_hz_loan_gold*G506,0)*in_loan_gold_ticket*in_loan_gold_comm</f>
        <v/>
      </c>
      <c r="BU506" s="40" t="n">
        <v>1</v>
      </c>
      <c r="BV506" s="14">
        <f>F506*BU506*IF(B506&gt;=in_marketplace_from,d_hz_loan_cd*G506,0)*in_loan_cd_ticket*in_loan_cd_comm</f>
        <v/>
      </c>
      <c r="BW506" s="40" t="n">
        <v>1</v>
      </c>
      <c r="BX506" s="14">
        <f>F506*BW506*IF(B506&gt;=in_marketplace_from,d_hz_loan_vehicle*G506,0)*in_loan_vehicle_ticket*in_loan_vehicle_comm</f>
        <v/>
      </c>
      <c r="BY506" s="40" t="n">
        <v>1</v>
      </c>
      <c r="BZ506" s="11">
        <f>MIN(in_approval_cap,in_loan_home_approval*INDEX('Age profile'!$O$2:$O$61,B506)*(1+in_approval_growth)^(D506-1))</f>
        <v/>
      </c>
      <c r="CA506" s="14">
        <f>F506*BY506*IF(B506&gt;=in_marketplace_from,d_hz_loan_home*G506,0)*BZ506*in_loan_home_ticket*in_loan_home_comm</f>
        <v/>
      </c>
      <c r="CB506" s="40" t="n">
        <v>1</v>
      </c>
      <c r="CC506" s="11">
        <f>MIN(in_approval_cap,in_loan_lap_approval*INDEX('Age profile'!$O$2:$O$61,B506)*(1+in_approval_growth)^(D506-1))</f>
        <v/>
      </c>
      <c r="CD506" s="14">
        <f>F506*CB506*IF(B506&gt;=in_marketplace_from,d_hz_loan_lap*G506,0)*CC506*in_loan_lap_ticket*in_loan_lap_comm</f>
        <v/>
      </c>
      <c r="CE506" s="14">
        <f>AA506+AB506+AC506+AD506+AG506+AJ506+AM506+AP506+AS506+AU506+AX506+BB506+BE506+BG506+BJ506+BL506+BO506+BR506+BT506+BV506+BX506+CA506+CD506</f>
        <v/>
      </c>
    </row>
    <row r="507">
      <c r="A507" s="39" t="n">
        <v>10</v>
      </c>
      <c r="B507" s="39" t="n">
        <v>2</v>
      </c>
      <c r="C507" s="39">
        <f>A507+B507-1</f>
        <v/>
      </c>
      <c r="D507" s="39">
        <f>INT((C507-1)/12)+1</f>
        <v/>
      </c>
      <c r="E507" s="44">
        <f>INDEX(Monthly!$B$2:$B$61,A507)</f>
        <v/>
      </c>
      <c r="F507" s="44">
        <f>E507*INDEX('Age profile'!$B$2:$B$61,B507)</f>
        <v/>
      </c>
      <c r="G507" s="45">
        <f>MIN(in_takeup_cap,INDEX('Age profile'!$N$2:$N$61,B507)*(1+in_takeup_growth)^(D507-1))</f>
        <v/>
      </c>
      <c r="H507" s="11">
        <f>MIN(in_approval_cap,in_approved_first*INDEX('Age profile'!$O$2:$O$61,B507)*(1+in_approval_growth)^(D507-1))</f>
        <v/>
      </c>
      <c r="I507" s="45">
        <f>G507*MIN(in_takeup_cap,INDEX('Age profile'!$O$2:$O$61,B507)*(1+in_approval_growth)^(D507-1))</f>
        <v/>
      </c>
      <c r="J507" s="40">
        <f>(J506-L506)*F507/F506</f>
        <v/>
      </c>
      <c r="K507" s="40">
        <f>(K506-M506)*F507/F506+SUMIFS(O506:O506,B506:B506,B507-1-d_T)*F507</f>
        <v/>
      </c>
      <c r="L507" s="40">
        <f>IF(B507&gt;=in_marketplace_from,J507*d_hz*G507*in_eligible*H507,0)</f>
        <v/>
      </c>
      <c r="M507" s="40">
        <f>IF(B507&gt;=in_marketplace_from,K507*d_hz*G507*in_eligible*in_approved_repeat,0)</f>
        <v/>
      </c>
      <c r="N507" s="40">
        <f>L507+M507</f>
        <v/>
      </c>
      <c r="O507" s="46">
        <f>N507/F507</f>
        <v/>
      </c>
      <c r="P507" s="40">
        <f>F507-J507-K507</f>
        <v/>
      </c>
      <c r="Q507" s="40">
        <f>IF(B507&gt;=in_marketplace_from,(J507+K507)*d_hz*G507,0)</f>
        <v/>
      </c>
      <c r="R507" s="40">
        <f>SUMIFS(N506:N556,B506:B556,"&gt;="&amp;(B507-d_T),B506:B556,"&lt;="&amp;(B507-1))</f>
        <v/>
      </c>
      <c r="S507" s="46">
        <f>(1-d_u)*S506+IF(d_T&gt;in_topup_lag,SUMIFS(O506:O556,B506:B556,B507-in_topup_lag)-d_udrop*SUMIFS(O506:O556,B506:B556,B507-d_T),0)</f>
        <v/>
      </c>
      <c r="T507" s="40">
        <f>F507*d_u*S507</f>
        <v/>
      </c>
      <c r="U507" s="9">
        <f>L507*in_ticket+M507*d_rep_ticket</f>
        <v/>
      </c>
      <c r="V507" s="9">
        <f>U507+T507*d_topup_amt</f>
        <v/>
      </c>
      <c r="W507" s="40">
        <f>N507+T507*d_topup_ratio</f>
        <v/>
      </c>
      <c r="X507" s="40">
        <f>SUMIFS(W506:W556,B506:B556,B507-in_dpd_lag)*d_cured</f>
        <v/>
      </c>
      <c r="Y507" s="40">
        <f>SUMIFS(W506:W556,B506:B556,B507-in_rec_lag)*d_recd</f>
        <v/>
      </c>
      <c r="Z507" s="40">
        <f>IF(AND(B507&gt;=in_marketplace_from,B507&lt;in_marketplace_from+in_card_months),in_card_share/in_card_months*F507*I507,IF(AND(B507&gt;=in_marketplace_from+in_card_months,B507&lt;in_marketplace_from+2*in_card_months),in_card_share*d_card_rem/in_card_months*F507*MIN(in_takeup_cap,(1+in_takeup_growth)^(D507-1))*MIN(in_takeup_cap,(1+in_approval_growth)^(D507-1)),0))</f>
        <v/>
      </c>
      <c r="AA507" s="14">
        <f>V507*in_fee*(1-in_taken_back)</f>
        <v/>
      </c>
      <c r="AB507" s="14">
        <f>SUMIFS(W506:W556,B506:B556,B507-in_dpd_lag)*d_dpd</f>
        <v/>
      </c>
      <c r="AC507" s="14">
        <f>SUMIFS(W506:W556,B506:B556,B507-in_rec_lag)*d_rec</f>
        <v/>
      </c>
      <c r="AD507" s="14">
        <f>Z507*in_card_fee</f>
        <v/>
      </c>
      <c r="AE507" s="40">
        <f>AE506*(1-IF(B506&gt;=in_marketplace_from,d_hz_hlth_small*G506,0))</f>
        <v/>
      </c>
      <c r="AF507" s="46">
        <f>AE507*IF(B507&gt;=in_marketplace_from,d_hz_hlth_small*G507,0)</f>
        <v/>
      </c>
      <c r="AG507" s="14">
        <f>F507*AF507*in_hlth_small_ticket*in_hlth_small_comm*in_ins_partner_share+F507*in_hlth_small_ticket*in_hlth_small_renew_comm*in_ins_partner_share*(in_hlth_small_renew^1*SUMIFS(AF506:AF556,B506:B556,B507-12)+in_hlth_small_renew^2*SUMIFS(AF506:AF556,B506:B556,B507-24)+in_hlth_small_renew^3*SUMIFS(AF506:AF556,B506:B556,B507-36)+in_hlth_small_renew^4*SUMIFS(AF506:AF556,B506:B556,B507-48))</f>
        <v/>
      </c>
      <c r="AH507" s="40">
        <f>AH506*(1-IF(B506&gt;=in_marketplace_from,d_hz_hlth_family*G506,0))</f>
        <v/>
      </c>
      <c r="AI507" s="46">
        <f>AH507*IF(B507&gt;=in_marketplace_from,d_hz_hlth_family*G507,0)</f>
        <v/>
      </c>
      <c r="AJ507" s="14">
        <f>F507*AI507*in_hlth_family_ticket*in_hlth_family_comm*in_ins_partner_share+F507*in_hlth_family_ticket*in_hlth_family_renew_comm*in_ins_partner_share*(in_hlth_family_renew^1*SUMIFS(AI506:AI556,B506:B556,B507-12)+in_hlth_family_renew^2*SUMIFS(AI506:AI556,B506:B556,B507-24)+in_hlth_family_renew^3*SUMIFS(AI506:AI556,B506:B556,B507-36)+in_hlth_family_renew^4*SUMIFS(AI506:AI556,B506:B556,B507-48))</f>
        <v/>
      </c>
      <c r="AK507" s="40">
        <f>AK506*(1-IF(B506&gt;=in_marketplace_from,d_hz_life_term*G506,0))</f>
        <v/>
      </c>
      <c r="AL507" s="46">
        <f>AK507*IF(B507&gt;=in_marketplace_from,d_hz_life_term*G507,0)</f>
        <v/>
      </c>
      <c r="AM507" s="14">
        <f>F507*AL507*in_life_term_ticket*in_life_term_comm*in_ins_partner_share+F507*in_life_term_ticket*in_life_term_renew_comm*in_ins_partner_share*(in_life_term_renew^1*SUMIFS(AL506:AL556,B506:B556,B507-12)+in_life_term_renew^2*SUMIFS(AL506:AL556,B506:B556,B507-24)+in_life_term_renew^3*SUMIFS(AL506:AL556,B506:B556,B507-36)+in_life_term_renew^4*SUMIFS(AL506:AL556,B506:B556,B507-48))</f>
        <v/>
      </c>
      <c r="AN507" s="40">
        <f>AN506*(1-IF(B506&gt;=in_marketplace_from,d_hz_accident*G506,0))</f>
        <v/>
      </c>
      <c r="AO507" s="46">
        <f>AN507*IF(B507&gt;=in_marketplace_from,d_hz_accident*G507,0)</f>
        <v/>
      </c>
      <c r="AP507" s="14">
        <f>F507*AO507*in_accident_ticket*in_accident_comm*in_ins_partner_share+F507*in_accident_ticket*in_accident_renew_comm*in_ins_partner_share*(in_accident_renew^1*SUMIFS(AO506:AO556,B506:B556,B507-12)+in_accident_renew^2*SUMIFS(AO506:AO556,B506:B556,B507-24)+in_accident_renew^3*SUMIFS(AO506:AO556,B506:B556,B507-36)+in_accident_renew^4*SUMIFS(AO506:AO556,B506:B556,B507-48))</f>
        <v/>
      </c>
      <c r="AQ507" s="40">
        <f>AQ506*(1-IF(B506&gt;=in_marketplace_from,d_hz_two_wheeler*G506,0))</f>
        <v/>
      </c>
      <c r="AR507" s="46">
        <f>AQ507*IF(B507&gt;=in_marketplace_from,d_hz_two_wheeler*G507,0)</f>
        <v/>
      </c>
      <c r="AS507" s="14">
        <f>F507*AR507*in_two_wheeler_ticket*in_two_wheeler_comm*in_ins_partner_share+F507*in_two_wheeler_ticket*in_two_wheeler_comm*in_ins_partner_share*(in_two_wheeler_renew^1*SUMIFS(AR506:AR556,B506:B556,B507-12)+in_two_wheeler_renew^2*SUMIFS(AR506:AR556,B506:B556,B507-24)+in_two_wheeler_renew^3*SUMIFS(AR506:AR556,B506:B556,B507-36)+in_two_wheeler_renew^4*SUMIFS(AR506:AR556,B506:B556,B507-48))</f>
        <v/>
      </c>
      <c r="AT507" s="40">
        <f>AT506*(1-IF(B506&gt;=in_marketplace_from,d_hz_device*G506,0))</f>
        <v/>
      </c>
      <c r="AU507" s="14">
        <f>F507*AT507*IF(B507&gt;=in_marketplace_from,d_hz_device*G507,0)*in_device_ticket*in_device_comm*in_ins_partner_share</f>
        <v/>
      </c>
      <c r="AV507" s="40">
        <f>AV506*(1-IF(B506&gt;=in_marketplace_from,d_hz_shop*G506,0))</f>
        <v/>
      </c>
      <c r="AW507" s="46">
        <f>AV507*IF(B507&gt;=in_marketplace_from,d_hz_shop*G507,0)</f>
        <v/>
      </c>
      <c r="AX507" s="14">
        <f>F507*AW507*in_shop_ticket*in_shop_comm*in_ins_partner_share+F507*in_shop_ticket*in_shop_renew_comm*in_ins_partner_share*(in_shop_renew^1*SUMIFS(AW506:AW556,B506:B556,B507-12)+in_shop_renew^2*SUMIFS(AW506:AW556,B506:B556,B507-24)+in_shop_renew^3*SUMIFS(AW506:AW556,B506:B556,B507-36)+in_shop_renew^4*SUMIFS(AW506:AW556,B506:B556,B507-48))</f>
        <v/>
      </c>
      <c r="AY507" s="40">
        <f>AY506*(1-IF(B506&gt;=in_marketplace_from,d_hz_sip*G506,0))</f>
        <v/>
      </c>
      <c r="AZ507" s="40">
        <f>AZ506*d_rho_sip+AY507*IF(B507&gt;=in_marketplace_from,d_hz_sip*G507,0)</f>
        <v/>
      </c>
      <c r="BA507" s="40">
        <f>d_rho_sip*(BA506+AZ506)</f>
        <v/>
      </c>
      <c r="BB507" s="14">
        <f>F507*in_sip_ticket*(BA507+0.5*AZ507)*in_sip_comm/12</f>
        <v/>
      </c>
      <c r="BC507" s="40">
        <f>BC506*(1-IF(B506&gt;=in_marketplace_from,d_hz_choti*G506,0))</f>
        <v/>
      </c>
      <c r="BD507" s="46">
        <f>BC507*IF(B507&gt;=in_marketplace_from,d_hz_choti*G507,0)</f>
        <v/>
      </c>
      <c r="BE507" s="14">
        <f>F507*SUMIFS(BD506:BD556,B506:B556,B507-in_choti_months)*in_choti_renew*in_choti_ticket</f>
        <v/>
      </c>
      <c r="BF507" s="40">
        <f>BF506*(1-IF(B506&gt;=in_marketplace_from,d_hz_nps*G506,0))</f>
        <v/>
      </c>
      <c r="BG507" s="14">
        <f>F507*BF507*IF(B507&gt;=in_marketplace_from,d_hz_nps*G507,0)*in_nps_ticket*in_nps_comm</f>
        <v/>
      </c>
      <c r="BH507" s="40">
        <f>BH506*(1-IF(B506&gt;=in_marketplace_from,d_hz_gold*G506,0))</f>
        <v/>
      </c>
      <c r="BI507" s="40">
        <f>BI506*d_rho_gold+BH507*IF(B507&gt;=in_marketplace_from,d_hz_gold*G507,0)</f>
        <v/>
      </c>
      <c r="BJ507" s="14">
        <f>F507*BI507*in_gold_ticket*in_gold_comm</f>
        <v/>
      </c>
      <c r="BK507" s="40">
        <f>BK506*(1-IF(B506&gt;=in_marketplace_from,d_hz_fd*G506,0))</f>
        <v/>
      </c>
      <c r="BL507" s="14">
        <f>F507*BK507*IF(B507&gt;=in_marketplace_from,d_hz_fd*G507,0)*in_fd_ticket*in_fd_comm</f>
        <v/>
      </c>
      <c r="BM507" s="40">
        <f>BM506*(1-IF(B506&gt;=in_marketplace_from,d_hz_recharge*G506,0))</f>
        <v/>
      </c>
      <c r="BN507" s="40">
        <f>BN506*d_rho_recharge+BM507*IF(B507&gt;=in_marketplace_from,d_hz_recharge*G507,0)</f>
        <v/>
      </c>
      <c r="BO507" s="14">
        <f>F507*BN507*in_recharge_ticket*in_recharge_comm/12</f>
        <v/>
      </c>
      <c r="BP507" s="40">
        <f>BP506*(1-IF(B506&gt;=in_marketplace_from,d_hz_bills*G506,0))</f>
        <v/>
      </c>
      <c r="BQ507" s="40">
        <f>BQ506*d_rho_bills+BP507*IF(B507&gt;=in_marketplace_from,d_hz_bills*G507,0)</f>
        <v/>
      </c>
      <c r="BR507" s="14">
        <f>F507*BQ507*in_bills_ticket*in_bills_comm/12</f>
        <v/>
      </c>
      <c r="BS507" s="40">
        <f>BS506*(1-IF(B506&gt;=in_marketplace_from,d_hz_loan_gold*G506,0))</f>
        <v/>
      </c>
      <c r="BT507" s="14">
        <f>F507*BS507*IF(B507&gt;=in_marketplace_from,d_hz_loan_gold*G507,0)*in_loan_gold_ticket*in_loan_gold_comm</f>
        <v/>
      </c>
      <c r="BU507" s="40">
        <f>BU506*(1-IF(B506&gt;=in_marketplace_from,d_hz_loan_cd*G506,0))</f>
        <v/>
      </c>
      <c r="BV507" s="14">
        <f>F507*BU507*IF(B507&gt;=in_marketplace_from,d_hz_loan_cd*G507,0)*in_loan_cd_ticket*in_loan_cd_comm</f>
        <v/>
      </c>
      <c r="BW507" s="40">
        <f>BW506*(1-IF(B506&gt;=in_marketplace_from,d_hz_loan_vehicle*G506,0))</f>
        <v/>
      </c>
      <c r="BX507" s="14">
        <f>F507*BW507*IF(B507&gt;=in_marketplace_from,d_hz_loan_vehicle*G507,0)*in_loan_vehicle_ticket*in_loan_vehicle_comm</f>
        <v/>
      </c>
      <c r="BY507" s="40">
        <f>BY506*(1-IF(B506&gt;=in_marketplace_from,d_hz_loan_home*G506,0)*BZ506)</f>
        <v/>
      </c>
      <c r="BZ507" s="11">
        <f>MIN(in_approval_cap,in_loan_home_approval*INDEX('Age profile'!$O$2:$O$61,B507)*(1+in_approval_growth)^(D507-1))</f>
        <v/>
      </c>
      <c r="CA507" s="14">
        <f>F507*BY507*IF(B507&gt;=in_marketplace_from,d_hz_loan_home*G507,0)*BZ507*in_loan_home_ticket*in_loan_home_comm</f>
        <v/>
      </c>
      <c r="CB507" s="40">
        <f>CB506*(1-IF(B506&gt;=in_marketplace_from,d_hz_loan_lap*G506,0)*CC506)</f>
        <v/>
      </c>
      <c r="CC507" s="11">
        <f>MIN(in_approval_cap,in_loan_lap_approval*INDEX('Age profile'!$O$2:$O$61,B507)*(1+in_approval_growth)^(D507-1))</f>
        <v/>
      </c>
      <c r="CD507" s="14">
        <f>F507*CB507*IF(B507&gt;=in_marketplace_from,d_hz_loan_lap*G507,0)*CC507*in_loan_lap_ticket*in_loan_lap_comm</f>
        <v/>
      </c>
      <c r="CE507" s="14">
        <f>AA507+AB507+AC507+AD507+AG507+AJ507+AM507+AP507+AS507+AU507+AX507+BB507+BE507+BG507+BJ507+BL507+BO507+BR507+BT507+BV507+BX507+CA507+CD507</f>
        <v/>
      </c>
    </row>
    <row r="508">
      <c r="A508" s="39" t="n">
        <v>10</v>
      </c>
      <c r="B508" s="39" t="n">
        <v>3</v>
      </c>
      <c r="C508" s="39">
        <f>A508+B508-1</f>
        <v/>
      </c>
      <c r="D508" s="39">
        <f>INT((C508-1)/12)+1</f>
        <v/>
      </c>
      <c r="E508" s="44">
        <f>INDEX(Monthly!$B$2:$B$61,A508)</f>
        <v/>
      </c>
      <c r="F508" s="44">
        <f>E508*INDEX('Age profile'!$B$2:$B$61,B508)</f>
        <v/>
      </c>
      <c r="G508" s="45">
        <f>MIN(in_takeup_cap,INDEX('Age profile'!$N$2:$N$61,B508)*(1+in_takeup_growth)^(D508-1))</f>
        <v/>
      </c>
      <c r="H508" s="11">
        <f>MIN(in_approval_cap,in_approved_first*INDEX('Age profile'!$O$2:$O$61,B508)*(1+in_approval_growth)^(D508-1))</f>
        <v/>
      </c>
      <c r="I508" s="45">
        <f>G508*MIN(in_takeup_cap,INDEX('Age profile'!$O$2:$O$61,B508)*(1+in_approval_growth)^(D508-1))</f>
        <v/>
      </c>
      <c r="J508" s="40">
        <f>(J507-L507)*F508/F507</f>
        <v/>
      </c>
      <c r="K508" s="40">
        <f>(K507-M507)*F508/F507+SUMIFS(O506:O507,B506:B507,B508-1-d_T)*F508</f>
        <v/>
      </c>
      <c r="L508" s="40">
        <f>IF(B508&gt;=in_marketplace_from,J508*d_hz*G508*in_eligible*H508,0)</f>
        <v/>
      </c>
      <c r="M508" s="40">
        <f>IF(B508&gt;=in_marketplace_from,K508*d_hz*G508*in_eligible*in_approved_repeat,0)</f>
        <v/>
      </c>
      <c r="N508" s="40">
        <f>L508+M508</f>
        <v/>
      </c>
      <c r="O508" s="46">
        <f>N508/F508</f>
        <v/>
      </c>
      <c r="P508" s="40">
        <f>F508-J508-K508</f>
        <v/>
      </c>
      <c r="Q508" s="40">
        <f>IF(B508&gt;=in_marketplace_from,(J508+K508)*d_hz*G508,0)</f>
        <v/>
      </c>
      <c r="R508" s="40">
        <f>SUMIFS(N506:N556,B506:B556,"&gt;="&amp;(B508-d_T),B506:B556,"&lt;="&amp;(B508-1))</f>
        <v/>
      </c>
      <c r="S508" s="46">
        <f>(1-d_u)*S507+IF(d_T&gt;in_topup_lag,SUMIFS(O506:O556,B506:B556,B508-in_topup_lag)-d_udrop*SUMIFS(O506:O556,B506:B556,B508-d_T),0)</f>
        <v/>
      </c>
      <c r="T508" s="40">
        <f>F508*d_u*S508</f>
        <v/>
      </c>
      <c r="U508" s="9">
        <f>L508*in_ticket+M508*d_rep_ticket</f>
        <v/>
      </c>
      <c r="V508" s="9">
        <f>U508+T508*d_topup_amt</f>
        <v/>
      </c>
      <c r="W508" s="40">
        <f>N508+T508*d_topup_ratio</f>
        <v/>
      </c>
      <c r="X508" s="40">
        <f>SUMIFS(W506:W556,B506:B556,B508-in_dpd_lag)*d_cured</f>
        <v/>
      </c>
      <c r="Y508" s="40">
        <f>SUMIFS(W506:W556,B506:B556,B508-in_rec_lag)*d_recd</f>
        <v/>
      </c>
      <c r="Z508" s="40">
        <f>IF(AND(B508&gt;=in_marketplace_from,B508&lt;in_marketplace_from+in_card_months),in_card_share/in_card_months*F508*I508,IF(AND(B508&gt;=in_marketplace_from+in_card_months,B508&lt;in_marketplace_from+2*in_card_months),in_card_share*d_card_rem/in_card_months*F508*MIN(in_takeup_cap,(1+in_takeup_growth)^(D508-1))*MIN(in_takeup_cap,(1+in_approval_growth)^(D508-1)),0))</f>
        <v/>
      </c>
      <c r="AA508" s="14">
        <f>V508*in_fee*(1-in_taken_back)</f>
        <v/>
      </c>
      <c r="AB508" s="14">
        <f>SUMIFS(W506:W556,B506:B556,B508-in_dpd_lag)*d_dpd</f>
        <v/>
      </c>
      <c r="AC508" s="14">
        <f>SUMIFS(W506:W556,B506:B556,B508-in_rec_lag)*d_rec</f>
        <v/>
      </c>
      <c r="AD508" s="14">
        <f>Z508*in_card_fee</f>
        <v/>
      </c>
      <c r="AE508" s="40">
        <f>AE507*(1-IF(B507&gt;=in_marketplace_from,d_hz_hlth_small*G507,0))</f>
        <v/>
      </c>
      <c r="AF508" s="46">
        <f>AE508*IF(B508&gt;=in_marketplace_from,d_hz_hlth_small*G508,0)</f>
        <v/>
      </c>
      <c r="AG508" s="14">
        <f>F508*AF508*in_hlth_small_ticket*in_hlth_small_comm*in_ins_partner_share+F508*in_hlth_small_ticket*in_hlth_small_renew_comm*in_ins_partner_share*(in_hlth_small_renew^1*SUMIFS(AF506:AF556,B506:B556,B508-12)+in_hlth_small_renew^2*SUMIFS(AF506:AF556,B506:B556,B508-24)+in_hlth_small_renew^3*SUMIFS(AF506:AF556,B506:B556,B508-36)+in_hlth_small_renew^4*SUMIFS(AF506:AF556,B506:B556,B508-48))</f>
        <v/>
      </c>
      <c r="AH508" s="40">
        <f>AH507*(1-IF(B507&gt;=in_marketplace_from,d_hz_hlth_family*G507,0))</f>
        <v/>
      </c>
      <c r="AI508" s="46">
        <f>AH508*IF(B508&gt;=in_marketplace_from,d_hz_hlth_family*G508,0)</f>
        <v/>
      </c>
      <c r="AJ508" s="14">
        <f>F508*AI508*in_hlth_family_ticket*in_hlth_family_comm*in_ins_partner_share+F508*in_hlth_family_ticket*in_hlth_family_renew_comm*in_ins_partner_share*(in_hlth_family_renew^1*SUMIFS(AI506:AI556,B506:B556,B508-12)+in_hlth_family_renew^2*SUMIFS(AI506:AI556,B506:B556,B508-24)+in_hlth_family_renew^3*SUMIFS(AI506:AI556,B506:B556,B508-36)+in_hlth_family_renew^4*SUMIFS(AI506:AI556,B506:B556,B508-48))</f>
        <v/>
      </c>
      <c r="AK508" s="40">
        <f>AK507*(1-IF(B507&gt;=in_marketplace_from,d_hz_life_term*G507,0))</f>
        <v/>
      </c>
      <c r="AL508" s="46">
        <f>AK508*IF(B508&gt;=in_marketplace_from,d_hz_life_term*G508,0)</f>
        <v/>
      </c>
      <c r="AM508" s="14">
        <f>F508*AL508*in_life_term_ticket*in_life_term_comm*in_ins_partner_share+F508*in_life_term_ticket*in_life_term_renew_comm*in_ins_partner_share*(in_life_term_renew^1*SUMIFS(AL506:AL556,B506:B556,B508-12)+in_life_term_renew^2*SUMIFS(AL506:AL556,B506:B556,B508-24)+in_life_term_renew^3*SUMIFS(AL506:AL556,B506:B556,B508-36)+in_life_term_renew^4*SUMIFS(AL506:AL556,B506:B556,B508-48))</f>
        <v/>
      </c>
      <c r="AN508" s="40">
        <f>AN507*(1-IF(B507&gt;=in_marketplace_from,d_hz_accident*G507,0))</f>
        <v/>
      </c>
      <c r="AO508" s="46">
        <f>AN508*IF(B508&gt;=in_marketplace_from,d_hz_accident*G508,0)</f>
        <v/>
      </c>
      <c r="AP508" s="14">
        <f>F508*AO508*in_accident_ticket*in_accident_comm*in_ins_partner_share+F508*in_accident_ticket*in_accident_renew_comm*in_ins_partner_share*(in_accident_renew^1*SUMIFS(AO506:AO556,B506:B556,B508-12)+in_accident_renew^2*SUMIFS(AO506:AO556,B506:B556,B508-24)+in_accident_renew^3*SUMIFS(AO506:AO556,B506:B556,B508-36)+in_accident_renew^4*SUMIFS(AO506:AO556,B506:B556,B508-48))</f>
        <v/>
      </c>
      <c r="AQ508" s="40">
        <f>AQ507*(1-IF(B507&gt;=in_marketplace_from,d_hz_two_wheeler*G507,0))</f>
        <v/>
      </c>
      <c r="AR508" s="46">
        <f>AQ508*IF(B508&gt;=in_marketplace_from,d_hz_two_wheeler*G508,0)</f>
        <v/>
      </c>
      <c r="AS508" s="14">
        <f>F508*AR508*in_two_wheeler_ticket*in_two_wheeler_comm*in_ins_partner_share+F508*in_two_wheeler_ticket*in_two_wheeler_comm*in_ins_partner_share*(in_two_wheeler_renew^1*SUMIFS(AR506:AR556,B506:B556,B508-12)+in_two_wheeler_renew^2*SUMIFS(AR506:AR556,B506:B556,B508-24)+in_two_wheeler_renew^3*SUMIFS(AR506:AR556,B506:B556,B508-36)+in_two_wheeler_renew^4*SUMIFS(AR506:AR556,B506:B556,B508-48))</f>
        <v/>
      </c>
      <c r="AT508" s="40">
        <f>AT507*(1-IF(B507&gt;=in_marketplace_from,d_hz_device*G507,0))</f>
        <v/>
      </c>
      <c r="AU508" s="14">
        <f>F508*AT508*IF(B508&gt;=in_marketplace_from,d_hz_device*G508,0)*in_device_ticket*in_device_comm*in_ins_partner_share</f>
        <v/>
      </c>
      <c r="AV508" s="40">
        <f>AV507*(1-IF(B507&gt;=in_marketplace_from,d_hz_shop*G507,0))</f>
        <v/>
      </c>
      <c r="AW508" s="46">
        <f>AV508*IF(B508&gt;=in_marketplace_from,d_hz_shop*G508,0)</f>
        <v/>
      </c>
      <c r="AX508" s="14">
        <f>F508*AW508*in_shop_ticket*in_shop_comm*in_ins_partner_share+F508*in_shop_ticket*in_shop_renew_comm*in_ins_partner_share*(in_shop_renew^1*SUMIFS(AW506:AW556,B506:B556,B508-12)+in_shop_renew^2*SUMIFS(AW506:AW556,B506:B556,B508-24)+in_shop_renew^3*SUMIFS(AW506:AW556,B506:B556,B508-36)+in_shop_renew^4*SUMIFS(AW506:AW556,B506:B556,B508-48))</f>
        <v/>
      </c>
      <c r="AY508" s="40">
        <f>AY507*(1-IF(B507&gt;=in_marketplace_from,d_hz_sip*G507,0))</f>
        <v/>
      </c>
      <c r="AZ508" s="40">
        <f>AZ507*d_rho_sip+AY508*IF(B508&gt;=in_marketplace_from,d_hz_sip*G508,0)</f>
        <v/>
      </c>
      <c r="BA508" s="40">
        <f>d_rho_sip*(BA507+AZ507)</f>
        <v/>
      </c>
      <c r="BB508" s="14">
        <f>F508*in_sip_ticket*(BA508+0.5*AZ508)*in_sip_comm/12</f>
        <v/>
      </c>
      <c r="BC508" s="40">
        <f>BC507*(1-IF(B507&gt;=in_marketplace_from,d_hz_choti*G507,0))</f>
        <v/>
      </c>
      <c r="BD508" s="46">
        <f>BC508*IF(B508&gt;=in_marketplace_from,d_hz_choti*G508,0)</f>
        <v/>
      </c>
      <c r="BE508" s="14">
        <f>F508*SUMIFS(BD506:BD556,B506:B556,B508-in_choti_months)*in_choti_renew*in_choti_ticket</f>
        <v/>
      </c>
      <c r="BF508" s="40">
        <f>BF507*(1-IF(B507&gt;=in_marketplace_from,d_hz_nps*G507,0))</f>
        <v/>
      </c>
      <c r="BG508" s="14">
        <f>F508*BF508*IF(B508&gt;=in_marketplace_from,d_hz_nps*G508,0)*in_nps_ticket*in_nps_comm</f>
        <v/>
      </c>
      <c r="BH508" s="40">
        <f>BH507*(1-IF(B507&gt;=in_marketplace_from,d_hz_gold*G507,0))</f>
        <v/>
      </c>
      <c r="BI508" s="40">
        <f>BI507*d_rho_gold+BH508*IF(B508&gt;=in_marketplace_from,d_hz_gold*G508,0)</f>
        <v/>
      </c>
      <c r="BJ508" s="14">
        <f>F508*BI508*in_gold_ticket*in_gold_comm</f>
        <v/>
      </c>
      <c r="BK508" s="40">
        <f>BK507*(1-IF(B507&gt;=in_marketplace_from,d_hz_fd*G507,0))</f>
        <v/>
      </c>
      <c r="BL508" s="14">
        <f>F508*BK508*IF(B508&gt;=in_marketplace_from,d_hz_fd*G508,0)*in_fd_ticket*in_fd_comm</f>
        <v/>
      </c>
      <c r="BM508" s="40">
        <f>BM507*(1-IF(B507&gt;=in_marketplace_from,d_hz_recharge*G507,0))</f>
        <v/>
      </c>
      <c r="BN508" s="40">
        <f>BN507*d_rho_recharge+BM508*IF(B508&gt;=in_marketplace_from,d_hz_recharge*G508,0)</f>
        <v/>
      </c>
      <c r="BO508" s="14">
        <f>F508*BN508*in_recharge_ticket*in_recharge_comm/12</f>
        <v/>
      </c>
      <c r="BP508" s="40">
        <f>BP507*(1-IF(B507&gt;=in_marketplace_from,d_hz_bills*G507,0))</f>
        <v/>
      </c>
      <c r="BQ508" s="40">
        <f>BQ507*d_rho_bills+BP508*IF(B508&gt;=in_marketplace_from,d_hz_bills*G508,0)</f>
        <v/>
      </c>
      <c r="BR508" s="14">
        <f>F508*BQ508*in_bills_ticket*in_bills_comm/12</f>
        <v/>
      </c>
      <c r="BS508" s="40">
        <f>BS507*(1-IF(B507&gt;=in_marketplace_from,d_hz_loan_gold*G507,0))</f>
        <v/>
      </c>
      <c r="BT508" s="14">
        <f>F508*BS508*IF(B508&gt;=in_marketplace_from,d_hz_loan_gold*G508,0)*in_loan_gold_ticket*in_loan_gold_comm</f>
        <v/>
      </c>
      <c r="BU508" s="40">
        <f>BU507*(1-IF(B507&gt;=in_marketplace_from,d_hz_loan_cd*G507,0))</f>
        <v/>
      </c>
      <c r="BV508" s="14">
        <f>F508*BU508*IF(B508&gt;=in_marketplace_from,d_hz_loan_cd*G508,0)*in_loan_cd_ticket*in_loan_cd_comm</f>
        <v/>
      </c>
      <c r="BW508" s="40">
        <f>BW507*(1-IF(B507&gt;=in_marketplace_from,d_hz_loan_vehicle*G507,0))</f>
        <v/>
      </c>
      <c r="BX508" s="14">
        <f>F508*BW508*IF(B508&gt;=in_marketplace_from,d_hz_loan_vehicle*G508,0)*in_loan_vehicle_ticket*in_loan_vehicle_comm</f>
        <v/>
      </c>
      <c r="BY508" s="40">
        <f>BY507*(1-IF(B507&gt;=in_marketplace_from,d_hz_loan_home*G507,0)*BZ507)</f>
        <v/>
      </c>
      <c r="BZ508" s="11">
        <f>MIN(in_approval_cap,in_loan_home_approval*INDEX('Age profile'!$O$2:$O$61,B508)*(1+in_approval_growth)^(D508-1))</f>
        <v/>
      </c>
      <c r="CA508" s="14">
        <f>F508*BY508*IF(B508&gt;=in_marketplace_from,d_hz_loan_home*G508,0)*BZ508*in_loan_home_ticket*in_loan_home_comm</f>
        <v/>
      </c>
      <c r="CB508" s="40">
        <f>CB507*(1-IF(B507&gt;=in_marketplace_from,d_hz_loan_lap*G507,0)*CC507)</f>
        <v/>
      </c>
      <c r="CC508" s="11">
        <f>MIN(in_approval_cap,in_loan_lap_approval*INDEX('Age profile'!$O$2:$O$61,B508)*(1+in_approval_growth)^(D508-1))</f>
        <v/>
      </c>
      <c r="CD508" s="14">
        <f>F508*CB508*IF(B508&gt;=in_marketplace_from,d_hz_loan_lap*G508,0)*CC508*in_loan_lap_ticket*in_loan_lap_comm</f>
        <v/>
      </c>
      <c r="CE508" s="14">
        <f>AA508+AB508+AC508+AD508+AG508+AJ508+AM508+AP508+AS508+AU508+AX508+BB508+BE508+BG508+BJ508+BL508+BO508+BR508+BT508+BV508+BX508+CA508+CD508</f>
        <v/>
      </c>
    </row>
    <row r="509">
      <c r="A509" s="39" t="n">
        <v>10</v>
      </c>
      <c r="B509" s="39" t="n">
        <v>4</v>
      </c>
      <c r="C509" s="39">
        <f>A509+B509-1</f>
        <v/>
      </c>
      <c r="D509" s="39">
        <f>INT((C509-1)/12)+1</f>
        <v/>
      </c>
      <c r="E509" s="44">
        <f>INDEX(Monthly!$B$2:$B$61,A509)</f>
        <v/>
      </c>
      <c r="F509" s="44">
        <f>E509*INDEX('Age profile'!$B$2:$B$61,B509)</f>
        <v/>
      </c>
      <c r="G509" s="45">
        <f>MIN(in_takeup_cap,INDEX('Age profile'!$N$2:$N$61,B509)*(1+in_takeup_growth)^(D509-1))</f>
        <v/>
      </c>
      <c r="H509" s="11">
        <f>MIN(in_approval_cap,in_approved_first*INDEX('Age profile'!$O$2:$O$61,B509)*(1+in_approval_growth)^(D509-1))</f>
        <v/>
      </c>
      <c r="I509" s="45">
        <f>G509*MIN(in_takeup_cap,INDEX('Age profile'!$O$2:$O$61,B509)*(1+in_approval_growth)^(D509-1))</f>
        <v/>
      </c>
      <c r="J509" s="40">
        <f>(J508-L508)*F509/F508</f>
        <v/>
      </c>
      <c r="K509" s="40">
        <f>(K508-M508)*F509/F508+SUMIFS(O506:O508,B506:B508,B509-1-d_T)*F509</f>
        <v/>
      </c>
      <c r="L509" s="40">
        <f>IF(B509&gt;=in_marketplace_from,J509*d_hz*G509*in_eligible*H509,0)</f>
        <v/>
      </c>
      <c r="M509" s="40">
        <f>IF(B509&gt;=in_marketplace_from,K509*d_hz*G509*in_eligible*in_approved_repeat,0)</f>
        <v/>
      </c>
      <c r="N509" s="40">
        <f>L509+M509</f>
        <v/>
      </c>
      <c r="O509" s="46">
        <f>N509/F509</f>
        <v/>
      </c>
      <c r="P509" s="40">
        <f>F509-J509-K509</f>
        <v/>
      </c>
      <c r="Q509" s="40">
        <f>IF(B509&gt;=in_marketplace_from,(J509+K509)*d_hz*G509,0)</f>
        <v/>
      </c>
      <c r="R509" s="40">
        <f>SUMIFS(N506:N556,B506:B556,"&gt;="&amp;(B509-d_T),B506:B556,"&lt;="&amp;(B509-1))</f>
        <v/>
      </c>
      <c r="S509" s="46">
        <f>(1-d_u)*S508+IF(d_T&gt;in_topup_lag,SUMIFS(O506:O556,B506:B556,B509-in_topup_lag)-d_udrop*SUMIFS(O506:O556,B506:B556,B509-d_T),0)</f>
        <v/>
      </c>
      <c r="T509" s="40">
        <f>F509*d_u*S509</f>
        <v/>
      </c>
      <c r="U509" s="9">
        <f>L509*in_ticket+M509*d_rep_ticket</f>
        <v/>
      </c>
      <c r="V509" s="9">
        <f>U509+T509*d_topup_amt</f>
        <v/>
      </c>
      <c r="W509" s="40">
        <f>N509+T509*d_topup_ratio</f>
        <v/>
      </c>
      <c r="X509" s="40">
        <f>SUMIFS(W506:W556,B506:B556,B509-in_dpd_lag)*d_cured</f>
        <v/>
      </c>
      <c r="Y509" s="40">
        <f>SUMIFS(W506:W556,B506:B556,B509-in_rec_lag)*d_recd</f>
        <v/>
      </c>
      <c r="Z509" s="40">
        <f>IF(AND(B509&gt;=in_marketplace_from,B509&lt;in_marketplace_from+in_card_months),in_card_share/in_card_months*F509*I509,IF(AND(B509&gt;=in_marketplace_from+in_card_months,B509&lt;in_marketplace_from+2*in_card_months),in_card_share*d_card_rem/in_card_months*F509*MIN(in_takeup_cap,(1+in_takeup_growth)^(D509-1))*MIN(in_takeup_cap,(1+in_approval_growth)^(D509-1)),0))</f>
        <v/>
      </c>
      <c r="AA509" s="14">
        <f>V509*in_fee*(1-in_taken_back)</f>
        <v/>
      </c>
      <c r="AB509" s="14">
        <f>SUMIFS(W506:W556,B506:B556,B509-in_dpd_lag)*d_dpd</f>
        <v/>
      </c>
      <c r="AC509" s="14">
        <f>SUMIFS(W506:W556,B506:B556,B509-in_rec_lag)*d_rec</f>
        <v/>
      </c>
      <c r="AD509" s="14">
        <f>Z509*in_card_fee</f>
        <v/>
      </c>
      <c r="AE509" s="40">
        <f>AE508*(1-IF(B508&gt;=in_marketplace_from,d_hz_hlth_small*G508,0))</f>
        <v/>
      </c>
      <c r="AF509" s="46">
        <f>AE509*IF(B509&gt;=in_marketplace_from,d_hz_hlth_small*G509,0)</f>
        <v/>
      </c>
      <c r="AG509" s="14">
        <f>F509*AF509*in_hlth_small_ticket*in_hlth_small_comm*in_ins_partner_share+F509*in_hlth_small_ticket*in_hlth_small_renew_comm*in_ins_partner_share*(in_hlth_small_renew^1*SUMIFS(AF506:AF556,B506:B556,B509-12)+in_hlth_small_renew^2*SUMIFS(AF506:AF556,B506:B556,B509-24)+in_hlth_small_renew^3*SUMIFS(AF506:AF556,B506:B556,B509-36)+in_hlth_small_renew^4*SUMIFS(AF506:AF556,B506:B556,B509-48))</f>
        <v/>
      </c>
      <c r="AH509" s="40">
        <f>AH508*(1-IF(B508&gt;=in_marketplace_from,d_hz_hlth_family*G508,0))</f>
        <v/>
      </c>
      <c r="AI509" s="46">
        <f>AH509*IF(B509&gt;=in_marketplace_from,d_hz_hlth_family*G509,0)</f>
        <v/>
      </c>
      <c r="AJ509" s="14">
        <f>F509*AI509*in_hlth_family_ticket*in_hlth_family_comm*in_ins_partner_share+F509*in_hlth_family_ticket*in_hlth_family_renew_comm*in_ins_partner_share*(in_hlth_family_renew^1*SUMIFS(AI506:AI556,B506:B556,B509-12)+in_hlth_family_renew^2*SUMIFS(AI506:AI556,B506:B556,B509-24)+in_hlth_family_renew^3*SUMIFS(AI506:AI556,B506:B556,B509-36)+in_hlth_family_renew^4*SUMIFS(AI506:AI556,B506:B556,B509-48))</f>
        <v/>
      </c>
      <c r="AK509" s="40">
        <f>AK508*(1-IF(B508&gt;=in_marketplace_from,d_hz_life_term*G508,0))</f>
        <v/>
      </c>
      <c r="AL509" s="46">
        <f>AK509*IF(B509&gt;=in_marketplace_from,d_hz_life_term*G509,0)</f>
        <v/>
      </c>
      <c r="AM509" s="14">
        <f>F509*AL509*in_life_term_ticket*in_life_term_comm*in_ins_partner_share+F509*in_life_term_ticket*in_life_term_renew_comm*in_ins_partner_share*(in_life_term_renew^1*SUMIFS(AL506:AL556,B506:B556,B509-12)+in_life_term_renew^2*SUMIFS(AL506:AL556,B506:B556,B509-24)+in_life_term_renew^3*SUMIFS(AL506:AL556,B506:B556,B509-36)+in_life_term_renew^4*SUMIFS(AL506:AL556,B506:B556,B509-48))</f>
        <v/>
      </c>
      <c r="AN509" s="40">
        <f>AN508*(1-IF(B508&gt;=in_marketplace_from,d_hz_accident*G508,0))</f>
        <v/>
      </c>
      <c r="AO509" s="46">
        <f>AN509*IF(B509&gt;=in_marketplace_from,d_hz_accident*G509,0)</f>
        <v/>
      </c>
      <c r="AP509" s="14">
        <f>F509*AO509*in_accident_ticket*in_accident_comm*in_ins_partner_share+F509*in_accident_ticket*in_accident_renew_comm*in_ins_partner_share*(in_accident_renew^1*SUMIFS(AO506:AO556,B506:B556,B509-12)+in_accident_renew^2*SUMIFS(AO506:AO556,B506:B556,B509-24)+in_accident_renew^3*SUMIFS(AO506:AO556,B506:B556,B509-36)+in_accident_renew^4*SUMIFS(AO506:AO556,B506:B556,B509-48))</f>
        <v/>
      </c>
      <c r="AQ509" s="40">
        <f>AQ508*(1-IF(B508&gt;=in_marketplace_from,d_hz_two_wheeler*G508,0))</f>
        <v/>
      </c>
      <c r="AR509" s="46">
        <f>AQ509*IF(B509&gt;=in_marketplace_from,d_hz_two_wheeler*G509,0)</f>
        <v/>
      </c>
      <c r="AS509" s="14">
        <f>F509*AR509*in_two_wheeler_ticket*in_two_wheeler_comm*in_ins_partner_share+F509*in_two_wheeler_ticket*in_two_wheeler_comm*in_ins_partner_share*(in_two_wheeler_renew^1*SUMIFS(AR506:AR556,B506:B556,B509-12)+in_two_wheeler_renew^2*SUMIFS(AR506:AR556,B506:B556,B509-24)+in_two_wheeler_renew^3*SUMIFS(AR506:AR556,B506:B556,B509-36)+in_two_wheeler_renew^4*SUMIFS(AR506:AR556,B506:B556,B509-48))</f>
        <v/>
      </c>
      <c r="AT509" s="40">
        <f>AT508*(1-IF(B508&gt;=in_marketplace_from,d_hz_device*G508,0))</f>
        <v/>
      </c>
      <c r="AU509" s="14">
        <f>F509*AT509*IF(B509&gt;=in_marketplace_from,d_hz_device*G509,0)*in_device_ticket*in_device_comm*in_ins_partner_share</f>
        <v/>
      </c>
      <c r="AV509" s="40">
        <f>AV508*(1-IF(B508&gt;=in_marketplace_from,d_hz_shop*G508,0))</f>
        <v/>
      </c>
      <c r="AW509" s="46">
        <f>AV509*IF(B509&gt;=in_marketplace_from,d_hz_shop*G509,0)</f>
        <v/>
      </c>
      <c r="AX509" s="14">
        <f>F509*AW509*in_shop_ticket*in_shop_comm*in_ins_partner_share+F509*in_shop_ticket*in_shop_renew_comm*in_ins_partner_share*(in_shop_renew^1*SUMIFS(AW506:AW556,B506:B556,B509-12)+in_shop_renew^2*SUMIFS(AW506:AW556,B506:B556,B509-24)+in_shop_renew^3*SUMIFS(AW506:AW556,B506:B556,B509-36)+in_shop_renew^4*SUMIFS(AW506:AW556,B506:B556,B509-48))</f>
        <v/>
      </c>
      <c r="AY509" s="40">
        <f>AY508*(1-IF(B508&gt;=in_marketplace_from,d_hz_sip*G508,0))</f>
        <v/>
      </c>
      <c r="AZ509" s="40">
        <f>AZ508*d_rho_sip+AY509*IF(B509&gt;=in_marketplace_from,d_hz_sip*G509,0)</f>
        <v/>
      </c>
      <c r="BA509" s="40">
        <f>d_rho_sip*(BA508+AZ508)</f>
        <v/>
      </c>
      <c r="BB509" s="14">
        <f>F509*in_sip_ticket*(BA509+0.5*AZ509)*in_sip_comm/12</f>
        <v/>
      </c>
      <c r="BC509" s="40">
        <f>BC508*(1-IF(B508&gt;=in_marketplace_from,d_hz_choti*G508,0))</f>
        <v/>
      </c>
      <c r="BD509" s="46">
        <f>BC509*IF(B509&gt;=in_marketplace_from,d_hz_choti*G509,0)</f>
        <v/>
      </c>
      <c r="BE509" s="14">
        <f>F509*SUMIFS(BD506:BD556,B506:B556,B509-in_choti_months)*in_choti_renew*in_choti_ticket</f>
        <v/>
      </c>
      <c r="BF509" s="40">
        <f>BF508*(1-IF(B508&gt;=in_marketplace_from,d_hz_nps*G508,0))</f>
        <v/>
      </c>
      <c r="BG509" s="14">
        <f>F509*BF509*IF(B509&gt;=in_marketplace_from,d_hz_nps*G509,0)*in_nps_ticket*in_nps_comm</f>
        <v/>
      </c>
      <c r="BH509" s="40">
        <f>BH508*(1-IF(B508&gt;=in_marketplace_from,d_hz_gold*G508,0))</f>
        <v/>
      </c>
      <c r="BI509" s="40">
        <f>BI508*d_rho_gold+BH509*IF(B509&gt;=in_marketplace_from,d_hz_gold*G509,0)</f>
        <v/>
      </c>
      <c r="BJ509" s="14">
        <f>F509*BI509*in_gold_ticket*in_gold_comm</f>
        <v/>
      </c>
      <c r="BK509" s="40">
        <f>BK508*(1-IF(B508&gt;=in_marketplace_from,d_hz_fd*G508,0))</f>
        <v/>
      </c>
      <c r="BL509" s="14">
        <f>F509*BK509*IF(B509&gt;=in_marketplace_from,d_hz_fd*G509,0)*in_fd_ticket*in_fd_comm</f>
        <v/>
      </c>
      <c r="BM509" s="40">
        <f>BM508*(1-IF(B508&gt;=in_marketplace_from,d_hz_recharge*G508,0))</f>
        <v/>
      </c>
      <c r="BN509" s="40">
        <f>BN508*d_rho_recharge+BM509*IF(B509&gt;=in_marketplace_from,d_hz_recharge*G509,0)</f>
        <v/>
      </c>
      <c r="BO509" s="14">
        <f>F509*BN509*in_recharge_ticket*in_recharge_comm/12</f>
        <v/>
      </c>
      <c r="BP509" s="40">
        <f>BP508*(1-IF(B508&gt;=in_marketplace_from,d_hz_bills*G508,0))</f>
        <v/>
      </c>
      <c r="BQ509" s="40">
        <f>BQ508*d_rho_bills+BP509*IF(B509&gt;=in_marketplace_from,d_hz_bills*G509,0)</f>
        <v/>
      </c>
      <c r="BR509" s="14">
        <f>F509*BQ509*in_bills_ticket*in_bills_comm/12</f>
        <v/>
      </c>
      <c r="BS509" s="40">
        <f>BS508*(1-IF(B508&gt;=in_marketplace_from,d_hz_loan_gold*G508,0))</f>
        <v/>
      </c>
      <c r="BT509" s="14">
        <f>F509*BS509*IF(B509&gt;=in_marketplace_from,d_hz_loan_gold*G509,0)*in_loan_gold_ticket*in_loan_gold_comm</f>
        <v/>
      </c>
      <c r="BU509" s="40">
        <f>BU508*(1-IF(B508&gt;=in_marketplace_from,d_hz_loan_cd*G508,0))</f>
        <v/>
      </c>
      <c r="BV509" s="14">
        <f>F509*BU509*IF(B509&gt;=in_marketplace_from,d_hz_loan_cd*G509,0)*in_loan_cd_ticket*in_loan_cd_comm</f>
        <v/>
      </c>
      <c r="BW509" s="40">
        <f>BW508*(1-IF(B508&gt;=in_marketplace_from,d_hz_loan_vehicle*G508,0))</f>
        <v/>
      </c>
      <c r="BX509" s="14">
        <f>F509*BW509*IF(B509&gt;=in_marketplace_from,d_hz_loan_vehicle*G509,0)*in_loan_vehicle_ticket*in_loan_vehicle_comm</f>
        <v/>
      </c>
      <c r="BY509" s="40">
        <f>BY508*(1-IF(B508&gt;=in_marketplace_from,d_hz_loan_home*G508,0)*BZ508)</f>
        <v/>
      </c>
      <c r="BZ509" s="11">
        <f>MIN(in_approval_cap,in_loan_home_approval*INDEX('Age profile'!$O$2:$O$61,B509)*(1+in_approval_growth)^(D509-1))</f>
        <v/>
      </c>
      <c r="CA509" s="14">
        <f>F509*BY509*IF(B509&gt;=in_marketplace_from,d_hz_loan_home*G509,0)*BZ509*in_loan_home_ticket*in_loan_home_comm</f>
        <v/>
      </c>
      <c r="CB509" s="40">
        <f>CB508*(1-IF(B508&gt;=in_marketplace_from,d_hz_loan_lap*G508,0)*CC508)</f>
        <v/>
      </c>
      <c r="CC509" s="11">
        <f>MIN(in_approval_cap,in_loan_lap_approval*INDEX('Age profile'!$O$2:$O$61,B509)*(1+in_approval_growth)^(D509-1))</f>
        <v/>
      </c>
      <c r="CD509" s="14">
        <f>F509*CB509*IF(B509&gt;=in_marketplace_from,d_hz_loan_lap*G509,0)*CC509*in_loan_lap_ticket*in_loan_lap_comm</f>
        <v/>
      </c>
      <c r="CE509" s="14">
        <f>AA509+AB509+AC509+AD509+AG509+AJ509+AM509+AP509+AS509+AU509+AX509+BB509+BE509+BG509+BJ509+BL509+BO509+BR509+BT509+BV509+BX509+CA509+CD509</f>
        <v/>
      </c>
    </row>
    <row r="510">
      <c r="A510" s="39" t="n">
        <v>10</v>
      </c>
      <c r="B510" s="39" t="n">
        <v>5</v>
      </c>
      <c r="C510" s="39">
        <f>A510+B510-1</f>
        <v/>
      </c>
      <c r="D510" s="39">
        <f>INT((C510-1)/12)+1</f>
        <v/>
      </c>
      <c r="E510" s="44">
        <f>INDEX(Monthly!$B$2:$B$61,A510)</f>
        <v/>
      </c>
      <c r="F510" s="44">
        <f>E510*INDEX('Age profile'!$B$2:$B$61,B510)</f>
        <v/>
      </c>
      <c r="G510" s="45">
        <f>MIN(in_takeup_cap,INDEX('Age profile'!$N$2:$N$61,B510)*(1+in_takeup_growth)^(D510-1))</f>
        <v/>
      </c>
      <c r="H510" s="11">
        <f>MIN(in_approval_cap,in_approved_first*INDEX('Age profile'!$O$2:$O$61,B510)*(1+in_approval_growth)^(D510-1))</f>
        <v/>
      </c>
      <c r="I510" s="45">
        <f>G510*MIN(in_takeup_cap,INDEX('Age profile'!$O$2:$O$61,B510)*(1+in_approval_growth)^(D510-1))</f>
        <v/>
      </c>
      <c r="J510" s="40">
        <f>(J509-L509)*F510/F509</f>
        <v/>
      </c>
      <c r="K510" s="40">
        <f>(K509-M509)*F510/F509+SUMIFS(O506:O509,B506:B509,B510-1-d_T)*F510</f>
        <v/>
      </c>
      <c r="L510" s="40">
        <f>IF(B510&gt;=in_marketplace_from,J510*d_hz*G510*in_eligible*H510,0)</f>
        <v/>
      </c>
      <c r="M510" s="40">
        <f>IF(B510&gt;=in_marketplace_from,K510*d_hz*G510*in_eligible*in_approved_repeat,0)</f>
        <v/>
      </c>
      <c r="N510" s="40">
        <f>L510+M510</f>
        <v/>
      </c>
      <c r="O510" s="46">
        <f>N510/F510</f>
        <v/>
      </c>
      <c r="P510" s="40">
        <f>F510-J510-K510</f>
        <v/>
      </c>
      <c r="Q510" s="40">
        <f>IF(B510&gt;=in_marketplace_from,(J510+K510)*d_hz*G510,0)</f>
        <v/>
      </c>
      <c r="R510" s="40">
        <f>SUMIFS(N506:N556,B506:B556,"&gt;="&amp;(B510-d_T),B506:B556,"&lt;="&amp;(B510-1))</f>
        <v/>
      </c>
      <c r="S510" s="46">
        <f>(1-d_u)*S509+IF(d_T&gt;in_topup_lag,SUMIFS(O506:O556,B506:B556,B510-in_topup_lag)-d_udrop*SUMIFS(O506:O556,B506:B556,B510-d_T),0)</f>
        <v/>
      </c>
      <c r="T510" s="40">
        <f>F510*d_u*S510</f>
        <v/>
      </c>
      <c r="U510" s="9">
        <f>L510*in_ticket+M510*d_rep_ticket</f>
        <v/>
      </c>
      <c r="V510" s="9">
        <f>U510+T510*d_topup_amt</f>
        <v/>
      </c>
      <c r="W510" s="40">
        <f>N510+T510*d_topup_ratio</f>
        <v/>
      </c>
      <c r="X510" s="40">
        <f>SUMIFS(W506:W556,B506:B556,B510-in_dpd_lag)*d_cured</f>
        <v/>
      </c>
      <c r="Y510" s="40">
        <f>SUMIFS(W506:W556,B506:B556,B510-in_rec_lag)*d_recd</f>
        <v/>
      </c>
      <c r="Z510" s="40">
        <f>IF(AND(B510&gt;=in_marketplace_from,B510&lt;in_marketplace_from+in_card_months),in_card_share/in_card_months*F510*I510,IF(AND(B510&gt;=in_marketplace_from+in_card_months,B510&lt;in_marketplace_from+2*in_card_months),in_card_share*d_card_rem/in_card_months*F510*MIN(in_takeup_cap,(1+in_takeup_growth)^(D510-1))*MIN(in_takeup_cap,(1+in_approval_growth)^(D510-1)),0))</f>
        <v/>
      </c>
      <c r="AA510" s="14">
        <f>V510*in_fee*(1-in_taken_back)</f>
        <v/>
      </c>
      <c r="AB510" s="14">
        <f>SUMIFS(W506:W556,B506:B556,B510-in_dpd_lag)*d_dpd</f>
        <v/>
      </c>
      <c r="AC510" s="14">
        <f>SUMIFS(W506:W556,B506:B556,B510-in_rec_lag)*d_rec</f>
        <v/>
      </c>
      <c r="AD510" s="14">
        <f>Z510*in_card_fee</f>
        <v/>
      </c>
      <c r="AE510" s="40">
        <f>AE509*(1-IF(B509&gt;=in_marketplace_from,d_hz_hlth_small*G509,0))</f>
        <v/>
      </c>
      <c r="AF510" s="46">
        <f>AE510*IF(B510&gt;=in_marketplace_from,d_hz_hlth_small*G510,0)</f>
        <v/>
      </c>
      <c r="AG510" s="14">
        <f>F510*AF510*in_hlth_small_ticket*in_hlth_small_comm*in_ins_partner_share+F510*in_hlth_small_ticket*in_hlth_small_renew_comm*in_ins_partner_share*(in_hlth_small_renew^1*SUMIFS(AF506:AF556,B506:B556,B510-12)+in_hlth_small_renew^2*SUMIFS(AF506:AF556,B506:B556,B510-24)+in_hlth_small_renew^3*SUMIFS(AF506:AF556,B506:B556,B510-36)+in_hlth_small_renew^4*SUMIFS(AF506:AF556,B506:B556,B510-48))</f>
        <v/>
      </c>
      <c r="AH510" s="40">
        <f>AH509*(1-IF(B509&gt;=in_marketplace_from,d_hz_hlth_family*G509,0))</f>
        <v/>
      </c>
      <c r="AI510" s="46">
        <f>AH510*IF(B510&gt;=in_marketplace_from,d_hz_hlth_family*G510,0)</f>
        <v/>
      </c>
      <c r="AJ510" s="14">
        <f>F510*AI510*in_hlth_family_ticket*in_hlth_family_comm*in_ins_partner_share+F510*in_hlth_family_ticket*in_hlth_family_renew_comm*in_ins_partner_share*(in_hlth_family_renew^1*SUMIFS(AI506:AI556,B506:B556,B510-12)+in_hlth_family_renew^2*SUMIFS(AI506:AI556,B506:B556,B510-24)+in_hlth_family_renew^3*SUMIFS(AI506:AI556,B506:B556,B510-36)+in_hlth_family_renew^4*SUMIFS(AI506:AI556,B506:B556,B510-48))</f>
        <v/>
      </c>
      <c r="AK510" s="40">
        <f>AK509*(1-IF(B509&gt;=in_marketplace_from,d_hz_life_term*G509,0))</f>
        <v/>
      </c>
      <c r="AL510" s="46">
        <f>AK510*IF(B510&gt;=in_marketplace_from,d_hz_life_term*G510,0)</f>
        <v/>
      </c>
      <c r="AM510" s="14">
        <f>F510*AL510*in_life_term_ticket*in_life_term_comm*in_ins_partner_share+F510*in_life_term_ticket*in_life_term_renew_comm*in_ins_partner_share*(in_life_term_renew^1*SUMIFS(AL506:AL556,B506:B556,B510-12)+in_life_term_renew^2*SUMIFS(AL506:AL556,B506:B556,B510-24)+in_life_term_renew^3*SUMIFS(AL506:AL556,B506:B556,B510-36)+in_life_term_renew^4*SUMIFS(AL506:AL556,B506:B556,B510-48))</f>
        <v/>
      </c>
      <c r="AN510" s="40">
        <f>AN509*(1-IF(B509&gt;=in_marketplace_from,d_hz_accident*G509,0))</f>
        <v/>
      </c>
      <c r="AO510" s="46">
        <f>AN510*IF(B510&gt;=in_marketplace_from,d_hz_accident*G510,0)</f>
        <v/>
      </c>
      <c r="AP510" s="14">
        <f>F510*AO510*in_accident_ticket*in_accident_comm*in_ins_partner_share+F510*in_accident_ticket*in_accident_renew_comm*in_ins_partner_share*(in_accident_renew^1*SUMIFS(AO506:AO556,B506:B556,B510-12)+in_accident_renew^2*SUMIFS(AO506:AO556,B506:B556,B510-24)+in_accident_renew^3*SUMIFS(AO506:AO556,B506:B556,B510-36)+in_accident_renew^4*SUMIFS(AO506:AO556,B506:B556,B510-48))</f>
        <v/>
      </c>
      <c r="AQ510" s="40">
        <f>AQ509*(1-IF(B509&gt;=in_marketplace_from,d_hz_two_wheeler*G509,0))</f>
        <v/>
      </c>
      <c r="AR510" s="46">
        <f>AQ510*IF(B510&gt;=in_marketplace_from,d_hz_two_wheeler*G510,0)</f>
        <v/>
      </c>
      <c r="AS510" s="14">
        <f>F510*AR510*in_two_wheeler_ticket*in_two_wheeler_comm*in_ins_partner_share+F510*in_two_wheeler_ticket*in_two_wheeler_comm*in_ins_partner_share*(in_two_wheeler_renew^1*SUMIFS(AR506:AR556,B506:B556,B510-12)+in_two_wheeler_renew^2*SUMIFS(AR506:AR556,B506:B556,B510-24)+in_two_wheeler_renew^3*SUMIFS(AR506:AR556,B506:B556,B510-36)+in_two_wheeler_renew^4*SUMIFS(AR506:AR556,B506:B556,B510-48))</f>
        <v/>
      </c>
      <c r="AT510" s="40">
        <f>AT509*(1-IF(B509&gt;=in_marketplace_from,d_hz_device*G509,0))</f>
        <v/>
      </c>
      <c r="AU510" s="14">
        <f>F510*AT510*IF(B510&gt;=in_marketplace_from,d_hz_device*G510,0)*in_device_ticket*in_device_comm*in_ins_partner_share</f>
        <v/>
      </c>
      <c r="AV510" s="40">
        <f>AV509*(1-IF(B509&gt;=in_marketplace_from,d_hz_shop*G509,0))</f>
        <v/>
      </c>
      <c r="AW510" s="46">
        <f>AV510*IF(B510&gt;=in_marketplace_from,d_hz_shop*G510,0)</f>
        <v/>
      </c>
      <c r="AX510" s="14">
        <f>F510*AW510*in_shop_ticket*in_shop_comm*in_ins_partner_share+F510*in_shop_ticket*in_shop_renew_comm*in_ins_partner_share*(in_shop_renew^1*SUMIFS(AW506:AW556,B506:B556,B510-12)+in_shop_renew^2*SUMIFS(AW506:AW556,B506:B556,B510-24)+in_shop_renew^3*SUMIFS(AW506:AW556,B506:B556,B510-36)+in_shop_renew^4*SUMIFS(AW506:AW556,B506:B556,B510-48))</f>
        <v/>
      </c>
      <c r="AY510" s="40">
        <f>AY509*(1-IF(B509&gt;=in_marketplace_from,d_hz_sip*G509,0))</f>
        <v/>
      </c>
      <c r="AZ510" s="40">
        <f>AZ509*d_rho_sip+AY510*IF(B510&gt;=in_marketplace_from,d_hz_sip*G510,0)</f>
        <v/>
      </c>
      <c r="BA510" s="40">
        <f>d_rho_sip*(BA509+AZ509)</f>
        <v/>
      </c>
      <c r="BB510" s="14">
        <f>F510*in_sip_ticket*(BA510+0.5*AZ510)*in_sip_comm/12</f>
        <v/>
      </c>
      <c r="BC510" s="40">
        <f>BC509*(1-IF(B509&gt;=in_marketplace_from,d_hz_choti*G509,0))</f>
        <v/>
      </c>
      <c r="BD510" s="46">
        <f>BC510*IF(B510&gt;=in_marketplace_from,d_hz_choti*G510,0)</f>
        <v/>
      </c>
      <c r="BE510" s="14">
        <f>F510*SUMIFS(BD506:BD556,B506:B556,B510-in_choti_months)*in_choti_renew*in_choti_ticket</f>
        <v/>
      </c>
      <c r="BF510" s="40">
        <f>BF509*(1-IF(B509&gt;=in_marketplace_from,d_hz_nps*G509,0))</f>
        <v/>
      </c>
      <c r="BG510" s="14">
        <f>F510*BF510*IF(B510&gt;=in_marketplace_from,d_hz_nps*G510,0)*in_nps_ticket*in_nps_comm</f>
        <v/>
      </c>
      <c r="BH510" s="40">
        <f>BH509*(1-IF(B509&gt;=in_marketplace_from,d_hz_gold*G509,0))</f>
        <v/>
      </c>
      <c r="BI510" s="40">
        <f>BI509*d_rho_gold+BH510*IF(B510&gt;=in_marketplace_from,d_hz_gold*G510,0)</f>
        <v/>
      </c>
      <c r="BJ510" s="14">
        <f>F510*BI510*in_gold_ticket*in_gold_comm</f>
        <v/>
      </c>
      <c r="BK510" s="40">
        <f>BK509*(1-IF(B509&gt;=in_marketplace_from,d_hz_fd*G509,0))</f>
        <v/>
      </c>
      <c r="BL510" s="14">
        <f>F510*BK510*IF(B510&gt;=in_marketplace_from,d_hz_fd*G510,0)*in_fd_ticket*in_fd_comm</f>
        <v/>
      </c>
      <c r="BM510" s="40">
        <f>BM509*(1-IF(B509&gt;=in_marketplace_from,d_hz_recharge*G509,0))</f>
        <v/>
      </c>
      <c r="BN510" s="40">
        <f>BN509*d_rho_recharge+BM510*IF(B510&gt;=in_marketplace_from,d_hz_recharge*G510,0)</f>
        <v/>
      </c>
      <c r="BO510" s="14">
        <f>F510*BN510*in_recharge_ticket*in_recharge_comm/12</f>
        <v/>
      </c>
      <c r="BP510" s="40">
        <f>BP509*(1-IF(B509&gt;=in_marketplace_from,d_hz_bills*G509,0))</f>
        <v/>
      </c>
      <c r="BQ510" s="40">
        <f>BQ509*d_rho_bills+BP510*IF(B510&gt;=in_marketplace_from,d_hz_bills*G510,0)</f>
        <v/>
      </c>
      <c r="BR510" s="14">
        <f>F510*BQ510*in_bills_ticket*in_bills_comm/12</f>
        <v/>
      </c>
      <c r="BS510" s="40">
        <f>BS509*(1-IF(B509&gt;=in_marketplace_from,d_hz_loan_gold*G509,0))</f>
        <v/>
      </c>
      <c r="BT510" s="14">
        <f>F510*BS510*IF(B510&gt;=in_marketplace_from,d_hz_loan_gold*G510,0)*in_loan_gold_ticket*in_loan_gold_comm</f>
        <v/>
      </c>
      <c r="BU510" s="40">
        <f>BU509*(1-IF(B509&gt;=in_marketplace_from,d_hz_loan_cd*G509,0))</f>
        <v/>
      </c>
      <c r="BV510" s="14">
        <f>F510*BU510*IF(B510&gt;=in_marketplace_from,d_hz_loan_cd*G510,0)*in_loan_cd_ticket*in_loan_cd_comm</f>
        <v/>
      </c>
      <c r="BW510" s="40">
        <f>BW509*(1-IF(B509&gt;=in_marketplace_from,d_hz_loan_vehicle*G509,0))</f>
        <v/>
      </c>
      <c r="BX510" s="14">
        <f>F510*BW510*IF(B510&gt;=in_marketplace_from,d_hz_loan_vehicle*G510,0)*in_loan_vehicle_ticket*in_loan_vehicle_comm</f>
        <v/>
      </c>
      <c r="BY510" s="40">
        <f>BY509*(1-IF(B509&gt;=in_marketplace_from,d_hz_loan_home*G509,0)*BZ509)</f>
        <v/>
      </c>
      <c r="BZ510" s="11">
        <f>MIN(in_approval_cap,in_loan_home_approval*INDEX('Age profile'!$O$2:$O$61,B510)*(1+in_approval_growth)^(D510-1))</f>
        <v/>
      </c>
      <c r="CA510" s="14">
        <f>F510*BY510*IF(B510&gt;=in_marketplace_from,d_hz_loan_home*G510,0)*BZ510*in_loan_home_ticket*in_loan_home_comm</f>
        <v/>
      </c>
      <c r="CB510" s="40">
        <f>CB509*(1-IF(B509&gt;=in_marketplace_from,d_hz_loan_lap*G509,0)*CC509)</f>
        <v/>
      </c>
      <c r="CC510" s="11">
        <f>MIN(in_approval_cap,in_loan_lap_approval*INDEX('Age profile'!$O$2:$O$61,B510)*(1+in_approval_growth)^(D510-1))</f>
        <v/>
      </c>
      <c r="CD510" s="14">
        <f>F510*CB510*IF(B510&gt;=in_marketplace_from,d_hz_loan_lap*G510,0)*CC510*in_loan_lap_ticket*in_loan_lap_comm</f>
        <v/>
      </c>
      <c r="CE510" s="14">
        <f>AA510+AB510+AC510+AD510+AG510+AJ510+AM510+AP510+AS510+AU510+AX510+BB510+BE510+BG510+BJ510+BL510+BO510+BR510+BT510+BV510+BX510+CA510+CD510</f>
        <v/>
      </c>
    </row>
    <row r="511">
      <c r="A511" s="39" t="n">
        <v>10</v>
      </c>
      <c r="B511" s="39" t="n">
        <v>6</v>
      </c>
      <c r="C511" s="39">
        <f>A511+B511-1</f>
        <v/>
      </c>
      <c r="D511" s="39">
        <f>INT((C511-1)/12)+1</f>
        <v/>
      </c>
      <c r="E511" s="44">
        <f>INDEX(Monthly!$B$2:$B$61,A511)</f>
        <v/>
      </c>
      <c r="F511" s="44">
        <f>E511*INDEX('Age profile'!$B$2:$B$61,B511)</f>
        <v/>
      </c>
      <c r="G511" s="45">
        <f>MIN(in_takeup_cap,INDEX('Age profile'!$N$2:$N$61,B511)*(1+in_takeup_growth)^(D511-1))</f>
        <v/>
      </c>
      <c r="H511" s="11">
        <f>MIN(in_approval_cap,in_approved_first*INDEX('Age profile'!$O$2:$O$61,B511)*(1+in_approval_growth)^(D511-1))</f>
        <v/>
      </c>
      <c r="I511" s="45">
        <f>G511*MIN(in_takeup_cap,INDEX('Age profile'!$O$2:$O$61,B511)*(1+in_approval_growth)^(D511-1))</f>
        <v/>
      </c>
      <c r="J511" s="40">
        <f>(J510-L510)*F511/F510</f>
        <v/>
      </c>
      <c r="K511" s="40">
        <f>(K510-M510)*F511/F510+SUMIFS(O506:O510,B506:B510,B511-1-d_T)*F511</f>
        <v/>
      </c>
      <c r="L511" s="40">
        <f>IF(B511&gt;=in_marketplace_from,J511*d_hz*G511*in_eligible*H511,0)</f>
        <v/>
      </c>
      <c r="M511" s="40">
        <f>IF(B511&gt;=in_marketplace_from,K511*d_hz*G511*in_eligible*in_approved_repeat,0)</f>
        <v/>
      </c>
      <c r="N511" s="40">
        <f>L511+M511</f>
        <v/>
      </c>
      <c r="O511" s="46">
        <f>N511/F511</f>
        <v/>
      </c>
      <c r="P511" s="40">
        <f>F511-J511-K511</f>
        <v/>
      </c>
      <c r="Q511" s="40">
        <f>IF(B511&gt;=in_marketplace_from,(J511+K511)*d_hz*G511,0)</f>
        <v/>
      </c>
      <c r="R511" s="40">
        <f>SUMIFS(N506:N556,B506:B556,"&gt;="&amp;(B511-d_T),B506:B556,"&lt;="&amp;(B511-1))</f>
        <v/>
      </c>
      <c r="S511" s="46">
        <f>(1-d_u)*S510+IF(d_T&gt;in_topup_lag,SUMIFS(O506:O556,B506:B556,B511-in_topup_lag)-d_udrop*SUMIFS(O506:O556,B506:B556,B511-d_T),0)</f>
        <v/>
      </c>
      <c r="T511" s="40">
        <f>F511*d_u*S511</f>
        <v/>
      </c>
      <c r="U511" s="9">
        <f>L511*in_ticket+M511*d_rep_ticket</f>
        <v/>
      </c>
      <c r="V511" s="9">
        <f>U511+T511*d_topup_amt</f>
        <v/>
      </c>
      <c r="W511" s="40">
        <f>N511+T511*d_topup_ratio</f>
        <v/>
      </c>
      <c r="X511" s="40">
        <f>SUMIFS(W506:W556,B506:B556,B511-in_dpd_lag)*d_cured</f>
        <v/>
      </c>
      <c r="Y511" s="40">
        <f>SUMIFS(W506:W556,B506:B556,B511-in_rec_lag)*d_recd</f>
        <v/>
      </c>
      <c r="Z511" s="40">
        <f>IF(AND(B511&gt;=in_marketplace_from,B511&lt;in_marketplace_from+in_card_months),in_card_share/in_card_months*F511*I511,IF(AND(B511&gt;=in_marketplace_from+in_card_months,B511&lt;in_marketplace_from+2*in_card_months),in_card_share*d_card_rem/in_card_months*F511*MIN(in_takeup_cap,(1+in_takeup_growth)^(D511-1))*MIN(in_takeup_cap,(1+in_approval_growth)^(D511-1)),0))</f>
        <v/>
      </c>
      <c r="AA511" s="14">
        <f>V511*in_fee*(1-in_taken_back)</f>
        <v/>
      </c>
      <c r="AB511" s="14">
        <f>SUMIFS(W506:W556,B506:B556,B511-in_dpd_lag)*d_dpd</f>
        <v/>
      </c>
      <c r="AC511" s="14">
        <f>SUMIFS(W506:W556,B506:B556,B511-in_rec_lag)*d_rec</f>
        <v/>
      </c>
      <c r="AD511" s="14">
        <f>Z511*in_card_fee</f>
        <v/>
      </c>
      <c r="AE511" s="40">
        <f>AE510*(1-IF(B510&gt;=in_marketplace_from,d_hz_hlth_small*G510,0))</f>
        <v/>
      </c>
      <c r="AF511" s="46">
        <f>AE511*IF(B511&gt;=in_marketplace_from,d_hz_hlth_small*G511,0)</f>
        <v/>
      </c>
      <c r="AG511" s="14">
        <f>F511*AF511*in_hlth_small_ticket*in_hlth_small_comm*in_ins_partner_share+F511*in_hlth_small_ticket*in_hlth_small_renew_comm*in_ins_partner_share*(in_hlth_small_renew^1*SUMIFS(AF506:AF556,B506:B556,B511-12)+in_hlth_small_renew^2*SUMIFS(AF506:AF556,B506:B556,B511-24)+in_hlth_small_renew^3*SUMIFS(AF506:AF556,B506:B556,B511-36)+in_hlth_small_renew^4*SUMIFS(AF506:AF556,B506:B556,B511-48))</f>
        <v/>
      </c>
      <c r="AH511" s="40">
        <f>AH510*(1-IF(B510&gt;=in_marketplace_from,d_hz_hlth_family*G510,0))</f>
        <v/>
      </c>
      <c r="AI511" s="46">
        <f>AH511*IF(B511&gt;=in_marketplace_from,d_hz_hlth_family*G511,0)</f>
        <v/>
      </c>
      <c r="AJ511" s="14">
        <f>F511*AI511*in_hlth_family_ticket*in_hlth_family_comm*in_ins_partner_share+F511*in_hlth_family_ticket*in_hlth_family_renew_comm*in_ins_partner_share*(in_hlth_family_renew^1*SUMIFS(AI506:AI556,B506:B556,B511-12)+in_hlth_family_renew^2*SUMIFS(AI506:AI556,B506:B556,B511-24)+in_hlth_family_renew^3*SUMIFS(AI506:AI556,B506:B556,B511-36)+in_hlth_family_renew^4*SUMIFS(AI506:AI556,B506:B556,B511-48))</f>
        <v/>
      </c>
      <c r="AK511" s="40">
        <f>AK510*(1-IF(B510&gt;=in_marketplace_from,d_hz_life_term*G510,0))</f>
        <v/>
      </c>
      <c r="AL511" s="46">
        <f>AK511*IF(B511&gt;=in_marketplace_from,d_hz_life_term*G511,0)</f>
        <v/>
      </c>
      <c r="AM511" s="14">
        <f>F511*AL511*in_life_term_ticket*in_life_term_comm*in_ins_partner_share+F511*in_life_term_ticket*in_life_term_renew_comm*in_ins_partner_share*(in_life_term_renew^1*SUMIFS(AL506:AL556,B506:B556,B511-12)+in_life_term_renew^2*SUMIFS(AL506:AL556,B506:B556,B511-24)+in_life_term_renew^3*SUMIFS(AL506:AL556,B506:B556,B511-36)+in_life_term_renew^4*SUMIFS(AL506:AL556,B506:B556,B511-48))</f>
        <v/>
      </c>
      <c r="AN511" s="40">
        <f>AN510*(1-IF(B510&gt;=in_marketplace_from,d_hz_accident*G510,0))</f>
        <v/>
      </c>
      <c r="AO511" s="46">
        <f>AN511*IF(B511&gt;=in_marketplace_from,d_hz_accident*G511,0)</f>
        <v/>
      </c>
      <c r="AP511" s="14">
        <f>F511*AO511*in_accident_ticket*in_accident_comm*in_ins_partner_share+F511*in_accident_ticket*in_accident_renew_comm*in_ins_partner_share*(in_accident_renew^1*SUMIFS(AO506:AO556,B506:B556,B511-12)+in_accident_renew^2*SUMIFS(AO506:AO556,B506:B556,B511-24)+in_accident_renew^3*SUMIFS(AO506:AO556,B506:B556,B511-36)+in_accident_renew^4*SUMIFS(AO506:AO556,B506:B556,B511-48))</f>
        <v/>
      </c>
      <c r="AQ511" s="40">
        <f>AQ510*(1-IF(B510&gt;=in_marketplace_from,d_hz_two_wheeler*G510,0))</f>
        <v/>
      </c>
      <c r="AR511" s="46">
        <f>AQ511*IF(B511&gt;=in_marketplace_from,d_hz_two_wheeler*G511,0)</f>
        <v/>
      </c>
      <c r="AS511" s="14">
        <f>F511*AR511*in_two_wheeler_ticket*in_two_wheeler_comm*in_ins_partner_share+F511*in_two_wheeler_ticket*in_two_wheeler_comm*in_ins_partner_share*(in_two_wheeler_renew^1*SUMIFS(AR506:AR556,B506:B556,B511-12)+in_two_wheeler_renew^2*SUMIFS(AR506:AR556,B506:B556,B511-24)+in_two_wheeler_renew^3*SUMIFS(AR506:AR556,B506:B556,B511-36)+in_two_wheeler_renew^4*SUMIFS(AR506:AR556,B506:B556,B511-48))</f>
        <v/>
      </c>
      <c r="AT511" s="40">
        <f>AT510*(1-IF(B510&gt;=in_marketplace_from,d_hz_device*G510,0))</f>
        <v/>
      </c>
      <c r="AU511" s="14">
        <f>F511*AT511*IF(B511&gt;=in_marketplace_from,d_hz_device*G511,0)*in_device_ticket*in_device_comm*in_ins_partner_share</f>
        <v/>
      </c>
      <c r="AV511" s="40">
        <f>AV510*(1-IF(B510&gt;=in_marketplace_from,d_hz_shop*G510,0))</f>
        <v/>
      </c>
      <c r="AW511" s="46">
        <f>AV511*IF(B511&gt;=in_marketplace_from,d_hz_shop*G511,0)</f>
        <v/>
      </c>
      <c r="AX511" s="14">
        <f>F511*AW511*in_shop_ticket*in_shop_comm*in_ins_partner_share+F511*in_shop_ticket*in_shop_renew_comm*in_ins_partner_share*(in_shop_renew^1*SUMIFS(AW506:AW556,B506:B556,B511-12)+in_shop_renew^2*SUMIFS(AW506:AW556,B506:B556,B511-24)+in_shop_renew^3*SUMIFS(AW506:AW556,B506:B556,B511-36)+in_shop_renew^4*SUMIFS(AW506:AW556,B506:B556,B511-48))</f>
        <v/>
      </c>
      <c r="AY511" s="40">
        <f>AY510*(1-IF(B510&gt;=in_marketplace_from,d_hz_sip*G510,0))</f>
        <v/>
      </c>
      <c r="AZ511" s="40">
        <f>AZ510*d_rho_sip+AY511*IF(B511&gt;=in_marketplace_from,d_hz_sip*G511,0)</f>
        <v/>
      </c>
      <c r="BA511" s="40">
        <f>d_rho_sip*(BA510+AZ510)</f>
        <v/>
      </c>
      <c r="BB511" s="14">
        <f>F511*in_sip_ticket*(BA511+0.5*AZ511)*in_sip_comm/12</f>
        <v/>
      </c>
      <c r="BC511" s="40">
        <f>BC510*(1-IF(B510&gt;=in_marketplace_from,d_hz_choti*G510,0))</f>
        <v/>
      </c>
      <c r="BD511" s="46">
        <f>BC511*IF(B511&gt;=in_marketplace_from,d_hz_choti*G511,0)</f>
        <v/>
      </c>
      <c r="BE511" s="14">
        <f>F511*SUMIFS(BD506:BD556,B506:B556,B511-in_choti_months)*in_choti_renew*in_choti_ticket</f>
        <v/>
      </c>
      <c r="BF511" s="40">
        <f>BF510*(1-IF(B510&gt;=in_marketplace_from,d_hz_nps*G510,0))</f>
        <v/>
      </c>
      <c r="BG511" s="14">
        <f>F511*BF511*IF(B511&gt;=in_marketplace_from,d_hz_nps*G511,0)*in_nps_ticket*in_nps_comm</f>
        <v/>
      </c>
      <c r="BH511" s="40">
        <f>BH510*(1-IF(B510&gt;=in_marketplace_from,d_hz_gold*G510,0))</f>
        <v/>
      </c>
      <c r="BI511" s="40">
        <f>BI510*d_rho_gold+BH511*IF(B511&gt;=in_marketplace_from,d_hz_gold*G511,0)</f>
        <v/>
      </c>
      <c r="BJ511" s="14">
        <f>F511*BI511*in_gold_ticket*in_gold_comm</f>
        <v/>
      </c>
      <c r="BK511" s="40">
        <f>BK510*(1-IF(B510&gt;=in_marketplace_from,d_hz_fd*G510,0))</f>
        <v/>
      </c>
      <c r="BL511" s="14">
        <f>F511*BK511*IF(B511&gt;=in_marketplace_from,d_hz_fd*G511,0)*in_fd_ticket*in_fd_comm</f>
        <v/>
      </c>
      <c r="BM511" s="40">
        <f>BM510*(1-IF(B510&gt;=in_marketplace_from,d_hz_recharge*G510,0))</f>
        <v/>
      </c>
      <c r="BN511" s="40">
        <f>BN510*d_rho_recharge+BM511*IF(B511&gt;=in_marketplace_from,d_hz_recharge*G511,0)</f>
        <v/>
      </c>
      <c r="BO511" s="14">
        <f>F511*BN511*in_recharge_ticket*in_recharge_comm/12</f>
        <v/>
      </c>
      <c r="BP511" s="40">
        <f>BP510*(1-IF(B510&gt;=in_marketplace_from,d_hz_bills*G510,0))</f>
        <v/>
      </c>
      <c r="BQ511" s="40">
        <f>BQ510*d_rho_bills+BP511*IF(B511&gt;=in_marketplace_from,d_hz_bills*G511,0)</f>
        <v/>
      </c>
      <c r="BR511" s="14">
        <f>F511*BQ511*in_bills_ticket*in_bills_comm/12</f>
        <v/>
      </c>
      <c r="BS511" s="40">
        <f>BS510*(1-IF(B510&gt;=in_marketplace_from,d_hz_loan_gold*G510,0))</f>
        <v/>
      </c>
      <c r="BT511" s="14">
        <f>F511*BS511*IF(B511&gt;=in_marketplace_from,d_hz_loan_gold*G511,0)*in_loan_gold_ticket*in_loan_gold_comm</f>
        <v/>
      </c>
      <c r="BU511" s="40">
        <f>BU510*(1-IF(B510&gt;=in_marketplace_from,d_hz_loan_cd*G510,0))</f>
        <v/>
      </c>
      <c r="BV511" s="14">
        <f>F511*BU511*IF(B511&gt;=in_marketplace_from,d_hz_loan_cd*G511,0)*in_loan_cd_ticket*in_loan_cd_comm</f>
        <v/>
      </c>
      <c r="BW511" s="40">
        <f>BW510*(1-IF(B510&gt;=in_marketplace_from,d_hz_loan_vehicle*G510,0))</f>
        <v/>
      </c>
      <c r="BX511" s="14">
        <f>F511*BW511*IF(B511&gt;=in_marketplace_from,d_hz_loan_vehicle*G511,0)*in_loan_vehicle_ticket*in_loan_vehicle_comm</f>
        <v/>
      </c>
      <c r="BY511" s="40">
        <f>BY510*(1-IF(B510&gt;=in_marketplace_from,d_hz_loan_home*G510,0)*BZ510)</f>
        <v/>
      </c>
      <c r="BZ511" s="11">
        <f>MIN(in_approval_cap,in_loan_home_approval*INDEX('Age profile'!$O$2:$O$61,B511)*(1+in_approval_growth)^(D511-1))</f>
        <v/>
      </c>
      <c r="CA511" s="14">
        <f>F511*BY511*IF(B511&gt;=in_marketplace_from,d_hz_loan_home*G511,0)*BZ511*in_loan_home_ticket*in_loan_home_comm</f>
        <v/>
      </c>
      <c r="CB511" s="40">
        <f>CB510*(1-IF(B510&gt;=in_marketplace_from,d_hz_loan_lap*G510,0)*CC510)</f>
        <v/>
      </c>
      <c r="CC511" s="11">
        <f>MIN(in_approval_cap,in_loan_lap_approval*INDEX('Age profile'!$O$2:$O$61,B511)*(1+in_approval_growth)^(D511-1))</f>
        <v/>
      </c>
      <c r="CD511" s="14">
        <f>F511*CB511*IF(B511&gt;=in_marketplace_from,d_hz_loan_lap*G511,0)*CC511*in_loan_lap_ticket*in_loan_lap_comm</f>
        <v/>
      </c>
      <c r="CE511" s="14">
        <f>AA511+AB511+AC511+AD511+AG511+AJ511+AM511+AP511+AS511+AU511+AX511+BB511+BE511+BG511+BJ511+BL511+BO511+BR511+BT511+BV511+BX511+CA511+CD511</f>
        <v/>
      </c>
    </row>
    <row r="512">
      <c r="A512" s="39" t="n">
        <v>10</v>
      </c>
      <c r="B512" s="39" t="n">
        <v>7</v>
      </c>
      <c r="C512" s="39">
        <f>A512+B512-1</f>
        <v/>
      </c>
      <c r="D512" s="39">
        <f>INT((C512-1)/12)+1</f>
        <v/>
      </c>
      <c r="E512" s="44">
        <f>INDEX(Monthly!$B$2:$B$61,A512)</f>
        <v/>
      </c>
      <c r="F512" s="44">
        <f>E512*INDEX('Age profile'!$B$2:$B$61,B512)</f>
        <v/>
      </c>
      <c r="G512" s="45">
        <f>MIN(in_takeup_cap,INDEX('Age profile'!$N$2:$N$61,B512)*(1+in_takeup_growth)^(D512-1))</f>
        <v/>
      </c>
      <c r="H512" s="11">
        <f>MIN(in_approval_cap,in_approved_first*INDEX('Age profile'!$O$2:$O$61,B512)*(1+in_approval_growth)^(D512-1))</f>
        <v/>
      </c>
      <c r="I512" s="45">
        <f>G512*MIN(in_takeup_cap,INDEX('Age profile'!$O$2:$O$61,B512)*(1+in_approval_growth)^(D512-1))</f>
        <v/>
      </c>
      <c r="J512" s="40">
        <f>(J511-L511)*F512/F511</f>
        <v/>
      </c>
      <c r="K512" s="40">
        <f>(K511-M511)*F512/F511+SUMIFS(O506:O511,B506:B511,B512-1-d_T)*F512</f>
        <v/>
      </c>
      <c r="L512" s="40">
        <f>IF(B512&gt;=in_marketplace_from,J512*d_hz*G512*in_eligible*H512,0)</f>
        <v/>
      </c>
      <c r="M512" s="40">
        <f>IF(B512&gt;=in_marketplace_from,K512*d_hz*G512*in_eligible*in_approved_repeat,0)</f>
        <v/>
      </c>
      <c r="N512" s="40">
        <f>L512+M512</f>
        <v/>
      </c>
      <c r="O512" s="46">
        <f>N512/F512</f>
        <v/>
      </c>
      <c r="P512" s="40">
        <f>F512-J512-K512</f>
        <v/>
      </c>
      <c r="Q512" s="40">
        <f>IF(B512&gt;=in_marketplace_from,(J512+K512)*d_hz*G512,0)</f>
        <v/>
      </c>
      <c r="R512" s="40">
        <f>SUMIFS(N506:N556,B506:B556,"&gt;="&amp;(B512-d_T),B506:B556,"&lt;="&amp;(B512-1))</f>
        <v/>
      </c>
      <c r="S512" s="46">
        <f>(1-d_u)*S511+IF(d_T&gt;in_topup_lag,SUMIFS(O506:O556,B506:B556,B512-in_topup_lag)-d_udrop*SUMIFS(O506:O556,B506:B556,B512-d_T),0)</f>
        <v/>
      </c>
      <c r="T512" s="40">
        <f>F512*d_u*S512</f>
        <v/>
      </c>
      <c r="U512" s="9">
        <f>L512*in_ticket+M512*d_rep_ticket</f>
        <v/>
      </c>
      <c r="V512" s="9">
        <f>U512+T512*d_topup_amt</f>
        <v/>
      </c>
      <c r="W512" s="40">
        <f>N512+T512*d_topup_ratio</f>
        <v/>
      </c>
      <c r="X512" s="40">
        <f>SUMIFS(W506:W556,B506:B556,B512-in_dpd_lag)*d_cured</f>
        <v/>
      </c>
      <c r="Y512" s="40">
        <f>SUMIFS(W506:W556,B506:B556,B512-in_rec_lag)*d_recd</f>
        <v/>
      </c>
      <c r="Z512" s="40">
        <f>IF(AND(B512&gt;=in_marketplace_from,B512&lt;in_marketplace_from+in_card_months),in_card_share/in_card_months*F512*I512,IF(AND(B512&gt;=in_marketplace_from+in_card_months,B512&lt;in_marketplace_from+2*in_card_months),in_card_share*d_card_rem/in_card_months*F512*MIN(in_takeup_cap,(1+in_takeup_growth)^(D512-1))*MIN(in_takeup_cap,(1+in_approval_growth)^(D512-1)),0))</f>
        <v/>
      </c>
      <c r="AA512" s="14">
        <f>V512*in_fee*(1-in_taken_back)</f>
        <v/>
      </c>
      <c r="AB512" s="14">
        <f>SUMIFS(W506:W556,B506:B556,B512-in_dpd_lag)*d_dpd</f>
        <v/>
      </c>
      <c r="AC512" s="14">
        <f>SUMIFS(W506:W556,B506:B556,B512-in_rec_lag)*d_rec</f>
        <v/>
      </c>
      <c r="AD512" s="14">
        <f>Z512*in_card_fee</f>
        <v/>
      </c>
      <c r="AE512" s="40">
        <f>AE511*(1-IF(B511&gt;=in_marketplace_from,d_hz_hlth_small*G511,0))</f>
        <v/>
      </c>
      <c r="AF512" s="46">
        <f>AE512*IF(B512&gt;=in_marketplace_from,d_hz_hlth_small*G512,0)</f>
        <v/>
      </c>
      <c r="AG512" s="14">
        <f>F512*AF512*in_hlth_small_ticket*in_hlth_small_comm*in_ins_partner_share+F512*in_hlth_small_ticket*in_hlth_small_renew_comm*in_ins_partner_share*(in_hlth_small_renew^1*SUMIFS(AF506:AF556,B506:B556,B512-12)+in_hlth_small_renew^2*SUMIFS(AF506:AF556,B506:B556,B512-24)+in_hlth_small_renew^3*SUMIFS(AF506:AF556,B506:B556,B512-36)+in_hlth_small_renew^4*SUMIFS(AF506:AF556,B506:B556,B512-48))</f>
        <v/>
      </c>
      <c r="AH512" s="40">
        <f>AH511*(1-IF(B511&gt;=in_marketplace_from,d_hz_hlth_family*G511,0))</f>
        <v/>
      </c>
      <c r="AI512" s="46">
        <f>AH512*IF(B512&gt;=in_marketplace_from,d_hz_hlth_family*G512,0)</f>
        <v/>
      </c>
      <c r="AJ512" s="14">
        <f>F512*AI512*in_hlth_family_ticket*in_hlth_family_comm*in_ins_partner_share+F512*in_hlth_family_ticket*in_hlth_family_renew_comm*in_ins_partner_share*(in_hlth_family_renew^1*SUMIFS(AI506:AI556,B506:B556,B512-12)+in_hlth_family_renew^2*SUMIFS(AI506:AI556,B506:B556,B512-24)+in_hlth_family_renew^3*SUMIFS(AI506:AI556,B506:B556,B512-36)+in_hlth_family_renew^4*SUMIFS(AI506:AI556,B506:B556,B512-48))</f>
        <v/>
      </c>
      <c r="AK512" s="40">
        <f>AK511*(1-IF(B511&gt;=in_marketplace_from,d_hz_life_term*G511,0))</f>
        <v/>
      </c>
      <c r="AL512" s="46">
        <f>AK512*IF(B512&gt;=in_marketplace_from,d_hz_life_term*G512,0)</f>
        <v/>
      </c>
      <c r="AM512" s="14">
        <f>F512*AL512*in_life_term_ticket*in_life_term_comm*in_ins_partner_share+F512*in_life_term_ticket*in_life_term_renew_comm*in_ins_partner_share*(in_life_term_renew^1*SUMIFS(AL506:AL556,B506:B556,B512-12)+in_life_term_renew^2*SUMIFS(AL506:AL556,B506:B556,B512-24)+in_life_term_renew^3*SUMIFS(AL506:AL556,B506:B556,B512-36)+in_life_term_renew^4*SUMIFS(AL506:AL556,B506:B556,B512-48))</f>
        <v/>
      </c>
      <c r="AN512" s="40">
        <f>AN511*(1-IF(B511&gt;=in_marketplace_from,d_hz_accident*G511,0))</f>
        <v/>
      </c>
      <c r="AO512" s="46">
        <f>AN512*IF(B512&gt;=in_marketplace_from,d_hz_accident*G512,0)</f>
        <v/>
      </c>
      <c r="AP512" s="14">
        <f>F512*AO512*in_accident_ticket*in_accident_comm*in_ins_partner_share+F512*in_accident_ticket*in_accident_renew_comm*in_ins_partner_share*(in_accident_renew^1*SUMIFS(AO506:AO556,B506:B556,B512-12)+in_accident_renew^2*SUMIFS(AO506:AO556,B506:B556,B512-24)+in_accident_renew^3*SUMIFS(AO506:AO556,B506:B556,B512-36)+in_accident_renew^4*SUMIFS(AO506:AO556,B506:B556,B512-48))</f>
        <v/>
      </c>
      <c r="AQ512" s="40">
        <f>AQ511*(1-IF(B511&gt;=in_marketplace_from,d_hz_two_wheeler*G511,0))</f>
        <v/>
      </c>
      <c r="AR512" s="46">
        <f>AQ512*IF(B512&gt;=in_marketplace_from,d_hz_two_wheeler*G512,0)</f>
        <v/>
      </c>
      <c r="AS512" s="14">
        <f>F512*AR512*in_two_wheeler_ticket*in_two_wheeler_comm*in_ins_partner_share+F512*in_two_wheeler_ticket*in_two_wheeler_comm*in_ins_partner_share*(in_two_wheeler_renew^1*SUMIFS(AR506:AR556,B506:B556,B512-12)+in_two_wheeler_renew^2*SUMIFS(AR506:AR556,B506:B556,B512-24)+in_two_wheeler_renew^3*SUMIFS(AR506:AR556,B506:B556,B512-36)+in_two_wheeler_renew^4*SUMIFS(AR506:AR556,B506:B556,B512-48))</f>
        <v/>
      </c>
      <c r="AT512" s="40">
        <f>AT511*(1-IF(B511&gt;=in_marketplace_from,d_hz_device*G511,0))</f>
        <v/>
      </c>
      <c r="AU512" s="14">
        <f>F512*AT512*IF(B512&gt;=in_marketplace_from,d_hz_device*G512,0)*in_device_ticket*in_device_comm*in_ins_partner_share</f>
        <v/>
      </c>
      <c r="AV512" s="40">
        <f>AV511*(1-IF(B511&gt;=in_marketplace_from,d_hz_shop*G511,0))</f>
        <v/>
      </c>
      <c r="AW512" s="46">
        <f>AV512*IF(B512&gt;=in_marketplace_from,d_hz_shop*G512,0)</f>
        <v/>
      </c>
      <c r="AX512" s="14">
        <f>F512*AW512*in_shop_ticket*in_shop_comm*in_ins_partner_share+F512*in_shop_ticket*in_shop_renew_comm*in_ins_partner_share*(in_shop_renew^1*SUMIFS(AW506:AW556,B506:B556,B512-12)+in_shop_renew^2*SUMIFS(AW506:AW556,B506:B556,B512-24)+in_shop_renew^3*SUMIFS(AW506:AW556,B506:B556,B512-36)+in_shop_renew^4*SUMIFS(AW506:AW556,B506:B556,B512-48))</f>
        <v/>
      </c>
      <c r="AY512" s="40">
        <f>AY511*(1-IF(B511&gt;=in_marketplace_from,d_hz_sip*G511,0))</f>
        <v/>
      </c>
      <c r="AZ512" s="40">
        <f>AZ511*d_rho_sip+AY512*IF(B512&gt;=in_marketplace_from,d_hz_sip*G512,0)</f>
        <v/>
      </c>
      <c r="BA512" s="40">
        <f>d_rho_sip*(BA511+AZ511)</f>
        <v/>
      </c>
      <c r="BB512" s="14">
        <f>F512*in_sip_ticket*(BA512+0.5*AZ512)*in_sip_comm/12</f>
        <v/>
      </c>
      <c r="BC512" s="40">
        <f>BC511*(1-IF(B511&gt;=in_marketplace_from,d_hz_choti*G511,0))</f>
        <v/>
      </c>
      <c r="BD512" s="46">
        <f>BC512*IF(B512&gt;=in_marketplace_from,d_hz_choti*G512,0)</f>
        <v/>
      </c>
      <c r="BE512" s="14">
        <f>F512*SUMIFS(BD506:BD556,B506:B556,B512-in_choti_months)*in_choti_renew*in_choti_ticket</f>
        <v/>
      </c>
      <c r="BF512" s="40">
        <f>BF511*(1-IF(B511&gt;=in_marketplace_from,d_hz_nps*G511,0))</f>
        <v/>
      </c>
      <c r="BG512" s="14">
        <f>F512*BF512*IF(B512&gt;=in_marketplace_from,d_hz_nps*G512,0)*in_nps_ticket*in_nps_comm</f>
        <v/>
      </c>
      <c r="BH512" s="40">
        <f>BH511*(1-IF(B511&gt;=in_marketplace_from,d_hz_gold*G511,0))</f>
        <v/>
      </c>
      <c r="BI512" s="40">
        <f>BI511*d_rho_gold+BH512*IF(B512&gt;=in_marketplace_from,d_hz_gold*G512,0)</f>
        <v/>
      </c>
      <c r="BJ512" s="14">
        <f>F512*BI512*in_gold_ticket*in_gold_comm</f>
        <v/>
      </c>
      <c r="BK512" s="40">
        <f>BK511*(1-IF(B511&gt;=in_marketplace_from,d_hz_fd*G511,0))</f>
        <v/>
      </c>
      <c r="BL512" s="14">
        <f>F512*BK512*IF(B512&gt;=in_marketplace_from,d_hz_fd*G512,0)*in_fd_ticket*in_fd_comm</f>
        <v/>
      </c>
      <c r="BM512" s="40">
        <f>BM511*(1-IF(B511&gt;=in_marketplace_from,d_hz_recharge*G511,0))</f>
        <v/>
      </c>
      <c r="BN512" s="40">
        <f>BN511*d_rho_recharge+BM512*IF(B512&gt;=in_marketplace_from,d_hz_recharge*G512,0)</f>
        <v/>
      </c>
      <c r="BO512" s="14">
        <f>F512*BN512*in_recharge_ticket*in_recharge_comm/12</f>
        <v/>
      </c>
      <c r="BP512" s="40">
        <f>BP511*(1-IF(B511&gt;=in_marketplace_from,d_hz_bills*G511,0))</f>
        <v/>
      </c>
      <c r="BQ512" s="40">
        <f>BQ511*d_rho_bills+BP512*IF(B512&gt;=in_marketplace_from,d_hz_bills*G512,0)</f>
        <v/>
      </c>
      <c r="BR512" s="14">
        <f>F512*BQ512*in_bills_ticket*in_bills_comm/12</f>
        <v/>
      </c>
      <c r="BS512" s="40">
        <f>BS511*(1-IF(B511&gt;=in_marketplace_from,d_hz_loan_gold*G511,0))</f>
        <v/>
      </c>
      <c r="BT512" s="14">
        <f>F512*BS512*IF(B512&gt;=in_marketplace_from,d_hz_loan_gold*G512,0)*in_loan_gold_ticket*in_loan_gold_comm</f>
        <v/>
      </c>
      <c r="BU512" s="40">
        <f>BU511*(1-IF(B511&gt;=in_marketplace_from,d_hz_loan_cd*G511,0))</f>
        <v/>
      </c>
      <c r="BV512" s="14">
        <f>F512*BU512*IF(B512&gt;=in_marketplace_from,d_hz_loan_cd*G512,0)*in_loan_cd_ticket*in_loan_cd_comm</f>
        <v/>
      </c>
      <c r="BW512" s="40">
        <f>BW511*(1-IF(B511&gt;=in_marketplace_from,d_hz_loan_vehicle*G511,0))</f>
        <v/>
      </c>
      <c r="BX512" s="14">
        <f>F512*BW512*IF(B512&gt;=in_marketplace_from,d_hz_loan_vehicle*G512,0)*in_loan_vehicle_ticket*in_loan_vehicle_comm</f>
        <v/>
      </c>
      <c r="BY512" s="40">
        <f>BY511*(1-IF(B511&gt;=in_marketplace_from,d_hz_loan_home*G511,0)*BZ511)</f>
        <v/>
      </c>
      <c r="BZ512" s="11">
        <f>MIN(in_approval_cap,in_loan_home_approval*INDEX('Age profile'!$O$2:$O$61,B512)*(1+in_approval_growth)^(D512-1))</f>
        <v/>
      </c>
      <c r="CA512" s="14">
        <f>F512*BY512*IF(B512&gt;=in_marketplace_from,d_hz_loan_home*G512,0)*BZ512*in_loan_home_ticket*in_loan_home_comm</f>
        <v/>
      </c>
      <c r="CB512" s="40">
        <f>CB511*(1-IF(B511&gt;=in_marketplace_from,d_hz_loan_lap*G511,0)*CC511)</f>
        <v/>
      </c>
      <c r="CC512" s="11">
        <f>MIN(in_approval_cap,in_loan_lap_approval*INDEX('Age profile'!$O$2:$O$61,B512)*(1+in_approval_growth)^(D512-1))</f>
        <v/>
      </c>
      <c r="CD512" s="14">
        <f>F512*CB512*IF(B512&gt;=in_marketplace_from,d_hz_loan_lap*G512,0)*CC512*in_loan_lap_ticket*in_loan_lap_comm</f>
        <v/>
      </c>
      <c r="CE512" s="14">
        <f>AA512+AB512+AC512+AD512+AG512+AJ512+AM512+AP512+AS512+AU512+AX512+BB512+BE512+BG512+BJ512+BL512+BO512+BR512+BT512+BV512+BX512+CA512+CD512</f>
        <v/>
      </c>
    </row>
    <row r="513">
      <c r="A513" s="39" t="n">
        <v>10</v>
      </c>
      <c r="B513" s="39" t="n">
        <v>8</v>
      </c>
      <c r="C513" s="39">
        <f>A513+B513-1</f>
        <v/>
      </c>
      <c r="D513" s="39">
        <f>INT((C513-1)/12)+1</f>
        <v/>
      </c>
      <c r="E513" s="44">
        <f>INDEX(Monthly!$B$2:$B$61,A513)</f>
        <v/>
      </c>
      <c r="F513" s="44">
        <f>E513*INDEX('Age profile'!$B$2:$B$61,B513)</f>
        <v/>
      </c>
      <c r="G513" s="45">
        <f>MIN(in_takeup_cap,INDEX('Age profile'!$N$2:$N$61,B513)*(1+in_takeup_growth)^(D513-1))</f>
        <v/>
      </c>
      <c r="H513" s="11">
        <f>MIN(in_approval_cap,in_approved_first*INDEX('Age profile'!$O$2:$O$61,B513)*(1+in_approval_growth)^(D513-1))</f>
        <v/>
      </c>
      <c r="I513" s="45">
        <f>G513*MIN(in_takeup_cap,INDEX('Age profile'!$O$2:$O$61,B513)*(1+in_approval_growth)^(D513-1))</f>
        <v/>
      </c>
      <c r="J513" s="40">
        <f>(J512-L512)*F513/F512</f>
        <v/>
      </c>
      <c r="K513" s="40">
        <f>(K512-M512)*F513/F512+SUMIFS(O506:O512,B506:B512,B513-1-d_T)*F513</f>
        <v/>
      </c>
      <c r="L513" s="40">
        <f>IF(B513&gt;=in_marketplace_from,J513*d_hz*G513*in_eligible*H513,0)</f>
        <v/>
      </c>
      <c r="M513" s="40">
        <f>IF(B513&gt;=in_marketplace_from,K513*d_hz*G513*in_eligible*in_approved_repeat,0)</f>
        <v/>
      </c>
      <c r="N513" s="40">
        <f>L513+M513</f>
        <v/>
      </c>
      <c r="O513" s="46">
        <f>N513/F513</f>
        <v/>
      </c>
      <c r="P513" s="40">
        <f>F513-J513-K513</f>
        <v/>
      </c>
      <c r="Q513" s="40">
        <f>IF(B513&gt;=in_marketplace_from,(J513+K513)*d_hz*G513,0)</f>
        <v/>
      </c>
      <c r="R513" s="40">
        <f>SUMIFS(N506:N556,B506:B556,"&gt;="&amp;(B513-d_T),B506:B556,"&lt;="&amp;(B513-1))</f>
        <v/>
      </c>
      <c r="S513" s="46">
        <f>(1-d_u)*S512+IF(d_T&gt;in_topup_lag,SUMIFS(O506:O556,B506:B556,B513-in_topup_lag)-d_udrop*SUMIFS(O506:O556,B506:B556,B513-d_T),0)</f>
        <v/>
      </c>
      <c r="T513" s="40">
        <f>F513*d_u*S513</f>
        <v/>
      </c>
      <c r="U513" s="9">
        <f>L513*in_ticket+M513*d_rep_ticket</f>
        <v/>
      </c>
      <c r="V513" s="9">
        <f>U513+T513*d_topup_amt</f>
        <v/>
      </c>
      <c r="W513" s="40">
        <f>N513+T513*d_topup_ratio</f>
        <v/>
      </c>
      <c r="X513" s="40">
        <f>SUMIFS(W506:W556,B506:B556,B513-in_dpd_lag)*d_cured</f>
        <v/>
      </c>
      <c r="Y513" s="40">
        <f>SUMIFS(W506:W556,B506:B556,B513-in_rec_lag)*d_recd</f>
        <v/>
      </c>
      <c r="Z513" s="40">
        <f>IF(AND(B513&gt;=in_marketplace_from,B513&lt;in_marketplace_from+in_card_months),in_card_share/in_card_months*F513*I513,IF(AND(B513&gt;=in_marketplace_from+in_card_months,B513&lt;in_marketplace_from+2*in_card_months),in_card_share*d_card_rem/in_card_months*F513*MIN(in_takeup_cap,(1+in_takeup_growth)^(D513-1))*MIN(in_takeup_cap,(1+in_approval_growth)^(D513-1)),0))</f>
        <v/>
      </c>
      <c r="AA513" s="14">
        <f>V513*in_fee*(1-in_taken_back)</f>
        <v/>
      </c>
      <c r="AB513" s="14">
        <f>SUMIFS(W506:W556,B506:B556,B513-in_dpd_lag)*d_dpd</f>
        <v/>
      </c>
      <c r="AC513" s="14">
        <f>SUMIFS(W506:W556,B506:B556,B513-in_rec_lag)*d_rec</f>
        <v/>
      </c>
      <c r="AD513" s="14">
        <f>Z513*in_card_fee</f>
        <v/>
      </c>
      <c r="AE513" s="40">
        <f>AE512*(1-IF(B512&gt;=in_marketplace_from,d_hz_hlth_small*G512,0))</f>
        <v/>
      </c>
      <c r="AF513" s="46">
        <f>AE513*IF(B513&gt;=in_marketplace_from,d_hz_hlth_small*G513,0)</f>
        <v/>
      </c>
      <c r="AG513" s="14">
        <f>F513*AF513*in_hlth_small_ticket*in_hlth_small_comm*in_ins_partner_share+F513*in_hlth_small_ticket*in_hlth_small_renew_comm*in_ins_partner_share*(in_hlth_small_renew^1*SUMIFS(AF506:AF556,B506:B556,B513-12)+in_hlth_small_renew^2*SUMIFS(AF506:AF556,B506:B556,B513-24)+in_hlth_small_renew^3*SUMIFS(AF506:AF556,B506:B556,B513-36)+in_hlth_small_renew^4*SUMIFS(AF506:AF556,B506:B556,B513-48))</f>
        <v/>
      </c>
      <c r="AH513" s="40">
        <f>AH512*(1-IF(B512&gt;=in_marketplace_from,d_hz_hlth_family*G512,0))</f>
        <v/>
      </c>
      <c r="AI513" s="46">
        <f>AH513*IF(B513&gt;=in_marketplace_from,d_hz_hlth_family*G513,0)</f>
        <v/>
      </c>
      <c r="AJ513" s="14">
        <f>F513*AI513*in_hlth_family_ticket*in_hlth_family_comm*in_ins_partner_share+F513*in_hlth_family_ticket*in_hlth_family_renew_comm*in_ins_partner_share*(in_hlth_family_renew^1*SUMIFS(AI506:AI556,B506:B556,B513-12)+in_hlth_family_renew^2*SUMIFS(AI506:AI556,B506:B556,B513-24)+in_hlth_family_renew^3*SUMIFS(AI506:AI556,B506:B556,B513-36)+in_hlth_family_renew^4*SUMIFS(AI506:AI556,B506:B556,B513-48))</f>
        <v/>
      </c>
      <c r="AK513" s="40">
        <f>AK512*(1-IF(B512&gt;=in_marketplace_from,d_hz_life_term*G512,0))</f>
        <v/>
      </c>
      <c r="AL513" s="46">
        <f>AK513*IF(B513&gt;=in_marketplace_from,d_hz_life_term*G513,0)</f>
        <v/>
      </c>
      <c r="AM513" s="14">
        <f>F513*AL513*in_life_term_ticket*in_life_term_comm*in_ins_partner_share+F513*in_life_term_ticket*in_life_term_renew_comm*in_ins_partner_share*(in_life_term_renew^1*SUMIFS(AL506:AL556,B506:B556,B513-12)+in_life_term_renew^2*SUMIFS(AL506:AL556,B506:B556,B513-24)+in_life_term_renew^3*SUMIFS(AL506:AL556,B506:B556,B513-36)+in_life_term_renew^4*SUMIFS(AL506:AL556,B506:B556,B513-48))</f>
        <v/>
      </c>
      <c r="AN513" s="40">
        <f>AN512*(1-IF(B512&gt;=in_marketplace_from,d_hz_accident*G512,0))</f>
        <v/>
      </c>
      <c r="AO513" s="46">
        <f>AN513*IF(B513&gt;=in_marketplace_from,d_hz_accident*G513,0)</f>
        <v/>
      </c>
      <c r="AP513" s="14">
        <f>F513*AO513*in_accident_ticket*in_accident_comm*in_ins_partner_share+F513*in_accident_ticket*in_accident_renew_comm*in_ins_partner_share*(in_accident_renew^1*SUMIFS(AO506:AO556,B506:B556,B513-12)+in_accident_renew^2*SUMIFS(AO506:AO556,B506:B556,B513-24)+in_accident_renew^3*SUMIFS(AO506:AO556,B506:B556,B513-36)+in_accident_renew^4*SUMIFS(AO506:AO556,B506:B556,B513-48))</f>
        <v/>
      </c>
      <c r="AQ513" s="40">
        <f>AQ512*(1-IF(B512&gt;=in_marketplace_from,d_hz_two_wheeler*G512,0))</f>
        <v/>
      </c>
      <c r="AR513" s="46">
        <f>AQ513*IF(B513&gt;=in_marketplace_from,d_hz_two_wheeler*G513,0)</f>
        <v/>
      </c>
      <c r="AS513" s="14">
        <f>F513*AR513*in_two_wheeler_ticket*in_two_wheeler_comm*in_ins_partner_share+F513*in_two_wheeler_ticket*in_two_wheeler_comm*in_ins_partner_share*(in_two_wheeler_renew^1*SUMIFS(AR506:AR556,B506:B556,B513-12)+in_two_wheeler_renew^2*SUMIFS(AR506:AR556,B506:B556,B513-24)+in_two_wheeler_renew^3*SUMIFS(AR506:AR556,B506:B556,B513-36)+in_two_wheeler_renew^4*SUMIFS(AR506:AR556,B506:B556,B513-48))</f>
        <v/>
      </c>
      <c r="AT513" s="40">
        <f>AT512*(1-IF(B512&gt;=in_marketplace_from,d_hz_device*G512,0))</f>
        <v/>
      </c>
      <c r="AU513" s="14">
        <f>F513*AT513*IF(B513&gt;=in_marketplace_from,d_hz_device*G513,0)*in_device_ticket*in_device_comm*in_ins_partner_share</f>
        <v/>
      </c>
      <c r="AV513" s="40">
        <f>AV512*(1-IF(B512&gt;=in_marketplace_from,d_hz_shop*G512,0))</f>
        <v/>
      </c>
      <c r="AW513" s="46">
        <f>AV513*IF(B513&gt;=in_marketplace_from,d_hz_shop*G513,0)</f>
        <v/>
      </c>
      <c r="AX513" s="14">
        <f>F513*AW513*in_shop_ticket*in_shop_comm*in_ins_partner_share+F513*in_shop_ticket*in_shop_renew_comm*in_ins_partner_share*(in_shop_renew^1*SUMIFS(AW506:AW556,B506:B556,B513-12)+in_shop_renew^2*SUMIFS(AW506:AW556,B506:B556,B513-24)+in_shop_renew^3*SUMIFS(AW506:AW556,B506:B556,B513-36)+in_shop_renew^4*SUMIFS(AW506:AW556,B506:B556,B513-48))</f>
        <v/>
      </c>
      <c r="AY513" s="40">
        <f>AY512*(1-IF(B512&gt;=in_marketplace_from,d_hz_sip*G512,0))</f>
        <v/>
      </c>
      <c r="AZ513" s="40">
        <f>AZ512*d_rho_sip+AY513*IF(B513&gt;=in_marketplace_from,d_hz_sip*G513,0)</f>
        <v/>
      </c>
      <c r="BA513" s="40">
        <f>d_rho_sip*(BA512+AZ512)</f>
        <v/>
      </c>
      <c r="BB513" s="14">
        <f>F513*in_sip_ticket*(BA513+0.5*AZ513)*in_sip_comm/12</f>
        <v/>
      </c>
      <c r="BC513" s="40">
        <f>BC512*(1-IF(B512&gt;=in_marketplace_from,d_hz_choti*G512,0))</f>
        <v/>
      </c>
      <c r="BD513" s="46">
        <f>BC513*IF(B513&gt;=in_marketplace_from,d_hz_choti*G513,0)</f>
        <v/>
      </c>
      <c r="BE513" s="14">
        <f>F513*SUMIFS(BD506:BD556,B506:B556,B513-in_choti_months)*in_choti_renew*in_choti_ticket</f>
        <v/>
      </c>
      <c r="BF513" s="40">
        <f>BF512*(1-IF(B512&gt;=in_marketplace_from,d_hz_nps*G512,0))</f>
        <v/>
      </c>
      <c r="BG513" s="14">
        <f>F513*BF513*IF(B513&gt;=in_marketplace_from,d_hz_nps*G513,0)*in_nps_ticket*in_nps_comm</f>
        <v/>
      </c>
      <c r="BH513" s="40">
        <f>BH512*(1-IF(B512&gt;=in_marketplace_from,d_hz_gold*G512,0))</f>
        <v/>
      </c>
      <c r="BI513" s="40">
        <f>BI512*d_rho_gold+BH513*IF(B513&gt;=in_marketplace_from,d_hz_gold*G513,0)</f>
        <v/>
      </c>
      <c r="BJ513" s="14">
        <f>F513*BI513*in_gold_ticket*in_gold_comm</f>
        <v/>
      </c>
      <c r="BK513" s="40">
        <f>BK512*(1-IF(B512&gt;=in_marketplace_from,d_hz_fd*G512,0))</f>
        <v/>
      </c>
      <c r="BL513" s="14">
        <f>F513*BK513*IF(B513&gt;=in_marketplace_from,d_hz_fd*G513,0)*in_fd_ticket*in_fd_comm</f>
        <v/>
      </c>
      <c r="BM513" s="40">
        <f>BM512*(1-IF(B512&gt;=in_marketplace_from,d_hz_recharge*G512,0))</f>
        <v/>
      </c>
      <c r="BN513" s="40">
        <f>BN512*d_rho_recharge+BM513*IF(B513&gt;=in_marketplace_from,d_hz_recharge*G513,0)</f>
        <v/>
      </c>
      <c r="BO513" s="14">
        <f>F513*BN513*in_recharge_ticket*in_recharge_comm/12</f>
        <v/>
      </c>
      <c r="BP513" s="40">
        <f>BP512*(1-IF(B512&gt;=in_marketplace_from,d_hz_bills*G512,0))</f>
        <v/>
      </c>
      <c r="BQ513" s="40">
        <f>BQ512*d_rho_bills+BP513*IF(B513&gt;=in_marketplace_from,d_hz_bills*G513,0)</f>
        <v/>
      </c>
      <c r="BR513" s="14">
        <f>F513*BQ513*in_bills_ticket*in_bills_comm/12</f>
        <v/>
      </c>
      <c r="BS513" s="40">
        <f>BS512*(1-IF(B512&gt;=in_marketplace_from,d_hz_loan_gold*G512,0))</f>
        <v/>
      </c>
      <c r="BT513" s="14">
        <f>F513*BS513*IF(B513&gt;=in_marketplace_from,d_hz_loan_gold*G513,0)*in_loan_gold_ticket*in_loan_gold_comm</f>
        <v/>
      </c>
      <c r="BU513" s="40">
        <f>BU512*(1-IF(B512&gt;=in_marketplace_from,d_hz_loan_cd*G512,0))</f>
        <v/>
      </c>
      <c r="BV513" s="14">
        <f>F513*BU513*IF(B513&gt;=in_marketplace_from,d_hz_loan_cd*G513,0)*in_loan_cd_ticket*in_loan_cd_comm</f>
        <v/>
      </c>
      <c r="BW513" s="40">
        <f>BW512*(1-IF(B512&gt;=in_marketplace_from,d_hz_loan_vehicle*G512,0))</f>
        <v/>
      </c>
      <c r="BX513" s="14">
        <f>F513*BW513*IF(B513&gt;=in_marketplace_from,d_hz_loan_vehicle*G513,0)*in_loan_vehicle_ticket*in_loan_vehicle_comm</f>
        <v/>
      </c>
      <c r="BY513" s="40">
        <f>BY512*(1-IF(B512&gt;=in_marketplace_from,d_hz_loan_home*G512,0)*BZ512)</f>
        <v/>
      </c>
      <c r="BZ513" s="11">
        <f>MIN(in_approval_cap,in_loan_home_approval*INDEX('Age profile'!$O$2:$O$61,B513)*(1+in_approval_growth)^(D513-1))</f>
        <v/>
      </c>
      <c r="CA513" s="14">
        <f>F513*BY513*IF(B513&gt;=in_marketplace_from,d_hz_loan_home*G513,0)*BZ513*in_loan_home_ticket*in_loan_home_comm</f>
        <v/>
      </c>
      <c r="CB513" s="40">
        <f>CB512*(1-IF(B512&gt;=in_marketplace_from,d_hz_loan_lap*G512,0)*CC512)</f>
        <v/>
      </c>
      <c r="CC513" s="11">
        <f>MIN(in_approval_cap,in_loan_lap_approval*INDEX('Age profile'!$O$2:$O$61,B513)*(1+in_approval_growth)^(D513-1))</f>
        <v/>
      </c>
      <c r="CD513" s="14">
        <f>F513*CB513*IF(B513&gt;=in_marketplace_from,d_hz_loan_lap*G513,0)*CC513*in_loan_lap_ticket*in_loan_lap_comm</f>
        <v/>
      </c>
      <c r="CE513" s="14">
        <f>AA513+AB513+AC513+AD513+AG513+AJ513+AM513+AP513+AS513+AU513+AX513+BB513+BE513+BG513+BJ513+BL513+BO513+BR513+BT513+BV513+BX513+CA513+CD513</f>
        <v/>
      </c>
    </row>
    <row r="514">
      <c r="A514" s="39" t="n">
        <v>10</v>
      </c>
      <c r="B514" s="39" t="n">
        <v>9</v>
      </c>
      <c r="C514" s="39">
        <f>A514+B514-1</f>
        <v/>
      </c>
      <c r="D514" s="39">
        <f>INT((C514-1)/12)+1</f>
        <v/>
      </c>
      <c r="E514" s="44">
        <f>INDEX(Monthly!$B$2:$B$61,A514)</f>
        <v/>
      </c>
      <c r="F514" s="44">
        <f>E514*INDEX('Age profile'!$B$2:$B$61,B514)</f>
        <v/>
      </c>
      <c r="G514" s="45">
        <f>MIN(in_takeup_cap,INDEX('Age profile'!$N$2:$N$61,B514)*(1+in_takeup_growth)^(D514-1))</f>
        <v/>
      </c>
      <c r="H514" s="11">
        <f>MIN(in_approval_cap,in_approved_first*INDEX('Age profile'!$O$2:$O$61,B514)*(1+in_approval_growth)^(D514-1))</f>
        <v/>
      </c>
      <c r="I514" s="45">
        <f>G514*MIN(in_takeup_cap,INDEX('Age profile'!$O$2:$O$61,B514)*(1+in_approval_growth)^(D514-1))</f>
        <v/>
      </c>
      <c r="J514" s="40">
        <f>(J513-L513)*F514/F513</f>
        <v/>
      </c>
      <c r="K514" s="40">
        <f>(K513-M513)*F514/F513+SUMIFS(O506:O513,B506:B513,B514-1-d_T)*F514</f>
        <v/>
      </c>
      <c r="L514" s="40">
        <f>IF(B514&gt;=in_marketplace_from,J514*d_hz*G514*in_eligible*H514,0)</f>
        <v/>
      </c>
      <c r="M514" s="40">
        <f>IF(B514&gt;=in_marketplace_from,K514*d_hz*G514*in_eligible*in_approved_repeat,0)</f>
        <v/>
      </c>
      <c r="N514" s="40">
        <f>L514+M514</f>
        <v/>
      </c>
      <c r="O514" s="46">
        <f>N514/F514</f>
        <v/>
      </c>
      <c r="P514" s="40">
        <f>F514-J514-K514</f>
        <v/>
      </c>
      <c r="Q514" s="40">
        <f>IF(B514&gt;=in_marketplace_from,(J514+K514)*d_hz*G514,0)</f>
        <v/>
      </c>
      <c r="R514" s="40">
        <f>SUMIFS(N506:N556,B506:B556,"&gt;="&amp;(B514-d_T),B506:B556,"&lt;="&amp;(B514-1))</f>
        <v/>
      </c>
      <c r="S514" s="46">
        <f>(1-d_u)*S513+IF(d_T&gt;in_topup_lag,SUMIFS(O506:O556,B506:B556,B514-in_topup_lag)-d_udrop*SUMIFS(O506:O556,B506:B556,B514-d_T),0)</f>
        <v/>
      </c>
      <c r="T514" s="40">
        <f>F514*d_u*S514</f>
        <v/>
      </c>
      <c r="U514" s="9">
        <f>L514*in_ticket+M514*d_rep_ticket</f>
        <v/>
      </c>
      <c r="V514" s="9">
        <f>U514+T514*d_topup_amt</f>
        <v/>
      </c>
      <c r="W514" s="40">
        <f>N514+T514*d_topup_ratio</f>
        <v/>
      </c>
      <c r="X514" s="40">
        <f>SUMIFS(W506:W556,B506:B556,B514-in_dpd_lag)*d_cured</f>
        <v/>
      </c>
      <c r="Y514" s="40">
        <f>SUMIFS(W506:W556,B506:B556,B514-in_rec_lag)*d_recd</f>
        <v/>
      </c>
      <c r="Z514" s="40">
        <f>IF(AND(B514&gt;=in_marketplace_from,B514&lt;in_marketplace_from+in_card_months),in_card_share/in_card_months*F514*I514,IF(AND(B514&gt;=in_marketplace_from+in_card_months,B514&lt;in_marketplace_from+2*in_card_months),in_card_share*d_card_rem/in_card_months*F514*MIN(in_takeup_cap,(1+in_takeup_growth)^(D514-1))*MIN(in_takeup_cap,(1+in_approval_growth)^(D514-1)),0))</f>
        <v/>
      </c>
      <c r="AA514" s="14">
        <f>V514*in_fee*(1-in_taken_back)</f>
        <v/>
      </c>
      <c r="AB514" s="14">
        <f>SUMIFS(W506:W556,B506:B556,B514-in_dpd_lag)*d_dpd</f>
        <v/>
      </c>
      <c r="AC514" s="14">
        <f>SUMIFS(W506:W556,B506:B556,B514-in_rec_lag)*d_rec</f>
        <v/>
      </c>
      <c r="AD514" s="14">
        <f>Z514*in_card_fee</f>
        <v/>
      </c>
      <c r="AE514" s="40">
        <f>AE513*(1-IF(B513&gt;=in_marketplace_from,d_hz_hlth_small*G513,0))</f>
        <v/>
      </c>
      <c r="AF514" s="46">
        <f>AE514*IF(B514&gt;=in_marketplace_from,d_hz_hlth_small*G514,0)</f>
        <v/>
      </c>
      <c r="AG514" s="14">
        <f>F514*AF514*in_hlth_small_ticket*in_hlth_small_comm*in_ins_partner_share+F514*in_hlth_small_ticket*in_hlth_small_renew_comm*in_ins_partner_share*(in_hlth_small_renew^1*SUMIFS(AF506:AF556,B506:B556,B514-12)+in_hlth_small_renew^2*SUMIFS(AF506:AF556,B506:B556,B514-24)+in_hlth_small_renew^3*SUMIFS(AF506:AF556,B506:B556,B514-36)+in_hlth_small_renew^4*SUMIFS(AF506:AF556,B506:B556,B514-48))</f>
        <v/>
      </c>
      <c r="AH514" s="40">
        <f>AH513*(1-IF(B513&gt;=in_marketplace_from,d_hz_hlth_family*G513,0))</f>
        <v/>
      </c>
      <c r="AI514" s="46">
        <f>AH514*IF(B514&gt;=in_marketplace_from,d_hz_hlth_family*G514,0)</f>
        <v/>
      </c>
      <c r="AJ514" s="14">
        <f>F514*AI514*in_hlth_family_ticket*in_hlth_family_comm*in_ins_partner_share+F514*in_hlth_family_ticket*in_hlth_family_renew_comm*in_ins_partner_share*(in_hlth_family_renew^1*SUMIFS(AI506:AI556,B506:B556,B514-12)+in_hlth_family_renew^2*SUMIFS(AI506:AI556,B506:B556,B514-24)+in_hlth_family_renew^3*SUMIFS(AI506:AI556,B506:B556,B514-36)+in_hlth_family_renew^4*SUMIFS(AI506:AI556,B506:B556,B514-48))</f>
        <v/>
      </c>
      <c r="AK514" s="40">
        <f>AK513*(1-IF(B513&gt;=in_marketplace_from,d_hz_life_term*G513,0))</f>
        <v/>
      </c>
      <c r="AL514" s="46">
        <f>AK514*IF(B514&gt;=in_marketplace_from,d_hz_life_term*G514,0)</f>
        <v/>
      </c>
      <c r="AM514" s="14">
        <f>F514*AL514*in_life_term_ticket*in_life_term_comm*in_ins_partner_share+F514*in_life_term_ticket*in_life_term_renew_comm*in_ins_partner_share*(in_life_term_renew^1*SUMIFS(AL506:AL556,B506:B556,B514-12)+in_life_term_renew^2*SUMIFS(AL506:AL556,B506:B556,B514-24)+in_life_term_renew^3*SUMIFS(AL506:AL556,B506:B556,B514-36)+in_life_term_renew^4*SUMIFS(AL506:AL556,B506:B556,B514-48))</f>
        <v/>
      </c>
      <c r="AN514" s="40">
        <f>AN513*(1-IF(B513&gt;=in_marketplace_from,d_hz_accident*G513,0))</f>
        <v/>
      </c>
      <c r="AO514" s="46">
        <f>AN514*IF(B514&gt;=in_marketplace_from,d_hz_accident*G514,0)</f>
        <v/>
      </c>
      <c r="AP514" s="14">
        <f>F514*AO514*in_accident_ticket*in_accident_comm*in_ins_partner_share+F514*in_accident_ticket*in_accident_renew_comm*in_ins_partner_share*(in_accident_renew^1*SUMIFS(AO506:AO556,B506:B556,B514-12)+in_accident_renew^2*SUMIFS(AO506:AO556,B506:B556,B514-24)+in_accident_renew^3*SUMIFS(AO506:AO556,B506:B556,B514-36)+in_accident_renew^4*SUMIFS(AO506:AO556,B506:B556,B514-48))</f>
        <v/>
      </c>
      <c r="AQ514" s="40">
        <f>AQ513*(1-IF(B513&gt;=in_marketplace_from,d_hz_two_wheeler*G513,0))</f>
        <v/>
      </c>
      <c r="AR514" s="46">
        <f>AQ514*IF(B514&gt;=in_marketplace_from,d_hz_two_wheeler*G514,0)</f>
        <v/>
      </c>
      <c r="AS514" s="14">
        <f>F514*AR514*in_two_wheeler_ticket*in_two_wheeler_comm*in_ins_partner_share+F514*in_two_wheeler_ticket*in_two_wheeler_comm*in_ins_partner_share*(in_two_wheeler_renew^1*SUMIFS(AR506:AR556,B506:B556,B514-12)+in_two_wheeler_renew^2*SUMIFS(AR506:AR556,B506:B556,B514-24)+in_two_wheeler_renew^3*SUMIFS(AR506:AR556,B506:B556,B514-36)+in_two_wheeler_renew^4*SUMIFS(AR506:AR556,B506:B556,B514-48))</f>
        <v/>
      </c>
      <c r="AT514" s="40">
        <f>AT513*(1-IF(B513&gt;=in_marketplace_from,d_hz_device*G513,0))</f>
        <v/>
      </c>
      <c r="AU514" s="14">
        <f>F514*AT514*IF(B514&gt;=in_marketplace_from,d_hz_device*G514,0)*in_device_ticket*in_device_comm*in_ins_partner_share</f>
        <v/>
      </c>
      <c r="AV514" s="40">
        <f>AV513*(1-IF(B513&gt;=in_marketplace_from,d_hz_shop*G513,0))</f>
        <v/>
      </c>
      <c r="AW514" s="46">
        <f>AV514*IF(B514&gt;=in_marketplace_from,d_hz_shop*G514,0)</f>
        <v/>
      </c>
      <c r="AX514" s="14">
        <f>F514*AW514*in_shop_ticket*in_shop_comm*in_ins_partner_share+F514*in_shop_ticket*in_shop_renew_comm*in_ins_partner_share*(in_shop_renew^1*SUMIFS(AW506:AW556,B506:B556,B514-12)+in_shop_renew^2*SUMIFS(AW506:AW556,B506:B556,B514-24)+in_shop_renew^3*SUMIFS(AW506:AW556,B506:B556,B514-36)+in_shop_renew^4*SUMIFS(AW506:AW556,B506:B556,B514-48))</f>
        <v/>
      </c>
      <c r="AY514" s="40">
        <f>AY513*(1-IF(B513&gt;=in_marketplace_from,d_hz_sip*G513,0))</f>
        <v/>
      </c>
      <c r="AZ514" s="40">
        <f>AZ513*d_rho_sip+AY514*IF(B514&gt;=in_marketplace_from,d_hz_sip*G514,0)</f>
        <v/>
      </c>
      <c r="BA514" s="40">
        <f>d_rho_sip*(BA513+AZ513)</f>
        <v/>
      </c>
      <c r="BB514" s="14">
        <f>F514*in_sip_ticket*(BA514+0.5*AZ514)*in_sip_comm/12</f>
        <v/>
      </c>
      <c r="BC514" s="40">
        <f>BC513*(1-IF(B513&gt;=in_marketplace_from,d_hz_choti*G513,0))</f>
        <v/>
      </c>
      <c r="BD514" s="46">
        <f>BC514*IF(B514&gt;=in_marketplace_from,d_hz_choti*G514,0)</f>
        <v/>
      </c>
      <c r="BE514" s="14">
        <f>F514*SUMIFS(BD506:BD556,B506:B556,B514-in_choti_months)*in_choti_renew*in_choti_ticket</f>
        <v/>
      </c>
      <c r="BF514" s="40">
        <f>BF513*(1-IF(B513&gt;=in_marketplace_from,d_hz_nps*G513,0))</f>
        <v/>
      </c>
      <c r="BG514" s="14">
        <f>F514*BF514*IF(B514&gt;=in_marketplace_from,d_hz_nps*G514,0)*in_nps_ticket*in_nps_comm</f>
        <v/>
      </c>
      <c r="BH514" s="40">
        <f>BH513*(1-IF(B513&gt;=in_marketplace_from,d_hz_gold*G513,0))</f>
        <v/>
      </c>
      <c r="BI514" s="40">
        <f>BI513*d_rho_gold+BH514*IF(B514&gt;=in_marketplace_from,d_hz_gold*G514,0)</f>
        <v/>
      </c>
      <c r="BJ514" s="14">
        <f>F514*BI514*in_gold_ticket*in_gold_comm</f>
        <v/>
      </c>
      <c r="BK514" s="40">
        <f>BK513*(1-IF(B513&gt;=in_marketplace_from,d_hz_fd*G513,0))</f>
        <v/>
      </c>
      <c r="BL514" s="14">
        <f>F514*BK514*IF(B514&gt;=in_marketplace_from,d_hz_fd*G514,0)*in_fd_ticket*in_fd_comm</f>
        <v/>
      </c>
      <c r="BM514" s="40">
        <f>BM513*(1-IF(B513&gt;=in_marketplace_from,d_hz_recharge*G513,0))</f>
        <v/>
      </c>
      <c r="BN514" s="40">
        <f>BN513*d_rho_recharge+BM514*IF(B514&gt;=in_marketplace_from,d_hz_recharge*G514,0)</f>
        <v/>
      </c>
      <c r="BO514" s="14">
        <f>F514*BN514*in_recharge_ticket*in_recharge_comm/12</f>
        <v/>
      </c>
      <c r="BP514" s="40">
        <f>BP513*(1-IF(B513&gt;=in_marketplace_from,d_hz_bills*G513,0))</f>
        <v/>
      </c>
      <c r="BQ514" s="40">
        <f>BQ513*d_rho_bills+BP514*IF(B514&gt;=in_marketplace_from,d_hz_bills*G514,0)</f>
        <v/>
      </c>
      <c r="BR514" s="14">
        <f>F514*BQ514*in_bills_ticket*in_bills_comm/12</f>
        <v/>
      </c>
      <c r="BS514" s="40">
        <f>BS513*(1-IF(B513&gt;=in_marketplace_from,d_hz_loan_gold*G513,0))</f>
        <v/>
      </c>
      <c r="BT514" s="14">
        <f>F514*BS514*IF(B514&gt;=in_marketplace_from,d_hz_loan_gold*G514,0)*in_loan_gold_ticket*in_loan_gold_comm</f>
        <v/>
      </c>
      <c r="BU514" s="40">
        <f>BU513*(1-IF(B513&gt;=in_marketplace_from,d_hz_loan_cd*G513,0))</f>
        <v/>
      </c>
      <c r="BV514" s="14">
        <f>F514*BU514*IF(B514&gt;=in_marketplace_from,d_hz_loan_cd*G514,0)*in_loan_cd_ticket*in_loan_cd_comm</f>
        <v/>
      </c>
      <c r="BW514" s="40">
        <f>BW513*(1-IF(B513&gt;=in_marketplace_from,d_hz_loan_vehicle*G513,0))</f>
        <v/>
      </c>
      <c r="BX514" s="14">
        <f>F514*BW514*IF(B514&gt;=in_marketplace_from,d_hz_loan_vehicle*G514,0)*in_loan_vehicle_ticket*in_loan_vehicle_comm</f>
        <v/>
      </c>
      <c r="BY514" s="40">
        <f>BY513*(1-IF(B513&gt;=in_marketplace_from,d_hz_loan_home*G513,0)*BZ513)</f>
        <v/>
      </c>
      <c r="BZ514" s="11">
        <f>MIN(in_approval_cap,in_loan_home_approval*INDEX('Age profile'!$O$2:$O$61,B514)*(1+in_approval_growth)^(D514-1))</f>
        <v/>
      </c>
      <c r="CA514" s="14">
        <f>F514*BY514*IF(B514&gt;=in_marketplace_from,d_hz_loan_home*G514,0)*BZ514*in_loan_home_ticket*in_loan_home_comm</f>
        <v/>
      </c>
      <c r="CB514" s="40">
        <f>CB513*(1-IF(B513&gt;=in_marketplace_from,d_hz_loan_lap*G513,0)*CC513)</f>
        <v/>
      </c>
      <c r="CC514" s="11">
        <f>MIN(in_approval_cap,in_loan_lap_approval*INDEX('Age profile'!$O$2:$O$61,B514)*(1+in_approval_growth)^(D514-1))</f>
        <v/>
      </c>
      <c r="CD514" s="14">
        <f>F514*CB514*IF(B514&gt;=in_marketplace_from,d_hz_loan_lap*G514,0)*CC514*in_loan_lap_ticket*in_loan_lap_comm</f>
        <v/>
      </c>
      <c r="CE514" s="14">
        <f>AA514+AB514+AC514+AD514+AG514+AJ514+AM514+AP514+AS514+AU514+AX514+BB514+BE514+BG514+BJ514+BL514+BO514+BR514+BT514+BV514+BX514+CA514+CD514</f>
        <v/>
      </c>
    </row>
    <row r="515">
      <c r="A515" s="39" t="n">
        <v>10</v>
      </c>
      <c r="B515" s="39" t="n">
        <v>10</v>
      </c>
      <c r="C515" s="39">
        <f>A515+B515-1</f>
        <v/>
      </c>
      <c r="D515" s="39">
        <f>INT((C515-1)/12)+1</f>
        <v/>
      </c>
      <c r="E515" s="44">
        <f>INDEX(Monthly!$B$2:$B$61,A515)</f>
        <v/>
      </c>
      <c r="F515" s="44">
        <f>E515*INDEX('Age profile'!$B$2:$B$61,B515)</f>
        <v/>
      </c>
      <c r="G515" s="45">
        <f>MIN(in_takeup_cap,INDEX('Age profile'!$N$2:$N$61,B515)*(1+in_takeup_growth)^(D515-1))</f>
        <v/>
      </c>
      <c r="H515" s="11">
        <f>MIN(in_approval_cap,in_approved_first*INDEX('Age profile'!$O$2:$O$61,B515)*(1+in_approval_growth)^(D515-1))</f>
        <v/>
      </c>
      <c r="I515" s="45">
        <f>G515*MIN(in_takeup_cap,INDEX('Age profile'!$O$2:$O$61,B515)*(1+in_approval_growth)^(D515-1))</f>
        <v/>
      </c>
      <c r="J515" s="40">
        <f>(J514-L514)*F515/F514</f>
        <v/>
      </c>
      <c r="K515" s="40">
        <f>(K514-M514)*F515/F514+SUMIFS(O506:O514,B506:B514,B515-1-d_T)*F515</f>
        <v/>
      </c>
      <c r="L515" s="40">
        <f>IF(B515&gt;=in_marketplace_from,J515*d_hz*G515*in_eligible*H515,0)</f>
        <v/>
      </c>
      <c r="M515" s="40">
        <f>IF(B515&gt;=in_marketplace_from,K515*d_hz*G515*in_eligible*in_approved_repeat,0)</f>
        <v/>
      </c>
      <c r="N515" s="40">
        <f>L515+M515</f>
        <v/>
      </c>
      <c r="O515" s="46">
        <f>N515/F515</f>
        <v/>
      </c>
      <c r="P515" s="40">
        <f>F515-J515-K515</f>
        <v/>
      </c>
      <c r="Q515" s="40">
        <f>IF(B515&gt;=in_marketplace_from,(J515+K515)*d_hz*G515,0)</f>
        <v/>
      </c>
      <c r="R515" s="40">
        <f>SUMIFS(N506:N556,B506:B556,"&gt;="&amp;(B515-d_T),B506:B556,"&lt;="&amp;(B515-1))</f>
        <v/>
      </c>
      <c r="S515" s="46">
        <f>(1-d_u)*S514+IF(d_T&gt;in_topup_lag,SUMIFS(O506:O556,B506:B556,B515-in_topup_lag)-d_udrop*SUMIFS(O506:O556,B506:B556,B515-d_T),0)</f>
        <v/>
      </c>
      <c r="T515" s="40">
        <f>F515*d_u*S515</f>
        <v/>
      </c>
      <c r="U515" s="9">
        <f>L515*in_ticket+M515*d_rep_ticket</f>
        <v/>
      </c>
      <c r="V515" s="9">
        <f>U515+T515*d_topup_amt</f>
        <v/>
      </c>
      <c r="W515" s="40">
        <f>N515+T515*d_topup_ratio</f>
        <v/>
      </c>
      <c r="X515" s="40">
        <f>SUMIFS(W506:W556,B506:B556,B515-in_dpd_lag)*d_cured</f>
        <v/>
      </c>
      <c r="Y515" s="40">
        <f>SUMIFS(W506:W556,B506:B556,B515-in_rec_lag)*d_recd</f>
        <v/>
      </c>
      <c r="Z515" s="40">
        <f>IF(AND(B515&gt;=in_marketplace_from,B515&lt;in_marketplace_from+in_card_months),in_card_share/in_card_months*F515*I515,IF(AND(B515&gt;=in_marketplace_from+in_card_months,B515&lt;in_marketplace_from+2*in_card_months),in_card_share*d_card_rem/in_card_months*F515*MIN(in_takeup_cap,(1+in_takeup_growth)^(D515-1))*MIN(in_takeup_cap,(1+in_approval_growth)^(D515-1)),0))</f>
        <v/>
      </c>
      <c r="AA515" s="14">
        <f>V515*in_fee*(1-in_taken_back)</f>
        <v/>
      </c>
      <c r="AB515" s="14">
        <f>SUMIFS(W506:W556,B506:B556,B515-in_dpd_lag)*d_dpd</f>
        <v/>
      </c>
      <c r="AC515" s="14">
        <f>SUMIFS(W506:W556,B506:B556,B515-in_rec_lag)*d_rec</f>
        <v/>
      </c>
      <c r="AD515" s="14">
        <f>Z515*in_card_fee</f>
        <v/>
      </c>
      <c r="AE515" s="40">
        <f>AE514*(1-IF(B514&gt;=in_marketplace_from,d_hz_hlth_small*G514,0))</f>
        <v/>
      </c>
      <c r="AF515" s="46">
        <f>AE515*IF(B515&gt;=in_marketplace_from,d_hz_hlth_small*G515,0)</f>
        <v/>
      </c>
      <c r="AG515" s="14">
        <f>F515*AF515*in_hlth_small_ticket*in_hlth_small_comm*in_ins_partner_share+F515*in_hlth_small_ticket*in_hlth_small_renew_comm*in_ins_partner_share*(in_hlth_small_renew^1*SUMIFS(AF506:AF556,B506:B556,B515-12)+in_hlth_small_renew^2*SUMIFS(AF506:AF556,B506:B556,B515-24)+in_hlth_small_renew^3*SUMIFS(AF506:AF556,B506:B556,B515-36)+in_hlth_small_renew^4*SUMIFS(AF506:AF556,B506:B556,B515-48))</f>
        <v/>
      </c>
      <c r="AH515" s="40">
        <f>AH514*(1-IF(B514&gt;=in_marketplace_from,d_hz_hlth_family*G514,0))</f>
        <v/>
      </c>
      <c r="AI515" s="46">
        <f>AH515*IF(B515&gt;=in_marketplace_from,d_hz_hlth_family*G515,0)</f>
        <v/>
      </c>
      <c r="AJ515" s="14">
        <f>F515*AI515*in_hlth_family_ticket*in_hlth_family_comm*in_ins_partner_share+F515*in_hlth_family_ticket*in_hlth_family_renew_comm*in_ins_partner_share*(in_hlth_family_renew^1*SUMIFS(AI506:AI556,B506:B556,B515-12)+in_hlth_family_renew^2*SUMIFS(AI506:AI556,B506:B556,B515-24)+in_hlth_family_renew^3*SUMIFS(AI506:AI556,B506:B556,B515-36)+in_hlth_family_renew^4*SUMIFS(AI506:AI556,B506:B556,B515-48))</f>
        <v/>
      </c>
      <c r="AK515" s="40">
        <f>AK514*(1-IF(B514&gt;=in_marketplace_from,d_hz_life_term*G514,0))</f>
        <v/>
      </c>
      <c r="AL515" s="46">
        <f>AK515*IF(B515&gt;=in_marketplace_from,d_hz_life_term*G515,0)</f>
        <v/>
      </c>
      <c r="AM515" s="14">
        <f>F515*AL515*in_life_term_ticket*in_life_term_comm*in_ins_partner_share+F515*in_life_term_ticket*in_life_term_renew_comm*in_ins_partner_share*(in_life_term_renew^1*SUMIFS(AL506:AL556,B506:B556,B515-12)+in_life_term_renew^2*SUMIFS(AL506:AL556,B506:B556,B515-24)+in_life_term_renew^3*SUMIFS(AL506:AL556,B506:B556,B515-36)+in_life_term_renew^4*SUMIFS(AL506:AL556,B506:B556,B515-48))</f>
        <v/>
      </c>
      <c r="AN515" s="40">
        <f>AN514*(1-IF(B514&gt;=in_marketplace_from,d_hz_accident*G514,0))</f>
        <v/>
      </c>
      <c r="AO515" s="46">
        <f>AN515*IF(B515&gt;=in_marketplace_from,d_hz_accident*G515,0)</f>
        <v/>
      </c>
      <c r="AP515" s="14">
        <f>F515*AO515*in_accident_ticket*in_accident_comm*in_ins_partner_share+F515*in_accident_ticket*in_accident_renew_comm*in_ins_partner_share*(in_accident_renew^1*SUMIFS(AO506:AO556,B506:B556,B515-12)+in_accident_renew^2*SUMIFS(AO506:AO556,B506:B556,B515-24)+in_accident_renew^3*SUMIFS(AO506:AO556,B506:B556,B515-36)+in_accident_renew^4*SUMIFS(AO506:AO556,B506:B556,B515-48))</f>
        <v/>
      </c>
      <c r="AQ515" s="40">
        <f>AQ514*(1-IF(B514&gt;=in_marketplace_from,d_hz_two_wheeler*G514,0))</f>
        <v/>
      </c>
      <c r="AR515" s="46">
        <f>AQ515*IF(B515&gt;=in_marketplace_from,d_hz_two_wheeler*G515,0)</f>
        <v/>
      </c>
      <c r="AS515" s="14">
        <f>F515*AR515*in_two_wheeler_ticket*in_two_wheeler_comm*in_ins_partner_share+F515*in_two_wheeler_ticket*in_two_wheeler_comm*in_ins_partner_share*(in_two_wheeler_renew^1*SUMIFS(AR506:AR556,B506:B556,B515-12)+in_two_wheeler_renew^2*SUMIFS(AR506:AR556,B506:B556,B515-24)+in_two_wheeler_renew^3*SUMIFS(AR506:AR556,B506:B556,B515-36)+in_two_wheeler_renew^4*SUMIFS(AR506:AR556,B506:B556,B515-48))</f>
        <v/>
      </c>
      <c r="AT515" s="40">
        <f>AT514*(1-IF(B514&gt;=in_marketplace_from,d_hz_device*G514,0))</f>
        <v/>
      </c>
      <c r="AU515" s="14">
        <f>F515*AT515*IF(B515&gt;=in_marketplace_from,d_hz_device*G515,0)*in_device_ticket*in_device_comm*in_ins_partner_share</f>
        <v/>
      </c>
      <c r="AV515" s="40">
        <f>AV514*(1-IF(B514&gt;=in_marketplace_from,d_hz_shop*G514,0))</f>
        <v/>
      </c>
      <c r="AW515" s="46">
        <f>AV515*IF(B515&gt;=in_marketplace_from,d_hz_shop*G515,0)</f>
        <v/>
      </c>
      <c r="AX515" s="14">
        <f>F515*AW515*in_shop_ticket*in_shop_comm*in_ins_partner_share+F515*in_shop_ticket*in_shop_renew_comm*in_ins_partner_share*(in_shop_renew^1*SUMIFS(AW506:AW556,B506:B556,B515-12)+in_shop_renew^2*SUMIFS(AW506:AW556,B506:B556,B515-24)+in_shop_renew^3*SUMIFS(AW506:AW556,B506:B556,B515-36)+in_shop_renew^4*SUMIFS(AW506:AW556,B506:B556,B515-48))</f>
        <v/>
      </c>
      <c r="AY515" s="40">
        <f>AY514*(1-IF(B514&gt;=in_marketplace_from,d_hz_sip*G514,0))</f>
        <v/>
      </c>
      <c r="AZ515" s="40">
        <f>AZ514*d_rho_sip+AY515*IF(B515&gt;=in_marketplace_from,d_hz_sip*G515,0)</f>
        <v/>
      </c>
      <c r="BA515" s="40">
        <f>d_rho_sip*(BA514+AZ514)</f>
        <v/>
      </c>
      <c r="BB515" s="14">
        <f>F515*in_sip_ticket*(BA515+0.5*AZ515)*in_sip_comm/12</f>
        <v/>
      </c>
      <c r="BC515" s="40">
        <f>BC514*(1-IF(B514&gt;=in_marketplace_from,d_hz_choti*G514,0))</f>
        <v/>
      </c>
      <c r="BD515" s="46">
        <f>BC515*IF(B515&gt;=in_marketplace_from,d_hz_choti*G515,0)</f>
        <v/>
      </c>
      <c r="BE515" s="14">
        <f>F515*SUMIFS(BD506:BD556,B506:B556,B515-in_choti_months)*in_choti_renew*in_choti_ticket</f>
        <v/>
      </c>
      <c r="BF515" s="40">
        <f>BF514*(1-IF(B514&gt;=in_marketplace_from,d_hz_nps*G514,0))</f>
        <v/>
      </c>
      <c r="BG515" s="14">
        <f>F515*BF515*IF(B515&gt;=in_marketplace_from,d_hz_nps*G515,0)*in_nps_ticket*in_nps_comm</f>
        <v/>
      </c>
      <c r="BH515" s="40">
        <f>BH514*(1-IF(B514&gt;=in_marketplace_from,d_hz_gold*G514,0))</f>
        <v/>
      </c>
      <c r="BI515" s="40">
        <f>BI514*d_rho_gold+BH515*IF(B515&gt;=in_marketplace_from,d_hz_gold*G515,0)</f>
        <v/>
      </c>
      <c r="BJ515" s="14">
        <f>F515*BI515*in_gold_ticket*in_gold_comm</f>
        <v/>
      </c>
      <c r="BK515" s="40">
        <f>BK514*(1-IF(B514&gt;=in_marketplace_from,d_hz_fd*G514,0))</f>
        <v/>
      </c>
      <c r="BL515" s="14">
        <f>F515*BK515*IF(B515&gt;=in_marketplace_from,d_hz_fd*G515,0)*in_fd_ticket*in_fd_comm</f>
        <v/>
      </c>
      <c r="BM515" s="40">
        <f>BM514*(1-IF(B514&gt;=in_marketplace_from,d_hz_recharge*G514,0))</f>
        <v/>
      </c>
      <c r="BN515" s="40">
        <f>BN514*d_rho_recharge+BM515*IF(B515&gt;=in_marketplace_from,d_hz_recharge*G515,0)</f>
        <v/>
      </c>
      <c r="BO515" s="14">
        <f>F515*BN515*in_recharge_ticket*in_recharge_comm/12</f>
        <v/>
      </c>
      <c r="BP515" s="40">
        <f>BP514*(1-IF(B514&gt;=in_marketplace_from,d_hz_bills*G514,0))</f>
        <v/>
      </c>
      <c r="BQ515" s="40">
        <f>BQ514*d_rho_bills+BP515*IF(B515&gt;=in_marketplace_from,d_hz_bills*G515,0)</f>
        <v/>
      </c>
      <c r="BR515" s="14">
        <f>F515*BQ515*in_bills_ticket*in_bills_comm/12</f>
        <v/>
      </c>
      <c r="BS515" s="40">
        <f>BS514*(1-IF(B514&gt;=in_marketplace_from,d_hz_loan_gold*G514,0))</f>
        <v/>
      </c>
      <c r="BT515" s="14">
        <f>F515*BS515*IF(B515&gt;=in_marketplace_from,d_hz_loan_gold*G515,0)*in_loan_gold_ticket*in_loan_gold_comm</f>
        <v/>
      </c>
      <c r="BU515" s="40">
        <f>BU514*(1-IF(B514&gt;=in_marketplace_from,d_hz_loan_cd*G514,0))</f>
        <v/>
      </c>
      <c r="BV515" s="14">
        <f>F515*BU515*IF(B515&gt;=in_marketplace_from,d_hz_loan_cd*G515,0)*in_loan_cd_ticket*in_loan_cd_comm</f>
        <v/>
      </c>
      <c r="BW515" s="40">
        <f>BW514*(1-IF(B514&gt;=in_marketplace_from,d_hz_loan_vehicle*G514,0))</f>
        <v/>
      </c>
      <c r="BX515" s="14">
        <f>F515*BW515*IF(B515&gt;=in_marketplace_from,d_hz_loan_vehicle*G515,0)*in_loan_vehicle_ticket*in_loan_vehicle_comm</f>
        <v/>
      </c>
      <c r="BY515" s="40">
        <f>BY514*(1-IF(B514&gt;=in_marketplace_from,d_hz_loan_home*G514,0)*BZ514)</f>
        <v/>
      </c>
      <c r="BZ515" s="11">
        <f>MIN(in_approval_cap,in_loan_home_approval*INDEX('Age profile'!$O$2:$O$61,B515)*(1+in_approval_growth)^(D515-1))</f>
        <v/>
      </c>
      <c r="CA515" s="14">
        <f>F515*BY515*IF(B515&gt;=in_marketplace_from,d_hz_loan_home*G515,0)*BZ515*in_loan_home_ticket*in_loan_home_comm</f>
        <v/>
      </c>
      <c r="CB515" s="40">
        <f>CB514*(1-IF(B514&gt;=in_marketplace_from,d_hz_loan_lap*G514,0)*CC514)</f>
        <v/>
      </c>
      <c r="CC515" s="11">
        <f>MIN(in_approval_cap,in_loan_lap_approval*INDEX('Age profile'!$O$2:$O$61,B515)*(1+in_approval_growth)^(D515-1))</f>
        <v/>
      </c>
      <c r="CD515" s="14">
        <f>F515*CB515*IF(B515&gt;=in_marketplace_from,d_hz_loan_lap*G515,0)*CC515*in_loan_lap_ticket*in_loan_lap_comm</f>
        <v/>
      </c>
      <c r="CE515" s="14">
        <f>AA515+AB515+AC515+AD515+AG515+AJ515+AM515+AP515+AS515+AU515+AX515+BB515+BE515+BG515+BJ515+BL515+BO515+BR515+BT515+BV515+BX515+CA515+CD515</f>
        <v/>
      </c>
    </row>
    <row r="516">
      <c r="A516" s="39" t="n">
        <v>10</v>
      </c>
      <c r="B516" s="39" t="n">
        <v>11</v>
      </c>
      <c r="C516" s="39">
        <f>A516+B516-1</f>
        <v/>
      </c>
      <c r="D516" s="39">
        <f>INT((C516-1)/12)+1</f>
        <v/>
      </c>
      <c r="E516" s="44">
        <f>INDEX(Monthly!$B$2:$B$61,A516)</f>
        <v/>
      </c>
      <c r="F516" s="44">
        <f>E516*INDEX('Age profile'!$B$2:$B$61,B516)</f>
        <v/>
      </c>
      <c r="G516" s="45">
        <f>MIN(in_takeup_cap,INDEX('Age profile'!$N$2:$N$61,B516)*(1+in_takeup_growth)^(D516-1))</f>
        <v/>
      </c>
      <c r="H516" s="11">
        <f>MIN(in_approval_cap,in_approved_first*INDEX('Age profile'!$O$2:$O$61,B516)*(1+in_approval_growth)^(D516-1))</f>
        <v/>
      </c>
      <c r="I516" s="45">
        <f>G516*MIN(in_takeup_cap,INDEX('Age profile'!$O$2:$O$61,B516)*(1+in_approval_growth)^(D516-1))</f>
        <v/>
      </c>
      <c r="J516" s="40">
        <f>(J515-L515)*F516/F515</f>
        <v/>
      </c>
      <c r="K516" s="40">
        <f>(K515-M515)*F516/F515+SUMIFS(O506:O515,B506:B515,B516-1-d_T)*F516</f>
        <v/>
      </c>
      <c r="L516" s="40">
        <f>IF(B516&gt;=in_marketplace_from,J516*d_hz*G516*in_eligible*H516,0)</f>
        <v/>
      </c>
      <c r="M516" s="40">
        <f>IF(B516&gt;=in_marketplace_from,K516*d_hz*G516*in_eligible*in_approved_repeat,0)</f>
        <v/>
      </c>
      <c r="N516" s="40">
        <f>L516+M516</f>
        <v/>
      </c>
      <c r="O516" s="46">
        <f>N516/F516</f>
        <v/>
      </c>
      <c r="P516" s="40">
        <f>F516-J516-K516</f>
        <v/>
      </c>
      <c r="Q516" s="40">
        <f>IF(B516&gt;=in_marketplace_from,(J516+K516)*d_hz*G516,0)</f>
        <v/>
      </c>
      <c r="R516" s="40">
        <f>SUMIFS(N506:N556,B506:B556,"&gt;="&amp;(B516-d_T),B506:B556,"&lt;="&amp;(B516-1))</f>
        <v/>
      </c>
      <c r="S516" s="46">
        <f>(1-d_u)*S515+IF(d_T&gt;in_topup_lag,SUMIFS(O506:O556,B506:B556,B516-in_topup_lag)-d_udrop*SUMIFS(O506:O556,B506:B556,B516-d_T),0)</f>
        <v/>
      </c>
      <c r="T516" s="40">
        <f>F516*d_u*S516</f>
        <v/>
      </c>
      <c r="U516" s="9">
        <f>L516*in_ticket+M516*d_rep_ticket</f>
        <v/>
      </c>
      <c r="V516" s="9">
        <f>U516+T516*d_topup_amt</f>
        <v/>
      </c>
      <c r="W516" s="40">
        <f>N516+T516*d_topup_ratio</f>
        <v/>
      </c>
      <c r="X516" s="40">
        <f>SUMIFS(W506:W556,B506:B556,B516-in_dpd_lag)*d_cured</f>
        <v/>
      </c>
      <c r="Y516" s="40">
        <f>SUMIFS(W506:W556,B506:B556,B516-in_rec_lag)*d_recd</f>
        <v/>
      </c>
      <c r="Z516" s="40">
        <f>IF(AND(B516&gt;=in_marketplace_from,B516&lt;in_marketplace_from+in_card_months),in_card_share/in_card_months*F516*I516,IF(AND(B516&gt;=in_marketplace_from+in_card_months,B516&lt;in_marketplace_from+2*in_card_months),in_card_share*d_card_rem/in_card_months*F516*MIN(in_takeup_cap,(1+in_takeup_growth)^(D516-1))*MIN(in_takeup_cap,(1+in_approval_growth)^(D516-1)),0))</f>
        <v/>
      </c>
      <c r="AA516" s="14">
        <f>V516*in_fee*(1-in_taken_back)</f>
        <v/>
      </c>
      <c r="AB516" s="14">
        <f>SUMIFS(W506:W556,B506:B556,B516-in_dpd_lag)*d_dpd</f>
        <v/>
      </c>
      <c r="AC516" s="14">
        <f>SUMIFS(W506:W556,B506:B556,B516-in_rec_lag)*d_rec</f>
        <v/>
      </c>
      <c r="AD516" s="14">
        <f>Z516*in_card_fee</f>
        <v/>
      </c>
      <c r="AE516" s="40">
        <f>AE515*(1-IF(B515&gt;=in_marketplace_from,d_hz_hlth_small*G515,0))</f>
        <v/>
      </c>
      <c r="AF516" s="46">
        <f>AE516*IF(B516&gt;=in_marketplace_from,d_hz_hlth_small*G516,0)</f>
        <v/>
      </c>
      <c r="AG516" s="14">
        <f>F516*AF516*in_hlth_small_ticket*in_hlth_small_comm*in_ins_partner_share+F516*in_hlth_small_ticket*in_hlth_small_renew_comm*in_ins_partner_share*(in_hlth_small_renew^1*SUMIFS(AF506:AF556,B506:B556,B516-12)+in_hlth_small_renew^2*SUMIFS(AF506:AF556,B506:B556,B516-24)+in_hlth_small_renew^3*SUMIFS(AF506:AF556,B506:B556,B516-36)+in_hlth_small_renew^4*SUMIFS(AF506:AF556,B506:B556,B516-48))</f>
        <v/>
      </c>
      <c r="AH516" s="40">
        <f>AH515*(1-IF(B515&gt;=in_marketplace_from,d_hz_hlth_family*G515,0))</f>
        <v/>
      </c>
      <c r="AI516" s="46">
        <f>AH516*IF(B516&gt;=in_marketplace_from,d_hz_hlth_family*G516,0)</f>
        <v/>
      </c>
      <c r="AJ516" s="14">
        <f>F516*AI516*in_hlth_family_ticket*in_hlth_family_comm*in_ins_partner_share+F516*in_hlth_family_ticket*in_hlth_family_renew_comm*in_ins_partner_share*(in_hlth_family_renew^1*SUMIFS(AI506:AI556,B506:B556,B516-12)+in_hlth_family_renew^2*SUMIFS(AI506:AI556,B506:B556,B516-24)+in_hlth_family_renew^3*SUMIFS(AI506:AI556,B506:B556,B516-36)+in_hlth_family_renew^4*SUMIFS(AI506:AI556,B506:B556,B516-48))</f>
        <v/>
      </c>
      <c r="AK516" s="40">
        <f>AK515*(1-IF(B515&gt;=in_marketplace_from,d_hz_life_term*G515,0))</f>
        <v/>
      </c>
      <c r="AL516" s="46">
        <f>AK516*IF(B516&gt;=in_marketplace_from,d_hz_life_term*G516,0)</f>
        <v/>
      </c>
      <c r="AM516" s="14">
        <f>F516*AL516*in_life_term_ticket*in_life_term_comm*in_ins_partner_share+F516*in_life_term_ticket*in_life_term_renew_comm*in_ins_partner_share*(in_life_term_renew^1*SUMIFS(AL506:AL556,B506:B556,B516-12)+in_life_term_renew^2*SUMIFS(AL506:AL556,B506:B556,B516-24)+in_life_term_renew^3*SUMIFS(AL506:AL556,B506:B556,B516-36)+in_life_term_renew^4*SUMIFS(AL506:AL556,B506:B556,B516-48))</f>
        <v/>
      </c>
      <c r="AN516" s="40">
        <f>AN515*(1-IF(B515&gt;=in_marketplace_from,d_hz_accident*G515,0))</f>
        <v/>
      </c>
      <c r="AO516" s="46">
        <f>AN516*IF(B516&gt;=in_marketplace_from,d_hz_accident*G516,0)</f>
        <v/>
      </c>
      <c r="AP516" s="14">
        <f>F516*AO516*in_accident_ticket*in_accident_comm*in_ins_partner_share+F516*in_accident_ticket*in_accident_renew_comm*in_ins_partner_share*(in_accident_renew^1*SUMIFS(AO506:AO556,B506:B556,B516-12)+in_accident_renew^2*SUMIFS(AO506:AO556,B506:B556,B516-24)+in_accident_renew^3*SUMIFS(AO506:AO556,B506:B556,B516-36)+in_accident_renew^4*SUMIFS(AO506:AO556,B506:B556,B516-48))</f>
        <v/>
      </c>
      <c r="AQ516" s="40">
        <f>AQ515*(1-IF(B515&gt;=in_marketplace_from,d_hz_two_wheeler*G515,0))</f>
        <v/>
      </c>
      <c r="AR516" s="46">
        <f>AQ516*IF(B516&gt;=in_marketplace_from,d_hz_two_wheeler*G516,0)</f>
        <v/>
      </c>
      <c r="AS516" s="14">
        <f>F516*AR516*in_two_wheeler_ticket*in_two_wheeler_comm*in_ins_partner_share+F516*in_two_wheeler_ticket*in_two_wheeler_comm*in_ins_partner_share*(in_two_wheeler_renew^1*SUMIFS(AR506:AR556,B506:B556,B516-12)+in_two_wheeler_renew^2*SUMIFS(AR506:AR556,B506:B556,B516-24)+in_two_wheeler_renew^3*SUMIFS(AR506:AR556,B506:B556,B516-36)+in_two_wheeler_renew^4*SUMIFS(AR506:AR556,B506:B556,B516-48))</f>
        <v/>
      </c>
      <c r="AT516" s="40">
        <f>AT515*(1-IF(B515&gt;=in_marketplace_from,d_hz_device*G515,0))</f>
        <v/>
      </c>
      <c r="AU516" s="14">
        <f>F516*AT516*IF(B516&gt;=in_marketplace_from,d_hz_device*G516,0)*in_device_ticket*in_device_comm*in_ins_partner_share</f>
        <v/>
      </c>
      <c r="AV516" s="40">
        <f>AV515*(1-IF(B515&gt;=in_marketplace_from,d_hz_shop*G515,0))</f>
        <v/>
      </c>
      <c r="AW516" s="46">
        <f>AV516*IF(B516&gt;=in_marketplace_from,d_hz_shop*G516,0)</f>
        <v/>
      </c>
      <c r="AX516" s="14">
        <f>F516*AW516*in_shop_ticket*in_shop_comm*in_ins_partner_share+F516*in_shop_ticket*in_shop_renew_comm*in_ins_partner_share*(in_shop_renew^1*SUMIFS(AW506:AW556,B506:B556,B516-12)+in_shop_renew^2*SUMIFS(AW506:AW556,B506:B556,B516-24)+in_shop_renew^3*SUMIFS(AW506:AW556,B506:B556,B516-36)+in_shop_renew^4*SUMIFS(AW506:AW556,B506:B556,B516-48))</f>
        <v/>
      </c>
      <c r="AY516" s="40">
        <f>AY515*(1-IF(B515&gt;=in_marketplace_from,d_hz_sip*G515,0))</f>
        <v/>
      </c>
      <c r="AZ516" s="40">
        <f>AZ515*d_rho_sip+AY516*IF(B516&gt;=in_marketplace_from,d_hz_sip*G516,0)</f>
        <v/>
      </c>
      <c r="BA516" s="40">
        <f>d_rho_sip*(BA515+AZ515)</f>
        <v/>
      </c>
      <c r="BB516" s="14">
        <f>F516*in_sip_ticket*(BA516+0.5*AZ516)*in_sip_comm/12</f>
        <v/>
      </c>
      <c r="BC516" s="40">
        <f>BC515*(1-IF(B515&gt;=in_marketplace_from,d_hz_choti*G515,0))</f>
        <v/>
      </c>
      <c r="BD516" s="46">
        <f>BC516*IF(B516&gt;=in_marketplace_from,d_hz_choti*G516,0)</f>
        <v/>
      </c>
      <c r="BE516" s="14">
        <f>F516*SUMIFS(BD506:BD556,B506:B556,B516-in_choti_months)*in_choti_renew*in_choti_ticket</f>
        <v/>
      </c>
      <c r="BF516" s="40">
        <f>BF515*(1-IF(B515&gt;=in_marketplace_from,d_hz_nps*G515,0))</f>
        <v/>
      </c>
      <c r="BG516" s="14">
        <f>F516*BF516*IF(B516&gt;=in_marketplace_from,d_hz_nps*G516,0)*in_nps_ticket*in_nps_comm</f>
        <v/>
      </c>
      <c r="BH516" s="40">
        <f>BH515*(1-IF(B515&gt;=in_marketplace_from,d_hz_gold*G515,0))</f>
        <v/>
      </c>
      <c r="BI516" s="40">
        <f>BI515*d_rho_gold+BH516*IF(B516&gt;=in_marketplace_from,d_hz_gold*G516,0)</f>
        <v/>
      </c>
      <c r="BJ516" s="14">
        <f>F516*BI516*in_gold_ticket*in_gold_comm</f>
        <v/>
      </c>
      <c r="BK516" s="40">
        <f>BK515*(1-IF(B515&gt;=in_marketplace_from,d_hz_fd*G515,0))</f>
        <v/>
      </c>
      <c r="BL516" s="14">
        <f>F516*BK516*IF(B516&gt;=in_marketplace_from,d_hz_fd*G516,0)*in_fd_ticket*in_fd_comm</f>
        <v/>
      </c>
      <c r="BM516" s="40">
        <f>BM515*(1-IF(B515&gt;=in_marketplace_from,d_hz_recharge*G515,0))</f>
        <v/>
      </c>
      <c r="BN516" s="40">
        <f>BN515*d_rho_recharge+BM516*IF(B516&gt;=in_marketplace_from,d_hz_recharge*G516,0)</f>
        <v/>
      </c>
      <c r="BO516" s="14">
        <f>F516*BN516*in_recharge_ticket*in_recharge_comm/12</f>
        <v/>
      </c>
      <c r="BP516" s="40">
        <f>BP515*(1-IF(B515&gt;=in_marketplace_from,d_hz_bills*G515,0))</f>
        <v/>
      </c>
      <c r="BQ516" s="40">
        <f>BQ515*d_rho_bills+BP516*IF(B516&gt;=in_marketplace_from,d_hz_bills*G516,0)</f>
        <v/>
      </c>
      <c r="BR516" s="14">
        <f>F516*BQ516*in_bills_ticket*in_bills_comm/12</f>
        <v/>
      </c>
      <c r="BS516" s="40">
        <f>BS515*(1-IF(B515&gt;=in_marketplace_from,d_hz_loan_gold*G515,0))</f>
        <v/>
      </c>
      <c r="BT516" s="14">
        <f>F516*BS516*IF(B516&gt;=in_marketplace_from,d_hz_loan_gold*G516,0)*in_loan_gold_ticket*in_loan_gold_comm</f>
        <v/>
      </c>
      <c r="BU516" s="40">
        <f>BU515*(1-IF(B515&gt;=in_marketplace_from,d_hz_loan_cd*G515,0))</f>
        <v/>
      </c>
      <c r="BV516" s="14">
        <f>F516*BU516*IF(B516&gt;=in_marketplace_from,d_hz_loan_cd*G516,0)*in_loan_cd_ticket*in_loan_cd_comm</f>
        <v/>
      </c>
      <c r="BW516" s="40">
        <f>BW515*(1-IF(B515&gt;=in_marketplace_from,d_hz_loan_vehicle*G515,0))</f>
        <v/>
      </c>
      <c r="BX516" s="14">
        <f>F516*BW516*IF(B516&gt;=in_marketplace_from,d_hz_loan_vehicle*G516,0)*in_loan_vehicle_ticket*in_loan_vehicle_comm</f>
        <v/>
      </c>
      <c r="BY516" s="40">
        <f>BY515*(1-IF(B515&gt;=in_marketplace_from,d_hz_loan_home*G515,0)*BZ515)</f>
        <v/>
      </c>
      <c r="BZ516" s="11">
        <f>MIN(in_approval_cap,in_loan_home_approval*INDEX('Age profile'!$O$2:$O$61,B516)*(1+in_approval_growth)^(D516-1))</f>
        <v/>
      </c>
      <c r="CA516" s="14">
        <f>F516*BY516*IF(B516&gt;=in_marketplace_from,d_hz_loan_home*G516,0)*BZ516*in_loan_home_ticket*in_loan_home_comm</f>
        <v/>
      </c>
      <c r="CB516" s="40">
        <f>CB515*(1-IF(B515&gt;=in_marketplace_from,d_hz_loan_lap*G515,0)*CC515)</f>
        <v/>
      </c>
      <c r="CC516" s="11">
        <f>MIN(in_approval_cap,in_loan_lap_approval*INDEX('Age profile'!$O$2:$O$61,B516)*(1+in_approval_growth)^(D516-1))</f>
        <v/>
      </c>
      <c r="CD516" s="14">
        <f>F516*CB516*IF(B516&gt;=in_marketplace_from,d_hz_loan_lap*G516,0)*CC516*in_loan_lap_ticket*in_loan_lap_comm</f>
        <v/>
      </c>
      <c r="CE516" s="14">
        <f>AA516+AB516+AC516+AD516+AG516+AJ516+AM516+AP516+AS516+AU516+AX516+BB516+BE516+BG516+BJ516+BL516+BO516+BR516+BT516+BV516+BX516+CA516+CD516</f>
        <v/>
      </c>
    </row>
    <row r="517">
      <c r="A517" s="39" t="n">
        <v>10</v>
      </c>
      <c r="B517" s="39" t="n">
        <v>12</v>
      </c>
      <c r="C517" s="39">
        <f>A517+B517-1</f>
        <v/>
      </c>
      <c r="D517" s="39">
        <f>INT((C517-1)/12)+1</f>
        <v/>
      </c>
      <c r="E517" s="44">
        <f>INDEX(Monthly!$B$2:$B$61,A517)</f>
        <v/>
      </c>
      <c r="F517" s="44">
        <f>E517*INDEX('Age profile'!$B$2:$B$61,B517)</f>
        <v/>
      </c>
      <c r="G517" s="45">
        <f>MIN(in_takeup_cap,INDEX('Age profile'!$N$2:$N$61,B517)*(1+in_takeup_growth)^(D517-1))</f>
        <v/>
      </c>
      <c r="H517" s="11">
        <f>MIN(in_approval_cap,in_approved_first*INDEX('Age profile'!$O$2:$O$61,B517)*(1+in_approval_growth)^(D517-1))</f>
        <v/>
      </c>
      <c r="I517" s="45">
        <f>G517*MIN(in_takeup_cap,INDEX('Age profile'!$O$2:$O$61,B517)*(1+in_approval_growth)^(D517-1))</f>
        <v/>
      </c>
      <c r="J517" s="40">
        <f>(J516-L516)*F517/F516</f>
        <v/>
      </c>
      <c r="K517" s="40">
        <f>(K516-M516)*F517/F516+SUMIFS(O506:O516,B506:B516,B517-1-d_T)*F517</f>
        <v/>
      </c>
      <c r="L517" s="40">
        <f>IF(B517&gt;=in_marketplace_from,J517*d_hz*G517*in_eligible*H517,0)</f>
        <v/>
      </c>
      <c r="M517" s="40">
        <f>IF(B517&gt;=in_marketplace_from,K517*d_hz*G517*in_eligible*in_approved_repeat,0)</f>
        <v/>
      </c>
      <c r="N517" s="40">
        <f>L517+M517</f>
        <v/>
      </c>
      <c r="O517" s="46">
        <f>N517/F517</f>
        <v/>
      </c>
      <c r="P517" s="40">
        <f>F517-J517-K517</f>
        <v/>
      </c>
      <c r="Q517" s="40">
        <f>IF(B517&gt;=in_marketplace_from,(J517+K517)*d_hz*G517,0)</f>
        <v/>
      </c>
      <c r="R517" s="40">
        <f>SUMIFS(N506:N556,B506:B556,"&gt;="&amp;(B517-d_T),B506:B556,"&lt;="&amp;(B517-1))</f>
        <v/>
      </c>
      <c r="S517" s="46">
        <f>(1-d_u)*S516+IF(d_T&gt;in_topup_lag,SUMIFS(O506:O556,B506:B556,B517-in_topup_lag)-d_udrop*SUMIFS(O506:O556,B506:B556,B517-d_T),0)</f>
        <v/>
      </c>
      <c r="T517" s="40">
        <f>F517*d_u*S517</f>
        <v/>
      </c>
      <c r="U517" s="9">
        <f>L517*in_ticket+M517*d_rep_ticket</f>
        <v/>
      </c>
      <c r="V517" s="9">
        <f>U517+T517*d_topup_amt</f>
        <v/>
      </c>
      <c r="W517" s="40">
        <f>N517+T517*d_topup_ratio</f>
        <v/>
      </c>
      <c r="X517" s="40">
        <f>SUMIFS(W506:W556,B506:B556,B517-in_dpd_lag)*d_cured</f>
        <v/>
      </c>
      <c r="Y517" s="40">
        <f>SUMIFS(W506:W556,B506:B556,B517-in_rec_lag)*d_recd</f>
        <v/>
      </c>
      <c r="Z517" s="40">
        <f>IF(AND(B517&gt;=in_marketplace_from,B517&lt;in_marketplace_from+in_card_months),in_card_share/in_card_months*F517*I517,IF(AND(B517&gt;=in_marketplace_from+in_card_months,B517&lt;in_marketplace_from+2*in_card_months),in_card_share*d_card_rem/in_card_months*F517*MIN(in_takeup_cap,(1+in_takeup_growth)^(D517-1))*MIN(in_takeup_cap,(1+in_approval_growth)^(D517-1)),0))</f>
        <v/>
      </c>
      <c r="AA517" s="14">
        <f>V517*in_fee*(1-in_taken_back)</f>
        <v/>
      </c>
      <c r="AB517" s="14">
        <f>SUMIFS(W506:W556,B506:B556,B517-in_dpd_lag)*d_dpd</f>
        <v/>
      </c>
      <c r="AC517" s="14">
        <f>SUMIFS(W506:W556,B506:B556,B517-in_rec_lag)*d_rec</f>
        <v/>
      </c>
      <c r="AD517" s="14">
        <f>Z517*in_card_fee</f>
        <v/>
      </c>
      <c r="AE517" s="40">
        <f>AE516*(1-IF(B516&gt;=in_marketplace_from,d_hz_hlth_small*G516,0))</f>
        <v/>
      </c>
      <c r="AF517" s="46">
        <f>AE517*IF(B517&gt;=in_marketplace_from,d_hz_hlth_small*G517,0)</f>
        <v/>
      </c>
      <c r="AG517" s="14">
        <f>F517*AF517*in_hlth_small_ticket*in_hlth_small_comm*in_ins_partner_share+F517*in_hlth_small_ticket*in_hlth_small_renew_comm*in_ins_partner_share*(in_hlth_small_renew^1*SUMIFS(AF506:AF556,B506:B556,B517-12)+in_hlth_small_renew^2*SUMIFS(AF506:AF556,B506:B556,B517-24)+in_hlth_small_renew^3*SUMIFS(AF506:AF556,B506:B556,B517-36)+in_hlth_small_renew^4*SUMIFS(AF506:AF556,B506:B556,B517-48))</f>
        <v/>
      </c>
      <c r="AH517" s="40">
        <f>AH516*(1-IF(B516&gt;=in_marketplace_from,d_hz_hlth_family*G516,0))</f>
        <v/>
      </c>
      <c r="AI517" s="46">
        <f>AH517*IF(B517&gt;=in_marketplace_from,d_hz_hlth_family*G517,0)</f>
        <v/>
      </c>
      <c r="AJ517" s="14">
        <f>F517*AI517*in_hlth_family_ticket*in_hlth_family_comm*in_ins_partner_share+F517*in_hlth_family_ticket*in_hlth_family_renew_comm*in_ins_partner_share*(in_hlth_family_renew^1*SUMIFS(AI506:AI556,B506:B556,B517-12)+in_hlth_family_renew^2*SUMIFS(AI506:AI556,B506:B556,B517-24)+in_hlth_family_renew^3*SUMIFS(AI506:AI556,B506:B556,B517-36)+in_hlth_family_renew^4*SUMIFS(AI506:AI556,B506:B556,B517-48))</f>
        <v/>
      </c>
      <c r="AK517" s="40">
        <f>AK516*(1-IF(B516&gt;=in_marketplace_from,d_hz_life_term*G516,0))</f>
        <v/>
      </c>
      <c r="AL517" s="46">
        <f>AK517*IF(B517&gt;=in_marketplace_from,d_hz_life_term*G517,0)</f>
        <v/>
      </c>
      <c r="AM517" s="14">
        <f>F517*AL517*in_life_term_ticket*in_life_term_comm*in_ins_partner_share+F517*in_life_term_ticket*in_life_term_renew_comm*in_ins_partner_share*(in_life_term_renew^1*SUMIFS(AL506:AL556,B506:B556,B517-12)+in_life_term_renew^2*SUMIFS(AL506:AL556,B506:B556,B517-24)+in_life_term_renew^3*SUMIFS(AL506:AL556,B506:B556,B517-36)+in_life_term_renew^4*SUMIFS(AL506:AL556,B506:B556,B517-48))</f>
        <v/>
      </c>
      <c r="AN517" s="40">
        <f>AN516*(1-IF(B516&gt;=in_marketplace_from,d_hz_accident*G516,0))</f>
        <v/>
      </c>
      <c r="AO517" s="46">
        <f>AN517*IF(B517&gt;=in_marketplace_from,d_hz_accident*G517,0)</f>
        <v/>
      </c>
      <c r="AP517" s="14">
        <f>F517*AO517*in_accident_ticket*in_accident_comm*in_ins_partner_share+F517*in_accident_ticket*in_accident_renew_comm*in_ins_partner_share*(in_accident_renew^1*SUMIFS(AO506:AO556,B506:B556,B517-12)+in_accident_renew^2*SUMIFS(AO506:AO556,B506:B556,B517-24)+in_accident_renew^3*SUMIFS(AO506:AO556,B506:B556,B517-36)+in_accident_renew^4*SUMIFS(AO506:AO556,B506:B556,B517-48))</f>
        <v/>
      </c>
      <c r="AQ517" s="40">
        <f>AQ516*(1-IF(B516&gt;=in_marketplace_from,d_hz_two_wheeler*G516,0))</f>
        <v/>
      </c>
      <c r="AR517" s="46">
        <f>AQ517*IF(B517&gt;=in_marketplace_from,d_hz_two_wheeler*G517,0)</f>
        <v/>
      </c>
      <c r="AS517" s="14">
        <f>F517*AR517*in_two_wheeler_ticket*in_two_wheeler_comm*in_ins_partner_share+F517*in_two_wheeler_ticket*in_two_wheeler_comm*in_ins_partner_share*(in_two_wheeler_renew^1*SUMIFS(AR506:AR556,B506:B556,B517-12)+in_two_wheeler_renew^2*SUMIFS(AR506:AR556,B506:B556,B517-24)+in_two_wheeler_renew^3*SUMIFS(AR506:AR556,B506:B556,B517-36)+in_two_wheeler_renew^4*SUMIFS(AR506:AR556,B506:B556,B517-48))</f>
        <v/>
      </c>
      <c r="AT517" s="40">
        <f>AT516*(1-IF(B516&gt;=in_marketplace_from,d_hz_device*G516,0))</f>
        <v/>
      </c>
      <c r="AU517" s="14">
        <f>F517*AT517*IF(B517&gt;=in_marketplace_from,d_hz_device*G517,0)*in_device_ticket*in_device_comm*in_ins_partner_share</f>
        <v/>
      </c>
      <c r="AV517" s="40">
        <f>AV516*(1-IF(B516&gt;=in_marketplace_from,d_hz_shop*G516,0))</f>
        <v/>
      </c>
      <c r="AW517" s="46">
        <f>AV517*IF(B517&gt;=in_marketplace_from,d_hz_shop*G517,0)</f>
        <v/>
      </c>
      <c r="AX517" s="14">
        <f>F517*AW517*in_shop_ticket*in_shop_comm*in_ins_partner_share+F517*in_shop_ticket*in_shop_renew_comm*in_ins_partner_share*(in_shop_renew^1*SUMIFS(AW506:AW556,B506:B556,B517-12)+in_shop_renew^2*SUMIFS(AW506:AW556,B506:B556,B517-24)+in_shop_renew^3*SUMIFS(AW506:AW556,B506:B556,B517-36)+in_shop_renew^4*SUMIFS(AW506:AW556,B506:B556,B517-48))</f>
        <v/>
      </c>
      <c r="AY517" s="40">
        <f>AY516*(1-IF(B516&gt;=in_marketplace_from,d_hz_sip*G516,0))</f>
        <v/>
      </c>
      <c r="AZ517" s="40">
        <f>AZ516*d_rho_sip+AY517*IF(B517&gt;=in_marketplace_from,d_hz_sip*G517,0)</f>
        <v/>
      </c>
      <c r="BA517" s="40">
        <f>d_rho_sip*(BA516+AZ516)</f>
        <v/>
      </c>
      <c r="BB517" s="14">
        <f>F517*in_sip_ticket*(BA517+0.5*AZ517)*in_sip_comm/12</f>
        <v/>
      </c>
      <c r="BC517" s="40">
        <f>BC516*(1-IF(B516&gt;=in_marketplace_from,d_hz_choti*G516,0))</f>
        <v/>
      </c>
      <c r="BD517" s="46">
        <f>BC517*IF(B517&gt;=in_marketplace_from,d_hz_choti*G517,0)</f>
        <v/>
      </c>
      <c r="BE517" s="14">
        <f>F517*SUMIFS(BD506:BD556,B506:B556,B517-in_choti_months)*in_choti_renew*in_choti_ticket</f>
        <v/>
      </c>
      <c r="BF517" s="40">
        <f>BF516*(1-IF(B516&gt;=in_marketplace_from,d_hz_nps*G516,0))</f>
        <v/>
      </c>
      <c r="BG517" s="14">
        <f>F517*BF517*IF(B517&gt;=in_marketplace_from,d_hz_nps*G517,0)*in_nps_ticket*in_nps_comm</f>
        <v/>
      </c>
      <c r="BH517" s="40">
        <f>BH516*(1-IF(B516&gt;=in_marketplace_from,d_hz_gold*G516,0))</f>
        <v/>
      </c>
      <c r="BI517" s="40">
        <f>BI516*d_rho_gold+BH517*IF(B517&gt;=in_marketplace_from,d_hz_gold*G517,0)</f>
        <v/>
      </c>
      <c r="BJ517" s="14">
        <f>F517*BI517*in_gold_ticket*in_gold_comm</f>
        <v/>
      </c>
      <c r="BK517" s="40">
        <f>BK516*(1-IF(B516&gt;=in_marketplace_from,d_hz_fd*G516,0))</f>
        <v/>
      </c>
      <c r="BL517" s="14">
        <f>F517*BK517*IF(B517&gt;=in_marketplace_from,d_hz_fd*G517,0)*in_fd_ticket*in_fd_comm</f>
        <v/>
      </c>
      <c r="BM517" s="40">
        <f>BM516*(1-IF(B516&gt;=in_marketplace_from,d_hz_recharge*G516,0))</f>
        <v/>
      </c>
      <c r="BN517" s="40">
        <f>BN516*d_rho_recharge+BM517*IF(B517&gt;=in_marketplace_from,d_hz_recharge*G517,0)</f>
        <v/>
      </c>
      <c r="BO517" s="14">
        <f>F517*BN517*in_recharge_ticket*in_recharge_comm/12</f>
        <v/>
      </c>
      <c r="BP517" s="40">
        <f>BP516*(1-IF(B516&gt;=in_marketplace_from,d_hz_bills*G516,0))</f>
        <v/>
      </c>
      <c r="BQ517" s="40">
        <f>BQ516*d_rho_bills+BP517*IF(B517&gt;=in_marketplace_from,d_hz_bills*G517,0)</f>
        <v/>
      </c>
      <c r="BR517" s="14">
        <f>F517*BQ517*in_bills_ticket*in_bills_comm/12</f>
        <v/>
      </c>
      <c r="BS517" s="40">
        <f>BS516*(1-IF(B516&gt;=in_marketplace_from,d_hz_loan_gold*G516,0))</f>
        <v/>
      </c>
      <c r="BT517" s="14">
        <f>F517*BS517*IF(B517&gt;=in_marketplace_from,d_hz_loan_gold*G517,0)*in_loan_gold_ticket*in_loan_gold_comm</f>
        <v/>
      </c>
      <c r="BU517" s="40">
        <f>BU516*(1-IF(B516&gt;=in_marketplace_from,d_hz_loan_cd*G516,0))</f>
        <v/>
      </c>
      <c r="BV517" s="14">
        <f>F517*BU517*IF(B517&gt;=in_marketplace_from,d_hz_loan_cd*G517,0)*in_loan_cd_ticket*in_loan_cd_comm</f>
        <v/>
      </c>
      <c r="BW517" s="40">
        <f>BW516*(1-IF(B516&gt;=in_marketplace_from,d_hz_loan_vehicle*G516,0))</f>
        <v/>
      </c>
      <c r="BX517" s="14">
        <f>F517*BW517*IF(B517&gt;=in_marketplace_from,d_hz_loan_vehicle*G517,0)*in_loan_vehicle_ticket*in_loan_vehicle_comm</f>
        <v/>
      </c>
      <c r="BY517" s="40">
        <f>BY516*(1-IF(B516&gt;=in_marketplace_from,d_hz_loan_home*G516,0)*BZ516)</f>
        <v/>
      </c>
      <c r="BZ517" s="11">
        <f>MIN(in_approval_cap,in_loan_home_approval*INDEX('Age profile'!$O$2:$O$61,B517)*(1+in_approval_growth)^(D517-1))</f>
        <v/>
      </c>
      <c r="CA517" s="14">
        <f>F517*BY517*IF(B517&gt;=in_marketplace_from,d_hz_loan_home*G517,0)*BZ517*in_loan_home_ticket*in_loan_home_comm</f>
        <v/>
      </c>
      <c r="CB517" s="40">
        <f>CB516*(1-IF(B516&gt;=in_marketplace_from,d_hz_loan_lap*G516,0)*CC516)</f>
        <v/>
      </c>
      <c r="CC517" s="11">
        <f>MIN(in_approval_cap,in_loan_lap_approval*INDEX('Age profile'!$O$2:$O$61,B517)*(1+in_approval_growth)^(D517-1))</f>
        <v/>
      </c>
      <c r="CD517" s="14">
        <f>F517*CB517*IF(B517&gt;=in_marketplace_from,d_hz_loan_lap*G517,0)*CC517*in_loan_lap_ticket*in_loan_lap_comm</f>
        <v/>
      </c>
      <c r="CE517" s="14">
        <f>AA517+AB517+AC517+AD517+AG517+AJ517+AM517+AP517+AS517+AU517+AX517+BB517+BE517+BG517+BJ517+BL517+BO517+BR517+BT517+BV517+BX517+CA517+CD517</f>
        <v/>
      </c>
    </row>
    <row r="518">
      <c r="A518" s="39" t="n">
        <v>10</v>
      </c>
      <c r="B518" s="39" t="n">
        <v>13</v>
      </c>
      <c r="C518" s="39">
        <f>A518+B518-1</f>
        <v/>
      </c>
      <c r="D518" s="39">
        <f>INT((C518-1)/12)+1</f>
        <v/>
      </c>
      <c r="E518" s="44">
        <f>INDEX(Monthly!$B$2:$B$61,A518)</f>
        <v/>
      </c>
      <c r="F518" s="44">
        <f>E518*INDEX('Age profile'!$B$2:$B$61,B518)</f>
        <v/>
      </c>
      <c r="G518" s="45">
        <f>MIN(in_takeup_cap,INDEX('Age profile'!$N$2:$N$61,B518)*(1+in_takeup_growth)^(D518-1))</f>
        <v/>
      </c>
      <c r="H518" s="11">
        <f>MIN(in_approval_cap,in_approved_first*INDEX('Age profile'!$O$2:$O$61,B518)*(1+in_approval_growth)^(D518-1))</f>
        <v/>
      </c>
      <c r="I518" s="45">
        <f>G518*MIN(in_takeup_cap,INDEX('Age profile'!$O$2:$O$61,B518)*(1+in_approval_growth)^(D518-1))</f>
        <v/>
      </c>
      <c r="J518" s="40">
        <f>(J517-L517)*F518/F517</f>
        <v/>
      </c>
      <c r="K518" s="40">
        <f>(K517-M517)*F518/F517+SUMIFS(O506:O517,B506:B517,B518-1-d_T)*F518</f>
        <v/>
      </c>
      <c r="L518" s="40">
        <f>IF(B518&gt;=in_marketplace_from,J518*d_hz*G518*in_eligible*H518,0)</f>
        <v/>
      </c>
      <c r="M518" s="40">
        <f>IF(B518&gt;=in_marketplace_from,K518*d_hz*G518*in_eligible*in_approved_repeat,0)</f>
        <v/>
      </c>
      <c r="N518" s="40">
        <f>L518+M518</f>
        <v/>
      </c>
      <c r="O518" s="46">
        <f>N518/F518</f>
        <v/>
      </c>
      <c r="P518" s="40">
        <f>F518-J518-K518</f>
        <v/>
      </c>
      <c r="Q518" s="40">
        <f>IF(B518&gt;=in_marketplace_from,(J518+K518)*d_hz*G518,0)</f>
        <v/>
      </c>
      <c r="R518" s="40">
        <f>SUMIFS(N506:N556,B506:B556,"&gt;="&amp;(B518-d_T),B506:B556,"&lt;="&amp;(B518-1))</f>
        <v/>
      </c>
      <c r="S518" s="46">
        <f>(1-d_u)*S517+IF(d_T&gt;in_topup_lag,SUMIFS(O506:O556,B506:B556,B518-in_topup_lag)-d_udrop*SUMIFS(O506:O556,B506:B556,B518-d_T),0)</f>
        <v/>
      </c>
      <c r="T518" s="40">
        <f>F518*d_u*S518</f>
        <v/>
      </c>
      <c r="U518" s="9">
        <f>L518*in_ticket+M518*d_rep_ticket</f>
        <v/>
      </c>
      <c r="V518" s="9">
        <f>U518+T518*d_topup_amt</f>
        <v/>
      </c>
      <c r="W518" s="40">
        <f>N518+T518*d_topup_ratio</f>
        <v/>
      </c>
      <c r="X518" s="40">
        <f>SUMIFS(W506:W556,B506:B556,B518-in_dpd_lag)*d_cured</f>
        <v/>
      </c>
      <c r="Y518" s="40">
        <f>SUMIFS(W506:W556,B506:B556,B518-in_rec_lag)*d_recd</f>
        <v/>
      </c>
      <c r="Z518" s="40">
        <f>IF(AND(B518&gt;=in_marketplace_from,B518&lt;in_marketplace_from+in_card_months),in_card_share/in_card_months*F518*I518,IF(AND(B518&gt;=in_marketplace_from+in_card_months,B518&lt;in_marketplace_from+2*in_card_months),in_card_share*d_card_rem/in_card_months*F518*MIN(in_takeup_cap,(1+in_takeup_growth)^(D518-1))*MIN(in_takeup_cap,(1+in_approval_growth)^(D518-1)),0))</f>
        <v/>
      </c>
      <c r="AA518" s="14">
        <f>V518*in_fee*(1-in_taken_back)</f>
        <v/>
      </c>
      <c r="AB518" s="14">
        <f>SUMIFS(W506:W556,B506:B556,B518-in_dpd_lag)*d_dpd</f>
        <v/>
      </c>
      <c r="AC518" s="14">
        <f>SUMIFS(W506:W556,B506:B556,B518-in_rec_lag)*d_rec</f>
        <v/>
      </c>
      <c r="AD518" s="14">
        <f>Z518*in_card_fee</f>
        <v/>
      </c>
      <c r="AE518" s="40">
        <f>AE517*(1-IF(B517&gt;=in_marketplace_from,d_hz_hlth_small*G517,0))</f>
        <v/>
      </c>
      <c r="AF518" s="46">
        <f>AE518*IF(B518&gt;=in_marketplace_from,d_hz_hlth_small*G518,0)</f>
        <v/>
      </c>
      <c r="AG518" s="14">
        <f>F518*AF518*in_hlth_small_ticket*in_hlth_small_comm*in_ins_partner_share+F518*in_hlth_small_ticket*in_hlth_small_renew_comm*in_ins_partner_share*(in_hlth_small_renew^1*SUMIFS(AF506:AF556,B506:B556,B518-12)+in_hlth_small_renew^2*SUMIFS(AF506:AF556,B506:B556,B518-24)+in_hlth_small_renew^3*SUMIFS(AF506:AF556,B506:B556,B518-36)+in_hlth_small_renew^4*SUMIFS(AF506:AF556,B506:B556,B518-48))</f>
        <v/>
      </c>
      <c r="AH518" s="40">
        <f>AH517*(1-IF(B517&gt;=in_marketplace_from,d_hz_hlth_family*G517,0))</f>
        <v/>
      </c>
      <c r="AI518" s="46">
        <f>AH518*IF(B518&gt;=in_marketplace_from,d_hz_hlth_family*G518,0)</f>
        <v/>
      </c>
      <c r="AJ518" s="14">
        <f>F518*AI518*in_hlth_family_ticket*in_hlth_family_comm*in_ins_partner_share+F518*in_hlth_family_ticket*in_hlth_family_renew_comm*in_ins_partner_share*(in_hlth_family_renew^1*SUMIFS(AI506:AI556,B506:B556,B518-12)+in_hlth_family_renew^2*SUMIFS(AI506:AI556,B506:B556,B518-24)+in_hlth_family_renew^3*SUMIFS(AI506:AI556,B506:B556,B518-36)+in_hlth_family_renew^4*SUMIFS(AI506:AI556,B506:B556,B518-48))</f>
        <v/>
      </c>
      <c r="AK518" s="40">
        <f>AK517*(1-IF(B517&gt;=in_marketplace_from,d_hz_life_term*G517,0))</f>
        <v/>
      </c>
      <c r="AL518" s="46">
        <f>AK518*IF(B518&gt;=in_marketplace_from,d_hz_life_term*G518,0)</f>
        <v/>
      </c>
      <c r="AM518" s="14">
        <f>F518*AL518*in_life_term_ticket*in_life_term_comm*in_ins_partner_share+F518*in_life_term_ticket*in_life_term_renew_comm*in_ins_partner_share*(in_life_term_renew^1*SUMIFS(AL506:AL556,B506:B556,B518-12)+in_life_term_renew^2*SUMIFS(AL506:AL556,B506:B556,B518-24)+in_life_term_renew^3*SUMIFS(AL506:AL556,B506:B556,B518-36)+in_life_term_renew^4*SUMIFS(AL506:AL556,B506:B556,B518-48))</f>
        <v/>
      </c>
      <c r="AN518" s="40">
        <f>AN517*(1-IF(B517&gt;=in_marketplace_from,d_hz_accident*G517,0))</f>
        <v/>
      </c>
      <c r="AO518" s="46">
        <f>AN518*IF(B518&gt;=in_marketplace_from,d_hz_accident*G518,0)</f>
        <v/>
      </c>
      <c r="AP518" s="14">
        <f>F518*AO518*in_accident_ticket*in_accident_comm*in_ins_partner_share+F518*in_accident_ticket*in_accident_renew_comm*in_ins_partner_share*(in_accident_renew^1*SUMIFS(AO506:AO556,B506:B556,B518-12)+in_accident_renew^2*SUMIFS(AO506:AO556,B506:B556,B518-24)+in_accident_renew^3*SUMIFS(AO506:AO556,B506:B556,B518-36)+in_accident_renew^4*SUMIFS(AO506:AO556,B506:B556,B518-48))</f>
        <v/>
      </c>
      <c r="AQ518" s="40">
        <f>AQ517*(1-IF(B517&gt;=in_marketplace_from,d_hz_two_wheeler*G517,0))</f>
        <v/>
      </c>
      <c r="AR518" s="46">
        <f>AQ518*IF(B518&gt;=in_marketplace_from,d_hz_two_wheeler*G518,0)</f>
        <v/>
      </c>
      <c r="AS518" s="14">
        <f>F518*AR518*in_two_wheeler_ticket*in_two_wheeler_comm*in_ins_partner_share+F518*in_two_wheeler_ticket*in_two_wheeler_comm*in_ins_partner_share*(in_two_wheeler_renew^1*SUMIFS(AR506:AR556,B506:B556,B518-12)+in_two_wheeler_renew^2*SUMIFS(AR506:AR556,B506:B556,B518-24)+in_two_wheeler_renew^3*SUMIFS(AR506:AR556,B506:B556,B518-36)+in_two_wheeler_renew^4*SUMIFS(AR506:AR556,B506:B556,B518-48))</f>
        <v/>
      </c>
      <c r="AT518" s="40">
        <f>AT517*(1-IF(B517&gt;=in_marketplace_from,d_hz_device*G517,0))</f>
        <v/>
      </c>
      <c r="AU518" s="14">
        <f>F518*AT518*IF(B518&gt;=in_marketplace_from,d_hz_device*G518,0)*in_device_ticket*in_device_comm*in_ins_partner_share</f>
        <v/>
      </c>
      <c r="AV518" s="40">
        <f>AV517*(1-IF(B517&gt;=in_marketplace_from,d_hz_shop*G517,0))</f>
        <v/>
      </c>
      <c r="AW518" s="46">
        <f>AV518*IF(B518&gt;=in_marketplace_from,d_hz_shop*G518,0)</f>
        <v/>
      </c>
      <c r="AX518" s="14">
        <f>F518*AW518*in_shop_ticket*in_shop_comm*in_ins_partner_share+F518*in_shop_ticket*in_shop_renew_comm*in_ins_partner_share*(in_shop_renew^1*SUMIFS(AW506:AW556,B506:B556,B518-12)+in_shop_renew^2*SUMIFS(AW506:AW556,B506:B556,B518-24)+in_shop_renew^3*SUMIFS(AW506:AW556,B506:B556,B518-36)+in_shop_renew^4*SUMIFS(AW506:AW556,B506:B556,B518-48))</f>
        <v/>
      </c>
      <c r="AY518" s="40">
        <f>AY517*(1-IF(B517&gt;=in_marketplace_from,d_hz_sip*G517,0))</f>
        <v/>
      </c>
      <c r="AZ518" s="40">
        <f>AZ517*d_rho_sip+AY518*IF(B518&gt;=in_marketplace_from,d_hz_sip*G518,0)</f>
        <v/>
      </c>
      <c r="BA518" s="40">
        <f>d_rho_sip*(BA517+AZ517)</f>
        <v/>
      </c>
      <c r="BB518" s="14">
        <f>F518*in_sip_ticket*(BA518+0.5*AZ518)*in_sip_comm/12</f>
        <v/>
      </c>
      <c r="BC518" s="40">
        <f>BC517*(1-IF(B517&gt;=in_marketplace_from,d_hz_choti*G517,0))</f>
        <v/>
      </c>
      <c r="BD518" s="46">
        <f>BC518*IF(B518&gt;=in_marketplace_from,d_hz_choti*G518,0)</f>
        <v/>
      </c>
      <c r="BE518" s="14">
        <f>F518*SUMIFS(BD506:BD556,B506:B556,B518-in_choti_months)*in_choti_renew*in_choti_ticket</f>
        <v/>
      </c>
      <c r="BF518" s="40">
        <f>BF517*(1-IF(B517&gt;=in_marketplace_from,d_hz_nps*G517,0))</f>
        <v/>
      </c>
      <c r="BG518" s="14">
        <f>F518*BF518*IF(B518&gt;=in_marketplace_from,d_hz_nps*G518,0)*in_nps_ticket*in_nps_comm</f>
        <v/>
      </c>
      <c r="BH518" s="40">
        <f>BH517*(1-IF(B517&gt;=in_marketplace_from,d_hz_gold*G517,0))</f>
        <v/>
      </c>
      <c r="BI518" s="40">
        <f>BI517*d_rho_gold+BH518*IF(B518&gt;=in_marketplace_from,d_hz_gold*G518,0)</f>
        <v/>
      </c>
      <c r="BJ518" s="14">
        <f>F518*BI518*in_gold_ticket*in_gold_comm</f>
        <v/>
      </c>
      <c r="BK518" s="40">
        <f>BK517*(1-IF(B517&gt;=in_marketplace_from,d_hz_fd*G517,0))</f>
        <v/>
      </c>
      <c r="BL518" s="14">
        <f>F518*BK518*IF(B518&gt;=in_marketplace_from,d_hz_fd*G518,0)*in_fd_ticket*in_fd_comm</f>
        <v/>
      </c>
      <c r="BM518" s="40">
        <f>BM517*(1-IF(B517&gt;=in_marketplace_from,d_hz_recharge*G517,0))</f>
        <v/>
      </c>
      <c r="BN518" s="40">
        <f>BN517*d_rho_recharge+BM518*IF(B518&gt;=in_marketplace_from,d_hz_recharge*G518,0)</f>
        <v/>
      </c>
      <c r="BO518" s="14">
        <f>F518*BN518*in_recharge_ticket*in_recharge_comm/12</f>
        <v/>
      </c>
      <c r="BP518" s="40">
        <f>BP517*(1-IF(B517&gt;=in_marketplace_from,d_hz_bills*G517,0))</f>
        <v/>
      </c>
      <c r="BQ518" s="40">
        <f>BQ517*d_rho_bills+BP518*IF(B518&gt;=in_marketplace_from,d_hz_bills*G518,0)</f>
        <v/>
      </c>
      <c r="BR518" s="14">
        <f>F518*BQ518*in_bills_ticket*in_bills_comm/12</f>
        <v/>
      </c>
      <c r="BS518" s="40">
        <f>BS517*(1-IF(B517&gt;=in_marketplace_from,d_hz_loan_gold*G517,0))</f>
        <v/>
      </c>
      <c r="BT518" s="14">
        <f>F518*BS518*IF(B518&gt;=in_marketplace_from,d_hz_loan_gold*G518,0)*in_loan_gold_ticket*in_loan_gold_comm</f>
        <v/>
      </c>
      <c r="BU518" s="40">
        <f>BU517*(1-IF(B517&gt;=in_marketplace_from,d_hz_loan_cd*G517,0))</f>
        <v/>
      </c>
      <c r="BV518" s="14">
        <f>F518*BU518*IF(B518&gt;=in_marketplace_from,d_hz_loan_cd*G518,0)*in_loan_cd_ticket*in_loan_cd_comm</f>
        <v/>
      </c>
      <c r="BW518" s="40">
        <f>BW517*(1-IF(B517&gt;=in_marketplace_from,d_hz_loan_vehicle*G517,0))</f>
        <v/>
      </c>
      <c r="BX518" s="14">
        <f>F518*BW518*IF(B518&gt;=in_marketplace_from,d_hz_loan_vehicle*G518,0)*in_loan_vehicle_ticket*in_loan_vehicle_comm</f>
        <v/>
      </c>
      <c r="BY518" s="40">
        <f>BY517*(1-IF(B517&gt;=in_marketplace_from,d_hz_loan_home*G517,0)*BZ517)</f>
        <v/>
      </c>
      <c r="BZ518" s="11">
        <f>MIN(in_approval_cap,in_loan_home_approval*INDEX('Age profile'!$O$2:$O$61,B518)*(1+in_approval_growth)^(D518-1))</f>
        <v/>
      </c>
      <c r="CA518" s="14">
        <f>F518*BY518*IF(B518&gt;=in_marketplace_from,d_hz_loan_home*G518,0)*BZ518*in_loan_home_ticket*in_loan_home_comm</f>
        <v/>
      </c>
      <c r="CB518" s="40">
        <f>CB517*(1-IF(B517&gt;=in_marketplace_from,d_hz_loan_lap*G517,0)*CC517)</f>
        <v/>
      </c>
      <c r="CC518" s="11">
        <f>MIN(in_approval_cap,in_loan_lap_approval*INDEX('Age profile'!$O$2:$O$61,B518)*(1+in_approval_growth)^(D518-1))</f>
        <v/>
      </c>
      <c r="CD518" s="14">
        <f>F518*CB518*IF(B518&gt;=in_marketplace_from,d_hz_loan_lap*G518,0)*CC518*in_loan_lap_ticket*in_loan_lap_comm</f>
        <v/>
      </c>
      <c r="CE518" s="14">
        <f>AA518+AB518+AC518+AD518+AG518+AJ518+AM518+AP518+AS518+AU518+AX518+BB518+BE518+BG518+BJ518+BL518+BO518+BR518+BT518+BV518+BX518+CA518+CD518</f>
        <v/>
      </c>
    </row>
    <row r="519">
      <c r="A519" s="39" t="n">
        <v>10</v>
      </c>
      <c r="B519" s="39" t="n">
        <v>14</v>
      </c>
      <c r="C519" s="39">
        <f>A519+B519-1</f>
        <v/>
      </c>
      <c r="D519" s="39">
        <f>INT((C519-1)/12)+1</f>
        <v/>
      </c>
      <c r="E519" s="44">
        <f>INDEX(Monthly!$B$2:$B$61,A519)</f>
        <v/>
      </c>
      <c r="F519" s="44">
        <f>E519*INDEX('Age profile'!$B$2:$B$61,B519)</f>
        <v/>
      </c>
      <c r="G519" s="45">
        <f>MIN(in_takeup_cap,INDEX('Age profile'!$N$2:$N$61,B519)*(1+in_takeup_growth)^(D519-1))</f>
        <v/>
      </c>
      <c r="H519" s="11">
        <f>MIN(in_approval_cap,in_approved_first*INDEX('Age profile'!$O$2:$O$61,B519)*(1+in_approval_growth)^(D519-1))</f>
        <v/>
      </c>
      <c r="I519" s="45">
        <f>G519*MIN(in_takeup_cap,INDEX('Age profile'!$O$2:$O$61,B519)*(1+in_approval_growth)^(D519-1))</f>
        <v/>
      </c>
      <c r="J519" s="40">
        <f>(J518-L518)*F519/F518</f>
        <v/>
      </c>
      <c r="K519" s="40">
        <f>(K518-M518)*F519/F518+SUMIFS(O506:O518,B506:B518,B519-1-d_T)*F519</f>
        <v/>
      </c>
      <c r="L519" s="40">
        <f>IF(B519&gt;=in_marketplace_from,J519*d_hz*G519*in_eligible*H519,0)</f>
        <v/>
      </c>
      <c r="M519" s="40">
        <f>IF(B519&gt;=in_marketplace_from,K519*d_hz*G519*in_eligible*in_approved_repeat,0)</f>
        <v/>
      </c>
      <c r="N519" s="40">
        <f>L519+M519</f>
        <v/>
      </c>
      <c r="O519" s="46">
        <f>N519/F519</f>
        <v/>
      </c>
      <c r="P519" s="40">
        <f>F519-J519-K519</f>
        <v/>
      </c>
      <c r="Q519" s="40">
        <f>IF(B519&gt;=in_marketplace_from,(J519+K519)*d_hz*G519,0)</f>
        <v/>
      </c>
      <c r="R519" s="40">
        <f>SUMIFS(N506:N556,B506:B556,"&gt;="&amp;(B519-d_T),B506:B556,"&lt;="&amp;(B519-1))</f>
        <v/>
      </c>
      <c r="S519" s="46">
        <f>(1-d_u)*S518+IF(d_T&gt;in_topup_lag,SUMIFS(O506:O556,B506:B556,B519-in_topup_lag)-d_udrop*SUMIFS(O506:O556,B506:B556,B519-d_T),0)</f>
        <v/>
      </c>
      <c r="T519" s="40">
        <f>F519*d_u*S519</f>
        <v/>
      </c>
      <c r="U519" s="9">
        <f>L519*in_ticket+M519*d_rep_ticket</f>
        <v/>
      </c>
      <c r="V519" s="9">
        <f>U519+T519*d_topup_amt</f>
        <v/>
      </c>
      <c r="W519" s="40">
        <f>N519+T519*d_topup_ratio</f>
        <v/>
      </c>
      <c r="X519" s="40">
        <f>SUMIFS(W506:W556,B506:B556,B519-in_dpd_lag)*d_cured</f>
        <v/>
      </c>
      <c r="Y519" s="40">
        <f>SUMIFS(W506:W556,B506:B556,B519-in_rec_lag)*d_recd</f>
        <v/>
      </c>
      <c r="Z519" s="40">
        <f>IF(AND(B519&gt;=in_marketplace_from,B519&lt;in_marketplace_from+in_card_months),in_card_share/in_card_months*F519*I519,IF(AND(B519&gt;=in_marketplace_from+in_card_months,B519&lt;in_marketplace_from+2*in_card_months),in_card_share*d_card_rem/in_card_months*F519*MIN(in_takeup_cap,(1+in_takeup_growth)^(D519-1))*MIN(in_takeup_cap,(1+in_approval_growth)^(D519-1)),0))</f>
        <v/>
      </c>
      <c r="AA519" s="14">
        <f>V519*in_fee*(1-in_taken_back)</f>
        <v/>
      </c>
      <c r="AB519" s="14">
        <f>SUMIFS(W506:W556,B506:B556,B519-in_dpd_lag)*d_dpd</f>
        <v/>
      </c>
      <c r="AC519" s="14">
        <f>SUMIFS(W506:W556,B506:B556,B519-in_rec_lag)*d_rec</f>
        <v/>
      </c>
      <c r="AD519" s="14">
        <f>Z519*in_card_fee</f>
        <v/>
      </c>
      <c r="AE519" s="40">
        <f>AE518*(1-IF(B518&gt;=in_marketplace_from,d_hz_hlth_small*G518,0))</f>
        <v/>
      </c>
      <c r="AF519" s="46">
        <f>AE519*IF(B519&gt;=in_marketplace_from,d_hz_hlth_small*G519,0)</f>
        <v/>
      </c>
      <c r="AG519" s="14">
        <f>F519*AF519*in_hlth_small_ticket*in_hlth_small_comm*in_ins_partner_share+F519*in_hlth_small_ticket*in_hlth_small_renew_comm*in_ins_partner_share*(in_hlth_small_renew^1*SUMIFS(AF506:AF556,B506:B556,B519-12)+in_hlth_small_renew^2*SUMIFS(AF506:AF556,B506:B556,B519-24)+in_hlth_small_renew^3*SUMIFS(AF506:AF556,B506:B556,B519-36)+in_hlth_small_renew^4*SUMIFS(AF506:AF556,B506:B556,B519-48))</f>
        <v/>
      </c>
      <c r="AH519" s="40">
        <f>AH518*(1-IF(B518&gt;=in_marketplace_from,d_hz_hlth_family*G518,0))</f>
        <v/>
      </c>
      <c r="AI519" s="46">
        <f>AH519*IF(B519&gt;=in_marketplace_from,d_hz_hlth_family*G519,0)</f>
        <v/>
      </c>
      <c r="AJ519" s="14">
        <f>F519*AI519*in_hlth_family_ticket*in_hlth_family_comm*in_ins_partner_share+F519*in_hlth_family_ticket*in_hlth_family_renew_comm*in_ins_partner_share*(in_hlth_family_renew^1*SUMIFS(AI506:AI556,B506:B556,B519-12)+in_hlth_family_renew^2*SUMIFS(AI506:AI556,B506:B556,B519-24)+in_hlth_family_renew^3*SUMIFS(AI506:AI556,B506:B556,B519-36)+in_hlth_family_renew^4*SUMIFS(AI506:AI556,B506:B556,B519-48))</f>
        <v/>
      </c>
      <c r="AK519" s="40">
        <f>AK518*(1-IF(B518&gt;=in_marketplace_from,d_hz_life_term*G518,0))</f>
        <v/>
      </c>
      <c r="AL519" s="46">
        <f>AK519*IF(B519&gt;=in_marketplace_from,d_hz_life_term*G519,0)</f>
        <v/>
      </c>
      <c r="AM519" s="14">
        <f>F519*AL519*in_life_term_ticket*in_life_term_comm*in_ins_partner_share+F519*in_life_term_ticket*in_life_term_renew_comm*in_ins_partner_share*(in_life_term_renew^1*SUMIFS(AL506:AL556,B506:B556,B519-12)+in_life_term_renew^2*SUMIFS(AL506:AL556,B506:B556,B519-24)+in_life_term_renew^3*SUMIFS(AL506:AL556,B506:B556,B519-36)+in_life_term_renew^4*SUMIFS(AL506:AL556,B506:B556,B519-48))</f>
        <v/>
      </c>
      <c r="AN519" s="40">
        <f>AN518*(1-IF(B518&gt;=in_marketplace_from,d_hz_accident*G518,0))</f>
        <v/>
      </c>
      <c r="AO519" s="46">
        <f>AN519*IF(B519&gt;=in_marketplace_from,d_hz_accident*G519,0)</f>
        <v/>
      </c>
      <c r="AP519" s="14">
        <f>F519*AO519*in_accident_ticket*in_accident_comm*in_ins_partner_share+F519*in_accident_ticket*in_accident_renew_comm*in_ins_partner_share*(in_accident_renew^1*SUMIFS(AO506:AO556,B506:B556,B519-12)+in_accident_renew^2*SUMIFS(AO506:AO556,B506:B556,B519-24)+in_accident_renew^3*SUMIFS(AO506:AO556,B506:B556,B519-36)+in_accident_renew^4*SUMIFS(AO506:AO556,B506:B556,B519-48))</f>
        <v/>
      </c>
      <c r="AQ519" s="40">
        <f>AQ518*(1-IF(B518&gt;=in_marketplace_from,d_hz_two_wheeler*G518,0))</f>
        <v/>
      </c>
      <c r="AR519" s="46">
        <f>AQ519*IF(B519&gt;=in_marketplace_from,d_hz_two_wheeler*G519,0)</f>
        <v/>
      </c>
      <c r="AS519" s="14">
        <f>F519*AR519*in_two_wheeler_ticket*in_two_wheeler_comm*in_ins_partner_share+F519*in_two_wheeler_ticket*in_two_wheeler_comm*in_ins_partner_share*(in_two_wheeler_renew^1*SUMIFS(AR506:AR556,B506:B556,B519-12)+in_two_wheeler_renew^2*SUMIFS(AR506:AR556,B506:B556,B519-24)+in_two_wheeler_renew^3*SUMIFS(AR506:AR556,B506:B556,B519-36)+in_two_wheeler_renew^4*SUMIFS(AR506:AR556,B506:B556,B519-48))</f>
        <v/>
      </c>
      <c r="AT519" s="40">
        <f>AT518*(1-IF(B518&gt;=in_marketplace_from,d_hz_device*G518,0))</f>
        <v/>
      </c>
      <c r="AU519" s="14">
        <f>F519*AT519*IF(B519&gt;=in_marketplace_from,d_hz_device*G519,0)*in_device_ticket*in_device_comm*in_ins_partner_share</f>
        <v/>
      </c>
      <c r="AV519" s="40">
        <f>AV518*(1-IF(B518&gt;=in_marketplace_from,d_hz_shop*G518,0))</f>
        <v/>
      </c>
      <c r="AW519" s="46">
        <f>AV519*IF(B519&gt;=in_marketplace_from,d_hz_shop*G519,0)</f>
        <v/>
      </c>
      <c r="AX519" s="14">
        <f>F519*AW519*in_shop_ticket*in_shop_comm*in_ins_partner_share+F519*in_shop_ticket*in_shop_renew_comm*in_ins_partner_share*(in_shop_renew^1*SUMIFS(AW506:AW556,B506:B556,B519-12)+in_shop_renew^2*SUMIFS(AW506:AW556,B506:B556,B519-24)+in_shop_renew^3*SUMIFS(AW506:AW556,B506:B556,B519-36)+in_shop_renew^4*SUMIFS(AW506:AW556,B506:B556,B519-48))</f>
        <v/>
      </c>
      <c r="AY519" s="40">
        <f>AY518*(1-IF(B518&gt;=in_marketplace_from,d_hz_sip*G518,0))</f>
        <v/>
      </c>
      <c r="AZ519" s="40">
        <f>AZ518*d_rho_sip+AY519*IF(B519&gt;=in_marketplace_from,d_hz_sip*G519,0)</f>
        <v/>
      </c>
      <c r="BA519" s="40">
        <f>d_rho_sip*(BA518+AZ518)</f>
        <v/>
      </c>
      <c r="BB519" s="14">
        <f>F519*in_sip_ticket*(BA519+0.5*AZ519)*in_sip_comm/12</f>
        <v/>
      </c>
      <c r="BC519" s="40">
        <f>BC518*(1-IF(B518&gt;=in_marketplace_from,d_hz_choti*G518,0))</f>
        <v/>
      </c>
      <c r="BD519" s="46">
        <f>BC519*IF(B519&gt;=in_marketplace_from,d_hz_choti*G519,0)</f>
        <v/>
      </c>
      <c r="BE519" s="14">
        <f>F519*SUMIFS(BD506:BD556,B506:B556,B519-in_choti_months)*in_choti_renew*in_choti_ticket</f>
        <v/>
      </c>
      <c r="BF519" s="40">
        <f>BF518*(1-IF(B518&gt;=in_marketplace_from,d_hz_nps*G518,0))</f>
        <v/>
      </c>
      <c r="BG519" s="14">
        <f>F519*BF519*IF(B519&gt;=in_marketplace_from,d_hz_nps*G519,0)*in_nps_ticket*in_nps_comm</f>
        <v/>
      </c>
      <c r="BH519" s="40">
        <f>BH518*(1-IF(B518&gt;=in_marketplace_from,d_hz_gold*G518,0))</f>
        <v/>
      </c>
      <c r="BI519" s="40">
        <f>BI518*d_rho_gold+BH519*IF(B519&gt;=in_marketplace_from,d_hz_gold*G519,0)</f>
        <v/>
      </c>
      <c r="BJ519" s="14">
        <f>F519*BI519*in_gold_ticket*in_gold_comm</f>
        <v/>
      </c>
      <c r="BK519" s="40">
        <f>BK518*(1-IF(B518&gt;=in_marketplace_from,d_hz_fd*G518,0))</f>
        <v/>
      </c>
      <c r="BL519" s="14">
        <f>F519*BK519*IF(B519&gt;=in_marketplace_from,d_hz_fd*G519,0)*in_fd_ticket*in_fd_comm</f>
        <v/>
      </c>
      <c r="BM519" s="40">
        <f>BM518*(1-IF(B518&gt;=in_marketplace_from,d_hz_recharge*G518,0))</f>
        <v/>
      </c>
      <c r="BN519" s="40">
        <f>BN518*d_rho_recharge+BM519*IF(B519&gt;=in_marketplace_from,d_hz_recharge*G519,0)</f>
        <v/>
      </c>
      <c r="BO519" s="14">
        <f>F519*BN519*in_recharge_ticket*in_recharge_comm/12</f>
        <v/>
      </c>
      <c r="BP519" s="40">
        <f>BP518*(1-IF(B518&gt;=in_marketplace_from,d_hz_bills*G518,0))</f>
        <v/>
      </c>
      <c r="BQ519" s="40">
        <f>BQ518*d_rho_bills+BP519*IF(B519&gt;=in_marketplace_from,d_hz_bills*G519,0)</f>
        <v/>
      </c>
      <c r="BR519" s="14">
        <f>F519*BQ519*in_bills_ticket*in_bills_comm/12</f>
        <v/>
      </c>
      <c r="BS519" s="40">
        <f>BS518*(1-IF(B518&gt;=in_marketplace_from,d_hz_loan_gold*G518,0))</f>
        <v/>
      </c>
      <c r="BT519" s="14">
        <f>F519*BS519*IF(B519&gt;=in_marketplace_from,d_hz_loan_gold*G519,0)*in_loan_gold_ticket*in_loan_gold_comm</f>
        <v/>
      </c>
      <c r="BU519" s="40">
        <f>BU518*(1-IF(B518&gt;=in_marketplace_from,d_hz_loan_cd*G518,0))</f>
        <v/>
      </c>
      <c r="BV519" s="14">
        <f>F519*BU519*IF(B519&gt;=in_marketplace_from,d_hz_loan_cd*G519,0)*in_loan_cd_ticket*in_loan_cd_comm</f>
        <v/>
      </c>
      <c r="BW519" s="40">
        <f>BW518*(1-IF(B518&gt;=in_marketplace_from,d_hz_loan_vehicle*G518,0))</f>
        <v/>
      </c>
      <c r="BX519" s="14">
        <f>F519*BW519*IF(B519&gt;=in_marketplace_from,d_hz_loan_vehicle*G519,0)*in_loan_vehicle_ticket*in_loan_vehicle_comm</f>
        <v/>
      </c>
      <c r="BY519" s="40">
        <f>BY518*(1-IF(B518&gt;=in_marketplace_from,d_hz_loan_home*G518,0)*BZ518)</f>
        <v/>
      </c>
      <c r="BZ519" s="11">
        <f>MIN(in_approval_cap,in_loan_home_approval*INDEX('Age profile'!$O$2:$O$61,B519)*(1+in_approval_growth)^(D519-1))</f>
        <v/>
      </c>
      <c r="CA519" s="14">
        <f>F519*BY519*IF(B519&gt;=in_marketplace_from,d_hz_loan_home*G519,0)*BZ519*in_loan_home_ticket*in_loan_home_comm</f>
        <v/>
      </c>
      <c r="CB519" s="40">
        <f>CB518*(1-IF(B518&gt;=in_marketplace_from,d_hz_loan_lap*G518,0)*CC518)</f>
        <v/>
      </c>
      <c r="CC519" s="11">
        <f>MIN(in_approval_cap,in_loan_lap_approval*INDEX('Age profile'!$O$2:$O$61,B519)*(1+in_approval_growth)^(D519-1))</f>
        <v/>
      </c>
      <c r="CD519" s="14">
        <f>F519*CB519*IF(B519&gt;=in_marketplace_from,d_hz_loan_lap*G519,0)*CC519*in_loan_lap_ticket*in_loan_lap_comm</f>
        <v/>
      </c>
      <c r="CE519" s="14">
        <f>AA519+AB519+AC519+AD519+AG519+AJ519+AM519+AP519+AS519+AU519+AX519+BB519+BE519+BG519+BJ519+BL519+BO519+BR519+BT519+BV519+BX519+CA519+CD519</f>
        <v/>
      </c>
    </row>
    <row r="520">
      <c r="A520" s="39" t="n">
        <v>10</v>
      </c>
      <c r="B520" s="39" t="n">
        <v>15</v>
      </c>
      <c r="C520" s="39">
        <f>A520+B520-1</f>
        <v/>
      </c>
      <c r="D520" s="39">
        <f>INT((C520-1)/12)+1</f>
        <v/>
      </c>
      <c r="E520" s="44">
        <f>INDEX(Monthly!$B$2:$B$61,A520)</f>
        <v/>
      </c>
      <c r="F520" s="44">
        <f>E520*INDEX('Age profile'!$B$2:$B$61,B520)</f>
        <v/>
      </c>
      <c r="G520" s="45">
        <f>MIN(in_takeup_cap,INDEX('Age profile'!$N$2:$N$61,B520)*(1+in_takeup_growth)^(D520-1))</f>
        <v/>
      </c>
      <c r="H520" s="11">
        <f>MIN(in_approval_cap,in_approved_first*INDEX('Age profile'!$O$2:$O$61,B520)*(1+in_approval_growth)^(D520-1))</f>
        <v/>
      </c>
      <c r="I520" s="45">
        <f>G520*MIN(in_takeup_cap,INDEX('Age profile'!$O$2:$O$61,B520)*(1+in_approval_growth)^(D520-1))</f>
        <v/>
      </c>
      <c r="J520" s="40">
        <f>(J519-L519)*F520/F519</f>
        <v/>
      </c>
      <c r="K520" s="40">
        <f>(K519-M519)*F520/F519+SUMIFS(O506:O519,B506:B519,B520-1-d_T)*F520</f>
        <v/>
      </c>
      <c r="L520" s="40">
        <f>IF(B520&gt;=in_marketplace_from,J520*d_hz*G520*in_eligible*H520,0)</f>
        <v/>
      </c>
      <c r="M520" s="40">
        <f>IF(B520&gt;=in_marketplace_from,K520*d_hz*G520*in_eligible*in_approved_repeat,0)</f>
        <v/>
      </c>
      <c r="N520" s="40">
        <f>L520+M520</f>
        <v/>
      </c>
      <c r="O520" s="46">
        <f>N520/F520</f>
        <v/>
      </c>
      <c r="P520" s="40">
        <f>F520-J520-K520</f>
        <v/>
      </c>
      <c r="Q520" s="40">
        <f>IF(B520&gt;=in_marketplace_from,(J520+K520)*d_hz*G520,0)</f>
        <v/>
      </c>
      <c r="R520" s="40">
        <f>SUMIFS(N506:N556,B506:B556,"&gt;="&amp;(B520-d_T),B506:B556,"&lt;="&amp;(B520-1))</f>
        <v/>
      </c>
      <c r="S520" s="46">
        <f>(1-d_u)*S519+IF(d_T&gt;in_topup_lag,SUMIFS(O506:O556,B506:B556,B520-in_topup_lag)-d_udrop*SUMIFS(O506:O556,B506:B556,B520-d_T),0)</f>
        <v/>
      </c>
      <c r="T520" s="40">
        <f>F520*d_u*S520</f>
        <v/>
      </c>
      <c r="U520" s="9">
        <f>L520*in_ticket+M520*d_rep_ticket</f>
        <v/>
      </c>
      <c r="V520" s="9">
        <f>U520+T520*d_topup_amt</f>
        <v/>
      </c>
      <c r="W520" s="40">
        <f>N520+T520*d_topup_ratio</f>
        <v/>
      </c>
      <c r="X520" s="40">
        <f>SUMIFS(W506:W556,B506:B556,B520-in_dpd_lag)*d_cured</f>
        <v/>
      </c>
      <c r="Y520" s="40">
        <f>SUMIFS(W506:W556,B506:B556,B520-in_rec_lag)*d_recd</f>
        <v/>
      </c>
      <c r="Z520" s="40">
        <f>IF(AND(B520&gt;=in_marketplace_from,B520&lt;in_marketplace_from+in_card_months),in_card_share/in_card_months*F520*I520,IF(AND(B520&gt;=in_marketplace_from+in_card_months,B520&lt;in_marketplace_from+2*in_card_months),in_card_share*d_card_rem/in_card_months*F520*MIN(in_takeup_cap,(1+in_takeup_growth)^(D520-1))*MIN(in_takeup_cap,(1+in_approval_growth)^(D520-1)),0))</f>
        <v/>
      </c>
      <c r="AA520" s="14">
        <f>V520*in_fee*(1-in_taken_back)</f>
        <v/>
      </c>
      <c r="AB520" s="14">
        <f>SUMIFS(W506:W556,B506:B556,B520-in_dpd_lag)*d_dpd</f>
        <v/>
      </c>
      <c r="AC520" s="14">
        <f>SUMIFS(W506:W556,B506:B556,B520-in_rec_lag)*d_rec</f>
        <v/>
      </c>
      <c r="AD520" s="14">
        <f>Z520*in_card_fee</f>
        <v/>
      </c>
      <c r="AE520" s="40">
        <f>AE519*(1-IF(B519&gt;=in_marketplace_from,d_hz_hlth_small*G519,0))</f>
        <v/>
      </c>
      <c r="AF520" s="46">
        <f>AE520*IF(B520&gt;=in_marketplace_from,d_hz_hlth_small*G520,0)</f>
        <v/>
      </c>
      <c r="AG520" s="14">
        <f>F520*AF520*in_hlth_small_ticket*in_hlth_small_comm*in_ins_partner_share+F520*in_hlth_small_ticket*in_hlth_small_renew_comm*in_ins_partner_share*(in_hlth_small_renew^1*SUMIFS(AF506:AF556,B506:B556,B520-12)+in_hlth_small_renew^2*SUMIFS(AF506:AF556,B506:B556,B520-24)+in_hlth_small_renew^3*SUMIFS(AF506:AF556,B506:B556,B520-36)+in_hlth_small_renew^4*SUMIFS(AF506:AF556,B506:B556,B520-48))</f>
        <v/>
      </c>
      <c r="AH520" s="40">
        <f>AH519*(1-IF(B519&gt;=in_marketplace_from,d_hz_hlth_family*G519,0))</f>
        <v/>
      </c>
      <c r="AI520" s="46">
        <f>AH520*IF(B520&gt;=in_marketplace_from,d_hz_hlth_family*G520,0)</f>
        <v/>
      </c>
      <c r="AJ520" s="14">
        <f>F520*AI520*in_hlth_family_ticket*in_hlth_family_comm*in_ins_partner_share+F520*in_hlth_family_ticket*in_hlth_family_renew_comm*in_ins_partner_share*(in_hlth_family_renew^1*SUMIFS(AI506:AI556,B506:B556,B520-12)+in_hlth_family_renew^2*SUMIFS(AI506:AI556,B506:B556,B520-24)+in_hlth_family_renew^3*SUMIFS(AI506:AI556,B506:B556,B520-36)+in_hlth_family_renew^4*SUMIFS(AI506:AI556,B506:B556,B520-48))</f>
        <v/>
      </c>
      <c r="AK520" s="40">
        <f>AK519*(1-IF(B519&gt;=in_marketplace_from,d_hz_life_term*G519,0))</f>
        <v/>
      </c>
      <c r="AL520" s="46">
        <f>AK520*IF(B520&gt;=in_marketplace_from,d_hz_life_term*G520,0)</f>
        <v/>
      </c>
      <c r="AM520" s="14">
        <f>F520*AL520*in_life_term_ticket*in_life_term_comm*in_ins_partner_share+F520*in_life_term_ticket*in_life_term_renew_comm*in_ins_partner_share*(in_life_term_renew^1*SUMIFS(AL506:AL556,B506:B556,B520-12)+in_life_term_renew^2*SUMIFS(AL506:AL556,B506:B556,B520-24)+in_life_term_renew^3*SUMIFS(AL506:AL556,B506:B556,B520-36)+in_life_term_renew^4*SUMIFS(AL506:AL556,B506:B556,B520-48))</f>
        <v/>
      </c>
      <c r="AN520" s="40">
        <f>AN519*(1-IF(B519&gt;=in_marketplace_from,d_hz_accident*G519,0))</f>
        <v/>
      </c>
      <c r="AO520" s="46">
        <f>AN520*IF(B520&gt;=in_marketplace_from,d_hz_accident*G520,0)</f>
        <v/>
      </c>
      <c r="AP520" s="14">
        <f>F520*AO520*in_accident_ticket*in_accident_comm*in_ins_partner_share+F520*in_accident_ticket*in_accident_renew_comm*in_ins_partner_share*(in_accident_renew^1*SUMIFS(AO506:AO556,B506:B556,B520-12)+in_accident_renew^2*SUMIFS(AO506:AO556,B506:B556,B520-24)+in_accident_renew^3*SUMIFS(AO506:AO556,B506:B556,B520-36)+in_accident_renew^4*SUMIFS(AO506:AO556,B506:B556,B520-48))</f>
        <v/>
      </c>
      <c r="AQ520" s="40">
        <f>AQ519*(1-IF(B519&gt;=in_marketplace_from,d_hz_two_wheeler*G519,0))</f>
        <v/>
      </c>
      <c r="AR520" s="46">
        <f>AQ520*IF(B520&gt;=in_marketplace_from,d_hz_two_wheeler*G520,0)</f>
        <v/>
      </c>
      <c r="AS520" s="14">
        <f>F520*AR520*in_two_wheeler_ticket*in_two_wheeler_comm*in_ins_partner_share+F520*in_two_wheeler_ticket*in_two_wheeler_comm*in_ins_partner_share*(in_two_wheeler_renew^1*SUMIFS(AR506:AR556,B506:B556,B520-12)+in_two_wheeler_renew^2*SUMIFS(AR506:AR556,B506:B556,B520-24)+in_two_wheeler_renew^3*SUMIFS(AR506:AR556,B506:B556,B520-36)+in_two_wheeler_renew^4*SUMIFS(AR506:AR556,B506:B556,B520-48))</f>
        <v/>
      </c>
      <c r="AT520" s="40">
        <f>AT519*(1-IF(B519&gt;=in_marketplace_from,d_hz_device*G519,0))</f>
        <v/>
      </c>
      <c r="AU520" s="14">
        <f>F520*AT520*IF(B520&gt;=in_marketplace_from,d_hz_device*G520,0)*in_device_ticket*in_device_comm*in_ins_partner_share</f>
        <v/>
      </c>
      <c r="AV520" s="40">
        <f>AV519*(1-IF(B519&gt;=in_marketplace_from,d_hz_shop*G519,0))</f>
        <v/>
      </c>
      <c r="AW520" s="46">
        <f>AV520*IF(B520&gt;=in_marketplace_from,d_hz_shop*G520,0)</f>
        <v/>
      </c>
      <c r="AX520" s="14">
        <f>F520*AW520*in_shop_ticket*in_shop_comm*in_ins_partner_share+F520*in_shop_ticket*in_shop_renew_comm*in_ins_partner_share*(in_shop_renew^1*SUMIFS(AW506:AW556,B506:B556,B520-12)+in_shop_renew^2*SUMIFS(AW506:AW556,B506:B556,B520-24)+in_shop_renew^3*SUMIFS(AW506:AW556,B506:B556,B520-36)+in_shop_renew^4*SUMIFS(AW506:AW556,B506:B556,B520-48))</f>
        <v/>
      </c>
      <c r="AY520" s="40">
        <f>AY519*(1-IF(B519&gt;=in_marketplace_from,d_hz_sip*G519,0))</f>
        <v/>
      </c>
      <c r="AZ520" s="40">
        <f>AZ519*d_rho_sip+AY520*IF(B520&gt;=in_marketplace_from,d_hz_sip*G520,0)</f>
        <v/>
      </c>
      <c r="BA520" s="40">
        <f>d_rho_sip*(BA519+AZ519)</f>
        <v/>
      </c>
      <c r="BB520" s="14">
        <f>F520*in_sip_ticket*(BA520+0.5*AZ520)*in_sip_comm/12</f>
        <v/>
      </c>
      <c r="BC520" s="40">
        <f>BC519*(1-IF(B519&gt;=in_marketplace_from,d_hz_choti*G519,0))</f>
        <v/>
      </c>
      <c r="BD520" s="46">
        <f>BC520*IF(B520&gt;=in_marketplace_from,d_hz_choti*G520,0)</f>
        <v/>
      </c>
      <c r="BE520" s="14">
        <f>F520*SUMIFS(BD506:BD556,B506:B556,B520-in_choti_months)*in_choti_renew*in_choti_ticket</f>
        <v/>
      </c>
      <c r="BF520" s="40">
        <f>BF519*(1-IF(B519&gt;=in_marketplace_from,d_hz_nps*G519,0))</f>
        <v/>
      </c>
      <c r="BG520" s="14">
        <f>F520*BF520*IF(B520&gt;=in_marketplace_from,d_hz_nps*G520,0)*in_nps_ticket*in_nps_comm</f>
        <v/>
      </c>
      <c r="BH520" s="40">
        <f>BH519*(1-IF(B519&gt;=in_marketplace_from,d_hz_gold*G519,0))</f>
        <v/>
      </c>
      <c r="BI520" s="40">
        <f>BI519*d_rho_gold+BH520*IF(B520&gt;=in_marketplace_from,d_hz_gold*G520,0)</f>
        <v/>
      </c>
      <c r="BJ520" s="14">
        <f>F520*BI520*in_gold_ticket*in_gold_comm</f>
        <v/>
      </c>
      <c r="BK520" s="40">
        <f>BK519*(1-IF(B519&gt;=in_marketplace_from,d_hz_fd*G519,0))</f>
        <v/>
      </c>
      <c r="BL520" s="14">
        <f>F520*BK520*IF(B520&gt;=in_marketplace_from,d_hz_fd*G520,0)*in_fd_ticket*in_fd_comm</f>
        <v/>
      </c>
      <c r="BM520" s="40">
        <f>BM519*(1-IF(B519&gt;=in_marketplace_from,d_hz_recharge*G519,0))</f>
        <v/>
      </c>
      <c r="BN520" s="40">
        <f>BN519*d_rho_recharge+BM520*IF(B520&gt;=in_marketplace_from,d_hz_recharge*G520,0)</f>
        <v/>
      </c>
      <c r="BO520" s="14">
        <f>F520*BN520*in_recharge_ticket*in_recharge_comm/12</f>
        <v/>
      </c>
      <c r="BP520" s="40">
        <f>BP519*(1-IF(B519&gt;=in_marketplace_from,d_hz_bills*G519,0))</f>
        <v/>
      </c>
      <c r="BQ520" s="40">
        <f>BQ519*d_rho_bills+BP520*IF(B520&gt;=in_marketplace_from,d_hz_bills*G520,0)</f>
        <v/>
      </c>
      <c r="BR520" s="14">
        <f>F520*BQ520*in_bills_ticket*in_bills_comm/12</f>
        <v/>
      </c>
      <c r="BS520" s="40">
        <f>BS519*(1-IF(B519&gt;=in_marketplace_from,d_hz_loan_gold*G519,0))</f>
        <v/>
      </c>
      <c r="BT520" s="14">
        <f>F520*BS520*IF(B520&gt;=in_marketplace_from,d_hz_loan_gold*G520,0)*in_loan_gold_ticket*in_loan_gold_comm</f>
        <v/>
      </c>
      <c r="BU520" s="40">
        <f>BU519*(1-IF(B519&gt;=in_marketplace_from,d_hz_loan_cd*G519,0))</f>
        <v/>
      </c>
      <c r="BV520" s="14">
        <f>F520*BU520*IF(B520&gt;=in_marketplace_from,d_hz_loan_cd*G520,0)*in_loan_cd_ticket*in_loan_cd_comm</f>
        <v/>
      </c>
      <c r="BW520" s="40">
        <f>BW519*(1-IF(B519&gt;=in_marketplace_from,d_hz_loan_vehicle*G519,0))</f>
        <v/>
      </c>
      <c r="BX520" s="14">
        <f>F520*BW520*IF(B520&gt;=in_marketplace_from,d_hz_loan_vehicle*G520,0)*in_loan_vehicle_ticket*in_loan_vehicle_comm</f>
        <v/>
      </c>
      <c r="BY520" s="40">
        <f>BY519*(1-IF(B519&gt;=in_marketplace_from,d_hz_loan_home*G519,0)*BZ519)</f>
        <v/>
      </c>
      <c r="BZ520" s="11">
        <f>MIN(in_approval_cap,in_loan_home_approval*INDEX('Age profile'!$O$2:$O$61,B520)*(1+in_approval_growth)^(D520-1))</f>
        <v/>
      </c>
      <c r="CA520" s="14">
        <f>F520*BY520*IF(B520&gt;=in_marketplace_from,d_hz_loan_home*G520,0)*BZ520*in_loan_home_ticket*in_loan_home_comm</f>
        <v/>
      </c>
      <c r="CB520" s="40">
        <f>CB519*(1-IF(B519&gt;=in_marketplace_from,d_hz_loan_lap*G519,0)*CC519)</f>
        <v/>
      </c>
      <c r="CC520" s="11">
        <f>MIN(in_approval_cap,in_loan_lap_approval*INDEX('Age profile'!$O$2:$O$61,B520)*(1+in_approval_growth)^(D520-1))</f>
        <v/>
      </c>
      <c r="CD520" s="14">
        <f>F520*CB520*IF(B520&gt;=in_marketplace_from,d_hz_loan_lap*G520,0)*CC520*in_loan_lap_ticket*in_loan_lap_comm</f>
        <v/>
      </c>
      <c r="CE520" s="14">
        <f>AA520+AB520+AC520+AD520+AG520+AJ520+AM520+AP520+AS520+AU520+AX520+BB520+BE520+BG520+BJ520+BL520+BO520+BR520+BT520+BV520+BX520+CA520+CD520</f>
        <v/>
      </c>
    </row>
    <row r="521">
      <c r="A521" s="39" t="n">
        <v>10</v>
      </c>
      <c r="B521" s="39" t="n">
        <v>16</v>
      </c>
      <c r="C521" s="39">
        <f>A521+B521-1</f>
        <v/>
      </c>
      <c r="D521" s="39">
        <f>INT((C521-1)/12)+1</f>
        <v/>
      </c>
      <c r="E521" s="44">
        <f>INDEX(Monthly!$B$2:$B$61,A521)</f>
        <v/>
      </c>
      <c r="F521" s="44">
        <f>E521*INDEX('Age profile'!$B$2:$B$61,B521)</f>
        <v/>
      </c>
      <c r="G521" s="45">
        <f>MIN(in_takeup_cap,INDEX('Age profile'!$N$2:$N$61,B521)*(1+in_takeup_growth)^(D521-1))</f>
        <v/>
      </c>
      <c r="H521" s="11">
        <f>MIN(in_approval_cap,in_approved_first*INDEX('Age profile'!$O$2:$O$61,B521)*(1+in_approval_growth)^(D521-1))</f>
        <v/>
      </c>
      <c r="I521" s="45">
        <f>G521*MIN(in_takeup_cap,INDEX('Age profile'!$O$2:$O$61,B521)*(1+in_approval_growth)^(D521-1))</f>
        <v/>
      </c>
      <c r="J521" s="40">
        <f>(J520-L520)*F521/F520</f>
        <v/>
      </c>
      <c r="K521" s="40">
        <f>(K520-M520)*F521/F520+SUMIFS(O506:O520,B506:B520,B521-1-d_T)*F521</f>
        <v/>
      </c>
      <c r="L521" s="40">
        <f>IF(B521&gt;=in_marketplace_from,J521*d_hz*G521*in_eligible*H521,0)</f>
        <v/>
      </c>
      <c r="M521" s="40">
        <f>IF(B521&gt;=in_marketplace_from,K521*d_hz*G521*in_eligible*in_approved_repeat,0)</f>
        <v/>
      </c>
      <c r="N521" s="40">
        <f>L521+M521</f>
        <v/>
      </c>
      <c r="O521" s="46">
        <f>N521/F521</f>
        <v/>
      </c>
      <c r="P521" s="40">
        <f>F521-J521-K521</f>
        <v/>
      </c>
      <c r="Q521" s="40">
        <f>IF(B521&gt;=in_marketplace_from,(J521+K521)*d_hz*G521,0)</f>
        <v/>
      </c>
      <c r="R521" s="40">
        <f>SUMIFS(N506:N556,B506:B556,"&gt;="&amp;(B521-d_T),B506:B556,"&lt;="&amp;(B521-1))</f>
        <v/>
      </c>
      <c r="S521" s="46">
        <f>(1-d_u)*S520+IF(d_T&gt;in_topup_lag,SUMIFS(O506:O556,B506:B556,B521-in_topup_lag)-d_udrop*SUMIFS(O506:O556,B506:B556,B521-d_T),0)</f>
        <v/>
      </c>
      <c r="T521" s="40">
        <f>F521*d_u*S521</f>
        <v/>
      </c>
      <c r="U521" s="9">
        <f>L521*in_ticket+M521*d_rep_ticket</f>
        <v/>
      </c>
      <c r="V521" s="9">
        <f>U521+T521*d_topup_amt</f>
        <v/>
      </c>
      <c r="W521" s="40">
        <f>N521+T521*d_topup_ratio</f>
        <v/>
      </c>
      <c r="X521" s="40">
        <f>SUMIFS(W506:W556,B506:B556,B521-in_dpd_lag)*d_cured</f>
        <v/>
      </c>
      <c r="Y521" s="40">
        <f>SUMIFS(W506:W556,B506:B556,B521-in_rec_lag)*d_recd</f>
        <v/>
      </c>
      <c r="Z521" s="40">
        <f>IF(AND(B521&gt;=in_marketplace_from,B521&lt;in_marketplace_from+in_card_months),in_card_share/in_card_months*F521*I521,IF(AND(B521&gt;=in_marketplace_from+in_card_months,B521&lt;in_marketplace_from+2*in_card_months),in_card_share*d_card_rem/in_card_months*F521*MIN(in_takeup_cap,(1+in_takeup_growth)^(D521-1))*MIN(in_takeup_cap,(1+in_approval_growth)^(D521-1)),0))</f>
        <v/>
      </c>
      <c r="AA521" s="14">
        <f>V521*in_fee*(1-in_taken_back)</f>
        <v/>
      </c>
      <c r="AB521" s="14">
        <f>SUMIFS(W506:W556,B506:B556,B521-in_dpd_lag)*d_dpd</f>
        <v/>
      </c>
      <c r="AC521" s="14">
        <f>SUMIFS(W506:W556,B506:B556,B521-in_rec_lag)*d_rec</f>
        <v/>
      </c>
      <c r="AD521" s="14">
        <f>Z521*in_card_fee</f>
        <v/>
      </c>
      <c r="AE521" s="40">
        <f>AE520*(1-IF(B520&gt;=in_marketplace_from,d_hz_hlth_small*G520,0))</f>
        <v/>
      </c>
      <c r="AF521" s="46">
        <f>AE521*IF(B521&gt;=in_marketplace_from,d_hz_hlth_small*G521,0)</f>
        <v/>
      </c>
      <c r="AG521" s="14">
        <f>F521*AF521*in_hlth_small_ticket*in_hlth_small_comm*in_ins_partner_share+F521*in_hlth_small_ticket*in_hlth_small_renew_comm*in_ins_partner_share*(in_hlth_small_renew^1*SUMIFS(AF506:AF556,B506:B556,B521-12)+in_hlth_small_renew^2*SUMIFS(AF506:AF556,B506:B556,B521-24)+in_hlth_small_renew^3*SUMIFS(AF506:AF556,B506:B556,B521-36)+in_hlth_small_renew^4*SUMIFS(AF506:AF556,B506:B556,B521-48))</f>
        <v/>
      </c>
      <c r="AH521" s="40">
        <f>AH520*(1-IF(B520&gt;=in_marketplace_from,d_hz_hlth_family*G520,0))</f>
        <v/>
      </c>
      <c r="AI521" s="46">
        <f>AH521*IF(B521&gt;=in_marketplace_from,d_hz_hlth_family*G521,0)</f>
        <v/>
      </c>
      <c r="AJ521" s="14">
        <f>F521*AI521*in_hlth_family_ticket*in_hlth_family_comm*in_ins_partner_share+F521*in_hlth_family_ticket*in_hlth_family_renew_comm*in_ins_partner_share*(in_hlth_family_renew^1*SUMIFS(AI506:AI556,B506:B556,B521-12)+in_hlth_family_renew^2*SUMIFS(AI506:AI556,B506:B556,B521-24)+in_hlth_family_renew^3*SUMIFS(AI506:AI556,B506:B556,B521-36)+in_hlth_family_renew^4*SUMIFS(AI506:AI556,B506:B556,B521-48))</f>
        <v/>
      </c>
      <c r="AK521" s="40">
        <f>AK520*(1-IF(B520&gt;=in_marketplace_from,d_hz_life_term*G520,0))</f>
        <v/>
      </c>
      <c r="AL521" s="46">
        <f>AK521*IF(B521&gt;=in_marketplace_from,d_hz_life_term*G521,0)</f>
        <v/>
      </c>
      <c r="AM521" s="14">
        <f>F521*AL521*in_life_term_ticket*in_life_term_comm*in_ins_partner_share+F521*in_life_term_ticket*in_life_term_renew_comm*in_ins_partner_share*(in_life_term_renew^1*SUMIFS(AL506:AL556,B506:B556,B521-12)+in_life_term_renew^2*SUMIFS(AL506:AL556,B506:B556,B521-24)+in_life_term_renew^3*SUMIFS(AL506:AL556,B506:B556,B521-36)+in_life_term_renew^4*SUMIFS(AL506:AL556,B506:B556,B521-48))</f>
        <v/>
      </c>
      <c r="AN521" s="40">
        <f>AN520*(1-IF(B520&gt;=in_marketplace_from,d_hz_accident*G520,0))</f>
        <v/>
      </c>
      <c r="AO521" s="46">
        <f>AN521*IF(B521&gt;=in_marketplace_from,d_hz_accident*G521,0)</f>
        <v/>
      </c>
      <c r="AP521" s="14">
        <f>F521*AO521*in_accident_ticket*in_accident_comm*in_ins_partner_share+F521*in_accident_ticket*in_accident_renew_comm*in_ins_partner_share*(in_accident_renew^1*SUMIFS(AO506:AO556,B506:B556,B521-12)+in_accident_renew^2*SUMIFS(AO506:AO556,B506:B556,B521-24)+in_accident_renew^3*SUMIFS(AO506:AO556,B506:B556,B521-36)+in_accident_renew^4*SUMIFS(AO506:AO556,B506:B556,B521-48))</f>
        <v/>
      </c>
      <c r="AQ521" s="40">
        <f>AQ520*(1-IF(B520&gt;=in_marketplace_from,d_hz_two_wheeler*G520,0))</f>
        <v/>
      </c>
      <c r="AR521" s="46">
        <f>AQ521*IF(B521&gt;=in_marketplace_from,d_hz_two_wheeler*G521,0)</f>
        <v/>
      </c>
      <c r="AS521" s="14">
        <f>F521*AR521*in_two_wheeler_ticket*in_two_wheeler_comm*in_ins_partner_share+F521*in_two_wheeler_ticket*in_two_wheeler_comm*in_ins_partner_share*(in_two_wheeler_renew^1*SUMIFS(AR506:AR556,B506:B556,B521-12)+in_two_wheeler_renew^2*SUMIFS(AR506:AR556,B506:B556,B521-24)+in_two_wheeler_renew^3*SUMIFS(AR506:AR556,B506:B556,B521-36)+in_two_wheeler_renew^4*SUMIFS(AR506:AR556,B506:B556,B521-48))</f>
        <v/>
      </c>
      <c r="AT521" s="40">
        <f>AT520*(1-IF(B520&gt;=in_marketplace_from,d_hz_device*G520,0))</f>
        <v/>
      </c>
      <c r="AU521" s="14">
        <f>F521*AT521*IF(B521&gt;=in_marketplace_from,d_hz_device*G521,0)*in_device_ticket*in_device_comm*in_ins_partner_share</f>
        <v/>
      </c>
      <c r="AV521" s="40">
        <f>AV520*(1-IF(B520&gt;=in_marketplace_from,d_hz_shop*G520,0))</f>
        <v/>
      </c>
      <c r="AW521" s="46">
        <f>AV521*IF(B521&gt;=in_marketplace_from,d_hz_shop*G521,0)</f>
        <v/>
      </c>
      <c r="AX521" s="14">
        <f>F521*AW521*in_shop_ticket*in_shop_comm*in_ins_partner_share+F521*in_shop_ticket*in_shop_renew_comm*in_ins_partner_share*(in_shop_renew^1*SUMIFS(AW506:AW556,B506:B556,B521-12)+in_shop_renew^2*SUMIFS(AW506:AW556,B506:B556,B521-24)+in_shop_renew^3*SUMIFS(AW506:AW556,B506:B556,B521-36)+in_shop_renew^4*SUMIFS(AW506:AW556,B506:B556,B521-48))</f>
        <v/>
      </c>
      <c r="AY521" s="40">
        <f>AY520*(1-IF(B520&gt;=in_marketplace_from,d_hz_sip*G520,0))</f>
        <v/>
      </c>
      <c r="AZ521" s="40">
        <f>AZ520*d_rho_sip+AY521*IF(B521&gt;=in_marketplace_from,d_hz_sip*G521,0)</f>
        <v/>
      </c>
      <c r="BA521" s="40">
        <f>d_rho_sip*(BA520+AZ520)</f>
        <v/>
      </c>
      <c r="BB521" s="14">
        <f>F521*in_sip_ticket*(BA521+0.5*AZ521)*in_sip_comm/12</f>
        <v/>
      </c>
      <c r="BC521" s="40">
        <f>BC520*(1-IF(B520&gt;=in_marketplace_from,d_hz_choti*G520,0))</f>
        <v/>
      </c>
      <c r="BD521" s="46">
        <f>BC521*IF(B521&gt;=in_marketplace_from,d_hz_choti*G521,0)</f>
        <v/>
      </c>
      <c r="BE521" s="14">
        <f>F521*SUMIFS(BD506:BD556,B506:B556,B521-in_choti_months)*in_choti_renew*in_choti_ticket</f>
        <v/>
      </c>
      <c r="BF521" s="40">
        <f>BF520*(1-IF(B520&gt;=in_marketplace_from,d_hz_nps*G520,0))</f>
        <v/>
      </c>
      <c r="BG521" s="14">
        <f>F521*BF521*IF(B521&gt;=in_marketplace_from,d_hz_nps*G521,0)*in_nps_ticket*in_nps_comm</f>
        <v/>
      </c>
      <c r="BH521" s="40">
        <f>BH520*(1-IF(B520&gt;=in_marketplace_from,d_hz_gold*G520,0))</f>
        <v/>
      </c>
      <c r="BI521" s="40">
        <f>BI520*d_rho_gold+BH521*IF(B521&gt;=in_marketplace_from,d_hz_gold*G521,0)</f>
        <v/>
      </c>
      <c r="BJ521" s="14">
        <f>F521*BI521*in_gold_ticket*in_gold_comm</f>
        <v/>
      </c>
      <c r="BK521" s="40">
        <f>BK520*(1-IF(B520&gt;=in_marketplace_from,d_hz_fd*G520,0))</f>
        <v/>
      </c>
      <c r="BL521" s="14">
        <f>F521*BK521*IF(B521&gt;=in_marketplace_from,d_hz_fd*G521,0)*in_fd_ticket*in_fd_comm</f>
        <v/>
      </c>
      <c r="BM521" s="40">
        <f>BM520*(1-IF(B520&gt;=in_marketplace_from,d_hz_recharge*G520,0))</f>
        <v/>
      </c>
      <c r="BN521" s="40">
        <f>BN520*d_rho_recharge+BM521*IF(B521&gt;=in_marketplace_from,d_hz_recharge*G521,0)</f>
        <v/>
      </c>
      <c r="BO521" s="14">
        <f>F521*BN521*in_recharge_ticket*in_recharge_comm/12</f>
        <v/>
      </c>
      <c r="BP521" s="40">
        <f>BP520*(1-IF(B520&gt;=in_marketplace_from,d_hz_bills*G520,0))</f>
        <v/>
      </c>
      <c r="BQ521" s="40">
        <f>BQ520*d_rho_bills+BP521*IF(B521&gt;=in_marketplace_from,d_hz_bills*G521,0)</f>
        <v/>
      </c>
      <c r="BR521" s="14">
        <f>F521*BQ521*in_bills_ticket*in_bills_comm/12</f>
        <v/>
      </c>
      <c r="BS521" s="40">
        <f>BS520*(1-IF(B520&gt;=in_marketplace_from,d_hz_loan_gold*G520,0))</f>
        <v/>
      </c>
      <c r="BT521" s="14">
        <f>F521*BS521*IF(B521&gt;=in_marketplace_from,d_hz_loan_gold*G521,0)*in_loan_gold_ticket*in_loan_gold_comm</f>
        <v/>
      </c>
      <c r="BU521" s="40">
        <f>BU520*(1-IF(B520&gt;=in_marketplace_from,d_hz_loan_cd*G520,0))</f>
        <v/>
      </c>
      <c r="BV521" s="14">
        <f>F521*BU521*IF(B521&gt;=in_marketplace_from,d_hz_loan_cd*G521,0)*in_loan_cd_ticket*in_loan_cd_comm</f>
        <v/>
      </c>
      <c r="BW521" s="40">
        <f>BW520*(1-IF(B520&gt;=in_marketplace_from,d_hz_loan_vehicle*G520,0))</f>
        <v/>
      </c>
      <c r="BX521" s="14">
        <f>F521*BW521*IF(B521&gt;=in_marketplace_from,d_hz_loan_vehicle*G521,0)*in_loan_vehicle_ticket*in_loan_vehicle_comm</f>
        <v/>
      </c>
      <c r="BY521" s="40">
        <f>BY520*(1-IF(B520&gt;=in_marketplace_from,d_hz_loan_home*G520,0)*BZ520)</f>
        <v/>
      </c>
      <c r="BZ521" s="11">
        <f>MIN(in_approval_cap,in_loan_home_approval*INDEX('Age profile'!$O$2:$O$61,B521)*(1+in_approval_growth)^(D521-1))</f>
        <v/>
      </c>
      <c r="CA521" s="14">
        <f>F521*BY521*IF(B521&gt;=in_marketplace_from,d_hz_loan_home*G521,0)*BZ521*in_loan_home_ticket*in_loan_home_comm</f>
        <v/>
      </c>
      <c r="CB521" s="40">
        <f>CB520*(1-IF(B520&gt;=in_marketplace_from,d_hz_loan_lap*G520,0)*CC520)</f>
        <v/>
      </c>
      <c r="CC521" s="11">
        <f>MIN(in_approval_cap,in_loan_lap_approval*INDEX('Age profile'!$O$2:$O$61,B521)*(1+in_approval_growth)^(D521-1))</f>
        <v/>
      </c>
      <c r="CD521" s="14">
        <f>F521*CB521*IF(B521&gt;=in_marketplace_from,d_hz_loan_lap*G521,0)*CC521*in_loan_lap_ticket*in_loan_lap_comm</f>
        <v/>
      </c>
      <c r="CE521" s="14">
        <f>AA521+AB521+AC521+AD521+AG521+AJ521+AM521+AP521+AS521+AU521+AX521+BB521+BE521+BG521+BJ521+BL521+BO521+BR521+BT521+BV521+BX521+CA521+CD521</f>
        <v/>
      </c>
    </row>
    <row r="522">
      <c r="A522" s="39" t="n">
        <v>10</v>
      </c>
      <c r="B522" s="39" t="n">
        <v>17</v>
      </c>
      <c r="C522" s="39">
        <f>A522+B522-1</f>
        <v/>
      </c>
      <c r="D522" s="39">
        <f>INT((C522-1)/12)+1</f>
        <v/>
      </c>
      <c r="E522" s="44">
        <f>INDEX(Monthly!$B$2:$B$61,A522)</f>
        <v/>
      </c>
      <c r="F522" s="44">
        <f>E522*INDEX('Age profile'!$B$2:$B$61,B522)</f>
        <v/>
      </c>
      <c r="G522" s="45">
        <f>MIN(in_takeup_cap,INDEX('Age profile'!$N$2:$N$61,B522)*(1+in_takeup_growth)^(D522-1))</f>
        <v/>
      </c>
      <c r="H522" s="11">
        <f>MIN(in_approval_cap,in_approved_first*INDEX('Age profile'!$O$2:$O$61,B522)*(1+in_approval_growth)^(D522-1))</f>
        <v/>
      </c>
      <c r="I522" s="45">
        <f>G522*MIN(in_takeup_cap,INDEX('Age profile'!$O$2:$O$61,B522)*(1+in_approval_growth)^(D522-1))</f>
        <v/>
      </c>
      <c r="J522" s="40">
        <f>(J521-L521)*F522/F521</f>
        <v/>
      </c>
      <c r="K522" s="40">
        <f>(K521-M521)*F522/F521+SUMIFS(O506:O521,B506:B521,B522-1-d_T)*F522</f>
        <v/>
      </c>
      <c r="L522" s="40">
        <f>IF(B522&gt;=in_marketplace_from,J522*d_hz*G522*in_eligible*H522,0)</f>
        <v/>
      </c>
      <c r="M522" s="40">
        <f>IF(B522&gt;=in_marketplace_from,K522*d_hz*G522*in_eligible*in_approved_repeat,0)</f>
        <v/>
      </c>
      <c r="N522" s="40">
        <f>L522+M522</f>
        <v/>
      </c>
      <c r="O522" s="46">
        <f>N522/F522</f>
        <v/>
      </c>
      <c r="P522" s="40">
        <f>F522-J522-K522</f>
        <v/>
      </c>
      <c r="Q522" s="40">
        <f>IF(B522&gt;=in_marketplace_from,(J522+K522)*d_hz*G522,0)</f>
        <v/>
      </c>
      <c r="R522" s="40">
        <f>SUMIFS(N506:N556,B506:B556,"&gt;="&amp;(B522-d_T),B506:B556,"&lt;="&amp;(B522-1))</f>
        <v/>
      </c>
      <c r="S522" s="46">
        <f>(1-d_u)*S521+IF(d_T&gt;in_topup_lag,SUMIFS(O506:O556,B506:B556,B522-in_topup_lag)-d_udrop*SUMIFS(O506:O556,B506:B556,B522-d_T),0)</f>
        <v/>
      </c>
      <c r="T522" s="40">
        <f>F522*d_u*S522</f>
        <v/>
      </c>
      <c r="U522" s="9">
        <f>L522*in_ticket+M522*d_rep_ticket</f>
        <v/>
      </c>
      <c r="V522" s="9">
        <f>U522+T522*d_topup_amt</f>
        <v/>
      </c>
      <c r="W522" s="40">
        <f>N522+T522*d_topup_ratio</f>
        <v/>
      </c>
      <c r="X522" s="40">
        <f>SUMIFS(W506:W556,B506:B556,B522-in_dpd_lag)*d_cured</f>
        <v/>
      </c>
      <c r="Y522" s="40">
        <f>SUMIFS(W506:W556,B506:B556,B522-in_rec_lag)*d_recd</f>
        <v/>
      </c>
      <c r="Z522" s="40">
        <f>IF(AND(B522&gt;=in_marketplace_from,B522&lt;in_marketplace_from+in_card_months),in_card_share/in_card_months*F522*I522,IF(AND(B522&gt;=in_marketplace_from+in_card_months,B522&lt;in_marketplace_from+2*in_card_months),in_card_share*d_card_rem/in_card_months*F522*MIN(in_takeup_cap,(1+in_takeup_growth)^(D522-1))*MIN(in_takeup_cap,(1+in_approval_growth)^(D522-1)),0))</f>
        <v/>
      </c>
      <c r="AA522" s="14">
        <f>V522*in_fee*(1-in_taken_back)</f>
        <v/>
      </c>
      <c r="AB522" s="14">
        <f>SUMIFS(W506:W556,B506:B556,B522-in_dpd_lag)*d_dpd</f>
        <v/>
      </c>
      <c r="AC522" s="14">
        <f>SUMIFS(W506:W556,B506:B556,B522-in_rec_lag)*d_rec</f>
        <v/>
      </c>
      <c r="AD522" s="14">
        <f>Z522*in_card_fee</f>
        <v/>
      </c>
      <c r="AE522" s="40">
        <f>AE521*(1-IF(B521&gt;=in_marketplace_from,d_hz_hlth_small*G521,0))</f>
        <v/>
      </c>
      <c r="AF522" s="46">
        <f>AE522*IF(B522&gt;=in_marketplace_from,d_hz_hlth_small*G522,0)</f>
        <v/>
      </c>
      <c r="AG522" s="14">
        <f>F522*AF522*in_hlth_small_ticket*in_hlth_small_comm*in_ins_partner_share+F522*in_hlth_small_ticket*in_hlth_small_renew_comm*in_ins_partner_share*(in_hlth_small_renew^1*SUMIFS(AF506:AF556,B506:B556,B522-12)+in_hlth_small_renew^2*SUMIFS(AF506:AF556,B506:B556,B522-24)+in_hlth_small_renew^3*SUMIFS(AF506:AF556,B506:B556,B522-36)+in_hlth_small_renew^4*SUMIFS(AF506:AF556,B506:B556,B522-48))</f>
        <v/>
      </c>
      <c r="AH522" s="40">
        <f>AH521*(1-IF(B521&gt;=in_marketplace_from,d_hz_hlth_family*G521,0))</f>
        <v/>
      </c>
      <c r="AI522" s="46">
        <f>AH522*IF(B522&gt;=in_marketplace_from,d_hz_hlth_family*G522,0)</f>
        <v/>
      </c>
      <c r="AJ522" s="14">
        <f>F522*AI522*in_hlth_family_ticket*in_hlth_family_comm*in_ins_partner_share+F522*in_hlth_family_ticket*in_hlth_family_renew_comm*in_ins_partner_share*(in_hlth_family_renew^1*SUMIFS(AI506:AI556,B506:B556,B522-12)+in_hlth_family_renew^2*SUMIFS(AI506:AI556,B506:B556,B522-24)+in_hlth_family_renew^3*SUMIFS(AI506:AI556,B506:B556,B522-36)+in_hlth_family_renew^4*SUMIFS(AI506:AI556,B506:B556,B522-48))</f>
        <v/>
      </c>
      <c r="AK522" s="40">
        <f>AK521*(1-IF(B521&gt;=in_marketplace_from,d_hz_life_term*G521,0))</f>
        <v/>
      </c>
      <c r="AL522" s="46">
        <f>AK522*IF(B522&gt;=in_marketplace_from,d_hz_life_term*G522,0)</f>
        <v/>
      </c>
      <c r="AM522" s="14">
        <f>F522*AL522*in_life_term_ticket*in_life_term_comm*in_ins_partner_share+F522*in_life_term_ticket*in_life_term_renew_comm*in_ins_partner_share*(in_life_term_renew^1*SUMIFS(AL506:AL556,B506:B556,B522-12)+in_life_term_renew^2*SUMIFS(AL506:AL556,B506:B556,B522-24)+in_life_term_renew^3*SUMIFS(AL506:AL556,B506:B556,B522-36)+in_life_term_renew^4*SUMIFS(AL506:AL556,B506:B556,B522-48))</f>
        <v/>
      </c>
      <c r="AN522" s="40">
        <f>AN521*(1-IF(B521&gt;=in_marketplace_from,d_hz_accident*G521,0))</f>
        <v/>
      </c>
      <c r="AO522" s="46">
        <f>AN522*IF(B522&gt;=in_marketplace_from,d_hz_accident*G522,0)</f>
        <v/>
      </c>
      <c r="AP522" s="14">
        <f>F522*AO522*in_accident_ticket*in_accident_comm*in_ins_partner_share+F522*in_accident_ticket*in_accident_renew_comm*in_ins_partner_share*(in_accident_renew^1*SUMIFS(AO506:AO556,B506:B556,B522-12)+in_accident_renew^2*SUMIFS(AO506:AO556,B506:B556,B522-24)+in_accident_renew^3*SUMIFS(AO506:AO556,B506:B556,B522-36)+in_accident_renew^4*SUMIFS(AO506:AO556,B506:B556,B522-48))</f>
        <v/>
      </c>
      <c r="AQ522" s="40">
        <f>AQ521*(1-IF(B521&gt;=in_marketplace_from,d_hz_two_wheeler*G521,0))</f>
        <v/>
      </c>
      <c r="AR522" s="46">
        <f>AQ522*IF(B522&gt;=in_marketplace_from,d_hz_two_wheeler*G522,0)</f>
        <v/>
      </c>
      <c r="AS522" s="14">
        <f>F522*AR522*in_two_wheeler_ticket*in_two_wheeler_comm*in_ins_partner_share+F522*in_two_wheeler_ticket*in_two_wheeler_comm*in_ins_partner_share*(in_two_wheeler_renew^1*SUMIFS(AR506:AR556,B506:B556,B522-12)+in_two_wheeler_renew^2*SUMIFS(AR506:AR556,B506:B556,B522-24)+in_two_wheeler_renew^3*SUMIFS(AR506:AR556,B506:B556,B522-36)+in_two_wheeler_renew^4*SUMIFS(AR506:AR556,B506:B556,B522-48))</f>
        <v/>
      </c>
      <c r="AT522" s="40">
        <f>AT521*(1-IF(B521&gt;=in_marketplace_from,d_hz_device*G521,0))</f>
        <v/>
      </c>
      <c r="AU522" s="14">
        <f>F522*AT522*IF(B522&gt;=in_marketplace_from,d_hz_device*G522,0)*in_device_ticket*in_device_comm*in_ins_partner_share</f>
        <v/>
      </c>
      <c r="AV522" s="40">
        <f>AV521*(1-IF(B521&gt;=in_marketplace_from,d_hz_shop*G521,0))</f>
        <v/>
      </c>
      <c r="AW522" s="46">
        <f>AV522*IF(B522&gt;=in_marketplace_from,d_hz_shop*G522,0)</f>
        <v/>
      </c>
      <c r="AX522" s="14">
        <f>F522*AW522*in_shop_ticket*in_shop_comm*in_ins_partner_share+F522*in_shop_ticket*in_shop_renew_comm*in_ins_partner_share*(in_shop_renew^1*SUMIFS(AW506:AW556,B506:B556,B522-12)+in_shop_renew^2*SUMIFS(AW506:AW556,B506:B556,B522-24)+in_shop_renew^3*SUMIFS(AW506:AW556,B506:B556,B522-36)+in_shop_renew^4*SUMIFS(AW506:AW556,B506:B556,B522-48))</f>
        <v/>
      </c>
      <c r="AY522" s="40">
        <f>AY521*(1-IF(B521&gt;=in_marketplace_from,d_hz_sip*G521,0))</f>
        <v/>
      </c>
      <c r="AZ522" s="40">
        <f>AZ521*d_rho_sip+AY522*IF(B522&gt;=in_marketplace_from,d_hz_sip*G522,0)</f>
        <v/>
      </c>
      <c r="BA522" s="40">
        <f>d_rho_sip*(BA521+AZ521)</f>
        <v/>
      </c>
      <c r="BB522" s="14">
        <f>F522*in_sip_ticket*(BA522+0.5*AZ522)*in_sip_comm/12</f>
        <v/>
      </c>
      <c r="BC522" s="40">
        <f>BC521*(1-IF(B521&gt;=in_marketplace_from,d_hz_choti*G521,0))</f>
        <v/>
      </c>
      <c r="BD522" s="46">
        <f>BC522*IF(B522&gt;=in_marketplace_from,d_hz_choti*G522,0)</f>
        <v/>
      </c>
      <c r="BE522" s="14">
        <f>F522*SUMIFS(BD506:BD556,B506:B556,B522-in_choti_months)*in_choti_renew*in_choti_ticket</f>
        <v/>
      </c>
      <c r="BF522" s="40">
        <f>BF521*(1-IF(B521&gt;=in_marketplace_from,d_hz_nps*G521,0))</f>
        <v/>
      </c>
      <c r="BG522" s="14">
        <f>F522*BF522*IF(B522&gt;=in_marketplace_from,d_hz_nps*G522,0)*in_nps_ticket*in_nps_comm</f>
        <v/>
      </c>
      <c r="BH522" s="40">
        <f>BH521*(1-IF(B521&gt;=in_marketplace_from,d_hz_gold*G521,0))</f>
        <v/>
      </c>
      <c r="BI522" s="40">
        <f>BI521*d_rho_gold+BH522*IF(B522&gt;=in_marketplace_from,d_hz_gold*G522,0)</f>
        <v/>
      </c>
      <c r="BJ522" s="14">
        <f>F522*BI522*in_gold_ticket*in_gold_comm</f>
        <v/>
      </c>
      <c r="BK522" s="40">
        <f>BK521*(1-IF(B521&gt;=in_marketplace_from,d_hz_fd*G521,0))</f>
        <v/>
      </c>
      <c r="BL522" s="14">
        <f>F522*BK522*IF(B522&gt;=in_marketplace_from,d_hz_fd*G522,0)*in_fd_ticket*in_fd_comm</f>
        <v/>
      </c>
      <c r="BM522" s="40">
        <f>BM521*(1-IF(B521&gt;=in_marketplace_from,d_hz_recharge*G521,0))</f>
        <v/>
      </c>
      <c r="BN522" s="40">
        <f>BN521*d_rho_recharge+BM522*IF(B522&gt;=in_marketplace_from,d_hz_recharge*G522,0)</f>
        <v/>
      </c>
      <c r="BO522" s="14">
        <f>F522*BN522*in_recharge_ticket*in_recharge_comm/12</f>
        <v/>
      </c>
      <c r="BP522" s="40">
        <f>BP521*(1-IF(B521&gt;=in_marketplace_from,d_hz_bills*G521,0))</f>
        <v/>
      </c>
      <c r="BQ522" s="40">
        <f>BQ521*d_rho_bills+BP522*IF(B522&gt;=in_marketplace_from,d_hz_bills*G522,0)</f>
        <v/>
      </c>
      <c r="BR522" s="14">
        <f>F522*BQ522*in_bills_ticket*in_bills_comm/12</f>
        <v/>
      </c>
      <c r="BS522" s="40">
        <f>BS521*(1-IF(B521&gt;=in_marketplace_from,d_hz_loan_gold*G521,0))</f>
        <v/>
      </c>
      <c r="BT522" s="14">
        <f>F522*BS522*IF(B522&gt;=in_marketplace_from,d_hz_loan_gold*G522,0)*in_loan_gold_ticket*in_loan_gold_comm</f>
        <v/>
      </c>
      <c r="BU522" s="40">
        <f>BU521*(1-IF(B521&gt;=in_marketplace_from,d_hz_loan_cd*G521,0))</f>
        <v/>
      </c>
      <c r="BV522" s="14">
        <f>F522*BU522*IF(B522&gt;=in_marketplace_from,d_hz_loan_cd*G522,0)*in_loan_cd_ticket*in_loan_cd_comm</f>
        <v/>
      </c>
      <c r="BW522" s="40">
        <f>BW521*(1-IF(B521&gt;=in_marketplace_from,d_hz_loan_vehicle*G521,0))</f>
        <v/>
      </c>
      <c r="BX522" s="14">
        <f>F522*BW522*IF(B522&gt;=in_marketplace_from,d_hz_loan_vehicle*G522,0)*in_loan_vehicle_ticket*in_loan_vehicle_comm</f>
        <v/>
      </c>
      <c r="BY522" s="40">
        <f>BY521*(1-IF(B521&gt;=in_marketplace_from,d_hz_loan_home*G521,0)*BZ521)</f>
        <v/>
      </c>
      <c r="BZ522" s="11">
        <f>MIN(in_approval_cap,in_loan_home_approval*INDEX('Age profile'!$O$2:$O$61,B522)*(1+in_approval_growth)^(D522-1))</f>
        <v/>
      </c>
      <c r="CA522" s="14">
        <f>F522*BY522*IF(B522&gt;=in_marketplace_from,d_hz_loan_home*G522,0)*BZ522*in_loan_home_ticket*in_loan_home_comm</f>
        <v/>
      </c>
      <c r="CB522" s="40">
        <f>CB521*(1-IF(B521&gt;=in_marketplace_from,d_hz_loan_lap*G521,0)*CC521)</f>
        <v/>
      </c>
      <c r="CC522" s="11">
        <f>MIN(in_approval_cap,in_loan_lap_approval*INDEX('Age profile'!$O$2:$O$61,B522)*(1+in_approval_growth)^(D522-1))</f>
        <v/>
      </c>
      <c r="CD522" s="14">
        <f>F522*CB522*IF(B522&gt;=in_marketplace_from,d_hz_loan_lap*G522,0)*CC522*in_loan_lap_ticket*in_loan_lap_comm</f>
        <v/>
      </c>
      <c r="CE522" s="14">
        <f>AA522+AB522+AC522+AD522+AG522+AJ522+AM522+AP522+AS522+AU522+AX522+BB522+BE522+BG522+BJ522+BL522+BO522+BR522+BT522+BV522+BX522+CA522+CD522</f>
        <v/>
      </c>
    </row>
    <row r="523">
      <c r="A523" s="39" t="n">
        <v>10</v>
      </c>
      <c r="B523" s="39" t="n">
        <v>18</v>
      </c>
      <c r="C523" s="39">
        <f>A523+B523-1</f>
        <v/>
      </c>
      <c r="D523" s="39">
        <f>INT((C523-1)/12)+1</f>
        <v/>
      </c>
      <c r="E523" s="44">
        <f>INDEX(Monthly!$B$2:$B$61,A523)</f>
        <v/>
      </c>
      <c r="F523" s="44">
        <f>E523*INDEX('Age profile'!$B$2:$B$61,B523)</f>
        <v/>
      </c>
      <c r="G523" s="45">
        <f>MIN(in_takeup_cap,INDEX('Age profile'!$N$2:$N$61,B523)*(1+in_takeup_growth)^(D523-1))</f>
        <v/>
      </c>
      <c r="H523" s="11">
        <f>MIN(in_approval_cap,in_approved_first*INDEX('Age profile'!$O$2:$O$61,B523)*(1+in_approval_growth)^(D523-1))</f>
        <v/>
      </c>
      <c r="I523" s="45">
        <f>G523*MIN(in_takeup_cap,INDEX('Age profile'!$O$2:$O$61,B523)*(1+in_approval_growth)^(D523-1))</f>
        <v/>
      </c>
      <c r="J523" s="40">
        <f>(J522-L522)*F523/F522</f>
        <v/>
      </c>
      <c r="K523" s="40">
        <f>(K522-M522)*F523/F522+SUMIFS(O506:O522,B506:B522,B523-1-d_T)*F523</f>
        <v/>
      </c>
      <c r="L523" s="40">
        <f>IF(B523&gt;=in_marketplace_from,J523*d_hz*G523*in_eligible*H523,0)</f>
        <v/>
      </c>
      <c r="M523" s="40">
        <f>IF(B523&gt;=in_marketplace_from,K523*d_hz*G523*in_eligible*in_approved_repeat,0)</f>
        <v/>
      </c>
      <c r="N523" s="40">
        <f>L523+M523</f>
        <v/>
      </c>
      <c r="O523" s="46">
        <f>N523/F523</f>
        <v/>
      </c>
      <c r="P523" s="40">
        <f>F523-J523-K523</f>
        <v/>
      </c>
      <c r="Q523" s="40">
        <f>IF(B523&gt;=in_marketplace_from,(J523+K523)*d_hz*G523,0)</f>
        <v/>
      </c>
      <c r="R523" s="40">
        <f>SUMIFS(N506:N556,B506:B556,"&gt;="&amp;(B523-d_T),B506:B556,"&lt;="&amp;(B523-1))</f>
        <v/>
      </c>
      <c r="S523" s="46">
        <f>(1-d_u)*S522+IF(d_T&gt;in_topup_lag,SUMIFS(O506:O556,B506:B556,B523-in_topup_lag)-d_udrop*SUMIFS(O506:O556,B506:B556,B523-d_T),0)</f>
        <v/>
      </c>
      <c r="T523" s="40">
        <f>F523*d_u*S523</f>
        <v/>
      </c>
      <c r="U523" s="9">
        <f>L523*in_ticket+M523*d_rep_ticket</f>
        <v/>
      </c>
      <c r="V523" s="9">
        <f>U523+T523*d_topup_amt</f>
        <v/>
      </c>
      <c r="W523" s="40">
        <f>N523+T523*d_topup_ratio</f>
        <v/>
      </c>
      <c r="X523" s="40">
        <f>SUMIFS(W506:W556,B506:B556,B523-in_dpd_lag)*d_cured</f>
        <v/>
      </c>
      <c r="Y523" s="40">
        <f>SUMIFS(W506:W556,B506:B556,B523-in_rec_lag)*d_recd</f>
        <v/>
      </c>
      <c r="Z523" s="40">
        <f>IF(AND(B523&gt;=in_marketplace_from,B523&lt;in_marketplace_from+in_card_months),in_card_share/in_card_months*F523*I523,IF(AND(B523&gt;=in_marketplace_from+in_card_months,B523&lt;in_marketplace_from+2*in_card_months),in_card_share*d_card_rem/in_card_months*F523*MIN(in_takeup_cap,(1+in_takeup_growth)^(D523-1))*MIN(in_takeup_cap,(1+in_approval_growth)^(D523-1)),0))</f>
        <v/>
      </c>
      <c r="AA523" s="14">
        <f>V523*in_fee*(1-in_taken_back)</f>
        <v/>
      </c>
      <c r="AB523" s="14">
        <f>SUMIFS(W506:W556,B506:B556,B523-in_dpd_lag)*d_dpd</f>
        <v/>
      </c>
      <c r="AC523" s="14">
        <f>SUMIFS(W506:W556,B506:B556,B523-in_rec_lag)*d_rec</f>
        <v/>
      </c>
      <c r="AD523" s="14">
        <f>Z523*in_card_fee</f>
        <v/>
      </c>
      <c r="AE523" s="40">
        <f>AE522*(1-IF(B522&gt;=in_marketplace_from,d_hz_hlth_small*G522,0))</f>
        <v/>
      </c>
      <c r="AF523" s="46">
        <f>AE523*IF(B523&gt;=in_marketplace_from,d_hz_hlth_small*G523,0)</f>
        <v/>
      </c>
      <c r="AG523" s="14">
        <f>F523*AF523*in_hlth_small_ticket*in_hlth_small_comm*in_ins_partner_share+F523*in_hlth_small_ticket*in_hlth_small_renew_comm*in_ins_partner_share*(in_hlth_small_renew^1*SUMIFS(AF506:AF556,B506:B556,B523-12)+in_hlth_small_renew^2*SUMIFS(AF506:AF556,B506:B556,B523-24)+in_hlth_small_renew^3*SUMIFS(AF506:AF556,B506:B556,B523-36)+in_hlth_small_renew^4*SUMIFS(AF506:AF556,B506:B556,B523-48))</f>
        <v/>
      </c>
      <c r="AH523" s="40">
        <f>AH522*(1-IF(B522&gt;=in_marketplace_from,d_hz_hlth_family*G522,0))</f>
        <v/>
      </c>
      <c r="AI523" s="46">
        <f>AH523*IF(B523&gt;=in_marketplace_from,d_hz_hlth_family*G523,0)</f>
        <v/>
      </c>
      <c r="AJ523" s="14">
        <f>F523*AI523*in_hlth_family_ticket*in_hlth_family_comm*in_ins_partner_share+F523*in_hlth_family_ticket*in_hlth_family_renew_comm*in_ins_partner_share*(in_hlth_family_renew^1*SUMIFS(AI506:AI556,B506:B556,B523-12)+in_hlth_family_renew^2*SUMIFS(AI506:AI556,B506:B556,B523-24)+in_hlth_family_renew^3*SUMIFS(AI506:AI556,B506:B556,B523-36)+in_hlth_family_renew^4*SUMIFS(AI506:AI556,B506:B556,B523-48))</f>
        <v/>
      </c>
      <c r="AK523" s="40">
        <f>AK522*(1-IF(B522&gt;=in_marketplace_from,d_hz_life_term*G522,0))</f>
        <v/>
      </c>
      <c r="AL523" s="46">
        <f>AK523*IF(B523&gt;=in_marketplace_from,d_hz_life_term*G523,0)</f>
        <v/>
      </c>
      <c r="AM523" s="14">
        <f>F523*AL523*in_life_term_ticket*in_life_term_comm*in_ins_partner_share+F523*in_life_term_ticket*in_life_term_renew_comm*in_ins_partner_share*(in_life_term_renew^1*SUMIFS(AL506:AL556,B506:B556,B523-12)+in_life_term_renew^2*SUMIFS(AL506:AL556,B506:B556,B523-24)+in_life_term_renew^3*SUMIFS(AL506:AL556,B506:B556,B523-36)+in_life_term_renew^4*SUMIFS(AL506:AL556,B506:B556,B523-48))</f>
        <v/>
      </c>
      <c r="AN523" s="40">
        <f>AN522*(1-IF(B522&gt;=in_marketplace_from,d_hz_accident*G522,0))</f>
        <v/>
      </c>
      <c r="AO523" s="46">
        <f>AN523*IF(B523&gt;=in_marketplace_from,d_hz_accident*G523,0)</f>
        <v/>
      </c>
      <c r="AP523" s="14">
        <f>F523*AO523*in_accident_ticket*in_accident_comm*in_ins_partner_share+F523*in_accident_ticket*in_accident_renew_comm*in_ins_partner_share*(in_accident_renew^1*SUMIFS(AO506:AO556,B506:B556,B523-12)+in_accident_renew^2*SUMIFS(AO506:AO556,B506:B556,B523-24)+in_accident_renew^3*SUMIFS(AO506:AO556,B506:B556,B523-36)+in_accident_renew^4*SUMIFS(AO506:AO556,B506:B556,B523-48))</f>
        <v/>
      </c>
      <c r="AQ523" s="40">
        <f>AQ522*(1-IF(B522&gt;=in_marketplace_from,d_hz_two_wheeler*G522,0))</f>
        <v/>
      </c>
      <c r="AR523" s="46">
        <f>AQ523*IF(B523&gt;=in_marketplace_from,d_hz_two_wheeler*G523,0)</f>
        <v/>
      </c>
      <c r="AS523" s="14">
        <f>F523*AR523*in_two_wheeler_ticket*in_two_wheeler_comm*in_ins_partner_share+F523*in_two_wheeler_ticket*in_two_wheeler_comm*in_ins_partner_share*(in_two_wheeler_renew^1*SUMIFS(AR506:AR556,B506:B556,B523-12)+in_two_wheeler_renew^2*SUMIFS(AR506:AR556,B506:B556,B523-24)+in_two_wheeler_renew^3*SUMIFS(AR506:AR556,B506:B556,B523-36)+in_two_wheeler_renew^4*SUMIFS(AR506:AR556,B506:B556,B523-48))</f>
        <v/>
      </c>
      <c r="AT523" s="40">
        <f>AT522*(1-IF(B522&gt;=in_marketplace_from,d_hz_device*G522,0))</f>
        <v/>
      </c>
      <c r="AU523" s="14">
        <f>F523*AT523*IF(B523&gt;=in_marketplace_from,d_hz_device*G523,0)*in_device_ticket*in_device_comm*in_ins_partner_share</f>
        <v/>
      </c>
      <c r="AV523" s="40">
        <f>AV522*(1-IF(B522&gt;=in_marketplace_from,d_hz_shop*G522,0))</f>
        <v/>
      </c>
      <c r="AW523" s="46">
        <f>AV523*IF(B523&gt;=in_marketplace_from,d_hz_shop*G523,0)</f>
        <v/>
      </c>
      <c r="AX523" s="14">
        <f>F523*AW523*in_shop_ticket*in_shop_comm*in_ins_partner_share+F523*in_shop_ticket*in_shop_renew_comm*in_ins_partner_share*(in_shop_renew^1*SUMIFS(AW506:AW556,B506:B556,B523-12)+in_shop_renew^2*SUMIFS(AW506:AW556,B506:B556,B523-24)+in_shop_renew^3*SUMIFS(AW506:AW556,B506:B556,B523-36)+in_shop_renew^4*SUMIFS(AW506:AW556,B506:B556,B523-48))</f>
        <v/>
      </c>
      <c r="AY523" s="40">
        <f>AY522*(1-IF(B522&gt;=in_marketplace_from,d_hz_sip*G522,0))</f>
        <v/>
      </c>
      <c r="AZ523" s="40">
        <f>AZ522*d_rho_sip+AY523*IF(B523&gt;=in_marketplace_from,d_hz_sip*G523,0)</f>
        <v/>
      </c>
      <c r="BA523" s="40">
        <f>d_rho_sip*(BA522+AZ522)</f>
        <v/>
      </c>
      <c r="BB523" s="14">
        <f>F523*in_sip_ticket*(BA523+0.5*AZ523)*in_sip_comm/12</f>
        <v/>
      </c>
      <c r="BC523" s="40">
        <f>BC522*(1-IF(B522&gt;=in_marketplace_from,d_hz_choti*G522,0))</f>
        <v/>
      </c>
      <c r="BD523" s="46">
        <f>BC523*IF(B523&gt;=in_marketplace_from,d_hz_choti*G523,0)</f>
        <v/>
      </c>
      <c r="BE523" s="14">
        <f>F523*SUMIFS(BD506:BD556,B506:B556,B523-in_choti_months)*in_choti_renew*in_choti_ticket</f>
        <v/>
      </c>
      <c r="BF523" s="40">
        <f>BF522*(1-IF(B522&gt;=in_marketplace_from,d_hz_nps*G522,0))</f>
        <v/>
      </c>
      <c r="BG523" s="14">
        <f>F523*BF523*IF(B523&gt;=in_marketplace_from,d_hz_nps*G523,0)*in_nps_ticket*in_nps_comm</f>
        <v/>
      </c>
      <c r="BH523" s="40">
        <f>BH522*(1-IF(B522&gt;=in_marketplace_from,d_hz_gold*G522,0))</f>
        <v/>
      </c>
      <c r="BI523" s="40">
        <f>BI522*d_rho_gold+BH523*IF(B523&gt;=in_marketplace_from,d_hz_gold*G523,0)</f>
        <v/>
      </c>
      <c r="BJ523" s="14">
        <f>F523*BI523*in_gold_ticket*in_gold_comm</f>
        <v/>
      </c>
      <c r="BK523" s="40">
        <f>BK522*(1-IF(B522&gt;=in_marketplace_from,d_hz_fd*G522,0))</f>
        <v/>
      </c>
      <c r="BL523" s="14">
        <f>F523*BK523*IF(B523&gt;=in_marketplace_from,d_hz_fd*G523,0)*in_fd_ticket*in_fd_comm</f>
        <v/>
      </c>
      <c r="BM523" s="40">
        <f>BM522*(1-IF(B522&gt;=in_marketplace_from,d_hz_recharge*G522,0))</f>
        <v/>
      </c>
      <c r="BN523" s="40">
        <f>BN522*d_rho_recharge+BM523*IF(B523&gt;=in_marketplace_from,d_hz_recharge*G523,0)</f>
        <v/>
      </c>
      <c r="BO523" s="14">
        <f>F523*BN523*in_recharge_ticket*in_recharge_comm/12</f>
        <v/>
      </c>
      <c r="BP523" s="40">
        <f>BP522*(1-IF(B522&gt;=in_marketplace_from,d_hz_bills*G522,0))</f>
        <v/>
      </c>
      <c r="BQ523" s="40">
        <f>BQ522*d_rho_bills+BP523*IF(B523&gt;=in_marketplace_from,d_hz_bills*G523,0)</f>
        <v/>
      </c>
      <c r="BR523" s="14">
        <f>F523*BQ523*in_bills_ticket*in_bills_comm/12</f>
        <v/>
      </c>
      <c r="BS523" s="40">
        <f>BS522*(1-IF(B522&gt;=in_marketplace_from,d_hz_loan_gold*G522,0))</f>
        <v/>
      </c>
      <c r="BT523" s="14">
        <f>F523*BS523*IF(B523&gt;=in_marketplace_from,d_hz_loan_gold*G523,0)*in_loan_gold_ticket*in_loan_gold_comm</f>
        <v/>
      </c>
      <c r="BU523" s="40">
        <f>BU522*(1-IF(B522&gt;=in_marketplace_from,d_hz_loan_cd*G522,0))</f>
        <v/>
      </c>
      <c r="BV523" s="14">
        <f>F523*BU523*IF(B523&gt;=in_marketplace_from,d_hz_loan_cd*G523,0)*in_loan_cd_ticket*in_loan_cd_comm</f>
        <v/>
      </c>
      <c r="BW523" s="40">
        <f>BW522*(1-IF(B522&gt;=in_marketplace_from,d_hz_loan_vehicle*G522,0))</f>
        <v/>
      </c>
      <c r="BX523" s="14">
        <f>F523*BW523*IF(B523&gt;=in_marketplace_from,d_hz_loan_vehicle*G523,0)*in_loan_vehicle_ticket*in_loan_vehicle_comm</f>
        <v/>
      </c>
      <c r="BY523" s="40">
        <f>BY522*(1-IF(B522&gt;=in_marketplace_from,d_hz_loan_home*G522,0)*BZ522)</f>
        <v/>
      </c>
      <c r="BZ523" s="11">
        <f>MIN(in_approval_cap,in_loan_home_approval*INDEX('Age profile'!$O$2:$O$61,B523)*(1+in_approval_growth)^(D523-1))</f>
        <v/>
      </c>
      <c r="CA523" s="14">
        <f>F523*BY523*IF(B523&gt;=in_marketplace_from,d_hz_loan_home*G523,0)*BZ523*in_loan_home_ticket*in_loan_home_comm</f>
        <v/>
      </c>
      <c r="CB523" s="40">
        <f>CB522*(1-IF(B522&gt;=in_marketplace_from,d_hz_loan_lap*G522,0)*CC522)</f>
        <v/>
      </c>
      <c r="CC523" s="11">
        <f>MIN(in_approval_cap,in_loan_lap_approval*INDEX('Age profile'!$O$2:$O$61,B523)*(1+in_approval_growth)^(D523-1))</f>
        <v/>
      </c>
      <c r="CD523" s="14">
        <f>F523*CB523*IF(B523&gt;=in_marketplace_from,d_hz_loan_lap*G523,0)*CC523*in_loan_lap_ticket*in_loan_lap_comm</f>
        <v/>
      </c>
      <c r="CE523" s="14">
        <f>AA523+AB523+AC523+AD523+AG523+AJ523+AM523+AP523+AS523+AU523+AX523+BB523+BE523+BG523+BJ523+BL523+BO523+BR523+BT523+BV523+BX523+CA523+CD523</f>
        <v/>
      </c>
    </row>
    <row r="524">
      <c r="A524" s="39" t="n">
        <v>10</v>
      </c>
      <c r="B524" s="39" t="n">
        <v>19</v>
      </c>
      <c r="C524" s="39">
        <f>A524+B524-1</f>
        <v/>
      </c>
      <c r="D524" s="39">
        <f>INT((C524-1)/12)+1</f>
        <v/>
      </c>
      <c r="E524" s="44">
        <f>INDEX(Monthly!$B$2:$B$61,A524)</f>
        <v/>
      </c>
      <c r="F524" s="44">
        <f>E524*INDEX('Age profile'!$B$2:$B$61,B524)</f>
        <v/>
      </c>
      <c r="G524" s="45">
        <f>MIN(in_takeup_cap,INDEX('Age profile'!$N$2:$N$61,B524)*(1+in_takeup_growth)^(D524-1))</f>
        <v/>
      </c>
      <c r="H524" s="11">
        <f>MIN(in_approval_cap,in_approved_first*INDEX('Age profile'!$O$2:$O$61,B524)*(1+in_approval_growth)^(D524-1))</f>
        <v/>
      </c>
      <c r="I524" s="45">
        <f>G524*MIN(in_takeup_cap,INDEX('Age profile'!$O$2:$O$61,B524)*(1+in_approval_growth)^(D524-1))</f>
        <v/>
      </c>
      <c r="J524" s="40">
        <f>(J523-L523)*F524/F523</f>
        <v/>
      </c>
      <c r="K524" s="40">
        <f>(K523-M523)*F524/F523+SUMIFS(O506:O523,B506:B523,B524-1-d_T)*F524</f>
        <v/>
      </c>
      <c r="L524" s="40">
        <f>IF(B524&gt;=in_marketplace_from,J524*d_hz*G524*in_eligible*H524,0)</f>
        <v/>
      </c>
      <c r="M524" s="40">
        <f>IF(B524&gt;=in_marketplace_from,K524*d_hz*G524*in_eligible*in_approved_repeat,0)</f>
        <v/>
      </c>
      <c r="N524" s="40">
        <f>L524+M524</f>
        <v/>
      </c>
      <c r="O524" s="46">
        <f>N524/F524</f>
        <v/>
      </c>
      <c r="P524" s="40">
        <f>F524-J524-K524</f>
        <v/>
      </c>
      <c r="Q524" s="40">
        <f>IF(B524&gt;=in_marketplace_from,(J524+K524)*d_hz*G524,0)</f>
        <v/>
      </c>
      <c r="R524" s="40">
        <f>SUMIFS(N506:N556,B506:B556,"&gt;="&amp;(B524-d_T),B506:B556,"&lt;="&amp;(B524-1))</f>
        <v/>
      </c>
      <c r="S524" s="46">
        <f>(1-d_u)*S523+IF(d_T&gt;in_topup_lag,SUMIFS(O506:O556,B506:B556,B524-in_topup_lag)-d_udrop*SUMIFS(O506:O556,B506:B556,B524-d_T),0)</f>
        <v/>
      </c>
      <c r="T524" s="40">
        <f>F524*d_u*S524</f>
        <v/>
      </c>
      <c r="U524" s="9">
        <f>L524*in_ticket+M524*d_rep_ticket</f>
        <v/>
      </c>
      <c r="V524" s="9">
        <f>U524+T524*d_topup_amt</f>
        <v/>
      </c>
      <c r="W524" s="40">
        <f>N524+T524*d_topup_ratio</f>
        <v/>
      </c>
      <c r="X524" s="40">
        <f>SUMIFS(W506:W556,B506:B556,B524-in_dpd_lag)*d_cured</f>
        <v/>
      </c>
      <c r="Y524" s="40">
        <f>SUMIFS(W506:W556,B506:B556,B524-in_rec_lag)*d_recd</f>
        <v/>
      </c>
      <c r="Z524" s="40">
        <f>IF(AND(B524&gt;=in_marketplace_from,B524&lt;in_marketplace_from+in_card_months),in_card_share/in_card_months*F524*I524,IF(AND(B524&gt;=in_marketplace_from+in_card_months,B524&lt;in_marketplace_from+2*in_card_months),in_card_share*d_card_rem/in_card_months*F524*MIN(in_takeup_cap,(1+in_takeup_growth)^(D524-1))*MIN(in_takeup_cap,(1+in_approval_growth)^(D524-1)),0))</f>
        <v/>
      </c>
      <c r="AA524" s="14">
        <f>V524*in_fee*(1-in_taken_back)</f>
        <v/>
      </c>
      <c r="AB524" s="14">
        <f>SUMIFS(W506:W556,B506:B556,B524-in_dpd_lag)*d_dpd</f>
        <v/>
      </c>
      <c r="AC524" s="14">
        <f>SUMIFS(W506:W556,B506:B556,B524-in_rec_lag)*d_rec</f>
        <v/>
      </c>
      <c r="AD524" s="14">
        <f>Z524*in_card_fee</f>
        <v/>
      </c>
      <c r="AE524" s="40">
        <f>AE523*(1-IF(B523&gt;=in_marketplace_from,d_hz_hlth_small*G523,0))</f>
        <v/>
      </c>
      <c r="AF524" s="46">
        <f>AE524*IF(B524&gt;=in_marketplace_from,d_hz_hlth_small*G524,0)</f>
        <v/>
      </c>
      <c r="AG524" s="14">
        <f>F524*AF524*in_hlth_small_ticket*in_hlth_small_comm*in_ins_partner_share+F524*in_hlth_small_ticket*in_hlth_small_renew_comm*in_ins_partner_share*(in_hlth_small_renew^1*SUMIFS(AF506:AF556,B506:B556,B524-12)+in_hlth_small_renew^2*SUMIFS(AF506:AF556,B506:B556,B524-24)+in_hlth_small_renew^3*SUMIFS(AF506:AF556,B506:B556,B524-36)+in_hlth_small_renew^4*SUMIFS(AF506:AF556,B506:B556,B524-48))</f>
        <v/>
      </c>
      <c r="AH524" s="40">
        <f>AH523*(1-IF(B523&gt;=in_marketplace_from,d_hz_hlth_family*G523,0))</f>
        <v/>
      </c>
      <c r="AI524" s="46">
        <f>AH524*IF(B524&gt;=in_marketplace_from,d_hz_hlth_family*G524,0)</f>
        <v/>
      </c>
      <c r="AJ524" s="14">
        <f>F524*AI524*in_hlth_family_ticket*in_hlth_family_comm*in_ins_partner_share+F524*in_hlth_family_ticket*in_hlth_family_renew_comm*in_ins_partner_share*(in_hlth_family_renew^1*SUMIFS(AI506:AI556,B506:B556,B524-12)+in_hlth_family_renew^2*SUMIFS(AI506:AI556,B506:B556,B524-24)+in_hlth_family_renew^3*SUMIFS(AI506:AI556,B506:B556,B524-36)+in_hlth_family_renew^4*SUMIFS(AI506:AI556,B506:B556,B524-48))</f>
        <v/>
      </c>
      <c r="AK524" s="40">
        <f>AK523*(1-IF(B523&gt;=in_marketplace_from,d_hz_life_term*G523,0))</f>
        <v/>
      </c>
      <c r="AL524" s="46">
        <f>AK524*IF(B524&gt;=in_marketplace_from,d_hz_life_term*G524,0)</f>
        <v/>
      </c>
      <c r="AM524" s="14">
        <f>F524*AL524*in_life_term_ticket*in_life_term_comm*in_ins_partner_share+F524*in_life_term_ticket*in_life_term_renew_comm*in_ins_partner_share*(in_life_term_renew^1*SUMIFS(AL506:AL556,B506:B556,B524-12)+in_life_term_renew^2*SUMIFS(AL506:AL556,B506:B556,B524-24)+in_life_term_renew^3*SUMIFS(AL506:AL556,B506:B556,B524-36)+in_life_term_renew^4*SUMIFS(AL506:AL556,B506:B556,B524-48))</f>
        <v/>
      </c>
      <c r="AN524" s="40">
        <f>AN523*(1-IF(B523&gt;=in_marketplace_from,d_hz_accident*G523,0))</f>
        <v/>
      </c>
      <c r="AO524" s="46">
        <f>AN524*IF(B524&gt;=in_marketplace_from,d_hz_accident*G524,0)</f>
        <v/>
      </c>
      <c r="AP524" s="14">
        <f>F524*AO524*in_accident_ticket*in_accident_comm*in_ins_partner_share+F524*in_accident_ticket*in_accident_renew_comm*in_ins_partner_share*(in_accident_renew^1*SUMIFS(AO506:AO556,B506:B556,B524-12)+in_accident_renew^2*SUMIFS(AO506:AO556,B506:B556,B524-24)+in_accident_renew^3*SUMIFS(AO506:AO556,B506:B556,B524-36)+in_accident_renew^4*SUMIFS(AO506:AO556,B506:B556,B524-48))</f>
        <v/>
      </c>
      <c r="AQ524" s="40">
        <f>AQ523*(1-IF(B523&gt;=in_marketplace_from,d_hz_two_wheeler*G523,0))</f>
        <v/>
      </c>
      <c r="AR524" s="46">
        <f>AQ524*IF(B524&gt;=in_marketplace_from,d_hz_two_wheeler*G524,0)</f>
        <v/>
      </c>
      <c r="AS524" s="14">
        <f>F524*AR524*in_two_wheeler_ticket*in_two_wheeler_comm*in_ins_partner_share+F524*in_two_wheeler_ticket*in_two_wheeler_comm*in_ins_partner_share*(in_two_wheeler_renew^1*SUMIFS(AR506:AR556,B506:B556,B524-12)+in_two_wheeler_renew^2*SUMIFS(AR506:AR556,B506:B556,B524-24)+in_two_wheeler_renew^3*SUMIFS(AR506:AR556,B506:B556,B524-36)+in_two_wheeler_renew^4*SUMIFS(AR506:AR556,B506:B556,B524-48))</f>
        <v/>
      </c>
      <c r="AT524" s="40">
        <f>AT523*(1-IF(B523&gt;=in_marketplace_from,d_hz_device*G523,0))</f>
        <v/>
      </c>
      <c r="AU524" s="14">
        <f>F524*AT524*IF(B524&gt;=in_marketplace_from,d_hz_device*G524,0)*in_device_ticket*in_device_comm*in_ins_partner_share</f>
        <v/>
      </c>
      <c r="AV524" s="40">
        <f>AV523*(1-IF(B523&gt;=in_marketplace_from,d_hz_shop*G523,0))</f>
        <v/>
      </c>
      <c r="AW524" s="46">
        <f>AV524*IF(B524&gt;=in_marketplace_from,d_hz_shop*G524,0)</f>
        <v/>
      </c>
      <c r="AX524" s="14">
        <f>F524*AW524*in_shop_ticket*in_shop_comm*in_ins_partner_share+F524*in_shop_ticket*in_shop_renew_comm*in_ins_partner_share*(in_shop_renew^1*SUMIFS(AW506:AW556,B506:B556,B524-12)+in_shop_renew^2*SUMIFS(AW506:AW556,B506:B556,B524-24)+in_shop_renew^3*SUMIFS(AW506:AW556,B506:B556,B524-36)+in_shop_renew^4*SUMIFS(AW506:AW556,B506:B556,B524-48))</f>
        <v/>
      </c>
      <c r="AY524" s="40">
        <f>AY523*(1-IF(B523&gt;=in_marketplace_from,d_hz_sip*G523,0))</f>
        <v/>
      </c>
      <c r="AZ524" s="40">
        <f>AZ523*d_rho_sip+AY524*IF(B524&gt;=in_marketplace_from,d_hz_sip*G524,0)</f>
        <v/>
      </c>
      <c r="BA524" s="40">
        <f>d_rho_sip*(BA523+AZ523)</f>
        <v/>
      </c>
      <c r="BB524" s="14">
        <f>F524*in_sip_ticket*(BA524+0.5*AZ524)*in_sip_comm/12</f>
        <v/>
      </c>
      <c r="BC524" s="40">
        <f>BC523*(1-IF(B523&gt;=in_marketplace_from,d_hz_choti*G523,0))</f>
        <v/>
      </c>
      <c r="BD524" s="46">
        <f>BC524*IF(B524&gt;=in_marketplace_from,d_hz_choti*G524,0)</f>
        <v/>
      </c>
      <c r="BE524" s="14">
        <f>F524*SUMIFS(BD506:BD556,B506:B556,B524-in_choti_months)*in_choti_renew*in_choti_ticket</f>
        <v/>
      </c>
      <c r="BF524" s="40">
        <f>BF523*(1-IF(B523&gt;=in_marketplace_from,d_hz_nps*G523,0))</f>
        <v/>
      </c>
      <c r="BG524" s="14">
        <f>F524*BF524*IF(B524&gt;=in_marketplace_from,d_hz_nps*G524,0)*in_nps_ticket*in_nps_comm</f>
        <v/>
      </c>
      <c r="BH524" s="40">
        <f>BH523*(1-IF(B523&gt;=in_marketplace_from,d_hz_gold*G523,0))</f>
        <v/>
      </c>
      <c r="BI524" s="40">
        <f>BI523*d_rho_gold+BH524*IF(B524&gt;=in_marketplace_from,d_hz_gold*G524,0)</f>
        <v/>
      </c>
      <c r="BJ524" s="14">
        <f>F524*BI524*in_gold_ticket*in_gold_comm</f>
        <v/>
      </c>
      <c r="BK524" s="40">
        <f>BK523*(1-IF(B523&gt;=in_marketplace_from,d_hz_fd*G523,0))</f>
        <v/>
      </c>
      <c r="BL524" s="14">
        <f>F524*BK524*IF(B524&gt;=in_marketplace_from,d_hz_fd*G524,0)*in_fd_ticket*in_fd_comm</f>
        <v/>
      </c>
      <c r="BM524" s="40">
        <f>BM523*(1-IF(B523&gt;=in_marketplace_from,d_hz_recharge*G523,0))</f>
        <v/>
      </c>
      <c r="BN524" s="40">
        <f>BN523*d_rho_recharge+BM524*IF(B524&gt;=in_marketplace_from,d_hz_recharge*G524,0)</f>
        <v/>
      </c>
      <c r="BO524" s="14">
        <f>F524*BN524*in_recharge_ticket*in_recharge_comm/12</f>
        <v/>
      </c>
      <c r="BP524" s="40">
        <f>BP523*(1-IF(B523&gt;=in_marketplace_from,d_hz_bills*G523,0))</f>
        <v/>
      </c>
      <c r="BQ524" s="40">
        <f>BQ523*d_rho_bills+BP524*IF(B524&gt;=in_marketplace_from,d_hz_bills*G524,0)</f>
        <v/>
      </c>
      <c r="BR524" s="14">
        <f>F524*BQ524*in_bills_ticket*in_bills_comm/12</f>
        <v/>
      </c>
      <c r="BS524" s="40">
        <f>BS523*(1-IF(B523&gt;=in_marketplace_from,d_hz_loan_gold*G523,0))</f>
        <v/>
      </c>
      <c r="BT524" s="14">
        <f>F524*BS524*IF(B524&gt;=in_marketplace_from,d_hz_loan_gold*G524,0)*in_loan_gold_ticket*in_loan_gold_comm</f>
        <v/>
      </c>
      <c r="BU524" s="40">
        <f>BU523*(1-IF(B523&gt;=in_marketplace_from,d_hz_loan_cd*G523,0))</f>
        <v/>
      </c>
      <c r="BV524" s="14">
        <f>F524*BU524*IF(B524&gt;=in_marketplace_from,d_hz_loan_cd*G524,0)*in_loan_cd_ticket*in_loan_cd_comm</f>
        <v/>
      </c>
      <c r="BW524" s="40">
        <f>BW523*(1-IF(B523&gt;=in_marketplace_from,d_hz_loan_vehicle*G523,0))</f>
        <v/>
      </c>
      <c r="BX524" s="14">
        <f>F524*BW524*IF(B524&gt;=in_marketplace_from,d_hz_loan_vehicle*G524,0)*in_loan_vehicle_ticket*in_loan_vehicle_comm</f>
        <v/>
      </c>
      <c r="BY524" s="40">
        <f>BY523*(1-IF(B523&gt;=in_marketplace_from,d_hz_loan_home*G523,0)*BZ523)</f>
        <v/>
      </c>
      <c r="BZ524" s="11">
        <f>MIN(in_approval_cap,in_loan_home_approval*INDEX('Age profile'!$O$2:$O$61,B524)*(1+in_approval_growth)^(D524-1))</f>
        <v/>
      </c>
      <c r="CA524" s="14">
        <f>F524*BY524*IF(B524&gt;=in_marketplace_from,d_hz_loan_home*G524,0)*BZ524*in_loan_home_ticket*in_loan_home_comm</f>
        <v/>
      </c>
      <c r="CB524" s="40">
        <f>CB523*(1-IF(B523&gt;=in_marketplace_from,d_hz_loan_lap*G523,0)*CC523)</f>
        <v/>
      </c>
      <c r="CC524" s="11">
        <f>MIN(in_approval_cap,in_loan_lap_approval*INDEX('Age profile'!$O$2:$O$61,B524)*(1+in_approval_growth)^(D524-1))</f>
        <v/>
      </c>
      <c r="CD524" s="14">
        <f>F524*CB524*IF(B524&gt;=in_marketplace_from,d_hz_loan_lap*G524,0)*CC524*in_loan_lap_ticket*in_loan_lap_comm</f>
        <v/>
      </c>
      <c r="CE524" s="14">
        <f>AA524+AB524+AC524+AD524+AG524+AJ524+AM524+AP524+AS524+AU524+AX524+BB524+BE524+BG524+BJ524+BL524+BO524+BR524+BT524+BV524+BX524+CA524+CD524</f>
        <v/>
      </c>
    </row>
    <row r="525">
      <c r="A525" s="39" t="n">
        <v>10</v>
      </c>
      <c r="B525" s="39" t="n">
        <v>20</v>
      </c>
      <c r="C525" s="39">
        <f>A525+B525-1</f>
        <v/>
      </c>
      <c r="D525" s="39">
        <f>INT((C525-1)/12)+1</f>
        <v/>
      </c>
      <c r="E525" s="44">
        <f>INDEX(Monthly!$B$2:$B$61,A525)</f>
        <v/>
      </c>
      <c r="F525" s="44">
        <f>E525*INDEX('Age profile'!$B$2:$B$61,B525)</f>
        <v/>
      </c>
      <c r="G525" s="45">
        <f>MIN(in_takeup_cap,INDEX('Age profile'!$N$2:$N$61,B525)*(1+in_takeup_growth)^(D525-1))</f>
        <v/>
      </c>
      <c r="H525" s="11">
        <f>MIN(in_approval_cap,in_approved_first*INDEX('Age profile'!$O$2:$O$61,B525)*(1+in_approval_growth)^(D525-1))</f>
        <v/>
      </c>
      <c r="I525" s="45">
        <f>G525*MIN(in_takeup_cap,INDEX('Age profile'!$O$2:$O$61,B525)*(1+in_approval_growth)^(D525-1))</f>
        <v/>
      </c>
      <c r="J525" s="40">
        <f>(J524-L524)*F525/F524</f>
        <v/>
      </c>
      <c r="K525" s="40">
        <f>(K524-M524)*F525/F524+SUMIFS(O506:O524,B506:B524,B525-1-d_T)*F525</f>
        <v/>
      </c>
      <c r="L525" s="40">
        <f>IF(B525&gt;=in_marketplace_from,J525*d_hz*G525*in_eligible*H525,0)</f>
        <v/>
      </c>
      <c r="M525" s="40">
        <f>IF(B525&gt;=in_marketplace_from,K525*d_hz*G525*in_eligible*in_approved_repeat,0)</f>
        <v/>
      </c>
      <c r="N525" s="40">
        <f>L525+M525</f>
        <v/>
      </c>
      <c r="O525" s="46">
        <f>N525/F525</f>
        <v/>
      </c>
      <c r="P525" s="40">
        <f>F525-J525-K525</f>
        <v/>
      </c>
      <c r="Q525" s="40">
        <f>IF(B525&gt;=in_marketplace_from,(J525+K525)*d_hz*G525,0)</f>
        <v/>
      </c>
      <c r="R525" s="40">
        <f>SUMIFS(N506:N556,B506:B556,"&gt;="&amp;(B525-d_T),B506:B556,"&lt;="&amp;(B525-1))</f>
        <v/>
      </c>
      <c r="S525" s="46">
        <f>(1-d_u)*S524+IF(d_T&gt;in_topup_lag,SUMIFS(O506:O556,B506:B556,B525-in_topup_lag)-d_udrop*SUMIFS(O506:O556,B506:B556,B525-d_T),0)</f>
        <v/>
      </c>
      <c r="T525" s="40">
        <f>F525*d_u*S525</f>
        <v/>
      </c>
      <c r="U525" s="9">
        <f>L525*in_ticket+M525*d_rep_ticket</f>
        <v/>
      </c>
      <c r="V525" s="9">
        <f>U525+T525*d_topup_amt</f>
        <v/>
      </c>
      <c r="W525" s="40">
        <f>N525+T525*d_topup_ratio</f>
        <v/>
      </c>
      <c r="X525" s="40">
        <f>SUMIFS(W506:W556,B506:B556,B525-in_dpd_lag)*d_cured</f>
        <v/>
      </c>
      <c r="Y525" s="40">
        <f>SUMIFS(W506:W556,B506:B556,B525-in_rec_lag)*d_recd</f>
        <v/>
      </c>
      <c r="Z525" s="40">
        <f>IF(AND(B525&gt;=in_marketplace_from,B525&lt;in_marketplace_from+in_card_months),in_card_share/in_card_months*F525*I525,IF(AND(B525&gt;=in_marketplace_from+in_card_months,B525&lt;in_marketplace_from+2*in_card_months),in_card_share*d_card_rem/in_card_months*F525*MIN(in_takeup_cap,(1+in_takeup_growth)^(D525-1))*MIN(in_takeup_cap,(1+in_approval_growth)^(D525-1)),0))</f>
        <v/>
      </c>
      <c r="AA525" s="14">
        <f>V525*in_fee*(1-in_taken_back)</f>
        <v/>
      </c>
      <c r="AB525" s="14">
        <f>SUMIFS(W506:W556,B506:B556,B525-in_dpd_lag)*d_dpd</f>
        <v/>
      </c>
      <c r="AC525" s="14">
        <f>SUMIFS(W506:W556,B506:B556,B525-in_rec_lag)*d_rec</f>
        <v/>
      </c>
      <c r="AD525" s="14">
        <f>Z525*in_card_fee</f>
        <v/>
      </c>
      <c r="AE525" s="40">
        <f>AE524*(1-IF(B524&gt;=in_marketplace_from,d_hz_hlth_small*G524,0))</f>
        <v/>
      </c>
      <c r="AF525" s="46">
        <f>AE525*IF(B525&gt;=in_marketplace_from,d_hz_hlth_small*G525,0)</f>
        <v/>
      </c>
      <c r="AG525" s="14">
        <f>F525*AF525*in_hlth_small_ticket*in_hlth_small_comm*in_ins_partner_share+F525*in_hlth_small_ticket*in_hlth_small_renew_comm*in_ins_partner_share*(in_hlth_small_renew^1*SUMIFS(AF506:AF556,B506:B556,B525-12)+in_hlth_small_renew^2*SUMIFS(AF506:AF556,B506:B556,B525-24)+in_hlth_small_renew^3*SUMIFS(AF506:AF556,B506:B556,B525-36)+in_hlth_small_renew^4*SUMIFS(AF506:AF556,B506:B556,B525-48))</f>
        <v/>
      </c>
      <c r="AH525" s="40">
        <f>AH524*(1-IF(B524&gt;=in_marketplace_from,d_hz_hlth_family*G524,0))</f>
        <v/>
      </c>
      <c r="AI525" s="46">
        <f>AH525*IF(B525&gt;=in_marketplace_from,d_hz_hlth_family*G525,0)</f>
        <v/>
      </c>
      <c r="AJ525" s="14">
        <f>F525*AI525*in_hlth_family_ticket*in_hlth_family_comm*in_ins_partner_share+F525*in_hlth_family_ticket*in_hlth_family_renew_comm*in_ins_partner_share*(in_hlth_family_renew^1*SUMIFS(AI506:AI556,B506:B556,B525-12)+in_hlth_family_renew^2*SUMIFS(AI506:AI556,B506:B556,B525-24)+in_hlth_family_renew^3*SUMIFS(AI506:AI556,B506:B556,B525-36)+in_hlth_family_renew^4*SUMIFS(AI506:AI556,B506:B556,B525-48))</f>
        <v/>
      </c>
      <c r="AK525" s="40">
        <f>AK524*(1-IF(B524&gt;=in_marketplace_from,d_hz_life_term*G524,0))</f>
        <v/>
      </c>
      <c r="AL525" s="46">
        <f>AK525*IF(B525&gt;=in_marketplace_from,d_hz_life_term*G525,0)</f>
        <v/>
      </c>
      <c r="AM525" s="14">
        <f>F525*AL525*in_life_term_ticket*in_life_term_comm*in_ins_partner_share+F525*in_life_term_ticket*in_life_term_renew_comm*in_ins_partner_share*(in_life_term_renew^1*SUMIFS(AL506:AL556,B506:B556,B525-12)+in_life_term_renew^2*SUMIFS(AL506:AL556,B506:B556,B525-24)+in_life_term_renew^3*SUMIFS(AL506:AL556,B506:B556,B525-36)+in_life_term_renew^4*SUMIFS(AL506:AL556,B506:B556,B525-48))</f>
        <v/>
      </c>
      <c r="AN525" s="40">
        <f>AN524*(1-IF(B524&gt;=in_marketplace_from,d_hz_accident*G524,0))</f>
        <v/>
      </c>
      <c r="AO525" s="46">
        <f>AN525*IF(B525&gt;=in_marketplace_from,d_hz_accident*G525,0)</f>
        <v/>
      </c>
      <c r="AP525" s="14">
        <f>F525*AO525*in_accident_ticket*in_accident_comm*in_ins_partner_share+F525*in_accident_ticket*in_accident_renew_comm*in_ins_partner_share*(in_accident_renew^1*SUMIFS(AO506:AO556,B506:B556,B525-12)+in_accident_renew^2*SUMIFS(AO506:AO556,B506:B556,B525-24)+in_accident_renew^3*SUMIFS(AO506:AO556,B506:B556,B525-36)+in_accident_renew^4*SUMIFS(AO506:AO556,B506:B556,B525-48))</f>
        <v/>
      </c>
      <c r="AQ525" s="40">
        <f>AQ524*(1-IF(B524&gt;=in_marketplace_from,d_hz_two_wheeler*G524,0))</f>
        <v/>
      </c>
      <c r="AR525" s="46">
        <f>AQ525*IF(B525&gt;=in_marketplace_from,d_hz_two_wheeler*G525,0)</f>
        <v/>
      </c>
      <c r="AS525" s="14">
        <f>F525*AR525*in_two_wheeler_ticket*in_two_wheeler_comm*in_ins_partner_share+F525*in_two_wheeler_ticket*in_two_wheeler_comm*in_ins_partner_share*(in_two_wheeler_renew^1*SUMIFS(AR506:AR556,B506:B556,B525-12)+in_two_wheeler_renew^2*SUMIFS(AR506:AR556,B506:B556,B525-24)+in_two_wheeler_renew^3*SUMIFS(AR506:AR556,B506:B556,B525-36)+in_two_wheeler_renew^4*SUMIFS(AR506:AR556,B506:B556,B525-48))</f>
        <v/>
      </c>
      <c r="AT525" s="40">
        <f>AT524*(1-IF(B524&gt;=in_marketplace_from,d_hz_device*G524,0))</f>
        <v/>
      </c>
      <c r="AU525" s="14">
        <f>F525*AT525*IF(B525&gt;=in_marketplace_from,d_hz_device*G525,0)*in_device_ticket*in_device_comm*in_ins_partner_share</f>
        <v/>
      </c>
      <c r="AV525" s="40">
        <f>AV524*(1-IF(B524&gt;=in_marketplace_from,d_hz_shop*G524,0))</f>
        <v/>
      </c>
      <c r="AW525" s="46">
        <f>AV525*IF(B525&gt;=in_marketplace_from,d_hz_shop*G525,0)</f>
        <v/>
      </c>
      <c r="AX525" s="14">
        <f>F525*AW525*in_shop_ticket*in_shop_comm*in_ins_partner_share+F525*in_shop_ticket*in_shop_renew_comm*in_ins_partner_share*(in_shop_renew^1*SUMIFS(AW506:AW556,B506:B556,B525-12)+in_shop_renew^2*SUMIFS(AW506:AW556,B506:B556,B525-24)+in_shop_renew^3*SUMIFS(AW506:AW556,B506:B556,B525-36)+in_shop_renew^4*SUMIFS(AW506:AW556,B506:B556,B525-48))</f>
        <v/>
      </c>
      <c r="AY525" s="40">
        <f>AY524*(1-IF(B524&gt;=in_marketplace_from,d_hz_sip*G524,0))</f>
        <v/>
      </c>
      <c r="AZ525" s="40">
        <f>AZ524*d_rho_sip+AY525*IF(B525&gt;=in_marketplace_from,d_hz_sip*G525,0)</f>
        <v/>
      </c>
      <c r="BA525" s="40">
        <f>d_rho_sip*(BA524+AZ524)</f>
        <v/>
      </c>
      <c r="BB525" s="14">
        <f>F525*in_sip_ticket*(BA525+0.5*AZ525)*in_sip_comm/12</f>
        <v/>
      </c>
      <c r="BC525" s="40">
        <f>BC524*(1-IF(B524&gt;=in_marketplace_from,d_hz_choti*G524,0))</f>
        <v/>
      </c>
      <c r="BD525" s="46">
        <f>BC525*IF(B525&gt;=in_marketplace_from,d_hz_choti*G525,0)</f>
        <v/>
      </c>
      <c r="BE525" s="14">
        <f>F525*SUMIFS(BD506:BD556,B506:B556,B525-in_choti_months)*in_choti_renew*in_choti_ticket</f>
        <v/>
      </c>
      <c r="BF525" s="40">
        <f>BF524*(1-IF(B524&gt;=in_marketplace_from,d_hz_nps*G524,0))</f>
        <v/>
      </c>
      <c r="BG525" s="14">
        <f>F525*BF525*IF(B525&gt;=in_marketplace_from,d_hz_nps*G525,0)*in_nps_ticket*in_nps_comm</f>
        <v/>
      </c>
      <c r="BH525" s="40">
        <f>BH524*(1-IF(B524&gt;=in_marketplace_from,d_hz_gold*G524,0))</f>
        <v/>
      </c>
      <c r="BI525" s="40">
        <f>BI524*d_rho_gold+BH525*IF(B525&gt;=in_marketplace_from,d_hz_gold*G525,0)</f>
        <v/>
      </c>
      <c r="BJ525" s="14">
        <f>F525*BI525*in_gold_ticket*in_gold_comm</f>
        <v/>
      </c>
      <c r="BK525" s="40">
        <f>BK524*(1-IF(B524&gt;=in_marketplace_from,d_hz_fd*G524,0))</f>
        <v/>
      </c>
      <c r="BL525" s="14">
        <f>F525*BK525*IF(B525&gt;=in_marketplace_from,d_hz_fd*G525,0)*in_fd_ticket*in_fd_comm</f>
        <v/>
      </c>
      <c r="BM525" s="40">
        <f>BM524*(1-IF(B524&gt;=in_marketplace_from,d_hz_recharge*G524,0))</f>
        <v/>
      </c>
      <c r="BN525" s="40">
        <f>BN524*d_rho_recharge+BM525*IF(B525&gt;=in_marketplace_from,d_hz_recharge*G525,0)</f>
        <v/>
      </c>
      <c r="BO525" s="14">
        <f>F525*BN525*in_recharge_ticket*in_recharge_comm/12</f>
        <v/>
      </c>
      <c r="BP525" s="40">
        <f>BP524*(1-IF(B524&gt;=in_marketplace_from,d_hz_bills*G524,0))</f>
        <v/>
      </c>
      <c r="BQ525" s="40">
        <f>BQ524*d_rho_bills+BP525*IF(B525&gt;=in_marketplace_from,d_hz_bills*G525,0)</f>
        <v/>
      </c>
      <c r="BR525" s="14">
        <f>F525*BQ525*in_bills_ticket*in_bills_comm/12</f>
        <v/>
      </c>
      <c r="BS525" s="40">
        <f>BS524*(1-IF(B524&gt;=in_marketplace_from,d_hz_loan_gold*G524,0))</f>
        <v/>
      </c>
      <c r="BT525" s="14">
        <f>F525*BS525*IF(B525&gt;=in_marketplace_from,d_hz_loan_gold*G525,0)*in_loan_gold_ticket*in_loan_gold_comm</f>
        <v/>
      </c>
      <c r="BU525" s="40">
        <f>BU524*(1-IF(B524&gt;=in_marketplace_from,d_hz_loan_cd*G524,0))</f>
        <v/>
      </c>
      <c r="BV525" s="14">
        <f>F525*BU525*IF(B525&gt;=in_marketplace_from,d_hz_loan_cd*G525,0)*in_loan_cd_ticket*in_loan_cd_comm</f>
        <v/>
      </c>
      <c r="BW525" s="40">
        <f>BW524*(1-IF(B524&gt;=in_marketplace_from,d_hz_loan_vehicle*G524,0))</f>
        <v/>
      </c>
      <c r="BX525" s="14">
        <f>F525*BW525*IF(B525&gt;=in_marketplace_from,d_hz_loan_vehicle*G525,0)*in_loan_vehicle_ticket*in_loan_vehicle_comm</f>
        <v/>
      </c>
      <c r="BY525" s="40">
        <f>BY524*(1-IF(B524&gt;=in_marketplace_from,d_hz_loan_home*G524,0)*BZ524)</f>
        <v/>
      </c>
      <c r="BZ525" s="11">
        <f>MIN(in_approval_cap,in_loan_home_approval*INDEX('Age profile'!$O$2:$O$61,B525)*(1+in_approval_growth)^(D525-1))</f>
        <v/>
      </c>
      <c r="CA525" s="14">
        <f>F525*BY525*IF(B525&gt;=in_marketplace_from,d_hz_loan_home*G525,0)*BZ525*in_loan_home_ticket*in_loan_home_comm</f>
        <v/>
      </c>
      <c r="CB525" s="40">
        <f>CB524*(1-IF(B524&gt;=in_marketplace_from,d_hz_loan_lap*G524,0)*CC524)</f>
        <v/>
      </c>
      <c r="CC525" s="11">
        <f>MIN(in_approval_cap,in_loan_lap_approval*INDEX('Age profile'!$O$2:$O$61,B525)*(1+in_approval_growth)^(D525-1))</f>
        <v/>
      </c>
      <c r="CD525" s="14">
        <f>F525*CB525*IF(B525&gt;=in_marketplace_from,d_hz_loan_lap*G525,0)*CC525*in_loan_lap_ticket*in_loan_lap_comm</f>
        <v/>
      </c>
      <c r="CE525" s="14">
        <f>AA525+AB525+AC525+AD525+AG525+AJ525+AM525+AP525+AS525+AU525+AX525+BB525+BE525+BG525+BJ525+BL525+BO525+BR525+BT525+BV525+BX525+CA525+CD525</f>
        <v/>
      </c>
    </row>
    <row r="526">
      <c r="A526" s="39" t="n">
        <v>10</v>
      </c>
      <c r="B526" s="39" t="n">
        <v>21</v>
      </c>
      <c r="C526" s="39">
        <f>A526+B526-1</f>
        <v/>
      </c>
      <c r="D526" s="39">
        <f>INT((C526-1)/12)+1</f>
        <v/>
      </c>
      <c r="E526" s="44">
        <f>INDEX(Monthly!$B$2:$B$61,A526)</f>
        <v/>
      </c>
      <c r="F526" s="44">
        <f>E526*INDEX('Age profile'!$B$2:$B$61,B526)</f>
        <v/>
      </c>
      <c r="G526" s="45">
        <f>MIN(in_takeup_cap,INDEX('Age profile'!$N$2:$N$61,B526)*(1+in_takeup_growth)^(D526-1))</f>
        <v/>
      </c>
      <c r="H526" s="11">
        <f>MIN(in_approval_cap,in_approved_first*INDEX('Age profile'!$O$2:$O$61,B526)*(1+in_approval_growth)^(D526-1))</f>
        <v/>
      </c>
      <c r="I526" s="45">
        <f>G526*MIN(in_takeup_cap,INDEX('Age profile'!$O$2:$O$61,B526)*(1+in_approval_growth)^(D526-1))</f>
        <v/>
      </c>
      <c r="J526" s="40">
        <f>(J525-L525)*F526/F525</f>
        <v/>
      </c>
      <c r="K526" s="40">
        <f>(K525-M525)*F526/F525+SUMIFS(O506:O525,B506:B525,B526-1-d_T)*F526</f>
        <v/>
      </c>
      <c r="L526" s="40">
        <f>IF(B526&gt;=in_marketplace_from,J526*d_hz*G526*in_eligible*H526,0)</f>
        <v/>
      </c>
      <c r="M526" s="40">
        <f>IF(B526&gt;=in_marketplace_from,K526*d_hz*G526*in_eligible*in_approved_repeat,0)</f>
        <v/>
      </c>
      <c r="N526" s="40">
        <f>L526+M526</f>
        <v/>
      </c>
      <c r="O526" s="46">
        <f>N526/F526</f>
        <v/>
      </c>
      <c r="P526" s="40">
        <f>F526-J526-K526</f>
        <v/>
      </c>
      <c r="Q526" s="40">
        <f>IF(B526&gt;=in_marketplace_from,(J526+K526)*d_hz*G526,0)</f>
        <v/>
      </c>
      <c r="R526" s="40">
        <f>SUMIFS(N506:N556,B506:B556,"&gt;="&amp;(B526-d_T),B506:B556,"&lt;="&amp;(B526-1))</f>
        <v/>
      </c>
      <c r="S526" s="46">
        <f>(1-d_u)*S525+IF(d_T&gt;in_topup_lag,SUMIFS(O506:O556,B506:B556,B526-in_topup_lag)-d_udrop*SUMIFS(O506:O556,B506:B556,B526-d_T),0)</f>
        <v/>
      </c>
      <c r="T526" s="40">
        <f>F526*d_u*S526</f>
        <v/>
      </c>
      <c r="U526" s="9">
        <f>L526*in_ticket+M526*d_rep_ticket</f>
        <v/>
      </c>
      <c r="V526" s="9">
        <f>U526+T526*d_topup_amt</f>
        <v/>
      </c>
      <c r="W526" s="40">
        <f>N526+T526*d_topup_ratio</f>
        <v/>
      </c>
      <c r="X526" s="40">
        <f>SUMIFS(W506:W556,B506:B556,B526-in_dpd_lag)*d_cured</f>
        <v/>
      </c>
      <c r="Y526" s="40">
        <f>SUMIFS(W506:W556,B506:B556,B526-in_rec_lag)*d_recd</f>
        <v/>
      </c>
      <c r="Z526" s="40">
        <f>IF(AND(B526&gt;=in_marketplace_from,B526&lt;in_marketplace_from+in_card_months),in_card_share/in_card_months*F526*I526,IF(AND(B526&gt;=in_marketplace_from+in_card_months,B526&lt;in_marketplace_from+2*in_card_months),in_card_share*d_card_rem/in_card_months*F526*MIN(in_takeup_cap,(1+in_takeup_growth)^(D526-1))*MIN(in_takeup_cap,(1+in_approval_growth)^(D526-1)),0))</f>
        <v/>
      </c>
      <c r="AA526" s="14">
        <f>V526*in_fee*(1-in_taken_back)</f>
        <v/>
      </c>
      <c r="AB526" s="14">
        <f>SUMIFS(W506:W556,B506:B556,B526-in_dpd_lag)*d_dpd</f>
        <v/>
      </c>
      <c r="AC526" s="14">
        <f>SUMIFS(W506:W556,B506:B556,B526-in_rec_lag)*d_rec</f>
        <v/>
      </c>
      <c r="AD526" s="14">
        <f>Z526*in_card_fee</f>
        <v/>
      </c>
      <c r="AE526" s="40">
        <f>AE525*(1-IF(B525&gt;=in_marketplace_from,d_hz_hlth_small*G525,0))</f>
        <v/>
      </c>
      <c r="AF526" s="46">
        <f>AE526*IF(B526&gt;=in_marketplace_from,d_hz_hlth_small*G526,0)</f>
        <v/>
      </c>
      <c r="AG526" s="14">
        <f>F526*AF526*in_hlth_small_ticket*in_hlth_small_comm*in_ins_partner_share+F526*in_hlth_small_ticket*in_hlth_small_renew_comm*in_ins_partner_share*(in_hlth_small_renew^1*SUMIFS(AF506:AF556,B506:B556,B526-12)+in_hlth_small_renew^2*SUMIFS(AF506:AF556,B506:B556,B526-24)+in_hlth_small_renew^3*SUMIFS(AF506:AF556,B506:B556,B526-36)+in_hlth_small_renew^4*SUMIFS(AF506:AF556,B506:B556,B526-48))</f>
        <v/>
      </c>
      <c r="AH526" s="40">
        <f>AH525*(1-IF(B525&gt;=in_marketplace_from,d_hz_hlth_family*G525,0))</f>
        <v/>
      </c>
      <c r="AI526" s="46">
        <f>AH526*IF(B526&gt;=in_marketplace_from,d_hz_hlth_family*G526,0)</f>
        <v/>
      </c>
      <c r="AJ526" s="14">
        <f>F526*AI526*in_hlth_family_ticket*in_hlth_family_comm*in_ins_partner_share+F526*in_hlth_family_ticket*in_hlth_family_renew_comm*in_ins_partner_share*(in_hlth_family_renew^1*SUMIFS(AI506:AI556,B506:B556,B526-12)+in_hlth_family_renew^2*SUMIFS(AI506:AI556,B506:B556,B526-24)+in_hlth_family_renew^3*SUMIFS(AI506:AI556,B506:B556,B526-36)+in_hlth_family_renew^4*SUMIFS(AI506:AI556,B506:B556,B526-48))</f>
        <v/>
      </c>
      <c r="AK526" s="40">
        <f>AK525*(1-IF(B525&gt;=in_marketplace_from,d_hz_life_term*G525,0))</f>
        <v/>
      </c>
      <c r="AL526" s="46">
        <f>AK526*IF(B526&gt;=in_marketplace_from,d_hz_life_term*G526,0)</f>
        <v/>
      </c>
      <c r="AM526" s="14">
        <f>F526*AL526*in_life_term_ticket*in_life_term_comm*in_ins_partner_share+F526*in_life_term_ticket*in_life_term_renew_comm*in_ins_partner_share*(in_life_term_renew^1*SUMIFS(AL506:AL556,B506:B556,B526-12)+in_life_term_renew^2*SUMIFS(AL506:AL556,B506:B556,B526-24)+in_life_term_renew^3*SUMIFS(AL506:AL556,B506:B556,B526-36)+in_life_term_renew^4*SUMIFS(AL506:AL556,B506:B556,B526-48))</f>
        <v/>
      </c>
      <c r="AN526" s="40">
        <f>AN525*(1-IF(B525&gt;=in_marketplace_from,d_hz_accident*G525,0))</f>
        <v/>
      </c>
      <c r="AO526" s="46">
        <f>AN526*IF(B526&gt;=in_marketplace_from,d_hz_accident*G526,0)</f>
        <v/>
      </c>
      <c r="AP526" s="14">
        <f>F526*AO526*in_accident_ticket*in_accident_comm*in_ins_partner_share+F526*in_accident_ticket*in_accident_renew_comm*in_ins_partner_share*(in_accident_renew^1*SUMIFS(AO506:AO556,B506:B556,B526-12)+in_accident_renew^2*SUMIFS(AO506:AO556,B506:B556,B526-24)+in_accident_renew^3*SUMIFS(AO506:AO556,B506:B556,B526-36)+in_accident_renew^4*SUMIFS(AO506:AO556,B506:B556,B526-48))</f>
        <v/>
      </c>
      <c r="AQ526" s="40">
        <f>AQ525*(1-IF(B525&gt;=in_marketplace_from,d_hz_two_wheeler*G525,0))</f>
        <v/>
      </c>
      <c r="AR526" s="46">
        <f>AQ526*IF(B526&gt;=in_marketplace_from,d_hz_two_wheeler*G526,0)</f>
        <v/>
      </c>
      <c r="AS526" s="14">
        <f>F526*AR526*in_two_wheeler_ticket*in_two_wheeler_comm*in_ins_partner_share+F526*in_two_wheeler_ticket*in_two_wheeler_comm*in_ins_partner_share*(in_two_wheeler_renew^1*SUMIFS(AR506:AR556,B506:B556,B526-12)+in_two_wheeler_renew^2*SUMIFS(AR506:AR556,B506:B556,B526-24)+in_two_wheeler_renew^3*SUMIFS(AR506:AR556,B506:B556,B526-36)+in_two_wheeler_renew^4*SUMIFS(AR506:AR556,B506:B556,B526-48))</f>
        <v/>
      </c>
      <c r="AT526" s="40">
        <f>AT525*(1-IF(B525&gt;=in_marketplace_from,d_hz_device*G525,0))</f>
        <v/>
      </c>
      <c r="AU526" s="14">
        <f>F526*AT526*IF(B526&gt;=in_marketplace_from,d_hz_device*G526,0)*in_device_ticket*in_device_comm*in_ins_partner_share</f>
        <v/>
      </c>
      <c r="AV526" s="40">
        <f>AV525*(1-IF(B525&gt;=in_marketplace_from,d_hz_shop*G525,0))</f>
        <v/>
      </c>
      <c r="AW526" s="46">
        <f>AV526*IF(B526&gt;=in_marketplace_from,d_hz_shop*G526,0)</f>
        <v/>
      </c>
      <c r="AX526" s="14">
        <f>F526*AW526*in_shop_ticket*in_shop_comm*in_ins_partner_share+F526*in_shop_ticket*in_shop_renew_comm*in_ins_partner_share*(in_shop_renew^1*SUMIFS(AW506:AW556,B506:B556,B526-12)+in_shop_renew^2*SUMIFS(AW506:AW556,B506:B556,B526-24)+in_shop_renew^3*SUMIFS(AW506:AW556,B506:B556,B526-36)+in_shop_renew^4*SUMIFS(AW506:AW556,B506:B556,B526-48))</f>
        <v/>
      </c>
      <c r="AY526" s="40">
        <f>AY525*(1-IF(B525&gt;=in_marketplace_from,d_hz_sip*G525,0))</f>
        <v/>
      </c>
      <c r="AZ526" s="40">
        <f>AZ525*d_rho_sip+AY526*IF(B526&gt;=in_marketplace_from,d_hz_sip*G526,0)</f>
        <v/>
      </c>
      <c r="BA526" s="40">
        <f>d_rho_sip*(BA525+AZ525)</f>
        <v/>
      </c>
      <c r="BB526" s="14">
        <f>F526*in_sip_ticket*(BA526+0.5*AZ526)*in_sip_comm/12</f>
        <v/>
      </c>
      <c r="BC526" s="40">
        <f>BC525*(1-IF(B525&gt;=in_marketplace_from,d_hz_choti*G525,0))</f>
        <v/>
      </c>
      <c r="BD526" s="46">
        <f>BC526*IF(B526&gt;=in_marketplace_from,d_hz_choti*G526,0)</f>
        <v/>
      </c>
      <c r="BE526" s="14">
        <f>F526*SUMIFS(BD506:BD556,B506:B556,B526-in_choti_months)*in_choti_renew*in_choti_ticket</f>
        <v/>
      </c>
      <c r="BF526" s="40">
        <f>BF525*(1-IF(B525&gt;=in_marketplace_from,d_hz_nps*G525,0))</f>
        <v/>
      </c>
      <c r="BG526" s="14">
        <f>F526*BF526*IF(B526&gt;=in_marketplace_from,d_hz_nps*G526,0)*in_nps_ticket*in_nps_comm</f>
        <v/>
      </c>
      <c r="BH526" s="40">
        <f>BH525*(1-IF(B525&gt;=in_marketplace_from,d_hz_gold*G525,0))</f>
        <v/>
      </c>
      <c r="BI526" s="40">
        <f>BI525*d_rho_gold+BH526*IF(B526&gt;=in_marketplace_from,d_hz_gold*G526,0)</f>
        <v/>
      </c>
      <c r="BJ526" s="14">
        <f>F526*BI526*in_gold_ticket*in_gold_comm</f>
        <v/>
      </c>
      <c r="BK526" s="40">
        <f>BK525*(1-IF(B525&gt;=in_marketplace_from,d_hz_fd*G525,0))</f>
        <v/>
      </c>
      <c r="BL526" s="14">
        <f>F526*BK526*IF(B526&gt;=in_marketplace_from,d_hz_fd*G526,0)*in_fd_ticket*in_fd_comm</f>
        <v/>
      </c>
      <c r="BM526" s="40">
        <f>BM525*(1-IF(B525&gt;=in_marketplace_from,d_hz_recharge*G525,0))</f>
        <v/>
      </c>
      <c r="BN526" s="40">
        <f>BN525*d_rho_recharge+BM526*IF(B526&gt;=in_marketplace_from,d_hz_recharge*G526,0)</f>
        <v/>
      </c>
      <c r="BO526" s="14">
        <f>F526*BN526*in_recharge_ticket*in_recharge_comm/12</f>
        <v/>
      </c>
      <c r="BP526" s="40">
        <f>BP525*(1-IF(B525&gt;=in_marketplace_from,d_hz_bills*G525,0))</f>
        <v/>
      </c>
      <c r="BQ526" s="40">
        <f>BQ525*d_rho_bills+BP526*IF(B526&gt;=in_marketplace_from,d_hz_bills*G526,0)</f>
        <v/>
      </c>
      <c r="BR526" s="14">
        <f>F526*BQ526*in_bills_ticket*in_bills_comm/12</f>
        <v/>
      </c>
      <c r="BS526" s="40">
        <f>BS525*(1-IF(B525&gt;=in_marketplace_from,d_hz_loan_gold*G525,0))</f>
        <v/>
      </c>
      <c r="BT526" s="14">
        <f>F526*BS526*IF(B526&gt;=in_marketplace_from,d_hz_loan_gold*G526,0)*in_loan_gold_ticket*in_loan_gold_comm</f>
        <v/>
      </c>
      <c r="BU526" s="40">
        <f>BU525*(1-IF(B525&gt;=in_marketplace_from,d_hz_loan_cd*G525,0))</f>
        <v/>
      </c>
      <c r="BV526" s="14">
        <f>F526*BU526*IF(B526&gt;=in_marketplace_from,d_hz_loan_cd*G526,0)*in_loan_cd_ticket*in_loan_cd_comm</f>
        <v/>
      </c>
      <c r="BW526" s="40">
        <f>BW525*(1-IF(B525&gt;=in_marketplace_from,d_hz_loan_vehicle*G525,0))</f>
        <v/>
      </c>
      <c r="BX526" s="14">
        <f>F526*BW526*IF(B526&gt;=in_marketplace_from,d_hz_loan_vehicle*G526,0)*in_loan_vehicle_ticket*in_loan_vehicle_comm</f>
        <v/>
      </c>
      <c r="BY526" s="40">
        <f>BY525*(1-IF(B525&gt;=in_marketplace_from,d_hz_loan_home*G525,0)*BZ525)</f>
        <v/>
      </c>
      <c r="BZ526" s="11">
        <f>MIN(in_approval_cap,in_loan_home_approval*INDEX('Age profile'!$O$2:$O$61,B526)*(1+in_approval_growth)^(D526-1))</f>
        <v/>
      </c>
      <c r="CA526" s="14">
        <f>F526*BY526*IF(B526&gt;=in_marketplace_from,d_hz_loan_home*G526,0)*BZ526*in_loan_home_ticket*in_loan_home_comm</f>
        <v/>
      </c>
      <c r="CB526" s="40">
        <f>CB525*(1-IF(B525&gt;=in_marketplace_from,d_hz_loan_lap*G525,0)*CC525)</f>
        <v/>
      </c>
      <c r="CC526" s="11">
        <f>MIN(in_approval_cap,in_loan_lap_approval*INDEX('Age profile'!$O$2:$O$61,B526)*(1+in_approval_growth)^(D526-1))</f>
        <v/>
      </c>
      <c r="CD526" s="14">
        <f>F526*CB526*IF(B526&gt;=in_marketplace_from,d_hz_loan_lap*G526,0)*CC526*in_loan_lap_ticket*in_loan_lap_comm</f>
        <v/>
      </c>
      <c r="CE526" s="14">
        <f>AA526+AB526+AC526+AD526+AG526+AJ526+AM526+AP526+AS526+AU526+AX526+BB526+BE526+BG526+BJ526+BL526+BO526+BR526+BT526+BV526+BX526+CA526+CD526</f>
        <v/>
      </c>
    </row>
    <row r="527">
      <c r="A527" s="39" t="n">
        <v>10</v>
      </c>
      <c r="B527" s="39" t="n">
        <v>22</v>
      </c>
      <c r="C527" s="39">
        <f>A527+B527-1</f>
        <v/>
      </c>
      <c r="D527" s="39">
        <f>INT((C527-1)/12)+1</f>
        <v/>
      </c>
      <c r="E527" s="44">
        <f>INDEX(Monthly!$B$2:$B$61,A527)</f>
        <v/>
      </c>
      <c r="F527" s="44">
        <f>E527*INDEX('Age profile'!$B$2:$B$61,B527)</f>
        <v/>
      </c>
      <c r="G527" s="45">
        <f>MIN(in_takeup_cap,INDEX('Age profile'!$N$2:$N$61,B527)*(1+in_takeup_growth)^(D527-1))</f>
        <v/>
      </c>
      <c r="H527" s="11">
        <f>MIN(in_approval_cap,in_approved_first*INDEX('Age profile'!$O$2:$O$61,B527)*(1+in_approval_growth)^(D527-1))</f>
        <v/>
      </c>
      <c r="I527" s="45">
        <f>G527*MIN(in_takeup_cap,INDEX('Age profile'!$O$2:$O$61,B527)*(1+in_approval_growth)^(D527-1))</f>
        <v/>
      </c>
      <c r="J527" s="40">
        <f>(J526-L526)*F527/F526</f>
        <v/>
      </c>
      <c r="K527" s="40">
        <f>(K526-M526)*F527/F526+SUMIFS(O506:O526,B506:B526,B527-1-d_T)*F527</f>
        <v/>
      </c>
      <c r="L527" s="40">
        <f>IF(B527&gt;=in_marketplace_from,J527*d_hz*G527*in_eligible*H527,0)</f>
        <v/>
      </c>
      <c r="M527" s="40">
        <f>IF(B527&gt;=in_marketplace_from,K527*d_hz*G527*in_eligible*in_approved_repeat,0)</f>
        <v/>
      </c>
      <c r="N527" s="40">
        <f>L527+M527</f>
        <v/>
      </c>
      <c r="O527" s="46">
        <f>N527/F527</f>
        <v/>
      </c>
      <c r="P527" s="40">
        <f>F527-J527-K527</f>
        <v/>
      </c>
      <c r="Q527" s="40">
        <f>IF(B527&gt;=in_marketplace_from,(J527+K527)*d_hz*G527,0)</f>
        <v/>
      </c>
      <c r="R527" s="40">
        <f>SUMIFS(N506:N556,B506:B556,"&gt;="&amp;(B527-d_T),B506:B556,"&lt;="&amp;(B527-1))</f>
        <v/>
      </c>
      <c r="S527" s="46">
        <f>(1-d_u)*S526+IF(d_T&gt;in_topup_lag,SUMIFS(O506:O556,B506:B556,B527-in_topup_lag)-d_udrop*SUMIFS(O506:O556,B506:B556,B527-d_T),0)</f>
        <v/>
      </c>
      <c r="T527" s="40">
        <f>F527*d_u*S527</f>
        <v/>
      </c>
      <c r="U527" s="9">
        <f>L527*in_ticket+M527*d_rep_ticket</f>
        <v/>
      </c>
      <c r="V527" s="9">
        <f>U527+T527*d_topup_amt</f>
        <v/>
      </c>
      <c r="W527" s="40">
        <f>N527+T527*d_topup_ratio</f>
        <v/>
      </c>
      <c r="X527" s="40">
        <f>SUMIFS(W506:W556,B506:B556,B527-in_dpd_lag)*d_cured</f>
        <v/>
      </c>
      <c r="Y527" s="40">
        <f>SUMIFS(W506:W556,B506:B556,B527-in_rec_lag)*d_recd</f>
        <v/>
      </c>
      <c r="Z527" s="40">
        <f>IF(AND(B527&gt;=in_marketplace_from,B527&lt;in_marketplace_from+in_card_months),in_card_share/in_card_months*F527*I527,IF(AND(B527&gt;=in_marketplace_from+in_card_months,B527&lt;in_marketplace_from+2*in_card_months),in_card_share*d_card_rem/in_card_months*F527*MIN(in_takeup_cap,(1+in_takeup_growth)^(D527-1))*MIN(in_takeup_cap,(1+in_approval_growth)^(D527-1)),0))</f>
        <v/>
      </c>
      <c r="AA527" s="14">
        <f>V527*in_fee*(1-in_taken_back)</f>
        <v/>
      </c>
      <c r="AB527" s="14">
        <f>SUMIFS(W506:W556,B506:B556,B527-in_dpd_lag)*d_dpd</f>
        <v/>
      </c>
      <c r="AC527" s="14">
        <f>SUMIFS(W506:W556,B506:B556,B527-in_rec_lag)*d_rec</f>
        <v/>
      </c>
      <c r="AD527" s="14">
        <f>Z527*in_card_fee</f>
        <v/>
      </c>
      <c r="AE527" s="40">
        <f>AE526*(1-IF(B526&gt;=in_marketplace_from,d_hz_hlth_small*G526,0))</f>
        <v/>
      </c>
      <c r="AF527" s="46">
        <f>AE527*IF(B527&gt;=in_marketplace_from,d_hz_hlth_small*G527,0)</f>
        <v/>
      </c>
      <c r="AG527" s="14">
        <f>F527*AF527*in_hlth_small_ticket*in_hlth_small_comm*in_ins_partner_share+F527*in_hlth_small_ticket*in_hlth_small_renew_comm*in_ins_partner_share*(in_hlth_small_renew^1*SUMIFS(AF506:AF556,B506:B556,B527-12)+in_hlth_small_renew^2*SUMIFS(AF506:AF556,B506:B556,B527-24)+in_hlth_small_renew^3*SUMIFS(AF506:AF556,B506:B556,B527-36)+in_hlth_small_renew^4*SUMIFS(AF506:AF556,B506:B556,B527-48))</f>
        <v/>
      </c>
      <c r="AH527" s="40">
        <f>AH526*(1-IF(B526&gt;=in_marketplace_from,d_hz_hlth_family*G526,0))</f>
        <v/>
      </c>
      <c r="AI527" s="46">
        <f>AH527*IF(B527&gt;=in_marketplace_from,d_hz_hlth_family*G527,0)</f>
        <v/>
      </c>
      <c r="AJ527" s="14">
        <f>F527*AI527*in_hlth_family_ticket*in_hlth_family_comm*in_ins_partner_share+F527*in_hlth_family_ticket*in_hlth_family_renew_comm*in_ins_partner_share*(in_hlth_family_renew^1*SUMIFS(AI506:AI556,B506:B556,B527-12)+in_hlth_family_renew^2*SUMIFS(AI506:AI556,B506:B556,B527-24)+in_hlth_family_renew^3*SUMIFS(AI506:AI556,B506:B556,B527-36)+in_hlth_family_renew^4*SUMIFS(AI506:AI556,B506:B556,B527-48))</f>
        <v/>
      </c>
      <c r="AK527" s="40">
        <f>AK526*(1-IF(B526&gt;=in_marketplace_from,d_hz_life_term*G526,0))</f>
        <v/>
      </c>
      <c r="AL527" s="46">
        <f>AK527*IF(B527&gt;=in_marketplace_from,d_hz_life_term*G527,0)</f>
        <v/>
      </c>
      <c r="AM527" s="14">
        <f>F527*AL527*in_life_term_ticket*in_life_term_comm*in_ins_partner_share+F527*in_life_term_ticket*in_life_term_renew_comm*in_ins_partner_share*(in_life_term_renew^1*SUMIFS(AL506:AL556,B506:B556,B527-12)+in_life_term_renew^2*SUMIFS(AL506:AL556,B506:B556,B527-24)+in_life_term_renew^3*SUMIFS(AL506:AL556,B506:B556,B527-36)+in_life_term_renew^4*SUMIFS(AL506:AL556,B506:B556,B527-48))</f>
        <v/>
      </c>
      <c r="AN527" s="40">
        <f>AN526*(1-IF(B526&gt;=in_marketplace_from,d_hz_accident*G526,0))</f>
        <v/>
      </c>
      <c r="AO527" s="46">
        <f>AN527*IF(B527&gt;=in_marketplace_from,d_hz_accident*G527,0)</f>
        <v/>
      </c>
      <c r="AP527" s="14">
        <f>F527*AO527*in_accident_ticket*in_accident_comm*in_ins_partner_share+F527*in_accident_ticket*in_accident_renew_comm*in_ins_partner_share*(in_accident_renew^1*SUMIFS(AO506:AO556,B506:B556,B527-12)+in_accident_renew^2*SUMIFS(AO506:AO556,B506:B556,B527-24)+in_accident_renew^3*SUMIFS(AO506:AO556,B506:B556,B527-36)+in_accident_renew^4*SUMIFS(AO506:AO556,B506:B556,B527-48))</f>
        <v/>
      </c>
      <c r="AQ527" s="40">
        <f>AQ526*(1-IF(B526&gt;=in_marketplace_from,d_hz_two_wheeler*G526,0))</f>
        <v/>
      </c>
      <c r="AR527" s="46">
        <f>AQ527*IF(B527&gt;=in_marketplace_from,d_hz_two_wheeler*G527,0)</f>
        <v/>
      </c>
      <c r="AS527" s="14">
        <f>F527*AR527*in_two_wheeler_ticket*in_two_wheeler_comm*in_ins_partner_share+F527*in_two_wheeler_ticket*in_two_wheeler_comm*in_ins_partner_share*(in_two_wheeler_renew^1*SUMIFS(AR506:AR556,B506:B556,B527-12)+in_two_wheeler_renew^2*SUMIFS(AR506:AR556,B506:B556,B527-24)+in_two_wheeler_renew^3*SUMIFS(AR506:AR556,B506:B556,B527-36)+in_two_wheeler_renew^4*SUMIFS(AR506:AR556,B506:B556,B527-48))</f>
        <v/>
      </c>
      <c r="AT527" s="40">
        <f>AT526*(1-IF(B526&gt;=in_marketplace_from,d_hz_device*G526,0))</f>
        <v/>
      </c>
      <c r="AU527" s="14">
        <f>F527*AT527*IF(B527&gt;=in_marketplace_from,d_hz_device*G527,0)*in_device_ticket*in_device_comm*in_ins_partner_share</f>
        <v/>
      </c>
      <c r="AV527" s="40">
        <f>AV526*(1-IF(B526&gt;=in_marketplace_from,d_hz_shop*G526,0))</f>
        <v/>
      </c>
      <c r="AW527" s="46">
        <f>AV527*IF(B527&gt;=in_marketplace_from,d_hz_shop*G527,0)</f>
        <v/>
      </c>
      <c r="AX527" s="14">
        <f>F527*AW527*in_shop_ticket*in_shop_comm*in_ins_partner_share+F527*in_shop_ticket*in_shop_renew_comm*in_ins_partner_share*(in_shop_renew^1*SUMIFS(AW506:AW556,B506:B556,B527-12)+in_shop_renew^2*SUMIFS(AW506:AW556,B506:B556,B527-24)+in_shop_renew^3*SUMIFS(AW506:AW556,B506:B556,B527-36)+in_shop_renew^4*SUMIFS(AW506:AW556,B506:B556,B527-48))</f>
        <v/>
      </c>
      <c r="AY527" s="40">
        <f>AY526*(1-IF(B526&gt;=in_marketplace_from,d_hz_sip*G526,0))</f>
        <v/>
      </c>
      <c r="AZ527" s="40">
        <f>AZ526*d_rho_sip+AY527*IF(B527&gt;=in_marketplace_from,d_hz_sip*G527,0)</f>
        <v/>
      </c>
      <c r="BA527" s="40">
        <f>d_rho_sip*(BA526+AZ526)</f>
        <v/>
      </c>
      <c r="BB527" s="14">
        <f>F527*in_sip_ticket*(BA527+0.5*AZ527)*in_sip_comm/12</f>
        <v/>
      </c>
      <c r="BC527" s="40">
        <f>BC526*(1-IF(B526&gt;=in_marketplace_from,d_hz_choti*G526,0))</f>
        <v/>
      </c>
      <c r="BD527" s="46">
        <f>BC527*IF(B527&gt;=in_marketplace_from,d_hz_choti*G527,0)</f>
        <v/>
      </c>
      <c r="BE527" s="14">
        <f>F527*SUMIFS(BD506:BD556,B506:B556,B527-in_choti_months)*in_choti_renew*in_choti_ticket</f>
        <v/>
      </c>
      <c r="BF527" s="40">
        <f>BF526*(1-IF(B526&gt;=in_marketplace_from,d_hz_nps*G526,0))</f>
        <v/>
      </c>
      <c r="BG527" s="14">
        <f>F527*BF527*IF(B527&gt;=in_marketplace_from,d_hz_nps*G527,0)*in_nps_ticket*in_nps_comm</f>
        <v/>
      </c>
      <c r="BH527" s="40">
        <f>BH526*(1-IF(B526&gt;=in_marketplace_from,d_hz_gold*G526,0))</f>
        <v/>
      </c>
      <c r="BI527" s="40">
        <f>BI526*d_rho_gold+BH527*IF(B527&gt;=in_marketplace_from,d_hz_gold*G527,0)</f>
        <v/>
      </c>
      <c r="BJ527" s="14">
        <f>F527*BI527*in_gold_ticket*in_gold_comm</f>
        <v/>
      </c>
      <c r="BK527" s="40">
        <f>BK526*(1-IF(B526&gt;=in_marketplace_from,d_hz_fd*G526,0))</f>
        <v/>
      </c>
      <c r="BL527" s="14">
        <f>F527*BK527*IF(B527&gt;=in_marketplace_from,d_hz_fd*G527,0)*in_fd_ticket*in_fd_comm</f>
        <v/>
      </c>
      <c r="BM527" s="40">
        <f>BM526*(1-IF(B526&gt;=in_marketplace_from,d_hz_recharge*G526,0))</f>
        <v/>
      </c>
      <c r="BN527" s="40">
        <f>BN526*d_rho_recharge+BM527*IF(B527&gt;=in_marketplace_from,d_hz_recharge*G527,0)</f>
        <v/>
      </c>
      <c r="BO527" s="14">
        <f>F527*BN527*in_recharge_ticket*in_recharge_comm/12</f>
        <v/>
      </c>
      <c r="BP527" s="40">
        <f>BP526*(1-IF(B526&gt;=in_marketplace_from,d_hz_bills*G526,0))</f>
        <v/>
      </c>
      <c r="BQ527" s="40">
        <f>BQ526*d_rho_bills+BP527*IF(B527&gt;=in_marketplace_from,d_hz_bills*G527,0)</f>
        <v/>
      </c>
      <c r="BR527" s="14">
        <f>F527*BQ527*in_bills_ticket*in_bills_comm/12</f>
        <v/>
      </c>
      <c r="BS527" s="40">
        <f>BS526*(1-IF(B526&gt;=in_marketplace_from,d_hz_loan_gold*G526,0))</f>
        <v/>
      </c>
      <c r="BT527" s="14">
        <f>F527*BS527*IF(B527&gt;=in_marketplace_from,d_hz_loan_gold*G527,0)*in_loan_gold_ticket*in_loan_gold_comm</f>
        <v/>
      </c>
      <c r="BU527" s="40">
        <f>BU526*(1-IF(B526&gt;=in_marketplace_from,d_hz_loan_cd*G526,0))</f>
        <v/>
      </c>
      <c r="BV527" s="14">
        <f>F527*BU527*IF(B527&gt;=in_marketplace_from,d_hz_loan_cd*G527,0)*in_loan_cd_ticket*in_loan_cd_comm</f>
        <v/>
      </c>
      <c r="BW527" s="40">
        <f>BW526*(1-IF(B526&gt;=in_marketplace_from,d_hz_loan_vehicle*G526,0))</f>
        <v/>
      </c>
      <c r="BX527" s="14">
        <f>F527*BW527*IF(B527&gt;=in_marketplace_from,d_hz_loan_vehicle*G527,0)*in_loan_vehicle_ticket*in_loan_vehicle_comm</f>
        <v/>
      </c>
      <c r="BY527" s="40">
        <f>BY526*(1-IF(B526&gt;=in_marketplace_from,d_hz_loan_home*G526,0)*BZ526)</f>
        <v/>
      </c>
      <c r="BZ527" s="11">
        <f>MIN(in_approval_cap,in_loan_home_approval*INDEX('Age profile'!$O$2:$O$61,B527)*(1+in_approval_growth)^(D527-1))</f>
        <v/>
      </c>
      <c r="CA527" s="14">
        <f>F527*BY527*IF(B527&gt;=in_marketplace_from,d_hz_loan_home*G527,0)*BZ527*in_loan_home_ticket*in_loan_home_comm</f>
        <v/>
      </c>
      <c r="CB527" s="40">
        <f>CB526*(1-IF(B526&gt;=in_marketplace_from,d_hz_loan_lap*G526,0)*CC526)</f>
        <v/>
      </c>
      <c r="CC527" s="11">
        <f>MIN(in_approval_cap,in_loan_lap_approval*INDEX('Age profile'!$O$2:$O$61,B527)*(1+in_approval_growth)^(D527-1))</f>
        <v/>
      </c>
      <c r="CD527" s="14">
        <f>F527*CB527*IF(B527&gt;=in_marketplace_from,d_hz_loan_lap*G527,0)*CC527*in_loan_lap_ticket*in_loan_lap_comm</f>
        <v/>
      </c>
      <c r="CE527" s="14">
        <f>AA527+AB527+AC527+AD527+AG527+AJ527+AM527+AP527+AS527+AU527+AX527+BB527+BE527+BG527+BJ527+BL527+BO527+BR527+BT527+BV527+BX527+CA527+CD527</f>
        <v/>
      </c>
    </row>
    <row r="528">
      <c r="A528" s="39" t="n">
        <v>10</v>
      </c>
      <c r="B528" s="39" t="n">
        <v>23</v>
      </c>
      <c r="C528" s="39">
        <f>A528+B528-1</f>
        <v/>
      </c>
      <c r="D528" s="39">
        <f>INT((C528-1)/12)+1</f>
        <v/>
      </c>
      <c r="E528" s="44">
        <f>INDEX(Monthly!$B$2:$B$61,A528)</f>
        <v/>
      </c>
      <c r="F528" s="44">
        <f>E528*INDEX('Age profile'!$B$2:$B$61,B528)</f>
        <v/>
      </c>
      <c r="G528" s="45">
        <f>MIN(in_takeup_cap,INDEX('Age profile'!$N$2:$N$61,B528)*(1+in_takeup_growth)^(D528-1))</f>
        <v/>
      </c>
      <c r="H528" s="11">
        <f>MIN(in_approval_cap,in_approved_first*INDEX('Age profile'!$O$2:$O$61,B528)*(1+in_approval_growth)^(D528-1))</f>
        <v/>
      </c>
      <c r="I528" s="45">
        <f>G528*MIN(in_takeup_cap,INDEX('Age profile'!$O$2:$O$61,B528)*(1+in_approval_growth)^(D528-1))</f>
        <v/>
      </c>
      <c r="J528" s="40">
        <f>(J527-L527)*F528/F527</f>
        <v/>
      </c>
      <c r="K528" s="40">
        <f>(K527-M527)*F528/F527+SUMIFS(O506:O527,B506:B527,B528-1-d_T)*F528</f>
        <v/>
      </c>
      <c r="L528" s="40">
        <f>IF(B528&gt;=in_marketplace_from,J528*d_hz*G528*in_eligible*H528,0)</f>
        <v/>
      </c>
      <c r="M528" s="40">
        <f>IF(B528&gt;=in_marketplace_from,K528*d_hz*G528*in_eligible*in_approved_repeat,0)</f>
        <v/>
      </c>
      <c r="N528" s="40">
        <f>L528+M528</f>
        <v/>
      </c>
      <c r="O528" s="46">
        <f>N528/F528</f>
        <v/>
      </c>
      <c r="P528" s="40">
        <f>F528-J528-K528</f>
        <v/>
      </c>
      <c r="Q528" s="40">
        <f>IF(B528&gt;=in_marketplace_from,(J528+K528)*d_hz*G528,0)</f>
        <v/>
      </c>
      <c r="R528" s="40">
        <f>SUMIFS(N506:N556,B506:B556,"&gt;="&amp;(B528-d_T),B506:B556,"&lt;="&amp;(B528-1))</f>
        <v/>
      </c>
      <c r="S528" s="46">
        <f>(1-d_u)*S527+IF(d_T&gt;in_topup_lag,SUMIFS(O506:O556,B506:B556,B528-in_topup_lag)-d_udrop*SUMIFS(O506:O556,B506:B556,B528-d_T),0)</f>
        <v/>
      </c>
      <c r="T528" s="40">
        <f>F528*d_u*S528</f>
        <v/>
      </c>
      <c r="U528" s="9">
        <f>L528*in_ticket+M528*d_rep_ticket</f>
        <v/>
      </c>
      <c r="V528" s="9">
        <f>U528+T528*d_topup_amt</f>
        <v/>
      </c>
      <c r="W528" s="40">
        <f>N528+T528*d_topup_ratio</f>
        <v/>
      </c>
      <c r="X528" s="40">
        <f>SUMIFS(W506:W556,B506:B556,B528-in_dpd_lag)*d_cured</f>
        <v/>
      </c>
      <c r="Y528" s="40">
        <f>SUMIFS(W506:W556,B506:B556,B528-in_rec_lag)*d_recd</f>
        <v/>
      </c>
      <c r="Z528" s="40">
        <f>IF(AND(B528&gt;=in_marketplace_from,B528&lt;in_marketplace_from+in_card_months),in_card_share/in_card_months*F528*I528,IF(AND(B528&gt;=in_marketplace_from+in_card_months,B528&lt;in_marketplace_from+2*in_card_months),in_card_share*d_card_rem/in_card_months*F528*MIN(in_takeup_cap,(1+in_takeup_growth)^(D528-1))*MIN(in_takeup_cap,(1+in_approval_growth)^(D528-1)),0))</f>
        <v/>
      </c>
      <c r="AA528" s="14">
        <f>V528*in_fee*(1-in_taken_back)</f>
        <v/>
      </c>
      <c r="AB528" s="14">
        <f>SUMIFS(W506:W556,B506:B556,B528-in_dpd_lag)*d_dpd</f>
        <v/>
      </c>
      <c r="AC528" s="14">
        <f>SUMIFS(W506:W556,B506:B556,B528-in_rec_lag)*d_rec</f>
        <v/>
      </c>
      <c r="AD528" s="14">
        <f>Z528*in_card_fee</f>
        <v/>
      </c>
      <c r="AE528" s="40">
        <f>AE527*(1-IF(B527&gt;=in_marketplace_from,d_hz_hlth_small*G527,0))</f>
        <v/>
      </c>
      <c r="AF528" s="46">
        <f>AE528*IF(B528&gt;=in_marketplace_from,d_hz_hlth_small*G528,0)</f>
        <v/>
      </c>
      <c r="AG528" s="14">
        <f>F528*AF528*in_hlth_small_ticket*in_hlth_small_comm*in_ins_partner_share+F528*in_hlth_small_ticket*in_hlth_small_renew_comm*in_ins_partner_share*(in_hlth_small_renew^1*SUMIFS(AF506:AF556,B506:B556,B528-12)+in_hlth_small_renew^2*SUMIFS(AF506:AF556,B506:B556,B528-24)+in_hlth_small_renew^3*SUMIFS(AF506:AF556,B506:B556,B528-36)+in_hlth_small_renew^4*SUMIFS(AF506:AF556,B506:B556,B528-48))</f>
        <v/>
      </c>
      <c r="AH528" s="40">
        <f>AH527*(1-IF(B527&gt;=in_marketplace_from,d_hz_hlth_family*G527,0))</f>
        <v/>
      </c>
      <c r="AI528" s="46">
        <f>AH528*IF(B528&gt;=in_marketplace_from,d_hz_hlth_family*G528,0)</f>
        <v/>
      </c>
      <c r="AJ528" s="14">
        <f>F528*AI528*in_hlth_family_ticket*in_hlth_family_comm*in_ins_partner_share+F528*in_hlth_family_ticket*in_hlth_family_renew_comm*in_ins_partner_share*(in_hlth_family_renew^1*SUMIFS(AI506:AI556,B506:B556,B528-12)+in_hlth_family_renew^2*SUMIFS(AI506:AI556,B506:B556,B528-24)+in_hlth_family_renew^3*SUMIFS(AI506:AI556,B506:B556,B528-36)+in_hlth_family_renew^4*SUMIFS(AI506:AI556,B506:B556,B528-48))</f>
        <v/>
      </c>
      <c r="AK528" s="40">
        <f>AK527*(1-IF(B527&gt;=in_marketplace_from,d_hz_life_term*G527,0))</f>
        <v/>
      </c>
      <c r="AL528" s="46">
        <f>AK528*IF(B528&gt;=in_marketplace_from,d_hz_life_term*G528,0)</f>
        <v/>
      </c>
      <c r="AM528" s="14">
        <f>F528*AL528*in_life_term_ticket*in_life_term_comm*in_ins_partner_share+F528*in_life_term_ticket*in_life_term_renew_comm*in_ins_partner_share*(in_life_term_renew^1*SUMIFS(AL506:AL556,B506:B556,B528-12)+in_life_term_renew^2*SUMIFS(AL506:AL556,B506:B556,B528-24)+in_life_term_renew^3*SUMIFS(AL506:AL556,B506:B556,B528-36)+in_life_term_renew^4*SUMIFS(AL506:AL556,B506:B556,B528-48))</f>
        <v/>
      </c>
      <c r="AN528" s="40">
        <f>AN527*(1-IF(B527&gt;=in_marketplace_from,d_hz_accident*G527,0))</f>
        <v/>
      </c>
      <c r="AO528" s="46">
        <f>AN528*IF(B528&gt;=in_marketplace_from,d_hz_accident*G528,0)</f>
        <v/>
      </c>
      <c r="AP528" s="14">
        <f>F528*AO528*in_accident_ticket*in_accident_comm*in_ins_partner_share+F528*in_accident_ticket*in_accident_renew_comm*in_ins_partner_share*(in_accident_renew^1*SUMIFS(AO506:AO556,B506:B556,B528-12)+in_accident_renew^2*SUMIFS(AO506:AO556,B506:B556,B528-24)+in_accident_renew^3*SUMIFS(AO506:AO556,B506:B556,B528-36)+in_accident_renew^4*SUMIFS(AO506:AO556,B506:B556,B528-48))</f>
        <v/>
      </c>
      <c r="AQ528" s="40">
        <f>AQ527*(1-IF(B527&gt;=in_marketplace_from,d_hz_two_wheeler*G527,0))</f>
        <v/>
      </c>
      <c r="AR528" s="46">
        <f>AQ528*IF(B528&gt;=in_marketplace_from,d_hz_two_wheeler*G528,0)</f>
        <v/>
      </c>
      <c r="AS528" s="14">
        <f>F528*AR528*in_two_wheeler_ticket*in_two_wheeler_comm*in_ins_partner_share+F528*in_two_wheeler_ticket*in_two_wheeler_comm*in_ins_partner_share*(in_two_wheeler_renew^1*SUMIFS(AR506:AR556,B506:B556,B528-12)+in_two_wheeler_renew^2*SUMIFS(AR506:AR556,B506:B556,B528-24)+in_two_wheeler_renew^3*SUMIFS(AR506:AR556,B506:B556,B528-36)+in_two_wheeler_renew^4*SUMIFS(AR506:AR556,B506:B556,B528-48))</f>
        <v/>
      </c>
      <c r="AT528" s="40">
        <f>AT527*(1-IF(B527&gt;=in_marketplace_from,d_hz_device*G527,0))</f>
        <v/>
      </c>
      <c r="AU528" s="14">
        <f>F528*AT528*IF(B528&gt;=in_marketplace_from,d_hz_device*G528,0)*in_device_ticket*in_device_comm*in_ins_partner_share</f>
        <v/>
      </c>
      <c r="AV528" s="40">
        <f>AV527*(1-IF(B527&gt;=in_marketplace_from,d_hz_shop*G527,0))</f>
        <v/>
      </c>
      <c r="AW528" s="46">
        <f>AV528*IF(B528&gt;=in_marketplace_from,d_hz_shop*G528,0)</f>
        <v/>
      </c>
      <c r="AX528" s="14">
        <f>F528*AW528*in_shop_ticket*in_shop_comm*in_ins_partner_share+F528*in_shop_ticket*in_shop_renew_comm*in_ins_partner_share*(in_shop_renew^1*SUMIFS(AW506:AW556,B506:B556,B528-12)+in_shop_renew^2*SUMIFS(AW506:AW556,B506:B556,B528-24)+in_shop_renew^3*SUMIFS(AW506:AW556,B506:B556,B528-36)+in_shop_renew^4*SUMIFS(AW506:AW556,B506:B556,B528-48))</f>
        <v/>
      </c>
      <c r="AY528" s="40">
        <f>AY527*(1-IF(B527&gt;=in_marketplace_from,d_hz_sip*G527,0))</f>
        <v/>
      </c>
      <c r="AZ528" s="40">
        <f>AZ527*d_rho_sip+AY528*IF(B528&gt;=in_marketplace_from,d_hz_sip*G528,0)</f>
        <v/>
      </c>
      <c r="BA528" s="40">
        <f>d_rho_sip*(BA527+AZ527)</f>
        <v/>
      </c>
      <c r="BB528" s="14">
        <f>F528*in_sip_ticket*(BA528+0.5*AZ528)*in_sip_comm/12</f>
        <v/>
      </c>
      <c r="BC528" s="40">
        <f>BC527*(1-IF(B527&gt;=in_marketplace_from,d_hz_choti*G527,0))</f>
        <v/>
      </c>
      <c r="BD528" s="46">
        <f>BC528*IF(B528&gt;=in_marketplace_from,d_hz_choti*G528,0)</f>
        <v/>
      </c>
      <c r="BE528" s="14">
        <f>F528*SUMIFS(BD506:BD556,B506:B556,B528-in_choti_months)*in_choti_renew*in_choti_ticket</f>
        <v/>
      </c>
      <c r="BF528" s="40">
        <f>BF527*(1-IF(B527&gt;=in_marketplace_from,d_hz_nps*G527,0))</f>
        <v/>
      </c>
      <c r="BG528" s="14">
        <f>F528*BF528*IF(B528&gt;=in_marketplace_from,d_hz_nps*G528,0)*in_nps_ticket*in_nps_comm</f>
        <v/>
      </c>
      <c r="BH528" s="40">
        <f>BH527*(1-IF(B527&gt;=in_marketplace_from,d_hz_gold*G527,0))</f>
        <v/>
      </c>
      <c r="BI528" s="40">
        <f>BI527*d_rho_gold+BH528*IF(B528&gt;=in_marketplace_from,d_hz_gold*G528,0)</f>
        <v/>
      </c>
      <c r="BJ528" s="14">
        <f>F528*BI528*in_gold_ticket*in_gold_comm</f>
        <v/>
      </c>
      <c r="BK528" s="40">
        <f>BK527*(1-IF(B527&gt;=in_marketplace_from,d_hz_fd*G527,0))</f>
        <v/>
      </c>
      <c r="BL528" s="14">
        <f>F528*BK528*IF(B528&gt;=in_marketplace_from,d_hz_fd*G528,0)*in_fd_ticket*in_fd_comm</f>
        <v/>
      </c>
      <c r="BM528" s="40">
        <f>BM527*(1-IF(B527&gt;=in_marketplace_from,d_hz_recharge*G527,0))</f>
        <v/>
      </c>
      <c r="BN528" s="40">
        <f>BN527*d_rho_recharge+BM528*IF(B528&gt;=in_marketplace_from,d_hz_recharge*G528,0)</f>
        <v/>
      </c>
      <c r="BO528" s="14">
        <f>F528*BN528*in_recharge_ticket*in_recharge_comm/12</f>
        <v/>
      </c>
      <c r="BP528" s="40">
        <f>BP527*(1-IF(B527&gt;=in_marketplace_from,d_hz_bills*G527,0))</f>
        <v/>
      </c>
      <c r="BQ528" s="40">
        <f>BQ527*d_rho_bills+BP528*IF(B528&gt;=in_marketplace_from,d_hz_bills*G528,0)</f>
        <v/>
      </c>
      <c r="BR528" s="14">
        <f>F528*BQ528*in_bills_ticket*in_bills_comm/12</f>
        <v/>
      </c>
      <c r="BS528" s="40">
        <f>BS527*(1-IF(B527&gt;=in_marketplace_from,d_hz_loan_gold*G527,0))</f>
        <v/>
      </c>
      <c r="BT528" s="14">
        <f>F528*BS528*IF(B528&gt;=in_marketplace_from,d_hz_loan_gold*G528,0)*in_loan_gold_ticket*in_loan_gold_comm</f>
        <v/>
      </c>
      <c r="BU528" s="40">
        <f>BU527*(1-IF(B527&gt;=in_marketplace_from,d_hz_loan_cd*G527,0))</f>
        <v/>
      </c>
      <c r="BV528" s="14">
        <f>F528*BU528*IF(B528&gt;=in_marketplace_from,d_hz_loan_cd*G528,0)*in_loan_cd_ticket*in_loan_cd_comm</f>
        <v/>
      </c>
      <c r="BW528" s="40">
        <f>BW527*(1-IF(B527&gt;=in_marketplace_from,d_hz_loan_vehicle*G527,0))</f>
        <v/>
      </c>
      <c r="BX528" s="14">
        <f>F528*BW528*IF(B528&gt;=in_marketplace_from,d_hz_loan_vehicle*G528,0)*in_loan_vehicle_ticket*in_loan_vehicle_comm</f>
        <v/>
      </c>
      <c r="BY528" s="40">
        <f>BY527*(1-IF(B527&gt;=in_marketplace_from,d_hz_loan_home*G527,0)*BZ527)</f>
        <v/>
      </c>
      <c r="BZ528" s="11">
        <f>MIN(in_approval_cap,in_loan_home_approval*INDEX('Age profile'!$O$2:$O$61,B528)*(1+in_approval_growth)^(D528-1))</f>
        <v/>
      </c>
      <c r="CA528" s="14">
        <f>F528*BY528*IF(B528&gt;=in_marketplace_from,d_hz_loan_home*G528,0)*BZ528*in_loan_home_ticket*in_loan_home_comm</f>
        <v/>
      </c>
      <c r="CB528" s="40">
        <f>CB527*(1-IF(B527&gt;=in_marketplace_from,d_hz_loan_lap*G527,0)*CC527)</f>
        <v/>
      </c>
      <c r="CC528" s="11">
        <f>MIN(in_approval_cap,in_loan_lap_approval*INDEX('Age profile'!$O$2:$O$61,B528)*(1+in_approval_growth)^(D528-1))</f>
        <v/>
      </c>
      <c r="CD528" s="14">
        <f>F528*CB528*IF(B528&gt;=in_marketplace_from,d_hz_loan_lap*G528,0)*CC528*in_loan_lap_ticket*in_loan_lap_comm</f>
        <v/>
      </c>
      <c r="CE528" s="14">
        <f>AA528+AB528+AC528+AD528+AG528+AJ528+AM528+AP528+AS528+AU528+AX528+BB528+BE528+BG528+BJ528+BL528+BO528+BR528+BT528+BV528+BX528+CA528+CD528</f>
        <v/>
      </c>
    </row>
    <row r="529">
      <c r="A529" s="39" t="n">
        <v>10</v>
      </c>
      <c r="B529" s="39" t="n">
        <v>24</v>
      </c>
      <c r="C529" s="39">
        <f>A529+B529-1</f>
        <v/>
      </c>
      <c r="D529" s="39">
        <f>INT((C529-1)/12)+1</f>
        <v/>
      </c>
      <c r="E529" s="44">
        <f>INDEX(Monthly!$B$2:$B$61,A529)</f>
        <v/>
      </c>
      <c r="F529" s="44">
        <f>E529*INDEX('Age profile'!$B$2:$B$61,B529)</f>
        <v/>
      </c>
      <c r="G529" s="45">
        <f>MIN(in_takeup_cap,INDEX('Age profile'!$N$2:$N$61,B529)*(1+in_takeup_growth)^(D529-1))</f>
        <v/>
      </c>
      <c r="H529" s="11">
        <f>MIN(in_approval_cap,in_approved_first*INDEX('Age profile'!$O$2:$O$61,B529)*(1+in_approval_growth)^(D529-1))</f>
        <v/>
      </c>
      <c r="I529" s="45">
        <f>G529*MIN(in_takeup_cap,INDEX('Age profile'!$O$2:$O$61,B529)*(1+in_approval_growth)^(D529-1))</f>
        <v/>
      </c>
      <c r="J529" s="40">
        <f>(J528-L528)*F529/F528</f>
        <v/>
      </c>
      <c r="K529" s="40">
        <f>(K528-M528)*F529/F528+SUMIFS(O506:O528,B506:B528,B529-1-d_T)*F529</f>
        <v/>
      </c>
      <c r="L529" s="40">
        <f>IF(B529&gt;=in_marketplace_from,J529*d_hz*G529*in_eligible*H529,0)</f>
        <v/>
      </c>
      <c r="M529" s="40">
        <f>IF(B529&gt;=in_marketplace_from,K529*d_hz*G529*in_eligible*in_approved_repeat,0)</f>
        <v/>
      </c>
      <c r="N529" s="40">
        <f>L529+M529</f>
        <v/>
      </c>
      <c r="O529" s="46">
        <f>N529/F529</f>
        <v/>
      </c>
      <c r="P529" s="40">
        <f>F529-J529-K529</f>
        <v/>
      </c>
      <c r="Q529" s="40">
        <f>IF(B529&gt;=in_marketplace_from,(J529+K529)*d_hz*G529,0)</f>
        <v/>
      </c>
      <c r="R529" s="40">
        <f>SUMIFS(N506:N556,B506:B556,"&gt;="&amp;(B529-d_T),B506:B556,"&lt;="&amp;(B529-1))</f>
        <v/>
      </c>
      <c r="S529" s="46">
        <f>(1-d_u)*S528+IF(d_T&gt;in_topup_lag,SUMIFS(O506:O556,B506:B556,B529-in_topup_lag)-d_udrop*SUMIFS(O506:O556,B506:B556,B529-d_T),0)</f>
        <v/>
      </c>
      <c r="T529" s="40">
        <f>F529*d_u*S529</f>
        <v/>
      </c>
      <c r="U529" s="9">
        <f>L529*in_ticket+M529*d_rep_ticket</f>
        <v/>
      </c>
      <c r="V529" s="9">
        <f>U529+T529*d_topup_amt</f>
        <v/>
      </c>
      <c r="W529" s="40">
        <f>N529+T529*d_topup_ratio</f>
        <v/>
      </c>
      <c r="X529" s="40">
        <f>SUMIFS(W506:W556,B506:B556,B529-in_dpd_lag)*d_cured</f>
        <v/>
      </c>
      <c r="Y529" s="40">
        <f>SUMIFS(W506:W556,B506:B556,B529-in_rec_lag)*d_recd</f>
        <v/>
      </c>
      <c r="Z529" s="40">
        <f>IF(AND(B529&gt;=in_marketplace_from,B529&lt;in_marketplace_from+in_card_months),in_card_share/in_card_months*F529*I529,IF(AND(B529&gt;=in_marketplace_from+in_card_months,B529&lt;in_marketplace_from+2*in_card_months),in_card_share*d_card_rem/in_card_months*F529*MIN(in_takeup_cap,(1+in_takeup_growth)^(D529-1))*MIN(in_takeup_cap,(1+in_approval_growth)^(D529-1)),0))</f>
        <v/>
      </c>
      <c r="AA529" s="14">
        <f>V529*in_fee*(1-in_taken_back)</f>
        <v/>
      </c>
      <c r="AB529" s="14">
        <f>SUMIFS(W506:W556,B506:B556,B529-in_dpd_lag)*d_dpd</f>
        <v/>
      </c>
      <c r="AC529" s="14">
        <f>SUMIFS(W506:W556,B506:B556,B529-in_rec_lag)*d_rec</f>
        <v/>
      </c>
      <c r="AD529" s="14">
        <f>Z529*in_card_fee</f>
        <v/>
      </c>
      <c r="AE529" s="40">
        <f>AE528*(1-IF(B528&gt;=in_marketplace_from,d_hz_hlth_small*G528,0))</f>
        <v/>
      </c>
      <c r="AF529" s="46">
        <f>AE529*IF(B529&gt;=in_marketplace_from,d_hz_hlth_small*G529,0)</f>
        <v/>
      </c>
      <c r="AG529" s="14">
        <f>F529*AF529*in_hlth_small_ticket*in_hlth_small_comm*in_ins_partner_share+F529*in_hlth_small_ticket*in_hlth_small_renew_comm*in_ins_partner_share*(in_hlth_small_renew^1*SUMIFS(AF506:AF556,B506:B556,B529-12)+in_hlth_small_renew^2*SUMIFS(AF506:AF556,B506:B556,B529-24)+in_hlth_small_renew^3*SUMIFS(AF506:AF556,B506:B556,B529-36)+in_hlth_small_renew^4*SUMIFS(AF506:AF556,B506:B556,B529-48))</f>
        <v/>
      </c>
      <c r="AH529" s="40">
        <f>AH528*(1-IF(B528&gt;=in_marketplace_from,d_hz_hlth_family*G528,0))</f>
        <v/>
      </c>
      <c r="AI529" s="46">
        <f>AH529*IF(B529&gt;=in_marketplace_from,d_hz_hlth_family*G529,0)</f>
        <v/>
      </c>
      <c r="AJ529" s="14">
        <f>F529*AI529*in_hlth_family_ticket*in_hlth_family_comm*in_ins_partner_share+F529*in_hlth_family_ticket*in_hlth_family_renew_comm*in_ins_partner_share*(in_hlth_family_renew^1*SUMIFS(AI506:AI556,B506:B556,B529-12)+in_hlth_family_renew^2*SUMIFS(AI506:AI556,B506:B556,B529-24)+in_hlth_family_renew^3*SUMIFS(AI506:AI556,B506:B556,B529-36)+in_hlth_family_renew^4*SUMIFS(AI506:AI556,B506:B556,B529-48))</f>
        <v/>
      </c>
      <c r="AK529" s="40">
        <f>AK528*(1-IF(B528&gt;=in_marketplace_from,d_hz_life_term*G528,0))</f>
        <v/>
      </c>
      <c r="AL529" s="46">
        <f>AK529*IF(B529&gt;=in_marketplace_from,d_hz_life_term*G529,0)</f>
        <v/>
      </c>
      <c r="AM529" s="14">
        <f>F529*AL529*in_life_term_ticket*in_life_term_comm*in_ins_partner_share+F529*in_life_term_ticket*in_life_term_renew_comm*in_ins_partner_share*(in_life_term_renew^1*SUMIFS(AL506:AL556,B506:B556,B529-12)+in_life_term_renew^2*SUMIFS(AL506:AL556,B506:B556,B529-24)+in_life_term_renew^3*SUMIFS(AL506:AL556,B506:B556,B529-36)+in_life_term_renew^4*SUMIFS(AL506:AL556,B506:B556,B529-48))</f>
        <v/>
      </c>
      <c r="AN529" s="40">
        <f>AN528*(1-IF(B528&gt;=in_marketplace_from,d_hz_accident*G528,0))</f>
        <v/>
      </c>
      <c r="AO529" s="46">
        <f>AN529*IF(B529&gt;=in_marketplace_from,d_hz_accident*G529,0)</f>
        <v/>
      </c>
      <c r="AP529" s="14">
        <f>F529*AO529*in_accident_ticket*in_accident_comm*in_ins_partner_share+F529*in_accident_ticket*in_accident_renew_comm*in_ins_partner_share*(in_accident_renew^1*SUMIFS(AO506:AO556,B506:B556,B529-12)+in_accident_renew^2*SUMIFS(AO506:AO556,B506:B556,B529-24)+in_accident_renew^3*SUMIFS(AO506:AO556,B506:B556,B529-36)+in_accident_renew^4*SUMIFS(AO506:AO556,B506:B556,B529-48))</f>
        <v/>
      </c>
      <c r="AQ529" s="40">
        <f>AQ528*(1-IF(B528&gt;=in_marketplace_from,d_hz_two_wheeler*G528,0))</f>
        <v/>
      </c>
      <c r="AR529" s="46">
        <f>AQ529*IF(B529&gt;=in_marketplace_from,d_hz_two_wheeler*G529,0)</f>
        <v/>
      </c>
      <c r="AS529" s="14">
        <f>F529*AR529*in_two_wheeler_ticket*in_two_wheeler_comm*in_ins_partner_share+F529*in_two_wheeler_ticket*in_two_wheeler_comm*in_ins_partner_share*(in_two_wheeler_renew^1*SUMIFS(AR506:AR556,B506:B556,B529-12)+in_two_wheeler_renew^2*SUMIFS(AR506:AR556,B506:B556,B529-24)+in_two_wheeler_renew^3*SUMIFS(AR506:AR556,B506:B556,B529-36)+in_two_wheeler_renew^4*SUMIFS(AR506:AR556,B506:B556,B529-48))</f>
        <v/>
      </c>
      <c r="AT529" s="40">
        <f>AT528*(1-IF(B528&gt;=in_marketplace_from,d_hz_device*G528,0))</f>
        <v/>
      </c>
      <c r="AU529" s="14">
        <f>F529*AT529*IF(B529&gt;=in_marketplace_from,d_hz_device*G529,0)*in_device_ticket*in_device_comm*in_ins_partner_share</f>
        <v/>
      </c>
      <c r="AV529" s="40">
        <f>AV528*(1-IF(B528&gt;=in_marketplace_from,d_hz_shop*G528,0))</f>
        <v/>
      </c>
      <c r="AW529" s="46">
        <f>AV529*IF(B529&gt;=in_marketplace_from,d_hz_shop*G529,0)</f>
        <v/>
      </c>
      <c r="AX529" s="14">
        <f>F529*AW529*in_shop_ticket*in_shop_comm*in_ins_partner_share+F529*in_shop_ticket*in_shop_renew_comm*in_ins_partner_share*(in_shop_renew^1*SUMIFS(AW506:AW556,B506:B556,B529-12)+in_shop_renew^2*SUMIFS(AW506:AW556,B506:B556,B529-24)+in_shop_renew^3*SUMIFS(AW506:AW556,B506:B556,B529-36)+in_shop_renew^4*SUMIFS(AW506:AW556,B506:B556,B529-48))</f>
        <v/>
      </c>
      <c r="AY529" s="40">
        <f>AY528*(1-IF(B528&gt;=in_marketplace_from,d_hz_sip*G528,0))</f>
        <v/>
      </c>
      <c r="AZ529" s="40">
        <f>AZ528*d_rho_sip+AY529*IF(B529&gt;=in_marketplace_from,d_hz_sip*G529,0)</f>
        <v/>
      </c>
      <c r="BA529" s="40">
        <f>d_rho_sip*(BA528+AZ528)</f>
        <v/>
      </c>
      <c r="BB529" s="14">
        <f>F529*in_sip_ticket*(BA529+0.5*AZ529)*in_sip_comm/12</f>
        <v/>
      </c>
      <c r="BC529" s="40">
        <f>BC528*(1-IF(B528&gt;=in_marketplace_from,d_hz_choti*G528,0))</f>
        <v/>
      </c>
      <c r="BD529" s="46">
        <f>BC529*IF(B529&gt;=in_marketplace_from,d_hz_choti*G529,0)</f>
        <v/>
      </c>
      <c r="BE529" s="14">
        <f>F529*SUMIFS(BD506:BD556,B506:B556,B529-in_choti_months)*in_choti_renew*in_choti_ticket</f>
        <v/>
      </c>
      <c r="BF529" s="40">
        <f>BF528*(1-IF(B528&gt;=in_marketplace_from,d_hz_nps*G528,0))</f>
        <v/>
      </c>
      <c r="BG529" s="14">
        <f>F529*BF529*IF(B529&gt;=in_marketplace_from,d_hz_nps*G529,0)*in_nps_ticket*in_nps_comm</f>
        <v/>
      </c>
      <c r="BH529" s="40">
        <f>BH528*(1-IF(B528&gt;=in_marketplace_from,d_hz_gold*G528,0))</f>
        <v/>
      </c>
      <c r="BI529" s="40">
        <f>BI528*d_rho_gold+BH529*IF(B529&gt;=in_marketplace_from,d_hz_gold*G529,0)</f>
        <v/>
      </c>
      <c r="BJ529" s="14">
        <f>F529*BI529*in_gold_ticket*in_gold_comm</f>
        <v/>
      </c>
      <c r="BK529" s="40">
        <f>BK528*(1-IF(B528&gt;=in_marketplace_from,d_hz_fd*G528,0))</f>
        <v/>
      </c>
      <c r="BL529" s="14">
        <f>F529*BK529*IF(B529&gt;=in_marketplace_from,d_hz_fd*G529,0)*in_fd_ticket*in_fd_comm</f>
        <v/>
      </c>
      <c r="BM529" s="40">
        <f>BM528*(1-IF(B528&gt;=in_marketplace_from,d_hz_recharge*G528,0))</f>
        <v/>
      </c>
      <c r="BN529" s="40">
        <f>BN528*d_rho_recharge+BM529*IF(B529&gt;=in_marketplace_from,d_hz_recharge*G529,0)</f>
        <v/>
      </c>
      <c r="BO529" s="14">
        <f>F529*BN529*in_recharge_ticket*in_recharge_comm/12</f>
        <v/>
      </c>
      <c r="BP529" s="40">
        <f>BP528*(1-IF(B528&gt;=in_marketplace_from,d_hz_bills*G528,0))</f>
        <v/>
      </c>
      <c r="BQ529" s="40">
        <f>BQ528*d_rho_bills+BP529*IF(B529&gt;=in_marketplace_from,d_hz_bills*G529,0)</f>
        <v/>
      </c>
      <c r="BR529" s="14">
        <f>F529*BQ529*in_bills_ticket*in_bills_comm/12</f>
        <v/>
      </c>
      <c r="BS529" s="40">
        <f>BS528*(1-IF(B528&gt;=in_marketplace_from,d_hz_loan_gold*G528,0))</f>
        <v/>
      </c>
      <c r="BT529" s="14">
        <f>F529*BS529*IF(B529&gt;=in_marketplace_from,d_hz_loan_gold*G529,0)*in_loan_gold_ticket*in_loan_gold_comm</f>
        <v/>
      </c>
      <c r="BU529" s="40">
        <f>BU528*(1-IF(B528&gt;=in_marketplace_from,d_hz_loan_cd*G528,0))</f>
        <v/>
      </c>
      <c r="BV529" s="14">
        <f>F529*BU529*IF(B529&gt;=in_marketplace_from,d_hz_loan_cd*G529,0)*in_loan_cd_ticket*in_loan_cd_comm</f>
        <v/>
      </c>
      <c r="BW529" s="40">
        <f>BW528*(1-IF(B528&gt;=in_marketplace_from,d_hz_loan_vehicle*G528,0))</f>
        <v/>
      </c>
      <c r="BX529" s="14">
        <f>F529*BW529*IF(B529&gt;=in_marketplace_from,d_hz_loan_vehicle*G529,0)*in_loan_vehicle_ticket*in_loan_vehicle_comm</f>
        <v/>
      </c>
      <c r="BY529" s="40">
        <f>BY528*(1-IF(B528&gt;=in_marketplace_from,d_hz_loan_home*G528,0)*BZ528)</f>
        <v/>
      </c>
      <c r="BZ529" s="11">
        <f>MIN(in_approval_cap,in_loan_home_approval*INDEX('Age profile'!$O$2:$O$61,B529)*(1+in_approval_growth)^(D529-1))</f>
        <v/>
      </c>
      <c r="CA529" s="14">
        <f>F529*BY529*IF(B529&gt;=in_marketplace_from,d_hz_loan_home*G529,0)*BZ529*in_loan_home_ticket*in_loan_home_comm</f>
        <v/>
      </c>
      <c r="CB529" s="40">
        <f>CB528*(1-IF(B528&gt;=in_marketplace_from,d_hz_loan_lap*G528,0)*CC528)</f>
        <v/>
      </c>
      <c r="CC529" s="11">
        <f>MIN(in_approval_cap,in_loan_lap_approval*INDEX('Age profile'!$O$2:$O$61,B529)*(1+in_approval_growth)^(D529-1))</f>
        <v/>
      </c>
      <c r="CD529" s="14">
        <f>F529*CB529*IF(B529&gt;=in_marketplace_from,d_hz_loan_lap*G529,0)*CC529*in_loan_lap_ticket*in_loan_lap_comm</f>
        <v/>
      </c>
      <c r="CE529" s="14">
        <f>AA529+AB529+AC529+AD529+AG529+AJ529+AM529+AP529+AS529+AU529+AX529+BB529+BE529+BG529+BJ529+BL529+BO529+BR529+BT529+BV529+BX529+CA529+CD529</f>
        <v/>
      </c>
    </row>
    <row r="530">
      <c r="A530" s="39" t="n">
        <v>10</v>
      </c>
      <c r="B530" s="39" t="n">
        <v>25</v>
      </c>
      <c r="C530" s="39">
        <f>A530+B530-1</f>
        <v/>
      </c>
      <c r="D530" s="39">
        <f>INT((C530-1)/12)+1</f>
        <v/>
      </c>
      <c r="E530" s="44">
        <f>INDEX(Monthly!$B$2:$B$61,A530)</f>
        <v/>
      </c>
      <c r="F530" s="44">
        <f>E530*INDEX('Age profile'!$B$2:$B$61,B530)</f>
        <v/>
      </c>
      <c r="G530" s="45">
        <f>MIN(in_takeup_cap,INDEX('Age profile'!$N$2:$N$61,B530)*(1+in_takeup_growth)^(D530-1))</f>
        <v/>
      </c>
      <c r="H530" s="11">
        <f>MIN(in_approval_cap,in_approved_first*INDEX('Age profile'!$O$2:$O$61,B530)*(1+in_approval_growth)^(D530-1))</f>
        <v/>
      </c>
      <c r="I530" s="45">
        <f>G530*MIN(in_takeup_cap,INDEX('Age profile'!$O$2:$O$61,B530)*(1+in_approval_growth)^(D530-1))</f>
        <v/>
      </c>
      <c r="J530" s="40">
        <f>(J529-L529)*F530/F529</f>
        <v/>
      </c>
      <c r="K530" s="40">
        <f>(K529-M529)*F530/F529+SUMIFS(O506:O529,B506:B529,B530-1-d_T)*F530</f>
        <v/>
      </c>
      <c r="L530" s="40">
        <f>IF(B530&gt;=in_marketplace_from,J530*d_hz*G530*in_eligible*H530,0)</f>
        <v/>
      </c>
      <c r="M530" s="40">
        <f>IF(B530&gt;=in_marketplace_from,K530*d_hz*G530*in_eligible*in_approved_repeat,0)</f>
        <v/>
      </c>
      <c r="N530" s="40">
        <f>L530+M530</f>
        <v/>
      </c>
      <c r="O530" s="46">
        <f>N530/F530</f>
        <v/>
      </c>
      <c r="P530" s="40">
        <f>F530-J530-K530</f>
        <v/>
      </c>
      <c r="Q530" s="40">
        <f>IF(B530&gt;=in_marketplace_from,(J530+K530)*d_hz*G530,0)</f>
        <v/>
      </c>
      <c r="R530" s="40">
        <f>SUMIFS(N506:N556,B506:B556,"&gt;="&amp;(B530-d_T),B506:B556,"&lt;="&amp;(B530-1))</f>
        <v/>
      </c>
      <c r="S530" s="46">
        <f>(1-d_u)*S529+IF(d_T&gt;in_topup_lag,SUMIFS(O506:O556,B506:B556,B530-in_topup_lag)-d_udrop*SUMIFS(O506:O556,B506:B556,B530-d_T),0)</f>
        <v/>
      </c>
      <c r="T530" s="40">
        <f>F530*d_u*S530</f>
        <v/>
      </c>
      <c r="U530" s="9">
        <f>L530*in_ticket+M530*d_rep_ticket</f>
        <v/>
      </c>
      <c r="V530" s="9">
        <f>U530+T530*d_topup_amt</f>
        <v/>
      </c>
      <c r="W530" s="40">
        <f>N530+T530*d_topup_ratio</f>
        <v/>
      </c>
      <c r="X530" s="40">
        <f>SUMIFS(W506:W556,B506:B556,B530-in_dpd_lag)*d_cured</f>
        <v/>
      </c>
      <c r="Y530" s="40">
        <f>SUMIFS(W506:W556,B506:B556,B530-in_rec_lag)*d_recd</f>
        <v/>
      </c>
      <c r="Z530" s="40">
        <f>IF(AND(B530&gt;=in_marketplace_from,B530&lt;in_marketplace_from+in_card_months),in_card_share/in_card_months*F530*I530,IF(AND(B530&gt;=in_marketplace_from+in_card_months,B530&lt;in_marketplace_from+2*in_card_months),in_card_share*d_card_rem/in_card_months*F530*MIN(in_takeup_cap,(1+in_takeup_growth)^(D530-1))*MIN(in_takeup_cap,(1+in_approval_growth)^(D530-1)),0))</f>
        <v/>
      </c>
      <c r="AA530" s="14">
        <f>V530*in_fee*(1-in_taken_back)</f>
        <v/>
      </c>
      <c r="AB530" s="14">
        <f>SUMIFS(W506:W556,B506:B556,B530-in_dpd_lag)*d_dpd</f>
        <v/>
      </c>
      <c r="AC530" s="14">
        <f>SUMIFS(W506:W556,B506:B556,B530-in_rec_lag)*d_rec</f>
        <v/>
      </c>
      <c r="AD530" s="14">
        <f>Z530*in_card_fee</f>
        <v/>
      </c>
      <c r="AE530" s="40">
        <f>AE529*(1-IF(B529&gt;=in_marketplace_from,d_hz_hlth_small*G529,0))</f>
        <v/>
      </c>
      <c r="AF530" s="46">
        <f>AE530*IF(B530&gt;=in_marketplace_from,d_hz_hlth_small*G530,0)</f>
        <v/>
      </c>
      <c r="AG530" s="14">
        <f>F530*AF530*in_hlth_small_ticket*in_hlth_small_comm*in_ins_partner_share+F530*in_hlth_small_ticket*in_hlth_small_renew_comm*in_ins_partner_share*(in_hlth_small_renew^1*SUMIFS(AF506:AF556,B506:B556,B530-12)+in_hlth_small_renew^2*SUMIFS(AF506:AF556,B506:B556,B530-24)+in_hlth_small_renew^3*SUMIFS(AF506:AF556,B506:B556,B530-36)+in_hlth_small_renew^4*SUMIFS(AF506:AF556,B506:B556,B530-48))</f>
        <v/>
      </c>
      <c r="AH530" s="40">
        <f>AH529*(1-IF(B529&gt;=in_marketplace_from,d_hz_hlth_family*G529,0))</f>
        <v/>
      </c>
      <c r="AI530" s="46">
        <f>AH530*IF(B530&gt;=in_marketplace_from,d_hz_hlth_family*G530,0)</f>
        <v/>
      </c>
      <c r="AJ530" s="14">
        <f>F530*AI530*in_hlth_family_ticket*in_hlth_family_comm*in_ins_partner_share+F530*in_hlth_family_ticket*in_hlth_family_renew_comm*in_ins_partner_share*(in_hlth_family_renew^1*SUMIFS(AI506:AI556,B506:B556,B530-12)+in_hlth_family_renew^2*SUMIFS(AI506:AI556,B506:B556,B530-24)+in_hlth_family_renew^3*SUMIFS(AI506:AI556,B506:B556,B530-36)+in_hlth_family_renew^4*SUMIFS(AI506:AI556,B506:B556,B530-48))</f>
        <v/>
      </c>
      <c r="AK530" s="40">
        <f>AK529*(1-IF(B529&gt;=in_marketplace_from,d_hz_life_term*G529,0))</f>
        <v/>
      </c>
      <c r="AL530" s="46">
        <f>AK530*IF(B530&gt;=in_marketplace_from,d_hz_life_term*G530,0)</f>
        <v/>
      </c>
      <c r="AM530" s="14">
        <f>F530*AL530*in_life_term_ticket*in_life_term_comm*in_ins_partner_share+F530*in_life_term_ticket*in_life_term_renew_comm*in_ins_partner_share*(in_life_term_renew^1*SUMIFS(AL506:AL556,B506:B556,B530-12)+in_life_term_renew^2*SUMIFS(AL506:AL556,B506:B556,B530-24)+in_life_term_renew^3*SUMIFS(AL506:AL556,B506:B556,B530-36)+in_life_term_renew^4*SUMIFS(AL506:AL556,B506:B556,B530-48))</f>
        <v/>
      </c>
      <c r="AN530" s="40">
        <f>AN529*(1-IF(B529&gt;=in_marketplace_from,d_hz_accident*G529,0))</f>
        <v/>
      </c>
      <c r="AO530" s="46">
        <f>AN530*IF(B530&gt;=in_marketplace_from,d_hz_accident*G530,0)</f>
        <v/>
      </c>
      <c r="AP530" s="14">
        <f>F530*AO530*in_accident_ticket*in_accident_comm*in_ins_partner_share+F530*in_accident_ticket*in_accident_renew_comm*in_ins_partner_share*(in_accident_renew^1*SUMIFS(AO506:AO556,B506:B556,B530-12)+in_accident_renew^2*SUMIFS(AO506:AO556,B506:B556,B530-24)+in_accident_renew^3*SUMIFS(AO506:AO556,B506:B556,B530-36)+in_accident_renew^4*SUMIFS(AO506:AO556,B506:B556,B530-48))</f>
        <v/>
      </c>
      <c r="AQ530" s="40">
        <f>AQ529*(1-IF(B529&gt;=in_marketplace_from,d_hz_two_wheeler*G529,0))</f>
        <v/>
      </c>
      <c r="AR530" s="46">
        <f>AQ530*IF(B530&gt;=in_marketplace_from,d_hz_two_wheeler*G530,0)</f>
        <v/>
      </c>
      <c r="AS530" s="14">
        <f>F530*AR530*in_two_wheeler_ticket*in_two_wheeler_comm*in_ins_partner_share+F530*in_two_wheeler_ticket*in_two_wheeler_comm*in_ins_partner_share*(in_two_wheeler_renew^1*SUMIFS(AR506:AR556,B506:B556,B530-12)+in_two_wheeler_renew^2*SUMIFS(AR506:AR556,B506:B556,B530-24)+in_two_wheeler_renew^3*SUMIFS(AR506:AR556,B506:B556,B530-36)+in_two_wheeler_renew^4*SUMIFS(AR506:AR556,B506:B556,B530-48))</f>
        <v/>
      </c>
      <c r="AT530" s="40">
        <f>AT529*(1-IF(B529&gt;=in_marketplace_from,d_hz_device*G529,0))</f>
        <v/>
      </c>
      <c r="AU530" s="14">
        <f>F530*AT530*IF(B530&gt;=in_marketplace_from,d_hz_device*G530,0)*in_device_ticket*in_device_comm*in_ins_partner_share</f>
        <v/>
      </c>
      <c r="AV530" s="40">
        <f>AV529*(1-IF(B529&gt;=in_marketplace_from,d_hz_shop*G529,0))</f>
        <v/>
      </c>
      <c r="AW530" s="46">
        <f>AV530*IF(B530&gt;=in_marketplace_from,d_hz_shop*G530,0)</f>
        <v/>
      </c>
      <c r="AX530" s="14">
        <f>F530*AW530*in_shop_ticket*in_shop_comm*in_ins_partner_share+F530*in_shop_ticket*in_shop_renew_comm*in_ins_partner_share*(in_shop_renew^1*SUMIFS(AW506:AW556,B506:B556,B530-12)+in_shop_renew^2*SUMIFS(AW506:AW556,B506:B556,B530-24)+in_shop_renew^3*SUMIFS(AW506:AW556,B506:B556,B530-36)+in_shop_renew^4*SUMIFS(AW506:AW556,B506:B556,B530-48))</f>
        <v/>
      </c>
      <c r="AY530" s="40">
        <f>AY529*(1-IF(B529&gt;=in_marketplace_from,d_hz_sip*G529,0))</f>
        <v/>
      </c>
      <c r="AZ530" s="40">
        <f>AZ529*d_rho_sip+AY530*IF(B530&gt;=in_marketplace_from,d_hz_sip*G530,0)</f>
        <v/>
      </c>
      <c r="BA530" s="40">
        <f>d_rho_sip*(BA529+AZ529)</f>
        <v/>
      </c>
      <c r="BB530" s="14">
        <f>F530*in_sip_ticket*(BA530+0.5*AZ530)*in_sip_comm/12</f>
        <v/>
      </c>
      <c r="BC530" s="40">
        <f>BC529*(1-IF(B529&gt;=in_marketplace_from,d_hz_choti*G529,0))</f>
        <v/>
      </c>
      <c r="BD530" s="46">
        <f>BC530*IF(B530&gt;=in_marketplace_from,d_hz_choti*G530,0)</f>
        <v/>
      </c>
      <c r="BE530" s="14">
        <f>F530*SUMIFS(BD506:BD556,B506:B556,B530-in_choti_months)*in_choti_renew*in_choti_ticket</f>
        <v/>
      </c>
      <c r="BF530" s="40">
        <f>BF529*(1-IF(B529&gt;=in_marketplace_from,d_hz_nps*G529,0))</f>
        <v/>
      </c>
      <c r="BG530" s="14">
        <f>F530*BF530*IF(B530&gt;=in_marketplace_from,d_hz_nps*G530,0)*in_nps_ticket*in_nps_comm</f>
        <v/>
      </c>
      <c r="BH530" s="40">
        <f>BH529*(1-IF(B529&gt;=in_marketplace_from,d_hz_gold*G529,0))</f>
        <v/>
      </c>
      <c r="BI530" s="40">
        <f>BI529*d_rho_gold+BH530*IF(B530&gt;=in_marketplace_from,d_hz_gold*G530,0)</f>
        <v/>
      </c>
      <c r="BJ530" s="14">
        <f>F530*BI530*in_gold_ticket*in_gold_comm</f>
        <v/>
      </c>
      <c r="BK530" s="40">
        <f>BK529*(1-IF(B529&gt;=in_marketplace_from,d_hz_fd*G529,0))</f>
        <v/>
      </c>
      <c r="BL530" s="14">
        <f>F530*BK530*IF(B530&gt;=in_marketplace_from,d_hz_fd*G530,0)*in_fd_ticket*in_fd_comm</f>
        <v/>
      </c>
      <c r="BM530" s="40">
        <f>BM529*(1-IF(B529&gt;=in_marketplace_from,d_hz_recharge*G529,0))</f>
        <v/>
      </c>
      <c r="BN530" s="40">
        <f>BN529*d_rho_recharge+BM530*IF(B530&gt;=in_marketplace_from,d_hz_recharge*G530,0)</f>
        <v/>
      </c>
      <c r="BO530" s="14">
        <f>F530*BN530*in_recharge_ticket*in_recharge_comm/12</f>
        <v/>
      </c>
      <c r="BP530" s="40">
        <f>BP529*(1-IF(B529&gt;=in_marketplace_from,d_hz_bills*G529,0))</f>
        <v/>
      </c>
      <c r="BQ530" s="40">
        <f>BQ529*d_rho_bills+BP530*IF(B530&gt;=in_marketplace_from,d_hz_bills*G530,0)</f>
        <v/>
      </c>
      <c r="BR530" s="14">
        <f>F530*BQ530*in_bills_ticket*in_bills_comm/12</f>
        <v/>
      </c>
      <c r="BS530" s="40">
        <f>BS529*(1-IF(B529&gt;=in_marketplace_from,d_hz_loan_gold*G529,0))</f>
        <v/>
      </c>
      <c r="BT530" s="14">
        <f>F530*BS530*IF(B530&gt;=in_marketplace_from,d_hz_loan_gold*G530,0)*in_loan_gold_ticket*in_loan_gold_comm</f>
        <v/>
      </c>
      <c r="BU530" s="40">
        <f>BU529*(1-IF(B529&gt;=in_marketplace_from,d_hz_loan_cd*G529,0))</f>
        <v/>
      </c>
      <c r="BV530" s="14">
        <f>F530*BU530*IF(B530&gt;=in_marketplace_from,d_hz_loan_cd*G530,0)*in_loan_cd_ticket*in_loan_cd_comm</f>
        <v/>
      </c>
      <c r="BW530" s="40">
        <f>BW529*(1-IF(B529&gt;=in_marketplace_from,d_hz_loan_vehicle*G529,0))</f>
        <v/>
      </c>
      <c r="BX530" s="14">
        <f>F530*BW530*IF(B530&gt;=in_marketplace_from,d_hz_loan_vehicle*G530,0)*in_loan_vehicle_ticket*in_loan_vehicle_comm</f>
        <v/>
      </c>
      <c r="BY530" s="40">
        <f>BY529*(1-IF(B529&gt;=in_marketplace_from,d_hz_loan_home*G529,0)*BZ529)</f>
        <v/>
      </c>
      <c r="BZ530" s="11">
        <f>MIN(in_approval_cap,in_loan_home_approval*INDEX('Age profile'!$O$2:$O$61,B530)*(1+in_approval_growth)^(D530-1))</f>
        <v/>
      </c>
      <c r="CA530" s="14">
        <f>F530*BY530*IF(B530&gt;=in_marketplace_from,d_hz_loan_home*G530,0)*BZ530*in_loan_home_ticket*in_loan_home_comm</f>
        <v/>
      </c>
      <c r="CB530" s="40">
        <f>CB529*(1-IF(B529&gt;=in_marketplace_from,d_hz_loan_lap*G529,0)*CC529)</f>
        <v/>
      </c>
      <c r="CC530" s="11">
        <f>MIN(in_approval_cap,in_loan_lap_approval*INDEX('Age profile'!$O$2:$O$61,B530)*(1+in_approval_growth)^(D530-1))</f>
        <v/>
      </c>
      <c r="CD530" s="14">
        <f>F530*CB530*IF(B530&gt;=in_marketplace_from,d_hz_loan_lap*G530,0)*CC530*in_loan_lap_ticket*in_loan_lap_comm</f>
        <v/>
      </c>
      <c r="CE530" s="14">
        <f>AA530+AB530+AC530+AD530+AG530+AJ530+AM530+AP530+AS530+AU530+AX530+BB530+BE530+BG530+BJ530+BL530+BO530+BR530+BT530+BV530+BX530+CA530+CD530</f>
        <v/>
      </c>
    </row>
    <row r="531">
      <c r="A531" s="39" t="n">
        <v>10</v>
      </c>
      <c r="B531" s="39" t="n">
        <v>26</v>
      </c>
      <c r="C531" s="39">
        <f>A531+B531-1</f>
        <v/>
      </c>
      <c r="D531" s="39">
        <f>INT((C531-1)/12)+1</f>
        <v/>
      </c>
      <c r="E531" s="44">
        <f>INDEX(Monthly!$B$2:$B$61,A531)</f>
        <v/>
      </c>
      <c r="F531" s="44">
        <f>E531*INDEX('Age profile'!$B$2:$B$61,B531)</f>
        <v/>
      </c>
      <c r="G531" s="45">
        <f>MIN(in_takeup_cap,INDEX('Age profile'!$N$2:$N$61,B531)*(1+in_takeup_growth)^(D531-1))</f>
        <v/>
      </c>
      <c r="H531" s="11">
        <f>MIN(in_approval_cap,in_approved_first*INDEX('Age profile'!$O$2:$O$61,B531)*(1+in_approval_growth)^(D531-1))</f>
        <v/>
      </c>
      <c r="I531" s="45">
        <f>G531*MIN(in_takeup_cap,INDEX('Age profile'!$O$2:$O$61,B531)*(1+in_approval_growth)^(D531-1))</f>
        <v/>
      </c>
      <c r="J531" s="40">
        <f>(J530-L530)*F531/F530</f>
        <v/>
      </c>
      <c r="K531" s="40">
        <f>(K530-M530)*F531/F530+SUMIFS(O506:O530,B506:B530,B531-1-d_T)*F531</f>
        <v/>
      </c>
      <c r="L531" s="40">
        <f>IF(B531&gt;=in_marketplace_from,J531*d_hz*G531*in_eligible*H531,0)</f>
        <v/>
      </c>
      <c r="M531" s="40">
        <f>IF(B531&gt;=in_marketplace_from,K531*d_hz*G531*in_eligible*in_approved_repeat,0)</f>
        <v/>
      </c>
      <c r="N531" s="40">
        <f>L531+M531</f>
        <v/>
      </c>
      <c r="O531" s="46">
        <f>N531/F531</f>
        <v/>
      </c>
      <c r="P531" s="40">
        <f>F531-J531-K531</f>
        <v/>
      </c>
      <c r="Q531" s="40">
        <f>IF(B531&gt;=in_marketplace_from,(J531+K531)*d_hz*G531,0)</f>
        <v/>
      </c>
      <c r="R531" s="40">
        <f>SUMIFS(N506:N556,B506:B556,"&gt;="&amp;(B531-d_T),B506:B556,"&lt;="&amp;(B531-1))</f>
        <v/>
      </c>
      <c r="S531" s="46">
        <f>(1-d_u)*S530+IF(d_T&gt;in_topup_lag,SUMIFS(O506:O556,B506:B556,B531-in_topup_lag)-d_udrop*SUMIFS(O506:O556,B506:B556,B531-d_T),0)</f>
        <v/>
      </c>
      <c r="T531" s="40">
        <f>F531*d_u*S531</f>
        <v/>
      </c>
      <c r="U531" s="9">
        <f>L531*in_ticket+M531*d_rep_ticket</f>
        <v/>
      </c>
      <c r="V531" s="9">
        <f>U531+T531*d_topup_amt</f>
        <v/>
      </c>
      <c r="W531" s="40">
        <f>N531+T531*d_topup_ratio</f>
        <v/>
      </c>
      <c r="X531" s="40">
        <f>SUMIFS(W506:W556,B506:B556,B531-in_dpd_lag)*d_cured</f>
        <v/>
      </c>
      <c r="Y531" s="40">
        <f>SUMIFS(W506:W556,B506:B556,B531-in_rec_lag)*d_recd</f>
        <v/>
      </c>
      <c r="Z531" s="40">
        <f>IF(AND(B531&gt;=in_marketplace_from,B531&lt;in_marketplace_from+in_card_months),in_card_share/in_card_months*F531*I531,IF(AND(B531&gt;=in_marketplace_from+in_card_months,B531&lt;in_marketplace_from+2*in_card_months),in_card_share*d_card_rem/in_card_months*F531*MIN(in_takeup_cap,(1+in_takeup_growth)^(D531-1))*MIN(in_takeup_cap,(1+in_approval_growth)^(D531-1)),0))</f>
        <v/>
      </c>
      <c r="AA531" s="14">
        <f>V531*in_fee*(1-in_taken_back)</f>
        <v/>
      </c>
      <c r="AB531" s="14">
        <f>SUMIFS(W506:W556,B506:B556,B531-in_dpd_lag)*d_dpd</f>
        <v/>
      </c>
      <c r="AC531" s="14">
        <f>SUMIFS(W506:W556,B506:B556,B531-in_rec_lag)*d_rec</f>
        <v/>
      </c>
      <c r="AD531" s="14">
        <f>Z531*in_card_fee</f>
        <v/>
      </c>
      <c r="AE531" s="40">
        <f>AE530*(1-IF(B530&gt;=in_marketplace_from,d_hz_hlth_small*G530,0))</f>
        <v/>
      </c>
      <c r="AF531" s="46">
        <f>AE531*IF(B531&gt;=in_marketplace_from,d_hz_hlth_small*G531,0)</f>
        <v/>
      </c>
      <c r="AG531" s="14">
        <f>F531*AF531*in_hlth_small_ticket*in_hlth_small_comm*in_ins_partner_share+F531*in_hlth_small_ticket*in_hlth_small_renew_comm*in_ins_partner_share*(in_hlth_small_renew^1*SUMIFS(AF506:AF556,B506:B556,B531-12)+in_hlth_small_renew^2*SUMIFS(AF506:AF556,B506:B556,B531-24)+in_hlth_small_renew^3*SUMIFS(AF506:AF556,B506:B556,B531-36)+in_hlth_small_renew^4*SUMIFS(AF506:AF556,B506:B556,B531-48))</f>
        <v/>
      </c>
      <c r="AH531" s="40">
        <f>AH530*(1-IF(B530&gt;=in_marketplace_from,d_hz_hlth_family*G530,0))</f>
        <v/>
      </c>
      <c r="AI531" s="46">
        <f>AH531*IF(B531&gt;=in_marketplace_from,d_hz_hlth_family*G531,0)</f>
        <v/>
      </c>
      <c r="AJ531" s="14">
        <f>F531*AI531*in_hlth_family_ticket*in_hlth_family_comm*in_ins_partner_share+F531*in_hlth_family_ticket*in_hlth_family_renew_comm*in_ins_partner_share*(in_hlth_family_renew^1*SUMIFS(AI506:AI556,B506:B556,B531-12)+in_hlth_family_renew^2*SUMIFS(AI506:AI556,B506:B556,B531-24)+in_hlth_family_renew^3*SUMIFS(AI506:AI556,B506:B556,B531-36)+in_hlth_family_renew^4*SUMIFS(AI506:AI556,B506:B556,B531-48))</f>
        <v/>
      </c>
      <c r="AK531" s="40">
        <f>AK530*(1-IF(B530&gt;=in_marketplace_from,d_hz_life_term*G530,0))</f>
        <v/>
      </c>
      <c r="AL531" s="46">
        <f>AK531*IF(B531&gt;=in_marketplace_from,d_hz_life_term*G531,0)</f>
        <v/>
      </c>
      <c r="AM531" s="14">
        <f>F531*AL531*in_life_term_ticket*in_life_term_comm*in_ins_partner_share+F531*in_life_term_ticket*in_life_term_renew_comm*in_ins_partner_share*(in_life_term_renew^1*SUMIFS(AL506:AL556,B506:B556,B531-12)+in_life_term_renew^2*SUMIFS(AL506:AL556,B506:B556,B531-24)+in_life_term_renew^3*SUMIFS(AL506:AL556,B506:B556,B531-36)+in_life_term_renew^4*SUMIFS(AL506:AL556,B506:B556,B531-48))</f>
        <v/>
      </c>
      <c r="AN531" s="40">
        <f>AN530*(1-IF(B530&gt;=in_marketplace_from,d_hz_accident*G530,0))</f>
        <v/>
      </c>
      <c r="AO531" s="46">
        <f>AN531*IF(B531&gt;=in_marketplace_from,d_hz_accident*G531,0)</f>
        <v/>
      </c>
      <c r="AP531" s="14">
        <f>F531*AO531*in_accident_ticket*in_accident_comm*in_ins_partner_share+F531*in_accident_ticket*in_accident_renew_comm*in_ins_partner_share*(in_accident_renew^1*SUMIFS(AO506:AO556,B506:B556,B531-12)+in_accident_renew^2*SUMIFS(AO506:AO556,B506:B556,B531-24)+in_accident_renew^3*SUMIFS(AO506:AO556,B506:B556,B531-36)+in_accident_renew^4*SUMIFS(AO506:AO556,B506:B556,B531-48))</f>
        <v/>
      </c>
      <c r="AQ531" s="40">
        <f>AQ530*(1-IF(B530&gt;=in_marketplace_from,d_hz_two_wheeler*G530,0))</f>
        <v/>
      </c>
      <c r="AR531" s="46">
        <f>AQ531*IF(B531&gt;=in_marketplace_from,d_hz_two_wheeler*G531,0)</f>
        <v/>
      </c>
      <c r="AS531" s="14">
        <f>F531*AR531*in_two_wheeler_ticket*in_two_wheeler_comm*in_ins_partner_share+F531*in_two_wheeler_ticket*in_two_wheeler_comm*in_ins_partner_share*(in_two_wheeler_renew^1*SUMIFS(AR506:AR556,B506:B556,B531-12)+in_two_wheeler_renew^2*SUMIFS(AR506:AR556,B506:B556,B531-24)+in_two_wheeler_renew^3*SUMIFS(AR506:AR556,B506:B556,B531-36)+in_two_wheeler_renew^4*SUMIFS(AR506:AR556,B506:B556,B531-48))</f>
        <v/>
      </c>
      <c r="AT531" s="40">
        <f>AT530*(1-IF(B530&gt;=in_marketplace_from,d_hz_device*G530,0))</f>
        <v/>
      </c>
      <c r="AU531" s="14">
        <f>F531*AT531*IF(B531&gt;=in_marketplace_from,d_hz_device*G531,0)*in_device_ticket*in_device_comm*in_ins_partner_share</f>
        <v/>
      </c>
      <c r="AV531" s="40">
        <f>AV530*(1-IF(B530&gt;=in_marketplace_from,d_hz_shop*G530,0))</f>
        <v/>
      </c>
      <c r="AW531" s="46">
        <f>AV531*IF(B531&gt;=in_marketplace_from,d_hz_shop*G531,0)</f>
        <v/>
      </c>
      <c r="AX531" s="14">
        <f>F531*AW531*in_shop_ticket*in_shop_comm*in_ins_partner_share+F531*in_shop_ticket*in_shop_renew_comm*in_ins_partner_share*(in_shop_renew^1*SUMIFS(AW506:AW556,B506:B556,B531-12)+in_shop_renew^2*SUMIFS(AW506:AW556,B506:B556,B531-24)+in_shop_renew^3*SUMIFS(AW506:AW556,B506:B556,B531-36)+in_shop_renew^4*SUMIFS(AW506:AW556,B506:B556,B531-48))</f>
        <v/>
      </c>
      <c r="AY531" s="40">
        <f>AY530*(1-IF(B530&gt;=in_marketplace_from,d_hz_sip*G530,0))</f>
        <v/>
      </c>
      <c r="AZ531" s="40">
        <f>AZ530*d_rho_sip+AY531*IF(B531&gt;=in_marketplace_from,d_hz_sip*G531,0)</f>
        <v/>
      </c>
      <c r="BA531" s="40">
        <f>d_rho_sip*(BA530+AZ530)</f>
        <v/>
      </c>
      <c r="BB531" s="14">
        <f>F531*in_sip_ticket*(BA531+0.5*AZ531)*in_sip_comm/12</f>
        <v/>
      </c>
      <c r="BC531" s="40">
        <f>BC530*(1-IF(B530&gt;=in_marketplace_from,d_hz_choti*G530,0))</f>
        <v/>
      </c>
      <c r="BD531" s="46">
        <f>BC531*IF(B531&gt;=in_marketplace_from,d_hz_choti*G531,0)</f>
        <v/>
      </c>
      <c r="BE531" s="14">
        <f>F531*SUMIFS(BD506:BD556,B506:B556,B531-in_choti_months)*in_choti_renew*in_choti_ticket</f>
        <v/>
      </c>
      <c r="BF531" s="40">
        <f>BF530*(1-IF(B530&gt;=in_marketplace_from,d_hz_nps*G530,0))</f>
        <v/>
      </c>
      <c r="BG531" s="14">
        <f>F531*BF531*IF(B531&gt;=in_marketplace_from,d_hz_nps*G531,0)*in_nps_ticket*in_nps_comm</f>
        <v/>
      </c>
      <c r="BH531" s="40">
        <f>BH530*(1-IF(B530&gt;=in_marketplace_from,d_hz_gold*G530,0))</f>
        <v/>
      </c>
      <c r="BI531" s="40">
        <f>BI530*d_rho_gold+BH531*IF(B531&gt;=in_marketplace_from,d_hz_gold*G531,0)</f>
        <v/>
      </c>
      <c r="BJ531" s="14">
        <f>F531*BI531*in_gold_ticket*in_gold_comm</f>
        <v/>
      </c>
      <c r="BK531" s="40">
        <f>BK530*(1-IF(B530&gt;=in_marketplace_from,d_hz_fd*G530,0))</f>
        <v/>
      </c>
      <c r="BL531" s="14">
        <f>F531*BK531*IF(B531&gt;=in_marketplace_from,d_hz_fd*G531,0)*in_fd_ticket*in_fd_comm</f>
        <v/>
      </c>
      <c r="BM531" s="40">
        <f>BM530*(1-IF(B530&gt;=in_marketplace_from,d_hz_recharge*G530,0))</f>
        <v/>
      </c>
      <c r="BN531" s="40">
        <f>BN530*d_rho_recharge+BM531*IF(B531&gt;=in_marketplace_from,d_hz_recharge*G531,0)</f>
        <v/>
      </c>
      <c r="BO531" s="14">
        <f>F531*BN531*in_recharge_ticket*in_recharge_comm/12</f>
        <v/>
      </c>
      <c r="BP531" s="40">
        <f>BP530*(1-IF(B530&gt;=in_marketplace_from,d_hz_bills*G530,0))</f>
        <v/>
      </c>
      <c r="BQ531" s="40">
        <f>BQ530*d_rho_bills+BP531*IF(B531&gt;=in_marketplace_from,d_hz_bills*G531,0)</f>
        <v/>
      </c>
      <c r="BR531" s="14">
        <f>F531*BQ531*in_bills_ticket*in_bills_comm/12</f>
        <v/>
      </c>
      <c r="BS531" s="40">
        <f>BS530*(1-IF(B530&gt;=in_marketplace_from,d_hz_loan_gold*G530,0))</f>
        <v/>
      </c>
      <c r="BT531" s="14">
        <f>F531*BS531*IF(B531&gt;=in_marketplace_from,d_hz_loan_gold*G531,0)*in_loan_gold_ticket*in_loan_gold_comm</f>
        <v/>
      </c>
      <c r="BU531" s="40">
        <f>BU530*(1-IF(B530&gt;=in_marketplace_from,d_hz_loan_cd*G530,0))</f>
        <v/>
      </c>
      <c r="BV531" s="14">
        <f>F531*BU531*IF(B531&gt;=in_marketplace_from,d_hz_loan_cd*G531,0)*in_loan_cd_ticket*in_loan_cd_comm</f>
        <v/>
      </c>
      <c r="BW531" s="40">
        <f>BW530*(1-IF(B530&gt;=in_marketplace_from,d_hz_loan_vehicle*G530,0))</f>
        <v/>
      </c>
      <c r="BX531" s="14">
        <f>F531*BW531*IF(B531&gt;=in_marketplace_from,d_hz_loan_vehicle*G531,0)*in_loan_vehicle_ticket*in_loan_vehicle_comm</f>
        <v/>
      </c>
      <c r="BY531" s="40">
        <f>BY530*(1-IF(B530&gt;=in_marketplace_from,d_hz_loan_home*G530,0)*BZ530)</f>
        <v/>
      </c>
      <c r="BZ531" s="11">
        <f>MIN(in_approval_cap,in_loan_home_approval*INDEX('Age profile'!$O$2:$O$61,B531)*(1+in_approval_growth)^(D531-1))</f>
        <v/>
      </c>
      <c r="CA531" s="14">
        <f>F531*BY531*IF(B531&gt;=in_marketplace_from,d_hz_loan_home*G531,0)*BZ531*in_loan_home_ticket*in_loan_home_comm</f>
        <v/>
      </c>
      <c r="CB531" s="40">
        <f>CB530*(1-IF(B530&gt;=in_marketplace_from,d_hz_loan_lap*G530,0)*CC530)</f>
        <v/>
      </c>
      <c r="CC531" s="11">
        <f>MIN(in_approval_cap,in_loan_lap_approval*INDEX('Age profile'!$O$2:$O$61,B531)*(1+in_approval_growth)^(D531-1))</f>
        <v/>
      </c>
      <c r="CD531" s="14">
        <f>F531*CB531*IF(B531&gt;=in_marketplace_from,d_hz_loan_lap*G531,0)*CC531*in_loan_lap_ticket*in_loan_lap_comm</f>
        <v/>
      </c>
      <c r="CE531" s="14">
        <f>AA531+AB531+AC531+AD531+AG531+AJ531+AM531+AP531+AS531+AU531+AX531+BB531+BE531+BG531+BJ531+BL531+BO531+BR531+BT531+BV531+BX531+CA531+CD531</f>
        <v/>
      </c>
    </row>
    <row r="532">
      <c r="A532" s="39" t="n">
        <v>10</v>
      </c>
      <c r="B532" s="39" t="n">
        <v>27</v>
      </c>
      <c r="C532" s="39">
        <f>A532+B532-1</f>
        <v/>
      </c>
      <c r="D532" s="39">
        <f>INT((C532-1)/12)+1</f>
        <v/>
      </c>
      <c r="E532" s="44">
        <f>INDEX(Monthly!$B$2:$B$61,A532)</f>
        <v/>
      </c>
      <c r="F532" s="44">
        <f>E532*INDEX('Age profile'!$B$2:$B$61,B532)</f>
        <v/>
      </c>
      <c r="G532" s="45">
        <f>MIN(in_takeup_cap,INDEX('Age profile'!$N$2:$N$61,B532)*(1+in_takeup_growth)^(D532-1))</f>
        <v/>
      </c>
      <c r="H532" s="11">
        <f>MIN(in_approval_cap,in_approved_first*INDEX('Age profile'!$O$2:$O$61,B532)*(1+in_approval_growth)^(D532-1))</f>
        <v/>
      </c>
      <c r="I532" s="45">
        <f>G532*MIN(in_takeup_cap,INDEX('Age profile'!$O$2:$O$61,B532)*(1+in_approval_growth)^(D532-1))</f>
        <v/>
      </c>
      <c r="J532" s="40">
        <f>(J531-L531)*F532/F531</f>
        <v/>
      </c>
      <c r="K532" s="40">
        <f>(K531-M531)*F532/F531+SUMIFS(O506:O531,B506:B531,B532-1-d_T)*F532</f>
        <v/>
      </c>
      <c r="L532" s="40">
        <f>IF(B532&gt;=in_marketplace_from,J532*d_hz*G532*in_eligible*H532,0)</f>
        <v/>
      </c>
      <c r="M532" s="40">
        <f>IF(B532&gt;=in_marketplace_from,K532*d_hz*G532*in_eligible*in_approved_repeat,0)</f>
        <v/>
      </c>
      <c r="N532" s="40">
        <f>L532+M532</f>
        <v/>
      </c>
      <c r="O532" s="46">
        <f>N532/F532</f>
        <v/>
      </c>
      <c r="P532" s="40">
        <f>F532-J532-K532</f>
        <v/>
      </c>
      <c r="Q532" s="40">
        <f>IF(B532&gt;=in_marketplace_from,(J532+K532)*d_hz*G532,0)</f>
        <v/>
      </c>
      <c r="R532" s="40">
        <f>SUMIFS(N506:N556,B506:B556,"&gt;="&amp;(B532-d_T),B506:B556,"&lt;="&amp;(B532-1))</f>
        <v/>
      </c>
      <c r="S532" s="46">
        <f>(1-d_u)*S531+IF(d_T&gt;in_topup_lag,SUMIFS(O506:O556,B506:B556,B532-in_topup_lag)-d_udrop*SUMIFS(O506:O556,B506:B556,B532-d_T),0)</f>
        <v/>
      </c>
      <c r="T532" s="40">
        <f>F532*d_u*S532</f>
        <v/>
      </c>
      <c r="U532" s="9">
        <f>L532*in_ticket+M532*d_rep_ticket</f>
        <v/>
      </c>
      <c r="V532" s="9">
        <f>U532+T532*d_topup_amt</f>
        <v/>
      </c>
      <c r="W532" s="40">
        <f>N532+T532*d_topup_ratio</f>
        <v/>
      </c>
      <c r="X532" s="40">
        <f>SUMIFS(W506:W556,B506:B556,B532-in_dpd_lag)*d_cured</f>
        <v/>
      </c>
      <c r="Y532" s="40">
        <f>SUMIFS(W506:W556,B506:B556,B532-in_rec_lag)*d_recd</f>
        <v/>
      </c>
      <c r="Z532" s="40">
        <f>IF(AND(B532&gt;=in_marketplace_from,B532&lt;in_marketplace_from+in_card_months),in_card_share/in_card_months*F532*I532,IF(AND(B532&gt;=in_marketplace_from+in_card_months,B532&lt;in_marketplace_from+2*in_card_months),in_card_share*d_card_rem/in_card_months*F532*MIN(in_takeup_cap,(1+in_takeup_growth)^(D532-1))*MIN(in_takeup_cap,(1+in_approval_growth)^(D532-1)),0))</f>
        <v/>
      </c>
      <c r="AA532" s="14">
        <f>V532*in_fee*(1-in_taken_back)</f>
        <v/>
      </c>
      <c r="AB532" s="14">
        <f>SUMIFS(W506:W556,B506:B556,B532-in_dpd_lag)*d_dpd</f>
        <v/>
      </c>
      <c r="AC532" s="14">
        <f>SUMIFS(W506:W556,B506:B556,B532-in_rec_lag)*d_rec</f>
        <v/>
      </c>
      <c r="AD532" s="14">
        <f>Z532*in_card_fee</f>
        <v/>
      </c>
      <c r="AE532" s="40">
        <f>AE531*(1-IF(B531&gt;=in_marketplace_from,d_hz_hlth_small*G531,0))</f>
        <v/>
      </c>
      <c r="AF532" s="46">
        <f>AE532*IF(B532&gt;=in_marketplace_from,d_hz_hlth_small*G532,0)</f>
        <v/>
      </c>
      <c r="AG532" s="14">
        <f>F532*AF532*in_hlth_small_ticket*in_hlth_small_comm*in_ins_partner_share+F532*in_hlth_small_ticket*in_hlth_small_renew_comm*in_ins_partner_share*(in_hlth_small_renew^1*SUMIFS(AF506:AF556,B506:B556,B532-12)+in_hlth_small_renew^2*SUMIFS(AF506:AF556,B506:B556,B532-24)+in_hlth_small_renew^3*SUMIFS(AF506:AF556,B506:B556,B532-36)+in_hlth_small_renew^4*SUMIFS(AF506:AF556,B506:B556,B532-48))</f>
        <v/>
      </c>
      <c r="AH532" s="40">
        <f>AH531*(1-IF(B531&gt;=in_marketplace_from,d_hz_hlth_family*G531,0))</f>
        <v/>
      </c>
      <c r="AI532" s="46">
        <f>AH532*IF(B532&gt;=in_marketplace_from,d_hz_hlth_family*G532,0)</f>
        <v/>
      </c>
      <c r="AJ532" s="14">
        <f>F532*AI532*in_hlth_family_ticket*in_hlth_family_comm*in_ins_partner_share+F532*in_hlth_family_ticket*in_hlth_family_renew_comm*in_ins_partner_share*(in_hlth_family_renew^1*SUMIFS(AI506:AI556,B506:B556,B532-12)+in_hlth_family_renew^2*SUMIFS(AI506:AI556,B506:B556,B532-24)+in_hlth_family_renew^3*SUMIFS(AI506:AI556,B506:B556,B532-36)+in_hlth_family_renew^4*SUMIFS(AI506:AI556,B506:B556,B532-48))</f>
        <v/>
      </c>
      <c r="AK532" s="40">
        <f>AK531*(1-IF(B531&gt;=in_marketplace_from,d_hz_life_term*G531,0))</f>
        <v/>
      </c>
      <c r="AL532" s="46">
        <f>AK532*IF(B532&gt;=in_marketplace_from,d_hz_life_term*G532,0)</f>
        <v/>
      </c>
      <c r="AM532" s="14">
        <f>F532*AL532*in_life_term_ticket*in_life_term_comm*in_ins_partner_share+F532*in_life_term_ticket*in_life_term_renew_comm*in_ins_partner_share*(in_life_term_renew^1*SUMIFS(AL506:AL556,B506:B556,B532-12)+in_life_term_renew^2*SUMIFS(AL506:AL556,B506:B556,B532-24)+in_life_term_renew^3*SUMIFS(AL506:AL556,B506:B556,B532-36)+in_life_term_renew^4*SUMIFS(AL506:AL556,B506:B556,B532-48))</f>
        <v/>
      </c>
      <c r="AN532" s="40">
        <f>AN531*(1-IF(B531&gt;=in_marketplace_from,d_hz_accident*G531,0))</f>
        <v/>
      </c>
      <c r="AO532" s="46">
        <f>AN532*IF(B532&gt;=in_marketplace_from,d_hz_accident*G532,0)</f>
        <v/>
      </c>
      <c r="AP532" s="14">
        <f>F532*AO532*in_accident_ticket*in_accident_comm*in_ins_partner_share+F532*in_accident_ticket*in_accident_renew_comm*in_ins_partner_share*(in_accident_renew^1*SUMIFS(AO506:AO556,B506:B556,B532-12)+in_accident_renew^2*SUMIFS(AO506:AO556,B506:B556,B532-24)+in_accident_renew^3*SUMIFS(AO506:AO556,B506:B556,B532-36)+in_accident_renew^4*SUMIFS(AO506:AO556,B506:B556,B532-48))</f>
        <v/>
      </c>
      <c r="AQ532" s="40">
        <f>AQ531*(1-IF(B531&gt;=in_marketplace_from,d_hz_two_wheeler*G531,0))</f>
        <v/>
      </c>
      <c r="AR532" s="46">
        <f>AQ532*IF(B532&gt;=in_marketplace_from,d_hz_two_wheeler*G532,0)</f>
        <v/>
      </c>
      <c r="AS532" s="14">
        <f>F532*AR532*in_two_wheeler_ticket*in_two_wheeler_comm*in_ins_partner_share+F532*in_two_wheeler_ticket*in_two_wheeler_comm*in_ins_partner_share*(in_two_wheeler_renew^1*SUMIFS(AR506:AR556,B506:B556,B532-12)+in_two_wheeler_renew^2*SUMIFS(AR506:AR556,B506:B556,B532-24)+in_two_wheeler_renew^3*SUMIFS(AR506:AR556,B506:B556,B532-36)+in_two_wheeler_renew^4*SUMIFS(AR506:AR556,B506:B556,B532-48))</f>
        <v/>
      </c>
      <c r="AT532" s="40">
        <f>AT531*(1-IF(B531&gt;=in_marketplace_from,d_hz_device*G531,0))</f>
        <v/>
      </c>
      <c r="AU532" s="14">
        <f>F532*AT532*IF(B532&gt;=in_marketplace_from,d_hz_device*G532,0)*in_device_ticket*in_device_comm*in_ins_partner_share</f>
        <v/>
      </c>
      <c r="AV532" s="40">
        <f>AV531*(1-IF(B531&gt;=in_marketplace_from,d_hz_shop*G531,0))</f>
        <v/>
      </c>
      <c r="AW532" s="46">
        <f>AV532*IF(B532&gt;=in_marketplace_from,d_hz_shop*G532,0)</f>
        <v/>
      </c>
      <c r="AX532" s="14">
        <f>F532*AW532*in_shop_ticket*in_shop_comm*in_ins_partner_share+F532*in_shop_ticket*in_shop_renew_comm*in_ins_partner_share*(in_shop_renew^1*SUMIFS(AW506:AW556,B506:B556,B532-12)+in_shop_renew^2*SUMIFS(AW506:AW556,B506:B556,B532-24)+in_shop_renew^3*SUMIFS(AW506:AW556,B506:B556,B532-36)+in_shop_renew^4*SUMIFS(AW506:AW556,B506:B556,B532-48))</f>
        <v/>
      </c>
      <c r="AY532" s="40">
        <f>AY531*(1-IF(B531&gt;=in_marketplace_from,d_hz_sip*G531,0))</f>
        <v/>
      </c>
      <c r="AZ532" s="40">
        <f>AZ531*d_rho_sip+AY532*IF(B532&gt;=in_marketplace_from,d_hz_sip*G532,0)</f>
        <v/>
      </c>
      <c r="BA532" s="40">
        <f>d_rho_sip*(BA531+AZ531)</f>
        <v/>
      </c>
      <c r="BB532" s="14">
        <f>F532*in_sip_ticket*(BA532+0.5*AZ532)*in_sip_comm/12</f>
        <v/>
      </c>
      <c r="BC532" s="40">
        <f>BC531*(1-IF(B531&gt;=in_marketplace_from,d_hz_choti*G531,0))</f>
        <v/>
      </c>
      <c r="BD532" s="46">
        <f>BC532*IF(B532&gt;=in_marketplace_from,d_hz_choti*G532,0)</f>
        <v/>
      </c>
      <c r="BE532" s="14">
        <f>F532*SUMIFS(BD506:BD556,B506:B556,B532-in_choti_months)*in_choti_renew*in_choti_ticket</f>
        <v/>
      </c>
      <c r="BF532" s="40">
        <f>BF531*(1-IF(B531&gt;=in_marketplace_from,d_hz_nps*G531,0))</f>
        <v/>
      </c>
      <c r="BG532" s="14">
        <f>F532*BF532*IF(B532&gt;=in_marketplace_from,d_hz_nps*G532,0)*in_nps_ticket*in_nps_comm</f>
        <v/>
      </c>
      <c r="BH532" s="40">
        <f>BH531*(1-IF(B531&gt;=in_marketplace_from,d_hz_gold*G531,0))</f>
        <v/>
      </c>
      <c r="BI532" s="40">
        <f>BI531*d_rho_gold+BH532*IF(B532&gt;=in_marketplace_from,d_hz_gold*G532,0)</f>
        <v/>
      </c>
      <c r="BJ532" s="14">
        <f>F532*BI532*in_gold_ticket*in_gold_comm</f>
        <v/>
      </c>
      <c r="BK532" s="40">
        <f>BK531*(1-IF(B531&gt;=in_marketplace_from,d_hz_fd*G531,0))</f>
        <v/>
      </c>
      <c r="BL532" s="14">
        <f>F532*BK532*IF(B532&gt;=in_marketplace_from,d_hz_fd*G532,0)*in_fd_ticket*in_fd_comm</f>
        <v/>
      </c>
      <c r="BM532" s="40">
        <f>BM531*(1-IF(B531&gt;=in_marketplace_from,d_hz_recharge*G531,0))</f>
        <v/>
      </c>
      <c r="BN532" s="40">
        <f>BN531*d_rho_recharge+BM532*IF(B532&gt;=in_marketplace_from,d_hz_recharge*G532,0)</f>
        <v/>
      </c>
      <c r="BO532" s="14">
        <f>F532*BN532*in_recharge_ticket*in_recharge_comm/12</f>
        <v/>
      </c>
      <c r="BP532" s="40">
        <f>BP531*(1-IF(B531&gt;=in_marketplace_from,d_hz_bills*G531,0))</f>
        <v/>
      </c>
      <c r="BQ532" s="40">
        <f>BQ531*d_rho_bills+BP532*IF(B532&gt;=in_marketplace_from,d_hz_bills*G532,0)</f>
        <v/>
      </c>
      <c r="BR532" s="14">
        <f>F532*BQ532*in_bills_ticket*in_bills_comm/12</f>
        <v/>
      </c>
      <c r="BS532" s="40">
        <f>BS531*(1-IF(B531&gt;=in_marketplace_from,d_hz_loan_gold*G531,0))</f>
        <v/>
      </c>
      <c r="BT532" s="14">
        <f>F532*BS532*IF(B532&gt;=in_marketplace_from,d_hz_loan_gold*G532,0)*in_loan_gold_ticket*in_loan_gold_comm</f>
        <v/>
      </c>
      <c r="BU532" s="40">
        <f>BU531*(1-IF(B531&gt;=in_marketplace_from,d_hz_loan_cd*G531,0))</f>
        <v/>
      </c>
      <c r="BV532" s="14">
        <f>F532*BU532*IF(B532&gt;=in_marketplace_from,d_hz_loan_cd*G532,0)*in_loan_cd_ticket*in_loan_cd_comm</f>
        <v/>
      </c>
      <c r="BW532" s="40">
        <f>BW531*(1-IF(B531&gt;=in_marketplace_from,d_hz_loan_vehicle*G531,0))</f>
        <v/>
      </c>
      <c r="BX532" s="14">
        <f>F532*BW532*IF(B532&gt;=in_marketplace_from,d_hz_loan_vehicle*G532,0)*in_loan_vehicle_ticket*in_loan_vehicle_comm</f>
        <v/>
      </c>
      <c r="BY532" s="40">
        <f>BY531*(1-IF(B531&gt;=in_marketplace_from,d_hz_loan_home*G531,0)*BZ531)</f>
        <v/>
      </c>
      <c r="BZ532" s="11">
        <f>MIN(in_approval_cap,in_loan_home_approval*INDEX('Age profile'!$O$2:$O$61,B532)*(1+in_approval_growth)^(D532-1))</f>
        <v/>
      </c>
      <c r="CA532" s="14">
        <f>F532*BY532*IF(B532&gt;=in_marketplace_from,d_hz_loan_home*G532,0)*BZ532*in_loan_home_ticket*in_loan_home_comm</f>
        <v/>
      </c>
      <c r="CB532" s="40">
        <f>CB531*(1-IF(B531&gt;=in_marketplace_from,d_hz_loan_lap*G531,0)*CC531)</f>
        <v/>
      </c>
      <c r="CC532" s="11">
        <f>MIN(in_approval_cap,in_loan_lap_approval*INDEX('Age profile'!$O$2:$O$61,B532)*(1+in_approval_growth)^(D532-1))</f>
        <v/>
      </c>
      <c r="CD532" s="14">
        <f>F532*CB532*IF(B532&gt;=in_marketplace_from,d_hz_loan_lap*G532,0)*CC532*in_loan_lap_ticket*in_loan_lap_comm</f>
        <v/>
      </c>
      <c r="CE532" s="14">
        <f>AA532+AB532+AC532+AD532+AG532+AJ532+AM532+AP532+AS532+AU532+AX532+BB532+BE532+BG532+BJ532+BL532+BO532+BR532+BT532+BV532+BX532+CA532+CD532</f>
        <v/>
      </c>
    </row>
    <row r="533">
      <c r="A533" s="39" t="n">
        <v>10</v>
      </c>
      <c r="B533" s="39" t="n">
        <v>28</v>
      </c>
      <c r="C533" s="39">
        <f>A533+B533-1</f>
        <v/>
      </c>
      <c r="D533" s="39">
        <f>INT((C533-1)/12)+1</f>
        <v/>
      </c>
      <c r="E533" s="44">
        <f>INDEX(Monthly!$B$2:$B$61,A533)</f>
        <v/>
      </c>
      <c r="F533" s="44">
        <f>E533*INDEX('Age profile'!$B$2:$B$61,B533)</f>
        <v/>
      </c>
      <c r="G533" s="45">
        <f>MIN(in_takeup_cap,INDEX('Age profile'!$N$2:$N$61,B533)*(1+in_takeup_growth)^(D533-1))</f>
        <v/>
      </c>
      <c r="H533" s="11">
        <f>MIN(in_approval_cap,in_approved_first*INDEX('Age profile'!$O$2:$O$61,B533)*(1+in_approval_growth)^(D533-1))</f>
        <v/>
      </c>
      <c r="I533" s="45">
        <f>G533*MIN(in_takeup_cap,INDEX('Age profile'!$O$2:$O$61,B533)*(1+in_approval_growth)^(D533-1))</f>
        <v/>
      </c>
      <c r="J533" s="40">
        <f>(J532-L532)*F533/F532</f>
        <v/>
      </c>
      <c r="K533" s="40">
        <f>(K532-M532)*F533/F532+SUMIFS(O506:O532,B506:B532,B533-1-d_T)*F533</f>
        <v/>
      </c>
      <c r="L533" s="40">
        <f>IF(B533&gt;=in_marketplace_from,J533*d_hz*G533*in_eligible*H533,0)</f>
        <v/>
      </c>
      <c r="M533" s="40">
        <f>IF(B533&gt;=in_marketplace_from,K533*d_hz*G533*in_eligible*in_approved_repeat,0)</f>
        <v/>
      </c>
      <c r="N533" s="40">
        <f>L533+M533</f>
        <v/>
      </c>
      <c r="O533" s="46">
        <f>N533/F533</f>
        <v/>
      </c>
      <c r="P533" s="40">
        <f>F533-J533-K533</f>
        <v/>
      </c>
      <c r="Q533" s="40">
        <f>IF(B533&gt;=in_marketplace_from,(J533+K533)*d_hz*G533,0)</f>
        <v/>
      </c>
      <c r="R533" s="40">
        <f>SUMIFS(N506:N556,B506:B556,"&gt;="&amp;(B533-d_T),B506:B556,"&lt;="&amp;(B533-1))</f>
        <v/>
      </c>
      <c r="S533" s="46">
        <f>(1-d_u)*S532+IF(d_T&gt;in_topup_lag,SUMIFS(O506:O556,B506:B556,B533-in_topup_lag)-d_udrop*SUMIFS(O506:O556,B506:B556,B533-d_T),0)</f>
        <v/>
      </c>
      <c r="T533" s="40">
        <f>F533*d_u*S533</f>
        <v/>
      </c>
      <c r="U533" s="9">
        <f>L533*in_ticket+M533*d_rep_ticket</f>
        <v/>
      </c>
      <c r="V533" s="9">
        <f>U533+T533*d_topup_amt</f>
        <v/>
      </c>
      <c r="W533" s="40">
        <f>N533+T533*d_topup_ratio</f>
        <v/>
      </c>
      <c r="X533" s="40">
        <f>SUMIFS(W506:W556,B506:B556,B533-in_dpd_lag)*d_cured</f>
        <v/>
      </c>
      <c r="Y533" s="40">
        <f>SUMIFS(W506:W556,B506:B556,B533-in_rec_lag)*d_recd</f>
        <v/>
      </c>
      <c r="Z533" s="40">
        <f>IF(AND(B533&gt;=in_marketplace_from,B533&lt;in_marketplace_from+in_card_months),in_card_share/in_card_months*F533*I533,IF(AND(B533&gt;=in_marketplace_from+in_card_months,B533&lt;in_marketplace_from+2*in_card_months),in_card_share*d_card_rem/in_card_months*F533*MIN(in_takeup_cap,(1+in_takeup_growth)^(D533-1))*MIN(in_takeup_cap,(1+in_approval_growth)^(D533-1)),0))</f>
        <v/>
      </c>
      <c r="AA533" s="14">
        <f>V533*in_fee*(1-in_taken_back)</f>
        <v/>
      </c>
      <c r="AB533" s="14">
        <f>SUMIFS(W506:W556,B506:B556,B533-in_dpd_lag)*d_dpd</f>
        <v/>
      </c>
      <c r="AC533" s="14">
        <f>SUMIFS(W506:W556,B506:B556,B533-in_rec_lag)*d_rec</f>
        <v/>
      </c>
      <c r="AD533" s="14">
        <f>Z533*in_card_fee</f>
        <v/>
      </c>
      <c r="AE533" s="40">
        <f>AE532*(1-IF(B532&gt;=in_marketplace_from,d_hz_hlth_small*G532,0))</f>
        <v/>
      </c>
      <c r="AF533" s="46">
        <f>AE533*IF(B533&gt;=in_marketplace_from,d_hz_hlth_small*G533,0)</f>
        <v/>
      </c>
      <c r="AG533" s="14">
        <f>F533*AF533*in_hlth_small_ticket*in_hlth_small_comm*in_ins_partner_share+F533*in_hlth_small_ticket*in_hlth_small_renew_comm*in_ins_partner_share*(in_hlth_small_renew^1*SUMIFS(AF506:AF556,B506:B556,B533-12)+in_hlth_small_renew^2*SUMIFS(AF506:AF556,B506:B556,B533-24)+in_hlth_small_renew^3*SUMIFS(AF506:AF556,B506:B556,B533-36)+in_hlth_small_renew^4*SUMIFS(AF506:AF556,B506:B556,B533-48))</f>
        <v/>
      </c>
      <c r="AH533" s="40">
        <f>AH532*(1-IF(B532&gt;=in_marketplace_from,d_hz_hlth_family*G532,0))</f>
        <v/>
      </c>
      <c r="AI533" s="46">
        <f>AH533*IF(B533&gt;=in_marketplace_from,d_hz_hlth_family*G533,0)</f>
        <v/>
      </c>
      <c r="AJ533" s="14">
        <f>F533*AI533*in_hlth_family_ticket*in_hlth_family_comm*in_ins_partner_share+F533*in_hlth_family_ticket*in_hlth_family_renew_comm*in_ins_partner_share*(in_hlth_family_renew^1*SUMIFS(AI506:AI556,B506:B556,B533-12)+in_hlth_family_renew^2*SUMIFS(AI506:AI556,B506:B556,B533-24)+in_hlth_family_renew^3*SUMIFS(AI506:AI556,B506:B556,B533-36)+in_hlth_family_renew^4*SUMIFS(AI506:AI556,B506:B556,B533-48))</f>
        <v/>
      </c>
      <c r="AK533" s="40">
        <f>AK532*(1-IF(B532&gt;=in_marketplace_from,d_hz_life_term*G532,0))</f>
        <v/>
      </c>
      <c r="AL533" s="46">
        <f>AK533*IF(B533&gt;=in_marketplace_from,d_hz_life_term*G533,0)</f>
        <v/>
      </c>
      <c r="AM533" s="14">
        <f>F533*AL533*in_life_term_ticket*in_life_term_comm*in_ins_partner_share+F533*in_life_term_ticket*in_life_term_renew_comm*in_ins_partner_share*(in_life_term_renew^1*SUMIFS(AL506:AL556,B506:B556,B533-12)+in_life_term_renew^2*SUMIFS(AL506:AL556,B506:B556,B533-24)+in_life_term_renew^3*SUMIFS(AL506:AL556,B506:B556,B533-36)+in_life_term_renew^4*SUMIFS(AL506:AL556,B506:B556,B533-48))</f>
        <v/>
      </c>
      <c r="AN533" s="40">
        <f>AN532*(1-IF(B532&gt;=in_marketplace_from,d_hz_accident*G532,0))</f>
        <v/>
      </c>
      <c r="AO533" s="46">
        <f>AN533*IF(B533&gt;=in_marketplace_from,d_hz_accident*G533,0)</f>
        <v/>
      </c>
      <c r="AP533" s="14">
        <f>F533*AO533*in_accident_ticket*in_accident_comm*in_ins_partner_share+F533*in_accident_ticket*in_accident_renew_comm*in_ins_partner_share*(in_accident_renew^1*SUMIFS(AO506:AO556,B506:B556,B533-12)+in_accident_renew^2*SUMIFS(AO506:AO556,B506:B556,B533-24)+in_accident_renew^3*SUMIFS(AO506:AO556,B506:B556,B533-36)+in_accident_renew^4*SUMIFS(AO506:AO556,B506:B556,B533-48))</f>
        <v/>
      </c>
      <c r="AQ533" s="40">
        <f>AQ532*(1-IF(B532&gt;=in_marketplace_from,d_hz_two_wheeler*G532,0))</f>
        <v/>
      </c>
      <c r="AR533" s="46">
        <f>AQ533*IF(B533&gt;=in_marketplace_from,d_hz_two_wheeler*G533,0)</f>
        <v/>
      </c>
      <c r="AS533" s="14">
        <f>F533*AR533*in_two_wheeler_ticket*in_two_wheeler_comm*in_ins_partner_share+F533*in_two_wheeler_ticket*in_two_wheeler_comm*in_ins_partner_share*(in_two_wheeler_renew^1*SUMIFS(AR506:AR556,B506:B556,B533-12)+in_two_wheeler_renew^2*SUMIFS(AR506:AR556,B506:B556,B533-24)+in_two_wheeler_renew^3*SUMIFS(AR506:AR556,B506:B556,B533-36)+in_two_wheeler_renew^4*SUMIFS(AR506:AR556,B506:B556,B533-48))</f>
        <v/>
      </c>
      <c r="AT533" s="40">
        <f>AT532*(1-IF(B532&gt;=in_marketplace_from,d_hz_device*G532,0))</f>
        <v/>
      </c>
      <c r="AU533" s="14">
        <f>F533*AT533*IF(B533&gt;=in_marketplace_from,d_hz_device*G533,0)*in_device_ticket*in_device_comm*in_ins_partner_share</f>
        <v/>
      </c>
      <c r="AV533" s="40">
        <f>AV532*(1-IF(B532&gt;=in_marketplace_from,d_hz_shop*G532,0))</f>
        <v/>
      </c>
      <c r="AW533" s="46">
        <f>AV533*IF(B533&gt;=in_marketplace_from,d_hz_shop*G533,0)</f>
        <v/>
      </c>
      <c r="AX533" s="14">
        <f>F533*AW533*in_shop_ticket*in_shop_comm*in_ins_partner_share+F533*in_shop_ticket*in_shop_renew_comm*in_ins_partner_share*(in_shop_renew^1*SUMIFS(AW506:AW556,B506:B556,B533-12)+in_shop_renew^2*SUMIFS(AW506:AW556,B506:B556,B533-24)+in_shop_renew^3*SUMIFS(AW506:AW556,B506:B556,B533-36)+in_shop_renew^4*SUMIFS(AW506:AW556,B506:B556,B533-48))</f>
        <v/>
      </c>
      <c r="AY533" s="40">
        <f>AY532*(1-IF(B532&gt;=in_marketplace_from,d_hz_sip*G532,0))</f>
        <v/>
      </c>
      <c r="AZ533" s="40">
        <f>AZ532*d_rho_sip+AY533*IF(B533&gt;=in_marketplace_from,d_hz_sip*G533,0)</f>
        <v/>
      </c>
      <c r="BA533" s="40">
        <f>d_rho_sip*(BA532+AZ532)</f>
        <v/>
      </c>
      <c r="BB533" s="14">
        <f>F533*in_sip_ticket*(BA533+0.5*AZ533)*in_sip_comm/12</f>
        <v/>
      </c>
      <c r="BC533" s="40">
        <f>BC532*(1-IF(B532&gt;=in_marketplace_from,d_hz_choti*G532,0))</f>
        <v/>
      </c>
      <c r="BD533" s="46">
        <f>BC533*IF(B533&gt;=in_marketplace_from,d_hz_choti*G533,0)</f>
        <v/>
      </c>
      <c r="BE533" s="14">
        <f>F533*SUMIFS(BD506:BD556,B506:B556,B533-in_choti_months)*in_choti_renew*in_choti_ticket</f>
        <v/>
      </c>
      <c r="BF533" s="40">
        <f>BF532*(1-IF(B532&gt;=in_marketplace_from,d_hz_nps*G532,0))</f>
        <v/>
      </c>
      <c r="BG533" s="14">
        <f>F533*BF533*IF(B533&gt;=in_marketplace_from,d_hz_nps*G533,0)*in_nps_ticket*in_nps_comm</f>
        <v/>
      </c>
      <c r="BH533" s="40">
        <f>BH532*(1-IF(B532&gt;=in_marketplace_from,d_hz_gold*G532,0))</f>
        <v/>
      </c>
      <c r="BI533" s="40">
        <f>BI532*d_rho_gold+BH533*IF(B533&gt;=in_marketplace_from,d_hz_gold*G533,0)</f>
        <v/>
      </c>
      <c r="BJ533" s="14">
        <f>F533*BI533*in_gold_ticket*in_gold_comm</f>
        <v/>
      </c>
      <c r="BK533" s="40">
        <f>BK532*(1-IF(B532&gt;=in_marketplace_from,d_hz_fd*G532,0))</f>
        <v/>
      </c>
      <c r="BL533" s="14">
        <f>F533*BK533*IF(B533&gt;=in_marketplace_from,d_hz_fd*G533,0)*in_fd_ticket*in_fd_comm</f>
        <v/>
      </c>
      <c r="BM533" s="40">
        <f>BM532*(1-IF(B532&gt;=in_marketplace_from,d_hz_recharge*G532,0))</f>
        <v/>
      </c>
      <c r="BN533" s="40">
        <f>BN532*d_rho_recharge+BM533*IF(B533&gt;=in_marketplace_from,d_hz_recharge*G533,0)</f>
        <v/>
      </c>
      <c r="BO533" s="14">
        <f>F533*BN533*in_recharge_ticket*in_recharge_comm/12</f>
        <v/>
      </c>
      <c r="BP533" s="40">
        <f>BP532*(1-IF(B532&gt;=in_marketplace_from,d_hz_bills*G532,0))</f>
        <v/>
      </c>
      <c r="BQ533" s="40">
        <f>BQ532*d_rho_bills+BP533*IF(B533&gt;=in_marketplace_from,d_hz_bills*G533,0)</f>
        <v/>
      </c>
      <c r="BR533" s="14">
        <f>F533*BQ533*in_bills_ticket*in_bills_comm/12</f>
        <v/>
      </c>
      <c r="BS533" s="40">
        <f>BS532*(1-IF(B532&gt;=in_marketplace_from,d_hz_loan_gold*G532,0))</f>
        <v/>
      </c>
      <c r="BT533" s="14">
        <f>F533*BS533*IF(B533&gt;=in_marketplace_from,d_hz_loan_gold*G533,0)*in_loan_gold_ticket*in_loan_gold_comm</f>
        <v/>
      </c>
      <c r="BU533" s="40">
        <f>BU532*(1-IF(B532&gt;=in_marketplace_from,d_hz_loan_cd*G532,0))</f>
        <v/>
      </c>
      <c r="BV533" s="14">
        <f>F533*BU533*IF(B533&gt;=in_marketplace_from,d_hz_loan_cd*G533,0)*in_loan_cd_ticket*in_loan_cd_comm</f>
        <v/>
      </c>
      <c r="BW533" s="40">
        <f>BW532*(1-IF(B532&gt;=in_marketplace_from,d_hz_loan_vehicle*G532,0))</f>
        <v/>
      </c>
      <c r="BX533" s="14">
        <f>F533*BW533*IF(B533&gt;=in_marketplace_from,d_hz_loan_vehicle*G533,0)*in_loan_vehicle_ticket*in_loan_vehicle_comm</f>
        <v/>
      </c>
      <c r="BY533" s="40">
        <f>BY532*(1-IF(B532&gt;=in_marketplace_from,d_hz_loan_home*G532,0)*BZ532)</f>
        <v/>
      </c>
      <c r="BZ533" s="11">
        <f>MIN(in_approval_cap,in_loan_home_approval*INDEX('Age profile'!$O$2:$O$61,B533)*(1+in_approval_growth)^(D533-1))</f>
        <v/>
      </c>
      <c r="CA533" s="14">
        <f>F533*BY533*IF(B533&gt;=in_marketplace_from,d_hz_loan_home*G533,0)*BZ533*in_loan_home_ticket*in_loan_home_comm</f>
        <v/>
      </c>
      <c r="CB533" s="40">
        <f>CB532*(1-IF(B532&gt;=in_marketplace_from,d_hz_loan_lap*G532,0)*CC532)</f>
        <v/>
      </c>
      <c r="CC533" s="11">
        <f>MIN(in_approval_cap,in_loan_lap_approval*INDEX('Age profile'!$O$2:$O$61,B533)*(1+in_approval_growth)^(D533-1))</f>
        <v/>
      </c>
      <c r="CD533" s="14">
        <f>F533*CB533*IF(B533&gt;=in_marketplace_from,d_hz_loan_lap*G533,0)*CC533*in_loan_lap_ticket*in_loan_lap_comm</f>
        <v/>
      </c>
      <c r="CE533" s="14">
        <f>AA533+AB533+AC533+AD533+AG533+AJ533+AM533+AP533+AS533+AU533+AX533+BB533+BE533+BG533+BJ533+BL533+BO533+BR533+BT533+BV533+BX533+CA533+CD533</f>
        <v/>
      </c>
    </row>
    <row r="534">
      <c r="A534" s="39" t="n">
        <v>10</v>
      </c>
      <c r="B534" s="39" t="n">
        <v>29</v>
      </c>
      <c r="C534" s="39">
        <f>A534+B534-1</f>
        <v/>
      </c>
      <c r="D534" s="39">
        <f>INT((C534-1)/12)+1</f>
        <v/>
      </c>
      <c r="E534" s="44">
        <f>INDEX(Monthly!$B$2:$B$61,A534)</f>
        <v/>
      </c>
      <c r="F534" s="44">
        <f>E534*INDEX('Age profile'!$B$2:$B$61,B534)</f>
        <v/>
      </c>
      <c r="G534" s="45">
        <f>MIN(in_takeup_cap,INDEX('Age profile'!$N$2:$N$61,B534)*(1+in_takeup_growth)^(D534-1))</f>
        <v/>
      </c>
      <c r="H534" s="11">
        <f>MIN(in_approval_cap,in_approved_first*INDEX('Age profile'!$O$2:$O$61,B534)*(1+in_approval_growth)^(D534-1))</f>
        <v/>
      </c>
      <c r="I534" s="45">
        <f>G534*MIN(in_takeup_cap,INDEX('Age profile'!$O$2:$O$61,B534)*(1+in_approval_growth)^(D534-1))</f>
        <v/>
      </c>
      <c r="J534" s="40">
        <f>(J533-L533)*F534/F533</f>
        <v/>
      </c>
      <c r="K534" s="40">
        <f>(K533-M533)*F534/F533+SUMIFS(O506:O533,B506:B533,B534-1-d_T)*F534</f>
        <v/>
      </c>
      <c r="L534" s="40">
        <f>IF(B534&gt;=in_marketplace_from,J534*d_hz*G534*in_eligible*H534,0)</f>
        <v/>
      </c>
      <c r="M534" s="40">
        <f>IF(B534&gt;=in_marketplace_from,K534*d_hz*G534*in_eligible*in_approved_repeat,0)</f>
        <v/>
      </c>
      <c r="N534" s="40">
        <f>L534+M534</f>
        <v/>
      </c>
      <c r="O534" s="46">
        <f>N534/F534</f>
        <v/>
      </c>
      <c r="P534" s="40">
        <f>F534-J534-K534</f>
        <v/>
      </c>
      <c r="Q534" s="40">
        <f>IF(B534&gt;=in_marketplace_from,(J534+K534)*d_hz*G534,0)</f>
        <v/>
      </c>
      <c r="R534" s="40">
        <f>SUMIFS(N506:N556,B506:B556,"&gt;="&amp;(B534-d_T),B506:B556,"&lt;="&amp;(B534-1))</f>
        <v/>
      </c>
      <c r="S534" s="46">
        <f>(1-d_u)*S533+IF(d_T&gt;in_topup_lag,SUMIFS(O506:O556,B506:B556,B534-in_topup_lag)-d_udrop*SUMIFS(O506:O556,B506:B556,B534-d_T),0)</f>
        <v/>
      </c>
      <c r="T534" s="40">
        <f>F534*d_u*S534</f>
        <v/>
      </c>
      <c r="U534" s="9">
        <f>L534*in_ticket+M534*d_rep_ticket</f>
        <v/>
      </c>
      <c r="V534" s="9">
        <f>U534+T534*d_topup_amt</f>
        <v/>
      </c>
      <c r="W534" s="40">
        <f>N534+T534*d_topup_ratio</f>
        <v/>
      </c>
      <c r="X534" s="40">
        <f>SUMIFS(W506:W556,B506:B556,B534-in_dpd_lag)*d_cured</f>
        <v/>
      </c>
      <c r="Y534" s="40">
        <f>SUMIFS(W506:W556,B506:B556,B534-in_rec_lag)*d_recd</f>
        <v/>
      </c>
      <c r="Z534" s="40">
        <f>IF(AND(B534&gt;=in_marketplace_from,B534&lt;in_marketplace_from+in_card_months),in_card_share/in_card_months*F534*I534,IF(AND(B534&gt;=in_marketplace_from+in_card_months,B534&lt;in_marketplace_from+2*in_card_months),in_card_share*d_card_rem/in_card_months*F534*MIN(in_takeup_cap,(1+in_takeup_growth)^(D534-1))*MIN(in_takeup_cap,(1+in_approval_growth)^(D534-1)),0))</f>
        <v/>
      </c>
      <c r="AA534" s="14">
        <f>V534*in_fee*(1-in_taken_back)</f>
        <v/>
      </c>
      <c r="AB534" s="14">
        <f>SUMIFS(W506:W556,B506:B556,B534-in_dpd_lag)*d_dpd</f>
        <v/>
      </c>
      <c r="AC534" s="14">
        <f>SUMIFS(W506:W556,B506:B556,B534-in_rec_lag)*d_rec</f>
        <v/>
      </c>
      <c r="AD534" s="14">
        <f>Z534*in_card_fee</f>
        <v/>
      </c>
      <c r="AE534" s="40">
        <f>AE533*(1-IF(B533&gt;=in_marketplace_from,d_hz_hlth_small*G533,0))</f>
        <v/>
      </c>
      <c r="AF534" s="46">
        <f>AE534*IF(B534&gt;=in_marketplace_from,d_hz_hlth_small*G534,0)</f>
        <v/>
      </c>
      <c r="AG534" s="14">
        <f>F534*AF534*in_hlth_small_ticket*in_hlth_small_comm*in_ins_partner_share+F534*in_hlth_small_ticket*in_hlth_small_renew_comm*in_ins_partner_share*(in_hlth_small_renew^1*SUMIFS(AF506:AF556,B506:B556,B534-12)+in_hlth_small_renew^2*SUMIFS(AF506:AF556,B506:B556,B534-24)+in_hlth_small_renew^3*SUMIFS(AF506:AF556,B506:B556,B534-36)+in_hlth_small_renew^4*SUMIFS(AF506:AF556,B506:B556,B534-48))</f>
        <v/>
      </c>
      <c r="AH534" s="40">
        <f>AH533*(1-IF(B533&gt;=in_marketplace_from,d_hz_hlth_family*G533,0))</f>
        <v/>
      </c>
      <c r="AI534" s="46">
        <f>AH534*IF(B534&gt;=in_marketplace_from,d_hz_hlth_family*G534,0)</f>
        <v/>
      </c>
      <c r="AJ534" s="14">
        <f>F534*AI534*in_hlth_family_ticket*in_hlth_family_comm*in_ins_partner_share+F534*in_hlth_family_ticket*in_hlth_family_renew_comm*in_ins_partner_share*(in_hlth_family_renew^1*SUMIFS(AI506:AI556,B506:B556,B534-12)+in_hlth_family_renew^2*SUMIFS(AI506:AI556,B506:B556,B534-24)+in_hlth_family_renew^3*SUMIFS(AI506:AI556,B506:B556,B534-36)+in_hlth_family_renew^4*SUMIFS(AI506:AI556,B506:B556,B534-48))</f>
        <v/>
      </c>
      <c r="AK534" s="40">
        <f>AK533*(1-IF(B533&gt;=in_marketplace_from,d_hz_life_term*G533,0))</f>
        <v/>
      </c>
      <c r="AL534" s="46">
        <f>AK534*IF(B534&gt;=in_marketplace_from,d_hz_life_term*G534,0)</f>
        <v/>
      </c>
      <c r="AM534" s="14">
        <f>F534*AL534*in_life_term_ticket*in_life_term_comm*in_ins_partner_share+F534*in_life_term_ticket*in_life_term_renew_comm*in_ins_partner_share*(in_life_term_renew^1*SUMIFS(AL506:AL556,B506:B556,B534-12)+in_life_term_renew^2*SUMIFS(AL506:AL556,B506:B556,B534-24)+in_life_term_renew^3*SUMIFS(AL506:AL556,B506:B556,B534-36)+in_life_term_renew^4*SUMIFS(AL506:AL556,B506:B556,B534-48))</f>
        <v/>
      </c>
      <c r="AN534" s="40">
        <f>AN533*(1-IF(B533&gt;=in_marketplace_from,d_hz_accident*G533,0))</f>
        <v/>
      </c>
      <c r="AO534" s="46">
        <f>AN534*IF(B534&gt;=in_marketplace_from,d_hz_accident*G534,0)</f>
        <v/>
      </c>
      <c r="AP534" s="14">
        <f>F534*AO534*in_accident_ticket*in_accident_comm*in_ins_partner_share+F534*in_accident_ticket*in_accident_renew_comm*in_ins_partner_share*(in_accident_renew^1*SUMIFS(AO506:AO556,B506:B556,B534-12)+in_accident_renew^2*SUMIFS(AO506:AO556,B506:B556,B534-24)+in_accident_renew^3*SUMIFS(AO506:AO556,B506:B556,B534-36)+in_accident_renew^4*SUMIFS(AO506:AO556,B506:B556,B534-48))</f>
        <v/>
      </c>
      <c r="AQ534" s="40">
        <f>AQ533*(1-IF(B533&gt;=in_marketplace_from,d_hz_two_wheeler*G533,0))</f>
        <v/>
      </c>
      <c r="AR534" s="46">
        <f>AQ534*IF(B534&gt;=in_marketplace_from,d_hz_two_wheeler*G534,0)</f>
        <v/>
      </c>
      <c r="AS534" s="14">
        <f>F534*AR534*in_two_wheeler_ticket*in_two_wheeler_comm*in_ins_partner_share+F534*in_two_wheeler_ticket*in_two_wheeler_comm*in_ins_partner_share*(in_two_wheeler_renew^1*SUMIFS(AR506:AR556,B506:B556,B534-12)+in_two_wheeler_renew^2*SUMIFS(AR506:AR556,B506:B556,B534-24)+in_two_wheeler_renew^3*SUMIFS(AR506:AR556,B506:B556,B534-36)+in_two_wheeler_renew^4*SUMIFS(AR506:AR556,B506:B556,B534-48))</f>
        <v/>
      </c>
      <c r="AT534" s="40">
        <f>AT533*(1-IF(B533&gt;=in_marketplace_from,d_hz_device*G533,0))</f>
        <v/>
      </c>
      <c r="AU534" s="14">
        <f>F534*AT534*IF(B534&gt;=in_marketplace_from,d_hz_device*G534,0)*in_device_ticket*in_device_comm*in_ins_partner_share</f>
        <v/>
      </c>
      <c r="AV534" s="40">
        <f>AV533*(1-IF(B533&gt;=in_marketplace_from,d_hz_shop*G533,0))</f>
        <v/>
      </c>
      <c r="AW534" s="46">
        <f>AV534*IF(B534&gt;=in_marketplace_from,d_hz_shop*G534,0)</f>
        <v/>
      </c>
      <c r="AX534" s="14">
        <f>F534*AW534*in_shop_ticket*in_shop_comm*in_ins_partner_share+F534*in_shop_ticket*in_shop_renew_comm*in_ins_partner_share*(in_shop_renew^1*SUMIFS(AW506:AW556,B506:B556,B534-12)+in_shop_renew^2*SUMIFS(AW506:AW556,B506:B556,B534-24)+in_shop_renew^3*SUMIFS(AW506:AW556,B506:B556,B534-36)+in_shop_renew^4*SUMIFS(AW506:AW556,B506:B556,B534-48))</f>
        <v/>
      </c>
      <c r="AY534" s="40">
        <f>AY533*(1-IF(B533&gt;=in_marketplace_from,d_hz_sip*G533,0))</f>
        <v/>
      </c>
      <c r="AZ534" s="40">
        <f>AZ533*d_rho_sip+AY534*IF(B534&gt;=in_marketplace_from,d_hz_sip*G534,0)</f>
        <v/>
      </c>
      <c r="BA534" s="40">
        <f>d_rho_sip*(BA533+AZ533)</f>
        <v/>
      </c>
      <c r="BB534" s="14">
        <f>F534*in_sip_ticket*(BA534+0.5*AZ534)*in_sip_comm/12</f>
        <v/>
      </c>
      <c r="BC534" s="40">
        <f>BC533*(1-IF(B533&gt;=in_marketplace_from,d_hz_choti*G533,0))</f>
        <v/>
      </c>
      <c r="BD534" s="46">
        <f>BC534*IF(B534&gt;=in_marketplace_from,d_hz_choti*G534,0)</f>
        <v/>
      </c>
      <c r="BE534" s="14">
        <f>F534*SUMIFS(BD506:BD556,B506:B556,B534-in_choti_months)*in_choti_renew*in_choti_ticket</f>
        <v/>
      </c>
      <c r="BF534" s="40">
        <f>BF533*(1-IF(B533&gt;=in_marketplace_from,d_hz_nps*G533,0))</f>
        <v/>
      </c>
      <c r="BG534" s="14">
        <f>F534*BF534*IF(B534&gt;=in_marketplace_from,d_hz_nps*G534,0)*in_nps_ticket*in_nps_comm</f>
        <v/>
      </c>
      <c r="BH534" s="40">
        <f>BH533*(1-IF(B533&gt;=in_marketplace_from,d_hz_gold*G533,0))</f>
        <v/>
      </c>
      <c r="BI534" s="40">
        <f>BI533*d_rho_gold+BH534*IF(B534&gt;=in_marketplace_from,d_hz_gold*G534,0)</f>
        <v/>
      </c>
      <c r="BJ534" s="14">
        <f>F534*BI534*in_gold_ticket*in_gold_comm</f>
        <v/>
      </c>
      <c r="BK534" s="40">
        <f>BK533*(1-IF(B533&gt;=in_marketplace_from,d_hz_fd*G533,0))</f>
        <v/>
      </c>
      <c r="BL534" s="14">
        <f>F534*BK534*IF(B534&gt;=in_marketplace_from,d_hz_fd*G534,0)*in_fd_ticket*in_fd_comm</f>
        <v/>
      </c>
      <c r="BM534" s="40">
        <f>BM533*(1-IF(B533&gt;=in_marketplace_from,d_hz_recharge*G533,0))</f>
        <v/>
      </c>
      <c r="BN534" s="40">
        <f>BN533*d_rho_recharge+BM534*IF(B534&gt;=in_marketplace_from,d_hz_recharge*G534,0)</f>
        <v/>
      </c>
      <c r="BO534" s="14">
        <f>F534*BN534*in_recharge_ticket*in_recharge_comm/12</f>
        <v/>
      </c>
      <c r="BP534" s="40">
        <f>BP533*(1-IF(B533&gt;=in_marketplace_from,d_hz_bills*G533,0))</f>
        <v/>
      </c>
      <c r="BQ534" s="40">
        <f>BQ533*d_rho_bills+BP534*IF(B534&gt;=in_marketplace_from,d_hz_bills*G534,0)</f>
        <v/>
      </c>
      <c r="BR534" s="14">
        <f>F534*BQ534*in_bills_ticket*in_bills_comm/12</f>
        <v/>
      </c>
      <c r="BS534" s="40">
        <f>BS533*(1-IF(B533&gt;=in_marketplace_from,d_hz_loan_gold*G533,0))</f>
        <v/>
      </c>
      <c r="BT534" s="14">
        <f>F534*BS534*IF(B534&gt;=in_marketplace_from,d_hz_loan_gold*G534,0)*in_loan_gold_ticket*in_loan_gold_comm</f>
        <v/>
      </c>
      <c r="BU534" s="40">
        <f>BU533*(1-IF(B533&gt;=in_marketplace_from,d_hz_loan_cd*G533,0))</f>
        <v/>
      </c>
      <c r="BV534" s="14">
        <f>F534*BU534*IF(B534&gt;=in_marketplace_from,d_hz_loan_cd*G534,0)*in_loan_cd_ticket*in_loan_cd_comm</f>
        <v/>
      </c>
      <c r="BW534" s="40">
        <f>BW533*(1-IF(B533&gt;=in_marketplace_from,d_hz_loan_vehicle*G533,0))</f>
        <v/>
      </c>
      <c r="BX534" s="14">
        <f>F534*BW534*IF(B534&gt;=in_marketplace_from,d_hz_loan_vehicle*G534,0)*in_loan_vehicle_ticket*in_loan_vehicle_comm</f>
        <v/>
      </c>
      <c r="BY534" s="40">
        <f>BY533*(1-IF(B533&gt;=in_marketplace_from,d_hz_loan_home*G533,0)*BZ533)</f>
        <v/>
      </c>
      <c r="BZ534" s="11">
        <f>MIN(in_approval_cap,in_loan_home_approval*INDEX('Age profile'!$O$2:$O$61,B534)*(1+in_approval_growth)^(D534-1))</f>
        <v/>
      </c>
      <c r="CA534" s="14">
        <f>F534*BY534*IF(B534&gt;=in_marketplace_from,d_hz_loan_home*G534,0)*BZ534*in_loan_home_ticket*in_loan_home_comm</f>
        <v/>
      </c>
      <c r="CB534" s="40">
        <f>CB533*(1-IF(B533&gt;=in_marketplace_from,d_hz_loan_lap*G533,0)*CC533)</f>
        <v/>
      </c>
      <c r="CC534" s="11">
        <f>MIN(in_approval_cap,in_loan_lap_approval*INDEX('Age profile'!$O$2:$O$61,B534)*(1+in_approval_growth)^(D534-1))</f>
        <v/>
      </c>
      <c r="CD534" s="14">
        <f>F534*CB534*IF(B534&gt;=in_marketplace_from,d_hz_loan_lap*G534,0)*CC534*in_loan_lap_ticket*in_loan_lap_comm</f>
        <v/>
      </c>
      <c r="CE534" s="14">
        <f>AA534+AB534+AC534+AD534+AG534+AJ534+AM534+AP534+AS534+AU534+AX534+BB534+BE534+BG534+BJ534+BL534+BO534+BR534+BT534+BV534+BX534+CA534+CD534</f>
        <v/>
      </c>
    </row>
    <row r="535">
      <c r="A535" s="39" t="n">
        <v>10</v>
      </c>
      <c r="B535" s="39" t="n">
        <v>30</v>
      </c>
      <c r="C535" s="39">
        <f>A535+B535-1</f>
        <v/>
      </c>
      <c r="D535" s="39">
        <f>INT((C535-1)/12)+1</f>
        <v/>
      </c>
      <c r="E535" s="44">
        <f>INDEX(Monthly!$B$2:$B$61,A535)</f>
        <v/>
      </c>
      <c r="F535" s="44">
        <f>E535*INDEX('Age profile'!$B$2:$B$61,B535)</f>
        <v/>
      </c>
      <c r="G535" s="45">
        <f>MIN(in_takeup_cap,INDEX('Age profile'!$N$2:$N$61,B535)*(1+in_takeup_growth)^(D535-1))</f>
        <v/>
      </c>
      <c r="H535" s="11">
        <f>MIN(in_approval_cap,in_approved_first*INDEX('Age profile'!$O$2:$O$61,B535)*(1+in_approval_growth)^(D535-1))</f>
        <v/>
      </c>
      <c r="I535" s="45">
        <f>G535*MIN(in_takeup_cap,INDEX('Age profile'!$O$2:$O$61,B535)*(1+in_approval_growth)^(D535-1))</f>
        <v/>
      </c>
      <c r="J535" s="40">
        <f>(J534-L534)*F535/F534</f>
        <v/>
      </c>
      <c r="K535" s="40">
        <f>(K534-M534)*F535/F534+SUMIFS(O506:O534,B506:B534,B535-1-d_T)*F535</f>
        <v/>
      </c>
      <c r="L535" s="40">
        <f>IF(B535&gt;=in_marketplace_from,J535*d_hz*G535*in_eligible*H535,0)</f>
        <v/>
      </c>
      <c r="M535" s="40">
        <f>IF(B535&gt;=in_marketplace_from,K535*d_hz*G535*in_eligible*in_approved_repeat,0)</f>
        <v/>
      </c>
      <c r="N535" s="40">
        <f>L535+M535</f>
        <v/>
      </c>
      <c r="O535" s="46">
        <f>N535/F535</f>
        <v/>
      </c>
      <c r="P535" s="40">
        <f>F535-J535-K535</f>
        <v/>
      </c>
      <c r="Q535" s="40">
        <f>IF(B535&gt;=in_marketplace_from,(J535+K535)*d_hz*G535,0)</f>
        <v/>
      </c>
      <c r="R535" s="40">
        <f>SUMIFS(N506:N556,B506:B556,"&gt;="&amp;(B535-d_T),B506:B556,"&lt;="&amp;(B535-1))</f>
        <v/>
      </c>
      <c r="S535" s="46">
        <f>(1-d_u)*S534+IF(d_T&gt;in_topup_lag,SUMIFS(O506:O556,B506:B556,B535-in_topup_lag)-d_udrop*SUMIFS(O506:O556,B506:B556,B535-d_T),0)</f>
        <v/>
      </c>
      <c r="T535" s="40">
        <f>F535*d_u*S535</f>
        <v/>
      </c>
      <c r="U535" s="9">
        <f>L535*in_ticket+M535*d_rep_ticket</f>
        <v/>
      </c>
      <c r="V535" s="9">
        <f>U535+T535*d_topup_amt</f>
        <v/>
      </c>
      <c r="W535" s="40">
        <f>N535+T535*d_topup_ratio</f>
        <v/>
      </c>
      <c r="X535" s="40">
        <f>SUMIFS(W506:W556,B506:B556,B535-in_dpd_lag)*d_cured</f>
        <v/>
      </c>
      <c r="Y535" s="40">
        <f>SUMIFS(W506:W556,B506:B556,B535-in_rec_lag)*d_recd</f>
        <v/>
      </c>
      <c r="Z535" s="40">
        <f>IF(AND(B535&gt;=in_marketplace_from,B535&lt;in_marketplace_from+in_card_months),in_card_share/in_card_months*F535*I535,IF(AND(B535&gt;=in_marketplace_from+in_card_months,B535&lt;in_marketplace_from+2*in_card_months),in_card_share*d_card_rem/in_card_months*F535*MIN(in_takeup_cap,(1+in_takeup_growth)^(D535-1))*MIN(in_takeup_cap,(1+in_approval_growth)^(D535-1)),0))</f>
        <v/>
      </c>
      <c r="AA535" s="14">
        <f>V535*in_fee*(1-in_taken_back)</f>
        <v/>
      </c>
      <c r="AB535" s="14">
        <f>SUMIFS(W506:W556,B506:B556,B535-in_dpd_lag)*d_dpd</f>
        <v/>
      </c>
      <c r="AC535" s="14">
        <f>SUMIFS(W506:W556,B506:B556,B535-in_rec_lag)*d_rec</f>
        <v/>
      </c>
      <c r="AD535" s="14">
        <f>Z535*in_card_fee</f>
        <v/>
      </c>
      <c r="AE535" s="40">
        <f>AE534*(1-IF(B534&gt;=in_marketplace_from,d_hz_hlth_small*G534,0))</f>
        <v/>
      </c>
      <c r="AF535" s="46">
        <f>AE535*IF(B535&gt;=in_marketplace_from,d_hz_hlth_small*G535,0)</f>
        <v/>
      </c>
      <c r="AG535" s="14">
        <f>F535*AF535*in_hlth_small_ticket*in_hlth_small_comm*in_ins_partner_share+F535*in_hlth_small_ticket*in_hlth_small_renew_comm*in_ins_partner_share*(in_hlth_small_renew^1*SUMIFS(AF506:AF556,B506:B556,B535-12)+in_hlth_small_renew^2*SUMIFS(AF506:AF556,B506:B556,B535-24)+in_hlth_small_renew^3*SUMIFS(AF506:AF556,B506:B556,B535-36)+in_hlth_small_renew^4*SUMIFS(AF506:AF556,B506:B556,B535-48))</f>
        <v/>
      </c>
      <c r="AH535" s="40">
        <f>AH534*(1-IF(B534&gt;=in_marketplace_from,d_hz_hlth_family*G534,0))</f>
        <v/>
      </c>
      <c r="AI535" s="46">
        <f>AH535*IF(B535&gt;=in_marketplace_from,d_hz_hlth_family*G535,0)</f>
        <v/>
      </c>
      <c r="AJ535" s="14">
        <f>F535*AI535*in_hlth_family_ticket*in_hlth_family_comm*in_ins_partner_share+F535*in_hlth_family_ticket*in_hlth_family_renew_comm*in_ins_partner_share*(in_hlth_family_renew^1*SUMIFS(AI506:AI556,B506:B556,B535-12)+in_hlth_family_renew^2*SUMIFS(AI506:AI556,B506:B556,B535-24)+in_hlth_family_renew^3*SUMIFS(AI506:AI556,B506:B556,B535-36)+in_hlth_family_renew^4*SUMIFS(AI506:AI556,B506:B556,B535-48))</f>
        <v/>
      </c>
      <c r="AK535" s="40">
        <f>AK534*(1-IF(B534&gt;=in_marketplace_from,d_hz_life_term*G534,0))</f>
        <v/>
      </c>
      <c r="AL535" s="46">
        <f>AK535*IF(B535&gt;=in_marketplace_from,d_hz_life_term*G535,0)</f>
        <v/>
      </c>
      <c r="AM535" s="14">
        <f>F535*AL535*in_life_term_ticket*in_life_term_comm*in_ins_partner_share+F535*in_life_term_ticket*in_life_term_renew_comm*in_ins_partner_share*(in_life_term_renew^1*SUMIFS(AL506:AL556,B506:B556,B535-12)+in_life_term_renew^2*SUMIFS(AL506:AL556,B506:B556,B535-24)+in_life_term_renew^3*SUMIFS(AL506:AL556,B506:B556,B535-36)+in_life_term_renew^4*SUMIFS(AL506:AL556,B506:B556,B535-48))</f>
        <v/>
      </c>
      <c r="AN535" s="40">
        <f>AN534*(1-IF(B534&gt;=in_marketplace_from,d_hz_accident*G534,0))</f>
        <v/>
      </c>
      <c r="AO535" s="46">
        <f>AN535*IF(B535&gt;=in_marketplace_from,d_hz_accident*G535,0)</f>
        <v/>
      </c>
      <c r="AP535" s="14">
        <f>F535*AO535*in_accident_ticket*in_accident_comm*in_ins_partner_share+F535*in_accident_ticket*in_accident_renew_comm*in_ins_partner_share*(in_accident_renew^1*SUMIFS(AO506:AO556,B506:B556,B535-12)+in_accident_renew^2*SUMIFS(AO506:AO556,B506:B556,B535-24)+in_accident_renew^3*SUMIFS(AO506:AO556,B506:B556,B535-36)+in_accident_renew^4*SUMIFS(AO506:AO556,B506:B556,B535-48))</f>
        <v/>
      </c>
      <c r="AQ535" s="40">
        <f>AQ534*(1-IF(B534&gt;=in_marketplace_from,d_hz_two_wheeler*G534,0))</f>
        <v/>
      </c>
      <c r="AR535" s="46">
        <f>AQ535*IF(B535&gt;=in_marketplace_from,d_hz_two_wheeler*G535,0)</f>
        <v/>
      </c>
      <c r="AS535" s="14">
        <f>F535*AR535*in_two_wheeler_ticket*in_two_wheeler_comm*in_ins_partner_share+F535*in_two_wheeler_ticket*in_two_wheeler_comm*in_ins_partner_share*(in_two_wheeler_renew^1*SUMIFS(AR506:AR556,B506:B556,B535-12)+in_two_wheeler_renew^2*SUMIFS(AR506:AR556,B506:B556,B535-24)+in_two_wheeler_renew^3*SUMIFS(AR506:AR556,B506:B556,B535-36)+in_two_wheeler_renew^4*SUMIFS(AR506:AR556,B506:B556,B535-48))</f>
        <v/>
      </c>
      <c r="AT535" s="40">
        <f>AT534*(1-IF(B534&gt;=in_marketplace_from,d_hz_device*G534,0))</f>
        <v/>
      </c>
      <c r="AU535" s="14">
        <f>F535*AT535*IF(B535&gt;=in_marketplace_from,d_hz_device*G535,0)*in_device_ticket*in_device_comm*in_ins_partner_share</f>
        <v/>
      </c>
      <c r="AV535" s="40">
        <f>AV534*(1-IF(B534&gt;=in_marketplace_from,d_hz_shop*G534,0))</f>
        <v/>
      </c>
      <c r="AW535" s="46">
        <f>AV535*IF(B535&gt;=in_marketplace_from,d_hz_shop*G535,0)</f>
        <v/>
      </c>
      <c r="AX535" s="14">
        <f>F535*AW535*in_shop_ticket*in_shop_comm*in_ins_partner_share+F535*in_shop_ticket*in_shop_renew_comm*in_ins_partner_share*(in_shop_renew^1*SUMIFS(AW506:AW556,B506:B556,B535-12)+in_shop_renew^2*SUMIFS(AW506:AW556,B506:B556,B535-24)+in_shop_renew^3*SUMIFS(AW506:AW556,B506:B556,B535-36)+in_shop_renew^4*SUMIFS(AW506:AW556,B506:B556,B535-48))</f>
        <v/>
      </c>
      <c r="AY535" s="40">
        <f>AY534*(1-IF(B534&gt;=in_marketplace_from,d_hz_sip*G534,0))</f>
        <v/>
      </c>
      <c r="AZ535" s="40">
        <f>AZ534*d_rho_sip+AY535*IF(B535&gt;=in_marketplace_from,d_hz_sip*G535,0)</f>
        <v/>
      </c>
      <c r="BA535" s="40">
        <f>d_rho_sip*(BA534+AZ534)</f>
        <v/>
      </c>
      <c r="BB535" s="14">
        <f>F535*in_sip_ticket*(BA535+0.5*AZ535)*in_sip_comm/12</f>
        <v/>
      </c>
      <c r="BC535" s="40">
        <f>BC534*(1-IF(B534&gt;=in_marketplace_from,d_hz_choti*G534,0))</f>
        <v/>
      </c>
      <c r="BD535" s="46">
        <f>BC535*IF(B535&gt;=in_marketplace_from,d_hz_choti*G535,0)</f>
        <v/>
      </c>
      <c r="BE535" s="14">
        <f>F535*SUMIFS(BD506:BD556,B506:B556,B535-in_choti_months)*in_choti_renew*in_choti_ticket</f>
        <v/>
      </c>
      <c r="BF535" s="40">
        <f>BF534*(1-IF(B534&gt;=in_marketplace_from,d_hz_nps*G534,0))</f>
        <v/>
      </c>
      <c r="BG535" s="14">
        <f>F535*BF535*IF(B535&gt;=in_marketplace_from,d_hz_nps*G535,0)*in_nps_ticket*in_nps_comm</f>
        <v/>
      </c>
      <c r="BH535" s="40">
        <f>BH534*(1-IF(B534&gt;=in_marketplace_from,d_hz_gold*G534,0))</f>
        <v/>
      </c>
      <c r="BI535" s="40">
        <f>BI534*d_rho_gold+BH535*IF(B535&gt;=in_marketplace_from,d_hz_gold*G535,0)</f>
        <v/>
      </c>
      <c r="BJ535" s="14">
        <f>F535*BI535*in_gold_ticket*in_gold_comm</f>
        <v/>
      </c>
      <c r="BK535" s="40">
        <f>BK534*(1-IF(B534&gt;=in_marketplace_from,d_hz_fd*G534,0))</f>
        <v/>
      </c>
      <c r="BL535" s="14">
        <f>F535*BK535*IF(B535&gt;=in_marketplace_from,d_hz_fd*G535,0)*in_fd_ticket*in_fd_comm</f>
        <v/>
      </c>
      <c r="BM535" s="40">
        <f>BM534*(1-IF(B534&gt;=in_marketplace_from,d_hz_recharge*G534,0))</f>
        <v/>
      </c>
      <c r="BN535" s="40">
        <f>BN534*d_rho_recharge+BM535*IF(B535&gt;=in_marketplace_from,d_hz_recharge*G535,0)</f>
        <v/>
      </c>
      <c r="BO535" s="14">
        <f>F535*BN535*in_recharge_ticket*in_recharge_comm/12</f>
        <v/>
      </c>
      <c r="BP535" s="40">
        <f>BP534*(1-IF(B534&gt;=in_marketplace_from,d_hz_bills*G534,0))</f>
        <v/>
      </c>
      <c r="BQ535" s="40">
        <f>BQ534*d_rho_bills+BP535*IF(B535&gt;=in_marketplace_from,d_hz_bills*G535,0)</f>
        <v/>
      </c>
      <c r="BR535" s="14">
        <f>F535*BQ535*in_bills_ticket*in_bills_comm/12</f>
        <v/>
      </c>
      <c r="BS535" s="40">
        <f>BS534*(1-IF(B534&gt;=in_marketplace_from,d_hz_loan_gold*G534,0))</f>
        <v/>
      </c>
      <c r="BT535" s="14">
        <f>F535*BS535*IF(B535&gt;=in_marketplace_from,d_hz_loan_gold*G535,0)*in_loan_gold_ticket*in_loan_gold_comm</f>
        <v/>
      </c>
      <c r="BU535" s="40">
        <f>BU534*(1-IF(B534&gt;=in_marketplace_from,d_hz_loan_cd*G534,0))</f>
        <v/>
      </c>
      <c r="BV535" s="14">
        <f>F535*BU535*IF(B535&gt;=in_marketplace_from,d_hz_loan_cd*G535,0)*in_loan_cd_ticket*in_loan_cd_comm</f>
        <v/>
      </c>
      <c r="BW535" s="40">
        <f>BW534*(1-IF(B534&gt;=in_marketplace_from,d_hz_loan_vehicle*G534,0))</f>
        <v/>
      </c>
      <c r="BX535" s="14">
        <f>F535*BW535*IF(B535&gt;=in_marketplace_from,d_hz_loan_vehicle*G535,0)*in_loan_vehicle_ticket*in_loan_vehicle_comm</f>
        <v/>
      </c>
      <c r="BY535" s="40">
        <f>BY534*(1-IF(B534&gt;=in_marketplace_from,d_hz_loan_home*G534,0)*BZ534)</f>
        <v/>
      </c>
      <c r="BZ535" s="11">
        <f>MIN(in_approval_cap,in_loan_home_approval*INDEX('Age profile'!$O$2:$O$61,B535)*(1+in_approval_growth)^(D535-1))</f>
        <v/>
      </c>
      <c r="CA535" s="14">
        <f>F535*BY535*IF(B535&gt;=in_marketplace_from,d_hz_loan_home*G535,0)*BZ535*in_loan_home_ticket*in_loan_home_comm</f>
        <v/>
      </c>
      <c r="CB535" s="40">
        <f>CB534*(1-IF(B534&gt;=in_marketplace_from,d_hz_loan_lap*G534,0)*CC534)</f>
        <v/>
      </c>
      <c r="CC535" s="11">
        <f>MIN(in_approval_cap,in_loan_lap_approval*INDEX('Age profile'!$O$2:$O$61,B535)*(1+in_approval_growth)^(D535-1))</f>
        <v/>
      </c>
      <c r="CD535" s="14">
        <f>F535*CB535*IF(B535&gt;=in_marketplace_from,d_hz_loan_lap*G535,0)*CC535*in_loan_lap_ticket*in_loan_lap_comm</f>
        <v/>
      </c>
      <c r="CE535" s="14">
        <f>AA535+AB535+AC535+AD535+AG535+AJ535+AM535+AP535+AS535+AU535+AX535+BB535+BE535+BG535+BJ535+BL535+BO535+BR535+BT535+BV535+BX535+CA535+CD535</f>
        <v/>
      </c>
    </row>
    <row r="536">
      <c r="A536" s="39" t="n">
        <v>10</v>
      </c>
      <c r="B536" s="39" t="n">
        <v>31</v>
      </c>
      <c r="C536" s="39">
        <f>A536+B536-1</f>
        <v/>
      </c>
      <c r="D536" s="39">
        <f>INT((C536-1)/12)+1</f>
        <v/>
      </c>
      <c r="E536" s="44">
        <f>INDEX(Monthly!$B$2:$B$61,A536)</f>
        <v/>
      </c>
      <c r="F536" s="44">
        <f>E536*INDEX('Age profile'!$B$2:$B$61,B536)</f>
        <v/>
      </c>
      <c r="G536" s="45">
        <f>MIN(in_takeup_cap,INDEX('Age profile'!$N$2:$N$61,B536)*(1+in_takeup_growth)^(D536-1))</f>
        <v/>
      </c>
      <c r="H536" s="11">
        <f>MIN(in_approval_cap,in_approved_first*INDEX('Age profile'!$O$2:$O$61,B536)*(1+in_approval_growth)^(D536-1))</f>
        <v/>
      </c>
      <c r="I536" s="45">
        <f>G536*MIN(in_takeup_cap,INDEX('Age profile'!$O$2:$O$61,B536)*(1+in_approval_growth)^(D536-1))</f>
        <v/>
      </c>
      <c r="J536" s="40">
        <f>(J535-L535)*F536/F535</f>
        <v/>
      </c>
      <c r="K536" s="40">
        <f>(K535-M535)*F536/F535+SUMIFS(O506:O535,B506:B535,B536-1-d_T)*F536</f>
        <v/>
      </c>
      <c r="L536" s="40">
        <f>IF(B536&gt;=in_marketplace_from,J536*d_hz*G536*in_eligible*H536,0)</f>
        <v/>
      </c>
      <c r="M536" s="40">
        <f>IF(B536&gt;=in_marketplace_from,K536*d_hz*G536*in_eligible*in_approved_repeat,0)</f>
        <v/>
      </c>
      <c r="N536" s="40">
        <f>L536+M536</f>
        <v/>
      </c>
      <c r="O536" s="46">
        <f>N536/F536</f>
        <v/>
      </c>
      <c r="P536" s="40">
        <f>F536-J536-K536</f>
        <v/>
      </c>
      <c r="Q536" s="40">
        <f>IF(B536&gt;=in_marketplace_from,(J536+K536)*d_hz*G536,0)</f>
        <v/>
      </c>
      <c r="R536" s="40">
        <f>SUMIFS(N506:N556,B506:B556,"&gt;="&amp;(B536-d_T),B506:B556,"&lt;="&amp;(B536-1))</f>
        <v/>
      </c>
      <c r="S536" s="46">
        <f>(1-d_u)*S535+IF(d_T&gt;in_topup_lag,SUMIFS(O506:O556,B506:B556,B536-in_topup_lag)-d_udrop*SUMIFS(O506:O556,B506:B556,B536-d_T),0)</f>
        <v/>
      </c>
      <c r="T536" s="40">
        <f>F536*d_u*S536</f>
        <v/>
      </c>
      <c r="U536" s="9">
        <f>L536*in_ticket+M536*d_rep_ticket</f>
        <v/>
      </c>
      <c r="V536" s="9">
        <f>U536+T536*d_topup_amt</f>
        <v/>
      </c>
      <c r="W536" s="40">
        <f>N536+T536*d_topup_ratio</f>
        <v/>
      </c>
      <c r="X536" s="40">
        <f>SUMIFS(W506:W556,B506:B556,B536-in_dpd_lag)*d_cured</f>
        <v/>
      </c>
      <c r="Y536" s="40">
        <f>SUMIFS(W506:W556,B506:B556,B536-in_rec_lag)*d_recd</f>
        <v/>
      </c>
      <c r="Z536" s="40">
        <f>IF(AND(B536&gt;=in_marketplace_from,B536&lt;in_marketplace_from+in_card_months),in_card_share/in_card_months*F536*I536,IF(AND(B536&gt;=in_marketplace_from+in_card_months,B536&lt;in_marketplace_from+2*in_card_months),in_card_share*d_card_rem/in_card_months*F536*MIN(in_takeup_cap,(1+in_takeup_growth)^(D536-1))*MIN(in_takeup_cap,(1+in_approval_growth)^(D536-1)),0))</f>
        <v/>
      </c>
      <c r="AA536" s="14">
        <f>V536*in_fee*(1-in_taken_back)</f>
        <v/>
      </c>
      <c r="AB536" s="14">
        <f>SUMIFS(W506:W556,B506:B556,B536-in_dpd_lag)*d_dpd</f>
        <v/>
      </c>
      <c r="AC536" s="14">
        <f>SUMIFS(W506:W556,B506:B556,B536-in_rec_lag)*d_rec</f>
        <v/>
      </c>
      <c r="AD536" s="14">
        <f>Z536*in_card_fee</f>
        <v/>
      </c>
      <c r="AE536" s="40">
        <f>AE535*(1-IF(B535&gt;=in_marketplace_from,d_hz_hlth_small*G535,0))</f>
        <v/>
      </c>
      <c r="AF536" s="46">
        <f>AE536*IF(B536&gt;=in_marketplace_from,d_hz_hlth_small*G536,0)</f>
        <v/>
      </c>
      <c r="AG536" s="14">
        <f>F536*AF536*in_hlth_small_ticket*in_hlth_small_comm*in_ins_partner_share+F536*in_hlth_small_ticket*in_hlth_small_renew_comm*in_ins_partner_share*(in_hlth_small_renew^1*SUMIFS(AF506:AF556,B506:B556,B536-12)+in_hlth_small_renew^2*SUMIFS(AF506:AF556,B506:B556,B536-24)+in_hlth_small_renew^3*SUMIFS(AF506:AF556,B506:B556,B536-36)+in_hlth_small_renew^4*SUMIFS(AF506:AF556,B506:B556,B536-48))</f>
        <v/>
      </c>
      <c r="AH536" s="40">
        <f>AH535*(1-IF(B535&gt;=in_marketplace_from,d_hz_hlth_family*G535,0))</f>
        <v/>
      </c>
      <c r="AI536" s="46">
        <f>AH536*IF(B536&gt;=in_marketplace_from,d_hz_hlth_family*G536,0)</f>
        <v/>
      </c>
      <c r="AJ536" s="14">
        <f>F536*AI536*in_hlth_family_ticket*in_hlth_family_comm*in_ins_partner_share+F536*in_hlth_family_ticket*in_hlth_family_renew_comm*in_ins_partner_share*(in_hlth_family_renew^1*SUMIFS(AI506:AI556,B506:B556,B536-12)+in_hlth_family_renew^2*SUMIFS(AI506:AI556,B506:B556,B536-24)+in_hlth_family_renew^3*SUMIFS(AI506:AI556,B506:B556,B536-36)+in_hlth_family_renew^4*SUMIFS(AI506:AI556,B506:B556,B536-48))</f>
        <v/>
      </c>
      <c r="AK536" s="40">
        <f>AK535*(1-IF(B535&gt;=in_marketplace_from,d_hz_life_term*G535,0))</f>
        <v/>
      </c>
      <c r="AL536" s="46">
        <f>AK536*IF(B536&gt;=in_marketplace_from,d_hz_life_term*G536,0)</f>
        <v/>
      </c>
      <c r="AM536" s="14">
        <f>F536*AL536*in_life_term_ticket*in_life_term_comm*in_ins_partner_share+F536*in_life_term_ticket*in_life_term_renew_comm*in_ins_partner_share*(in_life_term_renew^1*SUMIFS(AL506:AL556,B506:B556,B536-12)+in_life_term_renew^2*SUMIFS(AL506:AL556,B506:B556,B536-24)+in_life_term_renew^3*SUMIFS(AL506:AL556,B506:B556,B536-36)+in_life_term_renew^4*SUMIFS(AL506:AL556,B506:B556,B536-48))</f>
        <v/>
      </c>
      <c r="AN536" s="40">
        <f>AN535*(1-IF(B535&gt;=in_marketplace_from,d_hz_accident*G535,0))</f>
        <v/>
      </c>
      <c r="AO536" s="46">
        <f>AN536*IF(B536&gt;=in_marketplace_from,d_hz_accident*G536,0)</f>
        <v/>
      </c>
      <c r="AP536" s="14">
        <f>F536*AO536*in_accident_ticket*in_accident_comm*in_ins_partner_share+F536*in_accident_ticket*in_accident_renew_comm*in_ins_partner_share*(in_accident_renew^1*SUMIFS(AO506:AO556,B506:B556,B536-12)+in_accident_renew^2*SUMIFS(AO506:AO556,B506:B556,B536-24)+in_accident_renew^3*SUMIFS(AO506:AO556,B506:B556,B536-36)+in_accident_renew^4*SUMIFS(AO506:AO556,B506:B556,B536-48))</f>
        <v/>
      </c>
      <c r="AQ536" s="40">
        <f>AQ535*(1-IF(B535&gt;=in_marketplace_from,d_hz_two_wheeler*G535,0))</f>
        <v/>
      </c>
      <c r="AR536" s="46">
        <f>AQ536*IF(B536&gt;=in_marketplace_from,d_hz_two_wheeler*G536,0)</f>
        <v/>
      </c>
      <c r="AS536" s="14">
        <f>F536*AR536*in_two_wheeler_ticket*in_two_wheeler_comm*in_ins_partner_share+F536*in_two_wheeler_ticket*in_two_wheeler_comm*in_ins_partner_share*(in_two_wheeler_renew^1*SUMIFS(AR506:AR556,B506:B556,B536-12)+in_two_wheeler_renew^2*SUMIFS(AR506:AR556,B506:B556,B536-24)+in_two_wheeler_renew^3*SUMIFS(AR506:AR556,B506:B556,B536-36)+in_two_wheeler_renew^4*SUMIFS(AR506:AR556,B506:B556,B536-48))</f>
        <v/>
      </c>
      <c r="AT536" s="40">
        <f>AT535*(1-IF(B535&gt;=in_marketplace_from,d_hz_device*G535,0))</f>
        <v/>
      </c>
      <c r="AU536" s="14">
        <f>F536*AT536*IF(B536&gt;=in_marketplace_from,d_hz_device*G536,0)*in_device_ticket*in_device_comm*in_ins_partner_share</f>
        <v/>
      </c>
      <c r="AV536" s="40">
        <f>AV535*(1-IF(B535&gt;=in_marketplace_from,d_hz_shop*G535,0))</f>
        <v/>
      </c>
      <c r="AW536" s="46">
        <f>AV536*IF(B536&gt;=in_marketplace_from,d_hz_shop*G536,0)</f>
        <v/>
      </c>
      <c r="AX536" s="14">
        <f>F536*AW536*in_shop_ticket*in_shop_comm*in_ins_partner_share+F536*in_shop_ticket*in_shop_renew_comm*in_ins_partner_share*(in_shop_renew^1*SUMIFS(AW506:AW556,B506:B556,B536-12)+in_shop_renew^2*SUMIFS(AW506:AW556,B506:B556,B536-24)+in_shop_renew^3*SUMIFS(AW506:AW556,B506:B556,B536-36)+in_shop_renew^4*SUMIFS(AW506:AW556,B506:B556,B536-48))</f>
        <v/>
      </c>
      <c r="AY536" s="40">
        <f>AY535*(1-IF(B535&gt;=in_marketplace_from,d_hz_sip*G535,0))</f>
        <v/>
      </c>
      <c r="AZ536" s="40">
        <f>AZ535*d_rho_sip+AY536*IF(B536&gt;=in_marketplace_from,d_hz_sip*G536,0)</f>
        <v/>
      </c>
      <c r="BA536" s="40">
        <f>d_rho_sip*(BA535+AZ535)</f>
        <v/>
      </c>
      <c r="BB536" s="14">
        <f>F536*in_sip_ticket*(BA536+0.5*AZ536)*in_sip_comm/12</f>
        <v/>
      </c>
      <c r="BC536" s="40">
        <f>BC535*(1-IF(B535&gt;=in_marketplace_from,d_hz_choti*G535,0))</f>
        <v/>
      </c>
      <c r="BD536" s="46">
        <f>BC536*IF(B536&gt;=in_marketplace_from,d_hz_choti*G536,0)</f>
        <v/>
      </c>
      <c r="BE536" s="14">
        <f>F536*SUMIFS(BD506:BD556,B506:B556,B536-in_choti_months)*in_choti_renew*in_choti_ticket</f>
        <v/>
      </c>
      <c r="BF536" s="40">
        <f>BF535*(1-IF(B535&gt;=in_marketplace_from,d_hz_nps*G535,0))</f>
        <v/>
      </c>
      <c r="BG536" s="14">
        <f>F536*BF536*IF(B536&gt;=in_marketplace_from,d_hz_nps*G536,0)*in_nps_ticket*in_nps_comm</f>
        <v/>
      </c>
      <c r="BH536" s="40">
        <f>BH535*(1-IF(B535&gt;=in_marketplace_from,d_hz_gold*G535,0))</f>
        <v/>
      </c>
      <c r="BI536" s="40">
        <f>BI535*d_rho_gold+BH536*IF(B536&gt;=in_marketplace_from,d_hz_gold*G536,0)</f>
        <v/>
      </c>
      <c r="BJ536" s="14">
        <f>F536*BI536*in_gold_ticket*in_gold_comm</f>
        <v/>
      </c>
      <c r="BK536" s="40">
        <f>BK535*(1-IF(B535&gt;=in_marketplace_from,d_hz_fd*G535,0))</f>
        <v/>
      </c>
      <c r="BL536" s="14">
        <f>F536*BK536*IF(B536&gt;=in_marketplace_from,d_hz_fd*G536,0)*in_fd_ticket*in_fd_comm</f>
        <v/>
      </c>
      <c r="BM536" s="40">
        <f>BM535*(1-IF(B535&gt;=in_marketplace_from,d_hz_recharge*G535,0))</f>
        <v/>
      </c>
      <c r="BN536" s="40">
        <f>BN535*d_rho_recharge+BM536*IF(B536&gt;=in_marketplace_from,d_hz_recharge*G536,0)</f>
        <v/>
      </c>
      <c r="BO536" s="14">
        <f>F536*BN536*in_recharge_ticket*in_recharge_comm/12</f>
        <v/>
      </c>
      <c r="BP536" s="40">
        <f>BP535*(1-IF(B535&gt;=in_marketplace_from,d_hz_bills*G535,0))</f>
        <v/>
      </c>
      <c r="BQ536" s="40">
        <f>BQ535*d_rho_bills+BP536*IF(B536&gt;=in_marketplace_from,d_hz_bills*G536,0)</f>
        <v/>
      </c>
      <c r="BR536" s="14">
        <f>F536*BQ536*in_bills_ticket*in_bills_comm/12</f>
        <v/>
      </c>
      <c r="BS536" s="40">
        <f>BS535*(1-IF(B535&gt;=in_marketplace_from,d_hz_loan_gold*G535,0))</f>
        <v/>
      </c>
      <c r="BT536" s="14">
        <f>F536*BS536*IF(B536&gt;=in_marketplace_from,d_hz_loan_gold*G536,0)*in_loan_gold_ticket*in_loan_gold_comm</f>
        <v/>
      </c>
      <c r="BU536" s="40">
        <f>BU535*(1-IF(B535&gt;=in_marketplace_from,d_hz_loan_cd*G535,0))</f>
        <v/>
      </c>
      <c r="BV536" s="14">
        <f>F536*BU536*IF(B536&gt;=in_marketplace_from,d_hz_loan_cd*G536,0)*in_loan_cd_ticket*in_loan_cd_comm</f>
        <v/>
      </c>
      <c r="BW536" s="40">
        <f>BW535*(1-IF(B535&gt;=in_marketplace_from,d_hz_loan_vehicle*G535,0))</f>
        <v/>
      </c>
      <c r="BX536" s="14">
        <f>F536*BW536*IF(B536&gt;=in_marketplace_from,d_hz_loan_vehicle*G536,0)*in_loan_vehicle_ticket*in_loan_vehicle_comm</f>
        <v/>
      </c>
      <c r="BY536" s="40">
        <f>BY535*(1-IF(B535&gt;=in_marketplace_from,d_hz_loan_home*G535,0)*BZ535)</f>
        <v/>
      </c>
      <c r="BZ536" s="11">
        <f>MIN(in_approval_cap,in_loan_home_approval*INDEX('Age profile'!$O$2:$O$61,B536)*(1+in_approval_growth)^(D536-1))</f>
        <v/>
      </c>
      <c r="CA536" s="14">
        <f>F536*BY536*IF(B536&gt;=in_marketplace_from,d_hz_loan_home*G536,0)*BZ536*in_loan_home_ticket*in_loan_home_comm</f>
        <v/>
      </c>
      <c r="CB536" s="40">
        <f>CB535*(1-IF(B535&gt;=in_marketplace_from,d_hz_loan_lap*G535,0)*CC535)</f>
        <v/>
      </c>
      <c r="CC536" s="11">
        <f>MIN(in_approval_cap,in_loan_lap_approval*INDEX('Age profile'!$O$2:$O$61,B536)*(1+in_approval_growth)^(D536-1))</f>
        <v/>
      </c>
      <c r="CD536" s="14">
        <f>F536*CB536*IF(B536&gt;=in_marketplace_from,d_hz_loan_lap*G536,0)*CC536*in_loan_lap_ticket*in_loan_lap_comm</f>
        <v/>
      </c>
      <c r="CE536" s="14">
        <f>AA536+AB536+AC536+AD536+AG536+AJ536+AM536+AP536+AS536+AU536+AX536+BB536+BE536+BG536+BJ536+BL536+BO536+BR536+BT536+BV536+BX536+CA536+CD536</f>
        <v/>
      </c>
    </row>
    <row r="537">
      <c r="A537" s="39" t="n">
        <v>10</v>
      </c>
      <c r="B537" s="39" t="n">
        <v>32</v>
      </c>
      <c r="C537" s="39">
        <f>A537+B537-1</f>
        <v/>
      </c>
      <c r="D537" s="39">
        <f>INT((C537-1)/12)+1</f>
        <v/>
      </c>
      <c r="E537" s="44">
        <f>INDEX(Monthly!$B$2:$B$61,A537)</f>
        <v/>
      </c>
      <c r="F537" s="44">
        <f>E537*INDEX('Age profile'!$B$2:$B$61,B537)</f>
        <v/>
      </c>
      <c r="G537" s="45">
        <f>MIN(in_takeup_cap,INDEX('Age profile'!$N$2:$N$61,B537)*(1+in_takeup_growth)^(D537-1))</f>
        <v/>
      </c>
      <c r="H537" s="11">
        <f>MIN(in_approval_cap,in_approved_first*INDEX('Age profile'!$O$2:$O$61,B537)*(1+in_approval_growth)^(D537-1))</f>
        <v/>
      </c>
      <c r="I537" s="45">
        <f>G537*MIN(in_takeup_cap,INDEX('Age profile'!$O$2:$O$61,B537)*(1+in_approval_growth)^(D537-1))</f>
        <v/>
      </c>
      <c r="J537" s="40">
        <f>(J536-L536)*F537/F536</f>
        <v/>
      </c>
      <c r="K537" s="40">
        <f>(K536-M536)*F537/F536+SUMIFS(O506:O536,B506:B536,B537-1-d_T)*F537</f>
        <v/>
      </c>
      <c r="L537" s="40">
        <f>IF(B537&gt;=in_marketplace_from,J537*d_hz*G537*in_eligible*H537,0)</f>
        <v/>
      </c>
      <c r="M537" s="40">
        <f>IF(B537&gt;=in_marketplace_from,K537*d_hz*G537*in_eligible*in_approved_repeat,0)</f>
        <v/>
      </c>
      <c r="N537" s="40">
        <f>L537+M537</f>
        <v/>
      </c>
      <c r="O537" s="46">
        <f>N537/F537</f>
        <v/>
      </c>
      <c r="P537" s="40">
        <f>F537-J537-K537</f>
        <v/>
      </c>
      <c r="Q537" s="40">
        <f>IF(B537&gt;=in_marketplace_from,(J537+K537)*d_hz*G537,0)</f>
        <v/>
      </c>
      <c r="R537" s="40">
        <f>SUMIFS(N506:N556,B506:B556,"&gt;="&amp;(B537-d_T),B506:B556,"&lt;="&amp;(B537-1))</f>
        <v/>
      </c>
      <c r="S537" s="46">
        <f>(1-d_u)*S536+IF(d_T&gt;in_topup_lag,SUMIFS(O506:O556,B506:B556,B537-in_topup_lag)-d_udrop*SUMIFS(O506:O556,B506:B556,B537-d_T),0)</f>
        <v/>
      </c>
      <c r="T537" s="40">
        <f>F537*d_u*S537</f>
        <v/>
      </c>
      <c r="U537" s="9">
        <f>L537*in_ticket+M537*d_rep_ticket</f>
        <v/>
      </c>
      <c r="V537" s="9">
        <f>U537+T537*d_topup_amt</f>
        <v/>
      </c>
      <c r="W537" s="40">
        <f>N537+T537*d_topup_ratio</f>
        <v/>
      </c>
      <c r="X537" s="40">
        <f>SUMIFS(W506:W556,B506:B556,B537-in_dpd_lag)*d_cured</f>
        <v/>
      </c>
      <c r="Y537" s="40">
        <f>SUMIFS(W506:W556,B506:B556,B537-in_rec_lag)*d_recd</f>
        <v/>
      </c>
      <c r="Z537" s="40">
        <f>IF(AND(B537&gt;=in_marketplace_from,B537&lt;in_marketplace_from+in_card_months),in_card_share/in_card_months*F537*I537,IF(AND(B537&gt;=in_marketplace_from+in_card_months,B537&lt;in_marketplace_from+2*in_card_months),in_card_share*d_card_rem/in_card_months*F537*MIN(in_takeup_cap,(1+in_takeup_growth)^(D537-1))*MIN(in_takeup_cap,(1+in_approval_growth)^(D537-1)),0))</f>
        <v/>
      </c>
      <c r="AA537" s="14">
        <f>V537*in_fee*(1-in_taken_back)</f>
        <v/>
      </c>
      <c r="AB537" s="14">
        <f>SUMIFS(W506:W556,B506:B556,B537-in_dpd_lag)*d_dpd</f>
        <v/>
      </c>
      <c r="AC537" s="14">
        <f>SUMIFS(W506:W556,B506:B556,B537-in_rec_lag)*d_rec</f>
        <v/>
      </c>
      <c r="AD537" s="14">
        <f>Z537*in_card_fee</f>
        <v/>
      </c>
      <c r="AE537" s="40">
        <f>AE536*(1-IF(B536&gt;=in_marketplace_from,d_hz_hlth_small*G536,0))</f>
        <v/>
      </c>
      <c r="AF537" s="46">
        <f>AE537*IF(B537&gt;=in_marketplace_from,d_hz_hlth_small*G537,0)</f>
        <v/>
      </c>
      <c r="AG537" s="14">
        <f>F537*AF537*in_hlth_small_ticket*in_hlth_small_comm*in_ins_partner_share+F537*in_hlth_small_ticket*in_hlth_small_renew_comm*in_ins_partner_share*(in_hlth_small_renew^1*SUMIFS(AF506:AF556,B506:B556,B537-12)+in_hlth_small_renew^2*SUMIFS(AF506:AF556,B506:B556,B537-24)+in_hlth_small_renew^3*SUMIFS(AF506:AF556,B506:B556,B537-36)+in_hlth_small_renew^4*SUMIFS(AF506:AF556,B506:B556,B537-48))</f>
        <v/>
      </c>
      <c r="AH537" s="40">
        <f>AH536*(1-IF(B536&gt;=in_marketplace_from,d_hz_hlth_family*G536,0))</f>
        <v/>
      </c>
      <c r="AI537" s="46">
        <f>AH537*IF(B537&gt;=in_marketplace_from,d_hz_hlth_family*G537,0)</f>
        <v/>
      </c>
      <c r="AJ537" s="14">
        <f>F537*AI537*in_hlth_family_ticket*in_hlth_family_comm*in_ins_partner_share+F537*in_hlth_family_ticket*in_hlth_family_renew_comm*in_ins_partner_share*(in_hlth_family_renew^1*SUMIFS(AI506:AI556,B506:B556,B537-12)+in_hlth_family_renew^2*SUMIFS(AI506:AI556,B506:B556,B537-24)+in_hlth_family_renew^3*SUMIFS(AI506:AI556,B506:B556,B537-36)+in_hlth_family_renew^4*SUMIFS(AI506:AI556,B506:B556,B537-48))</f>
        <v/>
      </c>
      <c r="AK537" s="40">
        <f>AK536*(1-IF(B536&gt;=in_marketplace_from,d_hz_life_term*G536,0))</f>
        <v/>
      </c>
      <c r="AL537" s="46">
        <f>AK537*IF(B537&gt;=in_marketplace_from,d_hz_life_term*G537,0)</f>
        <v/>
      </c>
      <c r="AM537" s="14">
        <f>F537*AL537*in_life_term_ticket*in_life_term_comm*in_ins_partner_share+F537*in_life_term_ticket*in_life_term_renew_comm*in_ins_partner_share*(in_life_term_renew^1*SUMIFS(AL506:AL556,B506:B556,B537-12)+in_life_term_renew^2*SUMIFS(AL506:AL556,B506:B556,B537-24)+in_life_term_renew^3*SUMIFS(AL506:AL556,B506:B556,B537-36)+in_life_term_renew^4*SUMIFS(AL506:AL556,B506:B556,B537-48))</f>
        <v/>
      </c>
      <c r="AN537" s="40">
        <f>AN536*(1-IF(B536&gt;=in_marketplace_from,d_hz_accident*G536,0))</f>
        <v/>
      </c>
      <c r="AO537" s="46">
        <f>AN537*IF(B537&gt;=in_marketplace_from,d_hz_accident*G537,0)</f>
        <v/>
      </c>
      <c r="AP537" s="14">
        <f>F537*AO537*in_accident_ticket*in_accident_comm*in_ins_partner_share+F537*in_accident_ticket*in_accident_renew_comm*in_ins_partner_share*(in_accident_renew^1*SUMIFS(AO506:AO556,B506:B556,B537-12)+in_accident_renew^2*SUMIFS(AO506:AO556,B506:B556,B537-24)+in_accident_renew^3*SUMIFS(AO506:AO556,B506:B556,B537-36)+in_accident_renew^4*SUMIFS(AO506:AO556,B506:B556,B537-48))</f>
        <v/>
      </c>
      <c r="AQ537" s="40">
        <f>AQ536*(1-IF(B536&gt;=in_marketplace_from,d_hz_two_wheeler*G536,0))</f>
        <v/>
      </c>
      <c r="AR537" s="46">
        <f>AQ537*IF(B537&gt;=in_marketplace_from,d_hz_two_wheeler*G537,0)</f>
        <v/>
      </c>
      <c r="AS537" s="14">
        <f>F537*AR537*in_two_wheeler_ticket*in_two_wheeler_comm*in_ins_partner_share+F537*in_two_wheeler_ticket*in_two_wheeler_comm*in_ins_partner_share*(in_two_wheeler_renew^1*SUMIFS(AR506:AR556,B506:B556,B537-12)+in_two_wheeler_renew^2*SUMIFS(AR506:AR556,B506:B556,B537-24)+in_two_wheeler_renew^3*SUMIFS(AR506:AR556,B506:B556,B537-36)+in_two_wheeler_renew^4*SUMIFS(AR506:AR556,B506:B556,B537-48))</f>
        <v/>
      </c>
      <c r="AT537" s="40">
        <f>AT536*(1-IF(B536&gt;=in_marketplace_from,d_hz_device*G536,0))</f>
        <v/>
      </c>
      <c r="AU537" s="14">
        <f>F537*AT537*IF(B537&gt;=in_marketplace_from,d_hz_device*G537,0)*in_device_ticket*in_device_comm*in_ins_partner_share</f>
        <v/>
      </c>
      <c r="AV537" s="40">
        <f>AV536*(1-IF(B536&gt;=in_marketplace_from,d_hz_shop*G536,0))</f>
        <v/>
      </c>
      <c r="AW537" s="46">
        <f>AV537*IF(B537&gt;=in_marketplace_from,d_hz_shop*G537,0)</f>
        <v/>
      </c>
      <c r="AX537" s="14">
        <f>F537*AW537*in_shop_ticket*in_shop_comm*in_ins_partner_share+F537*in_shop_ticket*in_shop_renew_comm*in_ins_partner_share*(in_shop_renew^1*SUMIFS(AW506:AW556,B506:B556,B537-12)+in_shop_renew^2*SUMIFS(AW506:AW556,B506:B556,B537-24)+in_shop_renew^3*SUMIFS(AW506:AW556,B506:B556,B537-36)+in_shop_renew^4*SUMIFS(AW506:AW556,B506:B556,B537-48))</f>
        <v/>
      </c>
      <c r="AY537" s="40">
        <f>AY536*(1-IF(B536&gt;=in_marketplace_from,d_hz_sip*G536,0))</f>
        <v/>
      </c>
      <c r="AZ537" s="40">
        <f>AZ536*d_rho_sip+AY537*IF(B537&gt;=in_marketplace_from,d_hz_sip*G537,0)</f>
        <v/>
      </c>
      <c r="BA537" s="40">
        <f>d_rho_sip*(BA536+AZ536)</f>
        <v/>
      </c>
      <c r="BB537" s="14">
        <f>F537*in_sip_ticket*(BA537+0.5*AZ537)*in_sip_comm/12</f>
        <v/>
      </c>
      <c r="BC537" s="40">
        <f>BC536*(1-IF(B536&gt;=in_marketplace_from,d_hz_choti*G536,0))</f>
        <v/>
      </c>
      <c r="BD537" s="46">
        <f>BC537*IF(B537&gt;=in_marketplace_from,d_hz_choti*G537,0)</f>
        <v/>
      </c>
      <c r="BE537" s="14">
        <f>F537*SUMIFS(BD506:BD556,B506:B556,B537-in_choti_months)*in_choti_renew*in_choti_ticket</f>
        <v/>
      </c>
      <c r="BF537" s="40">
        <f>BF536*(1-IF(B536&gt;=in_marketplace_from,d_hz_nps*G536,0))</f>
        <v/>
      </c>
      <c r="BG537" s="14">
        <f>F537*BF537*IF(B537&gt;=in_marketplace_from,d_hz_nps*G537,0)*in_nps_ticket*in_nps_comm</f>
        <v/>
      </c>
      <c r="BH537" s="40">
        <f>BH536*(1-IF(B536&gt;=in_marketplace_from,d_hz_gold*G536,0))</f>
        <v/>
      </c>
      <c r="BI537" s="40">
        <f>BI536*d_rho_gold+BH537*IF(B537&gt;=in_marketplace_from,d_hz_gold*G537,0)</f>
        <v/>
      </c>
      <c r="BJ537" s="14">
        <f>F537*BI537*in_gold_ticket*in_gold_comm</f>
        <v/>
      </c>
      <c r="BK537" s="40">
        <f>BK536*(1-IF(B536&gt;=in_marketplace_from,d_hz_fd*G536,0))</f>
        <v/>
      </c>
      <c r="BL537" s="14">
        <f>F537*BK537*IF(B537&gt;=in_marketplace_from,d_hz_fd*G537,0)*in_fd_ticket*in_fd_comm</f>
        <v/>
      </c>
      <c r="BM537" s="40">
        <f>BM536*(1-IF(B536&gt;=in_marketplace_from,d_hz_recharge*G536,0))</f>
        <v/>
      </c>
      <c r="BN537" s="40">
        <f>BN536*d_rho_recharge+BM537*IF(B537&gt;=in_marketplace_from,d_hz_recharge*G537,0)</f>
        <v/>
      </c>
      <c r="BO537" s="14">
        <f>F537*BN537*in_recharge_ticket*in_recharge_comm/12</f>
        <v/>
      </c>
      <c r="BP537" s="40">
        <f>BP536*(1-IF(B536&gt;=in_marketplace_from,d_hz_bills*G536,0))</f>
        <v/>
      </c>
      <c r="BQ537" s="40">
        <f>BQ536*d_rho_bills+BP537*IF(B537&gt;=in_marketplace_from,d_hz_bills*G537,0)</f>
        <v/>
      </c>
      <c r="BR537" s="14">
        <f>F537*BQ537*in_bills_ticket*in_bills_comm/12</f>
        <v/>
      </c>
      <c r="BS537" s="40">
        <f>BS536*(1-IF(B536&gt;=in_marketplace_from,d_hz_loan_gold*G536,0))</f>
        <v/>
      </c>
      <c r="BT537" s="14">
        <f>F537*BS537*IF(B537&gt;=in_marketplace_from,d_hz_loan_gold*G537,0)*in_loan_gold_ticket*in_loan_gold_comm</f>
        <v/>
      </c>
      <c r="BU537" s="40">
        <f>BU536*(1-IF(B536&gt;=in_marketplace_from,d_hz_loan_cd*G536,0))</f>
        <v/>
      </c>
      <c r="BV537" s="14">
        <f>F537*BU537*IF(B537&gt;=in_marketplace_from,d_hz_loan_cd*G537,0)*in_loan_cd_ticket*in_loan_cd_comm</f>
        <v/>
      </c>
      <c r="BW537" s="40">
        <f>BW536*(1-IF(B536&gt;=in_marketplace_from,d_hz_loan_vehicle*G536,0))</f>
        <v/>
      </c>
      <c r="BX537" s="14">
        <f>F537*BW537*IF(B537&gt;=in_marketplace_from,d_hz_loan_vehicle*G537,0)*in_loan_vehicle_ticket*in_loan_vehicle_comm</f>
        <v/>
      </c>
      <c r="BY537" s="40">
        <f>BY536*(1-IF(B536&gt;=in_marketplace_from,d_hz_loan_home*G536,0)*BZ536)</f>
        <v/>
      </c>
      <c r="BZ537" s="11">
        <f>MIN(in_approval_cap,in_loan_home_approval*INDEX('Age profile'!$O$2:$O$61,B537)*(1+in_approval_growth)^(D537-1))</f>
        <v/>
      </c>
      <c r="CA537" s="14">
        <f>F537*BY537*IF(B537&gt;=in_marketplace_from,d_hz_loan_home*G537,0)*BZ537*in_loan_home_ticket*in_loan_home_comm</f>
        <v/>
      </c>
      <c r="CB537" s="40">
        <f>CB536*(1-IF(B536&gt;=in_marketplace_from,d_hz_loan_lap*G536,0)*CC536)</f>
        <v/>
      </c>
      <c r="CC537" s="11">
        <f>MIN(in_approval_cap,in_loan_lap_approval*INDEX('Age profile'!$O$2:$O$61,B537)*(1+in_approval_growth)^(D537-1))</f>
        <v/>
      </c>
      <c r="CD537" s="14">
        <f>F537*CB537*IF(B537&gt;=in_marketplace_from,d_hz_loan_lap*G537,0)*CC537*in_loan_lap_ticket*in_loan_lap_comm</f>
        <v/>
      </c>
      <c r="CE537" s="14">
        <f>AA537+AB537+AC537+AD537+AG537+AJ537+AM537+AP537+AS537+AU537+AX537+BB537+BE537+BG537+BJ537+BL537+BO537+BR537+BT537+BV537+BX537+CA537+CD537</f>
        <v/>
      </c>
    </row>
    <row r="538">
      <c r="A538" s="39" t="n">
        <v>10</v>
      </c>
      <c r="B538" s="39" t="n">
        <v>33</v>
      </c>
      <c r="C538" s="39">
        <f>A538+B538-1</f>
        <v/>
      </c>
      <c r="D538" s="39">
        <f>INT((C538-1)/12)+1</f>
        <v/>
      </c>
      <c r="E538" s="44">
        <f>INDEX(Monthly!$B$2:$B$61,A538)</f>
        <v/>
      </c>
      <c r="F538" s="44">
        <f>E538*INDEX('Age profile'!$B$2:$B$61,B538)</f>
        <v/>
      </c>
      <c r="G538" s="45">
        <f>MIN(in_takeup_cap,INDEX('Age profile'!$N$2:$N$61,B538)*(1+in_takeup_growth)^(D538-1))</f>
        <v/>
      </c>
      <c r="H538" s="11">
        <f>MIN(in_approval_cap,in_approved_first*INDEX('Age profile'!$O$2:$O$61,B538)*(1+in_approval_growth)^(D538-1))</f>
        <v/>
      </c>
      <c r="I538" s="45">
        <f>G538*MIN(in_takeup_cap,INDEX('Age profile'!$O$2:$O$61,B538)*(1+in_approval_growth)^(D538-1))</f>
        <v/>
      </c>
      <c r="J538" s="40">
        <f>(J537-L537)*F538/F537</f>
        <v/>
      </c>
      <c r="K538" s="40">
        <f>(K537-M537)*F538/F537+SUMIFS(O506:O537,B506:B537,B538-1-d_T)*F538</f>
        <v/>
      </c>
      <c r="L538" s="40">
        <f>IF(B538&gt;=in_marketplace_from,J538*d_hz*G538*in_eligible*H538,0)</f>
        <v/>
      </c>
      <c r="M538" s="40">
        <f>IF(B538&gt;=in_marketplace_from,K538*d_hz*G538*in_eligible*in_approved_repeat,0)</f>
        <v/>
      </c>
      <c r="N538" s="40">
        <f>L538+M538</f>
        <v/>
      </c>
      <c r="O538" s="46">
        <f>N538/F538</f>
        <v/>
      </c>
      <c r="P538" s="40">
        <f>F538-J538-K538</f>
        <v/>
      </c>
      <c r="Q538" s="40">
        <f>IF(B538&gt;=in_marketplace_from,(J538+K538)*d_hz*G538,0)</f>
        <v/>
      </c>
      <c r="R538" s="40">
        <f>SUMIFS(N506:N556,B506:B556,"&gt;="&amp;(B538-d_T),B506:B556,"&lt;="&amp;(B538-1))</f>
        <v/>
      </c>
      <c r="S538" s="46">
        <f>(1-d_u)*S537+IF(d_T&gt;in_topup_lag,SUMIFS(O506:O556,B506:B556,B538-in_topup_lag)-d_udrop*SUMIFS(O506:O556,B506:B556,B538-d_T),0)</f>
        <v/>
      </c>
      <c r="T538" s="40">
        <f>F538*d_u*S538</f>
        <v/>
      </c>
      <c r="U538" s="9">
        <f>L538*in_ticket+M538*d_rep_ticket</f>
        <v/>
      </c>
      <c r="V538" s="9">
        <f>U538+T538*d_topup_amt</f>
        <v/>
      </c>
      <c r="W538" s="40">
        <f>N538+T538*d_topup_ratio</f>
        <v/>
      </c>
      <c r="X538" s="40">
        <f>SUMIFS(W506:W556,B506:B556,B538-in_dpd_lag)*d_cured</f>
        <v/>
      </c>
      <c r="Y538" s="40">
        <f>SUMIFS(W506:W556,B506:B556,B538-in_rec_lag)*d_recd</f>
        <v/>
      </c>
      <c r="Z538" s="40">
        <f>IF(AND(B538&gt;=in_marketplace_from,B538&lt;in_marketplace_from+in_card_months),in_card_share/in_card_months*F538*I538,IF(AND(B538&gt;=in_marketplace_from+in_card_months,B538&lt;in_marketplace_from+2*in_card_months),in_card_share*d_card_rem/in_card_months*F538*MIN(in_takeup_cap,(1+in_takeup_growth)^(D538-1))*MIN(in_takeup_cap,(1+in_approval_growth)^(D538-1)),0))</f>
        <v/>
      </c>
      <c r="AA538" s="14">
        <f>V538*in_fee*(1-in_taken_back)</f>
        <v/>
      </c>
      <c r="AB538" s="14">
        <f>SUMIFS(W506:W556,B506:B556,B538-in_dpd_lag)*d_dpd</f>
        <v/>
      </c>
      <c r="AC538" s="14">
        <f>SUMIFS(W506:W556,B506:B556,B538-in_rec_lag)*d_rec</f>
        <v/>
      </c>
      <c r="AD538" s="14">
        <f>Z538*in_card_fee</f>
        <v/>
      </c>
      <c r="AE538" s="40">
        <f>AE537*(1-IF(B537&gt;=in_marketplace_from,d_hz_hlth_small*G537,0))</f>
        <v/>
      </c>
      <c r="AF538" s="46">
        <f>AE538*IF(B538&gt;=in_marketplace_from,d_hz_hlth_small*G538,0)</f>
        <v/>
      </c>
      <c r="AG538" s="14">
        <f>F538*AF538*in_hlth_small_ticket*in_hlth_small_comm*in_ins_partner_share+F538*in_hlth_small_ticket*in_hlth_small_renew_comm*in_ins_partner_share*(in_hlth_small_renew^1*SUMIFS(AF506:AF556,B506:B556,B538-12)+in_hlth_small_renew^2*SUMIFS(AF506:AF556,B506:B556,B538-24)+in_hlth_small_renew^3*SUMIFS(AF506:AF556,B506:B556,B538-36)+in_hlth_small_renew^4*SUMIFS(AF506:AF556,B506:B556,B538-48))</f>
        <v/>
      </c>
      <c r="AH538" s="40">
        <f>AH537*(1-IF(B537&gt;=in_marketplace_from,d_hz_hlth_family*G537,0))</f>
        <v/>
      </c>
      <c r="AI538" s="46">
        <f>AH538*IF(B538&gt;=in_marketplace_from,d_hz_hlth_family*G538,0)</f>
        <v/>
      </c>
      <c r="AJ538" s="14">
        <f>F538*AI538*in_hlth_family_ticket*in_hlth_family_comm*in_ins_partner_share+F538*in_hlth_family_ticket*in_hlth_family_renew_comm*in_ins_partner_share*(in_hlth_family_renew^1*SUMIFS(AI506:AI556,B506:B556,B538-12)+in_hlth_family_renew^2*SUMIFS(AI506:AI556,B506:B556,B538-24)+in_hlth_family_renew^3*SUMIFS(AI506:AI556,B506:B556,B538-36)+in_hlth_family_renew^4*SUMIFS(AI506:AI556,B506:B556,B538-48))</f>
        <v/>
      </c>
      <c r="AK538" s="40">
        <f>AK537*(1-IF(B537&gt;=in_marketplace_from,d_hz_life_term*G537,0))</f>
        <v/>
      </c>
      <c r="AL538" s="46">
        <f>AK538*IF(B538&gt;=in_marketplace_from,d_hz_life_term*G538,0)</f>
        <v/>
      </c>
      <c r="AM538" s="14">
        <f>F538*AL538*in_life_term_ticket*in_life_term_comm*in_ins_partner_share+F538*in_life_term_ticket*in_life_term_renew_comm*in_ins_partner_share*(in_life_term_renew^1*SUMIFS(AL506:AL556,B506:B556,B538-12)+in_life_term_renew^2*SUMIFS(AL506:AL556,B506:B556,B538-24)+in_life_term_renew^3*SUMIFS(AL506:AL556,B506:B556,B538-36)+in_life_term_renew^4*SUMIFS(AL506:AL556,B506:B556,B538-48))</f>
        <v/>
      </c>
      <c r="AN538" s="40">
        <f>AN537*(1-IF(B537&gt;=in_marketplace_from,d_hz_accident*G537,0))</f>
        <v/>
      </c>
      <c r="AO538" s="46">
        <f>AN538*IF(B538&gt;=in_marketplace_from,d_hz_accident*G538,0)</f>
        <v/>
      </c>
      <c r="AP538" s="14">
        <f>F538*AO538*in_accident_ticket*in_accident_comm*in_ins_partner_share+F538*in_accident_ticket*in_accident_renew_comm*in_ins_partner_share*(in_accident_renew^1*SUMIFS(AO506:AO556,B506:B556,B538-12)+in_accident_renew^2*SUMIFS(AO506:AO556,B506:B556,B538-24)+in_accident_renew^3*SUMIFS(AO506:AO556,B506:B556,B538-36)+in_accident_renew^4*SUMIFS(AO506:AO556,B506:B556,B538-48))</f>
        <v/>
      </c>
      <c r="AQ538" s="40">
        <f>AQ537*(1-IF(B537&gt;=in_marketplace_from,d_hz_two_wheeler*G537,0))</f>
        <v/>
      </c>
      <c r="AR538" s="46">
        <f>AQ538*IF(B538&gt;=in_marketplace_from,d_hz_two_wheeler*G538,0)</f>
        <v/>
      </c>
      <c r="AS538" s="14">
        <f>F538*AR538*in_two_wheeler_ticket*in_two_wheeler_comm*in_ins_partner_share+F538*in_two_wheeler_ticket*in_two_wheeler_comm*in_ins_partner_share*(in_two_wheeler_renew^1*SUMIFS(AR506:AR556,B506:B556,B538-12)+in_two_wheeler_renew^2*SUMIFS(AR506:AR556,B506:B556,B538-24)+in_two_wheeler_renew^3*SUMIFS(AR506:AR556,B506:B556,B538-36)+in_two_wheeler_renew^4*SUMIFS(AR506:AR556,B506:B556,B538-48))</f>
        <v/>
      </c>
      <c r="AT538" s="40">
        <f>AT537*(1-IF(B537&gt;=in_marketplace_from,d_hz_device*G537,0))</f>
        <v/>
      </c>
      <c r="AU538" s="14">
        <f>F538*AT538*IF(B538&gt;=in_marketplace_from,d_hz_device*G538,0)*in_device_ticket*in_device_comm*in_ins_partner_share</f>
        <v/>
      </c>
      <c r="AV538" s="40">
        <f>AV537*(1-IF(B537&gt;=in_marketplace_from,d_hz_shop*G537,0))</f>
        <v/>
      </c>
      <c r="AW538" s="46">
        <f>AV538*IF(B538&gt;=in_marketplace_from,d_hz_shop*G538,0)</f>
        <v/>
      </c>
      <c r="AX538" s="14">
        <f>F538*AW538*in_shop_ticket*in_shop_comm*in_ins_partner_share+F538*in_shop_ticket*in_shop_renew_comm*in_ins_partner_share*(in_shop_renew^1*SUMIFS(AW506:AW556,B506:B556,B538-12)+in_shop_renew^2*SUMIFS(AW506:AW556,B506:B556,B538-24)+in_shop_renew^3*SUMIFS(AW506:AW556,B506:B556,B538-36)+in_shop_renew^4*SUMIFS(AW506:AW556,B506:B556,B538-48))</f>
        <v/>
      </c>
      <c r="AY538" s="40">
        <f>AY537*(1-IF(B537&gt;=in_marketplace_from,d_hz_sip*G537,0))</f>
        <v/>
      </c>
      <c r="AZ538" s="40">
        <f>AZ537*d_rho_sip+AY538*IF(B538&gt;=in_marketplace_from,d_hz_sip*G538,0)</f>
        <v/>
      </c>
      <c r="BA538" s="40">
        <f>d_rho_sip*(BA537+AZ537)</f>
        <v/>
      </c>
      <c r="BB538" s="14">
        <f>F538*in_sip_ticket*(BA538+0.5*AZ538)*in_sip_comm/12</f>
        <v/>
      </c>
      <c r="BC538" s="40">
        <f>BC537*(1-IF(B537&gt;=in_marketplace_from,d_hz_choti*G537,0))</f>
        <v/>
      </c>
      <c r="BD538" s="46">
        <f>BC538*IF(B538&gt;=in_marketplace_from,d_hz_choti*G538,0)</f>
        <v/>
      </c>
      <c r="BE538" s="14">
        <f>F538*SUMIFS(BD506:BD556,B506:B556,B538-in_choti_months)*in_choti_renew*in_choti_ticket</f>
        <v/>
      </c>
      <c r="BF538" s="40">
        <f>BF537*(1-IF(B537&gt;=in_marketplace_from,d_hz_nps*G537,0))</f>
        <v/>
      </c>
      <c r="BG538" s="14">
        <f>F538*BF538*IF(B538&gt;=in_marketplace_from,d_hz_nps*G538,0)*in_nps_ticket*in_nps_comm</f>
        <v/>
      </c>
      <c r="BH538" s="40">
        <f>BH537*(1-IF(B537&gt;=in_marketplace_from,d_hz_gold*G537,0))</f>
        <v/>
      </c>
      <c r="BI538" s="40">
        <f>BI537*d_rho_gold+BH538*IF(B538&gt;=in_marketplace_from,d_hz_gold*G538,0)</f>
        <v/>
      </c>
      <c r="BJ538" s="14">
        <f>F538*BI538*in_gold_ticket*in_gold_comm</f>
        <v/>
      </c>
      <c r="BK538" s="40">
        <f>BK537*(1-IF(B537&gt;=in_marketplace_from,d_hz_fd*G537,0))</f>
        <v/>
      </c>
      <c r="BL538" s="14">
        <f>F538*BK538*IF(B538&gt;=in_marketplace_from,d_hz_fd*G538,0)*in_fd_ticket*in_fd_comm</f>
        <v/>
      </c>
      <c r="BM538" s="40">
        <f>BM537*(1-IF(B537&gt;=in_marketplace_from,d_hz_recharge*G537,0))</f>
        <v/>
      </c>
      <c r="BN538" s="40">
        <f>BN537*d_rho_recharge+BM538*IF(B538&gt;=in_marketplace_from,d_hz_recharge*G538,0)</f>
        <v/>
      </c>
      <c r="BO538" s="14">
        <f>F538*BN538*in_recharge_ticket*in_recharge_comm/12</f>
        <v/>
      </c>
      <c r="BP538" s="40">
        <f>BP537*(1-IF(B537&gt;=in_marketplace_from,d_hz_bills*G537,0))</f>
        <v/>
      </c>
      <c r="BQ538" s="40">
        <f>BQ537*d_rho_bills+BP538*IF(B538&gt;=in_marketplace_from,d_hz_bills*G538,0)</f>
        <v/>
      </c>
      <c r="BR538" s="14">
        <f>F538*BQ538*in_bills_ticket*in_bills_comm/12</f>
        <v/>
      </c>
      <c r="BS538" s="40">
        <f>BS537*(1-IF(B537&gt;=in_marketplace_from,d_hz_loan_gold*G537,0))</f>
        <v/>
      </c>
      <c r="BT538" s="14">
        <f>F538*BS538*IF(B538&gt;=in_marketplace_from,d_hz_loan_gold*G538,0)*in_loan_gold_ticket*in_loan_gold_comm</f>
        <v/>
      </c>
      <c r="BU538" s="40">
        <f>BU537*(1-IF(B537&gt;=in_marketplace_from,d_hz_loan_cd*G537,0))</f>
        <v/>
      </c>
      <c r="BV538" s="14">
        <f>F538*BU538*IF(B538&gt;=in_marketplace_from,d_hz_loan_cd*G538,0)*in_loan_cd_ticket*in_loan_cd_comm</f>
        <v/>
      </c>
      <c r="BW538" s="40">
        <f>BW537*(1-IF(B537&gt;=in_marketplace_from,d_hz_loan_vehicle*G537,0))</f>
        <v/>
      </c>
      <c r="BX538" s="14">
        <f>F538*BW538*IF(B538&gt;=in_marketplace_from,d_hz_loan_vehicle*G538,0)*in_loan_vehicle_ticket*in_loan_vehicle_comm</f>
        <v/>
      </c>
      <c r="BY538" s="40">
        <f>BY537*(1-IF(B537&gt;=in_marketplace_from,d_hz_loan_home*G537,0)*BZ537)</f>
        <v/>
      </c>
      <c r="BZ538" s="11">
        <f>MIN(in_approval_cap,in_loan_home_approval*INDEX('Age profile'!$O$2:$O$61,B538)*(1+in_approval_growth)^(D538-1))</f>
        <v/>
      </c>
      <c r="CA538" s="14">
        <f>F538*BY538*IF(B538&gt;=in_marketplace_from,d_hz_loan_home*G538,0)*BZ538*in_loan_home_ticket*in_loan_home_comm</f>
        <v/>
      </c>
      <c r="CB538" s="40">
        <f>CB537*(1-IF(B537&gt;=in_marketplace_from,d_hz_loan_lap*G537,0)*CC537)</f>
        <v/>
      </c>
      <c r="CC538" s="11">
        <f>MIN(in_approval_cap,in_loan_lap_approval*INDEX('Age profile'!$O$2:$O$61,B538)*(1+in_approval_growth)^(D538-1))</f>
        <v/>
      </c>
      <c r="CD538" s="14">
        <f>F538*CB538*IF(B538&gt;=in_marketplace_from,d_hz_loan_lap*G538,0)*CC538*in_loan_lap_ticket*in_loan_lap_comm</f>
        <v/>
      </c>
      <c r="CE538" s="14">
        <f>AA538+AB538+AC538+AD538+AG538+AJ538+AM538+AP538+AS538+AU538+AX538+BB538+BE538+BG538+BJ538+BL538+BO538+BR538+BT538+BV538+BX538+CA538+CD538</f>
        <v/>
      </c>
    </row>
    <row r="539">
      <c r="A539" s="39" t="n">
        <v>10</v>
      </c>
      <c r="B539" s="39" t="n">
        <v>34</v>
      </c>
      <c r="C539" s="39">
        <f>A539+B539-1</f>
        <v/>
      </c>
      <c r="D539" s="39">
        <f>INT((C539-1)/12)+1</f>
        <v/>
      </c>
      <c r="E539" s="44">
        <f>INDEX(Monthly!$B$2:$B$61,A539)</f>
        <v/>
      </c>
      <c r="F539" s="44">
        <f>E539*INDEX('Age profile'!$B$2:$B$61,B539)</f>
        <v/>
      </c>
      <c r="G539" s="45">
        <f>MIN(in_takeup_cap,INDEX('Age profile'!$N$2:$N$61,B539)*(1+in_takeup_growth)^(D539-1))</f>
        <v/>
      </c>
      <c r="H539" s="11">
        <f>MIN(in_approval_cap,in_approved_first*INDEX('Age profile'!$O$2:$O$61,B539)*(1+in_approval_growth)^(D539-1))</f>
        <v/>
      </c>
      <c r="I539" s="45">
        <f>G539*MIN(in_takeup_cap,INDEX('Age profile'!$O$2:$O$61,B539)*(1+in_approval_growth)^(D539-1))</f>
        <v/>
      </c>
      <c r="J539" s="40">
        <f>(J538-L538)*F539/F538</f>
        <v/>
      </c>
      <c r="K539" s="40">
        <f>(K538-M538)*F539/F538+SUMIFS(O506:O538,B506:B538,B539-1-d_T)*F539</f>
        <v/>
      </c>
      <c r="L539" s="40">
        <f>IF(B539&gt;=in_marketplace_from,J539*d_hz*G539*in_eligible*H539,0)</f>
        <v/>
      </c>
      <c r="M539" s="40">
        <f>IF(B539&gt;=in_marketplace_from,K539*d_hz*G539*in_eligible*in_approved_repeat,0)</f>
        <v/>
      </c>
      <c r="N539" s="40">
        <f>L539+M539</f>
        <v/>
      </c>
      <c r="O539" s="46">
        <f>N539/F539</f>
        <v/>
      </c>
      <c r="P539" s="40">
        <f>F539-J539-K539</f>
        <v/>
      </c>
      <c r="Q539" s="40">
        <f>IF(B539&gt;=in_marketplace_from,(J539+K539)*d_hz*G539,0)</f>
        <v/>
      </c>
      <c r="R539" s="40">
        <f>SUMIFS(N506:N556,B506:B556,"&gt;="&amp;(B539-d_T),B506:B556,"&lt;="&amp;(B539-1))</f>
        <v/>
      </c>
      <c r="S539" s="46">
        <f>(1-d_u)*S538+IF(d_T&gt;in_topup_lag,SUMIFS(O506:O556,B506:B556,B539-in_topup_lag)-d_udrop*SUMIFS(O506:O556,B506:B556,B539-d_T),0)</f>
        <v/>
      </c>
      <c r="T539" s="40">
        <f>F539*d_u*S539</f>
        <v/>
      </c>
      <c r="U539" s="9">
        <f>L539*in_ticket+M539*d_rep_ticket</f>
        <v/>
      </c>
      <c r="V539" s="9">
        <f>U539+T539*d_topup_amt</f>
        <v/>
      </c>
      <c r="W539" s="40">
        <f>N539+T539*d_topup_ratio</f>
        <v/>
      </c>
      <c r="X539" s="40">
        <f>SUMIFS(W506:W556,B506:B556,B539-in_dpd_lag)*d_cured</f>
        <v/>
      </c>
      <c r="Y539" s="40">
        <f>SUMIFS(W506:W556,B506:B556,B539-in_rec_lag)*d_recd</f>
        <v/>
      </c>
      <c r="Z539" s="40">
        <f>IF(AND(B539&gt;=in_marketplace_from,B539&lt;in_marketplace_from+in_card_months),in_card_share/in_card_months*F539*I539,IF(AND(B539&gt;=in_marketplace_from+in_card_months,B539&lt;in_marketplace_from+2*in_card_months),in_card_share*d_card_rem/in_card_months*F539*MIN(in_takeup_cap,(1+in_takeup_growth)^(D539-1))*MIN(in_takeup_cap,(1+in_approval_growth)^(D539-1)),0))</f>
        <v/>
      </c>
      <c r="AA539" s="14">
        <f>V539*in_fee*(1-in_taken_back)</f>
        <v/>
      </c>
      <c r="AB539" s="14">
        <f>SUMIFS(W506:W556,B506:B556,B539-in_dpd_lag)*d_dpd</f>
        <v/>
      </c>
      <c r="AC539" s="14">
        <f>SUMIFS(W506:W556,B506:B556,B539-in_rec_lag)*d_rec</f>
        <v/>
      </c>
      <c r="AD539" s="14">
        <f>Z539*in_card_fee</f>
        <v/>
      </c>
      <c r="AE539" s="40">
        <f>AE538*(1-IF(B538&gt;=in_marketplace_from,d_hz_hlth_small*G538,0))</f>
        <v/>
      </c>
      <c r="AF539" s="46">
        <f>AE539*IF(B539&gt;=in_marketplace_from,d_hz_hlth_small*G539,0)</f>
        <v/>
      </c>
      <c r="AG539" s="14">
        <f>F539*AF539*in_hlth_small_ticket*in_hlth_small_comm*in_ins_partner_share+F539*in_hlth_small_ticket*in_hlth_small_renew_comm*in_ins_partner_share*(in_hlth_small_renew^1*SUMIFS(AF506:AF556,B506:B556,B539-12)+in_hlth_small_renew^2*SUMIFS(AF506:AF556,B506:B556,B539-24)+in_hlth_small_renew^3*SUMIFS(AF506:AF556,B506:B556,B539-36)+in_hlth_small_renew^4*SUMIFS(AF506:AF556,B506:B556,B539-48))</f>
        <v/>
      </c>
      <c r="AH539" s="40">
        <f>AH538*(1-IF(B538&gt;=in_marketplace_from,d_hz_hlth_family*G538,0))</f>
        <v/>
      </c>
      <c r="AI539" s="46">
        <f>AH539*IF(B539&gt;=in_marketplace_from,d_hz_hlth_family*G539,0)</f>
        <v/>
      </c>
      <c r="AJ539" s="14">
        <f>F539*AI539*in_hlth_family_ticket*in_hlth_family_comm*in_ins_partner_share+F539*in_hlth_family_ticket*in_hlth_family_renew_comm*in_ins_partner_share*(in_hlth_family_renew^1*SUMIFS(AI506:AI556,B506:B556,B539-12)+in_hlth_family_renew^2*SUMIFS(AI506:AI556,B506:B556,B539-24)+in_hlth_family_renew^3*SUMIFS(AI506:AI556,B506:B556,B539-36)+in_hlth_family_renew^4*SUMIFS(AI506:AI556,B506:B556,B539-48))</f>
        <v/>
      </c>
      <c r="AK539" s="40">
        <f>AK538*(1-IF(B538&gt;=in_marketplace_from,d_hz_life_term*G538,0))</f>
        <v/>
      </c>
      <c r="AL539" s="46">
        <f>AK539*IF(B539&gt;=in_marketplace_from,d_hz_life_term*G539,0)</f>
        <v/>
      </c>
      <c r="AM539" s="14">
        <f>F539*AL539*in_life_term_ticket*in_life_term_comm*in_ins_partner_share+F539*in_life_term_ticket*in_life_term_renew_comm*in_ins_partner_share*(in_life_term_renew^1*SUMIFS(AL506:AL556,B506:B556,B539-12)+in_life_term_renew^2*SUMIFS(AL506:AL556,B506:B556,B539-24)+in_life_term_renew^3*SUMIFS(AL506:AL556,B506:B556,B539-36)+in_life_term_renew^4*SUMIFS(AL506:AL556,B506:B556,B539-48))</f>
        <v/>
      </c>
      <c r="AN539" s="40">
        <f>AN538*(1-IF(B538&gt;=in_marketplace_from,d_hz_accident*G538,0))</f>
        <v/>
      </c>
      <c r="AO539" s="46">
        <f>AN539*IF(B539&gt;=in_marketplace_from,d_hz_accident*G539,0)</f>
        <v/>
      </c>
      <c r="AP539" s="14">
        <f>F539*AO539*in_accident_ticket*in_accident_comm*in_ins_partner_share+F539*in_accident_ticket*in_accident_renew_comm*in_ins_partner_share*(in_accident_renew^1*SUMIFS(AO506:AO556,B506:B556,B539-12)+in_accident_renew^2*SUMIFS(AO506:AO556,B506:B556,B539-24)+in_accident_renew^3*SUMIFS(AO506:AO556,B506:B556,B539-36)+in_accident_renew^4*SUMIFS(AO506:AO556,B506:B556,B539-48))</f>
        <v/>
      </c>
      <c r="AQ539" s="40">
        <f>AQ538*(1-IF(B538&gt;=in_marketplace_from,d_hz_two_wheeler*G538,0))</f>
        <v/>
      </c>
      <c r="AR539" s="46">
        <f>AQ539*IF(B539&gt;=in_marketplace_from,d_hz_two_wheeler*G539,0)</f>
        <v/>
      </c>
      <c r="AS539" s="14">
        <f>F539*AR539*in_two_wheeler_ticket*in_two_wheeler_comm*in_ins_partner_share+F539*in_two_wheeler_ticket*in_two_wheeler_comm*in_ins_partner_share*(in_two_wheeler_renew^1*SUMIFS(AR506:AR556,B506:B556,B539-12)+in_two_wheeler_renew^2*SUMIFS(AR506:AR556,B506:B556,B539-24)+in_two_wheeler_renew^3*SUMIFS(AR506:AR556,B506:B556,B539-36)+in_two_wheeler_renew^4*SUMIFS(AR506:AR556,B506:B556,B539-48))</f>
        <v/>
      </c>
      <c r="AT539" s="40">
        <f>AT538*(1-IF(B538&gt;=in_marketplace_from,d_hz_device*G538,0))</f>
        <v/>
      </c>
      <c r="AU539" s="14">
        <f>F539*AT539*IF(B539&gt;=in_marketplace_from,d_hz_device*G539,0)*in_device_ticket*in_device_comm*in_ins_partner_share</f>
        <v/>
      </c>
      <c r="AV539" s="40">
        <f>AV538*(1-IF(B538&gt;=in_marketplace_from,d_hz_shop*G538,0))</f>
        <v/>
      </c>
      <c r="AW539" s="46">
        <f>AV539*IF(B539&gt;=in_marketplace_from,d_hz_shop*G539,0)</f>
        <v/>
      </c>
      <c r="AX539" s="14">
        <f>F539*AW539*in_shop_ticket*in_shop_comm*in_ins_partner_share+F539*in_shop_ticket*in_shop_renew_comm*in_ins_partner_share*(in_shop_renew^1*SUMIFS(AW506:AW556,B506:B556,B539-12)+in_shop_renew^2*SUMIFS(AW506:AW556,B506:B556,B539-24)+in_shop_renew^3*SUMIFS(AW506:AW556,B506:B556,B539-36)+in_shop_renew^4*SUMIFS(AW506:AW556,B506:B556,B539-48))</f>
        <v/>
      </c>
      <c r="AY539" s="40">
        <f>AY538*(1-IF(B538&gt;=in_marketplace_from,d_hz_sip*G538,0))</f>
        <v/>
      </c>
      <c r="AZ539" s="40">
        <f>AZ538*d_rho_sip+AY539*IF(B539&gt;=in_marketplace_from,d_hz_sip*G539,0)</f>
        <v/>
      </c>
      <c r="BA539" s="40">
        <f>d_rho_sip*(BA538+AZ538)</f>
        <v/>
      </c>
      <c r="BB539" s="14">
        <f>F539*in_sip_ticket*(BA539+0.5*AZ539)*in_sip_comm/12</f>
        <v/>
      </c>
      <c r="BC539" s="40">
        <f>BC538*(1-IF(B538&gt;=in_marketplace_from,d_hz_choti*G538,0))</f>
        <v/>
      </c>
      <c r="BD539" s="46">
        <f>BC539*IF(B539&gt;=in_marketplace_from,d_hz_choti*G539,0)</f>
        <v/>
      </c>
      <c r="BE539" s="14">
        <f>F539*SUMIFS(BD506:BD556,B506:B556,B539-in_choti_months)*in_choti_renew*in_choti_ticket</f>
        <v/>
      </c>
      <c r="BF539" s="40">
        <f>BF538*(1-IF(B538&gt;=in_marketplace_from,d_hz_nps*G538,0))</f>
        <v/>
      </c>
      <c r="BG539" s="14">
        <f>F539*BF539*IF(B539&gt;=in_marketplace_from,d_hz_nps*G539,0)*in_nps_ticket*in_nps_comm</f>
        <v/>
      </c>
      <c r="BH539" s="40">
        <f>BH538*(1-IF(B538&gt;=in_marketplace_from,d_hz_gold*G538,0))</f>
        <v/>
      </c>
      <c r="BI539" s="40">
        <f>BI538*d_rho_gold+BH539*IF(B539&gt;=in_marketplace_from,d_hz_gold*G539,0)</f>
        <v/>
      </c>
      <c r="BJ539" s="14">
        <f>F539*BI539*in_gold_ticket*in_gold_comm</f>
        <v/>
      </c>
      <c r="BK539" s="40">
        <f>BK538*(1-IF(B538&gt;=in_marketplace_from,d_hz_fd*G538,0))</f>
        <v/>
      </c>
      <c r="BL539" s="14">
        <f>F539*BK539*IF(B539&gt;=in_marketplace_from,d_hz_fd*G539,0)*in_fd_ticket*in_fd_comm</f>
        <v/>
      </c>
      <c r="BM539" s="40">
        <f>BM538*(1-IF(B538&gt;=in_marketplace_from,d_hz_recharge*G538,0))</f>
        <v/>
      </c>
      <c r="BN539" s="40">
        <f>BN538*d_rho_recharge+BM539*IF(B539&gt;=in_marketplace_from,d_hz_recharge*G539,0)</f>
        <v/>
      </c>
      <c r="BO539" s="14">
        <f>F539*BN539*in_recharge_ticket*in_recharge_comm/12</f>
        <v/>
      </c>
      <c r="BP539" s="40">
        <f>BP538*(1-IF(B538&gt;=in_marketplace_from,d_hz_bills*G538,0))</f>
        <v/>
      </c>
      <c r="BQ539" s="40">
        <f>BQ538*d_rho_bills+BP539*IF(B539&gt;=in_marketplace_from,d_hz_bills*G539,0)</f>
        <v/>
      </c>
      <c r="BR539" s="14">
        <f>F539*BQ539*in_bills_ticket*in_bills_comm/12</f>
        <v/>
      </c>
      <c r="BS539" s="40">
        <f>BS538*(1-IF(B538&gt;=in_marketplace_from,d_hz_loan_gold*G538,0))</f>
        <v/>
      </c>
      <c r="BT539" s="14">
        <f>F539*BS539*IF(B539&gt;=in_marketplace_from,d_hz_loan_gold*G539,0)*in_loan_gold_ticket*in_loan_gold_comm</f>
        <v/>
      </c>
      <c r="BU539" s="40">
        <f>BU538*(1-IF(B538&gt;=in_marketplace_from,d_hz_loan_cd*G538,0))</f>
        <v/>
      </c>
      <c r="BV539" s="14">
        <f>F539*BU539*IF(B539&gt;=in_marketplace_from,d_hz_loan_cd*G539,0)*in_loan_cd_ticket*in_loan_cd_comm</f>
        <v/>
      </c>
      <c r="BW539" s="40">
        <f>BW538*(1-IF(B538&gt;=in_marketplace_from,d_hz_loan_vehicle*G538,0))</f>
        <v/>
      </c>
      <c r="BX539" s="14">
        <f>F539*BW539*IF(B539&gt;=in_marketplace_from,d_hz_loan_vehicle*G539,0)*in_loan_vehicle_ticket*in_loan_vehicle_comm</f>
        <v/>
      </c>
      <c r="BY539" s="40">
        <f>BY538*(1-IF(B538&gt;=in_marketplace_from,d_hz_loan_home*G538,0)*BZ538)</f>
        <v/>
      </c>
      <c r="BZ539" s="11">
        <f>MIN(in_approval_cap,in_loan_home_approval*INDEX('Age profile'!$O$2:$O$61,B539)*(1+in_approval_growth)^(D539-1))</f>
        <v/>
      </c>
      <c r="CA539" s="14">
        <f>F539*BY539*IF(B539&gt;=in_marketplace_from,d_hz_loan_home*G539,0)*BZ539*in_loan_home_ticket*in_loan_home_comm</f>
        <v/>
      </c>
      <c r="CB539" s="40">
        <f>CB538*(1-IF(B538&gt;=in_marketplace_from,d_hz_loan_lap*G538,0)*CC538)</f>
        <v/>
      </c>
      <c r="CC539" s="11">
        <f>MIN(in_approval_cap,in_loan_lap_approval*INDEX('Age profile'!$O$2:$O$61,B539)*(1+in_approval_growth)^(D539-1))</f>
        <v/>
      </c>
      <c r="CD539" s="14">
        <f>F539*CB539*IF(B539&gt;=in_marketplace_from,d_hz_loan_lap*G539,0)*CC539*in_loan_lap_ticket*in_loan_lap_comm</f>
        <v/>
      </c>
      <c r="CE539" s="14">
        <f>AA539+AB539+AC539+AD539+AG539+AJ539+AM539+AP539+AS539+AU539+AX539+BB539+BE539+BG539+BJ539+BL539+BO539+BR539+BT539+BV539+BX539+CA539+CD539</f>
        <v/>
      </c>
    </row>
    <row r="540">
      <c r="A540" s="39" t="n">
        <v>10</v>
      </c>
      <c r="B540" s="39" t="n">
        <v>35</v>
      </c>
      <c r="C540" s="39">
        <f>A540+B540-1</f>
        <v/>
      </c>
      <c r="D540" s="39">
        <f>INT((C540-1)/12)+1</f>
        <v/>
      </c>
      <c r="E540" s="44">
        <f>INDEX(Monthly!$B$2:$B$61,A540)</f>
        <v/>
      </c>
      <c r="F540" s="44">
        <f>E540*INDEX('Age profile'!$B$2:$B$61,B540)</f>
        <v/>
      </c>
      <c r="G540" s="45">
        <f>MIN(in_takeup_cap,INDEX('Age profile'!$N$2:$N$61,B540)*(1+in_takeup_growth)^(D540-1))</f>
        <v/>
      </c>
      <c r="H540" s="11">
        <f>MIN(in_approval_cap,in_approved_first*INDEX('Age profile'!$O$2:$O$61,B540)*(1+in_approval_growth)^(D540-1))</f>
        <v/>
      </c>
      <c r="I540" s="45">
        <f>G540*MIN(in_takeup_cap,INDEX('Age profile'!$O$2:$O$61,B540)*(1+in_approval_growth)^(D540-1))</f>
        <v/>
      </c>
      <c r="J540" s="40">
        <f>(J539-L539)*F540/F539</f>
        <v/>
      </c>
      <c r="K540" s="40">
        <f>(K539-M539)*F540/F539+SUMIFS(O506:O539,B506:B539,B540-1-d_T)*F540</f>
        <v/>
      </c>
      <c r="L540" s="40">
        <f>IF(B540&gt;=in_marketplace_from,J540*d_hz*G540*in_eligible*H540,0)</f>
        <v/>
      </c>
      <c r="M540" s="40">
        <f>IF(B540&gt;=in_marketplace_from,K540*d_hz*G540*in_eligible*in_approved_repeat,0)</f>
        <v/>
      </c>
      <c r="N540" s="40">
        <f>L540+M540</f>
        <v/>
      </c>
      <c r="O540" s="46">
        <f>N540/F540</f>
        <v/>
      </c>
      <c r="P540" s="40">
        <f>F540-J540-K540</f>
        <v/>
      </c>
      <c r="Q540" s="40">
        <f>IF(B540&gt;=in_marketplace_from,(J540+K540)*d_hz*G540,0)</f>
        <v/>
      </c>
      <c r="R540" s="40">
        <f>SUMIFS(N506:N556,B506:B556,"&gt;="&amp;(B540-d_T),B506:B556,"&lt;="&amp;(B540-1))</f>
        <v/>
      </c>
      <c r="S540" s="46">
        <f>(1-d_u)*S539+IF(d_T&gt;in_topup_lag,SUMIFS(O506:O556,B506:B556,B540-in_topup_lag)-d_udrop*SUMIFS(O506:O556,B506:B556,B540-d_T),0)</f>
        <v/>
      </c>
      <c r="T540" s="40">
        <f>F540*d_u*S540</f>
        <v/>
      </c>
      <c r="U540" s="9">
        <f>L540*in_ticket+M540*d_rep_ticket</f>
        <v/>
      </c>
      <c r="V540" s="9">
        <f>U540+T540*d_topup_amt</f>
        <v/>
      </c>
      <c r="W540" s="40">
        <f>N540+T540*d_topup_ratio</f>
        <v/>
      </c>
      <c r="X540" s="40">
        <f>SUMIFS(W506:W556,B506:B556,B540-in_dpd_lag)*d_cured</f>
        <v/>
      </c>
      <c r="Y540" s="40">
        <f>SUMIFS(W506:W556,B506:B556,B540-in_rec_lag)*d_recd</f>
        <v/>
      </c>
      <c r="Z540" s="40">
        <f>IF(AND(B540&gt;=in_marketplace_from,B540&lt;in_marketplace_from+in_card_months),in_card_share/in_card_months*F540*I540,IF(AND(B540&gt;=in_marketplace_from+in_card_months,B540&lt;in_marketplace_from+2*in_card_months),in_card_share*d_card_rem/in_card_months*F540*MIN(in_takeup_cap,(1+in_takeup_growth)^(D540-1))*MIN(in_takeup_cap,(1+in_approval_growth)^(D540-1)),0))</f>
        <v/>
      </c>
      <c r="AA540" s="14">
        <f>V540*in_fee*(1-in_taken_back)</f>
        <v/>
      </c>
      <c r="AB540" s="14">
        <f>SUMIFS(W506:W556,B506:B556,B540-in_dpd_lag)*d_dpd</f>
        <v/>
      </c>
      <c r="AC540" s="14">
        <f>SUMIFS(W506:W556,B506:B556,B540-in_rec_lag)*d_rec</f>
        <v/>
      </c>
      <c r="AD540" s="14">
        <f>Z540*in_card_fee</f>
        <v/>
      </c>
      <c r="AE540" s="40">
        <f>AE539*(1-IF(B539&gt;=in_marketplace_from,d_hz_hlth_small*G539,0))</f>
        <v/>
      </c>
      <c r="AF540" s="46">
        <f>AE540*IF(B540&gt;=in_marketplace_from,d_hz_hlth_small*G540,0)</f>
        <v/>
      </c>
      <c r="AG540" s="14">
        <f>F540*AF540*in_hlth_small_ticket*in_hlth_small_comm*in_ins_partner_share+F540*in_hlth_small_ticket*in_hlth_small_renew_comm*in_ins_partner_share*(in_hlth_small_renew^1*SUMIFS(AF506:AF556,B506:B556,B540-12)+in_hlth_small_renew^2*SUMIFS(AF506:AF556,B506:B556,B540-24)+in_hlth_small_renew^3*SUMIFS(AF506:AF556,B506:B556,B540-36)+in_hlth_small_renew^4*SUMIFS(AF506:AF556,B506:B556,B540-48))</f>
        <v/>
      </c>
      <c r="AH540" s="40">
        <f>AH539*(1-IF(B539&gt;=in_marketplace_from,d_hz_hlth_family*G539,0))</f>
        <v/>
      </c>
      <c r="AI540" s="46">
        <f>AH540*IF(B540&gt;=in_marketplace_from,d_hz_hlth_family*G540,0)</f>
        <v/>
      </c>
      <c r="AJ540" s="14">
        <f>F540*AI540*in_hlth_family_ticket*in_hlth_family_comm*in_ins_partner_share+F540*in_hlth_family_ticket*in_hlth_family_renew_comm*in_ins_partner_share*(in_hlth_family_renew^1*SUMIFS(AI506:AI556,B506:B556,B540-12)+in_hlth_family_renew^2*SUMIFS(AI506:AI556,B506:B556,B540-24)+in_hlth_family_renew^3*SUMIFS(AI506:AI556,B506:B556,B540-36)+in_hlth_family_renew^4*SUMIFS(AI506:AI556,B506:B556,B540-48))</f>
        <v/>
      </c>
      <c r="AK540" s="40">
        <f>AK539*(1-IF(B539&gt;=in_marketplace_from,d_hz_life_term*G539,0))</f>
        <v/>
      </c>
      <c r="AL540" s="46">
        <f>AK540*IF(B540&gt;=in_marketplace_from,d_hz_life_term*G540,0)</f>
        <v/>
      </c>
      <c r="AM540" s="14">
        <f>F540*AL540*in_life_term_ticket*in_life_term_comm*in_ins_partner_share+F540*in_life_term_ticket*in_life_term_renew_comm*in_ins_partner_share*(in_life_term_renew^1*SUMIFS(AL506:AL556,B506:B556,B540-12)+in_life_term_renew^2*SUMIFS(AL506:AL556,B506:B556,B540-24)+in_life_term_renew^3*SUMIFS(AL506:AL556,B506:B556,B540-36)+in_life_term_renew^4*SUMIFS(AL506:AL556,B506:B556,B540-48))</f>
        <v/>
      </c>
      <c r="AN540" s="40">
        <f>AN539*(1-IF(B539&gt;=in_marketplace_from,d_hz_accident*G539,0))</f>
        <v/>
      </c>
      <c r="AO540" s="46">
        <f>AN540*IF(B540&gt;=in_marketplace_from,d_hz_accident*G540,0)</f>
        <v/>
      </c>
      <c r="AP540" s="14">
        <f>F540*AO540*in_accident_ticket*in_accident_comm*in_ins_partner_share+F540*in_accident_ticket*in_accident_renew_comm*in_ins_partner_share*(in_accident_renew^1*SUMIFS(AO506:AO556,B506:B556,B540-12)+in_accident_renew^2*SUMIFS(AO506:AO556,B506:B556,B540-24)+in_accident_renew^3*SUMIFS(AO506:AO556,B506:B556,B540-36)+in_accident_renew^4*SUMIFS(AO506:AO556,B506:B556,B540-48))</f>
        <v/>
      </c>
      <c r="AQ540" s="40">
        <f>AQ539*(1-IF(B539&gt;=in_marketplace_from,d_hz_two_wheeler*G539,0))</f>
        <v/>
      </c>
      <c r="AR540" s="46">
        <f>AQ540*IF(B540&gt;=in_marketplace_from,d_hz_two_wheeler*G540,0)</f>
        <v/>
      </c>
      <c r="AS540" s="14">
        <f>F540*AR540*in_two_wheeler_ticket*in_two_wheeler_comm*in_ins_partner_share+F540*in_two_wheeler_ticket*in_two_wheeler_comm*in_ins_partner_share*(in_two_wheeler_renew^1*SUMIFS(AR506:AR556,B506:B556,B540-12)+in_two_wheeler_renew^2*SUMIFS(AR506:AR556,B506:B556,B540-24)+in_two_wheeler_renew^3*SUMIFS(AR506:AR556,B506:B556,B540-36)+in_two_wheeler_renew^4*SUMIFS(AR506:AR556,B506:B556,B540-48))</f>
        <v/>
      </c>
      <c r="AT540" s="40">
        <f>AT539*(1-IF(B539&gt;=in_marketplace_from,d_hz_device*G539,0))</f>
        <v/>
      </c>
      <c r="AU540" s="14">
        <f>F540*AT540*IF(B540&gt;=in_marketplace_from,d_hz_device*G540,0)*in_device_ticket*in_device_comm*in_ins_partner_share</f>
        <v/>
      </c>
      <c r="AV540" s="40">
        <f>AV539*(1-IF(B539&gt;=in_marketplace_from,d_hz_shop*G539,0))</f>
        <v/>
      </c>
      <c r="AW540" s="46">
        <f>AV540*IF(B540&gt;=in_marketplace_from,d_hz_shop*G540,0)</f>
        <v/>
      </c>
      <c r="AX540" s="14">
        <f>F540*AW540*in_shop_ticket*in_shop_comm*in_ins_partner_share+F540*in_shop_ticket*in_shop_renew_comm*in_ins_partner_share*(in_shop_renew^1*SUMIFS(AW506:AW556,B506:B556,B540-12)+in_shop_renew^2*SUMIFS(AW506:AW556,B506:B556,B540-24)+in_shop_renew^3*SUMIFS(AW506:AW556,B506:B556,B540-36)+in_shop_renew^4*SUMIFS(AW506:AW556,B506:B556,B540-48))</f>
        <v/>
      </c>
      <c r="AY540" s="40">
        <f>AY539*(1-IF(B539&gt;=in_marketplace_from,d_hz_sip*G539,0))</f>
        <v/>
      </c>
      <c r="AZ540" s="40">
        <f>AZ539*d_rho_sip+AY540*IF(B540&gt;=in_marketplace_from,d_hz_sip*G540,0)</f>
        <v/>
      </c>
      <c r="BA540" s="40">
        <f>d_rho_sip*(BA539+AZ539)</f>
        <v/>
      </c>
      <c r="BB540" s="14">
        <f>F540*in_sip_ticket*(BA540+0.5*AZ540)*in_sip_comm/12</f>
        <v/>
      </c>
      <c r="BC540" s="40">
        <f>BC539*(1-IF(B539&gt;=in_marketplace_from,d_hz_choti*G539,0))</f>
        <v/>
      </c>
      <c r="BD540" s="46">
        <f>BC540*IF(B540&gt;=in_marketplace_from,d_hz_choti*G540,0)</f>
        <v/>
      </c>
      <c r="BE540" s="14">
        <f>F540*SUMIFS(BD506:BD556,B506:B556,B540-in_choti_months)*in_choti_renew*in_choti_ticket</f>
        <v/>
      </c>
      <c r="BF540" s="40">
        <f>BF539*(1-IF(B539&gt;=in_marketplace_from,d_hz_nps*G539,0))</f>
        <v/>
      </c>
      <c r="BG540" s="14">
        <f>F540*BF540*IF(B540&gt;=in_marketplace_from,d_hz_nps*G540,0)*in_nps_ticket*in_nps_comm</f>
        <v/>
      </c>
      <c r="BH540" s="40">
        <f>BH539*(1-IF(B539&gt;=in_marketplace_from,d_hz_gold*G539,0))</f>
        <v/>
      </c>
      <c r="BI540" s="40">
        <f>BI539*d_rho_gold+BH540*IF(B540&gt;=in_marketplace_from,d_hz_gold*G540,0)</f>
        <v/>
      </c>
      <c r="BJ540" s="14">
        <f>F540*BI540*in_gold_ticket*in_gold_comm</f>
        <v/>
      </c>
      <c r="BK540" s="40">
        <f>BK539*(1-IF(B539&gt;=in_marketplace_from,d_hz_fd*G539,0))</f>
        <v/>
      </c>
      <c r="BL540" s="14">
        <f>F540*BK540*IF(B540&gt;=in_marketplace_from,d_hz_fd*G540,0)*in_fd_ticket*in_fd_comm</f>
        <v/>
      </c>
      <c r="BM540" s="40">
        <f>BM539*(1-IF(B539&gt;=in_marketplace_from,d_hz_recharge*G539,0))</f>
        <v/>
      </c>
      <c r="BN540" s="40">
        <f>BN539*d_rho_recharge+BM540*IF(B540&gt;=in_marketplace_from,d_hz_recharge*G540,0)</f>
        <v/>
      </c>
      <c r="BO540" s="14">
        <f>F540*BN540*in_recharge_ticket*in_recharge_comm/12</f>
        <v/>
      </c>
      <c r="BP540" s="40">
        <f>BP539*(1-IF(B539&gt;=in_marketplace_from,d_hz_bills*G539,0))</f>
        <v/>
      </c>
      <c r="BQ540" s="40">
        <f>BQ539*d_rho_bills+BP540*IF(B540&gt;=in_marketplace_from,d_hz_bills*G540,0)</f>
        <v/>
      </c>
      <c r="BR540" s="14">
        <f>F540*BQ540*in_bills_ticket*in_bills_comm/12</f>
        <v/>
      </c>
      <c r="BS540" s="40">
        <f>BS539*(1-IF(B539&gt;=in_marketplace_from,d_hz_loan_gold*G539,0))</f>
        <v/>
      </c>
      <c r="BT540" s="14">
        <f>F540*BS540*IF(B540&gt;=in_marketplace_from,d_hz_loan_gold*G540,0)*in_loan_gold_ticket*in_loan_gold_comm</f>
        <v/>
      </c>
      <c r="BU540" s="40">
        <f>BU539*(1-IF(B539&gt;=in_marketplace_from,d_hz_loan_cd*G539,0))</f>
        <v/>
      </c>
      <c r="BV540" s="14">
        <f>F540*BU540*IF(B540&gt;=in_marketplace_from,d_hz_loan_cd*G540,0)*in_loan_cd_ticket*in_loan_cd_comm</f>
        <v/>
      </c>
      <c r="BW540" s="40">
        <f>BW539*(1-IF(B539&gt;=in_marketplace_from,d_hz_loan_vehicle*G539,0))</f>
        <v/>
      </c>
      <c r="BX540" s="14">
        <f>F540*BW540*IF(B540&gt;=in_marketplace_from,d_hz_loan_vehicle*G540,0)*in_loan_vehicle_ticket*in_loan_vehicle_comm</f>
        <v/>
      </c>
      <c r="BY540" s="40">
        <f>BY539*(1-IF(B539&gt;=in_marketplace_from,d_hz_loan_home*G539,0)*BZ539)</f>
        <v/>
      </c>
      <c r="BZ540" s="11">
        <f>MIN(in_approval_cap,in_loan_home_approval*INDEX('Age profile'!$O$2:$O$61,B540)*(1+in_approval_growth)^(D540-1))</f>
        <v/>
      </c>
      <c r="CA540" s="14">
        <f>F540*BY540*IF(B540&gt;=in_marketplace_from,d_hz_loan_home*G540,0)*BZ540*in_loan_home_ticket*in_loan_home_comm</f>
        <v/>
      </c>
      <c r="CB540" s="40">
        <f>CB539*(1-IF(B539&gt;=in_marketplace_from,d_hz_loan_lap*G539,0)*CC539)</f>
        <v/>
      </c>
      <c r="CC540" s="11">
        <f>MIN(in_approval_cap,in_loan_lap_approval*INDEX('Age profile'!$O$2:$O$61,B540)*(1+in_approval_growth)^(D540-1))</f>
        <v/>
      </c>
      <c r="CD540" s="14">
        <f>F540*CB540*IF(B540&gt;=in_marketplace_from,d_hz_loan_lap*G540,0)*CC540*in_loan_lap_ticket*in_loan_lap_comm</f>
        <v/>
      </c>
      <c r="CE540" s="14">
        <f>AA540+AB540+AC540+AD540+AG540+AJ540+AM540+AP540+AS540+AU540+AX540+BB540+BE540+BG540+BJ540+BL540+BO540+BR540+BT540+BV540+BX540+CA540+CD540</f>
        <v/>
      </c>
    </row>
    <row r="541">
      <c r="A541" s="39" t="n">
        <v>10</v>
      </c>
      <c r="B541" s="39" t="n">
        <v>36</v>
      </c>
      <c r="C541" s="39">
        <f>A541+B541-1</f>
        <v/>
      </c>
      <c r="D541" s="39">
        <f>INT((C541-1)/12)+1</f>
        <v/>
      </c>
      <c r="E541" s="44">
        <f>INDEX(Monthly!$B$2:$B$61,A541)</f>
        <v/>
      </c>
      <c r="F541" s="44">
        <f>E541*INDEX('Age profile'!$B$2:$B$61,B541)</f>
        <v/>
      </c>
      <c r="G541" s="45">
        <f>MIN(in_takeup_cap,INDEX('Age profile'!$N$2:$N$61,B541)*(1+in_takeup_growth)^(D541-1))</f>
        <v/>
      </c>
      <c r="H541" s="11">
        <f>MIN(in_approval_cap,in_approved_first*INDEX('Age profile'!$O$2:$O$61,B541)*(1+in_approval_growth)^(D541-1))</f>
        <v/>
      </c>
      <c r="I541" s="45">
        <f>G541*MIN(in_takeup_cap,INDEX('Age profile'!$O$2:$O$61,B541)*(1+in_approval_growth)^(D541-1))</f>
        <v/>
      </c>
      <c r="J541" s="40">
        <f>(J540-L540)*F541/F540</f>
        <v/>
      </c>
      <c r="K541" s="40">
        <f>(K540-M540)*F541/F540+SUMIFS(O506:O540,B506:B540,B541-1-d_T)*F541</f>
        <v/>
      </c>
      <c r="L541" s="40">
        <f>IF(B541&gt;=in_marketplace_from,J541*d_hz*G541*in_eligible*H541,0)</f>
        <v/>
      </c>
      <c r="M541" s="40">
        <f>IF(B541&gt;=in_marketplace_from,K541*d_hz*G541*in_eligible*in_approved_repeat,0)</f>
        <v/>
      </c>
      <c r="N541" s="40">
        <f>L541+M541</f>
        <v/>
      </c>
      <c r="O541" s="46">
        <f>N541/F541</f>
        <v/>
      </c>
      <c r="P541" s="40">
        <f>F541-J541-K541</f>
        <v/>
      </c>
      <c r="Q541" s="40">
        <f>IF(B541&gt;=in_marketplace_from,(J541+K541)*d_hz*G541,0)</f>
        <v/>
      </c>
      <c r="R541" s="40">
        <f>SUMIFS(N506:N556,B506:B556,"&gt;="&amp;(B541-d_T),B506:B556,"&lt;="&amp;(B541-1))</f>
        <v/>
      </c>
      <c r="S541" s="46">
        <f>(1-d_u)*S540+IF(d_T&gt;in_topup_lag,SUMIFS(O506:O556,B506:B556,B541-in_topup_lag)-d_udrop*SUMIFS(O506:O556,B506:B556,B541-d_T),0)</f>
        <v/>
      </c>
      <c r="T541" s="40">
        <f>F541*d_u*S541</f>
        <v/>
      </c>
      <c r="U541" s="9">
        <f>L541*in_ticket+M541*d_rep_ticket</f>
        <v/>
      </c>
      <c r="V541" s="9">
        <f>U541+T541*d_topup_amt</f>
        <v/>
      </c>
      <c r="W541" s="40">
        <f>N541+T541*d_topup_ratio</f>
        <v/>
      </c>
      <c r="X541" s="40">
        <f>SUMIFS(W506:W556,B506:B556,B541-in_dpd_lag)*d_cured</f>
        <v/>
      </c>
      <c r="Y541" s="40">
        <f>SUMIFS(W506:W556,B506:B556,B541-in_rec_lag)*d_recd</f>
        <v/>
      </c>
      <c r="Z541" s="40">
        <f>IF(AND(B541&gt;=in_marketplace_from,B541&lt;in_marketplace_from+in_card_months),in_card_share/in_card_months*F541*I541,IF(AND(B541&gt;=in_marketplace_from+in_card_months,B541&lt;in_marketplace_from+2*in_card_months),in_card_share*d_card_rem/in_card_months*F541*MIN(in_takeup_cap,(1+in_takeup_growth)^(D541-1))*MIN(in_takeup_cap,(1+in_approval_growth)^(D541-1)),0))</f>
        <v/>
      </c>
      <c r="AA541" s="14">
        <f>V541*in_fee*(1-in_taken_back)</f>
        <v/>
      </c>
      <c r="AB541" s="14">
        <f>SUMIFS(W506:W556,B506:B556,B541-in_dpd_lag)*d_dpd</f>
        <v/>
      </c>
      <c r="AC541" s="14">
        <f>SUMIFS(W506:W556,B506:B556,B541-in_rec_lag)*d_rec</f>
        <v/>
      </c>
      <c r="AD541" s="14">
        <f>Z541*in_card_fee</f>
        <v/>
      </c>
      <c r="AE541" s="40">
        <f>AE540*(1-IF(B540&gt;=in_marketplace_from,d_hz_hlth_small*G540,0))</f>
        <v/>
      </c>
      <c r="AF541" s="46">
        <f>AE541*IF(B541&gt;=in_marketplace_from,d_hz_hlth_small*G541,0)</f>
        <v/>
      </c>
      <c r="AG541" s="14">
        <f>F541*AF541*in_hlth_small_ticket*in_hlth_small_comm*in_ins_partner_share+F541*in_hlth_small_ticket*in_hlth_small_renew_comm*in_ins_partner_share*(in_hlth_small_renew^1*SUMIFS(AF506:AF556,B506:B556,B541-12)+in_hlth_small_renew^2*SUMIFS(AF506:AF556,B506:B556,B541-24)+in_hlth_small_renew^3*SUMIFS(AF506:AF556,B506:B556,B541-36)+in_hlth_small_renew^4*SUMIFS(AF506:AF556,B506:B556,B541-48))</f>
        <v/>
      </c>
      <c r="AH541" s="40">
        <f>AH540*(1-IF(B540&gt;=in_marketplace_from,d_hz_hlth_family*G540,0))</f>
        <v/>
      </c>
      <c r="AI541" s="46">
        <f>AH541*IF(B541&gt;=in_marketplace_from,d_hz_hlth_family*G541,0)</f>
        <v/>
      </c>
      <c r="AJ541" s="14">
        <f>F541*AI541*in_hlth_family_ticket*in_hlth_family_comm*in_ins_partner_share+F541*in_hlth_family_ticket*in_hlth_family_renew_comm*in_ins_partner_share*(in_hlth_family_renew^1*SUMIFS(AI506:AI556,B506:B556,B541-12)+in_hlth_family_renew^2*SUMIFS(AI506:AI556,B506:B556,B541-24)+in_hlth_family_renew^3*SUMIFS(AI506:AI556,B506:B556,B541-36)+in_hlth_family_renew^4*SUMIFS(AI506:AI556,B506:B556,B541-48))</f>
        <v/>
      </c>
      <c r="AK541" s="40">
        <f>AK540*(1-IF(B540&gt;=in_marketplace_from,d_hz_life_term*G540,0))</f>
        <v/>
      </c>
      <c r="AL541" s="46">
        <f>AK541*IF(B541&gt;=in_marketplace_from,d_hz_life_term*G541,0)</f>
        <v/>
      </c>
      <c r="AM541" s="14">
        <f>F541*AL541*in_life_term_ticket*in_life_term_comm*in_ins_partner_share+F541*in_life_term_ticket*in_life_term_renew_comm*in_ins_partner_share*(in_life_term_renew^1*SUMIFS(AL506:AL556,B506:B556,B541-12)+in_life_term_renew^2*SUMIFS(AL506:AL556,B506:B556,B541-24)+in_life_term_renew^3*SUMIFS(AL506:AL556,B506:B556,B541-36)+in_life_term_renew^4*SUMIFS(AL506:AL556,B506:B556,B541-48))</f>
        <v/>
      </c>
      <c r="AN541" s="40">
        <f>AN540*(1-IF(B540&gt;=in_marketplace_from,d_hz_accident*G540,0))</f>
        <v/>
      </c>
      <c r="AO541" s="46">
        <f>AN541*IF(B541&gt;=in_marketplace_from,d_hz_accident*G541,0)</f>
        <v/>
      </c>
      <c r="AP541" s="14">
        <f>F541*AO541*in_accident_ticket*in_accident_comm*in_ins_partner_share+F541*in_accident_ticket*in_accident_renew_comm*in_ins_partner_share*(in_accident_renew^1*SUMIFS(AO506:AO556,B506:B556,B541-12)+in_accident_renew^2*SUMIFS(AO506:AO556,B506:B556,B541-24)+in_accident_renew^3*SUMIFS(AO506:AO556,B506:B556,B541-36)+in_accident_renew^4*SUMIFS(AO506:AO556,B506:B556,B541-48))</f>
        <v/>
      </c>
      <c r="AQ541" s="40">
        <f>AQ540*(1-IF(B540&gt;=in_marketplace_from,d_hz_two_wheeler*G540,0))</f>
        <v/>
      </c>
      <c r="AR541" s="46">
        <f>AQ541*IF(B541&gt;=in_marketplace_from,d_hz_two_wheeler*G541,0)</f>
        <v/>
      </c>
      <c r="AS541" s="14">
        <f>F541*AR541*in_two_wheeler_ticket*in_two_wheeler_comm*in_ins_partner_share+F541*in_two_wheeler_ticket*in_two_wheeler_comm*in_ins_partner_share*(in_two_wheeler_renew^1*SUMIFS(AR506:AR556,B506:B556,B541-12)+in_two_wheeler_renew^2*SUMIFS(AR506:AR556,B506:B556,B541-24)+in_two_wheeler_renew^3*SUMIFS(AR506:AR556,B506:B556,B541-36)+in_two_wheeler_renew^4*SUMIFS(AR506:AR556,B506:B556,B541-48))</f>
        <v/>
      </c>
      <c r="AT541" s="40">
        <f>AT540*(1-IF(B540&gt;=in_marketplace_from,d_hz_device*G540,0))</f>
        <v/>
      </c>
      <c r="AU541" s="14">
        <f>F541*AT541*IF(B541&gt;=in_marketplace_from,d_hz_device*G541,0)*in_device_ticket*in_device_comm*in_ins_partner_share</f>
        <v/>
      </c>
      <c r="AV541" s="40">
        <f>AV540*(1-IF(B540&gt;=in_marketplace_from,d_hz_shop*G540,0))</f>
        <v/>
      </c>
      <c r="AW541" s="46">
        <f>AV541*IF(B541&gt;=in_marketplace_from,d_hz_shop*G541,0)</f>
        <v/>
      </c>
      <c r="AX541" s="14">
        <f>F541*AW541*in_shop_ticket*in_shop_comm*in_ins_partner_share+F541*in_shop_ticket*in_shop_renew_comm*in_ins_partner_share*(in_shop_renew^1*SUMIFS(AW506:AW556,B506:B556,B541-12)+in_shop_renew^2*SUMIFS(AW506:AW556,B506:B556,B541-24)+in_shop_renew^3*SUMIFS(AW506:AW556,B506:B556,B541-36)+in_shop_renew^4*SUMIFS(AW506:AW556,B506:B556,B541-48))</f>
        <v/>
      </c>
      <c r="AY541" s="40">
        <f>AY540*(1-IF(B540&gt;=in_marketplace_from,d_hz_sip*G540,0))</f>
        <v/>
      </c>
      <c r="AZ541" s="40">
        <f>AZ540*d_rho_sip+AY541*IF(B541&gt;=in_marketplace_from,d_hz_sip*G541,0)</f>
        <v/>
      </c>
      <c r="BA541" s="40">
        <f>d_rho_sip*(BA540+AZ540)</f>
        <v/>
      </c>
      <c r="BB541" s="14">
        <f>F541*in_sip_ticket*(BA541+0.5*AZ541)*in_sip_comm/12</f>
        <v/>
      </c>
      <c r="BC541" s="40">
        <f>BC540*(1-IF(B540&gt;=in_marketplace_from,d_hz_choti*G540,0))</f>
        <v/>
      </c>
      <c r="BD541" s="46">
        <f>BC541*IF(B541&gt;=in_marketplace_from,d_hz_choti*G541,0)</f>
        <v/>
      </c>
      <c r="BE541" s="14">
        <f>F541*SUMIFS(BD506:BD556,B506:B556,B541-in_choti_months)*in_choti_renew*in_choti_ticket</f>
        <v/>
      </c>
      <c r="BF541" s="40">
        <f>BF540*(1-IF(B540&gt;=in_marketplace_from,d_hz_nps*G540,0))</f>
        <v/>
      </c>
      <c r="BG541" s="14">
        <f>F541*BF541*IF(B541&gt;=in_marketplace_from,d_hz_nps*G541,0)*in_nps_ticket*in_nps_comm</f>
        <v/>
      </c>
      <c r="BH541" s="40">
        <f>BH540*(1-IF(B540&gt;=in_marketplace_from,d_hz_gold*G540,0))</f>
        <v/>
      </c>
      <c r="BI541" s="40">
        <f>BI540*d_rho_gold+BH541*IF(B541&gt;=in_marketplace_from,d_hz_gold*G541,0)</f>
        <v/>
      </c>
      <c r="BJ541" s="14">
        <f>F541*BI541*in_gold_ticket*in_gold_comm</f>
        <v/>
      </c>
      <c r="BK541" s="40">
        <f>BK540*(1-IF(B540&gt;=in_marketplace_from,d_hz_fd*G540,0))</f>
        <v/>
      </c>
      <c r="BL541" s="14">
        <f>F541*BK541*IF(B541&gt;=in_marketplace_from,d_hz_fd*G541,0)*in_fd_ticket*in_fd_comm</f>
        <v/>
      </c>
      <c r="BM541" s="40">
        <f>BM540*(1-IF(B540&gt;=in_marketplace_from,d_hz_recharge*G540,0))</f>
        <v/>
      </c>
      <c r="BN541" s="40">
        <f>BN540*d_rho_recharge+BM541*IF(B541&gt;=in_marketplace_from,d_hz_recharge*G541,0)</f>
        <v/>
      </c>
      <c r="BO541" s="14">
        <f>F541*BN541*in_recharge_ticket*in_recharge_comm/12</f>
        <v/>
      </c>
      <c r="BP541" s="40">
        <f>BP540*(1-IF(B540&gt;=in_marketplace_from,d_hz_bills*G540,0))</f>
        <v/>
      </c>
      <c r="BQ541" s="40">
        <f>BQ540*d_rho_bills+BP541*IF(B541&gt;=in_marketplace_from,d_hz_bills*G541,0)</f>
        <v/>
      </c>
      <c r="BR541" s="14">
        <f>F541*BQ541*in_bills_ticket*in_bills_comm/12</f>
        <v/>
      </c>
      <c r="BS541" s="40">
        <f>BS540*(1-IF(B540&gt;=in_marketplace_from,d_hz_loan_gold*G540,0))</f>
        <v/>
      </c>
      <c r="BT541" s="14">
        <f>F541*BS541*IF(B541&gt;=in_marketplace_from,d_hz_loan_gold*G541,0)*in_loan_gold_ticket*in_loan_gold_comm</f>
        <v/>
      </c>
      <c r="BU541" s="40">
        <f>BU540*(1-IF(B540&gt;=in_marketplace_from,d_hz_loan_cd*G540,0))</f>
        <v/>
      </c>
      <c r="BV541" s="14">
        <f>F541*BU541*IF(B541&gt;=in_marketplace_from,d_hz_loan_cd*G541,0)*in_loan_cd_ticket*in_loan_cd_comm</f>
        <v/>
      </c>
      <c r="BW541" s="40">
        <f>BW540*(1-IF(B540&gt;=in_marketplace_from,d_hz_loan_vehicle*G540,0))</f>
        <v/>
      </c>
      <c r="BX541" s="14">
        <f>F541*BW541*IF(B541&gt;=in_marketplace_from,d_hz_loan_vehicle*G541,0)*in_loan_vehicle_ticket*in_loan_vehicle_comm</f>
        <v/>
      </c>
      <c r="BY541" s="40">
        <f>BY540*(1-IF(B540&gt;=in_marketplace_from,d_hz_loan_home*G540,0)*BZ540)</f>
        <v/>
      </c>
      <c r="BZ541" s="11">
        <f>MIN(in_approval_cap,in_loan_home_approval*INDEX('Age profile'!$O$2:$O$61,B541)*(1+in_approval_growth)^(D541-1))</f>
        <v/>
      </c>
      <c r="CA541" s="14">
        <f>F541*BY541*IF(B541&gt;=in_marketplace_from,d_hz_loan_home*G541,0)*BZ541*in_loan_home_ticket*in_loan_home_comm</f>
        <v/>
      </c>
      <c r="CB541" s="40">
        <f>CB540*(1-IF(B540&gt;=in_marketplace_from,d_hz_loan_lap*G540,0)*CC540)</f>
        <v/>
      </c>
      <c r="CC541" s="11">
        <f>MIN(in_approval_cap,in_loan_lap_approval*INDEX('Age profile'!$O$2:$O$61,B541)*(1+in_approval_growth)^(D541-1))</f>
        <v/>
      </c>
      <c r="CD541" s="14">
        <f>F541*CB541*IF(B541&gt;=in_marketplace_from,d_hz_loan_lap*G541,0)*CC541*in_loan_lap_ticket*in_loan_lap_comm</f>
        <v/>
      </c>
      <c r="CE541" s="14">
        <f>AA541+AB541+AC541+AD541+AG541+AJ541+AM541+AP541+AS541+AU541+AX541+BB541+BE541+BG541+BJ541+BL541+BO541+BR541+BT541+BV541+BX541+CA541+CD541</f>
        <v/>
      </c>
    </row>
    <row r="542">
      <c r="A542" s="39" t="n">
        <v>10</v>
      </c>
      <c r="B542" s="39" t="n">
        <v>37</v>
      </c>
      <c r="C542" s="39">
        <f>A542+B542-1</f>
        <v/>
      </c>
      <c r="D542" s="39">
        <f>INT((C542-1)/12)+1</f>
        <v/>
      </c>
      <c r="E542" s="44">
        <f>INDEX(Monthly!$B$2:$B$61,A542)</f>
        <v/>
      </c>
      <c r="F542" s="44">
        <f>E542*INDEX('Age profile'!$B$2:$B$61,B542)</f>
        <v/>
      </c>
      <c r="G542" s="45">
        <f>MIN(in_takeup_cap,INDEX('Age profile'!$N$2:$N$61,B542)*(1+in_takeup_growth)^(D542-1))</f>
        <v/>
      </c>
      <c r="H542" s="11">
        <f>MIN(in_approval_cap,in_approved_first*INDEX('Age profile'!$O$2:$O$61,B542)*(1+in_approval_growth)^(D542-1))</f>
        <v/>
      </c>
      <c r="I542" s="45">
        <f>G542*MIN(in_takeup_cap,INDEX('Age profile'!$O$2:$O$61,B542)*(1+in_approval_growth)^(D542-1))</f>
        <v/>
      </c>
      <c r="J542" s="40">
        <f>(J541-L541)*F542/F541</f>
        <v/>
      </c>
      <c r="K542" s="40">
        <f>(K541-M541)*F542/F541+SUMIFS(O506:O541,B506:B541,B542-1-d_T)*F542</f>
        <v/>
      </c>
      <c r="L542" s="40">
        <f>IF(B542&gt;=in_marketplace_from,J542*d_hz*G542*in_eligible*H542,0)</f>
        <v/>
      </c>
      <c r="M542" s="40">
        <f>IF(B542&gt;=in_marketplace_from,K542*d_hz*G542*in_eligible*in_approved_repeat,0)</f>
        <v/>
      </c>
      <c r="N542" s="40">
        <f>L542+M542</f>
        <v/>
      </c>
      <c r="O542" s="46">
        <f>N542/F542</f>
        <v/>
      </c>
      <c r="P542" s="40">
        <f>F542-J542-K542</f>
        <v/>
      </c>
      <c r="Q542" s="40">
        <f>IF(B542&gt;=in_marketplace_from,(J542+K542)*d_hz*G542,0)</f>
        <v/>
      </c>
      <c r="R542" s="40">
        <f>SUMIFS(N506:N556,B506:B556,"&gt;="&amp;(B542-d_T),B506:B556,"&lt;="&amp;(B542-1))</f>
        <v/>
      </c>
      <c r="S542" s="46">
        <f>(1-d_u)*S541+IF(d_T&gt;in_topup_lag,SUMIFS(O506:O556,B506:B556,B542-in_topup_lag)-d_udrop*SUMIFS(O506:O556,B506:B556,B542-d_T),0)</f>
        <v/>
      </c>
      <c r="T542" s="40">
        <f>F542*d_u*S542</f>
        <v/>
      </c>
      <c r="U542" s="9">
        <f>L542*in_ticket+M542*d_rep_ticket</f>
        <v/>
      </c>
      <c r="V542" s="9">
        <f>U542+T542*d_topup_amt</f>
        <v/>
      </c>
      <c r="W542" s="40">
        <f>N542+T542*d_topup_ratio</f>
        <v/>
      </c>
      <c r="X542" s="40">
        <f>SUMIFS(W506:W556,B506:B556,B542-in_dpd_lag)*d_cured</f>
        <v/>
      </c>
      <c r="Y542" s="40">
        <f>SUMIFS(W506:W556,B506:B556,B542-in_rec_lag)*d_recd</f>
        <v/>
      </c>
      <c r="Z542" s="40">
        <f>IF(AND(B542&gt;=in_marketplace_from,B542&lt;in_marketplace_from+in_card_months),in_card_share/in_card_months*F542*I542,IF(AND(B542&gt;=in_marketplace_from+in_card_months,B542&lt;in_marketplace_from+2*in_card_months),in_card_share*d_card_rem/in_card_months*F542*MIN(in_takeup_cap,(1+in_takeup_growth)^(D542-1))*MIN(in_takeup_cap,(1+in_approval_growth)^(D542-1)),0))</f>
        <v/>
      </c>
      <c r="AA542" s="14">
        <f>V542*in_fee*(1-in_taken_back)</f>
        <v/>
      </c>
      <c r="AB542" s="14">
        <f>SUMIFS(W506:W556,B506:B556,B542-in_dpd_lag)*d_dpd</f>
        <v/>
      </c>
      <c r="AC542" s="14">
        <f>SUMIFS(W506:W556,B506:B556,B542-in_rec_lag)*d_rec</f>
        <v/>
      </c>
      <c r="AD542" s="14">
        <f>Z542*in_card_fee</f>
        <v/>
      </c>
      <c r="AE542" s="40">
        <f>AE541*(1-IF(B541&gt;=in_marketplace_from,d_hz_hlth_small*G541,0))</f>
        <v/>
      </c>
      <c r="AF542" s="46">
        <f>AE542*IF(B542&gt;=in_marketplace_from,d_hz_hlth_small*G542,0)</f>
        <v/>
      </c>
      <c r="AG542" s="14">
        <f>F542*AF542*in_hlth_small_ticket*in_hlth_small_comm*in_ins_partner_share+F542*in_hlth_small_ticket*in_hlth_small_renew_comm*in_ins_partner_share*(in_hlth_small_renew^1*SUMIFS(AF506:AF556,B506:B556,B542-12)+in_hlth_small_renew^2*SUMIFS(AF506:AF556,B506:B556,B542-24)+in_hlth_small_renew^3*SUMIFS(AF506:AF556,B506:B556,B542-36)+in_hlth_small_renew^4*SUMIFS(AF506:AF556,B506:B556,B542-48))</f>
        <v/>
      </c>
      <c r="AH542" s="40">
        <f>AH541*(1-IF(B541&gt;=in_marketplace_from,d_hz_hlth_family*G541,0))</f>
        <v/>
      </c>
      <c r="AI542" s="46">
        <f>AH542*IF(B542&gt;=in_marketplace_from,d_hz_hlth_family*G542,0)</f>
        <v/>
      </c>
      <c r="AJ542" s="14">
        <f>F542*AI542*in_hlth_family_ticket*in_hlth_family_comm*in_ins_partner_share+F542*in_hlth_family_ticket*in_hlth_family_renew_comm*in_ins_partner_share*(in_hlth_family_renew^1*SUMIFS(AI506:AI556,B506:B556,B542-12)+in_hlth_family_renew^2*SUMIFS(AI506:AI556,B506:B556,B542-24)+in_hlth_family_renew^3*SUMIFS(AI506:AI556,B506:B556,B542-36)+in_hlth_family_renew^4*SUMIFS(AI506:AI556,B506:B556,B542-48))</f>
        <v/>
      </c>
      <c r="AK542" s="40">
        <f>AK541*(1-IF(B541&gt;=in_marketplace_from,d_hz_life_term*G541,0))</f>
        <v/>
      </c>
      <c r="AL542" s="46">
        <f>AK542*IF(B542&gt;=in_marketplace_from,d_hz_life_term*G542,0)</f>
        <v/>
      </c>
      <c r="AM542" s="14">
        <f>F542*AL542*in_life_term_ticket*in_life_term_comm*in_ins_partner_share+F542*in_life_term_ticket*in_life_term_renew_comm*in_ins_partner_share*(in_life_term_renew^1*SUMIFS(AL506:AL556,B506:B556,B542-12)+in_life_term_renew^2*SUMIFS(AL506:AL556,B506:B556,B542-24)+in_life_term_renew^3*SUMIFS(AL506:AL556,B506:B556,B542-36)+in_life_term_renew^4*SUMIFS(AL506:AL556,B506:B556,B542-48))</f>
        <v/>
      </c>
      <c r="AN542" s="40">
        <f>AN541*(1-IF(B541&gt;=in_marketplace_from,d_hz_accident*G541,0))</f>
        <v/>
      </c>
      <c r="AO542" s="46">
        <f>AN542*IF(B542&gt;=in_marketplace_from,d_hz_accident*G542,0)</f>
        <v/>
      </c>
      <c r="AP542" s="14">
        <f>F542*AO542*in_accident_ticket*in_accident_comm*in_ins_partner_share+F542*in_accident_ticket*in_accident_renew_comm*in_ins_partner_share*(in_accident_renew^1*SUMIFS(AO506:AO556,B506:B556,B542-12)+in_accident_renew^2*SUMIFS(AO506:AO556,B506:B556,B542-24)+in_accident_renew^3*SUMIFS(AO506:AO556,B506:B556,B542-36)+in_accident_renew^4*SUMIFS(AO506:AO556,B506:B556,B542-48))</f>
        <v/>
      </c>
      <c r="AQ542" s="40">
        <f>AQ541*(1-IF(B541&gt;=in_marketplace_from,d_hz_two_wheeler*G541,0))</f>
        <v/>
      </c>
      <c r="AR542" s="46">
        <f>AQ542*IF(B542&gt;=in_marketplace_from,d_hz_two_wheeler*G542,0)</f>
        <v/>
      </c>
      <c r="AS542" s="14">
        <f>F542*AR542*in_two_wheeler_ticket*in_two_wheeler_comm*in_ins_partner_share+F542*in_two_wheeler_ticket*in_two_wheeler_comm*in_ins_partner_share*(in_two_wheeler_renew^1*SUMIFS(AR506:AR556,B506:B556,B542-12)+in_two_wheeler_renew^2*SUMIFS(AR506:AR556,B506:B556,B542-24)+in_two_wheeler_renew^3*SUMIFS(AR506:AR556,B506:B556,B542-36)+in_two_wheeler_renew^4*SUMIFS(AR506:AR556,B506:B556,B542-48))</f>
        <v/>
      </c>
      <c r="AT542" s="40">
        <f>AT541*(1-IF(B541&gt;=in_marketplace_from,d_hz_device*G541,0))</f>
        <v/>
      </c>
      <c r="AU542" s="14">
        <f>F542*AT542*IF(B542&gt;=in_marketplace_from,d_hz_device*G542,0)*in_device_ticket*in_device_comm*in_ins_partner_share</f>
        <v/>
      </c>
      <c r="AV542" s="40">
        <f>AV541*(1-IF(B541&gt;=in_marketplace_from,d_hz_shop*G541,0))</f>
        <v/>
      </c>
      <c r="AW542" s="46">
        <f>AV542*IF(B542&gt;=in_marketplace_from,d_hz_shop*G542,0)</f>
        <v/>
      </c>
      <c r="AX542" s="14">
        <f>F542*AW542*in_shop_ticket*in_shop_comm*in_ins_partner_share+F542*in_shop_ticket*in_shop_renew_comm*in_ins_partner_share*(in_shop_renew^1*SUMIFS(AW506:AW556,B506:B556,B542-12)+in_shop_renew^2*SUMIFS(AW506:AW556,B506:B556,B542-24)+in_shop_renew^3*SUMIFS(AW506:AW556,B506:B556,B542-36)+in_shop_renew^4*SUMIFS(AW506:AW556,B506:B556,B542-48))</f>
        <v/>
      </c>
      <c r="AY542" s="40">
        <f>AY541*(1-IF(B541&gt;=in_marketplace_from,d_hz_sip*G541,0))</f>
        <v/>
      </c>
      <c r="AZ542" s="40">
        <f>AZ541*d_rho_sip+AY542*IF(B542&gt;=in_marketplace_from,d_hz_sip*G542,0)</f>
        <v/>
      </c>
      <c r="BA542" s="40">
        <f>d_rho_sip*(BA541+AZ541)</f>
        <v/>
      </c>
      <c r="BB542" s="14">
        <f>F542*in_sip_ticket*(BA542+0.5*AZ542)*in_sip_comm/12</f>
        <v/>
      </c>
      <c r="BC542" s="40">
        <f>BC541*(1-IF(B541&gt;=in_marketplace_from,d_hz_choti*G541,0))</f>
        <v/>
      </c>
      <c r="BD542" s="46">
        <f>BC542*IF(B542&gt;=in_marketplace_from,d_hz_choti*G542,0)</f>
        <v/>
      </c>
      <c r="BE542" s="14">
        <f>F542*SUMIFS(BD506:BD556,B506:B556,B542-in_choti_months)*in_choti_renew*in_choti_ticket</f>
        <v/>
      </c>
      <c r="BF542" s="40">
        <f>BF541*(1-IF(B541&gt;=in_marketplace_from,d_hz_nps*G541,0))</f>
        <v/>
      </c>
      <c r="BG542" s="14">
        <f>F542*BF542*IF(B542&gt;=in_marketplace_from,d_hz_nps*G542,0)*in_nps_ticket*in_nps_comm</f>
        <v/>
      </c>
      <c r="BH542" s="40">
        <f>BH541*(1-IF(B541&gt;=in_marketplace_from,d_hz_gold*G541,0))</f>
        <v/>
      </c>
      <c r="BI542" s="40">
        <f>BI541*d_rho_gold+BH542*IF(B542&gt;=in_marketplace_from,d_hz_gold*G542,0)</f>
        <v/>
      </c>
      <c r="BJ542" s="14">
        <f>F542*BI542*in_gold_ticket*in_gold_comm</f>
        <v/>
      </c>
      <c r="BK542" s="40">
        <f>BK541*(1-IF(B541&gt;=in_marketplace_from,d_hz_fd*G541,0))</f>
        <v/>
      </c>
      <c r="BL542" s="14">
        <f>F542*BK542*IF(B542&gt;=in_marketplace_from,d_hz_fd*G542,0)*in_fd_ticket*in_fd_comm</f>
        <v/>
      </c>
      <c r="BM542" s="40">
        <f>BM541*(1-IF(B541&gt;=in_marketplace_from,d_hz_recharge*G541,0))</f>
        <v/>
      </c>
      <c r="BN542" s="40">
        <f>BN541*d_rho_recharge+BM542*IF(B542&gt;=in_marketplace_from,d_hz_recharge*G542,0)</f>
        <v/>
      </c>
      <c r="BO542" s="14">
        <f>F542*BN542*in_recharge_ticket*in_recharge_comm/12</f>
        <v/>
      </c>
      <c r="BP542" s="40">
        <f>BP541*(1-IF(B541&gt;=in_marketplace_from,d_hz_bills*G541,0))</f>
        <v/>
      </c>
      <c r="BQ542" s="40">
        <f>BQ541*d_rho_bills+BP542*IF(B542&gt;=in_marketplace_from,d_hz_bills*G542,0)</f>
        <v/>
      </c>
      <c r="BR542" s="14">
        <f>F542*BQ542*in_bills_ticket*in_bills_comm/12</f>
        <v/>
      </c>
      <c r="BS542" s="40">
        <f>BS541*(1-IF(B541&gt;=in_marketplace_from,d_hz_loan_gold*G541,0))</f>
        <v/>
      </c>
      <c r="BT542" s="14">
        <f>F542*BS542*IF(B542&gt;=in_marketplace_from,d_hz_loan_gold*G542,0)*in_loan_gold_ticket*in_loan_gold_comm</f>
        <v/>
      </c>
      <c r="BU542" s="40">
        <f>BU541*(1-IF(B541&gt;=in_marketplace_from,d_hz_loan_cd*G541,0))</f>
        <v/>
      </c>
      <c r="BV542" s="14">
        <f>F542*BU542*IF(B542&gt;=in_marketplace_from,d_hz_loan_cd*G542,0)*in_loan_cd_ticket*in_loan_cd_comm</f>
        <v/>
      </c>
      <c r="BW542" s="40">
        <f>BW541*(1-IF(B541&gt;=in_marketplace_from,d_hz_loan_vehicle*G541,0))</f>
        <v/>
      </c>
      <c r="BX542" s="14">
        <f>F542*BW542*IF(B542&gt;=in_marketplace_from,d_hz_loan_vehicle*G542,0)*in_loan_vehicle_ticket*in_loan_vehicle_comm</f>
        <v/>
      </c>
      <c r="BY542" s="40">
        <f>BY541*(1-IF(B541&gt;=in_marketplace_from,d_hz_loan_home*G541,0)*BZ541)</f>
        <v/>
      </c>
      <c r="BZ542" s="11">
        <f>MIN(in_approval_cap,in_loan_home_approval*INDEX('Age profile'!$O$2:$O$61,B542)*(1+in_approval_growth)^(D542-1))</f>
        <v/>
      </c>
      <c r="CA542" s="14">
        <f>F542*BY542*IF(B542&gt;=in_marketplace_from,d_hz_loan_home*G542,0)*BZ542*in_loan_home_ticket*in_loan_home_comm</f>
        <v/>
      </c>
      <c r="CB542" s="40">
        <f>CB541*(1-IF(B541&gt;=in_marketplace_from,d_hz_loan_lap*G541,0)*CC541)</f>
        <v/>
      </c>
      <c r="CC542" s="11">
        <f>MIN(in_approval_cap,in_loan_lap_approval*INDEX('Age profile'!$O$2:$O$61,B542)*(1+in_approval_growth)^(D542-1))</f>
        <v/>
      </c>
      <c r="CD542" s="14">
        <f>F542*CB542*IF(B542&gt;=in_marketplace_from,d_hz_loan_lap*G542,0)*CC542*in_loan_lap_ticket*in_loan_lap_comm</f>
        <v/>
      </c>
      <c r="CE542" s="14">
        <f>AA542+AB542+AC542+AD542+AG542+AJ542+AM542+AP542+AS542+AU542+AX542+BB542+BE542+BG542+BJ542+BL542+BO542+BR542+BT542+BV542+BX542+CA542+CD542</f>
        <v/>
      </c>
    </row>
    <row r="543">
      <c r="A543" s="39" t="n">
        <v>10</v>
      </c>
      <c r="B543" s="39" t="n">
        <v>38</v>
      </c>
      <c r="C543" s="39">
        <f>A543+B543-1</f>
        <v/>
      </c>
      <c r="D543" s="39">
        <f>INT((C543-1)/12)+1</f>
        <v/>
      </c>
      <c r="E543" s="44">
        <f>INDEX(Monthly!$B$2:$B$61,A543)</f>
        <v/>
      </c>
      <c r="F543" s="44">
        <f>E543*INDEX('Age profile'!$B$2:$B$61,B543)</f>
        <v/>
      </c>
      <c r="G543" s="45">
        <f>MIN(in_takeup_cap,INDEX('Age profile'!$N$2:$N$61,B543)*(1+in_takeup_growth)^(D543-1))</f>
        <v/>
      </c>
      <c r="H543" s="11">
        <f>MIN(in_approval_cap,in_approved_first*INDEX('Age profile'!$O$2:$O$61,B543)*(1+in_approval_growth)^(D543-1))</f>
        <v/>
      </c>
      <c r="I543" s="45">
        <f>G543*MIN(in_takeup_cap,INDEX('Age profile'!$O$2:$O$61,B543)*(1+in_approval_growth)^(D543-1))</f>
        <v/>
      </c>
      <c r="J543" s="40">
        <f>(J542-L542)*F543/F542</f>
        <v/>
      </c>
      <c r="K543" s="40">
        <f>(K542-M542)*F543/F542+SUMIFS(O506:O542,B506:B542,B543-1-d_T)*F543</f>
        <v/>
      </c>
      <c r="L543" s="40">
        <f>IF(B543&gt;=in_marketplace_from,J543*d_hz*G543*in_eligible*H543,0)</f>
        <v/>
      </c>
      <c r="M543" s="40">
        <f>IF(B543&gt;=in_marketplace_from,K543*d_hz*G543*in_eligible*in_approved_repeat,0)</f>
        <v/>
      </c>
      <c r="N543" s="40">
        <f>L543+M543</f>
        <v/>
      </c>
      <c r="O543" s="46">
        <f>N543/F543</f>
        <v/>
      </c>
      <c r="P543" s="40">
        <f>F543-J543-K543</f>
        <v/>
      </c>
      <c r="Q543" s="40">
        <f>IF(B543&gt;=in_marketplace_from,(J543+K543)*d_hz*G543,0)</f>
        <v/>
      </c>
      <c r="R543" s="40">
        <f>SUMIFS(N506:N556,B506:B556,"&gt;="&amp;(B543-d_T),B506:B556,"&lt;="&amp;(B543-1))</f>
        <v/>
      </c>
      <c r="S543" s="46">
        <f>(1-d_u)*S542+IF(d_T&gt;in_topup_lag,SUMIFS(O506:O556,B506:B556,B543-in_topup_lag)-d_udrop*SUMIFS(O506:O556,B506:B556,B543-d_T),0)</f>
        <v/>
      </c>
      <c r="T543" s="40">
        <f>F543*d_u*S543</f>
        <v/>
      </c>
      <c r="U543" s="9">
        <f>L543*in_ticket+M543*d_rep_ticket</f>
        <v/>
      </c>
      <c r="V543" s="9">
        <f>U543+T543*d_topup_amt</f>
        <v/>
      </c>
      <c r="W543" s="40">
        <f>N543+T543*d_topup_ratio</f>
        <v/>
      </c>
      <c r="X543" s="40">
        <f>SUMIFS(W506:W556,B506:B556,B543-in_dpd_lag)*d_cured</f>
        <v/>
      </c>
      <c r="Y543" s="40">
        <f>SUMIFS(W506:W556,B506:B556,B543-in_rec_lag)*d_recd</f>
        <v/>
      </c>
      <c r="Z543" s="40">
        <f>IF(AND(B543&gt;=in_marketplace_from,B543&lt;in_marketplace_from+in_card_months),in_card_share/in_card_months*F543*I543,IF(AND(B543&gt;=in_marketplace_from+in_card_months,B543&lt;in_marketplace_from+2*in_card_months),in_card_share*d_card_rem/in_card_months*F543*MIN(in_takeup_cap,(1+in_takeup_growth)^(D543-1))*MIN(in_takeup_cap,(1+in_approval_growth)^(D543-1)),0))</f>
        <v/>
      </c>
      <c r="AA543" s="14">
        <f>V543*in_fee*(1-in_taken_back)</f>
        <v/>
      </c>
      <c r="AB543" s="14">
        <f>SUMIFS(W506:W556,B506:B556,B543-in_dpd_lag)*d_dpd</f>
        <v/>
      </c>
      <c r="AC543" s="14">
        <f>SUMIFS(W506:W556,B506:B556,B543-in_rec_lag)*d_rec</f>
        <v/>
      </c>
      <c r="AD543" s="14">
        <f>Z543*in_card_fee</f>
        <v/>
      </c>
      <c r="AE543" s="40">
        <f>AE542*(1-IF(B542&gt;=in_marketplace_from,d_hz_hlth_small*G542,0))</f>
        <v/>
      </c>
      <c r="AF543" s="46">
        <f>AE543*IF(B543&gt;=in_marketplace_from,d_hz_hlth_small*G543,0)</f>
        <v/>
      </c>
      <c r="AG543" s="14">
        <f>F543*AF543*in_hlth_small_ticket*in_hlth_small_comm*in_ins_partner_share+F543*in_hlth_small_ticket*in_hlth_small_renew_comm*in_ins_partner_share*(in_hlth_small_renew^1*SUMIFS(AF506:AF556,B506:B556,B543-12)+in_hlth_small_renew^2*SUMIFS(AF506:AF556,B506:B556,B543-24)+in_hlth_small_renew^3*SUMIFS(AF506:AF556,B506:B556,B543-36)+in_hlth_small_renew^4*SUMIFS(AF506:AF556,B506:B556,B543-48))</f>
        <v/>
      </c>
      <c r="AH543" s="40">
        <f>AH542*(1-IF(B542&gt;=in_marketplace_from,d_hz_hlth_family*G542,0))</f>
        <v/>
      </c>
      <c r="AI543" s="46">
        <f>AH543*IF(B543&gt;=in_marketplace_from,d_hz_hlth_family*G543,0)</f>
        <v/>
      </c>
      <c r="AJ543" s="14">
        <f>F543*AI543*in_hlth_family_ticket*in_hlth_family_comm*in_ins_partner_share+F543*in_hlth_family_ticket*in_hlth_family_renew_comm*in_ins_partner_share*(in_hlth_family_renew^1*SUMIFS(AI506:AI556,B506:B556,B543-12)+in_hlth_family_renew^2*SUMIFS(AI506:AI556,B506:B556,B543-24)+in_hlth_family_renew^3*SUMIFS(AI506:AI556,B506:B556,B543-36)+in_hlth_family_renew^4*SUMIFS(AI506:AI556,B506:B556,B543-48))</f>
        <v/>
      </c>
      <c r="AK543" s="40">
        <f>AK542*(1-IF(B542&gt;=in_marketplace_from,d_hz_life_term*G542,0))</f>
        <v/>
      </c>
      <c r="AL543" s="46">
        <f>AK543*IF(B543&gt;=in_marketplace_from,d_hz_life_term*G543,0)</f>
        <v/>
      </c>
      <c r="AM543" s="14">
        <f>F543*AL543*in_life_term_ticket*in_life_term_comm*in_ins_partner_share+F543*in_life_term_ticket*in_life_term_renew_comm*in_ins_partner_share*(in_life_term_renew^1*SUMIFS(AL506:AL556,B506:B556,B543-12)+in_life_term_renew^2*SUMIFS(AL506:AL556,B506:B556,B543-24)+in_life_term_renew^3*SUMIFS(AL506:AL556,B506:B556,B543-36)+in_life_term_renew^4*SUMIFS(AL506:AL556,B506:B556,B543-48))</f>
        <v/>
      </c>
      <c r="AN543" s="40">
        <f>AN542*(1-IF(B542&gt;=in_marketplace_from,d_hz_accident*G542,0))</f>
        <v/>
      </c>
      <c r="AO543" s="46">
        <f>AN543*IF(B543&gt;=in_marketplace_from,d_hz_accident*G543,0)</f>
        <v/>
      </c>
      <c r="AP543" s="14">
        <f>F543*AO543*in_accident_ticket*in_accident_comm*in_ins_partner_share+F543*in_accident_ticket*in_accident_renew_comm*in_ins_partner_share*(in_accident_renew^1*SUMIFS(AO506:AO556,B506:B556,B543-12)+in_accident_renew^2*SUMIFS(AO506:AO556,B506:B556,B543-24)+in_accident_renew^3*SUMIFS(AO506:AO556,B506:B556,B543-36)+in_accident_renew^4*SUMIFS(AO506:AO556,B506:B556,B543-48))</f>
        <v/>
      </c>
      <c r="AQ543" s="40">
        <f>AQ542*(1-IF(B542&gt;=in_marketplace_from,d_hz_two_wheeler*G542,0))</f>
        <v/>
      </c>
      <c r="AR543" s="46">
        <f>AQ543*IF(B543&gt;=in_marketplace_from,d_hz_two_wheeler*G543,0)</f>
        <v/>
      </c>
      <c r="AS543" s="14">
        <f>F543*AR543*in_two_wheeler_ticket*in_two_wheeler_comm*in_ins_partner_share+F543*in_two_wheeler_ticket*in_two_wheeler_comm*in_ins_partner_share*(in_two_wheeler_renew^1*SUMIFS(AR506:AR556,B506:B556,B543-12)+in_two_wheeler_renew^2*SUMIFS(AR506:AR556,B506:B556,B543-24)+in_two_wheeler_renew^3*SUMIFS(AR506:AR556,B506:B556,B543-36)+in_two_wheeler_renew^4*SUMIFS(AR506:AR556,B506:B556,B543-48))</f>
        <v/>
      </c>
      <c r="AT543" s="40">
        <f>AT542*(1-IF(B542&gt;=in_marketplace_from,d_hz_device*G542,0))</f>
        <v/>
      </c>
      <c r="AU543" s="14">
        <f>F543*AT543*IF(B543&gt;=in_marketplace_from,d_hz_device*G543,0)*in_device_ticket*in_device_comm*in_ins_partner_share</f>
        <v/>
      </c>
      <c r="AV543" s="40">
        <f>AV542*(1-IF(B542&gt;=in_marketplace_from,d_hz_shop*G542,0))</f>
        <v/>
      </c>
      <c r="AW543" s="46">
        <f>AV543*IF(B543&gt;=in_marketplace_from,d_hz_shop*G543,0)</f>
        <v/>
      </c>
      <c r="AX543" s="14">
        <f>F543*AW543*in_shop_ticket*in_shop_comm*in_ins_partner_share+F543*in_shop_ticket*in_shop_renew_comm*in_ins_partner_share*(in_shop_renew^1*SUMIFS(AW506:AW556,B506:B556,B543-12)+in_shop_renew^2*SUMIFS(AW506:AW556,B506:B556,B543-24)+in_shop_renew^3*SUMIFS(AW506:AW556,B506:B556,B543-36)+in_shop_renew^4*SUMIFS(AW506:AW556,B506:B556,B543-48))</f>
        <v/>
      </c>
      <c r="AY543" s="40">
        <f>AY542*(1-IF(B542&gt;=in_marketplace_from,d_hz_sip*G542,0))</f>
        <v/>
      </c>
      <c r="AZ543" s="40">
        <f>AZ542*d_rho_sip+AY543*IF(B543&gt;=in_marketplace_from,d_hz_sip*G543,0)</f>
        <v/>
      </c>
      <c r="BA543" s="40">
        <f>d_rho_sip*(BA542+AZ542)</f>
        <v/>
      </c>
      <c r="BB543" s="14">
        <f>F543*in_sip_ticket*(BA543+0.5*AZ543)*in_sip_comm/12</f>
        <v/>
      </c>
      <c r="BC543" s="40">
        <f>BC542*(1-IF(B542&gt;=in_marketplace_from,d_hz_choti*G542,0))</f>
        <v/>
      </c>
      <c r="BD543" s="46">
        <f>BC543*IF(B543&gt;=in_marketplace_from,d_hz_choti*G543,0)</f>
        <v/>
      </c>
      <c r="BE543" s="14">
        <f>F543*SUMIFS(BD506:BD556,B506:B556,B543-in_choti_months)*in_choti_renew*in_choti_ticket</f>
        <v/>
      </c>
      <c r="BF543" s="40">
        <f>BF542*(1-IF(B542&gt;=in_marketplace_from,d_hz_nps*G542,0))</f>
        <v/>
      </c>
      <c r="BG543" s="14">
        <f>F543*BF543*IF(B543&gt;=in_marketplace_from,d_hz_nps*G543,0)*in_nps_ticket*in_nps_comm</f>
        <v/>
      </c>
      <c r="BH543" s="40">
        <f>BH542*(1-IF(B542&gt;=in_marketplace_from,d_hz_gold*G542,0))</f>
        <v/>
      </c>
      <c r="BI543" s="40">
        <f>BI542*d_rho_gold+BH543*IF(B543&gt;=in_marketplace_from,d_hz_gold*G543,0)</f>
        <v/>
      </c>
      <c r="BJ543" s="14">
        <f>F543*BI543*in_gold_ticket*in_gold_comm</f>
        <v/>
      </c>
      <c r="BK543" s="40">
        <f>BK542*(1-IF(B542&gt;=in_marketplace_from,d_hz_fd*G542,0))</f>
        <v/>
      </c>
      <c r="BL543" s="14">
        <f>F543*BK543*IF(B543&gt;=in_marketplace_from,d_hz_fd*G543,0)*in_fd_ticket*in_fd_comm</f>
        <v/>
      </c>
      <c r="BM543" s="40">
        <f>BM542*(1-IF(B542&gt;=in_marketplace_from,d_hz_recharge*G542,0))</f>
        <v/>
      </c>
      <c r="BN543" s="40">
        <f>BN542*d_rho_recharge+BM543*IF(B543&gt;=in_marketplace_from,d_hz_recharge*G543,0)</f>
        <v/>
      </c>
      <c r="BO543" s="14">
        <f>F543*BN543*in_recharge_ticket*in_recharge_comm/12</f>
        <v/>
      </c>
      <c r="BP543" s="40">
        <f>BP542*(1-IF(B542&gt;=in_marketplace_from,d_hz_bills*G542,0))</f>
        <v/>
      </c>
      <c r="BQ543" s="40">
        <f>BQ542*d_rho_bills+BP543*IF(B543&gt;=in_marketplace_from,d_hz_bills*G543,0)</f>
        <v/>
      </c>
      <c r="BR543" s="14">
        <f>F543*BQ543*in_bills_ticket*in_bills_comm/12</f>
        <v/>
      </c>
      <c r="BS543" s="40">
        <f>BS542*(1-IF(B542&gt;=in_marketplace_from,d_hz_loan_gold*G542,0))</f>
        <v/>
      </c>
      <c r="BT543" s="14">
        <f>F543*BS543*IF(B543&gt;=in_marketplace_from,d_hz_loan_gold*G543,0)*in_loan_gold_ticket*in_loan_gold_comm</f>
        <v/>
      </c>
      <c r="BU543" s="40">
        <f>BU542*(1-IF(B542&gt;=in_marketplace_from,d_hz_loan_cd*G542,0))</f>
        <v/>
      </c>
      <c r="BV543" s="14">
        <f>F543*BU543*IF(B543&gt;=in_marketplace_from,d_hz_loan_cd*G543,0)*in_loan_cd_ticket*in_loan_cd_comm</f>
        <v/>
      </c>
      <c r="BW543" s="40">
        <f>BW542*(1-IF(B542&gt;=in_marketplace_from,d_hz_loan_vehicle*G542,0))</f>
        <v/>
      </c>
      <c r="BX543" s="14">
        <f>F543*BW543*IF(B543&gt;=in_marketplace_from,d_hz_loan_vehicle*G543,0)*in_loan_vehicle_ticket*in_loan_vehicle_comm</f>
        <v/>
      </c>
      <c r="BY543" s="40">
        <f>BY542*(1-IF(B542&gt;=in_marketplace_from,d_hz_loan_home*G542,0)*BZ542)</f>
        <v/>
      </c>
      <c r="BZ543" s="11">
        <f>MIN(in_approval_cap,in_loan_home_approval*INDEX('Age profile'!$O$2:$O$61,B543)*(1+in_approval_growth)^(D543-1))</f>
        <v/>
      </c>
      <c r="CA543" s="14">
        <f>F543*BY543*IF(B543&gt;=in_marketplace_from,d_hz_loan_home*G543,0)*BZ543*in_loan_home_ticket*in_loan_home_comm</f>
        <v/>
      </c>
      <c r="CB543" s="40">
        <f>CB542*(1-IF(B542&gt;=in_marketplace_from,d_hz_loan_lap*G542,0)*CC542)</f>
        <v/>
      </c>
      <c r="CC543" s="11">
        <f>MIN(in_approval_cap,in_loan_lap_approval*INDEX('Age profile'!$O$2:$O$61,B543)*(1+in_approval_growth)^(D543-1))</f>
        <v/>
      </c>
      <c r="CD543" s="14">
        <f>F543*CB543*IF(B543&gt;=in_marketplace_from,d_hz_loan_lap*G543,0)*CC543*in_loan_lap_ticket*in_loan_lap_comm</f>
        <v/>
      </c>
      <c r="CE543" s="14">
        <f>AA543+AB543+AC543+AD543+AG543+AJ543+AM543+AP543+AS543+AU543+AX543+BB543+BE543+BG543+BJ543+BL543+BO543+BR543+BT543+BV543+BX543+CA543+CD543</f>
        <v/>
      </c>
    </row>
    <row r="544">
      <c r="A544" s="39" t="n">
        <v>10</v>
      </c>
      <c r="B544" s="39" t="n">
        <v>39</v>
      </c>
      <c r="C544" s="39">
        <f>A544+B544-1</f>
        <v/>
      </c>
      <c r="D544" s="39">
        <f>INT((C544-1)/12)+1</f>
        <v/>
      </c>
      <c r="E544" s="44">
        <f>INDEX(Monthly!$B$2:$B$61,A544)</f>
        <v/>
      </c>
      <c r="F544" s="44">
        <f>E544*INDEX('Age profile'!$B$2:$B$61,B544)</f>
        <v/>
      </c>
      <c r="G544" s="45">
        <f>MIN(in_takeup_cap,INDEX('Age profile'!$N$2:$N$61,B544)*(1+in_takeup_growth)^(D544-1))</f>
        <v/>
      </c>
      <c r="H544" s="11">
        <f>MIN(in_approval_cap,in_approved_first*INDEX('Age profile'!$O$2:$O$61,B544)*(1+in_approval_growth)^(D544-1))</f>
        <v/>
      </c>
      <c r="I544" s="45">
        <f>G544*MIN(in_takeup_cap,INDEX('Age profile'!$O$2:$O$61,B544)*(1+in_approval_growth)^(D544-1))</f>
        <v/>
      </c>
      <c r="J544" s="40">
        <f>(J543-L543)*F544/F543</f>
        <v/>
      </c>
      <c r="K544" s="40">
        <f>(K543-M543)*F544/F543+SUMIFS(O506:O543,B506:B543,B544-1-d_T)*F544</f>
        <v/>
      </c>
      <c r="L544" s="40">
        <f>IF(B544&gt;=in_marketplace_from,J544*d_hz*G544*in_eligible*H544,0)</f>
        <v/>
      </c>
      <c r="M544" s="40">
        <f>IF(B544&gt;=in_marketplace_from,K544*d_hz*G544*in_eligible*in_approved_repeat,0)</f>
        <v/>
      </c>
      <c r="N544" s="40">
        <f>L544+M544</f>
        <v/>
      </c>
      <c r="O544" s="46">
        <f>N544/F544</f>
        <v/>
      </c>
      <c r="P544" s="40">
        <f>F544-J544-K544</f>
        <v/>
      </c>
      <c r="Q544" s="40">
        <f>IF(B544&gt;=in_marketplace_from,(J544+K544)*d_hz*G544,0)</f>
        <v/>
      </c>
      <c r="R544" s="40">
        <f>SUMIFS(N506:N556,B506:B556,"&gt;="&amp;(B544-d_T),B506:B556,"&lt;="&amp;(B544-1))</f>
        <v/>
      </c>
      <c r="S544" s="46">
        <f>(1-d_u)*S543+IF(d_T&gt;in_topup_lag,SUMIFS(O506:O556,B506:B556,B544-in_topup_lag)-d_udrop*SUMIFS(O506:O556,B506:B556,B544-d_T),0)</f>
        <v/>
      </c>
      <c r="T544" s="40">
        <f>F544*d_u*S544</f>
        <v/>
      </c>
      <c r="U544" s="9">
        <f>L544*in_ticket+M544*d_rep_ticket</f>
        <v/>
      </c>
      <c r="V544" s="9">
        <f>U544+T544*d_topup_amt</f>
        <v/>
      </c>
      <c r="W544" s="40">
        <f>N544+T544*d_topup_ratio</f>
        <v/>
      </c>
      <c r="X544" s="40">
        <f>SUMIFS(W506:W556,B506:B556,B544-in_dpd_lag)*d_cured</f>
        <v/>
      </c>
      <c r="Y544" s="40">
        <f>SUMIFS(W506:W556,B506:B556,B544-in_rec_lag)*d_recd</f>
        <v/>
      </c>
      <c r="Z544" s="40">
        <f>IF(AND(B544&gt;=in_marketplace_from,B544&lt;in_marketplace_from+in_card_months),in_card_share/in_card_months*F544*I544,IF(AND(B544&gt;=in_marketplace_from+in_card_months,B544&lt;in_marketplace_from+2*in_card_months),in_card_share*d_card_rem/in_card_months*F544*MIN(in_takeup_cap,(1+in_takeup_growth)^(D544-1))*MIN(in_takeup_cap,(1+in_approval_growth)^(D544-1)),0))</f>
        <v/>
      </c>
      <c r="AA544" s="14">
        <f>V544*in_fee*(1-in_taken_back)</f>
        <v/>
      </c>
      <c r="AB544" s="14">
        <f>SUMIFS(W506:W556,B506:B556,B544-in_dpd_lag)*d_dpd</f>
        <v/>
      </c>
      <c r="AC544" s="14">
        <f>SUMIFS(W506:W556,B506:B556,B544-in_rec_lag)*d_rec</f>
        <v/>
      </c>
      <c r="AD544" s="14">
        <f>Z544*in_card_fee</f>
        <v/>
      </c>
      <c r="AE544" s="40">
        <f>AE543*(1-IF(B543&gt;=in_marketplace_from,d_hz_hlth_small*G543,0))</f>
        <v/>
      </c>
      <c r="AF544" s="46">
        <f>AE544*IF(B544&gt;=in_marketplace_from,d_hz_hlth_small*G544,0)</f>
        <v/>
      </c>
      <c r="AG544" s="14">
        <f>F544*AF544*in_hlth_small_ticket*in_hlth_small_comm*in_ins_partner_share+F544*in_hlth_small_ticket*in_hlth_small_renew_comm*in_ins_partner_share*(in_hlth_small_renew^1*SUMIFS(AF506:AF556,B506:B556,B544-12)+in_hlth_small_renew^2*SUMIFS(AF506:AF556,B506:B556,B544-24)+in_hlth_small_renew^3*SUMIFS(AF506:AF556,B506:B556,B544-36)+in_hlth_small_renew^4*SUMIFS(AF506:AF556,B506:B556,B544-48))</f>
        <v/>
      </c>
      <c r="AH544" s="40">
        <f>AH543*(1-IF(B543&gt;=in_marketplace_from,d_hz_hlth_family*G543,0))</f>
        <v/>
      </c>
      <c r="AI544" s="46">
        <f>AH544*IF(B544&gt;=in_marketplace_from,d_hz_hlth_family*G544,0)</f>
        <v/>
      </c>
      <c r="AJ544" s="14">
        <f>F544*AI544*in_hlth_family_ticket*in_hlth_family_comm*in_ins_partner_share+F544*in_hlth_family_ticket*in_hlth_family_renew_comm*in_ins_partner_share*(in_hlth_family_renew^1*SUMIFS(AI506:AI556,B506:B556,B544-12)+in_hlth_family_renew^2*SUMIFS(AI506:AI556,B506:B556,B544-24)+in_hlth_family_renew^3*SUMIFS(AI506:AI556,B506:B556,B544-36)+in_hlth_family_renew^4*SUMIFS(AI506:AI556,B506:B556,B544-48))</f>
        <v/>
      </c>
      <c r="AK544" s="40">
        <f>AK543*(1-IF(B543&gt;=in_marketplace_from,d_hz_life_term*G543,0))</f>
        <v/>
      </c>
      <c r="AL544" s="46">
        <f>AK544*IF(B544&gt;=in_marketplace_from,d_hz_life_term*G544,0)</f>
        <v/>
      </c>
      <c r="AM544" s="14">
        <f>F544*AL544*in_life_term_ticket*in_life_term_comm*in_ins_partner_share+F544*in_life_term_ticket*in_life_term_renew_comm*in_ins_partner_share*(in_life_term_renew^1*SUMIFS(AL506:AL556,B506:B556,B544-12)+in_life_term_renew^2*SUMIFS(AL506:AL556,B506:B556,B544-24)+in_life_term_renew^3*SUMIFS(AL506:AL556,B506:B556,B544-36)+in_life_term_renew^4*SUMIFS(AL506:AL556,B506:B556,B544-48))</f>
        <v/>
      </c>
      <c r="AN544" s="40">
        <f>AN543*(1-IF(B543&gt;=in_marketplace_from,d_hz_accident*G543,0))</f>
        <v/>
      </c>
      <c r="AO544" s="46">
        <f>AN544*IF(B544&gt;=in_marketplace_from,d_hz_accident*G544,0)</f>
        <v/>
      </c>
      <c r="AP544" s="14">
        <f>F544*AO544*in_accident_ticket*in_accident_comm*in_ins_partner_share+F544*in_accident_ticket*in_accident_renew_comm*in_ins_partner_share*(in_accident_renew^1*SUMIFS(AO506:AO556,B506:B556,B544-12)+in_accident_renew^2*SUMIFS(AO506:AO556,B506:B556,B544-24)+in_accident_renew^3*SUMIFS(AO506:AO556,B506:B556,B544-36)+in_accident_renew^4*SUMIFS(AO506:AO556,B506:B556,B544-48))</f>
        <v/>
      </c>
      <c r="AQ544" s="40">
        <f>AQ543*(1-IF(B543&gt;=in_marketplace_from,d_hz_two_wheeler*G543,0))</f>
        <v/>
      </c>
      <c r="AR544" s="46">
        <f>AQ544*IF(B544&gt;=in_marketplace_from,d_hz_two_wheeler*G544,0)</f>
        <v/>
      </c>
      <c r="AS544" s="14">
        <f>F544*AR544*in_two_wheeler_ticket*in_two_wheeler_comm*in_ins_partner_share+F544*in_two_wheeler_ticket*in_two_wheeler_comm*in_ins_partner_share*(in_two_wheeler_renew^1*SUMIFS(AR506:AR556,B506:B556,B544-12)+in_two_wheeler_renew^2*SUMIFS(AR506:AR556,B506:B556,B544-24)+in_two_wheeler_renew^3*SUMIFS(AR506:AR556,B506:B556,B544-36)+in_two_wheeler_renew^4*SUMIFS(AR506:AR556,B506:B556,B544-48))</f>
        <v/>
      </c>
      <c r="AT544" s="40">
        <f>AT543*(1-IF(B543&gt;=in_marketplace_from,d_hz_device*G543,0))</f>
        <v/>
      </c>
      <c r="AU544" s="14">
        <f>F544*AT544*IF(B544&gt;=in_marketplace_from,d_hz_device*G544,0)*in_device_ticket*in_device_comm*in_ins_partner_share</f>
        <v/>
      </c>
      <c r="AV544" s="40">
        <f>AV543*(1-IF(B543&gt;=in_marketplace_from,d_hz_shop*G543,0))</f>
        <v/>
      </c>
      <c r="AW544" s="46">
        <f>AV544*IF(B544&gt;=in_marketplace_from,d_hz_shop*G544,0)</f>
        <v/>
      </c>
      <c r="AX544" s="14">
        <f>F544*AW544*in_shop_ticket*in_shop_comm*in_ins_partner_share+F544*in_shop_ticket*in_shop_renew_comm*in_ins_partner_share*(in_shop_renew^1*SUMIFS(AW506:AW556,B506:B556,B544-12)+in_shop_renew^2*SUMIFS(AW506:AW556,B506:B556,B544-24)+in_shop_renew^3*SUMIFS(AW506:AW556,B506:B556,B544-36)+in_shop_renew^4*SUMIFS(AW506:AW556,B506:B556,B544-48))</f>
        <v/>
      </c>
      <c r="AY544" s="40">
        <f>AY543*(1-IF(B543&gt;=in_marketplace_from,d_hz_sip*G543,0))</f>
        <v/>
      </c>
      <c r="AZ544" s="40">
        <f>AZ543*d_rho_sip+AY544*IF(B544&gt;=in_marketplace_from,d_hz_sip*G544,0)</f>
        <v/>
      </c>
      <c r="BA544" s="40">
        <f>d_rho_sip*(BA543+AZ543)</f>
        <v/>
      </c>
      <c r="BB544" s="14">
        <f>F544*in_sip_ticket*(BA544+0.5*AZ544)*in_sip_comm/12</f>
        <v/>
      </c>
      <c r="BC544" s="40">
        <f>BC543*(1-IF(B543&gt;=in_marketplace_from,d_hz_choti*G543,0))</f>
        <v/>
      </c>
      <c r="BD544" s="46">
        <f>BC544*IF(B544&gt;=in_marketplace_from,d_hz_choti*G544,0)</f>
        <v/>
      </c>
      <c r="BE544" s="14">
        <f>F544*SUMIFS(BD506:BD556,B506:B556,B544-in_choti_months)*in_choti_renew*in_choti_ticket</f>
        <v/>
      </c>
      <c r="BF544" s="40">
        <f>BF543*(1-IF(B543&gt;=in_marketplace_from,d_hz_nps*G543,0))</f>
        <v/>
      </c>
      <c r="BG544" s="14">
        <f>F544*BF544*IF(B544&gt;=in_marketplace_from,d_hz_nps*G544,0)*in_nps_ticket*in_nps_comm</f>
        <v/>
      </c>
      <c r="BH544" s="40">
        <f>BH543*(1-IF(B543&gt;=in_marketplace_from,d_hz_gold*G543,0))</f>
        <v/>
      </c>
      <c r="BI544" s="40">
        <f>BI543*d_rho_gold+BH544*IF(B544&gt;=in_marketplace_from,d_hz_gold*G544,0)</f>
        <v/>
      </c>
      <c r="BJ544" s="14">
        <f>F544*BI544*in_gold_ticket*in_gold_comm</f>
        <v/>
      </c>
      <c r="BK544" s="40">
        <f>BK543*(1-IF(B543&gt;=in_marketplace_from,d_hz_fd*G543,0))</f>
        <v/>
      </c>
      <c r="BL544" s="14">
        <f>F544*BK544*IF(B544&gt;=in_marketplace_from,d_hz_fd*G544,0)*in_fd_ticket*in_fd_comm</f>
        <v/>
      </c>
      <c r="BM544" s="40">
        <f>BM543*(1-IF(B543&gt;=in_marketplace_from,d_hz_recharge*G543,0))</f>
        <v/>
      </c>
      <c r="BN544" s="40">
        <f>BN543*d_rho_recharge+BM544*IF(B544&gt;=in_marketplace_from,d_hz_recharge*G544,0)</f>
        <v/>
      </c>
      <c r="BO544" s="14">
        <f>F544*BN544*in_recharge_ticket*in_recharge_comm/12</f>
        <v/>
      </c>
      <c r="BP544" s="40">
        <f>BP543*(1-IF(B543&gt;=in_marketplace_from,d_hz_bills*G543,0))</f>
        <v/>
      </c>
      <c r="BQ544" s="40">
        <f>BQ543*d_rho_bills+BP544*IF(B544&gt;=in_marketplace_from,d_hz_bills*G544,0)</f>
        <v/>
      </c>
      <c r="BR544" s="14">
        <f>F544*BQ544*in_bills_ticket*in_bills_comm/12</f>
        <v/>
      </c>
      <c r="BS544" s="40">
        <f>BS543*(1-IF(B543&gt;=in_marketplace_from,d_hz_loan_gold*G543,0))</f>
        <v/>
      </c>
      <c r="BT544" s="14">
        <f>F544*BS544*IF(B544&gt;=in_marketplace_from,d_hz_loan_gold*G544,0)*in_loan_gold_ticket*in_loan_gold_comm</f>
        <v/>
      </c>
      <c r="BU544" s="40">
        <f>BU543*(1-IF(B543&gt;=in_marketplace_from,d_hz_loan_cd*G543,0))</f>
        <v/>
      </c>
      <c r="BV544" s="14">
        <f>F544*BU544*IF(B544&gt;=in_marketplace_from,d_hz_loan_cd*G544,0)*in_loan_cd_ticket*in_loan_cd_comm</f>
        <v/>
      </c>
      <c r="BW544" s="40">
        <f>BW543*(1-IF(B543&gt;=in_marketplace_from,d_hz_loan_vehicle*G543,0))</f>
        <v/>
      </c>
      <c r="BX544" s="14">
        <f>F544*BW544*IF(B544&gt;=in_marketplace_from,d_hz_loan_vehicle*G544,0)*in_loan_vehicle_ticket*in_loan_vehicle_comm</f>
        <v/>
      </c>
      <c r="BY544" s="40">
        <f>BY543*(1-IF(B543&gt;=in_marketplace_from,d_hz_loan_home*G543,0)*BZ543)</f>
        <v/>
      </c>
      <c r="BZ544" s="11">
        <f>MIN(in_approval_cap,in_loan_home_approval*INDEX('Age profile'!$O$2:$O$61,B544)*(1+in_approval_growth)^(D544-1))</f>
        <v/>
      </c>
      <c r="CA544" s="14">
        <f>F544*BY544*IF(B544&gt;=in_marketplace_from,d_hz_loan_home*G544,0)*BZ544*in_loan_home_ticket*in_loan_home_comm</f>
        <v/>
      </c>
      <c r="CB544" s="40">
        <f>CB543*(1-IF(B543&gt;=in_marketplace_from,d_hz_loan_lap*G543,0)*CC543)</f>
        <v/>
      </c>
      <c r="CC544" s="11">
        <f>MIN(in_approval_cap,in_loan_lap_approval*INDEX('Age profile'!$O$2:$O$61,B544)*(1+in_approval_growth)^(D544-1))</f>
        <v/>
      </c>
      <c r="CD544" s="14">
        <f>F544*CB544*IF(B544&gt;=in_marketplace_from,d_hz_loan_lap*G544,0)*CC544*in_loan_lap_ticket*in_loan_lap_comm</f>
        <v/>
      </c>
      <c r="CE544" s="14">
        <f>AA544+AB544+AC544+AD544+AG544+AJ544+AM544+AP544+AS544+AU544+AX544+BB544+BE544+BG544+BJ544+BL544+BO544+BR544+BT544+BV544+BX544+CA544+CD544</f>
        <v/>
      </c>
    </row>
    <row r="545">
      <c r="A545" s="39" t="n">
        <v>10</v>
      </c>
      <c r="B545" s="39" t="n">
        <v>40</v>
      </c>
      <c r="C545" s="39">
        <f>A545+B545-1</f>
        <v/>
      </c>
      <c r="D545" s="39">
        <f>INT((C545-1)/12)+1</f>
        <v/>
      </c>
      <c r="E545" s="44">
        <f>INDEX(Monthly!$B$2:$B$61,A545)</f>
        <v/>
      </c>
      <c r="F545" s="44">
        <f>E545*INDEX('Age profile'!$B$2:$B$61,B545)</f>
        <v/>
      </c>
      <c r="G545" s="45">
        <f>MIN(in_takeup_cap,INDEX('Age profile'!$N$2:$N$61,B545)*(1+in_takeup_growth)^(D545-1))</f>
        <v/>
      </c>
      <c r="H545" s="11">
        <f>MIN(in_approval_cap,in_approved_first*INDEX('Age profile'!$O$2:$O$61,B545)*(1+in_approval_growth)^(D545-1))</f>
        <v/>
      </c>
      <c r="I545" s="45">
        <f>G545*MIN(in_takeup_cap,INDEX('Age profile'!$O$2:$O$61,B545)*(1+in_approval_growth)^(D545-1))</f>
        <v/>
      </c>
      <c r="J545" s="40">
        <f>(J544-L544)*F545/F544</f>
        <v/>
      </c>
      <c r="K545" s="40">
        <f>(K544-M544)*F545/F544+SUMIFS(O506:O544,B506:B544,B545-1-d_T)*F545</f>
        <v/>
      </c>
      <c r="L545" s="40">
        <f>IF(B545&gt;=in_marketplace_from,J545*d_hz*G545*in_eligible*H545,0)</f>
        <v/>
      </c>
      <c r="M545" s="40">
        <f>IF(B545&gt;=in_marketplace_from,K545*d_hz*G545*in_eligible*in_approved_repeat,0)</f>
        <v/>
      </c>
      <c r="N545" s="40">
        <f>L545+M545</f>
        <v/>
      </c>
      <c r="O545" s="46">
        <f>N545/F545</f>
        <v/>
      </c>
      <c r="P545" s="40">
        <f>F545-J545-K545</f>
        <v/>
      </c>
      <c r="Q545" s="40">
        <f>IF(B545&gt;=in_marketplace_from,(J545+K545)*d_hz*G545,0)</f>
        <v/>
      </c>
      <c r="R545" s="40">
        <f>SUMIFS(N506:N556,B506:B556,"&gt;="&amp;(B545-d_T),B506:B556,"&lt;="&amp;(B545-1))</f>
        <v/>
      </c>
      <c r="S545" s="46">
        <f>(1-d_u)*S544+IF(d_T&gt;in_topup_lag,SUMIFS(O506:O556,B506:B556,B545-in_topup_lag)-d_udrop*SUMIFS(O506:O556,B506:B556,B545-d_T),0)</f>
        <v/>
      </c>
      <c r="T545" s="40">
        <f>F545*d_u*S545</f>
        <v/>
      </c>
      <c r="U545" s="9">
        <f>L545*in_ticket+M545*d_rep_ticket</f>
        <v/>
      </c>
      <c r="V545" s="9">
        <f>U545+T545*d_topup_amt</f>
        <v/>
      </c>
      <c r="W545" s="40">
        <f>N545+T545*d_topup_ratio</f>
        <v/>
      </c>
      <c r="X545" s="40">
        <f>SUMIFS(W506:W556,B506:B556,B545-in_dpd_lag)*d_cured</f>
        <v/>
      </c>
      <c r="Y545" s="40">
        <f>SUMIFS(W506:W556,B506:B556,B545-in_rec_lag)*d_recd</f>
        <v/>
      </c>
      <c r="Z545" s="40">
        <f>IF(AND(B545&gt;=in_marketplace_from,B545&lt;in_marketplace_from+in_card_months),in_card_share/in_card_months*F545*I545,IF(AND(B545&gt;=in_marketplace_from+in_card_months,B545&lt;in_marketplace_from+2*in_card_months),in_card_share*d_card_rem/in_card_months*F545*MIN(in_takeup_cap,(1+in_takeup_growth)^(D545-1))*MIN(in_takeup_cap,(1+in_approval_growth)^(D545-1)),0))</f>
        <v/>
      </c>
      <c r="AA545" s="14">
        <f>V545*in_fee*(1-in_taken_back)</f>
        <v/>
      </c>
      <c r="AB545" s="14">
        <f>SUMIFS(W506:W556,B506:B556,B545-in_dpd_lag)*d_dpd</f>
        <v/>
      </c>
      <c r="AC545" s="14">
        <f>SUMIFS(W506:W556,B506:B556,B545-in_rec_lag)*d_rec</f>
        <v/>
      </c>
      <c r="AD545" s="14">
        <f>Z545*in_card_fee</f>
        <v/>
      </c>
      <c r="AE545" s="40">
        <f>AE544*(1-IF(B544&gt;=in_marketplace_from,d_hz_hlth_small*G544,0))</f>
        <v/>
      </c>
      <c r="AF545" s="46">
        <f>AE545*IF(B545&gt;=in_marketplace_from,d_hz_hlth_small*G545,0)</f>
        <v/>
      </c>
      <c r="AG545" s="14">
        <f>F545*AF545*in_hlth_small_ticket*in_hlth_small_comm*in_ins_partner_share+F545*in_hlth_small_ticket*in_hlth_small_renew_comm*in_ins_partner_share*(in_hlth_small_renew^1*SUMIFS(AF506:AF556,B506:B556,B545-12)+in_hlth_small_renew^2*SUMIFS(AF506:AF556,B506:B556,B545-24)+in_hlth_small_renew^3*SUMIFS(AF506:AF556,B506:B556,B545-36)+in_hlth_small_renew^4*SUMIFS(AF506:AF556,B506:B556,B545-48))</f>
        <v/>
      </c>
      <c r="AH545" s="40">
        <f>AH544*(1-IF(B544&gt;=in_marketplace_from,d_hz_hlth_family*G544,0))</f>
        <v/>
      </c>
      <c r="AI545" s="46">
        <f>AH545*IF(B545&gt;=in_marketplace_from,d_hz_hlth_family*G545,0)</f>
        <v/>
      </c>
      <c r="AJ545" s="14">
        <f>F545*AI545*in_hlth_family_ticket*in_hlth_family_comm*in_ins_partner_share+F545*in_hlth_family_ticket*in_hlth_family_renew_comm*in_ins_partner_share*(in_hlth_family_renew^1*SUMIFS(AI506:AI556,B506:B556,B545-12)+in_hlth_family_renew^2*SUMIFS(AI506:AI556,B506:B556,B545-24)+in_hlth_family_renew^3*SUMIFS(AI506:AI556,B506:B556,B545-36)+in_hlth_family_renew^4*SUMIFS(AI506:AI556,B506:B556,B545-48))</f>
        <v/>
      </c>
      <c r="AK545" s="40">
        <f>AK544*(1-IF(B544&gt;=in_marketplace_from,d_hz_life_term*G544,0))</f>
        <v/>
      </c>
      <c r="AL545" s="46">
        <f>AK545*IF(B545&gt;=in_marketplace_from,d_hz_life_term*G545,0)</f>
        <v/>
      </c>
      <c r="AM545" s="14">
        <f>F545*AL545*in_life_term_ticket*in_life_term_comm*in_ins_partner_share+F545*in_life_term_ticket*in_life_term_renew_comm*in_ins_partner_share*(in_life_term_renew^1*SUMIFS(AL506:AL556,B506:B556,B545-12)+in_life_term_renew^2*SUMIFS(AL506:AL556,B506:B556,B545-24)+in_life_term_renew^3*SUMIFS(AL506:AL556,B506:B556,B545-36)+in_life_term_renew^4*SUMIFS(AL506:AL556,B506:B556,B545-48))</f>
        <v/>
      </c>
      <c r="AN545" s="40">
        <f>AN544*(1-IF(B544&gt;=in_marketplace_from,d_hz_accident*G544,0))</f>
        <v/>
      </c>
      <c r="AO545" s="46">
        <f>AN545*IF(B545&gt;=in_marketplace_from,d_hz_accident*G545,0)</f>
        <v/>
      </c>
      <c r="AP545" s="14">
        <f>F545*AO545*in_accident_ticket*in_accident_comm*in_ins_partner_share+F545*in_accident_ticket*in_accident_renew_comm*in_ins_partner_share*(in_accident_renew^1*SUMIFS(AO506:AO556,B506:B556,B545-12)+in_accident_renew^2*SUMIFS(AO506:AO556,B506:B556,B545-24)+in_accident_renew^3*SUMIFS(AO506:AO556,B506:B556,B545-36)+in_accident_renew^4*SUMIFS(AO506:AO556,B506:B556,B545-48))</f>
        <v/>
      </c>
      <c r="AQ545" s="40">
        <f>AQ544*(1-IF(B544&gt;=in_marketplace_from,d_hz_two_wheeler*G544,0))</f>
        <v/>
      </c>
      <c r="AR545" s="46">
        <f>AQ545*IF(B545&gt;=in_marketplace_from,d_hz_two_wheeler*G545,0)</f>
        <v/>
      </c>
      <c r="AS545" s="14">
        <f>F545*AR545*in_two_wheeler_ticket*in_two_wheeler_comm*in_ins_partner_share+F545*in_two_wheeler_ticket*in_two_wheeler_comm*in_ins_partner_share*(in_two_wheeler_renew^1*SUMIFS(AR506:AR556,B506:B556,B545-12)+in_two_wheeler_renew^2*SUMIFS(AR506:AR556,B506:B556,B545-24)+in_two_wheeler_renew^3*SUMIFS(AR506:AR556,B506:B556,B545-36)+in_two_wheeler_renew^4*SUMIFS(AR506:AR556,B506:B556,B545-48))</f>
        <v/>
      </c>
      <c r="AT545" s="40">
        <f>AT544*(1-IF(B544&gt;=in_marketplace_from,d_hz_device*G544,0))</f>
        <v/>
      </c>
      <c r="AU545" s="14">
        <f>F545*AT545*IF(B545&gt;=in_marketplace_from,d_hz_device*G545,0)*in_device_ticket*in_device_comm*in_ins_partner_share</f>
        <v/>
      </c>
      <c r="AV545" s="40">
        <f>AV544*(1-IF(B544&gt;=in_marketplace_from,d_hz_shop*G544,0))</f>
        <v/>
      </c>
      <c r="AW545" s="46">
        <f>AV545*IF(B545&gt;=in_marketplace_from,d_hz_shop*G545,0)</f>
        <v/>
      </c>
      <c r="AX545" s="14">
        <f>F545*AW545*in_shop_ticket*in_shop_comm*in_ins_partner_share+F545*in_shop_ticket*in_shop_renew_comm*in_ins_partner_share*(in_shop_renew^1*SUMIFS(AW506:AW556,B506:B556,B545-12)+in_shop_renew^2*SUMIFS(AW506:AW556,B506:B556,B545-24)+in_shop_renew^3*SUMIFS(AW506:AW556,B506:B556,B545-36)+in_shop_renew^4*SUMIFS(AW506:AW556,B506:B556,B545-48))</f>
        <v/>
      </c>
      <c r="AY545" s="40">
        <f>AY544*(1-IF(B544&gt;=in_marketplace_from,d_hz_sip*G544,0))</f>
        <v/>
      </c>
      <c r="AZ545" s="40">
        <f>AZ544*d_rho_sip+AY545*IF(B545&gt;=in_marketplace_from,d_hz_sip*G545,0)</f>
        <v/>
      </c>
      <c r="BA545" s="40">
        <f>d_rho_sip*(BA544+AZ544)</f>
        <v/>
      </c>
      <c r="BB545" s="14">
        <f>F545*in_sip_ticket*(BA545+0.5*AZ545)*in_sip_comm/12</f>
        <v/>
      </c>
      <c r="BC545" s="40">
        <f>BC544*(1-IF(B544&gt;=in_marketplace_from,d_hz_choti*G544,0))</f>
        <v/>
      </c>
      <c r="BD545" s="46">
        <f>BC545*IF(B545&gt;=in_marketplace_from,d_hz_choti*G545,0)</f>
        <v/>
      </c>
      <c r="BE545" s="14">
        <f>F545*SUMIFS(BD506:BD556,B506:B556,B545-in_choti_months)*in_choti_renew*in_choti_ticket</f>
        <v/>
      </c>
      <c r="BF545" s="40">
        <f>BF544*(1-IF(B544&gt;=in_marketplace_from,d_hz_nps*G544,0))</f>
        <v/>
      </c>
      <c r="BG545" s="14">
        <f>F545*BF545*IF(B545&gt;=in_marketplace_from,d_hz_nps*G545,0)*in_nps_ticket*in_nps_comm</f>
        <v/>
      </c>
      <c r="BH545" s="40">
        <f>BH544*(1-IF(B544&gt;=in_marketplace_from,d_hz_gold*G544,0))</f>
        <v/>
      </c>
      <c r="BI545" s="40">
        <f>BI544*d_rho_gold+BH545*IF(B545&gt;=in_marketplace_from,d_hz_gold*G545,0)</f>
        <v/>
      </c>
      <c r="BJ545" s="14">
        <f>F545*BI545*in_gold_ticket*in_gold_comm</f>
        <v/>
      </c>
      <c r="BK545" s="40">
        <f>BK544*(1-IF(B544&gt;=in_marketplace_from,d_hz_fd*G544,0))</f>
        <v/>
      </c>
      <c r="BL545" s="14">
        <f>F545*BK545*IF(B545&gt;=in_marketplace_from,d_hz_fd*G545,0)*in_fd_ticket*in_fd_comm</f>
        <v/>
      </c>
      <c r="BM545" s="40">
        <f>BM544*(1-IF(B544&gt;=in_marketplace_from,d_hz_recharge*G544,0))</f>
        <v/>
      </c>
      <c r="BN545" s="40">
        <f>BN544*d_rho_recharge+BM545*IF(B545&gt;=in_marketplace_from,d_hz_recharge*G545,0)</f>
        <v/>
      </c>
      <c r="BO545" s="14">
        <f>F545*BN545*in_recharge_ticket*in_recharge_comm/12</f>
        <v/>
      </c>
      <c r="BP545" s="40">
        <f>BP544*(1-IF(B544&gt;=in_marketplace_from,d_hz_bills*G544,0))</f>
        <v/>
      </c>
      <c r="BQ545" s="40">
        <f>BQ544*d_rho_bills+BP545*IF(B545&gt;=in_marketplace_from,d_hz_bills*G545,0)</f>
        <v/>
      </c>
      <c r="BR545" s="14">
        <f>F545*BQ545*in_bills_ticket*in_bills_comm/12</f>
        <v/>
      </c>
      <c r="BS545" s="40">
        <f>BS544*(1-IF(B544&gt;=in_marketplace_from,d_hz_loan_gold*G544,0))</f>
        <v/>
      </c>
      <c r="BT545" s="14">
        <f>F545*BS545*IF(B545&gt;=in_marketplace_from,d_hz_loan_gold*G545,0)*in_loan_gold_ticket*in_loan_gold_comm</f>
        <v/>
      </c>
      <c r="BU545" s="40">
        <f>BU544*(1-IF(B544&gt;=in_marketplace_from,d_hz_loan_cd*G544,0))</f>
        <v/>
      </c>
      <c r="BV545" s="14">
        <f>F545*BU545*IF(B545&gt;=in_marketplace_from,d_hz_loan_cd*G545,0)*in_loan_cd_ticket*in_loan_cd_comm</f>
        <v/>
      </c>
      <c r="BW545" s="40">
        <f>BW544*(1-IF(B544&gt;=in_marketplace_from,d_hz_loan_vehicle*G544,0))</f>
        <v/>
      </c>
      <c r="BX545" s="14">
        <f>F545*BW545*IF(B545&gt;=in_marketplace_from,d_hz_loan_vehicle*G545,0)*in_loan_vehicle_ticket*in_loan_vehicle_comm</f>
        <v/>
      </c>
      <c r="BY545" s="40">
        <f>BY544*(1-IF(B544&gt;=in_marketplace_from,d_hz_loan_home*G544,0)*BZ544)</f>
        <v/>
      </c>
      <c r="BZ545" s="11">
        <f>MIN(in_approval_cap,in_loan_home_approval*INDEX('Age profile'!$O$2:$O$61,B545)*(1+in_approval_growth)^(D545-1))</f>
        <v/>
      </c>
      <c r="CA545" s="14">
        <f>F545*BY545*IF(B545&gt;=in_marketplace_from,d_hz_loan_home*G545,0)*BZ545*in_loan_home_ticket*in_loan_home_comm</f>
        <v/>
      </c>
      <c r="CB545" s="40">
        <f>CB544*(1-IF(B544&gt;=in_marketplace_from,d_hz_loan_lap*G544,0)*CC544)</f>
        <v/>
      </c>
      <c r="CC545" s="11">
        <f>MIN(in_approval_cap,in_loan_lap_approval*INDEX('Age profile'!$O$2:$O$61,B545)*(1+in_approval_growth)^(D545-1))</f>
        <v/>
      </c>
      <c r="CD545" s="14">
        <f>F545*CB545*IF(B545&gt;=in_marketplace_from,d_hz_loan_lap*G545,0)*CC545*in_loan_lap_ticket*in_loan_lap_comm</f>
        <v/>
      </c>
      <c r="CE545" s="14">
        <f>AA545+AB545+AC545+AD545+AG545+AJ545+AM545+AP545+AS545+AU545+AX545+BB545+BE545+BG545+BJ545+BL545+BO545+BR545+BT545+BV545+BX545+CA545+CD545</f>
        <v/>
      </c>
    </row>
    <row r="546">
      <c r="A546" s="39" t="n">
        <v>10</v>
      </c>
      <c r="B546" s="39" t="n">
        <v>41</v>
      </c>
      <c r="C546" s="39">
        <f>A546+B546-1</f>
        <v/>
      </c>
      <c r="D546" s="39">
        <f>INT((C546-1)/12)+1</f>
        <v/>
      </c>
      <c r="E546" s="44">
        <f>INDEX(Monthly!$B$2:$B$61,A546)</f>
        <v/>
      </c>
      <c r="F546" s="44">
        <f>E546*INDEX('Age profile'!$B$2:$B$61,B546)</f>
        <v/>
      </c>
      <c r="G546" s="45">
        <f>MIN(in_takeup_cap,INDEX('Age profile'!$N$2:$N$61,B546)*(1+in_takeup_growth)^(D546-1))</f>
        <v/>
      </c>
      <c r="H546" s="11">
        <f>MIN(in_approval_cap,in_approved_first*INDEX('Age profile'!$O$2:$O$61,B546)*(1+in_approval_growth)^(D546-1))</f>
        <v/>
      </c>
      <c r="I546" s="45">
        <f>G546*MIN(in_takeup_cap,INDEX('Age profile'!$O$2:$O$61,B546)*(1+in_approval_growth)^(D546-1))</f>
        <v/>
      </c>
      <c r="J546" s="40">
        <f>(J545-L545)*F546/F545</f>
        <v/>
      </c>
      <c r="K546" s="40">
        <f>(K545-M545)*F546/F545+SUMIFS(O506:O545,B506:B545,B546-1-d_T)*F546</f>
        <v/>
      </c>
      <c r="L546" s="40">
        <f>IF(B546&gt;=in_marketplace_from,J546*d_hz*G546*in_eligible*H546,0)</f>
        <v/>
      </c>
      <c r="M546" s="40">
        <f>IF(B546&gt;=in_marketplace_from,K546*d_hz*G546*in_eligible*in_approved_repeat,0)</f>
        <v/>
      </c>
      <c r="N546" s="40">
        <f>L546+M546</f>
        <v/>
      </c>
      <c r="O546" s="46">
        <f>N546/F546</f>
        <v/>
      </c>
      <c r="P546" s="40">
        <f>F546-J546-K546</f>
        <v/>
      </c>
      <c r="Q546" s="40">
        <f>IF(B546&gt;=in_marketplace_from,(J546+K546)*d_hz*G546,0)</f>
        <v/>
      </c>
      <c r="R546" s="40">
        <f>SUMIFS(N506:N556,B506:B556,"&gt;="&amp;(B546-d_T),B506:B556,"&lt;="&amp;(B546-1))</f>
        <v/>
      </c>
      <c r="S546" s="46">
        <f>(1-d_u)*S545+IF(d_T&gt;in_topup_lag,SUMIFS(O506:O556,B506:B556,B546-in_topup_lag)-d_udrop*SUMIFS(O506:O556,B506:B556,B546-d_T),0)</f>
        <v/>
      </c>
      <c r="T546" s="40">
        <f>F546*d_u*S546</f>
        <v/>
      </c>
      <c r="U546" s="9">
        <f>L546*in_ticket+M546*d_rep_ticket</f>
        <v/>
      </c>
      <c r="V546" s="9">
        <f>U546+T546*d_topup_amt</f>
        <v/>
      </c>
      <c r="W546" s="40">
        <f>N546+T546*d_topup_ratio</f>
        <v/>
      </c>
      <c r="X546" s="40">
        <f>SUMIFS(W506:W556,B506:B556,B546-in_dpd_lag)*d_cured</f>
        <v/>
      </c>
      <c r="Y546" s="40">
        <f>SUMIFS(W506:W556,B506:B556,B546-in_rec_lag)*d_recd</f>
        <v/>
      </c>
      <c r="Z546" s="40">
        <f>IF(AND(B546&gt;=in_marketplace_from,B546&lt;in_marketplace_from+in_card_months),in_card_share/in_card_months*F546*I546,IF(AND(B546&gt;=in_marketplace_from+in_card_months,B546&lt;in_marketplace_from+2*in_card_months),in_card_share*d_card_rem/in_card_months*F546*MIN(in_takeup_cap,(1+in_takeup_growth)^(D546-1))*MIN(in_takeup_cap,(1+in_approval_growth)^(D546-1)),0))</f>
        <v/>
      </c>
      <c r="AA546" s="14">
        <f>V546*in_fee*(1-in_taken_back)</f>
        <v/>
      </c>
      <c r="AB546" s="14">
        <f>SUMIFS(W506:W556,B506:B556,B546-in_dpd_lag)*d_dpd</f>
        <v/>
      </c>
      <c r="AC546" s="14">
        <f>SUMIFS(W506:W556,B506:B556,B546-in_rec_lag)*d_rec</f>
        <v/>
      </c>
      <c r="AD546" s="14">
        <f>Z546*in_card_fee</f>
        <v/>
      </c>
      <c r="AE546" s="40">
        <f>AE545*(1-IF(B545&gt;=in_marketplace_from,d_hz_hlth_small*G545,0))</f>
        <v/>
      </c>
      <c r="AF546" s="46">
        <f>AE546*IF(B546&gt;=in_marketplace_from,d_hz_hlth_small*G546,0)</f>
        <v/>
      </c>
      <c r="AG546" s="14">
        <f>F546*AF546*in_hlth_small_ticket*in_hlth_small_comm*in_ins_partner_share+F546*in_hlth_small_ticket*in_hlth_small_renew_comm*in_ins_partner_share*(in_hlth_small_renew^1*SUMIFS(AF506:AF556,B506:B556,B546-12)+in_hlth_small_renew^2*SUMIFS(AF506:AF556,B506:B556,B546-24)+in_hlth_small_renew^3*SUMIFS(AF506:AF556,B506:B556,B546-36)+in_hlth_small_renew^4*SUMIFS(AF506:AF556,B506:B556,B546-48))</f>
        <v/>
      </c>
      <c r="AH546" s="40">
        <f>AH545*(1-IF(B545&gt;=in_marketplace_from,d_hz_hlth_family*G545,0))</f>
        <v/>
      </c>
      <c r="AI546" s="46">
        <f>AH546*IF(B546&gt;=in_marketplace_from,d_hz_hlth_family*G546,0)</f>
        <v/>
      </c>
      <c r="AJ546" s="14">
        <f>F546*AI546*in_hlth_family_ticket*in_hlth_family_comm*in_ins_partner_share+F546*in_hlth_family_ticket*in_hlth_family_renew_comm*in_ins_partner_share*(in_hlth_family_renew^1*SUMIFS(AI506:AI556,B506:B556,B546-12)+in_hlth_family_renew^2*SUMIFS(AI506:AI556,B506:B556,B546-24)+in_hlth_family_renew^3*SUMIFS(AI506:AI556,B506:B556,B546-36)+in_hlth_family_renew^4*SUMIFS(AI506:AI556,B506:B556,B546-48))</f>
        <v/>
      </c>
      <c r="AK546" s="40">
        <f>AK545*(1-IF(B545&gt;=in_marketplace_from,d_hz_life_term*G545,0))</f>
        <v/>
      </c>
      <c r="AL546" s="46">
        <f>AK546*IF(B546&gt;=in_marketplace_from,d_hz_life_term*G546,0)</f>
        <v/>
      </c>
      <c r="AM546" s="14">
        <f>F546*AL546*in_life_term_ticket*in_life_term_comm*in_ins_partner_share+F546*in_life_term_ticket*in_life_term_renew_comm*in_ins_partner_share*(in_life_term_renew^1*SUMIFS(AL506:AL556,B506:B556,B546-12)+in_life_term_renew^2*SUMIFS(AL506:AL556,B506:B556,B546-24)+in_life_term_renew^3*SUMIFS(AL506:AL556,B506:B556,B546-36)+in_life_term_renew^4*SUMIFS(AL506:AL556,B506:B556,B546-48))</f>
        <v/>
      </c>
      <c r="AN546" s="40">
        <f>AN545*(1-IF(B545&gt;=in_marketplace_from,d_hz_accident*G545,0))</f>
        <v/>
      </c>
      <c r="AO546" s="46">
        <f>AN546*IF(B546&gt;=in_marketplace_from,d_hz_accident*G546,0)</f>
        <v/>
      </c>
      <c r="AP546" s="14">
        <f>F546*AO546*in_accident_ticket*in_accident_comm*in_ins_partner_share+F546*in_accident_ticket*in_accident_renew_comm*in_ins_partner_share*(in_accident_renew^1*SUMIFS(AO506:AO556,B506:B556,B546-12)+in_accident_renew^2*SUMIFS(AO506:AO556,B506:B556,B546-24)+in_accident_renew^3*SUMIFS(AO506:AO556,B506:B556,B546-36)+in_accident_renew^4*SUMIFS(AO506:AO556,B506:B556,B546-48))</f>
        <v/>
      </c>
      <c r="AQ546" s="40">
        <f>AQ545*(1-IF(B545&gt;=in_marketplace_from,d_hz_two_wheeler*G545,0))</f>
        <v/>
      </c>
      <c r="AR546" s="46">
        <f>AQ546*IF(B546&gt;=in_marketplace_from,d_hz_two_wheeler*G546,0)</f>
        <v/>
      </c>
      <c r="AS546" s="14">
        <f>F546*AR546*in_two_wheeler_ticket*in_two_wheeler_comm*in_ins_partner_share+F546*in_two_wheeler_ticket*in_two_wheeler_comm*in_ins_partner_share*(in_two_wheeler_renew^1*SUMIFS(AR506:AR556,B506:B556,B546-12)+in_two_wheeler_renew^2*SUMIFS(AR506:AR556,B506:B556,B546-24)+in_two_wheeler_renew^3*SUMIFS(AR506:AR556,B506:B556,B546-36)+in_two_wheeler_renew^4*SUMIFS(AR506:AR556,B506:B556,B546-48))</f>
        <v/>
      </c>
      <c r="AT546" s="40">
        <f>AT545*(1-IF(B545&gt;=in_marketplace_from,d_hz_device*G545,0))</f>
        <v/>
      </c>
      <c r="AU546" s="14">
        <f>F546*AT546*IF(B546&gt;=in_marketplace_from,d_hz_device*G546,0)*in_device_ticket*in_device_comm*in_ins_partner_share</f>
        <v/>
      </c>
      <c r="AV546" s="40">
        <f>AV545*(1-IF(B545&gt;=in_marketplace_from,d_hz_shop*G545,0))</f>
        <v/>
      </c>
      <c r="AW546" s="46">
        <f>AV546*IF(B546&gt;=in_marketplace_from,d_hz_shop*G546,0)</f>
        <v/>
      </c>
      <c r="AX546" s="14">
        <f>F546*AW546*in_shop_ticket*in_shop_comm*in_ins_partner_share+F546*in_shop_ticket*in_shop_renew_comm*in_ins_partner_share*(in_shop_renew^1*SUMIFS(AW506:AW556,B506:B556,B546-12)+in_shop_renew^2*SUMIFS(AW506:AW556,B506:B556,B546-24)+in_shop_renew^3*SUMIFS(AW506:AW556,B506:B556,B546-36)+in_shop_renew^4*SUMIFS(AW506:AW556,B506:B556,B546-48))</f>
        <v/>
      </c>
      <c r="AY546" s="40">
        <f>AY545*(1-IF(B545&gt;=in_marketplace_from,d_hz_sip*G545,0))</f>
        <v/>
      </c>
      <c r="AZ546" s="40">
        <f>AZ545*d_rho_sip+AY546*IF(B546&gt;=in_marketplace_from,d_hz_sip*G546,0)</f>
        <v/>
      </c>
      <c r="BA546" s="40">
        <f>d_rho_sip*(BA545+AZ545)</f>
        <v/>
      </c>
      <c r="BB546" s="14">
        <f>F546*in_sip_ticket*(BA546+0.5*AZ546)*in_sip_comm/12</f>
        <v/>
      </c>
      <c r="BC546" s="40">
        <f>BC545*(1-IF(B545&gt;=in_marketplace_from,d_hz_choti*G545,0))</f>
        <v/>
      </c>
      <c r="BD546" s="46">
        <f>BC546*IF(B546&gt;=in_marketplace_from,d_hz_choti*G546,0)</f>
        <v/>
      </c>
      <c r="BE546" s="14">
        <f>F546*SUMIFS(BD506:BD556,B506:B556,B546-in_choti_months)*in_choti_renew*in_choti_ticket</f>
        <v/>
      </c>
      <c r="BF546" s="40">
        <f>BF545*(1-IF(B545&gt;=in_marketplace_from,d_hz_nps*G545,0))</f>
        <v/>
      </c>
      <c r="BG546" s="14">
        <f>F546*BF546*IF(B546&gt;=in_marketplace_from,d_hz_nps*G546,0)*in_nps_ticket*in_nps_comm</f>
        <v/>
      </c>
      <c r="BH546" s="40">
        <f>BH545*(1-IF(B545&gt;=in_marketplace_from,d_hz_gold*G545,0))</f>
        <v/>
      </c>
      <c r="BI546" s="40">
        <f>BI545*d_rho_gold+BH546*IF(B546&gt;=in_marketplace_from,d_hz_gold*G546,0)</f>
        <v/>
      </c>
      <c r="BJ546" s="14">
        <f>F546*BI546*in_gold_ticket*in_gold_comm</f>
        <v/>
      </c>
      <c r="BK546" s="40">
        <f>BK545*(1-IF(B545&gt;=in_marketplace_from,d_hz_fd*G545,0))</f>
        <v/>
      </c>
      <c r="BL546" s="14">
        <f>F546*BK546*IF(B546&gt;=in_marketplace_from,d_hz_fd*G546,0)*in_fd_ticket*in_fd_comm</f>
        <v/>
      </c>
      <c r="BM546" s="40">
        <f>BM545*(1-IF(B545&gt;=in_marketplace_from,d_hz_recharge*G545,0))</f>
        <v/>
      </c>
      <c r="BN546" s="40">
        <f>BN545*d_rho_recharge+BM546*IF(B546&gt;=in_marketplace_from,d_hz_recharge*G546,0)</f>
        <v/>
      </c>
      <c r="BO546" s="14">
        <f>F546*BN546*in_recharge_ticket*in_recharge_comm/12</f>
        <v/>
      </c>
      <c r="BP546" s="40">
        <f>BP545*(1-IF(B545&gt;=in_marketplace_from,d_hz_bills*G545,0))</f>
        <v/>
      </c>
      <c r="BQ546" s="40">
        <f>BQ545*d_rho_bills+BP546*IF(B546&gt;=in_marketplace_from,d_hz_bills*G546,0)</f>
        <v/>
      </c>
      <c r="BR546" s="14">
        <f>F546*BQ546*in_bills_ticket*in_bills_comm/12</f>
        <v/>
      </c>
      <c r="BS546" s="40">
        <f>BS545*(1-IF(B545&gt;=in_marketplace_from,d_hz_loan_gold*G545,0))</f>
        <v/>
      </c>
      <c r="BT546" s="14">
        <f>F546*BS546*IF(B546&gt;=in_marketplace_from,d_hz_loan_gold*G546,0)*in_loan_gold_ticket*in_loan_gold_comm</f>
        <v/>
      </c>
      <c r="BU546" s="40">
        <f>BU545*(1-IF(B545&gt;=in_marketplace_from,d_hz_loan_cd*G545,0))</f>
        <v/>
      </c>
      <c r="BV546" s="14">
        <f>F546*BU546*IF(B546&gt;=in_marketplace_from,d_hz_loan_cd*G546,0)*in_loan_cd_ticket*in_loan_cd_comm</f>
        <v/>
      </c>
      <c r="BW546" s="40">
        <f>BW545*(1-IF(B545&gt;=in_marketplace_from,d_hz_loan_vehicle*G545,0))</f>
        <v/>
      </c>
      <c r="BX546" s="14">
        <f>F546*BW546*IF(B546&gt;=in_marketplace_from,d_hz_loan_vehicle*G546,0)*in_loan_vehicle_ticket*in_loan_vehicle_comm</f>
        <v/>
      </c>
      <c r="BY546" s="40">
        <f>BY545*(1-IF(B545&gt;=in_marketplace_from,d_hz_loan_home*G545,0)*BZ545)</f>
        <v/>
      </c>
      <c r="BZ546" s="11">
        <f>MIN(in_approval_cap,in_loan_home_approval*INDEX('Age profile'!$O$2:$O$61,B546)*(1+in_approval_growth)^(D546-1))</f>
        <v/>
      </c>
      <c r="CA546" s="14">
        <f>F546*BY546*IF(B546&gt;=in_marketplace_from,d_hz_loan_home*G546,0)*BZ546*in_loan_home_ticket*in_loan_home_comm</f>
        <v/>
      </c>
      <c r="CB546" s="40">
        <f>CB545*(1-IF(B545&gt;=in_marketplace_from,d_hz_loan_lap*G545,0)*CC545)</f>
        <v/>
      </c>
      <c r="CC546" s="11">
        <f>MIN(in_approval_cap,in_loan_lap_approval*INDEX('Age profile'!$O$2:$O$61,B546)*(1+in_approval_growth)^(D546-1))</f>
        <v/>
      </c>
      <c r="CD546" s="14">
        <f>F546*CB546*IF(B546&gt;=in_marketplace_from,d_hz_loan_lap*G546,0)*CC546*in_loan_lap_ticket*in_loan_lap_comm</f>
        <v/>
      </c>
      <c r="CE546" s="14">
        <f>AA546+AB546+AC546+AD546+AG546+AJ546+AM546+AP546+AS546+AU546+AX546+BB546+BE546+BG546+BJ546+BL546+BO546+BR546+BT546+BV546+BX546+CA546+CD546</f>
        <v/>
      </c>
    </row>
    <row r="547">
      <c r="A547" s="39" t="n">
        <v>10</v>
      </c>
      <c r="B547" s="39" t="n">
        <v>42</v>
      </c>
      <c r="C547" s="39">
        <f>A547+B547-1</f>
        <v/>
      </c>
      <c r="D547" s="39">
        <f>INT((C547-1)/12)+1</f>
        <v/>
      </c>
      <c r="E547" s="44">
        <f>INDEX(Monthly!$B$2:$B$61,A547)</f>
        <v/>
      </c>
      <c r="F547" s="44">
        <f>E547*INDEX('Age profile'!$B$2:$B$61,B547)</f>
        <v/>
      </c>
      <c r="G547" s="45">
        <f>MIN(in_takeup_cap,INDEX('Age profile'!$N$2:$N$61,B547)*(1+in_takeup_growth)^(D547-1))</f>
        <v/>
      </c>
      <c r="H547" s="11">
        <f>MIN(in_approval_cap,in_approved_first*INDEX('Age profile'!$O$2:$O$61,B547)*(1+in_approval_growth)^(D547-1))</f>
        <v/>
      </c>
      <c r="I547" s="45">
        <f>G547*MIN(in_takeup_cap,INDEX('Age profile'!$O$2:$O$61,B547)*(1+in_approval_growth)^(D547-1))</f>
        <v/>
      </c>
      <c r="J547" s="40">
        <f>(J546-L546)*F547/F546</f>
        <v/>
      </c>
      <c r="K547" s="40">
        <f>(K546-M546)*F547/F546+SUMIFS(O506:O546,B506:B546,B547-1-d_T)*F547</f>
        <v/>
      </c>
      <c r="L547" s="40">
        <f>IF(B547&gt;=in_marketplace_from,J547*d_hz*G547*in_eligible*H547,0)</f>
        <v/>
      </c>
      <c r="M547" s="40">
        <f>IF(B547&gt;=in_marketplace_from,K547*d_hz*G547*in_eligible*in_approved_repeat,0)</f>
        <v/>
      </c>
      <c r="N547" s="40">
        <f>L547+M547</f>
        <v/>
      </c>
      <c r="O547" s="46">
        <f>N547/F547</f>
        <v/>
      </c>
      <c r="P547" s="40">
        <f>F547-J547-K547</f>
        <v/>
      </c>
      <c r="Q547" s="40">
        <f>IF(B547&gt;=in_marketplace_from,(J547+K547)*d_hz*G547,0)</f>
        <v/>
      </c>
      <c r="R547" s="40">
        <f>SUMIFS(N506:N556,B506:B556,"&gt;="&amp;(B547-d_T),B506:B556,"&lt;="&amp;(B547-1))</f>
        <v/>
      </c>
      <c r="S547" s="46">
        <f>(1-d_u)*S546+IF(d_T&gt;in_topup_lag,SUMIFS(O506:O556,B506:B556,B547-in_topup_lag)-d_udrop*SUMIFS(O506:O556,B506:B556,B547-d_T),0)</f>
        <v/>
      </c>
      <c r="T547" s="40">
        <f>F547*d_u*S547</f>
        <v/>
      </c>
      <c r="U547" s="9">
        <f>L547*in_ticket+M547*d_rep_ticket</f>
        <v/>
      </c>
      <c r="V547" s="9">
        <f>U547+T547*d_topup_amt</f>
        <v/>
      </c>
      <c r="W547" s="40">
        <f>N547+T547*d_topup_ratio</f>
        <v/>
      </c>
      <c r="X547" s="40">
        <f>SUMIFS(W506:W556,B506:B556,B547-in_dpd_lag)*d_cured</f>
        <v/>
      </c>
      <c r="Y547" s="40">
        <f>SUMIFS(W506:W556,B506:B556,B547-in_rec_lag)*d_recd</f>
        <v/>
      </c>
      <c r="Z547" s="40">
        <f>IF(AND(B547&gt;=in_marketplace_from,B547&lt;in_marketplace_from+in_card_months),in_card_share/in_card_months*F547*I547,IF(AND(B547&gt;=in_marketplace_from+in_card_months,B547&lt;in_marketplace_from+2*in_card_months),in_card_share*d_card_rem/in_card_months*F547*MIN(in_takeup_cap,(1+in_takeup_growth)^(D547-1))*MIN(in_takeup_cap,(1+in_approval_growth)^(D547-1)),0))</f>
        <v/>
      </c>
      <c r="AA547" s="14">
        <f>V547*in_fee*(1-in_taken_back)</f>
        <v/>
      </c>
      <c r="AB547" s="14">
        <f>SUMIFS(W506:W556,B506:B556,B547-in_dpd_lag)*d_dpd</f>
        <v/>
      </c>
      <c r="AC547" s="14">
        <f>SUMIFS(W506:W556,B506:B556,B547-in_rec_lag)*d_rec</f>
        <v/>
      </c>
      <c r="AD547" s="14">
        <f>Z547*in_card_fee</f>
        <v/>
      </c>
      <c r="AE547" s="40">
        <f>AE546*(1-IF(B546&gt;=in_marketplace_from,d_hz_hlth_small*G546,0))</f>
        <v/>
      </c>
      <c r="AF547" s="46">
        <f>AE547*IF(B547&gt;=in_marketplace_from,d_hz_hlth_small*G547,0)</f>
        <v/>
      </c>
      <c r="AG547" s="14">
        <f>F547*AF547*in_hlth_small_ticket*in_hlth_small_comm*in_ins_partner_share+F547*in_hlth_small_ticket*in_hlth_small_renew_comm*in_ins_partner_share*(in_hlth_small_renew^1*SUMIFS(AF506:AF556,B506:B556,B547-12)+in_hlth_small_renew^2*SUMIFS(AF506:AF556,B506:B556,B547-24)+in_hlth_small_renew^3*SUMIFS(AF506:AF556,B506:B556,B547-36)+in_hlth_small_renew^4*SUMIFS(AF506:AF556,B506:B556,B547-48))</f>
        <v/>
      </c>
      <c r="AH547" s="40">
        <f>AH546*(1-IF(B546&gt;=in_marketplace_from,d_hz_hlth_family*G546,0))</f>
        <v/>
      </c>
      <c r="AI547" s="46">
        <f>AH547*IF(B547&gt;=in_marketplace_from,d_hz_hlth_family*G547,0)</f>
        <v/>
      </c>
      <c r="AJ547" s="14">
        <f>F547*AI547*in_hlth_family_ticket*in_hlth_family_comm*in_ins_partner_share+F547*in_hlth_family_ticket*in_hlth_family_renew_comm*in_ins_partner_share*(in_hlth_family_renew^1*SUMIFS(AI506:AI556,B506:B556,B547-12)+in_hlth_family_renew^2*SUMIFS(AI506:AI556,B506:B556,B547-24)+in_hlth_family_renew^3*SUMIFS(AI506:AI556,B506:B556,B547-36)+in_hlth_family_renew^4*SUMIFS(AI506:AI556,B506:B556,B547-48))</f>
        <v/>
      </c>
      <c r="AK547" s="40">
        <f>AK546*(1-IF(B546&gt;=in_marketplace_from,d_hz_life_term*G546,0))</f>
        <v/>
      </c>
      <c r="AL547" s="46">
        <f>AK547*IF(B547&gt;=in_marketplace_from,d_hz_life_term*G547,0)</f>
        <v/>
      </c>
      <c r="AM547" s="14">
        <f>F547*AL547*in_life_term_ticket*in_life_term_comm*in_ins_partner_share+F547*in_life_term_ticket*in_life_term_renew_comm*in_ins_partner_share*(in_life_term_renew^1*SUMIFS(AL506:AL556,B506:B556,B547-12)+in_life_term_renew^2*SUMIFS(AL506:AL556,B506:B556,B547-24)+in_life_term_renew^3*SUMIFS(AL506:AL556,B506:B556,B547-36)+in_life_term_renew^4*SUMIFS(AL506:AL556,B506:B556,B547-48))</f>
        <v/>
      </c>
      <c r="AN547" s="40">
        <f>AN546*(1-IF(B546&gt;=in_marketplace_from,d_hz_accident*G546,0))</f>
        <v/>
      </c>
      <c r="AO547" s="46">
        <f>AN547*IF(B547&gt;=in_marketplace_from,d_hz_accident*G547,0)</f>
        <v/>
      </c>
      <c r="AP547" s="14">
        <f>F547*AO547*in_accident_ticket*in_accident_comm*in_ins_partner_share+F547*in_accident_ticket*in_accident_renew_comm*in_ins_partner_share*(in_accident_renew^1*SUMIFS(AO506:AO556,B506:B556,B547-12)+in_accident_renew^2*SUMIFS(AO506:AO556,B506:B556,B547-24)+in_accident_renew^3*SUMIFS(AO506:AO556,B506:B556,B547-36)+in_accident_renew^4*SUMIFS(AO506:AO556,B506:B556,B547-48))</f>
        <v/>
      </c>
      <c r="AQ547" s="40">
        <f>AQ546*(1-IF(B546&gt;=in_marketplace_from,d_hz_two_wheeler*G546,0))</f>
        <v/>
      </c>
      <c r="AR547" s="46">
        <f>AQ547*IF(B547&gt;=in_marketplace_from,d_hz_two_wheeler*G547,0)</f>
        <v/>
      </c>
      <c r="AS547" s="14">
        <f>F547*AR547*in_two_wheeler_ticket*in_two_wheeler_comm*in_ins_partner_share+F547*in_two_wheeler_ticket*in_two_wheeler_comm*in_ins_partner_share*(in_two_wheeler_renew^1*SUMIFS(AR506:AR556,B506:B556,B547-12)+in_two_wheeler_renew^2*SUMIFS(AR506:AR556,B506:B556,B547-24)+in_two_wheeler_renew^3*SUMIFS(AR506:AR556,B506:B556,B547-36)+in_two_wheeler_renew^4*SUMIFS(AR506:AR556,B506:B556,B547-48))</f>
        <v/>
      </c>
      <c r="AT547" s="40">
        <f>AT546*(1-IF(B546&gt;=in_marketplace_from,d_hz_device*G546,0))</f>
        <v/>
      </c>
      <c r="AU547" s="14">
        <f>F547*AT547*IF(B547&gt;=in_marketplace_from,d_hz_device*G547,0)*in_device_ticket*in_device_comm*in_ins_partner_share</f>
        <v/>
      </c>
      <c r="AV547" s="40">
        <f>AV546*(1-IF(B546&gt;=in_marketplace_from,d_hz_shop*G546,0))</f>
        <v/>
      </c>
      <c r="AW547" s="46">
        <f>AV547*IF(B547&gt;=in_marketplace_from,d_hz_shop*G547,0)</f>
        <v/>
      </c>
      <c r="AX547" s="14">
        <f>F547*AW547*in_shop_ticket*in_shop_comm*in_ins_partner_share+F547*in_shop_ticket*in_shop_renew_comm*in_ins_partner_share*(in_shop_renew^1*SUMIFS(AW506:AW556,B506:B556,B547-12)+in_shop_renew^2*SUMIFS(AW506:AW556,B506:B556,B547-24)+in_shop_renew^3*SUMIFS(AW506:AW556,B506:B556,B547-36)+in_shop_renew^4*SUMIFS(AW506:AW556,B506:B556,B547-48))</f>
        <v/>
      </c>
      <c r="AY547" s="40">
        <f>AY546*(1-IF(B546&gt;=in_marketplace_from,d_hz_sip*G546,0))</f>
        <v/>
      </c>
      <c r="AZ547" s="40">
        <f>AZ546*d_rho_sip+AY547*IF(B547&gt;=in_marketplace_from,d_hz_sip*G547,0)</f>
        <v/>
      </c>
      <c r="BA547" s="40">
        <f>d_rho_sip*(BA546+AZ546)</f>
        <v/>
      </c>
      <c r="BB547" s="14">
        <f>F547*in_sip_ticket*(BA547+0.5*AZ547)*in_sip_comm/12</f>
        <v/>
      </c>
      <c r="BC547" s="40">
        <f>BC546*(1-IF(B546&gt;=in_marketplace_from,d_hz_choti*G546,0))</f>
        <v/>
      </c>
      <c r="BD547" s="46">
        <f>BC547*IF(B547&gt;=in_marketplace_from,d_hz_choti*G547,0)</f>
        <v/>
      </c>
      <c r="BE547" s="14">
        <f>F547*SUMIFS(BD506:BD556,B506:B556,B547-in_choti_months)*in_choti_renew*in_choti_ticket</f>
        <v/>
      </c>
      <c r="BF547" s="40">
        <f>BF546*(1-IF(B546&gt;=in_marketplace_from,d_hz_nps*G546,0))</f>
        <v/>
      </c>
      <c r="BG547" s="14">
        <f>F547*BF547*IF(B547&gt;=in_marketplace_from,d_hz_nps*G547,0)*in_nps_ticket*in_nps_comm</f>
        <v/>
      </c>
      <c r="BH547" s="40">
        <f>BH546*(1-IF(B546&gt;=in_marketplace_from,d_hz_gold*G546,0))</f>
        <v/>
      </c>
      <c r="BI547" s="40">
        <f>BI546*d_rho_gold+BH547*IF(B547&gt;=in_marketplace_from,d_hz_gold*G547,0)</f>
        <v/>
      </c>
      <c r="BJ547" s="14">
        <f>F547*BI547*in_gold_ticket*in_gold_comm</f>
        <v/>
      </c>
      <c r="BK547" s="40">
        <f>BK546*(1-IF(B546&gt;=in_marketplace_from,d_hz_fd*G546,0))</f>
        <v/>
      </c>
      <c r="BL547" s="14">
        <f>F547*BK547*IF(B547&gt;=in_marketplace_from,d_hz_fd*G547,0)*in_fd_ticket*in_fd_comm</f>
        <v/>
      </c>
      <c r="BM547" s="40">
        <f>BM546*(1-IF(B546&gt;=in_marketplace_from,d_hz_recharge*G546,0))</f>
        <v/>
      </c>
      <c r="BN547" s="40">
        <f>BN546*d_rho_recharge+BM547*IF(B547&gt;=in_marketplace_from,d_hz_recharge*G547,0)</f>
        <v/>
      </c>
      <c r="BO547" s="14">
        <f>F547*BN547*in_recharge_ticket*in_recharge_comm/12</f>
        <v/>
      </c>
      <c r="BP547" s="40">
        <f>BP546*(1-IF(B546&gt;=in_marketplace_from,d_hz_bills*G546,0))</f>
        <v/>
      </c>
      <c r="BQ547" s="40">
        <f>BQ546*d_rho_bills+BP547*IF(B547&gt;=in_marketplace_from,d_hz_bills*G547,0)</f>
        <v/>
      </c>
      <c r="BR547" s="14">
        <f>F547*BQ547*in_bills_ticket*in_bills_comm/12</f>
        <v/>
      </c>
      <c r="BS547" s="40">
        <f>BS546*(1-IF(B546&gt;=in_marketplace_from,d_hz_loan_gold*G546,0))</f>
        <v/>
      </c>
      <c r="BT547" s="14">
        <f>F547*BS547*IF(B547&gt;=in_marketplace_from,d_hz_loan_gold*G547,0)*in_loan_gold_ticket*in_loan_gold_comm</f>
        <v/>
      </c>
      <c r="BU547" s="40">
        <f>BU546*(1-IF(B546&gt;=in_marketplace_from,d_hz_loan_cd*G546,0))</f>
        <v/>
      </c>
      <c r="BV547" s="14">
        <f>F547*BU547*IF(B547&gt;=in_marketplace_from,d_hz_loan_cd*G547,0)*in_loan_cd_ticket*in_loan_cd_comm</f>
        <v/>
      </c>
      <c r="BW547" s="40">
        <f>BW546*(1-IF(B546&gt;=in_marketplace_from,d_hz_loan_vehicle*G546,0))</f>
        <v/>
      </c>
      <c r="BX547" s="14">
        <f>F547*BW547*IF(B547&gt;=in_marketplace_from,d_hz_loan_vehicle*G547,0)*in_loan_vehicle_ticket*in_loan_vehicle_comm</f>
        <v/>
      </c>
      <c r="BY547" s="40">
        <f>BY546*(1-IF(B546&gt;=in_marketplace_from,d_hz_loan_home*G546,0)*BZ546)</f>
        <v/>
      </c>
      <c r="BZ547" s="11">
        <f>MIN(in_approval_cap,in_loan_home_approval*INDEX('Age profile'!$O$2:$O$61,B547)*(1+in_approval_growth)^(D547-1))</f>
        <v/>
      </c>
      <c r="CA547" s="14">
        <f>F547*BY547*IF(B547&gt;=in_marketplace_from,d_hz_loan_home*G547,0)*BZ547*in_loan_home_ticket*in_loan_home_comm</f>
        <v/>
      </c>
      <c r="CB547" s="40">
        <f>CB546*(1-IF(B546&gt;=in_marketplace_from,d_hz_loan_lap*G546,0)*CC546)</f>
        <v/>
      </c>
      <c r="CC547" s="11">
        <f>MIN(in_approval_cap,in_loan_lap_approval*INDEX('Age profile'!$O$2:$O$61,B547)*(1+in_approval_growth)^(D547-1))</f>
        <v/>
      </c>
      <c r="CD547" s="14">
        <f>F547*CB547*IF(B547&gt;=in_marketplace_from,d_hz_loan_lap*G547,0)*CC547*in_loan_lap_ticket*in_loan_lap_comm</f>
        <v/>
      </c>
      <c r="CE547" s="14">
        <f>AA547+AB547+AC547+AD547+AG547+AJ547+AM547+AP547+AS547+AU547+AX547+BB547+BE547+BG547+BJ547+BL547+BO547+BR547+BT547+BV547+BX547+CA547+CD547</f>
        <v/>
      </c>
    </row>
    <row r="548">
      <c r="A548" s="39" t="n">
        <v>10</v>
      </c>
      <c r="B548" s="39" t="n">
        <v>43</v>
      </c>
      <c r="C548" s="39">
        <f>A548+B548-1</f>
        <v/>
      </c>
      <c r="D548" s="39">
        <f>INT((C548-1)/12)+1</f>
        <v/>
      </c>
      <c r="E548" s="44">
        <f>INDEX(Monthly!$B$2:$B$61,A548)</f>
        <v/>
      </c>
      <c r="F548" s="44">
        <f>E548*INDEX('Age profile'!$B$2:$B$61,B548)</f>
        <v/>
      </c>
      <c r="G548" s="45">
        <f>MIN(in_takeup_cap,INDEX('Age profile'!$N$2:$N$61,B548)*(1+in_takeup_growth)^(D548-1))</f>
        <v/>
      </c>
      <c r="H548" s="11">
        <f>MIN(in_approval_cap,in_approved_first*INDEX('Age profile'!$O$2:$O$61,B548)*(1+in_approval_growth)^(D548-1))</f>
        <v/>
      </c>
      <c r="I548" s="45">
        <f>G548*MIN(in_takeup_cap,INDEX('Age profile'!$O$2:$O$61,B548)*(1+in_approval_growth)^(D548-1))</f>
        <v/>
      </c>
      <c r="J548" s="40">
        <f>(J547-L547)*F548/F547</f>
        <v/>
      </c>
      <c r="K548" s="40">
        <f>(K547-M547)*F548/F547+SUMIFS(O506:O547,B506:B547,B548-1-d_T)*F548</f>
        <v/>
      </c>
      <c r="L548" s="40">
        <f>IF(B548&gt;=in_marketplace_from,J548*d_hz*G548*in_eligible*H548,0)</f>
        <v/>
      </c>
      <c r="M548" s="40">
        <f>IF(B548&gt;=in_marketplace_from,K548*d_hz*G548*in_eligible*in_approved_repeat,0)</f>
        <v/>
      </c>
      <c r="N548" s="40">
        <f>L548+M548</f>
        <v/>
      </c>
      <c r="O548" s="46">
        <f>N548/F548</f>
        <v/>
      </c>
      <c r="P548" s="40">
        <f>F548-J548-K548</f>
        <v/>
      </c>
      <c r="Q548" s="40">
        <f>IF(B548&gt;=in_marketplace_from,(J548+K548)*d_hz*G548,0)</f>
        <v/>
      </c>
      <c r="R548" s="40">
        <f>SUMIFS(N506:N556,B506:B556,"&gt;="&amp;(B548-d_T),B506:B556,"&lt;="&amp;(B548-1))</f>
        <v/>
      </c>
      <c r="S548" s="46">
        <f>(1-d_u)*S547+IF(d_T&gt;in_topup_lag,SUMIFS(O506:O556,B506:B556,B548-in_topup_lag)-d_udrop*SUMIFS(O506:O556,B506:B556,B548-d_T),0)</f>
        <v/>
      </c>
      <c r="T548" s="40">
        <f>F548*d_u*S548</f>
        <v/>
      </c>
      <c r="U548" s="9">
        <f>L548*in_ticket+M548*d_rep_ticket</f>
        <v/>
      </c>
      <c r="V548" s="9">
        <f>U548+T548*d_topup_amt</f>
        <v/>
      </c>
      <c r="W548" s="40">
        <f>N548+T548*d_topup_ratio</f>
        <v/>
      </c>
      <c r="X548" s="40">
        <f>SUMIFS(W506:W556,B506:B556,B548-in_dpd_lag)*d_cured</f>
        <v/>
      </c>
      <c r="Y548" s="40">
        <f>SUMIFS(W506:W556,B506:B556,B548-in_rec_lag)*d_recd</f>
        <v/>
      </c>
      <c r="Z548" s="40">
        <f>IF(AND(B548&gt;=in_marketplace_from,B548&lt;in_marketplace_from+in_card_months),in_card_share/in_card_months*F548*I548,IF(AND(B548&gt;=in_marketplace_from+in_card_months,B548&lt;in_marketplace_from+2*in_card_months),in_card_share*d_card_rem/in_card_months*F548*MIN(in_takeup_cap,(1+in_takeup_growth)^(D548-1))*MIN(in_takeup_cap,(1+in_approval_growth)^(D548-1)),0))</f>
        <v/>
      </c>
      <c r="AA548" s="14">
        <f>V548*in_fee*(1-in_taken_back)</f>
        <v/>
      </c>
      <c r="AB548" s="14">
        <f>SUMIFS(W506:W556,B506:B556,B548-in_dpd_lag)*d_dpd</f>
        <v/>
      </c>
      <c r="AC548" s="14">
        <f>SUMIFS(W506:W556,B506:B556,B548-in_rec_lag)*d_rec</f>
        <v/>
      </c>
      <c r="AD548" s="14">
        <f>Z548*in_card_fee</f>
        <v/>
      </c>
      <c r="AE548" s="40">
        <f>AE547*(1-IF(B547&gt;=in_marketplace_from,d_hz_hlth_small*G547,0))</f>
        <v/>
      </c>
      <c r="AF548" s="46">
        <f>AE548*IF(B548&gt;=in_marketplace_from,d_hz_hlth_small*G548,0)</f>
        <v/>
      </c>
      <c r="AG548" s="14">
        <f>F548*AF548*in_hlth_small_ticket*in_hlth_small_comm*in_ins_partner_share+F548*in_hlth_small_ticket*in_hlth_small_renew_comm*in_ins_partner_share*(in_hlth_small_renew^1*SUMIFS(AF506:AF556,B506:B556,B548-12)+in_hlth_small_renew^2*SUMIFS(AF506:AF556,B506:B556,B548-24)+in_hlth_small_renew^3*SUMIFS(AF506:AF556,B506:B556,B548-36)+in_hlth_small_renew^4*SUMIFS(AF506:AF556,B506:B556,B548-48))</f>
        <v/>
      </c>
      <c r="AH548" s="40">
        <f>AH547*(1-IF(B547&gt;=in_marketplace_from,d_hz_hlth_family*G547,0))</f>
        <v/>
      </c>
      <c r="AI548" s="46">
        <f>AH548*IF(B548&gt;=in_marketplace_from,d_hz_hlth_family*G548,0)</f>
        <v/>
      </c>
      <c r="AJ548" s="14">
        <f>F548*AI548*in_hlth_family_ticket*in_hlth_family_comm*in_ins_partner_share+F548*in_hlth_family_ticket*in_hlth_family_renew_comm*in_ins_partner_share*(in_hlth_family_renew^1*SUMIFS(AI506:AI556,B506:B556,B548-12)+in_hlth_family_renew^2*SUMIFS(AI506:AI556,B506:B556,B548-24)+in_hlth_family_renew^3*SUMIFS(AI506:AI556,B506:B556,B548-36)+in_hlth_family_renew^4*SUMIFS(AI506:AI556,B506:B556,B548-48))</f>
        <v/>
      </c>
      <c r="AK548" s="40">
        <f>AK547*(1-IF(B547&gt;=in_marketplace_from,d_hz_life_term*G547,0))</f>
        <v/>
      </c>
      <c r="AL548" s="46">
        <f>AK548*IF(B548&gt;=in_marketplace_from,d_hz_life_term*G548,0)</f>
        <v/>
      </c>
      <c r="AM548" s="14">
        <f>F548*AL548*in_life_term_ticket*in_life_term_comm*in_ins_partner_share+F548*in_life_term_ticket*in_life_term_renew_comm*in_ins_partner_share*(in_life_term_renew^1*SUMIFS(AL506:AL556,B506:B556,B548-12)+in_life_term_renew^2*SUMIFS(AL506:AL556,B506:B556,B548-24)+in_life_term_renew^3*SUMIFS(AL506:AL556,B506:B556,B548-36)+in_life_term_renew^4*SUMIFS(AL506:AL556,B506:B556,B548-48))</f>
        <v/>
      </c>
      <c r="AN548" s="40">
        <f>AN547*(1-IF(B547&gt;=in_marketplace_from,d_hz_accident*G547,0))</f>
        <v/>
      </c>
      <c r="AO548" s="46">
        <f>AN548*IF(B548&gt;=in_marketplace_from,d_hz_accident*G548,0)</f>
        <v/>
      </c>
      <c r="AP548" s="14">
        <f>F548*AO548*in_accident_ticket*in_accident_comm*in_ins_partner_share+F548*in_accident_ticket*in_accident_renew_comm*in_ins_partner_share*(in_accident_renew^1*SUMIFS(AO506:AO556,B506:B556,B548-12)+in_accident_renew^2*SUMIFS(AO506:AO556,B506:B556,B548-24)+in_accident_renew^3*SUMIFS(AO506:AO556,B506:B556,B548-36)+in_accident_renew^4*SUMIFS(AO506:AO556,B506:B556,B548-48))</f>
        <v/>
      </c>
      <c r="AQ548" s="40">
        <f>AQ547*(1-IF(B547&gt;=in_marketplace_from,d_hz_two_wheeler*G547,0))</f>
        <v/>
      </c>
      <c r="AR548" s="46">
        <f>AQ548*IF(B548&gt;=in_marketplace_from,d_hz_two_wheeler*G548,0)</f>
        <v/>
      </c>
      <c r="AS548" s="14">
        <f>F548*AR548*in_two_wheeler_ticket*in_two_wheeler_comm*in_ins_partner_share+F548*in_two_wheeler_ticket*in_two_wheeler_comm*in_ins_partner_share*(in_two_wheeler_renew^1*SUMIFS(AR506:AR556,B506:B556,B548-12)+in_two_wheeler_renew^2*SUMIFS(AR506:AR556,B506:B556,B548-24)+in_two_wheeler_renew^3*SUMIFS(AR506:AR556,B506:B556,B548-36)+in_two_wheeler_renew^4*SUMIFS(AR506:AR556,B506:B556,B548-48))</f>
        <v/>
      </c>
      <c r="AT548" s="40">
        <f>AT547*(1-IF(B547&gt;=in_marketplace_from,d_hz_device*G547,0))</f>
        <v/>
      </c>
      <c r="AU548" s="14">
        <f>F548*AT548*IF(B548&gt;=in_marketplace_from,d_hz_device*G548,0)*in_device_ticket*in_device_comm*in_ins_partner_share</f>
        <v/>
      </c>
      <c r="AV548" s="40">
        <f>AV547*(1-IF(B547&gt;=in_marketplace_from,d_hz_shop*G547,0))</f>
        <v/>
      </c>
      <c r="AW548" s="46">
        <f>AV548*IF(B548&gt;=in_marketplace_from,d_hz_shop*G548,0)</f>
        <v/>
      </c>
      <c r="AX548" s="14">
        <f>F548*AW548*in_shop_ticket*in_shop_comm*in_ins_partner_share+F548*in_shop_ticket*in_shop_renew_comm*in_ins_partner_share*(in_shop_renew^1*SUMIFS(AW506:AW556,B506:B556,B548-12)+in_shop_renew^2*SUMIFS(AW506:AW556,B506:B556,B548-24)+in_shop_renew^3*SUMIFS(AW506:AW556,B506:B556,B548-36)+in_shop_renew^4*SUMIFS(AW506:AW556,B506:B556,B548-48))</f>
        <v/>
      </c>
      <c r="AY548" s="40">
        <f>AY547*(1-IF(B547&gt;=in_marketplace_from,d_hz_sip*G547,0))</f>
        <v/>
      </c>
      <c r="AZ548" s="40">
        <f>AZ547*d_rho_sip+AY548*IF(B548&gt;=in_marketplace_from,d_hz_sip*G548,0)</f>
        <v/>
      </c>
      <c r="BA548" s="40">
        <f>d_rho_sip*(BA547+AZ547)</f>
        <v/>
      </c>
      <c r="BB548" s="14">
        <f>F548*in_sip_ticket*(BA548+0.5*AZ548)*in_sip_comm/12</f>
        <v/>
      </c>
      <c r="BC548" s="40">
        <f>BC547*(1-IF(B547&gt;=in_marketplace_from,d_hz_choti*G547,0))</f>
        <v/>
      </c>
      <c r="BD548" s="46">
        <f>BC548*IF(B548&gt;=in_marketplace_from,d_hz_choti*G548,0)</f>
        <v/>
      </c>
      <c r="BE548" s="14">
        <f>F548*SUMIFS(BD506:BD556,B506:B556,B548-in_choti_months)*in_choti_renew*in_choti_ticket</f>
        <v/>
      </c>
      <c r="BF548" s="40">
        <f>BF547*(1-IF(B547&gt;=in_marketplace_from,d_hz_nps*G547,0))</f>
        <v/>
      </c>
      <c r="BG548" s="14">
        <f>F548*BF548*IF(B548&gt;=in_marketplace_from,d_hz_nps*G548,0)*in_nps_ticket*in_nps_comm</f>
        <v/>
      </c>
      <c r="BH548" s="40">
        <f>BH547*(1-IF(B547&gt;=in_marketplace_from,d_hz_gold*G547,0))</f>
        <v/>
      </c>
      <c r="BI548" s="40">
        <f>BI547*d_rho_gold+BH548*IF(B548&gt;=in_marketplace_from,d_hz_gold*G548,0)</f>
        <v/>
      </c>
      <c r="BJ548" s="14">
        <f>F548*BI548*in_gold_ticket*in_gold_comm</f>
        <v/>
      </c>
      <c r="BK548" s="40">
        <f>BK547*(1-IF(B547&gt;=in_marketplace_from,d_hz_fd*G547,0))</f>
        <v/>
      </c>
      <c r="BL548" s="14">
        <f>F548*BK548*IF(B548&gt;=in_marketplace_from,d_hz_fd*G548,0)*in_fd_ticket*in_fd_comm</f>
        <v/>
      </c>
      <c r="BM548" s="40">
        <f>BM547*(1-IF(B547&gt;=in_marketplace_from,d_hz_recharge*G547,0))</f>
        <v/>
      </c>
      <c r="BN548" s="40">
        <f>BN547*d_rho_recharge+BM548*IF(B548&gt;=in_marketplace_from,d_hz_recharge*G548,0)</f>
        <v/>
      </c>
      <c r="BO548" s="14">
        <f>F548*BN548*in_recharge_ticket*in_recharge_comm/12</f>
        <v/>
      </c>
      <c r="BP548" s="40">
        <f>BP547*(1-IF(B547&gt;=in_marketplace_from,d_hz_bills*G547,0))</f>
        <v/>
      </c>
      <c r="BQ548" s="40">
        <f>BQ547*d_rho_bills+BP548*IF(B548&gt;=in_marketplace_from,d_hz_bills*G548,0)</f>
        <v/>
      </c>
      <c r="BR548" s="14">
        <f>F548*BQ548*in_bills_ticket*in_bills_comm/12</f>
        <v/>
      </c>
      <c r="BS548" s="40">
        <f>BS547*(1-IF(B547&gt;=in_marketplace_from,d_hz_loan_gold*G547,0))</f>
        <v/>
      </c>
      <c r="BT548" s="14">
        <f>F548*BS548*IF(B548&gt;=in_marketplace_from,d_hz_loan_gold*G548,0)*in_loan_gold_ticket*in_loan_gold_comm</f>
        <v/>
      </c>
      <c r="BU548" s="40">
        <f>BU547*(1-IF(B547&gt;=in_marketplace_from,d_hz_loan_cd*G547,0))</f>
        <v/>
      </c>
      <c r="BV548" s="14">
        <f>F548*BU548*IF(B548&gt;=in_marketplace_from,d_hz_loan_cd*G548,0)*in_loan_cd_ticket*in_loan_cd_comm</f>
        <v/>
      </c>
      <c r="BW548" s="40">
        <f>BW547*(1-IF(B547&gt;=in_marketplace_from,d_hz_loan_vehicle*G547,0))</f>
        <v/>
      </c>
      <c r="BX548" s="14">
        <f>F548*BW548*IF(B548&gt;=in_marketplace_from,d_hz_loan_vehicle*G548,0)*in_loan_vehicle_ticket*in_loan_vehicle_comm</f>
        <v/>
      </c>
      <c r="BY548" s="40">
        <f>BY547*(1-IF(B547&gt;=in_marketplace_from,d_hz_loan_home*G547,0)*BZ547)</f>
        <v/>
      </c>
      <c r="BZ548" s="11">
        <f>MIN(in_approval_cap,in_loan_home_approval*INDEX('Age profile'!$O$2:$O$61,B548)*(1+in_approval_growth)^(D548-1))</f>
        <v/>
      </c>
      <c r="CA548" s="14">
        <f>F548*BY548*IF(B548&gt;=in_marketplace_from,d_hz_loan_home*G548,0)*BZ548*in_loan_home_ticket*in_loan_home_comm</f>
        <v/>
      </c>
      <c r="CB548" s="40">
        <f>CB547*(1-IF(B547&gt;=in_marketplace_from,d_hz_loan_lap*G547,0)*CC547)</f>
        <v/>
      </c>
      <c r="CC548" s="11">
        <f>MIN(in_approval_cap,in_loan_lap_approval*INDEX('Age profile'!$O$2:$O$61,B548)*(1+in_approval_growth)^(D548-1))</f>
        <v/>
      </c>
      <c r="CD548" s="14">
        <f>F548*CB548*IF(B548&gt;=in_marketplace_from,d_hz_loan_lap*G548,0)*CC548*in_loan_lap_ticket*in_loan_lap_comm</f>
        <v/>
      </c>
      <c r="CE548" s="14">
        <f>AA548+AB548+AC548+AD548+AG548+AJ548+AM548+AP548+AS548+AU548+AX548+BB548+BE548+BG548+BJ548+BL548+BO548+BR548+BT548+BV548+BX548+CA548+CD548</f>
        <v/>
      </c>
    </row>
    <row r="549">
      <c r="A549" s="39" t="n">
        <v>10</v>
      </c>
      <c r="B549" s="39" t="n">
        <v>44</v>
      </c>
      <c r="C549" s="39">
        <f>A549+B549-1</f>
        <v/>
      </c>
      <c r="D549" s="39">
        <f>INT((C549-1)/12)+1</f>
        <v/>
      </c>
      <c r="E549" s="44">
        <f>INDEX(Monthly!$B$2:$B$61,A549)</f>
        <v/>
      </c>
      <c r="F549" s="44">
        <f>E549*INDEX('Age profile'!$B$2:$B$61,B549)</f>
        <v/>
      </c>
      <c r="G549" s="45">
        <f>MIN(in_takeup_cap,INDEX('Age profile'!$N$2:$N$61,B549)*(1+in_takeup_growth)^(D549-1))</f>
        <v/>
      </c>
      <c r="H549" s="11">
        <f>MIN(in_approval_cap,in_approved_first*INDEX('Age profile'!$O$2:$O$61,B549)*(1+in_approval_growth)^(D549-1))</f>
        <v/>
      </c>
      <c r="I549" s="45">
        <f>G549*MIN(in_takeup_cap,INDEX('Age profile'!$O$2:$O$61,B549)*(1+in_approval_growth)^(D549-1))</f>
        <v/>
      </c>
      <c r="J549" s="40">
        <f>(J548-L548)*F549/F548</f>
        <v/>
      </c>
      <c r="K549" s="40">
        <f>(K548-M548)*F549/F548+SUMIFS(O506:O548,B506:B548,B549-1-d_T)*F549</f>
        <v/>
      </c>
      <c r="L549" s="40">
        <f>IF(B549&gt;=in_marketplace_from,J549*d_hz*G549*in_eligible*H549,0)</f>
        <v/>
      </c>
      <c r="M549" s="40">
        <f>IF(B549&gt;=in_marketplace_from,K549*d_hz*G549*in_eligible*in_approved_repeat,0)</f>
        <v/>
      </c>
      <c r="N549" s="40">
        <f>L549+M549</f>
        <v/>
      </c>
      <c r="O549" s="46">
        <f>N549/F549</f>
        <v/>
      </c>
      <c r="P549" s="40">
        <f>F549-J549-K549</f>
        <v/>
      </c>
      <c r="Q549" s="40">
        <f>IF(B549&gt;=in_marketplace_from,(J549+K549)*d_hz*G549,0)</f>
        <v/>
      </c>
      <c r="R549" s="40">
        <f>SUMIFS(N506:N556,B506:B556,"&gt;="&amp;(B549-d_T),B506:B556,"&lt;="&amp;(B549-1))</f>
        <v/>
      </c>
      <c r="S549" s="46">
        <f>(1-d_u)*S548+IF(d_T&gt;in_topup_lag,SUMIFS(O506:O556,B506:B556,B549-in_topup_lag)-d_udrop*SUMIFS(O506:O556,B506:B556,B549-d_T),0)</f>
        <v/>
      </c>
      <c r="T549" s="40">
        <f>F549*d_u*S549</f>
        <v/>
      </c>
      <c r="U549" s="9">
        <f>L549*in_ticket+M549*d_rep_ticket</f>
        <v/>
      </c>
      <c r="V549" s="9">
        <f>U549+T549*d_topup_amt</f>
        <v/>
      </c>
      <c r="W549" s="40">
        <f>N549+T549*d_topup_ratio</f>
        <v/>
      </c>
      <c r="X549" s="40">
        <f>SUMIFS(W506:W556,B506:B556,B549-in_dpd_lag)*d_cured</f>
        <v/>
      </c>
      <c r="Y549" s="40">
        <f>SUMIFS(W506:W556,B506:B556,B549-in_rec_lag)*d_recd</f>
        <v/>
      </c>
      <c r="Z549" s="40">
        <f>IF(AND(B549&gt;=in_marketplace_from,B549&lt;in_marketplace_from+in_card_months),in_card_share/in_card_months*F549*I549,IF(AND(B549&gt;=in_marketplace_from+in_card_months,B549&lt;in_marketplace_from+2*in_card_months),in_card_share*d_card_rem/in_card_months*F549*MIN(in_takeup_cap,(1+in_takeup_growth)^(D549-1))*MIN(in_takeup_cap,(1+in_approval_growth)^(D549-1)),0))</f>
        <v/>
      </c>
      <c r="AA549" s="14">
        <f>V549*in_fee*(1-in_taken_back)</f>
        <v/>
      </c>
      <c r="AB549" s="14">
        <f>SUMIFS(W506:W556,B506:B556,B549-in_dpd_lag)*d_dpd</f>
        <v/>
      </c>
      <c r="AC549" s="14">
        <f>SUMIFS(W506:W556,B506:B556,B549-in_rec_lag)*d_rec</f>
        <v/>
      </c>
      <c r="AD549" s="14">
        <f>Z549*in_card_fee</f>
        <v/>
      </c>
      <c r="AE549" s="40">
        <f>AE548*(1-IF(B548&gt;=in_marketplace_from,d_hz_hlth_small*G548,0))</f>
        <v/>
      </c>
      <c r="AF549" s="46">
        <f>AE549*IF(B549&gt;=in_marketplace_from,d_hz_hlth_small*G549,0)</f>
        <v/>
      </c>
      <c r="AG549" s="14">
        <f>F549*AF549*in_hlth_small_ticket*in_hlth_small_comm*in_ins_partner_share+F549*in_hlth_small_ticket*in_hlth_small_renew_comm*in_ins_partner_share*(in_hlth_small_renew^1*SUMIFS(AF506:AF556,B506:B556,B549-12)+in_hlth_small_renew^2*SUMIFS(AF506:AF556,B506:B556,B549-24)+in_hlth_small_renew^3*SUMIFS(AF506:AF556,B506:B556,B549-36)+in_hlth_small_renew^4*SUMIFS(AF506:AF556,B506:B556,B549-48))</f>
        <v/>
      </c>
      <c r="AH549" s="40">
        <f>AH548*(1-IF(B548&gt;=in_marketplace_from,d_hz_hlth_family*G548,0))</f>
        <v/>
      </c>
      <c r="AI549" s="46">
        <f>AH549*IF(B549&gt;=in_marketplace_from,d_hz_hlth_family*G549,0)</f>
        <v/>
      </c>
      <c r="AJ549" s="14">
        <f>F549*AI549*in_hlth_family_ticket*in_hlth_family_comm*in_ins_partner_share+F549*in_hlth_family_ticket*in_hlth_family_renew_comm*in_ins_partner_share*(in_hlth_family_renew^1*SUMIFS(AI506:AI556,B506:B556,B549-12)+in_hlth_family_renew^2*SUMIFS(AI506:AI556,B506:B556,B549-24)+in_hlth_family_renew^3*SUMIFS(AI506:AI556,B506:B556,B549-36)+in_hlth_family_renew^4*SUMIFS(AI506:AI556,B506:B556,B549-48))</f>
        <v/>
      </c>
      <c r="AK549" s="40">
        <f>AK548*(1-IF(B548&gt;=in_marketplace_from,d_hz_life_term*G548,0))</f>
        <v/>
      </c>
      <c r="AL549" s="46">
        <f>AK549*IF(B549&gt;=in_marketplace_from,d_hz_life_term*G549,0)</f>
        <v/>
      </c>
      <c r="AM549" s="14">
        <f>F549*AL549*in_life_term_ticket*in_life_term_comm*in_ins_partner_share+F549*in_life_term_ticket*in_life_term_renew_comm*in_ins_partner_share*(in_life_term_renew^1*SUMIFS(AL506:AL556,B506:B556,B549-12)+in_life_term_renew^2*SUMIFS(AL506:AL556,B506:B556,B549-24)+in_life_term_renew^3*SUMIFS(AL506:AL556,B506:B556,B549-36)+in_life_term_renew^4*SUMIFS(AL506:AL556,B506:B556,B549-48))</f>
        <v/>
      </c>
      <c r="AN549" s="40">
        <f>AN548*(1-IF(B548&gt;=in_marketplace_from,d_hz_accident*G548,0))</f>
        <v/>
      </c>
      <c r="AO549" s="46">
        <f>AN549*IF(B549&gt;=in_marketplace_from,d_hz_accident*G549,0)</f>
        <v/>
      </c>
      <c r="AP549" s="14">
        <f>F549*AO549*in_accident_ticket*in_accident_comm*in_ins_partner_share+F549*in_accident_ticket*in_accident_renew_comm*in_ins_partner_share*(in_accident_renew^1*SUMIFS(AO506:AO556,B506:B556,B549-12)+in_accident_renew^2*SUMIFS(AO506:AO556,B506:B556,B549-24)+in_accident_renew^3*SUMIFS(AO506:AO556,B506:B556,B549-36)+in_accident_renew^4*SUMIFS(AO506:AO556,B506:B556,B549-48))</f>
        <v/>
      </c>
      <c r="AQ549" s="40">
        <f>AQ548*(1-IF(B548&gt;=in_marketplace_from,d_hz_two_wheeler*G548,0))</f>
        <v/>
      </c>
      <c r="AR549" s="46">
        <f>AQ549*IF(B549&gt;=in_marketplace_from,d_hz_two_wheeler*G549,0)</f>
        <v/>
      </c>
      <c r="AS549" s="14">
        <f>F549*AR549*in_two_wheeler_ticket*in_two_wheeler_comm*in_ins_partner_share+F549*in_two_wheeler_ticket*in_two_wheeler_comm*in_ins_partner_share*(in_two_wheeler_renew^1*SUMIFS(AR506:AR556,B506:B556,B549-12)+in_two_wheeler_renew^2*SUMIFS(AR506:AR556,B506:B556,B549-24)+in_two_wheeler_renew^3*SUMIFS(AR506:AR556,B506:B556,B549-36)+in_two_wheeler_renew^4*SUMIFS(AR506:AR556,B506:B556,B549-48))</f>
        <v/>
      </c>
      <c r="AT549" s="40">
        <f>AT548*(1-IF(B548&gt;=in_marketplace_from,d_hz_device*G548,0))</f>
        <v/>
      </c>
      <c r="AU549" s="14">
        <f>F549*AT549*IF(B549&gt;=in_marketplace_from,d_hz_device*G549,0)*in_device_ticket*in_device_comm*in_ins_partner_share</f>
        <v/>
      </c>
      <c r="AV549" s="40">
        <f>AV548*(1-IF(B548&gt;=in_marketplace_from,d_hz_shop*G548,0))</f>
        <v/>
      </c>
      <c r="AW549" s="46">
        <f>AV549*IF(B549&gt;=in_marketplace_from,d_hz_shop*G549,0)</f>
        <v/>
      </c>
      <c r="AX549" s="14">
        <f>F549*AW549*in_shop_ticket*in_shop_comm*in_ins_partner_share+F549*in_shop_ticket*in_shop_renew_comm*in_ins_partner_share*(in_shop_renew^1*SUMIFS(AW506:AW556,B506:B556,B549-12)+in_shop_renew^2*SUMIFS(AW506:AW556,B506:B556,B549-24)+in_shop_renew^3*SUMIFS(AW506:AW556,B506:B556,B549-36)+in_shop_renew^4*SUMIFS(AW506:AW556,B506:B556,B549-48))</f>
        <v/>
      </c>
      <c r="AY549" s="40">
        <f>AY548*(1-IF(B548&gt;=in_marketplace_from,d_hz_sip*G548,0))</f>
        <v/>
      </c>
      <c r="AZ549" s="40">
        <f>AZ548*d_rho_sip+AY549*IF(B549&gt;=in_marketplace_from,d_hz_sip*G549,0)</f>
        <v/>
      </c>
      <c r="BA549" s="40">
        <f>d_rho_sip*(BA548+AZ548)</f>
        <v/>
      </c>
      <c r="BB549" s="14">
        <f>F549*in_sip_ticket*(BA549+0.5*AZ549)*in_sip_comm/12</f>
        <v/>
      </c>
      <c r="BC549" s="40">
        <f>BC548*(1-IF(B548&gt;=in_marketplace_from,d_hz_choti*G548,0))</f>
        <v/>
      </c>
      <c r="BD549" s="46">
        <f>BC549*IF(B549&gt;=in_marketplace_from,d_hz_choti*G549,0)</f>
        <v/>
      </c>
      <c r="BE549" s="14">
        <f>F549*SUMIFS(BD506:BD556,B506:B556,B549-in_choti_months)*in_choti_renew*in_choti_ticket</f>
        <v/>
      </c>
      <c r="BF549" s="40">
        <f>BF548*(1-IF(B548&gt;=in_marketplace_from,d_hz_nps*G548,0))</f>
        <v/>
      </c>
      <c r="BG549" s="14">
        <f>F549*BF549*IF(B549&gt;=in_marketplace_from,d_hz_nps*G549,0)*in_nps_ticket*in_nps_comm</f>
        <v/>
      </c>
      <c r="BH549" s="40">
        <f>BH548*(1-IF(B548&gt;=in_marketplace_from,d_hz_gold*G548,0))</f>
        <v/>
      </c>
      <c r="BI549" s="40">
        <f>BI548*d_rho_gold+BH549*IF(B549&gt;=in_marketplace_from,d_hz_gold*G549,0)</f>
        <v/>
      </c>
      <c r="BJ549" s="14">
        <f>F549*BI549*in_gold_ticket*in_gold_comm</f>
        <v/>
      </c>
      <c r="BK549" s="40">
        <f>BK548*(1-IF(B548&gt;=in_marketplace_from,d_hz_fd*G548,0))</f>
        <v/>
      </c>
      <c r="BL549" s="14">
        <f>F549*BK549*IF(B549&gt;=in_marketplace_from,d_hz_fd*G549,0)*in_fd_ticket*in_fd_comm</f>
        <v/>
      </c>
      <c r="BM549" s="40">
        <f>BM548*(1-IF(B548&gt;=in_marketplace_from,d_hz_recharge*G548,0))</f>
        <v/>
      </c>
      <c r="BN549" s="40">
        <f>BN548*d_rho_recharge+BM549*IF(B549&gt;=in_marketplace_from,d_hz_recharge*G549,0)</f>
        <v/>
      </c>
      <c r="BO549" s="14">
        <f>F549*BN549*in_recharge_ticket*in_recharge_comm/12</f>
        <v/>
      </c>
      <c r="BP549" s="40">
        <f>BP548*(1-IF(B548&gt;=in_marketplace_from,d_hz_bills*G548,0))</f>
        <v/>
      </c>
      <c r="BQ549" s="40">
        <f>BQ548*d_rho_bills+BP549*IF(B549&gt;=in_marketplace_from,d_hz_bills*G549,0)</f>
        <v/>
      </c>
      <c r="BR549" s="14">
        <f>F549*BQ549*in_bills_ticket*in_bills_comm/12</f>
        <v/>
      </c>
      <c r="BS549" s="40">
        <f>BS548*(1-IF(B548&gt;=in_marketplace_from,d_hz_loan_gold*G548,0))</f>
        <v/>
      </c>
      <c r="BT549" s="14">
        <f>F549*BS549*IF(B549&gt;=in_marketplace_from,d_hz_loan_gold*G549,0)*in_loan_gold_ticket*in_loan_gold_comm</f>
        <v/>
      </c>
      <c r="BU549" s="40">
        <f>BU548*(1-IF(B548&gt;=in_marketplace_from,d_hz_loan_cd*G548,0))</f>
        <v/>
      </c>
      <c r="BV549" s="14">
        <f>F549*BU549*IF(B549&gt;=in_marketplace_from,d_hz_loan_cd*G549,0)*in_loan_cd_ticket*in_loan_cd_comm</f>
        <v/>
      </c>
      <c r="BW549" s="40">
        <f>BW548*(1-IF(B548&gt;=in_marketplace_from,d_hz_loan_vehicle*G548,0))</f>
        <v/>
      </c>
      <c r="BX549" s="14">
        <f>F549*BW549*IF(B549&gt;=in_marketplace_from,d_hz_loan_vehicle*G549,0)*in_loan_vehicle_ticket*in_loan_vehicle_comm</f>
        <v/>
      </c>
      <c r="BY549" s="40">
        <f>BY548*(1-IF(B548&gt;=in_marketplace_from,d_hz_loan_home*G548,0)*BZ548)</f>
        <v/>
      </c>
      <c r="BZ549" s="11">
        <f>MIN(in_approval_cap,in_loan_home_approval*INDEX('Age profile'!$O$2:$O$61,B549)*(1+in_approval_growth)^(D549-1))</f>
        <v/>
      </c>
      <c r="CA549" s="14">
        <f>F549*BY549*IF(B549&gt;=in_marketplace_from,d_hz_loan_home*G549,0)*BZ549*in_loan_home_ticket*in_loan_home_comm</f>
        <v/>
      </c>
      <c r="CB549" s="40">
        <f>CB548*(1-IF(B548&gt;=in_marketplace_from,d_hz_loan_lap*G548,0)*CC548)</f>
        <v/>
      </c>
      <c r="CC549" s="11">
        <f>MIN(in_approval_cap,in_loan_lap_approval*INDEX('Age profile'!$O$2:$O$61,B549)*(1+in_approval_growth)^(D549-1))</f>
        <v/>
      </c>
      <c r="CD549" s="14">
        <f>F549*CB549*IF(B549&gt;=in_marketplace_from,d_hz_loan_lap*G549,0)*CC549*in_loan_lap_ticket*in_loan_lap_comm</f>
        <v/>
      </c>
      <c r="CE549" s="14">
        <f>AA549+AB549+AC549+AD549+AG549+AJ549+AM549+AP549+AS549+AU549+AX549+BB549+BE549+BG549+BJ549+BL549+BO549+BR549+BT549+BV549+BX549+CA549+CD549</f>
        <v/>
      </c>
    </row>
    <row r="550">
      <c r="A550" s="39" t="n">
        <v>10</v>
      </c>
      <c r="B550" s="39" t="n">
        <v>45</v>
      </c>
      <c r="C550" s="39">
        <f>A550+B550-1</f>
        <v/>
      </c>
      <c r="D550" s="39">
        <f>INT((C550-1)/12)+1</f>
        <v/>
      </c>
      <c r="E550" s="44">
        <f>INDEX(Monthly!$B$2:$B$61,A550)</f>
        <v/>
      </c>
      <c r="F550" s="44">
        <f>E550*INDEX('Age profile'!$B$2:$B$61,B550)</f>
        <v/>
      </c>
      <c r="G550" s="45">
        <f>MIN(in_takeup_cap,INDEX('Age profile'!$N$2:$N$61,B550)*(1+in_takeup_growth)^(D550-1))</f>
        <v/>
      </c>
      <c r="H550" s="11">
        <f>MIN(in_approval_cap,in_approved_first*INDEX('Age profile'!$O$2:$O$61,B550)*(1+in_approval_growth)^(D550-1))</f>
        <v/>
      </c>
      <c r="I550" s="45">
        <f>G550*MIN(in_takeup_cap,INDEX('Age profile'!$O$2:$O$61,B550)*(1+in_approval_growth)^(D550-1))</f>
        <v/>
      </c>
      <c r="J550" s="40">
        <f>(J549-L549)*F550/F549</f>
        <v/>
      </c>
      <c r="K550" s="40">
        <f>(K549-M549)*F550/F549+SUMIFS(O506:O549,B506:B549,B550-1-d_T)*F550</f>
        <v/>
      </c>
      <c r="L550" s="40">
        <f>IF(B550&gt;=in_marketplace_from,J550*d_hz*G550*in_eligible*H550,0)</f>
        <v/>
      </c>
      <c r="M550" s="40">
        <f>IF(B550&gt;=in_marketplace_from,K550*d_hz*G550*in_eligible*in_approved_repeat,0)</f>
        <v/>
      </c>
      <c r="N550" s="40">
        <f>L550+M550</f>
        <v/>
      </c>
      <c r="O550" s="46">
        <f>N550/F550</f>
        <v/>
      </c>
      <c r="P550" s="40">
        <f>F550-J550-K550</f>
        <v/>
      </c>
      <c r="Q550" s="40">
        <f>IF(B550&gt;=in_marketplace_from,(J550+K550)*d_hz*G550,0)</f>
        <v/>
      </c>
      <c r="R550" s="40">
        <f>SUMIFS(N506:N556,B506:B556,"&gt;="&amp;(B550-d_T),B506:B556,"&lt;="&amp;(B550-1))</f>
        <v/>
      </c>
      <c r="S550" s="46">
        <f>(1-d_u)*S549+IF(d_T&gt;in_topup_lag,SUMIFS(O506:O556,B506:B556,B550-in_topup_lag)-d_udrop*SUMIFS(O506:O556,B506:B556,B550-d_T),0)</f>
        <v/>
      </c>
      <c r="T550" s="40">
        <f>F550*d_u*S550</f>
        <v/>
      </c>
      <c r="U550" s="9">
        <f>L550*in_ticket+M550*d_rep_ticket</f>
        <v/>
      </c>
      <c r="V550" s="9">
        <f>U550+T550*d_topup_amt</f>
        <v/>
      </c>
      <c r="W550" s="40">
        <f>N550+T550*d_topup_ratio</f>
        <v/>
      </c>
      <c r="X550" s="40">
        <f>SUMIFS(W506:W556,B506:B556,B550-in_dpd_lag)*d_cured</f>
        <v/>
      </c>
      <c r="Y550" s="40">
        <f>SUMIFS(W506:W556,B506:B556,B550-in_rec_lag)*d_recd</f>
        <v/>
      </c>
      <c r="Z550" s="40">
        <f>IF(AND(B550&gt;=in_marketplace_from,B550&lt;in_marketplace_from+in_card_months),in_card_share/in_card_months*F550*I550,IF(AND(B550&gt;=in_marketplace_from+in_card_months,B550&lt;in_marketplace_from+2*in_card_months),in_card_share*d_card_rem/in_card_months*F550*MIN(in_takeup_cap,(1+in_takeup_growth)^(D550-1))*MIN(in_takeup_cap,(1+in_approval_growth)^(D550-1)),0))</f>
        <v/>
      </c>
      <c r="AA550" s="14">
        <f>V550*in_fee*(1-in_taken_back)</f>
        <v/>
      </c>
      <c r="AB550" s="14">
        <f>SUMIFS(W506:W556,B506:B556,B550-in_dpd_lag)*d_dpd</f>
        <v/>
      </c>
      <c r="AC550" s="14">
        <f>SUMIFS(W506:W556,B506:B556,B550-in_rec_lag)*d_rec</f>
        <v/>
      </c>
      <c r="AD550" s="14">
        <f>Z550*in_card_fee</f>
        <v/>
      </c>
      <c r="AE550" s="40">
        <f>AE549*(1-IF(B549&gt;=in_marketplace_from,d_hz_hlth_small*G549,0))</f>
        <v/>
      </c>
      <c r="AF550" s="46">
        <f>AE550*IF(B550&gt;=in_marketplace_from,d_hz_hlth_small*G550,0)</f>
        <v/>
      </c>
      <c r="AG550" s="14">
        <f>F550*AF550*in_hlth_small_ticket*in_hlth_small_comm*in_ins_partner_share+F550*in_hlth_small_ticket*in_hlth_small_renew_comm*in_ins_partner_share*(in_hlth_small_renew^1*SUMIFS(AF506:AF556,B506:B556,B550-12)+in_hlth_small_renew^2*SUMIFS(AF506:AF556,B506:B556,B550-24)+in_hlth_small_renew^3*SUMIFS(AF506:AF556,B506:B556,B550-36)+in_hlth_small_renew^4*SUMIFS(AF506:AF556,B506:B556,B550-48))</f>
        <v/>
      </c>
      <c r="AH550" s="40">
        <f>AH549*(1-IF(B549&gt;=in_marketplace_from,d_hz_hlth_family*G549,0))</f>
        <v/>
      </c>
      <c r="AI550" s="46">
        <f>AH550*IF(B550&gt;=in_marketplace_from,d_hz_hlth_family*G550,0)</f>
        <v/>
      </c>
      <c r="AJ550" s="14">
        <f>F550*AI550*in_hlth_family_ticket*in_hlth_family_comm*in_ins_partner_share+F550*in_hlth_family_ticket*in_hlth_family_renew_comm*in_ins_partner_share*(in_hlth_family_renew^1*SUMIFS(AI506:AI556,B506:B556,B550-12)+in_hlth_family_renew^2*SUMIFS(AI506:AI556,B506:B556,B550-24)+in_hlth_family_renew^3*SUMIFS(AI506:AI556,B506:B556,B550-36)+in_hlth_family_renew^4*SUMIFS(AI506:AI556,B506:B556,B550-48))</f>
        <v/>
      </c>
      <c r="AK550" s="40">
        <f>AK549*(1-IF(B549&gt;=in_marketplace_from,d_hz_life_term*G549,0))</f>
        <v/>
      </c>
      <c r="AL550" s="46">
        <f>AK550*IF(B550&gt;=in_marketplace_from,d_hz_life_term*G550,0)</f>
        <v/>
      </c>
      <c r="AM550" s="14">
        <f>F550*AL550*in_life_term_ticket*in_life_term_comm*in_ins_partner_share+F550*in_life_term_ticket*in_life_term_renew_comm*in_ins_partner_share*(in_life_term_renew^1*SUMIFS(AL506:AL556,B506:B556,B550-12)+in_life_term_renew^2*SUMIFS(AL506:AL556,B506:B556,B550-24)+in_life_term_renew^3*SUMIFS(AL506:AL556,B506:B556,B550-36)+in_life_term_renew^4*SUMIFS(AL506:AL556,B506:B556,B550-48))</f>
        <v/>
      </c>
      <c r="AN550" s="40">
        <f>AN549*(1-IF(B549&gt;=in_marketplace_from,d_hz_accident*G549,0))</f>
        <v/>
      </c>
      <c r="AO550" s="46">
        <f>AN550*IF(B550&gt;=in_marketplace_from,d_hz_accident*G550,0)</f>
        <v/>
      </c>
      <c r="AP550" s="14">
        <f>F550*AO550*in_accident_ticket*in_accident_comm*in_ins_partner_share+F550*in_accident_ticket*in_accident_renew_comm*in_ins_partner_share*(in_accident_renew^1*SUMIFS(AO506:AO556,B506:B556,B550-12)+in_accident_renew^2*SUMIFS(AO506:AO556,B506:B556,B550-24)+in_accident_renew^3*SUMIFS(AO506:AO556,B506:B556,B550-36)+in_accident_renew^4*SUMIFS(AO506:AO556,B506:B556,B550-48))</f>
        <v/>
      </c>
      <c r="AQ550" s="40">
        <f>AQ549*(1-IF(B549&gt;=in_marketplace_from,d_hz_two_wheeler*G549,0))</f>
        <v/>
      </c>
      <c r="AR550" s="46">
        <f>AQ550*IF(B550&gt;=in_marketplace_from,d_hz_two_wheeler*G550,0)</f>
        <v/>
      </c>
      <c r="AS550" s="14">
        <f>F550*AR550*in_two_wheeler_ticket*in_two_wheeler_comm*in_ins_partner_share+F550*in_two_wheeler_ticket*in_two_wheeler_comm*in_ins_partner_share*(in_two_wheeler_renew^1*SUMIFS(AR506:AR556,B506:B556,B550-12)+in_two_wheeler_renew^2*SUMIFS(AR506:AR556,B506:B556,B550-24)+in_two_wheeler_renew^3*SUMIFS(AR506:AR556,B506:B556,B550-36)+in_two_wheeler_renew^4*SUMIFS(AR506:AR556,B506:B556,B550-48))</f>
        <v/>
      </c>
      <c r="AT550" s="40">
        <f>AT549*(1-IF(B549&gt;=in_marketplace_from,d_hz_device*G549,0))</f>
        <v/>
      </c>
      <c r="AU550" s="14">
        <f>F550*AT550*IF(B550&gt;=in_marketplace_from,d_hz_device*G550,0)*in_device_ticket*in_device_comm*in_ins_partner_share</f>
        <v/>
      </c>
      <c r="AV550" s="40">
        <f>AV549*(1-IF(B549&gt;=in_marketplace_from,d_hz_shop*G549,0))</f>
        <v/>
      </c>
      <c r="AW550" s="46">
        <f>AV550*IF(B550&gt;=in_marketplace_from,d_hz_shop*G550,0)</f>
        <v/>
      </c>
      <c r="AX550" s="14">
        <f>F550*AW550*in_shop_ticket*in_shop_comm*in_ins_partner_share+F550*in_shop_ticket*in_shop_renew_comm*in_ins_partner_share*(in_shop_renew^1*SUMIFS(AW506:AW556,B506:B556,B550-12)+in_shop_renew^2*SUMIFS(AW506:AW556,B506:B556,B550-24)+in_shop_renew^3*SUMIFS(AW506:AW556,B506:B556,B550-36)+in_shop_renew^4*SUMIFS(AW506:AW556,B506:B556,B550-48))</f>
        <v/>
      </c>
      <c r="AY550" s="40">
        <f>AY549*(1-IF(B549&gt;=in_marketplace_from,d_hz_sip*G549,0))</f>
        <v/>
      </c>
      <c r="AZ550" s="40">
        <f>AZ549*d_rho_sip+AY550*IF(B550&gt;=in_marketplace_from,d_hz_sip*G550,0)</f>
        <v/>
      </c>
      <c r="BA550" s="40">
        <f>d_rho_sip*(BA549+AZ549)</f>
        <v/>
      </c>
      <c r="BB550" s="14">
        <f>F550*in_sip_ticket*(BA550+0.5*AZ550)*in_sip_comm/12</f>
        <v/>
      </c>
      <c r="BC550" s="40">
        <f>BC549*(1-IF(B549&gt;=in_marketplace_from,d_hz_choti*G549,0))</f>
        <v/>
      </c>
      <c r="BD550" s="46">
        <f>BC550*IF(B550&gt;=in_marketplace_from,d_hz_choti*G550,0)</f>
        <v/>
      </c>
      <c r="BE550" s="14">
        <f>F550*SUMIFS(BD506:BD556,B506:B556,B550-in_choti_months)*in_choti_renew*in_choti_ticket</f>
        <v/>
      </c>
      <c r="BF550" s="40">
        <f>BF549*(1-IF(B549&gt;=in_marketplace_from,d_hz_nps*G549,0))</f>
        <v/>
      </c>
      <c r="BG550" s="14">
        <f>F550*BF550*IF(B550&gt;=in_marketplace_from,d_hz_nps*G550,0)*in_nps_ticket*in_nps_comm</f>
        <v/>
      </c>
      <c r="BH550" s="40">
        <f>BH549*(1-IF(B549&gt;=in_marketplace_from,d_hz_gold*G549,0))</f>
        <v/>
      </c>
      <c r="BI550" s="40">
        <f>BI549*d_rho_gold+BH550*IF(B550&gt;=in_marketplace_from,d_hz_gold*G550,0)</f>
        <v/>
      </c>
      <c r="BJ550" s="14">
        <f>F550*BI550*in_gold_ticket*in_gold_comm</f>
        <v/>
      </c>
      <c r="BK550" s="40">
        <f>BK549*(1-IF(B549&gt;=in_marketplace_from,d_hz_fd*G549,0))</f>
        <v/>
      </c>
      <c r="BL550" s="14">
        <f>F550*BK550*IF(B550&gt;=in_marketplace_from,d_hz_fd*G550,0)*in_fd_ticket*in_fd_comm</f>
        <v/>
      </c>
      <c r="BM550" s="40">
        <f>BM549*(1-IF(B549&gt;=in_marketplace_from,d_hz_recharge*G549,0))</f>
        <v/>
      </c>
      <c r="BN550" s="40">
        <f>BN549*d_rho_recharge+BM550*IF(B550&gt;=in_marketplace_from,d_hz_recharge*G550,0)</f>
        <v/>
      </c>
      <c r="BO550" s="14">
        <f>F550*BN550*in_recharge_ticket*in_recharge_comm/12</f>
        <v/>
      </c>
      <c r="BP550" s="40">
        <f>BP549*(1-IF(B549&gt;=in_marketplace_from,d_hz_bills*G549,0))</f>
        <v/>
      </c>
      <c r="BQ550" s="40">
        <f>BQ549*d_rho_bills+BP550*IF(B550&gt;=in_marketplace_from,d_hz_bills*G550,0)</f>
        <v/>
      </c>
      <c r="BR550" s="14">
        <f>F550*BQ550*in_bills_ticket*in_bills_comm/12</f>
        <v/>
      </c>
      <c r="BS550" s="40">
        <f>BS549*(1-IF(B549&gt;=in_marketplace_from,d_hz_loan_gold*G549,0))</f>
        <v/>
      </c>
      <c r="BT550" s="14">
        <f>F550*BS550*IF(B550&gt;=in_marketplace_from,d_hz_loan_gold*G550,0)*in_loan_gold_ticket*in_loan_gold_comm</f>
        <v/>
      </c>
      <c r="BU550" s="40">
        <f>BU549*(1-IF(B549&gt;=in_marketplace_from,d_hz_loan_cd*G549,0))</f>
        <v/>
      </c>
      <c r="BV550" s="14">
        <f>F550*BU550*IF(B550&gt;=in_marketplace_from,d_hz_loan_cd*G550,0)*in_loan_cd_ticket*in_loan_cd_comm</f>
        <v/>
      </c>
      <c r="BW550" s="40">
        <f>BW549*(1-IF(B549&gt;=in_marketplace_from,d_hz_loan_vehicle*G549,0))</f>
        <v/>
      </c>
      <c r="BX550" s="14">
        <f>F550*BW550*IF(B550&gt;=in_marketplace_from,d_hz_loan_vehicle*G550,0)*in_loan_vehicle_ticket*in_loan_vehicle_comm</f>
        <v/>
      </c>
      <c r="BY550" s="40">
        <f>BY549*(1-IF(B549&gt;=in_marketplace_from,d_hz_loan_home*G549,0)*BZ549)</f>
        <v/>
      </c>
      <c r="BZ550" s="11">
        <f>MIN(in_approval_cap,in_loan_home_approval*INDEX('Age profile'!$O$2:$O$61,B550)*(1+in_approval_growth)^(D550-1))</f>
        <v/>
      </c>
      <c r="CA550" s="14">
        <f>F550*BY550*IF(B550&gt;=in_marketplace_from,d_hz_loan_home*G550,0)*BZ550*in_loan_home_ticket*in_loan_home_comm</f>
        <v/>
      </c>
      <c r="CB550" s="40">
        <f>CB549*(1-IF(B549&gt;=in_marketplace_from,d_hz_loan_lap*G549,0)*CC549)</f>
        <v/>
      </c>
      <c r="CC550" s="11">
        <f>MIN(in_approval_cap,in_loan_lap_approval*INDEX('Age profile'!$O$2:$O$61,B550)*(1+in_approval_growth)^(D550-1))</f>
        <v/>
      </c>
      <c r="CD550" s="14">
        <f>F550*CB550*IF(B550&gt;=in_marketplace_from,d_hz_loan_lap*G550,0)*CC550*in_loan_lap_ticket*in_loan_lap_comm</f>
        <v/>
      </c>
      <c r="CE550" s="14">
        <f>AA550+AB550+AC550+AD550+AG550+AJ550+AM550+AP550+AS550+AU550+AX550+BB550+BE550+BG550+BJ550+BL550+BO550+BR550+BT550+BV550+BX550+CA550+CD550</f>
        <v/>
      </c>
    </row>
    <row r="551">
      <c r="A551" s="39" t="n">
        <v>10</v>
      </c>
      <c r="B551" s="39" t="n">
        <v>46</v>
      </c>
      <c r="C551" s="39">
        <f>A551+B551-1</f>
        <v/>
      </c>
      <c r="D551" s="39">
        <f>INT((C551-1)/12)+1</f>
        <v/>
      </c>
      <c r="E551" s="44">
        <f>INDEX(Monthly!$B$2:$B$61,A551)</f>
        <v/>
      </c>
      <c r="F551" s="44">
        <f>E551*INDEX('Age profile'!$B$2:$B$61,B551)</f>
        <v/>
      </c>
      <c r="G551" s="45">
        <f>MIN(in_takeup_cap,INDEX('Age profile'!$N$2:$N$61,B551)*(1+in_takeup_growth)^(D551-1))</f>
        <v/>
      </c>
      <c r="H551" s="11">
        <f>MIN(in_approval_cap,in_approved_first*INDEX('Age profile'!$O$2:$O$61,B551)*(1+in_approval_growth)^(D551-1))</f>
        <v/>
      </c>
      <c r="I551" s="45">
        <f>G551*MIN(in_takeup_cap,INDEX('Age profile'!$O$2:$O$61,B551)*(1+in_approval_growth)^(D551-1))</f>
        <v/>
      </c>
      <c r="J551" s="40">
        <f>(J550-L550)*F551/F550</f>
        <v/>
      </c>
      <c r="K551" s="40">
        <f>(K550-M550)*F551/F550+SUMIFS(O506:O550,B506:B550,B551-1-d_T)*F551</f>
        <v/>
      </c>
      <c r="L551" s="40">
        <f>IF(B551&gt;=in_marketplace_from,J551*d_hz*G551*in_eligible*H551,0)</f>
        <v/>
      </c>
      <c r="M551" s="40">
        <f>IF(B551&gt;=in_marketplace_from,K551*d_hz*G551*in_eligible*in_approved_repeat,0)</f>
        <v/>
      </c>
      <c r="N551" s="40">
        <f>L551+M551</f>
        <v/>
      </c>
      <c r="O551" s="46">
        <f>N551/F551</f>
        <v/>
      </c>
      <c r="P551" s="40">
        <f>F551-J551-K551</f>
        <v/>
      </c>
      <c r="Q551" s="40">
        <f>IF(B551&gt;=in_marketplace_from,(J551+K551)*d_hz*G551,0)</f>
        <v/>
      </c>
      <c r="R551" s="40">
        <f>SUMIFS(N506:N556,B506:B556,"&gt;="&amp;(B551-d_T),B506:B556,"&lt;="&amp;(B551-1))</f>
        <v/>
      </c>
      <c r="S551" s="46">
        <f>(1-d_u)*S550+IF(d_T&gt;in_topup_lag,SUMIFS(O506:O556,B506:B556,B551-in_topup_lag)-d_udrop*SUMIFS(O506:O556,B506:B556,B551-d_T),0)</f>
        <v/>
      </c>
      <c r="T551" s="40">
        <f>F551*d_u*S551</f>
        <v/>
      </c>
      <c r="U551" s="9">
        <f>L551*in_ticket+M551*d_rep_ticket</f>
        <v/>
      </c>
      <c r="V551" s="9">
        <f>U551+T551*d_topup_amt</f>
        <v/>
      </c>
      <c r="W551" s="40">
        <f>N551+T551*d_topup_ratio</f>
        <v/>
      </c>
      <c r="X551" s="40">
        <f>SUMIFS(W506:W556,B506:B556,B551-in_dpd_lag)*d_cured</f>
        <v/>
      </c>
      <c r="Y551" s="40">
        <f>SUMIFS(W506:W556,B506:B556,B551-in_rec_lag)*d_recd</f>
        <v/>
      </c>
      <c r="Z551" s="40">
        <f>IF(AND(B551&gt;=in_marketplace_from,B551&lt;in_marketplace_from+in_card_months),in_card_share/in_card_months*F551*I551,IF(AND(B551&gt;=in_marketplace_from+in_card_months,B551&lt;in_marketplace_from+2*in_card_months),in_card_share*d_card_rem/in_card_months*F551*MIN(in_takeup_cap,(1+in_takeup_growth)^(D551-1))*MIN(in_takeup_cap,(1+in_approval_growth)^(D551-1)),0))</f>
        <v/>
      </c>
      <c r="AA551" s="14">
        <f>V551*in_fee*(1-in_taken_back)</f>
        <v/>
      </c>
      <c r="AB551" s="14">
        <f>SUMIFS(W506:W556,B506:B556,B551-in_dpd_lag)*d_dpd</f>
        <v/>
      </c>
      <c r="AC551" s="14">
        <f>SUMIFS(W506:W556,B506:B556,B551-in_rec_lag)*d_rec</f>
        <v/>
      </c>
      <c r="AD551" s="14">
        <f>Z551*in_card_fee</f>
        <v/>
      </c>
      <c r="AE551" s="40">
        <f>AE550*(1-IF(B550&gt;=in_marketplace_from,d_hz_hlth_small*G550,0))</f>
        <v/>
      </c>
      <c r="AF551" s="46">
        <f>AE551*IF(B551&gt;=in_marketplace_from,d_hz_hlth_small*G551,0)</f>
        <v/>
      </c>
      <c r="AG551" s="14">
        <f>F551*AF551*in_hlth_small_ticket*in_hlth_small_comm*in_ins_partner_share+F551*in_hlth_small_ticket*in_hlth_small_renew_comm*in_ins_partner_share*(in_hlth_small_renew^1*SUMIFS(AF506:AF556,B506:B556,B551-12)+in_hlth_small_renew^2*SUMIFS(AF506:AF556,B506:B556,B551-24)+in_hlth_small_renew^3*SUMIFS(AF506:AF556,B506:B556,B551-36)+in_hlth_small_renew^4*SUMIFS(AF506:AF556,B506:B556,B551-48))</f>
        <v/>
      </c>
      <c r="AH551" s="40">
        <f>AH550*(1-IF(B550&gt;=in_marketplace_from,d_hz_hlth_family*G550,0))</f>
        <v/>
      </c>
      <c r="AI551" s="46">
        <f>AH551*IF(B551&gt;=in_marketplace_from,d_hz_hlth_family*G551,0)</f>
        <v/>
      </c>
      <c r="AJ551" s="14">
        <f>F551*AI551*in_hlth_family_ticket*in_hlth_family_comm*in_ins_partner_share+F551*in_hlth_family_ticket*in_hlth_family_renew_comm*in_ins_partner_share*(in_hlth_family_renew^1*SUMIFS(AI506:AI556,B506:B556,B551-12)+in_hlth_family_renew^2*SUMIFS(AI506:AI556,B506:B556,B551-24)+in_hlth_family_renew^3*SUMIFS(AI506:AI556,B506:B556,B551-36)+in_hlth_family_renew^4*SUMIFS(AI506:AI556,B506:B556,B551-48))</f>
        <v/>
      </c>
      <c r="AK551" s="40">
        <f>AK550*(1-IF(B550&gt;=in_marketplace_from,d_hz_life_term*G550,0))</f>
        <v/>
      </c>
      <c r="AL551" s="46">
        <f>AK551*IF(B551&gt;=in_marketplace_from,d_hz_life_term*G551,0)</f>
        <v/>
      </c>
      <c r="AM551" s="14">
        <f>F551*AL551*in_life_term_ticket*in_life_term_comm*in_ins_partner_share+F551*in_life_term_ticket*in_life_term_renew_comm*in_ins_partner_share*(in_life_term_renew^1*SUMIFS(AL506:AL556,B506:B556,B551-12)+in_life_term_renew^2*SUMIFS(AL506:AL556,B506:B556,B551-24)+in_life_term_renew^3*SUMIFS(AL506:AL556,B506:B556,B551-36)+in_life_term_renew^4*SUMIFS(AL506:AL556,B506:B556,B551-48))</f>
        <v/>
      </c>
      <c r="AN551" s="40">
        <f>AN550*(1-IF(B550&gt;=in_marketplace_from,d_hz_accident*G550,0))</f>
        <v/>
      </c>
      <c r="AO551" s="46">
        <f>AN551*IF(B551&gt;=in_marketplace_from,d_hz_accident*G551,0)</f>
        <v/>
      </c>
      <c r="AP551" s="14">
        <f>F551*AO551*in_accident_ticket*in_accident_comm*in_ins_partner_share+F551*in_accident_ticket*in_accident_renew_comm*in_ins_partner_share*(in_accident_renew^1*SUMIFS(AO506:AO556,B506:B556,B551-12)+in_accident_renew^2*SUMIFS(AO506:AO556,B506:B556,B551-24)+in_accident_renew^3*SUMIFS(AO506:AO556,B506:B556,B551-36)+in_accident_renew^4*SUMIFS(AO506:AO556,B506:B556,B551-48))</f>
        <v/>
      </c>
      <c r="AQ551" s="40">
        <f>AQ550*(1-IF(B550&gt;=in_marketplace_from,d_hz_two_wheeler*G550,0))</f>
        <v/>
      </c>
      <c r="AR551" s="46">
        <f>AQ551*IF(B551&gt;=in_marketplace_from,d_hz_two_wheeler*G551,0)</f>
        <v/>
      </c>
      <c r="AS551" s="14">
        <f>F551*AR551*in_two_wheeler_ticket*in_two_wheeler_comm*in_ins_partner_share+F551*in_two_wheeler_ticket*in_two_wheeler_comm*in_ins_partner_share*(in_two_wheeler_renew^1*SUMIFS(AR506:AR556,B506:B556,B551-12)+in_two_wheeler_renew^2*SUMIFS(AR506:AR556,B506:B556,B551-24)+in_two_wheeler_renew^3*SUMIFS(AR506:AR556,B506:B556,B551-36)+in_two_wheeler_renew^4*SUMIFS(AR506:AR556,B506:B556,B551-48))</f>
        <v/>
      </c>
      <c r="AT551" s="40">
        <f>AT550*(1-IF(B550&gt;=in_marketplace_from,d_hz_device*G550,0))</f>
        <v/>
      </c>
      <c r="AU551" s="14">
        <f>F551*AT551*IF(B551&gt;=in_marketplace_from,d_hz_device*G551,0)*in_device_ticket*in_device_comm*in_ins_partner_share</f>
        <v/>
      </c>
      <c r="AV551" s="40">
        <f>AV550*(1-IF(B550&gt;=in_marketplace_from,d_hz_shop*G550,0))</f>
        <v/>
      </c>
      <c r="AW551" s="46">
        <f>AV551*IF(B551&gt;=in_marketplace_from,d_hz_shop*G551,0)</f>
        <v/>
      </c>
      <c r="AX551" s="14">
        <f>F551*AW551*in_shop_ticket*in_shop_comm*in_ins_partner_share+F551*in_shop_ticket*in_shop_renew_comm*in_ins_partner_share*(in_shop_renew^1*SUMIFS(AW506:AW556,B506:B556,B551-12)+in_shop_renew^2*SUMIFS(AW506:AW556,B506:B556,B551-24)+in_shop_renew^3*SUMIFS(AW506:AW556,B506:B556,B551-36)+in_shop_renew^4*SUMIFS(AW506:AW556,B506:B556,B551-48))</f>
        <v/>
      </c>
      <c r="AY551" s="40">
        <f>AY550*(1-IF(B550&gt;=in_marketplace_from,d_hz_sip*G550,0))</f>
        <v/>
      </c>
      <c r="AZ551" s="40">
        <f>AZ550*d_rho_sip+AY551*IF(B551&gt;=in_marketplace_from,d_hz_sip*G551,0)</f>
        <v/>
      </c>
      <c r="BA551" s="40">
        <f>d_rho_sip*(BA550+AZ550)</f>
        <v/>
      </c>
      <c r="BB551" s="14">
        <f>F551*in_sip_ticket*(BA551+0.5*AZ551)*in_sip_comm/12</f>
        <v/>
      </c>
      <c r="BC551" s="40">
        <f>BC550*(1-IF(B550&gt;=in_marketplace_from,d_hz_choti*G550,0))</f>
        <v/>
      </c>
      <c r="BD551" s="46">
        <f>BC551*IF(B551&gt;=in_marketplace_from,d_hz_choti*G551,0)</f>
        <v/>
      </c>
      <c r="BE551" s="14">
        <f>F551*SUMIFS(BD506:BD556,B506:B556,B551-in_choti_months)*in_choti_renew*in_choti_ticket</f>
        <v/>
      </c>
      <c r="BF551" s="40">
        <f>BF550*(1-IF(B550&gt;=in_marketplace_from,d_hz_nps*G550,0))</f>
        <v/>
      </c>
      <c r="BG551" s="14">
        <f>F551*BF551*IF(B551&gt;=in_marketplace_from,d_hz_nps*G551,0)*in_nps_ticket*in_nps_comm</f>
        <v/>
      </c>
      <c r="BH551" s="40">
        <f>BH550*(1-IF(B550&gt;=in_marketplace_from,d_hz_gold*G550,0))</f>
        <v/>
      </c>
      <c r="BI551" s="40">
        <f>BI550*d_rho_gold+BH551*IF(B551&gt;=in_marketplace_from,d_hz_gold*G551,0)</f>
        <v/>
      </c>
      <c r="BJ551" s="14">
        <f>F551*BI551*in_gold_ticket*in_gold_comm</f>
        <v/>
      </c>
      <c r="BK551" s="40">
        <f>BK550*(1-IF(B550&gt;=in_marketplace_from,d_hz_fd*G550,0))</f>
        <v/>
      </c>
      <c r="BL551" s="14">
        <f>F551*BK551*IF(B551&gt;=in_marketplace_from,d_hz_fd*G551,0)*in_fd_ticket*in_fd_comm</f>
        <v/>
      </c>
      <c r="BM551" s="40">
        <f>BM550*(1-IF(B550&gt;=in_marketplace_from,d_hz_recharge*G550,0))</f>
        <v/>
      </c>
      <c r="BN551" s="40">
        <f>BN550*d_rho_recharge+BM551*IF(B551&gt;=in_marketplace_from,d_hz_recharge*G551,0)</f>
        <v/>
      </c>
      <c r="BO551" s="14">
        <f>F551*BN551*in_recharge_ticket*in_recharge_comm/12</f>
        <v/>
      </c>
      <c r="BP551" s="40">
        <f>BP550*(1-IF(B550&gt;=in_marketplace_from,d_hz_bills*G550,0))</f>
        <v/>
      </c>
      <c r="BQ551" s="40">
        <f>BQ550*d_rho_bills+BP551*IF(B551&gt;=in_marketplace_from,d_hz_bills*G551,0)</f>
        <v/>
      </c>
      <c r="BR551" s="14">
        <f>F551*BQ551*in_bills_ticket*in_bills_comm/12</f>
        <v/>
      </c>
      <c r="BS551" s="40">
        <f>BS550*(1-IF(B550&gt;=in_marketplace_from,d_hz_loan_gold*G550,0))</f>
        <v/>
      </c>
      <c r="BT551" s="14">
        <f>F551*BS551*IF(B551&gt;=in_marketplace_from,d_hz_loan_gold*G551,0)*in_loan_gold_ticket*in_loan_gold_comm</f>
        <v/>
      </c>
      <c r="BU551" s="40">
        <f>BU550*(1-IF(B550&gt;=in_marketplace_from,d_hz_loan_cd*G550,0))</f>
        <v/>
      </c>
      <c r="BV551" s="14">
        <f>F551*BU551*IF(B551&gt;=in_marketplace_from,d_hz_loan_cd*G551,0)*in_loan_cd_ticket*in_loan_cd_comm</f>
        <v/>
      </c>
      <c r="BW551" s="40">
        <f>BW550*(1-IF(B550&gt;=in_marketplace_from,d_hz_loan_vehicle*G550,0))</f>
        <v/>
      </c>
      <c r="BX551" s="14">
        <f>F551*BW551*IF(B551&gt;=in_marketplace_from,d_hz_loan_vehicle*G551,0)*in_loan_vehicle_ticket*in_loan_vehicle_comm</f>
        <v/>
      </c>
      <c r="BY551" s="40">
        <f>BY550*(1-IF(B550&gt;=in_marketplace_from,d_hz_loan_home*G550,0)*BZ550)</f>
        <v/>
      </c>
      <c r="BZ551" s="11">
        <f>MIN(in_approval_cap,in_loan_home_approval*INDEX('Age profile'!$O$2:$O$61,B551)*(1+in_approval_growth)^(D551-1))</f>
        <v/>
      </c>
      <c r="CA551" s="14">
        <f>F551*BY551*IF(B551&gt;=in_marketplace_from,d_hz_loan_home*G551,0)*BZ551*in_loan_home_ticket*in_loan_home_comm</f>
        <v/>
      </c>
      <c r="CB551" s="40">
        <f>CB550*(1-IF(B550&gt;=in_marketplace_from,d_hz_loan_lap*G550,0)*CC550)</f>
        <v/>
      </c>
      <c r="CC551" s="11">
        <f>MIN(in_approval_cap,in_loan_lap_approval*INDEX('Age profile'!$O$2:$O$61,B551)*(1+in_approval_growth)^(D551-1))</f>
        <v/>
      </c>
      <c r="CD551" s="14">
        <f>F551*CB551*IF(B551&gt;=in_marketplace_from,d_hz_loan_lap*G551,0)*CC551*in_loan_lap_ticket*in_loan_lap_comm</f>
        <v/>
      </c>
      <c r="CE551" s="14">
        <f>AA551+AB551+AC551+AD551+AG551+AJ551+AM551+AP551+AS551+AU551+AX551+BB551+BE551+BG551+BJ551+BL551+BO551+BR551+BT551+BV551+BX551+CA551+CD551</f>
        <v/>
      </c>
    </row>
    <row r="552">
      <c r="A552" s="39" t="n">
        <v>10</v>
      </c>
      <c r="B552" s="39" t="n">
        <v>47</v>
      </c>
      <c r="C552" s="39">
        <f>A552+B552-1</f>
        <v/>
      </c>
      <c r="D552" s="39">
        <f>INT((C552-1)/12)+1</f>
        <v/>
      </c>
      <c r="E552" s="44">
        <f>INDEX(Monthly!$B$2:$B$61,A552)</f>
        <v/>
      </c>
      <c r="F552" s="44">
        <f>E552*INDEX('Age profile'!$B$2:$B$61,B552)</f>
        <v/>
      </c>
      <c r="G552" s="45">
        <f>MIN(in_takeup_cap,INDEX('Age profile'!$N$2:$N$61,B552)*(1+in_takeup_growth)^(D552-1))</f>
        <v/>
      </c>
      <c r="H552" s="11">
        <f>MIN(in_approval_cap,in_approved_first*INDEX('Age profile'!$O$2:$O$61,B552)*(1+in_approval_growth)^(D552-1))</f>
        <v/>
      </c>
      <c r="I552" s="45">
        <f>G552*MIN(in_takeup_cap,INDEX('Age profile'!$O$2:$O$61,B552)*(1+in_approval_growth)^(D552-1))</f>
        <v/>
      </c>
      <c r="J552" s="40">
        <f>(J551-L551)*F552/F551</f>
        <v/>
      </c>
      <c r="K552" s="40">
        <f>(K551-M551)*F552/F551+SUMIFS(O506:O551,B506:B551,B552-1-d_T)*F552</f>
        <v/>
      </c>
      <c r="L552" s="40">
        <f>IF(B552&gt;=in_marketplace_from,J552*d_hz*G552*in_eligible*H552,0)</f>
        <v/>
      </c>
      <c r="M552" s="40">
        <f>IF(B552&gt;=in_marketplace_from,K552*d_hz*G552*in_eligible*in_approved_repeat,0)</f>
        <v/>
      </c>
      <c r="N552" s="40">
        <f>L552+M552</f>
        <v/>
      </c>
      <c r="O552" s="46">
        <f>N552/F552</f>
        <v/>
      </c>
      <c r="P552" s="40">
        <f>F552-J552-K552</f>
        <v/>
      </c>
      <c r="Q552" s="40">
        <f>IF(B552&gt;=in_marketplace_from,(J552+K552)*d_hz*G552,0)</f>
        <v/>
      </c>
      <c r="R552" s="40">
        <f>SUMIFS(N506:N556,B506:B556,"&gt;="&amp;(B552-d_T),B506:B556,"&lt;="&amp;(B552-1))</f>
        <v/>
      </c>
      <c r="S552" s="46">
        <f>(1-d_u)*S551+IF(d_T&gt;in_topup_lag,SUMIFS(O506:O556,B506:B556,B552-in_topup_lag)-d_udrop*SUMIFS(O506:O556,B506:B556,B552-d_T),0)</f>
        <v/>
      </c>
      <c r="T552" s="40">
        <f>F552*d_u*S552</f>
        <v/>
      </c>
      <c r="U552" s="9">
        <f>L552*in_ticket+M552*d_rep_ticket</f>
        <v/>
      </c>
      <c r="V552" s="9">
        <f>U552+T552*d_topup_amt</f>
        <v/>
      </c>
      <c r="W552" s="40">
        <f>N552+T552*d_topup_ratio</f>
        <v/>
      </c>
      <c r="X552" s="40">
        <f>SUMIFS(W506:W556,B506:B556,B552-in_dpd_lag)*d_cured</f>
        <v/>
      </c>
      <c r="Y552" s="40">
        <f>SUMIFS(W506:W556,B506:B556,B552-in_rec_lag)*d_recd</f>
        <v/>
      </c>
      <c r="Z552" s="40">
        <f>IF(AND(B552&gt;=in_marketplace_from,B552&lt;in_marketplace_from+in_card_months),in_card_share/in_card_months*F552*I552,IF(AND(B552&gt;=in_marketplace_from+in_card_months,B552&lt;in_marketplace_from+2*in_card_months),in_card_share*d_card_rem/in_card_months*F552*MIN(in_takeup_cap,(1+in_takeup_growth)^(D552-1))*MIN(in_takeup_cap,(1+in_approval_growth)^(D552-1)),0))</f>
        <v/>
      </c>
      <c r="AA552" s="14">
        <f>V552*in_fee*(1-in_taken_back)</f>
        <v/>
      </c>
      <c r="AB552" s="14">
        <f>SUMIFS(W506:W556,B506:B556,B552-in_dpd_lag)*d_dpd</f>
        <v/>
      </c>
      <c r="AC552" s="14">
        <f>SUMIFS(W506:W556,B506:B556,B552-in_rec_lag)*d_rec</f>
        <v/>
      </c>
      <c r="AD552" s="14">
        <f>Z552*in_card_fee</f>
        <v/>
      </c>
      <c r="AE552" s="40">
        <f>AE551*(1-IF(B551&gt;=in_marketplace_from,d_hz_hlth_small*G551,0))</f>
        <v/>
      </c>
      <c r="AF552" s="46">
        <f>AE552*IF(B552&gt;=in_marketplace_from,d_hz_hlth_small*G552,0)</f>
        <v/>
      </c>
      <c r="AG552" s="14">
        <f>F552*AF552*in_hlth_small_ticket*in_hlth_small_comm*in_ins_partner_share+F552*in_hlth_small_ticket*in_hlth_small_renew_comm*in_ins_partner_share*(in_hlth_small_renew^1*SUMIFS(AF506:AF556,B506:B556,B552-12)+in_hlth_small_renew^2*SUMIFS(AF506:AF556,B506:B556,B552-24)+in_hlth_small_renew^3*SUMIFS(AF506:AF556,B506:B556,B552-36)+in_hlth_small_renew^4*SUMIFS(AF506:AF556,B506:B556,B552-48))</f>
        <v/>
      </c>
      <c r="AH552" s="40">
        <f>AH551*(1-IF(B551&gt;=in_marketplace_from,d_hz_hlth_family*G551,0))</f>
        <v/>
      </c>
      <c r="AI552" s="46">
        <f>AH552*IF(B552&gt;=in_marketplace_from,d_hz_hlth_family*G552,0)</f>
        <v/>
      </c>
      <c r="AJ552" s="14">
        <f>F552*AI552*in_hlth_family_ticket*in_hlth_family_comm*in_ins_partner_share+F552*in_hlth_family_ticket*in_hlth_family_renew_comm*in_ins_partner_share*(in_hlth_family_renew^1*SUMIFS(AI506:AI556,B506:B556,B552-12)+in_hlth_family_renew^2*SUMIFS(AI506:AI556,B506:B556,B552-24)+in_hlth_family_renew^3*SUMIFS(AI506:AI556,B506:B556,B552-36)+in_hlth_family_renew^4*SUMIFS(AI506:AI556,B506:B556,B552-48))</f>
        <v/>
      </c>
      <c r="AK552" s="40">
        <f>AK551*(1-IF(B551&gt;=in_marketplace_from,d_hz_life_term*G551,0))</f>
        <v/>
      </c>
      <c r="AL552" s="46">
        <f>AK552*IF(B552&gt;=in_marketplace_from,d_hz_life_term*G552,0)</f>
        <v/>
      </c>
      <c r="AM552" s="14">
        <f>F552*AL552*in_life_term_ticket*in_life_term_comm*in_ins_partner_share+F552*in_life_term_ticket*in_life_term_renew_comm*in_ins_partner_share*(in_life_term_renew^1*SUMIFS(AL506:AL556,B506:B556,B552-12)+in_life_term_renew^2*SUMIFS(AL506:AL556,B506:B556,B552-24)+in_life_term_renew^3*SUMIFS(AL506:AL556,B506:B556,B552-36)+in_life_term_renew^4*SUMIFS(AL506:AL556,B506:B556,B552-48))</f>
        <v/>
      </c>
      <c r="AN552" s="40">
        <f>AN551*(1-IF(B551&gt;=in_marketplace_from,d_hz_accident*G551,0))</f>
        <v/>
      </c>
      <c r="AO552" s="46">
        <f>AN552*IF(B552&gt;=in_marketplace_from,d_hz_accident*G552,0)</f>
        <v/>
      </c>
      <c r="AP552" s="14">
        <f>F552*AO552*in_accident_ticket*in_accident_comm*in_ins_partner_share+F552*in_accident_ticket*in_accident_renew_comm*in_ins_partner_share*(in_accident_renew^1*SUMIFS(AO506:AO556,B506:B556,B552-12)+in_accident_renew^2*SUMIFS(AO506:AO556,B506:B556,B552-24)+in_accident_renew^3*SUMIFS(AO506:AO556,B506:B556,B552-36)+in_accident_renew^4*SUMIFS(AO506:AO556,B506:B556,B552-48))</f>
        <v/>
      </c>
      <c r="AQ552" s="40">
        <f>AQ551*(1-IF(B551&gt;=in_marketplace_from,d_hz_two_wheeler*G551,0))</f>
        <v/>
      </c>
      <c r="AR552" s="46">
        <f>AQ552*IF(B552&gt;=in_marketplace_from,d_hz_two_wheeler*G552,0)</f>
        <v/>
      </c>
      <c r="AS552" s="14">
        <f>F552*AR552*in_two_wheeler_ticket*in_two_wheeler_comm*in_ins_partner_share+F552*in_two_wheeler_ticket*in_two_wheeler_comm*in_ins_partner_share*(in_two_wheeler_renew^1*SUMIFS(AR506:AR556,B506:B556,B552-12)+in_two_wheeler_renew^2*SUMIFS(AR506:AR556,B506:B556,B552-24)+in_two_wheeler_renew^3*SUMIFS(AR506:AR556,B506:B556,B552-36)+in_two_wheeler_renew^4*SUMIFS(AR506:AR556,B506:B556,B552-48))</f>
        <v/>
      </c>
      <c r="AT552" s="40">
        <f>AT551*(1-IF(B551&gt;=in_marketplace_from,d_hz_device*G551,0))</f>
        <v/>
      </c>
      <c r="AU552" s="14">
        <f>F552*AT552*IF(B552&gt;=in_marketplace_from,d_hz_device*G552,0)*in_device_ticket*in_device_comm*in_ins_partner_share</f>
        <v/>
      </c>
      <c r="AV552" s="40">
        <f>AV551*(1-IF(B551&gt;=in_marketplace_from,d_hz_shop*G551,0))</f>
        <v/>
      </c>
      <c r="AW552" s="46">
        <f>AV552*IF(B552&gt;=in_marketplace_from,d_hz_shop*G552,0)</f>
        <v/>
      </c>
      <c r="AX552" s="14">
        <f>F552*AW552*in_shop_ticket*in_shop_comm*in_ins_partner_share+F552*in_shop_ticket*in_shop_renew_comm*in_ins_partner_share*(in_shop_renew^1*SUMIFS(AW506:AW556,B506:B556,B552-12)+in_shop_renew^2*SUMIFS(AW506:AW556,B506:B556,B552-24)+in_shop_renew^3*SUMIFS(AW506:AW556,B506:B556,B552-36)+in_shop_renew^4*SUMIFS(AW506:AW556,B506:B556,B552-48))</f>
        <v/>
      </c>
      <c r="AY552" s="40">
        <f>AY551*(1-IF(B551&gt;=in_marketplace_from,d_hz_sip*G551,0))</f>
        <v/>
      </c>
      <c r="AZ552" s="40">
        <f>AZ551*d_rho_sip+AY552*IF(B552&gt;=in_marketplace_from,d_hz_sip*G552,0)</f>
        <v/>
      </c>
      <c r="BA552" s="40">
        <f>d_rho_sip*(BA551+AZ551)</f>
        <v/>
      </c>
      <c r="BB552" s="14">
        <f>F552*in_sip_ticket*(BA552+0.5*AZ552)*in_sip_comm/12</f>
        <v/>
      </c>
      <c r="BC552" s="40">
        <f>BC551*(1-IF(B551&gt;=in_marketplace_from,d_hz_choti*G551,0))</f>
        <v/>
      </c>
      <c r="BD552" s="46">
        <f>BC552*IF(B552&gt;=in_marketplace_from,d_hz_choti*G552,0)</f>
        <v/>
      </c>
      <c r="BE552" s="14">
        <f>F552*SUMIFS(BD506:BD556,B506:B556,B552-in_choti_months)*in_choti_renew*in_choti_ticket</f>
        <v/>
      </c>
      <c r="BF552" s="40">
        <f>BF551*(1-IF(B551&gt;=in_marketplace_from,d_hz_nps*G551,0))</f>
        <v/>
      </c>
      <c r="BG552" s="14">
        <f>F552*BF552*IF(B552&gt;=in_marketplace_from,d_hz_nps*G552,0)*in_nps_ticket*in_nps_comm</f>
        <v/>
      </c>
      <c r="BH552" s="40">
        <f>BH551*(1-IF(B551&gt;=in_marketplace_from,d_hz_gold*G551,0))</f>
        <v/>
      </c>
      <c r="BI552" s="40">
        <f>BI551*d_rho_gold+BH552*IF(B552&gt;=in_marketplace_from,d_hz_gold*G552,0)</f>
        <v/>
      </c>
      <c r="BJ552" s="14">
        <f>F552*BI552*in_gold_ticket*in_gold_comm</f>
        <v/>
      </c>
      <c r="BK552" s="40">
        <f>BK551*(1-IF(B551&gt;=in_marketplace_from,d_hz_fd*G551,0))</f>
        <v/>
      </c>
      <c r="BL552" s="14">
        <f>F552*BK552*IF(B552&gt;=in_marketplace_from,d_hz_fd*G552,0)*in_fd_ticket*in_fd_comm</f>
        <v/>
      </c>
      <c r="BM552" s="40">
        <f>BM551*(1-IF(B551&gt;=in_marketplace_from,d_hz_recharge*G551,0))</f>
        <v/>
      </c>
      <c r="BN552" s="40">
        <f>BN551*d_rho_recharge+BM552*IF(B552&gt;=in_marketplace_from,d_hz_recharge*G552,0)</f>
        <v/>
      </c>
      <c r="BO552" s="14">
        <f>F552*BN552*in_recharge_ticket*in_recharge_comm/12</f>
        <v/>
      </c>
      <c r="BP552" s="40">
        <f>BP551*(1-IF(B551&gt;=in_marketplace_from,d_hz_bills*G551,0))</f>
        <v/>
      </c>
      <c r="BQ552" s="40">
        <f>BQ551*d_rho_bills+BP552*IF(B552&gt;=in_marketplace_from,d_hz_bills*G552,0)</f>
        <v/>
      </c>
      <c r="BR552" s="14">
        <f>F552*BQ552*in_bills_ticket*in_bills_comm/12</f>
        <v/>
      </c>
      <c r="BS552" s="40">
        <f>BS551*(1-IF(B551&gt;=in_marketplace_from,d_hz_loan_gold*G551,0))</f>
        <v/>
      </c>
      <c r="BT552" s="14">
        <f>F552*BS552*IF(B552&gt;=in_marketplace_from,d_hz_loan_gold*G552,0)*in_loan_gold_ticket*in_loan_gold_comm</f>
        <v/>
      </c>
      <c r="BU552" s="40">
        <f>BU551*(1-IF(B551&gt;=in_marketplace_from,d_hz_loan_cd*G551,0))</f>
        <v/>
      </c>
      <c r="BV552" s="14">
        <f>F552*BU552*IF(B552&gt;=in_marketplace_from,d_hz_loan_cd*G552,0)*in_loan_cd_ticket*in_loan_cd_comm</f>
        <v/>
      </c>
      <c r="BW552" s="40">
        <f>BW551*(1-IF(B551&gt;=in_marketplace_from,d_hz_loan_vehicle*G551,0))</f>
        <v/>
      </c>
      <c r="BX552" s="14">
        <f>F552*BW552*IF(B552&gt;=in_marketplace_from,d_hz_loan_vehicle*G552,0)*in_loan_vehicle_ticket*in_loan_vehicle_comm</f>
        <v/>
      </c>
      <c r="BY552" s="40">
        <f>BY551*(1-IF(B551&gt;=in_marketplace_from,d_hz_loan_home*G551,0)*BZ551)</f>
        <v/>
      </c>
      <c r="BZ552" s="11">
        <f>MIN(in_approval_cap,in_loan_home_approval*INDEX('Age profile'!$O$2:$O$61,B552)*(1+in_approval_growth)^(D552-1))</f>
        <v/>
      </c>
      <c r="CA552" s="14">
        <f>F552*BY552*IF(B552&gt;=in_marketplace_from,d_hz_loan_home*G552,0)*BZ552*in_loan_home_ticket*in_loan_home_comm</f>
        <v/>
      </c>
      <c r="CB552" s="40">
        <f>CB551*(1-IF(B551&gt;=in_marketplace_from,d_hz_loan_lap*G551,0)*CC551)</f>
        <v/>
      </c>
      <c r="CC552" s="11">
        <f>MIN(in_approval_cap,in_loan_lap_approval*INDEX('Age profile'!$O$2:$O$61,B552)*(1+in_approval_growth)^(D552-1))</f>
        <v/>
      </c>
      <c r="CD552" s="14">
        <f>F552*CB552*IF(B552&gt;=in_marketplace_from,d_hz_loan_lap*G552,0)*CC552*in_loan_lap_ticket*in_loan_lap_comm</f>
        <v/>
      </c>
      <c r="CE552" s="14">
        <f>AA552+AB552+AC552+AD552+AG552+AJ552+AM552+AP552+AS552+AU552+AX552+BB552+BE552+BG552+BJ552+BL552+BO552+BR552+BT552+BV552+BX552+CA552+CD552</f>
        <v/>
      </c>
    </row>
    <row r="553">
      <c r="A553" s="39" t="n">
        <v>10</v>
      </c>
      <c r="B553" s="39" t="n">
        <v>48</v>
      </c>
      <c r="C553" s="39">
        <f>A553+B553-1</f>
        <v/>
      </c>
      <c r="D553" s="39">
        <f>INT((C553-1)/12)+1</f>
        <v/>
      </c>
      <c r="E553" s="44">
        <f>INDEX(Monthly!$B$2:$B$61,A553)</f>
        <v/>
      </c>
      <c r="F553" s="44">
        <f>E553*INDEX('Age profile'!$B$2:$B$61,B553)</f>
        <v/>
      </c>
      <c r="G553" s="45">
        <f>MIN(in_takeup_cap,INDEX('Age profile'!$N$2:$N$61,B553)*(1+in_takeup_growth)^(D553-1))</f>
        <v/>
      </c>
      <c r="H553" s="11">
        <f>MIN(in_approval_cap,in_approved_first*INDEX('Age profile'!$O$2:$O$61,B553)*(1+in_approval_growth)^(D553-1))</f>
        <v/>
      </c>
      <c r="I553" s="45">
        <f>G553*MIN(in_takeup_cap,INDEX('Age profile'!$O$2:$O$61,B553)*(1+in_approval_growth)^(D553-1))</f>
        <v/>
      </c>
      <c r="J553" s="40">
        <f>(J552-L552)*F553/F552</f>
        <v/>
      </c>
      <c r="K553" s="40">
        <f>(K552-M552)*F553/F552+SUMIFS(O506:O552,B506:B552,B553-1-d_T)*F553</f>
        <v/>
      </c>
      <c r="L553" s="40">
        <f>IF(B553&gt;=in_marketplace_from,J553*d_hz*G553*in_eligible*H553,0)</f>
        <v/>
      </c>
      <c r="M553" s="40">
        <f>IF(B553&gt;=in_marketplace_from,K553*d_hz*G553*in_eligible*in_approved_repeat,0)</f>
        <v/>
      </c>
      <c r="N553" s="40">
        <f>L553+M553</f>
        <v/>
      </c>
      <c r="O553" s="46">
        <f>N553/F553</f>
        <v/>
      </c>
      <c r="P553" s="40">
        <f>F553-J553-K553</f>
        <v/>
      </c>
      <c r="Q553" s="40">
        <f>IF(B553&gt;=in_marketplace_from,(J553+K553)*d_hz*G553,0)</f>
        <v/>
      </c>
      <c r="R553" s="40">
        <f>SUMIFS(N506:N556,B506:B556,"&gt;="&amp;(B553-d_T),B506:B556,"&lt;="&amp;(B553-1))</f>
        <v/>
      </c>
      <c r="S553" s="46">
        <f>(1-d_u)*S552+IF(d_T&gt;in_topup_lag,SUMIFS(O506:O556,B506:B556,B553-in_topup_lag)-d_udrop*SUMIFS(O506:O556,B506:B556,B553-d_T),0)</f>
        <v/>
      </c>
      <c r="T553" s="40">
        <f>F553*d_u*S553</f>
        <v/>
      </c>
      <c r="U553" s="9">
        <f>L553*in_ticket+M553*d_rep_ticket</f>
        <v/>
      </c>
      <c r="V553" s="9">
        <f>U553+T553*d_topup_amt</f>
        <v/>
      </c>
      <c r="W553" s="40">
        <f>N553+T553*d_topup_ratio</f>
        <v/>
      </c>
      <c r="X553" s="40">
        <f>SUMIFS(W506:W556,B506:B556,B553-in_dpd_lag)*d_cured</f>
        <v/>
      </c>
      <c r="Y553" s="40">
        <f>SUMIFS(W506:W556,B506:B556,B553-in_rec_lag)*d_recd</f>
        <v/>
      </c>
      <c r="Z553" s="40">
        <f>IF(AND(B553&gt;=in_marketplace_from,B553&lt;in_marketplace_from+in_card_months),in_card_share/in_card_months*F553*I553,IF(AND(B553&gt;=in_marketplace_from+in_card_months,B553&lt;in_marketplace_from+2*in_card_months),in_card_share*d_card_rem/in_card_months*F553*MIN(in_takeup_cap,(1+in_takeup_growth)^(D553-1))*MIN(in_takeup_cap,(1+in_approval_growth)^(D553-1)),0))</f>
        <v/>
      </c>
      <c r="AA553" s="14">
        <f>V553*in_fee*(1-in_taken_back)</f>
        <v/>
      </c>
      <c r="AB553" s="14">
        <f>SUMIFS(W506:W556,B506:B556,B553-in_dpd_lag)*d_dpd</f>
        <v/>
      </c>
      <c r="AC553" s="14">
        <f>SUMIFS(W506:W556,B506:B556,B553-in_rec_lag)*d_rec</f>
        <v/>
      </c>
      <c r="AD553" s="14">
        <f>Z553*in_card_fee</f>
        <v/>
      </c>
      <c r="AE553" s="40">
        <f>AE552*(1-IF(B552&gt;=in_marketplace_from,d_hz_hlth_small*G552,0))</f>
        <v/>
      </c>
      <c r="AF553" s="46">
        <f>AE553*IF(B553&gt;=in_marketplace_from,d_hz_hlth_small*G553,0)</f>
        <v/>
      </c>
      <c r="AG553" s="14">
        <f>F553*AF553*in_hlth_small_ticket*in_hlth_small_comm*in_ins_partner_share+F553*in_hlth_small_ticket*in_hlth_small_renew_comm*in_ins_partner_share*(in_hlth_small_renew^1*SUMIFS(AF506:AF556,B506:B556,B553-12)+in_hlth_small_renew^2*SUMIFS(AF506:AF556,B506:B556,B553-24)+in_hlth_small_renew^3*SUMIFS(AF506:AF556,B506:B556,B553-36)+in_hlth_small_renew^4*SUMIFS(AF506:AF556,B506:B556,B553-48))</f>
        <v/>
      </c>
      <c r="AH553" s="40">
        <f>AH552*(1-IF(B552&gt;=in_marketplace_from,d_hz_hlth_family*G552,0))</f>
        <v/>
      </c>
      <c r="AI553" s="46">
        <f>AH553*IF(B553&gt;=in_marketplace_from,d_hz_hlth_family*G553,0)</f>
        <v/>
      </c>
      <c r="AJ553" s="14">
        <f>F553*AI553*in_hlth_family_ticket*in_hlth_family_comm*in_ins_partner_share+F553*in_hlth_family_ticket*in_hlth_family_renew_comm*in_ins_partner_share*(in_hlth_family_renew^1*SUMIFS(AI506:AI556,B506:B556,B553-12)+in_hlth_family_renew^2*SUMIFS(AI506:AI556,B506:B556,B553-24)+in_hlth_family_renew^3*SUMIFS(AI506:AI556,B506:B556,B553-36)+in_hlth_family_renew^4*SUMIFS(AI506:AI556,B506:B556,B553-48))</f>
        <v/>
      </c>
      <c r="AK553" s="40">
        <f>AK552*(1-IF(B552&gt;=in_marketplace_from,d_hz_life_term*G552,0))</f>
        <v/>
      </c>
      <c r="AL553" s="46">
        <f>AK553*IF(B553&gt;=in_marketplace_from,d_hz_life_term*G553,0)</f>
        <v/>
      </c>
      <c r="AM553" s="14">
        <f>F553*AL553*in_life_term_ticket*in_life_term_comm*in_ins_partner_share+F553*in_life_term_ticket*in_life_term_renew_comm*in_ins_partner_share*(in_life_term_renew^1*SUMIFS(AL506:AL556,B506:B556,B553-12)+in_life_term_renew^2*SUMIFS(AL506:AL556,B506:B556,B553-24)+in_life_term_renew^3*SUMIFS(AL506:AL556,B506:B556,B553-36)+in_life_term_renew^4*SUMIFS(AL506:AL556,B506:B556,B553-48))</f>
        <v/>
      </c>
      <c r="AN553" s="40">
        <f>AN552*(1-IF(B552&gt;=in_marketplace_from,d_hz_accident*G552,0))</f>
        <v/>
      </c>
      <c r="AO553" s="46">
        <f>AN553*IF(B553&gt;=in_marketplace_from,d_hz_accident*G553,0)</f>
        <v/>
      </c>
      <c r="AP553" s="14">
        <f>F553*AO553*in_accident_ticket*in_accident_comm*in_ins_partner_share+F553*in_accident_ticket*in_accident_renew_comm*in_ins_partner_share*(in_accident_renew^1*SUMIFS(AO506:AO556,B506:B556,B553-12)+in_accident_renew^2*SUMIFS(AO506:AO556,B506:B556,B553-24)+in_accident_renew^3*SUMIFS(AO506:AO556,B506:B556,B553-36)+in_accident_renew^4*SUMIFS(AO506:AO556,B506:B556,B553-48))</f>
        <v/>
      </c>
      <c r="AQ553" s="40">
        <f>AQ552*(1-IF(B552&gt;=in_marketplace_from,d_hz_two_wheeler*G552,0))</f>
        <v/>
      </c>
      <c r="AR553" s="46">
        <f>AQ553*IF(B553&gt;=in_marketplace_from,d_hz_two_wheeler*G553,0)</f>
        <v/>
      </c>
      <c r="AS553" s="14">
        <f>F553*AR553*in_two_wheeler_ticket*in_two_wheeler_comm*in_ins_partner_share+F553*in_two_wheeler_ticket*in_two_wheeler_comm*in_ins_partner_share*(in_two_wheeler_renew^1*SUMIFS(AR506:AR556,B506:B556,B553-12)+in_two_wheeler_renew^2*SUMIFS(AR506:AR556,B506:B556,B553-24)+in_two_wheeler_renew^3*SUMIFS(AR506:AR556,B506:B556,B553-36)+in_two_wheeler_renew^4*SUMIFS(AR506:AR556,B506:B556,B553-48))</f>
        <v/>
      </c>
      <c r="AT553" s="40">
        <f>AT552*(1-IF(B552&gt;=in_marketplace_from,d_hz_device*G552,0))</f>
        <v/>
      </c>
      <c r="AU553" s="14">
        <f>F553*AT553*IF(B553&gt;=in_marketplace_from,d_hz_device*G553,0)*in_device_ticket*in_device_comm*in_ins_partner_share</f>
        <v/>
      </c>
      <c r="AV553" s="40">
        <f>AV552*(1-IF(B552&gt;=in_marketplace_from,d_hz_shop*G552,0))</f>
        <v/>
      </c>
      <c r="AW553" s="46">
        <f>AV553*IF(B553&gt;=in_marketplace_from,d_hz_shop*G553,0)</f>
        <v/>
      </c>
      <c r="AX553" s="14">
        <f>F553*AW553*in_shop_ticket*in_shop_comm*in_ins_partner_share+F553*in_shop_ticket*in_shop_renew_comm*in_ins_partner_share*(in_shop_renew^1*SUMIFS(AW506:AW556,B506:B556,B553-12)+in_shop_renew^2*SUMIFS(AW506:AW556,B506:B556,B553-24)+in_shop_renew^3*SUMIFS(AW506:AW556,B506:B556,B553-36)+in_shop_renew^4*SUMIFS(AW506:AW556,B506:B556,B553-48))</f>
        <v/>
      </c>
      <c r="AY553" s="40">
        <f>AY552*(1-IF(B552&gt;=in_marketplace_from,d_hz_sip*G552,0))</f>
        <v/>
      </c>
      <c r="AZ553" s="40">
        <f>AZ552*d_rho_sip+AY553*IF(B553&gt;=in_marketplace_from,d_hz_sip*G553,0)</f>
        <v/>
      </c>
      <c r="BA553" s="40">
        <f>d_rho_sip*(BA552+AZ552)</f>
        <v/>
      </c>
      <c r="BB553" s="14">
        <f>F553*in_sip_ticket*(BA553+0.5*AZ553)*in_sip_comm/12</f>
        <v/>
      </c>
      <c r="BC553" s="40">
        <f>BC552*(1-IF(B552&gt;=in_marketplace_from,d_hz_choti*G552,0))</f>
        <v/>
      </c>
      <c r="BD553" s="46">
        <f>BC553*IF(B553&gt;=in_marketplace_from,d_hz_choti*G553,0)</f>
        <v/>
      </c>
      <c r="BE553" s="14">
        <f>F553*SUMIFS(BD506:BD556,B506:B556,B553-in_choti_months)*in_choti_renew*in_choti_ticket</f>
        <v/>
      </c>
      <c r="BF553" s="40">
        <f>BF552*(1-IF(B552&gt;=in_marketplace_from,d_hz_nps*G552,0))</f>
        <v/>
      </c>
      <c r="BG553" s="14">
        <f>F553*BF553*IF(B553&gt;=in_marketplace_from,d_hz_nps*G553,0)*in_nps_ticket*in_nps_comm</f>
        <v/>
      </c>
      <c r="BH553" s="40">
        <f>BH552*(1-IF(B552&gt;=in_marketplace_from,d_hz_gold*G552,0))</f>
        <v/>
      </c>
      <c r="BI553" s="40">
        <f>BI552*d_rho_gold+BH553*IF(B553&gt;=in_marketplace_from,d_hz_gold*G553,0)</f>
        <v/>
      </c>
      <c r="BJ553" s="14">
        <f>F553*BI553*in_gold_ticket*in_gold_comm</f>
        <v/>
      </c>
      <c r="BK553" s="40">
        <f>BK552*(1-IF(B552&gt;=in_marketplace_from,d_hz_fd*G552,0))</f>
        <v/>
      </c>
      <c r="BL553" s="14">
        <f>F553*BK553*IF(B553&gt;=in_marketplace_from,d_hz_fd*G553,0)*in_fd_ticket*in_fd_comm</f>
        <v/>
      </c>
      <c r="BM553" s="40">
        <f>BM552*(1-IF(B552&gt;=in_marketplace_from,d_hz_recharge*G552,0))</f>
        <v/>
      </c>
      <c r="BN553" s="40">
        <f>BN552*d_rho_recharge+BM553*IF(B553&gt;=in_marketplace_from,d_hz_recharge*G553,0)</f>
        <v/>
      </c>
      <c r="BO553" s="14">
        <f>F553*BN553*in_recharge_ticket*in_recharge_comm/12</f>
        <v/>
      </c>
      <c r="BP553" s="40">
        <f>BP552*(1-IF(B552&gt;=in_marketplace_from,d_hz_bills*G552,0))</f>
        <v/>
      </c>
      <c r="BQ553" s="40">
        <f>BQ552*d_rho_bills+BP553*IF(B553&gt;=in_marketplace_from,d_hz_bills*G553,0)</f>
        <v/>
      </c>
      <c r="BR553" s="14">
        <f>F553*BQ553*in_bills_ticket*in_bills_comm/12</f>
        <v/>
      </c>
      <c r="BS553" s="40">
        <f>BS552*(1-IF(B552&gt;=in_marketplace_from,d_hz_loan_gold*G552,0))</f>
        <v/>
      </c>
      <c r="BT553" s="14">
        <f>F553*BS553*IF(B553&gt;=in_marketplace_from,d_hz_loan_gold*G553,0)*in_loan_gold_ticket*in_loan_gold_comm</f>
        <v/>
      </c>
      <c r="BU553" s="40">
        <f>BU552*(1-IF(B552&gt;=in_marketplace_from,d_hz_loan_cd*G552,0))</f>
        <v/>
      </c>
      <c r="BV553" s="14">
        <f>F553*BU553*IF(B553&gt;=in_marketplace_from,d_hz_loan_cd*G553,0)*in_loan_cd_ticket*in_loan_cd_comm</f>
        <v/>
      </c>
      <c r="BW553" s="40">
        <f>BW552*(1-IF(B552&gt;=in_marketplace_from,d_hz_loan_vehicle*G552,0))</f>
        <v/>
      </c>
      <c r="BX553" s="14">
        <f>F553*BW553*IF(B553&gt;=in_marketplace_from,d_hz_loan_vehicle*G553,0)*in_loan_vehicle_ticket*in_loan_vehicle_comm</f>
        <v/>
      </c>
      <c r="BY553" s="40">
        <f>BY552*(1-IF(B552&gt;=in_marketplace_from,d_hz_loan_home*G552,0)*BZ552)</f>
        <v/>
      </c>
      <c r="BZ553" s="11">
        <f>MIN(in_approval_cap,in_loan_home_approval*INDEX('Age profile'!$O$2:$O$61,B553)*(1+in_approval_growth)^(D553-1))</f>
        <v/>
      </c>
      <c r="CA553" s="14">
        <f>F553*BY553*IF(B553&gt;=in_marketplace_from,d_hz_loan_home*G553,0)*BZ553*in_loan_home_ticket*in_loan_home_comm</f>
        <v/>
      </c>
      <c r="CB553" s="40">
        <f>CB552*(1-IF(B552&gt;=in_marketplace_from,d_hz_loan_lap*G552,0)*CC552)</f>
        <v/>
      </c>
      <c r="CC553" s="11">
        <f>MIN(in_approval_cap,in_loan_lap_approval*INDEX('Age profile'!$O$2:$O$61,B553)*(1+in_approval_growth)^(D553-1))</f>
        <v/>
      </c>
      <c r="CD553" s="14">
        <f>F553*CB553*IF(B553&gt;=in_marketplace_from,d_hz_loan_lap*G553,0)*CC553*in_loan_lap_ticket*in_loan_lap_comm</f>
        <v/>
      </c>
      <c r="CE553" s="14">
        <f>AA553+AB553+AC553+AD553+AG553+AJ553+AM553+AP553+AS553+AU553+AX553+BB553+BE553+BG553+BJ553+BL553+BO553+BR553+BT553+BV553+BX553+CA553+CD553</f>
        <v/>
      </c>
    </row>
    <row r="554">
      <c r="A554" s="39" t="n">
        <v>10</v>
      </c>
      <c r="B554" s="39" t="n">
        <v>49</v>
      </c>
      <c r="C554" s="39">
        <f>A554+B554-1</f>
        <v/>
      </c>
      <c r="D554" s="39">
        <f>INT((C554-1)/12)+1</f>
        <v/>
      </c>
      <c r="E554" s="44">
        <f>INDEX(Monthly!$B$2:$B$61,A554)</f>
        <v/>
      </c>
      <c r="F554" s="44">
        <f>E554*INDEX('Age profile'!$B$2:$B$61,B554)</f>
        <v/>
      </c>
      <c r="G554" s="45">
        <f>MIN(in_takeup_cap,INDEX('Age profile'!$N$2:$N$61,B554)*(1+in_takeup_growth)^(D554-1))</f>
        <v/>
      </c>
      <c r="H554" s="11">
        <f>MIN(in_approval_cap,in_approved_first*INDEX('Age profile'!$O$2:$O$61,B554)*(1+in_approval_growth)^(D554-1))</f>
        <v/>
      </c>
      <c r="I554" s="45">
        <f>G554*MIN(in_takeup_cap,INDEX('Age profile'!$O$2:$O$61,B554)*(1+in_approval_growth)^(D554-1))</f>
        <v/>
      </c>
      <c r="J554" s="40">
        <f>(J553-L553)*F554/F553</f>
        <v/>
      </c>
      <c r="K554" s="40">
        <f>(K553-M553)*F554/F553+SUMIFS(O506:O553,B506:B553,B554-1-d_T)*F554</f>
        <v/>
      </c>
      <c r="L554" s="40">
        <f>IF(B554&gt;=in_marketplace_from,J554*d_hz*G554*in_eligible*H554,0)</f>
        <v/>
      </c>
      <c r="M554" s="40">
        <f>IF(B554&gt;=in_marketplace_from,K554*d_hz*G554*in_eligible*in_approved_repeat,0)</f>
        <v/>
      </c>
      <c r="N554" s="40">
        <f>L554+M554</f>
        <v/>
      </c>
      <c r="O554" s="46">
        <f>N554/F554</f>
        <v/>
      </c>
      <c r="P554" s="40">
        <f>F554-J554-K554</f>
        <v/>
      </c>
      <c r="Q554" s="40">
        <f>IF(B554&gt;=in_marketplace_from,(J554+K554)*d_hz*G554,0)</f>
        <v/>
      </c>
      <c r="R554" s="40">
        <f>SUMIFS(N506:N556,B506:B556,"&gt;="&amp;(B554-d_T),B506:B556,"&lt;="&amp;(B554-1))</f>
        <v/>
      </c>
      <c r="S554" s="46">
        <f>(1-d_u)*S553+IF(d_T&gt;in_topup_lag,SUMIFS(O506:O556,B506:B556,B554-in_topup_lag)-d_udrop*SUMIFS(O506:O556,B506:B556,B554-d_T),0)</f>
        <v/>
      </c>
      <c r="T554" s="40">
        <f>F554*d_u*S554</f>
        <v/>
      </c>
      <c r="U554" s="9">
        <f>L554*in_ticket+M554*d_rep_ticket</f>
        <v/>
      </c>
      <c r="V554" s="9">
        <f>U554+T554*d_topup_amt</f>
        <v/>
      </c>
      <c r="W554" s="40">
        <f>N554+T554*d_topup_ratio</f>
        <v/>
      </c>
      <c r="X554" s="40">
        <f>SUMIFS(W506:W556,B506:B556,B554-in_dpd_lag)*d_cured</f>
        <v/>
      </c>
      <c r="Y554" s="40">
        <f>SUMIFS(W506:W556,B506:B556,B554-in_rec_lag)*d_recd</f>
        <v/>
      </c>
      <c r="Z554" s="40">
        <f>IF(AND(B554&gt;=in_marketplace_from,B554&lt;in_marketplace_from+in_card_months),in_card_share/in_card_months*F554*I554,IF(AND(B554&gt;=in_marketplace_from+in_card_months,B554&lt;in_marketplace_from+2*in_card_months),in_card_share*d_card_rem/in_card_months*F554*MIN(in_takeup_cap,(1+in_takeup_growth)^(D554-1))*MIN(in_takeup_cap,(1+in_approval_growth)^(D554-1)),0))</f>
        <v/>
      </c>
      <c r="AA554" s="14">
        <f>V554*in_fee*(1-in_taken_back)</f>
        <v/>
      </c>
      <c r="AB554" s="14">
        <f>SUMIFS(W506:W556,B506:B556,B554-in_dpd_lag)*d_dpd</f>
        <v/>
      </c>
      <c r="AC554" s="14">
        <f>SUMIFS(W506:W556,B506:B556,B554-in_rec_lag)*d_rec</f>
        <v/>
      </c>
      <c r="AD554" s="14">
        <f>Z554*in_card_fee</f>
        <v/>
      </c>
      <c r="AE554" s="40">
        <f>AE553*(1-IF(B553&gt;=in_marketplace_from,d_hz_hlth_small*G553,0))</f>
        <v/>
      </c>
      <c r="AF554" s="46">
        <f>AE554*IF(B554&gt;=in_marketplace_from,d_hz_hlth_small*G554,0)</f>
        <v/>
      </c>
      <c r="AG554" s="14">
        <f>F554*AF554*in_hlth_small_ticket*in_hlth_small_comm*in_ins_partner_share+F554*in_hlth_small_ticket*in_hlth_small_renew_comm*in_ins_partner_share*(in_hlth_small_renew^1*SUMIFS(AF506:AF556,B506:B556,B554-12)+in_hlth_small_renew^2*SUMIFS(AF506:AF556,B506:B556,B554-24)+in_hlth_small_renew^3*SUMIFS(AF506:AF556,B506:B556,B554-36)+in_hlth_small_renew^4*SUMIFS(AF506:AF556,B506:B556,B554-48))</f>
        <v/>
      </c>
      <c r="AH554" s="40">
        <f>AH553*(1-IF(B553&gt;=in_marketplace_from,d_hz_hlth_family*G553,0))</f>
        <v/>
      </c>
      <c r="AI554" s="46">
        <f>AH554*IF(B554&gt;=in_marketplace_from,d_hz_hlth_family*G554,0)</f>
        <v/>
      </c>
      <c r="AJ554" s="14">
        <f>F554*AI554*in_hlth_family_ticket*in_hlth_family_comm*in_ins_partner_share+F554*in_hlth_family_ticket*in_hlth_family_renew_comm*in_ins_partner_share*(in_hlth_family_renew^1*SUMIFS(AI506:AI556,B506:B556,B554-12)+in_hlth_family_renew^2*SUMIFS(AI506:AI556,B506:B556,B554-24)+in_hlth_family_renew^3*SUMIFS(AI506:AI556,B506:B556,B554-36)+in_hlth_family_renew^4*SUMIFS(AI506:AI556,B506:B556,B554-48))</f>
        <v/>
      </c>
      <c r="AK554" s="40">
        <f>AK553*(1-IF(B553&gt;=in_marketplace_from,d_hz_life_term*G553,0))</f>
        <v/>
      </c>
      <c r="AL554" s="46">
        <f>AK554*IF(B554&gt;=in_marketplace_from,d_hz_life_term*G554,0)</f>
        <v/>
      </c>
      <c r="AM554" s="14">
        <f>F554*AL554*in_life_term_ticket*in_life_term_comm*in_ins_partner_share+F554*in_life_term_ticket*in_life_term_renew_comm*in_ins_partner_share*(in_life_term_renew^1*SUMIFS(AL506:AL556,B506:B556,B554-12)+in_life_term_renew^2*SUMIFS(AL506:AL556,B506:B556,B554-24)+in_life_term_renew^3*SUMIFS(AL506:AL556,B506:B556,B554-36)+in_life_term_renew^4*SUMIFS(AL506:AL556,B506:B556,B554-48))</f>
        <v/>
      </c>
      <c r="AN554" s="40">
        <f>AN553*(1-IF(B553&gt;=in_marketplace_from,d_hz_accident*G553,0))</f>
        <v/>
      </c>
      <c r="AO554" s="46">
        <f>AN554*IF(B554&gt;=in_marketplace_from,d_hz_accident*G554,0)</f>
        <v/>
      </c>
      <c r="AP554" s="14">
        <f>F554*AO554*in_accident_ticket*in_accident_comm*in_ins_partner_share+F554*in_accident_ticket*in_accident_renew_comm*in_ins_partner_share*(in_accident_renew^1*SUMIFS(AO506:AO556,B506:B556,B554-12)+in_accident_renew^2*SUMIFS(AO506:AO556,B506:B556,B554-24)+in_accident_renew^3*SUMIFS(AO506:AO556,B506:B556,B554-36)+in_accident_renew^4*SUMIFS(AO506:AO556,B506:B556,B554-48))</f>
        <v/>
      </c>
      <c r="AQ554" s="40">
        <f>AQ553*(1-IF(B553&gt;=in_marketplace_from,d_hz_two_wheeler*G553,0))</f>
        <v/>
      </c>
      <c r="AR554" s="46">
        <f>AQ554*IF(B554&gt;=in_marketplace_from,d_hz_two_wheeler*G554,0)</f>
        <v/>
      </c>
      <c r="AS554" s="14">
        <f>F554*AR554*in_two_wheeler_ticket*in_two_wheeler_comm*in_ins_partner_share+F554*in_two_wheeler_ticket*in_two_wheeler_comm*in_ins_partner_share*(in_two_wheeler_renew^1*SUMIFS(AR506:AR556,B506:B556,B554-12)+in_two_wheeler_renew^2*SUMIFS(AR506:AR556,B506:B556,B554-24)+in_two_wheeler_renew^3*SUMIFS(AR506:AR556,B506:B556,B554-36)+in_two_wheeler_renew^4*SUMIFS(AR506:AR556,B506:B556,B554-48))</f>
        <v/>
      </c>
      <c r="AT554" s="40">
        <f>AT553*(1-IF(B553&gt;=in_marketplace_from,d_hz_device*G553,0))</f>
        <v/>
      </c>
      <c r="AU554" s="14">
        <f>F554*AT554*IF(B554&gt;=in_marketplace_from,d_hz_device*G554,0)*in_device_ticket*in_device_comm*in_ins_partner_share</f>
        <v/>
      </c>
      <c r="AV554" s="40">
        <f>AV553*(1-IF(B553&gt;=in_marketplace_from,d_hz_shop*G553,0))</f>
        <v/>
      </c>
      <c r="AW554" s="46">
        <f>AV554*IF(B554&gt;=in_marketplace_from,d_hz_shop*G554,0)</f>
        <v/>
      </c>
      <c r="AX554" s="14">
        <f>F554*AW554*in_shop_ticket*in_shop_comm*in_ins_partner_share+F554*in_shop_ticket*in_shop_renew_comm*in_ins_partner_share*(in_shop_renew^1*SUMIFS(AW506:AW556,B506:B556,B554-12)+in_shop_renew^2*SUMIFS(AW506:AW556,B506:B556,B554-24)+in_shop_renew^3*SUMIFS(AW506:AW556,B506:B556,B554-36)+in_shop_renew^4*SUMIFS(AW506:AW556,B506:B556,B554-48))</f>
        <v/>
      </c>
      <c r="AY554" s="40">
        <f>AY553*(1-IF(B553&gt;=in_marketplace_from,d_hz_sip*G553,0))</f>
        <v/>
      </c>
      <c r="AZ554" s="40">
        <f>AZ553*d_rho_sip+AY554*IF(B554&gt;=in_marketplace_from,d_hz_sip*G554,0)</f>
        <v/>
      </c>
      <c r="BA554" s="40">
        <f>d_rho_sip*(BA553+AZ553)</f>
        <v/>
      </c>
      <c r="BB554" s="14">
        <f>F554*in_sip_ticket*(BA554+0.5*AZ554)*in_sip_comm/12</f>
        <v/>
      </c>
      <c r="BC554" s="40">
        <f>BC553*(1-IF(B553&gt;=in_marketplace_from,d_hz_choti*G553,0))</f>
        <v/>
      </c>
      <c r="BD554" s="46">
        <f>BC554*IF(B554&gt;=in_marketplace_from,d_hz_choti*G554,0)</f>
        <v/>
      </c>
      <c r="BE554" s="14">
        <f>F554*SUMIFS(BD506:BD556,B506:B556,B554-in_choti_months)*in_choti_renew*in_choti_ticket</f>
        <v/>
      </c>
      <c r="BF554" s="40">
        <f>BF553*(1-IF(B553&gt;=in_marketplace_from,d_hz_nps*G553,0))</f>
        <v/>
      </c>
      <c r="BG554" s="14">
        <f>F554*BF554*IF(B554&gt;=in_marketplace_from,d_hz_nps*G554,0)*in_nps_ticket*in_nps_comm</f>
        <v/>
      </c>
      <c r="BH554" s="40">
        <f>BH553*(1-IF(B553&gt;=in_marketplace_from,d_hz_gold*G553,0))</f>
        <v/>
      </c>
      <c r="BI554" s="40">
        <f>BI553*d_rho_gold+BH554*IF(B554&gt;=in_marketplace_from,d_hz_gold*G554,0)</f>
        <v/>
      </c>
      <c r="BJ554" s="14">
        <f>F554*BI554*in_gold_ticket*in_gold_comm</f>
        <v/>
      </c>
      <c r="BK554" s="40">
        <f>BK553*(1-IF(B553&gt;=in_marketplace_from,d_hz_fd*G553,0))</f>
        <v/>
      </c>
      <c r="BL554" s="14">
        <f>F554*BK554*IF(B554&gt;=in_marketplace_from,d_hz_fd*G554,0)*in_fd_ticket*in_fd_comm</f>
        <v/>
      </c>
      <c r="BM554" s="40">
        <f>BM553*(1-IF(B553&gt;=in_marketplace_from,d_hz_recharge*G553,0))</f>
        <v/>
      </c>
      <c r="BN554" s="40">
        <f>BN553*d_rho_recharge+BM554*IF(B554&gt;=in_marketplace_from,d_hz_recharge*G554,0)</f>
        <v/>
      </c>
      <c r="BO554" s="14">
        <f>F554*BN554*in_recharge_ticket*in_recharge_comm/12</f>
        <v/>
      </c>
      <c r="BP554" s="40">
        <f>BP553*(1-IF(B553&gt;=in_marketplace_from,d_hz_bills*G553,0))</f>
        <v/>
      </c>
      <c r="BQ554" s="40">
        <f>BQ553*d_rho_bills+BP554*IF(B554&gt;=in_marketplace_from,d_hz_bills*G554,0)</f>
        <v/>
      </c>
      <c r="BR554" s="14">
        <f>F554*BQ554*in_bills_ticket*in_bills_comm/12</f>
        <v/>
      </c>
      <c r="BS554" s="40">
        <f>BS553*(1-IF(B553&gt;=in_marketplace_from,d_hz_loan_gold*G553,0))</f>
        <v/>
      </c>
      <c r="BT554" s="14">
        <f>F554*BS554*IF(B554&gt;=in_marketplace_from,d_hz_loan_gold*G554,0)*in_loan_gold_ticket*in_loan_gold_comm</f>
        <v/>
      </c>
      <c r="BU554" s="40">
        <f>BU553*(1-IF(B553&gt;=in_marketplace_from,d_hz_loan_cd*G553,0))</f>
        <v/>
      </c>
      <c r="BV554" s="14">
        <f>F554*BU554*IF(B554&gt;=in_marketplace_from,d_hz_loan_cd*G554,0)*in_loan_cd_ticket*in_loan_cd_comm</f>
        <v/>
      </c>
      <c r="BW554" s="40">
        <f>BW553*(1-IF(B553&gt;=in_marketplace_from,d_hz_loan_vehicle*G553,0))</f>
        <v/>
      </c>
      <c r="BX554" s="14">
        <f>F554*BW554*IF(B554&gt;=in_marketplace_from,d_hz_loan_vehicle*G554,0)*in_loan_vehicle_ticket*in_loan_vehicle_comm</f>
        <v/>
      </c>
      <c r="BY554" s="40">
        <f>BY553*(1-IF(B553&gt;=in_marketplace_from,d_hz_loan_home*G553,0)*BZ553)</f>
        <v/>
      </c>
      <c r="BZ554" s="11">
        <f>MIN(in_approval_cap,in_loan_home_approval*INDEX('Age profile'!$O$2:$O$61,B554)*(1+in_approval_growth)^(D554-1))</f>
        <v/>
      </c>
      <c r="CA554" s="14">
        <f>F554*BY554*IF(B554&gt;=in_marketplace_from,d_hz_loan_home*G554,0)*BZ554*in_loan_home_ticket*in_loan_home_comm</f>
        <v/>
      </c>
      <c r="CB554" s="40">
        <f>CB553*(1-IF(B553&gt;=in_marketplace_from,d_hz_loan_lap*G553,0)*CC553)</f>
        <v/>
      </c>
      <c r="CC554" s="11">
        <f>MIN(in_approval_cap,in_loan_lap_approval*INDEX('Age profile'!$O$2:$O$61,B554)*(1+in_approval_growth)^(D554-1))</f>
        <v/>
      </c>
      <c r="CD554" s="14">
        <f>F554*CB554*IF(B554&gt;=in_marketplace_from,d_hz_loan_lap*G554,0)*CC554*in_loan_lap_ticket*in_loan_lap_comm</f>
        <v/>
      </c>
      <c r="CE554" s="14">
        <f>AA554+AB554+AC554+AD554+AG554+AJ554+AM554+AP554+AS554+AU554+AX554+BB554+BE554+BG554+BJ554+BL554+BO554+BR554+BT554+BV554+BX554+CA554+CD554</f>
        <v/>
      </c>
    </row>
    <row r="555">
      <c r="A555" s="39" t="n">
        <v>10</v>
      </c>
      <c r="B555" s="39" t="n">
        <v>50</v>
      </c>
      <c r="C555" s="39">
        <f>A555+B555-1</f>
        <v/>
      </c>
      <c r="D555" s="39">
        <f>INT((C555-1)/12)+1</f>
        <v/>
      </c>
      <c r="E555" s="44">
        <f>INDEX(Monthly!$B$2:$B$61,A555)</f>
        <v/>
      </c>
      <c r="F555" s="44">
        <f>E555*INDEX('Age profile'!$B$2:$B$61,B555)</f>
        <v/>
      </c>
      <c r="G555" s="45">
        <f>MIN(in_takeup_cap,INDEX('Age profile'!$N$2:$N$61,B555)*(1+in_takeup_growth)^(D555-1))</f>
        <v/>
      </c>
      <c r="H555" s="11">
        <f>MIN(in_approval_cap,in_approved_first*INDEX('Age profile'!$O$2:$O$61,B555)*(1+in_approval_growth)^(D555-1))</f>
        <v/>
      </c>
      <c r="I555" s="45">
        <f>G555*MIN(in_takeup_cap,INDEX('Age profile'!$O$2:$O$61,B555)*(1+in_approval_growth)^(D555-1))</f>
        <v/>
      </c>
      <c r="J555" s="40">
        <f>(J554-L554)*F555/F554</f>
        <v/>
      </c>
      <c r="K555" s="40">
        <f>(K554-M554)*F555/F554+SUMIFS(O506:O554,B506:B554,B555-1-d_T)*F555</f>
        <v/>
      </c>
      <c r="L555" s="40">
        <f>IF(B555&gt;=in_marketplace_from,J555*d_hz*G555*in_eligible*H555,0)</f>
        <v/>
      </c>
      <c r="M555" s="40">
        <f>IF(B555&gt;=in_marketplace_from,K555*d_hz*G555*in_eligible*in_approved_repeat,0)</f>
        <v/>
      </c>
      <c r="N555" s="40">
        <f>L555+M555</f>
        <v/>
      </c>
      <c r="O555" s="46">
        <f>N555/F555</f>
        <v/>
      </c>
      <c r="P555" s="40">
        <f>F555-J555-K555</f>
        <v/>
      </c>
      <c r="Q555" s="40">
        <f>IF(B555&gt;=in_marketplace_from,(J555+K555)*d_hz*G555,0)</f>
        <v/>
      </c>
      <c r="R555" s="40">
        <f>SUMIFS(N506:N556,B506:B556,"&gt;="&amp;(B555-d_T),B506:B556,"&lt;="&amp;(B555-1))</f>
        <v/>
      </c>
      <c r="S555" s="46">
        <f>(1-d_u)*S554+IF(d_T&gt;in_topup_lag,SUMIFS(O506:O556,B506:B556,B555-in_topup_lag)-d_udrop*SUMIFS(O506:O556,B506:B556,B555-d_T),0)</f>
        <v/>
      </c>
      <c r="T555" s="40">
        <f>F555*d_u*S555</f>
        <v/>
      </c>
      <c r="U555" s="9">
        <f>L555*in_ticket+M555*d_rep_ticket</f>
        <v/>
      </c>
      <c r="V555" s="9">
        <f>U555+T555*d_topup_amt</f>
        <v/>
      </c>
      <c r="W555" s="40">
        <f>N555+T555*d_topup_ratio</f>
        <v/>
      </c>
      <c r="X555" s="40">
        <f>SUMIFS(W506:W556,B506:B556,B555-in_dpd_lag)*d_cured</f>
        <v/>
      </c>
      <c r="Y555" s="40">
        <f>SUMIFS(W506:W556,B506:B556,B555-in_rec_lag)*d_recd</f>
        <v/>
      </c>
      <c r="Z555" s="40">
        <f>IF(AND(B555&gt;=in_marketplace_from,B555&lt;in_marketplace_from+in_card_months),in_card_share/in_card_months*F555*I555,IF(AND(B555&gt;=in_marketplace_from+in_card_months,B555&lt;in_marketplace_from+2*in_card_months),in_card_share*d_card_rem/in_card_months*F555*MIN(in_takeup_cap,(1+in_takeup_growth)^(D555-1))*MIN(in_takeup_cap,(1+in_approval_growth)^(D555-1)),0))</f>
        <v/>
      </c>
      <c r="AA555" s="14">
        <f>V555*in_fee*(1-in_taken_back)</f>
        <v/>
      </c>
      <c r="AB555" s="14">
        <f>SUMIFS(W506:W556,B506:B556,B555-in_dpd_lag)*d_dpd</f>
        <v/>
      </c>
      <c r="AC555" s="14">
        <f>SUMIFS(W506:W556,B506:B556,B555-in_rec_lag)*d_rec</f>
        <v/>
      </c>
      <c r="AD555" s="14">
        <f>Z555*in_card_fee</f>
        <v/>
      </c>
      <c r="AE555" s="40">
        <f>AE554*(1-IF(B554&gt;=in_marketplace_from,d_hz_hlth_small*G554,0))</f>
        <v/>
      </c>
      <c r="AF555" s="46">
        <f>AE555*IF(B555&gt;=in_marketplace_from,d_hz_hlth_small*G555,0)</f>
        <v/>
      </c>
      <c r="AG555" s="14">
        <f>F555*AF555*in_hlth_small_ticket*in_hlth_small_comm*in_ins_partner_share+F555*in_hlth_small_ticket*in_hlth_small_renew_comm*in_ins_partner_share*(in_hlth_small_renew^1*SUMIFS(AF506:AF556,B506:B556,B555-12)+in_hlth_small_renew^2*SUMIFS(AF506:AF556,B506:B556,B555-24)+in_hlth_small_renew^3*SUMIFS(AF506:AF556,B506:B556,B555-36)+in_hlth_small_renew^4*SUMIFS(AF506:AF556,B506:B556,B555-48))</f>
        <v/>
      </c>
      <c r="AH555" s="40">
        <f>AH554*(1-IF(B554&gt;=in_marketplace_from,d_hz_hlth_family*G554,0))</f>
        <v/>
      </c>
      <c r="AI555" s="46">
        <f>AH555*IF(B555&gt;=in_marketplace_from,d_hz_hlth_family*G555,0)</f>
        <v/>
      </c>
      <c r="AJ555" s="14">
        <f>F555*AI555*in_hlth_family_ticket*in_hlth_family_comm*in_ins_partner_share+F555*in_hlth_family_ticket*in_hlth_family_renew_comm*in_ins_partner_share*(in_hlth_family_renew^1*SUMIFS(AI506:AI556,B506:B556,B555-12)+in_hlth_family_renew^2*SUMIFS(AI506:AI556,B506:B556,B555-24)+in_hlth_family_renew^3*SUMIFS(AI506:AI556,B506:B556,B555-36)+in_hlth_family_renew^4*SUMIFS(AI506:AI556,B506:B556,B555-48))</f>
        <v/>
      </c>
      <c r="AK555" s="40">
        <f>AK554*(1-IF(B554&gt;=in_marketplace_from,d_hz_life_term*G554,0))</f>
        <v/>
      </c>
      <c r="AL555" s="46">
        <f>AK555*IF(B555&gt;=in_marketplace_from,d_hz_life_term*G555,0)</f>
        <v/>
      </c>
      <c r="AM555" s="14">
        <f>F555*AL555*in_life_term_ticket*in_life_term_comm*in_ins_partner_share+F555*in_life_term_ticket*in_life_term_renew_comm*in_ins_partner_share*(in_life_term_renew^1*SUMIFS(AL506:AL556,B506:B556,B555-12)+in_life_term_renew^2*SUMIFS(AL506:AL556,B506:B556,B555-24)+in_life_term_renew^3*SUMIFS(AL506:AL556,B506:B556,B555-36)+in_life_term_renew^4*SUMIFS(AL506:AL556,B506:B556,B555-48))</f>
        <v/>
      </c>
      <c r="AN555" s="40">
        <f>AN554*(1-IF(B554&gt;=in_marketplace_from,d_hz_accident*G554,0))</f>
        <v/>
      </c>
      <c r="AO555" s="46">
        <f>AN555*IF(B555&gt;=in_marketplace_from,d_hz_accident*G555,0)</f>
        <v/>
      </c>
      <c r="AP555" s="14">
        <f>F555*AO555*in_accident_ticket*in_accident_comm*in_ins_partner_share+F555*in_accident_ticket*in_accident_renew_comm*in_ins_partner_share*(in_accident_renew^1*SUMIFS(AO506:AO556,B506:B556,B555-12)+in_accident_renew^2*SUMIFS(AO506:AO556,B506:B556,B555-24)+in_accident_renew^3*SUMIFS(AO506:AO556,B506:B556,B555-36)+in_accident_renew^4*SUMIFS(AO506:AO556,B506:B556,B555-48))</f>
        <v/>
      </c>
      <c r="AQ555" s="40">
        <f>AQ554*(1-IF(B554&gt;=in_marketplace_from,d_hz_two_wheeler*G554,0))</f>
        <v/>
      </c>
      <c r="AR555" s="46">
        <f>AQ555*IF(B555&gt;=in_marketplace_from,d_hz_two_wheeler*G555,0)</f>
        <v/>
      </c>
      <c r="AS555" s="14">
        <f>F555*AR555*in_two_wheeler_ticket*in_two_wheeler_comm*in_ins_partner_share+F555*in_two_wheeler_ticket*in_two_wheeler_comm*in_ins_partner_share*(in_two_wheeler_renew^1*SUMIFS(AR506:AR556,B506:B556,B555-12)+in_two_wheeler_renew^2*SUMIFS(AR506:AR556,B506:B556,B555-24)+in_two_wheeler_renew^3*SUMIFS(AR506:AR556,B506:B556,B555-36)+in_two_wheeler_renew^4*SUMIFS(AR506:AR556,B506:B556,B555-48))</f>
        <v/>
      </c>
      <c r="AT555" s="40">
        <f>AT554*(1-IF(B554&gt;=in_marketplace_from,d_hz_device*G554,0))</f>
        <v/>
      </c>
      <c r="AU555" s="14">
        <f>F555*AT555*IF(B555&gt;=in_marketplace_from,d_hz_device*G555,0)*in_device_ticket*in_device_comm*in_ins_partner_share</f>
        <v/>
      </c>
      <c r="AV555" s="40">
        <f>AV554*(1-IF(B554&gt;=in_marketplace_from,d_hz_shop*G554,0))</f>
        <v/>
      </c>
      <c r="AW555" s="46">
        <f>AV555*IF(B555&gt;=in_marketplace_from,d_hz_shop*G555,0)</f>
        <v/>
      </c>
      <c r="AX555" s="14">
        <f>F555*AW555*in_shop_ticket*in_shop_comm*in_ins_partner_share+F555*in_shop_ticket*in_shop_renew_comm*in_ins_partner_share*(in_shop_renew^1*SUMIFS(AW506:AW556,B506:B556,B555-12)+in_shop_renew^2*SUMIFS(AW506:AW556,B506:B556,B555-24)+in_shop_renew^3*SUMIFS(AW506:AW556,B506:B556,B555-36)+in_shop_renew^4*SUMIFS(AW506:AW556,B506:B556,B555-48))</f>
        <v/>
      </c>
      <c r="AY555" s="40">
        <f>AY554*(1-IF(B554&gt;=in_marketplace_from,d_hz_sip*G554,0))</f>
        <v/>
      </c>
      <c r="AZ555" s="40">
        <f>AZ554*d_rho_sip+AY555*IF(B555&gt;=in_marketplace_from,d_hz_sip*G555,0)</f>
        <v/>
      </c>
      <c r="BA555" s="40">
        <f>d_rho_sip*(BA554+AZ554)</f>
        <v/>
      </c>
      <c r="BB555" s="14">
        <f>F555*in_sip_ticket*(BA555+0.5*AZ555)*in_sip_comm/12</f>
        <v/>
      </c>
      <c r="BC555" s="40">
        <f>BC554*(1-IF(B554&gt;=in_marketplace_from,d_hz_choti*G554,0))</f>
        <v/>
      </c>
      <c r="BD555" s="46">
        <f>BC555*IF(B555&gt;=in_marketplace_from,d_hz_choti*G555,0)</f>
        <v/>
      </c>
      <c r="BE555" s="14">
        <f>F555*SUMIFS(BD506:BD556,B506:B556,B555-in_choti_months)*in_choti_renew*in_choti_ticket</f>
        <v/>
      </c>
      <c r="BF555" s="40">
        <f>BF554*(1-IF(B554&gt;=in_marketplace_from,d_hz_nps*G554,0))</f>
        <v/>
      </c>
      <c r="BG555" s="14">
        <f>F555*BF555*IF(B555&gt;=in_marketplace_from,d_hz_nps*G555,0)*in_nps_ticket*in_nps_comm</f>
        <v/>
      </c>
      <c r="BH555" s="40">
        <f>BH554*(1-IF(B554&gt;=in_marketplace_from,d_hz_gold*G554,0))</f>
        <v/>
      </c>
      <c r="BI555" s="40">
        <f>BI554*d_rho_gold+BH555*IF(B555&gt;=in_marketplace_from,d_hz_gold*G555,0)</f>
        <v/>
      </c>
      <c r="BJ555" s="14">
        <f>F555*BI555*in_gold_ticket*in_gold_comm</f>
        <v/>
      </c>
      <c r="BK555" s="40">
        <f>BK554*(1-IF(B554&gt;=in_marketplace_from,d_hz_fd*G554,0))</f>
        <v/>
      </c>
      <c r="BL555" s="14">
        <f>F555*BK555*IF(B555&gt;=in_marketplace_from,d_hz_fd*G555,0)*in_fd_ticket*in_fd_comm</f>
        <v/>
      </c>
      <c r="BM555" s="40">
        <f>BM554*(1-IF(B554&gt;=in_marketplace_from,d_hz_recharge*G554,0))</f>
        <v/>
      </c>
      <c r="BN555" s="40">
        <f>BN554*d_rho_recharge+BM555*IF(B555&gt;=in_marketplace_from,d_hz_recharge*G555,0)</f>
        <v/>
      </c>
      <c r="BO555" s="14">
        <f>F555*BN555*in_recharge_ticket*in_recharge_comm/12</f>
        <v/>
      </c>
      <c r="BP555" s="40">
        <f>BP554*(1-IF(B554&gt;=in_marketplace_from,d_hz_bills*G554,0))</f>
        <v/>
      </c>
      <c r="BQ555" s="40">
        <f>BQ554*d_rho_bills+BP555*IF(B555&gt;=in_marketplace_from,d_hz_bills*G555,0)</f>
        <v/>
      </c>
      <c r="BR555" s="14">
        <f>F555*BQ555*in_bills_ticket*in_bills_comm/12</f>
        <v/>
      </c>
      <c r="BS555" s="40">
        <f>BS554*(1-IF(B554&gt;=in_marketplace_from,d_hz_loan_gold*G554,0))</f>
        <v/>
      </c>
      <c r="BT555" s="14">
        <f>F555*BS555*IF(B555&gt;=in_marketplace_from,d_hz_loan_gold*G555,0)*in_loan_gold_ticket*in_loan_gold_comm</f>
        <v/>
      </c>
      <c r="BU555" s="40">
        <f>BU554*(1-IF(B554&gt;=in_marketplace_from,d_hz_loan_cd*G554,0))</f>
        <v/>
      </c>
      <c r="BV555" s="14">
        <f>F555*BU555*IF(B555&gt;=in_marketplace_from,d_hz_loan_cd*G555,0)*in_loan_cd_ticket*in_loan_cd_comm</f>
        <v/>
      </c>
      <c r="BW555" s="40">
        <f>BW554*(1-IF(B554&gt;=in_marketplace_from,d_hz_loan_vehicle*G554,0))</f>
        <v/>
      </c>
      <c r="BX555" s="14">
        <f>F555*BW555*IF(B555&gt;=in_marketplace_from,d_hz_loan_vehicle*G555,0)*in_loan_vehicle_ticket*in_loan_vehicle_comm</f>
        <v/>
      </c>
      <c r="BY555" s="40">
        <f>BY554*(1-IF(B554&gt;=in_marketplace_from,d_hz_loan_home*G554,0)*BZ554)</f>
        <v/>
      </c>
      <c r="BZ555" s="11">
        <f>MIN(in_approval_cap,in_loan_home_approval*INDEX('Age profile'!$O$2:$O$61,B555)*(1+in_approval_growth)^(D555-1))</f>
        <v/>
      </c>
      <c r="CA555" s="14">
        <f>F555*BY555*IF(B555&gt;=in_marketplace_from,d_hz_loan_home*G555,0)*BZ555*in_loan_home_ticket*in_loan_home_comm</f>
        <v/>
      </c>
      <c r="CB555" s="40">
        <f>CB554*(1-IF(B554&gt;=in_marketplace_from,d_hz_loan_lap*G554,0)*CC554)</f>
        <v/>
      </c>
      <c r="CC555" s="11">
        <f>MIN(in_approval_cap,in_loan_lap_approval*INDEX('Age profile'!$O$2:$O$61,B555)*(1+in_approval_growth)^(D555-1))</f>
        <v/>
      </c>
      <c r="CD555" s="14">
        <f>F555*CB555*IF(B555&gt;=in_marketplace_from,d_hz_loan_lap*G555,0)*CC555*in_loan_lap_ticket*in_loan_lap_comm</f>
        <v/>
      </c>
      <c r="CE555" s="14">
        <f>AA555+AB555+AC555+AD555+AG555+AJ555+AM555+AP555+AS555+AU555+AX555+BB555+BE555+BG555+BJ555+BL555+BO555+BR555+BT555+BV555+BX555+CA555+CD555</f>
        <v/>
      </c>
    </row>
    <row r="556">
      <c r="A556" s="39" t="n">
        <v>10</v>
      </c>
      <c r="B556" s="39" t="n">
        <v>51</v>
      </c>
      <c r="C556" s="39">
        <f>A556+B556-1</f>
        <v/>
      </c>
      <c r="D556" s="39">
        <f>INT((C556-1)/12)+1</f>
        <v/>
      </c>
      <c r="E556" s="44">
        <f>INDEX(Monthly!$B$2:$B$61,A556)</f>
        <v/>
      </c>
      <c r="F556" s="44">
        <f>E556*INDEX('Age profile'!$B$2:$B$61,B556)</f>
        <v/>
      </c>
      <c r="G556" s="45">
        <f>MIN(in_takeup_cap,INDEX('Age profile'!$N$2:$N$61,B556)*(1+in_takeup_growth)^(D556-1))</f>
        <v/>
      </c>
      <c r="H556" s="11">
        <f>MIN(in_approval_cap,in_approved_first*INDEX('Age profile'!$O$2:$O$61,B556)*(1+in_approval_growth)^(D556-1))</f>
        <v/>
      </c>
      <c r="I556" s="45">
        <f>G556*MIN(in_takeup_cap,INDEX('Age profile'!$O$2:$O$61,B556)*(1+in_approval_growth)^(D556-1))</f>
        <v/>
      </c>
      <c r="J556" s="40">
        <f>(J555-L555)*F556/F555</f>
        <v/>
      </c>
      <c r="K556" s="40">
        <f>(K555-M555)*F556/F555+SUMIFS(O506:O555,B506:B555,B556-1-d_T)*F556</f>
        <v/>
      </c>
      <c r="L556" s="40">
        <f>IF(B556&gt;=in_marketplace_from,J556*d_hz*G556*in_eligible*H556,0)</f>
        <v/>
      </c>
      <c r="M556" s="40">
        <f>IF(B556&gt;=in_marketplace_from,K556*d_hz*G556*in_eligible*in_approved_repeat,0)</f>
        <v/>
      </c>
      <c r="N556" s="40">
        <f>L556+M556</f>
        <v/>
      </c>
      <c r="O556" s="46">
        <f>N556/F556</f>
        <v/>
      </c>
      <c r="P556" s="40">
        <f>F556-J556-K556</f>
        <v/>
      </c>
      <c r="Q556" s="40">
        <f>IF(B556&gt;=in_marketplace_from,(J556+K556)*d_hz*G556,0)</f>
        <v/>
      </c>
      <c r="R556" s="40">
        <f>SUMIFS(N506:N556,B506:B556,"&gt;="&amp;(B556-d_T),B506:B556,"&lt;="&amp;(B556-1))</f>
        <v/>
      </c>
      <c r="S556" s="46">
        <f>(1-d_u)*S555+IF(d_T&gt;in_topup_lag,SUMIFS(O506:O556,B506:B556,B556-in_topup_lag)-d_udrop*SUMIFS(O506:O556,B506:B556,B556-d_T),0)</f>
        <v/>
      </c>
      <c r="T556" s="40">
        <f>F556*d_u*S556</f>
        <v/>
      </c>
      <c r="U556" s="9">
        <f>L556*in_ticket+M556*d_rep_ticket</f>
        <v/>
      </c>
      <c r="V556" s="9">
        <f>U556+T556*d_topup_amt</f>
        <v/>
      </c>
      <c r="W556" s="40">
        <f>N556+T556*d_topup_ratio</f>
        <v/>
      </c>
      <c r="X556" s="40">
        <f>SUMIFS(W506:W556,B506:B556,B556-in_dpd_lag)*d_cured</f>
        <v/>
      </c>
      <c r="Y556" s="40">
        <f>SUMIFS(W506:W556,B506:B556,B556-in_rec_lag)*d_recd</f>
        <v/>
      </c>
      <c r="Z556" s="40">
        <f>IF(AND(B556&gt;=in_marketplace_from,B556&lt;in_marketplace_from+in_card_months),in_card_share/in_card_months*F556*I556,IF(AND(B556&gt;=in_marketplace_from+in_card_months,B556&lt;in_marketplace_from+2*in_card_months),in_card_share*d_card_rem/in_card_months*F556*MIN(in_takeup_cap,(1+in_takeup_growth)^(D556-1))*MIN(in_takeup_cap,(1+in_approval_growth)^(D556-1)),0))</f>
        <v/>
      </c>
      <c r="AA556" s="14">
        <f>V556*in_fee*(1-in_taken_back)</f>
        <v/>
      </c>
      <c r="AB556" s="14">
        <f>SUMIFS(W506:W556,B506:B556,B556-in_dpd_lag)*d_dpd</f>
        <v/>
      </c>
      <c r="AC556" s="14">
        <f>SUMIFS(W506:W556,B506:B556,B556-in_rec_lag)*d_rec</f>
        <v/>
      </c>
      <c r="AD556" s="14">
        <f>Z556*in_card_fee</f>
        <v/>
      </c>
      <c r="AE556" s="40">
        <f>AE555*(1-IF(B555&gt;=in_marketplace_from,d_hz_hlth_small*G555,0))</f>
        <v/>
      </c>
      <c r="AF556" s="46">
        <f>AE556*IF(B556&gt;=in_marketplace_from,d_hz_hlth_small*G556,0)</f>
        <v/>
      </c>
      <c r="AG556" s="14">
        <f>F556*AF556*in_hlth_small_ticket*in_hlth_small_comm*in_ins_partner_share+F556*in_hlth_small_ticket*in_hlth_small_renew_comm*in_ins_partner_share*(in_hlth_small_renew^1*SUMIFS(AF506:AF556,B506:B556,B556-12)+in_hlth_small_renew^2*SUMIFS(AF506:AF556,B506:B556,B556-24)+in_hlth_small_renew^3*SUMIFS(AF506:AF556,B506:B556,B556-36)+in_hlth_small_renew^4*SUMIFS(AF506:AF556,B506:B556,B556-48))</f>
        <v/>
      </c>
      <c r="AH556" s="40">
        <f>AH555*(1-IF(B555&gt;=in_marketplace_from,d_hz_hlth_family*G555,0))</f>
        <v/>
      </c>
      <c r="AI556" s="46">
        <f>AH556*IF(B556&gt;=in_marketplace_from,d_hz_hlth_family*G556,0)</f>
        <v/>
      </c>
      <c r="AJ556" s="14">
        <f>F556*AI556*in_hlth_family_ticket*in_hlth_family_comm*in_ins_partner_share+F556*in_hlth_family_ticket*in_hlth_family_renew_comm*in_ins_partner_share*(in_hlth_family_renew^1*SUMIFS(AI506:AI556,B506:B556,B556-12)+in_hlth_family_renew^2*SUMIFS(AI506:AI556,B506:B556,B556-24)+in_hlth_family_renew^3*SUMIFS(AI506:AI556,B506:B556,B556-36)+in_hlth_family_renew^4*SUMIFS(AI506:AI556,B506:B556,B556-48))</f>
        <v/>
      </c>
      <c r="AK556" s="40">
        <f>AK555*(1-IF(B555&gt;=in_marketplace_from,d_hz_life_term*G555,0))</f>
        <v/>
      </c>
      <c r="AL556" s="46">
        <f>AK556*IF(B556&gt;=in_marketplace_from,d_hz_life_term*G556,0)</f>
        <v/>
      </c>
      <c r="AM556" s="14">
        <f>F556*AL556*in_life_term_ticket*in_life_term_comm*in_ins_partner_share+F556*in_life_term_ticket*in_life_term_renew_comm*in_ins_partner_share*(in_life_term_renew^1*SUMIFS(AL506:AL556,B506:B556,B556-12)+in_life_term_renew^2*SUMIFS(AL506:AL556,B506:B556,B556-24)+in_life_term_renew^3*SUMIFS(AL506:AL556,B506:B556,B556-36)+in_life_term_renew^4*SUMIFS(AL506:AL556,B506:B556,B556-48))</f>
        <v/>
      </c>
      <c r="AN556" s="40">
        <f>AN555*(1-IF(B555&gt;=in_marketplace_from,d_hz_accident*G555,0))</f>
        <v/>
      </c>
      <c r="AO556" s="46">
        <f>AN556*IF(B556&gt;=in_marketplace_from,d_hz_accident*G556,0)</f>
        <v/>
      </c>
      <c r="AP556" s="14">
        <f>F556*AO556*in_accident_ticket*in_accident_comm*in_ins_partner_share+F556*in_accident_ticket*in_accident_renew_comm*in_ins_partner_share*(in_accident_renew^1*SUMIFS(AO506:AO556,B506:B556,B556-12)+in_accident_renew^2*SUMIFS(AO506:AO556,B506:B556,B556-24)+in_accident_renew^3*SUMIFS(AO506:AO556,B506:B556,B556-36)+in_accident_renew^4*SUMIFS(AO506:AO556,B506:B556,B556-48))</f>
        <v/>
      </c>
      <c r="AQ556" s="40">
        <f>AQ555*(1-IF(B555&gt;=in_marketplace_from,d_hz_two_wheeler*G555,0))</f>
        <v/>
      </c>
      <c r="AR556" s="46">
        <f>AQ556*IF(B556&gt;=in_marketplace_from,d_hz_two_wheeler*G556,0)</f>
        <v/>
      </c>
      <c r="AS556" s="14">
        <f>F556*AR556*in_two_wheeler_ticket*in_two_wheeler_comm*in_ins_partner_share+F556*in_two_wheeler_ticket*in_two_wheeler_comm*in_ins_partner_share*(in_two_wheeler_renew^1*SUMIFS(AR506:AR556,B506:B556,B556-12)+in_two_wheeler_renew^2*SUMIFS(AR506:AR556,B506:B556,B556-24)+in_two_wheeler_renew^3*SUMIFS(AR506:AR556,B506:B556,B556-36)+in_two_wheeler_renew^4*SUMIFS(AR506:AR556,B506:B556,B556-48))</f>
        <v/>
      </c>
      <c r="AT556" s="40">
        <f>AT555*(1-IF(B555&gt;=in_marketplace_from,d_hz_device*G555,0))</f>
        <v/>
      </c>
      <c r="AU556" s="14">
        <f>F556*AT556*IF(B556&gt;=in_marketplace_from,d_hz_device*G556,0)*in_device_ticket*in_device_comm*in_ins_partner_share</f>
        <v/>
      </c>
      <c r="AV556" s="40">
        <f>AV555*(1-IF(B555&gt;=in_marketplace_from,d_hz_shop*G555,0))</f>
        <v/>
      </c>
      <c r="AW556" s="46">
        <f>AV556*IF(B556&gt;=in_marketplace_from,d_hz_shop*G556,0)</f>
        <v/>
      </c>
      <c r="AX556" s="14">
        <f>F556*AW556*in_shop_ticket*in_shop_comm*in_ins_partner_share+F556*in_shop_ticket*in_shop_renew_comm*in_ins_partner_share*(in_shop_renew^1*SUMIFS(AW506:AW556,B506:B556,B556-12)+in_shop_renew^2*SUMIFS(AW506:AW556,B506:B556,B556-24)+in_shop_renew^3*SUMIFS(AW506:AW556,B506:B556,B556-36)+in_shop_renew^4*SUMIFS(AW506:AW556,B506:B556,B556-48))</f>
        <v/>
      </c>
      <c r="AY556" s="40">
        <f>AY555*(1-IF(B555&gt;=in_marketplace_from,d_hz_sip*G555,0))</f>
        <v/>
      </c>
      <c r="AZ556" s="40">
        <f>AZ555*d_rho_sip+AY556*IF(B556&gt;=in_marketplace_from,d_hz_sip*G556,0)</f>
        <v/>
      </c>
      <c r="BA556" s="40">
        <f>d_rho_sip*(BA555+AZ555)</f>
        <v/>
      </c>
      <c r="BB556" s="14">
        <f>F556*in_sip_ticket*(BA556+0.5*AZ556)*in_sip_comm/12</f>
        <v/>
      </c>
      <c r="BC556" s="40">
        <f>BC555*(1-IF(B555&gt;=in_marketplace_from,d_hz_choti*G555,0))</f>
        <v/>
      </c>
      <c r="BD556" s="46">
        <f>BC556*IF(B556&gt;=in_marketplace_from,d_hz_choti*G556,0)</f>
        <v/>
      </c>
      <c r="BE556" s="14">
        <f>F556*SUMIFS(BD506:BD556,B506:B556,B556-in_choti_months)*in_choti_renew*in_choti_ticket</f>
        <v/>
      </c>
      <c r="BF556" s="40">
        <f>BF555*(1-IF(B555&gt;=in_marketplace_from,d_hz_nps*G555,0))</f>
        <v/>
      </c>
      <c r="BG556" s="14">
        <f>F556*BF556*IF(B556&gt;=in_marketplace_from,d_hz_nps*G556,0)*in_nps_ticket*in_nps_comm</f>
        <v/>
      </c>
      <c r="BH556" s="40">
        <f>BH555*(1-IF(B555&gt;=in_marketplace_from,d_hz_gold*G555,0))</f>
        <v/>
      </c>
      <c r="BI556" s="40">
        <f>BI555*d_rho_gold+BH556*IF(B556&gt;=in_marketplace_from,d_hz_gold*G556,0)</f>
        <v/>
      </c>
      <c r="BJ556" s="14">
        <f>F556*BI556*in_gold_ticket*in_gold_comm</f>
        <v/>
      </c>
      <c r="BK556" s="40">
        <f>BK555*(1-IF(B555&gt;=in_marketplace_from,d_hz_fd*G555,0))</f>
        <v/>
      </c>
      <c r="BL556" s="14">
        <f>F556*BK556*IF(B556&gt;=in_marketplace_from,d_hz_fd*G556,0)*in_fd_ticket*in_fd_comm</f>
        <v/>
      </c>
      <c r="BM556" s="40">
        <f>BM555*(1-IF(B555&gt;=in_marketplace_from,d_hz_recharge*G555,0))</f>
        <v/>
      </c>
      <c r="BN556" s="40">
        <f>BN555*d_rho_recharge+BM556*IF(B556&gt;=in_marketplace_from,d_hz_recharge*G556,0)</f>
        <v/>
      </c>
      <c r="BO556" s="14">
        <f>F556*BN556*in_recharge_ticket*in_recharge_comm/12</f>
        <v/>
      </c>
      <c r="BP556" s="40">
        <f>BP555*(1-IF(B555&gt;=in_marketplace_from,d_hz_bills*G555,0))</f>
        <v/>
      </c>
      <c r="BQ556" s="40">
        <f>BQ555*d_rho_bills+BP556*IF(B556&gt;=in_marketplace_from,d_hz_bills*G556,0)</f>
        <v/>
      </c>
      <c r="BR556" s="14">
        <f>F556*BQ556*in_bills_ticket*in_bills_comm/12</f>
        <v/>
      </c>
      <c r="BS556" s="40">
        <f>BS555*(1-IF(B555&gt;=in_marketplace_from,d_hz_loan_gold*G555,0))</f>
        <v/>
      </c>
      <c r="BT556" s="14">
        <f>F556*BS556*IF(B556&gt;=in_marketplace_from,d_hz_loan_gold*G556,0)*in_loan_gold_ticket*in_loan_gold_comm</f>
        <v/>
      </c>
      <c r="BU556" s="40">
        <f>BU555*(1-IF(B555&gt;=in_marketplace_from,d_hz_loan_cd*G555,0))</f>
        <v/>
      </c>
      <c r="BV556" s="14">
        <f>F556*BU556*IF(B556&gt;=in_marketplace_from,d_hz_loan_cd*G556,0)*in_loan_cd_ticket*in_loan_cd_comm</f>
        <v/>
      </c>
      <c r="BW556" s="40">
        <f>BW555*(1-IF(B555&gt;=in_marketplace_from,d_hz_loan_vehicle*G555,0))</f>
        <v/>
      </c>
      <c r="BX556" s="14">
        <f>F556*BW556*IF(B556&gt;=in_marketplace_from,d_hz_loan_vehicle*G556,0)*in_loan_vehicle_ticket*in_loan_vehicle_comm</f>
        <v/>
      </c>
      <c r="BY556" s="40">
        <f>BY555*(1-IF(B555&gt;=in_marketplace_from,d_hz_loan_home*G555,0)*BZ555)</f>
        <v/>
      </c>
      <c r="BZ556" s="11">
        <f>MIN(in_approval_cap,in_loan_home_approval*INDEX('Age profile'!$O$2:$O$61,B556)*(1+in_approval_growth)^(D556-1))</f>
        <v/>
      </c>
      <c r="CA556" s="14">
        <f>F556*BY556*IF(B556&gt;=in_marketplace_from,d_hz_loan_home*G556,0)*BZ556*in_loan_home_ticket*in_loan_home_comm</f>
        <v/>
      </c>
      <c r="CB556" s="40">
        <f>CB555*(1-IF(B555&gt;=in_marketplace_from,d_hz_loan_lap*G555,0)*CC555)</f>
        <v/>
      </c>
      <c r="CC556" s="11">
        <f>MIN(in_approval_cap,in_loan_lap_approval*INDEX('Age profile'!$O$2:$O$61,B556)*(1+in_approval_growth)^(D556-1))</f>
        <v/>
      </c>
      <c r="CD556" s="14">
        <f>F556*CB556*IF(B556&gt;=in_marketplace_from,d_hz_loan_lap*G556,0)*CC556*in_loan_lap_ticket*in_loan_lap_comm</f>
        <v/>
      </c>
      <c r="CE556" s="14">
        <f>AA556+AB556+AC556+AD556+AG556+AJ556+AM556+AP556+AS556+AU556+AX556+BB556+BE556+BG556+BJ556+BL556+BO556+BR556+BT556+BV556+BX556+CA556+CD556</f>
        <v/>
      </c>
    </row>
    <row r="557">
      <c r="A557" s="39" t="n">
        <v>11</v>
      </c>
      <c r="B557" s="39" t="n">
        <v>1</v>
      </c>
      <c r="C557" s="39">
        <f>A557+B557-1</f>
        <v/>
      </c>
      <c r="D557" s="39">
        <f>INT((C557-1)/12)+1</f>
        <v/>
      </c>
      <c r="E557" s="44">
        <f>INDEX(Monthly!$B$2:$B$61,A557)</f>
        <v/>
      </c>
      <c r="F557" s="44">
        <f>E557*INDEX('Age profile'!$B$2:$B$61,B557)</f>
        <v/>
      </c>
      <c r="G557" s="45">
        <f>MIN(in_takeup_cap,INDEX('Age profile'!$N$2:$N$61,B557)*(1+in_takeup_growth)^(D557-1))</f>
        <v/>
      </c>
      <c r="H557" s="11">
        <f>MIN(in_approval_cap,in_approved_first*INDEX('Age profile'!$O$2:$O$61,B557)*(1+in_approval_growth)^(D557-1))</f>
        <v/>
      </c>
      <c r="I557" s="45">
        <f>G557*MIN(in_takeup_cap,INDEX('Age profile'!$O$2:$O$61,B557)*(1+in_approval_growth)^(D557-1))</f>
        <v/>
      </c>
      <c r="J557" s="40">
        <f>E557</f>
        <v/>
      </c>
      <c r="K557" s="40" t="n">
        <v>0</v>
      </c>
      <c r="L557" s="40">
        <f>IF(B557&gt;=in_marketplace_from,J557*d_hz*G557*in_eligible*H557,0)</f>
        <v/>
      </c>
      <c r="M557" s="40">
        <f>IF(B557&gt;=in_marketplace_from,K557*d_hz*G557*in_eligible*in_approved_repeat,0)</f>
        <v/>
      </c>
      <c r="N557" s="40">
        <f>L557+M557</f>
        <v/>
      </c>
      <c r="O557" s="46">
        <f>N557/F557</f>
        <v/>
      </c>
      <c r="P557" s="40">
        <f>F557-J557-K557</f>
        <v/>
      </c>
      <c r="Q557" s="40">
        <f>IF(B557&gt;=in_marketplace_from,(J557+K557)*d_hz*G557,0)</f>
        <v/>
      </c>
      <c r="R557" s="40">
        <f>SUMIFS(N557:N606,B557:B606,"&gt;="&amp;(B557-d_T),B557:B606,"&lt;="&amp;(B557-1))</f>
        <v/>
      </c>
      <c r="S557" s="46" t="n">
        <v>0</v>
      </c>
      <c r="T557" s="40">
        <f>F557*d_u*S557</f>
        <v/>
      </c>
      <c r="U557" s="9">
        <f>L557*in_ticket+M557*d_rep_ticket</f>
        <v/>
      </c>
      <c r="V557" s="9">
        <f>U557+T557*d_topup_amt</f>
        <v/>
      </c>
      <c r="W557" s="40">
        <f>N557+T557*d_topup_ratio</f>
        <v/>
      </c>
      <c r="X557" s="40">
        <f>SUMIFS(W557:W606,B557:B606,B557-in_dpd_lag)*d_cured</f>
        <v/>
      </c>
      <c r="Y557" s="40">
        <f>SUMIFS(W557:W606,B557:B606,B557-in_rec_lag)*d_recd</f>
        <v/>
      </c>
      <c r="Z557" s="40">
        <f>IF(AND(B557&gt;=in_marketplace_from,B557&lt;in_marketplace_from+in_card_months),in_card_share/in_card_months*F557*I557,IF(AND(B557&gt;=in_marketplace_from+in_card_months,B557&lt;in_marketplace_from+2*in_card_months),in_card_share*d_card_rem/in_card_months*F557*MIN(in_takeup_cap,(1+in_takeup_growth)^(D557-1))*MIN(in_takeup_cap,(1+in_approval_growth)^(D557-1)),0))</f>
        <v/>
      </c>
      <c r="AA557" s="14">
        <f>V557*in_fee*(1-in_taken_back)</f>
        <v/>
      </c>
      <c r="AB557" s="14">
        <f>SUMIFS(W557:W606,B557:B606,B557-in_dpd_lag)*d_dpd</f>
        <v/>
      </c>
      <c r="AC557" s="14">
        <f>SUMIFS(W557:W606,B557:B606,B557-in_rec_lag)*d_rec</f>
        <v/>
      </c>
      <c r="AD557" s="14">
        <f>Z557*in_card_fee</f>
        <v/>
      </c>
      <c r="AE557" s="40" t="n">
        <v>1</v>
      </c>
      <c r="AF557" s="46">
        <f>AE557*IF(B557&gt;=in_marketplace_from,d_hz_hlth_small*G557,0)</f>
        <v/>
      </c>
      <c r="AG557" s="14">
        <f>F557*AF557*in_hlth_small_ticket*in_hlth_small_comm*in_ins_partner_share+F557*in_hlth_small_ticket*in_hlth_small_renew_comm*in_ins_partner_share*(in_hlth_small_renew^1*SUMIFS(AF557:AF606,B557:B606,B557-12)+in_hlth_small_renew^2*SUMIFS(AF557:AF606,B557:B606,B557-24)+in_hlth_small_renew^3*SUMIFS(AF557:AF606,B557:B606,B557-36)+in_hlth_small_renew^4*SUMIFS(AF557:AF606,B557:B606,B557-48))</f>
        <v/>
      </c>
      <c r="AH557" s="40" t="n">
        <v>1</v>
      </c>
      <c r="AI557" s="46">
        <f>AH557*IF(B557&gt;=in_marketplace_from,d_hz_hlth_family*G557,0)</f>
        <v/>
      </c>
      <c r="AJ557" s="14">
        <f>F557*AI557*in_hlth_family_ticket*in_hlth_family_comm*in_ins_partner_share+F557*in_hlth_family_ticket*in_hlth_family_renew_comm*in_ins_partner_share*(in_hlth_family_renew^1*SUMIFS(AI557:AI606,B557:B606,B557-12)+in_hlth_family_renew^2*SUMIFS(AI557:AI606,B557:B606,B557-24)+in_hlth_family_renew^3*SUMIFS(AI557:AI606,B557:B606,B557-36)+in_hlth_family_renew^4*SUMIFS(AI557:AI606,B557:B606,B557-48))</f>
        <v/>
      </c>
      <c r="AK557" s="40" t="n">
        <v>1</v>
      </c>
      <c r="AL557" s="46">
        <f>AK557*IF(B557&gt;=in_marketplace_from,d_hz_life_term*G557,0)</f>
        <v/>
      </c>
      <c r="AM557" s="14">
        <f>F557*AL557*in_life_term_ticket*in_life_term_comm*in_ins_partner_share+F557*in_life_term_ticket*in_life_term_renew_comm*in_ins_partner_share*(in_life_term_renew^1*SUMIFS(AL557:AL606,B557:B606,B557-12)+in_life_term_renew^2*SUMIFS(AL557:AL606,B557:B606,B557-24)+in_life_term_renew^3*SUMIFS(AL557:AL606,B557:B606,B557-36)+in_life_term_renew^4*SUMIFS(AL557:AL606,B557:B606,B557-48))</f>
        <v/>
      </c>
      <c r="AN557" s="40" t="n">
        <v>1</v>
      </c>
      <c r="AO557" s="46">
        <f>AN557*IF(B557&gt;=in_marketplace_from,d_hz_accident*G557,0)</f>
        <v/>
      </c>
      <c r="AP557" s="14">
        <f>F557*AO557*in_accident_ticket*in_accident_comm*in_ins_partner_share+F557*in_accident_ticket*in_accident_renew_comm*in_ins_partner_share*(in_accident_renew^1*SUMIFS(AO557:AO606,B557:B606,B557-12)+in_accident_renew^2*SUMIFS(AO557:AO606,B557:B606,B557-24)+in_accident_renew^3*SUMIFS(AO557:AO606,B557:B606,B557-36)+in_accident_renew^4*SUMIFS(AO557:AO606,B557:B606,B557-48))</f>
        <v/>
      </c>
      <c r="AQ557" s="40" t="n">
        <v>1</v>
      </c>
      <c r="AR557" s="46">
        <f>AQ557*IF(B557&gt;=in_marketplace_from,d_hz_two_wheeler*G557,0)</f>
        <v/>
      </c>
      <c r="AS557" s="14">
        <f>F557*AR557*in_two_wheeler_ticket*in_two_wheeler_comm*in_ins_partner_share+F557*in_two_wheeler_ticket*in_two_wheeler_comm*in_ins_partner_share*(in_two_wheeler_renew^1*SUMIFS(AR557:AR606,B557:B606,B557-12)+in_two_wheeler_renew^2*SUMIFS(AR557:AR606,B557:B606,B557-24)+in_two_wheeler_renew^3*SUMIFS(AR557:AR606,B557:B606,B557-36)+in_two_wheeler_renew^4*SUMIFS(AR557:AR606,B557:B606,B557-48))</f>
        <v/>
      </c>
      <c r="AT557" s="40" t="n">
        <v>1</v>
      </c>
      <c r="AU557" s="14">
        <f>F557*AT557*IF(B557&gt;=in_marketplace_from,d_hz_device*G557,0)*in_device_ticket*in_device_comm*in_ins_partner_share</f>
        <v/>
      </c>
      <c r="AV557" s="40" t="n">
        <v>1</v>
      </c>
      <c r="AW557" s="46">
        <f>AV557*IF(B557&gt;=in_marketplace_from,d_hz_shop*G557,0)</f>
        <v/>
      </c>
      <c r="AX557" s="14">
        <f>F557*AW557*in_shop_ticket*in_shop_comm*in_ins_partner_share+F557*in_shop_ticket*in_shop_renew_comm*in_ins_partner_share*(in_shop_renew^1*SUMIFS(AW557:AW606,B557:B606,B557-12)+in_shop_renew^2*SUMIFS(AW557:AW606,B557:B606,B557-24)+in_shop_renew^3*SUMIFS(AW557:AW606,B557:B606,B557-36)+in_shop_renew^4*SUMIFS(AW557:AW606,B557:B606,B557-48))</f>
        <v/>
      </c>
      <c r="AY557" s="40" t="n">
        <v>1</v>
      </c>
      <c r="AZ557" s="40">
        <f>AY557*IF(B557&gt;=in_marketplace_from,d_hz_sip*G557,0)</f>
        <v/>
      </c>
      <c r="BA557" s="40" t="n">
        <v>0</v>
      </c>
      <c r="BB557" s="14">
        <f>F557*in_sip_ticket*(BA557+0.5*AZ557)*in_sip_comm/12</f>
        <v/>
      </c>
      <c r="BC557" s="40" t="n">
        <v>1</v>
      </c>
      <c r="BD557" s="46">
        <f>BC557*IF(B557&gt;=in_marketplace_from,d_hz_choti*G557,0)</f>
        <v/>
      </c>
      <c r="BE557" s="14">
        <f>F557*SUMIFS(BD557:BD606,B557:B606,B557-in_choti_months)*in_choti_renew*in_choti_ticket</f>
        <v/>
      </c>
      <c r="BF557" s="40" t="n">
        <v>1</v>
      </c>
      <c r="BG557" s="14">
        <f>F557*BF557*IF(B557&gt;=in_marketplace_from,d_hz_nps*G557,0)*in_nps_ticket*in_nps_comm</f>
        <v/>
      </c>
      <c r="BH557" s="40" t="n">
        <v>1</v>
      </c>
      <c r="BI557" s="40">
        <f>BH557*IF(B557&gt;=in_marketplace_from,d_hz_gold*G557,0)</f>
        <v/>
      </c>
      <c r="BJ557" s="14">
        <f>F557*BI557*in_gold_ticket*in_gold_comm</f>
        <v/>
      </c>
      <c r="BK557" s="40" t="n">
        <v>1</v>
      </c>
      <c r="BL557" s="14">
        <f>F557*BK557*IF(B557&gt;=in_marketplace_from,d_hz_fd*G557,0)*in_fd_ticket*in_fd_comm</f>
        <v/>
      </c>
      <c r="BM557" s="40" t="n">
        <v>1</v>
      </c>
      <c r="BN557" s="40">
        <f>BM557*IF(B557&gt;=in_marketplace_from,d_hz_recharge*G557,0)</f>
        <v/>
      </c>
      <c r="BO557" s="14">
        <f>F557*BN557*in_recharge_ticket*in_recharge_comm/12</f>
        <v/>
      </c>
      <c r="BP557" s="40" t="n">
        <v>1</v>
      </c>
      <c r="BQ557" s="40">
        <f>BP557*IF(B557&gt;=in_marketplace_from,d_hz_bills*G557,0)</f>
        <v/>
      </c>
      <c r="BR557" s="14">
        <f>F557*BQ557*in_bills_ticket*in_bills_comm/12</f>
        <v/>
      </c>
      <c r="BS557" s="40" t="n">
        <v>1</v>
      </c>
      <c r="BT557" s="14">
        <f>F557*BS557*IF(B557&gt;=in_marketplace_from,d_hz_loan_gold*G557,0)*in_loan_gold_ticket*in_loan_gold_comm</f>
        <v/>
      </c>
      <c r="BU557" s="40" t="n">
        <v>1</v>
      </c>
      <c r="BV557" s="14">
        <f>F557*BU557*IF(B557&gt;=in_marketplace_from,d_hz_loan_cd*G557,0)*in_loan_cd_ticket*in_loan_cd_comm</f>
        <v/>
      </c>
      <c r="BW557" s="40" t="n">
        <v>1</v>
      </c>
      <c r="BX557" s="14">
        <f>F557*BW557*IF(B557&gt;=in_marketplace_from,d_hz_loan_vehicle*G557,0)*in_loan_vehicle_ticket*in_loan_vehicle_comm</f>
        <v/>
      </c>
      <c r="BY557" s="40" t="n">
        <v>1</v>
      </c>
      <c r="BZ557" s="11">
        <f>MIN(in_approval_cap,in_loan_home_approval*INDEX('Age profile'!$O$2:$O$61,B557)*(1+in_approval_growth)^(D557-1))</f>
        <v/>
      </c>
      <c r="CA557" s="14">
        <f>F557*BY557*IF(B557&gt;=in_marketplace_from,d_hz_loan_home*G557,0)*BZ557*in_loan_home_ticket*in_loan_home_comm</f>
        <v/>
      </c>
      <c r="CB557" s="40" t="n">
        <v>1</v>
      </c>
      <c r="CC557" s="11">
        <f>MIN(in_approval_cap,in_loan_lap_approval*INDEX('Age profile'!$O$2:$O$61,B557)*(1+in_approval_growth)^(D557-1))</f>
        <v/>
      </c>
      <c r="CD557" s="14">
        <f>F557*CB557*IF(B557&gt;=in_marketplace_from,d_hz_loan_lap*G557,0)*CC557*in_loan_lap_ticket*in_loan_lap_comm</f>
        <v/>
      </c>
      <c r="CE557" s="14">
        <f>AA557+AB557+AC557+AD557+AG557+AJ557+AM557+AP557+AS557+AU557+AX557+BB557+BE557+BG557+BJ557+BL557+BO557+BR557+BT557+BV557+BX557+CA557+CD557</f>
        <v/>
      </c>
    </row>
    <row r="558">
      <c r="A558" s="39" t="n">
        <v>11</v>
      </c>
      <c r="B558" s="39" t="n">
        <v>2</v>
      </c>
      <c r="C558" s="39">
        <f>A558+B558-1</f>
        <v/>
      </c>
      <c r="D558" s="39">
        <f>INT((C558-1)/12)+1</f>
        <v/>
      </c>
      <c r="E558" s="44">
        <f>INDEX(Monthly!$B$2:$B$61,A558)</f>
        <v/>
      </c>
      <c r="F558" s="44">
        <f>E558*INDEX('Age profile'!$B$2:$B$61,B558)</f>
        <v/>
      </c>
      <c r="G558" s="45">
        <f>MIN(in_takeup_cap,INDEX('Age profile'!$N$2:$N$61,B558)*(1+in_takeup_growth)^(D558-1))</f>
        <v/>
      </c>
      <c r="H558" s="11">
        <f>MIN(in_approval_cap,in_approved_first*INDEX('Age profile'!$O$2:$O$61,B558)*(1+in_approval_growth)^(D558-1))</f>
        <v/>
      </c>
      <c r="I558" s="45">
        <f>G558*MIN(in_takeup_cap,INDEX('Age profile'!$O$2:$O$61,B558)*(1+in_approval_growth)^(D558-1))</f>
        <v/>
      </c>
      <c r="J558" s="40">
        <f>(J557-L557)*F558/F557</f>
        <v/>
      </c>
      <c r="K558" s="40">
        <f>(K557-M557)*F558/F557+SUMIFS(O557:O557,B557:B557,B558-1-d_T)*F558</f>
        <v/>
      </c>
      <c r="L558" s="40">
        <f>IF(B558&gt;=in_marketplace_from,J558*d_hz*G558*in_eligible*H558,0)</f>
        <v/>
      </c>
      <c r="M558" s="40">
        <f>IF(B558&gt;=in_marketplace_from,K558*d_hz*G558*in_eligible*in_approved_repeat,0)</f>
        <v/>
      </c>
      <c r="N558" s="40">
        <f>L558+M558</f>
        <v/>
      </c>
      <c r="O558" s="46">
        <f>N558/F558</f>
        <v/>
      </c>
      <c r="P558" s="40">
        <f>F558-J558-K558</f>
        <v/>
      </c>
      <c r="Q558" s="40">
        <f>IF(B558&gt;=in_marketplace_from,(J558+K558)*d_hz*G558,0)</f>
        <v/>
      </c>
      <c r="R558" s="40">
        <f>SUMIFS(N557:N606,B557:B606,"&gt;="&amp;(B558-d_T),B557:B606,"&lt;="&amp;(B558-1))</f>
        <v/>
      </c>
      <c r="S558" s="46">
        <f>(1-d_u)*S557+IF(d_T&gt;in_topup_lag,SUMIFS(O557:O606,B557:B606,B558-in_topup_lag)-d_udrop*SUMIFS(O557:O606,B557:B606,B558-d_T),0)</f>
        <v/>
      </c>
      <c r="T558" s="40">
        <f>F558*d_u*S558</f>
        <v/>
      </c>
      <c r="U558" s="9">
        <f>L558*in_ticket+M558*d_rep_ticket</f>
        <v/>
      </c>
      <c r="V558" s="9">
        <f>U558+T558*d_topup_amt</f>
        <v/>
      </c>
      <c r="W558" s="40">
        <f>N558+T558*d_topup_ratio</f>
        <v/>
      </c>
      <c r="X558" s="40">
        <f>SUMIFS(W557:W606,B557:B606,B558-in_dpd_lag)*d_cured</f>
        <v/>
      </c>
      <c r="Y558" s="40">
        <f>SUMIFS(W557:W606,B557:B606,B558-in_rec_lag)*d_recd</f>
        <v/>
      </c>
      <c r="Z558" s="40">
        <f>IF(AND(B558&gt;=in_marketplace_from,B558&lt;in_marketplace_from+in_card_months),in_card_share/in_card_months*F558*I558,IF(AND(B558&gt;=in_marketplace_from+in_card_months,B558&lt;in_marketplace_from+2*in_card_months),in_card_share*d_card_rem/in_card_months*F558*MIN(in_takeup_cap,(1+in_takeup_growth)^(D558-1))*MIN(in_takeup_cap,(1+in_approval_growth)^(D558-1)),0))</f>
        <v/>
      </c>
      <c r="AA558" s="14">
        <f>V558*in_fee*(1-in_taken_back)</f>
        <v/>
      </c>
      <c r="AB558" s="14">
        <f>SUMIFS(W557:W606,B557:B606,B558-in_dpd_lag)*d_dpd</f>
        <v/>
      </c>
      <c r="AC558" s="14">
        <f>SUMIFS(W557:W606,B557:B606,B558-in_rec_lag)*d_rec</f>
        <v/>
      </c>
      <c r="AD558" s="14">
        <f>Z558*in_card_fee</f>
        <v/>
      </c>
      <c r="AE558" s="40">
        <f>AE557*(1-IF(B557&gt;=in_marketplace_from,d_hz_hlth_small*G557,0))</f>
        <v/>
      </c>
      <c r="AF558" s="46">
        <f>AE558*IF(B558&gt;=in_marketplace_from,d_hz_hlth_small*G558,0)</f>
        <v/>
      </c>
      <c r="AG558" s="14">
        <f>F558*AF558*in_hlth_small_ticket*in_hlth_small_comm*in_ins_partner_share+F558*in_hlth_small_ticket*in_hlth_small_renew_comm*in_ins_partner_share*(in_hlth_small_renew^1*SUMIFS(AF557:AF606,B557:B606,B558-12)+in_hlth_small_renew^2*SUMIFS(AF557:AF606,B557:B606,B558-24)+in_hlth_small_renew^3*SUMIFS(AF557:AF606,B557:B606,B558-36)+in_hlth_small_renew^4*SUMIFS(AF557:AF606,B557:B606,B558-48))</f>
        <v/>
      </c>
      <c r="AH558" s="40">
        <f>AH557*(1-IF(B557&gt;=in_marketplace_from,d_hz_hlth_family*G557,0))</f>
        <v/>
      </c>
      <c r="AI558" s="46">
        <f>AH558*IF(B558&gt;=in_marketplace_from,d_hz_hlth_family*G558,0)</f>
        <v/>
      </c>
      <c r="AJ558" s="14">
        <f>F558*AI558*in_hlth_family_ticket*in_hlth_family_comm*in_ins_partner_share+F558*in_hlth_family_ticket*in_hlth_family_renew_comm*in_ins_partner_share*(in_hlth_family_renew^1*SUMIFS(AI557:AI606,B557:B606,B558-12)+in_hlth_family_renew^2*SUMIFS(AI557:AI606,B557:B606,B558-24)+in_hlth_family_renew^3*SUMIFS(AI557:AI606,B557:B606,B558-36)+in_hlth_family_renew^4*SUMIFS(AI557:AI606,B557:B606,B558-48))</f>
        <v/>
      </c>
      <c r="AK558" s="40">
        <f>AK557*(1-IF(B557&gt;=in_marketplace_from,d_hz_life_term*G557,0))</f>
        <v/>
      </c>
      <c r="AL558" s="46">
        <f>AK558*IF(B558&gt;=in_marketplace_from,d_hz_life_term*G558,0)</f>
        <v/>
      </c>
      <c r="AM558" s="14">
        <f>F558*AL558*in_life_term_ticket*in_life_term_comm*in_ins_partner_share+F558*in_life_term_ticket*in_life_term_renew_comm*in_ins_partner_share*(in_life_term_renew^1*SUMIFS(AL557:AL606,B557:B606,B558-12)+in_life_term_renew^2*SUMIFS(AL557:AL606,B557:B606,B558-24)+in_life_term_renew^3*SUMIFS(AL557:AL606,B557:B606,B558-36)+in_life_term_renew^4*SUMIFS(AL557:AL606,B557:B606,B558-48))</f>
        <v/>
      </c>
      <c r="AN558" s="40">
        <f>AN557*(1-IF(B557&gt;=in_marketplace_from,d_hz_accident*G557,0))</f>
        <v/>
      </c>
      <c r="AO558" s="46">
        <f>AN558*IF(B558&gt;=in_marketplace_from,d_hz_accident*G558,0)</f>
        <v/>
      </c>
      <c r="AP558" s="14">
        <f>F558*AO558*in_accident_ticket*in_accident_comm*in_ins_partner_share+F558*in_accident_ticket*in_accident_renew_comm*in_ins_partner_share*(in_accident_renew^1*SUMIFS(AO557:AO606,B557:B606,B558-12)+in_accident_renew^2*SUMIFS(AO557:AO606,B557:B606,B558-24)+in_accident_renew^3*SUMIFS(AO557:AO606,B557:B606,B558-36)+in_accident_renew^4*SUMIFS(AO557:AO606,B557:B606,B558-48))</f>
        <v/>
      </c>
      <c r="AQ558" s="40">
        <f>AQ557*(1-IF(B557&gt;=in_marketplace_from,d_hz_two_wheeler*G557,0))</f>
        <v/>
      </c>
      <c r="AR558" s="46">
        <f>AQ558*IF(B558&gt;=in_marketplace_from,d_hz_two_wheeler*G558,0)</f>
        <v/>
      </c>
      <c r="AS558" s="14">
        <f>F558*AR558*in_two_wheeler_ticket*in_two_wheeler_comm*in_ins_partner_share+F558*in_two_wheeler_ticket*in_two_wheeler_comm*in_ins_partner_share*(in_two_wheeler_renew^1*SUMIFS(AR557:AR606,B557:B606,B558-12)+in_two_wheeler_renew^2*SUMIFS(AR557:AR606,B557:B606,B558-24)+in_two_wheeler_renew^3*SUMIFS(AR557:AR606,B557:B606,B558-36)+in_two_wheeler_renew^4*SUMIFS(AR557:AR606,B557:B606,B558-48))</f>
        <v/>
      </c>
      <c r="AT558" s="40">
        <f>AT557*(1-IF(B557&gt;=in_marketplace_from,d_hz_device*G557,0))</f>
        <v/>
      </c>
      <c r="AU558" s="14">
        <f>F558*AT558*IF(B558&gt;=in_marketplace_from,d_hz_device*G558,0)*in_device_ticket*in_device_comm*in_ins_partner_share</f>
        <v/>
      </c>
      <c r="AV558" s="40">
        <f>AV557*(1-IF(B557&gt;=in_marketplace_from,d_hz_shop*G557,0))</f>
        <v/>
      </c>
      <c r="AW558" s="46">
        <f>AV558*IF(B558&gt;=in_marketplace_from,d_hz_shop*G558,0)</f>
        <v/>
      </c>
      <c r="AX558" s="14">
        <f>F558*AW558*in_shop_ticket*in_shop_comm*in_ins_partner_share+F558*in_shop_ticket*in_shop_renew_comm*in_ins_partner_share*(in_shop_renew^1*SUMIFS(AW557:AW606,B557:B606,B558-12)+in_shop_renew^2*SUMIFS(AW557:AW606,B557:B606,B558-24)+in_shop_renew^3*SUMIFS(AW557:AW606,B557:B606,B558-36)+in_shop_renew^4*SUMIFS(AW557:AW606,B557:B606,B558-48))</f>
        <v/>
      </c>
      <c r="AY558" s="40">
        <f>AY557*(1-IF(B557&gt;=in_marketplace_from,d_hz_sip*G557,0))</f>
        <v/>
      </c>
      <c r="AZ558" s="40">
        <f>AZ557*d_rho_sip+AY558*IF(B558&gt;=in_marketplace_from,d_hz_sip*G558,0)</f>
        <v/>
      </c>
      <c r="BA558" s="40">
        <f>d_rho_sip*(BA557+AZ557)</f>
        <v/>
      </c>
      <c r="BB558" s="14">
        <f>F558*in_sip_ticket*(BA558+0.5*AZ558)*in_sip_comm/12</f>
        <v/>
      </c>
      <c r="BC558" s="40">
        <f>BC557*(1-IF(B557&gt;=in_marketplace_from,d_hz_choti*G557,0))</f>
        <v/>
      </c>
      <c r="BD558" s="46">
        <f>BC558*IF(B558&gt;=in_marketplace_from,d_hz_choti*G558,0)</f>
        <v/>
      </c>
      <c r="BE558" s="14">
        <f>F558*SUMIFS(BD557:BD606,B557:B606,B558-in_choti_months)*in_choti_renew*in_choti_ticket</f>
        <v/>
      </c>
      <c r="BF558" s="40">
        <f>BF557*(1-IF(B557&gt;=in_marketplace_from,d_hz_nps*G557,0))</f>
        <v/>
      </c>
      <c r="BG558" s="14">
        <f>F558*BF558*IF(B558&gt;=in_marketplace_from,d_hz_nps*G558,0)*in_nps_ticket*in_nps_comm</f>
        <v/>
      </c>
      <c r="BH558" s="40">
        <f>BH557*(1-IF(B557&gt;=in_marketplace_from,d_hz_gold*G557,0))</f>
        <v/>
      </c>
      <c r="BI558" s="40">
        <f>BI557*d_rho_gold+BH558*IF(B558&gt;=in_marketplace_from,d_hz_gold*G558,0)</f>
        <v/>
      </c>
      <c r="BJ558" s="14">
        <f>F558*BI558*in_gold_ticket*in_gold_comm</f>
        <v/>
      </c>
      <c r="BK558" s="40">
        <f>BK557*(1-IF(B557&gt;=in_marketplace_from,d_hz_fd*G557,0))</f>
        <v/>
      </c>
      <c r="BL558" s="14">
        <f>F558*BK558*IF(B558&gt;=in_marketplace_from,d_hz_fd*G558,0)*in_fd_ticket*in_fd_comm</f>
        <v/>
      </c>
      <c r="BM558" s="40">
        <f>BM557*(1-IF(B557&gt;=in_marketplace_from,d_hz_recharge*G557,0))</f>
        <v/>
      </c>
      <c r="BN558" s="40">
        <f>BN557*d_rho_recharge+BM558*IF(B558&gt;=in_marketplace_from,d_hz_recharge*G558,0)</f>
        <v/>
      </c>
      <c r="BO558" s="14">
        <f>F558*BN558*in_recharge_ticket*in_recharge_comm/12</f>
        <v/>
      </c>
      <c r="BP558" s="40">
        <f>BP557*(1-IF(B557&gt;=in_marketplace_from,d_hz_bills*G557,0))</f>
        <v/>
      </c>
      <c r="BQ558" s="40">
        <f>BQ557*d_rho_bills+BP558*IF(B558&gt;=in_marketplace_from,d_hz_bills*G558,0)</f>
        <v/>
      </c>
      <c r="BR558" s="14">
        <f>F558*BQ558*in_bills_ticket*in_bills_comm/12</f>
        <v/>
      </c>
      <c r="BS558" s="40">
        <f>BS557*(1-IF(B557&gt;=in_marketplace_from,d_hz_loan_gold*G557,0))</f>
        <v/>
      </c>
      <c r="BT558" s="14">
        <f>F558*BS558*IF(B558&gt;=in_marketplace_from,d_hz_loan_gold*G558,0)*in_loan_gold_ticket*in_loan_gold_comm</f>
        <v/>
      </c>
      <c r="BU558" s="40">
        <f>BU557*(1-IF(B557&gt;=in_marketplace_from,d_hz_loan_cd*G557,0))</f>
        <v/>
      </c>
      <c r="BV558" s="14">
        <f>F558*BU558*IF(B558&gt;=in_marketplace_from,d_hz_loan_cd*G558,0)*in_loan_cd_ticket*in_loan_cd_comm</f>
        <v/>
      </c>
      <c r="BW558" s="40">
        <f>BW557*(1-IF(B557&gt;=in_marketplace_from,d_hz_loan_vehicle*G557,0))</f>
        <v/>
      </c>
      <c r="BX558" s="14">
        <f>F558*BW558*IF(B558&gt;=in_marketplace_from,d_hz_loan_vehicle*G558,0)*in_loan_vehicle_ticket*in_loan_vehicle_comm</f>
        <v/>
      </c>
      <c r="BY558" s="40">
        <f>BY557*(1-IF(B557&gt;=in_marketplace_from,d_hz_loan_home*G557,0)*BZ557)</f>
        <v/>
      </c>
      <c r="BZ558" s="11">
        <f>MIN(in_approval_cap,in_loan_home_approval*INDEX('Age profile'!$O$2:$O$61,B558)*(1+in_approval_growth)^(D558-1))</f>
        <v/>
      </c>
      <c r="CA558" s="14">
        <f>F558*BY558*IF(B558&gt;=in_marketplace_from,d_hz_loan_home*G558,0)*BZ558*in_loan_home_ticket*in_loan_home_comm</f>
        <v/>
      </c>
      <c r="CB558" s="40">
        <f>CB557*(1-IF(B557&gt;=in_marketplace_from,d_hz_loan_lap*G557,0)*CC557)</f>
        <v/>
      </c>
      <c r="CC558" s="11">
        <f>MIN(in_approval_cap,in_loan_lap_approval*INDEX('Age profile'!$O$2:$O$61,B558)*(1+in_approval_growth)^(D558-1))</f>
        <v/>
      </c>
      <c r="CD558" s="14">
        <f>F558*CB558*IF(B558&gt;=in_marketplace_from,d_hz_loan_lap*G558,0)*CC558*in_loan_lap_ticket*in_loan_lap_comm</f>
        <v/>
      </c>
      <c r="CE558" s="14">
        <f>AA558+AB558+AC558+AD558+AG558+AJ558+AM558+AP558+AS558+AU558+AX558+BB558+BE558+BG558+BJ558+BL558+BO558+BR558+BT558+BV558+BX558+CA558+CD558</f>
        <v/>
      </c>
    </row>
    <row r="559">
      <c r="A559" s="39" t="n">
        <v>11</v>
      </c>
      <c r="B559" s="39" t="n">
        <v>3</v>
      </c>
      <c r="C559" s="39">
        <f>A559+B559-1</f>
        <v/>
      </c>
      <c r="D559" s="39">
        <f>INT((C559-1)/12)+1</f>
        <v/>
      </c>
      <c r="E559" s="44">
        <f>INDEX(Monthly!$B$2:$B$61,A559)</f>
        <v/>
      </c>
      <c r="F559" s="44">
        <f>E559*INDEX('Age profile'!$B$2:$B$61,B559)</f>
        <v/>
      </c>
      <c r="G559" s="45">
        <f>MIN(in_takeup_cap,INDEX('Age profile'!$N$2:$N$61,B559)*(1+in_takeup_growth)^(D559-1))</f>
        <v/>
      </c>
      <c r="H559" s="11">
        <f>MIN(in_approval_cap,in_approved_first*INDEX('Age profile'!$O$2:$O$61,B559)*(1+in_approval_growth)^(D559-1))</f>
        <v/>
      </c>
      <c r="I559" s="45">
        <f>G559*MIN(in_takeup_cap,INDEX('Age profile'!$O$2:$O$61,B559)*(1+in_approval_growth)^(D559-1))</f>
        <v/>
      </c>
      <c r="J559" s="40">
        <f>(J558-L558)*F559/F558</f>
        <v/>
      </c>
      <c r="K559" s="40">
        <f>(K558-M558)*F559/F558+SUMIFS(O557:O558,B557:B558,B559-1-d_T)*F559</f>
        <v/>
      </c>
      <c r="L559" s="40">
        <f>IF(B559&gt;=in_marketplace_from,J559*d_hz*G559*in_eligible*H559,0)</f>
        <v/>
      </c>
      <c r="M559" s="40">
        <f>IF(B559&gt;=in_marketplace_from,K559*d_hz*G559*in_eligible*in_approved_repeat,0)</f>
        <v/>
      </c>
      <c r="N559" s="40">
        <f>L559+M559</f>
        <v/>
      </c>
      <c r="O559" s="46">
        <f>N559/F559</f>
        <v/>
      </c>
      <c r="P559" s="40">
        <f>F559-J559-K559</f>
        <v/>
      </c>
      <c r="Q559" s="40">
        <f>IF(B559&gt;=in_marketplace_from,(J559+K559)*d_hz*G559,0)</f>
        <v/>
      </c>
      <c r="R559" s="40">
        <f>SUMIFS(N557:N606,B557:B606,"&gt;="&amp;(B559-d_T),B557:B606,"&lt;="&amp;(B559-1))</f>
        <v/>
      </c>
      <c r="S559" s="46">
        <f>(1-d_u)*S558+IF(d_T&gt;in_topup_lag,SUMIFS(O557:O606,B557:B606,B559-in_topup_lag)-d_udrop*SUMIFS(O557:O606,B557:B606,B559-d_T),0)</f>
        <v/>
      </c>
      <c r="T559" s="40">
        <f>F559*d_u*S559</f>
        <v/>
      </c>
      <c r="U559" s="9">
        <f>L559*in_ticket+M559*d_rep_ticket</f>
        <v/>
      </c>
      <c r="V559" s="9">
        <f>U559+T559*d_topup_amt</f>
        <v/>
      </c>
      <c r="W559" s="40">
        <f>N559+T559*d_topup_ratio</f>
        <v/>
      </c>
      <c r="X559" s="40">
        <f>SUMIFS(W557:W606,B557:B606,B559-in_dpd_lag)*d_cured</f>
        <v/>
      </c>
      <c r="Y559" s="40">
        <f>SUMIFS(W557:W606,B557:B606,B559-in_rec_lag)*d_recd</f>
        <v/>
      </c>
      <c r="Z559" s="40">
        <f>IF(AND(B559&gt;=in_marketplace_from,B559&lt;in_marketplace_from+in_card_months),in_card_share/in_card_months*F559*I559,IF(AND(B559&gt;=in_marketplace_from+in_card_months,B559&lt;in_marketplace_from+2*in_card_months),in_card_share*d_card_rem/in_card_months*F559*MIN(in_takeup_cap,(1+in_takeup_growth)^(D559-1))*MIN(in_takeup_cap,(1+in_approval_growth)^(D559-1)),0))</f>
        <v/>
      </c>
      <c r="AA559" s="14">
        <f>V559*in_fee*(1-in_taken_back)</f>
        <v/>
      </c>
      <c r="AB559" s="14">
        <f>SUMIFS(W557:W606,B557:B606,B559-in_dpd_lag)*d_dpd</f>
        <v/>
      </c>
      <c r="AC559" s="14">
        <f>SUMIFS(W557:W606,B557:B606,B559-in_rec_lag)*d_rec</f>
        <v/>
      </c>
      <c r="AD559" s="14">
        <f>Z559*in_card_fee</f>
        <v/>
      </c>
      <c r="AE559" s="40">
        <f>AE558*(1-IF(B558&gt;=in_marketplace_from,d_hz_hlth_small*G558,0))</f>
        <v/>
      </c>
      <c r="AF559" s="46">
        <f>AE559*IF(B559&gt;=in_marketplace_from,d_hz_hlth_small*G559,0)</f>
        <v/>
      </c>
      <c r="AG559" s="14">
        <f>F559*AF559*in_hlth_small_ticket*in_hlth_small_comm*in_ins_partner_share+F559*in_hlth_small_ticket*in_hlth_small_renew_comm*in_ins_partner_share*(in_hlth_small_renew^1*SUMIFS(AF557:AF606,B557:B606,B559-12)+in_hlth_small_renew^2*SUMIFS(AF557:AF606,B557:B606,B559-24)+in_hlth_small_renew^3*SUMIFS(AF557:AF606,B557:B606,B559-36)+in_hlth_small_renew^4*SUMIFS(AF557:AF606,B557:B606,B559-48))</f>
        <v/>
      </c>
      <c r="AH559" s="40">
        <f>AH558*(1-IF(B558&gt;=in_marketplace_from,d_hz_hlth_family*G558,0))</f>
        <v/>
      </c>
      <c r="AI559" s="46">
        <f>AH559*IF(B559&gt;=in_marketplace_from,d_hz_hlth_family*G559,0)</f>
        <v/>
      </c>
      <c r="AJ559" s="14">
        <f>F559*AI559*in_hlth_family_ticket*in_hlth_family_comm*in_ins_partner_share+F559*in_hlth_family_ticket*in_hlth_family_renew_comm*in_ins_partner_share*(in_hlth_family_renew^1*SUMIFS(AI557:AI606,B557:B606,B559-12)+in_hlth_family_renew^2*SUMIFS(AI557:AI606,B557:B606,B559-24)+in_hlth_family_renew^3*SUMIFS(AI557:AI606,B557:B606,B559-36)+in_hlth_family_renew^4*SUMIFS(AI557:AI606,B557:B606,B559-48))</f>
        <v/>
      </c>
      <c r="AK559" s="40">
        <f>AK558*(1-IF(B558&gt;=in_marketplace_from,d_hz_life_term*G558,0))</f>
        <v/>
      </c>
      <c r="AL559" s="46">
        <f>AK559*IF(B559&gt;=in_marketplace_from,d_hz_life_term*G559,0)</f>
        <v/>
      </c>
      <c r="AM559" s="14">
        <f>F559*AL559*in_life_term_ticket*in_life_term_comm*in_ins_partner_share+F559*in_life_term_ticket*in_life_term_renew_comm*in_ins_partner_share*(in_life_term_renew^1*SUMIFS(AL557:AL606,B557:B606,B559-12)+in_life_term_renew^2*SUMIFS(AL557:AL606,B557:B606,B559-24)+in_life_term_renew^3*SUMIFS(AL557:AL606,B557:B606,B559-36)+in_life_term_renew^4*SUMIFS(AL557:AL606,B557:B606,B559-48))</f>
        <v/>
      </c>
      <c r="AN559" s="40">
        <f>AN558*(1-IF(B558&gt;=in_marketplace_from,d_hz_accident*G558,0))</f>
        <v/>
      </c>
      <c r="AO559" s="46">
        <f>AN559*IF(B559&gt;=in_marketplace_from,d_hz_accident*G559,0)</f>
        <v/>
      </c>
      <c r="AP559" s="14">
        <f>F559*AO559*in_accident_ticket*in_accident_comm*in_ins_partner_share+F559*in_accident_ticket*in_accident_renew_comm*in_ins_partner_share*(in_accident_renew^1*SUMIFS(AO557:AO606,B557:B606,B559-12)+in_accident_renew^2*SUMIFS(AO557:AO606,B557:B606,B559-24)+in_accident_renew^3*SUMIFS(AO557:AO606,B557:B606,B559-36)+in_accident_renew^4*SUMIFS(AO557:AO606,B557:B606,B559-48))</f>
        <v/>
      </c>
      <c r="AQ559" s="40">
        <f>AQ558*(1-IF(B558&gt;=in_marketplace_from,d_hz_two_wheeler*G558,0))</f>
        <v/>
      </c>
      <c r="AR559" s="46">
        <f>AQ559*IF(B559&gt;=in_marketplace_from,d_hz_two_wheeler*G559,0)</f>
        <v/>
      </c>
      <c r="AS559" s="14">
        <f>F559*AR559*in_two_wheeler_ticket*in_two_wheeler_comm*in_ins_partner_share+F559*in_two_wheeler_ticket*in_two_wheeler_comm*in_ins_partner_share*(in_two_wheeler_renew^1*SUMIFS(AR557:AR606,B557:B606,B559-12)+in_two_wheeler_renew^2*SUMIFS(AR557:AR606,B557:B606,B559-24)+in_two_wheeler_renew^3*SUMIFS(AR557:AR606,B557:B606,B559-36)+in_two_wheeler_renew^4*SUMIFS(AR557:AR606,B557:B606,B559-48))</f>
        <v/>
      </c>
      <c r="AT559" s="40">
        <f>AT558*(1-IF(B558&gt;=in_marketplace_from,d_hz_device*G558,0))</f>
        <v/>
      </c>
      <c r="AU559" s="14">
        <f>F559*AT559*IF(B559&gt;=in_marketplace_from,d_hz_device*G559,0)*in_device_ticket*in_device_comm*in_ins_partner_share</f>
        <v/>
      </c>
      <c r="AV559" s="40">
        <f>AV558*(1-IF(B558&gt;=in_marketplace_from,d_hz_shop*G558,0))</f>
        <v/>
      </c>
      <c r="AW559" s="46">
        <f>AV559*IF(B559&gt;=in_marketplace_from,d_hz_shop*G559,0)</f>
        <v/>
      </c>
      <c r="AX559" s="14">
        <f>F559*AW559*in_shop_ticket*in_shop_comm*in_ins_partner_share+F559*in_shop_ticket*in_shop_renew_comm*in_ins_partner_share*(in_shop_renew^1*SUMIFS(AW557:AW606,B557:B606,B559-12)+in_shop_renew^2*SUMIFS(AW557:AW606,B557:B606,B559-24)+in_shop_renew^3*SUMIFS(AW557:AW606,B557:B606,B559-36)+in_shop_renew^4*SUMIFS(AW557:AW606,B557:B606,B559-48))</f>
        <v/>
      </c>
      <c r="AY559" s="40">
        <f>AY558*(1-IF(B558&gt;=in_marketplace_from,d_hz_sip*G558,0))</f>
        <v/>
      </c>
      <c r="AZ559" s="40">
        <f>AZ558*d_rho_sip+AY559*IF(B559&gt;=in_marketplace_from,d_hz_sip*G559,0)</f>
        <v/>
      </c>
      <c r="BA559" s="40">
        <f>d_rho_sip*(BA558+AZ558)</f>
        <v/>
      </c>
      <c r="BB559" s="14">
        <f>F559*in_sip_ticket*(BA559+0.5*AZ559)*in_sip_comm/12</f>
        <v/>
      </c>
      <c r="BC559" s="40">
        <f>BC558*(1-IF(B558&gt;=in_marketplace_from,d_hz_choti*G558,0))</f>
        <v/>
      </c>
      <c r="BD559" s="46">
        <f>BC559*IF(B559&gt;=in_marketplace_from,d_hz_choti*G559,0)</f>
        <v/>
      </c>
      <c r="BE559" s="14">
        <f>F559*SUMIFS(BD557:BD606,B557:B606,B559-in_choti_months)*in_choti_renew*in_choti_ticket</f>
        <v/>
      </c>
      <c r="BF559" s="40">
        <f>BF558*(1-IF(B558&gt;=in_marketplace_from,d_hz_nps*G558,0))</f>
        <v/>
      </c>
      <c r="BG559" s="14">
        <f>F559*BF559*IF(B559&gt;=in_marketplace_from,d_hz_nps*G559,0)*in_nps_ticket*in_nps_comm</f>
        <v/>
      </c>
      <c r="BH559" s="40">
        <f>BH558*(1-IF(B558&gt;=in_marketplace_from,d_hz_gold*G558,0))</f>
        <v/>
      </c>
      <c r="BI559" s="40">
        <f>BI558*d_rho_gold+BH559*IF(B559&gt;=in_marketplace_from,d_hz_gold*G559,0)</f>
        <v/>
      </c>
      <c r="BJ559" s="14">
        <f>F559*BI559*in_gold_ticket*in_gold_comm</f>
        <v/>
      </c>
      <c r="BK559" s="40">
        <f>BK558*(1-IF(B558&gt;=in_marketplace_from,d_hz_fd*G558,0))</f>
        <v/>
      </c>
      <c r="BL559" s="14">
        <f>F559*BK559*IF(B559&gt;=in_marketplace_from,d_hz_fd*G559,0)*in_fd_ticket*in_fd_comm</f>
        <v/>
      </c>
      <c r="BM559" s="40">
        <f>BM558*(1-IF(B558&gt;=in_marketplace_from,d_hz_recharge*G558,0))</f>
        <v/>
      </c>
      <c r="BN559" s="40">
        <f>BN558*d_rho_recharge+BM559*IF(B559&gt;=in_marketplace_from,d_hz_recharge*G559,0)</f>
        <v/>
      </c>
      <c r="BO559" s="14">
        <f>F559*BN559*in_recharge_ticket*in_recharge_comm/12</f>
        <v/>
      </c>
      <c r="BP559" s="40">
        <f>BP558*(1-IF(B558&gt;=in_marketplace_from,d_hz_bills*G558,0))</f>
        <v/>
      </c>
      <c r="BQ559" s="40">
        <f>BQ558*d_rho_bills+BP559*IF(B559&gt;=in_marketplace_from,d_hz_bills*G559,0)</f>
        <v/>
      </c>
      <c r="BR559" s="14">
        <f>F559*BQ559*in_bills_ticket*in_bills_comm/12</f>
        <v/>
      </c>
      <c r="BS559" s="40">
        <f>BS558*(1-IF(B558&gt;=in_marketplace_from,d_hz_loan_gold*G558,0))</f>
        <v/>
      </c>
      <c r="BT559" s="14">
        <f>F559*BS559*IF(B559&gt;=in_marketplace_from,d_hz_loan_gold*G559,0)*in_loan_gold_ticket*in_loan_gold_comm</f>
        <v/>
      </c>
      <c r="BU559" s="40">
        <f>BU558*(1-IF(B558&gt;=in_marketplace_from,d_hz_loan_cd*G558,0))</f>
        <v/>
      </c>
      <c r="BV559" s="14">
        <f>F559*BU559*IF(B559&gt;=in_marketplace_from,d_hz_loan_cd*G559,0)*in_loan_cd_ticket*in_loan_cd_comm</f>
        <v/>
      </c>
      <c r="BW559" s="40">
        <f>BW558*(1-IF(B558&gt;=in_marketplace_from,d_hz_loan_vehicle*G558,0))</f>
        <v/>
      </c>
      <c r="BX559" s="14">
        <f>F559*BW559*IF(B559&gt;=in_marketplace_from,d_hz_loan_vehicle*G559,0)*in_loan_vehicle_ticket*in_loan_vehicle_comm</f>
        <v/>
      </c>
      <c r="BY559" s="40">
        <f>BY558*(1-IF(B558&gt;=in_marketplace_from,d_hz_loan_home*G558,0)*BZ558)</f>
        <v/>
      </c>
      <c r="BZ559" s="11">
        <f>MIN(in_approval_cap,in_loan_home_approval*INDEX('Age profile'!$O$2:$O$61,B559)*(1+in_approval_growth)^(D559-1))</f>
        <v/>
      </c>
      <c r="CA559" s="14">
        <f>F559*BY559*IF(B559&gt;=in_marketplace_from,d_hz_loan_home*G559,0)*BZ559*in_loan_home_ticket*in_loan_home_comm</f>
        <v/>
      </c>
      <c r="CB559" s="40">
        <f>CB558*(1-IF(B558&gt;=in_marketplace_from,d_hz_loan_lap*G558,0)*CC558)</f>
        <v/>
      </c>
      <c r="CC559" s="11">
        <f>MIN(in_approval_cap,in_loan_lap_approval*INDEX('Age profile'!$O$2:$O$61,B559)*(1+in_approval_growth)^(D559-1))</f>
        <v/>
      </c>
      <c r="CD559" s="14">
        <f>F559*CB559*IF(B559&gt;=in_marketplace_from,d_hz_loan_lap*G559,0)*CC559*in_loan_lap_ticket*in_loan_lap_comm</f>
        <v/>
      </c>
      <c r="CE559" s="14">
        <f>AA559+AB559+AC559+AD559+AG559+AJ559+AM559+AP559+AS559+AU559+AX559+BB559+BE559+BG559+BJ559+BL559+BO559+BR559+BT559+BV559+BX559+CA559+CD559</f>
        <v/>
      </c>
    </row>
    <row r="560">
      <c r="A560" s="39" t="n">
        <v>11</v>
      </c>
      <c r="B560" s="39" t="n">
        <v>4</v>
      </c>
      <c r="C560" s="39">
        <f>A560+B560-1</f>
        <v/>
      </c>
      <c r="D560" s="39">
        <f>INT((C560-1)/12)+1</f>
        <v/>
      </c>
      <c r="E560" s="44">
        <f>INDEX(Monthly!$B$2:$B$61,A560)</f>
        <v/>
      </c>
      <c r="F560" s="44">
        <f>E560*INDEX('Age profile'!$B$2:$B$61,B560)</f>
        <v/>
      </c>
      <c r="G560" s="45">
        <f>MIN(in_takeup_cap,INDEX('Age profile'!$N$2:$N$61,B560)*(1+in_takeup_growth)^(D560-1))</f>
        <v/>
      </c>
      <c r="H560" s="11">
        <f>MIN(in_approval_cap,in_approved_first*INDEX('Age profile'!$O$2:$O$61,B560)*(1+in_approval_growth)^(D560-1))</f>
        <v/>
      </c>
      <c r="I560" s="45">
        <f>G560*MIN(in_takeup_cap,INDEX('Age profile'!$O$2:$O$61,B560)*(1+in_approval_growth)^(D560-1))</f>
        <v/>
      </c>
      <c r="J560" s="40">
        <f>(J559-L559)*F560/F559</f>
        <v/>
      </c>
      <c r="K560" s="40">
        <f>(K559-M559)*F560/F559+SUMIFS(O557:O559,B557:B559,B560-1-d_T)*F560</f>
        <v/>
      </c>
      <c r="L560" s="40">
        <f>IF(B560&gt;=in_marketplace_from,J560*d_hz*G560*in_eligible*H560,0)</f>
        <v/>
      </c>
      <c r="M560" s="40">
        <f>IF(B560&gt;=in_marketplace_from,K560*d_hz*G560*in_eligible*in_approved_repeat,0)</f>
        <v/>
      </c>
      <c r="N560" s="40">
        <f>L560+M560</f>
        <v/>
      </c>
      <c r="O560" s="46">
        <f>N560/F560</f>
        <v/>
      </c>
      <c r="P560" s="40">
        <f>F560-J560-K560</f>
        <v/>
      </c>
      <c r="Q560" s="40">
        <f>IF(B560&gt;=in_marketplace_from,(J560+K560)*d_hz*G560,0)</f>
        <v/>
      </c>
      <c r="R560" s="40">
        <f>SUMIFS(N557:N606,B557:B606,"&gt;="&amp;(B560-d_T),B557:B606,"&lt;="&amp;(B560-1))</f>
        <v/>
      </c>
      <c r="S560" s="46">
        <f>(1-d_u)*S559+IF(d_T&gt;in_topup_lag,SUMIFS(O557:O606,B557:B606,B560-in_topup_lag)-d_udrop*SUMIFS(O557:O606,B557:B606,B560-d_T),0)</f>
        <v/>
      </c>
      <c r="T560" s="40">
        <f>F560*d_u*S560</f>
        <v/>
      </c>
      <c r="U560" s="9">
        <f>L560*in_ticket+M560*d_rep_ticket</f>
        <v/>
      </c>
      <c r="V560" s="9">
        <f>U560+T560*d_topup_amt</f>
        <v/>
      </c>
      <c r="W560" s="40">
        <f>N560+T560*d_topup_ratio</f>
        <v/>
      </c>
      <c r="X560" s="40">
        <f>SUMIFS(W557:W606,B557:B606,B560-in_dpd_lag)*d_cured</f>
        <v/>
      </c>
      <c r="Y560" s="40">
        <f>SUMIFS(W557:W606,B557:B606,B560-in_rec_lag)*d_recd</f>
        <v/>
      </c>
      <c r="Z560" s="40">
        <f>IF(AND(B560&gt;=in_marketplace_from,B560&lt;in_marketplace_from+in_card_months),in_card_share/in_card_months*F560*I560,IF(AND(B560&gt;=in_marketplace_from+in_card_months,B560&lt;in_marketplace_from+2*in_card_months),in_card_share*d_card_rem/in_card_months*F560*MIN(in_takeup_cap,(1+in_takeup_growth)^(D560-1))*MIN(in_takeup_cap,(1+in_approval_growth)^(D560-1)),0))</f>
        <v/>
      </c>
      <c r="AA560" s="14">
        <f>V560*in_fee*(1-in_taken_back)</f>
        <v/>
      </c>
      <c r="AB560" s="14">
        <f>SUMIFS(W557:W606,B557:B606,B560-in_dpd_lag)*d_dpd</f>
        <v/>
      </c>
      <c r="AC560" s="14">
        <f>SUMIFS(W557:W606,B557:B606,B560-in_rec_lag)*d_rec</f>
        <v/>
      </c>
      <c r="AD560" s="14">
        <f>Z560*in_card_fee</f>
        <v/>
      </c>
      <c r="AE560" s="40">
        <f>AE559*(1-IF(B559&gt;=in_marketplace_from,d_hz_hlth_small*G559,0))</f>
        <v/>
      </c>
      <c r="AF560" s="46">
        <f>AE560*IF(B560&gt;=in_marketplace_from,d_hz_hlth_small*G560,0)</f>
        <v/>
      </c>
      <c r="AG560" s="14">
        <f>F560*AF560*in_hlth_small_ticket*in_hlth_small_comm*in_ins_partner_share+F560*in_hlth_small_ticket*in_hlth_small_renew_comm*in_ins_partner_share*(in_hlth_small_renew^1*SUMIFS(AF557:AF606,B557:B606,B560-12)+in_hlth_small_renew^2*SUMIFS(AF557:AF606,B557:B606,B560-24)+in_hlth_small_renew^3*SUMIFS(AF557:AF606,B557:B606,B560-36)+in_hlth_small_renew^4*SUMIFS(AF557:AF606,B557:B606,B560-48))</f>
        <v/>
      </c>
      <c r="AH560" s="40">
        <f>AH559*(1-IF(B559&gt;=in_marketplace_from,d_hz_hlth_family*G559,0))</f>
        <v/>
      </c>
      <c r="AI560" s="46">
        <f>AH560*IF(B560&gt;=in_marketplace_from,d_hz_hlth_family*G560,0)</f>
        <v/>
      </c>
      <c r="AJ560" s="14">
        <f>F560*AI560*in_hlth_family_ticket*in_hlth_family_comm*in_ins_partner_share+F560*in_hlth_family_ticket*in_hlth_family_renew_comm*in_ins_partner_share*(in_hlth_family_renew^1*SUMIFS(AI557:AI606,B557:B606,B560-12)+in_hlth_family_renew^2*SUMIFS(AI557:AI606,B557:B606,B560-24)+in_hlth_family_renew^3*SUMIFS(AI557:AI606,B557:B606,B560-36)+in_hlth_family_renew^4*SUMIFS(AI557:AI606,B557:B606,B560-48))</f>
        <v/>
      </c>
      <c r="AK560" s="40">
        <f>AK559*(1-IF(B559&gt;=in_marketplace_from,d_hz_life_term*G559,0))</f>
        <v/>
      </c>
      <c r="AL560" s="46">
        <f>AK560*IF(B560&gt;=in_marketplace_from,d_hz_life_term*G560,0)</f>
        <v/>
      </c>
      <c r="AM560" s="14">
        <f>F560*AL560*in_life_term_ticket*in_life_term_comm*in_ins_partner_share+F560*in_life_term_ticket*in_life_term_renew_comm*in_ins_partner_share*(in_life_term_renew^1*SUMIFS(AL557:AL606,B557:B606,B560-12)+in_life_term_renew^2*SUMIFS(AL557:AL606,B557:B606,B560-24)+in_life_term_renew^3*SUMIFS(AL557:AL606,B557:B606,B560-36)+in_life_term_renew^4*SUMIFS(AL557:AL606,B557:B606,B560-48))</f>
        <v/>
      </c>
      <c r="AN560" s="40">
        <f>AN559*(1-IF(B559&gt;=in_marketplace_from,d_hz_accident*G559,0))</f>
        <v/>
      </c>
      <c r="AO560" s="46">
        <f>AN560*IF(B560&gt;=in_marketplace_from,d_hz_accident*G560,0)</f>
        <v/>
      </c>
      <c r="AP560" s="14">
        <f>F560*AO560*in_accident_ticket*in_accident_comm*in_ins_partner_share+F560*in_accident_ticket*in_accident_renew_comm*in_ins_partner_share*(in_accident_renew^1*SUMIFS(AO557:AO606,B557:B606,B560-12)+in_accident_renew^2*SUMIFS(AO557:AO606,B557:B606,B560-24)+in_accident_renew^3*SUMIFS(AO557:AO606,B557:B606,B560-36)+in_accident_renew^4*SUMIFS(AO557:AO606,B557:B606,B560-48))</f>
        <v/>
      </c>
      <c r="AQ560" s="40">
        <f>AQ559*(1-IF(B559&gt;=in_marketplace_from,d_hz_two_wheeler*G559,0))</f>
        <v/>
      </c>
      <c r="AR560" s="46">
        <f>AQ560*IF(B560&gt;=in_marketplace_from,d_hz_two_wheeler*G560,0)</f>
        <v/>
      </c>
      <c r="AS560" s="14">
        <f>F560*AR560*in_two_wheeler_ticket*in_two_wheeler_comm*in_ins_partner_share+F560*in_two_wheeler_ticket*in_two_wheeler_comm*in_ins_partner_share*(in_two_wheeler_renew^1*SUMIFS(AR557:AR606,B557:B606,B560-12)+in_two_wheeler_renew^2*SUMIFS(AR557:AR606,B557:B606,B560-24)+in_two_wheeler_renew^3*SUMIFS(AR557:AR606,B557:B606,B560-36)+in_two_wheeler_renew^4*SUMIFS(AR557:AR606,B557:B606,B560-48))</f>
        <v/>
      </c>
      <c r="AT560" s="40">
        <f>AT559*(1-IF(B559&gt;=in_marketplace_from,d_hz_device*G559,0))</f>
        <v/>
      </c>
      <c r="AU560" s="14">
        <f>F560*AT560*IF(B560&gt;=in_marketplace_from,d_hz_device*G560,0)*in_device_ticket*in_device_comm*in_ins_partner_share</f>
        <v/>
      </c>
      <c r="AV560" s="40">
        <f>AV559*(1-IF(B559&gt;=in_marketplace_from,d_hz_shop*G559,0))</f>
        <v/>
      </c>
      <c r="AW560" s="46">
        <f>AV560*IF(B560&gt;=in_marketplace_from,d_hz_shop*G560,0)</f>
        <v/>
      </c>
      <c r="AX560" s="14">
        <f>F560*AW560*in_shop_ticket*in_shop_comm*in_ins_partner_share+F560*in_shop_ticket*in_shop_renew_comm*in_ins_partner_share*(in_shop_renew^1*SUMIFS(AW557:AW606,B557:B606,B560-12)+in_shop_renew^2*SUMIFS(AW557:AW606,B557:B606,B560-24)+in_shop_renew^3*SUMIFS(AW557:AW606,B557:B606,B560-36)+in_shop_renew^4*SUMIFS(AW557:AW606,B557:B606,B560-48))</f>
        <v/>
      </c>
      <c r="AY560" s="40">
        <f>AY559*(1-IF(B559&gt;=in_marketplace_from,d_hz_sip*G559,0))</f>
        <v/>
      </c>
      <c r="AZ560" s="40">
        <f>AZ559*d_rho_sip+AY560*IF(B560&gt;=in_marketplace_from,d_hz_sip*G560,0)</f>
        <v/>
      </c>
      <c r="BA560" s="40">
        <f>d_rho_sip*(BA559+AZ559)</f>
        <v/>
      </c>
      <c r="BB560" s="14">
        <f>F560*in_sip_ticket*(BA560+0.5*AZ560)*in_sip_comm/12</f>
        <v/>
      </c>
      <c r="BC560" s="40">
        <f>BC559*(1-IF(B559&gt;=in_marketplace_from,d_hz_choti*G559,0))</f>
        <v/>
      </c>
      <c r="BD560" s="46">
        <f>BC560*IF(B560&gt;=in_marketplace_from,d_hz_choti*G560,0)</f>
        <v/>
      </c>
      <c r="BE560" s="14">
        <f>F560*SUMIFS(BD557:BD606,B557:B606,B560-in_choti_months)*in_choti_renew*in_choti_ticket</f>
        <v/>
      </c>
      <c r="BF560" s="40">
        <f>BF559*(1-IF(B559&gt;=in_marketplace_from,d_hz_nps*G559,0))</f>
        <v/>
      </c>
      <c r="BG560" s="14">
        <f>F560*BF560*IF(B560&gt;=in_marketplace_from,d_hz_nps*G560,0)*in_nps_ticket*in_nps_comm</f>
        <v/>
      </c>
      <c r="BH560" s="40">
        <f>BH559*(1-IF(B559&gt;=in_marketplace_from,d_hz_gold*G559,0))</f>
        <v/>
      </c>
      <c r="BI560" s="40">
        <f>BI559*d_rho_gold+BH560*IF(B560&gt;=in_marketplace_from,d_hz_gold*G560,0)</f>
        <v/>
      </c>
      <c r="BJ560" s="14">
        <f>F560*BI560*in_gold_ticket*in_gold_comm</f>
        <v/>
      </c>
      <c r="BK560" s="40">
        <f>BK559*(1-IF(B559&gt;=in_marketplace_from,d_hz_fd*G559,0))</f>
        <v/>
      </c>
      <c r="BL560" s="14">
        <f>F560*BK560*IF(B560&gt;=in_marketplace_from,d_hz_fd*G560,0)*in_fd_ticket*in_fd_comm</f>
        <v/>
      </c>
      <c r="BM560" s="40">
        <f>BM559*(1-IF(B559&gt;=in_marketplace_from,d_hz_recharge*G559,0))</f>
        <v/>
      </c>
      <c r="BN560" s="40">
        <f>BN559*d_rho_recharge+BM560*IF(B560&gt;=in_marketplace_from,d_hz_recharge*G560,0)</f>
        <v/>
      </c>
      <c r="BO560" s="14">
        <f>F560*BN560*in_recharge_ticket*in_recharge_comm/12</f>
        <v/>
      </c>
      <c r="BP560" s="40">
        <f>BP559*(1-IF(B559&gt;=in_marketplace_from,d_hz_bills*G559,0))</f>
        <v/>
      </c>
      <c r="BQ560" s="40">
        <f>BQ559*d_rho_bills+BP560*IF(B560&gt;=in_marketplace_from,d_hz_bills*G560,0)</f>
        <v/>
      </c>
      <c r="BR560" s="14">
        <f>F560*BQ560*in_bills_ticket*in_bills_comm/12</f>
        <v/>
      </c>
      <c r="BS560" s="40">
        <f>BS559*(1-IF(B559&gt;=in_marketplace_from,d_hz_loan_gold*G559,0))</f>
        <v/>
      </c>
      <c r="BT560" s="14">
        <f>F560*BS560*IF(B560&gt;=in_marketplace_from,d_hz_loan_gold*G560,0)*in_loan_gold_ticket*in_loan_gold_comm</f>
        <v/>
      </c>
      <c r="BU560" s="40">
        <f>BU559*(1-IF(B559&gt;=in_marketplace_from,d_hz_loan_cd*G559,0))</f>
        <v/>
      </c>
      <c r="BV560" s="14">
        <f>F560*BU560*IF(B560&gt;=in_marketplace_from,d_hz_loan_cd*G560,0)*in_loan_cd_ticket*in_loan_cd_comm</f>
        <v/>
      </c>
      <c r="BW560" s="40">
        <f>BW559*(1-IF(B559&gt;=in_marketplace_from,d_hz_loan_vehicle*G559,0))</f>
        <v/>
      </c>
      <c r="BX560" s="14">
        <f>F560*BW560*IF(B560&gt;=in_marketplace_from,d_hz_loan_vehicle*G560,0)*in_loan_vehicle_ticket*in_loan_vehicle_comm</f>
        <v/>
      </c>
      <c r="BY560" s="40">
        <f>BY559*(1-IF(B559&gt;=in_marketplace_from,d_hz_loan_home*G559,0)*BZ559)</f>
        <v/>
      </c>
      <c r="BZ560" s="11">
        <f>MIN(in_approval_cap,in_loan_home_approval*INDEX('Age profile'!$O$2:$O$61,B560)*(1+in_approval_growth)^(D560-1))</f>
        <v/>
      </c>
      <c r="CA560" s="14">
        <f>F560*BY560*IF(B560&gt;=in_marketplace_from,d_hz_loan_home*G560,0)*BZ560*in_loan_home_ticket*in_loan_home_comm</f>
        <v/>
      </c>
      <c r="CB560" s="40">
        <f>CB559*(1-IF(B559&gt;=in_marketplace_from,d_hz_loan_lap*G559,0)*CC559)</f>
        <v/>
      </c>
      <c r="CC560" s="11">
        <f>MIN(in_approval_cap,in_loan_lap_approval*INDEX('Age profile'!$O$2:$O$61,B560)*(1+in_approval_growth)^(D560-1))</f>
        <v/>
      </c>
      <c r="CD560" s="14">
        <f>F560*CB560*IF(B560&gt;=in_marketplace_from,d_hz_loan_lap*G560,0)*CC560*in_loan_lap_ticket*in_loan_lap_comm</f>
        <v/>
      </c>
      <c r="CE560" s="14">
        <f>AA560+AB560+AC560+AD560+AG560+AJ560+AM560+AP560+AS560+AU560+AX560+BB560+BE560+BG560+BJ560+BL560+BO560+BR560+BT560+BV560+BX560+CA560+CD560</f>
        <v/>
      </c>
    </row>
    <row r="561">
      <c r="A561" s="39" t="n">
        <v>11</v>
      </c>
      <c r="B561" s="39" t="n">
        <v>5</v>
      </c>
      <c r="C561" s="39">
        <f>A561+B561-1</f>
        <v/>
      </c>
      <c r="D561" s="39">
        <f>INT((C561-1)/12)+1</f>
        <v/>
      </c>
      <c r="E561" s="44">
        <f>INDEX(Monthly!$B$2:$B$61,A561)</f>
        <v/>
      </c>
      <c r="F561" s="44">
        <f>E561*INDEX('Age profile'!$B$2:$B$61,B561)</f>
        <v/>
      </c>
      <c r="G561" s="45">
        <f>MIN(in_takeup_cap,INDEX('Age profile'!$N$2:$N$61,B561)*(1+in_takeup_growth)^(D561-1))</f>
        <v/>
      </c>
      <c r="H561" s="11">
        <f>MIN(in_approval_cap,in_approved_first*INDEX('Age profile'!$O$2:$O$61,B561)*(1+in_approval_growth)^(D561-1))</f>
        <v/>
      </c>
      <c r="I561" s="45">
        <f>G561*MIN(in_takeup_cap,INDEX('Age profile'!$O$2:$O$61,B561)*(1+in_approval_growth)^(D561-1))</f>
        <v/>
      </c>
      <c r="J561" s="40">
        <f>(J560-L560)*F561/F560</f>
        <v/>
      </c>
      <c r="K561" s="40">
        <f>(K560-M560)*F561/F560+SUMIFS(O557:O560,B557:B560,B561-1-d_T)*F561</f>
        <v/>
      </c>
      <c r="L561" s="40">
        <f>IF(B561&gt;=in_marketplace_from,J561*d_hz*G561*in_eligible*H561,0)</f>
        <v/>
      </c>
      <c r="M561" s="40">
        <f>IF(B561&gt;=in_marketplace_from,K561*d_hz*G561*in_eligible*in_approved_repeat,0)</f>
        <v/>
      </c>
      <c r="N561" s="40">
        <f>L561+M561</f>
        <v/>
      </c>
      <c r="O561" s="46">
        <f>N561/F561</f>
        <v/>
      </c>
      <c r="P561" s="40">
        <f>F561-J561-K561</f>
        <v/>
      </c>
      <c r="Q561" s="40">
        <f>IF(B561&gt;=in_marketplace_from,(J561+K561)*d_hz*G561,0)</f>
        <v/>
      </c>
      <c r="R561" s="40">
        <f>SUMIFS(N557:N606,B557:B606,"&gt;="&amp;(B561-d_T),B557:B606,"&lt;="&amp;(B561-1))</f>
        <v/>
      </c>
      <c r="S561" s="46">
        <f>(1-d_u)*S560+IF(d_T&gt;in_topup_lag,SUMIFS(O557:O606,B557:B606,B561-in_topup_lag)-d_udrop*SUMIFS(O557:O606,B557:B606,B561-d_T),0)</f>
        <v/>
      </c>
      <c r="T561" s="40">
        <f>F561*d_u*S561</f>
        <v/>
      </c>
      <c r="U561" s="9">
        <f>L561*in_ticket+M561*d_rep_ticket</f>
        <v/>
      </c>
      <c r="V561" s="9">
        <f>U561+T561*d_topup_amt</f>
        <v/>
      </c>
      <c r="W561" s="40">
        <f>N561+T561*d_topup_ratio</f>
        <v/>
      </c>
      <c r="X561" s="40">
        <f>SUMIFS(W557:W606,B557:B606,B561-in_dpd_lag)*d_cured</f>
        <v/>
      </c>
      <c r="Y561" s="40">
        <f>SUMIFS(W557:W606,B557:B606,B561-in_rec_lag)*d_recd</f>
        <v/>
      </c>
      <c r="Z561" s="40">
        <f>IF(AND(B561&gt;=in_marketplace_from,B561&lt;in_marketplace_from+in_card_months),in_card_share/in_card_months*F561*I561,IF(AND(B561&gt;=in_marketplace_from+in_card_months,B561&lt;in_marketplace_from+2*in_card_months),in_card_share*d_card_rem/in_card_months*F561*MIN(in_takeup_cap,(1+in_takeup_growth)^(D561-1))*MIN(in_takeup_cap,(1+in_approval_growth)^(D561-1)),0))</f>
        <v/>
      </c>
      <c r="AA561" s="14">
        <f>V561*in_fee*(1-in_taken_back)</f>
        <v/>
      </c>
      <c r="AB561" s="14">
        <f>SUMIFS(W557:W606,B557:B606,B561-in_dpd_lag)*d_dpd</f>
        <v/>
      </c>
      <c r="AC561" s="14">
        <f>SUMIFS(W557:W606,B557:B606,B561-in_rec_lag)*d_rec</f>
        <v/>
      </c>
      <c r="AD561" s="14">
        <f>Z561*in_card_fee</f>
        <v/>
      </c>
      <c r="AE561" s="40">
        <f>AE560*(1-IF(B560&gt;=in_marketplace_from,d_hz_hlth_small*G560,0))</f>
        <v/>
      </c>
      <c r="AF561" s="46">
        <f>AE561*IF(B561&gt;=in_marketplace_from,d_hz_hlth_small*G561,0)</f>
        <v/>
      </c>
      <c r="AG561" s="14">
        <f>F561*AF561*in_hlth_small_ticket*in_hlth_small_comm*in_ins_partner_share+F561*in_hlth_small_ticket*in_hlth_small_renew_comm*in_ins_partner_share*(in_hlth_small_renew^1*SUMIFS(AF557:AF606,B557:B606,B561-12)+in_hlth_small_renew^2*SUMIFS(AF557:AF606,B557:B606,B561-24)+in_hlth_small_renew^3*SUMIFS(AF557:AF606,B557:B606,B561-36)+in_hlth_small_renew^4*SUMIFS(AF557:AF606,B557:B606,B561-48))</f>
        <v/>
      </c>
      <c r="AH561" s="40">
        <f>AH560*(1-IF(B560&gt;=in_marketplace_from,d_hz_hlth_family*G560,0))</f>
        <v/>
      </c>
      <c r="AI561" s="46">
        <f>AH561*IF(B561&gt;=in_marketplace_from,d_hz_hlth_family*G561,0)</f>
        <v/>
      </c>
      <c r="AJ561" s="14">
        <f>F561*AI561*in_hlth_family_ticket*in_hlth_family_comm*in_ins_partner_share+F561*in_hlth_family_ticket*in_hlth_family_renew_comm*in_ins_partner_share*(in_hlth_family_renew^1*SUMIFS(AI557:AI606,B557:B606,B561-12)+in_hlth_family_renew^2*SUMIFS(AI557:AI606,B557:B606,B561-24)+in_hlth_family_renew^3*SUMIFS(AI557:AI606,B557:B606,B561-36)+in_hlth_family_renew^4*SUMIFS(AI557:AI606,B557:B606,B561-48))</f>
        <v/>
      </c>
      <c r="AK561" s="40">
        <f>AK560*(1-IF(B560&gt;=in_marketplace_from,d_hz_life_term*G560,0))</f>
        <v/>
      </c>
      <c r="AL561" s="46">
        <f>AK561*IF(B561&gt;=in_marketplace_from,d_hz_life_term*G561,0)</f>
        <v/>
      </c>
      <c r="AM561" s="14">
        <f>F561*AL561*in_life_term_ticket*in_life_term_comm*in_ins_partner_share+F561*in_life_term_ticket*in_life_term_renew_comm*in_ins_partner_share*(in_life_term_renew^1*SUMIFS(AL557:AL606,B557:B606,B561-12)+in_life_term_renew^2*SUMIFS(AL557:AL606,B557:B606,B561-24)+in_life_term_renew^3*SUMIFS(AL557:AL606,B557:B606,B561-36)+in_life_term_renew^4*SUMIFS(AL557:AL606,B557:B606,B561-48))</f>
        <v/>
      </c>
      <c r="AN561" s="40">
        <f>AN560*(1-IF(B560&gt;=in_marketplace_from,d_hz_accident*G560,0))</f>
        <v/>
      </c>
      <c r="AO561" s="46">
        <f>AN561*IF(B561&gt;=in_marketplace_from,d_hz_accident*G561,0)</f>
        <v/>
      </c>
      <c r="AP561" s="14">
        <f>F561*AO561*in_accident_ticket*in_accident_comm*in_ins_partner_share+F561*in_accident_ticket*in_accident_renew_comm*in_ins_partner_share*(in_accident_renew^1*SUMIFS(AO557:AO606,B557:B606,B561-12)+in_accident_renew^2*SUMIFS(AO557:AO606,B557:B606,B561-24)+in_accident_renew^3*SUMIFS(AO557:AO606,B557:B606,B561-36)+in_accident_renew^4*SUMIFS(AO557:AO606,B557:B606,B561-48))</f>
        <v/>
      </c>
      <c r="AQ561" s="40">
        <f>AQ560*(1-IF(B560&gt;=in_marketplace_from,d_hz_two_wheeler*G560,0))</f>
        <v/>
      </c>
      <c r="AR561" s="46">
        <f>AQ561*IF(B561&gt;=in_marketplace_from,d_hz_two_wheeler*G561,0)</f>
        <v/>
      </c>
      <c r="AS561" s="14">
        <f>F561*AR561*in_two_wheeler_ticket*in_two_wheeler_comm*in_ins_partner_share+F561*in_two_wheeler_ticket*in_two_wheeler_comm*in_ins_partner_share*(in_two_wheeler_renew^1*SUMIFS(AR557:AR606,B557:B606,B561-12)+in_two_wheeler_renew^2*SUMIFS(AR557:AR606,B557:B606,B561-24)+in_two_wheeler_renew^3*SUMIFS(AR557:AR606,B557:B606,B561-36)+in_two_wheeler_renew^4*SUMIFS(AR557:AR606,B557:B606,B561-48))</f>
        <v/>
      </c>
      <c r="AT561" s="40">
        <f>AT560*(1-IF(B560&gt;=in_marketplace_from,d_hz_device*G560,0))</f>
        <v/>
      </c>
      <c r="AU561" s="14">
        <f>F561*AT561*IF(B561&gt;=in_marketplace_from,d_hz_device*G561,0)*in_device_ticket*in_device_comm*in_ins_partner_share</f>
        <v/>
      </c>
      <c r="AV561" s="40">
        <f>AV560*(1-IF(B560&gt;=in_marketplace_from,d_hz_shop*G560,0))</f>
        <v/>
      </c>
      <c r="AW561" s="46">
        <f>AV561*IF(B561&gt;=in_marketplace_from,d_hz_shop*G561,0)</f>
        <v/>
      </c>
      <c r="AX561" s="14">
        <f>F561*AW561*in_shop_ticket*in_shop_comm*in_ins_partner_share+F561*in_shop_ticket*in_shop_renew_comm*in_ins_partner_share*(in_shop_renew^1*SUMIFS(AW557:AW606,B557:B606,B561-12)+in_shop_renew^2*SUMIFS(AW557:AW606,B557:B606,B561-24)+in_shop_renew^3*SUMIFS(AW557:AW606,B557:B606,B561-36)+in_shop_renew^4*SUMIFS(AW557:AW606,B557:B606,B561-48))</f>
        <v/>
      </c>
      <c r="AY561" s="40">
        <f>AY560*(1-IF(B560&gt;=in_marketplace_from,d_hz_sip*G560,0))</f>
        <v/>
      </c>
      <c r="AZ561" s="40">
        <f>AZ560*d_rho_sip+AY561*IF(B561&gt;=in_marketplace_from,d_hz_sip*G561,0)</f>
        <v/>
      </c>
      <c r="BA561" s="40">
        <f>d_rho_sip*(BA560+AZ560)</f>
        <v/>
      </c>
      <c r="BB561" s="14">
        <f>F561*in_sip_ticket*(BA561+0.5*AZ561)*in_sip_comm/12</f>
        <v/>
      </c>
      <c r="BC561" s="40">
        <f>BC560*(1-IF(B560&gt;=in_marketplace_from,d_hz_choti*G560,0))</f>
        <v/>
      </c>
      <c r="BD561" s="46">
        <f>BC561*IF(B561&gt;=in_marketplace_from,d_hz_choti*G561,0)</f>
        <v/>
      </c>
      <c r="BE561" s="14">
        <f>F561*SUMIFS(BD557:BD606,B557:B606,B561-in_choti_months)*in_choti_renew*in_choti_ticket</f>
        <v/>
      </c>
      <c r="BF561" s="40">
        <f>BF560*(1-IF(B560&gt;=in_marketplace_from,d_hz_nps*G560,0))</f>
        <v/>
      </c>
      <c r="BG561" s="14">
        <f>F561*BF561*IF(B561&gt;=in_marketplace_from,d_hz_nps*G561,0)*in_nps_ticket*in_nps_comm</f>
        <v/>
      </c>
      <c r="BH561" s="40">
        <f>BH560*(1-IF(B560&gt;=in_marketplace_from,d_hz_gold*G560,0))</f>
        <v/>
      </c>
      <c r="BI561" s="40">
        <f>BI560*d_rho_gold+BH561*IF(B561&gt;=in_marketplace_from,d_hz_gold*G561,0)</f>
        <v/>
      </c>
      <c r="BJ561" s="14">
        <f>F561*BI561*in_gold_ticket*in_gold_comm</f>
        <v/>
      </c>
      <c r="BK561" s="40">
        <f>BK560*(1-IF(B560&gt;=in_marketplace_from,d_hz_fd*G560,0))</f>
        <v/>
      </c>
      <c r="BL561" s="14">
        <f>F561*BK561*IF(B561&gt;=in_marketplace_from,d_hz_fd*G561,0)*in_fd_ticket*in_fd_comm</f>
        <v/>
      </c>
      <c r="BM561" s="40">
        <f>BM560*(1-IF(B560&gt;=in_marketplace_from,d_hz_recharge*G560,0))</f>
        <v/>
      </c>
      <c r="BN561" s="40">
        <f>BN560*d_rho_recharge+BM561*IF(B561&gt;=in_marketplace_from,d_hz_recharge*G561,0)</f>
        <v/>
      </c>
      <c r="BO561" s="14">
        <f>F561*BN561*in_recharge_ticket*in_recharge_comm/12</f>
        <v/>
      </c>
      <c r="BP561" s="40">
        <f>BP560*(1-IF(B560&gt;=in_marketplace_from,d_hz_bills*G560,0))</f>
        <v/>
      </c>
      <c r="BQ561" s="40">
        <f>BQ560*d_rho_bills+BP561*IF(B561&gt;=in_marketplace_from,d_hz_bills*G561,0)</f>
        <v/>
      </c>
      <c r="BR561" s="14">
        <f>F561*BQ561*in_bills_ticket*in_bills_comm/12</f>
        <v/>
      </c>
      <c r="BS561" s="40">
        <f>BS560*(1-IF(B560&gt;=in_marketplace_from,d_hz_loan_gold*G560,0))</f>
        <v/>
      </c>
      <c r="BT561" s="14">
        <f>F561*BS561*IF(B561&gt;=in_marketplace_from,d_hz_loan_gold*G561,0)*in_loan_gold_ticket*in_loan_gold_comm</f>
        <v/>
      </c>
      <c r="BU561" s="40">
        <f>BU560*(1-IF(B560&gt;=in_marketplace_from,d_hz_loan_cd*G560,0))</f>
        <v/>
      </c>
      <c r="BV561" s="14">
        <f>F561*BU561*IF(B561&gt;=in_marketplace_from,d_hz_loan_cd*G561,0)*in_loan_cd_ticket*in_loan_cd_comm</f>
        <v/>
      </c>
      <c r="BW561" s="40">
        <f>BW560*(1-IF(B560&gt;=in_marketplace_from,d_hz_loan_vehicle*G560,0))</f>
        <v/>
      </c>
      <c r="BX561" s="14">
        <f>F561*BW561*IF(B561&gt;=in_marketplace_from,d_hz_loan_vehicle*G561,0)*in_loan_vehicle_ticket*in_loan_vehicle_comm</f>
        <v/>
      </c>
      <c r="BY561" s="40">
        <f>BY560*(1-IF(B560&gt;=in_marketplace_from,d_hz_loan_home*G560,0)*BZ560)</f>
        <v/>
      </c>
      <c r="BZ561" s="11">
        <f>MIN(in_approval_cap,in_loan_home_approval*INDEX('Age profile'!$O$2:$O$61,B561)*(1+in_approval_growth)^(D561-1))</f>
        <v/>
      </c>
      <c r="CA561" s="14">
        <f>F561*BY561*IF(B561&gt;=in_marketplace_from,d_hz_loan_home*G561,0)*BZ561*in_loan_home_ticket*in_loan_home_comm</f>
        <v/>
      </c>
      <c r="CB561" s="40">
        <f>CB560*(1-IF(B560&gt;=in_marketplace_from,d_hz_loan_lap*G560,0)*CC560)</f>
        <v/>
      </c>
      <c r="CC561" s="11">
        <f>MIN(in_approval_cap,in_loan_lap_approval*INDEX('Age profile'!$O$2:$O$61,B561)*(1+in_approval_growth)^(D561-1))</f>
        <v/>
      </c>
      <c r="CD561" s="14">
        <f>F561*CB561*IF(B561&gt;=in_marketplace_from,d_hz_loan_lap*G561,0)*CC561*in_loan_lap_ticket*in_loan_lap_comm</f>
        <v/>
      </c>
      <c r="CE561" s="14">
        <f>AA561+AB561+AC561+AD561+AG561+AJ561+AM561+AP561+AS561+AU561+AX561+BB561+BE561+BG561+BJ561+BL561+BO561+BR561+BT561+BV561+BX561+CA561+CD561</f>
        <v/>
      </c>
    </row>
    <row r="562">
      <c r="A562" s="39" t="n">
        <v>11</v>
      </c>
      <c r="B562" s="39" t="n">
        <v>6</v>
      </c>
      <c r="C562" s="39">
        <f>A562+B562-1</f>
        <v/>
      </c>
      <c r="D562" s="39">
        <f>INT((C562-1)/12)+1</f>
        <v/>
      </c>
      <c r="E562" s="44">
        <f>INDEX(Monthly!$B$2:$B$61,A562)</f>
        <v/>
      </c>
      <c r="F562" s="44">
        <f>E562*INDEX('Age profile'!$B$2:$B$61,B562)</f>
        <v/>
      </c>
      <c r="G562" s="45">
        <f>MIN(in_takeup_cap,INDEX('Age profile'!$N$2:$N$61,B562)*(1+in_takeup_growth)^(D562-1))</f>
        <v/>
      </c>
      <c r="H562" s="11">
        <f>MIN(in_approval_cap,in_approved_first*INDEX('Age profile'!$O$2:$O$61,B562)*(1+in_approval_growth)^(D562-1))</f>
        <v/>
      </c>
      <c r="I562" s="45">
        <f>G562*MIN(in_takeup_cap,INDEX('Age profile'!$O$2:$O$61,B562)*(1+in_approval_growth)^(D562-1))</f>
        <v/>
      </c>
      <c r="J562" s="40">
        <f>(J561-L561)*F562/F561</f>
        <v/>
      </c>
      <c r="K562" s="40">
        <f>(K561-M561)*F562/F561+SUMIFS(O557:O561,B557:B561,B562-1-d_T)*F562</f>
        <v/>
      </c>
      <c r="L562" s="40">
        <f>IF(B562&gt;=in_marketplace_from,J562*d_hz*G562*in_eligible*H562,0)</f>
        <v/>
      </c>
      <c r="M562" s="40">
        <f>IF(B562&gt;=in_marketplace_from,K562*d_hz*G562*in_eligible*in_approved_repeat,0)</f>
        <v/>
      </c>
      <c r="N562" s="40">
        <f>L562+M562</f>
        <v/>
      </c>
      <c r="O562" s="46">
        <f>N562/F562</f>
        <v/>
      </c>
      <c r="P562" s="40">
        <f>F562-J562-K562</f>
        <v/>
      </c>
      <c r="Q562" s="40">
        <f>IF(B562&gt;=in_marketplace_from,(J562+K562)*d_hz*G562,0)</f>
        <v/>
      </c>
      <c r="R562" s="40">
        <f>SUMIFS(N557:N606,B557:B606,"&gt;="&amp;(B562-d_T),B557:B606,"&lt;="&amp;(B562-1))</f>
        <v/>
      </c>
      <c r="S562" s="46">
        <f>(1-d_u)*S561+IF(d_T&gt;in_topup_lag,SUMIFS(O557:O606,B557:B606,B562-in_topup_lag)-d_udrop*SUMIFS(O557:O606,B557:B606,B562-d_T),0)</f>
        <v/>
      </c>
      <c r="T562" s="40">
        <f>F562*d_u*S562</f>
        <v/>
      </c>
      <c r="U562" s="9">
        <f>L562*in_ticket+M562*d_rep_ticket</f>
        <v/>
      </c>
      <c r="V562" s="9">
        <f>U562+T562*d_topup_amt</f>
        <v/>
      </c>
      <c r="W562" s="40">
        <f>N562+T562*d_topup_ratio</f>
        <v/>
      </c>
      <c r="X562" s="40">
        <f>SUMIFS(W557:W606,B557:B606,B562-in_dpd_lag)*d_cured</f>
        <v/>
      </c>
      <c r="Y562" s="40">
        <f>SUMIFS(W557:W606,B557:B606,B562-in_rec_lag)*d_recd</f>
        <v/>
      </c>
      <c r="Z562" s="40">
        <f>IF(AND(B562&gt;=in_marketplace_from,B562&lt;in_marketplace_from+in_card_months),in_card_share/in_card_months*F562*I562,IF(AND(B562&gt;=in_marketplace_from+in_card_months,B562&lt;in_marketplace_from+2*in_card_months),in_card_share*d_card_rem/in_card_months*F562*MIN(in_takeup_cap,(1+in_takeup_growth)^(D562-1))*MIN(in_takeup_cap,(1+in_approval_growth)^(D562-1)),0))</f>
        <v/>
      </c>
      <c r="AA562" s="14">
        <f>V562*in_fee*(1-in_taken_back)</f>
        <v/>
      </c>
      <c r="AB562" s="14">
        <f>SUMIFS(W557:W606,B557:B606,B562-in_dpd_lag)*d_dpd</f>
        <v/>
      </c>
      <c r="AC562" s="14">
        <f>SUMIFS(W557:W606,B557:B606,B562-in_rec_lag)*d_rec</f>
        <v/>
      </c>
      <c r="AD562" s="14">
        <f>Z562*in_card_fee</f>
        <v/>
      </c>
      <c r="AE562" s="40">
        <f>AE561*(1-IF(B561&gt;=in_marketplace_from,d_hz_hlth_small*G561,0))</f>
        <v/>
      </c>
      <c r="AF562" s="46">
        <f>AE562*IF(B562&gt;=in_marketplace_from,d_hz_hlth_small*G562,0)</f>
        <v/>
      </c>
      <c r="AG562" s="14">
        <f>F562*AF562*in_hlth_small_ticket*in_hlth_small_comm*in_ins_partner_share+F562*in_hlth_small_ticket*in_hlth_small_renew_comm*in_ins_partner_share*(in_hlth_small_renew^1*SUMIFS(AF557:AF606,B557:B606,B562-12)+in_hlth_small_renew^2*SUMIFS(AF557:AF606,B557:B606,B562-24)+in_hlth_small_renew^3*SUMIFS(AF557:AF606,B557:B606,B562-36)+in_hlth_small_renew^4*SUMIFS(AF557:AF606,B557:B606,B562-48))</f>
        <v/>
      </c>
      <c r="AH562" s="40">
        <f>AH561*(1-IF(B561&gt;=in_marketplace_from,d_hz_hlth_family*G561,0))</f>
        <v/>
      </c>
      <c r="AI562" s="46">
        <f>AH562*IF(B562&gt;=in_marketplace_from,d_hz_hlth_family*G562,0)</f>
        <v/>
      </c>
      <c r="AJ562" s="14">
        <f>F562*AI562*in_hlth_family_ticket*in_hlth_family_comm*in_ins_partner_share+F562*in_hlth_family_ticket*in_hlth_family_renew_comm*in_ins_partner_share*(in_hlth_family_renew^1*SUMIFS(AI557:AI606,B557:B606,B562-12)+in_hlth_family_renew^2*SUMIFS(AI557:AI606,B557:B606,B562-24)+in_hlth_family_renew^3*SUMIFS(AI557:AI606,B557:B606,B562-36)+in_hlth_family_renew^4*SUMIFS(AI557:AI606,B557:B606,B562-48))</f>
        <v/>
      </c>
      <c r="AK562" s="40">
        <f>AK561*(1-IF(B561&gt;=in_marketplace_from,d_hz_life_term*G561,0))</f>
        <v/>
      </c>
      <c r="AL562" s="46">
        <f>AK562*IF(B562&gt;=in_marketplace_from,d_hz_life_term*G562,0)</f>
        <v/>
      </c>
      <c r="AM562" s="14">
        <f>F562*AL562*in_life_term_ticket*in_life_term_comm*in_ins_partner_share+F562*in_life_term_ticket*in_life_term_renew_comm*in_ins_partner_share*(in_life_term_renew^1*SUMIFS(AL557:AL606,B557:B606,B562-12)+in_life_term_renew^2*SUMIFS(AL557:AL606,B557:B606,B562-24)+in_life_term_renew^3*SUMIFS(AL557:AL606,B557:B606,B562-36)+in_life_term_renew^4*SUMIFS(AL557:AL606,B557:B606,B562-48))</f>
        <v/>
      </c>
      <c r="AN562" s="40">
        <f>AN561*(1-IF(B561&gt;=in_marketplace_from,d_hz_accident*G561,0))</f>
        <v/>
      </c>
      <c r="AO562" s="46">
        <f>AN562*IF(B562&gt;=in_marketplace_from,d_hz_accident*G562,0)</f>
        <v/>
      </c>
      <c r="AP562" s="14">
        <f>F562*AO562*in_accident_ticket*in_accident_comm*in_ins_partner_share+F562*in_accident_ticket*in_accident_renew_comm*in_ins_partner_share*(in_accident_renew^1*SUMIFS(AO557:AO606,B557:B606,B562-12)+in_accident_renew^2*SUMIFS(AO557:AO606,B557:B606,B562-24)+in_accident_renew^3*SUMIFS(AO557:AO606,B557:B606,B562-36)+in_accident_renew^4*SUMIFS(AO557:AO606,B557:B606,B562-48))</f>
        <v/>
      </c>
      <c r="AQ562" s="40">
        <f>AQ561*(1-IF(B561&gt;=in_marketplace_from,d_hz_two_wheeler*G561,0))</f>
        <v/>
      </c>
      <c r="AR562" s="46">
        <f>AQ562*IF(B562&gt;=in_marketplace_from,d_hz_two_wheeler*G562,0)</f>
        <v/>
      </c>
      <c r="AS562" s="14">
        <f>F562*AR562*in_two_wheeler_ticket*in_two_wheeler_comm*in_ins_partner_share+F562*in_two_wheeler_ticket*in_two_wheeler_comm*in_ins_partner_share*(in_two_wheeler_renew^1*SUMIFS(AR557:AR606,B557:B606,B562-12)+in_two_wheeler_renew^2*SUMIFS(AR557:AR606,B557:B606,B562-24)+in_two_wheeler_renew^3*SUMIFS(AR557:AR606,B557:B606,B562-36)+in_two_wheeler_renew^4*SUMIFS(AR557:AR606,B557:B606,B562-48))</f>
        <v/>
      </c>
      <c r="AT562" s="40">
        <f>AT561*(1-IF(B561&gt;=in_marketplace_from,d_hz_device*G561,0))</f>
        <v/>
      </c>
      <c r="AU562" s="14">
        <f>F562*AT562*IF(B562&gt;=in_marketplace_from,d_hz_device*G562,0)*in_device_ticket*in_device_comm*in_ins_partner_share</f>
        <v/>
      </c>
      <c r="AV562" s="40">
        <f>AV561*(1-IF(B561&gt;=in_marketplace_from,d_hz_shop*G561,0))</f>
        <v/>
      </c>
      <c r="AW562" s="46">
        <f>AV562*IF(B562&gt;=in_marketplace_from,d_hz_shop*G562,0)</f>
        <v/>
      </c>
      <c r="AX562" s="14">
        <f>F562*AW562*in_shop_ticket*in_shop_comm*in_ins_partner_share+F562*in_shop_ticket*in_shop_renew_comm*in_ins_partner_share*(in_shop_renew^1*SUMIFS(AW557:AW606,B557:B606,B562-12)+in_shop_renew^2*SUMIFS(AW557:AW606,B557:B606,B562-24)+in_shop_renew^3*SUMIFS(AW557:AW606,B557:B606,B562-36)+in_shop_renew^4*SUMIFS(AW557:AW606,B557:B606,B562-48))</f>
        <v/>
      </c>
      <c r="AY562" s="40">
        <f>AY561*(1-IF(B561&gt;=in_marketplace_from,d_hz_sip*G561,0))</f>
        <v/>
      </c>
      <c r="AZ562" s="40">
        <f>AZ561*d_rho_sip+AY562*IF(B562&gt;=in_marketplace_from,d_hz_sip*G562,0)</f>
        <v/>
      </c>
      <c r="BA562" s="40">
        <f>d_rho_sip*(BA561+AZ561)</f>
        <v/>
      </c>
      <c r="BB562" s="14">
        <f>F562*in_sip_ticket*(BA562+0.5*AZ562)*in_sip_comm/12</f>
        <v/>
      </c>
      <c r="BC562" s="40">
        <f>BC561*(1-IF(B561&gt;=in_marketplace_from,d_hz_choti*G561,0))</f>
        <v/>
      </c>
      <c r="BD562" s="46">
        <f>BC562*IF(B562&gt;=in_marketplace_from,d_hz_choti*G562,0)</f>
        <v/>
      </c>
      <c r="BE562" s="14">
        <f>F562*SUMIFS(BD557:BD606,B557:B606,B562-in_choti_months)*in_choti_renew*in_choti_ticket</f>
        <v/>
      </c>
      <c r="BF562" s="40">
        <f>BF561*(1-IF(B561&gt;=in_marketplace_from,d_hz_nps*G561,0))</f>
        <v/>
      </c>
      <c r="BG562" s="14">
        <f>F562*BF562*IF(B562&gt;=in_marketplace_from,d_hz_nps*G562,0)*in_nps_ticket*in_nps_comm</f>
        <v/>
      </c>
      <c r="BH562" s="40">
        <f>BH561*(1-IF(B561&gt;=in_marketplace_from,d_hz_gold*G561,0))</f>
        <v/>
      </c>
      <c r="BI562" s="40">
        <f>BI561*d_rho_gold+BH562*IF(B562&gt;=in_marketplace_from,d_hz_gold*G562,0)</f>
        <v/>
      </c>
      <c r="BJ562" s="14">
        <f>F562*BI562*in_gold_ticket*in_gold_comm</f>
        <v/>
      </c>
      <c r="BK562" s="40">
        <f>BK561*(1-IF(B561&gt;=in_marketplace_from,d_hz_fd*G561,0))</f>
        <v/>
      </c>
      <c r="BL562" s="14">
        <f>F562*BK562*IF(B562&gt;=in_marketplace_from,d_hz_fd*G562,0)*in_fd_ticket*in_fd_comm</f>
        <v/>
      </c>
      <c r="BM562" s="40">
        <f>BM561*(1-IF(B561&gt;=in_marketplace_from,d_hz_recharge*G561,0))</f>
        <v/>
      </c>
      <c r="BN562" s="40">
        <f>BN561*d_rho_recharge+BM562*IF(B562&gt;=in_marketplace_from,d_hz_recharge*G562,0)</f>
        <v/>
      </c>
      <c r="BO562" s="14">
        <f>F562*BN562*in_recharge_ticket*in_recharge_comm/12</f>
        <v/>
      </c>
      <c r="BP562" s="40">
        <f>BP561*(1-IF(B561&gt;=in_marketplace_from,d_hz_bills*G561,0))</f>
        <v/>
      </c>
      <c r="BQ562" s="40">
        <f>BQ561*d_rho_bills+BP562*IF(B562&gt;=in_marketplace_from,d_hz_bills*G562,0)</f>
        <v/>
      </c>
      <c r="BR562" s="14">
        <f>F562*BQ562*in_bills_ticket*in_bills_comm/12</f>
        <v/>
      </c>
      <c r="BS562" s="40">
        <f>BS561*(1-IF(B561&gt;=in_marketplace_from,d_hz_loan_gold*G561,0))</f>
        <v/>
      </c>
      <c r="BT562" s="14">
        <f>F562*BS562*IF(B562&gt;=in_marketplace_from,d_hz_loan_gold*G562,0)*in_loan_gold_ticket*in_loan_gold_comm</f>
        <v/>
      </c>
      <c r="BU562" s="40">
        <f>BU561*(1-IF(B561&gt;=in_marketplace_from,d_hz_loan_cd*G561,0))</f>
        <v/>
      </c>
      <c r="BV562" s="14">
        <f>F562*BU562*IF(B562&gt;=in_marketplace_from,d_hz_loan_cd*G562,0)*in_loan_cd_ticket*in_loan_cd_comm</f>
        <v/>
      </c>
      <c r="BW562" s="40">
        <f>BW561*(1-IF(B561&gt;=in_marketplace_from,d_hz_loan_vehicle*G561,0))</f>
        <v/>
      </c>
      <c r="BX562" s="14">
        <f>F562*BW562*IF(B562&gt;=in_marketplace_from,d_hz_loan_vehicle*G562,0)*in_loan_vehicle_ticket*in_loan_vehicle_comm</f>
        <v/>
      </c>
      <c r="BY562" s="40">
        <f>BY561*(1-IF(B561&gt;=in_marketplace_from,d_hz_loan_home*G561,0)*BZ561)</f>
        <v/>
      </c>
      <c r="BZ562" s="11">
        <f>MIN(in_approval_cap,in_loan_home_approval*INDEX('Age profile'!$O$2:$O$61,B562)*(1+in_approval_growth)^(D562-1))</f>
        <v/>
      </c>
      <c r="CA562" s="14">
        <f>F562*BY562*IF(B562&gt;=in_marketplace_from,d_hz_loan_home*G562,0)*BZ562*in_loan_home_ticket*in_loan_home_comm</f>
        <v/>
      </c>
      <c r="CB562" s="40">
        <f>CB561*(1-IF(B561&gt;=in_marketplace_from,d_hz_loan_lap*G561,0)*CC561)</f>
        <v/>
      </c>
      <c r="CC562" s="11">
        <f>MIN(in_approval_cap,in_loan_lap_approval*INDEX('Age profile'!$O$2:$O$61,B562)*(1+in_approval_growth)^(D562-1))</f>
        <v/>
      </c>
      <c r="CD562" s="14">
        <f>F562*CB562*IF(B562&gt;=in_marketplace_from,d_hz_loan_lap*G562,0)*CC562*in_loan_lap_ticket*in_loan_lap_comm</f>
        <v/>
      </c>
      <c r="CE562" s="14">
        <f>AA562+AB562+AC562+AD562+AG562+AJ562+AM562+AP562+AS562+AU562+AX562+BB562+BE562+BG562+BJ562+BL562+BO562+BR562+BT562+BV562+BX562+CA562+CD562</f>
        <v/>
      </c>
    </row>
    <row r="563">
      <c r="A563" s="39" t="n">
        <v>11</v>
      </c>
      <c r="B563" s="39" t="n">
        <v>7</v>
      </c>
      <c r="C563" s="39">
        <f>A563+B563-1</f>
        <v/>
      </c>
      <c r="D563" s="39">
        <f>INT((C563-1)/12)+1</f>
        <v/>
      </c>
      <c r="E563" s="44">
        <f>INDEX(Monthly!$B$2:$B$61,A563)</f>
        <v/>
      </c>
      <c r="F563" s="44">
        <f>E563*INDEX('Age profile'!$B$2:$B$61,B563)</f>
        <v/>
      </c>
      <c r="G563" s="45">
        <f>MIN(in_takeup_cap,INDEX('Age profile'!$N$2:$N$61,B563)*(1+in_takeup_growth)^(D563-1))</f>
        <v/>
      </c>
      <c r="H563" s="11">
        <f>MIN(in_approval_cap,in_approved_first*INDEX('Age profile'!$O$2:$O$61,B563)*(1+in_approval_growth)^(D563-1))</f>
        <v/>
      </c>
      <c r="I563" s="45">
        <f>G563*MIN(in_takeup_cap,INDEX('Age profile'!$O$2:$O$61,B563)*(1+in_approval_growth)^(D563-1))</f>
        <v/>
      </c>
      <c r="J563" s="40">
        <f>(J562-L562)*F563/F562</f>
        <v/>
      </c>
      <c r="K563" s="40">
        <f>(K562-M562)*F563/F562+SUMIFS(O557:O562,B557:B562,B563-1-d_T)*F563</f>
        <v/>
      </c>
      <c r="L563" s="40">
        <f>IF(B563&gt;=in_marketplace_from,J563*d_hz*G563*in_eligible*H563,0)</f>
        <v/>
      </c>
      <c r="M563" s="40">
        <f>IF(B563&gt;=in_marketplace_from,K563*d_hz*G563*in_eligible*in_approved_repeat,0)</f>
        <v/>
      </c>
      <c r="N563" s="40">
        <f>L563+M563</f>
        <v/>
      </c>
      <c r="O563" s="46">
        <f>N563/F563</f>
        <v/>
      </c>
      <c r="P563" s="40">
        <f>F563-J563-K563</f>
        <v/>
      </c>
      <c r="Q563" s="40">
        <f>IF(B563&gt;=in_marketplace_from,(J563+K563)*d_hz*G563,0)</f>
        <v/>
      </c>
      <c r="R563" s="40">
        <f>SUMIFS(N557:N606,B557:B606,"&gt;="&amp;(B563-d_T),B557:B606,"&lt;="&amp;(B563-1))</f>
        <v/>
      </c>
      <c r="S563" s="46">
        <f>(1-d_u)*S562+IF(d_T&gt;in_topup_lag,SUMIFS(O557:O606,B557:B606,B563-in_topup_lag)-d_udrop*SUMIFS(O557:O606,B557:B606,B563-d_T),0)</f>
        <v/>
      </c>
      <c r="T563" s="40">
        <f>F563*d_u*S563</f>
        <v/>
      </c>
      <c r="U563" s="9">
        <f>L563*in_ticket+M563*d_rep_ticket</f>
        <v/>
      </c>
      <c r="V563" s="9">
        <f>U563+T563*d_topup_amt</f>
        <v/>
      </c>
      <c r="W563" s="40">
        <f>N563+T563*d_topup_ratio</f>
        <v/>
      </c>
      <c r="X563" s="40">
        <f>SUMIFS(W557:W606,B557:B606,B563-in_dpd_lag)*d_cured</f>
        <v/>
      </c>
      <c r="Y563" s="40">
        <f>SUMIFS(W557:W606,B557:B606,B563-in_rec_lag)*d_recd</f>
        <v/>
      </c>
      <c r="Z563" s="40">
        <f>IF(AND(B563&gt;=in_marketplace_from,B563&lt;in_marketplace_from+in_card_months),in_card_share/in_card_months*F563*I563,IF(AND(B563&gt;=in_marketplace_from+in_card_months,B563&lt;in_marketplace_from+2*in_card_months),in_card_share*d_card_rem/in_card_months*F563*MIN(in_takeup_cap,(1+in_takeup_growth)^(D563-1))*MIN(in_takeup_cap,(1+in_approval_growth)^(D563-1)),0))</f>
        <v/>
      </c>
      <c r="AA563" s="14">
        <f>V563*in_fee*(1-in_taken_back)</f>
        <v/>
      </c>
      <c r="AB563" s="14">
        <f>SUMIFS(W557:W606,B557:B606,B563-in_dpd_lag)*d_dpd</f>
        <v/>
      </c>
      <c r="AC563" s="14">
        <f>SUMIFS(W557:W606,B557:B606,B563-in_rec_lag)*d_rec</f>
        <v/>
      </c>
      <c r="AD563" s="14">
        <f>Z563*in_card_fee</f>
        <v/>
      </c>
      <c r="AE563" s="40">
        <f>AE562*(1-IF(B562&gt;=in_marketplace_from,d_hz_hlth_small*G562,0))</f>
        <v/>
      </c>
      <c r="AF563" s="46">
        <f>AE563*IF(B563&gt;=in_marketplace_from,d_hz_hlth_small*G563,0)</f>
        <v/>
      </c>
      <c r="AG563" s="14">
        <f>F563*AF563*in_hlth_small_ticket*in_hlth_small_comm*in_ins_partner_share+F563*in_hlth_small_ticket*in_hlth_small_renew_comm*in_ins_partner_share*(in_hlth_small_renew^1*SUMIFS(AF557:AF606,B557:B606,B563-12)+in_hlth_small_renew^2*SUMIFS(AF557:AF606,B557:B606,B563-24)+in_hlth_small_renew^3*SUMIFS(AF557:AF606,B557:B606,B563-36)+in_hlth_small_renew^4*SUMIFS(AF557:AF606,B557:B606,B563-48))</f>
        <v/>
      </c>
      <c r="AH563" s="40">
        <f>AH562*(1-IF(B562&gt;=in_marketplace_from,d_hz_hlth_family*G562,0))</f>
        <v/>
      </c>
      <c r="AI563" s="46">
        <f>AH563*IF(B563&gt;=in_marketplace_from,d_hz_hlth_family*G563,0)</f>
        <v/>
      </c>
      <c r="AJ563" s="14">
        <f>F563*AI563*in_hlth_family_ticket*in_hlth_family_comm*in_ins_partner_share+F563*in_hlth_family_ticket*in_hlth_family_renew_comm*in_ins_partner_share*(in_hlth_family_renew^1*SUMIFS(AI557:AI606,B557:B606,B563-12)+in_hlth_family_renew^2*SUMIFS(AI557:AI606,B557:B606,B563-24)+in_hlth_family_renew^3*SUMIFS(AI557:AI606,B557:B606,B563-36)+in_hlth_family_renew^4*SUMIFS(AI557:AI606,B557:B606,B563-48))</f>
        <v/>
      </c>
      <c r="AK563" s="40">
        <f>AK562*(1-IF(B562&gt;=in_marketplace_from,d_hz_life_term*G562,0))</f>
        <v/>
      </c>
      <c r="AL563" s="46">
        <f>AK563*IF(B563&gt;=in_marketplace_from,d_hz_life_term*G563,0)</f>
        <v/>
      </c>
      <c r="AM563" s="14">
        <f>F563*AL563*in_life_term_ticket*in_life_term_comm*in_ins_partner_share+F563*in_life_term_ticket*in_life_term_renew_comm*in_ins_partner_share*(in_life_term_renew^1*SUMIFS(AL557:AL606,B557:B606,B563-12)+in_life_term_renew^2*SUMIFS(AL557:AL606,B557:B606,B563-24)+in_life_term_renew^3*SUMIFS(AL557:AL606,B557:B606,B563-36)+in_life_term_renew^4*SUMIFS(AL557:AL606,B557:B606,B563-48))</f>
        <v/>
      </c>
      <c r="AN563" s="40">
        <f>AN562*(1-IF(B562&gt;=in_marketplace_from,d_hz_accident*G562,0))</f>
        <v/>
      </c>
      <c r="AO563" s="46">
        <f>AN563*IF(B563&gt;=in_marketplace_from,d_hz_accident*G563,0)</f>
        <v/>
      </c>
      <c r="AP563" s="14">
        <f>F563*AO563*in_accident_ticket*in_accident_comm*in_ins_partner_share+F563*in_accident_ticket*in_accident_renew_comm*in_ins_partner_share*(in_accident_renew^1*SUMIFS(AO557:AO606,B557:B606,B563-12)+in_accident_renew^2*SUMIFS(AO557:AO606,B557:B606,B563-24)+in_accident_renew^3*SUMIFS(AO557:AO606,B557:B606,B563-36)+in_accident_renew^4*SUMIFS(AO557:AO606,B557:B606,B563-48))</f>
        <v/>
      </c>
      <c r="AQ563" s="40">
        <f>AQ562*(1-IF(B562&gt;=in_marketplace_from,d_hz_two_wheeler*G562,0))</f>
        <v/>
      </c>
      <c r="AR563" s="46">
        <f>AQ563*IF(B563&gt;=in_marketplace_from,d_hz_two_wheeler*G563,0)</f>
        <v/>
      </c>
      <c r="AS563" s="14">
        <f>F563*AR563*in_two_wheeler_ticket*in_two_wheeler_comm*in_ins_partner_share+F563*in_two_wheeler_ticket*in_two_wheeler_comm*in_ins_partner_share*(in_two_wheeler_renew^1*SUMIFS(AR557:AR606,B557:B606,B563-12)+in_two_wheeler_renew^2*SUMIFS(AR557:AR606,B557:B606,B563-24)+in_two_wheeler_renew^3*SUMIFS(AR557:AR606,B557:B606,B563-36)+in_two_wheeler_renew^4*SUMIFS(AR557:AR606,B557:B606,B563-48))</f>
        <v/>
      </c>
      <c r="AT563" s="40">
        <f>AT562*(1-IF(B562&gt;=in_marketplace_from,d_hz_device*G562,0))</f>
        <v/>
      </c>
      <c r="AU563" s="14">
        <f>F563*AT563*IF(B563&gt;=in_marketplace_from,d_hz_device*G563,0)*in_device_ticket*in_device_comm*in_ins_partner_share</f>
        <v/>
      </c>
      <c r="AV563" s="40">
        <f>AV562*(1-IF(B562&gt;=in_marketplace_from,d_hz_shop*G562,0))</f>
        <v/>
      </c>
      <c r="AW563" s="46">
        <f>AV563*IF(B563&gt;=in_marketplace_from,d_hz_shop*G563,0)</f>
        <v/>
      </c>
      <c r="AX563" s="14">
        <f>F563*AW563*in_shop_ticket*in_shop_comm*in_ins_partner_share+F563*in_shop_ticket*in_shop_renew_comm*in_ins_partner_share*(in_shop_renew^1*SUMIFS(AW557:AW606,B557:B606,B563-12)+in_shop_renew^2*SUMIFS(AW557:AW606,B557:B606,B563-24)+in_shop_renew^3*SUMIFS(AW557:AW606,B557:B606,B563-36)+in_shop_renew^4*SUMIFS(AW557:AW606,B557:B606,B563-48))</f>
        <v/>
      </c>
      <c r="AY563" s="40">
        <f>AY562*(1-IF(B562&gt;=in_marketplace_from,d_hz_sip*G562,0))</f>
        <v/>
      </c>
      <c r="AZ563" s="40">
        <f>AZ562*d_rho_sip+AY563*IF(B563&gt;=in_marketplace_from,d_hz_sip*G563,0)</f>
        <v/>
      </c>
      <c r="BA563" s="40">
        <f>d_rho_sip*(BA562+AZ562)</f>
        <v/>
      </c>
      <c r="BB563" s="14">
        <f>F563*in_sip_ticket*(BA563+0.5*AZ563)*in_sip_comm/12</f>
        <v/>
      </c>
      <c r="BC563" s="40">
        <f>BC562*(1-IF(B562&gt;=in_marketplace_from,d_hz_choti*G562,0))</f>
        <v/>
      </c>
      <c r="BD563" s="46">
        <f>BC563*IF(B563&gt;=in_marketplace_from,d_hz_choti*G563,0)</f>
        <v/>
      </c>
      <c r="BE563" s="14">
        <f>F563*SUMIFS(BD557:BD606,B557:B606,B563-in_choti_months)*in_choti_renew*in_choti_ticket</f>
        <v/>
      </c>
      <c r="BF563" s="40">
        <f>BF562*(1-IF(B562&gt;=in_marketplace_from,d_hz_nps*G562,0))</f>
        <v/>
      </c>
      <c r="BG563" s="14">
        <f>F563*BF563*IF(B563&gt;=in_marketplace_from,d_hz_nps*G563,0)*in_nps_ticket*in_nps_comm</f>
        <v/>
      </c>
      <c r="BH563" s="40">
        <f>BH562*(1-IF(B562&gt;=in_marketplace_from,d_hz_gold*G562,0))</f>
        <v/>
      </c>
      <c r="BI563" s="40">
        <f>BI562*d_rho_gold+BH563*IF(B563&gt;=in_marketplace_from,d_hz_gold*G563,0)</f>
        <v/>
      </c>
      <c r="BJ563" s="14">
        <f>F563*BI563*in_gold_ticket*in_gold_comm</f>
        <v/>
      </c>
      <c r="BK563" s="40">
        <f>BK562*(1-IF(B562&gt;=in_marketplace_from,d_hz_fd*G562,0))</f>
        <v/>
      </c>
      <c r="BL563" s="14">
        <f>F563*BK563*IF(B563&gt;=in_marketplace_from,d_hz_fd*G563,0)*in_fd_ticket*in_fd_comm</f>
        <v/>
      </c>
      <c r="BM563" s="40">
        <f>BM562*(1-IF(B562&gt;=in_marketplace_from,d_hz_recharge*G562,0))</f>
        <v/>
      </c>
      <c r="BN563" s="40">
        <f>BN562*d_rho_recharge+BM563*IF(B563&gt;=in_marketplace_from,d_hz_recharge*G563,0)</f>
        <v/>
      </c>
      <c r="BO563" s="14">
        <f>F563*BN563*in_recharge_ticket*in_recharge_comm/12</f>
        <v/>
      </c>
      <c r="BP563" s="40">
        <f>BP562*(1-IF(B562&gt;=in_marketplace_from,d_hz_bills*G562,0))</f>
        <v/>
      </c>
      <c r="BQ563" s="40">
        <f>BQ562*d_rho_bills+BP563*IF(B563&gt;=in_marketplace_from,d_hz_bills*G563,0)</f>
        <v/>
      </c>
      <c r="BR563" s="14">
        <f>F563*BQ563*in_bills_ticket*in_bills_comm/12</f>
        <v/>
      </c>
      <c r="BS563" s="40">
        <f>BS562*(1-IF(B562&gt;=in_marketplace_from,d_hz_loan_gold*G562,0))</f>
        <v/>
      </c>
      <c r="BT563" s="14">
        <f>F563*BS563*IF(B563&gt;=in_marketplace_from,d_hz_loan_gold*G563,0)*in_loan_gold_ticket*in_loan_gold_comm</f>
        <v/>
      </c>
      <c r="BU563" s="40">
        <f>BU562*(1-IF(B562&gt;=in_marketplace_from,d_hz_loan_cd*G562,0))</f>
        <v/>
      </c>
      <c r="BV563" s="14">
        <f>F563*BU563*IF(B563&gt;=in_marketplace_from,d_hz_loan_cd*G563,0)*in_loan_cd_ticket*in_loan_cd_comm</f>
        <v/>
      </c>
      <c r="BW563" s="40">
        <f>BW562*(1-IF(B562&gt;=in_marketplace_from,d_hz_loan_vehicle*G562,0))</f>
        <v/>
      </c>
      <c r="BX563" s="14">
        <f>F563*BW563*IF(B563&gt;=in_marketplace_from,d_hz_loan_vehicle*G563,0)*in_loan_vehicle_ticket*in_loan_vehicle_comm</f>
        <v/>
      </c>
      <c r="BY563" s="40">
        <f>BY562*(1-IF(B562&gt;=in_marketplace_from,d_hz_loan_home*G562,0)*BZ562)</f>
        <v/>
      </c>
      <c r="BZ563" s="11">
        <f>MIN(in_approval_cap,in_loan_home_approval*INDEX('Age profile'!$O$2:$O$61,B563)*(1+in_approval_growth)^(D563-1))</f>
        <v/>
      </c>
      <c r="CA563" s="14">
        <f>F563*BY563*IF(B563&gt;=in_marketplace_from,d_hz_loan_home*G563,0)*BZ563*in_loan_home_ticket*in_loan_home_comm</f>
        <v/>
      </c>
      <c r="CB563" s="40">
        <f>CB562*(1-IF(B562&gt;=in_marketplace_from,d_hz_loan_lap*G562,0)*CC562)</f>
        <v/>
      </c>
      <c r="CC563" s="11">
        <f>MIN(in_approval_cap,in_loan_lap_approval*INDEX('Age profile'!$O$2:$O$61,B563)*(1+in_approval_growth)^(D563-1))</f>
        <v/>
      </c>
      <c r="CD563" s="14">
        <f>F563*CB563*IF(B563&gt;=in_marketplace_from,d_hz_loan_lap*G563,0)*CC563*in_loan_lap_ticket*in_loan_lap_comm</f>
        <v/>
      </c>
      <c r="CE563" s="14">
        <f>AA563+AB563+AC563+AD563+AG563+AJ563+AM563+AP563+AS563+AU563+AX563+BB563+BE563+BG563+BJ563+BL563+BO563+BR563+BT563+BV563+BX563+CA563+CD563</f>
        <v/>
      </c>
    </row>
    <row r="564">
      <c r="A564" s="39" t="n">
        <v>11</v>
      </c>
      <c r="B564" s="39" t="n">
        <v>8</v>
      </c>
      <c r="C564" s="39">
        <f>A564+B564-1</f>
        <v/>
      </c>
      <c r="D564" s="39">
        <f>INT((C564-1)/12)+1</f>
        <v/>
      </c>
      <c r="E564" s="44">
        <f>INDEX(Monthly!$B$2:$B$61,A564)</f>
        <v/>
      </c>
      <c r="F564" s="44">
        <f>E564*INDEX('Age profile'!$B$2:$B$61,B564)</f>
        <v/>
      </c>
      <c r="G564" s="45">
        <f>MIN(in_takeup_cap,INDEX('Age profile'!$N$2:$N$61,B564)*(1+in_takeup_growth)^(D564-1))</f>
        <v/>
      </c>
      <c r="H564" s="11">
        <f>MIN(in_approval_cap,in_approved_first*INDEX('Age profile'!$O$2:$O$61,B564)*(1+in_approval_growth)^(D564-1))</f>
        <v/>
      </c>
      <c r="I564" s="45">
        <f>G564*MIN(in_takeup_cap,INDEX('Age profile'!$O$2:$O$61,B564)*(1+in_approval_growth)^(D564-1))</f>
        <v/>
      </c>
      <c r="J564" s="40">
        <f>(J563-L563)*F564/F563</f>
        <v/>
      </c>
      <c r="K564" s="40">
        <f>(K563-M563)*F564/F563+SUMIFS(O557:O563,B557:B563,B564-1-d_T)*F564</f>
        <v/>
      </c>
      <c r="L564" s="40">
        <f>IF(B564&gt;=in_marketplace_from,J564*d_hz*G564*in_eligible*H564,0)</f>
        <v/>
      </c>
      <c r="M564" s="40">
        <f>IF(B564&gt;=in_marketplace_from,K564*d_hz*G564*in_eligible*in_approved_repeat,0)</f>
        <v/>
      </c>
      <c r="N564" s="40">
        <f>L564+M564</f>
        <v/>
      </c>
      <c r="O564" s="46">
        <f>N564/F564</f>
        <v/>
      </c>
      <c r="P564" s="40">
        <f>F564-J564-K564</f>
        <v/>
      </c>
      <c r="Q564" s="40">
        <f>IF(B564&gt;=in_marketplace_from,(J564+K564)*d_hz*G564,0)</f>
        <v/>
      </c>
      <c r="R564" s="40">
        <f>SUMIFS(N557:N606,B557:B606,"&gt;="&amp;(B564-d_T),B557:B606,"&lt;="&amp;(B564-1))</f>
        <v/>
      </c>
      <c r="S564" s="46">
        <f>(1-d_u)*S563+IF(d_T&gt;in_topup_lag,SUMIFS(O557:O606,B557:B606,B564-in_topup_lag)-d_udrop*SUMIFS(O557:O606,B557:B606,B564-d_T),0)</f>
        <v/>
      </c>
      <c r="T564" s="40">
        <f>F564*d_u*S564</f>
        <v/>
      </c>
      <c r="U564" s="9">
        <f>L564*in_ticket+M564*d_rep_ticket</f>
        <v/>
      </c>
      <c r="V564" s="9">
        <f>U564+T564*d_topup_amt</f>
        <v/>
      </c>
      <c r="W564" s="40">
        <f>N564+T564*d_topup_ratio</f>
        <v/>
      </c>
      <c r="X564" s="40">
        <f>SUMIFS(W557:W606,B557:B606,B564-in_dpd_lag)*d_cured</f>
        <v/>
      </c>
      <c r="Y564" s="40">
        <f>SUMIFS(W557:W606,B557:B606,B564-in_rec_lag)*d_recd</f>
        <v/>
      </c>
      <c r="Z564" s="40">
        <f>IF(AND(B564&gt;=in_marketplace_from,B564&lt;in_marketplace_from+in_card_months),in_card_share/in_card_months*F564*I564,IF(AND(B564&gt;=in_marketplace_from+in_card_months,B564&lt;in_marketplace_from+2*in_card_months),in_card_share*d_card_rem/in_card_months*F564*MIN(in_takeup_cap,(1+in_takeup_growth)^(D564-1))*MIN(in_takeup_cap,(1+in_approval_growth)^(D564-1)),0))</f>
        <v/>
      </c>
      <c r="AA564" s="14">
        <f>V564*in_fee*(1-in_taken_back)</f>
        <v/>
      </c>
      <c r="AB564" s="14">
        <f>SUMIFS(W557:W606,B557:B606,B564-in_dpd_lag)*d_dpd</f>
        <v/>
      </c>
      <c r="AC564" s="14">
        <f>SUMIFS(W557:W606,B557:B606,B564-in_rec_lag)*d_rec</f>
        <v/>
      </c>
      <c r="AD564" s="14">
        <f>Z564*in_card_fee</f>
        <v/>
      </c>
      <c r="AE564" s="40">
        <f>AE563*(1-IF(B563&gt;=in_marketplace_from,d_hz_hlth_small*G563,0))</f>
        <v/>
      </c>
      <c r="AF564" s="46">
        <f>AE564*IF(B564&gt;=in_marketplace_from,d_hz_hlth_small*G564,0)</f>
        <v/>
      </c>
      <c r="AG564" s="14">
        <f>F564*AF564*in_hlth_small_ticket*in_hlth_small_comm*in_ins_partner_share+F564*in_hlth_small_ticket*in_hlth_small_renew_comm*in_ins_partner_share*(in_hlth_small_renew^1*SUMIFS(AF557:AF606,B557:B606,B564-12)+in_hlth_small_renew^2*SUMIFS(AF557:AF606,B557:B606,B564-24)+in_hlth_small_renew^3*SUMIFS(AF557:AF606,B557:B606,B564-36)+in_hlth_small_renew^4*SUMIFS(AF557:AF606,B557:B606,B564-48))</f>
        <v/>
      </c>
      <c r="AH564" s="40">
        <f>AH563*(1-IF(B563&gt;=in_marketplace_from,d_hz_hlth_family*G563,0))</f>
        <v/>
      </c>
      <c r="AI564" s="46">
        <f>AH564*IF(B564&gt;=in_marketplace_from,d_hz_hlth_family*G564,0)</f>
        <v/>
      </c>
      <c r="AJ564" s="14">
        <f>F564*AI564*in_hlth_family_ticket*in_hlth_family_comm*in_ins_partner_share+F564*in_hlth_family_ticket*in_hlth_family_renew_comm*in_ins_partner_share*(in_hlth_family_renew^1*SUMIFS(AI557:AI606,B557:B606,B564-12)+in_hlth_family_renew^2*SUMIFS(AI557:AI606,B557:B606,B564-24)+in_hlth_family_renew^3*SUMIFS(AI557:AI606,B557:B606,B564-36)+in_hlth_family_renew^4*SUMIFS(AI557:AI606,B557:B606,B564-48))</f>
        <v/>
      </c>
      <c r="AK564" s="40">
        <f>AK563*(1-IF(B563&gt;=in_marketplace_from,d_hz_life_term*G563,0))</f>
        <v/>
      </c>
      <c r="AL564" s="46">
        <f>AK564*IF(B564&gt;=in_marketplace_from,d_hz_life_term*G564,0)</f>
        <v/>
      </c>
      <c r="AM564" s="14">
        <f>F564*AL564*in_life_term_ticket*in_life_term_comm*in_ins_partner_share+F564*in_life_term_ticket*in_life_term_renew_comm*in_ins_partner_share*(in_life_term_renew^1*SUMIFS(AL557:AL606,B557:B606,B564-12)+in_life_term_renew^2*SUMIFS(AL557:AL606,B557:B606,B564-24)+in_life_term_renew^3*SUMIFS(AL557:AL606,B557:B606,B564-36)+in_life_term_renew^4*SUMIFS(AL557:AL606,B557:B606,B564-48))</f>
        <v/>
      </c>
      <c r="AN564" s="40">
        <f>AN563*(1-IF(B563&gt;=in_marketplace_from,d_hz_accident*G563,0))</f>
        <v/>
      </c>
      <c r="AO564" s="46">
        <f>AN564*IF(B564&gt;=in_marketplace_from,d_hz_accident*G564,0)</f>
        <v/>
      </c>
      <c r="AP564" s="14">
        <f>F564*AO564*in_accident_ticket*in_accident_comm*in_ins_partner_share+F564*in_accident_ticket*in_accident_renew_comm*in_ins_partner_share*(in_accident_renew^1*SUMIFS(AO557:AO606,B557:B606,B564-12)+in_accident_renew^2*SUMIFS(AO557:AO606,B557:B606,B564-24)+in_accident_renew^3*SUMIFS(AO557:AO606,B557:B606,B564-36)+in_accident_renew^4*SUMIFS(AO557:AO606,B557:B606,B564-48))</f>
        <v/>
      </c>
      <c r="AQ564" s="40">
        <f>AQ563*(1-IF(B563&gt;=in_marketplace_from,d_hz_two_wheeler*G563,0))</f>
        <v/>
      </c>
      <c r="AR564" s="46">
        <f>AQ564*IF(B564&gt;=in_marketplace_from,d_hz_two_wheeler*G564,0)</f>
        <v/>
      </c>
      <c r="AS564" s="14">
        <f>F564*AR564*in_two_wheeler_ticket*in_two_wheeler_comm*in_ins_partner_share+F564*in_two_wheeler_ticket*in_two_wheeler_comm*in_ins_partner_share*(in_two_wheeler_renew^1*SUMIFS(AR557:AR606,B557:B606,B564-12)+in_two_wheeler_renew^2*SUMIFS(AR557:AR606,B557:B606,B564-24)+in_two_wheeler_renew^3*SUMIFS(AR557:AR606,B557:B606,B564-36)+in_two_wheeler_renew^4*SUMIFS(AR557:AR606,B557:B606,B564-48))</f>
        <v/>
      </c>
      <c r="AT564" s="40">
        <f>AT563*(1-IF(B563&gt;=in_marketplace_from,d_hz_device*G563,0))</f>
        <v/>
      </c>
      <c r="AU564" s="14">
        <f>F564*AT564*IF(B564&gt;=in_marketplace_from,d_hz_device*G564,0)*in_device_ticket*in_device_comm*in_ins_partner_share</f>
        <v/>
      </c>
      <c r="AV564" s="40">
        <f>AV563*(1-IF(B563&gt;=in_marketplace_from,d_hz_shop*G563,0))</f>
        <v/>
      </c>
      <c r="AW564" s="46">
        <f>AV564*IF(B564&gt;=in_marketplace_from,d_hz_shop*G564,0)</f>
        <v/>
      </c>
      <c r="AX564" s="14">
        <f>F564*AW564*in_shop_ticket*in_shop_comm*in_ins_partner_share+F564*in_shop_ticket*in_shop_renew_comm*in_ins_partner_share*(in_shop_renew^1*SUMIFS(AW557:AW606,B557:B606,B564-12)+in_shop_renew^2*SUMIFS(AW557:AW606,B557:B606,B564-24)+in_shop_renew^3*SUMIFS(AW557:AW606,B557:B606,B564-36)+in_shop_renew^4*SUMIFS(AW557:AW606,B557:B606,B564-48))</f>
        <v/>
      </c>
      <c r="AY564" s="40">
        <f>AY563*(1-IF(B563&gt;=in_marketplace_from,d_hz_sip*G563,0))</f>
        <v/>
      </c>
      <c r="AZ564" s="40">
        <f>AZ563*d_rho_sip+AY564*IF(B564&gt;=in_marketplace_from,d_hz_sip*G564,0)</f>
        <v/>
      </c>
      <c r="BA564" s="40">
        <f>d_rho_sip*(BA563+AZ563)</f>
        <v/>
      </c>
      <c r="BB564" s="14">
        <f>F564*in_sip_ticket*(BA564+0.5*AZ564)*in_sip_comm/12</f>
        <v/>
      </c>
      <c r="BC564" s="40">
        <f>BC563*(1-IF(B563&gt;=in_marketplace_from,d_hz_choti*G563,0))</f>
        <v/>
      </c>
      <c r="BD564" s="46">
        <f>BC564*IF(B564&gt;=in_marketplace_from,d_hz_choti*G564,0)</f>
        <v/>
      </c>
      <c r="BE564" s="14">
        <f>F564*SUMIFS(BD557:BD606,B557:B606,B564-in_choti_months)*in_choti_renew*in_choti_ticket</f>
        <v/>
      </c>
      <c r="BF564" s="40">
        <f>BF563*(1-IF(B563&gt;=in_marketplace_from,d_hz_nps*G563,0))</f>
        <v/>
      </c>
      <c r="BG564" s="14">
        <f>F564*BF564*IF(B564&gt;=in_marketplace_from,d_hz_nps*G564,0)*in_nps_ticket*in_nps_comm</f>
        <v/>
      </c>
      <c r="BH564" s="40">
        <f>BH563*(1-IF(B563&gt;=in_marketplace_from,d_hz_gold*G563,0))</f>
        <v/>
      </c>
      <c r="BI564" s="40">
        <f>BI563*d_rho_gold+BH564*IF(B564&gt;=in_marketplace_from,d_hz_gold*G564,0)</f>
        <v/>
      </c>
      <c r="BJ564" s="14">
        <f>F564*BI564*in_gold_ticket*in_gold_comm</f>
        <v/>
      </c>
      <c r="BK564" s="40">
        <f>BK563*(1-IF(B563&gt;=in_marketplace_from,d_hz_fd*G563,0))</f>
        <v/>
      </c>
      <c r="BL564" s="14">
        <f>F564*BK564*IF(B564&gt;=in_marketplace_from,d_hz_fd*G564,0)*in_fd_ticket*in_fd_comm</f>
        <v/>
      </c>
      <c r="BM564" s="40">
        <f>BM563*(1-IF(B563&gt;=in_marketplace_from,d_hz_recharge*G563,0))</f>
        <v/>
      </c>
      <c r="BN564" s="40">
        <f>BN563*d_rho_recharge+BM564*IF(B564&gt;=in_marketplace_from,d_hz_recharge*G564,0)</f>
        <v/>
      </c>
      <c r="BO564" s="14">
        <f>F564*BN564*in_recharge_ticket*in_recharge_comm/12</f>
        <v/>
      </c>
      <c r="BP564" s="40">
        <f>BP563*(1-IF(B563&gt;=in_marketplace_from,d_hz_bills*G563,0))</f>
        <v/>
      </c>
      <c r="BQ564" s="40">
        <f>BQ563*d_rho_bills+BP564*IF(B564&gt;=in_marketplace_from,d_hz_bills*G564,0)</f>
        <v/>
      </c>
      <c r="BR564" s="14">
        <f>F564*BQ564*in_bills_ticket*in_bills_comm/12</f>
        <v/>
      </c>
      <c r="BS564" s="40">
        <f>BS563*(1-IF(B563&gt;=in_marketplace_from,d_hz_loan_gold*G563,0))</f>
        <v/>
      </c>
      <c r="BT564" s="14">
        <f>F564*BS564*IF(B564&gt;=in_marketplace_from,d_hz_loan_gold*G564,0)*in_loan_gold_ticket*in_loan_gold_comm</f>
        <v/>
      </c>
      <c r="BU564" s="40">
        <f>BU563*(1-IF(B563&gt;=in_marketplace_from,d_hz_loan_cd*G563,0))</f>
        <v/>
      </c>
      <c r="BV564" s="14">
        <f>F564*BU564*IF(B564&gt;=in_marketplace_from,d_hz_loan_cd*G564,0)*in_loan_cd_ticket*in_loan_cd_comm</f>
        <v/>
      </c>
      <c r="BW564" s="40">
        <f>BW563*(1-IF(B563&gt;=in_marketplace_from,d_hz_loan_vehicle*G563,0))</f>
        <v/>
      </c>
      <c r="BX564" s="14">
        <f>F564*BW564*IF(B564&gt;=in_marketplace_from,d_hz_loan_vehicle*G564,0)*in_loan_vehicle_ticket*in_loan_vehicle_comm</f>
        <v/>
      </c>
      <c r="BY564" s="40">
        <f>BY563*(1-IF(B563&gt;=in_marketplace_from,d_hz_loan_home*G563,0)*BZ563)</f>
        <v/>
      </c>
      <c r="BZ564" s="11">
        <f>MIN(in_approval_cap,in_loan_home_approval*INDEX('Age profile'!$O$2:$O$61,B564)*(1+in_approval_growth)^(D564-1))</f>
        <v/>
      </c>
      <c r="CA564" s="14">
        <f>F564*BY564*IF(B564&gt;=in_marketplace_from,d_hz_loan_home*G564,0)*BZ564*in_loan_home_ticket*in_loan_home_comm</f>
        <v/>
      </c>
      <c r="CB564" s="40">
        <f>CB563*(1-IF(B563&gt;=in_marketplace_from,d_hz_loan_lap*G563,0)*CC563)</f>
        <v/>
      </c>
      <c r="CC564" s="11">
        <f>MIN(in_approval_cap,in_loan_lap_approval*INDEX('Age profile'!$O$2:$O$61,B564)*(1+in_approval_growth)^(D564-1))</f>
        <v/>
      </c>
      <c r="CD564" s="14">
        <f>F564*CB564*IF(B564&gt;=in_marketplace_from,d_hz_loan_lap*G564,0)*CC564*in_loan_lap_ticket*in_loan_lap_comm</f>
        <v/>
      </c>
      <c r="CE564" s="14">
        <f>AA564+AB564+AC564+AD564+AG564+AJ564+AM564+AP564+AS564+AU564+AX564+BB564+BE564+BG564+BJ564+BL564+BO564+BR564+BT564+BV564+BX564+CA564+CD564</f>
        <v/>
      </c>
    </row>
    <row r="565">
      <c r="A565" s="39" t="n">
        <v>11</v>
      </c>
      <c r="B565" s="39" t="n">
        <v>9</v>
      </c>
      <c r="C565" s="39">
        <f>A565+B565-1</f>
        <v/>
      </c>
      <c r="D565" s="39">
        <f>INT((C565-1)/12)+1</f>
        <v/>
      </c>
      <c r="E565" s="44">
        <f>INDEX(Monthly!$B$2:$B$61,A565)</f>
        <v/>
      </c>
      <c r="F565" s="44">
        <f>E565*INDEX('Age profile'!$B$2:$B$61,B565)</f>
        <v/>
      </c>
      <c r="G565" s="45">
        <f>MIN(in_takeup_cap,INDEX('Age profile'!$N$2:$N$61,B565)*(1+in_takeup_growth)^(D565-1))</f>
        <v/>
      </c>
      <c r="H565" s="11">
        <f>MIN(in_approval_cap,in_approved_first*INDEX('Age profile'!$O$2:$O$61,B565)*(1+in_approval_growth)^(D565-1))</f>
        <v/>
      </c>
      <c r="I565" s="45">
        <f>G565*MIN(in_takeup_cap,INDEX('Age profile'!$O$2:$O$61,B565)*(1+in_approval_growth)^(D565-1))</f>
        <v/>
      </c>
      <c r="J565" s="40">
        <f>(J564-L564)*F565/F564</f>
        <v/>
      </c>
      <c r="K565" s="40">
        <f>(K564-M564)*F565/F564+SUMIFS(O557:O564,B557:B564,B565-1-d_T)*F565</f>
        <v/>
      </c>
      <c r="L565" s="40">
        <f>IF(B565&gt;=in_marketplace_from,J565*d_hz*G565*in_eligible*H565,0)</f>
        <v/>
      </c>
      <c r="M565" s="40">
        <f>IF(B565&gt;=in_marketplace_from,K565*d_hz*G565*in_eligible*in_approved_repeat,0)</f>
        <v/>
      </c>
      <c r="N565" s="40">
        <f>L565+M565</f>
        <v/>
      </c>
      <c r="O565" s="46">
        <f>N565/F565</f>
        <v/>
      </c>
      <c r="P565" s="40">
        <f>F565-J565-K565</f>
        <v/>
      </c>
      <c r="Q565" s="40">
        <f>IF(B565&gt;=in_marketplace_from,(J565+K565)*d_hz*G565,0)</f>
        <v/>
      </c>
      <c r="R565" s="40">
        <f>SUMIFS(N557:N606,B557:B606,"&gt;="&amp;(B565-d_T),B557:B606,"&lt;="&amp;(B565-1))</f>
        <v/>
      </c>
      <c r="S565" s="46">
        <f>(1-d_u)*S564+IF(d_T&gt;in_topup_lag,SUMIFS(O557:O606,B557:B606,B565-in_topup_lag)-d_udrop*SUMIFS(O557:O606,B557:B606,B565-d_T),0)</f>
        <v/>
      </c>
      <c r="T565" s="40">
        <f>F565*d_u*S565</f>
        <v/>
      </c>
      <c r="U565" s="9">
        <f>L565*in_ticket+M565*d_rep_ticket</f>
        <v/>
      </c>
      <c r="V565" s="9">
        <f>U565+T565*d_topup_amt</f>
        <v/>
      </c>
      <c r="W565" s="40">
        <f>N565+T565*d_topup_ratio</f>
        <v/>
      </c>
      <c r="X565" s="40">
        <f>SUMIFS(W557:W606,B557:B606,B565-in_dpd_lag)*d_cured</f>
        <v/>
      </c>
      <c r="Y565" s="40">
        <f>SUMIFS(W557:W606,B557:B606,B565-in_rec_lag)*d_recd</f>
        <v/>
      </c>
      <c r="Z565" s="40">
        <f>IF(AND(B565&gt;=in_marketplace_from,B565&lt;in_marketplace_from+in_card_months),in_card_share/in_card_months*F565*I565,IF(AND(B565&gt;=in_marketplace_from+in_card_months,B565&lt;in_marketplace_from+2*in_card_months),in_card_share*d_card_rem/in_card_months*F565*MIN(in_takeup_cap,(1+in_takeup_growth)^(D565-1))*MIN(in_takeup_cap,(1+in_approval_growth)^(D565-1)),0))</f>
        <v/>
      </c>
      <c r="AA565" s="14">
        <f>V565*in_fee*(1-in_taken_back)</f>
        <v/>
      </c>
      <c r="AB565" s="14">
        <f>SUMIFS(W557:W606,B557:B606,B565-in_dpd_lag)*d_dpd</f>
        <v/>
      </c>
      <c r="AC565" s="14">
        <f>SUMIFS(W557:W606,B557:B606,B565-in_rec_lag)*d_rec</f>
        <v/>
      </c>
      <c r="AD565" s="14">
        <f>Z565*in_card_fee</f>
        <v/>
      </c>
      <c r="AE565" s="40">
        <f>AE564*(1-IF(B564&gt;=in_marketplace_from,d_hz_hlth_small*G564,0))</f>
        <v/>
      </c>
      <c r="AF565" s="46">
        <f>AE565*IF(B565&gt;=in_marketplace_from,d_hz_hlth_small*G565,0)</f>
        <v/>
      </c>
      <c r="AG565" s="14">
        <f>F565*AF565*in_hlth_small_ticket*in_hlth_small_comm*in_ins_partner_share+F565*in_hlth_small_ticket*in_hlth_small_renew_comm*in_ins_partner_share*(in_hlth_small_renew^1*SUMIFS(AF557:AF606,B557:B606,B565-12)+in_hlth_small_renew^2*SUMIFS(AF557:AF606,B557:B606,B565-24)+in_hlth_small_renew^3*SUMIFS(AF557:AF606,B557:B606,B565-36)+in_hlth_small_renew^4*SUMIFS(AF557:AF606,B557:B606,B565-48))</f>
        <v/>
      </c>
      <c r="AH565" s="40">
        <f>AH564*(1-IF(B564&gt;=in_marketplace_from,d_hz_hlth_family*G564,0))</f>
        <v/>
      </c>
      <c r="AI565" s="46">
        <f>AH565*IF(B565&gt;=in_marketplace_from,d_hz_hlth_family*G565,0)</f>
        <v/>
      </c>
      <c r="AJ565" s="14">
        <f>F565*AI565*in_hlth_family_ticket*in_hlth_family_comm*in_ins_partner_share+F565*in_hlth_family_ticket*in_hlth_family_renew_comm*in_ins_partner_share*(in_hlth_family_renew^1*SUMIFS(AI557:AI606,B557:B606,B565-12)+in_hlth_family_renew^2*SUMIFS(AI557:AI606,B557:B606,B565-24)+in_hlth_family_renew^3*SUMIFS(AI557:AI606,B557:B606,B565-36)+in_hlth_family_renew^4*SUMIFS(AI557:AI606,B557:B606,B565-48))</f>
        <v/>
      </c>
      <c r="AK565" s="40">
        <f>AK564*(1-IF(B564&gt;=in_marketplace_from,d_hz_life_term*G564,0))</f>
        <v/>
      </c>
      <c r="AL565" s="46">
        <f>AK565*IF(B565&gt;=in_marketplace_from,d_hz_life_term*G565,0)</f>
        <v/>
      </c>
      <c r="AM565" s="14">
        <f>F565*AL565*in_life_term_ticket*in_life_term_comm*in_ins_partner_share+F565*in_life_term_ticket*in_life_term_renew_comm*in_ins_partner_share*(in_life_term_renew^1*SUMIFS(AL557:AL606,B557:B606,B565-12)+in_life_term_renew^2*SUMIFS(AL557:AL606,B557:B606,B565-24)+in_life_term_renew^3*SUMIFS(AL557:AL606,B557:B606,B565-36)+in_life_term_renew^4*SUMIFS(AL557:AL606,B557:B606,B565-48))</f>
        <v/>
      </c>
      <c r="AN565" s="40">
        <f>AN564*(1-IF(B564&gt;=in_marketplace_from,d_hz_accident*G564,0))</f>
        <v/>
      </c>
      <c r="AO565" s="46">
        <f>AN565*IF(B565&gt;=in_marketplace_from,d_hz_accident*G565,0)</f>
        <v/>
      </c>
      <c r="AP565" s="14">
        <f>F565*AO565*in_accident_ticket*in_accident_comm*in_ins_partner_share+F565*in_accident_ticket*in_accident_renew_comm*in_ins_partner_share*(in_accident_renew^1*SUMIFS(AO557:AO606,B557:B606,B565-12)+in_accident_renew^2*SUMIFS(AO557:AO606,B557:B606,B565-24)+in_accident_renew^3*SUMIFS(AO557:AO606,B557:B606,B565-36)+in_accident_renew^4*SUMIFS(AO557:AO606,B557:B606,B565-48))</f>
        <v/>
      </c>
      <c r="AQ565" s="40">
        <f>AQ564*(1-IF(B564&gt;=in_marketplace_from,d_hz_two_wheeler*G564,0))</f>
        <v/>
      </c>
      <c r="AR565" s="46">
        <f>AQ565*IF(B565&gt;=in_marketplace_from,d_hz_two_wheeler*G565,0)</f>
        <v/>
      </c>
      <c r="AS565" s="14">
        <f>F565*AR565*in_two_wheeler_ticket*in_two_wheeler_comm*in_ins_partner_share+F565*in_two_wheeler_ticket*in_two_wheeler_comm*in_ins_partner_share*(in_two_wheeler_renew^1*SUMIFS(AR557:AR606,B557:B606,B565-12)+in_two_wheeler_renew^2*SUMIFS(AR557:AR606,B557:B606,B565-24)+in_two_wheeler_renew^3*SUMIFS(AR557:AR606,B557:B606,B565-36)+in_two_wheeler_renew^4*SUMIFS(AR557:AR606,B557:B606,B565-48))</f>
        <v/>
      </c>
      <c r="AT565" s="40">
        <f>AT564*(1-IF(B564&gt;=in_marketplace_from,d_hz_device*G564,0))</f>
        <v/>
      </c>
      <c r="AU565" s="14">
        <f>F565*AT565*IF(B565&gt;=in_marketplace_from,d_hz_device*G565,0)*in_device_ticket*in_device_comm*in_ins_partner_share</f>
        <v/>
      </c>
      <c r="AV565" s="40">
        <f>AV564*(1-IF(B564&gt;=in_marketplace_from,d_hz_shop*G564,0))</f>
        <v/>
      </c>
      <c r="AW565" s="46">
        <f>AV565*IF(B565&gt;=in_marketplace_from,d_hz_shop*G565,0)</f>
        <v/>
      </c>
      <c r="AX565" s="14">
        <f>F565*AW565*in_shop_ticket*in_shop_comm*in_ins_partner_share+F565*in_shop_ticket*in_shop_renew_comm*in_ins_partner_share*(in_shop_renew^1*SUMIFS(AW557:AW606,B557:B606,B565-12)+in_shop_renew^2*SUMIFS(AW557:AW606,B557:B606,B565-24)+in_shop_renew^3*SUMIFS(AW557:AW606,B557:B606,B565-36)+in_shop_renew^4*SUMIFS(AW557:AW606,B557:B606,B565-48))</f>
        <v/>
      </c>
      <c r="AY565" s="40">
        <f>AY564*(1-IF(B564&gt;=in_marketplace_from,d_hz_sip*G564,0))</f>
        <v/>
      </c>
      <c r="AZ565" s="40">
        <f>AZ564*d_rho_sip+AY565*IF(B565&gt;=in_marketplace_from,d_hz_sip*G565,0)</f>
        <v/>
      </c>
      <c r="BA565" s="40">
        <f>d_rho_sip*(BA564+AZ564)</f>
        <v/>
      </c>
      <c r="BB565" s="14">
        <f>F565*in_sip_ticket*(BA565+0.5*AZ565)*in_sip_comm/12</f>
        <v/>
      </c>
      <c r="BC565" s="40">
        <f>BC564*(1-IF(B564&gt;=in_marketplace_from,d_hz_choti*G564,0))</f>
        <v/>
      </c>
      <c r="BD565" s="46">
        <f>BC565*IF(B565&gt;=in_marketplace_from,d_hz_choti*G565,0)</f>
        <v/>
      </c>
      <c r="BE565" s="14">
        <f>F565*SUMIFS(BD557:BD606,B557:B606,B565-in_choti_months)*in_choti_renew*in_choti_ticket</f>
        <v/>
      </c>
      <c r="BF565" s="40">
        <f>BF564*(1-IF(B564&gt;=in_marketplace_from,d_hz_nps*G564,0))</f>
        <v/>
      </c>
      <c r="BG565" s="14">
        <f>F565*BF565*IF(B565&gt;=in_marketplace_from,d_hz_nps*G565,0)*in_nps_ticket*in_nps_comm</f>
        <v/>
      </c>
      <c r="BH565" s="40">
        <f>BH564*(1-IF(B564&gt;=in_marketplace_from,d_hz_gold*G564,0))</f>
        <v/>
      </c>
      <c r="BI565" s="40">
        <f>BI564*d_rho_gold+BH565*IF(B565&gt;=in_marketplace_from,d_hz_gold*G565,0)</f>
        <v/>
      </c>
      <c r="BJ565" s="14">
        <f>F565*BI565*in_gold_ticket*in_gold_comm</f>
        <v/>
      </c>
      <c r="BK565" s="40">
        <f>BK564*(1-IF(B564&gt;=in_marketplace_from,d_hz_fd*G564,0))</f>
        <v/>
      </c>
      <c r="BL565" s="14">
        <f>F565*BK565*IF(B565&gt;=in_marketplace_from,d_hz_fd*G565,0)*in_fd_ticket*in_fd_comm</f>
        <v/>
      </c>
      <c r="BM565" s="40">
        <f>BM564*(1-IF(B564&gt;=in_marketplace_from,d_hz_recharge*G564,0))</f>
        <v/>
      </c>
      <c r="BN565" s="40">
        <f>BN564*d_rho_recharge+BM565*IF(B565&gt;=in_marketplace_from,d_hz_recharge*G565,0)</f>
        <v/>
      </c>
      <c r="BO565" s="14">
        <f>F565*BN565*in_recharge_ticket*in_recharge_comm/12</f>
        <v/>
      </c>
      <c r="BP565" s="40">
        <f>BP564*(1-IF(B564&gt;=in_marketplace_from,d_hz_bills*G564,0))</f>
        <v/>
      </c>
      <c r="BQ565" s="40">
        <f>BQ564*d_rho_bills+BP565*IF(B565&gt;=in_marketplace_from,d_hz_bills*G565,0)</f>
        <v/>
      </c>
      <c r="BR565" s="14">
        <f>F565*BQ565*in_bills_ticket*in_bills_comm/12</f>
        <v/>
      </c>
      <c r="BS565" s="40">
        <f>BS564*(1-IF(B564&gt;=in_marketplace_from,d_hz_loan_gold*G564,0))</f>
        <v/>
      </c>
      <c r="BT565" s="14">
        <f>F565*BS565*IF(B565&gt;=in_marketplace_from,d_hz_loan_gold*G565,0)*in_loan_gold_ticket*in_loan_gold_comm</f>
        <v/>
      </c>
      <c r="BU565" s="40">
        <f>BU564*(1-IF(B564&gt;=in_marketplace_from,d_hz_loan_cd*G564,0))</f>
        <v/>
      </c>
      <c r="BV565" s="14">
        <f>F565*BU565*IF(B565&gt;=in_marketplace_from,d_hz_loan_cd*G565,0)*in_loan_cd_ticket*in_loan_cd_comm</f>
        <v/>
      </c>
      <c r="BW565" s="40">
        <f>BW564*(1-IF(B564&gt;=in_marketplace_from,d_hz_loan_vehicle*G564,0))</f>
        <v/>
      </c>
      <c r="BX565" s="14">
        <f>F565*BW565*IF(B565&gt;=in_marketplace_from,d_hz_loan_vehicle*G565,0)*in_loan_vehicle_ticket*in_loan_vehicle_comm</f>
        <v/>
      </c>
      <c r="BY565" s="40">
        <f>BY564*(1-IF(B564&gt;=in_marketplace_from,d_hz_loan_home*G564,0)*BZ564)</f>
        <v/>
      </c>
      <c r="BZ565" s="11">
        <f>MIN(in_approval_cap,in_loan_home_approval*INDEX('Age profile'!$O$2:$O$61,B565)*(1+in_approval_growth)^(D565-1))</f>
        <v/>
      </c>
      <c r="CA565" s="14">
        <f>F565*BY565*IF(B565&gt;=in_marketplace_from,d_hz_loan_home*G565,0)*BZ565*in_loan_home_ticket*in_loan_home_comm</f>
        <v/>
      </c>
      <c r="CB565" s="40">
        <f>CB564*(1-IF(B564&gt;=in_marketplace_from,d_hz_loan_lap*G564,0)*CC564)</f>
        <v/>
      </c>
      <c r="CC565" s="11">
        <f>MIN(in_approval_cap,in_loan_lap_approval*INDEX('Age profile'!$O$2:$O$61,B565)*(1+in_approval_growth)^(D565-1))</f>
        <v/>
      </c>
      <c r="CD565" s="14">
        <f>F565*CB565*IF(B565&gt;=in_marketplace_from,d_hz_loan_lap*G565,0)*CC565*in_loan_lap_ticket*in_loan_lap_comm</f>
        <v/>
      </c>
      <c r="CE565" s="14">
        <f>AA565+AB565+AC565+AD565+AG565+AJ565+AM565+AP565+AS565+AU565+AX565+BB565+BE565+BG565+BJ565+BL565+BO565+BR565+BT565+BV565+BX565+CA565+CD565</f>
        <v/>
      </c>
    </row>
    <row r="566">
      <c r="A566" s="39" t="n">
        <v>11</v>
      </c>
      <c r="B566" s="39" t="n">
        <v>10</v>
      </c>
      <c r="C566" s="39">
        <f>A566+B566-1</f>
        <v/>
      </c>
      <c r="D566" s="39">
        <f>INT((C566-1)/12)+1</f>
        <v/>
      </c>
      <c r="E566" s="44">
        <f>INDEX(Monthly!$B$2:$B$61,A566)</f>
        <v/>
      </c>
      <c r="F566" s="44">
        <f>E566*INDEX('Age profile'!$B$2:$B$61,B566)</f>
        <v/>
      </c>
      <c r="G566" s="45">
        <f>MIN(in_takeup_cap,INDEX('Age profile'!$N$2:$N$61,B566)*(1+in_takeup_growth)^(D566-1))</f>
        <v/>
      </c>
      <c r="H566" s="11">
        <f>MIN(in_approval_cap,in_approved_first*INDEX('Age profile'!$O$2:$O$61,B566)*(1+in_approval_growth)^(D566-1))</f>
        <v/>
      </c>
      <c r="I566" s="45">
        <f>G566*MIN(in_takeup_cap,INDEX('Age profile'!$O$2:$O$61,B566)*(1+in_approval_growth)^(D566-1))</f>
        <v/>
      </c>
      <c r="J566" s="40">
        <f>(J565-L565)*F566/F565</f>
        <v/>
      </c>
      <c r="K566" s="40">
        <f>(K565-M565)*F566/F565+SUMIFS(O557:O565,B557:B565,B566-1-d_T)*F566</f>
        <v/>
      </c>
      <c r="L566" s="40">
        <f>IF(B566&gt;=in_marketplace_from,J566*d_hz*G566*in_eligible*H566,0)</f>
        <v/>
      </c>
      <c r="M566" s="40">
        <f>IF(B566&gt;=in_marketplace_from,K566*d_hz*G566*in_eligible*in_approved_repeat,0)</f>
        <v/>
      </c>
      <c r="N566" s="40">
        <f>L566+M566</f>
        <v/>
      </c>
      <c r="O566" s="46">
        <f>N566/F566</f>
        <v/>
      </c>
      <c r="P566" s="40">
        <f>F566-J566-K566</f>
        <v/>
      </c>
      <c r="Q566" s="40">
        <f>IF(B566&gt;=in_marketplace_from,(J566+K566)*d_hz*G566,0)</f>
        <v/>
      </c>
      <c r="R566" s="40">
        <f>SUMIFS(N557:N606,B557:B606,"&gt;="&amp;(B566-d_T),B557:B606,"&lt;="&amp;(B566-1))</f>
        <v/>
      </c>
      <c r="S566" s="46">
        <f>(1-d_u)*S565+IF(d_T&gt;in_topup_lag,SUMIFS(O557:O606,B557:B606,B566-in_topup_lag)-d_udrop*SUMIFS(O557:O606,B557:B606,B566-d_T),0)</f>
        <v/>
      </c>
      <c r="T566" s="40">
        <f>F566*d_u*S566</f>
        <v/>
      </c>
      <c r="U566" s="9">
        <f>L566*in_ticket+M566*d_rep_ticket</f>
        <v/>
      </c>
      <c r="V566" s="9">
        <f>U566+T566*d_topup_amt</f>
        <v/>
      </c>
      <c r="W566" s="40">
        <f>N566+T566*d_topup_ratio</f>
        <v/>
      </c>
      <c r="X566" s="40">
        <f>SUMIFS(W557:W606,B557:B606,B566-in_dpd_lag)*d_cured</f>
        <v/>
      </c>
      <c r="Y566" s="40">
        <f>SUMIFS(W557:W606,B557:B606,B566-in_rec_lag)*d_recd</f>
        <v/>
      </c>
      <c r="Z566" s="40">
        <f>IF(AND(B566&gt;=in_marketplace_from,B566&lt;in_marketplace_from+in_card_months),in_card_share/in_card_months*F566*I566,IF(AND(B566&gt;=in_marketplace_from+in_card_months,B566&lt;in_marketplace_from+2*in_card_months),in_card_share*d_card_rem/in_card_months*F566*MIN(in_takeup_cap,(1+in_takeup_growth)^(D566-1))*MIN(in_takeup_cap,(1+in_approval_growth)^(D566-1)),0))</f>
        <v/>
      </c>
      <c r="AA566" s="14">
        <f>V566*in_fee*(1-in_taken_back)</f>
        <v/>
      </c>
      <c r="AB566" s="14">
        <f>SUMIFS(W557:W606,B557:B606,B566-in_dpd_lag)*d_dpd</f>
        <v/>
      </c>
      <c r="AC566" s="14">
        <f>SUMIFS(W557:W606,B557:B606,B566-in_rec_lag)*d_rec</f>
        <v/>
      </c>
      <c r="AD566" s="14">
        <f>Z566*in_card_fee</f>
        <v/>
      </c>
      <c r="AE566" s="40">
        <f>AE565*(1-IF(B565&gt;=in_marketplace_from,d_hz_hlth_small*G565,0))</f>
        <v/>
      </c>
      <c r="AF566" s="46">
        <f>AE566*IF(B566&gt;=in_marketplace_from,d_hz_hlth_small*G566,0)</f>
        <v/>
      </c>
      <c r="AG566" s="14">
        <f>F566*AF566*in_hlth_small_ticket*in_hlth_small_comm*in_ins_partner_share+F566*in_hlth_small_ticket*in_hlth_small_renew_comm*in_ins_partner_share*(in_hlth_small_renew^1*SUMIFS(AF557:AF606,B557:B606,B566-12)+in_hlth_small_renew^2*SUMIFS(AF557:AF606,B557:B606,B566-24)+in_hlth_small_renew^3*SUMIFS(AF557:AF606,B557:B606,B566-36)+in_hlth_small_renew^4*SUMIFS(AF557:AF606,B557:B606,B566-48))</f>
        <v/>
      </c>
      <c r="AH566" s="40">
        <f>AH565*(1-IF(B565&gt;=in_marketplace_from,d_hz_hlth_family*G565,0))</f>
        <v/>
      </c>
      <c r="AI566" s="46">
        <f>AH566*IF(B566&gt;=in_marketplace_from,d_hz_hlth_family*G566,0)</f>
        <v/>
      </c>
      <c r="AJ566" s="14">
        <f>F566*AI566*in_hlth_family_ticket*in_hlth_family_comm*in_ins_partner_share+F566*in_hlth_family_ticket*in_hlth_family_renew_comm*in_ins_partner_share*(in_hlth_family_renew^1*SUMIFS(AI557:AI606,B557:B606,B566-12)+in_hlth_family_renew^2*SUMIFS(AI557:AI606,B557:B606,B566-24)+in_hlth_family_renew^3*SUMIFS(AI557:AI606,B557:B606,B566-36)+in_hlth_family_renew^4*SUMIFS(AI557:AI606,B557:B606,B566-48))</f>
        <v/>
      </c>
      <c r="AK566" s="40">
        <f>AK565*(1-IF(B565&gt;=in_marketplace_from,d_hz_life_term*G565,0))</f>
        <v/>
      </c>
      <c r="AL566" s="46">
        <f>AK566*IF(B566&gt;=in_marketplace_from,d_hz_life_term*G566,0)</f>
        <v/>
      </c>
      <c r="AM566" s="14">
        <f>F566*AL566*in_life_term_ticket*in_life_term_comm*in_ins_partner_share+F566*in_life_term_ticket*in_life_term_renew_comm*in_ins_partner_share*(in_life_term_renew^1*SUMIFS(AL557:AL606,B557:B606,B566-12)+in_life_term_renew^2*SUMIFS(AL557:AL606,B557:B606,B566-24)+in_life_term_renew^3*SUMIFS(AL557:AL606,B557:B606,B566-36)+in_life_term_renew^4*SUMIFS(AL557:AL606,B557:B606,B566-48))</f>
        <v/>
      </c>
      <c r="AN566" s="40">
        <f>AN565*(1-IF(B565&gt;=in_marketplace_from,d_hz_accident*G565,0))</f>
        <v/>
      </c>
      <c r="AO566" s="46">
        <f>AN566*IF(B566&gt;=in_marketplace_from,d_hz_accident*G566,0)</f>
        <v/>
      </c>
      <c r="AP566" s="14">
        <f>F566*AO566*in_accident_ticket*in_accident_comm*in_ins_partner_share+F566*in_accident_ticket*in_accident_renew_comm*in_ins_partner_share*(in_accident_renew^1*SUMIFS(AO557:AO606,B557:B606,B566-12)+in_accident_renew^2*SUMIFS(AO557:AO606,B557:B606,B566-24)+in_accident_renew^3*SUMIFS(AO557:AO606,B557:B606,B566-36)+in_accident_renew^4*SUMIFS(AO557:AO606,B557:B606,B566-48))</f>
        <v/>
      </c>
      <c r="AQ566" s="40">
        <f>AQ565*(1-IF(B565&gt;=in_marketplace_from,d_hz_two_wheeler*G565,0))</f>
        <v/>
      </c>
      <c r="AR566" s="46">
        <f>AQ566*IF(B566&gt;=in_marketplace_from,d_hz_two_wheeler*G566,0)</f>
        <v/>
      </c>
      <c r="AS566" s="14">
        <f>F566*AR566*in_two_wheeler_ticket*in_two_wheeler_comm*in_ins_partner_share+F566*in_two_wheeler_ticket*in_two_wheeler_comm*in_ins_partner_share*(in_two_wheeler_renew^1*SUMIFS(AR557:AR606,B557:B606,B566-12)+in_two_wheeler_renew^2*SUMIFS(AR557:AR606,B557:B606,B566-24)+in_two_wheeler_renew^3*SUMIFS(AR557:AR606,B557:B606,B566-36)+in_two_wheeler_renew^4*SUMIFS(AR557:AR606,B557:B606,B566-48))</f>
        <v/>
      </c>
      <c r="AT566" s="40">
        <f>AT565*(1-IF(B565&gt;=in_marketplace_from,d_hz_device*G565,0))</f>
        <v/>
      </c>
      <c r="AU566" s="14">
        <f>F566*AT566*IF(B566&gt;=in_marketplace_from,d_hz_device*G566,0)*in_device_ticket*in_device_comm*in_ins_partner_share</f>
        <v/>
      </c>
      <c r="AV566" s="40">
        <f>AV565*(1-IF(B565&gt;=in_marketplace_from,d_hz_shop*G565,0))</f>
        <v/>
      </c>
      <c r="AW566" s="46">
        <f>AV566*IF(B566&gt;=in_marketplace_from,d_hz_shop*G566,0)</f>
        <v/>
      </c>
      <c r="AX566" s="14">
        <f>F566*AW566*in_shop_ticket*in_shop_comm*in_ins_partner_share+F566*in_shop_ticket*in_shop_renew_comm*in_ins_partner_share*(in_shop_renew^1*SUMIFS(AW557:AW606,B557:B606,B566-12)+in_shop_renew^2*SUMIFS(AW557:AW606,B557:B606,B566-24)+in_shop_renew^3*SUMIFS(AW557:AW606,B557:B606,B566-36)+in_shop_renew^4*SUMIFS(AW557:AW606,B557:B606,B566-48))</f>
        <v/>
      </c>
      <c r="AY566" s="40">
        <f>AY565*(1-IF(B565&gt;=in_marketplace_from,d_hz_sip*G565,0))</f>
        <v/>
      </c>
      <c r="AZ566" s="40">
        <f>AZ565*d_rho_sip+AY566*IF(B566&gt;=in_marketplace_from,d_hz_sip*G566,0)</f>
        <v/>
      </c>
      <c r="BA566" s="40">
        <f>d_rho_sip*(BA565+AZ565)</f>
        <v/>
      </c>
      <c r="BB566" s="14">
        <f>F566*in_sip_ticket*(BA566+0.5*AZ566)*in_sip_comm/12</f>
        <v/>
      </c>
      <c r="BC566" s="40">
        <f>BC565*(1-IF(B565&gt;=in_marketplace_from,d_hz_choti*G565,0))</f>
        <v/>
      </c>
      <c r="BD566" s="46">
        <f>BC566*IF(B566&gt;=in_marketplace_from,d_hz_choti*G566,0)</f>
        <v/>
      </c>
      <c r="BE566" s="14">
        <f>F566*SUMIFS(BD557:BD606,B557:B606,B566-in_choti_months)*in_choti_renew*in_choti_ticket</f>
        <v/>
      </c>
      <c r="BF566" s="40">
        <f>BF565*(1-IF(B565&gt;=in_marketplace_from,d_hz_nps*G565,0))</f>
        <v/>
      </c>
      <c r="BG566" s="14">
        <f>F566*BF566*IF(B566&gt;=in_marketplace_from,d_hz_nps*G566,0)*in_nps_ticket*in_nps_comm</f>
        <v/>
      </c>
      <c r="BH566" s="40">
        <f>BH565*(1-IF(B565&gt;=in_marketplace_from,d_hz_gold*G565,0))</f>
        <v/>
      </c>
      <c r="BI566" s="40">
        <f>BI565*d_rho_gold+BH566*IF(B566&gt;=in_marketplace_from,d_hz_gold*G566,0)</f>
        <v/>
      </c>
      <c r="BJ566" s="14">
        <f>F566*BI566*in_gold_ticket*in_gold_comm</f>
        <v/>
      </c>
      <c r="BK566" s="40">
        <f>BK565*(1-IF(B565&gt;=in_marketplace_from,d_hz_fd*G565,0))</f>
        <v/>
      </c>
      <c r="BL566" s="14">
        <f>F566*BK566*IF(B566&gt;=in_marketplace_from,d_hz_fd*G566,0)*in_fd_ticket*in_fd_comm</f>
        <v/>
      </c>
      <c r="BM566" s="40">
        <f>BM565*(1-IF(B565&gt;=in_marketplace_from,d_hz_recharge*G565,0))</f>
        <v/>
      </c>
      <c r="BN566" s="40">
        <f>BN565*d_rho_recharge+BM566*IF(B566&gt;=in_marketplace_from,d_hz_recharge*G566,0)</f>
        <v/>
      </c>
      <c r="BO566" s="14">
        <f>F566*BN566*in_recharge_ticket*in_recharge_comm/12</f>
        <v/>
      </c>
      <c r="BP566" s="40">
        <f>BP565*(1-IF(B565&gt;=in_marketplace_from,d_hz_bills*G565,0))</f>
        <v/>
      </c>
      <c r="BQ566" s="40">
        <f>BQ565*d_rho_bills+BP566*IF(B566&gt;=in_marketplace_from,d_hz_bills*G566,0)</f>
        <v/>
      </c>
      <c r="BR566" s="14">
        <f>F566*BQ566*in_bills_ticket*in_bills_comm/12</f>
        <v/>
      </c>
      <c r="BS566" s="40">
        <f>BS565*(1-IF(B565&gt;=in_marketplace_from,d_hz_loan_gold*G565,0))</f>
        <v/>
      </c>
      <c r="BT566" s="14">
        <f>F566*BS566*IF(B566&gt;=in_marketplace_from,d_hz_loan_gold*G566,0)*in_loan_gold_ticket*in_loan_gold_comm</f>
        <v/>
      </c>
      <c r="BU566" s="40">
        <f>BU565*(1-IF(B565&gt;=in_marketplace_from,d_hz_loan_cd*G565,0))</f>
        <v/>
      </c>
      <c r="BV566" s="14">
        <f>F566*BU566*IF(B566&gt;=in_marketplace_from,d_hz_loan_cd*G566,0)*in_loan_cd_ticket*in_loan_cd_comm</f>
        <v/>
      </c>
      <c r="BW566" s="40">
        <f>BW565*(1-IF(B565&gt;=in_marketplace_from,d_hz_loan_vehicle*G565,0))</f>
        <v/>
      </c>
      <c r="BX566" s="14">
        <f>F566*BW566*IF(B566&gt;=in_marketplace_from,d_hz_loan_vehicle*G566,0)*in_loan_vehicle_ticket*in_loan_vehicle_comm</f>
        <v/>
      </c>
      <c r="BY566" s="40">
        <f>BY565*(1-IF(B565&gt;=in_marketplace_from,d_hz_loan_home*G565,0)*BZ565)</f>
        <v/>
      </c>
      <c r="BZ566" s="11">
        <f>MIN(in_approval_cap,in_loan_home_approval*INDEX('Age profile'!$O$2:$O$61,B566)*(1+in_approval_growth)^(D566-1))</f>
        <v/>
      </c>
      <c r="CA566" s="14">
        <f>F566*BY566*IF(B566&gt;=in_marketplace_from,d_hz_loan_home*G566,0)*BZ566*in_loan_home_ticket*in_loan_home_comm</f>
        <v/>
      </c>
      <c r="CB566" s="40">
        <f>CB565*(1-IF(B565&gt;=in_marketplace_from,d_hz_loan_lap*G565,0)*CC565)</f>
        <v/>
      </c>
      <c r="CC566" s="11">
        <f>MIN(in_approval_cap,in_loan_lap_approval*INDEX('Age profile'!$O$2:$O$61,B566)*(1+in_approval_growth)^(D566-1))</f>
        <v/>
      </c>
      <c r="CD566" s="14">
        <f>F566*CB566*IF(B566&gt;=in_marketplace_from,d_hz_loan_lap*G566,0)*CC566*in_loan_lap_ticket*in_loan_lap_comm</f>
        <v/>
      </c>
      <c r="CE566" s="14">
        <f>AA566+AB566+AC566+AD566+AG566+AJ566+AM566+AP566+AS566+AU566+AX566+BB566+BE566+BG566+BJ566+BL566+BO566+BR566+BT566+BV566+BX566+CA566+CD566</f>
        <v/>
      </c>
    </row>
    <row r="567">
      <c r="A567" s="39" t="n">
        <v>11</v>
      </c>
      <c r="B567" s="39" t="n">
        <v>11</v>
      </c>
      <c r="C567" s="39">
        <f>A567+B567-1</f>
        <v/>
      </c>
      <c r="D567" s="39">
        <f>INT((C567-1)/12)+1</f>
        <v/>
      </c>
      <c r="E567" s="44">
        <f>INDEX(Monthly!$B$2:$B$61,A567)</f>
        <v/>
      </c>
      <c r="F567" s="44">
        <f>E567*INDEX('Age profile'!$B$2:$B$61,B567)</f>
        <v/>
      </c>
      <c r="G567" s="45">
        <f>MIN(in_takeup_cap,INDEX('Age profile'!$N$2:$N$61,B567)*(1+in_takeup_growth)^(D567-1))</f>
        <v/>
      </c>
      <c r="H567" s="11">
        <f>MIN(in_approval_cap,in_approved_first*INDEX('Age profile'!$O$2:$O$61,B567)*(1+in_approval_growth)^(D567-1))</f>
        <v/>
      </c>
      <c r="I567" s="45">
        <f>G567*MIN(in_takeup_cap,INDEX('Age profile'!$O$2:$O$61,B567)*(1+in_approval_growth)^(D567-1))</f>
        <v/>
      </c>
      <c r="J567" s="40">
        <f>(J566-L566)*F567/F566</f>
        <v/>
      </c>
      <c r="K567" s="40">
        <f>(K566-M566)*F567/F566+SUMIFS(O557:O566,B557:B566,B567-1-d_T)*F567</f>
        <v/>
      </c>
      <c r="L567" s="40">
        <f>IF(B567&gt;=in_marketplace_from,J567*d_hz*G567*in_eligible*H567,0)</f>
        <v/>
      </c>
      <c r="M567" s="40">
        <f>IF(B567&gt;=in_marketplace_from,K567*d_hz*G567*in_eligible*in_approved_repeat,0)</f>
        <v/>
      </c>
      <c r="N567" s="40">
        <f>L567+M567</f>
        <v/>
      </c>
      <c r="O567" s="46">
        <f>N567/F567</f>
        <v/>
      </c>
      <c r="P567" s="40">
        <f>F567-J567-K567</f>
        <v/>
      </c>
      <c r="Q567" s="40">
        <f>IF(B567&gt;=in_marketplace_from,(J567+K567)*d_hz*G567,0)</f>
        <v/>
      </c>
      <c r="R567" s="40">
        <f>SUMIFS(N557:N606,B557:B606,"&gt;="&amp;(B567-d_T),B557:B606,"&lt;="&amp;(B567-1))</f>
        <v/>
      </c>
      <c r="S567" s="46">
        <f>(1-d_u)*S566+IF(d_T&gt;in_topup_lag,SUMIFS(O557:O606,B557:B606,B567-in_topup_lag)-d_udrop*SUMIFS(O557:O606,B557:B606,B567-d_T),0)</f>
        <v/>
      </c>
      <c r="T567" s="40">
        <f>F567*d_u*S567</f>
        <v/>
      </c>
      <c r="U567" s="9">
        <f>L567*in_ticket+M567*d_rep_ticket</f>
        <v/>
      </c>
      <c r="V567" s="9">
        <f>U567+T567*d_topup_amt</f>
        <v/>
      </c>
      <c r="W567" s="40">
        <f>N567+T567*d_topup_ratio</f>
        <v/>
      </c>
      <c r="X567" s="40">
        <f>SUMIFS(W557:W606,B557:B606,B567-in_dpd_lag)*d_cured</f>
        <v/>
      </c>
      <c r="Y567" s="40">
        <f>SUMIFS(W557:W606,B557:B606,B567-in_rec_lag)*d_recd</f>
        <v/>
      </c>
      <c r="Z567" s="40">
        <f>IF(AND(B567&gt;=in_marketplace_from,B567&lt;in_marketplace_from+in_card_months),in_card_share/in_card_months*F567*I567,IF(AND(B567&gt;=in_marketplace_from+in_card_months,B567&lt;in_marketplace_from+2*in_card_months),in_card_share*d_card_rem/in_card_months*F567*MIN(in_takeup_cap,(1+in_takeup_growth)^(D567-1))*MIN(in_takeup_cap,(1+in_approval_growth)^(D567-1)),0))</f>
        <v/>
      </c>
      <c r="AA567" s="14">
        <f>V567*in_fee*(1-in_taken_back)</f>
        <v/>
      </c>
      <c r="AB567" s="14">
        <f>SUMIFS(W557:W606,B557:B606,B567-in_dpd_lag)*d_dpd</f>
        <v/>
      </c>
      <c r="AC567" s="14">
        <f>SUMIFS(W557:W606,B557:B606,B567-in_rec_lag)*d_rec</f>
        <v/>
      </c>
      <c r="AD567" s="14">
        <f>Z567*in_card_fee</f>
        <v/>
      </c>
      <c r="AE567" s="40">
        <f>AE566*(1-IF(B566&gt;=in_marketplace_from,d_hz_hlth_small*G566,0))</f>
        <v/>
      </c>
      <c r="AF567" s="46">
        <f>AE567*IF(B567&gt;=in_marketplace_from,d_hz_hlth_small*G567,0)</f>
        <v/>
      </c>
      <c r="AG567" s="14">
        <f>F567*AF567*in_hlth_small_ticket*in_hlth_small_comm*in_ins_partner_share+F567*in_hlth_small_ticket*in_hlth_small_renew_comm*in_ins_partner_share*(in_hlth_small_renew^1*SUMIFS(AF557:AF606,B557:B606,B567-12)+in_hlth_small_renew^2*SUMIFS(AF557:AF606,B557:B606,B567-24)+in_hlth_small_renew^3*SUMIFS(AF557:AF606,B557:B606,B567-36)+in_hlth_small_renew^4*SUMIFS(AF557:AF606,B557:B606,B567-48))</f>
        <v/>
      </c>
      <c r="AH567" s="40">
        <f>AH566*(1-IF(B566&gt;=in_marketplace_from,d_hz_hlth_family*G566,0))</f>
        <v/>
      </c>
      <c r="AI567" s="46">
        <f>AH567*IF(B567&gt;=in_marketplace_from,d_hz_hlth_family*G567,0)</f>
        <v/>
      </c>
      <c r="AJ567" s="14">
        <f>F567*AI567*in_hlth_family_ticket*in_hlth_family_comm*in_ins_partner_share+F567*in_hlth_family_ticket*in_hlth_family_renew_comm*in_ins_partner_share*(in_hlth_family_renew^1*SUMIFS(AI557:AI606,B557:B606,B567-12)+in_hlth_family_renew^2*SUMIFS(AI557:AI606,B557:B606,B567-24)+in_hlth_family_renew^3*SUMIFS(AI557:AI606,B557:B606,B567-36)+in_hlth_family_renew^4*SUMIFS(AI557:AI606,B557:B606,B567-48))</f>
        <v/>
      </c>
      <c r="AK567" s="40">
        <f>AK566*(1-IF(B566&gt;=in_marketplace_from,d_hz_life_term*G566,0))</f>
        <v/>
      </c>
      <c r="AL567" s="46">
        <f>AK567*IF(B567&gt;=in_marketplace_from,d_hz_life_term*G567,0)</f>
        <v/>
      </c>
      <c r="AM567" s="14">
        <f>F567*AL567*in_life_term_ticket*in_life_term_comm*in_ins_partner_share+F567*in_life_term_ticket*in_life_term_renew_comm*in_ins_partner_share*(in_life_term_renew^1*SUMIFS(AL557:AL606,B557:B606,B567-12)+in_life_term_renew^2*SUMIFS(AL557:AL606,B557:B606,B567-24)+in_life_term_renew^3*SUMIFS(AL557:AL606,B557:B606,B567-36)+in_life_term_renew^4*SUMIFS(AL557:AL606,B557:B606,B567-48))</f>
        <v/>
      </c>
      <c r="AN567" s="40">
        <f>AN566*(1-IF(B566&gt;=in_marketplace_from,d_hz_accident*G566,0))</f>
        <v/>
      </c>
      <c r="AO567" s="46">
        <f>AN567*IF(B567&gt;=in_marketplace_from,d_hz_accident*G567,0)</f>
        <v/>
      </c>
      <c r="AP567" s="14">
        <f>F567*AO567*in_accident_ticket*in_accident_comm*in_ins_partner_share+F567*in_accident_ticket*in_accident_renew_comm*in_ins_partner_share*(in_accident_renew^1*SUMIFS(AO557:AO606,B557:B606,B567-12)+in_accident_renew^2*SUMIFS(AO557:AO606,B557:B606,B567-24)+in_accident_renew^3*SUMIFS(AO557:AO606,B557:B606,B567-36)+in_accident_renew^4*SUMIFS(AO557:AO606,B557:B606,B567-48))</f>
        <v/>
      </c>
      <c r="AQ567" s="40">
        <f>AQ566*(1-IF(B566&gt;=in_marketplace_from,d_hz_two_wheeler*G566,0))</f>
        <v/>
      </c>
      <c r="AR567" s="46">
        <f>AQ567*IF(B567&gt;=in_marketplace_from,d_hz_two_wheeler*G567,0)</f>
        <v/>
      </c>
      <c r="AS567" s="14">
        <f>F567*AR567*in_two_wheeler_ticket*in_two_wheeler_comm*in_ins_partner_share+F567*in_two_wheeler_ticket*in_two_wheeler_comm*in_ins_partner_share*(in_two_wheeler_renew^1*SUMIFS(AR557:AR606,B557:B606,B567-12)+in_two_wheeler_renew^2*SUMIFS(AR557:AR606,B557:B606,B567-24)+in_two_wheeler_renew^3*SUMIFS(AR557:AR606,B557:B606,B567-36)+in_two_wheeler_renew^4*SUMIFS(AR557:AR606,B557:B606,B567-48))</f>
        <v/>
      </c>
      <c r="AT567" s="40">
        <f>AT566*(1-IF(B566&gt;=in_marketplace_from,d_hz_device*G566,0))</f>
        <v/>
      </c>
      <c r="AU567" s="14">
        <f>F567*AT567*IF(B567&gt;=in_marketplace_from,d_hz_device*G567,0)*in_device_ticket*in_device_comm*in_ins_partner_share</f>
        <v/>
      </c>
      <c r="AV567" s="40">
        <f>AV566*(1-IF(B566&gt;=in_marketplace_from,d_hz_shop*G566,0))</f>
        <v/>
      </c>
      <c r="AW567" s="46">
        <f>AV567*IF(B567&gt;=in_marketplace_from,d_hz_shop*G567,0)</f>
        <v/>
      </c>
      <c r="AX567" s="14">
        <f>F567*AW567*in_shop_ticket*in_shop_comm*in_ins_partner_share+F567*in_shop_ticket*in_shop_renew_comm*in_ins_partner_share*(in_shop_renew^1*SUMIFS(AW557:AW606,B557:B606,B567-12)+in_shop_renew^2*SUMIFS(AW557:AW606,B557:B606,B567-24)+in_shop_renew^3*SUMIFS(AW557:AW606,B557:B606,B567-36)+in_shop_renew^4*SUMIFS(AW557:AW606,B557:B606,B567-48))</f>
        <v/>
      </c>
      <c r="AY567" s="40">
        <f>AY566*(1-IF(B566&gt;=in_marketplace_from,d_hz_sip*G566,0))</f>
        <v/>
      </c>
      <c r="AZ567" s="40">
        <f>AZ566*d_rho_sip+AY567*IF(B567&gt;=in_marketplace_from,d_hz_sip*G567,0)</f>
        <v/>
      </c>
      <c r="BA567" s="40">
        <f>d_rho_sip*(BA566+AZ566)</f>
        <v/>
      </c>
      <c r="BB567" s="14">
        <f>F567*in_sip_ticket*(BA567+0.5*AZ567)*in_sip_comm/12</f>
        <v/>
      </c>
      <c r="BC567" s="40">
        <f>BC566*(1-IF(B566&gt;=in_marketplace_from,d_hz_choti*G566,0))</f>
        <v/>
      </c>
      <c r="BD567" s="46">
        <f>BC567*IF(B567&gt;=in_marketplace_from,d_hz_choti*G567,0)</f>
        <v/>
      </c>
      <c r="BE567" s="14">
        <f>F567*SUMIFS(BD557:BD606,B557:B606,B567-in_choti_months)*in_choti_renew*in_choti_ticket</f>
        <v/>
      </c>
      <c r="BF567" s="40">
        <f>BF566*(1-IF(B566&gt;=in_marketplace_from,d_hz_nps*G566,0))</f>
        <v/>
      </c>
      <c r="BG567" s="14">
        <f>F567*BF567*IF(B567&gt;=in_marketplace_from,d_hz_nps*G567,0)*in_nps_ticket*in_nps_comm</f>
        <v/>
      </c>
      <c r="BH567" s="40">
        <f>BH566*(1-IF(B566&gt;=in_marketplace_from,d_hz_gold*G566,0))</f>
        <v/>
      </c>
      <c r="BI567" s="40">
        <f>BI566*d_rho_gold+BH567*IF(B567&gt;=in_marketplace_from,d_hz_gold*G567,0)</f>
        <v/>
      </c>
      <c r="BJ567" s="14">
        <f>F567*BI567*in_gold_ticket*in_gold_comm</f>
        <v/>
      </c>
      <c r="BK567" s="40">
        <f>BK566*(1-IF(B566&gt;=in_marketplace_from,d_hz_fd*G566,0))</f>
        <v/>
      </c>
      <c r="BL567" s="14">
        <f>F567*BK567*IF(B567&gt;=in_marketplace_from,d_hz_fd*G567,0)*in_fd_ticket*in_fd_comm</f>
        <v/>
      </c>
      <c r="BM567" s="40">
        <f>BM566*(1-IF(B566&gt;=in_marketplace_from,d_hz_recharge*G566,0))</f>
        <v/>
      </c>
      <c r="BN567" s="40">
        <f>BN566*d_rho_recharge+BM567*IF(B567&gt;=in_marketplace_from,d_hz_recharge*G567,0)</f>
        <v/>
      </c>
      <c r="BO567" s="14">
        <f>F567*BN567*in_recharge_ticket*in_recharge_comm/12</f>
        <v/>
      </c>
      <c r="BP567" s="40">
        <f>BP566*(1-IF(B566&gt;=in_marketplace_from,d_hz_bills*G566,0))</f>
        <v/>
      </c>
      <c r="BQ567" s="40">
        <f>BQ566*d_rho_bills+BP567*IF(B567&gt;=in_marketplace_from,d_hz_bills*G567,0)</f>
        <v/>
      </c>
      <c r="BR567" s="14">
        <f>F567*BQ567*in_bills_ticket*in_bills_comm/12</f>
        <v/>
      </c>
      <c r="BS567" s="40">
        <f>BS566*(1-IF(B566&gt;=in_marketplace_from,d_hz_loan_gold*G566,0))</f>
        <v/>
      </c>
      <c r="BT567" s="14">
        <f>F567*BS567*IF(B567&gt;=in_marketplace_from,d_hz_loan_gold*G567,0)*in_loan_gold_ticket*in_loan_gold_comm</f>
        <v/>
      </c>
      <c r="BU567" s="40">
        <f>BU566*(1-IF(B566&gt;=in_marketplace_from,d_hz_loan_cd*G566,0))</f>
        <v/>
      </c>
      <c r="BV567" s="14">
        <f>F567*BU567*IF(B567&gt;=in_marketplace_from,d_hz_loan_cd*G567,0)*in_loan_cd_ticket*in_loan_cd_comm</f>
        <v/>
      </c>
      <c r="BW567" s="40">
        <f>BW566*(1-IF(B566&gt;=in_marketplace_from,d_hz_loan_vehicle*G566,0))</f>
        <v/>
      </c>
      <c r="BX567" s="14">
        <f>F567*BW567*IF(B567&gt;=in_marketplace_from,d_hz_loan_vehicle*G567,0)*in_loan_vehicle_ticket*in_loan_vehicle_comm</f>
        <v/>
      </c>
      <c r="BY567" s="40">
        <f>BY566*(1-IF(B566&gt;=in_marketplace_from,d_hz_loan_home*G566,0)*BZ566)</f>
        <v/>
      </c>
      <c r="BZ567" s="11">
        <f>MIN(in_approval_cap,in_loan_home_approval*INDEX('Age profile'!$O$2:$O$61,B567)*(1+in_approval_growth)^(D567-1))</f>
        <v/>
      </c>
      <c r="CA567" s="14">
        <f>F567*BY567*IF(B567&gt;=in_marketplace_from,d_hz_loan_home*G567,0)*BZ567*in_loan_home_ticket*in_loan_home_comm</f>
        <v/>
      </c>
      <c r="CB567" s="40">
        <f>CB566*(1-IF(B566&gt;=in_marketplace_from,d_hz_loan_lap*G566,0)*CC566)</f>
        <v/>
      </c>
      <c r="CC567" s="11">
        <f>MIN(in_approval_cap,in_loan_lap_approval*INDEX('Age profile'!$O$2:$O$61,B567)*(1+in_approval_growth)^(D567-1))</f>
        <v/>
      </c>
      <c r="CD567" s="14">
        <f>F567*CB567*IF(B567&gt;=in_marketplace_from,d_hz_loan_lap*G567,0)*CC567*in_loan_lap_ticket*in_loan_lap_comm</f>
        <v/>
      </c>
      <c r="CE567" s="14">
        <f>AA567+AB567+AC567+AD567+AG567+AJ567+AM567+AP567+AS567+AU567+AX567+BB567+BE567+BG567+BJ567+BL567+BO567+BR567+BT567+BV567+BX567+CA567+CD567</f>
        <v/>
      </c>
    </row>
    <row r="568">
      <c r="A568" s="39" t="n">
        <v>11</v>
      </c>
      <c r="B568" s="39" t="n">
        <v>12</v>
      </c>
      <c r="C568" s="39">
        <f>A568+B568-1</f>
        <v/>
      </c>
      <c r="D568" s="39">
        <f>INT((C568-1)/12)+1</f>
        <v/>
      </c>
      <c r="E568" s="44">
        <f>INDEX(Monthly!$B$2:$B$61,A568)</f>
        <v/>
      </c>
      <c r="F568" s="44">
        <f>E568*INDEX('Age profile'!$B$2:$B$61,B568)</f>
        <v/>
      </c>
      <c r="G568" s="45">
        <f>MIN(in_takeup_cap,INDEX('Age profile'!$N$2:$N$61,B568)*(1+in_takeup_growth)^(D568-1))</f>
        <v/>
      </c>
      <c r="H568" s="11">
        <f>MIN(in_approval_cap,in_approved_first*INDEX('Age profile'!$O$2:$O$61,B568)*(1+in_approval_growth)^(D568-1))</f>
        <v/>
      </c>
      <c r="I568" s="45">
        <f>G568*MIN(in_takeup_cap,INDEX('Age profile'!$O$2:$O$61,B568)*(1+in_approval_growth)^(D568-1))</f>
        <v/>
      </c>
      <c r="J568" s="40">
        <f>(J567-L567)*F568/F567</f>
        <v/>
      </c>
      <c r="K568" s="40">
        <f>(K567-M567)*F568/F567+SUMIFS(O557:O567,B557:B567,B568-1-d_T)*F568</f>
        <v/>
      </c>
      <c r="L568" s="40">
        <f>IF(B568&gt;=in_marketplace_from,J568*d_hz*G568*in_eligible*H568,0)</f>
        <v/>
      </c>
      <c r="M568" s="40">
        <f>IF(B568&gt;=in_marketplace_from,K568*d_hz*G568*in_eligible*in_approved_repeat,0)</f>
        <v/>
      </c>
      <c r="N568" s="40">
        <f>L568+M568</f>
        <v/>
      </c>
      <c r="O568" s="46">
        <f>N568/F568</f>
        <v/>
      </c>
      <c r="P568" s="40">
        <f>F568-J568-K568</f>
        <v/>
      </c>
      <c r="Q568" s="40">
        <f>IF(B568&gt;=in_marketplace_from,(J568+K568)*d_hz*G568,0)</f>
        <v/>
      </c>
      <c r="R568" s="40">
        <f>SUMIFS(N557:N606,B557:B606,"&gt;="&amp;(B568-d_T),B557:B606,"&lt;="&amp;(B568-1))</f>
        <v/>
      </c>
      <c r="S568" s="46">
        <f>(1-d_u)*S567+IF(d_T&gt;in_topup_lag,SUMIFS(O557:O606,B557:B606,B568-in_topup_lag)-d_udrop*SUMIFS(O557:O606,B557:B606,B568-d_T),0)</f>
        <v/>
      </c>
      <c r="T568" s="40">
        <f>F568*d_u*S568</f>
        <v/>
      </c>
      <c r="U568" s="9">
        <f>L568*in_ticket+M568*d_rep_ticket</f>
        <v/>
      </c>
      <c r="V568" s="9">
        <f>U568+T568*d_topup_amt</f>
        <v/>
      </c>
      <c r="W568" s="40">
        <f>N568+T568*d_topup_ratio</f>
        <v/>
      </c>
      <c r="X568" s="40">
        <f>SUMIFS(W557:W606,B557:B606,B568-in_dpd_lag)*d_cured</f>
        <v/>
      </c>
      <c r="Y568" s="40">
        <f>SUMIFS(W557:W606,B557:B606,B568-in_rec_lag)*d_recd</f>
        <v/>
      </c>
      <c r="Z568" s="40">
        <f>IF(AND(B568&gt;=in_marketplace_from,B568&lt;in_marketplace_from+in_card_months),in_card_share/in_card_months*F568*I568,IF(AND(B568&gt;=in_marketplace_from+in_card_months,B568&lt;in_marketplace_from+2*in_card_months),in_card_share*d_card_rem/in_card_months*F568*MIN(in_takeup_cap,(1+in_takeup_growth)^(D568-1))*MIN(in_takeup_cap,(1+in_approval_growth)^(D568-1)),0))</f>
        <v/>
      </c>
      <c r="AA568" s="14">
        <f>V568*in_fee*(1-in_taken_back)</f>
        <v/>
      </c>
      <c r="AB568" s="14">
        <f>SUMIFS(W557:W606,B557:B606,B568-in_dpd_lag)*d_dpd</f>
        <v/>
      </c>
      <c r="AC568" s="14">
        <f>SUMIFS(W557:W606,B557:B606,B568-in_rec_lag)*d_rec</f>
        <v/>
      </c>
      <c r="AD568" s="14">
        <f>Z568*in_card_fee</f>
        <v/>
      </c>
      <c r="AE568" s="40">
        <f>AE567*(1-IF(B567&gt;=in_marketplace_from,d_hz_hlth_small*G567,0))</f>
        <v/>
      </c>
      <c r="AF568" s="46">
        <f>AE568*IF(B568&gt;=in_marketplace_from,d_hz_hlth_small*G568,0)</f>
        <v/>
      </c>
      <c r="AG568" s="14">
        <f>F568*AF568*in_hlth_small_ticket*in_hlth_small_comm*in_ins_partner_share+F568*in_hlth_small_ticket*in_hlth_small_renew_comm*in_ins_partner_share*(in_hlth_small_renew^1*SUMIFS(AF557:AF606,B557:B606,B568-12)+in_hlth_small_renew^2*SUMIFS(AF557:AF606,B557:B606,B568-24)+in_hlth_small_renew^3*SUMIFS(AF557:AF606,B557:B606,B568-36)+in_hlth_small_renew^4*SUMIFS(AF557:AF606,B557:B606,B568-48))</f>
        <v/>
      </c>
      <c r="AH568" s="40">
        <f>AH567*(1-IF(B567&gt;=in_marketplace_from,d_hz_hlth_family*G567,0))</f>
        <v/>
      </c>
      <c r="AI568" s="46">
        <f>AH568*IF(B568&gt;=in_marketplace_from,d_hz_hlth_family*G568,0)</f>
        <v/>
      </c>
      <c r="AJ568" s="14">
        <f>F568*AI568*in_hlth_family_ticket*in_hlth_family_comm*in_ins_partner_share+F568*in_hlth_family_ticket*in_hlth_family_renew_comm*in_ins_partner_share*(in_hlth_family_renew^1*SUMIFS(AI557:AI606,B557:B606,B568-12)+in_hlth_family_renew^2*SUMIFS(AI557:AI606,B557:B606,B568-24)+in_hlth_family_renew^3*SUMIFS(AI557:AI606,B557:B606,B568-36)+in_hlth_family_renew^4*SUMIFS(AI557:AI606,B557:B606,B568-48))</f>
        <v/>
      </c>
      <c r="AK568" s="40">
        <f>AK567*(1-IF(B567&gt;=in_marketplace_from,d_hz_life_term*G567,0))</f>
        <v/>
      </c>
      <c r="AL568" s="46">
        <f>AK568*IF(B568&gt;=in_marketplace_from,d_hz_life_term*G568,0)</f>
        <v/>
      </c>
      <c r="AM568" s="14">
        <f>F568*AL568*in_life_term_ticket*in_life_term_comm*in_ins_partner_share+F568*in_life_term_ticket*in_life_term_renew_comm*in_ins_partner_share*(in_life_term_renew^1*SUMIFS(AL557:AL606,B557:B606,B568-12)+in_life_term_renew^2*SUMIFS(AL557:AL606,B557:B606,B568-24)+in_life_term_renew^3*SUMIFS(AL557:AL606,B557:B606,B568-36)+in_life_term_renew^4*SUMIFS(AL557:AL606,B557:B606,B568-48))</f>
        <v/>
      </c>
      <c r="AN568" s="40">
        <f>AN567*(1-IF(B567&gt;=in_marketplace_from,d_hz_accident*G567,0))</f>
        <v/>
      </c>
      <c r="AO568" s="46">
        <f>AN568*IF(B568&gt;=in_marketplace_from,d_hz_accident*G568,0)</f>
        <v/>
      </c>
      <c r="AP568" s="14">
        <f>F568*AO568*in_accident_ticket*in_accident_comm*in_ins_partner_share+F568*in_accident_ticket*in_accident_renew_comm*in_ins_partner_share*(in_accident_renew^1*SUMIFS(AO557:AO606,B557:B606,B568-12)+in_accident_renew^2*SUMIFS(AO557:AO606,B557:B606,B568-24)+in_accident_renew^3*SUMIFS(AO557:AO606,B557:B606,B568-36)+in_accident_renew^4*SUMIFS(AO557:AO606,B557:B606,B568-48))</f>
        <v/>
      </c>
      <c r="AQ568" s="40">
        <f>AQ567*(1-IF(B567&gt;=in_marketplace_from,d_hz_two_wheeler*G567,0))</f>
        <v/>
      </c>
      <c r="AR568" s="46">
        <f>AQ568*IF(B568&gt;=in_marketplace_from,d_hz_two_wheeler*G568,0)</f>
        <v/>
      </c>
      <c r="AS568" s="14">
        <f>F568*AR568*in_two_wheeler_ticket*in_two_wheeler_comm*in_ins_partner_share+F568*in_two_wheeler_ticket*in_two_wheeler_comm*in_ins_partner_share*(in_two_wheeler_renew^1*SUMIFS(AR557:AR606,B557:B606,B568-12)+in_two_wheeler_renew^2*SUMIFS(AR557:AR606,B557:B606,B568-24)+in_two_wheeler_renew^3*SUMIFS(AR557:AR606,B557:B606,B568-36)+in_two_wheeler_renew^4*SUMIFS(AR557:AR606,B557:B606,B568-48))</f>
        <v/>
      </c>
      <c r="AT568" s="40">
        <f>AT567*(1-IF(B567&gt;=in_marketplace_from,d_hz_device*G567,0))</f>
        <v/>
      </c>
      <c r="AU568" s="14">
        <f>F568*AT568*IF(B568&gt;=in_marketplace_from,d_hz_device*G568,0)*in_device_ticket*in_device_comm*in_ins_partner_share</f>
        <v/>
      </c>
      <c r="AV568" s="40">
        <f>AV567*(1-IF(B567&gt;=in_marketplace_from,d_hz_shop*G567,0))</f>
        <v/>
      </c>
      <c r="AW568" s="46">
        <f>AV568*IF(B568&gt;=in_marketplace_from,d_hz_shop*G568,0)</f>
        <v/>
      </c>
      <c r="AX568" s="14">
        <f>F568*AW568*in_shop_ticket*in_shop_comm*in_ins_partner_share+F568*in_shop_ticket*in_shop_renew_comm*in_ins_partner_share*(in_shop_renew^1*SUMIFS(AW557:AW606,B557:B606,B568-12)+in_shop_renew^2*SUMIFS(AW557:AW606,B557:B606,B568-24)+in_shop_renew^3*SUMIFS(AW557:AW606,B557:B606,B568-36)+in_shop_renew^4*SUMIFS(AW557:AW606,B557:B606,B568-48))</f>
        <v/>
      </c>
      <c r="AY568" s="40">
        <f>AY567*(1-IF(B567&gt;=in_marketplace_from,d_hz_sip*G567,0))</f>
        <v/>
      </c>
      <c r="AZ568" s="40">
        <f>AZ567*d_rho_sip+AY568*IF(B568&gt;=in_marketplace_from,d_hz_sip*G568,0)</f>
        <v/>
      </c>
      <c r="BA568" s="40">
        <f>d_rho_sip*(BA567+AZ567)</f>
        <v/>
      </c>
      <c r="BB568" s="14">
        <f>F568*in_sip_ticket*(BA568+0.5*AZ568)*in_sip_comm/12</f>
        <v/>
      </c>
      <c r="BC568" s="40">
        <f>BC567*(1-IF(B567&gt;=in_marketplace_from,d_hz_choti*G567,0))</f>
        <v/>
      </c>
      <c r="BD568" s="46">
        <f>BC568*IF(B568&gt;=in_marketplace_from,d_hz_choti*G568,0)</f>
        <v/>
      </c>
      <c r="BE568" s="14">
        <f>F568*SUMIFS(BD557:BD606,B557:B606,B568-in_choti_months)*in_choti_renew*in_choti_ticket</f>
        <v/>
      </c>
      <c r="BF568" s="40">
        <f>BF567*(1-IF(B567&gt;=in_marketplace_from,d_hz_nps*G567,0))</f>
        <v/>
      </c>
      <c r="BG568" s="14">
        <f>F568*BF568*IF(B568&gt;=in_marketplace_from,d_hz_nps*G568,0)*in_nps_ticket*in_nps_comm</f>
        <v/>
      </c>
      <c r="BH568" s="40">
        <f>BH567*(1-IF(B567&gt;=in_marketplace_from,d_hz_gold*G567,0))</f>
        <v/>
      </c>
      <c r="BI568" s="40">
        <f>BI567*d_rho_gold+BH568*IF(B568&gt;=in_marketplace_from,d_hz_gold*G568,0)</f>
        <v/>
      </c>
      <c r="BJ568" s="14">
        <f>F568*BI568*in_gold_ticket*in_gold_comm</f>
        <v/>
      </c>
      <c r="BK568" s="40">
        <f>BK567*(1-IF(B567&gt;=in_marketplace_from,d_hz_fd*G567,0))</f>
        <v/>
      </c>
      <c r="BL568" s="14">
        <f>F568*BK568*IF(B568&gt;=in_marketplace_from,d_hz_fd*G568,0)*in_fd_ticket*in_fd_comm</f>
        <v/>
      </c>
      <c r="BM568" s="40">
        <f>BM567*(1-IF(B567&gt;=in_marketplace_from,d_hz_recharge*G567,0))</f>
        <v/>
      </c>
      <c r="BN568" s="40">
        <f>BN567*d_rho_recharge+BM568*IF(B568&gt;=in_marketplace_from,d_hz_recharge*G568,0)</f>
        <v/>
      </c>
      <c r="BO568" s="14">
        <f>F568*BN568*in_recharge_ticket*in_recharge_comm/12</f>
        <v/>
      </c>
      <c r="BP568" s="40">
        <f>BP567*(1-IF(B567&gt;=in_marketplace_from,d_hz_bills*G567,0))</f>
        <v/>
      </c>
      <c r="BQ568" s="40">
        <f>BQ567*d_rho_bills+BP568*IF(B568&gt;=in_marketplace_from,d_hz_bills*G568,0)</f>
        <v/>
      </c>
      <c r="BR568" s="14">
        <f>F568*BQ568*in_bills_ticket*in_bills_comm/12</f>
        <v/>
      </c>
      <c r="BS568" s="40">
        <f>BS567*(1-IF(B567&gt;=in_marketplace_from,d_hz_loan_gold*G567,0))</f>
        <v/>
      </c>
      <c r="BT568" s="14">
        <f>F568*BS568*IF(B568&gt;=in_marketplace_from,d_hz_loan_gold*G568,0)*in_loan_gold_ticket*in_loan_gold_comm</f>
        <v/>
      </c>
      <c r="BU568" s="40">
        <f>BU567*(1-IF(B567&gt;=in_marketplace_from,d_hz_loan_cd*G567,0))</f>
        <v/>
      </c>
      <c r="BV568" s="14">
        <f>F568*BU568*IF(B568&gt;=in_marketplace_from,d_hz_loan_cd*G568,0)*in_loan_cd_ticket*in_loan_cd_comm</f>
        <v/>
      </c>
      <c r="BW568" s="40">
        <f>BW567*(1-IF(B567&gt;=in_marketplace_from,d_hz_loan_vehicle*G567,0))</f>
        <v/>
      </c>
      <c r="BX568" s="14">
        <f>F568*BW568*IF(B568&gt;=in_marketplace_from,d_hz_loan_vehicle*G568,0)*in_loan_vehicle_ticket*in_loan_vehicle_comm</f>
        <v/>
      </c>
      <c r="BY568" s="40">
        <f>BY567*(1-IF(B567&gt;=in_marketplace_from,d_hz_loan_home*G567,0)*BZ567)</f>
        <v/>
      </c>
      <c r="BZ568" s="11">
        <f>MIN(in_approval_cap,in_loan_home_approval*INDEX('Age profile'!$O$2:$O$61,B568)*(1+in_approval_growth)^(D568-1))</f>
        <v/>
      </c>
      <c r="CA568" s="14">
        <f>F568*BY568*IF(B568&gt;=in_marketplace_from,d_hz_loan_home*G568,0)*BZ568*in_loan_home_ticket*in_loan_home_comm</f>
        <v/>
      </c>
      <c r="CB568" s="40">
        <f>CB567*(1-IF(B567&gt;=in_marketplace_from,d_hz_loan_lap*G567,0)*CC567)</f>
        <v/>
      </c>
      <c r="CC568" s="11">
        <f>MIN(in_approval_cap,in_loan_lap_approval*INDEX('Age profile'!$O$2:$O$61,B568)*(1+in_approval_growth)^(D568-1))</f>
        <v/>
      </c>
      <c r="CD568" s="14">
        <f>F568*CB568*IF(B568&gt;=in_marketplace_from,d_hz_loan_lap*G568,0)*CC568*in_loan_lap_ticket*in_loan_lap_comm</f>
        <v/>
      </c>
      <c r="CE568" s="14">
        <f>AA568+AB568+AC568+AD568+AG568+AJ568+AM568+AP568+AS568+AU568+AX568+BB568+BE568+BG568+BJ568+BL568+BO568+BR568+BT568+BV568+BX568+CA568+CD568</f>
        <v/>
      </c>
    </row>
    <row r="569">
      <c r="A569" s="39" t="n">
        <v>11</v>
      </c>
      <c r="B569" s="39" t="n">
        <v>13</v>
      </c>
      <c r="C569" s="39">
        <f>A569+B569-1</f>
        <v/>
      </c>
      <c r="D569" s="39">
        <f>INT((C569-1)/12)+1</f>
        <v/>
      </c>
      <c r="E569" s="44">
        <f>INDEX(Monthly!$B$2:$B$61,A569)</f>
        <v/>
      </c>
      <c r="F569" s="44">
        <f>E569*INDEX('Age profile'!$B$2:$B$61,B569)</f>
        <v/>
      </c>
      <c r="G569" s="45">
        <f>MIN(in_takeup_cap,INDEX('Age profile'!$N$2:$N$61,B569)*(1+in_takeup_growth)^(D569-1))</f>
        <v/>
      </c>
      <c r="H569" s="11">
        <f>MIN(in_approval_cap,in_approved_first*INDEX('Age profile'!$O$2:$O$61,B569)*(1+in_approval_growth)^(D569-1))</f>
        <v/>
      </c>
      <c r="I569" s="45">
        <f>G569*MIN(in_takeup_cap,INDEX('Age profile'!$O$2:$O$61,B569)*(1+in_approval_growth)^(D569-1))</f>
        <v/>
      </c>
      <c r="J569" s="40">
        <f>(J568-L568)*F569/F568</f>
        <v/>
      </c>
      <c r="K569" s="40">
        <f>(K568-M568)*F569/F568+SUMIFS(O557:O568,B557:B568,B569-1-d_T)*F569</f>
        <v/>
      </c>
      <c r="L569" s="40">
        <f>IF(B569&gt;=in_marketplace_from,J569*d_hz*G569*in_eligible*H569,0)</f>
        <v/>
      </c>
      <c r="M569" s="40">
        <f>IF(B569&gt;=in_marketplace_from,K569*d_hz*G569*in_eligible*in_approved_repeat,0)</f>
        <v/>
      </c>
      <c r="N569" s="40">
        <f>L569+M569</f>
        <v/>
      </c>
      <c r="O569" s="46">
        <f>N569/F569</f>
        <v/>
      </c>
      <c r="P569" s="40">
        <f>F569-J569-K569</f>
        <v/>
      </c>
      <c r="Q569" s="40">
        <f>IF(B569&gt;=in_marketplace_from,(J569+K569)*d_hz*G569,0)</f>
        <v/>
      </c>
      <c r="R569" s="40">
        <f>SUMIFS(N557:N606,B557:B606,"&gt;="&amp;(B569-d_T),B557:B606,"&lt;="&amp;(B569-1))</f>
        <v/>
      </c>
      <c r="S569" s="46">
        <f>(1-d_u)*S568+IF(d_T&gt;in_topup_lag,SUMIFS(O557:O606,B557:B606,B569-in_topup_lag)-d_udrop*SUMIFS(O557:O606,B557:B606,B569-d_T),0)</f>
        <v/>
      </c>
      <c r="T569" s="40">
        <f>F569*d_u*S569</f>
        <v/>
      </c>
      <c r="U569" s="9">
        <f>L569*in_ticket+M569*d_rep_ticket</f>
        <v/>
      </c>
      <c r="V569" s="9">
        <f>U569+T569*d_topup_amt</f>
        <v/>
      </c>
      <c r="W569" s="40">
        <f>N569+T569*d_topup_ratio</f>
        <v/>
      </c>
      <c r="X569" s="40">
        <f>SUMIFS(W557:W606,B557:B606,B569-in_dpd_lag)*d_cured</f>
        <v/>
      </c>
      <c r="Y569" s="40">
        <f>SUMIFS(W557:W606,B557:B606,B569-in_rec_lag)*d_recd</f>
        <v/>
      </c>
      <c r="Z569" s="40">
        <f>IF(AND(B569&gt;=in_marketplace_from,B569&lt;in_marketplace_from+in_card_months),in_card_share/in_card_months*F569*I569,IF(AND(B569&gt;=in_marketplace_from+in_card_months,B569&lt;in_marketplace_from+2*in_card_months),in_card_share*d_card_rem/in_card_months*F569*MIN(in_takeup_cap,(1+in_takeup_growth)^(D569-1))*MIN(in_takeup_cap,(1+in_approval_growth)^(D569-1)),0))</f>
        <v/>
      </c>
      <c r="AA569" s="14">
        <f>V569*in_fee*(1-in_taken_back)</f>
        <v/>
      </c>
      <c r="AB569" s="14">
        <f>SUMIFS(W557:W606,B557:B606,B569-in_dpd_lag)*d_dpd</f>
        <v/>
      </c>
      <c r="AC569" s="14">
        <f>SUMIFS(W557:W606,B557:B606,B569-in_rec_lag)*d_rec</f>
        <v/>
      </c>
      <c r="AD569" s="14">
        <f>Z569*in_card_fee</f>
        <v/>
      </c>
      <c r="AE569" s="40">
        <f>AE568*(1-IF(B568&gt;=in_marketplace_from,d_hz_hlth_small*G568,0))</f>
        <v/>
      </c>
      <c r="AF569" s="46">
        <f>AE569*IF(B569&gt;=in_marketplace_from,d_hz_hlth_small*G569,0)</f>
        <v/>
      </c>
      <c r="AG569" s="14">
        <f>F569*AF569*in_hlth_small_ticket*in_hlth_small_comm*in_ins_partner_share+F569*in_hlth_small_ticket*in_hlth_small_renew_comm*in_ins_partner_share*(in_hlth_small_renew^1*SUMIFS(AF557:AF606,B557:B606,B569-12)+in_hlth_small_renew^2*SUMIFS(AF557:AF606,B557:B606,B569-24)+in_hlth_small_renew^3*SUMIFS(AF557:AF606,B557:B606,B569-36)+in_hlth_small_renew^4*SUMIFS(AF557:AF606,B557:B606,B569-48))</f>
        <v/>
      </c>
      <c r="AH569" s="40">
        <f>AH568*(1-IF(B568&gt;=in_marketplace_from,d_hz_hlth_family*G568,0))</f>
        <v/>
      </c>
      <c r="AI569" s="46">
        <f>AH569*IF(B569&gt;=in_marketplace_from,d_hz_hlth_family*G569,0)</f>
        <v/>
      </c>
      <c r="AJ569" s="14">
        <f>F569*AI569*in_hlth_family_ticket*in_hlth_family_comm*in_ins_partner_share+F569*in_hlth_family_ticket*in_hlth_family_renew_comm*in_ins_partner_share*(in_hlth_family_renew^1*SUMIFS(AI557:AI606,B557:B606,B569-12)+in_hlth_family_renew^2*SUMIFS(AI557:AI606,B557:B606,B569-24)+in_hlth_family_renew^3*SUMIFS(AI557:AI606,B557:B606,B569-36)+in_hlth_family_renew^4*SUMIFS(AI557:AI606,B557:B606,B569-48))</f>
        <v/>
      </c>
      <c r="AK569" s="40">
        <f>AK568*(1-IF(B568&gt;=in_marketplace_from,d_hz_life_term*G568,0))</f>
        <v/>
      </c>
      <c r="AL569" s="46">
        <f>AK569*IF(B569&gt;=in_marketplace_from,d_hz_life_term*G569,0)</f>
        <v/>
      </c>
      <c r="AM569" s="14">
        <f>F569*AL569*in_life_term_ticket*in_life_term_comm*in_ins_partner_share+F569*in_life_term_ticket*in_life_term_renew_comm*in_ins_partner_share*(in_life_term_renew^1*SUMIFS(AL557:AL606,B557:B606,B569-12)+in_life_term_renew^2*SUMIFS(AL557:AL606,B557:B606,B569-24)+in_life_term_renew^3*SUMIFS(AL557:AL606,B557:B606,B569-36)+in_life_term_renew^4*SUMIFS(AL557:AL606,B557:B606,B569-48))</f>
        <v/>
      </c>
      <c r="AN569" s="40">
        <f>AN568*(1-IF(B568&gt;=in_marketplace_from,d_hz_accident*G568,0))</f>
        <v/>
      </c>
      <c r="AO569" s="46">
        <f>AN569*IF(B569&gt;=in_marketplace_from,d_hz_accident*G569,0)</f>
        <v/>
      </c>
      <c r="AP569" s="14">
        <f>F569*AO569*in_accident_ticket*in_accident_comm*in_ins_partner_share+F569*in_accident_ticket*in_accident_renew_comm*in_ins_partner_share*(in_accident_renew^1*SUMIFS(AO557:AO606,B557:B606,B569-12)+in_accident_renew^2*SUMIFS(AO557:AO606,B557:B606,B569-24)+in_accident_renew^3*SUMIFS(AO557:AO606,B557:B606,B569-36)+in_accident_renew^4*SUMIFS(AO557:AO606,B557:B606,B569-48))</f>
        <v/>
      </c>
      <c r="AQ569" s="40">
        <f>AQ568*(1-IF(B568&gt;=in_marketplace_from,d_hz_two_wheeler*G568,0))</f>
        <v/>
      </c>
      <c r="AR569" s="46">
        <f>AQ569*IF(B569&gt;=in_marketplace_from,d_hz_two_wheeler*G569,0)</f>
        <v/>
      </c>
      <c r="AS569" s="14">
        <f>F569*AR569*in_two_wheeler_ticket*in_two_wheeler_comm*in_ins_partner_share+F569*in_two_wheeler_ticket*in_two_wheeler_comm*in_ins_partner_share*(in_two_wheeler_renew^1*SUMIFS(AR557:AR606,B557:B606,B569-12)+in_two_wheeler_renew^2*SUMIFS(AR557:AR606,B557:B606,B569-24)+in_two_wheeler_renew^3*SUMIFS(AR557:AR606,B557:B606,B569-36)+in_two_wheeler_renew^4*SUMIFS(AR557:AR606,B557:B606,B569-48))</f>
        <v/>
      </c>
      <c r="AT569" s="40">
        <f>AT568*(1-IF(B568&gt;=in_marketplace_from,d_hz_device*G568,0))</f>
        <v/>
      </c>
      <c r="AU569" s="14">
        <f>F569*AT569*IF(B569&gt;=in_marketplace_from,d_hz_device*G569,0)*in_device_ticket*in_device_comm*in_ins_partner_share</f>
        <v/>
      </c>
      <c r="AV569" s="40">
        <f>AV568*(1-IF(B568&gt;=in_marketplace_from,d_hz_shop*G568,0))</f>
        <v/>
      </c>
      <c r="AW569" s="46">
        <f>AV569*IF(B569&gt;=in_marketplace_from,d_hz_shop*G569,0)</f>
        <v/>
      </c>
      <c r="AX569" s="14">
        <f>F569*AW569*in_shop_ticket*in_shop_comm*in_ins_partner_share+F569*in_shop_ticket*in_shop_renew_comm*in_ins_partner_share*(in_shop_renew^1*SUMIFS(AW557:AW606,B557:B606,B569-12)+in_shop_renew^2*SUMIFS(AW557:AW606,B557:B606,B569-24)+in_shop_renew^3*SUMIFS(AW557:AW606,B557:B606,B569-36)+in_shop_renew^4*SUMIFS(AW557:AW606,B557:B606,B569-48))</f>
        <v/>
      </c>
      <c r="AY569" s="40">
        <f>AY568*(1-IF(B568&gt;=in_marketplace_from,d_hz_sip*G568,0))</f>
        <v/>
      </c>
      <c r="AZ569" s="40">
        <f>AZ568*d_rho_sip+AY569*IF(B569&gt;=in_marketplace_from,d_hz_sip*G569,0)</f>
        <v/>
      </c>
      <c r="BA569" s="40">
        <f>d_rho_sip*(BA568+AZ568)</f>
        <v/>
      </c>
      <c r="BB569" s="14">
        <f>F569*in_sip_ticket*(BA569+0.5*AZ569)*in_sip_comm/12</f>
        <v/>
      </c>
      <c r="BC569" s="40">
        <f>BC568*(1-IF(B568&gt;=in_marketplace_from,d_hz_choti*G568,0))</f>
        <v/>
      </c>
      <c r="BD569" s="46">
        <f>BC569*IF(B569&gt;=in_marketplace_from,d_hz_choti*G569,0)</f>
        <v/>
      </c>
      <c r="BE569" s="14">
        <f>F569*SUMIFS(BD557:BD606,B557:B606,B569-in_choti_months)*in_choti_renew*in_choti_ticket</f>
        <v/>
      </c>
      <c r="BF569" s="40">
        <f>BF568*(1-IF(B568&gt;=in_marketplace_from,d_hz_nps*G568,0))</f>
        <v/>
      </c>
      <c r="BG569" s="14">
        <f>F569*BF569*IF(B569&gt;=in_marketplace_from,d_hz_nps*G569,0)*in_nps_ticket*in_nps_comm</f>
        <v/>
      </c>
      <c r="BH569" s="40">
        <f>BH568*(1-IF(B568&gt;=in_marketplace_from,d_hz_gold*G568,0))</f>
        <v/>
      </c>
      <c r="BI569" s="40">
        <f>BI568*d_rho_gold+BH569*IF(B569&gt;=in_marketplace_from,d_hz_gold*G569,0)</f>
        <v/>
      </c>
      <c r="BJ569" s="14">
        <f>F569*BI569*in_gold_ticket*in_gold_comm</f>
        <v/>
      </c>
      <c r="BK569" s="40">
        <f>BK568*(1-IF(B568&gt;=in_marketplace_from,d_hz_fd*G568,0))</f>
        <v/>
      </c>
      <c r="BL569" s="14">
        <f>F569*BK569*IF(B569&gt;=in_marketplace_from,d_hz_fd*G569,0)*in_fd_ticket*in_fd_comm</f>
        <v/>
      </c>
      <c r="BM569" s="40">
        <f>BM568*(1-IF(B568&gt;=in_marketplace_from,d_hz_recharge*G568,0))</f>
        <v/>
      </c>
      <c r="BN569" s="40">
        <f>BN568*d_rho_recharge+BM569*IF(B569&gt;=in_marketplace_from,d_hz_recharge*G569,0)</f>
        <v/>
      </c>
      <c r="BO569" s="14">
        <f>F569*BN569*in_recharge_ticket*in_recharge_comm/12</f>
        <v/>
      </c>
      <c r="BP569" s="40">
        <f>BP568*(1-IF(B568&gt;=in_marketplace_from,d_hz_bills*G568,0))</f>
        <v/>
      </c>
      <c r="BQ569" s="40">
        <f>BQ568*d_rho_bills+BP569*IF(B569&gt;=in_marketplace_from,d_hz_bills*G569,0)</f>
        <v/>
      </c>
      <c r="BR569" s="14">
        <f>F569*BQ569*in_bills_ticket*in_bills_comm/12</f>
        <v/>
      </c>
      <c r="BS569" s="40">
        <f>BS568*(1-IF(B568&gt;=in_marketplace_from,d_hz_loan_gold*G568,0))</f>
        <v/>
      </c>
      <c r="BT569" s="14">
        <f>F569*BS569*IF(B569&gt;=in_marketplace_from,d_hz_loan_gold*G569,0)*in_loan_gold_ticket*in_loan_gold_comm</f>
        <v/>
      </c>
      <c r="BU569" s="40">
        <f>BU568*(1-IF(B568&gt;=in_marketplace_from,d_hz_loan_cd*G568,0))</f>
        <v/>
      </c>
      <c r="BV569" s="14">
        <f>F569*BU569*IF(B569&gt;=in_marketplace_from,d_hz_loan_cd*G569,0)*in_loan_cd_ticket*in_loan_cd_comm</f>
        <v/>
      </c>
      <c r="BW569" s="40">
        <f>BW568*(1-IF(B568&gt;=in_marketplace_from,d_hz_loan_vehicle*G568,0))</f>
        <v/>
      </c>
      <c r="BX569" s="14">
        <f>F569*BW569*IF(B569&gt;=in_marketplace_from,d_hz_loan_vehicle*G569,0)*in_loan_vehicle_ticket*in_loan_vehicle_comm</f>
        <v/>
      </c>
      <c r="BY569" s="40">
        <f>BY568*(1-IF(B568&gt;=in_marketplace_from,d_hz_loan_home*G568,0)*BZ568)</f>
        <v/>
      </c>
      <c r="BZ569" s="11">
        <f>MIN(in_approval_cap,in_loan_home_approval*INDEX('Age profile'!$O$2:$O$61,B569)*(1+in_approval_growth)^(D569-1))</f>
        <v/>
      </c>
      <c r="CA569" s="14">
        <f>F569*BY569*IF(B569&gt;=in_marketplace_from,d_hz_loan_home*G569,0)*BZ569*in_loan_home_ticket*in_loan_home_comm</f>
        <v/>
      </c>
      <c r="CB569" s="40">
        <f>CB568*(1-IF(B568&gt;=in_marketplace_from,d_hz_loan_lap*G568,0)*CC568)</f>
        <v/>
      </c>
      <c r="CC569" s="11">
        <f>MIN(in_approval_cap,in_loan_lap_approval*INDEX('Age profile'!$O$2:$O$61,B569)*(1+in_approval_growth)^(D569-1))</f>
        <v/>
      </c>
      <c r="CD569" s="14">
        <f>F569*CB569*IF(B569&gt;=in_marketplace_from,d_hz_loan_lap*G569,0)*CC569*in_loan_lap_ticket*in_loan_lap_comm</f>
        <v/>
      </c>
      <c r="CE569" s="14">
        <f>AA569+AB569+AC569+AD569+AG569+AJ569+AM569+AP569+AS569+AU569+AX569+BB569+BE569+BG569+BJ569+BL569+BO569+BR569+BT569+BV569+BX569+CA569+CD569</f>
        <v/>
      </c>
    </row>
    <row r="570">
      <c r="A570" s="39" t="n">
        <v>11</v>
      </c>
      <c r="B570" s="39" t="n">
        <v>14</v>
      </c>
      <c r="C570" s="39">
        <f>A570+B570-1</f>
        <v/>
      </c>
      <c r="D570" s="39">
        <f>INT((C570-1)/12)+1</f>
        <v/>
      </c>
      <c r="E570" s="44">
        <f>INDEX(Monthly!$B$2:$B$61,A570)</f>
        <v/>
      </c>
      <c r="F570" s="44">
        <f>E570*INDEX('Age profile'!$B$2:$B$61,B570)</f>
        <v/>
      </c>
      <c r="G570" s="45">
        <f>MIN(in_takeup_cap,INDEX('Age profile'!$N$2:$N$61,B570)*(1+in_takeup_growth)^(D570-1))</f>
        <v/>
      </c>
      <c r="H570" s="11">
        <f>MIN(in_approval_cap,in_approved_first*INDEX('Age profile'!$O$2:$O$61,B570)*(1+in_approval_growth)^(D570-1))</f>
        <v/>
      </c>
      <c r="I570" s="45">
        <f>G570*MIN(in_takeup_cap,INDEX('Age profile'!$O$2:$O$61,B570)*(1+in_approval_growth)^(D570-1))</f>
        <v/>
      </c>
      <c r="J570" s="40">
        <f>(J569-L569)*F570/F569</f>
        <v/>
      </c>
      <c r="K570" s="40">
        <f>(K569-M569)*F570/F569+SUMIFS(O557:O569,B557:B569,B570-1-d_T)*F570</f>
        <v/>
      </c>
      <c r="L570" s="40">
        <f>IF(B570&gt;=in_marketplace_from,J570*d_hz*G570*in_eligible*H570,0)</f>
        <v/>
      </c>
      <c r="M570" s="40">
        <f>IF(B570&gt;=in_marketplace_from,K570*d_hz*G570*in_eligible*in_approved_repeat,0)</f>
        <v/>
      </c>
      <c r="N570" s="40">
        <f>L570+M570</f>
        <v/>
      </c>
      <c r="O570" s="46">
        <f>N570/F570</f>
        <v/>
      </c>
      <c r="P570" s="40">
        <f>F570-J570-K570</f>
        <v/>
      </c>
      <c r="Q570" s="40">
        <f>IF(B570&gt;=in_marketplace_from,(J570+K570)*d_hz*G570,0)</f>
        <v/>
      </c>
      <c r="R570" s="40">
        <f>SUMIFS(N557:N606,B557:B606,"&gt;="&amp;(B570-d_T),B557:B606,"&lt;="&amp;(B570-1))</f>
        <v/>
      </c>
      <c r="S570" s="46">
        <f>(1-d_u)*S569+IF(d_T&gt;in_topup_lag,SUMIFS(O557:O606,B557:B606,B570-in_topup_lag)-d_udrop*SUMIFS(O557:O606,B557:B606,B570-d_T),0)</f>
        <v/>
      </c>
      <c r="T570" s="40">
        <f>F570*d_u*S570</f>
        <v/>
      </c>
      <c r="U570" s="9">
        <f>L570*in_ticket+M570*d_rep_ticket</f>
        <v/>
      </c>
      <c r="V570" s="9">
        <f>U570+T570*d_topup_amt</f>
        <v/>
      </c>
      <c r="W570" s="40">
        <f>N570+T570*d_topup_ratio</f>
        <v/>
      </c>
      <c r="X570" s="40">
        <f>SUMIFS(W557:W606,B557:B606,B570-in_dpd_lag)*d_cured</f>
        <v/>
      </c>
      <c r="Y570" s="40">
        <f>SUMIFS(W557:W606,B557:B606,B570-in_rec_lag)*d_recd</f>
        <v/>
      </c>
      <c r="Z570" s="40">
        <f>IF(AND(B570&gt;=in_marketplace_from,B570&lt;in_marketplace_from+in_card_months),in_card_share/in_card_months*F570*I570,IF(AND(B570&gt;=in_marketplace_from+in_card_months,B570&lt;in_marketplace_from+2*in_card_months),in_card_share*d_card_rem/in_card_months*F570*MIN(in_takeup_cap,(1+in_takeup_growth)^(D570-1))*MIN(in_takeup_cap,(1+in_approval_growth)^(D570-1)),0))</f>
        <v/>
      </c>
      <c r="AA570" s="14">
        <f>V570*in_fee*(1-in_taken_back)</f>
        <v/>
      </c>
      <c r="AB570" s="14">
        <f>SUMIFS(W557:W606,B557:B606,B570-in_dpd_lag)*d_dpd</f>
        <v/>
      </c>
      <c r="AC570" s="14">
        <f>SUMIFS(W557:W606,B557:B606,B570-in_rec_lag)*d_rec</f>
        <v/>
      </c>
      <c r="AD570" s="14">
        <f>Z570*in_card_fee</f>
        <v/>
      </c>
      <c r="AE570" s="40">
        <f>AE569*(1-IF(B569&gt;=in_marketplace_from,d_hz_hlth_small*G569,0))</f>
        <v/>
      </c>
      <c r="AF570" s="46">
        <f>AE570*IF(B570&gt;=in_marketplace_from,d_hz_hlth_small*G570,0)</f>
        <v/>
      </c>
      <c r="AG570" s="14">
        <f>F570*AF570*in_hlth_small_ticket*in_hlth_small_comm*in_ins_partner_share+F570*in_hlth_small_ticket*in_hlth_small_renew_comm*in_ins_partner_share*(in_hlth_small_renew^1*SUMIFS(AF557:AF606,B557:B606,B570-12)+in_hlth_small_renew^2*SUMIFS(AF557:AF606,B557:B606,B570-24)+in_hlth_small_renew^3*SUMIFS(AF557:AF606,B557:B606,B570-36)+in_hlth_small_renew^4*SUMIFS(AF557:AF606,B557:B606,B570-48))</f>
        <v/>
      </c>
      <c r="AH570" s="40">
        <f>AH569*(1-IF(B569&gt;=in_marketplace_from,d_hz_hlth_family*G569,0))</f>
        <v/>
      </c>
      <c r="AI570" s="46">
        <f>AH570*IF(B570&gt;=in_marketplace_from,d_hz_hlth_family*G570,0)</f>
        <v/>
      </c>
      <c r="AJ570" s="14">
        <f>F570*AI570*in_hlth_family_ticket*in_hlth_family_comm*in_ins_partner_share+F570*in_hlth_family_ticket*in_hlth_family_renew_comm*in_ins_partner_share*(in_hlth_family_renew^1*SUMIFS(AI557:AI606,B557:B606,B570-12)+in_hlth_family_renew^2*SUMIFS(AI557:AI606,B557:B606,B570-24)+in_hlth_family_renew^3*SUMIFS(AI557:AI606,B557:B606,B570-36)+in_hlth_family_renew^4*SUMIFS(AI557:AI606,B557:B606,B570-48))</f>
        <v/>
      </c>
      <c r="AK570" s="40">
        <f>AK569*(1-IF(B569&gt;=in_marketplace_from,d_hz_life_term*G569,0))</f>
        <v/>
      </c>
      <c r="AL570" s="46">
        <f>AK570*IF(B570&gt;=in_marketplace_from,d_hz_life_term*G570,0)</f>
        <v/>
      </c>
      <c r="AM570" s="14">
        <f>F570*AL570*in_life_term_ticket*in_life_term_comm*in_ins_partner_share+F570*in_life_term_ticket*in_life_term_renew_comm*in_ins_partner_share*(in_life_term_renew^1*SUMIFS(AL557:AL606,B557:B606,B570-12)+in_life_term_renew^2*SUMIFS(AL557:AL606,B557:B606,B570-24)+in_life_term_renew^3*SUMIFS(AL557:AL606,B557:B606,B570-36)+in_life_term_renew^4*SUMIFS(AL557:AL606,B557:B606,B570-48))</f>
        <v/>
      </c>
      <c r="AN570" s="40">
        <f>AN569*(1-IF(B569&gt;=in_marketplace_from,d_hz_accident*G569,0))</f>
        <v/>
      </c>
      <c r="AO570" s="46">
        <f>AN570*IF(B570&gt;=in_marketplace_from,d_hz_accident*G570,0)</f>
        <v/>
      </c>
      <c r="AP570" s="14">
        <f>F570*AO570*in_accident_ticket*in_accident_comm*in_ins_partner_share+F570*in_accident_ticket*in_accident_renew_comm*in_ins_partner_share*(in_accident_renew^1*SUMIFS(AO557:AO606,B557:B606,B570-12)+in_accident_renew^2*SUMIFS(AO557:AO606,B557:B606,B570-24)+in_accident_renew^3*SUMIFS(AO557:AO606,B557:B606,B570-36)+in_accident_renew^4*SUMIFS(AO557:AO606,B557:B606,B570-48))</f>
        <v/>
      </c>
      <c r="AQ570" s="40">
        <f>AQ569*(1-IF(B569&gt;=in_marketplace_from,d_hz_two_wheeler*G569,0))</f>
        <v/>
      </c>
      <c r="AR570" s="46">
        <f>AQ570*IF(B570&gt;=in_marketplace_from,d_hz_two_wheeler*G570,0)</f>
        <v/>
      </c>
      <c r="AS570" s="14">
        <f>F570*AR570*in_two_wheeler_ticket*in_two_wheeler_comm*in_ins_partner_share+F570*in_two_wheeler_ticket*in_two_wheeler_comm*in_ins_partner_share*(in_two_wheeler_renew^1*SUMIFS(AR557:AR606,B557:B606,B570-12)+in_two_wheeler_renew^2*SUMIFS(AR557:AR606,B557:B606,B570-24)+in_two_wheeler_renew^3*SUMIFS(AR557:AR606,B557:B606,B570-36)+in_two_wheeler_renew^4*SUMIFS(AR557:AR606,B557:B606,B570-48))</f>
        <v/>
      </c>
      <c r="AT570" s="40">
        <f>AT569*(1-IF(B569&gt;=in_marketplace_from,d_hz_device*G569,0))</f>
        <v/>
      </c>
      <c r="AU570" s="14">
        <f>F570*AT570*IF(B570&gt;=in_marketplace_from,d_hz_device*G570,0)*in_device_ticket*in_device_comm*in_ins_partner_share</f>
        <v/>
      </c>
      <c r="AV570" s="40">
        <f>AV569*(1-IF(B569&gt;=in_marketplace_from,d_hz_shop*G569,0))</f>
        <v/>
      </c>
      <c r="AW570" s="46">
        <f>AV570*IF(B570&gt;=in_marketplace_from,d_hz_shop*G570,0)</f>
        <v/>
      </c>
      <c r="AX570" s="14">
        <f>F570*AW570*in_shop_ticket*in_shop_comm*in_ins_partner_share+F570*in_shop_ticket*in_shop_renew_comm*in_ins_partner_share*(in_shop_renew^1*SUMIFS(AW557:AW606,B557:B606,B570-12)+in_shop_renew^2*SUMIFS(AW557:AW606,B557:B606,B570-24)+in_shop_renew^3*SUMIFS(AW557:AW606,B557:B606,B570-36)+in_shop_renew^4*SUMIFS(AW557:AW606,B557:B606,B570-48))</f>
        <v/>
      </c>
      <c r="AY570" s="40">
        <f>AY569*(1-IF(B569&gt;=in_marketplace_from,d_hz_sip*G569,0))</f>
        <v/>
      </c>
      <c r="AZ570" s="40">
        <f>AZ569*d_rho_sip+AY570*IF(B570&gt;=in_marketplace_from,d_hz_sip*G570,0)</f>
        <v/>
      </c>
      <c r="BA570" s="40">
        <f>d_rho_sip*(BA569+AZ569)</f>
        <v/>
      </c>
      <c r="BB570" s="14">
        <f>F570*in_sip_ticket*(BA570+0.5*AZ570)*in_sip_comm/12</f>
        <v/>
      </c>
      <c r="BC570" s="40">
        <f>BC569*(1-IF(B569&gt;=in_marketplace_from,d_hz_choti*G569,0))</f>
        <v/>
      </c>
      <c r="BD570" s="46">
        <f>BC570*IF(B570&gt;=in_marketplace_from,d_hz_choti*G570,0)</f>
        <v/>
      </c>
      <c r="BE570" s="14">
        <f>F570*SUMIFS(BD557:BD606,B557:B606,B570-in_choti_months)*in_choti_renew*in_choti_ticket</f>
        <v/>
      </c>
      <c r="BF570" s="40">
        <f>BF569*(1-IF(B569&gt;=in_marketplace_from,d_hz_nps*G569,0))</f>
        <v/>
      </c>
      <c r="BG570" s="14">
        <f>F570*BF570*IF(B570&gt;=in_marketplace_from,d_hz_nps*G570,0)*in_nps_ticket*in_nps_comm</f>
        <v/>
      </c>
      <c r="BH570" s="40">
        <f>BH569*(1-IF(B569&gt;=in_marketplace_from,d_hz_gold*G569,0))</f>
        <v/>
      </c>
      <c r="BI570" s="40">
        <f>BI569*d_rho_gold+BH570*IF(B570&gt;=in_marketplace_from,d_hz_gold*G570,0)</f>
        <v/>
      </c>
      <c r="BJ570" s="14">
        <f>F570*BI570*in_gold_ticket*in_gold_comm</f>
        <v/>
      </c>
      <c r="BK570" s="40">
        <f>BK569*(1-IF(B569&gt;=in_marketplace_from,d_hz_fd*G569,0))</f>
        <v/>
      </c>
      <c r="BL570" s="14">
        <f>F570*BK570*IF(B570&gt;=in_marketplace_from,d_hz_fd*G570,0)*in_fd_ticket*in_fd_comm</f>
        <v/>
      </c>
      <c r="BM570" s="40">
        <f>BM569*(1-IF(B569&gt;=in_marketplace_from,d_hz_recharge*G569,0))</f>
        <v/>
      </c>
      <c r="BN570" s="40">
        <f>BN569*d_rho_recharge+BM570*IF(B570&gt;=in_marketplace_from,d_hz_recharge*G570,0)</f>
        <v/>
      </c>
      <c r="BO570" s="14">
        <f>F570*BN570*in_recharge_ticket*in_recharge_comm/12</f>
        <v/>
      </c>
      <c r="BP570" s="40">
        <f>BP569*(1-IF(B569&gt;=in_marketplace_from,d_hz_bills*G569,0))</f>
        <v/>
      </c>
      <c r="BQ570" s="40">
        <f>BQ569*d_rho_bills+BP570*IF(B570&gt;=in_marketplace_from,d_hz_bills*G570,0)</f>
        <v/>
      </c>
      <c r="BR570" s="14">
        <f>F570*BQ570*in_bills_ticket*in_bills_comm/12</f>
        <v/>
      </c>
      <c r="BS570" s="40">
        <f>BS569*(1-IF(B569&gt;=in_marketplace_from,d_hz_loan_gold*G569,0))</f>
        <v/>
      </c>
      <c r="BT570" s="14">
        <f>F570*BS570*IF(B570&gt;=in_marketplace_from,d_hz_loan_gold*G570,0)*in_loan_gold_ticket*in_loan_gold_comm</f>
        <v/>
      </c>
      <c r="BU570" s="40">
        <f>BU569*(1-IF(B569&gt;=in_marketplace_from,d_hz_loan_cd*G569,0))</f>
        <v/>
      </c>
      <c r="BV570" s="14">
        <f>F570*BU570*IF(B570&gt;=in_marketplace_from,d_hz_loan_cd*G570,0)*in_loan_cd_ticket*in_loan_cd_comm</f>
        <v/>
      </c>
      <c r="BW570" s="40">
        <f>BW569*(1-IF(B569&gt;=in_marketplace_from,d_hz_loan_vehicle*G569,0))</f>
        <v/>
      </c>
      <c r="BX570" s="14">
        <f>F570*BW570*IF(B570&gt;=in_marketplace_from,d_hz_loan_vehicle*G570,0)*in_loan_vehicle_ticket*in_loan_vehicle_comm</f>
        <v/>
      </c>
      <c r="BY570" s="40">
        <f>BY569*(1-IF(B569&gt;=in_marketplace_from,d_hz_loan_home*G569,0)*BZ569)</f>
        <v/>
      </c>
      <c r="BZ570" s="11">
        <f>MIN(in_approval_cap,in_loan_home_approval*INDEX('Age profile'!$O$2:$O$61,B570)*(1+in_approval_growth)^(D570-1))</f>
        <v/>
      </c>
      <c r="CA570" s="14">
        <f>F570*BY570*IF(B570&gt;=in_marketplace_from,d_hz_loan_home*G570,0)*BZ570*in_loan_home_ticket*in_loan_home_comm</f>
        <v/>
      </c>
      <c r="CB570" s="40">
        <f>CB569*(1-IF(B569&gt;=in_marketplace_from,d_hz_loan_lap*G569,0)*CC569)</f>
        <v/>
      </c>
      <c r="CC570" s="11">
        <f>MIN(in_approval_cap,in_loan_lap_approval*INDEX('Age profile'!$O$2:$O$61,B570)*(1+in_approval_growth)^(D570-1))</f>
        <v/>
      </c>
      <c r="CD570" s="14">
        <f>F570*CB570*IF(B570&gt;=in_marketplace_from,d_hz_loan_lap*G570,0)*CC570*in_loan_lap_ticket*in_loan_lap_comm</f>
        <v/>
      </c>
      <c r="CE570" s="14">
        <f>AA570+AB570+AC570+AD570+AG570+AJ570+AM570+AP570+AS570+AU570+AX570+BB570+BE570+BG570+BJ570+BL570+BO570+BR570+BT570+BV570+BX570+CA570+CD570</f>
        <v/>
      </c>
    </row>
    <row r="571">
      <c r="A571" s="39" t="n">
        <v>11</v>
      </c>
      <c r="B571" s="39" t="n">
        <v>15</v>
      </c>
      <c r="C571" s="39">
        <f>A571+B571-1</f>
        <v/>
      </c>
      <c r="D571" s="39">
        <f>INT((C571-1)/12)+1</f>
        <v/>
      </c>
      <c r="E571" s="44">
        <f>INDEX(Monthly!$B$2:$B$61,A571)</f>
        <v/>
      </c>
      <c r="F571" s="44">
        <f>E571*INDEX('Age profile'!$B$2:$B$61,B571)</f>
        <v/>
      </c>
      <c r="G571" s="45">
        <f>MIN(in_takeup_cap,INDEX('Age profile'!$N$2:$N$61,B571)*(1+in_takeup_growth)^(D571-1))</f>
        <v/>
      </c>
      <c r="H571" s="11">
        <f>MIN(in_approval_cap,in_approved_first*INDEX('Age profile'!$O$2:$O$61,B571)*(1+in_approval_growth)^(D571-1))</f>
        <v/>
      </c>
      <c r="I571" s="45">
        <f>G571*MIN(in_takeup_cap,INDEX('Age profile'!$O$2:$O$61,B571)*(1+in_approval_growth)^(D571-1))</f>
        <v/>
      </c>
      <c r="J571" s="40">
        <f>(J570-L570)*F571/F570</f>
        <v/>
      </c>
      <c r="K571" s="40">
        <f>(K570-M570)*F571/F570+SUMIFS(O557:O570,B557:B570,B571-1-d_T)*F571</f>
        <v/>
      </c>
      <c r="L571" s="40">
        <f>IF(B571&gt;=in_marketplace_from,J571*d_hz*G571*in_eligible*H571,0)</f>
        <v/>
      </c>
      <c r="M571" s="40">
        <f>IF(B571&gt;=in_marketplace_from,K571*d_hz*G571*in_eligible*in_approved_repeat,0)</f>
        <v/>
      </c>
      <c r="N571" s="40">
        <f>L571+M571</f>
        <v/>
      </c>
      <c r="O571" s="46">
        <f>N571/F571</f>
        <v/>
      </c>
      <c r="P571" s="40">
        <f>F571-J571-K571</f>
        <v/>
      </c>
      <c r="Q571" s="40">
        <f>IF(B571&gt;=in_marketplace_from,(J571+K571)*d_hz*G571,0)</f>
        <v/>
      </c>
      <c r="R571" s="40">
        <f>SUMIFS(N557:N606,B557:B606,"&gt;="&amp;(B571-d_T),B557:B606,"&lt;="&amp;(B571-1))</f>
        <v/>
      </c>
      <c r="S571" s="46">
        <f>(1-d_u)*S570+IF(d_T&gt;in_topup_lag,SUMIFS(O557:O606,B557:B606,B571-in_topup_lag)-d_udrop*SUMIFS(O557:O606,B557:B606,B571-d_T),0)</f>
        <v/>
      </c>
      <c r="T571" s="40">
        <f>F571*d_u*S571</f>
        <v/>
      </c>
      <c r="U571" s="9">
        <f>L571*in_ticket+M571*d_rep_ticket</f>
        <v/>
      </c>
      <c r="V571" s="9">
        <f>U571+T571*d_topup_amt</f>
        <v/>
      </c>
      <c r="W571" s="40">
        <f>N571+T571*d_topup_ratio</f>
        <v/>
      </c>
      <c r="X571" s="40">
        <f>SUMIFS(W557:W606,B557:B606,B571-in_dpd_lag)*d_cured</f>
        <v/>
      </c>
      <c r="Y571" s="40">
        <f>SUMIFS(W557:W606,B557:B606,B571-in_rec_lag)*d_recd</f>
        <v/>
      </c>
      <c r="Z571" s="40">
        <f>IF(AND(B571&gt;=in_marketplace_from,B571&lt;in_marketplace_from+in_card_months),in_card_share/in_card_months*F571*I571,IF(AND(B571&gt;=in_marketplace_from+in_card_months,B571&lt;in_marketplace_from+2*in_card_months),in_card_share*d_card_rem/in_card_months*F571*MIN(in_takeup_cap,(1+in_takeup_growth)^(D571-1))*MIN(in_takeup_cap,(1+in_approval_growth)^(D571-1)),0))</f>
        <v/>
      </c>
      <c r="AA571" s="14">
        <f>V571*in_fee*(1-in_taken_back)</f>
        <v/>
      </c>
      <c r="AB571" s="14">
        <f>SUMIFS(W557:W606,B557:B606,B571-in_dpd_lag)*d_dpd</f>
        <v/>
      </c>
      <c r="AC571" s="14">
        <f>SUMIFS(W557:W606,B557:B606,B571-in_rec_lag)*d_rec</f>
        <v/>
      </c>
      <c r="AD571" s="14">
        <f>Z571*in_card_fee</f>
        <v/>
      </c>
      <c r="AE571" s="40">
        <f>AE570*(1-IF(B570&gt;=in_marketplace_from,d_hz_hlth_small*G570,0))</f>
        <v/>
      </c>
      <c r="AF571" s="46">
        <f>AE571*IF(B571&gt;=in_marketplace_from,d_hz_hlth_small*G571,0)</f>
        <v/>
      </c>
      <c r="AG571" s="14">
        <f>F571*AF571*in_hlth_small_ticket*in_hlth_small_comm*in_ins_partner_share+F571*in_hlth_small_ticket*in_hlth_small_renew_comm*in_ins_partner_share*(in_hlth_small_renew^1*SUMIFS(AF557:AF606,B557:B606,B571-12)+in_hlth_small_renew^2*SUMIFS(AF557:AF606,B557:B606,B571-24)+in_hlth_small_renew^3*SUMIFS(AF557:AF606,B557:B606,B571-36)+in_hlth_small_renew^4*SUMIFS(AF557:AF606,B557:B606,B571-48))</f>
        <v/>
      </c>
      <c r="AH571" s="40">
        <f>AH570*(1-IF(B570&gt;=in_marketplace_from,d_hz_hlth_family*G570,0))</f>
        <v/>
      </c>
      <c r="AI571" s="46">
        <f>AH571*IF(B571&gt;=in_marketplace_from,d_hz_hlth_family*G571,0)</f>
        <v/>
      </c>
      <c r="AJ571" s="14">
        <f>F571*AI571*in_hlth_family_ticket*in_hlth_family_comm*in_ins_partner_share+F571*in_hlth_family_ticket*in_hlth_family_renew_comm*in_ins_partner_share*(in_hlth_family_renew^1*SUMIFS(AI557:AI606,B557:B606,B571-12)+in_hlth_family_renew^2*SUMIFS(AI557:AI606,B557:B606,B571-24)+in_hlth_family_renew^3*SUMIFS(AI557:AI606,B557:B606,B571-36)+in_hlth_family_renew^4*SUMIFS(AI557:AI606,B557:B606,B571-48))</f>
        <v/>
      </c>
      <c r="AK571" s="40">
        <f>AK570*(1-IF(B570&gt;=in_marketplace_from,d_hz_life_term*G570,0))</f>
        <v/>
      </c>
      <c r="AL571" s="46">
        <f>AK571*IF(B571&gt;=in_marketplace_from,d_hz_life_term*G571,0)</f>
        <v/>
      </c>
      <c r="AM571" s="14">
        <f>F571*AL571*in_life_term_ticket*in_life_term_comm*in_ins_partner_share+F571*in_life_term_ticket*in_life_term_renew_comm*in_ins_partner_share*(in_life_term_renew^1*SUMIFS(AL557:AL606,B557:B606,B571-12)+in_life_term_renew^2*SUMIFS(AL557:AL606,B557:B606,B571-24)+in_life_term_renew^3*SUMIFS(AL557:AL606,B557:B606,B571-36)+in_life_term_renew^4*SUMIFS(AL557:AL606,B557:B606,B571-48))</f>
        <v/>
      </c>
      <c r="AN571" s="40">
        <f>AN570*(1-IF(B570&gt;=in_marketplace_from,d_hz_accident*G570,0))</f>
        <v/>
      </c>
      <c r="AO571" s="46">
        <f>AN571*IF(B571&gt;=in_marketplace_from,d_hz_accident*G571,0)</f>
        <v/>
      </c>
      <c r="AP571" s="14">
        <f>F571*AO571*in_accident_ticket*in_accident_comm*in_ins_partner_share+F571*in_accident_ticket*in_accident_renew_comm*in_ins_partner_share*(in_accident_renew^1*SUMIFS(AO557:AO606,B557:B606,B571-12)+in_accident_renew^2*SUMIFS(AO557:AO606,B557:B606,B571-24)+in_accident_renew^3*SUMIFS(AO557:AO606,B557:B606,B571-36)+in_accident_renew^4*SUMIFS(AO557:AO606,B557:B606,B571-48))</f>
        <v/>
      </c>
      <c r="AQ571" s="40">
        <f>AQ570*(1-IF(B570&gt;=in_marketplace_from,d_hz_two_wheeler*G570,0))</f>
        <v/>
      </c>
      <c r="AR571" s="46">
        <f>AQ571*IF(B571&gt;=in_marketplace_from,d_hz_two_wheeler*G571,0)</f>
        <v/>
      </c>
      <c r="AS571" s="14">
        <f>F571*AR571*in_two_wheeler_ticket*in_two_wheeler_comm*in_ins_partner_share+F571*in_two_wheeler_ticket*in_two_wheeler_comm*in_ins_partner_share*(in_two_wheeler_renew^1*SUMIFS(AR557:AR606,B557:B606,B571-12)+in_two_wheeler_renew^2*SUMIFS(AR557:AR606,B557:B606,B571-24)+in_two_wheeler_renew^3*SUMIFS(AR557:AR606,B557:B606,B571-36)+in_two_wheeler_renew^4*SUMIFS(AR557:AR606,B557:B606,B571-48))</f>
        <v/>
      </c>
      <c r="AT571" s="40">
        <f>AT570*(1-IF(B570&gt;=in_marketplace_from,d_hz_device*G570,0))</f>
        <v/>
      </c>
      <c r="AU571" s="14">
        <f>F571*AT571*IF(B571&gt;=in_marketplace_from,d_hz_device*G571,0)*in_device_ticket*in_device_comm*in_ins_partner_share</f>
        <v/>
      </c>
      <c r="AV571" s="40">
        <f>AV570*(1-IF(B570&gt;=in_marketplace_from,d_hz_shop*G570,0))</f>
        <v/>
      </c>
      <c r="AW571" s="46">
        <f>AV571*IF(B571&gt;=in_marketplace_from,d_hz_shop*G571,0)</f>
        <v/>
      </c>
      <c r="AX571" s="14">
        <f>F571*AW571*in_shop_ticket*in_shop_comm*in_ins_partner_share+F571*in_shop_ticket*in_shop_renew_comm*in_ins_partner_share*(in_shop_renew^1*SUMIFS(AW557:AW606,B557:B606,B571-12)+in_shop_renew^2*SUMIFS(AW557:AW606,B557:B606,B571-24)+in_shop_renew^3*SUMIFS(AW557:AW606,B557:B606,B571-36)+in_shop_renew^4*SUMIFS(AW557:AW606,B557:B606,B571-48))</f>
        <v/>
      </c>
      <c r="AY571" s="40">
        <f>AY570*(1-IF(B570&gt;=in_marketplace_from,d_hz_sip*G570,0))</f>
        <v/>
      </c>
      <c r="AZ571" s="40">
        <f>AZ570*d_rho_sip+AY571*IF(B571&gt;=in_marketplace_from,d_hz_sip*G571,0)</f>
        <v/>
      </c>
      <c r="BA571" s="40">
        <f>d_rho_sip*(BA570+AZ570)</f>
        <v/>
      </c>
      <c r="BB571" s="14">
        <f>F571*in_sip_ticket*(BA571+0.5*AZ571)*in_sip_comm/12</f>
        <v/>
      </c>
      <c r="BC571" s="40">
        <f>BC570*(1-IF(B570&gt;=in_marketplace_from,d_hz_choti*G570,0))</f>
        <v/>
      </c>
      <c r="BD571" s="46">
        <f>BC571*IF(B571&gt;=in_marketplace_from,d_hz_choti*G571,0)</f>
        <v/>
      </c>
      <c r="BE571" s="14">
        <f>F571*SUMIFS(BD557:BD606,B557:B606,B571-in_choti_months)*in_choti_renew*in_choti_ticket</f>
        <v/>
      </c>
      <c r="BF571" s="40">
        <f>BF570*(1-IF(B570&gt;=in_marketplace_from,d_hz_nps*G570,0))</f>
        <v/>
      </c>
      <c r="BG571" s="14">
        <f>F571*BF571*IF(B571&gt;=in_marketplace_from,d_hz_nps*G571,0)*in_nps_ticket*in_nps_comm</f>
        <v/>
      </c>
      <c r="BH571" s="40">
        <f>BH570*(1-IF(B570&gt;=in_marketplace_from,d_hz_gold*G570,0))</f>
        <v/>
      </c>
      <c r="BI571" s="40">
        <f>BI570*d_rho_gold+BH571*IF(B571&gt;=in_marketplace_from,d_hz_gold*G571,0)</f>
        <v/>
      </c>
      <c r="BJ571" s="14">
        <f>F571*BI571*in_gold_ticket*in_gold_comm</f>
        <v/>
      </c>
      <c r="BK571" s="40">
        <f>BK570*(1-IF(B570&gt;=in_marketplace_from,d_hz_fd*G570,0))</f>
        <v/>
      </c>
      <c r="BL571" s="14">
        <f>F571*BK571*IF(B571&gt;=in_marketplace_from,d_hz_fd*G571,0)*in_fd_ticket*in_fd_comm</f>
        <v/>
      </c>
      <c r="BM571" s="40">
        <f>BM570*(1-IF(B570&gt;=in_marketplace_from,d_hz_recharge*G570,0))</f>
        <v/>
      </c>
      <c r="BN571" s="40">
        <f>BN570*d_rho_recharge+BM571*IF(B571&gt;=in_marketplace_from,d_hz_recharge*G571,0)</f>
        <v/>
      </c>
      <c r="BO571" s="14">
        <f>F571*BN571*in_recharge_ticket*in_recharge_comm/12</f>
        <v/>
      </c>
      <c r="BP571" s="40">
        <f>BP570*(1-IF(B570&gt;=in_marketplace_from,d_hz_bills*G570,0))</f>
        <v/>
      </c>
      <c r="BQ571" s="40">
        <f>BQ570*d_rho_bills+BP571*IF(B571&gt;=in_marketplace_from,d_hz_bills*G571,0)</f>
        <v/>
      </c>
      <c r="BR571" s="14">
        <f>F571*BQ571*in_bills_ticket*in_bills_comm/12</f>
        <v/>
      </c>
      <c r="BS571" s="40">
        <f>BS570*(1-IF(B570&gt;=in_marketplace_from,d_hz_loan_gold*G570,0))</f>
        <v/>
      </c>
      <c r="BT571" s="14">
        <f>F571*BS571*IF(B571&gt;=in_marketplace_from,d_hz_loan_gold*G571,0)*in_loan_gold_ticket*in_loan_gold_comm</f>
        <v/>
      </c>
      <c r="BU571" s="40">
        <f>BU570*(1-IF(B570&gt;=in_marketplace_from,d_hz_loan_cd*G570,0))</f>
        <v/>
      </c>
      <c r="BV571" s="14">
        <f>F571*BU571*IF(B571&gt;=in_marketplace_from,d_hz_loan_cd*G571,0)*in_loan_cd_ticket*in_loan_cd_comm</f>
        <v/>
      </c>
      <c r="BW571" s="40">
        <f>BW570*(1-IF(B570&gt;=in_marketplace_from,d_hz_loan_vehicle*G570,0))</f>
        <v/>
      </c>
      <c r="BX571" s="14">
        <f>F571*BW571*IF(B571&gt;=in_marketplace_from,d_hz_loan_vehicle*G571,0)*in_loan_vehicle_ticket*in_loan_vehicle_comm</f>
        <v/>
      </c>
      <c r="BY571" s="40">
        <f>BY570*(1-IF(B570&gt;=in_marketplace_from,d_hz_loan_home*G570,0)*BZ570)</f>
        <v/>
      </c>
      <c r="BZ571" s="11">
        <f>MIN(in_approval_cap,in_loan_home_approval*INDEX('Age profile'!$O$2:$O$61,B571)*(1+in_approval_growth)^(D571-1))</f>
        <v/>
      </c>
      <c r="CA571" s="14">
        <f>F571*BY571*IF(B571&gt;=in_marketplace_from,d_hz_loan_home*G571,0)*BZ571*in_loan_home_ticket*in_loan_home_comm</f>
        <v/>
      </c>
      <c r="CB571" s="40">
        <f>CB570*(1-IF(B570&gt;=in_marketplace_from,d_hz_loan_lap*G570,0)*CC570)</f>
        <v/>
      </c>
      <c r="CC571" s="11">
        <f>MIN(in_approval_cap,in_loan_lap_approval*INDEX('Age profile'!$O$2:$O$61,B571)*(1+in_approval_growth)^(D571-1))</f>
        <v/>
      </c>
      <c r="CD571" s="14">
        <f>F571*CB571*IF(B571&gt;=in_marketplace_from,d_hz_loan_lap*G571,0)*CC571*in_loan_lap_ticket*in_loan_lap_comm</f>
        <v/>
      </c>
      <c r="CE571" s="14">
        <f>AA571+AB571+AC571+AD571+AG571+AJ571+AM571+AP571+AS571+AU571+AX571+BB571+BE571+BG571+BJ571+BL571+BO571+BR571+BT571+BV571+BX571+CA571+CD571</f>
        <v/>
      </c>
    </row>
    <row r="572">
      <c r="A572" s="39" t="n">
        <v>11</v>
      </c>
      <c r="B572" s="39" t="n">
        <v>16</v>
      </c>
      <c r="C572" s="39">
        <f>A572+B572-1</f>
        <v/>
      </c>
      <c r="D572" s="39">
        <f>INT((C572-1)/12)+1</f>
        <v/>
      </c>
      <c r="E572" s="44">
        <f>INDEX(Monthly!$B$2:$B$61,A572)</f>
        <v/>
      </c>
      <c r="F572" s="44">
        <f>E572*INDEX('Age profile'!$B$2:$B$61,B572)</f>
        <v/>
      </c>
      <c r="G572" s="45">
        <f>MIN(in_takeup_cap,INDEX('Age profile'!$N$2:$N$61,B572)*(1+in_takeup_growth)^(D572-1))</f>
        <v/>
      </c>
      <c r="H572" s="11">
        <f>MIN(in_approval_cap,in_approved_first*INDEX('Age profile'!$O$2:$O$61,B572)*(1+in_approval_growth)^(D572-1))</f>
        <v/>
      </c>
      <c r="I572" s="45">
        <f>G572*MIN(in_takeup_cap,INDEX('Age profile'!$O$2:$O$61,B572)*(1+in_approval_growth)^(D572-1))</f>
        <v/>
      </c>
      <c r="J572" s="40">
        <f>(J571-L571)*F572/F571</f>
        <v/>
      </c>
      <c r="K572" s="40">
        <f>(K571-M571)*F572/F571+SUMIFS(O557:O571,B557:B571,B572-1-d_T)*F572</f>
        <v/>
      </c>
      <c r="L572" s="40">
        <f>IF(B572&gt;=in_marketplace_from,J572*d_hz*G572*in_eligible*H572,0)</f>
        <v/>
      </c>
      <c r="M572" s="40">
        <f>IF(B572&gt;=in_marketplace_from,K572*d_hz*G572*in_eligible*in_approved_repeat,0)</f>
        <v/>
      </c>
      <c r="N572" s="40">
        <f>L572+M572</f>
        <v/>
      </c>
      <c r="O572" s="46">
        <f>N572/F572</f>
        <v/>
      </c>
      <c r="P572" s="40">
        <f>F572-J572-K572</f>
        <v/>
      </c>
      <c r="Q572" s="40">
        <f>IF(B572&gt;=in_marketplace_from,(J572+K572)*d_hz*G572,0)</f>
        <v/>
      </c>
      <c r="R572" s="40">
        <f>SUMIFS(N557:N606,B557:B606,"&gt;="&amp;(B572-d_T),B557:B606,"&lt;="&amp;(B572-1))</f>
        <v/>
      </c>
      <c r="S572" s="46">
        <f>(1-d_u)*S571+IF(d_T&gt;in_topup_lag,SUMIFS(O557:O606,B557:B606,B572-in_topup_lag)-d_udrop*SUMIFS(O557:O606,B557:B606,B572-d_T),0)</f>
        <v/>
      </c>
      <c r="T572" s="40">
        <f>F572*d_u*S572</f>
        <v/>
      </c>
      <c r="U572" s="9">
        <f>L572*in_ticket+M572*d_rep_ticket</f>
        <v/>
      </c>
      <c r="V572" s="9">
        <f>U572+T572*d_topup_amt</f>
        <v/>
      </c>
      <c r="W572" s="40">
        <f>N572+T572*d_topup_ratio</f>
        <v/>
      </c>
      <c r="X572" s="40">
        <f>SUMIFS(W557:W606,B557:B606,B572-in_dpd_lag)*d_cured</f>
        <v/>
      </c>
      <c r="Y572" s="40">
        <f>SUMIFS(W557:W606,B557:B606,B572-in_rec_lag)*d_recd</f>
        <v/>
      </c>
      <c r="Z572" s="40">
        <f>IF(AND(B572&gt;=in_marketplace_from,B572&lt;in_marketplace_from+in_card_months),in_card_share/in_card_months*F572*I572,IF(AND(B572&gt;=in_marketplace_from+in_card_months,B572&lt;in_marketplace_from+2*in_card_months),in_card_share*d_card_rem/in_card_months*F572*MIN(in_takeup_cap,(1+in_takeup_growth)^(D572-1))*MIN(in_takeup_cap,(1+in_approval_growth)^(D572-1)),0))</f>
        <v/>
      </c>
      <c r="AA572" s="14">
        <f>V572*in_fee*(1-in_taken_back)</f>
        <v/>
      </c>
      <c r="AB572" s="14">
        <f>SUMIFS(W557:W606,B557:B606,B572-in_dpd_lag)*d_dpd</f>
        <v/>
      </c>
      <c r="AC572" s="14">
        <f>SUMIFS(W557:W606,B557:B606,B572-in_rec_lag)*d_rec</f>
        <v/>
      </c>
      <c r="AD572" s="14">
        <f>Z572*in_card_fee</f>
        <v/>
      </c>
      <c r="AE572" s="40">
        <f>AE571*(1-IF(B571&gt;=in_marketplace_from,d_hz_hlth_small*G571,0))</f>
        <v/>
      </c>
      <c r="AF572" s="46">
        <f>AE572*IF(B572&gt;=in_marketplace_from,d_hz_hlth_small*G572,0)</f>
        <v/>
      </c>
      <c r="AG572" s="14">
        <f>F572*AF572*in_hlth_small_ticket*in_hlth_small_comm*in_ins_partner_share+F572*in_hlth_small_ticket*in_hlth_small_renew_comm*in_ins_partner_share*(in_hlth_small_renew^1*SUMIFS(AF557:AF606,B557:B606,B572-12)+in_hlth_small_renew^2*SUMIFS(AF557:AF606,B557:B606,B572-24)+in_hlth_small_renew^3*SUMIFS(AF557:AF606,B557:B606,B572-36)+in_hlth_small_renew^4*SUMIFS(AF557:AF606,B557:B606,B572-48))</f>
        <v/>
      </c>
      <c r="AH572" s="40">
        <f>AH571*(1-IF(B571&gt;=in_marketplace_from,d_hz_hlth_family*G571,0))</f>
        <v/>
      </c>
      <c r="AI572" s="46">
        <f>AH572*IF(B572&gt;=in_marketplace_from,d_hz_hlth_family*G572,0)</f>
        <v/>
      </c>
      <c r="AJ572" s="14">
        <f>F572*AI572*in_hlth_family_ticket*in_hlth_family_comm*in_ins_partner_share+F572*in_hlth_family_ticket*in_hlth_family_renew_comm*in_ins_partner_share*(in_hlth_family_renew^1*SUMIFS(AI557:AI606,B557:B606,B572-12)+in_hlth_family_renew^2*SUMIFS(AI557:AI606,B557:B606,B572-24)+in_hlth_family_renew^3*SUMIFS(AI557:AI606,B557:B606,B572-36)+in_hlth_family_renew^4*SUMIFS(AI557:AI606,B557:B606,B572-48))</f>
        <v/>
      </c>
      <c r="AK572" s="40">
        <f>AK571*(1-IF(B571&gt;=in_marketplace_from,d_hz_life_term*G571,0))</f>
        <v/>
      </c>
      <c r="AL572" s="46">
        <f>AK572*IF(B572&gt;=in_marketplace_from,d_hz_life_term*G572,0)</f>
        <v/>
      </c>
      <c r="AM572" s="14">
        <f>F572*AL572*in_life_term_ticket*in_life_term_comm*in_ins_partner_share+F572*in_life_term_ticket*in_life_term_renew_comm*in_ins_partner_share*(in_life_term_renew^1*SUMIFS(AL557:AL606,B557:B606,B572-12)+in_life_term_renew^2*SUMIFS(AL557:AL606,B557:B606,B572-24)+in_life_term_renew^3*SUMIFS(AL557:AL606,B557:B606,B572-36)+in_life_term_renew^4*SUMIFS(AL557:AL606,B557:B606,B572-48))</f>
        <v/>
      </c>
      <c r="AN572" s="40">
        <f>AN571*(1-IF(B571&gt;=in_marketplace_from,d_hz_accident*G571,0))</f>
        <v/>
      </c>
      <c r="AO572" s="46">
        <f>AN572*IF(B572&gt;=in_marketplace_from,d_hz_accident*G572,0)</f>
        <v/>
      </c>
      <c r="AP572" s="14">
        <f>F572*AO572*in_accident_ticket*in_accident_comm*in_ins_partner_share+F572*in_accident_ticket*in_accident_renew_comm*in_ins_partner_share*(in_accident_renew^1*SUMIFS(AO557:AO606,B557:B606,B572-12)+in_accident_renew^2*SUMIFS(AO557:AO606,B557:B606,B572-24)+in_accident_renew^3*SUMIFS(AO557:AO606,B557:B606,B572-36)+in_accident_renew^4*SUMIFS(AO557:AO606,B557:B606,B572-48))</f>
        <v/>
      </c>
      <c r="AQ572" s="40">
        <f>AQ571*(1-IF(B571&gt;=in_marketplace_from,d_hz_two_wheeler*G571,0))</f>
        <v/>
      </c>
      <c r="AR572" s="46">
        <f>AQ572*IF(B572&gt;=in_marketplace_from,d_hz_two_wheeler*G572,0)</f>
        <v/>
      </c>
      <c r="AS572" s="14">
        <f>F572*AR572*in_two_wheeler_ticket*in_two_wheeler_comm*in_ins_partner_share+F572*in_two_wheeler_ticket*in_two_wheeler_comm*in_ins_partner_share*(in_two_wheeler_renew^1*SUMIFS(AR557:AR606,B557:B606,B572-12)+in_two_wheeler_renew^2*SUMIFS(AR557:AR606,B557:B606,B572-24)+in_two_wheeler_renew^3*SUMIFS(AR557:AR606,B557:B606,B572-36)+in_two_wheeler_renew^4*SUMIFS(AR557:AR606,B557:B606,B572-48))</f>
        <v/>
      </c>
      <c r="AT572" s="40">
        <f>AT571*(1-IF(B571&gt;=in_marketplace_from,d_hz_device*G571,0))</f>
        <v/>
      </c>
      <c r="AU572" s="14">
        <f>F572*AT572*IF(B572&gt;=in_marketplace_from,d_hz_device*G572,0)*in_device_ticket*in_device_comm*in_ins_partner_share</f>
        <v/>
      </c>
      <c r="AV572" s="40">
        <f>AV571*(1-IF(B571&gt;=in_marketplace_from,d_hz_shop*G571,0))</f>
        <v/>
      </c>
      <c r="AW572" s="46">
        <f>AV572*IF(B572&gt;=in_marketplace_from,d_hz_shop*G572,0)</f>
        <v/>
      </c>
      <c r="AX572" s="14">
        <f>F572*AW572*in_shop_ticket*in_shop_comm*in_ins_partner_share+F572*in_shop_ticket*in_shop_renew_comm*in_ins_partner_share*(in_shop_renew^1*SUMIFS(AW557:AW606,B557:B606,B572-12)+in_shop_renew^2*SUMIFS(AW557:AW606,B557:B606,B572-24)+in_shop_renew^3*SUMIFS(AW557:AW606,B557:B606,B572-36)+in_shop_renew^4*SUMIFS(AW557:AW606,B557:B606,B572-48))</f>
        <v/>
      </c>
      <c r="AY572" s="40">
        <f>AY571*(1-IF(B571&gt;=in_marketplace_from,d_hz_sip*G571,0))</f>
        <v/>
      </c>
      <c r="AZ572" s="40">
        <f>AZ571*d_rho_sip+AY572*IF(B572&gt;=in_marketplace_from,d_hz_sip*G572,0)</f>
        <v/>
      </c>
      <c r="BA572" s="40">
        <f>d_rho_sip*(BA571+AZ571)</f>
        <v/>
      </c>
      <c r="BB572" s="14">
        <f>F572*in_sip_ticket*(BA572+0.5*AZ572)*in_sip_comm/12</f>
        <v/>
      </c>
      <c r="BC572" s="40">
        <f>BC571*(1-IF(B571&gt;=in_marketplace_from,d_hz_choti*G571,0))</f>
        <v/>
      </c>
      <c r="BD572" s="46">
        <f>BC572*IF(B572&gt;=in_marketplace_from,d_hz_choti*G572,0)</f>
        <v/>
      </c>
      <c r="BE572" s="14">
        <f>F572*SUMIFS(BD557:BD606,B557:B606,B572-in_choti_months)*in_choti_renew*in_choti_ticket</f>
        <v/>
      </c>
      <c r="BF572" s="40">
        <f>BF571*(1-IF(B571&gt;=in_marketplace_from,d_hz_nps*G571,0))</f>
        <v/>
      </c>
      <c r="BG572" s="14">
        <f>F572*BF572*IF(B572&gt;=in_marketplace_from,d_hz_nps*G572,0)*in_nps_ticket*in_nps_comm</f>
        <v/>
      </c>
      <c r="BH572" s="40">
        <f>BH571*(1-IF(B571&gt;=in_marketplace_from,d_hz_gold*G571,0))</f>
        <v/>
      </c>
      <c r="BI572" s="40">
        <f>BI571*d_rho_gold+BH572*IF(B572&gt;=in_marketplace_from,d_hz_gold*G572,0)</f>
        <v/>
      </c>
      <c r="BJ572" s="14">
        <f>F572*BI572*in_gold_ticket*in_gold_comm</f>
        <v/>
      </c>
      <c r="BK572" s="40">
        <f>BK571*(1-IF(B571&gt;=in_marketplace_from,d_hz_fd*G571,0))</f>
        <v/>
      </c>
      <c r="BL572" s="14">
        <f>F572*BK572*IF(B572&gt;=in_marketplace_from,d_hz_fd*G572,0)*in_fd_ticket*in_fd_comm</f>
        <v/>
      </c>
      <c r="BM572" s="40">
        <f>BM571*(1-IF(B571&gt;=in_marketplace_from,d_hz_recharge*G571,0))</f>
        <v/>
      </c>
      <c r="BN572" s="40">
        <f>BN571*d_rho_recharge+BM572*IF(B572&gt;=in_marketplace_from,d_hz_recharge*G572,0)</f>
        <v/>
      </c>
      <c r="BO572" s="14">
        <f>F572*BN572*in_recharge_ticket*in_recharge_comm/12</f>
        <v/>
      </c>
      <c r="BP572" s="40">
        <f>BP571*(1-IF(B571&gt;=in_marketplace_from,d_hz_bills*G571,0))</f>
        <v/>
      </c>
      <c r="BQ572" s="40">
        <f>BQ571*d_rho_bills+BP572*IF(B572&gt;=in_marketplace_from,d_hz_bills*G572,0)</f>
        <v/>
      </c>
      <c r="BR572" s="14">
        <f>F572*BQ572*in_bills_ticket*in_bills_comm/12</f>
        <v/>
      </c>
      <c r="BS572" s="40">
        <f>BS571*(1-IF(B571&gt;=in_marketplace_from,d_hz_loan_gold*G571,0))</f>
        <v/>
      </c>
      <c r="BT572" s="14">
        <f>F572*BS572*IF(B572&gt;=in_marketplace_from,d_hz_loan_gold*G572,0)*in_loan_gold_ticket*in_loan_gold_comm</f>
        <v/>
      </c>
      <c r="BU572" s="40">
        <f>BU571*(1-IF(B571&gt;=in_marketplace_from,d_hz_loan_cd*G571,0))</f>
        <v/>
      </c>
      <c r="BV572" s="14">
        <f>F572*BU572*IF(B572&gt;=in_marketplace_from,d_hz_loan_cd*G572,0)*in_loan_cd_ticket*in_loan_cd_comm</f>
        <v/>
      </c>
      <c r="BW572" s="40">
        <f>BW571*(1-IF(B571&gt;=in_marketplace_from,d_hz_loan_vehicle*G571,0))</f>
        <v/>
      </c>
      <c r="BX572" s="14">
        <f>F572*BW572*IF(B572&gt;=in_marketplace_from,d_hz_loan_vehicle*G572,0)*in_loan_vehicle_ticket*in_loan_vehicle_comm</f>
        <v/>
      </c>
      <c r="BY572" s="40">
        <f>BY571*(1-IF(B571&gt;=in_marketplace_from,d_hz_loan_home*G571,0)*BZ571)</f>
        <v/>
      </c>
      <c r="BZ572" s="11">
        <f>MIN(in_approval_cap,in_loan_home_approval*INDEX('Age profile'!$O$2:$O$61,B572)*(1+in_approval_growth)^(D572-1))</f>
        <v/>
      </c>
      <c r="CA572" s="14">
        <f>F572*BY572*IF(B572&gt;=in_marketplace_from,d_hz_loan_home*G572,0)*BZ572*in_loan_home_ticket*in_loan_home_comm</f>
        <v/>
      </c>
      <c r="CB572" s="40">
        <f>CB571*(1-IF(B571&gt;=in_marketplace_from,d_hz_loan_lap*G571,0)*CC571)</f>
        <v/>
      </c>
      <c r="CC572" s="11">
        <f>MIN(in_approval_cap,in_loan_lap_approval*INDEX('Age profile'!$O$2:$O$61,B572)*(1+in_approval_growth)^(D572-1))</f>
        <v/>
      </c>
      <c r="CD572" s="14">
        <f>F572*CB572*IF(B572&gt;=in_marketplace_from,d_hz_loan_lap*G572,0)*CC572*in_loan_lap_ticket*in_loan_lap_comm</f>
        <v/>
      </c>
      <c r="CE572" s="14">
        <f>AA572+AB572+AC572+AD572+AG572+AJ572+AM572+AP572+AS572+AU572+AX572+BB572+BE572+BG572+BJ572+BL572+BO572+BR572+BT572+BV572+BX572+CA572+CD572</f>
        <v/>
      </c>
    </row>
    <row r="573">
      <c r="A573" s="39" t="n">
        <v>11</v>
      </c>
      <c r="B573" s="39" t="n">
        <v>17</v>
      </c>
      <c r="C573" s="39">
        <f>A573+B573-1</f>
        <v/>
      </c>
      <c r="D573" s="39">
        <f>INT((C573-1)/12)+1</f>
        <v/>
      </c>
      <c r="E573" s="44">
        <f>INDEX(Monthly!$B$2:$B$61,A573)</f>
        <v/>
      </c>
      <c r="F573" s="44">
        <f>E573*INDEX('Age profile'!$B$2:$B$61,B573)</f>
        <v/>
      </c>
      <c r="G573" s="45">
        <f>MIN(in_takeup_cap,INDEX('Age profile'!$N$2:$N$61,B573)*(1+in_takeup_growth)^(D573-1))</f>
        <v/>
      </c>
      <c r="H573" s="11">
        <f>MIN(in_approval_cap,in_approved_first*INDEX('Age profile'!$O$2:$O$61,B573)*(1+in_approval_growth)^(D573-1))</f>
        <v/>
      </c>
      <c r="I573" s="45">
        <f>G573*MIN(in_takeup_cap,INDEX('Age profile'!$O$2:$O$61,B573)*(1+in_approval_growth)^(D573-1))</f>
        <v/>
      </c>
      <c r="J573" s="40">
        <f>(J572-L572)*F573/F572</f>
        <v/>
      </c>
      <c r="K573" s="40">
        <f>(K572-M572)*F573/F572+SUMIFS(O557:O572,B557:B572,B573-1-d_T)*F573</f>
        <v/>
      </c>
      <c r="L573" s="40">
        <f>IF(B573&gt;=in_marketplace_from,J573*d_hz*G573*in_eligible*H573,0)</f>
        <v/>
      </c>
      <c r="M573" s="40">
        <f>IF(B573&gt;=in_marketplace_from,K573*d_hz*G573*in_eligible*in_approved_repeat,0)</f>
        <v/>
      </c>
      <c r="N573" s="40">
        <f>L573+M573</f>
        <v/>
      </c>
      <c r="O573" s="46">
        <f>N573/F573</f>
        <v/>
      </c>
      <c r="P573" s="40">
        <f>F573-J573-K573</f>
        <v/>
      </c>
      <c r="Q573" s="40">
        <f>IF(B573&gt;=in_marketplace_from,(J573+K573)*d_hz*G573,0)</f>
        <v/>
      </c>
      <c r="R573" s="40">
        <f>SUMIFS(N557:N606,B557:B606,"&gt;="&amp;(B573-d_T),B557:B606,"&lt;="&amp;(B573-1))</f>
        <v/>
      </c>
      <c r="S573" s="46">
        <f>(1-d_u)*S572+IF(d_T&gt;in_topup_lag,SUMIFS(O557:O606,B557:B606,B573-in_topup_lag)-d_udrop*SUMIFS(O557:O606,B557:B606,B573-d_T),0)</f>
        <v/>
      </c>
      <c r="T573" s="40">
        <f>F573*d_u*S573</f>
        <v/>
      </c>
      <c r="U573" s="9">
        <f>L573*in_ticket+M573*d_rep_ticket</f>
        <v/>
      </c>
      <c r="V573" s="9">
        <f>U573+T573*d_topup_amt</f>
        <v/>
      </c>
      <c r="W573" s="40">
        <f>N573+T573*d_topup_ratio</f>
        <v/>
      </c>
      <c r="X573" s="40">
        <f>SUMIFS(W557:W606,B557:B606,B573-in_dpd_lag)*d_cured</f>
        <v/>
      </c>
      <c r="Y573" s="40">
        <f>SUMIFS(W557:W606,B557:B606,B573-in_rec_lag)*d_recd</f>
        <v/>
      </c>
      <c r="Z573" s="40">
        <f>IF(AND(B573&gt;=in_marketplace_from,B573&lt;in_marketplace_from+in_card_months),in_card_share/in_card_months*F573*I573,IF(AND(B573&gt;=in_marketplace_from+in_card_months,B573&lt;in_marketplace_from+2*in_card_months),in_card_share*d_card_rem/in_card_months*F573*MIN(in_takeup_cap,(1+in_takeup_growth)^(D573-1))*MIN(in_takeup_cap,(1+in_approval_growth)^(D573-1)),0))</f>
        <v/>
      </c>
      <c r="AA573" s="14">
        <f>V573*in_fee*(1-in_taken_back)</f>
        <v/>
      </c>
      <c r="AB573" s="14">
        <f>SUMIFS(W557:W606,B557:B606,B573-in_dpd_lag)*d_dpd</f>
        <v/>
      </c>
      <c r="AC573" s="14">
        <f>SUMIFS(W557:W606,B557:B606,B573-in_rec_lag)*d_rec</f>
        <v/>
      </c>
      <c r="AD573" s="14">
        <f>Z573*in_card_fee</f>
        <v/>
      </c>
      <c r="AE573" s="40">
        <f>AE572*(1-IF(B572&gt;=in_marketplace_from,d_hz_hlth_small*G572,0))</f>
        <v/>
      </c>
      <c r="AF573" s="46">
        <f>AE573*IF(B573&gt;=in_marketplace_from,d_hz_hlth_small*G573,0)</f>
        <v/>
      </c>
      <c r="AG573" s="14">
        <f>F573*AF573*in_hlth_small_ticket*in_hlth_small_comm*in_ins_partner_share+F573*in_hlth_small_ticket*in_hlth_small_renew_comm*in_ins_partner_share*(in_hlth_small_renew^1*SUMIFS(AF557:AF606,B557:B606,B573-12)+in_hlth_small_renew^2*SUMIFS(AF557:AF606,B557:B606,B573-24)+in_hlth_small_renew^3*SUMIFS(AF557:AF606,B557:B606,B573-36)+in_hlth_small_renew^4*SUMIFS(AF557:AF606,B557:B606,B573-48))</f>
        <v/>
      </c>
      <c r="AH573" s="40">
        <f>AH572*(1-IF(B572&gt;=in_marketplace_from,d_hz_hlth_family*G572,0))</f>
        <v/>
      </c>
      <c r="AI573" s="46">
        <f>AH573*IF(B573&gt;=in_marketplace_from,d_hz_hlth_family*G573,0)</f>
        <v/>
      </c>
      <c r="AJ573" s="14">
        <f>F573*AI573*in_hlth_family_ticket*in_hlth_family_comm*in_ins_partner_share+F573*in_hlth_family_ticket*in_hlth_family_renew_comm*in_ins_partner_share*(in_hlth_family_renew^1*SUMIFS(AI557:AI606,B557:B606,B573-12)+in_hlth_family_renew^2*SUMIFS(AI557:AI606,B557:B606,B573-24)+in_hlth_family_renew^3*SUMIFS(AI557:AI606,B557:B606,B573-36)+in_hlth_family_renew^4*SUMIFS(AI557:AI606,B557:B606,B573-48))</f>
        <v/>
      </c>
      <c r="AK573" s="40">
        <f>AK572*(1-IF(B572&gt;=in_marketplace_from,d_hz_life_term*G572,0))</f>
        <v/>
      </c>
      <c r="AL573" s="46">
        <f>AK573*IF(B573&gt;=in_marketplace_from,d_hz_life_term*G573,0)</f>
        <v/>
      </c>
      <c r="AM573" s="14">
        <f>F573*AL573*in_life_term_ticket*in_life_term_comm*in_ins_partner_share+F573*in_life_term_ticket*in_life_term_renew_comm*in_ins_partner_share*(in_life_term_renew^1*SUMIFS(AL557:AL606,B557:B606,B573-12)+in_life_term_renew^2*SUMIFS(AL557:AL606,B557:B606,B573-24)+in_life_term_renew^3*SUMIFS(AL557:AL606,B557:B606,B573-36)+in_life_term_renew^4*SUMIFS(AL557:AL606,B557:B606,B573-48))</f>
        <v/>
      </c>
      <c r="AN573" s="40">
        <f>AN572*(1-IF(B572&gt;=in_marketplace_from,d_hz_accident*G572,0))</f>
        <v/>
      </c>
      <c r="AO573" s="46">
        <f>AN573*IF(B573&gt;=in_marketplace_from,d_hz_accident*G573,0)</f>
        <v/>
      </c>
      <c r="AP573" s="14">
        <f>F573*AO573*in_accident_ticket*in_accident_comm*in_ins_partner_share+F573*in_accident_ticket*in_accident_renew_comm*in_ins_partner_share*(in_accident_renew^1*SUMIFS(AO557:AO606,B557:B606,B573-12)+in_accident_renew^2*SUMIFS(AO557:AO606,B557:B606,B573-24)+in_accident_renew^3*SUMIFS(AO557:AO606,B557:B606,B573-36)+in_accident_renew^4*SUMIFS(AO557:AO606,B557:B606,B573-48))</f>
        <v/>
      </c>
      <c r="AQ573" s="40">
        <f>AQ572*(1-IF(B572&gt;=in_marketplace_from,d_hz_two_wheeler*G572,0))</f>
        <v/>
      </c>
      <c r="AR573" s="46">
        <f>AQ573*IF(B573&gt;=in_marketplace_from,d_hz_two_wheeler*G573,0)</f>
        <v/>
      </c>
      <c r="AS573" s="14">
        <f>F573*AR573*in_two_wheeler_ticket*in_two_wheeler_comm*in_ins_partner_share+F573*in_two_wheeler_ticket*in_two_wheeler_comm*in_ins_partner_share*(in_two_wheeler_renew^1*SUMIFS(AR557:AR606,B557:B606,B573-12)+in_two_wheeler_renew^2*SUMIFS(AR557:AR606,B557:B606,B573-24)+in_two_wheeler_renew^3*SUMIFS(AR557:AR606,B557:B606,B573-36)+in_two_wheeler_renew^4*SUMIFS(AR557:AR606,B557:B606,B573-48))</f>
        <v/>
      </c>
      <c r="AT573" s="40">
        <f>AT572*(1-IF(B572&gt;=in_marketplace_from,d_hz_device*G572,0))</f>
        <v/>
      </c>
      <c r="AU573" s="14">
        <f>F573*AT573*IF(B573&gt;=in_marketplace_from,d_hz_device*G573,0)*in_device_ticket*in_device_comm*in_ins_partner_share</f>
        <v/>
      </c>
      <c r="AV573" s="40">
        <f>AV572*(1-IF(B572&gt;=in_marketplace_from,d_hz_shop*G572,0))</f>
        <v/>
      </c>
      <c r="AW573" s="46">
        <f>AV573*IF(B573&gt;=in_marketplace_from,d_hz_shop*G573,0)</f>
        <v/>
      </c>
      <c r="AX573" s="14">
        <f>F573*AW573*in_shop_ticket*in_shop_comm*in_ins_partner_share+F573*in_shop_ticket*in_shop_renew_comm*in_ins_partner_share*(in_shop_renew^1*SUMIFS(AW557:AW606,B557:B606,B573-12)+in_shop_renew^2*SUMIFS(AW557:AW606,B557:B606,B573-24)+in_shop_renew^3*SUMIFS(AW557:AW606,B557:B606,B573-36)+in_shop_renew^4*SUMIFS(AW557:AW606,B557:B606,B573-48))</f>
        <v/>
      </c>
      <c r="AY573" s="40">
        <f>AY572*(1-IF(B572&gt;=in_marketplace_from,d_hz_sip*G572,0))</f>
        <v/>
      </c>
      <c r="AZ573" s="40">
        <f>AZ572*d_rho_sip+AY573*IF(B573&gt;=in_marketplace_from,d_hz_sip*G573,0)</f>
        <v/>
      </c>
      <c r="BA573" s="40">
        <f>d_rho_sip*(BA572+AZ572)</f>
        <v/>
      </c>
      <c r="BB573" s="14">
        <f>F573*in_sip_ticket*(BA573+0.5*AZ573)*in_sip_comm/12</f>
        <v/>
      </c>
      <c r="BC573" s="40">
        <f>BC572*(1-IF(B572&gt;=in_marketplace_from,d_hz_choti*G572,0))</f>
        <v/>
      </c>
      <c r="BD573" s="46">
        <f>BC573*IF(B573&gt;=in_marketplace_from,d_hz_choti*G573,0)</f>
        <v/>
      </c>
      <c r="BE573" s="14">
        <f>F573*SUMIFS(BD557:BD606,B557:B606,B573-in_choti_months)*in_choti_renew*in_choti_ticket</f>
        <v/>
      </c>
      <c r="BF573" s="40">
        <f>BF572*(1-IF(B572&gt;=in_marketplace_from,d_hz_nps*G572,0))</f>
        <v/>
      </c>
      <c r="BG573" s="14">
        <f>F573*BF573*IF(B573&gt;=in_marketplace_from,d_hz_nps*G573,0)*in_nps_ticket*in_nps_comm</f>
        <v/>
      </c>
      <c r="BH573" s="40">
        <f>BH572*(1-IF(B572&gt;=in_marketplace_from,d_hz_gold*G572,0))</f>
        <v/>
      </c>
      <c r="BI573" s="40">
        <f>BI572*d_rho_gold+BH573*IF(B573&gt;=in_marketplace_from,d_hz_gold*G573,0)</f>
        <v/>
      </c>
      <c r="BJ573" s="14">
        <f>F573*BI573*in_gold_ticket*in_gold_comm</f>
        <v/>
      </c>
      <c r="BK573" s="40">
        <f>BK572*(1-IF(B572&gt;=in_marketplace_from,d_hz_fd*G572,0))</f>
        <v/>
      </c>
      <c r="BL573" s="14">
        <f>F573*BK573*IF(B573&gt;=in_marketplace_from,d_hz_fd*G573,0)*in_fd_ticket*in_fd_comm</f>
        <v/>
      </c>
      <c r="BM573" s="40">
        <f>BM572*(1-IF(B572&gt;=in_marketplace_from,d_hz_recharge*G572,0))</f>
        <v/>
      </c>
      <c r="BN573" s="40">
        <f>BN572*d_rho_recharge+BM573*IF(B573&gt;=in_marketplace_from,d_hz_recharge*G573,0)</f>
        <v/>
      </c>
      <c r="BO573" s="14">
        <f>F573*BN573*in_recharge_ticket*in_recharge_comm/12</f>
        <v/>
      </c>
      <c r="BP573" s="40">
        <f>BP572*(1-IF(B572&gt;=in_marketplace_from,d_hz_bills*G572,0))</f>
        <v/>
      </c>
      <c r="BQ573" s="40">
        <f>BQ572*d_rho_bills+BP573*IF(B573&gt;=in_marketplace_from,d_hz_bills*G573,0)</f>
        <v/>
      </c>
      <c r="BR573" s="14">
        <f>F573*BQ573*in_bills_ticket*in_bills_comm/12</f>
        <v/>
      </c>
      <c r="BS573" s="40">
        <f>BS572*(1-IF(B572&gt;=in_marketplace_from,d_hz_loan_gold*G572,0))</f>
        <v/>
      </c>
      <c r="BT573" s="14">
        <f>F573*BS573*IF(B573&gt;=in_marketplace_from,d_hz_loan_gold*G573,0)*in_loan_gold_ticket*in_loan_gold_comm</f>
        <v/>
      </c>
      <c r="BU573" s="40">
        <f>BU572*(1-IF(B572&gt;=in_marketplace_from,d_hz_loan_cd*G572,0))</f>
        <v/>
      </c>
      <c r="BV573" s="14">
        <f>F573*BU573*IF(B573&gt;=in_marketplace_from,d_hz_loan_cd*G573,0)*in_loan_cd_ticket*in_loan_cd_comm</f>
        <v/>
      </c>
      <c r="BW573" s="40">
        <f>BW572*(1-IF(B572&gt;=in_marketplace_from,d_hz_loan_vehicle*G572,0))</f>
        <v/>
      </c>
      <c r="BX573" s="14">
        <f>F573*BW573*IF(B573&gt;=in_marketplace_from,d_hz_loan_vehicle*G573,0)*in_loan_vehicle_ticket*in_loan_vehicle_comm</f>
        <v/>
      </c>
      <c r="BY573" s="40">
        <f>BY572*(1-IF(B572&gt;=in_marketplace_from,d_hz_loan_home*G572,0)*BZ572)</f>
        <v/>
      </c>
      <c r="BZ573" s="11">
        <f>MIN(in_approval_cap,in_loan_home_approval*INDEX('Age profile'!$O$2:$O$61,B573)*(1+in_approval_growth)^(D573-1))</f>
        <v/>
      </c>
      <c r="CA573" s="14">
        <f>F573*BY573*IF(B573&gt;=in_marketplace_from,d_hz_loan_home*G573,0)*BZ573*in_loan_home_ticket*in_loan_home_comm</f>
        <v/>
      </c>
      <c r="CB573" s="40">
        <f>CB572*(1-IF(B572&gt;=in_marketplace_from,d_hz_loan_lap*G572,0)*CC572)</f>
        <v/>
      </c>
      <c r="CC573" s="11">
        <f>MIN(in_approval_cap,in_loan_lap_approval*INDEX('Age profile'!$O$2:$O$61,B573)*(1+in_approval_growth)^(D573-1))</f>
        <v/>
      </c>
      <c r="CD573" s="14">
        <f>F573*CB573*IF(B573&gt;=in_marketplace_from,d_hz_loan_lap*G573,0)*CC573*in_loan_lap_ticket*in_loan_lap_comm</f>
        <v/>
      </c>
      <c r="CE573" s="14">
        <f>AA573+AB573+AC573+AD573+AG573+AJ573+AM573+AP573+AS573+AU573+AX573+BB573+BE573+BG573+BJ573+BL573+BO573+BR573+BT573+BV573+BX573+CA573+CD573</f>
        <v/>
      </c>
    </row>
    <row r="574">
      <c r="A574" s="39" t="n">
        <v>11</v>
      </c>
      <c r="B574" s="39" t="n">
        <v>18</v>
      </c>
      <c r="C574" s="39">
        <f>A574+B574-1</f>
        <v/>
      </c>
      <c r="D574" s="39">
        <f>INT((C574-1)/12)+1</f>
        <v/>
      </c>
      <c r="E574" s="44">
        <f>INDEX(Monthly!$B$2:$B$61,A574)</f>
        <v/>
      </c>
      <c r="F574" s="44">
        <f>E574*INDEX('Age profile'!$B$2:$B$61,B574)</f>
        <v/>
      </c>
      <c r="G574" s="45">
        <f>MIN(in_takeup_cap,INDEX('Age profile'!$N$2:$N$61,B574)*(1+in_takeup_growth)^(D574-1))</f>
        <v/>
      </c>
      <c r="H574" s="11">
        <f>MIN(in_approval_cap,in_approved_first*INDEX('Age profile'!$O$2:$O$61,B574)*(1+in_approval_growth)^(D574-1))</f>
        <v/>
      </c>
      <c r="I574" s="45">
        <f>G574*MIN(in_takeup_cap,INDEX('Age profile'!$O$2:$O$61,B574)*(1+in_approval_growth)^(D574-1))</f>
        <v/>
      </c>
      <c r="J574" s="40">
        <f>(J573-L573)*F574/F573</f>
        <v/>
      </c>
      <c r="K574" s="40">
        <f>(K573-M573)*F574/F573+SUMIFS(O557:O573,B557:B573,B574-1-d_T)*F574</f>
        <v/>
      </c>
      <c r="L574" s="40">
        <f>IF(B574&gt;=in_marketplace_from,J574*d_hz*G574*in_eligible*H574,0)</f>
        <v/>
      </c>
      <c r="M574" s="40">
        <f>IF(B574&gt;=in_marketplace_from,K574*d_hz*G574*in_eligible*in_approved_repeat,0)</f>
        <v/>
      </c>
      <c r="N574" s="40">
        <f>L574+M574</f>
        <v/>
      </c>
      <c r="O574" s="46">
        <f>N574/F574</f>
        <v/>
      </c>
      <c r="P574" s="40">
        <f>F574-J574-K574</f>
        <v/>
      </c>
      <c r="Q574" s="40">
        <f>IF(B574&gt;=in_marketplace_from,(J574+K574)*d_hz*G574,0)</f>
        <v/>
      </c>
      <c r="R574" s="40">
        <f>SUMIFS(N557:N606,B557:B606,"&gt;="&amp;(B574-d_T),B557:B606,"&lt;="&amp;(B574-1))</f>
        <v/>
      </c>
      <c r="S574" s="46">
        <f>(1-d_u)*S573+IF(d_T&gt;in_topup_lag,SUMIFS(O557:O606,B557:B606,B574-in_topup_lag)-d_udrop*SUMIFS(O557:O606,B557:B606,B574-d_T),0)</f>
        <v/>
      </c>
      <c r="T574" s="40">
        <f>F574*d_u*S574</f>
        <v/>
      </c>
      <c r="U574" s="9">
        <f>L574*in_ticket+M574*d_rep_ticket</f>
        <v/>
      </c>
      <c r="V574" s="9">
        <f>U574+T574*d_topup_amt</f>
        <v/>
      </c>
      <c r="W574" s="40">
        <f>N574+T574*d_topup_ratio</f>
        <v/>
      </c>
      <c r="X574" s="40">
        <f>SUMIFS(W557:W606,B557:B606,B574-in_dpd_lag)*d_cured</f>
        <v/>
      </c>
      <c r="Y574" s="40">
        <f>SUMIFS(W557:W606,B557:B606,B574-in_rec_lag)*d_recd</f>
        <v/>
      </c>
      <c r="Z574" s="40">
        <f>IF(AND(B574&gt;=in_marketplace_from,B574&lt;in_marketplace_from+in_card_months),in_card_share/in_card_months*F574*I574,IF(AND(B574&gt;=in_marketplace_from+in_card_months,B574&lt;in_marketplace_from+2*in_card_months),in_card_share*d_card_rem/in_card_months*F574*MIN(in_takeup_cap,(1+in_takeup_growth)^(D574-1))*MIN(in_takeup_cap,(1+in_approval_growth)^(D574-1)),0))</f>
        <v/>
      </c>
      <c r="AA574" s="14">
        <f>V574*in_fee*(1-in_taken_back)</f>
        <v/>
      </c>
      <c r="AB574" s="14">
        <f>SUMIFS(W557:W606,B557:B606,B574-in_dpd_lag)*d_dpd</f>
        <v/>
      </c>
      <c r="AC574" s="14">
        <f>SUMIFS(W557:W606,B557:B606,B574-in_rec_lag)*d_rec</f>
        <v/>
      </c>
      <c r="AD574" s="14">
        <f>Z574*in_card_fee</f>
        <v/>
      </c>
      <c r="AE574" s="40">
        <f>AE573*(1-IF(B573&gt;=in_marketplace_from,d_hz_hlth_small*G573,0))</f>
        <v/>
      </c>
      <c r="AF574" s="46">
        <f>AE574*IF(B574&gt;=in_marketplace_from,d_hz_hlth_small*G574,0)</f>
        <v/>
      </c>
      <c r="AG574" s="14">
        <f>F574*AF574*in_hlth_small_ticket*in_hlth_small_comm*in_ins_partner_share+F574*in_hlth_small_ticket*in_hlth_small_renew_comm*in_ins_partner_share*(in_hlth_small_renew^1*SUMIFS(AF557:AF606,B557:B606,B574-12)+in_hlth_small_renew^2*SUMIFS(AF557:AF606,B557:B606,B574-24)+in_hlth_small_renew^3*SUMIFS(AF557:AF606,B557:B606,B574-36)+in_hlth_small_renew^4*SUMIFS(AF557:AF606,B557:B606,B574-48))</f>
        <v/>
      </c>
      <c r="AH574" s="40">
        <f>AH573*(1-IF(B573&gt;=in_marketplace_from,d_hz_hlth_family*G573,0))</f>
        <v/>
      </c>
      <c r="AI574" s="46">
        <f>AH574*IF(B574&gt;=in_marketplace_from,d_hz_hlth_family*G574,0)</f>
        <v/>
      </c>
      <c r="AJ574" s="14">
        <f>F574*AI574*in_hlth_family_ticket*in_hlth_family_comm*in_ins_partner_share+F574*in_hlth_family_ticket*in_hlth_family_renew_comm*in_ins_partner_share*(in_hlth_family_renew^1*SUMIFS(AI557:AI606,B557:B606,B574-12)+in_hlth_family_renew^2*SUMIFS(AI557:AI606,B557:B606,B574-24)+in_hlth_family_renew^3*SUMIFS(AI557:AI606,B557:B606,B574-36)+in_hlth_family_renew^4*SUMIFS(AI557:AI606,B557:B606,B574-48))</f>
        <v/>
      </c>
      <c r="AK574" s="40">
        <f>AK573*(1-IF(B573&gt;=in_marketplace_from,d_hz_life_term*G573,0))</f>
        <v/>
      </c>
      <c r="AL574" s="46">
        <f>AK574*IF(B574&gt;=in_marketplace_from,d_hz_life_term*G574,0)</f>
        <v/>
      </c>
      <c r="AM574" s="14">
        <f>F574*AL574*in_life_term_ticket*in_life_term_comm*in_ins_partner_share+F574*in_life_term_ticket*in_life_term_renew_comm*in_ins_partner_share*(in_life_term_renew^1*SUMIFS(AL557:AL606,B557:B606,B574-12)+in_life_term_renew^2*SUMIFS(AL557:AL606,B557:B606,B574-24)+in_life_term_renew^3*SUMIFS(AL557:AL606,B557:B606,B574-36)+in_life_term_renew^4*SUMIFS(AL557:AL606,B557:B606,B574-48))</f>
        <v/>
      </c>
      <c r="AN574" s="40">
        <f>AN573*(1-IF(B573&gt;=in_marketplace_from,d_hz_accident*G573,0))</f>
        <v/>
      </c>
      <c r="AO574" s="46">
        <f>AN574*IF(B574&gt;=in_marketplace_from,d_hz_accident*G574,0)</f>
        <v/>
      </c>
      <c r="AP574" s="14">
        <f>F574*AO574*in_accident_ticket*in_accident_comm*in_ins_partner_share+F574*in_accident_ticket*in_accident_renew_comm*in_ins_partner_share*(in_accident_renew^1*SUMIFS(AO557:AO606,B557:B606,B574-12)+in_accident_renew^2*SUMIFS(AO557:AO606,B557:B606,B574-24)+in_accident_renew^3*SUMIFS(AO557:AO606,B557:B606,B574-36)+in_accident_renew^4*SUMIFS(AO557:AO606,B557:B606,B574-48))</f>
        <v/>
      </c>
      <c r="AQ574" s="40">
        <f>AQ573*(1-IF(B573&gt;=in_marketplace_from,d_hz_two_wheeler*G573,0))</f>
        <v/>
      </c>
      <c r="AR574" s="46">
        <f>AQ574*IF(B574&gt;=in_marketplace_from,d_hz_two_wheeler*G574,0)</f>
        <v/>
      </c>
      <c r="AS574" s="14">
        <f>F574*AR574*in_two_wheeler_ticket*in_two_wheeler_comm*in_ins_partner_share+F574*in_two_wheeler_ticket*in_two_wheeler_comm*in_ins_partner_share*(in_two_wheeler_renew^1*SUMIFS(AR557:AR606,B557:B606,B574-12)+in_two_wheeler_renew^2*SUMIFS(AR557:AR606,B557:B606,B574-24)+in_two_wheeler_renew^3*SUMIFS(AR557:AR606,B557:B606,B574-36)+in_two_wheeler_renew^4*SUMIFS(AR557:AR606,B557:B606,B574-48))</f>
        <v/>
      </c>
      <c r="AT574" s="40">
        <f>AT573*(1-IF(B573&gt;=in_marketplace_from,d_hz_device*G573,0))</f>
        <v/>
      </c>
      <c r="AU574" s="14">
        <f>F574*AT574*IF(B574&gt;=in_marketplace_from,d_hz_device*G574,0)*in_device_ticket*in_device_comm*in_ins_partner_share</f>
        <v/>
      </c>
      <c r="AV574" s="40">
        <f>AV573*(1-IF(B573&gt;=in_marketplace_from,d_hz_shop*G573,0))</f>
        <v/>
      </c>
      <c r="AW574" s="46">
        <f>AV574*IF(B574&gt;=in_marketplace_from,d_hz_shop*G574,0)</f>
        <v/>
      </c>
      <c r="AX574" s="14">
        <f>F574*AW574*in_shop_ticket*in_shop_comm*in_ins_partner_share+F574*in_shop_ticket*in_shop_renew_comm*in_ins_partner_share*(in_shop_renew^1*SUMIFS(AW557:AW606,B557:B606,B574-12)+in_shop_renew^2*SUMIFS(AW557:AW606,B557:B606,B574-24)+in_shop_renew^3*SUMIFS(AW557:AW606,B557:B606,B574-36)+in_shop_renew^4*SUMIFS(AW557:AW606,B557:B606,B574-48))</f>
        <v/>
      </c>
      <c r="AY574" s="40">
        <f>AY573*(1-IF(B573&gt;=in_marketplace_from,d_hz_sip*G573,0))</f>
        <v/>
      </c>
      <c r="AZ574" s="40">
        <f>AZ573*d_rho_sip+AY574*IF(B574&gt;=in_marketplace_from,d_hz_sip*G574,0)</f>
        <v/>
      </c>
      <c r="BA574" s="40">
        <f>d_rho_sip*(BA573+AZ573)</f>
        <v/>
      </c>
      <c r="BB574" s="14">
        <f>F574*in_sip_ticket*(BA574+0.5*AZ574)*in_sip_comm/12</f>
        <v/>
      </c>
      <c r="BC574" s="40">
        <f>BC573*(1-IF(B573&gt;=in_marketplace_from,d_hz_choti*G573,0))</f>
        <v/>
      </c>
      <c r="BD574" s="46">
        <f>BC574*IF(B574&gt;=in_marketplace_from,d_hz_choti*G574,0)</f>
        <v/>
      </c>
      <c r="BE574" s="14">
        <f>F574*SUMIFS(BD557:BD606,B557:B606,B574-in_choti_months)*in_choti_renew*in_choti_ticket</f>
        <v/>
      </c>
      <c r="BF574" s="40">
        <f>BF573*(1-IF(B573&gt;=in_marketplace_from,d_hz_nps*G573,0))</f>
        <v/>
      </c>
      <c r="BG574" s="14">
        <f>F574*BF574*IF(B574&gt;=in_marketplace_from,d_hz_nps*G574,0)*in_nps_ticket*in_nps_comm</f>
        <v/>
      </c>
      <c r="BH574" s="40">
        <f>BH573*(1-IF(B573&gt;=in_marketplace_from,d_hz_gold*G573,0))</f>
        <v/>
      </c>
      <c r="BI574" s="40">
        <f>BI573*d_rho_gold+BH574*IF(B574&gt;=in_marketplace_from,d_hz_gold*G574,0)</f>
        <v/>
      </c>
      <c r="BJ574" s="14">
        <f>F574*BI574*in_gold_ticket*in_gold_comm</f>
        <v/>
      </c>
      <c r="BK574" s="40">
        <f>BK573*(1-IF(B573&gt;=in_marketplace_from,d_hz_fd*G573,0))</f>
        <v/>
      </c>
      <c r="BL574" s="14">
        <f>F574*BK574*IF(B574&gt;=in_marketplace_from,d_hz_fd*G574,0)*in_fd_ticket*in_fd_comm</f>
        <v/>
      </c>
      <c r="BM574" s="40">
        <f>BM573*(1-IF(B573&gt;=in_marketplace_from,d_hz_recharge*G573,0))</f>
        <v/>
      </c>
      <c r="BN574" s="40">
        <f>BN573*d_rho_recharge+BM574*IF(B574&gt;=in_marketplace_from,d_hz_recharge*G574,0)</f>
        <v/>
      </c>
      <c r="BO574" s="14">
        <f>F574*BN574*in_recharge_ticket*in_recharge_comm/12</f>
        <v/>
      </c>
      <c r="BP574" s="40">
        <f>BP573*(1-IF(B573&gt;=in_marketplace_from,d_hz_bills*G573,0))</f>
        <v/>
      </c>
      <c r="BQ574" s="40">
        <f>BQ573*d_rho_bills+BP574*IF(B574&gt;=in_marketplace_from,d_hz_bills*G574,0)</f>
        <v/>
      </c>
      <c r="BR574" s="14">
        <f>F574*BQ574*in_bills_ticket*in_bills_comm/12</f>
        <v/>
      </c>
      <c r="BS574" s="40">
        <f>BS573*(1-IF(B573&gt;=in_marketplace_from,d_hz_loan_gold*G573,0))</f>
        <v/>
      </c>
      <c r="BT574" s="14">
        <f>F574*BS574*IF(B574&gt;=in_marketplace_from,d_hz_loan_gold*G574,0)*in_loan_gold_ticket*in_loan_gold_comm</f>
        <v/>
      </c>
      <c r="BU574" s="40">
        <f>BU573*(1-IF(B573&gt;=in_marketplace_from,d_hz_loan_cd*G573,0))</f>
        <v/>
      </c>
      <c r="BV574" s="14">
        <f>F574*BU574*IF(B574&gt;=in_marketplace_from,d_hz_loan_cd*G574,0)*in_loan_cd_ticket*in_loan_cd_comm</f>
        <v/>
      </c>
      <c r="BW574" s="40">
        <f>BW573*(1-IF(B573&gt;=in_marketplace_from,d_hz_loan_vehicle*G573,0))</f>
        <v/>
      </c>
      <c r="BX574" s="14">
        <f>F574*BW574*IF(B574&gt;=in_marketplace_from,d_hz_loan_vehicle*G574,0)*in_loan_vehicle_ticket*in_loan_vehicle_comm</f>
        <v/>
      </c>
      <c r="BY574" s="40">
        <f>BY573*(1-IF(B573&gt;=in_marketplace_from,d_hz_loan_home*G573,0)*BZ573)</f>
        <v/>
      </c>
      <c r="BZ574" s="11">
        <f>MIN(in_approval_cap,in_loan_home_approval*INDEX('Age profile'!$O$2:$O$61,B574)*(1+in_approval_growth)^(D574-1))</f>
        <v/>
      </c>
      <c r="CA574" s="14">
        <f>F574*BY574*IF(B574&gt;=in_marketplace_from,d_hz_loan_home*G574,0)*BZ574*in_loan_home_ticket*in_loan_home_comm</f>
        <v/>
      </c>
      <c r="CB574" s="40">
        <f>CB573*(1-IF(B573&gt;=in_marketplace_from,d_hz_loan_lap*G573,0)*CC573)</f>
        <v/>
      </c>
      <c r="CC574" s="11">
        <f>MIN(in_approval_cap,in_loan_lap_approval*INDEX('Age profile'!$O$2:$O$61,B574)*(1+in_approval_growth)^(D574-1))</f>
        <v/>
      </c>
      <c r="CD574" s="14">
        <f>F574*CB574*IF(B574&gt;=in_marketplace_from,d_hz_loan_lap*G574,0)*CC574*in_loan_lap_ticket*in_loan_lap_comm</f>
        <v/>
      </c>
      <c r="CE574" s="14">
        <f>AA574+AB574+AC574+AD574+AG574+AJ574+AM574+AP574+AS574+AU574+AX574+BB574+BE574+BG574+BJ574+BL574+BO574+BR574+BT574+BV574+BX574+CA574+CD574</f>
        <v/>
      </c>
    </row>
    <row r="575">
      <c r="A575" s="39" t="n">
        <v>11</v>
      </c>
      <c r="B575" s="39" t="n">
        <v>19</v>
      </c>
      <c r="C575" s="39">
        <f>A575+B575-1</f>
        <v/>
      </c>
      <c r="D575" s="39">
        <f>INT((C575-1)/12)+1</f>
        <v/>
      </c>
      <c r="E575" s="44">
        <f>INDEX(Monthly!$B$2:$B$61,A575)</f>
        <v/>
      </c>
      <c r="F575" s="44">
        <f>E575*INDEX('Age profile'!$B$2:$B$61,B575)</f>
        <v/>
      </c>
      <c r="G575" s="45">
        <f>MIN(in_takeup_cap,INDEX('Age profile'!$N$2:$N$61,B575)*(1+in_takeup_growth)^(D575-1))</f>
        <v/>
      </c>
      <c r="H575" s="11">
        <f>MIN(in_approval_cap,in_approved_first*INDEX('Age profile'!$O$2:$O$61,B575)*(1+in_approval_growth)^(D575-1))</f>
        <v/>
      </c>
      <c r="I575" s="45">
        <f>G575*MIN(in_takeup_cap,INDEX('Age profile'!$O$2:$O$61,B575)*(1+in_approval_growth)^(D575-1))</f>
        <v/>
      </c>
      <c r="J575" s="40">
        <f>(J574-L574)*F575/F574</f>
        <v/>
      </c>
      <c r="K575" s="40">
        <f>(K574-M574)*F575/F574+SUMIFS(O557:O574,B557:B574,B575-1-d_T)*F575</f>
        <v/>
      </c>
      <c r="L575" s="40">
        <f>IF(B575&gt;=in_marketplace_from,J575*d_hz*G575*in_eligible*H575,0)</f>
        <v/>
      </c>
      <c r="M575" s="40">
        <f>IF(B575&gt;=in_marketplace_from,K575*d_hz*G575*in_eligible*in_approved_repeat,0)</f>
        <v/>
      </c>
      <c r="N575" s="40">
        <f>L575+M575</f>
        <v/>
      </c>
      <c r="O575" s="46">
        <f>N575/F575</f>
        <v/>
      </c>
      <c r="P575" s="40">
        <f>F575-J575-K575</f>
        <v/>
      </c>
      <c r="Q575" s="40">
        <f>IF(B575&gt;=in_marketplace_from,(J575+K575)*d_hz*G575,0)</f>
        <v/>
      </c>
      <c r="R575" s="40">
        <f>SUMIFS(N557:N606,B557:B606,"&gt;="&amp;(B575-d_T),B557:B606,"&lt;="&amp;(B575-1))</f>
        <v/>
      </c>
      <c r="S575" s="46">
        <f>(1-d_u)*S574+IF(d_T&gt;in_topup_lag,SUMIFS(O557:O606,B557:B606,B575-in_topup_lag)-d_udrop*SUMIFS(O557:O606,B557:B606,B575-d_T),0)</f>
        <v/>
      </c>
      <c r="T575" s="40">
        <f>F575*d_u*S575</f>
        <v/>
      </c>
      <c r="U575" s="9">
        <f>L575*in_ticket+M575*d_rep_ticket</f>
        <v/>
      </c>
      <c r="V575" s="9">
        <f>U575+T575*d_topup_amt</f>
        <v/>
      </c>
      <c r="W575" s="40">
        <f>N575+T575*d_topup_ratio</f>
        <v/>
      </c>
      <c r="X575" s="40">
        <f>SUMIFS(W557:W606,B557:B606,B575-in_dpd_lag)*d_cured</f>
        <v/>
      </c>
      <c r="Y575" s="40">
        <f>SUMIFS(W557:W606,B557:B606,B575-in_rec_lag)*d_recd</f>
        <v/>
      </c>
      <c r="Z575" s="40">
        <f>IF(AND(B575&gt;=in_marketplace_from,B575&lt;in_marketplace_from+in_card_months),in_card_share/in_card_months*F575*I575,IF(AND(B575&gt;=in_marketplace_from+in_card_months,B575&lt;in_marketplace_from+2*in_card_months),in_card_share*d_card_rem/in_card_months*F575*MIN(in_takeup_cap,(1+in_takeup_growth)^(D575-1))*MIN(in_takeup_cap,(1+in_approval_growth)^(D575-1)),0))</f>
        <v/>
      </c>
      <c r="AA575" s="14">
        <f>V575*in_fee*(1-in_taken_back)</f>
        <v/>
      </c>
      <c r="AB575" s="14">
        <f>SUMIFS(W557:W606,B557:B606,B575-in_dpd_lag)*d_dpd</f>
        <v/>
      </c>
      <c r="AC575" s="14">
        <f>SUMIFS(W557:W606,B557:B606,B575-in_rec_lag)*d_rec</f>
        <v/>
      </c>
      <c r="AD575" s="14">
        <f>Z575*in_card_fee</f>
        <v/>
      </c>
      <c r="AE575" s="40">
        <f>AE574*(1-IF(B574&gt;=in_marketplace_from,d_hz_hlth_small*G574,0))</f>
        <v/>
      </c>
      <c r="AF575" s="46">
        <f>AE575*IF(B575&gt;=in_marketplace_from,d_hz_hlth_small*G575,0)</f>
        <v/>
      </c>
      <c r="AG575" s="14">
        <f>F575*AF575*in_hlth_small_ticket*in_hlth_small_comm*in_ins_partner_share+F575*in_hlth_small_ticket*in_hlth_small_renew_comm*in_ins_partner_share*(in_hlth_small_renew^1*SUMIFS(AF557:AF606,B557:B606,B575-12)+in_hlth_small_renew^2*SUMIFS(AF557:AF606,B557:B606,B575-24)+in_hlth_small_renew^3*SUMIFS(AF557:AF606,B557:B606,B575-36)+in_hlth_small_renew^4*SUMIFS(AF557:AF606,B557:B606,B575-48))</f>
        <v/>
      </c>
      <c r="AH575" s="40">
        <f>AH574*(1-IF(B574&gt;=in_marketplace_from,d_hz_hlth_family*G574,0))</f>
        <v/>
      </c>
      <c r="AI575" s="46">
        <f>AH575*IF(B575&gt;=in_marketplace_from,d_hz_hlth_family*G575,0)</f>
        <v/>
      </c>
      <c r="AJ575" s="14">
        <f>F575*AI575*in_hlth_family_ticket*in_hlth_family_comm*in_ins_partner_share+F575*in_hlth_family_ticket*in_hlth_family_renew_comm*in_ins_partner_share*(in_hlth_family_renew^1*SUMIFS(AI557:AI606,B557:B606,B575-12)+in_hlth_family_renew^2*SUMIFS(AI557:AI606,B557:B606,B575-24)+in_hlth_family_renew^3*SUMIFS(AI557:AI606,B557:B606,B575-36)+in_hlth_family_renew^4*SUMIFS(AI557:AI606,B557:B606,B575-48))</f>
        <v/>
      </c>
      <c r="AK575" s="40">
        <f>AK574*(1-IF(B574&gt;=in_marketplace_from,d_hz_life_term*G574,0))</f>
        <v/>
      </c>
      <c r="AL575" s="46">
        <f>AK575*IF(B575&gt;=in_marketplace_from,d_hz_life_term*G575,0)</f>
        <v/>
      </c>
      <c r="AM575" s="14">
        <f>F575*AL575*in_life_term_ticket*in_life_term_comm*in_ins_partner_share+F575*in_life_term_ticket*in_life_term_renew_comm*in_ins_partner_share*(in_life_term_renew^1*SUMIFS(AL557:AL606,B557:B606,B575-12)+in_life_term_renew^2*SUMIFS(AL557:AL606,B557:B606,B575-24)+in_life_term_renew^3*SUMIFS(AL557:AL606,B557:B606,B575-36)+in_life_term_renew^4*SUMIFS(AL557:AL606,B557:B606,B575-48))</f>
        <v/>
      </c>
      <c r="AN575" s="40">
        <f>AN574*(1-IF(B574&gt;=in_marketplace_from,d_hz_accident*G574,0))</f>
        <v/>
      </c>
      <c r="AO575" s="46">
        <f>AN575*IF(B575&gt;=in_marketplace_from,d_hz_accident*G575,0)</f>
        <v/>
      </c>
      <c r="AP575" s="14">
        <f>F575*AO575*in_accident_ticket*in_accident_comm*in_ins_partner_share+F575*in_accident_ticket*in_accident_renew_comm*in_ins_partner_share*(in_accident_renew^1*SUMIFS(AO557:AO606,B557:B606,B575-12)+in_accident_renew^2*SUMIFS(AO557:AO606,B557:B606,B575-24)+in_accident_renew^3*SUMIFS(AO557:AO606,B557:B606,B575-36)+in_accident_renew^4*SUMIFS(AO557:AO606,B557:B606,B575-48))</f>
        <v/>
      </c>
      <c r="AQ575" s="40">
        <f>AQ574*(1-IF(B574&gt;=in_marketplace_from,d_hz_two_wheeler*G574,0))</f>
        <v/>
      </c>
      <c r="AR575" s="46">
        <f>AQ575*IF(B575&gt;=in_marketplace_from,d_hz_two_wheeler*G575,0)</f>
        <v/>
      </c>
      <c r="AS575" s="14">
        <f>F575*AR575*in_two_wheeler_ticket*in_two_wheeler_comm*in_ins_partner_share+F575*in_two_wheeler_ticket*in_two_wheeler_comm*in_ins_partner_share*(in_two_wheeler_renew^1*SUMIFS(AR557:AR606,B557:B606,B575-12)+in_two_wheeler_renew^2*SUMIFS(AR557:AR606,B557:B606,B575-24)+in_two_wheeler_renew^3*SUMIFS(AR557:AR606,B557:B606,B575-36)+in_two_wheeler_renew^4*SUMIFS(AR557:AR606,B557:B606,B575-48))</f>
        <v/>
      </c>
      <c r="AT575" s="40">
        <f>AT574*(1-IF(B574&gt;=in_marketplace_from,d_hz_device*G574,0))</f>
        <v/>
      </c>
      <c r="AU575" s="14">
        <f>F575*AT575*IF(B575&gt;=in_marketplace_from,d_hz_device*G575,0)*in_device_ticket*in_device_comm*in_ins_partner_share</f>
        <v/>
      </c>
      <c r="AV575" s="40">
        <f>AV574*(1-IF(B574&gt;=in_marketplace_from,d_hz_shop*G574,0))</f>
        <v/>
      </c>
      <c r="AW575" s="46">
        <f>AV575*IF(B575&gt;=in_marketplace_from,d_hz_shop*G575,0)</f>
        <v/>
      </c>
      <c r="AX575" s="14">
        <f>F575*AW575*in_shop_ticket*in_shop_comm*in_ins_partner_share+F575*in_shop_ticket*in_shop_renew_comm*in_ins_partner_share*(in_shop_renew^1*SUMIFS(AW557:AW606,B557:B606,B575-12)+in_shop_renew^2*SUMIFS(AW557:AW606,B557:B606,B575-24)+in_shop_renew^3*SUMIFS(AW557:AW606,B557:B606,B575-36)+in_shop_renew^4*SUMIFS(AW557:AW606,B557:B606,B575-48))</f>
        <v/>
      </c>
      <c r="AY575" s="40">
        <f>AY574*(1-IF(B574&gt;=in_marketplace_from,d_hz_sip*G574,0))</f>
        <v/>
      </c>
      <c r="AZ575" s="40">
        <f>AZ574*d_rho_sip+AY575*IF(B575&gt;=in_marketplace_from,d_hz_sip*G575,0)</f>
        <v/>
      </c>
      <c r="BA575" s="40">
        <f>d_rho_sip*(BA574+AZ574)</f>
        <v/>
      </c>
      <c r="BB575" s="14">
        <f>F575*in_sip_ticket*(BA575+0.5*AZ575)*in_sip_comm/12</f>
        <v/>
      </c>
      <c r="BC575" s="40">
        <f>BC574*(1-IF(B574&gt;=in_marketplace_from,d_hz_choti*G574,0))</f>
        <v/>
      </c>
      <c r="BD575" s="46">
        <f>BC575*IF(B575&gt;=in_marketplace_from,d_hz_choti*G575,0)</f>
        <v/>
      </c>
      <c r="BE575" s="14">
        <f>F575*SUMIFS(BD557:BD606,B557:B606,B575-in_choti_months)*in_choti_renew*in_choti_ticket</f>
        <v/>
      </c>
      <c r="BF575" s="40">
        <f>BF574*(1-IF(B574&gt;=in_marketplace_from,d_hz_nps*G574,0))</f>
        <v/>
      </c>
      <c r="BG575" s="14">
        <f>F575*BF575*IF(B575&gt;=in_marketplace_from,d_hz_nps*G575,0)*in_nps_ticket*in_nps_comm</f>
        <v/>
      </c>
      <c r="BH575" s="40">
        <f>BH574*(1-IF(B574&gt;=in_marketplace_from,d_hz_gold*G574,0))</f>
        <v/>
      </c>
      <c r="BI575" s="40">
        <f>BI574*d_rho_gold+BH575*IF(B575&gt;=in_marketplace_from,d_hz_gold*G575,0)</f>
        <v/>
      </c>
      <c r="BJ575" s="14">
        <f>F575*BI575*in_gold_ticket*in_gold_comm</f>
        <v/>
      </c>
      <c r="BK575" s="40">
        <f>BK574*(1-IF(B574&gt;=in_marketplace_from,d_hz_fd*G574,0))</f>
        <v/>
      </c>
      <c r="BL575" s="14">
        <f>F575*BK575*IF(B575&gt;=in_marketplace_from,d_hz_fd*G575,0)*in_fd_ticket*in_fd_comm</f>
        <v/>
      </c>
      <c r="BM575" s="40">
        <f>BM574*(1-IF(B574&gt;=in_marketplace_from,d_hz_recharge*G574,0))</f>
        <v/>
      </c>
      <c r="BN575" s="40">
        <f>BN574*d_rho_recharge+BM575*IF(B575&gt;=in_marketplace_from,d_hz_recharge*G575,0)</f>
        <v/>
      </c>
      <c r="BO575" s="14">
        <f>F575*BN575*in_recharge_ticket*in_recharge_comm/12</f>
        <v/>
      </c>
      <c r="BP575" s="40">
        <f>BP574*(1-IF(B574&gt;=in_marketplace_from,d_hz_bills*G574,0))</f>
        <v/>
      </c>
      <c r="BQ575" s="40">
        <f>BQ574*d_rho_bills+BP575*IF(B575&gt;=in_marketplace_from,d_hz_bills*G575,0)</f>
        <v/>
      </c>
      <c r="BR575" s="14">
        <f>F575*BQ575*in_bills_ticket*in_bills_comm/12</f>
        <v/>
      </c>
      <c r="BS575" s="40">
        <f>BS574*(1-IF(B574&gt;=in_marketplace_from,d_hz_loan_gold*G574,0))</f>
        <v/>
      </c>
      <c r="BT575" s="14">
        <f>F575*BS575*IF(B575&gt;=in_marketplace_from,d_hz_loan_gold*G575,0)*in_loan_gold_ticket*in_loan_gold_comm</f>
        <v/>
      </c>
      <c r="BU575" s="40">
        <f>BU574*(1-IF(B574&gt;=in_marketplace_from,d_hz_loan_cd*G574,0))</f>
        <v/>
      </c>
      <c r="BV575" s="14">
        <f>F575*BU575*IF(B575&gt;=in_marketplace_from,d_hz_loan_cd*G575,0)*in_loan_cd_ticket*in_loan_cd_comm</f>
        <v/>
      </c>
      <c r="BW575" s="40">
        <f>BW574*(1-IF(B574&gt;=in_marketplace_from,d_hz_loan_vehicle*G574,0))</f>
        <v/>
      </c>
      <c r="BX575" s="14">
        <f>F575*BW575*IF(B575&gt;=in_marketplace_from,d_hz_loan_vehicle*G575,0)*in_loan_vehicle_ticket*in_loan_vehicle_comm</f>
        <v/>
      </c>
      <c r="BY575" s="40">
        <f>BY574*(1-IF(B574&gt;=in_marketplace_from,d_hz_loan_home*G574,0)*BZ574)</f>
        <v/>
      </c>
      <c r="BZ575" s="11">
        <f>MIN(in_approval_cap,in_loan_home_approval*INDEX('Age profile'!$O$2:$O$61,B575)*(1+in_approval_growth)^(D575-1))</f>
        <v/>
      </c>
      <c r="CA575" s="14">
        <f>F575*BY575*IF(B575&gt;=in_marketplace_from,d_hz_loan_home*G575,0)*BZ575*in_loan_home_ticket*in_loan_home_comm</f>
        <v/>
      </c>
      <c r="CB575" s="40">
        <f>CB574*(1-IF(B574&gt;=in_marketplace_from,d_hz_loan_lap*G574,0)*CC574)</f>
        <v/>
      </c>
      <c r="CC575" s="11">
        <f>MIN(in_approval_cap,in_loan_lap_approval*INDEX('Age profile'!$O$2:$O$61,B575)*(1+in_approval_growth)^(D575-1))</f>
        <v/>
      </c>
      <c r="CD575" s="14">
        <f>F575*CB575*IF(B575&gt;=in_marketplace_from,d_hz_loan_lap*G575,0)*CC575*in_loan_lap_ticket*in_loan_lap_comm</f>
        <v/>
      </c>
      <c r="CE575" s="14">
        <f>AA575+AB575+AC575+AD575+AG575+AJ575+AM575+AP575+AS575+AU575+AX575+BB575+BE575+BG575+BJ575+BL575+BO575+BR575+BT575+BV575+BX575+CA575+CD575</f>
        <v/>
      </c>
    </row>
    <row r="576">
      <c r="A576" s="39" t="n">
        <v>11</v>
      </c>
      <c r="B576" s="39" t="n">
        <v>20</v>
      </c>
      <c r="C576" s="39">
        <f>A576+B576-1</f>
        <v/>
      </c>
      <c r="D576" s="39">
        <f>INT((C576-1)/12)+1</f>
        <v/>
      </c>
      <c r="E576" s="44">
        <f>INDEX(Monthly!$B$2:$B$61,A576)</f>
        <v/>
      </c>
      <c r="F576" s="44">
        <f>E576*INDEX('Age profile'!$B$2:$B$61,B576)</f>
        <v/>
      </c>
      <c r="G576" s="45">
        <f>MIN(in_takeup_cap,INDEX('Age profile'!$N$2:$N$61,B576)*(1+in_takeup_growth)^(D576-1))</f>
        <v/>
      </c>
      <c r="H576" s="11">
        <f>MIN(in_approval_cap,in_approved_first*INDEX('Age profile'!$O$2:$O$61,B576)*(1+in_approval_growth)^(D576-1))</f>
        <v/>
      </c>
      <c r="I576" s="45">
        <f>G576*MIN(in_takeup_cap,INDEX('Age profile'!$O$2:$O$61,B576)*(1+in_approval_growth)^(D576-1))</f>
        <v/>
      </c>
      <c r="J576" s="40">
        <f>(J575-L575)*F576/F575</f>
        <v/>
      </c>
      <c r="K576" s="40">
        <f>(K575-M575)*F576/F575+SUMIFS(O557:O575,B557:B575,B576-1-d_T)*F576</f>
        <v/>
      </c>
      <c r="L576" s="40">
        <f>IF(B576&gt;=in_marketplace_from,J576*d_hz*G576*in_eligible*H576,0)</f>
        <v/>
      </c>
      <c r="M576" s="40">
        <f>IF(B576&gt;=in_marketplace_from,K576*d_hz*G576*in_eligible*in_approved_repeat,0)</f>
        <v/>
      </c>
      <c r="N576" s="40">
        <f>L576+M576</f>
        <v/>
      </c>
      <c r="O576" s="46">
        <f>N576/F576</f>
        <v/>
      </c>
      <c r="P576" s="40">
        <f>F576-J576-K576</f>
        <v/>
      </c>
      <c r="Q576" s="40">
        <f>IF(B576&gt;=in_marketplace_from,(J576+K576)*d_hz*G576,0)</f>
        <v/>
      </c>
      <c r="R576" s="40">
        <f>SUMIFS(N557:N606,B557:B606,"&gt;="&amp;(B576-d_T),B557:B606,"&lt;="&amp;(B576-1))</f>
        <v/>
      </c>
      <c r="S576" s="46">
        <f>(1-d_u)*S575+IF(d_T&gt;in_topup_lag,SUMIFS(O557:O606,B557:B606,B576-in_topup_lag)-d_udrop*SUMIFS(O557:O606,B557:B606,B576-d_T),0)</f>
        <v/>
      </c>
      <c r="T576" s="40">
        <f>F576*d_u*S576</f>
        <v/>
      </c>
      <c r="U576" s="9">
        <f>L576*in_ticket+M576*d_rep_ticket</f>
        <v/>
      </c>
      <c r="V576" s="9">
        <f>U576+T576*d_topup_amt</f>
        <v/>
      </c>
      <c r="W576" s="40">
        <f>N576+T576*d_topup_ratio</f>
        <v/>
      </c>
      <c r="X576" s="40">
        <f>SUMIFS(W557:W606,B557:B606,B576-in_dpd_lag)*d_cured</f>
        <v/>
      </c>
      <c r="Y576" s="40">
        <f>SUMIFS(W557:W606,B557:B606,B576-in_rec_lag)*d_recd</f>
        <v/>
      </c>
      <c r="Z576" s="40">
        <f>IF(AND(B576&gt;=in_marketplace_from,B576&lt;in_marketplace_from+in_card_months),in_card_share/in_card_months*F576*I576,IF(AND(B576&gt;=in_marketplace_from+in_card_months,B576&lt;in_marketplace_from+2*in_card_months),in_card_share*d_card_rem/in_card_months*F576*MIN(in_takeup_cap,(1+in_takeup_growth)^(D576-1))*MIN(in_takeup_cap,(1+in_approval_growth)^(D576-1)),0))</f>
        <v/>
      </c>
      <c r="AA576" s="14">
        <f>V576*in_fee*(1-in_taken_back)</f>
        <v/>
      </c>
      <c r="AB576" s="14">
        <f>SUMIFS(W557:W606,B557:B606,B576-in_dpd_lag)*d_dpd</f>
        <v/>
      </c>
      <c r="AC576" s="14">
        <f>SUMIFS(W557:W606,B557:B606,B576-in_rec_lag)*d_rec</f>
        <v/>
      </c>
      <c r="AD576" s="14">
        <f>Z576*in_card_fee</f>
        <v/>
      </c>
      <c r="AE576" s="40">
        <f>AE575*(1-IF(B575&gt;=in_marketplace_from,d_hz_hlth_small*G575,0))</f>
        <v/>
      </c>
      <c r="AF576" s="46">
        <f>AE576*IF(B576&gt;=in_marketplace_from,d_hz_hlth_small*G576,0)</f>
        <v/>
      </c>
      <c r="AG576" s="14">
        <f>F576*AF576*in_hlth_small_ticket*in_hlth_small_comm*in_ins_partner_share+F576*in_hlth_small_ticket*in_hlth_small_renew_comm*in_ins_partner_share*(in_hlth_small_renew^1*SUMIFS(AF557:AF606,B557:B606,B576-12)+in_hlth_small_renew^2*SUMIFS(AF557:AF606,B557:B606,B576-24)+in_hlth_small_renew^3*SUMIFS(AF557:AF606,B557:B606,B576-36)+in_hlth_small_renew^4*SUMIFS(AF557:AF606,B557:B606,B576-48))</f>
        <v/>
      </c>
      <c r="AH576" s="40">
        <f>AH575*(1-IF(B575&gt;=in_marketplace_from,d_hz_hlth_family*G575,0))</f>
        <v/>
      </c>
      <c r="AI576" s="46">
        <f>AH576*IF(B576&gt;=in_marketplace_from,d_hz_hlth_family*G576,0)</f>
        <v/>
      </c>
      <c r="AJ576" s="14">
        <f>F576*AI576*in_hlth_family_ticket*in_hlth_family_comm*in_ins_partner_share+F576*in_hlth_family_ticket*in_hlth_family_renew_comm*in_ins_partner_share*(in_hlth_family_renew^1*SUMIFS(AI557:AI606,B557:B606,B576-12)+in_hlth_family_renew^2*SUMIFS(AI557:AI606,B557:B606,B576-24)+in_hlth_family_renew^3*SUMIFS(AI557:AI606,B557:B606,B576-36)+in_hlth_family_renew^4*SUMIFS(AI557:AI606,B557:B606,B576-48))</f>
        <v/>
      </c>
      <c r="AK576" s="40">
        <f>AK575*(1-IF(B575&gt;=in_marketplace_from,d_hz_life_term*G575,0))</f>
        <v/>
      </c>
      <c r="AL576" s="46">
        <f>AK576*IF(B576&gt;=in_marketplace_from,d_hz_life_term*G576,0)</f>
        <v/>
      </c>
      <c r="AM576" s="14">
        <f>F576*AL576*in_life_term_ticket*in_life_term_comm*in_ins_partner_share+F576*in_life_term_ticket*in_life_term_renew_comm*in_ins_partner_share*(in_life_term_renew^1*SUMIFS(AL557:AL606,B557:B606,B576-12)+in_life_term_renew^2*SUMIFS(AL557:AL606,B557:B606,B576-24)+in_life_term_renew^3*SUMIFS(AL557:AL606,B557:B606,B576-36)+in_life_term_renew^4*SUMIFS(AL557:AL606,B557:B606,B576-48))</f>
        <v/>
      </c>
      <c r="AN576" s="40">
        <f>AN575*(1-IF(B575&gt;=in_marketplace_from,d_hz_accident*G575,0))</f>
        <v/>
      </c>
      <c r="AO576" s="46">
        <f>AN576*IF(B576&gt;=in_marketplace_from,d_hz_accident*G576,0)</f>
        <v/>
      </c>
      <c r="AP576" s="14">
        <f>F576*AO576*in_accident_ticket*in_accident_comm*in_ins_partner_share+F576*in_accident_ticket*in_accident_renew_comm*in_ins_partner_share*(in_accident_renew^1*SUMIFS(AO557:AO606,B557:B606,B576-12)+in_accident_renew^2*SUMIFS(AO557:AO606,B557:B606,B576-24)+in_accident_renew^3*SUMIFS(AO557:AO606,B557:B606,B576-36)+in_accident_renew^4*SUMIFS(AO557:AO606,B557:B606,B576-48))</f>
        <v/>
      </c>
      <c r="AQ576" s="40">
        <f>AQ575*(1-IF(B575&gt;=in_marketplace_from,d_hz_two_wheeler*G575,0))</f>
        <v/>
      </c>
      <c r="AR576" s="46">
        <f>AQ576*IF(B576&gt;=in_marketplace_from,d_hz_two_wheeler*G576,0)</f>
        <v/>
      </c>
      <c r="AS576" s="14">
        <f>F576*AR576*in_two_wheeler_ticket*in_two_wheeler_comm*in_ins_partner_share+F576*in_two_wheeler_ticket*in_two_wheeler_comm*in_ins_partner_share*(in_two_wheeler_renew^1*SUMIFS(AR557:AR606,B557:B606,B576-12)+in_two_wheeler_renew^2*SUMIFS(AR557:AR606,B557:B606,B576-24)+in_two_wheeler_renew^3*SUMIFS(AR557:AR606,B557:B606,B576-36)+in_two_wheeler_renew^4*SUMIFS(AR557:AR606,B557:B606,B576-48))</f>
        <v/>
      </c>
      <c r="AT576" s="40">
        <f>AT575*(1-IF(B575&gt;=in_marketplace_from,d_hz_device*G575,0))</f>
        <v/>
      </c>
      <c r="AU576" s="14">
        <f>F576*AT576*IF(B576&gt;=in_marketplace_from,d_hz_device*G576,0)*in_device_ticket*in_device_comm*in_ins_partner_share</f>
        <v/>
      </c>
      <c r="AV576" s="40">
        <f>AV575*(1-IF(B575&gt;=in_marketplace_from,d_hz_shop*G575,0))</f>
        <v/>
      </c>
      <c r="AW576" s="46">
        <f>AV576*IF(B576&gt;=in_marketplace_from,d_hz_shop*G576,0)</f>
        <v/>
      </c>
      <c r="AX576" s="14">
        <f>F576*AW576*in_shop_ticket*in_shop_comm*in_ins_partner_share+F576*in_shop_ticket*in_shop_renew_comm*in_ins_partner_share*(in_shop_renew^1*SUMIFS(AW557:AW606,B557:B606,B576-12)+in_shop_renew^2*SUMIFS(AW557:AW606,B557:B606,B576-24)+in_shop_renew^3*SUMIFS(AW557:AW606,B557:B606,B576-36)+in_shop_renew^4*SUMIFS(AW557:AW606,B557:B606,B576-48))</f>
        <v/>
      </c>
      <c r="AY576" s="40">
        <f>AY575*(1-IF(B575&gt;=in_marketplace_from,d_hz_sip*G575,0))</f>
        <v/>
      </c>
      <c r="AZ576" s="40">
        <f>AZ575*d_rho_sip+AY576*IF(B576&gt;=in_marketplace_from,d_hz_sip*G576,0)</f>
        <v/>
      </c>
      <c r="BA576" s="40">
        <f>d_rho_sip*(BA575+AZ575)</f>
        <v/>
      </c>
      <c r="BB576" s="14">
        <f>F576*in_sip_ticket*(BA576+0.5*AZ576)*in_sip_comm/12</f>
        <v/>
      </c>
      <c r="BC576" s="40">
        <f>BC575*(1-IF(B575&gt;=in_marketplace_from,d_hz_choti*G575,0))</f>
        <v/>
      </c>
      <c r="BD576" s="46">
        <f>BC576*IF(B576&gt;=in_marketplace_from,d_hz_choti*G576,0)</f>
        <v/>
      </c>
      <c r="BE576" s="14">
        <f>F576*SUMIFS(BD557:BD606,B557:B606,B576-in_choti_months)*in_choti_renew*in_choti_ticket</f>
        <v/>
      </c>
      <c r="BF576" s="40">
        <f>BF575*(1-IF(B575&gt;=in_marketplace_from,d_hz_nps*G575,0))</f>
        <v/>
      </c>
      <c r="BG576" s="14">
        <f>F576*BF576*IF(B576&gt;=in_marketplace_from,d_hz_nps*G576,0)*in_nps_ticket*in_nps_comm</f>
        <v/>
      </c>
      <c r="BH576" s="40">
        <f>BH575*(1-IF(B575&gt;=in_marketplace_from,d_hz_gold*G575,0))</f>
        <v/>
      </c>
      <c r="BI576" s="40">
        <f>BI575*d_rho_gold+BH576*IF(B576&gt;=in_marketplace_from,d_hz_gold*G576,0)</f>
        <v/>
      </c>
      <c r="BJ576" s="14">
        <f>F576*BI576*in_gold_ticket*in_gold_comm</f>
        <v/>
      </c>
      <c r="BK576" s="40">
        <f>BK575*(1-IF(B575&gt;=in_marketplace_from,d_hz_fd*G575,0))</f>
        <v/>
      </c>
      <c r="BL576" s="14">
        <f>F576*BK576*IF(B576&gt;=in_marketplace_from,d_hz_fd*G576,0)*in_fd_ticket*in_fd_comm</f>
        <v/>
      </c>
      <c r="BM576" s="40">
        <f>BM575*(1-IF(B575&gt;=in_marketplace_from,d_hz_recharge*G575,0))</f>
        <v/>
      </c>
      <c r="BN576" s="40">
        <f>BN575*d_rho_recharge+BM576*IF(B576&gt;=in_marketplace_from,d_hz_recharge*G576,0)</f>
        <v/>
      </c>
      <c r="BO576" s="14">
        <f>F576*BN576*in_recharge_ticket*in_recharge_comm/12</f>
        <v/>
      </c>
      <c r="BP576" s="40">
        <f>BP575*(1-IF(B575&gt;=in_marketplace_from,d_hz_bills*G575,0))</f>
        <v/>
      </c>
      <c r="BQ576" s="40">
        <f>BQ575*d_rho_bills+BP576*IF(B576&gt;=in_marketplace_from,d_hz_bills*G576,0)</f>
        <v/>
      </c>
      <c r="BR576" s="14">
        <f>F576*BQ576*in_bills_ticket*in_bills_comm/12</f>
        <v/>
      </c>
      <c r="BS576" s="40">
        <f>BS575*(1-IF(B575&gt;=in_marketplace_from,d_hz_loan_gold*G575,0))</f>
        <v/>
      </c>
      <c r="BT576" s="14">
        <f>F576*BS576*IF(B576&gt;=in_marketplace_from,d_hz_loan_gold*G576,0)*in_loan_gold_ticket*in_loan_gold_comm</f>
        <v/>
      </c>
      <c r="BU576" s="40">
        <f>BU575*(1-IF(B575&gt;=in_marketplace_from,d_hz_loan_cd*G575,0))</f>
        <v/>
      </c>
      <c r="BV576" s="14">
        <f>F576*BU576*IF(B576&gt;=in_marketplace_from,d_hz_loan_cd*G576,0)*in_loan_cd_ticket*in_loan_cd_comm</f>
        <v/>
      </c>
      <c r="BW576" s="40">
        <f>BW575*(1-IF(B575&gt;=in_marketplace_from,d_hz_loan_vehicle*G575,0))</f>
        <v/>
      </c>
      <c r="BX576" s="14">
        <f>F576*BW576*IF(B576&gt;=in_marketplace_from,d_hz_loan_vehicle*G576,0)*in_loan_vehicle_ticket*in_loan_vehicle_comm</f>
        <v/>
      </c>
      <c r="BY576" s="40">
        <f>BY575*(1-IF(B575&gt;=in_marketplace_from,d_hz_loan_home*G575,0)*BZ575)</f>
        <v/>
      </c>
      <c r="BZ576" s="11">
        <f>MIN(in_approval_cap,in_loan_home_approval*INDEX('Age profile'!$O$2:$O$61,B576)*(1+in_approval_growth)^(D576-1))</f>
        <v/>
      </c>
      <c r="CA576" s="14">
        <f>F576*BY576*IF(B576&gt;=in_marketplace_from,d_hz_loan_home*G576,0)*BZ576*in_loan_home_ticket*in_loan_home_comm</f>
        <v/>
      </c>
      <c r="CB576" s="40">
        <f>CB575*(1-IF(B575&gt;=in_marketplace_from,d_hz_loan_lap*G575,0)*CC575)</f>
        <v/>
      </c>
      <c r="CC576" s="11">
        <f>MIN(in_approval_cap,in_loan_lap_approval*INDEX('Age profile'!$O$2:$O$61,B576)*(1+in_approval_growth)^(D576-1))</f>
        <v/>
      </c>
      <c r="CD576" s="14">
        <f>F576*CB576*IF(B576&gt;=in_marketplace_from,d_hz_loan_lap*G576,0)*CC576*in_loan_lap_ticket*in_loan_lap_comm</f>
        <v/>
      </c>
      <c r="CE576" s="14">
        <f>AA576+AB576+AC576+AD576+AG576+AJ576+AM576+AP576+AS576+AU576+AX576+BB576+BE576+BG576+BJ576+BL576+BO576+BR576+BT576+BV576+BX576+CA576+CD576</f>
        <v/>
      </c>
    </row>
    <row r="577">
      <c r="A577" s="39" t="n">
        <v>11</v>
      </c>
      <c r="B577" s="39" t="n">
        <v>21</v>
      </c>
      <c r="C577" s="39">
        <f>A577+B577-1</f>
        <v/>
      </c>
      <c r="D577" s="39">
        <f>INT((C577-1)/12)+1</f>
        <v/>
      </c>
      <c r="E577" s="44">
        <f>INDEX(Monthly!$B$2:$B$61,A577)</f>
        <v/>
      </c>
      <c r="F577" s="44">
        <f>E577*INDEX('Age profile'!$B$2:$B$61,B577)</f>
        <v/>
      </c>
      <c r="G577" s="45">
        <f>MIN(in_takeup_cap,INDEX('Age profile'!$N$2:$N$61,B577)*(1+in_takeup_growth)^(D577-1))</f>
        <v/>
      </c>
      <c r="H577" s="11">
        <f>MIN(in_approval_cap,in_approved_first*INDEX('Age profile'!$O$2:$O$61,B577)*(1+in_approval_growth)^(D577-1))</f>
        <v/>
      </c>
      <c r="I577" s="45">
        <f>G577*MIN(in_takeup_cap,INDEX('Age profile'!$O$2:$O$61,B577)*(1+in_approval_growth)^(D577-1))</f>
        <v/>
      </c>
      <c r="J577" s="40">
        <f>(J576-L576)*F577/F576</f>
        <v/>
      </c>
      <c r="K577" s="40">
        <f>(K576-M576)*F577/F576+SUMIFS(O557:O576,B557:B576,B577-1-d_T)*F577</f>
        <v/>
      </c>
      <c r="L577" s="40">
        <f>IF(B577&gt;=in_marketplace_from,J577*d_hz*G577*in_eligible*H577,0)</f>
        <v/>
      </c>
      <c r="M577" s="40">
        <f>IF(B577&gt;=in_marketplace_from,K577*d_hz*G577*in_eligible*in_approved_repeat,0)</f>
        <v/>
      </c>
      <c r="N577" s="40">
        <f>L577+M577</f>
        <v/>
      </c>
      <c r="O577" s="46">
        <f>N577/F577</f>
        <v/>
      </c>
      <c r="P577" s="40">
        <f>F577-J577-K577</f>
        <v/>
      </c>
      <c r="Q577" s="40">
        <f>IF(B577&gt;=in_marketplace_from,(J577+K577)*d_hz*G577,0)</f>
        <v/>
      </c>
      <c r="R577" s="40">
        <f>SUMIFS(N557:N606,B557:B606,"&gt;="&amp;(B577-d_T),B557:B606,"&lt;="&amp;(B577-1))</f>
        <v/>
      </c>
      <c r="S577" s="46">
        <f>(1-d_u)*S576+IF(d_T&gt;in_topup_lag,SUMIFS(O557:O606,B557:B606,B577-in_topup_lag)-d_udrop*SUMIFS(O557:O606,B557:B606,B577-d_T),0)</f>
        <v/>
      </c>
      <c r="T577" s="40">
        <f>F577*d_u*S577</f>
        <v/>
      </c>
      <c r="U577" s="9">
        <f>L577*in_ticket+M577*d_rep_ticket</f>
        <v/>
      </c>
      <c r="V577" s="9">
        <f>U577+T577*d_topup_amt</f>
        <v/>
      </c>
      <c r="W577" s="40">
        <f>N577+T577*d_topup_ratio</f>
        <v/>
      </c>
      <c r="X577" s="40">
        <f>SUMIFS(W557:W606,B557:B606,B577-in_dpd_lag)*d_cured</f>
        <v/>
      </c>
      <c r="Y577" s="40">
        <f>SUMIFS(W557:W606,B557:B606,B577-in_rec_lag)*d_recd</f>
        <v/>
      </c>
      <c r="Z577" s="40">
        <f>IF(AND(B577&gt;=in_marketplace_from,B577&lt;in_marketplace_from+in_card_months),in_card_share/in_card_months*F577*I577,IF(AND(B577&gt;=in_marketplace_from+in_card_months,B577&lt;in_marketplace_from+2*in_card_months),in_card_share*d_card_rem/in_card_months*F577*MIN(in_takeup_cap,(1+in_takeup_growth)^(D577-1))*MIN(in_takeup_cap,(1+in_approval_growth)^(D577-1)),0))</f>
        <v/>
      </c>
      <c r="AA577" s="14">
        <f>V577*in_fee*(1-in_taken_back)</f>
        <v/>
      </c>
      <c r="AB577" s="14">
        <f>SUMIFS(W557:W606,B557:B606,B577-in_dpd_lag)*d_dpd</f>
        <v/>
      </c>
      <c r="AC577" s="14">
        <f>SUMIFS(W557:W606,B557:B606,B577-in_rec_lag)*d_rec</f>
        <v/>
      </c>
      <c r="AD577" s="14">
        <f>Z577*in_card_fee</f>
        <v/>
      </c>
      <c r="AE577" s="40">
        <f>AE576*(1-IF(B576&gt;=in_marketplace_from,d_hz_hlth_small*G576,0))</f>
        <v/>
      </c>
      <c r="AF577" s="46">
        <f>AE577*IF(B577&gt;=in_marketplace_from,d_hz_hlth_small*G577,0)</f>
        <v/>
      </c>
      <c r="AG577" s="14">
        <f>F577*AF577*in_hlth_small_ticket*in_hlth_small_comm*in_ins_partner_share+F577*in_hlth_small_ticket*in_hlth_small_renew_comm*in_ins_partner_share*(in_hlth_small_renew^1*SUMIFS(AF557:AF606,B557:B606,B577-12)+in_hlth_small_renew^2*SUMIFS(AF557:AF606,B557:B606,B577-24)+in_hlth_small_renew^3*SUMIFS(AF557:AF606,B557:B606,B577-36)+in_hlth_small_renew^4*SUMIFS(AF557:AF606,B557:B606,B577-48))</f>
        <v/>
      </c>
      <c r="AH577" s="40">
        <f>AH576*(1-IF(B576&gt;=in_marketplace_from,d_hz_hlth_family*G576,0))</f>
        <v/>
      </c>
      <c r="AI577" s="46">
        <f>AH577*IF(B577&gt;=in_marketplace_from,d_hz_hlth_family*G577,0)</f>
        <v/>
      </c>
      <c r="AJ577" s="14">
        <f>F577*AI577*in_hlth_family_ticket*in_hlth_family_comm*in_ins_partner_share+F577*in_hlth_family_ticket*in_hlth_family_renew_comm*in_ins_partner_share*(in_hlth_family_renew^1*SUMIFS(AI557:AI606,B557:B606,B577-12)+in_hlth_family_renew^2*SUMIFS(AI557:AI606,B557:B606,B577-24)+in_hlth_family_renew^3*SUMIFS(AI557:AI606,B557:B606,B577-36)+in_hlth_family_renew^4*SUMIFS(AI557:AI606,B557:B606,B577-48))</f>
        <v/>
      </c>
      <c r="AK577" s="40">
        <f>AK576*(1-IF(B576&gt;=in_marketplace_from,d_hz_life_term*G576,0))</f>
        <v/>
      </c>
      <c r="AL577" s="46">
        <f>AK577*IF(B577&gt;=in_marketplace_from,d_hz_life_term*G577,0)</f>
        <v/>
      </c>
      <c r="AM577" s="14">
        <f>F577*AL577*in_life_term_ticket*in_life_term_comm*in_ins_partner_share+F577*in_life_term_ticket*in_life_term_renew_comm*in_ins_partner_share*(in_life_term_renew^1*SUMIFS(AL557:AL606,B557:B606,B577-12)+in_life_term_renew^2*SUMIFS(AL557:AL606,B557:B606,B577-24)+in_life_term_renew^3*SUMIFS(AL557:AL606,B557:B606,B577-36)+in_life_term_renew^4*SUMIFS(AL557:AL606,B557:B606,B577-48))</f>
        <v/>
      </c>
      <c r="AN577" s="40">
        <f>AN576*(1-IF(B576&gt;=in_marketplace_from,d_hz_accident*G576,0))</f>
        <v/>
      </c>
      <c r="AO577" s="46">
        <f>AN577*IF(B577&gt;=in_marketplace_from,d_hz_accident*G577,0)</f>
        <v/>
      </c>
      <c r="AP577" s="14">
        <f>F577*AO577*in_accident_ticket*in_accident_comm*in_ins_partner_share+F577*in_accident_ticket*in_accident_renew_comm*in_ins_partner_share*(in_accident_renew^1*SUMIFS(AO557:AO606,B557:B606,B577-12)+in_accident_renew^2*SUMIFS(AO557:AO606,B557:B606,B577-24)+in_accident_renew^3*SUMIFS(AO557:AO606,B557:B606,B577-36)+in_accident_renew^4*SUMIFS(AO557:AO606,B557:B606,B577-48))</f>
        <v/>
      </c>
      <c r="AQ577" s="40">
        <f>AQ576*(1-IF(B576&gt;=in_marketplace_from,d_hz_two_wheeler*G576,0))</f>
        <v/>
      </c>
      <c r="AR577" s="46">
        <f>AQ577*IF(B577&gt;=in_marketplace_from,d_hz_two_wheeler*G577,0)</f>
        <v/>
      </c>
      <c r="AS577" s="14">
        <f>F577*AR577*in_two_wheeler_ticket*in_two_wheeler_comm*in_ins_partner_share+F577*in_two_wheeler_ticket*in_two_wheeler_comm*in_ins_partner_share*(in_two_wheeler_renew^1*SUMIFS(AR557:AR606,B557:B606,B577-12)+in_two_wheeler_renew^2*SUMIFS(AR557:AR606,B557:B606,B577-24)+in_two_wheeler_renew^3*SUMIFS(AR557:AR606,B557:B606,B577-36)+in_two_wheeler_renew^4*SUMIFS(AR557:AR606,B557:B606,B577-48))</f>
        <v/>
      </c>
      <c r="AT577" s="40">
        <f>AT576*(1-IF(B576&gt;=in_marketplace_from,d_hz_device*G576,0))</f>
        <v/>
      </c>
      <c r="AU577" s="14">
        <f>F577*AT577*IF(B577&gt;=in_marketplace_from,d_hz_device*G577,0)*in_device_ticket*in_device_comm*in_ins_partner_share</f>
        <v/>
      </c>
      <c r="AV577" s="40">
        <f>AV576*(1-IF(B576&gt;=in_marketplace_from,d_hz_shop*G576,0))</f>
        <v/>
      </c>
      <c r="AW577" s="46">
        <f>AV577*IF(B577&gt;=in_marketplace_from,d_hz_shop*G577,0)</f>
        <v/>
      </c>
      <c r="AX577" s="14">
        <f>F577*AW577*in_shop_ticket*in_shop_comm*in_ins_partner_share+F577*in_shop_ticket*in_shop_renew_comm*in_ins_partner_share*(in_shop_renew^1*SUMIFS(AW557:AW606,B557:B606,B577-12)+in_shop_renew^2*SUMIFS(AW557:AW606,B557:B606,B577-24)+in_shop_renew^3*SUMIFS(AW557:AW606,B557:B606,B577-36)+in_shop_renew^4*SUMIFS(AW557:AW606,B557:B606,B577-48))</f>
        <v/>
      </c>
      <c r="AY577" s="40">
        <f>AY576*(1-IF(B576&gt;=in_marketplace_from,d_hz_sip*G576,0))</f>
        <v/>
      </c>
      <c r="AZ577" s="40">
        <f>AZ576*d_rho_sip+AY577*IF(B577&gt;=in_marketplace_from,d_hz_sip*G577,0)</f>
        <v/>
      </c>
      <c r="BA577" s="40">
        <f>d_rho_sip*(BA576+AZ576)</f>
        <v/>
      </c>
      <c r="BB577" s="14">
        <f>F577*in_sip_ticket*(BA577+0.5*AZ577)*in_sip_comm/12</f>
        <v/>
      </c>
      <c r="BC577" s="40">
        <f>BC576*(1-IF(B576&gt;=in_marketplace_from,d_hz_choti*G576,0))</f>
        <v/>
      </c>
      <c r="BD577" s="46">
        <f>BC577*IF(B577&gt;=in_marketplace_from,d_hz_choti*G577,0)</f>
        <v/>
      </c>
      <c r="BE577" s="14">
        <f>F577*SUMIFS(BD557:BD606,B557:B606,B577-in_choti_months)*in_choti_renew*in_choti_ticket</f>
        <v/>
      </c>
      <c r="BF577" s="40">
        <f>BF576*(1-IF(B576&gt;=in_marketplace_from,d_hz_nps*G576,0))</f>
        <v/>
      </c>
      <c r="BG577" s="14">
        <f>F577*BF577*IF(B577&gt;=in_marketplace_from,d_hz_nps*G577,0)*in_nps_ticket*in_nps_comm</f>
        <v/>
      </c>
      <c r="BH577" s="40">
        <f>BH576*(1-IF(B576&gt;=in_marketplace_from,d_hz_gold*G576,0))</f>
        <v/>
      </c>
      <c r="BI577" s="40">
        <f>BI576*d_rho_gold+BH577*IF(B577&gt;=in_marketplace_from,d_hz_gold*G577,0)</f>
        <v/>
      </c>
      <c r="BJ577" s="14">
        <f>F577*BI577*in_gold_ticket*in_gold_comm</f>
        <v/>
      </c>
      <c r="BK577" s="40">
        <f>BK576*(1-IF(B576&gt;=in_marketplace_from,d_hz_fd*G576,0))</f>
        <v/>
      </c>
      <c r="BL577" s="14">
        <f>F577*BK577*IF(B577&gt;=in_marketplace_from,d_hz_fd*G577,0)*in_fd_ticket*in_fd_comm</f>
        <v/>
      </c>
      <c r="BM577" s="40">
        <f>BM576*(1-IF(B576&gt;=in_marketplace_from,d_hz_recharge*G576,0))</f>
        <v/>
      </c>
      <c r="BN577" s="40">
        <f>BN576*d_rho_recharge+BM577*IF(B577&gt;=in_marketplace_from,d_hz_recharge*G577,0)</f>
        <v/>
      </c>
      <c r="BO577" s="14">
        <f>F577*BN577*in_recharge_ticket*in_recharge_comm/12</f>
        <v/>
      </c>
      <c r="BP577" s="40">
        <f>BP576*(1-IF(B576&gt;=in_marketplace_from,d_hz_bills*G576,0))</f>
        <v/>
      </c>
      <c r="BQ577" s="40">
        <f>BQ576*d_rho_bills+BP577*IF(B577&gt;=in_marketplace_from,d_hz_bills*G577,0)</f>
        <v/>
      </c>
      <c r="BR577" s="14">
        <f>F577*BQ577*in_bills_ticket*in_bills_comm/12</f>
        <v/>
      </c>
      <c r="BS577" s="40">
        <f>BS576*(1-IF(B576&gt;=in_marketplace_from,d_hz_loan_gold*G576,0))</f>
        <v/>
      </c>
      <c r="BT577" s="14">
        <f>F577*BS577*IF(B577&gt;=in_marketplace_from,d_hz_loan_gold*G577,0)*in_loan_gold_ticket*in_loan_gold_comm</f>
        <v/>
      </c>
      <c r="BU577" s="40">
        <f>BU576*(1-IF(B576&gt;=in_marketplace_from,d_hz_loan_cd*G576,0))</f>
        <v/>
      </c>
      <c r="BV577" s="14">
        <f>F577*BU577*IF(B577&gt;=in_marketplace_from,d_hz_loan_cd*G577,0)*in_loan_cd_ticket*in_loan_cd_comm</f>
        <v/>
      </c>
      <c r="BW577" s="40">
        <f>BW576*(1-IF(B576&gt;=in_marketplace_from,d_hz_loan_vehicle*G576,0))</f>
        <v/>
      </c>
      <c r="BX577" s="14">
        <f>F577*BW577*IF(B577&gt;=in_marketplace_from,d_hz_loan_vehicle*G577,0)*in_loan_vehicle_ticket*in_loan_vehicle_comm</f>
        <v/>
      </c>
      <c r="BY577" s="40">
        <f>BY576*(1-IF(B576&gt;=in_marketplace_from,d_hz_loan_home*G576,0)*BZ576)</f>
        <v/>
      </c>
      <c r="BZ577" s="11">
        <f>MIN(in_approval_cap,in_loan_home_approval*INDEX('Age profile'!$O$2:$O$61,B577)*(1+in_approval_growth)^(D577-1))</f>
        <v/>
      </c>
      <c r="CA577" s="14">
        <f>F577*BY577*IF(B577&gt;=in_marketplace_from,d_hz_loan_home*G577,0)*BZ577*in_loan_home_ticket*in_loan_home_comm</f>
        <v/>
      </c>
      <c r="CB577" s="40">
        <f>CB576*(1-IF(B576&gt;=in_marketplace_from,d_hz_loan_lap*G576,0)*CC576)</f>
        <v/>
      </c>
      <c r="CC577" s="11">
        <f>MIN(in_approval_cap,in_loan_lap_approval*INDEX('Age profile'!$O$2:$O$61,B577)*(1+in_approval_growth)^(D577-1))</f>
        <v/>
      </c>
      <c r="CD577" s="14">
        <f>F577*CB577*IF(B577&gt;=in_marketplace_from,d_hz_loan_lap*G577,0)*CC577*in_loan_lap_ticket*in_loan_lap_comm</f>
        <v/>
      </c>
      <c r="CE577" s="14">
        <f>AA577+AB577+AC577+AD577+AG577+AJ577+AM577+AP577+AS577+AU577+AX577+BB577+BE577+BG577+BJ577+BL577+BO577+BR577+BT577+BV577+BX577+CA577+CD577</f>
        <v/>
      </c>
    </row>
    <row r="578">
      <c r="A578" s="39" t="n">
        <v>11</v>
      </c>
      <c r="B578" s="39" t="n">
        <v>22</v>
      </c>
      <c r="C578" s="39">
        <f>A578+B578-1</f>
        <v/>
      </c>
      <c r="D578" s="39">
        <f>INT((C578-1)/12)+1</f>
        <v/>
      </c>
      <c r="E578" s="44">
        <f>INDEX(Monthly!$B$2:$B$61,A578)</f>
        <v/>
      </c>
      <c r="F578" s="44">
        <f>E578*INDEX('Age profile'!$B$2:$B$61,B578)</f>
        <v/>
      </c>
      <c r="G578" s="45">
        <f>MIN(in_takeup_cap,INDEX('Age profile'!$N$2:$N$61,B578)*(1+in_takeup_growth)^(D578-1))</f>
        <v/>
      </c>
      <c r="H578" s="11">
        <f>MIN(in_approval_cap,in_approved_first*INDEX('Age profile'!$O$2:$O$61,B578)*(1+in_approval_growth)^(D578-1))</f>
        <v/>
      </c>
      <c r="I578" s="45">
        <f>G578*MIN(in_takeup_cap,INDEX('Age profile'!$O$2:$O$61,B578)*(1+in_approval_growth)^(D578-1))</f>
        <v/>
      </c>
      <c r="J578" s="40">
        <f>(J577-L577)*F578/F577</f>
        <v/>
      </c>
      <c r="K578" s="40">
        <f>(K577-M577)*F578/F577+SUMIFS(O557:O577,B557:B577,B578-1-d_T)*F578</f>
        <v/>
      </c>
      <c r="L578" s="40">
        <f>IF(B578&gt;=in_marketplace_from,J578*d_hz*G578*in_eligible*H578,0)</f>
        <v/>
      </c>
      <c r="M578" s="40">
        <f>IF(B578&gt;=in_marketplace_from,K578*d_hz*G578*in_eligible*in_approved_repeat,0)</f>
        <v/>
      </c>
      <c r="N578" s="40">
        <f>L578+M578</f>
        <v/>
      </c>
      <c r="O578" s="46">
        <f>N578/F578</f>
        <v/>
      </c>
      <c r="P578" s="40">
        <f>F578-J578-K578</f>
        <v/>
      </c>
      <c r="Q578" s="40">
        <f>IF(B578&gt;=in_marketplace_from,(J578+K578)*d_hz*G578,0)</f>
        <v/>
      </c>
      <c r="R578" s="40">
        <f>SUMIFS(N557:N606,B557:B606,"&gt;="&amp;(B578-d_T),B557:B606,"&lt;="&amp;(B578-1))</f>
        <v/>
      </c>
      <c r="S578" s="46">
        <f>(1-d_u)*S577+IF(d_T&gt;in_topup_lag,SUMIFS(O557:O606,B557:B606,B578-in_topup_lag)-d_udrop*SUMIFS(O557:O606,B557:B606,B578-d_T),0)</f>
        <v/>
      </c>
      <c r="T578" s="40">
        <f>F578*d_u*S578</f>
        <v/>
      </c>
      <c r="U578" s="9">
        <f>L578*in_ticket+M578*d_rep_ticket</f>
        <v/>
      </c>
      <c r="V578" s="9">
        <f>U578+T578*d_topup_amt</f>
        <v/>
      </c>
      <c r="W578" s="40">
        <f>N578+T578*d_topup_ratio</f>
        <v/>
      </c>
      <c r="X578" s="40">
        <f>SUMIFS(W557:W606,B557:B606,B578-in_dpd_lag)*d_cured</f>
        <v/>
      </c>
      <c r="Y578" s="40">
        <f>SUMIFS(W557:W606,B557:B606,B578-in_rec_lag)*d_recd</f>
        <v/>
      </c>
      <c r="Z578" s="40">
        <f>IF(AND(B578&gt;=in_marketplace_from,B578&lt;in_marketplace_from+in_card_months),in_card_share/in_card_months*F578*I578,IF(AND(B578&gt;=in_marketplace_from+in_card_months,B578&lt;in_marketplace_from+2*in_card_months),in_card_share*d_card_rem/in_card_months*F578*MIN(in_takeup_cap,(1+in_takeup_growth)^(D578-1))*MIN(in_takeup_cap,(1+in_approval_growth)^(D578-1)),0))</f>
        <v/>
      </c>
      <c r="AA578" s="14">
        <f>V578*in_fee*(1-in_taken_back)</f>
        <v/>
      </c>
      <c r="AB578" s="14">
        <f>SUMIFS(W557:W606,B557:B606,B578-in_dpd_lag)*d_dpd</f>
        <v/>
      </c>
      <c r="AC578" s="14">
        <f>SUMIFS(W557:W606,B557:B606,B578-in_rec_lag)*d_rec</f>
        <v/>
      </c>
      <c r="AD578" s="14">
        <f>Z578*in_card_fee</f>
        <v/>
      </c>
      <c r="AE578" s="40">
        <f>AE577*(1-IF(B577&gt;=in_marketplace_from,d_hz_hlth_small*G577,0))</f>
        <v/>
      </c>
      <c r="AF578" s="46">
        <f>AE578*IF(B578&gt;=in_marketplace_from,d_hz_hlth_small*G578,0)</f>
        <v/>
      </c>
      <c r="AG578" s="14">
        <f>F578*AF578*in_hlth_small_ticket*in_hlth_small_comm*in_ins_partner_share+F578*in_hlth_small_ticket*in_hlth_small_renew_comm*in_ins_partner_share*(in_hlth_small_renew^1*SUMIFS(AF557:AF606,B557:B606,B578-12)+in_hlth_small_renew^2*SUMIFS(AF557:AF606,B557:B606,B578-24)+in_hlth_small_renew^3*SUMIFS(AF557:AF606,B557:B606,B578-36)+in_hlth_small_renew^4*SUMIFS(AF557:AF606,B557:B606,B578-48))</f>
        <v/>
      </c>
      <c r="AH578" s="40">
        <f>AH577*(1-IF(B577&gt;=in_marketplace_from,d_hz_hlth_family*G577,0))</f>
        <v/>
      </c>
      <c r="AI578" s="46">
        <f>AH578*IF(B578&gt;=in_marketplace_from,d_hz_hlth_family*G578,0)</f>
        <v/>
      </c>
      <c r="AJ578" s="14">
        <f>F578*AI578*in_hlth_family_ticket*in_hlth_family_comm*in_ins_partner_share+F578*in_hlth_family_ticket*in_hlth_family_renew_comm*in_ins_partner_share*(in_hlth_family_renew^1*SUMIFS(AI557:AI606,B557:B606,B578-12)+in_hlth_family_renew^2*SUMIFS(AI557:AI606,B557:B606,B578-24)+in_hlth_family_renew^3*SUMIFS(AI557:AI606,B557:B606,B578-36)+in_hlth_family_renew^4*SUMIFS(AI557:AI606,B557:B606,B578-48))</f>
        <v/>
      </c>
      <c r="AK578" s="40">
        <f>AK577*(1-IF(B577&gt;=in_marketplace_from,d_hz_life_term*G577,0))</f>
        <v/>
      </c>
      <c r="AL578" s="46">
        <f>AK578*IF(B578&gt;=in_marketplace_from,d_hz_life_term*G578,0)</f>
        <v/>
      </c>
      <c r="AM578" s="14">
        <f>F578*AL578*in_life_term_ticket*in_life_term_comm*in_ins_partner_share+F578*in_life_term_ticket*in_life_term_renew_comm*in_ins_partner_share*(in_life_term_renew^1*SUMIFS(AL557:AL606,B557:B606,B578-12)+in_life_term_renew^2*SUMIFS(AL557:AL606,B557:B606,B578-24)+in_life_term_renew^3*SUMIFS(AL557:AL606,B557:B606,B578-36)+in_life_term_renew^4*SUMIFS(AL557:AL606,B557:B606,B578-48))</f>
        <v/>
      </c>
      <c r="AN578" s="40">
        <f>AN577*(1-IF(B577&gt;=in_marketplace_from,d_hz_accident*G577,0))</f>
        <v/>
      </c>
      <c r="AO578" s="46">
        <f>AN578*IF(B578&gt;=in_marketplace_from,d_hz_accident*G578,0)</f>
        <v/>
      </c>
      <c r="AP578" s="14">
        <f>F578*AO578*in_accident_ticket*in_accident_comm*in_ins_partner_share+F578*in_accident_ticket*in_accident_renew_comm*in_ins_partner_share*(in_accident_renew^1*SUMIFS(AO557:AO606,B557:B606,B578-12)+in_accident_renew^2*SUMIFS(AO557:AO606,B557:B606,B578-24)+in_accident_renew^3*SUMIFS(AO557:AO606,B557:B606,B578-36)+in_accident_renew^4*SUMIFS(AO557:AO606,B557:B606,B578-48))</f>
        <v/>
      </c>
      <c r="AQ578" s="40">
        <f>AQ577*(1-IF(B577&gt;=in_marketplace_from,d_hz_two_wheeler*G577,0))</f>
        <v/>
      </c>
      <c r="AR578" s="46">
        <f>AQ578*IF(B578&gt;=in_marketplace_from,d_hz_two_wheeler*G578,0)</f>
        <v/>
      </c>
      <c r="AS578" s="14">
        <f>F578*AR578*in_two_wheeler_ticket*in_two_wheeler_comm*in_ins_partner_share+F578*in_two_wheeler_ticket*in_two_wheeler_comm*in_ins_partner_share*(in_two_wheeler_renew^1*SUMIFS(AR557:AR606,B557:B606,B578-12)+in_two_wheeler_renew^2*SUMIFS(AR557:AR606,B557:B606,B578-24)+in_two_wheeler_renew^3*SUMIFS(AR557:AR606,B557:B606,B578-36)+in_two_wheeler_renew^4*SUMIFS(AR557:AR606,B557:B606,B578-48))</f>
        <v/>
      </c>
      <c r="AT578" s="40">
        <f>AT577*(1-IF(B577&gt;=in_marketplace_from,d_hz_device*G577,0))</f>
        <v/>
      </c>
      <c r="AU578" s="14">
        <f>F578*AT578*IF(B578&gt;=in_marketplace_from,d_hz_device*G578,0)*in_device_ticket*in_device_comm*in_ins_partner_share</f>
        <v/>
      </c>
      <c r="AV578" s="40">
        <f>AV577*(1-IF(B577&gt;=in_marketplace_from,d_hz_shop*G577,0))</f>
        <v/>
      </c>
      <c r="AW578" s="46">
        <f>AV578*IF(B578&gt;=in_marketplace_from,d_hz_shop*G578,0)</f>
        <v/>
      </c>
      <c r="AX578" s="14">
        <f>F578*AW578*in_shop_ticket*in_shop_comm*in_ins_partner_share+F578*in_shop_ticket*in_shop_renew_comm*in_ins_partner_share*(in_shop_renew^1*SUMIFS(AW557:AW606,B557:B606,B578-12)+in_shop_renew^2*SUMIFS(AW557:AW606,B557:B606,B578-24)+in_shop_renew^3*SUMIFS(AW557:AW606,B557:B606,B578-36)+in_shop_renew^4*SUMIFS(AW557:AW606,B557:B606,B578-48))</f>
        <v/>
      </c>
      <c r="AY578" s="40">
        <f>AY577*(1-IF(B577&gt;=in_marketplace_from,d_hz_sip*G577,0))</f>
        <v/>
      </c>
      <c r="AZ578" s="40">
        <f>AZ577*d_rho_sip+AY578*IF(B578&gt;=in_marketplace_from,d_hz_sip*G578,0)</f>
        <v/>
      </c>
      <c r="BA578" s="40">
        <f>d_rho_sip*(BA577+AZ577)</f>
        <v/>
      </c>
      <c r="BB578" s="14">
        <f>F578*in_sip_ticket*(BA578+0.5*AZ578)*in_sip_comm/12</f>
        <v/>
      </c>
      <c r="BC578" s="40">
        <f>BC577*(1-IF(B577&gt;=in_marketplace_from,d_hz_choti*G577,0))</f>
        <v/>
      </c>
      <c r="BD578" s="46">
        <f>BC578*IF(B578&gt;=in_marketplace_from,d_hz_choti*G578,0)</f>
        <v/>
      </c>
      <c r="BE578" s="14">
        <f>F578*SUMIFS(BD557:BD606,B557:B606,B578-in_choti_months)*in_choti_renew*in_choti_ticket</f>
        <v/>
      </c>
      <c r="BF578" s="40">
        <f>BF577*(1-IF(B577&gt;=in_marketplace_from,d_hz_nps*G577,0))</f>
        <v/>
      </c>
      <c r="BG578" s="14">
        <f>F578*BF578*IF(B578&gt;=in_marketplace_from,d_hz_nps*G578,0)*in_nps_ticket*in_nps_comm</f>
        <v/>
      </c>
      <c r="BH578" s="40">
        <f>BH577*(1-IF(B577&gt;=in_marketplace_from,d_hz_gold*G577,0))</f>
        <v/>
      </c>
      <c r="BI578" s="40">
        <f>BI577*d_rho_gold+BH578*IF(B578&gt;=in_marketplace_from,d_hz_gold*G578,0)</f>
        <v/>
      </c>
      <c r="BJ578" s="14">
        <f>F578*BI578*in_gold_ticket*in_gold_comm</f>
        <v/>
      </c>
      <c r="BK578" s="40">
        <f>BK577*(1-IF(B577&gt;=in_marketplace_from,d_hz_fd*G577,0))</f>
        <v/>
      </c>
      <c r="BL578" s="14">
        <f>F578*BK578*IF(B578&gt;=in_marketplace_from,d_hz_fd*G578,0)*in_fd_ticket*in_fd_comm</f>
        <v/>
      </c>
      <c r="BM578" s="40">
        <f>BM577*(1-IF(B577&gt;=in_marketplace_from,d_hz_recharge*G577,0))</f>
        <v/>
      </c>
      <c r="BN578" s="40">
        <f>BN577*d_rho_recharge+BM578*IF(B578&gt;=in_marketplace_from,d_hz_recharge*G578,0)</f>
        <v/>
      </c>
      <c r="BO578" s="14">
        <f>F578*BN578*in_recharge_ticket*in_recharge_comm/12</f>
        <v/>
      </c>
      <c r="BP578" s="40">
        <f>BP577*(1-IF(B577&gt;=in_marketplace_from,d_hz_bills*G577,0))</f>
        <v/>
      </c>
      <c r="BQ578" s="40">
        <f>BQ577*d_rho_bills+BP578*IF(B578&gt;=in_marketplace_from,d_hz_bills*G578,0)</f>
        <v/>
      </c>
      <c r="BR578" s="14">
        <f>F578*BQ578*in_bills_ticket*in_bills_comm/12</f>
        <v/>
      </c>
      <c r="BS578" s="40">
        <f>BS577*(1-IF(B577&gt;=in_marketplace_from,d_hz_loan_gold*G577,0))</f>
        <v/>
      </c>
      <c r="BT578" s="14">
        <f>F578*BS578*IF(B578&gt;=in_marketplace_from,d_hz_loan_gold*G578,0)*in_loan_gold_ticket*in_loan_gold_comm</f>
        <v/>
      </c>
      <c r="BU578" s="40">
        <f>BU577*(1-IF(B577&gt;=in_marketplace_from,d_hz_loan_cd*G577,0))</f>
        <v/>
      </c>
      <c r="BV578" s="14">
        <f>F578*BU578*IF(B578&gt;=in_marketplace_from,d_hz_loan_cd*G578,0)*in_loan_cd_ticket*in_loan_cd_comm</f>
        <v/>
      </c>
      <c r="BW578" s="40">
        <f>BW577*(1-IF(B577&gt;=in_marketplace_from,d_hz_loan_vehicle*G577,0))</f>
        <v/>
      </c>
      <c r="BX578" s="14">
        <f>F578*BW578*IF(B578&gt;=in_marketplace_from,d_hz_loan_vehicle*G578,0)*in_loan_vehicle_ticket*in_loan_vehicle_comm</f>
        <v/>
      </c>
      <c r="BY578" s="40">
        <f>BY577*(1-IF(B577&gt;=in_marketplace_from,d_hz_loan_home*G577,0)*BZ577)</f>
        <v/>
      </c>
      <c r="BZ578" s="11">
        <f>MIN(in_approval_cap,in_loan_home_approval*INDEX('Age profile'!$O$2:$O$61,B578)*(1+in_approval_growth)^(D578-1))</f>
        <v/>
      </c>
      <c r="CA578" s="14">
        <f>F578*BY578*IF(B578&gt;=in_marketplace_from,d_hz_loan_home*G578,0)*BZ578*in_loan_home_ticket*in_loan_home_comm</f>
        <v/>
      </c>
      <c r="CB578" s="40">
        <f>CB577*(1-IF(B577&gt;=in_marketplace_from,d_hz_loan_lap*G577,0)*CC577)</f>
        <v/>
      </c>
      <c r="CC578" s="11">
        <f>MIN(in_approval_cap,in_loan_lap_approval*INDEX('Age profile'!$O$2:$O$61,B578)*(1+in_approval_growth)^(D578-1))</f>
        <v/>
      </c>
      <c r="CD578" s="14">
        <f>F578*CB578*IF(B578&gt;=in_marketplace_from,d_hz_loan_lap*G578,0)*CC578*in_loan_lap_ticket*in_loan_lap_comm</f>
        <v/>
      </c>
      <c r="CE578" s="14">
        <f>AA578+AB578+AC578+AD578+AG578+AJ578+AM578+AP578+AS578+AU578+AX578+BB578+BE578+BG578+BJ578+BL578+BO578+BR578+BT578+BV578+BX578+CA578+CD578</f>
        <v/>
      </c>
    </row>
    <row r="579">
      <c r="A579" s="39" t="n">
        <v>11</v>
      </c>
      <c r="B579" s="39" t="n">
        <v>23</v>
      </c>
      <c r="C579" s="39">
        <f>A579+B579-1</f>
        <v/>
      </c>
      <c r="D579" s="39">
        <f>INT((C579-1)/12)+1</f>
        <v/>
      </c>
      <c r="E579" s="44">
        <f>INDEX(Monthly!$B$2:$B$61,A579)</f>
        <v/>
      </c>
      <c r="F579" s="44">
        <f>E579*INDEX('Age profile'!$B$2:$B$61,B579)</f>
        <v/>
      </c>
      <c r="G579" s="45">
        <f>MIN(in_takeup_cap,INDEX('Age profile'!$N$2:$N$61,B579)*(1+in_takeup_growth)^(D579-1))</f>
        <v/>
      </c>
      <c r="H579" s="11">
        <f>MIN(in_approval_cap,in_approved_first*INDEX('Age profile'!$O$2:$O$61,B579)*(1+in_approval_growth)^(D579-1))</f>
        <v/>
      </c>
      <c r="I579" s="45">
        <f>G579*MIN(in_takeup_cap,INDEX('Age profile'!$O$2:$O$61,B579)*(1+in_approval_growth)^(D579-1))</f>
        <v/>
      </c>
      <c r="J579" s="40">
        <f>(J578-L578)*F579/F578</f>
        <v/>
      </c>
      <c r="K579" s="40">
        <f>(K578-M578)*F579/F578+SUMIFS(O557:O578,B557:B578,B579-1-d_T)*F579</f>
        <v/>
      </c>
      <c r="L579" s="40">
        <f>IF(B579&gt;=in_marketplace_from,J579*d_hz*G579*in_eligible*H579,0)</f>
        <v/>
      </c>
      <c r="M579" s="40">
        <f>IF(B579&gt;=in_marketplace_from,K579*d_hz*G579*in_eligible*in_approved_repeat,0)</f>
        <v/>
      </c>
      <c r="N579" s="40">
        <f>L579+M579</f>
        <v/>
      </c>
      <c r="O579" s="46">
        <f>N579/F579</f>
        <v/>
      </c>
      <c r="P579" s="40">
        <f>F579-J579-K579</f>
        <v/>
      </c>
      <c r="Q579" s="40">
        <f>IF(B579&gt;=in_marketplace_from,(J579+K579)*d_hz*G579,0)</f>
        <v/>
      </c>
      <c r="R579" s="40">
        <f>SUMIFS(N557:N606,B557:B606,"&gt;="&amp;(B579-d_T),B557:B606,"&lt;="&amp;(B579-1))</f>
        <v/>
      </c>
      <c r="S579" s="46">
        <f>(1-d_u)*S578+IF(d_T&gt;in_topup_lag,SUMIFS(O557:O606,B557:B606,B579-in_topup_lag)-d_udrop*SUMIFS(O557:O606,B557:B606,B579-d_T),0)</f>
        <v/>
      </c>
      <c r="T579" s="40">
        <f>F579*d_u*S579</f>
        <v/>
      </c>
      <c r="U579" s="9">
        <f>L579*in_ticket+M579*d_rep_ticket</f>
        <v/>
      </c>
      <c r="V579" s="9">
        <f>U579+T579*d_topup_amt</f>
        <v/>
      </c>
      <c r="W579" s="40">
        <f>N579+T579*d_topup_ratio</f>
        <v/>
      </c>
      <c r="X579" s="40">
        <f>SUMIFS(W557:W606,B557:B606,B579-in_dpd_lag)*d_cured</f>
        <v/>
      </c>
      <c r="Y579" s="40">
        <f>SUMIFS(W557:W606,B557:B606,B579-in_rec_lag)*d_recd</f>
        <v/>
      </c>
      <c r="Z579" s="40">
        <f>IF(AND(B579&gt;=in_marketplace_from,B579&lt;in_marketplace_from+in_card_months),in_card_share/in_card_months*F579*I579,IF(AND(B579&gt;=in_marketplace_from+in_card_months,B579&lt;in_marketplace_from+2*in_card_months),in_card_share*d_card_rem/in_card_months*F579*MIN(in_takeup_cap,(1+in_takeup_growth)^(D579-1))*MIN(in_takeup_cap,(1+in_approval_growth)^(D579-1)),0))</f>
        <v/>
      </c>
      <c r="AA579" s="14">
        <f>V579*in_fee*(1-in_taken_back)</f>
        <v/>
      </c>
      <c r="AB579" s="14">
        <f>SUMIFS(W557:W606,B557:B606,B579-in_dpd_lag)*d_dpd</f>
        <v/>
      </c>
      <c r="AC579" s="14">
        <f>SUMIFS(W557:W606,B557:B606,B579-in_rec_lag)*d_rec</f>
        <v/>
      </c>
      <c r="AD579" s="14">
        <f>Z579*in_card_fee</f>
        <v/>
      </c>
      <c r="AE579" s="40">
        <f>AE578*(1-IF(B578&gt;=in_marketplace_from,d_hz_hlth_small*G578,0))</f>
        <v/>
      </c>
      <c r="AF579" s="46">
        <f>AE579*IF(B579&gt;=in_marketplace_from,d_hz_hlth_small*G579,0)</f>
        <v/>
      </c>
      <c r="AG579" s="14">
        <f>F579*AF579*in_hlth_small_ticket*in_hlth_small_comm*in_ins_partner_share+F579*in_hlth_small_ticket*in_hlth_small_renew_comm*in_ins_partner_share*(in_hlth_small_renew^1*SUMIFS(AF557:AF606,B557:B606,B579-12)+in_hlth_small_renew^2*SUMIFS(AF557:AF606,B557:B606,B579-24)+in_hlth_small_renew^3*SUMIFS(AF557:AF606,B557:B606,B579-36)+in_hlth_small_renew^4*SUMIFS(AF557:AF606,B557:B606,B579-48))</f>
        <v/>
      </c>
      <c r="AH579" s="40">
        <f>AH578*(1-IF(B578&gt;=in_marketplace_from,d_hz_hlth_family*G578,0))</f>
        <v/>
      </c>
      <c r="AI579" s="46">
        <f>AH579*IF(B579&gt;=in_marketplace_from,d_hz_hlth_family*G579,0)</f>
        <v/>
      </c>
      <c r="AJ579" s="14">
        <f>F579*AI579*in_hlth_family_ticket*in_hlth_family_comm*in_ins_partner_share+F579*in_hlth_family_ticket*in_hlth_family_renew_comm*in_ins_partner_share*(in_hlth_family_renew^1*SUMIFS(AI557:AI606,B557:B606,B579-12)+in_hlth_family_renew^2*SUMIFS(AI557:AI606,B557:B606,B579-24)+in_hlth_family_renew^3*SUMIFS(AI557:AI606,B557:B606,B579-36)+in_hlth_family_renew^4*SUMIFS(AI557:AI606,B557:B606,B579-48))</f>
        <v/>
      </c>
      <c r="AK579" s="40">
        <f>AK578*(1-IF(B578&gt;=in_marketplace_from,d_hz_life_term*G578,0))</f>
        <v/>
      </c>
      <c r="AL579" s="46">
        <f>AK579*IF(B579&gt;=in_marketplace_from,d_hz_life_term*G579,0)</f>
        <v/>
      </c>
      <c r="AM579" s="14">
        <f>F579*AL579*in_life_term_ticket*in_life_term_comm*in_ins_partner_share+F579*in_life_term_ticket*in_life_term_renew_comm*in_ins_partner_share*(in_life_term_renew^1*SUMIFS(AL557:AL606,B557:B606,B579-12)+in_life_term_renew^2*SUMIFS(AL557:AL606,B557:B606,B579-24)+in_life_term_renew^3*SUMIFS(AL557:AL606,B557:B606,B579-36)+in_life_term_renew^4*SUMIFS(AL557:AL606,B557:B606,B579-48))</f>
        <v/>
      </c>
      <c r="AN579" s="40">
        <f>AN578*(1-IF(B578&gt;=in_marketplace_from,d_hz_accident*G578,0))</f>
        <v/>
      </c>
      <c r="AO579" s="46">
        <f>AN579*IF(B579&gt;=in_marketplace_from,d_hz_accident*G579,0)</f>
        <v/>
      </c>
      <c r="AP579" s="14">
        <f>F579*AO579*in_accident_ticket*in_accident_comm*in_ins_partner_share+F579*in_accident_ticket*in_accident_renew_comm*in_ins_partner_share*(in_accident_renew^1*SUMIFS(AO557:AO606,B557:B606,B579-12)+in_accident_renew^2*SUMIFS(AO557:AO606,B557:B606,B579-24)+in_accident_renew^3*SUMIFS(AO557:AO606,B557:B606,B579-36)+in_accident_renew^4*SUMIFS(AO557:AO606,B557:B606,B579-48))</f>
        <v/>
      </c>
      <c r="AQ579" s="40">
        <f>AQ578*(1-IF(B578&gt;=in_marketplace_from,d_hz_two_wheeler*G578,0))</f>
        <v/>
      </c>
      <c r="AR579" s="46">
        <f>AQ579*IF(B579&gt;=in_marketplace_from,d_hz_two_wheeler*G579,0)</f>
        <v/>
      </c>
      <c r="AS579" s="14">
        <f>F579*AR579*in_two_wheeler_ticket*in_two_wheeler_comm*in_ins_partner_share+F579*in_two_wheeler_ticket*in_two_wheeler_comm*in_ins_partner_share*(in_two_wheeler_renew^1*SUMIFS(AR557:AR606,B557:B606,B579-12)+in_two_wheeler_renew^2*SUMIFS(AR557:AR606,B557:B606,B579-24)+in_two_wheeler_renew^3*SUMIFS(AR557:AR606,B557:B606,B579-36)+in_two_wheeler_renew^4*SUMIFS(AR557:AR606,B557:B606,B579-48))</f>
        <v/>
      </c>
      <c r="AT579" s="40">
        <f>AT578*(1-IF(B578&gt;=in_marketplace_from,d_hz_device*G578,0))</f>
        <v/>
      </c>
      <c r="AU579" s="14">
        <f>F579*AT579*IF(B579&gt;=in_marketplace_from,d_hz_device*G579,0)*in_device_ticket*in_device_comm*in_ins_partner_share</f>
        <v/>
      </c>
      <c r="AV579" s="40">
        <f>AV578*(1-IF(B578&gt;=in_marketplace_from,d_hz_shop*G578,0))</f>
        <v/>
      </c>
      <c r="AW579" s="46">
        <f>AV579*IF(B579&gt;=in_marketplace_from,d_hz_shop*G579,0)</f>
        <v/>
      </c>
      <c r="AX579" s="14">
        <f>F579*AW579*in_shop_ticket*in_shop_comm*in_ins_partner_share+F579*in_shop_ticket*in_shop_renew_comm*in_ins_partner_share*(in_shop_renew^1*SUMIFS(AW557:AW606,B557:B606,B579-12)+in_shop_renew^2*SUMIFS(AW557:AW606,B557:B606,B579-24)+in_shop_renew^3*SUMIFS(AW557:AW606,B557:B606,B579-36)+in_shop_renew^4*SUMIFS(AW557:AW606,B557:B606,B579-48))</f>
        <v/>
      </c>
      <c r="AY579" s="40">
        <f>AY578*(1-IF(B578&gt;=in_marketplace_from,d_hz_sip*G578,0))</f>
        <v/>
      </c>
      <c r="AZ579" s="40">
        <f>AZ578*d_rho_sip+AY579*IF(B579&gt;=in_marketplace_from,d_hz_sip*G579,0)</f>
        <v/>
      </c>
      <c r="BA579" s="40">
        <f>d_rho_sip*(BA578+AZ578)</f>
        <v/>
      </c>
      <c r="BB579" s="14">
        <f>F579*in_sip_ticket*(BA579+0.5*AZ579)*in_sip_comm/12</f>
        <v/>
      </c>
      <c r="BC579" s="40">
        <f>BC578*(1-IF(B578&gt;=in_marketplace_from,d_hz_choti*G578,0))</f>
        <v/>
      </c>
      <c r="BD579" s="46">
        <f>BC579*IF(B579&gt;=in_marketplace_from,d_hz_choti*G579,0)</f>
        <v/>
      </c>
      <c r="BE579" s="14">
        <f>F579*SUMIFS(BD557:BD606,B557:B606,B579-in_choti_months)*in_choti_renew*in_choti_ticket</f>
        <v/>
      </c>
      <c r="BF579" s="40">
        <f>BF578*(1-IF(B578&gt;=in_marketplace_from,d_hz_nps*G578,0))</f>
        <v/>
      </c>
      <c r="BG579" s="14">
        <f>F579*BF579*IF(B579&gt;=in_marketplace_from,d_hz_nps*G579,0)*in_nps_ticket*in_nps_comm</f>
        <v/>
      </c>
      <c r="BH579" s="40">
        <f>BH578*(1-IF(B578&gt;=in_marketplace_from,d_hz_gold*G578,0))</f>
        <v/>
      </c>
      <c r="BI579" s="40">
        <f>BI578*d_rho_gold+BH579*IF(B579&gt;=in_marketplace_from,d_hz_gold*G579,0)</f>
        <v/>
      </c>
      <c r="BJ579" s="14">
        <f>F579*BI579*in_gold_ticket*in_gold_comm</f>
        <v/>
      </c>
      <c r="BK579" s="40">
        <f>BK578*(1-IF(B578&gt;=in_marketplace_from,d_hz_fd*G578,0))</f>
        <v/>
      </c>
      <c r="BL579" s="14">
        <f>F579*BK579*IF(B579&gt;=in_marketplace_from,d_hz_fd*G579,0)*in_fd_ticket*in_fd_comm</f>
        <v/>
      </c>
      <c r="BM579" s="40">
        <f>BM578*(1-IF(B578&gt;=in_marketplace_from,d_hz_recharge*G578,0))</f>
        <v/>
      </c>
      <c r="BN579" s="40">
        <f>BN578*d_rho_recharge+BM579*IF(B579&gt;=in_marketplace_from,d_hz_recharge*G579,0)</f>
        <v/>
      </c>
      <c r="BO579" s="14">
        <f>F579*BN579*in_recharge_ticket*in_recharge_comm/12</f>
        <v/>
      </c>
      <c r="BP579" s="40">
        <f>BP578*(1-IF(B578&gt;=in_marketplace_from,d_hz_bills*G578,0))</f>
        <v/>
      </c>
      <c r="BQ579" s="40">
        <f>BQ578*d_rho_bills+BP579*IF(B579&gt;=in_marketplace_from,d_hz_bills*G579,0)</f>
        <v/>
      </c>
      <c r="BR579" s="14">
        <f>F579*BQ579*in_bills_ticket*in_bills_comm/12</f>
        <v/>
      </c>
      <c r="BS579" s="40">
        <f>BS578*(1-IF(B578&gt;=in_marketplace_from,d_hz_loan_gold*G578,0))</f>
        <v/>
      </c>
      <c r="BT579" s="14">
        <f>F579*BS579*IF(B579&gt;=in_marketplace_from,d_hz_loan_gold*G579,0)*in_loan_gold_ticket*in_loan_gold_comm</f>
        <v/>
      </c>
      <c r="BU579" s="40">
        <f>BU578*(1-IF(B578&gt;=in_marketplace_from,d_hz_loan_cd*G578,0))</f>
        <v/>
      </c>
      <c r="BV579" s="14">
        <f>F579*BU579*IF(B579&gt;=in_marketplace_from,d_hz_loan_cd*G579,0)*in_loan_cd_ticket*in_loan_cd_comm</f>
        <v/>
      </c>
      <c r="BW579" s="40">
        <f>BW578*(1-IF(B578&gt;=in_marketplace_from,d_hz_loan_vehicle*G578,0))</f>
        <v/>
      </c>
      <c r="BX579" s="14">
        <f>F579*BW579*IF(B579&gt;=in_marketplace_from,d_hz_loan_vehicle*G579,0)*in_loan_vehicle_ticket*in_loan_vehicle_comm</f>
        <v/>
      </c>
      <c r="BY579" s="40">
        <f>BY578*(1-IF(B578&gt;=in_marketplace_from,d_hz_loan_home*G578,0)*BZ578)</f>
        <v/>
      </c>
      <c r="BZ579" s="11">
        <f>MIN(in_approval_cap,in_loan_home_approval*INDEX('Age profile'!$O$2:$O$61,B579)*(1+in_approval_growth)^(D579-1))</f>
        <v/>
      </c>
      <c r="CA579" s="14">
        <f>F579*BY579*IF(B579&gt;=in_marketplace_from,d_hz_loan_home*G579,0)*BZ579*in_loan_home_ticket*in_loan_home_comm</f>
        <v/>
      </c>
      <c r="CB579" s="40">
        <f>CB578*(1-IF(B578&gt;=in_marketplace_from,d_hz_loan_lap*G578,0)*CC578)</f>
        <v/>
      </c>
      <c r="CC579" s="11">
        <f>MIN(in_approval_cap,in_loan_lap_approval*INDEX('Age profile'!$O$2:$O$61,B579)*(1+in_approval_growth)^(D579-1))</f>
        <v/>
      </c>
      <c r="CD579" s="14">
        <f>F579*CB579*IF(B579&gt;=in_marketplace_from,d_hz_loan_lap*G579,0)*CC579*in_loan_lap_ticket*in_loan_lap_comm</f>
        <v/>
      </c>
      <c r="CE579" s="14">
        <f>AA579+AB579+AC579+AD579+AG579+AJ579+AM579+AP579+AS579+AU579+AX579+BB579+BE579+BG579+BJ579+BL579+BO579+BR579+BT579+BV579+BX579+CA579+CD579</f>
        <v/>
      </c>
    </row>
    <row r="580">
      <c r="A580" s="39" t="n">
        <v>11</v>
      </c>
      <c r="B580" s="39" t="n">
        <v>24</v>
      </c>
      <c r="C580" s="39">
        <f>A580+B580-1</f>
        <v/>
      </c>
      <c r="D580" s="39">
        <f>INT((C580-1)/12)+1</f>
        <v/>
      </c>
      <c r="E580" s="44">
        <f>INDEX(Monthly!$B$2:$B$61,A580)</f>
        <v/>
      </c>
      <c r="F580" s="44">
        <f>E580*INDEX('Age profile'!$B$2:$B$61,B580)</f>
        <v/>
      </c>
      <c r="G580" s="45">
        <f>MIN(in_takeup_cap,INDEX('Age profile'!$N$2:$N$61,B580)*(1+in_takeup_growth)^(D580-1))</f>
        <v/>
      </c>
      <c r="H580" s="11">
        <f>MIN(in_approval_cap,in_approved_first*INDEX('Age profile'!$O$2:$O$61,B580)*(1+in_approval_growth)^(D580-1))</f>
        <v/>
      </c>
      <c r="I580" s="45">
        <f>G580*MIN(in_takeup_cap,INDEX('Age profile'!$O$2:$O$61,B580)*(1+in_approval_growth)^(D580-1))</f>
        <v/>
      </c>
      <c r="J580" s="40">
        <f>(J579-L579)*F580/F579</f>
        <v/>
      </c>
      <c r="K580" s="40">
        <f>(K579-M579)*F580/F579+SUMIFS(O557:O579,B557:B579,B580-1-d_T)*F580</f>
        <v/>
      </c>
      <c r="L580" s="40">
        <f>IF(B580&gt;=in_marketplace_from,J580*d_hz*G580*in_eligible*H580,0)</f>
        <v/>
      </c>
      <c r="M580" s="40">
        <f>IF(B580&gt;=in_marketplace_from,K580*d_hz*G580*in_eligible*in_approved_repeat,0)</f>
        <v/>
      </c>
      <c r="N580" s="40">
        <f>L580+M580</f>
        <v/>
      </c>
      <c r="O580" s="46">
        <f>N580/F580</f>
        <v/>
      </c>
      <c r="P580" s="40">
        <f>F580-J580-K580</f>
        <v/>
      </c>
      <c r="Q580" s="40">
        <f>IF(B580&gt;=in_marketplace_from,(J580+K580)*d_hz*G580,0)</f>
        <v/>
      </c>
      <c r="R580" s="40">
        <f>SUMIFS(N557:N606,B557:B606,"&gt;="&amp;(B580-d_T),B557:B606,"&lt;="&amp;(B580-1))</f>
        <v/>
      </c>
      <c r="S580" s="46">
        <f>(1-d_u)*S579+IF(d_T&gt;in_topup_lag,SUMIFS(O557:O606,B557:B606,B580-in_topup_lag)-d_udrop*SUMIFS(O557:O606,B557:B606,B580-d_T),0)</f>
        <v/>
      </c>
      <c r="T580" s="40">
        <f>F580*d_u*S580</f>
        <v/>
      </c>
      <c r="U580" s="9">
        <f>L580*in_ticket+M580*d_rep_ticket</f>
        <v/>
      </c>
      <c r="V580" s="9">
        <f>U580+T580*d_topup_amt</f>
        <v/>
      </c>
      <c r="W580" s="40">
        <f>N580+T580*d_topup_ratio</f>
        <v/>
      </c>
      <c r="X580" s="40">
        <f>SUMIFS(W557:W606,B557:B606,B580-in_dpd_lag)*d_cured</f>
        <v/>
      </c>
      <c r="Y580" s="40">
        <f>SUMIFS(W557:W606,B557:B606,B580-in_rec_lag)*d_recd</f>
        <v/>
      </c>
      <c r="Z580" s="40">
        <f>IF(AND(B580&gt;=in_marketplace_from,B580&lt;in_marketplace_from+in_card_months),in_card_share/in_card_months*F580*I580,IF(AND(B580&gt;=in_marketplace_from+in_card_months,B580&lt;in_marketplace_from+2*in_card_months),in_card_share*d_card_rem/in_card_months*F580*MIN(in_takeup_cap,(1+in_takeup_growth)^(D580-1))*MIN(in_takeup_cap,(1+in_approval_growth)^(D580-1)),0))</f>
        <v/>
      </c>
      <c r="AA580" s="14">
        <f>V580*in_fee*(1-in_taken_back)</f>
        <v/>
      </c>
      <c r="AB580" s="14">
        <f>SUMIFS(W557:W606,B557:B606,B580-in_dpd_lag)*d_dpd</f>
        <v/>
      </c>
      <c r="AC580" s="14">
        <f>SUMIFS(W557:W606,B557:B606,B580-in_rec_lag)*d_rec</f>
        <v/>
      </c>
      <c r="AD580" s="14">
        <f>Z580*in_card_fee</f>
        <v/>
      </c>
      <c r="AE580" s="40">
        <f>AE579*(1-IF(B579&gt;=in_marketplace_from,d_hz_hlth_small*G579,0))</f>
        <v/>
      </c>
      <c r="AF580" s="46">
        <f>AE580*IF(B580&gt;=in_marketplace_from,d_hz_hlth_small*G580,0)</f>
        <v/>
      </c>
      <c r="AG580" s="14">
        <f>F580*AF580*in_hlth_small_ticket*in_hlth_small_comm*in_ins_partner_share+F580*in_hlth_small_ticket*in_hlth_small_renew_comm*in_ins_partner_share*(in_hlth_small_renew^1*SUMIFS(AF557:AF606,B557:B606,B580-12)+in_hlth_small_renew^2*SUMIFS(AF557:AF606,B557:B606,B580-24)+in_hlth_small_renew^3*SUMIFS(AF557:AF606,B557:B606,B580-36)+in_hlth_small_renew^4*SUMIFS(AF557:AF606,B557:B606,B580-48))</f>
        <v/>
      </c>
      <c r="AH580" s="40">
        <f>AH579*(1-IF(B579&gt;=in_marketplace_from,d_hz_hlth_family*G579,0))</f>
        <v/>
      </c>
      <c r="AI580" s="46">
        <f>AH580*IF(B580&gt;=in_marketplace_from,d_hz_hlth_family*G580,0)</f>
        <v/>
      </c>
      <c r="AJ580" s="14">
        <f>F580*AI580*in_hlth_family_ticket*in_hlth_family_comm*in_ins_partner_share+F580*in_hlth_family_ticket*in_hlth_family_renew_comm*in_ins_partner_share*(in_hlth_family_renew^1*SUMIFS(AI557:AI606,B557:B606,B580-12)+in_hlth_family_renew^2*SUMIFS(AI557:AI606,B557:B606,B580-24)+in_hlth_family_renew^3*SUMIFS(AI557:AI606,B557:B606,B580-36)+in_hlth_family_renew^4*SUMIFS(AI557:AI606,B557:B606,B580-48))</f>
        <v/>
      </c>
      <c r="AK580" s="40">
        <f>AK579*(1-IF(B579&gt;=in_marketplace_from,d_hz_life_term*G579,0))</f>
        <v/>
      </c>
      <c r="AL580" s="46">
        <f>AK580*IF(B580&gt;=in_marketplace_from,d_hz_life_term*G580,0)</f>
        <v/>
      </c>
      <c r="AM580" s="14">
        <f>F580*AL580*in_life_term_ticket*in_life_term_comm*in_ins_partner_share+F580*in_life_term_ticket*in_life_term_renew_comm*in_ins_partner_share*(in_life_term_renew^1*SUMIFS(AL557:AL606,B557:B606,B580-12)+in_life_term_renew^2*SUMIFS(AL557:AL606,B557:B606,B580-24)+in_life_term_renew^3*SUMIFS(AL557:AL606,B557:B606,B580-36)+in_life_term_renew^4*SUMIFS(AL557:AL606,B557:B606,B580-48))</f>
        <v/>
      </c>
      <c r="AN580" s="40">
        <f>AN579*(1-IF(B579&gt;=in_marketplace_from,d_hz_accident*G579,0))</f>
        <v/>
      </c>
      <c r="AO580" s="46">
        <f>AN580*IF(B580&gt;=in_marketplace_from,d_hz_accident*G580,0)</f>
        <v/>
      </c>
      <c r="AP580" s="14">
        <f>F580*AO580*in_accident_ticket*in_accident_comm*in_ins_partner_share+F580*in_accident_ticket*in_accident_renew_comm*in_ins_partner_share*(in_accident_renew^1*SUMIFS(AO557:AO606,B557:B606,B580-12)+in_accident_renew^2*SUMIFS(AO557:AO606,B557:B606,B580-24)+in_accident_renew^3*SUMIFS(AO557:AO606,B557:B606,B580-36)+in_accident_renew^4*SUMIFS(AO557:AO606,B557:B606,B580-48))</f>
        <v/>
      </c>
      <c r="AQ580" s="40">
        <f>AQ579*(1-IF(B579&gt;=in_marketplace_from,d_hz_two_wheeler*G579,0))</f>
        <v/>
      </c>
      <c r="AR580" s="46">
        <f>AQ580*IF(B580&gt;=in_marketplace_from,d_hz_two_wheeler*G580,0)</f>
        <v/>
      </c>
      <c r="AS580" s="14">
        <f>F580*AR580*in_two_wheeler_ticket*in_two_wheeler_comm*in_ins_partner_share+F580*in_two_wheeler_ticket*in_two_wheeler_comm*in_ins_partner_share*(in_two_wheeler_renew^1*SUMIFS(AR557:AR606,B557:B606,B580-12)+in_two_wheeler_renew^2*SUMIFS(AR557:AR606,B557:B606,B580-24)+in_two_wheeler_renew^3*SUMIFS(AR557:AR606,B557:B606,B580-36)+in_two_wheeler_renew^4*SUMIFS(AR557:AR606,B557:B606,B580-48))</f>
        <v/>
      </c>
      <c r="AT580" s="40">
        <f>AT579*(1-IF(B579&gt;=in_marketplace_from,d_hz_device*G579,0))</f>
        <v/>
      </c>
      <c r="AU580" s="14">
        <f>F580*AT580*IF(B580&gt;=in_marketplace_from,d_hz_device*G580,0)*in_device_ticket*in_device_comm*in_ins_partner_share</f>
        <v/>
      </c>
      <c r="AV580" s="40">
        <f>AV579*(1-IF(B579&gt;=in_marketplace_from,d_hz_shop*G579,0))</f>
        <v/>
      </c>
      <c r="AW580" s="46">
        <f>AV580*IF(B580&gt;=in_marketplace_from,d_hz_shop*G580,0)</f>
        <v/>
      </c>
      <c r="AX580" s="14">
        <f>F580*AW580*in_shop_ticket*in_shop_comm*in_ins_partner_share+F580*in_shop_ticket*in_shop_renew_comm*in_ins_partner_share*(in_shop_renew^1*SUMIFS(AW557:AW606,B557:B606,B580-12)+in_shop_renew^2*SUMIFS(AW557:AW606,B557:B606,B580-24)+in_shop_renew^3*SUMIFS(AW557:AW606,B557:B606,B580-36)+in_shop_renew^4*SUMIFS(AW557:AW606,B557:B606,B580-48))</f>
        <v/>
      </c>
      <c r="AY580" s="40">
        <f>AY579*(1-IF(B579&gt;=in_marketplace_from,d_hz_sip*G579,0))</f>
        <v/>
      </c>
      <c r="AZ580" s="40">
        <f>AZ579*d_rho_sip+AY580*IF(B580&gt;=in_marketplace_from,d_hz_sip*G580,0)</f>
        <v/>
      </c>
      <c r="BA580" s="40">
        <f>d_rho_sip*(BA579+AZ579)</f>
        <v/>
      </c>
      <c r="BB580" s="14">
        <f>F580*in_sip_ticket*(BA580+0.5*AZ580)*in_sip_comm/12</f>
        <v/>
      </c>
      <c r="BC580" s="40">
        <f>BC579*(1-IF(B579&gt;=in_marketplace_from,d_hz_choti*G579,0))</f>
        <v/>
      </c>
      <c r="BD580" s="46">
        <f>BC580*IF(B580&gt;=in_marketplace_from,d_hz_choti*G580,0)</f>
        <v/>
      </c>
      <c r="BE580" s="14">
        <f>F580*SUMIFS(BD557:BD606,B557:B606,B580-in_choti_months)*in_choti_renew*in_choti_ticket</f>
        <v/>
      </c>
      <c r="BF580" s="40">
        <f>BF579*(1-IF(B579&gt;=in_marketplace_from,d_hz_nps*G579,0))</f>
        <v/>
      </c>
      <c r="BG580" s="14">
        <f>F580*BF580*IF(B580&gt;=in_marketplace_from,d_hz_nps*G580,0)*in_nps_ticket*in_nps_comm</f>
        <v/>
      </c>
      <c r="BH580" s="40">
        <f>BH579*(1-IF(B579&gt;=in_marketplace_from,d_hz_gold*G579,0))</f>
        <v/>
      </c>
      <c r="BI580" s="40">
        <f>BI579*d_rho_gold+BH580*IF(B580&gt;=in_marketplace_from,d_hz_gold*G580,0)</f>
        <v/>
      </c>
      <c r="BJ580" s="14">
        <f>F580*BI580*in_gold_ticket*in_gold_comm</f>
        <v/>
      </c>
      <c r="BK580" s="40">
        <f>BK579*(1-IF(B579&gt;=in_marketplace_from,d_hz_fd*G579,0))</f>
        <v/>
      </c>
      <c r="BL580" s="14">
        <f>F580*BK580*IF(B580&gt;=in_marketplace_from,d_hz_fd*G580,0)*in_fd_ticket*in_fd_comm</f>
        <v/>
      </c>
      <c r="BM580" s="40">
        <f>BM579*(1-IF(B579&gt;=in_marketplace_from,d_hz_recharge*G579,0))</f>
        <v/>
      </c>
      <c r="BN580" s="40">
        <f>BN579*d_rho_recharge+BM580*IF(B580&gt;=in_marketplace_from,d_hz_recharge*G580,0)</f>
        <v/>
      </c>
      <c r="BO580" s="14">
        <f>F580*BN580*in_recharge_ticket*in_recharge_comm/12</f>
        <v/>
      </c>
      <c r="BP580" s="40">
        <f>BP579*(1-IF(B579&gt;=in_marketplace_from,d_hz_bills*G579,0))</f>
        <v/>
      </c>
      <c r="BQ580" s="40">
        <f>BQ579*d_rho_bills+BP580*IF(B580&gt;=in_marketplace_from,d_hz_bills*G580,0)</f>
        <v/>
      </c>
      <c r="BR580" s="14">
        <f>F580*BQ580*in_bills_ticket*in_bills_comm/12</f>
        <v/>
      </c>
      <c r="BS580" s="40">
        <f>BS579*(1-IF(B579&gt;=in_marketplace_from,d_hz_loan_gold*G579,0))</f>
        <v/>
      </c>
      <c r="BT580" s="14">
        <f>F580*BS580*IF(B580&gt;=in_marketplace_from,d_hz_loan_gold*G580,0)*in_loan_gold_ticket*in_loan_gold_comm</f>
        <v/>
      </c>
      <c r="BU580" s="40">
        <f>BU579*(1-IF(B579&gt;=in_marketplace_from,d_hz_loan_cd*G579,0))</f>
        <v/>
      </c>
      <c r="BV580" s="14">
        <f>F580*BU580*IF(B580&gt;=in_marketplace_from,d_hz_loan_cd*G580,0)*in_loan_cd_ticket*in_loan_cd_comm</f>
        <v/>
      </c>
      <c r="BW580" s="40">
        <f>BW579*(1-IF(B579&gt;=in_marketplace_from,d_hz_loan_vehicle*G579,0))</f>
        <v/>
      </c>
      <c r="BX580" s="14">
        <f>F580*BW580*IF(B580&gt;=in_marketplace_from,d_hz_loan_vehicle*G580,0)*in_loan_vehicle_ticket*in_loan_vehicle_comm</f>
        <v/>
      </c>
      <c r="BY580" s="40">
        <f>BY579*(1-IF(B579&gt;=in_marketplace_from,d_hz_loan_home*G579,0)*BZ579)</f>
        <v/>
      </c>
      <c r="BZ580" s="11">
        <f>MIN(in_approval_cap,in_loan_home_approval*INDEX('Age profile'!$O$2:$O$61,B580)*(1+in_approval_growth)^(D580-1))</f>
        <v/>
      </c>
      <c r="CA580" s="14">
        <f>F580*BY580*IF(B580&gt;=in_marketplace_from,d_hz_loan_home*G580,0)*BZ580*in_loan_home_ticket*in_loan_home_comm</f>
        <v/>
      </c>
      <c r="CB580" s="40">
        <f>CB579*(1-IF(B579&gt;=in_marketplace_from,d_hz_loan_lap*G579,0)*CC579)</f>
        <v/>
      </c>
      <c r="CC580" s="11">
        <f>MIN(in_approval_cap,in_loan_lap_approval*INDEX('Age profile'!$O$2:$O$61,B580)*(1+in_approval_growth)^(D580-1))</f>
        <v/>
      </c>
      <c r="CD580" s="14">
        <f>F580*CB580*IF(B580&gt;=in_marketplace_from,d_hz_loan_lap*G580,0)*CC580*in_loan_lap_ticket*in_loan_lap_comm</f>
        <v/>
      </c>
      <c r="CE580" s="14">
        <f>AA580+AB580+AC580+AD580+AG580+AJ580+AM580+AP580+AS580+AU580+AX580+BB580+BE580+BG580+BJ580+BL580+BO580+BR580+BT580+BV580+BX580+CA580+CD580</f>
        <v/>
      </c>
    </row>
    <row r="581">
      <c r="A581" s="39" t="n">
        <v>11</v>
      </c>
      <c r="B581" s="39" t="n">
        <v>25</v>
      </c>
      <c r="C581" s="39">
        <f>A581+B581-1</f>
        <v/>
      </c>
      <c r="D581" s="39">
        <f>INT((C581-1)/12)+1</f>
        <v/>
      </c>
      <c r="E581" s="44">
        <f>INDEX(Monthly!$B$2:$B$61,A581)</f>
        <v/>
      </c>
      <c r="F581" s="44">
        <f>E581*INDEX('Age profile'!$B$2:$B$61,B581)</f>
        <v/>
      </c>
      <c r="G581" s="45">
        <f>MIN(in_takeup_cap,INDEX('Age profile'!$N$2:$N$61,B581)*(1+in_takeup_growth)^(D581-1))</f>
        <v/>
      </c>
      <c r="H581" s="11">
        <f>MIN(in_approval_cap,in_approved_first*INDEX('Age profile'!$O$2:$O$61,B581)*(1+in_approval_growth)^(D581-1))</f>
        <v/>
      </c>
      <c r="I581" s="45">
        <f>G581*MIN(in_takeup_cap,INDEX('Age profile'!$O$2:$O$61,B581)*(1+in_approval_growth)^(D581-1))</f>
        <v/>
      </c>
      <c r="J581" s="40">
        <f>(J580-L580)*F581/F580</f>
        <v/>
      </c>
      <c r="K581" s="40">
        <f>(K580-M580)*F581/F580+SUMIFS(O557:O580,B557:B580,B581-1-d_T)*F581</f>
        <v/>
      </c>
      <c r="L581" s="40">
        <f>IF(B581&gt;=in_marketplace_from,J581*d_hz*G581*in_eligible*H581,0)</f>
        <v/>
      </c>
      <c r="M581" s="40">
        <f>IF(B581&gt;=in_marketplace_from,K581*d_hz*G581*in_eligible*in_approved_repeat,0)</f>
        <v/>
      </c>
      <c r="N581" s="40">
        <f>L581+M581</f>
        <v/>
      </c>
      <c r="O581" s="46">
        <f>N581/F581</f>
        <v/>
      </c>
      <c r="P581" s="40">
        <f>F581-J581-K581</f>
        <v/>
      </c>
      <c r="Q581" s="40">
        <f>IF(B581&gt;=in_marketplace_from,(J581+K581)*d_hz*G581,0)</f>
        <v/>
      </c>
      <c r="R581" s="40">
        <f>SUMIFS(N557:N606,B557:B606,"&gt;="&amp;(B581-d_T),B557:B606,"&lt;="&amp;(B581-1))</f>
        <v/>
      </c>
      <c r="S581" s="46">
        <f>(1-d_u)*S580+IF(d_T&gt;in_topup_lag,SUMIFS(O557:O606,B557:B606,B581-in_topup_lag)-d_udrop*SUMIFS(O557:O606,B557:B606,B581-d_T),0)</f>
        <v/>
      </c>
      <c r="T581" s="40">
        <f>F581*d_u*S581</f>
        <v/>
      </c>
      <c r="U581" s="9">
        <f>L581*in_ticket+M581*d_rep_ticket</f>
        <v/>
      </c>
      <c r="V581" s="9">
        <f>U581+T581*d_topup_amt</f>
        <v/>
      </c>
      <c r="W581" s="40">
        <f>N581+T581*d_topup_ratio</f>
        <v/>
      </c>
      <c r="X581" s="40">
        <f>SUMIFS(W557:W606,B557:B606,B581-in_dpd_lag)*d_cured</f>
        <v/>
      </c>
      <c r="Y581" s="40">
        <f>SUMIFS(W557:W606,B557:B606,B581-in_rec_lag)*d_recd</f>
        <v/>
      </c>
      <c r="Z581" s="40">
        <f>IF(AND(B581&gt;=in_marketplace_from,B581&lt;in_marketplace_from+in_card_months),in_card_share/in_card_months*F581*I581,IF(AND(B581&gt;=in_marketplace_from+in_card_months,B581&lt;in_marketplace_from+2*in_card_months),in_card_share*d_card_rem/in_card_months*F581*MIN(in_takeup_cap,(1+in_takeup_growth)^(D581-1))*MIN(in_takeup_cap,(1+in_approval_growth)^(D581-1)),0))</f>
        <v/>
      </c>
      <c r="AA581" s="14">
        <f>V581*in_fee*(1-in_taken_back)</f>
        <v/>
      </c>
      <c r="AB581" s="14">
        <f>SUMIFS(W557:W606,B557:B606,B581-in_dpd_lag)*d_dpd</f>
        <v/>
      </c>
      <c r="AC581" s="14">
        <f>SUMIFS(W557:W606,B557:B606,B581-in_rec_lag)*d_rec</f>
        <v/>
      </c>
      <c r="AD581" s="14">
        <f>Z581*in_card_fee</f>
        <v/>
      </c>
      <c r="AE581" s="40">
        <f>AE580*(1-IF(B580&gt;=in_marketplace_from,d_hz_hlth_small*G580,0))</f>
        <v/>
      </c>
      <c r="AF581" s="46">
        <f>AE581*IF(B581&gt;=in_marketplace_from,d_hz_hlth_small*G581,0)</f>
        <v/>
      </c>
      <c r="AG581" s="14">
        <f>F581*AF581*in_hlth_small_ticket*in_hlth_small_comm*in_ins_partner_share+F581*in_hlth_small_ticket*in_hlth_small_renew_comm*in_ins_partner_share*(in_hlth_small_renew^1*SUMIFS(AF557:AF606,B557:B606,B581-12)+in_hlth_small_renew^2*SUMIFS(AF557:AF606,B557:B606,B581-24)+in_hlth_small_renew^3*SUMIFS(AF557:AF606,B557:B606,B581-36)+in_hlth_small_renew^4*SUMIFS(AF557:AF606,B557:B606,B581-48))</f>
        <v/>
      </c>
      <c r="AH581" s="40">
        <f>AH580*(1-IF(B580&gt;=in_marketplace_from,d_hz_hlth_family*G580,0))</f>
        <v/>
      </c>
      <c r="AI581" s="46">
        <f>AH581*IF(B581&gt;=in_marketplace_from,d_hz_hlth_family*G581,0)</f>
        <v/>
      </c>
      <c r="AJ581" s="14">
        <f>F581*AI581*in_hlth_family_ticket*in_hlth_family_comm*in_ins_partner_share+F581*in_hlth_family_ticket*in_hlth_family_renew_comm*in_ins_partner_share*(in_hlth_family_renew^1*SUMIFS(AI557:AI606,B557:B606,B581-12)+in_hlth_family_renew^2*SUMIFS(AI557:AI606,B557:B606,B581-24)+in_hlth_family_renew^3*SUMIFS(AI557:AI606,B557:B606,B581-36)+in_hlth_family_renew^4*SUMIFS(AI557:AI606,B557:B606,B581-48))</f>
        <v/>
      </c>
      <c r="AK581" s="40">
        <f>AK580*(1-IF(B580&gt;=in_marketplace_from,d_hz_life_term*G580,0))</f>
        <v/>
      </c>
      <c r="AL581" s="46">
        <f>AK581*IF(B581&gt;=in_marketplace_from,d_hz_life_term*G581,0)</f>
        <v/>
      </c>
      <c r="AM581" s="14">
        <f>F581*AL581*in_life_term_ticket*in_life_term_comm*in_ins_partner_share+F581*in_life_term_ticket*in_life_term_renew_comm*in_ins_partner_share*(in_life_term_renew^1*SUMIFS(AL557:AL606,B557:B606,B581-12)+in_life_term_renew^2*SUMIFS(AL557:AL606,B557:B606,B581-24)+in_life_term_renew^3*SUMIFS(AL557:AL606,B557:B606,B581-36)+in_life_term_renew^4*SUMIFS(AL557:AL606,B557:B606,B581-48))</f>
        <v/>
      </c>
      <c r="AN581" s="40">
        <f>AN580*(1-IF(B580&gt;=in_marketplace_from,d_hz_accident*G580,0))</f>
        <v/>
      </c>
      <c r="AO581" s="46">
        <f>AN581*IF(B581&gt;=in_marketplace_from,d_hz_accident*G581,0)</f>
        <v/>
      </c>
      <c r="AP581" s="14">
        <f>F581*AO581*in_accident_ticket*in_accident_comm*in_ins_partner_share+F581*in_accident_ticket*in_accident_renew_comm*in_ins_partner_share*(in_accident_renew^1*SUMIFS(AO557:AO606,B557:B606,B581-12)+in_accident_renew^2*SUMIFS(AO557:AO606,B557:B606,B581-24)+in_accident_renew^3*SUMIFS(AO557:AO606,B557:B606,B581-36)+in_accident_renew^4*SUMIFS(AO557:AO606,B557:B606,B581-48))</f>
        <v/>
      </c>
      <c r="AQ581" s="40">
        <f>AQ580*(1-IF(B580&gt;=in_marketplace_from,d_hz_two_wheeler*G580,0))</f>
        <v/>
      </c>
      <c r="AR581" s="46">
        <f>AQ581*IF(B581&gt;=in_marketplace_from,d_hz_two_wheeler*G581,0)</f>
        <v/>
      </c>
      <c r="AS581" s="14">
        <f>F581*AR581*in_two_wheeler_ticket*in_two_wheeler_comm*in_ins_partner_share+F581*in_two_wheeler_ticket*in_two_wheeler_comm*in_ins_partner_share*(in_two_wheeler_renew^1*SUMIFS(AR557:AR606,B557:B606,B581-12)+in_two_wheeler_renew^2*SUMIFS(AR557:AR606,B557:B606,B581-24)+in_two_wheeler_renew^3*SUMIFS(AR557:AR606,B557:B606,B581-36)+in_two_wheeler_renew^4*SUMIFS(AR557:AR606,B557:B606,B581-48))</f>
        <v/>
      </c>
      <c r="AT581" s="40">
        <f>AT580*(1-IF(B580&gt;=in_marketplace_from,d_hz_device*G580,0))</f>
        <v/>
      </c>
      <c r="AU581" s="14">
        <f>F581*AT581*IF(B581&gt;=in_marketplace_from,d_hz_device*G581,0)*in_device_ticket*in_device_comm*in_ins_partner_share</f>
        <v/>
      </c>
      <c r="AV581" s="40">
        <f>AV580*(1-IF(B580&gt;=in_marketplace_from,d_hz_shop*G580,0))</f>
        <v/>
      </c>
      <c r="AW581" s="46">
        <f>AV581*IF(B581&gt;=in_marketplace_from,d_hz_shop*G581,0)</f>
        <v/>
      </c>
      <c r="AX581" s="14">
        <f>F581*AW581*in_shop_ticket*in_shop_comm*in_ins_partner_share+F581*in_shop_ticket*in_shop_renew_comm*in_ins_partner_share*(in_shop_renew^1*SUMIFS(AW557:AW606,B557:B606,B581-12)+in_shop_renew^2*SUMIFS(AW557:AW606,B557:B606,B581-24)+in_shop_renew^3*SUMIFS(AW557:AW606,B557:B606,B581-36)+in_shop_renew^4*SUMIFS(AW557:AW606,B557:B606,B581-48))</f>
        <v/>
      </c>
      <c r="AY581" s="40">
        <f>AY580*(1-IF(B580&gt;=in_marketplace_from,d_hz_sip*G580,0))</f>
        <v/>
      </c>
      <c r="AZ581" s="40">
        <f>AZ580*d_rho_sip+AY581*IF(B581&gt;=in_marketplace_from,d_hz_sip*G581,0)</f>
        <v/>
      </c>
      <c r="BA581" s="40">
        <f>d_rho_sip*(BA580+AZ580)</f>
        <v/>
      </c>
      <c r="BB581" s="14">
        <f>F581*in_sip_ticket*(BA581+0.5*AZ581)*in_sip_comm/12</f>
        <v/>
      </c>
      <c r="BC581" s="40">
        <f>BC580*(1-IF(B580&gt;=in_marketplace_from,d_hz_choti*G580,0))</f>
        <v/>
      </c>
      <c r="BD581" s="46">
        <f>BC581*IF(B581&gt;=in_marketplace_from,d_hz_choti*G581,0)</f>
        <v/>
      </c>
      <c r="BE581" s="14">
        <f>F581*SUMIFS(BD557:BD606,B557:B606,B581-in_choti_months)*in_choti_renew*in_choti_ticket</f>
        <v/>
      </c>
      <c r="BF581" s="40">
        <f>BF580*(1-IF(B580&gt;=in_marketplace_from,d_hz_nps*G580,0))</f>
        <v/>
      </c>
      <c r="BG581" s="14">
        <f>F581*BF581*IF(B581&gt;=in_marketplace_from,d_hz_nps*G581,0)*in_nps_ticket*in_nps_comm</f>
        <v/>
      </c>
      <c r="BH581" s="40">
        <f>BH580*(1-IF(B580&gt;=in_marketplace_from,d_hz_gold*G580,0))</f>
        <v/>
      </c>
      <c r="BI581" s="40">
        <f>BI580*d_rho_gold+BH581*IF(B581&gt;=in_marketplace_from,d_hz_gold*G581,0)</f>
        <v/>
      </c>
      <c r="BJ581" s="14">
        <f>F581*BI581*in_gold_ticket*in_gold_comm</f>
        <v/>
      </c>
      <c r="BK581" s="40">
        <f>BK580*(1-IF(B580&gt;=in_marketplace_from,d_hz_fd*G580,0))</f>
        <v/>
      </c>
      <c r="BL581" s="14">
        <f>F581*BK581*IF(B581&gt;=in_marketplace_from,d_hz_fd*G581,0)*in_fd_ticket*in_fd_comm</f>
        <v/>
      </c>
      <c r="BM581" s="40">
        <f>BM580*(1-IF(B580&gt;=in_marketplace_from,d_hz_recharge*G580,0))</f>
        <v/>
      </c>
      <c r="BN581" s="40">
        <f>BN580*d_rho_recharge+BM581*IF(B581&gt;=in_marketplace_from,d_hz_recharge*G581,0)</f>
        <v/>
      </c>
      <c r="BO581" s="14">
        <f>F581*BN581*in_recharge_ticket*in_recharge_comm/12</f>
        <v/>
      </c>
      <c r="BP581" s="40">
        <f>BP580*(1-IF(B580&gt;=in_marketplace_from,d_hz_bills*G580,0))</f>
        <v/>
      </c>
      <c r="BQ581" s="40">
        <f>BQ580*d_rho_bills+BP581*IF(B581&gt;=in_marketplace_from,d_hz_bills*G581,0)</f>
        <v/>
      </c>
      <c r="BR581" s="14">
        <f>F581*BQ581*in_bills_ticket*in_bills_comm/12</f>
        <v/>
      </c>
      <c r="BS581" s="40">
        <f>BS580*(1-IF(B580&gt;=in_marketplace_from,d_hz_loan_gold*G580,0))</f>
        <v/>
      </c>
      <c r="BT581" s="14">
        <f>F581*BS581*IF(B581&gt;=in_marketplace_from,d_hz_loan_gold*G581,0)*in_loan_gold_ticket*in_loan_gold_comm</f>
        <v/>
      </c>
      <c r="BU581" s="40">
        <f>BU580*(1-IF(B580&gt;=in_marketplace_from,d_hz_loan_cd*G580,0))</f>
        <v/>
      </c>
      <c r="BV581" s="14">
        <f>F581*BU581*IF(B581&gt;=in_marketplace_from,d_hz_loan_cd*G581,0)*in_loan_cd_ticket*in_loan_cd_comm</f>
        <v/>
      </c>
      <c r="BW581" s="40">
        <f>BW580*(1-IF(B580&gt;=in_marketplace_from,d_hz_loan_vehicle*G580,0))</f>
        <v/>
      </c>
      <c r="BX581" s="14">
        <f>F581*BW581*IF(B581&gt;=in_marketplace_from,d_hz_loan_vehicle*G581,0)*in_loan_vehicle_ticket*in_loan_vehicle_comm</f>
        <v/>
      </c>
      <c r="BY581" s="40">
        <f>BY580*(1-IF(B580&gt;=in_marketplace_from,d_hz_loan_home*G580,0)*BZ580)</f>
        <v/>
      </c>
      <c r="BZ581" s="11">
        <f>MIN(in_approval_cap,in_loan_home_approval*INDEX('Age profile'!$O$2:$O$61,B581)*(1+in_approval_growth)^(D581-1))</f>
        <v/>
      </c>
      <c r="CA581" s="14">
        <f>F581*BY581*IF(B581&gt;=in_marketplace_from,d_hz_loan_home*G581,0)*BZ581*in_loan_home_ticket*in_loan_home_comm</f>
        <v/>
      </c>
      <c r="CB581" s="40">
        <f>CB580*(1-IF(B580&gt;=in_marketplace_from,d_hz_loan_lap*G580,0)*CC580)</f>
        <v/>
      </c>
      <c r="CC581" s="11">
        <f>MIN(in_approval_cap,in_loan_lap_approval*INDEX('Age profile'!$O$2:$O$61,B581)*(1+in_approval_growth)^(D581-1))</f>
        <v/>
      </c>
      <c r="CD581" s="14">
        <f>F581*CB581*IF(B581&gt;=in_marketplace_from,d_hz_loan_lap*G581,0)*CC581*in_loan_lap_ticket*in_loan_lap_comm</f>
        <v/>
      </c>
      <c r="CE581" s="14">
        <f>AA581+AB581+AC581+AD581+AG581+AJ581+AM581+AP581+AS581+AU581+AX581+BB581+BE581+BG581+BJ581+BL581+BO581+BR581+BT581+BV581+BX581+CA581+CD581</f>
        <v/>
      </c>
    </row>
    <row r="582">
      <c r="A582" s="39" t="n">
        <v>11</v>
      </c>
      <c r="B582" s="39" t="n">
        <v>26</v>
      </c>
      <c r="C582" s="39">
        <f>A582+B582-1</f>
        <v/>
      </c>
      <c r="D582" s="39">
        <f>INT((C582-1)/12)+1</f>
        <v/>
      </c>
      <c r="E582" s="44">
        <f>INDEX(Monthly!$B$2:$B$61,A582)</f>
        <v/>
      </c>
      <c r="F582" s="44">
        <f>E582*INDEX('Age profile'!$B$2:$B$61,B582)</f>
        <v/>
      </c>
      <c r="G582" s="45">
        <f>MIN(in_takeup_cap,INDEX('Age profile'!$N$2:$N$61,B582)*(1+in_takeup_growth)^(D582-1))</f>
        <v/>
      </c>
      <c r="H582" s="11">
        <f>MIN(in_approval_cap,in_approved_first*INDEX('Age profile'!$O$2:$O$61,B582)*(1+in_approval_growth)^(D582-1))</f>
        <v/>
      </c>
      <c r="I582" s="45">
        <f>G582*MIN(in_takeup_cap,INDEX('Age profile'!$O$2:$O$61,B582)*(1+in_approval_growth)^(D582-1))</f>
        <v/>
      </c>
      <c r="J582" s="40">
        <f>(J581-L581)*F582/F581</f>
        <v/>
      </c>
      <c r="K582" s="40">
        <f>(K581-M581)*F582/F581+SUMIFS(O557:O581,B557:B581,B582-1-d_T)*F582</f>
        <v/>
      </c>
      <c r="L582" s="40">
        <f>IF(B582&gt;=in_marketplace_from,J582*d_hz*G582*in_eligible*H582,0)</f>
        <v/>
      </c>
      <c r="M582" s="40">
        <f>IF(B582&gt;=in_marketplace_from,K582*d_hz*G582*in_eligible*in_approved_repeat,0)</f>
        <v/>
      </c>
      <c r="N582" s="40">
        <f>L582+M582</f>
        <v/>
      </c>
      <c r="O582" s="46">
        <f>N582/F582</f>
        <v/>
      </c>
      <c r="P582" s="40">
        <f>F582-J582-K582</f>
        <v/>
      </c>
      <c r="Q582" s="40">
        <f>IF(B582&gt;=in_marketplace_from,(J582+K582)*d_hz*G582,0)</f>
        <v/>
      </c>
      <c r="R582" s="40">
        <f>SUMIFS(N557:N606,B557:B606,"&gt;="&amp;(B582-d_T),B557:B606,"&lt;="&amp;(B582-1))</f>
        <v/>
      </c>
      <c r="S582" s="46">
        <f>(1-d_u)*S581+IF(d_T&gt;in_topup_lag,SUMIFS(O557:O606,B557:B606,B582-in_topup_lag)-d_udrop*SUMIFS(O557:O606,B557:B606,B582-d_T),0)</f>
        <v/>
      </c>
      <c r="T582" s="40">
        <f>F582*d_u*S582</f>
        <v/>
      </c>
      <c r="U582" s="9">
        <f>L582*in_ticket+M582*d_rep_ticket</f>
        <v/>
      </c>
      <c r="V582" s="9">
        <f>U582+T582*d_topup_amt</f>
        <v/>
      </c>
      <c r="W582" s="40">
        <f>N582+T582*d_topup_ratio</f>
        <v/>
      </c>
      <c r="X582" s="40">
        <f>SUMIFS(W557:W606,B557:B606,B582-in_dpd_lag)*d_cured</f>
        <v/>
      </c>
      <c r="Y582" s="40">
        <f>SUMIFS(W557:W606,B557:B606,B582-in_rec_lag)*d_recd</f>
        <v/>
      </c>
      <c r="Z582" s="40">
        <f>IF(AND(B582&gt;=in_marketplace_from,B582&lt;in_marketplace_from+in_card_months),in_card_share/in_card_months*F582*I582,IF(AND(B582&gt;=in_marketplace_from+in_card_months,B582&lt;in_marketplace_from+2*in_card_months),in_card_share*d_card_rem/in_card_months*F582*MIN(in_takeup_cap,(1+in_takeup_growth)^(D582-1))*MIN(in_takeup_cap,(1+in_approval_growth)^(D582-1)),0))</f>
        <v/>
      </c>
      <c r="AA582" s="14">
        <f>V582*in_fee*(1-in_taken_back)</f>
        <v/>
      </c>
      <c r="AB582" s="14">
        <f>SUMIFS(W557:W606,B557:B606,B582-in_dpd_lag)*d_dpd</f>
        <v/>
      </c>
      <c r="AC582" s="14">
        <f>SUMIFS(W557:W606,B557:B606,B582-in_rec_lag)*d_rec</f>
        <v/>
      </c>
      <c r="AD582" s="14">
        <f>Z582*in_card_fee</f>
        <v/>
      </c>
      <c r="AE582" s="40">
        <f>AE581*(1-IF(B581&gt;=in_marketplace_from,d_hz_hlth_small*G581,0))</f>
        <v/>
      </c>
      <c r="AF582" s="46">
        <f>AE582*IF(B582&gt;=in_marketplace_from,d_hz_hlth_small*G582,0)</f>
        <v/>
      </c>
      <c r="AG582" s="14">
        <f>F582*AF582*in_hlth_small_ticket*in_hlth_small_comm*in_ins_partner_share+F582*in_hlth_small_ticket*in_hlth_small_renew_comm*in_ins_partner_share*(in_hlth_small_renew^1*SUMIFS(AF557:AF606,B557:B606,B582-12)+in_hlth_small_renew^2*SUMIFS(AF557:AF606,B557:B606,B582-24)+in_hlth_small_renew^3*SUMIFS(AF557:AF606,B557:B606,B582-36)+in_hlth_small_renew^4*SUMIFS(AF557:AF606,B557:B606,B582-48))</f>
        <v/>
      </c>
      <c r="AH582" s="40">
        <f>AH581*(1-IF(B581&gt;=in_marketplace_from,d_hz_hlth_family*G581,0))</f>
        <v/>
      </c>
      <c r="AI582" s="46">
        <f>AH582*IF(B582&gt;=in_marketplace_from,d_hz_hlth_family*G582,0)</f>
        <v/>
      </c>
      <c r="AJ582" s="14">
        <f>F582*AI582*in_hlth_family_ticket*in_hlth_family_comm*in_ins_partner_share+F582*in_hlth_family_ticket*in_hlth_family_renew_comm*in_ins_partner_share*(in_hlth_family_renew^1*SUMIFS(AI557:AI606,B557:B606,B582-12)+in_hlth_family_renew^2*SUMIFS(AI557:AI606,B557:B606,B582-24)+in_hlth_family_renew^3*SUMIFS(AI557:AI606,B557:B606,B582-36)+in_hlth_family_renew^4*SUMIFS(AI557:AI606,B557:B606,B582-48))</f>
        <v/>
      </c>
      <c r="AK582" s="40">
        <f>AK581*(1-IF(B581&gt;=in_marketplace_from,d_hz_life_term*G581,0))</f>
        <v/>
      </c>
      <c r="AL582" s="46">
        <f>AK582*IF(B582&gt;=in_marketplace_from,d_hz_life_term*G582,0)</f>
        <v/>
      </c>
      <c r="AM582" s="14">
        <f>F582*AL582*in_life_term_ticket*in_life_term_comm*in_ins_partner_share+F582*in_life_term_ticket*in_life_term_renew_comm*in_ins_partner_share*(in_life_term_renew^1*SUMIFS(AL557:AL606,B557:B606,B582-12)+in_life_term_renew^2*SUMIFS(AL557:AL606,B557:B606,B582-24)+in_life_term_renew^3*SUMIFS(AL557:AL606,B557:B606,B582-36)+in_life_term_renew^4*SUMIFS(AL557:AL606,B557:B606,B582-48))</f>
        <v/>
      </c>
      <c r="AN582" s="40">
        <f>AN581*(1-IF(B581&gt;=in_marketplace_from,d_hz_accident*G581,0))</f>
        <v/>
      </c>
      <c r="AO582" s="46">
        <f>AN582*IF(B582&gt;=in_marketplace_from,d_hz_accident*G582,0)</f>
        <v/>
      </c>
      <c r="AP582" s="14">
        <f>F582*AO582*in_accident_ticket*in_accident_comm*in_ins_partner_share+F582*in_accident_ticket*in_accident_renew_comm*in_ins_partner_share*(in_accident_renew^1*SUMIFS(AO557:AO606,B557:B606,B582-12)+in_accident_renew^2*SUMIFS(AO557:AO606,B557:B606,B582-24)+in_accident_renew^3*SUMIFS(AO557:AO606,B557:B606,B582-36)+in_accident_renew^4*SUMIFS(AO557:AO606,B557:B606,B582-48))</f>
        <v/>
      </c>
      <c r="AQ582" s="40">
        <f>AQ581*(1-IF(B581&gt;=in_marketplace_from,d_hz_two_wheeler*G581,0))</f>
        <v/>
      </c>
      <c r="AR582" s="46">
        <f>AQ582*IF(B582&gt;=in_marketplace_from,d_hz_two_wheeler*G582,0)</f>
        <v/>
      </c>
      <c r="AS582" s="14">
        <f>F582*AR582*in_two_wheeler_ticket*in_two_wheeler_comm*in_ins_partner_share+F582*in_two_wheeler_ticket*in_two_wheeler_comm*in_ins_partner_share*(in_two_wheeler_renew^1*SUMIFS(AR557:AR606,B557:B606,B582-12)+in_two_wheeler_renew^2*SUMIFS(AR557:AR606,B557:B606,B582-24)+in_two_wheeler_renew^3*SUMIFS(AR557:AR606,B557:B606,B582-36)+in_two_wheeler_renew^4*SUMIFS(AR557:AR606,B557:B606,B582-48))</f>
        <v/>
      </c>
      <c r="AT582" s="40">
        <f>AT581*(1-IF(B581&gt;=in_marketplace_from,d_hz_device*G581,0))</f>
        <v/>
      </c>
      <c r="AU582" s="14">
        <f>F582*AT582*IF(B582&gt;=in_marketplace_from,d_hz_device*G582,0)*in_device_ticket*in_device_comm*in_ins_partner_share</f>
        <v/>
      </c>
      <c r="AV582" s="40">
        <f>AV581*(1-IF(B581&gt;=in_marketplace_from,d_hz_shop*G581,0))</f>
        <v/>
      </c>
      <c r="AW582" s="46">
        <f>AV582*IF(B582&gt;=in_marketplace_from,d_hz_shop*G582,0)</f>
        <v/>
      </c>
      <c r="AX582" s="14">
        <f>F582*AW582*in_shop_ticket*in_shop_comm*in_ins_partner_share+F582*in_shop_ticket*in_shop_renew_comm*in_ins_partner_share*(in_shop_renew^1*SUMIFS(AW557:AW606,B557:B606,B582-12)+in_shop_renew^2*SUMIFS(AW557:AW606,B557:B606,B582-24)+in_shop_renew^3*SUMIFS(AW557:AW606,B557:B606,B582-36)+in_shop_renew^4*SUMIFS(AW557:AW606,B557:B606,B582-48))</f>
        <v/>
      </c>
      <c r="AY582" s="40">
        <f>AY581*(1-IF(B581&gt;=in_marketplace_from,d_hz_sip*G581,0))</f>
        <v/>
      </c>
      <c r="AZ582" s="40">
        <f>AZ581*d_rho_sip+AY582*IF(B582&gt;=in_marketplace_from,d_hz_sip*G582,0)</f>
        <v/>
      </c>
      <c r="BA582" s="40">
        <f>d_rho_sip*(BA581+AZ581)</f>
        <v/>
      </c>
      <c r="BB582" s="14">
        <f>F582*in_sip_ticket*(BA582+0.5*AZ582)*in_sip_comm/12</f>
        <v/>
      </c>
      <c r="BC582" s="40">
        <f>BC581*(1-IF(B581&gt;=in_marketplace_from,d_hz_choti*G581,0))</f>
        <v/>
      </c>
      <c r="BD582" s="46">
        <f>BC582*IF(B582&gt;=in_marketplace_from,d_hz_choti*G582,0)</f>
        <v/>
      </c>
      <c r="BE582" s="14">
        <f>F582*SUMIFS(BD557:BD606,B557:B606,B582-in_choti_months)*in_choti_renew*in_choti_ticket</f>
        <v/>
      </c>
      <c r="BF582" s="40">
        <f>BF581*(1-IF(B581&gt;=in_marketplace_from,d_hz_nps*G581,0))</f>
        <v/>
      </c>
      <c r="BG582" s="14">
        <f>F582*BF582*IF(B582&gt;=in_marketplace_from,d_hz_nps*G582,0)*in_nps_ticket*in_nps_comm</f>
        <v/>
      </c>
      <c r="BH582" s="40">
        <f>BH581*(1-IF(B581&gt;=in_marketplace_from,d_hz_gold*G581,0))</f>
        <v/>
      </c>
      <c r="BI582" s="40">
        <f>BI581*d_rho_gold+BH582*IF(B582&gt;=in_marketplace_from,d_hz_gold*G582,0)</f>
        <v/>
      </c>
      <c r="BJ582" s="14">
        <f>F582*BI582*in_gold_ticket*in_gold_comm</f>
        <v/>
      </c>
      <c r="BK582" s="40">
        <f>BK581*(1-IF(B581&gt;=in_marketplace_from,d_hz_fd*G581,0))</f>
        <v/>
      </c>
      <c r="BL582" s="14">
        <f>F582*BK582*IF(B582&gt;=in_marketplace_from,d_hz_fd*G582,0)*in_fd_ticket*in_fd_comm</f>
        <v/>
      </c>
      <c r="BM582" s="40">
        <f>BM581*(1-IF(B581&gt;=in_marketplace_from,d_hz_recharge*G581,0))</f>
        <v/>
      </c>
      <c r="BN582" s="40">
        <f>BN581*d_rho_recharge+BM582*IF(B582&gt;=in_marketplace_from,d_hz_recharge*G582,0)</f>
        <v/>
      </c>
      <c r="BO582" s="14">
        <f>F582*BN582*in_recharge_ticket*in_recharge_comm/12</f>
        <v/>
      </c>
      <c r="BP582" s="40">
        <f>BP581*(1-IF(B581&gt;=in_marketplace_from,d_hz_bills*G581,0))</f>
        <v/>
      </c>
      <c r="BQ582" s="40">
        <f>BQ581*d_rho_bills+BP582*IF(B582&gt;=in_marketplace_from,d_hz_bills*G582,0)</f>
        <v/>
      </c>
      <c r="BR582" s="14">
        <f>F582*BQ582*in_bills_ticket*in_bills_comm/12</f>
        <v/>
      </c>
      <c r="BS582" s="40">
        <f>BS581*(1-IF(B581&gt;=in_marketplace_from,d_hz_loan_gold*G581,0))</f>
        <v/>
      </c>
      <c r="BT582" s="14">
        <f>F582*BS582*IF(B582&gt;=in_marketplace_from,d_hz_loan_gold*G582,0)*in_loan_gold_ticket*in_loan_gold_comm</f>
        <v/>
      </c>
      <c r="BU582" s="40">
        <f>BU581*(1-IF(B581&gt;=in_marketplace_from,d_hz_loan_cd*G581,0))</f>
        <v/>
      </c>
      <c r="BV582" s="14">
        <f>F582*BU582*IF(B582&gt;=in_marketplace_from,d_hz_loan_cd*G582,0)*in_loan_cd_ticket*in_loan_cd_comm</f>
        <v/>
      </c>
      <c r="BW582" s="40">
        <f>BW581*(1-IF(B581&gt;=in_marketplace_from,d_hz_loan_vehicle*G581,0))</f>
        <v/>
      </c>
      <c r="BX582" s="14">
        <f>F582*BW582*IF(B582&gt;=in_marketplace_from,d_hz_loan_vehicle*G582,0)*in_loan_vehicle_ticket*in_loan_vehicle_comm</f>
        <v/>
      </c>
      <c r="BY582" s="40">
        <f>BY581*(1-IF(B581&gt;=in_marketplace_from,d_hz_loan_home*G581,0)*BZ581)</f>
        <v/>
      </c>
      <c r="BZ582" s="11">
        <f>MIN(in_approval_cap,in_loan_home_approval*INDEX('Age profile'!$O$2:$O$61,B582)*(1+in_approval_growth)^(D582-1))</f>
        <v/>
      </c>
      <c r="CA582" s="14">
        <f>F582*BY582*IF(B582&gt;=in_marketplace_from,d_hz_loan_home*G582,0)*BZ582*in_loan_home_ticket*in_loan_home_comm</f>
        <v/>
      </c>
      <c r="CB582" s="40">
        <f>CB581*(1-IF(B581&gt;=in_marketplace_from,d_hz_loan_lap*G581,0)*CC581)</f>
        <v/>
      </c>
      <c r="CC582" s="11">
        <f>MIN(in_approval_cap,in_loan_lap_approval*INDEX('Age profile'!$O$2:$O$61,B582)*(1+in_approval_growth)^(D582-1))</f>
        <v/>
      </c>
      <c r="CD582" s="14">
        <f>F582*CB582*IF(B582&gt;=in_marketplace_from,d_hz_loan_lap*G582,0)*CC582*in_loan_lap_ticket*in_loan_lap_comm</f>
        <v/>
      </c>
      <c r="CE582" s="14">
        <f>AA582+AB582+AC582+AD582+AG582+AJ582+AM582+AP582+AS582+AU582+AX582+BB582+BE582+BG582+BJ582+BL582+BO582+BR582+BT582+BV582+BX582+CA582+CD582</f>
        <v/>
      </c>
    </row>
    <row r="583">
      <c r="A583" s="39" t="n">
        <v>11</v>
      </c>
      <c r="B583" s="39" t="n">
        <v>27</v>
      </c>
      <c r="C583" s="39">
        <f>A583+B583-1</f>
        <v/>
      </c>
      <c r="D583" s="39">
        <f>INT((C583-1)/12)+1</f>
        <v/>
      </c>
      <c r="E583" s="44">
        <f>INDEX(Monthly!$B$2:$B$61,A583)</f>
        <v/>
      </c>
      <c r="F583" s="44">
        <f>E583*INDEX('Age profile'!$B$2:$B$61,B583)</f>
        <v/>
      </c>
      <c r="G583" s="45">
        <f>MIN(in_takeup_cap,INDEX('Age profile'!$N$2:$N$61,B583)*(1+in_takeup_growth)^(D583-1))</f>
        <v/>
      </c>
      <c r="H583" s="11">
        <f>MIN(in_approval_cap,in_approved_first*INDEX('Age profile'!$O$2:$O$61,B583)*(1+in_approval_growth)^(D583-1))</f>
        <v/>
      </c>
      <c r="I583" s="45">
        <f>G583*MIN(in_takeup_cap,INDEX('Age profile'!$O$2:$O$61,B583)*(1+in_approval_growth)^(D583-1))</f>
        <v/>
      </c>
      <c r="J583" s="40">
        <f>(J582-L582)*F583/F582</f>
        <v/>
      </c>
      <c r="K583" s="40">
        <f>(K582-M582)*F583/F582+SUMIFS(O557:O582,B557:B582,B583-1-d_T)*F583</f>
        <v/>
      </c>
      <c r="L583" s="40">
        <f>IF(B583&gt;=in_marketplace_from,J583*d_hz*G583*in_eligible*H583,0)</f>
        <v/>
      </c>
      <c r="M583" s="40">
        <f>IF(B583&gt;=in_marketplace_from,K583*d_hz*G583*in_eligible*in_approved_repeat,0)</f>
        <v/>
      </c>
      <c r="N583" s="40">
        <f>L583+M583</f>
        <v/>
      </c>
      <c r="O583" s="46">
        <f>N583/F583</f>
        <v/>
      </c>
      <c r="P583" s="40">
        <f>F583-J583-K583</f>
        <v/>
      </c>
      <c r="Q583" s="40">
        <f>IF(B583&gt;=in_marketplace_from,(J583+K583)*d_hz*G583,0)</f>
        <v/>
      </c>
      <c r="R583" s="40">
        <f>SUMIFS(N557:N606,B557:B606,"&gt;="&amp;(B583-d_T),B557:B606,"&lt;="&amp;(B583-1))</f>
        <v/>
      </c>
      <c r="S583" s="46">
        <f>(1-d_u)*S582+IF(d_T&gt;in_topup_lag,SUMIFS(O557:O606,B557:B606,B583-in_topup_lag)-d_udrop*SUMIFS(O557:O606,B557:B606,B583-d_T),0)</f>
        <v/>
      </c>
      <c r="T583" s="40">
        <f>F583*d_u*S583</f>
        <v/>
      </c>
      <c r="U583" s="9">
        <f>L583*in_ticket+M583*d_rep_ticket</f>
        <v/>
      </c>
      <c r="V583" s="9">
        <f>U583+T583*d_topup_amt</f>
        <v/>
      </c>
      <c r="W583" s="40">
        <f>N583+T583*d_topup_ratio</f>
        <v/>
      </c>
      <c r="X583" s="40">
        <f>SUMIFS(W557:W606,B557:B606,B583-in_dpd_lag)*d_cured</f>
        <v/>
      </c>
      <c r="Y583" s="40">
        <f>SUMIFS(W557:W606,B557:B606,B583-in_rec_lag)*d_recd</f>
        <v/>
      </c>
      <c r="Z583" s="40">
        <f>IF(AND(B583&gt;=in_marketplace_from,B583&lt;in_marketplace_from+in_card_months),in_card_share/in_card_months*F583*I583,IF(AND(B583&gt;=in_marketplace_from+in_card_months,B583&lt;in_marketplace_from+2*in_card_months),in_card_share*d_card_rem/in_card_months*F583*MIN(in_takeup_cap,(1+in_takeup_growth)^(D583-1))*MIN(in_takeup_cap,(1+in_approval_growth)^(D583-1)),0))</f>
        <v/>
      </c>
      <c r="AA583" s="14">
        <f>V583*in_fee*(1-in_taken_back)</f>
        <v/>
      </c>
      <c r="AB583" s="14">
        <f>SUMIFS(W557:W606,B557:B606,B583-in_dpd_lag)*d_dpd</f>
        <v/>
      </c>
      <c r="AC583" s="14">
        <f>SUMIFS(W557:W606,B557:B606,B583-in_rec_lag)*d_rec</f>
        <v/>
      </c>
      <c r="AD583" s="14">
        <f>Z583*in_card_fee</f>
        <v/>
      </c>
      <c r="AE583" s="40">
        <f>AE582*(1-IF(B582&gt;=in_marketplace_from,d_hz_hlth_small*G582,0))</f>
        <v/>
      </c>
      <c r="AF583" s="46">
        <f>AE583*IF(B583&gt;=in_marketplace_from,d_hz_hlth_small*G583,0)</f>
        <v/>
      </c>
      <c r="AG583" s="14">
        <f>F583*AF583*in_hlth_small_ticket*in_hlth_small_comm*in_ins_partner_share+F583*in_hlth_small_ticket*in_hlth_small_renew_comm*in_ins_partner_share*(in_hlth_small_renew^1*SUMIFS(AF557:AF606,B557:B606,B583-12)+in_hlth_small_renew^2*SUMIFS(AF557:AF606,B557:B606,B583-24)+in_hlth_small_renew^3*SUMIFS(AF557:AF606,B557:B606,B583-36)+in_hlth_small_renew^4*SUMIFS(AF557:AF606,B557:B606,B583-48))</f>
        <v/>
      </c>
      <c r="AH583" s="40">
        <f>AH582*(1-IF(B582&gt;=in_marketplace_from,d_hz_hlth_family*G582,0))</f>
        <v/>
      </c>
      <c r="AI583" s="46">
        <f>AH583*IF(B583&gt;=in_marketplace_from,d_hz_hlth_family*G583,0)</f>
        <v/>
      </c>
      <c r="AJ583" s="14">
        <f>F583*AI583*in_hlth_family_ticket*in_hlth_family_comm*in_ins_partner_share+F583*in_hlth_family_ticket*in_hlth_family_renew_comm*in_ins_partner_share*(in_hlth_family_renew^1*SUMIFS(AI557:AI606,B557:B606,B583-12)+in_hlth_family_renew^2*SUMIFS(AI557:AI606,B557:B606,B583-24)+in_hlth_family_renew^3*SUMIFS(AI557:AI606,B557:B606,B583-36)+in_hlth_family_renew^4*SUMIFS(AI557:AI606,B557:B606,B583-48))</f>
        <v/>
      </c>
      <c r="AK583" s="40">
        <f>AK582*(1-IF(B582&gt;=in_marketplace_from,d_hz_life_term*G582,0))</f>
        <v/>
      </c>
      <c r="AL583" s="46">
        <f>AK583*IF(B583&gt;=in_marketplace_from,d_hz_life_term*G583,0)</f>
        <v/>
      </c>
      <c r="AM583" s="14">
        <f>F583*AL583*in_life_term_ticket*in_life_term_comm*in_ins_partner_share+F583*in_life_term_ticket*in_life_term_renew_comm*in_ins_partner_share*(in_life_term_renew^1*SUMIFS(AL557:AL606,B557:B606,B583-12)+in_life_term_renew^2*SUMIFS(AL557:AL606,B557:B606,B583-24)+in_life_term_renew^3*SUMIFS(AL557:AL606,B557:B606,B583-36)+in_life_term_renew^4*SUMIFS(AL557:AL606,B557:B606,B583-48))</f>
        <v/>
      </c>
      <c r="AN583" s="40">
        <f>AN582*(1-IF(B582&gt;=in_marketplace_from,d_hz_accident*G582,0))</f>
        <v/>
      </c>
      <c r="AO583" s="46">
        <f>AN583*IF(B583&gt;=in_marketplace_from,d_hz_accident*G583,0)</f>
        <v/>
      </c>
      <c r="AP583" s="14">
        <f>F583*AO583*in_accident_ticket*in_accident_comm*in_ins_partner_share+F583*in_accident_ticket*in_accident_renew_comm*in_ins_partner_share*(in_accident_renew^1*SUMIFS(AO557:AO606,B557:B606,B583-12)+in_accident_renew^2*SUMIFS(AO557:AO606,B557:B606,B583-24)+in_accident_renew^3*SUMIFS(AO557:AO606,B557:B606,B583-36)+in_accident_renew^4*SUMIFS(AO557:AO606,B557:B606,B583-48))</f>
        <v/>
      </c>
      <c r="AQ583" s="40">
        <f>AQ582*(1-IF(B582&gt;=in_marketplace_from,d_hz_two_wheeler*G582,0))</f>
        <v/>
      </c>
      <c r="AR583" s="46">
        <f>AQ583*IF(B583&gt;=in_marketplace_from,d_hz_two_wheeler*G583,0)</f>
        <v/>
      </c>
      <c r="AS583" s="14">
        <f>F583*AR583*in_two_wheeler_ticket*in_two_wheeler_comm*in_ins_partner_share+F583*in_two_wheeler_ticket*in_two_wheeler_comm*in_ins_partner_share*(in_two_wheeler_renew^1*SUMIFS(AR557:AR606,B557:B606,B583-12)+in_two_wheeler_renew^2*SUMIFS(AR557:AR606,B557:B606,B583-24)+in_two_wheeler_renew^3*SUMIFS(AR557:AR606,B557:B606,B583-36)+in_two_wheeler_renew^4*SUMIFS(AR557:AR606,B557:B606,B583-48))</f>
        <v/>
      </c>
      <c r="AT583" s="40">
        <f>AT582*(1-IF(B582&gt;=in_marketplace_from,d_hz_device*G582,0))</f>
        <v/>
      </c>
      <c r="AU583" s="14">
        <f>F583*AT583*IF(B583&gt;=in_marketplace_from,d_hz_device*G583,0)*in_device_ticket*in_device_comm*in_ins_partner_share</f>
        <v/>
      </c>
      <c r="AV583" s="40">
        <f>AV582*(1-IF(B582&gt;=in_marketplace_from,d_hz_shop*G582,0))</f>
        <v/>
      </c>
      <c r="AW583" s="46">
        <f>AV583*IF(B583&gt;=in_marketplace_from,d_hz_shop*G583,0)</f>
        <v/>
      </c>
      <c r="AX583" s="14">
        <f>F583*AW583*in_shop_ticket*in_shop_comm*in_ins_partner_share+F583*in_shop_ticket*in_shop_renew_comm*in_ins_partner_share*(in_shop_renew^1*SUMIFS(AW557:AW606,B557:B606,B583-12)+in_shop_renew^2*SUMIFS(AW557:AW606,B557:B606,B583-24)+in_shop_renew^3*SUMIFS(AW557:AW606,B557:B606,B583-36)+in_shop_renew^4*SUMIFS(AW557:AW606,B557:B606,B583-48))</f>
        <v/>
      </c>
      <c r="AY583" s="40">
        <f>AY582*(1-IF(B582&gt;=in_marketplace_from,d_hz_sip*G582,0))</f>
        <v/>
      </c>
      <c r="AZ583" s="40">
        <f>AZ582*d_rho_sip+AY583*IF(B583&gt;=in_marketplace_from,d_hz_sip*G583,0)</f>
        <v/>
      </c>
      <c r="BA583" s="40">
        <f>d_rho_sip*(BA582+AZ582)</f>
        <v/>
      </c>
      <c r="BB583" s="14">
        <f>F583*in_sip_ticket*(BA583+0.5*AZ583)*in_sip_comm/12</f>
        <v/>
      </c>
      <c r="BC583" s="40">
        <f>BC582*(1-IF(B582&gt;=in_marketplace_from,d_hz_choti*G582,0))</f>
        <v/>
      </c>
      <c r="BD583" s="46">
        <f>BC583*IF(B583&gt;=in_marketplace_from,d_hz_choti*G583,0)</f>
        <v/>
      </c>
      <c r="BE583" s="14">
        <f>F583*SUMIFS(BD557:BD606,B557:B606,B583-in_choti_months)*in_choti_renew*in_choti_ticket</f>
        <v/>
      </c>
      <c r="BF583" s="40">
        <f>BF582*(1-IF(B582&gt;=in_marketplace_from,d_hz_nps*G582,0))</f>
        <v/>
      </c>
      <c r="BG583" s="14">
        <f>F583*BF583*IF(B583&gt;=in_marketplace_from,d_hz_nps*G583,0)*in_nps_ticket*in_nps_comm</f>
        <v/>
      </c>
      <c r="BH583" s="40">
        <f>BH582*(1-IF(B582&gt;=in_marketplace_from,d_hz_gold*G582,0))</f>
        <v/>
      </c>
      <c r="BI583" s="40">
        <f>BI582*d_rho_gold+BH583*IF(B583&gt;=in_marketplace_from,d_hz_gold*G583,0)</f>
        <v/>
      </c>
      <c r="BJ583" s="14">
        <f>F583*BI583*in_gold_ticket*in_gold_comm</f>
        <v/>
      </c>
      <c r="BK583" s="40">
        <f>BK582*(1-IF(B582&gt;=in_marketplace_from,d_hz_fd*G582,0))</f>
        <v/>
      </c>
      <c r="BL583" s="14">
        <f>F583*BK583*IF(B583&gt;=in_marketplace_from,d_hz_fd*G583,0)*in_fd_ticket*in_fd_comm</f>
        <v/>
      </c>
      <c r="BM583" s="40">
        <f>BM582*(1-IF(B582&gt;=in_marketplace_from,d_hz_recharge*G582,0))</f>
        <v/>
      </c>
      <c r="BN583" s="40">
        <f>BN582*d_rho_recharge+BM583*IF(B583&gt;=in_marketplace_from,d_hz_recharge*G583,0)</f>
        <v/>
      </c>
      <c r="BO583" s="14">
        <f>F583*BN583*in_recharge_ticket*in_recharge_comm/12</f>
        <v/>
      </c>
      <c r="BP583" s="40">
        <f>BP582*(1-IF(B582&gt;=in_marketplace_from,d_hz_bills*G582,0))</f>
        <v/>
      </c>
      <c r="BQ583" s="40">
        <f>BQ582*d_rho_bills+BP583*IF(B583&gt;=in_marketplace_from,d_hz_bills*G583,0)</f>
        <v/>
      </c>
      <c r="BR583" s="14">
        <f>F583*BQ583*in_bills_ticket*in_bills_comm/12</f>
        <v/>
      </c>
      <c r="BS583" s="40">
        <f>BS582*(1-IF(B582&gt;=in_marketplace_from,d_hz_loan_gold*G582,0))</f>
        <v/>
      </c>
      <c r="BT583" s="14">
        <f>F583*BS583*IF(B583&gt;=in_marketplace_from,d_hz_loan_gold*G583,0)*in_loan_gold_ticket*in_loan_gold_comm</f>
        <v/>
      </c>
      <c r="BU583" s="40">
        <f>BU582*(1-IF(B582&gt;=in_marketplace_from,d_hz_loan_cd*G582,0))</f>
        <v/>
      </c>
      <c r="BV583" s="14">
        <f>F583*BU583*IF(B583&gt;=in_marketplace_from,d_hz_loan_cd*G583,0)*in_loan_cd_ticket*in_loan_cd_comm</f>
        <v/>
      </c>
      <c r="BW583" s="40">
        <f>BW582*(1-IF(B582&gt;=in_marketplace_from,d_hz_loan_vehicle*G582,0))</f>
        <v/>
      </c>
      <c r="BX583" s="14">
        <f>F583*BW583*IF(B583&gt;=in_marketplace_from,d_hz_loan_vehicle*G583,0)*in_loan_vehicle_ticket*in_loan_vehicle_comm</f>
        <v/>
      </c>
      <c r="BY583" s="40">
        <f>BY582*(1-IF(B582&gt;=in_marketplace_from,d_hz_loan_home*G582,0)*BZ582)</f>
        <v/>
      </c>
      <c r="BZ583" s="11">
        <f>MIN(in_approval_cap,in_loan_home_approval*INDEX('Age profile'!$O$2:$O$61,B583)*(1+in_approval_growth)^(D583-1))</f>
        <v/>
      </c>
      <c r="CA583" s="14">
        <f>F583*BY583*IF(B583&gt;=in_marketplace_from,d_hz_loan_home*G583,0)*BZ583*in_loan_home_ticket*in_loan_home_comm</f>
        <v/>
      </c>
      <c r="CB583" s="40">
        <f>CB582*(1-IF(B582&gt;=in_marketplace_from,d_hz_loan_lap*G582,0)*CC582)</f>
        <v/>
      </c>
      <c r="CC583" s="11">
        <f>MIN(in_approval_cap,in_loan_lap_approval*INDEX('Age profile'!$O$2:$O$61,B583)*(1+in_approval_growth)^(D583-1))</f>
        <v/>
      </c>
      <c r="CD583" s="14">
        <f>F583*CB583*IF(B583&gt;=in_marketplace_from,d_hz_loan_lap*G583,0)*CC583*in_loan_lap_ticket*in_loan_lap_comm</f>
        <v/>
      </c>
      <c r="CE583" s="14">
        <f>AA583+AB583+AC583+AD583+AG583+AJ583+AM583+AP583+AS583+AU583+AX583+BB583+BE583+BG583+BJ583+BL583+BO583+BR583+BT583+BV583+BX583+CA583+CD583</f>
        <v/>
      </c>
    </row>
    <row r="584">
      <c r="A584" s="39" t="n">
        <v>11</v>
      </c>
      <c r="B584" s="39" t="n">
        <v>28</v>
      </c>
      <c r="C584" s="39">
        <f>A584+B584-1</f>
        <v/>
      </c>
      <c r="D584" s="39">
        <f>INT((C584-1)/12)+1</f>
        <v/>
      </c>
      <c r="E584" s="44">
        <f>INDEX(Monthly!$B$2:$B$61,A584)</f>
        <v/>
      </c>
      <c r="F584" s="44">
        <f>E584*INDEX('Age profile'!$B$2:$B$61,B584)</f>
        <v/>
      </c>
      <c r="G584" s="45">
        <f>MIN(in_takeup_cap,INDEX('Age profile'!$N$2:$N$61,B584)*(1+in_takeup_growth)^(D584-1))</f>
        <v/>
      </c>
      <c r="H584" s="11">
        <f>MIN(in_approval_cap,in_approved_first*INDEX('Age profile'!$O$2:$O$61,B584)*(1+in_approval_growth)^(D584-1))</f>
        <v/>
      </c>
      <c r="I584" s="45">
        <f>G584*MIN(in_takeup_cap,INDEX('Age profile'!$O$2:$O$61,B584)*(1+in_approval_growth)^(D584-1))</f>
        <v/>
      </c>
      <c r="J584" s="40">
        <f>(J583-L583)*F584/F583</f>
        <v/>
      </c>
      <c r="K584" s="40">
        <f>(K583-M583)*F584/F583+SUMIFS(O557:O583,B557:B583,B584-1-d_T)*F584</f>
        <v/>
      </c>
      <c r="L584" s="40">
        <f>IF(B584&gt;=in_marketplace_from,J584*d_hz*G584*in_eligible*H584,0)</f>
        <v/>
      </c>
      <c r="M584" s="40">
        <f>IF(B584&gt;=in_marketplace_from,K584*d_hz*G584*in_eligible*in_approved_repeat,0)</f>
        <v/>
      </c>
      <c r="N584" s="40">
        <f>L584+M584</f>
        <v/>
      </c>
      <c r="O584" s="46">
        <f>N584/F584</f>
        <v/>
      </c>
      <c r="P584" s="40">
        <f>F584-J584-K584</f>
        <v/>
      </c>
      <c r="Q584" s="40">
        <f>IF(B584&gt;=in_marketplace_from,(J584+K584)*d_hz*G584,0)</f>
        <v/>
      </c>
      <c r="R584" s="40">
        <f>SUMIFS(N557:N606,B557:B606,"&gt;="&amp;(B584-d_T),B557:B606,"&lt;="&amp;(B584-1))</f>
        <v/>
      </c>
      <c r="S584" s="46">
        <f>(1-d_u)*S583+IF(d_T&gt;in_topup_lag,SUMIFS(O557:O606,B557:B606,B584-in_topup_lag)-d_udrop*SUMIFS(O557:O606,B557:B606,B584-d_T),0)</f>
        <v/>
      </c>
      <c r="T584" s="40">
        <f>F584*d_u*S584</f>
        <v/>
      </c>
      <c r="U584" s="9">
        <f>L584*in_ticket+M584*d_rep_ticket</f>
        <v/>
      </c>
      <c r="V584" s="9">
        <f>U584+T584*d_topup_amt</f>
        <v/>
      </c>
      <c r="W584" s="40">
        <f>N584+T584*d_topup_ratio</f>
        <v/>
      </c>
      <c r="X584" s="40">
        <f>SUMIFS(W557:W606,B557:B606,B584-in_dpd_lag)*d_cured</f>
        <v/>
      </c>
      <c r="Y584" s="40">
        <f>SUMIFS(W557:W606,B557:B606,B584-in_rec_lag)*d_recd</f>
        <v/>
      </c>
      <c r="Z584" s="40">
        <f>IF(AND(B584&gt;=in_marketplace_from,B584&lt;in_marketplace_from+in_card_months),in_card_share/in_card_months*F584*I584,IF(AND(B584&gt;=in_marketplace_from+in_card_months,B584&lt;in_marketplace_from+2*in_card_months),in_card_share*d_card_rem/in_card_months*F584*MIN(in_takeup_cap,(1+in_takeup_growth)^(D584-1))*MIN(in_takeup_cap,(1+in_approval_growth)^(D584-1)),0))</f>
        <v/>
      </c>
      <c r="AA584" s="14">
        <f>V584*in_fee*(1-in_taken_back)</f>
        <v/>
      </c>
      <c r="AB584" s="14">
        <f>SUMIFS(W557:W606,B557:B606,B584-in_dpd_lag)*d_dpd</f>
        <v/>
      </c>
      <c r="AC584" s="14">
        <f>SUMIFS(W557:W606,B557:B606,B584-in_rec_lag)*d_rec</f>
        <v/>
      </c>
      <c r="AD584" s="14">
        <f>Z584*in_card_fee</f>
        <v/>
      </c>
      <c r="AE584" s="40">
        <f>AE583*(1-IF(B583&gt;=in_marketplace_from,d_hz_hlth_small*G583,0))</f>
        <v/>
      </c>
      <c r="AF584" s="46">
        <f>AE584*IF(B584&gt;=in_marketplace_from,d_hz_hlth_small*G584,0)</f>
        <v/>
      </c>
      <c r="AG584" s="14">
        <f>F584*AF584*in_hlth_small_ticket*in_hlth_small_comm*in_ins_partner_share+F584*in_hlth_small_ticket*in_hlth_small_renew_comm*in_ins_partner_share*(in_hlth_small_renew^1*SUMIFS(AF557:AF606,B557:B606,B584-12)+in_hlth_small_renew^2*SUMIFS(AF557:AF606,B557:B606,B584-24)+in_hlth_small_renew^3*SUMIFS(AF557:AF606,B557:B606,B584-36)+in_hlth_small_renew^4*SUMIFS(AF557:AF606,B557:B606,B584-48))</f>
        <v/>
      </c>
      <c r="AH584" s="40">
        <f>AH583*(1-IF(B583&gt;=in_marketplace_from,d_hz_hlth_family*G583,0))</f>
        <v/>
      </c>
      <c r="AI584" s="46">
        <f>AH584*IF(B584&gt;=in_marketplace_from,d_hz_hlth_family*G584,0)</f>
        <v/>
      </c>
      <c r="AJ584" s="14">
        <f>F584*AI584*in_hlth_family_ticket*in_hlth_family_comm*in_ins_partner_share+F584*in_hlth_family_ticket*in_hlth_family_renew_comm*in_ins_partner_share*(in_hlth_family_renew^1*SUMIFS(AI557:AI606,B557:B606,B584-12)+in_hlth_family_renew^2*SUMIFS(AI557:AI606,B557:B606,B584-24)+in_hlth_family_renew^3*SUMIFS(AI557:AI606,B557:B606,B584-36)+in_hlth_family_renew^4*SUMIFS(AI557:AI606,B557:B606,B584-48))</f>
        <v/>
      </c>
      <c r="AK584" s="40">
        <f>AK583*(1-IF(B583&gt;=in_marketplace_from,d_hz_life_term*G583,0))</f>
        <v/>
      </c>
      <c r="AL584" s="46">
        <f>AK584*IF(B584&gt;=in_marketplace_from,d_hz_life_term*G584,0)</f>
        <v/>
      </c>
      <c r="AM584" s="14">
        <f>F584*AL584*in_life_term_ticket*in_life_term_comm*in_ins_partner_share+F584*in_life_term_ticket*in_life_term_renew_comm*in_ins_partner_share*(in_life_term_renew^1*SUMIFS(AL557:AL606,B557:B606,B584-12)+in_life_term_renew^2*SUMIFS(AL557:AL606,B557:B606,B584-24)+in_life_term_renew^3*SUMIFS(AL557:AL606,B557:B606,B584-36)+in_life_term_renew^4*SUMIFS(AL557:AL606,B557:B606,B584-48))</f>
        <v/>
      </c>
      <c r="AN584" s="40">
        <f>AN583*(1-IF(B583&gt;=in_marketplace_from,d_hz_accident*G583,0))</f>
        <v/>
      </c>
      <c r="AO584" s="46">
        <f>AN584*IF(B584&gt;=in_marketplace_from,d_hz_accident*G584,0)</f>
        <v/>
      </c>
      <c r="AP584" s="14">
        <f>F584*AO584*in_accident_ticket*in_accident_comm*in_ins_partner_share+F584*in_accident_ticket*in_accident_renew_comm*in_ins_partner_share*(in_accident_renew^1*SUMIFS(AO557:AO606,B557:B606,B584-12)+in_accident_renew^2*SUMIFS(AO557:AO606,B557:B606,B584-24)+in_accident_renew^3*SUMIFS(AO557:AO606,B557:B606,B584-36)+in_accident_renew^4*SUMIFS(AO557:AO606,B557:B606,B584-48))</f>
        <v/>
      </c>
      <c r="AQ584" s="40">
        <f>AQ583*(1-IF(B583&gt;=in_marketplace_from,d_hz_two_wheeler*G583,0))</f>
        <v/>
      </c>
      <c r="AR584" s="46">
        <f>AQ584*IF(B584&gt;=in_marketplace_from,d_hz_two_wheeler*G584,0)</f>
        <v/>
      </c>
      <c r="AS584" s="14">
        <f>F584*AR584*in_two_wheeler_ticket*in_two_wheeler_comm*in_ins_partner_share+F584*in_two_wheeler_ticket*in_two_wheeler_comm*in_ins_partner_share*(in_two_wheeler_renew^1*SUMIFS(AR557:AR606,B557:B606,B584-12)+in_two_wheeler_renew^2*SUMIFS(AR557:AR606,B557:B606,B584-24)+in_two_wheeler_renew^3*SUMIFS(AR557:AR606,B557:B606,B584-36)+in_two_wheeler_renew^4*SUMIFS(AR557:AR606,B557:B606,B584-48))</f>
        <v/>
      </c>
      <c r="AT584" s="40">
        <f>AT583*(1-IF(B583&gt;=in_marketplace_from,d_hz_device*G583,0))</f>
        <v/>
      </c>
      <c r="AU584" s="14">
        <f>F584*AT584*IF(B584&gt;=in_marketplace_from,d_hz_device*G584,0)*in_device_ticket*in_device_comm*in_ins_partner_share</f>
        <v/>
      </c>
      <c r="AV584" s="40">
        <f>AV583*(1-IF(B583&gt;=in_marketplace_from,d_hz_shop*G583,0))</f>
        <v/>
      </c>
      <c r="AW584" s="46">
        <f>AV584*IF(B584&gt;=in_marketplace_from,d_hz_shop*G584,0)</f>
        <v/>
      </c>
      <c r="AX584" s="14">
        <f>F584*AW584*in_shop_ticket*in_shop_comm*in_ins_partner_share+F584*in_shop_ticket*in_shop_renew_comm*in_ins_partner_share*(in_shop_renew^1*SUMIFS(AW557:AW606,B557:B606,B584-12)+in_shop_renew^2*SUMIFS(AW557:AW606,B557:B606,B584-24)+in_shop_renew^3*SUMIFS(AW557:AW606,B557:B606,B584-36)+in_shop_renew^4*SUMIFS(AW557:AW606,B557:B606,B584-48))</f>
        <v/>
      </c>
      <c r="AY584" s="40">
        <f>AY583*(1-IF(B583&gt;=in_marketplace_from,d_hz_sip*G583,0))</f>
        <v/>
      </c>
      <c r="AZ584" s="40">
        <f>AZ583*d_rho_sip+AY584*IF(B584&gt;=in_marketplace_from,d_hz_sip*G584,0)</f>
        <v/>
      </c>
      <c r="BA584" s="40">
        <f>d_rho_sip*(BA583+AZ583)</f>
        <v/>
      </c>
      <c r="BB584" s="14">
        <f>F584*in_sip_ticket*(BA584+0.5*AZ584)*in_sip_comm/12</f>
        <v/>
      </c>
      <c r="BC584" s="40">
        <f>BC583*(1-IF(B583&gt;=in_marketplace_from,d_hz_choti*G583,0))</f>
        <v/>
      </c>
      <c r="BD584" s="46">
        <f>BC584*IF(B584&gt;=in_marketplace_from,d_hz_choti*G584,0)</f>
        <v/>
      </c>
      <c r="BE584" s="14">
        <f>F584*SUMIFS(BD557:BD606,B557:B606,B584-in_choti_months)*in_choti_renew*in_choti_ticket</f>
        <v/>
      </c>
      <c r="BF584" s="40">
        <f>BF583*(1-IF(B583&gt;=in_marketplace_from,d_hz_nps*G583,0))</f>
        <v/>
      </c>
      <c r="BG584" s="14">
        <f>F584*BF584*IF(B584&gt;=in_marketplace_from,d_hz_nps*G584,0)*in_nps_ticket*in_nps_comm</f>
        <v/>
      </c>
      <c r="BH584" s="40">
        <f>BH583*(1-IF(B583&gt;=in_marketplace_from,d_hz_gold*G583,0))</f>
        <v/>
      </c>
      <c r="BI584" s="40">
        <f>BI583*d_rho_gold+BH584*IF(B584&gt;=in_marketplace_from,d_hz_gold*G584,0)</f>
        <v/>
      </c>
      <c r="BJ584" s="14">
        <f>F584*BI584*in_gold_ticket*in_gold_comm</f>
        <v/>
      </c>
      <c r="BK584" s="40">
        <f>BK583*(1-IF(B583&gt;=in_marketplace_from,d_hz_fd*G583,0))</f>
        <v/>
      </c>
      <c r="BL584" s="14">
        <f>F584*BK584*IF(B584&gt;=in_marketplace_from,d_hz_fd*G584,0)*in_fd_ticket*in_fd_comm</f>
        <v/>
      </c>
      <c r="BM584" s="40">
        <f>BM583*(1-IF(B583&gt;=in_marketplace_from,d_hz_recharge*G583,0))</f>
        <v/>
      </c>
      <c r="BN584" s="40">
        <f>BN583*d_rho_recharge+BM584*IF(B584&gt;=in_marketplace_from,d_hz_recharge*G584,0)</f>
        <v/>
      </c>
      <c r="BO584" s="14">
        <f>F584*BN584*in_recharge_ticket*in_recharge_comm/12</f>
        <v/>
      </c>
      <c r="BP584" s="40">
        <f>BP583*(1-IF(B583&gt;=in_marketplace_from,d_hz_bills*G583,0))</f>
        <v/>
      </c>
      <c r="BQ584" s="40">
        <f>BQ583*d_rho_bills+BP584*IF(B584&gt;=in_marketplace_from,d_hz_bills*G584,0)</f>
        <v/>
      </c>
      <c r="BR584" s="14">
        <f>F584*BQ584*in_bills_ticket*in_bills_comm/12</f>
        <v/>
      </c>
      <c r="BS584" s="40">
        <f>BS583*(1-IF(B583&gt;=in_marketplace_from,d_hz_loan_gold*G583,0))</f>
        <v/>
      </c>
      <c r="BT584" s="14">
        <f>F584*BS584*IF(B584&gt;=in_marketplace_from,d_hz_loan_gold*G584,0)*in_loan_gold_ticket*in_loan_gold_comm</f>
        <v/>
      </c>
      <c r="BU584" s="40">
        <f>BU583*(1-IF(B583&gt;=in_marketplace_from,d_hz_loan_cd*G583,0))</f>
        <v/>
      </c>
      <c r="BV584" s="14">
        <f>F584*BU584*IF(B584&gt;=in_marketplace_from,d_hz_loan_cd*G584,0)*in_loan_cd_ticket*in_loan_cd_comm</f>
        <v/>
      </c>
      <c r="BW584" s="40">
        <f>BW583*(1-IF(B583&gt;=in_marketplace_from,d_hz_loan_vehicle*G583,0))</f>
        <v/>
      </c>
      <c r="BX584" s="14">
        <f>F584*BW584*IF(B584&gt;=in_marketplace_from,d_hz_loan_vehicle*G584,0)*in_loan_vehicle_ticket*in_loan_vehicle_comm</f>
        <v/>
      </c>
      <c r="BY584" s="40">
        <f>BY583*(1-IF(B583&gt;=in_marketplace_from,d_hz_loan_home*G583,0)*BZ583)</f>
        <v/>
      </c>
      <c r="BZ584" s="11">
        <f>MIN(in_approval_cap,in_loan_home_approval*INDEX('Age profile'!$O$2:$O$61,B584)*(1+in_approval_growth)^(D584-1))</f>
        <v/>
      </c>
      <c r="CA584" s="14">
        <f>F584*BY584*IF(B584&gt;=in_marketplace_from,d_hz_loan_home*G584,0)*BZ584*in_loan_home_ticket*in_loan_home_comm</f>
        <v/>
      </c>
      <c r="CB584" s="40">
        <f>CB583*(1-IF(B583&gt;=in_marketplace_from,d_hz_loan_lap*G583,0)*CC583)</f>
        <v/>
      </c>
      <c r="CC584" s="11">
        <f>MIN(in_approval_cap,in_loan_lap_approval*INDEX('Age profile'!$O$2:$O$61,B584)*(1+in_approval_growth)^(D584-1))</f>
        <v/>
      </c>
      <c r="CD584" s="14">
        <f>F584*CB584*IF(B584&gt;=in_marketplace_from,d_hz_loan_lap*G584,0)*CC584*in_loan_lap_ticket*in_loan_lap_comm</f>
        <v/>
      </c>
      <c r="CE584" s="14">
        <f>AA584+AB584+AC584+AD584+AG584+AJ584+AM584+AP584+AS584+AU584+AX584+BB584+BE584+BG584+BJ584+BL584+BO584+BR584+BT584+BV584+BX584+CA584+CD584</f>
        <v/>
      </c>
    </row>
    <row r="585">
      <c r="A585" s="39" t="n">
        <v>11</v>
      </c>
      <c r="B585" s="39" t="n">
        <v>29</v>
      </c>
      <c r="C585" s="39">
        <f>A585+B585-1</f>
        <v/>
      </c>
      <c r="D585" s="39">
        <f>INT((C585-1)/12)+1</f>
        <v/>
      </c>
      <c r="E585" s="44">
        <f>INDEX(Monthly!$B$2:$B$61,A585)</f>
        <v/>
      </c>
      <c r="F585" s="44">
        <f>E585*INDEX('Age profile'!$B$2:$B$61,B585)</f>
        <v/>
      </c>
      <c r="G585" s="45">
        <f>MIN(in_takeup_cap,INDEX('Age profile'!$N$2:$N$61,B585)*(1+in_takeup_growth)^(D585-1))</f>
        <v/>
      </c>
      <c r="H585" s="11">
        <f>MIN(in_approval_cap,in_approved_first*INDEX('Age profile'!$O$2:$O$61,B585)*(1+in_approval_growth)^(D585-1))</f>
        <v/>
      </c>
      <c r="I585" s="45">
        <f>G585*MIN(in_takeup_cap,INDEX('Age profile'!$O$2:$O$61,B585)*(1+in_approval_growth)^(D585-1))</f>
        <v/>
      </c>
      <c r="J585" s="40">
        <f>(J584-L584)*F585/F584</f>
        <v/>
      </c>
      <c r="K585" s="40">
        <f>(K584-M584)*F585/F584+SUMIFS(O557:O584,B557:B584,B585-1-d_T)*F585</f>
        <v/>
      </c>
      <c r="L585" s="40">
        <f>IF(B585&gt;=in_marketplace_from,J585*d_hz*G585*in_eligible*H585,0)</f>
        <v/>
      </c>
      <c r="M585" s="40">
        <f>IF(B585&gt;=in_marketplace_from,K585*d_hz*G585*in_eligible*in_approved_repeat,0)</f>
        <v/>
      </c>
      <c r="N585" s="40">
        <f>L585+M585</f>
        <v/>
      </c>
      <c r="O585" s="46">
        <f>N585/F585</f>
        <v/>
      </c>
      <c r="P585" s="40">
        <f>F585-J585-K585</f>
        <v/>
      </c>
      <c r="Q585" s="40">
        <f>IF(B585&gt;=in_marketplace_from,(J585+K585)*d_hz*G585,0)</f>
        <v/>
      </c>
      <c r="R585" s="40">
        <f>SUMIFS(N557:N606,B557:B606,"&gt;="&amp;(B585-d_T),B557:B606,"&lt;="&amp;(B585-1))</f>
        <v/>
      </c>
      <c r="S585" s="46">
        <f>(1-d_u)*S584+IF(d_T&gt;in_topup_lag,SUMIFS(O557:O606,B557:B606,B585-in_topup_lag)-d_udrop*SUMIFS(O557:O606,B557:B606,B585-d_T),0)</f>
        <v/>
      </c>
      <c r="T585" s="40">
        <f>F585*d_u*S585</f>
        <v/>
      </c>
      <c r="U585" s="9">
        <f>L585*in_ticket+M585*d_rep_ticket</f>
        <v/>
      </c>
      <c r="V585" s="9">
        <f>U585+T585*d_topup_amt</f>
        <v/>
      </c>
      <c r="W585" s="40">
        <f>N585+T585*d_topup_ratio</f>
        <v/>
      </c>
      <c r="X585" s="40">
        <f>SUMIFS(W557:W606,B557:B606,B585-in_dpd_lag)*d_cured</f>
        <v/>
      </c>
      <c r="Y585" s="40">
        <f>SUMIFS(W557:W606,B557:B606,B585-in_rec_lag)*d_recd</f>
        <v/>
      </c>
      <c r="Z585" s="40">
        <f>IF(AND(B585&gt;=in_marketplace_from,B585&lt;in_marketplace_from+in_card_months),in_card_share/in_card_months*F585*I585,IF(AND(B585&gt;=in_marketplace_from+in_card_months,B585&lt;in_marketplace_from+2*in_card_months),in_card_share*d_card_rem/in_card_months*F585*MIN(in_takeup_cap,(1+in_takeup_growth)^(D585-1))*MIN(in_takeup_cap,(1+in_approval_growth)^(D585-1)),0))</f>
        <v/>
      </c>
      <c r="AA585" s="14">
        <f>V585*in_fee*(1-in_taken_back)</f>
        <v/>
      </c>
      <c r="AB585" s="14">
        <f>SUMIFS(W557:W606,B557:B606,B585-in_dpd_lag)*d_dpd</f>
        <v/>
      </c>
      <c r="AC585" s="14">
        <f>SUMIFS(W557:W606,B557:B606,B585-in_rec_lag)*d_rec</f>
        <v/>
      </c>
      <c r="AD585" s="14">
        <f>Z585*in_card_fee</f>
        <v/>
      </c>
      <c r="AE585" s="40">
        <f>AE584*(1-IF(B584&gt;=in_marketplace_from,d_hz_hlth_small*G584,0))</f>
        <v/>
      </c>
      <c r="AF585" s="46">
        <f>AE585*IF(B585&gt;=in_marketplace_from,d_hz_hlth_small*G585,0)</f>
        <v/>
      </c>
      <c r="AG585" s="14">
        <f>F585*AF585*in_hlth_small_ticket*in_hlth_small_comm*in_ins_partner_share+F585*in_hlth_small_ticket*in_hlth_small_renew_comm*in_ins_partner_share*(in_hlth_small_renew^1*SUMIFS(AF557:AF606,B557:B606,B585-12)+in_hlth_small_renew^2*SUMIFS(AF557:AF606,B557:B606,B585-24)+in_hlth_small_renew^3*SUMIFS(AF557:AF606,B557:B606,B585-36)+in_hlth_small_renew^4*SUMIFS(AF557:AF606,B557:B606,B585-48))</f>
        <v/>
      </c>
      <c r="AH585" s="40">
        <f>AH584*(1-IF(B584&gt;=in_marketplace_from,d_hz_hlth_family*G584,0))</f>
        <v/>
      </c>
      <c r="AI585" s="46">
        <f>AH585*IF(B585&gt;=in_marketplace_from,d_hz_hlth_family*G585,0)</f>
        <v/>
      </c>
      <c r="AJ585" s="14">
        <f>F585*AI585*in_hlth_family_ticket*in_hlth_family_comm*in_ins_partner_share+F585*in_hlth_family_ticket*in_hlth_family_renew_comm*in_ins_partner_share*(in_hlth_family_renew^1*SUMIFS(AI557:AI606,B557:B606,B585-12)+in_hlth_family_renew^2*SUMIFS(AI557:AI606,B557:B606,B585-24)+in_hlth_family_renew^3*SUMIFS(AI557:AI606,B557:B606,B585-36)+in_hlth_family_renew^4*SUMIFS(AI557:AI606,B557:B606,B585-48))</f>
        <v/>
      </c>
      <c r="AK585" s="40">
        <f>AK584*(1-IF(B584&gt;=in_marketplace_from,d_hz_life_term*G584,0))</f>
        <v/>
      </c>
      <c r="AL585" s="46">
        <f>AK585*IF(B585&gt;=in_marketplace_from,d_hz_life_term*G585,0)</f>
        <v/>
      </c>
      <c r="AM585" s="14">
        <f>F585*AL585*in_life_term_ticket*in_life_term_comm*in_ins_partner_share+F585*in_life_term_ticket*in_life_term_renew_comm*in_ins_partner_share*(in_life_term_renew^1*SUMIFS(AL557:AL606,B557:B606,B585-12)+in_life_term_renew^2*SUMIFS(AL557:AL606,B557:B606,B585-24)+in_life_term_renew^3*SUMIFS(AL557:AL606,B557:B606,B585-36)+in_life_term_renew^4*SUMIFS(AL557:AL606,B557:B606,B585-48))</f>
        <v/>
      </c>
      <c r="AN585" s="40">
        <f>AN584*(1-IF(B584&gt;=in_marketplace_from,d_hz_accident*G584,0))</f>
        <v/>
      </c>
      <c r="AO585" s="46">
        <f>AN585*IF(B585&gt;=in_marketplace_from,d_hz_accident*G585,0)</f>
        <v/>
      </c>
      <c r="AP585" s="14">
        <f>F585*AO585*in_accident_ticket*in_accident_comm*in_ins_partner_share+F585*in_accident_ticket*in_accident_renew_comm*in_ins_partner_share*(in_accident_renew^1*SUMIFS(AO557:AO606,B557:B606,B585-12)+in_accident_renew^2*SUMIFS(AO557:AO606,B557:B606,B585-24)+in_accident_renew^3*SUMIFS(AO557:AO606,B557:B606,B585-36)+in_accident_renew^4*SUMIFS(AO557:AO606,B557:B606,B585-48))</f>
        <v/>
      </c>
      <c r="AQ585" s="40">
        <f>AQ584*(1-IF(B584&gt;=in_marketplace_from,d_hz_two_wheeler*G584,0))</f>
        <v/>
      </c>
      <c r="AR585" s="46">
        <f>AQ585*IF(B585&gt;=in_marketplace_from,d_hz_two_wheeler*G585,0)</f>
        <v/>
      </c>
      <c r="AS585" s="14">
        <f>F585*AR585*in_two_wheeler_ticket*in_two_wheeler_comm*in_ins_partner_share+F585*in_two_wheeler_ticket*in_two_wheeler_comm*in_ins_partner_share*(in_two_wheeler_renew^1*SUMIFS(AR557:AR606,B557:B606,B585-12)+in_two_wheeler_renew^2*SUMIFS(AR557:AR606,B557:B606,B585-24)+in_two_wheeler_renew^3*SUMIFS(AR557:AR606,B557:B606,B585-36)+in_two_wheeler_renew^4*SUMIFS(AR557:AR606,B557:B606,B585-48))</f>
        <v/>
      </c>
      <c r="AT585" s="40">
        <f>AT584*(1-IF(B584&gt;=in_marketplace_from,d_hz_device*G584,0))</f>
        <v/>
      </c>
      <c r="AU585" s="14">
        <f>F585*AT585*IF(B585&gt;=in_marketplace_from,d_hz_device*G585,0)*in_device_ticket*in_device_comm*in_ins_partner_share</f>
        <v/>
      </c>
      <c r="AV585" s="40">
        <f>AV584*(1-IF(B584&gt;=in_marketplace_from,d_hz_shop*G584,0))</f>
        <v/>
      </c>
      <c r="AW585" s="46">
        <f>AV585*IF(B585&gt;=in_marketplace_from,d_hz_shop*G585,0)</f>
        <v/>
      </c>
      <c r="AX585" s="14">
        <f>F585*AW585*in_shop_ticket*in_shop_comm*in_ins_partner_share+F585*in_shop_ticket*in_shop_renew_comm*in_ins_partner_share*(in_shop_renew^1*SUMIFS(AW557:AW606,B557:B606,B585-12)+in_shop_renew^2*SUMIFS(AW557:AW606,B557:B606,B585-24)+in_shop_renew^3*SUMIFS(AW557:AW606,B557:B606,B585-36)+in_shop_renew^4*SUMIFS(AW557:AW606,B557:B606,B585-48))</f>
        <v/>
      </c>
      <c r="AY585" s="40">
        <f>AY584*(1-IF(B584&gt;=in_marketplace_from,d_hz_sip*G584,0))</f>
        <v/>
      </c>
      <c r="AZ585" s="40">
        <f>AZ584*d_rho_sip+AY585*IF(B585&gt;=in_marketplace_from,d_hz_sip*G585,0)</f>
        <v/>
      </c>
      <c r="BA585" s="40">
        <f>d_rho_sip*(BA584+AZ584)</f>
        <v/>
      </c>
      <c r="BB585" s="14">
        <f>F585*in_sip_ticket*(BA585+0.5*AZ585)*in_sip_comm/12</f>
        <v/>
      </c>
      <c r="BC585" s="40">
        <f>BC584*(1-IF(B584&gt;=in_marketplace_from,d_hz_choti*G584,0))</f>
        <v/>
      </c>
      <c r="BD585" s="46">
        <f>BC585*IF(B585&gt;=in_marketplace_from,d_hz_choti*G585,0)</f>
        <v/>
      </c>
      <c r="BE585" s="14">
        <f>F585*SUMIFS(BD557:BD606,B557:B606,B585-in_choti_months)*in_choti_renew*in_choti_ticket</f>
        <v/>
      </c>
      <c r="BF585" s="40">
        <f>BF584*(1-IF(B584&gt;=in_marketplace_from,d_hz_nps*G584,0))</f>
        <v/>
      </c>
      <c r="BG585" s="14">
        <f>F585*BF585*IF(B585&gt;=in_marketplace_from,d_hz_nps*G585,0)*in_nps_ticket*in_nps_comm</f>
        <v/>
      </c>
      <c r="BH585" s="40">
        <f>BH584*(1-IF(B584&gt;=in_marketplace_from,d_hz_gold*G584,0))</f>
        <v/>
      </c>
      <c r="BI585" s="40">
        <f>BI584*d_rho_gold+BH585*IF(B585&gt;=in_marketplace_from,d_hz_gold*G585,0)</f>
        <v/>
      </c>
      <c r="BJ585" s="14">
        <f>F585*BI585*in_gold_ticket*in_gold_comm</f>
        <v/>
      </c>
      <c r="BK585" s="40">
        <f>BK584*(1-IF(B584&gt;=in_marketplace_from,d_hz_fd*G584,0))</f>
        <v/>
      </c>
      <c r="BL585" s="14">
        <f>F585*BK585*IF(B585&gt;=in_marketplace_from,d_hz_fd*G585,0)*in_fd_ticket*in_fd_comm</f>
        <v/>
      </c>
      <c r="BM585" s="40">
        <f>BM584*(1-IF(B584&gt;=in_marketplace_from,d_hz_recharge*G584,0))</f>
        <v/>
      </c>
      <c r="BN585" s="40">
        <f>BN584*d_rho_recharge+BM585*IF(B585&gt;=in_marketplace_from,d_hz_recharge*G585,0)</f>
        <v/>
      </c>
      <c r="BO585" s="14">
        <f>F585*BN585*in_recharge_ticket*in_recharge_comm/12</f>
        <v/>
      </c>
      <c r="BP585" s="40">
        <f>BP584*(1-IF(B584&gt;=in_marketplace_from,d_hz_bills*G584,0))</f>
        <v/>
      </c>
      <c r="BQ585" s="40">
        <f>BQ584*d_rho_bills+BP585*IF(B585&gt;=in_marketplace_from,d_hz_bills*G585,0)</f>
        <v/>
      </c>
      <c r="BR585" s="14">
        <f>F585*BQ585*in_bills_ticket*in_bills_comm/12</f>
        <v/>
      </c>
      <c r="BS585" s="40">
        <f>BS584*(1-IF(B584&gt;=in_marketplace_from,d_hz_loan_gold*G584,0))</f>
        <v/>
      </c>
      <c r="BT585" s="14">
        <f>F585*BS585*IF(B585&gt;=in_marketplace_from,d_hz_loan_gold*G585,0)*in_loan_gold_ticket*in_loan_gold_comm</f>
        <v/>
      </c>
      <c r="BU585" s="40">
        <f>BU584*(1-IF(B584&gt;=in_marketplace_from,d_hz_loan_cd*G584,0))</f>
        <v/>
      </c>
      <c r="BV585" s="14">
        <f>F585*BU585*IF(B585&gt;=in_marketplace_from,d_hz_loan_cd*G585,0)*in_loan_cd_ticket*in_loan_cd_comm</f>
        <v/>
      </c>
      <c r="BW585" s="40">
        <f>BW584*(1-IF(B584&gt;=in_marketplace_from,d_hz_loan_vehicle*G584,0))</f>
        <v/>
      </c>
      <c r="BX585" s="14">
        <f>F585*BW585*IF(B585&gt;=in_marketplace_from,d_hz_loan_vehicle*G585,0)*in_loan_vehicle_ticket*in_loan_vehicle_comm</f>
        <v/>
      </c>
      <c r="BY585" s="40">
        <f>BY584*(1-IF(B584&gt;=in_marketplace_from,d_hz_loan_home*G584,0)*BZ584)</f>
        <v/>
      </c>
      <c r="BZ585" s="11">
        <f>MIN(in_approval_cap,in_loan_home_approval*INDEX('Age profile'!$O$2:$O$61,B585)*(1+in_approval_growth)^(D585-1))</f>
        <v/>
      </c>
      <c r="CA585" s="14">
        <f>F585*BY585*IF(B585&gt;=in_marketplace_from,d_hz_loan_home*G585,0)*BZ585*in_loan_home_ticket*in_loan_home_comm</f>
        <v/>
      </c>
      <c r="CB585" s="40">
        <f>CB584*(1-IF(B584&gt;=in_marketplace_from,d_hz_loan_lap*G584,0)*CC584)</f>
        <v/>
      </c>
      <c r="CC585" s="11">
        <f>MIN(in_approval_cap,in_loan_lap_approval*INDEX('Age profile'!$O$2:$O$61,B585)*(1+in_approval_growth)^(D585-1))</f>
        <v/>
      </c>
      <c r="CD585" s="14">
        <f>F585*CB585*IF(B585&gt;=in_marketplace_from,d_hz_loan_lap*G585,0)*CC585*in_loan_lap_ticket*in_loan_lap_comm</f>
        <v/>
      </c>
      <c r="CE585" s="14">
        <f>AA585+AB585+AC585+AD585+AG585+AJ585+AM585+AP585+AS585+AU585+AX585+BB585+BE585+BG585+BJ585+BL585+BO585+BR585+BT585+BV585+BX585+CA585+CD585</f>
        <v/>
      </c>
    </row>
    <row r="586">
      <c r="A586" s="39" t="n">
        <v>11</v>
      </c>
      <c r="B586" s="39" t="n">
        <v>30</v>
      </c>
      <c r="C586" s="39">
        <f>A586+B586-1</f>
        <v/>
      </c>
      <c r="D586" s="39">
        <f>INT((C586-1)/12)+1</f>
        <v/>
      </c>
      <c r="E586" s="44">
        <f>INDEX(Monthly!$B$2:$B$61,A586)</f>
        <v/>
      </c>
      <c r="F586" s="44">
        <f>E586*INDEX('Age profile'!$B$2:$B$61,B586)</f>
        <v/>
      </c>
      <c r="G586" s="45">
        <f>MIN(in_takeup_cap,INDEX('Age profile'!$N$2:$N$61,B586)*(1+in_takeup_growth)^(D586-1))</f>
        <v/>
      </c>
      <c r="H586" s="11">
        <f>MIN(in_approval_cap,in_approved_first*INDEX('Age profile'!$O$2:$O$61,B586)*(1+in_approval_growth)^(D586-1))</f>
        <v/>
      </c>
      <c r="I586" s="45">
        <f>G586*MIN(in_takeup_cap,INDEX('Age profile'!$O$2:$O$61,B586)*(1+in_approval_growth)^(D586-1))</f>
        <v/>
      </c>
      <c r="J586" s="40">
        <f>(J585-L585)*F586/F585</f>
        <v/>
      </c>
      <c r="K586" s="40">
        <f>(K585-M585)*F586/F585+SUMIFS(O557:O585,B557:B585,B586-1-d_T)*F586</f>
        <v/>
      </c>
      <c r="L586" s="40">
        <f>IF(B586&gt;=in_marketplace_from,J586*d_hz*G586*in_eligible*H586,0)</f>
        <v/>
      </c>
      <c r="M586" s="40">
        <f>IF(B586&gt;=in_marketplace_from,K586*d_hz*G586*in_eligible*in_approved_repeat,0)</f>
        <v/>
      </c>
      <c r="N586" s="40">
        <f>L586+M586</f>
        <v/>
      </c>
      <c r="O586" s="46">
        <f>N586/F586</f>
        <v/>
      </c>
      <c r="P586" s="40">
        <f>F586-J586-K586</f>
        <v/>
      </c>
      <c r="Q586" s="40">
        <f>IF(B586&gt;=in_marketplace_from,(J586+K586)*d_hz*G586,0)</f>
        <v/>
      </c>
      <c r="R586" s="40">
        <f>SUMIFS(N557:N606,B557:B606,"&gt;="&amp;(B586-d_T),B557:B606,"&lt;="&amp;(B586-1))</f>
        <v/>
      </c>
      <c r="S586" s="46">
        <f>(1-d_u)*S585+IF(d_T&gt;in_topup_lag,SUMIFS(O557:O606,B557:B606,B586-in_topup_lag)-d_udrop*SUMIFS(O557:O606,B557:B606,B586-d_T),0)</f>
        <v/>
      </c>
      <c r="T586" s="40">
        <f>F586*d_u*S586</f>
        <v/>
      </c>
      <c r="U586" s="9">
        <f>L586*in_ticket+M586*d_rep_ticket</f>
        <v/>
      </c>
      <c r="V586" s="9">
        <f>U586+T586*d_topup_amt</f>
        <v/>
      </c>
      <c r="W586" s="40">
        <f>N586+T586*d_topup_ratio</f>
        <v/>
      </c>
      <c r="X586" s="40">
        <f>SUMIFS(W557:W606,B557:B606,B586-in_dpd_lag)*d_cured</f>
        <v/>
      </c>
      <c r="Y586" s="40">
        <f>SUMIFS(W557:W606,B557:B606,B586-in_rec_lag)*d_recd</f>
        <v/>
      </c>
      <c r="Z586" s="40">
        <f>IF(AND(B586&gt;=in_marketplace_from,B586&lt;in_marketplace_from+in_card_months),in_card_share/in_card_months*F586*I586,IF(AND(B586&gt;=in_marketplace_from+in_card_months,B586&lt;in_marketplace_from+2*in_card_months),in_card_share*d_card_rem/in_card_months*F586*MIN(in_takeup_cap,(1+in_takeup_growth)^(D586-1))*MIN(in_takeup_cap,(1+in_approval_growth)^(D586-1)),0))</f>
        <v/>
      </c>
      <c r="AA586" s="14">
        <f>V586*in_fee*(1-in_taken_back)</f>
        <v/>
      </c>
      <c r="AB586" s="14">
        <f>SUMIFS(W557:W606,B557:B606,B586-in_dpd_lag)*d_dpd</f>
        <v/>
      </c>
      <c r="AC586" s="14">
        <f>SUMIFS(W557:W606,B557:B606,B586-in_rec_lag)*d_rec</f>
        <v/>
      </c>
      <c r="AD586" s="14">
        <f>Z586*in_card_fee</f>
        <v/>
      </c>
      <c r="AE586" s="40">
        <f>AE585*(1-IF(B585&gt;=in_marketplace_from,d_hz_hlth_small*G585,0))</f>
        <v/>
      </c>
      <c r="AF586" s="46">
        <f>AE586*IF(B586&gt;=in_marketplace_from,d_hz_hlth_small*G586,0)</f>
        <v/>
      </c>
      <c r="AG586" s="14">
        <f>F586*AF586*in_hlth_small_ticket*in_hlth_small_comm*in_ins_partner_share+F586*in_hlth_small_ticket*in_hlth_small_renew_comm*in_ins_partner_share*(in_hlth_small_renew^1*SUMIFS(AF557:AF606,B557:B606,B586-12)+in_hlth_small_renew^2*SUMIFS(AF557:AF606,B557:B606,B586-24)+in_hlth_small_renew^3*SUMIFS(AF557:AF606,B557:B606,B586-36)+in_hlth_small_renew^4*SUMIFS(AF557:AF606,B557:B606,B586-48))</f>
        <v/>
      </c>
      <c r="AH586" s="40">
        <f>AH585*(1-IF(B585&gt;=in_marketplace_from,d_hz_hlth_family*G585,0))</f>
        <v/>
      </c>
      <c r="AI586" s="46">
        <f>AH586*IF(B586&gt;=in_marketplace_from,d_hz_hlth_family*G586,0)</f>
        <v/>
      </c>
      <c r="AJ586" s="14">
        <f>F586*AI586*in_hlth_family_ticket*in_hlth_family_comm*in_ins_partner_share+F586*in_hlth_family_ticket*in_hlth_family_renew_comm*in_ins_partner_share*(in_hlth_family_renew^1*SUMIFS(AI557:AI606,B557:B606,B586-12)+in_hlth_family_renew^2*SUMIFS(AI557:AI606,B557:B606,B586-24)+in_hlth_family_renew^3*SUMIFS(AI557:AI606,B557:B606,B586-36)+in_hlth_family_renew^4*SUMIFS(AI557:AI606,B557:B606,B586-48))</f>
        <v/>
      </c>
      <c r="AK586" s="40">
        <f>AK585*(1-IF(B585&gt;=in_marketplace_from,d_hz_life_term*G585,0))</f>
        <v/>
      </c>
      <c r="AL586" s="46">
        <f>AK586*IF(B586&gt;=in_marketplace_from,d_hz_life_term*G586,0)</f>
        <v/>
      </c>
      <c r="AM586" s="14">
        <f>F586*AL586*in_life_term_ticket*in_life_term_comm*in_ins_partner_share+F586*in_life_term_ticket*in_life_term_renew_comm*in_ins_partner_share*(in_life_term_renew^1*SUMIFS(AL557:AL606,B557:B606,B586-12)+in_life_term_renew^2*SUMIFS(AL557:AL606,B557:B606,B586-24)+in_life_term_renew^3*SUMIFS(AL557:AL606,B557:B606,B586-36)+in_life_term_renew^4*SUMIFS(AL557:AL606,B557:B606,B586-48))</f>
        <v/>
      </c>
      <c r="AN586" s="40">
        <f>AN585*(1-IF(B585&gt;=in_marketplace_from,d_hz_accident*G585,0))</f>
        <v/>
      </c>
      <c r="AO586" s="46">
        <f>AN586*IF(B586&gt;=in_marketplace_from,d_hz_accident*G586,0)</f>
        <v/>
      </c>
      <c r="AP586" s="14">
        <f>F586*AO586*in_accident_ticket*in_accident_comm*in_ins_partner_share+F586*in_accident_ticket*in_accident_renew_comm*in_ins_partner_share*(in_accident_renew^1*SUMIFS(AO557:AO606,B557:B606,B586-12)+in_accident_renew^2*SUMIFS(AO557:AO606,B557:B606,B586-24)+in_accident_renew^3*SUMIFS(AO557:AO606,B557:B606,B586-36)+in_accident_renew^4*SUMIFS(AO557:AO606,B557:B606,B586-48))</f>
        <v/>
      </c>
      <c r="AQ586" s="40">
        <f>AQ585*(1-IF(B585&gt;=in_marketplace_from,d_hz_two_wheeler*G585,0))</f>
        <v/>
      </c>
      <c r="AR586" s="46">
        <f>AQ586*IF(B586&gt;=in_marketplace_from,d_hz_two_wheeler*G586,0)</f>
        <v/>
      </c>
      <c r="AS586" s="14">
        <f>F586*AR586*in_two_wheeler_ticket*in_two_wheeler_comm*in_ins_partner_share+F586*in_two_wheeler_ticket*in_two_wheeler_comm*in_ins_partner_share*(in_two_wheeler_renew^1*SUMIFS(AR557:AR606,B557:B606,B586-12)+in_two_wheeler_renew^2*SUMIFS(AR557:AR606,B557:B606,B586-24)+in_two_wheeler_renew^3*SUMIFS(AR557:AR606,B557:B606,B586-36)+in_two_wheeler_renew^4*SUMIFS(AR557:AR606,B557:B606,B586-48))</f>
        <v/>
      </c>
      <c r="AT586" s="40">
        <f>AT585*(1-IF(B585&gt;=in_marketplace_from,d_hz_device*G585,0))</f>
        <v/>
      </c>
      <c r="AU586" s="14">
        <f>F586*AT586*IF(B586&gt;=in_marketplace_from,d_hz_device*G586,0)*in_device_ticket*in_device_comm*in_ins_partner_share</f>
        <v/>
      </c>
      <c r="AV586" s="40">
        <f>AV585*(1-IF(B585&gt;=in_marketplace_from,d_hz_shop*G585,0))</f>
        <v/>
      </c>
      <c r="AW586" s="46">
        <f>AV586*IF(B586&gt;=in_marketplace_from,d_hz_shop*G586,0)</f>
        <v/>
      </c>
      <c r="AX586" s="14">
        <f>F586*AW586*in_shop_ticket*in_shop_comm*in_ins_partner_share+F586*in_shop_ticket*in_shop_renew_comm*in_ins_partner_share*(in_shop_renew^1*SUMIFS(AW557:AW606,B557:B606,B586-12)+in_shop_renew^2*SUMIFS(AW557:AW606,B557:B606,B586-24)+in_shop_renew^3*SUMIFS(AW557:AW606,B557:B606,B586-36)+in_shop_renew^4*SUMIFS(AW557:AW606,B557:B606,B586-48))</f>
        <v/>
      </c>
      <c r="AY586" s="40">
        <f>AY585*(1-IF(B585&gt;=in_marketplace_from,d_hz_sip*G585,0))</f>
        <v/>
      </c>
      <c r="AZ586" s="40">
        <f>AZ585*d_rho_sip+AY586*IF(B586&gt;=in_marketplace_from,d_hz_sip*G586,0)</f>
        <v/>
      </c>
      <c r="BA586" s="40">
        <f>d_rho_sip*(BA585+AZ585)</f>
        <v/>
      </c>
      <c r="BB586" s="14">
        <f>F586*in_sip_ticket*(BA586+0.5*AZ586)*in_sip_comm/12</f>
        <v/>
      </c>
      <c r="BC586" s="40">
        <f>BC585*(1-IF(B585&gt;=in_marketplace_from,d_hz_choti*G585,0))</f>
        <v/>
      </c>
      <c r="BD586" s="46">
        <f>BC586*IF(B586&gt;=in_marketplace_from,d_hz_choti*G586,0)</f>
        <v/>
      </c>
      <c r="BE586" s="14">
        <f>F586*SUMIFS(BD557:BD606,B557:B606,B586-in_choti_months)*in_choti_renew*in_choti_ticket</f>
        <v/>
      </c>
      <c r="BF586" s="40">
        <f>BF585*(1-IF(B585&gt;=in_marketplace_from,d_hz_nps*G585,0))</f>
        <v/>
      </c>
      <c r="BG586" s="14">
        <f>F586*BF586*IF(B586&gt;=in_marketplace_from,d_hz_nps*G586,0)*in_nps_ticket*in_nps_comm</f>
        <v/>
      </c>
      <c r="BH586" s="40">
        <f>BH585*(1-IF(B585&gt;=in_marketplace_from,d_hz_gold*G585,0))</f>
        <v/>
      </c>
      <c r="BI586" s="40">
        <f>BI585*d_rho_gold+BH586*IF(B586&gt;=in_marketplace_from,d_hz_gold*G586,0)</f>
        <v/>
      </c>
      <c r="BJ586" s="14">
        <f>F586*BI586*in_gold_ticket*in_gold_comm</f>
        <v/>
      </c>
      <c r="BK586" s="40">
        <f>BK585*(1-IF(B585&gt;=in_marketplace_from,d_hz_fd*G585,0))</f>
        <v/>
      </c>
      <c r="BL586" s="14">
        <f>F586*BK586*IF(B586&gt;=in_marketplace_from,d_hz_fd*G586,0)*in_fd_ticket*in_fd_comm</f>
        <v/>
      </c>
      <c r="BM586" s="40">
        <f>BM585*(1-IF(B585&gt;=in_marketplace_from,d_hz_recharge*G585,0))</f>
        <v/>
      </c>
      <c r="BN586" s="40">
        <f>BN585*d_rho_recharge+BM586*IF(B586&gt;=in_marketplace_from,d_hz_recharge*G586,0)</f>
        <v/>
      </c>
      <c r="BO586" s="14">
        <f>F586*BN586*in_recharge_ticket*in_recharge_comm/12</f>
        <v/>
      </c>
      <c r="BP586" s="40">
        <f>BP585*(1-IF(B585&gt;=in_marketplace_from,d_hz_bills*G585,0))</f>
        <v/>
      </c>
      <c r="BQ586" s="40">
        <f>BQ585*d_rho_bills+BP586*IF(B586&gt;=in_marketplace_from,d_hz_bills*G586,0)</f>
        <v/>
      </c>
      <c r="BR586" s="14">
        <f>F586*BQ586*in_bills_ticket*in_bills_comm/12</f>
        <v/>
      </c>
      <c r="BS586" s="40">
        <f>BS585*(1-IF(B585&gt;=in_marketplace_from,d_hz_loan_gold*G585,0))</f>
        <v/>
      </c>
      <c r="BT586" s="14">
        <f>F586*BS586*IF(B586&gt;=in_marketplace_from,d_hz_loan_gold*G586,0)*in_loan_gold_ticket*in_loan_gold_comm</f>
        <v/>
      </c>
      <c r="BU586" s="40">
        <f>BU585*(1-IF(B585&gt;=in_marketplace_from,d_hz_loan_cd*G585,0))</f>
        <v/>
      </c>
      <c r="BV586" s="14">
        <f>F586*BU586*IF(B586&gt;=in_marketplace_from,d_hz_loan_cd*G586,0)*in_loan_cd_ticket*in_loan_cd_comm</f>
        <v/>
      </c>
      <c r="BW586" s="40">
        <f>BW585*(1-IF(B585&gt;=in_marketplace_from,d_hz_loan_vehicle*G585,0))</f>
        <v/>
      </c>
      <c r="BX586" s="14">
        <f>F586*BW586*IF(B586&gt;=in_marketplace_from,d_hz_loan_vehicle*G586,0)*in_loan_vehicle_ticket*in_loan_vehicle_comm</f>
        <v/>
      </c>
      <c r="BY586" s="40">
        <f>BY585*(1-IF(B585&gt;=in_marketplace_from,d_hz_loan_home*G585,0)*BZ585)</f>
        <v/>
      </c>
      <c r="BZ586" s="11">
        <f>MIN(in_approval_cap,in_loan_home_approval*INDEX('Age profile'!$O$2:$O$61,B586)*(1+in_approval_growth)^(D586-1))</f>
        <v/>
      </c>
      <c r="CA586" s="14">
        <f>F586*BY586*IF(B586&gt;=in_marketplace_from,d_hz_loan_home*G586,0)*BZ586*in_loan_home_ticket*in_loan_home_comm</f>
        <v/>
      </c>
      <c r="CB586" s="40">
        <f>CB585*(1-IF(B585&gt;=in_marketplace_from,d_hz_loan_lap*G585,0)*CC585)</f>
        <v/>
      </c>
      <c r="CC586" s="11">
        <f>MIN(in_approval_cap,in_loan_lap_approval*INDEX('Age profile'!$O$2:$O$61,B586)*(1+in_approval_growth)^(D586-1))</f>
        <v/>
      </c>
      <c r="CD586" s="14">
        <f>F586*CB586*IF(B586&gt;=in_marketplace_from,d_hz_loan_lap*G586,0)*CC586*in_loan_lap_ticket*in_loan_lap_comm</f>
        <v/>
      </c>
      <c r="CE586" s="14">
        <f>AA586+AB586+AC586+AD586+AG586+AJ586+AM586+AP586+AS586+AU586+AX586+BB586+BE586+BG586+BJ586+BL586+BO586+BR586+BT586+BV586+BX586+CA586+CD586</f>
        <v/>
      </c>
    </row>
    <row r="587">
      <c r="A587" s="39" t="n">
        <v>11</v>
      </c>
      <c r="B587" s="39" t="n">
        <v>31</v>
      </c>
      <c r="C587" s="39">
        <f>A587+B587-1</f>
        <v/>
      </c>
      <c r="D587" s="39">
        <f>INT((C587-1)/12)+1</f>
        <v/>
      </c>
      <c r="E587" s="44">
        <f>INDEX(Monthly!$B$2:$B$61,A587)</f>
        <v/>
      </c>
      <c r="F587" s="44">
        <f>E587*INDEX('Age profile'!$B$2:$B$61,B587)</f>
        <v/>
      </c>
      <c r="G587" s="45">
        <f>MIN(in_takeup_cap,INDEX('Age profile'!$N$2:$N$61,B587)*(1+in_takeup_growth)^(D587-1))</f>
        <v/>
      </c>
      <c r="H587" s="11">
        <f>MIN(in_approval_cap,in_approved_first*INDEX('Age profile'!$O$2:$O$61,B587)*(1+in_approval_growth)^(D587-1))</f>
        <v/>
      </c>
      <c r="I587" s="45">
        <f>G587*MIN(in_takeup_cap,INDEX('Age profile'!$O$2:$O$61,B587)*(1+in_approval_growth)^(D587-1))</f>
        <v/>
      </c>
      <c r="J587" s="40">
        <f>(J586-L586)*F587/F586</f>
        <v/>
      </c>
      <c r="K587" s="40">
        <f>(K586-M586)*F587/F586+SUMIFS(O557:O586,B557:B586,B587-1-d_T)*F587</f>
        <v/>
      </c>
      <c r="L587" s="40">
        <f>IF(B587&gt;=in_marketplace_from,J587*d_hz*G587*in_eligible*H587,0)</f>
        <v/>
      </c>
      <c r="M587" s="40">
        <f>IF(B587&gt;=in_marketplace_from,K587*d_hz*G587*in_eligible*in_approved_repeat,0)</f>
        <v/>
      </c>
      <c r="N587" s="40">
        <f>L587+M587</f>
        <v/>
      </c>
      <c r="O587" s="46">
        <f>N587/F587</f>
        <v/>
      </c>
      <c r="P587" s="40">
        <f>F587-J587-K587</f>
        <v/>
      </c>
      <c r="Q587" s="40">
        <f>IF(B587&gt;=in_marketplace_from,(J587+K587)*d_hz*G587,0)</f>
        <v/>
      </c>
      <c r="R587" s="40">
        <f>SUMIFS(N557:N606,B557:B606,"&gt;="&amp;(B587-d_T),B557:B606,"&lt;="&amp;(B587-1))</f>
        <v/>
      </c>
      <c r="S587" s="46">
        <f>(1-d_u)*S586+IF(d_T&gt;in_topup_lag,SUMIFS(O557:O606,B557:B606,B587-in_topup_lag)-d_udrop*SUMIFS(O557:O606,B557:B606,B587-d_T),0)</f>
        <v/>
      </c>
      <c r="T587" s="40">
        <f>F587*d_u*S587</f>
        <v/>
      </c>
      <c r="U587" s="9">
        <f>L587*in_ticket+M587*d_rep_ticket</f>
        <v/>
      </c>
      <c r="V587" s="9">
        <f>U587+T587*d_topup_amt</f>
        <v/>
      </c>
      <c r="W587" s="40">
        <f>N587+T587*d_topup_ratio</f>
        <v/>
      </c>
      <c r="X587" s="40">
        <f>SUMIFS(W557:W606,B557:B606,B587-in_dpd_lag)*d_cured</f>
        <v/>
      </c>
      <c r="Y587" s="40">
        <f>SUMIFS(W557:W606,B557:B606,B587-in_rec_lag)*d_recd</f>
        <v/>
      </c>
      <c r="Z587" s="40">
        <f>IF(AND(B587&gt;=in_marketplace_from,B587&lt;in_marketplace_from+in_card_months),in_card_share/in_card_months*F587*I587,IF(AND(B587&gt;=in_marketplace_from+in_card_months,B587&lt;in_marketplace_from+2*in_card_months),in_card_share*d_card_rem/in_card_months*F587*MIN(in_takeup_cap,(1+in_takeup_growth)^(D587-1))*MIN(in_takeup_cap,(1+in_approval_growth)^(D587-1)),0))</f>
        <v/>
      </c>
      <c r="AA587" s="14">
        <f>V587*in_fee*(1-in_taken_back)</f>
        <v/>
      </c>
      <c r="AB587" s="14">
        <f>SUMIFS(W557:W606,B557:B606,B587-in_dpd_lag)*d_dpd</f>
        <v/>
      </c>
      <c r="AC587" s="14">
        <f>SUMIFS(W557:W606,B557:B606,B587-in_rec_lag)*d_rec</f>
        <v/>
      </c>
      <c r="AD587" s="14">
        <f>Z587*in_card_fee</f>
        <v/>
      </c>
      <c r="AE587" s="40">
        <f>AE586*(1-IF(B586&gt;=in_marketplace_from,d_hz_hlth_small*G586,0))</f>
        <v/>
      </c>
      <c r="AF587" s="46">
        <f>AE587*IF(B587&gt;=in_marketplace_from,d_hz_hlth_small*G587,0)</f>
        <v/>
      </c>
      <c r="AG587" s="14">
        <f>F587*AF587*in_hlth_small_ticket*in_hlth_small_comm*in_ins_partner_share+F587*in_hlth_small_ticket*in_hlth_small_renew_comm*in_ins_partner_share*(in_hlth_small_renew^1*SUMIFS(AF557:AF606,B557:B606,B587-12)+in_hlth_small_renew^2*SUMIFS(AF557:AF606,B557:B606,B587-24)+in_hlth_small_renew^3*SUMIFS(AF557:AF606,B557:B606,B587-36)+in_hlth_small_renew^4*SUMIFS(AF557:AF606,B557:B606,B587-48))</f>
        <v/>
      </c>
      <c r="AH587" s="40">
        <f>AH586*(1-IF(B586&gt;=in_marketplace_from,d_hz_hlth_family*G586,0))</f>
        <v/>
      </c>
      <c r="AI587" s="46">
        <f>AH587*IF(B587&gt;=in_marketplace_from,d_hz_hlth_family*G587,0)</f>
        <v/>
      </c>
      <c r="AJ587" s="14">
        <f>F587*AI587*in_hlth_family_ticket*in_hlth_family_comm*in_ins_partner_share+F587*in_hlth_family_ticket*in_hlth_family_renew_comm*in_ins_partner_share*(in_hlth_family_renew^1*SUMIFS(AI557:AI606,B557:B606,B587-12)+in_hlth_family_renew^2*SUMIFS(AI557:AI606,B557:B606,B587-24)+in_hlth_family_renew^3*SUMIFS(AI557:AI606,B557:B606,B587-36)+in_hlth_family_renew^4*SUMIFS(AI557:AI606,B557:B606,B587-48))</f>
        <v/>
      </c>
      <c r="AK587" s="40">
        <f>AK586*(1-IF(B586&gt;=in_marketplace_from,d_hz_life_term*G586,0))</f>
        <v/>
      </c>
      <c r="AL587" s="46">
        <f>AK587*IF(B587&gt;=in_marketplace_from,d_hz_life_term*G587,0)</f>
        <v/>
      </c>
      <c r="AM587" s="14">
        <f>F587*AL587*in_life_term_ticket*in_life_term_comm*in_ins_partner_share+F587*in_life_term_ticket*in_life_term_renew_comm*in_ins_partner_share*(in_life_term_renew^1*SUMIFS(AL557:AL606,B557:B606,B587-12)+in_life_term_renew^2*SUMIFS(AL557:AL606,B557:B606,B587-24)+in_life_term_renew^3*SUMIFS(AL557:AL606,B557:B606,B587-36)+in_life_term_renew^4*SUMIFS(AL557:AL606,B557:B606,B587-48))</f>
        <v/>
      </c>
      <c r="AN587" s="40">
        <f>AN586*(1-IF(B586&gt;=in_marketplace_from,d_hz_accident*G586,0))</f>
        <v/>
      </c>
      <c r="AO587" s="46">
        <f>AN587*IF(B587&gt;=in_marketplace_from,d_hz_accident*G587,0)</f>
        <v/>
      </c>
      <c r="AP587" s="14">
        <f>F587*AO587*in_accident_ticket*in_accident_comm*in_ins_partner_share+F587*in_accident_ticket*in_accident_renew_comm*in_ins_partner_share*(in_accident_renew^1*SUMIFS(AO557:AO606,B557:B606,B587-12)+in_accident_renew^2*SUMIFS(AO557:AO606,B557:B606,B587-24)+in_accident_renew^3*SUMIFS(AO557:AO606,B557:B606,B587-36)+in_accident_renew^4*SUMIFS(AO557:AO606,B557:B606,B587-48))</f>
        <v/>
      </c>
      <c r="AQ587" s="40">
        <f>AQ586*(1-IF(B586&gt;=in_marketplace_from,d_hz_two_wheeler*G586,0))</f>
        <v/>
      </c>
      <c r="AR587" s="46">
        <f>AQ587*IF(B587&gt;=in_marketplace_from,d_hz_two_wheeler*G587,0)</f>
        <v/>
      </c>
      <c r="AS587" s="14">
        <f>F587*AR587*in_two_wheeler_ticket*in_two_wheeler_comm*in_ins_partner_share+F587*in_two_wheeler_ticket*in_two_wheeler_comm*in_ins_partner_share*(in_two_wheeler_renew^1*SUMIFS(AR557:AR606,B557:B606,B587-12)+in_two_wheeler_renew^2*SUMIFS(AR557:AR606,B557:B606,B587-24)+in_two_wheeler_renew^3*SUMIFS(AR557:AR606,B557:B606,B587-36)+in_two_wheeler_renew^4*SUMIFS(AR557:AR606,B557:B606,B587-48))</f>
        <v/>
      </c>
      <c r="AT587" s="40">
        <f>AT586*(1-IF(B586&gt;=in_marketplace_from,d_hz_device*G586,0))</f>
        <v/>
      </c>
      <c r="AU587" s="14">
        <f>F587*AT587*IF(B587&gt;=in_marketplace_from,d_hz_device*G587,0)*in_device_ticket*in_device_comm*in_ins_partner_share</f>
        <v/>
      </c>
      <c r="AV587" s="40">
        <f>AV586*(1-IF(B586&gt;=in_marketplace_from,d_hz_shop*G586,0))</f>
        <v/>
      </c>
      <c r="AW587" s="46">
        <f>AV587*IF(B587&gt;=in_marketplace_from,d_hz_shop*G587,0)</f>
        <v/>
      </c>
      <c r="AX587" s="14">
        <f>F587*AW587*in_shop_ticket*in_shop_comm*in_ins_partner_share+F587*in_shop_ticket*in_shop_renew_comm*in_ins_partner_share*(in_shop_renew^1*SUMIFS(AW557:AW606,B557:B606,B587-12)+in_shop_renew^2*SUMIFS(AW557:AW606,B557:B606,B587-24)+in_shop_renew^3*SUMIFS(AW557:AW606,B557:B606,B587-36)+in_shop_renew^4*SUMIFS(AW557:AW606,B557:B606,B587-48))</f>
        <v/>
      </c>
      <c r="AY587" s="40">
        <f>AY586*(1-IF(B586&gt;=in_marketplace_from,d_hz_sip*G586,0))</f>
        <v/>
      </c>
      <c r="AZ587" s="40">
        <f>AZ586*d_rho_sip+AY587*IF(B587&gt;=in_marketplace_from,d_hz_sip*G587,0)</f>
        <v/>
      </c>
      <c r="BA587" s="40">
        <f>d_rho_sip*(BA586+AZ586)</f>
        <v/>
      </c>
      <c r="BB587" s="14">
        <f>F587*in_sip_ticket*(BA587+0.5*AZ587)*in_sip_comm/12</f>
        <v/>
      </c>
      <c r="BC587" s="40">
        <f>BC586*(1-IF(B586&gt;=in_marketplace_from,d_hz_choti*G586,0))</f>
        <v/>
      </c>
      <c r="BD587" s="46">
        <f>BC587*IF(B587&gt;=in_marketplace_from,d_hz_choti*G587,0)</f>
        <v/>
      </c>
      <c r="BE587" s="14">
        <f>F587*SUMIFS(BD557:BD606,B557:B606,B587-in_choti_months)*in_choti_renew*in_choti_ticket</f>
        <v/>
      </c>
      <c r="BF587" s="40">
        <f>BF586*(1-IF(B586&gt;=in_marketplace_from,d_hz_nps*G586,0))</f>
        <v/>
      </c>
      <c r="BG587" s="14">
        <f>F587*BF587*IF(B587&gt;=in_marketplace_from,d_hz_nps*G587,0)*in_nps_ticket*in_nps_comm</f>
        <v/>
      </c>
      <c r="BH587" s="40">
        <f>BH586*(1-IF(B586&gt;=in_marketplace_from,d_hz_gold*G586,0))</f>
        <v/>
      </c>
      <c r="BI587" s="40">
        <f>BI586*d_rho_gold+BH587*IF(B587&gt;=in_marketplace_from,d_hz_gold*G587,0)</f>
        <v/>
      </c>
      <c r="BJ587" s="14">
        <f>F587*BI587*in_gold_ticket*in_gold_comm</f>
        <v/>
      </c>
      <c r="BK587" s="40">
        <f>BK586*(1-IF(B586&gt;=in_marketplace_from,d_hz_fd*G586,0))</f>
        <v/>
      </c>
      <c r="BL587" s="14">
        <f>F587*BK587*IF(B587&gt;=in_marketplace_from,d_hz_fd*G587,0)*in_fd_ticket*in_fd_comm</f>
        <v/>
      </c>
      <c r="BM587" s="40">
        <f>BM586*(1-IF(B586&gt;=in_marketplace_from,d_hz_recharge*G586,0))</f>
        <v/>
      </c>
      <c r="BN587" s="40">
        <f>BN586*d_rho_recharge+BM587*IF(B587&gt;=in_marketplace_from,d_hz_recharge*G587,0)</f>
        <v/>
      </c>
      <c r="BO587" s="14">
        <f>F587*BN587*in_recharge_ticket*in_recharge_comm/12</f>
        <v/>
      </c>
      <c r="BP587" s="40">
        <f>BP586*(1-IF(B586&gt;=in_marketplace_from,d_hz_bills*G586,0))</f>
        <v/>
      </c>
      <c r="BQ587" s="40">
        <f>BQ586*d_rho_bills+BP587*IF(B587&gt;=in_marketplace_from,d_hz_bills*G587,0)</f>
        <v/>
      </c>
      <c r="BR587" s="14">
        <f>F587*BQ587*in_bills_ticket*in_bills_comm/12</f>
        <v/>
      </c>
      <c r="BS587" s="40">
        <f>BS586*(1-IF(B586&gt;=in_marketplace_from,d_hz_loan_gold*G586,0))</f>
        <v/>
      </c>
      <c r="BT587" s="14">
        <f>F587*BS587*IF(B587&gt;=in_marketplace_from,d_hz_loan_gold*G587,0)*in_loan_gold_ticket*in_loan_gold_comm</f>
        <v/>
      </c>
      <c r="BU587" s="40">
        <f>BU586*(1-IF(B586&gt;=in_marketplace_from,d_hz_loan_cd*G586,0))</f>
        <v/>
      </c>
      <c r="BV587" s="14">
        <f>F587*BU587*IF(B587&gt;=in_marketplace_from,d_hz_loan_cd*G587,0)*in_loan_cd_ticket*in_loan_cd_comm</f>
        <v/>
      </c>
      <c r="BW587" s="40">
        <f>BW586*(1-IF(B586&gt;=in_marketplace_from,d_hz_loan_vehicle*G586,0))</f>
        <v/>
      </c>
      <c r="BX587" s="14">
        <f>F587*BW587*IF(B587&gt;=in_marketplace_from,d_hz_loan_vehicle*G587,0)*in_loan_vehicle_ticket*in_loan_vehicle_comm</f>
        <v/>
      </c>
      <c r="BY587" s="40">
        <f>BY586*(1-IF(B586&gt;=in_marketplace_from,d_hz_loan_home*G586,0)*BZ586)</f>
        <v/>
      </c>
      <c r="BZ587" s="11">
        <f>MIN(in_approval_cap,in_loan_home_approval*INDEX('Age profile'!$O$2:$O$61,B587)*(1+in_approval_growth)^(D587-1))</f>
        <v/>
      </c>
      <c r="CA587" s="14">
        <f>F587*BY587*IF(B587&gt;=in_marketplace_from,d_hz_loan_home*G587,0)*BZ587*in_loan_home_ticket*in_loan_home_comm</f>
        <v/>
      </c>
      <c r="CB587" s="40">
        <f>CB586*(1-IF(B586&gt;=in_marketplace_from,d_hz_loan_lap*G586,0)*CC586)</f>
        <v/>
      </c>
      <c r="CC587" s="11">
        <f>MIN(in_approval_cap,in_loan_lap_approval*INDEX('Age profile'!$O$2:$O$61,B587)*(1+in_approval_growth)^(D587-1))</f>
        <v/>
      </c>
      <c r="CD587" s="14">
        <f>F587*CB587*IF(B587&gt;=in_marketplace_from,d_hz_loan_lap*G587,0)*CC587*in_loan_lap_ticket*in_loan_lap_comm</f>
        <v/>
      </c>
      <c r="CE587" s="14">
        <f>AA587+AB587+AC587+AD587+AG587+AJ587+AM587+AP587+AS587+AU587+AX587+BB587+BE587+BG587+BJ587+BL587+BO587+BR587+BT587+BV587+BX587+CA587+CD587</f>
        <v/>
      </c>
    </row>
    <row r="588">
      <c r="A588" s="39" t="n">
        <v>11</v>
      </c>
      <c r="B588" s="39" t="n">
        <v>32</v>
      </c>
      <c r="C588" s="39">
        <f>A588+B588-1</f>
        <v/>
      </c>
      <c r="D588" s="39">
        <f>INT((C588-1)/12)+1</f>
        <v/>
      </c>
      <c r="E588" s="44">
        <f>INDEX(Monthly!$B$2:$B$61,A588)</f>
        <v/>
      </c>
      <c r="F588" s="44">
        <f>E588*INDEX('Age profile'!$B$2:$B$61,B588)</f>
        <v/>
      </c>
      <c r="G588" s="45">
        <f>MIN(in_takeup_cap,INDEX('Age profile'!$N$2:$N$61,B588)*(1+in_takeup_growth)^(D588-1))</f>
        <v/>
      </c>
      <c r="H588" s="11">
        <f>MIN(in_approval_cap,in_approved_first*INDEX('Age profile'!$O$2:$O$61,B588)*(1+in_approval_growth)^(D588-1))</f>
        <v/>
      </c>
      <c r="I588" s="45">
        <f>G588*MIN(in_takeup_cap,INDEX('Age profile'!$O$2:$O$61,B588)*(1+in_approval_growth)^(D588-1))</f>
        <v/>
      </c>
      <c r="J588" s="40">
        <f>(J587-L587)*F588/F587</f>
        <v/>
      </c>
      <c r="K588" s="40">
        <f>(K587-M587)*F588/F587+SUMIFS(O557:O587,B557:B587,B588-1-d_T)*F588</f>
        <v/>
      </c>
      <c r="L588" s="40">
        <f>IF(B588&gt;=in_marketplace_from,J588*d_hz*G588*in_eligible*H588,0)</f>
        <v/>
      </c>
      <c r="M588" s="40">
        <f>IF(B588&gt;=in_marketplace_from,K588*d_hz*G588*in_eligible*in_approved_repeat,0)</f>
        <v/>
      </c>
      <c r="N588" s="40">
        <f>L588+M588</f>
        <v/>
      </c>
      <c r="O588" s="46">
        <f>N588/F588</f>
        <v/>
      </c>
      <c r="P588" s="40">
        <f>F588-J588-K588</f>
        <v/>
      </c>
      <c r="Q588" s="40">
        <f>IF(B588&gt;=in_marketplace_from,(J588+K588)*d_hz*G588,0)</f>
        <v/>
      </c>
      <c r="R588" s="40">
        <f>SUMIFS(N557:N606,B557:B606,"&gt;="&amp;(B588-d_T),B557:B606,"&lt;="&amp;(B588-1))</f>
        <v/>
      </c>
      <c r="S588" s="46">
        <f>(1-d_u)*S587+IF(d_T&gt;in_topup_lag,SUMIFS(O557:O606,B557:B606,B588-in_topup_lag)-d_udrop*SUMIFS(O557:O606,B557:B606,B588-d_T),0)</f>
        <v/>
      </c>
      <c r="T588" s="40">
        <f>F588*d_u*S588</f>
        <v/>
      </c>
      <c r="U588" s="9">
        <f>L588*in_ticket+M588*d_rep_ticket</f>
        <v/>
      </c>
      <c r="V588" s="9">
        <f>U588+T588*d_topup_amt</f>
        <v/>
      </c>
      <c r="W588" s="40">
        <f>N588+T588*d_topup_ratio</f>
        <v/>
      </c>
      <c r="X588" s="40">
        <f>SUMIFS(W557:W606,B557:B606,B588-in_dpd_lag)*d_cured</f>
        <v/>
      </c>
      <c r="Y588" s="40">
        <f>SUMIFS(W557:W606,B557:B606,B588-in_rec_lag)*d_recd</f>
        <v/>
      </c>
      <c r="Z588" s="40">
        <f>IF(AND(B588&gt;=in_marketplace_from,B588&lt;in_marketplace_from+in_card_months),in_card_share/in_card_months*F588*I588,IF(AND(B588&gt;=in_marketplace_from+in_card_months,B588&lt;in_marketplace_from+2*in_card_months),in_card_share*d_card_rem/in_card_months*F588*MIN(in_takeup_cap,(1+in_takeup_growth)^(D588-1))*MIN(in_takeup_cap,(1+in_approval_growth)^(D588-1)),0))</f>
        <v/>
      </c>
      <c r="AA588" s="14">
        <f>V588*in_fee*(1-in_taken_back)</f>
        <v/>
      </c>
      <c r="AB588" s="14">
        <f>SUMIFS(W557:W606,B557:B606,B588-in_dpd_lag)*d_dpd</f>
        <v/>
      </c>
      <c r="AC588" s="14">
        <f>SUMIFS(W557:W606,B557:B606,B588-in_rec_lag)*d_rec</f>
        <v/>
      </c>
      <c r="AD588" s="14">
        <f>Z588*in_card_fee</f>
        <v/>
      </c>
      <c r="AE588" s="40">
        <f>AE587*(1-IF(B587&gt;=in_marketplace_from,d_hz_hlth_small*G587,0))</f>
        <v/>
      </c>
      <c r="AF588" s="46">
        <f>AE588*IF(B588&gt;=in_marketplace_from,d_hz_hlth_small*G588,0)</f>
        <v/>
      </c>
      <c r="AG588" s="14">
        <f>F588*AF588*in_hlth_small_ticket*in_hlth_small_comm*in_ins_partner_share+F588*in_hlth_small_ticket*in_hlth_small_renew_comm*in_ins_partner_share*(in_hlth_small_renew^1*SUMIFS(AF557:AF606,B557:B606,B588-12)+in_hlth_small_renew^2*SUMIFS(AF557:AF606,B557:B606,B588-24)+in_hlth_small_renew^3*SUMIFS(AF557:AF606,B557:B606,B588-36)+in_hlth_small_renew^4*SUMIFS(AF557:AF606,B557:B606,B588-48))</f>
        <v/>
      </c>
      <c r="AH588" s="40">
        <f>AH587*(1-IF(B587&gt;=in_marketplace_from,d_hz_hlth_family*G587,0))</f>
        <v/>
      </c>
      <c r="AI588" s="46">
        <f>AH588*IF(B588&gt;=in_marketplace_from,d_hz_hlth_family*G588,0)</f>
        <v/>
      </c>
      <c r="AJ588" s="14">
        <f>F588*AI588*in_hlth_family_ticket*in_hlth_family_comm*in_ins_partner_share+F588*in_hlth_family_ticket*in_hlth_family_renew_comm*in_ins_partner_share*(in_hlth_family_renew^1*SUMIFS(AI557:AI606,B557:B606,B588-12)+in_hlth_family_renew^2*SUMIFS(AI557:AI606,B557:B606,B588-24)+in_hlth_family_renew^3*SUMIFS(AI557:AI606,B557:B606,B588-36)+in_hlth_family_renew^4*SUMIFS(AI557:AI606,B557:B606,B588-48))</f>
        <v/>
      </c>
      <c r="AK588" s="40">
        <f>AK587*(1-IF(B587&gt;=in_marketplace_from,d_hz_life_term*G587,0))</f>
        <v/>
      </c>
      <c r="AL588" s="46">
        <f>AK588*IF(B588&gt;=in_marketplace_from,d_hz_life_term*G588,0)</f>
        <v/>
      </c>
      <c r="AM588" s="14">
        <f>F588*AL588*in_life_term_ticket*in_life_term_comm*in_ins_partner_share+F588*in_life_term_ticket*in_life_term_renew_comm*in_ins_partner_share*(in_life_term_renew^1*SUMIFS(AL557:AL606,B557:B606,B588-12)+in_life_term_renew^2*SUMIFS(AL557:AL606,B557:B606,B588-24)+in_life_term_renew^3*SUMIFS(AL557:AL606,B557:B606,B588-36)+in_life_term_renew^4*SUMIFS(AL557:AL606,B557:B606,B588-48))</f>
        <v/>
      </c>
      <c r="AN588" s="40">
        <f>AN587*(1-IF(B587&gt;=in_marketplace_from,d_hz_accident*G587,0))</f>
        <v/>
      </c>
      <c r="AO588" s="46">
        <f>AN588*IF(B588&gt;=in_marketplace_from,d_hz_accident*G588,0)</f>
        <v/>
      </c>
      <c r="AP588" s="14">
        <f>F588*AO588*in_accident_ticket*in_accident_comm*in_ins_partner_share+F588*in_accident_ticket*in_accident_renew_comm*in_ins_partner_share*(in_accident_renew^1*SUMIFS(AO557:AO606,B557:B606,B588-12)+in_accident_renew^2*SUMIFS(AO557:AO606,B557:B606,B588-24)+in_accident_renew^3*SUMIFS(AO557:AO606,B557:B606,B588-36)+in_accident_renew^4*SUMIFS(AO557:AO606,B557:B606,B588-48))</f>
        <v/>
      </c>
      <c r="AQ588" s="40">
        <f>AQ587*(1-IF(B587&gt;=in_marketplace_from,d_hz_two_wheeler*G587,0))</f>
        <v/>
      </c>
      <c r="AR588" s="46">
        <f>AQ588*IF(B588&gt;=in_marketplace_from,d_hz_two_wheeler*G588,0)</f>
        <v/>
      </c>
      <c r="AS588" s="14">
        <f>F588*AR588*in_two_wheeler_ticket*in_two_wheeler_comm*in_ins_partner_share+F588*in_two_wheeler_ticket*in_two_wheeler_comm*in_ins_partner_share*(in_two_wheeler_renew^1*SUMIFS(AR557:AR606,B557:B606,B588-12)+in_two_wheeler_renew^2*SUMIFS(AR557:AR606,B557:B606,B588-24)+in_two_wheeler_renew^3*SUMIFS(AR557:AR606,B557:B606,B588-36)+in_two_wheeler_renew^4*SUMIFS(AR557:AR606,B557:B606,B588-48))</f>
        <v/>
      </c>
      <c r="AT588" s="40">
        <f>AT587*(1-IF(B587&gt;=in_marketplace_from,d_hz_device*G587,0))</f>
        <v/>
      </c>
      <c r="AU588" s="14">
        <f>F588*AT588*IF(B588&gt;=in_marketplace_from,d_hz_device*G588,0)*in_device_ticket*in_device_comm*in_ins_partner_share</f>
        <v/>
      </c>
      <c r="AV588" s="40">
        <f>AV587*(1-IF(B587&gt;=in_marketplace_from,d_hz_shop*G587,0))</f>
        <v/>
      </c>
      <c r="AW588" s="46">
        <f>AV588*IF(B588&gt;=in_marketplace_from,d_hz_shop*G588,0)</f>
        <v/>
      </c>
      <c r="AX588" s="14">
        <f>F588*AW588*in_shop_ticket*in_shop_comm*in_ins_partner_share+F588*in_shop_ticket*in_shop_renew_comm*in_ins_partner_share*(in_shop_renew^1*SUMIFS(AW557:AW606,B557:B606,B588-12)+in_shop_renew^2*SUMIFS(AW557:AW606,B557:B606,B588-24)+in_shop_renew^3*SUMIFS(AW557:AW606,B557:B606,B588-36)+in_shop_renew^4*SUMIFS(AW557:AW606,B557:B606,B588-48))</f>
        <v/>
      </c>
      <c r="AY588" s="40">
        <f>AY587*(1-IF(B587&gt;=in_marketplace_from,d_hz_sip*G587,0))</f>
        <v/>
      </c>
      <c r="AZ588" s="40">
        <f>AZ587*d_rho_sip+AY588*IF(B588&gt;=in_marketplace_from,d_hz_sip*G588,0)</f>
        <v/>
      </c>
      <c r="BA588" s="40">
        <f>d_rho_sip*(BA587+AZ587)</f>
        <v/>
      </c>
      <c r="BB588" s="14">
        <f>F588*in_sip_ticket*(BA588+0.5*AZ588)*in_sip_comm/12</f>
        <v/>
      </c>
      <c r="BC588" s="40">
        <f>BC587*(1-IF(B587&gt;=in_marketplace_from,d_hz_choti*G587,0))</f>
        <v/>
      </c>
      <c r="BD588" s="46">
        <f>BC588*IF(B588&gt;=in_marketplace_from,d_hz_choti*G588,0)</f>
        <v/>
      </c>
      <c r="BE588" s="14">
        <f>F588*SUMIFS(BD557:BD606,B557:B606,B588-in_choti_months)*in_choti_renew*in_choti_ticket</f>
        <v/>
      </c>
      <c r="BF588" s="40">
        <f>BF587*(1-IF(B587&gt;=in_marketplace_from,d_hz_nps*G587,0))</f>
        <v/>
      </c>
      <c r="BG588" s="14">
        <f>F588*BF588*IF(B588&gt;=in_marketplace_from,d_hz_nps*G588,0)*in_nps_ticket*in_nps_comm</f>
        <v/>
      </c>
      <c r="BH588" s="40">
        <f>BH587*(1-IF(B587&gt;=in_marketplace_from,d_hz_gold*G587,0))</f>
        <v/>
      </c>
      <c r="BI588" s="40">
        <f>BI587*d_rho_gold+BH588*IF(B588&gt;=in_marketplace_from,d_hz_gold*G588,0)</f>
        <v/>
      </c>
      <c r="BJ588" s="14">
        <f>F588*BI588*in_gold_ticket*in_gold_comm</f>
        <v/>
      </c>
      <c r="BK588" s="40">
        <f>BK587*(1-IF(B587&gt;=in_marketplace_from,d_hz_fd*G587,0))</f>
        <v/>
      </c>
      <c r="BL588" s="14">
        <f>F588*BK588*IF(B588&gt;=in_marketplace_from,d_hz_fd*G588,0)*in_fd_ticket*in_fd_comm</f>
        <v/>
      </c>
      <c r="BM588" s="40">
        <f>BM587*(1-IF(B587&gt;=in_marketplace_from,d_hz_recharge*G587,0))</f>
        <v/>
      </c>
      <c r="BN588" s="40">
        <f>BN587*d_rho_recharge+BM588*IF(B588&gt;=in_marketplace_from,d_hz_recharge*G588,0)</f>
        <v/>
      </c>
      <c r="BO588" s="14">
        <f>F588*BN588*in_recharge_ticket*in_recharge_comm/12</f>
        <v/>
      </c>
      <c r="BP588" s="40">
        <f>BP587*(1-IF(B587&gt;=in_marketplace_from,d_hz_bills*G587,0))</f>
        <v/>
      </c>
      <c r="BQ588" s="40">
        <f>BQ587*d_rho_bills+BP588*IF(B588&gt;=in_marketplace_from,d_hz_bills*G588,0)</f>
        <v/>
      </c>
      <c r="BR588" s="14">
        <f>F588*BQ588*in_bills_ticket*in_bills_comm/12</f>
        <v/>
      </c>
      <c r="BS588" s="40">
        <f>BS587*(1-IF(B587&gt;=in_marketplace_from,d_hz_loan_gold*G587,0))</f>
        <v/>
      </c>
      <c r="BT588" s="14">
        <f>F588*BS588*IF(B588&gt;=in_marketplace_from,d_hz_loan_gold*G588,0)*in_loan_gold_ticket*in_loan_gold_comm</f>
        <v/>
      </c>
      <c r="BU588" s="40">
        <f>BU587*(1-IF(B587&gt;=in_marketplace_from,d_hz_loan_cd*G587,0))</f>
        <v/>
      </c>
      <c r="BV588" s="14">
        <f>F588*BU588*IF(B588&gt;=in_marketplace_from,d_hz_loan_cd*G588,0)*in_loan_cd_ticket*in_loan_cd_comm</f>
        <v/>
      </c>
      <c r="BW588" s="40">
        <f>BW587*(1-IF(B587&gt;=in_marketplace_from,d_hz_loan_vehicle*G587,0))</f>
        <v/>
      </c>
      <c r="BX588" s="14">
        <f>F588*BW588*IF(B588&gt;=in_marketplace_from,d_hz_loan_vehicle*G588,0)*in_loan_vehicle_ticket*in_loan_vehicle_comm</f>
        <v/>
      </c>
      <c r="BY588" s="40">
        <f>BY587*(1-IF(B587&gt;=in_marketplace_from,d_hz_loan_home*G587,0)*BZ587)</f>
        <v/>
      </c>
      <c r="BZ588" s="11">
        <f>MIN(in_approval_cap,in_loan_home_approval*INDEX('Age profile'!$O$2:$O$61,B588)*(1+in_approval_growth)^(D588-1))</f>
        <v/>
      </c>
      <c r="CA588" s="14">
        <f>F588*BY588*IF(B588&gt;=in_marketplace_from,d_hz_loan_home*G588,0)*BZ588*in_loan_home_ticket*in_loan_home_comm</f>
        <v/>
      </c>
      <c r="CB588" s="40">
        <f>CB587*(1-IF(B587&gt;=in_marketplace_from,d_hz_loan_lap*G587,0)*CC587)</f>
        <v/>
      </c>
      <c r="CC588" s="11">
        <f>MIN(in_approval_cap,in_loan_lap_approval*INDEX('Age profile'!$O$2:$O$61,B588)*(1+in_approval_growth)^(D588-1))</f>
        <v/>
      </c>
      <c r="CD588" s="14">
        <f>F588*CB588*IF(B588&gt;=in_marketplace_from,d_hz_loan_lap*G588,0)*CC588*in_loan_lap_ticket*in_loan_lap_comm</f>
        <v/>
      </c>
      <c r="CE588" s="14">
        <f>AA588+AB588+AC588+AD588+AG588+AJ588+AM588+AP588+AS588+AU588+AX588+BB588+BE588+BG588+BJ588+BL588+BO588+BR588+BT588+BV588+BX588+CA588+CD588</f>
        <v/>
      </c>
    </row>
    <row r="589">
      <c r="A589" s="39" t="n">
        <v>11</v>
      </c>
      <c r="B589" s="39" t="n">
        <v>33</v>
      </c>
      <c r="C589" s="39">
        <f>A589+B589-1</f>
        <v/>
      </c>
      <c r="D589" s="39">
        <f>INT((C589-1)/12)+1</f>
        <v/>
      </c>
      <c r="E589" s="44">
        <f>INDEX(Monthly!$B$2:$B$61,A589)</f>
        <v/>
      </c>
      <c r="F589" s="44">
        <f>E589*INDEX('Age profile'!$B$2:$B$61,B589)</f>
        <v/>
      </c>
      <c r="G589" s="45">
        <f>MIN(in_takeup_cap,INDEX('Age profile'!$N$2:$N$61,B589)*(1+in_takeup_growth)^(D589-1))</f>
        <v/>
      </c>
      <c r="H589" s="11">
        <f>MIN(in_approval_cap,in_approved_first*INDEX('Age profile'!$O$2:$O$61,B589)*(1+in_approval_growth)^(D589-1))</f>
        <v/>
      </c>
      <c r="I589" s="45">
        <f>G589*MIN(in_takeup_cap,INDEX('Age profile'!$O$2:$O$61,B589)*(1+in_approval_growth)^(D589-1))</f>
        <v/>
      </c>
      <c r="J589" s="40">
        <f>(J588-L588)*F589/F588</f>
        <v/>
      </c>
      <c r="K589" s="40">
        <f>(K588-M588)*F589/F588+SUMIFS(O557:O588,B557:B588,B589-1-d_T)*F589</f>
        <v/>
      </c>
      <c r="L589" s="40">
        <f>IF(B589&gt;=in_marketplace_from,J589*d_hz*G589*in_eligible*H589,0)</f>
        <v/>
      </c>
      <c r="M589" s="40">
        <f>IF(B589&gt;=in_marketplace_from,K589*d_hz*G589*in_eligible*in_approved_repeat,0)</f>
        <v/>
      </c>
      <c r="N589" s="40">
        <f>L589+M589</f>
        <v/>
      </c>
      <c r="O589" s="46">
        <f>N589/F589</f>
        <v/>
      </c>
      <c r="P589" s="40">
        <f>F589-J589-K589</f>
        <v/>
      </c>
      <c r="Q589" s="40">
        <f>IF(B589&gt;=in_marketplace_from,(J589+K589)*d_hz*G589,0)</f>
        <v/>
      </c>
      <c r="R589" s="40">
        <f>SUMIFS(N557:N606,B557:B606,"&gt;="&amp;(B589-d_T),B557:B606,"&lt;="&amp;(B589-1))</f>
        <v/>
      </c>
      <c r="S589" s="46">
        <f>(1-d_u)*S588+IF(d_T&gt;in_topup_lag,SUMIFS(O557:O606,B557:B606,B589-in_topup_lag)-d_udrop*SUMIFS(O557:O606,B557:B606,B589-d_T),0)</f>
        <v/>
      </c>
      <c r="T589" s="40">
        <f>F589*d_u*S589</f>
        <v/>
      </c>
      <c r="U589" s="9">
        <f>L589*in_ticket+M589*d_rep_ticket</f>
        <v/>
      </c>
      <c r="V589" s="9">
        <f>U589+T589*d_topup_amt</f>
        <v/>
      </c>
      <c r="W589" s="40">
        <f>N589+T589*d_topup_ratio</f>
        <v/>
      </c>
      <c r="X589" s="40">
        <f>SUMIFS(W557:W606,B557:B606,B589-in_dpd_lag)*d_cured</f>
        <v/>
      </c>
      <c r="Y589" s="40">
        <f>SUMIFS(W557:W606,B557:B606,B589-in_rec_lag)*d_recd</f>
        <v/>
      </c>
      <c r="Z589" s="40">
        <f>IF(AND(B589&gt;=in_marketplace_from,B589&lt;in_marketplace_from+in_card_months),in_card_share/in_card_months*F589*I589,IF(AND(B589&gt;=in_marketplace_from+in_card_months,B589&lt;in_marketplace_from+2*in_card_months),in_card_share*d_card_rem/in_card_months*F589*MIN(in_takeup_cap,(1+in_takeup_growth)^(D589-1))*MIN(in_takeup_cap,(1+in_approval_growth)^(D589-1)),0))</f>
        <v/>
      </c>
      <c r="AA589" s="14">
        <f>V589*in_fee*(1-in_taken_back)</f>
        <v/>
      </c>
      <c r="AB589" s="14">
        <f>SUMIFS(W557:W606,B557:B606,B589-in_dpd_lag)*d_dpd</f>
        <v/>
      </c>
      <c r="AC589" s="14">
        <f>SUMIFS(W557:W606,B557:B606,B589-in_rec_lag)*d_rec</f>
        <v/>
      </c>
      <c r="AD589" s="14">
        <f>Z589*in_card_fee</f>
        <v/>
      </c>
      <c r="AE589" s="40">
        <f>AE588*(1-IF(B588&gt;=in_marketplace_from,d_hz_hlth_small*G588,0))</f>
        <v/>
      </c>
      <c r="AF589" s="46">
        <f>AE589*IF(B589&gt;=in_marketplace_from,d_hz_hlth_small*G589,0)</f>
        <v/>
      </c>
      <c r="AG589" s="14">
        <f>F589*AF589*in_hlth_small_ticket*in_hlth_small_comm*in_ins_partner_share+F589*in_hlth_small_ticket*in_hlth_small_renew_comm*in_ins_partner_share*(in_hlth_small_renew^1*SUMIFS(AF557:AF606,B557:B606,B589-12)+in_hlth_small_renew^2*SUMIFS(AF557:AF606,B557:B606,B589-24)+in_hlth_small_renew^3*SUMIFS(AF557:AF606,B557:B606,B589-36)+in_hlth_small_renew^4*SUMIFS(AF557:AF606,B557:B606,B589-48))</f>
        <v/>
      </c>
      <c r="AH589" s="40">
        <f>AH588*(1-IF(B588&gt;=in_marketplace_from,d_hz_hlth_family*G588,0))</f>
        <v/>
      </c>
      <c r="AI589" s="46">
        <f>AH589*IF(B589&gt;=in_marketplace_from,d_hz_hlth_family*G589,0)</f>
        <v/>
      </c>
      <c r="AJ589" s="14">
        <f>F589*AI589*in_hlth_family_ticket*in_hlth_family_comm*in_ins_partner_share+F589*in_hlth_family_ticket*in_hlth_family_renew_comm*in_ins_partner_share*(in_hlth_family_renew^1*SUMIFS(AI557:AI606,B557:B606,B589-12)+in_hlth_family_renew^2*SUMIFS(AI557:AI606,B557:B606,B589-24)+in_hlth_family_renew^3*SUMIFS(AI557:AI606,B557:B606,B589-36)+in_hlth_family_renew^4*SUMIFS(AI557:AI606,B557:B606,B589-48))</f>
        <v/>
      </c>
      <c r="AK589" s="40">
        <f>AK588*(1-IF(B588&gt;=in_marketplace_from,d_hz_life_term*G588,0))</f>
        <v/>
      </c>
      <c r="AL589" s="46">
        <f>AK589*IF(B589&gt;=in_marketplace_from,d_hz_life_term*G589,0)</f>
        <v/>
      </c>
      <c r="AM589" s="14">
        <f>F589*AL589*in_life_term_ticket*in_life_term_comm*in_ins_partner_share+F589*in_life_term_ticket*in_life_term_renew_comm*in_ins_partner_share*(in_life_term_renew^1*SUMIFS(AL557:AL606,B557:B606,B589-12)+in_life_term_renew^2*SUMIFS(AL557:AL606,B557:B606,B589-24)+in_life_term_renew^3*SUMIFS(AL557:AL606,B557:B606,B589-36)+in_life_term_renew^4*SUMIFS(AL557:AL606,B557:B606,B589-48))</f>
        <v/>
      </c>
      <c r="AN589" s="40">
        <f>AN588*(1-IF(B588&gt;=in_marketplace_from,d_hz_accident*G588,0))</f>
        <v/>
      </c>
      <c r="AO589" s="46">
        <f>AN589*IF(B589&gt;=in_marketplace_from,d_hz_accident*G589,0)</f>
        <v/>
      </c>
      <c r="AP589" s="14">
        <f>F589*AO589*in_accident_ticket*in_accident_comm*in_ins_partner_share+F589*in_accident_ticket*in_accident_renew_comm*in_ins_partner_share*(in_accident_renew^1*SUMIFS(AO557:AO606,B557:B606,B589-12)+in_accident_renew^2*SUMIFS(AO557:AO606,B557:B606,B589-24)+in_accident_renew^3*SUMIFS(AO557:AO606,B557:B606,B589-36)+in_accident_renew^4*SUMIFS(AO557:AO606,B557:B606,B589-48))</f>
        <v/>
      </c>
      <c r="AQ589" s="40">
        <f>AQ588*(1-IF(B588&gt;=in_marketplace_from,d_hz_two_wheeler*G588,0))</f>
        <v/>
      </c>
      <c r="AR589" s="46">
        <f>AQ589*IF(B589&gt;=in_marketplace_from,d_hz_two_wheeler*G589,0)</f>
        <v/>
      </c>
      <c r="AS589" s="14">
        <f>F589*AR589*in_two_wheeler_ticket*in_two_wheeler_comm*in_ins_partner_share+F589*in_two_wheeler_ticket*in_two_wheeler_comm*in_ins_partner_share*(in_two_wheeler_renew^1*SUMIFS(AR557:AR606,B557:B606,B589-12)+in_two_wheeler_renew^2*SUMIFS(AR557:AR606,B557:B606,B589-24)+in_two_wheeler_renew^3*SUMIFS(AR557:AR606,B557:B606,B589-36)+in_two_wheeler_renew^4*SUMIFS(AR557:AR606,B557:B606,B589-48))</f>
        <v/>
      </c>
      <c r="AT589" s="40">
        <f>AT588*(1-IF(B588&gt;=in_marketplace_from,d_hz_device*G588,0))</f>
        <v/>
      </c>
      <c r="AU589" s="14">
        <f>F589*AT589*IF(B589&gt;=in_marketplace_from,d_hz_device*G589,0)*in_device_ticket*in_device_comm*in_ins_partner_share</f>
        <v/>
      </c>
      <c r="AV589" s="40">
        <f>AV588*(1-IF(B588&gt;=in_marketplace_from,d_hz_shop*G588,0))</f>
        <v/>
      </c>
      <c r="AW589" s="46">
        <f>AV589*IF(B589&gt;=in_marketplace_from,d_hz_shop*G589,0)</f>
        <v/>
      </c>
      <c r="AX589" s="14">
        <f>F589*AW589*in_shop_ticket*in_shop_comm*in_ins_partner_share+F589*in_shop_ticket*in_shop_renew_comm*in_ins_partner_share*(in_shop_renew^1*SUMIFS(AW557:AW606,B557:B606,B589-12)+in_shop_renew^2*SUMIFS(AW557:AW606,B557:B606,B589-24)+in_shop_renew^3*SUMIFS(AW557:AW606,B557:B606,B589-36)+in_shop_renew^4*SUMIFS(AW557:AW606,B557:B606,B589-48))</f>
        <v/>
      </c>
      <c r="AY589" s="40">
        <f>AY588*(1-IF(B588&gt;=in_marketplace_from,d_hz_sip*G588,0))</f>
        <v/>
      </c>
      <c r="AZ589" s="40">
        <f>AZ588*d_rho_sip+AY589*IF(B589&gt;=in_marketplace_from,d_hz_sip*G589,0)</f>
        <v/>
      </c>
      <c r="BA589" s="40">
        <f>d_rho_sip*(BA588+AZ588)</f>
        <v/>
      </c>
      <c r="BB589" s="14">
        <f>F589*in_sip_ticket*(BA589+0.5*AZ589)*in_sip_comm/12</f>
        <v/>
      </c>
      <c r="BC589" s="40">
        <f>BC588*(1-IF(B588&gt;=in_marketplace_from,d_hz_choti*G588,0))</f>
        <v/>
      </c>
      <c r="BD589" s="46">
        <f>BC589*IF(B589&gt;=in_marketplace_from,d_hz_choti*G589,0)</f>
        <v/>
      </c>
      <c r="BE589" s="14">
        <f>F589*SUMIFS(BD557:BD606,B557:B606,B589-in_choti_months)*in_choti_renew*in_choti_ticket</f>
        <v/>
      </c>
      <c r="BF589" s="40">
        <f>BF588*(1-IF(B588&gt;=in_marketplace_from,d_hz_nps*G588,0))</f>
        <v/>
      </c>
      <c r="BG589" s="14">
        <f>F589*BF589*IF(B589&gt;=in_marketplace_from,d_hz_nps*G589,0)*in_nps_ticket*in_nps_comm</f>
        <v/>
      </c>
      <c r="BH589" s="40">
        <f>BH588*(1-IF(B588&gt;=in_marketplace_from,d_hz_gold*G588,0))</f>
        <v/>
      </c>
      <c r="BI589" s="40">
        <f>BI588*d_rho_gold+BH589*IF(B589&gt;=in_marketplace_from,d_hz_gold*G589,0)</f>
        <v/>
      </c>
      <c r="BJ589" s="14">
        <f>F589*BI589*in_gold_ticket*in_gold_comm</f>
        <v/>
      </c>
      <c r="BK589" s="40">
        <f>BK588*(1-IF(B588&gt;=in_marketplace_from,d_hz_fd*G588,0))</f>
        <v/>
      </c>
      <c r="BL589" s="14">
        <f>F589*BK589*IF(B589&gt;=in_marketplace_from,d_hz_fd*G589,0)*in_fd_ticket*in_fd_comm</f>
        <v/>
      </c>
      <c r="BM589" s="40">
        <f>BM588*(1-IF(B588&gt;=in_marketplace_from,d_hz_recharge*G588,0))</f>
        <v/>
      </c>
      <c r="BN589" s="40">
        <f>BN588*d_rho_recharge+BM589*IF(B589&gt;=in_marketplace_from,d_hz_recharge*G589,0)</f>
        <v/>
      </c>
      <c r="BO589" s="14">
        <f>F589*BN589*in_recharge_ticket*in_recharge_comm/12</f>
        <v/>
      </c>
      <c r="BP589" s="40">
        <f>BP588*(1-IF(B588&gt;=in_marketplace_from,d_hz_bills*G588,0))</f>
        <v/>
      </c>
      <c r="BQ589" s="40">
        <f>BQ588*d_rho_bills+BP589*IF(B589&gt;=in_marketplace_from,d_hz_bills*G589,0)</f>
        <v/>
      </c>
      <c r="BR589" s="14">
        <f>F589*BQ589*in_bills_ticket*in_bills_comm/12</f>
        <v/>
      </c>
      <c r="BS589" s="40">
        <f>BS588*(1-IF(B588&gt;=in_marketplace_from,d_hz_loan_gold*G588,0))</f>
        <v/>
      </c>
      <c r="BT589" s="14">
        <f>F589*BS589*IF(B589&gt;=in_marketplace_from,d_hz_loan_gold*G589,0)*in_loan_gold_ticket*in_loan_gold_comm</f>
        <v/>
      </c>
      <c r="BU589" s="40">
        <f>BU588*(1-IF(B588&gt;=in_marketplace_from,d_hz_loan_cd*G588,0))</f>
        <v/>
      </c>
      <c r="BV589" s="14">
        <f>F589*BU589*IF(B589&gt;=in_marketplace_from,d_hz_loan_cd*G589,0)*in_loan_cd_ticket*in_loan_cd_comm</f>
        <v/>
      </c>
      <c r="BW589" s="40">
        <f>BW588*(1-IF(B588&gt;=in_marketplace_from,d_hz_loan_vehicle*G588,0))</f>
        <v/>
      </c>
      <c r="BX589" s="14">
        <f>F589*BW589*IF(B589&gt;=in_marketplace_from,d_hz_loan_vehicle*G589,0)*in_loan_vehicle_ticket*in_loan_vehicle_comm</f>
        <v/>
      </c>
      <c r="BY589" s="40">
        <f>BY588*(1-IF(B588&gt;=in_marketplace_from,d_hz_loan_home*G588,0)*BZ588)</f>
        <v/>
      </c>
      <c r="BZ589" s="11">
        <f>MIN(in_approval_cap,in_loan_home_approval*INDEX('Age profile'!$O$2:$O$61,B589)*(1+in_approval_growth)^(D589-1))</f>
        <v/>
      </c>
      <c r="CA589" s="14">
        <f>F589*BY589*IF(B589&gt;=in_marketplace_from,d_hz_loan_home*G589,0)*BZ589*in_loan_home_ticket*in_loan_home_comm</f>
        <v/>
      </c>
      <c r="CB589" s="40">
        <f>CB588*(1-IF(B588&gt;=in_marketplace_from,d_hz_loan_lap*G588,0)*CC588)</f>
        <v/>
      </c>
      <c r="CC589" s="11">
        <f>MIN(in_approval_cap,in_loan_lap_approval*INDEX('Age profile'!$O$2:$O$61,B589)*(1+in_approval_growth)^(D589-1))</f>
        <v/>
      </c>
      <c r="CD589" s="14">
        <f>F589*CB589*IF(B589&gt;=in_marketplace_from,d_hz_loan_lap*G589,0)*CC589*in_loan_lap_ticket*in_loan_lap_comm</f>
        <v/>
      </c>
      <c r="CE589" s="14">
        <f>AA589+AB589+AC589+AD589+AG589+AJ589+AM589+AP589+AS589+AU589+AX589+BB589+BE589+BG589+BJ589+BL589+BO589+BR589+BT589+BV589+BX589+CA589+CD589</f>
        <v/>
      </c>
    </row>
    <row r="590">
      <c r="A590" s="39" t="n">
        <v>11</v>
      </c>
      <c r="B590" s="39" t="n">
        <v>34</v>
      </c>
      <c r="C590" s="39">
        <f>A590+B590-1</f>
        <v/>
      </c>
      <c r="D590" s="39">
        <f>INT((C590-1)/12)+1</f>
        <v/>
      </c>
      <c r="E590" s="44">
        <f>INDEX(Monthly!$B$2:$B$61,A590)</f>
        <v/>
      </c>
      <c r="F590" s="44">
        <f>E590*INDEX('Age profile'!$B$2:$B$61,B590)</f>
        <v/>
      </c>
      <c r="G590" s="45">
        <f>MIN(in_takeup_cap,INDEX('Age profile'!$N$2:$N$61,B590)*(1+in_takeup_growth)^(D590-1))</f>
        <v/>
      </c>
      <c r="H590" s="11">
        <f>MIN(in_approval_cap,in_approved_first*INDEX('Age profile'!$O$2:$O$61,B590)*(1+in_approval_growth)^(D590-1))</f>
        <v/>
      </c>
      <c r="I590" s="45">
        <f>G590*MIN(in_takeup_cap,INDEX('Age profile'!$O$2:$O$61,B590)*(1+in_approval_growth)^(D590-1))</f>
        <v/>
      </c>
      <c r="J590" s="40">
        <f>(J589-L589)*F590/F589</f>
        <v/>
      </c>
      <c r="K590" s="40">
        <f>(K589-M589)*F590/F589+SUMIFS(O557:O589,B557:B589,B590-1-d_T)*F590</f>
        <v/>
      </c>
      <c r="L590" s="40">
        <f>IF(B590&gt;=in_marketplace_from,J590*d_hz*G590*in_eligible*H590,0)</f>
        <v/>
      </c>
      <c r="M590" s="40">
        <f>IF(B590&gt;=in_marketplace_from,K590*d_hz*G590*in_eligible*in_approved_repeat,0)</f>
        <v/>
      </c>
      <c r="N590" s="40">
        <f>L590+M590</f>
        <v/>
      </c>
      <c r="O590" s="46">
        <f>N590/F590</f>
        <v/>
      </c>
      <c r="P590" s="40">
        <f>F590-J590-K590</f>
        <v/>
      </c>
      <c r="Q590" s="40">
        <f>IF(B590&gt;=in_marketplace_from,(J590+K590)*d_hz*G590,0)</f>
        <v/>
      </c>
      <c r="R590" s="40">
        <f>SUMIFS(N557:N606,B557:B606,"&gt;="&amp;(B590-d_T),B557:B606,"&lt;="&amp;(B590-1))</f>
        <v/>
      </c>
      <c r="S590" s="46">
        <f>(1-d_u)*S589+IF(d_T&gt;in_topup_lag,SUMIFS(O557:O606,B557:B606,B590-in_topup_lag)-d_udrop*SUMIFS(O557:O606,B557:B606,B590-d_T),0)</f>
        <v/>
      </c>
      <c r="T590" s="40">
        <f>F590*d_u*S590</f>
        <v/>
      </c>
      <c r="U590" s="9">
        <f>L590*in_ticket+M590*d_rep_ticket</f>
        <v/>
      </c>
      <c r="V590" s="9">
        <f>U590+T590*d_topup_amt</f>
        <v/>
      </c>
      <c r="W590" s="40">
        <f>N590+T590*d_topup_ratio</f>
        <v/>
      </c>
      <c r="X590" s="40">
        <f>SUMIFS(W557:W606,B557:B606,B590-in_dpd_lag)*d_cured</f>
        <v/>
      </c>
      <c r="Y590" s="40">
        <f>SUMIFS(W557:W606,B557:B606,B590-in_rec_lag)*d_recd</f>
        <v/>
      </c>
      <c r="Z590" s="40">
        <f>IF(AND(B590&gt;=in_marketplace_from,B590&lt;in_marketplace_from+in_card_months),in_card_share/in_card_months*F590*I590,IF(AND(B590&gt;=in_marketplace_from+in_card_months,B590&lt;in_marketplace_from+2*in_card_months),in_card_share*d_card_rem/in_card_months*F590*MIN(in_takeup_cap,(1+in_takeup_growth)^(D590-1))*MIN(in_takeup_cap,(1+in_approval_growth)^(D590-1)),0))</f>
        <v/>
      </c>
      <c r="AA590" s="14">
        <f>V590*in_fee*(1-in_taken_back)</f>
        <v/>
      </c>
      <c r="AB590" s="14">
        <f>SUMIFS(W557:W606,B557:B606,B590-in_dpd_lag)*d_dpd</f>
        <v/>
      </c>
      <c r="AC590" s="14">
        <f>SUMIFS(W557:W606,B557:B606,B590-in_rec_lag)*d_rec</f>
        <v/>
      </c>
      <c r="AD590" s="14">
        <f>Z590*in_card_fee</f>
        <v/>
      </c>
      <c r="AE590" s="40">
        <f>AE589*(1-IF(B589&gt;=in_marketplace_from,d_hz_hlth_small*G589,0))</f>
        <v/>
      </c>
      <c r="AF590" s="46">
        <f>AE590*IF(B590&gt;=in_marketplace_from,d_hz_hlth_small*G590,0)</f>
        <v/>
      </c>
      <c r="AG590" s="14">
        <f>F590*AF590*in_hlth_small_ticket*in_hlth_small_comm*in_ins_partner_share+F590*in_hlth_small_ticket*in_hlth_small_renew_comm*in_ins_partner_share*(in_hlth_small_renew^1*SUMIFS(AF557:AF606,B557:B606,B590-12)+in_hlth_small_renew^2*SUMIFS(AF557:AF606,B557:B606,B590-24)+in_hlth_small_renew^3*SUMIFS(AF557:AF606,B557:B606,B590-36)+in_hlth_small_renew^4*SUMIFS(AF557:AF606,B557:B606,B590-48))</f>
        <v/>
      </c>
      <c r="AH590" s="40">
        <f>AH589*(1-IF(B589&gt;=in_marketplace_from,d_hz_hlth_family*G589,0))</f>
        <v/>
      </c>
      <c r="AI590" s="46">
        <f>AH590*IF(B590&gt;=in_marketplace_from,d_hz_hlth_family*G590,0)</f>
        <v/>
      </c>
      <c r="AJ590" s="14">
        <f>F590*AI590*in_hlth_family_ticket*in_hlth_family_comm*in_ins_partner_share+F590*in_hlth_family_ticket*in_hlth_family_renew_comm*in_ins_partner_share*(in_hlth_family_renew^1*SUMIFS(AI557:AI606,B557:B606,B590-12)+in_hlth_family_renew^2*SUMIFS(AI557:AI606,B557:B606,B590-24)+in_hlth_family_renew^3*SUMIFS(AI557:AI606,B557:B606,B590-36)+in_hlth_family_renew^4*SUMIFS(AI557:AI606,B557:B606,B590-48))</f>
        <v/>
      </c>
      <c r="AK590" s="40">
        <f>AK589*(1-IF(B589&gt;=in_marketplace_from,d_hz_life_term*G589,0))</f>
        <v/>
      </c>
      <c r="AL590" s="46">
        <f>AK590*IF(B590&gt;=in_marketplace_from,d_hz_life_term*G590,0)</f>
        <v/>
      </c>
      <c r="AM590" s="14">
        <f>F590*AL590*in_life_term_ticket*in_life_term_comm*in_ins_partner_share+F590*in_life_term_ticket*in_life_term_renew_comm*in_ins_partner_share*(in_life_term_renew^1*SUMIFS(AL557:AL606,B557:B606,B590-12)+in_life_term_renew^2*SUMIFS(AL557:AL606,B557:B606,B590-24)+in_life_term_renew^3*SUMIFS(AL557:AL606,B557:B606,B590-36)+in_life_term_renew^4*SUMIFS(AL557:AL606,B557:B606,B590-48))</f>
        <v/>
      </c>
      <c r="AN590" s="40">
        <f>AN589*(1-IF(B589&gt;=in_marketplace_from,d_hz_accident*G589,0))</f>
        <v/>
      </c>
      <c r="AO590" s="46">
        <f>AN590*IF(B590&gt;=in_marketplace_from,d_hz_accident*G590,0)</f>
        <v/>
      </c>
      <c r="AP590" s="14">
        <f>F590*AO590*in_accident_ticket*in_accident_comm*in_ins_partner_share+F590*in_accident_ticket*in_accident_renew_comm*in_ins_partner_share*(in_accident_renew^1*SUMIFS(AO557:AO606,B557:B606,B590-12)+in_accident_renew^2*SUMIFS(AO557:AO606,B557:B606,B590-24)+in_accident_renew^3*SUMIFS(AO557:AO606,B557:B606,B590-36)+in_accident_renew^4*SUMIFS(AO557:AO606,B557:B606,B590-48))</f>
        <v/>
      </c>
      <c r="AQ590" s="40">
        <f>AQ589*(1-IF(B589&gt;=in_marketplace_from,d_hz_two_wheeler*G589,0))</f>
        <v/>
      </c>
      <c r="AR590" s="46">
        <f>AQ590*IF(B590&gt;=in_marketplace_from,d_hz_two_wheeler*G590,0)</f>
        <v/>
      </c>
      <c r="AS590" s="14">
        <f>F590*AR590*in_two_wheeler_ticket*in_two_wheeler_comm*in_ins_partner_share+F590*in_two_wheeler_ticket*in_two_wheeler_comm*in_ins_partner_share*(in_two_wheeler_renew^1*SUMIFS(AR557:AR606,B557:B606,B590-12)+in_two_wheeler_renew^2*SUMIFS(AR557:AR606,B557:B606,B590-24)+in_two_wheeler_renew^3*SUMIFS(AR557:AR606,B557:B606,B590-36)+in_two_wheeler_renew^4*SUMIFS(AR557:AR606,B557:B606,B590-48))</f>
        <v/>
      </c>
      <c r="AT590" s="40">
        <f>AT589*(1-IF(B589&gt;=in_marketplace_from,d_hz_device*G589,0))</f>
        <v/>
      </c>
      <c r="AU590" s="14">
        <f>F590*AT590*IF(B590&gt;=in_marketplace_from,d_hz_device*G590,0)*in_device_ticket*in_device_comm*in_ins_partner_share</f>
        <v/>
      </c>
      <c r="AV590" s="40">
        <f>AV589*(1-IF(B589&gt;=in_marketplace_from,d_hz_shop*G589,0))</f>
        <v/>
      </c>
      <c r="AW590" s="46">
        <f>AV590*IF(B590&gt;=in_marketplace_from,d_hz_shop*G590,0)</f>
        <v/>
      </c>
      <c r="AX590" s="14">
        <f>F590*AW590*in_shop_ticket*in_shop_comm*in_ins_partner_share+F590*in_shop_ticket*in_shop_renew_comm*in_ins_partner_share*(in_shop_renew^1*SUMIFS(AW557:AW606,B557:B606,B590-12)+in_shop_renew^2*SUMIFS(AW557:AW606,B557:B606,B590-24)+in_shop_renew^3*SUMIFS(AW557:AW606,B557:B606,B590-36)+in_shop_renew^4*SUMIFS(AW557:AW606,B557:B606,B590-48))</f>
        <v/>
      </c>
      <c r="AY590" s="40">
        <f>AY589*(1-IF(B589&gt;=in_marketplace_from,d_hz_sip*G589,0))</f>
        <v/>
      </c>
      <c r="AZ590" s="40">
        <f>AZ589*d_rho_sip+AY590*IF(B590&gt;=in_marketplace_from,d_hz_sip*G590,0)</f>
        <v/>
      </c>
      <c r="BA590" s="40">
        <f>d_rho_sip*(BA589+AZ589)</f>
        <v/>
      </c>
      <c r="BB590" s="14">
        <f>F590*in_sip_ticket*(BA590+0.5*AZ590)*in_sip_comm/12</f>
        <v/>
      </c>
      <c r="BC590" s="40">
        <f>BC589*(1-IF(B589&gt;=in_marketplace_from,d_hz_choti*G589,0))</f>
        <v/>
      </c>
      <c r="BD590" s="46">
        <f>BC590*IF(B590&gt;=in_marketplace_from,d_hz_choti*G590,0)</f>
        <v/>
      </c>
      <c r="BE590" s="14">
        <f>F590*SUMIFS(BD557:BD606,B557:B606,B590-in_choti_months)*in_choti_renew*in_choti_ticket</f>
        <v/>
      </c>
      <c r="BF590" s="40">
        <f>BF589*(1-IF(B589&gt;=in_marketplace_from,d_hz_nps*G589,0))</f>
        <v/>
      </c>
      <c r="BG590" s="14">
        <f>F590*BF590*IF(B590&gt;=in_marketplace_from,d_hz_nps*G590,0)*in_nps_ticket*in_nps_comm</f>
        <v/>
      </c>
      <c r="BH590" s="40">
        <f>BH589*(1-IF(B589&gt;=in_marketplace_from,d_hz_gold*G589,0))</f>
        <v/>
      </c>
      <c r="BI590" s="40">
        <f>BI589*d_rho_gold+BH590*IF(B590&gt;=in_marketplace_from,d_hz_gold*G590,0)</f>
        <v/>
      </c>
      <c r="BJ590" s="14">
        <f>F590*BI590*in_gold_ticket*in_gold_comm</f>
        <v/>
      </c>
      <c r="BK590" s="40">
        <f>BK589*(1-IF(B589&gt;=in_marketplace_from,d_hz_fd*G589,0))</f>
        <v/>
      </c>
      <c r="BL590" s="14">
        <f>F590*BK590*IF(B590&gt;=in_marketplace_from,d_hz_fd*G590,0)*in_fd_ticket*in_fd_comm</f>
        <v/>
      </c>
      <c r="BM590" s="40">
        <f>BM589*(1-IF(B589&gt;=in_marketplace_from,d_hz_recharge*G589,0))</f>
        <v/>
      </c>
      <c r="BN590" s="40">
        <f>BN589*d_rho_recharge+BM590*IF(B590&gt;=in_marketplace_from,d_hz_recharge*G590,0)</f>
        <v/>
      </c>
      <c r="BO590" s="14">
        <f>F590*BN590*in_recharge_ticket*in_recharge_comm/12</f>
        <v/>
      </c>
      <c r="BP590" s="40">
        <f>BP589*(1-IF(B589&gt;=in_marketplace_from,d_hz_bills*G589,0))</f>
        <v/>
      </c>
      <c r="BQ590" s="40">
        <f>BQ589*d_rho_bills+BP590*IF(B590&gt;=in_marketplace_from,d_hz_bills*G590,0)</f>
        <v/>
      </c>
      <c r="BR590" s="14">
        <f>F590*BQ590*in_bills_ticket*in_bills_comm/12</f>
        <v/>
      </c>
      <c r="BS590" s="40">
        <f>BS589*(1-IF(B589&gt;=in_marketplace_from,d_hz_loan_gold*G589,0))</f>
        <v/>
      </c>
      <c r="BT590" s="14">
        <f>F590*BS590*IF(B590&gt;=in_marketplace_from,d_hz_loan_gold*G590,0)*in_loan_gold_ticket*in_loan_gold_comm</f>
        <v/>
      </c>
      <c r="BU590" s="40">
        <f>BU589*(1-IF(B589&gt;=in_marketplace_from,d_hz_loan_cd*G589,0))</f>
        <v/>
      </c>
      <c r="BV590" s="14">
        <f>F590*BU590*IF(B590&gt;=in_marketplace_from,d_hz_loan_cd*G590,0)*in_loan_cd_ticket*in_loan_cd_comm</f>
        <v/>
      </c>
      <c r="BW590" s="40">
        <f>BW589*(1-IF(B589&gt;=in_marketplace_from,d_hz_loan_vehicle*G589,0))</f>
        <v/>
      </c>
      <c r="BX590" s="14">
        <f>F590*BW590*IF(B590&gt;=in_marketplace_from,d_hz_loan_vehicle*G590,0)*in_loan_vehicle_ticket*in_loan_vehicle_comm</f>
        <v/>
      </c>
      <c r="BY590" s="40">
        <f>BY589*(1-IF(B589&gt;=in_marketplace_from,d_hz_loan_home*G589,0)*BZ589)</f>
        <v/>
      </c>
      <c r="BZ590" s="11">
        <f>MIN(in_approval_cap,in_loan_home_approval*INDEX('Age profile'!$O$2:$O$61,B590)*(1+in_approval_growth)^(D590-1))</f>
        <v/>
      </c>
      <c r="CA590" s="14">
        <f>F590*BY590*IF(B590&gt;=in_marketplace_from,d_hz_loan_home*G590,0)*BZ590*in_loan_home_ticket*in_loan_home_comm</f>
        <v/>
      </c>
      <c r="CB590" s="40">
        <f>CB589*(1-IF(B589&gt;=in_marketplace_from,d_hz_loan_lap*G589,0)*CC589)</f>
        <v/>
      </c>
      <c r="CC590" s="11">
        <f>MIN(in_approval_cap,in_loan_lap_approval*INDEX('Age profile'!$O$2:$O$61,B590)*(1+in_approval_growth)^(D590-1))</f>
        <v/>
      </c>
      <c r="CD590" s="14">
        <f>F590*CB590*IF(B590&gt;=in_marketplace_from,d_hz_loan_lap*G590,0)*CC590*in_loan_lap_ticket*in_loan_lap_comm</f>
        <v/>
      </c>
      <c r="CE590" s="14">
        <f>AA590+AB590+AC590+AD590+AG590+AJ590+AM590+AP590+AS590+AU590+AX590+BB590+BE590+BG590+BJ590+BL590+BO590+BR590+BT590+BV590+BX590+CA590+CD590</f>
        <v/>
      </c>
    </row>
    <row r="591">
      <c r="A591" s="39" t="n">
        <v>11</v>
      </c>
      <c r="B591" s="39" t="n">
        <v>35</v>
      </c>
      <c r="C591" s="39">
        <f>A591+B591-1</f>
        <v/>
      </c>
      <c r="D591" s="39">
        <f>INT((C591-1)/12)+1</f>
        <v/>
      </c>
      <c r="E591" s="44">
        <f>INDEX(Monthly!$B$2:$B$61,A591)</f>
        <v/>
      </c>
      <c r="F591" s="44">
        <f>E591*INDEX('Age profile'!$B$2:$B$61,B591)</f>
        <v/>
      </c>
      <c r="G591" s="45">
        <f>MIN(in_takeup_cap,INDEX('Age profile'!$N$2:$N$61,B591)*(1+in_takeup_growth)^(D591-1))</f>
        <v/>
      </c>
      <c r="H591" s="11">
        <f>MIN(in_approval_cap,in_approved_first*INDEX('Age profile'!$O$2:$O$61,B591)*(1+in_approval_growth)^(D591-1))</f>
        <v/>
      </c>
      <c r="I591" s="45">
        <f>G591*MIN(in_takeup_cap,INDEX('Age profile'!$O$2:$O$61,B591)*(1+in_approval_growth)^(D591-1))</f>
        <v/>
      </c>
      <c r="J591" s="40">
        <f>(J590-L590)*F591/F590</f>
        <v/>
      </c>
      <c r="K591" s="40">
        <f>(K590-M590)*F591/F590+SUMIFS(O557:O590,B557:B590,B591-1-d_T)*F591</f>
        <v/>
      </c>
      <c r="L591" s="40">
        <f>IF(B591&gt;=in_marketplace_from,J591*d_hz*G591*in_eligible*H591,0)</f>
        <v/>
      </c>
      <c r="M591" s="40">
        <f>IF(B591&gt;=in_marketplace_from,K591*d_hz*G591*in_eligible*in_approved_repeat,0)</f>
        <v/>
      </c>
      <c r="N591" s="40">
        <f>L591+M591</f>
        <v/>
      </c>
      <c r="O591" s="46">
        <f>N591/F591</f>
        <v/>
      </c>
      <c r="P591" s="40">
        <f>F591-J591-K591</f>
        <v/>
      </c>
      <c r="Q591" s="40">
        <f>IF(B591&gt;=in_marketplace_from,(J591+K591)*d_hz*G591,0)</f>
        <v/>
      </c>
      <c r="R591" s="40">
        <f>SUMIFS(N557:N606,B557:B606,"&gt;="&amp;(B591-d_T),B557:B606,"&lt;="&amp;(B591-1))</f>
        <v/>
      </c>
      <c r="S591" s="46">
        <f>(1-d_u)*S590+IF(d_T&gt;in_topup_lag,SUMIFS(O557:O606,B557:B606,B591-in_topup_lag)-d_udrop*SUMIFS(O557:O606,B557:B606,B591-d_T),0)</f>
        <v/>
      </c>
      <c r="T591" s="40">
        <f>F591*d_u*S591</f>
        <v/>
      </c>
      <c r="U591" s="9">
        <f>L591*in_ticket+M591*d_rep_ticket</f>
        <v/>
      </c>
      <c r="V591" s="9">
        <f>U591+T591*d_topup_amt</f>
        <v/>
      </c>
      <c r="W591" s="40">
        <f>N591+T591*d_topup_ratio</f>
        <v/>
      </c>
      <c r="X591" s="40">
        <f>SUMIFS(W557:W606,B557:B606,B591-in_dpd_lag)*d_cured</f>
        <v/>
      </c>
      <c r="Y591" s="40">
        <f>SUMIFS(W557:W606,B557:B606,B591-in_rec_lag)*d_recd</f>
        <v/>
      </c>
      <c r="Z591" s="40">
        <f>IF(AND(B591&gt;=in_marketplace_from,B591&lt;in_marketplace_from+in_card_months),in_card_share/in_card_months*F591*I591,IF(AND(B591&gt;=in_marketplace_from+in_card_months,B591&lt;in_marketplace_from+2*in_card_months),in_card_share*d_card_rem/in_card_months*F591*MIN(in_takeup_cap,(1+in_takeup_growth)^(D591-1))*MIN(in_takeup_cap,(1+in_approval_growth)^(D591-1)),0))</f>
        <v/>
      </c>
      <c r="AA591" s="14">
        <f>V591*in_fee*(1-in_taken_back)</f>
        <v/>
      </c>
      <c r="AB591" s="14">
        <f>SUMIFS(W557:W606,B557:B606,B591-in_dpd_lag)*d_dpd</f>
        <v/>
      </c>
      <c r="AC591" s="14">
        <f>SUMIFS(W557:W606,B557:B606,B591-in_rec_lag)*d_rec</f>
        <v/>
      </c>
      <c r="AD591" s="14">
        <f>Z591*in_card_fee</f>
        <v/>
      </c>
      <c r="AE591" s="40">
        <f>AE590*(1-IF(B590&gt;=in_marketplace_from,d_hz_hlth_small*G590,0))</f>
        <v/>
      </c>
      <c r="AF591" s="46">
        <f>AE591*IF(B591&gt;=in_marketplace_from,d_hz_hlth_small*G591,0)</f>
        <v/>
      </c>
      <c r="AG591" s="14">
        <f>F591*AF591*in_hlth_small_ticket*in_hlth_small_comm*in_ins_partner_share+F591*in_hlth_small_ticket*in_hlth_small_renew_comm*in_ins_partner_share*(in_hlth_small_renew^1*SUMIFS(AF557:AF606,B557:B606,B591-12)+in_hlth_small_renew^2*SUMIFS(AF557:AF606,B557:B606,B591-24)+in_hlth_small_renew^3*SUMIFS(AF557:AF606,B557:B606,B591-36)+in_hlth_small_renew^4*SUMIFS(AF557:AF606,B557:B606,B591-48))</f>
        <v/>
      </c>
      <c r="AH591" s="40">
        <f>AH590*(1-IF(B590&gt;=in_marketplace_from,d_hz_hlth_family*G590,0))</f>
        <v/>
      </c>
      <c r="AI591" s="46">
        <f>AH591*IF(B591&gt;=in_marketplace_from,d_hz_hlth_family*G591,0)</f>
        <v/>
      </c>
      <c r="AJ591" s="14">
        <f>F591*AI591*in_hlth_family_ticket*in_hlth_family_comm*in_ins_partner_share+F591*in_hlth_family_ticket*in_hlth_family_renew_comm*in_ins_partner_share*(in_hlth_family_renew^1*SUMIFS(AI557:AI606,B557:B606,B591-12)+in_hlth_family_renew^2*SUMIFS(AI557:AI606,B557:B606,B591-24)+in_hlth_family_renew^3*SUMIFS(AI557:AI606,B557:B606,B591-36)+in_hlth_family_renew^4*SUMIFS(AI557:AI606,B557:B606,B591-48))</f>
        <v/>
      </c>
      <c r="AK591" s="40">
        <f>AK590*(1-IF(B590&gt;=in_marketplace_from,d_hz_life_term*G590,0))</f>
        <v/>
      </c>
      <c r="AL591" s="46">
        <f>AK591*IF(B591&gt;=in_marketplace_from,d_hz_life_term*G591,0)</f>
        <v/>
      </c>
      <c r="AM591" s="14">
        <f>F591*AL591*in_life_term_ticket*in_life_term_comm*in_ins_partner_share+F591*in_life_term_ticket*in_life_term_renew_comm*in_ins_partner_share*(in_life_term_renew^1*SUMIFS(AL557:AL606,B557:B606,B591-12)+in_life_term_renew^2*SUMIFS(AL557:AL606,B557:B606,B591-24)+in_life_term_renew^3*SUMIFS(AL557:AL606,B557:B606,B591-36)+in_life_term_renew^4*SUMIFS(AL557:AL606,B557:B606,B591-48))</f>
        <v/>
      </c>
      <c r="AN591" s="40">
        <f>AN590*(1-IF(B590&gt;=in_marketplace_from,d_hz_accident*G590,0))</f>
        <v/>
      </c>
      <c r="AO591" s="46">
        <f>AN591*IF(B591&gt;=in_marketplace_from,d_hz_accident*G591,0)</f>
        <v/>
      </c>
      <c r="AP591" s="14">
        <f>F591*AO591*in_accident_ticket*in_accident_comm*in_ins_partner_share+F591*in_accident_ticket*in_accident_renew_comm*in_ins_partner_share*(in_accident_renew^1*SUMIFS(AO557:AO606,B557:B606,B591-12)+in_accident_renew^2*SUMIFS(AO557:AO606,B557:B606,B591-24)+in_accident_renew^3*SUMIFS(AO557:AO606,B557:B606,B591-36)+in_accident_renew^4*SUMIFS(AO557:AO606,B557:B606,B591-48))</f>
        <v/>
      </c>
      <c r="AQ591" s="40">
        <f>AQ590*(1-IF(B590&gt;=in_marketplace_from,d_hz_two_wheeler*G590,0))</f>
        <v/>
      </c>
      <c r="AR591" s="46">
        <f>AQ591*IF(B591&gt;=in_marketplace_from,d_hz_two_wheeler*G591,0)</f>
        <v/>
      </c>
      <c r="AS591" s="14">
        <f>F591*AR591*in_two_wheeler_ticket*in_two_wheeler_comm*in_ins_partner_share+F591*in_two_wheeler_ticket*in_two_wheeler_comm*in_ins_partner_share*(in_two_wheeler_renew^1*SUMIFS(AR557:AR606,B557:B606,B591-12)+in_two_wheeler_renew^2*SUMIFS(AR557:AR606,B557:B606,B591-24)+in_two_wheeler_renew^3*SUMIFS(AR557:AR606,B557:B606,B591-36)+in_two_wheeler_renew^4*SUMIFS(AR557:AR606,B557:B606,B591-48))</f>
        <v/>
      </c>
      <c r="AT591" s="40">
        <f>AT590*(1-IF(B590&gt;=in_marketplace_from,d_hz_device*G590,0))</f>
        <v/>
      </c>
      <c r="AU591" s="14">
        <f>F591*AT591*IF(B591&gt;=in_marketplace_from,d_hz_device*G591,0)*in_device_ticket*in_device_comm*in_ins_partner_share</f>
        <v/>
      </c>
      <c r="AV591" s="40">
        <f>AV590*(1-IF(B590&gt;=in_marketplace_from,d_hz_shop*G590,0))</f>
        <v/>
      </c>
      <c r="AW591" s="46">
        <f>AV591*IF(B591&gt;=in_marketplace_from,d_hz_shop*G591,0)</f>
        <v/>
      </c>
      <c r="AX591" s="14">
        <f>F591*AW591*in_shop_ticket*in_shop_comm*in_ins_partner_share+F591*in_shop_ticket*in_shop_renew_comm*in_ins_partner_share*(in_shop_renew^1*SUMIFS(AW557:AW606,B557:B606,B591-12)+in_shop_renew^2*SUMIFS(AW557:AW606,B557:B606,B591-24)+in_shop_renew^3*SUMIFS(AW557:AW606,B557:B606,B591-36)+in_shop_renew^4*SUMIFS(AW557:AW606,B557:B606,B591-48))</f>
        <v/>
      </c>
      <c r="AY591" s="40">
        <f>AY590*(1-IF(B590&gt;=in_marketplace_from,d_hz_sip*G590,0))</f>
        <v/>
      </c>
      <c r="AZ591" s="40">
        <f>AZ590*d_rho_sip+AY591*IF(B591&gt;=in_marketplace_from,d_hz_sip*G591,0)</f>
        <v/>
      </c>
      <c r="BA591" s="40">
        <f>d_rho_sip*(BA590+AZ590)</f>
        <v/>
      </c>
      <c r="BB591" s="14">
        <f>F591*in_sip_ticket*(BA591+0.5*AZ591)*in_sip_comm/12</f>
        <v/>
      </c>
      <c r="BC591" s="40">
        <f>BC590*(1-IF(B590&gt;=in_marketplace_from,d_hz_choti*G590,0))</f>
        <v/>
      </c>
      <c r="BD591" s="46">
        <f>BC591*IF(B591&gt;=in_marketplace_from,d_hz_choti*G591,0)</f>
        <v/>
      </c>
      <c r="BE591" s="14">
        <f>F591*SUMIFS(BD557:BD606,B557:B606,B591-in_choti_months)*in_choti_renew*in_choti_ticket</f>
        <v/>
      </c>
      <c r="BF591" s="40">
        <f>BF590*(1-IF(B590&gt;=in_marketplace_from,d_hz_nps*G590,0))</f>
        <v/>
      </c>
      <c r="BG591" s="14">
        <f>F591*BF591*IF(B591&gt;=in_marketplace_from,d_hz_nps*G591,0)*in_nps_ticket*in_nps_comm</f>
        <v/>
      </c>
      <c r="BH591" s="40">
        <f>BH590*(1-IF(B590&gt;=in_marketplace_from,d_hz_gold*G590,0))</f>
        <v/>
      </c>
      <c r="BI591" s="40">
        <f>BI590*d_rho_gold+BH591*IF(B591&gt;=in_marketplace_from,d_hz_gold*G591,0)</f>
        <v/>
      </c>
      <c r="BJ591" s="14">
        <f>F591*BI591*in_gold_ticket*in_gold_comm</f>
        <v/>
      </c>
      <c r="BK591" s="40">
        <f>BK590*(1-IF(B590&gt;=in_marketplace_from,d_hz_fd*G590,0))</f>
        <v/>
      </c>
      <c r="BL591" s="14">
        <f>F591*BK591*IF(B591&gt;=in_marketplace_from,d_hz_fd*G591,0)*in_fd_ticket*in_fd_comm</f>
        <v/>
      </c>
      <c r="BM591" s="40">
        <f>BM590*(1-IF(B590&gt;=in_marketplace_from,d_hz_recharge*G590,0))</f>
        <v/>
      </c>
      <c r="BN591" s="40">
        <f>BN590*d_rho_recharge+BM591*IF(B591&gt;=in_marketplace_from,d_hz_recharge*G591,0)</f>
        <v/>
      </c>
      <c r="BO591" s="14">
        <f>F591*BN591*in_recharge_ticket*in_recharge_comm/12</f>
        <v/>
      </c>
      <c r="BP591" s="40">
        <f>BP590*(1-IF(B590&gt;=in_marketplace_from,d_hz_bills*G590,0))</f>
        <v/>
      </c>
      <c r="BQ591" s="40">
        <f>BQ590*d_rho_bills+BP591*IF(B591&gt;=in_marketplace_from,d_hz_bills*G591,0)</f>
        <v/>
      </c>
      <c r="BR591" s="14">
        <f>F591*BQ591*in_bills_ticket*in_bills_comm/12</f>
        <v/>
      </c>
      <c r="BS591" s="40">
        <f>BS590*(1-IF(B590&gt;=in_marketplace_from,d_hz_loan_gold*G590,0))</f>
        <v/>
      </c>
      <c r="BT591" s="14">
        <f>F591*BS591*IF(B591&gt;=in_marketplace_from,d_hz_loan_gold*G591,0)*in_loan_gold_ticket*in_loan_gold_comm</f>
        <v/>
      </c>
      <c r="BU591" s="40">
        <f>BU590*(1-IF(B590&gt;=in_marketplace_from,d_hz_loan_cd*G590,0))</f>
        <v/>
      </c>
      <c r="BV591" s="14">
        <f>F591*BU591*IF(B591&gt;=in_marketplace_from,d_hz_loan_cd*G591,0)*in_loan_cd_ticket*in_loan_cd_comm</f>
        <v/>
      </c>
      <c r="BW591" s="40">
        <f>BW590*(1-IF(B590&gt;=in_marketplace_from,d_hz_loan_vehicle*G590,0))</f>
        <v/>
      </c>
      <c r="BX591" s="14">
        <f>F591*BW591*IF(B591&gt;=in_marketplace_from,d_hz_loan_vehicle*G591,0)*in_loan_vehicle_ticket*in_loan_vehicle_comm</f>
        <v/>
      </c>
      <c r="BY591" s="40">
        <f>BY590*(1-IF(B590&gt;=in_marketplace_from,d_hz_loan_home*G590,0)*BZ590)</f>
        <v/>
      </c>
      <c r="BZ591" s="11">
        <f>MIN(in_approval_cap,in_loan_home_approval*INDEX('Age profile'!$O$2:$O$61,B591)*(1+in_approval_growth)^(D591-1))</f>
        <v/>
      </c>
      <c r="CA591" s="14">
        <f>F591*BY591*IF(B591&gt;=in_marketplace_from,d_hz_loan_home*G591,0)*BZ591*in_loan_home_ticket*in_loan_home_comm</f>
        <v/>
      </c>
      <c r="CB591" s="40">
        <f>CB590*(1-IF(B590&gt;=in_marketplace_from,d_hz_loan_lap*G590,0)*CC590)</f>
        <v/>
      </c>
      <c r="CC591" s="11">
        <f>MIN(in_approval_cap,in_loan_lap_approval*INDEX('Age profile'!$O$2:$O$61,B591)*(1+in_approval_growth)^(D591-1))</f>
        <v/>
      </c>
      <c r="CD591" s="14">
        <f>F591*CB591*IF(B591&gt;=in_marketplace_from,d_hz_loan_lap*G591,0)*CC591*in_loan_lap_ticket*in_loan_lap_comm</f>
        <v/>
      </c>
      <c r="CE591" s="14">
        <f>AA591+AB591+AC591+AD591+AG591+AJ591+AM591+AP591+AS591+AU591+AX591+BB591+BE591+BG591+BJ591+BL591+BO591+BR591+BT591+BV591+BX591+CA591+CD591</f>
        <v/>
      </c>
    </row>
    <row r="592">
      <c r="A592" s="39" t="n">
        <v>11</v>
      </c>
      <c r="B592" s="39" t="n">
        <v>36</v>
      </c>
      <c r="C592" s="39">
        <f>A592+B592-1</f>
        <v/>
      </c>
      <c r="D592" s="39">
        <f>INT((C592-1)/12)+1</f>
        <v/>
      </c>
      <c r="E592" s="44">
        <f>INDEX(Monthly!$B$2:$B$61,A592)</f>
        <v/>
      </c>
      <c r="F592" s="44">
        <f>E592*INDEX('Age profile'!$B$2:$B$61,B592)</f>
        <v/>
      </c>
      <c r="G592" s="45">
        <f>MIN(in_takeup_cap,INDEX('Age profile'!$N$2:$N$61,B592)*(1+in_takeup_growth)^(D592-1))</f>
        <v/>
      </c>
      <c r="H592" s="11">
        <f>MIN(in_approval_cap,in_approved_first*INDEX('Age profile'!$O$2:$O$61,B592)*(1+in_approval_growth)^(D592-1))</f>
        <v/>
      </c>
      <c r="I592" s="45">
        <f>G592*MIN(in_takeup_cap,INDEX('Age profile'!$O$2:$O$61,B592)*(1+in_approval_growth)^(D592-1))</f>
        <v/>
      </c>
      <c r="J592" s="40">
        <f>(J591-L591)*F592/F591</f>
        <v/>
      </c>
      <c r="K592" s="40">
        <f>(K591-M591)*F592/F591+SUMIFS(O557:O591,B557:B591,B592-1-d_T)*F592</f>
        <v/>
      </c>
      <c r="L592" s="40">
        <f>IF(B592&gt;=in_marketplace_from,J592*d_hz*G592*in_eligible*H592,0)</f>
        <v/>
      </c>
      <c r="M592" s="40">
        <f>IF(B592&gt;=in_marketplace_from,K592*d_hz*G592*in_eligible*in_approved_repeat,0)</f>
        <v/>
      </c>
      <c r="N592" s="40">
        <f>L592+M592</f>
        <v/>
      </c>
      <c r="O592" s="46">
        <f>N592/F592</f>
        <v/>
      </c>
      <c r="P592" s="40">
        <f>F592-J592-K592</f>
        <v/>
      </c>
      <c r="Q592" s="40">
        <f>IF(B592&gt;=in_marketplace_from,(J592+K592)*d_hz*G592,0)</f>
        <v/>
      </c>
      <c r="R592" s="40">
        <f>SUMIFS(N557:N606,B557:B606,"&gt;="&amp;(B592-d_T),B557:B606,"&lt;="&amp;(B592-1))</f>
        <v/>
      </c>
      <c r="S592" s="46">
        <f>(1-d_u)*S591+IF(d_T&gt;in_topup_lag,SUMIFS(O557:O606,B557:B606,B592-in_topup_lag)-d_udrop*SUMIFS(O557:O606,B557:B606,B592-d_T),0)</f>
        <v/>
      </c>
      <c r="T592" s="40">
        <f>F592*d_u*S592</f>
        <v/>
      </c>
      <c r="U592" s="9">
        <f>L592*in_ticket+M592*d_rep_ticket</f>
        <v/>
      </c>
      <c r="V592" s="9">
        <f>U592+T592*d_topup_amt</f>
        <v/>
      </c>
      <c r="W592" s="40">
        <f>N592+T592*d_topup_ratio</f>
        <v/>
      </c>
      <c r="X592" s="40">
        <f>SUMIFS(W557:W606,B557:B606,B592-in_dpd_lag)*d_cured</f>
        <v/>
      </c>
      <c r="Y592" s="40">
        <f>SUMIFS(W557:W606,B557:B606,B592-in_rec_lag)*d_recd</f>
        <v/>
      </c>
      <c r="Z592" s="40">
        <f>IF(AND(B592&gt;=in_marketplace_from,B592&lt;in_marketplace_from+in_card_months),in_card_share/in_card_months*F592*I592,IF(AND(B592&gt;=in_marketplace_from+in_card_months,B592&lt;in_marketplace_from+2*in_card_months),in_card_share*d_card_rem/in_card_months*F592*MIN(in_takeup_cap,(1+in_takeup_growth)^(D592-1))*MIN(in_takeup_cap,(1+in_approval_growth)^(D592-1)),0))</f>
        <v/>
      </c>
      <c r="AA592" s="14">
        <f>V592*in_fee*(1-in_taken_back)</f>
        <v/>
      </c>
      <c r="AB592" s="14">
        <f>SUMIFS(W557:W606,B557:B606,B592-in_dpd_lag)*d_dpd</f>
        <v/>
      </c>
      <c r="AC592" s="14">
        <f>SUMIFS(W557:W606,B557:B606,B592-in_rec_lag)*d_rec</f>
        <v/>
      </c>
      <c r="AD592" s="14">
        <f>Z592*in_card_fee</f>
        <v/>
      </c>
      <c r="AE592" s="40">
        <f>AE591*(1-IF(B591&gt;=in_marketplace_from,d_hz_hlth_small*G591,0))</f>
        <v/>
      </c>
      <c r="AF592" s="46">
        <f>AE592*IF(B592&gt;=in_marketplace_from,d_hz_hlth_small*G592,0)</f>
        <v/>
      </c>
      <c r="AG592" s="14">
        <f>F592*AF592*in_hlth_small_ticket*in_hlth_small_comm*in_ins_partner_share+F592*in_hlth_small_ticket*in_hlth_small_renew_comm*in_ins_partner_share*(in_hlth_small_renew^1*SUMIFS(AF557:AF606,B557:B606,B592-12)+in_hlth_small_renew^2*SUMIFS(AF557:AF606,B557:B606,B592-24)+in_hlth_small_renew^3*SUMIFS(AF557:AF606,B557:B606,B592-36)+in_hlth_small_renew^4*SUMIFS(AF557:AF606,B557:B606,B592-48))</f>
        <v/>
      </c>
      <c r="AH592" s="40">
        <f>AH591*(1-IF(B591&gt;=in_marketplace_from,d_hz_hlth_family*G591,0))</f>
        <v/>
      </c>
      <c r="AI592" s="46">
        <f>AH592*IF(B592&gt;=in_marketplace_from,d_hz_hlth_family*G592,0)</f>
        <v/>
      </c>
      <c r="AJ592" s="14">
        <f>F592*AI592*in_hlth_family_ticket*in_hlth_family_comm*in_ins_partner_share+F592*in_hlth_family_ticket*in_hlth_family_renew_comm*in_ins_partner_share*(in_hlth_family_renew^1*SUMIFS(AI557:AI606,B557:B606,B592-12)+in_hlth_family_renew^2*SUMIFS(AI557:AI606,B557:B606,B592-24)+in_hlth_family_renew^3*SUMIFS(AI557:AI606,B557:B606,B592-36)+in_hlth_family_renew^4*SUMIFS(AI557:AI606,B557:B606,B592-48))</f>
        <v/>
      </c>
      <c r="AK592" s="40">
        <f>AK591*(1-IF(B591&gt;=in_marketplace_from,d_hz_life_term*G591,0))</f>
        <v/>
      </c>
      <c r="AL592" s="46">
        <f>AK592*IF(B592&gt;=in_marketplace_from,d_hz_life_term*G592,0)</f>
        <v/>
      </c>
      <c r="AM592" s="14">
        <f>F592*AL592*in_life_term_ticket*in_life_term_comm*in_ins_partner_share+F592*in_life_term_ticket*in_life_term_renew_comm*in_ins_partner_share*(in_life_term_renew^1*SUMIFS(AL557:AL606,B557:B606,B592-12)+in_life_term_renew^2*SUMIFS(AL557:AL606,B557:B606,B592-24)+in_life_term_renew^3*SUMIFS(AL557:AL606,B557:B606,B592-36)+in_life_term_renew^4*SUMIFS(AL557:AL606,B557:B606,B592-48))</f>
        <v/>
      </c>
      <c r="AN592" s="40">
        <f>AN591*(1-IF(B591&gt;=in_marketplace_from,d_hz_accident*G591,0))</f>
        <v/>
      </c>
      <c r="AO592" s="46">
        <f>AN592*IF(B592&gt;=in_marketplace_from,d_hz_accident*G592,0)</f>
        <v/>
      </c>
      <c r="AP592" s="14">
        <f>F592*AO592*in_accident_ticket*in_accident_comm*in_ins_partner_share+F592*in_accident_ticket*in_accident_renew_comm*in_ins_partner_share*(in_accident_renew^1*SUMIFS(AO557:AO606,B557:B606,B592-12)+in_accident_renew^2*SUMIFS(AO557:AO606,B557:B606,B592-24)+in_accident_renew^3*SUMIFS(AO557:AO606,B557:B606,B592-36)+in_accident_renew^4*SUMIFS(AO557:AO606,B557:B606,B592-48))</f>
        <v/>
      </c>
      <c r="AQ592" s="40">
        <f>AQ591*(1-IF(B591&gt;=in_marketplace_from,d_hz_two_wheeler*G591,0))</f>
        <v/>
      </c>
      <c r="AR592" s="46">
        <f>AQ592*IF(B592&gt;=in_marketplace_from,d_hz_two_wheeler*G592,0)</f>
        <v/>
      </c>
      <c r="AS592" s="14">
        <f>F592*AR592*in_two_wheeler_ticket*in_two_wheeler_comm*in_ins_partner_share+F592*in_two_wheeler_ticket*in_two_wheeler_comm*in_ins_partner_share*(in_two_wheeler_renew^1*SUMIFS(AR557:AR606,B557:B606,B592-12)+in_two_wheeler_renew^2*SUMIFS(AR557:AR606,B557:B606,B592-24)+in_two_wheeler_renew^3*SUMIFS(AR557:AR606,B557:B606,B592-36)+in_two_wheeler_renew^4*SUMIFS(AR557:AR606,B557:B606,B592-48))</f>
        <v/>
      </c>
      <c r="AT592" s="40">
        <f>AT591*(1-IF(B591&gt;=in_marketplace_from,d_hz_device*G591,0))</f>
        <v/>
      </c>
      <c r="AU592" s="14">
        <f>F592*AT592*IF(B592&gt;=in_marketplace_from,d_hz_device*G592,0)*in_device_ticket*in_device_comm*in_ins_partner_share</f>
        <v/>
      </c>
      <c r="AV592" s="40">
        <f>AV591*(1-IF(B591&gt;=in_marketplace_from,d_hz_shop*G591,0))</f>
        <v/>
      </c>
      <c r="AW592" s="46">
        <f>AV592*IF(B592&gt;=in_marketplace_from,d_hz_shop*G592,0)</f>
        <v/>
      </c>
      <c r="AX592" s="14">
        <f>F592*AW592*in_shop_ticket*in_shop_comm*in_ins_partner_share+F592*in_shop_ticket*in_shop_renew_comm*in_ins_partner_share*(in_shop_renew^1*SUMIFS(AW557:AW606,B557:B606,B592-12)+in_shop_renew^2*SUMIFS(AW557:AW606,B557:B606,B592-24)+in_shop_renew^3*SUMIFS(AW557:AW606,B557:B606,B592-36)+in_shop_renew^4*SUMIFS(AW557:AW606,B557:B606,B592-48))</f>
        <v/>
      </c>
      <c r="AY592" s="40">
        <f>AY591*(1-IF(B591&gt;=in_marketplace_from,d_hz_sip*G591,0))</f>
        <v/>
      </c>
      <c r="AZ592" s="40">
        <f>AZ591*d_rho_sip+AY592*IF(B592&gt;=in_marketplace_from,d_hz_sip*G592,0)</f>
        <v/>
      </c>
      <c r="BA592" s="40">
        <f>d_rho_sip*(BA591+AZ591)</f>
        <v/>
      </c>
      <c r="BB592" s="14">
        <f>F592*in_sip_ticket*(BA592+0.5*AZ592)*in_sip_comm/12</f>
        <v/>
      </c>
      <c r="BC592" s="40">
        <f>BC591*(1-IF(B591&gt;=in_marketplace_from,d_hz_choti*G591,0))</f>
        <v/>
      </c>
      <c r="BD592" s="46">
        <f>BC592*IF(B592&gt;=in_marketplace_from,d_hz_choti*G592,0)</f>
        <v/>
      </c>
      <c r="BE592" s="14">
        <f>F592*SUMIFS(BD557:BD606,B557:B606,B592-in_choti_months)*in_choti_renew*in_choti_ticket</f>
        <v/>
      </c>
      <c r="BF592" s="40">
        <f>BF591*(1-IF(B591&gt;=in_marketplace_from,d_hz_nps*G591,0))</f>
        <v/>
      </c>
      <c r="BG592" s="14">
        <f>F592*BF592*IF(B592&gt;=in_marketplace_from,d_hz_nps*G592,0)*in_nps_ticket*in_nps_comm</f>
        <v/>
      </c>
      <c r="BH592" s="40">
        <f>BH591*(1-IF(B591&gt;=in_marketplace_from,d_hz_gold*G591,0))</f>
        <v/>
      </c>
      <c r="BI592" s="40">
        <f>BI591*d_rho_gold+BH592*IF(B592&gt;=in_marketplace_from,d_hz_gold*G592,0)</f>
        <v/>
      </c>
      <c r="BJ592" s="14">
        <f>F592*BI592*in_gold_ticket*in_gold_comm</f>
        <v/>
      </c>
      <c r="BK592" s="40">
        <f>BK591*(1-IF(B591&gt;=in_marketplace_from,d_hz_fd*G591,0))</f>
        <v/>
      </c>
      <c r="BL592" s="14">
        <f>F592*BK592*IF(B592&gt;=in_marketplace_from,d_hz_fd*G592,0)*in_fd_ticket*in_fd_comm</f>
        <v/>
      </c>
      <c r="BM592" s="40">
        <f>BM591*(1-IF(B591&gt;=in_marketplace_from,d_hz_recharge*G591,0))</f>
        <v/>
      </c>
      <c r="BN592" s="40">
        <f>BN591*d_rho_recharge+BM592*IF(B592&gt;=in_marketplace_from,d_hz_recharge*G592,0)</f>
        <v/>
      </c>
      <c r="BO592" s="14">
        <f>F592*BN592*in_recharge_ticket*in_recharge_comm/12</f>
        <v/>
      </c>
      <c r="BP592" s="40">
        <f>BP591*(1-IF(B591&gt;=in_marketplace_from,d_hz_bills*G591,0))</f>
        <v/>
      </c>
      <c r="BQ592" s="40">
        <f>BQ591*d_rho_bills+BP592*IF(B592&gt;=in_marketplace_from,d_hz_bills*G592,0)</f>
        <v/>
      </c>
      <c r="BR592" s="14">
        <f>F592*BQ592*in_bills_ticket*in_bills_comm/12</f>
        <v/>
      </c>
      <c r="BS592" s="40">
        <f>BS591*(1-IF(B591&gt;=in_marketplace_from,d_hz_loan_gold*G591,0))</f>
        <v/>
      </c>
      <c r="BT592" s="14">
        <f>F592*BS592*IF(B592&gt;=in_marketplace_from,d_hz_loan_gold*G592,0)*in_loan_gold_ticket*in_loan_gold_comm</f>
        <v/>
      </c>
      <c r="BU592" s="40">
        <f>BU591*(1-IF(B591&gt;=in_marketplace_from,d_hz_loan_cd*G591,0))</f>
        <v/>
      </c>
      <c r="BV592" s="14">
        <f>F592*BU592*IF(B592&gt;=in_marketplace_from,d_hz_loan_cd*G592,0)*in_loan_cd_ticket*in_loan_cd_comm</f>
        <v/>
      </c>
      <c r="BW592" s="40">
        <f>BW591*(1-IF(B591&gt;=in_marketplace_from,d_hz_loan_vehicle*G591,0))</f>
        <v/>
      </c>
      <c r="BX592" s="14">
        <f>F592*BW592*IF(B592&gt;=in_marketplace_from,d_hz_loan_vehicle*G592,0)*in_loan_vehicle_ticket*in_loan_vehicle_comm</f>
        <v/>
      </c>
      <c r="BY592" s="40">
        <f>BY591*(1-IF(B591&gt;=in_marketplace_from,d_hz_loan_home*G591,0)*BZ591)</f>
        <v/>
      </c>
      <c r="BZ592" s="11">
        <f>MIN(in_approval_cap,in_loan_home_approval*INDEX('Age profile'!$O$2:$O$61,B592)*(1+in_approval_growth)^(D592-1))</f>
        <v/>
      </c>
      <c r="CA592" s="14">
        <f>F592*BY592*IF(B592&gt;=in_marketplace_from,d_hz_loan_home*G592,0)*BZ592*in_loan_home_ticket*in_loan_home_comm</f>
        <v/>
      </c>
      <c r="CB592" s="40">
        <f>CB591*(1-IF(B591&gt;=in_marketplace_from,d_hz_loan_lap*G591,0)*CC591)</f>
        <v/>
      </c>
      <c r="CC592" s="11">
        <f>MIN(in_approval_cap,in_loan_lap_approval*INDEX('Age profile'!$O$2:$O$61,B592)*(1+in_approval_growth)^(D592-1))</f>
        <v/>
      </c>
      <c r="CD592" s="14">
        <f>F592*CB592*IF(B592&gt;=in_marketplace_from,d_hz_loan_lap*G592,0)*CC592*in_loan_lap_ticket*in_loan_lap_comm</f>
        <v/>
      </c>
      <c r="CE592" s="14">
        <f>AA592+AB592+AC592+AD592+AG592+AJ592+AM592+AP592+AS592+AU592+AX592+BB592+BE592+BG592+BJ592+BL592+BO592+BR592+BT592+BV592+BX592+CA592+CD592</f>
        <v/>
      </c>
    </row>
    <row r="593">
      <c r="A593" s="39" t="n">
        <v>11</v>
      </c>
      <c r="B593" s="39" t="n">
        <v>37</v>
      </c>
      <c r="C593" s="39">
        <f>A593+B593-1</f>
        <v/>
      </c>
      <c r="D593" s="39">
        <f>INT((C593-1)/12)+1</f>
        <v/>
      </c>
      <c r="E593" s="44">
        <f>INDEX(Monthly!$B$2:$B$61,A593)</f>
        <v/>
      </c>
      <c r="F593" s="44">
        <f>E593*INDEX('Age profile'!$B$2:$B$61,B593)</f>
        <v/>
      </c>
      <c r="G593" s="45">
        <f>MIN(in_takeup_cap,INDEX('Age profile'!$N$2:$N$61,B593)*(1+in_takeup_growth)^(D593-1))</f>
        <v/>
      </c>
      <c r="H593" s="11">
        <f>MIN(in_approval_cap,in_approved_first*INDEX('Age profile'!$O$2:$O$61,B593)*(1+in_approval_growth)^(D593-1))</f>
        <v/>
      </c>
      <c r="I593" s="45">
        <f>G593*MIN(in_takeup_cap,INDEX('Age profile'!$O$2:$O$61,B593)*(1+in_approval_growth)^(D593-1))</f>
        <v/>
      </c>
      <c r="J593" s="40">
        <f>(J592-L592)*F593/F592</f>
        <v/>
      </c>
      <c r="K593" s="40">
        <f>(K592-M592)*F593/F592+SUMIFS(O557:O592,B557:B592,B593-1-d_T)*F593</f>
        <v/>
      </c>
      <c r="L593" s="40">
        <f>IF(B593&gt;=in_marketplace_from,J593*d_hz*G593*in_eligible*H593,0)</f>
        <v/>
      </c>
      <c r="M593" s="40">
        <f>IF(B593&gt;=in_marketplace_from,K593*d_hz*G593*in_eligible*in_approved_repeat,0)</f>
        <v/>
      </c>
      <c r="N593" s="40">
        <f>L593+M593</f>
        <v/>
      </c>
      <c r="O593" s="46">
        <f>N593/F593</f>
        <v/>
      </c>
      <c r="P593" s="40">
        <f>F593-J593-K593</f>
        <v/>
      </c>
      <c r="Q593" s="40">
        <f>IF(B593&gt;=in_marketplace_from,(J593+K593)*d_hz*G593,0)</f>
        <v/>
      </c>
      <c r="R593" s="40">
        <f>SUMIFS(N557:N606,B557:B606,"&gt;="&amp;(B593-d_T),B557:B606,"&lt;="&amp;(B593-1))</f>
        <v/>
      </c>
      <c r="S593" s="46">
        <f>(1-d_u)*S592+IF(d_T&gt;in_topup_lag,SUMIFS(O557:O606,B557:B606,B593-in_topup_lag)-d_udrop*SUMIFS(O557:O606,B557:B606,B593-d_T),0)</f>
        <v/>
      </c>
      <c r="T593" s="40">
        <f>F593*d_u*S593</f>
        <v/>
      </c>
      <c r="U593" s="9">
        <f>L593*in_ticket+M593*d_rep_ticket</f>
        <v/>
      </c>
      <c r="V593" s="9">
        <f>U593+T593*d_topup_amt</f>
        <v/>
      </c>
      <c r="W593" s="40">
        <f>N593+T593*d_topup_ratio</f>
        <v/>
      </c>
      <c r="X593" s="40">
        <f>SUMIFS(W557:W606,B557:B606,B593-in_dpd_lag)*d_cured</f>
        <v/>
      </c>
      <c r="Y593" s="40">
        <f>SUMIFS(W557:W606,B557:B606,B593-in_rec_lag)*d_recd</f>
        <v/>
      </c>
      <c r="Z593" s="40">
        <f>IF(AND(B593&gt;=in_marketplace_from,B593&lt;in_marketplace_from+in_card_months),in_card_share/in_card_months*F593*I593,IF(AND(B593&gt;=in_marketplace_from+in_card_months,B593&lt;in_marketplace_from+2*in_card_months),in_card_share*d_card_rem/in_card_months*F593*MIN(in_takeup_cap,(1+in_takeup_growth)^(D593-1))*MIN(in_takeup_cap,(1+in_approval_growth)^(D593-1)),0))</f>
        <v/>
      </c>
      <c r="AA593" s="14">
        <f>V593*in_fee*(1-in_taken_back)</f>
        <v/>
      </c>
      <c r="AB593" s="14">
        <f>SUMIFS(W557:W606,B557:B606,B593-in_dpd_lag)*d_dpd</f>
        <v/>
      </c>
      <c r="AC593" s="14">
        <f>SUMIFS(W557:W606,B557:B606,B593-in_rec_lag)*d_rec</f>
        <v/>
      </c>
      <c r="AD593" s="14">
        <f>Z593*in_card_fee</f>
        <v/>
      </c>
      <c r="AE593" s="40">
        <f>AE592*(1-IF(B592&gt;=in_marketplace_from,d_hz_hlth_small*G592,0))</f>
        <v/>
      </c>
      <c r="AF593" s="46">
        <f>AE593*IF(B593&gt;=in_marketplace_from,d_hz_hlth_small*G593,0)</f>
        <v/>
      </c>
      <c r="AG593" s="14">
        <f>F593*AF593*in_hlth_small_ticket*in_hlth_small_comm*in_ins_partner_share+F593*in_hlth_small_ticket*in_hlth_small_renew_comm*in_ins_partner_share*(in_hlth_small_renew^1*SUMIFS(AF557:AF606,B557:B606,B593-12)+in_hlth_small_renew^2*SUMIFS(AF557:AF606,B557:B606,B593-24)+in_hlth_small_renew^3*SUMIFS(AF557:AF606,B557:B606,B593-36)+in_hlth_small_renew^4*SUMIFS(AF557:AF606,B557:B606,B593-48))</f>
        <v/>
      </c>
      <c r="AH593" s="40">
        <f>AH592*(1-IF(B592&gt;=in_marketplace_from,d_hz_hlth_family*G592,0))</f>
        <v/>
      </c>
      <c r="AI593" s="46">
        <f>AH593*IF(B593&gt;=in_marketplace_from,d_hz_hlth_family*G593,0)</f>
        <v/>
      </c>
      <c r="AJ593" s="14">
        <f>F593*AI593*in_hlth_family_ticket*in_hlth_family_comm*in_ins_partner_share+F593*in_hlth_family_ticket*in_hlth_family_renew_comm*in_ins_partner_share*(in_hlth_family_renew^1*SUMIFS(AI557:AI606,B557:B606,B593-12)+in_hlth_family_renew^2*SUMIFS(AI557:AI606,B557:B606,B593-24)+in_hlth_family_renew^3*SUMIFS(AI557:AI606,B557:B606,B593-36)+in_hlth_family_renew^4*SUMIFS(AI557:AI606,B557:B606,B593-48))</f>
        <v/>
      </c>
      <c r="AK593" s="40">
        <f>AK592*(1-IF(B592&gt;=in_marketplace_from,d_hz_life_term*G592,0))</f>
        <v/>
      </c>
      <c r="AL593" s="46">
        <f>AK593*IF(B593&gt;=in_marketplace_from,d_hz_life_term*G593,0)</f>
        <v/>
      </c>
      <c r="AM593" s="14">
        <f>F593*AL593*in_life_term_ticket*in_life_term_comm*in_ins_partner_share+F593*in_life_term_ticket*in_life_term_renew_comm*in_ins_partner_share*(in_life_term_renew^1*SUMIFS(AL557:AL606,B557:B606,B593-12)+in_life_term_renew^2*SUMIFS(AL557:AL606,B557:B606,B593-24)+in_life_term_renew^3*SUMIFS(AL557:AL606,B557:B606,B593-36)+in_life_term_renew^4*SUMIFS(AL557:AL606,B557:B606,B593-48))</f>
        <v/>
      </c>
      <c r="AN593" s="40">
        <f>AN592*(1-IF(B592&gt;=in_marketplace_from,d_hz_accident*G592,0))</f>
        <v/>
      </c>
      <c r="AO593" s="46">
        <f>AN593*IF(B593&gt;=in_marketplace_from,d_hz_accident*G593,0)</f>
        <v/>
      </c>
      <c r="AP593" s="14">
        <f>F593*AO593*in_accident_ticket*in_accident_comm*in_ins_partner_share+F593*in_accident_ticket*in_accident_renew_comm*in_ins_partner_share*(in_accident_renew^1*SUMIFS(AO557:AO606,B557:B606,B593-12)+in_accident_renew^2*SUMIFS(AO557:AO606,B557:B606,B593-24)+in_accident_renew^3*SUMIFS(AO557:AO606,B557:B606,B593-36)+in_accident_renew^4*SUMIFS(AO557:AO606,B557:B606,B593-48))</f>
        <v/>
      </c>
      <c r="AQ593" s="40">
        <f>AQ592*(1-IF(B592&gt;=in_marketplace_from,d_hz_two_wheeler*G592,0))</f>
        <v/>
      </c>
      <c r="AR593" s="46">
        <f>AQ593*IF(B593&gt;=in_marketplace_from,d_hz_two_wheeler*G593,0)</f>
        <v/>
      </c>
      <c r="AS593" s="14">
        <f>F593*AR593*in_two_wheeler_ticket*in_two_wheeler_comm*in_ins_partner_share+F593*in_two_wheeler_ticket*in_two_wheeler_comm*in_ins_partner_share*(in_two_wheeler_renew^1*SUMIFS(AR557:AR606,B557:B606,B593-12)+in_two_wheeler_renew^2*SUMIFS(AR557:AR606,B557:B606,B593-24)+in_two_wheeler_renew^3*SUMIFS(AR557:AR606,B557:B606,B593-36)+in_two_wheeler_renew^4*SUMIFS(AR557:AR606,B557:B606,B593-48))</f>
        <v/>
      </c>
      <c r="AT593" s="40">
        <f>AT592*(1-IF(B592&gt;=in_marketplace_from,d_hz_device*G592,0))</f>
        <v/>
      </c>
      <c r="AU593" s="14">
        <f>F593*AT593*IF(B593&gt;=in_marketplace_from,d_hz_device*G593,0)*in_device_ticket*in_device_comm*in_ins_partner_share</f>
        <v/>
      </c>
      <c r="AV593" s="40">
        <f>AV592*(1-IF(B592&gt;=in_marketplace_from,d_hz_shop*G592,0))</f>
        <v/>
      </c>
      <c r="AW593" s="46">
        <f>AV593*IF(B593&gt;=in_marketplace_from,d_hz_shop*G593,0)</f>
        <v/>
      </c>
      <c r="AX593" s="14">
        <f>F593*AW593*in_shop_ticket*in_shop_comm*in_ins_partner_share+F593*in_shop_ticket*in_shop_renew_comm*in_ins_partner_share*(in_shop_renew^1*SUMIFS(AW557:AW606,B557:B606,B593-12)+in_shop_renew^2*SUMIFS(AW557:AW606,B557:B606,B593-24)+in_shop_renew^3*SUMIFS(AW557:AW606,B557:B606,B593-36)+in_shop_renew^4*SUMIFS(AW557:AW606,B557:B606,B593-48))</f>
        <v/>
      </c>
      <c r="AY593" s="40">
        <f>AY592*(1-IF(B592&gt;=in_marketplace_from,d_hz_sip*G592,0))</f>
        <v/>
      </c>
      <c r="AZ593" s="40">
        <f>AZ592*d_rho_sip+AY593*IF(B593&gt;=in_marketplace_from,d_hz_sip*G593,0)</f>
        <v/>
      </c>
      <c r="BA593" s="40">
        <f>d_rho_sip*(BA592+AZ592)</f>
        <v/>
      </c>
      <c r="BB593" s="14">
        <f>F593*in_sip_ticket*(BA593+0.5*AZ593)*in_sip_comm/12</f>
        <v/>
      </c>
      <c r="BC593" s="40">
        <f>BC592*(1-IF(B592&gt;=in_marketplace_from,d_hz_choti*G592,0))</f>
        <v/>
      </c>
      <c r="BD593" s="46">
        <f>BC593*IF(B593&gt;=in_marketplace_from,d_hz_choti*G593,0)</f>
        <v/>
      </c>
      <c r="BE593" s="14">
        <f>F593*SUMIFS(BD557:BD606,B557:B606,B593-in_choti_months)*in_choti_renew*in_choti_ticket</f>
        <v/>
      </c>
      <c r="BF593" s="40">
        <f>BF592*(1-IF(B592&gt;=in_marketplace_from,d_hz_nps*G592,0))</f>
        <v/>
      </c>
      <c r="BG593" s="14">
        <f>F593*BF593*IF(B593&gt;=in_marketplace_from,d_hz_nps*G593,0)*in_nps_ticket*in_nps_comm</f>
        <v/>
      </c>
      <c r="BH593" s="40">
        <f>BH592*(1-IF(B592&gt;=in_marketplace_from,d_hz_gold*G592,0))</f>
        <v/>
      </c>
      <c r="BI593" s="40">
        <f>BI592*d_rho_gold+BH593*IF(B593&gt;=in_marketplace_from,d_hz_gold*G593,0)</f>
        <v/>
      </c>
      <c r="BJ593" s="14">
        <f>F593*BI593*in_gold_ticket*in_gold_comm</f>
        <v/>
      </c>
      <c r="BK593" s="40">
        <f>BK592*(1-IF(B592&gt;=in_marketplace_from,d_hz_fd*G592,0))</f>
        <v/>
      </c>
      <c r="BL593" s="14">
        <f>F593*BK593*IF(B593&gt;=in_marketplace_from,d_hz_fd*G593,0)*in_fd_ticket*in_fd_comm</f>
        <v/>
      </c>
      <c r="BM593" s="40">
        <f>BM592*(1-IF(B592&gt;=in_marketplace_from,d_hz_recharge*G592,0))</f>
        <v/>
      </c>
      <c r="BN593" s="40">
        <f>BN592*d_rho_recharge+BM593*IF(B593&gt;=in_marketplace_from,d_hz_recharge*G593,0)</f>
        <v/>
      </c>
      <c r="BO593" s="14">
        <f>F593*BN593*in_recharge_ticket*in_recharge_comm/12</f>
        <v/>
      </c>
      <c r="BP593" s="40">
        <f>BP592*(1-IF(B592&gt;=in_marketplace_from,d_hz_bills*G592,0))</f>
        <v/>
      </c>
      <c r="BQ593" s="40">
        <f>BQ592*d_rho_bills+BP593*IF(B593&gt;=in_marketplace_from,d_hz_bills*G593,0)</f>
        <v/>
      </c>
      <c r="BR593" s="14">
        <f>F593*BQ593*in_bills_ticket*in_bills_comm/12</f>
        <v/>
      </c>
      <c r="BS593" s="40">
        <f>BS592*(1-IF(B592&gt;=in_marketplace_from,d_hz_loan_gold*G592,0))</f>
        <v/>
      </c>
      <c r="BT593" s="14">
        <f>F593*BS593*IF(B593&gt;=in_marketplace_from,d_hz_loan_gold*G593,0)*in_loan_gold_ticket*in_loan_gold_comm</f>
        <v/>
      </c>
      <c r="BU593" s="40">
        <f>BU592*(1-IF(B592&gt;=in_marketplace_from,d_hz_loan_cd*G592,0))</f>
        <v/>
      </c>
      <c r="BV593" s="14">
        <f>F593*BU593*IF(B593&gt;=in_marketplace_from,d_hz_loan_cd*G593,0)*in_loan_cd_ticket*in_loan_cd_comm</f>
        <v/>
      </c>
      <c r="BW593" s="40">
        <f>BW592*(1-IF(B592&gt;=in_marketplace_from,d_hz_loan_vehicle*G592,0))</f>
        <v/>
      </c>
      <c r="BX593" s="14">
        <f>F593*BW593*IF(B593&gt;=in_marketplace_from,d_hz_loan_vehicle*G593,0)*in_loan_vehicle_ticket*in_loan_vehicle_comm</f>
        <v/>
      </c>
      <c r="BY593" s="40">
        <f>BY592*(1-IF(B592&gt;=in_marketplace_from,d_hz_loan_home*G592,0)*BZ592)</f>
        <v/>
      </c>
      <c r="BZ593" s="11">
        <f>MIN(in_approval_cap,in_loan_home_approval*INDEX('Age profile'!$O$2:$O$61,B593)*(1+in_approval_growth)^(D593-1))</f>
        <v/>
      </c>
      <c r="CA593" s="14">
        <f>F593*BY593*IF(B593&gt;=in_marketplace_from,d_hz_loan_home*G593,0)*BZ593*in_loan_home_ticket*in_loan_home_comm</f>
        <v/>
      </c>
      <c r="CB593" s="40">
        <f>CB592*(1-IF(B592&gt;=in_marketplace_from,d_hz_loan_lap*G592,0)*CC592)</f>
        <v/>
      </c>
      <c r="CC593" s="11">
        <f>MIN(in_approval_cap,in_loan_lap_approval*INDEX('Age profile'!$O$2:$O$61,B593)*(1+in_approval_growth)^(D593-1))</f>
        <v/>
      </c>
      <c r="CD593" s="14">
        <f>F593*CB593*IF(B593&gt;=in_marketplace_from,d_hz_loan_lap*G593,0)*CC593*in_loan_lap_ticket*in_loan_lap_comm</f>
        <v/>
      </c>
      <c r="CE593" s="14">
        <f>AA593+AB593+AC593+AD593+AG593+AJ593+AM593+AP593+AS593+AU593+AX593+BB593+BE593+BG593+BJ593+BL593+BO593+BR593+BT593+BV593+BX593+CA593+CD593</f>
        <v/>
      </c>
    </row>
    <row r="594">
      <c r="A594" s="39" t="n">
        <v>11</v>
      </c>
      <c r="B594" s="39" t="n">
        <v>38</v>
      </c>
      <c r="C594" s="39">
        <f>A594+B594-1</f>
        <v/>
      </c>
      <c r="D594" s="39">
        <f>INT((C594-1)/12)+1</f>
        <v/>
      </c>
      <c r="E594" s="44">
        <f>INDEX(Monthly!$B$2:$B$61,A594)</f>
        <v/>
      </c>
      <c r="F594" s="44">
        <f>E594*INDEX('Age profile'!$B$2:$B$61,B594)</f>
        <v/>
      </c>
      <c r="G594" s="45">
        <f>MIN(in_takeup_cap,INDEX('Age profile'!$N$2:$N$61,B594)*(1+in_takeup_growth)^(D594-1))</f>
        <v/>
      </c>
      <c r="H594" s="11">
        <f>MIN(in_approval_cap,in_approved_first*INDEX('Age profile'!$O$2:$O$61,B594)*(1+in_approval_growth)^(D594-1))</f>
        <v/>
      </c>
      <c r="I594" s="45">
        <f>G594*MIN(in_takeup_cap,INDEX('Age profile'!$O$2:$O$61,B594)*(1+in_approval_growth)^(D594-1))</f>
        <v/>
      </c>
      <c r="J594" s="40">
        <f>(J593-L593)*F594/F593</f>
        <v/>
      </c>
      <c r="K594" s="40">
        <f>(K593-M593)*F594/F593+SUMIFS(O557:O593,B557:B593,B594-1-d_T)*F594</f>
        <v/>
      </c>
      <c r="L594" s="40">
        <f>IF(B594&gt;=in_marketplace_from,J594*d_hz*G594*in_eligible*H594,0)</f>
        <v/>
      </c>
      <c r="M594" s="40">
        <f>IF(B594&gt;=in_marketplace_from,K594*d_hz*G594*in_eligible*in_approved_repeat,0)</f>
        <v/>
      </c>
      <c r="N594" s="40">
        <f>L594+M594</f>
        <v/>
      </c>
      <c r="O594" s="46">
        <f>N594/F594</f>
        <v/>
      </c>
      <c r="P594" s="40">
        <f>F594-J594-K594</f>
        <v/>
      </c>
      <c r="Q594" s="40">
        <f>IF(B594&gt;=in_marketplace_from,(J594+K594)*d_hz*G594,0)</f>
        <v/>
      </c>
      <c r="R594" s="40">
        <f>SUMIFS(N557:N606,B557:B606,"&gt;="&amp;(B594-d_T),B557:B606,"&lt;="&amp;(B594-1))</f>
        <v/>
      </c>
      <c r="S594" s="46">
        <f>(1-d_u)*S593+IF(d_T&gt;in_topup_lag,SUMIFS(O557:O606,B557:B606,B594-in_topup_lag)-d_udrop*SUMIFS(O557:O606,B557:B606,B594-d_T),0)</f>
        <v/>
      </c>
      <c r="T594" s="40">
        <f>F594*d_u*S594</f>
        <v/>
      </c>
      <c r="U594" s="9">
        <f>L594*in_ticket+M594*d_rep_ticket</f>
        <v/>
      </c>
      <c r="V594" s="9">
        <f>U594+T594*d_topup_amt</f>
        <v/>
      </c>
      <c r="W594" s="40">
        <f>N594+T594*d_topup_ratio</f>
        <v/>
      </c>
      <c r="X594" s="40">
        <f>SUMIFS(W557:W606,B557:B606,B594-in_dpd_lag)*d_cured</f>
        <v/>
      </c>
      <c r="Y594" s="40">
        <f>SUMIFS(W557:W606,B557:B606,B594-in_rec_lag)*d_recd</f>
        <v/>
      </c>
      <c r="Z594" s="40">
        <f>IF(AND(B594&gt;=in_marketplace_from,B594&lt;in_marketplace_from+in_card_months),in_card_share/in_card_months*F594*I594,IF(AND(B594&gt;=in_marketplace_from+in_card_months,B594&lt;in_marketplace_from+2*in_card_months),in_card_share*d_card_rem/in_card_months*F594*MIN(in_takeup_cap,(1+in_takeup_growth)^(D594-1))*MIN(in_takeup_cap,(1+in_approval_growth)^(D594-1)),0))</f>
        <v/>
      </c>
      <c r="AA594" s="14">
        <f>V594*in_fee*(1-in_taken_back)</f>
        <v/>
      </c>
      <c r="AB594" s="14">
        <f>SUMIFS(W557:W606,B557:B606,B594-in_dpd_lag)*d_dpd</f>
        <v/>
      </c>
      <c r="AC594" s="14">
        <f>SUMIFS(W557:W606,B557:B606,B594-in_rec_lag)*d_rec</f>
        <v/>
      </c>
      <c r="AD594" s="14">
        <f>Z594*in_card_fee</f>
        <v/>
      </c>
      <c r="AE594" s="40">
        <f>AE593*(1-IF(B593&gt;=in_marketplace_from,d_hz_hlth_small*G593,0))</f>
        <v/>
      </c>
      <c r="AF594" s="46">
        <f>AE594*IF(B594&gt;=in_marketplace_from,d_hz_hlth_small*G594,0)</f>
        <v/>
      </c>
      <c r="AG594" s="14">
        <f>F594*AF594*in_hlth_small_ticket*in_hlth_small_comm*in_ins_partner_share+F594*in_hlth_small_ticket*in_hlth_small_renew_comm*in_ins_partner_share*(in_hlth_small_renew^1*SUMIFS(AF557:AF606,B557:B606,B594-12)+in_hlth_small_renew^2*SUMIFS(AF557:AF606,B557:B606,B594-24)+in_hlth_small_renew^3*SUMIFS(AF557:AF606,B557:B606,B594-36)+in_hlth_small_renew^4*SUMIFS(AF557:AF606,B557:B606,B594-48))</f>
        <v/>
      </c>
      <c r="AH594" s="40">
        <f>AH593*(1-IF(B593&gt;=in_marketplace_from,d_hz_hlth_family*G593,0))</f>
        <v/>
      </c>
      <c r="AI594" s="46">
        <f>AH594*IF(B594&gt;=in_marketplace_from,d_hz_hlth_family*G594,0)</f>
        <v/>
      </c>
      <c r="AJ594" s="14">
        <f>F594*AI594*in_hlth_family_ticket*in_hlth_family_comm*in_ins_partner_share+F594*in_hlth_family_ticket*in_hlth_family_renew_comm*in_ins_partner_share*(in_hlth_family_renew^1*SUMIFS(AI557:AI606,B557:B606,B594-12)+in_hlth_family_renew^2*SUMIFS(AI557:AI606,B557:B606,B594-24)+in_hlth_family_renew^3*SUMIFS(AI557:AI606,B557:B606,B594-36)+in_hlth_family_renew^4*SUMIFS(AI557:AI606,B557:B606,B594-48))</f>
        <v/>
      </c>
      <c r="AK594" s="40">
        <f>AK593*(1-IF(B593&gt;=in_marketplace_from,d_hz_life_term*G593,0))</f>
        <v/>
      </c>
      <c r="AL594" s="46">
        <f>AK594*IF(B594&gt;=in_marketplace_from,d_hz_life_term*G594,0)</f>
        <v/>
      </c>
      <c r="AM594" s="14">
        <f>F594*AL594*in_life_term_ticket*in_life_term_comm*in_ins_partner_share+F594*in_life_term_ticket*in_life_term_renew_comm*in_ins_partner_share*(in_life_term_renew^1*SUMIFS(AL557:AL606,B557:B606,B594-12)+in_life_term_renew^2*SUMIFS(AL557:AL606,B557:B606,B594-24)+in_life_term_renew^3*SUMIFS(AL557:AL606,B557:B606,B594-36)+in_life_term_renew^4*SUMIFS(AL557:AL606,B557:B606,B594-48))</f>
        <v/>
      </c>
      <c r="AN594" s="40">
        <f>AN593*(1-IF(B593&gt;=in_marketplace_from,d_hz_accident*G593,0))</f>
        <v/>
      </c>
      <c r="AO594" s="46">
        <f>AN594*IF(B594&gt;=in_marketplace_from,d_hz_accident*G594,0)</f>
        <v/>
      </c>
      <c r="AP594" s="14">
        <f>F594*AO594*in_accident_ticket*in_accident_comm*in_ins_partner_share+F594*in_accident_ticket*in_accident_renew_comm*in_ins_partner_share*(in_accident_renew^1*SUMIFS(AO557:AO606,B557:B606,B594-12)+in_accident_renew^2*SUMIFS(AO557:AO606,B557:B606,B594-24)+in_accident_renew^3*SUMIFS(AO557:AO606,B557:B606,B594-36)+in_accident_renew^4*SUMIFS(AO557:AO606,B557:B606,B594-48))</f>
        <v/>
      </c>
      <c r="AQ594" s="40">
        <f>AQ593*(1-IF(B593&gt;=in_marketplace_from,d_hz_two_wheeler*G593,0))</f>
        <v/>
      </c>
      <c r="AR594" s="46">
        <f>AQ594*IF(B594&gt;=in_marketplace_from,d_hz_two_wheeler*G594,0)</f>
        <v/>
      </c>
      <c r="AS594" s="14">
        <f>F594*AR594*in_two_wheeler_ticket*in_two_wheeler_comm*in_ins_partner_share+F594*in_two_wheeler_ticket*in_two_wheeler_comm*in_ins_partner_share*(in_two_wheeler_renew^1*SUMIFS(AR557:AR606,B557:B606,B594-12)+in_two_wheeler_renew^2*SUMIFS(AR557:AR606,B557:B606,B594-24)+in_two_wheeler_renew^3*SUMIFS(AR557:AR606,B557:B606,B594-36)+in_two_wheeler_renew^4*SUMIFS(AR557:AR606,B557:B606,B594-48))</f>
        <v/>
      </c>
      <c r="AT594" s="40">
        <f>AT593*(1-IF(B593&gt;=in_marketplace_from,d_hz_device*G593,0))</f>
        <v/>
      </c>
      <c r="AU594" s="14">
        <f>F594*AT594*IF(B594&gt;=in_marketplace_from,d_hz_device*G594,0)*in_device_ticket*in_device_comm*in_ins_partner_share</f>
        <v/>
      </c>
      <c r="AV594" s="40">
        <f>AV593*(1-IF(B593&gt;=in_marketplace_from,d_hz_shop*G593,0))</f>
        <v/>
      </c>
      <c r="AW594" s="46">
        <f>AV594*IF(B594&gt;=in_marketplace_from,d_hz_shop*G594,0)</f>
        <v/>
      </c>
      <c r="AX594" s="14">
        <f>F594*AW594*in_shop_ticket*in_shop_comm*in_ins_partner_share+F594*in_shop_ticket*in_shop_renew_comm*in_ins_partner_share*(in_shop_renew^1*SUMIFS(AW557:AW606,B557:B606,B594-12)+in_shop_renew^2*SUMIFS(AW557:AW606,B557:B606,B594-24)+in_shop_renew^3*SUMIFS(AW557:AW606,B557:B606,B594-36)+in_shop_renew^4*SUMIFS(AW557:AW606,B557:B606,B594-48))</f>
        <v/>
      </c>
      <c r="AY594" s="40">
        <f>AY593*(1-IF(B593&gt;=in_marketplace_from,d_hz_sip*G593,0))</f>
        <v/>
      </c>
      <c r="AZ594" s="40">
        <f>AZ593*d_rho_sip+AY594*IF(B594&gt;=in_marketplace_from,d_hz_sip*G594,0)</f>
        <v/>
      </c>
      <c r="BA594" s="40">
        <f>d_rho_sip*(BA593+AZ593)</f>
        <v/>
      </c>
      <c r="BB594" s="14">
        <f>F594*in_sip_ticket*(BA594+0.5*AZ594)*in_sip_comm/12</f>
        <v/>
      </c>
      <c r="BC594" s="40">
        <f>BC593*(1-IF(B593&gt;=in_marketplace_from,d_hz_choti*G593,0))</f>
        <v/>
      </c>
      <c r="BD594" s="46">
        <f>BC594*IF(B594&gt;=in_marketplace_from,d_hz_choti*G594,0)</f>
        <v/>
      </c>
      <c r="BE594" s="14">
        <f>F594*SUMIFS(BD557:BD606,B557:B606,B594-in_choti_months)*in_choti_renew*in_choti_ticket</f>
        <v/>
      </c>
      <c r="BF594" s="40">
        <f>BF593*(1-IF(B593&gt;=in_marketplace_from,d_hz_nps*G593,0))</f>
        <v/>
      </c>
      <c r="BG594" s="14">
        <f>F594*BF594*IF(B594&gt;=in_marketplace_from,d_hz_nps*G594,0)*in_nps_ticket*in_nps_comm</f>
        <v/>
      </c>
      <c r="BH594" s="40">
        <f>BH593*(1-IF(B593&gt;=in_marketplace_from,d_hz_gold*G593,0))</f>
        <v/>
      </c>
      <c r="BI594" s="40">
        <f>BI593*d_rho_gold+BH594*IF(B594&gt;=in_marketplace_from,d_hz_gold*G594,0)</f>
        <v/>
      </c>
      <c r="BJ594" s="14">
        <f>F594*BI594*in_gold_ticket*in_gold_comm</f>
        <v/>
      </c>
      <c r="BK594" s="40">
        <f>BK593*(1-IF(B593&gt;=in_marketplace_from,d_hz_fd*G593,0))</f>
        <v/>
      </c>
      <c r="BL594" s="14">
        <f>F594*BK594*IF(B594&gt;=in_marketplace_from,d_hz_fd*G594,0)*in_fd_ticket*in_fd_comm</f>
        <v/>
      </c>
      <c r="BM594" s="40">
        <f>BM593*(1-IF(B593&gt;=in_marketplace_from,d_hz_recharge*G593,0))</f>
        <v/>
      </c>
      <c r="BN594" s="40">
        <f>BN593*d_rho_recharge+BM594*IF(B594&gt;=in_marketplace_from,d_hz_recharge*G594,0)</f>
        <v/>
      </c>
      <c r="BO594" s="14">
        <f>F594*BN594*in_recharge_ticket*in_recharge_comm/12</f>
        <v/>
      </c>
      <c r="BP594" s="40">
        <f>BP593*(1-IF(B593&gt;=in_marketplace_from,d_hz_bills*G593,0))</f>
        <v/>
      </c>
      <c r="BQ594" s="40">
        <f>BQ593*d_rho_bills+BP594*IF(B594&gt;=in_marketplace_from,d_hz_bills*G594,0)</f>
        <v/>
      </c>
      <c r="BR594" s="14">
        <f>F594*BQ594*in_bills_ticket*in_bills_comm/12</f>
        <v/>
      </c>
      <c r="BS594" s="40">
        <f>BS593*(1-IF(B593&gt;=in_marketplace_from,d_hz_loan_gold*G593,0))</f>
        <v/>
      </c>
      <c r="BT594" s="14">
        <f>F594*BS594*IF(B594&gt;=in_marketplace_from,d_hz_loan_gold*G594,0)*in_loan_gold_ticket*in_loan_gold_comm</f>
        <v/>
      </c>
      <c r="BU594" s="40">
        <f>BU593*(1-IF(B593&gt;=in_marketplace_from,d_hz_loan_cd*G593,0))</f>
        <v/>
      </c>
      <c r="BV594" s="14">
        <f>F594*BU594*IF(B594&gt;=in_marketplace_from,d_hz_loan_cd*G594,0)*in_loan_cd_ticket*in_loan_cd_comm</f>
        <v/>
      </c>
      <c r="BW594" s="40">
        <f>BW593*(1-IF(B593&gt;=in_marketplace_from,d_hz_loan_vehicle*G593,0))</f>
        <v/>
      </c>
      <c r="BX594" s="14">
        <f>F594*BW594*IF(B594&gt;=in_marketplace_from,d_hz_loan_vehicle*G594,0)*in_loan_vehicle_ticket*in_loan_vehicle_comm</f>
        <v/>
      </c>
      <c r="BY594" s="40">
        <f>BY593*(1-IF(B593&gt;=in_marketplace_from,d_hz_loan_home*G593,0)*BZ593)</f>
        <v/>
      </c>
      <c r="BZ594" s="11">
        <f>MIN(in_approval_cap,in_loan_home_approval*INDEX('Age profile'!$O$2:$O$61,B594)*(1+in_approval_growth)^(D594-1))</f>
        <v/>
      </c>
      <c r="CA594" s="14">
        <f>F594*BY594*IF(B594&gt;=in_marketplace_from,d_hz_loan_home*G594,0)*BZ594*in_loan_home_ticket*in_loan_home_comm</f>
        <v/>
      </c>
      <c r="CB594" s="40">
        <f>CB593*(1-IF(B593&gt;=in_marketplace_from,d_hz_loan_lap*G593,0)*CC593)</f>
        <v/>
      </c>
      <c r="CC594" s="11">
        <f>MIN(in_approval_cap,in_loan_lap_approval*INDEX('Age profile'!$O$2:$O$61,B594)*(1+in_approval_growth)^(D594-1))</f>
        <v/>
      </c>
      <c r="CD594" s="14">
        <f>F594*CB594*IF(B594&gt;=in_marketplace_from,d_hz_loan_lap*G594,0)*CC594*in_loan_lap_ticket*in_loan_lap_comm</f>
        <v/>
      </c>
      <c r="CE594" s="14">
        <f>AA594+AB594+AC594+AD594+AG594+AJ594+AM594+AP594+AS594+AU594+AX594+BB594+BE594+BG594+BJ594+BL594+BO594+BR594+BT594+BV594+BX594+CA594+CD594</f>
        <v/>
      </c>
    </row>
    <row r="595">
      <c r="A595" s="39" t="n">
        <v>11</v>
      </c>
      <c r="B595" s="39" t="n">
        <v>39</v>
      </c>
      <c r="C595" s="39">
        <f>A595+B595-1</f>
        <v/>
      </c>
      <c r="D595" s="39">
        <f>INT((C595-1)/12)+1</f>
        <v/>
      </c>
      <c r="E595" s="44">
        <f>INDEX(Monthly!$B$2:$B$61,A595)</f>
        <v/>
      </c>
      <c r="F595" s="44">
        <f>E595*INDEX('Age profile'!$B$2:$B$61,B595)</f>
        <v/>
      </c>
      <c r="G595" s="45">
        <f>MIN(in_takeup_cap,INDEX('Age profile'!$N$2:$N$61,B595)*(1+in_takeup_growth)^(D595-1))</f>
        <v/>
      </c>
      <c r="H595" s="11">
        <f>MIN(in_approval_cap,in_approved_first*INDEX('Age profile'!$O$2:$O$61,B595)*(1+in_approval_growth)^(D595-1))</f>
        <v/>
      </c>
      <c r="I595" s="45">
        <f>G595*MIN(in_takeup_cap,INDEX('Age profile'!$O$2:$O$61,B595)*(1+in_approval_growth)^(D595-1))</f>
        <v/>
      </c>
      <c r="J595" s="40">
        <f>(J594-L594)*F595/F594</f>
        <v/>
      </c>
      <c r="K595" s="40">
        <f>(K594-M594)*F595/F594+SUMIFS(O557:O594,B557:B594,B595-1-d_T)*F595</f>
        <v/>
      </c>
      <c r="L595" s="40">
        <f>IF(B595&gt;=in_marketplace_from,J595*d_hz*G595*in_eligible*H595,0)</f>
        <v/>
      </c>
      <c r="M595" s="40">
        <f>IF(B595&gt;=in_marketplace_from,K595*d_hz*G595*in_eligible*in_approved_repeat,0)</f>
        <v/>
      </c>
      <c r="N595" s="40">
        <f>L595+M595</f>
        <v/>
      </c>
      <c r="O595" s="46">
        <f>N595/F595</f>
        <v/>
      </c>
      <c r="P595" s="40">
        <f>F595-J595-K595</f>
        <v/>
      </c>
      <c r="Q595" s="40">
        <f>IF(B595&gt;=in_marketplace_from,(J595+K595)*d_hz*G595,0)</f>
        <v/>
      </c>
      <c r="R595" s="40">
        <f>SUMIFS(N557:N606,B557:B606,"&gt;="&amp;(B595-d_T),B557:B606,"&lt;="&amp;(B595-1))</f>
        <v/>
      </c>
      <c r="S595" s="46">
        <f>(1-d_u)*S594+IF(d_T&gt;in_topup_lag,SUMIFS(O557:O606,B557:B606,B595-in_topup_lag)-d_udrop*SUMIFS(O557:O606,B557:B606,B595-d_T),0)</f>
        <v/>
      </c>
      <c r="T595" s="40">
        <f>F595*d_u*S595</f>
        <v/>
      </c>
      <c r="U595" s="9">
        <f>L595*in_ticket+M595*d_rep_ticket</f>
        <v/>
      </c>
      <c r="V595" s="9">
        <f>U595+T595*d_topup_amt</f>
        <v/>
      </c>
      <c r="W595" s="40">
        <f>N595+T595*d_topup_ratio</f>
        <v/>
      </c>
      <c r="X595" s="40">
        <f>SUMIFS(W557:W606,B557:B606,B595-in_dpd_lag)*d_cured</f>
        <v/>
      </c>
      <c r="Y595" s="40">
        <f>SUMIFS(W557:W606,B557:B606,B595-in_rec_lag)*d_recd</f>
        <v/>
      </c>
      <c r="Z595" s="40">
        <f>IF(AND(B595&gt;=in_marketplace_from,B595&lt;in_marketplace_from+in_card_months),in_card_share/in_card_months*F595*I595,IF(AND(B595&gt;=in_marketplace_from+in_card_months,B595&lt;in_marketplace_from+2*in_card_months),in_card_share*d_card_rem/in_card_months*F595*MIN(in_takeup_cap,(1+in_takeup_growth)^(D595-1))*MIN(in_takeup_cap,(1+in_approval_growth)^(D595-1)),0))</f>
        <v/>
      </c>
      <c r="AA595" s="14">
        <f>V595*in_fee*(1-in_taken_back)</f>
        <v/>
      </c>
      <c r="AB595" s="14">
        <f>SUMIFS(W557:W606,B557:B606,B595-in_dpd_lag)*d_dpd</f>
        <v/>
      </c>
      <c r="AC595" s="14">
        <f>SUMIFS(W557:W606,B557:B606,B595-in_rec_lag)*d_rec</f>
        <v/>
      </c>
      <c r="AD595" s="14">
        <f>Z595*in_card_fee</f>
        <v/>
      </c>
      <c r="AE595" s="40">
        <f>AE594*(1-IF(B594&gt;=in_marketplace_from,d_hz_hlth_small*G594,0))</f>
        <v/>
      </c>
      <c r="AF595" s="46">
        <f>AE595*IF(B595&gt;=in_marketplace_from,d_hz_hlth_small*G595,0)</f>
        <v/>
      </c>
      <c r="AG595" s="14">
        <f>F595*AF595*in_hlth_small_ticket*in_hlth_small_comm*in_ins_partner_share+F595*in_hlth_small_ticket*in_hlth_small_renew_comm*in_ins_partner_share*(in_hlth_small_renew^1*SUMIFS(AF557:AF606,B557:B606,B595-12)+in_hlth_small_renew^2*SUMIFS(AF557:AF606,B557:B606,B595-24)+in_hlth_small_renew^3*SUMIFS(AF557:AF606,B557:B606,B595-36)+in_hlth_small_renew^4*SUMIFS(AF557:AF606,B557:B606,B595-48))</f>
        <v/>
      </c>
      <c r="AH595" s="40">
        <f>AH594*(1-IF(B594&gt;=in_marketplace_from,d_hz_hlth_family*G594,0))</f>
        <v/>
      </c>
      <c r="AI595" s="46">
        <f>AH595*IF(B595&gt;=in_marketplace_from,d_hz_hlth_family*G595,0)</f>
        <v/>
      </c>
      <c r="AJ595" s="14">
        <f>F595*AI595*in_hlth_family_ticket*in_hlth_family_comm*in_ins_partner_share+F595*in_hlth_family_ticket*in_hlth_family_renew_comm*in_ins_partner_share*(in_hlth_family_renew^1*SUMIFS(AI557:AI606,B557:B606,B595-12)+in_hlth_family_renew^2*SUMIFS(AI557:AI606,B557:B606,B595-24)+in_hlth_family_renew^3*SUMIFS(AI557:AI606,B557:B606,B595-36)+in_hlth_family_renew^4*SUMIFS(AI557:AI606,B557:B606,B595-48))</f>
        <v/>
      </c>
      <c r="AK595" s="40">
        <f>AK594*(1-IF(B594&gt;=in_marketplace_from,d_hz_life_term*G594,0))</f>
        <v/>
      </c>
      <c r="AL595" s="46">
        <f>AK595*IF(B595&gt;=in_marketplace_from,d_hz_life_term*G595,0)</f>
        <v/>
      </c>
      <c r="AM595" s="14">
        <f>F595*AL595*in_life_term_ticket*in_life_term_comm*in_ins_partner_share+F595*in_life_term_ticket*in_life_term_renew_comm*in_ins_partner_share*(in_life_term_renew^1*SUMIFS(AL557:AL606,B557:B606,B595-12)+in_life_term_renew^2*SUMIFS(AL557:AL606,B557:B606,B595-24)+in_life_term_renew^3*SUMIFS(AL557:AL606,B557:B606,B595-36)+in_life_term_renew^4*SUMIFS(AL557:AL606,B557:B606,B595-48))</f>
        <v/>
      </c>
      <c r="AN595" s="40">
        <f>AN594*(1-IF(B594&gt;=in_marketplace_from,d_hz_accident*G594,0))</f>
        <v/>
      </c>
      <c r="AO595" s="46">
        <f>AN595*IF(B595&gt;=in_marketplace_from,d_hz_accident*G595,0)</f>
        <v/>
      </c>
      <c r="AP595" s="14">
        <f>F595*AO595*in_accident_ticket*in_accident_comm*in_ins_partner_share+F595*in_accident_ticket*in_accident_renew_comm*in_ins_partner_share*(in_accident_renew^1*SUMIFS(AO557:AO606,B557:B606,B595-12)+in_accident_renew^2*SUMIFS(AO557:AO606,B557:B606,B595-24)+in_accident_renew^3*SUMIFS(AO557:AO606,B557:B606,B595-36)+in_accident_renew^4*SUMIFS(AO557:AO606,B557:B606,B595-48))</f>
        <v/>
      </c>
      <c r="AQ595" s="40">
        <f>AQ594*(1-IF(B594&gt;=in_marketplace_from,d_hz_two_wheeler*G594,0))</f>
        <v/>
      </c>
      <c r="AR595" s="46">
        <f>AQ595*IF(B595&gt;=in_marketplace_from,d_hz_two_wheeler*G595,0)</f>
        <v/>
      </c>
      <c r="AS595" s="14">
        <f>F595*AR595*in_two_wheeler_ticket*in_two_wheeler_comm*in_ins_partner_share+F595*in_two_wheeler_ticket*in_two_wheeler_comm*in_ins_partner_share*(in_two_wheeler_renew^1*SUMIFS(AR557:AR606,B557:B606,B595-12)+in_two_wheeler_renew^2*SUMIFS(AR557:AR606,B557:B606,B595-24)+in_two_wheeler_renew^3*SUMIFS(AR557:AR606,B557:B606,B595-36)+in_two_wheeler_renew^4*SUMIFS(AR557:AR606,B557:B606,B595-48))</f>
        <v/>
      </c>
      <c r="AT595" s="40">
        <f>AT594*(1-IF(B594&gt;=in_marketplace_from,d_hz_device*G594,0))</f>
        <v/>
      </c>
      <c r="AU595" s="14">
        <f>F595*AT595*IF(B595&gt;=in_marketplace_from,d_hz_device*G595,0)*in_device_ticket*in_device_comm*in_ins_partner_share</f>
        <v/>
      </c>
      <c r="AV595" s="40">
        <f>AV594*(1-IF(B594&gt;=in_marketplace_from,d_hz_shop*G594,0))</f>
        <v/>
      </c>
      <c r="AW595" s="46">
        <f>AV595*IF(B595&gt;=in_marketplace_from,d_hz_shop*G595,0)</f>
        <v/>
      </c>
      <c r="AX595" s="14">
        <f>F595*AW595*in_shop_ticket*in_shop_comm*in_ins_partner_share+F595*in_shop_ticket*in_shop_renew_comm*in_ins_partner_share*(in_shop_renew^1*SUMIFS(AW557:AW606,B557:B606,B595-12)+in_shop_renew^2*SUMIFS(AW557:AW606,B557:B606,B595-24)+in_shop_renew^3*SUMIFS(AW557:AW606,B557:B606,B595-36)+in_shop_renew^4*SUMIFS(AW557:AW606,B557:B606,B595-48))</f>
        <v/>
      </c>
      <c r="AY595" s="40">
        <f>AY594*(1-IF(B594&gt;=in_marketplace_from,d_hz_sip*G594,0))</f>
        <v/>
      </c>
      <c r="AZ595" s="40">
        <f>AZ594*d_rho_sip+AY595*IF(B595&gt;=in_marketplace_from,d_hz_sip*G595,0)</f>
        <v/>
      </c>
      <c r="BA595" s="40">
        <f>d_rho_sip*(BA594+AZ594)</f>
        <v/>
      </c>
      <c r="BB595" s="14">
        <f>F595*in_sip_ticket*(BA595+0.5*AZ595)*in_sip_comm/12</f>
        <v/>
      </c>
      <c r="BC595" s="40">
        <f>BC594*(1-IF(B594&gt;=in_marketplace_from,d_hz_choti*G594,0))</f>
        <v/>
      </c>
      <c r="BD595" s="46">
        <f>BC595*IF(B595&gt;=in_marketplace_from,d_hz_choti*G595,0)</f>
        <v/>
      </c>
      <c r="BE595" s="14">
        <f>F595*SUMIFS(BD557:BD606,B557:B606,B595-in_choti_months)*in_choti_renew*in_choti_ticket</f>
        <v/>
      </c>
      <c r="BF595" s="40">
        <f>BF594*(1-IF(B594&gt;=in_marketplace_from,d_hz_nps*G594,0))</f>
        <v/>
      </c>
      <c r="BG595" s="14">
        <f>F595*BF595*IF(B595&gt;=in_marketplace_from,d_hz_nps*G595,0)*in_nps_ticket*in_nps_comm</f>
        <v/>
      </c>
      <c r="BH595" s="40">
        <f>BH594*(1-IF(B594&gt;=in_marketplace_from,d_hz_gold*G594,0))</f>
        <v/>
      </c>
      <c r="BI595" s="40">
        <f>BI594*d_rho_gold+BH595*IF(B595&gt;=in_marketplace_from,d_hz_gold*G595,0)</f>
        <v/>
      </c>
      <c r="BJ595" s="14">
        <f>F595*BI595*in_gold_ticket*in_gold_comm</f>
        <v/>
      </c>
      <c r="BK595" s="40">
        <f>BK594*(1-IF(B594&gt;=in_marketplace_from,d_hz_fd*G594,0))</f>
        <v/>
      </c>
      <c r="BL595" s="14">
        <f>F595*BK595*IF(B595&gt;=in_marketplace_from,d_hz_fd*G595,0)*in_fd_ticket*in_fd_comm</f>
        <v/>
      </c>
      <c r="BM595" s="40">
        <f>BM594*(1-IF(B594&gt;=in_marketplace_from,d_hz_recharge*G594,0))</f>
        <v/>
      </c>
      <c r="BN595" s="40">
        <f>BN594*d_rho_recharge+BM595*IF(B595&gt;=in_marketplace_from,d_hz_recharge*G595,0)</f>
        <v/>
      </c>
      <c r="BO595" s="14">
        <f>F595*BN595*in_recharge_ticket*in_recharge_comm/12</f>
        <v/>
      </c>
      <c r="BP595" s="40">
        <f>BP594*(1-IF(B594&gt;=in_marketplace_from,d_hz_bills*G594,0))</f>
        <v/>
      </c>
      <c r="BQ595" s="40">
        <f>BQ594*d_rho_bills+BP595*IF(B595&gt;=in_marketplace_from,d_hz_bills*G595,0)</f>
        <v/>
      </c>
      <c r="BR595" s="14">
        <f>F595*BQ595*in_bills_ticket*in_bills_comm/12</f>
        <v/>
      </c>
      <c r="BS595" s="40">
        <f>BS594*(1-IF(B594&gt;=in_marketplace_from,d_hz_loan_gold*G594,0))</f>
        <v/>
      </c>
      <c r="BT595" s="14">
        <f>F595*BS595*IF(B595&gt;=in_marketplace_from,d_hz_loan_gold*G595,0)*in_loan_gold_ticket*in_loan_gold_comm</f>
        <v/>
      </c>
      <c r="BU595" s="40">
        <f>BU594*(1-IF(B594&gt;=in_marketplace_from,d_hz_loan_cd*G594,0))</f>
        <v/>
      </c>
      <c r="BV595" s="14">
        <f>F595*BU595*IF(B595&gt;=in_marketplace_from,d_hz_loan_cd*G595,0)*in_loan_cd_ticket*in_loan_cd_comm</f>
        <v/>
      </c>
      <c r="BW595" s="40">
        <f>BW594*(1-IF(B594&gt;=in_marketplace_from,d_hz_loan_vehicle*G594,0))</f>
        <v/>
      </c>
      <c r="BX595" s="14">
        <f>F595*BW595*IF(B595&gt;=in_marketplace_from,d_hz_loan_vehicle*G595,0)*in_loan_vehicle_ticket*in_loan_vehicle_comm</f>
        <v/>
      </c>
      <c r="BY595" s="40">
        <f>BY594*(1-IF(B594&gt;=in_marketplace_from,d_hz_loan_home*G594,0)*BZ594)</f>
        <v/>
      </c>
      <c r="BZ595" s="11">
        <f>MIN(in_approval_cap,in_loan_home_approval*INDEX('Age profile'!$O$2:$O$61,B595)*(1+in_approval_growth)^(D595-1))</f>
        <v/>
      </c>
      <c r="CA595" s="14">
        <f>F595*BY595*IF(B595&gt;=in_marketplace_from,d_hz_loan_home*G595,0)*BZ595*in_loan_home_ticket*in_loan_home_comm</f>
        <v/>
      </c>
      <c r="CB595" s="40">
        <f>CB594*(1-IF(B594&gt;=in_marketplace_from,d_hz_loan_lap*G594,0)*CC594)</f>
        <v/>
      </c>
      <c r="CC595" s="11">
        <f>MIN(in_approval_cap,in_loan_lap_approval*INDEX('Age profile'!$O$2:$O$61,B595)*(1+in_approval_growth)^(D595-1))</f>
        <v/>
      </c>
      <c r="CD595" s="14">
        <f>F595*CB595*IF(B595&gt;=in_marketplace_from,d_hz_loan_lap*G595,0)*CC595*in_loan_lap_ticket*in_loan_lap_comm</f>
        <v/>
      </c>
      <c r="CE595" s="14">
        <f>AA595+AB595+AC595+AD595+AG595+AJ595+AM595+AP595+AS595+AU595+AX595+BB595+BE595+BG595+BJ595+BL595+BO595+BR595+BT595+BV595+BX595+CA595+CD595</f>
        <v/>
      </c>
    </row>
    <row r="596">
      <c r="A596" s="39" t="n">
        <v>11</v>
      </c>
      <c r="B596" s="39" t="n">
        <v>40</v>
      </c>
      <c r="C596" s="39">
        <f>A596+B596-1</f>
        <v/>
      </c>
      <c r="D596" s="39">
        <f>INT((C596-1)/12)+1</f>
        <v/>
      </c>
      <c r="E596" s="44">
        <f>INDEX(Monthly!$B$2:$B$61,A596)</f>
        <v/>
      </c>
      <c r="F596" s="44">
        <f>E596*INDEX('Age profile'!$B$2:$B$61,B596)</f>
        <v/>
      </c>
      <c r="G596" s="45">
        <f>MIN(in_takeup_cap,INDEX('Age profile'!$N$2:$N$61,B596)*(1+in_takeup_growth)^(D596-1))</f>
        <v/>
      </c>
      <c r="H596" s="11">
        <f>MIN(in_approval_cap,in_approved_first*INDEX('Age profile'!$O$2:$O$61,B596)*(1+in_approval_growth)^(D596-1))</f>
        <v/>
      </c>
      <c r="I596" s="45">
        <f>G596*MIN(in_takeup_cap,INDEX('Age profile'!$O$2:$O$61,B596)*(1+in_approval_growth)^(D596-1))</f>
        <v/>
      </c>
      <c r="J596" s="40">
        <f>(J595-L595)*F596/F595</f>
        <v/>
      </c>
      <c r="K596" s="40">
        <f>(K595-M595)*F596/F595+SUMIFS(O557:O595,B557:B595,B596-1-d_T)*F596</f>
        <v/>
      </c>
      <c r="L596" s="40">
        <f>IF(B596&gt;=in_marketplace_from,J596*d_hz*G596*in_eligible*H596,0)</f>
        <v/>
      </c>
      <c r="M596" s="40">
        <f>IF(B596&gt;=in_marketplace_from,K596*d_hz*G596*in_eligible*in_approved_repeat,0)</f>
        <v/>
      </c>
      <c r="N596" s="40">
        <f>L596+M596</f>
        <v/>
      </c>
      <c r="O596" s="46">
        <f>N596/F596</f>
        <v/>
      </c>
      <c r="P596" s="40">
        <f>F596-J596-K596</f>
        <v/>
      </c>
      <c r="Q596" s="40">
        <f>IF(B596&gt;=in_marketplace_from,(J596+K596)*d_hz*G596,0)</f>
        <v/>
      </c>
      <c r="R596" s="40">
        <f>SUMIFS(N557:N606,B557:B606,"&gt;="&amp;(B596-d_T),B557:B606,"&lt;="&amp;(B596-1))</f>
        <v/>
      </c>
      <c r="S596" s="46">
        <f>(1-d_u)*S595+IF(d_T&gt;in_topup_lag,SUMIFS(O557:O606,B557:B606,B596-in_topup_lag)-d_udrop*SUMIFS(O557:O606,B557:B606,B596-d_T),0)</f>
        <v/>
      </c>
      <c r="T596" s="40">
        <f>F596*d_u*S596</f>
        <v/>
      </c>
      <c r="U596" s="9">
        <f>L596*in_ticket+M596*d_rep_ticket</f>
        <v/>
      </c>
      <c r="V596" s="9">
        <f>U596+T596*d_topup_amt</f>
        <v/>
      </c>
      <c r="W596" s="40">
        <f>N596+T596*d_topup_ratio</f>
        <v/>
      </c>
      <c r="X596" s="40">
        <f>SUMIFS(W557:W606,B557:B606,B596-in_dpd_lag)*d_cured</f>
        <v/>
      </c>
      <c r="Y596" s="40">
        <f>SUMIFS(W557:W606,B557:B606,B596-in_rec_lag)*d_recd</f>
        <v/>
      </c>
      <c r="Z596" s="40">
        <f>IF(AND(B596&gt;=in_marketplace_from,B596&lt;in_marketplace_from+in_card_months),in_card_share/in_card_months*F596*I596,IF(AND(B596&gt;=in_marketplace_from+in_card_months,B596&lt;in_marketplace_from+2*in_card_months),in_card_share*d_card_rem/in_card_months*F596*MIN(in_takeup_cap,(1+in_takeup_growth)^(D596-1))*MIN(in_takeup_cap,(1+in_approval_growth)^(D596-1)),0))</f>
        <v/>
      </c>
      <c r="AA596" s="14">
        <f>V596*in_fee*(1-in_taken_back)</f>
        <v/>
      </c>
      <c r="AB596" s="14">
        <f>SUMIFS(W557:W606,B557:B606,B596-in_dpd_lag)*d_dpd</f>
        <v/>
      </c>
      <c r="AC596" s="14">
        <f>SUMIFS(W557:W606,B557:B606,B596-in_rec_lag)*d_rec</f>
        <v/>
      </c>
      <c r="AD596" s="14">
        <f>Z596*in_card_fee</f>
        <v/>
      </c>
      <c r="AE596" s="40">
        <f>AE595*(1-IF(B595&gt;=in_marketplace_from,d_hz_hlth_small*G595,0))</f>
        <v/>
      </c>
      <c r="AF596" s="46">
        <f>AE596*IF(B596&gt;=in_marketplace_from,d_hz_hlth_small*G596,0)</f>
        <v/>
      </c>
      <c r="AG596" s="14">
        <f>F596*AF596*in_hlth_small_ticket*in_hlth_small_comm*in_ins_partner_share+F596*in_hlth_small_ticket*in_hlth_small_renew_comm*in_ins_partner_share*(in_hlth_small_renew^1*SUMIFS(AF557:AF606,B557:B606,B596-12)+in_hlth_small_renew^2*SUMIFS(AF557:AF606,B557:B606,B596-24)+in_hlth_small_renew^3*SUMIFS(AF557:AF606,B557:B606,B596-36)+in_hlth_small_renew^4*SUMIFS(AF557:AF606,B557:B606,B596-48))</f>
        <v/>
      </c>
      <c r="AH596" s="40">
        <f>AH595*(1-IF(B595&gt;=in_marketplace_from,d_hz_hlth_family*G595,0))</f>
        <v/>
      </c>
      <c r="AI596" s="46">
        <f>AH596*IF(B596&gt;=in_marketplace_from,d_hz_hlth_family*G596,0)</f>
        <v/>
      </c>
      <c r="AJ596" s="14">
        <f>F596*AI596*in_hlth_family_ticket*in_hlth_family_comm*in_ins_partner_share+F596*in_hlth_family_ticket*in_hlth_family_renew_comm*in_ins_partner_share*(in_hlth_family_renew^1*SUMIFS(AI557:AI606,B557:B606,B596-12)+in_hlth_family_renew^2*SUMIFS(AI557:AI606,B557:B606,B596-24)+in_hlth_family_renew^3*SUMIFS(AI557:AI606,B557:B606,B596-36)+in_hlth_family_renew^4*SUMIFS(AI557:AI606,B557:B606,B596-48))</f>
        <v/>
      </c>
      <c r="AK596" s="40">
        <f>AK595*(1-IF(B595&gt;=in_marketplace_from,d_hz_life_term*G595,0))</f>
        <v/>
      </c>
      <c r="AL596" s="46">
        <f>AK596*IF(B596&gt;=in_marketplace_from,d_hz_life_term*G596,0)</f>
        <v/>
      </c>
      <c r="AM596" s="14">
        <f>F596*AL596*in_life_term_ticket*in_life_term_comm*in_ins_partner_share+F596*in_life_term_ticket*in_life_term_renew_comm*in_ins_partner_share*(in_life_term_renew^1*SUMIFS(AL557:AL606,B557:B606,B596-12)+in_life_term_renew^2*SUMIFS(AL557:AL606,B557:B606,B596-24)+in_life_term_renew^3*SUMIFS(AL557:AL606,B557:B606,B596-36)+in_life_term_renew^4*SUMIFS(AL557:AL606,B557:B606,B596-48))</f>
        <v/>
      </c>
      <c r="AN596" s="40">
        <f>AN595*(1-IF(B595&gt;=in_marketplace_from,d_hz_accident*G595,0))</f>
        <v/>
      </c>
      <c r="AO596" s="46">
        <f>AN596*IF(B596&gt;=in_marketplace_from,d_hz_accident*G596,0)</f>
        <v/>
      </c>
      <c r="AP596" s="14">
        <f>F596*AO596*in_accident_ticket*in_accident_comm*in_ins_partner_share+F596*in_accident_ticket*in_accident_renew_comm*in_ins_partner_share*(in_accident_renew^1*SUMIFS(AO557:AO606,B557:B606,B596-12)+in_accident_renew^2*SUMIFS(AO557:AO606,B557:B606,B596-24)+in_accident_renew^3*SUMIFS(AO557:AO606,B557:B606,B596-36)+in_accident_renew^4*SUMIFS(AO557:AO606,B557:B606,B596-48))</f>
        <v/>
      </c>
      <c r="AQ596" s="40">
        <f>AQ595*(1-IF(B595&gt;=in_marketplace_from,d_hz_two_wheeler*G595,0))</f>
        <v/>
      </c>
      <c r="AR596" s="46">
        <f>AQ596*IF(B596&gt;=in_marketplace_from,d_hz_two_wheeler*G596,0)</f>
        <v/>
      </c>
      <c r="AS596" s="14">
        <f>F596*AR596*in_two_wheeler_ticket*in_two_wheeler_comm*in_ins_partner_share+F596*in_two_wheeler_ticket*in_two_wheeler_comm*in_ins_partner_share*(in_two_wheeler_renew^1*SUMIFS(AR557:AR606,B557:B606,B596-12)+in_two_wheeler_renew^2*SUMIFS(AR557:AR606,B557:B606,B596-24)+in_two_wheeler_renew^3*SUMIFS(AR557:AR606,B557:B606,B596-36)+in_two_wheeler_renew^4*SUMIFS(AR557:AR606,B557:B606,B596-48))</f>
        <v/>
      </c>
      <c r="AT596" s="40">
        <f>AT595*(1-IF(B595&gt;=in_marketplace_from,d_hz_device*G595,0))</f>
        <v/>
      </c>
      <c r="AU596" s="14">
        <f>F596*AT596*IF(B596&gt;=in_marketplace_from,d_hz_device*G596,0)*in_device_ticket*in_device_comm*in_ins_partner_share</f>
        <v/>
      </c>
      <c r="AV596" s="40">
        <f>AV595*(1-IF(B595&gt;=in_marketplace_from,d_hz_shop*G595,0))</f>
        <v/>
      </c>
      <c r="AW596" s="46">
        <f>AV596*IF(B596&gt;=in_marketplace_from,d_hz_shop*G596,0)</f>
        <v/>
      </c>
      <c r="AX596" s="14">
        <f>F596*AW596*in_shop_ticket*in_shop_comm*in_ins_partner_share+F596*in_shop_ticket*in_shop_renew_comm*in_ins_partner_share*(in_shop_renew^1*SUMIFS(AW557:AW606,B557:B606,B596-12)+in_shop_renew^2*SUMIFS(AW557:AW606,B557:B606,B596-24)+in_shop_renew^3*SUMIFS(AW557:AW606,B557:B606,B596-36)+in_shop_renew^4*SUMIFS(AW557:AW606,B557:B606,B596-48))</f>
        <v/>
      </c>
      <c r="AY596" s="40">
        <f>AY595*(1-IF(B595&gt;=in_marketplace_from,d_hz_sip*G595,0))</f>
        <v/>
      </c>
      <c r="AZ596" s="40">
        <f>AZ595*d_rho_sip+AY596*IF(B596&gt;=in_marketplace_from,d_hz_sip*G596,0)</f>
        <v/>
      </c>
      <c r="BA596" s="40">
        <f>d_rho_sip*(BA595+AZ595)</f>
        <v/>
      </c>
      <c r="BB596" s="14">
        <f>F596*in_sip_ticket*(BA596+0.5*AZ596)*in_sip_comm/12</f>
        <v/>
      </c>
      <c r="BC596" s="40">
        <f>BC595*(1-IF(B595&gt;=in_marketplace_from,d_hz_choti*G595,0))</f>
        <v/>
      </c>
      <c r="BD596" s="46">
        <f>BC596*IF(B596&gt;=in_marketplace_from,d_hz_choti*G596,0)</f>
        <v/>
      </c>
      <c r="BE596" s="14">
        <f>F596*SUMIFS(BD557:BD606,B557:B606,B596-in_choti_months)*in_choti_renew*in_choti_ticket</f>
        <v/>
      </c>
      <c r="BF596" s="40">
        <f>BF595*(1-IF(B595&gt;=in_marketplace_from,d_hz_nps*G595,0))</f>
        <v/>
      </c>
      <c r="BG596" s="14">
        <f>F596*BF596*IF(B596&gt;=in_marketplace_from,d_hz_nps*G596,0)*in_nps_ticket*in_nps_comm</f>
        <v/>
      </c>
      <c r="BH596" s="40">
        <f>BH595*(1-IF(B595&gt;=in_marketplace_from,d_hz_gold*G595,0))</f>
        <v/>
      </c>
      <c r="BI596" s="40">
        <f>BI595*d_rho_gold+BH596*IF(B596&gt;=in_marketplace_from,d_hz_gold*G596,0)</f>
        <v/>
      </c>
      <c r="BJ596" s="14">
        <f>F596*BI596*in_gold_ticket*in_gold_comm</f>
        <v/>
      </c>
      <c r="BK596" s="40">
        <f>BK595*(1-IF(B595&gt;=in_marketplace_from,d_hz_fd*G595,0))</f>
        <v/>
      </c>
      <c r="BL596" s="14">
        <f>F596*BK596*IF(B596&gt;=in_marketplace_from,d_hz_fd*G596,0)*in_fd_ticket*in_fd_comm</f>
        <v/>
      </c>
      <c r="BM596" s="40">
        <f>BM595*(1-IF(B595&gt;=in_marketplace_from,d_hz_recharge*G595,0))</f>
        <v/>
      </c>
      <c r="BN596" s="40">
        <f>BN595*d_rho_recharge+BM596*IF(B596&gt;=in_marketplace_from,d_hz_recharge*G596,0)</f>
        <v/>
      </c>
      <c r="BO596" s="14">
        <f>F596*BN596*in_recharge_ticket*in_recharge_comm/12</f>
        <v/>
      </c>
      <c r="BP596" s="40">
        <f>BP595*(1-IF(B595&gt;=in_marketplace_from,d_hz_bills*G595,0))</f>
        <v/>
      </c>
      <c r="BQ596" s="40">
        <f>BQ595*d_rho_bills+BP596*IF(B596&gt;=in_marketplace_from,d_hz_bills*G596,0)</f>
        <v/>
      </c>
      <c r="BR596" s="14">
        <f>F596*BQ596*in_bills_ticket*in_bills_comm/12</f>
        <v/>
      </c>
      <c r="BS596" s="40">
        <f>BS595*(1-IF(B595&gt;=in_marketplace_from,d_hz_loan_gold*G595,0))</f>
        <v/>
      </c>
      <c r="BT596" s="14">
        <f>F596*BS596*IF(B596&gt;=in_marketplace_from,d_hz_loan_gold*G596,0)*in_loan_gold_ticket*in_loan_gold_comm</f>
        <v/>
      </c>
      <c r="BU596" s="40">
        <f>BU595*(1-IF(B595&gt;=in_marketplace_from,d_hz_loan_cd*G595,0))</f>
        <v/>
      </c>
      <c r="BV596" s="14">
        <f>F596*BU596*IF(B596&gt;=in_marketplace_from,d_hz_loan_cd*G596,0)*in_loan_cd_ticket*in_loan_cd_comm</f>
        <v/>
      </c>
      <c r="BW596" s="40">
        <f>BW595*(1-IF(B595&gt;=in_marketplace_from,d_hz_loan_vehicle*G595,0))</f>
        <v/>
      </c>
      <c r="BX596" s="14">
        <f>F596*BW596*IF(B596&gt;=in_marketplace_from,d_hz_loan_vehicle*G596,0)*in_loan_vehicle_ticket*in_loan_vehicle_comm</f>
        <v/>
      </c>
      <c r="BY596" s="40">
        <f>BY595*(1-IF(B595&gt;=in_marketplace_from,d_hz_loan_home*G595,0)*BZ595)</f>
        <v/>
      </c>
      <c r="BZ596" s="11">
        <f>MIN(in_approval_cap,in_loan_home_approval*INDEX('Age profile'!$O$2:$O$61,B596)*(1+in_approval_growth)^(D596-1))</f>
        <v/>
      </c>
      <c r="CA596" s="14">
        <f>F596*BY596*IF(B596&gt;=in_marketplace_from,d_hz_loan_home*G596,0)*BZ596*in_loan_home_ticket*in_loan_home_comm</f>
        <v/>
      </c>
      <c r="CB596" s="40">
        <f>CB595*(1-IF(B595&gt;=in_marketplace_from,d_hz_loan_lap*G595,0)*CC595)</f>
        <v/>
      </c>
      <c r="CC596" s="11">
        <f>MIN(in_approval_cap,in_loan_lap_approval*INDEX('Age profile'!$O$2:$O$61,B596)*(1+in_approval_growth)^(D596-1))</f>
        <v/>
      </c>
      <c r="CD596" s="14">
        <f>F596*CB596*IF(B596&gt;=in_marketplace_from,d_hz_loan_lap*G596,0)*CC596*in_loan_lap_ticket*in_loan_lap_comm</f>
        <v/>
      </c>
      <c r="CE596" s="14">
        <f>AA596+AB596+AC596+AD596+AG596+AJ596+AM596+AP596+AS596+AU596+AX596+BB596+BE596+BG596+BJ596+BL596+BO596+BR596+BT596+BV596+BX596+CA596+CD596</f>
        <v/>
      </c>
    </row>
    <row r="597">
      <c r="A597" s="39" t="n">
        <v>11</v>
      </c>
      <c r="B597" s="39" t="n">
        <v>41</v>
      </c>
      <c r="C597" s="39">
        <f>A597+B597-1</f>
        <v/>
      </c>
      <c r="D597" s="39">
        <f>INT((C597-1)/12)+1</f>
        <v/>
      </c>
      <c r="E597" s="44">
        <f>INDEX(Monthly!$B$2:$B$61,A597)</f>
        <v/>
      </c>
      <c r="F597" s="44">
        <f>E597*INDEX('Age profile'!$B$2:$B$61,B597)</f>
        <v/>
      </c>
      <c r="G597" s="45">
        <f>MIN(in_takeup_cap,INDEX('Age profile'!$N$2:$N$61,B597)*(1+in_takeup_growth)^(D597-1))</f>
        <v/>
      </c>
      <c r="H597" s="11">
        <f>MIN(in_approval_cap,in_approved_first*INDEX('Age profile'!$O$2:$O$61,B597)*(1+in_approval_growth)^(D597-1))</f>
        <v/>
      </c>
      <c r="I597" s="45">
        <f>G597*MIN(in_takeup_cap,INDEX('Age profile'!$O$2:$O$61,B597)*(1+in_approval_growth)^(D597-1))</f>
        <v/>
      </c>
      <c r="J597" s="40">
        <f>(J596-L596)*F597/F596</f>
        <v/>
      </c>
      <c r="K597" s="40">
        <f>(K596-M596)*F597/F596+SUMIFS(O557:O596,B557:B596,B597-1-d_T)*F597</f>
        <v/>
      </c>
      <c r="L597" s="40">
        <f>IF(B597&gt;=in_marketplace_from,J597*d_hz*G597*in_eligible*H597,0)</f>
        <v/>
      </c>
      <c r="M597" s="40">
        <f>IF(B597&gt;=in_marketplace_from,K597*d_hz*G597*in_eligible*in_approved_repeat,0)</f>
        <v/>
      </c>
      <c r="N597" s="40">
        <f>L597+M597</f>
        <v/>
      </c>
      <c r="O597" s="46">
        <f>N597/F597</f>
        <v/>
      </c>
      <c r="P597" s="40">
        <f>F597-J597-K597</f>
        <v/>
      </c>
      <c r="Q597" s="40">
        <f>IF(B597&gt;=in_marketplace_from,(J597+K597)*d_hz*G597,0)</f>
        <v/>
      </c>
      <c r="R597" s="40">
        <f>SUMIFS(N557:N606,B557:B606,"&gt;="&amp;(B597-d_T),B557:B606,"&lt;="&amp;(B597-1))</f>
        <v/>
      </c>
      <c r="S597" s="46">
        <f>(1-d_u)*S596+IF(d_T&gt;in_topup_lag,SUMIFS(O557:O606,B557:B606,B597-in_topup_lag)-d_udrop*SUMIFS(O557:O606,B557:B606,B597-d_T),0)</f>
        <v/>
      </c>
      <c r="T597" s="40">
        <f>F597*d_u*S597</f>
        <v/>
      </c>
      <c r="U597" s="9">
        <f>L597*in_ticket+M597*d_rep_ticket</f>
        <v/>
      </c>
      <c r="V597" s="9">
        <f>U597+T597*d_topup_amt</f>
        <v/>
      </c>
      <c r="W597" s="40">
        <f>N597+T597*d_topup_ratio</f>
        <v/>
      </c>
      <c r="X597" s="40">
        <f>SUMIFS(W557:W606,B557:B606,B597-in_dpd_lag)*d_cured</f>
        <v/>
      </c>
      <c r="Y597" s="40">
        <f>SUMIFS(W557:W606,B557:B606,B597-in_rec_lag)*d_recd</f>
        <v/>
      </c>
      <c r="Z597" s="40">
        <f>IF(AND(B597&gt;=in_marketplace_from,B597&lt;in_marketplace_from+in_card_months),in_card_share/in_card_months*F597*I597,IF(AND(B597&gt;=in_marketplace_from+in_card_months,B597&lt;in_marketplace_from+2*in_card_months),in_card_share*d_card_rem/in_card_months*F597*MIN(in_takeup_cap,(1+in_takeup_growth)^(D597-1))*MIN(in_takeup_cap,(1+in_approval_growth)^(D597-1)),0))</f>
        <v/>
      </c>
      <c r="AA597" s="14">
        <f>V597*in_fee*(1-in_taken_back)</f>
        <v/>
      </c>
      <c r="AB597" s="14">
        <f>SUMIFS(W557:W606,B557:B606,B597-in_dpd_lag)*d_dpd</f>
        <v/>
      </c>
      <c r="AC597" s="14">
        <f>SUMIFS(W557:W606,B557:B606,B597-in_rec_lag)*d_rec</f>
        <v/>
      </c>
      <c r="AD597" s="14">
        <f>Z597*in_card_fee</f>
        <v/>
      </c>
      <c r="AE597" s="40">
        <f>AE596*(1-IF(B596&gt;=in_marketplace_from,d_hz_hlth_small*G596,0))</f>
        <v/>
      </c>
      <c r="AF597" s="46">
        <f>AE597*IF(B597&gt;=in_marketplace_from,d_hz_hlth_small*G597,0)</f>
        <v/>
      </c>
      <c r="AG597" s="14">
        <f>F597*AF597*in_hlth_small_ticket*in_hlth_small_comm*in_ins_partner_share+F597*in_hlth_small_ticket*in_hlth_small_renew_comm*in_ins_partner_share*(in_hlth_small_renew^1*SUMIFS(AF557:AF606,B557:B606,B597-12)+in_hlth_small_renew^2*SUMIFS(AF557:AF606,B557:B606,B597-24)+in_hlth_small_renew^3*SUMIFS(AF557:AF606,B557:B606,B597-36)+in_hlth_small_renew^4*SUMIFS(AF557:AF606,B557:B606,B597-48))</f>
        <v/>
      </c>
      <c r="AH597" s="40">
        <f>AH596*(1-IF(B596&gt;=in_marketplace_from,d_hz_hlth_family*G596,0))</f>
        <v/>
      </c>
      <c r="AI597" s="46">
        <f>AH597*IF(B597&gt;=in_marketplace_from,d_hz_hlth_family*G597,0)</f>
        <v/>
      </c>
      <c r="AJ597" s="14">
        <f>F597*AI597*in_hlth_family_ticket*in_hlth_family_comm*in_ins_partner_share+F597*in_hlth_family_ticket*in_hlth_family_renew_comm*in_ins_partner_share*(in_hlth_family_renew^1*SUMIFS(AI557:AI606,B557:B606,B597-12)+in_hlth_family_renew^2*SUMIFS(AI557:AI606,B557:B606,B597-24)+in_hlth_family_renew^3*SUMIFS(AI557:AI606,B557:B606,B597-36)+in_hlth_family_renew^4*SUMIFS(AI557:AI606,B557:B606,B597-48))</f>
        <v/>
      </c>
      <c r="AK597" s="40">
        <f>AK596*(1-IF(B596&gt;=in_marketplace_from,d_hz_life_term*G596,0))</f>
        <v/>
      </c>
      <c r="AL597" s="46">
        <f>AK597*IF(B597&gt;=in_marketplace_from,d_hz_life_term*G597,0)</f>
        <v/>
      </c>
      <c r="AM597" s="14">
        <f>F597*AL597*in_life_term_ticket*in_life_term_comm*in_ins_partner_share+F597*in_life_term_ticket*in_life_term_renew_comm*in_ins_partner_share*(in_life_term_renew^1*SUMIFS(AL557:AL606,B557:B606,B597-12)+in_life_term_renew^2*SUMIFS(AL557:AL606,B557:B606,B597-24)+in_life_term_renew^3*SUMIFS(AL557:AL606,B557:B606,B597-36)+in_life_term_renew^4*SUMIFS(AL557:AL606,B557:B606,B597-48))</f>
        <v/>
      </c>
      <c r="AN597" s="40">
        <f>AN596*(1-IF(B596&gt;=in_marketplace_from,d_hz_accident*G596,0))</f>
        <v/>
      </c>
      <c r="AO597" s="46">
        <f>AN597*IF(B597&gt;=in_marketplace_from,d_hz_accident*G597,0)</f>
        <v/>
      </c>
      <c r="AP597" s="14">
        <f>F597*AO597*in_accident_ticket*in_accident_comm*in_ins_partner_share+F597*in_accident_ticket*in_accident_renew_comm*in_ins_partner_share*(in_accident_renew^1*SUMIFS(AO557:AO606,B557:B606,B597-12)+in_accident_renew^2*SUMIFS(AO557:AO606,B557:B606,B597-24)+in_accident_renew^3*SUMIFS(AO557:AO606,B557:B606,B597-36)+in_accident_renew^4*SUMIFS(AO557:AO606,B557:B606,B597-48))</f>
        <v/>
      </c>
      <c r="AQ597" s="40">
        <f>AQ596*(1-IF(B596&gt;=in_marketplace_from,d_hz_two_wheeler*G596,0))</f>
        <v/>
      </c>
      <c r="AR597" s="46">
        <f>AQ597*IF(B597&gt;=in_marketplace_from,d_hz_two_wheeler*G597,0)</f>
        <v/>
      </c>
      <c r="AS597" s="14">
        <f>F597*AR597*in_two_wheeler_ticket*in_two_wheeler_comm*in_ins_partner_share+F597*in_two_wheeler_ticket*in_two_wheeler_comm*in_ins_partner_share*(in_two_wheeler_renew^1*SUMIFS(AR557:AR606,B557:B606,B597-12)+in_two_wheeler_renew^2*SUMIFS(AR557:AR606,B557:B606,B597-24)+in_two_wheeler_renew^3*SUMIFS(AR557:AR606,B557:B606,B597-36)+in_two_wheeler_renew^4*SUMIFS(AR557:AR606,B557:B606,B597-48))</f>
        <v/>
      </c>
      <c r="AT597" s="40">
        <f>AT596*(1-IF(B596&gt;=in_marketplace_from,d_hz_device*G596,0))</f>
        <v/>
      </c>
      <c r="AU597" s="14">
        <f>F597*AT597*IF(B597&gt;=in_marketplace_from,d_hz_device*G597,0)*in_device_ticket*in_device_comm*in_ins_partner_share</f>
        <v/>
      </c>
      <c r="AV597" s="40">
        <f>AV596*(1-IF(B596&gt;=in_marketplace_from,d_hz_shop*G596,0))</f>
        <v/>
      </c>
      <c r="AW597" s="46">
        <f>AV597*IF(B597&gt;=in_marketplace_from,d_hz_shop*G597,0)</f>
        <v/>
      </c>
      <c r="AX597" s="14">
        <f>F597*AW597*in_shop_ticket*in_shop_comm*in_ins_partner_share+F597*in_shop_ticket*in_shop_renew_comm*in_ins_partner_share*(in_shop_renew^1*SUMIFS(AW557:AW606,B557:B606,B597-12)+in_shop_renew^2*SUMIFS(AW557:AW606,B557:B606,B597-24)+in_shop_renew^3*SUMIFS(AW557:AW606,B557:B606,B597-36)+in_shop_renew^4*SUMIFS(AW557:AW606,B557:B606,B597-48))</f>
        <v/>
      </c>
      <c r="AY597" s="40">
        <f>AY596*(1-IF(B596&gt;=in_marketplace_from,d_hz_sip*G596,0))</f>
        <v/>
      </c>
      <c r="AZ597" s="40">
        <f>AZ596*d_rho_sip+AY597*IF(B597&gt;=in_marketplace_from,d_hz_sip*G597,0)</f>
        <v/>
      </c>
      <c r="BA597" s="40">
        <f>d_rho_sip*(BA596+AZ596)</f>
        <v/>
      </c>
      <c r="BB597" s="14">
        <f>F597*in_sip_ticket*(BA597+0.5*AZ597)*in_sip_comm/12</f>
        <v/>
      </c>
      <c r="BC597" s="40">
        <f>BC596*(1-IF(B596&gt;=in_marketplace_from,d_hz_choti*G596,0))</f>
        <v/>
      </c>
      <c r="BD597" s="46">
        <f>BC597*IF(B597&gt;=in_marketplace_from,d_hz_choti*G597,0)</f>
        <v/>
      </c>
      <c r="BE597" s="14">
        <f>F597*SUMIFS(BD557:BD606,B557:B606,B597-in_choti_months)*in_choti_renew*in_choti_ticket</f>
        <v/>
      </c>
      <c r="BF597" s="40">
        <f>BF596*(1-IF(B596&gt;=in_marketplace_from,d_hz_nps*G596,0))</f>
        <v/>
      </c>
      <c r="BG597" s="14">
        <f>F597*BF597*IF(B597&gt;=in_marketplace_from,d_hz_nps*G597,0)*in_nps_ticket*in_nps_comm</f>
        <v/>
      </c>
      <c r="BH597" s="40">
        <f>BH596*(1-IF(B596&gt;=in_marketplace_from,d_hz_gold*G596,0))</f>
        <v/>
      </c>
      <c r="BI597" s="40">
        <f>BI596*d_rho_gold+BH597*IF(B597&gt;=in_marketplace_from,d_hz_gold*G597,0)</f>
        <v/>
      </c>
      <c r="BJ597" s="14">
        <f>F597*BI597*in_gold_ticket*in_gold_comm</f>
        <v/>
      </c>
      <c r="BK597" s="40">
        <f>BK596*(1-IF(B596&gt;=in_marketplace_from,d_hz_fd*G596,0))</f>
        <v/>
      </c>
      <c r="BL597" s="14">
        <f>F597*BK597*IF(B597&gt;=in_marketplace_from,d_hz_fd*G597,0)*in_fd_ticket*in_fd_comm</f>
        <v/>
      </c>
      <c r="BM597" s="40">
        <f>BM596*(1-IF(B596&gt;=in_marketplace_from,d_hz_recharge*G596,0))</f>
        <v/>
      </c>
      <c r="BN597" s="40">
        <f>BN596*d_rho_recharge+BM597*IF(B597&gt;=in_marketplace_from,d_hz_recharge*G597,0)</f>
        <v/>
      </c>
      <c r="BO597" s="14">
        <f>F597*BN597*in_recharge_ticket*in_recharge_comm/12</f>
        <v/>
      </c>
      <c r="BP597" s="40">
        <f>BP596*(1-IF(B596&gt;=in_marketplace_from,d_hz_bills*G596,0))</f>
        <v/>
      </c>
      <c r="BQ597" s="40">
        <f>BQ596*d_rho_bills+BP597*IF(B597&gt;=in_marketplace_from,d_hz_bills*G597,0)</f>
        <v/>
      </c>
      <c r="BR597" s="14">
        <f>F597*BQ597*in_bills_ticket*in_bills_comm/12</f>
        <v/>
      </c>
      <c r="BS597" s="40">
        <f>BS596*(1-IF(B596&gt;=in_marketplace_from,d_hz_loan_gold*G596,0))</f>
        <v/>
      </c>
      <c r="BT597" s="14">
        <f>F597*BS597*IF(B597&gt;=in_marketplace_from,d_hz_loan_gold*G597,0)*in_loan_gold_ticket*in_loan_gold_comm</f>
        <v/>
      </c>
      <c r="BU597" s="40">
        <f>BU596*(1-IF(B596&gt;=in_marketplace_from,d_hz_loan_cd*G596,0))</f>
        <v/>
      </c>
      <c r="BV597" s="14">
        <f>F597*BU597*IF(B597&gt;=in_marketplace_from,d_hz_loan_cd*G597,0)*in_loan_cd_ticket*in_loan_cd_comm</f>
        <v/>
      </c>
      <c r="BW597" s="40">
        <f>BW596*(1-IF(B596&gt;=in_marketplace_from,d_hz_loan_vehicle*G596,0))</f>
        <v/>
      </c>
      <c r="BX597" s="14">
        <f>F597*BW597*IF(B597&gt;=in_marketplace_from,d_hz_loan_vehicle*G597,0)*in_loan_vehicle_ticket*in_loan_vehicle_comm</f>
        <v/>
      </c>
      <c r="BY597" s="40">
        <f>BY596*(1-IF(B596&gt;=in_marketplace_from,d_hz_loan_home*G596,0)*BZ596)</f>
        <v/>
      </c>
      <c r="BZ597" s="11">
        <f>MIN(in_approval_cap,in_loan_home_approval*INDEX('Age profile'!$O$2:$O$61,B597)*(1+in_approval_growth)^(D597-1))</f>
        <v/>
      </c>
      <c r="CA597" s="14">
        <f>F597*BY597*IF(B597&gt;=in_marketplace_from,d_hz_loan_home*G597,0)*BZ597*in_loan_home_ticket*in_loan_home_comm</f>
        <v/>
      </c>
      <c r="CB597" s="40">
        <f>CB596*(1-IF(B596&gt;=in_marketplace_from,d_hz_loan_lap*G596,0)*CC596)</f>
        <v/>
      </c>
      <c r="CC597" s="11">
        <f>MIN(in_approval_cap,in_loan_lap_approval*INDEX('Age profile'!$O$2:$O$61,B597)*(1+in_approval_growth)^(D597-1))</f>
        <v/>
      </c>
      <c r="CD597" s="14">
        <f>F597*CB597*IF(B597&gt;=in_marketplace_from,d_hz_loan_lap*G597,0)*CC597*in_loan_lap_ticket*in_loan_lap_comm</f>
        <v/>
      </c>
      <c r="CE597" s="14">
        <f>AA597+AB597+AC597+AD597+AG597+AJ597+AM597+AP597+AS597+AU597+AX597+BB597+BE597+BG597+BJ597+BL597+BO597+BR597+BT597+BV597+BX597+CA597+CD597</f>
        <v/>
      </c>
    </row>
    <row r="598">
      <c r="A598" s="39" t="n">
        <v>11</v>
      </c>
      <c r="B598" s="39" t="n">
        <v>42</v>
      </c>
      <c r="C598" s="39">
        <f>A598+B598-1</f>
        <v/>
      </c>
      <c r="D598" s="39">
        <f>INT((C598-1)/12)+1</f>
        <v/>
      </c>
      <c r="E598" s="44">
        <f>INDEX(Monthly!$B$2:$B$61,A598)</f>
        <v/>
      </c>
      <c r="F598" s="44">
        <f>E598*INDEX('Age profile'!$B$2:$B$61,B598)</f>
        <v/>
      </c>
      <c r="G598" s="45">
        <f>MIN(in_takeup_cap,INDEX('Age profile'!$N$2:$N$61,B598)*(1+in_takeup_growth)^(D598-1))</f>
        <v/>
      </c>
      <c r="H598" s="11">
        <f>MIN(in_approval_cap,in_approved_first*INDEX('Age profile'!$O$2:$O$61,B598)*(1+in_approval_growth)^(D598-1))</f>
        <v/>
      </c>
      <c r="I598" s="45">
        <f>G598*MIN(in_takeup_cap,INDEX('Age profile'!$O$2:$O$61,B598)*(1+in_approval_growth)^(D598-1))</f>
        <v/>
      </c>
      <c r="J598" s="40">
        <f>(J597-L597)*F598/F597</f>
        <v/>
      </c>
      <c r="K598" s="40">
        <f>(K597-M597)*F598/F597+SUMIFS(O557:O597,B557:B597,B598-1-d_T)*F598</f>
        <v/>
      </c>
      <c r="L598" s="40">
        <f>IF(B598&gt;=in_marketplace_from,J598*d_hz*G598*in_eligible*H598,0)</f>
        <v/>
      </c>
      <c r="M598" s="40">
        <f>IF(B598&gt;=in_marketplace_from,K598*d_hz*G598*in_eligible*in_approved_repeat,0)</f>
        <v/>
      </c>
      <c r="N598" s="40">
        <f>L598+M598</f>
        <v/>
      </c>
      <c r="O598" s="46">
        <f>N598/F598</f>
        <v/>
      </c>
      <c r="P598" s="40">
        <f>F598-J598-K598</f>
        <v/>
      </c>
      <c r="Q598" s="40">
        <f>IF(B598&gt;=in_marketplace_from,(J598+K598)*d_hz*G598,0)</f>
        <v/>
      </c>
      <c r="R598" s="40">
        <f>SUMIFS(N557:N606,B557:B606,"&gt;="&amp;(B598-d_T),B557:B606,"&lt;="&amp;(B598-1))</f>
        <v/>
      </c>
      <c r="S598" s="46">
        <f>(1-d_u)*S597+IF(d_T&gt;in_topup_lag,SUMIFS(O557:O606,B557:B606,B598-in_topup_lag)-d_udrop*SUMIFS(O557:O606,B557:B606,B598-d_T),0)</f>
        <v/>
      </c>
      <c r="T598" s="40">
        <f>F598*d_u*S598</f>
        <v/>
      </c>
      <c r="U598" s="9">
        <f>L598*in_ticket+M598*d_rep_ticket</f>
        <v/>
      </c>
      <c r="V598" s="9">
        <f>U598+T598*d_topup_amt</f>
        <v/>
      </c>
      <c r="W598" s="40">
        <f>N598+T598*d_topup_ratio</f>
        <v/>
      </c>
      <c r="X598" s="40">
        <f>SUMIFS(W557:W606,B557:B606,B598-in_dpd_lag)*d_cured</f>
        <v/>
      </c>
      <c r="Y598" s="40">
        <f>SUMIFS(W557:W606,B557:B606,B598-in_rec_lag)*d_recd</f>
        <v/>
      </c>
      <c r="Z598" s="40">
        <f>IF(AND(B598&gt;=in_marketplace_from,B598&lt;in_marketplace_from+in_card_months),in_card_share/in_card_months*F598*I598,IF(AND(B598&gt;=in_marketplace_from+in_card_months,B598&lt;in_marketplace_from+2*in_card_months),in_card_share*d_card_rem/in_card_months*F598*MIN(in_takeup_cap,(1+in_takeup_growth)^(D598-1))*MIN(in_takeup_cap,(1+in_approval_growth)^(D598-1)),0))</f>
        <v/>
      </c>
      <c r="AA598" s="14">
        <f>V598*in_fee*(1-in_taken_back)</f>
        <v/>
      </c>
      <c r="AB598" s="14">
        <f>SUMIFS(W557:W606,B557:B606,B598-in_dpd_lag)*d_dpd</f>
        <v/>
      </c>
      <c r="AC598" s="14">
        <f>SUMIFS(W557:W606,B557:B606,B598-in_rec_lag)*d_rec</f>
        <v/>
      </c>
      <c r="AD598" s="14">
        <f>Z598*in_card_fee</f>
        <v/>
      </c>
      <c r="AE598" s="40">
        <f>AE597*(1-IF(B597&gt;=in_marketplace_from,d_hz_hlth_small*G597,0))</f>
        <v/>
      </c>
      <c r="AF598" s="46">
        <f>AE598*IF(B598&gt;=in_marketplace_from,d_hz_hlth_small*G598,0)</f>
        <v/>
      </c>
      <c r="AG598" s="14">
        <f>F598*AF598*in_hlth_small_ticket*in_hlth_small_comm*in_ins_partner_share+F598*in_hlth_small_ticket*in_hlth_small_renew_comm*in_ins_partner_share*(in_hlth_small_renew^1*SUMIFS(AF557:AF606,B557:B606,B598-12)+in_hlth_small_renew^2*SUMIFS(AF557:AF606,B557:B606,B598-24)+in_hlth_small_renew^3*SUMIFS(AF557:AF606,B557:B606,B598-36)+in_hlth_small_renew^4*SUMIFS(AF557:AF606,B557:B606,B598-48))</f>
        <v/>
      </c>
      <c r="AH598" s="40">
        <f>AH597*(1-IF(B597&gt;=in_marketplace_from,d_hz_hlth_family*G597,0))</f>
        <v/>
      </c>
      <c r="AI598" s="46">
        <f>AH598*IF(B598&gt;=in_marketplace_from,d_hz_hlth_family*G598,0)</f>
        <v/>
      </c>
      <c r="AJ598" s="14">
        <f>F598*AI598*in_hlth_family_ticket*in_hlth_family_comm*in_ins_partner_share+F598*in_hlth_family_ticket*in_hlth_family_renew_comm*in_ins_partner_share*(in_hlth_family_renew^1*SUMIFS(AI557:AI606,B557:B606,B598-12)+in_hlth_family_renew^2*SUMIFS(AI557:AI606,B557:B606,B598-24)+in_hlth_family_renew^3*SUMIFS(AI557:AI606,B557:B606,B598-36)+in_hlth_family_renew^4*SUMIFS(AI557:AI606,B557:B606,B598-48))</f>
        <v/>
      </c>
      <c r="AK598" s="40">
        <f>AK597*(1-IF(B597&gt;=in_marketplace_from,d_hz_life_term*G597,0))</f>
        <v/>
      </c>
      <c r="AL598" s="46">
        <f>AK598*IF(B598&gt;=in_marketplace_from,d_hz_life_term*G598,0)</f>
        <v/>
      </c>
      <c r="AM598" s="14">
        <f>F598*AL598*in_life_term_ticket*in_life_term_comm*in_ins_partner_share+F598*in_life_term_ticket*in_life_term_renew_comm*in_ins_partner_share*(in_life_term_renew^1*SUMIFS(AL557:AL606,B557:B606,B598-12)+in_life_term_renew^2*SUMIFS(AL557:AL606,B557:B606,B598-24)+in_life_term_renew^3*SUMIFS(AL557:AL606,B557:B606,B598-36)+in_life_term_renew^4*SUMIFS(AL557:AL606,B557:B606,B598-48))</f>
        <v/>
      </c>
      <c r="AN598" s="40">
        <f>AN597*(1-IF(B597&gt;=in_marketplace_from,d_hz_accident*G597,0))</f>
        <v/>
      </c>
      <c r="AO598" s="46">
        <f>AN598*IF(B598&gt;=in_marketplace_from,d_hz_accident*G598,0)</f>
        <v/>
      </c>
      <c r="AP598" s="14">
        <f>F598*AO598*in_accident_ticket*in_accident_comm*in_ins_partner_share+F598*in_accident_ticket*in_accident_renew_comm*in_ins_partner_share*(in_accident_renew^1*SUMIFS(AO557:AO606,B557:B606,B598-12)+in_accident_renew^2*SUMIFS(AO557:AO606,B557:B606,B598-24)+in_accident_renew^3*SUMIFS(AO557:AO606,B557:B606,B598-36)+in_accident_renew^4*SUMIFS(AO557:AO606,B557:B606,B598-48))</f>
        <v/>
      </c>
      <c r="AQ598" s="40">
        <f>AQ597*(1-IF(B597&gt;=in_marketplace_from,d_hz_two_wheeler*G597,0))</f>
        <v/>
      </c>
      <c r="AR598" s="46">
        <f>AQ598*IF(B598&gt;=in_marketplace_from,d_hz_two_wheeler*G598,0)</f>
        <v/>
      </c>
      <c r="AS598" s="14">
        <f>F598*AR598*in_two_wheeler_ticket*in_two_wheeler_comm*in_ins_partner_share+F598*in_two_wheeler_ticket*in_two_wheeler_comm*in_ins_partner_share*(in_two_wheeler_renew^1*SUMIFS(AR557:AR606,B557:B606,B598-12)+in_two_wheeler_renew^2*SUMIFS(AR557:AR606,B557:B606,B598-24)+in_two_wheeler_renew^3*SUMIFS(AR557:AR606,B557:B606,B598-36)+in_two_wheeler_renew^4*SUMIFS(AR557:AR606,B557:B606,B598-48))</f>
        <v/>
      </c>
      <c r="AT598" s="40">
        <f>AT597*(1-IF(B597&gt;=in_marketplace_from,d_hz_device*G597,0))</f>
        <v/>
      </c>
      <c r="AU598" s="14">
        <f>F598*AT598*IF(B598&gt;=in_marketplace_from,d_hz_device*G598,0)*in_device_ticket*in_device_comm*in_ins_partner_share</f>
        <v/>
      </c>
      <c r="AV598" s="40">
        <f>AV597*(1-IF(B597&gt;=in_marketplace_from,d_hz_shop*G597,0))</f>
        <v/>
      </c>
      <c r="AW598" s="46">
        <f>AV598*IF(B598&gt;=in_marketplace_from,d_hz_shop*G598,0)</f>
        <v/>
      </c>
      <c r="AX598" s="14">
        <f>F598*AW598*in_shop_ticket*in_shop_comm*in_ins_partner_share+F598*in_shop_ticket*in_shop_renew_comm*in_ins_partner_share*(in_shop_renew^1*SUMIFS(AW557:AW606,B557:B606,B598-12)+in_shop_renew^2*SUMIFS(AW557:AW606,B557:B606,B598-24)+in_shop_renew^3*SUMIFS(AW557:AW606,B557:B606,B598-36)+in_shop_renew^4*SUMIFS(AW557:AW606,B557:B606,B598-48))</f>
        <v/>
      </c>
      <c r="AY598" s="40">
        <f>AY597*(1-IF(B597&gt;=in_marketplace_from,d_hz_sip*G597,0))</f>
        <v/>
      </c>
      <c r="AZ598" s="40">
        <f>AZ597*d_rho_sip+AY598*IF(B598&gt;=in_marketplace_from,d_hz_sip*G598,0)</f>
        <v/>
      </c>
      <c r="BA598" s="40">
        <f>d_rho_sip*(BA597+AZ597)</f>
        <v/>
      </c>
      <c r="BB598" s="14">
        <f>F598*in_sip_ticket*(BA598+0.5*AZ598)*in_sip_comm/12</f>
        <v/>
      </c>
      <c r="BC598" s="40">
        <f>BC597*(1-IF(B597&gt;=in_marketplace_from,d_hz_choti*G597,0))</f>
        <v/>
      </c>
      <c r="BD598" s="46">
        <f>BC598*IF(B598&gt;=in_marketplace_from,d_hz_choti*G598,0)</f>
        <v/>
      </c>
      <c r="BE598" s="14">
        <f>F598*SUMIFS(BD557:BD606,B557:B606,B598-in_choti_months)*in_choti_renew*in_choti_ticket</f>
        <v/>
      </c>
      <c r="BF598" s="40">
        <f>BF597*(1-IF(B597&gt;=in_marketplace_from,d_hz_nps*G597,0))</f>
        <v/>
      </c>
      <c r="BG598" s="14">
        <f>F598*BF598*IF(B598&gt;=in_marketplace_from,d_hz_nps*G598,0)*in_nps_ticket*in_nps_comm</f>
        <v/>
      </c>
      <c r="BH598" s="40">
        <f>BH597*(1-IF(B597&gt;=in_marketplace_from,d_hz_gold*G597,0))</f>
        <v/>
      </c>
      <c r="BI598" s="40">
        <f>BI597*d_rho_gold+BH598*IF(B598&gt;=in_marketplace_from,d_hz_gold*G598,0)</f>
        <v/>
      </c>
      <c r="BJ598" s="14">
        <f>F598*BI598*in_gold_ticket*in_gold_comm</f>
        <v/>
      </c>
      <c r="BK598" s="40">
        <f>BK597*(1-IF(B597&gt;=in_marketplace_from,d_hz_fd*G597,0))</f>
        <v/>
      </c>
      <c r="BL598" s="14">
        <f>F598*BK598*IF(B598&gt;=in_marketplace_from,d_hz_fd*G598,0)*in_fd_ticket*in_fd_comm</f>
        <v/>
      </c>
      <c r="BM598" s="40">
        <f>BM597*(1-IF(B597&gt;=in_marketplace_from,d_hz_recharge*G597,0))</f>
        <v/>
      </c>
      <c r="BN598" s="40">
        <f>BN597*d_rho_recharge+BM598*IF(B598&gt;=in_marketplace_from,d_hz_recharge*G598,0)</f>
        <v/>
      </c>
      <c r="BO598" s="14">
        <f>F598*BN598*in_recharge_ticket*in_recharge_comm/12</f>
        <v/>
      </c>
      <c r="BP598" s="40">
        <f>BP597*(1-IF(B597&gt;=in_marketplace_from,d_hz_bills*G597,0))</f>
        <v/>
      </c>
      <c r="BQ598" s="40">
        <f>BQ597*d_rho_bills+BP598*IF(B598&gt;=in_marketplace_from,d_hz_bills*G598,0)</f>
        <v/>
      </c>
      <c r="BR598" s="14">
        <f>F598*BQ598*in_bills_ticket*in_bills_comm/12</f>
        <v/>
      </c>
      <c r="BS598" s="40">
        <f>BS597*(1-IF(B597&gt;=in_marketplace_from,d_hz_loan_gold*G597,0))</f>
        <v/>
      </c>
      <c r="BT598" s="14">
        <f>F598*BS598*IF(B598&gt;=in_marketplace_from,d_hz_loan_gold*G598,0)*in_loan_gold_ticket*in_loan_gold_comm</f>
        <v/>
      </c>
      <c r="BU598" s="40">
        <f>BU597*(1-IF(B597&gt;=in_marketplace_from,d_hz_loan_cd*G597,0))</f>
        <v/>
      </c>
      <c r="BV598" s="14">
        <f>F598*BU598*IF(B598&gt;=in_marketplace_from,d_hz_loan_cd*G598,0)*in_loan_cd_ticket*in_loan_cd_comm</f>
        <v/>
      </c>
      <c r="BW598" s="40">
        <f>BW597*(1-IF(B597&gt;=in_marketplace_from,d_hz_loan_vehicle*G597,0))</f>
        <v/>
      </c>
      <c r="BX598" s="14">
        <f>F598*BW598*IF(B598&gt;=in_marketplace_from,d_hz_loan_vehicle*G598,0)*in_loan_vehicle_ticket*in_loan_vehicle_comm</f>
        <v/>
      </c>
      <c r="BY598" s="40">
        <f>BY597*(1-IF(B597&gt;=in_marketplace_from,d_hz_loan_home*G597,0)*BZ597)</f>
        <v/>
      </c>
      <c r="BZ598" s="11">
        <f>MIN(in_approval_cap,in_loan_home_approval*INDEX('Age profile'!$O$2:$O$61,B598)*(1+in_approval_growth)^(D598-1))</f>
        <v/>
      </c>
      <c r="CA598" s="14">
        <f>F598*BY598*IF(B598&gt;=in_marketplace_from,d_hz_loan_home*G598,0)*BZ598*in_loan_home_ticket*in_loan_home_comm</f>
        <v/>
      </c>
      <c r="CB598" s="40">
        <f>CB597*(1-IF(B597&gt;=in_marketplace_from,d_hz_loan_lap*G597,0)*CC597)</f>
        <v/>
      </c>
      <c r="CC598" s="11">
        <f>MIN(in_approval_cap,in_loan_lap_approval*INDEX('Age profile'!$O$2:$O$61,B598)*(1+in_approval_growth)^(D598-1))</f>
        <v/>
      </c>
      <c r="CD598" s="14">
        <f>F598*CB598*IF(B598&gt;=in_marketplace_from,d_hz_loan_lap*G598,0)*CC598*in_loan_lap_ticket*in_loan_lap_comm</f>
        <v/>
      </c>
      <c r="CE598" s="14">
        <f>AA598+AB598+AC598+AD598+AG598+AJ598+AM598+AP598+AS598+AU598+AX598+BB598+BE598+BG598+BJ598+BL598+BO598+BR598+BT598+BV598+BX598+CA598+CD598</f>
        <v/>
      </c>
    </row>
    <row r="599">
      <c r="A599" s="39" t="n">
        <v>11</v>
      </c>
      <c r="B599" s="39" t="n">
        <v>43</v>
      </c>
      <c r="C599" s="39">
        <f>A599+B599-1</f>
        <v/>
      </c>
      <c r="D599" s="39">
        <f>INT((C599-1)/12)+1</f>
        <v/>
      </c>
      <c r="E599" s="44">
        <f>INDEX(Monthly!$B$2:$B$61,A599)</f>
        <v/>
      </c>
      <c r="F599" s="44">
        <f>E599*INDEX('Age profile'!$B$2:$B$61,B599)</f>
        <v/>
      </c>
      <c r="G599" s="45">
        <f>MIN(in_takeup_cap,INDEX('Age profile'!$N$2:$N$61,B599)*(1+in_takeup_growth)^(D599-1))</f>
        <v/>
      </c>
      <c r="H599" s="11">
        <f>MIN(in_approval_cap,in_approved_first*INDEX('Age profile'!$O$2:$O$61,B599)*(1+in_approval_growth)^(D599-1))</f>
        <v/>
      </c>
      <c r="I599" s="45">
        <f>G599*MIN(in_takeup_cap,INDEX('Age profile'!$O$2:$O$61,B599)*(1+in_approval_growth)^(D599-1))</f>
        <v/>
      </c>
      <c r="J599" s="40">
        <f>(J598-L598)*F599/F598</f>
        <v/>
      </c>
      <c r="K599" s="40">
        <f>(K598-M598)*F599/F598+SUMIFS(O557:O598,B557:B598,B599-1-d_T)*F599</f>
        <v/>
      </c>
      <c r="L599" s="40">
        <f>IF(B599&gt;=in_marketplace_from,J599*d_hz*G599*in_eligible*H599,0)</f>
        <v/>
      </c>
      <c r="M599" s="40">
        <f>IF(B599&gt;=in_marketplace_from,K599*d_hz*G599*in_eligible*in_approved_repeat,0)</f>
        <v/>
      </c>
      <c r="N599" s="40">
        <f>L599+M599</f>
        <v/>
      </c>
      <c r="O599" s="46">
        <f>N599/F599</f>
        <v/>
      </c>
      <c r="P599" s="40">
        <f>F599-J599-K599</f>
        <v/>
      </c>
      <c r="Q599" s="40">
        <f>IF(B599&gt;=in_marketplace_from,(J599+K599)*d_hz*G599,0)</f>
        <v/>
      </c>
      <c r="R599" s="40">
        <f>SUMIFS(N557:N606,B557:B606,"&gt;="&amp;(B599-d_T),B557:B606,"&lt;="&amp;(B599-1))</f>
        <v/>
      </c>
      <c r="S599" s="46">
        <f>(1-d_u)*S598+IF(d_T&gt;in_topup_lag,SUMIFS(O557:O606,B557:B606,B599-in_topup_lag)-d_udrop*SUMIFS(O557:O606,B557:B606,B599-d_T),0)</f>
        <v/>
      </c>
      <c r="T599" s="40">
        <f>F599*d_u*S599</f>
        <v/>
      </c>
      <c r="U599" s="9">
        <f>L599*in_ticket+M599*d_rep_ticket</f>
        <v/>
      </c>
      <c r="V599" s="9">
        <f>U599+T599*d_topup_amt</f>
        <v/>
      </c>
      <c r="W599" s="40">
        <f>N599+T599*d_topup_ratio</f>
        <v/>
      </c>
      <c r="X599" s="40">
        <f>SUMIFS(W557:W606,B557:B606,B599-in_dpd_lag)*d_cured</f>
        <v/>
      </c>
      <c r="Y599" s="40">
        <f>SUMIFS(W557:W606,B557:B606,B599-in_rec_lag)*d_recd</f>
        <v/>
      </c>
      <c r="Z599" s="40">
        <f>IF(AND(B599&gt;=in_marketplace_from,B599&lt;in_marketplace_from+in_card_months),in_card_share/in_card_months*F599*I599,IF(AND(B599&gt;=in_marketplace_from+in_card_months,B599&lt;in_marketplace_from+2*in_card_months),in_card_share*d_card_rem/in_card_months*F599*MIN(in_takeup_cap,(1+in_takeup_growth)^(D599-1))*MIN(in_takeup_cap,(1+in_approval_growth)^(D599-1)),0))</f>
        <v/>
      </c>
      <c r="AA599" s="14">
        <f>V599*in_fee*(1-in_taken_back)</f>
        <v/>
      </c>
      <c r="AB599" s="14">
        <f>SUMIFS(W557:W606,B557:B606,B599-in_dpd_lag)*d_dpd</f>
        <v/>
      </c>
      <c r="AC599" s="14">
        <f>SUMIFS(W557:W606,B557:B606,B599-in_rec_lag)*d_rec</f>
        <v/>
      </c>
      <c r="AD599" s="14">
        <f>Z599*in_card_fee</f>
        <v/>
      </c>
      <c r="AE599" s="40">
        <f>AE598*(1-IF(B598&gt;=in_marketplace_from,d_hz_hlth_small*G598,0))</f>
        <v/>
      </c>
      <c r="AF599" s="46">
        <f>AE599*IF(B599&gt;=in_marketplace_from,d_hz_hlth_small*G599,0)</f>
        <v/>
      </c>
      <c r="AG599" s="14">
        <f>F599*AF599*in_hlth_small_ticket*in_hlth_small_comm*in_ins_partner_share+F599*in_hlth_small_ticket*in_hlth_small_renew_comm*in_ins_partner_share*(in_hlth_small_renew^1*SUMIFS(AF557:AF606,B557:B606,B599-12)+in_hlth_small_renew^2*SUMIFS(AF557:AF606,B557:B606,B599-24)+in_hlth_small_renew^3*SUMIFS(AF557:AF606,B557:B606,B599-36)+in_hlth_small_renew^4*SUMIFS(AF557:AF606,B557:B606,B599-48))</f>
        <v/>
      </c>
      <c r="AH599" s="40">
        <f>AH598*(1-IF(B598&gt;=in_marketplace_from,d_hz_hlth_family*G598,0))</f>
        <v/>
      </c>
      <c r="AI599" s="46">
        <f>AH599*IF(B599&gt;=in_marketplace_from,d_hz_hlth_family*G599,0)</f>
        <v/>
      </c>
      <c r="AJ599" s="14">
        <f>F599*AI599*in_hlth_family_ticket*in_hlth_family_comm*in_ins_partner_share+F599*in_hlth_family_ticket*in_hlth_family_renew_comm*in_ins_partner_share*(in_hlth_family_renew^1*SUMIFS(AI557:AI606,B557:B606,B599-12)+in_hlth_family_renew^2*SUMIFS(AI557:AI606,B557:B606,B599-24)+in_hlth_family_renew^3*SUMIFS(AI557:AI606,B557:B606,B599-36)+in_hlth_family_renew^4*SUMIFS(AI557:AI606,B557:B606,B599-48))</f>
        <v/>
      </c>
      <c r="AK599" s="40">
        <f>AK598*(1-IF(B598&gt;=in_marketplace_from,d_hz_life_term*G598,0))</f>
        <v/>
      </c>
      <c r="AL599" s="46">
        <f>AK599*IF(B599&gt;=in_marketplace_from,d_hz_life_term*G599,0)</f>
        <v/>
      </c>
      <c r="AM599" s="14">
        <f>F599*AL599*in_life_term_ticket*in_life_term_comm*in_ins_partner_share+F599*in_life_term_ticket*in_life_term_renew_comm*in_ins_partner_share*(in_life_term_renew^1*SUMIFS(AL557:AL606,B557:B606,B599-12)+in_life_term_renew^2*SUMIFS(AL557:AL606,B557:B606,B599-24)+in_life_term_renew^3*SUMIFS(AL557:AL606,B557:B606,B599-36)+in_life_term_renew^4*SUMIFS(AL557:AL606,B557:B606,B599-48))</f>
        <v/>
      </c>
      <c r="AN599" s="40">
        <f>AN598*(1-IF(B598&gt;=in_marketplace_from,d_hz_accident*G598,0))</f>
        <v/>
      </c>
      <c r="AO599" s="46">
        <f>AN599*IF(B599&gt;=in_marketplace_from,d_hz_accident*G599,0)</f>
        <v/>
      </c>
      <c r="AP599" s="14">
        <f>F599*AO599*in_accident_ticket*in_accident_comm*in_ins_partner_share+F599*in_accident_ticket*in_accident_renew_comm*in_ins_partner_share*(in_accident_renew^1*SUMIFS(AO557:AO606,B557:B606,B599-12)+in_accident_renew^2*SUMIFS(AO557:AO606,B557:B606,B599-24)+in_accident_renew^3*SUMIFS(AO557:AO606,B557:B606,B599-36)+in_accident_renew^4*SUMIFS(AO557:AO606,B557:B606,B599-48))</f>
        <v/>
      </c>
      <c r="AQ599" s="40">
        <f>AQ598*(1-IF(B598&gt;=in_marketplace_from,d_hz_two_wheeler*G598,0))</f>
        <v/>
      </c>
      <c r="AR599" s="46">
        <f>AQ599*IF(B599&gt;=in_marketplace_from,d_hz_two_wheeler*G599,0)</f>
        <v/>
      </c>
      <c r="AS599" s="14">
        <f>F599*AR599*in_two_wheeler_ticket*in_two_wheeler_comm*in_ins_partner_share+F599*in_two_wheeler_ticket*in_two_wheeler_comm*in_ins_partner_share*(in_two_wheeler_renew^1*SUMIFS(AR557:AR606,B557:B606,B599-12)+in_two_wheeler_renew^2*SUMIFS(AR557:AR606,B557:B606,B599-24)+in_two_wheeler_renew^3*SUMIFS(AR557:AR606,B557:B606,B599-36)+in_two_wheeler_renew^4*SUMIFS(AR557:AR606,B557:B606,B599-48))</f>
        <v/>
      </c>
      <c r="AT599" s="40">
        <f>AT598*(1-IF(B598&gt;=in_marketplace_from,d_hz_device*G598,0))</f>
        <v/>
      </c>
      <c r="AU599" s="14">
        <f>F599*AT599*IF(B599&gt;=in_marketplace_from,d_hz_device*G599,0)*in_device_ticket*in_device_comm*in_ins_partner_share</f>
        <v/>
      </c>
      <c r="AV599" s="40">
        <f>AV598*(1-IF(B598&gt;=in_marketplace_from,d_hz_shop*G598,0))</f>
        <v/>
      </c>
      <c r="AW599" s="46">
        <f>AV599*IF(B599&gt;=in_marketplace_from,d_hz_shop*G599,0)</f>
        <v/>
      </c>
      <c r="AX599" s="14">
        <f>F599*AW599*in_shop_ticket*in_shop_comm*in_ins_partner_share+F599*in_shop_ticket*in_shop_renew_comm*in_ins_partner_share*(in_shop_renew^1*SUMIFS(AW557:AW606,B557:B606,B599-12)+in_shop_renew^2*SUMIFS(AW557:AW606,B557:B606,B599-24)+in_shop_renew^3*SUMIFS(AW557:AW606,B557:B606,B599-36)+in_shop_renew^4*SUMIFS(AW557:AW606,B557:B606,B599-48))</f>
        <v/>
      </c>
      <c r="AY599" s="40">
        <f>AY598*(1-IF(B598&gt;=in_marketplace_from,d_hz_sip*G598,0))</f>
        <v/>
      </c>
      <c r="AZ599" s="40">
        <f>AZ598*d_rho_sip+AY599*IF(B599&gt;=in_marketplace_from,d_hz_sip*G599,0)</f>
        <v/>
      </c>
      <c r="BA599" s="40">
        <f>d_rho_sip*(BA598+AZ598)</f>
        <v/>
      </c>
      <c r="BB599" s="14">
        <f>F599*in_sip_ticket*(BA599+0.5*AZ599)*in_sip_comm/12</f>
        <v/>
      </c>
      <c r="BC599" s="40">
        <f>BC598*(1-IF(B598&gt;=in_marketplace_from,d_hz_choti*G598,0))</f>
        <v/>
      </c>
      <c r="BD599" s="46">
        <f>BC599*IF(B599&gt;=in_marketplace_from,d_hz_choti*G599,0)</f>
        <v/>
      </c>
      <c r="BE599" s="14">
        <f>F599*SUMIFS(BD557:BD606,B557:B606,B599-in_choti_months)*in_choti_renew*in_choti_ticket</f>
        <v/>
      </c>
      <c r="BF599" s="40">
        <f>BF598*(1-IF(B598&gt;=in_marketplace_from,d_hz_nps*G598,0))</f>
        <v/>
      </c>
      <c r="BG599" s="14">
        <f>F599*BF599*IF(B599&gt;=in_marketplace_from,d_hz_nps*G599,0)*in_nps_ticket*in_nps_comm</f>
        <v/>
      </c>
      <c r="BH599" s="40">
        <f>BH598*(1-IF(B598&gt;=in_marketplace_from,d_hz_gold*G598,0))</f>
        <v/>
      </c>
      <c r="BI599" s="40">
        <f>BI598*d_rho_gold+BH599*IF(B599&gt;=in_marketplace_from,d_hz_gold*G599,0)</f>
        <v/>
      </c>
      <c r="BJ599" s="14">
        <f>F599*BI599*in_gold_ticket*in_gold_comm</f>
        <v/>
      </c>
      <c r="BK599" s="40">
        <f>BK598*(1-IF(B598&gt;=in_marketplace_from,d_hz_fd*G598,0))</f>
        <v/>
      </c>
      <c r="BL599" s="14">
        <f>F599*BK599*IF(B599&gt;=in_marketplace_from,d_hz_fd*G599,0)*in_fd_ticket*in_fd_comm</f>
        <v/>
      </c>
      <c r="BM599" s="40">
        <f>BM598*(1-IF(B598&gt;=in_marketplace_from,d_hz_recharge*G598,0))</f>
        <v/>
      </c>
      <c r="BN599" s="40">
        <f>BN598*d_rho_recharge+BM599*IF(B599&gt;=in_marketplace_from,d_hz_recharge*G599,0)</f>
        <v/>
      </c>
      <c r="BO599" s="14">
        <f>F599*BN599*in_recharge_ticket*in_recharge_comm/12</f>
        <v/>
      </c>
      <c r="BP599" s="40">
        <f>BP598*(1-IF(B598&gt;=in_marketplace_from,d_hz_bills*G598,0))</f>
        <v/>
      </c>
      <c r="BQ599" s="40">
        <f>BQ598*d_rho_bills+BP599*IF(B599&gt;=in_marketplace_from,d_hz_bills*G599,0)</f>
        <v/>
      </c>
      <c r="BR599" s="14">
        <f>F599*BQ599*in_bills_ticket*in_bills_comm/12</f>
        <v/>
      </c>
      <c r="BS599" s="40">
        <f>BS598*(1-IF(B598&gt;=in_marketplace_from,d_hz_loan_gold*G598,0))</f>
        <v/>
      </c>
      <c r="BT599" s="14">
        <f>F599*BS599*IF(B599&gt;=in_marketplace_from,d_hz_loan_gold*G599,0)*in_loan_gold_ticket*in_loan_gold_comm</f>
        <v/>
      </c>
      <c r="BU599" s="40">
        <f>BU598*(1-IF(B598&gt;=in_marketplace_from,d_hz_loan_cd*G598,0))</f>
        <v/>
      </c>
      <c r="BV599" s="14">
        <f>F599*BU599*IF(B599&gt;=in_marketplace_from,d_hz_loan_cd*G599,0)*in_loan_cd_ticket*in_loan_cd_comm</f>
        <v/>
      </c>
      <c r="BW599" s="40">
        <f>BW598*(1-IF(B598&gt;=in_marketplace_from,d_hz_loan_vehicle*G598,0))</f>
        <v/>
      </c>
      <c r="BX599" s="14">
        <f>F599*BW599*IF(B599&gt;=in_marketplace_from,d_hz_loan_vehicle*G599,0)*in_loan_vehicle_ticket*in_loan_vehicle_comm</f>
        <v/>
      </c>
      <c r="BY599" s="40">
        <f>BY598*(1-IF(B598&gt;=in_marketplace_from,d_hz_loan_home*G598,0)*BZ598)</f>
        <v/>
      </c>
      <c r="BZ599" s="11">
        <f>MIN(in_approval_cap,in_loan_home_approval*INDEX('Age profile'!$O$2:$O$61,B599)*(1+in_approval_growth)^(D599-1))</f>
        <v/>
      </c>
      <c r="CA599" s="14">
        <f>F599*BY599*IF(B599&gt;=in_marketplace_from,d_hz_loan_home*G599,0)*BZ599*in_loan_home_ticket*in_loan_home_comm</f>
        <v/>
      </c>
      <c r="CB599" s="40">
        <f>CB598*(1-IF(B598&gt;=in_marketplace_from,d_hz_loan_lap*G598,0)*CC598)</f>
        <v/>
      </c>
      <c r="CC599" s="11">
        <f>MIN(in_approval_cap,in_loan_lap_approval*INDEX('Age profile'!$O$2:$O$61,B599)*(1+in_approval_growth)^(D599-1))</f>
        <v/>
      </c>
      <c r="CD599" s="14">
        <f>F599*CB599*IF(B599&gt;=in_marketplace_from,d_hz_loan_lap*G599,0)*CC599*in_loan_lap_ticket*in_loan_lap_comm</f>
        <v/>
      </c>
      <c r="CE599" s="14">
        <f>AA599+AB599+AC599+AD599+AG599+AJ599+AM599+AP599+AS599+AU599+AX599+BB599+BE599+BG599+BJ599+BL599+BO599+BR599+BT599+BV599+BX599+CA599+CD599</f>
        <v/>
      </c>
    </row>
    <row r="600">
      <c r="A600" s="39" t="n">
        <v>11</v>
      </c>
      <c r="B600" s="39" t="n">
        <v>44</v>
      </c>
      <c r="C600" s="39">
        <f>A600+B600-1</f>
        <v/>
      </c>
      <c r="D600" s="39">
        <f>INT((C600-1)/12)+1</f>
        <v/>
      </c>
      <c r="E600" s="44">
        <f>INDEX(Monthly!$B$2:$B$61,A600)</f>
        <v/>
      </c>
      <c r="F600" s="44">
        <f>E600*INDEX('Age profile'!$B$2:$B$61,B600)</f>
        <v/>
      </c>
      <c r="G600" s="45">
        <f>MIN(in_takeup_cap,INDEX('Age profile'!$N$2:$N$61,B600)*(1+in_takeup_growth)^(D600-1))</f>
        <v/>
      </c>
      <c r="H600" s="11">
        <f>MIN(in_approval_cap,in_approved_first*INDEX('Age profile'!$O$2:$O$61,B600)*(1+in_approval_growth)^(D600-1))</f>
        <v/>
      </c>
      <c r="I600" s="45">
        <f>G600*MIN(in_takeup_cap,INDEX('Age profile'!$O$2:$O$61,B600)*(1+in_approval_growth)^(D600-1))</f>
        <v/>
      </c>
      <c r="J600" s="40">
        <f>(J599-L599)*F600/F599</f>
        <v/>
      </c>
      <c r="K600" s="40">
        <f>(K599-M599)*F600/F599+SUMIFS(O557:O599,B557:B599,B600-1-d_T)*F600</f>
        <v/>
      </c>
      <c r="L600" s="40">
        <f>IF(B600&gt;=in_marketplace_from,J600*d_hz*G600*in_eligible*H600,0)</f>
        <v/>
      </c>
      <c r="M600" s="40">
        <f>IF(B600&gt;=in_marketplace_from,K600*d_hz*G600*in_eligible*in_approved_repeat,0)</f>
        <v/>
      </c>
      <c r="N600" s="40">
        <f>L600+M600</f>
        <v/>
      </c>
      <c r="O600" s="46">
        <f>N600/F600</f>
        <v/>
      </c>
      <c r="P600" s="40">
        <f>F600-J600-K600</f>
        <v/>
      </c>
      <c r="Q600" s="40">
        <f>IF(B600&gt;=in_marketplace_from,(J600+K600)*d_hz*G600,0)</f>
        <v/>
      </c>
      <c r="R600" s="40">
        <f>SUMIFS(N557:N606,B557:B606,"&gt;="&amp;(B600-d_T),B557:B606,"&lt;="&amp;(B600-1))</f>
        <v/>
      </c>
      <c r="S600" s="46">
        <f>(1-d_u)*S599+IF(d_T&gt;in_topup_lag,SUMIFS(O557:O606,B557:B606,B600-in_topup_lag)-d_udrop*SUMIFS(O557:O606,B557:B606,B600-d_T),0)</f>
        <v/>
      </c>
      <c r="T600" s="40">
        <f>F600*d_u*S600</f>
        <v/>
      </c>
      <c r="U600" s="9">
        <f>L600*in_ticket+M600*d_rep_ticket</f>
        <v/>
      </c>
      <c r="V600" s="9">
        <f>U600+T600*d_topup_amt</f>
        <v/>
      </c>
      <c r="W600" s="40">
        <f>N600+T600*d_topup_ratio</f>
        <v/>
      </c>
      <c r="X600" s="40">
        <f>SUMIFS(W557:W606,B557:B606,B600-in_dpd_lag)*d_cured</f>
        <v/>
      </c>
      <c r="Y600" s="40">
        <f>SUMIFS(W557:W606,B557:B606,B600-in_rec_lag)*d_recd</f>
        <v/>
      </c>
      <c r="Z600" s="40">
        <f>IF(AND(B600&gt;=in_marketplace_from,B600&lt;in_marketplace_from+in_card_months),in_card_share/in_card_months*F600*I600,IF(AND(B600&gt;=in_marketplace_from+in_card_months,B600&lt;in_marketplace_from+2*in_card_months),in_card_share*d_card_rem/in_card_months*F600*MIN(in_takeup_cap,(1+in_takeup_growth)^(D600-1))*MIN(in_takeup_cap,(1+in_approval_growth)^(D600-1)),0))</f>
        <v/>
      </c>
      <c r="AA600" s="14">
        <f>V600*in_fee*(1-in_taken_back)</f>
        <v/>
      </c>
      <c r="AB600" s="14">
        <f>SUMIFS(W557:W606,B557:B606,B600-in_dpd_lag)*d_dpd</f>
        <v/>
      </c>
      <c r="AC600" s="14">
        <f>SUMIFS(W557:W606,B557:B606,B600-in_rec_lag)*d_rec</f>
        <v/>
      </c>
      <c r="AD600" s="14">
        <f>Z600*in_card_fee</f>
        <v/>
      </c>
      <c r="AE600" s="40">
        <f>AE599*(1-IF(B599&gt;=in_marketplace_from,d_hz_hlth_small*G599,0))</f>
        <v/>
      </c>
      <c r="AF600" s="46">
        <f>AE600*IF(B600&gt;=in_marketplace_from,d_hz_hlth_small*G600,0)</f>
        <v/>
      </c>
      <c r="AG600" s="14">
        <f>F600*AF600*in_hlth_small_ticket*in_hlth_small_comm*in_ins_partner_share+F600*in_hlth_small_ticket*in_hlth_small_renew_comm*in_ins_partner_share*(in_hlth_small_renew^1*SUMIFS(AF557:AF606,B557:B606,B600-12)+in_hlth_small_renew^2*SUMIFS(AF557:AF606,B557:B606,B600-24)+in_hlth_small_renew^3*SUMIFS(AF557:AF606,B557:B606,B600-36)+in_hlth_small_renew^4*SUMIFS(AF557:AF606,B557:B606,B600-48))</f>
        <v/>
      </c>
      <c r="AH600" s="40">
        <f>AH599*(1-IF(B599&gt;=in_marketplace_from,d_hz_hlth_family*G599,0))</f>
        <v/>
      </c>
      <c r="AI600" s="46">
        <f>AH600*IF(B600&gt;=in_marketplace_from,d_hz_hlth_family*G600,0)</f>
        <v/>
      </c>
      <c r="AJ600" s="14">
        <f>F600*AI600*in_hlth_family_ticket*in_hlth_family_comm*in_ins_partner_share+F600*in_hlth_family_ticket*in_hlth_family_renew_comm*in_ins_partner_share*(in_hlth_family_renew^1*SUMIFS(AI557:AI606,B557:B606,B600-12)+in_hlth_family_renew^2*SUMIFS(AI557:AI606,B557:B606,B600-24)+in_hlth_family_renew^3*SUMIFS(AI557:AI606,B557:B606,B600-36)+in_hlth_family_renew^4*SUMIFS(AI557:AI606,B557:B606,B600-48))</f>
        <v/>
      </c>
      <c r="AK600" s="40">
        <f>AK599*(1-IF(B599&gt;=in_marketplace_from,d_hz_life_term*G599,0))</f>
        <v/>
      </c>
      <c r="AL600" s="46">
        <f>AK600*IF(B600&gt;=in_marketplace_from,d_hz_life_term*G600,0)</f>
        <v/>
      </c>
      <c r="AM600" s="14">
        <f>F600*AL600*in_life_term_ticket*in_life_term_comm*in_ins_partner_share+F600*in_life_term_ticket*in_life_term_renew_comm*in_ins_partner_share*(in_life_term_renew^1*SUMIFS(AL557:AL606,B557:B606,B600-12)+in_life_term_renew^2*SUMIFS(AL557:AL606,B557:B606,B600-24)+in_life_term_renew^3*SUMIFS(AL557:AL606,B557:B606,B600-36)+in_life_term_renew^4*SUMIFS(AL557:AL606,B557:B606,B600-48))</f>
        <v/>
      </c>
      <c r="AN600" s="40">
        <f>AN599*(1-IF(B599&gt;=in_marketplace_from,d_hz_accident*G599,0))</f>
        <v/>
      </c>
      <c r="AO600" s="46">
        <f>AN600*IF(B600&gt;=in_marketplace_from,d_hz_accident*G600,0)</f>
        <v/>
      </c>
      <c r="AP600" s="14">
        <f>F600*AO600*in_accident_ticket*in_accident_comm*in_ins_partner_share+F600*in_accident_ticket*in_accident_renew_comm*in_ins_partner_share*(in_accident_renew^1*SUMIFS(AO557:AO606,B557:B606,B600-12)+in_accident_renew^2*SUMIFS(AO557:AO606,B557:B606,B600-24)+in_accident_renew^3*SUMIFS(AO557:AO606,B557:B606,B600-36)+in_accident_renew^4*SUMIFS(AO557:AO606,B557:B606,B600-48))</f>
        <v/>
      </c>
      <c r="AQ600" s="40">
        <f>AQ599*(1-IF(B599&gt;=in_marketplace_from,d_hz_two_wheeler*G599,0))</f>
        <v/>
      </c>
      <c r="AR600" s="46">
        <f>AQ600*IF(B600&gt;=in_marketplace_from,d_hz_two_wheeler*G600,0)</f>
        <v/>
      </c>
      <c r="AS600" s="14">
        <f>F600*AR600*in_two_wheeler_ticket*in_two_wheeler_comm*in_ins_partner_share+F600*in_two_wheeler_ticket*in_two_wheeler_comm*in_ins_partner_share*(in_two_wheeler_renew^1*SUMIFS(AR557:AR606,B557:B606,B600-12)+in_two_wheeler_renew^2*SUMIFS(AR557:AR606,B557:B606,B600-24)+in_two_wheeler_renew^3*SUMIFS(AR557:AR606,B557:B606,B600-36)+in_two_wheeler_renew^4*SUMIFS(AR557:AR606,B557:B606,B600-48))</f>
        <v/>
      </c>
      <c r="AT600" s="40">
        <f>AT599*(1-IF(B599&gt;=in_marketplace_from,d_hz_device*G599,0))</f>
        <v/>
      </c>
      <c r="AU600" s="14">
        <f>F600*AT600*IF(B600&gt;=in_marketplace_from,d_hz_device*G600,0)*in_device_ticket*in_device_comm*in_ins_partner_share</f>
        <v/>
      </c>
      <c r="AV600" s="40">
        <f>AV599*(1-IF(B599&gt;=in_marketplace_from,d_hz_shop*G599,0))</f>
        <v/>
      </c>
      <c r="AW600" s="46">
        <f>AV600*IF(B600&gt;=in_marketplace_from,d_hz_shop*G600,0)</f>
        <v/>
      </c>
      <c r="AX600" s="14">
        <f>F600*AW600*in_shop_ticket*in_shop_comm*in_ins_partner_share+F600*in_shop_ticket*in_shop_renew_comm*in_ins_partner_share*(in_shop_renew^1*SUMIFS(AW557:AW606,B557:B606,B600-12)+in_shop_renew^2*SUMIFS(AW557:AW606,B557:B606,B600-24)+in_shop_renew^3*SUMIFS(AW557:AW606,B557:B606,B600-36)+in_shop_renew^4*SUMIFS(AW557:AW606,B557:B606,B600-48))</f>
        <v/>
      </c>
      <c r="AY600" s="40">
        <f>AY599*(1-IF(B599&gt;=in_marketplace_from,d_hz_sip*G599,0))</f>
        <v/>
      </c>
      <c r="AZ600" s="40">
        <f>AZ599*d_rho_sip+AY600*IF(B600&gt;=in_marketplace_from,d_hz_sip*G600,0)</f>
        <v/>
      </c>
      <c r="BA600" s="40">
        <f>d_rho_sip*(BA599+AZ599)</f>
        <v/>
      </c>
      <c r="BB600" s="14">
        <f>F600*in_sip_ticket*(BA600+0.5*AZ600)*in_sip_comm/12</f>
        <v/>
      </c>
      <c r="BC600" s="40">
        <f>BC599*(1-IF(B599&gt;=in_marketplace_from,d_hz_choti*G599,0))</f>
        <v/>
      </c>
      <c r="BD600" s="46">
        <f>BC600*IF(B600&gt;=in_marketplace_from,d_hz_choti*G600,0)</f>
        <v/>
      </c>
      <c r="BE600" s="14">
        <f>F600*SUMIFS(BD557:BD606,B557:B606,B600-in_choti_months)*in_choti_renew*in_choti_ticket</f>
        <v/>
      </c>
      <c r="BF600" s="40">
        <f>BF599*(1-IF(B599&gt;=in_marketplace_from,d_hz_nps*G599,0))</f>
        <v/>
      </c>
      <c r="BG600" s="14">
        <f>F600*BF600*IF(B600&gt;=in_marketplace_from,d_hz_nps*G600,0)*in_nps_ticket*in_nps_comm</f>
        <v/>
      </c>
      <c r="BH600" s="40">
        <f>BH599*(1-IF(B599&gt;=in_marketplace_from,d_hz_gold*G599,0))</f>
        <v/>
      </c>
      <c r="BI600" s="40">
        <f>BI599*d_rho_gold+BH600*IF(B600&gt;=in_marketplace_from,d_hz_gold*G600,0)</f>
        <v/>
      </c>
      <c r="BJ600" s="14">
        <f>F600*BI600*in_gold_ticket*in_gold_comm</f>
        <v/>
      </c>
      <c r="BK600" s="40">
        <f>BK599*(1-IF(B599&gt;=in_marketplace_from,d_hz_fd*G599,0))</f>
        <v/>
      </c>
      <c r="BL600" s="14">
        <f>F600*BK600*IF(B600&gt;=in_marketplace_from,d_hz_fd*G600,0)*in_fd_ticket*in_fd_comm</f>
        <v/>
      </c>
      <c r="BM600" s="40">
        <f>BM599*(1-IF(B599&gt;=in_marketplace_from,d_hz_recharge*G599,0))</f>
        <v/>
      </c>
      <c r="BN600" s="40">
        <f>BN599*d_rho_recharge+BM600*IF(B600&gt;=in_marketplace_from,d_hz_recharge*G600,0)</f>
        <v/>
      </c>
      <c r="BO600" s="14">
        <f>F600*BN600*in_recharge_ticket*in_recharge_comm/12</f>
        <v/>
      </c>
      <c r="BP600" s="40">
        <f>BP599*(1-IF(B599&gt;=in_marketplace_from,d_hz_bills*G599,0))</f>
        <v/>
      </c>
      <c r="BQ600" s="40">
        <f>BQ599*d_rho_bills+BP600*IF(B600&gt;=in_marketplace_from,d_hz_bills*G600,0)</f>
        <v/>
      </c>
      <c r="BR600" s="14">
        <f>F600*BQ600*in_bills_ticket*in_bills_comm/12</f>
        <v/>
      </c>
      <c r="BS600" s="40">
        <f>BS599*(1-IF(B599&gt;=in_marketplace_from,d_hz_loan_gold*G599,0))</f>
        <v/>
      </c>
      <c r="BT600" s="14">
        <f>F600*BS600*IF(B600&gt;=in_marketplace_from,d_hz_loan_gold*G600,0)*in_loan_gold_ticket*in_loan_gold_comm</f>
        <v/>
      </c>
      <c r="BU600" s="40">
        <f>BU599*(1-IF(B599&gt;=in_marketplace_from,d_hz_loan_cd*G599,0))</f>
        <v/>
      </c>
      <c r="BV600" s="14">
        <f>F600*BU600*IF(B600&gt;=in_marketplace_from,d_hz_loan_cd*G600,0)*in_loan_cd_ticket*in_loan_cd_comm</f>
        <v/>
      </c>
      <c r="BW600" s="40">
        <f>BW599*(1-IF(B599&gt;=in_marketplace_from,d_hz_loan_vehicle*G599,0))</f>
        <v/>
      </c>
      <c r="BX600" s="14">
        <f>F600*BW600*IF(B600&gt;=in_marketplace_from,d_hz_loan_vehicle*G600,0)*in_loan_vehicle_ticket*in_loan_vehicle_comm</f>
        <v/>
      </c>
      <c r="BY600" s="40">
        <f>BY599*(1-IF(B599&gt;=in_marketplace_from,d_hz_loan_home*G599,0)*BZ599)</f>
        <v/>
      </c>
      <c r="BZ600" s="11">
        <f>MIN(in_approval_cap,in_loan_home_approval*INDEX('Age profile'!$O$2:$O$61,B600)*(1+in_approval_growth)^(D600-1))</f>
        <v/>
      </c>
      <c r="CA600" s="14">
        <f>F600*BY600*IF(B600&gt;=in_marketplace_from,d_hz_loan_home*G600,0)*BZ600*in_loan_home_ticket*in_loan_home_comm</f>
        <v/>
      </c>
      <c r="CB600" s="40">
        <f>CB599*(1-IF(B599&gt;=in_marketplace_from,d_hz_loan_lap*G599,0)*CC599)</f>
        <v/>
      </c>
      <c r="CC600" s="11">
        <f>MIN(in_approval_cap,in_loan_lap_approval*INDEX('Age profile'!$O$2:$O$61,B600)*(1+in_approval_growth)^(D600-1))</f>
        <v/>
      </c>
      <c r="CD600" s="14">
        <f>F600*CB600*IF(B600&gt;=in_marketplace_from,d_hz_loan_lap*G600,0)*CC600*in_loan_lap_ticket*in_loan_lap_comm</f>
        <v/>
      </c>
      <c r="CE600" s="14">
        <f>AA600+AB600+AC600+AD600+AG600+AJ600+AM600+AP600+AS600+AU600+AX600+BB600+BE600+BG600+BJ600+BL600+BO600+BR600+BT600+BV600+BX600+CA600+CD600</f>
        <v/>
      </c>
    </row>
    <row r="601">
      <c r="A601" s="39" t="n">
        <v>11</v>
      </c>
      <c r="B601" s="39" t="n">
        <v>45</v>
      </c>
      <c r="C601" s="39">
        <f>A601+B601-1</f>
        <v/>
      </c>
      <c r="D601" s="39">
        <f>INT((C601-1)/12)+1</f>
        <v/>
      </c>
      <c r="E601" s="44">
        <f>INDEX(Monthly!$B$2:$B$61,A601)</f>
        <v/>
      </c>
      <c r="F601" s="44">
        <f>E601*INDEX('Age profile'!$B$2:$B$61,B601)</f>
        <v/>
      </c>
      <c r="G601" s="45">
        <f>MIN(in_takeup_cap,INDEX('Age profile'!$N$2:$N$61,B601)*(1+in_takeup_growth)^(D601-1))</f>
        <v/>
      </c>
      <c r="H601" s="11">
        <f>MIN(in_approval_cap,in_approved_first*INDEX('Age profile'!$O$2:$O$61,B601)*(1+in_approval_growth)^(D601-1))</f>
        <v/>
      </c>
      <c r="I601" s="45">
        <f>G601*MIN(in_takeup_cap,INDEX('Age profile'!$O$2:$O$61,B601)*(1+in_approval_growth)^(D601-1))</f>
        <v/>
      </c>
      <c r="J601" s="40">
        <f>(J600-L600)*F601/F600</f>
        <v/>
      </c>
      <c r="K601" s="40">
        <f>(K600-M600)*F601/F600+SUMIFS(O557:O600,B557:B600,B601-1-d_T)*F601</f>
        <v/>
      </c>
      <c r="L601" s="40">
        <f>IF(B601&gt;=in_marketplace_from,J601*d_hz*G601*in_eligible*H601,0)</f>
        <v/>
      </c>
      <c r="M601" s="40">
        <f>IF(B601&gt;=in_marketplace_from,K601*d_hz*G601*in_eligible*in_approved_repeat,0)</f>
        <v/>
      </c>
      <c r="N601" s="40">
        <f>L601+M601</f>
        <v/>
      </c>
      <c r="O601" s="46">
        <f>N601/F601</f>
        <v/>
      </c>
      <c r="P601" s="40">
        <f>F601-J601-K601</f>
        <v/>
      </c>
      <c r="Q601" s="40">
        <f>IF(B601&gt;=in_marketplace_from,(J601+K601)*d_hz*G601,0)</f>
        <v/>
      </c>
      <c r="R601" s="40">
        <f>SUMIFS(N557:N606,B557:B606,"&gt;="&amp;(B601-d_T),B557:B606,"&lt;="&amp;(B601-1))</f>
        <v/>
      </c>
      <c r="S601" s="46">
        <f>(1-d_u)*S600+IF(d_T&gt;in_topup_lag,SUMIFS(O557:O606,B557:B606,B601-in_topup_lag)-d_udrop*SUMIFS(O557:O606,B557:B606,B601-d_T),0)</f>
        <v/>
      </c>
      <c r="T601" s="40">
        <f>F601*d_u*S601</f>
        <v/>
      </c>
      <c r="U601" s="9">
        <f>L601*in_ticket+M601*d_rep_ticket</f>
        <v/>
      </c>
      <c r="V601" s="9">
        <f>U601+T601*d_topup_amt</f>
        <v/>
      </c>
      <c r="W601" s="40">
        <f>N601+T601*d_topup_ratio</f>
        <v/>
      </c>
      <c r="X601" s="40">
        <f>SUMIFS(W557:W606,B557:B606,B601-in_dpd_lag)*d_cured</f>
        <v/>
      </c>
      <c r="Y601" s="40">
        <f>SUMIFS(W557:W606,B557:B606,B601-in_rec_lag)*d_recd</f>
        <v/>
      </c>
      <c r="Z601" s="40">
        <f>IF(AND(B601&gt;=in_marketplace_from,B601&lt;in_marketplace_from+in_card_months),in_card_share/in_card_months*F601*I601,IF(AND(B601&gt;=in_marketplace_from+in_card_months,B601&lt;in_marketplace_from+2*in_card_months),in_card_share*d_card_rem/in_card_months*F601*MIN(in_takeup_cap,(1+in_takeup_growth)^(D601-1))*MIN(in_takeup_cap,(1+in_approval_growth)^(D601-1)),0))</f>
        <v/>
      </c>
      <c r="AA601" s="14">
        <f>V601*in_fee*(1-in_taken_back)</f>
        <v/>
      </c>
      <c r="AB601" s="14">
        <f>SUMIFS(W557:W606,B557:B606,B601-in_dpd_lag)*d_dpd</f>
        <v/>
      </c>
      <c r="AC601" s="14">
        <f>SUMIFS(W557:W606,B557:B606,B601-in_rec_lag)*d_rec</f>
        <v/>
      </c>
      <c r="AD601" s="14">
        <f>Z601*in_card_fee</f>
        <v/>
      </c>
      <c r="AE601" s="40">
        <f>AE600*(1-IF(B600&gt;=in_marketplace_from,d_hz_hlth_small*G600,0))</f>
        <v/>
      </c>
      <c r="AF601" s="46">
        <f>AE601*IF(B601&gt;=in_marketplace_from,d_hz_hlth_small*G601,0)</f>
        <v/>
      </c>
      <c r="AG601" s="14">
        <f>F601*AF601*in_hlth_small_ticket*in_hlth_small_comm*in_ins_partner_share+F601*in_hlth_small_ticket*in_hlth_small_renew_comm*in_ins_partner_share*(in_hlth_small_renew^1*SUMIFS(AF557:AF606,B557:B606,B601-12)+in_hlth_small_renew^2*SUMIFS(AF557:AF606,B557:B606,B601-24)+in_hlth_small_renew^3*SUMIFS(AF557:AF606,B557:B606,B601-36)+in_hlth_small_renew^4*SUMIFS(AF557:AF606,B557:B606,B601-48))</f>
        <v/>
      </c>
      <c r="AH601" s="40">
        <f>AH600*(1-IF(B600&gt;=in_marketplace_from,d_hz_hlth_family*G600,0))</f>
        <v/>
      </c>
      <c r="AI601" s="46">
        <f>AH601*IF(B601&gt;=in_marketplace_from,d_hz_hlth_family*G601,0)</f>
        <v/>
      </c>
      <c r="AJ601" s="14">
        <f>F601*AI601*in_hlth_family_ticket*in_hlth_family_comm*in_ins_partner_share+F601*in_hlth_family_ticket*in_hlth_family_renew_comm*in_ins_partner_share*(in_hlth_family_renew^1*SUMIFS(AI557:AI606,B557:B606,B601-12)+in_hlth_family_renew^2*SUMIFS(AI557:AI606,B557:B606,B601-24)+in_hlth_family_renew^3*SUMIFS(AI557:AI606,B557:B606,B601-36)+in_hlth_family_renew^4*SUMIFS(AI557:AI606,B557:B606,B601-48))</f>
        <v/>
      </c>
      <c r="AK601" s="40">
        <f>AK600*(1-IF(B600&gt;=in_marketplace_from,d_hz_life_term*G600,0))</f>
        <v/>
      </c>
      <c r="AL601" s="46">
        <f>AK601*IF(B601&gt;=in_marketplace_from,d_hz_life_term*G601,0)</f>
        <v/>
      </c>
      <c r="AM601" s="14">
        <f>F601*AL601*in_life_term_ticket*in_life_term_comm*in_ins_partner_share+F601*in_life_term_ticket*in_life_term_renew_comm*in_ins_partner_share*(in_life_term_renew^1*SUMIFS(AL557:AL606,B557:B606,B601-12)+in_life_term_renew^2*SUMIFS(AL557:AL606,B557:B606,B601-24)+in_life_term_renew^3*SUMIFS(AL557:AL606,B557:B606,B601-36)+in_life_term_renew^4*SUMIFS(AL557:AL606,B557:B606,B601-48))</f>
        <v/>
      </c>
      <c r="AN601" s="40">
        <f>AN600*(1-IF(B600&gt;=in_marketplace_from,d_hz_accident*G600,0))</f>
        <v/>
      </c>
      <c r="AO601" s="46">
        <f>AN601*IF(B601&gt;=in_marketplace_from,d_hz_accident*G601,0)</f>
        <v/>
      </c>
      <c r="AP601" s="14">
        <f>F601*AO601*in_accident_ticket*in_accident_comm*in_ins_partner_share+F601*in_accident_ticket*in_accident_renew_comm*in_ins_partner_share*(in_accident_renew^1*SUMIFS(AO557:AO606,B557:B606,B601-12)+in_accident_renew^2*SUMIFS(AO557:AO606,B557:B606,B601-24)+in_accident_renew^3*SUMIFS(AO557:AO606,B557:B606,B601-36)+in_accident_renew^4*SUMIFS(AO557:AO606,B557:B606,B601-48))</f>
        <v/>
      </c>
      <c r="AQ601" s="40">
        <f>AQ600*(1-IF(B600&gt;=in_marketplace_from,d_hz_two_wheeler*G600,0))</f>
        <v/>
      </c>
      <c r="AR601" s="46">
        <f>AQ601*IF(B601&gt;=in_marketplace_from,d_hz_two_wheeler*G601,0)</f>
        <v/>
      </c>
      <c r="AS601" s="14">
        <f>F601*AR601*in_two_wheeler_ticket*in_two_wheeler_comm*in_ins_partner_share+F601*in_two_wheeler_ticket*in_two_wheeler_comm*in_ins_partner_share*(in_two_wheeler_renew^1*SUMIFS(AR557:AR606,B557:B606,B601-12)+in_two_wheeler_renew^2*SUMIFS(AR557:AR606,B557:B606,B601-24)+in_two_wheeler_renew^3*SUMIFS(AR557:AR606,B557:B606,B601-36)+in_two_wheeler_renew^4*SUMIFS(AR557:AR606,B557:B606,B601-48))</f>
        <v/>
      </c>
      <c r="AT601" s="40">
        <f>AT600*(1-IF(B600&gt;=in_marketplace_from,d_hz_device*G600,0))</f>
        <v/>
      </c>
      <c r="AU601" s="14">
        <f>F601*AT601*IF(B601&gt;=in_marketplace_from,d_hz_device*G601,0)*in_device_ticket*in_device_comm*in_ins_partner_share</f>
        <v/>
      </c>
      <c r="AV601" s="40">
        <f>AV600*(1-IF(B600&gt;=in_marketplace_from,d_hz_shop*G600,0))</f>
        <v/>
      </c>
      <c r="AW601" s="46">
        <f>AV601*IF(B601&gt;=in_marketplace_from,d_hz_shop*G601,0)</f>
        <v/>
      </c>
      <c r="AX601" s="14">
        <f>F601*AW601*in_shop_ticket*in_shop_comm*in_ins_partner_share+F601*in_shop_ticket*in_shop_renew_comm*in_ins_partner_share*(in_shop_renew^1*SUMIFS(AW557:AW606,B557:B606,B601-12)+in_shop_renew^2*SUMIFS(AW557:AW606,B557:B606,B601-24)+in_shop_renew^3*SUMIFS(AW557:AW606,B557:B606,B601-36)+in_shop_renew^4*SUMIFS(AW557:AW606,B557:B606,B601-48))</f>
        <v/>
      </c>
      <c r="AY601" s="40">
        <f>AY600*(1-IF(B600&gt;=in_marketplace_from,d_hz_sip*G600,0))</f>
        <v/>
      </c>
      <c r="AZ601" s="40">
        <f>AZ600*d_rho_sip+AY601*IF(B601&gt;=in_marketplace_from,d_hz_sip*G601,0)</f>
        <v/>
      </c>
      <c r="BA601" s="40">
        <f>d_rho_sip*(BA600+AZ600)</f>
        <v/>
      </c>
      <c r="BB601" s="14">
        <f>F601*in_sip_ticket*(BA601+0.5*AZ601)*in_sip_comm/12</f>
        <v/>
      </c>
      <c r="BC601" s="40">
        <f>BC600*(1-IF(B600&gt;=in_marketplace_from,d_hz_choti*G600,0))</f>
        <v/>
      </c>
      <c r="BD601" s="46">
        <f>BC601*IF(B601&gt;=in_marketplace_from,d_hz_choti*G601,0)</f>
        <v/>
      </c>
      <c r="BE601" s="14">
        <f>F601*SUMIFS(BD557:BD606,B557:B606,B601-in_choti_months)*in_choti_renew*in_choti_ticket</f>
        <v/>
      </c>
      <c r="BF601" s="40">
        <f>BF600*(1-IF(B600&gt;=in_marketplace_from,d_hz_nps*G600,0))</f>
        <v/>
      </c>
      <c r="BG601" s="14">
        <f>F601*BF601*IF(B601&gt;=in_marketplace_from,d_hz_nps*G601,0)*in_nps_ticket*in_nps_comm</f>
        <v/>
      </c>
      <c r="BH601" s="40">
        <f>BH600*(1-IF(B600&gt;=in_marketplace_from,d_hz_gold*G600,0))</f>
        <v/>
      </c>
      <c r="BI601" s="40">
        <f>BI600*d_rho_gold+BH601*IF(B601&gt;=in_marketplace_from,d_hz_gold*G601,0)</f>
        <v/>
      </c>
      <c r="BJ601" s="14">
        <f>F601*BI601*in_gold_ticket*in_gold_comm</f>
        <v/>
      </c>
      <c r="BK601" s="40">
        <f>BK600*(1-IF(B600&gt;=in_marketplace_from,d_hz_fd*G600,0))</f>
        <v/>
      </c>
      <c r="BL601" s="14">
        <f>F601*BK601*IF(B601&gt;=in_marketplace_from,d_hz_fd*G601,0)*in_fd_ticket*in_fd_comm</f>
        <v/>
      </c>
      <c r="BM601" s="40">
        <f>BM600*(1-IF(B600&gt;=in_marketplace_from,d_hz_recharge*G600,0))</f>
        <v/>
      </c>
      <c r="BN601" s="40">
        <f>BN600*d_rho_recharge+BM601*IF(B601&gt;=in_marketplace_from,d_hz_recharge*G601,0)</f>
        <v/>
      </c>
      <c r="BO601" s="14">
        <f>F601*BN601*in_recharge_ticket*in_recharge_comm/12</f>
        <v/>
      </c>
      <c r="BP601" s="40">
        <f>BP600*(1-IF(B600&gt;=in_marketplace_from,d_hz_bills*G600,0))</f>
        <v/>
      </c>
      <c r="BQ601" s="40">
        <f>BQ600*d_rho_bills+BP601*IF(B601&gt;=in_marketplace_from,d_hz_bills*G601,0)</f>
        <v/>
      </c>
      <c r="BR601" s="14">
        <f>F601*BQ601*in_bills_ticket*in_bills_comm/12</f>
        <v/>
      </c>
      <c r="BS601" s="40">
        <f>BS600*(1-IF(B600&gt;=in_marketplace_from,d_hz_loan_gold*G600,0))</f>
        <v/>
      </c>
      <c r="BT601" s="14">
        <f>F601*BS601*IF(B601&gt;=in_marketplace_from,d_hz_loan_gold*G601,0)*in_loan_gold_ticket*in_loan_gold_comm</f>
        <v/>
      </c>
      <c r="BU601" s="40">
        <f>BU600*(1-IF(B600&gt;=in_marketplace_from,d_hz_loan_cd*G600,0))</f>
        <v/>
      </c>
      <c r="BV601" s="14">
        <f>F601*BU601*IF(B601&gt;=in_marketplace_from,d_hz_loan_cd*G601,0)*in_loan_cd_ticket*in_loan_cd_comm</f>
        <v/>
      </c>
      <c r="BW601" s="40">
        <f>BW600*(1-IF(B600&gt;=in_marketplace_from,d_hz_loan_vehicle*G600,0))</f>
        <v/>
      </c>
      <c r="BX601" s="14">
        <f>F601*BW601*IF(B601&gt;=in_marketplace_from,d_hz_loan_vehicle*G601,0)*in_loan_vehicle_ticket*in_loan_vehicle_comm</f>
        <v/>
      </c>
      <c r="BY601" s="40">
        <f>BY600*(1-IF(B600&gt;=in_marketplace_from,d_hz_loan_home*G600,0)*BZ600)</f>
        <v/>
      </c>
      <c r="BZ601" s="11">
        <f>MIN(in_approval_cap,in_loan_home_approval*INDEX('Age profile'!$O$2:$O$61,B601)*(1+in_approval_growth)^(D601-1))</f>
        <v/>
      </c>
      <c r="CA601" s="14">
        <f>F601*BY601*IF(B601&gt;=in_marketplace_from,d_hz_loan_home*G601,0)*BZ601*in_loan_home_ticket*in_loan_home_comm</f>
        <v/>
      </c>
      <c r="CB601" s="40">
        <f>CB600*(1-IF(B600&gt;=in_marketplace_from,d_hz_loan_lap*G600,0)*CC600)</f>
        <v/>
      </c>
      <c r="CC601" s="11">
        <f>MIN(in_approval_cap,in_loan_lap_approval*INDEX('Age profile'!$O$2:$O$61,B601)*(1+in_approval_growth)^(D601-1))</f>
        <v/>
      </c>
      <c r="CD601" s="14">
        <f>F601*CB601*IF(B601&gt;=in_marketplace_from,d_hz_loan_lap*G601,0)*CC601*in_loan_lap_ticket*in_loan_lap_comm</f>
        <v/>
      </c>
      <c r="CE601" s="14">
        <f>AA601+AB601+AC601+AD601+AG601+AJ601+AM601+AP601+AS601+AU601+AX601+BB601+BE601+BG601+BJ601+BL601+BO601+BR601+BT601+BV601+BX601+CA601+CD601</f>
        <v/>
      </c>
    </row>
    <row r="602">
      <c r="A602" s="39" t="n">
        <v>11</v>
      </c>
      <c r="B602" s="39" t="n">
        <v>46</v>
      </c>
      <c r="C602" s="39">
        <f>A602+B602-1</f>
        <v/>
      </c>
      <c r="D602" s="39">
        <f>INT((C602-1)/12)+1</f>
        <v/>
      </c>
      <c r="E602" s="44">
        <f>INDEX(Monthly!$B$2:$B$61,A602)</f>
        <v/>
      </c>
      <c r="F602" s="44">
        <f>E602*INDEX('Age profile'!$B$2:$B$61,B602)</f>
        <v/>
      </c>
      <c r="G602" s="45">
        <f>MIN(in_takeup_cap,INDEX('Age profile'!$N$2:$N$61,B602)*(1+in_takeup_growth)^(D602-1))</f>
        <v/>
      </c>
      <c r="H602" s="11">
        <f>MIN(in_approval_cap,in_approved_first*INDEX('Age profile'!$O$2:$O$61,B602)*(1+in_approval_growth)^(D602-1))</f>
        <v/>
      </c>
      <c r="I602" s="45">
        <f>G602*MIN(in_takeup_cap,INDEX('Age profile'!$O$2:$O$61,B602)*(1+in_approval_growth)^(D602-1))</f>
        <v/>
      </c>
      <c r="J602" s="40">
        <f>(J601-L601)*F602/F601</f>
        <v/>
      </c>
      <c r="K602" s="40">
        <f>(K601-M601)*F602/F601+SUMIFS(O557:O601,B557:B601,B602-1-d_T)*F602</f>
        <v/>
      </c>
      <c r="L602" s="40">
        <f>IF(B602&gt;=in_marketplace_from,J602*d_hz*G602*in_eligible*H602,0)</f>
        <v/>
      </c>
      <c r="M602" s="40">
        <f>IF(B602&gt;=in_marketplace_from,K602*d_hz*G602*in_eligible*in_approved_repeat,0)</f>
        <v/>
      </c>
      <c r="N602" s="40">
        <f>L602+M602</f>
        <v/>
      </c>
      <c r="O602" s="46">
        <f>N602/F602</f>
        <v/>
      </c>
      <c r="P602" s="40">
        <f>F602-J602-K602</f>
        <v/>
      </c>
      <c r="Q602" s="40">
        <f>IF(B602&gt;=in_marketplace_from,(J602+K602)*d_hz*G602,0)</f>
        <v/>
      </c>
      <c r="R602" s="40">
        <f>SUMIFS(N557:N606,B557:B606,"&gt;="&amp;(B602-d_T),B557:B606,"&lt;="&amp;(B602-1))</f>
        <v/>
      </c>
      <c r="S602" s="46">
        <f>(1-d_u)*S601+IF(d_T&gt;in_topup_lag,SUMIFS(O557:O606,B557:B606,B602-in_topup_lag)-d_udrop*SUMIFS(O557:O606,B557:B606,B602-d_T),0)</f>
        <v/>
      </c>
      <c r="T602" s="40">
        <f>F602*d_u*S602</f>
        <v/>
      </c>
      <c r="U602" s="9">
        <f>L602*in_ticket+M602*d_rep_ticket</f>
        <v/>
      </c>
      <c r="V602" s="9">
        <f>U602+T602*d_topup_amt</f>
        <v/>
      </c>
      <c r="W602" s="40">
        <f>N602+T602*d_topup_ratio</f>
        <v/>
      </c>
      <c r="X602" s="40">
        <f>SUMIFS(W557:W606,B557:B606,B602-in_dpd_lag)*d_cured</f>
        <v/>
      </c>
      <c r="Y602" s="40">
        <f>SUMIFS(W557:W606,B557:B606,B602-in_rec_lag)*d_recd</f>
        <v/>
      </c>
      <c r="Z602" s="40">
        <f>IF(AND(B602&gt;=in_marketplace_from,B602&lt;in_marketplace_from+in_card_months),in_card_share/in_card_months*F602*I602,IF(AND(B602&gt;=in_marketplace_from+in_card_months,B602&lt;in_marketplace_from+2*in_card_months),in_card_share*d_card_rem/in_card_months*F602*MIN(in_takeup_cap,(1+in_takeup_growth)^(D602-1))*MIN(in_takeup_cap,(1+in_approval_growth)^(D602-1)),0))</f>
        <v/>
      </c>
      <c r="AA602" s="14">
        <f>V602*in_fee*(1-in_taken_back)</f>
        <v/>
      </c>
      <c r="AB602" s="14">
        <f>SUMIFS(W557:W606,B557:B606,B602-in_dpd_lag)*d_dpd</f>
        <v/>
      </c>
      <c r="AC602" s="14">
        <f>SUMIFS(W557:W606,B557:B606,B602-in_rec_lag)*d_rec</f>
        <v/>
      </c>
      <c r="AD602" s="14">
        <f>Z602*in_card_fee</f>
        <v/>
      </c>
      <c r="AE602" s="40">
        <f>AE601*(1-IF(B601&gt;=in_marketplace_from,d_hz_hlth_small*G601,0))</f>
        <v/>
      </c>
      <c r="AF602" s="46">
        <f>AE602*IF(B602&gt;=in_marketplace_from,d_hz_hlth_small*G602,0)</f>
        <v/>
      </c>
      <c r="AG602" s="14">
        <f>F602*AF602*in_hlth_small_ticket*in_hlth_small_comm*in_ins_partner_share+F602*in_hlth_small_ticket*in_hlth_small_renew_comm*in_ins_partner_share*(in_hlth_small_renew^1*SUMIFS(AF557:AF606,B557:B606,B602-12)+in_hlth_small_renew^2*SUMIFS(AF557:AF606,B557:B606,B602-24)+in_hlth_small_renew^3*SUMIFS(AF557:AF606,B557:B606,B602-36)+in_hlth_small_renew^4*SUMIFS(AF557:AF606,B557:B606,B602-48))</f>
        <v/>
      </c>
      <c r="AH602" s="40">
        <f>AH601*(1-IF(B601&gt;=in_marketplace_from,d_hz_hlth_family*G601,0))</f>
        <v/>
      </c>
      <c r="AI602" s="46">
        <f>AH602*IF(B602&gt;=in_marketplace_from,d_hz_hlth_family*G602,0)</f>
        <v/>
      </c>
      <c r="AJ602" s="14">
        <f>F602*AI602*in_hlth_family_ticket*in_hlth_family_comm*in_ins_partner_share+F602*in_hlth_family_ticket*in_hlth_family_renew_comm*in_ins_partner_share*(in_hlth_family_renew^1*SUMIFS(AI557:AI606,B557:B606,B602-12)+in_hlth_family_renew^2*SUMIFS(AI557:AI606,B557:B606,B602-24)+in_hlth_family_renew^3*SUMIFS(AI557:AI606,B557:B606,B602-36)+in_hlth_family_renew^4*SUMIFS(AI557:AI606,B557:B606,B602-48))</f>
        <v/>
      </c>
      <c r="AK602" s="40">
        <f>AK601*(1-IF(B601&gt;=in_marketplace_from,d_hz_life_term*G601,0))</f>
        <v/>
      </c>
      <c r="AL602" s="46">
        <f>AK602*IF(B602&gt;=in_marketplace_from,d_hz_life_term*G602,0)</f>
        <v/>
      </c>
      <c r="AM602" s="14">
        <f>F602*AL602*in_life_term_ticket*in_life_term_comm*in_ins_partner_share+F602*in_life_term_ticket*in_life_term_renew_comm*in_ins_partner_share*(in_life_term_renew^1*SUMIFS(AL557:AL606,B557:B606,B602-12)+in_life_term_renew^2*SUMIFS(AL557:AL606,B557:B606,B602-24)+in_life_term_renew^3*SUMIFS(AL557:AL606,B557:B606,B602-36)+in_life_term_renew^4*SUMIFS(AL557:AL606,B557:B606,B602-48))</f>
        <v/>
      </c>
      <c r="AN602" s="40">
        <f>AN601*(1-IF(B601&gt;=in_marketplace_from,d_hz_accident*G601,0))</f>
        <v/>
      </c>
      <c r="AO602" s="46">
        <f>AN602*IF(B602&gt;=in_marketplace_from,d_hz_accident*G602,0)</f>
        <v/>
      </c>
      <c r="AP602" s="14">
        <f>F602*AO602*in_accident_ticket*in_accident_comm*in_ins_partner_share+F602*in_accident_ticket*in_accident_renew_comm*in_ins_partner_share*(in_accident_renew^1*SUMIFS(AO557:AO606,B557:B606,B602-12)+in_accident_renew^2*SUMIFS(AO557:AO606,B557:B606,B602-24)+in_accident_renew^3*SUMIFS(AO557:AO606,B557:B606,B602-36)+in_accident_renew^4*SUMIFS(AO557:AO606,B557:B606,B602-48))</f>
        <v/>
      </c>
      <c r="AQ602" s="40">
        <f>AQ601*(1-IF(B601&gt;=in_marketplace_from,d_hz_two_wheeler*G601,0))</f>
        <v/>
      </c>
      <c r="AR602" s="46">
        <f>AQ602*IF(B602&gt;=in_marketplace_from,d_hz_two_wheeler*G602,0)</f>
        <v/>
      </c>
      <c r="AS602" s="14">
        <f>F602*AR602*in_two_wheeler_ticket*in_two_wheeler_comm*in_ins_partner_share+F602*in_two_wheeler_ticket*in_two_wheeler_comm*in_ins_partner_share*(in_two_wheeler_renew^1*SUMIFS(AR557:AR606,B557:B606,B602-12)+in_two_wheeler_renew^2*SUMIFS(AR557:AR606,B557:B606,B602-24)+in_two_wheeler_renew^3*SUMIFS(AR557:AR606,B557:B606,B602-36)+in_two_wheeler_renew^4*SUMIFS(AR557:AR606,B557:B606,B602-48))</f>
        <v/>
      </c>
      <c r="AT602" s="40">
        <f>AT601*(1-IF(B601&gt;=in_marketplace_from,d_hz_device*G601,0))</f>
        <v/>
      </c>
      <c r="AU602" s="14">
        <f>F602*AT602*IF(B602&gt;=in_marketplace_from,d_hz_device*G602,0)*in_device_ticket*in_device_comm*in_ins_partner_share</f>
        <v/>
      </c>
      <c r="AV602" s="40">
        <f>AV601*(1-IF(B601&gt;=in_marketplace_from,d_hz_shop*G601,0))</f>
        <v/>
      </c>
      <c r="AW602" s="46">
        <f>AV602*IF(B602&gt;=in_marketplace_from,d_hz_shop*G602,0)</f>
        <v/>
      </c>
      <c r="AX602" s="14">
        <f>F602*AW602*in_shop_ticket*in_shop_comm*in_ins_partner_share+F602*in_shop_ticket*in_shop_renew_comm*in_ins_partner_share*(in_shop_renew^1*SUMIFS(AW557:AW606,B557:B606,B602-12)+in_shop_renew^2*SUMIFS(AW557:AW606,B557:B606,B602-24)+in_shop_renew^3*SUMIFS(AW557:AW606,B557:B606,B602-36)+in_shop_renew^4*SUMIFS(AW557:AW606,B557:B606,B602-48))</f>
        <v/>
      </c>
      <c r="AY602" s="40">
        <f>AY601*(1-IF(B601&gt;=in_marketplace_from,d_hz_sip*G601,0))</f>
        <v/>
      </c>
      <c r="AZ602" s="40">
        <f>AZ601*d_rho_sip+AY602*IF(B602&gt;=in_marketplace_from,d_hz_sip*G602,0)</f>
        <v/>
      </c>
      <c r="BA602" s="40">
        <f>d_rho_sip*(BA601+AZ601)</f>
        <v/>
      </c>
      <c r="BB602" s="14">
        <f>F602*in_sip_ticket*(BA602+0.5*AZ602)*in_sip_comm/12</f>
        <v/>
      </c>
      <c r="BC602" s="40">
        <f>BC601*(1-IF(B601&gt;=in_marketplace_from,d_hz_choti*G601,0))</f>
        <v/>
      </c>
      <c r="BD602" s="46">
        <f>BC602*IF(B602&gt;=in_marketplace_from,d_hz_choti*G602,0)</f>
        <v/>
      </c>
      <c r="BE602" s="14">
        <f>F602*SUMIFS(BD557:BD606,B557:B606,B602-in_choti_months)*in_choti_renew*in_choti_ticket</f>
        <v/>
      </c>
      <c r="BF602" s="40">
        <f>BF601*(1-IF(B601&gt;=in_marketplace_from,d_hz_nps*G601,0))</f>
        <v/>
      </c>
      <c r="BG602" s="14">
        <f>F602*BF602*IF(B602&gt;=in_marketplace_from,d_hz_nps*G602,0)*in_nps_ticket*in_nps_comm</f>
        <v/>
      </c>
      <c r="BH602" s="40">
        <f>BH601*(1-IF(B601&gt;=in_marketplace_from,d_hz_gold*G601,0))</f>
        <v/>
      </c>
      <c r="BI602" s="40">
        <f>BI601*d_rho_gold+BH602*IF(B602&gt;=in_marketplace_from,d_hz_gold*G602,0)</f>
        <v/>
      </c>
      <c r="BJ602" s="14">
        <f>F602*BI602*in_gold_ticket*in_gold_comm</f>
        <v/>
      </c>
      <c r="BK602" s="40">
        <f>BK601*(1-IF(B601&gt;=in_marketplace_from,d_hz_fd*G601,0))</f>
        <v/>
      </c>
      <c r="BL602" s="14">
        <f>F602*BK602*IF(B602&gt;=in_marketplace_from,d_hz_fd*G602,0)*in_fd_ticket*in_fd_comm</f>
        <v/>
      </c>
      <c r="BM602" s="40">
        <f>BM601*(1-IF(B601&gt;=in_marketplace_from,d_hz_recharge*G601,0))</f>
        <v/>
      </c>
      <c r="BN602" s="40">
        <f>BN601*d_rho_recharge+BM602*IF(B602&gt;=in_marketplace_from,d_hz_recharge*G602,0)</f>
        <v/>
      </c>
      <c r="BO602" s="14">
        <f>F602*BN602*in_recharge_ticket*in_recharge_comm/12</f>
        <v/>
      </c>
      <c r="BP602" s="40">
        <f>BP601*(1-IF(B601&gt;=in_marketplace_from,d_hz_bills*G601,0))</f>
        <v/>
      </c>
      <c r="BQ602" s="40">
        <f>BQ601*d_rho_bills+BP602*IF(B602&gt;=in_marketplace_from,d_hz_bills*G602,0)</f>
        <v/>
      </c>
      <c r="BR602" s="14">
        <f>F602*BQ602*in_bills_ticket*in_bills_comm/12</f>
        <v/>
      </c>
      <c r="BS602" s="40">
        <f>BS601*(1-IF(B601&gt;=in_marketplace_from,d_hz_loan_gold*G601,0))</f>
        <v/>
      </c>
      <c r="BT602" s="14">
        <f>F602*BS602*IF(B602&gt;=in_marketplace_from,d_hz_loan_gold*G602,0)*in_loan_gold_ticket*in_loan_gold_comm</f>
        <v/>
      </c>
      <c r="BU602" s="40">
        <f>BU601*(1-IF(B601&gt;=in_marketplace_from,d_hz_loan_cd*G601,0))</f>
        <v/>
      </c>
      <c r="BV602" s="14">
        <f>F602*BU602*IF(B602&gt;=in_marketplace_from,d_hz_loan_cd*G602,0)*in_loan_cd_ticket*in_loan_cd_comm</f>
        <v/>
      </c>
      <c r="BW602" s="40">
        <f>BW601*(1-IF(B601&gt;=in_marketplace_from,d_hz_loan_vehicle*G601,0))</f>
        <v/>
      </c>
      <c r="BX602" s="14">
        <f>F602*BW602*IF(B602&gt;=in_marketplace_from,d_hz_loan_vehicle*G602,0)*in_loan_vehicle_ticket*in_loan_vehicle_comm</f>
        <v/>
      </c>
      <c r="BY602" s="40">
        <f>BY601*(1-IF(B601&gt;=in_marketplace_from,d_hz_loan_home*G601,0)*BZ601)</f>
        <v/>
      </c>
      <c r="BZ602" s="11">
        <f>MIN(in_approval_cap,in_loan_home_approval*INDEX('Age profile'!$O$2:$O$61,B602)*(1+in_approval_growth)^(D602-1))</f>
        <v/>
      </c>
      <c r="CA602" s="14">
        <f>F602*BY602*IF(B602&gt;=in_marketplace_from,d_hz_loan_home*G602,0)*BZ602*in_loan_home_ticket*in_loan_home_comm</f>
        <v/>
      </c>
      <c r="CB602" s="40">
        <f>CB601*(1-IF(B601&gt;=in_marketplace_from,d_hz_loan_lap*G601,0)*CC601)</f>
        <v/>
      </c>
      <c r="CC602" s="11">
        <f>MIN(in_approval_cap,in_loan_lap_approval*INDEX('Age profile'!$O$2:$O$61,B602)*(1+in_approval_growth)^(D602-1))</f>
        <v/>
      </c>
      <c r="CD602" s="14">
        <f>F602*CB602*IF(B602&gt;=in_marketplace_from,d_hz_loan_lap*G602,0)*CC602*in_loan_lap_ticket*in_loan_lap_comm</f>
        <v/>
      </c>
      <c r="CE602" s="14">
        <f>AA602+AB602+AC602+AD602+AG602+AJ602+AM602+AP602+AS602+AU602+AX602+BB602+BE602+BG602+BJ602+BL602+BO602+BR602+BT602+BV602+BX602+CA602+CD602</f>
        <v/>
      </c>
    </row>
    <row r="603">
      <c r="A603" s="39" t="n">
        <v>11</v>
      </c>
      <c r="B603" s="39" t="n">
        <v>47</v>
      </c>
      <c r="C603" s="39">
        <f>A603+B603-1</f>
        <v/>
      </c>
      <c r="D603" s="39">
        <f>INT((C603-1)/12)+1</f>
        <v/>
      </c>
      <c r="E603" s="44">
        <f>INDEX(Monthly!$B$2:$B$61,A603)</f>
        <v/>
      </c>
      <c r="F603" s="44">
        <f>E603*INDEX('Age profile'!$B$2:$B$61,B603)</f>
        <v/>
      </c>
      <c r="G603" s="45">
        <f>MIN(in_takeup_cap,INDEX('Age profile'!$N$2:$N$61,B603)*(1+in_takeup_growth)^(D603-1))</f>
        <v/>
      </c>
      <c r="H603" s="11">
        <f>MIN(in_approval_cap,in_approved_first*INDEX('Age profile'!$O$2:$O$61,B603)*(1+in_approval_growth)^(D603-1))</f>
        <v/>
      </c>
      <c r="I603" s="45">
        <f>G603*MIN(in_takeup_cap,INDEX('Age profile'!$O$2:$O$61,B603)*(1+in_approval_growth)^(D603-1))</f>
        <v/>
      </c>
      <c r="J603" s="40">
        <f>(J602-L602)*F603/F602</f>
        <v/>
      </c>
      <c r="K603" s="40">
        <f>(K602-M602)*F603/F602+SUMIFS(O557:O602,B557:B602,B603-1-d_T)*F603</f>
        <v/>
      </c>
      <c r="L603" s="40">
        <f>IF(B603&gt;=in_marketplace_from,J603*d_hz*G603*in_eligible*H603,0)</f>
        <v/>
      </c>
      <c r="M603" s="40">
        <f>IF(B603&gt;=in_marketplace_from,K603*d_hz*G603*in_eligible*in_approved_repeat,0)</f>
        <v/>
      </c>
      <c r="N603" s="40">
        <f>L603+M603</f>
        <v/>
      </c>
      <c r="O603" s="46">
        <f>N603/F603</f>
        <v/>
      </c>
      <c r="P603" s="40">
        <f>F603-J603-K603</f>
        <v/>
      </c>
      <c r="Q603" s="40">
        <f>IF(B603&gt;=in_marketplace_from,(J603+K603)*d_hz*G603,0)</f>
        <v/>
      </c>
      <c r="R603" s="40">
        <f>SUMIFS(N557:N606,B557:B606,"&gt;="&amp;(B603-d_T),B557:B606,"&lt;="&amp;(B603-1))</f>
        <v/>
      </c>
      <c r="S603" s="46">
        <f>(1-d_u)*S602+IF(d_T&gt;in_topup_lag,SUMIFS(O557:O606,B557:B606,B603-in_topup_lag)-d_udrop*SUMIFS(O557:O606,B557:B606,B603-d_T),0)</f>
        <v/>
      </c>
      <c r="T603" s="40">
        <f>F603*d_u*S603</f>
        <v/>
      </c>
      <c r="U603" s="9">
        <f>L603*in_ticket+M603*d_rep_ticket</f>
        <v/>
      </c>
      <c r="V603" s="9">
        <f>U603+T603*d_topup_amt</f>
        <v/>
      </c>
      <c r="W603" s="40">
        <f>N603+T603*d_topup_ratio</f>
        <v/>
      </c>
      <c r="X603" s="40">
        <f>SUMIFS(W557:W606,B557:B606,B603-in_dpd_lag)*d_cured</f>
        <v/>
      </c>
      <c r="Y603" s="40">
        <f>SUMIFS(W557:W606,B557:B606,B603-in_rec_lag)*d_recd</f>
        <v/>
      </c>
      <c r="Z603" s="40">
        <f>IF(AND(B603&gt;=in_marketplace_from,B603&lt;in_marketplace_from+in_card_months),in_card_share/in_card_months*F603*I603,IF(AND(B603&gt;=in_marketplace_from+in_card_months,B603&lt;in_marketplace_from+2*in_card_months),in_card_share*d_card_rem/in_card_months*F603*MIN(in_takeup_cap,(1+in_takeup_growth)^(D603-1))*MIN(in_takeup_cap,(1+in_approval_growth)^(D603-1)),0))</f>
        <v/>
      </c>
      <c r="AA603" s="14">
        <f>V603*in_fee*(1-in_taken_back)</f>
        <v/>
      </c>
      <c r="AB603" s="14">
        <f>SUMIFS(W557:W606,B557:B606,B603-in_dpd_lag)*d_dpd</f>
        <v/>
      </c>
      <c r="AC603" s="14">
        <f>SUMIFS(W557:W606,B557:B606,B603-in_rec_lag)*d_rec</f>
        <v/>
      </c>
      <c r="AD603" s="14">
        <f>Z603*in_card_fee</f>
        <v/>
      </c>
      <c r="AE603" s="40">
        <f>AE602*(1-IF(B602&gt;=in_marketplace_from,d_hz_hlth_small*G602,0))</f>
        <v/>
      </c>
      <c r="AF603" s="46">
        <f>AE603*IF(B603&gt;=in_marketplace_from,d_hz_hlth_small*G603,0)</f>
        <v/>
      </c>
      <c r="AG603" s="14">
        <f>F603*AF603*in_hlth_small_ticket*in_hlth_small_comm*in_ins_partner_share+F603*in_hlth_small_ticket*in_hlth_small_renew_comm*in_ins_partner_share*(in_hlth_small_renew^1*SUMIFS(AF557:AF606,B557:B606,B603-12)+in_hlth_small_renew^2*SUMIFS(AF557:AF606,B557:B606,B603-24)+in_hlth_small_renew^3*SUMIFS(AF557:AF606,B557:B606,B603-36)+in_hlth_small_renew^4*SUMIFS(AF557:AF606,B557:B606,B603-48))</f>
        <v/>
      </c>
      <c r="AH603" s="40">
        <f>AH602*(1-IF(B602&gt;=in_marketplace_from,d_hz_hlth_family*G602,0))</f>
        <v/>
      </c>
      <c r="AI603" s="46">
        <f>AH603*IF(B603&gt;=in_marketplace_from,d_hz_hlth_family*G603,0)</f>
        <v/>
      </c>
      <c r="AJ603" s="14">
        <f>F603*AI603*in_hlth_family_ticket*in_hlth_family_comm*in_ins_partner_share+F603*in_hlth_family_ticket*in_hlth_family_renew_comm*in_ins_partner_share*(in_hlth_family_renew^1*SUMIFS(AI557:AI606,B557:B606,B603-12)+in_hlth_family_renew^2*SUMIFS(AI557:AI606,B557:B606,B603-24)+in_hlth_family_renew^3*SUMIFS(AI557:AI606,B557:B606,B603-36)+in_hlth_family_renew^4*SUMIFS(AI557:AI606,B557:B606,B603-48))</f>
        <v/>
      </c>
      <c r="AK603" s="40">
        <f>AK602*(1-IF(B602&gt;=in_marketplace_from,d_hz_life_term*G602,0))</f>
        <v/>
      </c>
      <c r="AL603" s="46">
        <f>AK603*IF(B603&gt;=in_marketplace_from,d_hz_life_term*G603,0)</f>
        <v/>
      </c>
      <c r="AM603" s="14">
        <f>F603*AL603*in_life_term_ticket*in_life_term_comm*in_ins_partner_share+F603*in_life_term_ticket*in_life_term_renew_comm*in_ins_partner_share*(in_life_term_renew^1*SUMIFS(AL557:AL606,B557:B606,B603-12)+in_life_term_renew^2*SUMIFS(AL557:AL606,B557:B606,B603-24)+in_life_term_renew^3*SUMIFS(AL557:AL606,B557:B606,B603-36)+in_life_term_renew^4*SUMIFS(AL557:AL606,B557:B606,B603-48))</f>
        <v/>
      </c>
      <c r="AN603" s="40">
        <f>AN602*(1-IF(B602&gt;=in_marketplace_from,d_hz_accident*G602,0))</f>
        <v/>
      </c>
      <c r="AO603" s="46">
        <f>AN603*IF(B603&gt;=in_marketplace_from,d_hz_accident*G603,0)</f>
        <v/>
      </c>
      <c r="AP603" s="14">
        <f>F603*AO603*in_accident_ticket*in_accident_comm*in_ins_partner_share+F603*in_accident_ticket*in_accident_renew_comm*in_ins_partner_share*(in_accident_renew^1*SUMIFS(AO557:AO606,B557:B606,B603-12)+in_accident_renew^2*SUMIFS(AO557:AO606,B557:B606,B603-24)+in_accident_renew^3*SUMIFS(AO557:AO606,B557:B606,B603-36)+in_accident_renew^4*SUMIFS(AO557:AO606,B557:B606,B603-48))</f>
        <v/>
      </c>
      <c r="AQ603" s="40">
        <f>AQ602*(1-IF(B602&gt;=in_marketplace_from,d_hz_two_wheeler*G602,0))</f>
        <v/>
      </c>
      <c r="AR603" s="46">
        <f>AQ603*IF(B603&gt;=in_marketplace_from,d_hz_two_wheeler*G603,0)</f>
        <v/>
      </c>
      <c r="AS603" s="14">
        <f>F603*AR603*in_two_wheeler_ticket*in_two_wheeler_comm*in_ins_partner_share+F603*in_two_wheeler_ticket*in_two_wheeler_comm*in_ins_partner_share*(in_two_wheeler_renew^1*SUMIFS(AR557:AR606,B557:B606,B603-12)+in_two_wheeler_renew^2*SUMIFS(AR557:AR606,B557:B606,B603-24)+in_two_wheeler_renew^3*SUMIFS(AR557:AR606,B557:B606,B603-36)+in_two_wheeler_renew^4*SUMIFS(AR557:AR606,B557:B606,B603-48))</f>
        <v/>
      </c>
      <c r="AT603" s="40">
        <f>AT602*(1-IF(B602&gt;=in_marketplace_from,d_hz_device*G602,0))</f>
        <v/>
      </c>
      <c r="AU603" s="14">
        <f>F603*AT603*IF(B603&gt;=in_marketplace_from,d_hz_device*G603,0)*in_device_ticket*in_device_comm*in_ins_partner_share</f>
        <v/>
      </c>
      <c r="AV603" s="40">
        <f>AV602*(1-IF(B602&gt;=in_marketplace_from,d_hz_shop*G602,0))</f>
        <v/>
      </c>
      <c r="AW603" s="46">
        <f>AV603*IF(B603&gt;=in_marketplace_from,d_hz_shop*G603,0)</f>
        <v/>
      </c>
      <c r="AX603" s="14">
        <f>F603*AW603*in_shop_ticket*in_shop_comm*in_ins_partner_share+F603*in_shop_ticket*in_shop_renew_comm*in_ins_partner_share*(in_shop_renew^1*SUMIFS(AW557:AW606,B557:B606,B603-12)+in_shop_renew^2*SUMIFS(AW557:AW606,B557:B606,B603-24)+in_shop_renew^3*SUMIFS(AW557:AW606,B557:B606,B603-36)+in_shop_renew^4*SUMIFS(AW557:AW606,B557:B606,B603-48))</f>
        <v/>
      </c>
      <c r="AY603" s="40">
        <f>AY602*(1-IF(B602&gt;=in_marketplace_from,d_hz_sip*G602,0))</f>
        <v/>
      </c>
      <c r="AZ603" s="40">
        <f>AZ602*d_rho_sip+AY603*IF(B603&gt;=in_marketplace_from,d_hz_sip*G603,0)</f>
        <v/>
      </c>
      <c r="BA603" s="40">
        <f>d_rho_sip*(BA602+AZ602)</f>
        <v/>
      </c>
      <c r="BB603" s="14">
        <f>F603*in_sip_ticket*(BA603+0.5*AZ603)*in_sip_comm/12</f>
        <v/>
      </c>
      <c r="BC603" s="40">
        <f>BC602*(1-IF(B602&gt;=in_marketplace_from,d_hz_choti*G602,0))</f>
        <v/>
      </c>
      <c r="BD603" s="46">
        <f>BC603*IF(B603&gt;=in_marketplace_from,d_hz_choti*G603,0)</f>
        <v/>
      </c>
      <c r="BE603" s="14">
        <f>F603*SUMIFS(BD557:BD606,B557:B606,B603-in_choti_months)*in_choti_renew*in_choti_ticket</f>
        <v/>
      </c>
      <c r="BF603" s="40">
        <f>BF602*(1-IF(B602&gt;=in_marketplace_from,d_hz_nps*G602,0))</f>
        <v/>
      </c>
      <c r="BG603" s="14">
        <f>F603*BF603*IF(B603&gt;=in_marketplace_from,d_hz_nps*G603,0)*in_nps_ticket*in_nps_comm</f>
        <v/>
      </c>
      <c r="BH603" s="40">
        <f>BH602*(1-IF(B602&gt;=in_marketplace_from,d_hz_gold*G602,0))</f>
        <v/>
      </c>
      <c r="BI603" s="40">
        <f>BI602*d_rho_gold+BH603*IF(B603&gt;=in_marketplace_from,d_hz_gold*G603,0)</f>
        <v/>
      </c>
      <c r="BJ603" s="14">
        <f>F603*BI603*in_gold_ticket*in_gold_comm</f>
        <v/>
      </c>
      <c r="BK603" s="40">
        <f>BK602*(1-IF(B602&gt;=in_marketplace_from,d_hz_fd*G602,0))</f>
        <v/>
      </c>
      <c r="BL603" s="14">
        <f>F603*BK603*IF(B603&gt;=in_marketplace_from,d_hz_fd*G603,0)*in_fd_ticket*in_fd_comm</f>
        <v/>
      </c>
      <c r="BM603" s="40">
        <f>BM602*(1-IF(B602&gt;=in_marketplace_from,d_hz_recharge*G602,0))</f>
        <v/>
      </c>
      <c r="BN603" s="40">
        <f>BN602*d_rho_recharge+BM603*IF(B603&gt;=in_marketplace_from,d_hz_recharge*G603,0)</f>
        <v/>
      </c>
      <c r="BO603" s="14">
        <f>F603*BN603*in_recharge_ticket*in_recharge_comm/12</f>
        <v/>
      </c>
      <c r="BP603" s="40">
        <f>BP602*(1-IF(B602&gt;=in_marketplace_from,d_hz_bills*G602,0))</f>
        <v/>
      </c>
      <c r="BQ603" s="40">
        <f>BQ602*d_rho_bills+BP603*IF(B603&gt;=in_marketplace_from,d_hz_bills*G603,0)</f>
        <v/>
      </c>
      <c r="BR603" s="14">
        <f>F603*BQ603*in_bills_ticket*in_bills_comm/12</f>
        <v/>
      </c>
      <c r="BS603" s="40">
        <f>BS602*(1-IF(B602&gt;=in_marketplace_from,d_hz_loan_gold*G602,0))</f>
        <v/>
      </c>
      <c r="BT603" s="14">
        <f>F603*BS603*IF(B603&gt;=in_marketplace_from,d_hz_loan_gold*G603,0)*in_loan_gold_ticket*in_loan_gold_comm</f>
        <v/>
      </c>
      <c r="BU603" s="40">
        <f>BU602*(1-IF(B602&gt;=in_marketplace_from,d_hz_loan_cd*G602,0))</f>
        <v/>
      </c>
      <c r="BV603" s="14">
        <f>F603*BU603*IF(B603&gt;=in_marketplace_from,d_hz_loan_cd*G603,0)*in_loan_cd_ticket*in_loan_cd_comm</f>
        <v/>
      </c>
      <c r="BW603" s="40">
        <f>BW602*(1-IF(B602&gt;=in_marketplace_from,d_hz_loan_vehicle*G602,0))</f>
        <v/>
      </c>
      <c r="BX603" s="14">
        <f>F603*BW603*IF(B603&gt;=in_marketplace_from,d_hz_loan_vehicle*G603,0)*in_loan_vehicle_ticket*in_loan_vehicle_comm</f>
        <v/>
      </c>
      <c r="BY603" s="40">
        <f>BY602*(1-IF(B602&gt;=in_marketplace_from,d_hz_loan_home*G602,0)*BZ602)</f>
        <v/>
      </c>
      <c r="BZ603" s="11">
        <f>MIN(in_approval_cap,in_loan_home_approval*INDEX('Age profile'!$O$2:$O$61,B603)*(1+in_approval_growth)^(D603-1))</f>
        <v/>
      </c>
      <c r="CA603" s="14">
        <f>F603*BY603*IF(B603&gt;=in_marketplace_from,d_hz_loan_home*G603,0)*BZ603*in_loan_home_ticket*in_loan_home_comm</f>
        <v/>
      </c>
      <c r="CB603" s="40">
        <f>CB602*(1-IF(B602&gt;=in_marketplace_from,d_hz_loan_lap*G602,0)*CC602)</f>
        <v/>
      </c>
      <c r="CC603" s="11">
        <f>MIN(in_approval_cap,in_loan_lap_approval*INDEX('Age profile'!$O$2:$O$61,B603)*(1+in_approval_growth)^(D603-1))</f>
        <v/>
      </c>
      <c r="CD603" s="14">
        <f>F603*CB603*IF(B603&gt;=in_marketplace_from,d_hz_loan_lap*G603,0)*CC603*in_loan_lap_ticket*in_loan_lap_comm</f>
        <v/>
      </c>
      <c r="CE603" s="14">
        <f>AA603+AB603+AC603+AD603+AG603+AJ603+AM603+AP603+AS603+AU603+AX603+BB603+BE603+BG603+BJ603+BL603+BO603+BR603+BT603+BV603+BX603+CA603+CD603</f>
        <v/>
      </c>
    </row>
    <row r="604">
      <c r="A604" s="39" t="n">
        <v>11</v>
      </c>
      <c r="B604" s="39" t="n">
        <v>48</v>
      </c>
      <c r="C604" s="39">
        <f>A604+B604-1</f>
        <v/>
      </c>
      <c r="D604" s="39">
        <f>INT((C604-1)/12)+1</f>
        <v/>
      </c>
      <c r="E604" s="44">
        <f>INDEX(Monthly!$B$2:$B$61,A604)</f>
        <v/>
      </c>
      <c r="F604" s="44">
        <f>E604*INDEX('Age profile'!$B$2:$B$61,B604)</f>
        <v/>
      </c>
      <c r="G604" s="45">
        <f>MIN(in_takeup_cap,INDEX('Age profile'!$N$2:$N$61,B604)*(1+in_takeup_growth)^(D604-1))</f>
        <v/>
      </c>
      <c r="H604" s="11">
        <f>MIN(in_approval_cap,in_approved_first*INDEX('Age profile'!$O$2:$O$61,B604)*(1+in_approval_growth)^(D604-1))</f>
        <v/>
      </c>
      <c r="I604" s="45">
        <f>G604*MIN(in_takeup_cap,INDEX('Age profile'!$O$2:$O$61,B604)*(1+in_approval_growth)^(D604-1))</f>
        <v/>
      </c>
      <c r="J604" s="40">
        <f>(J603-L603)*F604/F603</f>
        <v/>
      </c>
      <c r="K604" s="40">
        <f>(K603-M603)*F604/F603+SUMIFS(O557:O603,B557:B603,B604-1-d_T)*F604</f>
        <v/>
      </c>
      <c r="L604" s="40">
        <f>IF(B604&gt;=in_marketplace_from,J604*d_hz*G604*in_eligible*H604,0)</f>
        <v/>
      </c>
      <c r="M604" s="40">
        <f>IF(B604&gt;=in_marketplace_from,K604*d_hz*G604*in_eligible*in_approved_repeat,0)</f>
        <v/>
      </c>
      <c r="N604" s="40">
        <f>L604+M604</f>
        <v/>
      </c>
      <c r="O604" s="46">
        <f>N604/F604</f>
        <v/>
      </c>
      <c r="P604" s="40">
        <f>F604-J604-K604</f>
        <v/>
      </c>
      <c r="Q604" s="40">
        <f>IF(B604&gt;=in_marketplace_from,(J604+K604)*d_hz*G604,0)</f>
        <v/>
      </c>
      <c r="R604" s="40">
        <f>SUMIFS(N557:N606,B557:B606,"&gt;="&amp;(B604-d_T),B557:B606,"&lt;="&amp;(B604-1))</f>
        <v/>
      </c>
      <c r="S604" s="46">
        <f>(1-d_u)*S603+IF(d_T&gt;in_topup_lag,SUMIFS(O557:O606,B557:B606,B604-in_topup_lag)-d_udrop*SUMIFS(O557:O606,B557:B606,B604-d_T),0)</f>
        <v/>
      </c>
      <c r="T604" s="40">
        <f>F604*d_u*S604</f>
        <v/>
      </c>
      <c r="U604" s="9">
        <f>L604*in_ticket+M604*d_rep_ticket</f>
        <v/>
      </c>
      <c r="V604" s="9">
        <f>U604+T604*d_topup_amt</f>
        <v/>
      </c>
      <c r="W604" s="40">
        <f>N604+T604*d_topup_ratio</f>
        <v/>
      </c>
      <c r="X604" s="40">
        <f>SUMIFS(W557:W606,B557:B606,B604-in_dpd_lag)*d_cured</f>
        <v/>
      </c>
      <c r="Y604" s="40">
        <f>SUMIFS(W557:W606,B557:B606,B604-in_rec_lag)*d_recd</f>
        <v/>
      </c>
      <c r="Z604" s="40">
        <f>IF(AND(B604&gt;=in_marketplace_from,B604&lt;in_marketplace_from+in_card_months),in_card_share/in_card_months*F604*I604,IF(AND(B604&gt;=in_marketplace_from+in_card_months,B604&lt;in_marketplace_from+2*in_card_months),in_card_share*d_card_rem/in_card_months*F604*MIN(in_takeup_cap,(1+in_takeup_growth)^(D604-1))*MIN(in_takeup_cap,(1+in_approval_growth)^(D604-1)),0))</f>
        <v/>
      </c>
      <c r="AA604" s="14">
        <f>V604*in_fee*(1-in_taken_back)</f>
        <v/>
      </c>
      <c r="AB604" s="14">
        <f>SUMIFS(W557:W606,B557:B606,B604-in_dpd_lag)*d_dpd</f>
        <v/>
      </c>
      <c r="AC604" s="14">
        <f>SUMIFS(W557:W606,B557:B606,B604-in_rec_lag)*d_rec</f>
        <v/>
      </c>
      <c r="AD604" s="14">
        <f>Z604*in_card_fee</f>
        <v/>
      </c>
      <c r="AE604" s="40">
        <f>AE603*(1-IF(B603&gt;=in_marketplace_from,d_hz_hlth_small*G603,0))</f>
        <v/>
      </c>
      <c r="AF604" s="46">
        <f>AE604*IF(B604&gt;=in_marketplace_from,d_hz_hlth_small*G604,0)</f>
        <v/>
      </c>
      <c r="AG604" s="14">
        <f>F604*AF604*in_hlth_small_ticket*in_hlth_small_comm*in_ins_partner_share+F604*in_hlth_small_ticket*in_hlth_small_renew_comm*in_ins_partner_share*(in_hlth_small_renew^1*SUMIFS(AF557:AF606,B557:B606,B604-12)+in_hlth_small_renew^2*SUMIFS(AF557:AF606,B557:B606,B604-24)+in_hlth_small_renew^3*SUMIFS(AF557:AF606,B557:B606,B604-36)+in_hlth_small_renew^4*SUMIFS(AF557:AF606,B557:B606,B604-48))</f>
        <v/>
      </c>
      <c r="AH604" s="40">
        <f>AH603*(1-IF(B603&gt;=in_marketplace_from,d_hz_hlth_family*G603,0))</f>
        <v/>
      </c>
      <c r="AI604" s="46">
        <f>AH604*IF(B604&gt;=in_marketplace_from,d_hz_hlth_family*G604,0)</f>
        <v/>
      </c>
      <c r="AJ604" s="14">
        <f>F604*AI604*in_hlth_family_ticket*in_hlth_family_comm*in_ins_partner_share+F604*in_hlth_family_ticket*in_hlth_family_renew_comm*in_ins_partner_share*(in_hlth_family_renew^1*SUMIFS(AI557:AI606,B557:B606,B604-12)+in_hlth_family_renew^2*SUMIFS(AI557:AI606,B557:B606,B604-24)+in_hlth_family_renew^3*SUMIFS(AI557:AI606,B557:B606,B604-36)+in_hlth_family_renew^4*SUMIFS(AI557:AI606,B557:B606,B604-48))</f>
        <v/>
      </c>
      <c r="AK604" s="40">
        <f>AK603*(1-IF(B603&gt;=in_marketplace_from,d_hz_life_term*G603,0))</f>
        <v/>
      </c>
      <c r="AL604" s="46">
        <f>AK604*IF(B604&gt;=in_marketplace_from,d_hz_life_term*G604,0)</f>
        <v/>
      </c>
      <c r="AM604" s="14">
        <f>F604*AL604*in_life_term_ticket*in_life_term_comm*in_ins_partner_share+F604*in_life_term_ticket*in_life_term_renew_comm*in_ins_partner_share*(in_life_term_renew^1*SUMIFS(AL557:AL606,B557:B606,B604-12)+in_life_term_renew^2*SUMIFS(AL557:AL606,B557:B606,B604-24)+in_life_term_renew^3*SUMIFS(AL557:AL606,B557:B606,B604-36)+in_life_term_renew^4*SUMIFS(AL557:AL606,B557:B606,B604-48))</f>
        <v/>
      </c>
      <c r="AN604" s="40">
        <f>AN603*(1-IF(B603&gt;=in_marketplace_from,d_hz_accident*G603,0))</f>
        <v/>
      </c>
      <c r="AO604" s="46">
        <f>AN604*IF(B604&gt;=in_marketplace_from,d_hz_accident*G604,0)</f>
        <v/>
      </c>
      <c r="AP604" s="14">
        <f>F604*AO604*in_accident_ticket*in_accident_comm*in_ins_partner_share+F604*in_accident_ticket*in_accident_renew_comm*in_ins_partner_share*(in_accident_renew^1*SUMIFS(AO557:AO606,B557:B606,B604-12)+in_accident_renew^2*SUMIFS(AO557:AO606,B557:B606,B604-24)+in_accident_renew^3*SUMIFS(AO557:AO606,B557:B606,B604-36)+in_accident_renew^4*SUMIFS(AO557:AO606,B557:B606,B604-48))</f>
        <v/>
      </c>
      <c r="AQ604" s="40">
        <f>AQ603*(1-IF(B603&gt;=in_marketplace_from,d_hz_two_wheeler*G603,0))</f>
        <v/>
      </c>
      <c r="AR604" s="46">
        <f>AQ604*IF(B604&gt;=in_marketplace_from,d_hz_two_wheeler*G604,0)</f>
        <v/>
      </c>
      <c r="AS604" s="14">
        <f>F604*AR604*in_two_wheeler_ticket*in_two_wheeler_comm*in_ins_partner_share+F604*in_two_wheeler_ticket*in_two_wheeler_comm*in_ins_partner_share*(in_two_wheeler_renew^1*SUMIFS(AR557:AR606,B557:B606,B604-12)+in_two_wheeler_renew^2*SUMIFS(AR557:AR606,B557:B606,B604-24)+in_two_wheeler_renew^3*SUMIFS(AR557:AR606,B557:B606,B604-36)+in_two_wheeler_renew^4*SUMIFS(AR557:AR606,B557:B606,B604-48))</f>
        <v/>
      </c>
      <c r="AT604" s="40">
        <f>AT603*(1-IF(B603&gt;=in_marketplace_from,d_hz_device*G603,0))</f>
        <v/>
      </c>
      <c r="AU604" s="14">
        <f>F604*AT604*IF(B604&gt;=in_marketplace_from,d_hz_device*G604,0)*in_device_ticket*in_device_comm*in_ins_partner_share</f>
        <v/>
      </c>
      <c r="AV604" s="40">
        <f>AV603*(1-IF(B603&gt;=in_marketplace_from,d_hz_shop*G603,0))</f>
        <v/>
      </c>
      <c r="AW604" s="46">
        <f>AV604*IF(B604&gt;=in_marketplace_from,d_hz_shop*G604,0)</f>
        <v/>
      </c>
      <c r="AX604" s="14">
        <f>F604*AW604*in_shop_ticket*in_shop_comm*in_ins_partner_share+F604*in_shop_ticket*in_shop_renew_comm*in_ins_partner_share*(in_shop_renew^1*SUMIFS(AW557:AW606,B557:B606,B604-12)+in_shop_renew^2*SUMIFS(AW557:AW606,B557:B606,B604-24)+in_shop_renew^3*SUMIFS(AW557:AW606,B557:B606,B604-36)+in_shop_renew^4*SUMIFS(AW557:AW606,B557:B606,B604-48))</f>
        <v/>
      </c>
      <c r="AY604" s="40">
        <f>AY603*(1-IF(B603&gt;=in_marketplace_from,d_hz_sip*G603,0))</f>
        <v/>
      </c>
      <c r="AZ604" s="40">
        <f>AZ603*d_rho_sip+AY604*IF(B604&gt;=in_marketplace_from,d_hz_sip*G604,0)</f>
        <v/>
      </c>
      <c r="BA604" s="40">
        <f>d_rho_sip*(BA603+AZ603)</f>
        <v/>
      </c>
      <c r="BB604" s="14">
        <f>F604*in_sip_ticket*(BA604+0.5*AZ604)*in_sip_comm/12</f>
        <v/>
      </c>
      <c r="BC604" s="40">
        <f>BC603*(1-IF(B603&gt;=in_marketplace_from,d_hz_choti*G603,0))</f>
        <v/>
      </c>
      <c r="BD604" s="46">
        <f>BC604*IF(B604&gt;=in_marketplace_from,d_hz_choti*G604,0)</f>
        <v/>
      </c>
      <c r="BE604" s="14">
        <f>F604*SUMIFS(BD557:BD606,B557:B606,B604-in_choti_months)*in_choti_renew*in_choti_ticket</f>
        <v/>
      </c>
      <c r="BF604" s="40">
        <f>BF603*(1-IF(B603&gt;=in_marketplace_from,d_hz_nps*G603,0))</f>
        <v/>
      </c>
      <c r="BG604" s="14">
        <f>F604*BF604*IF(B604&gt;=in_marketplace_from,d_hz_nps*G604,0)*in_nps_ticket*in_nps_comm</f>
        <v/>
      </c>
      <c r="BH604" s="40">
        <f>BH603*(1-IF(B603&gt;=in_marketplace_from,d_hz_gold*G603,0))</f>
        <v/>
      </c>
      <c r="BI604" s="40">
        <f>BI603*d_rho_gold+BH604*IF(B604&gt;=in_marketplace_from,d_hz_gold*G604,0)</f>
        <v/>
      </c>
      <c r="BJ604" s="14">
        <f>F604*BI604*in_gold_ticket*in_gold_comm</f>
        <v/>
      </c>
      <c r="BK604" s="40">
        <f>BK603*(1-IF(B603&gt;=in_marketplace_from,d_hz_fd*G603,0))</f>
        <v/>
      </c>
      <c r="BL604" s="14">
        <f>F604*BK604*IF(B604&gt;=in_marketplace_from,d_hz_fd*G604,0)*in_fd_ticket*in_fd_comm</f>
        <v/>
      </c>
      <c r="BM604" s="40">
        <f>BM603*(1-IF(B603&gt;=in_marketplace_from,d_hz_recharge*G603,0))</f>
        <v/>
      </c>
      <c r="BN604" s="40">
        <f>BN603*d_rho_recharge+BM604*IF(B604&gt;=in_marketplace_from,d_hz_recharge*G604,0)</f>
        <v/>
      </c>
      <c r="BO604" s="14">
        <f>F604*BN604*in_recharge_ticket*in_recharge_comm/12</f>
        <v/>
      </c>
      <c r="BP604" s="40">
        <f>BP603*(1-IF(B603&gt;=in_marketplace_from,d_hz_bills*G603,0))</f>
        <v/>
      </c>
      <c r="BQ604" s="40">
        <f>BQ603*d_rho_bills+BP604*IF(B604&gt;=in_marketplace_from,d_hz_bills*G604,0)</f>
        <v/>
      </c>
      <c r="BR604" s="14">
        <f>F604*BQ604*in_bills_ticket*in_bills_comm/12</f>
        <v/>
      </c>
      <c r="BS604" s="40">
        <f>BS603*(1-IF(B603&gt;=in_marketplace_from,d_hz_loan_gold*G603,0))</f>
        <v/>
      </c>
      <c r="BT604" s="14">
        <f>F604*BS604*IF(B604&gt;=in_marketplace_from,d_hz_loan_gold*G604,0)*in_loan_gold_ticket*in_loan_gold_comm</f>
        <v/>
      </c>
      <c r="BU604" s="40">
        <f>BU603*(1-IF(B603&gt;=in_marketplace_from,d_hz_loan_cd*G603,0))</f>
        <v/>
      </c>
      <c r="BV604" s="14">
        <f>F604*BU604*IF(B604&gt;=in_marketplace_from,d_hz_loan_cd*G604,0)*in_loan_cd_ticket*in_loan_cd_comm</f>
        <v/>
      </c>
      <c r="BW604" s="40">
        <f>BW603*(1-IF(B603&gt;=in_marketplace_from,d_hz_loan_vehicle*G603,0))</f>
        <v/>
      </c>
      <c r="BX604" s="14">
        <f>F604*BW604*IF(B604&gt;=in_marketplace_from,d_hz_loan_vehicle*G604,0)*in_loan_vehicle_ticket*in_loan_vehicle_comm</f>
        <v/>
      </c>
      <c r="BY604" s="40">
        <f>BY603*(1-IF(B603&gt;=in_marketplace_from,d_hz_loan_home*G603,0)*BZ603)</f>
        <v/>
      </c>
      <c r="BZ604" s="11">
        <f>MIN(in_approval_cap,in_loan_home_approval*INDEX('Age profile'!$O$2:$O$61,B604)*(1+in_approval_growth)^(D604-1))</f>
        <v/>
      </c>
      <c r="CA604" s="14">
        <f>F604*BY604*IF(B604&gt;=in_marketplace_from,d_hz_loan_home*G604,0)*BZ604*in_loan_home_ticket*in_loan_home_comm</f>
        <v/>
      </c>
      <c r="CB604" s="40">
        <f>CB603*(1-IF(B603&gt;=in_marketplace_from,d_hz_loan_lap*G603,0)*CC603)</f>
        <v/>
      </c>
      <c r="CC604" s="11">
        <f>MIN(in_approval_cap,in_loan_lap_approval*INDEX('Age profile'!$O$2:$O$61,B604)*(1+in_approval_growth)^(D604-1))</f>
        <v/>
      </c>
      <c r="CD604" s="14">
        <f>F604*CB604*IF(B604&gt;=in_marketplace_from,d_hz_loan_lap*G604,0)*CC604*in_loan_lap_ticket*in_loan_lap_comm</f>
        <v/>
      </c>
      <c r="CE604" s="14">
        <f>AA604+AB604+AC604+AD604+AG604+AJ604+AM604+AP604+AS604+AU604+AX604+BB604+BE604+BG604+BJ604+BL604+BO604+BR604+BT604+BV604+BX604+CA604+CD604</f>
        <v/>
      </c>
    </row>
    <row r="605">
      <c r="A605" s="39" t="n">
        <v>11</v>
      </c>
      <c r="B605" s="39" t="n">
        <v>49</v>
      </c>
      <c r="C605" s="39">
        <f>A605+B605-1</f>
        <v/>
      </c>
      <c r="D605" s="39">
        <f>INT((C605-1)/12)+1</f>
        <v/>
      </c>
      <c r="E605" s="44">
        <f>INDEX(Monthly!$B$2:$B$61,A605)</f>
        <v/>
      </c>
      <c r="F605" s="44">
        <f>E605*INDEX('Age profile'!$B$2:$B$61,B605)</f>
        <v/>
      </c>
      <c r="G605" s="45">
        <f>MIN(in_takeup_cap,INDEX('Age profile'!$N$2:$N$61,B605)*(1+in_takeup_growth)^(D605-1))</f>
        <v/>
      </c>
      <c r="H605" s="11">
        <f>MIN(in_approval_cap,in_approved_first*INDEX('Age profile'!$O$2:$O$61,B605)*(1+in_approval_growth)^(D605-1))</f>
        <v/>
      </c>
      <c r="I605" s="45">
        <f>G605*MIN(in_takeup_cap,INDEX('Age profile'!$O$2:$O$61,B605)*(1+in_approval_growth)^(D605-1))</f>
        <v/>
      </c>
      <c r="J605" s="40">
        <f>(J604-L604)*F605/F604</f>
        <v/>
      </c>
      <c r="K605" s="40">
        <f>(K604-M604)*F605/F604+SUMIFS(O557:O604,B557:B604,B605-1-d_T)*F605</f>
        <v/>
      </c>
      <c r="L605" s="40">
        <f>IF(B605&gt;=in_marketplace_from,J605*d_hz*G605*in_eligible*H605,0)</f>
        <v/>
      </c>
      <c r="M605" s="40">
        <f>IF(B605&gt;=in_marketplace_from,K605*d_hz*G605*in_eligible*in_approved_repeat,0)</f>
        <v/>
      </c>
      <c r="N605" s="40">
        <f>L605+M605</f>
        <v/>
      </c>
      <c r="O605" s="46">
        <f>N605/F605</f>
        <v/>
      </c>
      <c r="P605" s="40">
        <f>F605-J605-K605</f>
        <v/>
      </c>
      <c r="Q605" s="40">
        <f>IF(B605&gt;=in_marketplace_from,(J605+K605)*d_hz*G605,0)</f>
        <v/>
      </c>
      <c r="R605" s="40">
        <f>SUMIFS(N557:N606,B557:B606,"&gt;="&amp;(B605-d_T),B557:B606,"&lt;="&amp;(B605-1))</f>
        <v/>
      </c>
      <c r="S605" s="46">
        <f>(1-d_u)*S604+IF(d_T&gt;in_topup_lag,SUMIFS(O557:O606,B557:B606,B605-in_topup_lag)-d_udrop*SUMIFS(O557:O606,B557:B606,B605-d_T),0)</f>
        <v/>
      </c>
      <c r="T605" s="40">
        <f>F605*d_u*S605</f>
        <v/>
      </c>
      <c r="U605" s="9">
        <f>L605*in_ticket+M605*d_rep_ticket</f>
        <v/>
      </c>
      <c r="V605" s="9">
        <f>U605+T605*d_topup_amt</f>
        <v/>
      </c>
      <c r="W605" s="40">
        <f>N605+T605*d_topup_ratio</f>
        <v/>
      </c>
      <c r="X605" s="40">
        <f>SUMIFS(W557:W606,B557:B606,B605-in_dpd_lag)*d_cured</f>
        <v/>
      </c>
      <c r="Y605" s="40">
        <f>SUMIFS(W557:W606,B557:B606,B605-in_rec_lag)*d_recd</f>
        <v/>
      </c>
      <c r="Z605" s="40">
        <f>IF(AND(B605&gt;=in_marketplace_from,B605&lt;in_marketplace_from+in_card_months),in_card_share/in_card_months*F605*I605,IF(AND(B605&gt;=in_marketplace_from+in_card_months,B605&lt;in_marketplace_from+2*in_card_months),in_card_share*d_card_rem/in_card_months*F605*MIN(in_takeup_cap,(1+in_takeup_growth)^(D605-1))*MIN(in_takeup_cap,(1+in_approval_growth)^(D605-1)),0))</f>
        <v/>
      </c>
      <c r="AA605" s="14">
        <f>V605*in_fee*(1-in_taken_back)</f>
        <v/>
      </c>
      <c r="AB605" s="14">
        <f>SUMIFS(W557:W606,B557:B606,B605-in_dpd_lag)*d_dpd</f>
        <v/>
      </c>
      <c r="AC605" s="14">
        <f>SUMIFS(W557:W606,B557:B606,B605-in_rec_lag)*d_rec</f>
        <v/>
      </c>
      <c r="AD605" s="14">
        <f>Z605*in_card_fee</f>
        <v/>
      </c>
      <c r="AE605" s="40">
        <f>AE604*(1-IF(B604&gt;=in_marketplace_from,d_hz_hlth_small*G604,0))</f>
        <v/>
      </c>
      <c r="AF605" s="46">
        <f>AE605*IF(B605&gt;=in_marketplace_from,d_hz_hlth_small*G605,0)</f>
        <v/>
      </c>
      <c r="AG605" s="14">
        <f>F605*AF605*in_hlth_small_ticket*in_hlth_small_comm*in_ins_partner_share+F605*in_hlth_small_ticket*in_hlth_small_renew_comm*in_ins_partner_share*(in_hlth_small_renew^1*SUMIFS(AF557:AF606,B557:B606,B605-12)+in_hlth_small_renew^2*SUMIFS(AF557:AF606,B557:B606,B605-24)+in_hlth_small_renew^3*SUMIFS(AF557:AF606,B557:B606,B605-36)+in_hlth_small_renew^4*SUMIFS(AF557:AF606,B557:B606,B605-48))</f>
        <v/>
      </c>
      <c r="AH605" s="40">
        <f>AH604*(1-IF(B604&gt;=in_marketplace_from,d_hz_hlth_family*G604,0))</f>
        <v/>
      </c>
      <c r="AI605" s="46">
        <f>AH605*IF(B605&gt;=in_marketplace_from,d_hz_hlth_family*G605,0)</f>
        <v/>
      </c>
      <c r="AJ605" s="14">
        <f>F605*AI605*in_hlth_family_ticket*in_hlth_family_comm*in_ins_partner_share+F605*in_hlth_family_ticket*in_hlth_family_renew_comm*in_ins_partner_share*(in_hlth_family_renew^1*SUMIFS(AI557:AI606,B557:B606,B605-12)+in_hlth_family_renew^2*SUMIFS(AI557:AI606,B557:B606,B605-24)+in_hlth_family_renew^3*SUMIFS(AI557:AI606,B557:B606,B605-36)+in_hlth_family_renew^4*SUMIFS(AI557:AI606,B557:B606,B605-48))</f>
        <v/>
      </c>
      <c r="AK605" s="40">
        <f>AK604*(1-IF(B604&gt;=in_marketplace_from,d_hz_life_term*G604,0))</f>
        <v/>
      </c>
      <c r="AL605" s="46">
        <f>AK605*IF(B605&gt;=in_marketplace_from,d_hz_life_term*G605,0)</f>
        <v/>
      </c>
      <c r="AM605" s="14">
        <f>F605*AL605*in_life_term_ticket*in_life_term_comm*in_ins_partner_share+F605*in_life_term_ticket*in_life_term_renew_comm*in_ins_partner_share*(in_life_term_renew^1*SUMIFS(AL557:AL606,B557:B606,B605-12)+in_life_term_renew^2*SUMIFS(AL557:AL606,B557:B606,B605-24)+in_life_term_renew^3*SUMIFS(AL557:AL606,B557:B606,B605-36)+in_life_term_renew^4*SUMIFS(AL557:AL606,B557:B606,B605-48))</f>
        <v/>
      </c>
      <c r="AN605" s="40">
        <f>AN604*(1-IF(B604&gt;=in_marketplace_from,d_hz_accident*G604,0))</f>
        <v/>
      </c>
      <c r="AO605" s="46">
        <f>AN605*IF(B605&gt;=in_marketplace_from,d_hz_accident*G605,0)</f>
        <v/>
      </c>
      <c r="AP605" s="14">
        <f>F605*AO605*in_accident_ticket*in_accident_comm*in_ins_partner_share+F605*in_accident_ticket*in_accident_renew_comm*in_ins_partner_share*(in_accident_renew^1*SUMIFS(AO557:AO606,B557:B606,B605-12)+in_accident_renew^2*SUMIFS(AO557:AO606,B557:B606,B605-24)+in_accident_renew^3*SUMIFS(AO557:AO606,B557:B606,B605-36)+in_accident_renew^4*SUMIFS(AO557:AO606,B557:B606,B605-48))</f>
        <v/>
      </c>
      <c r="AQ605" s="40">
        <f>AQ604*(1-IF(B604&gt;=in_marketplace_from,d_hz_two_wheeler*G604,0))</f>
        <v/>
      </c>
      <c r="AR605" s="46">
        <f>AQ605*IF(B605&gt;=in_marketplace_from,d_hz_two_wheeler*G605,0)</f>
        <v/>
      </c>
      <c r="AS605" s="14">
        <f>F605*AR605*in_two_wheeler_ticket*in_two_wheeler_comm*in_ins_partner_share+F605*in_two_wheeler_ticket*in_two_wheeler_comm*in_ins_partner_share*(in_two_wheeler_renew^1*SUMIFS(AR557:AR606,B557:B606,B605-12)+in_two_wheeler_renew^2*SUMIFS(AR557:AR606,B557:B606,B605-24)+in_two_wheeler_renew^3*SUMIFS(AR557:AR606,B557:B606,B605-36)+in_two_wheeler_renew^4*SUMIFS(AR557:AR606,B557:B606,B605-48))</f>
        <v/>
      </c>
      <c r="AT605" s="40">
        <f>AT604*(1-IF(B604&gt;=in_marketplace_from,d_hz_device*G604,0))</f>
        <v/>
      </c>
      <c r="AU605" s="14">
        <f>F605*AT605*IF(B605&gt;=in_marketplace_from,d_hz_device*G605,0)*in_device_ticket*in_device_comm*in_ins_partner_share</f>
        <v/>
      </c>
      <c r="AV605" s="40">
        <f>AV604*(1-IF(B604&gt;=in_marketplace_from,d_hz_shop*G604,0))</f>
        <v/>
      </c>
      <c r="AW605" s="46">
        <f>AV605*IF(B605&gt;=in_marketplace_from,d_hz_shop*G605,0)</f>
        <v/>
      </c>
      <c r="AX605" s="14">
        <f>F605*AW605*in_shop_ticket*in_shop_comm*in_ins_partner_share+F605*in_shop_ticket*in_shop_renew_comm*in_ins_partner_share*(in_shop_renew^1*SUMIFS(AW557:AW606,B557:B606,B605-12)+in_shop_renew^2*SUMIFS(AW557:AW606,B557:B606,B605-24)+in_shop_renew^3*SUMIFS(AW557:AW606,B557:B606,B605-36)+in_shop_renew^4*SUMIFS(AW557:AW606,B557:B606,B605-48))</f>
        <v/>
      </c>
      <c r="AY605" s="40">
        <f>AY604*(1-IF(B604&gt;=in_marketplace_from,d_hz_sip*G604,0))</f>
        <v/>
      </c>
      <c r="AZ605" s="40">
        <f>AZ604*d_rho_sip+AY605*IF(B605&gt;=in_marketplace_from,d_hz_sip*G605,0)</f>
        <v/>
      </c>
      <c r="BA605" s="40">
        <f>d_rho_sip*(BA604+AZ604)</f>
        <v/>
      </c>
      <c r="BB605" s="14">
        <f>F605*in_sip_ticket*(BA605+0.5*AZ605)*in_sip_comm/12</f>
        <v/>
      </c>
      <c r="BC605" s="40">
        <f>BC604*(1-IF(B604&gt;=in_marketplace_from,d_hz_choti*G604,0))</f>
        <v/>
      </c>
      <c r="BD605" s="46">
        <f>BC605*IF(B605&gt;=in_marketplace_from,d_hz_choti*G605,0)</f>
        <v/>
      </c>
      <c r="BE605" s="14">
        <f>F605*SUMIFS(BD557:BD606,B557:B606,B605-in_choti_months)*in_choti_renew*in_choti_ticket</f>
        <v/>
      </c>
      <c r="BF605" s="40">
        <f>BF604*(1-IF(B604&gt;=in_marketplace_from,d_hz_nps*G604,0))</f>
        <v/>
      </c>
      <c r="BG605" s="14">
        <f>F605*BF605*IF(B605&gt;=in_marketplace_from,d_hz_nps*G605,0)*in_nps_ticket*in_nps_comm</f>
        <v/>
      </c>
      <c r="BH605" s="40">
        <f>BH604*(1-IF(B604&gt;=in_marketplace_from,d_hz_gold*G604,0))</f>
        <v/>
      </c>
      <c r="BI605" s="40">
        <f>BI604*d_rho_gold+BH605*IF(B605&gt;=in_marketplace_from,d_hz_gold*G605,0)</f>
        <v/>
      </c>
      <c r="BJ605" s="14">
        <f>F605*BI605*in_gold_ticket*in_gold_comm</f>
        <v/>
      </c>
      <c r="BK605" s="40">
        <f>BK604*(1-IF(B604&gt;=in_marketplace_from,d_hz_fd*G604,0))</f>
        <v/>
      </c>
      <c r="BL605" s="14">
        <f>F605*BK605*IF(B605&gt;=in_marketplace_from,d_hz_fd*G605,0)*in_fd_ticket*in_fd_comm</f>
        <v/>
      </c>
      <c r="BM605" s="40">
        <f>BM604*(1-IF(B604&gt;=in_marketplace_from,d_hz_recharge*G604,0))</f>
        <v/>
      </c>
      <c r="BN605" s="40">
        <f>BN604*d_rho_recharge+BM605*IF(B605&gt;=in_marketplace_from,d_hz_recharge*G605,0)</f>
        <v/>
      </c>
      <c r="BO605" s="14">
        <f>F605*BN605*in_recharge_ticket*in_recharge_comm/12</f>
        <v/>
      </c>
      <c r="BP605" s="40">
        <f>BP604*(1-IF(B604&gt;=in_marketplace_from,d_hz_bills*G604,0))</f>
        <v/>
      </c>
      <c r="BQ605" s="40">
        <f>BQ604*d_rho_bills+BP605*IF(B605&gt;=in_marketplace_from,d_hz_bills*G605,0)</f>
        <v/>
      </c>
      <c r="BR605" s="14">
        <f>F605*BQ605*in_bills_ticket*in_bills_comm/12</f>
        <v/>
      </c>
      <c r="BS605" s="40">
        <f>BS604*(1-IF(B604&gt;=in_marketplace_from,d_hz_loan_gold*G604,0))</f>
        <v/>
      </c>
      <c r="BT605" s="14">
        <f>F605*BS605*IF(B605&gt;=in_marketplace_from,d_hz_loan_gold*G605,0)*in_loan_gold_ticket*in_loan_gold_comm</f>
        <v/>
      </c>
      <c r="BU605" s="40">
        <f>BU604*(1-IF(B604&gt;=in_marketplace_from,d_hz_loan_cd*G604,0))</f>
        <v/>
      </c>
      <c r="BV605" s="14">
        <f>F605*BU605*IF(B605&gt;=in_marketplace_from,d_hz_loan_cd*G605,0)*in_loan_cd_ticket*in_loan_cd_comm</f>
        <v/>
      </c>
      <c r="BW605" s="40">
        <f>BW604*(1-IF(B604&gt;=in_marketplace_from,d_hz_loan_vehicle*G604,0))</f>
        <v/>
      </c>
      <c r="BX605" s="14">
        <f>F605*BW605*IF(B605&gt;=in_marketplace_from,d_hz_loan_vehicle*G605,0)*in_loan_vehicle_ticket*in_loan_vehicle_comm</f>
        <v/>
      </c>
      <c r="BY605" s="40">
        <f>BY604*(1-IF(B604&gt;=in_marketplace_from,d_hz_loan_home*G604,0)*BZ604)</f>
        <v/>
      </c>
      <c r="BZ605" s="11">
        <f>MIN(in_approval_cap,in_loan_home_approval*INDEX('Age profile'!$O$2:$O$61,B605)*(1+in_approval_growth)^(D605-1))</f>
        <v/>
      </c>
      <c r="CA605" s="14">
        <f>F605*BY605*IF(B605&gt;=in_marketplace_from,d_hz_loan_home*G605,0)*BZ605*in_loan_home_ticket*in_loan_home_comm</f>
        <v/>
      </c>
      <c r="CB605" s="40">
        <f>CB604*(1-IF(B604&gt;=in_marketplace_from,d_hz_loan_lap*G604,0)*CC604)</f>
        <v/>
      </c>
      <c r="CC605" s="11">
        <f>MIN(in_approval_cap,in_loan_lap_approval*INDEX('Age profile'!$O$2:$O$61,B605)*(1+in_approval_growth)^(D605-1))</f>
        <v/>
      </c>
      <c r="CD605" s="14">
        <f>F605*CB605*IF(B605&gt;=in_marketplace_from,d_hz_loan_lap*G605,0)*CC605*in_loan_lap_ticket*in_loan_lap_comm</f>
        <v/>
      </c>
      <c r="CE605" s="14">
        <f>AA605+AB605+AC605+AD605+AG605+AJ605+AM605+AP605+AS605+AU605+AX605+BB605+BE605+BG605+BJ605+BL605+BO605+BR605+BT605+BV605+BX605+CA605+CD605</f>
        <v/>
      </c>
    </row>
    <row r="606">
      <c r="A606" s="39" t="n">
        <v>11</v>
      </c>
      <c r="B606" s="39" t="n">
        <v>50</v>
      </c>
      <c r="C606" s="39">
        <f>A606+B606-1</f>
        <v/>
      </c>
      <c r="D606" s="39">
        <f>INT((C606-1)/12)+1</f>
        <v/>
      </c>
      <c r="E606" s="44">
        <f>INDEX(Monthly!$B$2:$B$61,A606)</f>
        <v/>
      </c>
      <c r="F606" s="44">
        <f>E606*INDEX('Age profile'!$B$2:$B$61,B606)</f>
        <v/>
      </c>
      <c r="G606" s="45">
        <f>MIN(in_takeup_cap,INDEX('Age profile'!$N$2:$N$61,B606)*(1+in_takeup_growth)^(D606-1))</f>
        <v/>
      </c>
      <c r="H606" s="11">
        <f>MIN(in_approval_cap,in_approved_first*INDEX('Age profile'!$O$2:$O$61,B606)*(1+in_approval_growth)^(D606-1))</f>
        <v/>
      </c>
      <c r="I606" s="45">
        <f>G606*MIN(in_takeup_cap,INDEX('Age profile'!$O$2:$O$61,B606)*(1+in_approval_growth)^(D606-1))</f>
        <v/>
      </c>
      <c r="J606" s="40">
        <f>(J605-L605)*F606/F605</f>
        <v/>
      </c>
      <c r="K606" s="40">
        <f>(K605-M605)*F606/F605+SUMIFS(O557:O605,B557:B605,B606-1-d_T)*F606</f>
        <v/>
      </c>
      <c r="L606" s="40">
        <f>IF(B606&gt;=in_marketplace_from,J606*d_hz*G606*in_eligible*H606,0)</f>
        <v/>
      </c>
      <c r="M606" s="40">
        <f>IF(B606&gt;=in_marketplace_from,K606*d_hz*G606*in_eligible*in_approved_repeat,0)</f>
        <v/>
      </c>
      <c r="N606" s="40">
        <f>L606+M606</f>
        <v/>
      </c>
      <c r="O606" s="46">
        <f>N606/F606</f>
        <v/>
      </c>
      <c r="P606" s="40">
        <f>F606-J606-K606</f>
        <v/>
      </c>
      <c r="Q606" s="40">
        <f>IF(B606&gt;=in_marketplace_from,(J606+K606)*d_hz*G606,0)</f>
        <v/>
      </c>
      <c r="R606" s="40">
        <f>SUMIFS(N557:N606,B557:B606,"&gt;="&amp;(B606-d_T),B557:B606,"&lt;="&amp;(B606-1))</f>
        <v/>
      </c>
      <c r="S606" s="46">
        <f>(1-d_u)*S605+IF(d_T&gt;in_topup_lag,SUMIFS(O557:O606,B557:B606,B606-in_topup_lag)-d_udrop*SUMIFS(O557:O606,B557:B606,B606-d_T),0)</f>
        <v/>
      </c>
      <c r="T606" s="40">
        <f>F606*d_u*S606</f>
        <v/>
      </c>
      <c r="U606" s="9">
        <f>L606*in_ticket+M606*d_rep_ticket</f>
        <v/>
      </c>
      <c r="V606" s="9">
        <f>U606+T606*d_topup_amt</f>
        <v/>
      </c>
      <c r="W606" s="40">
        <f>N606+T606*d_topup_ratio</f>
        <v/>
      </c>
      <c r="X606" s="40">
        <f>SUMIFS(W557:W606,B557:B606,B606-in_dpd_lag)*d_cured</f>
        <v/>
      </c>
      <c r="Y606" s="40">
        <f>SUMIFS(W557:W606,B557:B606,B606-in_rec_lag)*d_recd</f>
        <v/>
      </c>
      <c r="Z606" s="40">
        <f>IF(AND(B606&gt;=in_marketplace_from,B606&lt;in_marketplace_from+in_card_months),in_card_share/in_card_months*F606*I606,IF(AND(B606&gt;=in_marketplace_from+in_card_months,B606&lt;in_marketplace_from+2*in_card_months),in_card_share*d_card_rem/in_card_months*F606*MIN(in_takeup_cap,(1+in_takeup_growth)^(D606-1))*MIN(in_takeup_cap,(1+in_approval_growth)^(D606-1)),0))</f>
        <v/>
      </c>
      <c r="AA606" s="14">
        <f>V606*in_fee*(1-in_taken_back)</f>
        <v/>
      </c>
      <c r="AB606" s="14">
        <f>SUMIFS(W557:W606,B557:B606,B606-in_dpd_lag)*d_dpd</f>
        <v/>
      </c>
      <c r="AC606" s="14">
        <f>SUMIFS(W557:W606,B557:B606,B606-in_rec_lag)*d_rec</f>
        <v/>
      </c>
      <c r="AD606" s="14">
        <f>Z606*in_card_fee</f>
        <v/>
      </c>
      <c r="AE606" s="40">
        <f>AE605*(1-IF(B605&gt;=in_marketplace_from,d_hz_hlth_small*G605,0))</f>
        <v/>
      </c>
      <c r="AF606" s="46">
        <f>AE606*IF(B606&gt;=in_marketplace_from,d_hz_hlth_small*G606,0)</f>
        <v/>
      </c>
      <c r="AG606" s="14">
        <f>F606*AF606*in_hlth_small_ticket*in_hlth_small_comm*in_ins_partner_share+F606*in_hlth_small_ticket*in_hlth_small_renew_comm*in_ins_partner_share*(in_hlth_small_renew^1*SUMIFS(AF557:AF606,B557:B606,B606-12)+in_hlth_small_renew^2*SUMIFS(AF557:AF606,B557:B606,B606-24)+in_hlth_small_renew^3*SUMIFS(AF557:AF606,B557:B606,B606-36)+in_hlth_small_renew^4*SUMIFS(AF557:AF606,B557:B606,B606-48))</f>
        <v/>
      </c>
      <c r="AH606" s="40">
        <f>AH605*(1-IF(B605&gt;=in_marketplace_from,d_hz_hlth_family*G605,0))</f>
        <v/>
      </c>
      <c r="AI606" s="46">
        <f>AH606*IF(B606&gt;=in_marketplace_from,d_hz_hlth_family*G606,0)</f>
        <v/>
      </c>
      <c r="AJ606" s="14">
        <f>F606*AI606*in_hlth_family_ticket*in_hlth_family_comm*in_ins_partner_share+F606*in_hlth_family_ticket*in_hlth_family_renew_comm*in_ins_partner_share*(in_hlth_family_renew^1*SUMIFS(AI557:AI606,B557:B606,B606-12)+in_hlth_family_renew^2*SUMIFS(AI557:AI606,B557:B606,B606-24)+in_hlth_family_renew^3*SUMIFS(AI557:AI606,B557:B606,B606-36)+in_hlth_family_renew^4*SUMIFS(AI557:AI606,B557:B606,B606-48))</f>
        <v/>
      </c>
      <c r="AK606" s="40">
        <f>AK605*(1-IF(B605&gt;=in_marketplace_from,d_hz_life_term*G605,0))</f>
        <v/>
      </c>
      <c r="AL606" s="46">
        <f>AK606*IF(B606&gt;=in_marketplace_from,d_hz_life_term*G606,0)</f>
        <v/>
      </c>
      <c r="AM606" s="14">
        <f>F606*AL606*in_life_term_ticket*in_life_term_comm*in_ins_partner_share+F606*in_life_term_ticket*in_life_term_renew_comm*in_ins_partner_share*(in_life_term_renew^1*SUMIFS(AL557:AL606,B557:B606,B606-12)+in_life_term_renew^2*SUMIFS(AL557:AL606,B557:B606,B606-24)+in_life_term_renew^3*SUMIFS(AL557:AL606,B557:B606,B606-36)+in_life_term_renew^4*SUMIFS(AL557:AL606,B557:B606,B606-48))</f>
        <v/>
      </c>
      <c r="AN606" s="40">
        <f>AN605*(1-IF(B605&gt;=in_marketplace_from,d_hz_accident*G605,0))</f>
        <v/>
      </c>
      <c r="AO606" s="46">
        <f>AN606*IF(B606&gt;=in_marketplace_from,d_hz_accident*G606,0)</f>
        <v/>
      </c>
      <c r="AP606" s="14">
        <f>F606*AO606*in_accident_ticket*in_accident_comm*in_ins_partner_share+F606*in_accident_ticket*in_accident_renew_comm*in_ins_partner_share*(in_accident_renew^1*SUMIFS(AO557:AO606,B557:B606,B606-12)+in_accident_renew^2*SUMIFS(AO557:AO606,B557:B606,B606-24)+in_accident_renew^3*SUMIFS(AO557:AO606,B557:B606,B606-36)+in_accident_renew^4*SUMIFS(AO557:AO606,B557:B606,B606-48))</f>
        <v/>
      </c>
      <c r="AQ606" s="40">
        <f>AQ605*(1-IF(B605&gt;=in_marketplace_from,d_hz_two_wheeler*G605,0))</f>
        <v/>
      </c>
      <c r="AR606" s="46">
        <f>AQ606*IF(B606&gt;=in_marketplace_from,d_hz_two_wheeler*G606,0)</f>
        <v/>
      </c>
      <c r="AS606" s="14">
        <f>F606*AR606*in_two_wheeler_ticket*in_two_wheeler_comm*in_ins_partner_share+F606*in_two_wheeler_ticket*in_two_wheeler_comm*in_ins_partner_share*(in_two_wheeler_renew^1*SUMIFS(AR557:AR606,B557:B606,B606-12)+in_two_wheeler_renew^2*SUMIFS(AR557:AR606,B557:B606,B606-24)+in_two_wheeler_renew^3*SUMIFS(AR557:AR606,B557:B606,B606-36)+in_two_wheeler_renew^4*SUMIFS(AR557:AR606,B557:B606,B606-48))</f>
        <v/>
      </c>
      <c r="AT606" s="40">
        <f>AT605*(1-IF(B605&gt;=in_marketplace_from,d_hz_device*G605,0))</f>
        <v/>
      </c>
      <c r="AU606" s="14">
        <f>F606*AT606*IF(B606&gt;=in_marketplace_from,d_hz_device*G606,0)*in_device_ticket*in_device_comm*in_ins_partner_share</f>
        <v/>
      </c>
      <c r="AV606" s="40">
        <f>AV605*(1-IF(B605&gt;=in_marketplace_from,d_hz_shop*G605,0))</f>
        <v/>
      </c>
      <c r="AW606" s="46">
        <f>AV606*IF(B606&gt;=in_marketplace_from,d_hz_shop*G606,0)</f>
        <v/>
      </c>
      <c r="AX606" s="14">
        <f>F606*AW606*in_shop_ticket*in_shop_comm*in_ins_partner_share+F606*in_shop_ticket*in_shop_renew_comm*in_ins_partner_share*(in_shop_renew^1*SUMIFS(AW557:AW606,B557:B606,B606-12)+in_shop_renew^2*SUMIFS(AW557:AW606,B557:B606,B606-24)+in_shop_renew^3*SUMIFS(AW557:AW606,B557:B606,B606-36)+in_shop_renew^4*SUMIFS(AW557:AW606,B557:B606,B606-48))</f>
        <v/>
      </c>
      <c r="AY606" s="40">
        <f>AY605*(1-IF(B605&gt;=in_marketplace_from,d_hz_sip*G605,0))</f>
        <v/>
      </c>
      <c r="AZ606" s="40">
        <f>AZ605*d_rho_sip+AY606*IF(B606&gt;=in_marketplace_from,d_hz_sip*G606,0)</f>
        <v/>
      </c>
      <c r="BA606" s="40">
        <f>d_rho_sip*(BA605+AZ605)</f>
        <v/>
      </c>
      <c r="BB606" s="14">
        <f>F606*in_sip_ticket*(BA606+0.5*AZ606)*in_sip_comm/12</f>
        <v/>
      </c>
      <c r="BC606" s="40">
        <f>BC605*(1-IF(B605&gt;=in_marketplace_from,d_hz_choti*G605,0))</f>
        <v/>
      </c>
      <c r="BD606" s="46">
        <f>BC606*IF(B606&gt;=in_marketplace_from,d_hz_choti*G606,0)</f>
        <v/>
      </c>
      <c r="BE606" s="14">
        <f>F606*SUMIFS(BD557:BD606,B557:B606,B606-in_choti_months)*in_choti_renew*in_choti_ticket</f>
        <v/>
      </c>
      <c r="BF606" s="40">
        <f>BF605*(1-IF(B605&gt;=in_marketplace_from,d_hz_nps*G605,0))</f>
        <v/>
      </c>
      <c r="BG606" s="14">
        <f>F606*BF606*IF(B606&gt;=in_marketplace_from,d_hz_nps*G606,0)*in_nps_ticket*in_nps_comm</f>
        <v/>
      </c>
      <c r="BH606" s="40">
        <f>BH605*(1-IF(B605&gt;=in_marketplace_from,d_hz_gold*G605,0))</f>
        <v/>
      </c>
      <c r="BI606" s="40">
        <f>BI605*d_rho_gold+BH606*IF(B606&gt;=in_marketplace_from,d_hz_gold*G606,0)</f>
        <v/>
      </c>
      <c r="BJ606" s="14">
        <f>F606*BI606*in_gold_ticket*in_gold_comm</f>
        <v/>
      </c>
      <c r="BK606" s="40">
        <f>BK605*(1-IF(B605&gt;=in_marketplace_from,d_hz_fd*G605,0))</f>
        <v/>
      </c>
      <c r="BL606" s="14">
        <f>F606*BK606*IF(B606&gt;=in_marketplace_from,d_hz_fd*G606,0)*in_fd_ticket*in_fd_comm</f>
        <v/>
      </c>
      <c r="BM606" s="40">
        <f>BM605*(1-IF(B605&gt;=in_marketplace_from,d_hz_recharge*G605,0))</f>
        <v/>
      </c>
      <c r="BN606" s="40">
        <f>BN605*d_rho_recharge+BM606*IF(B606&gt;=in_marketplace_from,d_hz_recharge*G606,0)</f>
        <v/>
      </c>
      <c r="BO606" s="14">
        <f>F606*BN606*in_recharge_ticket*in_recharge_comm/12</f>
        <v/>
      </c>
      <c r="BP606" s="40">
        <f>BP605*(1-IF(B605&gt;=in_marketplace_from,d_hz_bills*G605,0))</f>
        <v/>
      </c>
      <c r="BQ606" s="40">
        <f>BQ605*d_rho_bills+BP606*IF(B606&gt;=in_marketplace_from,d_hz_bills*G606,0)</f>
        <v/>
      </c>
      <c r="BR606" s="14">
        <f>F606*BQ606*in_bills_ticket*in_bills_comm/12</f>
        <v/>
      </c>
      <c r="BS606" s="40">
        <f>BS605*(1-IF(B605&gt;=in_marketplace_from,d_hz_loan_gold*G605,0))</f>
        <v/>
      </c>
      <c r="BT606" s="14">
        <f>F606*BS606*IF(B606&gt;=in_marketplace_from,d_hz_loan_gold*G606,0)*in_loan_gold_ticket*in_loan_gold_comm</f>
        <v/>
      </c>
      <c r="BU606" s="40">
        <f>BU605*(1-IF(B605&gt;=in_marketplace_from,d_hz_loan_cd*G605,0))</f>
        <v/>
      </c>
      <c r="BV606" s="14">
        <f>F606*BU606*IF(B606&gt;=in_marketplace_from,d_hz_loan_cd*G606,0)*in_loan_cd_ticket*in_loan_cd_comm</f>
        <v/>
      </c>
      <c r="BW606" s="40">
        <f>BW605*(1-IF(B605&gt;=in_marketplace_from,d_hz_loan_vehicle*G605,0))</f>
        <v/>
      </c>
      <c r="BX606" s="14">
        <f>F606*BW606*IF(B606&gt;=in_marketplace_from,d_hz_loan_vehicle*G606,0)*in_loan_vehicle_ticket*in_loan_vehicle_comm</f>
        <v/>
      </c>
      <c r="BY606" s="40">
        <f>BY605*(1-IF(B605&gt;=in_marketplace_from,d_hz_loan_home*G605,0)*BZ605)</f>
        <v/>
      </c>
      <c r="BZ606" s="11">
        <f>MIN(in_approval_cap,in_loan_home_approval*INDEX('Age profile'!$O$2:$O$61,B606)*(1+in_approval_growth)^(D606-1))</f>
        <v/>
      </c>
      <c r="CA606" s="14">
        <f>F606*BY606*IF(B606&gt;=in_marketplace_from,d_hz_loan_home*G606,0)*BZ606*in_loan_home_ticket*in_loan_home_comm</f>
        <v/>
      </c>
      <c r="CB606" s="40">
        <f>CB605*(1-IF(B605&gt;=in_marketplace_from,d_hz_loan_lap*G605,0)*CC605)</f>
        <v/>
      </c>
      <c r="CC606" s="11">
        <f>MIN(in_approval_cap,in_loan_lap_approval*INDEX('Age profile'!$O$2:$O$61,B606)*(1+in_approval_growth)^(D606-1))</f>
        <v/>
      </c>
      <c r="CD606" s="14">
        <f>F606*CB606*IF(B606&gt;=in_marketplace_from,d_hz_loan_lap*G606,0)*CC606*in_loan_lap_ticket*in_loan_lap_comm</f>
        <v/>
      </c>
      <c r="CE606" s="14">
        <f>AA606+AB606+AC606+AD606+AG606+AJ606+AM606+AP606+AS606+AU606+AX606+BB606+BE606+BG606+BJ606+BL606+BO606+BR606+BT606+BV606+BX606+CA606+CD606</f>
        <v/>
      </c>
    </row>
    <row r="607">
      <c r="A607" s="39" t="n">
        <v>12</v>
      </c>
      <c r="B607" s="39" t="n">
        <v>1</v>
      </c>
      <c r="C607" s="39">
        <f>A607+B607-1</f>
        <v/>
      </c>
      <c r="D607" s="39">
        <f>INT((C607-1)/12)+1</f>
        <v/>
      </c>
      <c r="E607" s="44">
        <f>INDEX(Monthly!$B$2:$B$61,A607)</f>
        <v/>
      </c>
      <c r="F607" s="44">
        <f>E607*INDEX('Age profile'!$B$2:$B$61,B607)</f>
        <v/>
      </c>
      <c r="G607" s="45">
        <f>MIN(in_takeup_cap,INDEX('Age profile'!$N$2:$N$61,B607)*(1+in_takeup_growth)^(D607-1))</f>
        <v/>
      </c>
      <c r="H607" s="11">
        <f>MIN(in_approval_cap,in_approved_first*INDEX('Age profile'!$O$2:$O$61,B607)*(1+in_approval_growth)^(D607-1))</f>
        <v/>
      </c>
      <c r="I607" s="45">
        <f>G607*MIN(in_takeup_cap,INDEX('Age profile'!$O$2:$O$61,B607)*(1+in_approval_growth)^(D607-1))</f>
        <v/>
      </c>
      <c r="J607" s="40">
        <f>E607</f>
        <v/>
      </c>
      <c r="K607" s="40" t="n">
        <v>0</v>
      </c>
      <c r="L607" s="40">
        <f>IF(B607&gt;=in_marketplace_from,J607*d_hz*G607*in_eligible*H607,0)</f>
        <v/>
      </c>
      <c r="M607" s="40">
        <f>IF(B607&gt;=in_marketplace_from,K607*d_hz*G607*in_eligible*in_approved_repeat,0)</f>
        <v/>
      </c>
      <c r="N607" s="40">
        <f>L607+M607</f>
        <v/>
      </c>
      <c r="O607" s="46">
        <f>N607/F607</f>
        <v/>
      </c>
      <c r="P607" s="40">
        <f>F607-J607-K607</f>
        <v/>
      </c>
      <c r="Q607" s="40">
        <f>IF(B607&gt;=in_marketplace_from,(J607+K607)*d_hz*G607,0)</f>
        <v/>
      </c>
      <c r="R607" s="40">
        <f>SUMIFS(N607:N655,B607:B655,"&gt;="&amp;(B607-d_T),B607:B655,"&lt;="&amp;(B607-1))</f>
        <v/>
      </c>
      <c r="S607" s="46" t="n">
        <v>0</v>
      </c>
      <c r="T607" s="40">
        <f>F607*d_u*S607</f>
        <v/>
      </c>
      <c r="U607" s="9">
        <f>L607*in_ticket+M607*d_rep_ticket</f>
        <v/>
      </c>
      <c r="V607" s="9">
        <f>U607+T607*d_topup_amt</f>
        <v/>
      </c>
      <c r="W607" s="40">
        <f>N607+T607*d_topup_ratio</f>
        <v/>
      </c>
      <c r="X607" s="40">
        <f>SUMIFS(W607:W655,B607:B655,B607-in_dpd_lag)*d_cured</f>
        <v/>
      </c>
      <c r="Y607" s="40">
        <f>SUMIFS(W607:W655,B607:B655,B607-in_rec_lag)*d_recd</f>
        <v/>
      </c>
      <c r="Z607" s="40">
        <f>IF(AND(B607&gt;=in_marketplace_from,B607&lt;in_marketplace_from+in_card_months),in_card_share/in_card_months*F607*I607,IF(AND(B607&gt;=in_marketplace_from+in_card_months,B607&lt;in_marketplace_from+2*in_card_months),in_card_share*d_card_rem/in_card_months*F607*MIN(in_takeup_cap,(1+in_takeup_growth)^(D607-1))*MIN(in_takeup_cap,(1+in_approval_growth)^(D607-1)),0))</f>
        <v/>
      </c>
      <c r="AA607" s="14">
        <f>V607*in_fee*(1-in_taken_back)</f>
        <v/>
      </c>
      <c r="AB607" s="14">
        <f>SUMIFS(W607:W655,B607:B655,B607-in_dpd_lag)*d_dpd</f>
        <v/>
      </c>
      <c r="AC607" s="14">
        <f>SUMIFS(W607:W655,B607:B655,B607-in_rec_lag)*d_rec</f>
        <v/>
      </c>
      <c r="AD607" s="14">
        <f>Z607*in_card_fee</f>
        <v/>
      </c>
      <c r="AE607" s="40" t="n">
        <v>1</v>
      </c>
      <c r="AF607" s="46">
        <f>AE607*IF(B607&gt;=in_marketplace_from,d_hz_hlth_small*G607,0)</f>
        <v/>
      </c>
      <c r="AG607" s="14">
        <f>F607*AF607*in_hlth_small_ticket*in_hlth_small_comm*in_ins_partner_share+F607*in_hlth_small_ticket*in_hlth_small_renew_comm*in_ins_partner_share*(in_hlth_small_renew^1*SUMIFS(AF607:AF655,B607:B655,B607-12)+in_hlth_small_renew^2*SUMIFS(AF607:AF655,B607:B655,B607-24)+in_hlth_small_renew^3*SUMIFS(AF607:AF655,B607:B655,B607-36)+in_hlth_small_renew^4*SUMIFS(AF607:AF655,B607:B655,B607-48))</f>
        <v/>
      </c>
      <c r="AH607" s="40" t="n">
        <v>1</v>
      </c>
      <c r="AI607" s="46">
        <f>AH607*IF(B607&gt;=in_marketplace_from,d_hz_hlth_family*G607,0)</f>
        <v/>
      </c>
      <c r="AJ607" s="14">
        <f>F607*AI607*in_hlth_family_ticket*in_hlth_family_comm*in_ins_partner_share+F607*in_hlth_family_ticket*in_hlth_family_renew_comm*in_ins_partner_share*(in_hlth_family_renew^1*SUMIFS(AI607:AI655,B607:B655,B607-12)+in_hlth_family_renew^2*SUMIFS(AI607:AI655,B607:B655,B607-24)+in_hlth_family_renew^3*SUMIFS(AI607:AI655,B607:B655,B607-36)+in_hlth_family_renew^4*SUMIFS(AI607:AI655,B607:B655,B607-48))</f>
        <v/>
      </c>
      <c r="AK607" s="40" t="n">
        <v>1</v>
      </c>
      <c r="AL607" s="46">
        <f>AK607*IF(B607&gt;=in_marketplace_from,d_hz_life_term*G607,0)</f>
        <v/>
      </c>
      <c r="AM607" s="14">
        <f>F607*AL607*in_life_term_ticket*in_life_term_comm*in_ins_partner_share+F607*in_life_term_ticket*in_life_term_renew_comm*in_ins_partner_share*(in_life_term_renew^1*SUMIFS(AL607:AL655,B607:B655,B607-12)+in_life_term_renew^2*SUMIFS(AL607:AL655,B607:B655,B607-24)+in_life_term_renew^3*SUMIFS(AL607:AL655,B607:B655,B607-36)+in_life_term_renew^4*SUMIFS(AL607:AL655,B607:B655,B607-48))</f>
        <v/>
      </c>
      <c r="AN607" s="40" t="n">
        <v>1</v>
      </c>
      <c r="AO607" s="46">
        <f>AN607*IF(B607&gt;=in_marketplace_from,d_hz_accident*G607,0)</f>
        <v/>
      </c>
      <c r="AP607" s="14">
        <f>F607*AO607*in_accident_ticket*in_accident_comm*in_ins_partner_share+F607*in_accident_ticket*in_accident_renew_comm*in_ins_partner_share*(in_accident_renew^1*SUMIFS(AO607:AO655,B607:B655,B607-12)+in_accident_renew^2*SUMIFS(AO607:AO655,B607:B655,B607-24)+in_accident_renew^3*SUMIFS(AO607:AO655,B607:B655,B607-36)+in_accident_renew^4*SUMIFS(AO607:AO655,B607:B655,B607-48))</f>
        <v/>
      </c>
      <c r="AQ607" s="40" t="n">
        <v>1</v>
      </c>
      <c r="AR607" s="46">
        <f>AQ607*IF(B607&gt;=in_marketplace_from,d_hz_two_wheeler*G607,0)</f>
        <v/>
      </c>
      <c r="AS607" s="14">
        <f>F607*AR607*in_two_wheeler_ticket*in_two_wheeler_comm*in_ins_partner_share+F607*in_two_wheeler_ticket*in_two_wheeler_comm*in_ins_partner_share*(in_two_wheeler_renew^1*SUMIFS(AR607:AR655,B607:B655,B607-12)+in_two_wheeler_renew^2*SUMIFS(AR607:AR655,B607:B655,B607-24)+in_two_wheeler_renew^3*SUMIFS(AR607:AR655,B607:B655,B607-36)+in_two_wheeler_renew^4*SUMIFS(AR607:AR655,B607:B655,B607-48))</f>
        <v/>
      </c>
      <c r="AT607" s="40" t="n">
        <v>1</v>
      </c>
      <c r="AU607" s="14">
        <f>F607*AT607*IF(B607&gt;=in_marketplace_from,d_hz_device*G607,0)*in_device_ticket*in_device_comm*in_ins_partner_share</f>
        <v/>
      </c>
      <c r="AV607" s="40" t="n">
        <v>1</v>
      </c>
      <c r="AW607" s="46">
        <f>AV607*IF(B607&gt;=in_marketplace_from,d_hz_shop*G607,0)</f>
        <v/>
      </c>
      <c r="AX607" s="14">
        <f>F607*AW607*in_shop_ticket*in_shop_comm*in_ins_partner_share+F607*in_shop_ticket*in_shop_renew_comm*in_ins_partner_share*(in_shop_renew^1*SUMIFS(AW607:AW655,B607:B655,B607-12)+in_shop_renew^2*SUMIFS(AW607:AW655,B607:B655,B607-24)+in_shop_renew^3*SUMIFS(AW607:AW655,B607:B655,B607-36)+in_shop_renew^4*SUMIFS(AW607:AW655,B607:B655,B607-48))</f>
        <v/>
      </c>
      <c r="AY607" s="40" t="n">
        <v>1</v>
      </c>
      <c r="AZ607" s="40">
        <f>AY607*IF(B607&gt;=in_marketplace_from,d_hz_sip*G607,0)</f>
        <v/>
      </c>
      <c r="BA607" s="40" t="n">
        <v>0</v>
      </c>
      <c r="BB607" s="14">
        <f>F607*in_sip_ticket*(BA607+0.5*AZ607)*in_sip_comm/12</f>
        <v/>
      </c>
      <c r="BC607" s="40" t="n">
        <v>1</v>
      </c>
      <c r="BD607" s="46">
        <f>BC607*IF(B607&gt;=in_marketplace_from,d_hz_choti*G607,0)</f>
        <v/>
      </c>
      <c r="BE607" s="14">
        <f>F607*SUMIFS(BD607:BD655,B607:B655,B607-in_choti_months)*in_choti_renew*in_choti_ticket</f>
        <v/>
      </c>
      <c r="BF607" s="40" t="n">
        <v>1</v>
      </c>
      <c r="BG607" s="14">
        <f>F607*BF607*IF(B607&gt;=in_marketplace_from,d_hz_nps*G607,0)*in_nps_ticket*in_nps_comm</f>
        <v/>
      </c>
      <c r="BH607" s="40" t="n">
        <v>1</v>
      </c>
      <c r="BI607" s="40">
        <f>BH607*IF(B607&gt;=in_marketplace_from,d_hz_gold*G607,0)</f>
        <v/>
      </c>
      <c r="BJ607" s="14">
        <f>F607*BI607*in_gold_ticket*in_gold_comm</f>
        <v/>
      </c>
      <c r="BK607" s="40" t="n">
        <v>1</v>
      </c>
      <c r="BL607" s="14">
        <f>F607*BK607*IF(B607&gt;=in_marketplace_from,d_hz_fd*G607,0)*in_fd_ticket*in_fd_comm</f>
        <v/>
      </c>
      <c r="BM607" s="40" t="n">
        <v>1</v>
      </c>
      <c r="BN607" s="40">
        <f>BM607*IF(B607&gt;=in_marketplace_from,d_hz_recharge*G607,0)</f>
        <v/>
      </c>
      <c r="BO607" s="14">
        <f>F607*BN607*in_recharge_ticket*in_recharge_comm/12</f>
        <v/>
      </c>
      <c r="BP607" s="40" t="n">
        <v>1</v>
      </c>
      <c r="BQ607" s="40">
        <f>BP607*IF(B607&gt;=in_marketplace_from,d_hz_bills*G607,0)</f>
        <v/>
      </c>
      <c r="BR607" s="14">
        <f>F607*BQ607*in_bills_ticket*in_bills_comm/12</f>
        <v/>
      </c>
      <c r="BS607" s="40" t="n">
        <v>1</v>
      </c>
      <c r="BT607" s="14">
        <f>F607*BS607*IF(B607&gt;=in_marketplace_from,d_hz_loan_gold*G607,0)*in_loan_gold_ticket*in_loan_gold_comm</f>
        <v/>
      </c>
      <c r="BU607" s="40" t="n">
        <v>1</v>
      </c>
      <c r="BV607" s="14">
        <f>F607*BU607*IF(B607&gt;=in_marketplace_from,d_hz_loan_cd*G607,0)*in_loan_cd_ticket*in_loan_cd_comm</f>
        <v/>
      </c>
      <c r="BW607" s="40" t="n">
        <v>1</v>
      </c>
      <c r="BX607" s="14">
        <f>F607*BW607*IF(B607&gt;=in_marketplace_from,d_hz_loan_vehicle*G607,0)*in_loan_vehicle_ticket*in_loan_vehicle_comm</f>
        <v/>
      </c>
      <c r="BY607" s="40" t="n">
        <v>1</v>
      </c>
      <c r="BZ607" s="11">
        <f>MIN(in_approval_cap,in_loan_home_approval*INDEX('Age profile'!$O$2:$O$61,B607)*(1+in_approval_growth)^(D607-1))</f>
        <v/>
      </c>
      <c r="CA607" s="14">
        <f>F607*BY607*IF(B607&gt;=in_marketplace_from,d_hz_loan_home*G607,0)*BZ607*in_loan_home_ticket*in_loan_home_comm</f>
        <v/>
      </c>
      <c r="CB607" s="40" t="n">
        <v>1</v>
      </c>
      <c r="CC607" s="11">
        <f>MIN(in_approval_cap,in_loan_lap_approval*INDEX('Age profile'!$O$2:$O$61,B607)*(1+in_approval_growth)^(D607-1))</f>
        <v/>
      </c>
      <c r="CD607" s="14">
        <f>F607*CB607*IF(B607&gt;=in_marketplace_from,d_hz_loan_lap*G607,0)*CC607*in_loan_lap_ticket*in_loan_lap_comm</f>
        <v/>
      </c>
      <c r="CE607" s="14">
        <f>AA607+AB607+AC607+AD607+AG607+AJ607+AM607+AP607+AS607+AU607+AX607+BB607+BE607+BG607+BJ607+BL607+BO607+BR607+BT607+BV607+BX607+CA607+CD607</f>
        <v/>
      </c>
    </row>
    <row r="608">
      <c r="A608" s="39" t="n">
        <v>12</v>
      </c>
      <c r="B608" s="39" t="n">
        <v>2</v>
      </c>
      <c r="C608" s="39">
        <f>A608+B608-1</f>
        <v/>
      </c>
      <c r="D608" s="39">
        <f>INT((C608-1)/12)+1</f>
        <v/>
      </c>
      <c r="E608" s="44">
        <f>INDEX(Monthly!$B$2:$B$61,A608)</f>
        <v/>
      </c>
      <c r="F608" s="44">
        <f>E608*INDEX('Age profile'!$B$2:$B$61,B608)</f>
        <v/>
      </c>
      <c r="G608" s="45">
        <f>MIN(in_takeup_cap,INDEX('Age profile'!$N$2:$N$61,B608)*(1+in_takeup_growth)^(D608-1))</f>
        <v/>
      </c>
      <c r="H608" s="11">
        <f>MIN(in_approval_cap,in_approved_first*INDEX('Age profile'!$O$2:$O$61,B608)*(1+in_approval_growth)^(D608-1))</f>
        <v/>
      </c>
      <c r="I608" s="45">
        <f>G608*MIN(in_takeup_cap,INDEX('Age profile'!$O$2:$O$61,B608)*(1+in_approval_growth)^(D608-1))</f>
        <v/>
      </c>
      <c r="J608" s="40">
        <f>(J607-L607)*F608/F607</f>
        <v/>
      </c>
      <c r="K608" s="40">
        <f>(K607-M607)*F608/F607+SUMIFS(O607:O607,B607:B607,B608-1-d_T)*F608</f>
        <v/>
      </c>
      <c r="L608" s="40">
        <f>IF(B608&gt;=in_marketplace_from,J608*d_hz*G608*in_eligible*H608,0)</f>
        <v/>
      </c>
      <c r="M608" s="40">
        <f>IF(B608&gt;=in_marketplace_from,K608*d_hz*G608*in_eligible*in_approved_repeat,0)</f>
        <v/>
      </c>
      <c r="N608" s="40">
        <f>L608+M608</f>
        <v/>
      </c>
      <c r="O608" s="46">
        <f>N608/F608</f>
        <v/>
      </c>
      <c r="P608" s="40">
        <f>F608-J608-K608</f>
        <v/>
      </c>
      <c r="Q608" s="40">
        <f>IF(B608&gt;=in_marketplace_from,(J608+K608)*d_hz*G608,0)</f>
        <v/>
      </c>
      <c r="R608" s="40">
        <f>SUMIFS(N607:N655,B607:B655,"&gt;="&amp;(B608-d_T),B607:B655,"&lt;="&amp;(B608-1))</f>
        <v/>
      </c>
      <c r="S608" s="46">
        <f>(1-d_u)*S607+IF(d_T&gt;in_topup_lag,SUMIFS(O607:O655,B607:B655,B608-in_topup_lag)-d_udrop*SUMIFS(O607:O655,B607:B655,B608-d_T),0)</f>
        <v/>
      </c>
      <c r="T608" s="40">
        <f>F608*d_u*S608</f>
        <v/>
      </c>
      <c r="U608" s="9">
        <f>L608*in_ticket+M608*d_rep_ticket</f>
        <v/>
      </c>
      <c r="V608" s="9">
        <f>U608+T608*d_topup_amt</f>
        <v/>
      </c>
      <c r="W608" s="40">
        <f>N608+T608*d_topup_ratio</f>
        <v/>
      </c>
      <c r="X608" s="40">
        <f>SUMIFS(W607:W655,B607:B655,B608-in_dpd_lag)*d_cured</f>
        <v/>
      </c>
      <c r="Y608" s="40">
        <f>SUMIFS(W607:W655,B607:B655,B608-in_rec_lag)*d_recd</f>
        <v/>
      </c>
      <c r="Z608" s="40">
        <f>IF(AND(B608&gt;=in_marketplace_from,B608&lt;in_marketplace_from+in_card_months),in_card_share/in_card_months*F608*I608,IF(AND(B608&gt;=in_marketplace_from+in_card_months,B608&lt;in_marketplace_from+2*in_card_months),in_card_share*d_card_rem/in_card_months*F608*MIN(in_takeup_cap,(1+in_takeup_growth)^(D608-1))*MIN(in_takeup_cap,(1+in_approval_growth)^(D608-1)),0))</f>
        <v/>
      </c>
      <c r="AA608" s="14">
        <f>V608*in_fee*(1-in_taken_back)</f>
        <v/>
      </c>
      <c r="AB608" s="14">
        <f>SUMIFS(W607:W655,B607:B655,B608-in_dpd_lag)*d_dpd</f>
        <v/>
      </c>
      <c r="AC608" s="14">
        <f>SUMIFS(W607:W655,B607:B655,B608-in_rec_lag)*d_rec</f>
        <v/>
      </c>
      <c r="AD608" s="14">
        <f>Z608*in_card_fee</f>
        <v/>
      </c>
      <c r="AE608" s="40">
        <f>AE607*(1-IF(B607&gt;=in_marketplace_from,d_hz_hlth_small*G607,0))</f>
        <v/>
      </c>
      <c r="AF608" s="46">
        <f>AE608*IF(B608&gt;=in_marketplace_from,d_hz_hlth_small*G608,0)</f>
        <v/>
      </c>
      <c r="AG608" s="14">
        <f>F608*AF608*in_hlth_small_ticket*in_hlth_small_comm*in_ins_partner_share+F608*in_hlth_small_ticket*in_hlth_small_renew_comm*in_ins_partner_share*(in_hlth_small_renew^1*SUMIFS(AF607:AF655,B607:B655,B608-12)+in_hlth_small_renew^2*SUMIFS(AF607:AF655,B607:B655,B608-24)+in_hlth_small_renew^3*SUMIFS(AF607:AF655,B607:B655,B608-36)+in_hlth_small_renew^4*SUMIFS(AF607:AF655,B607:B655,B608-48))</f>
        <v/>
      </c>
      <c r="AH608" s="40">
        <f>AH607*(1-IF(B607&gt;=in_marketplace_from,d_hz_hlth_family*G607,0))</f>
        <v/>
      </c>
      <c r="AI608" s="46">
        <f>AH608*IF(B608&gt;=in_marketplace_from,d_hz_hlth_family*G608,0)</f>
        <v/>
      </c>
      <c r="AJ608" s="14">
        <f>F608*AI608*in_hlth_family_ticket*in_hlth_family_comm*in_ins_partner_share+F608*in_hlth_family_ticket*in_hlth_family_renew_comm*in_ins_partner_share*(in_hlth_family_renew^1*SUMIFS(AI607:AI655,B607:B655,B608-12)+in_hlth_family_renew^2*SUMIFS(AI607:AI655,B607:B655,B608-24)+in_hlth_family_renew^3*SUMIFS(AI607:AI655,B607:B655,B608-36)+in_hlth_family_renew^4*SUMIFS(AI607:AI655,B607:B655,B608-48))</f>
        <v/>
      </c>
      <c r="AK608" s="40">
        <f>AK607*(1-IF(B607&gt;=in_marketplace_from,d_hz_life_term*G607,0))</f>
        <v/>
      </c>
      <c r="AL608" s="46">
        <f>AK608*IF(B608&gt;=in_marketplace_from,d_hz_life_term*G608,0)</f>
        <v/>
      </c>
      <c r="AM608" s="14">
        <f>F608*AL608*in_life_term_ticket*in_life_term_comm*in_ins_partner_share+F608*in_life_term_ticket*in_life_term_renew_comm*in_ins_partner_share*(in_life_term_renew^1*SUMIFS(AL607:AL655,B607:B655,B608-12)+in_life_term_renew^2*SUMIFS(AL607:AL655,B607:B655,B608-24)+in_life_term_renew^3*SUMIFS(AL607:AL655,B607:B655,B608-36)+in_life_term_renew^4*SUMIFS(AL607:AL655,B607:B655,B608-48))</f>
        <v/>
      </c>
      <c r="AN608" s="40">
        <f>AN607*(1-IF(B607&gt;=in_marketplace_from,d_hz_accident*G607,0))</f>
        <v/>
      </c>
      <c r="AO608" s="46">
        <f>AN608*IF(B608&gt;=in_marketplace_from,d_hz_accident*G608,0)</f>
        <v/>
      </c>
      <c r="AP608" s="14">
        <f>F608*AO608*in_accident_ticket*in_accident_comm*in_ins_partner_share+F608*in_accident_ticket*in_accident_renew_comm*in_ins_partner_share*(in_accident_renew^1*SUMIFS(AO607:AO655,B607:B655,B608-12)+in_accident_renew^2*SUMIFS(AO607:AO655,B607:B655,B608-24)+in_accident_renew^3*SUMIFS(AO607:AO655,B607:B655,B608-36)+in_accident_renew^4*SUMIFS(AO607:AO655,B607:B655,B608-48))</f>
        <v/>
      </c>
      <c r="AQ608" s="40">
        <f>AQ607*(1-IF(B607&gt;=in_marketplace_from,d_hz_two_wheeler*G607,0))</f>
        <v/>
      </c>
      <c r="AR608" s="46">
        <f>AQ608*IF(B608&gt;=in_marketplace_from,d_hz_two_wheeler*G608,0)</f>
        <v/>
      </c>
      <c r="AS608" s="14">
        <f>F608*AR608*in_two_wheeler_ticket*in_two_wheeler_comm*in_ins_partner_share+F608*in_two_wheeler_ticket*in_two_wheeler_comm*in_ins_partner_share*(in_two_wheeler_renew^1*SUMIFS(AR607:AR655,B607:B655,B608-12)+in_two_wheeler_renew^2*SUMIFS(AR607:AR655,B607:B655,B608-24)+in_two_wheeler_renew^3*SUMIFS(AR607:AR655,B607:B655,B608-36)+in_two_wheeler_renew^4*SUMIFS(AR607:AR655,B607:B655,B608-48))</f>
        <v/>
      </c>
      <c r="AT608" s="40">
        <f>AT607*(1-IF(B607&gt;=in_marketplace_from,d_hz_device*G607,0))</f>
        <v/>
      </c>
      <c r="AU608" s="14">
        <f>F608*AT608*IF(B608&gt;=in_marketplace_from,d_hz_device*G608,0)*in_device_ticket*in_device_comm*in_ins_partner_share</f>
        <v/>
      </c>
      <c r="AV608" s="40">
        <f>AV607*(1-IF(B607&gt;=in_marketplace_from,d_hz_shop*G607,0))</f>
        <v/>
      </c>
      <c r="AW608" s="46">
        <f>AV608*IF(B608&gt;=in_marketplace_from,d_hz_shop*G608,0)</f>
        <v/>
      </c>
      <c r="AX608" s="14">
        <f>F608*AW608*in_shop_ticket*in_shop_comm*in_ins_partner_share+F608*in_shop_ticket*in_shop_renew_comm*in_ins_partner_share*(in_shop_renew^1*SUMIFS(AW607:AW655,B607:B655,B608-12)+in_shop_renew^2*SUMIFS(AW607:AW655,B607:B655,B608-24)+in_shop_renew^3*SUMIFS(AW607:AW655,B607:B655,B608-36)+in_shop_renew^4*SUMIFS(AW607:AW655,B607:B655,B608-48))</f>
        <v/>
      </c>
      <c r="AY608" s="40">
        <f>AY607*(1-IF(B607&gt;=in_marketplace_from,d_hz_sip*G607,0))</f>
        <v/>
      </c>
      <c r="AZ608" s="40">
        <f>AZ607*d_rho_sip+AY608*IF(B608&gt;=in_marketplace_from,d_hz_sip*G608,0)</f>
        <v/>
      </c>
      <c r="BA608" s="40">
        <f>d_rho_sip*(BA607+AZ607)</f>
        <v/>
      </c>
      <c r="BB608" s="14">
        <f>F608*in_sip_ticket*(BA608+0.5*AZ608)*in_sip_comm/12</f>
        <v/>
      </c>
      <c r="BC608" s="40">
        <f>BC607*(1-IF(B607&gt;=in_marketplace_from,d_hz_choti*G607,0))</f>
        <v/>
      </c>
      <c r="BD608" s="46">
        <f>BC608*IF(B608&gt;=in_marketplace_from,d_hz_choti*G608,0)</f>
        <v/>
      </c>
      <c r="BE608" s="14">
        <f>F608*SUMIFS(BD607:BD655,B607:B655,B608-in_choti_months)*in_choti_renew*in_choti_ticket</f>
        <v/>
      </c>
      <c r="BF608" s="40">
        <f>BF607*(1-IF(B607&gt;=in_marketplace_from,d_hz_nps*G607,0))</f>
        <v/>
      </c>
      <c r="BG608" s="14">
        <f>F608*BF608*IF(B608&gt;=in_marketplace_from,d_hz_nps*G608,0)*in_nps_ticket*in_nps_comm</f>
        <v/>
      </c>
      <c r="BH608" s="40">
        <f>BH607*(1-IF(B607&gt;=in_marketplace_from,d_hz_gold*G607,0))</f>
        <v/>
      </c>
      <c r="BI608" s="40">
        <f>BI607*d_rho_gold+BH608*IF(B608&gt;=in_marketplace_from,d_hz_gold*G608,0)</f>
        <v/>
      </c>
      <c r="BJ608" s="14">
        <f>F608*BI608*in_gold_ticket*in_gold_comm</f>
        <v/>
      </c>
      <c r="BK608" s="40">
        <f>BK607*(1-IF(B607&gt;=in_marketplace_from,d_hz_fd*G607,0))</f>
        <v/>
      </c>
      <c r="BL608" s="14">
        <f>F608*BK608*IF(B608&gt;=in_marketplace_from,d_hz_fd*G608,0)*in_fd_ticket*in_fd_comm</f>
        <v/>
      </c>
      <c r="BM608" s="40">
        <f>BM607*(1-IF(B607&gt;=in_marketplace_from,d_hz_recharge*G607,0))</f>
        <v/>
      </c>
      <c r="BN608" s="40">
        <f>BN607*d_rho_recharge+BM608*IF(B608&gt;=in_marketplace_from,d_hz_recharge*G608,0)</f>
        <v/>
      </c>
      <c r="BO608" s="14">
        <f>F608*BN608*in_recharge_ticket*in_recharge_comm/12</f>
        <v/>
      </c>
      <c r="BP608" s="40">
        <f>BP607*(1-IF(B607&gt;=in_marketplace_from,d_hz_bills*G607,0))</f>
        <v/>
      </c>
      <c r="BQ608" s="40">
        <f>BQ607*d_rho_bills+BP608*IF(B608&gt;=in_marketplace_from,d_hz_bills*G608,0)</f>
        <v/>
      </c>
      <c r="BR608" s="14">
        <f>F608*BQ608*in_bills_ticket*in_bills_comm/12</f>
        <v/>
      </c>
      <c r="BS608" s="40">
        <f>BS607*(1-IF(B607&gt;=in_marketplace_from,d_hz_loan_gold*G607,0))</f>
        <v/>
      </c>
      <c r="BT608" s="14">
        <f>F608*BS608*IF(B608&gt;=in_marketplace_from,d_hz_loan_gold*G608,0)*in_loan_gold_ticket*in_loan_gold_comm</f>
        <v/>
      </c>
      <c r="BU608" s="40">
        <f>BU607*(1-IF(B607&gt;=in_marketplace_from,d_hz_loan_cd*G607,0))</f>
        <v/>
      </c>
      <c r="BV608" s="14">
        <f>F608*BU608*IF(B608&gt;=in_marketplace_from,d_hz_loan_cd*G608,0)*in_loan_cd_ticket*in_loan_cd_comm</f>
        <v/>
      </c>
      <c r="BW608" s="40">
        <f>BW607*(1-IF(B607&gt;=in_marketplace_from,d_hz_loan_vehicle*G607,0))</f>
        <v/>
      </c>
      <c r="BX608" s="14">
        <f>F608*BW608*IF(B608&gt;=in_marketplace_from,d_hz_loan_vehicle*G608,0)*in_loan_vehicle_ticket*in_loan_vehicle_comm</f>
        <v/>
      </c>
      <c r="BY608" s="40">
        <f>BY607*(1-IF(B607&gt;=in_marketplace_from,d_hz_loan_home*G607,0)*BZ607)</f>
        <v/>
      </c>
      <c r="BZ608" s="11">
        <f>MIN(in_approval_cap,in_loan_home_approval*INDEX('Age profile'!$O$2:$O$61,B608)*(1+in_approval_growth)^(D608-1))</f>
        <v/>
      </c>
      <c r="CA608" s="14">
        <f>F608*BY608*IF(B608&gt;=in_marketplace_from,d_hz_loan_home*G608,0)*BZ608*in_loan_home_ticket*in_loan_home_comm</f>
        <v/>
      </c>
      <c r="CB608" s="40">
        <f>CB607*(1-IF(B607&gt;=in_marketplace_from,d_hz_loan_lap*G607,0)*CC607)</f>
        <v/>
      </c>
      <c r="CC608" s="11">
        <f>MIN(in_approval_cap,in_loan_lap_approval*INDEX('Age profile'!$O$2:$O$61,B608)*(1+in_approval_growth)^(D608-1))</f>
        <v/>
      </c>
      <c r="CD608" s="14">
        <f>F608*CB608*IF(B608&gt;=in_marketplace_from,d_hz_loan_lap*G608,0)*CC608*in_loan_lap_ticket*in_loan_lap_comm</f>
        <v/>
      </c>
      <c r="CE608" s="14">
        <f>AA608+AB608+AC608+AD608+AG608+AJ608+AM608+AP608+AS608+AU608+AX608+BB608+BE608+BG608+BJ608+BL608+BO608+BR608+BT608+BV608+BX608+CA608+CD608</f>
        <v/>
      </c>
    </row>
    <row r="609">
      <c r="A609" s="39" t="n">
        <v>12</v>
      </c>
      <c r="B609" s="39" t="n">
        <v>3</v>
      </c>
      <c r="C609" s="39">
        <f>A609+B609-1</f>
        <v/>
      </c>
      <c r="D609" s="39">
        <f>INT((C609-1)/12)+1</f>
        <v/>
      </c>
      <c r="E609" s="44">
        <f>INDEX(Monthly!$B$2:$B$61,A609)</f>
        <v/>
      </c>
      <c r="F609" s="44">
        <f>E609*INDEX('Age profile'!$B$2:$B$61,B609)</f>
        <v/>
      </c>
      <c r="G609" s="45">
        <f>MIN(in_takeup_cap,INDEX('Age profile'!$N$2:$N$61,B609)*(1+in_takeup_growth)^(D609-1))</f>
        <v/>
      </c>
      <c r="H609" s="11">
        <f>MIN(in_approval_cap,in_approved_first*INDEX('Age profile'!$O$2:$O$61,B609)*(1+in_approval_growth)^(D609-1))</f>
        <v/>
      </c>
      <c r="I609" s="45">
        <f>G609*MIN(in_takeup_cap,INDEX('Age profile'!$O$2:$O$61,B609)*(1+in_approval_growth)^(D609-1))</f>
        <v/>
      </c>
      <c r="J609" s="40">
        <f>(J608-L608)*F609/F608</f>
        <v/>
      </c>
      <c r="K609" s="40">
        <f>(K608-M608)*F609/F608+SUMIFS(O607:O608,B607:B608,B609-1-d_T)*F609</f>
        <v/>
      </c>
      <c r="L609" s="40">
        <f>IF(B609&gt;=in_marketplace_from,J609*d_hz*G609*in_eligible*H609,0)</f>
        <v/>
      </c>
      <c r="M609" s="40">
        <f>IF(B609&gt;=in_marketplace_from,K609*d_hz*G609*in_eligible*in_approved_repeat,0)</f>
        <v/>
      </c>
      <c r="N609" s="40">
        <f>L609+M609</f>
        <v/>
      </c>
      <c r="O609" s="46">
        <f>N609/F609</f>
        <v/>
      </c>
      <c r="P609" s="40">
        <f>F609-J609-K609</f>
        <v/>
      </c>
      <c r="Q609" s="40">
        <f>IF(B609&gt;=in_marketplace_from,(J609+K609)*d_hz*G609,0)</f>
        <v/>
      </c>
      <c r="R609" s="40">
        <f>SUMIFS(N607:N655,B607:B655,"&gt;="&amp;(B609-d_T),B607:B655,"&lt;="&amp;(B609-1))</f>
        <v/>
      </c>
      <c r="S609" s="46">
        <f>(1-d_u)*S608+IF(d_T&gt;in_topup_lag,SUMIFS(O607:O655,B607:B655,B609-in_topup_lag)-d_udrop*SUMIFS(O607:O655,B607:B655,B609-d_T),0)</f>
        <v/>
      </c>
      <c r="T609" s="40">
        <f>F609*d_u*S609</f>
        <v/>
      </c>
      <c r="U609" s="9">
        <f>L609*in_ticket+M609*d_rep_ticket</f>
        <v/>
      </c>
      <c r="V609" s="9">
        <f>U609+T609*d_topup_amt</f>
        <v/>
      </c>
      <c r="W609" s="40">
        <f>N609+T609*d_topup_ratio</f>
        <v/>
      </c>
      <c r="X609" s="40">
        <f>SUMIFS(W607:W655,B607:B655,B609-in_dpd_lag)*d_cured</f>
        <v/>
      </c>
      <c r="Y609" s="40">
        <f>SUMIFS(W607:W655,B607:B655,B609-in_rec_lag)*d_recd</f>
        <v/>
      </c>
      <c r="Z609" s="40">
        <f>IF(AND(B609&gt;=in_marketplace_from,B609&lt;in_marketplace_from+in_card_months),in_card_share/in_card_months*F609*I609,IF(AND(B609&gt;=in_marketplace_from+in_card_months,B609&lt;in_marketplace_from+2*in_card_months),in_card_share*d_card_rem/in_card_months*F609*MIN(in_takeup_cap,(1+in_takeup_growth)^(D609-1))*MIN(in_takeup_cap,(1+in_approval_growth)^(D609-1)),0))</f>
        <v/>
      </c>
      <c r="AA609" s="14">
        <f>V609*in_fee*(1-in_taken_back)</f>
        <v/>
      </c>
      <c r="AB609" s="14">
        <f>SUMIFS(W607:W655,B607:B655,B609-in_dpd_lag)*d_dpd</f>
        <v/>
      </c>
      <c r="AC609" s="14">
        <f>SUMIFS(W607:W655,B607:B655,B609-in_rec_lag)*d_rec</f>
        <v/>
      </c>
      <c r="AD609" s="14">
        <f>Z609*in_card_fee</f>
        <v/>
      </c>
      <c r="AE609" s="40">
        <f>AE608*(1-IF(B608&gt;=in_marketplace_from,d_hz_hlth_small*G608,0))</f>
        <v/>
      </c>
      <c r="AF609" s="46">
        <f>AE609*IF(B609&gt;=in_marketplace_from,d_hz_hlth_small*G609,0)</f>
        <v/>
      </c>
      <c r="AG609" s="14">
        <f>F609*AF609*in_hlth_small_ticket*in_hlth_small_comm*in_ins_partner_share+F609*in_hlth_small_ticket*in_hlth_small_renew_comm*in_ins_partner_share*(in_hlth_small_renew^1*SUMIFS(AF607:AF655,B607:B655,B609-12)+in_hlth_small_renew^2*SUMIFS(AF607:AF655,B607:B655,B609-24)+in_hlth_small_renew^3*SUMIFS(AF607:AF655,B607:B655,B609-36)+in_hlth_small_renew^4*SUMIFS(AF607:AF655,B607:B655,B609-48))</f>
        <v/>
      </c>
      <c r="AH609" s="40">
        <f>AH608*(1-IF(B608&gt;=in_marketplace_from,d_hz_hlth_family*G608,0))</f>
        <v/>
      </c>
      <c r="AI609" s="46">
        <f>AH609*IF(B609&gt;=in_marketplace_from,d_hz_hlth_family*G609,0)</f>
        <v/>
      </c>
      <c r="AJ609" s="14">
        <f>F609*AI609*in_hlth_family_ticket*in_hlth_family_comm*in_ins_partner_share+F609*in_hlth_family_ticket*in_hlth_family_renew_comm*in_ins_partner_share*(in_hlth_family_renew^1*SUMIFS(AI607:AI655,B607:B655,B609-12)+in_hlth_family_renew^2*SUMIFS(AI607:AI655,B607:B655,B609-24)+in_hlth_family_renew^3*SUMIFS(AI607:AI655,B607:B655,B609-36)+in_hlth_family_renew^4*SUMIFS(AI607:AI655,B607:B655,B609-48))</f>
        <v/>
      </c>
      <c r="AK609" s="40">
        <f>AK608*(1-IF(B608&gt;=in_marketplace_from,d_hz_life_term*G608,0))</f>
        <v/>
      </c>
      <c r="AL609" s="46">
        <f>AK609*IF(B609&gt;=in_marketplace_from,d_hz_life_term*G609,0)</f>
        <v/>
      </c>
      <c r="AM609" s="14">
        <f>F609*AL609*in_life_term_ticket*in_life_term_comm*in_ins_partner_share+F609*in_life_term_ticket*in_life_term_renew_comm*in_ins_partner_share*(in_life_term_renew^1*SUMIFS(AL607:AL655,B607:B655,B609-12)+in_life_term_renew^2*SUMIFS(AL607:AL655,B607:B655,B609-24)+in_life_term_renew^3*SUMIFS(AL607:AL655,B607:B655,B609-36)+in_life_term_renew^4*SUMIFS(AL607:AL655,B607:B655,B609-48))</f>
        <v/>
      </c>
      <c r="AN609" s="40">
        <f>AN608*(1-IF(B608&gt;=in_marketplace_from,d_hz_accident*G608,0))</f>
        <v/>
      </c>
      <c r="AO609" s="46">
        <f>AN609*IF(B609&gt;=in_marketplace_from,d_hz_accident*G609,0)</f>
        <v/>
      </c>
      <c r="AP609" s="14">
        <f>F609*AO609*in_accident_ticket*in_accident_comm*in_ins_partner_share+F609*in_accident_ticket*in_accident_renew_comm*in_ins_partner_share*(in_accident_renew^1*SUMIFS(AO607:AO655,B607:B655,B609-12)+in_accident_renew^2*SUMIFS(AO607:AO655,B607:B655,B609-24)+in_accident_renew^3*SUMIFS(AO607:AO655,B607:B655,B609-36)+in_accident_renew^4*SUMIFS(AO607:AO655,B607:B655,B609-48))</f>
        <v/>
      </c>
      <c r="AQ609" s="40">
        <f>AQ608*(1-IF(B608&gt;=in_marketplace_from,d_hz_two_wheeler*G608,0))</f>
        <v/>
      </c>
      <c r="AR609" s="46">
        <f>AQ609*IF(B609&gt;=in_marketplace_from,d_hz_two_wheeler*G609,0)</f>
        <v/>
      </c>
      <c r="AS609" s="14">
        <f>F609*AR609*in_two_wheeler_ticket*in_two_wheeler_comm*in_ins_partner_share+F609*in_two_wheeler_ticket*in_two_wheeler_comm*in_ins_partner_share*(in_two_wheeler_renew^1*SUMIFS(AR607:AR655,B607:B655,B609-12)+in_two_wheeler_renew^2*SUMIFS(AR607:AR655,B607:B655,B609-24)+in_two_wheeler_renew^3*SUMIFS(AR607:AR655,B607:B655,B609-36)+in_two_wheeler_renew^4*SUMIFS(AR607:AR655,B607:B655,B609-48))</f>
        <v/>
      </c>
      <c r="AT609" s="40">
        <f>AT608*(1-IF(B608&gt;=in_marketplace_from,d_hz_device*G608,0))</f>
        <v/>
      </c>
      <c r="AU609" s="14">
        <f>F609*AT609*IF(B609&gt;=in_marketplace_from,d_hz_device*G609,0)*in_device_ticket*in_device_comm*in_ins_partner_share</f>
        <v/>
      </c>
      <c r="AV609" s="40">
        <f>AV608*(1-IF(B608&gt;=in_marketplace_from,d_hz_shop*G608,0))</f>
        <v/>
      </c>
      <c r="AW609" s="46">
        <f>AV609*IF(B609&gt;=in_marketplace_from,d_hz_shop*G609,0)</f>
        <v/>
      </c>
      <c r="AX609" s="14">
        <f>F609*AW609*in_shop_ticket*in_shop_comm*in_ins_partner_share+F609*in_shop_ticket*in_shop_renew_comm*in_ins_partner_share*(in_shop_renew^1*SUMIFS(AW607:AW655,B607:B655,B609-12)+in_shop_renew^2*SUMIFS(AW607:AW655,B607:B655,B609-24)+in_shop_renew^3*SUMIFS(AW607:AW655,B607:B655,B609-36)+in_shop_renew^4*SUMIFS(AW607:AW655,B607:B655,B609-48))</f>
        <v/>
      </c>
      <c r="AY609" s="40">
        <f>AY608*(1-IF(B608&gt;=in_marketplace_from,d_hz_sip*G608,0))</f>
        <v/>
      </c>
      <c r="AZ609" s="40">
        <f>AZ608*d_rho_sip+AY609*IF(B609&gt;=in_marketplace_from,d_hz_sip*G609,0)</f>
        <v/>
      </c>
      <c r="BA609" s="40">
        <f>d_rho_sip*(BA608+AZ608)</f>
        <v/>
      </c>
      <c r="BB609" s="14">
        <f>F609*in_sip_ticket*(BA609+0.5*AZ609)*in_sip_comm/12</f>
        <v/>
      </c>
      <c r="BC609" s="40">
        <f>BC608*(1-IF(B608&gt;=in_marketplace_from,d_hz_choti*G608,0))</f>
        <v/>
      </c>
      <c r="BD609" s="46">
        <f>BC609*IF(B609&gt;=in_marketplace_from,d_hz_choti*G609,0)</f>
        <v/>
      </c>
      <c r="BE609" s="14">
        <f>F609*SUMIFS(BD607:BD655,B607:B655,B609-in_choti_months)*in_choti_renew*in_choti_ticket</f>
        <v/>
      </c>
      <c r="BF609" s="40">
        <f>BF608*(1-IF(B608&gt;=in_marketplace_from,d_hz_nps*G608,0))</f>
        <v/>
      </c>
      <c r="BG609" s="14">
        <f>F609*BF609*IF(B609&gt;=in_marketplace_from,d_hz_nps*G609,0)*in_nps_ticket*in_nps_comm</f>
        <v/>
      </c>
      <c r="BH609" s="40">
        <f>BH608*(1-IF(B608&gt;=in_marketplace_from,d_hz_gold*G608,0))</f>
        <v/>
      </c>
      <c r="BI609" s="40">
        <f>BI608*d_rho_gold+BH609*IF(B609&gt;=in_marketplace_from,d_hz_gold*G609,0)</f>
        <v/>
      </c>
      <c r="BJ609" s="14">
        <f>F609*BI609*in_gold_ticket*in_gold_comm</f>
        <v/>
      </c>
      <c r="BK609" s="40">
        <f>BK608*(1-IF(B608&gt;=in_marketplace_from,d_hz_fd*G608,0))</f>
        <v/>
      </c>
      <c r="BL609" s="14">
        <f>F609*BK609*IF(B609&gt;=in_marketplace_from,d_hz_fd*G609,0)*in_fd_ticket*in_fd_comm</f>
        <v/>
      </c>
      <c r="BM609" s="40">
        <f>BM608*(1-IF(B608&gt;=in_marketplace_from,d_hz_recharge*G608,0))</f>
        <v/>
      </c>
      <c r="BN609" s="40">
        <f>BN608*d_rho_recharge+BM609*IF(B609&gt;=in_marketplace_from,d_hz_recharge*G609,0)</f>
        <v/>
      </c>
      <c r="BO609" s="14">
        <f>F609*BN609*in_recharge_ticket*in_recharge_comm/12</f>
        <v/>
      </c>
      <c r="BP609" s="40">
        <f>BP608*(1-IF(B608&gt;=in_marketplace_from,d_hz_bills*G608,0))</f>
        <v/>
      </c>
      <c r="BQ609" s="40">
        <f>BQ608*d_rho_bills+BP609*IF(B609&gt;=in_marketplace_from,d_hz_bills*G609,0)</f>
        <v/>
      </c>
      <c r="BR609" s="14">
        <f>F609*BQ609*in_bills_ticket*in_bills_comm/12</f>
        <v/>
      </c>
      <c r="BS609" s="40">
        <f>BS608*(1-IF(B608&gt;=in_marketplace_from,d_hz_loan_gold*G608,0))</f>
        <v/>
      </c>
      <c r="BT609" s="14">
        <f>F609*BS609*IF(B609&gt;=in_marketplace_from,d_hz_loan_gold*G609,0)*in_loan_gold_ticket*in_loan_gold_comm</f>
        <v/>
      </c>
      <c r="BU609" s="40">
        <f>BU608*(1-IF(B608&gt;=in_marketplace_from,d_hz_loan_cd*G608,0))</f>
        <v/>
      </c>
      <c r="BV609" s="14">
        <f>F609*BU609*IF(B609&gt;=in_marketplace_from,d_hz_loan_cd*G609,0)*in_loan_cd_ticket*in_loan_cd_comm</f>
        <v/>
      </c>
      <c r="BW609" s="40">
        <f>BW608*(1-IF(B608&gt;=in_marketplace_from,d_hz_loan_vehicle*G608,0))</f>
        <v/>
      </c>
      <c r="BX609" s="14">
        <f>F609*BW609*IF(B609&gt;=in_marketplace_from,d_hz_loan_vehicle*G609,0)*in_loan_vehicle_ticket*in_loan_vehicle_comm</f>
        <v/>
      </c>
      <c r="BY609" s="40">
        <f>BY608*(1-IF(B608&gt;=in_marketplace_from,d_hz_loan_home*G608,0)*BZ608)</f>
        <v/>
      </c>
      <c r="BZ609" s="11">
        <f>MIN(in_approval_cap,in_loan_home_approval*INDEX('Age profile'!$O$2:$O$61,B609)*(1+in_approval_growth)^(D609-1))</f>
        <v/>
      </c>
      <c r="CA609" s="14">
        <f>F609*BY609*IF(B609&gt;=in_marketplace_from,d_hz_loan_home*G609,0)*BZ609*in_loan_home_ticket*in_loan_home_comm</f>
        <v/>
      </c>
      <c r="CB609" s="40">
        <f>CB608*(1-IF(B608&gt;=in_marketplace_from,d_hz_loan_lap*G608,0)*CC608)</f>
        <v/>
      </c>
      <c r="CC609" s="11">
        <f>MIN(in_approval_cap,in_loan_lap_approval*INDEX('Age profile'!$O$2:$O$61,B609)*(1+in_approval_growth)^(D609-1))</f>
        <v/>
      </c>
      <c r="CD609" s="14">
        <f>F609*CB609*IF(B609&gt;=in_marketplace_from,d_hz_loan_lap*G609,0)*CC609*in_loan_lap_ticket*in_loan_lap_comm</f>
        <v/>
      </c>
      <c r="CE609" s="14">
        <f>AA609+AB609+AC609+AD609+AG609+AJ609+AM609+AP609+AS609+AU609+AX609+BB609+BE609+BG609+BJ609+BL609+BO609+BR609+BT609+BV609+BX609+CA609+CD609</f>
        <v/>
      </c>
    </row>
    <row r="610">
      <c r="A610" s="39" t="n">
        <v>12</v>
      </c>
      <c r="B610" s="39" t="n">
        <v>4</v>
      </c>
      <c r="C610" s="39">
        <f>A610+B610-1</f>
        <v/>
      </c>
      <c r="D610" s="39">
        <f>INT((C610-1)/12)+1</f>
        <v/>
      </c>
      <c r="E610" s="44">
        <f>INDEX(Monthly!$B$2:$B$61,A610)</f>
        <v/>
      </c>
      <c r="F610" s="44">
        <f>E610*INDEX('Age profile'!$B$2:$B$61,B610)</f>
        <v/>
      </c>
      <c r="G610" s="45">
        <f>MIN(in_takeup_cap,INDEX('Age profile'!$N$2:$N$61,B610)*(1+in_takeup_growth)^(D610-1))</f>
        <v/>
      </c>
      <c r="H610" s="11">
        <f>MIN(in_approval_cap,in_approved_first*INDEX('Age profile'!$O$2:$O$61,B610)*(1+in_approval_growth)^(D610-1))</f>
        <v/>
      </c>
      <c r="I610" s="45">
        <f>G610*MIN(in_takeup_cap,INDEX('Age profile'!$O$2:$O$61,B610)*(1+in_approval_growth)^(D610-1))</f>
        <v/>
      </c>
      <c r="J610" s="40">
        <f>(J609-L609)*F610/F609</f>
        <v/>
      </c>
      <c r="K610" s="40">
        <f>(K609-M609)*F610/F609+SUMIFS(O607:O609,B607:B609,B610-1-d_T)*F610</f>
        <v/>
      </c>
      <c r="L610" s="40">
        <f>IF(B610&gt;=in_marketplace_from,J610*d_hz*G610*in_eligible*H610,0)</f>
        <v/>
      </c>
      <c r="M610" s="40">
        <f>IF(B610&gt;=in_marketplace_from,K610*d_hz*G610*in_eligible*in_approved_repeat,0)</f>
        <v/>
      </c>
      <c r="N610" s="40">
        <f>L610+M610</f>
        <v/>
      </c>
      <c r="O610" s="46">
        <f>N610/F610</f>
        <v/>
      </c>
      <c r="P610" s="40">
        <f>F610-J610-K610</f>
        <v/>
      </c>
      <c r="Q610" s="40">
        <f>IF(B610&gt;=in_marketplace_from,(J610+K610)*d_hz*G610,0)</f>
        <v/>
      </c>
      <c r="R610" s="40">
        <f>SUMIFS(N607:N655,B607:B655,"&gt;="&amp;(B610-d_T),B607:B655,"&lt;="&amp;(B610-1))</f>
        <v/>
      </c>
      <c r="S610" s="46">
        <f>(1-d_u)*S609+IF(d_T&gt;in_topup_lag,SUMIFS(O607:O655,B607:B655,B610-in_topup_lag)-d_udrop*SUMIFS(O607:O655,B607:B655,B610-d_T),0)</f>
        <v/>
      </c>
      <c r="T610" s="40">
        <f>F610*d_u*S610</f>
        <v/>
      </c>
      <c r="U610" s="9">
        <f>L610*in_ticket+M610*d_rep_ticket</f>
        <v/>
      </c>
      <c r="V610" s="9">
        <f>U610+T610*d_topup_amt</f>
        <v/>
      </c>
      <c r="W610" s="40">
        <f>N610+T610*d_topup_ratio</f>
        <v/>
      </c>
      <c r="X610" s="40">
        <f>SUMIFS(W607:W655,B607:B655,B610-in_dpd_lag)*d_cured</f>
        <v/>
      </c>
      <c r="Y610" s="40">
        <f>SUMIFS(W607:W655,B607:B655,B610-in_rec_lag)*d_recd</f>
        <v/>
      </c>
      <c r="Z610" s="40">
        <f>IF(AND(B610&gt;=in_marketplace_from,B610&lt;in_marketplace_from+in_card_months),in_card_share/in_card_months*F610*I610,IF(AND(B610&gt;=in_marketplace_from+in_card_months,B610&lt;in_marketplace_from+2*in_card_months),in_card_share*d_card_rem/in_card_months*F610*MIN(in_takeup_cap,(1+in_takeup_growth)^(D610-1))*MIN(in_takeup_cap,(1+in_approval_growth)^(D610-1)),0))</f>
        <v/>
      </c>
      <c r="AA610" s="14">
        <f>V610*in_fee*(1-in_taken_back)</f>
        <v/>
      </c>
      <c r="AB610" s="14">
        <f>SUMIFS(W607:W655,B607:B655,B610-in_dpd_lag)*d_dpd</f>
        <v/>
      </c>
      <c r="AC610" s="14">
        <f>SUMIFS(W607:W655,B607:B655,B610-in_rec_lag)*d_rec</f>
        <v/>
      </c>
      <c r="AD610" s="14">
        <f>Z610*in_card_fee</f>
        <v/>
      </c>
      <c r="AE610" s="40">
        <f>AE609*(1-IF(B609&gt;=in_marketplace_from,d_hz_hlth_small*G609,0))</f>
        <v/>
      </c>
      <c r="AF610" s="46">
        <f>AE610*IF(B610&gt;=in_marketplace_from,d_hz_hlth_small*G610,0)</f>
        <v/>
      </c>
      <c r="AG610" s="14">
        <f>F610*AF610*in_hlth_small_ticket*in_hlth_small_comm*in_ins_partner_share+F610*in_hlth_small_ticket*in_hlth_small_renew_comm*in_ins_partner_share*(in_hlth_small_renew^1*SUMIFS(AF607:AF655,B607:B655,B610-12)+in_hlth_small_renew^2*SUMIFS(AF607:AF655,B607:B655,B610-24)+in_hlth_small_renew^3*SUMIFS(AF607:AF655,B607:B655,B610-36)+in_hlth_small_renew^4*SUMIFS(AF607:AF655,B607:B655,B610-48))</f>
        <v/>
      </c>
      <c r="AH610" s="40">
        <f>AH609*(1-IF(B609&gt;=in_marketplace_from,d_hz_hlth_family*G609,0))</f>
        <v/>
      </c>
      <c r="AI610" s="46">
        <f>AH610*IF(B610&gt;=in_marketplace_from,d_hz_hlth_family*G610,0)</f>
        <v/>
      </c>
      <c r="AJ610" s="14">
        <f>F610*AI610*in_hlth_family_ticket*in_hlth_family_comm*in_ins_partner_share+F610*in_hlth_family_ticket*in_hlth_family_renew_comm*in_ins_partner_share*(in_hlth_family_renew^1*SUMIFS(AI607:AI655,B607:B655,B610-12)+in_hlth_family_renew^2*SUMIFS(AI607:AI655,B607:B655,B610-24)+in_hlth_family_renew^3*SUMIFS(AI607:AI655,B607:B655,B610-36)+in_hlth_family_renew^4*SUMIFS(AI607:AI655,B607:B655,B610-48))</f>
        <v/>
      </c>
      <c r="AK610" s="40">
        <f>AK609*(1-IF(B609&gt;=in_marketplace_from,d_hz_life_term*G609,0))</f>
        <v/>
      </c>
      <c r="AL610" s="46">
        <f>AK610*IF(B610&gt;=in_marketplace_from,d_hz_life_term*G610,0)</f>
        <v/>
      </c>
      <c r="AM610" s="14">
        <f>F610*AL610*in_life_term_ticket*in_life_term_comm*in_ins_partner_share+F610*in_life_term_ticket*in_life_term_renew_comm*in_ins_partner_share*(in_life_term_renew^1*SUMIFS(AL607:AL655,B607:B655,B610-12)+in_life_term_renew^2*SUMIFS(AL607:AL655,B607:B655,B610-24)+in_life_term_renew^3*SUMIFS(AL607:AL655,B607:B655,B610-36)+in_life_term_renew^4*SUMIFS(AL607:AL655,B607:B655,B610-48))</f>
        <v/>
      </c>
      <c r="AN610" s="40">
        <f>AN609*(1-IF(B609&gt;=in_marketplace_from,d_hz_accident*G609,0))</f>
        <v/>
      </c>
      <c r="AO610" s="46">
        <f>AN610*IF(B610&gt;=in_marketplace_from,d_hz_accident*G610,0)</f>
        <v/>
      </c>
      <c r="AP610" s="14">
        <f>F610*AO610*in_accident_ticket*in_accident_comm*in_ins_partner_share+F610*in_accident_ticket*in_accident_renew_comm*in_ins_partner_share*(in_accident_renew^1*SUMIFS(AO607:AO655,B607:B655,B610-12)+in_accident_renew^2*SUMIFS(AO607:AO655,B607:B655,B610-24)+in_accident_renew^3*SUMIFS(AO607:AO655,B607:B655,B610-36)+in_accident_renew^4*SUMIFS(AO607:AO655,B607:B655,B610-48))</f>
        <v/>
      </c>
      <c r="AQ610" s="40">
        <f>AQ609*(1-IF(B609&gt;=in_marketplace_from,d_hz_two_wheeler*G609,0))</f>
        <v/>
      </c>
      <c r="AR610" s="46">
        <f>AQ610*IF(B610&gt;=in_marketplace_from,d_hz_two_wheeler*G610,0)</f>
        <v/>
      </c>
      <c r="AS610" s="14">
        <f>F610*AR610*in_two_wheeler_ticket*in_two_wheeler_comm*in_ins_partner_share+F610*in_two_wheeler_ticket*in_two_wheeler_comm*in_ins_partner_share*(in_two_wheeler_renew^1*SUMIFS(AR607:AR655,B607:B655,B610-12)+in_two_wheeler_renew^2*SUMIFS(AR607:AR655,B607:B655,B610-24)+in_two_wheeler_renew^3*SUMIFS(AR607:AR655,B607:B655,B610-36)+in_two_wheeler_renew^4*SUMIFS(AR607:AR655,B607:B655,B610-48))</f>
        <v/>
      </c>
      <c r="AT610" s="40">
        <f>AT609*(1-IF(B609&gt;=in_marketplace_from,d_hz_device*G609,0))</f>
        <v/>
      </c>
      <c r="AU610" s="14">
        <f>F610*AT610*IF(B610&gt;=in_marketplace_from,d_hz_device*G610,0)*in_device_ticket*in_device_comm*in_ins_partner_share</f>
        <v/>
      </c>
      <c r="AV610" s="40">
        <f>AV609*(1-IF(B609&gt;=in_marketplace_from,d_hz_shop*G609,0))</f>
        <v/>
      </c>
      <c r="AW610" s="46">
        <f>AV610*IF(B610&gt;=in_marketplace_from,d_hz_shop*G610,0)</f>
        <v/>
      </c>
      <c r="AX610" s="14">
        <f>F610*AW610*in_shop_ticket*in_shop_comm*in_ins_partner_share+F610*in_shop_ticket*in_shop_renew_comm*in_ins_partner_share*(in_shop_renew^1*SUMIFS(AW607:AW655,B607:B655,B610-12)+in_shop_renew^2*SUMIFS(AW607:AW655,B607:B655,B610-24)+in_shop_renew^3*SUMIFS(AW607:AW655,B607:B655,B610-36)+in_shop_renew^4*SUMIFS(AW607:AW655,B607:B655,B610-48))</f>
        <v/>
      </c>
      <c r="AY610" s="40">
        <f>AY609*(1-IF(B609&gt;=in_marketplace_from,d_hz_sip*G609,0))</f>
        <v/>
      </c>
      <c r="AZ610" s="40">
        <f>AZ609*d_rho_sip+AY610*IF(B610&gt;=in_marketplace_from,d_hz_sip*G610,0)</f>
        <v/>
      </c>
      <c r="BA610" s="40">
        <f>d_rho_sip*(BA609+AZ609)</f>
        <v/>
      </c>
      <c r="BB610" s="14">
        <f>F610*in_sip_ticket*(BA610+0.5*AZ610)*in_sip_comm/12</f>
        <v/>
      </c>
      <c r="BC610" s="40">
        <f>BC609*(1-IF(B609&gt;=in_marketplace_from,d_hz_choti*G609,0))</f>
        <v/>
      </c>
      <c r="BD610" s="46">
        <f>BC610*IF(B610&gt;=in_marketplace_from,d_hz_choti*G610,0)</f>
        <v/>
      </c>
      <c r="BE610" s="14">
        <f>F610*SUMIFS(BD607:BD655,B607:B655,B610-in_choti_months)*in_choti_renew*in_choti_ticket</f>
        <v/>
      </c>
      <c r="BF610" s="40">
        <f>BF609*(1-IF(B609&gt;=in_marketplace_from,d_hz_nps*G609,0))</f>
        <v/>
      </c>
      <c r="BG610" s="14">
        <f>F610*BF610*IF(B610&gt;=in_marketplace_from,d_hz_nps*G610,0)*in_nps_ticket*in_nps_comm</f>
        <v/>
      </c>
      <c r="BH610" s="40">
        <f>BH609*(1-IF(B609&gt;=in_marketplace_from,d_hz_gold*G609,0))</f>
        <v/>
      </c>
      <c r="BI610" s="40">
        <f>BI609*d_rho_gold+BH610*IF(B610&gt;=in_marketplace_from,d_hz_gold*G610,0)</f>
        <v/>
      </c>
      <c r="BJ610" s="14">
        <f>F610*BI610*in_gold_ticket*in_gold_comm</f>
        <v/>
      </c>
      <c r="BK610" s="40">
        <f>BK609*(1-IF(B609&gt;=in_marketplace_from,d_hz_fd*G609,0))</f>
        <v/>
      </c>
      <c r="BL610" s="14">
        <f>F610*BK610*IF(B610&gt;=in_marketplace_from,d_hz_fd*G610,0)*in_fd_ticket*in_fd_comm</f>
        <v/>
      </c>
      <c r="BM610" s="40">
        <f>BM609*(1-IF(B609&gt;=in_marketplace_from,d_hz_recharge*G609,0))</f>
        <v/>
      </c>
      <c r="BN610" s="40">
        <f>BN609*d_rho_recharge+BM610*IF(B610&gt;=in_marketplace_from,d_hz_recharge*G610,0)</f>
        <v/>
      </c>
      <c r="BO610" s="14">
        <f>F610*BN610*in_recharge_ticket*in_recharge_comm/12</f>
        <v/>
      </c>
      <c r="BP610" s="40">
        <f>BP609*(1-IF(B609&gt;=in_marketplace_from,d_hz_bills*G609,0))</f>
        <v/>
      </c>
      <c r="BQ610" s="40">
        <f>BQ609*d_rho_bills+BP610*IF(B610&gt;=in_marketplace_from,d_hz_bills*G610,0)</f>
        <v/>
      </c>
      <c r="BR610" s="14">
        <f>F610*BQ610*in_bills_ticket*in_bills_comm/12</f>
        <v/>
      </c>
      <c r="BS610" s="40">
        <f>BS609*(1-IF(B609&gt;=in_marketplace_from,d_hz_loan_gold*G609,0))</f>
        <v/>
      </c>
      <c r="BT610" s="14">
        <f>F610*BS610*IF(B610&gt;=in_marketplace_from,d_hz_loan_gold*G610,0)*in_loan_gold_ticket*in_loan_gold_comm</f>
        <v/>
      </c>
      <c r="BU610" s="40">
        <f>BU609*(1-IF(B609&gt;=in_marketplace_from,d_hz_loan_cd*G609,0))</f>
        <v/>
      </c>
      <c r="BV610" s="14">
        <f>F610*BU610*IF(B610&gt;=in_marketplace_from,d_hz_loan_cd*G610,0)*in_loan_cd_ticket*in_loan_cd_comm</f>
        <v/>
      </c>
      <c r="BW610" s="40">
        <f>BW609*(1-IF(B609&gt;=in_marketplace_from,d_hz_loan_vehicle*G609,0))</f>
        <v/>
      </c>
      <c r="BX610" s="14">
        <f>F610*BW610*IF(B610&gt;=in_marketplace_from,d_hz_loan_vehicle*G610,0)*in_loan_vehicle_ticket*in_loan_vehicle_comm</f>
        <v/>
      </c>
      <c r="BY610" s="40">
        <f>BY609*(1-IF(B609&gt;=in_marketplace_from,d_hz_loan_home*G609,0)*BZ609)</f>
        <v/>
      </c>
      <c r="BZ610" s="11">
        <f>MIN(in_approval_cap,in_loan_home_approval*INDEX('Age profile'!$O$2:$O$61,B610)*(1+in_approval_growth)^(D610-1))</f>
        <v/>
      </c>
      <c r="CA610" s="14">
        <f>F610*BY610*IF(B610&gt;=in_marketplace_from,d_hz_loan_home*G610,0)*BZ610*in_loan_home_ticket*in_loan_home_comm</f>
        <v/>
      </c>
      <c r="CB610" s="40">
        <f>CB609*(1-IF(B609&gt;=in_marketplace_from,d_hz_loan_lap*G609,0)*CC609)</f>
        <v/>
      </c>
      <c r="CC610" s="11">
        <f>MIN(in_approval_cap,in_loan_lap_approval*INDEX('Age profile'!$O$2:$O$61,B610)*(1+in_approval_growth)^(D610-1))</f>
        <v/>
      </c>
      <c r="CD610" s="14">
        <f>F610*CB610*IF(B610&gt;=in_marketplace_from,d_hz_loan_lap*G610,0)*CC610*in_loan_lap_ticket*in_loan_lap_comm</f>
        <v/>
      </c>
      <c r="CE610" s="14">
        <f>AA610+AB610+AC610+AD610+AG610+AJ610+AM610+AP610+AS610+AU610+AX610+BB610+BE610+BG610+BJ610+BL610+BO610+BR610+BT610+BV610+BX610+CA610+CD610</f>
        <v/>
      </c>
    </row>
    <row r="611">
      <c r="A611" s="39" t="n">
        <v>12</v>
      </c>
      <c r="B611" s="39" t="n">
        <v>5</v>
      </c>
      <c r="C611" s="39">
        <f>A611+B611-1</f>
        <v/>
      </c>
      <c r="D611" s="39">
        <f>INT((C611-1)/12)+1</f>
        <v/>
      </c>
      <c r="E611" s="44">
        <f>INDEX(Monthly!$B$2:$B$61,A611)</f>
        <v/>
      </c>
      <c r="F611" s="44">
        <f>E611*INDEX('Age profile'!$B$2:$B$61,B611)</f>
        <v/>
      </c>
      <c r="G611" s="45">
        <f>MIN(in_takeup_cap,INDEX('Age profile'!$N$2:$N$61,B611)*(1+in_takeup_growth)^(D611-1))</f>
        <v/>
      </c>
      <c r="H611" s="11">
        <f>MIN(in_approval_cap,in_approved_first*INDEX('Age profile'!$O$2:$O$61,B611)*(1+in_approval_growth)^(D611-1))</f>
        <v/>
      </c>
      <c r="I611" s="45">
        <f>G611*MIN(in_takeup_cap,INDEX('Age profile'!$O$2:$O$61,B611)*(1+in_approval_growth)^(D611-1))</f>
        <v/>
      </c>
      <c r="J611" s="40">
        <f>(J610-L610)*F611/F610</f>
        <v/>
      </c>
      <c r="K611" s="40">
        <f>(K610-M610)*F611/F610+SUMIFS(O607:O610,B607:B610,B611-1-d_T)*F611</f>
        <v/>
      </c>
      <c r="L611" s="40">
        <f>IF(B611&gt;=in_marketplace_from,J611*d_hz*G611*in_eligible*H611,0)</f>
        <v/>
      </c>
      <c r="M611" s="40">
        <f>IF(B611&gt;=in_marketplace_from,K611*d_hz*G611*in_eligible*in_approved_repeat,0)</f>
        <v/>
      </c>
      <c r="N611" s="40">
        <f>L611+M611</f>
        <v/>
      </c>
      <c r="O611" s="46">
        <f>N611/F611</f>
        <v/>
      </c>
      <c r="P611" s="40">
        <f>F611-J611-K611</f>
        <v/>
      </c>
      <c r="Q611" s="40">
        <f>IF(B611&gt;=in_marketplace_from,(J611+K611)*d_hz*G611,0)</f>
        <v/>
      </c>
      <c r="R611" s="40">
        <f>SUMIFS(N607:N655,B607:B655,"&gt;="&amp;(B611-d_T),B607:B655,"&lt;="&amp;(B611-1))</f>
        <v/>
      </c>
      <c r="S611" s="46">
        <f>(1-d_u)*S610+IF(d_T&gt;in_topup_lag,SUMIFS(O607:O655,B607:B655,B611-in_topup_lag)-d_udrop*SUMIFS(O607:O655,B607:B655,B611-d_T),0)</f>
        <v/>
      </c>
      <c r="T611" s="40">
        <f>F611*d_u*S611</f>
        <v/>
      </c>
      <c r="U611" s="9">
        <f>L611*in_ticket+M611*d_rep_ticket</f>
        <v/>
      </c>
      <c r="V611" s="9">
        <f>U611+T611*d_topup_amt</f>
        <v/>
      </c>
      <c r="W611" s="40">
        <f>N611+T611*d_topup_ratio</f>
        <v/>
      </c>
      <c r="X611" s="40">
        <f>SUMIFS(W607:W655,B607:B655,B611-in_dpd_lag)*d_cured</f>
        <v/>
      </c>
      <c r="Y611" s="40">
        <f>SUMIFS(W607:W655,B607:B655,B611-in_rec_lag)*d_recd</f>
        <v/>
      </c>
      <c r="Z611" s="40">
        <f>IF(AND(B611&gt;=in_marketplace_from,B611&lt;in_marketplace_from+in_card_months),in_card_share/in_card_months*F611*I611,IF(AND(B611&gt;=in_marketplace_from+in_card_months,B611&lt;in_marketplace_from+2*in_card_months),in_card_share*d_card_rem/in_card_months*F611*MIN(in_takeup_cap,(1+in_takeup_growth)^(D611-1))*MIN(in_takeup_cap,(1+in_approval_growth)^(D611-1)),0))</f>
        <v/>
      </c>
      <c r="AA611" s="14">
        <f>V611*in_fee*(1-in_taken_back)</f>
        <v/>
      </c>
      <c r="AB611" s="14">
        <f>SUMIFS(W607:W655,B607:B655,B611-in_dpd_lag)*d_dpd</f>
        <v/>
      </c>
      <c r="AC611" s="14">
        <f>SUMIFS(W607:W655,B607:B655,B611-in_rec_lag)*d_rec</f>
        <v/>
      </c>
      <c r="AD611" s="14">
        <f>Z611*in_card_fee</f>
        <v/>
      </c>
      <c r="AE611" s="40">
        <f>AE610*(1-IF(B610&gt;=in_marketplace_from,d_hz_hlth_small*G610,0))</f>
        <v/>
      </c>
      <c r="AF611" s="46">
        <f>AE611*IF(B611&gt;=in_marketplace_from,d_hz_hlth_small*G611,0)</f>
        <v/>
      </c>
      <c r="AG611" s="14">
        <f>F611*AF611*in_hlth_small_ticket*in_hlth_small_comm*in_ins_partner_share+F611*in_hlth_small_ticket*in_hlth_small_renew_comm*in_ins_partner_share*(in_hlth_small_renew^1*SUMIFS(AF607:AF655,B607:B655,B611-12)+in_hlth_small_renew^2*SUMIFS(AF607:AF655,B607:B655,B611-24)+in_hlth_small_renew^3*SUMIFS(AF607:AF655,B607:B655,B611-36)+in_hlth_small_renew^4*SUMIFS(AF607:AF655,B607:B655,B611-48))</f>
        <v/>
      </c>
      <c r="AH611" s="40">
        <f>AH610*(1-IF(B610&gt;=in_marketplace_from,d_hz_hlth_family*G610,0))</f>
        <v/>
      </c>
      <c r="AI611" s="46">
        <f>AH611*IF(B611&gt;=in_marketplace_from,d_hz_hlth_family*G611,0)</f>
        <v/>
      </c>
      <c r="AJ611" s="14">
        <f>F611*AI611*in_hlth_family_ticket*in_hlth_family_comm*in_ins_partner_share+F611*in_hlth_family_ticket*in_hlth_family_renew_comm*in_ins_partner_share*(in_hlth_family_renew^1*SUMIFS(AI607:AI655,B607:B655,B611-12)+in_hlth_family_renew^2*SUMIFS(AI607:AI655,B607:B655,B611-24)+in_hlth_family_renew^3*SUMIFS(AI607:AI655,B607:B655,B611-36)+in_hlth_family_renew^4*SUMIFS(AI607:AI655,B607:B655,B611-48))</f>
        <v/>
      </c>
      <c r="AK611" s="40">
        <f>AK610*(1-IF(B610&gt;=in_marketplace_from,d_hz_life_term*G610,0))</f>
        <v/>
      </c>
      <c r="AL611" s="46">
        <f>AK611*IF(B611&gt;=in_marketplace_from,d_hz_life_term*G611,0)</f>
        <v/>
      </c>
      <c r="AM611" s="14">
        <f>F611*AL611*in_life_term_ticket*in_life_term_comm*in_ins_partner_share+F611*in_life_term_ticket*in_life_term_renew_comm*in_ins_partner_share*(in_life_term_renew^1*SUMIFS(AL607:AL655,B607:B655,B611-12)+in_life_term_renew^2*SUMIFS(AL607:AL655,B607:B655,B611-24)+in_life_term_renew^3*SUMIFS(AL607:AL655,B607:B655,B611-36)+in_life_term_renew^4*SUMIFS(AL607:AL655,B607:B655,B611-48))</f>
        <v/>
      </c>
      <c r="AN611" s="40">
        <f>AN610*(1-IF(B610&gt;=in_marketplace_from,d_hz_accident*G610,0))</f>
        <v/>
      </c>
      <c r="AO611" s="46">
        <f>AN611*IF(B611&gt;=in_marketplace_from,d_hz_accident*G611,0)</f>
        <v/>
      </c>
      <c r="AP611" s="14">
        <f>F611*AO611*in_accident_ticket*in_accident_comm*in_ins_partner_share+F611*in_accident_ticket*in_accident_renew_comm*in_ins_partner_share*(in_accident_renew^1*SUMIFS(AO607:AO655,B607:B655,B611-12)+in_accident_renew^2*SUMIFS(AO607:AO655,B607:B655,B611-24)+in_accident_renew^3*SUMIFS(AO607:AO655,B607:B655,B611-36)+in_accident_renew^4*SUMIFS(AO607:AO655,B607:B655,B611-48))</f>
        <v/>
      </c>
      <c r="AQ611" s="40">
        <f>AQ610*(1-IF(B610&gt;=in_marketplace_from,d_hz_two_wheeler*G610,0))</f>
        <v/>
      </c>
      <c r="AR611" s="46">
        <f>AQ611*IF(B611&gt;=in_marketplace_from,d_hz_two_wheeler*G611,0)</f>
        <v/>
      </c>
      <c r="AS611" s="14">
        <f>F611*AR611*in_two_wheeler_ticket*in_two_wheeler_comm*in_ins_partner_share+F611*in_two_wheeler_ticket*in_two_wheeler_comm*in_ins_partner_share*(in_two_wheeler_renew^1*SUMIFS(AR607:AR655,B607:B655,B611-12)+in_two_wheeler_renew^2*SUMIFS(AR607:AR655,B607:B655,B611-24)+in_two_wheeler_renew^3*SUMIFS(AR607:AR655,B607:B655,B611-36)+in_two_wheeler_renew^4*SUMIFS(AR607:AR655,B607:B655,B611-48))</f>
        <v/>
      </c>
      <c r="AT611" s="40">
        <f>AT610*(1-IF(B610&gt;=in_marketplace_from,d_hz_device*G610,0))</f>
        <v/>
      </c>
      <c r="AU611" s="14">
        <f>F611*AT611*IF(B611&gt;=in_marketplace_from,d_hz_device*G611,0)*in_device_ticket*in_device_comm*in_ins_partner_share</f>
        <v/>
      </c>
      <c r="AV611" s="40">
        <f>AV610*(1-IF(B610&gt;=in_marketplace_from,d_hz_shop*G610,0))</f>
        <v/>
      </c>
      <c r="AW611" s="46">
        <f>AV611*IF(B611&gt;=in_marketplace_from,d_hz_shop*G611,0)</f>
        <v/>
      </c>
      <c r="AX611" s="14">
        <f>F611*AW611*in_shop_ticket*in_shop_comm*in_ins_partner_share+F611*in_shop_ticket*in_shop_renew_comm*in_ins_partner_share*(in_shop_renew^1*SUMIFS(AW607:AW655,B607:B655,B611-12)+in_shop_renew^2*SUMIFS(AW607:AW655,B607:B655,B611-24)+in_shop_renew^3*SUMIFS(AW607:AW655,B607:B655,B611-36)+in_shop_renew^4*SUMIFS(AW607:AW655,B607:B655,B611-48))</f>
        <v/>
      </c>
      <c r="AY611" s="40">
        <f>AY610*(1-IF(B610&gt;=in_marketplace_from,d_hz_sip*G610,0))</f>
        <v/>
      </c>
      <c r="AZ611" s="40">
        <f>AZ610*d_rho_sip+AY611*IF(B611&gt;=in_marketplace_from,d_hz_sip*G611,0)</f>
        <v/>
      </c>
      <c r="BA611" s="40">
        <f>d_rho_sip*(BA610+AZ610)</f>
        <v/>
      </c>
      <c r="BB611" s="14">
        <f>F611*in_sip_ticket*(BA611+0.5*AZ611)*in_sip_comm/12</f>
        <v/>
      </c>
      <c r="BC611" s="40">
        <f>BC610*(1-IF(B610&gt;=in_marketplace_from,d_hz_choti*G610,0))</f>
        <v/>
      </c>
      <c r="BD611" s="46">
        <f>BC611*IF(B611&gt;=in_marketplace_from,d_hz_choti*G611,0)</f>
        <v/>
      </c>
      <c r="BE611" s="14">
        <f>F611*SUMIFS(BD607:BD655,B607:B655,B611-in_choti_months)*in_choti_renew*in_choti_ticket</f>
        <v/>
      </c>
      <c r="BF611" s="40">
        <f>BF610*(1-IF(B610&gt;=in_marketplace_from,d_hz_nps*G610,0))</f>
        <v/>
      </c>
      <c r="BG611" s="14">
        <f>F611*BF611*IF(B611&gt;=in_marketplace_from,d_hz_nps*G611,0)*in_nps_ticket*in_nps_comm</f>
        <v/>
      </c>
      <c r="BH611" s="40">
        <f>BH610*(1-IF(B610&gt;=in_marketplace_from,d_hz_gold*G610,0))</f>
        <v/>
      </c>
      <c r="BI611" s="40">
        <f>BI610*d_rho_gold+BH611*IF(B611&gt;=in_marketplace_from,d_hz_gold*G611,0)</f>
        <v/>
      </c>
      <c r="BJ611" s="14">
        <f>F611*BI611*in_gold_ticket*in_gold_comm</f>
        <v/>
      </c>
      <c r="BK611" s="40">
        <f>BK610*(1-IF(B610&gt;=in_marketplace_from,d_hz_fd*G610,0))</f>
        <v/>
      </c>
      <c r="BL611" s="14">
        <f>F611*BK611*IF(B611&gt;=in_marketplace_from,d_hz_fd*G611,0)*in_fd_ticket*in_fd_comm</f>
        <v/>
      </c>
      <c r="BM611" s="40">
        <f>BM610*(1-IF(B610&gt;=in_marketplace_from,d_hz_recharge*G610,0))</f>
        <v/>
      </c>
      <c r="BN611" s="40">
        <f>BN610*d_rho_recharge+BM611*IF(B611&gt;=in_marketplace_from,d_hz_recharge*G611,0)</f>
        <v/>
      </c>
      <c r="BO611" s="14">
        <f>F611*BN611*in_recharge_ticket*in_recharge_comm/12</f>
        <v/>
      </c>
      <c r="BP611" s="40">
        <f>BP610*(1-IF(B610&gt;=in_marketplace_from,d_hz_bills*G610,0))</f>
        <v/>
      </c>
      <c r="BQ611" s="40">
        <f>BQ610*d_rho_bills+BP611*IF(B611&gt;=in_marketplace_from,d_hz_bills*G611,0)</f>
        <v/>
      </c>
      <c r="BR611" s="14">
        <f>F611*BQ611*in_bills_ticket*in_bills_comm/12</f>
        <v/>
      </c>
      <c r="BS611" s="40">
        <f>BS610*(1-IF(B610&gt;=in_marketplace_from,d_hz_loan_gold*G610,0))</f>
        <v/>
      </c>
      <c r="BT611" s="14">
        <f>F611*BS611*IF(B611&gt;=in_marketplace_from,d_hz_loan_gold*G611,0)*in_loan_gold_ticket*in_loan_gold_comm</f>
        <v/>
      </c>
      <c r="BU611" s="40">
        <f>BU610*(1-IF(B610&gt;=in_marketplace_from,d_hz_loan_cd*G610,0))</f>
        <v/>
      </c>
      <c r="BV611" s="14">
        <f>F611*BU611*IF(B611&gt;=in_marketplace_from,d_hz_loan_cd*G611,0)*in_loan_cd_ticket*in_loan_cd_comm</f>
        <v/>
      </c>
      <c r="BW611" s="40">
        <f>BW610*(1-IF(B610&gt;=in_marketplace_from,d_hz_loan_vehicle*G610,0))</f>
        <v/>
      </c>
      <c r="BX611" s="14">
        <f>F611*BW611*IF(B611&gt;=in_marketplace_from,d_hz_loan_vehicle*G611,0)*in_loan_vehicle_ticket*in_loan_vehicle_comm</f>
        <v/>
      </c>
      <c r="BY611" s="40">
        <f>BY610*(1-IF(B610&gt;=in_marketplace_from,d_hz_loan_home*G610,0)*BZ610)</f>
        <v/>
      </c>
      <c r="BZ611" s="11">
        <f>MIN(in_approval_cap,in_loan_home_approval*INDEX('Age profile'!$O$2:$O$61,B611)*(1+in_approval_growth)^(D611-1))</f>
        <v/>
      </c>
      <c r="CA611" s="14">
        <f>F611*BY611*IF(B611&gt;=in_marketplace_from,d_hz_loan_home*G611,0)*BZ611*in_loan_home_ticket*in_loan_home_comm</f>
        <v/>
      </c>
      <c r="CB611" s="40">
        <f>CB610*(1-IF(B610&gt;=in_marketplace_from,d_hz_loan_lap*G610,0)*CC610)</f>
        <v/>
      </c>
      <c r="CC611" s="11">
        <f>MIN(in_approval_cap,in_loan_lap_approval*INDEX('Age profile'!$O$2:$O$61,B611)*(1+in_approval_growth)^(D611-1))</f>
        <v/>
      </c>
      <c r="CD611" s="14">
        <f>F611*CB611*IF(B611&gt;=in_marketplace_from,d_hz_loan_lap*G611,0)*CC611*in_loan_lap_ticket*in_loan_lap_comm</f>
        <v/>
      </c>
      <c r="CE611" s="14">
        <f>AA611+AB611+AC611+AD611+AG611+AJ611+AM611+AP611+AS611+AU611+AX611+BB611+BE611+BG611+BJ611+BL611+BO611+BR611+BT611+BV611+BX611+CA611+CD611</f>
        <v/>
      </c>
    </row>
    <row r="612">
      <c r="A612" s="39" t="n">
        <v>12</v>
      </c>
      <c r="B612" s="39" t="n">
        <v>6</v>
      </c>
      <c r="C612" s="39">
        <f>A612+B612-1</f>
        <v/>
      </c>
      <c r="D612" s="39">
        <f>INT((C612-1)/12)+1</f>
        <v/>
      </c>
      <c r="E612" s="44">
        <f>INDEX(Monthly!$B$2:$B$61,A612)</f>
        <v/>
      </c>
      <c r="F612" s="44">
        <f>E612*INDEX('Age profile'!$B$2:$B$61,B612)</f>
        <v/>
      </c>
      <c r="G612" s="45">
        <f>MIN(in_takeup_cap,INDEX('Age profile'!$N$2:$N$61,B612)*(1+in_takeup_growth)^(D612-1))</f>
        <v/>
      </c>
      <c r="H612" s="11">
        <f>MIN(in_approval_cap,in_approved_first*INDEX('Age profile'!$O$2:$O$61,B612)*(1+in_approval_growth)^(D612-1))</f>
        <v/>
      </c>
      <c r="I612" s="45">
        <f>G612*MIN(in_takeup_cap,INDEX('Age profile'!$O$2:$O$61,B612)*(1+in_approval_growth)^(D612-1))</f>
        <v/>
      </c>
      <c r="J612" s="40">
        <f>(J611-L611)*F612/F611</f>
        <v/>
      </c>
      <c r="K612" s="40">
        <f>(K611-M611)*F612/F611+SUMIFS(O607:O611,B607:B611,B612-1-d_T)*F612</f>
        <v/>
      </c>
      <c r="L612" s="40">
        <f>IF(B612&gt;=in_marketplace_from,J612*d_hz*G612*in_eligible*H612,0)</f>
        <v/>
      </c>
      <c r="M612" s="40">
        <f>IF(B612&gt;=in_marketplace_from,K612*d_hz*G612*in_eligible*in_approved_repeat,0)</f>
        <v/>
      </c>
      <c r="N612" s="40">
        <f>L612+M612</f>
        <v/>
      </c>
      <c r="O612" s="46">
        <f>N612/F612</f>
        <v/>
      </c>
      <c r="P612" s="40">
        <f>F612-J612-K612</f>
        <v/>
      </c>
      <c r="Q612" s="40">
        <f>IF(B612&gt;=in_marketplace_from,(J612+K612)*d_hz*G612,0)</f>
        <v/>
      </c>
      <c r="R612" s="40">
        <f>SUMIFS(N607:N655,B607:B655,"&gt;="&amp;(B612-d_T),B607:B655,"&lt;="&amp;(B612-1))</f>
        <v/>
      </c>
      <c r="S612" s="46">
        <f>(1-d_u)*S611+IF(d_T&gt;in_topup_lag,SUMIFS(O607:O655,B607:B655,B612-in_topup_lag)-d_udrop*SUMIFS(O607:O655,B607:B655,B612-d_T),0)</f>
        <v/>
      </c>
      <c r="T612" s="40">
        <f>F612*d_u*S612</f>
        <v/>
      </c>
      <c r="U612" s="9">
        <f>L612*in_ticket+M612*d_rep_ticket</f>
        <v/>
      </c>
      <c r="V612" s="9">
        <f>U612+T612*d_topup_amt</f>
        <v/>
      </c>
      <c r="W612" s="40">
        <f>N612+T612*d_topup_ratio</f>
        <v/>
      </c>
      <c r="X612" s="40">
        <f>SUMIFS(W607:W655,B607:B655,B612-in_dpd_lag)*d_cured</f>
        <v/>
      </c>
      <c r="Y612" s="40">
        <f>SUMIFS(W607:W655,B607:B655,B612-in_rec_lag)*d_recd</f>
        <v/>
      </c>
      <c r="Z612" s="40">
        <f>IF(AND(B612&gt;=in_marketplace_from,B612&lt;in_marketplace_from+in_card_months),in_card_share/in_card_months*F612*I612,IF(AND(B612&gt;=in_marketplace_from+in_card_months,B612&lt;in_marketplace_from+2*in_card_months),in_card_share*d_card_rem/in_card_months*F612*MIN(in_takeup_cap,(1+in_takeup_growth)^(D612-1))*MIN(in_takeup_cap,(1+in_approval_growth)^(D612-1)),0))</f>
        <v/>
      </c>
      <c r="AA612" s="14">
        <f>V612*in_fee*(1-in_taken_back)</f>
        <v/>
      </c>
      <c r="AB612" s="14">
        <f>SUMIFS(W607:W655,B607:B655,B612-in_dpd_lag)*d_dpd</f>
        <v/>
      </c>
      <c r="AC612" s="14">
        <f>SUMIFS(W607:W655,B607:B655,B612-in_rec_lag)*d_rec</f>
        <v/>
      </c>
      <c r="AD612" s="14">
        <f>Z612*in_card_fee</f>
        <v/>
      </c>
      <c r="AE612" s="40">
        <f>AE611*(1-IF(B611&gt;=in_marketplace_from,d_hz_hlth_small*G611,0))</f>
        <v/>
      </c>
      <c r="AF612" s="46">
        <f>AE612*IF(B612&gt;=in_marketplace_from,d_hz_hlth_small*G612,0)</f>
        <v/>
      </c>
      <c r="AG612" s="14">
        <f>F612*AF612*in_hlth_small_ticket*in_hlth_small_comm*in_ins_partner_share+F612*in_hlth_small_ticket*in_hlth_small_renew_comm*in_ins_partner_share*(in_hlth_small_renew^1*SUMIFS(AF607:AF655,B607:B655,B612-12)+in_hlth_small_renew^2*SUMIFS(AF607:AF655,B607:B655,B612-24)+in_hlth_small_renew^3*SUMIFS(AF607:AF655,B607:B655,B612-36)+in_hlth_small_renew^4*SUMIFS(AF607:AF655,B607:B655,B612-48))</f>
        <v/>
      </c>
      <c r="AH612" s="40">
        <f>AH611*(1-IF(B611&gt;=in_marketplace_from,d_hz_hlth_family*G611,0))</f>
        <v/>
      </c>
      <c r="AI612" s="46">
        <f>AH612*IF(B612&gt;=in_marketplace_from,d_hz_hlth_family*G612,0)</f>
        <v/>
      </c>
      <c r="AJ612" s="14">
        <f>F612*AI612*in_hlth_family_ticket*in_hlth_family_comm*in_ins_partner_share+F612*in_hlth_family_ticket*in_hlth_family_renew_comm*in_ins_partner_share*(in_hlth_family_renew^1*SUMIFS(AI607:AI655,B607:B655,B612-12)+in_hlth_family_renew^2*SUMIFS(AI607:AI655,B607:B655,B612-24)+in_hlth_family_renew^3*SUMIFS(AI607:AI655,B607:B655,B612-36)+in_hlth_family_renew^4*SUMIFS(AI607:AI655,B607:B655,B612-48))</f>
        <v/>
      </c>
      <c r="AK612" s="40">
        <f>AK611*(1-IF(B611&gt;=in_marketplace_from,d_hz_life_term*G611,0))</f>
        <v/>
      </c>
      <c r="AL612" s="46">
        <f>AK612*IF(B612&gt;=in_marketplace_from,d_hz_life_term*G612,0)</f>
        <v/>
      </c>
      <c r="AM612" s="14">
        <f>F612*AL612*in_life_term_ticket*in_life_term_comm*in_ins_partner_share+F612*in_life_term_ticket*in_life_term_renew_comm*in_ins_partner_share*(in_life_term_renew^1*SUMIFS(AL607:AL655,B607:B655,B612-12)+in_life_term_renew^2*SUMIFS(AL607:AL655,B607:B655,B612-24)+in_life_term_renew^3*SUMIFS(AL607:AL655,B607:B655,B612-36)+in_life_term_renew^4*SUMIFS(AL607:AL655,B607:B655,B612-48))</f>
        <v/>
      </c>
      <c r="AN612" s="40">
        <f>AN611*(1-IF(B611&gt;=in_marketplace_from,d_hz_accident*G611,0))</f>
        <v/>
      </c>
      <c r="AO612" s="46">
        <f>AN612*IF(B612&gt;=in_marketplace_from,d_hz_accident*G612,0)</f>
        <v/>
      </c>
      <c r="AP612" s="14">
        <f>F612*AO612*in_accident_ticket*in_accident_comm*in_ins_partner_share+F612*in_accident_ticket*in_accident_renew_comm*in_ins_partner_share*(in_accident_renew^1*SUMIFS(AO607:AO655,B607:B655,B612-12)+in_accident_renew^2*SUMIFS(AO607:AO655,B607:B655,B612-24)+in_accident_renew^3*SUMIFS(AO607:AO655,B607:B655,B612-36)+in_accident_renew^4*SUMIFS(AO607:AO655,B607:B655,B612-48))</f>
        <v/>
      </c>
      <c r="AQ612" s="40">
        <f>AQ611*(1-IF(B611&gt;=in_marketplace_from,d_hz_two_wheeler*G611,0))</f>
        <v/>
      </c>
      <c r="AR612" s="46">
        <f>AQ612*IF(B612&gt;=in_marketplace_from,d_hz_two_wheeler*G612,0)</f>
        <v/>
      </c>
      <c r="AS612" s="14">
        <f>F612*AR612*in_two_wheeler_ticket*in_two_wheeler_comm*in_ins_partner_share+F612*in_two_wheeler_ticket*in_two_wheeler_comm*in_ins_partner_share*(in_two_wheeler_renew^1*SUMIFS(AR607:AR655,B607:B655,B612-12)+in_two_wheeler_renew^2*SUMIFS(AR607:AR655,B607:B655,B612-24)+in_two_wheeler_renew^3*SUMIFS(AR607:AR655,B607:B655,B612-36)+in_two_wheeler_renew^4*SUMIFS(AR607:AR655,B607:B655,B612-48))</f>
        <v/>
      </c>
      <c r="AT612" s="40">
        <f>AT611*(1-IF(B611&gt;=in_marketplace_from,d_hz_device*G611,0))</f>
        <v/>
      </c>
      <c r="AU612" s="14">
        <f>F612*AT612*IF(B612&gt;=in_marketplace_from,d_hz_device*G612,0)*in_device_ticket*in_device_comm*in_ins_partner_share</f>
        <v/>
      </c>
      <c r="AV612" s="40">
        <f>AV611*(1-IF(B611&gt;=in_marketplace_from,d_hz_shop*G611,0))</f>
        <v/>
      </c>
      <c r="AW612" s="46">
        <f>AV612*IF(B612&gt;=in_marketplace_from,d_hz_shop*G612,0)</f>
        <v/>
      </c>
      <c r="AX612" s="14">
        <f>F612*AW612*in_shop_ticket*in_shop_comm*in_ins_partner_share+F612*in_shop_ticket*in_shop_renew_comm*in_ins_partner_share*(in_shop_renew^1*SUMIFS(AW607:AW655,B607:B655,B612-12)+in_shop_renew^2*SUMIFS(AW607:AW655,B607:B655,B612-24)+in_shop_renew^3*SUMIFS(AW607:AW655,B607:B655,B612-36)+in_shop_renew^4*SUMIFS(AW607:AW655,B607:B655,B612-48))</f>
        <v/>
      </c>
      <c r="AY612" s="40">
        <f>AY611*(1-IF(B611&gt;=in_marketplace_from,d_hz_sip*G611,0))</f>
        <v/>
      </c>
      <c r="AZ612" s="40">
        <f>AZ611*d_rho_sip+AY612*IF(B612&gt;=in_marketplace_from,d_hz_sip*G612,0)</f>
        <v/>
      </c>
      <c r="BA612" s="40">
        <f>d_rho_sip*(BA611+AZ611)</f>
        <v/>
      </c>
      <c r="BB612" s="14">
        <f>F612*in_sip_ticket*(BA612+0.5*AZ612)*in_sip_comm/12</f>
        <v/>
      </c>
      <c r="BC612" s="40">
        <f>BC611*(1-IF(B611&gt;=in_marketplace_from,d_hz_choti*G611,0))</f>
        <v/>
      </c>
      <c r="BD612" s="46">
        <f>BC612*IF(B612&gt;=in_marketplace_from,d_hz_choti*G612,0)</f>
        <v/>
      </c>
      <c r="BE612" s="14">
        <f>F612*SUMIFS(BD607:BD655,B607:B655,B612-in_choti_months)*in_choti_renew*in_choti_ticket</f>
        <v/>
      </c>
      <c r="BF612" s="40">
        <f>BF611*(1-IF(B611&gt;=in_marketplace_from,d_hz_nps*G611,0))</f>
        <v/>
      </c>
      <c r="BG612" s="14">
        <f>F612*BF612*IF(B612&gt;=in_marketplace_from,d_hz_nps*G612,0)*in_nps_ticket*in_nps_comm</f>
        <v/>
      </c>
      <c r="BH612" s="40">
        <f>BH611*(1-IF(B611&gt;=in_marketplace_from,d_hz_gold*G611,0))</f>
        <v/>
      </c>
      <c r="BI612" s="40">
        <f>BI611*d_rho_gold+BH612*IF(B612&gt;=in_marketplace_from,d_hz_gold*G612,0)</f>
        <v/>
      </c>
      <c r="BJ612" s="14">
        <f>F612*BI612*in_gold_ticket*in_gold_comm</f>
        <v/>
      </c>
      <c r="BK612" s="40">
        <f>BK611*(1-IF(B611&gt;=in_marketplace_from,d_hz_fd*G611,0))</f>
        <v/>
      </c>
      <c r="BL612" s="14">
        <f>F612*BK612*IF(B612&gt;=in_marketplace_from,d_hz_fd*G612,0)*in_fd_ticket*in_fd_comm</f>
        <v/>
      </c>
      <c r="BM612" s="40">
        <f>BM611*(1-IF(B611&gt;=in_marketplace_from,d_hz_recharge*G611,0))</f>
        <v/>
      </c>
      <c r="BN612" s="40">
        <f>BN611*d_rho_recharge+BM612*IF(B612&gt;=in_marketplace_from,d_hz_recharge*G612,0)</f>
        <v/>
      </c>
      <c r="BO612" s="14">
        <f>F612*BN612*in_recharge_ticket*in_recharge_comm/12</f>
        <v/>
      </c>
      <c r="BP612" s="40">
        <f>BP611*(1-IF(B611&gt;=in_marketplace_from,d_hz_bills*G611,0))</f>
        <v/>
      </c>
      <c r="BQ612" s="40">
        <f>BQ611*d_rho_bills+BP612*IF(B612&gt;=in_marketplace_from,d_hz_bills*G612,0)</f>
        <v/>
      </c>
      <c r="BR612" s="14">
        <f>F612*BQ612*in_bills_ticket*in_bills_comm/12</f>
        <v/>
      </c>
      <c r="BS612" s="40">
        <f>BS611*(1-IF(B611&gt;=in_marketplace_from,d_hz_loan_gold*G611,0))</f>
        <v/>
      </c>
      <c r="BT612" s="14">
        <f>F612*BS612*IF(B612&gt;=in_marketplace_from,d_hz_loan_gold*G612,0)*in_loan_gold_ticket*in_loan_gold_comm</f>
        <v/>
      </c>
      <c r="BU612" s="40">
        <f>BU611*(1-IF(B611&gt;=in_marketplace_from,d_hz_loan_cd*G611,0))</f>
        <v/>
      </c>
      <c r="BV612" s="14">
        <f>F612*BU612*IF(B612&gt;=in_marketplace_from,d_hz_loan_cd*G612,0)*in_loan_cd_ticket*in_loan_cd_comm</f>
        <v/>
      </c>
      <c r="BW612" s="40">
        <f>BW611*(1-IF(B611&gt;=in_marketplace_from,d_hz_loan_vehicle*G611,0))</f>
        <v/>
      </c>
      <c r="BX612" s="14">
        <f>F612*BW612*IF(B612&gt;=in_marketplace_from,d_hz_loan_vehicle*G612,0)*in_loan_vehicle_ticket*in_loan_vehicle_comm</f>
        <v/>
      </c>
      <c r="BY612" s="40">
        <f>BY611*(1-IF(B611&gt;=in_marketplace_from,d_hz_loan_home*G611,0)*BZ611)</f>
        <v/>
      </c>
      <c r="BZ612" s="11">
        <f>MIN(in_approval_cap,in_loan_home_approval*INDEX('Age profile'!$O$2:$O$61,B612)*(1+in_approval_growth)^(D612-1))</f>
        <v/>
      </c>
      <c r="CA612" s="14">
        <f>F612*BY612*IF(B612&gt;=in_marketplace_from,d_hz_loan_home*G612,0)*BZ612*in_loan_home_ticket*in_loan_home_comm</f>
        <v/>
      </c>
      <c r="CB612" s="40">
        <f>CB611*(1-IF(B611&gt;=in_marketplace_from,d_hz_loan_lap*G611,0)*CC611)</f>
        <v/>
      </c>
      <c r="CC612" s="11">
        <f>MIN(in_approval_cap,in_loan_lap_approval*INDEX('Age profile'!$O$2:$O$61,B612)*(1+in_approval_growth)^(D612-1))</f>
        <v/>
      </c>
      <c r="CD612" s="14">
        <f>F612*CB612*IF(B612&gt;=in_marketplace_from,d_hz_loan_lap*G612,0)*CC612*in_loan_lap_ticket*in_loan_lap_comm</f>
        <v/>
      </c>
      <c r="CE612" s="14">
        <f>AA612+AB612+AC612+AD612+AG612+AJ612+AM612+AP612+AS612+AU612+AX612+BB612+BE612+BG612+BJ612+BL612+BO612+BR612+BT612+BV612+BX612+CA612+CD612</f>
        <v/>
      </c>
    </row>
    <row r="613">
      <c r="A613" s="39" t="n">
        <v>12</v>
      </c>
      <c r="B613" s="39" t="n">
        <v>7</v>
      </c>
      <c r="C613" s="39">
        <f>A613+B613-1</f>
        <v/>
      </c>
      <c r="D613" s="39">
        <f>INT((C613-1)/12)+1</f>
        <v/>
      </c>
      <c r="E613" s="44">
        <f>INDEX(Monthly!$B$2:$B$61,A613)</f>
        <v/>
      </c>
      <c r="F613" s="44">
        <f>E613*INDEX('Age profile'!$B$2:$B$61,B613)</f>
        <v/>
      </c>
      <c r="G613" s="45">
        <f>MIN(in_takeup_cap,INDEX('Age profile'!$N$2:$N$61,B613)*(1+in_takeup_growth)^(D613-1))</f>
        <v/>
      </c>
      <c r="H613" s="11">
        <f>MIN(in_approval_cap,in_approved_first*INDEX('Age profile'!$O$2:$O$61,B613)*(1+in_approval_growth)^(D613-1))</f>
        <v/>
      </c>
      <c r="I613" s="45">
        <f>G613*MIN(in_takeup_cap,INDEX('Age profile'!$O$2:$O$61,B613)*(1+in_approval_growth)^(D613-1))</f>
        <v/>
      </c>
      <c r="J613" s="40">
        <f>(J612-L612)*F613/F612</f>
        <v/>
      </c>
      <c r="K613" s="40">
        <f>(K612-M612)*F613/F612+SUMIFS(O607:O612,B607:B612,B613-1-d_T)*F613</f>
        <v/>
      </c>
      <c r="L613" s="40">
        <f>IF(B613&gt;=in_marketplace_from,J613*d_hz*G613*in_eligible*H613,0)</f>
        <v/>
      </c>
      <c r="M613" s="40">
        <f>IF(B613&gt;=in_marketplace_from,K613*d_hz*G613*in_eligible*in_approved_repeat,0)</f>
        <v/>
      </c>
      <c r="N613" s="40">
        <f>L613+M613</f>
        <v/>
      </c>
      <c r="O613" s="46">
        <f>N613/F613</f>
        <v/>
      </c>
      <c r="P613" s="40">
        <f>F613-J613-K613</f>
        <v/>
      </c>
      <c r="Q613" s="40">
        <f>IF(B613&gt;=in_marketplace_from,(J613+K613)*d_hz*G613,0)</f>
        <v/>
      </c>
      <c r="R613" s="40">
        <f>SUMIFS(N607:N655,B607:B655,"&gt;="&amp;(B613-d_T),B607:B655,"&lt;="&amp;(B613-1))</f>
        <v/>
      </c>
      <c r="S613" s="46">
        <f>(1-d_u)*S612+IF(d_T&gt;in_topup_lag,SUMIFS(O607:O655,B607:B655,B613-in_topup_lag)-d_udrop*SUMIFS(O607:O655,B607:B655,B613-d_T),0)</f>
        <v/>
      </c>
      <c r="T613" s="40">
        <f>F613*d_u*S613</f>
        <v/>
      </c>
      <c r="U613" s="9">
        <f>L613*in_ticket+M613*d_rep_ticket</f>
        <v/>
      </c>
      <c r="V613" s="9">
        <f>U613+T613*d_topup_amt</f>
        <v/>
      </c>
      <c r="W613" s="40">
        <f>N613+T613*d_topup_ratio</f>
        <v/>
      </c>
      <c r="X613" s="40">
        <f>SUMIFS(W607:W655,B607:B655,B613-in_dpd_lag)*d_cured</f>
        <v/>
      </c>
      <c r="Y613" s="40">
        <f>SUMIFS(W607:W655,B607:B655,B613-in_rec_lag)*d_recd</f>
        <v/>
      </c>
      <c r="Z613" s="40">
        <f>IF(AND(B613&gt;=in_marketplace_from,B613&lt;in_marketplace_from+in_card_months),in_card_share/in_card_months*F613*I613,IF(AND(B613&gt;=in_marketplace_from+in_card_months,B613&lt;in_marketplace_from+2*in_card_months),in_card_share*d_card_rem/in_card_months*F613*MIN(in_takeup_cap,(1+in_takeup_growth)^(D613-1))*MIN(in_takeup_cap,(1+in_approval_growth)^(D613-1)),0))</f>
        <v/>
      </c>
      <c r="AA613" s="14">
        <f>V613*in_fee*(1-in_taken_back)</f>
        <v/>
      </c>
      <c r="AB613" s="14">
        <f>SUMIFS(W607:W655,B607:B655,B613-in_dpd_lag)*d_dpd</f>
        <v/>
      </c>
      <c r="AC613" s="14">
        <f>SUMIFS(W607:W655,B607:B655,B613-in_rec_lag)*d_rec</f>
        <v/>
      </c>
      <c r="AD613" s="14">
        <f>Z613*in_card_fee</f>
        <v/>
      </c>
      <c r="AE613" s="40">
        <f>AE612*(1-IF(B612&gt;=in_marketplace_from,d_hz_hlth_small*G612,0))</f>
        <v/>
      </c>
      <c r="AF613" s="46">
        <f>AE613*IF(B613&gt;=in_marketplace_from,d_hz_hlth_small*G613,0)</f>
        <v/>
      </c>
      <c r="AG613" s="14">
        <f>F613*AF613*in_hlth_small_ticket*in_hlth_small_comm*in_ins_partner_share+F613*in_hlth_small_ticket*in_hlth_small_renew_comm*in_ins_partner_share*(in_hlth_small_renew^1*SUMIFS(AF607:AF655,B607:B655,B613-12)+in_hlth_small_renew^2*SUMIFS(AF607:AF655,B607:B655,B613-24)+in_hlth_small_renew^3*SUMIFS(AF607:AF655,B607:B655,B613-36)+in_hlth_small_renew^4*SUMIFS(AF607:AF655,B607:B655,B613-48))</f>
        <v/>
      </c>
      <c r="AH613" s="40">
        <f>AH612*(1-IF(B612&gt;=in_marketplace_from,d_hz_hlth_family*G612,0))</f>
        <v/>
      </c>
      <c r="AI613" s="46">
        <f>AH613*IF(B613&gt;=in_marketplace_from,d_hz_hlth_family*G613,0)</f>
        <v/>
      </c>
      <c r="AJ613" s="14">
        <f>F613*AI613*in_hlth_family_ticket*in_hlth_family_comm*in_ins_partner_share+F613*in_hlth_family_ticket*in_hlth_family_renew_comm*in_ins_partner_share*(in_hlth_family_renew^1*SUMIFS(AI607:AI655,B607:B655,B613-12)+in_hlth_family_renew^2*SUMIFS(AI607:AI655,B607:B655,B613-24)+in_hlth_family_renew^3*SUMIFS(AI607:AI655,B607:B655,B613-36)+in_hlth_family_renew^4*SUMIFS(AI607:AI655,B607:B655,B613-48))</f>
        <v/>
      </c>
      <c r="AK613" s="40">
        <f>AK612*(1-IF(B612&gt;=in_marketplace_from,d_hz_life_term*G612,0))</f>
        <v/>
      </c>
      <c r="AL613" s="46">
        <f>AK613*IF(B613&gt;=in_marketplace_from,d_hz_life_term*G613,0)</f>
        <v/>
      </c>
      <c r="AM613" s="14">
        <f>F613*AL613*in_life_term_ticket*in_life_term_comm*in_ins_partner_share+F613*in_life_term_ticket*in_life_term_renew_comm*in_ins_partner_share*(in_life_term_renew^1*SUMIFS(AL607:AL655,B607:B655,B613-12)+in_life_term_renew^2*SUMIFS(AL607:AL655,B607:B655,B613-24)+in_life_term_renew^3*SUMIFS(AL607:AL655,B607:B655,B613-36)+in_life_term_renew^4*SUMIFS(AL607:AL655,B607:B655,B613-48))</f>
        <v/>
      </c>
      <c r="AN613" s="40">
        <f>AN612*(1-IF(B612&gt;=in_marketplace_from,d_hz_accident*G612,0))</f>
        <v/>
      </c>
      <c r="AO613" s="46">
        <f>AN613*IF(B613&gt;=in_marketplace_from,d_hz_accident*G613,0)</f>
        <v/>
      </c>
      <c r="AP613" s="14">
        <f>F613*AO613*in_accident_ticket*in_accident_comm*in_ins_partner_share+F613*in_accident_ticket*in_accident_renew_comm*in_ins_partner_share*(in_accident_renew^1*SUMIFS(AO607:AO655,B607:B655,B613-12)+in_accident_renew^2*SUMIFS(AO607:AO655,B607:B655,B613-24)+in_accident_renew^3*SUMIFS(AO607:AO655,B607:B655,B613-36)+in_accident_renew^4*SUMIFS(AO607:AO655,B607:B655,B613-48))</f>
        <v/>
      </c>
      <c r="AQ613" s="40">
        <f>AQ612*(1-IF(B612&gt;=in_marketplace_from,d_hz_two_wheeler*G612,0))</f>
        <v/>
      </c>
      <c r="AR613" s="46">
        <f>AQ613*IF(B613&gt;=in_marketplace_from,d_hz_two_wheeler*G613,0)</f>
        <v/>
      </c>
      <c r="AS613" s="14">
        <f>F613*AR613*in_two_wheeler_ticket*in_two_wheeler_comm*in_ins_partner_share+F613*in_two_wheeler_ticket*in_two_wheeler_comm*in_ins_partner_share*(in_two_wheeler_renew^1*SUMIFS(AR607:AR655,B607:B655,B613-12)+in_two_wheeler_renew^2*SUMIFS(AR607:AR655,B607:B655,B613-24)+in_two_wheeler_renew^3*SUMIFS(AR607:AR655,B607:B655,B613-36)+in_two_wheeler_renew^4*SUMIFS(AR607:AR655,B607:B655,B613-48))</f>
        <v/>
      </c>
      <c r="AT613" s="40">
        <f>AT612*(1-IF(B612&gt;=in_marketplace_from,d_hz_device*G612,0))</f>
        <v/>
      </c>
      <c r="AU613" s="14">
        <f>F613*AT613*IF(B613&gt;=in_marketplace_from,d_hz_device*G613,0)*in_device_ticket*in_device_comm*in_ins_partner_share</f>
        <v/>
      </c>
      <c r="AV613" s="40">
        <f>AV612*(1-IF(B612&gt;=in_marketplace_from,d_hz_shop*G612,0))</f>
        <v/>
      </c>
      <c r="AW613" s="46">
        <f>AV613*IF(B613&gt;=in_marketplace_from,d_hz_shop*G613,0)</f>
        <v/>
      </c>
      <c r="AX613" s="14">
        <f>F613*AW613*in_shop_ticket*in_shop_comm*in_ins_partner_share+F613*in_shop_ticket*in_shop_renew_comm*in_ins_partner_share*(in_shop_renew^1*SUMIFS(AW607:AW655,B607:B655,B613-12)+in_shop_renew^2*SUMIFS(AW607:AW655,B607:B655,B613-24)+in_shop_renew^3*SUMIFS(AW607:AW655,B607:B655,B613-36)+in_shop_renew^4*SUMIFS(AW607:AW655,B607:B655,B613-48))</f>
        <v/>
      </c>
      <c r="AY613" s="40">
        <f>AY612*(1-IF(B612&gt;=in_marketplace_from,d_hz_sip*G612,0))</f>
        <v/>
      </c>
      <c r="AZ613" s="40">
        <f>AZ612*d_rho_sip+AY613*IF(B613&gt;=in_marketplace_from,d_hz_sip*G613,0)</f>
        <v/>
      </c>
      <c r="BA613" s="40">
        <f>d_rho_sip*(BA612+AZ612)</f>
        <v/>
      </c>
      <c r="BB613" s="14">
        <f>F613*in_sip_ticket*(BA613+0.5*AZ613)*in_sip_comm/12</f>
        <v/>
      </c>
      <c r="BC613" s="40">
        <f>BC612*(1-IF(B612&gt;=in_marketplace_from,d_hz_choti*G612,0))</f>
        <v/>
      </c>
      <c r="BD613" s="46">
        <f>BC613*IF(B613&gt;=in_marketplace_from,d_hz_choti*G613,0)</f>
        <v/>
      </c>
      <c r="BE613" s="14">
        <f>F613*SUMIFS(BD607:BD655,B607:B655,B613-in_choti_months)*in_choti_renew*in_choti_ticket</f>
        <v/>
      </c>
      <c r="BF613" s="40">
        <f>BF612*(1-IF(B612&gt;=in_marketplace_from,d_hz_nps*G612,0))</f>
        <v/>
      </c>
      <c r="BG613" s="14">
        <f>F613*BF613*IF(B613&gt;=in_marketplace_from,d_hz_nps*G613,0)*in_nps_ticket*in_nps_comm</f>
        <v/>
      </c>
      <c r="BH613" s="40">
        <f>BH612*(1-IF(B612&gt;=in_marketplace_from,d_hz_gold*G612,0))</f>
        <v/>
      </c>
      <c r="BI613" s="40">
        <f>BI612*d_rho_gold+BH613*IF(B613&gt;=in_marketplace_from,d_hz_gold*G613,0)</f>
        <v/>
      </c>
      <c r="BJ613" s="14">
        <f>F613*BI613*in_gold_ticket*in_gold_comm</f>
        <v/>
      </c>
      <c r="BK613" s="40">
        <f>BK612*(1-IF(B612&gt;=in_marketplace_from,d_hz_fd*G612,0))</f>
        <v/>
      </c>
      <c r="BL613" s="14">
        <f>F613*BK613*IF(B613&gt;=in_marketplace_from,d_hz_fd*G613,0)*in_fd_ticket*in_fd_comm</f>
        <v/>
      </c>
      <c r="BM613" s="40">
        <f>BM612*(1-IF(B612&gt;=in_marketplace_from,d_hz_recharge*G612,0))</f>
        <v/>
      </c>
      <c r="BN613" s="40">
        <f>BN612*d_rho_recharge+BM613*IF(B613&gt;=in_marketplace_from,d_hz_recharge*G613,0)</f>
        <v/>
      </c>
      <c r="BO613" s="14">
        <f>F613*BN613*in_recharge_ticket*in_recharge_comm/12</f>
        <v/>
      </c>
      <c r="BP613" s="40">
        <f>BP612*(1-IF(B612&gt;=in_marketplace_from,d_hz_bills*G612,0))</f>
        <v/>
      </c>
      <c r="BQ613" s="40">
        <f>BQ612*d_rho_bills+BP613*IF(B613&gt;=in_marketplace_from,d_hz_bills*G613,0)</f>
        <v/>
      </c>
      <c r="BR613" s="14">
        <f>F613*BQ613*in_bills_ticket*in_bills_comm/12</f>
        <v/>
      </c>
      <c r="BS613" s="40">
        <f>BS612*(1-IF(B612&gt;=in_marketplace_from,d_hz_loan_gold*G612,0))</f>
        <v/>
      </c>
      <c r="BT613" s="14">
        <f>F613*BS613*IF(B613&gt;=in_marketplace_from,d_hz_loan_gold*G613,0)*in_loan_gold_ticket*in_loan_gold_comm</f>
        <v/>
      </c>
      <c r="BU613" s="40">
        <f>BU612*(1-IF(B612&gt;=in_marketplace_from,d_hz_loan_cd*G612,0))</f>
        <v/>
      </c>
      <c r="BV613" s="14">
        <f>F613*BU613*IF(B613&gt;=in_marketplace_from,d_hz_loan_cd*G613,0)*in_loan_cd_ticket*in_loan_cd_comm</f>
        <v/>
      </c>
      <c r="BW613" s="40">
        <f>BW612*(1-IF(B612&gt;=in_marketplace_from,d_hz_loan_vehicle*G612,0))</f>
        <v/>
      </c>
      <c r="BX613" s="14">
        <f>F613*BW613*IF(B613&gt;=in_marketplace_from,d_hz_loan_vehicle*G613,0)*in_loan_vehicle_ticket*in_loan_vehicle_comm</f>
        <v/>
      </c>
      <c r="BY613" s="40">
        <f>BY612*(1-IF(B612&gt;=in_marketplace_from,d_hz_loan_home*G612,0)*BZ612)</f>
        <v/>
      </c>
      <c r="BZ613" s="11">
        <f>MIN(in_approval_cap,in_loan_home_approval*INDEX('Age profile'!$O$2:$O$61,B613)*(1+in_approval_growth)^(D613-1))</f>
        <v/>
      </c>
      <c r="CA613" s="14">
        <f>F613*BY613*IF(B613&gt;=in_marketplace_from,d_hz_loan_home*G613,0)*BZ613*in_loan_home_ticket*in_loan_home_comm</f>
        <v/>
      </c>
      <c r="CB613" s="40">
        <f>CB612*(1-IF(B612&gt;=in_marketplace_from,d_hz_loan_lap*G612,0)*CC612)</f>
        <v/>
      </c>
      <c r="CC613" s="11">
        <f>MIN(in_approval_cap,in_loan_lap_approval*INDEX('Age profile'!$O$2:$O$61,B613)*(1+in_approval_growth)^(D613-1))</f>
        <v/>
      </c>
      <c r="CD613" s="14">
        <f>F613*CB613*IF(B613&gt;=in_marketplace_from,d_hz_loan_lap*G613,0)*CC613*in_loan_lap_ticket*in_loan_lap_comm</f>
        <v/>
      </c>
      <c r="CE613" s="14">
        <f>AA613+AB613+AC613+AD613+AG613+AJ613+AM613+AP613+AS613+AU613+AX613+BB613+BE613+BG613+BJ613+BL613+BO613+BR613+BT613+BV613+BX613+CA613+CD613</f>
        <v/>
      </c>
    </row>
    <row r="614">
      <c r="A614" s="39" t="n">
        <v>12</v>
      </c>
      <c r="B614" s="39" t="n">
        <v>8</v>
      </c>
      <c r="C614" s="39">
        <f>A614+B614-1</f>
        <v/>
      </c>
      <c r="D614" s="39">
        <f>INT((C614-1)/12)+1</f>
        <v/>
      </c>
      <c r="E614" s="44">
        <f>INDEX(Monthly!$B$2:$B$61,A614)</f>
        <v/>
      </c>
      <c r="F614" s="44">
        <f>E614*INDEX('Age profile'!$B$2:$B$61,B614)</f>
        <v/>
      </c>
      <c r="G614" s="45">
        <f>MIN(in_takeup_cap,INDEX('Age profile'!$N$2:$N$61,B614)*(1+in_takeup_growth)^(D614-1))</f>
        <v/>
      </c>
      <c r="H614" s="11">
        <f>MIN(in_approval_cap,in_approved_first*INDEX('Age profile'!$O$2:$O$61,B614)*(1+in_approval_growth)^(D614-1))</f>
        <v/>
      </c>
      <c r="I614" s="45">
        <f>G614*MIN(in_takeup_cap,INDEX('Age profile'!$O$2:$O$61,B614)*(1+in_approval_growth)^(D614-1))</f>
        <v/>
      </c>
      <c r="J614" s="40">
        <f>(J613-L613)*F614/F613</f>
        <v/>
      </c>
      <c r="K614" s="40">
        <f>(K613-M613)*F614/F613+SUMIFS(O607:O613,B607:B613,B614-1-d_T)*F614</f>
        <v/>
      </c>
      <c r="L614" s="40">
        <f>IF(B614&gt;=in_marketplace_from,J614*d_hz*G614*in_eligible*H614,0)</f>
        <v/>
      </c>
      <c r="M614" s="40">
        <f>IF(B614&gt;=in_marketplace_from,K614*d_hz*G614*in_eligible*in_approved_repeat,0)</f>
        <v/>
      </c>
      <c r="N614" s="40">
        <f>L614+M614</f>
        <v/>
      </c>
      <c r="O614" s="46">
        <f>N614/F614</f>
        <v/>
      </c>
      <c r="P614" s="40">
        <f>F614-J614-K614</f>
        <v/>
      </c>
      <c r="Q614" s="40">
        <f>IF(B614&gt;=in_marketplace_from,(J614+K614)*d_hz*G614,0)</f>
        <v/>
      </c>
      <c r="R614" s="40">
        <f>SUMIFS(N607:N655,B607:B655,"&gt;="&amp;(B614-d_T),B607:B655,"&lt;="&amp;(B614-1))</f>
        <v/>
      </c>
      <c r="S614" s="46">
        <f>(1-d_u)*S613+IF(d_T&gt;in_topup_lag,SUMIFS(O607:O655,B607:B655,B614-in_topup_lag)-d_udrop*SUMIFS(O607:O655,B607:B655,B614-d_T),0)</f>
        <v/>
      </c>
      <c r="T614" s="40">
        <f>F614*d_u*S614</f>
        <v/>
      </c>
      <c r="U614" s="9">
        <f>L614*in_ticket+M614*d_rep_ticket</f>
        <v/>
      </c>
      <c r="V614" s="9">
        <f>U614+T614*d_topup_amt</f>
        <v/>
      </c>
      <c r="W614" s="40">
        <f>N614+T614*d_topup_ratio</f>
        <v/>
      </c>
      <c r="X614" s="40">
        <f>SUMIFS(W607:W655,B607:B655,B614-in_dpd_lag)*d_cured</f>
        <v/>
      </c>
      <c r="Y614" s="40">
        <f>SUMIFS(W607:W655,B607:B655,B614-in_rec_lag)*d_recd</f>
        <v/>
      </c>
      <c r="Z614" s="40">
        <f>IF(AND(B614&gt;=in_marketplace_from,B614&lt;in_marketplace_from+in_card_months),in_card_share/in_card_months*F614*I614,IF(AND(B614&gt;=in_marketplace_from+in_card_months,B614&lt;in_marketplace_from+2*in_card_months),in_card_share*d_card_rem/in_card_months*F614*MIN(in_takeup_cap,(1+in_takeup_growth)^(D614-1))*MIN(in_takeup_cap,(1+in_approval_growth)^(D614-1)),0))</f>
        <v/>
      </c>
      <c r="AA614" s="14">
        <f>V614*in_fee*(1-in_taken_back)</f>
        <v/>
      </c>
      <c r="AB614" s="14">
        <f>SUMIFS(W607:W655,B607:B655,B614-in_dpd_lag)*d_dpd</f>
        <v/>
      </c>
      <c r="AC614" s="14">
        <f>SUMIFS(W607:W655,B607:B655,B614-in_rec_lag)*d_rec</f>
        <v/>
      </c>
      <c r="AD614" s="14">
        <f>Z614*in_card_fee</f>
        <v/>
      </c>
      <c r="AE614" s="40">
        <f>AE613*(1-IF(B613&gt;=in_marketplace_from,d_hz_hlth_small*G613,0))</f>
        <v/>
      </c>
      <c r="AF614" s="46">
        <f>AE614*IF(B614&gt;=in_marketplace_from,d_hz_hlth_small*G614,0)</f>
        <v/>
      </c>
      <c r="AG614" s="14">
        <f>F614*AF614*in_hlth_small_ticket*in_hlth_small_comm*in_ins_partner_share+F614*in_hlth_small_ticket*in_hlth_small_renew_comm*in_ins_partner_share*(in_hlth_small_renew^1*SUMIFS(AF607:AF655,B607:B655,B614-12)+in_hlth_small_renew^2*SUMIFS(AF607:AF655,B607:B655,B614-24)+in_hlth_small_renew^3*SUMIFS(AF607:AF655,B607:B655,B614-36)+in_hlth_small_renew^4*SUMIFS(AF607:AF655,B607:B655,B614-48))</f>
        <v/>
      </c>
      <c r="AH614" s="40">
        <f>AH613*(1-IF(B613&gt;=in_marketplace_from,d_hz_hlth_family*G613,0))</f>
        <v/>
      </c>
      <c r="AI614" s="46">
        <f>AH614*IF(B614&gt;=in_marketplace_from,d_hz_hlth_family*G614,0)</f>
        <v/>
      </c>
      <c r="AJ614" s="14">
        <f>F614*AI614*in_hlth_family_ticket*in_hlth_family_comm*in_ins_partner_share+F614*in_hlth_family_ticket*in_hlth_family_renew_comm*in_ins_partner_share*(in_hlth_family_renew^1*SUMIFS(AI607:AI655,B607:B655,B614-12)+in_hlth_family_renew^2*SUMIFS(AI607:AI655,B607:B655,B614-24)+in_hlth_family_renew^3*SUMIFS(AI607:AI655,B607:B655,B614-36)+in_hlth_family_renew^4*SUMIFS(AI607:AI655,B607:B655,B614-48))</f>
        <v/>
      </c>
      <c r="AK614" s="40">
        <f>AK613*(1-IF(B613&gt;=in_marketplace_from,d_hz_life_term*G613,0))</f>
        <v/>
      </c>
      <c r="AL614" s="46">
        <f>AK614*IF(B614&gt;=in_marketplace_from,d_hz_life_term*G614,0)</f>
        <v/>
      </c>
      <c r="AM614" s="14">
        <f>F614*AL614*in_life_term_ticket*in_life_term_comm*in_ins_partner_share+F614*in_life_term_ticket*in_life_term_renew_comm*in_ins_partner_share*(in_life_term_renew^1*SUMIFS(AL607:AL655,B607:B655,B614-12)+in_life_term_renew^2*SUMIFS(AL607:AL655,B607:B655,B614-24)+in_life_term_renew^3*SUMIFS(AL607:AL655,B607:B655,B614-36)+in_life_term_renew^4*SUMIFS(AL607:AL655,B607:B655,B614-48))</f>
        <v/>
      </c>
      <c r="AN614" s="40">
        <f>AN613*(1-IF(B613&gt;=in_marketplace_from,d_hz_accident*G613,0))</f>
        <v/>
      </c>
      <c r="AO614" s="46">
        <f>AN614*IF(B614&gt;=in_marketplace_from,d_hz_accident*G614,0)</f>
        <v/>
      </c>
      <c r="AP614" s="14">
        <f>F614*AO614*in_accident_ticket*in_accident_comm*in_ins_partner_share+F614*in_accident_ticket*in_accident_renew_comm*in_ins_partner_share*(in_accident_renew^1*SUMIFS(AO607:AO655,B607:B655,B614-12)+in_accident_renew^2*SUMIFS(AO607:AO655,B607:B655,B614-24)+in_accident_renew^3*SUMIFS(AO607:AO655,B607:B655,B614-36)+in_accident_renew^4*SUMIFS(AO607:AO655,B607:B655,B614-48))</f>
        <v/>
      </c>
      <c r="AQ614" s="40">
        <f>AQ613*(1-IF(B613&gt;=in_marketplace_from,d_hz_two_wheeler*G613,0))</f>
        <v/>
      </c>
      <c r="AR614" s="46">
        <f>AQ614*IF(B614&gt;=in_marketplace_from,d_hz_two_wheeler*G614,0)</f>
        <v/>
      </c>
      <c r="AS614" s="14">
        <f>F614*AR614*in_two_wheeler_ticket*in_two_wheeler_comm*in_ins_partner_share+F614*in_two_wheeler_ticket*in_two_wheeler_comm*in_ins_partner_share*(in_two_wheeler_renew^1*SUMIFS(AR607:AR655,B607:B655,B614-12)+in_two_wheeler_renew^2*SUMIFS(AR607:AR655,B607:B655,B614-24)+in_two_wheeler_renew^3*SUMIFS(AR607:AR655,B607:B655,B614-36)+in_two_wheeler_renew^4*SUMIFS(AR607:AR655,B607:B655,B614-48))</f>
        <v/>
      </c>
      <c r="AT614" s="40">
        <f>AT613*(1-IF(B613&gt;=in_marketplace_from,d_hz_device*G613,0))</f>
        <v/>
      </c>
      <c r="AU614" s="14">
        <f>F614*AT614*IF(B614&gt;=in_marketplace_from,d_hz_device*G614,0)*in_device_ticket*in_device_comm*in_ins_partner_share</f>
        <v/>
      </c>
      <c r="AV614" s="40">
        <f>AV613*(1-IF(B613&gt;=in_marketplace_from,d_hz_shop*G613,0))</f>
        <v/>
      </c>
      <c r="AW614" s="46">
        <f>AV614*IF(B614&gt;=in_marketplace_from,d_hz_shop*G614,0)</f>
        <v/>
      </c>
      <c r="AX614" s="14">
        <f>F614*AW614*in_shop_ticket*in_shop_comm*in_ins_partner_share+F614*in_shop_ticket*in_shop_renew_comm*in_ins_partner_share*(in_shop_renew^1*SUMIFS(AW607:AW655,B607:B655,B614-12)+in_shop_renew^2*SUMIFS(AW607:AW655,B607:B655,B614-24)+in_shop_renew^3*SUMIFS(AW607:AW655,B607:B655,B614-36)+in_shop_renew^4*SUMIFS(AW607:AW655,B607:B655,B614-48))</f>
        <v/>
      </c>
      <c r="AY614" s="40">
        <f>AY613*(1-IF(B613&gt;=in_marketplace_from,d_hz_sip*G613,0))</f>
        <v/>
      </c>
      <c r="AZ614" s="40">
        <f>AZ613*d_rho_sip+AY614*IF(B614&gt;=in_marketplace_from,d_hz_sip*G614,0)</f>
        <v/>
      </c>
      <c r="BA614" s="40">
        <f>d_rho_sip*(BA613+AZ613)</f>
        <v/>
      </c>
      <c r="BB614" s="14">
        <f>F614*in_sip_ticket*(BA614+0.5*AZ614)*in_sip_comm/12</f>
        <v/>
      </c>
      <c r="BC614" s="40">
        <f>BC613*(1-IF(B613&gt;=in_marketplace_from,d_hz_choti*G613,0))</f>
        <v/>
      </c>
      <c r="BD614" s="46">
        <f>BC614*IF(B614&gt;=in_marketplace_from,d_hz_choti*G614,0)</f>
        <v/>
      </c>
      <c r="BE614" s="14">
        <f>F614*SUMIFS(BD607:BD655,B607:B655,B614-in_choti_months)*in_choti_renew*in_choti_ticket</f>
        <v/>
      </c>
      <c r="BF614" s="40">
        <f>BF613*(1-IF(B613&gt;=in_marketplace_from,d_hz_nps*G613,0))</f>
        <v/>
      </c>
      <c r="BG614" s="14">
        <f>F614*BF614*IF(B614&gt;=in_marketplace_from,d_hz_nps*G614,0)*in_nps_ticket*in_nps_comm</f>
        <v/>
      </c>
      <c r="BH614" s="40">
        <f>BH613*(1-IF(B613&gt;=in_marketplace_from,d_hz_gold*G613,0))</f>
        <v/>
      </c>
      <c r="BI614" s="40">
        <f>BI613*d_rho_gold+BH614*IF(B614&gt;=in_marketplace_from,d_hz_gold*G614,0)</f>
        <v/>
      </c>
      <c r="BJ614" s="14">
        <f>F614*BI614*in_gold_ticket*in_gold_comm</f>
        <v/>
      </c>
      <c r="BK614" s="40">
        <f>BK613*(1-IF(B613&gt;=in_marketplace_from,d_hz_fd*G613,0))</f>
        <v/>
      </c>
      <c r="BL614" s="14">
        <f>F614*BK614*IF(B614&gt;=in_marketplace_from,d_hz_fd*G614,0)*in_fd_ticket*in_fd_comm</f>
        <v/>
      </c>
      <c r="BM614" s="40">
        <f>BM613*(1-IF(B613&gt;=in_marketplace_from,d_hz_recharge*G613,0))</f>
        <v/>
      </c>
      <c r="BN614" s="40">
        <f>BN613*d_rho_recharge+BM614*IF(B614&gt;=in_marketplace_from,d_hz_recharge*G614,0)</f>
        <v/>
      </c>
      <c r="BO614" s="14">
        <f>F614*BN614*in_recharge_ticket*in_recharge_comm/12</f>
        <v/>
      </c>
      <c r="BP614" s="40">
        <f>BP613*(1-IF(B613&gt;=in_marketplace_from,d_hz_bills*G613,0))</f>
        <v/>
      </c>
      <c r="BQ614" s="40">
        <f>BQ613*d_rho_bills+BP614*IF(B614&gt;=in_marketplace_from,d_hz_bills*G614,0)</f>
        <v/>
      </c>
      <c r="BR614" s="14">
        <f>F614*BQ614*in_bills_ticket*in_bills_comm/12</f>
        <v/>
      </c>
      <c r="BS614" s="40">
        <f>BS613*(1-IF(B613&gt;=in_marketplace_from,d_hz_loan_gold*G613,0))</f>
        <v/>
      </c>
      <c r="BT614" s="14">
        <f>F614*BS614*IF(B614&gt;=in_marketplace_from,d_hz_loan_gold*G614,0)*in_loan_gold_ticket*in_loan_gold_comm</f>
        <v/>
      </c>
      <c r="BU614" s="40">
        <f>BU613*(1-IF(B613&gt;=in_marketplace_from,d_hz_loan_cd*G613,0))</f>
        <v/>
      </c>
      <c r="BV614" s="14">
        <f>F614*BU614*IF(B614&gt;=in_marketplace_from,d_hz_loan_cd*G614,0)*in_loan_cd_ticket*in_loan_cd_comm</f>
        <v/>
      </c>
      <c r="BW614" s="40">
        <f>BW613*(1-IF(B613&gt;=in_marketplace_from,d_hz_loan_vehicle*G613,0))</f>
        <v/>
      </c>
      <c r="BX614" s="14">
        <f>F614*BW614*IF(B614&gt;=in_marketplace_from,d_hz_loan_vehicle*G614,0)*in_loan_vehicle_ticket*in_loan_vehicle_comm</f>
        <v/>
      </c>
      <c r="BY614" s="40">
        <f>BY613*(1-IF(B613&gt;=in_marketplace_from,d_hz_loan_home*G613,0)*BZ613)</f>
        <v/>
      </c>
      <c r="BZ614" s="11">
        <f>MIN(in_approval_cap,in_loan_home_approval*INDEX('Age profile'!$O$2:$O$61,B614)*(1+in_approval_growth)^(D614-1))</f>
        <v/>
      </c>
      <c r="CA614" s="14">
        <f>F614*BY614*IF(B614&gt;=in_marketplace_from,d_hz_loan_home*G614,0)*BZ614*in_loan_home_ticket*in_loan_home_comm</f>
        <v/>
      </c>
      <c r="CB614" s="40">
        <f>CB613*(1-IF(B613&gt;=in_marketplace_from,d_hz_loan_lap*G613,0)*CC613)</f>
        <v/>
      </c>
      <c r="CC614" s="11">
        <f>MIN(in_approval_cap,in_loan_lap_approval*INDEX('Age profile'!$O$2:$O$61,B614)*(1+in_approval_growth)^(D614-1))</f>
        <v/>
      </c>
      <c r="CD614" s="14">
        <f>F614*CB614*IF(B614&gt;=in_marketplace_from,d_hz_loan_lap*G614,0)*CC614*in_loan_lap_ticket*in_loan_lap_comm</f>
        <v/>
      </c>
      <c r="CE614" s="14">
        <f>AA614+AB614+AC614+AD614+AG614+AJ614+AM614+AP614+AS614+AU614+AX614+BB614+BE614+BG614+BJ614+BL614+BO614+BR614+BT614+BV614+BX614+CA614+CD614</f>
        <v/>
      </c>
    </row>
    <row r="615">
      <c r="A615" s="39" t="n">
        <v>12</v>
      </c>
      <c r="B615" s="39" t="n">
        <v>9</v>
      </c>
      <c r="C615" s="39">
        <f>A615+B615-1</f>
        <v/>
      </c>
      <c r="D615" s="39">
        <f>INT((C615-1)/12)+1</f>
        <v/>
      </c>
      <c r="E615" s="44">
        <f>INDEX(Monthly!$B$2:$B$61,A615)</f>
        <v/>
      </c>
      <c r="F615" s="44">
        <f>E615*INDEX('Age profile'!$B$2:$B$61,B615)</f>
        <v/>
      </c>
      <c r="G615" s="45">
        <f>MIN(in_takeup_cap,INDEX('Age profile'!$N$2:$N$61,B615)*(1+in_takeup_growth)^(D615-1))</f>
        <v/>
      </c>
      <c r="H615" s="11">
        <f>MIN(in_approval_cap,in_approved_first*INDEX('Age profile'!$O$2:$O$61,B615)*(1+in_approval_growth)^(D615-1))</f>
        <v/>
      </c>
      <c r="I615" s="45">
        <f>G615*MIN(in_takeup_cap,INDEX('Age profile'!$O$2:$O$61,B615)*(1+in_approval_growth)^(D615-1))</f>
        <v/>
      </c>
      <c r="J615" s="40">
        <f>(J614-L614)*F615/F614</f>
        <v/>
      </c>
      <c r="K615" s="40">
        <f>(K614-M614)*F615/F614+SUMIFS(O607:O614,B607:B614,B615-1-d_T)*F615</f>
        <v/>
      </c>
      <c r="L615" s="40">
        <f>IF(B615&gt;=in_marketplace_from,J615*d_hz*G615*in_eligible*H615,0)</f>
        <v/>
      </c>
      <c r="M615" s="40">
        <f>IF(B615&gt;=in_marketplace_from,K615*d_hz*G615*in_eligible*in_approved_repeat,0)</f>
        <v/>
      </c>
      <c r="N615" s="40">
        <f>L615+M615</f>
        <v/>
      </c>
      <c r="O615" s="46">
        <f>N615/F615</f>
        <v/>
      </c>
      <c r="P615" s="40">
        <f>F615-J615-K615</f>
        <v/>
      </c>
      <c r="Q615" s="40">
        <f>IF(B615&gt;=in_marketplace_from,(J615+K615)*d_hz*G615,0)</f>
        <v/>
      </c>
      <c r="R615" s="40">
        <f>SUMIFS(N607:N655,B607:B655,"&gt;="&amp;(B615-d_T),B607:B655,"&lt;="&amp;(B615-1))</f>
        <v/>
      </c>
      <c r="S615" s="46">
        <f>(1-d_u)*S614+IF(d_T&gt;in_topup_lag,SUMIFS(O607:O655,B607:B655,B615-in_topup_lag)-d_udrop*SUMIFS(O607:O655,B607:B655,B615-d_T),0)</f>
        <v/>
      </c>
      <c r="T615" s="40">
        <f>F615*d_u*S615</f>
        <v/>
      </c>
      <c r="U615" s="9">
        <f>L615*in_ticket+M615*d_rep_ticket</f>
        <v/>
      </c>
      <c r="V615" s="9">
        <f>U615+T615*d_topup_amt</f>
        <v/>
      </c>
      <c r="W615" s="40">
        <f>N615+T615*d_topup_ratio</f>
        <v/>
      </c>
      <c r="X615" s="40">
        <f>SUMIFS(W607:W655,B607:B655,B615-in_dpd_lag)*d_cured</f>
        <v/>
      </c>
      <c r="Y615" s="40">
        <f>SUMIFS(W607:W655,B607:B655,B615-in_rec_lag)*d_recd</f>
        <v/>
      </c>
      <c r="Z615" s="40">
        <f>IF(AND(B615&gt;=in_marketplace_from,B615&lt;in_marketplace_from+in_card_months),in_card_share/in_card_months*F615*I615,IF(AND(B615&gt;=in_marketplace_from+in_card_months,B615&lt;in_marketplace_from+2*in_card_months),in_card_share*d_card_rem/in_card_months*F615*MIN(in_takeup_cap,(1+in_takeup_growth)^(D615-1))*MIN(in_takeup_cap,(1+in_approval_growth)^(D615-1)),0))</f>
        <v/>
      </c>
      <c r="AA615" s="14">
        <f>V615*in_fee*(1-in_taken_back)</f>
        <v/>
      </c>
      <c r="AB615" s="14">
        <f>SUMIFS(W607:W655,B607:B655,B615-in_dpd_lag)*d_dpd</f>
        <v/>
      </c>
      <c r="AC615" s="14">
        <f>SUMIFS(W607:W655,B607:B655,B615-in_rec_lag)*d_rec</f>
        <v/>
      </c>
      <c r="AD615" s="14">
        <f>Z615*in_card_fee</f>
        <v/>
      </c>
      <c r="AE615" s="40">
        <f>AE614*(1-IF(B614&gt;=in_marketplace_from,d_hz_hlth_small*G614,0))</f>
        <v/>
      </c>
      <c r="AF615" s="46">
        <f>AE615*IF(B615&gt;=in_marketplace_from,d_hz_hlth_small*G615,0)</f>
        <v/>
      </c>
      <c r="AG615" s="14">
        <f>F615*AF615*in_hlth_small_ticket*in_hlth_small_comm*in_ins_partner_share+F615*in_hlth_small_ticket*in_hlth_small_renew_comm*in_ins_partner_share*(in_hlth_small_renew^1*SUMIFS(AF607:AF655,B607:B655,B615-12)+in_hlth_small_renew^2*SUMIFS(AF607:AF655,B607:B655,B615-24)+in_hlth_small_renew^3*SUMIFS(AF607:AF655,B607:B655,B615-36)+in_hlth_small_renew^4*SUMIFS(AF607:AF655,B607:B655,B615-48))</f>
        <v/>
      </c>
      <c r="AH615" s="40">
        <f>AH614*(1-IF(B614&gt;=in_marketplace_from,d_hz_hlth_family*G614,0))</f>
        <v/>
      </c>
      <c r="AI615" s="46">
        <f>AH615*IF(B615&gt;=in_marketplace_from,d_hz_hlth_family*G615,0)</f>
        <v/>
      </c>
      <c r="AJ615" s="14">
        <f>F615*AI615*in_hlth_family_ticket*in_hlth_family_comm*in_ins_partner_share+F615*in_hlth_family_ticket*in_hlth_family_renew_comm*in_ins_partner_share*(in_hlth_family_renew^1*SUMIFS(AI607:AI655,B607:B655,B615-12)+in_hlth_family_renew^2*SUMIFS(AI607:AI655,B607:B655,B615-24)+in_hlth_family_renew^3*SUMIFS(AI607:AI655,B607:B655,B615-36)+in_hlth_family_renew^4*SUMIFS(AI607:AI655,B607:B655,B615-48))</f>
        <v/>
      </c>
      <c r="AK615" s="40">
        <f>AK614*(1-IF(B614&gt;=in_marketplace_from,d_hz_life_term*G614,0))</f>
        <v/>
      </c>
      <c r="AL615" s="46">
        <f>AK615*IF(B615&gt;=in_marketplace_from,d_hz_life_term*G615,0)</f>
        <v/>
      </c>
      <c r="AM615" s="14">
        <f>F615*AL615*in_life_term_ticket*in_life_term_comm*in_ins_partner_share+F615*in_life_term_ticket*in_life_term_renew_comm*in_ins_partner_share*(in_life_term_renew^1*SUMIFS(AL607:AL655,B607:B655,B615-12)+in_life_term_renew^2*SUMIFS(AL607:AL655,B607:B655,B615-24)+in_life_term_renew^3*SUMIFS(AL607:AL655,B607:B655,B615-36)+in_life_term_renew^4*SUMIFS(AL607:AL655,B607:B655,B615-48))</f>
        <v/>
      </c>
      <c r="AN615" s="40">
        <f>AN614*(1-IF(B614&gt;=in_marketplace_from,d_hz_accident*G614,0))</f>
        <v/>
      </c>
      <c r="AO615" s="46">
        <f>AN615*IF(B615&gt;=in_marketplace_from,d_hz_accident*G615,0)</f>
        <v/>
      </c>
      <c r="AP615" s="14">
        <f>F615*AO615*in_accident_ticket*in_accident_comm*in_ins_partner_share+F615*in_accident_ticket*in_accident_renew_comm*in_ins_partner_share*(in_accident_renew^1*SUMIFS(AO607:AO655,B607:B655,B615-12)+in_accident_renew^2*SUMIFS(AO607:AO655,B607:B655,B615-24)+in_accident_renew^3*SUMIFS(AO607:AO655,B607:B655,B615-36)+in_accident_renew^4*SUMIFS(AO607:AO655,B607:B655,B615-48))</f>
        <v/>
      </c>
      <c r="AQ615" s="40">
        <f>AQ614*(1-IF(B614&gt;=in_marketplace_from,d_hz_two_wheeler*G614,0))</f>
        <v/>
      </c>
      <c r="AR615" s="46">
        <f>AQ615*IF(B615&gt;=in_marketplace_from,d_hz_two_wheeler*G615,0)</f>
        <v/>
      </c>
      <c r="AS615" s="14">
        <f>F615*AR615*in_two_wheeler_ticket*in_two_wheeler_comm*in_ins_partner_share+F615*in_two_wheeler_ticket*in_two_wheeler_comm*in_ins_partner_share*(in_two_wheeler_renew^1*SUMIFS(AR607:AR655,B607:B655,B615-12)+in_two_wheeler_renew^2*SUMIFS(AR607:AR655,B607:B655,B615-24)+in_two_wheeler_renew^3*SUMIFS(AR607:AR655,B607:B655,B615-36)+in_two_wheeler_renew^4*SUMIFS(AR607:AR655,B607:B655,B615-48))</f>
        <v/>
      </c>
      <c r="AT615" s="40">
        <f>AT614*(1-IF(B614&gt;=in_marketplace_from,d_hz_device*G614,0))</f>
        <v/>
      </c>
      <c r="AU615" s="14">
        <f>F615*AT615*IF(B615&gt;=in_marketplace_from,d_hz_device*G615,0)*in_device_ticket*in_device_comm*in_ins_partner_share</f>
        <v/>
      </c>
      <c r="AV615" s="40">
        <f>AV614*(1-IF(B614&gt;=in_marketplace_from,d_hz_shop*G614,0))</f>
        <v/>
      </c>
      <c r="AW615" s="46">
        <f>AV615*IF(B615&gt;=in_marketplace_from,d_hz_shop*G615,0)</f>
        <v/>
      </c>
      <c r="AX615" s="14">
        <f>F615*AW615*in_shop_ticket*in_shop_comm*in_ins_partner_share+F615*in_shop_ticket*in_shop_renew_comm*in_ins_partner_share*(in_shop_renew^1*SUMIFS(AW607:AW655,B607:B655,B615-12)+in_shop_renew^2*SUMIFS(AW607:AW655,B607:B655,B615-24)+in_shop_renew^3*SUMIFS(AW607:AW655,B607:B655,B615-36)+in_shop_renew^4*SUMIFS(AW607:AW655,B607:B655,B615-48))</f>
        <v/>
      </c>
      <c r="AY615" s="40">
        <f>AY614*(1-IF(B614&gt;=in_marketplace_from,d_hz_sip*G614,0))</f>
        <v/>
      </c>
      <c r="AZ615" s="40">
        <f>AZ614*d_rho_sip+AY615*IF(B615&gt;=in_marketplace_from,d_hz_sip*G615,0)</f>
        <v/>
      </c>
      <c r="BA615" s="40">
        <f>d_rho_sip*(BA614+AZ614)</f>
        <v/>
      </c>
      <c r="BB615" s="14">
        <f>F615*in_sip_ticket*(BA615+0.5*AZ615)*in_sip_comm/12</f>
        <v/>
      </c>
      <c r="BC615" s="40">
        <f>BC614*(1-IF(B614&gt;=in_marketplace_from,d_hz_choti*G614,0))</f>
        <v/>
      </c>
      <c r="BD615" s="46">
        <f>BC615*IF(B615&gt;=in_marketplace_from,d_hz_choti*G615,0)</f>
        <v/>
      </c>
      <c r="BE615" s="14">
        <f>F615*SUMIFS(BD607:BD655,B607:B655,B615-in_choti_months)*in_choti_renew*in_choti_ticket</f>
        <v/>
      </c>
      <c r="BF615" s="40">
        <f>BF614*(1-IF(B614&gt;=in_marketplace_from,d_hz_nps*G614,0))</f>
        <v/>
      </c>
      <c r="BG615" s="14">
        <f>F615*BF615*IF(B615&gt;=in_marketplace_from,d_hz_nps*G615,0)*in_nps_ticket*in_nps_comm</f>
        <v/>
      </c>
      <c r="BH615" s="40">
        <f>BH614*(1-IF(B614&gt;=in_marketplace_from,d_hz_gold*G614,0))</f>
        <v/>
      </c>
      <c r="BI615" s="40">
        <f>BI614*d_rho_gold+BH615*IF(B615&gt;=in_marketplace_from,d_hz_gold*G615,0)</f>
        <v/>
      </c>
      <c r="BJ615" s="14">
        <f>F615*BI615*in_gold_ticket*in_gold_comm</f>
        <v/>
      </c>
      <c r="BK615" s="40">
        <f>BK614*(1-IF(B614&gt;=in_marketplace_from,d_hz_fd*G614,0))</f>
        <v/>
      </c>
      <c r="BL615" s="14">
        <f>F615*BK615*IF(B615&gt;=in_marketplace_from,d_hz_fd*G615,0)*in_fd_ticket*in_fd_comm</f>
        <v/>
      </c>
      <c r="BM615" s="40">
        <f>BM614*(1-IF(B614&gt;=in_marketplace_from,d_hz_recharge*G614,0))</f>
        <v/>
      </c>
      <c r="BN615" s="40">
        <f>BN614*d_rho_recharge+BM615*IF(B615&gt;=in_marketplace_from,d_hz_recharge*G615,0)</f>
        <v/>
      </c>
      <c r="BO615" s="14">
        <f>F615*BN615*in_recharge_ticket*in_recharge_comm/12</f>
        <v/>
      </c>
      <c r="BP615" s="40">
        <f>BP614*(1-IF(B614&gt;=in_marketplace_from,d_hz_bills*G614,0))</f>
        <v/>
      </c>
      <c r="BQ615" s="40">
        <f>BQ614*d_rho_bills+BP615*IF(B615&gt;=in_marketplace_from,d_hz_bills*G615,0)</f>
        <v/>
      </c>
      <c r="BR615" s="14">
        <f>F615*BQ615*in_bills_ticket*in_bills_comm/12</f>
        <v/>
      </c>
      <c r="BS615" s="40">
        <f>BS614*(1-IF(B614&gt;=in_marketplace_from,d_hz_loan_gold*G614,0))</f>
        <v/>
      </c>
      <c r="BT615" s="14">
        <f>F615*BS615*IF(B615&gt;=in_marketplace_from,d_hz_loan_gold*G615,0)*in_loan_gold_ticket*in_loan_gold_comm</f>
        <v/>
      </c>
      <c r="BU615" s="40">
        <f>BU614*(1-IF(B614&gt;=in_marketplace_from,d_hz_loan_cd*G614,0))</f>
        <v/>
      </c>
      <c r="BV615" s="14">
        <f>F615*BU615*IF(B615&gt;=in_marketplace_from,d_hz_loan_cd*G615,0)*in_loan_cd_ticket*in_loan_cd_comm</f>
        <v/>
      </c>
      <c r="BW615" s="40">
        <f>BW614*(1-IF(B614&gt;=in_marketplace_from,d_hz_loan_vehicle*G614,0))</f>
        <v/>
      </c>
      <c r="BX615" s="14">
        <f>F615*BW615*IF(B615&gt;=in_marketplace_from,d_hz_loan_vehicle*G615,0)*in_loan_vehicle_ticket*in_loan_vehicle_comm</f>
        <v/>
      </c>
      <c r="BY615" s="40">
        <f>BY614*(1-IF(B614&gt;=in_marketplace_from,d_hz_loan_home*G614,0)*BZ614)</f>
        <v/>
      </c>
      <c r="BZ615" s="11">
        <f>MIN(in_approval_cap,in_loan_home_approval*INDEX('Age profile'!$O$2:$O$61,B615)*(1+in_approval_growth)^(D615-1))</f>
        <v/>
      </c>
      <c r="CA615" s="14">
        <f>F615*BY615*IF(B615&gt;=in_marketplace_from,d_hz_loan_home*G615,0)*BZ615*in_loan_home_ticket*in_loan_home_comm</f>
        <v/>
      </c>
      <c r="CB615" s="40">
        <f>CB614*(1-IF(B614&gt;=in_marketplace_from,d_hz_loan_lap*G614,0)*CC614)</f>
        <v/>
      </c>
      <c r="CC615" s="11">
        <f>MIN(in_approval_cap,in_loan_lap_approval*INDEX('Age profile'!$O$2:$O$61,B615)*(1+in_approval_growth)^(D615-1))</f>
        <v/>
      </c>
      <c r="CD615" s="14">
        <f>F615*CB615*IF(B615&gt;=in_marketplace_from,d_hz_loan_lap*G615,0)*CC615*in_loan_lap_ticket*in_loan_lap_comm</f>
        <v/>
      </c>
      <c r="CE615" s="14">
        <f>AA615+AB615+AC615+AD615+AG615+AJ615+AM615+AP615+AS615+AU615+AX615+BB615+BE615+BG615+BJ615+BL615+BO615+BR615+BT615+BV615+BX615+CA615+CD615</f>
        <v/>
      </c>
    </row>
    <row r="616">
      <c r="A616" s="39" t="n">
        <v>12</v>
      </c>
      <c r="B616" s="39" t="n">
        <v>10</v>
      </c>
      <c r="C616" s="39">
        <f>A616+B616-1</f>
        <v/>
      </c>
      <c r="D616" s="39">
        <f>INT((C616-1)/12)+1</f>
        <v/>
      </c>
      <c r="E616" s="44">
        <f>INDEX(Monthly!$B$2:$B$61,A616)</f>
        <v/>
      </c>
      <c r="F616" s="44">
        <f>E616*INDEX('Age profile'!$B$2:$B$61,B616)</f>
        <v/>
      </c>
      <c r="G616" s="45">
        <f>MIN(in_takeup_cap,INDEX('Age profile'!$N$2:$N$61,B616)*(1+in_takeup_growth)^(D616-1))</f>
        <v/>
      </c>
      <c r="H616" s="11">
        <f>MIN(in_approval_cap,in_approved_first*INDEX('Age profile'!$O$2:$O$61,B616)*(1+in_approval_growth)^(D616-1))</f>
        <v/>
      </c>
      <c r="I616" s="45">
        <f>G616*MIN(in_takeup_cap,INDEX('Age profile'!$O$2:$O$61,B616)*(1+in_approval_growth)^(D616-1))</f>
        <v/>
      </c>
      <c r="J616" s="40">
        <f>(J615-L615)*F616/F615</f>
        <v/>
      </c>
      <c r="K616" s="40">
        <f>(K615-M615)*F616/F615+SUMIFS(O607:O615,B607:B615,B616-1-d_T)*F616</f>
        <v/>
      </c>
      <c r="L616" s="40">
        <f>IF(B616&gt;=in_marketplace_from,J616*d_hz*G616*in_eligible*H616,0)</f>
        <v/>
      </c>
      <c r="M616" s="40">
        <f>IF(B616&gt;=in_marketplace_from,K616*d_hz*G616*in_eligible*in_approved_repeat,0)</f>
        <v/>
      </c>
      <c r="N616" s="40">
        <f>L616+M616</f>
        <v/>
      </c>
      <c r="O616" s="46">
        <f>N616/F616</f>
        <v/>
      </c>
      <c r="P616" s="40">
        <f>F616-J616-K616</f>
        <v/>
      </c>
      <c r="Q616" s="40">
        <f>IF(B616&gt;=in_marketplace_from,(J616+K616)*d_hz*G616,0)</f>
        <v/>
      </c>
      <c r="R616" s="40">
        <f>SUMIFS(N607:N655,B607:B655,"&gt;="&amp;(B616-d_T),B607:B655,"&lt;="&amp;(B616-1))</f>
        <v/>
      </c>
      <c r="S616" s="46">
        <f>(1-d_u)*S615+IF(d_T&gt;in_topup_lag,SUMIFS(O607:O655,B607:B655,B616-in_topup_lag)-d_udrop*SUMIFS(O607:O655,B607:B655,B616-d_T),0)</f>
        <v/>
      </c>
      <c r="T616" s="40">
        <f>F616*d_u*S616</f>
        <v/>
      </c>
      <c r="U616" s="9">
        <f>L616*in_ticket+M616*d_rep_ticket</f>
        <v/>
      </c>
      <c r="V616" s="9">
        <f>U616+T616*d_topup_amt</f>
        <v/>
      </c>
      <c r="W616" s="40">
        <f>N616+T616*d_topup_ratio</f>
        <v/>
      </c>
      <c r="X616" s="40">
        <f>SUMIFS(W607:W655,B607:B655,B616-in_dpd_lag)*d_cured</f>
        <v/>
      </c>
      <c r="Y616" s="40">
        <f>SUMIFS(W607:W655,B607:B655,B616-in_rec_lag)*d_recd</f>
        <v/>
      </c>
      <c r="Z616" s="40">
        <f>IF(AND(B616&gt;=in_marketplace_from,B616&lt;in_marketplace_from+in_card_months),in_card_share/in_card_months*F616*I616,IF(AND(B616&gt;=in_marketplace_from+in_card_months,B616&lt;in_marketplace_from+2*in_card_months),in_card_share*d_card_rem/in_card_months*F616*MIN(in_takeup_cap,(1+in_takeup_growth)^(D616-1))*MIN(in_takeup_cap,(1+in_approval_growth)^(D616-1)),0))</f>
        <v/>
      </c>
      <c r="AA616" s="14">
        <f>V616*in_fee*(1-in_taken_back)</f>
        <v/>
      </c>
      <c r="AB616" s="14">
        <f>SUMIFS(W607:W655,B607:B655,B616-in_dpd_lag)*d_dpd</f>
        <v/>
      </c>
      <c r="AC616" s="14">
        <f>SUMIFS(W607:W655,B607:B655,B616-in_rec_lag)*d_rec</f>
        <v/>
      </c>
      <c r="AD616" s="14">
        <f>Z616*in_card_fee</f>
        <v/>
      </c>
      <c r="AE616" s="40">
        <f>AE615*(1-IF(B615&gt;=in_marketplace_from,d_hz_hlth_small*G615,0))</f>
        <v/>
      </c>
      <c r="AF616" s="46">
        <f>AE616*IF(B616&gt;=in_marketplace_from,d_hz_hlth_small*G616,0)</f>
        <v/>
      </c>
      <c r="AG616" s="14">
        <f>F616*AF616*in_hlth_small_ticket*in_hlth_small_comm*in_ins_partner_share+F616*in_hlth_small_ticket*in_hlth_small_renew_comm*in_ins_partner_share*(in_hlth_small_renew^1*SUMIFS(AF607:AF655,B607:B655,B616-12)+in_hlth_small_renew^2*SUMIFS(AF607:AF655,B607:B655,B616-24)+in_hlth_small_renew^3*SUMIFS(AF607:AF655,B607:B655,B616-36)+in_hlth_small_renew^4*SUMIFS(AF607:AF655,B607:B655,B616-48))</f>
        <v/>
      </c>
      <c r="AH616" s="40">
        <f>AH615*(1-IF(B615&gt;=in_marketplace_from,d_hz_hlth_family*G615,0))</f>
        <v/>
      </c>
      <c r="AI616" s="46">
        <f>AH616*IF(B616&gt;=in_marketplace_from,d_hz_hlth_family*G616,0)</f>
        <v/>
      </c>
      <c r="AJ616" s="14">
        <f>F616*AI616*in_hlth_family_ticket*in_hlth_family_comm*in_ins_partner_share+F616*in_hlth_family_ticket*in_hlth_family_renew_comm*in_ins_partner_share*(in_hlth_family_renew^1*SUMIFS(AI607:AI655,B607:B655,B616-12)+in_hlth_family_renew^2*SUMIFS(AI607:AI655,B607:B655,B616-24)+in_hlth_family_renew^3*SUMIFS(AI607:AI655,B607:B655,B616-36)+in_hlth_family_renew^4*SUMIFS(AI607:AI655,B607:B655,B616-48))</f>
        <v/>
      </c>
      <c r="AK616" s="40">
        <f>AK615*(1-IF(B615&gt;=in_marketplace_from,d_hz_life_term*G615,0))</f>
        <v/>
      </c>
      <c r="AL616" s="46">
        <f>AK616*IF(B616&gt;=in_marketplace_from,d_hz_life_term*G616,0)</f>
        <v/>
      </c>
      <c r="AM616" s="14">
        <f>F616*AL616*in_life_term_ticket*in_life_term_comm*in_ins_partner_share+F616*in_life_term_ticket*in_life_term_renew_comm*in_ins_partner_share*(in_life_term_renew^1*SUMIFS(AL607:AL655,B607:B655,B616-12)+in_life_term_renew^2*SUMIFS(AL607:AL655,B607:B655,B616-24)+in_life_term_renew^3*SUMIFS(AL607:AL655,B607:B655,B616-36)+in_life_term_renew^4*SUMIFS(AL607:AL655,B607:B655,B616-48))</f>
        <v/>
      </c>
      <c r="AN616" s="40">
        <f>AN615*(1-IF(B615&gt;=in_marketplace_from,d_hz_accident*G615,0))</f>
        <v/>
      </c>
      <c r="AO616" s="46">
        <f>AN616*IF(B616&gt;=in_marketplace_from,d_hz_accident*G616,0)</f>
        <v/>
      </c>
      <c r="AP616" s="14">
        <f>F616*AO616*in_accident_ticket*in_accident_comm*in_ins_partner_share+F616*in_accident_ticket*in_accident_renew_comm*in_ins_partner_share*(in_accident_renew^1*SUMIFS(AO607:AO655,B607:B655,B616-12)+in_accident_renew^2*SUMIFS(AO607:AO655,B607:B655,B616-24)+in_accident_renew^3*SUMIFS(AO607:AO655,B607:B655,B616-36)+in_accident_renew^4*SUMIFS(AO607:AO655,B607:B655,B616-48))</f>
        <v/>
      </c>
      <c r="AQ616" s="40">
        <f>AQ615*(1-IF(B615&gt;=in_marketplace_from,d_hz_two_wheeler*G615,0))</f>
        <v/>
      </c>
      <c r="AR616" s="46">
        <f>AQ616*IF(B616&gt;=in_marketplace_from,d_hz_two_wheeler*G616,0)</f>
        <v/>
      </c>
      <c r="AS616" s="14">
        <f>F616*AR616*in_two_wheeler_ticket*in_two_wheeler_comm*in_ins_partner_share+F616*in_two_wheeler_ticket*in_two_wheeler_comm*in_ins_partner_share*(in_two_wheeler_renew^1*SUMIFS(AR607:AR655,B607:B655,B616-12)+in_two_wheeler_renew^2*SUMIFS(AR607:AR655,B607:B655,B616-24)+in_two_wheeler_renew^3*SUMIFS(AR607:AR655,B607:B655,B616-36)+in_two_wheeler_renew^4*SUMIFS(AR607:AR655,B607:B655,B616-48))</f>
        <v/>
      </c>
      <c r="AT616" s="40">
        <f>AT615*(1-IF(B615&gt;=in_marketplace_from,d_hz_device*G615,0))</f>
        <v/>
      </c>
      <c r="AU616" s="14">
        <f>F616*AT616*IF(B616&gt;=in_marketplace_from,d_hz_device*G616,0)*in_device_ticket*in_device_comm*in_ins_partner_share</f>
        <v/>
      </c>
      <c r="AV616" s="40">
        <f>AV615*(1-IF(B615&gt;=in_marketplace_from,d_hz_shop*G615,0))</f>
        <v/>
      </c>
      <c r="AW616" s="46">
        <f>AV616*IF(B616&gt;=in_marketplace_from,d_hz_shop*G616,0)</f>
        <v/>
      </c>
      <c r="AX616" s="14">
        <f>F616*AW616*in_shop_ticket*in_shop_comm*in_ins_partner_share+F616*in_shop_ticket*in_shop_renew_comm*in_ins_partner_share*(in_shop_renew^1*SUMIFS(AW607:AW655,B607:B655,B616-12)+in_shop_renew^2*SUMIFS(AW607:AW655,B607:B655,B616-24)+in_shop_renew^3*SUMIFS(AW607:AW655,B607:B655,B616-36)+in_shop_renew^4*SUMIFS(AW607:AW655,B607:B655,B616-48))</f>
        <v/>
      </c>
      <c r="AY616" s="40">
        <f>AY615*(1-IF(B615&gt;=in_marketplace_from,d_hz_sip*G615,0))</f>
        <v/>
      </c>
      <c r="AZ616" s="40">
        <f>AZ615*d_rho_sip+AY616*IF(B616&gt;=in_marketplace_from,d_hz_sip*G616,0)</f>
        <v/>
      </c>
      <c r="BA616" s="40">
        <f>d_rho_sip*(BA615+AZ615)</f>
        <v/>
      </c>
      <c r="BB616" s="14">
        <f>F616*in_sip_ticket*(BA616+0.5*AZ616)*in_sip_comm/12</f>
        <v/>
      </c>
      <c r="BC616" s="40">
        <f>BC615*(1-IF(B615&gt;=in_marketplace_from,d_hz_choti*G615,0))</f>
        <v/>
      </c>
      <c r="BD616" s="46">
        <f>BC616*IF(B616&gt;=in_marketplace_from,d_hz_choti*G616,0)</f>
        <v/>
      </c>
      <c r="BE616" s="14">
        <f>F616*SUMIFS(BD607:BD655,B607:B655,B616-in_choti_months)*in_choti_renew*in_choti_ticket</f>
        <v/>
      </c>
      <c r="BF616" s="40">
        <f>BF615*(1-IF(B615&gt;=in_marketplace_from,d_hz_nps*G615,0))</f>
        <v/>
      </c>
      <c r="BG616" s="14">
        <f>F616*BF616*IF(B616&gt;=in_marketplace_from,d_hz_nps*G616,0)*in_nps_ticket*in_nps_comm</f>
        <v/>
      </c>
      <c r="BH616" s="40">
        <f>BH615*(1-IF(B615&gt;=in_marketplace_from,d_hz_gold*G615,0))</f>
        <v/>
      </c>
      <c r="BI616" s="40">
        <f>BI615*d_rho_gold+BH616*IF(B616&gt;=in_marketplace_from,d_hz_gold*G616,0)</f>
        <v/>
      </c>
      <c r="BJ616" s="14">
        <f>F616*BI616*in_gold_ticket*in_gold_comm</f>
        <v/>
      </c>
      <c r="BK616" s="40">
        <f>BK615*(1-IF(B615&gt;=in_marketplace_from,d_hz_fd*G615,0))</f>
        <v/>
      </c>
      <c r="BL616" s="14">
        <f>F616*BK616*IF(B616&gt;=in_marketplace_from,d_hz_fd*G616,0)*in_fd_ticket*in_fd_comm</f>
        <v/>
      </c>
      <c r="BM616" s="40">
        <f>BM615*(1-IF(B615&gt;=in_marketplace_from,d_hz_recharge*G615,0))</f>
        <v/>
      </c>
      <c r="BN616" s="40">
        <f>BN615*d_rho_recharge+BM616*IF(B616&gt;=in_marketplace_from,d_hz_recharge*G616,0)</f>
        <v/>
      </c>
      <c r="BO616" s="14">
        <f>F616*BN616*in_recharge_ticket*in_recharge_comm/12</f>
        <v/>
      </c>
      <c r="BP616" s="40">
        <f>BP615*(1-IF(B615&gt;=in_marketplace_from,d_hz_bills*G615,0))</f>
        <v/>
      </c>
      <c r="BQ616" s="40">
        <f>BQ615*d_rho_bills+BP616*IF(B616&gt;=in_marketplace_from,d_hz_bills*G616,0)</f>
        <v/>
      </c>
      <c r="BR616" s="14">
        <f>F616*BQ616*in_bills_ticket*in_bills_comm/12</f>
        <v/>
      </c>
      <c r="BS616" s="40">
        <f>BS615*(1-IF(B615&gt;=in_marketplace_from,d_hz_loan_gold*G615,0))</f>
        <v/>
      </c>
      <c r="BT616" s="14">
        <f>F616*BS616*IF(B616&gt;=in_marketplace_from,d_hz_loan_gold*G616,0)*in_loan_gold_ticket*in_loan_gold_comm</f>
        <v/>
      </c>
      <c r="BU616" s="40">
        <f>BU615*(1-IF(B615&gt;=in_marketplace_from,d_hz_loan_cd*G615,0))</f>
        <v/>
      </c>
      <c r="BV616" s="14">
        <f>F616*BU616*IF(B616&gt;=in_marketplace_from,d_hz_loan_cd*G616,0)*in_loan_cd_ticket*in_loan_cd_comm</f>
        <v/>
      </c>
      <c r="BW616" s="40">
        <f>BW615*(1-IF(B615&gt;=in_marketplace_from,d_hz_loan_vehicle*G615,0))</f>
        <v/>
      </c>
      <c r="BX616" s="14">
        <f>F616*BW616*IF(B616&gt;=in_marketplace_from,d_hz_loan_vehicle*G616,0)*in_loan_vehicle_ticket*in_loan_vehicle_comm</f>
        <v/>
      </c>
      <c r="BY616" s="40">
        <f>BY615*(1-IF(B615&gt;=in_marketplace_from,d_hz_loan_home*G615,0)*BZ615)</f>
        <v/>
      </c>
      <c r="BZ616" s="11">
        <f>MIN(in_approval_cap,in_loan_home_approval*INDEX('Age profile'!$O$2:$O$61,B616)*(1+in_approval_growth)^(D616-1))</f>
        <v/>
      </c>
      <c r="CA616" s="14">
        <f>F616*BY616*IF(B616&gt;=in_marketplace_from,d_hz_loan_home*G616,0)*BZ616*in_loan_home_ticket*in_loan_home_comm</f>
        <v/>
      </c>
      <c r="CB616" s="40">
        <f>CB615*(1-IF(B615&gt;=in_marketplace_from,d_hz_loan_lap*G615,0)*CC615)</f>
        <v/>
      </c>
      <c r="CC616" s="11">
        <f>MIN(in_approval_cap,in_loan_lap_approval*INDEX('Age profile'!$O$2:$O$61,B616)*(1+in_approval_growth)^(D616-1))</f>
        <v/>
      </c>
      <c r="CD616" s="14">
        <f>F616*CB616*IF(B616&gt;=in_marketplace_from,d_hz_loan_lap*G616,0)*CC616*in_loan_lap_ticket*in_loan_lap_comm</f>
        <v/>
      </c>
      <c r="CE616" s="14">
        <f>AA616+AB616+AC616+AD616+AG616+AJ616+AM616+AP616+AS616+AU616+AX616+BB616+BE616+BG616+BJ616+BL616+BO616+BR616+BT616+BV616+BX616+CA616+CD616</f>
        <v/>
      </c>
    </row>
    <row r="617">
      <c r="A617" s="39" t="n">
        <v>12</v>
      </c>
      <c r="B617" s="39" t="n">
        <v>11</v>
      </c>
      <c r="C617" s="39">
        <f>A617+B617-1</f>
        <v/>
      </c>
      <c r="D617" s="39">
        <f>INT((C617-1)/12)+1</f>
        <v/>
      </c>
      <c r="E617" s="44">
        <f>INDEX(Monthly!$B$2:$B$61,A617)</f>
        <v/>
      </c>
      <c r="F617" s="44">
        <f>E617*INDEX('Age profile'!$B$2:$B$61,B617)</f>
        <v/>
      </c>
      <c r="G617" s="45">
        <f>MIN(in_takeup_cap,INDEX('Age profile'!$N$2:$N$61,B617)*(1+in_takeup_growth)^(D617-1))</f>
        <v/>
      </c>
      <c r="H617" s="11">
        <f>MIN(in_approval_cap,in_approved_first*INDEX('Age profile'!$O$2:$O$61,B617)*(1+in_approval_growth)^(D617-1))</f>
        <v/>
      </c>
      <c r="I617" s="45">
        <f>G617*MIN(in_takeup_cap,INDEX('Age profile'!$O$2:$O$61,B617)*(1+in_approval_growth)^(D617-1))</f>
        <v/>
      </c>
      <c r="J617" s="40">
        <f>(J616-L616)*F617/F616</f>
        <v/>
      </c>
      <c r="K617" s="40">
        <f>(K616-M616)*F617/F616+SUMIFS(O607:O616,B607:B616,B617-1-d_T)*F617</f>
        <v/>
      </c>
      <c r="L617" s="40">
        <f>IF(B617&gt;=in_marketplace_from,J617*d_hz*G617*in_eligible*H617,0)</f>
        <v/>
      </c>
      <c r="M617" s="40">
        <f>IF(B617&gt;=in_marketplace_from,K617*d_hz*G617*in_eligible*in_approved_repeat,0)</f>
        <v/>
      </c>
      <c r="N617" s="40">
        <f>L617+M617</f>
        <v/>
      </c>
      <c r="O617" s="46">
        <f>N617/F617</f>
        <v/>
      </c>
      <c r="P617" s="40">
        <f>F617-J617-K617</f>
        <v/>
      </c>
      <c r="Q617" s="40">
        <f>IF(B617&gt;=in_marketplace_from,(J617+K617)*d_hz*G617,0)</f>
        <v/>
      </c>
      <c r="R617" s="40">
        <f>SUMIFS(N607:N655,B607:B655,"&gt;="&amp;(B617-d_T),B607:B655,"&lt;="&amp;(B617-1))</f>
        <v/>
      </c>
      <c r="S617" s="46">
        <f>(1-d_u)*S616+IF(d_T&gt;in_topup_lag,SUMIFS(O607:O655,B607:B655,B617-in_topup_lag)-d_udrop*SUMIFS(O607:O655,B607:B655,B617-d_T),0)</f>
        <v/>
      </c>
      <c r="T617" s="40">
        <f>F617*d_u*S617</f>
        <v/>
      </c>
      <c r="U617" s="9">
        <f>L617*in_ticket+M617*d_rep_ticket</f>
        <v/>
      </c>
      <c r="V617" s="9">
        <f>U617+T617*d_topup_amt</f>
        <v/>
      </c>
      <c r="W617" s="40">
        <f>N617+T617*d_topup_ratio</f>
        <v/>
      </c>
      <c r="X617" s="40">
        <f>SUMIFS(W607:W655,B607:B655,B617-in_dpd_lag)*d_cured</f>
        <v/>
      </c>
      <c r="Y617" s="40">
        <f>SUMIFS(W607:W655,B607:B655,B617-in_rec_lag)*d_recd</f>
        <v/>
      </c>
      <c r="Z617" s="40">
        <f>IF(AND(B617&gt;=in_marketplace_from,B617&lt;in_marketplace_from+in_card_months),in_card_share/in_card_months*F617*I617,IF(AND(B617&gt;=in_marketplace_from+in_card_months,B617&lt;in_marketplace_from+2*in_card_months),in_card_share*d_card_rem/in_card_months*F617*MIN(in_takeup_cap,(1+in_takeup_growth)^(D617-1))*MIN(in_takeup_cap,(1+in_approval_growth)^(D617-1)),0))</f>
        <v/>
      </c>
      <c r="AA617" s="14">
        <f>V617*in_fee*(1-in_taken_back)</f>
        <v/>
      </c>
      <c r="AB617" s="14">
        <f>SUMIFS(W607:W655,B607:B655,B617-in_dpd_lag)*d_dpd</f>
        <v/>
      </c>
      <c r="AC617" s="14">
        <f>SUMIFS(W607:W655,B607:B655,B617-in_rec_lag)*d_rec</f>
        <v/>
      </c>
      <c r="AD617" s="14">
        <f>Z617*in_card_fee</f>
        <v/>
      </c>
      <c r="AE617" s="40">
        <f>AE616*(1-IF(B616&gt;=in_marketplace_from,d_hz_hlth_small*G616,0))</f>
        <v/>
      </c>
      <c r="AF617" s="46">
        <f>AE617*IF(B617&gt;=in_marketplace_from,d_hz_hlth_small*G617,0)</f>
        <v/>
      </c>
      <c r="AG617" s="14">
        <f>F617*AF617*in_hlth_small_ticket*in_hlth_small_comm*in_ins_partner_share+F617*in_hlth_small_ticket*in_hlth_small_renew_comm*in_ins_partner_share*(in_hlth_small_renew^1*SUMIFS(AF607:AF655,B607:B655,B617-12)+in_hlth_small_renew^2*SUMIFS(AF607:AF655,B607:B655,B617-24)+in_hlth_small_renew^3*SUMIFS(AF607:AF655,B607:B655,B617-36)+in_hlth_small_renew^4*SUMIFS(AF607:AF655,B607:B655,B617-48))</f>
        <v/>
      </c>
      <c r="AH617" s="40">
        <f>AH616*(1-IF(B616&gt;=in_marketplace_from,d_hz_hlth_family*G616,0))</f>
        <v/>
      </c>
      <c r="AI617" s="46">
        <f>AH617*IF(B617&gt;=in_marketplace_from,d_hz_hlth_family*G617,0)</f>
        <v/>
      </c>
      <c r="AJ617" s="14">
        <f>F617*AI617*in_hlth_family_ticket*in_hlth_family_comm*in_ins_partner_share+F617*in_hlth_family_ticket*in_hlth_family_renew_comm*in_ins_partner_share*(in_hlth_family_renew^1*SUMIFS(AI607:AI655,B607:B655,B617-12)+in_hlth_family_renew^2*SUMIFS(AI607:AI655,B607:B655,B617-24)+in_hlth_family_renew^3*SUMIFS(AI607:AI655,B607:B655,B617-36)+in_hlth_family_renew^4*SUMIFS(AI607:AI655,B607:B655,B617-48))</f>
        <v/>
      </c>
      <c r="AK617" s="40">
        <f>AK616*(1-IF(B616&gt;=in_marketplace_from,d_hz_life_term*G616,0))</f>
        <v/>
      </c>
      <c r="AL617" s="46">
        <f>AK617*IF(B617&gt;=in_marketplace_from,d_hz_life_term*G617,0)</f>
        <v/>
      </c>
      <c r="AM617" s="14">
        <f>F617*AL617*in_life_term_ticket*in_life_term_comm*in_ins_partner_share+F617*in_life_term_ticket*in_life_term_renew_comm*in_ins_partner_share*(in_life_term_renew^1*SUMIFS(AL607:AL655,B607:B655,B617-12)+in_life_term_renew^2*SUMIFS(AL607:AL655,B607:B655,B617-24)+in_life_term_renew^3*SUMIFS(AL607:AL655,B607:B655,B617-36)+in_life_term_renew^4*SUMIFS(AL607:AL655,B607:B655,B617-48))</f>
        <v/>
      </c>
      <c r="AN617" s="40">
        <f>AN616*(1-IF(B616&gt;=in_marketplace_from,d_hz_accident*G616,0))</f>
        <v/>
      </c>
      <c r="AO617" s="46">
        <f>AN617*IF(B617&gt;=in_marketplace_from,d_hz_accident*G617,0)</f>
        <v/>
      </c>
      <c r="AP617" s="14">
        <f>F617*AO617*in_accident_ticket*in_accident_comm*in_ins_partner_share+F617*in_accident_ticket*in_accident_renew_comm*in_ins_partner_share*(in_accident_renew^1*SUMIFS(AO607:AO655,B607:B655,B617-12)+in_accident_renew^2*SUMIFS(AO607:AO655,B607:B655,B617-24)+in_accident_renew^3*SUMIFS(AO607:AO655,B607:B655,B617-36)+in_accident_renew^4*SUMIFS(AO607:AO655,B607:B655,B617-48))</f>
        <v/>
      </c>
      <c r="AQ617" s="40">
        <f>AQ616*(1-IF(B616&gt;=in_marketplace_from,d_hz_two_wheeler*G616,0))</f>
        <v/>
      </c>
      <c r="AR617" s="46">
        <f>AQ617*IF(B617&gt;=in_marketplace_from,d_hz_two_wheeler*G617,0)</f>
        <v/>
      </c>
      <c r="AS617" s="14">
        <f>F617*AR617*in_two_wheeler_ticket*in_two_wheeler_comm*in_ins_partner_share+F617*in_two_wheeler_ticket*in_two_wheeler_comm*in_ins_partner_share*(in_two_wheeler_renew^1*SUMIFS(AR607:AR655,B607:B655,B617-12)+in_two_wheeler_renew^2*SUMIFS(AR607:AR655,B607:B655,B617-24)+in_two_wheeler_renew^3*SUMIFS(AR607:AR655,B607:B655,B617-36)+in_two_wheeler_renew^4*SUMIFS(AR607:AR655,B607:B655,B617-48))</f>
        <v/>
      </c>
      <c r="AT617" s="40">
        <f>AT616*(1-IF(B616&gt;=in_marketplace_from,d_hz_device*G616,0))</f>
        <v/>
      </c>
      <c r="AU617" s="14">
        <f>F617*AT617*IF(B617&gt;=in_marketplace_from,d_hz_device*G617,0)*in_device_ticket*in_device_comm*in_ins_partner_share</f>
        <v/>
      </c>
      <c r="AV617" s="40">
        <f>AV616*(1-IF(B616&gt;=in_marketplace_from,d_hz_shop*G616,0))</f>
        <v/>
      </c>
      <c r="AW617" s="46">
        <f>AV617*IF(B617&gt;=in_marketplace_from,d_hz_shop*G617,0)</f>
        <v/>
      </c>
      <c r="AX617" s="14">
        <f>F617*AW617*in_shop_ticket*in_shop_comm*in_ins_partner_share+F617*in_shop_ticket*in_shop_renew_comm*in_ins_partner_share*(in_shop_renew^1*SUMIFS(AW607:AW655,B607:B655,B617-12)+in_shop_renew^2*SUMIFS(AW607:AW655,B607:B655,B617-24)+in_shop_renew^3*SUMIFS(AW607:AW655,B607:B655,B617-36)+in_shop_renew^4*SUMIFS(AW607:AW655,B607:B655,B617-48))</f>
        <v/>
      </c>
      <c r="AY617" s="40">
        <f>AY616*(1-IF(B616&gt;=in_marketplace_from,d_hz_sip*G616,0))</f>
        <v/>
      </c>
      <c r="AZ617" s="40">
        <f>AZ616*d_rho_sip+AY617*IF(B617&gt;=in_marketplace_from,d_hz_sip*G617,0)</f>
        <v/>
      </c>
      <c r="BA617" s="40">
        <f>d_rho_sip*(BA616+AZ616)</f>
        <v/>
      </c>
      <c r="BB617" s="14">
        <f>F617*in_sip_ticket*(BA617+0.5*AZ617)*in_sip_comm/12</f>
        <v/>
      </c>
      <c r="BC617" s="40">
        <f>BC616*(1-IF(B616&gt;=in_marketplace_from,d_hz_choti*G616,0))</f>
        <v/>
      </c>
      <c r="BD617" s="46">
        <f>BC617*IF(B617&gt;=in_marketplace_from,d_hz_choti*G617,0)</f>
        <v/>
      </c>
      <c r="BE617" s="14">
        <f>F617*SUMIFS(BD607:BD655,B607:B655,B617-in_choti_months)*in_choti_renew*in_choti_ticket</f>
        <v/>
      </c>
      <c r="BF617" s="40">
        <f>BF616*(1-IF(B616&gt;=in_marketplace_from,d_hz_nps*G616,0))</f>
        <v/>
      </c>
      <c r="BG617" s="14">
        <f>F617*BF617*IF(B617&gt;=in_marketplace_from,d_hz_nps*G617,0)*in_nps_ticket*in_nps_comm</f>
        <v/>
      </c>
      <c r="BH617" s="40">
        <f>BH616*(1-IF(B616&gt;=in_marketplace_from,d_hz_gold*G616,0))</f>
        <v/>
      </c>
      <c r="BI617" s="40">
        <f>BI616*d_rho_gold+BH617*IF(B617&gt;=in_marketplace_from,d_hz_gold*G617,0)</f>
        <v/>
      </c>
      <c r="BJ617" s="14">
        <f>F617*BI617*in_gold_ticket*in_gold_comm</f>
        <v/>
      </c>
      <c r="BK617" s="40">
        <f>BK616*(1-IF(B616&gt;=in_marketplace_from,d_hz_fd*G616,0))</f>
        <v/>
      </c>
      <c r="BL617" s="14">
        <f>F617*BK617*IF(B617&gt;=in_marketplace_from,d_hz_fd*G617,0)*in_fd_ticket*in_fd_comm</f>
        <v/>
      </c>
      <c r="BM617" s="40">
        <f>BM616*(1-IF(B616&gt;=in_marketplace_from,d_hz_recharge*G616,0))</f>
        <v/>
      </c>
      <c r="BN617" s="40">
        <f>BN616*d_rho_recharge+BM617*IF(B617&gt;=in_marketplace_from,d_hz_recharge*G617,0)</f>
        <v/>
      </c>
      <c r="BO617" s="14">
        <f>F617*BN617*in_recharge_ticket*in_recharge_comm/12</f>
        <v/>
      </c>
      <c r="BP617" s="40">
        <f>BP616*(1-IF(B616&gt;=in_marketplace_from,d_hz_bills*G616,0))</f>
        <v/>
      </c>
      <c r="BQ617" s="40">
        <f>BQ616*d_rho_bills+BP617*IF(B617&gt;=in_marketplace_from,d_hz_bills*G617,0)</f>
        <v/>
      </c>
      <c r="BR617" s="14">
        <f>F617*BQ617*in_bills_ticket*in_bills_comm/12</f>
        <v/>
      </c>
      <c r="BS617" s="40">
        <f>BS616*(1-IF(B616&gt;=in_marketplace_from,d_hz_loan_gold*G616,0))</f>
        <v/>
      </c>
      <c r="BT617" s="14">
        <f>F617*BS617*IF(B617&gt;=in_marketplace_from,d_hz_loan_gold*G617,0)*in_loan_gold_ticket*in_loan_gold_comm</f>
        <v/>
      </c>
      <c r="BU617" s="40">
        <f>BU616*(1-IF(B616&gt;=in_marketplace_from,d_hz_loan_cd*G616,0))</f>
        <v/>
      </c>
      <c r="BV617" s="14">
        <f>F617*BU617*IF(B617&gt;=in_marketplace_from,d_hz_loan_cd*G617,0)*in_loan_cd_ticket*in_loan_cd_comm</f>
        <v/>
      </c>
      <c r="BW617" s="40">
        <f>BW616*(1-IF(B616&gt;=in_marketplace_from,d_hz_loan_vehicle*G616,0))</f>
        <v/>
      </c>
      <c r="BX617" s="14">
        <f>F617*BW617*IF(B617&gt;=in_marketplace_from,d_hz_loan_vehicle*G617,0)*in_loan_vehicle_ticket*in_loan_vehicle_comm</f>
        <v/>
      </c>
      <c r="BY617" s="40">
        <f>BY616*(1-IF(B616&gt;=in_marketplace_from,d_hz_loan_home*G616,0)*BZ616)</f>
        <v/>
      </c>
      <c r="BZ617" s="11">
        <f>MIN(in_approval_cap,in_loan_home_approval*INDEX('Age profile'!$O$2:$O$61,B617)*(1+in_approval_growth)^(D617-1))</f>
        <v/>
      </c>
      <c r="CA617" s="14">
        <f>F617*BY617*IF(B617&gt;=in_marketplace_from,d_hz_loan_home*G617,0)*BZ617*in_loan_home_ticket*in_loan_home_comm</f>
        <v/>
      </c>
      <c r="CB617" s="40">
        <f>CB616*(1-IF(B616&gt;=in_marketplace_from,d_hz_loan_lap*G616,0)*CC616)</f>
        <v/>
      </c>
      <c r="CC617" s="11">
        <f>MIN(in_approval_cap,in_loan_lap_approval*INDEX('Age profile'!$O$2:$O$61,B617)*(1+in_approval_growth)^(D617-1))</f>
        <v/>
      </c>
      <c r="CD617" s="14">
        <f>F617*CB617*IF(B617&gt;=in_marketplace_from,d_hz_loan_lap*G617,0)*CC617*in_loan_lap_ticket*in_loan_lap_comm</f>
        <v/>
      </c>
      <c r="CE617" s="14">
        <f>AA617+AB617+AC617+AD617+AG617+AJ617+AM617+AP617+AS617+AU617+AX617+BB617+BE617+BG617+BJ617+BL617+BO617+BR617+BT617+BV617+BX617+CA617+CD617</f>
        <v/>
      </c>
    </row>
    <row r="618">
      <c r="A618" s="39" t="n">
        <v>12</v>
      </c>
      <c r="B618" s="39" t="n">
        <v>12</v>
      </c>
      <c r="C618" s="39">
        <f>A618+B618-1</f>
        <v/>
      </c>
      <c r="D618" s="39">
        <f>INT((C618-1)/12)+1</f>
        <v/>
      </c>
      <c r="E618" s="44">
        <f>INDEX(Monthly!$B$2:$B$61,A618)</f>
        <v/>
      </c>
      <c r="F618" s="44">
        <f>E618*INDEX('Age profile'!$B$2:$B$61,B618)</f>
        <v/>
      </c>
      <c r="G618" s="45">
        <f>MIN(in_takeup_cap,INDEX('Age profile'!$N$2:$N$61,B618)*(1+in_takeup_growth)^(D618-1))</f>
        <v/>
      </c>
      <c r="H618" s="11">
        <f>MIN(in_approval_cap,in_approved_first*INDEX('Age profile'!$O$2:$O$61,B618)*(1+in_approval_growth)^(D618-1))</f>
        <v/>
      </c>
      <c r="I618" s="45">
        <f>G618*MIN(in_takeup_cap,INDEX('Age profile'!$O$2:$O$61,B618)*(1+in_approval_growth)^(D618-1))</f>
        <v/>
      </c>
      <c r="J618" s="40">
        <f>(J617-L617)*F618/F617</f>
        <v/>
      </c>
      <c r="K618" s="40">
        <f>(K617-M617)*F618/F617+SUMIFS(O607:O617,B607:B617,B618-1-d_T)*F618</f>
        <v/>
      </c>
      <c r="L618" s="40">
        <f>IF(B618&gt;=in_marketplace_from,J618*d_hz*G618*in_eligible*H618,0)</f>
        <v/>
      </c>
      <c r="M618" s="40">
        <f>IF(B618&gt;=in_marketplace_from,K618*d_hz*G618*in_eligible*in_approved_repeat,0)</f>
        <v/>
      </c>
      <c r="N618" s="40">
        <f>L618+M618</f>
        <v/>
      </c>
      <c r="O618" s="46">
        <f>N618/F618</f>
        <v/>
      </c>
      <c r="P618" s="40">
        <f>F618-J618-K618</f>
        <v/>
      </c>
      <c r="Q618" s="40">
        <f>IF(B618&gt;=in_marketplace_from,(J618+K618)*d_hz*G618,0)</f>
        <v/>
      </c>
      <c r="R618" s="40">
        <f>SUMIFS(N607:N655,B607:B655,"&gt;="&amp;(B618-d_T),B607:B655,"&lt;="&amp;(B618-1))</f>
        <v/>
      </c>
      <c r="S618" s="46">
        <f>(1-d_u)*S617+IF(d_T&gt;in_topup_lag,SUMIFS(O607:O655,B607:B655,B618-in_topup_lag)-d_udrop*SUMIFS(O607:O655,B607:B655,B618-d_T),0)</f>
        <v/>
      </c>
      <c r="T618" s="40">
        <f>F618*d_u*S618</f>
        <v/>
      </c>
      <c r="U618" s="9">
        <f>L618*in_ticket+M618*d_rep_ticket</f>
        <v/>
      </c>
      <c r="V618" s="9">
        <f>U618+T618*d_topup_amt</f>
        <v/>
      </c>
      <c r="W618" s="40">
        <f>N618+T618*d_topup_ratio</f>
        <v/>
      </c>
      <c r="X618" s="40">
        <f>SUMIFS(W607:W655,B607:B655,B618-in_dpd_lag)*d_cured</f>
        <v/>
      </c>
      <c r="Y618" s="40">
        <f>SUMIFS(W607:W655,B607:B655,B618-in_rec_lag)*d_recd</f>
        <v/>
      </c>
      <c r="Z618" s="40">
        <f>IF(AND(B618&gt;=in_marketplace_from,B618&lt;in_marketplace_from+in_card_months),in_card_share/in_card_months*F618*I618,IF(AND(B618&gt;=in_marketplace_from+in_card_months,B618&lt;in_marketplace_from+2*in_card_months),in_card_share*d_card_rem/in_card_months*F618*MIN(in_takeup_cap,(1+in_takeup_growth)^(D618-1))*MIN(in_takeup_cap,(1+in_approval_growth)^(D618-1)),0))</f>
        <v/>
      </c>
      <c r="AA618" s="14">
        <f>V618*in_fee*(1-in_taken_back)</f>
        <v/>
      </c>
      <c r="AB618" s="14">
        <f>SUMIFS(W607:W655,B607:B655,B618-in_dpd_lag)*d_dpd</f>
        <v/>
      </c>
      <c r="AC618" s="14">
        <f>SUMIFS(W607:W655,B607:B655,B618-in_rec_lag)*d_rec</f>
        <v/>
      </c>
      <c r="AD618" s="14">
        <f>Z618*in_card_fee</f>
        <v/>
      </c>
      <c r="AE618" s="40">
        <f>AE617*(1-IF(B617&gt;=in_marketplace_from,d_hz_hlth_small*G617,0))</f>
        <v/>
      </c>
      <c r="AF618" s="46">
        <f>AE618*IF(B618&gt;=in_marketplace_from,d_hz_hlth_small*G618,0)</f>
        <v/>
      </c>
      <c r="AG618" s="14">
        <f>F618*AF618*in_hlth_small_ticket*in_hlth_small_comm*in_ins_partner_share+F618*in_hlth_small_ticket*in_hlth_small_renew_comm*in_ins_partner_share*(in_hlth_small_renew^1*SUMIFS(AF607:AF655,B607:B655,B618-12)+in_hlth_small_renew^2*SUMIFS(AF607:AF655,B607:B655,B618-24)+in_hlth_small_renew^3*SUMIFS(AF607:AF655,B607:B655,B618-36)+in_hlth_small_renew^4*SUMIFS(AF607:AF655,B607:B655,B618-48))</f>
        <v/>
      </c>
      <c r="AH618" s="40">
        <f>AH617*(1-IF(B617&gt;=in_marketplace_from,d_hz_hlth_family*G617,0))</f>
        <v/>
      </c>
      <c r="AI618" s="46">
        <f>AH618*IF(B618&gt;=in_marketplace_from,d_hz_hlth_family*G618,0)</f>
        <v/>
      </c>
      <c r="AJ618" s="14">
        <f>F618*AI618*in_hlth_family_ticket*in_hlth_family_comm*in_ins_partner_share+F618*in_hlth_family_ticket*in_hlth_family_renew_comm*in_ins_partner_share*(in_hlth_family_renew^1*SUMIFS(AI607:AI655,B607:B655,B618-12)+in_hlth_family_renew^2*SUMIFS(AI607:AI655,B607:B655,B618-24)+in_hlth_family_renew^3*SUMIFS(AI607:AI655,B607:B655,B618-36)+in_hlth_family_renew^4*SUMIFS(AI607:AI655,B607:B655,B618-48))</f>
        <v/>
      </c>
      <c r="AK618" s="40">
        <f>AK617*(1-IF(B617&gt;=in_marketplace_from,d_hz_life_term*G617,0))</f>
        <v/>
      </c>
      <c r="AL618" s="46">
        <f>AK618*IF(B618&gt;=in_marketplace_from,d_hz_life_term*G618,0)</f>
        <v/>
      </c>
      <c r="AM618" s="14">
        <f>F618*AL618*in_life_term_ticket*in_life_term_comm*in_ins_partner_share+F618*in_life_term_ticket*in_life_term_renew_comm*in_ins_partner_share*(in_life_term_renew^1*SUMIFS(AL607:AL655,B607:B655,B618-12)+in_life_term_renew^2*SUMIFS(AL607:AL655,B607:B655,B618-24)+in_life_term_renew^3*SUMIFS(AL607:AL655,B607:B655,B618-36)+in_life_term_renew^4*SUMIFS(AL607:AL655,B607:B655,B618-48))</f>
        <v/>
      </c>
      <c r="AN618" s="40">
        <f>AN617*(1-IF(B617&gt;=in_marketplace_from,d_hz_accident*G617,0))</f>
        <v/>
      </c>
      <c r="AO618" s="46">
        <f>AN618*IF(B618&gt;=in_marketplace_from,d_hz_accident*G618,0)</f>
        <v/>
      </c>
      <c r="AP618" s="14">
        <f>F618*AO618*in_accident_ticket*in_accident_comm*in_ins_partner_share+F618*in_accident_ticket*in_accident_renew_comm*in_ins_partner_share*(in_accident_renew^1*SUMIFS(AO607:AO655,B607:B655,B618-12)+in_accident_renew^2*SUMIFS(AO607:AO655,B607:B655,B618-24)+in_accident_renew^3*SUMIFS(AO607:AO655,B607:B655,B618-36)+in_accident_renew^4*SUMIFS(AO607:AO655,B607:B655,B618-48))</f>
        <v/>
      </c>
      <c r="AQ618" s="40">
        <f>AQ617*(1-IF(B617&gt;=in_marketplace_from,d_hz_two_wheeler*G617,0))</f>
        <v/>
      </c>
      <c r="AR618" s="46">
        <f>AQ618*IF(B618&gt;=in_marketplace_from,d_hz_two_wheeler*G618,0)</f>
        <v/>
      </c>
      <c r="AS618" s="14">
        <f>F618*AR618*in_two_wheeler_ticket*in_two_wheeler_comm*in_ins_partner_share+F618*in_two_wheeler_ticket*in_two_wheeler_comm*in_ins_partner_share*(in_two_wheeler_renew^1*SUMIFS(AR607:AR655,B607:B655,B618-12)+in_two_wheeler_renew^2*SUMIFS(AR607:AR655,B607:B655,B618-24)+in_two_wheeler_renew^3*SUMIFS(AR607:AR655,B607:B655,B618-36)+in_two_wheeler_renew^4*SUMIFS(AR607:AR655,B607:B655,B618-48))</f>
        <v/>
      </c>
      <c r="AT618" s="40">
        <f>AT617*(1-IF(B617&gt;=in_marketplace_from,d_hz_device*G617,0))</f>
        <v/>
      </c>
      <c r="AU618" s="14">
        <f>F618*AT618*IF(B618&gt;=in_marketplace_from,d_hz_device*G618,0)*in_device_ticket*in_device_comm*in_ins_partner_share</f>
        <v/>
      </c>
      <c r="AV618" s="40">
        <f>AV617*(1-IF(B617&gt;=in_marketplace_from,d_hz_shop*G617,0))</f>
        <v/>
      </c>
      <c r="AW618" s="46">
        <f>AV618*IF(B618&gt;=in_marketplace_from,d_hz_shop*G618,0)</f>
        <v/>
      </c>
      <c r="AX618" s="14">
        <f>F618*AW618*in_shop_ticket*in_shop_comm*in_ins_partner_share+F618*in_shop_ticket*in_shop_renew_comm*in_ins_partner_share*(in_shop_renew^1*SUMIFS(AW607:AW655,B607:B655,B618-12)+in_shop_renew^2*SUMIFS(AW607:AW655,B607:B655,B618-24)+in_shop_renew^3*SUMIFS(AW607:AW655,B607:B655,B618-36)+in_shop_renew^4*SUMIFS(AW607:AW655,B607:B655,B618-48))</f>
        <v/>
      </c>
      <c r="AY618" s="40">
        <f>AY617*(1-IF(B617&gt;=in_marketplace_from,d_hz_sip*G617,0))</f>
        <v/>
      </c>
      <c r="AZ618" s="40">
        <f>AZ617*d_rho_sip+AY618*IF(B618&gt;=in_marketplace_from,d_hz_sip*G618,0)</f>
        <v/>
      </c>
      <c r="BA618" s="40">
        <f>d_rho_sip*(BA617+AZ617)</f>
        <v/>
      </c>
      <c r="BB618" s="14">
        <f>F618*in_sip_ticket*(BA618+0.5*AZ618)*in_sip_comm/12</f>
        <v/>
      </c>
      <c r="BC618" s="40">
        <f>BC617*(1-IF(B617&gt;=in_marketplace_from,d_hz_choti*G617,0))</f>
        <v/>
      </c>
      <c r="BD618" s="46">
        <f>BC618*IF(B618&gt;=in_marketplace_from,d_hz_choti*G618,0)</f>
        <v/>
      </c>
      <c r="BE618" s="14">
        <f>F618*SUMIFS(BD607:BD655,B607:B655,B618-in_choti_months)*in_choti_renew*in_choti_ticket</f>
        <v/>
      </c>
      <c r="BF618" s="40">
        <f>BF617*(1-IF(B617&gt;=in_marketplace_from,d_hz_nps*G617,0))</f>
        <v/>
      </c>
      <c r="BG618" s="14">
        <f>F618*BF618*IF(B618&gt;=in_marketplace_from,d_hz_nps*G618,0)*in_nps_ticket*in_nps_comm</f>
        <v/>
      </c>
      <c r="BH618" s="40">
        <f>BH617*(1-IF(B617&gt;=in_marketplace_from,d_hz_gold*G617,0))</f>
        <v/>
      </c>
      <c r="BI618" s="40">
        <f>BI617*d_rho_gold+BH618*IF(B618&gt;=in_marketplace_from,d_hz_gold*G618,0)</f>
        <v/>
      </c>
      <c r="BJ618" s="14">
        <f>F618*BI618*in_gold_ticket*in_gold_comm</f>
        <v/>
      </c>
      <c r="BK618" s="40">
        <f>BK617*(1-IF(B617&gt;=in_marketplace_from,d_hz_fd*G617,0))</f>
        <v/>
      </c>
      <c r="BL618" s="14">
        <f>F618*BK618*IF(B618&gt;=in_marketplace_from,d_hz_fd*G618,0)*in_fd_ticket*in_fd_comm</f>
        <v/>
      </c>
      <c r="BM618" s="40">
        <f>BM617*(1-IF(B617&gt;=in_marketplace_from,d_hz_recharge*G617,0))</f>
        <v/>
      </c>
      <c r="BN618" s="40">
        <f>BN617*d_rho_recharge+BM618*IF(B618&gt;=in_marketplace_from,d_hz_recharge*G618,0)</f>
        <v/>
      </c>
      <c r="BO618" s="14">
        <f>F618*BN618*in_recharge_ticket*in_recharge_comm/12</f>
        <v/>
      </c>
      <c r="BP618" s="40">
        <f>BP617*(1-IF(B617&gt;=in_marketplace_from,d_hz_bills*G617,0))</f>
        <v/>
      </c>
      <c r="BQ618" s="40">
        <f>BQ617*d_rho_bills+BP618*IF(B618&gt;=in_marketplace_from,d_hz_bills*G618,0)</f>
        <v/>
      </c>
      <c r="BR618" s="14">
        <f>F618*BQ618*in_bills_ticket*in_bills_comm/12</f>
        <v/>
      </c>
      <c r="BS618" s="40">
        <f>BS617*(1-IF(B617&gt;=in_marketplace_from,d_hz_loan_gold*G617,0))</f>
        <v/>
      </c>
      <c r="BT618" s="14">
        <f>F618*BS618*IF(B618&gt;=in_marketplace_from,d_hz_loan_gold*G618,0)*in_loan_gold_ticket*in_loan_gold_comm</f>
        <v/>
      </c>
      <c r="BU618" s="40">
        <f>BU617*(1-IF(B617&gt;=in_marketplace_from,d_hz_loan_cd*G617,0))</f>
        <v/>
      </c>
      <c r="BV618" s="14">
        <f>F618*BU618*IF(B618&gt;=in_marketplace_from,d_hz_loan_cd*G618,0)*in_loan_cd_ticket*in_loan_cd_comm</f>
        <v/>
      </c>
      <c r="BW618" s="40">
        <f>BW617*(1-IF(B617&gt;=in_marketplace_from,d_hz_loan_vehicle*G617,0))</f>
        <v/>
      </c>
      <c r="BX618" s="14">
        <f>F618*BW618*IF(B618&gt;=in_marketplace_from,d_hz_loan_vehicle*G618,0)*in_loan_vehicle_ticket*in_loan_vehicle_comm</f>
        <v/>
      </c>
      <c r="BY618" s="40">
        <f>BY617*(1-IF(B617&gt;=in_marketplace_from,d_hz_loan_home*G617,0)*BZ617)</f>
        <v/>
      </c>
      <c r="BZ618" s="11">
        <f>MIN(in_approval_cap,in_loan_home_approval*INDEX('Age profile'!$O$2:$O$61,B618)*(1+in_approval_growth)^(D618-1))</f>
        <v/>
      </c>
      <c r="CA618" s="14">
        <f>F618*BY618*IF(B618&gt;=in_marketplace_from,d_hz_loan_home*G618,0)*BZ618*in_loan_home_ticket*in_loan_home_comm</f>
        <v/>
      </c>
      <c r="CB618" s="40">
        <f>CB617*(1-IF(B617&gt;=in_marketplace_from,d_hz_loan_lap*G617,0)*CC617)</f>
        <v/>
      </c>
      <c r="CC618" s="11">
        <f>MIN(in_approval_cap,in_loan_lap_approval*INDEX('Age profile'!$O$2:$O$61,B618)*(1+in_approval_growth)^(D618-1))</f>
        <v/>
      </c>
      <c r="CD618" s="14">
        <f>F618*CB618*IF(B618&gt;=in_marketplace_from,d_hz_loan_lap*G618,0)*CC618*in_loan_lap_ticket*in_loan_lap_comm</f>
        <v/>
      </c>
      <c r="CE618" s="14">
        <f>AA618+AB618+AC618+AD618+AG618+AJ618+AM618+AP618+AS618+AU618+AX618+BB618+BE618+BG618+BJ618+BL618+BO618+BR618+BT618+BV618+BX618+CA618+CD618</f>
        <v/>
      </c>
    </row>
    <row r="619">
      <c r="A619" s="39" t="n">
        <v>12</v>
      </c>
      <c r="B619" s="39" t="n">
        <v>13</v>
      </c>
      <c r="C619" s="39">
        <f>A619+B619-1</f>
        <v/>
      </c>
      <c r="D619" s="39">
        <f>INT((C619-1)/12)+1</f>
        <v/>
      </c>
      <c r="E619" s="44">
        <f>INDEX(Monthly!$B$2:$B$61,A619)</f>
        <v/>
      </c>
      <c r="F619" s="44">
        <f>E619*INDEX('Age profile'!$B$2:$B$61,B619)</f>
        <v/>
      </c>
      <c r="G619" s="45">
        <f>MIN(in_takeup_cap,INDEX('Age profile'!$N$2:$N$61,B619)*(1+in_takeup_growth)^(D619-1))</f>
        <v/>
      </c>
      <c r="H619" s="11">
        <f>MIN(in_approval_cap,in_approved_first*INDEX('Age profile'!$O$2:$O$61,B619)*(1+in_approval_growth)^(D619-1))</f>
        <v/>
      </c>
      <c r="I619" s="45">
        <f>G619*MIN(in_takeup_cap,INDEX('Age profile'!$O$2:$O$61,B619)*(1+in_approval_growth)^(D619-1))</f>
        <v/>
      </c>
      <c r="J619" s="40">
        <f>(J618-L618)*F619/F618</f>
        <v/>
      </c>
      <c r="K619" s="40">
        <f>(K618-M618)*F619/F618+SUMIFS(O607:O618,B607:B618,B619-1-d_T)*F619</f>
        <v/>
      </c>
      <c r="L619" s="40">
        <f>IF(B619&gt;=in_marketplace_from,J619*d_hz*G619*in_eligible*H619,0)</f>
        <v/>
      </c>
      <c r="M619" s="40">
        <f>IF(B619&gt;=in_marketplace_from,K619*d_hz*G619*in_eligible*in_approved_repeat,0)</f>
        <v/>
      </c>
      <c r="N619" s="40">
        <f>L619+M619</f>
        <v/>
      </c>
      <c r="O619" s="46">
        <f>N619/F619</f>
        <v/>
      </c>
      <c r="P619" s="40">
        <f>F619-J619-K619</f>
        <v/>
      </c>
      <c r="Q619" s="40">
        <f>IF(B619&gt;=in_marketplace_from,(J619+K619)*d_hz*G619,0)</f>
        <v/>
      </c>
      <c r="R619" s="40">
        <f>SUMIFS(N607:N655,B607:B655,"&gt;="&amp;(B619-d_T),B607:B655,"&lt;="&amp;(B619-1))</f>
        <v/>
      </c>
      <c r="S619" s="46">
        <f>(1-d_u)*S618+IF(d_T&gt;in_topup_lag,SUMIFS(O607:O655,B607:B655,B619-in_topup_lag)-d_udrop*SUMIFS(O607:O655,B607:B655,B619-d_T),0)</f>
        <v/>
      </c>
      <c r="T619" s="40">
        <f>F619*d_u*S619</f>
        <v/>
      </c>
      <c r="U619" s="9">
        <f>L619*in_ticket+M619*d_rep_ticket</f>
        <v/>
      </c>
      <c r="V619" s="9">
        <f>U619+T619*d_topup_amt</f>
        <v/>
      </c>
      <c r="W619" s="40">
        <f>N619+T619*d_topup_ratio</f>
        <v/>
      </c>
      <c r="X619" s="40">
        <f>SUMIFS(W607:W655,B607:B655,B619-in_dpd_lag)*d_cured</f>
        <v/>
      </c>
      <c r="Y619" s="40">
        <f>SUMIFS(W607:W655,B607:B655,B619-in_rec_lag)*d_recd</f>
        <v/>
      </c>
      <c r="Z619" s="40">
        <f>IF(AND(B619&gt;=in_marketplace_from,B619&lt;in_marketplace_from+in_card_months),in_card_share/in_card_months*F619*I619,IF(AND(B619&gt;=in_marketplace_from+in_card_months,B619&lt;in_marketplace_from+2*in_card_months),in_card_share*d_card_rem/in_card_months*F619*MIN(in_takeup_cap,(1+in_takeup_growth)^(D619-1))*MIN(in_takeup_cap,(1+in_approval_growth)^(D619-1)),0))</f>
        <v/>
      </c>
      <c r="AA619" s="14">
        <f>V619*in_fee*(1-in_taken_back)</f>
        <v/>
      </c>
      <c r="AB619" s="14">
        <f>SUMIFS(W607:W655,B607:B655,B619-in_dpd_lag)*d_dpd</f>
        <v/>
      </c>
      <c r="AC619" s="14">
        <f>SUMIFS(W607:W655,B607:B655,B619-in_rec_lag)*d_rec</f>
        <v/>
      </c>
      <c r="AD619" s="14">
        <f>Z619*in_card_fee</f>
        <v/>
      </c>
      <c r="AE619" s="40">
        <f>AE618*(1-IF(B618&gt;=in_marketplace_from,d_hz_hlth_small*G618,0))</f>
        <v/>
      </c>
      <c r="AF619" s="46">
        <f>AE619*IF(B619&gt;=in_marketplace_from,d_hz_hlth_small*G619,0)</f>
        <v/>
      </c>
      <c r="AG619" s="14">
        <f>F619*AF619*in_hlth_small_ticket*in_hlth_small_comm*in_ins_partner_share+F619*in_hlth_small_ticket*in_hlth_small_renew_comm*in_ins_partner_share*(in_hlth_small_renew^1*SUMIFS(AF607:AF655,B607:B655,B619-12)+in_hlth_small_renew^2*SUMIFS(AF607:AF655,B607:B655,B619-24)+in_hlth_small_renew^3*SUMIFS(AF607:AF655,B607:B655,B619-36)+in_hlth_small_renew^4*SUMIFS(AF607:AF655,B607:B655,B619-48))</f>
        <v/>
      </c>
      <c r="AH619" s="40">
        <f>AH618*(1-IF(B618&gt;=in_marketplace_from,d_hz_hlth_family*G618,0))</f>
        <v/>
      </c>
      <c r="AI619" s="46">
        <f>AH619*IF(B619&gt;=in_marketplace_from,d_hz_hlth_family*G619,0)</f>
        <v/>
      </c>
      <c r="AJ619" s="14">
        <f>F619*AI619*in_hlth_family_ticket*in_hlth_family_comm*in_ins_partner_share+F619*in_hlth_family_ticket*in_hlth_family_renew_comm*in_ins_partner_share*(in_hlth_family_renew^1*SUMIFS(AI607:AI655,B607:B655,B619-12)+in_hlth_family_renew^2*SUMIFS(AI607:AI655,B607:B655,B619-24)+in_hlth_family_renew^3*SUMIFS(AI607:AI655,B607:B655,B619-36)+in_hlth_family_renew^4*SUMIFS(AI607:AI655,B607:B655,B619-48))</f>
        <v/>
      </c>
      <c r="AK619" s="40">
        <f>AK618*(1-IF(B618&gt;=in_marketplace_from,d_hz_life_term*G618,0))</f>
        <v/>
      </c>
      <c r="AL619" s="46">
        <f>AK619*IF(B619&gt;=in_marketplace_from,d_hz_life_term*G619,0)</f>
        <v/>
      </c>
      <c r="AM619" s="14">
        <f>F619*AL619*in_life_term_ticket*in_life_term_comm*in_ins_partner_share+F619*in_life_term_ticket*in_life_term_renew_comm*in_ins_partner_share*(in_life_term_renew^1*SUMIFS(AL607:AL655,B607:B655,B619-12)+in_life_term_renew^2*SUMIFS(AL607:AL655,B607:B655,B619-24)+in_life_term_renew^3*SUMIFS(AL607:AL655,B607:B655,B619-36)+in_life_term_renew^4*SUMIFS(AL607:AL655,B607:B655,B619-48))</f>
        <v/>
      </c>
      <c r="AN619" s="40">
        <f>AN618*(1-IF(B618&gt;=in_marketplace_from,d_hz_accident*G618,0))</f>
        <v/>
      </c>
      <c r="AO619" s="46">
        <f>AN619*IF(B619&gt;=in_marketplace_from,d_hz_accident*G619,0)</f>
        <v/>
      </c>
      <c r="AP619" s="14">
        <f>F619*AO619*in_accident_ticket*in_accident_comm*in_ins_partner_share+F619*in_accident_ticket*in_accident_renew_comm*in_ins_partner_share*(in_accident_renew^1*SUMIFS(AO607:AO655,B607:B655,B619-12)+in_accident_renew^2*SUMIFS(AO607:AO655,B607:B655,B619-24)+in_accident_renew^3*SUMIFS(AO607:AO655,B607:B655,B619-36)+in_accident_renew^4*SUMIFS(AO607:AO655,B607:B655,B619-48))</f>
        <v/>
      </c>
      <c r="AQ619" s="40">
        <f>AQ618*(1-IF(B618&gt;=in_marketplace_from,d_hz_two_wheeler*G618,0))</f>
        <v/>
      </c>
      <c r="AR619" s="46">
        <f>AQ619*IF(B619&gt;=in_marketplace_from,d_hz_two_wheeler*G619,0)</f>
        <v/>
      </c>
      <c r="AS619" s="14">
        <f>F619*AR619*in_two_wheeler_ticket*in_two_wheeler_comm*in_ins_partner_share+F619*in_two_wheeler_ticket*in_two_wheeler_comm*in_ins_partner_share*(in_two_wheeler_renew^1*SUMIFS(AR607:AR655,B607:B655,B619-12)+in_two_wheeler_renew^2*SUMIFS(AR607:AR655,B607:B655,B619-24)+in_two_wheeler_renew^3*SUMIFS(AR607:AR655,B607:B655,B619-36)+in_two_wheeler_renew^4*SUMIFS(AR607:AR655,B607:B655,B619-48))</f>
        <v/>
      </c>
      <c r="AT619" s="40">
        <f>AT618*(1-IF(B618&gt;=in_marketplace_from,d_hz_device*G618,0))</f>
        <v/>
      </c>
      <c r="AU619" s="14">
        <f>F619*AT619*IF(B619&gt;=in_marketplace_from,d_hz_device*G619,0)*in_device_ticket*in_device_comm*in_ins_partner_share</f>
        <v/>
      </c>
      <c r="AV619" s="40">
        <f>AV618*(1-IF(B618&gt;=in_marketplace_from,d_hz_shop*G618,0))</f>
        <v/>
      </c>
      <c r="AW619" s="46">
        <f>AV619*IF(B619&gt;=in_marketplace_from,d_hz_shop*G619,0)</f>
        <v/>
      </c>
      <c r="AX619" s="14">
        <f>F619*AW619*in_shop_ticket*in_shop_comm*in_ins_partner_share+F619*in_shop_ticket*in_shop_renew_comm*in_ins_partner_share*(in_shop_renew^1*SUMIFS(AW607:AW655,B607:B655,B619-12)+in_shop_renew^2*SUMIFS(AW607:AW655,B607:B655,B619-24)+in_shop_renew^3*SUMIFS(AW607:AW655,B607:B655,B619-36)+in_shop_renew^4*SUMIFS(AW607:AW655,B607:B655,B619-48))</f>
        <v/>
      </c>
      <c r="AY619" s="40">
        <f>AY618*(1-IF(B618&gt;=in_marketplace_from,d_hz_sip*G618,0))</f>
        <v/>
      </c>
      <c r="AZ619" s="40">
        <f>AZ618*d_rho_sip+AY619*IF(B619&gt;=in_marketplace_from,d_hz_sip*G619,0)</f>
        <v/>
      </c>
      <c r="BA619" s="40">
        <f>d_rho_sip*(BA618+AZ618)</f>
        <v/>
      </c>
      <c r="BB619" s="14">
        <f>F619*in_sip_ticket*(BA619+0.5*AZ619)*in_sip_comm/12</f>
        <v/>
      </c>
      <c r="BC619" s="40">
        <f>BC618*(1-IF(B618&gt;=in_marketplace_from,d_hz_choti*G618,0))</f>
        <v/>
      </c>
      <c r="BD619" s="46">
        <f>BC619*IF(B619&gt;=in_marketplace_from,d_hz_choti*G619,0)</f>
        <v/>
      </c>
      <c r="BE619" s="14">
        <f>F619*SUMIFS(BD607:BD655,B607:B655,B619-in_choti_months)*in_choti_renew*in_choti_ticket</f>
        <v/>
      </c>
      <c r="BF619" s="40">
        <f>BF618*(1-IF(B618&gt;=in_marketplace_from,d_hz_nps*G618,0))</f>
        <v/>
      </c>
      <c r="BG619" s="14">
        <f>F619*BF619*IF(B619&gt;=in_marketplace_from,d_hz_nps*G619,0)*in_nps_ticket*in_nps_comm</f>
        <v/>
      </c>
      <c r="BH619" s="40">
        <f>BH618*(1-IF(B618&gt;=in_marketplace_from,d_hz_gold*G618,0))</f>
        <v/>
      </c>
      <c r="BI619" s="40">
        <f>BI618*d_rho_gold+BH619*IF(B619&gt;=in_marketplace_from,d_hz_gold*G619,0)</f>
        <v/>
      </c>
      <c r="BJ619" s="14">
        <f>F619*BI619*in_gold_ticket*in_gold_comm</f>
        <v/>
      </c>
      <c r="BK619" s="40">
        <f>BK618*(1-IF(B618&gt;=in_marketplace_from,d_hz_fd*G618,0))</f>
        <v/>
      </c>
      <c r="BL619" s="14">
        <f>F619*BK619*IF(B619&gt;=in_marketplace_from,d_hz_fd*G619,0)*in_fd_ticket*in_fd_comm</f>
        <v/>
      </c>
      <c r="BM619" s="40">
        <f>BM618*(1-IF(B618&gt;=in_marketplace_from,d_hz_recharge*G618,0))</f>
        <v/>
      </c>
      <c r="BN619" s="40">
        <f>BN618*d_rho_recharge+BM619*IF(B619&gt;=in_marketplace_from,d_hz_recharge*G619,0)</f>
        <v/>
      </c>
      <c r="BO619" s="14">
        <f>F619*BN619*in_recharge_ticket*in_recharge_comm/12</f>
        <v/>
      </c>
      <c r="BP619" s="40">
        <f>BP618*(1-IF(B618&gt;=in_marketplace_from,d_hz_bills*G618,0))</f>
        <v/>
      </c>
      <c r="BQ619" s="40">
        <f>BQ618*d_rho_bills+BP619*IF(B619&gt;=in_marketplace_from,d_hz_bills*G619,0)</f>
        <v/>
      </c>
      <c r="BR619" s="14">
        <f>F619*BQ619*in_bills_ticket*in_bills_comm/12</f>
        <v/>
      </c>
      <c r="BS619" s="40">
        <f>BS618*(1-IF(B618&gt;=in_marketplace_from,d_hz_loan_gold*G618,0))</f>
        <v/>
      </c>
      <c r="BT619" s="14">
        <f>F619*BS619*IF(B619&gt;=in_marketplace_from,d_hz_loan_gold*G619,0)*in_loan_gold_ticket*in_loan_gold_comm</f>
        <v/>
      </c>
      <c r="BU619" s="40">
        <f>BU618*(1-IF(B618&gt;=in_marketplace_from,d_hz_loan_cd*G618,0))</f>
        <v/>
      </c>
      <c r="BV619" s="14">
        <f>F619*BU619*IF(B619&gt;=in_marketplace_from,d_hz_loan_cd*G619,0)*in_loan_cd_ticket*in_loan_cd_comm</f>
        <v/>
      </c>
      <c r="BW619" s="40">
        <f>BW618*(1-IF(B618&gt;=in_marketplace_from,d_hz_loan_vehicle*G618,0))</f>
        <v/>
      </c>
      <c r="BX619" s="14">
        <f>F619*BW619*IF(B619&gt;=in_marketplace_from,d_hz_loan_vehicle*G619,0)*in_loan_vehicle_ticket*in_loan_vehicle_comm</f>
        <v/>
      </c>
      <c r="BY619" s="40">
        <f>BY618*(1-IF(B618&gt;=in_marketplace_from,d_hz_loan_home*G618,0)*BZ618)</f>
        <v/>
      </c>
      <c r="BZ619" s="11">
        <f>MIN(in_approval_cap,in_loan_home_approval*INDEX('Age profile'!$O$2:$O$61,B619)*(1+in_approval_growth)^(D619-1))</f>
        <v/>
      </c>
      <c r="CA619" s="14">
        <f>F619*BY619*IF(B619&gt;=in_marketplace_from,d_hz_loan_home*G619,0)*BZ619*in_loan_home_ticket*in_loan_home_comm</f>
        <v/>
      </c>
      <c r="CB619" s="40">
        <f>CB618*(1-IF(B618&gt;=in_marketplace_from,d_hz_loan_lap*G618,0)*CC618)</f>
        <v/>
      </c>
      <c r="CC619" s="11">
        <f>MIN(in_approval_cap,in_loan_lap_approval*INDEX('Age profile'!$O$2:$O$61,B619)*(1+in_approval_growth)^(D619-1))</f>
        <v/>
      </c>
      <c r="CD619" s="14">
        <f>F619*CB619*IF(B619&gt;=in_marketplace_from,d_hz_loan_lap*G619,0)*CC619*in_loan_lap_ticket*in_loan_lap_comm</f>
        <v/>
      </c>
      <c r="CE619" s="14">
        <f>AA619+AB619+AC619+AD619+AG619+AJ619+AM619+AP619+AS619+AU619+AX619+BB619+BE619+BG619+BJ619+BL619+BO619+BR619+BT619+BV619+BX619+CA619+CD619</f>
        <v/>
      </c>
    </row>
    <row r="620">
      <c r="A620" s="39" t="n">
        <v>12</v>
      </c>
      <c r="B620" s="39" t="n">
        <v>14</v>
      </c>
      <c r="C620" s="39">
        <f>A620+B620-1</f>
        <v/>
      </c>
      <c r="D620" s="39">
        <f>INT((C620-1)/12)+1</f>
        <v/>
      </c>
      <c r="E620" s="44">
        <f>INDEX(Monthly!$B$2:$B$61,A620)</f>
        <v/>
      </c>
      <c r="F620" s="44">
        <f>E620*INDEX('Age profile'!$B$2:$B$61,B620)</f>
        <v/>
      </c>
      <c r="G620" s="45">
        <f>MIN(in_takeup_cap,INDEX('Age profile'!$N$2:$N$61,B620)*(1+in_takeup_growth)^(D620-1))</f>
        <v/>
      </c>
      <c r="H620" s="11">
        <f>MIN(in_approval_cap,in_approved_first*INDEX('Age profile'!$O$2:$O$61,B620)*(1+in_approval_growth)^(D620-1))</f>
        <v/>
      </c>
      <c r="I620" s="45">
        <f>G620*MIN(in_takeup_cap,INDEX('Age profile'!$O$2:$O$61,B620)*(1+in_approval_growth)^(D620-1))</f>
        <v/>
      </c>
      <c r="J620" s="40">
        <f>(J619-L619)*F620/F619</f>
        <v/>
      </c>
      <c r="K620" s="40">
        <f>(K619-M619)*F620/F619+SUMIFS(O607:O619,B607:B619,B620-1-d_T)*F620</f>
        <v/>
      </c>
      <c r="L620" s="40">
        <f>IF(B620&gt;=in_marketplace_from,J620*d_hz*G620*in_eligible*H620,0)</f>
        <v/>
      </c>
      <c r="M620" s="40">
        <f>IF(B620&gt;=in_marketplace_from,K620*d_hz*G620*in_eligible*in_approved_repeat,0)</f>
        <v/>
      </c>
      <c r="N620" s="40">
        <f>L620+M620</f>
        <v/>
      </c>
      <c r="O620" s="46">
        <f>N620/F620</f>
        <v/>
      </c>
      <c r="P620" s="40">
        <f>F620-J620-K620</f>
        <v/>
      </c>
      <c r="Q620" s="40">
        <f>IF(B620&gt;=in_marketplace_from,(J620+K620)*d_hz*G620,0)</f>
        <v/>
      </c>
      <c r="R620" s="40">
        <f>SUMIFS(N607:N655,B607:B655,"&gt;="&amp;(B620-d_T),B607:B655,"&lt;="&amp;(B620-1))</f>
        <v/>
      </c>
      <c r="S620" s="46">
        <f>(1-d_u)*S619+IF(d_T&gt;in_topup_lag,SUMIFS(O607:O655,B607:B655,B620-in_topup_lag)-d_udrop*SUMIFS(O607:O655,B607:B655,B620-d_T),0)</f>
        <v/>
      </c>
      <c r="T620" s="40">
        <f>F620*d_u*S620</f>
        <v/>
      </c>
      <c r="U620" s="9">
        <f>L620*in_ticket+M620*d_rep_ticket</f>
        <v/>
      </c>
      <c r="V620" s="9">
        <f>U620+T620*d_topup_amt</f>
        <v/>
      </c>
      <c r="W620" s="40">
        <f>N620+T620*d_topup_ratio</f>
        <v/>
      </c>
      <c r="X620" s="40">
        <f>SUMIFS(W607:W655,B607:B655,B620-in_dpd_lag)*d_cured</f>
        <v/>
      </c>
      <c r="Y620" s="40">
        <f>SUMIFS(W607:W655,B607:B655,B620-in_rec_lag)*d_recd</f>
        <v/>
      </c>
      <c r="Z620" s="40">
        <f>IF(AND(B620&gt;=in_marketplace_from,B620&lt;in_marketplace_from+in_card_months),in_card_share/in_card_months*F620*I620,IF(AND(B620&gt;=in_marketplace_from+in_card_months,B620&lt;in_marketplace_from+2*in_card_months),in_card_share*d_card_rem/in_card_months*F620*MIN(in_takeup_cap,(1+in_takeup_growth)^(D620-1))*MIN(in_takeup_cap,(1+in_approval_growth)^(D620-1)),0))</f>
        <v/>
      </c>
      <c r="AA620" s="14">
        <f>V620*in_fee*(1-in_taken_back)</f>
        <v/>
      </c>
      <c r="AB620" s="14">
        <f>SUMIFS(W607:W655,B607:B655,B620-in_dpd_lag)*d_dpd</f>
        <v/>
      </c>
      <c r="AC620" s="14">
        <f>SUMIFS(W607:W655,B607:B655,B620-in_rec_lag)*d_rec</f>
        <v/>
      </c>
      <c r="AD620" s="14">
        <f>Z620*in_card_fee</f>
        <v/>
      </c>
      <c r="AE620" s="40">
        <f>AE619*(1-IF(B619&gt;=in_marketplace_from,d_hz_hlth_small*G619,0))</f>
        <v/>
      </c>
      <c r="AF620" s="46">
        <f>AE620*IF(B620&gt;=in_marketplace_from,d_hz_hlth_small*G620,0)</f>
        <v/>
      </c>
      <c r="AG620" s="14">
        <f>F620*AF620*in_hlth_small_ticket*in_hlth_small_comm*in_ins_partner_share+F620*in_hlth_small_ticket*in_hlth_small_renew_comm*in_ins_partner_share*(in_hlth_small_renew^1*SUMIFS(AF607:AF655,B607:B655,B620-12)+in_hlth_small_renew^2*SUMIFS(AF607:AF655,B607:B655,B620-24)+in_hlth_small_renew^3*SUMIFS(AF607:AF655,B607:B655,B620-36)+in_hlth_small_renew^4*SUMIFS(AF607:AF655,B607:B655,B620-48))</f>
        <v/>
      </c>
      <c r="AH620" s="40">
        <f>AH619*(1-IF(B619&gt;=in_marketplace_from,d_hz_hlth_family*G619,0))</f>
        <v/>
      </c>
      <c r="AI620" s="46">
        <f>AH620*IF(B620&gt;=in_marketplace_from,d_hz_hlth_family*G620,0)</f>
        <v/>
      </c>
      <c r="AJ620" s="14">
        <f>F620*AI620*in_hlth_family_ticket*in_hlth_family_comm*in_ins_partner_share+F620*in_hlth_family_ticket*in_hlth_family_renew_comm*in_ins_partner_share*(in_hlth_family_renew^1*SUMIFS(AI607:AI655,B607:B655,B620-12)+in_hlth_family_renew^2*SUMIFS(AI607:AI655,B607:B655,B620-24)+in_hlth_family_renew^3*SUMIFS(AI607:AI655,B607:B655,B620-36)+in_hlth_family_renew^4*SUMIFS(AI607:AI655,B607:B655,B620-48))</f>
        <v/>
      </c>
      <c r="AK620" s="40">
        <f>AK619*(1-IF(B619&gt;=in_marketplace_from,d_hz_life_term*G619,0))</f>
        <v/>
      </c>
      <c r="AL620" s="46">
        <f>AK620*IF(B620&gt;=in_marketplace_from,d_hz_life_term*G620,0)</f>
        <v/>
      </c>
      <c r="AM620" s="14">
        <f>F620*AL620*in_life_term_ticket*in_life_term_comm*in_ins_partner_share+F620*in_life_term_ticket*in_life_term_renew_comm*in_ins_partner_share*(in_life_term_renew^1*SUMIFS(AL607:AL655,B607:B655,B620-12)+in_life_term_renew^2*SUMIFS(AL607:AL655,B607:B655,B620-24)+in_life_term_renew^3*SUMIFS(AL607:AL655,B607:B655,B620-36)+in_life_term_renew^4*SUMIFS(AL607:AL655,B607:B655,B620-48))</f>
        <v/>
      </c>
      <c r="AN620" s="40">
        <f>AN619*(1-IF(B619&gt;=in_marketplace_from,d_hz_accident*G619,0))</f>
        <v/>
      </c>
      <c r="AO620" s="46">
        <f>AN620*IF(B620&gt;=in_marketplace_from,d_hz_accident*G620,0)</f>
        <v/>
      </c>
      <c r="AP620" s="14">
        <f>F620*AO620*in_accident_ticket*in_accident_comm*in_ins_partner_share+F620*in_accident_ticket*in_accident_renew_comm*in_ins_partner_share*(in_accident_renew^1*SUMIFS(AO607:AO655,B607:B655,B620-12)+in_accident_renew^2*SUMIFS(AO607:AO655,B607:B655,B620-24)+in_accident_renew^3*SUMIFS(AO607:AO655,B607:B655,B620-36)+in_accident_renew^4*SUMIFS(AO607:AO655,B607:B655,B620-48))</f>
        <v/>
      </c>
      <c r="AQ620" s="40">
        <f>AQ619*(1-IF(B619&gt;=in_marketplace_from,d_hz_two_wheeler*G619,0))</f>
        <v/>
      </c>
      <c r="AR620" s="46">
        <f>AQ620*IF(B620&gt;=in_marketplace_from,d_hz_two_wheeler*G620,0)</f>
        <v/>
      </c>
      <c r="AS620" s="14">
        <f>F620*AR620*in_two_wheeler_ticket*in_two_wheeler_comm*in_ins_partner_share+F620*in_two_wheeler_ticket*in_two_wheeler_comm*in_ins_partner_share*(in_two_wheeler_renew^1*SUMIFS(AR607:AR655,B607:B655,B620-12)+in_two_wheeler_renew^2*SUMIFS(AR607:AR655,B607:B655,B620-24)+in_two_wheeler_renew^3*SUMIFS(AR607:AR655,B607:B655,B620-36)+in_two_wheeler_renew^4*SUMIFS(AR607:AR655,B607:B655,B620-48))</f>
        <v/>
      </c>
      <c r="AT620" s="40">
        <f>AT619*(1-IF(B619&gt;=in_marketplace_from,d_hz_device*G619,0))</f>
        <v/>
      </c>
      <c r="AU620" s="14">
        <f>F620*AT620*IF(B620&gt;=in_marketplace_from,d_hz_device*G620,0)*in_device_ticket*in_device_comm*in_ins_partner_share</f>
        <v/>
      </c>
      <c r="AV620" s="40">
        <f>AV619*(1-IF(B619&gt;=in_marketplace_from,d_hz_shop*G619,0))</f>
        <v/>
      </c>
      <c r="AW620" s="46">
        <f>AV620*IF(B620&gt;=in_marketplace_from,d_hz_shop*G620,0)</f>
        <v/>
      </c>
      <c r="AX620" s="14">
        <f>F620*AW620*in_shop_ticket*in_shop_comm*in_ins_partner_share+F620*in_shop_ticket*in_shop_renew_comm*in_ins_partner_share*(in_shop_renew^1*SUMIFS(AW607:AW655,B607:B655,B620-12)+in_shop_renew^2*SUMIFS(AW607:AW655,B607:B655,B620-24)+in_shop_renew^3*SUMIFS(AW607:AW655,B607:B655,B620-36)+in_shop_renew^4*SUMIFS(AW607:AW655,B607:B655,B620-48))</f>
        <v/>
      </c>
      <c r="AY620" s="40">
        <f>AY619*(1-IF(B619&gt;=in_marketplace_from,d_hz_sip*G619,0))</f>
        <v/>
      </c>
      <c r="AZ620" s="40">
        <f>AZ619*d_rho_sip+AY620*IF(B620&gt;=in_marketplace_from,d_hz_sip*G620,0)</f>
        <v/>
      </c>
      <c r="BA620" s="40">
        <f>d_rho_sip*(BA619+AZ619)</f>
        <v/>
      </c>
      <c r="BB620" s="14">
        <f>F620*in_sip_ticket*(BA620+0.5*AZ620)*in_sip_comm/12</f>
        <v/>
      </c>
      <c r="BC620" s="40">
        <f>BC619*(1-IF(B619&gt;=in_marketplace_from,d_hz_choti*G619,0))</f>
        <v/>
      </c>
      <c r="BD620" s="46">
        <f>BC620*IF(B620&gt;=in_marketplace_from,d_hz_choti*G620,0)</f>
        <v/>
      </c>
      <c r="BE620" s="14">
        <f>F620*SUMIFS(BD607:BD655,B607:B655,B620-in_choti_months)*in_choti_renew*in_choti_ticket</f>
        <v/>
      </c>
      <c r="BF620" s="40">
        <f>BF619*(1-IF(B619&gt;=in_marketplace_from,d_hz_nps*G619,0))</f>
        <v/>
      </c>
      <c r="BG620" s="14">
        <f>F620*BF620*IF(B620&gt;=in_marketplace_from,d_hz_nps*G620,0)*in_nps_ticket*in_nps_comm</f>
        <v/>
      </c>
      <c r="BH620" s="40">
        <f>BH619*(1-IF(B619&gt;=in_marketplace_from,d_hz_gold*G619,0))</f>
        <v/>
      </c>
      <c r="BI620" s="40">
        <f>BI619*d_rho_gold+BH620*IF(B620&gt;=in_marketplace_from,d_hz_gold*G620,0)</f>
        <v/>
      </c>
      <c r="BJ620" s="14">
        <f>F620*BI620*in_gold_ticket*in_gold_comm</f>
        <v/>
      </c>
      <c r="BK620" s="40">
        <f>BK619*(1-IF(B619&gt;=in_marketplace_from,d_hz_fd*G619,0))</f>
        <v/>
      </c>
      <c r="BL620" s="14">
        <f>F620*BK620*IF(B620&gt;=in_marketplace_from,d_hz_fd*G620,0)*in_fd_ticket*in_fd_comm</f>
        <v/>
      </c>
      <c r="BM620" s="40">
        <f>BM619*(1-IF(B619&gt;=in_marketplace_from,d_hz_recharge*G619,0))</f>
        <v/>
      </c>
      <c r="BN620" s="40">
        <f>BN619*d_rho_recharge+BM620*IF(B620&gt;=in_marketplace_from,d_hz_recharge*G620,0)</f>
        <v/>
      </c>
      <c r="BO620" s="14">
        <f>F620*BN620*in_recharge_ticket*in_recharge_comm/12</f>
        <v/>
      </c>
      <c r="BP620" s="40">
        <f>BP619*(1-IF(B619&gt;=in_marketplace_from,d_hz_bills*G619,0))</f>
        <v/>
      </c>
      <c r="BQ620" s="40">
        <f>BQ619*d_rho_bills+BP620*IF(B620&gt;=in_marketplace_from,d_hz_bills*G620,0)</f>
        <v/>
      </c>
      <c r="BR620" s="14">
        <f>F620*BQ620*in_bills_ticket*in_bills_comm/12</f>
        <v/>
      </c>
      <c r="BS620" s="40">
        <f>BS619*(1-IF(B619&gt;=in_marketplace_from,d_hz_loan_gold*G619,0))</f>
        <v/>
      </c>
      <c r="BT620" s="14">
        <f>F620*BS620*IF(B620&gt;=in_marketplace_from,d_hz_loan_gold*G620,0)*in_loan_gold_ticket*in_loan_gold_comm</f>
        <v/>
      </c>
      <c r="BU620" s="40">
        <f>BU619*(1-IF(B619&gt;=in_marketplace_from,d_hz_loan_cd*G619,0))</f>
        <v/>
      </c>
      <c r="BV620" s="14">
        <f>F620*BU620*IF(B620&gt;=in_marketplace_from,d_hz_loan_cd*G620,0)*in_loan_cd_ticket*in_loan_cd_comm</f>
        <v/>
      </c>
      <c r="BW620" s="40">
        <f>BW619*(1-IF(B619&gt;=in_marketplace_from,d_hz_loan_vehicle*G619,0))</f>
        <v/>
      </c>
      <c r="BX620" s="14">
        <f>F620*BW620*IF(B620&gt;=in_marketplace_from,d_hz_loan_vehicle*G620,0)*in_loan_vehicle_ticket*in_loan_vehicle_comm</f>
        <v/>
      </c>
      <c r="BY620" s="40">
        <f>BY619*(1-IF(B619&gt;=in_marketplace_from,d_hz_loan_home*G619,0)*BZ619)</f>
        <v/>
      </c>
      <c r="BZ620" s="11">
        <f>MIN(in_approval_cap,in_loan_home_approval*INDEX('Age profile'!$O$2:$O$61,B620)*(1+in_approval_growth)^(D620-1))</f>
        <v/>
      </c>
      <c r="CA620" s="14">
        <f>F620*BY620*IF(B620&gt;=in_marketplace_from,d_hz_loan_home*G620,0)*BZ620*in_loan_home_ticket*in_loan_home_comm</f>
        <v/>
      </c>
      <c r="CB620" s="40">
        <f>CB619*(1-IF(B619&gt;=in_marketplace_from,d_hz_loan_lap*G619,0)*CC619)</f>
        <v/>
      </c>
      <c r="CC620" s="11">
        <f>MIN(in_approval_cap,in_loan_lap_approval*INDEX('Age profile'!$O$2:$O$61,B620)*(1+in_approval_growth)^(D620-1))</f>
        <v/>
      </c>
      <c r="CD620" s="14">
        <f>F620*CB620*IF(B620&gt;=in_marketplace_from,d_hz_loan_lap*G620,0)*CC620*in_loan_lap_ticket*in_loan_lap_comm</f>
        <v/>
      </c>
      <c r="CE620" s="14">
        <f>AA620+AB620+AC620+AD620+AG620+AJ620+AM620+AP620+AS620+AU620+AX620+BB620+BE620+BG620+BJ620+BL620+BO620+BR620+BT620+BV620+BX620+CA620+CD620</f>
        <v/>
      </c>
    </row>
    <row r="621">
      <c r="A621" s="39" t="n">
        <v>12</v>
      </c>
      <c r="B621" s="39" t="n">
        <v>15</v>
      </c>
      <c r="C621" s="39">
        <f>A621+B621-1</f>
        <v/>
      </c>
      <c r="D621" s="39">
        <f>INT((C621-1)/12)+1</f>
        <v/>
      </c>
      <c r="E621" s="44">
        <f>INDEX(Monthly!$B$2:$B$61,A621)</f>
        <v/>
      </c>
      <c r="F621" s="44">
        <f>E621*INDEX('Age profile'!$B$2:$B$61,B621)</f>
        <v/>
      </c>
      <c r="G621" s="45">
        <f>MIN(in_takeup_cap,INDEX('Age profile'!$N$2:$N$61,B621)*(1+in_takeup_growth)^(D621-1))</f>
        <v/>
      </c>
      <c r="H621" s="11">
        <f>MIN(in_approval_cap,in_approved_first*INDEX('Age profile'!$O$2:$O$61,B621)*(1+in_approval_growth)^(D621-1))</f>
        <v/>
      </c>
      <c r="I621" s="45">
        <f>G621*MIN(in_takeup_cap,INDEX('Age profile'!$O$2:$O$61,B621)*(1+in_approval_growth)^(D621-1))</f>
        <v/>
      </c>
      <c r="J621" s="40">
        <f>(J620-L620)*F621/F620</f>
        <v/>
      </c>
      <c r="K621" s="40">
        <f>(K620-M620)*F621/F620+SUMIFS(O607:O620,B607:B620,B621-1-d_T)*F621</f>
        <v/>
      </c>
      <c r="L621" s="40">
        <f>IF(B621&gt;=in_marketplace_from,J621*d_hz*G621*in_eligible*H621,0)</f>
        <v/>
      </c>
      <c r="M621" s="40">
        <f>IF(B621&gt;=in_marketplace_from,K621*d_hz*G621*in_eligible*in_approved_repeat,0)</f>
        <v/>
      </c>
      <c r="N621" s="40">
        <f>L621+M621</f>
        <v/>
      </c>
      <c r="O621" s="46">
        <f>N621/F621</f>
        <v/>
      </c>
      <c r="P621" s="40">
        <f>F621-J621-K621</f>
        <v/>
      </c>
      <c r="Q621" s="40">
        <f>IF(B621&gt;=in_marketplace_from,(J621+K621)*d_hz*G621,0)</f>
        <v/>
      </c>
      <c r="R621" s="40">
        <f>SUMIFS(N607:N655,B607:B655,"&gt;="&amp;(B621-d_T),B607:B655,"&lt;="&amp;(B621-1))</f>
        <v/>
      </c>
      <c r="S621" s="46">
        <f>(1-d_u)*S620+IF(d_T&gt;in_topup_lag,SUMIFS(O607:O655,B607:B655,B621-in_topup_lag)-d_udrop*SUMIFS(O607:O655,B607:B655,B621-d_T),0)</f>
        <v/>
      </c>
      <c r="T621" s="40">
        <f>F621*d_u*S621</f>
        <v/>
      </c>
      <c r="U621" s="9">
        <f>L621*in_ticket+M621*d_rep_ticket</f>
        <v/>
      </c>
      <c r="V621" s="9">
        <f>U621+T621*d_topup_amt</f>
        <v/>
      </c>
      <c r="W621" s="40">
        <f>N621+T621*d_topup_ratio</f>
        <v/>
      </c>
      <c r="X621" s="40">
        <f>SUMIFS(W607:W655,B607:B655,B621-in_dpd_lag)*d_cured</f>
        <v/>
      </c>
      <c r="Y621" s="40">
        <f>SUMIFS(W607:W655,B607:B655,B621-in_rec_lag)*d_recd</f>
        <v/>
      </c>
      <c r="Z621" s="40">
        <f>IF(AND(B621&gt;=in_marketplace_from,B621&lt;in_marketplace_from+in_card_months),in_card_share/in_card_months*F621*I621,IF(AND(B621&gt;=in_marketplace_from+in_card_months,B621&lt;in_marketplace_from+2*in_card_months),in_card_share*d_card_rem/in_card_months*F621*MIN(in_takeup_cap,(1+in_takeup_growth)^(D621-1))*MIN(in_takeup_cap,(1+in_approval_growth)^(D621-1)),0))</f>
        <v/>
      </c>
      <c r="AA621" s="14">
        <f>V621*in_fee*(1-in_taken_back)</f>
        <v/>
      </c>
      <c r="AB621" s="14">
        <f>SUMIFS(W607:W655,B607:B655,B621-in_dpd_lag)*d_dpd</f>
        <v/>
      </c>
      <c r="AC621" s="14">
        <f>SUMIFS(W607:W655,B607:B655,B621-in_rec_lag)*d_rec</f>
        <v/>
      </c>
      <c r="AD621" s="14">
        <f>Z621*in_card_fee</f>
        <v/>
      </c>
      <c r="AE621" s="40">
        <f>AE620*(1-IF(B620&gt;=in_marketplace_from,d_hz_hlth_small*G620,0))</f>
        <v/>
      </c>
      <c r="AF621" s="46">
        <f>AE621*IF(B621&gt;=in_marketplace_from,d_hz_hlth_small*G621,0)</f>
        <v/>
      </c>
      <c r="AG621" s="14">
        <f>F621*AF621*in_hlth_small_ticket*in_hlth_small_comm*in_ins_partner_share+F621*in_hlth_small_ticket*in_hlth_small_renew_comm*in_ins_partner_share*(in_hlth_small_renew^1*SUMIFS(AF607:AF655,B607:B655,B621-12)+in_hlth_small_renew^2*SUMIFS(AF607:AF655,B607:B655,B621-24)+in_hlth_small_renew^3*SUMIFS(AF607:AF655,B607:B655,B621-36)+in_hlth_small_renew^4*SUMIFS(AF607:AF655,B607:B655,B621-48))</f>
        <v/>
      </c>
      <c r="AH621" s="40">
        <f>AH620*(1-IF(B620&gt;=in_marketplace_from,d_hz_hlth_family*G620,0))</f>
        <v/>
      </c>
      <c r="AI621" s="46">
        <f>AH621*IF(B621&gt;=in_marketplace_from,d_hz_hlth_family*G621,0)</f>
        <v/>
      </c>
      <c r="AJ621" s="14">
        <f>F621*AI621*in_hlth_family_ticket*in_hlth_family_comm*in_ins_partner_share+F621*in_hlth_family_ticket*in_hlth_family_renew_comm*in_ins_partner_share*(in_hlth_family_renew^1*SUMIFS(AI607:AI655,B607:B655,B621-12)+in_hlth_family_renew^2*SUMIFS(AI607:AI655,B607:B655,B621-24)+in_hlth_family_renew^3*SUMIFS(AI607:AI655,B607:B655,B621-36)+in_hlth_family_renew^4*SUMIFS(AI607:AI655,B607:B655,B621-48))</f>
        <v/>
      </c>
      <c r="AK621" s="40">
        <f>AK620*(1-IF(B620&gt;=in_marketplace_from,d_hz_life_term*G620,0))</f>
        <v/>
      </c>
      <c r="AL621" s="46">
        <f>AK621*IF(B621&gt;=in_marketplace_from,d_hz_life_term*G621,0)</f>
        <v/>
      </c>
      <c r="AM621" s="14">
        <f>F621*AL621*in_life_term_ticket*in_life_term_comm*in_ins_partner_share+F621*in_life_term_ticket*in_life_term_renew_comm*in_ins_partner_share*(in_life_term_renew^1*SUMIFS(AL607:AL655,B607:B655,B621-12)+in_life_term_renew^2*SUMIFS(AL607:AL655,B607:B655,B621-24)+in_life_term_renew^3*SUMIFS(AL607:AL655,B607:B655,B621-36)+in_life_term_renew^4*SUMIFS(AL607:AL655,B607:B655,B621-48))</f>
        <v/>
      </c>
      <c r="AN621" s="40">
        <f>AN620*(1-IF(B620&gt;=in_marketplace_from,d_hz_accident*G620,0))</f>
        <v/>
      </c>
      <c r="AO621" s="46">
        <f>AN621*IF(B621&gt;=in_marketplace_from,d_hz_accident*G621,0)</f>
        <v/>
      </c>
      <c r="AP621" s="14">
        <f>F621*AO621*in_accident_ticket*in_accident_comm*in_ins_partner_share+F621*in_accident_ticket*in_accident_renew_comm*in_ins_partner_share*(in_accident_renew^1*SUMIFS(AO607:AO655,B607:B655,B621-12)+in_accident_renew^2*SUMIFS(AO607:AO655,B607:B655,B621-24)+in_accident_renew^3*SUMIFS(AO607:AO655,B607:B655,B621-36)+in_accident_renew^4*SUMIFS(AO607:AO655,B607:B655,B621-48))</f>
        <v/>
      </c>
      <c r="AQ621" s="40">
        <f>AQ620*(1-IF(B620&gt;=in_marketplace_from,d_hz_two_wheeler*G620,0))</f>
        <v/>
      </c>
      <c r="AR621" s="46">
        <f>AQ621*IF(B621&gt;=in_marketplace_from,d_hz_two_wheeler*G621,0)</f>
        <v/>
      </c>
      <c r="AS621" s="14">
        <f>F621*AR621*in_two_wheeler_ticket*in_two_wheeler_comm*in_ins_partner_share+F621*in_two_wheeler_ticket*in_two_wheeler_comm*in_ins_partner_share*(in_two_wheeler_renew^1*SUMIFS(AR607:AR655,B607:B655,B621-12)+in_two_wheeler_renew^2*SUMIFS(AR607:AR655,B607:B655,B621-24)+in_two_wheeler_renew^3*SUMIFS(AR607:AR655,B607:B655,B621-36)+in_two_wheeler_renew^4*SUMIFS(AR607:AR655,B607:B655,B621-48))</f>
        <v/>
      </c>
      <c r="AT621" s="40">
        <f>AT620*(1-IF(B620&gt;=in_marketplace_from,d_hz_device*G620,0))</f>
        <v/>
      </c>
      <c r="AU621" s="14">
        <f>F621*AT621*IF(B621&gt;=in_marketplace_from,d_hz_device*G621,0)*in_device_ticket*in_device_comm*in_ins_partner_share</f>
        <v/>
      </c>
      <c r="AV621" s="40">
        <f>AV620*(1-IF(B620&gt;=in_marketplace_from,d_hz_shop*G620,0))</f>
        <v/>
      </c>
      <c r="AW621" s="46">
        <f>AV621*IF(B621&gt;=in_marketplace_from,d_hz_shop*G621,0)</f>
        <v/>
      </c>
      <c r="AX621" s="14">
        <f>F621*AW621*in_shop_ticket*in_shop_comm*in_ins_partner_share+F621*in_shop_ticket*in_shop_renew_comm*in_ins_partner_share*(in_shop_renew^1*SUMIFS(AW607:AW655,B607:B655,B621-12)+in_shop_renew^2*SUMIFS(AW607:AW655,B607:B655,B621-24)+in_shop_renew^3*SUMIFS(AW607:AW655,B607:B655,B621-36)+in_shop_renew^4*SUMIFS(AW607:AW655,B607:B655,B621-48))</f>
        <v/>
      </c>
      <c r="AY621" s="40">
        <f>AY620*(1-IF(B620&gt;=in_marketplace_from,d_hz_sip*G620,0))</f>
        <v/>
      </c>
      <c r="AZ621" s="40">
        <f>AZ620*d_rho_sip+AY621*IF(B621&gt;=in_marketplace_from,d_hz_sip*G621,0)</f>
        <v/>
      </c>
      <c r="BA621" s="40">
        <f>d_rho_sip*(BA620+AZ620)</f>
        <v/>
      </c>
      <c r="BB621" s="14">
        <f>F621*in_sip_ticket*(BA621+0.5*AZ621)*in_sip_comm/12</f>
        <v/>
      </c>
      <c r="BC621" s="40">
        <f>BC620*(1-IF(B620&gt;=in_marketplace_from,d_hz_choti*G620,0))</f>
        <v/>
      </c>
      <c r="BD621" s="46">
        <f>BC621*IF(B621&gt;=in_marketplace_from,d_hz_choti*G621,0)</f>
        <v/>
      </c>
      <c r="BE621" s="14">
        <f>F621*SUMIFS(BD607:BD655,B607:B655,B621-in_choti_months)*in_choti_renew*in_choti_ticket</f>
        <v/>
      </c>
      <c r="BF621" s="40">
        <f>BF620*(1-IF(B620&gt;=in_marketplace_from,d_hz_nps*G620,0))</f>
        <v/>
      </c>
      <c r="BG621" s="14">
        <f>F621*BF621*IF(B621&gt;=in_marketplace_from,d_hz_nps*G621,0)*in_nps_ticket*in_nps_comm</f>
        <v/>
      </c>
      <c r="BH621" s="40">
        <f>BH620*(1-IF(B620&gt;=in_marketplace_from,d_hz_gold*G620,0))</f>
        <v/>
      </c>
      <c r="BI621" s="40">
        <f>BI620*d_rho_gold+BH621*IF(B621&gt;=in_marketplace_from,d_hz_gold*G621,0)</f>
        <v/>
      </c>
      <c r="BJ621" s="14">
        <f>F621*BI621*in_gold_ticket*in_gold_comm</f>
        <v/>
      </c>
      <c r="BK621" s="40">
        <f>BK620*(1-IF(B620&gt;=in_marketplace_from,d_hz_fd*G620,0))</f>
        <v/>
      </c>
      <c r="BL621" s="14">
        <f>F621*BK621*IF(B621&gt;=in_marketplace_from,d_hz_fd*G621,0)*in_fd_ticket*in_fd_comm</f>
        <v/>
      </c>
      <c r="BM621" s="40">
        <f>BM620*(1-IF(B620&gt;=in_marketplace_from,d_hz_recharge*G620,0))</f>
        <v/>
      </c>
      <c r="BN621" s="40">
        <f>BN620*d_rho_recharge+BM621*IF(B621&gt;=in_marketplace_from,d_hz_recharge*G621,0)</f>
        <v/>
      </c>
      <c r="BO621" s="14">
        <f>F621*BN621*in_recharge_ticket*in_recharge_comm/12</f>
        <v/>
      </c>
      <c r="BP621" s="40">
        <f>BP620*(1-IF(B620&gt;=in_marketplace_from,d_hz_bills*G620,0))</f>
        <v/>
      </c>
      <c r="BQ621" s="40">
        <f>BQ620*d_rho_bills+BP621*IF(B621&gt;=in_marketplace_from,d_hz_bills*G621,0)</f>
        <v/>
      </c>
      <c r="BR621" s="14">
        <f>F621*BQ621*in_bills_ticket*in_bills_comm/12</f>
        <v/>
      </c>
      <c r="BS621" s="40">
        <f>BS620*(1-IF(B620&gt;=in_marketplace_from,d_hz_loan_gold*G620,0))</f>
        <v/>
      </c>
      <c r="BT621" s="14">
        <f>F621*BS621*IF(B621&gt;=in_marketplace_from,d_hz_loan_gold*G621,0)*in_loan_gold_ticket*in_loan_gold_comm</f>
        <v/>
      </c>
      <c r="BU621" s="40">
        <f>BU620*(1-IF(B620&gt;=in_marketplace_from,d_hz_loan_cd*G620,0))</f>
        <v/>
      </c>
      <c r="BV621" s="14">
        <f>F621*BU621*IF(B621&gt;=in_marketplace_from,d_hz_loan_cd*G621,0)*in_loan_cd_ticket*in_loan_cd_comm</f>
        <v/>
      </c>
      <c r="BW621" s="40">
        <f>BW620*(1-IF(B620&gt;=in_marketplace_from,d_hz_loan_vehicle*G620,0))</f>
        <v/>
      </c>
      <c r="BX621" s="14">
        <f>F621*BW621*IF(B621&gt;=in_marketplace_from,d_hz_loan_vehicle*G621,0)*in_loan_vehicle_ticket*in_loan_vehicle_comm</f>
        <v/>
      </c>
      <c r="BY621" s="40">
        <f>BY620*(1-IF(B620&gt;=in_marketplace_from,d_hz_loan_home*G620,0)*BZ620)</f>
        <v/>
      </c>
      <c r="BZ621" s="11">
        <f>MIN(in_approval_cap,in_loan_home_approval*INDEX('Age profile'!$O$2:$O$61,B621)*(1+in_approval_growth)^(D621-1))</f>
        <v/>
      </c>
      <c r="CA621" s="14">
        <f>F621*BY621*IF(B621&gt;=in_marketplace_from,d_hz_loan_home*G621,0)*BZ621*in_loan_home_ticket*in_loan_home_comm</f>
        <v/>
      </c>
      <c r="CB621" s="40">
        <f>CB620*(1-IF(B620&gt;=in_marketplace_from,d_hz_loan_lap*G620,0)*CC620)</f>
        <v/>
      </c>
      <c r="CC621" s="11">
        <f>MIN(in_approval_cap,in_loan_lap_approval*INDEX('Age profile'!$O$2:$O$61,B621)*(1+in_approval_growth)^(D621-1))</f>
        <v/>
      </c>
      <c r="CD621" s="14">
        <f>F621*CB621*IF(B621&gt;=in_marketplace_from,d_hz_loan_lap*G621,0)*CC621*in_loan_lap_ticket*in_loan_lap_comm</f>
        <v/>
      </c>
      <c r="CE621" s="14">
        <f>AA621+AB621+AC621+AD621+AG621+AJ621+AM621+AP621+AS621+AU621+AX621+BB621+BE621+BG621+BJ621+BL621+BO621+BR621+BT621+BV621+BX621+CA621+CD621</f>
        <v/>
      </c>
    </row>
    <row r="622">
      <c r="A622" s="39" t="n">
        <v>12</v>
      </c>
      <c r="B622" s="39" t="n">
        <v>16</v>
      </c>
      <c r="C622" s="39">
        <f>A622+B622-1</f>
        <v/>
      </c>
      <c r="D622" s="39">
        <f>INT((C622-1)/12)+1</f>
        <v/>
      </c>
      <c r="E622" s="44">
        <f>INDEX(Monthly!$B$2:$B$61,A622)</f>
        <v/>
      </c>
      <c r="F622" s="44">
        <f>E622*INDEX('Age profile'!$B$2:$B$61,B622)</f>
        <v/>
      </c>
      <c r="G622" s="45">
        <f>MIN(in_takeup_cap,INDEX('Age profile'!$N$2:$N$61,B622)*(1+in_takeup_growth)^(D622-1))</f>
        <v/>
      </c>
      <c r="H622" s="11">
        <f>MIN(in_approval_cap,in_approved_first*INDEX('Age profile'!$O$2:$O$61,B622)*(1+in_approval_growth)^(D622-1))</f>
        <v/>
      </c>
      <c r="I622" s="45">
        <f>G622*MIN(in_takeup_cap,INDEX('Age profile'!$O$2:$O$61,B622)*(1+in_approval_growth)^(D622-1))</f>
        <v/>
      </c>
      <c r="J622" s="40">
        <f>(J621-L621)*F622/F621</f>
        <v/>
      </c>
      <c r="K622" s="40">
        <f>(K621-M621)*F622/F621+SUMIFS(O607:O621,B607:B621,B622-1-d_T)*F622</f>
        <v/>
      </c>
      <c r="L622" s="40">
        <f>IF(B622&gt;=in_marketplace_from,J622*d_hz*G622*in_eligible*H622,0)</f>
        <v/>
      </c>
      <c r="M622" s="40">
        <f>IF(B622&gt;=in_marketplace_from,K622*d_hz*G622*in_eligible*in_approved_repeat,0)</f>
        <v/>
      </c>
      <c r="N622" s="40">
        <f>L622+M622</f>
        <v/>
      </c>
      <c r="O622" s="46">
        <f>N622/F622</f>
        <v/>
      </c>
      <c r="P622" s="40">
        <f>F622-J622-K622</f>
        <v/>
      </c>
      <c r="Q622" s="40">
        <f>IF(B622&gt;=in_marketplace_from,(J622+K622)*d_hz*G622,0)</f>
        <v/>
      </c>
      <c r="R622" s="40">
        <f>SUMIFS(N607:N655,B607:B655,"&gt;="&amp;(B622-d_T),B607:B655,"&lt;="&amp;(B622-1))</f>
        <v/>
      </c>
      <c r="S622" s="46">
        <f>(1-d_u)*S621+IF(d_T&gt;in_topup_lag,SUMIFS(O607:O655,B607:B655,B622-in_topup_lag)-d_udrop*SUMIFS(O607:O655,B607:B655,B622-d_T),0)</f>
        <v/>
      </c>
      <c r="T622" s="40">
        <f>F622*d_u*S622</f>
        <v/>
      </c>
      <c r="U622" s="9">
        <f>L622*in_ticket+M622*d_rep_ticket</f>
        <v/>
      </c>
      <c r="V622" s="9">
        <f>U622+T622*d_topup_amt</f>
        <v/>
      </c>
      <c r="W622" s="40">
        <f>N622+T622*d_topup_ratio</f>
        <v/>
      </c>
      <c r="X622" s="40">
        <f>SUMIFS(W607:W655,B607:B655,B622-in_dpd_lag)*d_cured</f>
        <v/>
      </c>
      <c r="Y622" s="40">
        <f>SUMIFS(W607:W655,B607:B655,B622-in_rec_lag)*d_recd</f>
        <v/>
      </c>
      <c r="Z622" s="40">
        <f>IF(AND(B622&gt;=in_marketplace_from,B622&lt;in_marketplace_from+in_card_months),in_card_share/in_card_months*F622*I622,IF(AND(B622&gt;=in_marketplace_from+in_card_months,B622&lt;in_marketplace_from+2*in_card_months),in_card_share*d_card_rem/in_card_months*F622*MIN(in_takeup_cap,(1+in_takeup_growth)^(D622-1))*MIN(in_takeup_cap,(1+in_approval_growth)^(D622-1)),0))</f>
        <v/>
      </c>
      <c r="AA622" s="14">
        <f>V622*in_fee*(1-in_taken_back)</f>
        <v/>
      </c>
      <c r="AB622" s="14">
        <f>SUMIFS(W607:W655,B607:B655,B622-in_dpd_lag)*d_dpd</f>
        <v/>
      </c>
      <c r="AC622" s="14">
        <f>SUMIFS(W607:W655,B607:B655,B622-in_rec_lag)*d_rec</f>
        <v/>
      </c>
      <c r="AD622" s="14">
        <f>Z622*in_card_fee</f>
        <v/>
      </c>
      <c r="AE622" s="40">
        <f>AE621*(1-IF(B621&gt;=in_marketplace_from,d_hz_hlth_small*G621,0))</f>
        <v/>
      </c>
      <c r="AF622" s="46">
        <f>AE622*IF(B622&gt;=in_marketplace_from,d_hz_hlth_small*G622,0)</f>
        <v/>
      </c>
      <c r="AG622" s="14">
        <f>F622*AF622*in_hlth_small_ticket*in_hlth_small_comm*in_ins_partner_share+F622*in_hlth_small_ticket*in_hlth_small_renew_comm*in_ins_partner_share*(in_hlth_small_renew^1*SUMIFS(AF607:AF655,B607:B655,B622-12)+in_hlth_small_renew^2*SUMIFS(AF607:AF655,B607:B655,B622-24)+in_hlth_small_renew^3*SUMIFS(AF607:AF655,B607:B655,B622-36)+in_hlth_small_renew^4*SUMIFS(AF607:AF655,B607:B655,B622-48))</f>
        <v/>
      </c>
      <c r="AH622" s="40">
        <f>AH621*(1-IF(B621&gt;=in_marketplace_from,d_hz_hlth_family*G621,0))</f>
        <v/>
      </c>
      <c r="AI622" s="46">
        <f>AH622*IF(B622&gt;=in_marketplace_from,d_hz_hlth_family*G622,0)</f>
        <v/>
      </c>
      <c r="AJ622" s="14">
        <f>F622*AI622*in_hlth_family_ticket*in_hlth_family_comm*in_ins_partner_share+F622*in_hlth_family_ticket*in_hlth_family_renew_comm*in_ins_partner_share*(in_hlth_family_renew^1*SUMIFS(AI607:AI655,B607:B655,B622-12)+in_hlth_family_renew^2*SUMIFS(AI607:AI655,B607:B655,B622-24)+in_hlth_family_renew^3*SUMIFS(AI607:AI655,B607:B655,B622-36)+in_hlth_family_renew^4*SUMIFS(AI607:AI655,B607:B655,B622-48))</f>
        <v/>
      </c>
      <c r="AK622" s="40">
        <f>AK621*(1-IF(B621&gt;=in_marketplace_from,d_hz_life_term*G621,0))</f>
        <v/>
      </c>
      <c r="AL622" s="46">
        <f>AK622*IF(B622&gt;=in_marketplace_from,d_hz_life_term*G622,0)</f>
        <v/>
      </c>
      <c r="AM622" s="14">
        <f>F622*AL622*in_life_term_ticket*in_life_term_comm*in_ins_partner_share+F622*in_life_term_ticket*in_life_term_renew_comm*in_ins_partner_share*(in_life_term_renew^1*SUMIFS(AL607:AL655,B607:B655,B622-12)+in_life_term_renew^2*SUMIFS(AL607:AL655,B607:B655,B622-24)+in_life_term_renew^3*SUMIFS(AL607:AL655,B607:B655,B622-36)+in_life_term_renew^4*SUMIFS(AL607:AL655,B607:B655,B622-48))</f>
        <v/>
      </c>
      <c r="AN622" s="40">
        <f>AN621*(1-IF(B621&gt;=in_marketplace_from,d_hz_accident*G621,0))</f>
        <v/>
      </c>
      <c r="AO622" s="46">
        <f>AN622*IF(B622&gt;=in_marketplace_from,d_hz_accident*G622,0)</f>
        <v/>
      </c>
      <c r="AP622" s="14">
        <f>F622*AO622*in_accident_ticket*in_accident_comm*in_ins_partner_share+F622*in_accident_ticket*in_accident_renew_comm*in_ins_partner_share*(in_accident_renew^1*SUMIFS(AO607:AO655,B607:B655,B622-12)+in_accident_renew^2*SUMIFS(AO607:AO655,B607:B655,B622-24)+in_accident_renew^3*SUMIFS(AO607:AO655,B607:B655,B622-36)+in_accident_renew^4*SUMIFS(AO607:AO655,B607:B655,B622-48))</f>
        <v/>
      </c>
      <c r="AQ622" s="40">
        <f>AQ621*(1-IF(B621&gt;=in_marketplace_from,d_hz_two_wheeler*G621,0))</f>
        <v/>
      </c>
      <c r="AR622" s="46">
        <f>AQ622*IF(B622&gt;=in_marketplace_from,d_hz_two_wheeler*G622,0)</f>
        <v/>
      </c>
      <c r="AS622" s="14">
        <f>F622*AR622*in_two_wheeler_ticket*in_two_wheeler_comm*in_ins_partner_share+F622*in_two_wheeler_ticket*in_two_wheeler_comm*in_ins_partner_share*(in_two_wheeler_renew^1*SUMIFS(AR607:AR655,B607:B655,B622-12)+in_two_wheeler_renew^2*SUMIFS(AR607:AR655,B607:B655,B622-24)+in_two_wheeler_renew^3*SUMIFS(AR607:AR655,B607:B655,B622-36)+in_two_wheeler_renew^4*SUMIFS(AR607:AR655,B607:B655,B622-48))</f>
        <v/>
      </c>
      <c r="AT622" s="40">
        <f>AT621*(1-IF(B621&gt;=in_marketplace_from,d_hz_device*G621,0))</f>
        <v/>
      </c>
      <c r="AU622" s="14">
        <f>F622*AT622*IF(B622&gt;=in_marketplace_from,d_hz_device*G622,0)*in_device_ticket*in_device_comm*in_ins_partner_share</f>
        <v/>
      </c>
      <c r="AV622" s="40">
        <f>AV621*(1-IF(B621&gt;=in_marketplace_from,d_hz_shop*G621,0))</f>
        <v/>
      </c>
      <c r="AW622" s="46">
        <f>AV622*IF(B622&gt;=in_marketplace_from,d_hz_shop*G622,0)</f>
        <v/>
      </c>
      <c r="AX622" s="14">
        <f>F622*AW622*in_shop_ticket*in_shop_comm*in_ins_partner_share+F622*in_shop_ticket*in_shop_renew_comm*in_ins_partner_share*(in_shop_renew^1*SUMIFS(AW607:AW655,B607:B655,B622-12)+in_shop_renew^2*SUMIFS(AW607:AW655,B607:B655,B622-24)+in_shop_renew^3*SUMIFS(AW607:AW655,B607:B655,B622-36)+in_shop_renew^4*SUMIFS(AW607:AW655,B607:B655,B622-48))</f>
        <v/>
      </c>
      <c r="AY622" s="40">
        <f>AY621*(1-IF(B621&gt;=in_marketplace_from,d_hz_sip*G621,0))</f>
        <v/>
      </c>
      <c r="AZ622" s="40">
        <f>AZ621*d_rho_sip+AY622*IF(B622&gt;=in_marketplace_from,d_hz_sip*G622,0)</f>
        <v/>
      </c>
      <c r="BA622" s="40">
        <f>d_rho_sip*(BA621+AZ621)</f>
        <v/>
      </c>
      <c r="BB622" s="14">
        <f>F622*in_sip_ticket*(BA622+0.5*AZ622)*in_sip_comm/12</f>
        <v/>
      </c>
      <c r="BC622" s="40">
        <f>BC621*(1-IF(B621&gt;=in_marketplace_from,d_hz_choti*G621,0))</f>
        <v/>
      </c>
      <c r="BD622" s="46">
        <f>BC622*IF(B622&gt;=in_marketplace_from,d_hz_choti*G622,0)</f>
        <v/>
      </c>
      <c r="BE622" s="14">
        <f>F622*SUMIFS(BD607:BD655,B607:B655,B622-in_choti_months)*in_choti_renew*in_choti_ticket</f>
        <v/>
      </c>
      <c r="BF622" s="40">
        <f>BF621*(1-IF(B621&gt;=in_marketplace_from,d_hz_nps*G621,0))</f>
        <v/>
      </c>
      <c r="BG622" s="14">
        <f>F622*BF622*IF(B622&gt;=in_marketplace_from,d_hz_nps*G622,0)*in_nps_ticket*in_nps_comm</f>
        <v/>
      </c>
      <c r="BH622" s="40">
        <f>BH621*(1-IF(B621&gt;=in_marketplace_from,d_hz_gold*G621,0))</f>
        <v/>
      </c>
      <c r="BI622" s="40">
        <f>BI621*d_rho_gold+BH622*IF(B622&gt;=in_marketplace_from,d_hz_gold*G622,0)</f>
        <v/>
      </c>
      <c r="BJ622" s="14">
        <f>F622*BI622*in_gold_ticket*in_gold_comm</f>
        <v/>
      </c>
      <c r="BK622" s="40">
        <f>BK621*(1-IF(B621&gt;=in_marketplace_from,d_hz_fd*G621,0))</f>
        <v/>
      </c>
      <c r="BL622" s="14">
        <f>F622*BK622*IF(B622&gt;=in_marketplace_from,d_hz_fd*G622,0)*in_fd_ticket*in_fd_comm</f>
        <v/>
      </c>
      <c r="BM622" s="40">
        <f>BM621*(1-IF(B621&gt;=in_marketplace_from,d_hz_recharge*G621,0))</f>
        <v/>
      </c>
      <c r="BN622" s="40">
        <f>BN621*d_rho_recharge+BM622*IF(B622&gt;=in_marketplace_from,d_hz_recharge*G622,0)</f>
        <v/>
      </c>
      <c r="BO622" s="14">
        <f>F622*BN622*in_recharge_ticket*in_recharge_comm/12</f>
        <v/>
      </c>
      <c r="BP622" s="40">
        <f>BP621*(1-IF(B621&gt;=in_marketplace_from,d_hz_bills*G621,0))</f>
        <v/>
      </c>
      <c r="BQ622" s="40">
        <f>BQ621*d_rho_bills+BP622*IF(B622&gt;=in_marketplace_from,d_hz_bills*G622,0)</f>
        <v/>
      </c>
      <c r="BR622" s="14">
        <f>F622*BQ622*in_bills_ticket*in_bills_comm/12</f>
        <v/>
      </c>
      <c r="BS622" s="40">
        <f>BS621*(1-IF(B621&gt;=in_marketplace_from,d_hz_loan_gold*G621,0))</f>
        <v/>
      </c>
      <c r="BT622" s="14">
        <f>F622*BS622*IF(B622&gt;=in_marketplace_from,d_hz_loan_gold*G622,0)*in_loan_gold_ticket*in_loan_gold_comm</f>
        <v/>
      </c>
      <c r="BU622" s="40">
        <f>BU621*(1-IF(B621&gt;=in_marketplace_from,d_hz_loan_cd*G621,0))</f>
        <v/>
      </c>
      <c r="BV622" s="14">
        <f>F622*BU622*IF(B622&gt;=in_marketplace_from,d_hz_loan_cd*G622,0)*in_loan_cd_ticket*in_loan_cd_comm</f>
        <v/>
      </c>
      <c r="BW622" s="40">
        <f>BW621*(1-IF(B621&gt;=in_marketplace_from,d_hz_loan_vehicle*G621,0))</f>
        <v/>
      </c>
      <c r="BX622" s="14">
        <f>F622*BW622*IF(B622&gt;=in_marketplace_from,d_hz_loan_vehicle*G622,0)*in_loan_vehicle_ticket*in_loan_vehicle_comm</f>
        <v/>
      </c>
      <c r="BY622" s="40">
        <f>BY621*(1-IF(B621&gt;=in_marketplace_from,d_hz_loan_home*G621,0)*BZ621)</f>
        <v/>
      </c>
      <c r="BZ622" s="11">
        <f>MIN(in_approval_cap,in_loan_home_approval*INDEX('Age profile'!$O$2:$O$61,B622)*(1+in_approval_growth)^(D622-1))</f>
        <v/>
      </c>
      <c r="CA622" s="14">
        <f>F622*BY622*IF(B622&gt;=in_marketplace_from,d_hz_loan_home*G622,0)*BZ622*in_loan_home_ticket*in_loan_home_comm</f>
        <v/>
      </c>
      <c r="CB622" s="40">
        <f>CB621*(1-IF(B621&gt;=in_marketplace_from,d_hz_loan_lap*G621,0)*CC621)</f>
        <v/>
      </c>
      <c r="CC622" s="11">
        <f>MIN(in_approval_cap,in_loan_lap_approval*INDEX('Age profile'!$O$2:$O$61,B622)*(1+in_approval_growth)^(D622-1))</f>
        <v/>
      </c>
      <c r="CD622" s="14">
        <f>F622*CB622*IF(B622&gt;=in_marketplace_from,d_hz_loan_lap*G622,0)*CC622*in_loan_lap_ticket*in_loan_lap_comm</f>
        <v/>
      </c>
      <c r="CE622" s="14">
        <f>AA622+AB622+AC622+AD622+AG622+AJ622+AM622+AP622+AS622+AU622+AX622+BB622+BE622+BG622+BJ622+BL622+BO622+BR622+BT622+BV622+BX622+CA622+CD622</f>
        <v/>
      </c>
    </row>
    <row r="623">
      <c r="A623" s="39" t="n">
        <v>12</v>
      </c>
      <c r="B623" s="39" t="n">
        <v>17</v>
      </c>
      <c r="C623" s="39">
        <f>A623+B623-1</f>
        <v/>
      </c>
      <c r="D623" s="39">
        <f>INT((C623-1)/12)+1</f>
        <v/>
      </c>
      <c r="E623" s="44">
        <f>INDEX(Monthly!$B$2:$B$61,A623)</f>
        <v/>
      </c>
      <c r="F623" s="44">
        <f>E623*INDEX('Age profile'!$B$2:$B$61,B623)</f>
        <v/>
      </c>
      <c r="G623" s="45">
        <f>MIN(in_takeup_cap,INDEX('Age profile'!$N$2:$N$61,B623)*(1+in_takeup_growth)^(D623-1))</f>
        <v/>
      </c>
      <c r="H623" s="11">
        <f>MIN(in_approval_cap,in_approved_first*INDEX('Age profile'!$O$2:$O$61,B623)*(1+in_approval_growth)^(D623-1))</f>
        <v/>
      </c>
      <c r="I623" s="45">
        <f>G623*MIN(in_takeup_cap,INDEX('Age profile'!$O$2:$O$61,B623)*(1+in_approval_growth)^(D623-1))</f>
        <v/>
      </c>
      <c r="J623" s="40">
        <f>(J622-L622)*F623/F622</f>
        <v/>
      </c>
      <c r="K623" s="40">
        <f>(K622-M622)*F623/F622+SUMIFS(O607:O622,B607:B622,B623-1-d_T)*F623</f>
        <v/>
      </c>
      <c r="L623" s="40">
        <f>IF(B623&gt;=in_marketplace_from,J623*d_hz*G623*in_eligible*H623,0)</f>
        <v/>
      </c>
      <c r="M623" s="40">
        <f>IF(B623&gt;=in_marketplace_from,K623*d_hz*G623*in_eligible*in_approved_repeat,0)</f>
        <v/>
      </c>
      <c r="N623" s="40">
        <f>L623+M623</f>
        <v/>
      </c>
      <c r="O623" s="46">
        <f>N623/F623</f>
        <v/>
      </c>
      <c r="P623" s="40">
        <f>F623-J623-K623</f>
        <v/>
      </c>
      <c r="Q623" s="40">
        <f>IF(B623&gt;=in_marketplace_from,(J623+K623)*d_hz*G623,0)</f>
        <v/>
      </c>
      <c r="R623" s="40">
        <f>SUMIFS(N607:N655,B607:B655,"&gt;="&amp;(B623-d_T),B607:B655,"&lt;="&amp;(B623-1))</f>
        <v/>
      </c>
      <c r="S623" s="46">
        <f>(1-d_u)*S622+IF(d_T&gt;in_topup_lag,SUMIFS(O607:O655,B607:B655,B623-in_topup_lag)-d_udrop*SUMIFS(O607:O655,B607:B655,B623-d_T),0)</f>
        <v/>
      </c>
      <c r="T623" s="40">
        <f>F623*d_u*S623</f>
        <v/>
      </c>
      <c r="U623" s="9">
        <f>L623*in_ticket+M623*d_rep_ticket</f>
        <v/>
      </c>
      <c r="V623" s="9">
        <f>U623+T623*d_topup_amt</f>
        <v/>
      </c>
      <c r="W623" s="40">
        <f>N623+T623*d_topup_ratio</f>
        <v/>
      </c>
      <c r="X623" s="40">
        <f>SUMIFS(W607:W655,B607:B655,B623-in_dpd_lag)*d_cured</f>
        <v/>
      </c>
      <c r="Y623" s="40">
        <f>SUMIFS(W607:W655,B607:B655,B623-in_rec_lag)*d_recd</f>
        <v/>
      </c>
      <c r="Z623" s="40">
        <f>IF(AND(B623&gt;=in_marketplace_from,B623&lt;in_marketplace_from+in_card_months),in_card_share/in_card_months*F623*I623,IF(AND(B623&gt;=in_marketplace_from+in_card_months,B623&lt;in_marketplace_from+2*in_card_months),in_card_share*d_card_rem/in_card_months*F623*MIN(in_takeup_cap,(1+in_takeup_growth)^(D623-1))*MIN(in_takeup_cap,(1+in_approval_growth)^(D623-1)),0))</f>
        <v/>
      </c>
      <c r="AA623" s="14">
        <f>V623*in_fee*(1-in_taken_back)</f>
        <v/>
      </c>
      <c r="AB623" s="14">
        <f>SUMIFS(W607:W655,B607:B655,B623-in_dpd_lag)*d_dpd</f>
        <v/>
      </c>
      <c r="AC623" s="14">
        <f>SUMIFS(W607:W655,B607:B655,B623-in_rec_lag)*d_rec</f>
        <v/>
      </c>
      <c r="AD623" s="14">
        <f>Z623*in_card_fee</f>
        <v/>
      </c>
      <c r="AE623" s="40">
        <f>AE622*(1-IF(B622&gt;=in_marketplace_from,d_hz_hlth_small*G622,0))</f>
        <v/>
      </c>
      <c r="AF623" s="46">
        <f>AE623*IF(B623&gt;=in_marketplace_from,d_hz_hlth_small*G623,0)</f>
        <v/>
      </c>
      <c r="AG623" s="14">
        <f>F623*AF623*in_hlth_small_ticket*in_hlth_small_comm*in_ins_partner_share+F623*in_hlth_small_ticket*in_hlth_small_renew_comm*in_ins_partner_share*(in_hlth_small_renew^1*SUMIFS(AF607:AF655,B607:B655,B623-12)+in_hlth_small_renew^2*SUMIFS(AF607:AF655,B607:B655,B623-24)+in_hlth_small_renew^3*SUMIFS(AF607:AF655,B607:B655,B623-36)+in_hlth_small_renew^4*SUMIFS(AF607:AF655,B607:B655,B623-48))</f>
        <v/>
      </c>
      <c r="AH623" s="40">
        <f>AH622*(1-IF(B622&gt;=in_marketplace_from,d_hz_hlth_family*G622,0))</f>
        <v/>
      </c>
      <c r="AI623" s="46">
        <f>AH623*IF(B623&gt;=in_marketplace_from,d_hz_hlth_family*G623,0)</f>
        <v/>
      </c>
      <c r="AJ623" s="14">
        <f>F623*AI623*in_hlth_family_ticket*in_hlth_family_comm*in_ins_partner_share+F623*in_hlth_family_ticket*in_hlth_family_renew_comm*in_ins_partner_share*(in_hlth_family_renew^1*SUMIFS(AI607:AI655,B607:B655,B623-12)+in_hlth_family_renew^2*SUMIFS(AI607:AI655,B607:B655,B623-24)+in_hlth_family_renew^3*SUMIFS(AI607:AI655,B607:B655,B623-36)+in_hlth_family_renew^4*SUMIFS(AI607:AI655,B607:B655,B623-48))</f>
        <v/>
      </c>
      <c r="AK623" s="40">
        <f>AK622*(1-IF(B622&gt;=in_marketplace_from,d_hz_life_term*G622,0))</f>
        <v/>
      </c>
      <c r="AL623" s="46">
        <f>AK623*IF(B623&gt;=in_marketplace_from,d_hz_life_term*G623,0)</f>
        <v/>
      </c>
      <c r="AM623" s="14">
        <f>F623*AL623*in_life_term_ticket*in_life_term_comm*in_ins_partner_share+F623*in_life_term_ticket*in_life_term_renew_comm*in_ins_partner_share*(in_life_term_renew^1*SUMIFS(AL607:AL655,B607:B655,B623-12)+in_life_term_renew^2*SUMIFS(AL607:AL655,B607:B655,B623-24)+in_life_term_renew^3*SUMIFS(AL607:AL655,B607:B655,B623-36)+in_life_term_renew^4*SUMIFS(AL607:AL655,B607:B655,B623-48))</f>
        <v/>
      </c>
      <c r="AN623" s="40">
        <f>AN622*(1-IF(B622&gt;=in_marketplace_from,d_hz_accident*G622,0))</f>
        <v/>
      </c>
      <c r="AO623" s="46">
        <f>AN623*IF(B623&gt;=in_marketplace_from,d_hz_accident*G623,0)</f>
        <v/>
      </c>
      <c r="AP623" s="14">
        <f>F623*AO623*in_accident_ticket*in_accident_comm*in_ins_partner_share+F623*in_accident_ticket*in_accident_renew_comm*in_ins_partner_share*(in_accident_renew^1*SUMIFS(AO607:AO655,B607:B655,B623-12)+in_accident_renew^2*SUMIFS(AO607:AO655,B607:B655,B623-24)+in_accident_renew^3*SUMIFS(AO607:AO655,B607:B655,B623-36)+in_accident_renew^4*SUMIFS(AO607:AO655,B607:B655,B623-48))</f>
        <v/>
      </c>
      <c r="AQ623" s="40">
        <f>AQ622*(1-IF(B622&gt;=in_marketplace_from,d_hz_two_wheeler*G622,0))</f>
        <v/>
      </c>
      <c r="AR623" s="46">
        <f>AQ623*IF(B623&gt;=in_marketplace_from,d_hz_two_wheeler*G623,0)</f>
        <v/>
      </c>
      <c r="AS623" s="14">
        <f>F623*AR623*in_two_wheeler_ticket*in_two_wheeler_comm*in_ins_partner_share+F623*in_two_wheeler_ticket*in_two_wheeler_comm*in_ins_partner_share*(in_two_wheeler_renew^1*SUMIFS(AR607:AR655,B607:B655,B623-12)+in_two_wheeler_renew^2*SUMIFS(AR607:AR655,B607:B655,B623-24)+in_two_wheeler_renew^3*SUMIFS(AR607:AR655,B607:B655,B623-36)+in_two_wheeler_renew^4*SUMIFS(AR607:AR655,B607:B655,B623-48))</f>
        <v/>
      </c>
      <c r="AT623" s="40">
        <f>AT622*(1-IF(B622&gt;=in_marketplace_from,d_hz_device*G622,0))</f>
        <v/>
      </c>
      <c r="AU623" s="14">
        <f>F623*AT623*IF(B623&gt;=in_marketplace_from,d_hz_device*G623,0)*in_device_ticket*in_device_comm*in_ins_partner_share</f>
        <v/>
      </c>
      <c r="AV623" s="40">
        <f>AV622*(1-IF(B622&gt;=in_marketplace_from,d_hz_shop*G622,0))</f>
        <v/>
      </c>
      <c r="AW623" s="46">
        <f>AV623*IF(B623&gt;=in_marketplace_from,d_hz_shop*G623,0)</f>
        <v/>
      </c>
      <c r="AX623" s="14">
        <f>F623*AW623*in_shop_ticket*in_shop_comm*in_ins_partner_share+F623*in_shop_ticket*in_shop_renew_comm*in_ins_partner_share*(in_shop_renew^1*SUMIFS(AW607:AW655,B607:B655,B623-12)+in_shop_renew^2*SUMIFS(AW607:AW655,B607:B655,B623-24)+in_shop_renew^3*SUMIFS(AW607:AW655,B607:B655,B623-36)+in_shop_renew^4*SUMIFS(AW607:AW655,B607:B655,B623-48))</f>
        <v/>
      </c>
      <c r="AY623" s="40">
        <f>AY622*(1-IF(B622&gt;=in_marketplace_from,d_hz_sip*G622,0))</f>
        <v/>
      </c>
      <c r="AZ623" s="40">
        <f>AZ622*d_rho_sip+AY623*IF(B623&gt;=in_marketplace_from,d_hz_sip*G623,0)</f>
        <v/>
      </c>
      <c r="BA623" s="40">
        <f>d_rho_sip*(BA622+AZ622)</f>
        <v/>
      </c>
      <c r="BB623" s="14">
        <f>F623*in_sip_ticket*(BA623+0.5*AZ623)*in_sip_comm/12</f>
        <v/>
      </c>
      <c r="BC623" s="40">
        <f>BC622*(1-IF(B622&gt;=in_marketplace_from,d_hz_choti*G622,0))</f>
        <v/>
      </c>
      <c r="BD623" s="46">
        <f>BC623*IF(B623&gt;=in_marketplace_from,d_hz_choti*G623,0)</f>
        <v/>
      </c>
      <c r="BE623" s="14">
        <f>F623*SUMIFS(BD607:BD655,B607:B655,B623-in_choti_months)*in_choti_renew*in_choti_ticket</f>
        <v/>
      </c>
      <c r="BF623" s="40">
        <f>BF622*(1-IF(B622&gt;=in_marketplace_from,d_hz_nps*G622,0))</f>
        <v/>
      </c>
      <c r="BG623" s="14">
        <f>F623*BF623*IF(B623&gt;=in_marketplace_from,d_hz_nps*G623,0)*in_nps_ticket*in_nps_comm</f>
        <v/>
      </c>
      <c r="BH623" s="40">
        <f>BH622*(1-IF(B622&gt;=in_marketplace_from,d_hz_gold*G622,0))</f>
        <v/>
      </c>
      <c r="BI623" s="40">
        <f>BI622*d_rho_gold+BH623*IF(B623&gt;=in_marketplace_from,d_hz_gold*G623,0)</f>
        <v/>
      </c>
      <c r="BJ623" s="14">
        <f>F623*BI623*in_gold_ticket*in_gold_comm</f>
        <v/>
      </c>
      <c r="BK623" s="40">
        <f>BK622*(1-IF(B622&gt;=in_marketplace_from,d_hz_fd*G622,0))</f>
        <v/>
      </c>
      <c r="BL623" s="14">
        <f>F623*BK623*IF(B623&gt;=in_marketplace_from,d_hz_fd*G623,0)*in_fd_ticket*in_fd_comm</f>
        <v/>
      </c>
      <c r="BM623" s="40">
        <f>BM622*(1-IF(B622&gt;=in_marketplace_from,d_hz_recharge*G622,0))</f>
        <v/>
      </c>
      <c r="BN623" s="40">
        <f>BN622*d_rho_recharge+BM623*IF(B623&gt;=in_marketplace_from,d_hz_recharge*G623,0)</f>
        <v/>
      </c>
      <c r="BO623" s="14">
        <f>F623*BN623*in_recharge_ticket*in_recharge_comm/12</f>
        <v/>
      </c>
      <c r="BP623" s="40">
        <f>BP622*(1-IF(B622&gt;=in_marketplace_from,d_hz_bills*G622,0))</f>
        <v/>
      </c>
      <c r="BQ623" s="40">
        <f>BQ622*d_rho_bills+BP623*IF(B623&gt;=in_marketplace_from,d_hz_bills*G623,0)</f>
        <v/>
      </c>
      <c r="BR623" s="14">
        <f>F623*BQ623*in_bills_ticket*in_bills_comm/12</f>
        <v/>
      </c>
      <c r="BS623" s="40">
        <f>BS622*(1-IF(B622&gt;=in_marketplace_from,d_hz_loan_gold*G622,0))</f>
        <v/>
      </c>
      <c r="BT623" s="14">
        <f>F623*BS623*IF(B623&gt;=in_marketplace_from,d_hz_loan_gold*G623,0)*in_loan_gold_ticket*in_loan_gold_comm</f>
        <v/>
      </c>
      <c r="BU623" s="40">
        <f>BU622*(1-IF(B622&gt;=in_marketplace_from,d_hz_loan_cd*G622,0))</f>
        <v/>
      </c>
      <c r="BV623" s="14">
        <f>F623*BU623*IF(B623&gt;=in_marketplace_from,d_hz_loan_cd*G623,0)*in_loan_cd_ticket*in_loan_cd_comm</f>
        <v/>
      </c>
      <c r="BW623" s="40">
        <f>BW622*(1-IF(B622&gt;=in_marketplace_from,d_hz_loan_vehicle*G622,0))</f>
        <v/>
      </c>
      <c r="BX623" s="14">
        <f>F623*BW623*IF(B623&gt;=in_marketplace_from,d_hz_loan_vehicle*G623,0)*in_loan_vehicle_ticket*in_loan_vehicle_comm</f>
        <v/>
      </c>
      <c r="BY623" s="40">
        <f>BY622*(1-IF(B622&gt;=in_marketplace_from,d_hz_loan_home*G622,0)*BZ622)</f>
        <v/>
      </c>
      <c r="BZ623" s="11">
        <f>MIN(in_approval_cap,in_loan_home_approval*INDEX('Age profile'!$O$2:$O$61,B623)*(1+in_approval_growth)^(D623-1))</f>
        <v/>
      </c>
      <c r="CA623" s="14">
        <f>F623*BY623*IF(B623&gt;=in_marketplace_from,d_hz_loan_home*G623,0)*BZ623*in_loan_home_ticket*in_loan_home_comm</f>
        <v/>
      </c>
      <c r="CB623" s="40">
        <f>CB622*(1-IF(B622&gt;=in_marketplace_from,d_hz_loan_lap*G622,0)*CC622)</f>
        <v/>
      </c>
      <c r="CC623" s="11">
        <f>MIN(in_approval_cap,in_loan_lap_approval*INDEX('Age profile'!$O$2:$O$61,B623)*(1+in_approval_growth)^(D623-1))</f>
        <v/>
      </c>
      <c r="CD623" s="14">
        <f>F623*CB623*IF(B623&gt;=in_marketplace_from,d_hz_loan_lap*G623,0)*CC623*in_loan_lap_ticket*in_loan_lap_comm</f>
        <v/>
      </c>
      <c r="CE623" s="14">
        <f>AA623+AB623+AC623+AD623+AG623+AJ623+AM623+AP623+AS623+AU623+AX623+BB623+BE623+BG623+BJ623+BL623+BO623+BR623+BT623+BV623+BX623+CA623+CD623</f>
        <v/>
      </c>
    </row>
    <row r="624">
      <c r="A624" s="39" t="n">
        <v>12</v>
      </c>
      <c r="B624" s="39" t="n">
        <v>18</v>
      </c>
      <c r="C624" s="39">
        <f>A624+B624-1</f>
        <v/>
      </c>
      <c r="D624" s="39">
        <f>INT((C624-1)/12)+1</f>
        <v/>
      </c>
      <c r="E624" s="44">
        <f>INDEX(Monthly!$B$2:$B$61,A624)</f>
        <v/>
      </c>
      <c r="F624" s="44">
        <f>E624*INDEX('Age profile'!$B$2:$B$61,B624)</f>
        <v/>
      </c>
      <c r="G624" s="45">
        <f>MIN(in_takeup_cap,INDEX('Age profile'!$N$2:$N$61,B624)*(1+in_takeup_growth)^(D624-1))</f>
        <v/>
      </c>
      <c r="H624" s="11">
        <f>MIN(in_approval_cap,in_approved_first*INDEX('Age profile'!$O$2:$O$61,B624)*(1+in_approval_growth)^(D624-1))</f>
        <v/>
      </c>
      <c r="I624" s="45">
        <f>G624*MIN(in_takeup_cap,INDEX('Age profile'!$O$2:$O$61,B624)*(1+in_approval_growth)^(D624-1))</f>
        <v/>
      </c>
      <c r="J624" s="40">
        <f>(J623-L623)*F624/F623</f>
        <v/>
      </c>
      <c r="K624" s="40">
        <f>(K623-M623)*F624/F623+SUMIFS(O607:O623,B607:B623,B624-1-d_T)*F624</f>
        <v/>
      </c>
      <c r="L624" s="40">
        <f>IF(B624&gt;=in_marketplace_from,J624*d_hz*G624*in_eligible*H624,0)</f>
        <v/>
      </c>
      <c r="M624" s="40">
        <f>IF(B624&gt;=in_marketplace_from,K624*d_hz*G624*in_eligible*in_approved_repeat,0)</f>
        <v/>
      </c>
      <c r="N624" s="40">
        <f>L624+M624</f>
        <v/>
      </c>
      <c r="O624" s="46">
        <f>N624/F624</f>
        <v/>
      </c>
      <c r="P624" s="40">
        <f>F624-J624-K624</f>
        <v/>
      </c>
      <c r="Q624" s="40">
        <f>IF(B624&gt;=in_marketplace_from,(J624+K624)*d_hz*G624,0)</f>
        <v/>
      </c>
      <c r="R624" s="40">
        <f>SUMIFS(N607:N655,B607:B655,"&gt;="&amp;(B624-d_T),B607:B655,"&lt;="&amp;(B624-1))</f>
        <v/>
      </c>
      <c r="S624" s="46">
        <f>(1-d_u)*S623+IF(d_T&gt;in_topup_lag,SUMIFS(O607:O655,B607:B655,B624-in_topup_lag)-d_udrop*SUMIFS(O607:O655,B607:B655,B624-d_T),0)</f>
        <v/>
      </c>
      <c r="T624" s="40">
        <f>F624*d_u*S624</f>
        <v/>
      </c>
      <c r="U624" s="9">
        <f>L624*in_ticket+M624*d_rep_ticket</f>
        <v/>
      </c>
      <c r="V624" s="9">
        <f>U624+T624*d_topup_amt</f>
        <v/>
      </c>
      <c r="W624" s="40">
        <f>N624+T624*d_topup_ratio</f>
        <v/>
      </c>
      <c r="X624" s="40">
        <f>SUMIFS(W607:W655,B607:B655,B624-in_dpd_lag)*d_cured</f>
        <v/>
      </c>
      <c r="Y624" s="40">
        <f>SUMIFS(W607:W655,B607:B655,B624-in_rec_lag)*d_recd</f>
        <v/>
      </c>
      <c r="Z624" s="40">
        <f>IF(AND(B624&gt;=in_marketplace_from,B624&lt;in_marketplace_from+in_card_months),in_card_share/in_card_months*F624*I624,IF(AND(B624&gt;=in_marketplace_from+in_card_months,B624&lt;in_marketplace_from+2*in_card_months),in_card_share*d_card_rem/in_card_months*F624*MIN(in_takeup_cap,(1+in_takeup_growth)^(D624-1))*MIN(in_takeup_cap,(1+in_approval_growth)^(D624-1)),0))</f>
        <v/>
      </c>
      <c r="AA624" s="14">
        <f>V624*in_fee*(1-in_taken_back)</f>
        <v/>
      </c>
      <c r="AB624" s="14">
        <f>SUMIFS(W607:W655,B607:B655,B624-in_dpd_lag)*d_dpd</f>
        <v/>
      </c>
      <c r="AC624" s="14">
        <f>SUMIFS(W607:W655,B607:B655,B624-in_rec_lag)*d_rec</f>
        <v/>
      </c>
      <c r="AD624" s="14">
        <f>Z624*in_card_fee</f>
        <v/>
      </c>
      <c r="AE624" s="40">
        <f>AE623*(1-IF(B623&gt;=in_marketplace_from,d_hz_hlth_small*G623,0))</f>
        <v/>
      </c>
      <c r="AF624" s="46">
        <f>AE624*IF(B624&gt;=in_marketplace_from,d_hz_hlth_small*G624,0)</f>
        <v/>
      </c>
      <c r="AG624" s="14">
        <f>F624*AF624*in_hlth_small_ticket*in_hlth_small_comm*in_ins_partner_share+F624*in_hlth_small_ticket*in_hlth_small_renew_comm*in_ins_partner_share*(in_hlth_small_renew^1*SUMIFS(AF607:AF655,B607:B655,B624-12)+in_hlth_small_renew^2*SUMIFS(AF607:AF655,B607:B655,B624-24)+in_hlth_small_renew^3*SUMIFS(AF607:AF655,B607:B655,B624-36)+in_hlth_small_renew^4*SUMIFS(AF607:AF655,B607:B655,B624-48))</f>
        <v/>
      </c>
      <c r="AH624" s="40">
        <f>AH623*(1-IF(B623&gt;=in_marketplace_from,d_hz_hlth_family*G623,0))</f>
        <v/>
      </c>
      <c r="AI624" s="46">
        <f>AH624*IF(B624&gt;=in_marketplace_from,d_hz_hlth_family*G624,0)</f>
        <v/>
      </c>
      <c r="AJ624" s="14">
        <f>F624*AI624*in_hlth_family_ticket*in_hlth_family_comm*in_ins_partner_share+F624*in_hlth_family_ticket*in_hlth_family_renew_comm*in_ins_partner_share*(in_hlth_family_renew^1*SUMIFS(AI607:AI655,B607:B655,B624-12)+in_hlth_family_renew^2*SUMIFS(AI607:AI655,B607:B655,B624-24)+in_hlth_family_renew^3*SUMIFS(AI607:AI655,B607:B655,B624-36)+in_hlth_family_renew^4*SUMIFS(AI607:AI655,B607:B655,B624-48))</f>
        <v/>
      </c>
      <c r="AK624" s="40">
        <f>AK623*(1-IF(B623&gt;=in_marketplace_from,d_hz_life_term*G623,0))</f>
        <v/>
      </c>
      <c r="AL624" s="46">
        <f>AK624*IF(B624&gt;=in_marketplace_from,d_hz_life_term*G624,0)</f>
        <v/>
      </c>
      <c r="AM624" s="14">
        <f>F624*AL624*in_life_term_ticket*in_life_term_comm*in_ins_partner_share+F624*in_life_term_ticket*in_life_term_renew_comm*in_ins_partner_share*(in_life_term_renew^1*SUMIFS(AL607:AL655,B607:B655,B624-12)+in_life_term_renew^2*SUMIFS(AL607:AL655,B607:B655,B624-24)+in_life_term_renew^3*SUMIFS(AL607:AL655,B607:B655,B624-36)+in_life_term_renew^4*SUMIFS(AL607:AL655,B607:B655,B624-48))</f>
        <v/>
      </c>
      <c r="AN624" s="40">
        <f>AN623*(1-IF(B623&gt;=in_marketplace_from,d_hz_accident*G623,0))</f>
        <v/>
      </c>
      <c r="AO624" s="46">
        <f>AN624*IF(B624&gt;=in_marketplace_from,d_hz_accident*G624,0)</f>
        <v/>
      </c>
      <c r="AP624" s="14">
        <f>F624*AO624*in_accident_ticket*in_accident_comm*in_ins_partner_share+F624*in_accident_ticket*in_accident_renew_comm*in_ins_partner_share*(in_accident_renew^1*SUMIFS(AO607:AO655,B607:B655,B624-12)+in_accident_renew^2*SUMIFS(AO607:AO655,B607:B655,B624-24)+in_accident_renew^3*SUMIFS(AO607:AO655,B607:B655,B624-36)+in_accident_renew^4*SUMIFS(AO607:AO655,B607:B655,B624-48))</f>
        <v/>
      </c>
      <c r="AQ624" s="40">
        <f>AQ623*(1-IF(B623&gt;=in_marketplace_from,d_hz_two_wheeler*G623,0))</f>
        <v/>
      </c>
      <c r="AR624" s="46">
        <f>AQ624*IF(B624&gt;=in_marketplace_from,d_hz_two_wheeler*G624,0)</f>
        <v/>
      </c>
      <c r="AS624" s="14">
        <f>F624*AR624*in_two_wheeler_ticket*in_two_wheeler_comm*in_ins_partner_share+F624*in_two_wheeler_ticket*in_two_wheeler_comm*in_ins_partner_share*(in_two_wheeler_renew^1*SUMIFS(AR607:AR655,B607:B655,B624-12)+in_two_wheeler_renew^2*SUMIFS(AR607:AR655,B607:B655,B624-24)+in_two_wheeler_renew^3*SUMIFS(AR607:AR655,B607:B655,B624-36)+in_two_wheeler_renew^4*SUMIFS(AR607:AR655,B607:B655,B624-48))</f>
        <v/>
      </c>
      <c r="AT624" s="40">
        <f>AT623*(1-IF(B623&gt;=in_marketplace_from,d_hz_device*G623,0))</f>
        <v/>
      </c>
      <c r="AU624" s="14">
        <f>F624*AT624*IF(B624&gt;=in_marketplace_from,d_hz_device*G624,0)*in_device_ticket*in_device_comm*in_ins_partner_share</f>
        <v/>
      </c>
      <c r="AV624" s="40">
        <f>AV623*(1-IF(B623&gt;=in_marketplace_from,d_hz_shop*G623,0))</f>
        <v/>
      </c>
      <c r="AW624" s="46">
        <f>AV624*IF(B624&gt;=in_marketplace_from,d_hz_shop*G624,0)</f>
        <v/>
      </c>
      <c r="AX624" s="14">
        <f>F624*AW624*in_shop_ticket*in_shop_comm*in_ins_partner_share+F624*in_shop_ticket*in_shop_renew_comm*in_ins_partner_share*(in_shop_renew^1*SUMIFS(AW607:AW655,B607:B655,B624-12)+in_shop_renew^2*SUMIFS(AW607:AW655,B607:B655,B624-24)+in_shop_renew^3*SUMIFS(AW607:AW655,B607:B655,B624-36)+in_shop_renew^4*SUMIFS(AW607:AW655,B607:B655,B624-48))</f>
        <v/>
      </c>
      <c r="AY624" s="40">
        <f>AY623*(1-IF(B623&gt;=in_marketplace_from,d_hz_sip*G623,0))</f>
        <v/>
      </c>
      <c r="AZ624" s="40">
        <f>AZ623*d_rho_sip+AY624*IF(B624&gt;=in_marketplace_from,d_hz_sip*G624,0)</f>
        <v/>
      </c>
      <c r="BA624" s="40">
        <f>d_rho_sip*(BA623+AZ623)</f>
        <v/>
      </c>
      <c r="BB624" s="14">
        <f>F624*in_sip_ticket*(BA624+0.5*AZ624)*in_sip_comm/12</f>
        <v/>
      </c>
      <c r="BC624" s="40">
        <f>BC623*(1-IF(B623&gt;=in_marketplace_from,d_hz_choti*G623,0))</f>
        <v/>
      </c>
      <c r="BD624" s="46">
        <f>BC624*IF(B624&gt;=in_marketplace_from,d_hz_choti*G624,0)</f>
        <v/>
      </c>
      <c r="BE624" s="14">
        <f>F624*SUMIFS(BD607:BD655,B607:B655,B624-in_choti_months)*in_choti_renew*in_choti_ticket</f>
        <v/>
      </c>
      <c r="BF624" s="40">
        <f>BF623*(1-IF(B623&gt;=in_marketplace_from,d_hz_nps*G623,0))</f>
        <v/>
      </c>
      <c r="BG624" s="14">
        <f>F624*BF624*IF(B624&gt;=in_marketplace_from,d_hz_nps*G624,0)*in_nps_ticket*in_nps_comm</f>
        <v/>
      </c>
      <c r="BH624" s="40">
        <f>BH623*(1-IF(B623&gt;=in_marketplace_from,d_hz_gold*G623,0))</f>
        <v/>
      </c>
      <c r="BI624" s="40">
        <f>BI623*d_rho_gold+BH624*IF(B624&gt;=in_marketplace_from,d_hz_gold*G624,0)</f>
        <v/>
      </c>
      <c r="BJ624" s="14">
        <f>F624*BI624*in_gold_ticket*in_gold_comm</f>
        <v/>
      </c>
      <c r="BK624" s="40">
        <f>BK623*(1-IF(B623&gt;=in_marketplace_from,d_hz_fd*G623,0))</f>
        <v/>
      </c>
      <c r="BL624" s="14">
        <f>F624*BK624*IF(B624&gt;=in_marketplace_from,d_hz_fd*G624,0)*in_fd_ticket*in_fd_comm</f>
        <v/>
      </c>
      <c r="BM624" s="40">
        <f>BM623*(1-IF(B623&gt;=in_marketplace_from,d_hz_recharge*G623,0))</f>
        <v/>
      </c>
      <c r="BN624" s="40">
        <f>BN623*d_rho_recharge+BM624*IF(B624&gt;=in_marketplace_from,d_hz_recharge*G624,0)</f>
        <v/>
      </c>
      <c r="BO624" s="14">
        <f>F624*BN624*in_recharge_ticket*in_recharge_comm/12</f>
        <v/>
      </c>
      <c r="BP624" s="40">
        <f>BP623*(1-IF(B623&gt;=in_marketplace_from,d_hz_bills*G623,0))</f>
        <v/>
      </c>
      <c r="BQ624" s="40">
        <f>BQ623*d_rho_bills+BP624*IF(B624&gt;=in_marketplace_from,d_hz_bills*G624,0)</f>
        <v/>
      </c>
      <c r="BR624" s="14">
        <f>F624*BQ624*in_bills_ticket*in_bills_comm/12</f>
        <v/>
      </c>
      <c r="BS624" s="40">
        <f>BS623*(1-IF(B623&gt;=in_marketplace_from,d_hz_loan_gold*G623,0))</f>
        <v/>
      </c>
      <c r="BT624" s="14">
        <f>F624*BS624*IF(B624&gt;=in_marketplace_from,d_hz_loan_gold*G624,0)*in_loan_gold_ticket*in_loan_gold_comm</f>
        <v/>
      </c>
      <c r="BU624" s="40">
        <f>BU623*(1-IF(B623&gt;=in_marketplace_from,d_hz_loan_cd*G623,0))</f>
        <v/>
      </c>
      <c r="BV624" s="14">
        <f>F624*BU624*IF(B624&gt;=in_marketplace_from,d_hz_loan_cd*G624,0)*in_loan_cd_ticket*in_loan_cd_comm</f>
        <v/>
      </c>
      <c r="BW624" s="40">
        <f>BW623*(1-IF(B623&gt;=in_marketplace_from,d_hz_loan_vehicle*G623,0))</f>
        <v/>
      </c>
      <c r="BX624" s="14">
        <f>F624*BW624*IF(B624&gt;=in_marketplace_from,d_hz_loan_vehicle*G624,0)*in_loan_vehicle_ticket*in_loan_vehicle_comm</f>
        <v/>
      </c>
      <c r="BY624" s="40">
        <f>BY623*(1-IF(B623&gt;=in_marketplace_from,d_hz_loan_home*G623,0)*BZ623)</f>
        <v/>
      </c>
      <c r="BZ624" s="11">
        <f>MIN(in_approval_cap,in_loan_home_approval*INDEX('Age profile'!$O$2:$O$61,B624)*(1+in_approval_growth)^(D624-1))</f>
        <v/>
      </c>
      <c r="CA624" s="14">
        <f>F624*BY624*IF(B624&gt;=in_marketplace_from,d_hz_loan_home*G624,0)*BZ624*in_loan_home_ticket*in_loan_home_comm</f>
        <v/>
      </c>
      <c r="CB624" s="40">
        <f>CB623*(1-IF(B623&gt;=in_marketplace_from,d_hz_loan_lap*G623,0)*CC623)</f>
        <v/>
      </c>
      <c r="CC624" s="11">
        <f>MIN(in_approval_cap,in_loan_lap_approval*INDEX('Age profile'!$O$2:$O$61,B624)*(1+in_approval_growth)^(D624-1))</f>
        <v/>
      </c>
      <c r="CD624" s="14">
        <f>F624*CB624*IF(B624&gt;=in_marketplace_from,d_hz_loan_lap*G624,0)*CC624*in_loan_lap_ticket*in_loan_lap_comm</f>
        <v/>
      </c>
      <c r="CE624" s="14">
        <f>AA624+AB624+AC624+AD624+AG624+AJ624+AM624+AP624+AS624+AU624+AX624+BB624+BE624+BG624+BJ624+BL624+BO624+BR624+BT624+BV624+BX624+CA624+CD624</f>
        <v/>
      </c>
    </row>
    <row r="625">
      <c r="A625" s="39" t="n">
        <v>12</v>
      </c>
      <c r="B625" s="39" t="n">
        <v>19</v>
      </c>
      <c r="C625" s="39">
        <f>A625+B625-1</f>
        <v/>
      </c>
      <c r="D625" s="39">
        <f>INT((C625-1)/12)+1</f>
        <v/>
      </c>
      <c r="E625" s="44">
        <f>INDEX(Monthly!$B$2:$B$61,A625)</f>
        <v/>
      </c>
      <c r="F625" s="44">
        <f>E625*INDEX('Age profile'!$B$2:$B$61,B625)</f>
        <v/>
      </c>
      <c r="G625" s="45">
        <f>MIN(in_takeup_cap,INDEX('Age profile'!$N$2:$N$61,B625)*(1+in_takeup_growth)^(D625-1))</f>
        <v/>
      </c>
      <c r="H625" s="11">
        <f>MIN(in_approval_cap,in_approved_first*INDEX('Age profile'!$O$2:$O$61,B625)*(1+in_approval_growth)^(D625-1))</f>
        <v/>
      </c>
      <c r="I625" s="45">
        <f>G625*MIN(in_takeup_cap,INDEX('Age profile'!$O$2:$O$61,B625)*(1+in_approval_growth)^(D625-1))</f>
        <v/>
      </c>
      <c r="J625" s="40">
        <f>(J624-L624)*F625/F624</f>
        <v/>
      </c>
      <c r="K625" s="40">
        <f>(K624-M624)*F625/F624+SUMIFS(O607:O624,B607:B624,B625-1-d_T)*F625</f>
        <v/>
      </c>
      <c r="L625" s="40">
        <f>IF(B625&gt;=in_marketplace_from,J625*d_hz*G625*in_eligible*H625,0)</f>
        <v/>
      </c>
      <c r="M625" s="40">
        <f>IF(B625&gt;=in_marketplace_from,K625*d_hz*G625*in_eligible*in_approved_repeat,0)</f>
        <v/>
      </c>
      <c r="N625" s="40">
        <f>L625+M625</f>
        <v/>
      </c>
      <c r="O625" s="46">
        <f>N625/F625</f>
        <v/>
      </c>
      <c r="P625" s="40">
        <f>F625-J625-K625</f>
        <v/>
      </c>
      <c r="Q625" s="40">
        <f>IF(B625&gt;=in_marketplace_from,(J625+K625)*d_hz*G625,0)</f>
        <v/>
      </c>
      <c r="R625" s="40">
        <f>SUMIFS(N607:N655,B607:B655,"&gt;="&amp;(B625-d_T),B607:B655,"&lt;="&amp;(B625-1))</f>
        <v/>
      </c>
      <c r="S625" s="46">
        <f>(1-d_u)*S624+IF(d_T&gt;in_topup_lag,SUMIFS(O607:O655,B607:B655,B625-in_topup_lag)-d_udrop*SUMIFS(O607:O655,B607:B655,B625-d_T),0)</f>
        <v/>
      </c>
      <c r="T625" s="40">
        <f>F625*d_u*S625</f>
        <v/>
      </c>
      <c r="U625" s="9">
        <f>L625*in_ticket+M625*d_rep_ticket</f>
        <v/>
      </c>
      <c r="V625" s="9">
        <f>U625+T625*d_topup_amt</f>
        <v/>
      </c>
      <c r="W625" s="40">
        <f>N625+T625*d_topup_ratio</f>
        <v/>
      </c>
      <c r="X625" s="40">
        <f>SUMIFS(W607:W655,B607:B655,B625-in_dpd_lag)*d_cured</f>
        <v/>
      </c>
      <c r="Y625" s="40">
        <f>SUMIFS(W607:W655,B607:B655,B625-in_rec_lag)*d_recd</f>
        <v/>
      </c>
      <c r="Z625" s="40">
        <f>IF(AND(B625&gt;=in_marketplace_from,B625&lt;in_marketplace_from+in_card_months),in_card_share/in_card_months*F625*I625,IF(AND(B625&gt;=in_marketplace_from+in_card_months,B625&lt;in_marketplace_from+2*in_card_months),in_card_share*d_card_rem/in_card_months*F625*MIN(in_takeup_cap,(1+in_takeup_growth)^(D625-1))*MIN(in_takeup_cap,(1+in_approval_growth)^(D625-1)),0))</f>
        <v/>
      </c>
      <c r="AA625" s="14">
        <f>V625*in_fee*(1-in_taken_back)</f>
        <v/>
      </c>
      <c r="AB625" s="14">
        <f>SUMIFS(W607:W655,B607:B655,B625-in_dpd_lag)*d_dpd</f>
        <v/>
      </c>
      <c r="AC625" s="14">
        <f>SUMIFS(W607:W655,B607:B655,B625-in_rec_lag)*d_rec</f>
        <v/>
      </c>
      <c r="AD625" s="14">
        <f>Z625*in_card_fee</f>
        <v/>
      </c>
      <c r="AE625" s="40">
        <f>AE624*(1-IF(B624&gt;=in_marketplace_from,d_hz_hlth_small*G624,0))</f>
        <v/>
      </c>
      <c r="AF625" s="46">
        <f>AE625*IF(B625&gt;=in_marketplace_from,d_hz_hlth_small*G625,0)</f>
        <v/>
      </c>
      <c r="AG625" s="14">
        <f>F625*AF625*in_hlth_small_ticket*in_hlth_small_comm*in_ins_partner_share+F625*in_hlth_small_ticket*in_hlth_small_renew_comm*in_ins_partner_share*(in_hlth_small_renew^1*SUMIFS(AF607:AF655,B607:B655,B625-12)+in_hlth_small_renew^2*SUMIFS(AF607:AF655,B607:B655,B625-24)+in_hlth_small_renew^3*SUMIFS(AF607:AF655,B607:B655,B625-36)+in_hlth_small_renew^4*SUMIFS(AF607:AF655,B607:B655,B625-48))</f>
        <v/>
      </c>
      <c r="AH625" s="40">
        <f>AH624*(1-IF(B624&gt;=in_marketplace_from,d_hz_hlth_family*G624,0))</f>
        <v/>
      </c>
      <c r="AI625" s="46">
        <f>AH625*IF(B625&gt;=in_marketplace_from,d_hz_hlth_family*G625,0)</f>
        <v/>
      </c>
      <c r="AJ625" s="14">
        <f>F625*AI625*in_hlth_family_ticket*in_hlth_family_comm*in_ins_partner_share+F625*in_hlth_family_ticket*in_hlth_family_renew_comm*in_ins_partner_share*(in_hlth_family_renew^1*SUMIFS(AI607:AI655,B607:B655,B625-12)+in_hlth_family_renew^2*SUMIFS(AI607:AI655,B607:B655,B625-24)+in_hlth_family_renew^3*SUMIFS(AI607:AI655,B607:B655,B625-36)+in_hlth_family_renew^4*SUMIFS(AI607:AI655,B607:B655,B625-48))</f>
        <v/>
      </c>
      <c r="AK625" s="40">
        <f>AK624*(1-IF(B624&gt;=in_marketplace_from,d_hz_life_term*G624,0))</f>
        <v/>
      </c>
      <c r="AL625" s="46">
        <f>AK625*IF(B625&gt;=in_marketplace_from,d_hz_life_term*G625,0)</f>
        <v/>
      </c>
      <c r="AM625" s="14">
        <f>F625*AL625*in_life_term_ticket*in_life_term_comm*in_ins_partner_share+F625*in_life_term_ticket*in_life_term_renew_comm*in_ins_partner_share*(in_life_term_renew^1*SUMIFS(AL607:AL655,B607:B655,B625-12)+in_life_term_renew^2*SUMIFS(AL607:AL655,B607:B655,B625-24)+in_life_term_renew^3*SUMIFS(AL607:AL655,B607:B655,B625-36)+in_life_term_renew^4*SUMIFS(AL607:AL655,B607:B655,B625-48))</f>
        <v/>
      </c>
      <c r="AN625" s="40">
        <f>AN624*(1-IF(B624&gt;=in_marketplace_from,d_hz_accident*G624,0))</f>
        <v/>
      </c>
      <c r="AO625" s="46">
        <f>AN625*IF(B625&gt;=in_marketplace_from,d_hz_accident*G625,0)</f>
        <v/>
      </c>
      <c r="AP625" s="14">
        <f>F625*AO625*in_accident_ticket*in_accident_comm*in_ins_partner_share+F625*in_accident_ticket*in_accident_renew_comm*in_ins_partner_share*(in_accident_renew^1*SUMIFS(AO607:AO655,B607:B655,B625-12)+in_accident_renew^2*SUMIFS(AO607:AO655,B607:B655,B625-24)+in_accident_renew^3*SUMIFS(AO607:AO655,B607:B655,B625-36)+in_accident_renew^4*SUMIFS(AO607:AO655,B607:B655,B625-48))</f>
        <v/>
      </c>
      <c r="AQ625" s="40">
        <f>AQ624*(1-IF(B624&gt;=in_marketplace_from,d_hz_two_wheeler*G624,0))</f>
        <v/>
      </c>
      <c r="AR625" s="46">
        <f>AQ625*IF(B625&gt;=in_marketplace_from,d_hz_two_wheeler*G625,0)</f>
        <v/>
      </c>
      <c r="AS625" s="14">
        <f>F625*AR625*in_two_wheeler_ticket*in_two_wheeler_comm*in_ins_partner_share+F625*in_two_wheeler_ticket*in_two_wheeler_comm*in_ins_partner_share*(in_two_wheeler_renew^1*SUMIFS(AR607:AR655,B607:B655,B625-12)+in_two_wheeler_renew^2*SUMIFS(AR607:AR655,B607:B655,B625-24)+in_two_wheeler_renew^3*SUMIFS(AR607:AR655,B607:B655,B625-36)+in_two_wheeler_renew^4*SUMIFS(AR607:AR655,B607:B655,B625-48))</f>
        <v/>
      </c>
      <c r="AT625" s="40">
        <f>AT624*(1-IF(B624&gt;=in_marketplace_from,d_hz_device*G624,0))</f>
        <v/>
      </c>
      <c r="AU625" s="14">
        <f>F625*AT625*IF(B625&gt;=in_marketplace_from,d_hz_device*G625,0)*in_device_ticket*in_device_comm*in_ins_partner_share</f>
        <v/>
      </c>
      <c r="AV625" s="40">
        <f>AV624*(1-IF(B624&gt;=in_marketplace_from,d_hz_shop*G624,0))</f>
        <v/>
      </c>
      <c r="AW625" s="46">
        <f>AV625*IF(B625&gt;=in_marketplace_from,d_hz_shop*G625,0)</f>
        <v/>
      </c>
      <c r="AX625" s="14">
        <f>F625*AW625*in_shop_ticket*in_shop_comm*in_ins_partner_share+F625*in_shop_ticket*in_shop_renew_comm*in_ins_partner_share*(in_shop_renew^1*SUMIFS(AW607:AW655,B607:B655,B625-12)+in_shop_renew^2*SUMIFS(AW607:AW655,B607:B655,B625-24)+in_shop_renew^3*SUMIFS(AW607:AW655,B607:B655,B625-36)+in_shop_renew^4*SUMIFS(AW607:AW655,B607:B655,B625-48))</f>
        <v/>
      </c>
      <c r="AY625" s="40">
        <f>AY624*(1-IF(B624&gt;=in_marketplace_from,d_hz_sip*G624,0))</f>
        <v/>
      </c>
      <c r="AZ625" s="40">
        <f>AZ624*d_rho_sip+AY625*IF(B625&gt;=in_marketplace_from,d_hz_sip*G625,0)</f>
        <v/>
      </c>
      <c r="BA625" s="40">
        <f>d_rho_sip*(BA624+AZ624)</f>
        <v/>
      </c>
      <c r="BB625" s="14">
        <f>F625*in_sip_ticket*(BA625+0.5*AZ625)*in_sip_comm/12</f>
        <v/>
      </c>
      <c r="BC625" s="40">
        <f>BC624*(1-IF(B624&gt;=in_marketplace_from,d_hz_choti*G624,0))</f>
        <v/>
      </c>
      <c r="BD625" s="46">
        <f>BC625*IF(B625&gt;=in_marketplace_from,d_hz_choti*G625,0)</f>
        <v/>
      </c>
      <c r="BE625" s="14">
        <f>F625*SUMIFS(BD607:BD655,B607:B655,B625-in_choti_months)*in_choti_renew*in_choti_ticket</f>
        <v/>
      </c>
      <c r="BF625" s="40">
        <f>BF624*(1-IF(B624&gt;=in_marketplace_from,d_hz_nps*G624,0))</f>
        <v/>
      </c>
      <c r="BG625" s="14">
        <f>F625*BF625*IF(B625&gt;=in_marketplace_from,d_hz_nps*G625,0)*in_nps_ticket*in_nps_comm</f>
        <v/>
      </c>
      <c r="BH625" s="40">
        <f>BH624*(1-IF(B624&gt;=in_marketplace_from,d_hz_gold*G624,0))</f>
        <v/>
      </c>
      <c r="BI625" s="40">
        <f>BI624*d_rho_gold+BH625*IF(B625&gt;=in_marketplace_from,d_hz_gold*G625,0)</f>
        <v/>
      </c>
      <c r="BJ625" s="14">
        <f>F625*BI625*in_gold_ticket*in_gold_comm</f>
        <v/>
      </c>
      <c r="BK625" s="40">
        <f>BK624*(1-IF(B624&gt;=in_marketplace_from,d_hz_fd*G624,0))</f>
        <v/>
      </c>
      <c r="BL625" s="14">
        <f>F625*BK625*IF(B625&gt;=in_marketplace_from,d_hz_fd*G625,0)*in_fd_ticket*in_fd_comm</f>
        <v/>
      </c>
      <c r="BM625" s="40">
        <f>BM624*(1-IF(B624&gt;=in_marketplace_from,d_hz_recharge*G624,0))</f>
        <v/>
      </c>
      <c r="BN625" s="40">
        <f>BN624*d_rho_recharge+BM625*IF(B625&gt;=in_marketplace_from,d_hz_recharge*G625,0)</f>
        <v/>
      </c>
      <c r="BO625" s="14">
        <f>F625*BN625*in_recharge_ticket*in_recharge_comm/12</f>
        <v/>
      </c>
      <c r="BP625" s="40">
        <f>BP624*(1-IF(B624&gt;=in_marketplace_from,d_hz_bills*G624,0))</f>
        <v/>
      </c>
      <c r="BQ625" s="40">
        <f>BQ624*d_rho_bills+BP625*IF(B625&gt;=in_marketplace_from,d_hz_bills*G625,0)</f>
        <v/>
      </c>
      <c r="BR625" s="14">
        <f>F625*BQ625*in_bills_ticket*in_bills_comm/12</f>
        <v/>
      </c>
      <c r="BS625" s="40">
        <f>BS624*(1-IF(B624&gt;=in_marketplace_from,d_hz_loan_gold*G624,0))</f>
        <v/>
      </c>
      <c r="BT625" s="14">
        <f>F625*BS625*IF(B625&gt;=in_marketplace_from,d_hz_loan_gold*G625,0)*in_loan_gold_ticket*in_loan_gold_comm</f>
        <v/>
      </c>
      <c r="BU625" s="40">
        <f>BU624*(1-IF(B624&gt;=in_marketplace_from,d_hz_loan_cd*G624,0))</f>
        <v/>
      </c>
      <c r="BV625" s="14">
        <f>F625*BU625*IF(B625&gt;=in_marketplace_from,d_hz_loan_cd*G625,0)*in_loan_cd_ticket*in_loan_cd_comm</f>
        <v/>
      </c>
      <c r="BW625" s="40">
        <f>BW624*(1-IF(B624&gt;=in_marketplace_from,d_hz_loan_vehicle*G624,0))</f>
        <v/>
      </c>
      <c r="BX625" s="14">
        <f>F625*BW625*IF(B625&gt;=in_marketplace_from,d_hz_loan_vehicle*G625,0)*in_loan_vehicle_ticket*in_loan_vehicle_comm</f>
        <v/>
      </c>
      <c r="BY625" s="40">
        <f>BY624*(1-IF(B624&gt;=in_marketplace_from,d_hz_loan_home*G624,0)*BZ624)</f>
        <v/>
      </c>
      <c r="BZ625" s="11">
        <f>MIN(in_approval_cap,in_loan_home_approval*INDEX('Age profile'!$O$2:$O$61,B625)*(1+in_approval_growth)^(D625-1))</f>
        <v/>
      </c>
      <c r="CA625" s="14">
        <f>F625*BY625*IF(B625&gt;=in_marketplace_from,d_hz_loan_home*G625,0)*BZ625*in_loan_home_ticket*in_loan_home_comm</f>
        <v/>
      </c>
      <c r="CB625" s="40">
        <f>CB624*(1-IF(B624&gt;=in_marketplace_from,d_hz_loan_lap*G624,0)*CC624)</f>
        <v/>
      </c>
      <c r="CC625" s="11">
        <f>MIN(in_approval_cap,in_loan_lap_approval*INDEX('Age profile'!$O$2:$O$61,B625)*(1+in_approval_growth)^(D625-1))</f>
        <v/>
      </c>
      <c r="CD625" s="14">
        <f>F625*CB625*IF(B625&gt;=in_marketplace_from,d_hz_loan_lap*G625,0)*CC625*in_loan_lap_ticket*in_loan_lap_comm</f>
        <v/>
      </c>
      <c r="CE625" s="14">
        <f>AA625+AB625+AC625+AD625+AG625+AJ625+AM625+AP625+AS625+AU625+AX625+BB625+BE625+BG625+BJ625+BL625+BO625+BR625+BT625+BV625+BX625+CA625+CD625</f>
        <v/>
      </c>
    </row>
    <row r="626">
      <c r="A626" s="39" t="n">
        <v>12</v>
      </c>
      <c r="B626" s="39" t="n">
        <v>20</v>
      </c>
      <c r="C626" s="39">
        <f>A626+B626-1</f>
        <v/>
      </c>
      <c r="D626" s="39">
        <f>INT((C626-1)/12)+1</f>
        <v/>
      </c>
      <c r="E626" s="44">
        <f>INDEX(Monthly!$B$2:$B$61,A626)</f>
        <v/>
      </c>
      <c r="F626" s="44">
        <f>E626*INDEX('Age profile'!$B$2:$B$61,B626)</f>
        <v/>
      </c>
      <c r="G626" s="45">
        <f>MIN(in_takeup_cap,INDEX('Age profile'!$N$2:$N$61,B626)*(1+in_takeup_growth)^(D626-1))</f>
        <v/>
      </c>
      <c r="H626" s="11">
        <f>MIN(in_approval_cap,in_approved_first*INDEX('Age profile'!$O$2:$O$61,B626)*(1+in_approval_growth)^(D626-1))</f>
        <v/>
      </c>
      <c r="I626" s="45">
        <f>G626*MIN(in_takeup_cap,INDEX('Age profile'!$O$2:$O$61,B626)*(1+in_approval_growth)^(D626-1))</f>
        <v/>
      </c>
      <c r="J626" s="40">
        <f>(J625-L625)*F626/F625</f>
        <v/>
      </c>
      <c r="K626" s="40">
        <f>(K625-M625)*F626/F625+SUMIFS(O607:O625,B607:B625,B626-1-d_T)*F626</f>
        <v/>
      </c>
      <c r="L626" s="40">
        <f>IF(B626&gt;=in_marketplace_from,J626*d_hz*G626*in_eligible*H626,0)</f>
        <v/>
      </c>
      <c r="M626" s="40">
        <f>IF(B626&gt;=in_marketplace_from,K626*d_hz*G626*in_eligible*in_approved_repeat,0)</f>
        <v/>
      </c>
      <c r="N626" s="40">
        <f>L626+M626</f>
        <v/>
      </c>
      <c r="O626" s="46">
        <f>N626/F626</f>
        <v/>
      </c>
      <c r="P626" s="40">
        <f>F626-J626-K626</f>
        <v/>
      </c>
      <c r="Q626" s="40">
        <f>IF(B626&gt;=in_marketplace_from,(J626+K626)*d_hz*G626,0)</f>
        <v/>
      </c>
      <c r="R626" s="40">
        <f>SUMIFS(N607:N655,B607:B655,"&gt;="&amp;(B626-d_T),B607:B655,"&lt;="&amp;(B626-1))</f>
        <v/>
      </c>
      <c r="S626" s="46">
        <f>(1-d_u)*S625+IF(d_T&gt;in_topup_lag,SUMIFS(O607:O655,B607:B655,B626-in_topup_lag)-d_udrop*SUMIFS(O607:O655,B607:B655,B626-d_T),0)</f>
        <v/>
      </c>
      <c r="T626" s="40">
        <f>F626*d_u*S626</f>
        <v/>
      </c>
      <c r="U626" s="9">
        <f>L626*in_ticket+M626*d_rep_ticket</f>
        <v/>
      </c>
      <c r="V626" s="9">
        <f>U626+T626*d_topup_amt</f>
        <v/>
      </c>
      <c r="W626" s="40">
        <f>N626+T626*d_topup_ratio</f>
        <v/>
      </c>
      <c r="X626" s="40">
        <f>SUMIFS(W607:W655,B607:B655,B626-in_dpd_lag)*d_cured</f>
        <v/>
      </c>
      <c r="Y626" s="40">
        <f>SUMIFS(W607:W655,B607:B655,B626-in_rec_lag)*d_recd</f>
        <v/>
      </c>
      <c r="Z626" s="40">
        <f>IF(AND(B626&gt;=in_marketplace_from,B626&lt;in_marketplace_from+in_card_months),in_card_share/in_card_months*F626*I626,IF(AND(B626&gt;=in_marketplace_from+in_card_months,B626&lt;in_marketplace_from+2*in_card_months),in_card_share*d_card_rem/in_card_months*F626*MIN(in_takeup_cap,(1+in_takeup_growth)^(D626-1))*MIN(in_takeup_cap,(1+in_approval_growth)^(D626-1)),0))</f>
        <v/>
      </c>
      <c r="AA626" s="14">
        <f>V626*in_fee*(1-in_taken_back)</f>
        <v/>
      </c>
      <c r="AB626" s="14">
        <f>SUMIFS(W607:W655,B607:B655,B626-in_dpd_lag)*d_dpd</f>
        <v/>
      </c>
      <c r="AC626" s="14">
        <f>SUMIFS(W607:W655,B607:B655,B626-in_rec_lag)*d_rec</f>
        <v/>
      </c>
      <c r="AD626" s="14">
        <f>Z626*in_card_fee</f>
        <v/>
      </c>
      <c r="AE626" s="40">
        <f>AE625*(1-IF(B625&gt;=in_marketplace_from,d_hz_hlth_small*G625,0))</f>
        <v/>
      </c>
      <c r="AF626" s="46">
        <f>AE626*IF(B626&gt;=in_marketplace_from,d_hz_hlth_small*G626,0)</f>
        <v/>
      </c>
      <c r="AG626" s="14">
        <f>F626*AF626*in_hlth_small_ticket*in_hlth_small_comm*in_ins_partner_share+F626*in_hlth_small_ticket*in_hlth_small_renew_comm*in_ins_partner_share*(in_hlth_small_renew^1*SUMIFS(AF607:AF655,B607:B655,B626-12)+in_hlth_small_renew^2*SUMIFS(AF607:AF655,B607:B655,B626-24)+in_hlth_small_renew^3*SUMIFS(AF607:AF655,B607:B655,B626-36)+in_hlth_small_renew^4*SUMIFS(AF607:AF655,B607:B655,B626-48))</f>
        <v/>
      </c>
      <c r="AH626" s="40">
        <f>AH625*(1-IF(B625&gt;=in_marketplace_from,d_hz_hlth_family*G625,0))</f>
        <v/>
      </c>
      <c r="AI626" s="46">
        <f>AH626*IF(B626&gt;=in_marketplace_from,d_hz_hlth_family*G626,0)</f>
        <v/>
      </c>
      <c r="AJ626" s="14">
        <f>F626*AI626*in_hlth_family_ticket*in_hlth_family_comm*in_ins_partner_share+F626*in_hlth_family_ticket*in_hlth_family_renew_comm*in_ins_partner_share*(in_hlth_family_renew^1*SUMIFS(AI607:AI655,B607:B655,B626-12)+in_hlth_family_renew^2*SUMIFS(AI607:AI655,B607:B655,B626-24)+in_hlth_family_renew^3*SUMIFS(AI607:AI655,B607:B655,B626-36)+in_hlth_family_renew^4*SUMIFS(AI607:AI655,B607:B655,B626-48))</f>
        <v/>
      </c>
      <c r="AK626" s="40">
        <f>AK625*(1-IF(B625&gt;=in_marketplace_from,d_hz_life_term*G625,0))</f>
        <v/>
      </c>
      <c r="AL626" s="46">
        <f>AK626*IF(B626&gt;=in_marketplace_from,d_hz_life_term*G626,0)</f>
        <v/>
      </c>
      <c r="AM626" s="14">
        <f>F626*AL626*in_life_term_ticket*in_life_term_comm*in_ins_partner_share+F626*in_life_term_ticket*in_life_term_renew_comm*in_ins_partner_share*(in_life_term_renew^1*SUMIFS(AL607:AL655,B607:B655,B626-12)+in_life_term_renew^2*SUMIFS(AL607:AL655,B607:B655,B626-24)+in_life_term_renew^3*SUMIFS(AL607:AL655,B607:B655,B626-36)+in_life_term_renew^4*SUMIFS(AL607:AL655,B607:B655,B626-48))</f>
        <v/>
      </c>
      <c r="AN626" s="40">
        <f>AN625*(1-IF(B625&gt;=in_marketplace_from,d_hz_accident*G625,0))</f>
        <v/>
      </c>
      <c r="AO626" s="46">
        <f>AN626*IF(B626&gt;=in_marketplace_from,d_hz_accident*G626,0)</f>
        <v/>
      </c>
      <c r="AP626" s="14">
        <f>F626*AO626*in_accident_ticket*in_accident_comm*in_ins_partner_share+F626*in_accident_ticket*in_accident_renew_comm*in_ins_partner_share*(in_accident_renew^1*SUMIFS(AO607:AO655,B607:B655,B626-12)+in_accident_renew^2*SUMIFS(AO607:AO655,B607:B655,B626-24)+in_accident_renew^3*SUMIFS(AO607:AO655,B607:B655,B626-36)+in_accident_renew^4*SUMIFS(AO607:AO655,B607:B655,B626-48))</f>
        <v/>
      </c>
      <c r="AQ626" s="40">
        <f>AQ625*(1-IF(B625&gt;=in_marketplace_from,d_hz_two_wheeler*G625,0))</f>
        <v/>
      </c>
      <c r="AR626" s="46">
        <f>AQ626*IF(B626&gt;=in_marketplace_from,d_hz_two_wheeler*G626,0)</f>
        <v/>
      </c>
      <c r="AS626" s="14">
        <f>F626*AR626*in_two_wheeler_ticket*in_two_wheeler_comm*in_ins_partner_share+F626*in_two_wheeler_ticket*in_two_wheeler_comm*in_ins_partner_share*(in_two_wheeler_renew^1*SUMIFS(AR607:AR655,B607:B655,B626-12)+in_two_wheeler_renew^2*SUMIFS(AR607:AR655,B607:B655,B626-24)+in_two_wheeler_renew^3*SUMIFS(AR607:AR655,B607:B655,B626-36)+in_two_wheeler_renew^4*SUMIFS(AR607:AR655,B607:B655,B626-48))</f>
        <v/>
      </c>
      <c r="AT626" s="40">
        <f>AT625*(1-IF(B625&gt;=in_marketplace_from,d_hz_device*G625,0))</f>
        <v/>
      </c>
      <c r="AU626" s="14">
        <f>F626*AT626*IF(B626&gt;=in_marketplace_from,d_hz_device*G626,0)*in_device_ticket*in_device_comm*in_ins_partner_share</f>
        <v/>
      </c>
      <c r="AV626" s="40">
        <f>AV625*(1-IF(B625&gt;=in_marketplace_from,d_hz_shop*G625,0))</f>
        <v/>
      </c>
      <c r="AW626" s="46">
        <f>AV626*IF(B626&gt;=in_marketplace_from,d_hz_shop*G626,0)</f>
        <v/>
      </c>
      <c r="AX626" s="14">
        <f>F626*AW626*in_shop_ticket*in_shop_comm*in_ins_partner_share+F626*in_shop_ticket*in_shop_renew_comm*in_ins_partner_share*(in_shop_renew^1*SUMIFS(AW607:AW655,B607:B655,B626-12)+in_shop_renew^2*SUMIFS(AW607:AW655,B607:B655,B626-24)+in_shop_renew^3*SUMIFS(AW607:AW655,B607:B655,B626-36)+in_shop_renew^4*SUMIFS(AW607:AW655,B607:B655,B626-48))</f>
        <v/>
      </c>
      <c r="AY626" s="40">
        <f>AY625*(1-IF(B625&gt;=in_marketplace_from,d_hz_sip*G625,0))</f>
        <v/>
      </c>
      <c r="AZ626" s="40">
        <f>AZ625*d_rho_sip+AY626*IF(B626&gt;=in_marketplace_from,d_hz_sip*G626,0)</f>
        <v/>
      </c>
      <c r="BA626" s="40">
        <f>d_rho_sip*(BA625+AZ625)</f>
        <v/>
      </c>
      <c r="BB626" s="14">
        <f>F626*in_sip_ticket*(BA626+0.5*AZ626)*in_sip_comm/12</f>
        <v/>
      </c>
      <c r="BC626" s="40">
        <f>BC625*(1-IF(B625&gt;=in_marketplace_from,d_hz_choti*G625,0))</f>
        <v/>
      </c>
      <c r="BD626" s="46">
        <f>BC626*IF(B626&gt;=in_marketplace_from,d_hz_choti*G626,0)</f>
        <v/>
      </c>
      <c r="BE626" s="14">
        <f>F626*SUMIFS(BD607:BD655,B607:B655,B626-in_choti_months)*in_choti_renew*in_choti_ticket</f>
        <v/>
      </c>
      <c r="BF626" s="40">
        <f>BF625*(1-IF(B625&gt;=in_marketplace_from,d_hz_nps*G625,0))</f>
        <v/>
      </c>
      <c r="BG626" s="14">
        <f>F626*BF626*IF(B626&gt;=in_marketplace_from,d_hz_nps*G626,0)*in_nps_ticket*in_nps_comm</f>
        <v/>
      </c>
      <c r="BH626" s="40">
        <f>BH625*(1-IF(B625&gt;=in_marketplace_from,d_hz_gold*G625,0))</f>
        <v/>
      </c>
      <c r="BI626" s="40">
        <f>BI625*d_rho_gold+BH626*IF(B626&gt;=in_marketplace_from,d_hz_gold*G626,0)</f>
        <v/>
      </c>
      <c r="BJ626" s="14">
        <f>F626*BI626*in_gold_ticket*in_gold_comm</f>
        <v/>
      </c>
      <c r="BK626" s="40">
        <f>BK625*(1-IF(B625&gt;=in_marketplace_from,d_hz_fd*G625,0))</f>
        <v/>
      </c>
      <c r="BL626" s="14">
        <f>F626*BK626*IF(B626&gt;=in_marketplace_from,d_hz_fd*G626,0)*in_fd_ticket*in_fd_comm</f>
        <v/>
      </c>
      <c r="BM626" s="40">
        <f>BM625*(1-IF(B625&gt;=in_marketplace_from,d_hz_recharge*G625,0))</f>
        <v/>
      </c>
      <c r="BN626" s="40">
        <f>BN625*d_rho_recharge+BM626*IF(B626&gt;=in_marketplace_from,d_hz_recharge*G626,0)</f>
        <v/>
      </c>
      <c r="BO626" s="14">
        <f>F626*BN626*in_recharge_ticket*in_recharge_comm/12</f>
        <v/>
      </c>
      <c r="BP626" s="40">
        <f>BP625*(1-IF(B625&gt;=in_marketplace_from,d_hz_bills*G625,0))</f>
        <v/>
      </c>
      <c r="BQ626" s="40">
        <f>BQ625*d_rho_bills+BP626*IF(B626&gt;=in_marketplace_from,d_hz_bills*G626,0)</f>
        <v/>
      </c>
      <c r="BR626" s="14">
        <f>F626*BQ626*in_bills_ticket*in_bills_comm/12</f>
        <v/>
      </c>
      <c r="BS626" s="40">
        <f>BS625*(1-IF(B625&gt;=in_marketplace_from,d_hz_loan_gold*G625,0))</f>
        <v/>
      </c>
      <c r="BT626" s="14">
        <f>F626*BS626*IF(B626&gt;=in_marketplace_from,d_hz_loan_gold*G626,0)*in_loan_gold_ticket*in_loan_gold_comm</f>
        <v/>
      </c>
      <c r="BU626" s="40">
        <f>BU625*(1-IF(B625&gt;=in_marketplace_from,d_hz_loan_cd*G625,0))</f>
        <v/>
      </c>
      <c r="BV626" s="14">
        <f>F626*BU626*IF(B626&gt;=in_marketplace_from,d_hz_loan_cd*G626,0)*in_loan_cd_ticket*in_loan_cd_comm</f>
        <v/>
      </c>
      <c r="BW626" s="40">
        <f>BW625*(1-IF(B625&gt;=in_marketplace_from,d_hz_loan_vehicle*G625,0))</f>
        <v/>
      </c>
      <c r="BX626" s="14">
        <f>F626*BW626*IF(B626&gt;=in_marketplace_from,d_hz_loan_vehicle*G626,0)*in_loan_vehicle_ticket*in_loan_vehicle_comm</f>
        <v/>
      </c>
      <c r="BY626" s="40">
        <f>BY625*(1-IF(B625&gt;=in_marketplace_from,d_hz_loan_home*G625,0)*BZ625)</f>
        <v/>
      </c>
      <c r="BZ626" s="11">
        <f>MIN(in_approval_cap,in_loan_home_approval*INDEX('Age profile'!$O$2:$O$61,B626)*(1+in_approval_growth)^(D626-1))</f>
        <v/>
      </c>
      <c r="CA626" s="14">
        <f>F626*BY626*IF(B626&gt;=in_marketplace_from,d_hz_loan_home*G626,0)*BZ626*in_loan_home_ticket*in_loan_home_comm</f>
        <v/>
      </c>
      <c r="CB626" s="40">
        <f>CB625*(1-IF(B625&gt;=in_marketplace_from,d_hz_loan_lap*G625,0)*CC625)</f>
        <v/>
      </c>
      <c r="CC626" s="11">
        <f>MIN(in_approval_cap,in_loan_lap_approval*INDEX('Age profile'!$O$2:$O$61,B626)*(1+in_approval_growth)^(D626-1))</f>
        <v/>
      </c>
      <c r="CD626" s="14">
        <f>F626*CB626*IF(B626&gt;=in_marketplace_from,d_hz_loan_lap*G626,0)*CC626*in_loan_lap_ticket*in_loan_lap_comm</f>
        <v/>
      </c>
      <c r="CE626" s="14">
        <f>AA626+AB626+AC626+AD626+AG626+AJ626+AM626+AP626+AS626+AU626+AX626+BB626+BE626+BG626+BJ626+BL626+BO626+BR626+BT626+BV626+BX626+CA626+CD626</f>
        <v/>
      </c>
    </row>
    <row r="627">
      <c r="A627" s="39" t="n">
        <v>12</v>
      </c>
      <c r="B627" s="39" t="n">
        <v>21</v>
      </c>
      <c r="C627" s="39">
        <f>A627+B627-1</f>
        <v/>
      </c>
      <c r="D627" s="39">
        <f>INT((C627-1)/12)+1</f>
        <v/>
      </c>
      <c r="E627" s="44">
        <f>INDEX(Monthly!$B$2:$B$61,A627)</f>
        <v/>
      </c>
      <c r="F627" s="44">
        <f>E627*INDEX('Age profile'!$B$2:$B$61,B627)</f>
        <v/>
      </c>
      <c r="G627" s="45">
        <f>MIN(in_takeup_cap,INDEX('Age profile'!$N$2:$N$61,B627)*(1+in_takeup_growth)^(D627-1))</f>
        <v/>
      </c>
      <c r="H627" s="11">
        <f>MIN(in_approval_cap,in_approved_first*INDEX('Age profile'!$O$2:$O$61,B627)*(1+in_approval_growth)^(D627-1))</f>
        <v/>
      </c>
      <c r="I627" s="45">
        <f>G627*MIN(in_takeup_cap,INDEX('Age profile'!$O$2:$O$61,B627)*(1+in_approval_growth)^(D627-1))</f>
        <v/>
      </c>
      <c r="J627" s="40">
        <f>(J626-L626)*F627/F626</f>
        <v/>
      </c>
      <c r="K627" s="40">
        <f>(K626-M626)*F627/F626+SUMIFS(O607:O626,B607:B626,B627-1-d_T)*F627</f>
        <v/>
      </c>
      <c r="L627" s="40">
        <f>IF(B627&gt;=in_marketplace_from,J627*d_hz*G627*in_eligible*H627,0)</f>
        <v/>
      </c>
      <c r="M627" s="40">
        <f>IF(B627&gt;=in_marketplace_from,K627*d_hz*G627*in_eligible*in_approved_repeat,0)</f>
        <v/>
      </c>
      <c r="N627" s="40">
        <f>L627+M627</f>
        <v/>
      </c>
      <c r="O627" s="46">
        <f>N627/F627</f>
        <v/>
      </c>
      <c r="P627" s="40">
        <f>F627-J627-K627</f>
        <v/>
      </c>
      <c r="Q627" s="40">
        <f>IF(B627&gt;=in_marketplace_from,(J627+K627)*d_hz*G627,0)</f>
        <v/>
      </c>
      <c r="R627" s="40">
        <f>SUMIFS(N607:N655,B607:B655,"&gt;="&amp;(B627-d_T),B607:B655,"&lt;="&amp;(B627-1))</f>
        <v/>
      </c>
      <c r="S627" s="46">
        <f>(1-d_u)*S626+IF(d_T&gt;in_topup_lag,SUMIFS(O607:O655,B607:B655,B627-in_topup_lag)-d_udrop*SUMIFS(O607:O655,B607:B655,B627-d_T),0)</f>
        <v/>
      </c>
      <c r="T627" s="40">
        <f>F627*d_u*S627</f>
        <v/>
      </c>
      <c r="U627" s="9">
        <f>L627*in_ticket+M627*d_rep_ticket</f>
        <v/>
      </c>
      <c r="V627" s="9">
        <f>U627+T627*d_topup_amt</f>
        <v/>
      </c>
      <c r="W627" s="40">
        <f>N627+T627*d_topup_ratio</f>
        <v/>
      </c>
      <c r="X627" s="40">
        <f>SUMIFS(W607:W655,B607:B655,B627-in_dpd_lag)*d_cured</f>
        <v/>
      </c>
      <c r="Y627" s="40">
        <f>SUMIFS(W607:W655,B607:B655,B627-in_rec_lag)*d_recd</f>
        <v/>
      </c>
      <c r="Z627" s="40">
        <f>IF(AND(B627&gt;=in_marketplace_from,B627&lt;in_marketplace_from+in_card_months),in_card_share/in_card_months*F627*I627,IF(AND(B627&gt;=in_marketplace_from+in_card_months,B627&lt;in_marketplace_from+2*in_card_months),in_card_share*d_card_rem/in_card_months*F627*MIN(in_takeup_cap,(1+in_takeup_growth)^(D627-1))*MIN(in_takeup_cap,(1+in_approval_growth)^(D627-1)),0))</f>
        <v/>
      </c>
      <c r="AA627" s="14">
        <f>V627*in_fee*(1-in_taken_back)</f>
        <v/>
      </c>
      <c r="AB627" s="14">
        <f>SUMIFS(W607:W655,B607:B655,B627-in_dpd_lag)*d_dpd</f>
        <v/>
      </c>
      <c r="AC627" s="14">
        <f>SUMIFS(W607:W655,B607:B655,B627-in_rec_lag)*d_rec</f>
        <v/>
      </c>
      <c r="AD627" s="14">
        <f>Z627*in_card_fee</f>
        <v/>
      </c>
      <c r="AE627" s="40">
        <f>AE626*(1-IF(B626&gt;=in_marketplace_from,d_hz_hlth_small*G626,0))</f>
        <v/>
      </c>
      <c r="AF627" s="46">
        <f>AE627*IF(B627&gt;=in_marketplace_from,d_hz_hlth_small*G627,0)</f>
        <v/>
      </c>
      <c r="AG627" s="14">
        <f>F627*AF627*in_hlth_small_ticket*in_hlth_small_comm*in_ins_partner_share+F627*in_hlth_small_ticket*in_hlth_small_renew_comm*in_ins_partner_share*(in_hlth_small_renew^1*SUMIFS(AF607:AF655,B607:B655,B627-12)+in_hlth_small_renew^2*SUMIFS(AF607:AF655,B607:B655,B627-24)+in_hlth_small_renew^3*SUMIFS(AF607:AF655,B607:B655,B627-36)+in_hlth_small_renew^4*SUMIFS(AF607:AF655,B607:B655,B627-48))</f>
        <v/>
      </c>
      <c r="AH627" s="40">
        <f>AH626*(1-IF(B626&gt;=in_marketplace_from,d_hz_hlth_family*G626,0))</f>
        <v/>
      </c>
      <c r="AI627" s="46">
        <f>AH627*IF(B627&gt;=in_marketplace_from,d_hz_hlth_family*G627,0)</f>
        <v/>
      </c>
      <c r="AJ627" s="14">
        <f>F627*AI627*in_hlth_family_ticket*in_hlth_family_comm*in_ins_partner_share+F627*in_hlth_family_ticket*in_hlth_family_renew_comm*in_ins_partner_share*(in_hlth_family_renew^1*SUMIFS(AI607:AI655,B607:B655,B627-12)+in_hlth_family_renew^2*SUMIFS(AI607:AI655,B607:B655,B627-24)+in_hlth_family_renew^3*SUMIFS(AI607:AI655,B607:B655,B627-36)+in_hlth_family_renew^4*SUMIFS(AI607:AI655,B607:B655,B627-48))</f>
        <v/>
      </c>
      <c r="AK627" s="40">
        <f>AK626*(1-IF(B626&gt;=in_marketplace_from,d_hz_life_term*G626,0))</f>
        <v/>
      </c>
      <c r="AL627" s="46">
        <f>AK627*IF(B627&gt;=in_marketplace_from,d_hz_life_term*G627,0)</f>
        <v/>
      </c>
      <c r="AM627" s="14">
        <f>F627*AL627*in_life_term_ticket*in_life_term_comm*in_ins_partner_share+F627*in_life_term_ticket*in_life_term_renew_comm*in_ins_partner_share*(in_life_term_renew^1*SUMIFS(AL607:AL655,B607:B655,B627-12)+in_life_term_renew^2*SUMIFS(AL607:AL655,B607:B655,B627-24)+in_life_term_renew^3*SUMIFS(AL607:AL655,B607:B655,B627-36)+in_life_term_renew^4*SUMIFS(AL607:AL655,B607:B655,B627-48))</f>
        <v/>
      </c>
      <c r="AN627" s="40">
        <f>AN626*(1-IF(B626&gt;=in_marketplace_from,d_hz_accident*G626,0))</f>
        <v/>
      </c>
      <c r="AO627" s="46">
        <f>AN627*IF(B627&gt;=in_marketplace_from,d_hz_accident*G627,0)</f>
        <v/>
      </c>
      <c r="AP627" s="14">
        <f>F627*AO627*in_accident_ticket*in_accident_comm*in_ins_partner_share+F627*in_accident_ticket*in_accident_renew_comm*in_ins_partner_share*(in_accident_renew^1*SUMIFS(AO607:AO655,B607:B655,B627-12)+in_accident_renew^2*SUMIFS(AO607:AO655,B607:B655,B627-24)+in_accident_renew^3*SUMIFS(AO607:AO655,B607:B655,B627-36)+in_accident_renew^4*SUMIFS(AO607:AO655,B607:B655,B627-48))</f>
        <v/>
      </c>
      <c r="AQ627" s="40">
        <f>AQ626*(1-IF(B626&gt;=in_marketplace_from,d_hz_two_wheeler*G626,0))</f>
        <v/>
      </c>
      <c r="AR627" s="46">
        <f>AQ627*IF(B627&gt;=in_marketplace_from,d_hz_two_wheeler*G627,0)</f>
        <v/>
      </c>
      <c r="AS627" s="14">
        <f>F627*AR627*in_two_wheeler_ticket*in_two_wheeler_comm*in_ins_partner_share+F627*in_two_wheeler_ticket*in_two_wheeler_comm*in_ins_partner_share*(in_two_wheeler_renew^1*SUMIFS(AR607:AR655,B607:B655,B627-12)+in_two_wheeler_renew^2*SUMIFS(AR607:AR655,B607:B655,B627-24)+in_two_wheeler_renew^3*SUMIFS(AR607:AR655,B607:B655,B627-36)+in_two_wheeler_renew^4*SUMIFS(AR607:AR655,B607:B655,B627-48))</f>
        <v/>
      </c>
      <c r="AT627" s="40">
        <f>AT626*(1-IF(B626&gt;=in_marketplace_from,d_hz_device*G626,0))</f>
        <v/>
      </c>
      <c r="AU627" s="14">
        <f>F627*AT627*IF(B627&gt;=in_marketplace_from,d_hz_device*G627,0)*in_device_ticket*in_device_comm*in_ins_partner_share</f>
        <v/>
      </c>
      <c r="AV627" s="40">
        <f>AV626*(1-IF(B626&gt;=in_marketplace_from,d_hz_shop*G626,0))</f>
        <v/>
      </c>
      <c r="AW627" s="46">
        <f>AV627*IF(B627&gt;=in_marketplace_from,d_hz_shop*G627,0)</f>
        <v/>
      </c>
      <c r="AX627" s="14">
        <f>F627*AW627*in_shop_ticket*in_shop_comm*in_ins_partner_share+F627*in_shop_ticket*in_shop_renew_comm*in_ins_partner_share*(in_shop_renew^1*SUMIFS(AW607:AW655,B607:B655,B627-12)+in_shop_renew^2*SUMIFS(AW607:AW655,B607:B655,B627-24)+in_shop_renew^3*SUMIFS(AW607:AW655,B607:B655,B627-36)+in_shop_renew^4*SUMIFS(AW607:AW655,B607:B655,B627-48))</f>
        <v/>
      </c>
      <c r="AY627" s="40">
        <f>AY626*(1-IF(B626&gt;=in_marketplace_from,d_hz_sip*G626,0))</f>
        <v/>
      </c>
      <c r="AZ627" s="40">
        <f>AZ626*d_rho_sip+AY627*IF(B627&gt;=in_marketplace_from,d_hz_sip*G627,0)</f>
        <v/>
      </c>
      <c r="BA627" s="40">
        <f>d_rho_sip*(BA626+AZ626)</f>
        <v/>
      </c>
      <c r="BB627" s="14">
        <f>F627*in_sip_ticket*(BA627+0.5*AZ627)*in_sip_comm/12</f>
        <v/>
      </c>
      <c r="BC627" s="40">
        <f>BC626*(1-IF(B626&gt;=in_marketplace_from,d_hz_choti*G626,0))</f>
        <v/>
      </c>
      <c r="BD627" s="46">
        <f>BC627*IF(B627&gt;=in_marketplace_from,d_hz_choti*G627,0)</f>
        <v/>
      </c>
      <c r="BE627" s="14">
        <f>F627*SUMIFS(BD607:BD655,B607:B655,B627-in_choti_months)*in_choti_renew*in_choti_ticket</f>
        <v/>
      </c>
      <c r="BF627" s="40">
        <f>BF626*(1-IF(B626&gt;=in_marketplace_from,d_hz_nps*G626,0))</f>
        <v/>
      </c>
      <c r="BG627" s="14">
        <f>F627*BF627*IF(B627&gt;=in_marketplace_from,d_hz_nps*G627,0)*in_nps_ticket*in_nps_comm</f>
        <v/>
      </c>
      <c r="BH627" s="40">
        <f>BH626*(1-IF(B626&gt;=in_marketplace_from,d_hz_gold*G626,0))</f>
        <v/>
      </c>
      <c r="BI627" s="40">
        <f>BI626*d_rho_gold+BH627*IF(B627&gt;=in_marketplace_from,d_hz_gold*G627,0)</f>
        <v/>
      </c>
      <c r="BJ627" s="14">
        <f>F627*BI627*in_gold_ticket*in_gold_comm</f>
        <v/>
      </c>
      <c r="BK627" s="40">
        <f>BK626*(1-IF(B626&gt;=in_marketplace_from,d_hz_fd*G626,0))</f>
        <v/>
      </c>
      <c r="BL627" s="14">
        <f>F627*BK627*IF(B627&gt;=in_marketplace_from,d_hz_fd*G627,0)*in_fd_ticket*in_fd_comm</f>
        <v/>
      </c>
      <c r="BM627" s="40">
        <f>BM626*(1-IF(B626&gt;=in_marketplace_from,d_hz_recharge*G626,0))</f>
        <v/>
      </c>
      <c r="BN627" s="40">
        <f>BN626*d_rho_recharge+BM627*IF(B627&gt;=in_marketplace_from,d_hz_recharge*G627,0)</f>
        <v/>
      </c>
      <c r="BO627" s="14">
        <f>F627*BN627*in_recharge_ticket*in_recharge_comm/12</f>
        <v/>
      </c>
      <c r="BP627" s="40">
        <f>BP626*(1-IF(B626&gt;=in_marketplace_from,d_hz_bills*G626,0))</f>
        <v/>
      </c>
      <c r="BQ627" s="40">
        <f>BQ626*d_rho_bills+BP627*IF(B627&gt;=in_marketplace_from,d_hz_bills*G627,0)</f>
        <v/>
      </c>
      <c r="BR627" s="14">
        <f>F627*BQ627*in_bills_ticket*in_bills_comm/12</f>
        <v/>
      </c>
      <c r="BS627" s="40">
        <f>BS626*(1-IF(B626&gt;=in_marketplace_from,d_hz_loan_gold*G626,0))</f>
        <v/>
      </c>
      <c r="BT627" s="14">
        <f>F627*BS627*IF(B627&gt;=in_marketplace_from,d_hz_loan_gold*G627,0)*in_loan_gold_ticket*in_loan_gold_comm</f>
        <v/>
      </c>
      <c r="BU627" s="40">
        <f>BU626*(1-IF(B626&gt;=in_marketplace_from,d_hz_loan_cd*G626,0))</f>
        <v/>
      </c>
      <c r="BV627" s="14">
        <f>F627*BU627*IF(B627&gt;=in_marketplace_from,d_hz_loan_cd*G627,0)*in_loan_cd_ticket*in_loan_cd_comm</f>
        <v/>
      </c>
      <c r="BW627" s="40">
        <f>BW626*(1-IF(B626&gt;=in_marketplace_from,d_hz_loan_vehicle*G626,0))</f>
        <v/>
      </c>
      <c r="BX627" s="14">
        <f>F627*BW627*IF(B627&gt;=in_marketplace_from,d_hz_loan_vehicle*G627,0)*in_loan_vehicle_ticket*in_loan_vehicle_comm</f>
        <v/>
      </c>
      <c r="BY627" s="40">
        <f>BY626*(1-IF(B626&gt;=in_marketplace_from,d_hz_loan_home*G626,0)*BZ626)</f>
        <v/>
      </c>
      <c r="BZ627" s="11">
        <f>MIN(in_approval_cap,in_loan_home_approval*INDEX('Age profile'!$O$2:$O$61,B627)*(1+in_approval_growth)^(D627-1))</f>
        <v/>
      </c>
      <c r="CA627" s="14">
        <f>F627*BY627*IF(B627&gt;=in_marketplace_from,d_hz_loan_home*G627,0)*BZ627*in_loan_home_ticket*in_loan_home_comm</f>
        <v/>
      </c>
      <c r="CB627" s="40">
        <f>CB626*(1-IF(B626&gt;=in_marketplace_from,d_hz_loan_lap*G626,0)*CC626)</f>
        <v/>
      </c>
      <c r="CC627" s="11">
        <f>MIN(in_approval_cap,in_loan_lap_approval*INDEX('Age profile'!$O$2:$O$61,B627)*(1+in_approval_growth)^(D627-1))</f>
        <v/>
      </c>
      <c r="CD627" s="14">
        <f>F627*CB627*IF(B627&gt;=in_marketplace_from,d_hz_loan_lap*G627,0)*CC627*in_loan_lap_ticket*in_loan_lap_comm</f>
        <v/>
      </c>
      <c r="CE627" s="14">
        <f>AA627+AB627+AC627+AD627+AG627+AJ627+AM627+AP627+AS627+AU627+AX627+BB627+BE627+BG627+BJ627+BL627+BO627+BR627+BT627+BV627+BX627+CA627+CD627</f>
        <v/>
      </c>
    </row>
    <row r="628">
      <c r="A628" s="39" t="n">
        <v>12</v>
      </c>
      <c r="B628" s="39" t="n">
        <v>22</v>
      </c>
      <c r="C628" s="39">
        <f>A628+B628-1</f>
        <v/>
      </c>
      <c r="D628" s="39">
        <f>INT((C628-1)/12)+1</f>
        <v/>
      </c>
      <c r="E628" s="44">
        <f>INDEX(Monthly!$B$2:$B$61,A628)</f>
        <v/>
      </c>
      <c r="F628" s="44">
        <f>E628*INDEX('Age profile'!$B$2:$B$61,B628)</f>
        <v/>
      </c>
      <c r="G628" s="45">
        <f>MIN(in_takeup_cap,INDEX('Age profile'!$N$2:$N$61,B628)*(1+in_takeup_growth)^(D628-1))</f>
        <v/>
      </c>
      <c r="H628" s="11">
        <f>MIN(in_approval_cap,in_approved_first*INDEX('Age profile'!$O$2:$O$61,B628)*(1+in_approval_growth)^(D628-1))</f>
        <v/>
      </c>
      <c r="I628" s="45">
        <f>G628*MIN(in_takeup_cap,INDEX('Age profile'!$O$2:$O$61,B628)*(1+in_approval_growth)^(D628-1))</f>
        <v/>
      </c>
      <c r="J628" s="40">
        <f>(J627-L627)*F628/F627</f>
        <v/>
      </c>
      <c r="K628" s="40">
        <f>(K627-M627)*F628/F627+SUMIFS(O607:O627,B607:B627,B628-1-d_T)*F628</f>
        <v/>
      </c>
      <c r="L628" s="40">
        <f>IF(B628&gt;=in_marketplace_from,J628*d_hz*G628*in_eligible*H628,0)</f>
        <v/>
      </c>
      <c r="M628" s="40">
        <f>IF(B628&gt;=in_marketplace_from,K628*d_hz*G628*in_eligible*in_approved_repeat,0)</f>
        <v/>
      </c>
      <c r="N628" s="40">
        <f>L628+M628</f>
        <v/>
      </c>
      <c r="O628" s="46">
        <f>N628/F628</f>
        <v/>
      </c>
      <c r="P628" s="40">
        <f>F628-J628-K628</f>
        <v/>
      </c>
      <c r="Q628" s="40">
        <f>IF(B628&gt;=in_marketplace_from,(J628+K628)*d_hz*G628,0)</f>
        <v/>
      </c>
      <c r="R628" s="40">
        <f>SUMIFS(N607:N655,B607:B655,"&gt;="&amp;(B628-d_T),B607:B655,"&lt;="&amp;(B628-1))</f>
        <v/>
      </c>
      <c r="S628" s="46">
        <f>(1-d_u)*S627+IF(d_T&gt;in_topup_lag,SUMIFS(O607:O655,B607:B655,B628-in_topup_lag)-d_udrop*SUMIFS(O607:O655,B607:B655,B628-d_T),0)</f>
        <v/>
      </c>
      <c r="T628" s="40">
        <f>F628*d_u*S628</f>
        <v/>
      </c>
      <c r="U628" s="9">
        <f>L628*in_ticket+M628*d_rep_ticket</f>
        <v/>
      </c>
      <c r="V628" s="9">
        <f>U628+T628*d_topup_amt</f>
        <v/>
      </c>
      <c r="W628" s="40">
        <f>N628+T628*d_topup_ratio</f>
        <v/>
      </c>
      <c r="X628" s="40">
        <f>SUMIFS(W607:W655,B607:B655,B628-in_dpd_lag)*d_cured</f>
        <v/>
      </c>
      <c r="Y628" s="40">
        <f>SUMIFS(W607:W655,B607:B655,B628-in_rec_lag)*d_recd</f>
        <v/>
      </c>
      <c r="Z628" s="40">
        <f>IF(AND(B628&gt;=in_marketplace_from,B628&lt;in_marketplace_from+in_card_months),in_card_share/in_card_months*F628*I628,IF(AND(B628&gt;=in_marketplace_from+in_card_months,B628&lt;in_marketplace_from+2*in_card_months),in_card_share*d_card_rem/in_card_months*F628*MIN(in_takeup_cap,(1+in_takeup_growth)^(D628-1))*MIN(in_takeup_cap,(1+in_approval_growth)^(D628-1)),0))</f>
        <v/>
      </c>
      <c r="AA628" s="14">
        <f>V628*in_fee*(1-in_taken_back)</f>
        <v/>
      </c>
      <c r="AB628" s="14">
        <f>SUMIFS(W607:W655,B607:B655,B628-in_dpd_lag)*d_dpd</f>
        <v/>
      </c>
      <c r="AC628" s="14">
        <f>SUMIFS(W607:W655,B607:B655,B628-in_rec_lag)*d_rec</f>
        <v/>
      </c>
      <c r="AD628" s="14">
        <f>Z628*in_card_fee</f>
        <v/>
      </c>
      <c r="AE628" s="40">
        <f>AE627*(1-IF(B627&gt;=in_marketplace_from,d_hz_hlth_small*G627,0))</f>
        <v/>
      </c>
      <c r="AF628" s="46">
        <f>AE628*IF(B628&gt;=in_marketplace_from,d_hz_hlth_small*G628,0)</f>
        <v/>
      </c>
      <c r="AG628" s="14">
        <f>F628*AF628*in_hlth_small_ticket*in_hlth_small_comm*in_ins_partner_share+F628*in_hlth_small_ticket*in_hlth_small_renew_comm*in_ins_partner_share*(in_hlth_small_renew^1*SUMIFS(AF607:AF655,B607:B655,B628-12)+in_hlth_small_renew^2*SUMIFS(AF607:AF655,B607:B655,B628-24)+in_hlth_small_renew^3*SUMIFS(AF607:AF655,B607:B655,B628-36)+in_hlth_small_renew^4*SUMIFS(AF607:AF655,B607:B655,B628-48))</f>
        <v/>
      </c>
      <c r="AH628" s="40">
        <f>AH627*(1-IF(B627&gt;=in_marketplace_from,d_hz_hlth_family*G627,0))</f>
        <v/>
      </c>
      <c r="AI628" s="46">
        <f>AH628*IF(B628&gt;=in_marketplace_from,d_hz_hlth_family*G628,0)</f>
        <v/>
      </c>
      <c r="AJ628" s="14">
        <f>F628*AI628*in_hlth_family_ticket*in_hlth_family_comm*in_ins_partner_share+F628*in_hlth_family_ticket*in_hlth_family_renew_comm*in_ins_partner_share*(in_hlth_family_renew^1*SUMIFS(AI607:AI655,B607:B655,B628-12)+in_hlth_family_renew^2*SUMIFS(AI607:AI655,B607:B655,B628-24)+in_hlth_family_renew^3*SUMIFS(AI607:AI655,B607:B655,B628-36)+in_hlth_family_renew^4*SUMIFS(AI607:AI655,B607:B655,B628-48))</f>
        <v/>
      </c>
      <c r="AK628" s="40">
        <f>AK627*(1-IF(B627&gt;=in_marketplace_from,d_hz_life_term*G627,0))</f>
        <v/>
      </c>
      <c r="AL628" s="46">
        <f>AK628*IF(B628&gt;=in_marketplace_from,d_hz_life_term*G628,0)</f>
        <v/>
      </c>
      <c r="AM628" s="14">
        <f>F628*AL628*in_life_term_ticket*in_life_term_comm*in_ins_partner_share+F628*in_life_term_ticket*in_life_term_renew_comm*in_ins_partner_share*(in_life_term_renew^1*SUMIFS(AL607:AL655,B607:B655,B628-12)+in_life_term_renew^2*SUMIFS(AL607:AL655,B607:B655,B628-24)+in_life_term_renew^3*SUMIFS(AL607:AL655,B607:B655,B628-36)+in_life_term_renew^4*SUMIFS(AL607:AL655,B607:B655,B628-48))</f>
        <v/>
      </c>
      <c r="AN628" s="40">
        <f>AN627*(1-IF(B627&gt;=in_marketplace_from,d_hz_accident*G627,0))</f>
        <v/>
      </c>
      <c r="AO628" s="46">
        <f>AN628*IF(B628&gt;=in_marketplace_from,d_hz_accident*G628,0)</f>
        <v/>
      </c>
      <c r="AP628" s="14">
        <f>F628*AO628*in_accident_ticket*in_accident_comm*in_ins_partner_share+F628*in_accident_ticket*in_accident_renew_comm*in_ins_partner_share*(in_accident_renew^1*SUMIFS(AO607:AO655,B607:B655,B628-12)+in_accident_renew^2*SUMIFS(AO607:AO655,B607:B655,B628-24)+in_accident_renew^3*SUMIFS(AO607:AO655,B607:B655,B628-36)+in_accident_renew^4*SUMIFS(AO607:AO655,B607:B655,B628-48))</f>
        <v/>
      </c>
      <c r="AQ628" s="40">
        <f>AQ627*(1-IF(B627&gt;=in_marketplace_from,d_hz_two_wheeler*G627,0))</f>
        <v/>
      </c>
      <c r="AR628" s="46">
        <f>AQ628*IF(B628&gt;=in_marketplace_from,d_hz_two_wheeler*G628,0)</f>
        <v/>
      </c>
      <c r="AS628" s="14">
        <f>F628*AR628*in_two_wheeler_ticket*in_two_wheeler_comm*in_ins_partner_share+F628*in_two_wheeler_ticket*in_two_wheeler_comm*in_ins_partner_share*(in_two_wheeler_renew^1*SUMIFS(AR607:AR655,B607:B655,B628-12)+in_two_wheeler_renew^2*SUMIFS(AR607:AR655,B607:B655,B628-24)+in_two_wheeler_renew^3*SUMIFS(AR607:AR655,B607:B655,B628-36)+in_two_wheeler_renew^4*SUMIFS(AR607:AR655,B607:B655,B628-48))</f>
        <v/>
      </c>
      <c r="AT628" s="40">
        <f>AT627*(1-IF(B627&gt;=in_marketplace_from,d_hz_device*G627,0))</f>
        <v/>
      </c>
      <c r="AU628" s="14">
        <f>F628*AT628*IF(B628&gt;=in_marketplace_from,d_hz_device*G628,0)*in_device_ticket*in_device_comm*in_ins_partner_share</f>
        <v/>
      </c>
      <c r="AV628" s="40">
        <f>AV627*(1-IF(B627&gt;=in_marketplace_from,d_hz_shop*G627,0))</f>
        <v/>
      </c>
      <c r="AW628" s="46">
        <f>AV628*IF(B628&gt;=in_marketplace_from,d_hz_shop*G628,0)</f>
        <v/>
      </c>
      <c r="AX628" s="14">
        <f>F628*AW628*in_shop_ticket*in_shop_comm*in_ins_partner_share+F628*in_shop_ticket*in_shop_renew_comm*in_ins_partner_share*(in_shop_renew^1*SUMIFS(AW607:AW655,B607:B655,B628-12)+in_shop_renew^2*SUMIFS(AW607:AW655,B607:B655,B628-24)+in_shop_renew^3*SUMIFS(AW607:AW655,B607:B655,B628-36)+in_shop_renew^4*SUMIFS(AW607:AW655,B607:B655,B628-48))</f>
        <v/>
      </c>
      <c r="AY628" s="40">
        <f>AY627*(1-IF(B627&gt;=in_marketplace_from,d_hz_sip*G627,0))</f>
        <v/>
      </c>
      <c r="AZ628" s="40">
        <f>AZ627*d_rho_sip+AY628*IF(B628&gt;=in_marketplace_from,d_hz_sip*G628,0)</f>
        <v/>
      </c>
      <c r="BA628" s="40">
        <f>d_rho_sip*(BA627+AZ627)</f>
        <v/>
      </c>
      <c r="BB628" s="14">
        <f>F628*in_sip_ticket*(BA628+0.5*AZ628)*in_sip_comm/12</f>
        <v/>
      </c>
      <c r="BC628" s="40">
        <f>BC627*(1-IF(B627&gt;=in_marketplace_from,d_hz_choti*G627,0))</f>
        <v/>
      </c>
      <c r="BD628" s="46">
        <f>BC628*IF(B628&gt;=in_marketplace_from,d_hz_choti*G628,0)</f>
        <v/>
      </c>
      <c r="BE628" s="14">
        <f>F628*SUMIFS(BD607:BD655,B607:B655,B628-in_choti_months)*in_choti_renew*in_choti_ticket</f>
        <v/>
      </c>
      <c r="BF628" s="40">
        <f>BF627*(1-IF(B627&gt;=in_marketplace_from,d_hz_nps*G627,0))</f>
        <v/>
      </c>
      <c r="BG628" s="14">
        <f>F628*BF628*IF(B628&gt;=in_marketplace_from,d_hz_nps*G628,0)*in_nps_ticket*in_nps_comm</f>
        <v/>
      </c>
      <c r="BH628" s="40">
        <f>BH627*(1-IF(B627&gt;=in_marketplace_from,d_hz_gold*G627,0))</f>
        <v/>
      </c>
      <c r="BI628" s="40">
        <f>BI627*d_rho_gold+BH628*IF(B628&gt;=in_marketplace_from,d_hz_gold*G628,0)</f>
        <v/>
      </c>
      <c r="BJ628" s="14">
        <f>F628*BI628*in_gold_ticket*in_gold_comm</f>
        <v/>
      </c>
      <c r="BK628" s="40">
        <f>BK627*(1-IF(B627&gt;=in_marketplace_from,d_hz_fd*G627,0))</f>
        <v/>
      </c>
      <c r="BL628" s="14">
        <f>F628*BK628*IF(B628&gt;=in_marketplace_from,d_hz_fd*G628,0)*in_fd_ticket*in_fd_comm</f>
        <v/>
      </c>
      <c r="BM628" s="40">
        <f>BM627*(1-IF(B627&gt;=in_marketplace_from,d_hz_recharge*G627,0))</f>
        <v/>
      </c>
      <c r="BN628" s="40">
        <f>BN627*d_rho_recharge+BM628*IF(B628&gt;=in_marketplace_from,d_hz_recharge*G628,0)</f>
        <v/>
      </c>
      <c r="BO628" s="14">
        <f>F628*BN628*in_recharge_ticket*in_recharge_comm/12</f>
        <v/>
      </c>
      <c r="BP628" s="40">
        <f>BP627*(1-IF(B627&gt;=in_marketplace_from,d_hz_bills*G627,0))</f>
        <v/>
      </c>
      <c r="BQ628" s="40">
        <f>BQ627*d_rho_bills+BP628*IF(B628&gt;=in_marketplace_from,d_hz_bills*G628,0)</f>
        <v/>
      </c>
      <c r="BR628" s="14">
        <f>F628*BQ628*in_bills_ticket*in_bills_comm/12</f>
        <v/>
      </c>
      <c r="BS628" s="40">
        <f>BS627*(1-IF(B627&gt;=in_marketplace_from,d_hz_loan_gold*G627,0))</f>
        <v/>
      </c>
      <c r="BT628" s="14">
        <f>F628*BS628*IF(B628&gt;=in_marketplace_from,d_hz_loan_gold*G628,0)*in_loan_gold_ticket*in_loan_gold_comm</f>
        <v/>
      </c>
      <c r="BU628" s="40">
        <f>BU627*(1-IF(B627&gt;=in_marketplace_from,d_hz_loan_cd*G627,0))</f>
        <v/>
      </c>
      <c r="BV628" s="14">
        <f>F628*BU628*IF(B628&gt;=in_marketplace_from,d_hz_loan_cd*G628,0)*in_loan_cd_ticket*in_loan_cd_comm</f>
        <v/>
      </c>
      <c r="BW628" s="40">
        <f>BW627*(1-IF(B627&gt;=in_marketplace_from,d_hz_loan_vehicle*G627,0))</f>
        <v/>
      </c>
      <c r="BX628" s="14">
        <f>F628*BW628*IF(B628&gt;=in_marketplace_from,d_hz_loan_vehicle*G628,0)*in_loan_vehicle_ticket*in_loan_vehicle_comm</f>
        <v/>
      </c>
      <c r="BY628" s="40">
        <f>BY627*(1-IF(B627&gt;=in_marketplace_from,d_hz_loan_home*G627,0)*BZ627)</f>
        <v/>
      </c>
      <c r="BZ628" s="11">
        <f>MIN(in_approval_cap,in_loan_home_approval*INDEX('Age profile'!$O$2:$O$61,B628)*(1+in_approval_growth)^(D628-1))</f>
        <v/>
      </c>
      <c r="CA628" s="14">
        <f>F628*BY628*IF(B628&gt;=in_marketplace_from,d_hz_loan_home*G628,0)*BZ628*in_loan_home_ticket*in_loan_home_comm</f>
        <v/>
      </c>
      <c r="CB628" s="40">
        <f>CB627*(1-IF(B627&gt;=in_marketplace_from,d_hz_loan_lap*G627,0)*CC627)</f>
        <v/>
      </c>
      <c r="CC628" s="11">
        <f>MIN(in_approval_cap,in_loan_lap_approval*INDEX('Age profile'!$O$2:$O$61,B628)*(1+in_approval_growth)^(D628-1))</f>
        <v/>
      </c>
      <c r="CD628" s="14">
        <f>F628*CB628*IF(B628&gt;=in_marketplace_from,d_hz_loan_lap*G628,0)*CC628*in_loan_lap_ticket*in_loan_lap_comm</f>
        <v/>
      </c>
      <c r="CE628" s="14">
        <f>AA628+AB628+AC628+AD628+AG628+AJ628+AM628+AP628+AS628+AU628+AX628+BB628+BE628+BG628+BJ628+BL628+BO628+BR628+BT628+BV628+BX628+CA628+CD628</f>
        <v/>
      </c>
    </row>
    <row r="629">
      <c r="A629" s="39" t="n">
        <v>12</v>
      </c>
      <c r="B629" s="39" t="n">
        <v>23</v>
      </c>
      <c r="C629" s="39">
        <f>A629+B629-1</f>
        <v/>
      </c>
      <c r="D629" s="39">
        <f>INT((C629-1)/12)+1</f>
        <v/>
      </c>
      <c r="E629" s="44">
        <f>INDEX(Monthly!$B$2:$B$61,A629)</f>
        <v/>
      </c>
      <c r="F629" s="44">
        <f>E629*INDEX('Age profile'!$B$2:$B$61,B629)</f>
        <v/>
      </c>
      <c r="G629" s="45">
        <f>MIN(in_takeup_cap,INDEX('Age profile'!$N$2:$N$61,B629)*(1+in_takeup_growth)^(D629-1))</f>
        <v/>
      </c>
      <c r="H629" s="11">
        <f>MIN(in_approval_cap,in_approved_first*INDEX('Age profile'!$O$2:$O$61,B629)*(1+in_approval_growth)^(D629-1))</f>
        <v/>
      </c>
      <c r="I629" s="45">
        <f>G629*MIN(in_takeup_cap,INDEX('Age profile'!$O$2:$O$61,B629)*(1+in_approval_growth)^(D629-1))</f>
        <v/>
      </c>
      <c r="J629" s="40">
        <f>(J628-L628)*F629/F628</f>
        <v/>
      </c>
      <c r="K629" s="40">
        <f>(K628-M628)*F629/F628+SUMIFS(O607:O628,B607:B628,B629-1-d_T)*F629</f>
        <v/>
      </c>
      <c r="L629" s="40">
        <f>IF(B629&gt;=in_marketplace_from,J629*d_hz*G629*in_eligible*H629,0)</f>
        <v/>
      </c>
      <c r="M629" s="40">
        <f>IF(B629&gt;=in_marketplace_from,K629*d_hz*G629*in_eligible*in_approved_repeat,0)</f>
        <v/>
      </c>
      <c r="N629" s="40">
        <f>L629+M629</f>
        <v/>
      </c>
      <c r="O629" s="46">
        <f>N629/F629</f>
        <v/>
      </c>
      <c r="P629" s="40">
        <f>F629-J629-K629</f>
        <v/>
      </c>
      <c r="Q629" s="40">
        <f>IF(B629&gt;=in_marketplace_from,(J629+K629)*d_hz*G629,0)</f>
        <v/>
      </c>
      <c r="R629" s="40">
        <f>SUMIFS(N607:N655,B607:B655,"&gt;="&amp;(B629-d_T),B607:B655,"&lt;="&amp;(B629-1))</f>
        <v/>
      </c>
      <c r="S629" s="46">
        <f>(1-d_u)*S628+IF(d_T&gt;in_topup_lag,SUMIFS(O607:O655,B607:B655,B629-in_topup_lag)-d_udrop*SUMIFS(O607:O655,B607:B655,B629-d_T),0)</f>
        <v/>
      </c>
      <c r="T629" s="40">
        <f>F629*d_u*S629</f>
        <v/>
      </c>
      <c r="U629" s="9">
        <f>L629*in_ticket+M629*d_rep_ticket</f>
        <v/>
      </c>
      <c r="V629" s="9">
        <f>U629+T629*d_topup_amt</f>
        <v/>
      </c>
      <c r="W629" s="40">
        <f>N629+T629*d_topup_ratio</f>
        <v/>
      </c>
      <c r="X629" s="40">
        <f>SUMIFS(W607:W655,B607:B655,B629-in_dpd_lag)*d_cured</f>
        <v/>
      </c>
      <c r="Y629" s="40">
        <f>SUMIFS(W607:W655,B607:B655,B629-in_rec_lag)*d_recd</f>
        <v/>
      </c>
      <c r="Z629" s="40">
        <f>IF(AND(B629&gt;=in_marketplace_from,B629&lt;in_marketplace_from+in_card_months),in_card_share/in_card_months*F629*I629,IF(AND(B629&gt;=in_marketplace_from+in_card_months,B629&lt;in_marketplace_from+2*in_card_months),in_card_share*d_card_rem/in_card_months*F629*MIN(in_takeup_cap,(1+in_takeup_growth)^(D629-1))*MIN(in_takeup_cap,(1+in_approval_growth)^(D629-1)),0))</f>
        <v/>
      </c>
      <c r="AA629" s="14">
        <f>V629*in_fee*(1-in_taken_back)</f>
        <v/>
      </c>
      <c r="AB629" s="14">
        <f>SUMIFS(W607:W655,B607:B655,B629-in_dpd_lag)*d_dpd</f>
        <v/>
      </c>
      <c r="AC629" s="14">
        <f>SUMIFS(W607:W655,B607:B655,B629-in_rec_lag)*d_rec</f>
        <v/>
      </c>
      <c r="AD629" s="14">
        <f>Z629*in_card_fee</f>
        <v/>
      </c>
      <c r="AE629" s="40">
        <f>AE628*(1-IF(B628&gt;=in_marketplace_from,d_hz_hlth_small*G628,0))</f>
        <v/>
      </c>
      <c r="AF629" s="46">
        <f>AE629*IF(B629&gt;=in_marketplace_from,d_hz_hlth_small*G629,0)</f>
        <v/>
      </c>
      <c r="AG629" s="14">
        <f>F629*AF629*in_hlth_small_ticket*in_hlth_small_comm*in_ins_partner_share+F629*in_hlth_small_ticket*in_hlth_small_renew_comm*in_ins_partner_share*(in_hlth_small_renew^1*SUMIFS(AF607:AF655,B607:B655,B629-12)+in_hlth_small_renew^2*SUMIFS(AF607:AF655,B607:B655,B629-24)+in_hlth_small_renew^3*SUMIFS(AF607:AF655,B607:B655,B629-36)+in_hlth_small_renew^4*SUMIFS(AF607:AF655,B607:B655,B629-48))</f>
        <v/>
      </c>
      <c r="AH629" s="40">
        <f>AH628*(1-IF(B628&gt;=in_marketplace_from,d_hz_hlth_family*G628,0))</f>
        <v/>
      </c>
      <c r="AI629" s="46">
        <f>AH629*IF(B629&gt;=in_marketplace_from,d_hz_hlth_family*G629,0)</f>
        <v/>
      </c>
      <c r="AJ629" s="14">
        <f>F629*AI629*in_hlth_family_ticket*in_hlth_family_comm*in_ins_partner_share+F629*in_hlth_family_ticket*in_hlth_family_renew_comm*in_ins_partner_share*(in_hlth_family_renew^1*SUMIFS(AI607:AI655,B607:B655,B629-12)+in_hlth_family_renew^2*SUMIFS(AI607:AI655,B607:B655,B629-24)+in_hlth_family_renew^3*SUMIFS(AI607:AI655,B607:B655,B629-36)+in_hlth_family_renew^4*SUMIFS(AI607:AI655,B607:B655,B629-48))</f>
        <v/>
      </c>
      <c r="AK629" s="40">
        <f>AK628*(1-IF(B628&gt;=in_marketplace_from,d_hz_life_term*G628,0))</f>
        <v/>
      </c>
      <c r="AL629" s="46">
        <f>AK629*IF(B629&gt;=in_marketplace_from,d_hz_life_term*G629,0)</f>
        <v/>
      </c>
      <c r="AM629" s="14">
        <f>F629*AL629*in_life_term_ticket*in_life_term_comm*in_ins_partner_share+F629*in_life_term_ticket*in_life_term_renew_comm*in_ins_partner_share*(in_life_term_renew^1*SUMIFS(AL607:AL655,B607:B655,B629-12)+in_life_term_renew^2*SUMIFS(AL607:AL655,B607:B655,B629-24)+in_life_term_renew^3*SUMIFS(AL607:AL655,B607:B655,B629-36)+in_life_term_renew^4*SUMIFS(AL607:AL655,B607:B655,B629-48))</f>
        <v/>
      </c>
      <c r="AN629" s="40">
        <f>AN628*(1-IF(B628&gt;=in_marketplace_from,d_hz_accident*G628,0))</f>
        <v/>
      </c>
      <c r="AO629" s="46">
        <f>AN629*IF(B629&gt;=in_marketplace_from,d_hz_accident*G629,0)</f>
        <v/>
      </c>
      <c r="AP629" s="14">
        <f>F629*AO629*in_accident_ticket*in_accident_comm*in_ins_partner_share+F629*in_accident_ticket*in_accident_renew_comm*in_ins_partner_share*(in_accident_renew^1*SUMIFS(AO607:AO655,B607:B655,B629-12)+in_accident_renew^2*SUMIFS(AO607:AO655,B607:B655,B629-24)+in_accident_renew^3*SUMIFS(AO607:AO655,B607:B655,B629-36)+in_accident_renew^4*SUMIFS(AO607:AO655,B607:B655,B629-48))</f>
        <v/>
      </c>
      <c r="AQ629" s="40">
        <f>AQ628*(1-IF(B628&gt;=in_marketplace_from,d_hz_two_wheeler*G628,0))</f>
        <v/>
      </c>
      <c r="AR629" s="46">
        <f>AQ629*IF(B629&gt;=in_marketplace_from,d_hz_two_wheeler*G629,0)</f>
        <v/>
      </c>
      <c r="AS629" s="14">
        <f>F629*AR629*in_two_wheeler_ticket*in_two_wheeler_comm*in_ins_partner_share+F629*in_two_wheeler_ticket*in_two_wheeler_comm*in_ins_partner_share*(in_two_wheeler_renew^1*SUMIFS(AR607:AR655,B607:B655,B629-12)+in_two_wheeler_renew^2*SUMIFS(AR607:AR655,B607:B655,B629-24)+in_two_wheeler_renew^3*SUMIFS(AR607:AR655,B607:B655,B629-36)+in_two_wheeler_renew^4*SUMIFS(AR607:AR655,B607:B655,B629-48))</f>
        <v/>
      </c>
      <c r="AT629" s="40">
        <f>AT628*(1-IF(B628&gt;=in_marketplace_from,d_hz_device*G628,0))</f>
        <v/>
      </c>
      <c r="AU629" s="14">
        <f>F629*AT629*IF(B629&gt;=in_marketplace_from,d_hz_device*G629,0)*in_device_ticket*in_device_comm*in_ins_partner_share</f>
        <v/>
      </c>
      <c r="AV629" s="40">
        <f>AV628*(1-IF(B628&gt;=in_marketplace_from,d_hz_shop*G628,0))</f>
        <v/>
      </c>
      <c r="AW629" s="46">
        <f>AV629*IF(B629&gt;=in_marketplace_from,d_hz_shop*G629,0)</f>
        <v/>
      </c>
      <c r="AX629" s="14">
        <f>F629*AW629*in_shop_ticket*in_shop_comm*in_ins_partner_share+F629*in_shop_ticket*in_shop_renew_comm*in_ins_partner_share*(in_shop_renew^1*SUMIFS(AW607:AW655,B607:B655,B629-12)+in_shop_renew^2*SUMIFS(AW607:AW655,B607:B655,B629-24)+in_shop_renew^3*SUMIFS(AW607:AW655,B607:B655,B629-36)+in_shop_renew^4*SUMIFS(AW607:AW655,B607:B655,B629-48))</f>
        <v/>
      </c>
      <c r="AY629" s="40">
        <f>AY628*(1-IF(B628&gt;=in_marketplace_from,d_hz_sip*G628,0))</f>
        <v/>
      </c>
      <c r="AZ629" s="40">
        <f>AZ628*d_rho_sip+AY629*IF(B629&gt;=in_marketplace_from,d_hz_sip*G629,0)</f>
        <v/>
      </c>
      <c r="BA629" s="40">
        <f>d_rho_sip*(BA628+AZ628)</f>
        <v/>
      </c>
      <c r="BB629" s="14">
        <f>F629*in_sip_ticket*(BA629+0.5*AZ629)*in_sip_comm/12</f>
        <v/>
      </c>
      <c r="BC629" s="40">
        <f>BC628*(1-IF(B628&gt;=in_marketplace_from,d_hz_choti*G628,0))</f>
        <v/>
      </c>
      <c r="BD629" s="46">
        <f>BC629*IF(B629&gt;=in_marketplace_from,d_hz_choti*G629,0)</f>
        <v/>
      </c>
      <c r="BE629" s="14">
        <f>F629*SUMIFS(BD607:BD655,B607:B655,B629-in_choti_months)*in_choti_renew*in_choti_ticket</f>
        <v/>
      </c>
      <c r="BF629" s="40">
        <f>BF628*(1-IF(B628&gt;=in_marketplace_from,d_hz_nps*G628,0))</f>
        <v/>
      </c>
      <c r="BG629" s="14">
        <f>F629*BF629*IF(B629&gt;=in_marketplace_from,d_hz_nps*G629,0)*in_nps_ticket*in_nps_comm</f>
        <v/>
      </c>
      <c r="BH629" s="40">
        <f>BH628*(1-IF(B628&gt;=in_marketplace_from,d_hz_gold*G628,0))</f>
        <v/>
      </c>
      <c r="BI629" s="40">
        <f>BI628*d_rho_gold+BH629*IF(B629&gt;=in_marketplace_from,d_hz_gold*G629,0)</f>
        <v/>
      </c>
      <c r="BJ629" s="14">
        <f>F629*BI629*in_gold_ticket*in_gold_comm</f>
        <v/>
      </c>
      <c r="BK629" s="40">
        <f>BK628*(1-IF(B628&gt;=in_marketplace_from,d_hz_fd*G628,0))</f>
        <v/>
      </c>
      <c r="BL629" s="14">
        <f>F629*BK629*IF(B629&gt;=in_marketplace_from,d_hz_fd*G629,0)*in_fd_ticket*in_fd_comm</f>
        <v/>
      </c>
      <c r="BM629" s="40">
        <f>BM628*(1-IF(B628&gt;=in_marketplace_from,d_hz_recharge*G628,0))</f>
        <v/>
      </c>
      <c r="BN629" s="40">
        <f>BN628*d_rho_recharge+BM629*IF(B629&gt;=in_marketplace_from,d_hz_recharge*G629,0)</f>
        <v/>
      </c>
      <c r="BO629" s="14">
        <f>F629*BN629*in_recharge_ticket*in_recharge_comm/12</f>
        <v/>
      </c>
      <c r="BP629" s="40">
        <f>BP628*(1-IF(B628&gt;=in_marketplace_from,d_hz_bills*G628,0))</f>
        <v/>
      </c>
      <c r="BQ629" s="40">
        <f>BQ628*d_rho_bills+BP629*IF(B629&gt;=in_marketplace_from,d_hz_bills*G629,0)</f>
        <v/>
      </c>
      <c r="BR629" s="14">
        <f>F629*BQ629*in_bills_ticket*in_bills_comm/12</f>
        <v/>
      </c>
      <c r="BS629" s="40">
        <f>BS628*(1-IF(B628&gt;=in_marketplace_from,d_hz_loan_gold*G628,0))</f>
        <v/>
      </c>
      <c r="BT629" s="14">
        <f>F629*BS629*IF(B629&gt;=in_marketplace_from,d_hz_loan_gold*G629,0)*in_loan_gold_ticket*in_loan_gold_comm</f>
        <v/>
      </c>
      <c r="BU629" s="40">
        <f>BU628*(1-IF(B628&gt;=in_marketplace_from,d_hz_loan_cd*G628,0))</f>
        <v/>
      </c>
      <c r="BV629" s="14">
        <f>F629*BU629*IF(B629&gt;=in_marketplace_from,d_hz_loan_cd*G629,0)*in_loan_cd_ticket*in_loan_cd_comm</f>
        <v/>
      </c>
      <c r="BW629" s="40">
        <f>BW628*(1-IF(B628&gt;=in_marketplace_from,d_hz_loan_vehicle*G628,0))</f>
        <v/>
      </c>
      <c r="BX629" s="14">
        <f>F629*BW629*IF(B629&gt;=in_marketplace_from,d_hz_loan_vehicle*G629,0)*in_loan_vehicle_ticket*in_loan_vehicle_comm</f>
        <v/>
      </c>
      <c r="BY629" s="40">
        <f>BY628*(1-IF(B628&gt;=in_marketplace_from,d_hz_loan_home*G628,0)*BZ628)</f>
        <v/>
      </c>
      <c r="BZ629" s="11">
        <f>MIN(in_approval_cap,in_loan_home_approval*INDEX('Age profile'!$O$2:$O$61,B629)*(1+in_approval_growth)^(D629-1))</f>
        <v/>
      </c>
      <c r="CA629" s="14">
        <f>F629*BY629*IF(B629&gt;=in_marketplace_from,d_hz_loan_home*G629,0)*BZ629*in_loan_home_ticket*in_loan_home_comm</f>
        <v/>
      </c>
      <c r="CB629" s="40">
        <f>CB628*(1-IF(B628&gt;=in_marketplace_from,d_hz_loan_lap*G628,0)*CC628)</f>
        <v/>
      </c>
      <c r="CC629" s="11">
        <f>MIN(in_approval_cap,in_loan_lap_approval*INDEX('Age profile'!$O$2:$O$61,B629)*(1+in_approval_growth)^(D629-1))</f>
        <v/>
      </c>
      <c r="CD629" s="14">
        <f>F629*CB629*IF(B629&gt;=in_marketplace_from,d_hz_loan_lap*G629,0)*CC629*in_loan_lap_ticket*in_loan_lap_comm</f>
        <v/>
      </c>
      <c r="CE629" s="14">
        <f>AA629+AB629+AC629+AD629+AG629+AJ629+AM629+AP629+AS629+AU629+AX629+BB629+BE629+BG629+BJ629+BL629+BO629+BR629+BT629+BV629+BX629+CA629+CD629</f>
        <v/>
      </c>
    </row>
    <row r="630">
      <c r="A630" s="39" t="n">
        <v>12</v>
      </c>
      <c r="B630" s="39" t="n">
        <v>24</v>
      </c>
      <c r="C630" s="39">
        <f>A630+B630-1</f>
        <v/>
      </c>
      <c r="D630" s="39">
        <f>INT((C630-1)/12)+1</f>
        <v/>
      </c>
      <c r="E630" s="44">
        <f>INDEX(Monthly!$B$2:$B$61,A630)</f>
        <v/>
      </c>
      <c r="F630" s="44">
        <f>E630*INDEX('Age profile'!$B$2:$B$61,B630)</f>
        <v/>
      </c>
      <c r="G630" s="45">
        <f>MIN(in_takeup_cap,INDEX('Age profile'!$N$2:$N$61,B630)*(1+in_takeup_growth)^(D630-1))</f>
        <v/>
      </c>
      <c r="H630" s="11">
        <f>MIN(in_approval_cap,in_approved_first*INDEX('Age profile'!$O$2:$O$61,B630)*(1+in_approval_growth)^(D630-1))</f>
        <v/>
      </c>
      <c r="I630" s="45">
        <f>G630*MIN(in_takeup_cap,INDEX('Age profile'!$O$2:$O$61,B630)*(1+in_approval_growth)^(D630-1))</f>
        <v/>
      </c>
      <c r="J630" s="40">
        <f>(J629-L629)*F630/F629</f>
        <v/>
      </c>
      <c r="K630" s="40">
        <f>(K629-M629)*F630/F629+SUMIFS(O607:O629,B607:B629,B630-1-d_T)*F630</f>
        <v/>
      </c>
      <c r="L630" s="40">
        <f>IF(B630&gt;=in_marketplace_from,J630*d_hz*G630*in_eligible*H630,0)</f>
        <v/>
      </c>
      <c r="M630" s="40">
        <f>IF(B630&gt;=in_marketplace_from,K630*d_hz*G630*in_eligible*in_approved_repeat,0)</f>
        <v/>
      </c>
      <c r="N630" s="40">
        <f>L630+M630</f>
        <v/>
      </c>
      <c r="O630" s="46">
        <f>N630/F630</f>
        <v/>
      </c>
      <c r="P630" s="40">
        <f>F630-J630-K630</f>
        <v/>
      </c>
      <c r="Q630" s="40">
        <f>IF(B630&gt;=in_marketplace_from,(J630+K630)*d_hz*G630,0)</f>
        <v/>
      </c>
      <c r="R630" s="40">
        <f>SUMIFS(N607:N655,B607:B655,"&gt;="&amp;(B630-d_T),B607:B655,"&lt;="&amp;(B630-1))</f>
        <v/>
      </c>
      <c r="S630" s="46">
        <f>(1-d_u)*S629+IF(d_T&gt;in_topup_lag,SUMIFS(O607:O655,B607:B655,B630-in_topup_lag)-d_udrop*SUMIFS(O607:O655,B607:B655,B630-d_T),0)</f>
        <v/>
      </c>
      <c r="T630" s="40">
        <f>F630*d_u*S630</f>
        <v/>
      </c>
      <c r="U630" s="9">
        <f>L630*in_ticket+M630*d_rep_ticket</f>
        <v/>
      </c>
      <c r="V630" s="9">
        <f>U630+T630*d_topup_amt</f>
        <v/>
      </c>
      <c r="W630" s="40">
        <f>N630+T630*d_topup_ratio</f>
        <v/>
      </c>
      <c r="X630" s="40">
        <f>SUMIFS(W607:W655,B607:B655,B630-in_dpd_lag)*d_cured</f>
        <v/>
      </c>
      <c r="Y630" s="40">
        <f>SUMIFS(W607:W655,B607:B655,B630-in_rec_lag)*d_recd</f>
        <v/>
      </c>
      <c r="Z630" s="40">
        <f>IF(AND(B630&gt;=in_marketplace_from,B630&lt;in_marketplace_from+in_card_months),in_card_share/in_card_months*F630*I630,IF(AND(B630&gt;=in_marketplace_from+in_card_months,B630&lt;in_marketplace_from+2*in_card_months),in_card_share*d_card_rem/in_card_months*F630*MIN(in_takeup_cap,(1+in_takeup_growth)^(D630-1))*MIN(in_takeup_cap,(1+in_approval_growth)^(D630-1)),0))</f>
        <v/>
      </c>
      <c r="AA630" s="14">
        <f>V630*in_fee*(1-in_taken_back)</f>
        <v/>
      </c>
      <c r="AB630" s="14">
        <f>SUMIFS(W607:W655,B607:B655,B630-in_dpd_lag)*d_dpd</f>
        <v/>
      </c>
      <c r="AC630" s="14">
        <f>SUMIFS(W607:W655,B607:B655,B630-in_rec_lag)*d_rec</f>
        <v/>
      </c>
      <c r="AD630" s="14">
        <f>Z630*in_card_fee</f>
        <v/>
      </c>
      <c r="AE630" s="40">
        <f>AE629*(1-IF(B629&gt;=in_marketplace_from,d_hz_hlth_small*G629,0))</f>
        <v/>
      </c>
      <c r="AF630" s="46">
        <f>AE630*IF(B630&gt;=in_marketplace_from,d_hz_hlth_small*G630,0)</f>
        <v/>
      </c>
      <c r="AG630" s="14">
        <f>F630*AF630*in_hlth_small_ticket*in_hlth_small_comm*in_ins_partner_share+F630*in_hlth_small_ticket*in_hlth_small_renew_comm*in_ins_partner_share*(in_hlth_small_renew^1*SUMIFS(AF607:AF655,B607:B655,B630-12)+in_hlth_small_renew^2*SUMIFS(AF607:AF655,B607:B655,B630-24)+in_hlth_small_renew^3*SUMIFS(AF607:AF655,B607:B655,B630-36)+in_hlth_small_renew^4*SUMIFS(AF607:AF655,B607:B655,B630-48))</f>
        <v/>
      </c>
      <c r="AH630" s="40">
        <f>AH629*(1-IF(B629&gt;=in_marketplace_from,d_hz_hlth_family*G629,0))</f>
        <v/>
      </c>
      <c r="AI630" s="46">
        <f>AH630*IF(B630&gt;=in_marketplace_from,d_hz_hlth_family*G630,0)</f>
        <v/>
      </c>
      <c r="AJ630" s="14">
        <f>F630*AI630*in_hlth_family_ticket*in_hlth_family_comm*in_ins_partner_share+F630*in_hlth_family_ticket*in_hlth_family_renew_comm*in_ins_partner_share*(in_hlth_family_renew^1*SUMIFS(AI607:AI655,B607:B655,B630-12)+in_hlth_family_renew^2*SUMIFS(AI607:AI655,B607:B655,B630-24)+in_hlth_family_renew^3*SUMIFS(AI607:AI655,B607:B655,B630-36)+in_hlth_family_renew^4*SUMIFS(AI607:AI655,B607:B655,B630-48))</f>
        <v/>
      </c>
      <c r="AK630" s="40">
        <f>AK629*(1-IF(B629&gt;=in_marketplace_from,d_hz_life_term*G629,0))</f>
        <v/>
      </c>
      <c r="AL630" s="46">
        <f>AK630*IF(B630&gt;=in_marketplace_from,d_hz_life_term*G630,0)</f>
        <v/>
      </c>
      <c r="AM630" s="14">
        <f>F630*AL630*in_life_term_ticket*in_life_term_comm*in_ins_partner_share+F630*in_life_term_ticket*in_life_term_renew_comm*in_ins_partner_share*(in_life_term_renew^1*SUMIFS(AL607:AL655,B607:B655,B630-12)+in_life_term_renew^2*SUMIFS(AL607:AL655,B607:B655,B630-24)+in_life_term_renew^3*SUMIFS(AL607:AL655,B607:B655,B630-36)+in_life_term_renew^4*SUMIFS(AL607:AL655,B607:B655,B630-48))</f>
        <v/>
      </c>
      <c r="AN630" s="40">
        <f>AN629*(1-IF(B629&gt;=in_marketplace_from,d_hz_accident*G629,0))</f>
        <v/>
      </c>
      <c r="AO630" s="46">
        <f>AN630*IF(B630&gt;=in_marketplace_from,d_hz_accident*G630,0)</f>
        <v/>
      </c>
      <c r="AP630" s="14">
        <f>F630*AO630*in_accident_ticket*in_accident_comm*in_ins_partner_share+F630*in_accident_ticket*in_accident_renew_comm*in_ins_partner_share*(in_accident_renew^1*SUMIFS(AO607:AO655,B607:B655,B630-12)+in_accident_renew^2*SUMIFS(AO607:AO655,B607:B655,B630-24)+in_accident_renew^3*SUMIFS(AO607:AO655,B607:B655,B630-36)+in_accident_renew^4*SUMIFS(AO607:AO655,B607:B655,B630-48))</f>
        <v/>
      </c>
      <c r="AQ630" s="40">
        <f>AQ629*(1-IF(B629&gt;=in_marketplace_from,d_hz_two_wheeler*G629,0))</f>
        <v/>
      </c>
      <c r="AR630" s="46">
        <f>AQ630*IF(B630&gt;=in_marketplace_from,d_hz_two_wheeler*G630,0)</f>
        <v/>
      </c>
      <c r="AS630" s="14">
        <f>F630*AR630*in_two_wheeler_ticket*in_two_wheeler_comm*in_ins_partner_share+F630*in_two_wheeler_ticket*in_two_wheeler_comm*in_ins_partner_share*(in_two_wheeler_renew^1*SUMIFS(AR607:AR655,B607:B655,B630-12)+in_two_wheeler_renew^2*SUMIFS(AR607:AR655,B607:B655,B630-24)+in_two_wheeler_renew^3*SUMIFS(AR607:AR655,B607:B655,B630-36)+in_two_wheeler_renew^4*SUMIFS(AR607:AR655,B607:B655,B630-48))</f>
        <v/>
      </c>
      <c r="AT630" s="40">
        <f>AT629*(1-IF(B629&gt;=in_marketplace_from,d_hz_device*G629,0))</f>
        <v/>
      </c>
      <c r="AU630" s="14">
        <f>F630*AT630*IF(B630&gt;=in_marketplace_from,d_hz_device*G630,0)*in_device_ticket*in_device_comm*in_ins_partner_share</f>
        <v/>
      </c>
      <c r="AV630" s="40">
        <f>AV629*(1-IF(B629&gt;=in_marketplace_from,d_hz_shop*G629,0))</f>
        <v/>
      </c>
      <c r="AW630" s="46">
        <f>AV630*IF(B630&gt;=in_marketplace_from,d_hz_shop*G630,0)</f>
        <v/>
      </c>
      <c r="AX630" s="14">
        <f>F630*AW630*in_shop_ticket*in_shop_comm*in_ins_partner_share+F630*in_shop_ticket*in_shop_renew_comm*in_ins_partner_share*(in_shop_renew^1*SUMIFS(AW607:AW655,B607:B655,B630-12)+in_shop_renew^2*SUMIFS(AW607:AW655,B607:B655,B630-24)+in_shop_renew^3*SUMIFS(AW607:AW655,B607:B655,B630-36)+in_shop_renew^4*SUMIFS(AW607:AW655,B607:B655,B630-48))</f>
        <v/>
      </c>
      <c r="AY630" s="40">
        <f>AY629*(1-IF(B629&gt;=in_marketplace_from,d_hz_sip*G629,0))</f>
        <v/>
      </c>
      <c r="AZ630" s="40">
        <f>AZ629*d_rho_sip+AY630*IF(B630&gt;=in_marketplace_from,d_hz_sip*G630,0)</f>
        <v/>
      </c>
      <c r="BA630" s="40">
        <f>d_rho_sip*(BA629+AZ629)</f>
        <v/>
      </c>
      <c r="BB630" s="14">
        <f>F630*in_sip_ticket*(BA630+0.5*AZ630)*in_sip_comm/12</f>
        <v/>
      </c>
      <c r="BC630" s="40">
        <f>BC629*(1-IF(B629&gt;=in_marketplace_from,d_hz_choti*G629,0))</f>
        <v/>
      </c>
      <c r="BD630" s="46">
        <f>BC630*IF(B630&gt;=in_marketplace_from,d_hz_choti*G630,0)</f>
        <v/>
      </c>
      <c r="BE630" s="14">
        <f>F630*SUMIFS(BD607:BD655,B607:B655,B630-in_choti_months)*in_choti_renew*in_choti_ticket</f>
        <v/>
      </c>
      <c r="BF630" s="40">
        <f>BF629*(1-IF(B629&gt;=in_marketplace_from,d_hz_nps*G629,0))</f>
        <v/>
      </c>
      <c r="BG630" s="14">
        <f>F630*BF630*IF(B630&gt;=in_marketplace_from,d_hz_nps*G630,0)*in_nps_ticket*in_nps_comm</f>
        <v/>
      </c>
      <c r="BH630" s="40">
        <f>BH629*(1-IF(B629&gt;=in_marketplace_from,d_hz_gold*G629,0))</f>
        <v/>
      </c>
      <c r="BI630" s="40">
        <f>BI629*d_rho_gold+BH630*IF(B630&gt;=in_marketplace_from,d_hz_gold*G630,0)</f>
        <v/>
      </c>
      <c r="BJ630" s="14">
        <f>F630*BI630*in_gold_ticket*in_gold_comm</f>
        <v/>
      </c>
      <c r="BK630" s="40">
        <f>BK629*(1-IF(B629&gt;=in_marketplace_from,d_hz_fd*G629,0))</f>
        <v/>
      </c>
      <c r="BL630" s="14">
        <f>F630*BK630*IF(B630&gt;=in_marketplace_from,d_hz_fd*G630,0)*in_fd_ticket*in_fd_comm</f>
        <v/>
      </c>
      <c r="BM630" s="40">
        <f>BM629*(1-IF(B629&gt;=in_marketplace_from,d_hz_recharge*G629,0))</f>
        <v/>
      </c>
      <c r="BN630" s="40">
        <f>BN629*d_rho_recharge+BM630*IF(B630&gt;=in_marketplace_from,d_hz_recharge*G630,0)</f>
        <v/>
      </c>
      <c r="BO630" s="14">
        <f>F630*BN630*in_recharge_ticket*in_recharge_comm/12</f>
        <v/>
      </c>
      <c r="BP630" s="40">
        <f>BP629*(1-IF(B629&gt;=in_marketplace_from,d_hz_bills*G629,0))</f>
        <v/>
      </c>
      <c r="BQ630" s="40">
        <f>BQ629*d_rho_bills+BP630*IF(B630&gt;=in_marketplace_from,d_hz_bills*G630,0)</f>
        <v/>
      </c>
      <c r="BR630" s="14">
        <f>F630*BQ630*in_bills_ticket*in_bills_comm/12</f>
        <v/>
      </c>
      <c r="BS630" s="40">
        <f>BS629*(1-IF(B629&gt;=in_marketplace_from,d_hz_loan_gold*G629,0))</f>
        <v/>
      </c>
      <c r="BT630" s="14">
        <f>F630*BS630*IF(B630&gt;=in_marketplace_from,d_hz_loan_gold*G630,0)*in_loan_gold_ticket*in_loan_gold_comm</f>
        <v/>
      </c>
      <c r="BU630" s="40">
        <f>BU629*(1-IF(B629&gt;=in_marketplace_from,d_hz_loan_cd*G629,0))</f>
        <v/>
      </c>
      <c r="BV630" s="14">
        <f>F630*BU630*IF(B630&gt;=in_marketplace_from,d_hz_loan_cd*G630,0)*in_loan_cd_ticket*in_loan_cd_comm</f>
        <v/>
      </c>
      <c r="BW630" s="40">
        <f>BW629*(1-IF(B629&gt;=in_marketplace_from,d_hz_loan_vehicle*G629,0))</f>
        <v/>
      </c>
      <c r="BX630" s="14">
        <f>F630*BW630*IF(B630&gt;=in_marketplace_from,d_hz_loan_vehicle*G630,0)*in_loan_vehicle_ticket*in_loan_vehicle_comm</f>
        <v/>
      </c>
      <c r="BY630" s="40">
        <f>BY629*(1-IF(B629&gt;=in_marketplace_from,d_hz_loan_home*G629,0)*BZ629)</f>
        <v/>
      </c>
      <c r="BZ630" s="11">
        <f>MIN(in_approval_cap,in_loan_home_approval*INDEX('Age profile'!$O$2:$O$61,B630)*(1+in_approval_growth)^(D630-1))</f>
        <v/>
      </c>
      <c r="CA630" s="14">
        <f>F630*BY630*IF(B630&gt;=in_marketplace_from,d_hz_loan_home*G630,0)*BZ630*in_loan_home_ticket*in_loan_home_comm</f>
        <v/>
      </c>
      <c r="CB630" s="40">
        <f>CB629*(1-IF(B629&gt;=in_marketplace_from,d_hz_loan_lap*G629,0)*CC629)</f>
        <v/>
      </c>
      <c r="CC630" s="11">
        <f>MIN(in_approval_cap,in_loan_lap_approval*INDEX('Age profile'!$O$2:$O$61,B630)*(1+in_approval_growth)^(D630-1))</f>
        <v/>
      </c>
      <c r="CD630" s="14">
        <f>F630*CB630*IF(B630&gt;=in_marketplace_from,d_hz_loan_lap*G630,0)*CC630*in_loan_lap_ticket*in_loan_lap_comm</f>
        <v/>
      </c>
      <c r="CE630" s="14">
        <f>AA630+AB630+AC630+AD630+AG630+AJ630+AM630+AP630+AS630+AU630+AX630+BB630+BE630+BG630+BJ630+BL630+BO630+BR630+BT630+BV630+BX630+CA630+CD630</f>
        <v/>
      </c>
    </row>
    <row r="631">
      <c r="A631" s="39" t="n">
        <v>12</v>
      </c>
      <c r="B631" s="39" t="n">
        <v>25</v>
      </c>
      <c r="C631" s="39">
        <f>A631+B631-1</f>
        <v/>
      </c>
      <c r="D631" s="39">
        <f>INT((C631-1)/12)+1</f>
        <v/>
      </c>
      <c r="E631" s="44">
        <f>INDEX(Monthly!$B$2:$B$61,A631)</f>
        <v/>
      </c>
      <c r="F631" s="44">
        <f>E631*INDEX('Age profile'!$B$2:$B$61,B631)</f>
        <v/>
      </c>
      <c r="G631" s="45">
        <f>MIN(in_takeup_cap,INDEX('Age profile'!$N$2:$N$61,B631)*(1+in_takeup_growth)^(D631-1))</f>
        <v/>
      </c>
      <c r="H631" s="11">
        <f>MIN(in_approval_cap,in_approved_first*INDEX('Age profile'!$O$2:$O$61,B631)*(1+in_approval_growth)^(D631-1))</f>
        <v/>
      </c>
      <c r="I631" s="45">
        <f>G631*MIN(in_takeup_cap,INDEX('Age profile'!$O$2:$O$61,B631)*(1+in_approval_growth)^(D631-1))</f>
        <v/>
      </c>
      <c r="J631" s="40">
        <f>(J630-L630)*F631/F630</f>
        <v/>
      </c>
      <c r="K631" s="40">
        <f>(K630-M630)*F631/F630+SUMIFS(O607:O630,B607:B630,B631-1-d_T)*F631</f>
        <v/>
      </c>
      <c r="L631" s="40">
        <f>IF(B631&gt;=in_marketplace_from,J631*d_hz*G631*in_eligible*H631,0)</f>
        <v/>
      </c>
      <c r="M631" s="40">
        <f>IF(B631&gt;=in_marketplace_from,K631*d_hz*G631*in_eligible*in_approved_repeat,0)</f>
        <v/>
      </c>
      <c r="N631" s="40">
        <f>L631+M631</f>
        <v/>
      </c>
      <c r="O631" s="46">
        <f>N631/F631</f>
        <v/>
      </c>
      <c r="P631" s="40">
        <f>F631-J631-K631</f>
        <v/>
      </c>
      <c r="Q631" s="40">
        <f>IF(B631&gt;=in_marketplace_from,(J631+K631)*d_hz*G631,0)</f>
        <v/>
      </c>
      <c r="R631" s="40">
        <f>SUMIFS(N607:N655,B607:B655,"&gt;="&amp;(B631-d_T),B607:B655,"&lt;="&amp;(B631-1))</f>
        <v/>
      </c>
      <c r="S631" s="46">
        <f>(1-d_u)*S630+IF(d_T&gt;in_topup_lag,SUMIFS(O607:O655,B607:B655,B631-in_topup_lag)-d_udrop*SUMIFS(O607:O655,B607:B655,B631-d_T),0)</f>
        <v/>
      </c>
      <c r="T631" s="40">
        <f>F631*d_u*S631</f>
        <v/>
      </c>
      <c r="U631" s="9">
        <f>L631*in_ticket+M631*d_rep_ticket</f>
        <v/>
      </c>
      <c r="V631" s="9">
        <f>U631+T631*d_topup_amt</f>
        <v/>
      </c>
      <c r="W631" s="40">
        <f>N631+T631*d_topup_ratio</f>
        <v/>
      </c>
      <c r="X631" s="40">
        <f>SUMIFS(W607:W655,B607:B655,B631-in_dpd_lag)*d_cured</f>
        <v/>
      </c>
      <c r="Y631" s="40">
        <f>SUMIFS(W607:W655,B607:B655,B631-in_rec_lag)*d_recd</f>
        <v/>
      </c>
      <c r="Z631" s="40">
        <f>IF(AND(B631&gt;=in_marketplace_from,B631&lt;in_marketplace_from+in_card_months),in_card_share/in_card_months*F631*I631,IF(AND(B631&gt;=in_marketplace_from+in_card_months,B631&lt;in_marketplace_from+2*in_card_months),in_card_share*d_card_rem/in_card_months*F631*MIN(in_takeup_cap,(1+in_takeup_growth)^(D631-1))*MIN(in_takeup_cap,(1+in_approval_growth)^(D631-1)),0))</f>
        <v/>
      </c>
      <c r="AA631" s="14">
        <f>V631*in_fee*(1-in_taken_back)</f>
        <v/>
      </c>
      <c r="AB631" s="14">
        <f>SUMIFS(W607:W655,B607:B655,B631-in_dpd_lag)*d_dpd</f>
        <v/>
      </c>
      <c r="AC631" s="14">
        <f>SUMIFS(W607:W655,B607:B655,B631-in_rec_lag)*d_rec</f>
        <v/>
      </c>
      <c r="AD631" s="14">
        <f>Z631*in_card_fee</f>
        <v/>
      </c>
      <c r="AE631" s="40">
        <f>AE630*(1-IF(B630&gt;=in_marketplace_from,d_hz_hlth_small*G630,0))</f>
        <v/>
      </c>
      <c r="AF631" s="46">
        <f>AE631*IF(B631&gt;=in_marketplace_from,d_hz_hlth_small*G631,0)</f>
        <v/>
      </c>
      <c r="AG631" s="14">
        <f>F631*AF631*in_hlth_small_ticket*in_hlth_small_comm*in_ins_partner_share+F631*in_hlth_small_ticket*in_hlth_small_renew_comm*in_ins_partner_share*(in_hlth_small_renew^1*SUMIFS(AF607:AF655,B607:B655,B631-12)+in_hlth_small_renew^2*SUMIFS(AF607:AF655,B607:B655,B631-24)+in_hlth_small_renew^3*SUMIFS(AF607:AF655,B607:B655,B631-36)+in_hlth_small_renew^4*SUMIFS(AF607:AF655,B607:B655,B631-48))</f>
        <v/>
      </c>
      <c r="AH631" s="40">
        <f>AH630*(1-IF(B630&gt;=in_marketplace_from,d_hz_hlth_family*G630,0))</f>
        <v/>
      </c>
      <c r="AI631" s="46">
        <f>AH631*IF(B631&gt;=in_marketplace_from,d_hz_hlth_family*G631,0)</f>
        <v/>
      </c>
      <c r="AJ631" s="14">
        <f>F631*AI631*in_hlth_family_ticket*in_hlth_family_comm*in_ins_partner_share+F631*in_hlth_family_ticket*in_hlth_family_renew_comm*in_ins_partner_share*(in_hlth_family_renew^1*SUMIFS(AI607:AI655,B607:B655,B631-12)+in_hlth_family_renew^2*SUMIFS(AI607:AI655,B607:B655,B631-24)+in_hlth_family_renew^3*SUMIFS(AI607:AI655,B607:B655,B631-36)+in_hlth_family_renew^4*SUMIFS(AI607:AI655,B607:B655,B631-48))</f>
        <v/>
      </c>
      <c r="AK631" s="40">
        <f>AK630*(1-IF(B630&gt;=in_marketplace_from,d_hz_life_term*G630,0))</f>
        <v/>
      </c>
      <c r="AL631" s="46">
        <f>AK631*IF(B631&gt;=in_marketplace_from,d_hz_life_term*G631,0)</f>
        <v/>
      </c>
      <c r="AM631" s="14">
        <f>F631*AL631*in_life_term_ticket*in_life_term_comm*in_ins_partner_share+F631*in_life_term_ticket*in_life_term_renew_comm*in_ins_partner_share*(in_life_term_renew^1*SUMIFS(AL607:AL655,B607:B655,B631-12)+in_life_term_renew^2*SUMIFS(AL607:AL655,B607:B655,B631-24)+in_life_term_renew^3*SUMIFS(AL607:AL655,B607:B655,B631-36)+in_life_term_renew^4*SUMIFS(AL607:AL655,B607:B655,B631-48))</f>
        <v/>
      </c>
      <c r="AN631" s="40">
        <f>AN630*(1-IF(B630&gt;=in_marketplace_from,d_hz_accident*G630,0))</f>
        <v/>
      </c>
      <c r="AO631" s="46">
        <f>AN631*IF(B631&gt;=in_marketplace_from,d_hz_accident*G631,0)</f>
        <v/>
      </c>
      <c r="AP631" s="14">
        <f>F631*AO631*in_accident_ticket*in_accident_comm*in_ins_partner_share+F631*in_accident_ticket*in_accident_renew_comm*in_ins_partner_share*(in_accident_renew^1*SUMIFS(AO607:AO655,B607:B655,B631-12)+in_accident_renew^2*SUMIFS(AO607:AO655,B607:B655,B631-24)+in_accident_renew^3*SUMIFS(AO607:AO655,B607:B655,B631-36)+in_accident_renew^4*SUMIFS(AO607:AO655,B607:B655,B631-48))</f>
        <v/>
      </c>
      <c r="AQ631" s="40">
        <f>AQ630*(1-IF(B630&gt;=in_marketplace_from,d_hz_two_wheeler*G630,0))</f>
        <v/>
      </c>
      <c r="AR631" s="46">
        <f>AQ631*IF(B631&gt;=in_marketplace_from,d_hz_two_wheeler*G631,0)</f>
        <v/>
      </c>
      <c r="AS631" s="14">
        <f>F631*AR631*in_two_wheeler_ticket*in_two_wheeler_comm*in_ins_partner_share+F631*in_two_wheeler_ticket*in_two_wheeler_comm*in_ins_partner_share*(in_two_wheeler_renew^1*SUMIFS(AR607:AR655,B607:B655,B631-12)+in_two_wheeler_renew^2*SUMIFS(AR607:AR655,B607:B655,B631-24)+in_two_wheeler_renew^3*SUMIFS(AR607:AR655,B607:B655,B631-36)+in_two_wheeler_renew^4*SUMIFS(AR607:AR655,B607:B655,B631-48))</f>
        <v/>
      </c>
      <c r="AT631" s="40">
        <f>AT630*(1-IF(B630&gt;=in_marketplace_from,d_hz_device*G630,0))</f>
        <v/>
      </c>
      <c r="AU631" s="14">
        <f>F631*AT631*IF(B631&gt;=in_marketplace_from,d_hz_device*G631,0)*in_device_ticket*in_device_comm*in_ins_partner_share</f>
        <v/>
      </c>
      <c r="AV631" s="40">
        <f>AV630*(1-IF(B630&gt;=in_marketplace_from,d_hz_shop*G630,0))</f>
        <v/>
      </c>
      <c r="AW631" s="46">
        <f>AV631*IF(B631&gt;=in_marketplace_from,d_hz_shop*G631,0)</f>
        <v/>
      </c>
      <c r="AX631" s="14">
        <f>F631*AW631*in_shop_ticket*in_shop_comm*in_ins_partner_share+F631*in_shop_ticket*in_shop_renew_comm*in_ins_partner_share*(in_shop_renew^1*SUMIFS(AW607:AW655,B607:B655,B631-12)+in_shop_renew^2*SUMIFS(AW607:AW655,B607:B655,B631-24)+in_shop_renew^3*SUMIFS(AW607:AW655,B607:B655,B631-36)+in_shop_renew^4*SUMIFS(AW607:AW655,B607:B655,B631-48))</f>
        <v/>
      </c>
      <c r="AY631" s="40">
        <f>AY630*(1-IF(B630&gt;=in_marketplace_from,d_hz_sip*G630,0))</f>
        <v/>
      </c>
      <c r="AZ631" s="40">
        <f>AZ630*d_rho_sip+AY631*IF(B631&gt;=in_marketplace_from,d_hz_sip*G631,0)</f>
        <v/>
      </c>
      <c r="BA631" s="40">
        <f>d_rho_sip*(BA630+AZ630)</f>
        <v/>
      </c>
      <c r="BB631" s="14">
        <f>F631*in_sip_ticket*(BA631+0.5*AZ631)*in_sip_comm/12</f>
        <v/>
      </c>
      <c r="BC631" s="40">
        <f>BC630*(1-IF(B630&gt;=in_marketplace_from,d_hz_choti*G630,0))</f>
        <v/>
      </c>
      <c r="BD631" s="46">
        <f>BC631*IF(B631&gt;=in_marketplace_from,d_hz_choti*G631,0)</f>
        <v/>
      </c>
      <c r="BE631" s="14">
        <f>F631*SUMIFS(BD607:BD655,B607:B655,B631-in_choti_months)*in_choti_renew*in_choti_ticket</f>
        <v/>
      </c>
      <c r="BF631" s="40">
        <f>BF630*(1-IF(B630&gt;=in_marketplace_from,d_hz_nps*G630,0))</f>
        <v/>
      </c>
      <c r="BG631" s="14">
        <f>F631*BF631*IF(B631&gt;=in_marketplace_from,d_hz_nps*G631,0)*in_nps_ticket*in_nps_comm</f>
        <v/>
      </c>
      <c r="BH631" s="40">
        <f>BH630*(1-IF(B630&gt;=in_marketplace_from,d_hz_gold*G630,0))</f>
        <v/>
      </c>
      <c r="BI631" s="40">
        <f>BI630*d_rho_gold+BH631*IF(B631&gt;=in_marketplace_from,d_hz_gold*G631,0)</f>
        <v/>
      </c>
      <c r="BJ631" s="14">
        <f>F631*BI631*in_gold_ticket*in_gold_comm</f>
        <v/>
      </c>
      <c r="BK631" s="40">
        <f>BK630*(1-IF(B630&gt;=in_marketplace_from,d_hz_fd*G630,0))</f>
        <v/>
      </c>
      <c r="BL631" s="14">
        <f>F631*BK631*IF(B631&gt;=in_marketplace_from,d_hz_fd*G631,0)*in_fd_ticket*in_fd_comm</f>
        <v/>
      </c>
      <c r="BM631" s="40">
        <f>BM630*(1-IF(B630&gt;=in_marketplace_from,d_hz_recharge*G630,0))</f>
        <v/>
      </c>
      <c r="BN631" s="40">
        <f>BN630*d_rho_recharge+BM631*IF(B631&gt;=in_marketplace_from,d_hz_recharge*G631,0)</f>
        <v/>
      </c>
      <c r="BO631" s="14">
        <f>F631*BN631*in_recharge_ticket*in_recharge_comm/12</f>
        <v/>
      </c>
      <c r="BP631" s="40">
        <f>BP630*(1-IF(B630&gt;=in_marketplace_from,d_hz_bills*G630,0))</f>
        <v/>
      </c>
      <c r="BQ631" s="40">
        <f>BQ630*d_rho_bills+BP631*IF(B631&gt;=in_marketplace_from,d_hz_bills*G631,0)</f>
        <v/>
      </c>
      <c r="BR631" s="14">
        <f>F631*BQ631*in_bills_ticket*in_bills_comm/12</f>
        <v/>
      </c>
      <c r="BS631" s="40">
        <f>BS630*(1-IF(B630&gt;=in_marketplace_from,d_hz_loan_gold*G630,0))</f>
        <v/>
      </c>
      <c r="BT631" s="14">
        <f>F631*BS631*IF(B631&gt;=in_marketplace_from,d_hz_loan_gold*G631,0)*in_loan_gold_ticket*in_loan_gold_comm</f>
        <v/>
      </c>
      <c r="BU631" s="40">
        <f>BU630*(1-IF(B630&gt;=in_marketplace_from,d_hz_loan_cd*G630,0))</f>
        <v/>
      </c>
      <c r="BV631" s="14">
        <f>F631*BU631*IF(B631&gt;=in_marketplace_from,d_hz_loan_cd*G631,0)*in_loan_cd_ticket*in_loan_cd_comm</f>
        <v/>
      </c>
      <c r="BW631" s="40">
        <f>BW630*(1-IF(B630&gt;=in_marketplace_from,d_hz_loan_vehicle*G630,0))</f>
        <v/>
      </c>
      <c r="BX631" s="14">
        <f>F631*BW631*IF(B631&gt;=in_marketplace_from,d_hz_loan_vehicle*G631,0)*in_loan_vehicle_ticket*in_loan_vehicle_comm</f>
        <v/>
      </c>
      <c r="BY631" s="40">
        <f>BY630*(1-IF(B630&gt;=in_marketplace_from,d_hz_loan_home*G630,0)*BZ630)</f>
        <v/>
      </c>
      <c r="BZ631" s="11">
        <f>MIN(in_approval_cap,in_loan_home_approval*INDEX('Age profile'!$O$2:$O$61,B631)*(1+in_approval_growth)^(D631-1))</f>
        <v/>
      </c>
      <c r="CA631" s="14">
        <f>F631*BY631*IF(B631&gt;=in_marketplace_from,d_hz_loan_home*G631,0)*BZ631*in_loan_home_ticket*in_loan_home_comm</f>
        <v/>
      </c>
      <c r="CB631" s="40">
        <f>CB630*(1-IF(B630&gt;=in_marketplace_from,d_hz_loan_lap*G630,0)*CC630)</f>
        <v/>
      </c>
      <c r="CC631" s="11">
        <f>MIN(in_approval_cap,in_loan_lap_approval*INDEX('Age profile'!$O$2:$O$61,B631)*(1+in_approval_growth)^(D631-1))</f>
        <v/>
      </c>
      <c r="CD631" s="14">
        <f>F631*CB631*IF(B631&gt;=in_marketplace_from,d_hz_loan_lap*G631,0)*CC631*in_loan_lap_ticket*in_loan_lap_comm</f>
        <v/>
      </c>
      <c r="CE631" s="14">
        <f>AA631+AB631+AC631+AD631+AG631+AJ631+AM631+AP631+AS631+AU631+AX631+BB631+BE631+BG631+BJ631+BL631+BO631+BR631+BT631+BV631+BX631+CA631+CD631</f>
        <v/>
      </c>
    </row>
    <row r="632">
      <c r="A632" s="39" t="n">
        <v>12</v>
      </c>
      <c r="B632" s="39" t="n">
        <v>26</v>
      </c>
      <c r="C632" s="39">
        <f>A632+B632-1</f>
        <v/>
      </c>
      <c r="D632" s="39">
        <f>INT((C632-1)/12)+1</f>
        <v/>
      </c>
      <c r="E632" s="44">
        <f>INDEX(Monthly!$B$2:$B$61,A632)</f>
        <v/>
      </c>
      <c r="F632" s="44">
        <f>E632*INDEX('Age profile'!$B$2:$B$61,B632)</f>
        <v/>
      </c>
      <c r="G632" s="45">
        <f>MIN(in_takeup_cap,INDEX('Age profile'!$N$2:$N$61,B632)*(1+in_takeup_growth)^(D632-1))</f>
        <v/>
      </c>
      <c r="H632" s="11">
        <f>MIN(in_approval_cap,in_approved_first*INDEX('Age profile'!$O$2:$O$61,B632)*(1+in_approval_growth)^(D632-1))</f>
        <v/>
      </c>
      <c r="I632" s="45">
        <f>G632*MIN(in_takeup_cap,INDEX('Age profile'!$O$2:$O$61,B632)*(1+in_approval_growth)^(D632-1))</f>
        <v/>
      </c>
      <c r="J632" s="40">
        <f>(J631-L631)*F632/F631</f>
        <v/>
      </c>
      <c r="K632" s="40">
        <f>(K631-M631)*F632/F631+SUMIFS(O607:O631,B607:B631,B632-1-d_T)*F632</f>
        <v/>
      </c>
      <c r="L632" s="40">
        <f>IF(B632&gt;=in_marketplace_from,J632*d_hz*G632*in_eligible*H632,0)</f>
        <v/>
      </c>
      <c r="M632" s="40">
        <f>IF(B632&gt;=in_marketplace_from,K632*d_hz*G632*in_eligible*in_approved_repeat,0)</f>
        <v/>
      </c>
      <c r="N632" s="40">
        <f>L632+M632</f>
        <v/>
      </c>
      <c r="O632" s="46">
        <f>N632/F632</f>
        <v/>
      </c>
      <c r="P632" s="40">
        <f>F632-J632-K632</f>
        <v/>
      </c>
      <c r="Q632" s="40">
        <f>IF(B632&gt;=in_marketplace_from,(J632+K632)*d_hz*G632,0)</f>
        <v/>
      </c>
      <c r="R632" s="40">
        <f>SUMIFS(N607:N655,B607:B655,"&gt;="&amp;(B632-d_T),B607:B655,"&lt;="&amp;(B632-1))</f>
        <v/>
      </c>
      <c r="S632" s="46">
        <f>(1-d_u)*S631+IF(d_T&gt;in_topup_lag,SUMIFS(O607:O655,B607:B655,B632-in_topup_lag)-d_udrop*SUMIFS(O607:O655,B607:B655,B632-d_T),0)</f>
        <v/>
      </c>
      <c r="T632" s="40">
        <f>F632*d_u*S632</f>
        <v/>
      </c>
      <c r="U632" s="9">
        <f>L632*in_ticket+M632*d_rep_ticket</f>
        <v/>
      </c>
      <c r="V632" s="9">
        <f>U632+T632*d_topup_amt</f>
        <v/>
      </c>
      <c r="W632" s="40">
        <f>N632+T632*d_topup_ratio</f>
        <v/>
      </c>
      <c r="X632" s="40">
        <f>SUMIFS(W607:W655,B607:B655,B632-in_dpd_lag)*d_cured</f>
        <v/>
      </c>
      <c r="Y632" s="40">
        <f>SUMIFS(W607:W655,B607:B655,B632-in_rec_lag)*d_recd</f>
        <v/>
      </c>
      <c r="Z632" s="40">
        <f>IF(AND(B632&gt;=in_marketplace_from,B632&lt;in_marketplace_from+in_card_months),in_card_share/in_card_months*F632*I632,IF(AND(B632&gt;=in_marketplace_from+in_card_months,B632&lt;in_marketplace_from+2*in_card_months),in_card_share*d_card_rem/in_card_months*F632*MIN(in_takeup_cap,(1+in_takeup_growth)^(D632-1))*MIN(in_takeup_cap,(1+in_approval_growth)^(D632-1)),0))</f>
        <v/>
      </c>
      <c r="AA632" s="14">
        <f>V632*in_fee*(1-in_taken_back)</f>
        <v/>
      </c>
      <c r="AB632" s="14">
        <f>SUMIFS(W607:W655,B607:B655,B632-in_dpd_lag)*d_dpd</f>
        <v/>
      </c>
      <c r="AC632" s="14">
        <f>SUMIFS(W607:W655,B607:B655,B632-in_rec_lag)*d_rec</f>
        <v/>
      </c>
      <c r="AD632" s="14">
        <f>Z632*in_card_fee</f>
        <v/>
      </c>
      <c r="AE632" s="40">
        <f>AE631*(1-IF(B631&gt;=in_marketplace_from,d_hz_hlth_small*G631,0))</f>
        <v/>
      </c>
      <c r="AF632" s="46">
        <f>AE632*IF(B632&gt;=in_marketplace_from,d_hz_hlth_small*G632,0)</f>
        <v/>
      </c>
      <c r="AG632" s="14">
        <f>F632*AF632*in_hlth_small_ticket*in_hlth_small_comm*in_ins_partner_share+F632*in_hlth_small_ticket*in_hlth_small_renew_comm*in_ins_partner_share*(in_hlth_small_renew^1*SUMIFS(AF607:AF655,B607:B655,B632-12)+in_hlth_small_renew^2*SUMIFS(AF607:AF655,B607:B655,B632-24)+in_hlth_small_renew^3*SUMIFS(AF607:AF655,B607:B655,B632-36)+in_hlth_small_renew^4*SUMIFS(AF607:AF655,B607:B655,B632-48))</f>
        <v/>
      </c>
      <c r="AH632" s="40">
        <f>AH631*(1-IF(B631&gt;=in_marketplace_from,d_hz_hlth_family*G631,0))</f>
        <v/>
      </c>
      <c r="AI632" s="46">
        <f>AH632*IF(B632&gt;=in_marketplace_from,d_hz_hlth_family*G632,0)</f>
        <v/>
      </c>
      <c r="AJ632" s="14">
        <f>F632*AI632*in_hlth_family_ticket*in_hlth_family_comm*in_ins_partner_share+F632*in_hlth_family_ticket*in_hlth_family_renew_comm*in_ins_partner_share*(in_hlth_family_renew^1*SUMIFS(AI607:AI655,B607:B655,B632-12)+in_hlth_family_renew^2*SUMIFS(AI607:AI655,B607:B655,B632-24)+in_hlth_family_renew^3*SUMIFS(AI607:AI655,B607:B655,B632-36)+in_hlth_family_renew^4*SUMIFS(AI607:AI655,B607:B655,B632-48))</f>
        <v/>
      </c>
      <c r="AK632" s="40">
        <f>AK631*(1-IF(B631&gt;=in_marketplace_from,d_hz_life_term*G631,0))</f>
        <v/>
      </c>
      <c r="AL632" s="46">
        <f>AK632*IF(B632&gt;=in_marketplace_from,d_hz_life_term*G632,0)</f>
        <v/>
      </c>
      <c r="AM632" s="14">
        <f>F632*AL632*in_life_term_ticket*in_life_term_comm*in_ins_partner_share+F632*in_life_term_ticket*in_life_term_renew_comm*in_ins_partner_share*(in_life_term_renew^1*SUMIFS(AL607:AL655,B607:B655,B632-12)+in_life_term_renew^2*SUMIFS(AL607:AL655,B607:B655,B632-24)+in_life_term_renew^3*SUMIFS(AL607:AL655,B607:B655,B632-36)+in_life_term_renew^4*SUMIFS(AL607:AL655,B607:B655,B632-48))</f>
        <v/>
      </c>
      <c r="AN632" s="40">
        <f>AN631*(1-IF(B631&gt;=in_marketplace_from,d_hz_accident*G631,0))</f>
        <v/>
      </c>
      <c r="AO632" s="46">
        <f>AN632*IF(B632&gt;=in_marketplace_from,d_hz_accident*G632,0)</f>
        <v/>
      </c>
      <c r="AP632" s="14">
        <f>F632*AO632*in_accident_ticket*in_accident_comm*in_ins_partner_share+F632*in_accident_ticket*in_accident_renew_comm*in_ins_partner_share*(in_accident_renew^1*SUMIFS(AO607:AO655,B607:B655,B632-12)+in_accident_renew^2*SUMIFS(AO607:AO655,B607:B655,B632-24)+in_accident_renew^3*SUMIFS(AO607:AO655,B607:B655,B632-36)+in_accident_renew^4*SUMIFS(AO607:AO655,B607:B655,B632-48))</f>
        <v/>
      </c>
      <c r="AQ632" s="40">
        <f>AQ631*(1-IF(B631&gt;=in_marketplace_from,d_hz_two_wheeler*G631,0))</f>
        <v/>
      </c>
      <c r="AR632" s="46">
        <f>AQ632*IF(B632&gt;=in_marketplace_from,d_hz_two_wheeler*G632,0)</f>
        <v/>
      </c>
      <c r="AS632" s="14">
        <f>F632*AR632*in_two_wheeler_ticket*in_two_wheeler_comm*in_ins_partner_share+F632*in_two_wheeler_ticket*in_two_wheeler_comm*in_ins_partner_share*(in_two_wheeler_renew^1*SUMIFS(AR607:AR655,B607:B655,B632-12)+in_two_wheeler_renew^2*SUMIFS(AR607:AR655,B607:B655,B632-24)+in_two_wheeler_renew^3*SUMIFS(AR607:AR655,B607:B655,B632-36)+in_two_wheeler_renew^4*SUMIFS(AR607:AR655,B607:B655,B632-48))</f>
        <v/>
      </c>
      <c r="AT632" s="40">
        <f>AT631*(1-IF(B631&gt;=in_marketplace_from,d_hz_device*G631,0))</f>
        <v/>
      </c>
      <c r="AU632" s="14">
        <f>F632*AT632*IF(B632&gt;=in_marketplace_from,d_hz_device*G632,0)*in_device_ticket*in_device_comm*in_ins_partner_share</f>
        <v/>
      </c>
      <c r="AV632" s="40">
        <f>AV631*(1-IF(B631&gt;=in_marketplace_from,d_hz_shop*G631,0))</f>
        <v/>
      </c>
      <c r="AW632" s="46">
        <f>AV632*IF(B632&gt;=in_marketplace_from,d_hz_shop*G632,0)</f>
        <v/>
      </c>
      <c r="AX632" s="14">
        <f>F632*AW632*in_shop_ticket*in_shop_comm*in_ins_partner_share+F632*in_shop_ticket*in_shop_renew_comm*in_ins_partner_share*(in_shop_renew^1*SUMIFS(AW607:AW655,B607:B655,B632-12)+in_shop_renew^2*SUMIFS(AW607:AW655,B607:B655,B632-24)+in_shop_renew^3*SUMIFS(AW607:AW655,B607:B655,B632-36)+in_shop_renew^4*SUMIFS(AW607:AW655,B607:B655,B632-48))</f>
        <v/>
      </c>
      <c r="AY632" s="40">
        <f>AY631*(1-IF(B631&gt;=in_marketplace_from,d_hz_sip*G631,0))</f>
        <v/>
      </c>
      <c r="AZ632" s="40">
        <f>AZ631*d_rho_sip+AY632*IF(B632&gt;=in_marketplace_from,d_hz_sip*G632,0)</f>
        <v/>
      </c>
      <c r="BA632" s="40">
        <f>d_rho_sip*(BA631+AZ631)</f>
        <v/>
      </c>
      <c r="BB632" s="14">
        <f>F632*in_sip_ticket*(BA632+0.5*AZ632)*in_sip_comm/12</f>
        <v/>
      </c>
      <c r="BC632" s="40">
        <f>BC631*(1-IF(B631&gt;=in_marketplace_from,d_hz_choti*G631,0))</f>
        <v/>
      </c>
      <c r="BD632" s="46">
        <f>BC632*IF(B632&gt;=in_marketplace_from,d_hz_choti*G632,0)</f>
        <v/>
      </c>
      <c r="BE632" s="14">
        <f>F632*SUMIFS(BD607:BD655,B607:B655,B632-in_choti_months)*in_choti_renew*in_choti_ticket</f>
        <v/>
      </c>
      <c r="BF632" s="40">
        <f>BF631*(1-IF(B631&gt;=in_marketplace_from,d_hz_nps*G631,0))</f>
        <v/>
      </c>
      <c r="BG632" s="14">
        <f>F632*BF632*IF(B632&gt;=in_marketplace_from,d_hz_nps*G632,0)*in_nps_ticket*in_nps_comm</f>
        <v/>
      </c>
      <c r="BH632" s="40">
        <f>BH631*(1-IF(B631&gt;=in_marketplace_from,d_hz_gold*G631,0))</f>
        <v/>
      </c>
      <c r="BI632" s="40">
        <f>BI631*d_rho_gold+BH632*IF(B632&gt;=in_marketplace_from,d_hz_gold*G632,0)</f>
        <v/>
      </c>
      <c r="BJ632" s="14">
        <f>F632*BI632*in_gold_ticket*in_gold_comm</f>
        <v/>
      </c>
      <c r="BK632" s="40">
        <f>BK631*(1-IF(B631&gt;=in_marketplace_from,d_hz_fd*G631,0))</f>
        <v/>
      </c>
      <c r="BL632" s="14">
        <f>F632*BK632*IF(B632&gt;=in_marketplace_from,d_hz_fd*G632,0)*in_fd_ticket*in_fd_comm</f>
        <v/>
      </c>
      <c r="BM632" s="40">
        <f>BM631*(1-IF(B631&gt;=in_marketplace_from,d_hz_recharge*G631,0))</f>
        <v/>
      </c>
      <c r="BN632" s="40">
        <f>BN631*d_rho_recharge+BM632*IF(B632&gt;=in_marketplace_from,d_hz_recharge*G632,0)</f>
        <v/>
      </c>
      <c r="BO632" s="14">
        <f>F632*BN632*in_recharge_ticket*in_recharge_comm/12</f>
        <v/>
      </c>
      <c r="BP632" s="40">
        <f>BP631*(1-IF(B631&gt;=in_marketplace_from,d_hz_bills*G631,0))</f>
        <v/>
      </c>
      <c r="BQ632" s="40">
        <f>BQ631*d_rho_bills+BP632*IF(B632&gt;=in_marketplace_from,d_hz_bills*G632,0)</f>
        <v/>
      </c>
      <c r="BR632" s="14">
        <f>F632*BQ632*in_bills_ticket*in_bills_comm/12</f>
        <v/>
      </c>
      <c r="BS632" s="40">
        <f>BS631*(1-IF(B631&gt;=in_marketplace_from,d_hz_loan_gold*G631,0))</f>
        <v/>
      </c>
      <c r="BT632" s="14">
        <f>F632*BS632*IF(B632&gt;=in_marketplace_from,d_hz_loan_gold*G632,0)*in_loan_gold_ticket*in_loan_gold_comm</f>
        <v/>
      </c>
      <c r="BU632" s="40">
        <f>BU631*(1-IF(B631&gt;=in_marketplace_from,d_hz_loan_cd*G631,0))</f>
        <v/>
      </c>
      <c r="BV632" s="14">
        <f>F632*BU632*IF(B632&gt;=in_marketplace_from,d_hz_loan_cd*G632,0)*in_loan_cd_ticket*in_loan_cd_comm</f>
        <v/>
      </c>
      <c r="BW632" s="40">
        <f>BW631*(1-IF(B631&gt;=in_marketplace_from,d_hz_loan_vehicle*G631,0))</f>
        <v/>
      </c>
      <c r="BX632" s="14">
        <f>F632*BW632*IF(B632&gt;=in_marketplace_from,d_hz_loan_vehicle*G632,0)*in_loan_vehicle_ticket*in_loan_vehicle_comm</f>
        <v/>
      </c>
      <c r="BY632" s="40">
        <f>BY631*(1-IF(B631&gt;=in_marketplace_from,d_hz_loan_home*G631,0)*BZ631)</f>
        <v/>
      </c>
      <c r="BZ632" s="11">
        <f>MIN(in_approval_cap,in_loan_home_approval*INDEX('Age profile'!$O$2:$O$61,B632)*(1+in_approval_growth)^(D632-1))</f>
        <v/>
      </c>
      <c r="CA632" s="14">
        <f>F632*BY632*IF(B632&gt;=in_marketplace_from,d_hz_loan_home*G632,0)*BZ632*in_loan_home_ticket*in_loan_home_comm</f>
        <v/>
      </c>
      <c r="CB632" s="40">
        <f>CB631*(1-IF(B631&gt;=in_marketplace_from,d_hz_loan_lap*G631,0)*CC631)</f>
        <v/>
      </c>
      <c r="CC632" s="11">
        <f>MIN(in_approval_cap,in_loan_lap_approval*INDEX('Age profile'!$O$2:$O$61,B632)*(1+in_approval_growth)^(D632-1))</f>
        <v/>
      </c>
      <c r="CD632" s="14">
        <f>F632*CB632*IF(B632&gt;=in_marketplace_from,d_hz_loan_lap*G632,0)*CC632*in_loan_lap_ticket*in_loan_lap_comm</f>
        <v/>
      </c>
      <c r="CE632" s="14">
        <f>AA632+AB632+AC632+AD632+AG632+AJ632+AM632+AP632+AS632+AU632+AX632+BB632+BE632+BG632+BJ632+BL632+BO632+BR632+BT632+BV632+BX632+CA632+CD632</f>
        <v/>
      </c>
    </row>
    <row r="633">
      <c r="A633" s="39" t="n">
        <v>12</v>
      </c>
      <c r="B633" s="39" t="n">
        <v>27</v>
      </c>
      <c r="C633" s="39">
        <f>A633+B633-1</f>
        <v/>
      </c>
      <c r="D633" s="39">
        <f>INT((C633-1)/12)+1</f>
        <v/>
      </c>
      <c r="E633" s="44">
        <f>INDEX(Monthly!$B$2:$B$61,A633)</f>
        <v/>
      </c>
      <c r="F633" s="44">
        <f>E633*INDEX('Age profile'!$B$2:$B$61,B633)</f>
        <v/>
      </c>
      <c r="G633" s="45">
        <f>MIN(in_takeup_cap,INDEX('Age profile'!$N$2:$N$61,B633)*(1+in_takeup_growth)^(D633-1))</f>
        <v/>
      </c>
      <c r="H633" s="11">
        <f>MIN(in_approval_cap,in_approved_first*INDEX('Age profile'!$O$2:$O$61,B633)*(1+in_approval_growth)^(D633-1))</f>
        <v/>
      </c>
      <c r="I633" s="45">
        <f>G633*MIN(in_takeup_cap,INDEX('Age profile'!$O$2:$O$61,B633)*(1+in_approval_growth)^(D633-1))</f>
        <v/>
      </c>
      <c r="J633" s="40">
        <f>(J632-L632)*F633/F632</f>
        <v/>
      </c>
      <c r="K633" s="40">
        <f>(K632-M632)*F633/F632+SUMIFS(O607:O632,B607:B632,B633-1-d_T)*F633</f>
        <v/>
      </c>
      <c r="L633" s="40">
        <f>IF(B633&gt;=in_marketplace_from,J633*d_hz*G633*in_eligible*H633,0)</f>
        <v/>
      </c>
      <c r="M633" s="40">
        <f>IF(B633&gt;=in_marketplace_from,K633*d_hz*G633*in_eligible*in_approved_repeat,0)</f>
        <v/>
      </c>
      <c r="N633" s="40">
        <f>L633+M633</f>
        <v/>
      </c>
      <c r="O633" s="46">
        <f>N633/F633</f>
        <v/>
      </c>
      <c r="P633" s="40">
        <f>F633-J633-K633</f>
        <v/>
      </c>
      <c r="Q633" s="40">
        <f>IF(B633&gt;=in_marketplace_from,(J633+K633)*d_hz*G633,0)</f>
        <v/>
      </c>
      <c r="R633" s="40">
        <f>SUMIFS(N607:N655,B607:B655,"&gt;="&amp;(B633-d_T),B607:B655,"&lt;="&amp;(B633-1))</f>
        <v/>
      </c>
      <c r="S633" s="46">
        <f>(1-d_u)*S632+IF(d_T&gt;in_topup_lag,SUMIFS(O607:O655,B607:B655,B633-in_topup_lag)-d_udrop*SUMIFS(O607:O655,B607:B655,B633-d_T),0)</f>
        <v/>
      </c>
      <c r="T633" s="40">
        <f>F633*d_u*S633</f>
        <v/>
      </c>
      <c r="U633" s="9">
        <f>L633*in_ticket+M633*d_rep_ticket</f>
        <v/>
      </c>
      <c r="V633" s="9">
        <f>U633+T633*d_topup_amt</f>
        <v/>
      </c>
      <c r="W633" s="40">
        <f>N633+T633*d_topup_ratio</f>
        <v/>
      </c>
      <c r="X633" s="40">
        <f>SUMIFS(W607:W655,B607:B655,B633-in_dpd_lag)*d_cured</f>
        <v/>
      </c>
      <c r="Y633" s="40">
        <f>SUMIFS(W607:W655,B607:B655,B633-in_rec_lag)*d_recd</f>
        <v/>
      </c>
      <c r="Z633" s="40">
        <f>IF(AND(B633&gt;=in_marketplace_from,B633&lt;in_marketplace_from+in_card_months),in_card_share/in_card_months*F633*I633,IF(AND(B633&gt;=in_marketplace_from+in_card_months,B633&lt;in_marketplace_from+2*in_card_months),in_card_share*d_card_rem/in_card_months*F633*MIN(in_takeup_cap,(1+in_takeup_growth)^(D633-1))*MIN(in_takeup_cap,(1+in_approval_growth)^(D633-1)),0))</f>
        <v/>
      </c>
      <c r="AA633" s="14">
        <f>V633*in_fee*(1-in_taken_back)</f>
        <v/>
      </c>
      <c r="AB633" s="14">
        <f>SUMIFS(W607:W655,B607:B655,B633-in_dpd_lag)*d_dpd</f>
        <v/>
      </c>
      <c r="AC633" s="14">
        <f>SUMIFS(W607:W655,B607:B655,B633-in_rec_lag)*d_rec</f>
        <v/>
      </c>
      <c r="AD633" s="14">
        <f>Z633*in_card_fee</f>
        <v/>
      </c>
      <c r="AE633" s="40">
        <f>AE632*(1-IF(B632&gt;=in_marketplace_from,d_hz_hlth_small*G632,0))</f>
        <v/>
      </c>
      <c r="AF633" s="46">
        <f>AE633*IF(B633&gt;=in_marketplace_from,d_hz_hlth_small*G633,0)</f>
        <v/>
      </c>
      <c r="AG633" s="14">
        <f>F633*AF633*in_hlth_small_ticket*in_hlth_small_comm*in_ins_partner_share+F633*in_hlth_small_ticket*in_hlth_small_renew_comm*in_ins_partner_share*(in_hlth_small_renew^1*SUMIFS(AF607:AF655,B607:B655,B633-12)+in_hlth_small_renew^2*SUMIFS(AF607:AF655,B607:B655,B633-24)+in_hlth_small_renew^3*SUMIFS(AF607:AF655,B607:B655,B633-36)+in_hlth_small_renew^4*SUMIFS(AF607:AF655,B607:B655,B633-48))</f>
        <v/>
      </c>
      <c r="AH633" s="40">
        <f>AH632*(1-IF(B632&gt;=in_marketplace_from,d_hz_hlth_family*G632,0))</f>
        <v/>
      </c>
      <c r="AI633" s="46">
        <f>AH633*IF(B633&gt;=in_marketplace_from,d_hz_hlth_family*G633,0)</f>
        <v/>
      </c>
      <c r="AJ633" s="14">
        <f>F633*AI633*in_hlth_family_ticket*in_hlth_family_comm*in_ins_partner_share+F633*in_hlth_family_ticket*in_hlth_family_renew_comm*in_ins_partner_share*(in_hlth_family_renew^1*SUMIFS(AI607:AI655,B607:B655,B633-12)+in_hlth_family_renew^2*SUMIFS(AI607:AI655,B607:B655,B633-24)+in_hlth_family_renew^3*SUMIFS(AI607:AI655,B607:B655,B633-36)+in_hlth_family_renew^4*SUMIFS(AI607:AI655,B607:B655,B633-48))</f>
        <v/>
      </c>
      <c r="AK633" s="40">
        <f>AK632*(1-IF(B632&gt;=in_marketplace_from,d_hz_life_term*G632,0))</f>
        <v/>
      </c>
      <c r="AL633" s="46">
        <f>AK633*IF(B633&gt;=in_marketplace_from,d_hz_life_term*G633,0)</f>
        <v/>
      </c>
      <c r="AM633" s="14">
        <f>F633*AL633*in_life_term_ticket*in_life_term_comm*in_ins_partner_share+F633*in_life_term_ticket*in_life_term_renew_comm*in_ins_partner_share*(in_life_term_renew^1*SUMIFS(AL607:AL655,B607:B655,B633-12)+in_life_term_renew^2*SUMIFS(AL607:AL655,B607:B655,B633-24)+in_life_term_renew^3*SUMIFS(AL607:AL655,B607:B655,B633-36)+in_life_term_renew^4*SUMIFS(AL607:AL655,B607:B655,B633-48))</f>
        <v/>
      </c>
      <c r="AN633" s="40">
        <f>AN632*(1-IF(B632&gt;=in_marketplace_from,d_hz_accident*G632,0))</f>
        <v/>
      </c>
      <c r="AO633" s="46">
        <f>AN633*IF(B633&gt;=in_marketplace_from,d_hz_accident*G633,0)</f>
        <v/>
      </c>
      <c r="AP633" s="14">
        <f>F633*AO633*in_accident_ticket*in_accident_comm*in_ins_partner_share+F633*in_accident_ticket*in_accident_renew_comm*in_ins_partner_share*(in_accident_renew^1*SUMIFS(AO607:AO655,B607:B655,B633-12)+in_accident_renew^2*SUMIFS(AO607:AO655,B607:B655,B633-24)+in_accident_renew^3*SUMIFS(AO607:AO655,B607:B655,B633-36)+in_accident_renew^4*SUMIFS(AO607:AO655,B607:B655,B633-48))</f>
        <v/>
      </c>
      <c r="AQ633" s="40">
        <f>AQ632*(1-IF(B632&gt;=in_marketplace_from,d_hz_two_wheeler*G632,0))</f>
        <v/>
      </c>
      <c r="AR633" s="46">
        <f>AQ633*IF(B633&gt;=in_marketplace_from,d_hz_two_wheeler*G633,0)</f>
        <v/>
      </c>
      <c r="AS633" s="14">
        <f>F633*AR633*in_two_wheeler_ticket*in_two_wheeler_comm*in_ins_partner_share+F633*in_two_wheeler_ticket*in_two_wheeler_comm*in_ins_partner_share*(in_two_wheeler_renew^1*SUMIFS(AR607:AR655,B607:B655,B633-12)+in_two_wheeler_renew^2*SUMIFS(AR607:AR655,B607:B655,B633-24)+in_two_wheeler_renew^3*SUMIFS(AR607:AR655,B607:B655,B633-36)+in_two_wheeler_renew^4*SUMIFS(AR607:AR655,B607:B655,B633-48))</f>
        <v/>
      </c>
      <c r="AT633" s="40">
        <f>AT632*(1-IF(B632&gt;=in_marketplace_from,d_hz_device*G632,0))</f>
        <v/>
      </c>
      <c r="AU633" s="14">
        <f>F633*AT633*IF(B633&gt;=in_marketplace_from,d_hz_device*G633,0)*in_device_ticket*in_device_comm*in_ins_partner_share</f>
        <v/>
      </c>
      <c r="AV633" s="40">
        <f>AV632*(1-IF(B632&gt;=in_marketplace_from,d_hz_shop*G632,0))</f>
        <v/>
      </c>
      <c r="AW633" s="46">
        <f>AV633*IF(B633&gt;=in_marketplace_from,d_hz_shop*G633,0)</f>
        <v/>
      </c>
      <c r="AX633" s="14">
        <f>F633*AW633*in_shop_ticket*in_shop_comm*in_ins_partner_share+F633*in_shop_ticket*in_shop_renew_comm*in_ins_partner_share*(in_shop_renew^1*SUMIFS(AW607:AW655,B607:B655,B633-12)+in_shop_renew^2*SUMIFS(AW607:AW655,B607:B655,B633-24)+in_shop_renew^3*SUMIFS(AW607:AW655,B607:B655,B633-36)+in_shop_renew^4*SUMIFS(AW607:AW655,B607:B655,B633-48))</f>
        <v/>
      </c>
      <c r="AY633" s="40">
        <f>AY632*(1-IF(B632&gt;=in_marketplace_from,d_hz_sip*G632,0))</f>
        <v/>
      </c>
      <c r="AZ633" s="40">
        <f>AZ632*d_rho_sip+AY633*IF(B633&gt;=in_marketplace_from,d_hz_sip*G633,0)</f>
        <v/>
      </c>
      <c r="BA633" s="40">
        <f>d_rho_sip*(BA632+AZ632)</f>
        <v/>
      </c>
      <c r="BB633" s="14">
        <f>F633*in_sip_ticket*(BA633+0.5*AZ633)*in_sip_comm/12</f>
        <v/>
      </c>
      <c r="BC633" s="40">
        <f>BC632*(1-IF(B632&gt;=in_marketplace_from,d_hz_choti*G632,0))</f>
        <v/>
      </c>
      <c r="BD633" s="46">
        <f>BC633*IF(B633&gt;=in_marketplace_from,d_hz_choti*G633,0)</f>
        <v/>
      </c>
      <c r="BE633" s="14">
        <f>F633*SUMIFS(BD607:BD655,B607:B655,B633-in_choti_months)*in_choti_renew*in_choti_ticket</f>
        <v/>
      </c>
      <c r="BF633" s="40">
        <f>BF632*(1-IF(B632&gt;=in_marketplace_from,d_hz_nps*G632,0))</f>
        <v/>
      </c>
      <c r="BG633" s="14">
        <f>F633*BF633*IF(B633&gt;=in_marketplace_from,d_hz_nps*G633,0)*in_nps_ticket*in_nps_comm</f>
        <v/>
      </c>
      <c r="BH633" s="40">
        <f>BH632*(1-IF(B632&gt;=in_marketplace_from,d_hz_gold*G632,0))</f>
        <v/>
      </c>
      <c r="BI633" s="40">
        <f>BI632*d_rho_gold+BH633*IF(B633&gt;=in_marketplace_from,d_hz_gold*G633,0)</f>
        <v/>
      </c>
      <c r="BJ633" s="14">
        <f>F633*BI633*in_gold_ticket*in_gold_comm</f>
        <v/>
      </c>
      <c r="BK633" s="40">
        <f>BK632*(1-IF(B632&gt;=in_marketplace_from,d_hz_fd*G632,0))</f>
        <v/>
      </c>
      <c r="BL633" s="14">
        <f>F633*BK633*IF(B633&gt;=in_marketplace_from,d_hz_fd*G633,0)*in_fd_ticket*in_fd_comm</f>
        <v/>
      </c>
      <c r="BM633" s="40">
        <f>BM632*(1-IF(B632&gt;=in_marketplace_from,d_hz_recharge*G632,0))</f>
        <v/>
      </c>
      <c r="BN633" s="40">
        <f>BN632*d_rho_recharge+BM633*IF(B633&gt;=in_marketplace_from,d_hz_recharge*G633,0)</f>
        <v/>
      </c>
      <c r="BO633" s="14">
        <f>F633*BN633*in_recharge_ticket*in_recharge_comm/12</f>
        <v/>
      </c>
      <c r="BP633" s="40">
        <f>BP632*(1-IF(B632&gt;=in_marketplace_from,d_hz_bills*G632,0))</f>
        <v/>
      </c>
      <c r="BQ633" s="40">
        <f>BQ632*d_rho_bills+BP633*IF(B633&gt;=in_marketplace_from,d_hz_bills*G633,0)</f>
        <v/>
      </c>
      <c r="BR633" s="14">
        <f>F633*BQ633*in_bills_ticket*in_bills_comm/12</f>
        <v/>
      </c>
      <c r="BS633" s="40">
        <f>BS632*(1-IF(B632&gt;=in_marketplace_from,d_hz_loan_gold*G632,0))</f>
        <v/>
      </c>
      <c r="BT633" s="14">
        <f>F633*BS633*IF(B633&gt;=in_marketplace_from,d_hz_loan_gold*G633,0)*in_loan_gold_ticket*in_loan_gold_comm</f>
        <v/>
      </c>
      <c r="BU633" s="40">
        <f>BU632*(1-IF(B632&gt;=in_marketplace_from,d_hz_loan_cd*G632,0))</f>
        <v/>
      </c>
      <c r="BV633" s="14">
        <f>F633*BU633*IF(B633&gt;=in_marketplace_from,d_hz_loan_cd*G633,0)*in_loan_cd_ticket*in_loan_cd_comm</f>
        <v/>
      </c>
      <c r="BW633" s="40">
        <f>BW632*(1-IF(B632&gt;=in_marketplace_from,d_hz_loan_vehicle*G632,0))</f>
        <v/>
      </c>
      <c r="BX633" s="14">
        <f>F633*BW633*IF(B633&gt;=in_marketplace_from,d_hz_loan_vehicle*G633,0)*in_loan_vehicle_ticket*in_loan_vehicle_comm</f>
        <v/>
      </c>
      <c r="BY633" s="40">
        <f>BY632*(1-IF(B632&gt;=in_marketplace_from,d_hz_loan_home*G632,0)*BZ632)</f>
        <v/>
      </c>
      <c r="BZ633" s="11">
        <f>MIN(in_approval_cap,in_loan_home_approval*INDEX('Age profile'!$O$2:$O$61,B633)*(1+in_approval_growth)^(D633-1))</f>
        <v/>
      </c>
      <c r="CA633" s="14">
        <f>F633*BY633*IF(B633&gt;=in_marketplace_from,d_hz_loan_home*G633,0)*BZ633*in_loan_home_ticket*in_loan_home_comm</f>
        <v/>
      </c>
      <c r="CB633" s="40">
        <f>CB632*(1-IF(B632&gt;=in_marketplace_from,d_hz_loan_lap*G632,0)*CC632)</f>
        <v/>
      </c>
      <c r="CC633" s="11">
        <f>MIN(in_approval_cap,in_loan_lap_approval*INDEX('Age profile'!$O$2:$O$61,B633)*(1+in_approval_growth)^(D633-1))</f>
        <v/>
      </c>
      <c r="CD633" s="14">
        <f>F633*CB633*IF(B633&gt;=in_marketplace_from,d_hz_loan_lap*G633,0)*CC633*in_loan_lap_ticket*in_loan_lap_comm</f>
        <v/>
      </c>
      <c r="CE633" s="14">
        <f>AA633+AB633+AC633+AD633+AG633+AJ633+AM633+AP633+AS633+AU633+AX633+BB633+BE633+BG633+BJ633+BL633+BO633+BR633+BT633+BV633+BX633+CA633+CD633</f>
        <v/>
      </c>
    </row>
    <row r="634">
      <c r="A634" s="39" t="n">
        <v>12</v>
      </c>
      <c r="B634" s="39" t="n">
        <v>28</v>
      </c>
      <c r="C634" s="39">
        <f>A634+B634-1</f>
        <v/>
      </c>
      <c r="D634" s="39">
        <f>INT((C634-1)/12)+1</f>
        <v/>
      </c>
      <c r="E634" s="44">
        <f>INDEX(Monthly!$B$2:$B$61,A634)</f>
        <v/>
      </c>
      <c r="F634" s="44">
        <f>E634*INDEX('Age profile'!$B$2:$B$61,B634)</f>
        <v/>
      </c>
      <c r="G634" s="45">
        <f>MIN(in_takeup_cap,INDEX('Age profile'!$N$2:$N$61,B634)*(1+in_takeup_growth)^(D634-1))</f>
        <v/>
      </c>
      <c r="H634" s="11">
        <f>MIN(in_approval_cap,in_approved_first*INDEX('Age profile'!$O$2:$O$61,B634)*(1+in_approval_growth)^(D634-1))</f>
        <v/>
      </c>
      <c r="I634" s="45">
        <f>G634*MIN(in_takeup_cap,INDEX('Age profile'!$O$2:$O$61,B634)*(1+in_approval_growth)^(D634-1))</f>
        <v/>
      </c>
      <c r="J634" s="40">
        <f>(J633-L633)*F634/F633</f>
        <v/>
      </c>
      <c r="K634" s="40">
        <f>(K633-M633)*F634/F633+SUMIFS(O607:O633,B607:B633,B634-1-d_T)*F634</f>
        <v/>
      </c>
      <c r="L634" s="40">
        <f>IF(B634&gt;=in_marketplace_from,J634*d_hz*G634*in_eligible*H634,0)</f>
        <v/>
      </c>
      <c r="M634" s="40">
        <f>IF(B634&gt;=in_marketplace_from,K634*d_hz*G634*in_eligible*in_approved_repeat,0)</f>
        <v/>
      </c>
      <c r="N634" s="40">
        <f>L634+M634</f>
        <v/>
      </c>
      <c r="O634" s="46">
        <f>N634/F634</f>
        <v/>
      </c>
      <c r="P634" s="40">
        <f>F634-J634-K634</f>
        <v/>
      </c>
      <c r="Q634" s="40">
        <f>IF(B634&gt;=in_marketplace_from,(J634+K634)*d_hz*G634,0)</f>
        <v/>
      </c>
      <c r="R634" s="40">
        <f>SUMIFS(N607:N655,B607:B655,"&gt;="&amp;(B634-d_T),B607:B655,"&lt;="&amp;(B634-1))</f>
        <v/>
      </c>
      <c r="S634" s="46">
        <f>(1-d_u)*S633+IF(d_T&gt;in_topup_lag,SUMIFS(O607:O655,B607:B655,B634-in_topup_lag)-d_udrop*SUMIFS(O607:O655,B607:B655,B634-d_T),0)</f>
        <v/>
      </c>
      <c r="T634" s="40">
        <f>F634*d_u*S634</f>
        <v/>
      </c>
      <c r="U634" s="9">
        <f>L634*in_ticket+M634*d_rep_ticket</f>
        <v/>
      </c>
      <c r="V634" s="9">
        <f>U634+T634*d_topup_amt</f>
        <v/>
      </c>
      <c r="W634" s="40">
        <f>N634+T634*d_topup_ratio</f>
        <v/>
      </c>
      <c r="X634" s="40">
        <f>SUMIFS(W607:W655,B607:B655,B634-in_dpd_lag)*d_cured</f>
        <v/>
      </c>
      <c r="Y634" s="40">
        <f>SUMIFS(W607:W655,B607:B655,B634-in_rec_lag)*d_recd</f>
        <v/>
      </c>
      <c r="Z634" s="40">
        <f>IF(AND(B634&gt;=in_marketplace_from,B634&lt;in_marketplace_from+in_card_months),in_card_share/in_card_months*F634*I634,IF(AND(B634&gt;=in_marketplace_from+in_card_months,B634&lt;in_marketplace_from+2*in_card_months),in_card_share*d_card_rem/in_card_months*F634*MIN(in_takeup_cap,(1+in_takeup_growth)^(D634-1))*MIN(in_takeup_cap,(1+in_approval_growth)^(D634-1)),0))</f>
        <v/>
      </c>
      <c r="AA634" s="14">
        <f>V634*in_fee*(1-in_taken_back)</f>
        <v/>
      </c>
      <c r="AB634" s="14">
        <f>SUMIFS(W607:W655,B607:B655,B634-in_dpd_lag)*d_dpd</f>
        <v/>
      </c>
      <c r="AC634" s="14">
        <f>SUMIFS(W607:W655,B607:B655,B634-in_rec_lag)*d_rec</f>
        <v/>
      </c>
      <c r="AD634" s="14">
        <f>Z634*in_card_fee</f>
        <v/>
      </c>
      <c r="AE634" s="40">
        <f>AE633*(1-IF(B633&gt;=in_marketplace_from,d_hz_hlth_small*G633,0))</f>
        <v/>
      </c>
      <c r="AF634" s="46">
        <f>AE634*IF(B634&gt;=in_marketplace_from,d_hz_hlth_small*G634,0)</f>
        <v/>
      </c>
      <c r="AG634" s="14">
        <f>F634*AF634*in_hlth_small_ticket*in_hlth_small_comm*in_ins_partner_share+F634*in_hlth_small_ticket*in_hlth_small_renew_comm*in_ins_partner_share*(in_hlth_small_renew^1*SUMIFS(AF607:AF655,B607:B655,B634-12)+in_hlth_small_renew^2*SUMIFS(AF607:AF655,B607:B655,B634-24)+in_hlth_small_renew^3*SUMIFS(AF607:AF655,B607:B655,B634-36)+in_hlth_small_renew^4*SUMIFS(AF607:AF655,B607:B655,B634-48))</f>
        <v/>
      </c>
      <c r="AH634" s="40">
        <f>AH633*(1-IF(B633&gt;=in_marketplace_from,d_hz_hlth_family*G633,0))</f>
        <v/>
      </c>
      <c r="AI634" s="46">
        <f>AH634*IF(B634&gt;=in_marketplace_from,d_hz_hlth_family*G634,0)</f>
        <v/>
      </c>
      <c r="AJ634" s="14">
        <f>F634*AI634*in_hlth_family_ticket*in_hlth_family_comm*in_ins_partner_share+F634*in_hlth_family_ticket*in_hlth_family_renew_comm*in_ins_partner_share*(in_hlth_family_renew^1*SUMIFS(AI607:AI655,B607:B655,B634-12)+in_hlth_family_renew^2*SUMIFS(AI607:AI655,B607:B655,B634-24)+in_hlth_family_renew^3*SUMIFS(AI607:AI655,B607:B655,B634-36)+in_hlth_family_renew^4*SUMIFS(AI607:AI655,B607:B655,B634-48))</f>
        <v/>
      </c>
      <c r="AK634" s="40">
        <f>AK633*(1-IF(B633&gt;=in_marketplace_from,d_hz_life_term*G633,0))</f>
        <v/>
      </c>
      <c r="AL634" s="46">
        <f>AK634*IF(B634&gt;=in_marketplace_from,d_hz_life_term*G634,0)</f>
        <v/>
      </c>
      <c r="AM634" s="14">
        <f>F634*AL634*in_life_term_ticket*in_life_term_comm*in_ins_partner_share+F634*in_life_term_ticket*in_life_term_renew_comm*in_ins_partner_share*(in_life_term_renew^1*SUMIFS(AL607:AL655,B607:B655,B634-12)+in_life_term_renew^2*SUMIFS(AL607:AL655,B607:B655,B634-24)+in_life_term_renew^3*SUMIFS(AL607:AL655,B607:B655,B634-36)+in_life_term_renew^4*SUMIFS(AL607:AL655,B607:B655,B634-48))</f>
        <v/>
      </c>
      <c r="AN634" s="40">
        <f>AN633*(1-IF(B633&gt;=in_marketplace_from,d_hz_accident*G633,0))</f>
        <v/>
      </c>
      <c r="AO634" s="46">
        <f>AN634*IF(B634&gt;=in_marketplace_from,d_hz_accident*G634,0)</f>
        <v/>
      </c>
      <c r="AP634" s="14">
        <f>F634*AO634*in_accident_ticket*in_accident_comm*in_ins_partner_share+F634*in_accident_ticket*in_accident_renew_comm*in_ins_partner_share*(in_accident_renew^1*SUMIFS(AO607:AO655,B607:B655,B634-12)+in_accident_renew^2*SUMIFS(AO607:AO655,B607:B655,B634-24)+in_accident_renew^3*SUMIFS(AO607:AO655,B607:B655,B634-36)+in_accident_renew^4*SUMIFS(AO607:AO655,B607:B655,B634-48))</f>
        <v/>
      </c>
      <c r="AQ634" s="40">
        <f>AQ633*(1-IF(B633&gt;=in_marketplace_from,d_hz_two_wheeler*G633,0))</f>
        <v/>
      </c>
      <c r="AR634" s="46">
        <f>AQ634*IF(B634&gt;=in_marketplace_from,d_hz_two_wheeler*G634,0)</f>
        <v/>
      </c>
      <c r="AS634" s="14">
        <f>F634*AR634*in_two_wheeler_ticket*in_two_wheeler_comm*in_ins_partner_share+F634*in_two_wheeler_ticket*in_two_wheeler_comm*in_ins_partner_share*(in_two_wheeler_renew^1*SUMIFS(AR607:AR655,B607:B655,B634-12)+in_two_wheeler_renew^2*SUMIFS(AR607:AR655,B607:B655,B634-24)+in_two_wheeler_renew^3*SUMIFS(AR607:AR655,B607:B655,B634-36)+in_two_wheeler_renew^4*SUMIFS(AR607:AR655,B607:B655,B634-48))</f>
        <v/>
      </c>
      <c r="AT634" s="40">
        <f>AT633*(1-IF(B633&gt;=in_marketplace_from,d_hz_device*G633,0))</f>
        <v/>
      </c>
      <c r="AU634" s="14">
        <f>F634*AT634*IF(B634&gt;=in_marketplace_from,d_hz_device*G634,0)*in_device_ticket*in_device_comm*in_ins_partner_share</f>
        <v/>
      </c>
      <c r="AV634" s="40">
        <f>AV633*(1-IF(B633&gt;=in_marketplace_from,d_hz_shop*G633,0))</f>
        <v/>
      </c>
      <c r="AW634" s="46">
        <f>AV634*IF(B634&gt;=in_marketplace_from,d_hz_shop*G634,0)</f>
        <v/>
      </c>
      <c r="AX634" s="14">
        <f>F634*AW634*in_shop_ticket*in_shop_comm*in_ins_partner_share+F634*in_shop_ticket*in_shop_renew_comm*in_ins_partner_share*(in_shop_renew^1*SUMIFS(AW607:AW655,B607:B655,B634-12)+in_shop_renew^2*SUMIFS(AW607:AW655,B607:B655,B634-24)+in_shop_renew^3*SUMIFS(AW607:AW655,B607:B655,B634-36)+in_shop_renew^4*SUMIFS(AW607:AW655,B607:B655,B634-48))</f>
        <v/>
      </c>
      <c r="AY634" s="40">
        <f>AY633*(1-IF(B633&gt;=in_marketplace_from,d_hz_sip*G633,0))</f>
        <v/>
      </c>
      <c r="AZ634" s="40">
        <f>AZ633*d_rho_sip+AY634*IF(B634&gt;=in_marketplace_from,d_hz_sip*G634,0)</f>
        <v/>
      </c>
      <c r="BA634" s="40">
        <f>d_rho_sip*(BA633+AZ633)</f>
        <v/>
      </c>
      <c r="BB634" s="14">
        <f>F634*in_sip_ticket*(BA634+0.5*AZ634)*in_sip_comm/12</f>
        <v/>
      </c>
      <c r="BC634" s="40">
        <f>BC633*(1-IF(B633&gt;=in_marketplace_from,d_hz_choti*G633,0))</f>
        <v/>
      </c>
      <c r="BD634" s="46">
        <f>BC634*IF(B634&gt;=in_marketplace_from,d_hz_choti*G634,0)</f>
        <v/>
      </c>
      <c r="BE634" s="14">
        <f>F634*SUMIFS(BD607:BD655,B607:B655,B634-in_choti_months)*in_choti_renew*in_choti_ticket</f>
        <v/>
      </c>
      <c r="BF634" s="40">
        <f>BF633*(1-IF(B633&gt;=in_marketplace_from,d_hz_nps*G633,0))</f>
        <v/>
      </c>
      <c r="BG634" s="14">
        <f>F634*BF634*IF(B634&gt;=in_marketplace_from,d_hz_nps*G634,0)*in_nps_ticket*in_nps_comm</f>
        <v/>
      </c>
      <c r="BH634" s="40">
        <f>BH633*(1-IF(B633&gt;=in_marketplace_from,d_hz_gold*G633,0))</f>
        <v/>
      </c>
      <c r="BI634" s="40">
        <f>BI633*d_rho_gold+BH634*IF(B634&gt;=in_marketplace_from,d_hz_gold*G634,0)</f>
        <v/>
      </c>
      <c r="BJ634" s="14">
        <f>F634*BI634*in_gold_ticket*in_gold_comm</f>
        <v/>
      </c>
      <c r="BK634" s="40">
        <f>BK633*(1-IF(B633&gt;=in_marketplace_from,d_hz_fd*G633,0))</f>
        <v/>
      </c>
      <c r="BL634" s="14">
        <f>F634*BK634*IF(B634&gt;=in_marketplace_from,d_hz_fd*G634,0)*in_fd_ticket*in_fd_comm</f>
        <v/>
      </c>
      <c r="BM634" s="40">
        <f>BM633*(1-IF(B633&gt;=in_marketplace_from,d_hz_recharge*G633,0))</f>
        <v/>
      </c>
      <c r="BN634" s="40">
        <f>BN633*d_rho_recharge+BM634*IF(B634&gt;=in_marketplace_from,d_hz_recharge*G634,0)</f>
        <v/>
      </c>
      <c r="BO634" s="14">
        <f>F634*BN634*in_recharge_ticket*in_recharge_comm/12</f>
        <v/>
      </c>
      <c r="BP634" s="40">
        <f>BP633*(1-IF(B633&gt;=in_marketplace_from,d_hz_bills*G633,0))</f>
        <v/>
      </c>
      <c r="BQ634" s="40">
        <f>BQ633*d_rho_bills+BP634*IF(B634&gt;=in_marketplace_from,d_hz_bills*G634,0)</f>
        <v/>
      </c>
      <c r="BR634" s="14">
        <f>F634*BQ634*in_bills_ticket*in_bills_comm/12</f>
        <v/>
      </c>
      <c r="BS634" s="40">
        <f>BS633*(1-IF(B633&gt;=in_marketplace_from,d_hz_loan_gold*G633,0))</f>
        <v/>
      </c>
      <c r="BT634" s="14">
        <f>F634*BS634*IF(B634&gt;=in_marketplace_from,d_hz_loan_gold*G634,0)*in_loan_gold_ticket*in_loan_gold_comm</f>
        <v/>
      </c>
      <c r="BU634" s="40">
        <f>BU633*(1-IF(B633&gt;=in_marketplace_from,d_hz_loan_cd*G633,0))</f>
        <v/>
      </c>
      <c r="BV634" s="14">
        <f>F634*BU634*IF(B634&gt;=in_marketplace_from,d_hz_loan_cd*G634,0)*in_loan_cd_ticket*in_loan_cd_comm</f>
        <v/>
      </c>
      <c r="BW634" s="40">
        <f>BW633*(1-IF(B633&gt;=in_marketplace_from,d_hz_loan_vehicle*G633,0))</f>
        <v/>
      </c>
      <c r="BX634" s="14">
        <f>F634*BW634*IF(B634&gt;=in_marketplace_from,d_hz_loan_vehicle*G634,0)*in_loan_vehicle_ticket*in_loan_vehicle_comm</f>
        <v/>
      </c>
      <c r="BY634" s="40">
        <f>BY633*(1-IF(B633&gt;=in_marketplace_from,d_hz_loan_home*G633,0)*BZ633)</f>
        <v/>
      </c>
      <c r="BZ634" s="11">
        <f>MIN(in_approval_cap,in_loan_home_approval*INDEX('Age profile'!$O$2:$O$61,B634)*(1+in_approval_growth)^(D634-1))</f>
        <v/>
      </c>
      <c r="CA634" s="14">
        <f>F634*BY634*IF(B634&gt;=in_marketplace_from,d_hz_loan_home*G634,0)*BZ634*in_loan_home_ticket*in_loan_home_comm</f>
        <v/>
      </c>
      <c r="CB634" s="40">
        <f>CB633*(1-IF(B633&gt;=in_marketplace_from,d_hz_loan_lap*G633,0)*CC633)</f>
        <v/>
      </c>
      <c r="CC634" s="11">
        <f>MIN(in_approval_cap,in_loan_lap_approval*INDEX('Age profile'!$O$2:$O$61,B634)*(1+in_approval_growth)^(D634-1))</f>
        <v/>
      </c>
      <c r="CD634" s="14">
        <f>F634*CB634*IF(B634&gt;=in_marketplace_from,d_hz_loan_lap*G634,0)*CC634*in_loan_lap_ticket*in_loan_lap_comm</f>
        <v/>
      </c>
      <c r="CE634" s="14">
        <f>AA634+AB634+AC634+AD634+AG634+AJ634+AM634+AP634+AS634+AU634+AX634+BB634+BE634+BG634+BJ634+BL634+BO634+BR634+BT634+BV634+BX634+CA634+CD634</f>
        <v/>
      </c>
    </row>
    <row r="635">
      <c r="A635" s="39" t="n">
        <v>12</v>
      </c>
      <c r="B635" s="39" t="n">
        <v>29</v>
      </c>
      <c r="C635" s="39">
        <f>A635+B635-1</f>
        <v/>
      </c>
      <c r="D635" s="39">
        <f>INT((C635-1)/12)+1</f>
        <v/>
      </c>
      <c r="E635" s="44">
        <f>INDEX(Monthly!$B$2:$B$61,A635)</f>
        <v/>
      </c>
      <c r="F635" s="44">
        <f>E635*INDEX('Age profile'!$B$2:$B$61,B635)</f>
        <v/>
      </c>
      <c r="G635" s="45">
        <f>MIN(in_takeup_cap,INDEX('Age profile'!$N$2:$N$61,B635)*(1+in_takeup_growth)^(D635-1))</f>
        <v/>
      </c>
      <c r="H635" s="11">
        <f>MIN(in_approval_cap,in_approved_first*INDEX('Age profile'!$O$2:$O$61,B635)*(1+in_approval_growth)^(D635-1))</f>
        <v/>
      </c>
      <c r="I635" s="45">
        <f>G635*MIN(in_takeup_cap,INDEX('Age profile'!$O$2:$O$61,B635)*(1+in_approval_growth)^(D635-1))</f>
        <v/>
      </c>
      <c r="J635" s="40">
        <f>(J634-L634)*F635/F634</f>
        <v/>
      </c>
      <c r="K635" s="40">
        <f>(K634-M634)*F635/F634+SUMIFS(O607:O634,B607:B634,B635-1-d_T)*F635</f>
        <v/>
      </c>
      <c r="L635" s="40">
        <f>IF(B635&gt;=in_marketplace_from,J635*d_hz*G635*in_eligible*H635,0)</f>
        <v/>
      </c>
      <c r="M635" s="40">
        <f>IF(B635&gt;=in_marketplace_from,K635*d_hz*G635*in_eligible*in_approved_repeat,0)</f>
        <v/>
      </c>
      <c r="N635" s="40">
        <f>L635+M635</f>
        <v/>
      </c>
      <c r="O635" s="46">
        <f>N635/F635</f>
        <v/>
      </c>
      <c r="P635" s="40">
        <f>F635-J635-K635</f>
        <v/>
      </c>
      <c r="Q635" s="40">
        <f>IF(B635&gt;=in_marketplace_from,(J635+K635)*d_hz*G635,0)</f>
        <v/>
      </c>
      <c r="R635" s="40">
        <f>SUMIFS(N607:N655,B607:B655,"&gt;="&amp;(B635-d_T),B607:B655,"&lt;="&amp;(B635-1))</f>
        <v/>
      </c>
      <c r="S635" s="46">
        <f>(1-d_u)*S634+IF(d_T&gt;in_topup_lag,SUMIFS(O607:O655,B607:B655,B635-in_topup_lag)-d_udrop*SUMIFS(O607:O655,B607:B655,B635-d_T),0)</f>
        <v/>
      </c>
      <c r="T635" s="40">
        <f>F635*d_u*S635</f>
        <v/>
      </c>
      <c r="U635" s="9">
        <f>L635*in_ticket+M635*d_rep_ticket</f>
        <v/>
      </c>
      <c r="V635" s="9">
        <f>U635+T635*d_topup_amt</f>
        <v/>
      </c>
      <c r="W635" s="40">
        <f>N635+T635*d_topup_ratio</f>
        <v/>
      </c>
      <c r="X635" s="40">
        <f>SUMIFS(W607:W655,B607:B655,B635-in_dpd_lag)*d_cured</f>
        <v/>
      </c>
      <c r="Y635" s="40">
        <f>SUMIFS(W607:W655,B607:B655,B635-in_rec_lag)*d_recd</f>
        <v/>
      </c>
      <c r="Z635" s="40">
        <f>IF(AND(B635&gt;=in_marketplace_from,B635&lt;in_marketplace_from+in_card_months),in_card_share/in_card_months*F635*I635,IF(AND(B635&gt;=in_marketplace_from+in_card_months,B635&lt;in_marketplace_from+2*in_card_months),in_card_share*d_card_rem/in_card_months*F635*MIN(in_takeup_cap,(1+in_takeup_growth)^(D635-1))*MIN(in_takeup_cap,(1+in_approval_growth)^(D635-1)),0))</f>
        <v/>
      </c>
      <c r="AA635" s="14">
        <f>V635*in_fee*(1-in_taken_back)</f>
        <v/>
      </c>
      <c r="AB635" s="14">
        <f>SUMIFS(W607:W655,B607:B655,B635-in_dpd_lag)*d_dpd</f>
        <v/>
      </c>
      <c r="AC635" s="14">
        <f>SUMIFS(W607:W655,B607:B655,B635-in_rec_lag)*d_rec</f>
        <v/>
      </c>
      <c r="AD635" s="14">
        <f>Z635*in_card_fee</f>
        <v/>
      </c>
      <c r="AE635" s="40">
        <f>AE634*(1-IF(B634&gt;=in_marketplace_from,d_hz_hlth_small*G634,0))</f>
        <v/>
      </c>
      <c r="AF635" s="46">
        <f>AE635*IF(B635&gt;=in_marketplace_from,d_hz_hlth_small*G635,0)</f>
        <v/>
      </c>
      <c r="AG635" s="14">
        <f>F635*AF635*in_hlth_small_ticket*in_hlth_small_comm*in_ins_partner_share+F635*in_hlth_small_ticket*in_hlth_small_renew_comm*in_ins_partner_share*(in_hlth_small_renew^1*SUMIFS(AF607:AF655,B607:B655,B635-12)+in_hlth_small_renew^2*SUMIFS(AF607:AF655,B607:B655,B635-24)+in_hlth_small_renew^3*SUMIFS(AF607:AF655,B607:B655,B635-36)+in_hlth_small_renew^4*SUMIFS(AF607:AF655,B607:B655,B635-48))</f>
        <v/>
      </c>
      <c r="AH635" s="40">
        <f>AH634*(1-IF(B634&gt;=in_marketplace_from,d_hz_hlth_family*G634,0))</f>
        <v/>
      </c>
      <c r="AI635" s="46">
        <f>AH635*IF(B635&gt;=in_marketplace_from,d_hz_hlth_family*G635,0)</f>
        <v/>
      </c>
      <c r="AJ635" s="14">
        <f>F635*AI635*in_hlth_family_ticket*in_hlth_family_comm*in_ins_partner_share+F635*in_hlth_family_ticket*in_hlth_family_renew_comm*in_ins_partner_share*(in_hlth_family_renew^1*SUMIFS(AI607:AI655,B607:B655,B635-12)+in_hlth_family_renew^2*SUMIFS(AI607:AI655,B607:B655,B635-24)+in_hlth_family_renew^3*SUMIFS(AI607:AI655,B607:B655,B635-36)+in_hlth_family_renew^4*SUMIFS(AI607:AI655,B607:B655,B635-48))</f>
        <v/>
      </c>
      <c r="AK635" s="40">
        <f>AK634*(1-IF(B634&gt;=in_marketplace_from,d_hz_life_term*G634,0))</f>
        <v/>
      </c>
      <c r="AL635" s="46">
        <f>AK635*IF(B635&gt;=in_marketplace_from,d_hz_life_term*G635,0)</f>
        <v/>
      </c>
      <c r="AM635" s="14">
        <f>F635*AL635*in_life_term_ticket*in_life_term_comm*in_ins_partner_share+F635*in_life_term_ticket*in_life_term_renew_comm*in_ins_partner_share*(in_life_term_renew^1*SUMIFS(AL607:AL655,B607:B655,B635-12)+in_life_term_renew^2*SUMIFS(AL607:AL655,B607:B655,B635-24)+in_life_term_renew^3*SUMIFS(AL607:AL655,B607:B655,B635-36)+in_life_term_renew^4*SUMIFS(AL607:AL655,B607:B655,B635-48))</f>
        <v/>
      </c>
      <c r="AN635" s="40">
        <f>AN634*(1-IF(B634&gt;=in_marketplace_from,d_hz_accident*G634,0))</f>
        <v/>
      </c>
      <c r="AO635" s="46">
        <f>AN635*IF(B635&gt;=in_marketplace_from,d_hz_accident*G635,0)</f>
        <v/>
      </c>
      <c r="AP635" s="14">
        <f>F635*AO635*in_accident_ticket*in_accident_comm*in_ins_partner_share+F635*in_accident_ticket*in_accident_renew_comm*in_ins_partner_share*(in_accident_renew^1*SUMIFS(AO607:AO655,B607:B655,B635-12)+in_accident_renew^2*SUMIFS(AO607:AO655,B607:B655,B635-24)+in_accident_renew^3*SUMIFS(AO607:AO655,B607:B655,B635-36)+in_accident_renew^4*SUMIFS(AO607:AO655,B607:B655,B635-48))</f>
        <v/>
      </c>
      <c r="AQ635" s="40">
        <f>AQ634*(1-IF(B634&gt;=in_marketplace_from,d_hz_two_wheeler*G634,0))</f>
        <v/>
      </c>
      <c r="AR635" s="46">
        <f>AQ635*IF(B635&gt;=in_marketplace_from,d_hz_two_wheeler*G635,0)</f>
        <v/>
      </c>
      <c r="AS635" s="14">
        <f>F635*AR635*in_two_wheeler_ticket*in_two_wheeler_comm*in_ins_partner_share+F635*in_two_wheeler_ticket*in_two_wheeler_comm*in_ins_partner_share*(in_two_wheeler_renew^1*SUMIFS(AR607:AR655,B607:B655,B635-12)+in_two_wheeler_renew^2*SUMIFS(AR607:AR655,B607:B655,B635-24)+in_two_wheeler_renew^3*SUMIFS(AR607:AR655,B607:B655,B635-36)+in_two_wheeler_renew^4*SUMIFS(AR607:AR655,B607:B655,B635-48))</f>
        <v/>
      </c>
      <c r="AT635" s="40">
        <f>AT634*(1-IF(B634&gt;=in_marketplace_from,d_hz_device*G634,0))</f>
        <v/>
      </c>
      <c r="AU635" s="14">
        <f>F635*AT635*IF(B635&gt;=in_marketplace_from,d_hz_device*G635,0)*in_device_ticket*in_device_comm*in_ins_partner_share</f>
        <v/>
      </c>
      <c r="AV635" s="40">
        <f>AV634*(1-IF(B634&gt;=in_marketplace_from,d_hz_shop*G634,0))</f>
        <v/>
      </c>
      <c r="AW635" s="46">
        <f>AV635*IF(B635&gt;=in_marketplace_from,d_hz_shop*G635,0)</f>
        <v/>
      </c>
      <c r="AX635" s="14">
        <f>F635*AW635*in_shop_ticket*in_shop_comm*in_ins_partner_share+F635*in_shop_ticket*in_shop_renew_comm*in_ins_partner_share*(in_shop_renew^1*SUMIFS(AW607:AW655,B607:B655,B635-12)+in_shop_renew^2*SUMIFS(AW607:AW655,B607:B655,B635-24)+in_shop_renew^3*SUMIFS(AW607:AW655,B607:B655,B635-36)+in_shop_renew^4*SUMIFS(AW607:AW655,B607:B655,B635-48))</f>
        <v/>
      </c>
      <c r="AY635" s="40">
        <f>AY634*(1-IF(B634&gt;=in_marketplace_from,d_hz_sip*G634,0))</f>
        <v/>
      </c>
      <c r="AZ635" s="40">
        <f>AZ634*d_rho_sip+AY635*IF(B635&gt;=in_marketplace_from,d_hz_sip*G635,0)</f>
        <v/>
      </c>
      <c r="BA635" s="40">
        <f>d_rho_sip*(BA634+AZ634)</f>
        <v/>
      </c>
      <c r="BB635" s="14">
        <f>F635*in_sip_ticket*(BA635+0.5*AZ635)*in_sip_comm/12</f>
        <v/>
      </c>
      <c r="BC635" s="40">
        <f>BC634*(1-IF(B634&gt;=in_marketplace_from,d_hz_choti*G634,0))</f>
        <v/>
      </c>
      <c r="BD635" s="46">
        <f>BC635*IF(B635&gt;=in_marketplace_from,d_hz_choti*G635,0)</f>
        <v/>
      </c>
      <c r="BE635" s="14">
        <f>F635*SUMIFS(BD607:BD655,B607:B655,B635-in_choti_months)*in_choti_renew*in_choti_ticket</f>
        <v/>
      </c>
      <c r="BF635" s="40">
        <f>BF634*(1-IF(B634&gt;=in_marketplace_from,d_hz_nps*G634,0))</f>
        <v/>
      </c>
      <c r="BG635" s="14">
        <f>F635*BF635*IF(B635&gt;=in_marketplace_from,d_hz_nps*G635,0)*in_nps_ticket*in_nps_comm</f>
        <v/>
      </c>
      <c r="BH635" s="40">
        <f>BH634*(1-IF(B634&gt;=in_marketplace_from,d_hz_gold*G634,0))</f>
        <v/>
      </c>
      <c r="BI635" s="40">
        <f>BI634*d_rho_gold+BH635*IF(B635&gt;=in_marketplace_from,d_hz_gold*G635,0)</f>
        <v/>
      </c>
      <c r="BJ635" s="14">
        <f>F635*BI635*in_gold_ticket*in_gold_comm</f>
        <v/>
      </c>
      <c r="BK635" s="40">
        <f>BK634*(1-IF(B634&gt;=in_marketplace_from,d_hz_fd*G634,0))</f>
        <v/>
      </c>
      <c r="BL635" s="14">
        <f>F635*BK635*IF(B635&gt;=in_marketplace_from,d_hz_fd*G635,0)*in_fd_ticket*in_fd_comm</f>
        <v/>
      </c>
      <c r="BM635" s="40">
        <f>BM634*(1-IF(B634&gt;=in_marketplace_from,d_hz_recharge*G634,0))</f>
        <v/>
      </c>
      <c r="BN635" s="40">
        <f>BN634*d_rho_recharge+BM635*IF(B635&gt;=in_marketplace_from,d_hz_recharge*G635,0)</f>
        <v/>
      </c>
      <c r="BO635" s="14">
        <f>F635*BN635*in_recharge_ticket*in_recharge_comm/12</f>
        <v/>
      </c>
      <c r="BP635" s="40">
        <f>BP634*(1-IF(B634&gt;=in_marketplace_from,d_hz_bills*G634,0))</f>
        <v/>
      </c>
      <c r="BQ635" s="40">
        <f>BQ634*d_rho_bills+BP635*IF(B635&gt;=in_marketplace_from,d_hz_bills*G635,0)</f>
        <v/>
      </c>
      <c r="BR635" s="14">
        <f>F635*BQ635*in_bills_ticket*in_bills_comm/12</f>
        <v/>
      </c>
      <c r="BS635" s="40">
        <f>BS634*(1-IF(B634&gt;=in_marketplace_from,d_hz_loan_gold*G634,0))</f>
        <v/>
      </c>
      <c r="BT635" s="14">
        <f>F635*BS635*IF(B635&gt;=in_marketplace_from,d_hz_loan_gold*G635,0)*in_loan_gold_ticket*in_loan_gold_comm</f>
        <v/>
      </c>
      <c r="BU635" s="40">
        <f>BU634*(1-IF(B634&gt;=in_marketplace_from,d_hz_loan_cd*G634,0))</f>
        <v/>
      </c>
      <c r="BV635" s="14">
        <f>F635*BU635*IF(B635&gt;=in_marketplace_from,d_hz_loan_cd*G635,0)*in_loan_cd_ticket*in_loan_cd_comm</f>
        <v/>
      </c>
      <c r="BW635" s="40">
        <f>BW634*(1-IF(B634&gt;=in_marketplace_from,d_hz_loan_vehicle*G634,0))</f>
        <v/>
      </c>
      <c r="BX635" s="14">
        <f>F635*BW635*IF(B635&gt;=in_marketplace_from,d_hz_loan_vehicle*G635,0)*in_loan_vehicle_ticket*in_loan_vehicle_comm</f>
        <v/>
      </c>
      <c r="BY635" s="40">
        <f>BY634*(1-IF(B634&gt;=in_marketplace_from,d_hz_loan_home*G634,0)*BZ634)</f>
        <v/>
      </c>
      <c r="BZ635" s="11">
        <f>MIN(in_approval_cap,in_loan_home_approval*INDEX('Age profile'!$O$2:$O$61,B635)*(1+in_approval_growth)^(D635-1))</f>
        <v/>
      </c>
      <c r="CA635" s="14">
        <f>F635*BY635*IF(B635&gt;=in_marketplace_from,d_hz_loan_home*G635,0)*BZ635*in_loan_home_ticket*in_loan_home_comm</f>
        <v/>
      </c>
      <c r="CB635" s="40">
        <f>CB634*(1-IF(B634&gt;=in_marketplace_from,d_hz_loan_lap*G634,0)*CC634)</f>
        <v/>
      </c>
      <c r="CC635" s="11">
        <f>MIN(in_approval_cap,in_loan_lap_approval*INDEX('Age profile'!$O$2:$O$61,B635)*(1+in_approval_growth)^(D635-1))</f>
        <v/>
      </c>
      <c r="CD635" s="14">
        <f>F635*CB635*IF(B635&gt;=in_marketplace_from,d_hz_loan_lap*G635,0)*CC635*in_loan_lap_ticket*in_loan_lap_comm</f>
        <v/>
      </c>
      <c r="CE635" s="14">
        <f>AA635+AB635+AC635+AD635+AG635+AJ635+AM635+AP635+AS635+AU635+AX635+BB635+BE635+BG635+BJ635+BL635+BO635+BR635+BT635+BV635+BX635+CA635+CD635</f>
        <v/>
      </c>
    </row>
    <row r="636">
      <c r="A636" s="39" t="n">
        <v>12</v>
      </c>
      <c r="B636" s="39" t="n">
        <v>30</v>
      </c>
      <c r="C636" s="39">
        <f>A636+B636-1</f>
        <v/>
      </c>
      <c r="D636" s="39">
        <f>INT((C636-1)/12)+1</f>
        <v/>
      </c>
      <c r="E636" s="44">
        <f>INDEX(Monthly!$B$2:$B$61,A636)</f>
        <v/>
      </c>
      <c r="F636" s="44">
        <f>E636*INDEX('Age profile'!$B$2:$B$61,B636)</f>
        <v/>
      </c>
      <c r="G636" s="45">
        <f>MIN(in_takeup_cap,INDEX('Age profile'!$N$2:$N$61,B636)*(1+in_takeup_growth)^(D636-1))</f>
        <v/>
      </c>
      <c r="H636" s="11">
        <f>MIN(in_approval_cap,in_approved_first*INDEX('Age profile'!$O$2:$O$61,B636)*(1+in_approval_growth)^(D636-1))</f>
        <v/>
      </c>
      <c r="I636" s="45">
        <f>G636*MIN(in_takeup_cap,INDEX('Age profile'!$O$2:$O$61,B636)*(1+in_approval_growth)^(D636-1))</f>
        <v/>
      </c>
      <c r="J636" s="40">
        <f>(J635-L635)*F636/F635</f>
        <v/>
      </c>
      <c r="K636" s="40">
        <f>(K635-M635)*F636/F635+SUMIFS(O607:O635,B607:B635,B636-1-d_T)*F636</f>
        <v/>
      </c>
      <c r="L636" s="40">
        <f>IF(B636&gt;=in_marketplace_from,J636*d_hz*G636*in_eligible*H636,0)</f>
        <v/>
      </c>
      <c r="M636" s="40">
        <f>IF(B636&gt;=in_marketplace_from,K636*d_hz*G636*in_eligible*in_approved_repeat,0)</f>
        <v/>
      </c>
      <c r="N636" s="40">
        <f>L636+M636</f>
        <v/>
      </c>
      <c r="O636" s="46">
        <f>N636/F636</f>
        <v/>
      </c>
      <c r="P636" s="40">
        <f>F636-J636-K636</f>
        <v/>
      </c>
      <c r="Q636" s="40">
        <f>IF(B636&gt;=in_marketplace_from,(J636+K636)*d_hz*G636,0)</f>
        <v/>
      </c>
      <c r="R636" s="40">
        <f>SUMIFS(N607:N655,B607:B655,"&gt;="&amp;(B636-d_T),B607:B655,"&lt;="&amp;(B636-1))</f>
        <v/>
      </c>
      <c r="S636" s="46">
        <f>(1-d_u)*S635+IF(d_T&gt;in_topup_lag,SUMIFS(O607:O655,B607:B655,B636-in_topup_lag)-d_udrop*SUMIFS(O607:O655,B607:B655,B636-d_T),0)</f>
        <v/>
      </c>
      <c r="T636" s="40">
        <f>F636*d_u*S636</f>
        <v/>
      </c>
      <c r="U636" s="9">
        <f>L636*in_ticket+M636*d_rep_ticket</f>
        <v/>
      </c>
      <c r="V636" s="9">
        <f>U636+T636*d_topup_amt</f>
        <v/>
      </c>
      <c r="W636" s="40">
        <f>N636+T636*d_topup_ratio</f>
        <v/>
      </c>
      <c r="X636" s="40">
        <f>SUMIFS(W607:W655,B607:B655,B636-in_dpd_lag)*d_cured</f>
        <v/>
      </c>
      <c r="Y636" s="40">
        <f>SUMIFS(W607:W655,B607:B655,B636-in_rec_lag)*d_recd</f>
        <v/>
      </c>
      <c r="Z636" s="40">
        <f>IF(AND(B636&gt;=in_marketplace_from,B636&lt;in_marketplace_from+in_card_months),in_card_share/in_card_months*F636*I636,IF(AND(B636&gt;=in_marketplace_from+in_card_months,B636&lt;in_marketplace_from+2*in_card_months),in_card_share*d_card_rem/in_card_months*F636*MIN(in_takeup_cap,(1+in_takeup_growth)^(D636-1))*MIN(in_takeup_cap,(1+in_approval_growth)^(D636-1)),0))</f>
        <v/>
      </c>
      <c r="AA636" s="14">
        <f>V636*in_fee*(1-in_taken_back)</f>
        <v/>
      </c>
      <c r="AB636" s="14">
        <f>SUMIFS(W607:W655,B607:B655,B636-in_dpd_lag)*d_dpd</f>
        <v/>
      </c>
      <c r="AC636" s="14">
        <f>SUMIFS(W607:W655,B607:B655,B636-in_rec_lag)*d_rec</f>
        <v/>
      </c>
      <c r="AD636" s="14">
        <f>Z636*in_card_fee</f>
        <v/>
      </c>
      <c r="AE636" s="40">
        <f>AE635*(1-IF(B635&gt;=in_marketplace_from,d_hz_hlth_small*G635,0))</f>
        <v/>
      </c>
      <c r="AF636" s="46">
        <f>AE636*IF(B636&gt;=in_marketplace_from,d_hz_hlth_small*G636,0)</f>
        <v/>
      </c>
      <c r="AG636" s="14">
        <f>F636*AF636*in_hlth_small_ticket*in_hlth_small_comm*in_ins_partner_share+F636*in_hlth_small_ticket*in_hlth_small_renew_comm*in_ins_partner_share*(in_hlth_small_renew^1*SUMIFS(AF607:AF655,B607:B655,B636-12)+in_hlth_small_renew^2*SUMIFS(AF607:AF655,B607:B655,B636-24)+in_hlth_small_renew^3*SUMIFS(AF607:AF655,B607:B655,B636-36)+in_hlth_small_renew^4*SUMIFS(AF607:AF655,B607:B655,B636-48))</f>
        <v/>
      </c>
      <c r="AH636" s="40">
        <f>AH635*(1-IF(B635&gt;=in_marketplace_from,d_hz_hlth_family*G635,0))</f>
        <v/>
      </c>
      <c r="AI636" s="46">
        <f>AH636*IF(B636&gt;=in_marketplace_from,d_hz_hlth_family*G636,0)</f>
        <v/>
      </c>
      <c r="AJ636" s="14">
        <f>F636*AI636*in_hlth_family_ticket*in_hlth_family_comm*in_ins_partner_share+F636*in_hlth_family_ticket*in_hlth_family_renew_comm*in_ins_partner_share*(in_hlth_family_renew^1*SUMIFS(AI607:AI655,B607:B655,B636-12)+in_hlth_family_renew^2*SUMIFS(AI607:AI655,B607:B655,B636-24)+in_hlth_family_renew^3*SUMIFS(AI607:AI655,B607:B655,B636-36)+in_hlth_family_renew^4*SUMIFS(AI607:AI655,B607:B655,B636-48))</f>
        <v/>
      </c>
      <c r="AK636" s="40">
        <f>AK635*(1-IF(B635&gt;=in_marketplace_from,d_hz_life_term*G635,0))</f>
        <v/>
      </c>
      <c r="AL636" s="46">
        <f>AK636*IF(B636&gt;=in_marketplace_from,d_hz_life_term*G636,0)</f>
        <v/>
      </c>
      <c r="AM636" s="14">
        <f>F636*AL636*in_life_term_ticket*in_life_term_comm*in_ins_partner_share+F636*in_life_term_ticket*in_life_term_renew_comm*in_ins_partner_share*(in_life_term_renew^1*SUMIFS(AL607:AL655,B607:B655,B636-12)+in_life_term_renew^2*SUMIFS(AL607:AL655,B607:B655,B636-24)+in_life_term_renew^3*SUMIFS(AL607:AL655,B607:B655,B636-36)+in_life_term_renew^4*SUMIFS(AL607:AL655,B607:B655,B636-48))</f>
        <v/>
      </c>
      <c r="AN636" s="40">
        <f>AN635*(1-IF(B635&gt;=in_marketplace_from,d_hz_accident*G635,0))</f>
        <v/>
      </c>
      <c r="AO636" s="46">
        <f>AN636*IF(B636&gt;=in_marketplace_from,d_hz_accident*G636,0)</f>
        <v/>
      </c>
      <c r="AP636" s="14">
        <f>F636*AO636*in_accident_ticket*in_accident_comm*in_ins_partner_share+F636*in_accident_ticket*in_accident_renew_comm*in_ins_partner_share*(in_accident_renew^1*SUMIFS(AO607:AO655,B607:B655,B636-12)+in_accident_renew^2*SUMIFS(AO607:AO655,B607:B655,B636-24)+in_accident_renew^3*SUMIFS(AO607:AO655,B607:B655,B636-36)+in_accident_renew^4*SUMIFS(AO607:AO655,B607:B655,B636-48))</f>
        <v/>
      </c>
      <c r="AQ636" s="40">
        <f>AQ635*(1-IF(B635&gt;=in_marketplace_from,d_hz_two_wheeler*G635,0))</f>
        <v/>
      </c>
      <c r="AR636" s="46">
        <f>AQ636*IF(B636&gt;=in_marketplace_from,d_hz_two_wheeler*G636,0)</f>
        <v/>
      </c>
      <c r="AS636" s="14">
        <f>F636*AR636*in_two_wheeler_ticket*in_two_wheeler_comm*in_ins_partner_share+F636*in_two_wheeler_ticket*in_two_wheeler_comm*in_ins_partner_share*(in_two_wheeler_renew^1*SUMIFS(AR607:AR655,B607:B655,B636-12)+in_two_wheeler_renew^2*SUMIFS(AR607:AR655,B607:B655,B636-24)+in_two_wheeler_renew^3*SUMIFS(AR607:AR655,B607:B655,B636-36)+in_two_wheeler_renew^4*SUMIFS(AR607:AR655,B607:B655,B636-48))</f>
        <v/>
      </c>
      <c r="AT636" s="40">
        <f>AT635*(1-IF(B635&gt;=in_marketplace_from,d_hz_device*G635,0))</f>
        <v/>
      </c>
      <c r="AU636" s="14">
        <f>F636*AT636*IF(B636&gt;=in_marketplace_from,d_hz_device*G636,0)*in_device_ticket*in_device_comm*in_ins_partner_share</f>
        <v/>
      </c>
      <c r="AV636" s="40">
        <f>AV635*(1-IF(B635&gt;=in_marketplace_from,d_hz_shop*G635,0))</f>
        <v/>
      </c>
      <c r="AW636" s="46">
        <f>AV636*IF(B636&gt;=in_marketplace_from,d_hz_shop*G636,0)</f>
        <v/>
      </c>
      <c r="AX636" s="14">
        <f>F636*AW636*in_shop_ticket*in_shop_comm*in_ins_partner_share+F636*in_shop_ticket*in_shop_renew_comm*in_ins_partner_share*(in_shop_renew^1*SUMIFS(AW607:AW655,B607:B655,B636-12)+in_shop_renew^2*SUMIFS(AW607:AW655,B607:B655,B636-24)+in_shop_renew^3*SUMIFS(AW607:AW655,B607:B655,B636-36)+in_shop_renew^4*SUMIFS(AW607:AW655,B607:B655,B636-48))</f>
        <v/>
      </c>
      <c r="AY636" s="40">
        <f>AY635*(1-IF(B635&gt;=in_marketplace_from,d_hz_sip*G635,0))</f>
        <v/>
      </c>
      <c r="AZ636" s="40">
        <f>AZ635*d_rho_sip+AY636*IF(B636&gt;=in_marketplace_from,d_hz_sip*G636,0)</f>
        <v/>
      </c>
      <c r="BA636" s="40">
        <f>d_rho_sip*(BA635+AZ635)</f>
        <v/>
      </c>
      <c r="BB636" s="14">
        <f>F636*in_sip_ticket*(BA636+0.5*AZ636)*in_sip_comm/12</f>
        <v/>
      </c>
      <c r="BC636" s="40">
        <f>BC635*(1-IF(B635&gt;=in_marketplace_from,d_hz_choti*G635,0))</f>
        <v/>
      </c>
      <c r="BD636" s="46">
        <f>BC636*IF(B636&gt;=in_marketplace_from,d_hz_choti*G636,0)</f>
        <v/>
      </c>
      <c r="BE636" s="14">
        <f>F636*SUMIFS(BD607:BD655,B607:B655,B636-in_choti_months)*in_choti_renew*in_choti_ticket</f>
        <v/>
      </c>
      <c r="BF636" s="40">
        <f>BF635*(1-IF(B635&gt;=in_marketplace_from,d_hz_nps*G635,0))</f>
        <v/>
      </c>
      <c r="BG636" s="14">
        <f>F636*BF636*IF(B636&gt;=in_marketplace_from,d_hz_nps*G636,0)*in_nps_ticket*in_nps_comm</f>
        <v/>
      </c>
      <c r="BH636" s="40">
        <f>BH635*(1-IF(B635&gt;=in_marketplace_from,d_hz_gold*G635,0))</f>
        <v/>
      </c>
      <c r="BI636" s="40">
        <f>BI635*d_rho_gold+BH636*IF(B636&gt;=in_marketplace_from,d_hz_gold*G636,0)</f>
        <v/>
      </c>
      <c r="BJ636" s="14">
        <f>F636*BI636*in_gold_ticket*in_gold_comm</f>
        <v/>
      </c>
      <c r="BK636" s="40">
        <f>BK635*(1-IF(B635&gt;=in_marketplace_from,d_hz_fd*G635,0))</f>
        <v/>
      </c>
      <c r="BL636" s="14">
        <f>F636*BK636*IF(B636&gt;=in_marketplace_from,d_hz_fd*G636,0)*in_fd_ticket*in_fd_comm</f>
        <v/>
      </c>
      <c r="BM636" s="40">
        <f>BM635*(1-IF(B635&gt;=in_marketplace_from,d_hz_recharge*G635,0))</f>
        <v/>
      </c>
      <c r="BN636" s="40">
        <f>BN635*d_rho_recharge+BM636*IF(B636&gt;=in_marketplace_from,d_hz_recharge*G636,0)</f>
        <v/>
      </c>
      <c r="BO636" s="14">
        <f>F636*BN636*in_recharge_ticket*in_recharge_comm/12</f>
        <v/>
      </c>
      <c r="BP636" s="40">
        <f>BP635*(1-IF(B635&gt;=in_marketplace_from,d_hz_bills*G635,0))</f>
        <v/>
      </c>
      <c r="BQ636" s="40">
        <f>BQ635*d_rho_bills+BP636*IF(B636&gt;=in_marketplace_from,d_hz_bills*G636,0)</f>
        <v/>
      </c>
      <c r="BR636" s="14">
        <f>F636*BQ636*in_bills_ticket*in_bills_comm/12</f>
        <v/>
      </c>
      <c r="BS636" s="40">
        <f>BS635*(1-IF(B635&gt;=in_marketplace_from,d_hz_loan_gold*G635,0))</f>
        <v/>
      </c>
      <c r="BT636" s="14">
        <f>F636*BS636*IF(B636&gt;=in_marketplace_from,d_hz_loan_gold*G636,0)*in_loan_gold_ticket*in_loan_gold_comm</f>
        <v/>
      </c>
      <c r="BU636" s="40">
        <f>BU635*(1-IF(B635&gt;=in_marketplace_from,d_hz_loan_cd*G635,0))</f>
        <v/>
      </c>
      <c r="BV636" s="14">
        <f>F636*BU636*IF(B636&gt;=in_marketplace_from,d_hz_loan_cd*G636,0)*in_loan_cd_ticket*in_loan_cd_comm</f>
        <v/>
      </c>
      <c r="BW636" s="40">
        <f>BW635*(1-IF(B635&gt;=in_marketplace_from,d_hz_loan_vehicle*G635,0))</f>
        <v/>
      </c>
      <c r="BX636" s="14">
        <f>F636*BW636*IF(B636&gt;=in_marketplace_from,d_hz_loan_vehicle*G636,0)*in_loan_vehicle_ticket*in_loan_vehicle_comm</f>
        <v/>
      </c>
      <c r="BY636" s="40">
        <f>BY635*(1-IF(B635&gt;=in_marketplace_from,d_hz_loan_home*G635,0)*BZ635)</f>
        <v/>
      </c>
      <c r="BZ636" s="11">
        <f>MIN(in_approval_cap,in_loan_home_approval*INDEX('Age profile'!$O$2:$O$61,B636)*(1+in_approval_growth)^(D636-1))</f>
        <v/>
      </c>
      <c r="CA636" s="14">
        <f>F636*BY636*IF(B636&gt;=in_marketplace_from,d_hz_loan_home*G636,0)*BZ636*in_loan_home_ticket*in_loan_home_comm</f>
        <v/>
      </c>
      <c r="CB636" s="40">
        <f>CB635*(1-IF(B635&gt;=in_marketplace_from,d_hz_loan_lap*G635,0)*CC635)</f>
        <v/>
      </c>
      <c r="CC636" s="11">
        <f>MIN(in_approval_cap,in_loan_lap_approval*INDEX('Age profile'!$O$2:$O$61,B636)*(1+in_approval_growth)^(D636-1))</f>
        <v/>
      </c>
      <c r="CD636" s="14">
        <f>F636*CB636*IF(B636&gt;=in_marketplace_from,d_hz_loan_lap*G636,0)*CC636*in_loan_lap_ticket*in_loan_lap_comm</f>
        <v/>
      </c>
      <c r="CE636" s="14">
        <f>AA636+AB636+AC636+AD636+AG636+AJ636+AM636+AP636+AS636+AU636+AX636+BB636+BE636+BG636+BJ636+BL636+BO636+BR636+BT636+BV636+BX636+CA636+CD636</f>
        <v/>
      </c>
    </row>
    <row r="637">
      <c r="A637" s="39" t="n">
        <v>12</v>
      </c>
      <c r="B637" s="39" t="n">
        <v>31</v>
      </c>
      <c r="C637" s="39">
        <f>A637+B637-1</f>
        <v/>
      </c>
      <c r="D637" s="39">
        <f>INT((C637-1)/12)+1</f>
        <v/>
      </c>
      <c r="E637" s="44">
        <f>INDEX(Monthly!$B$2:$B$61,A637)</f>
        <v/>
      </c>
      <c r="F637" s="44">
        <f>E637*INDEX('Age profile'!$B$2:$B$61,B637)</f>
        <v/>
      </c>
      <c r="G637" s="45">
        <f>MIN(in_takeup_cap,INDEX('Age profile'!$N$2:$N$61,B637)*(1+in_takeup_growth)^(D637-1))</f>
        <v/>
      </c>
      <c r="H637" s="11">
        <f>MIN(in_approval_cap,in_approved_first*INDEX('Age profile'!$O$2:$O$61,B637)*(1+in_approval_growth)^(D637-1))</f>
        <v/>
      </c>
      <c r="I637" s="45">
        <f>G637*MIN(in_takeup_cap,INDEX('Age profile'!$O$2:$O$61,B637)*(1+in_approval_growth)^(D637-1))</f>
        <v/>
      </c>
      <c r="J637" s="40">
        <f>(J636-L636)*F637/F636</f>
        <v/>
      </c>
      <c r="K637" s="40">
        <f>(K636-M636)*F637/F636+SUMIFS(O607:O636,B607:B636,B637-1-d_T)*F637</f>
        <v/>
      </c>
      <c r="L637" s="40">
        <f>IF(B637&gt;=in_marketplace_from,J637*d_hz*G637*in_eligible*H637,0)</f>
        <v/>
      </c>
      <c r="M637" s="40">
        <f>IF(B637&gt;=in_marketplace_from,K637*d_hz*G637*in_eligible*in_approved_repeat,0)</f>
        <v/>
      </c>
      <c r="N637" s="40">
        <f>L637+M637</f>
        <v/>
      </c>
      <c r="O637" s="46">
        <f>N637/F637</f>
        <v/>
      </c>
      <c r="P637" s="40">
        <f>F637-J637-K637</f>
        <v/>
      </c>
      <c r="Q637" s="40">
        <f>IF(B637&gt;=in_marketplace_from,(J637+K637)*d_hz*G637,0)</f>
        <v/>
      </c>
      <c r="R637" s="40">
        <f>SUMIFS(N607:N655,B607:B655,"&gt;="&amp;(B637-d_T),B607:B655,"&lt;="&amp;(B637-1))</f>
        <v/>
      </c>
      <c r="S637" s="46">
        <f>(1-d_u)*S636+IF(d_T&gt;in_topup_lag,SUMIFS(O607:O655,B607:B655,B637-in_topup_lag)-d_udrop*SUMIFS(O607:O655,B607:B655,B637-d_T),0)</f>
        <v/>
      </c>
      <c r="T637" s="40">
        <f>F637*d_u*S637</f>
        <v/>
      </c>
      <c r="U637" s="9">
        <f>L637*in_ticket+M637*d_rep_ticket</f>
        <v/>
      </c>
      <c r="V637" s="9">
        <f>U637+T637*d_topup_amt</f>
        <v/>
      </c>
      <c r="W637" s="40">
        <f>N637+T637*d_topup_ratio</f>
        <v/>
      </c>
      <c r="X637" s="40">
        <f>SUMIFS(W607:W655,B607:B655,B637-in_dpd_lag)*d_cured</f>
        <v/>
      </c>
      <c r="Y637" s="40">
        <f>SUMIFS(W607:W655,B607:B655,B637-in_rec_lag)*d_recd</f>
        <v/>
      </c>
      <c r="Z637" s="40">
        <f>IF(AND(B637&gt;=in_marketplace_from,B637&lt;in_marketplace_from+in_card_months),in_card_share/in_card_months*F637*I637,IF(AND(B637&gt;=in_marketplace_from+in_card_months,B637&lt;in_marketplace_from+2*in_card_months),in_card_share*d_card_rem/in_card_months*F637*MIN(in_takeup_cap,(1+in_takeup_growth)^(D637-1))*MIN(in_takeup_cap,(1+in_approval_growth)^(D637-1)),0))</f>
        <v/>
      </c>
      <c r="AA637" s="14">
        <f>V637*in_fee*(1-in_taken_back)</f>
        <v/>
      </c>
      <c r="AB637" s="14">
        <f>SUMIFS(W607:W655,B607:B655,B637-in_dpd_lag)*d_dpd</f>
        <v/>
      </c>
      <c r="AC637" s="14">
        <f>SUMIFS(W607:W655,B607:B655,B637-in_rec_lag)*d_rec</f>
        <v/>
      </c>
      <c r="AD637" s="14">
        <f>Z637*in_card_fee</f>
        <v/>
      </c>
      <c r="AE637" s="40">
        <f>AE636*(1-IF(B636&gt;=in_marketplace_from,d_hz_hlth_small*G636,0))</f>
        <v/>
      </c>
      <c r="AF637" s="46">
        <f>AE637*IF(B637&gt;=in_marketplace_from,d_hz_hlth_small*G637,0)</f>
        <v/>
      </c>
      <c r="AG637" s="14">
        <f>F637*AF637*in_hlth_small_ticket*in_hlth_small_comm*in_ins_partner_share+F637*in_hlth_small_ticket*in_hlth_small_renew_comm*in_ins_partner_share*(in_hlth_small_renew^1*SUMIFS(AF607:AF655,B607:B655,B637-12)+in_hlth_small_renew^2*SUMIFS(AF607:AF655,B607:B655,B637-24)+in_hlth_small_renew^3*SUMIFS(AF607:AF655,B607:B655,B637-36)+in_hlth_small_renew^4*SUMIFS(AF607:AF655,B607:B655,B637-48))</f>
        <v/>
      </c>
      <c r="AH637" s="40">
        <f>AH636*(1-IF(B636&gt;=in_marketplace_from,d_hz_hlth_family*G636,0))</f>
        <v/>
      </c>
      <c r="AI637" s="46">
        <f>AH637*IF(B637&gt;=in_marketplace_from,d_hz_hlth_family*G637,0)</f>
        <v/>
      </c>
      <c r="AJ637" s="14">
        <f>F637*AI637*in_hlth_family_ticket*in_hlth_family_comm*in_ins_partner_share+F637*in_hlth_family_ticket*in_hlth_family_renew_comm*in_ins_partner_share*(in_hlth_family_renew^1*SUMIFS(AI607:AI655,B607:B655,B637-12)+in_hlth_family_renew^2*SUMIFS(AI607:AI655,B607:B655,B637-24)+in_hlth_family_renew^3*SUMIFS(AI607:AI655,B607:B655,B637-36)+in_hlth_family_renew^4*SUMIFS(AI607:AI655,B607:B655,B637-48))</f>
        <v/>
      </c>
      <c r="AK637" s="40">
        <f>AK636*(1-IF(B636&gt;=in_marketplace_from,d_hz_life_term*G636,0))</f>
        <v/>
      </c>
      <c r="AL637" s="46">
        <f>AK637*IF(B637&gt;=in_marketplace_from,d_hz_life_term*G637,0)</f>
        <v/>
      </c>
      <c r="AM637" s="14">
        <f>F637*AL637*in_life_term_ticket*in_life_term_comm*in_ins_partner_share+F637*in_life_term_ticket*in_life_term_renew_comm*in_ins_partner_share*(in_life_term_renew^1*SUMIFS(AL607:AL655,B607:B655,B637-12)+in_life_term_renew^2*SUMIFS(AL607:AL655,B607:B655,B637-24)+in_life_term_renew^3*SUMIFS(AL607:AL655,B607:B655,B637-36)+in_life_term_renew^4*SUMIFS(AL607:AL655,B607:B655,B637-48))</f>
        <v/>
      </c>
      <c r="AN637" s="40">
        <f>AN636*(1-IF(B636&gt;=in_marketplace_from,d_hz_accident*G636,0))</f>
        <v/>
      </c>
      <c r="AO637" s="46">
        <f>AN637*IF(B637&gt;=in_marketplace_from,d_hz_accident*G637,0)</f>
        <v/>
      </c>
      <c r="AP637" s="14">
        <f>F637*AO637*in_accident_ticket*in_accident_comm*in_ins_partner_share+F637*in_accident_ticket*in_accident_renew_comm*in_ins_partner_share*(in_accident_renew^1*SUMIFS(AO607:AO655,B607:B655,B637-12)+in_accident_renew^2*SUMIFS(AO607:AO655,B607:B655,B637-24)+in_accident_renew^3*SUMIFS(AO607:AO655,B607:B655,B637-36)+in_accident_renew^4*SUMIFS(AO607:AO655,B607:B655,B637-48))</f>
        <v/>
      </c>
      <c r="AQ637" s="40">
        <f>AQ636*(1-IF(B636&gt;=in_marketplace_from,d_hz_two_wheeler*G636,0))</f>
        <v/>
      </c>
      <c r="AR637" s="46">
        <f>AQ637*IF(B637&gt;=in_marketplace_from,d_hz_two_wheeler*G637,0)</f>
        <v/>
      </c>
      <c r="AS637" s="14">
        <f>F637*AR637*in_two_wheeler_ticket*in_two_wheeler_comm*in_ins_partner_share+F637*in_two_wheeler_ticket*in_two_wheeler_comm*in_ins_partner_share*(in_two_wheeler_renew^1*SUMIFS(AR607:AR655,B607:B655,B637-12)+in_two_wheeler_renew^2*SUMIFS(AR607:AR655,B607:B655,B637-24)+in_two_wheeler_renew^3*SUMIFS(AR607:AR655,B607:B655,B637-36)+in_two_wheeler_renew^4*SUMIFS(AR607:AR655,B607:B655,B637-48))</f>
        <v/>
      </c>
      <c r="AT637" s="40">
        <f>AT636*(1-IF(B636&gt;=in_marketplace_from,d_hz_device*G636,0))</f>
        <v/>
      </c>
      <c r="AU637" s="14">
        <f>F637*AT637*IF(B637&gt;=in_marketplace_from,d_hz_device*G637,0)*in_device_ticket*in_device_comm*in_ins_partner_share</f>
        <v/>
      </c>
      <c r="AV637" s="40">
        <f>AV636*(1-IF(B636&gt;=in_marketplace_from,d_hz_shop*G636,0))</f>
        <v/>
      </c>
      <c r="AW637" s="46">
        <f>AV637*IF(B637&gt;=in_marketplace_from,d_hz_shop*G637,0)</f>
        <v/>
      </c>
      <c r="AX637" s="14">
        <f>F637*AW637*in_shop_ticket*in_shop_comm*in_ins_partner_share+F637*in_shop_ticket*in_shop_renew_comm*in_ins_partner_share*(in_shop_renew^1*SUMIFS(AW607:AW655,B607:B655,B637-12)+in_shop_renew^2*SUMIFS(AW607:AW655,B607:B655,B637-24)+in_shop_renew^3*SUMIFS(AW607:AW655,B607:B655,B637-36)+in_shop_renew^4*SUMIFS(AW607:AW655,B607:B655,B637-48))</f>
        <v/>
      </c>
      <c r="AY637" s="40">
        <f>AY636*(1-IF(B636&gt;=in_marketplace_from,d_hz_sip*G636,0))</f>
        <v/>
      </c>
      <c r="AZ637" s="40">
        <f>AZ636*d_rho_sip+AY637*IF(B637&gt;=in_marketplace_from,d_hz_sip*G637,0)</f>
        <v/>
      </c>
      <c r="BA637" s="40">
        <f>d_rho_sip*(BA636+AZ636)</f>
        <v/>
      </c>
      <c r="BB637" s="14">
        <f>F637*in_sip_ticket*(BA637+0.5*AZ637)*in_sip_comm/12</f>
        <v/>
      </c>
      <c r="BC637" s="40">
        <f>BC636*(1-IF(B636&gt;=in_marketplace_from,d_hz_choti*G636,0))</f>
        <v/>
      </c>
      <c r="BD637" s="46">
        <f>BC637*IF(B637&gt;=in_marketplace_from,d_hz_choti*G637,0)</f>
        <v/>
      </c>
      <c r="BE637" s="14">
        <f>F637*SUMIFS(BD607:BD655,B607:B655,B637-in_choti_months)*in_choti_renew*in_choti_ticket</f>
        <v/>
      </c>
      <c r="BF637" s="40">
        <f>BF636*(1-IF(B636&gt;=in_marketplace_from,d_hz_nps*G636,0))</f>
        <v/>
      </c>
      <c r="BG637" s="14">
        <f>F637*BF637*IF(B637&gt;=in_marketplace_from,d_hz_nps*G637,0)*in_nps_ticket*in_nps_comm</f>
        <v/>
      </c>
      <c r="BH637" s="40">
        <f>BH636*(1-IF(B636&gt;=in_marketplace_from,d_hz_gold*G636,0))</f>
        <v/>
      </c>
      <c r="BI637" s="40">
        <f>BI636*d_rho_gold+BH637*IF(B637&gt;=in_marketplace_from,d_hz_gold*G637,0)</f>
        <v/>
      </c>
      <c r="BJ637" s="14">
        <f>F637*BI637*in_gold_ticket*in_gold_comm</f>
        <v/>
      </c>
      <c r="BK637" s="40">
        <f>BK636*(1-IF(B636&gt;=in_marketplace_from,d_hz_fd*G636,0))</f>
        <v/>
      </c>
      <c r="BL637" s="14">
        <f>F637*BK637*IF(B637&gt;=in_marketplace_from,d_hz_fd*G637,0)*in_fd_ticket*in_fd_comm</f>
        <v/>
      </c>
      <c r="BM637" s="40">
        <f>BM636*(1-IF(B636&gt;=in_marketplace_from,d_hz_recharge*G636,0))</f>
        <v/>
      </c>
      <c r="BN637" s="40">
        <f>BN636*d_rho_recharge+BM637*IF(B637&gt;=in_marketplace_from,d_hz_recharge*G637,0)</f>
        <v/>
      </c>
      <c r="BO637" s="14">
        <f>F637*BN637*in_recharge_ticket*in_recharge_comm/12</f>
        <v/>
      </c>
      <c r="BP637" s="40">
        <f>BP636*(1-IF(B636&gt;=in_marketplace_from,d_hz_bills*G636,0))</f>
        <v/>
      </c>
      <c r="BQ637" s="40">
        <f>BQ636*d_rho_bills+BP637*IF(B637&gt;=in_marketplace_from,d_hz_bills*G637,0)</f>
        <v/>
      </c>
      <c r="BR637" s="14">
        <f>F637*BQ637*in_bills_ticket*in_bills_comm/12</f>
        <v/>
      </c>
      <c r="BS637" s="40">
        <f>BS636*(1-IF(B636&gt;=in_marketplace_from,d_hz_loan_gold*G636,0))</f>
        <v/>
      </c>
      <c r="BT637" s="14">
        <f>F637*BS637*IF(B637&gt;=in_marketplace_from,d_hz_loan_gold*G637,0)*in_loan_gold_ticket*in_loan_gold_comm</f>
        <v/>
      </c>
      <c r="BU637" s="40">
        <f>BU636*(1-IF(B636&gt;=in_marketplace_from,d_hz_loan_cd*G636,0))</f>
        <v/>
      </c>
      <c r="BV637" s="14">
        <f>F637*BU637*IF(B637&gt;=in_marketplace_from,d_hz_loan_cd*G637,0)*in_loan_cd_ticket*in_loan_cd_comm</f>
        <v/>
      </c>
      <c r="BW637" s="40">
        <f>BW636*(1-IF(B636&gt;=in_marketplace_from,d_hz_loan_vehicle*G636,0))</f>
        <v/>
      </c>
      <c r="BX637" s="14">
        <f>F637*BW637*IF(B637&gt;=in_marketplace_from,d_hz_loan_vehicle*G637,0)*in_loan_vehicle_ticket*in_loan_vehicle_comm</f>
        <v/>
      </c>
      <c r="BY637" s="40">
        <f>BY636*(1-IF(B636&gt;=in_marketplace_from,d_hz_loan_home*G636,0)*BZ636)</f>
        <v/>
      </c>
      <c r="BZ637" s="11">
        <f>MIN(in_approval_cap,in_loan_home_approval*INDEX('Age profile'!$O$2:$O$61,B637)*(1+in_approval_growth)^(D637-1))</f>
        <v/>
      </c>
      <c r="CA637" s="14">
        <f>F637*BY637*IF(B637&gt;=in_marketplace_from,d_hz_loan_home*G637,0)*BZ637*in_loan_home_ticket*in_loan_home_comm</f>
        <v/>
      </c>
      <c r="CB637" s="40">
        <f>CB636*(1-IF(B636&gt;=in_marketplace_from,d_hz_loan_lap*G636,0)*CC636)</f>
        <v/>
      </c>
      <c r="CC637" s="11">
        <f>MIN(in_approval_cap,in_loan_lap_approval*INDEX('Age profile'!$O$2:$O$61,B637)*(1+in_approval_growth)^(D637-1))</f>
        <v/>
      </c>
      <c r="CD637" s="14">
        <f>F637*CB637*IF(B637&gt;=in_marketplace_from,d_hz_loan_lap*G637,0)*CC637*in_loan_lap_ticket*in_loan_lap_comm</f>
        <v/>
      </c>
      <c r="CE637" s="14">
        <f>AA637+AB637+AC637+AD637+AG637+AJ637+AM637+AP637+AS637+AU637+AX637+BB637+BE637+BG637+BJ637+BL637+BO637+BR637+BT637+BV637+BX637+CA637+CD637</f>
        <v/>
      </c>
    </row>
    <row r="638">
      <c r="A638" s="39" t="n">
        <v>12</v>
      </c>
      <c r="B638" s="39" t="n">
        <v>32</v>
      </c>
      <c r="C638" s="39">
        <f>A638+B638-1</f>
        <v/>
      </c>
      <c r="D638" s="39">
        <f>INT((C638-1)/12)+1</f>
        <v/>
      </c>
      <c r="E638" s="44">
        <f>INDEX(Monthly!$B$2:$B$61,A638)</f>
        <v/>
      </c>
      <c r="F638" s="44">
        <f>E638*INDEX('Age profile'!$B$2:$B$61,B638)</f>
        <v/>
      </c>
      <c r="G638" s="45">
        <f>MIN(in_takeup_cap,INDEX('Age profile'!$N$2:$N$61,B638)*(1+in_takeup_growth)^(D638-1))</f>
        <v/>
      </c>
      <c r="H638" s="11">
        <f>MIN(in_approval_cap,in_approved_first*INDEX('Age profile'!$O$2:$O$61,B638)*(1+in_approval_growth)^(D638-1))</f>
        <v/>
      </c>
      <c r="I638" s="45">
        <f>G638*MIN(in_takeup_cap,INDEX('Age profile'!$O$2:$O$61,B638)*(1+in_approval_growth)^(D638-1))</f>
        <v/>
      </c>
      <c r="J638" s="40">
        <f>(J637-L637)*F638/F637</f>
        <v/>
      </c>
      <c r="K638" s="40">
        <f>(K637-M637)*F638/F637+SUMIFS(O607:O637,B607:B637,B638-1-d_T)*F638</f>
        <v/>
      </c>
      <c r="L638" s="40">
        <f>IF(B638&gt;=in_marketplace_from,J638*d_hz*G638*in_eligible*H638,0)</f>
        <v/>
      </c>
      <c r="M638" s="40">
        <f>IF(B638&gt;=in_marketplace_from,K638*d_hz*G638*in_eligible*in_approved_repeat,0)</f>
        <v/>
      </c>
      <c r="N638" s="40">
        <f>L638+M638</f>
        <v/>
      </c>
      <c r="O638" s="46">
        <f>N638/F638</f>
        <v/>
      </c>
      <c r="P638" s="40">
        <f>F638-J638-K638</f>
        <v/>
      </c>
      <c r="Q638" s="40">
        <f>IF(B638&gt;=in_marketplace_from,(J638+K638)*d_hz*G638,0)</f>
        <v/>
      </c>
      <c r="R638" s="40">
        <f>SUMIFS(N607:N655,B607:B655,"&gt;="&amp;(B638-d_T),B607:B655,"&lt;="&amp;(B638-1))</f>
        <v/>
      </c>
      <c r="S638" s="46">
        <f>(1-d_u)*S637+IF(d_T&gt;in_topup_lag,SUMIFS(O607:O655,B607:B655,B638-in_topup_lag)-d_udrop*SUMIFS(O607:O655,B607:B655,B638-d_T),0)</f>
        <v/>
      </c>
      <c r="T638" s="40">
        <f>F638*d_u*S638</f>
        <v/>
      </c>
      <c r="U638" s="9">
        <f>L638*in_ticket+M638*d_rep_ticket</f>
        <v/>
      </c>
      <c r="V638" s="9">
        <f>U638+T638*d_topup_amt</f>
        <v/>
      </c>
      <c r="W638" s="40">
        <f>N638+T638*d_topup_ratio</f>
        <v/>
      </c>
      <c r="X638" s="40">
        <f>SUMIFS(W607:W655,B607:B655,B638-in_dpd_lag)*d_cured</f>
        <v/>
      </c>
      <c r="Y638" s="40">
        <f>SUMIFS(W607:W655,B607:B655,B638-in_rec_lag)*d_recd</f>
        <v/>
      </c>
      <c r="Z638" s="40">
        <f>IF(AND(B638&gt;=in_marketplace_from,B638&lt;in_marketplace_from+in_card_months),in_card_share/in_card_months*F638*I638,IF(AND(B638&gt;=in_marketplace_from+in_card_months,B638&lt;in_marketplace_from+2*in_card_months),in_card_share*d_card_rem/in_card_months*F638*MIN(in_takeup_cap,(1+in_takeup_growth)^(D638-1))*MIN(in_takeup_cap,(1+in_approval_growth)^(D638-1)),0))</f>
        <v/>
      </c>
      <c r="AA638" s="14">
        <f>V638*in_fee*(1-in_taken_back)</f>
        <v/>
      </c>
      <c r="AB638" s="14">
        <f>SUMIFS(W607:W655,B607:B655,B638-in_dpd_lag)*d_dpd</f>
        <v/>
      </c>
      <c r="AC638" s="14">
        <f>SUMIFS(W607:W655,B607:B655,B638-in_rec_lag)*d_rec</f>
        <v/>
      </c>
      <c r="AD638" s="14">
        <f>Z638*in_card_fee</f>
        <v/>
      </c>
      <c r="AE638" s="40">
        <f>AE637*(1-IF(B637&gt;=in_marketplace_from,d_hz_hlth_small*G637,0))</f>
        <v/>
      </c>
      <c r="AF638" s="46">
        <f>AE638*IF(B638&gt;=in_marketplace_from,d_hz_hlth_small*G638,0)</f>
        <v/>
      </c>
      <c r="AG638" s="14">
        <f>F638*AF638*in_hlth_small_ticket*in_hlth_small_comm*in_ins_partner_share+F638*in_hlth_small_ticket*in_hlth_small_renew_comm*in_ins_partner_share*(in_hlth_small_renew^1*SUMIFS(AF607:AF655,B607:B655,B638-12)+in_hlth_small_renew^2*SUMIFS(AF607:AF655,B607:B655,B638-24)+in_hlth_small_renew^3*SUMIFS(AF607:AF655,B607:B655,B638-36)+in_hlth_small_renew^4*SUMIFS(AF607:AF655,B607:B655,B638-48))</f>
        <v/>
      </c>
      <c r="AH638" s="40">
        <f>AH637*(1-IF(B637&gt;=in_marketplace_from,d_hz_hlth_family*G637,0))</f>
        <v/>
      </c>
      <c r="AI638" s="46">
        <f>AH638*IF(B638&gt;=in_marketplace_from,d_hz_hlth_family*G638,0)</f>
        <v/>
      </c>
      <c r="AJ638" s="14">
        <f>F638*AI638*in_hlth_family_ticket*in_hlth_family_comm*in_ins_partner_share+F638*in_hlth_family_ticket*in_hlth_family_renew_comm*in_ins_partner_share*(in_hlth_family_renew^1*SUMIFS(AI607:AI655,B607:B655,B638-12)+in_hlth_family_renew^2*SUMIFS(AI607:AI655,B607:B655,B638-24)+in_hlth_family_renew^3*SUMIFS(AI607:AI655,B607:B655,B638-36)+in_hlth_family_renew^4*SUMIFS(AI607:AI655,B607:B655,B638-48))</f>
        <v/>
      </c>
      <c r="AK638" s="40">
        <f>AK637*(1-IF(B637&gt;=in_marketplace_from,d_hz_life_term*G637,0))</f>
        <v/>
      </c>
      <c r="AL638" s="46">
        <f>AK638*IF(B638&gt;=in_marketplace_from,d_hz_life_term*G638,0)</f>
        <v/>
      </c>
      <c r="AM638" s="14">
        <f>F638*AL638*in_life_term_ticket*in_life_term_comm*in_ins_partner_share+F638*in_life_term_ticket*in_life_term_renew_comm*in_ins_partner_share*(in_life_term_renew^1*SUMIFS(AL607:AL655,B607:B655,B638-12)+in_life_term_renew^2*SUMIFS(AL607:AL655,B607:B655,B638-24)+in_life_term_renew^3*SUMIFS(AL607:AL655,B607:B655,B638-36)+in_life_term_renew^4*SUMIFS(AL607:AL655,B607:B655,B638-48))</f>
        <v/>
      </c>
      <c r="AN638" s="40">
        <f>AN637*(1-IF(B637&gt;=in_marketplace_from,d_hz_accident*G637,0))</f>
        <v/>
      </c>
      <c r="AO638" s="46">
        <f>AN638*IF(B638&gt;=in_marketplace_from,d_hz_accident*G638,0)</f>
        <v/>
      </c>
      <c r="AP638" s="14">
        <f>F638*AO638*in_accident_ticket*in_accident_comm*in_ins_partner_share+F638*in_accident_ticket*in_accident_renew_comm*in_ins_partner_share*(in_accident_renew^1*SUMIFS(AO607:AO655,B607:B655,B638-12)+in_accident_renew^2*SUMIFS(AO607:AO655,B607:B655,B638-24)+in_accident_renew^3*SUMIFS(AO607:AO655,B607:B655,B638-36)+in_accident_renew^4*SUMIFS(AO607:AO655,B607:B655,B638-48))</f>
        <v/>
      </c>
      <c r="AQ638" s="40">
        <f>AQ637*(1-IF(B637&gt;=in_marketplace_from,d_hz_two_wheeler*G637,0))</f>
        <v/>
      </c>
      <c r="AR638" s="46">
        <f>AQ638*IF(B638&gt;=in_marketplace_from,d_hz_two_wheeler*G638,0)</f>
        <v/>
      </c>
      <c r="AS638" s="14">
        <f>F638*AR638*in_two_wheeler_ticket*in_two_wheeler_comm*in_ins_partner_share+F638*in_two_wheeler_ticket*in_two_wheeler_comm*in_ins_partner_share*(in_two_wheeler_renew^1*SUMIFS(AR607:AR655,B607:B655,B638-12)+in_two_wheeler_renew^2*SUMIFS(AR607:AR655,B607:B655,B638-24)+in_two_wheeler_renew^3*SUMIFS(AR607:AR655,B607:B655,B638-36)+in_two_wheeler_renew^4*SUMIFS(AR607:AR655,B607:B655,B638-48))</f>
        <v/>
      </c>
      <c r="AT638" s="40">
        <f>AT637*(1-IF(B637&gt;=in_marketplace_from,d_hz_device*G637,0))</f>
        <v/>
      </c>
      <c r="AU638" s="14">
        <f>F638*AT638*IF(B638&gt;=in_marketplace_from,d_hz_device*G638,0)*in_device_ticket*in_device_comm*in_ins_partner_share</f>
        <v/>
      </c>
      <c r="AV638" s="40">
        <f>AV637*(1-IF(B637&gt;=in_marketplace_from,d_hz_shop*G637,0))</f>
        <v/>
      </c>
      <c r="AW638" s="46">
        <f>AV638*IF(B638&gt;=in_marketplace_from,d_hz_shop*G638,0)</f>
        <v/>
      </c>
      <c r="AX638" s="14">
        <f>F638*AW638*in_shop_ticket*in_shop_comm*in_ins_partner_share+F638*in_shop_ticket*in_shop_renew_comm*in_ins_partner_share*(in_shop_renew^1*SUMIFS(AW607:AW655,B607:B655,B638-12)+in_shop_renew^2*SUMIFS(AW607:AW655,B607:B655,B638-24)+in_shop_renew^3*SUMIFS(AW607:AW655,B607:B655,B638-36)+in_shop_renew^4*SUMIFS(AW607:AW655,B607:B655,B638-48))</f>
        <v/>
      </c>
      <c r="AY638" s="40">
        <f>AY637*(1-IF(B637&gt;=in_marketplace_from,d_hz_sip*G637,0))</f>
        <v/>
      </c>
      <c r="AZ638" s="40">
        <f>AZ637*d_rho_sip+AY638*IF(B638&gt;=in_marketplace_from,d_hz_sip*G638,0)</f>
        <v/>
      </c>
      <c r="BA638" s="40">
        <f>d_rho_sip*(BA637+AZ637)</f>
        <v/>
      </c>
      <c r="BB638" s="14">
        <f>F638*in_sip_ticket*(BA638+0.5*AZ638)*in_sip_comm/12</f>
        <v/>
      </c>
      <c r="BC638" s="40">
        <f>BC637*(1-IF(B637&gt;=in_marketplace_from,d_hz_choti*G637,0))</f>
        <v/>
      </c>
      <c r="BD638" s="46">
        <f>BC638*IF(B638&gt;=in_marketplace_from,d_hz_choti*G638,0)</f>
        <v/>
      </c>
      <c r="BE638" s="14">
        <f>F638*SUMIFS(BD607:BD655,B607:B655,B638-in_choti_months)*in_choti_renew*in_choti_ticket</f>
        <v/>
      </c>
      <c r="BF638" s="40">
        <f>BF637*(1-IF(B637&gt;=in_marketplace_from,d_hz_nps*G637,0))</f>
        <v/>
      </c>
      <c r="BG638" s="14">
        <f>F638*BF638*IF(B638&gt;=in_marketplace_from,d_hz_nps*G638,0)*in_nps_ticket*in_nps_comm</f>
        <v/>
      </c>
      <c r="BH638" s="40">
        <f>BH637*(1-IF(B637&gt;=in_marketplace_from,d_hz_gold*G637,0))</f>
        <v/>
      </c>
      <c r="BI638" s="40">
        <f>BI637*d_rho_gold+BH638*IF(B638&gt;=in_marketplace_from,d_hz_gold*G638,0)</f>
        <v/>
      </c>
      <c r="BJ638" s="14">
        <f>F638*BI638*in_gold_ticket*in_gold_comm</f>
        <v/>
      </c>
      <c r="BK638" s="40">
        <f>BK637*(1-IF(B637&gt;=in_marketplace_from,d_hz_fd*G637,0))</f>
        <v/>
      </c>
      <c r="BL638" s="14">
        <f>F638*BK638*IF(B638&gt;=in_marketplace_from,d_hz_fd*G638,0)*in_fd_ticket*in_fd_comm</f>
        <v/>
      </c>
      <c r="BM638" s="40">
        <f>BM637*(1-IF(B637&gt;=in_marketplace_from,d_hz_recharge*G637,0))</f>
        <v/>
      </c>
      <c r="BN638" s="40">
        <f>BN637*d_rho_recharge+BM638*IF(B638&gt;=in_marketplace_from,d_hz_recharge*G638,0)</f>
        <v/>
      </c>
      <c r="BO638" s="14">
        <f>F638*BN638*in_recharge_ticket*in_recharge_comm/12</f>
        <v/>
      </c>
      <c r="BP638" s="40">
        <f>BP637*(1-IF(B637&gt;=in_marketplace_from,d_hz_bills*G637,0))</f>
        <v/>
      </c>
      <c r="BQ638" s="40">
        <f>BQ637*d_rho_bills+BP638*IF(B638&gt;=in_marketplace_from,d_hz_bills*G638,0)</f>
        <v/>
      </c>
      <c r="BR638" s="14">
        <f>F638*BQ638*in_bills_ticket*in_bills_comm/12</f>
        <v/>
      </c>
      <c r="BS638" s="40">
        <f>BS637*(1-IF(B637&gt;=in_marketplace_from,d_hz_loan_gold*G637,0))</f>
        <v/>
      </c>
      <c r="BT638" s="14">
        <f>F638*BS638*IF(B638&gt;=in_marketplace_from,d_hz_loan_gold*G638,0)*in_loan_gold_ticket*in_loan_gold_comm</f>
        <v/>
      </c>
      <c r="BU638" s="40">
        <f>BU637*(1-IF(B637&gt;=in_marketplace_from,d_hz_loan_cd*G637,0))</f>
        <v/>
      </c>
      <c r="BV638" s="14">
        <f>F638*BU638*IF(B638&gt;=in_marketplace_from,d_hz_loan_cd*G638,0)*in_loan_cd_ticket*in_loan_cd_comm</f>
        <v/>
      </c>
      <c r="BW638" s="40">
        <f>BW637*(1-IF(B637&gt;=in_marketplace_from,d_hz_loan_vehicle*G637,0))</f>
        <v/>
      </c>
      <c r="BX638" s="14">
        <f>F638*BW638*IF(B638&gt;=in_marketplace_from,d_hz_loan_vehicle*G638,0)*in_loan_vehicle_ticket*in_loan_vehicle_comm</f>
        <v/>
      </c>
      <c r="BY638" s="40">
        <f>BY637*(1-IF(B637&gt;=in_marketplace_from,d_hz_loan_home*G637,0)*BZ637)</f>
        <v/>
      </c>
      <c r="BZ638" s="11">
        <f>MIN(in_approval_cap,in_loan_home_approval*INDEX('Age profile'!$O$2:$O$61,B638)*(1+in_approval_growth)^(D638-1))</f>
        <v/>
      </c>
      <c r="CA638" s="14">
        <f>F638*BY638*IF(B638&gt;=in_marketplace_from,d_hz_loan_home*G638,0)*BZ638*in_loan_home_ticket*in_loan_home_comm</f>
        <v/>
      </c>
      <c r="CB638" s="40">
        <f>CB637*(1-IF(B637&gt;=in_marketplace_from,d_hz_loan_lap*G637,0)*CC637)</f>
        <v/>
      </c>
      <c r="CC638" s="11">
        <f>MIN(in_approval_cap,in_loan_lap_approval*INDEX('Age profile'!$O$2:$O$61,B638)*(1+in_approval_growth)^(D638-1))</f>
        <v/>
      </c>
      <c r="CD638" s="14">
        <f>F638*CB638*IF(B638&gt;=in_marketplace_from,d_hz_loan_lap*G638,0)*CC638*in_loan_lap_ticket*in_loan_lap_comm</f>
        <v/>
      </c>
      <c r="CE638" s="14">
        <f>AA638+AB638+AC638+AD638+AG638+AJ638+AM638+AP638+AS638+AU638+AX638+BB638+BE638+BG638+BJ638+BL638+BO638+BR638+BT638+BV638+BX638+CA638+CD638</f>
        <v/>
      </c>
    </row>
    <row r="639">
      <c r="A639" s="39" t="n">
        <v>12</v>
      </c>
      <c r="B639" s="39" t="n">
        <v>33</v>
      </c>
      <c r="C639" s="39">
        <f>A639+B639-1</f>
        <v/>
      </c>
      <c r="D639" s="39">
        <f>INT((C639-1)/12)+1</f>
        <v/>
      </c>
      <c r="E639" s="44">
        <f>INDEX(Monthly!$B$2:$B$61,A639)</f>
        <v/>
      </c>
      <c r="F639" s="44">
        <f>E639*INDEX('Age profile'!$B$2:$B$61,B639)</f>
        <v/>
      </c>
      <c r="G639" s="45">
        <f>MIN(in_takeup_cap,INDEX('Age profile'!$N$2:$N$61,B639)*(1+in_takeup_growth)^(D639-1))</f>
        <v/>
      </c>
      <c r="H639" s="11">
        <f>MIN(in_approval_cap,in_approved_first*INDEX('Age profile'!$O$2:$O$61,B639)*(1+in_approval_growth)^(D639-1))</f>
        <v/>
      </c>
      <c r="I639" s="45">
        <f>G639*MIN(in_takeup_cap,INDEX('Age profile'!$O$2:$O$61,B639)*(1+in_approval_growth)^(D639-1))</f>
        <v/>
      </c>
      <c r="J639" s="40">
        <f>(J638-L638)*F639/F638</f>
        <v/>
      </c>
      <c r="K639" s="40">
        <f>(K638-M638)*F639/F638+SUMIFS(O607:O638,B607:B638,B639-1-d_T)*F639</f>
        <v/>
      </c>
      <c r="L639" s="40">
        <f>IF(B639&gt;=in_marketplace_from,J639*d_hz*G639*in_eligible*H639,0)</f>
        <v/>
      </c>
      <c r="M639" s="40">
        <f>IF(B639&gt;=in_marketplace_from,K639*d_hz*G639*in_eligible*in_approved_repeat,0)</f>
        <v/>
      </c>
      <c r="N639" s="40">
        <f>L639+M639</f>
        <v/>
      </c>
      <c r="O639" s="46">
        <f>N639/F639</f>
        <v/>
      </c>
      <c r="P639" s="40">
        <f>F639-J639-K639</f>
        <v/>
      </c>
      <c r="Q639" s="40">
        <f>IF(B639&gt;=in_marketplace_from,(J639+K639)*d_hz*G639,0)</f>
        <v/>
      </c>
      <c r="R639" s="40">
        <f>SUMIFS(N607:N655,B607:B655,"&gt;="&amp;(B639-d_T),B607:B655,"&lt;="&amp;(B639-1))</f>
        <v/>
      </c>
      <c r="S639" s="46">
        <f>(1-d_u)*S638+IF(d_T&gt;in_topup_lag,SUMIFS(O607:O655,B607:B655,B639-in_topup_lag)-d_udrop*SUMIFS(O607:O655,B607:B655,B639-d_T),0)</f>
        <v/>
      </c>
      <c r="T639" s="40">
        <f>F639*d_u*S639</f>
        <v/>
      </c>
      <c r="U639" s="9">
        <f>L639*in_ticket+M639*d_rep_ticket</f>
        <v/>
      </c>
      <c r="V639" s="9">
        <f>U639+T639*d_topup_amt</f>
        <v/>
      </c>
      <c r="W639" s="40">
        <f>N639+T639*d_topup_ratio</f>
        <v/>
      </c>
      <c r="X639" s="40">
        <f>SUMIFS(W607:W655,B607:B655,B639-in_dpd_lag)*d_cured</f>
        <v/>
      </c>
      <c r="Y639" s="40">
        <f>SUMIFS(W607:W655,B607:B655,B639-in_rec_lag)*d_recd</f>
        <v/>
      </c>
      <c r="Z639" s="40">
        <f>IF(AND(B639&gt;=in_marketplace_from,B639&lt;in_marketplace_from+in_card_months),in_card_share/in_card_months*F639*I639,IF(AND(B639&gt;=in_marketplace_from+in_card_months,B639&lt;in_marketplace_from+2*in_card_months),in_card_share*d_card_rem/in_card_months*F639*MIN(in_takeup_cap,(1+in_takeup_growth)^(D639-1))*MIN(in_takeup_cap,(1+in_approval_growth)^(D639-1)),0))</f>
        <v/>
      </c>
      <c r="AA639" s="14">
        <f>V639*in_fee*(1-in_taken_back)</f>
        <v/>
      </c>
      <c r="AB639" s="14">
        <f>SUMIFS(W607:W655,B607:B655,B639-in_dpd_lag)*d_dpd</f>
        <v/>
      </c>
      <c r="AC639" s="14">
        <f>SUMIFS(W607:W655,B607:B655,B639-in_rec_lag)*d_rec</f>
        <v/>
      </c>
      <c r="AD639" s="14">
        <f>Z639*in_card_fee</f>
        <v/>
      </c>
      <c r="AE639" s="40">
        <f>AE638*(1-IF(B638&gt;=in_marketplace_from,d_hz_hlth_small*G638,0))</f>
        <v/>
      </c>
      <c r="AF639" s="46">
        <f>AE639*IF(B639&gt;=in_marketplace_from,d_hz_hlth_small*G639,0)</f>
        <v/>
      </c>
      <c r="AG639" s="14">
        <f>F639*AF639*in_hlth_small_ticket*in_hlth_small_comm*in_ins_partner_share+F639*in_hlth_small_ticket*in_hlth_small_renew_comm*in_ins_partner_share*(in_hlth_small_renew^1*SUMIFS(AF607:AF655,B607:B655,B639-12)+in_hlth_small_renew^2*SUMIFS(AF607:AF655,B607:B655,B639-24)+in_hlth_small_renew^3*SUMIFS(AF607:AF655,B607:B655,B639-36)+in_hlth_small_renew^4*SUMIFS(AF607:AF655,B607:B655,B639-48))</f>
        <v/>
      </c>
      <c r="AH639" s="40">
        <f>AH638*(1-IF(B638&gt;=in_marketplace_from,d_hz_hlth_family*G638,0))</f>
        <v/>
      </c>
      <c r="AI639" s="46">
        <f>AH639*IF(B639&gt;=in_marketplace_from,d_hz_hlth_family*G639,0)</f>
        <v/>
      </c>
      <c r="AJ639" s="14">
        <f>F639*AI639*in_hlth_family_ticket*in_hlth_family_comm*in_ins_partner_share+F639*in_hlth_family_ticket*in_hlth_family_renew_comm*in_ins_partner_share*(in_hlth_family_renew^1*SUMIFS(AI607:AI655,B607:B655,B639-12)+in_hlth_family_renew^2*SUMIFS(AI607:AI655,B607:B655,B639-24)+in_hlth_family_renew^3*SUMIFS(AI607:AI655,B607:B655,B639-36)+in_hlth_family_renew^4*SUMIFS(AI607:AI655,B607:B655,B639-48))</f>
        <v/>
      </c>
      <c r="AK639" s="40">
        <f>AK638*(1-IF(B638&gt;=in_marketplace_from,d_hz_life_term*G638,0))</f>
        <v/>
      </c>
      <c r="AL639" s="46">
        <f>AK639*IF(B639&gt;=in_marketplace_from,d_hz_life_term*G639,0)</f>
        <v/>
      </c>
      <c r="AM639" s="14">
        <f>F639*AL639*in_life_term_ticket*in_life_term_comm*in_ins_partner_share+F639*in_life_term_ticket*in_life_term_renew_comm*in_ins_partner_share*(in_life_term_renew^1*SUMIFS(AL607:AL655,B607:B655,B639-12)+in_life_term_renew^2*SUMIFS(AL607:AL655,B607:B655,B639-24)+in_life_term_renew^3*SUMIFS(AL607:AL655,B607:B655,B639-36)+in_life_term_renew^4*SUMIFS(AL607:AL655,B607:B655,B639-48))</f>
        <v/>
      </c>
      <c r="AN639" s="40">
        <f>AN638*(1-IF(B638&gt;=in_marketplace_from,d_hz_accident*G638,0))</f>
        <v/>
      </c>
      <c r="AO639" s="46">
        <f>AN639*IF(B639&gt;=in_marketplace_from,d_hz_accident*G639,0)</f>
        <v/>
      </c>
      <c r="AP639" s="14">
        <f>F639*AO639*in_accident_ticket*in_accident_comm*in_ins_partner_share+F639*in_accident_ticket*in_accident_renew_comm*in_ins_partner_share*(in_accident_renew^1*SUMIFS(AO607:AO655,B607:B655,B639-12)+in_accident_renew^2*SUMIFS(AO607:AO655,B607:B655,B639-24)+in_accident_renew^3*SUMIFS(AO607:AO655,B607:B655,B639-36)+in_accident_renew^4*SUMIFS(AO607:AO655,B607:B655,B639-48))</f>
        <v/>
      </c>
      <c r="AQ639" s="40">
        <f>AQ638*(1-IF(B638&gt;=in_marketplace_from,d_hz_two_wheeler*G638,0))</f>
        <v/>
      </c>
      <c r="AR639" s="46">
        <f>AQ639*IF(B639&gt;=in_marketplace_from,d_hz_two_wheeler*G639,0)</f>
        <v/>
      </c>
      <c r="AS639" s="14">
        <f>F639*AR639*in_two_wheeler_ticket*in_two_wheeler_comm*in_ins_partner_share+F639*in_two_wheeler_ticket*in_two_wheeler_comm*in_ins_partner_share*(in_two_wheeler_renew^1*SUMIFS(AR607:AR655,B607:B655,B639-12)+in_two_wheeler_renew^2*SUMIFS(AR607:AR655,B607:B655,B639-24)+in_two_wheeler_renew^3*SUMIFS(AR607:AR655,B607:B655,B639-36)+in_two_wheeler_renew^4*SUMIFS(AR607:AR655,B607:B655,B639-48))</f>
        <v/>
      </c>
      <c r="AT639" s="40">
        <f>AT638*(1-IF(B638&gt;=in_marketplace_from,d_hz_device*G638,0))</f>
        <v/>
      </c>
      <c r="AU639" s="14">
        <f>F639*AT639*IF(B639&gt;=in_marketplace_from,d_hz_device*G639,0)*in_device_ticket*in_device_comm*in_ins_partner_share</f>
        <v/>
      </c>
      <c r="AV639" s="40">
        <f>AV638*(1-IF(B638&gt;=in_marketplace_from,d_hz_shop*G638,0))</f>
        <v/>
      </c>
      <c r="AW639" s="46">
        <f>AV639*IF(B639&gt;=in_marketplace_from,d_hz_shop*G639,0)</f>
        <v/>
      </c>
      <c r="AX639" s="14">
        <f>F639*AW639*in_shop_ticket*in_shop_comm*in_ins_partner_share+F639*in_shop_ticket*in_shop_renew_comm*in_ins_partner_share*(in_shop_renew^1*SUMIFS(AW607:AW655,B607:B655,B639-12)+in_shop_renew^2*SUMIFS(AW607:AW655,B607:B655,B639-24)+in_shop_renew^3*SUMIFS(AW607:AW655,B607:B655,B639-36)+in_shop_renew^4*SUMIFS(AW607:AW655,B607:B655,B639-48))</f>
        <v/>
      </c>
      <c r="AY639" s="40">
        <f>AY638*(1-IF(B638&gt;=in_marketplace_from,d_hz_sip*G638,0))</f>
        <v/>
      </c>
      <c r="AZ639" s="40">
        <f>AZ638*d_rho_sip+AY639*IF(B639&gt;=in_marketplace_from,d_hz_sip*G639,0)</f>
        <v/>
      </c>
      <c r="BA639" s="40">
        <f>d_rho_sip*(BA638+AZ638)</f>
        <v/>
      </c>
      <c r="BB639" s="14">
        <f>F639*in_sip_ticket*(BA639+0.5*AZ639)*in_sip_comm/12</f>
        <v/>
      </c>
      <c r="BC639" s="40">
        <f>BC638*(1-IF(B638&gt;=in_marketplace_from,d_hz_choti*G638,0))</f>
        <v/>
      </c>
      <c r="BD639" s="46">
        <f>BC639*IF(B639&gt;=in_marketplace_from,d_hz_choti*G639,0)</f>
        <v/>
      </c>
      <c r="BE639" s="14">
        <f>F639*SUMIFS(BD607:BD655,B607:B655,B639-in_choti_months)*in_choti_renew*in_choti_ticket</f>
        <v/>
      </c>
      <c r="BF639" s="40">
        <f>BF638*(1-IF(B638&gt;=in_marketplace_from,d_hz_nps*G638,0))</f>
        <v/>
      </c>
      <c r="BG639" s="14">
        <f>F639*BF639*IF(B639&gt;=in_marketplace_from,d_hz_nps*G639,0)*in_nps_ticket*in_nps_comm</f>
        <v/>
      </c>
      <c r="BH639" s="40">
        <f>BH638*(1-IF(B638&gt;=in_marketplace_from,d_hz_gold*G638,0))</f>
        <v/>
      </c>
      <c r="BI639" s="40">
        <f>BI638*d_rho_gold+BH639*IF(B639&gt;=in_marketplace_from,d_hz_gold*G639,0)</f>
        <v/>
      </c>
      <c r="BJ639" s="14">
        <f>F639*BI639*in_gold_ticket*in_gold_comm</f>
        <v/>
      </c>
      <c r="BK639" s="40">
        <f>BK638*(1-IF(B638&gt;=in_marketplace_from,d_hz_fd*G638,0))</f>
        <v/>
      </c>
      <c r="BL639" s="14">
        <f>F639*BK639*IF(B639&gt;=in_marketplace_from,d_hz_fd*G639,0)*in_fd_ticket*in_fd_comm</f>
        <v/>
      </c>
      <c r="BM639" s="40">
        <f>BM638*(1-IF(B638&gt;=in_marketplace_from,d_hz_recharge*G638,0))</f>
        <v/>
      </c>
      <c r="BN639" s="40">
        <f>BN638*d_rho_recharge+BM639*IF(B639&gt;=in_marketplace_from,d_hz_recharge*G639,0)</f>
        <v/>
      </c>
      <c r="BO639" s="14">
        <f>F639*BN639*in_recharge_ticket*in_recharge_comm/12</f>
        <v/>
      </c>
      <c r="BP639" s="40">
        <f>BP638*(1-IF(B638&gt;=in_marketplace_from,d_hz_bills*G638,0))</f>
        <v/>
      </c>
      <c r="BQ639" s="40">
        <f>BQ638*d_rho_bills+BP639*IF(B639&gt;=in_marketplace_from,d_hz_bills*G639,0)</f>
        <v/>
      </c>
      <c r="BR639" s="14">
        <f>F639*BQ639*in_bills_ticket*in_bills_comm/12</f>
        <v/>
      </c>
      <c r="BS639" s="40">
        <f>BS638*(1-IF(B638&gt;=in_marketplace_from,d_hz_loan_gold*G638,0))</f>
        <v/>
      </c>
      <c r="BT639" s="14">
        <f>F639*BS639*IF(B639&gt;=in_marketplace_from,d_hz_loan_gold*G639,0)*in_loan_gold_ticket*in_loan_gold_comm</f>
        <v/>
      </c>
      <c r="BU639" s="40">
        <f>BU638*(1-IF(B638&gt;=in_marketplace_from,d_hz_loan_cd*G638,0))</f>
        <v/>
      </c>
      <c r="BV639" s="14">
        <f>F639*BU639*IF(B639&gt;=in_marketplace_from,d_hz_loan_cd*G639,0)*in_loan_cd_ticket*in_loan_cd_comm</f>
        <v/>
      </c>
      <c r="BW639" s="40">
        <f>BW638*(1-IF(B638&gt;=in_marketplace_from,d_hz_loan_vehicle*G638,0))</f>
        <v/>
      </c>
      <c r="BX639" s="14">
        <f>F639*BW639*IF(B639&gt;=in_marketplace_from,d_hz_loan_vehicle*G639,0)*in_loan_vehicle_ticket*in_loan_vehicle_comm</f>
        <v/>
      </c>
      <c r="BY639" s="40">
        <f>BY638*(1-IF(B638&gt;=in_marketplace_from,d_hz_loan_home*G638,0)*BZ638)</f>
        <v/>
      </c>
      <c r="BZ639" s="11">
        <f>MIN(in_approval_cap,in_loan_home_approval*INDEX('Age profile'!$O$2:$O$61,B639)*(1+in_approval_growth)^(D639-1))</f>
        <v/>
      </c>
      <c r="CA639" s="14">
        <f>F639*BY639*IF(B639&gt;=in_marketplace_from,d_hz_loan_home*G639,0)*BZ639*in_loan_home_ticket*in_loan_home_comm</f>
        <v/>
      </c>
      <c r="CB639" s="40">
        <f>CB638*(1-IF(B638&gt;=in_marketplace_from,d_hz_loan_lap*G638,0)*CC638)</f>
        <v/>
      </c>
      <c r="CC639" s="11">
        <f>MIN(in_approval_cap,in_loan_lap_approval*INDEX('Age profile'!$O$2:$O$61,B639)*(1+in_approval_growth)^(D639-1))</f>
        <v/>
      </c>
      <c r="CD639" s="14">
        <f>F639*CB639*IF(B639&gt;=in_marketplace_from,d_hz_loan_lap*G639,0)*CC639*in_loan_lap_ticket*in_loan_lap_comm</f>
        <v/>
      </c>
      <c r="CE639" s="14">
        <f>AA639+AB639+AC639+AD639+AG639+AJ639+AM639+AP639+AS639+AU639+AX639+BB639+BE639+BG639+BJ639+BL639+BO639+BR639+BT639+BV639+BX639+CA639+CD639</f>
        <v/>
      </c>
    </row>
    <row r="640">
      <c r="A640" s="39" t="n">
        <v>12</v>
      </c>
      <c r="B640" s="39" t="n">
        <v>34</v>
      </c>
      <c r="C640" s="39">
        <f>A640+B640-1</f>
        <v/>
      </c>
      <c r="D640" s="39">
        <f>INT((C640-1)/12)+1</f>
        <v/>
      </c>
      <c r="E640" s="44">
        <f>INDEX(Monthly!$B$2:$B$61,A640)</f>
        <v/>
      </c>
      <c r="F640" s="44">
        <f>E640*INDEX('Age profile'!$B$2:$B$61,B640)</f>
        <v/>
      </c>
      <c r="G640" s="45">
        <f>MIN(in_takeup_cap,INDEX('Age profile'!$N$2:$N$61,B640)*(1+in_takeup_growth)^(D640-1))</f>
        <v/>
      </c>
      <c r="H640" s="11">
        <f>MIN(in_approval_cap,in_approved_first*INDEX('Age profile'!$O$2:$O$61,B640)*(1+in_approval_growth)^(D640-1))</f>
        <v/>
      </c>
      <c r="I640" s="45">
        <f>G640*MIN(in_takeup_cap,INDEX('Age profile'!$O$2:$O$61,B640)*(1+in_approval_growth)^(D640-1))</f>
        <v/>
      </c>
      <c r="J640" s="40">
        <f>(J639-L639)*F640/F639</f>
        <v/>
      </c>
      <c r="K640" s="40">
        <f>(K639-M639)*F640/F639+SUMIFS(O607:O639,B607:B639,B640-1-d_T)*F640</f>
        <v/>
      </c>
      <c r="L640" s="40">
        <f>IF(B640&gt;=in_marketplace_from,J640*d_hz*G640*in_eligible*H640,0)</f>
        <v/>
      </c>
      <c r="M640" s="40">
        <f>IF(B640&gt;=in_marketplace_from,K640*d_hz*G640*in_eligible*in_approved_repeat,0)</f>
        <v/>
      </c>
      <c r="N640" s="40">
        <f>L640+M640</f>
        <v/>
      </c>
      <c r="O640" s="46">
        <f>N640/F640</f>
        <v/>
      </c>
      <c r="P640" s="40">
        <f>F640-J640-K640</f>
        <v/>
      </c>
      <c r="Q640" s="40">
        <f>IF(B640&gt;=in_marketplace_from,(J640+K640)*d_hz*G640,0)</f>
        <v/>
      </c>
      <c r="R640" s="40">
        <f>SUMIFS(N607:N655,B607:B655,"&gt;="&amp;(B640-d_T),B607:B655,"&lt;="&amp;(B640-1))</f>
        <v/>
      </c>
      <c r="S640" s="46">
        <f>(1-d_u)*S639+IF(d_T&gt;in_topup_lag,SUMIFS(O607:O655,B607:B655,B640-in_topup_lag)-d_udrop*SUMIFS(O607:O655,B607:B655,B640-d_T),0)</f>
        <v/>
      </c>
      <c r="T640" s="40">
        <f>F640*d_u*S640</f>
        <v/>
      </c>
      <c r="U640" s="9">
        <f>L640*in_ticket+M640*d_rep_ticket</f>
        <v/>
      </c>
      <c r="V640" s="9">
        <f>U640+T640*d_topup_amt</f>
        <v/>
      </c>
      <c r="W640" s="40">
        <f>N640+T640*d_topup_ratio</f>
        <v/>
      </c>
      <c r="X640" s="40">
        <f>SUMIFS(W607:W655,B607:B655,B640-in_dpd_lag)*d_cured</f>
        <v/>
      </c>
      <c r="Y640" s="40">
        <f>SUMIFS(W607:W655,B607:B655,B640-in_rec_lag)*d_recd</f>
        <v/>
      </c>
      <c r="Z640" s="40">
        <f>IF(AND(B640&gt;=in_marketplace_from,B640&lt;in_marketplace_from+in_card_months),in_card_share/in_card_months*F640*I640,IF(AND(B640&gt;=in_marketplace_from+in_card_months,B640&lt;in_marketplace_from+2*in_card_months),in_card_share*d_card_rem/in_card_months*F640*MIN(in_takeup_cap,(1+in_takeup_growth)^(D640-1))*MIN(in_takeup_cap,(1+in_approval_growth)^(D640-1)),0))</f>
        <v/>
      </c>
      <c r="AA640" s="14">
        <f>V640*in_fee*(1-in_taken_back)</f>
        <v/>
      </c>
      <c r="AB640" s="14">
        <f>SUMIFS(W607:W655,B607:B655,B640-in_dpd_lag)*d_dpd</f>
        <v/>
      </c>
      <c r="AC640" s="14">
        <f>SUMIFS(W607:W655,B607:B655,B640-in_rec_lag)*d_rec</f>
        <v/>
      </c>
      <c r="AD640" s="14">
        <f>Z640*in_card_fee</f>
        <v/>
      </c>
      <c r="AE640" s="40">
        <f>AE639*(1-IF(B639&gt;=in_marketplace_from,d_hz_hlth_small*G639,0))</f>
        <v/>
      </c>
      <c r="AF640" s="46">
        <f>AE640*IF(B640&gt;=in_marketplace_from,d_hz_hlth_small*G640,0)</f>
        <v/>
      </c>
      <c r="AG640" s="14">
        <f>F640*AF640*in_hlth_small_ticket*in_hlth_small_comm*in_ins_partner_share+F640*in_hlth_small_ticket*in_hlth_small_renew_comm*in_ins_partner_share*(in_hlth_small_renew^1*SUMIFS(AF607:AF655,B607:B655,B640-12)+in_hlth_small_renew^2*SUMIFS(AF607:AF655,B607:B655,B640-24)+in_hlth_small_renew^3*SUMIFS(AF607:AF655,B607:B655,B640-36)+in_hlth_small_renew^4*SUMIFS(AF607:AF655,B607:B655,B640-48))</f>
        <v/>
      </c>
      <c r="AH640" s="40">
        <f>AH639*(1-IF(B639&gt;=in_marketplace_from,d_hz_hlth_family*G639,0))</f>
        <v/>
      </c>
      <c r="AI640" s="46">
        <f>AH640*IF(B640&gt;=in_marketplace_from,d_hz_hlth_family*G640,0)</f>
        <v/>
      </c>
      <c r="AJ640" s="14">
        <f>F640*AI640*in_hlth_family_ticket*in_hlth_family_comm*in_ins_partner_share+F640*in_hlth_family_ticket*in_hlth_family_renew_comm*in_ins_partner_share*(in_hlth_family_renew^1*SUMIFS(AI607:AI655,B607:B655,B640-12)+in_hlth_family_renew^2*SUMIFS(AI607:AI655,B607:B655,B640-24)+in_hlth_family_renew^3*SUMIFS(AI607:AI655,B607:B655,B640-36)+in_hlth_family_renew^4*SUMIFS(AI607:AI655,B607:B655,B640-48))</f>
        <v/>
      </c>
      <c r="AK640" s="40">
        <f>AK639*(1-IF(B639&gt;=in_marketplace_from,d_hz_life_term*G639,0))</f>
        <v/>
      </c>
      <c r="AL640" s="46">
        <f>AK640*IF(B640&gt;=in_marketplace_from,d_hz_life_term*G640,0)</f>
        <v/>
      </c>
      <c r="AM640" s="14">
        <f>F640*AL640*in_life_term_ticket*in_life_term_comm*in_ins_partner_share+F640*in_life_term_ticket*in_life_term_renew_comm*in_ins_partner_share*(in_life_term_renew^1*SUMIFS(AL607:AL655,B607:B655,B640-12)+in_life_term_renew^2*SUMIFS(AL607:AL655,B607:B655,B640-24)+in_life_term_renew^3*SUMIFS(AL607:AL655,B607:B655,B640-36)+in_life_term_renew^4*SUMIFS(AL607:AL655,B607:B655,B640-48))</f>
        <v/>
      </c>
      <c r="AN640" s="40">
        <f>AN639*(1-IF(B639&gt;=in_marketplace_from,d_hz_accident*G639,0))</f>
        <v/>
      </c>
      <c r="AO640" s="46">
        <f>AN640*IF(B640&gt;=in_marketplace_from,d_hz_accident*G640,0)</f>
        <v/>
      </c>
      <c r="AP640" s="14">
        <f>F640*AO640*in_accident_ticket*in_accident_comm*in_ins_partner_share+F640*in_accident_ticket*in_accident_renew_comm*in_ins_partner_share*(in_accident_renew^1*SUMIFS(AO607:AO655,B607:B655,B640-12)+in_accident_renew^2*SUMIFS(AO607:AO655,B607:B655,B640-24)+in_accident_renew^3*SUMIFS(AO607:AO655,B607:B655,B640-36)+in_accident_renew^4*SUMIFS(AO607:AO655,B607:B655,B640-48))</f>
        <v/>
      </c>
      <c r="AQ640" s="40">
        <f>AQ639*(1-IF(B639&gt;=in_marketplace_from,d_hz_two_wheeler*G639,0))</f>
        <v/>
      </c>
      <c r="AR640" s="46">
        <f>AQ640*IF(B640&gt;=in_marketplace_from,d_hz_two_wheeler*G640,0)</f>
        <v/>
      </c>
      <c r="AS640" s="14">
        <f>F640*AR640*in_two_wheeler_ticket*in_two_wheeler_comm*in_ins_partner_share+F640*in_two_wheeler_ticket*in_two_wheeler_comm*in_ins_partner_share*(in_two_wheeler_renew^1*SUMIFS(AR607:AR655,B607:B655,B640-12)+in_two_wheeler_renew^2*SUMIFS(AR607:AR655,B607:B655,B640-24)+in_two_wheeler_renew^3*SUMIFS(AR607:AR655,B607:B655,B640-36)+in_two_wheeler_renew^4*SUMIFS(AR607:AR655,B607:B655,B640-48))</f>
        <v/>
      </c>
      <c r="AT640" s="40">
        <f>AT639*(1-IF(B639&gt;=in_marketplace_from,d_hz_device*G639,0))</f>
        <v/>
      </c>
      <c r="AU640" s="14">
        <f>F640*AT640*IF(B640&gt;=in_marketplace_from,d_hz_device*G640,0)*in_device_ticket*in_device_comm*in_ins_partner_share</f>
        <v/>
      </c>
      <c r="AV640" s="40">
        <f>AV639*(1-IF(B639&gt;=in_marketplace_from,d_hz_shop*G639,0))</f>
        <v/>
      </c>
      <c r="AW640" s="46">
        <f>AV640*IF(B640&gt;=in_marketplace_from,d_hz_shop*G640,0)</f>
        <v/>
      </c>
      <c r="AX640" s="14">
        <f>F640*AW640*in_shop_ticket*in_shop_comm*in_ins_partner_share+F640*in_shop_ticket*in_shop_renew_comm*in_ins_partner_share*(in_shop_renew^1*SUMIFS(AW607:AW655,B607:B655,B640-12)+in_shop_renew^2*SUMIFS(AW607:AW655,B607:B655,B640-24)+in_shop_renew^3*SUMIFS(AW607:AW655,B607:B655,B640-36)+in_shop_renew^4*SUMIFS(AW607:AW655,B607:B655,B640-48))</f>
        <v/>
      </c>
      <c r="AY640" s="40">
        <f>AY639*(1-IF(B639&gt;=in_marketplace_from,d_hz_sip*G639,0))</f>
        <v/>
      </c>
      <c r="AZ640" s="40">
        <f>AZ639*d_rho_sip+AY640*IF(B640&gt;=in_marketplace_from,d_hz_sip*G640,0)</f>
        <v/>
      </c>
      <c r="BA640" s="40">
        <f>d_rho_sip*(BA639+AZ639)</f>
        <v/>
      </c>
      <c r="BB640" s="14">
        <f>F640*in_sip_ticket*(BA640+0.5*AZ640)*in_sip_comm/12</f>
        <v/>
      </c>
      <c r="BC640" s="40">
        <f>BC639*(1-IF(B639&gt;=in_marketplace_from,d_hz_choti*G639,0))</f>
        <v/>
      </c>
      <c r="BD640" s="46">
        <f>BC640*IF(B640&gt;=in_marketplace_from,d_hz_choti*G640,0)</f>
        <v/>
      </c>
      <c r="BE640" s="14">
        <f>F640*SUMIFS(BD607:BD655,B607:B655,B640-in_choti_months)*in_choti_renew*in_choti_ticket</f>
        <v/>
      </c>
      <c r="BF640" s="40">
        <f>BF639*(1-IF(B639&gt;=in_marketplace_from,d_hz_nps*G639,0))</f>
        <v/>
      </c>
      <c r="BG640" s="14">
        <f>F640*BF640*IF(B640&gt;=in_marketplace_from,d_hz_nps*G640,0)*in_nps_ticket*in_nps_comm</f>
        <v/>
      </c>
      <c r="BH640" s="40">
        <f>BH639*(1-IF(B639&gt;=in_marketplace_from,d_hz_gold*G639,0))</f>
        <v/>
      </c>
      <c r="BI640" s="40">
        <f>BI639*d_rho_gold+BH640*IF(B640&gt;=in_marketplace_from,d_hz_gold*G640,0)</f>
        <v/>
      </c>
      <c r="BJ640" s="14">
        <f>F640*BI640*in_gold_ticket*in_gold_comm</f>
        <v/>
      </c>
      <c r="BK640" s="40">
        <f>BK639*(1-IF(B639&gt;=in_marketplace_from,d_hz_fd*G639,0))</f>
        <v/>
      </c>
      <c r="BL640" s="14">
        <f>F640*BK640*IF(B640&gt;=in_marketplace_from,d_hz_fd*G640,0)*in_fd_ticket*in_fd_comm</f>
        <v/>
      </c>
      <c r="BM640" s="40">
        <f>BM639*(1-IF(B639&gt;=in_marketplace_from,d_hz_recharge*G639,0))</f>
        <v/>
      </c>
      <c r="BN640" s="40">
        <f>BN639*d_rho_recharge+BM640*IF(B640&gt;=in_marketplace_from,d_hz_recharge*G640,0)</f>
        <v/>
      </c>
      <c r="BO640" s="14">
        <f>F640*BN640*in_recharge_ticket*in_recharge_comm/12</f>
        <v/>
      </c>
      <c r="BP640" s="40">
        <f>BP639*(1-IF(B639&gt;=in_marketplace_from,d_hz_bills*G639,0))</f>
        <v/>
      </c>
      <c r="BQ640" s="40">
        <f>BQ639*d_rho_bills+BP640*IF(B640&gt;=in_marketplace_from,d_hz_bills*G640,0)</f>
        <v/>
      </c>
      <c r="BR640" s="14">
        <f>F640*BQ640*in_bills_ticket*in_bills_comm/12</f>
        <v/>
      </c>
      <c r="BS640" s="40">
        <f>BS639*(1-IF(B639&gt;=in_marketplace_from,d_hz_loan_gold*G639,0))</f>
        <v/>
      </c>
      <c r="BT640" s="14">
        <f>F640*BS640*IF(B640&gt;=in_marketplace_from,d_hz_loan_gold*G640,0)*in_loan_gold_ticket*in_loan_gold_comm</f>
        <v/>
      </c>
      <c r="BU640" s="40">
        <f>BU639*(1-IF(B639&gt;=in_marketplace_from,d_hz_loan_cd*G639,0))</f>
        <v/>
      </c>
      <c r="BV640" s="14">
        <f>F640*BU640*IF(B640&gt;=in_marketplace_from,d_hz_loan_cd*G640,0)*in_loan_cd_ticket*in_loan_cd_comm</f>
        <v/>
      </c>
      <c r="BW640" s="40">
        <f>BW639*(1-IF(B639&gt;=in_marketplace_from,d_hz_loan_vehicle*G639,0))</f>
        <v/>
      </c>
      <c r="BX640" s="14">
        <f>F640*BW640*IF(B640&gt;=in_marketplace_from,d_hz_loan_vehicle*G640,0)*in_loan_vehicle_ticket*in_loan_vehicle_comm</f>
        <v/>
      </c>
      <c r="BY640" s="40">
        <f>BY639*(1-IF(B639&gt;=in_marketplace_from,d_hz_loan_home*G639,0)*BZ639)</f>
        <v/>
      </c>
      <c r="BZ640" s="11">
        <f>MIN(in_approval_cap,in_loan_home_approval*INDEX('Age profile'!$O$2:$O$61,B640)*(1+in_approval_growth)^(D640-1))</f>
        <v/>
      </c>
      <c r="CA640" s="14">
        <f>F640*BY640*IF(B640&gt;=in_marketplace_from,d_hz_loan_home*G640,0)*BZ640*in_loan_home_ticket*in_loan_home_comm</f>
        <v/>
      </c>
      <c r="CB640" s="40">
        <f>CB639*(1-IF(B639&gt;=in_marketplace_from,d_hz_loan_lap*G639,0)*CC639)</f>
        <v/>
      </c>
      <c r="CC640" s="11">
        <f>MIN(in_approval_cap,in_loan_lap_approval*INDEX('Age profile'!$O$2:$O$61,B640)*(1+in_approval_growth)^(D640-1))</f>
        <v/>
      </c>
      <c r="CD640" s="14">
        <f>F640*CB640*IF(B640&gt;=in_marketplace_from,d_hz_loan_lap*G640,0)*CC640*in_loan_lap_ticket*in_loan_lap_comm</f>
        <v/>
      </c>
      <c r="CE640" s="14">
        <f>AA640+AB640+AC640+AD640+AG640+AJ640+AM640+AP640+AS640+AU640+AX640+BB640+BE640+BG640+BJ640+BL640+BO640+BR640+BT640+BV640+BX640+CA640+CD640</f>
        <v/>
      </c>
    </row>
    <row r="641">
      <c r="A641" s="39" t="n">
        <v>12</v>
      </c>
      <c r="B641" s="39" t="n">
        <v>35</v>
      </c>
      <c r="C641" s="39">
        <f>A641+B641-1</f>
        <v/>
      </c>
      <c r="D641" s="39">
        <f>INT((C641-1)/12)+1</f>
        <v/>
      </c>
      <c r="E641" s="44">
        <f>INDEX(Monthly!$B$2:$B$61,A641)</f>
        <v/>
      </c>
      <c r="F641" s="44">
        <f>E641*INDEX('Age profile'!$B$2:$B$61,B641)</f>
        <v/>
      </c>
      <c r="G641" s="45">
        <f>MIN(in_takeup_cap,INDEX('Age profile'!$N$2:$N$61,B641)*(1+in_takeup_growth)^(D641-1))</f>
        <v/>
      </c>
      <c r="H641" s="11">
        <f>MIN(in_approval_cap,in_approved_first*INDEX('Age profile'!$O$2:$O$61,B641)*(1+in_approval_growth)^(D641-1))</f>
        <v/>
      </c>
      <c r="I641" s="45">
        <f>G641*MIN(in_takeup_cap,INDEX('Age profile'!$O$2:$O$61,B641)*(1+in_approval_growth)^(D641-1))</f>
        <v/>
      </c>
      <c r="J641" s="40">
        <f>(J640-L640)*F641/F640</f>
        <v/>
      </c>
      <c r="K641" s="40">
        <f>(K640-M640)*F641/F640+SUMIFS(O607:O640,B607:B640,B641-1-d_T)*F641</f>
        <v/>
      </c>
      <c r="L641" s="40">
        <f>IF(B641&gt;=in_marketplace_from,J641*d_hz*G641*in_eligible*H641,0)</f>
        <v/>
      </c>
      <c r="M641" s="40">
        <f>IF(B641&gt;=in_marketplace_from,K641*d_hz*G641*in_eligible*in_approved_repeat,0)</f>
        <v/>
      </c>
      <c r="N641" s="40">
        <f>L641+M641</f>
        <v/>
      </c>
      <c r="O641" s="46">
        <f>N641/F641</f>
        <v/>
      </c>
      <c r="P641" s="40">
        <f>F641-J641-K641</f>
        <v/>
      </c>
      <c r="Q641" s="40">
        <f>IF(B641&gt;=in_marketplace_from,(J641+K641)*d_hz*G641,0)</f>
        <v/>
      </c>
      <c r="R641" s="40">
        <f>SUMIFS(N607:N655,B607:B655,"&gt;="&amp;(B641-d_T),B607:B655,"&lt;="&amp;(B641-1))</f>
        <v/>
      </c>
      <c r="S641" s="46">
        <f>(1-d_u)*S640+IF(d_T&gt;in_topup_lag,SUMIFS(O607:O655,B607:B655,B641-in_topup_lag)-d_udrop*SUMIFS(O607:O655,B607:B655,B641-d_T),0)</f>
        <v/>
      </c>
      <c r="T641" s="40">
        <f>F641*d_u*S641</f>
        <v/>
      </c>
      <c r="U641" s="9">
        <f>L641*in_ticket+M641*d_rep_ticket</f>
        <v/>
      </c>
      <c r="V641" s="9">
        <f>U641+T641*d_topup_amt</f>
        <v/>
      </c>
      <c r="W641" s="40">
        <f>N641+T641*d_topup_ratio</f>
        <v/>
      </c>
      <c r="X641" s="40">
        <f>SUMIFS(W607:W655,B607:B655,B641-in_dpd_lag)*d_cured</f>
        <v/>
      </c>
      <c r="Y641" s="40">
        <f>SUMIFS(W607:W655,B607:B655,B641-in_rec_lag)*d_recd</f>
        <v/>
      </c>
      <c r="Z641" s="40">
        <f>IF(AND(B641&gt;=in_marketplace_from,B641&lt;in_marketplace_from+in_card_months),in_card_share/in_card_months*F641*I641,IF(AND(B641&gt;=in_marketplace_from+in_card_months,B641&lt;in_marketplace_from+2*in_card_months),in_card_share*d_card_rem/in_card_months*F641*MIN(in_takeup_cap,(1+in_takeup_growth)^(D641-1))*MIN(in_takeup_cap,(1+in_approval_growth)^(D641-1)),0))</f>
        <v/>
      </c>
      <c r="AA641" s="14">
        <f>V641*in_fee*(1-in_taken_back)</f>
        <v/>
      </c>
      <c r="AB641" s="14">
        <f>SUMIFS(W607:W655,B607:B655,B641-in_dpd_lag)*d_dpd</f>
        <v/>
      </c>
      <c r="AC641" s="14">
        <f>SUMIFS(W607:W655,B607:B655,B641-in_rec_lag)*d_rec</f>
        <v/>
      </c>
      <c r="AD641" s="14">
        <f>Z641*in_card_fee</f>
        <v/>
      </c>
      <c r="AE641" s="40">
        <f>AE640*(1-IF(B640&gt;=in_marketplace_from,d_hz_hlth_small*G640,0))</f>
        <v/>
      </c>
      <c r="AF641" s="46">
        <f>AE641*IF(B641&gt;=in_marketplace_from,d_hz_hlth_small*G641,0)</f>
        <v/>
      </c>
      <c r="AG641" s="14">
        <f>F641*AF641*in_hlth_small_ticket*in_hlth_small_comm*in_ins_partner_share+F641*in_hlth_small_ticket*in_hlth_small_renew_comm*in_ins_partner_share*(in_hlth_small_renew^1*SUMIFS(AF607:AF655,B607:B655,B641-12)+in_hlth_small_renew^2*SUMIFS(AF607:AF655,B607:B655,B641-24)+in_hlth_small_renew^3*SUMIFS(AF607:AF655,B607:B655,B641-36)+in_hlth_small_renew^4*SUMIFS(AF607:AF655,B607:B655,B641-48))</f>
        <v/>
      </c>
      <c r="AH641" s="40">
        <f>AH640*(1-IF(B640&gt;=in_marketplace_from,d_hz_hlth_family*G640,0))</f>
        <v/>
      </c>
      <c r="AI641" s="46">
        <f>AH641*IF(B641&gt;=in_marketplace_from,d_hz_hlth_family*G641,0)</f>
        <v/>
      </c>
      <c r="AJ641" s="14">
        <f>F641*AI641*in_hlth_family_ticket*in_hlth_family_comm*in_ins_partner_share+F641*in_hlth_family_ticket*in_hlth_family_renew_comm*in_ins_partner_share*(in_hlth_family_renew^1*SUMIFS(AI607:AI655,B607:B655,B641-12)+in_hlth_family_renew^2*SUMIFS(AI607:AI655,B607:B655,B641-24)+in_hlth_family_renew^3*SUMIFS(AI607:AI655,B607:B655,B641-36)+in_hlth_family_renew^4*SUMIFS(AI607:AI655,B607:B655,B641-48))</f>
        <v/>
      </c>
      <c r="AK641" s="40">
        <f>AK640*(1-IF(B640&gt;=in_marketplace_from,d_hz_life_term*G640,0))</f>
        <v/>
      </c>
      <c r="AL641" s="46">
        <f>AK641*IF(B641&gt;=in_marketplace_from,d_hz_life_term*G641,0)</f>
        <v/>
      </c>
      <c r="AM641" s="14">
        <f>F641*AL641*in_life_term_ticket*in_life_term_comm*in_ins_partner_share+F641*in_life_term_ticket*in_life_term_renew_comm*in_ins_partner_share*(in_life_term_renew^1*SUMIFS(AL607:AL655,B607:B655,B641-12)+in_life_term_renew^2*SUMIFS(AL607:AL655,B607:B655,B641-24)+in_life_term_renew^3*SUMIFS(AL607:AL655,B607:B655,B641-36)+in_life_term_renew^4*SUMIFS(AL607:AL655,B607:B655,B641-48))</f>
        <v/>
      </c>
      <c r="AN641" s="40">
        <f>AN640*(1-IF(B640&gt;=in_marketplace_from,d_hz_accident*G640,0))</f>
        <v/>
      </c>
      <c r="AO641" s="46">
        <f>AN641*IF(B641&gt;=in_marketplace_from,d_hz_accident*G641,0)</f>
        <v/>
      </c>
      <c r="AP641" s="14">
        <f>F641*AO641*in_accident_ticket*in_accident_comm*in_ins_partner_share+F641*in_accident_ticket*in_accident_renew_comm*in_ins_partner_share*(in_accident_renew^1*SUMIFS(AO607:AO655,B607:B655,B641-12)+in_accident_renew^2*SUMIFS(AO607:AO655,B607:B655,B641-24)+in_accident_renew^3*SUMIFS(AO607:AO655,B607:B655,B641-36)+in_accident_renew^4*SUMIFS(AO607:AO655,B607:B655,B641-48))</f>
        <v/>
      </c>
      <c r="AQ641" s="40">
        <f>AQ640*(1-IF(B640&gt;=in_marketplace_from,d_hz_two_wheeler*G640,0))</f>
        <v/>
      </c>
      <c r="AR641" s="46">
        <f>AQ641*IF(B641&gt;=in_marketplace_from,d_hz_two_wheeler*G641,0)</f>
        <v/>
      </c>
      <c r="AS641" s="14">
        <f>F641*AR641*in_two_wheeler_ticket*in_two_wheeler_comm*in_ins_partner_share+F641*in_two_wheeler_ticket*in_two_wheeler_comm*in_ins_partner_share*(in_two_wheeler_renew^1*SUMIFS(AR607:AR655,B607:B655,B641-12)+in_two_wheeler_renew^2*SUMIFS(AR607:AR655,B607:B655,B641-24)+in_two_wheeler_renew^3*SUMIFS(AR607:AR655,B607:B655,B641-36)+in_two_wheeler_renew^4*SUMIFS(AR607:AR655,B607:B655,B641-48))</f>
        <v/>
      </c>
      <c r="AT641" s="40">
        <f>AT640*(1-IF(B640&gt;=in_marketplace_from,d_hz_device*G640,0))</f>
        <v/>
      </c>
      <c r="AU641" s="14">
        <f>F641*AT641*IF(B641&gt;=in_marketplace_from,d_hz_device*G641,0)*in_device_ticket*in_device_comm*in_ins_partner_share</f>
        <v/>
      </c>
      <c r="AV641" s="40">
        <f>AV640*(1-IF(B640&gt;=in_marketplace_from,d_hz_shop*G640,0))</f>
        <v/>
      </c>
      <c r="AW641" s="46">
        <f>AV641*IF(B641&gt;=in_marketplace_from,d_hz_shop*G641,0)</f>
        <v/>
      </c>
      <c r="AX641" s="14">
        <f>F641*AW641*in_shop_ticket*in_shop_comm*in_ins_partner_share+F641*in_shop_ticket*in_shop_renew_comm*in_ins_partner_share*(in_shop_renew^1*SUMIFS(AW607:AW655,B607:B655,B641-12)+in_shop_renew^2*SUMIFS(AW607:AW655,B607:B655,B641-24)+in_shop_renew^3*SUMIFS(AW607:AW655,B607:B655,B641-36)+in_shop_renew^4*SUMIFS(AW607:AW655,B607:B655,B641-48))</f>
        <v/>
      </c>
      <c r="AY641" s="40">
        <f>AY640*(1-IF(B640&gt;=in_marketplace_from,d_hz_sip*G640,0))</f>
        <v/>
      </c>
      <c r="AZ641" s="40">
        <f>AZ640*d_rho_sip+AY641*IF(B641&gt;=in_marketplace_from,d_hz_sip*G641,0)</f>
        <v/>
      </c>
      <c r="BA641" s="40">
        <f>d_rho_sip*(BA640+AZ640)</f>
        <v/>
      </c>
      <c r="BB641" s="14">
        <f>F641*in_sip_ticket*(BA641+0.5*AZ641)*in_sip_comm/12</f>
        <v/>
      </c>
      <c r="BC641" s="40">
        <f>BC640*(1-IF(B640&gt;=in_marketplace_from,d_hz_choti*G640,0))</f>
        <v/>
      </c>
      <c r="BD641" s="46">
        <f>BC641*IF(B641&gt;=in_marketplace_from,d_hz_choti*G641,0)</f>
        <v/>
      </c>
      <c r="BE641" s="14">
        <f>F641*SUMIFS(BD607:BD655,B607:B655,B641-in_choti_months)*in_choti_renew*in_choti_ticket</f>
        <v/>
      </c>
      <c r="BF641" s="40">
        <f>BF640*(1-IF(B640&gt;=in_marketplace_from,d_hz_nps*G640,0))</f>
        <v/>
      </c>
      <c r="BG641" s="14">
        <f>F641*BF641*IF(B641&gt;=in_marketplace_from,d_hz_nps*G641,0)*in_nps_ticket*in_nps_comm</f>
        <v/>
      </c>
      <c r="BH641" s="40">
        <f>BH640*(1-IF(B640&gt;=in_marketplace_from,d_hz_gold*G640,0))</f>
        <v/>
      </c>
      <c r="BI641" s="40">
        <f>BI640*d_rho_gold+BH641*IF(B641&gt;=in_marketplace_from,d_hz_gold*G641,0)</f>
        <v/>
      </c>
      <c r="BJ641" s="14">
        <f>F641*BI641*in_gold_ticket*in_gold_comm</f>
        <v/>
      </c>
      <c r="BK641" s="40">
        <f>BK640*(1-IF(B640&gt;=in_marketplace_from,d_hz_fd*G640,0))</f>
        <v/>
      </c>
      <c r="BL641" s="14">
        <f>F641*BK641*IF(B641&gt;=in_marketplace_from,d_hz_fd*G641,0)*in_fd_ticket*in_fd_comm</f>
        <v/>
      </c>
      <c r="BM641" s="40">
        <f>BM640*(1-IF(B640&gt;=in_marketplace_from,d_hz_recharge*G640,0))</f>
        <v/>
      </c>
      <c r="BN641" s="40">
        <f>BN640*d_rho_recharge+BM641*IF(B641&gt;=in_marketplace_from,d_hz_recharge*G641,0)</f>
        <v/>
      </c>
      <c r="BO641" s="14">
        <f>F641*BN641*in_recharge_ticket*in_recharge_comm/12</f>
        <v/>
      </c>
      <c r="BP641" s="40">
        <f>BP640*(1-IF(B640&gt;=in_marketplace_from,d_hz_bills*G640,0))</f>
        <v/>
      </c>
      <c r="BQ641" s="40">
        <f>BQ640*d_rho_bills+BP641*IF(B641&gt;=in_marketplace_from,d_hz_bills*G641,0)</f>
        <v/>
      </c>
      <c r="BR641" s="14">
        <f>F641*BQ641*in_bills_ticket*in_bills_comm/12</f>
        <v/>
      </c>
      <c r="BS641" s="40">
        <f>BS640*(1-IF(B640&gt;=in_marketplace_from,d_hz_loan_gold*G640,0))</f>
        <v/>
      </c>
      <c r="BT641" s="14">
        <f>F641*BS641*IF(B641&gt;=in_marketplace_from,d_hz_loan_gold*G641,0)*in_loan_gold_ticket*in_loan_gold_comm</f>
        <v/>
      </c>
      <c r="BU641" s="40">
        <f>BU640*(1-IF(B640&gt;=in_marketplace_from,d_hz_loan_cd*G640,0))</f>
        <v/>
      </c>
      <c r="BV641" s="14">
        <f>F641*BU641*IF(B641&gt;=in_marketplace_from,d_hz_loan_cd*G641,0)*in_loan_cd_ticket*in_loan_cd_comm</f>
        <v/>
      </c>
      <c r="BW641" s="40">
        <f>BW640*(1-IF(B640&gt;=in_marketplace_from,d_hz_loan_vehicle*G640,0))</f>
        <v/>
      </c>
      <c r="BX641" s="14">
        <f>F641*BW641*IF(B641&gt;=in_marketplace_from,d_hz_loan_vehicle*G641,0)*in_loan_vehicle_ticket*in_loan_vehicle_comm</f>
        <v/>
      </c>
      <c r="BY641" s="40">
        <f>BY640*(1-IF(B640&gt;=in_marketplace_from,d_hz_loan_home*G640,0)*BZ640)</f>
        <v/>
      </c>
      <c r="BZ641" s="11">
        <f>MIN(in_approval_cap,in_loan_home_approval*INDEX('Age profile'!$O$2:$O$61,B641)*(1+in_approval_growth)^(D641-1))</f>
        <v/>
      </c>
      <c r="CA641" s="14">
        <f>F641*BY641*IF(B641&gt;=in_marketplace_from,d_hz_loan_home*G641,0)*BZ641*in_loan_home_ticket*in_loan_home_comm</f>
        <v/>
      </c>
      <c r="CB641" s="40">
        <f>CB640*(1-IF(B640&gt;=in_marketplace_from,d_hz_loan_lap*G640,0)*CC640)</f>
        <v/>
      </c>
      <c r="CC641" s="11">
        <f>MIN(in_approval_cap,in_loan_lap_approval*INDEX('Age profile'!$O$2:$O$61,B641)*(1+in_approval_growth)^(D641-1))</f>
        <v/>
      </c>
      <c r="CD641" s="14">
        <f>F641*CB641*IF(B641&gt;=in_marketplace_from,d_hz_loan_lap*G641,0)*CC641*in_loan_lap_ticket*in_loan_lap_comm</f>
        <v/>
      </c>
      <c r="CE641" s="14">
        <f>AA641+AB641+AC641+AD641+AG641+AJ641+AM641+AP641+AS641+AU641+AX641+BB641+BE641+BG641+BJ641+BL641+BO641+BR641+BT641+BV641+BX641+CA641+CD641</f>
        <v/>
      </c>
    </row>
    <row r="642">
      <c r="A642" s="39" t="n">
        <v>12</v>
      </c>
      <c r="B642" s="39" t="n">
        <v>36</v>
      </c>
      <c r="C642" s="39">
        <f>A642+B642-1</f>
        <v/>
      </c>
      <c r="D642" s="39">
        <f>INT((C642-1)/12)+1</f>
        <v/>
      </c>
      <c r="E642" s="44">
        <f>INDEX(Monthly!$B$2:$B$61,A642)</f>
        <v/>
      </c>
      <c r="F642" s="44">
        <f>E642*INDEX('Age profile'!$B$2:$B$61,B642)</f>
        <v/>
      </c>
      <c r="G642" s="45">
        <f>MIN(in_takeup_cap,INDEX('Age profile'!$N$2:$N$61,B642)*(1+in_takeup_growth)^(D642-1))</f>
        <v/>
      </c>
      <c r="H642" s="11">
        <f>MIN(in_approval_cap,in_approved_first*INDEX('Age profile'!$O$2:$O$61,B642)*(1+in_approval_growth)^(D642-1))</f>
        <v/>
      </c>
      <c r="I642" s="45">
        <f>G642*MIN(in_takeup_cap,INDEX('Age profile'!$O$2:$O$61,B642)*(1+in_approval_growth)^(D642-1))</f>
        <v/>
      </c>
      <c r="J642" s="40">
        <f>(J641-L641)*F642/F641</f>
        <v/>
      </c>
      <c r="K642" s="40">
        <f>(K641-M641)*F642/F641+SUMIFS(O607:O641,B607:B641,B642-1-d_T)*F642</f>
        <v/>
      </c>
      <c r="L642" s="40">
        <f>IF(B642&gt;=in_marketplace_from,J642*d_hz*G642*in_eligible*H642,0)</f>
        <v/>
      </c>
      <c r="M642" s="40">
        <f>IF(B642&gt;=in_marketplace_from,K642*d_hz*G642*in_eligible*in_approved_repeat,0)</f>
        <v/>
      </c>
      <c r="N642" s="40">
        <f>L642+M642</f>
        <v/>
      </c>
      <c r="O642" s="46">
        <f>N642/F642</f>
        <v/>
      </c>
      <c r="P642" s="40">
        <f>F642-J642-K642</f>
        <v/>
      </c>
      <c r="Q642" s="40">
        <f>IF(B642&gt;=in_marketplace_from,(J642+K642)*d_hz*G642,0)</f>
        <v/>
      </c>
      <c r="R642" s="40">
        <f>SUMIFS(N607:N655,B607:B655,"&gt;="&amp;(B642-d_T),B607:B655,"&lt;="&amp;(B642-1))</f>
        <v/>
      </c>
      <c r="S642" s="46">
        <f>(1-d_u)*S641+IF(d_T&gt;in_topup_lag,SUMIFS(O607:O655,B607:B655,B642-in_topup_lag)-d_udrop*SUMIFS(O607:O655,B607:B655,B642-d_T),0)</f>
        <v/>
      </c>
      <c r="T642" s="40">
        <f>F642*d_u*S642</f>
        <v/>
      </c>
      <c r="U642" s="9">
        <f>L642*in_ticket+M642*d_rep_ticket</f>
        <v/>
      </c>
      <c r="V642" s="9">
        <f>U642+T642*d_topup_amt</f>
        <v/>
      </c>
      <c r="W642" s="40">
        <f>N642+T642*d_topup_ratio</f>
        <v/>
      </c>
      <c r="X642" s="40">
        <f>SUMIFS(W607:W655,B607:B655,B642-in_dpd_lag)*d_cured</f>
        <v/>
      </c>
      <c r="Y642" s="40">
        <f>SUMIFS(W607:W655,B607:B655,B642-in_rec_lag)*d_recd</f>
        <v/>
      </c>
      <c r="Z642" s="40">
        <f>IF(AND(B642&gt;=in_marketplace_from,B642&lt;in_marketplace_from+in_card_months),in_card_share/in_card_months*F642*I642,IF(AND(B642&gt;=in_marketplace_from+in_card_months,B642&lt;in_marketplace_from+2*in_card_months),in_card_share*d_card_rem/in_card_months*F642*MIN(in_takeup_cap,(1+in_takeup_growth)^(D642-1))*MIN(in_takeup_cap,(1+in_approval_growth)^(D642-1)),0))</f>
        <v/>
      </c>
      <c r="AA642" s="14">
        <f>V642*in_fee*(1-in_taken_back)</f>
        <v/>
      </c>
      <c r="AB642" s="14">
        <f>SUMIFS(W607:W655,B607:B655,B642-in_dpd_lag)*d_dpd</f>
        <v/>
      </c>
      <c r="AC642" s="14">
        <f>SUMIFS(W607:W655,B607:B655,B642-in_rec_lag)*d_rec</f>
        <v/>
      </c>
      <c r="AD642" s="14">
        <f>Z642*in_card_fee</f>
        <v/>
      </c>
      <c r="AE642" s="40">
        <f>AE641*(1-IF(B641&gt;=in_marketplace_from,d_hz_hlth_small*G641,0))</f>
        <v/>
      </c>
      <c r="AF642" s="46">
        <f>AE642*IF(B642&gt;=in_marketplace_from,d_hz_hlth_small*G642,0)</f>
        <v/>
      </c>
      <c r="AG642" s="14">
        <f>F642*AF642*in_hlth_small_ticket*in_hlth_small_comm*in_ins_partner_share+F642*in_hlth_small_ticket*in_hlth_small_renew_comm*in_ins_partner_share*(in_hlth_small_renew^1*SUMIFS(AF607:AF655,B607:B655,B642-12)+in_hlth_small_renew^2*SUMIFS(AF607:AF655,B607:B655,B642-24)+in_hlth_small_renew^3*SUMIFS(AF607:AF655,B607:B655,B642-36)+in_hlth_small_renew^4*SUMIFS(AF607:AF655,B607:B655,B642-48))</f>
        <v/>
      </c>
      <c r="AH642" s="40">
        <f>AH641*(1-IF(B641&gt;=in_marketplace_from,d_hz_hlth_family*G641,0))</f>
        <v/>
      </c>
      <c r="AI642" s="46">
        <f>AH642*IF(B642&gt;=in_marketplace_from,d_hz_hlth_family*G642,0)</f>
        <v/>
      </c>
      <c r="AJ642" s="14">
        <f>F642*AI642*in_hlth_family_ticket*in_hlth_family_comm*in_ins_partner_share+F642*in_hlth_family_ticket*in_hlth_family_renew_comm*in_ins_partner_share*(in_hlth_family_renew^1*SUMIFS(AI607:AI655,B607:B655,B642-12)+in_hlth_family_renew^2*SUMIFS(AI607:AI655,B607:B655,B642-24)+in_hlth_family_renew^3*SUMIFS(AI607:AI655,B607:B655,B642-36)+in_hlth_family_renew^4*SUMIFS(AI607:AI655,B607:B655,B642-48))</f>
        <v/>
      </c>
      <c r="AK642" s="40">
        <f>AK641*(1-IF(B641&gt;=in_marketplace_from,d_hz_life_term*G641,0))</f>
        <v/>
      </c>
      <c r="AL642" s="46">
        <f>AK642*IF(B642&gt;=in_marketplace_from,d_hz_life_term*G642,0)</f>
        <v/>
      </c>
      <c r="AM642" s="14">
        <f>F642*AL642*in_life_term_ticket*in_life_term_comm*in_ins_partner_share+F642*in_life_term_ticket*in_life_term_renew_comm*in_ins_partner_share*(in_life_term_renew^1*SUMIFS(AL607:AL655,B607:B655,B642-12)+in_life_term_renew^2*SUMIFS(AL607:AL655,B607:B655,B642-24)+in_life_term_renew^3*SUMIFS(AL607:AL655,B607:B655,B642-36)+in_life_term_renew^4*SUMIFS(AL607:AL655,B607:B655,B642-48))</f>
        <v/>
      </c>
      <c r="AN642" s="40">
        <f>AN641*(1-IF(B641&gt;=in_marketplace_from,d_hz_accident*G641,0))</f>
        <v/>
      </c>
      <c r="AO642" s="46">
        <f>AN642*IF(B642&gt;=in_marketplace_from,d_hz_accident*G642,0)</f>
        <v/>
      </c>
      <c r="AP642" s="14">
        <f>F642*AO642*in_accident_ticket*in_accident_comm*in_ins_partner_share+F642*in_accident_ticket*in_accident_renew_comm*in_ins_partner_share*(in_accident_renew^1*SUMIFS(AO607:AO655,B607:B655,B642-12)+in_accident_renew^2*SUMIFS(AO607:AO655,B607:B655,B642-24)+in_accident_renew^3*SUMIFS(AO607:AO655,B607:B655,B642-36)+in_accident_renew^4*SUMIFS(AO607:AO655,B607:B655,B642-48))</f>
        <v/>
      </c>
      <c r="AQ642" s="40">
        <f>AQ641*(1-IF(B641&gt;=in_marketplace_from,d_hz_two_wheeler*G641,0))</f>
        <v/>
      </c>
      <c r="AR642" s="46">
        <f>AQ642*IF(B642&gt;=in_marketplace_from,d_hz_two_wheeler*G642,0)</f>
        <v/>
      </c>
      <c r="AS642" s="14">
        <f>F642*AR642*in_two_wheeler_ticket*in_two_wheeler_comm*in_ins_partner_share+F642*in_two_wheeler_ticket*in_two_wheeler_comm*in_ins_partner_share*(in_two_wheeler_renew^1*SUMIFS(AR607:AR655,B607:B655,B642-12)+in_two_wheeler_renew^2*SUMIFS(AR607:AR655,B607:B655,B642-24)+in_two_wheeler_renew^3*SUMIFS(AR607:AR655,B607:B655,B642-36)+in_two_wheeler_renew^4*SUMIFS(AR607:AR655,B607:B655,B642-48))</f>
        <v/>
      </c>
      <c r="AT642" s="40">
        <f>AT641*(1-IF(B641&gt;=in_marketplace_from,d_hz_device*G641,0))</f>
        <v/>
      </c>
      <c r="AU642" s="14">
        <f>F642*AT642*IF(B642&gt;=in_marketplace_from,d_hz_device*G642,0)*in_device_ticket*in_device_comm*in_ins_partner_share</f>
        <v/>
      </c>
      <c r="AV642" s="40">
        <f>AV641*(1-IF(B641&gt;=in_marketplace_from,d_hz_shop*G641,0))</f>
        <v/>
      </c>
      <c r="AW642" s="46">
        <f>AV642*IF(B642&gt;=in_marketplace_from,d_hz_shop*G642,0)</f>
        <v/>
      </c>
      <c r="AX642" s="14">
        <f>F642*AW642*in_shop_ticket*in_shop_comm*in_ins_partner_share+F642*in_shop_ticket*in_shop_renew_comm*in_ins_partner_share*(in_shop_renew^1*SUMIFS(AW607:AW655,B607:B655,B642-12)+in_shop_renew^2*SUMIFS(AW607:AW655,B607:B655,B642-24)+in_shop_renew^3*SUMIFS(AW607:AW655,B607:B655,B642-36)+in_shop_renew^4*SUMIFS(AW607:AW655,B607:B655,B642-48))</f>
        <v/>
      </c>
      <c r="AY642" s="40">
        <f>AY641*(1-IF(B641&gt;=in_marketplace_from,d_hz_sip*G641,0))</f>
        <v/>
      </c>
      <c r="AZ642" s="40">
        <f>AZ641*d_rho_sip+AY642*IF(B642&gt;=in_marketplace_from,d_hz_sip*G642,0)</f>
        <v/>
      </c>
      <c r="BA642" s="40">
        <f>d_rho_sip*(BA641+AZ641)</f>
        <v/>
      </c>
      <c r="BB642" s="14">
        <f>F642*in_sip_ticket*(BA642+0.5*AZ642)*in_sip_comm/12</f>
        <v/>
      </c>
      <c r="BC642" s="40">
        <f>BC641*(1-IF(B641&gt;=in_marketplace_from,d_hz_choti*G641,0))</f>
        <v/>
      </c>
      <c r="BD642" s="46">
        <f>BC642*IF(B642&gt;=in_marketplace_from,d_hz_choti*G642,0)</f>
        <v/>
      </c>
      <c r="BE642" s="14">
        <f>F642*SUMIFS(BD607:BD655,B607:B655,B642-in_choti_months)*in_choti_renew*in_choti_ticket</f>
        <v/>
      </c>
      <c r="BF642" s="40">
        <f>BF641*(1-IF(B641&gt;=in_marketplace_from,d_hz_nps*G641,0))</f>
        <v/>
      </c>
      <c r="BG642" s="14">
        <f>F642*BF642*IF(B642&gt;=in_marketplace_from,d_hz_nps*G642,0)*in_nps_ticket*in_nps_comm</f>
        <v/>
      </c>
      <c r="BH642" s="40">
        <f>BH641*(1-IF(B641&gt;=in_marketplace_from,d_hz_gold*G641,0))</f>
        <v/>
      </c>
      <c r="BI642" s="40">
        <f>BI641*d_rho_gold+BH642*IF(B642&gt;=in_marketplace_from,d_hz_gold*G642,0)</f>
        <v/>
      </c>
      <c r="BJ642" s="14">
        <f>F642*BI642*in_gold_ticket*in_gold_comm</f>
        <v/>
      </c>
      <c r="BK642" s="40">
        <f>BK641*(1-IF(B641&gt;=in_marketplace_from,d_hz_fd*G641,0))</f>
        <v/>
      </c>
      <c r="BL642" s="14">
        <f>F642*BK642*IF(B642&gt;=in_marketplace_from,d_hz_fd*G642,0)*in_fd_ticket*in_fd_comm</f>
        <v/>
      </c>
      <c r="BM642" s="40">
        <f>BM641*(1-IF(B641&gt;=in_marketplace_from,d_hz_recharge*G641,0))</f>
        <v/>
      </c>
      <c r="BN642" s="40">
        <f>BN641*d_rho_recharge+BM642*IF(B642&gt;=in_marketplace_from,d_hz_recharge*G642,0)</f>
        <v/>
      </c>
      <c r="BO642" s="14">
        <f>F642*BN642*in_recharge_ticket*in_recharge_comm/12</f>
        <v/>
      </c>
      <c r="BP642" s="40">
        <f>BP641*(1-IF(B641&gt;=in_marketplace_from,d_hz_bills*G641,0))</f>
        <v/>
      </c>
      <c r="BQ642" s="40">
        <f>BQ641*d_rho_bills+BP642*IF(B642&gt;=in_marketplace_from,d_hz_bills*G642,0)</f>
        <v/>
      </c>
      <c r="BR642" s="14">
        <f>F642*BQ642*in_bills_ticket*in_bills_comm/12</f>
        <v/>
      </c>
      <c r="BS642" s="40">
        <f>BS641*(1-IF(B641&gt;=in_marketplace_from,d_hz_loan_gold*G641,0))</f>
        <v/>
      </c>
      <c r="BT642" s="14">
        <f>F642*BS642*IF(B642&gt;=in_marketplace_from,d_hz_loan_gold*G642,0)*in_loan_gold_ticket*in_loan_gold_comm</f>
        <v/>
      </c>
      <c r="BU642" s="40">
        <f>BU641*(1-IF(B641&gt;=in_marketplace_from,d_hz_loan_cd*G641,0))</f>
        <v/>
      </c>
      <c r="BV642" s="14">
        <f>F642*BU642*IF(B642&gt;=in_marketplace_from,d_hz_loan_cd*G642,0)*in_loan_cd_ticket*in_loan_cd_comm</f>
        <v/>
      </c>
      <c r="BW642" s="40">
        <f>BW641*(1-IF(B641&gt;=in_marketplace_from,d_hz_loan_vehicle*G641,0))</f>
        <v/>
      </c>
      <c r="BX642" s="14">
        <f>F642*BW642*IF(B642&gt;=in_marketplace_from,d_hz_loan_vehicle*G642,0)*in_loan_vehicle_ticket*in_loan_vehicle_comm</f>
        <v/>
      </c>
      <c r="BY642" s="40">
        <f>BY641*(1-IF(B641&gt;=in_marketplace_from,d_hz_loan_home*G641,0)*BZ641)</f>
        <v/>
      </c>
      <c r="BZ642" s="11">
        <f>MIN(in_approval_cap,in_loan_home_approval*INDEX('Age profile'!$O$2:$O$61,B642)*(1+in_approval_growth)^(D642-1))</f>
        <v/>
      </c>
      <c r="CA642" s="14">
        <f>F642*BY642*IF(B642&gt;=in_marketplace_from,d_hz_loan_home*G642,0)*BZ642*in_loan_home_ticket*in_loan_home_comm</f>
        <v/>
      </c>
      <c r="CB642" s="40">
        <f>CB641*(1-IF(B641&gt;=in_marketplace_from,d_hz_loan_lap*G641,0)*CC641)</f>
        <v/>
      </c>
      <c r="CC642" s="11">
        <f>MIN(in_approval_cap,in_loan_lap_approval*INDEX('Age profile'!$O$2:$O$61,B642)*(1+in_approval_growth)^(D642-1))</f>
        <v/>
      </c>
      <c r="CD642" s="14">
        <f>F642*CB642*IF(B642&gt;=in_marketplace_from,d_hz_loan_lap*G642,0)*CC642*in_loan_lap_ticket*in_loan_lap_comm</f>
        <v/>
      </c>
      <c r="CE642" s="14">
        <f>AA642+AB642+AC642+AD642+AG642+AJ642+AM642+AP642+AS642+AU642+AX642+BB642+BE642+BG642+BJ642+BL642+BO642+BR642+BT642+BV642+BX642+CA642+CD642</f>
        <v/>
      </c>
    </row>
    <row r="643">
      <c r="A643" s="39" t="n">
        <v>12</v>
      </c>
      <c r="B643" s="39" t="n">
        <v>37</v>
      </c>
      <c r="C643" s="39">
        <f>A643+B643-1</f>
        <v/>
      </c>
      <c r="D643" s="39">
        <f>INT((C643-1)/12)+1</f>
        <v/>
      </c>
      <c r="E643" s="44">
        <f>INDEX(Monthly!$B$2:$B$61,A643)</f>
        <v/>
      </c>
      <c r="F643" s="44">
        <f>E643*INDEX('Age profile'!$B$2:$B$61,B643)</f>
        <v/>
      </c>
      <c r="G643" s="45">
        <f>MIN(in_takeup_cap,INDEX('Age profile'!$N$2:$N$61,B643)*(1+in_takeup_growth)^(D643-1))</f>
        <v/>
      </c>
      <c r="H643" s="11">
        <f>MIN(in_approval_cap,in_approved_first*INDEX('Age profile'!$O$2:$O$61,B643)*(1+in_approval_growth)^(D643-1))</f>
        <v/>
      </c>
      <c r="I643" s="45">
        <f>G643*MIN(in_takeup_cap,INDEX('Age profile'!$O$2:$O$61,B643)*(1+in_approval_growth)^(D643-1))</f>
        <v/>
      </c>
      <c r="J643" s="40">
        <f>(J642-L642)*F643/F642</f>
        <v/>
      </c>
      <c r="K643" s="40">
        <f>(K642-M642)*F643/F642+SUMIFS(O607:O642,B607:B642,B643-1-d_T)*F643</f>
        <v/>
      </c>
      <c r="L643" s="40">
        <f>IF(B643&gt;=in_marketplace_from,J643*d_hz*G643*in_eligible*H643,0)</f>
        <v/>
      </c>
      <c r="M643" s="40">
        <f>IF(B643&gt;=in_marketplace_from,K643*d_hz*G643*in_eligible*in_approved_repeat,0)</f>
        <v/>
      </c>
      <c r="N643" s="40">
        <f>L643+M643</f>
        <v/>
      </c>
      <c r="O643" s="46">
        <f>N643/F643</f>
        <v/>
      </c>
      <c r="P643" s="40">
        <f>F643-J643-K643</f>
        <v/>
      </c>
      <c r="Q643" s="40">
        <f>IF(B643&gt;=in_marketplace_from,(J643+K643)*d_hz*G643,0)</f>
        <v/>
      </c>
      <c r="R643" s="40">
        <f>SUMIFS(N607:N655,B607:B655,"&gt;="&amp;(B643-d_T),B607:B655,"&lt;="&amp;(B643-1))</f>
        <v/>
      </c>
      <c r="S643" s="46">
        <f>(1-d_u)*S642+IF(d_T&gt;in_topup_lag,SUMIFS(O607:O655,B607:B655,B643-in_topup_lag)-d_udrop*SUMIFS(O607:O655,B607:B655,B643-d_T),0)</f>
        <v/>
      </c>
      <c r="T643" s="40">
        <f>F643*d_u*S643</f>
        <v/>
      </c>
      <c r="U643" s="9">
        <f>L643*in_ticket+M643*d_rep_ticket</f>
        <v/>
      </c>
      <c r="V643" s="9">
        <f>U643+T643*d_topup_amt</f>
        <v/>
      </c>
      <c r="W643" s="40">
        <f>N643+T643*d_topup_ratio</f>
        <v/>
      </c>
      <c r="X643" s="40">
        <f>SUMIFS(W607:W655,B607:B655,B643-in_dpd_lag)*d_cured</f>
        <v/>
      </c>
      <c r="Y643" s="40">
        <f>SUMIFS(W607:W655,B607:B655,B643-in_rec_lag)*d_recd</f>
        <v/>
      </c>
      <c r="Z643" s="40">
        <f>IF(AND(B643&gt;=in_marketplace_from,B643&lt;in_marketplace_from+in_card_months),in_card_share/in_card_months*F643*I643,IF(AND(B643&gt;=in_marketplace_from+in_card_months,B643&lt;in_marketplace_from+2*in_card_months),in_card_share*d_card_rem/in_card_months*F643*MIN(in_takeup_cap,(1+in_takeup_growth)^(D643-1))*MIN(in_takeup_cap,(1+in_approval_growth)^(D643-1)),0))</f>
        <v/>
      </c>
      <c r="AA643" s="14">
        <f>V643*in_fee*(1-in_taken_back)</f>
        <v/>
      </c>
      <c r="AB643" s="14">
        <f>SUMIFS(W607:W655,B607:B655,B643-in_dpd_lag)*d_dpd</f>
        <v/>
      </c>
      <c r="AC643" s="14">
        <f>SUMIFS(W607:W655,B607:B655,B643-in_rec_lag)*d_rec</f>
        <v/>
      </c>
      <c r="AD643" s="14">
        <f>Z643*in_card_fee</f>
        <v/>
      </c>
      <c r="AE643" s="40">
        <f>AE642*(1-IF(B642&gt;=in_marketplace_from,d_hz_hlth_small*G642,0))</f>
        <v/>
      </c>
      <c r="AF643" s="46">
        <f>AE643*IF(B643&gt;=in_marketplace_from,d_hz_hlth_small*G643,0)</f>
        <v/>
      </c>
      <c r="AG643" s="14">
        <f>F643*AF643*in_hlth_small_ticket*in_hlth_small_comm*in_ins_partner_share+F643*in_hlth_small_ticket*in_hlth_small_renew_comm*in_ins_partner_share*(in_hlth_small_renew^1*SUMIFS(AF607:AF655,B607:B655,B643-12)+in_hlth_small_renew^2*SUMIFS(AF607:AF655,B607:B655,B643-24)+in_hlth_small_renew^3*SUMIFS(AF607:AF655,B607:B655,B643-36)+in_hlth_small_renew^4*SUMIFS(AF607:AF655,B607:B655,B643-48))</f>
        <v/>
      </c>
      <c r="AH643" s="40">
        <f>AH642*(1-IF(B642&gt;=in_marketplace_from,d_hz_hlth_family*G642,0))</f>
        <v/>
      </c>
      <c r="AI643" s="46">
        <f>AH643*IF(B643&gt;=in_marketplace_from,d_hz_hlth_family*G643,0)</f>
        <v/>
      </c>
      <c r="AJ643" s="14">
        <f>F643*AI643*in_hlth_family_ticket*in_hlth_family_comm*in_ins_partner_share+F643*in_hlth_family_ticket*in_hlth_family_renew_comm*in_ins_partner_share*(in_hlth_family_renew^1*SUMIFS(AI607:AI655,B607:B655,B643-12)+in_hlth_family_renew^2*SUMIFS(AI607:AI655,B607:B655,B643-24)+in_hlth_family_renew^3*SUMIFS(AI607:AI655,B607:B655,B643-36)+in_hlth_family_renew^4*SUMIFS(AI607:AI655,B607:B655,B643-48))</f>
        <v/>
      </c>
      <c r="AK643" s="40">
        <f>AK642*(1-IF(B642&gt;=in_marketplace_from,d_hz_life_term*G642,0))</f>
        <v/>
      </c>
      <c r="AL643" s="46">
        <f>AK643*IF(B643&gt;=in_marketplace_from,d_hz_life_term*G643,0)</f>
        <v/>
      </c>
      <c r="AM643" s="14">
        <f>F643*AL643*in_life_term_ticket*in_life_term_comm*in_ins_partner_share+F643*in_life_term_ticket*in_life_term_renew_comm*in_ins_partner_share*(in_life_term_renew^1*SUMIFS(AL607:AL655,B607:B655,B643-12)+in_life_term_renew^2*SUMIFS(AL607:AL655,B607:B655,B643-24)+in_life_term_renew^3*SUMIFS(AL607:AL655,B607:B655,B643-36)+in_life_term_renew^4*SUMIFS(AL607:AL655,B607:B655,B643-48))</f>
        <v/>
      </c>
      <c r="AN643" s="40">
        <f>AN642*(1-IF(B642&gt;=in_marketplace_from,d_hz_accident*G642,0))</f>
        <v/>
      </c>
      <c r="AO643" s="46">
        <f>AN643*IF(B643&gt;=in_marketplace_from,d_hz_accident*G643,0)</f>
        <v/>
      </c>
      <c r="AP643" s="14">
        <f>F643*AO643*in_accident_ticket*in_accident_comm*in_ins_partner_share+F643*in_accident_ticket*in_accident_renew_comm*in_ins_partner_share*(in_accident_renew^1*SUMIFS(AO607:AO655,B607:B655,B643-12)+in_accident_renew^2*SUMIFS(AO607:AO655,B607:B655,B643-24)+in_accident_renew^3*SUMIFS(AO607:AO655,B607:B655,B643-36)+in_accident_renew^4*SUMIFS(AO607:AO655,B607:B655,B643-48))</f>
        <v/>
      </c>
      <c r="AQ643" s="40">
        <f>AQ642*(1-IF(B642&gt;=in_marketplace_from,d_hz_two_wheeler*G642,0))</f>
        <v/>
      </c>
      <c r="AR643" s="46">
        <f>AQ643*IF(B643&gt;=in_marketplace_from,d_hz_two_wheeler*G643,0)</f>
        <v/>
      </c>
      <c r="AS643" s="14">
        <f>F643*AR643*in_two_wheeler_ticket*in_two_wheeler_comm*in_ins_partner_share+F643*in_two_wheeler_ticket*in_two_wheeler_comm*in_ins_partner_share*(in_two_wheeler_renew^1*SUMIFS(AR607:AR655,B607:B655,B643-12)+in_two_wheeler_renew^2*SUMIFS(AR607:AR655,B607:B655,B643-24)+in_two_wheeler_renew^3*SUMIFS(AR607:AR655,B607:B655,B643-36)+in_two_wheeler_renew^4*SUMIFS(AR607:AR655,B607:B655,B643-48))</f>
        <v/>
      </c>
      <c r="AT643" s="40">
        <f>AT642*(1-IF(B642&gt;=in_marketplace_from,d_hz_device*G642,0))</f>
        <v/>
      </c>
      <c r="AU643" s="14">
        <f>F643*AT643*IF(B643&gt;=in_marketplace_from,d_hz_device*G643,0)*in_device_ticket*in_device_comm*in_ins_partner_share</f>
        <v/>
      </c>
      <c r="AV643" s="40">
        <f>AV642*(1-IF(B642&gt;=in_marketplace_from,d_hz_shop*G642,0))</f>
        <v/>
      </c>
      <c r="AW643" s="46">
        <f>AV643*IF(B643&gt;=in_marketplace_from,d_hz_shop*G643,0)</f>
        <v/>
      </c>
      <c r="AX643" s="14">
        <f>F643*AW643*in_shop_ticket*in_shop_comm*in_ins_partner_share+F643*in_shop_ticket*in_shop_renew_comm*in_ins_partner_share*(in_shop_renew^1*SUMIFS(AW607:AW655,B607:B655,B643-12)+in_shop_renew^2*SUMIFS(AW607:AW655,B607:B655,B643-24)+in_shop_renew^3*SUMIFS(AW607:AW655,B607:B655,B643-36)+in_shop_renew^4*SUMIFS(AW607:AW655,B607:B655,B643-48))</f>
        <v/>
      </c>
      <c r="AY643" s="40">
        <f>AY642*(1-IF(B642&gt;=in_marketplace_from,d_hz_sip*G642,0))</f>
        <v/>
      </c>
      <c r="AZ643" s="40">
        <f>AZ642*d_rho_sip+AY643*IF(B643&gt;=in_marketplace_from,d_hz_sip*G643,0)</f>
        <v/>
      </c>
      <c r="BA643" s="40">
        <f>d_rho_sip*(BA642+AZ642)</f>
        <v/>
      </c>
      <c r="BB643" s="14">
        <f>F643*in_sip_ticket*(BA643+0.5*AZ643)*in_sip_comm/12</f>
        <v/>
      </c>
      <c r="BC643" s="40">
        <f>BC642*(1-IF(B642&gt;=in_marketplace_from,d_hz_choti*G642,0))</f>
        <v/>
      </c>
      <c r="BD643" s="46">
        <f>BC643*IF(B643&gt;=in_marketplace_from,d_hz_choti*G643,0)</f>
        <v/>
      </c>
      <c r="BE643" s="14">
        <f>F643*SUMIFS(BD607:BD655,B607:B655,B643-in_choti_months)*in_choti_renew*in_choti_ticket</f>
        <v/>
      </c>
      <c r="BF643" s="40">
        <f>BF642*(1-IF(B642&gt;=in_marketplace_from,d_hz_nps*G642,0))</f>
        <v/>
      </c>
      <c r="BG643" s="14">
        <f>F643*BF643*IF(B643&gt;=in_marketplace_from,d_hz_nps*G643,0)*in_nps_ticket*in_nps_comm</f>
        <v/>
      </c>
      <c r="BH643" s="40">
        <f>BH642*(1-IF(B642&gt;=in_marketplace_from,d_hz_gold*G642,0))</f>
        <v/>
      </c>
      <c r="BI643" s="40">
        <f>BI642*d_rho_gold+BH643*IF(B643&gt;=in_marketplace_from,d_hz_gold*G643,0)</f>
        <v/>
      </c>
      <c r="BJ643" s="14">
        <f>F643*BI643*in_gold_ticket*in_gold_comm</f>
        <v/>
      </c>
      <c r="BK643" s="40">
        <f>BK642*(1-IF(B642&gt;=in_marketplace_from,d_hz_fd*G642,0))</f>
        <v/>
      </c>
      <c r="BL643" s="14">
        <f>F643*BK643*IF(B643&gt;=in_marketplace_from,d_hz_fd*G643,0)*in_fd_ticket*in_fd_comm</f>
        <v/>
      </c>
      <c r="BM643" s="40">
        <f>BM642*(1-IF(B642&gt;=in_marketplace_from,d_hz_recharge*G642,0))</f>
        <v/>
      </c>
      <c r="BN643" s="40">
        <f>BN642*d_rho_recharge+BM643*IF(B643&gt;=in_marketplace_from,d_hz_recharge*G643,0)</f>
        <v/>
      </c>
      <c r="BO643" s="14">
        <f>F643*BN643*in_recharge_ticket*in_recharge_comm/12</f>
        <v/>
      </c>
      <c r="BP643" s="40">
        <f>BP642*(1-IF(B642&gt;=in_marketplace_from,d_hz_bills*G642,0))</f>
        <v/>
      </c>
      <c r="BQ643" s="40">
        <f>BQ642*d_rho_bills+BP643*IF(B643&gt;=in_marketplace_from,d_hz_bills*G643,0)</f>
        <v/>
      </c>
      <c r="BR643" s="14">
        <f>F643*BQ643*in_bills_ticket*in_bills_comm/12</f>
        <v/>
      </c>
      <c r="BS643" s="40">
        <f>BS642*(1-IF(B642&gt;=in_marketplace_from,d_hz_loan_gold*G642,0))</f>
        <v/>
      </c>
      <c r="BT643" s="14">
        <f>F643*BS643*IF(B643&gt;=in_marketplace_from,d_hz_loan_gold*G643,0)*in_loan_gold_ticket*in_loan_gold_comm</f>
        <v/>
      </c>
      <c r="BU643" s="40">
        <f>BU642*(1-IF(B642&gt;=in_marketplace_from,d_hz_loan_cd*G642,0))</f>
        <v/>
      </c>
      <c r="BV643" s="14">
        <f>F643*BU643*IF(B643&gt;=in_marketplace_from,d_hz_loan_cd*G643,0)*in_loan_cd_ticket*in_loan_cd_comm</f>
        <v/>
      </c>
      <c r="BW643" s="40">
        <f>BW642*(1-IF(B642&gt;=in_marketplace_from,d_hz_loan_vehicle*G642,0))</f>
        <v/>
      </c>
      <c r="BX643" s="14">
        <f>F643*BW643*IF(B643&gt;=in_marketplace_from,d_hz_loan_vehicle*G643,0)*in_loan_vehicle_ticket*in_loan_vehicle_comm</f>
        <v/>
      </c>
      <c r="BY643" s="40">
        <f>BY642*(1-IF(B642&gt;=in_marketplace_from,d_hz_loan_home*G642,0)*BZ642)</f>
        <v/>
      </c>
      <c r="BZ643" s="11">
        <f>MIN(in_approval_cap,in_loan_home_approval*INDEX('Age profile'!$O$2:$O$61,B643)*(1+in_approval_growth)^(D643-1))</f>
        <v/>
      </c>
      <c r="CA643" s="14">
        <f>F643*BY643*IF(B643&gt;=in_marketplace_from,d_hz_loan_home*G643,0)*BZ643*in_loan_home_ticket*in_loan_home_comm</f>
        <v/>
      </c>
      <c r="CB643" s="40">
        <f>CB642*(1-IF(B642&gt;=in_marketplace_from,d_hz_loan_lap*G642,0)*CC642)</f>
        <v/>
      </c>
      <c r="CC643" s="11">
        <f>MIN(in_approval_cap,in_loan_lap_approval*INDEX('Age profile'!$O$2:$O$61,B643)*(1+in_approval_growth)^(D643-1))</f>
        <v/>
      </c>
      <c r="CD643" s="14">
        <f>F643*CB643*IF(B643&gt;=in_marketplace_from,d_hz_loan_lap*G643,0)*CC643*in_loan_lap_ticket*in_loan_lap_comm</f>
        <v/>
      </c>
      <c r="CE643" s="14">
        <f>AA643+AB643+AC643+AD643+AG643+AJ643+AM643+AP643+AS643+AU643+AX643+BB643+BE643+BG643+BJ643+BL643+BO643+BR643+BT643+BV643+BX643+CA643+CD643</f>
        <v/>
      </c>
    </row>
    <row r="644">
      <c r="A644" s="39" t="n">
        <v>12</v>
      </c>
      <c r="B644" s="39" t="n">
        <v>38</v>
      </c>
      <c r="C644" s="39">
        <f>A644+B644-1</f>
        <v/>
      </c>
      <c r="D644" s="39">
        <f>INT((C644-1)/12)+1</f>
        <v/>
      </c>
      <c r="E644" s="44">
        <f>INDEX(Monthly!$B$2:$B$61,A644)</f>
        <v/>
      </c>
      <c r="F644" s="44">
        <f>E644*INDEX('Age profile'!$B$2:$B$61,B644)</f>
        <v/>
      </c>
      <c r="G644" s="45">
        <f>MIN(in_takeup_cap,INDEX('Age profile'!$N$2:$N$61,B644)*(1+in_takeup_growth)^(D644-1))</f>
        <v/>
      </c>
      <c r="H644" s="11">
        <f>MIN(in_approval_cap,in_approved_first*INDEX('Age profile'!$O$2:$O$61,B644)*(1+in_approval_growth)^(D644-1))</f>
        <v/>
      </c>
      <c r="I644" s="45">
        <f>G644*MIN(in_takeup_cap,INDEX('Age profile'!$O$2:$O$61,B644)*(1+in_approval_growth)^(D644-1))</f>
        <v/>
      </c>
      <c r="J644" s="40">
        <f>(J643-L643)*F644/F643</f>
        <v/>
      </c>
      <c r="K644" s="40">
        <f>(K643-M643)*F644/F643+SUMIFS(O607:O643,B607:B643,B644-1-d_T)*F644</f>
        <v/>
      </c>
      <c r="L644" s="40">
        <f>IF(B644&gt;=in_marketplace_from,J644*d_hz*G644*in_eligible*H644,0)</f>
        <v/>
      </c>
      <c r="M644" s="40">
        <f>IF(B644&gt;=in_marketplace_from,K644*d_hz*G644*in_eligible*in_approved_repeat,0)</f>
        <v/>
      </c>
      <c r="N644" s="40">
        <f>L644+M644</f>
        <v/>
      </c>
      <c r="O644" s="46">
        <f>N644/F644</f>
        <v/>
      </c>
      <c r="P644" s="40">
        <f>F644-J644-K644</f>
        <v/>
      </c>
      <c r="Q644" s="40">
        <f>IF(B644&gt;=in_marketplace_from,(J644+K644)*d_hz*G644,0)</f>
        <v/>
      </c>
      <c r="R644" s="40">
        <f>SUMIFS(N607:N655,B607:B655,"&gt;="&amp;(B644-d_T),B607:B655,"&lt;="&amp;(B644-1))</f>
        <v/>
      </c>
      <c r="S644" s="46">
        <f>(1-d_u)*S643+IF(d_T&gt;in_topup_lag,SUMIFS(O607:O655,B607:B655,B644-in_topup_lag)-d_udrop*SUMIFS(O607:O655,B607:B655,B644-d_T),0)</f>
        <v/>
      </c>
      <c r="T644" s="40">
        <f>F644*d_u*S644</f>
        <v/>
      </c>
      <c r="U644" s="9">
        <f>L644*in_ticket+M644*d_rep_ticket</f>
        <v/>
      </c>
      <c r="V644" s="9">
        <f>U644+T644*d_topup_amt</f>
        <v/>
      </c>
      <c r="W644" s="40">
        <f>N644+T644*d_topup_ratio</f>
        <v/>
      </c>
      <c r="X644" s="40">
        <f>SUMIFS(W607:W655,B607:B655,B644-in_dpd_lag)*d_cured</f>
        <v/>
      </c>
      <c r="Y644" s="40">
        <f>SUMIFS(W607:W655,B607:B655,B644-in_rec_lag)*d_recd</f>
        <v/>
      </c>
      <c r="Z644" s="40">
        <f>IF(AND(B644&gt;=in_marketplace_from,B644&lt;in_marketplace_from+in_card_months),in_card_share/in_card_months*F644*I644,IF(AND(B644&gt;=in_marketplace_from+in_card_months,B644&lt;in_marketplace_from+2*in_card_months),in_card_share*d_card_rem/in_card_months*F644*MIN(in_takeup_cap,(1+in_takeup_growth)^(D644-1))*MIN(in_takeup_cap,(1+in_approval_growth)^(D644-1)),0))</f>
        <v/>
      </c>
      <c r="AA644" s="14">
        <f>V644*in_fee*(1-in_taken_back)</f>
        <v/>
      </c>
      <c r="AB644" s="14">
        <f>SUMIFS(W607:W655,B607:B655,B644-in_dpd_lag)*d_dpd</f>
        <v/>
      </c>
      <c r="AC644" s="14">
        <f>SUMIFS(W607:W655,B607:B655,B644-in_rec_lag)*d_rec</f>
        <v/>
      </c>
      <c r="AD644" s="14">
        <f>Z644*in_card_fee</f>
        <v/>
      </c>
      <c r="AE644" s="40">
        <f>AE643*(1-IF(B643&gt;=in_marketplace_from,d_hz_hlth_small*G643,0))</f>
        <v/>
      </c>
      <c r="AF644" s="46">
        <f>AE644*IF(B644&gt;=in_marketplace_from,d_hz_hlth_small*G644,0)</f>
        <v/>
      </c>
      <c r="AG644" s="14">
        <f>F644*AF644*in_hlth_small_ticket*in_hlth_small_comm*in_ins_partner_share+F644*in_hlth_small_ticket*in_hlth_small_renew_comm*in_ins_partner_share*(in_hlth_small_renew^1*SUMIFS(AF607:AF655,B607:B655,B644-12)+in_hlth_small_renew^2*SUMIFS(AF607:AF655,B607:B655,B644-24)+in_hlth_small_renew^3*SUMIFS(AF607:AF655,B607:B655,B644-36)+in_hlth_small_renew^4*SUMIFS(AF607:AF655,B607:B655,B644-48))</f>
        <v/>
      </c>
      <c r="AH644" s="40">
        <f>AH643*(1-IF(B643&gt;=in_marketplace_from,d_hz_hlth_family*G643,0))</f>
        <v/>
      </c>
      <c r="AI644" s="46">
        <f>AH644*IF(B644&gt;=in_marketplace_from,d_hz_hlth_family*G644,0)</f>
        <v/>
      </c>
      <c r="AJ644" s="14">
        <f>F644*AI644*in_hlth_family_ticket*in_hlth_family_comm*in_ins_partner_share+F644*in_hlth_family_ticket*in_hlth_family_renew_comm*in_ins_partner_share*(in_hlth_family_renew^1*SUMIFS(AI607:AI655,B607:B655,B644-12)+in_hlth_family_renew^2*SUMIFS(AI607:AI655,B607:B655,B644-24)+in_hlth_family_renew^3*SUMIFS(AI607:AI655,B607:B655,B644-36)+in_hlth_family_renew^4*SUMIFS(AI607:AI655,B607:B655,B644-48))</f>
        <v/>
      </c>
      <c r="AK644" s="40">
        <f>AK643*(1-IF(B643&gt;=in_marketplace_from,d_hz_life_term*G643,0))</f>
        <v/>
      </c>
      <c r="AL644" s="46">
        <f>AK644*IF(B644&gt;=in_marketplace_from,d_hz_life_term*G644,0)</f>
        <v/>
      </c>
      <c r="AM644" s="14">
        <f>F644*AL644*in_life_term_ticket*in_life_term_comm*in_ins_partner_share+F644*in_life_term_ticket*in_life_term_renew_comm*in_ins_partner_share*(in_life_term_renew^1*SUMIFS(AL607:AL655,B607:B655,B644-12)+in_life_term_renew^2*SUMIFS(AL607:AL655,B607:B655,B644-24)+in_life_term_renew^3*SUMIFS(AL607:AL655,B607:B655,B644-36)+in_life_term_renew^4*SUMIFS(AL607:AL655,B607:B655,B644-48))</f>
        <v/>
      </c>
      <c r="AN644" s="40">
        <f>AN643*(1-IF(B643&gt;=in_marketplace_from,d_hz_accident*G643,0))</f>
        <v/>
      </c>
      <c r="AO644" s="46">
        <f>AN644*IF(B644&gt;=in_marketplace_from,d_hz_accident*G644,0)</f>
        <v/>
      </c>
      <c r="AP644" s="14">
        <f>F644*AO644*in_accident_ticket*in_accident_comm*in_ins_partner_share+F644*in_accident_ticket*in_accident_renew_comm*in_ins_partner_share*(in_accident_renew^1*SUMIFS(AO607:AO655,B607:B655,B644-12)+in_accident_renew^2*SUMIFS(AO607:AO655,B607:B655,B644-24)+in_accident_renew^3*SUMIFS(AO607:AO655,B607:B655,B644-36)+in_accident_renew^4*SUMIFS(AO607:AO655,B607:B655,B644-48))</f>
        <v/>
      </c>
      <c r="AQ644" s="40">
        <f>AQ643*(1-IF(B643&gt;=in_marketplace_from,d_hz_two_wheeler*G643,0))</f>
        <v/>
      </c>
      <c r="AR644" s="46">
        <f>AQ644*IF(B644&gt;=in_marketplace_from,d_hz_two_wheeler*G644,0)</f>
        <v/>
      </c>
      <c r="AS644" s="14">
        <f>F644*AR644*in_two_wheeler_ticket*in_two_wheeler_comm*in_ins_partner_share+F644*in_two_wheeler_ticket*in_two_wheeler_comm*in_ins_partner_share*(in_two_wheeler_renew^1*SUMIFS(AR607:AR655,B607:B655,B644-12)+in_two_wheeler_renew^2*SUMIFS(AR607:AR655,B607:B655,B644-24)+in_two_wheeler_renew^3*SUMIFS(AR607:AR655,B607:B655,B644-36)+in_two_wheeler_renew^4*SUMIFS(AR607:AR655,B607:B655,B644-48))</f>
        <v/>
      </c>
      <c r="AT644" s="40">
        <f>AT643*(1-IF(B643&gt;=in_marketplace_from,d_hz_device*G643,0))</f>
        <v/>
      </c>
      <c r="AU644" s="14">
        <f>F644*AT644*IF(B644&gt;=in_marketplace_from,d_hz_device*G644,0)*in_device_ticket*in_device_comm*in_ins_partner_share</f>
        <v/>
      </c>
      <c r="AV644" s="40">
        <f>AV643*(1-IF(B643&gt;=in_marketplace_from,d_hz_shop*G643,0))</f>
        <v/>
      </c>
      <c r="AW644" s="46">
        <f>AV644*IF(B644&gt;=in_marketplace_from,d_hz_shop*G644,0)</f>
        <v/>
      </c>
      <c r="AX644" s="14">
        <f>F644*AW644*in_shop_ticket*in_shop_comm*in_ins_partner_share+F644*in_shop_ticket*in_shop_renew_comm*in_ins_partner_share*(in_shop_renew^1*SUMIFS(AW607:AW655,B607:B655,B644-12)+in_shop_renew^2*SUMIFS(AW607:AW655,B607:B655,B644-24)+in_shop_renew^3*SUMIFS(AW607:AW655,B607:B655,B644-36)+in_shop_renew^4*SUMIFS(AW607:AW655,B607:B655,B644-48))</f>
        <v/>
      </c>
      <c r="AY644" s="40">
        <f>AY643*(1-IF(B643&gt;=in_marketplace_from,d_hz_sip*G643,0))</f>
        <v/>
      </c>
      <c r="AZ644" s="40">
        <f>AZ643*d_rho_sip+AY644*IF(B644&gt;=in_marketplace_from,d_hz_sip*G644,0)</f>
        <v/>
      </c>
      <c r="BA644" s="40">
        <f>d_rho_sip*(BA643+AZ643)</f>
        <v/>
      </c>
      <c r="BB644" s="14">
        <f>F644*in_sip_ticket*(BA644+0.5*AZ644)*in_sip_comm/12</f>
        <v/>
      </c>
      <c r="BC644" s="40">
        <f>BC643*(1-IF(B643&gt;=in_marketplace_from,d_hz_choti*G643,0))</f>
        <v/>
      </c>
      <c r="BD644" s="46">
        <f>BC644*IF(B644&gt;=in_marketplace_from,d_hz_choti*G644,0)</f>
        <v/>
      </c>
      <c r="BE644" s="14">
        <f>F644*SUMIFS(BD607:BD655,B607:B655,B644-in_choti_months)*in_choti_renew*in_choti_ticket</f>
        <v/>
      </c>
      <c r="BF644" s="40">
        <f>BF643*(1-IF(B643&gt;=in_marketplace_from,d_hz_nps*G643,0))</f>
        <v/>
      </c>
      <c r="BG644" s="14">
        <f>F644*BF644*IF(B644&gt;=in_marketplace_from,d_hz_nps*G644,0)*in_nps_ticket*in_nps_comm</f>
        <v/>
      </c>
      <c r="BH644" s="40">
        <f>BH643*(1-IF(B643&gt;=in_marketplace_from,d_hz_gold*G643,0))</f>
        <v/>
      </c>
      <c r="BI644" s="40">
        <f>BI643*d_rho_gold+BH644*IF(B644&gt;=in_marketplace_from,d_hz_gold*G644,0)</f>
        <v/>
      </c>
      <c r="BJ644" s="14">
        <f>F644*BI644*in_gold_ticket*in_gold_comm</f>
        <v/>
      </c>
      <c r="BK644" s="40">
        <f>BK643*(1-IF(B643&gt;=in_marketplace_from,d_hz_fd*G643,0))</f>
        <v/>
      </c>
      <c r="BL644" s="14">
        <f>F644*BK644*IF(B644&gt;=in_marketplace_from,d_hz_fd*G644,0)*in_fd_ticket*in_fd_comm</f>
        <v/>
      </c>
      <c r="BM644" s="40">
        <f>BM643*(1-IF(B643&gt;=in_marketplace_from,d_hz_recharge*G643,0))</f>
        <v/>
      </c>
      <c r="BN644" s="40">
        <f>BN643*d_rho_recharge+BM644*IF(B644&gt;=in_marketplace_from,d_hz_recharge*G644,0)</f>
        <v/>
      </c>
      <c r="BO644" s="14">
        <f>F644*BN644*in_recharge_ticket*in_recharge_comm/12</f>
        <v/>
      </c>
      <c r="BP644" s="40">
        <f>BP643*(1-IF(B643&gt;=in_marketplace_from,d_hz_bills*G643,0))</f>
        <v/>
      </c>
      <c r="BQ644" s="40">
        <f>BQ643*d_rho_bills+BP644*IF(B644&gt;=in_marketplace_from,d_hz_bills*G644,0)</f>
        <v/>
      </c>
      <c r="BR644" s="14">
        <f>F644*BQ644*in_bills_ticket*in_bills_comm/12</f>
        <v/>
      </c>
      <c r="BS644" s="40">
        <f>BS643*(1-IF(B643&gt;=in_marketplace_from,d_hz_loan_gold*G643,0))</f>
        <v/>
      </c>
      <c r="BT644" s="14">
        <f>F644*BS644*IF(B644&gt;=in_marketplace_from,d_hz_loan_gold*G644,0)*in_loan_gold_ticket*in_loan_gold_comm</f>
        <v/>
      </c>
      <c r="BU644" s="40">
        <f>BU643*(1-IF(B643&gt;=in_marketplace_from,d_hz_loan_cd*G643,0))</f>
        <v/>
      </c>
      <c r="BV644" s="14">
        <f>F644*BU644*IF(B644&gt;=in_marketplace_from,d_hz_loan_cd*G644,0)*in_loan_cd_ticket*in_loan_cd_comm</f>
        <v/>
      </c>
      <c r="BW644" s="40">
        <f>BW643*(1-IF(B643&gt;=in_marketplace_from,d_hz_loan_vehicle*G643,0))</f>
        <v/>
      </c>
      <c r="BX644" s="14">
        <f>F644*BW644*IF(B644&gt;=in_marketplace_from,d_hz_loan_vehicle*G644,0)*in_loan_vehicle_ticket*in_loan_vehicle_comm</f>
        <v/>
      </c>
      <c r="BY644" s="40">
        <f>BY643*(1-IF(B643&gt;=in_marketplace_from,d_hz_loan_home*G643,0)*BZ643)</f>
        <v/>
      </c>
      <c r="BZ644" s="11">
        <f>MIN(in_approval_cap,in_loan_home_approval*INDEX('Age profile'!$O$2:$O$61,B644)*(1+in_approval_growth)^(D644-1))</f>
        <v/>
      </c>
      <c r="CA644" s="14">
        <f>F644*BY644*IF(B644&gt;=in_marketplace_from,d_hz_loan_home*G644,0)*BZ644*in_loan_home_ticket*in_loan_home_comm</f>
        <v/>
      </c>
      <c r="CB644" s="40">
        <f>CB643*(1-IF(B643&gt;=in_marketplace_from,d_hz_loan_lap*G643,0)*CC643)</f>
        <v/>
      </c>
      <c r="CC644" s="11">
        <f>MIN(in_approval_cap,in_loan_lap_approval*INDEX('Age profile'!$O$2:$O$61,B644)*(1+in_approval_growth)^(D644-1))</f>
        <v/>
      </c>
      <c r="CD644" s="14">
        <f>F644*CB644*IF(B644&gt;=in_marketplace_from,d_hz_loan_lap*G644,0)*CC644*in_loan_lap_ticket*in_loan_lap_comm</f>
        <v/>
      </c>
      <c r="CE644" s="14">
        <f>AA644+AB644+AC644+AD644+AG644+AJ644+AM644+AP644+AS644+AU644+AX644+BB644+BE644+BG644+BJ644+BL644+BO644+BR644+BT644+BV644+BX644+CA644+CD644</f>
        <v/>
      </c>
    </row>
    <row r="645">
      <c r="A645" s="39" t="n">
        <v>12</v>
      </c>
      <c r="B645" s="39" t="n">
        <v>39</v>
      </c>
      <c r="C645" s="39">
        <f>A645+B645-1</f>
        <v/>
      </c>
      <c r="D645" s="39">
        <f>INT((C645-1)/12)+1</f>
        <v/>
      </c>
      <c r="E645" s="44">
        <f>INDEX(Monthly!$B$2:$B$61,A645)</f>
        <v/>
      </c>
      <c r="F645" s="44">
        <f>E645*INDEX('Age profile'!$B$2:$B$61,B645)</f>
        <v/>
      </c>
      <c r="G645" s="45">
        <f>MIN(in_takeup_cap,INDEX('Age profile'!$N$2:$N$61,B645)*(1+in_takeup_growth)^(D645-1))</f>
        <v/>
      </c>
      <c r="H645" s="11">
        <f>MIN(in_approval_cap,in_approved_first*INDEX('Age profile'!$O$2:$O$61,B645)*(1+in_approval_growth)^(D645-1))</f>
        <v/>
      </c>
      <c r="I645" s="45">
        <f>G645*MIN(in_takeup_cap,INDEX('Age profile'!$O$2:$O$61,B645)*(1+in_approval_growth)^(D645-1))</f>
        <v/>
      </c>
      <c r="J645" s="40">
        <f>(J644-L644)*F645/F644</f>
        <v/>
      </c>
      <c r="K645" s="40">
        <f>(K644-M644)*F645/F644+SUMIFS(O607:O644,B607:B644,B645-1-d_T)*F645</f>
        <v/>
      </c>
      <c r="L645" s="40">
        <f>IF(B645&gt;=in_marketplace_from,J645*d_hz*G645*in_eligible*H645,0)</f>
        <v/>
      </c>
      <c r="M645" s="40">
        <f>IF(B645&gt;=in_marketplace_from,K645*d_hz*G645*in_eligible*in_approved_repeat,0)</f>
        <v/>
      </c>
      <c r="N645" s="40">
        <f>L645+M645</f>
        <v/>
      </c>
      <c r="O645" s="46">
        <f>N645/F645</f>
        <v/>
      </c>
      <c r="P645" s="40">
        <f>F645-J645-K645</f>
        <v/>
      </c>
      <c r="Q645" s="40">
        <f>IF(B645&gt;=in_marketplace_from,(J645+K645)*d_hz*G645,0)</f>
        <v/>
      </c>
      <c r="R645" s="40">
        <f>SUMIFS(N607:N655,B607:B655,"&gt;="&amp;(B645-d_T),B607:B655,"&lt;="&amp;(B645-1))</f>
        <v/>
      </c>
      <c r="S645" s="46">
        <f>(1-d_u)*S644+IF(d_T&gt;in_topup_lag,SUMIFS(O607:O655,B607:B655,B645-in_topup_lag)-d_udrop*SUMIFS(O607:O655,B607:B655,B645-d_T),0)</f>
        <v/>
      </c>
      <c r="T645" s="40">
        <f>F645*d_u*S645</f>
        <v/>
      </c>
      <c r="U645" s="9">
        <f>L645*in_ticket+M645*d_rep_ticket</f>
        <v/>
      </c>
      <c r="V645" s="9">
        <f>U645+T645*d_topup_amt</f>
        <v/>
      </c>
      <c r="W645" s="40">
        <f>N645+T645*d_topup_ratio</f>
        <v/>
      </c>
      <c r="X645" s="40">
        <f>SUMIFS(W607:W655,B607:B655,B645-in_dpd_lag)*d_cured</f>
        <v/>
      </c>
      <c r="Y645" s="40">
        <f>SUMIFS(W607:W655,B607:B655,B645-in_rec_lag)*d_recd</f>
        <v/>
      </c>
      <c r="Z645" s="40">
        <f>IF(AND(B645&gt;=in_marketplace_from,B645&lt;in_marketplace_from+in_card_months),in_card_share/in_card_months*F645*I645,IF(AND(B645&gt;=in_marketplace_from+in_card_months,B645&lt;in_marketplace_from+2*in_card_months),in_card_share*d_card_rem/in_card_months*F645*MIN(in_takeup_cap,(1+in_takeup_growth)^(D645-1))*MIN(in_takeup_cap,(1+in_approval_growth)^(D645-1)),0))</f>
        <v/>
      </c>
      <c r="AA645" s="14">
        <f>V645*in_fee*(1-in_taken_back)</f>
        <v/>
      </c>
      <c r="AB645" s="14">
        <f>SUMIFS(W607:W655,B607:B655,B645-in_dpd_lag)*d_dpd</f>
        <v/>
      </c>
      <c r="AC645" s="14">
        <f>SUMIFS(W607:W655,B607:B655,B645-in_rec_lag)*d_rec</f>
        <v/>
      </c>
      <c r="AD645" s="14">
        <f>Z645*in_card_fee</f>
        <v/>
      </c>
      <c r="AE645" s="40">
        <f>AE644*(1-IF(B644&gt;=in_marketplace_from,d_hz_hlth_small*G644,0))</f>
        <v/>
      </c>
      <c r="AF645" s="46">
        <f>AE645*IF(B645&gt;=in_marketplace_from,d_hz_hlth_small*G645,0)</f>
        <v/>
      </c>
      <c r="AG645" s="14">
        <f>F645*AF645*in_hlth_small_ticket*in_hlth_small_comm*in_ins_partner_share+F645*in_hlth_small_ticket*in_hlth_small_renew_comm*in_ins_partner_share*(in_hlth_small_renew^1*SUMIFS(AF607:AF655,B607:B655,B645-12)+in_hlth_small_renew^2*SUMIFS(AF607:AF655,B607:B655,B645-24)+in_hlth_small_renew^3*SUMIFS(AF607:AF655,B607:B655,B645-36)+in_hlth_small_renew^4*SUMIFS(AF607:AF655,B607:B655,B645-48))</f>
        <v/>
      </c>
      <c r="AH645" s="40">
        <f>AH644*(1-IF(B644&gt;=in_marketplace_from,d_hz_hlth_family*G644,0))</f>
        <v/>
      </c>
      <c r="AI645" s="46">
        <f>AH645*IF(B645&gt;=in_marketplace_from,d_hz_hlth_family*G645,0)</f>
        <v/>
      </c>
      <c r="AJ645" s="14">
        <f>F645*AI645*in_hlth_family_ticket*in_hlth_family_comm*in_ins_partner_share+F645*in_hlth_family_ticket*in_hlth_family_renew_comm*in_ins_partner_share*(in_hlth_family_renew^1*SUMIFS(AI607:AI655,B607:B655,B645-12)+in_hlth_family_renew^2*SUMIFS(AI607:AI655,B607:B655,B645-24)+in_hlth_family_renew^3*SUMIFS(AI607:AI655,B607:B655,B645-36)+in_hlth_family_renew^4*SUMIFS(AI607:AI655,B607:B655,B645-48))</f>
        <v/>
      </c>
      <c r="AK645" s="40">
        <f>AK644*(1-IF(B644&gt;=in_marketplace_from,d_hz_life_term*G644,0))</f>
        <v/>
      </c>
      <c r="AL645" s="46">
        <f>AK645*IF(B645&gt;=in_marketplace_from,d_hz_life_term*G645,0)</f>
        <v/>
      </c>
      <c r="AM645" s="14">
        <f>F645*AL645*in_life_term_ticket*in_life_term_comm*in_ins_partner_share+F645*in_life_term_ticket*in_life_term_renew_comm*in_ins_partner_share*(in_life_term_renew^1*SUMIFS(AL607:AL655,B607:B655,B645-12)+in_life_term_renew^2*SUMIFS(AL607:AL655,B607:B655,B645-24)+in_life_term_renew^3*SUMIFS(AL607:AL655,B607:B655,B645-36)+in_life_term_renew^4*SUMIFS(AL607:AL655,B607:B655,B645-48))</f>
        <v/>
      </c>
      <c r="AN645" s="40">
        <f>AN644*(1-IF(B644&gt;=in_marketplace_from,d_hz_accident*G644,0))</f>
        <v/>
      </c>
      <c r="AO645" s="46">
        <f>AN645*IF(B645&gt;=in_marketplace_from,d_hz_accident*G645,0)</f>
        <v/>
      </c>
      <c r="AP645" s="14">
        <f>F645*AO645*in_accident_ticket*in_accident_comm*in_ins_partner_share+F645*in_accident_ticket*in_accident_renew_comm*in_ins_partner_share*(in_accident_renew^1*SUMIFS(AO607:AO655,B607:B655,B645-12)+in_accident_renew^2*SUMIFS(AO607:AO655,B607:B655,B645-24)+in_accident_renew^3*SUMIFS(AO607:AO655,B607:B655,B645-36)+in_accident_renew^4*SUMIFS(AO607:AO655,B607:B655,B645-48))</f>
        <v/>
      </c>
      <c r="AQ645" s="40">
        <f>AQ644*(1-IF(B644&gt;=in_marketplace_from,d_hz_two_wheeler*G644,0))</f>
        <v/>
      </c>
      <c r="AR645" s="46">
        <f>AQ645*IF(B645&gt;=in_marketplace_from,d_hz_two_wheeler*G645,0)</f>
        <v/>
      </c>
      <c r="AS645" s="14">
        <f>F645*AR645*in_two_wheeler_ticket*in_two_wheeler_comm*in_ins_partner_share+F645*in_two_wheeler_ticket*in_two_wheeler_comm*in_ins_partner_share*(in_two_wheeler_renew^1*SUMIFS(AR607:AR655,B607:B655,B645-12)+in_two_wheeler_renew^2*SUMIFS(AR607:AR655,B607:B655,B645-24)+in_two_wheeler_renew^3*SUMIFS(AR607:AR655,B607:B655,B645-36)+in_two_wheeler_renew^4*SUMIFS(AR607:AR655,B607:B655,B645-48))</f>
        <v/>
      </c>
      <c r="AT645" s="40">
        <f>AT644*(1-IF(B644&gt;=in_marketplace_from,d_hz_device*G644,0))</f>
        <v/>
      </c>
      <c r="AU645" s="14">
        <f>F645*AT645*IF(B645&gt;=in_marketplace_from,d_hz_device*G645,0)*in_device_ticket*in_device_comm*in_ins_partner_share</f>
        <v/>
      </c>
      <c r="AV645" s="40">
        <f>AV644*(1-IF(B644&gt;=in_marketplace_from,d_hz_shop*G644,0))</f>
        <v/>
      </c>
      <c r="AW645" s="46">
        <f>AV645*IF(B645&gt;=in_marketplace_from,d_hz_shop*G645,0)</f>
        <v/>
      </c>
      <c r="AX645" s="14">
        <f>F645*AW645*in_shop_ticket*in_shop_comm*in_ins_partner_share+F645*in_shop_ticket*in_shop_renew_comm*in_ins_partner_share*(in_shop_renew^1*SUMIFS(AW607:AW655,B607:B655,B645-12)+in_shop_renew^2*SUMIFS(AW607:AW655,B607:B655,B645-24)+in_shop_renew^3*SUMIFS(AW607:AW655,B607:B655,B645-36)+in_shop_renew^4*SUMIFS(AW607:AW655,B607:B655,B645-48))</f>
        <v/>
      </c>
      <c r="AY645" s="40">
        <f>AY644*(1-IF(B644&gt;=in_marketplace_from,d_hz_sip*G644,0))</f>
        <v/>
      </c>
      <c r="AZ645" s="40">
        <f>AZ644*d_rho_sip+AY645*IF(B645&gt;=in_marketplace_from,d_hz_sip*G645,0)</f>
        <v/>
      </c>
      <c r="BA645" s="40">
        <f>d_rho_sip*(BA644+AZ644)</f>
        <v/>
      </c>
      <c r="BB645" s="14">
        <f>F645*in_sip_ticket*(BA645+0.5*AZ645)*in_sip_comm/12</f>
        <v/>
      </c>
      <c r="BC645" s="40">
        <f>BC644*(1-IF(B644&gt;=in_marketplace_from,d_hz_choti*G644,0))</f>
        <v/>
      </c>
      <c r="BD645" s="46">
        <f>BC645*IF(B645&gt;=in_marketplace_from,d_hz_choti*G645,0)</f>
        <v/>
      </c>
      <c r="BE645" s="14">
        <f>F645*SUMIFS(BD607:BD655,B607:B655,B645-in_choti_months)*in_choti_renew*in_choti_ticket</f>
        <v/>
      </c>
      <c r="BF645" s="40">
        <f>BF644*(1-IF(B644&gt;=in_marketplace_from,d_hz_nps*G644,0))</f>
        <v/>
      </c>
      <c r="BG645" s="14">
        <f>F645*BF645*IF(B645&gt;=in_marketplace_from,d_hz_nps*G645,0)*in_nps_ticket*in_nps_comm</f>
        <v/>
      </c>
      <c r="BH645" s="40">
        <f>BH644*(1-IF(B644&gt;=in_marketplace_from,d_hz_gold*G644,0))</f>
        <v/>
      </c>
      <c r="BI645" s="40">
        <f>BI644*d_rho_gold+BH645*IF(B645&gt;=in_marketplace_from,d_hz_gold*G645,0)</f>
        <v/>
      </c>
      <c r="BJ645" s="14">
        <f>F645*BI645*in_gold_ticket*in_gold_comm</f>
        <v/>
      </c>
      <c r="BK645" s="40">
        <f>BK644*(1-IF(B644&gt;=in_marketplace_from,d_hz_fd*G644,0))</f>
        <v/>
      </c>
      <c r="BL645" s="14">
        <f>F645*BK645*IF(B645&gt;=in_marketplace_from,d_hz_fd*G645,0)*in_fd_ticket*in_fd_comm</f>
        <v/>
      </c>
      <c r="BM645" s="40">
        <f>BM644*(1-IF(B644&gt;=in_marketplace_from,d_hz_recharge*G644,0))</f>
        <v/>
      </c>
      <c r="BN645" s="40">
        <f>BN644*d_rho_recharge+BM645*IF(B645&gt;=in_marketplace_from,d_hz_recharge*G645,0)</f>
        <v/>
      </c>
      <c r="BO645" s="14">
        <f>F645*BN645*in_recharge_ticket*in_recharge_comm/12</f>
        <v/>
      </c>
      <c r="BP645" s="40">
        <f>BP644*(1-IF(B644&gt;=in_marketplace_from,d_hz_bills*G644,0))</f>
        <v/>
      </c>
      <c r="BQ645" s="40">
        <f>BQ644*d_rho_bills+BP645*IF(B645&gt;=in_marketplace_from,d_hz_bills*G645,0)</f>
        <v/>
      </c>
      <c r="BR645" s="14">
        <f>F645*BQ645*in_bills_ticket*in_bills_comm/12</f>
        <v/>
      </c>
      <c r="BS645" s="40">
        <f>BS644*(1-IF(B644&gt;=in_marketplace_from,d_hz_loan_gold*G644,0))</f>
        <v/>
      </c>
      <c r="BT645" s="14">
        <f>F645*BS645*IF(B645&gt;=in_marketplace_from,d_hz_loan_gold*G645,0)*in_loan_gold_ticket*in_loan_gold_comm</f>
        <v/>
      </c>
      <c r="BU645" s="40">
        <f>BU644*(1-IF(B644&gt;=in_marketplace_from,d_hz_loan_cd*G644,0))</f>
        <v/>
      </c>
      <c r="BV645" s="14">
        <f>F645*BU645*IF(B645&gt;=in_marketplace_from,d_hz_loan_cd*G645,0)*in_loan_cd_ticket*in_loan_cd_comm</f>
        <v/>
      </c>
      <c r="BW645" s="40">
        <f>BW644*(1-IF(B644&gt;=in_marketplace_from,d_hz_loan_vehicle*G644,0))</f>
        <v/>
      </c>
      <c r="BX645" s="14">
        <f>F645*BW645*IF(B645&gt;=in_marketplace_from,d_hz_loan_vehicle*G645,0)*in_loan_vehicle_ticket*in_loan_vehicle_comm</f>
        <v/>
      </c>
      <c r="BY645" s="40">
        <f>BY644*(1-IF(B644&gt;=in_marketplace_from,d_hz_loan_home*G644,0)*BZ644)</f>
        <v/>
      </c>
      <c r="BZ645" s="11">
        <f>MIN(in_approval_cap,in_loan_home_approval*INDEX('Age profile'!$O$2:$O$61,B645)*(1+in_approval_growth)^(D645-1))</f>
        <v/>
      </c>
      <c r="CA645" s="14">
        <f>F645*BY645*IF(B645&gt;=in_marketplace_from,d_hz_loan_home*G645,0)*BZ645*in_loan_home_ticket*in_loan_home_comm</f>
        <v/>
      </c>
      <c r="CB645" s="40">
        <f>CB644*(1-IF(B644&gt;=in_marketplace_from,d_hz_loan_lap*G644,0)*CC644)</f>
        <v/>
      </c>
      <c r="CC645" s="11">
        <f>MIN(in_approval_cap,in_loan_lap_approval*INDEX('Age profile'!$O$2:$O$61,B645)*(1+in_approval_growth)^(D645-1))</f>
        <v/>
      </c>
      <c r="CD645" s="14">
        <f>F645*CB645*IF(B645&gt;=in_marketplace_from,d_hz_loan_lap*G645,0)*CC645*in_loan_lap_ticket*in_loan_lap_comm</f>
        <v/>
      </c>
      <c r="CE645" s="14">
        <f>AA645+AB645+AC645+AD645+AG645+AJ645+AM645+AP645+AS645+AU645+AX645+BB645+BE645+BG645+BJ645+BL645+BO645+BR645+BT645+BV645+BX645+CA645+CD645</f>
        <v/>
      </c>
    </row>
    <row r="646">
      <c r="A646" s="39" t="n">
        <v>12</v>
      </c>
      <c r="B646" s="39" t="n">
        <v>40</v>
      </c>
      <c r="C646" s="39">
        <f>A646+B646-1</f>
        <v/>
      </c>
      <c r="D646" s="39">
        <f>INT((C646-1)/12)+1</f>
        <v/>
      </c>
      <c r="E646" s="44">
        <f>INDEX(Monthly!$B$2:$B$61,A646)</f>
        <v/>
      </c>
      <c r="F646" s="44">
        <f>E646*INDEX('Age profile'!$B$2:$B$61,B646)</f>
        <v/>
      </c>
      <c r="G646" s="45">
        <f>MIN(in_takeup_cap,INDEX('Age profile'!$N$2:$N$61,B646)*(1+in_takeup_growth)^(D646-1))</f>
        <v/>
      </c>
      <c r="H646" s="11">
        <f>MIN(in_approval_cap,in_approved_first*INDEX('Age profile'!$O$2:$O$61,B646)*(1+in_approval_growth)^(D646-1))</f>
        <v/>
      </c>
      <c r="I646" s="45">
        <f>G646*MIN(in_takeup_cap,INDEX('Age profile'!$O$2:$O$61,B646)*(1+in_approval_growth)^(D646-1))</f>
        <v/>
      </c>
      <c r="J646" s="40">
        <f>(J645-L645)*F646/F645</f>
        <v/>
      </c>
      <c r="K646" s="40">
        <f>(K645-M645)*F646/F645+SUMIFS(O607:O645,B607:B645,B646-1-d_T)*F646</f>
        <v/>
      </c>
      <c r="L646" s="40">
        <f>IF(B646&gt;=in_marketplace_from,J646*d_hz*G646*in_eligible*H646,0)</f>
        <v/>
      </c>
      <c r="M646" s="40">
        <f>IF(B646&gt;=in_marketplace_from,K646*d_hz*G646*in_eligible*in_approved_repeat,0)</f>
        <v/>
      </c>
      <c r="N646" s="40">
        <f>L646+M646</f>
        <v/>
      </c>
      <c r="O646" s="46">
        <f>N646/F646</f>
        <v/>
      </c>
      <c r="P646" s="40">
        <f>F646-J646-K646</f>
        <v/>
      </c>
      <c r="Q646" s="40">
        <f>IF(B646&gt;=in_marketplace_from,(J646+K646)*d_hz*G646,0)</f>
        <v/>
      </c>
      <c r="R646" s="40">
        <f>SUMIFS(N607:N655,B607:B655,"&gt;="&amp;(B646-d_T),B607:B655,"&lt;="&amp;(B646-1))</f>
        <v/>
      </c>
      <c r="S646" s="46">
        <f>(1-d_u)*S645+IF(d_T&gt;in_topup_lag,SUMIFS(O607:O655,B607:B655,B646-in_topup_lag)-d_udrop*SUMIFS(O607:O655,B607:B655,B646-d_T),0)</f>
        <v/>
      </c>
      <c r="T646" s="40">
        <f>F646*d_u*S646</f>
        <v/>
      </c>
      <c r="U646" s="9">
        <f>L646*in_ticket+M646*d_rep_ticket</f>
        <v/>
      </c>
      <c r="V646" s="9">
        <f>U646+T646*d_topup_amt</f>
        <v/>
      </c>
      <c r="W646" s="40">
        <f>N646+T646*d_topup_ratio</f>
        <v/>
      </c>
      <c r="X646" s="40">
        <f>SUMIFS(W607:W655,B607:B655,B646-in_dpd_lag)*d_cured</f>
        <v/>
      </c>
      <c r="Y646" s="40">
        <f>SUMIFS(W607:W655,B607:B655,B646-in_rec_lag)*d_recd</f>
        <v/>
      </c>
      <c r="Z646" s="40">
        <f>IF(AND(B646&gt;=in_marketplace_from,B646&lt;in_marketplace_from+in_card_months),in_card_share/in_card_months*F646*I646,IF(AND(B646&gt;=in_marketplace_from+in_card_months,B646&lt;in_marketplace_from+2*in_card_months),in_card_share*d_card_rem/in_card_months*F646*MIN(in_takeup_cap,(1+in_takeup_growth)^(D646-1))*MIN(in_takeup_cap,(1+in_approval_growth)^(D646-1)),0))</f>
        <v/>
      </c>
      <c r="AA646" s="14">
        <f>V646*in_fee*(1-in_taken_back)</f>
        <v/>
      </c>
      <c r="AB646" s="14">
        <f>SUMIFS(W607:W655,B607:B655,B646-in_dpd_lag)*d_dpd</f>
        <v/>
      </c>
      <c r="AC646" s="14">
        <f>SUMIFS(W607:W655,B607:B655,B646-in_rec_lag)*d_rec</f>
        <v/>
      </c>
      <c r="AD646" s="14">
        <f>Z646*in_card_fee</f>
        <v/>
      </c>
      <c r="AE646" s="40">
        <f>AE645*(1-IF(B645&gt;=in_marketplace_from,d_hz_hlth_small*G645,0))</f>
        <v/>
      </c>
      <c r="AF646" s="46">
        <f>AE646*IF(B646&gt;=in_marketplace_from,d_hz_hlth_small*G646,0)</f>
        <v/>
      </c>
      <c r="AG646" s="14">
        <f>F646*AF646*in_hlth_small_ticket*in_hlth_small_comm*in_ins_partner_share+F646*in_hlth_small_ticket*in_hlth_small_renew_comm*in_ins_partner_share*(in_hlth_small_renew^1*SUMIFS(AF607:AF655,B607:B655,B646-12)+in_hlth_small_renew^2*SUMIFS(AF607:AF655,B607:B655,B646-24)+in_hlth_small_renew^3*SUMIFS(AF607:AF655,B607:B655,B646-36)+in_hlth_small_renew^4*SUMIFS(AF607:AF655,B607:B655,B646-48))</f>
        <v/>
      </c>
      <c r="AH646" s="40">
        <f>AH645*(1-IF(B645&gt;=in_marketplace_from,d_hz_hlth_family*G645,0))</f>
        <v/>
      </c>
      <c r="AI646" s="46">
        <f>AH646*IF(B646&gt;=in_marketplace_from,d_hz_hlth_family*G646,0)</f>
        <v/>
      </c>
      <c r="AJ646" s="14">
        <f>F646*AI646*in_hlth_family_ticket*in_hlth_family_comm*in_ins_partner_share+F646*in_hlth_family_ticket*in_hlth_family_renew_comm*in_ins_partner_share*(in_hlth_family_renew^1*SUMIFS(AI607:AI655,B607:B655,B646-12)+in_hlth_family_renew^2*SUMIFS(AI607:AI655,B607:B655,B646-24)+in_hlth_family_renew^3*SUMIFS(AI607:AI655,B607:B655,B646-36)+in_hlth_family_renew^4*SUMIFS(AI607:AI655,B607:B655,B646-48))</f>
        <v/>
      </c>
      <c r="AK646" s="40">
        <f>AK645*(1-IF(B645&gt;=in_marketplace_from,d_hz_life_term*G645,0))</f>
        <v/>
      </c>
      <c r="AL646" s="46">
        <f>AK646*IF(B646&gt;=in_marketplace_from,d_hz_life_term*G646,0)</f>
        <v/>
      </c>
      <c r="AM646" s="14">
        <f>F646*AL646*in_life_term_ticket*in_life_term_comm*in_ins_partner_share+F646*in_life_term_ticket*in_life_term_renew_comm*in_ins_partner_share*(in_life_term_renew^1*SUMIFS(AL607:AL655,B607:B655,B646-12)+in_life_term_renew^2*SUMIFS(AL607:AL655,B607:B655,B646-24)+in_life_term_renew^3*SUMIFS(AL607:AL655,B607:B655,B646-36)+in_life_term_renew^4*SUMIFS(AL607:AL655,B607:B655,B646-48))</f>
        <v/>
      </c>
      <c r="AN646" s="40">
        <f>AN645*(1-IF(B645&gt;=in_marketplace_from,d_hz_accident*G645,0))</f>
        <v/>
      </c>
      <c r="AO646" s="46">
        <f>AN646*IF(B646&gt;=in_marketplace_from,d_hz_accident*G646,0)</f>
        <v/>
      </c>
      <c r="AP646" s="14">
        <f>F646*AO646*in_accident_ticket*in_accident_comm*in_ins_partner_share+F646*in_accident_ticket*in_accident_renew_comm*in_ins_partner_share*(in_accident_renew^1*SUMIFS(AO607:AO655,B607:B655,B646-12)+in_accident_renew^2*SUMIFS(AO607:AO655,B607:B655,B646-24)+in_accident_renew^3*SUMIFS(AO607:AO655,B607:B655,B646-36)+in_accident_renew^4*SUMIFS(AO607:AO655,B607:B655,B646-48))</f>
        <v/>
      </c>
      <c r="AQ646" s="40">
        <f>AQ645*(1-IF(B645&gt;=in_marketplace_from,d_hz_two_wheeler*G645,0))</f>
        <v/>
      </c>
      <c r="AR646" s="46">
        <f>AQ646*IF(B646&gt;=in_marketplace_from,d_hz_two_wheeler*G646,0)</f>
        <v/>
      </c>
      <c r="AS646" s="14">
        <f>F646*AR646*in_two_wheeler_ticket*in_two_wheeler_comm*in_ins_partner_share+F646*in_two_wheeler_ticket*in_two_wheeler_comm*in_ins_partner_share*(in_two_wheeler_renew^1*SUMIFS(AR607:AR655,B607:B655,B646-12)+in_two_wheeler_renew^2*SUMIFS(AR607:AR655,B607:B655,B646-24)+in_two_wheeler_renew^3*SUMIFS(AR607:AR655,B607:B655,B646-36)+in_two_wheeler_renew^4*SUMIFS(AR607:AR655,B607:B655,B646-48))</f>
        <v/>
      </c>
      <c r="AT646" s="40">
        <f>AT645*(1-IF(B645&gt;=in_marketplace_from,d_hz_device*G645,0))</f>
        <v/>
      </c>
      <c r="AU646" s="14">
        <f>F646*AT646*IF(B646&gt;=in_marketplace_from,d_hz_device*G646,0)*in_device_ticket*in_device_comm*in_ins_partner_share</f>
        <v/>
      </c>
      <c r="AV646" s="40">
        <f>AV645*(1-IF(B645&gt;=in_marketplace_from,d_hz_shop*G645,0))</f>
        <v/>
      </c>
      <c r="AW646" s="46">
        <f>AV646*IF(B646&gt;=in_marketplace_from,d_hz_shop*G646,0)</f>
        <v/>
      </c>
      <c r="AX646" s="14">
        <f>F646*AW646*in_shop_ticket*in_shop_comm*in_ins_partner_share+F646*in_shop_ticket*in_shop_renew_comm*in_ins_partner_share*(in_shop_renew^1*SUMIFS(AW607:AW655,B607:B655,B646-12)+in_shop_renew^2*SUMIFS(AW607:AW655,B607:B655,B646-24)+in_shop_renew^3*SUMIFS(AW607:AW655,B607:B655,B646-36)+in_shop_renew^4*SUMIFS(AW607:AW655,B607:B655,B646-48))</f>
        <v/>
      </c>
      <c r="AY646" s="40">
        <f>AY645*(1-IF(B645&gt;=in_marketplace_from,d_hz_sip*G645,0))</f>
        <v/>
      </c>
      <c r="AZ646" s="40">
        <f>AZ645*d_rho_sip+AY646*IF(B646&gt;=in_marketplace_from,d_hz_sip*G646,0)</f>
        <v/>
      </c>
      <c r="BA646" s="40">
        <f>d_rho_sip*(BA645+AZ645)</f>
        <v/>
      </c>
      <c r="BB646" s="14">
        <f>F646*in_sip_ticket*(BA646+0.5*AZ646)*in_sip_comm/12</f>
        <v/>
      </c>
      <c r="BC646" s="40">
        <f>BC645*(1-IF(B645&gt;=in_marketplace_from,d_hz_choti*G645,0))</f>
        <v/>
      </c>
      <c r="BD646" s="46">
        <f>BC646*IF(B646&gt;=in_marketplace_from,d_hz_choti*G646,0)</f>
        <v/>
      </c>
      <c r="BE646" s="14">
        <f>F646*SUMIFS(BD607:BD655,B607:B655,B646-in_choti_months)*in_choti_renew*in_choti_ticket</f>
        <v/>
      </c>
      <c r="BF646" s="40">
        <f>BF645*(1-IF(B645&gt;=in_marketplace_from,d_hz_nps*G645,0))</f>
        <v/>
      </c>
      <c r="BG646" s="14">
        <f>F646*BF646*IF(B646&gt;=in_marketplace_from,d_hz_nps*G646,0)*in_nps_ticket*in_nps_comm</f>
        <v/>
      </c>
      <c r="BH646" s="40">
        <f>BH645*(1-IF(B645&gt;=in_marketplace_from,d_hz_gold*G645,0))</f>
        <v/>
      </c>
      <c r="BI646" s="40">
        <f>BI645*d_rho_gold+BH646*IF(B646&gt;=in_marketplace_from,d_hz_gold*G646,0)</f>
        <v/>
      </c>
      <c r="BJ646" s="14">
        <f>F646*BI646*in_gold_ticket*in_gold_comm</f>
        <v/>
      </c>
      <c r="BK646" s="40">
        <f>BK645*(1-IF(B645&gt;=in_marketplace_from,d_hz_fd*G645,0))</f>
        <v/>
      </c>
      <c r="BL646" s="14">
        <f>F646*BK646*IF(B646&gt;=in_marketplace_from,d_hz_fd*G646,0)*in_fd_ticket*in_fd_comm</f>
        <v/>
      </c>
      <c r="BM646" s="40">
        <f>BM645*(1-IF(B645&gt;=in_marketplace_from,d_hz_recharge*G645,0))</f>
        <v/>
      </c>
      <c r="BN646" s="40">
        <f>BN645*d_rho_recharge+BM646*IF(B646&gt;=in_marketplace_from,d_hz_recharge*G646,0)</f>
        <v/>
      </c>
      <c r="BO646" s="14">
        <f>F646*BN646*in_recharge_ticket*in_recharge_comm/12</f>
        <v/>
      </c>
      <c r="BP646" s="40">
        <f>BP645*(1-IF(B645&gt;=in_marketplace_from,d_hz_bills*G645,0))</f>
        <v/>
      </c>
      <c r="BQ646" s="40">
        <f>BQ645*d_rho_bills+BP646*IF(B646&gt;=in_marketplace_from,d_hz_bills*G646,0)</f>
        <v/>
      </c>
      <c r="BR646" s="14">
        <f>F646*BQ646*in_bills_ticket*in_bills_comm/12</f>
        <v/>
      </c>
      <c r="BS646" s="40">
        <f>BS645*(1-IF(B645&gt;=in_marketplace_from,d_hz_loan_gold*G645,0))</f>
        <v/>
      </c>
      <c r="BT646" s="14">
        <f>F646*BS646*IF(B646&gt;=in_marketplace_from,d_hz_loan_gold*G646,0)*in_loan_gold_ticket*in_loan_gold_comm</f>
        <v/>
      </c>
      <c r="BU646" s="40">
        <f>BU645*(1-IF(B645&gt;=in_marketplace_from,d_hz_loan_cd*G645,0))</f>
        <v/>
      </c>
      <c r="BV646" s="14">
        <f>F646*BU646*IF(B646&gt;=in_marketplace_from,d_hz_loan_cd*G646,0)*in_loan_cd_ticket*in_loan_cd_comm</f>
        <v/>
      </c>
      <c r="BW646" s="40">
        <f>BW645*(1-IF(B645&gt;=in_marketplace_from,d_hz_loan_vehicle*G645,0))</f>
        <v/>
      </c>
      <c r="BX646" s="14">
        <f>F646*BW646*IF(B646&gt;=in_marketplace_from,d_hz_loan_vehicle*G646,0)*in_loan_vehicle_ticket*in_loan_vehicle_comm</f>
        <v/>
      </c>
      <c r="BY646" s="40">
        <f>BY645*(1-IF(B645&gt;=in_marketplace_from,d_hz_loan_home*G645,0)*BZ645)</f>
        <v/>
      </c>
      <c r="BZ646" s="11">
        <f>MIN(in_approval_cap,in_loan_home_approval*INDEX('Age profile'!$O$2:$O$61,B646)*(1+in_approval_growth)^(D646-1))</f>
        <v/>
      </c>
      <c r="CA646" s="14">
        <f>F646*BY646*IF(B646&gt;=in_marketplace_from,d_hz_loan_home*G646,0)*BZ646*in_loan_home_ticket*in_loan_home_comm</f>
        <v/>
      </c>
      <c r="CB646" s="40">
        <f>CB645*(1-IF(B645&gt;=in_marketplace_from,d_hz_loan_lap*G645,0)*CC645)</f>
        <v/>
      </c>
      <c r="CC646" s="11">
        <f>MIN(in_approval_cap,in_loan_lap_approval*INDEX('Age profile'!$O$2:$O$61,B646)*(1+in_approval_growth)^(D646-1))</f>
        <v/>
      </c>
      <c r="CD646" s="14">
        <f>F646*CB646*IF(B646&gt;=in_marketplace_from,d_hz_loan_lap*G646,0)*CC646*in_loan_lap_ticket*in_loan_lap_comm</f>
        <v/>
      </c>
      <c r="CE646" s="14">
        <f>AA646+AB646+AC646+AD646+AG646+AJ646+AM646+AP646+AS646+AU646+AX646+BB646+BE646+BG646+BJ646+BL646+BO646+BR646+BT646+BV646+BX646+CA646+CD646</f>
        <v/>
      </c>
    </row>
    <row r="647">
      <c r="A647" s="39" t="n">
        <v>12</v>
      </c>
      <c r="B647" s="39" t="n">
        <v>41</v>
      </c>
      <c r="C647" s="39">
        <f>A647+B647-1</f>
        <v/>
      </c>
      <c r="D647" s="39">
        <f>INT((C647-1)/12)+1</f>
        <v/>
      </c>
      <c r="E647" s="44">
        <f>INDEX(Monthly!$B$2:$B$61,A647)</f>
        <v/>
      </c>
      <c r="F647" s="44">
        <f>E647*INDEX('Age profile'!$B$2:$B$61,B647)</f>
        <v/>
      </c>
      <c r="G647" s="45">
        <f>MIN(in_takeup_cap,INDEX('Age profile'!$N$2:$N$61,B647)*(1+in_takeup_growth)^(D647-1))</f>
        <v/>
      </c>
      <c r="H647" s="11">
        <f>MIN(in_approval_cap,in_approved_first*INDEX('Age profile'!$O$2:$O$61,B647)*(1+in_approval_growth)^(D647-1))</f>
        <v/>
      </c>
      <c r="I647" s="45">
        <f>G647*MIN(in_takeup_cap,INDEX('Age profile'!$O$2:$O$61,B647)*(1+in_approval_growth)^(D647-1))</f>
        <v/>
      </c>
      <c r="J647" s="40">
        <f>(J646-L646)*F647/F646</f>
        <v/>
      </c>
      <c r="K647" s="40">
        <f>(K646-M646)*F647/F646+SUMIFS(O607:O646,B607:B646,B647-1-d_T)*F647</f>
        <v/>
      </c>
      <c r="L647" s="40">
        <f>IF(B647&gt;=in_marketplace_from,J647*d_hz*G647*in_eligible*H647,0)</f>
        <v/>
      </c>
      <c r="M647" s="40">
        <f>IF(B647&gt;=in_marketplace_from,K647*d_hz*G647*in_eligible*in_approved_repeat,0)</f>
        <v/>
      </c>
      <c r="N647" s="40">
        <f>L647+M647</f>
        <v/>
      </c>
      <c r="O647" s="46">
        <f>N647/F647</f>
        <v/>
      </c>
      <c r="P647" s="40">
        <f>F647-J647-K647</f>
        <v/>
      </c>
      <c r="Q647" s="40">
        <f>IF(B647&gt;=in_marketplace_from,(J647+K647)*d_hz*G647,0)</f>
        <v/>
      </c>
      <c r="R647" s="40">
        <f>SUMIFS(N607:N655,B607:B655,"&gt;="&amp;(B647-d_T),B607:B655,"&lt;="&amp;(B647-1))</f>
        <v/>
      </c>
      <c r="S647" s="46">
        <f>(1-d_u)*S646+IF(d_T&gt;in_topup_lag,SUMIFS(O607:O655,B607:B655,B647-in_topup_lag)-d_udrop*SUMIFS(O607:O655,B607:B655,B647-d_T),0)</f>
        <v/>
      </c>
      <c r="T647" s="40">
        <f>F647*d_u*S647</f>
        <v/>
      </c>
      <c r="U647" s="9">
        <f>L647*in_ticket+M647*d_rep_ticket</f>
        <v/>
      </c>
      <c r="V647" s="9">
        <f>U647+T647*d_topup_amt</f>
        <v/>
      </c>
      <c r="W647" s="40">
        <f>N647+T647*d_topup_ratio</f>
        <v/>
      </c>
      <c r="X647" s="40">
        <f>SUMIFS(W607:W655,B607:B655,B647-in_dpd_lag)*d_cured</f>
        <v/>
      </c>
      <c r="Y647" s="40">
        <f>SUMIFS(W607:W655,B607:B655,B647-in_rec_lag)*d_recd</f>
        <v/>
      </c>
      <c r="Z647" s="40">
        <f>IF(AND(B647&gt;=in_marketplace_from,B647&lt;in_marketplace_from+in_card_months),in_card_share/in_card_months*F647*I647,IF(AND(B647&gt;=in_marketplace_from+in_card_months,B647&lt;in_marketplace_from+2*in_card_months),in_card_share*d_card_rem/in_card_months*F647*MIN(in_takeup_cap,(1+in_takeup_growth)^(D647-1))*MIN(in_takeup_cap,(1+in_approval_growth)^(D647-1)),0))</f>
        <v/>
      </c>
      <c r="AA647" s="14">
        <f>V647*in_fee*(1-in_taken_back)</f>
        <v/>
      </c>
      <c r="AB647" s="14">
        <f>SUMIFS(W607:W655,B607:B655,B647-in_dpd_lag)*d_dpd</f>
        <v/>
      </c>
      <c r="AC647" s="14">
        <f>SUMIFS(W607:W655,B607:B655,B647-in_rec_lag)*d_rec</f>
        <v/>
      </c>
      <c r="AD647" s="14">
        <f>Z647*in_card_fee</f>
        <v/>
      </c>
      <c r="AE647" s="40">
        <f>AE646*(1-IF(B646&gt;=in_marketplace_from,d_hz_hlth_small*G646,0))</f>
        <v/>
      </c>
      <c r="AF647" s="46">
        <f>AE647*IF(B647&gt;=in_marketplace_from,d_hz_hlth_small*G647,0)</f>
        <v/>
      </c>
      <c r="AG647" s="14">
        <f>F647*AF647*in_hlth_small_ticket*in_hlth_small_comm*in_ins_partner_share+F647*in_hlth_small_ticket*in_hlth_small_renew_comm*in_ins_partner_share*(in_hlth_small_renew^1*SUMIFS(AF607:AF655,B607:B655,B647-12)+in_hlth_small_renew^2*SUMIFS(AF607:AF655,B607:B655,B647-24)+in_hlth_small_renew^3*SUMIFS(AF607:AF655,B607:B655,B647-36)+in_hlth_small_renew^4*SUMIFS(AF607:AF655,B607:B655,B647-48))</f>
        <v/>
      </c>
      <c r="AH647" s="40">
        <f>AH646*(1-IF(B646&gt;=in_marketplace_from,d_hz_hlth_family*G646,0))</f>
        <v/>
      </c>
      <c r="AI647" s="46">
        <f>AH647*IF(B647&gt;=in_marketplace_from,d_hz_hlth_family*G647,0)</f>
        <v/>
      </c>
      <c r="AJ647" s="14">
        <f>F647*AI647*in_hlth_family_ticket*in_hlth_family_comm*in_ins_partner_share+F647*in_hlth_family_ticket*in_hlth_family_renew_comm*in_ins_partner_share*(in_hlth_family_renew^1*SUMIFS(AI607:AI655,B607:B655,B647-12)+in_hlth_family_renew^2*SUMIFS(AI607:AI655,B607:B655,B647-24)+in_hlth_family_renew^3*SUMIFS(AI607:AI655,B607:B655,B647-36)+in_hlth_family_renew^4*SUMIFS(AI607:AI655,B607:B655,B647-48))</f>
        <v/>
      </c>
      <c r="AK647" s="40">
        <f>AK646*(1-IF(B646&gt;=in_marketplace_from,d_hz_life_term*G646,0))</f>
        <v/>
      </c>
      <c r="AL647" s="46">
        <f>AK647*IF(B647&gt;=in_marketplace_from,d_hz_life_term*G647,0)</f>
        <v/>
      </c>
      <c r="AM647" s="14">
        <f>F647*AL647*in_life_term_ticket*in_life_term_comm*in_ins_partner_share+F647*in_life_term_ticket*in_life_term_renew_comm*in_ins_partner_share*(in_life_term_renew^1*SUMIFS(AL607:AL655,B607:B655,B647-12)+in_life_term_renew^2*SUMIFS(AL607:AL655,B607:B655,B647-24)+in_life_term_renew^3*SUMIFS(AL607:AL655,B607:B655,B647-36)+in_life_term_renew^4*SUMIFS(AL607:AL655,B607:B655,B647-48))</f>
        <v/>
      </c>
      <c r="AN647" s="40">
        <f>AN646*(1-IF(B646&gt;=in_marketplace_from,d_hz_accident*G646,0))</f>
        <v/>
      </c>
      <c r="AO647" s="46">
        <f>AN647*IF(B647&gt;=in_marketplace_from,d_hz_accident*G647,0)</f>
        <v/>
      </c>
      <c r="AP647" s="14">
        <f>F647*AO647*in_accident_ticket*in_accident_comm*in_ins_partner_share+F647*in_accident_ticket*in_accident_renew_comm*in_ins_partner_share*(in_accident_renew^1*SUMIFS(AO607:AO655,B607:B655,B647-12)+in_accident_renew^2*SUMIFS(AO607:AO655,B607:B655,B647-24)+in_accident_renew^3*SUMIFS(AO607:AO655,B607:B655,B647-36)+in_accident_renew^4*SUMIFS(AO607:AO655,B607:B655,B647-48))</f>
        <v/>
      </c>
      <c r="AQ647" s="40">
        <f>AQ646*(1-IF(B646&gt;=in_marketplace_from,d_hz_two_wheeler*G646,0))</f>
        <v/>
      </c>
      <c r="AR647" s="46">
        <f>AQ647*IF(B647&gt;=in_marketplace_from,d_hz_two_wheeler*G647,0)</f>
        <v/>
      </c>
      <c r="AS647" s="14">
        <f>F647*AR647*in_two_wheeler_ticket*in_two_wheeler_comm*in_ins_partner_share+F647*in_two_wheeler_ticket*in_two_wheeler_comm*in_ins_partner_share*(in_two_wheeler_renew^1*SUMIFS(AR607:AR655,B607:B655,B647-12)+in_two_wheeler_renew^2*SUMIFS(AR607:AR655,B607:B655,B647-24)+in_two_wheeler_renew^3*SUMIFS(AR607:AR655,B607:B655,B647-36)+in_two_wheeler_renew^4*SUMIFS(AR607:AR655,B607:B655,B647-48))</f>
        <v/>
      </c>
      <c r="AT647" s="40">
        <f>AT646*(1-IF(B646&gt;=in_marketplace_from,d_hz_device*G646,0))</f>
        <v/>
      </c>
      <c r="AU647" s="14">
        <f>F647*AT647*IF(B647&gt;=in_marketplace_from,d_hz_device*G647,0)*in_device_ticket*in_device_comm*in_ins_partner_share</f>
        <v/>
      </c>
      <c r="AV647" s="40">
        <f>AV646*(1-IF(B646&gt;=in_marketplace_from,d_hz_shop*G646,0))</f>
        <v/>
      </c>
      <c r="AW647" s="46">
        <f>AV647*IF(B647&gt;=in_marketplace_from,d_hz_shop*G647,0)</f>
        <v/>
      </c>
      <c r="AX647" s="14">
        <f>F647*AW647*in_shop_ticket*in_shop_comm*in_ins_partner_share+F647*in_shop_ticket*in_shop_renew_comm*in_ins_partner_share*(in_shop_renew^1*SUMIFS(AW607:AW655,B607:B655,B647-12)+in_shop_renew^2*SUMIFS(AW607:AW655,B607:B655,B647-24)+in_shop_renew^3*SUMIFS(AW607:AW655,B607:B655,B647-36)+in_shop_renew^4*SUMIFS(AW607:AW655,B607:B655,B647-48))</f>
        <v/>
      </c>
      <c r="AY647" s="40">
        <f>AY646*(1-IF(B646&gt;=in_marketplace_from,d_hz_sip*G646,0))</f>
        <v/>
      </c>
      <c r="AZ647" s="40">
        <f>AZ646*d_rho_sip+AY647*IF(B647&gt;=in_marketplace_from,d_hz_sip*G647,0)</f>
        <v/>
      </c>
      <c r="BA647" s="40">
        <f>d_rho_sip*(BA646+AZ646)</f>
        <v/>
      </c>
      <c r="BB647" s="14">
        <f>F647*in_sip_ticket*(BA647+0.5*AZ647)*in_sip_comm/12</f>
        <v/>
      </c>
      <c r="BC647" s="40">
        <f>BC646*(1-IF(B646&gt;=in_marketplace_from,d_hz_choti*G646,0))</f>
        <v/>
      </c>
      <c r="BD647" s="46">
        <f>BC647*IF(B647&gt;=in_marketplace_from,d_hz_choti*G647,0)</f>
        <v/>
      </c>
      <c r="BE647" s="14">
        <f>F647*SUMIFS(BD607:BD655,B607:B655,B647-in_choti_months)*in_choti_renew*in_choti_ticket</f>
        <v/>
      </c>
      <c r="BF647" s="40">
        <f>BF646*(1-IF(B646&gt;=in_marketplace_from,d_hz_nps*G646,0))</f>
        <v/>
      </c>
      <c r="BG647" s="14">
        <f>F647*BF647*IF(B647&gt;=in_marketplace_from,d_hz_nps*G647,0)*in_nps_ticket*in_nps_comm</f>
        <v/>
      </c>
      <c r="BH647" s="40">
        <f>BH646*(1-IF(B646&gt;=in_marketplace_from,d_hz_gold*G646,0))</f>
        <v/>
      </c>
      <c r="BI647" s="40">
        <f>BI646*d_rho_gold+BH647*IF(B647&gt;=in_marketplace_from,d_hz_gold*G647,0)</f>
        <v/>
      </c>
      <c r="BJ647" s="14">
        <f>F647*BI647*in_gold_ticket*in_gold_comm</f>
        <v/>
      </c>
      <c r="BK647" s="40">
        <f>BK646*(1-IF(B646&gt;=in_marketplace_from,d_hz_fd*G646,0))</f>
        <v/>
      </c>
      <c r="BL647" s="14">
        <f>F647*BK647*IF(B647&gt;=in_marketplace_from,d_hz_fd*G647,0)*in_fd_ticket*in_fd_comm</f>
        <v/>
      </c>
      <c r="BM647" s="40">
        <f>BM646*(1-IF(B646&gt;=in_marketplace_from,d_hz_recharge*G646,0))</f>
        <v/>
      </c>
      <c r="BN647" s="40">
        <f>BN646*d_rho_recharge+BM647*IF(B647&gt;=in_marketplace_from,d_hz_recharge*G647,0)</f>
        <v/>
      </c>
      <c r="BO647" s="14">
        <f>F647*BN647*in_recharge_ticket*in_recharge_comm/12</f>
        <v/>
      </c>
      <c r="BP647" s="40">
        <f>BP646*(1-IF(B646&gt;=in_marketplace_from,d_hz_bills*G646,0))</f>
        <v/>
      </c>
      <c r="BQ647" s="40">
        <f>BQ646*d_rho_bills+BP647*IF(B647&gt;=in_marketplace_from,d_hz_bills*G647,0)</f>
        <v/>
      </c>
      <c r="BR647" s="14">
        <f>F647*BQ647*in_bills_ticket*in_bills_comm/12</f>
        <v/>
      </c>
      <c r="BS647" s="40">
        <f>BS646*(1-IF(B646&gt;=in_marketplace_from,d_hz_loan_gold*G646,0))</f>
        <v/>
      </c>
      <c r="BT647" s="14">
        <f>F647*BS647*IF(B647&gt;=in_marketplace_from,d_hz_loan_gold*G647,0)*in_loan_gold_ticket*in_loan_gold_comm</f>
        <v/>
      </c>
      <c r="BU647" s="40">
        <f>BU646*(1-IF(B646&gt;=in_marketplace_from,d_hz_loan_cd*G646,0))</f>
        <v/>
      </c>
      <c r="BV647" s="14">
        <f>F647*BU647*IF(B647&gt;=in_marketplace_from,d_hz_loan_cd*G647,0)*in_loan_cd_ticket*in_loan_cd_comm</f>
        <v/>
      </c>
      <c r="BW647" s="40">
        <f>BW646*(1-IF(B646&gt;=in_marketplace_from,d_hz_loan_vehicle*G646,0))</f>
        <v/>
      </c>
      <c r="BX647" s="14">
        <f>F647*BW647*IF(B647&gt;=in_marketplace_from,d_hz_loan_vehicle*G647,0)*in_loan_vehicle_ticket*in_loan_vehicle_comm</f>
        <v/>
      </c>
      <c r="BY647" s="40">
        <f>BY646*(1-IF(B646&gt;=in_marketplace_from,d_hz_loan_home*G646,0)*BZ646)</f>
        <v/>
      </c>
      <c r="BZ647" s="11">
        <f>MIN(in_approval_cap,in_loan_home_approval*INDEX('Age profile'!$O$2:$O$61,B647)*(1+in_approval_growth)^(D647-1))</f>
        <v/>
      </c>
      <c r="CA647" s="14">
        <f>F647*BY647*IF(B647&gt;=in_marketplace_from,d_hz_loan_home*G647,0)*BZ647*in_loan_home_ticket*in_loan_home_comm</f>
        <v/>
      </c>
      <c r="CB647" s="40">
        <f>CB646*(1-IF(B646&gt;=in_marketplace_from,d_hz_loan_lap*G646,0)*CC646)</f>
        <v/>
      </c>
      <c r="CC647" s="11">
        <f>MIN(in_approval_cap,in_loan_lap_approval*INDEX('Age profile'!$O$2:$O$61,B647)*(1+in_approval_growth)^(D647-1))</f>
        <v/>
      </c>
      <c r="CD647" s="14">
        <f>F647*CB647*IF(B647&gt;=in_marketplace_from,d_hz_loan_lap*G647,0)*CC647*in_loan_lap_ticket*in_loan_lap_comm</f>
        <v/>
      </c>
      <c r="CE647" s="14">
        <f>AA647+AB647+AC647+AD647+AG647+AJ647+AM647+AP647+AS647+AU647+AX647+BB647+BE647+BG647+BJ647+BL647+BO647+BR647+BT647+BV647+BX647+CA647+CD647</f>
        <v/>
      </c>
    </row>
    <row r="648">
      <c r="A648" s="39" t="n">
        <v>12</v>
      </c>
      <c r="B648" s="39" t="n">
        <v>42</v>
      </c>
      <c r="C648" s="39">
        <f>A648+B648-1</f>
        <v/>
      </c>
      <c r="D648" s="39">
        <f>INT((C648-1)/12)+1</f>
        <v/>
      </c>
      <c r="E648" s="44">
        <f>INDEX(Monthly!$B$2:$B$61,A648)</f>
        <v/>
      </c>
      <c r="F648" s="44">
        <f>E648*INDEX('Age profile'!$B$2:$B$61,B648)</f>
        <v/>
      </c>
      <c r="G648" s="45">
        <f>MIN(in_takeup_cap,INDEX('Age profile'!$N$2:$N$61,B648)*(1+in_takeup_growth)^(D648-1))</f>
        <v/>
      </c>
      <c r="H648" s="11">
        <f>MIN(in_approval_cap,in_approved_first*INDEX('Age profile'!$O$2:$O$61,B648)*(1+in_approval_growth)^(D648-1))</f>
        <v/>
      </c>
      <c r="I648" s="45">
        <f>G648*MIN(in_takeup_cap,INDEX('Age profile'!$O$2:$O$61,B648)*(1+in_approval_growth)^(D648-1))</f>
        <v/>
      </c>
      <c r="J648" s="40">
        <f>(J647-L647)*F648/F647</f>
        <v/>
      </c>
      <c r="K648" s="40">
        <f>(K647-M647)*F648/F647+SUMIFS(O607:O647,B607:B647,B648-1-d_T)*F648</f>
        <v/>
      </c>
      <c r="L648" s="40">
        <f>IF(B648&gt;=in_marketplace_from,J648*d_hz*G648*in_eligible*H648,0)</f>
        <v/>
      </c>
      <c r="M648" s="40">
        <f>IF(B648&gt;=in_marketplace_from,K648*d_hz*G648*in_eligible*in_approved_repeat,0)</f>
        <v/>
      </c>
      <c r="N648" s="40">
        <f>L648+M648</f>
        <v/>
      </c>
      <c r="O648" s="46">
        <f>N648/F648</f>
        <v/>
      </c>
      <c r="P648" s="40">
        <f>F648-J648-K648</f>
        <v/>
      </c>
      <c r="Q648" s="40">
        <f>IF(B648&gt;=in_marketplace_from,(J648+K648)*d_hz*G648,0)</f>
        <v/>
      </c>
      <c r="R648" s="40">
        <f>SUMIFS(N607:N655,B607:B655,"&gt;="&amp;(B648-d_T),B607:B655,"&lt;="&amp;(B648-1))</f>
        <v/>
      </c>
      <c r="S648" s="46">
        <f>(1-d_u)*S647+IF(d_T&gt;in_topup_lag,SUMIFS(O607:O655,B607:B655,B648-in_topup_lag)-d_udrop*SUMIFS(O607:O655,B607:B655,B648-d_T),0)</f>
        <v/>
      </c>
      <c r="T648" s="40">
        <f>F648*d_u*S648</f>
        <v/>
      </c>
      <c r="U648" s="9">
        <f>L648*in_ticket+M648*d_rep_ticket</f>
        <v/>
      </c>
      <c r="V648" s="9">
        <f>U648+T648*d_topup_amt</f>
        <v/>
      </c>
      <c r="W648" s="40">
        <f>N648+T648*d_topup_ratio</f>
        <v/>
      </c>
      <c r="X648" s="40">
        <f>SUMIFS(W607:W655,B607:B655,B648-in_dpd_lag)*d_cured</f>
        <v/>
      </c>
      <c r="Y648" s="40">
        <f>SUMIFS(W607:W655,B607:B655,B648-in_rec_lag)*d_recd</f>
        <v/>
      </c>
      <c r="Z648" s="40">
        <f>IF(AND(B648&gt;=in_marketplace_from,B648&lt;in_marketplace_from+in_card_months),in_card_share/in_card_months*F648*I648,IF(AND(B648&gt;=in_marketplace_from+in_card_months,B648&lt;in_marketplace_from+2*in_card_months),in_card_share*d_card_rem/in_card_months*F648*MIN(in_takeup_cap,(1+in_takeup_growth)^(D648-1))*MIN(in_takeup_cap,(1+in_approval_growth)^(D648-1)),0))</f>
        <v/>
      </c>
      <c r="AA648" s="14">
        <f>V648*in_fee*(1-in_taken_back)</f>
        <v/>
      </c>
      <c r="AB648" s="14">
        <f>SUMIFS(W607:W655,B607:B655,B648-in_dpd_lag)*d_dpd</f>
        <v/>
      </c>
      <c r="AC648" s="14">
        <f>SUMIFS(W607:W655,B607:B655,B648-in_rec_lag)*d_rec</f>
        <v/>
      </c>
      <c r="AD648" s="14">
        <f>Z648*in_card_fee</f>
        <v/>
      </c>
      <c r="AE648" s="40">
        <f>AE647*(1-IF(B647&gt;=in_marketplace_from,d_hz_hlth_small*G647,0))</f>
        <v/>
      </c>
      <c r="AF648" s="46">
        <f>AE648*IF(B648&gt;=in_marketplace_from,d_hz_hlth_small*G648,0)</f>
        <v/>
      </c>
      <c r="AG648" s="14">
        <f>F648*AF648*in_hlth_small_ticket*in_hlth_small_comm*in_ins_partner_share+F648*in_hlth_small_ticket*in_hlth_small_renew_comm*in_ins_partner_share*(in_hlth_small_renew^1*SUMIFS(AF607:AF655,B607:B655,B648-12)+in_hlth_small_renew^2*SUMIFS(AF607:AF655,B607:B655,B648-24)+in_hlth_small_renew^3*SUMIFS(AF607:AF655,B607:B655,B648-36)+in_hlth_small_renew^4*SUMIFS(AF607:AF655,B607:B655,B648-48))</f>
        <v/>
      </c>
      <c r="AH648" s="40">
        <f>AH647*(1-IF(B647&gt;=in_marketplace_from,d_hz_hlth_family*G647,0))</f>
        <v/>
      </c>
      <c r="AI648" s="46">
        <f>AH648*IF(B648&gt;=in_marketplace_from,d_hz_hlth_family*G648,0)</f>
        <v/>
      </c>
      <c r="AJ648" s="14">
        <f>F648*AI648*in_hlth_family_ticket*in_hlth_family_comm*in_ins_partner_share+F648*in_hlth_family_ticket*in_hlth_family_renew_comm*in_ins_partner_share*(in_hlth_family_renew^1*SUMIFS(AI607:AI655,B607:B655,B648-12)+in_hlth_family_renew^2*SUMIFS(AI607:AI655,B607:B655,B648-24)+in_hlth_family_renew^3*SUMIFS(AI607:AI655,B607:B655,B648-36)+in_hlth_family_renew^4*SUMIFS(AI607:AI655,B607:B655,B648-48))</f>
        <v/>
      </c>
      <c r="AK648" s="40">
        <f>AK647*(1-IF(B647&gt;=in_marketplace_from,d_hz_life_term*G647,0))</f>
        <v/>
      </c>
      <c r="AL648" s="46">
        <f>AK648*IF(B648&gt;=in_marketplace_from,d_hz_life_term*G648,0)</f>
        <v/>
      </c>
      <c r="AM648" s="14">
        <f>F648*AL648*in_life_term_ticket*in_life_term_comm*in_ins_partner_share+F648*in_life_term_ticket*in_life_term_renew_comm*in_ins_partner_share*(in_life_term_renew^1*SUMIFS(AL607:AL655,B607:B655,B648-12)+in_life_term_renew^2*SUMIFS(AL607:AL655,B607:B655,B648-24)+in_life_term_renew^3*SUMIFS(AL607:AL655,B607:B655,B648-36)+in_life_term_renew^4*SUMIFS(AL607:AL655,B607:B655,B648-48))</f>
        <v/>
      </c>
      <c r="AN648" s="40">
        <f>AN647*(1-IF(B647&gt;=in_marketplace_from,d_hz_accident*G647,0))</f>
        <v/>
      </c>
      <c r="AO648" s="46">
        <f>AN648*IF(B648&gt;=in_marketplace_from,d_hz_accident*G648,0)</f>
        <v/>
      </c>
      <c r="AP648" s="14">
        <f>F648*AO648*in_accident_ticket*in_accident_comm*in_ins_partner_share+F648*in_accident_ticket*in_accident_renew_comm*in_ins_partner_share*(in_accident_renew^1*SUMIFS(AO607:AO655,B607:B655,B648-12)+in_accident_renew^2*SUMIFS(AO607:AO655,B607:B655,B648-24)+in_accident_renew^3*SUMIFS(AO607:AO655,B607:B655,B648-36)+in_accident_renew^4*SUMIFS(AO607:AO655,B607:B655,B648-48))</f>
        <v/>
      </c>
      <c r="AQ648" s="40">
        <f>AQ647*(1-IF(B647&gt;=in_marketplace_from,d_hz_two_wheeler*G647,0))</f>
        <v/>
      </c>
      <c r="AR648" s="46">
        <f>AQ648*IF(B648&gt;=in_marketplace_from,d_hz_two_wheeler*G648,0)</f>
        <v/>
      </c>
      <c r="AS648" s="14">
        <f>F648*AR648*in_two_wheeler_ticket*in_two_wheeler_comm*in_ins_partner_share+F648*in_two_wheeler_ticket*in_two_wheeler_comm*in_ins_partner_share*(in_two_wheeler_renew^1*SUMIFS(AR607:AR655,B607:B655,B648-12)+in_two_wheeler_renew^2*SUMIFS(AR607:AR655,B607:B655,B648-24)+in_two_wheeler_renew^3*SUMIFS(AR607:AR655,B607:B655,B648-36)+in_two_wheeler_renew^4*SUMIFS(AR607:AR655,B607:B655,B648-48))</f>
        <v/>
      </c>
      <c r="AT648" s="40">
        <f>AT647*(1-IF(B647&gt;=in_marketplace_from,d_hz_device*G647,0))</f>
        <v/>
      </c>
      <c r="AU648" s="14">
        <f>F648*AT648*IF(B648&gt;=in_marketplace_from,d_hz_device*G648,0)*in_device_ticket*in_device_comm*in_ins_partner_share</f>
        <v/>
      </c>
      <c r="AV648" s="40">
        <f>AV647*(1-IF(B647&gt;=in_marketplace_from,d_hz_shop*G647,0))</f>
        <v/>
      </c>
      <c r="AW648" s="46">
        <f>AV648*IF(B648&gt;=in_marketplace_from,d_hz_shop*G648,0)</f>
        <v/>
      </c>
      <c r="AX648" s="14">
        <f>F648*AW648*in_shop_ticket*in_shop_comm*in_ins_partner_share+F648*in_shop_ticket*in_shop_renew_comm*in_ins_partner_share*(in_shop_renew^1*SUMIFS(AW607:AW655,B607:B655,B648-12)+in_shop_renew^2*SUMIFS(AW607:AW655,B607:B655,B648-24)+in_shop_renew^3*SUMIFS(AW607:AW655,B607:B655,B648-36)+in_shop_renew^4*SUMIFS(AW607:AW655,B607:B655,B648-48))</f>
        <v/>
      </c>
      <c r="AY648" s="40">
        <f>AY647*(1-IF(B647&gt;=in_marketplace_from,d_hz_sip*G647,0))</f>
        <v/>
      </c>
      <c r="AZ648" s="40">
        <f>AZ647*d_rho_sip+AY648*IF(B648&gt;=in_marketplace_from,d_hz_sip*G648,0)</f>
        <v/>
      </c>
      <c r="BA648" s="40">
        <f>d_rho_sip*(BA647+AZ647)</f>
        <v/>
      </c>
      <c r="BB648" s="14">
        <f>F648*in_sip_ticket*(BA648+0.5*AZ648)*in_sip_comm/12</f>
        <v/>
      </c>
      <c r="BC648" s="40">
        <f>BC647*(1-IF(B647&gt;=in_marketplace_from,d_hz_choti*G647,0))</f>
        <v/>
      </c>
      <c r="BD648" s="46">
        <f>BC648*IF(B648&gt;=in_marketplace_from,d_hz_choti*G648,0)</f>
        <v/>
      </c>
      <c r="BE648" s="14">
        <f>F648*SUMIFS(BD607:BD655,B607:B655,B648-in_choti_months)*in_choti_renew*in_choti_ticket</f>
        <v/>
      </c>
      <c r="BF648" s="40">
        <f>BF647*(1-IF(B647&gt;=in_marketplace_from,d_hz_nps*G647,0))</f>
        <v/>
      </c>
      <c r="BG648" s="14">
        <f>F648*BF648*IF(B648&gt;=in_marketplace_from,d_hz_nps*G648,0)*in_nps_ticket*in_nps_comm</f>
        <v/>
      </c>
      <c r="BH648" s="40">
        <f>BH647*(1-IF(B647&gt;=in_marketplace_from,d_hz_gold*G647,0))</f>
        <v/>
      </c>
      <c r="BI648" s="40">
        <f>BI647*d_rho_gold+BH648*IF(B648&gt;=in_marketplace_from,d_hz_gold*G648,0)</f>
        <v/>
      </c>
      <c r="BJ648" s="14">
        <f>F648*BI648*in_gold_ticket*in_gold_comm</f>
        <v/>
      </c>
      <c r="BK648" s="40">
        <f>BK647*(1-IF(B647&gt;=in_marketplace_from,d_hz_fd*G647,0))</f>
        <v/>
      </c>
      <c r="BL648" s="14">
        <f>F648*BK648*IF(B648&gt;=in_marketplace_from,d_hz_fd*G648,0)*in_fd_ticket*in_fd_comm</f>
        <v/>
      </c>
      <c r="BM648" s="40">
        <f>BM647*(1-IF(B647&gt;=in_marketplace_from,d_hz_recharge*G647,0))</f>
        <v/>
      </c>
      <c r="BN648" s="40">
        <f>BN647*d_rho_recharge+BM648*IF(B648&gt;=in_marketplace_from,d_hz_recharge*G648,0)</f>
        <v/>
      </c>
      <c r="BO648" s="14">
        <f>F648*BN648*in_recharge_ticket*in_recharge_comm/12</f>
        <v/>
      </c>
      <c r="BP648" s="40">
        <f>BP647*(1-IF(B647&gt;=in_marketplace_from,d_hz_bills*G647,0))</f>
        <v/>
      </c>
      <c r="BQ648" s="40">
        <f>BQ647*d_rho_bills+BP648*IF(B648&gt;=in_marketplace_from,d_hz_bills*G648,0)</f>
        <v/>
      </c>
      <c r="BR648" s="14">
        <f>F648*BQ648*in_bills_ticket*in_bills_comm/12</f>
        <v/>
      </c>
      <c r="BS648" s="40">
        <f>BS647*(1-IF(B647&gt;=in_marketplace_from,d_hz_loan_gold*G647,0))</f>
        <v/>
      </c>
      <c r="BT648" s="14">
        <f>F648*BS648*IF(B648&gt;=in_marketplace_from,d_hz_loan_gold*G648,0)*in_loan_gold_ticket*in_loan_gold_comm</f>
        <v/>
      </c>
      <c r="BU648" s="40">
        <f>BU647*(1-IF(B647&gt;=in_marketplace_from,d_hz_loan_cd*G647,0))</f>
        <v/>
      </c>
      <c r="BV648" s="14">
        <f>F648*BU648*IF(B648&gt;=in_marketplace_from,d_hz_loan_cd*G648,0)*in_loan_cd_ticket*in_loan_cd_comm</f>
        <v/>
      </c>
      <c r="BW648" s="40">
        <f>BW647*(1-IF(B647&gt;=in_marketplace_from,d_hz_loan_vehicle*G647,0))</f>
        <v/>
      </c>
      <c r="BX648" s="14">
        <f>F648*BW648*IF(B648&gt;=in_marketplace_from,d_hz_loan_vehicle*G648,0)*in_loan_vehicle_ticket*in_loan_vehicle_comm</f>
        <v/>
      </c>
      <c r="BY648" s="40">
        <f>BY647*(1-IF(B647&gt;=in_marketplace_from,d_hz_loan_home*G647,0)*BZ647)</f>
        <v/>
      </c>
      <c r="BZ648" s="11">
        <f>MIN(in_approval_cap,in_loan_home_approval*INDEX('Age profile'!$O$2:$O$61,B648)*(1+in_approval_growth)^(D648-1))</f>
        <v/>
      </c>
      <c r="CA648" s="14">
        <f>F648*BY648*IF(B648&gt;=in_marketplace_from,d_hz_loan_home*G648,0)*BZ648*in_loan_home_ticket*in_loan_home_comm</f>
        <v/>
      </c>
      <c r="CB648" s="40">
        <f>CB647*(1-IF(B647&gt;=in_marketplace_from,d_hz_loan_lap*G647,0)*CC647)</f>
        <v/>
      </c>
      <c r="CC648" s="11">
        <f>MIN(in_approval_cap,in_loan_lap_approval*INDEX('Age profile'!$O$2:$O$61,B648)*(1+in_approval_growth)^(D648-1))</f>
        <v/>
      </c>
      <c r="CD648" s="14">
        <f>F648*CB648*IF(B648&gt;=in_marketplace_from,d_hz_loan_lap*G648,0)*CC648*in_loan_lap_ticket*in_loan_lap_comm</f>
        <v/>
      </c>
      <c r="CE648" s="14">
        <f>AA648+AB648+AC648+AD648+AG648+AJ648+AM648+AP648+AS648+AU648+AX648+BB648+BE648+BG648+BJ648+BL648+BO648+BR648+BT648+BV648+BX648+CA648+CD648</f>
        <v/>
      </c>
    </row>
    <row r="649">
      <c r="A649" s="39" t="n">
        <v>12</v>
      </c>
      <c r="B649" s="39" t="n">
        <v>43</v>
      </c>
      <c r="C649" s="39">
        <f>A649+B649-1</f>
        <v/>
      </c>
      <c r="D649" s="39">
        <f>INT((C649-1)/12)+1</f>
        <v/>
      </c>
      <c r="E649" s="44">
        <f>INDEX(Monthly!$B$2:$B$61,A649)</f>
        <v/>
      </c>
      <c r="F649" s="44">
        <f>E649*INDEX('Age profile'!$B$2:$B$61,B649)</f>
        <v/>
      </c>
      <c r="G649" s="45">
        <f>MIN(in_takeup_cap,INDEX('Age profile'!$N$2:$N$61,B649)*(1+in_takeup_growth)^(D649-1))</f>
        <v/>
      </c>
      <c r="H649" s="11">
        <f>MIN(in_approval_cap,in_approved_first*INDEX('Age profile'!$O$2:$O$61,B649)*(1+in_approval_growth)^(D649-1))</f>
        <v/>
      </c>
      <c r="I649" s="45">
        <f>G649*MIN(in_takeup_cap,INDEX('Age profile'!$O$2:$O$61,B649)*(1+in_approval_growth)^(D649-1))</f>
        <v/>
      </c>
      <c r="J649" s="40">
        <f>(J648-L648)*F649/F648</f>
        <v/>
      </c>
      <c r="K649" s="40">
        <f>(K648-M648)*F649/F648+SUMIFS(O607:O648,B607:B648,B649-1-d_T)*F649</f>
        <v/>
      </c>
      <c r="L649" s="40">
        <f>IF(B649&gt;=in_marketplace_from,J649*d_hz*G649*in_eligible*H649,0)</f>
        <v/>
      </c>
      <c r="M649" s="40">
        <f>IF(B649&gt;=in_marketplace_from,K649*d_hz*G649*in_eligible*in_approved_repeat,0)</f>
        <v/>
      </c>
      <c r="N649" s="40">
        <f>L649+M649</f>
        <v/>
      </c>
      <c r="O649" s="46">
        <f>N649/F649</f>
        <v/>
      </c>
      <c r="P649" s="40">
        <f>F649-J649-K649</f>
        <v/>
      </c>
      <c r="Q649" s="40">
        <f>IF(B649&gt;=in_marketplace_from,(J649+K649)*d_hz*G649,0)</f>
        <v/>
      </c>
      <c r="R649" s="40">
        <f>SUMIFS(N607:N655,B607:B655,"&gt;="&amp;(B649-d_T),B607:B655,"&lt;="&amp;(B649-1))</f>
        <v/>
      </c>
      <c r="S649" s="46">
        <f>(1-d_u)*S648+IF(d_T&gt;in_topup_lag,SUMIFS(O607:O655,B607:B655,B649-in_topup_lag)-d_udrop*SUMIFS(O607:O655,B607:B655,B649-d_T),0)</f>
        <v/>
      </c>
      <c r="T649" s="40">
        <f>F649*d_u*S649</f>
        <v/>
      </c>
      <c r="U649" s="9">
        <f>L649*in_ticket+M649*d_rep_ticket</f>
        <v/>
      </c>
      <c r="V649" s="9">
        <f>U649+T649*d_topup_amt</f>
        <v/>
      </c>
      <c r="W649" s="40">
        <f>N649+T649*d_topup_ratio</f>
        <v/>
      </c>
      <c r="X649" s="40">
        <f>SUMIFS(W607:W655,B607:B655,B649-in_dpd_lag)*d_cured</f>
        <v/>
      </c>
      <c r="Y649" s="40">
        <f>SUMIFS(W607:W655,B607:B655,B649-in_rec_lag)*d_recd</f>
        <v/>
      </c>
      <c r="Z649" s="40">
        <f>IF(AND(B649&gt;=in_marketplace_from,B649&lt;in_marketplace_from+in_card_months),in_card_share/in_card_months*F649*I649,IF(AND(B649&gt;=in_marketplace_from+in_card_months,B649&lt;in_marketplace_from+2*in_card_months),in_card_share*d_card_rem/in_card_months*F649*MIN(in_takeup_cap,(1+in_takeup_growth)^(D649-1))*MIN(in_takeup_cap,(1+in_approval_growth)^(D649-1)),0))</f>
        <v/>
      </c>
      <c r="AA649" s="14">
        <f>V649*in_fee*(1-in_taken_back)</f>
        <v/>
      </c>
      <c r="AB649" s="14">
        <f>SUMIFS(W607:W655,B607:B655,B649-in_dpd_lag)*d_dpd</f>
        <v/>
      </c>
      <c r="AC649" s="14">
        <f>SUMIFS(W607:W655,B607:B655,B649-in_rec_lag)*d_rec</f>
        <v/>
      </c>
      <c r="AD649" s="14">
        <f>Z649*in_card_fee</f>
        <v/>
      </c>
      <c r="AE649" s="40">
        <f>AE648*(1-IF(B648&gt;=in_marketplace_from,d_hz_hlth_small*G648,0))</f>
        <v/>
      </c>
      <c r="AF649" s="46">
        <f>AE649*IF(B649&gt;=in_marketplace_from,d_hz_hlth_small*G649,0)</f>
        <v/>
      </c>
      <c r="AG649" s="14">
        <f>F649*AF649*in_hlth_small_ticket*in_hlth_small_comm*in_ins_partner_share+F649*in_hlth_small_ticket*in_hlth_small_renew_comm*in_ins_partner_share*(in_hlth_small_renew^1*SUMIFS(AF607:AF655,B607:B655,B649-12)+in_hlth_small_renew^2*SUMIFS(AF607:AF655,B607:B655,B649-24)+in_hlth_small_renew^3*SUMIFS(AF607:AF655,B607:B655,B649-36)+in_hlth_small_renew^4*SUMIFS(AF607:AF655,B607:B655,B649-48))</f>
        <v/>
      </c>
      <c r="AH649" s="40">
        <f>AH648*(1-IF(B648&gt;=in_marketplace_from,d_hz_hlth_family*G648,0))</f>
        <v/>
      </c>
      <c r="AI649" s="46">
        <f>AH649*IF(B649&gt;=in_marketplace_from,d_hz_hlth_family*G649,0)</f>
        <v/>
      </c>
      <c r="AJ649" s="14">
        <f>F649*AI649*in_hlth_family_ticket*in_hlth_family_comm*in_ins_partner_share+F649*in_hlth_family_ticket*in_hlth_family_renew_comm*in_ins_partner_share*(in_hlth_family_renew^1*SUMIFS(AI607:AI655,B607:B655,B649-12)+in_hlth_family_renew^2*SUMIFS(AI607:AI655,B607:B655,B649-24)+in_hlth_family_renew^3*SUMIFS(AI607:AI655,B607:B655,B649-36)+in_hlth_family_renew^4*SUMIFS(AI607:AI655,B607:B655,B649-48))</f>
        <v/>
      </c>
      <c r="AK649" s="40">
        <f>AK648*(1-IF(B648&gt;=in_marketplace_from,d_hz_life_term*G648,0))</f>
        <v/>
      </c>
      <c r="AL649" s="46">
        <f>AK649*IF(B649&gt;=in_marketplace_from,d_hz_life_term*G649,0)</f>
        <v/>
      </c>
      <c r="AM649" s="14">
        <f>F649*AL649*in_life_term_ticket*in_life_term_comm*in_ins_partner_share+F649*in_life_term_ticket*in_life_term_renew_comm*in_ins_partner_share*(in_life_term_renew^1*SUMIFS(AL607:AL655,B607:B655,B649-12)+in_life_term_renew^2*SUMIFS(AL607:AL655,B607:B655,B649-24)+in_life_term_renew^3*SUMIFS(AL607:AL655,B607:B655,B649-36)+in_life_term_renew^4*SUMIFS(AL607:AL655,B607:B655,B649-48))</f>
        <v/>
      </c>
      <c r="AN649" s="40">
        <f>AN648*(1-IF(B648&gt;=in_marketplace_from,d_hz_accident*G648,0))</f>
        <v/>
      </c>
      <c r="AO649" s="46">
        <f>AN649*IF(B649&gt;=in_marketplace_from,d_hz_accident*G649,0)</f>
        <v/>
      </c>
      <c r="AP649" s="14">
        <f>F649*AO649*in_accident_ticket*in_accident_comm*in_ins_partner_share+F649*in_accident_ticket*in_accident_renew_comm*in_ins_partner_share*(in_accident_renew^1*SUMIFS(AO607:AO655,B607:B655,B649-12)+in_accident_renew^2*SUMIFS(AO607:AO655,B607:B655,B649-24)+in_accident_renew^3*SUMIFS(AO607:AO655,B607:B655,B649-36)+in_accident_renew^4*SUMIFS(AO607:AO655,B607:B655,B649-48))</f>
        <v/>
      </c>
      <c r="AQ649" s="40">
        <f>AQ648*(1-IF(B648&gt;=in_marketplace_from,d_hz_two_wheeler*G648,0))</f>
        <v/>
      </c>
      <c r="AR649" s="46">
        <f>AQ649*IF(B649&gt;=in_marketplace_from,d_hz_two_wheeler*G649,0)</f>
        <v/>
      </c>
      <c r="AS649" s="14">
        <f>F649*AR649*in_two_wheeler_ticket*in_two_wheeler_comm*in_ins_partner_share+F649*in_two_wheeler_ticket*in_two_wheeler_comm*in_ins_partner_share*(in_two_wheeler_renew^1*SUMIFS(AR607:AR655,B607:B655,B649-12)+in_two_wheeler_renew^2*SUMIFS(AR607:AR655,B607:B655,B649-24)+in_two_wheeler_renew^3*SUMIFS(AR607:AR655,B607:B655,B649-36)+in_two_wheeler_renew^4*SUMIFS(AR607:AR655,B607:B655,B649-48))</f>
        <v/>
      </c>
      <c r="AT649" s="40">
        <f>AT648*(1-IF(B648&gt;=in_marketplace_from,d_hz_device*G648,0))</f>
        <v/>
      </c>
      <c r="AU649" s="14">
        <f>F649*AT649*IF(B649&gt;=in_marketplace_from,d_hz_device*G649,0)*in_device_ticket*in_device_comm*in_ins_partner_share</f>
        <v/>
      </c>
      <c r="AV649" s="40">
        <f>AV648*(1-IF(B648&gt;=in_marketplace_from,d_hz_shop*G648,0))</f>
        <v/>
      </c>
      <c r="AW649" s="46">
        <f>AV649*IF(B649&gt;=in_marketplace_from,d_hz_shop*G649,0)</f>
        <v/>
      </c>
      <c r="AX649" s="14">
        <f>F649*AW649*in_shop_ticket*in_shop_comm*in_ins_partner_share+F649*in_shop_ticket*in_shop_renew_comm*in_ins_partner_share*(in_shop_renew^1*SUMIFS(AW607:AW655,B607:B655,B649-12)+in_shop_renew^2*SUMIFS(AW607:AW655,B607:B655,B649-24)+in_shop_renew^3*SUMIFS(AW607:AW655,B607:B655,B649-36)+in_shop_renew^4*SUMIFS(AW607:AW655,B607:B655,B649-48))</f>
        <v/>
      </c>
      <c r="AY649" s="40">
        <f>AY648*(1-IF(B648&gt;=in_marketplace_from,d_hz_sip*G648,0))</f>
        <v/>
      </c>
      <c r="AZ649" s="40">
        <f>AZ648*d_rho_sip+AY649*IF(B649&gt;=in_marketplace_from,d_hz_sip*G649,0)</f>
        <v/>
      </c>
      <c r="BA649" s="40">
        <f>d_rho_sip*(BA648+AZ648)</f>
        <v/>
      </c>
      <c r="BB649" s="14">
        <f>F649*in_sip_ticket*(BA649+0.5*AZ649)*in_sip_comm/12</f>
        <v/>
      </c>
      <c r="BC649" s="40">
        <f>BC648*(1-IF(B648&gt;=in_marketplace_from,d_hz_choti*G648,0))</f>
        <v/>
      </c>
      <c r="BD649" s="46">
        <f>BC649*IF(B649&gt;=in_marketplace_from,d_hz_choti*G649,0)</f>
        <v/>
      </c>
      <c r="BE649" s="14">
        <f>F649*SUMIFS(BD607:BD655,B607:B655,B649-in_choti_months)*in_choti_renew*in_choti_ticket</f>
        <v/>
      </c>
      <c r="BF649" s="40">
        <f>BF648*(1-IF(B648&gt;=in_marketplace_from,d_hz_nps*G648,0))</f>
        <v/>
      </c>
      <c r="BG649" s="14">
        <f>F649*BF649*IF(B649&gt;=in_marketplace_from,d_hz_nps*G649,0)*in_nps_ticket*in_nps_comm</f>
        <v/>
      </c>
      <c r="BH649" s="40">
        <f>BH648*(1-IF(B648&gt;=in_marketplace_from,d_hz_gold*G648,0))</f>
        <v/>
      </c>
      <c r="BI649" s="40">
        <f>BI648*d_rho_gold+BH649*IF(B649&gt;=in_marketplace_from,d_hz_gold*G649,0)</f>
        <v/>
      </c>
      <c r="BJ649" s="14">
        <f>F649*BI649*in_gold_ticket*in_gold_comm</f>
        <v/>
      </c>
      <c r="BK649" s="40">
        <f>BK648*(1-IF(B648&gt;=in_marketplace_from,d_hz_fd*G648,0))</f>
        <v/>
      </c>
      <c r="BL649" s="14">
        <f>F649*BK649*IF(B649&gt;=in_marketplace_from,d_hz_fd*G649,0)*in_fd_ticket*in_fd_comm</f>
        <v/>
      </c>
      <c r="BM649" s="40">
        <f>BM648*(1-IF(B648&gt;=in_marketplace_from,d_hz_recharge*G648,0))</f>
        <v/>
      </c>
      <c r="BN649" s="40">
        <f>BN648*d_rho_recharge+BM649*IF(B649&gt;=in_marketplace_from,d_hz_recharge*G649,0)</f>
        <v/>
      </c>
      <c r="BO649" s="14">
        <f>F649*BN649*in_recharge_ticket*in_recharge_comm/12</f>
        <v/>
      </c>
      <c r="BP649" s="40">
        <f>BP648*(1-IF(B648&gt;=in_marketplace_from,d_hz_bills*G648,0))</f>
        <v/>
      </c>
      <c r="BQ649" s="40">
        <f>BQ648*d_rho_bills+BP649*IF(B649&gt;=in_marketplace_from,d_hz_bills*G649,0)</f>
        <v/>
      </c>
      <c r="BR649" s="14">
        <f>F649*BQ649*in_bills_ticket*in_bills_comm/12</f>
        <v/>
      </c>
      <c r="BS649" s="40">
        <f>BS648*(1-IF(B648&gt;=in_marketplace_from,d_hz_loan_gold*G648,0))</f>
        <v/>
      </c>
      <c r="BT649" s="14">
        <f>F649*BS649*IF(B649&gt;=in_marketplace_from,d_hz_loan_gold*G649,0)*in_loan_gold_ticket*in_loan_gold_comm</f>
        <v/>
      </c>
      <c r="BU649" s="40">
        <f>BU648*(1-IF(B648&gt;=in_marketplace_from,d_hz_loan_cd*G648,0))</f>
        <v/>
      </c>
      <c r="BV649" s="14">
        <f>F649*BU649*IF(B649&gt;=in_marketplace_from,d_hz_loan_cd*G649,0)*in_loan_cd_ticket*in_loan_cd_comm</f>
        <v/>
      </c>
      <c r="BW649" s="40">
        <f>BW648*(1-IF(B648&gt;=in_marketplace_from,d_hz_loan_vehicle*G648,0))</f>
        <v/>
      </c>
      <c r="BX649" s="14">
        <f>F649*BW649*IF(B649&gt;=in_marketplace_from,d_hz_loan_vehicle*G649,0)*in_loan_vehicle_ticket*in_loan_vehicle_comm</f>
        <v/>
      </c>
      <c r="BY649" s="40">
        <f>BY648*(1-IF(B648&gt;=in_marketplace_from,d_hz_loan_home*G648,0)*BZ648)</f>
        <v/>
      </c>
      <c r="BZ649" s="11">
        <f>MIN(in_approval_cap,in_loan_home_approval*INDEX('Age profile'!$O$2:$O$61,B649)*(1+in_approval_growth)^(D649-1))</f>
        <v/>
      </c>
      <c r="CA649" s="14">
        <f>F649*BY649*IF(B649&gt;=in_marketplace_from,d_hz_loan_home*G649,0)*BZ649*in_loan_home_ticket*in_loan_home_comm</f>
        <v/>
      </c>
      <c r="CB649" s="40">
        <f>CB648*(1-IF(B648&gt;=in_marketplace_from,d_hz_loan_lap*G648,0)*CC648)</f>
        <v/>
      </c>
      <c r="CC649" s="11">
        <f>MIN(in_approval_cap,in_loan_lap_approval*INDEX('Age profile'!$O$2:$O$61,B649)*(1+in_approval_growth)^(D649-1))</f>
        <v/>
      </c>
      <c r="CD649" s="14">
        <f>F649*CB649*IF(B649&gt;=in_marketplace_from,d_hz_loan_lap*G649,0)*CC649*in_loan_lap_ticket*in_loan_lap_comm</f>
        <v/>
      </c>
      <c r="CE649" s="14">
        <f>AA649+AB649+AC649+AD649+AG649+AJ649+AM649+AP649+AS649+AU649+AX649+BB649+BE649+BG649+BJ649+BL649+BO649+BR649+BT649+BV649+BX649+CA649+CD649</f>
        <v/>
      </c>
    </row>
    <row r="650">
      <c r="A650" s="39" t="n">
        <v>12</v>
      </c>
      <c r="B650" s="39" t="n">
        <v>44</v>
      </c>
      <c r="C650" s="39">
        <f>A650+B650-1</f>
        <v/>
      </c>
      <c r="D650" s="39">
        <f>INT((C650-1)/12)+1</f>
        <v/>
      </c>
      <c r="E650" s="44">
        <f>INDEX(Monthly!$B$2:$B$61,A650)</f>
        <v/>
      </c>
      <c r="F650" s="44">
        <f>E650*INDEX('Age profile'!$B$2:$B$61,B650)</f>
        <v/>
      </c>
      <c r="G650" s="45">
        <f>MIN(in_takeup_cap,INDEX('Age profile'!$N$2:$N$61,B650)*(1+in_takeup_growth)^(D650-1))</f>
        <v/>
      </c>
      <c r="H650" s="11">
        <f>MIN(in_approval_cap,in_approved_first*INDEX('Age profile'!$O$2:$O$61,B650)*(1+in_approval_growth)^(D650-1))</f>
        <v/>
      </c>
      <c r="I650" s="45">
        <f>G650*MIN(in_takeup_cap,INDEX('Age profile'!$O$2:$O$61,B650)*(1+in_approval_growth)^(D650-1))</f>
        <v/>
      </c>
      <c r="J650" s="40">
        <f>(J649-L649)*F650/F649</f>
        <v/>
      </c>
      <c r="K650" s="40">
        <f>(K649-M649)*F650/F649+SUMIFS(O607:O649,B607:B649,B650-1-d_T)*F650</f>
        <v/>
      </c>
      <c r="L650" s="40">
        <f>IF(B650&gt;=in_marketplace_from,J650*d_hz*G650*in_eligible*H650,0)</f>
        <v/>
      </c>
      <c r="M650" s="40">
        <f>IF(B650&gt;=in_marketplace_from,K650*d_hz*G650*in_eligible*in_approved_repeat,0)</f>
        <v/>
      </c>
      <c r="N650" s="40">
        <f>L650+M650</f>
        <v/>
      </c>
      <c r="O650" s="46">
        <f>N650/F650</f>
        <v/>
      </c>
      <c r="P650" s="40">
        <f>F650-J650-K650</f>
        <v/>
      </c>
      <c r="Q650" s="40">
        <f>IF(B650&gt;=in_marketplace_from,(J650+K650)*d_hz*G650,0)</f>
        <v/>
      </c>
      <c r="R650" s="40">
        <f>SUMIFS(N607:N655,B607:B655,"&gt;="&amp;(B650-d_T),B607:B655,"&lt;="&amp;(B650-1))</f>
        <v/>
      </c>
      <c r="S650" s="46">
        <f>(1-d_u)*S649+IF(d_T&gt;in_topup_lag,SUMIFS(O607:O655,B607:B655,B650-in_topup_lag)-d_udrop*SUMIFS(O607:O655,B607:B655,B650-d_T),0)</f>
        <v/>
      </c>
      <c r="T650" s="40">
        <f>F650*d_u*S650</f>
        <v/>
      </c>
      <c r="U650" s="9">
        <f>L650*in_ticket+M650*d_rep_ticket</f>
        <v/>
      </c>
      <c r="V650" s="9">
        <f>U650+T650*d_topup_amt</f>
        <v/>
      </c>
      <c r="W650" s="40">
        <f>N650+T650*d_topup_ratio</f>
        <v/>
      </c>
      <c r="X650" s="40">
        <f>SUMIFS(W607:W655,B607:B655,B650-in_dpd_lag)*d_cured</f>
        <v/>
      </c>
      <c r="Y650" s="40">
        <f>SUMIFS(W607:W655,B607:B655,B650-in_rec_lag)*d_recd</f>
        <v/>
      </c>
      <c r="Z650" s="40">
        <f>IF(AND(B650&gt;=in_marketplace_from,B650&lt;in_marketplace_from+in_card_months),in_card_share/in_card_months*F650*I650,IF(AND(B650&gt;=in_marketplace_from+in_card_months,B650&lt;in_marketplace_from+2*in_card_months),in_card_share*d_card_rem/in_card_months*F650*MIN(in_takeup_cap,(1+in_takeup_growth)^(D650-1))*MIN(in_takeup_cap,(1+in_approval_growth)^(D650-1)),0))</f>
        <v/>
      </c>
      <c r="AA650" s="14">
        <f>V650*in_fee*(1-in_taken_back)</f>
        <v/>
      </c>
      <c r="AB650" s="14">
        <f>SUMIFS(W607:W655,B607:B655,B650-in_dpd_lag)*d_dpd</f>
        <v/>
      </c>
      <c r="AC650" s="14">
        <f>SUMIFS(W607:W655,B607:B655,B650-in_rec_lag)*d_rec</f>
        <v/>
      </c>
      <c r="AD650" s="14">
        <f>Z650*in_card_fee</f>
        <v/>
      </c>
      <c r="AE650" s="40">
        <f>AE649*(1-IF(B649&gt;=in_marketplace_from,d_hz_hlth_small*G649,0))</f>
        <v/>
      </c>
      <c r="AF650" s="46">
        <f>AE650*IF(B650&gt;=in_marketplace_from,d_hz_hlth_small*G650,0)</f>
        <v/>
      </c>
      <c r="AG650" s="14">
        <f>F650*AF650*in_hlth_small_ticket*in_hlth_small_comm*in_ins_partner_share+F650*in_hlth_small_ticket*in_hlth_small_renew_comm*in_ins_partner_share*(in_hlth_small_renew^1*SUMIFS(AF607:AF655,B607:B655,B650-12)+in_hlth_small_renew^2*SUMIFS(AF607:AF655,B607:B655,B650-24)+in_hlth_small_renew^3*SUMIFS(AF607:AF655,B607:B655,B650-36)+in_hlth_small_renew^4*SUMIFS(AF607:AF655,B607:B655,B650-48))</f>
        <v/>
      </c>
      <c r="AH650" s="40">
        <f>AH649*(1-IF(B649&gt;=in_marketplace_from,d_hz_hlth_family*G649,0))</f>
        <v/>
      </c>
      <c r="AI650" s="46">
        <f>AH650*IF(B650&gt;=in_marketplace_from,d_hz_hlth_family*G650,0)</f>
        <v/>
      </c>
      <c r="AJ650" s="14">
        <f>F650*AI650*in_hlth_family_ticket*in_hlth_family_comm*in_ins_partner_share+F650*in_hlth_family_ticket*in_hlth_family_renew_comm*in_ins_partner_share*(in_hlth_family_renew^1*SUMIFS(AI607:AI655,B607:B655,B650-12)+in_hlth_family_renew^2*SUMIFS(AI607:AI655,B607:B655,B650-24)+in_hlth_family_renew^3*SUMIFS(AI607:AI655,B607:B655,B650-36)+in_hlth_family_renew^4*SUMIFS(AI607:AI655,B607:B655,B650-48))</f>
        <v/>
      </c>
      <c r="AK650" s="40">
        <f>AK649*(1-IF(B649&gt;=in_marketplace_from,d_hz_life_term*G649,0))</f>
        <v/>
      </c>
      <c r="AL650" s="46">
        <f>AK650*IF(B650&gt;=in_marketplace_from,d_hz_life_term*G650,0)</f>
        <v/>
      </c>
      <c r="AM650" s="14">
        <f>F650*AL650*in_life_term_ticket*in_life_term_comm*in_ins_partner_share+F650*in_life_term_ticket*in_life_term_renew_comm*in_ins_partner_share*(in_life_term_renew^1*SUMIFS(AL607:AL655,B607:B655,B650-12)+in_life_term_renew^2*SUMIFS(AL607:AL655,B607:B655,B650-24)+in_life_term_renew^3*SUMIFS(AL607:AL655,B607:B655,B650-36)+in_life_term_renew^4*SUMIFS(AL607:AL655,B607:B655,B650-48))</f>
        <v/>
      </c>
      <c r="AN650" s="40">
        <f>AN649*(1-IF(B649&gt;=in_marketplace_from,d_hz_accident*G649,0))</f>
        <v/>
      </c>
      <c r="AO650" s="46">
        <f>AN650*IF(B650&gt;=in_marketplace_from,d_hz_accident*G650,0)</f>
        <v/>
      </c>
      <c r="AP650" s="14">
        <f>F650*AO650*in_accident_ticket*in_accident_comm*in_ins_partner_share+F650*in_accident_ticket*in_accident_renew_comm*in_ins_partner_share*(in_accident_renew^1*SUMIFS(AO607:AO655,B607:B655,B650-12)+in_accident_renew^2*SUMIFS(AO607:AO655,B607:B655,B650-24)+in_accident_renew^3*SUMIFS(AO607:AO655,B607:B655,B650-36)+in_accident_renew^4*SUMIFS(AO607:AO655,B607:B655,B650-48))</f>
        <v/>
      </c>
      <c r="AQ650" s="40">
        <f>AQ649*(1-IF(B649&gt;=in_marketplace_from,d_hz_two_wheeler*G649,0))</f>
        <v/>
      </c>
      <c r="AR650" s="46">
        <f>AQ650*IF(B650&gt;=in_marketplace_from,d_hz_two_wheeler*G650,0)</f>
        <v/>
      </c>
      <c r="AS650" s="14">
        <f>F650*AR650*in_two_wheeler_ticket*in_two_wheeler_comm*in_ins_partner_share+F650*in_two_wheeler_ticket*in_two_wheeler_comm*in_ins_partner_share*(in_two_wheeler_renew^1*SUMIFS(AR607:AR655,B607:B655,B650-12)+in_two_wheeler_renew^2*SUMIFS(AR607:AR655,B607:B655,B650-24)+in_two_wheeler_renew^3*SUMIFS(AR607:AR655,B607:B655,B650-36)+in_two_wheeler_renew^4*SUMIFS(AR607:AR655,B607:B655,B650-48))</f>
        <v/>
      </c>
      <c r="AT650" s="40">
        <f>AT649*(1-IF(B649&gt;=in_marketplace_from,d_hz_device*G649,0))</f>
        <v/>
      </c>
      <c r="AU650" s="14">
        <f>F650*AT650*IF(B650&gt;=in_marketplace_from,d_hz_device*G650,0)*in_device_ticket*in_device_comm*in_ins_partner_share</f>
        <v/>
      </c>
      <c r="AV650" s="40">
        <f>AV649*(1-IF(B649&gt;=in_marketplace_from,d_hz_shop*G649,0))</f>
        <v/>
      </c>
      <c r="AW650" s="46">
        <f>AV650*IF(B650&gt;=in_marketplace_from,d_hz_shop*G650,0)</f>
        <v/>
      </c>
      <c r="AX650" s="14">
        <f>F650*AW650*in_shop_ticket*in_shop_comm*in_ins_partner_share+F650*in_shop_ticket*in_shop_renew_comm*in_ins_partner_share*(in_shop_renew^1*SUMIFS(AW607:AW655,B607:B655,B650-12)+in_shop_renew^2*SUMIFS(AW607:AW655,B607:B655,B650-24)+in_shop_renew^3*SUMIFS(AW607:AW655,B607:B655,B650-36)+in_shop_renew^4*SUMIFS(AW607:AW655,B607:B655,B650-48))</f>
        <v/>
      </c>
      <c r="AY650" s="40">
        <f>AY649*(1-IF(B649&gt;=in_marketplace_from,d_hz_sip*G649,0))</f>
        <v/>
      </c>
      <c r="AZ650" s="40">
        <f>AZ649*d_rho_sip+AY650*IF(B650&gt;=in_marketplace_from,d_hz_sip*G650,0)</f>
        <v/>
      </c>
      <c r="BA650" s="40">
        <f>d_rho_sip*(BA649+AZ649)</f>
        <v/>
      </c>
      <c r="BB650" s="14">
        <f>F650*in_sip_ticket*(BA650+0.5*AZ650)*in_sip_comm/12</f>
        <v/>
      </c>
      <c r="BC650" s="40">
        <f>BC649*(1-IF(B649&gt;=in_marketplace_from,d_hz_choti*G649,0))</f>
        <v/>
      </c>
      <c r="BD650" s="46">
        <f>BC650*IF(B650&gt;=in_marketplace_from,d_hz_choti*G650,0)</f>
        <v/>
      </c>
      <c r="BE650" s="14">
        <f>F650*SUMIFS(BD607:BD655,B607:B655,B650-in_choti_months)*in_choti_renew*in_choti_ticket</f>
        <v/>
      </c>
      <c r="BF650" s="40">
        <f>BF649*(1-IF(B649&gt;=in_marketplace_from,d_hz_nps*G649,0))</f>
        <v/>
      </c>
      <c r="BG650" s="14">
        <f>F650*BF650*IF(B650&gt;=in_marketplace_from,d_hz_nps*G650,0)*in_nps_ticket*in_nps_comm</f>
        <v/>
      </c>
      <c r="BH650" s="40">
        <f>BH649*(1-IF(B649&gt;=in_marketplace_from,d_hz_gold*G649,0))</f>
        <v/>
      </c>
      <c r="BI650" s="40">
        <f>BI649*d_rho_gold+BH650*IF(B650&gt;=in_marketplace_from,d_hz_gold*G650,0)</f>
        <v/>
      </c>
      <c r="BJ650" s="14">
        <f>F650*BI650*in_gold_ticket*in_gold_comm</f>
        <v/>
      </c>
      <c r="BK650" s="40">
        <f>BK649*(1-IF(B649&gt;=in_marketplace_from,d_hz_fd*G649,0))</f>
        <v/>
      </c>
      <c r="BL650" s="14">
        <f>F650*BK650*IF(B650&gt;=in_marketplace_from,d_hz_fd*G650,0)*in_fd_ticket*in_fd_comm</f>
        <v/>
      </c>
      <c r="BM650" s="40">
        <f>BM649*(1-IF(B649&gt;=in_marketplace_from,d_hz_recharge*G649,0))</f>
        <v/>
      </c>
      <c r="BN650" s="40">
        <f>BN649*d_rho_recharge+BM650*IF(B650&gt;=in_marketplace_from,d_hz_recharge*G650,0)</f>
        <v/>
      </c>
      <c r="BO650" s="14">
        <f>F650*BN650*in_recharge_ticket*in_recharge_comm/12</f>
        <v/>
      </c>
      <c r="BP650" s="40">
        <f>BP649*(1-IF(B649&gt;=in_marketplace_from,d_hz_bills*G649,0))</f>
        <v/>
      </c>
      <c r="BQ650" s="40">
        <f>BQ649*d_rho_bills+BP650*IF(B650&gt;=in_marketplace_from,d_hz_bills*G650,0)</f>
        <v/>
      </c>
      <c r="BR650" s="14">
        <f>F650*BQ650*in_bills_ticket*in_bills_comm/12</f>
        <v/>
      </c>
      <c r="BS650" s="40">
        <f>BS649*(1-IF(B649&gt;=in_marketplace_from,d_hz_loan_gold*G649,0))</f>
        <v/>
      </c>
      <c r="BT650" s="14">
        <f>F650*BS650*IF(B650&gt;=in_marketplace_from,d_hz_loan_gold*G650,0)*in_loan_gold_ticket*in_loan_gold_comm</f>
        <v/>
      </c>
      <c r="BU650" s="40">
        <f>BU649*(1-IF(B649&gt;=in_marketplace_from,d_hz_loan_cd*G649,0))</f>
        <v/>
      </c>
      <c r="BV650" s="14">
        <f>F650*BU650*IF(B650&gt;=in_marketplace_from,d_hz_loan_cd*G650,0)*in_loan_cd_ticket*in_loan_cd_comm</f>
        <v/>
      </c>
      <c r="BW650" s="40">
        <f>BW649*(1-IF(B649&gt;=in_marketplace_from,d_hz_loan_vehicle*G649,0))</f>
        <v/>
      </c>
      <c r="BX650" s="14">
        <f>F650*BW650*IF(B650&gt;=in_marketplace_from,d_hz_loan_vehicle*G650,0)*in_loan_vehicle_ticket*in_loan_vehicle_comm</f>
        <v/>
      </c>
      <c r="BY650" s="40">
        <f>BY649*(1-IF(B649&gt;=in_marketplace_from,d_hz_loan_home*G649,0)*BZ649)</f>
        <v/>
      </c>
      <c r="BZ650" s="11">
        <f>MIN(in_approval_cap,in_loan_home_approval*INDEX('Age profile'!$O$2:$O$61,B650)*(1+in_approval_growth)^(D650-1))</f>
        <v/>
      </c>
      <c r="CA650" s="14">
        <f>F650*BY650*IF(B650&gt;=in_marketplace_from,d_hz_loan_home*G650,0)*BZ650*in_loan_home_ticket*in_loan_home_comm</f>
        <v/>
      </c>
      <c r="CB650" s="40">
        <f>CB649*(1-IF(B649&gt;=in_marketplace_from,d_hz_loan_lap*G649,0)*CC649)</f>
        <v/>
      </c>
      <c r="CC650" s="11">
        <f>MIN(in_approval_cap,in_loan_lap_approval*INDEX('Age profile'!$O$2:$O$61,B650)*(1+in_approval_growth)^(D650-1))</f>
        <v/>
      </c>
      <c r="CD650" s="14">
        <f>F650*CB650*IF(B650&gt;=in_marketplace_from,d_hz_loan_lap*G650,0)*CC650*in_loan_lap_ticket*in_loan_lap_comm</f>
        <v/>
      </c>
      <c r="CE650" s="14">
        <f>AA650+AB650+AC650+AD650+AG650+AJ650+AM650+AP650+AS650+AU650+AX650+BB650+BE650+BG650+BJ650+BL650+BO650+BR650+BT650+BV650+BX650+CA650+CD650</f>
        <v/>
      </c>
    </row>
    <row r="651">
      <c r="A651" s="39" t="n">
        <v>12</v>
      </c>
      <c r="B651" s="39" t="n">
        <v>45</v>
      </c>
      <c r="C651" s="39">
        <f>A651+B651-1</f>
        <v/>
      </c>
      <c r="D651" s="39">
        <f>INT((C651-1)/12)+1</f>
        <v/>
      </c>
      <c r="E651" s="44">
        <f>INDEX(Monthly!$B$2:$B$61,A651)</f>
        <v/>
      </c>
      <c r="F651" s="44">
        <f>E651*INDEX('Age profile'!$B$2:$B$61,B651)</f>
        <v/>
      </c>
      <c r="G651" s="45">
        <f>MIN(in_takeup_cap,INDEX('Age profile'!$N$2:$N$61,B651)*(1+in_takeup_growth)^(D651-1))</f>
        <v/>
      </c>
      <c r="H651" s="11">
        <f>MIN(in_approval_cap,in_approved_first*INDEX('Age profile'!$O$2:$O$61,B651)*(1+in_approval_growth)^(D651-1))</f>
        <v/>
      </c>
      <c r="I651" s="45">
        <f>G651*MIN(in_takeup_cap,INDEX('Age profile'!$O$2:$O$61,B651)*(1+in_approval_growth)^(D651-1))</f>
        <v/>
      </c>
      <c r="J651" s="40">
        <f>(J650-L650)*F651/F650</f>
        <v/>
      </c>
      <c r="K651" s="40">
        <f>(K650-M650)*F651/F650+SUMIFS(O607:O650,B607:B650,B651-1-d_T)*F651</f>
        <v/>
      </c>
      <c r="L651" s="40">
        <f>IF(B651&gt;=in_marketplace_from,J651*d_hz*G651*in_eligible*H651,0)</f>
        <v/>
      </c>
      <c r="M651" s="40">
        <f>IF(B651&gt;=in_marketplace_from,K651*d_hz*G651*in_eligible*in_approved_repeat,0)</f>
        <v/>
      </c>
      <c r="N651" s="40">
        <f>L651+M651</f>
        <v/>
      </c>
      <c r="O651" s="46">
        <f>N651/F651</f>
        <v/>
      </c>
      <c r="P651" s="40">
        <f>F651-J651-K651</f>
        <v/>
      </c>
      <c r="Q651" s="40">
        <f>IF(B651&gt;=in_marketplace_from,(J651+K651)*d_hz*G651,0)</f>
        <v/>
      </c>
      <c r="R651" s="40">
        <f>SUMIFS(N607:N655,B607:B655,"&gt;="&amp;(B651-d_T),B607:B655,"&lt;="&amp;(B651-1))</f>
        <v/>
      </c>
      <c r="S651" s="46">
        <f>(1-d_u)*S650+IF(d_T&gt;in_topup_lag,SUMIFS(O607:O655,B607:B655,B651-in_topup_lag)-d_udrop*SUMIFS(O607:O655,B607:B655,B651-d_T),0)</f>
        <v/>
      </c>
      <c r="T651" s="40">
        <f>F651*d_u*S651</f>
        <v/>
      </c>
      <c r="U651" s="9">
        <f>L651*in_ticket+M651*d_rep_ticket</f>
        <v/>
      </c>
      <c r="V651" s="9">
        <f>U651+T651*d_topup_amt</f>
        <v/>
      </c>
      <c r="W651" s="40">
        <f>N651+T651*d_topup_ratio</f>
        <v/>
      </c>
      <c r="X651" s="40">
        <f>SUMIFS(W607:W655,B607:B655,B651-in_dpd_lag)*d_cured</f>
        <v/>
      </c>
      <c r="Y651" s="40">
        <f>SUMIFS(W607:W655,B607:B655,B651-in_rec_lag)*d_recd</f>
        <v/>
      </c>
      <c r="Z651" s="40">
        <f>IF(AND(B651&gt;=in_marketplace_from,B651&lt;in_marketplace_from+in_card_months),in_card_share/in_card_months*F651*I651,IF(AND(B651&gt;=in_marketplace_from+in_card_months,B651&lt;in_marketplace_from+2*in_card_months),in_card_share*d_card_rem/in_card_months*F651*MIN(in_takeup_cap,(1+in_takeup_growth)^(D651-1))*MIN(in_takeup_cap,(1+in_approval_growth)^(D651-1)),0))</f>
        <v/>
      </c>
      <c r="AA651" s="14">
        <f>V651*in_fee*(1-in_taken_back)</f>
        <v/>
      </c>
      <c r="AB651" s="14">
        <f>SUMIFS(W607:W655,B607:B655,B651-in_dpd_lag)*d_dpd</f>
        <v/>
      </c>
      <c r="AC651" s="14">
        <f>SUMIFS(W607:W655,B607:B655,B651-in_rec_lag)*d_rec</f>
        <v/>
      </c>
      <c r="AD651" s="14">
        <f>Z651*in_card_fee</f>
        <v/>
      </c>
      <c r="AE651" s="40">
        <f>AE650*(1-IF(B650&gt;=in_marketplace_from,d_hz_hlth_small*G650,0))</f>
        <v/>
      </c>
      <c r="AF651" s="46">
        <f>AE651*IF(B651&gt;=in_marketplace_from,d_hz_hlth_small*G651,0)</f>
        <v/>
      </c>
      <c r="AG651" s="14">
        <f>F651*AF651*in_hlth_small_ticket*in_hlth_small_comm*in_ins_partner_share+F651*in_hlth_small_ticket*in_hlth_small_renew_comm*in_ins_partner_share*(in_hlth_small_renew^1*SUMIFS(AF607:AF655,B607:B655,B651-12)+in_hlth_small_renew^2*SUMIFS(AF607:AF655,B607:B655,B651-24)+in_hlth_small_renew^3*SUMIFS(AF607:AF655,B607:B655,B651-36)+in_hlth_small_renew^4*SUMIFS(AF607:AF655,B607:B655,B651-48))</f>
        <v/>
      </c>
      <c r="AH651" s="40">
        <f>AH650*(1-IF(B650&gt;=in_marketplace_from,d_hz_hlth_family*G650,0))</f>
        <v/>
      </c>
      <c r="AI651" s="46">
        <f>AH651*IF(B651&gt;=in_marketplace_from,d_hz_hlth_family*G651,0)</f>
        <v/>
      </c>
      <c r="AJ651" s="14">
        <f>F651*AI651*in_hlth_family_ticket*in_hlth_family_comm*in_ins_partner_share+F651*in_hlth_family_ticket*in_hlth_family_renew_comm*in_ins_partner_share*(in_hlth_family_renew^1*SUMIFS(AI607:AI655,B607:B655,B651-12)+in_hlth_family_renew^2*SUMIFS(AI607:AI655,B607:B655,B651-24)+in_hlth_family_renew^3*SUMIFS(AI607:AI655,B607:B655,B651-36)+in_hlth_family_renew^4*SUMIFS(AI607:AI655,B607:B655,B651-48))</f>
        <v/>
      </c>
      <c r="AK651" s="40">
        <f>AK650*(1-IF(B650&gt;=in_marketplace_from,d_hz_life_term*G650,0))</f>
        <v/>
      </c>
      <c r="AL651" s="46">
        <f>AK651*IF(B651&gt;=in_marketplace_from,d_hz_life_term*G651,0)</f>
        <v/>
      </c>
      <c r="AM651" s="14">
        <f>F651*AL651*in_life_term_ticket*in_life_term_comm*in_ins_partner_share+F651*in_life_term_ticket*in_life_term_renew_comm*in_ins_partner_share*(in_life_term_renew^1*SUMIFS(AL607:AL655,B607:B655,B651-12)+in_life_term_renew^2*SUMIFS(AL607:AL655,B607:B655,B651-24)+in_life_term_renew^3*SUMIFS(AL607:AL655,B607:B655,B651-36)+in_life_term_renew^4*SUMIFS(AL607:AL655,B607:B655,B651-48))</f>
        <v/>
      </c>
      <c r="AN651" s="40">
        <f>AN650*(1-IF(B650&gt;=in_marketplace_from,d_hz_accident*G650,0))</f>
        <v/>
      </c>
      <c r="AO651" s="46">
        <f>AN651*IF(B651&gt;=in_marketplace_from,d_hz_accident*G651,0)</f>
        <v/>
      </c>
      <c r="AP651" s="14">
        <f>F651*AO651*in_accident_ticket*in_accident_comm*in_ins_partner_share+F651*in_accident_ticket*in_accident_renew_comm*in_ins_partner_share*(in_accident_renew^1*SUMIFS(AO607:AO655,B607:B655,B651-12)+in_accident_renew^2*SUMIFS(AO607:AO655,B607:B655,B651-24)+in_accident_renew^3*SUMIFS(AO607:AO655,B607:B655,B651-36)+in_accident_renew^4*SUMIFS(AO607:AO655,B607:B655,B651-48))</f>
        <v/>
      </c>
      <c r="AQ651" s="40">
        <f>AQ650*(1-IF(B650&gt;=in_marketplace_from,d_hz_two_wheeler*G650,0))</f>
        <v/>
      </c>
      <c r="AR651" s="46">
        <f>AQ651*IF(B651&gt;=in_marketplace_from,d_hz_two_wheeler*G651,0)</f>
        <v/>
      </c>
      <c r="AS651" s="14">
        <f>F651*AR651*in_two_wheeler_ticket*in_two_wheeler_comm*in_ins_partner_share+F651*in_two_wheeler_ticket*in_two_wheeler_comm*in_ins_partner_share*(in_two_wheeler_renew^1*SUMIFS(AR607:AR655,B607:B655,B651-12)+in_two_wheeler_renew^2*SUMIFS(AR607:AR655,B607:B655,B651-24)+in_two_wheeler_renew^3*SUMIFS(AR607:AR655,B607:B655,B651-36)+in_two_wheeler_renew^4*SUMIFS(AR607:AR655,B607:B655,B651-48))</f>
        <v/>
      </c>
      <c r="AT651" s="40">
        <f>AT650*(1-IF(B650&gt;=in_marketplace_from,d_hz_device*G650,0))</f>
        <v/>
      </c>
      <c r="AU651" s="14">
        <f>F651*AT651*IF(B651&gt;=in_marketplace_from,d_hz_device*G651,0)*in_device_ticket*in_device_comm*in_ins_partner_share</f>
        <v/>
      </c>
      <c r="AV651" s="40">
        <f>AV650*(1-IF(B650&gt;=in_marketplace_from,d_hz_shop*G650,0))</f>
        <v/>
      </c>
      <c r="AW651" s="46">
        <f>AV651*IF(B651&gt;=in_marketplace_from,d_hz_shop*G651,0)</f>
        <v/>
      </c>
      <c r="AX651" s="14">
        <f>F651*AW651*in_shop_ticket*in_shop_comm*in_ins_partner_share+F651*in_shop_ticket*in_shop_renew_comm*in_ins_partner_share*(in_shop_renew^1*SUMIFS(AW607:AW655,B607:B655,B651-12)+in_shop_renew^2*SUMIFS(AW607:AW655,B607:B655,B651-24)+in_shop_renew^3*SUMIFS(AW607:AW655,B607:B655,B651-36)+in_shop_renew^4*SUMIFS(AW607:AW655,B607:B655,B651-48))</f>
        <v/>
      </c>
      <c r="AY651" s="40">
        <f>AY650*(1-IF(B650&gt;=in_marketplace_from,d_hz_sip*G650,0))</f>
        <v/>
      </c>
      <c r="AZ651" s="40">
        <f>AZ650*d_rho_sip+AY651*IF(B651&gt;=in_marketplace_from,d_hz_sip*G651,0)</f>
        <v/>
      </c>
      <c r="BA651" s="40">
        <f>d_rho_sip*(BA650+AZ650)</f>
        <v/>
      </c>
      <c r="BB651" s="14">
        <f>F651*in_sip_ticket*(BA651+0.5*AZ651)*in_sip_comm/12</f>
        <v/>
      </c>
      <c r="BC651" s="40">
        <f>BC650*(1-IF(B650&gt;=in_marketplace_from,d_hz_choti*G650,0))</f>
        <v/>
      </c>
      <c r="BD651" s="46">
        <f>BC651*IF(B651&gt;=in_marketplace_from,d_hz_choti*G651,0)</f>
        <v/>
      </c>
      <c r="BE651" s="14">
        <f>F651*SUMIFS(BD607:BD655,B607:B655,B651-in_choti_months)*in_choti_renew*in_choti_ticket</f>
        <v/>
      </c>
      <c r="BF651" s="40">
        <f>BF650*(1-IF(B650&gt;=in_marketplace_from,d_hz_nps*G650,0))</f>
        <v/>
      </c>
      <c r="BG651" s="14">
        <f>F651*BF651*IF(B651&gt;=in_marketplace_from,d_hz_nps*G651,0)*in_nps_ticket*in_nps_comm</f>
        <v/>
      </c>
      <c r="BH651" s="40">
        <f>BH650*(1-IF(B650&gt;=in_marketplace_from,d_hz_gold*G650,0))</f>
        <v/>
      </c>
      <c r="BI651" s="40">
        <f>BI650*d_rho_gold+BH651*IF(B651&gt;=in_marketplace_from,d_hz_gold*G651,0)</f>
        <v/>
      </c>
      <c r="BJ651" s="14">
        <f>F651*BI651*in_gold_ticket*in_gold_comm</f>
        <v/>
      </c>
      <c r="BK651" s="40">
        <f>BK650*(1-IF(B650&gt;=in_marketplace_from,d_hz_fd*G650,0))</f>
        <v/>
      </c>
      <c r="BL651" s="14">
        <f>F651*BK651*IF(B651&gt;=in_marketplace_from,d_hz_fd*G651,0)*in_fd_ticket*in_fd_comm</f>
        <v/>
      </c>
      <c r="BM651" s="40">
        <f>BM650*(1-IF(B650&gt;=in_marketplace_from,d_hz_recharge*G650,0))</f>
        <v/>
      </c>
      <c r="BN651" s="40">
        <f>BN650*d_rho_recharge+BM651*IF(B651&gt;=in_marketplace_from,d_hz_recharge*G651,0)</f>
        <v/>
      </c>
      <c r="BO651" s="14">
        <f>F651*BN651*in_recharge_ticket*in_recharge_comm/12</f>
        <v/>
      </c>
      <c r="BP651" s="40">
        <f>BP650*(1-IF(B650&gt;=in_marketplace_from,d_hz_bills*G650,0))</f>
        <v/>
      </c>
      <c r="BQ651" s="40">
        <f>BQ650*d_rho_bills+BP651*IF(B651&gt;=in_marketplace_from,d_hz_bills*G651,0)</f>
        <v/>
      </c>
      <c r="BR651" s="14">
        <f>F651*BQ651*in_bills_ticket*in_bills_comm/12</f>
        <v/>
      </c>
      <c r="BS651" s="40">
        <f>BS650*(1-IF(B650&gt;=in_marketplace_from,d_hz_loan_gold*G650,0))</f>
        <v/>
      </c>
      <c r="BT651" s="14">
        <f>F651*BS651*IF(B651&gt;=in_marketplace_from,d_hz_loan_gold*G651,0)*in_loan_gold_ticket*in_loan_gold_comm</f>
        <v/>
      </c>
      <c r="BU651" s="40">
        <f>BU650*(1-IF(B650&gt;=in_marketplace_from,d_hz_loan_cd*G650,0))</f>
        <v/>
      </c>
      <c r="BV651" s="14">
        <f>F651*BU651*IF(B651&gt;=in_marketplace_from,d_hz_loan_cd*G651,0)*in_loan_cd_ticket*in_loan_cd_comm</f>
        <v/>
      </c>
      <c r="BW651" s="40">
        <f>BW650*(1-IF(B650&gt;=in_marketplace_from,d_hz_loan_vehicle*G650,0))</f>
        <v/>
      </c>
      <c r="BX651" s="14">
        <f>F651*BW651*IF(B651&gt;=in_marketplace_from,d_hz_loan_vehicle*G651,0)*in_loan_vehicle_ticket*in_loan_vehicle_comm</f>
        <v/>
      </c>
      <c r="BY651" s="40">
        <f>BY650*(1-IF(B650&gt;=in_marketplace_from,d_hz_loan_home*G650,0)*BZ650)</f>
        <v/>
      </c>
      <c r="BZ651" s="11">
        <f>MIN(in_approval_cap,in_loan_home_approval*INDEX('Age profile'!$O$2:$O$61,B651)*(1+in_approval_growth)^(D651-1))</f>
        <v/>
      </c>
      <c r="CA651" s="14">
        <f>F651*BY651*IF(B651&gt;=in_marketplace_from,d_hz_loan_home*G651,0)*BZ651*in_loan_home_ticket*in_loan_home_comm</f>
        <v/>
      </c>
      <c r="CB651" s="40">
        <f>CB650*(1-IF(B650&gt;=in_marketplace_from,d_hz_loan_lap*G650,0)*CC650)</f>
        <v/>
      </c>
      <c r="CC651" s="11">
        <f>MIN(in_approval_cap,in_loan_lap_approval*INDEX('Age profile'!$O$2:$O$61,B651)*(1+in_approval_growth)^(D651-1))</f>
        <v/>
      </c>
      <c r="CD651" s="14">
        <f>F651*CB651*IF(B651&gt;=in_marketplace_from,d_hz_loan_lap*G651,0)*CC651*in_loan_lap_ticket*in_loan_lap_comm</f>
        <v/>
      </c>
      <c r="CE651" s="14">
        <f>AA651+AB651+AC651+AD651+AG651+AJ651+AM651+AP651+AS651+AU651+AX651+BB651+BE651+BG651+BJ651+BL651+BO651+BR651+BT651+BV651+BX651+CA651+CD651</f>
        <v/>
      </c>
    </row>
    <row r="652">
      <c r="A652" s="39" t="n">
        <v>12</v>
      </c>
      <c r="B652" s="39" t="n">
        <v>46</v>
      </c>
      <c r="C652" s="39">
        <f>A652+B652-1</f>
        <v/>
      </c>
      <c r="D652" s="39">
        <f>INT((C652-1)/12)+1</f>
        <v/>
      </c>
      <c r="E652" s="44">
        <f>INDEX(Monthly!$B$2:$B$61,A652)</f>
        <v/>
      </c>
      <c r="F652" s="44">
        <f>E652*INDEX('Age profile'!$B$2:$B$61,B652)</f>
        <v/>
      </c>
      <c r="G652" s="45">
        <f>MIN(in_takeup_cap,INDEX('Age profile'!$N$2:$N$61,B652)*(1+in_takeup_growth)^(D652-1))</f>
        <v/>
      </c>
      <c r="H652" s="11">
        <f>MIN(in_approval_cap,in_approved_first*INDEX('Age profile'!$O$2:$O$61,B652)*(1+in_approval_growth)^(D652-1))</f>
        <v/>
      </c>
      <c r="I652" s="45">
        <f>G652*MIN(in_takeup_cap,INDEX('Age profile'!$O$2:$O$61,B652)*(1+in_approval_growth)^(D652-1))</f>
        <v/>
      </c>
      <c r="J652" s="40">
        <f>(J651-L651)*F652/F651</f>
        <v/>
      </c>
      <c r="K652" s="40">
        <f>(K651-M651)*F652/F651+SUMIFS(O607:O651,B607:B651,B652-1-d_T)*F652</f>
        <v/>
      </c>
      <c r="L652" s="40">
        <f>IF(B652&gt;=in_marketplace_from,J652*d_hz*G652*in_eligible*H652,0)</f>
        <v/>
      </c>
      <c r="M652" s="40">
        <f>IF(B652&gt;=in_marketplace_from,K652*d_hz*G652*in_eligible*in_approved_repeat,0)</f>
        <v/>
      </c>
      <c r="N652" s="40">
        <f>L652+M652</f>
        <v/>
      </c>
      <c r="O652" s="46">
        <f>N652/F652</f>
        <v/>
      </c>
      <c r="P652" s="40">
        <f>F652-J652-K652</f>
        <v/>
      </c>
      <c r="Q652" s="40">
        <f>IF(B652&gt;=in_marketplace_from,(J652+K652)*d_hz*G652,0)</f>
        <v/>
      </c>
      <c r="R652" s="40">
        <f>SUMIFS(N607:N655,B607:B655,"&gt;="&amp;(B652-d_T),B607:B655,"&lt;="&amp;(B652-1))</f>
        <v/>
      </c>
      <c r="S652" s="46">
        <f>(1-d_u)*S651+IF(d_T&gt;in_topup_lag,SUMIFS(O607:O655,B607:B655,B652-in_topup_lag)-d_udrop*SUMIFS(O607:O655,B607:B655,B652-d_T),0)</f>
        <v/>
      </c>
      <c r="T652" s="40">
        <f>F652*d_u*S652</f>
        <v/>
      </c>
      <c r="U652" s="9">
        <f>L652*in_ticket+M652*d_rep_ticket</f>
        <v/>
      </c>
      <c r="V652" s="9">
        <f>U652+T652*d_topup_amt</f>
        <v/>
      </c>
      <c r="W652" s="40">
        <f>N652+T652*d_topup_ratio</f>
        <v/>
      </c>
      <c r="X652" s="40">
        <f>SUMIFS(W607:W655,B607:B655,B652-in_dpd_lag)*d_cured</f>
        <v/>
      </c>
      <c r="Y652" s="40">
        <f>SUMIFS(W607:W655,B607:B655,B652-in_rec_lag)*d_recd</f>
        <v/>
      </c>
      <c r="Z652" s="40">
        <f>IF(AND(B652&gt;=in_marketplace_from,B652&lt;in_marketplace_from+in_card_months),in_card_share/in_card_months*F652*I652,IF(AND(B652&gt;=in_marketplace_from+in_card_months,B652&lt;in_marketplace_from+2*in_card_months),in_card_share*d_card_rem/in_card_months*F652*MIN(in_takeup_cap,(1+in_takeup_growth)^(D652-1))*MIN(in_takeup_cap,(1+in_approval_growth)^(D652-1)),0))</f>
        <v/>
      </c>
      <c r="AA652" s="14">
        <f>V652*in_fee*(1-in_taken_back)</f>
        <v/>
      </c>
      <c r="AB652" s="14">
        <f>SUMIFS(W607:W655,B607:B655,B652-in_dpd_lag)*d_dpd</f>
        <v/>
      </c>
      <c r="AC652" s="14">
        <f>SUMIFS(W607:W655,B607:B655,B652-in_rec_lag)*d_rec</f>
        <v/>
      </c>
      <c r="AD652" s="14">
        <f>Z652*in_card_fee</f>
        <v/>
      </c>
      <c r="AE652" s="40">
        <f>AE651*(1-IF(B651&gt;=in_marketplace_from,d_hz_hlth_small*G651,0))</f>
        <v/>
      </c>
      <c r="AF652" s="46">
        <f>AE652*IF(B652&gt;=in_marketplace_from,d_hz_hlth_small*G652,0)</f>
        <v/>
      </c>
      <c r="AG652" s="14">
        <f>F652*AF652*in_hlth_small_ticket*in_hlth_small_comm*in_ins_partner_share+F652*in_hlth_small_ticket*in_hlth_small_renew_comm*in_ins_partner_share*(in_hlth_small_renew^1*SUMIFS(AF607:AF655,B607:B655,B652-12)+in_hlth_small_renew^2*SUMIFS(AF607:AF655,B607:B655,B652-24)+in_hlth_small_renew^3*SUMIFS(AF607:AF655,B607:B655,B652-36)+in_hlth_small_renew^4*SUMIFS(AF607:AF655,B607:B655,B652-48))</f>
        <v/>
      </c>
      <c r="AH652" s="40">
        <f>AH651*(1-IF(B651&gt;=in_marketplace_from,d_hz_hlth_family*G651,0))</f>
        <v/>
      </c>
      <c r="AI652" s="46">
        <f>AH652*IF(B652&gt;=in_marketplace_from,d_hz_hlth_family*G652,0)</f>
        <v/>
      </c>
      <c r="AJ652" s="14">
        <f>F652*AI652*in_hlth_family_ticket*in_hlth_family_comm*in_ins_partner_share+F652*in_hlth_family_ticket*in_hlth_family_renew_comm*in_ins_partner_share*(in_hlth_family_renew^1*SUMIFS(AI607:AI655,B607:B655,B652-12)+in_hlth_family_renew^2*SUMIFS(AI607:AI655,B607:B655,B652-24)+in_hlth_family_renew^3*SUMIFS(AI607:AI655,B607:B655,B652-36)+in_hlth_family_renew^4*SUMIFS(AI607:AI655,B607:B655,B652-48))</f>
        <v/>
      </c>
      <c r="AK652" s="40">
        <f>AK651*(1-IF(B651&gt;=in_marketplace_from,d_hz_life_term*G651,0))</f>
        <v/>
      </c>
      <c r="AL652" s="46">
        <f>AK652*IF(B652&gt;=in_marketplace_from,d_hz_life_term*G652,0)</f>
        <v/>
      </c>
      <c r="AM652" s="14">
        <f>F652*AL652*in_life_term_ticket*in_life_term_comm*in_ins_partner_share+F652*in_life_term_ticket*in_life_term_renew_comm*in_ins_partner_share*(in_life_term_renew^1*SUMIFS(AL607:AL655,B607:B655,B652-12)+in_life_term_renew^2*SUMIFS(AL607:AL655,B607:B655,B652-24)+in_life_term_renew^3*SUMIFS(AL607:AL655,B607:B655,B652-36)+in_life_term_renew^4*SUMIFS(AL607:AL655,B607:B655,B652-48))</f>
        <v/>
      </c>
      <c r="AN652" s="40">
        <f>AN651*(1-IF(B651&gt;=in_marketplace_from,d_hz_accident*G651,0))</f>
        <v/>
      </c>
      <c r="AO652" s="46">
        <f>AN652*IF(B652&gt;=in_marketplace_from,d_hz_accident*G652,0)</f>
        <v/>
      </c>
      <c r="AP652" s="14">
        <f>F652*AO652*in_accident_ticket*in_accident_comm*in_ins_partner_share+F652*in_accident_ticket*in_accident_renew_comm*in_ins_partner_share*(in_accident_renew^1*SUMIFS(AO607:AO655,B607:B655,B652-12)+in_accident_renew^2*SUMIFS(AO607:AO655,B607:B655,B652-24)+in_accident_renew^3*SUMIFS(AO607:AO655,B607:B655,B652-36)+in_accident_renew^4*SUMIFS(AO607:AO655,B607:B655,B652-48))</f>
        <v/>
      </c>
      <c r="AQ652" s="40">
        <f>AQ651*(1-IF(B651&gt;=in_marketplace_from,d_hz_two_wheeler*G651,0))</f>
        <v/>
      </c>
      <c r="AR652" s="46">
        <f>AQ652*IF(B652&gt;=in_marketplace_from,d_hz_two_wheeler*G652,0)</f>
        <v/>
      </c>
      <c r="AS652" s="14">
        <f>F652*AR652*in_two_wheeler_ticket*in_two_wheeler_comm*in_ins_partner_share+F652*in_two_wheeler_ticket*in_two_wheeler_comm*in_ins_partner_share*(in_two_wheeler_renew^1*SUMIFS(AR607:AR655,B607:B655,B652-12)+in_two_wheeler_renew^2*SUMIFS(AR607:AR655,B607:B655,B652-24)+in_two_wheeler_renew^3*SUMIFS(AR607:AR655,B607:B655,B652-36)+in_two_wheeler_renew^4*SUMIFS(AR607:AR655,B607:B655,B652-48))</f>
        <v/>
      </c>
      <c r="AT652" s="40">
        <f>AT651*(1-IF(B651&gt;=in_marketplace_from,d_hz_device*G651,0))</f>
        <v/>
      </c>
      <c r="AU652" s="14">
        <f>F652*AT652*IF(B652&gt;=in_marketplace_from,d_hz_device*G652,0)*in_device_ticket*in_device_comm*in_ins_partner_share</f>
        <v/>
      </c>
      <c r="AV652" s="40">
        <f>AV651*(1-IF(B651&gt;=in_marketplace_from,d_hz_shop*G651,0))</f>
        <v/>
      </c>
      <c r="AW652" s="46">
        <f>AV652*IF(B652&gt;=in_marketplace_from,d_hz_shop*G652,0)</f>
        <v/>
      </c>
      <c r="AX652" s="14">
        <f>F652*AW652*in_shop_ticket*in_shop_comm*in_ins_partner_share+F652*in_shop_ticket*in_shop_renew_comm*in_ins_partner_share*(in_shop_renew^1*SUMIFS(AW607:AW655,B607:B655,B652-12)+in_shop_renew^2*SUMIFS(AW607:AW655,B607:B655,B652-24)+in_shop_renew^3*SUMIFS(AW607:AW655,B607:B655,B652-36)+in_shop_renew^4*SUMIFS(AW607:AW655,B607:B655,B652-48))</f>
        <v/>
      </c>
      <c r="AY652" s="40">
        <f>AY651*(1-IF(B651&gt;=in_marketplace_from,d_hz_sip*G651,0))</f>
        <v/>
      </c>
      <c r="AZ652" s="40">
        <f>AZ651*d_rho_sip+AY652*IF(B652&gt;=in_marketplace_from,d_hz_sip*G652,0)</f>
        <v/>
      </c>
      <c r="BA652" s="40">
        <f>d_rho_sip*(BA651+AZ651)</f>
        <v/>
      </c>
      <c r="BB652" s="14">
        <f>F652*in_sip_ticket*(BA652+0.5*AZ652)*in_sip_comm/12</f>
        <v/>
      </c>
      <c r="BC652" s="40">
        <f>BC651*(1-IF(B651&gt;=in_marketplace_from,d_hz_choti*G651,0))</f>
        <v/>
      </c>
      <c r="BD652" s="46">
        <f>BC652*IF(B652&gt;=in_marketplace_from,d_hz_choti*G652,0)</f>
        <v/>
      </c>
      <c r="BE652" s="14">
        <f>F652*SUMIFS(BD607:BD655,B607:B655,B652-in_choti_months)*in_choti_renew*in_choti_ticket</f>
        <v/>
      </c>
      <c r="BF652" s="40">
        <f>BF651*(1-IF(B651&gt;=in_marketplace_from,d_hz_nps*G651,0))</f>
        <v/>
      </c>
      <c r="BG652" s="14">
        <f>F652*BF652*IF(B652&gt;=in_marketplace_from,d_hz_nps*G652,0)*in_nps_ticket*in_nps_comm</f>
        <v/>
      </c>
      <c r="BH652" s="40">
        <f>BH651*(1-IF(B651&gt;=in_marketplace_from,d_hz_gold*G651,0))</f>
        <v/>
      </c>
      <c r="BI652" s="40">
        <f>BI651*d_rho_gold+BH652*IF(B652&gt;=in_marketplace_from,d_hz_gold*G652,0)</f>
        <v/>
      </c>
      <c r="BJ652" s="14">
        <f>F652*BI652*in_gold_ticket*in_gold_comm</f>
        <v/>
      </c>
      <c r="BK652" s="40">
        <f>BK651*(1-IF(B651&gt;=in_marketplace_from,d_hz_fd*G651,0))</f>
        <v/>
      </c>
      <c r="BL652" s="14">
        <f>F652*BK652*IF(B652&gt;=in_marketplace_from,d_hz_fd*G652,0)*in_fd_ticket*in_fd_comm</f>
        <v/>
      </c>
      <c r="BM652" s="40">
        <f>BM651*(1-IF(B651&gt;=in_marketplace_from,d_hz_recharge*G651,0))</f>
        <v/>
      </c>
      <c r="BN652" s="40">
        <f>BN651*d_rho_recharge+BM652*IF(B652&gt;=in_marketplace_from,d_hz_recharge*G652,0)</f>
        <v/>
      </c>
      <c r="BO652" s="14">
        <f>F652*BN652*in_recharge_ticket*in_recharge_comm/12</f>
        <v/>
      </c>
      <c r="BP652" s="40">
        <f>BP651*(1-IF(B651&gt;=in_marketplace_from,d_hz_bills*G651,0))</f>
        <v/>
      </c>
      <c r="BQ652" s="40">
        <f>BQ651*d_rho_bills+BP652*IF(B652&gt;=in_marketplace_from,d_hz_bills*G652,0)</f>
        <v/>
      </c>
      <c r="BR652" s="14">
        <f>F652*BQ652*in_bills_ticket*in_bills_comm/12</f>
        <v/>
      </c>
      <c r="BS652" s="40">
        <f>BS651*(1-IF(B651&gt;=in_marketplace_from,d_hz_loan_gold*G651,0))</f>
        <v/>
      </c>
      <c r="BT652" s="14">
        <f>F652*BS652*IF(B652&gt;=in_marketplace_from,d_hz_loan_gold*G652,0)*in_loan_gold_ticket*in_loan_gold_comm</f>
        <v/>
      </c>
      <c r="BU652" s="40">
        <f>BU651*(1-IF(B651&gt;=in_marketplace_from,d_hz_loan_cd*G651,0))</f>
        <v/>
      </c>
      <c r="BV652" s="14">
        <f>F652*BU652*IF(B652&gt;=in_marketplace_from,d_hz_loan_cd*G652,0)*in_loan_cd_ticket*in_loan_cd_comm</f>
        <v/>
      </c>
      <c r="BW652" s="40">
        <f>BW651*(1-IF(B651&gt;=in_marketplace_from,d_hz_loan_vehicle*G651,0))</f>
        <v/>
      </c>
      <c r="BX652" s="14">
        <f>F652*BW652*IF(B652&gt;=in_marketplace_from,d_hz_loan_vehicle*G652,0)*in_loan_vehicle_ticket*in_loan_vehicle_comm</f>
        <v/>
      </c>
      <c r="BY652" s="40">
        <f>BY651*(1-IF(B651&gt;=in_marketplace_from,d_hz_loan_home*G651,0)*BZ651)</f>
        <v/>
      </c>
      <c r="BZ652" s="11">
        <f>MIN(in_approval_cap,in_loan_home_approval*INDEX('Age profile'!$O$2:$O$61,B652)*(1+in_approval_growth)^(D652-1))</f>
        <v/>
      </c>
      <c r="CA652" s="14">
        <f>F652*BY652*IF(B652&gt;=in_marketplace_from,d_hz_loan_home*G652,0)*BZ652*in_loan_home_ticket*in_loan_home_comm</f>
        <v/>
      </c>
      <c r="CB652" s="40">
        <f>CB651*(1-IF(B651&gt;=in_marketplace_from,d_hz_loan_lap*G651,0)*CC651)</f>
        <v/>
      </c>
      <c r="CC652" s="11">
        <f>MIN(in_approval_cap,in_loan_lap_approval*INDEX('Age profile'!$O$2:$O$61,B652)*(1+in_approval_growth)^(D652-1))</f>
        <v/>
      </c>
      <c r="CD652" s="14">
        <f>F652*CB652*IF(B652&gt;=in_marketplace_from,d_hz_loan_lap*G652,0)*CC652*in_loan_lap_ticket*in_loan_lap_comm</f>
        <v/>
      </c>
      <c r="CE652" s="14">
        <f>AA652+AB652+AC652+AD652+AG652+AJ652+AM652+AP652+AS652+AU652+AX652+BB652+BE652+BG652+BJ652+BL652+BO652+BR652+BT652+BV652+BX652+CA652+CD652</f>
        <v/>
      </c>
    </row>
    <row r="653">
      <c r="A653" s="39" t="n">
        <v>12</v>
      </c>
      <c r="B653" s="39" t="n">
        <v>47</v>
      </c>
      <c r="C653" s="39">
        <f>A653+B653-1</f>
        <v/>
      </c>
      <c r="D653" s="39">
        <f>INT((C653-1)/12)+1</f>
        <v/>
      </c>
      <c r="E653" s="44">
        <f>INDEX(Monthly!$B$2:$B$61,A653)</f>
        <v/>
      </c>
      <c r="F653" s="44">
        <f>E653*INDEX('Age profile'!$B$2:$B$61,B653)</f>
        <v/>
      </c>
      <c r="G653" s="45">
        <f>MIN(in_takeup_cap,INDEX('Age profile'!$N$2:$N$61,B653)*(1+in_takeup_growth)^(D653-1))</f>
        <v/>
      </c>
      <c r="H653" s="11">
        <f>MIN(in_approval_cap,in_approved_first*INDEX('Age profile'!$O$2:$O$61,B653)*(1+in_approval_growth)^(D653-1))</f>
        <v/>
      </c>
      <c r="I653" s="45">
        <f>G653*MIN(in_takeup_cap,INDEX('Age profile'!$O$2:$O$61,B653)*(1+in_approval_growth)^(D653-1))</f>
        <v/>
      </c>
      <c r="J653" s="40">
        <f>(J652-L652)*F653/F652</f>
        <v/>
      </c>
      <c r="K653" s="40">
        <f>(K652-M652)*F653/F652+SUMIFS(O607:O652,B607:B652,B653-1-d_T)*F653</f>
        <v/>
      </c>
      <c r="L653" s="40">
        <f>IF(B653&gt;=in_marketplace_from,J653*d_hz*G653*in_eligible*H653,0)</f>
        <v/>
      </c>
      <c r="M653" s="40">
        <f>IF(B653&gt;=in_marketplace_from,K653*d_hz*G653*in_eligible*in_approved_repeat,0)</f>
        <v/>
      </c>
      <c r="N653" s="40">
        <f>L653+M653</f>
        <v/>
      </c>
      <c r="O653" s="46">
        <f>N653/F653</f>
        <v/>
      </c>
      <c r="P653" s="40">
        <f>F653-J653-K653</f>
        <v/>
      </c>
      <c r="Q653" s="40">
        <f>IF(B653&gt;=in_marketplace_from,(J653+K653)*d_hz*G653,0)</f>
        <v/>
      </c>
      <c r="R653" s="40">
        <f>SUMIFS(N607:N655,B607:B655,"&gt;="&amp;(B653-d_T),B607:B655,"&lt;="&amp;(B653-1))</f>
        <v/>
      </c>
      <c r="S653" s="46">
        <f>(1-d_u)*S652+IF(d_T&gt;in_topup_lag,SUMIFS(O607:O655,B607:B655,B653-in_topup_lag)-d_udrop*SUMIFS(O607:O655,B607:B655,B653-d_T),0)</f>
        <v/>
      </c>
      <c r="T653" s="40">
        <f>F653*d_u*S653</f>
        <v/>
      </c>
      <c r="U653" s="9">
        <f>L653*in_ticket+M653*d_rep_ticket</f>
        <v/>
      </c>
      <c r="V653" s="9">
        <f>U653+T653*d_topup_amt</f>
        <v/>
      </c>
      <c r="W653" s="40">
        <f>N653+T653*d_topup_ratio</f>
        <v/>
      </c>
      <c r="X653" s="40">
        <f>SUMIFS(W607:W655,B607:B655,B653-in_dpd_lag)*d_cured</f>
        <v/>
      </c>
      <c r="Y653" s="40">
        <f>SUMIFS(W607:W655,B607:B655,B653-in_rec_lag)*d_recd</f>
        <v/>
      </c>
      <c r="Z653" s="40">
        <f>IF(AND(B653&gt;=in_marketplace_from,B653&lt;in_marketplace_from+in_card_months),in_card_share/in_card_months*F653*I653,IF(AND(B653&gt;=in_marketplace_from+in_card_months,B653&lt;in_marketplace_from+2*in_card_months),in_card_share*d_card_rem/in_card_months*F653*MIN(in_takeup_cap,(1+in_takeup_growth)^(D653-1))*MIN(in_takeup_cap,(1+in_approval_growth)^(D653-1)),0))</f>
        <v/>
      </c>
      <c r="AA653" s="14">
        <f>V653*in_fee*(1-in_taken_back)</f>
        <v/>
      </c>
      <c r="AB653" s="14">
        <f>SUMIFS(W607:W655,B607:B655,B653-in_dpd_lag)*d_dpd</f>
        <v/>
      </c>
      <c r="AC653" s="14">
        <f>SUMIFS(W607:W655,B607:B655,B653-in_rec_lag)*d_rec</f>
        <v/>
      </c>
      <c r="AD653" s="14">
        <f>Z653*in_card_fee</f>
        <v/>
      </c>
      <c r="AE653" s="40">
        <f>AE652*(1-IF(B652&gt;=in_marketplace_from,d_hz_hlth_small*G652,0))</f>
        <v/>
      </c>
      <c r="AF653" s="46">
        <f>AE653*IF(B653&gt;=in_marketplace_from,d_hz_hlth_small*G653,0)</f>
        <v/>
      </c>
      <c r="AG653" s="14">
        <f>F653*AF653*in_hlth_small_ticket*in_hlth_small_comm*in_ins_partner_share+F653*in_hlth_small_ticket*in_hlth_small_renew_comm*in_ins_partner_share*(in_hlth_small_renew^1*SUMIFS(AF607:AF655,B607:B655,B653-12)+in_hlth_small_renew^2*SUMIFS(AF607:AF655,B607:B655,B653-24)+in_hlth_small_renew^3*SUMIFS(AF607:AF655,B607:B655,B653-36)+in_hlth_small_renew^4*SUMIFS(AF607:AF655,B607:B655,B653-48))</f>
        <v/>
      </c>
      <c r="AH653" s="40">
        <f>AH652*(1-IF(B652&gt;=in_marketplace_from,d_hz_hlth_family*G652,0))</f>
        <v/>
      </c>
      <c r="AI653" s="46">
        <f>AH653*IF(B653&gt;=in_marketplace_from,d_hz_hlth_family*G653,0)</f>
        <v/>
      </c>
      <c r="AJ653" s="14">
        <f>F653*AI653*in_hlth_family_ticket*in_hlth_family_comm*in_ins_partner_share+F653*in_hlth_family_ticket*in_hlth_family_renew_comm*in_ins_partner_share*(in_hlth_family_renew^1*SUMIFS(AI607:AI655,B607:B655,B653-12)+in_hlth_family_renew^2*SUMIFS(AI607:AI655,B607:B655,B653-24)+in_hlth_family_renew^3*SUMIFS(AI607:AI655,B607:B655,B653-36)+in_hlth_family_renew^4*SUMIFS(AI607:AI655,B607:B655,B653-48))</f>
        <v/>
      </c>
      <c r="AK653" s="40">
        <f>AK652*(1-IF(B652&gt;=in_marketplace_from,d_hz_life_term*G652,0))</f>
        <v/>
      </c>
      <c r="AL653" s="46">
        <f>AK653*IF(B653&gt;=in_marketplace_from,d_hz_life_term*G653,0)</f>
        <v/>
      </c>
      <c r="AM653" s="14">
        <f>F653*AL653*in_life_term_ticket*in_life_term_comm*in_ins_partner_share+F653*in_life_term_ticket*in_life_term_renew_comm*in_ins_partner_share*(in_life_term_renew^1*SUMIFS(AL607:AL655,B607:B655,B653-12)+in_life_term_renew^2*SUMIFS(AL607:AL655,B607:B655,B653-24)+in_life_term_renew^3*SUMIFS(AL607:AL655,B607:B655,B653-36)+in_life_term_renew^4*SUMIFS(AL607:AL655,B607:B655,B653-48))</f>
        <v/>
      </c>
      <c r="AN653" s="40">
        <f>AN652*(1-IF(B652&gt;=in_marketplace_from,d_hz_accident*G652,0))</f>
        <v/>
      </c>
      <c r="AO653" s="46">
        <f>AN653*IF(B653&gt;=in_marketplace_from,d_hz_accident*G653,0)</f>
        <v/>
      </c>
      <c r="AP653" s="14">
        <f>F653*AO653*in_accident_ticket*in_accident_comm*in_ins_partner_share+F653*in_accident_ticket*in_accident_renew_comm*in_ins_partner_share*(in_accident_renew^1*SUMIFS(AO607:AO655,B607:B655,B653-12)+in_accident_renew^2*SUMIFS(AO607:AO655,B607:B655,B653-24)+in_accident_renew^3*SUMIFS(AO607:AO655,B607:B655,B653-36)+in_accident_renew^4*SUMIFS(AO607:AO655,B607:B655,B653-48))</f>
        <v/>
      </c>
      <c r="AQ653" s="40">
        <f>AQ652*(1-IF(B652&gt;=in_marketplace_from,d_hz_two_wheeler*G652,0))</f>
        <v/>
      </c>
      <c r="AR653" s="46">
        <f>AQ653*IF(B653&gt;=in_marketplace_from,d_hz_two_wheeler*G653,0)</f>
        <v/>
      </c>
      <c r="AS653" s="14">
        <f>F653*AR653*in_two_wheeler_ticket*in_two_wheeler_comm*in_ins_partner_share+F653*in_two_wheeler_ticket*in_two_wheeler_comm*in_ins_partner_share*(in_two_wheeler_renew^1*SUMIFS(AR607:AR655,B607:B655,B653-12)+in_two_wheeler_renew^2*SUMIFS(AR607:AR655,B607:B655,B653-24)+in_two_wheeler_renew^3*SUMIFS(AR607:AR655,B607:B655,B653-36)+in_two_wheeler_renew^4*SUMIFS(AR607:AR655,B607:B655,B653-48))</f>
        <v/>
      </c>
      <c r="AT653" s="40">
        <f>AT652*(1-IF(B652&gt;=in_marketplace_from,d_hz_device*G652,0))</f>
        <v/>
      </c>
      <c r="AU653" s="14">
        <f>F653*AT653*IF(B653&gt;=in_marketplace_from,d_hz_device*G653,0)*in_device_ticket*in_device_comm*in_ins_partner_share</f>
        <v/>
      </c>
      <c r="AV653" s="40">
        <f>AV652*(1-IF(B652&gt;=in_marketplace_from,d_hz_shop*G652,0))</f>
        <v/>
      </c>
      <c r="AW653" s="46">
        <f>AV653*IF(B653&gt;=in_marketplace_from,d_hz_shop*G653,0)</f>
        <v/>
      </c>
      <c r="AX653" s="14">
        <f>F653*AW653*in_shop_ticket*in_shop_comm*in_ins_partner_share+F653*in_shop_ticket*in_shop_renew_comm*in_ins_partner_share*(in_shop_renew^1*SUMIFS(AW607:AW655,B607:B655,B653-12)+in_shop_renew^2*SUMIFS(AW607:AW655,B607:B655,B653-24)+in_shop_renew^3*SUMIFS(AW607:AW655,B607:B655,B653-36)+in_shop_renew^4*SUMIFS(AW607:AW655,B607:B655,B653-48))</f>
        <v/>
      </c>
      <c r="AY653" s="40">
        <f>AY652*(1-IF(B652&gt;=in_marketplace_from,d_hz_sip*G652,0))</f>
        <v/>
      </c>
      <c r="AZ653" s="40">
        <f>AZ652*d_rho_sip+AY653*IF(B653&gt;=in_marketplace_from,d_hz_sip*G653,0)</f>
        <v/>
      </c>
      <c r="BA653" s="40">
        <f>d_rho_sip*(BA652+AZ652)</f>
        <v/>
      </c>
      <c r="BB653" s="14">
        <f>F653*in_sip_ticket*(BA653+0.5*AZ653)*in_sip_comm/12</f>
        <v/>
      </c>
      <c r="BC653" s="40">
        <f>BC652*(1-IF(B652&gt;=in_marketplace_from,d_hz_choti*G652,0))</f>
        <v/>
      </c>
      <c r="BD653" s="46">
        <f>BC653*IF(B653&gt;=in_marketplace_from,d_hz_choti*G653,0)</f>
        <v/>
      </c>
      <c r="BE653" s="14">
        <f>F653*SUMIFS(BD607:BD655,B607:B655,B653-in_choti_months)*in_choti_renew*in_choti_ticket</f>
        <v/>
      </c>
      <c r="BF653" s="40">
        <f>BF652*(1-IF(B652&gt;=in_marketplace_from,d_hz_nps*G652,0))</f>
        <v/>
      </c>
      <c r="BG653" s="14">
        <f>F653*BF653*IF(B653&gt;=in_marketplace_from,d_hz_nps*G653,0)*in_nps_ticket*in_nps_comm</f>
        <v/>
      </c>
      <c r="BH653" s="40">
        <f>BH652*(1-IF(B652&gt;=in_marketplace_from,d_hz_gold*G652,0))</f>
        <v/>
      </c>
      <c r="BI653" s="40">
        <f>BI652*d_rho_gold+BH653*IF(B653&gt;=in_marketplace_from,d_hz_gold*G653,0)</f>
        <v/>
      </c>
      <c r="BJ653" s="14">
        <f>F653*BI653*in_gold_ticket*in_gold_comm</f>
        <v/>
      </c>
      <c r="BK653" s="40">
        <f>BK652*(1-IF(B652&gt;=in_marketplace_from,d_hz_fd*G652,0))</f>
        <v/>
      </c>
      <c r="BL653" s="14">
        <f>F653*BK653*IF(B653&gt;=in_marketplace_from,d_hz_fd*G653,0)*in_fd_ticket*in_fd_comm</f>
        <v/>
      </c>
      <c r="BM653" s="40">
        <f>BM652*(1-IF(B652&gt;=in_marketplace_from,d_hz_recharge*G652,0))</f>
        <v/>
      </c>
      <c r="BN653" s="40">
        <f>BN652*d_rho_recharge+BM653*IF(B653&gt;=in_marketplace_from,d_hz_recharge*G653,0)</f>
        <v/>
      </c>
      <c r="BO653" s="14">
        <f>F653*BN653*in_recharge_ticket*in_recharge_comm/12</f>
        <v/>
      </c>
      <c r="BP653" s="40">
        <f>BP652*(1-IF(B652&gt;=in_marketplace_from,d_hz_bills*G652,0))</f>
        <v/>
      </c>
      <c r="BQ653" s="40">
        <f>BQ652*d_rho_bills+BP653*IF(B653&gt;=in_marketplace_from,d_hz_bills*G653,0)</f>
        <v/>
      </c>
      <c r="BR653" s="14">
        <f>F653*BQ653*in_bills_ticket*in_bills_comm/12</f>
        <v/>
      </c>
      <c r="BS653" s="40">
        <f>BS652*(1-IF(B652&gt;=in_marketplace_from,d_hz_loan_gold*G652,0))</f>
        <v/>
      </c>
      <c r="BT653" s="14">
        <f>F653*BS653*IF(B653&gt;=in_marketplace_from,d_hz_loan_gold*G653,0)*in_loan_gold_ticket*in_loan_gold_comm</f>
        <v/>
      </c>
      <c r="BU653" s="40">
        <f>BU652*(1-IF(B652&gt;=in_marketplace_from,d_hz_loan_cd*G652,0))</f>
        <v/>
      </c>
      <c r="BV653" s="14">
        <f>F653*BU653*IF(B653&gt;=in_marketplace_from,d_hz_loan_cd*G653,0)*in_loan_cd_ticket*in_loan_cd_comm</f>
        <v/>
      </c>
      <c r="BW653" s="40">
        <f>BW652*(1-IF(B652&gt;=in_marketplace_from,d_hz_loan_vehicle*G652,0))</f>
        <v/>
      </c>
      <c r="BX653" s="14">
        <f>F653*BW653*IF(B653&gt;=in_marketplace_from,d_hz_loan_vehicle*G653,0)*in_loan_vehicle_ticket*in_loan_vehicle_comm</f>
        <v/>
      </c>
      <c r="BY653" s="40">
        <f>BY652*(1-IF(B652&gt;=in_marketplace_from,d_hz_loan_home*G652,0)*BZ652)</f>
        <v/>
      </c>
      <c r="BZ653" s="11">
        <f>MIN(in_approval_cap,in_loan_home_approval*INDEX('Age profile'!$O$2:$O$61,B653)*(1+in_approval_growth)^(D653-1))</f>
        <v/>
      </c>
      <c r="CA653" s="14">
        <f>F653*BY653*IF(B653&gt;=in_marketplace_from,d_hz_loan_home*G653,0)*BZ653*in_loan_home_ticket*in_loan_home_comm</f>
        <v/>
      </c>
      <c r="CB653" s="40">
        <f>CB652*(1-IF(B652&gt;=in_marketplace_from,d_hz_loan_lap*G652,0)*CC652)</f>
        <v/>
      </c>
      <c r="CC653" s="11">
        <f>MIN(in_approval_cap,in_loan_lap_approval*INDEX('Age profile'!$O$2:$O$61,B653)*(1+in_approval_growth)^(D653-1))</f>
        <v/>
      </c>
      <c r="CD653" s="14">
        <f>F653*CB653*IF(B653&gt;=in_marketplace_from,d_hz_loan_lap*G653,0)*CC653*in_loan_lap_ticket*in_loan_lap_comm</f>
        <v/>
      </c>
      <c r="CE653" s="14">
        <f>AA653+AB653+AC653+AD653+AG653+AJ653+AM653+AP653+AS653+AU653+AX653+BB653+BE653+BG653+BJ653+BL653+BO653+BR653+BT653+BV653+BX653+CA653+CD653</f>
        <v/>
      </c>
    </row>
    <row r="654">
      <c r="A654" s="39" t="n">
        <v>12</v>
      </c>
      <c r="B654" s="39" t="n">
        <v>48</v>
      </c>
      <c r="C654" s="39">
        <f>A654+B654-1</f>
        <v/>
      </c>
      <c r="D654" s="39">
        <f>INT((C654-1)/12)+1</f>
        <v/>
      </c>
      <c r="E654" s="44">
        <f>INDEX(Monthly!$B$2:$B$61,A654)</f>
        <v/>
      </c>
      <c r="F654" s="44">
        <f>E654*INDEX('Age profile'!$B$2:$B$61,B654)</f>
        <v/>
      </c>
      <c r="G654" s="45">
        <f>MIN(in_takeup_cap,INDEX('Age profile'!$N$2:$N$61,B654)*(1+in_takeup_growth)^(D654-1))</f>
        <v/>
      </c>
      <c r="H654" s="11">
        <f>MIN(in_approval_cap,in_approved_first*INDEX('Age profile'!$O$2:$O$61,B654)*(1+in_approval_growth)^(D654-1))</f>
        <v/>
      </c>
      <c r="I654" s="45">
        <f>G654*MIN(in_takeup_cap,INDEX('Age profile'!$O$2:$O$61,B654)*(1+in_approval_growth)^(D654-1))</f>
        <v/>
      </c>
      <c r="J654" s="40">
        <f>(J653-L653)*F654/F653</f>
        <v/>
      </c>
      <c r="K654" s="40">
        <f>(K653-M653)*F654/F653+SUMIFS(O607:O653,B607:B653,B654-1-d_T)*F654</f>
        <v/>
      </c>
      <c r="L654" s="40">
        <f>IF(B654&gt;=in_marketplace_from,J654*d_hz*G654*in_eligible*H654,0)</f>
        <v/>
      </c>
      <c r="M654" s="40">
        <f>IF(B654&gt;=in_marketplace_from,K654*d_hz*G654*in_eligible*in_approved_repeat,0)</f>
        <v/>
      </c>
      <c r="N654" s="40">
        <f>L654+M654</f>
        <v/>
      </c>
      <c r="O654" s="46">
        <f>N654/F654</f>
        <v/>
      </c>
      <c r="P654" s="40">
        <f>F654-J654-K654</f>
        <v/>
      </c>
      <c r="Q654" s="40">
        <f>IF(B654&gt;=in_marketplace_from,(J654+K654)*d_hz*G654,0)</f>
        <v/>
      </c>
      <c r="R654" s="40">
        <f>SUMIFS(N607:N655,B607:B655,"&gt;="&amp;(B654-d_T),B607:B655,"&lt;="&amp;(B654-1))</f>
        <v/>
      </c>
      <c r="S654" s="46">
        <f>(1-d_u)*S653+IF(d_T&gt;in_topup_lag,SUMIFS(O607:O655,B607:B655,B654-in_topup_lag)-d_udrop*SUMIFS(O607:O655,B607:B655,B654-d_T),0)</f>
        <v/>
      </c>
      <c r="T654" s="40">
        <f>F654*d_u*S654</f>
        <v/>
      </c>
      <c r="U654" s="9">
        <f>L654*in_ticket+M654*d_rep_ticket</f>
        <v/>
      </c>
      <c r="V654" s="9">
        <f>U654+T654*d_topup_amt</f>
        <v/>
      </c>
      <c r="W654" s="40">
        <f>N654+T654*d_topup_ratio</f>
        <v/>
      </c>
      <c r="X654" s="40">
        <f>SUMIFS(W607:W655,B607:B655,B654-in_dpd_lag)*d_cured</f>
        <v/>
      </c>
      <c r="Y654" s="40">
        <f>SUMIFS(W607:W655,B607:B655,B654-in_rec_lag)*d_recd</f>
        <v/>
      </c>
      <c r="Z654" s="40">
        <f>IF(AND(B654&gt;=in_marketplace_from,B654&lt;in_marketplace_from+in_card_months),in_card_share/in_card_months*F654*I654,IF(AND(B654&gt;=in_marketplace_from+in_card_months,B654&lt;in_marketplace_from+2*in_card_months),in_card_share*d_card_rem/in_card_months*F654*MIN(in_takeup_cap,(1+in_takeup_growth)^(D654-1))*MIN(in_takeup_cap,(1+in_approval_growth)^(D654-1)),0))</f>
        <v/>
      </c>
      <c r="AA654" s="14">
        <f>V654*in_fee*(1-in_taken_back)</f>
        <v/>
      </c>
      <c r="AB654" s="14">
        <f>SUMIFS(W607:W655,B607:B655,B654-in_dpd_lag)*d_dpd</f>
        <v/>
      </c>
      <c r="AC654" s="14">
        <f>SUMIFS(W607:W655,B607:B655,B654-in_rec_lag)*d_rec</f>
        <v/>
      </c>
      <c r="AD654" s="14">
        <f>Z654*in_card_fee</f>
        <v/>
      </c>
      <c r="AE654" s="40">
        <f>AE653*(1-IF(B653&gt;=in_marketplace_from,d_hz_hlth_small*G653,0))</f>
        <v/>
      </c>
      <c r="AF654" s="46">
        <f>AE654*IF(B654&gt;=in_marketplace_from,d_hz_hlth_small*G654,0)</f>
        <v/>
      </c>
      <c r="AG654" s="14">
        <f>F654*AF654*in_hlth_small_ticket*in_hlth_small_comm*in_ins_partner_share+F654*in_hlth_small_ticket*in_hlth_small_renew_comm*in_ins_partner_share*(in_hlth_small_renew^1*SUMIFS(AF607:AF655,B607:B655,B654-12)+in_hlth_small_renew^2*SUMIFS(AF607:AF655,B607:B655,B654-24)+in_hlth_small_renew^3*SUMIFS(AF607:AF655,B607:B655,B654-36)+in_hlth_small_renew^4*SUMIFS(AF607:AF655,B607:B655,B654-48))</f>
        <v/>
      </c>
      <c r="AH654" s="40">
        <f>AH653*(1-IF(B653&gt;=in_marketplace_from,d_hz_hlth_family*G653,0))</f>
        <v/>
      </c>
      <c r="AI654" s="46">
        <f>AH654*IF(B654&gt;=in_marketplace_from,d_hz_hlth_family*G654,0)</f>
        <v/>
      </c>
      <c r="AJ654" s="14">
        <f>F654*AI654*in_hlth_family_ticket*in_hlth_family_comm*in_ins_partner_share+F654*in_hlth_family_ticket*in_hlth_family_renew_comm*in_ins_partner_share*(in_hlth_family_renew^1*SUMIFS(AI607:AI655,B607:B655,B654-12)+in_hlth_family_renew^2*SUMIFS(AI607:AI655,B607:B655,B654-24)+in_hlth_family_renew^3*SUMIFS(AI607:AI655,B607:B655,B654-36)+in_hlth_family_renew^4*SUMIFS(AI607:AI655,B607:B655,B654-48))</f>
        <v/>
      </c>
      <c r="AK654" s="40">
        <f>AK653*(1-IF(B653&gt;=in_marketplace_from,d_hz_life_term*G653,0))</f>
        <v/>
      </c>
      <c r="AL654" s="46">
        <f>AK654*IF(B654&gt;=in_marketplace_from,d_hz_life_term*G654,0)</f>
        <v/>
      </c>
      <c r="AM654" s="14">
        <f>F654*AL654*in_life_term_ticket*in_life_term_comm*in_ins_partner_share+F654*in_life_term_ticket*in_life_term_renew_comm*in_ins_partner_share*(in_life_term_renew^1*SUMIFS(AL607:AL655,B607:B655,B654-12)+in_life_term_renew^2*SUMIFS(AL607:AL655,B607:B655,B654-24)+in_life_term_renew^3*SUMIFS(AL607:AL655,B607:B655,B654-36)+in_life_term_renew^4*SUMIFS(AL607:AL655,B607:B655,B654-48))</f>
        <v/>
      </c>
      <c r="AN654" s="40">
        <f>AN653*(1-IF(B653&gt;=in_marketplace_from,d_hz_accident*G653,0))</f>
        <v/>
      </c>
      <c r="AO654" s="46">
        <f>AN654*IF(B654&gt;=in_marketplace_from,d_hz_accident*G654,0)</f>
        <v/>
      </c>
      <c r="AP654" s="14">
        <f>F654*AO654*in_accident_ticket*in_accident_comm*in_ins_partner_share+F654*in_accident_ticket*in_accident_renew_comm*in_ins_partner_share*(in_accident_renew^1*SUMIFS(AO607:AO655,B607:B655,B654-12)+in_accident_renew^2*SUMIFS(AO607:AO655,B607:B655,B654-24)+in_accident_renew^3*SUMIFS(AO607:AO655,B607:B655,B654-36)+in_accident_renew^4*SUMIFS(AO607:AO655,B607:B655,B654-48))</f>
        <v/>
      </c>
      <c r="AQ654" s="40">
        <f>AQ653*(1-IF(B653&gt;=in_marketplace_from,d_hz_two_wheeler*G653,0))</f>
        <v/>
      </c>
      <c r="AR654" s="46">
        <f>AQ654*IF(B654&gt;=in_marketplace_from,d_hz_two_wheeler*G654,0)</f>
        <v/>
      </c>
      <c r="AS654" s="14">
        <f>F654*AR654*in_two_wheeler_ticket*in_two_wheeler_comm*in_ins_partner_share+F654*in_two_wheeler_ticket*in_two_wheeler_comm*in_ins_partner_share*(in_two_wheeler_renew^1*SUMIFS(AR607:AR655,B607:B655,B654-12)+in_two_wheeler_renew^2*SUMIFS(AR607:AR655,B607:B655,B654-24)+in_two_wheeler_renew^3*SUMIFS(AR607:AR655,B607:B655,B654-36)+in_two_wheeler_renew^4*SUMIFS(AR607:AR655,B607:B655,B654-48))</f>
        <v/>
      </c>
      <c r="AT654" s="40">
        <f>AT653*(1-IF(B653&gt;=in_marketplace_from,d_hz_device*G653,0))</f>
        <v/>
      </c>
      <c r="AU654" s="14">
        <f>F654*AT654*IF(B654&gt;=in_marketplace_from,d_hz_device*G654,0)*in_device_ticket*in_device_comm*in_ins_partner_share</f>
        <v/>
      </c>
      <c r="AV654" s="40">
        <f>AV653*(1-IF(B653&gt;=in_marketplace_from,d_hz_shop*G653,0))</f>
        <v/>
      </c>
      <c r="AW654" s="46">
        <f>AV654*IF(B654&gt;=in_marketplace_from,d_hz_shop*G654,0)</f>
        <v/>
      </c>
      <c r="AX654" s="14">
        <f>F654*AW654*in_shop_ticket*in_shop_comm*in_ins_partner_share+F654*in_shop_ticket*in_shop_renew_comm*in_ins_partner_share*(in_shop_renew^1*SUMIFS(AW607:AW655,B607:B655,B654-12)+in_shop_renew^2*SUMIFS(AW607:AW655,B607:B655,B654-24)+in_shop_renew^3*SUMIFS(AW607:AW655,B607:B655,B654-36)+in_shop_renew^4*SUMIFS(AW607:AW655,B607:B655,B654-48))</f>
        <v/>
      </c>
      <c r="AY654" s="40">
        <f>AY653*(1-IF(B653&gt;=in_marketplace_from,d_hz_sip*G653,0))</f>
        <v/>
      </c>
      <c r="AZ654" s="40">
        <f>AZ653*d_rho_sip+AY654*IF(B654&gt;=in_marketplace_from,d_hz_sip*G654,0)</f>
        <v/>
      </c>
      <c r="BA654" s="40">
        <f>d_rho_sip*(BA653+AZ653)</f>
        <v/>
      </c>
      <c r="BB654" s="14">
        <f>F654*in_sip_ticket*(BA654+0.5*AZ654)*in_sip_comm/12</f>
        <v/>
      </c>
      <c r="BC654" s="40">
        <f>BC653*(1-IF(B653&gt;=in_marketplace_from,d_hz_choti*G653,0))</f>
        <v/>
      </c>
      <c r="BD654" s="46">
        <f>BC654*IF(B654&gt;=in_marketplace_from,d_hz_choti*G654,0)</f>
        <v/>
      </c>
      <c r="BE654" s="14">
        <f>F654*SUMIFS(BD607:BD655,B607:B655,B654-in_choti_months)*in_choti_renew*in_choti_ticket</f>
        <v/>
      </c>
      <c r="BF654" s="40">
        <f>BF653*(1-IF(B653&gt;=in_marketplace_from,d_hz_nps*G653,0))</f>
        <v/>
      </c>
      <c r="BG654" s="14">
        <f>F654*BF654*IF(B654&gt;=in_marketplace_from,d_hz_nps*G654,0)*in_nps_ticket*in_nps_comm</f>
        <v/>
      </c>
      <c r="BH654" s="40">
        <f>BH653*(1-IF(B653&gt;=in_marketplace_from,d_hz_gold*G653,0))</f>
        <v/>
      </c>
      <c r="BI654" s="40">
        <f>BI653*d_rho_gold+BH654*IF(B654&gt;=in_marketplace_from,d_hz_gold*G654,0)</f>
        <v/>
      </c>
      <c r="BJ654" s="14">
        <f>F654*BI654*in_gold_ticket*in_gold_comm</f>
        <v/>
      </c>
      <c r="BK654" s="40">
        <f>BK653*(1-IF(B653&gt;=in_marketplace_from,d_hz_fd*G653,0))</f>
        <v/>
      </c>
      <c r="BL654" s="14">
        <f>F654*BK654*IF(B654&gt;=in_marketplace_from,d_hz_fd*G654,0)*in_fd_ticket*in_fd_comm</f>
        <v/>
      </c>
      <c r="BM654" s="40">
        <f>BM653*(1-IF(B653&gt;=in_marketplace_from,d_hz_recharge*G653,0))</f>
        <v/>
      </c>
      <c r="BN654" s="40">
        <f>BN653*d_rho_recharge+BM654*IF(B654&gt;=in_marketplace_from,d_hz_recharge*G654,0)</f>
        <v/>
      </c>
      <c r="BO654" s="14">
        <f>F654*BN654*in_recharge_ticket*in_recharge_comm/12</f>
        <v/>
      </c>
      <c r="BP654" s="40">
        <f>BP653*(1-IF(B653&gt;=in_marketplace_from,d_hz_bills*G653,0))</f>
        <v/>
      </c>
      <c r="BQ654" s="40">
        <f>BQ653*d_rho_bills+BP654*IF(B654&gt;=in_marketplace_from,d_hz_bills*G654,0)</f>
        <v/>
      </c>
      <c r="BR654" s="14">
        <f>F654*BQ654*in_bills_ticket*in_bills_comm/12</f>
        <v/>
      </c>
      <c r="BS654" s="40">
        <f>BS653*(1-IF(B653&gt;=in_marketplace_from,d_hz_loan_gold*G653,0))</f>
        <v/>
      </c>
      <c r="BT654" s="14">
        <f>F654*BS654*IF(B654&gt;=in_marketplace_from,d_hz_loan_gold*G654,0)*in_loan_gold_ticket*in_loan_gold_comm</f>
        <v/>
      </c>
      <c r="BU654" s="40">
        <f>BU653*(1-IF(B653&gt;=in_marketplace_from,d_hz_loan_cd*G653,0))</f>
        <v/>
      </c>
      <c r="BV654" s="14">
        <f>F654*BU654*IF(B654&gt;=in_marketplace_from,d_hz_loan_cd*G654,0)*in_loan_cd_ticket*in_loan_cd_comm</f>
        <v/>
      </c>
      <c r="BW654" s="40">
        <f>BW653*(1-IF(B653&gt;=in_marketplace_from,d_hz_loan_vehicle*G653,0))</f>
        <v/>
      </c>
      <c r="BX654" s="14">
        <f>F654*BW654*IF(B654&gt;=in_marketplace_from,d_hz_loan_vehicle*G654,0)*in_loan_vehicle_ticket*in_loan_vehicle_comm</f>
        <v/>
      </c>
      <c r="BY654" s="40">
        <f>BY653*(1-IF(B653&gt;=in_marketplace_from,d_hz_loan_home*G653,0)*BZ653)</f>
        <v/>
      </c>
      <c r="BZ654" s="11">
        <f>MIN(in_approval_cap,in_loan_home_approval*INDEX('Age profile'!$O$2:$O$61,B654)*(1+in_approval_growth)^(D654-1))</f>
        <v/>
      </c>
      <c r="CA654" s="14">
        <f>F654*BY654*IF(B654&gt;=in_marketplace_from,d_hz_loan_home*G654,0)*BZ654*in_loan_home_ticket*in_loan_home_comm</f>
        <v/>
      </c>
      <c r="CB654" s="40">
        <f>CB653*(1-IF(B653&gt;=in_marketplace_from,d_hz_loan_lap*G653,0)*CC653)</f>
        <v/>
      </c>
      <c r="CC654" s="11">
        <f>MIN(in_approval_cap,in_loan_lap_approval*INDEX('Age profile'!$O$2:$O$61,B654)*(1+in_approval_growth)^(D654-1))</f>
        <v/>
      </c>
      <c r="CD654" s="14">
        <f>F654*CB654*IF(B654&gt;=in_marketplace_from,d_hz_loan_lap*G654,0)*CC654*in_loan_lap_ticket*in_loan_lap_comm</f>
        <v/>
      </c>
      <c r="CE654" s="14">
        <f>AA654+AB654+AC654+AD654+AG654+AJ654+AM654+AP654+AS654+AU654+AX654+BB654+BE654+BG654+BJ654+BL654+BO654+BR654+BT654+BV654+BX654+CA654+CD654</f>
        <v/>
      </c>
    </row>
    <row r="655">
      <c r="A655" s="39" t="n">
        <v>12</v>
      </c>
      <c r="B655" s="39" t="n">
        <v>49</v>
      </c>
      <c r="C655" s="39">
        <f>A655+B655-1</f>
        <v/>
      </c>
      <c r="D655" s="39">
        <f>INT((C655-1)/12)+1</f>
        <v/>
      </c>
      <c r="E655" s="44">
        <f>INDEX(Monthly!$B$2:$B$61,A655)</f>
        <v/>
      </c>
      <c r="F655" s="44">
        <f>E655*INDEX('Age profile'!$B$2:$B$61,B655)</f>
        <v/>
      </c>
      <c r="G655" s="45">
        <f>MIN(in_takeup_cap,INDEX('Age profile'!$N$2:$N$61,B655)*(1+in_takeup_growth)^(D655-1))</f>
        <v/>
      </c>
      <c r="H655" s="11">
        <f>MIN(in_approval_cap,in_approved_first*INDEX('Age profile'!$O$2:$O$61,B655)*(1+in_approval_growth)^(D655-1))</f>
        <v/>
      </c>
      <c r="I655" s="45">
        <f>G655*MIN(in_takeup_cap,INDEX('Age profile'!$O$2:$O$61,B655)*(1+in_approval_growth)^(D655-1))</f>
        <v/>
      </c>
      <c r="J655" s="40">
        <f>(J654-L654)*F655/F654</f>
        <v/>
      </c>
      <c r="K655" s="40">
        <f>(K654-M654)*F655/F654+SUMIFS(O607:O654,B607:B654,B655-1-d_T)*F655</f>
        <v/>
      </c>
      <c r="L655" s="40">
        <f>IF(B655&gt;=in_marketplace_from,J655*d_hz*G655*in_eligible*H655,0)</f>
        <v/>
      </c>
      <c r="M655" s="40">
        <f>IF(B655&gt;=in_marketplace_from,K655*d_hz*G655*in_eligible*in_approved_repeat,0)</f>
        <v/>
      </c>
      <c r="N655" s="40">
        <f>L655+M655</f>
        <v/>
      </c>
      <c r="O655" s="46">
        <f>N655/F655</f>
        <v/>
      </c>
      <c r="P655" s="40">
        <f>F655-J655-K655</f>
        <v/>
      </c>
      <c r="Q655" s="40">
        <f>IF(B655&gt;=in_marketplace_from,(J655+K655)*d_hz*G655,0)</f>
        <v/>
      </c>
      <c r="R655" s="40">
        <f>SUMIFS(N607:N655,B607:B655,"&gt;="&amp;(B655-d_T),B607:B655,"&lt;="&amp;(B655-1))</f>
        <v/>
      </c>
      <c r="S655" s="46">
        <f>(1-d_u)*S654+IF(d_T&gt;in_topup_lag,SUMIFS(O607:O655,B607:B655,B655-in_topup_lag)-d_udrop*SUMIFS(O607:O655,B607:B655,B655-d_T),0)</f>
        <v/>
      </c>
      <c r="T655" s="40">
        <f>F655*d_u*S655</f>
        <v/>
      </c>
      <c r="U655" s="9">
        <f>L655*in_ticket+M655*d_rep_ticket</f>
        <v/>
      </c>
      <c r="V655" s="9">
        <f>U655+T655*d_topup_amt</f>
        <v/>
      </c>
      <c r="W655" s="40">
        <f>N655+T655*d_topup_ratio</f>
        <v/>
      </c>
      <c r="X655" s="40">
        <f>SUMIFS(W607:W655,B607:B655,B655-in_dpd_lag)*d_cured</f>
        <v/>
      </c>
      <c r="Y655" s="40">
        <f>SUMIFS(W607:W655,B607:B655,B655-in_rec_lag)*d_recd</f>
        <v/>
      </c>
      <c r="Z655" s="40">
        <f>IF(AND(B655&gt;=in_marketplace_from,B655&lt;in_marketplace_from+in_card_months),in_card_share/in_card_months*F655*I655,IF(AND(B655&gt;=in_marketplace_from+in_card_months,B655&lt;in_marketplace_from+2*in_card_months),in_card_share*d_card_rem/in_card_months*F655*MIN(in_takeup_cap,(1+in_takeup_growth)^(D655-1))*MIN(in_takeup_cap,(1+in_approval_growth)^(D655-1)),0))</f>
        <v/>
      </c>
      <c r="AA655" s="14">
        <f>V655*in_fee*(1-in_taken_back)</f>
        <v/>
      </c>
      <c r="AB655" s="14">
        <f>SUMIFS(W607:W655,B607:B655,B655-in_dpd_lag)*d_dpd</f>
        <v/>
      </c>
      <c r="AC655" s="14">
        <f>SUMIFS(W607:W655,B607:B655,B655-in_rec_lag)*d_rec</f>
        <v/>
      </c>
      <c r="AD655" s="14">
        <f>Z655*in_card_fee</f>
        <v/>
      </c>
      <c r="AE655" s="40">
        <f>AE654*(1-IF(B654&gt;=in_marketplace_from,d_hz_hlth_small*G654,0))</f>
        <v/>
      </c>
      <c r="AF655" s="46">
        <f>AE655*IF(B655&gt;=in_marketplace_from,d_hz_hlth_small*G655,0)</f>
        <v/>
      </c>
      <c r="AG655" s="14">
        <f>F655*AF655*in_hlth_small_ticket*in_hlth_small_comm*in_ins_partner_share+F655*in_hlth_small_ticket*in_hlth_small_renew_comm*in_ins_partner_share*(in_hlth_small_renew^1*SUMIFS(AF607:AF655,B607:B655,B655-12)+in_hlth_small_renew^2*SUMIFS(AF607:AF655,B607:B655,B655-24)+in_hlth_small_renew^3*SUMIFS(AF607:AF655,B607:B655,B655-36)+in_hlth_small_renew^4*SUMIFS(AF607:AF655,B607:B655,B655-48))</f>
        <v/>
      </c>
      <c r="AH655" s="40">
        <f>AH654*(1-IF(B654&gt;=in_marketplace_from,d_hz_hlth_family*G654,0))</f>
        <v/>
      </c>
      <c r="AI655" s="46">
        <f>AH655*IF(B655&gt;=in_marketplace_from,d_hz_hlth_family*G655,0)</f>
        <v/>
      </c>
      <c r="AJ655" s="14">
        <f>F655*AI655*in_hlth_family_ticket*in_hlth_family_comm*in_ins_partner_share+F655*in_hlth_family_ticket*in_hlth_family_renew_comm*in_ins_partner_share*(in_hlth_family_renew^1*SUMIFS(AI607:AI655,B607:B655,B655-12)+in_hlth_family_renew^2*SUMIFS(AI607:AI655,B607:B655,B655-24)+in_hlth_family_renew^3*SUMIFS(AI607:AI655,B607:B655,B655-36)+in_hlth_family_renew^4*SUMIFS(AI607:AI655,B607:B655,B655-48))</f>
        <v/>
      </c>
      <c r="AK655" s="40">
        <f>AK654*(1-IF(B654&gt;=in_marketplace_from,d_hz_life_term*G654,0))</f>
        <v/>
      </c>
      <c r="AL655" s="46">
        <f>AK655*IF(B655&gt;=in_marketplace_from,d_hz_life_term*G655,0)</f>
        <v/>
      </c>
      <c r="AM655" s="14">
        <f>F655*AL655*in_life_term_ticket*in_life_term_comm*in_ins_partner_share+F655*in_life_term_ticket*in_life_term_renew_comm*in_ins_partner_share*(in_life_term_renew^1*SUMIFS(AL607:AL655,B607:B655,B655-12)+in_life_term_renew^2*SUMIFS(AL607:AL655,B607:B655,B655-24)+in_life_term_renew^3*SUMIFS(AL607:AL655,B607:B655,B655-36)+in_life_term_renew^4*SUMIFS(AL607:AL655,B607:B655,B655-48))</f>
        <v/>
      </c>
      <c r="AN655" s="40">
        <f>AN654*(1-IF(B654&gt;=in_marketplace_from,d_hz_accident*G654,0))</f>
        <v/>
      </c>
      <c r="AO655" s="46">
        <f>AN655*IF(B655&gt;=in_marketplace_from,d_hz_accident*G655,0)</f>
        <v/>
      </c>
      <c r="AP655" s="14">
        <f>F655*AO655*in_accident_ticket*in_accident_comm*in_ins_partner_share+F655*in_accident_ticket*in_accident_renew_comm*in_ins_partner_share*(in_accident_renew^1*SUMIFS(AO607:AO655,B607:B655,B655-12)+in_accident_renew^2*SUMIFS(AO607:AO655,B607:B655,B655-24)+in_accident_renew^3*SUMIFS(AO607:AO655,B607:B655,B655-36)+in_accident_renew^4*SUMIFS(AO607:AO655,B607:B655,B655-48))</f>
        <v/>
      </c>
      <c r="AQ655" s="40">
        <f>AQ654*(1-IF(B654&gt;=in_marketplace_from,d_hz_two_wheeler*G654,0))</f>
        <v/>
      </c>
      <c r="AR655" s="46">
        <f>AQ655*IF(B655&gt;=in_marketplace_from,d_hz_two_wheeler*G655,0)</f>
        <v/>
      </c>
      <c r="AS655" s="14">
        <f>F655*AR655*in_two_wheeler_ticket*in_two_wheeler_comm*in_ins_partner_share+F655*in_two_wheeler_ticket*in_two_wheeler_comm*in_ins_partner_share*(in_two_wheeler_renew^1*SUMIFS(AR607:AR655,B607:B655,B655-12)+in_two_wheeler_renew^2*SUMIFS(AR607:AR655,B607:B655,B655-24)+in_two_wheeler_renew^3*SUMIFS(AR607:AR655,B607:B655,B655-36)+in_two_wheeler_renew^4*SUMIFS(AR607:AR655,B607:B655,B655-48))</f>
        <v/>
      </c>
      <c r="AT655" s="40">
        <f>AT654*(1-IF(B654&gt;=in_marketplace_from,d_hz_device*G654,0))</f>
        <v/>
      </c>
      <c r="AU655" s="14">
        <f>F655*AT655*IF(B655&gt;=in_marketplace_from,d_hz_device*G655,0)*in_device_ticket*in_device_comm*in_ins_partner_share</f>
        <v/>
      </c>
      <c r="AV655" s="40">
        <f>AV654*(1-IF(B654&gt;=in_marketplace_from,d_hz_shop*G654,0))</f>
        <v/>
      </c>
      <c r="AW655" s="46">
        <f>AV655*IF(B655&gt;=in_marketplace_from,d_hz_shop*G655,0)</f>
        <v/>
      </c>
      <c r="AX655" s="14">
        <f>F655*AW655*in_shop_ticket*in_shop_comm*in_ins_partner_share+F655*in_shop_ticket*in_shop_renew_comm*in_ins_partner_share*(in_shop_renew^1*SUMIFS(AW607:AW655,B607:B655,B655-12)+in_shop_renew^2*SUMIFS(AW607:AW655,B607:B655,B655-24)+in_shop_renew^3*SUMIFS(AW607:AW655,B607:B655,B655-36)+in_shop_renew^4*SUMIFS(AW607:AW655,B607:B655,B655-48))</f>
        <v/>
      </c>
      <c r="AY655" s="40">
        <f>AY654*(1-IF(B654&gt;=in_marketplace_from,d_hz_sip*G654,0))</f>
        <v/>
      </c>
      <c r="AZ655" s="40">
        <f>AZ654*d_rho_sip+AY655*IF(B655&gt;=in_marketplace_from,d_hz_sip*G655,0)</f>
        <v/>
      </c>
      <c r="BA655" s="40">
        <f>d_rho_sip*(BA654+AZ654)</f>
        <v/>
      </c>
      <c r="BB655" s="14">
        <f>F655*in_sip_ticket*(BA655+0.5*AZ655)*in_sip_comm/12</f>
        <v/>
      </c>
      <c r="BC655" s="40">
        <f>BC654*(1-IF(B654&gt;=in_marketplace_from,d_hz_choti*G654,0))</f>
        <v/>
      </c>
      <c r="BD655" s="46">
        <f>BC655*IF(B655&gt;=in_marketplace_from,d_hz_choti*G655,0)</f>
        <v/>
      </c>
      <c r="BE655" s="14">
        <f>F655*SUMIFS(BD607:BD655,B607:B655,B655-in_choti_months)*in_choti_renew*in_choti_ticket</f>
        <v/>
      </c>
      <c r="BF655" s="40">
        <f>BF654*(1-IF(B654&gt;=in_marketplace_from,d_hz_nps*G654,0))</f>
        <v/>
      </c>
      <c r="BG655" s="14">
        <f>F655*BF655*IF(B655&gt;=in_marketplace_from,d_hz_nps*G655,0)*in_nps_ticket*in_nps_comm</f>
        <v/>
      </c>
      <c r="BH655" s="40">
        <f>BH654*(1-IF(B654&gt;=in_marketplace_from,d_hz_gold*G654,0))</f>
        <v/>
      </c>
      <c r="BI655" s="40">
        <f>BI654*d_rho_gold+BH655*IF(B655&gt;=in_marketplace_from,d_hz_gold*G655,0)</f>
        <v/>
      </c>
      <c r="BJ655" s="14">
        <f>F655*BI655*in_gold_ticket*in_gold_comm</f>
        <v/>
      </c>
      <c r="BK655" s="40">
        <f>BK654*(1-IF(B654&gt;=in_marketplace_from,d_hz_fd*G654,0))</f>
        <v/>
      </c>
      <c r="BL655" s="14">
        <f>F655*BK655*IF(B655&gt;=in_marketplace_from,d_hz_fd*G655,0)*in_fd_ticket*in_fd_comm</f>
        <v/>
      </c>
      <c r="BM655" s="40">
        <f>BM654*(1-IF(B654&gt;=in_marketplace_from,d_hz_recharge*G654,0))</f>
        <v/>
      </c>
      <c r="BN655" s="40">
        <f>BN654*d_rho_recharge+BM655*IF(B655&gt;=in_marketplace_from,d_hz_recharge*G655,0)</f>
        <v/>
      </c>
      <c r="BO655" s="14">
        <f>F655*BN655*in_recharge_ticket*in_recharge_comm/12</f>
        <v/>
      </c>
      <c r="BP655" s="40">
        <f>BP654*(1-IF(B654&gt;=in_marketplace_from,d_hz_bills*G654,0))</f>
        <v/>
      </c>
      <c r="BQ655" s="40">
        <f>BQ654*d_rho_bills+BP655*IF(B655&gt;=in_marketplace_from,d_hz_bills*G655,0)</f>
        <v/>
      </c>
      <c r="BR655" s="14">
        <f>F655*BQ655*in_bills_ticket*in_bills_comm/12</f>
        <v/>
      </c>
      <c r="BS655" s="40">
        <f>BS654*(1-IF(B654&gt;=in_marketplace_from,d_hz_loan_gold*G654,0))</f>
        <v/>
      </c>
      <c r="BT655" s="14">
        <f>F655*BS655*IF(B655&gt;=in_marketplace_from,d_hz_loan_gold*G655,0)*in_loan_gold_ticket*in_loan_gold_comm</f>
        <v/>
      </c>
      <c r="BU655" s="40">
        <f>BU654*(1-IF(B654&gt;=in_marketplace_from,d_hz_loan_cd*G654,0))</f>
        <v/>
      </c>
      <c r="BV655" s="14">
        <f>F655*BU655*IF(B655&gt;=in_marketplace_from,d_hz_loan_cd*G655,0)*in_loan_cd_ticket*in_loan_cd_comm</f>
        <v/>
      </c>
      <c r="BW655" s="40">
        <f>BW654*(1-IF(B654&gt;=in_marketplace_from,d_hz_loan_vehicle*G654,0))</f>
        <v/>
      </c>
      <c r="BX655" s="14">
        <f>F655*BW655*IF(B655&gt;=in_marketplace_from,d_hz_loan_vehicle*G655,0)*in_loan_vehicle_ticket*in_loan_vehicle_comm</f>
        <v/>
      </c>
      <c r="BY655" s="40">
        <f>BY654*(1-IF(B654&gt;=in_marketplace_from,d_hz_loan_home*G654,0)*BZ654)</f>
        <v/>
      </c>
      <c r="BZ655" s="11">
        <f>MIN(in_approval_cap,in_loan_home_approval*INDEX('Age profile'!$O$2:$O$61,B655)*(1+in_approval_growth)^(D655-1))</f>
        <v/>
      </c>
      <c r="CA655" s="14">
        <f>F655*BY655*IF(B655&gt;=in_marketplace_from,d_hz_loan_home*G655,0)*BZ655*in_loan_home_ticket*in_loan_home_comm</f>
        <v/>
      </c>
      <c r="CB655" s="40">
        <f>CB654*(1-IF(B654&gt;=in_marketplace_from,d_hz_loan_lap*G654,0)*CC654)</f>
        <v/>
      </c>
      <c r="CC655" s="11">
        <f>MIN(in_approval_cap,in_loan_lap_approval*INDEX('Age profile'!$O$2:$O$61,B655)*(1+in_approval_growth)^(D655-1))</f>
        <v/>
      </c>
      <c r="CD655" s="14">
        <f>F655*CB655*IF(B655&gt;=in_marketplace_from,d_hz_loan_lap*G655,0)*CC655*in_loan_lap_ticket*in_loan_lap_comm</f>
        <v/>
      </c>
      <c r="CE655" s="14">
        <f>AA655+AB655+AC655+AD655+AG655+AJ655+AM655+AP655+AS655+AU655+AX655+BB655+BE655+BG655+BJ655+BL655+BO655+BR655+BT655+BV655+BX655+CA655+CD655</f>
        <v/>
      </c>
    </row>
    <row r="656">
      <c r="A656" s="39" t="n">
        <v>13</v>
      </c>
      <c r="B656" s="39" t="n">
        <v>1</v>
      </c>
      <c r="C656" s="39">
        <f>A656+B656-1</f>
        <v/>
      </c>
      <c r="D656" s="39">
        <f>INT((C656-1)/12)+1</f>
        <v/>
      </c>
      <c r="E656" s="44">
        <f>INDEX(Monthly!$B$2:$B$61,A656)</f>
        <v/>
      </c>
      <c r="F656" s="44">
        <f>E656*INDEX('Age profile'!$B$2:$B$61,B656)</f>
        <v/>
      </c>
      <c r="G656" s="45">
        <f>MIN(in_takeup_cap,INDEX('Age profile'!$N$2:$N$61,B656)*(1+in_takeup_growth)^(D656-1))</f>
        <v/>
      </c>
      <c r="H656" s="11">
        <f>MIN(in_approval_cap,in_approved_first*INDEX('Age profile'!$O$2:$O$61,B656)*(1+in_approval_growth)^(D656-1))</f>
        <v/>
      </c>
      <c r="I656" s="45">
        <f>G656*MIN(in_takeup_cap,INDEX('Age profile'!$O$2:$O$61,B656)*(1+in_approval_growth)^(D656-1))</f>
        <v/>
      </c>
      <c r="J656" s="40">
        <f>E656</f>
        <v/>
      </c>
      <c r="K656" s="40" t="n">
        <v>0</v>
      </c>
      <c r="L656" s="40">
        <f>IF(B656&gt;=in_marketplace_from,J656*d_hz*G656*in_eligible*H656,0)</f>
        <v/>
      </c>
      <c r="M656" s="40">
        <f>IF(B656&gt;=in_marketplace_from,K656*d_hz*G656*in_eligible*in_approved_repeat,0)</f>
        <v/>
      </c>
      <c r="N656" s="40">
        <f>L656+M656</f>
        <v/>
      </c>
      <c r="O656" s="46">
        <f>N656/F656</f>
        <v/>
      </c>
      <c r="P656" s="40">
        <f>F656-J656-K656</f>
        <v/>
      </c>
      <c r="Q656" s="40">
        <f>IF(B656&gt;=in_marketplace_from,(J656+K656)*d_hz*G656,0)</f>
        <v/>
      </c>
      <c r="R656" s="40">
        <f>SUMIFS(N656:N703,B656:B703,"&gt;="&amp;(B656-d_T),B656:B703,"&lt;="&amp;(B656-1))</f>
        <v/>
      </c>
      <c r="S656" s="46" t="n">
        <v>0</v>
      </c>
      <c r="T656" s="40">
        <f>F656*d_u*S656</f>
        <v/>
      </c>
      <c r="U656" s="9">
        <f>L656*in_ticket+M656*d_rep_ticket</f>
        <v/>
      </c>
      <c r="V656" s="9">
        <f>U656+T656*d_topup_amt</f>
        <v/>
      </c>
      <c r="W656" s="40">
        <f>N656+T656*d_topup_ratio</f>
        <v/>
      </c>
      <c r="X656" s="40">
        <f>SUMIFS(W656:W703,B656:B703,B656-in_dpd_lag)*d_cured</f>
        <v/>
      </c>
      <c r="Y656" s="40">
        <f>SUMIFS(W656:W703,B656:B703,B656-in_rec_lag)*d_recd</f>
        <v/>
      </c>
      <c r="Z656" s="40">
        <f>IF(AND(B656&gt;=in_marketplace_from,B656&lt;in_marketplace_from+in_card_months),in_card_share/in_card_months*F656*I656,IF(AND(B656&gt;=in_marketplace_from+in_card_months,B656&lt;in_marketplace_from+2*in_card_months),in_card_share*d_card_rem/in_card_months*F656*MIN(in_takeup_cap,(1+in_takeup_growth)^(D656-1))*MIN(in_takeup_cap,(1+in_approval_growth)^(D656-1)),0))</f>
        <v/>
      </c>
      <c r="AA656" s="14">
        <f>V656*in_fee*(1-in_taken_back)</f>
        <v/>
      </c>
      <c r="AB656" s="14">
        <f>SUMIFS(W656:W703,B656:B703,B656-in_dpd_lag)*d_dpd</f>
        <v/>
      </c>
      <c r="AC656" s="14">
        <f>SUMIFS(W656:W703,B656:B703,B656-in_rec_lag)*d_rec</f>
        <v/>
      </c>
      <c r="AD656" s="14">
        <f>Z656*in_card_fee</f>
        <v/>
      </c>
      <c r="AE656" s="40" t="n">
        <v>1</v>
      </c>
      <c r="AF656" s="46">
        <f>AE656*IF(B656&gt;=in_marketplace_from,d_hz_hlth_small*G656,0)</f>
        <v/>
      </c>
      <c r="AG656" s="14">
        <f>F656*AF656*in_hlth_small_ticket*in_hlth_small_comm*in_ins_partner_share+F656*in_hlth_small_ticket*in_hlth_small_renew_comm*in_ins_partner_share*(in_hlth_small_renew^1*SUMIFS(AF656:AF703,B656:B703,B656-12)+in_hlth_small_renew^2*SUMIFS(AF656:AF703,B656:B703,B656-24)+in_hlth_small_renew^3*SUMIFS(AF656:AF703,B656:B703,B656-36)+in_hlth_small_renew^4*SUMIFS(AF656:AF703,B656:B703,B656-48))</f>
        <v/>
      </c>
      <c r="AH656" s="40" t="n">
        <v>1</v>
      </c>
      <c r="AI656" s="46">
        <f>AH656*IF(B656&gt;=in_marketplace_from,d_hz_hlth_family*G656,0)</f>
        <v/>
      </c>
      <c r="AJ656" s="14">
        <f>F656*AI656*in_hlth_family_ticket*in_hlth_family_comm*in_ins_partner_share+F656*in_hlth_family_ticket*in_hlth_family_renew_comm*in_ins_partner_share*(in_hlth_family_renew^1*SUMIFS(AI656:AI703,B656:B703,B656-12)+in_hlth_family_renew^2*SUMIFS(AI656:AI703,B656:B703,B656-24)+in_hlth_family_renew^3*SUMIFS(AI656:AI703,B656:B703,B656-36)+in_hlth_family_renew^4*SUMIFS(AI656:AI703,B656:B703,B656-48))</f>
        <v/>
      </c>
      <c r="AK656" s="40" t="n">
        <v>1</v>
      </c>
      <c r="AL656" s="46">
        <f>AK656*IF(B656&gt;=in_marketplace_from,d_hz_life_term*G656,0)</f>
        <v/>
      </c>
      <c r="AM656" s="14">
        <f>F656*AL656*in_life_term_ticket*in_life_term_comm*in_ins_partner_share+F656*in_life_term_ticket*in_life_term_renew_comm*in_ins_partner_share*(in_life_term_renew^1*SUMIFS(AL656:AL703,B656:B703,B656-12)+in_life_term_renew^2*SUMIFS(AL656:AL703,B656:B703,B656-24)+in_life_term_renew^3*SUMIFS(AL656:AL703,B656:B703,B656-36)+in_life_term_renew^4*SUMIFS(AL656:AL703,B656:B703,B656-48))</f>
        <v/>
      </c>
      <c r="AN656" s="40" t="n">
        <v>1</v>
      </c>
      <c r="AO656" s="46">
        <f>AN656*IF(B656&gt;=in_marketplace_from,d_hz_accident*G656,0)</f>
        <v/>
      </c>
      <c r="AP656" s="14">
        <f>F656*AO656*in_accident_ticket*in_accident_comm*in_ins_partner_share+F656*in_accident_ticket*in_accident_renew_comm*in_ins_partner_share*(in_accident_renew^1*SUMIFS(AO656:AO703,B656:B703,B656-12)+in_accident_renew^2*SUMIFS(AO656:AO703,B656:B703,B656-24)+in_accident_renew^3*SUMIFS(AO656:AO703,B656:B703,B656-36)+in_accident_renew^4*SUMIFS(AO656:AO703,B656:B703,B656-48))</f>
        <v/>
      </c>
      <c r="AQ656" s="40" t="n">
        <v>1</v>
      </c>
      <c r="AR656" s="46">
        <f>AQ656*IF(B656&gt;=in_marketplace_from,d_hz_two_wheeler*G656,0)</f>
        <v/>
      </c>
      <c r="AS656" s="14">
        <f>F656*AR656*in_two_wheeler_ticket*in_two_wheeler_comm*in_ins_partner_share+F656*in_two_wheeler_ticket*in_two_wheeler_comm*in_ins_partner_share*(in_two_wheeler_renew^1*SUMIFS(AR656:AR703,B656:B703,B656-12)+in_two_wheeler_renew^2*SUMIFS(AR656:AR703,B656:B703,B656-24)+in_two_wheeler_renew^3*SUMIFS(AR656:AR703,B656:B703,B656-36)+in_two_wheeler_renew^4*SUMIFS(AR656:AR703,B656:B703,B656-48))</f>
        <v/>
      </c>
      <c r="AT656" s="40" t="n">
        <v>1</v>
      </c>
      <c r="AU656" s="14">
        <f>F656*AT656*IF(B656&gt;=in_marketplace_from,d_hz_device*G656,0)*in_device_ticket*in_device_comm*in_ins_partner_share</f>
        <v/>
      </c>
      <c r="AV656" s="40" t="n">
        <v>1</v>
      </c>
      <c r="AW656" s="46">
        <f>AV656*IF(B656&gt;=in_marketplace_from,d_hz_shop*G656,0)</f>
        <v/>
      </c>
      <c r="AX656" s="14">
        <f>F656*AW656*in_shop_ticket*in_shop_comm*in_ins_partner_share+F656*in_shop_ticket*in_shop_renew_comm*in_ins_partner_share*(in_shop_renew^1*SUMIFS(AW656:AW703,B656:B703,B656-12)+in_shop_renew^2*SUMIFS(AW656:AW703,B656:B703,B656-24)+in_shop_renew^3*SUMIFS(AW656:AW703,B656:B703,B656-36)+in_shop_renew^4*SUMIFS(AW656:AW703,B656:B703,B656-48))</f>
        <v/>
      </c>
      <c r="AY656" s="40" t="n">
        <v>1</v>
      </c>
      <c r="AZ656" s="40">
        <f>AY656*IF(B656&gt;=in_marketplace_from,d_hz_sip*G656,0)</f>
        <v/>
      </c>
      <c r="BA656" s="40" t="n">
        <v>0</v>
      </c>
      <c r="BB656" s="14">
        <f>F656*in_sip_ticket*(BA656+0.5*AZ656)*in_sip_comm/12</f>
        <v/>
      </c>
      <c r="BC656" s="40" t="n">
        <v>1</v>
      </c>
      <c r="BD656" s="46">
        <f>BC656*IF(B656&gt;=in_marketplace_from,d_hz_choti*G656,0)</f>
        <v/>
      </c>
      <c r="BE656" s="14">
        <f>F656*SUMIFS(BD656:BD703,B656:B703,B656-in_choti_months)*in_choti_renew*in_choti_ticket</f>
        <v/>
      </c>
      <c r="BF656" s="40" t="n">
        <v>1</v>
      </c>
      <c r="BG656" s="14">
        <f>F656*BF656*IF(B656&gt;=in_marketplace_from,d_hz_nps*G656,0)*in_nps_ticket*in_nps_comm</f>
        <v/>
      </c>
      <c r="BH656" s="40" t="n">
        <v>1</v>
      </c>
      <c r="BI656" s="40">
        <f>BH656*IF(B656&gt;=in_marketplace_from,d_hz_gold*G656,0)</f>
        <v/>
      </c>
      <c r="BJ656" s="14">
        <f>F656*BI656*in_gold_ticket*in_gold_comm</f>
        <v/>
      </c>
      <c r="BK656" s="40" t="n">
        <v>1</v>
      </c>
      <c r="BL656" s="14">
        <f>F656*BK656*IF(B656&gt;=in_marketplace_from,d_hz_fd*G656,0)*in_fd_ticket*in_fd_comm</f>
        <v/>
      </c>
      <c r="BM656" s="40" t="n">
        <v>1</v>
      </c>
      <c r="BN656" s="40">
        <f>BM656*IF(B656&gt;=in_marketplace_from,d_hz_recharge*G656,0)</f>
        <v/>
      </c>
      <c r="BO656" s="14">
        <f>F656*BN656*in_recharge_ticket*in_recharge_comm/12</f>
        <v/>
      </c>
      <c r="BP656" s="40" t="n">
        <v>1</v>
      </c>
      <c r="BQ656" s="40">
        <f>BP656*IF(B656&gt;=in_marketplace_from,d_hz_bills*G656,0)</f>
        <v/>
      </c>
      <c r="BR656" s="14">
        <f>F656*BQ656*in_bills_ticket*in_bills_comm/12</f>
        <v/>
      </c>
      <c r="BS656" s="40" t="n">
        <v>1</v>
      </c>
      <c r="BT656" s="14">
        <f>F656*BS656*IF(B656&gt;=in_marketplace_from,d_hz_loan_gold*G656,0)*in_loan_gold_ticket*in_loan_gold_comm</f>
        <v/>
      </c>
      <c r="BU656" s="40" t="n">
        <v>1</v>
      </c>
      <c r="BV656" s="14">
        <f>F656*BU656*IF(B656&gt;=in_marketplace_from,d_hz_loan_cd*G656,0)*in_loan_cd_ticket*in_loan_cd_comm</f>
        <v/>
      </c>
      <c r="BW656" s="40" t="n">
        <v>1</v>
      </c>
      <c r="BX656" s="14">
        <f>F656*BW656*IF(B656&gt;=in_marketplace_from,d_hz_loan_vehicle*G656,0)*in_loan_vehicle_ticket*in_loan_vehicle_comm</f>
        <v/>
      </c>
      <c r="BY656" s="40" t="n">
        <v>1</v>
      </c>
      <c r="BZ656" s="11">
        <f>MIN(in_approval_cap,in_loan_home_approval*INDEX('Age profile'!$O$2:$O$61,B656)*(1+in_approval_growth)^(D656-1))</f>
        <v/>
      </c>
      <c r="CA656" s="14">
        <f>F656*BY656*IF(B656&gt;=in_marketplace_from,d_hz_loan_home*G656,0)*BZ656*in_loan_home_ticket*in_loan_home_comm</f>
        <v/>
      </c>
      <c r="CB656" s="40" t="n">
        <v>1</v>
      </c>
      <c r="CC656" s="11">
        <f>MIN(in_approval_cap,in_loan_lap_approval*INDEX('Age profile'!$O$2:$O$61,B656)*(1+in_approval_growth)^(D656-1))</f>
        <v/>
      </c>
      <c r="CD656" s="14">
        <f>F656*CB656*IF(B656&gt;=in_marketplace_from,d_hz_loan_lap*G656,0)*CC656*in_loan_lap_ticket*in_loan_lap_comm</f>
        <v/>
      </c>
      <c r="CE656" s="14">
        <f>AA656+AB656+AC656+AD656+AG656+AJ656+AM656+AP656+AS656+AU656+AX656+BB656+BE656+BG656+BJ656+BL656+BO656+BR656+BT656+BV656+BX656+CA656+CD656</f>
        <v/>
      </c>
    </row>
    <row r="657">
      <c r="A657" s="39" t="n">
        <v>13</v>
      </c>
      <c r="B657" s="39" t="n">
        <v>2</v>
      </c>
      <c r="C657" s="39">
        <f>A657+B657-1</f>
        <v/>
      </c>
      <c r="D657" s="39">
        <f>INT((C657-1)/12)+1</f>
        <v/>
      </c>
      <c r="E657" s="44">
        <f>INDEX(Monthly!$B$2:$B$61,A657)</f>
        <v/>
      </c>
      <c r="F657" s="44">
        <f>E657*INDEX('Age profile'!$B$2:$B$61,B657)</f>
        <v/>
      </c>
      <c r="G657" s="45">
        <f>MIN(in_takeup_cap,INDEX('Age profile'!$N$2:$N$61,B657)*(1+in_takeup_growth)^(D657-1))</f>
        <v/>
      </c>
      <c r="H657" s="11">
        <f>MIN(in_approval_cap,in_approved_first*INDEX('Age profile'!$O$2:$O$61,B657)*(1+in_approval_growth)^(D657-1))</f>
        <v/>
      </c>
      <c r="I657" s="45">
        <f>G657*MIN(in_takeup_cap,INDEX('Age profile'!$O$2:$O$61,B657)*(1+in_approval_growth)^(D657-1))</f>
        <v/>
      </c>
      <c r="J657" s="40">
        <f>(J656-L656)*F657/F656</f>
        <v/>
      </c>
      <c r="K657" s="40">
        <f>(K656-M656)*F657/F656+SUMIFS(O656:O656,B656:B656,B657-1-d_T)*F657</f>
        <v/>
      </c>
      <c r="L657" s="40">
        <f>IF(B657&gt;=in_marketplace_from,J657*d_hz*G657*in_eligible*H657,0)</f>
        <v/>
      </c>
      <c r="M657" s="40">
        <f>IF(B657&gt;=in_marketplace_from,K657*d_hz*G657*in_eligible*in_approved_repeat,0)</f>
        <v/>
      </c>
      <c r="N657" s="40">
        <f>L657+M657</f>
        <v/>
      </c>
      <c r="O657" s="46">
        <f>N657/F657</f>
        <v/>
      </c>
      <c r="P657" s="40">
        <f>F657-J657-K657</f>
        <v/>
      </c>
      <c r="Q657" s="40">
        <f>IF(B657&gt;=in_marketplace_from,(J657+K657)*d_hz*G657,0)</f>
        <v/>
      </c>
      <c r="R657" s="40">
        <f>SUMIFS(N656:N703,B656:B703,"&gt;="&amp;(B657-d_T),B656:B703,"&lt;="&amp;(B657-1))</f>
        <v/>
      </c>
      <c r="S657" s="46">
        <f>(1-d_u)*S656+IF(d_T&gt;in_topup_lag,SUMIFS(O656:O703,B656:B703,B657-in_topup_lag)-d_udrop*SUMIFS(O656:O703,B656:B703,B657-d_T),0)</f>
        <v/>
      </c>
      <c r="T657" s="40">
        <f>F657*d_u*S657</f>
        <v/>
      </c>
      <c r="U657" s="9">
        <f>L657*in_ticket+M657*d_rep_ticket</f>
        <v/>
      </c>
      <c r="V657" s="9">
        <f>U657+T657*d_topup_amt</f>
        <v/>
      </c>
      <c r="W657" s="40">
        <f>N657+T657*d_topup_ratio</f>
        <v/>
      </c>
      <c r="X657" s="40">
        <f>SUMIFS(W656:W703,B656:B703,B657-in_dpd_lag)*d_cured</f>
        <v/>
      </c>
      <c r="Y657" s="40">
        <f>SUMIFS(W656:W703,B656:B703,B657-in_rec_lag)*d_recd</f>
        <v/>
      </c>
      <c r="Z657" s="40">
        <f>IF(AND(B657&gt;=in_marketplace_from,B657&lt;in_marketplace_from+in_card_months),in_card_share/in_card_months*F657*I657,IF(AND(B657&gt;=in_marketplace_from+in_card_months,B657&lt;in_marketplace_from+2*in_card_months),in_card_share*d_card_rem/in_card_months*F657*MIN(in_takeup_cap,(1+in_takeup_growth)^(D657-1))*MIN(in_takeup_cap,(1+in_approval_growth)^(D657-1)),0))</f>
        <v/>
      </c>
      <c r="AA657" s="14">
        <f>V657*in_fee*(1-in_taken_back)</f>
        <v/>
      </c>
      <c r="AB657" s="14">
        <f>SUMIFS(W656:W703,B656:B703,B657-in_dpd_lag)*d_dpd</f>
        <v/>
      </c>
      <c r="AC657" s="14">
        <f>SUMIFS(W656:W703,B656:B703,B657-in_rec_lag)*d_rec</f>
        <v/>
      </c>
      <c r="AD657" s="14">
        <f>Z657*in_card_fee</f>
        <v/>
      </c>
      <c r="AE657" s="40">
        <f>AE656*(1-IF(B656&gt;=in_marketplace_from,d_hz_hlth_small*G656,0))</f>
        <v/>
      </c>
      <c r="AF657" s="46">
        <f>AE657*IF(B657&gt;=in_marketplace_from,d_hz_hlth_small*G657,0)</f>
        <v/>
      </c>
      <c r="AG657" s="14">
        <f>F657*AF657*in_hlth_small_ticket*in_hlth_small_comm*in_ins_partner_share+F657*in_hlth_small_ticket*in_hlth_small_renew_comm*in_ins_partner_share*(in_hlth_small_renew^1*SUMIFS(AF656:AF703,B656:B703,B657-12)+in_hlth_small_renew^2*SUMIFS(AF656:AF703,B656:B703,B657-24)+in_hlth_small_renew^3*SUMIFS(AF656:AF703,B656:B703,B657-36)+in_hlth_small_renew^4*SUMIFS(AF656:AF703,B656:B703,B657-48))</f>
        <v/>
      </c>
      <c r="AH657" s="40">
        <f>AH656*(1-IF(B656&gt;=in_marketplace_from,d_hz_hlth_family*G656,0))</f>
        <v/>
      </c>
      <c r="AI657" s="46">
        <f>AH657*IF(B657&gt;=in_marketplace_from,d_hz_hlth_family*G657,0)</f>
        <v/>
      </c>
      <c r="AJ657" s="14">
        <f>F657*AI657*in_hlth_family_ticket*in_hlth_family_comm*in_ins_partner_share+F657*in_hlth_family_ticket*in_hlth_family_renew_comm*in_ins_partner_share*(in_hlth_family_renew^1*SUMIFS(AI656:AI703,B656:B703,B657-12)+in_hlth_family_renew^2*SUMIFS(AI656:AI703,B656:B703,B657-24)+in_hlth_family_renew^3*SUMIFS(AI656:AI703,B656:B703,B657-36)+in_hlth_family_renew^4*SUMIFS(AI656:AI703,B656:B703,B657-48))</f>
        <v/>
      </c>
      <c r="AK657" s="40">
        <f>AK656*(1-IF(B656&gt;=in_marketplace_from,d_hz_life_term*G656,0))</f>
        <v/>
      </c>
      <c r="AL657" s="46">
        <f>AK657*IF(B657&gt;=in_marketplace_from,d_hz_life_term*G657,0)</f>
        <v/>
      </c>
      <c r="AM657" s="14">
        <f>F657*AL657*in_life_term_ticket*in_life_term_comm*in_ins_partner_share+F657*in_life_term_ticket*in_life_term_renew_comm*in_ins_partner_share*(in_life_term_renew^1*SUMIFS(AL656:AL703,B656:B703,B657-12)+in_life_term_renew^2*SUMIFS(AL656:AL703,B656:B703,B657-24)+in_life_term_renew^3*SUMIFS(AL656:AL703,B656:B703,B657-36)+in_life_term_renew^4*SUMIFS(AL656:AL703,B656:B703,B657-48))</f>
        <v/>
      </c>
      <c r="AN657" s="40">
        <f>AN656*(1-IF(B656&gt;=in_marketplace_from,d_hz_accident*G656,0))</f>
        <v/>
      </c>
      <c r="AO657" s="46">
        <f>AN657*IF(B657&gt;=in_marketplace_from,d_hz_accident*G657,0)</f>
        <v/>
      </c>
      <c r="AP657" s="14">
        <f>F657*AO657*in_accident_ticket*in_accident_comm*in_ins_partner_share+F657*in_accident_ticket*in_accident_renew_comm*in_ins_partner_share*(in_accident_renew^1*SUMIFS(AO656:AO703,B656:B703,B657-12)+in_accident_renew^2*SUMIFS(AO656:AO703,B656:B703,B657-24)+in_accident_renew^3*SUMIFS(AO656:AO703,B656:B703,B657-36)+in_accident_renew^4*SUMIFS(AO656:AO703,B656:B703,B657-48))</f>
        <v/>
      </c>
      <c r="AQ657" s="40">
        <f>AQ656*(1-IF(B656&gt;=in_marketplace_from,d_hz_two_wheeler*G656,0))</f>
        <v/>
      </c>
      <c r="AR657" s="46">
        <f>AQ657*IF(B657&gt;=in_marketplace_from,d_hz_two_wheeler*G657,0)</f>
        <v/>
      </c>
      <c r="AS657" s="14">
        <f>F657*AR657*in_two_wheeler_ticket*in_two_wheeler_comm*in_ins_partner_share+F657*in_two_wheeler_ticket*in_two_wheeler_comm*in_ins_partner_share*(in_two_wheeler_renew^1*SUMIFS(AR656:AR703,B656:B703,B657-12)+in_two_wheeler_renew^2*SUMIFS(AR656:AR703,B656:B703,B657-24)+in_two_wheeler_renew^3*SUMIFS(AR656:AR703,B656:B703,B657-36)+in_two_wheeler_renew^4*SUMIFS(AR656:AR703,B656:B703,B657-48))</f>
        <v/>
      </c>
      <c r="AT657" s="40">
        <f>AT656*(1-IF(B656&gt;=in_marketplace_from,d_hz_device*G656,0))</f>
        <v/>
      </c>
      <c r="AU657" s="14">
        <f>F657*AT657*IF(B657&gt;=in_marketplace_from,d_hz_device*G657,0)*in_device_ticket*in_device_comm*in_ins_partner_share</f>
        <v/>
      </c>
      <c r="AV657" s="40">
        <f>AV656*(1-IF(B656&gt;=in_marketplace_from,d_hz_shop*G656,0))</f>
        <v/>
      </c>
      <c r="AW657" s="46">
        <f>AV657*IF(B657&gt;=in_marketplace_from,d_hz_shop*G657,0)</f>
        <v/>
      </c>
      <c r="AX657" s="14">
        <f>F657*AW657*in_shop_ticket*in_shop_comm*in_ins_partner_share+F657*in_shop_ticket*in_shop_renew_comm*in_ins_partner_share*(in_shop_renew^1*SUMIFS(AW656:AW703,B656:B703,B657-12)+in_shop_renew^2*SUMIFS(AW656:AW703,B656:B703,B657-24)+in_shop_renew^3*SUMIFS(AW656:AW703,B656:B703,B657-36)+in_shop_renew^4*SUMIFS(AW656:AW703,B656:B703,B657-48))</f>
        <v/>
      </c>
      <c r="AY657" s="40">
        <f>AY656*(1-IF(B656&gt;=in_marketplace_from,d_hz_sip*G656,0))</f>
        <v/>
      </c>
      <c r="AZ657" s="40">
        <f>AZ656*d_rho_sip+AY657*IF(B657&gt;=in_marketplace_from,d_hz_sip*G657,0)</f>
        <v/>
      </c>
      <c r="BA657" s="40">
        <f>d_rho_sip*(BA656+AZ656)</f>
        <v/>
      </c>
      <c r="BB657" s="14">
        <f>F657*in_sip_ticket*(BA657+0.5*AZ657)*in_sip_comm/12</f>
        <v/>
      </c>
      <c r="BC657" s="40">
        <f>BC656*(1-IF(B656&gt;=in_marketplace_from,d_hz_choti*G656,0))</f>
        <v/>
      </c>
      <c r="BD657" s="46">
        <f>BC657*IF(B657&gt;=in_marketplace_from,d_hz_choti*G657,0)</f>
        <v/>
      </c>
      <c r="BE657" s="14">
        <f>F657*SUMIFS(BD656:BD703,B656:B703,B657-in_choti_months)*in_choti_renew*in_choti_ticket</f>
        <v/>
      </c>
      <c r="BF657" s="40">
        <f>BF656*(1-IF(B656&gt;=in_marketplace_from,d_hz_nps*G656,0))</f>
        <v/>
      </c>
      <c r="BG657" s="14">
        <f>F657*BF657*IF(B657&gt;=in_marketplace_from,d_hz_nps*G657,0)*in_nps_ticket*in_nps_comm</f>
        <v/>
      </c>
      <c r="BH657" s="40">
        <f>BH656*(1-IF(B656&gt;=in_marketplace_from,d_hz_gold*G656,0))</f>
        <v/>
      </c>
      <c r="BI657" s="40">
        <f>BI656*d_rho_gold+BH657*IF(B657&gt;=in_marketplace_from,d_hz_gold*G657,0)</f>
        <v/>
      </c>
      <c r="BJ657" s="14">
        <f>F657*BI657*in_gold_ticket*in_gold_comm</f>
        <v/>
      </c>
      <c r="BK657" s="40">
        <f>BK656*(1-IF(B656&gt;=in_marketplace_from,d_hz_fd*G656,0))</f>
        <v/>
      </c>
      <c r="BL657" s="14">
        <f>F657*BK657*IF(B657&gt;=in_marketplace_from,d_hz_fd*G657,0)*in_fd_ticket*in_fd_comm</f>
        <v/>
      </c>
      <c r="BM657" s="40">
        <f>BM656*(1-IF(B656&gt;=in_marketplace_from,d_hz_recharge*G656,0))</f>
        <v/>
      </c>
      <c r="BN657" s="40">
        <f>BN656*d_rho_recharge+BM657*IF(B657&gt;=in_marketplace_from,d_hz_recharge*G657,0)</f>
        <v/>
      </c>
      <c r="BO657" s="14">
        <f>F657*BN657*in_recharge_ticket*in_recharge_comm/12</f>
        <v/>
      </c>
      <c r="BP657" s="40">
        <f>BP656*(1-IF(B656&gt;=in_marketplace_from,d_hz_bills*G656,0))</f>
        <v/>
      </c>
      <c r="BQ657" s="40">
        <f>BQ656*d_rho_bills+BP657*IF(B657&gt;=in_marketplace_from,d_hz_bills*G657,0)</f>
        <v/>
      </c>
      <c r="BR657" s="14">
        <f>F657*BQ657*in_bills_ticket*in_bills_comm/12</f>
        <v/>
      </c>
      <c r="BS657" s="40">
        <f>BS656*(1-IF(B656&gt;=in_marketplace_from,d_hz_loan_gold*G656,0))</f>
        <v/>
      </c>
      <c r="BT657" s="14">
        <f>F657*BS657*IF(B657&gt;=in_marketplace_from,d_hz_loan_gold*G657,0)*in_loan_gold_ticket*in_loan_gold_comm</f>
        <v/>
      </c>
      <c r="BU657" s="40">
        <f>BU656*(1-IF(B656&gt;=in_marketplace_from,d_hz_loan_cd*G656,0))</f>
        <v/>
      </c>
      <c r="BV657" s="14">
        <f>F657*BU657*IF(B657&gt;=in_marketplace_from,d_hz_loan_cd*G657,0)*in_loan_cd_ticket*in_loan_cd_comm</f>
        <v/>
      </c>
      <c r="BW657" s="40">
        <f>BW656*(1-IF(B656&gt;=in_marketplace_from,d_hz_loan_vehicle*G656,0))</f>
        <v/>
      </c>
      <c r="BX657" s="14">
        <f>F657*BW657*IF(B657&gt;=in_marketplace_from,d_hz_loan_vehicle*G657,0)*in_loan_vehicle_ticket*in_loan_vehicle_comm</f>
        <v/>
      </c>
      <c r="BY657" s="40">
        <f>BY656*(1-IF(B656&gt;=in_marketplace_from,d_hz_loan_home*G656,0)*BZ656)</f>
        <v/>
      </c>
      <c r="BZ657" s="11">
        <f>MIN(in_approval_cap,in_loan_home_approval*INDEX('Age profile'!$O$2:$O$61,B657)*(1+in_approval_growth)^(D657-1))</f>
        <v/>
      </c>
      <c r="CA657" s="14">
        <f>F657*BY657*IF(B657&gt;=in_marketplace_from,d_hz_loan_home*G657,0)*BZ657*in_loan_home_ticket*in_loan_home_comm</f>
        <v/>
      </c>
      <c r="CB657" s="40">
        <f>CB656*(1-IF(B656&gt;=in_marketplace_from,d_hz_loan_lap*G656,0)*CC656)</f>
        <v/>
      </c>
      <c r="CC657" s="11">
        <f>MIN(in_approval_cap,in_loan_lap_approval*INDEX('Age profile'!$O$2:$O$61,B657)*(1+in_approval_growth)^(D657-1))</f>
        <v/>
      </c>
      <c r="CD657" s="14">
        <f>F657*CB657*IF(B657&gt;=in_marketplace_from,d_hz_loan_lap*G657,0)*CC657*in_loan_lap_ticket*in_loan_lap_comm</f>
        <v/>
      </c>
      <c r="CE657" s="14">
        <f>AA657+AB657+AC657+AD657+AG657+AJ657+AM657+AP657+AS657+AU657+AX657+BB657+BE657+BG657+BJ657+BL657+BO657+BR657+BT657+BV657+BX657+CA657+CD657</f>
        <v/>
      </c>
    </row>
    <row r="658">
      <c r="A658" s="39" t="n">
        <v>13</v>
      </c>
      <c r="B658" s="39" t="n">
        <v>3</v>
      </c>
      <c r="C658" s="39">
        <f>A658+B658-1</f>
        <v/>
      </c>
      <c r="D658" s="39">
        <f>INT((C658-1)/12)+1</f>
        <v/>
      </c>
      <c r="E658" s="44">
        <f>INDEX(Monthly!$B$2:$B$61,A658)</f>
        <v/>
      </c>
      <c r="F658" s="44">
        <f>E658*INDEX('Age profile'!$B$2:$B$61,B658)</f>
        <v/>
      </c>
      <c r="G658" s="45">
        <f>MIN(in_takeup_cap,INDEX('Age profile'!$N$2:$N$61,B658)*(1+in_takeup_growth)^(D658-1))</f>
        <v/>
      </c>
      <c r="H658" s="11">
        <f>MIN(in_approval_cap,in_approved_first*INDEX('Age profile'!$O$2:$O$61,B658)*(1+in_approval_growth)^(D658-1))</f>
        <v/>
      </c>
      <c r="I658" s="45">
        <f>G658*MIN(in_takeup_cap,INDEX('Age profile'!$O$2:$O$61,B658)*(1+in_approval_growth)^(D658-1))</f>
        <v/>
      </c>
      <c r="J658" s="40">
        <f>(J657-L657)*F658/F657</f>
        <v/>
      </c>
      <c r="K658" s="40">
        <f>(K657-M657)*F658/F657+SUMIFS(O656:O657,B656:B657,B658-1-d_T)*F658</f>
        <v/>
      </c>
      <c r="L658" s="40">
        <f>IF(B658&gt;=in_marketplace_from,J658*d_hz*G658*in_eligible*H658,0)</f>
        <v/>
      </c>
      <c r="M658" s="40">
        <f>IF(B658&gt;=in_marketplace_from,K658*d_hz*G658*in_eligible*in_approved_repeat,0)</f>
        <v/>
      </c>
      <c r="N658" s="40">
        <f>L658+M658</f>
        <v/>
      </c>
      <c r="O658" s="46">
        <f>N658/F658</f>
        <v/>
      </c>
      <c r="P658" s="40">
        <f>F658-J658-K658</f>
        <v/>
      </c>
      <c r="Q658" s="40">
        <f>IF(B658&gt;=in_marketplace_from,(J658+K658)*d_hz*G658,0)</f>
        <v/>
      </c>
      <c r="R658" s="40">
        <f>SUMIFS(N656:N703,B656:B703,"&gt;="&amp;(B658-d_T),B656:B703,"&lt;="&amp;(B658-1))</f>
        <v/>
      </c>
      <c r="S658" s="46">
        <f>(1-d_u)*S657+IF(d_T&gt;in_topup_lag,SUMIFS(O656:O703,B656:B703,B658-in_topup_lag)-d_udrop*SUMIFS(O656:O703,B656:B703,B658-d_T),0)</f>
        <v/>
      </c>
      <c r="T658" s="40">
        <f>F658*d_u*S658</f>
        <v/>
      </c>
      <c r="U658" s="9">
        <f>L658*in_ticket+M658*d_rep_ticket</f>
        <v/>
      </c>
      <c r="V658" s="9">
        <f>U658+T658*d_topup_amt</f>
        <v/>
      </c>
      <c r="W658" s="40">
        <f>N658+T658*d_topup_ratio</f>
        <v/>
      </c>
      <c r="X658" s="40">
        <f>SUMIFS(W656:W703,B656:B703,B658-in_dpd_lag)*d_cured</f>
        <v/>
      </c>
      <c r="Y658" s="40">
        <f>SUMIFS(W656:W703,B656:B703,B658-in_rec_lag)*d_recd</f>
        <v/>
      </c>
      <c r="Z658" s="40">
        <f>IF(AND(B658&gt;=in_marketplace_from,B658&lt;in_marketplace_from+in_card_months),in_card_share/in_card_months*F658*I658,IF(AND(B658&gt;=in_marketplace_from+in_card_months,B658&lt;in_marketplace_from+2*in_card_months),in_card_share*d_card_rem/in_card_months*F658*MIN(in_takeup_cap,(1+in_takeup_growth)^(D658-1))*MIN(in_takeup_cap,(1+in_approval_growth)^(D658-1)),0))</f>
        <v/>
      </c>
      <c r="AA658" s="14">
        <f>V658*in_fee*(1-in_taken_back)</f>
        <v/>
      </c>
      <c r="AB658" s="14">
        <f>SUMIFS(W656:W703,B656:B703,B658-in_dpd_lag)*d_dpd</f>
        <v/>
      </c>
      <c r="AC658" s="14">
        <f>SUMIFS(W656:W703,B656:B703,B658-in_rec_lag)*d_rec</f>
        <v/>
      </c>
      <c r="AD658" s="14">
        <f>Z658*in_card_fee</f>
        <v/>
      </c>
      <c r="AE658" s="40">
        <f>AE657*(1-IF(B657&gt;=in_marketplace_from,d_hz_hlth_small*G657,0))</f>
        <v/>
      </c>
      <c r="AF658" s="46">
        <f>AE658*IF(B658&gt;=in_marketplace_from,d_hz_hlth_small*G658,0)</f>
        <v/>
      </c>
      <c r="AG658" s="14">
        <f>F658*AF658*in_hlth_small_ticket*in_hlth_small_comm*in_ins_partner_share+F658*in_hlth_small_ticket*in_hlth_small_renew_comm*in_ins_partner_share*(in_hlth_small_renew^1*SUMIFS(AF656:AF703,B656:B703,B658-12)+in_hlth_small_renew^2*SUMIFS(AF656:AF703,B656:B703,B658-24)+in_hlth_small_renew^3*SUMIFS(AF656:AF703,B656:B703,B658-36)+in_hlth_small_renew^4*SUMIFS(AF656:AF703,B656:B703,B658-48))</f>
        <v/>
      </c>
      <c r="AH658" s="40">
        <f>AH657*(1-IF(B657&gt;=in_marketplace_from,d_hz_hlth_family*G657,0))</f>
        <v/>
      </c>
      <c r="AI658" s="46">
        <f>AH658*IF(B658&gt;=in_marketplace_from,d_hz_hlth_family*G658,0)</f>
        <v/>
      </c>
      <c r="AJ658" s="14">
        <f>F658*AI658*in_hlth_family_ticket*in_hlth_family_comm*in_ins_partner_share+F658*in_hlth_family_ticket*in_hlth_family_renew_comm*in_ins_partner_share*(in_hlth_family_renew^1*SUMIFS(AI656:AI703,B656:B703,B658-12)+in_hlth_family_renew^2*SUMIFS(AI656:AI703,B656:B703,B658-24)+in_hlth_family_renew^3*SUMIFS(AI656:AI703,B656:B703,B658-36)+in_hlth_family_renew^4*SUMIFS(AI656:AI703,B656:B703,B658-48))</f>
        <v/>
      </c>
      <c r="AK658" s="40">
        <f>AK657*(1-IF(B657&gt;=in_marketplace_from,d_hz_life_term*G657,0))</f>
        <v/>
      </c>
      <c r="AL658" s="46">
        <f>AK658*IF(B658&gt;=in_marketplace_from,d_hz_life_term*G658,0)</f>
        <v/>
      </c>
      <c r="AM658" s="14">
        <f>F658*AL658*in_life_term_ticket*in_life_term_comm*in_ins_partner_share+F658*in_life_term_ticket*in_life_term_renew_comm*in_ins_partner_share*(in_life_term_renew^1*SUMIFS(AL656:AL703,B656:B703,B658-12)+in_life_term_renew^2*SUMIFS(AL656:AL703,B656:B703,B658-24)+in_life_term_renew^3*SUMIFS(AL656:AL703,B656:B703,B658-36)+in_life_term_renew^4*SUMIFS(AL656:AL703,B656:B703,B658-48))</f>
        <v/>
      </c>
      <c r="AN658" s="40">
        <f>AN657*(1-IF(B657&gt;=in_marketplace_from,d_hz_accident*G657,0))</f>
        <v/>
      </c>
      <c r="AO658" s="46">
        <f>AN658*IF(B658&gt;=in_marketplace_from,d_hz_accident*G658,0)</f>
        <v/>
      </c>
      <c r="AP658" s="14">
        <f>F658*AO658*in_accident_ticket*in_accident_comm*in_ins_partner_share+F658*in_accident_ticket*in_accident_renew_comm*in_ins_partner_share*(in_accident_renew^1*SUMIFS(AO656:AO703,B656:B703,B658-12)+in_accident_renew^2*SUMIFS(AO656:AO703,B656:B703,B658-24)+in_accident_renew^3*SUMIFS(AO656:AO703,B656:B703,B658-36)+in_accident_renew^4*SUMIFS(AO656:AO703,B656:B703,B658-48))</f>
        <v/>
      </c>
      <c r="AQ658" s="40">
        <f>AQ657*(1-IF(B657&gt;=in_marketplace_from,d_hz_two_wheeler*G657,0))</f>
        <v/>
      </c>
      <c r="AR658" s="46">
        <f>AQ658*IF(B658&gt;=in_marketplace_from,d_hz_two_wheeler*G658,0)</f>
        <v/>
      </c>
      <c r="AS658" s="14">
        <f>F658*AR658*in_two_wheeler_ticket*in_two_wheeler_comm*in_ins_partner_share+F658*in_two_wheeler_ticket*in_two_wheeler_comm*in_ins_partner_share*(in_two_wheeler_renew^1*SUMIFS(AR656:AR703,B656:B703,B658-12)+in_two_wheeler_renew^2*SUMIFS(AR656:AR703,B656:B703,B658-24)+in_two_wheeler_renew^3*SUMIFS(AR656:AR703,B656:B703,B658-36)+in_two_wheeler_renew^4*SUMIFS(AR656:AR703,B656:B703,B658-48))</f>
        <v/>
      </c>
      <c r="AT658" s="40">
        <f>AT657*(1-IF(B657&gt;=in_marketplace_from,d_hz_device*G657,0))</f>
        <v/>
      </c>
      <c r="AU658" s="14">
        <f>F658*AT658*IF(B658&gt;=in_marketplace_from,d_hz_device*G658,0)*in_device_ticket*in_device_comm*in_ins_partner_share</f>
        <v/>
      </c>
      <c r="AV658" s="40">
        <f>AV657*(1-IF(B657&gt;=in_marketplace_from,d_hz_shop*G657,0))</f>
        <v/>
      </c>
      <c r="AW658" s="46">
        <f>AV658*IF(B658&gt;=in_marketplace_from,d_hz_shop*G658,0)</f>
        <v/>
      </c>
      <c r="AX658" s="14">
        <f>F658*AW658*in_shop_ticket*in_shop_comm*in_ins_partner_share+F658*in_shop_ticket*in_shop_renew_comm*in_ins_partner_share*(in_shop_renew^1*SUMIFS(AW656:AW703,B656:B703,B658-12)+in_shop_renew^2*SUMIFS(AW656:AW703,B656:B703,B658-24)+in_shop_renew^3*SUMIFS(AW656:AW703,B656:B703,B658-36)+in_shop_renew^4*SUMIFS(AW656:AW703,B656:B703,B658-48))</f>
        <v/>
      </c>
      <c r="AY658" s="40">
        <f>AY657*(1-IF(B657&gt;=in_marketplace_from,d_hz_sip*G657,0))</f>
        <v/>
      </c>
      <c r="AZ658" s="40">
        <f>AZ657*d_rho_sip+AY658*IF(B658&gt;=in_marketplace_from,d_hz_sip*G658,0)</f>
        <v/>
      </c>
      <c r="BA658" s="40">
        <f>d_rho_sip*(BA657+AZ657)</f>
        <v/>
      </c>
      <c r="BB658" s="14">
        <f>F658*in_sip_ticket*(BA658+0.5*AZ658)*in_sip_comm/12</f>
        <v/>
      </c>
      <c r="BC658" s="40">
        <f>BC657*(1-IF(B657&gt;=in_marketplace_from,d_hz_choti*G657,0))</f>
        <v/>
      </c>
      <c r="BD658" s="46">
        <f>BC658*IF(B658&gt;=in_marketplace_from,d_hz_choti*G658,0)</f>
        <v/>
      </c>
      <c r="BE658" s="14">
        <f>F658*SUMIFS(BD656:BD703,B656:B703,B658-in_choti_months)*in_choti_renew*in_choti_ticket</f>
        <v/>
      </c>
      <c r="BF658" s="40">
        <f>BF657*(1-IF(B657&gt;=in_marketplace_from,d_hz_nps*G657,0))</f>
        <v/>
      </c>
      <c r="BG658" s="14">
        <f>F658*BF658*IF(B658&gt;=in_marketplace_from,d_hz_nps*G658,0)*in_nps_ticket*in_nps_comm</f>
        <v/>
      </c>
      <c r="BH658" s="40">
        <f>BH657*(1-IF(B657&gt;=in_marketplace_from,d_hz_gold*G657,0))</f>
        <v/>
      </c>
      <c r="BI658" s="40">
        <f>BI657*d_rho_gold+BH658*IF(B658&gt;=in_marketplace_from,d_hz_gold*G658,0)</f>
        <v/>
      </c>
      <c r="BJ658" s="14">
        <f>F658*BI658*in_gold_ticket*in_gold_comm</f>
        <v/>
      </c>
      <c r="BK658" s="40">
        <f>BK657*(1-IF(B657&gt;=in_marketplace_from,d_hz_fd*G657,0))</f>
        <v/>
      </c>
      <c r="BL658" s="14">
        <f>F658*BK658*IF(B658&gt;=in_marketplace_from,d_hz_fd*G658,0)*in_fd_ticket*in_fd_comm</f>
        <v/>
      </c>
      <c r="BM658" s="40">
        <f>BM657*(1-IF(B657&gt;=in_marketplace_from,d_hz_recharge*G657,0))</f>
        <v/>
      </c>
      <c r="BN658" s="40">
        <f>BN657*d_rho_recharge+BM658*IF(B658&gt;=in_marketplace_from,d_hz_recharge*G658,0)</f>
        <v/>
      </c>
      <c r="BO658" s="14">
        <f>F658*BN658*in_recharge_ticket*in_recharge_comm/12</f>
        <v/>
      </c>
      <c r="BP658" s="40">
        <f>BP657*(1-IF(B657&gt;=in_marketplace_from,d_hz_bills*G657,0))</f>
        <v/>
      </c>
      <c r="BQ658" s="40">
        <f>BQ657*d_rho_bills+BP658*IF(B658&gt;=in_marketplace_from,d_hz_bills*G658,0)</f>
        <v/>
      </c>
      <c r="BR658" s="14">
        <f>F658*BQ658*in_bills_ticket*in_bills_comm/12</f>
        <v/>
      </c>
      <c r="BS658" s="40">
        <f>BS657*(1-IF(B657&gt;=in_marketplace_from,d_hz_loan_gold*G657,0))</f>
        <v/>
      </c>
      <c r="BT658" s="14">
        <f>F658*BS658*IF(B658&gt;=in_marketplace_from,d_hz_loan_gold*G658,0)*in_loan_gold_ticket*in_loan_gold_comm</f>
        <v/>
      </c>
      <c r="BU658" s="40">
        <f>BU657*(1-IF(B657&gt;=in_marketplace_from,d_hz_loan_cd*G657,0))</f>
        <v/>
      </c>
      <c r="BV658" s="14">
        <f>F658*BU658*IF(B658&gt;=in_marketplace_from,d_hz_loan_cd*G658,0)*in_loan_cd_ticket*in_loan_cd_comm</f>
        <v/>
      </c>
      <c r="BW658" s="40">
        <f>BW657*(1-IF(B657&gt;=in_marketplace_from,d_hz_loan_vehicle*G657,0))</f>
        <v/>
      </c>
      <c r="BX658" s="14">
        <f>F658*BW658*IF(B658&gt;=in_marketplace_from,d_hz_loan_vehicle*G658,0)*in_loan_vehicle_ticket*in_loan_vehicle_comm</f>
        <v/>
      </c>
      <c r="BY658" s="40">
        <f>BY657*(1-IF(B657&gt;=in_marketplace_from,d_hz_loan_home*G657,0)*BZ657)</f>
        <v/>
      </c>
      <c r="BZ658" s="11">
        <f>MIN(in_approval_cap,in_loan_home_approval*INDEX('Age profile'!$O$2:$O$61,B658)*(1+in_approval_growth)^(D658-1))</f>
        <v/>
      </c>
      <c r="CA658" s="14">
        <f>F658*BY658*IF(B658&gt;=in_marketplace_from,d_hz_loan_home*G658,0)*BZ658*in_loan_home_ticket*in_loan_home_comm</f>
        <v/>
      </c>
      <c r="CB658" s="40">
        <f>CB657*(1-IF(B657&gt;=in_marketplace_from,d_hz_loan_lap*G657,0)*CC657)</f>
        <v/>
      </c>
      <c r="CC658" s="11">
        <f>MIN(in_approval_cap,in_loan_lap_approval*INDEX('Age profile'!$O$2:$O$61,B658)*(1+in_approval_growth)^(D658-1))</f>
        <v/>
      </c>
      <c r="CD658" s="14">
        <f>F658*CB658*IF(B658&gt;=in_marketplace_from,d_hz_loan_lap*G658,0)*CC658*in_loan_lap_ticket*in_loan_lap_comm</f>
        <v/>
      </c>
      <c r="CE658" s="14">
        <f>AA658+AB658+AC658+AD658+AG658+AJ658+AM658+AP658+AS658+AU658+AX658+BB658+BE658+BG658+BJ658+BL658+BO658+BR658+BT658+BV658+BX658+CA658+CD658</f>
        <v/>
      </c>
    </row>
    <row r="659">
      <c r="A659" s="39" t="n">
        <v>13</v>
      </c>
      <c r="B659" s="39" t="n">
        <v>4</v>
      </c>
      <c r="C659" s="39">
        <f>A659+B659-1</f>
        <v/>
      </c>
      <c r="D659" s="39">
        <f>INT((C659-1)/12)+1</f>
        <v/>
      </c>
      <c r="E659" s="44">
        <f>INDEX(Monthly!$B$2:$B$61,A659)</f>
        <v/>
      </c>
      <c r="F659" s="44">
        <f>E659*INDEX('Age profile'!$B$2:$B$61,B659)</f>
        <v/>
      </c>
      <c r="G659" s="45">
        <f>MIN(in_takeup_cap,INDEX('Age profile'!$N$2:$N$61,B659)*(1+in_takeup_growth)^(D659-1))</f>
        <v/>
      </c>
      <c r="H659" s="11">
        <f>MIN(in_approval_cap,in_approved_first*INDEX('Age profile'!$O$2:$O$61,B659)*(1+in_approval_growth)^(D659-1))</f>
        <v/>
      </c>
      <c r="I659" s="45">
        <f>G659*MIN(in_takeup_cap,INDEX('Age profile'!$O$2:$O$61,B659)*(1+in_approval_growth)^(D659-1))</f>
        <v/>
      </c>
      <c r="J659" s="40">
        <f>(J658-L658)*F659/F658</f>
        <v/>
      </c>
      <c r="K659" s="40">
        <f>(K658-M658)*F659/F658+SUMIFS(O656:O658,B656:B658,B659-1-d_T)*F659</f>
        <v/>
      </c>
      <c r="L659" s="40">
        <f>IF(B659&gt;=in_marketplace_from,J659*d_hz*G659*in_eligible*H659,0)</f>
        <v/>
      </c>
      <c r="M659" s="40">
        <f>IF(B659&gt;=in_marketplace_from,K659*d_hz*G659*in_eligible*in_approved_repeat,0)</f>
        <v/>
      </c>
      <c r="N659" s="40">
        <f>L659+M659</f>
        <v/>
      </c>
      <c r="O659" s="46">
        <f>N659/F659</f>
        <v/>
      </c>
      <c r="P659" s="40">
        <f>F659-J659-K659</f>
        <v/>
      </c>
      <c r="Q659" s="40">
        <f>IF(B659&gt;=in_marketplace_from,(J659+K659)*d_hz*G659,0)</f>
        <v/>
      </c>
      <c r="R659" s="40">
        <f>SUMIFS(N656:N703,B656:B703,"&gt;="&amp;(B659-d_T),B656:B703,"&lt;="&amp;(B659-1))</f>
        <v/>
      </c>
      <c r="S659" s="46">
        <f>(1-d_u)*S658+IF(d_T&gt;in_topup_lag,SUMIFS(O656:O703,B656:B703,B659-in_topup_lag)-d_udrop*SUMIFS(O656:O703,B656:B703,B659-d_T),0)</f>
        <v/>
      </c>
      <c r="T659" s="40">
        <f>F659*d_u*S659</f>
        <v/>
      </c>
      <c r="U659" s="9">
        <f>L659*in_ticket+M659*d_rep_ticket</f>
        <v/>
      </c>
      <c r="V659" s="9">
        <f>U659+T659*d_topup_amt</f>
        <v/>
      </c>
      <c r="W659" s="40">
        <f>N659+T659*d_topup_ratio</f>
        <v/>
      </c>
      <c r="X659" s="40">
        <f>SUMIFS(W656:W703,B656:B703,B659-in_dpd_lag)*d_cured</f>
        <v/>
      </c>
      <c r="Y659" s="40">
        <f>SUMIFS(W656:W703,B656:B703,B659-in_rec_lag)*d_recd</f>
        <v/>
      </c>
      <c r="Z659" s="40">
        <f>IF(AND(B659&gt;=in_marketplace_from,B659&lt;in_marketplace_from+in_card_months),in_card_share/in_card_months*F659*I659,IF(AND(B659&gt;=in_marketplace_from+in_card_months,B659&lt;in_marketplace_from+2*in_card_months),in_card_share*d_card_rem/in_card_months*F659*MIN(in_takeup_cap,(1+in_takeup_growth)^(D659-1))*MIN(in_takeup_cap,(1+in_approval_growth)^(D659-1)),0))</f>
        <v/>
      </c>
      <c r="AA659" s="14">
        <f>V659*in_fee*(1-in_taken_back)</f>
        <v/>
      </c>
      <c r="AB659" s="14">
        <f>SUMIFS(W656:W703,B656:B703,B659-in_dpd_lag)*d_dpd</f>
        <v/>
      </c>
      <c r="AC659" s="14">
        <f>SUMIFS(W656:W703,B656:B703,B659-in_rec_lag)*d_rec</f>
        <v/>
      </c>
      <c r="AD659" s="14">
        <f>Z659*in_card_fee</f>
        <v/>
      </c>
      <c r="AE659" s="40">
        <f>AE658*(1-IF(B658&gt;=in_marketplace_from,d_hz_hlth_small*G658,0))</f>
        <v/>
      </c>
      <c r="AF659" s="46">
        <f>AE659*IF(B659&gt;=in_marketplace_from,d_hz_hlth_small*G659,0)</f>
        <v/>
      </c>
      <c r="AG659" s="14">
        <f>F659*AF659*in_hlth_small_ticket*in_hlth_small_comm*in_ins_partner_share+F659*in_hlth_small_ticket*in_hlth_small_renew_comm*in_ins_partner_share*(in_hlth_small_renew^1*SUMIFS(AF656:AF703,B656:B703,B659-12)+in_hlth_small_renew^2*SUMIFS(AF656:AF703,B656:B703,B659-24)+in_hlth_small_renew^3*SUMIFS(AF656:AF703,B656:B703,B659-36)+in_hlth_small_renew^4*SUMIFS(AF656:AF703,B656:B703,B659-48))</f>
        <v/>
      </c>
      <c r="AH659" s="40">
        <f>AH658*(1-IF(B658&gt;=in_marketplace_from,d_hz_hlth_family*G658,0))</f>
        <v/>
      </c>
      <c r="AI659" s="46">
        <f>AH659*IF(B659&gt;=in_marketplace_from,d_hz_hlth_family*G659,0)</f>
        <v/>
      </c>
      <c r="AJ659" s="14">
        <f>F659*AI659*in_hlth_family_ticket*in_hlth_family_comm*in_ins_partner_share+F659*in_hlth_family_ticket*in_hlth_family_renew_comm*in_ins_partner_share*(in_hlth_family_renew^1*SUMIFS(AI656:AI703,B656:B703,B659-12)+in_hlth_family_renew^2*SUMIFS(AI656:AI703,B656:B703,B659-24)+in_hlth_family_renew^3*SUMIFS(AI656:AI703,B656:B703,B659-36)+in_hlth_family_renew^4*SUMIFS(AI656:AI703,B656:B703,B659-48))</f>
        <v/>
      </c>
      <c r="AK659" s="40">
        <f>AK658*(1-IF(B658&gt;=in_marketplace_from,d_hz_life_term*G658,0))</f>
        <v/>
      </c>
      <c r="AL659" s="46">
        <f>AK659*IF(B659&gt;=in_marketplace_from,d_hz_life_term*G659,0)</f>
        <v/>
      </c>
      <c r="AM659" s="14">
        <f>F659*AL659*in_life_term_ticket*in_life_term_comm*in_ins_partner_share+F659*in_life_term_ticket*in_life_term_renew_comm*in_ins_partner_share*(in_life_term_renew^1*SUMIFS(AL656:AL703,B656:B703,B659-12)+in_life_term_renew^2*SUMIFS(AL656:AL703,B656:B703,B659-24)+in_life_term_renew^3*SUMIFS(AL656:AL703,B656:B703,B659-36)+in_life_term_renew^4*SUMIFS(AL656:AL703,B656:B703,B659-48))</f>
        <v/>
      </c>
      <c r="AN659" s="40">
        <f>AN658*(1-IF(B658&gt;=in_marketplace_from,d_hz_accident*G658,0))</f>
        <v/>
      </c>
      <c r="AO659" s="46">
        <f>AN659*IF(B659&gt;=in_marketplace_from,d_hz_accident*G659,0)</f>
        <v/>
      </c>
      <c r="AP659" s="14">
        <f>F659*AO659*in_accident_ticket*in_accident_comm*in_ins_partner_share+F659*in_accident_ticket*in_accident_renew_comm*in_ins_partner_share*(in_accident_renew^1*SUMIFS(AO656:AO703,B656:B703,B659-12)+in_accident_renew^2*SUMIFS(AO656:AO703,B656:B703,B659-24)+in_accident_renew^3*SUMIFS(AO656:AO703,B656:B703,B659-36)+in_accident_renew^4*SUMIFS(AO656:AO703,B656:B703,B659-48))</f>
        <v/>
      </c>
      <c r="AQ659" s="40">
        <f>AQ658*(1-IF(B658&gt;=in_marketplace_from,d_hz_two_wheeler*G658,0))</f>
        <v/>
      </c>
      <c r="AR659" s="46">
        <f>AQ659*IF(B659&gt;=in_marketplace_from,d_hz_two_wheeler*G659,0)</f>
        <v/>
      </c>
      <c r="AS659" s="14">
        <f>F659*AR659*in_two_wheeler_ticket*in_two_wheeler_comm*in_ins_partner_share+F659*in_two_wheeler_ticket*in_two_wheeler_comm*in_ins_partner_share*(in_two_wheeler_renew^1*SUMIFS(AR656:AR703,B656:B703,B659-12)+in_two_wheeler_renew^2*SUMIFS(AR656:AR703,B656:B703,B659-24)+in_two_wheeler_renew^3*SUMIFS(AR656:AR703,B656:B703,B659-36)+in_two_wheeler_renew^4*SUMIFS(AR656:AR703,B656:B703,B659-48))</f>
        <v/>
      </c>
      <c r="AT659" s="40">
        <f>AT658*(1-IF(B658&gt;=in_marketplace_from,d_hz_device*G658,0))</f>
        <v/>
      </c>
      <c r="AU659" s="14">
        <f>F659*AT659*IF(B659&gt;=in_marketplace_from,d_hz_device*G659,0)*in_device_ticket*in_device_comm*in_ins_partner_share</f>
        <v/>
      </c>
      <c r="AV659" s="40">
        <f>AV658*(1-IF(B658&gt;=in_marketplace_from,d_hz_shop*G658,0))</f>
        <v/>
      </c>
      <c r="AW659" s="46">
        <f>AV659*IF(B659&gt;=in_marketplace_from,d_hz_shop*G659,0)</f>
        <v/>
      </c>
      <c r="AX659" s="14">
        <f>F659*AW659*in_shop_ticket*in_shop_comm*in_ins_partner_share+F659*in_shop_ticket*in_shop_renew_comm*in_ins_partner_share*(in_shop_renew^1*SUMIFS(AW656:AW703,B656:B703,B659-12)+in_shop_renew^2*SUMIFS(AW656:AW703,B656:B703,B659-24)+in_shop_renew^3*SUMIFS(AW656:AW703,B656:B703,B659-36)+in_shop_renew^4*SUMIFS(AW656:AW703,B656:B703,B659-48))</f>
        <v/>
      </c>
      <c r="AY659" s="40">
        <f>AY658*(1-IF(B658&gt;=in_marketplace_from,d_hz_sip*G658,0))</f>
        <v/>
      </c>
      <c r="AZ659" s="40">
        <f>AZ658*d_rho_sip+AY659*IF(B659&gt;=in_marketplace_from,d_hz_sip*G659,0)</f>
        <v/>
      </c>
      <c r="BA659" s="40">
        <f>d_rho_sip*(BA658+AZ658)</f>
        <v/>
      </c>
      <c r="BB659" s="14">
        <f>F659*in_sip_ticket*(BA659+0.5*AZ659)*in_sip_comm/12</f>
        <v/>
      </c>
      <c r="BC659" s="40">
        <f>BC658*(1-IF(B658&gt;=in_marketplace_from,d_hz_choti*G658,0))</f>
        <v/>
      </c>
      <c r="BD659" s="46">
        <f>BC659*IF(B659&gt;=in_marketplace_from,d_hz_choti*G659,0)</f>
        <v/>
      </c>
      <c r="BE659" s="14">
        <f>F659*SUMIFS(BD656:BD703,B656:B703,B659-in_choti_months)*in_choti_renew*in_choti_ticket</f>
        <v/>
      </c>
      <c r="BF659" s="40">
        <f>BF658*(1-IF(B658&gt;=in_marketplace_from,d_hz_nps*G658,0))</f>
        <v/>
      </c>
      <c r="BG659" s="14">
        <f>F659*BF659*IF(B659&gt;=in_marketplace_from,d_hz_nps*G659,0)*in_nps_ticket*in_nps_comm</f>
        <v/>
      </c>
      <c r="BH659" s="40">
        <f>BH658*(1-IF(B658&gt;=in_marketplace_from,d_hz_gold*G658,0))</f>
        <v/>
      </c>
      <c r="BI659" s="40">
        <f>BI658*d_rho_gold+BH659*IF(B659&gt;=in_marketplace_from,d_hz_gold*G659,0)</f>
        <v/>
      </c>
      <c r="BJ659" s="14">
        <f>F659*BI659*in_gold_ticket*in_gold_comm</f>
        <v/>
      </c>
      <c r="BK659" s="40">
        <f>BK658*(1-IF(B658&gt;=in_marketplace_from,d_hz_fd*G658,0))</f>
        <v/>
      </c>
      <c r="BL659" s="14">
        <f>F659*BK659*IF(B659&gt;=in_marketplace_from,d_hz_fd*G659,0)*in_fd_ticket*in_fd_comm</f>
        <v/>
      </c>
      <c r="BM659" s="40">
        <f>BM658*(1-IF(B658&gt;=in_marketplace_from,d_hz_recharge*G658,0))</f>
        <v/>
      </c>
      <c r="BN659" s="40">
        <f>BN658*d_rho_recharge+BM659*IF(B659&gt;=in_marketplace_from,d_hz_recharge*G659,0)</f>
        <v/>
      </c>
      <c r="BO659" s="14">
        <f>F659*BN659*in_recharge_ticket*in_recharge_comm/12</f>
        <v/>
      </c>
      <c r="BP659" s="40">
        <f>BP658*(1-IF(B658&gt;=in_marketplace_from,d_hz_bills*G658,0))</f>
        <v/>
      </c>
      <c r="BQ659" s="40">
        <f>BQ658*d_rho_bills+BP659*IF(B659&gt;=in_marketplace_from,d_hz_bills*G659,0)</f>
        <v/>
      </c>
      <c r="BR659" s="14">
        <f>F659*BQ659*in_bills_ticket*in_bills_comm/12</f>
        <v/>
      </c>
      <c r="BS659" s="40">
        <f>BS658*(1-IF(B658&gt;=in_marketplace_from,d_hz_loan_gold*G658,0))</f>
        <v/>
      </c>
      <c r="BT659" s="14">
        <f>F659*BS659*IF(B659&gt;=in_marketplace_from,d_hz_loan_gold*G659,0)*in_loan_gold_ticket*in_loan_gold_comm</f>
        <v/>
      </c>
      <c r="BU659" s="40">
        <f>BU658*(1-IF(B658&gt;=in_marketplace_from,d_hz_loan_cd*G658,0))</f>
        <v/>
      </c>
      <c r="BV659" s="14">
        <f>F659*BU659*IF(B659&gt;=in_marketplace_from,d_hz_loan_cd*G659,0)*in_loan_cd_ticket*in_loan_cd_comm</f>
        <v/>
      </c>
      <c r="BW659" s="40">
        <f>BW658*(1-IF(B658&gt;=in_marketplace_from,d_hz_loan_vehicle*G658,0))</f>
        <v/>
      </c>
      <c r="BX659" s="14">
        <f>F659*BW659*IF(B659&gt;=in_marketplace_from,d_hz_loan_vehicle*G659,0)*in_loan_vehicle_ticket*in_loan_vehicle_comm</f>
        <v/>
      </c>
      <c r="BY659" s="40">
        <f>BY658*(1-IF(B658&gt;=in_marketplace_from,d_hz_loan_home*G658,0)*BZ658)</f>
        <v/>
      </c>
      <c r="BZ659" s="11">
        <f>MIN(in_approval_cap,in_loan_home_approval*INDEX('Age profile'!$O$2:$O$61,B659)*(1+in_approval_growth)^(D659-1))</f>
        <v/>
      </c>
      <c r="CA659" s="14">
        <f>F659*BY659*IF(B659&gt;=in_marketplace_from,d_hz_loan_home*G659,0)*BZ659*in_loan_home_ticket*in_loan_home_comm</f>
        <v/>
      </c>
      <c r="CB659" s="40">
        <f>CB658*(1-IF(B658&gt;=in_marketplace_from,d_hz_loan_lap*G658,0)*CC658)</f>
        <v/>
      </c>
      <c r="CC659" s="11">
        <f>MIN(in_approval_cap,in_loan_lap_approval*INDEX('Age profile'!$O$2:$O$61,B659)*(1+in_approval_growth)^(D659-1))</f>
        <v/>
      </c>
      <c r="CD659" s="14">
        <f>F659*CB659*IF(B659&gt;=in_marketplace_from,d_hz_loan_lap*G659,0)*CC659*in_loan_lap_ticket*in_loan_lap_comm</f>
        <v/>
      </c>
      <c r="CE659" s="14">
        <f>AA659+AB659+AC659+AD659+AG659+AJ659+AM659+AP659+AS659+AU659+AX659+BB659+BE659+BG659+BJ659+BL659+BO659+BR659+BT659+BV659+BX659+CA659+CD659</f>
        <v/>
      </c>
    </row>
    <row r="660">
      <c r="A660" s="39" t="n">
        <v>13</v>
      </c>
      <c r="B660" s="39" t="n">
        <v>5</v>
      </c>
      <c r="C660" s="39">
        <f>A660+B660-1</f>
        <v/>
      </c>
      <c r="D660" s="39">
        <f>INT((C660-1)/12)+1</f>
        <v/>
      </c>
      <c r="E660" s="44">
        <f>INDEX(Monthly!$B$2:$B$61,A660)</f>
        <v/>
      </c>
      <c r="F660" s="44">
        <f>E660*INDEX('Age profile'!$B$2:$B$61,B660)</f>
        <v/>
      </c>
      <c r="G660" s="45">
        <f>MIN(in_takeup_cap,INDEX('Age profile'!$N$2:$N$61,B660)*(1+in_takeup_growth)^(D660-1))</f>
        <v/>
      </c>
      <c r="H660" s="11">
        <f>MIN(in_approval_cap,in_approved_first*INDEX('Age profile'!$O$2:$O$61,B660)*(1+in_approval_growth)^(D660-1))</f>
        <v/>
      </c>
      <c r="I660" s="45">
        <f>G660*MIN(in_takeup_cap,INDEX('Age profile'!$O$2:$O$61,B660)*(1+in_approval_growth)^(D660-1))</f>
        <v/>
      </c>
      <c r="J660" s="40">
        <f>(J659-L659)*F660/F659</f>
        <v/>
      </c>
      <c r="K660" s="40">
        <f>(K659-M659)*F660/F659+SUMIFS(O656:O659,B656:B659,B660-1-d_T)*F660</f>
        <v/>
      </c>
      <c r="L660" s="40">
        <f>IF(B660&gt;=in_marketplace_from,J660*d_hz*G660*in_eligible*H660,0)</f>
        <v/>
      </c>
      <c r="M660" s="40">
        <f>IF(B660&gt;=in_marketplace_from,K660*d_hz*G660*in_eligible*in_approved_repeat,0)</f>
        <v/>
      </c>
      <c r="N660" s="40">
        <f>L660+M660</f>
        <v/>
      </c>
      <c r="O660" s="46">
        <f>N660/F660</f>
        <v/>
      </c>
      <c r="P660" s="40">
        <f>F660-J660-K660</f>
        <v/>
      </c>
      <c r="Q660" s="40">
        <f>IF(B660&gt;=in_marketplace_from,(J660+K660)*d_hz*G660,0)</f>
        <v/>
      </c>
      <c r="R660" s="40">
        <f>SUMIFS(N656:N703,B656:B703,"&gt;="&amp;(B660-d_T),B656:B703,"&lt;="&amp;(B660-1))</f>
        <v/>
      </c>
      <c r="S660" s="46">
        <f>(1-d_u)*S659+IF(d_T&gt;in_topup_lag,SUMIFS(O656:O703,B656:B703,B660-in_topup_lag)-d_udrop*SUMIFS(O656:O703,B656:B703,B660-d_T),0)</f>
        <v/>
      </c>
      <c r="T660" s="40">
        <f>F660*d_u*S660</f>
        <v/>
      </c>
      <c r="U660" s="9">
        <f>L660*in_ticket+M660*d_rep_ticket</f>
        <v/>
      </c>
      <c r="V660" s="9">
        <f>U660+T660*d_topup_amt</f>
        <v/>
      </c>
      <c r="W660" s="40">
        <f>N660+T660*d_topup_ratio</f>
        <v/>
      </c>
      <c r="X660" s="40">
        <f>SUMIFS(W656:W703,B656:B703,B660-in_dpd_lag)*d_cured</f>
        <v/>
      </c>
      <c r="Y660" s="40">
        <f>SUMIFS(W656:W703,B656:B703,B660-in_rec_lag)*d_recd</f>
        <v/>
      </c>
      <c r="Z660" s="40">
        <f>IF(AND(B660&gt;=in_marketplace_from,B660&lt;in_marketplace_from+in_card_months),in_card_share/in_card_months*F660*I660,IF(AND(B660&gt;=in_marketplace_from+in_card_months,B660&lt;in_marketplace_from+2*in_card_months),in_card_share*d_card_rem/in_card_months*F660*MIN(in_takeup_cap,(1+in_takeup_growth)^(D660-1))*MIN(in_takeup_cap,(1+in_approval_growth)^(D660-1)),0))</f>
        <v/>
      </c>
      <c r="AA660" s="14">
        <f>V660*in_fee*(1-in_taken_back)</f>
        <v/>
      </c>
      <c r="AB660" s="14">
        <f>SUMIFS(W656:W703,B656:B703,B660-in_dpd_lag)*d_dpd</f>
        <v/>
      </c>
      <c r="AC660" s="14">
        <f>SUMIFS(W656:W703,B656:B703,B660-in_rec_lag)*d_rec</f>
        <v/>
      </c>
      <c r="AD660" s="14">
        <f>Z660*in_card_fee</f>
        <v/>
      </c>
      <c r="AE660" s="40">
        <f>AE659*(1-IF(B659&gt;=in_marketplace_from,d_hz_hlth_small*G659,0))</f>
        <v/>
      </c>
      <c r="AF660" s="46">
        <f>AE660*IF(B660&gt;=in_marketplace_from,d_hz_hlth_small*G660,0)</f>
        <v/>
      </c>
      <c r="AG660" s="14">
        <f>F660*AF660*in_hlth_small_ticket*in_hlth_small_comm*in_ins_partner_share+F660*in_hlth_small_ticket*in_hlth_small_renew_comm*in_ins_partner_share*(in_hlth_small_renew^1*SUMIFS(AF656:AF703,B656:B703,B660-12)+in_hlth_small_renew^2*SUMIFS(AF656:AF703,B656:B703,B660-24)+in_hlth_small_renew^3*SUMIFS(AF656:AF703,B656:B703,B660-36)+in_hlth_small_renew^4*SUMIFS(AF656:AF703,B656:B703,B660-48))</f>
        <v/>
      </c>
      <c r="AH660" s="40">
        <f>AH659*(1-IF(B659&gt;=in_marketplace_from,d_hz_hlth_family*G659,0))</f>
        <v/>
      </c>
      <c r="AI660" s="46">
        <f>AH660*IF(B660&gt;=in_marketplace_from,d_hz_hlth_family*G660,0)</f>
        <v/>
      </c>
      <c r="AJ660" s="14">
        <f>F660*AI660*in_hlth_family_ticket*in_hlth_family_comm*in_ins_partner_share+F660*in_hlth_family_ticket*in_hlth_family_renew_comm*in_ins_partner_share*(in_hlth_family_renew^1*SUMIFS(AI656:AI703,B656:B703,B660-12)+in_hlth_family_renew^2*SUMIFS(AI656:AI703,B656:B703,B660-24)+in_hlth_family_renew^3*SUMIFS(AI656:AI703,B656:B703,B660-36)+in_hlth_family_renew^4*SUMIFS(AI656:AI703,B656:B703,B660-48))</f>
        <v/>
      </c>
      <c r="AK660" s="40">
        <f>AK659*(1-IF(B659&gt;=in_marketplace_from,d_hz_life_term*G659,0))</f>
        <v/>
      </c>
      <c r="AL660" s="46">
        <f>AK660*IF(B660&gt;=in_marketplace_from,d_hz_life_term*G660,0)</f>
        <v/>
      </c>
      <c r="AM660" s="14">
        <f>F660*AL660*in_life_term_ticket*in_life_term_comm*in_ins_partner_share+F660*in_life_term_ticket*in_life_term_renew_comm*in_ins_partner_share*(in_life_term_renew^1*SUMIFS(AL656:AL703,B656:B703,B660-12)+in_life_term_renew^2*SUMIFS(AL656:AL703,B656:B703,B660-24)+in_life_term_renew^3*SUMIFS(AL656:AL703,B656:B703,B660-36)+in_life_term_renew^4*SUMIFS(AL656:AL703,B656:B703,B660-48))</f>
        <v/>
      </c>
      <c r="AN660" s="40">
        <f>AN659*(1-IF(B659&gt;=in_marketplace_from,d_hz_accident*G659,0))</f>
        <v/>
      </c>
      <c r="AO660" s="46">
        <f>AN660*IF(B660&gt;=in_marketplace_from,d_hz_accident*G660,0)</f>
        <v/>
      </c>
      <c r="AP660" s="14">
        <f>F660*AO660*in_accident_ticket*in_accident_comm*in_ins_partner_share+F660*in_accident_ticket*in_accident_renew_comm*in_ins_partner_share*(in_accident_renew^1*SUMIFS(AO656:AO703,B656:B703,B660-12)+in_accident_renew^2*SUMIFS(AO656:AO703,B656:B703,B660-24)+in_accident_renew^3*SUMIFS(AO656:AO703,B656:B703,B660-36)+in_accident_renew^4*SUMIFS(AO656:AO703,B656:B703,B660-48))</f>
        <v/>
      </c>
      <c r="AQ660" s="40">
        <f>AQ659*(1-IF(B659&gt;=in_marketplace_from,d_hz_two_wheeler*G659,0))</f>
        <v/>
      </c>
      <c r="AR660" s="46">
        <f>AQ660*IF(B660&gt;=in_marketplace_from,d_hz_two_wheeler*G660,0)</f>
        <v/>
      </c>
      <c r="AS660" s="14">
        <f>F660*AR660*in_two_wheeler_ticket*in_two_wheeler_comm*in_ins_partner_share+F660*in_two_wheeler_ticket*in_two_wheeler_comm*in_ins_partner_share*(in_two_wheeler_renew^1*SUMIFS(AR656:AR703,B656:B703,B660-12)+in_two_wheeler_renew^2*SUMIFS(AR656:AR703,B656:B703,B660-24)+in_two_wheeler_renew^3*SUMIFS(AR656:AR703,B656:B703,B660-36)+in_two_wheeler_renew^4*SUMIFS(AR656:AR703,B656:B703,B660-48))</f>
        <v/>
      </c>
      <c r="AT660" s="40">
        <f>AT659*(1-IF(B659&gt;=in_marketplace_from,d_hz_device*G659,0))</f>
        <v/>
      </c>
      <c r="AU660" s="14">
        <f>F660*AT660*IF(B660&gt;=in_marketplace_from,d_hz_device*G660,0)*in_device_ticket*in_device_comm*in_ins_partner_share</f>
        <v/>
      </c>
      <c r="AV660" s="40">
        <f>AV659*(1-IF(B659&gt;=in_marketplace_from,d_hz_shop*G659,0))</f>
        <v/>
      </c>
      <c r="AW660" s="46">
        <f>AV660*IF(B660&gt;=in_marketplace_from,d_hz_shop*G660,0)</f>
        <v/>
      </c>
      <c r="AX660" s="14">
        <f>F660*AW660*in_shop_ticket*in_shop_comm*in_ins_partner_share+F660*in_shop_ticket*in_shop_renew_comm*in_ins_partner_share*(in_shop_renew^1*SUMIFS(AW656:AW703,B656:B703,B660-12)+in_shop_renew^2*SUMIFS(AW656:AW703,B656:B703,B660-24)+in_shop_renew^3*SUMIFS(AW656:AW703,B656:B703,B660-36)+in_shop_renew^4*SUMIFS(AW656:AW703,B656:B703,B660-48))</f>
        <v/>
      </c>
      <c r="AY660" s="40">
        <f>AY659*(1-IF(B659&gt;=in_marketplace_from,d_hz_sip*G659,0))</f>
        <v/>
      </c>
      <c r="AZ660" s="40">
        <f>AZ659*d_rho_sip+AY660*IF(B660&gt;=in_marketplace_from,d_hz_sip*G660,0)</f>
        <v/>
      </c>
      <c r="BA660" s="40">
        <f>d_rho_sip*(BA659+AZ659)</f>
        <v/>
      </c>
      <c r="BB660" s="14">
        <f>F660*in_sip_ticket*(BA660+0.5*AZ660)*in_sip_comm/12</f>
        <v/>
      </c>
      <c r="BC660" s="40">
        <f>BC659*(1-IF(B659&gt;=in_marketplace_from,d_hz_choti*G659,0))</f>
        <v/>
      </c>
      <c r="BD660" s="46">
        <f>BC660*IF(B660&gt;=in_marketplace_from,d_hz_choti*G660,0)</f>
        <v/>
      </c>
      <c r="BE660" s="14">
        <f>F660*SUMIFS(BD656:BD703,B656:B703,B660-in_choti_months)*in_choti_renew*in_choti_ticket</f>
        <v/>
      </c>
      <c r="BF660" s="40">
        <f>BF659*(1-IF(B659&gt;=in_marketplace_from,d_hz_nps*G659,0))</f>
        <v/>
      </c>
      <c r="BG660" s="14">
        <f>F660*BF660*IF(B660&gt;=in_marketplace_from,d_hz_nps*G660,0)*in_nps_ticket*in_nps_comm</f>
        <v/>
      </c>
      <c r="BH660" s="40">
        <f>BH659*(1-IF(B659&gt;=in_marketplace_from,d_hz_gold*G659,0))</f>
        <v/>
      </c>
      <c r="BI660" s="40">
        <f>BI659*d_rho_gold+BH660*IF(B660&gt;=in_marketplace_from,d_hz_gold*G660,0)</f>
        <v/>
      </c>
      <c r="BJ660" s="14">
        <f>F660*BI660*in_gold_ticket*in_gold_comm</f>
        <v/>
      </c>
      <c r="BK660" s="40">
        <f>BK659*(1-IF(B659&gt;=in_marketplace_from,d_hz_fd*G659,0))</f>
        <v/>
      </c>
      <c r="BL660" s="14">
        <f>F660*BK660*IF(B660&gt;=in_marketplace_from,d_hz_fd*G660,0)*in_fd_ticket*in_fd_comm</f>
        <v/>
      </c>
      <c r="BM660" s="40">
        <f>BM659*(1-IF(B659&gt;=in_marketplace_from,d_hz_recharge*G659,0))</f>
        <v/>
      </c>
      <c r="BN660" s="40">
        <f>BN659*d_rho_recharge+BM660*IF(B660&gt;=in_marketplace_from,d_hz_recharge*G660,0)</f>
        <v/>
      </c>
      <c r="BO660" s="14">
        <f>F660*BN660*in_recharge_ticket*in_recharge_comm/12</f>
        <v/>
      </c>
      <c r="BP660" s="40">
        <f>BP659*(1-IF(B659&gt;=in_marketplace_from,d_hz_bills*G659,0))</f>
        <v/>
      </c>
      <c r="BQ660" s="40">
        <f>BQ659*d_rho_bills+BP660*IF(B660&gt;=in_marketplace_from,d_hz_bills*G660,0)</f>
        <v/>
      </c>
      <c r="BR660" s="14">
        <f>F660*BQ660*in_bills_ticket*in_bills_comm/12</f>
        <v/>
      </c>
      <c r="BS660" s="40">
        <f>BS659*(1-IF(B659&gt;=in_marketplace_from,d_hz_loan_gold*G659,0))</f>
        <v/>
      </c>
      <c r="BT660" s="14">
        <f>F660*BS660*IF(B660&gt;=in_marketplace_from,d_hz_loan_gold*G660,0)*in_loan_gold_ticket*in_loan_gold_comm</f>
        <v/>
      </c>
      <c r="BU660" s="40">
        <f>BU659*(1-IF(B659&gt;=in_marketplace_from,d_hz_loan_cd*G659,0))</f>
        <v/>
      </c>
      <c r="BV660" s="14">
        <f>F660*BU660*IF(B660&gt;=in_marketplace_from,d_hz_loan_cd*G660,0)*in_loan_cd_ticket*in_loan_cd_comm</f>
        <v/>
      </c>
      <c r="BW660" s="40">
        <f>BW659*(1-IF(B659&gt;=in_marketplace_from,d_hz_loan_vehicle*G659,0))</f>
        <v/>
      </c>
      <c r="BX660" s="14">
        <f>F660*BW660*IF(B660&gt;=in_marketplace_from,d_hz_loan_vehicle*G660,0)*in_loan_vehicle_ticket*in_loan_vehicle_comm</f>
        <v/>
      </c>
      <c r="BY660" s="40">
        <f>BY659*(1-IF(B659&gt;=in_marketplace_from,d_hz_loan_home*G659,0)*BZ659)</f>
        <v/>
      </c>
      <c r="BZ660" s="11">
        <f>MIN(in_approval_cap,in_loan_home_approval*INDEX('Age profile'!$O$2:$O$61,B660)*(1+in_approval_growth)^(D660-1))</f>
        <v/>
      </c>
      <c r="CA660" s="14">
        <f>F660*BY660*IF(B660&gt;=in_marketplace_from,d_hz_loan_home*G660,0)*BZ660*in_loan_home_ticket*in_loan_home_comm</f>
        <v/>
      </c>
      <c r="CB660" s="40">
        <f>CB659*(1-IF(B659&gt;=in_marketplace_from,d_hz_loan_lap*G659,0)*CC659)</f>
        <v/>
      </c>
      <c r="CC660" s="11">
        <f>MIN(in_approval_cap,in_loan_lap_approval*INDEX('Age profile'!$O$2:$O$61,B660)*(1+in_approval_growth)^(D660-1))</f>
        <v/>
      </c>
      <c r="CD660" s="14">
        <f>F660*CB660*IF(B660&gt;=in_marketplace_from,d_hz_loan_lap*G660,0)*CC660*in_loan_lap_ticket*in_loan_lap_comm</f>
        <v/>
      </c>
      <c r="CE660" s="14">
        <f>AA660+AB660+AC660+AD660+AG660+AJ660+AM660+AP660+AS660+AU660+AX660+BB660+BE660+BG660+BJ660+BL660+BO660+BR660+BT660+BV660+BX660+CA660+CD660</f>
        <v/>
      </c>
    </row>
    <row r="661">
      <c r="A661" s="39" t="n">
        <v>13</v>
      </c>
      <c r="B661" s="39" t="n">
        <v>6</v>
      </c>
      <c r="C661" s="39">
        <f>A661+B661-1</f>
        <v/>
      </c>
      <c r="D661" s="39">
        <f>INT((C661-1)/12)+1</f>
        <v/>
      </c>
      <c r="E661" s="44">
        <f>INDEX(Monthly!$B$2:$B$61,A661)</f>
        <v/>
      </c>
      <c r="F661" s="44">
        <f>E661*INDEX('Age profile'!$B$2:$B$61,B661)</f>
        <v/>
      </c>
      <c r="G661" s="45">
        <f>MIN(in_takeup_cap,INDEX('Age profile'!$N$2:$N$61,B661)*(1+in_takeup_growth)^(D661-1))</f>
        <v/>
      </c>
      <c r="H661" s="11">
        <f>MIN(in_approval_cap,in_approved_first*INDEX('Age profile'!$O$2:$O$61,B661)*(1+in_approval_growth)^(D661-1))</f>
        <v/>
      </c>
      <c r="I661" s="45">
        <f>G661*MIN(in_takeup_cap,INDEX('Age profile'!$O$2:$O$61,B661)*(1+in_approval_growth)^(D661-1))</f>
        <v/>
      </c>
      <c r="J661" s="40">
        <f>(J660-L660)*F661/F660</f>
        <v/>
      </c>
      <c r="K661" s="40">
        <f>(K660-M660)*F661/F660+SUMIFS(O656:O660,B656:B660,B661-1-d_T)*F661</f>
        <v/>
      </c>
      <c r="L661" s="40">
        <f>IF(B661&gt;=in_marketplace_from,J661*d_hz*G661*in_eligible*H661,0)</f>
        <v/>
      </c>
      <c r="M661" s="40">
        <f>IF(B661&gt;=in_marketplace_from,K661*d_hz*G661*in_eligible*in_approved_repeat,0)</f>
        <v/>
      </c>
      <c r="N661" s="40">
        <f>L661+M661</f>
        <v/>
      </c>
      <c r="O661" s="46">
        <f>N661/F661</f>
        <v/>
      </c>
      <c r="P661" s="40">
        <f>F661-J661-K661</f>
        <v/>
      </c>
      <c r="Q661" s="40">
        <f>IF(B661&gt;=in_marketplace_from,(J661+K661)*d_hz*G661,0)</f>
        <v/>
      </c>
      <c r="R661" s="40">
        <f>SUMIFS(N656:N703,B656:B703,"&gt;="&amp;(B661-d_T),B656:B703,"&lt;="&amp;(B661-1))</f>
        <v/>
      </c>
      <c r="S661" s="46">
        <f>(1-d_u)*S660+IF(d_T&gt;in_topup_lag,SUMIFS(O656:O703,B656:B703,B661-in_topup_lag)-d_udrop*SUMIFS(O656:O703,B656:B703,B661-d_T),0)</f>
        <v/>
      </c>
      <c r="T661" s="40">
        <f>F661*d_u*S661</f>
        <v/>
      </c>
      <c r="U661" s="9">
        <f>L661*in_ticket+M661*d_rep_ticket</f>
        <v/>
      </c>
      <c r="V661" s="9">
        <f>U661+T661*d_topup_amt</f>
        <v/>
      </c>
      <c r="W661" s="40">
        <f>N661+T661*d_topup_ratio</f>
        <v/>
      </c>
      <c r="X661" s="40">
        <f>SUMIFS(W656:W703,B656:B703,B661-in_dpd_lag)*d_cured</f>
        <v/>
      </c>
      <c r="Y661" s="40">
        <f>SUMIFS(W656:W703,B656:B703,B661-in_rec_lag)*d_recd</f>
        <v/>
      </c>
      <c r="Z661" s="40">
        <f>IF(AND(B661&gt;=in_marketplace_from,B661&lt;in_marketplace_from+in_card_months),in_card_share/in_card_months*F661*I661,IF(AND(B661&gt;=in_marketplace_from+in_card_months,B661&lt;in_marketplace_from+2*in_card_months),in_card_share*d_card_rem/in_card_months*F661*MIN(in_takeup_cap,(1+in_takeup_growth)^(D661-1))*MIN(in_takeup_cap,(1+in_approval_growth)^(D661-1)),0))</f>
        <v/>
      </c>
      <c r="AA661" s="14">
        <f>V661*in_fee*(1-in_taken_back)</f>
        <v/>
      </c>
      <c r="AB661" s="14">
        <f>SUMIFS(W656:W703,B656:B703,B661-in_dpd_lag)*d_dpd</f>
        <v/>
      </c>
      <c r="AC661" s="14">
        <f>SUMIFS(W656:W703,B656:B703,B661-in_rec_lag)*d_rec</f>
        <v/>
      </c>
      <c r="AD661" s="14">
        <f>Z661*in_card_fee</f>
        <v/>
      </c>
      <c r="AE661" s="40">
        <f>AE660*(1-IF(B660&gt;=in_marketplace_from,d_hz_hlth_small*G660,0))</f>
        <v/>
      </c>
      <c r="AF661" s="46">
        <f>AE661*IF(B661&gt;=in_marketplace_from,d_hz_hlth_small*G661,0)</f>
        <v/>
      </c>
      <c r="AG661" s="14">
        <f>F661*AF661*in_hlth_small_ticket*in_hlth_small_comm*in_ins_partner_share+F661*in_hlth_small_ticket*in_hlth_small_renew_comm*in_ins_partner_share*(in_hlth_small_renew^1*SUMIFS(AF656:AF703,B656:B703,B661-12)+in_hlth_small_renew^2*SUMIFS(AF656:AF703,B656:B703,B661-24)+in_hlth_small_renew^3*SUMIFS(AF656:AF703,B656:B703,B661-36)+in_hlth_small_renew^4*SUMIFS(AF656:AF703,B656:B703,B661-48))</f>
        <v/>
      </c>
      <c r="AH661" s="40">
        <f>AH660*(1-IF(B660&gt;=in_marketplace_from,d_hz_hlth_family*G660,0))</f>
        <v/>
      </c>
      <c r="AI661" s="46">
        <f>AH661*IF(B661&gt;=in_marketplace_from,d_hz_hlth_family*G661,0)</f>
        <v/>
      </c>
      <c r="AJ661" s="14">
        <f>F661*AI661*in_hlth_family_ticket*in_hlth_family_comm*in_ins_partner_share+F661*in_hlth_family_ticket*in_hlth_family_renew_comm*in_ins_partner_share*(in_hlth_family_renew^1*SUMIFS(AI656:AI703,B656:B703,B661-12)+in_hlth_family_renew^2*SUMIFS(AI656:AI703,B656:B703,B661-24)+in_hlth_family_renew^3*SUMIFS(AI656:AI703,B656:B703,B661-36)+in_hlth_family_renew^4*SUMIFS(AI656:AI703,B656:B703,B661-48))</f>
        <v/>
      </c>
      <c r="AK661" s="40">
        <f>AK660*(1-IF(B660&gt;=in_marketplace_from,d_hz_life_term*G660,0))</f>
        <v/>
      </c>
      <c r="AL661" s="46">
        <f>AK661*IF(B661&gt;=in_marketplace_from,d_hz_life_term*G661,0)</f>
        <v/>
      </c>
      <c r="AM661" s="14">
        <f>F661*AL661*in_life_term_ticket*in_life_term_comm*in_ins_partner_share+F661*in_life_term_ticket*in_life_term_renew_comm*in_ins_partner_share*(in_life_term_renew^1*SUMIFS(AL656:AL703,B656:B703,B661-12)+in_life_term_renew^2*SUMIFS(AL656:AL703,B656:B703,B661-24)+in_life_term_renew^3*SUMIFS(AL656:AL703,B656:B703,B661-36)+in_life_term_renew^4*SUMIFS(AL656:AL703,B656:B703,B661-48))</f>
        <v/>
      </c>
      <c r="AN661" s="40">
        <f>AN660*(1-IF(B660&gt;=in_marketplace_from,d_hz_accident*G660,0))</f>
        <v/>
      </c>
      <c r="AO661" s="46">
        <f>AN661*IF(B661&gt;=in_marketplace_from,d_hz_accident*G661,0)</f>
        <v/>
      </c>
      <c r="AP661" s="14">
        <f>F661*AO661*in_accident_ticket*in_accident_comm*in_ins_partner_share+F661*in_accident_ticket*in_accident_renew_comm*in_ins_partner_share*(in_accident_renew^1*SUMIFS(AO656:AO703,B656:B703,B661-12)+in_accident_renew^2*SUMIFS(AO656:AO703,B656:B703,B661-24)+in_accident_renew^3*SUMIFS(AO656:AO703,B656:B703,B661-36)+in_accident_renew^4*SUMIFS(AO656:AO703,B656:B703,B661-48))</f>
        <v/>
      </c>
      <c r="AQ661" s="40">
        <f>AQ660*(1-IF(B660&gt;=in_marketplace_from,d_hz_two_wheeler*G660,0))</f>
        <v/>
      </c>
      <c r="AR661" s="46">
        <f>AQ661*IF(B661&gt;=in_marketplace_from,d_hz_two_wheeler*G661,0)</f>
        <v/>
      </c>
      <c r="AS661" s="14">
        <f>F661*AR661*in_two_wheeler_ticket*in_two_wheeler_comm*in_ins_partner_share+F661*in_two_wheeler_ticket*in_two_wheeler_comm*in_ins_partner_share*(in_two_wheeler_renew^1*SUMIFS(AR656:AR703,B656:B703,B661-12)+in_two_wheeler_renew^2*SUMIFS(AR656:AR703,B656:B703,B661-24)+in_two_wheeler_renew^3*SUMIFS(AR656:AR703,B656:B703,B661-36)+in_two_wheeler_renew^4*SUMIFS(AR656:AR703,B656:B703,B661-48))</f>
        <v/>
      </c>
      <c r="AT661" s="40">
        <f>AT660*(1-IF(B660&gt;=in_marketplace_from,d_hz_device*G660,0))</f>
        <v/>
      </c>
      <c r="AU661" s="14">
        <f>F661*AT661*IF(B661&gt;=in_marketplace_from,d_hz_device*G661,0)*in_device_ticket*in_device_comm*in_ins_partner_share</f>
        <v/>
      </c>
      <c r="AV661" s="40">
        <f>AV660*(1-IF(B660&gt;=in_marketplace_from,d_hz_shop*G660,0))</f>
        <v/>
      </c>
      <c r="AW661" s="46">
        <f>AV661*IF(B661&gt;=in_marketplace_from,d_hz_shop*G661,0)</f>
        <v/>
      </c>
      <c r="AX661" s="14">
        <f>F661*AW661*in_shop_ticket*in_shop_comm*in_ins_partner_share+F661*in_shop_ticket*in_shop_renew_comm*in_ins_partner_share*(in_shop_renew^1*SUMIFS(AW656:AW703,B656:B703,B661-12)+in_shop_renew^2*SUMIFS(AW656:AW703,B656:B703,B661-24)+in_shop_renew^3*SUMIFS(AW656:AW703,B656:B703,B661-36)+in_shop_renew^4*SUMIFS(AW656:AW703,B656:B703,B661-48))</f>
        <v/>
      </c>
      <c r="AY661" s="40">
        <f>AY660*(1-IF(B660&gt;=in_marketplace_from,d_hz_sip*G660,0))</f>
        <v/>
      </c>
      <c r="AZ661" s="40">
        <f>AZ660*d_rho_sip+AY661*IF(B661&gt;=in_marketplace_from,d_hz_sip*G661,0)</f>
        <v/>
      </c>
      <c r="BA661" s="40">
        <f>d_rho_sip*(BA660+AZ660)</f>
        <v/>
      </c>
      <c r="BB661" s="14">
        <f>F661*in_sip_ticket*(BA661+0.5*AZ661)*in_sip_comm/12</f>
        <v/>
      </c>
      <c r="BC661" s="40">
        <f>BC660*(1-IF(B660&gt;=in_marketplace_from,d_hz_choti*G660,0))</f>
        <v/>
      </c>
      <c r="BD661" s="46">
        <f>BC661*IF(B661&gt;=in_marketplace_from,d_hz_choti*G661,0)</f>
        <v/>
      </c>
      <c r="BE661" s="14">
        <f>F661*SUMIFS(BD656:BD703,B656:B703,B661-in_choti_months)*in_choti_renew*in_choti_ticket</f>
        <v/>
      </c>
      <c r="BF661" s="40">
        <f>BF660*(1-IF(B660&gt;=in_marketplace_from,d_hz_nps*G660,0))</f>
        <v/>
      </c>
      <c r="BG661" s="14">
        <f>F661*BF661*IF(B661&gt;=in_marketplace_from,d_hz_nps*G661,0)*in_nps_ticket*in_nps_comm</f>
        <v/>
      </c>
      <c r="BH661" s="40">
        <f>BH660*(1-IF(B660&gt;=in_marketplace_from,d_hz_gold*G660,0))</f>
        <v/>
      </c>
      <c r="BI661" s="40">
        <f>BI660*d_rho_gold+BH661*IF(B661&gt;=in_marketplace_from,d_hz_gold*G661,0)</f>
        <v/>
      </c>
      <c r="BJ661" s="14">
        <f>F661*BI661*in_gold_ticket*in_gold_comm</f>
        <v/>
      </c>
      <c r="BK661" s="40">
        <f>BK660*(1-IF(B660&gt;=in_marketplace_from,d_hz_fd*G660,0))</f>
        <v/>
      </c>
      <c r="BL661" s="14">
        <f>F661*BK661*IF(B661&gt;=in_marketplace_from,d_hz_fd*G661,0)*in_fd_ticket*in_fd_comm</f>
        <v/>
      </c>
      <c r="BM661" s="40">
        <f>BM660*(1-IF(B660&gt;=in_marketplace_from,d_hz_recharge*G660,0))</f>
        <v/>
      </c>
      <c r="BN661" s="40">
        <f>BN660*d_rho_recharge+BM661*IF(B661&gt;=in_marketplace_from,d_hz_recharge*G661,0)</f>
        <v/>
      </c>
      <c r="BO661" s="14">
        <f>F661*BN661*in_recharge_ticket*in_recharge_comm/12</f>
        <v/>
      </c>
      <c r="BP661" s="40">
        <f>BP660*(1-IF(B660&gt;=in_marketplace_from,d_hz_bills*G660,0))</f>
        <v/>
      </c>
      <c r="BQ661" s="40">
        <f>BQ660*d_rho_bills+BP661*IF(B661&gt;=in_marketplace_from,d_hz_bills*G661,0)</f>
        <v/>
      </c>
      <c r="BR661" s="14">
        <f>F661*BQ661*in_bills_ticket*in_bills_comm/12</f>
        <v/>
      </c>
      <c r="BS661" s="40">
        <f>BS660*(1-IF(B660&gt;=in_marketplace_from,d_hz_loan_gold*G660,0))</f>
        <v/>
      </c>
      <c r="BT661" s="14">
        <f>F661*BS661*IF(B661&gt;=in_marketplace_from,d_hz_loan_gold*G661,0)*in_loan_gold_ticket*in_loan_gold_comm</f>
        <v/>
      </c>
      <c r="BU661" s="40">
        <f>BU660*(1-IF(B660&gt;=in_marketplace_from,d_hz_loan_cd*G660,0))</f>
        <v/>
      </c>
      <c r="BV661" s="14">
        <f>F661*BU661*IF(B661&gt;=in_marketplace_from,d_hz_loan_cd*G661,0)*in_loan_cd_ticket*in_loan_cd_comm</f>
        <v/>
      </c>
      <c r="BW661" s="40">
        <f>BW660*(1-IF(B660&gt;=in_marketplace_from,d_hz_loan_vehicle*G660,0))</f>
        <v/>
      </c>
      <c r="BX661" s="14">
        <f>F661*BW661*IF(B661&gt;=in_marketplace_from,d_hz_loan_vehicle*G661,0)*in_loan_vehicle_ticket*in_loan_vehicle_comm</f>
        <v/>
      </c>
      <c r="BY661" s="40">
        <f>BY660*(1-IF(B660&gt;=in_marketplace_from,d_hz_loan_home*G660,0)*BZ660)</f>
        <v/>
      </c>
      <c r="BZ661" s="11">
        <f>MIN(in_approval_cap,in_loan_home_approval*INDEX('Age profile'!$O$2:$O$61,B661)*(1+in_approval_growth)^(D661-1))</f>
        <v/>
      </c>
      <c r="CA661" s="14">
        <f>F661*BY661*IF(B661&gt;=in_marketplace_from,d_hz_loan_home*G661,0)*BZ661*in_loan_home_ticket*in_loan_home_comm</f>
        <v/>
      </c>
      <c r="CB661" s="40">
        <f>CB660*(1-IF(B660&gt;=in_marketplace_from,d_hz_loan_lap*G660,0)*CC660)</f>
        <v/>
      </c>
      <c r="CC661" s="11">
        <f>MIN(in_approval_cap,in_loan_lap_approval*INDEX('Age profile'!$O$2:$O$61,B661)*(1+in_approval_growth)^(D661-1))</f>
        <v/>
      </c>
      <c r="CD661" s="14">
        <f>F661*CB661*IF(B661&gt;=in_marketplace_from,d_hz_loan_lap*G661,0)*CC661*in_loan_lap_ticket*in_loan_lap_comm</f>
        <v/>
      </c>
      <c r="CE661" s="14">
        <f>AA661+AB661+AC661+AD661+AG661+AJ661+AM661+AP661+AS661+AU661+AX661+BB661+BE661+BG661+BJ661+BL661+BO661+BR661+BT661+BV661+BX661+CA661+CD661</f>
        <v/>
      </c>
    </row>
    <row r="662">
      <c r="A662" s="39" t="n">
        <v>13</v>
      </c>
      <c r="B662" s="39" t="n">
        <v>7</v>
      </c>
      <c r="C662" s="39">
        <f>A662+B662-1</f>
        <v/>
      </c>
      <c r="D662" s="39">
        <f>INT((C662-1)/12)+1</f>
        <v/>
      </c>
      <c r="E662" s="44">
        <f>INDEX(Monthly!$B$2:$B$61,A662)</f>
        <v/>
      </c>
      <c r="F662" s="44">
        <f>E662*INDEX('Age profile'!$B$2:$B$61,B662)</f>
        <v/>
      </c>
      <c r="G662" s="45">
        <f>MIN(in_takeup_cap,INDEX('Age profile'!$N$2:$N$61,B662)*(1+in_takeup_growth)^(D662-1))</f>
        <v/>
      </c>
      <c r="H662" s="11">
        <f>MIN(in_approval_cap,in_approved_first*INDEX('Age profile'!$O$2:$O$61,B662)*(1+in_approval_growth)^(D662-1))</f>
        <v/>
      </c>
      <c r="I662" s="45">
        <f>G662*MIN(in_takeup_cap,INDEX('Age profile'!$O$2:$O$61,B662)*(1+in_approval_growth)^(D662-1))</f>
        <v/>
      </c>
      <c r="J662" s="40">
        <f>(J661-L661)*F662/F661</f>
        <v/>
      </c>
      <c r="K662" s="40">
        <f>(K661-M661)*F662/F661+SUMIFS(O656:O661,B656:B661,B662-1-d_T)*F662</f>
        <v/>
      </c>
      <c r="L662" s="40">
        <f>IF(B662&gt;=in_marketplace_from,J662*d_hz*G662*in_eligible*H662,0)</f>
        <v/>
      </c>
      <c r="M662" s="40">
        <f>IF(B662&gt;=in_marketplace_from,K662*d_hz*G662*in_eligible*in_approved_repeat,0)</f>
        <v/>
      </c>
      <c r="N662" s="40">
        <f>L662+M662</f>
        <v/>
      </c>
      <c r="O662" s="46">
        <f>N662/F662</f>
        <v/>
      </c>
      <c r="P662" s="40">
        <f>F662-J662-K662</f>
        <v/>
      </c>
      <c r="Q662" s="40">
        <f>IF(B662&gt;=in_marketplace_from,(J662+K662)*d_hz*G662,0)</f>
        <v/>
      </c>
      <c r="R662" s="40">
        <f>SUMIFS(N656:N703,B656:B703,"&gt;="&amp;(B662-d_T),B656:B703,"&lt;="&amp;(B662-1))</f>
        <v/>
      </c>
      <c r="S662" s="46">
        <f>(1-d_u)*S661+IF(d_T&gt;in_topup_lag,SUMIFS(O656:O703,B656:B703,B662-in_topup_lag)-d_udrop*SUMIFS(O656:O703,B656:B703,B662-d_T),0)</f>
        <v/>
      </c>
      <c r="T662" s="40">
        <f>F662*d_u*S662</f>
        <v/>
      </c>
      <c r="U662" s="9">
        <f>L662*in_ticket+M662*d_rep_ticket</f>
        <v/>
      </c>
      <c r="V662" s="9">
        <f>U662+T662*d_topup_amt</f>
        <v/>
      </c>
      <c r="W662" s="40">
        <f>N662+T662*d_topup_ratio</f>
        <v/>
      </c>
      <c r="X662" s="40">
        <f>SUMIFS(W656:W703,B656:B703,B662-in_dpd_lag)*d_cured</f>
        <v/>
      </c>
      <c r="Y662" s="40">
        <f>SUMIFS(W656:W703,B656:B703,B662-in_rec_lag)*d_recd</f>
        <v/>
      </c>
      <c r="Z662" s="40">
        <f>IF(AND(B662&gt;=in_marketplace_from,B662&lt;in_marketplace_from+in_card_months),in_card_share/in_card_months*F662*I662,IF(AND(B662&gt;=in_marketplace_from+in_card_months,B662&lt;in_marketplace_from+2*in_card_months),in_card_share*d_card_rem/in_card_months*F662*MIN(in_takeup_cap,(1+in_takeup_growth)^(D662-1))*MIN(in_takeup_cap,(1+in_approval_growth)^(D662-1)),0))</f>
        <v/>
      </c>
      <c r="AA662" s="14">
        <f>V662*in_fee*(1-in_taken_back)</f>
        <v/>
      </c>
      <c r="AB662" s="14">
        <f>SUMIFS(W656:W703,B656:B703,B662-in_dpd_lag)*d_dpd</f>
        <v/>
      </c>
      <c r="AC662" s="14">
        <f>SUMIFS(W656:W703,B656:B703,B662-in_rec_lag)*d_rec</f>
        <v/>
      </c>
      <c r="AD662" s="14">
        <f>Z662*in_card_fee</f>
        <v/>
      </c>
      <c r="AE662" s="40">
        <f>AE661*(1-IF(B661&gt;=in_marketplace_from,d_hz_hlth_small*G661,0))</f>
        <v/>
      </c>
      <c r="AF662" s="46">
        <f>AE662*IF(B662&gt;=in_marketplace_from,d_hz_hlth_small*G662,0)</f>
        <v/>
      </c>
      <c r="AG662" s="14">
        <f>F662*AF662*in_hlth_small_ticket*in_hlth_small_comm*in_ins_partner_share+F662*in_hlth_small_ticket*in_hlth_small_renew_comm*in_ins_partner_share*(in_hlth_small_renew^1*SUMIFS(AF656:AF703,B656:B703,B662-12)+in_hlth_small_renew^2*SUMIFS(AF656:AF703,B656:B703,B662-24)+in_hlth_small_renew^3*SUMIFS(AF656:AF703,B656:B703,B662-36)+in_hlth_small_renew^4*SUMIFS(AF656:AF703,B656:B703,B662-48))</f>
        <v/>
      </c>
      <c r="AH662" s="40">
        <f>AH661*(1-IF(B661&gt;=in_marketplace_from,d_hz_hlth_family*G661,0))</f>
        <v/>
      </c>
      <c r="AI662" s="46">
        <f>AH662*IF(B662&gt;=in_marketplace_from,d_hz_hlth_family*G662,0)</f>
        <v/>
      </c>
      <c r="AJ662" s="14">
        <f>F662*AI662*in_hlth_family_ticket*in_hlth_family_comm*in_ins_partner_share+F662*in_hlth_family_ticket*in_hlth_family_renew_comm*in_ins_partner_share*(in_hlth_family_renew^1*SUMIFS(AI656:AI703,B656:B703,B662-12)+in_hlth_family_renew^2*SUMIFS(AI656:AI703,B656:B703,B662-24)+in_hlth_family_renew^3*SUMIFS(AI656:AI703,B656:B703,B662-36)+in_hlth_family_renew^4*SUMIFS(AI656:AI703,B656:B703,B662-48))</f>
        <v/>
      </c>
      <c r="AK662" s="40">
        <f>AK661*(1-IF(B661&gt;=in_marketplace_from,d_hz_life_term*G661,0))</f>
        <v/>
      </c>
      <c r="AL662" s="46">
        <f>AK662*IF(B662&gt;=in_marketplace_from,d_hz_life_term*G662,0)</f>
        <v/>
      </c>
      <c r="AM662" s="14">
        <f>F662*AL662*in_life_term_ticket*in_life_term_comm*in_ins_partner_share+F662*in_life_term_ticket*in_life_term_renew_comm*in_ins_partner_share*(in_life_term_renew^1*SUMIFS(AL656:AL703,B656:B703,B662-12)+in_life_term_renew^2*SUMIFS(AL656:AL703,B656:B703,B662-24)+in_life_term_renew^3*SUMIFS(AL656:AL703,B656:B703,B662-36)+in_life_term_renew^4*SUMIFS(AL656:AL703,B656:B703,B662-48))</f>
        <v/>
      </c>
      <c r="AN662" s="40">
        <f>AN661*(1-IF(B661&gt;=in_marketplace_from,d_hz_accident*G661,0))</f>
        <v/>
      </c>
      <c r="AO662" s="46">
        <f>AN662*IF(B662&gt;=in_marketplace_from,d_hz_accident*G662,0)</f>
        <v/>
      </c>
      <c r="AP662" s="14">
        <f>F662*AO662*in_accident_ticket*in_accident_comm*in_ins_partner_share+F662*in_accident_ticket*in_accident_renew_comm*in_ins_partner_share*(in_accident_renew^1*SUMIFS(AO656:AO703,B656:B703,B662-12)+in_accident_renew^2*SUMIFS(AO656:AO703,B656:B703,B662-24)+in_accident_renew^3*SUMIFS(AO656:AO703,B656:B703,B662-36)+in_accident_renew^4*SUMIFS(AO656:AO703,B656:B703,B662-48))</f>
        <v/>
      </c>
      <c r="AQ662" s="40">
        <f>AQ661*(1-IF(B661&gt;=in_marketplace_from,d_hz_two_wheeler*G661,0))</f>
        <v/>
      </c>
      <c r="AR662" s="46">
        <f>AQ662*IF(B662&gt;=in_marketplace_from,d_hz_two_wheeler*G662,0)</f>
        <v/>
      </c>
      <c r="AS662" s="14">
        <f>F662*AR662*in_two_wheeler_ticket*in_two_wheeler_comm*in_ins_partner_share+F662*in_two_wheeler_ticket*in_two_wheeler_comm*in_ins_partner_share*(in_two_wheeler_renew^1*SUMIFS(AR656:AR703,B656:B703,B662-12)+in_two_wheeler_renew^2*SUMIFS(AR656:AR703,B656:B703,B662-24)+in_two_wheeler_renew^3*SUMIFS(AR656:AR703,B656:B703,B662-36)+in_two_wheeler_renew^4*SUMIFS(AR656:AR703,B656:B703,B662-48))</f>
        <v/>
      </c>
      <c r="AT662" s="40">
        <f>AT661*(1-IF(B661&gt;=in_marketplace_from,d_hz_device*G661,0))</f>
        <v/>
      </c>
      <c r="AU662" s="14">
        <f>F662*AT662*IF(B662&gt;=in_marketplace_from,d_hz_device*G662,0)*in_device_ticket*in_device_comm*in_ins_partner_share</f>
        <v/>
      </c>
      <c r="AV662" s="40">
        <f>AV661*(1-IF(B661&gt;=in_marketplace_from,d_hz_shop*G661,0))</f>
        <v/>
      </c>
      <c r="AW662" s="46">
        <f>AV662*IF(B662&gt;=in_marketplace_from,d_hz_shop*G662,0)</f>
        <v/>
      </c>
      <c r="AX662" s="14">
        <f>F662*AW662*in_shop_ticket*in_shop_comm*in_ins_partner_share+F662*in_shop_ticket*in_shop_renew_comm*in_ins_partner_share*(in_shop_renew^1*SUMIFS(AW656:AW703,B656:B703,B662-12)+in_shop_renew^2*SUMIFS(AW656:AW703,B656:B703,B662-24)+in_shop_renew^3*SUMIFS(AW656:AW703,B656:B703,B662-36)+in_shop_renew^4*SUMIFS(AW656:AW703,B656:B703,B662-48))</f>
        <v/>
      </c>
      <c r="AY662" s="40">
        <f>AY661*(1-IF(B661&gt;=in_marketplace_from,d_hz_sip*G661,0))</f>
        <v/>
      </c>
      <c r="AZ662" s="40">
        <f>AZ661*d_rho_sip+AY662*IF(B662&gt;=in_marketplace_from,d_hz_sip*G662,0)</f>
        <v/>
      </c>
      <c r="BA662" s="40">
        <f>d_rho_sip*(BA661+AZ661)</f>
        <v/>
      </c>
      <c r="BB662" s="14">
        <f>F662*in_sip_ticket*(BA662+0.5*AZ662)*in_sip_comm/12</f>
        <v/>
      </c>
      <c r="BC662" s="40">
        <f>BC661*(1-IF(B661&gt;=in_marketplace_from,d_hz_choti*G661,0))</f>
        <v/>
      </c>
      <c r="BD662" s="46">
        <f>BC662*IF(B662&gt;=in_marketplace_from,d_hz_choti*G662,0)</f>
        <v/>
      </c>
      <c r="BE662" s="14">
        <f>F662*SUMIFS(BD656:BD703,B656:B703,B662-in_choti_months)*in_choti_renew*in_choti_ticket</f>
        <v/>
      </c>
      <c r="BF662" s="40">
        <f>BF661*(1-IF(B661&gt;=in_marketplace_from,d_hz_nps*G661,0))</f>
        <v/>
      </c>
      <c r="BG662" s="14">
        <f>F662*BF662*IF(B662&gt;=in_marketplace_from,d_hz_nps*G662,0)*in_nps_ticket*in_nps_comm</f>
        <v/>
      </c>
      <c r="BH662" s="40">
        <f>BH661*(1-IF(B661&gt;=in_marketplace_from,d_hz_gold*G661,0))</f>
        <v/>
      </c>
      <c r="BI662" s="40">
        <f>BI661*d_rho_gold+BH662*IF(B662&gt;=in_marketplace_from,d_hz_gold*G662,0)</f>
        <v/>
      </c>
      <c r="BJ662" s="14">
        <f>F662*BI662*in_gold_ticket*in_gold_comm</f>
        <v/>
      </c>
      <c r="BK662" s="40">
        <f>BK661*(1-IF(B661&gt;=in_marketplace_from,d_hz_fd*G661,0))</f>
        <v/>
      </c>
      <c r="BL662" s="14">
        <f>F662*BK662*IF(B662&gt;=in_marketplace_from,d_hz_fd*G662,0)*in_fd_ticket*in_fd_comm</f>
        <v/>
      </c>
      <c r="BM662" s="40">
        <f>BM661*(1-IF(B661&gt;=in_marketplace_from,d_hz_recharge*G661,0))</f>
        <v/>
      </c>
      <c r="BN662" s="40">
        <f>BN661*d_rho_recharge+BM662*IF(B662&gt;=in_marketplace_from,d_hz_recharge*G662,0)</f>
        <v/>
      </c>
      <c r="BO662" s="14">
        <f>F662*BN662*in_recharge_ticket*in_recharge_comm/12</f>
        <v/>
      </c>
      <c r="BP662" s="40">
        <f>BP661*(1-IF(B661&gt;=in_marketplace_from,d_hz_bills*G661,0))</f>
        <v/>
      </c>
      <c r="BQ662" s="40">
        <f>BQ661*d_rho_bills+BP662*IF(B662&gt;=in_marketplace_from,d_hz_bills*G662,0)</f>
        <v/>
      </c>
      <c r="BR662" s="14">
        <f>F662*BQ662*in_bills_ticket*in_bills_comm/12</f>
        <v/>
      </c>
      <c r="BS662" s="40">
        <f>BS661*(1-IF(B661&gt;=in_marketplace_from,d_hz_loan_gold*G661,0))</f>
        <v/>
      </c>
      <c r="BT662" s="14">
        <f>F662*BS662*IF(B662&gt;=in_marketplace_from,d_hz_loan_gold*G662,0)*in_loan_gold_ticket*in_loan_gold_comm</f>
        <v/>
      </c>
      <c r="BU662" s="40">
        <f>BU661*(1-IF(B661&gt;=in_marketplace_from,d_hz_loan_cd*G661,0))</f>
        <v/>
      </c>
      <c r="BV662" s="14">
        <f>F662*BU662*IF(B662&gt;=in_marketplace_from,d_hz_loan_cd*G662,0)*in_loan_cd_ticket*in_loan_cd_comm</f>
        <v/>
      </c>
      <c r="BW662" s="40">
        <f>BW661*(1-IF(B661&gt;=in_marketplace_from,d_hz_loan_vehicle*G661,0))</f>
        <v/>
      </c>
      <c r="BX662" s="14">
        <f>F662*BW662*IF(B662&gt;=in_marketplace_from,d_hz_loan_vehicle*G662,0)*in_loan_vehicle_ticket*in_loan_vehicle_comm</f>
        <v/>
      </c>
      <c r="BY662" s="40">
        <f>BY661*(1-IF(B661&gt;=in_marketplace_from,d_hz_loan_home*G661,0)*BZ661)</f>
        <v/>
      </c>
      <c r="BZ662" s="11">
        <f>MIN(in_approval_cap,in_loan_home_approval*INDEX('Age profile'!$O$2:$O$61,B662)*(1+in_approval_growth)^(D662-1))</f>
        <v/>
      </c>
      <c r="CA662" s="14">
        <f>F662*BY662*IF(B662&gt;=in_marketplace_from,d_hz_loan_home*G662,0)*BZ662*in_loan_home_ticket*in_loan_home_comm</f>
        <v/>
      </c>
      <c r="CB662" s="40">
        <f>CB661*(1-IF(B661&gt;=in_marketplace_from,d_hz_loan_lap*G661,0)*CC661)</f>
        <v/>
      </c>
      <c r="CC662" s="11">
        <f>MIN(in_approval_cap,in_loan_lap_approval*INDEX('Age profile'!$O$2:$O$61,B662)*(1+in_approval_growth)^(D662-1))</f>
        <v/>
      </c>
      <c r="CD662" s="14">
        <f>F662*CB662*IF(B662&gt;=in_marketplace_from,d_hz_loan_lap*G662,0)*CC662*in_loan_lap_ticket*in_loan_lap_comm</f>
        <v/>
      </c>
      <c r="CE662" s="14">
        <f>AA662+AB662+AC662+AD662+AG662+AJ662+AM662+AP662+AS662+AU662+AX662+BB662+BE662+BG662+BJ662+BL662+BO662+BR662+BT662+BV662+BX662+CA662+CD662</f>
        <v/>
      </c>
    </row>
    <row r="663">
      <c r="A663" s="39" t="n">
        <v>13</v>
      </c>
      <c r="B663" s="39" t="n">
        <v>8</v>
      </c>
      <c r="C663" s="39">
        <f>A663+B663-1</f>
        <v/>
      </c>
      <c r="D663" s="39">
        <f>INT((C663-1)/12)+1</f>
        <v/>
      </c>
      <c r="E663" s="44">
        <f>INDEX(Monthly!$B$2:$B$61,A663)</f>
        <v/>
      </c>
      <c r="F663" s="44">
        <f>E663*INDEX('Age profile'!$B$2:$B$61,B663)</f>
        <v/>
      </c>
      <c r="G663" s="45">
        <f>MIN(in_takeup_cap,INDEX('Age profile'!$N$2:$N$61,B663)*(1+in_takeup_growth)^(D663-1))</f>
        <v/>
      </c>
      <c r="H663" s="11">
        <f>MIN(in_approval_cap,in_approved_first*INDEX('Age profile'!$O$2:$O$61,B663)*(1+in_approval_growth)^(D663-1))</f>
        <v/>
      </c>
      <c r="I663" s="45">
        <f>G663*MIN(in_takeup_cap,INDEX('Age profile'!$O$2:$O$61,B663)*(1+in_approval_growth)^(D663-1))</f>
        <v/>
      </c>
      <c r="J663" s="40">
        <f>(J662-L662)*F663/F662</f>
        <v/>
      </c>
      <c r="K663" s="40">
        <f>(K662-M662)*F663/F662+SUMIFS(O656:O662,B656:B662,B663-1-d_T)*F663</f>
        <v/>
      </c>
      <c r="L663" s="40">
        <f>IF(B663&gt;=in_marketplace_from,J663*d_hz*G663*in_eligible*H663,0)</f>
        <v/>
      </c>
      <c r="M663" s="40">
        <f>IF(B663&gt;=in_marketplace_from,K663*d_hz*G663*in_eligible*in_approved_repeat,0)</f>
        <v/>
      </c>
      <c r="N663" s="40">
        <f>L663+M663</f>
        <v/>
      </c>
      <c r="O663" s="46">
        <f>N663/F663</f>
        <v/>
      </c>
      <c r="P663" s="40">
        <f>F663-J663-K663</f>
        <v/>
      </c>
      <c r="Q663" s="40">
        <f>IF(B663&gt;=in_marketplace_from,(J663+K663)*d_hz*G663,0)</f>
        <v/>
      </c>
      <c r="R663" s="40">
        <f>SUMIFS(N656:N703,B656:B703,"&gt;="&amp;(B663-d_T),B656:B703,"&lt;="&amp;(B663-1))</f>
        <v/>
      </c>
      <c r="S663" s="46">
        <f>(1-d_u)*S662+IF(d_T&gt;in_topup_lag,SUMIFS(O656:O703,B656:B703,B663-in_topup_lag)-d_udrop*SUMIFS(O656:O703,B656:B703,B663-d_T),0)</f>
        <v/>
      </c>
      <c r="T663" s="40">
        <f>F663*d_u*S663</f>
        <v/>
      </c>
      <c r="U663" s="9">
        <f>L663*in_ticket+M663*d_rep_ticket</f>
        <v/>
      </c>
      <c r="V663" s="9">
        <f>U663+T663*d_topup_amt</f>
        <v/>
      </c>
      <c r="W663" s="40">
        <f>N663+T663*d_topup_ratio</f>
        <v/>
      </c>
      <c r="X663" s="40">
        <f>SUMIFS(W656:W703,B656:B703,B663-in_dpd_lag)*d_cured</f>
        <v/>
      </c>
      <c r="Y663" s="40">
        <f>SUMIFS(W656:W703,B656:B703,B663-in_rec_lag)*d_recd</f>
        <v/>
      </c>
      <c r="Z663" s="40">
        <f>IF(AND(B663&gt;=in_marketplace_from,B663&lt;in_marketplace_from+in_card_months),in_card_share/in_card_months*F663*I663,IF(AND(B663&gt;=in_marketplace_from+in_card_months,B663&lt;in_marketplace_from+2*in_card_months),in_card_share*d_card_rem/in_card_months*F663*MIN(in_takeup_cap,(1+in_takeup_growth)^(D663-1))*MIN(in_takeup_cap,(1+in_approval_growth)^(D663-1)),0))</f>
        <v/>
      </c>
      <c r="AA663" s="14">
        <f>V663*in_fee*(1-in_taken_back)</f>
        <v/>
      </c>
      <c r="AB663" s="14">
        <f>SUMIFS(W656:W703,B656:B703,B663-in_dpd_lag)*d_dpd</f>
        <v/>
      </c>
      <c r="AC663" s="14">
        <f>SUMIFS(W656:W703,B656:B703,B663-in_rec_lag)*d_rec</f>
        <v/>
      </c>
      <c r="AD663" s="14">
        <f>Z663*in_card_fee</f>
        <v/>
      </c>
      <c r="AE663" s="40">
        <f>AE662*(1-IF(B662&gt;=in_marketplace_from,d_hz_hlth_small*G662,0))</f>
        <v/>
      </c>
      <c r="AF663" s="46">
        <f>AE663*IF(B663&gt;=in_marketplace_from,d_hz_hlth_small*G663,0)</f>
        <v/>
      </c>
      <c r="AG663" s="14">
        <f>F663*AF663*in_hlth_small_ticket*in_hlth_small_comm*in_ins_partner_share+F663*in_hlth_small_ticket*in_hlth_small_renew_comm*in_ins_partner_share*(in_hlth_small_renew^1*SUMIFS(AF656:AF703,B656:B703,B663-12)+in_hlth_small_renew^2*SUMIFS(AF656:AF703,B656:B703,B663-24)+in_hlth_small_renew^3*SUMIFS(AF656:AF703,B656:B703,B663-36)+in_hlth_small_renew^4*SUMIFS(AF656:AF703,B656:B703,B663-48))</f>
        <v/>
      </c>
      <c r="AH663" s="40">
        <f>AH662*(1-IF(B662&gt;=in_marketplace_from,d_hz_hlth_family*G662,0))</f>
        <v/>
      </c>
      <c r="AI663" s="46">
        <f>AH663*IF(B663&gt;=in_marketplace_from,d_hz_hlth_family*G663,0)</f>
        <v/>
      </c>
      <c r="AJ663" s="14">
        <f>F663*AI663*in_hlth_family_ticket*in_hlth_family_comm*in_ins_partner_share+F663*in_hlth_family_ticket*in_hlth_family_renew_comm*in_ins_partner_share*(in_hlth_family_renew^1*SUMIFS(AI656:AI703,B656:B703,B663-12)+in_hlth_family_renew^2*SUMIFS(AI656:AI703,B656:B703,B663-24)+in_hlth_family_renew^3*SUMIFS(AI656:AI703,B656:B703,B663-36)+in_hlth_family_renew^4*SUMIFS(AI656:AI703,B656:B703,B663-48))</f>
        <v/>
      </c>
      <c r="AK663" s="40">
        <f>AK662*(1-IF(B662&gt;=in_marketplace_from,d_hz_life_term*G662,0))</f>
        <v/>
      </c>
      <c r="AL663" s="46">
        <f>AK663*IF(B663&gt;=in_marketplace_from,d_hz_life_term*G663,0)</f>
        <v/>
      </c>
      <c r="AM663" s="14">
        <f>F663*AL663*in_life_term_ticket*in_life_term_comm*in_ins_partner_share+F663*in_life_term_ticket*in_life_term_renew_comm*in_ins_partner_share*(in_life_term_renew^1*SUMIFS(AL656:AL703,B656:B703,B663-12)+in_life_term_renew^2*SUMIFS(AL656:AL703,B656:B703,B663-24)+in_life_term_renew^3*SUMIFS(AL656:AL703,B656:B703,B663-36)+in_life_term_renew^4*SUMIFS(AL656:AL703,B656:B703,B663-48))</f>
        <v/>
      </c>
      <c r="AN663" s="40">
        <f>AN662*(1-IF(B662&gt;=in_marketplace_from,d_hz_accident*G662,0))</f>
        <v/>
      </c>
      <c r="AO663" s="46">
        <f>AN663*IF(B663&gt;=in_marketplace_from,d_hz_accident*G663,0)</f>
        <v/>
      </c>
      <c r="AP663" s="14">
        <f>F663*AO663*in_accident_ticket*in_accident_comm*in_ins_partner_share+F663*in_accident_ticket*in_accident_renew_comm*in_ins_partner_share*(in_accident_renew^1*SUMIFS(AO656:AO703,B656:B703,B663-12)+in_accident_renew^2*SUMIFS(AO656:AO703,B656:B703,B663-24)+in_accident_renew^3*SUMIFS(AO656:AO703,B656:B703,B663-36)+in_accident_renew^4*SUMIFS(AO656:AO703,B656:B703,B663-48))</f>
        <v/>
      </c>
      <c r="AQ663" s="40">
        <f>AQ662*(1-IF(B662&gt;=in_marketplace_from,d_hz_two_wheeler*G662,0))</f>
        <v/>
      </c>
      <c r="AR663" s="46">
        <f>AQ663*IF(B663&gt;=in_marketplace_from,d_hz_two_wheeler*G663,0)</f>
        <v/>
      </c>
      <c r="AS663" s="14">
        <f>F663*AR663*in_two_wheeler_ticket*in_two_wheeler_comm*in_ins_partner_share+F663*in_two_wheeler_ticket*in_two_wheeler_comm*in_ins_partner_share*(in_two_wheeler_renew^1*SUMIFS(AR656:AR703,B656:B703,B663-12)+in_two_wheeler_renew^2*SUMIFS(AR656:AR703,B656:B703,B663-24)+in_two_wheeler_renew^3*SUMIFS(AR656:AR703,B656:B703,B663-36)+in_two_wheeler_renew^4*SUMIFS(AR656:AR703,B656:B703,B663-48))</f>
        <v/>
      </c>
      <c r="AT663" s="40">
        <f>AT662*(1-IF(B662&gt;=in_marketplace_from,d_hz_device*G662,0))</f>
        <v/>
      </c>
      <c r="AU663" s="14">
        <f>F663*AT663*IF(B663&gt;=in_marketplace_from,d_hz_device*G663,0)*in_device_ticket*in_device_comm*in_ins_partner_share</f>
        <v/>
      </c>
      <c r="AV663" s="40">
        <f>AV662*(1-IF(B662&gt;=in_marketplace_from,d_hz_shop*G662,0))</f>
        <v/>
      </c>
      <c r="AW663" s="46">
        <f>AV663*IF(B663&gt;=in_marketplace_from,d_hz_shop*G663,0)</f>
        <v/>
      </c>
      <c r="AX663" s="14">
        <f>F663*AW663*in_shop_ticket*in_shop_comm*in_ins_partner_share+F663*in_shop_ticket*in_shop_renew_comm*in_ins_partner_share*(in_shop_renew^1*SUMIFS(AW656:AW703,B656:B703,B663-12)+in_shop_renew^2*SUMIFS(AW656:AW703,B656:B703,B663-24)+in_shop_renew^3*SUMIFS(AW656:AW703,B656:B703,B663-36)+in_shop_renew^4*SUMIFS(AW656:AW703,B656:B703,B663-48))</f>
        <v/>
      </c>
      <c r="AY663" s="40">
        <f>AY662*(1-IF(B662&gt;=in_marketplace_from,d_hz_sip*G662,0))</f>
        <v/>
      </c>
      <c r="AZ663" s="40">
        <f>AZ662*d_rho_sip+AY663*IF(B663&gt;=in_marketplace_from,d_hz_sip*G663,0)</f>
        <v/>
      </c>
      <c r="BA663" s="40">
        <f>d_rho_sip*(BA662+AZ662)</f>
        <v/>
      </c>
      <c r="BB663" s="14">
        <f>F663*in_sip_ticket*(BA663+0.5*AZ663)*in_sip_comm/12</f>
        <v/>
      </c>
      <c r="BC663" s="40">
        <f>BC662*(1-IF(B662&gt;=in_marketplace_from,d_hz_choti*G662,0))</f>
        <v/>
      </c>
      <c r="BD663" s="46">
        <f>BC663*IF(B663&gt;=in_marketplace_from,d_hz_choti*G663,0)</f>
        <v/>
      </c>
      <c r="BE663" s="14">
        <f>F663*SUMIFS(BD656:BD703,B656:B703,B663-in_choti_months)*in_choti_renew*in_choti_ticket</f>
        <v/>
      </c>
      <c r="BF663" s="40">
        <f>BF662*(1-IF(B662&gt;=in_marketplace_from,d_hz_nps*G662,0))</f>
        <v/>
      </c>
      <c r="BG663" s="14">
        <f>F663*BF663*IF(B663&gt;=in_marketplace_from,d_hz_nps*G663,0)*in_nps_ticket*in_nps_comm</f>
        <v/>
      </c>
      <c r="BH663" s="40">
        <f>BH662*(1-IF(B662&gt;=in_marketplace_from,d_hz_gold*G662,0))</f>
        <v/>
      </c>
      <c r="BI663" s="40">
        <f>BI662*d_rho_gold+BH663*IF(B663&gt;=in_marketplace_from,d_hz_gold*G663,0)</f>
        <v/>
      </c>
      <c r="BJ663" s="14">
        <f>F663*BI663*in_gold_ticket*in_gold_comm</f>
        <v/>
      </c>
      <c r="BK663" s="40">
        <f>BK662*(1-IF(B662&gt;=in_marketplace_from,d_hz_fd*G662,0))</f>
        <v/>
      </c>
      <c r="BL663" s="14">
        <f>F663*BK663*IF(B663&gt;=in_marketplace_from,d_hz_fd*G663,0)*in_fd_ticket*in_fd_comm</f>
        <v/>
      </c>
      <c r="BM663" s="40">
        <f>BM662*(1-IF(B662&gt;=in_marketplace_from,d_hz_recharge*G662,0))</f>
        <v/>
      </c>
      <c r="BN663" s="40">
        <f>BN662*d_rho_recharge+BM663*IF(B663&gt;=in_marketplace_from,d_hz_recharge*G663,0)</f>
        <v/>
      </c>
      <c r="BO663" s="14">
        <f>F663*BN663*in_recharge_ticket*in_recharge_comm/12</f>
        <v/>
      </c>
      <c r="BP663" s="40">
        <f>BP662*(1-IF(B662&gt;=in_marketplace_from,d_hz_bills*G662,0))</f>
        <v/>
      </c>
      <c r="BQ663" s="40">
        <f>BQ662*d_rho_bills+BP663*IF(B663&gt;=in_marketplace_from,d_hz_bills*G663,0)</f>
        <v/>
      </c>
      <c r="BR663" s="14">
        <f>F663*BQ663*in_bills_ticket*in_bills_comm/12</f>
        <v/>
      </c>
      <c r="BS663" s="40">
        <f>BS662*(1-IF(B662&gt;=in_marketplace_from,d_hz_loan_gold*G662,0))</f>
        <v/>
      </c>
      <c r="BT663" s="14">
        <f>F663*BS663*IF(B663&gt;=in_marketplace_from,d_hz_loan_gold*G663,0)*in_loan_gold_ticket*in_loan_gold_comm</f>
        <v/>
      </c>
      <c r="BU663" s="40">
        <f>BU662*(1-IF(B662&gt;=in_marketplace_from,d_hz_loan_cd*G662,0))</f>
        <v/>
      </c>
      <c r="BV663" s="14">
        <f>F663*BU663*IF(B663&gt;=in_marketplace_from,d_hz_loan_cd*G663,0)*in_loan_cd_ticket*in_loan_cd_comm</f>
        <v/>
      </c>
      <c r="BW663" s="40">
        <f>BW662*(1-IF(B662&gt;=in_marketplace_from,d_hz_loan_vehicle*G662,0))</f>
        <v/>
      </c>
      <c r="BX663" s="14">
        <f>F663*BW663*IF(B663&gt;=in_marketplace_from,d_hz_loan_vehicle*G663,0)*in_loan_vehicle_ticket*in_loan_vehicle_comm</f>
        <v/>
      </c>
      <c r="BY663" s="40">
        <f>BY662*(1-IF(B662&gt;=in_marketplace_from,d_hz_loan_home*G662,0)*BZ662)</f>
        <v/>
      </c>
      <c r="BZ663" s="11">
        <f>MIN(in_approval_cap,in_loan_home_approval*INDEX('Age profile'!$O$2:$O$61,B663)*(1+in_approval_growth)^(D663-1))</f>
        <v/>
      </c>
      <c r="CA663" s="14">
        <f>F663*BY663*IF(B663&gt;=in_marketplace_from,d_hz_loan_home*G663,0)*BZ663*in_loan_home_ticket*in_loan_home_comm</f>
        <v/>
      </c>
      <c r="CB663" s="40">
        <f>CB662*(1-IF(B662&gt;=in_marketplace_from,d_hz_loan_lap*G662,0)*CC662)</f>
        <v/>
      </c>
      <c r="CC663" s="11">
        <f>MIN(in_approval_cap,in_loan_lap_approval*INDEX('Age profile'!$O$2:$O$61,B663)*(1+in_approval_growth)^(D663-1))</f>
        <v/>
      </c>
      <c r="CD663" s="14">
        <f>F663*CB663*IF(B663&gt;=in_marketplace_from,d_hz_loan_lap*G663,0)*CC663*in_loan_lap_ticket*in_loan_lap_comm</f>
        <v/>
      </c>
      <c r="CE663" s="14">
        <f>AA663+AB663+AC663+AD663+AG663+AJ663+AM663+AP663+AS663+AU663+AX663+BB663+BE663+BG663+BJ663+BL663+BO663+BR663+BT663+BV663+BX663+CA663+CD663</f>
        <v/>
      </c>
    </row>
    <row r="664">
      <c r="A664" s="39" t="n">
        <v>13</v>
      </c>
      <c r="B664" s="39" t="n">
        <v>9</v>
      </c>
      <c r="C664" s="39">
        <f>A664+B664-1</f>
        <v/>
      </c>
      <c r="D664" s="39">
        <f>INT((C664-1)/12)+1</f>
        <v/>
      </c>
      <c r="E664" s="44">
        <f>INDEX(Monthly!$B$2:$B$61,A664)</f>
        <v/>
      </c>
      <c r="F664" s="44">
        <f>E664*INDEX('Age profile'!$B$2:$B$61,B664)</f>
        <v/>
      </c>
      <c r="G664" s="45">
        <f>MIN(in_takeup_cap,INDEX('Age profile'!$N$2:$N$61,B664)*(1+in_takeup_growth)^(D664-1))</f>
        <v/>
      </c>
      <c r="H664" s="11">
        <f>MIN(in_approval_cap,in_approved_first*INDEX('Age profile'!$O$2:$O$61,B664)*(1+in_approval_growth)^(D664-1))</f>
        <v/>
      </c>
      <c r="I664" s="45">
        <f>G664*MIN(in_takeup_cap,INDEX('Age profile'!$O$2:$O$61,B664)*(1+in_approval_growth)^(D664-1))</f>
        <v/>
      </c>
      <c r="J664" s="40">
        <f>(J663-L663)*F664/F663</f>
        <v/>
      </c>
      <c r="K664" s="40">
        <f>(K663-M663)*F664/F663+SUMIFS(O656:O663,B656:B663,B664-1-d_T)*F664</f>
        <v/>
      </c>
      <c r="L664" s="40">
        <f>IF(B664&gt;=in_marketplace_from,J664*d_hz*G664*in_eligible*H664,0)</f>
        <v/>
      </c>
      <c r="M664" s="40">
        <f>IF(B664&gt;=in_marketplace_from,K664*d_hz*G664*in_eligible*in_approved_repeat,0)</f>
        <v/>
      </c>
      <c r="N664" s="40">
        <f>L664+M664</f>
        <v/>
      </c>
      <c r="O664" s="46">
        <f>N664/F664</f>
        <v/>
      </c>
      <c r="P664" s="40">
        <f>F664-J664-K664</f>
        <v/>
      </c>
      <c r="Q664" s="40">
        <f>IF(B664&gt;=in_marketplace_from,(J664+K664)*d_hz*G664,0)</f>
        <v/>
      </c>
      <c r="R664" s="40">
        <f>SUMIFS(N656:N703,B656:B703,"&gt;="&amp;(B664-d_T),B656:B703,"&lt;="&amp;(B664-1))</f>
        <v/>
      </c>
      <c r="S664" s="46">
        <f>(1-d_u)*S663+IF(d_T&gt;in_topup_lag,SUMIFS(O656:O703,B656:B703,B664-in_topup_lag)-d_udrop*SUMIFS(O656:O703,B656:B703,B664-d_T),0)</f>
        <v/>
      </c>
      <c r="T664" s="40">
        <f>F664*d_u*S664</f>
        <v/>
      </c>
      <c r="U664" s="9">
        <f>L664*in_ticket+M664*d_rep_ticket</f>
        <v/>
      </c>
      <c r="V664" s="9">
        <f>U664+T664*d_topup_amt</f>
        <v/>
      </c>
      <c r="W664" s="40">
        <f>N664+T664*d_topup_ratio</f>
        <v/>
      </c>
      <c r="X664" s="40">
        <f>SUMIFS(W656:W703,B656:B703,B664-in_dpd_lag)*d_cured</f>
        <v/>
      </c>
      <c r="Y664" s="40">
        <f>SUMIFS(W656:W703,B656:B703,B664-in_rec_lag)*d_recd</f>
        <v/>
      </c>
      <c r="Z664" s="40">
        <f>IF(AND(B664&gt;=in_marketplace_from,B664&lt;in_marketplace_from+in_card_months),in_card_share/in_card_months*F664*I664,IF(AND(B664&gt;=in_marketplace_from+in_card_months,B664&lt;in_marketplace_from+2*in_card_months),in_card_share*d_card_rem/in_card_months*F664*MIN(in_takeup_cap,(1+in_takeup_growth)^(D664-1))*MIN(in_takeup_cap,(1+in_approval_growth)^(D664-1)),0))</f>
        <v/>
      </c>
      <c r="AA664" s="14">
        <f>V664*in_fee*(1-in_taken_back)</f>
        <v/>
      </c>
      <c r="AB664" s="14">
        <f>SUMIFS(W656:W703,B656:B703,B664-in_dpd_lag)*d_dpd</f>
        <v/>
      </c>
      <c r="AC664" s="14">
        <f>SUMIFS(W656:W703,B656:B703,B664-in_rec_lag)*d_rec</f>
        <v/>
      </c>
      <c r="AD664" s="14">
        <f>Z664*in_card_fee</f>
        <v/>
      </c>
      <c r="AE664" s="40">
        <f>AE663*(1-IF(B663&gt;=in_marketplace_from,d_hz_hlth_small*G663,0))</f>
        <v/>
      </c>
      <c r="AF664" s="46">
        <f>AE664*IF(B664&gt;=in_marketplace_from,d_hz_hlth_small*G664,0)</f>
        <v/>
      </c>
      <c r="AG664" s="14">
        <f>F664*AF664*in_hlth_small_ticket*in_hlth_small_comm*in_ins_partner_share+F664*in_hlth_small_ticket*in_hlth_small_renew_comm*in_ins_partner_share*(in_hlth_small_renew^1*SUMIFS(AF656:AF703,B656:B703,B664-12)+in_hlth_small_renew^2*SUMIFS(AF656:AF703,B656:B703,B664-24)+in_hlth_small_renew^3*SUMIFS(AF656:AF703,B656:B703,B664-36)+in_hlth_small_renew^4*SUMIFS(AF656:AF703,B656:B703,B664-48))</f>
        <v/>
      </c>
      <c r="AH664" s="40">
        <f>AH663*(1-IF(B663&gt;=in_marketplace_from,d_hz_hlth_family*G663,0))</f>
        <v/>
      </c>
      <c r="AI664" s="46">
        <f>AH664*IF(B664&gt;=in_marketplace_from,d_hz_hlth_family*G664,0)</f>
        <v/>
      </c>
      <c r="AJ664" s="14">
        <f>F664*AI664*in_hlth_family_ticket*in_hlth_family_comm*in_ins_partner_share+F664*in_hlth_family_ticket*in_hlth_family_renew_comm*in_ins_partner_share*(in_hlth_family_renew^1*SUMIFS(AI656:AI703,B656:B703,B664-12)+in_hlth_family_renew^2*SUMIFS(AI656:AI703,B656:B703,B664-24)+in_hlth_family_renew^3*SUMIFS(AI656:AI703,B656:B703,B664-36)+in_hlth_family_renew^4*SUMIFS(AI656:AI703,B656:B703,B664-48))</f>
        <v/>
      </c>
      <c r="AK664" s="40">
        <f>AK663*(1-IF(B663&gt;=in_marketplace_from,d_hz_life_term*G663,0))</f>
        <v/>
      </c>
      <c r="AL664" s="46">
        <f>AK664*IF(B664&gt;=in_marketplace_from,d_hz_life_term*G664,0)</f>
        <v/>
      </c>
      <c r="AM664" s="14">
        <f>F664*AL664*in_life_term_ticket*in_life_term_comm*in_ins_partner_share+F664*in_life_term_ticket*in_life_term_renew_comm*in_ins_partner_share*(in_life_term_renew^1*SUMIFS(AL656:AL703,B656:B703,B664-12)+in_life_term_renew^2*SUMIFS(AL656:AL703,B656:B703,B664-24)+in_life_term_renew^3*SUMIFS(AL656:AL703,B656:B703,B664-36)+in_life_term_renew^4*SUMIFS(AL656:AL703,B656:B703,B664-48))</f>
        <v/>
      </c>
      <c r="AN664" s="40">
        <f>AN663*(1-IF(B663&gt;=in_marketplace_from,d_hz_accident*G663,0))</f>
        <v/>
      </c>
      <c r="AO664" s="46">
        <f>AN664*IF(B664&gt;=in_marketplace_from,d_hz_accident*G664,0)</f>
        <v/>
      </c>
      <c r="AP664" s="14">
        <f>F664*AO664*in_accident_ticket*in_accident_comm*in_ins_partner_share+F664*in_accident_ticket*in_accident_renew_comm*in_ins_partner_share*(in_accident_renew^1*SUMIFS(AO656:AO703,B656:B703,B664-12)+in_accident_renew^2*SUMIFS(AO656:AO703,B656:B703,B664-24)+in_accident_renew^3*SUMIFS(AO656:AO703,B656:B703,B664-36)+in_accident_renew^4*SUMIFS(AO656:AO703,B656:B703,B664-48))</f>
        <v/>
      </c>
      <c r="AQ664" s="40">
        <f>AQ663*(1-IF(B663&gt;=in_marketplace_from,d_hz_two_wheeler*G663,0))</f>
        <v/>
      </c>
      <c r="AR664" s="46">
        <f>AQ664*IF(B664&gt;=in_marketplace_from,d_hz_two_wheeler*G664,0)</f>
        <v/>
      </c>
      <c r="AS664" s="14">
        <f>F664*AR664*in_two_wheeler_ticket*in_two_wheeler_comm*in_ins_partner_share+F664*in_two_wheeler_ticket*in_two_wheeler_comm*in_ins_partner_share*(in_two_wheeler_renew^1*SUMIFS(AR656:AR703,B656:B703,B664-12)+in_two_wheeler_renew^2*SUMIFS(AR656:AR703,B656:B703,B664-24)+in_two_wheeler_renew^3*SUMIFS(AR656:AR703,B656:B703,B664-36)+in_two_wheeler_renew^4*SUMIFS(AR656:AR703,B656:B703,B664-48))</f>
        <v/>
      </c>
      <c r="AT664" s="40">
        <f>AT663*(1-IF(B663&gt;=in_marketplace_from,d_hz_device*G663,0))</f>
        <v/>
      </c>
      <c r="AU664" s="14">
        <f>F664*AT664*IF(B664&gt;=in_marketplace_from,d_hz_device*G664,0)*in_device_ticket*in_device_comm*in_ins_partner_share</f>
        <v/>
      </c>
      <c r="AV664" s="40">
        <f>AV663*(1-IF(B663&gt;=in_marketplace_from,d_hz_shop*G663,0))</f>
        <v/>
      </c>
      <c r="AW664" s="46">
        <f>AV664*IF(B664&gt;=in_marketplace_from,d_hz_shop*G664,0)</f>
        <v/>
      </c>
      <c r="AX664" s="14">
        <f>F664*AW664*in_shop_ticket*in_shop_comm*in_ins_partner_share+F664*in_shop_ticket*in_shop_renew_comm*in_ins_partner_share*(in_shop_renew^1*SUMIFS(AW656:AW703,B656:B703,B664-12)+in_shop_renew^2*SUMIFS(AW656:AW703,B656:B703,B664-24)+in_shop_renew^3*SUMIFS(AW656:AW703,B656:B703,B664-36)+in_shop_renew^4*SUMIFS(AW656:AW703,B656:B703,B664-48))</f>
        <v/>
      </c>
      <c r="AY664" s="40">
        <f>AY663*(1-IF(B663&gt;=in_marketplace_from,d_hz_sip*G663,0))</f>
        <v/>
      </c>
      <c r="AZ664" s="40">
        <f>AZ663*d_rho_sip+AY664*IF(B664&gt;=in_marketplace_from,d_hz_sip*G664,0)</f>
        <v/>
      </c>
      <c r="BA664" s="40">
        <f>d_rho_sip*(BA663+AZ663)</f>
        <v/>
      </c>
      <c r="BB664" s="14">
        <f>F664*in_sip_ticket*(BA664+0.5*AZ664)*in_sip_comm/12</f>
        <v/>
      </c>
      <c r="BC664" s="40">
        <f>BC663*(1-IF(B663&gt;=in_marketplace_from,d_hz_choti*G663,0))</f>
        <v/>
      </c>
      <c r="BD664" s="46">
        <f>BC664*IF(B664&gt;=in_marketplace_from,d_hz_choti*G664,0)</f>
        <v/>
      </c>
      <c r="BE664" s="14">
        <f>F664*SUMIFS(BD656:BD703,B656:B703,B664-in_choti_months)*in_choti_renew*in_choti_ticket</f>
        <v/>
      </c>
      <c r="BF664" s="40">
        <f>BF663*(1-IF(B663&gt;=in_marketplace_from,d_hz_nps*G663,0))</f>
        <v/>
      </c>
      <c r="BG664" s="14">
        <f>F664*BF664*IF(B664&gt;=in_marketplace_from,d_hz_nps*G664,0)*in_nps_ticket*in_nps_comm</f>
        <v/>
      </c>
      <c r="BH664" s="40">
        <f>BH663*(1-IF(B663&gt;=in_marketplace_from,d_hz_gold*G663,0))</f>
        <v/>
      </c>
      <c r="BI664" s="40">
        <f>BI663*d_rho_gold+BH664*IF(B664&gt;=in_marketplace_from,d_hz_gold*G664,0)</f>
        <v/>
      </c>
      <c r="BJ664" s="14">
        <f>F664*BI664*in_gold_ticket*in_gold_comm</f>
        <v/>
      </c>
      <c r="BK664" s="40">
        <f>BK663*(1-IF(B663&gt;=in_marketplace_from,d_hz_fd*G663,0))</f>
        <v/>
      </c>
      <c r="BL664" s="14">
        <f>F664*BK664*IF(B664&gt;=in_marketplace_from,d_hz_fd*G664,0)*in_fd_ticket*in_fd_comm</f>
        <v/>
      </c>
      <c r="BM664" s="40">
        <f>BM663*(1-IF(B663&gt;=in_marketplace_from,d_hz_recharge*G663,0))</f>
        <v/>
      </c>
      <c r="BN664" s="40">
        <f>BN663*d_rho_recharge+BM664*IF(B664&gt;=in_marketplace_from,d_hz_recharge*G664,0)</f>
        <v/>
      </c>
      <c r="BO664" s="14">
        <f>F664*BN664*in_recharge_ticket*in_recharge_comm/12</f>
        <v/>
      </c>
      <c r="BP664" s="40">
        <f>BP663*(1-IF(B663&gt;=in_marketplace_from,d_hz_bills*G663,0))</f>
        <v/>
      </c>
      <c r="BQ664" s="40">
        <f>BQ663*d_rho_bills+BP664*IF(B664&gt;=in_marketplace_from,d_hz_bills*G664,0)</f>
        <v/>
      </c>
      <c r="BR664" s="14">
        <f>F664*BQ664*in_bills_ticket*in_bills_comm/12</f>
        <v/>
      </c>
      <c r="BS664" s="40">
        <f>BS663*(1-IF(B663&gt;=in_marketplace_from,d_hz_loan_gold*G663,0))</f>
        <v/>
      </c>
      <c r="BT664" s="14">
        <f>F664*BS664*IF(B664&gt;=in_marketplace_from,d_hz_loan_gold*G664,0)*in_loan_gold_ticket*in_loan_gold_comm</f>
        <v/>
      </c>
      <c r="BU664" s="40">
        <f>BU663*(1-IF(B663&gt;=in_marketplace_from,d_hz_loan_cd*G663,0))</f>
        <v/>
      </c>
      <c r="BV664" s="14">
        <f>F664*BU664*IF(B664&gt;=in_marketplace_from,d_hz_loan_cd*G664,0)*in_loan_cd_ticket*in_loan_cd_comm</f>
        <v/>
      </c>
      <c r="BW664" s="40">
        <f>BW663*(1-IF(B663&gt;=in_marketplace_from,d_hz_loan_vehicle*G663,0))</f>
        <v/>
      </c>
      <c r="BX664" s="14">
        <f>F664*BW664*IF(B664&gt;=in_marketplace_from,d_hz_loan_vehicle*G664,0)*in_loan_vehicle_ticket*in_loan_vehicle_comm</f>
        <v/>
      </c>
      <c r="BY664" s="40">
        <f>BY663*(1-IF(B663&gt;=in_marketplace_from,d_hz_loan_home*G663,0)*BZ663)</f>
        <v/>
      </c>
      <c r="BZ664" s="11">
        <f>MIN(in_approval_cap,in_loan_home_approval*INDEX('Age profile'!$O$2:$O$61,B664)*(1+in_approval_growth)^(D664-1))</f>
        <v/>
      </c>
      <c r="CA664" s="14">
        <f>F664*BY664*IF(B664&gt;=in_marketplace_from,d_hz_loan_home*G664,0)*BZ664*in_loan_home_ticket*in_loan_home_comm</f>
        <v/>
      </c>
      <c r="CB664" s="40">
        <f>CB663*(1-IF(B663&gt;=in_marketplace_from,d_hz_loan_lap*G663,0)*CC663)</f>
        <v/>
      </c>
      <c r="CC664" s="11">
        <f>MIN(in_approval_cap,in_loan_lap_approval*INDEX('Age profile'!$O$2:$O$61,B664)*(1+in_approval_growth)^(D664-1))</f>
        <v/>
      </c>
      <c r="CD664" s="14">
        <f>F664*CB664*IF(B664&gt;=in_marketplace_from,d_hz_loan_lap*G664,0)*CC664*in_loan_lap_ticket*in_loan_lap_comm</f>
        <v/>
      </c>
      <c r="CE664" s="14">
        <f>AA664+AB664+AC664+AD664+AG664+AJ664+AM664+AP664+AS664+AU664+AX664+BB664+BE664+BG664+BJ664+BL664+BO664+BR664+BT664+BV664+BX664+CA664+CD664</f>
        <v/>
      </c>
    </row>
    <row r="665">
      <c r="A665" s="39" t="n">
        <v>13</v>
      </c>
      <c r="B665" s="39" t="n">
        <v>10</v>
      </c>
      <c r="C665" s="39">
        <f>A665+B665-1</f>
        <v/>
      </c>
      <c r="D665" s="39">
        <f>INT((C665-1)/12)+1</f>
        <v/>
      </c>
      <c r="E665" s="44">
        <f>INDEX(Monthly!$B$2:$B$61,A665)</f>
        <v/>
      </c>
      <c r="F665" s="44">
        <f>E665*INDEX('Age profile'!$B$2:$B$61,B665)</f>
        <v/>
      </c>
      <c r="G665" s="45">
        <f>MIN(in_takeup_cap,INDEX('Age profile'!$N$2:$N$61,B665)*(1+in_takeup_growth)^(D665-1))</f>
        <v/>
      </c>
      <c r="H665" s="11">
        <f>MIN(in_approval_cap,in_approved_first*INDEX('Age profile'!$O$2:$O$61,B665)*(1+in_approval_growth)^(D665-1))</f>
        <v/>
      </c>
      <c r="I665" s="45">
        <f>G665*MIN(in_takeup_cap,INDEX('Age profile'!$O$2:$O$61,B665)*(1+in_approval_growth)^(D665-1))</f>
        <v/>
      </c>
      <c r="J665" s="40">
        <f>(J664-L664)*F665/F664</f>
        <v/>
      </c>
      <c r="K665" s="40">
        <f>(K664-M664)*F665/F664+SUMIFS(O656:O664,B656:B664,B665-1-d_T)*F665</f>
        <v/>
      </c>
      <c r="L665" s="40">
        <f>IF(B665&gt;=in_marketplace_from,J665*d_hz*G665*in_eligible*H665,0)</f>
        <v/>
      </c>
      <c r="M665" s="40">
        <f>IF(B665&gt;=in_marketplace_from,K665*d_hz*G665*in_eligible*in_approved_repeat,0)</f>
        <v/>
      </c>
      <c r="N665" s="40">
        <f>L665+M665</f>
        <v/>
      </c>
      <c r="O665" s="46">
        <f>N665/F665</f>
        <v/>
      </c>
      <c r="P665" s="40">
        <f>F665-J665-K665</f>
        <v/>
      </c>
      <c r="Q665" s="40">
        <f>IF(B665&gt;=in_marketplace_from,(J665+K665)*d_hz*G665,0)</f>
        <v/>
      </c>
      <c r="R665" s="40">
        <f>SUMIFS(N656:N703,B656:B703,"&gt;="&amp;(B665-d_T),B656:B703,"&lt;="&amp;(B665-1))</f>
        <v/>
      </c>
      <c r="S665" s="46">
        <f>(1-d_u)*S664+IF(d_T&gt;in_topup_lag,SUMIFS(O656:O703,B656:B703,B665-in_topup_lag)-d_udrop*SUMIFS(O656:O703,B656:B703,B665-d_T),0)</f>
        <v/>
      </c>
      <c r="T665" s="40">
        <f>F665*d_u*S665</f>
        <v/>
      </c>
      <c r="U665" s="9">
        <f>L665*in_ticket+M665*d_rep_ticket</f>
        <v/>
      </c>
      <c r="V665" s="9">
        <f>U665+T665*d_topup_amt</f>
        <v/>
      </c>
      <c r="W665" s="40">
        <f>N665+T665*d_topup_ratio</f>
        <v/>
      </c>
      <c r="X665" s="40">
        <f>SUMIFS(W656:W703,B656:B703,B665-in_dpd_lag)*d_cured</f>
        <v/>
      </c>
      <c r="Y665" s="40">
        <f>SUMIFS(W656:W703,B656:B703,B665-in_rec_lag)*d_recd</f>
        <v/>
      </c>
      <c r="Z665" s="40">
        <f>IF(AND(B665&gt;=in_marketplace_from,B665&lt;in_marketplace_from+in_card_months),in_card_share/in_card_months*F665*I665,IF(AND(B665&gt;=in_marketplace_from+in_card_months,B665&lt;in_marketplace_from+2*in_card_months),in_card_share*d_card_rem/in_card_months*F665*MIN(in_takeup_cap,(1+in_takeup_growth)^(D665-1))*MIN(in_takeup_cap,(1+in_approval_growth)^(D665-1)),0))</f>
        <v/>
      </c>
      <c r="AA665" s="14">
        <f>V665*in_fee*(1-in_taken_back)</f>
        <v/>
      </c>
      <c r="AB665" s="14">
        <f>SUMIFS(W656:W703,B656:B703,B665-in_dpd_lag)*d_dpd</f>
        <v/>
      </c>
      <c r="AC665" s="14">
        <f>SUMIFS(W656:W703,B656:B703,B665-in_rec_lag)*d_rec</f>
        <v/>
      </c>
      <c r="AD665" s="14">
        <f>Z665*in_card_fee</f>
        <v/>
      </c>
      <c r="AE665" s="40">
        <f>AE664*(1-IF(B664&gt;=in_marketplace_from,d_hz_hlth_small*G664,0))</f>
        <v/>
      </c>
      <c r="AF665" s="46">
        <f>AE665*IF(B665&gt;=in_marketplace_from,d_hz_hlth_small*G665,0)</f>
        <v/>
      </c>
      <c r="AG665" s="14">
        <f>F665*AF665*in_hlth_small_ticket*in_hlth_small_comm*in_ins_partner_share+F665*in_hlth_small_ticket*in_hlth_small_renew_comm*in_ins_partner_share*(in_hlth_small_renew^1*SUMIFS(AF656:AF703,B656:B703,B665-12)+in_hlth_small_renew^2*SUMIFS(AF656:AF703,B656:B703,B665-24)+in_hlth_small_renew^3*SUMIFS(AF656:AF703,B656:B703,B665-36)+in_hlth_small_renew^4*SUMIFS(AF656:AF703,B656:B703,B665-48))</f>
        <v/>
      </c>
      <c r="AH665" s="40">
        <f>AH664*(1-IF(B664&gt;=in_marketplace_from,d_hz_hlth_family*G664,0))</f>
        <v/>
      </c>
      <c r="AI665" s="46">
        <f>AH665*IF(B665&gt;=in_marketplace_from,d_hz_hlth_family*G665,0)</f>
        <v/>
      </c>
      <c r="AJ665" s="14">
        <f>F665*AI665*in_hlth_family_ticket*in_hlth_family_comm*in_ins_partner_share+F665*in_hlth_family_ticket*in_hlth_family_renew_comm*in_ins_partner_share*(in_hlth_family_renew^1*SUMIFS(AI656:AI703,B656:B703,B665-12)+in_hlth_family_renew^2*SUMIFS(AI656:AI703,B656:B703,B665-24)+in_hlth_family_renew^3*SUMIFS(AI656:AI703,B656:B703,B665-36)+in_hlth_family_renew^4*SUMIFS(AI656:AI703,B656:B703,B665-48))</f>
        <v/>
      </c>
      <c r="AK665" s="40">
        <f>AK664*(1-IF(B664&gt;=in_marketplace_from,d_hz_life_term*G664,0))</f>
        <v/>
      </c>
      <c r="AL665" s="46">
        <f>AK665*IF(B665&gt;=in_marketplace_from,d_hz_life_term*G665,0)</f>
        <v/>
      </c>
      <c r="AM665" s="14">
        <f>F665*AL665*in_life_term_ticket*in_life_term_comm*in_ins_partner_share+F665*in_life_term_ticket*in_life_term_renew_comm*in_ins_partner_share*(in_life_term_renew^1*SUMIFS(AL656:AL703,B656:B703,B665-12)+in_life_term_renew^2*SUMIFS(AL656:AL703,B656:B703,B665-24)+in_life_term_renew^3*SUMIFS(AL656:AL703,B656:B703,B665-36)+in_life_term_renew^4*SUMIFS(AL656:AL703,B656:B703,B665-48))</f>
        <v/>
      </c>
      <c r="AN665" s="40">
        <f>AN664*(1-IF(B664&gt;=in_marketplace_from,d_hz_accident*G664,0))</f>
        <v/>
      </c>
      <c r="AO665" s="46">
        <f>AN665*IF(B665&gt;=in_marketplace_from,d_hz_accident*G665,0)</f>
        <v/>
      </c>
      <c r="AP665" s="14">
        <f>F665*AO665*in_accident_ticket*in_accident_comm*in_ins_partner_share+F665*in_accident_ticket*in_accident_renew_comm*in_ins_partner_share*(in_accident_renew^1*SUMIFS(AO656:AO703,B656:B703,B665-12)+in_accident_renew^2*SUMIFS(AO656:AO703,B656:B703,B665-24)+in_accident_renew^3*SUMIFS(AO656:AO703,B656:B703,B665-36)+in_accident_renew^4*SUMIFS(AO656:AO703,B656:B703,B665-48))</f>
        <v/>
      </c>
      <c r="AQ665" s="40">
        <f>AQ664*(1-IF(B664&gt;=in_marketplace_from,d_hz_two_wheeler*G664,0))</f>
        <v/>
      </c>
      <c r="AR665" s="46">
        <f>AQ665*IF(B665&gt;=in_marketplace_from,d_hz_two_wheeler*G665,0)</f>
        <v/>
      </c>
      <c r="AS665" s="14">
        <f>F665*AR665*in_two_wheeler_ticket*in_two_wheeler_comm*in_ins_partner_share+F665*in_two_wheeler_ticket*in_two_wheeler_comm*in_ins_partner_share*(in_two_wheeler_renew^1*SUMIFS(AR656:AR703,B656:B703,B665-12)+in_two_wheeler_renew^2*SUMIFS(AR656:AR703,B656:B703,B665-24)+in_two_wheeler_renew^3*SUMIFS(AR656:AR703,B656:B703,B665-36)+in_two_wheeler_renew^4*SUMIFS(AR656:AR703,B656:B703,B665-48))</f>
        <v/>
      </c>
      <c r="AT665" s="40">
        <f>AT664*(1-IF(B664&gt;=in_marketplace_from,d_hz_device*G664,0))</f>
        <v/>
      </c>
      <c r="AU665" s="14">
        <f>F665*AT665*IF(B665&gt;=in_marketplace_from,d_hz_device*G665,0)*in_device_ticket*in_device_comm*in_ins_partner_share</f>
        <v/>
      </c>
      <c r="AV665" s="40">
        <f>AV664*(1-IF(B664&gt;=in_marketplace_from,d_hz_shop*G664,0))</f>
        <v/>
      </c>
      <c r="AW665" s="46">
        <f>AV665*IF(B665&gt;=in_marketplace_from,d_hz_shop*G665,0)</f>
        <v/>
      </c>
      <c r="AX665" s="14">
        <f>F665*AW665*in_shop_ticket*in_shop_comm*in_ins_partner_share+F665*in_shop_ticket*in_shop_renew_comm*in_ins_partner_share*(in_shop_renew^1*SUMIFS(AW656:AW703,B656:B703,B665-12)+in_shop_renew^2*SUMIFS(AW656:AW703,B656:B703,B665-24)+in_shop_renew^3*SUMIFS(AW656:AW703,B656:B703,B665-36)+in_shop_renew^4*SUMIFS(AW656:AW703,B656:B703,B665-48))</f>
        <v/>
      </c>
      <c r="AY665" s="40">
        <f>AY664*(1-IF(B664&gt;=in_marketplace_from,d_hz_sip*G664,0))</f>
        <v/>
      </c>
      <c r="AZ665" s="40">
        <f>AZ664*d_rho_sip+AY665*IF(B665&gt;=in_marketplace_from,d_hz_sip*G665,0)</f>
        <v/>
      </c>
      <c r="BA665" s="40">
        <f>d_rho_sip*(BA664+AZ664)</f>
        <v/>
      </c>
      <c r="BB665" s="14">
        <f>F665*in_sip_ticket*(BA665+0.5*AZ665)*in_sip_comm/12</f>
        <v/>
      </c>
      <c r="BC665" s="40">
        <f>BC664*(1-IF(B664&gt;=in_marketplace_from,d_hz_choti*G664,0))</f>
        <v/>
      </c>
      <c r="BD665" s="46">
        <f>BC665*IF(B665&gt;=in_marketplace_from,d_hz_choti*G665,0)</f>
        <v/>
      </c>
      <c r="BE665" s="14">
        <f>F665*SUMIFS(BD656:BD703,B656:B703,B665-in_choti_months)*in_choti_renew*in_choti_ticket</f>
        <v/>
      </c>
      <c r="BF665" s="40">
        <f>BF664*(1-IF(B664&gt;=in_marketplace_from,d_hz_nps*G664,0))</f>
        <v/>
      </c>
      <c r="BG665" s="14">
        <f>F665*BF665*IF(B665&gt;=in_marketplace_from,d_hz_nps*G665,0)*in_nps_ticket*in_nps_comm</f>
        <v/>
      </c>
      <c r="BH665" s="40">
        <f>BH664*(1-IF(B664&gt;=in_marketplace_from,d_hz_gold*G664,0))</f>
        <v/>
      </c>
      <c r="BI665" s="40">
        <f>BI664*d_rho_gold+BH665*IF(B665&gt;=in_marketplace_from,d_hz_gold*G665,0)</f>
        <v/>
      </c>
      <c r="BJ665" s="14">
        <f>F665*BI665*in_gold_ticket*in_gold_comm</f>
        <v/>
      </c>
      <c r="BK665" s="40">
        <f>BK664*(1-IF(B664&gt;=in_marketplace_from,d_hz_fd*G664,0))</f>
        <v/>
      </c>
      <c r="BL665" s="14">
        <f>F665*BK665*IF(B665&gt;=in_marketplace_from,d_hz_fd*G665,0)*in_fd_ticket*in_fd_comm</f>
        <v/>
      </c>
      <c r="BM665" s="40">
        <f>BM664*(1-IF(B664&gt;=in_marketplace_from,d_hz_recharge*G664,0))</f>
        <v/>
      </c>
      <c r="BN665" s="40">
        <f>BN664*d_rho_recharge+BM665*IF(B665&gt;=in_marketplace_from,d_hz_recharge*G665,0)</f>
        <v/>
      </c>
      <c r="BO665" s="14">
        <f>F665*BN665*in_recharge_ticket*in_recharge_comm/12</f>
        <v/>
      </c>
      <c r="BP665" s="40">
        <f>BP664*(1-IF(B664&gt;=in_marketplace_from,d_hz_bills*G664,0))</f>
        <v/>
      </c>
      <c r="BQ665" s="40">
        <f>BQ664*d_rho_bills+BP665*IF(B665&gt;=in_marketplace_from,d_hz_bills*G665,0)</f>
        <v/>
      </c>
      <c r="BR665" s="14">
        <f>F665*BQ665*in_bills_ticket*in_bills_comm/12</f>
        <v/>
      </c>
      <c r="BS665" s="40">
        <f>BS664*(1-IF(B664&gt;=in_marketplace_from,d_hz_loan_gold*G664,0))</f>
        <v/>
      </c>
      <c r="BT665" s="14">
        <f>F665*BS665*IF(B665&gt;=in_marketplace_from,d_hz_loan_gold*G665,0)*in_loan_gold_ticket*in_loan_gold_comm</f>
        <v/>
      </c>
      <c r="BU665" s="40">
        <f>BU664*(1-IF(B664&gt;=in_marketplace_from,d_hz_loan_cd*G664,0))</f>
        <v/>
      </c>
      <c r="BV665" s="14">
        <f>F665*BU665*IF(B665&gt;=in_marketplace_from,d_hz_loan_cd*G665,0)*in_loan_cd_ticket*in_loan_cd_comm</f>
        <v/>
      </c>
      <c r="BW665" s="40">
        <f>BW664*(1-IF(B664&gt;=in_marketplace_from,d_hz_loan_vehicle*G664,0))</f>
        <v/>
      </c>
      <c r="BX665" s="14">
        <f>F665*BW665*IF(B665&gt;=in_marketplace_from,d_hz_loan_vehicle*G665,0)*in_loan_vehicle_ticket*in_loan_vehicle_comm</f>
        <v/>
      </c>
      <c r="BY665" s="40">
        <f>BY664*(1-IF(B664&gt;=in_marketplace_from,d_hz_loan_home*G664,0)*BZ664)</f>
        <v/>
      </c>
      <c r="BZ665" s="11">
        <f>MIN(in_approval_cap,in_loan_home_approval*INDEX('Age profile'!$O$2:$O$61,B665)*(1+in_approval_growth)^(D665-1))</f>
        <v/>
      </c>
      <c r="CA665" s="14">
        <f>F665*BY665*IF(B665&gt;=in_marketplace_from,d_hz_loan_home*G665,0)*BZ665*in_loan_home_ticket*in_loan_home_comm</f>
        <v/>
      </c>
      <c r="CB665" s="40">
        <f>CB664*(1-IF(B664&gt;=in_marketplace_from,d_hz_loan_lap*G664,0)*CC664)</f>
        <v/>
      </c>
      <c r="CC665" s="11">
        <f>MIN(in_approval_cap,in_loan_lap_approval*INDEX('Age profile'!$O$2:$O$61,B665)*(1+in_approval_growth)^(D665-1))</f>
        <v/>
      </c>
      <c r="CD665" s="14">
        <f>F665*CB665*IF(B665&gt;=in_marketplace_from,d_hz_loan_lap*G665,0)*CC665*in_loan_lap_ticket*in_loan_lap_comm</f>
        <v/>
      </c>
      <c r="CE665" s="14">
        <f>AA665+AB665+AC665+AD665+AG665+AJ665+AM665+AP665+AS665+AU665+AX665+BB665+BE665+BG665+BJ665+BL665+BO665+BR665+BT665+BV665+BX665+CA665+CD665</f>
        <v/>
      </c>
    </row>
    <row r="666">
      <c r="A666" s="39" t="n">
        <v>13</v>
      </c>
      <c r="B666" s="39" t="n">
        <v>11</v>
      </c>
      <c r="C666" s="39">
        <f>A666+B666-1</f>
        <v/>
      </c>
      <c r="D666" s="39">
        <f>INT((C666-1)/12)+1</f>
        <v/>
      </c>
      <c r="E666" s="44">
        <f>INDEX(Monthly!$B$2:$B$61,A666)</f>
        <v/>
      </c>
      <c r="F666" s="44">
        <f>E666*INDEX('Age profile'!$B$2:$B$61,B666)</f>
        <v/>
      </c>
      <c r="G666" s="45">
        <f>MIN(in_takeup_cap,INDEX('Age profile'!$N$2:$N$61,B666)*(1+in_takeup_growth)^(D666-1))</f>
        <v/>
      </c>
      <c r="H666" s="11">
        <f>MIN(in_approval_cap,in_approved_first*INDEX('Age profile'!$O$2:$O$61,B666)*(1+in_approval_growth)^(D666-1))</f>
        <v/>
      </c>
      <c r="I666" s="45">
        <f>G666*MIN(in_takeup_cap,INDEX('Age profile'!$O$2:$O$61,B666)*(1+in_approval_growth)^(D666-1))</f>
        <v/>
      </c>
      <c r="J666" s="40">
        <f>(J665-L665)*F666/F665</f>
        <v/>
      </c>
      <c r="K666" s="40">
        <f>(K665-M665)*F666/F665+SUMIFS(O656:O665,B656:B665,B666-1-d_T)*F666</f>
        <v/>
      </c>
      <c r="L666" s="40">
        <f>IF(B666&gt;=in_marketplace_from,J666*d_hz*G666*in_eligible*H666,0)</f>
        <v/>
      </c>
      <c r="M666" s="40">
        <f>IF(B666&gt;=in_marketplace_from,K666*d_hz*G666*in_eligible*in_approved_repeat,0)</f>
        <v/>
      </c>
      <c r="N666" s="40">
        <f>L666+M666</f>
        <v/>
      </c>
      <c r="O666" s="46">
        <f>N666/F666</f>
        <v/>
      </c>
      <c r="P666" s="40">
        <f>F666-J666-K666</f>
        <v/>
      </c>
      <c r="Q666" s="40">
        <f>IF(B666&gt;=in_marketplace_from,(J666+K666)*d_hz*G666,0)</f>
        <v/>
      </c>
      <c r="R666" s="40">
        <f>SUMIFS(N656:N703,B656:B703,"&gt;="&amp;(B666-d_T),B656:B703,"&lt;="&amp;(B666-1))</f>
        <v/>
      </c>
      <c r="S666" s="46">
        <f>(1-d_u)*S665+IF(d_T&gt;in_topup_lag,SUMIFS(O656:O703,B656:B703,B666-in_topup_lag)-d_udrop*SUMIFS(O656:O703,B656:B703,B666-d_T),0)</f>
        <v/>
      </c>
      <c r="T666" s="40">
        <f>F666*d_u*S666</f>
        <v/>
      </c>
      <c r="U666" s="9">
        <f>L666*in_ticket+M666*d_rep_ticket</f>
        <v/>
      </c>
      <c r="V666" s="9">
        <f>U666+T666*d_topup_amt</f>
        <v/>
      </c>
      <c r="W666" s="40">
        <f>N666+T666*d_topup_ratio</f>
        <v/>
      </c>
      <c r="X666" s="40">
        <f>SUMIFS(W656:W703,B656:B703,B666-in_dpd_lag)*d_cured</f>
        <v/>
      </c>
      <c r="Y666" s="40">
        <f>SUMIFS(W656:W703,B656:B703,B666-in_rec_lag)*d_recd</f>
        <v/>
      </c>
      <c r="Z666" s="40">
        <f>IF(AND(B666&gt;=in_marketplace_from,B666&lt;in_marketplace_from+in_card_months),in_card_share/in_card_months*F666*I666,IF(AND(B666&gt;=in_marketplace_from+in_card_months,B666&lt;in_marketplace_from+2*in_card_months),in_card_share*d_card_rem/in_card_months*F666*MIN(in_takeup_cap,(1+in_takeup_growth)^(D666-1))*MIN(in_takeup_cap,(1+in_approval_growth)^(D666-1)),0))</f>
        <v/>
      </c>
      <c r="AA666" s="14">
        <f>V666*in_fee*(1-in_taken_back)</f>
        <v/>
      </c>
      <c r="AB666" s="14">
        <f>SUMIFS(W656:W703,B656:B703,B666-in_dpd_lag)*d_dpd</f>
        <v/>
      </c>
      <c r="AC666" s="14">
        <f>SUMIFS(W656:W703,B656:B703,B666-in_rec_lag)*d_rec</f>
        <v/>
      </c>
      <c r="AD666" s="14">
        <f>Z666*in_card_fee</f>
        <v/>
      </c>
      <c r="AE666" s="40">
        <f>AE665*(1-IF(B665&gt;=in_marketplace_from,d_hz_hlth_small*G665,0))</f>
        <v/>
      </c>
      <c r="AF666" s="46">
        <f>AE666*IF(B666&gt;=in_marketplace_from,d_hz_hlth_small*G666,0)</f>
        <v/>
      </c>
      <c r="AG666" s="14">
        <f>F666*AF666*in_hlth_small_ticket*in_hlth_small_comm*in_ins_partner_share+F666*in_hlth_small_ticket*in_hlth_small_renew_comm*in_ins_partner_share*(in_hlth_small_renew^1*SUMIFS(AF656:AF703,B656:B703,B666-12)+in_hlth_small_renew^2*SUMIFS(AF656:AF703,B656:B703,B666-24)+in_hlth_small_renew^3*SUMIFS(AF656:AF703,B656:B703,B666-36)+in_hlth_small_renew^4*SUMIFS(AF656:AF703,B656:B703,B666-48))</f>
        <v/>
      </c>
      <c r="AH666" s="40">
        <f>AH665*(1-IF(B665&gt;=in_marketplace_from,d_hz_hlth_family*G665,0))</f>
        <v/>
      </c>
      <c r="AI666" s="46">
        <f>AH666*IF(B666&gt;=in_marketplace_from,d_hz_hlth_family*G666,0)</f>
        <v/>
      </c>
      <c r="AJ666" s="14">
        <f>F666*AI666*in_hlth_family_ticket*in_hlth_family_comm*in_ins_partner_share+F666*in_hlth_family_ticket*in_hlth_family_renew_comm*in_ins_partner_share*(in_hlth_family_renew^1*SUMIFS(AI656:AI703,B656:B703,B666-12)+in_hlth_family_renew^2*SUMIFS(AI656:AI703,B656:B703,B666-24)+in_hlth_family_renew^3*SUMIFS(AI656:AI703,B656:B703,B666-36)+in_hlth_family_renew^4*SUMIFS(AI656:AI703,B656:B703,B666-48))</f>
        <v/>
      </c>
      <c r="AK666" s="40">
        <f>AK665*(1-IF(B665&gt;=in_marketplace_from,d_hz_life_term*G665,0))</f>
        <v/>
      </c>
      <c r="AL666" s="46">
        <f>AK666*IF(B666&gt;=in_marketplace_from,d_hz_life_term*G666,0)</f>
        <v/>
      </c>
      <c r="AM666" s="14">
        <f>F666*AL666*in_life_term_ticket*in_life_term_comm*in_ins_partner_share+F666*in_life_term_ticket*in_life_term_renew_comm*in_ins_partner_share*(in_life_term_renew^1*SUMIFS(AL656:AL703,B656:B703,B666-12)+in_life_term_renew^2*SUMIFS(AL656:AL703,B656:B703,B666-24)+in_life_term_renew^3*SUMIFS(AL656:AL703,B656:B703,B666-36)+in_life_term_renew^4*SUMIFS(AL656:AL703,B656:B703,B666-48))</f>
        <v/>
      </c>
      <c r="AN666" s="40">
        <f>AN665*(1-IF(B665&gt;=in_marketplace_from,d_hz_accident*G665,0))</f>
        <v/>
      </c>
      <c r="AO666" s="46">
        <f>AN666*IF(B666&gt;=in_marketplace_from,d_hz_accident*G666,0)</f>
        <v/>
      </c>
      <c r="AP666" s="14">
        <f>F666*AO666*in_accident_ticket*in_accident_comm*in_ins_partner_share+F666*in_accident_ticket*in_accident_renew_comm*in_ins_partner_share*(in_accident_renew^1*SUMIFS(AO656:AO703,B656:B703,B666-12)+in_accident_renew^2*SUMIFS(AO656:AO703,B656:B703,B666-24)+in_accident_renew^3*SUMIFS(AO656:AO703,B656:B703,B666-36)+in_accident_renew^4*SUMIFS(AO656:AO703,B656:B703,B666-48))</f>
        <v/>
      </c>
      <c r="AQ666" s="40">
        <f>AQ665*(1-IF(B665&gt;=in_marketplace_from,d_hz_two_wheeler*G665,0))</f>
        <v/>
      </c>
      <c r="AR666" s="46">
        <f>AQ666*IF(B666&gt;=in_marketplace_from,d_hz_two_wheeler*G666,0)</f>
        <v/>
      </c>
      <c r="AS666" s="14">
        <f>F666*AR666*in_two_wheeler_ticket*in_two_wheeler_comm*in_ins_partner_share+F666*in_two_wheeler_ticket*in_two_wheeler_comm*in_ins_partner_share*(in_two_wheeler_renew^1*SUMIFS(AR656:AR703,B656:B703,B666-12)+in_two_wheeler_renew^2*SUMIFS(AR656:AR703,B656:B703,B666-24)+in_two_wheeler_renew^3*SUMIFS(AR656:AR703,B656:B703,B666-36)+in_two_wheeler_renew^4*SUMIFS(AR656:AR703,B656:B703,B666-48))</f>
        <v/>
      </c>
      <c r="AT666" s="40">
        <f>AT665*(1-IF(B665&gt;=in_marketplace_from,d_hz_device*G665,0))</f>
        <v/>
      </c>
      <c r="AU666" s="14">
        <f>F666*AT666*IF(B666&gt;=in_marketplace_from,d_hz_device*G666,0)*in_device_ticket*in_device_comm*in_ins_partner_share</f>
        <v/>
      </c>
      <c r="AV666" s="40">
        <f>AV665*(1-IF(B665&gt;=in_marketplace_from,d_hz_shop*G665,0))</f>
        <v/>
      </c>
      <c r="AW666" s="46">
        <f>AV666*IF(B666&gt;=in_marketplace_from,d_hz_shop*G666,0)</f>
        <v/>
      </c>
      <c r="AX666" s="14">
        <f>F666*AW666*in_shop_ticket*in_shop_comm*in_ins_partner_share+F666*in_shop_ticket*in_shop_renew_comm*in_ins_partner_share*(in_shop_renew^1*SUMIFS(AW656:AW703,B656:B703,B666-12)+in_shop_renew^2*SUMIFS(AW656:AW703,B656:B703,B666-24)+in_shop_renew^3*SUMIFS(AW656:AW703,B656:B703,B666-36)+in_shop_renew^4*SUMIFS(AW656:AW703,B656:B703,B666-48))</f>
        <v/>
      </c>
      <c r="AY666" s="40">
        <f>AY665*(1-IF(B665&gt;=in_marketplace_from,d_hz_sip*G665,0))</f>
        <v/>
      </c>
      <c r="AZ666" s="40">
        <f>AZ665*d_rho_sip+AY666*IF(B666&gt;=in_marketplace_from,d_hz_sip*G666,0)</f>
        <v/>
      </c>
      <c r="BA666" s="40">
        <f>d_rho_sip*(BA665+AZ665)</f>
        <v/>
      </c>
      <c r="BB666" s="14">
        <f>F666*in_sip_ticket*(BA666+0.5*AZ666)*in_sip_comm/12</f>
        <v/>
      </c>
      <c r="BC666" s="40">
        <f>BC665*(1-IF(B665&gt;=in_marketplace_from,d_hz_choti*G665,0))</f>
        <v/>
      </c>
      <c r="BD666" s="46">
        <f>BC666*IF(B666&gt;=in_marketplace_from,d_hz_choti*G666,0)</f>
        <v/>
      </c>
      <c r="BE666" s="14">
        <f>F666*SUMIFS(BD656:BD703,B656:B703,B666-in_choti_months)*in_choti_renew*in_choti_ticket</f>
        <v/>
      </c>
      <c r="BF666" s="40">
        <f>BF665*(1-IF(B665&gt;=in_marketplace_from,d_hz_nps*G665,0))</f>
        <v/>
      </c>
      <c r="BG666" s="14">
        <f>F666*BF666*IF(B666&gt;=in_marketplace_from,d_hz_nps*G666,0)*in_nps_ticket*in_nps_comm</f>
        <v/>
      </c>
      <c r="BH666" s="40">
        <f>BH665*(1-IF(B665&gt;=in_marketplace_from,d_hz_gold*G665,0))</f>
        <v/>
      </c>
      <c r="BI666" s="40">
        <f>BI665*d_rho_gold+BH666*IF(B666&gt;=in_marketplace_from,d_hz_gold*G666,0)</f>
        <v/>
      </c>
      <c r="BJ666" s="14">
        <f>F666*BI666*in_gold_ticket*in_gold_comm</f>
        <v/>
      </c>
      <c r="BK666" s="40">
        <f>BK665*(1-IF(B665&gt;=in_marketplace_from,d_hz_fd*G665,0))</f>
        <v/>
      </c>
      <c r="BL666" s="14">
        <f>F666*BK666*IF(B666&gt;=in_marketplace_from,d_hz_fd*G666,0)*in_fd_ticket*in_fd_comm</f>
        <v/>
      </c>
      <c r="BM666" s="40">
        <f>BM665*(1-IF(B665&gt;=in_marketplace_from,d_hz_recharge*G665,0))</f>
        <v/>
      </c>
      <c r="BN666" s="40">
        <f>BN665*d_rho_recharge+BM666*IF(B666&gt;=in_marketplace_from,d_hz_recharge*G666,0)</f>
        <v/>
      </c>
      <c r="BO666" s="14">
        <f>F666*BN666*in_recharge_ticket*in_recharge_comm/12</f>
        <v/>
      </c>
      <c r="BP666" s="40">
        <f>BP665*(1-IF(B665&gt;=in_marketplace_from,d_hz_bills*G665,0))</f>
        <v/>
      </c>
      <c r="BQ666" s="40">
        <f>BQ665*d_rho_bills+BP666*IF(B666&gt;=in_marketplace_from,d_hz_bills*G666,0)</f>
        <v/>
      </c>
      <c r="BR666" s="14">
        <f>F666*BQ666*in_bills_ticket*in_bills_comm/12</f>
        <v/>
      </c>
      <c r="BS666" s="40">
        <f>BS665*(1-IF(B665&gt;=in_marketplace_from,d_hz_loan_gold*G665,0))</f>
        <v/>
      </c>
      <c r="BT666" s="14">
        <f>F666*BS666*IF(B666&gt;=in_marketplace_from,d_hz_loan_gold*G666,0)*in_loan_gold_ticket*in_loan_gold_comm</f>
        <v/>
      </c>
      <c r="BU666" s="40">
        <f>BU665*(1-IF(B665&gt;=in_marketplace_from,d_hz_loan_cd*G665,0))</f>
        <v/>
      </c>
      <c r="BV666" s="14">
        <f>F666*BU666*IF(B666&gt;=in_marketplace_from,d_hz_loan_cd*G666,0)*in_loan_cd_ticket*in_loan_cd_comm</f>
        <v/>
      </c>
      <c r="BW666" s="40">
        <f>BW665*(1-IF(B665&gt;=in_marketplace_from,d_hz_loan_vehicle*G665,0))</f>
        <v/>
      </c>
      <c r="BX666" s="14">
        <f>F666*BW666*IF(B666&gt;=in_marketplace_from,d_hz_loan_vehicle*G666,0)*in_loan_vehicle_ticket*in_loan_vehicle_comm</f>
        <v/>
      </c>
      <c r="BY666" s="40">
        <f>BY665*(1-IF(B665&gt;=in_marketplace_from,d_hz_loan_home*G665,0)*BZ665)</f>
        <v/>
      </c>
      <c r="BZ666" s="11">
        <f>MIN(in_approval_cap,in_loan_home_approval*INDEX('Age profile'!$O$2:$O$61,B666)*(1+in_approval_growth)^(D666-1))</f>
        <v/>
      </c>
      <c r="CA666" s="14">
        <f>F666*BY666*IF(B666&gt;=in_marketplace_from,d_hz_loan_home*G666,0)*BZ666*in_loan_home_ticket*in_loan_home_comm</f>
        <v/>
      </c>
      <c r="CB666" s="40">
        <f>CB665*(1-IF(B665&gt;=in_marketplace_from,d_hz_loan_lap*G665,0)*CC665)</f>
        <v/>
      </c>
      <c r="CC666" s="11">
        <f>MIN(in_approval_cap,in_loan_lap_approval*INDEX('Age profile'!$O$2:$O$61,B666)*(1+in_approval_growth)^(D666-1))</f>
        <v/>
      </c>
      <c r="CD666" s="14">
        <f>F666*CB666*IF(B666&gt;=in_marketplace_from,d_hz_loan_lap*G666,0)*CC666*in_loan_lap_ticket*in_loan_lap_comm</f>
        <v/>
      </c>
      <c r="CE666" s="14">
        <f>AA666+AB666+AC666+AD666+AG666+AJ666+AM666+AP666+AS666+AU666+AX666+BB666+BE666+BG666+BJ666+BL666+BO666+BR666+BT666+BV666+BX666+CA666+CD666</f>
        <v/>
      </c>
    </row>
    <row r="667">
      <c r="A667" s="39" t="n">
        <v>13</v>
      </c>
      <c r="B667" s="39" t="n">
        <v>12</v>
      </c>
      <c r="C667" s="39">
        <f>A667+B667-1</f>
        <v/>
      </c>
      <c r="D667" s="39">
        <f>INT((C667-1)/12)+1</f>
        <v/>
      </c>
      <c r="E667" s="44">
        <f>INDEX(Monthly!$B$2:$B$61,A667)</f>
        <v/>
      </c>
      <c r="F667" s="44">
        <f>E667*INDEX('Age profile'!$B$2:$B$61,B667)</f>
        <v/>
      </c>
      <c r="G667" s="45">
        <f>MIN(in_takeup_cap,INDEX('Age profile'!$N$2:$N$61,B667)*(1+in_takeup_growth)^(D667-1))</f>
        <v/>
      </c>
      <c r="H667" s="11">
        <f>MIN(in_approval_cap,in_approved_first*INDEX('Age profile'!$O$2:$O$61,B667)*(1+in_approval_growth)^(D667-1))</f>
        <v/>
      </c>
      <c r="I667" s="45">
        <f>G667*MIN(in_takeup_cap,INDEX('Age profile'!$O$2:$O$61,B667)*(1+in_approval_growth)^(D667-1))</f>
        <v/>
      </c>
      <c r="J667" s="40">
        <f>(J666-L666)*F667/F666</f>
        <v/>
      </c>
      <c r="K667" s="40">
        <f>(K666-M666)*F667/F666+SUMIFS(O656:O666,B656:B666,B667-1-d_T)*F667</f>
        <v/>
      </c>
      <c r="L667" s="40">
        <f>IF(B667&gt;=in_marketplace_from,J667*d_hz*G667*in_eligible*H667,0)</f>
        <v/>
      </c>
      <c r="M667" s="40">
        <f>IF(B667&gt;=in_marketplace_from,K667*d_hz*G667*in_eligible*in_approved_repeat,0)</f>
        <v/>
      </c>
      <c r="N667" s="40">
        <f>L667+M667</f>
        <v/>
      </c>
      <c r="O667" s="46">
        <f>N667/F667</f>
        <v/>
      </c>
      <c r="P667" s="40">
        <f>F667-J667-K667</f>
        <v/>
      </c>
      <c r="Q667" s="40">
        <f>IF(B667&gt;=in_marketplace_from,(J667+K667)*d_hz*G667,0)</f>
        <v/>
      </c>
      <c r="R667" s="40">
        <f>SUMIFS(N656:N703,B656:B703,"&gt;="&amp;(B667-d_T),B656:B703,"&lt;="&amp;(B667-1))</f>
        <v/>
      </c>
      <c r="S667" s="46">
        <f>(1-d_u)*S666+IF(d_T&gt;in_topup_lag,SUMIFS(O656:O703,B656:B703,B667-in_topup_lag)-d_udrop*SUMIFS(O656:O703,B656:B703,B667-d_T),0)</f>
        <v/>
      </c>
      <c r="T667" s="40">
        <f>F667*d_u*S667</f>
        <v/>
      </c>
      <c r="U667" s="9">
        <f>L667*in_ticket+M667*d_rep_ticket</f>
        <v/>
      </c>
      <c r="V667" s="9">
        <f>U667+T667*d_topup_amt</f>
        <v/>
      </c>
      <c r="W667" s="40">
        <f>N667+T667*d_topup_ratio</f>
        <v/>
      </c>
      <c r="X667" s="40">
        <f>SUMIFS(W656:W703,B656:B703,B667-in_dpd_lag)*d_cured</f>
        <v/>
      </c>
      <c r="Y667" s="40">
        <f>SUMIFS(W656:W703,B656:B703,B667-in_rec_lag)*d_recd</f>
        <v/>
      </c>
      <c r="Z667" s="40">
        <f>IF(AND(B667&gt;=in_marketplace_from,B667&lt;in_marketplace_from+in_card_months),in_card_share/in_card_months*F667*I667,IF(AND(B667&gt;=in_marketplace_from+in_card_months,B667&lt;in_marketplace_from+2*in_card_months),in_card_share*d_card_rem/in_card_months*F667*MIN(in_takeup_cap,(1+in_takeup_growth)^(D667-1))*MIN(in_takeup_cap,(1+in_approval_growth)^(D667-1)),0))</f>
        <v/>
      </c>
      <c r="AA667" s="14">
        <f>V667*in_fee*(1-in_taken_back)</f>
        <v/>
      </c>
      <c r="AB667" s="14">
        <f>SUMIFS(W656:W703,B656:B703,B667-in_dpd_lag)*d_dpd</f>
        <v/>
      </c>
      <c r="AC667" s="14">
        <f>SUMIFS(W656:W703,B656:B703,B667-in_rec_lag)*d_rec</f>
        <v/>
      </c>
      <c r="AD667" s="14">
        <f>Z667*in_card_fee</f>
        <v/>
      </c>
      <c r="AE667" s="40">
        <f>AE666*(1-IF(B666&gt;=in_marketplace_from,d_hz_hlth_small*G666,0))</f>
        <v/>
      </c>
      <c r="AF667" s="46">
        <f>AE667*IF(B667&gt;=in_marketplace_from,d_hz_hlth_small*G667,0)</f>
        <v/>
      </c>
      <c r="AG667" s="14">
        <f>F667*AF667*in_hlth_small_ticket*in_hlth_small_comm*in_ins_partner_share+F667*in_hlth_small_ticket*in_hlth_small_renew_comm*in_ins_partner_share*(in_hlth_small_renew^1*SUMIFS(AF656:AF703,B656:B703,B667-12)+in_hlth_small_renew^2*SUMIFS(AF656:AF703,B656:B703,B667-24)+in_hlth_small_renew^3*SUMIFS(AF656:AF703,B656:B703,B667-36)+in_hlth_small_renew^4*SUMIFS(AF656:AF703,B656:B703,B667-48))</f>
        <v/>
      </c>
      <c r="AH667" s="40">
        <f>AH666*(1-IF(B666&gt;=in_marketplace_from,d_hz_hlth_family*G666,0))</f>
        <v/>
      </c>
      <c r="AI667" s="46">
        <f>AH667*IF(B667&gt;=in_marketplace_from,d_hz_hlth_family*G667,0)</f>
        <v/>
      </c>
      <c r="AJ667" s="14">
        <f>F667*AI667*in_hlth_family_ticket*in_hlth_family_comm*in_ins_partner_share+F667*in_hlth_family_ticket*in_hlth_family_renew_comm*in_ins_partner_share*(in_hlth_family_renew^1*SUMIFS(AI656:AI703,B656:B703,B667-12)+in_hlth_family_renew^2*SUMIFS(AI656:AI703,B656:B703,B667-24)+in_hlth_family_renew^3*SUMIFS(AI656:AI703,B656:B703,B667-36)+in_hlth_family_renew^4*SUMIFS(AI656:AI703,B656:B703,B667-48))</f>
        <v/>
      </c>
      <c r="AK667" s="40">
        <f>AK666*(1-IF(B666&gt;=in_marketplace_from,d_hz_life_term*G666,0))</f>
        <v/>
      </c>
      <c r="AL667" s="46">
        <f>AK667*IF(B667&gt;=in_marketplace_from,d_hz_life_term*G667,0)</f>
        <v/>
      </c>
      <c r="AM667" s="14">
        <f>F667*AL667*in_life_term_ticket*in_life_term_comm*in_ins_partner_share+F667*in_life_term_ticket*in_life_term_renew_comm*in_ins_partner_share*(in_life_term_renew^1*SUMIFS(AL656:AL703,B656:B703,B667-12)+in_life_term_renew^2*SUMIFS(AL656:AL703,B656:B703,B667-24)+in_life_term_renew^3*SUMIFS(AL656:AL703,B656:B703,B667-36)+in_life_term_renew^4*SUMIFS(AL656:AL703,B656:B703,B667-48))</f>
        <v/>
      </c>
      <c r="AN667" s="40">
        <f>AN666*(1-IF(B666&gt;=in_marketplace_from,d_hz_accident*G666,0))</f>
        <v/>
      </c>
      <c r="AO667" s="46">
        <f>AN667*IF(B667&gt;=in_marketplace_from,d_hz_accident*G667,0)</f>
        <v/>
      </c>
      <c r="AP667" s="14">
        <f>F667*AO667*in_accident_ticket*in_accident_comm*in_ins_partner_share+F667*in_accident_ticket*in_accident_renew_comm*in_ins_partner_share*(in_accident_renew^1*SUMIFS(AO656:AO703,B656:B703,B667-12)+in_accident_renew^2*SUMIFS(AO656:AO703,B656:B703,B667-24)+in_accident_renew^3*SUMIFS(AO656:AO703,B656:B703,B667-36)+in_accident_renew^4*SUMIFS(AO656:AO703,B656:B703,B667-48))</f>
        <v/>
      </c>
      <c r="AQ667" s="40">
        <f>AQ666*(1-IF(B666&gt;=in_marketplace_from,d_hz_two_wheeler*G666,0))</f>
        <v/>
      </c>
      <c r="AR667" s="46">
        <f>AQ667*IF(B667&gt;=in_marketplace_from,d_hz_two_wheeler*G667,0)</f>
        <v/>
      </c>
      <c r="AS667" s="14">
        <f>F667*AR667*in_two_wheeler_ticket*in_two_wheeler_comm*in_ins_partner_share+F667*in_two_wheeler_ticket*in_two_wheeler_comm*in_ins_partner_share*(in_two_wheeler_renew^1*SUMIFS(AR656:AR703,B656:B703,B667-12)+in_two_wheeler_renew^2*SUMIFS(AR656:AR703,B656:B703,B667-24)+in_two_wheeler_renew^3*SUMIFS(AR656:AR703,B656:B703,B667-36)+in_two_wheeler_renew^4*SUMIFS(AR656:AR703,B656:B703,B667-48))</f>
        <v/>
      </c>
      <c r="AT667" s="40">
        <f>AT666*(1-IF(B666&gt;=in_marketplace_from,d_hz_device*G666,0))</f>
        <v/>
      </c>
      <c r="AU667" s="14">
        <f>F667*AT667*IF(B667&gt;=in_marketplace_from,d_hz_device*G667,0)*in_device_ticket*in_device_comm*in_ins_partner_share</f>
        <v/>
      </c>
      <c r="AV667" s="40">
        <f>AV666*(1-IF(B666&gt;=in_marketplace_from,d_hz_shop*G666,0))</f>
        <v/>
      </c>
      <c r="AW667" s="46">
        <f>AV667*IF(B667&gt;=in_marketplace_from,d_hz_shop*G667,0)</f>
        <v/>
      </c>
      <c r="AX667" s="14">
        <f>F667*AW667*in_shop_ticket*in_shop_comm*in_ins_partner_share+F667*in_shop_ticket*in_shop_renew_comm*in_ins_partner_share*(in_shop_renew^1*SUMIFS(AW656:AW703,B656:B703,B667-12)+in_shop_renew^2*SUMIFS(AW656:AW703,B656:B703,B667-24)+in_shop_renew^3*SUMIFS(AW656:AW703,B656:B703,B667-36)+in_shop_renew^4*SUMIFS(AW656:AW703,B656:B703,B667-48))</f>
        <v/>
      </c>
      <c r="AY667" s="40">
        <f>AY666*(1-IF(B666&gt;=in_marketplace_from,d_hz_sip*G666,0))</f>
        <v/>
      </c>
      <c r="AZ667" s="40">
        <f>AZ666*d_rho_sip+AY667*IF(B667&gt;=in_marketplace_from,d_hz_sip*G667,0)</f>
        <v/>
      </c>
      <c r="BA667" s="40">
        <f>d_rho_sip*(BA666+AZ666)</f>
        <v/>
      </c>
      <c r="BB667" s="14">
        <f>F667*in_sip_ticket*(BA667+0.5*AZ667)*in_sip_comm/12</f>
        <v/>
      </c>
      <c r="BC667" s="40">
        <f>BC666*(1-IF(B666&gt;=in_marketplace_from,d_hz_choti*G666,0))</f>
        <v/>
      </c>
      <c r="BD667" s="46">
        <f>BC667*IF(B667&gt;=in_marketplace_from,d_hz_choti*G667,0)</f>
        <v/>
      </c>
      <c r="BE667" s="14">
        <f>F667*SUMIFS(BD656:BD703,B656:B703,B667-in_choti_months)*in_choti_renew*in_choti_ticket</f>
        <v/>
      </c>
      <c r="BF667" s="40">
        <f>BF666*(1-IF(B666&gt;=in_marketplace_from,d_hz_nps*G666,0))</f>
        <v/>
      </c>
      <c r="BG667" s="14">
        <f>F667*BF667*IF(B667&gt;=in_marketplace_from,d_hz_nps*G667,0)*in_nps_ticket*in_nps_comm</f>
        <v/>
      </c>
      <c r="BH667" s="40">
        <f>BH666*(1-IF(B666&gt;=in_marketplace_from,d_hz_gold*G666,0))</f>
        <v/>
      </c>
      <c r="BI667" s="40">
        <f>BI666*d_rho_gold+BH667*IF(B667&gt;=in_marketplace_from,d_hz_gold*G667,0)</f>
        <v/>
      </c>
      <c r="BJ667" s="14">
        <f>F667*BI667*in_gold_ticket*in_gold_comm</f>
        <v/>
      </c>
      <c r="BK667" s="40">
        <f>BK666*(1-IF(B666&gt;=in_marketplace_from,d_hz_fd*G666,0))</f>
        <v/>
      </c>
      <c r="BL667" s="14">
        <f>F667*BK667*IF(B667&gt;=in_marketplace_from,d_hz_fd*G667,0)*in_fd_ticket*in_fd_comm</f>
        <v/>
      </c>
      <c r="BM667" s="40">
        <f>BM666*(1-IF(B666&gt;=in_marketplace_from,d_hz_recharge*G666,0))</f>
        <v/>
      </c>
      <c r="BN667" s="40">
        <f>BN666*d_rho_recharge+BM667*IF(B667&gt;=in_marketplace_from,d_hz_recharge*G667,0)</f>
        <v/>
      </c>
      <c r="BO667" s="14">
        <f>F667*BN667*in_recharge_ticket*in_recharge_comm/12</f>
        <v/>
      </c>
      <c r="BP667" s="40">
        <f>BP666*(1-IF(B666&gt;=in_marketplace_from,d_hz_bills*G666,0))</f>
        <v/>
      </c>
      <c r="BQ667" s="40">
        <f>BQ666*d_rho_bills+BP667*IF(B667&gt;=in_marketplace_from,d_hz_bills*G667,0)</f>
        <v/>
      </c>
      <c r="BR667" s="14">
        <f>F667*BQ667*in_bills_ticket*in_bills_comm/12</f>
        <v/>
      </c>
      <c r="BS667" s="40">
        <f>BS666*(1-IF(B666&gt;=in_marketplace_from,d_hz_loan_gold*G666,0))</f>
        <v/>
      </c>
      <c r="BT667" s="14">
        <f>F667*BS667*IF(B667&gt;=in_marketplace_from,d_hz_loan_gold*G667,0)*in_loan_gold_ticket*in_loan_gold_comm</f>
        <v/>
      </c>
      <c r="BU667" s="40">
        <f>BU666*(1-IF(B666&gt;=in_marketplace_from,d_hz_loan_cd*G666,0))</f>
        <v/>
      </c>
      <c r="BV667" s="14">
        <f>F667*BU667*IF(B667&gt;=in_marketplace_from,d_hz_loan_cd*G667,0)*in_loan_cd_ticket*in_loan_cd_comm</f>
        <v/>
      </c>
      <c r="BW667" s="40">
        <f>BW666*(1-IF(B666&gt;=in_marketplace_from,d_hz_loan_vehicle*G666,0))</f>
        <v/>
      </c>
      <c r="BX667" s="14">
        <f>F667*BW667*IF(B667&gt;=in_marketplace_from,d_hz_loan_vehicle*G667,0)*in_loan_vehicle_ticket*in_loan_vehicle_comm</f>
        <v/>
      </c>
      <c r="BY667" s="40">
        <f>BY666*(1-IF(B666&gt;=in_marketplace_from,d_hz_loan_home*G666,0)*BZ666)</f>
        <v/>
      </c>
      <c r="BZ667" s="11">
        <f>MIN(in_approval_cap,in_loan_home_approval*INDEX('Age profile'!$O$2:$O$61,B667)*(1+in_approval_growth)^(D667-1))</f>
        <v/>
      </c>
      <c r="CA667" s="14">
        <f>F667*BY667*IF(B667&gt;=in_marketplace_from,d_hz_loan_home*G667,0)*BZ667*in_loan_home_ticket*in_loan_home_comm</f>
        <v/>
      </c>
      <c r="CB667" s="40">
        <f>CB666*(1-IF(B666&gt;=in_marketplace_from,d_hz_loan_lap*G666,0)*CC666)</f>
        <v/>
      </c>
      <c r="CC667" s="11">
        <f>MIN(in_approval_cap,in_loan_lap_approval*INDEX('Age profile'!$O$2:$O$61,B667)*(1+in_approval_growth)^(D667-1))</f>
        <v/>
      </c>
      <c r="CD667" s="14">
        <f>F667*CB667*IF(B667&gt;=in_marketplace_from,d_hz_loan_lap*G667,0)*CC667*in_loan_lap_ticket*in_loan_lap_comm</f>
        <v/>
      </c>
      <c r="CE667" s="14">
        <f>AA667+AB667+AC667+AD667+AG667+AJ667+AM667+AP667+AS667+AU667+AX667+BB667+BE667+BG667+BJ667+BL667+BO667+BR667+BT667+BV667+BX667+CA667+CD667</f>
        <v/>
      </c>
    </row>
    <row r="668">
      <c r="A668" s="39" t="n">
        <v>13</v>
      </c>
      <c r="B668" s="39" t="n">
        <v>13</v>
      </c>
      <c r="C668" s="39">
        <f>A668+B668-1</f>
        <v/>
      </c>
      <c r="D668" s="39">
        <f>INT((C668-1)/12)+1</f>
        <v/>
      </c>
      <c r="E668" s="44">
        <f>INDEX(Monthly!$B$2:$B$61,A668)</f>
        <v/>
      </c>
      <c r="F668" s="44">
        <f>E668*INDEX('Age profile'!$B$2:$B$61,B668)</f>
        <v/>
      </c>
      <c r="G668" s="45">
        <f>MIN(in_takeup_cap,INDEX('Age profile'!$N$2:$N$61,B668)*(1+in_takeup_growth)^(D668-1))</f>
        <v/>
      </c>
      <c r="H668" s="11">
        <f>MIN(in_approval_cap,in_approved_first*INDEX('Age profile'!$O$2:$O$61,B668)*(1+in_approval_growth)^(D668-1))</f>
        <v/>
      </c>
      <c r="I668" s="45">
        <f>G668*MIN(in_takeup_cap,INDEX('Age profile'!$O$2:$O$61,B668)*(1+in_approval_growth)^(D668-1))</f>
        <v/>
      </c>
      <c r="J668" s="40">
        <f>(J667-L667)*F668/F667</f>
        <v/>
      </c>
      <c r="K668" s="40">
        <f>(K667-M667)*F668/F667+SUMIFS(O656:O667,B656:B667,B668-1-d_T)*F668</f>
        <v/>
      </c>
      <c r="L668" s="40">
        <f>IF(B668&gt;=in_marketplace_from,J668*d_hz*G668*in_eligible*H668,0)</f>
        <v/>
      </c>
      <c r="M668" s="40">
        <f>IF(B668&gt;=in_marketplace_from,K668*d_hz*G668*in_eligible*in_approved_repeat,0)</f>
        <v/>
      </c>
      <c r="N668" s="40">
        <f>L668+M668</f>
        <v/>
      </c>
      <c r="O668" s="46">
        <f>N668/F668</f>
        <v/>
      </c>
      <c r="P668" s="40">
        <f>F668-J668-K668</f>
        <v/>
      </c>
      <c r="Q668" s="40">
        <f>IF(B668&gt;=in_marketplace_from,(J668+K668)*d_hz*G668,0)</f>
        <v/>
      </c>
      <c r="R668" s="40">
        <f>SUMIFS(N656:N703,B656:B703,"&gt;="&amp;(B668-d_T),B656:B703,"&lt;="&amp;(B668-1))</f>
        <v/>
      </c>
      <c r="S668" s="46">
        <f>(1-d_u)*S667+IF(d_T&gt;in_topup_lag,SUMIFS(O656:O703,B656:B703,B668-in_topup_lag)-d_udrop*SUMIFS(O656:O703,B656:B703,B668-d_T),0)</f>
        <v/>
      </c>
      <c r="T668" s="40">
        <f>F668*d_u*S668</f>
        <v/>
      </c>
      <c r="U668" s="9">
        <f>L668*in_ticket+M668*d_rep_ticket</f>
        <v/>
      </c>
      <c r="V668" s="9">
        <f>U668+T668*d_topup_amt</f>
        <v/>
      </c>
      <c r="W668" s="40">
        <f>N668+T668*d_topup_ratio</f>
        <v/>
      </c>
      <c r="X668" s="40">
        <f>SUMIFS(W656:W703,B656:B703,B668-in_dpd_lag)*d_cured</f>
        <v/>
      </c>
      <c r="Y668" s="40">
        <f>SUMIFS(W656:W703,B656:B703,B668-in_rec_lag)*d_recd</f>
        <v/>
      </c>
      <c r="Z668" s="40">
        <f>IF(AND(B668&gt;=in_marketplace_from,B668&lt;in_marketplace_from+in_card_months),in_card_share/in_card_months*F668*I668,IF(AND(B668&gt;=in_marketplace_from+in_card_months,B668&lt;in_marketplace_from+2*in_card_months),in_card_share*d_card_rem/in_card_months*F668*MIN(in_takeup_cap,(1+in_takeup_growth)^(D668-1))*MIN(in_takeup_cap,(1+in_approval_growth)^(D668-1)),0))</f>
        <v/>
      </c>
      <c r="AA668" s="14">
        <f>V668*in_fee*(1-in_taken_back)</f>
        <v/>
      </c>
      <c r="AB668" s="14">
        <f>SUMIFS(W656:W703,B656:B703,B668-in_dpd_lag)*d_dpd</f>
        <v/>
      </c>
      <c r="AC668" s="14">
        <f>SUMIFS(W656:W703,B656:B703,B668-in_rec_lag)*d_rec</f>
        <v/>
      </c>
      <c r="AD668" s="14">
        <f>Z668*in_card_fee</f>
        <v/>
      </c>
      <c r="AE668" s="40">
        <f>AE667*(1-IF(B667&gt;=in_marketplace_from,d_hz_hlth_small*G667,0))</f>
        <v/>
      </c>
      <c r="AF668" s="46">
        <f>AE668*IF(B668&gt;=in_marketplace_from,d_hz_hlth_small*G668,0)</f>
        <v/>
      </c>
      <c r="AG668" s="14">
        <f>F668*AF668*in_hlth_small_ticket*in_hlth_small_comm*in_ins_partner_share+F668*in_hlth_small_ticket*in_hlth_small_renew_comm*in_ins_partner_share*(in_hlth_small_renew^1*SUMIFS(AF656:AF703,B656:B703,B668-12)+in_hlth_small_renew^2*SUMIFS(AF656:AF703,B656:B703,B668-24)+in_hlth_small_renew^3*SUMIFS(AF656:AF703,B656:B703,B668-36)+in_hlth_small_renew^4*SUMIFS(AF656:AF703,B656:B703,B668-48))</f>
        <v/>
      </c>
      <c r="AH668" s="40">
        <f>AH667*(1-IF(B667&gt;=in_marketplace_from,d_hz_hlth_family*G667,0))</f>
        <v/>
      </c>
      <c r="AI668" s="46">
        <f>AH668*IF(B668&gt;=in_marketplace_from,d_hz_hlth_family*G668,0)</f>
        <v/>
      </c>
      <c r="AJ668" s="14">
        <f>F668*AI668*in_hlth_family_ticket*in_hlth_family_comm*in_ins_partner_share+F668*in_hlth_family_ticket*in_hlth_family_renew_comm*in_ins_partner_share*(in_hlth_family_renew^1*SUMIFS(AI656:AI703,B656:B703,B668-12)+in_hlth_family_renew^2*SUMIFS(AI656:AI703,B656:B703,B668-24)+in_hlth_family_renew^3*SUMIFS(AI656:AI703,B656:B703,B668-36)+in_hlth_family_renew^4*SUMIFS(AI656:AI703,B656:B703,B668-48))</f>
        <v/>
      </c>
      <c r="AK668" s="40">
        <f>AK667*(1-IF(B667&gt;=in_marketplace_from,d_hz_life_term*G667,0))</f>
        <v/>
      </c>
      <c r="AL668" s="46">
        <f>AK668*IF(B668&gt;=in_marketplace_from,d_hz_life_term*G668,0)</f>
        <v/>
      </c>
      <c r="AM668" s="14">
        <f>F668*AL668*in_life_term_ticket*in_life_term_comm*in_ins_partner_share+F668*in_life_term_ticket*in_life_term_renew_comm*in_ins_partner_share*(in_life_term_renew^1*SUMIFS(AL656:AL703,B656:B703,B668-12)+in_life_term_renew^2*SUMIFS(AL656:AL703,B656:B703,B668-24)+in_life_term_renew^3*SUMIFS(AL656:AL703,B656:B703,B668-36)+in_life_term_renew^4*SUMIFS(AL656:AL703,B656:B703,B668-48))</f>
        <v/>
      </c>
      <c r="AN668" s="40">
        <f>AN667*(1-IF(B667&gt;=in_marketplace_from,d_hz_accident*G667,0))</f>
        <v/>
      </c>
      <c r="AO668" s="46">
        <f>AN668*IF(B668&gt;=in_marketplace_from,d_hz_accident*G668,0)</f>
        <v/>
      </c>
      <c r="AP668" s="14">
        <f>F668*AO668*in_accident_ticket*in_accident_comm*in_ins_partner_share+F668*in_accident_ticket*in_accident_renew_comm*in_ins_partner_share*(in_accident_renew^1*SUMIFS(AO656:AO703,B656:B703,B668-12)+in_accident_renew^2*SUMIFS(AO656:AO703,B656:B703,B668-24)+in_accident_renew^3*SUMIFS(AO656:AO703,B656:B703,B668-36)+in_accident_renew^4*SUMIFS(AO656:AO703,B656:B703,B668-48))</f>
        <v/>
      </c>
      <c r="AQ668" s="40">
        <f>AQ667*(1-IF(B667&gt;=in_marketplace_from,d_hz_two_wheeler*G667,0))</f>
        <v/>
      </c>
      <c r="AR668" s="46">
        <f>AQ668*IF(B668&gt;=in_marketplace_from,d_hz_two_wheeler*G668,0)</f>
        <v/>
      </c>
      <c r="AS668" s="14">
        <f>F668*AR668*in_two_wheeler_ticket*in_two_wheeler_comm*in_ins_partner_share+F668*in_two_wheeler_ticket*in_two_wheeler_comm*in_ins_partner_share*(in_two_wheeler_renew^1*SUMIFS(AR656:AR703,B656:B703,B668-12)+in_two_wheeler_renew^2*SUMIFS(AR656:AR703,B656:B703,B668-24)+in_two_wheeler_renew^3*SUMIFS(AR656:AR703,B656:B703,B668-36)+in_two_wheeler_renew^4*SUMIFS(AR656:AR703,B656:B703,B668-48))</f>
        <v/>
      </c>
      <c r="AT668" s="40">
        <f>AT667*(1-IF(B667&gt;=in_marketplace_from,d_hz_device*G667,0))</f>
        <v/>
      </c>
      <c r="AU668" s="14">
        <f>F668*AT668*IF(B668&gt;=in_marketplace_from,d_hz_device*G668,0)*in_device_ticket*in_device_comm*in_ins_partner_share</f>
        <v/>
      </c>
      <c r="AV668" s="40">
        <f>AV667*(1-IF(B667&gt;=in_marketplace_from,d_hz_shop*G667,0))</f>
        <v/>
      </c>
      <c r="AW668" s="46">
        <f>AV668*IF(B668&gt;=in_marketplace_from,d_hz_shop*G668,0)</f>
        <v/>
      </c>
      <c r="AX668" s="14">
        <f>F668*AW668*in_shop_ticket*in_shop_comm*in_ins_partner_share+F668*in_shop_ticket*in_shop_renew_comm*in_ins_partner_share*(in_shop_renew^1*SUMIFS(AW656:AW703,B656:B703,B668-12)+in_shop_renew^2*SUMIFS(AW656:AW703,B656:B703,B668-24)+in_shop_renew^3*SUMIFS(AW656:AW703,B656:B703,B668-36)+in_shop_renew^4*SUMIFS(AW656:AW703,B656:B703,B668-48))</f>
        <v/>
      </c>
      <c r="AY668" s="40">
        <f>AY667*(1-IF(B667&gt;=in_marketplace_from,d_hz_sip*G667,0))</f>
        <v/>
      </c>
      <c r="AZ668" s="40">
        <f>AZ667*d_rho_sip+AY668*IF(B668&gt;=in_marketplace_from,d_hz_sip*G668,0)</f>
        <v/>
      </c>
      <c r="BA668" s="40">
        <f>d_rho_sip*(BA667+AZ667)</f>
        <v/>
      </c>
      <c r="BB668" s="14">
        <f>F668*in_sip_ticket*(BA668+0.5*AZ668)*in_sip_comm/12</f>
        <v/>
      </c>
      <c r="BC668" s="40">
        <f>BC667*(1-IF(B667&gt;=in_marketplace_from,d_hz_choti*G667,0))</f>
        <v/>
      </c>
      <c r="BD668" s="46">
        <f>BC668*IF(B668&gt;=in_marketplace_from,d_hz_choti*G668,0)</f>
        <v/>
      </c>
      <c r="BE668" s="14">
        <f>F668*SUMIFS(BD656:BD703,B656:B703,B668-in_choti_months)*in_choti_renew*in_choti_ticket</f>
        <v/>
      </c>
      <c r="BF668" s="40">
        <f>BF667*(1-IF(B667&gt;=in_marketplace_from,d_hz_nps*G667,0))</f>
        <v/>
      </c>
      <c r="BG668" s="14">
        <f>F668*BF668*IF(B668&gt;=in_marketplace_from,d_hz_nps*G668,0)*in_nps_ticket*in_nps_comm</f>
        <v/>
      </c>
      <c r="BH668" s="40">
        <f>BH667*(1-IF(B667&gt;=in_marketplace_from,d_hz_gold*G667,0))</f>
        <v/>
      </c>
      <c r="BI668" s="40">
        <f>BI667*d_rho_gold+BH668*IF(B668&gt;=in_marketplace_from,d_hz_gold*G668,0)</f>
        <v/>
      </c>
      <c r="BJ668" s="14">
        <f>F668*BI668*in_gold_ticket*in_gold_comm</f>
        <v/>
      </c>
      <c r="BK668" s="40">
        <f>BK667*(1-IF(B667&gt;=in_marketplace_from,d_hz_fd*G667,0))</f>
        <v/>
      </c>
      <c r="BL668" s="14">
        <f>F668*BK668*IF(B668&gt;=in_marketplace_from,d_hz_fd*G668,0)*in_fd_ticket*in_fd_comm</f>
        <v/>
      </c>
      <c r="BM668" s="40">
        <f>BM667*(1-IF(B667&gt;=in_marketplace_from,d_hz_recharge*G667,0))</f>
        <v/>
      </c>
      <c r="BN668" s="40">
        <f>BN667*d_rho_recharge+BM668*IF(B668&gt;=in_marketplace_from,d_hz_recharge*G668,0)</f>
        <v/>
      </c>
      <c r="BO668" s="14">
        <f>F668*BN668*in_recharge_ticket*in_recharge_comm/12</f>
        <v/>
      </c>
      <c r="BP668" s="40">
        <f>BP667*(1-IF(B667&gt;=in_marketplace_from,d_hz_bills*G667,0))</f>
        <v/>
      </c>
      <c r="BQ668" s="40">
        <f>BQ667*d_rho_bills+BP668*IF(B668&gt;=in_marketplace_from,d_hz_bills*G668,0)</f>
        <v/>
      </c>
      <c r="BR668" s="14">
        <f>F668*BQ668*in_bills_ticket*in_bills_comm/12</f>
        <v/>
      </c>
      <c r="BS668" s="40">
        <f>BS667*(1-IF(B667&gt;=in_marketplace_from,d_hz_loan_gold*G667,0))</f>
        <v/>
      </c>
      <c r="BT668" s="14">
        <f>F668*BS668*IF(B668&gt;=in_marketplace_from,d_hz_loan_gold*G668,0)*in_loan_gold_ticket*in_loan_gold_comm</f>
        <v/>
      </c>
      <c r="BU668" s="40">
        <f>BU667*(1-IF(B667&gt;=in_marketplace_from,d_hz_loan_cd*G667,0))</f>
        <v/>
      </c>
      <c r="BV668" s="14">
        <f>F668*BU668*IF(B668&gt;=in_marketplace_from,d_hz_loan_cd*G668,0)*in_loan_cd_ticket*in_loan_cd_comm</f>
        <v/>
      </c>
      <c r="BW668" s="40">
        <f>BW667*(1-IF(B667&gt;=in_marketplace_from,d_hz_loan_vehicle*G667,0))</f>
        <v/>
      </c>
      <c r="BX668" s="14">
        <f>F668*BW668*IF(B668&gt;=in_marketplace_from,d_hz_loan_vehicle*G668,0)*in_loan_vehicle_ticket*in_loan_vehicle_comm</f>
        <v/>
      </c>
      <c r="BY668" s="40">
        <f>BY667*(1-IF(B667&gt;=in_marketplace_from,d_hz_loan_home*G667,0)*BZ667)</f>
        <v/>
      </c>
      <c r="BZ668" s="11">
        <f>MIN(in_approval_cap,in_loan_home_approval*INDEX('Age profile'!$O$2:$O$61,B668)*(1+in_approval_growth)^(D668-1))</f>
        <v/>
      </c>
      <c r="CA668" s="14">
        <f>F668*BY668*IF(B668&gt;=in_marketplace_from,d_hz_loan_home*G668,0)*BZ668*in_loan_home_ticket*in_loan_home_comm</f>
        <v/>
      </c>
      <c r="CB668" s="40">
        <f>CB667*(1-IF(B667&gt;=in_marketplace_from,d_hz_loan_lap*G667,0)*CC667)</f>
        <v/>
      </c>
      <c r="CC668" s="11">
        <f>MIN(in_approval_cap,in_loan_lap_approval*INDEX('Age profile'!$O$2:$O$61,B668)*(1+in_approval_growth)^(D668-1))</f>
        <v/>
      </c>
      <c r="CD668" s="14">
        <f>F668*CB668*IF(B668&gt;=in_marketplace_from,d_hz_loan_lap*G668,0)*CC668*in_loan_lap_ticket*in_loan_lap_comm</f>
        <v/>
      </c>
      <c r="CE668" s="14">
        <f>AA668+AB668+AC668+AD668+AG668+AJ668+AM668+AP668+AS668+AU668+AX668+BB668+BE668+BG668+BJ668+BL668+BO668+BR668+BT668+BV668+BX668+CA668+CD668</f>
        <v/>
      </c>
    </row>
    <row r="669">
      <c r="A669" s="39" t="n">
        <v>13</v>
      </c>
      <c r="B669" s="39" t="n">
        <v>14</v>
      </c>
      <c r="C669" s="39">
        <f>A669+B669-1</f>
        <v/>
      </c>
      <c r="D669" s="39">
        <f>INT((C669-1)/12)+1</f>
        <v/>
      </c>
      <c r="E669" s="44">
        <f>INDEX(Monthly!$B$2:$B$61,A669)</f>
        <v/>
      </c>
      <c r="F669" s="44">
        <f>E669*INDEX('Age profile'!$B$2:$B$61,B669)</f>
        <v/>
      </c>
      <c r="G669" s="45">
        <f>MIN(in_takeup_cap,INDEX('Age profile'!$N$2:$N$61,B669)*(1+in_takeup_growth)^(D669-1))</f>
        <v/>
      </c>
      <c r="H669" s="11">
        <f>MIN(in_approval_cap,in_approved_first*INDEX('Age profile'!$O$2:$O$61,B669)*(1+in_approval_growth)^(D669-1))</f>
        <v/>
      </c>
      <c r="I669" s="45">
        <f>G669*MIN(in_takeup_cap,INDEX('Age profile'!$O$2:$O$61,B669)*(1+in_approval_growth)^(D669-1))</f>
        <v/>
      </c>
      <c r="J669" s="40">
        <f>(J668-L668)*F669/F668</f>
        <v/>
      </c>
      <c r="K669" s="40">
        <f>(K668-M668)*F669/F668+SUMIFS(O656:O668,B656:B668,B669-1-d_T)*F669</f>
        <v/>
      </c>
      <c r="L669" s="40">
        <f>IF(B669&gt;=in_marketplace_from,J669*d_hz*G669*in_eligible*H669,0)</f>
        <v/>
      </c>
      <c r="M669" s="40">
        <f>IF(B669&gt;=in_marketplace_from,K669*d_hz*G669*in_eligible*in_approved_repeat,0)</f>
        <v/>
      </c>
      <c r="N669" s="40">
        <f>L669+M669</f>
        <v/>
      </c>
      <c r="O669" s="46">
        <f>N669/F669</f>
        <v/>
      </c>
      <c r="P669" s="40">
        <f>F669-J669-K669</f>
        <v/>
      </c>
      <c r="Q669" s="40">
        <f>IF(B669&gt;=in_marketplace_from,(J669+K669)*d_hz*G669,0)</f>
        <v/>
      </c>
      <c r="R669" s="40">
        <f>SUMIFS(N656:N703,B656:B703,"&gt;="&amp;(B669-d_T),B656:B703,"&lt;="&amp;(B669-1))</f>
        <v/>
      </c>
      <c r="S669" s="46">
        <f>(1-d_u)*S668+IF(d_T&gt;in_topup_lag,SUMIFS(O656:O703,B656:B703,B669-in_topup_lag)-d_udrop*SUMIFS(O656:O703,B656:B703,B669-d_T),0)</f>
        <v/>
      </c>
      <c r="T669" s="40">
        <f>F669*d_u*S669</f>
        <v/>
      </c>
      <c r="U669" s="9">
        <f>L669*in_ticket+M669*d_rep_ticket</f>
        <v/>
      </c>
      <c r="V669" s="9">
        <f>U669+T669*d_topup_amt</f>
        <v/>
      </c>
      <c r="W669" s="40">
        <f>N669+T669*d_topup_ratio</f>
        <v/>
      </c>
      <c r="X669" s="40">
        <f>SUMIFS(W656:W703,B656:B703,B669-in_dpd_lag)*d_cured</f>
        <v/>
      </c>
      <c r="Y669" s="40">
        <f>SUMIFS(W656:W703,B656:B703,B669-in_rec_lag)*d_recd</f>
        <v/>
      </c>
      <c r="Z669" s="40">
        <f>IF(AND(B669&gt;=in_marketplace_from,B669&lt;in_marketplace_from+in_card_months),in_card_share/in_card_months*F669*I669,IF(AND(B669&gt;=in_marketplace_from+in_card_months,B669&lt;in_marketplace_from+2*in_card_months),in_card_share*d_card_rem/in_card_months*F669*MIN(in_takeup_cap,(1+in_takeup_growth)^(D669-1))*MIN(in_takeup_cap,(1+in_approval_growth)^(D669-1)),0))</f>
        <v/>
      </c>
      <c r="AA669" s="14">
        <f>V669*in_fee*(1-in_taken_back)</f>
        <v/>
      </c>
      <c r="AB669" s="14">
        <f>SUMIFS(W656:W703,B656:B703,B669-in_dpd_lag)*d_dpd</f>
        <v/>
      </c>
      <c r="AC669" s="14">
        <f>SUMIFS(W656:W703,B656:B703,B669-in_rec_lag)*d_rec</f>
        <v/>
      </c>
      <c r="AD669" s="14">
        <f>Z669*in_card_fee</f>
        <v/>
      </c>
      <c r="AE669" s="40">
        <f>AE668*(1-IF(B668&gt;=in_marketplace_from,d_hz_hlth_small*G668,0))</f>
        <v/>
      </c>
      <c r="AF669" s="46">
        <f>AE669*IF(B669&gt;=in_marketplace_from,d_hz_hlth_small*G669,0)</f>
        <v/>
      </c>
      <c r="AG669" s="14">
        <f>F669*AF669*in_hlth_small_ticket*in_hlth_small_comm*in_ins_partner_share+F669*in_hlth_small_ticket*in_hlth_small_renew_comm*in_ins_partner_share*(in_hlth_small_renew^1*SUMIFS(AF656:AF703,B656:B703,B669-12)+in_hlth_small_renew^2*SUMIFS(AF656:AF703,B656:B703,B669-24)+in_hlth_small_renew^3*SUMIFS(AF656:AF703,B656:B703,B669-36)+in_hlth_small_renew^4*SUMIFS(AF656:AF703,B656:B703,B669-48))</f>
        <v/>
      </c>
      <c r="AH669" s="40">
        <f>AH668*(1-IF(B668&gt;=in_marketplace_from,d_hz_hlth_family*G668,0))</f>
        <v/>
      </c>
      <c r="AI669" s="46">
        <f>AH669*IF(B669&gt;=in_marketplace_from,d_hz_hlth_family*G669,0)</f>
        <v/>
      </c>
      <c r="AJ669" s="14">
        <f>F669*AI669*in_hlth_family_ticket*in_hlth_family_comm*in_ins_partner_share+F669*in_hlth_family_ticket*in_hlth_family_renew_comm*in_ins_partner_share*(in_hlth_family_renew^1*SUMIFS(AI656:AI703,B656:B703,B669-12)+in_hlth_family_renew^2*SUMIFS(AI656:AI703,B656:B703,B669-24)+in_hlth_family_renew^3*SUMIFS(AI656:AI703,B656:B703,B669-36)+in_hlth_family_renew^4*SUMIFS(AI656:AI703,B656:B703,B669-48))</f>
        <v/>
      </c>
      <c r="AK669" s="40">
        <f>AK668*(1-IF(B668&gt;=in_marketplace_from,d_hz_life_term*G668,0))</f>
        <v/>
      </c>
      <c r="AL669" s="46">
        <f>AK669*IF(B669&gt;=in_marketplace_from,d_hz_life_term*G669,0)</f>
        <v/>
      </c>
      <c r="AM669" s="14">
        <f>F669*AL669*in_life_term_ticket*in_life_term_comm*in_ins_partner_share+F669*in_life_term_ticket*in_life_term_renew_comm*in_ins_partner_share*(in_life_term_renew^1*SUMIFS(AL656:AL703,B656:B703,B669-12)+in_life_term_renew^2*SUMIFS(AL656:AL703,B656:B703,B669-24)+in_life_term_renew^3*SUMIFS(AL656:AL703,B656:B703,B669-36)+in_life_term_renew^4*SUMIFS(AL656:AL703,B656:B703,B669-48))</f>
        <v/>
      </c>
      <c r="AN669" s="40">
        <f>AN668*(1-IF(B668&gt;=in_marketplace_from,d_hz_accident*G668,0))</f>
        <v/>
      </c>
      <c r="AO669" s="46">
        <f>AN669*IF(B669&gt;=in_marketplace_from,d_hz_accident*G669,0)</f>
        <v/>
      </c>
      <c r="AP669" s="14">
        <f>F669*AO669*in_accident_ticket*in_accident_comm*in_ins_partner_share+F669*in_accident_ticket*in_accident_renew_comm*in_ins_partner_share*(in_accident_renew^1*SUMIFS(AO656:AO703,B656:B703,B669-12)+in_accident_renew^2*SUMIFS(AO656:AO703,B656:B703,B669-24)+in_accident_renew^3*SUMIFS(AO656:AO703,B656:B703,B669-36)+in_accident_renew^4*SUMIFS(AO656:AO703,B656:B703,B669-48))</f>
        <v/>
      </c>
      <c r="AQ669" s="40">
        <f>AQ668*(1-IF(B668&gt;=in_marketplace_from,d_hz_two_wheeler*G668,0))</f>
        <v/>
      </c>
      <c r="AR669" s="46">
        <f>AQ669*IF(B669&gt;=in_marketplace_from,d_hz_two_wheeler*G669,0)</f>
        <v/>
      </c>
      <c r="AS669" s="14">
        <f>F669*AR669*in_two_wheeler_ticket*in_two_wheeler_comm*in_ins_partner_share+F669*in_two_wheeler_ticket*in_two_wheeler_comm*in_ins_partner_share*(in_two_wheeler_renew^1*SUMIFS(AR656:AR703,B656:B703,B669-12)+in_two_wheeler_renew^2*SUMIFS(AR656:AR703,B656:B703,B669-24)+in_two_wheeler_renew^3*SUMIFS(AR656:AR703,B656:B703,B669-36)+in_two_wheeler_renew^4*SUMIFS(AR656:AR703,B656:B703,B669-48))</f>
        <v/>
      </c>
      <c r="AT669" s="40">
        <f>AT668*(1-IF(B668&gt;=in_marketplace_from,d_hz_device*G668,0))</f>
        <v/>
      </c>
      <c r="AU669" s="14">
        <f>F669*AT669*IF(B669&gt;=in_marketplace_from,d_hz_device*G669,0)*in_device_ticket*in_device_comm*in_ins_partner_share</f>
        <v/>
      </c>
      <c r="AV669" s="40">
        <f>AV668*(1-IF(B668&gt;=in_marketplace_from,d_hz_shop*G668,0))</f>
        <v/>
      </c>
      <c r="AW669" s="46">
        <f>AV669*IF(B669&gt;=in_marketplace_from,d_hz_shop*G669,0)</f>
        <v/>
      </c>
      <c r="AX669" s="14">
        <f>F669*AW669*in_shop_ticket*in_shop_comm*in_ins_partner_share+F669*in_shop_ticket*in_shop_renew_comm*in_ins_partner_share*(in_shop_renew^1*SUMIFS(AW656:AW703,B656:B703,B669-12)+in_shop_renew^2*SUMIFS(AW656:AW703,B656:B703,B669-24)+in_shop_renew^3*SUMIFS(AW656:AW703,B656:B703,B669-36)+in_shop_renew^4*SUMIFS(AW656:AW703,B656:B703,B669-48))</f>
        <v/>
      </c>
      <c r="AY669" s="40">
        <f>AY668*(1-IF(B668&gt;=in_marketplace_from,d_hz_sip*G668,0))</f>
        <v/>
      </c>
      <c r="AZ669" s="40">
        <f>AZ668*d_rho_sip+AY669*IF(B669&gt;=in_marketplace_from,d_hz_sip*G669,0)</f>
        <v/>
      </c>
      <c r="BA669" s="40">
        <f>d_rho_sip*(BA668+AZ668)</f>
        <v/>
      </c>
      <c r="BB669" s="14">
        <f>F669*in_sip_ticket*(BA669+0.5*AZ669)*in_sip_comm/12</f>
        <v/>
      </c>
      <c r="BC669" s="40">
        <f>BC668*(1-IF(B668&gt;=in_marketplace_from,d_hz_choti*G668,0))</f>
        <v/>
      </c>
      <c r="BD669" s="46">
        <f>BC669*IF(B669&gt;=in_marketplace_from,d_hz_choti*G669,0)</f>
        <v/>
      </c>
      <c r="BE669" s="14">
        <f>F669*SUMIFS(BD656:BD703,B656:B703,B669-in_choti_months)*in_choti_renew*in_choti_ticket</f>
        <v/>
      </c>
      <c r="BF669" s="40">
        <f>BF668*(1-IF(B668&gt;=in_marketplace_from,d_hz_nps*G668,0))</f>
        <v/>
      </c>
      <c r="BG669" s="14">
        <f>F669*BF669*IF(B669&gt;=in_marketplace_from,d_hz_nps*G669,0)*in_nps_ticket*in_nps_comm</f>
        <v/>
      </c>
      <c r="BH669" s="40">
        <f>BH668*(1-IF(B668&gt;=in_marketplace_from,d_hz_gold*G668,0))</f>
        <v/>
      </c>
      <c r="BI669" s="40">
        <f>BI668*d_rho_gold+BH669*IF(B669&gt;=in_marketplace_from,d_hz_gold*G669,0)</f>
        <v/>
      </c>
      <c r="BJ669" s="14">
        <f>F669*BI669*in_gold_ticket*in_gold_comm</f>
        <v/>
      </c>
      <c r="BK669" s="40">
        <f>BK668*(1-IF(B668&gt;=in_marketplace_from,d_hz_fd*G668,0))</f>
        <v/>
      </c>
      <c r="BL669" s="14">
        <f>F669*BK669*IF(B669&gt;=in_marketplace_from,d_hz_fd*G669,0)*in_fd_ticket*in_fd_comm</f>
        <v/>
      </c>
      <c r="BM669" s="40">
        <f>BM668*(1-IF(B668&gt;=in_marketplace_from,d_hz_recharge*G668,0))</f>
        <v/>
      </c>
      <c r="BN669" s="40">
        <f>BN668*d_rho_recharge+BM669*IF(B669&gt;=in_marketplace_from,d_hz_recharge*G669,0)</f>
        <v/>
      </c>
      <c r="BO669" s="14">
        <f>F669*BN669*in_recharge_ticket*in_recharge_comm/12</f>
        <v/>
      </c>
      <c r="BP669" s="40">
        <f>BP668*(1-IF(B668&gt;=in_marketplace_from,d_hz_bills*G668,0))</f>
        <v/>
      </c>
      <c r="BQ669" s="40">
        <f>BQ668*d_rho_bills+BP669*IF(B669&gt;=in_marketplace_from,d_hz_bills*G669,0)</f>
        <v/>
      </c>
      <c r="BR669" s="14">
        <f>F669*BQ669*in_bills_ticket*in_bills_comm/12</f>
        <v/>
      </c>
      <c r="BS669" s="40">
        <f>BS668*(1-IF(B668&gt;=in_marketplace_from,d_hz_loan_gold*G668,0))</f>
        <v/>
      </c>
      <c r="BT669" s="14">
        <f>F669*BS669*IF(B669&gt;=in_marketplace_from,d_hz_loan_gold*G669,0)*in_loan_gold_ticket*in_loan_gold_comm</f>
        <v/>
      </c>
      <c r="BU669" s="40">
        <f>BU668*(1-IF(B668&gt;=in_marketplace_from,d_hz_loan_cd*G668,0))</f>
        <v/>
      </c>
      <c r="BV669" s="14">
        <f>F669*BU669*IF(B669&gt;=in_marketplace_from,d_hz_loan_cd*G669,0)*in_loan_cd_ticket*in_loan_cd_comm</f>
        <v/>
      </c>
      <c r="BW669" s="40">
        <f>BW668*(1-IF(B668&gt;=in_marketplace_from,d_hz_loan_vehicle*G668,0))</f>
        <v/>
      </c>
      <c r="BX669" s="14">
        <f>F669*BW669*IF(B669&gt;=in_marketplace_from,d_hz_loan_vehicle*G669,0)*in_loan_vehicle_ticket*in_loan_vehicle_comm</f>
        <v/>
      </c>
      <c r="BY669" s="40">
        <f>BY668*(1-IF(B668&gt;=in_marketplace_from,d_hz_loan_home*G668,0)*BZ668)</f>
        <v/>
      </c>
      <c r="BZ669" s="11">
        <f>MIN(in_approval_cap,in_loan_home_approval*INDEX('Age profile'!$O$2:$O$61,B669)*(1+in_approval_growth)^(D669-1))</f>
        <v/>
      </c>
      <c r="CA669" s="14">
        <f>F669*BY669*IF(B669&gt;=in_marketplace_from,d_hz_loan_home*G669,0)*BZ669*in_loan_home_ticket*in_loan_home_comm</f>
        <v/>
      </c>
      <c r="CB669" s="40">
        <f>CB668*(1-IF(B668&gt;=in_marketplace_from,d_hz_loan_lap*G668,0)*CC668)</f>
        <v/>
      </c>
      <c r="CC669" s="11">
        <f>MIN(in_approval_cap,in_loan_lap_approval*INDEX('Age profile'!$O$2:$O$61,B669)*(1+in_approval_growth)^(D669-1))</f>
        <v/>
      </c>
      <c r="CD669" s="14">
        <f>F669*CB669*IF(B669&gt;=in_marketplace_from,d_hz_loan_lap*G669,0)*CC669*in_loan_lap_ticket*in_loan_lap_comm</f>
        <v/>
      </c>
      <c r="CE669" s="14">
        <f>AA669+AB669+AC669+AD669+AG669+AJ669+AM669+AP669+AS669+AU669+AX669+BB669+BE669+BG669+BJ669+BL669+BO669+BR669+BT669+BV669+BX669+CA669+CD669</f>
        <v/>
      </c>
    </row>
    <row r="670">
      <c r="A670" s="39" t="n">
        <v>13</v>
      </c>
      <c r="B670" s="39" t="n">
        <v>15</v>
      </c>
      <c r="C670" s="39">
        <f>A670+B670-1</f>
        <v/>
      </c>
      <c r="D670" s="39">
        <f>INT((C670-1)/12)+1</f>
        <v/>
      </c>
      <c r="E670" s="44">
        <f>INDEX(Monthly!$B$2:$B$61,A670)</f>
        <v/>
      </c>
      <c r="F670" s="44">
        <f>E670*INDEX('Age profile'!$B$2:$B$61,B670)</f>
        <v/>
      </c>
      <c r="G670" s="45">
        <f>MIN(in_takeup_cap,INDEX('Age profile'!$N$2:$N$61,B670)*(1+in_takeup_growth)^(D670-1))</f>
        <v/>
      </c>
      <c r="H670" s="11">
        <f>MIN(in_approval_cap,in_approved_first*INDEX('Age profile'!$O$2:$O$61,B670)*(1+in_approval_growth)^(D670-1))</f>
        <v/>
      </c>
      <c r="I670" s="45">
        <f>G670*MIN(in_takeup_cap,INDEX('Age profile'!$O$2:$O$61,B670)*(1+in_approval_growth)^(D670-1))</f>
        <v/>
      </c>
      <c r="J670" s="40">
        <f>(J669-L669)*F670/F669</f>
        <v/>
      </c>
      <c r="K670" s="40">
        <f>(K669-M669)*F670/F669+SUMIFS(O656:O669,B656:B669,B670-1-d_T)*F670</f>
        <v/>
      </c>
      <c r="L670" s="40">
        <f>IF(B670&gt;=in_marketplace_from,J670*d_hz*G670*in_eligible*H670,0)</f>
        <v/>
      </c>
      <c r="M670" s="40">
        <f>IF(B670&gt;=in_marketplace_from,K670*d_hz*G670*in_eligible*in_approved_repeat,0)</f>
        <v/>
      </c>
      <c r="N670" s="40">
        <f>L670+M670</f>
        <v/>
      </c>
      <c r="O670" s="46">
        <f>N670/F670</f>
        <v/>
      </c>
      <c r="P670" s="40">
        <f>F670-J670-K670</f>
        <v/>
      </c>
      <c r="Q670" s="40">
        <f>IF(B670&gt;=in_marketplace_from,(J670+K670)*d_hz*G670,0)</f>
        <v/>
      </c>
      <c r="R670" s="40">
        <f>SUMIFS(N656:N703,B656:B703,"&gt;="&amp;(B670-d_T),B656:B703,"&lt;="&amp;(B670-1))</f>
        <v/>
      </c>
      <c r="S670" s="46">
        <f>(1-d_u)*S669+IF(d_T&gt;in_topup_lag,SUMIFS(O656:O703,B656:B703,B670-in_topup_lag)-d_udrop*SUMIFS(O656:O703,B656:B703,B670-d_T),0)</f>
        <v/>
      </c>
      <c r="T670" s="40">
        <f>F670*d_u*S670</f>
        <v/>
      </c>
      <c r="U670" s="9">
        <f>L670*in_ticket+M670*d_rep_ticket</f>
        <v/>
      </c>
      <c r="V670" s="9">
        <f>U670+T670*d_topup_amt</f>
        <v/>
      </c>
      <c r="W670" s="40">
        <f>N670+T670*d_topup_ratio</f>
        <v/>
      </c>
      <c r="X670" s="40">
        <f>SUMIFS(W656:W703,B656:B703,B670-in_dpd_lag)*d_cured</f>
        <v/>
      </c>
      <c r="Y670" s="40">
        <f>SUMIFS(W656:W703,B656:B703,B670-in_rec_lag)*d_recd</f>
        <v/>
      </c>
      <c r="Z670" s="40">
        <f>IF(AND(B670&gt;=in_marketplace_from,B670&lt;in_marketplace_from+in_card_months),in_card_share/in_card_months*F670*I670,IF(AND(B670&gt;=in_marketplace_from+in_card_months,B670&lt;in_marketplace_from+2*in_card_months),in_card_share*d_card_rem/in_card_months*F670*MIN(in_takeup_cap,(1+in_takeup_growth)^(D670-1))*MIN(in_takeup_cap,(1+in_approval_growth)^(D670-1)),0))</f>
        <v/>
      </c>
      <c r="AA670" s="14">
        <f>V670*in_fee*(1-in_taken_back)</f>
        <v/>
      </c>
      <c r="AB670" s="14">
        <f>SUMIFS(W656:W703,B656:B703,B670-in_dpd_lag)*d_dpd</f>
        <v/>
      </c>
      <c r="AC670" s="14">
        <f>SUMIFS(W656:W703,B656:B703,B670-in_rec_lag)*d_rec</f>
        <v/>
      </c>
      <c r="AD670" s="14">
        <f>Z670*in_card_fee</f>
        <v/>
      </c>
      <c r="AE670" s="40">
        <f>AE669*(1-IF(B669&gt;=in_marketplace_from,d_hz_hlth_small*G669,0))</f>
        <v/>
      </c>
      <c r="AF670" s="46">
        <f>AE670*IF(B670&gt;=in_marketplace_from,d_hz_hlth_small*G670,0)</f>
        <v/>
      </c>
      <c r="AG670" s="14">
        <f>F670*AF670*in_hlth_small_ticket*in_hlth_small_comm*in_ins_partner_share+F670*in_hlth_small_ticket*in_hlth_small_renew_comm*in_ins_partner_share*(in_hlth_small_renew^1*SUMIFS(AF656:AF703,B656:B703,B670-12)+in_hlth_small_renew^2*SUMIFS(AF656:AF703,B656:B703,B670-24)+in_hlth_small_renew^3*SUMIFS(AF656:AF703,B656:B703,B670-36)+in_hlth_small_renew^4*SUMIFS(AF656:AF703,B656:B703,B670-48))</f>
        <v/>
      </c>
      <c r="AH670" s="40">
        <f>AH669*(1-IF(B669&gt;=in_marketplace_from,d_hz_hlth_family*G669,0))</f>
        <v/>
      </c>
      <c r="AI670" s="46">
        <f>AH670*IF(B670&gt;=in_marketplace_from,d_hz_hlth_family*G670,0)</f>
        <v/>
      </c>
      <c r="AJ670" s="14">
        <f>F670*AI670*in_hlth_family_ticket*in_hlth_family_comm*in_ins_partner_share+F670*in_hlth_family_ticket*in_hlth_family_renew_comm*in_ins_partner_share*(in_hlth_family_renew^1*SUMIFS(AI656:AI703,B656:B703,B670-12)+in_hlth_family_renew^2*SUMIFS(AI656:AI703,B656:B703,B670-24)+in_hlth_family_renew^3*SUMIFS(AI656:AI703,B656:B703,B670-36)+in_hlth_family_renew^4*SUMIFS(AI656:AI703,B656:B703,B670-48))</f>
        <v/>
      </c>
      <c r="AK670" s="40">
        <f>AK669*(1-IF(B669&gt;=in_marketplace_from,d_hz_life_term*G669,0))</f>
        <v/>
      </c>
      <c r="AL670" s="46">
        <f>AK670*IF(B670&gt;=in_marketplace_from,d_hz_life_term*G670,0)</f>
        <v/>
      </c>
      <c r="AM670" s="14">
        <f>F670*AL670*in_life_term_ticket*in_life_term_comm*in_ins_partner_share+F670*in_life_term_ticket*in_life_term_renew_comm*in_ins_partner_share*(in_life_term_renew^1*SUMIFS(AL656:AL703,B656:B703,B670-12)+in_life_term_renew^2*SUMIFS(AL656:AL703,B656:B703,B670-24)+in_life_term_renew^3*SUMIFS(AL656:AL703,B656:B703,B670-36)+in_life_term_renew^4*SUMIFS(AL656:AL703,B656:B703,B670-48))</f>
        <v/>
      </c>
      <c r="AN670" s="40">
        <f>AN669*(1-IF(B669&gt;=in_marketplace_from,d_hz_accident*G669,0))</f>
        <v/>
      </c>
      <c r="AO670" s="46">
        <f>AN670*IF(B670&gt;=in_marketplace_from,d_hz_accident*G670,0)</f>
        <v/>
      </c>
      <c r="AP670" s="14">
        <f>F670*AO670*in_accident_ticket*in_accident_comm*in_ins_partner_share+F670*in_accident_ticket*in_accident_renew_comm*in_ins_partner_share*(in_accident_renew^1*SUMIFS(AO656:AO703,B656:B703,B670-12)+in_accident_renew^2*SUMIFS(AO656:AO703,B656:B703,B670-24)+in_accident_renew^3*SUMIFS(AO656:AO703,B656:B703,B670-36)+in_accident_renew^4*SUMIFS(AO656:AO703,B656:B703,B670-48))</f>
        <v/>
      </c>
      <c r="AQ670" s="40">
        <f>AQ669*(1-IF(B669&gt;=in_marketplace_from,d_hz_two_wheeler*G669,0))</f>
        <v/>
      </c>
      <c r="AR670" s="46">
        <f>AQ670*IF(B670&gt;=in_marketplace_from,d_hz_two_wheeler*G670,0)</f>
        <v/>
      </c>
      <c r="AS670" s="14">
        <f>F670*AR670*in_two_wheeler_ticket*in_two_wheeler_comm*in_ins_partner_share+F670*in_two_wheeler_ticket*in_two_wheeler_comm*in_ins_partner_share*(in_two_wheeler_renew^1*SUMIFS(AR656:AR703,B656:B703,B670-12)+in_two_wheeler_renew^2*SUMIFS(AR656:AR703,B656:B703,B670-24)+in_two_wheeler_renew^3*SUMIFS(AR656:AR703,B656:B703,B670-36)+in_two_wheeler_renew^4*SUMIFS(AR656:AR703,B656:B703,B670-48))</f>
        <v/>
      </c>
      <c r="AT670" s="40">
        <f>AT669*(1-IF(B669&gt;=in_marketplace_from,d_hz_device*G669,0))</f>
        <v/>
      </c>
      <c r="AU670" s="14">
        <f>F670*AT670*IF(B670&gt;=in_marketplace_from,d_hz_device*G670,0)*in_device_ticket*in_device_comm*in_ins_partner_share</f>
        <v/>
      </c>
      <c r="AV670" s="40">
        <f>AV669*(1-IF(B669&gt;=in_marketplace_from,d_hz_shop*G669,0))</f>
        <v/>
      </c>
      <c r="AW670" s="46">
        <f>AV670*IF(B670&gt;=in_marketplace_from,d_hz_shop*G670,0)</f>
        <v/>
      </c>
      <c r="AX670" s="14">
        <f>F670*AW670*in_shop_ticket*in_shop_comm*in_ins_partner_share+F670*in_shop_ticket*in_shop_renew_comm*in_ins_partner_share*(in_shop_renew^1*SUMIFS(AW656:AW703,B656:B703,B670-12)+in_shop_renew^2*SUMIFS(AW656:AW703,B656:B703,B670-24)+in_shop_renew^3*SUMIFS(AW656:AW703,B656:B703,B670-36)+in_shop_renew^4*SUMIFS(AW656:AW703,B656:B703,B670-48))</f>
        <v/>
      </c>
      <c r="AY670" s="40">
        <f>AY669*(1-IF(B669&gt;=in_marketplace_from,d_hz_sip*G669,0))</f>
        <v/>
      </c>
      <c r="AZ670" s="40">
        <f>AZ669*d_rho_sip+AY670*IF(B670&gt;=in_marketplace_from,d_hz_sip*G670,0)</f>
        <v/>
      </c>
      <c r="BA670" s="40">
        <f>d_rho_sip*(BA669+AZ669)</f>
        <v/>
      </c>
      <c r="BB670" s="14">
        <f>F670*in_sip_ticket*(BA670+0.5*AZ670)*in_sip_comm/12</f>
        <v/>
      </c>
      <c r="BC670" s="40">
        <f>BC669*(1-IF(B669&gt;=in_marketplace_from,d_hz_choti*G669,0))</f>
        <v/>
      </c>
      <c r="BD670" s="46">
        <f>BC670*IF(B670&gt;=in_marketplace_from,d_hz_choti*G670,0)</f>
        <v/>
      </c>
      <c r="BE670" s="14">
        <f>F670*SUMIFS(BD656:BD703,B656:B703,B670-in_choti_months)*in_choti_renew*in_choti_ticket</f>
        <v/>
      </c>
      <c r="BF670" s="40">
        <f>BF669*(1-IF(B669&gt;=in_marketplace_from,d_hz_nps*G669,0))</f>
        <v/>
      </c>
      <c r="BG670" s="14">
        <f>F670*BF670*IF(B670&gt;=in_marketplace_from,d_hz_nps*G670,0)*in_nps_ticket*in_nps_comm</f>
        <v/>
      </c>
      <c r="BH670" s="40">
        <f>BH669*(1-IF(B669&gt;=in_marketplace_from,d_hz_gold*G669,0))</f>
        <v/>
      </c>
      <c r="BI670" s="40">
        <f>BI669*d_rho_gold+BH670*IF(B670&gt;=in_marketplace_from,d_hz_gold*G670,0)</f>
        <v/>
      </c>
      <c r="BJ670" s="14">
        <f>F670*BI670*in_gold_ticket*in_gold_comm</f>
        <v/>
      </c>
      <c r="BK670" s="40">
        <f>BK669*(1-IF(B669&gt;=in_marketplace_from,d_hz_fd*G669,0))</f>
        <v/>
      </c>
      <c r="BL670" s="14">
        <f>F670*BK670*IF(B670&gt;=in_marketplace_from,d_hz_fd*G670,0)*in_fd_ticket*in_fd_comm</f>
        <v/>
      </c>
      <c r="BM670" s="40">
        <f>BM669*(1-IF(B669&gt;=in_marketplace_from,d_hz_recharge*G669,0))</f>
        <v/>
      </c>
      <c r="BN670" s="40">
        <f>BN669*d_rho_recharge+BM670*IF(B670&gt;=in_marketplace_from,d_hz_recharge*G670,0)</f>
        <v/>
      </c>
      <c r="BO670" s="14">
        <f>F670*BN670*in_recharge_ticket*in_recharge_comm/12</f>
        <v/>
      </c>
      <c r="BP670" s="40">
        <f>BP669*(1-IF(B669&gt;=in_marketplace_from,d_hz_bills*G669,0))</f>
        <v/>
      </c>
      <c r="BQ670" s="40">
        <f>BQ669*d_rho_bills+BP670*IF(B670&gt;=in_marketplace_from,d_hz_bills*G670,0)</f>
        <v/>
      </c>
      <c r="BR670" s="14">
        <f>F670*BQ670*in_bills_ticket*in_bills_comm/12</f>
        <v/>
      </c>
      <c r="BS670" s="40">
        <f>BS669*(1-IF(B669&gt;=in_marketplace_from,d_hz_loan_gold*G669,0))</f>
        <v/>
      </c>
      <c r="BT670" s="14">
        <f>F670*BS670*IF(B670&gt;=in_marketplace_from,d_hz_loan_gold*G670,0)*in_loan_gold_ticket*in_loan_gold_comm</f>
        <v/>
      </c>
      <c r="BU670" s="40">
        <f>BU669*(1-IF(B669&gt;=in_marketplace_from,d_hz_loan_cd*G669,0))</f>
        <v/>
      </c>
      <c r="BV670" s="14">
        <f>F670*BU670*IF(B670&gt;=in_marketplace_from,d_hz_loan_cd*G670,0)*in_loan_cd_ticket*in_loan_cd_comm</f>
        <v/>
      </c>
      <c r="BW670" s="40">
        <f>BW669*(1-IF(B669&gt;=in_marketplace_from,d_hz_loan_vehicle*G669,0))</f>
        <v/>
      </c>
      <c r="BX670" s="14">
        <f>F670*BW670*IF(B670&gt;=in_marketplace_from,d_hz_loan_vehicle*G670,0)*in_loan_vehicle_ticket*in_loan_vehicle_comm</f>
        <v/>
      </c>
      <c r="BY670" s="40">
        <f>BY669*(1-IF(B669&gt;=in_marketplace_from,d_hz_loan_home*G669,0)*BZ669)</f>
        <v/>
      </c>
      <c r="BZ670" s="11">
        <f>MIN(in_approval_cap,in_loan_home_approval*INDEX('Age profile'!$O$2:$O$61,B670)*(1+in_approval_growth)^(D670-1))</f>
        <v/>
      </c>
      <c r="CA670" s="14">
        <f>F670*BY670*IF(B670&gt;=in_marketplace_from,d_hz_loan_home*G670,0)*BZ670*in_loan_home_ticket*in_loan_home_comm</f>
        <v/>
      </c>
      <c r="CB670" s="40">
        <f>CB669*(1-IF(B669&gt;=in_marketplace_from,d_hz_loan_lap*G669,0)*CC669)</f>
        <v/>
      </c>
      <c r="CC670" s="11">
        <f>MIN(in_approval_cap,in_loan_lap_approval*INDEX('Age profile'!$O$2:$O$61,B670)*(1+in_approval_growth)^(D670-1))</f>
        <v/>
      </c>
      <c r="CD670" s="14">
        <f>F670*CB670*IF(B670&gt;=in_marketplace_from,d_hz_loan_lap*G670,0)*CC670*in_loan_lap_ticket*in_loan_lap_comm</f>
        <v/>
      </c>
      <c r="CE670" s="14">
        <f>AA670+AB670+AC670+AD670+AG670+AJ670+AM670+AP670+AS670+AU670+AX670+BB670+BE670+BG670+BJ670+BL670+BO670+BR670+BT670+BV670+BX670+CA670+CD670</f>
        <v/>
      </c>
    </row>
    <row r="671">
      <c r="A671" s="39" t="n">
        <v>13</v>
      </c>
      <c r="B671" s="39" t="n">
        <v>16</v>
      </c>
      <c r="C671" s="39">
        <f>A671+B671-1</f>
        <v/>
      </c>
      <c r="D671" s="39">
        <f>INT((C671-1)/12)+1</f>
        <v/>
      </c>
      <c r="E671" s="44">
        <f>INDEX(Monthly!$B$2:$B$61,A671)</f>
        <v/>
      </c>
      <c r="F671" s="44">
        <f>E671*INDEX('Age profile'!$B$2:$B$61,B671)</f>
        <v/>
      </c>
      <c r="G671" s="45">
        <f>MIN(in_takeup_cap,INDEX('Age profile'!$N$2:$N$61,B671)*(1+in_takeup_growth)^(D671-1))</f>
        <v/>
      </c>
      <c r="H671" s="11">
        <f>MIN(in_approval_cap,in_approved_first*INDEX('Age profile'!$O$2:$O$61,B671)*(1+in_approval_growth)^(D671-1))</f>
        <v/>
      </c>
      <c r="I671" s="45">
        <f>G671*MIN(in_takeup_cap,INDEX('Age profile'!$O$2:$O$61,B671)*(1+in_approval_growth)^(D671-1))</f>
        <v/>
      </c>
      <c r="J671" s="40">
        <f>(J670-L670)*F671/F670</f>
        <v/>
      </c>
      <c r="K671" s="40">
        <f>(K670-M670)*F671/F670+SUMIFS(O656:O670,B656:B670,B671-1-d_T)*F671</f>
        <v/>
      </c>
      <c r="L671" s="40">
        <f>IF(B671&gt;=in_marketplace_from,J671*d_hz*G671*in_eligible*H671,0)</f>
        <v/>
      </c>
      <c r="M671" s="40">
        <f>IF(B671&gt;=in_marketplace_from,K671*d_hz*G671*in_eligible*in_approved_repeat,0)</f>
        <v/>
      </c>
      <c r="N671" s="40">
        <f>L671+M671</f>
        <v/>
      </c>
      <c r="O671" s="46">
        <f>N671/F671</f>
        <v/>
      </c>
      <c r="P671" s="40">
        <f>F671-J671-K671</f>
        <v/>
      </c>
      <c r="Q671" s="40">
        <f>IF(B671&gt;=in_marketplace_from,(J671+K671)*d_hz*G671,0)</f>
        <v/>
      </c>
      <c r="R671" s="40">
        <f>SUMIFS(N656:N703,B656:B703,"&gt;="&amp;(B671-d_T),B656:B703,"&lt;="&amp;(B671-1))</f>
        <v/>
      </c>
      <c r="S671" s="46">
        <f>(1-d_u)*S670+IF(d_T&gt;in_topup_lag,SUMIFS(O656:O703,B656:B703,B671-in_topup_lag)-d_udrop*SUMIFS(O656:O703,B656:B703,B671-d_T),0)</f>
        <v/>
      </c>
      <c r="T671" s="40">
        <f>F671*d_u*S671</f>
        <v/>
      </c>
      <c r="U671" s="9">
        <f>L671*in_ticket+M671*d_rep_ticket</f>
        <v/>
      </c>
      <c r="V671" s="9">
        <f>U671+T671*d_topup_amt</f>
        <v/>
      </c>
      <c r="W671" s="40">
        <f>N671+T671*d_topup_ratio</f>
        <v/>
      </c>
      <c r="X671" s="40">
        <f>SUMIFS(W656:W703,B656:B703,B671-in_dpd_lag)*d_cured</f>
        <v/>
      </c>
      <c r="Y671" s="40">
        <f>SUMIFS(W656:W703,B656:B703,B671-in_rec_lag)*d_recd</f>
        <v/>
      </c>
      <c r="Z671" s="40">
        <f>IF(AND(B671&gt;=in_marketplace_from,B671&lt;in_marketplace_from+in_card_months),in_card_share/in_card_months*F671*I671,IF(AND(B671&gt;=in_marketplace_from+in_card_months,B671&lt;in_marketplace_from+2*in_card_months),in_card_share*d_card_rem/in_card_months*F671*MIN(in_takeup_cap,(1+in_takeup_growth)^(D671-1))*MIN(in_takeup_cap,(1+in_approval_growth)^(D671-1)),0))</f>
        <v/>
      </c>
      <c r="AA671" s="14">
        <f>V671*in_fee*(1-in_taken_back)</f>
        <v/>
      </c>
      <c r="AB671" s="14">
        <f>SUMIFS(W656:W703,B656:B703,B671-in_dpd_lag)*d_dpd</f>
        <v/>
      </c>
      <c r="AC671" s="14">
        <f>SUMIFS(W656:W703,B656:B703,B671-in_rec_lag)*d_rec</f>
        <v/>
      </c>
      <c r="AD671" s="14">
        <f>Z671*in_card_fee</f>
        <v/>
      </c>
      <c r="AE671" s="40">
        <f>AE670*(1-IF(B670&gt;=in_marketplace_from,d_hz_hlth_small*G670,0))</f>
        <v/>
      </c>
      <c r="AF671" s="46">
        <f>AE671*IF(B671&gt;=in_marketplace_from,d_hz_hlth_small*G671,0)</f>
        <v/>
      </c>
      <c r="AG671" s="14">
        <f>F671*AF671*in_hlth_small_ticket*in_hlth_small_comm*in_ins_partner_share+F671*in_hlth_small_ticket*in_hlth_small_renew_comm*in_ins_partner_share*(in_hlth_small_renew^1*SUMIFS(AF656:AF703,B656:B703,B671-12)+in_hlth_small_renew^2*SUMIFS(AF656:AF703,B656:B703,B671-24)+in_hlth_small_renew^3*SUMIFS(AF656:AF703,B656:B703,B671-36)+in_hlth_small_renew^4*SUMIFS(AF656:AF703,B656:B703,B671-48))</f>
        <v/>
      </c>
      <c r="AH671" s="40">
        <f>AH670*(1-IF(B670&gt;=in_marketplace_from,d_hz_hlth_family*G670,0))</f>
        <v/>
      </c>
      <c r="AI671" s="46">
        <f>AH671*IF(B671&gt;=in_marketplace_from,d_hz_hlth_family*G671,0)</f>
        <v/>
      </c>
      <c r="AJ671" s="14">
        <f>F671*AI671*in_hlth_family_ticket*in_hlth_family_comm*in_ins_partner_share+F671*in_hlth_family_ticket*in_hlth_family_renew_comm*in_ins_partner_share*(in_hlth_family_renew^1*SUMIFS(AI656:AI703,B656:B703,B671-12)+in_hlth_family_renew^2*SUMIFS(AI656:AI703,B656:B703,B671-24)+in_hlth_family_renew^3*SUMIFS(AI656:AI703,B656:B703,B671-36)+in_hlth_family_renew^4*SUMIFS(AI656:AI703,B656:B703,B671-48))</f>
        <v/>
      </c>
      <c r="AK671" s="40">
        <f>AK670*(1-IF(B670&gt;=in_marketplace_from,d_hz_life_term*G670,0))</f>
        <v/>
      </c>
      <c r="AL671" s="46">
        <f>AK671*IF(B671&gt;=in_marketplace_from,d_hz_life_term*G671,0)</f>
        <v/>
      </c>
      <c r="AM671" s="14">
        <f>F671*AL671*in_life_term_ticket*in_life_term_comm*in_ins_partner_share+F671*in_life_term_ticket*in_life_term_renew_comm*in_ins_partner_share*(in_life_term_renew^1*SUMIFS(AL656:AL703,B656:B703,B671-12)+in_life_term_renew^2*SUMIFS(AL656:AL703,B656:B703,B671-24)+in_life_term_renew^3*SUMIFS(AL656:AL703,B656:B703,B671-36)+in_life_term_renew^4*SUMIFS(AL656:AL703,B656:B703,B671-48))</f>
        <v/>
      </c>
      <c r="AN671" s="40">
        <f>AN670*(1-IF(B670&gt;=in_marketplace_from,d_hz_accident*G670,0))</f>
        <v/>
      </c>
      <c r="AO671" s="46">
        <f>AN671*IF(B671&gt;=in_marketplace_from,d_hz_accident*G671,0)</f>
        <v/>
      </c>
      <c r="AP671" s="14">
        <f>F671*AO671*in_accident_ticket*in_accident_comm*in_ins_partner_share+F671*in_accident_ticket*in_accident_renew_comm*in_ins_partner_share*(in_accident_renew^1*SUMIFS(AO656:AO703,B656:B703,B671-12)+in_accident_renew^2*SUMIFS(AO656:AO703,B656:B703,B671-24)+in_accident_renew^3*SUMIFS(AO656:AO703,B656:B703,B671-36)+in_accident_renew^4*SUMIFS(AO656:AO703,B656:B703,B671-48))</f>
        <v/>
      </c>
      <c r="AQ671" s="40">
        <f>AQ670*(1-IF(B670&gt;=in_marketplace_from,d_hz_two_wheeler*G670,0))</f>
        <v/>
      </c>
      <c r="AR671" s="46">
        <f>AQ671*IF(B671&gt;=in_marketplace_from,d_hz_two_wheeler*G671,0)</f>
        <v/>
      </c>
      <c r="AS671" s="14">
        <f>F671*AR671*in_two_wheeler_ticket*in_two_wheeler_comm*in_ins_partner_share+F671*in_two_wheeler_ticket*in_two_wheeler_comm*in_ins_partner_share*(in_two_wheeler_renew^1*SUMIFS(AR656:AR703,B656:B703,B671-12)+in_two_wheeler_renew^2*SUMIFS(AR656:AR703,B656:B703,B671-24)+in_two_wheeler_renew^3*SUMIFS(AR656:AR703,B656:B703,B671-36)+in_two_wheeler_renew^4*SUMIFS(AR656:AR703,B656:B703,B671-48))</f>
        <v/>
      </c>
      <c r="AT671" s="40">
        <f>AT670*(1-IF(B670&gt;=in_marketplace_from,d_hz_device*G670,0))</f>
        <v/>
      </c>
      <c r="AU671" s="14">
        <f>F671*AT671*IF(B671&gt;=in_marketplace_from,d_hz_device*G671,0)*in_device_ticket*in_device_comm*in_ins_partner_share</f>
        <v/>
      </c>
      <c r="AV671" s="40">
        <f>AV670*(1-IF(B670&gt;=in_marketplace_from,d_hz_shop*G670,0))</f>
        <v/>
      </c>
      <c r="AW671" s="46">
        <f>AV671*IF(B671&gt;=in_marketplace_from,d_hz_shop*G671,0)</f>
        <v/>
      </c>
      <c r="AX671" s="14">
        <f>F671*AW671*in_shop_ticket*in_shop_comm*in_ins_partner_share+F671*in_shop_ticket*in_shop_renew_comm*in_ins_partner_share*(in_shop_renew^1*SUMIFS(AW656:AW703,B656:B703,B671-12)+in_shop_renew^2*SUMIFS(AW656:AW703,B656:B703,B671-24)+in_shop_renew^3*SUMIFS(AW656:AW703,B656:B703,B671-36)+in_shop_renew^4*SUMIFS(AW656:AW703,B656:B703,B671-48))</f>
        <v/>
      </c>
      <c r="AY671" s="40">
        <f>AY670*(1-IF(B670&gt;=in_marketplace_from,d_hz_sip*G670,0))</f>
        <v/>
      </c>
      <c r="AZ671" s="40">
        <f>AZ670*d_rho_sip+AY671*IF(B671&gt;=in_marketplace_from,d_hz_sip*G671,0)</f>
        <v/>
      </c>
      <c r="BA671" s="40">
        <f>d_rho_sip*(BA670+AZ670)</f>
        <v/>
      </c>
      <c r="BB671" s="14">
        <f>F671*in_sip_ticket*(BA671+0.5*AZ671)*in_sip_comm/12</f>
        <v/>
      </c>
      <c r="BC671" s="40">
        <f>BC670*(1-IF(B670&gt;=in_marketplace_from,d_hz_choti*G670,0))</f>
        <v/>
      </c>
      <c r="BD671" s="46">
        <f>BC671*IF(B671&gt;=in_marketplace_from,d_hz_choti*G671,0)</f>
        <v/>
      </c>
      <c r="BE671" s="14">
        <f>F671*SUMIFS(BD656:BD703,B656:B703,B671-in_choti_months)*in_choti_renew*in_choti_ticket</f>
        <v/>
      </c>
      <c r="BF671" s="40">
        <f>BF670*(1-IF(B670&gt;=in_marketplace_from,d_hz_nps*G670,0))</f>
        <v/>
      </c>
      <c r="BG671" s="14">
        <f>F671*BF671*IF(B671&gt;=in_marketplace_from,d_hz_nps*G671,0)*in_nps_ticket*in_nps_comm</f>
        <v/>
      </c>
      <c r="BH671" s="40">
        <f>BH670*(1-IF(B670&gt;=in_marketplace_from,d_hz_gold*G670,0))</f>
        <v/>
      </c>
      <c r="BI671" s="40">
        <f>BI670*d_rho_gold+BH671*IF(B671&gt;=in_marketplace_from,d_hz_gold*G671,0)</f>
        <v/>
      </c>
      <c r="BJ671" s="14">
        <f>F671*BI671*in_gold_ticket*in_gold_comm</f>
        <v/>
      </c>
      <c r="BK671" s="40">
        <f>BK670*(1-IF(B670&gt;=in_marketplace_from,d_hz_fd*G670,0))</f>
        <v/>
      </c>
      <c r="BL671" s="14">
        <f>F671*BK671*IF(B671&gt;=in_marketplace_from,d_hz_fd*G671,0)*in_fd_ticket*in_fd_comm</f>
        <v/>
      </c>
      <c r="BM671" s="40">
        <f>BM670*(1-IF(B670&gt;=in_marketplace_from,d_hz_recharge*G670,0))</f>
        <v/>
      </c>
      <c r="BN671" s="40">
        <f>BN670*d_rho_recharge+BM671*IF(B671&gt;=in_marketplace_from,d_hz_recharge*G671,0)</f>
        <v/>
      </c>
      <c r="BO671" s="14">
        <f>F671*BN671*in_recharge_ticket*in_recharge_comm/12</f>
        <v/>
      </c>
      <c r="BP671" s="40">
        <f>BP670*(1-IF(B670&gt;=in_marketplace_from,d_hz_bills*G670,0))</f>
        <v/>
      </c>
      <c r="BQ671" s="40">
        <f>BQ670*d_rho_bills+BP671*IF(B671&gt;=in_marketplace_from,d_hz_bills*G671,0)</f>
        <v/>
      </c>
      <c r="BR671" s="14">
        <f>F671*BQ671*in_bills_ticket*in_bills_comm/12</f>
        <v/>
      </c>
      <c r="BS671" s="40">
        <f>BS670*(1-IF(B670&gt;=in_marketplace_from,d_hz_loan_gold*G670,0))</f>
        <v/>
      </c>
      <c r="BT671" s="14">
        <f>F671*BS671*IF(B671&gt;=in_marketplace_from,d_hz_loan_gold*G671,0)*in_loan_gold_ticket*in_loan_gold_comm</f>
        <v/>
      </c>
      <c r="BU671" s="40">
        <f>BU670*(1-IF(B670&gt;=in_marketplace_from,d_hz_loan_cd*G670,0))</f>
        <v/>
      </c>
      <c r="BV671" s="14">
        <f>F671*BU671*IF(B671&gt;=in_marketplace_from,d_hz_loan_cd*G671,0)*in_loan_cd_ticket*in_loan_cd_comm</f>
        <v/>
      </c>
      <c r="BW671" s="40">
        <f>BW670*(1-IF(B670&gt;=in_marketplace_from,d_hz_loan_vehicle*G670,0))</f>
        <v/>
      </c>
      <c r="BX671" s="14">
        <f>F671*BW671*IF(B671&gt;=in_marketplace_from,d_hz_loan_vehicle*G671,0)*in_loan_vehicle_ticket*in_loan_vehicle_comm</f>
        <v/>
      </c>
      <c r="BY671" s="40">
        <f>BY670*(1-IF(B670&gt;=in_marketplace_from,d_hz_loan_home*G670,0)*BZ670)</f>
        <v/>
      </c>
      <c r="BZ671" s="11">
        <f>MIN(in_approval_cap,in_loan_home_approval*INDEX('Age profile'!$O$2:$O$61,B671)*(1+in_approval_growth)^(D671-1))</f>
        <v/>
      </c>
      <c r="CA671" s="14">
        <f>F671*BY671*IF(B671&gt;=in_marketplace_from,d_hz_loan_home*G671,0)*BZ671*in_loan_home_ticket*in_loan_home_comm</f>
        <v/>
      </c>
      <c r="CB671" s="40">
        <f>CB670*(1-IF(B670&gt;=in_marketplace_from,d_hz_loan_lap*G670,0)*CC670)</f>
        <v/>
      </c>
      <c r="CC671" s="11">
        <f>MIN(in_approval_cap,in_loan_lap_approval*INDEX('Age profile'!$O$2:$O$61,B671)*(1+in_approval_growth)^(D671-1))</f>
        <v/>
      </c>
      <c r="CD671" s="14">
        <f>F671*CB671*IF(B671&gt;=in_marketplace_from,d_hz_loan_lap*G671,0)*CC671*in_loan_lap_ticket*in_loan_lap_comm</f>
        <v/>
      </c>
      <c r="CE671" s="14">
        <f>AA671+AB671+AC671+AD671+AG671+AJ671+AM671+AP671+AS671+AU671+AX671+BB671+BE671+BG671+BJ671+BL671+BO671+BR671+BT671+BV671+BX671+CA671+CD671</f>
        <v/>
      </c>
    </row>
    <row r="672">
      <c r="A672" s="39" t="n">
        <v>13</v>
      </c>
      <c r="B672" s="39" t="n">
        <v>17</v>
      </c>
      <c r="C672" s="39">
        <f>A672+B672-1</f>
        <v/>
      </c>
      <c r="D672" s="39">
        <f>INT((C672-1)/12)+1</f>
        <v/>
      </c>
      <c r="E672" s="44">
        <f>INDEX(Monthly!$B$2:$B$61,A672)</f>
        <v/>
      </c>
      <c r="F672" s="44">
        <f>E672*INDEX('Age profile'!$B$2:$B$61,B672)</f>
        <v/>
      </c>
      <c r="G672" s="45">
        <f>MIN(in_takeup_cap,INDEX('Age profile'!$N$2:$N$61,B672)*(1+in_takeup_growth)^(D672-1))</f>
        <v/>
      </c>
      <c r="H672" s="11">
        <f>MIN(in_approval_cap,in_approved_first*INDEX('Age profile'!$O$2:$O$61,B672)*(1+in_approval_growth)^(D672-1))</f>
        <v/>
      </c>
      <c r="I672" s="45">
        <f>G672*MIN(in_takeup_cap,INDEX('Age profile'!$O$2:$O$61,B672)*(1+in_approval_growth)^(D672-1))</f>
        <v/>
      </c>
      <c r="J672" s="40">
        <f>(J671-L671)*F672/F671</f>
        <v/>
      </c>
      <c r="K672" s="40">
        <f>(K671-M671)*F672/F671+SUMIFS(O656:O671,B656:B671,B672-1-d_T)*F672</f>
        <v/>
      </c>
      <c r="L672" s="40">
        <f>IF(B672&gt;=in_marketplace_from,J672*d_hz*G672*in_eligible*H672,0)</f>
        <v/>
      </c>
      <c r="M672" s="40">
        <f>IF(B672&gt;=in_marketplace_from,K672*d_hz*G672*in_eligible*in_approved_repeat,0)</f>
        <v/>
      </c>
      <c r="N672" s="40">
        <f>L672+M672</f>
        <v/>
      </c>
      <c r="O672" s="46">
        <f>N672/F672</f>
        <v/>
      </c>
      <c r="P672" s="40">
        <f>F672-J672-K672</f>
        <v/>
      </c>
      <c r="Q672" s="40">
        <f>IF(B672&gt;=in_marketplace_from,(J672+K672)*d_hz*G672,0)</f>
        <v/>
      </c>
      <c r="R672" s="40">
        <f>SUMIFS(N656:N703,B656:B703,"&gt;="&amp;(B672-d_T),B656:B703,"&lt;="&amp;(B672-1))</f>
        <v/>
      </c>
      <c r="S672" s="46">
        <f>(1-d_u)*S671+IF(d_T&gt;in_topup_lag,SUMIFS(O656:O703,B656:B703,B672-in_topup_lag)-d_udrop*SUMIFS(O656:O703,B656:B703,B672-d_T),0)</f>
        <v/>
      </c>
      <c r="T672" s="40">
        <f>F672*d_u*S672</f>
        <v/>
      </c>
      <c r="U672" s="9">
        <f>L672*in_ticket+M672*d_rep_ticket</f>
        <v/>
      </c>
      <c r="V672" s="9">
        <f>U672+T672*d_topup_amt</f>
        <v/>
      </c>
      <c r="W672" s="40">
        <f>N672+T672*d_topup_ratio</f>
        <v/>
      </c>
      <c r="X672" s="40">
        <f>SUMIFS(W656:W703,B656:B703,B672-in_dpd_lag)*d_cured</f>
        <v/>
      </c>
      <c r="Y672" s="40">
        <f>SUMIFS(W656:W703,B656:B703,B672-in_rec_lag)*d_recd</f>
        <v/>
      </c>
      <c r="Z672" s="40">
        <f>IF(AND(B672&gt;=in_marketplace_from,B672&lt;in_marketplace_from+in_card_months),in_card_share/in_card_months*F672*I672,IF(AND(B672&gt;=in_marketplace_from+in_card_months,B672&lt;in_marketplace_from+2*in_card_months),in_card_share*d_card_rem/in_card_months*F672*MIN(in_takeup_cap,(1+in_takeup_growth)^(D672-1))*MIN(in_takeup_cap,(1+in_approval_growth)^(D672-1)),0))</f>
        <v/>
      </c>
      <c r="AA672" s="14">
        <f>V672*in_fee*(1-in_taken_back)</f>
        <v/>
      </c>
      <c r="AB672" s="14">
        <f>SUMIFS(W656:W703,B656:B703,B672-in_dpd_lag)*d_dpd</f>
        <v/>
      </c>
      <c r="AC672" s="14">
        <f>SUMIFS(W656:W703,B656:B703,B672-in_rec_lag)*d_rec</f>
        <v/>
      </c>
      <c r="AD672" s="14">
        <f>Z672*in_card_fee</f>
        <v/>
      </c>
      <c r="AE672" s="40">
        <f>AE671*(1-IF(B671&gt;=in_marketplace_from,d_hz_hlth_small*G671,0))</f>
        <v/>
      </c>
      <c r="AF672" s="46">
        <f>AE672*IF(B672&gt;=in_marketplace_from,d_hz_hlth_small*G672,0)</f>
        <v/>
      </c>
      <c r="AG672" s="14">
        <f>F672*AF672*in_hlth_small_ticket*in_hlth_small_comm*in_ins_partner_share+F672*in_hlth_small_ticket*in_hlth_small_renew_comm*in_ins_partner_share*(in_hlth_small_renew^1*SUMIFS(AF656:AF703,B656:B703,B672-12)+in_hlth_small_renew^2*SUMIFS(AF656:AF703,B656:B703,B672-24)+in_hlth_small_renew^3*SUMIFS(AF656:AF703,B656:B703,B672-36)+in_hlth_small_renew^4*SUMIFS(AF656:AF703,B656:B703,B672-48))</f>
        <v/>
      </c>
      <c r="AH672" s="40">
        <f>AH671*(1-IF(B671&gt;=in_marketplace_from,d_hz_hlth_family*G671,0))</f>
        <v/>
      </c>
      <c r="AI672" s="46">
        <f>AH672*IF(B672&gt;=in_marketplace_from,d_hz_hlth_family*G672,0)</f>
        <v/>
      </c>
      <c r="AJ672" s="14">
        <f>F672*AI672*in_hlth_family_ticket*in_hlth_family_comm*in_ins_partner_share+F672*in_hlth_family_ticket*in_hlth_family_renew_comm*in_ins_partner_share*(in_hlth_family_renew^1*SUMIFS(AI656:AI703,B656:B703,B672-12)+in_hlth_family_renew^2*SUMIFS(AI656:AI703,B656:B703,B672-24)+in_hlth_family_renew^3*SUMIFS(AI656:AI703,B656:B703,B672-36)+in_hlth_family_renew^4*SUMIFS(AI656:AI703,B656:B703,B672-48))</f>
        <v/>
      </c>
      <c r="AK672" s="40">
        <f>AK671*(1-IF(B671&gt;=in_marketplace_from,d_hz_life_term*G671,0))</f>
        <v/>
      </c>
      <c r="AL672" s="46">
        <f>AK672*IF(B672&gt;=in_marketplace_from,d_hz_life_term*G672,0)</f>
        <v/>
      </c>
      <c r="AM672" s="14">
        <f>F672*AL672*in_life_term_ticket*in_life_term_comm*in_ins_partner_share+F672*in_life_term_ticket*in_life_term_renew_comm*in_ins_partner_share*(in_life_term_renew^1*SUMIFS(AL656:AL703,B656:B703,B672-12)+in_life_term_renew^2*SUMIFS(AL656:AL703,B656:B703,B672-24)+in_life_term_renew^3*SUMIFS(AL656:AL703,B656:B703,B672-36)+in_life_term_renew^4*SUMIFS(AL656:AL703,B656:B703,B672-48))</f>
        <v/>
      </c>
      <c r="AN672" s="40">
        <f>AN671*(1-IF(B671&gt;=in_marketplace_from,d_hz_accident*G671,0))</f>
        <v/>
      </c>
      <c r="AO672" s="46">
        <f>AN672*IF(B672&gt;=in_marketplace_from,d_hz_accident*G672,0)</f>
        <v/>
      </c>
      <c r="AP672" s="14">
        <f>F672*AO672*in_accident_ticket*in_accident_comm*in_ins_partner_share+F672*in_accident_ticket*in_accident_renew_comm*in_ins_partner_share*(in_accident_renew^1*SUMIFS(AO656:AO703,B656:B703,B672-12)+in_accident_renew^2*SUMIFS(AO656:AO703,B656:B703,B672-24)+in_accident_renew^3*SUMIFS(AO656:AO703,B656:B703,B672-36)+in_accident_renew^4*SUMIFS(AO656:AO703,B656:B703,B672-48))</f>
        <v/>
      </c>
      <c r="AQ672" s="40">
        <f>AQ671*(1-IF(B671&gt;=in_marketplace_from,d_hz_two_wheeler*G671,0))</f>
        <v/>
      </c>
      <c r="AR672" s="46">
        <f>AQ672*IF(B672&gt;=in_marketplace_from,d_hz_two_wheeler*G672,0)</f>
        <v/>
      </c>
      <c r="AS672" s="14">
        <f>F672*AR672*in_two_wheeler_ticket*in_two_wheeler_comm*in_ins_partner_share+F672*in_two_wheeler_ticket*in_two_wheeler_comm*in_ins_partner_share*(in_two_wheeler_renew^1*SUMIFS(AR656:AR703,B656:B703,B672-12)+in_two_wheeler_renew^2*SUMIFS(AR656:AR703,B656:B703,B672-24)+in_two_wheeler_renew^3*SUMIFS(AR656:AR703,B656:B703,B672-36)+in_two_wheeler_renew^4*SUMIFS(AR656:AR703,B656:B703,B672-48))</f>
        <v/>
      </c>
      <c r="AT672" s="40">
        <f>AT671*(1-IF(B671&gt;=in_marketplace_from,d_hz_device*G671,0))</f>
        <v/>
      </c>
      <c r="AU672" s="14">
        <f>F672*AT672*IF(B672&gt;=in_marketplace_from,d_hz_device*G672,0)*in_device_ticket*in_device_comm*in_ins_partner_share</f>
        <v/>
      </c>
      <c r="AV672" s="40">
        <f>AV671*(1-IF(B671&gt;=in_marketplace_from,d_hz_shop*G671,0))</f>
        <v/>
      </c>
      <c r="AW672" s="46">
        <f>AV672*IF(B672&gt;=in_marketplace_from,d_hz_shop*G672,0)</f>
        <v/>
      </c>
      <c r="AX672" s="14">
        <f>F672*AW672*in_shop_ticket*in_shop_comm*in_ins_partner_share+F672*in_shop_ticket*in_shop_renew_comm*in_ins_partner_share*(in_shop_renew^1*SUMIFS(AW656:AW703,B656:B703,B672-12)+in_shop_renew^2*SUMIFS(AW656:AW703,B656:B703,B672-24)+in_shop_renew^3*SUMIFS(AW656:AW703,B656:B703,B672-36)+in_shop_renew^4*SUMIFS(AW656:AW703,B656:B703,B672-48))</f>
        <v/>
      </c>
      <c r="AY672" s="40">
        <f>AY671*(1-IF(B671&gt;=in_marketplace_from,d_hz_sip*G671,0))</f>
        <v/>
      </c>
      <c r="AZ672" s="40">
        <f>AZ671*d_rho_sip+AY672*IF(B672&gt;=in_marketplace_from,d_hz_sip*G672,0)</f>
        <v/>
      </c>
      <c r="BA672" s="40">
        <f>d_rho_sip*(BA671+AZ671)</f>
        <v/>
      </c>
      <c r="BB672" s="14">
        <f>F672*in_sip_ticket*(BA672+0.5*AZ672)*in_sip_comm/12</f>
        <v/>
      </c>
      <c r="BC672" s="40">
        <f>BC671*(1-IF(B671&gt;=in_marketplace_from,d_hz_choti*G671,0))</f>
        <v/>
      </c>
      <c r="BD672" s="46">
        <f>BC672*IF(B672&gt;=in_marketplace_from,d_hz_choti*G672,0)</f>
        <v/>
      </c>
      <c r="BE672" s="14">
        <f>F672*SUMIFS(BD656:BD703,B656:B703,B672-in_choti_months)*in_choti_renew*in_choti_ticket</f>
        <v/>
      </c>
      <c r="BF672" s="40">
        <f>BF671*(1-IF(B671&gt;=in_marketplace_from,d_hz_nps*G671,0))</f>
        <v/>
      </c>
      <c r="BG672" s="14">
        <f>F672*BF672*IF(B672&gt;=in_marketplace_from,d_hz_nps*G672,0)*in_nps_ticket*in_nps_comm</f>
        <v/>
      </c>
      <c r="BH672" s="40">
        <f>BH671*(1-IF(B671&gt;=in_marketplace_from,d_hz_gold*G671,0))</f>
        <v/>
      </c>
      <c r="BI672" s="40">
        <f>BI671*d_rho_gold+BH672*IF(B672&gt;=in_marketplace_from,d_hz_gold*G672,0)</f>
        <v/>
      </c>
      <c r="BJ672" s="14">
        <f>F672*BI672*in_gold_ticket*in_gold_comm</f>
        <v/>
      </c>
      <c r="BK672" s="40">
        <f>BK671*(1-IF(B671&gt;=in_marketplace_from,d_hz_fd*G671,0))</f>
        <v/>
      </c>
      <c r="BL672" s="14">
        <f>F672*BK672*IF(B672&gt;=in_marketplace_from,d_hz_fd*G672,0)*in_fd_ticket*in_fd_comm</f>
        <v/>
      </c>
      <c r="BM672" s="40">
        <f>BM671*(1-IF(B671&gt;=in_marketplace_from,d_hz_recharge*G671,0))</f>
        <v/>
      </c>
      <c r="BN672" s="40">
        <f>BN671*d_rho_recharge+BM672*IF(B672&gt;=in_marketplace_from,d_hz_recharge*G672,0)</f>
        <v/>
      </c>
      <c r="BO672" s="14">
        <f>F672*BN672*in_recharge_ticket*in_recharge_comm/12</f>
        <v/>
      </c>
      <c r="BP672" s="40">
        <f>BP671*(1-IF(B671&gt;=in_marketplace_from,d_hz_bills*G671,0))</f>
        <v/>
      </c>
      <c r="BQ672" s="40">
        <f>BQ671*d_rho_bills+BP672*IF(B672&gt;=in_marketplace_from,d_hz_bills*G672,0)</f>
        <v/>
      </c>
      <c r="BR672" s="14">
        <f>F672*BQ672*in_bills_ticket*in_bills_comm/12</f>
        <v/>
      </c>
      <c r="BS672" s="40">
        <f>BS671*(1-IF(B671&gt;=in_marketplace_from,d_hz_loan_gold*G671,0))</f>
        <v/>
      </c>
      <c r="BT672" s="14">
        <f>F672*BS672*IF(B672&gt;=in_marketplace_from,d_hz_loan_gold*G672,0)*in_loan_gold_ticket*in_loan_gold_comm</f>
        <v/>
      </c>
      <c r="BU672" s="40">
        <f>BU671*(1-IF(B671&gt;=in_marketplace_from,d_hz_loan_cd*G671,0))</f>
        <v/>
      </c>
      <c r="BV672" s="14">
        <f>F672*BU672*IF(B672&gt;=in_marketplace_from,d_hz_loan_cd*G672,0)*in_loan_cd_ticket*in_loan_cd_comm</f>
        <v/>
      </c>
      <c r="BW672" s="40">
        <f>BW671*(1-IF(B671&gt;=in_marketplace_from,d_hz_loan_vehicle*G671,0))</f>
        <v/>
      </c>
      <c r="BX672" s="14">
        <f>F672*BW672*IF(B672&gt;=in_marketplace_from,d_hz_loan_vehicle*G672,0)*in_loan_vehicle_ticket*in_loan_vehicle_comm</f>
        <v/>
      </c>
      <c r="BY672" s="40">
        <f>BY671*(1-IF(B671&gt;=in_marketplace_from,d_hz_loan_home*G671,0)*BZ671)</f>
        <v/>
      </c>
      <c r="BZ672" s="11">
        <f>MIN(in_approval_cap,in_loan_home_approval*INDEX('Age profile'!$O$2:$O$61,B672)*(1+in_approval_growth)^(D672-1))</f>
        <v/>
      </c>
      <c r="CA672" s="14">
        <f>F672*BY672*IF(B672&gt;=in_marketplace_from,d_hz_loan_home*G672,0)*BZ672*in_loan_home_ticket*in_loan_home_comm</f>
        <v/>
      </c>
      <c r="CB672" s="40">
        <f>CB671*(1-IF(B671&gt;=in_marketplace_from,d_hz_loan_lap*G671,0)*CC671)</f>
        <v/>
      </c>
      <c r="CC672" s="11">
        <f>MIN(in_approval_cap,in_loan_lap_approval*INDEX('Age profile'!$O$2:$O$61,B672)*(1+in_approval_growth)^(D672-1))</f>
        <v/>
      </c>
      <c r="CD672" s="14">
        <f>F672*CB672*IF(B672&gt;=in_marketplace_from,d_hz_loan_lap*G672,0)*CC672*in_loan_lap_ticket*in_loan_lap_comm</f>
        <v/>
      </c>
      <c r="CE672" s="14">
        <f>AA672+AB672+AC672+AD672+AG672+AJ672+AM672+AP672+AS672+AU672+AX672+BB672+BE672+BG672+BJ672+BL672+BO672+BR672+BT672+BV672+BX672+CA672+CD672</f>
        <v/>
      </c>
    </row>
    <row r="673">
      <c r="A673" s="39" t="n">
        <v>13</v>
      </c>
      <c r="B673" s="39" t="n">
        <v>18</v>
      </c>
      <c r="C673" s="39">
        <f>A673+B673-1</f>
        <v/>
      </c>
      <c r="D673" s="39">
        <f>INT((C673-1)/12)+1</f>
        <v/>
      </c>
      <c r="E673" s="44">
        <f>INDEX(Monthly!$B$2:$B$61,A673)</f>
        <v/>
      </c>
      <c r="F673" s="44">
        <f>E673*INDEX('Age profile'!$B$2:$B$61,B673)</f>
        <v/>
      </c>
      <c r="G673" s="45">
        <f>MIN(in_takeup_cap,INDEX('Age profile'!$N$2:$N$61,B673)*(1+in_takeup_growth)^(D673-1))</f>
        <v/>
      </c>
      <c r="H673" s="11">
        <f>MIN(in_approval_cap,in_approved_first*INDEX('Age profile'!$O$2:$O$61,B673)*(1+in_approval_growth)^(D673-1))</f>
        <v/>
      </c>
      <c r="I673" s="45">
        <f>G673*MIN(in_takeup_cap,INDEX('Age profile'!$O$2:$O$61,B673)*(1+in_approval_growth)^(D673-1))</f>
        <v/>
      </c>
      <c r="J673" s="40">
        <f>(J672-L672)*F673/F672</f>
        <v/>
      </c>
      <c r="K673" s="40">
        <f>(K672-M672)*F673/F672+SUMIFS(O656:O672,B656:B672,B673-1-d_T)*F673</f>
        <v/>
      </c>
      <c r="L673" s="40">
        <f>IF(B673&gt;=in_marketplace_from,J673*d_hz*G673*in_eligible*H673,0)</f>
        <v/>
      </c>
      <c r="M673" s="40">
        <f>IF(B673&gt;=in_marketplace_from,K673*d_hz*G673*in_eligible*in_approved_repeat,0)</f>
        <v/>
      </c>
      <c r="N673" s="40">
        <f>L673+M673</f>
        <v/>
      </c>
      <c r="O673" s="46">
        <f>N673/F673</f>
        <v/>
      </c>
      <c r="P673" s="40">
        <f>F673-J673-K673</f>
        <v/>
      </c>
      <c r="Q673" s="40">
        <f>IF(B673&gt;=in_marketplace_from,(J673+K673)*d_hz*G673,0)</f>
        <v/>
      </c>
      <c r="R673" s="40">
        <f>SUMIFS(N656:N703,B656:B703,"&gt;="&amp;(B673-d_T),B656:B703,"&lt;="&amp;(B673-1))</f>
        <v/>
      </c>
      <c r="S673" s="46">
        <f>(1-d_u)*S672+IF(d_T&gt;in_topup_lag,SUMIFS(O656:O703,B656:B703,B673-in_topup_lag)-d_udrop*SUMIFS(O656:O703,B656:B703,B673-d_T),0)</f>
        <v/>
      </c>
      <c r="T673" s="40">
        <f>F673*d_u*S673</f>
        <v/>
      </c>
      <c r="U673" s="9">
        <f>L673*in_ticket+M673*d_rep_ticket</f>
        <v/>
      </c>
      <c r="V673" s="9">
        <f>U673+T673*d_topup_amt</f>
        <v/>
      </c>
      <c r="W673" s="40">
        <f>N673+T673*d_topup_ratio</f>
        <v/>
      </c>
      <c r="X673" s="40">
        <f>SUMIFS(W656:W703,B656:B703,B673-in_dpd_lag)*d_cured</f>
        <v/>
      </c>
      <c r="Y673" s="40">
        <f>SUMIFS(W656:W703,B656:B703,B673-in_rec_lag)*d_recd</f>
        <v/>
      </c>
      <c r="Z673" s="40">
        <f>IF(AND(B673&gt;=in_marketplace_from,B673&lt;in_marketplace_from+in_card_months),in_card_share/in_card_months*F673*I673,IF(AND(B673&gt;=in_marketplace_from+in_card_months,B673&lt;in_marketplace_from+2*in_card_months),in_card_share*d_card_rem/in_card_months*F673*MIN(in_takeup_cap,(1+in_takeup_growth)^(D673-1))*MIN(in_takeup_cap,(1+in_approval_growth)^(D673-1)),0))</f>
        <v/>
      </c>
      <c r="AA673" s="14">
        <f>V673*in_fee*(1-in_taken_back)</f>
        <v/>
      </c>
      <c r="AB673" s="14">
        <f>SUMIFS(W656:W703,B656:B703,B673-in_dpd_lag)*d_dpd</f>
        <v/>
      </c>
      <c r="AC673" s="14">
        <f>SUMIFS(W656:W703,B656:B703,B673-in_rec_lag)*d_rec</f>
        <v/>
      </c>
      <c r="AD673" s="14">
        <f>Z673*in_card_fee</f>
        <v/>
      </c>
      <c r="AE673" s="40">
        <f>AE672*(1-IF(B672&gt;=in_marketplace_from,d_hz_hlth_small*G672,0))</f>
        <v/>
      </c>
      <c r="AF673" s="46">
        <f>AE673*IF(B673&gt;=in_marketplace_from,d_hz_hlth_small*G673,0)</f>
        <v/>
      </c>
      <c r="AG673" s="14">
        <f>F673*AF673*in_hlth_small_ticket*in_hlth_small_comm*in_ins_partner_share+F673*in_hlth_small_ticket*in_hlth_small_renew_comm*in_ins_partner_share*(in_hlth_small_renew^1*SUMIFS(AF656:AF703,B656:B703,B673-12)+in_hlth_small_renew^2*SUMIFS(AF656:AF703,B656:B703,B673-24)+in_hlth_small_renew^3*SUMIFS(AF656:AF703,B656:B703,B673-36)+in_hlth_small_renew^4*SUMIFS(AF656:AF703,B656:B703,B673-48))</f>
        <v/>
      </c>
      <c r="AH673" s="40">
        <f>AH672*(1-IF(B672&gt;=in_marketplace_from,d_hz_hlth_family*G672,0))</f>
        <v/>
      </c>
      <c r="AI673" s="46">
        <f>AH673*IF(B673&gt;=in_marketplace_from,d_hz_hlth_family*G673,0)</f>
        <v/>
      </c>
      <c r="AJ673" s="14">
        <f>F673*AI673*in_hlth_family_ticket*in_hlth_family_comm*in_ins_partner_share+F673*in_hlth_family_ticket*in_hlth_family_renew_comm*in_ins_partner_share*(in_hlth_family_renew^1*SUMIFS(AI656:AI703,B656:B703,B673-12)+in_hlth_family_renew^2*SUMIFS(AI656:AI703,B656:B703,B673-24)+in_hlth_family_renew^3*SUMIFS(AI656:AI703,B656:B703,B673-36)+in_hlth_family_renew^4*SUMIFS(AI656:AI703,B656:B703,B673-48))</f>
        <v/>
      </c>
      <c r="AK673" s="40">
        <f>AK672*(1-IF(B672&gt;=in_marketplace_from,d_hz_life_term*G672,0))</f>
        <v/>
      </c>
      <c r="AL673" s="46">
        <f>AK673*IF(B673&gt;=in_marketplace_from,d_hz_life_term*G673,0)</f>
        <v/>
      </c>
      <c r="AM673" s="14">
        <f>F673*AL673*in_life_term_ticket*in_life_term_comm*in_ins_partner_share+F673*in_life_term_ticket*in_life_term_renew_comm*in_ins_partner_share*(in_life_term_renew^1*SUMIFS(AL656:AL703,B656:B703,B673-12)+in_life_term_renew^2*SUMIFS(AL656:AL703,B656:B703,B673-24)+in_life_term_renew^3*SUMIFS(AL656:AL703,B656:B703,B673-36)+in_life_term_renew^4*SUMIFS(AL656:AL703,B656:B703,B673-48))</f>
        <v/>
      </c>
      <c r="AN673" s="40">
        <f>AN672*(1-IF(B672&gt;=in_marketplace_from,d_hz_accident*G672,0))</f>
        <v/>
      </c>
      <c r="AO673" s="46">
        <f>AN673*IF(B673&gt;=in_marketplace_from,d_hz_accident*G673,0)</f>
        <v/>
      </c>
      <c r="AP673" s="14">
        <f>F673*AO673*in_accident_ticket*in_accident_comm*in_ins_partner_share+F673*in_accident_ticket*in_accident_renew_comm*in_ins_partner_share*(in_accident_renew^1*SUMIFS(AO656:AO703,B656:B703,B673-12)+in_accident_renew^2*SUMIFS(AO656:AO703,B656:B703,B673-24)+in_accident_renew^3*SUMIFS(AO656:AO703,B656:B703,B673-36)+in_accident_renew^4*SUMIFS(AO656:AO703,B656:B703,B673-48))</f>
        <v/>
      </c>
      <c r="AQ673" s="40">
        <f>AQ672*(1-IF(B672&gt;=in_marketplace_from,d_hz_two_wheeler*G672,0))</f>
        <v/>
      </c>
      <c r="AR673" s="46">
        <f>AQ673*IF(B673&gt;=in_marketplace_from,d_hz_two_wheeler*G673,0)</f>
        <v/>
      </c>
      <c r="AS673" s="14">
        <f>F673*AR673*in_two_wheeler_ticket*in_two_wheeler_comm*in_ins_partner_share+F673*in_two_wheeler_ticket*in_two_wheeler_comm*in_ins_partner_share*(in_two_wheeler_renew^1*SUMIFS(AR656:AR703,B656:B703,B673-12)+in_two_wheeler_renew^2*SUMIFS(AR656:AR703,B656:B703,B673-24)+in_two_wheeler_renew^3*SUMIFS(AR656:AR703,B656:B703,B673-36)+in_two_wheeler_renew^4*SUMIFS(AR656:AR703,B656:B703,B673-48))</f>
        <v/>
      </c>
      <c r="AT673" s="40">
        <f>AT672*(1-IF(B672&gt;=in_marketplace_from,d_hz_device*G672,0))</f>
        <v/>
      </c>
      <c r="AU673" s="14">
        <f>F673*AT673*IF(B673&gt;=in_marketplace_from,d_hz_device*G673,0)*in_device_ticket*in_device_comm*in_ins_partner_share</f>
        <v/>
      </c>
      <c r="AV673" s="40">
        <f>AV672*(1-IF(B672&gt;=in_marketplace_from,d_hz_shop*G672,0))</f>
        <v/>
      </c>
      <c r="AW673" s="46">
        <f>AV673*IF(B673&gt;=in_marketplace_from,d_hz_shop*G673,0)</f>
        <v/>
      </c>
      <c r="AX673" s="14">
        <f>F673*AW673*in_shop_ticket*in_shop_comm*in_ins_partner_share+F673*in_shop_ticket*in_shop_renew_comm*in_ins_partner_share*(in_shop_renew^1*SUMIFS(AW656:AW703,B656:B703,B673-12)+in_shop_renew^2*SUMIFS(AW656:AW703,B656:B703,B673-24)+in_shop_renew^3*SUMIFS(AW656:AW703,B656:B703,B673-36)+in_shop_renew^4*SUMIFS(AW656:AW703,B656:B703,B673-48))</f>
        <v/>
      </c>
      <c r="AY673" s="40">
        <f>AY672*(1-IF(B672&gt;=in_marketplace_from,d_hz_sip*G672,0))</f>
        <v/>
      </c>
      <c r="AZ673" s="40">
        <f>AZ672*d_rho_sip+AY673*IF(B673&gt;=in_marketplace_from,d_hz_sip*G673,0)</f>
        <v/>
      </c>
      <c r="BA673" s="40">
        <f>d_rho_sip*(BA672+AZ672)</f>
        <v/>
      </c>
      <c r="BB673" s="14">
        <f>F673*in_sip_ticket*(BA673+0.5*AZ673)*in_sip_comm/12</f>
        <v/>
      </c>
      <c r="BC673" s="40">
        <f>BC672*(1-IF(B672&gt;=in_marketplace_from,d_hz_choti*G672,0))</f>
        <v/>
      </c>
      <c r="BD673" s="46">
        <f>BC673*IF(B673&gt;=in_marketplace_from,d_hz_choti*G673,0)</f>
        <v/>
      </c>
      <c r="BE673" s="14">
        <f>F673*SUMIFS(BD656:BD703,B656:B703,B673-in_choti_months)*in_choti_renew*in_choti_ticket</f>
        <v/>
      </c>
      <c r="BF673" s="40">
        <f>BF672*(1-IF(B672&gt;=in_marketplace_from,d_hz_nps*G672,0))</f>
        <v/>
      </c>
      <c r="BG673" s="14">
        <f>F673*BF673*IF(B673&gt;=in_marketplace_from,d_hz_nps*G673,0)*in_nps_ticket*in_nps_comm</f>
        <v/>
      </c>
      <c r="BH673" s="40">
        <f>BH672*(1-IF(B672&gt;=in_marketplace_from,d_hz_gold*G672,0))</f>
        <v/>
      </c>
      <c r="BI673" s="40">
        <f>BI672*d_rho_gold+BH673*IF(B673&gt;=in_marketplace_from,d_hz_gold*G673,0)</f>
        <v/>
      </c>
      <c r="BJ673" s="14">
        <f>F673*BI673*in_gold_ticket*in_gold_comm</f>
        <v/>
      </c>
      <c r="BK673" s="40">
        <f>BK672*(1-IF(B672&gt;=in_marketplace_from,d_hz_fd*G672,0))</f>
        <v/>
      </c>
      <c r="BL673" s="14">
        <f>F673*BK673*IF(B673&gt;=in_marketplace_from,d_hz_fd*G673,0)*in_fd_ticket*in_fd_comm</f>
        <v/>
      </c>
      <c r="BM673" s="40">
        <f>BM672*(1-IF(B672&gt;=in_marketplace_from,d_hz_recharge*G672,0))</f>
        <v/>
      </c>
      <c r="BN673" s="40">
        <f>BN672*d_rho_recharge+BM673*IF(B673&gt;=in_marketplace_from,d_hz_recharge*G673,0)</f>
        <v/>
      </c>
      <c r="BO673" s="14">
        <f>F673*BN673*in_recharge_ticket*in_recharge_comm/12</f>
        <v/>
      </c>
      <c r="BP673" s="40">
        <f>BP672*(1-IF(B672&gt;=in_marketplace_from,d_hz_bills*G672,0))</f>
        <v/>
      </c>
      <c r="BQ673" s="40">
        <f>BQ672*d_rho_bills+BP673*IF(B673&gt;=in_marketplace_from,d_hz_bills*G673,0)</f>
        <v/>
      </c>
      <c r="BR673" s="14">
        <f>F673*BQ673*in_bills_ticket*in_bills_comm/12</f>
        <v/>
      </c>
      <c r="BS673" s="40">
        <f>BS672*(1-IF(B672&gt;=in_marketplace_from,d_hz_loan_gold*G672,0))</f>
        <v/>
      </c>
      <c r="BT673" s="14">
        <f>F673*BS673*IF(B673&gt;=in_marketplace_from,d_hz_loan_gold*G673,0)*in_loan_gold_ticket*in_loan_gold_comm</f>
        <v/>
      </c>
      <c r="BU673" s="40">
        <f>BU672*(1-IF(B672&gt;=in_marketplace_from,d_hz_loan_cd*G672,0))</f>
        <v/>
      </c>
      <c r="BV673" s="14">
        <f>F673*BU673*IF(B673&gt;=in_marketplace_from,d_hz_loan_cd*G673,0)*in_loan_cd_ticket*in_loan_cd_comm</f>
        <v/>
      </c>
      <c r="BW673" s="40">
        <f>BW672*(1-IF(B672&gt;=in_marketplace_from,d_hz_loan_vehicle*G672,0))</f>
        <v/>
      </c>
      <c r="BX673" s="14">
        <f>F673*BW673*IF(B673&gt;=in_marketplace_from,d_hz_loan_vehicle*G673,0)*in_loan_vehicle_ticket*in_loan_vehicle_comm</f>
        <v/>
      </c>
      <c r="BY673" s="40">
        <f>BY672*(1-IF(B672&gt;=in_marketplace_from,d_hz_loan_home*G672,0)*BZ672)</f>
        <v/>
      </c>
      <c r="BZ673" s="11">
        <f>MIN(in_approval_cap,in_loan_home_approval*INDEX('Age profile'!$O$2:$O$61,B673)*(1+in_approval_growth)^(D673-1))</f>
        <v/>
      </c>
      <c r="CA673" s="14">
        <f>F673*BY673*IF(B673&gt;=in_marketplace_from,d_hz_loan_home*G673,0)*BZ673*in_loan_home_ticket*in_loan_home_comm</f>
        <v/>
      </c>
      <c r="CB673" s="40">
        <f>CB672*(1-IF(B672&gt;=in_marketplace_from,d_hz_loan_lap*G672,0)*CC672)</f>
        <v/>
      </c>
      <c r="CC673" s="11">
        <f>MIN(in_approval_cap,in_loan_lap_approval*INDEX('Age profile'!$O$2:$O$61,B673)*(1+in_approval_growth)^(D673-1))</f>
        <v/>
      </c>
      <c r="CD673" s="14">
        <f>F673*CB673*IF(B673&gt;=in_marketplace_from,d_hz_loan_lap*G673,0)*CC673*in_loan_lap_ticket*in_loan_lap_comm</f>
        <v/>
      </c>
      <c r="CE673" s="14">
        <f>AA673+AB673+AC673+AD673+AG673+AJ673+AM673+AP673+AS673+AU673+AX673+BB673+BE673+BG673+BJ673+BL673+BO673+BR673+BT673+BV673+BX673+CA673+CD673</f>
        <v/>
      </c>
    </row>
    <row r="674">
      <c r="A674" s="39" t="n">
        <v>13</v>
      </c>
      <c r="B674" s="39" t="n">
        <v>19</v>
      </c>
      <c r="C674" s="39">
        <f>A674+B674-1</f>
        <v/>
      </c>
      <c r="D674" s="39">
        <f>INT((C674-1)/12)+1</f>
        <v/>
      </c>
      <c r="E674" s="44">
        <f>INDEX(Monthly!$B$2:$B$61,A674)</f>
        <v/>
      </c>
      <c r="F674" s="44">
        <f>E674*INDEX('Age profile'!$B$2:$B$61,B674)</f>
        <v/>
      </c>
      <c r="G674" s="45">
        <f>MIN(in_takeup_cap,INDEX('Age profile'!$N$2:$N$61,B674)*(1+in_takeup_growth)^(D674-1))</f>
        <v/>
      </c>
      <c r="H674" s="11">
        <f>MIN(in_approval_cap,in_approved_first*INDEX('Age profile'!$O$2:$O$61,B674)*(1+in_approval_growth)^(D674-1))</f>
        <v/>
      </c>
      <c r="I674" s="45">
        <f>G674*MIN(in_takeup_cap,INDEX('Age profile'!$O$2:$O$61,B674)*(1+in_approval_growth)^(D674-1))</f>
        <v/>
      </c>
      <c r="J674" s="40">
        <f>(J673-L673)*F674/F673</f>
        <v/>
      </c>
      <c r="K674" s="40">
        <f>(K673-M673)*F674/F673+SUMIFS(O656:O673,B656:B673,B674-1-d_T)*F674</f>
        <v/>
      </c>
      <c r="L674" s="40">
        <f>IF(B674&gt;=in_marketplace_from,J674*d_hz*G674*in_eligible*H674,0)</f>
        <v/>
      </c>
      <c r="M674" s="40">
        <f>IF(B674&gt;=in_marketplace_from,K674*d_hz*G674*in_eligible*in_approved_repeat,0)</f>
        <v/>
      </c>
      <c r="N674" s="40">
        <f>L674+M674</f>
        <v/>
      </c>
      <c r="O674" s="46">
        <f>N674/F674</f>
        <v/>
      </c>
      <c r="P674" s="40">
        <f>F674-J674-K674</f>
        <v/>
      </c>
      <c r="Q674" s="40">
        <f>IF(B674&gt;=in_marketplace_from,(J674+K674)*d_hz*G674,0)</f>
        <v/>
      </c>
      <c r="R674" s="40">
        <f>SUMIFS(N656:N703,B656:B703,"&gt;="&amp;(B674-d_T),B656:B703,"&lt;="&amp;(B674-1))</f>
        <v/>
      </c>
      <c r="S674" s="46">
        <f>(1-d_u)*S673+IF(d_T&gt;in_topup_lag,SUMIFS(O656:O703,B656:B703,B674-in_topup_lag)-d_udrop*SUMIFS(O656:O703,B656:B703,B674-d_T),0)</f>
        <v/>
      </c>
      <c r="T674" s="40">
        <f>F674*d_u*S674</f>
        <v/>
      </c>
      <c r="U674" s="9">
        <f>L674*in_ticket+M674*d_rep_ticket</f>
        <v/>
      </c>
      <c r="V674" s="9">
        <f>U674+T674*d_topup_amt</f>
        <v/>
      </c>
      <c r="W674" s="40">
        <f>N674+T674*d_topup_ratio</f>
        <v/>
      </c>
      <c r="X674" s="40">
        <f>SUMIFS(W656:W703,B656:B703,B674-in_dpd_lag)*d_cured</f>
        <v/>
      </c>
      <c r="Y674" s="40">
        <f>SUMIFS(W656:W703,B656:B703,B674-in_rec_lag)*d_recd</f>
        <v/>
      </c>
      <c r="Z674" s="40">
        <f>IF(AND(B674&gt;=in_marketplace_from,B674&lt;in_marketplace_from+in_card_months),in_card_share/in_card_months*F674*I674,IF(AND(B674&gt;=in_marketplace_from+in_card_months,B674&lt;in_marketplace_from+2*in_card_months),in_card_share*d_card_rem/in_card_months*F674*MIN(in_takeup_cap,(1+in_takeup_growth)^(D674-1))*MIN(in_takeup_cap,(1+in_approval_growth)^(D674-1)),0))</f>
        <v/>
      </c>
      <c r="AA674" s="14">
        <f>V674*in_fee*(1-in_taken_back)</f>
        <v/>
      </c>
      <c r="AB674" s="14">
        <f>SUMIFS(W656:W703,B656:B703,B674-in_dpd_lag)*d_dpd</f>
        <v/>
      </c>
      <c r="AC674" s="14">
        <f>SUMIFS(W656:W703,B656:B703,B674-in_rec_lag)*d_rec</f>
        <v/>
      </c>
      <c r="AD674" s="14">
        <f>Z674*in_card_fee</f>
        <v/>
      </c>
      <c r="AE674" s="40">
        <f>AE673*(1-IF(B673&gt;=in_marketplace_from,d_hz_hlth_small*G673,0))</f>
        <v/>
      </c>
      <c r="AF674" s="46">
        <f>AE674*IF(B674&gt;=in_marketplace_from,d_hz_hlth_small*G674,0)</f>
        <v/>
      </c>
      <c r="AG674" s="14">
        <f>F674*AF674*in_hlth_small_ticket*in_hlth_small_comm*in_ins_partner_share+F674*in_hlth_small_ticket*in_hlth_small_renew_comm*in_ins_partner_share*(in_hlth_small_renew^1*SUMIFS(AF656:AF703,B656:B703,B674-12)+in_hlth_small_renew^2*SUMIFS(AF656:AF703,B656:B703,B674-24)+in_hlth_small_renew^3*SUMIFS(AF656:AF703,B656:B703,B674-36)+in_hlth_small_renew^4*SUMIFS(AF656:AF703,B656:B703,B674-48))</f>
        <v/>
      </c>
      <c r="AH674" s="40">
        <f>AH673*(1-IF(B673&gt;=in_marketplace_from,d_hz_hlth_family*G673,0))</f>
        <v/>
      </c>
      <c r="AI674" s="46">
        <f>AH674*IF(B674&gt;=in_marketplace_from,d_hz_hlth_family*G674,0)</f>
        <v/>
      </c>
      <c r="AJ674" s="14">
        <f>F674*AI674*in_hlth_family_ticket*in_hlth_family_comm*in_ins_partner_share+F674*in_hlth_family_ticket*in_hlth_family_renew_comm*in_ins_partner_share*(in_hlth_family_renew^1*SUMIFS(AI656:AI703,B656:B703,B674-12)+in_hlth_family_renew^2*SUMIFS(AI656:AI703,B656:B703,B674-24)+in_hlth_family_renew^3*SUMIFS(AI656:AI703,B656:B703,B674-36)+in_hlth_family_renew^4*SUMIFS(AI656:AI703,B656:B703,B674-48))</f>
        <v/>
      </c>
      <c r="AK674" s="40">
        <f>AK673*(1-IF(B673&gt;=in_marketplace_from,d_hz_life_term*G673,0))</f>
        <v/>
      </c>
      <c r="AL674" s="46">
        <f>AK674*IF(B674&gt;=in_marketplace_from,d_hz_life_term*G674,0)</f>
        <v/>
      </c>
      <c r="AM674" s="14">
        <f>F674*AL674*in_life_term_ticket*in_life_term_comm*in_ins_partner_share+F674*in_life_term_ticket*in_life_term_renew_comm*in_ins_partner_share*(in_life_term_renew^1*SUMIFS(AL656:AL703,B656:B703,B674-12)+in_life_term_renew^2*SUMIFS(AL656:AL703,B656:B703,B674-24)+in_life_term_renew^3*SUMIFS(AL656:AL703,B656:B703,B674-36)+in_life_term_renew^4*SUMIFS(AL656:AL703,B656:B703,B674-48))</f>
        <v/>
      </c>
      <c r="AN674" s="40">
        <f>AN673*(1-IF(B673&gt;=in_marketplace_from,d_hz_accident*G673,0))</f>
        <v/>
      </c>
      <c r="AO674" s="46">
        <f>AN674*IF(B674&gt;=in_marketplace_from,d_hz_accident*G674,0)</f>
        <v/>
      </c>
      <c r="AP674" s="14">
        <f>F674*AO674*in_accident_ticket*in_accident_comm*in_ins_partner_share+F674*in_accident_ticket*in_accident_renew_comm*in_ins_partner_share*(in_accident_renew^1*SUMIFS(AO656:AO703,B656:B703,B674-12)+in_accident_renew^2*SUMIFS(AO656:AO703,B656:B703,B674-24)+in_accident_renew^3*SUMIFS(AO656:AO703,B656:B703,B674-36)+in_accident_renew^4*SUMIFS(AO656:AO703,B656:B703,B674-48))</f>
        <v/>
      </c>
      <c r="AQ674" s="40">
        <f>AQ673*(1-IF(B673&gt;=in_marketplace_from,d_hz_two_wheeler*G673,0))</f>
        <v/>
      </c>
      <c r="AR674" s="46">
        <f>AQ674*IF(B674&gt;=in_marketplace_from,d_hz_two_wheeler*G674,0)</f>
        <v/>
      </c>
      <c r="AS674" s="14">
        <f>F674*AR674*in_two_wheeler_ticket*in_two_wheeler_comm*in_ins_partner_share+F674*in_two_wheeler_ticket*in_two_wheeler_comm*in_ins_partner_share*(in_two_wheeler_renew^1*SUMIFS(AR656:AR703,B656:B703,B674-12)+in_two_wheeler_renew^2*SUMIFS(AR656:AR703,B656:B703,B674-24)+in_two_wheeler_renew^3*SUMIFS(AR656:AR703,B656:B703,B674-36)+in_two_wheeler_renew^4*SUMIFS(AR656:AR703,B656:B703,B674-48))</f>
        <v/>
      </c>
      <c r="AT674" s="40">
        <f>AT673*(1-IF(B673&gt;=in_marketplace_from,d_hz_device*G673,0))</f>
        <v/>
      </c>
      <c r="AU674" s="14">
        <f>F674*AT674*IF(B674&gt;=in_marketplace_from,d_hz_device*G674,0)*in_device_ticket*in_device_comm*in_ins_partner_share</f>
        <v/>
      </c>
      <c r="AV674" s="40">
        <f>AV673*(1-IF(B673&gt;=in_marketplace_from,d_hz_shop*G673,0))</f>
        <v/>
      </c>
      <c r="AW674" s="46">
        <f>AV674*IF(B674&gt;=in_marketplace_from,d_hz_shop*G674,0)</f>
        <v/>
      </c>
      <c r="AX674" s="14">
        <f>F674*AW674*in_shop_ticket*in_shop_comm*in_ins_partner_share+F674*in_shop_ticket*in_shop_renew_comm*in_ins_partner_share*(in_shop_renew^1*SUMIFS(AW656:AW703,B656:B703,B674-12)+in_shop_renew^2*SUMIFS(AW656:AW703,B656:B703,B674-24)+in_shop_renew^3*SUMIFS(AW656:AW703,B656:B703,B674-36)+in_shop_renew^4*SUMIFS(AW656:AW703,B656:B703,B674-48))</f>
        <v/>
      </c>
      <c r="AY674" s="40">
        <f>AY673*(1-IF(B673&gt;=in_marketplace_from,d_hz_sip*G673,0))</f>
        <v/>
      </c>
      <c r="AZ674" s="40">
        <f>AZ673*d_rho_sip+AY674*IF(B674&gt;=in_marketplace_from,d_hz_sip*G674,0)</f>
        <v/>
      </c>
      <c r="BA674" s="40">
        <f>d_rho_sip*(BA673+AZ673)</f>
        <v/>
      </c>
      <c r="BB674" s="14">
        <f>F674*in_sip_ticket*(BA674+0.5*AZ674)*in_sip_comm/12</f>
        <v/>
      </c>
      <c r="BC674" s="40">
        <f>BC673*(1-IF(B673&gt;=in_marketplace_from,d_hz_choti*G673,0))</f>
        <v/>
      </c>
      <c r="BD674" s="46">
        <f>BC674*IF(B674&gt;=in_marketplace_from,d_hz_choti*G674,0)</f>
        <v/>
      </c>
      <c r="BE674" s="14">
        <f>F674*SUMIFS(BD656:BD703,B656:B703,B674-in_choti_months)*in_choti_renew*in_choti_ticket</f>
        <v/>
      </c>
      <c r="BF674" s="40">
        <f>BF673*(1-IF(B673&gt;=in_marketplace_from,d_hz_nps*G673,0))</f>
        <v/>
      </c>
      <c r="BG674" s="14">
        <f>F674*BF674*IF(B674&gt;=in_marketplace_from,d_hz_nps*G674,0)*in_nps_ticket*in_nps_comm</f>
        <v/>
      </c>
      <c r="BH674" s="40">
        <f>BH673*(1-IF(B673&gt;=in_marketplace_from,d_hz_gold*G673,0))</f>
        <v/>
      </c>
      <c r="BI674" s="40">
        <f>BI673*d_rho_gold+BH674*IF(B674&gt;=in_marketplace_from,d_hz_gold*G674,0)</f>
        <v/>
      </c>
      <c r="BJ674" s="14">
        <f>F674*BI674*in_gold_ticket*in_gold_comm</f>
        <v/>
      </c>
      <c r="BK674" s="40">
        <f>BK673*(1-IF(B673&gt;=in_marketplace_from,d_hz_fd*G673,0))</f>
        <v/>
      </c>
      <c r="BL674" s="14">
        <f>F674*BK674*IF(B674&gt;=in_marketplace_from,d_hz_fd*G674,0)*in_fd_ticket*in_fd_comm</f>
        <v/>
      </c>
      <c r="BM674" s="40">
        <f>BM673*(1-IF(B673&gt;=in_marketplace_from,d_hz_recharge*G673,0))</f>
        <v/>
      </c>
      <c r="BN674" s="40">
        <f>BN673*d_rho_recharge+BM674*IF(B674&gt;=in_marketplace_from,d_hz_recharge*G674,0)</f>
        <v/>
      </c>
      <c r="BO674" s="14">
        <f>F674*BN674*in_recharge_ticket*in_recharge_comm/12</f>
        <v/>
      </c>
      <c r="BP674" s="40">
        <f>BP673*(1-IF(B673&gt;=in_marketplace_from,d_hz_bills*G673,0))</f>
        <v/>
      </c>
      <c r="BQ674" s="40">
        <f>BQ673*d_rho_bills+BP674*IF(B674&gt;=in_marketplace_from,d_hz_bills*G674,0)</f>
        <v/>
      </c>
      <c r="BR674" s="14">
        <f>F674*BQ674*in_bills_ticket*in_bills_comm/12</f>
        <v/>
      </c>
      <c r="BS674" s="40">
        <f>BS673*(1-IF(B673&gt;=in_marketplace_from,d_hz_loan_gold*G673,0))</f>
        <v/>
      </c>
      <c r="BT674" s="14">
        <f>F674*BS674*IF(B674&gt;=in_marketplace_from,d_hz_loan_gold*G674,0)*in_loan_gold_ticket*in_loan_gold_comm</f>
        <v/>
      </c>
      <c r="BU674" s="40">
        <f>BU673*(1-IF(B673&gt;=in_marketplace_from,d_hz_loan_cd*G673,0))</f>
        <v/>
      </c>
      <c r="BV674" s="14">
        <f>F674*BU674*IF(B674&gt;=in_marketplace_from,d_hz_loan_cd*G674,0)*in_loan_cd_ticket*in_loan_cd_comm</f>
        <v/>
      </c>
      <c r="BW674" s="40">
        <f>BW673*(1-IF(B673&gt;=in_marketplace_from,d_hz_loan_vehicle*G673,0))</f>
        <v/>
      </c>
      <c r="BX674" s="14">
        <f>F674*BW674*IF(B674&gt;=in_marketplace_from,d_hz_loan_vehicle*G674,0)*in_loan_vehicle_ticket*in_loan_vehicle_comm</f>
        <v/>
      </c>
      <c r="BY674" s="40">
        <f>BY673*(1-IF(B673&gt;=in_marketplace_from,d_hz_loan_home*G673,0)*BZ673)</f>
        <v/>
      </c>
      <c r="BZ674" s="11">
        <f>MIN(in_approval_cap,in_loan_home_approval*INDEX('Age profile'!$O$2:$O$61,B674)*(1+in_approval_growth)^(D674-1))</f>
        <v/>
      </c>
      <c r="CA674" s="14">
        <f>F674*BY674*IF(B674&gt;=in_marketplace_from,d_hz_loan_home*G674,0)*BZ674*in_loan_home_ticket*in_loan_home_comm</f>
        <v/>
      </c>
      <c r="CB674" s="40">
        <f>CB673*(1-IF(B673&gt;=in_marketplace_from,d_hz_loan_lap*G673,0)*CC673)</f>
        <v/>
      </c>
      <c r="CC674" s="11">
        <f>MIN(in_approval_cap,in_loan_lap_approval*INDEX('Age profile'!$O$2:$O$61,B674)*(1+in_approval_growth)^(D674-1))</f>
        <v/>
      </c>
      <c r="CD674" s="14">
        <f>F674*CB674*IF(B674&gt;=in_marketplace_from,d_hz_loan_lap*G674,0)*CC674*in_loan_lap_ticket*in_loan_lap_comm</f>
        <v/>
      </c>
      <c r="CE674" s="14">
        <f>AA674+AB674+AC674+AD674+AG674+AJ674+AM674+AP674+AS674+AU674+AX674+BB674+BE674+BG674+BJ674+BL674+BO674+BR674+BT674+BV674+BX674+CA674+CD674</f>
        <v/>
      </c>
    </row>
    <row r="675">
      <c r="A675" s="39" t="n">
        <v>13</v>
      </c>
      <c r="B675" s="39" t="n">
        <v>20</v>
      </c>
      <c r="C675" s="39">
        <f>A675+B675-1</f>
        <v/>
      </c>
      <c r="D675" s="39">
        <f>INT((C675-1)/12)+1</f>
        <v/>
      </c>
      <c r="E675" s="44">
        <f>INDEX(Monthly!$B$2:$B$61,A675)</f>
        <v/>
      </c>
      <c r="F675" s="44">
        <f>E675*INDEX('Age profile'!$B$2:$B$61,B675)</f>
        <v/>
      </c>
      <c r="G675" s="45">
        <f>MIN(in_takeup_cap,INDEX('Age profile'!$N$2:$N$61,B675)*(1+in_takeup_growth)^(D675-1))</f>
        <v/>
      </c>
      <c r="H675" s="11">
        <f>MIN(in_approval_cap,in_approved_first*INDEX('Age profile'!$O$2:$O$61,B675)*(1+in_approval_growth)^(D675-1))</f>
        <v/>
      </c>
      <c r="I675" s="45">
        <f>G675*MIN(in_takeup_cap,INDEX('Age profile'!$O$2:$O$61,B675)*(1+in_approval_growth)^(D675-1))</f>
        <v/>
      </c>
      <c r="J675" s="40">
        <f>(J674-L674)*F675/F674</f>
        <v/>
      </c>
      <c r="K675" s="40">
        <f>(K674-M674)*F675/F674+SUMIFS(O656:O674,B656:B674,B675-1-d_T)*F675</f>
        <v/>
      </c>
      <c r="L675" s="40">
        <f>IF(B675&gt;=in_marketplace_from,J675*d_hz*G675*in_eligible*H675,0)</f>
        <v/>
      </c>
      <c r="M675" s="40">
        <f>IF(B675&gt;=in_marketplace_from,K675*d_hz*G675*in_eligible*in_approved_repeat,0)</f>
        <v/>
      </c>
      <c r="N675" s="40">
        <f>L675+M675</f>
        <v/>
      </c>
      <c r="O675" s="46">
        <f>N675/F675</f>
        <v/>
      </c>
      <c r="P675" s="40">
        <f>F675-J675-K675</f>
        <v/>
      </c>
      <c r="Q675" s="40">
        <f>IF(B675&gt;=in_marketplace_from,(J675+K675)*d_hz*G675,0)</f>
        <v/>
      </c>
      <c r="R675" s="40">
        <f>SUMIFS(N656:N703,B656:B703,"&gt;="&amp;(B675-d_T),B656:B703,"&lt;="&amp;(B675-1))</f>
        <v/>
      </c>
      <c r="S675" s="46">
        <f>(1-d_u)*S674+IF(d_T&gt;in_topup_lag,SUMIFS(O656:O703,B656:B703,B675-in_topup_lag)-d_udrop*SUMIFS(O656:O703,B656:B703,B675-d_T),0)</f>
        <v/>
      </c>
      <c r="T675" s="40">
        <f>F675*d_u*S675</f>
        <v/>
      </c>
      <c r="U675" s="9">
        <f>L675*in_ticket+M675*d_rep_ticket</f>
        <v/>
      </c>
      <c r="V675" s="9">
        <f>U675+T675*d_topup_amt</f>
        <v/>
      </c>
      <c r="W675" s="40">
        <f>N675+T675*d_topup_ratio</f>
        <v/>
      </c>
      <c r="X675" s="40">
        <f>SUMIFS(W656:W703,B656:B703,B675-in_dpd_lag)*d_cured</f>
        <v/>
      </c>
      <c r="Y675" s="40">
        <f>SUMIFS(W656:W703,B656:B703,B675-in_rec_lag)*d_recd</f>
        <v/>
      </c>
      <c r="Z675" s="40">
        <f>IF(AND(B675&gt;=in_marketplace_from,B675&lt;in_marketplace_from+in_card_months),in_card_share/in_card_months*F675*I675,IF(AND(B675&gt;=in_marketplace_from+in_card_months,B675&lt;in_marketplace_from+2*in_card_months),in_card_share*d_card_rem/in_card_months*F675*MIN(in_takeup_cap,(1+in_takeup_growth)^(D675-1))*MIN(in_takeup_cap,(1+in_approval_growth)^(D675-1)),0))</f>
        <v/>
      </c>
      <c r="AA675" s="14">
        <f>V675*in_fee*(1-in_taken_back)</f>
        <v/>
      </c>
      <c r="AB675" s="14">
        <f>SUMIFS(W656:W703,B656:B703,B675-in_dpd_lag)*d_dpd</f>
        <v/>
      </c>
      <c r="AC675" s="14">
        <f>SUMIFS(W656:W703,B656:B703,B675-in_rec_lag)*d_rec</f>
        <v/>
      </c>
      <c r="AD675" s="14">
        <f>Z675*in_card_fee</f>
        <v/>
      </c>
      <c r="AE675" s="40">
        <f>AE674*(1-IF(B674&gt;=in_marketplace_from,d_hz_hlth_small*G674,0))</f>
        <v/>
      </c>
      <c r="AF675" s="46">
        <f>AE675*IF(B675&gt;=in_marketplace_from,d_hz_hlth_small*G675,0)</f>
        <v/>
      </c>
      <c r="AG675" s="14">
        <f>F675*AF675*in_hlth_small_ticket*in_hlth_small_comm*in_ins_partner_share+F675*in_hlth_small_ticket*in_hlth_small_renew_comm*in_ins_partner_share*(in_hlth_small_renew^1*SUMIFS(AF656:AF703,B656:B703,B675-12)+in_hlth_small_renew^2*SUMIFS(AF656:AF703,B656:B703,B675-24)+in_hlth_small_renew^3*SUMIFS(AF656:AF703,B656:B703,B675-36)+in_hlth_small_renew^4*SUMIFS(AF656:AF703,B656:B703,B675-48))</f>
        <v/>
      </c>
      <c r="AH675" s="40">
        <f>AH674*(1-IF(B674&gt;=in_marketplace_from,d_hz_hlth_family*G674,0))</f>
        <v/>
      </c>
      <c r="AI675" s="46">
        <f>AH675*IF(B675&gt;=in_marketplace_from,d_hz_hlth_family*G675,0)</f>
        <v/>
      </c>
      <c r="AJ675" s="14">
        <f>F675*AI675*in_hlth_family_ticket*in_hlth_family_comm*in_ins_partner_share+F675*in_hlth_family_ticket*in_hlth_family_renew_comm*in_ins_partner_share*(in_hlth_family_renew^1*SUMIFS(AI656:AI703,B656:B703,B675-12)+in_hlth_family_renew^2*SUMIFS(AI656:AI703,B656:B703,B675-24)+in_hlth_family_renew^3*SUMIFS(AI656:AI703,B656:B703,B675-36)+in_hlth_family_renew^4*SUMIFS(AI656:AI703,B656:B703,B675-48))</f>
        <v/>
      </c>
      <c r="AK675" s="40">
        <f>AK674*(1-IF(B674&gt;=in_marketplace_from,d_hz_life_term*G674,0))</f>
        <v/>
      </c>
      <c r="AL675" s="46">
        <f>AK675*IF(B675&gt;=in_marketplace_from,d_hz_life_term*G675,0)</f>
        <v/>
      </c>
      <c r="AM675" s="14">
        <f>F675*AL675*in_life_term_ticket*in_life_term_comm*in_ins_partner_share+F675*in_life_term_ticket*in_life_term_renew_comm*in_ins_partner_share*(in_life_term_renew^1*SUMIFS(AL656:AL703,B656:B703,B675-12)+in_life_term_renew^2*SUMIFS(AL656:AL703,B656:B703,B675-24)+in_life_term_renew^3*SUMIFS(AL656:AL703,B656:B703,B675-36)+in_life_term_renew^4*SUMIFS(AL656:AL703,B656:B703,B675-48))</f>
        <v/>
      </c>
      <c r="AN675" s="40">
        <f>AN674*(1-IF(B674&gt;=in_marketplace_from,d_hz_accident*G674,0))</f>
        <v/>
      </c>
      <c r="AO675" s="46">
        <f>AN675*IF(B675&gt;=in_marketplace_from,d_hz_accident*G675,0)</f>
        <v/>
      </c>
      <c r="AP675" s="14">
        <f>F675*AO675*in_accident_ticket*in_accident_comm*in_ins_partner_share+F675*in_accident_ticket*in_accident_renew_comm*in_ins_partner_share*(in_accident_renew^1*SUMIFS(AO656:AO703,B656:B703,B675-12)+in_accident_renew^2*SUMIFS(AO656:AO703,B656:B703,B675-24)+in_accident_renew^3*SUMIFS(AO656:AO703,B656:B703,B675-36)+in_accident_renew^4*SUMIFS(AO656:AO703,B656:B703,B675-48))</f>
        <v/>
      </c>
      <c r="AQ675" s="40">
        <f>AQ674*(1-IF(B674&gt;=in_marketplace_from,d_hz_two_wheeler*G674,0))</f>
        <v/>
      </c>
      <c r="AR675" s="46">
        <f>AQ675*IF(B675&gt;=in_marketplace_from,d_hz_two_wheeler*G675,0)</f>
        <v/>
      </c>
      <c r="AS675" s="14">
        <f>F675*AR675*in_two_wheeler_ticket*in_two_wheeler_comm*in_ins_partner_share+F675*in_two_wheeler_ticket*in_two_wheeler_comm*in_ins_partner_share*(in_two_wheeler_renew^1*SUMIFS(AR656:AR703,B656:B703,B675-12)+in_two_wheeler_renew^2*SUMIFS(AR656:AR703,B656:B703,B675-24)+in_two_wheeler_renew^3*SUMIFS(AR656:AR703,B656:B703,B675-36)+in_two_wheeler_renew^4*SUMIFS(AR656:AR703,B656:B703,B675-48))</f>
        <v/>
      </c>
      <c r="AT675" s="40">
        <f>AT674*(1-IF(B674&gt;=in_marketplace_from,d_hz_device*G674,0))</f>
        <v/>
      </c>
      <c r="AU675" s="14">
        <f>F675*AT675*IF(B675&gt;=in_marketplace_from,d_hz_device*G675,0)*in_device_ticket*in_device_comm*in_ins_partner_share</f>
        <v/>
      </c>
      <c r="AV675" s="40">
        <f>AV674*(1-IF(B674&gt;=in_marketplace_from,d_hz_shop*G674,0))</f>
        <v/>
      </c>
      <c r="AW675" s="46">
        <f>AV675*IF(B675&gt;=in_marketplace_from,d_hz_shop*G675,0)</f>
        <v/>
      </c>
      <c r="AX675" s="14">
        <f>F675*AW675*in_shop_ticket*in_shop_comm*in_ins_partner_share+F675*in_shop_ticket*in_shop_renew_comm*in_ins_partner_share*(in_shop_renew^1*SUMIFS(AW656:AW703,B656:B703,B675-12)+in_shop_renew^2*SUMIFS(AW656:AW703,B656:B703,B675-24)+in_shop_renew^3*SUMIFS(AW656:AW703,B656:B703,B675-36)+in_shop_renew^4*SUMIFS(AW656:AW703,B656:B703,B675-48))</f>
        <v/>
      </c>
      <c r="AY675" s="40">
        <f>AY674*(1-IF(B674&gt;=in_marketplace_from,d_hz_sip*G674,0))</f>
        <v/>
      </c>
      <c r="AZ675" s="40">
        <f>AZ674*d_rho_sip+AY675*IF(B675&gt;=in_marketplace_from,d_hz_sip*G675,0)</f>
        <v/>
      </c>
      <c r="BA675" s="40">
        <f>d_rho_sip*(BA674+AZ674)</f>
        <v/>
      </c>
      <c r="BB675" s="14">
        <f>F675*in_sip_ticket*(BA675+0.5*AZ675)*in_sip_comm/12</f>
        <v/>
      </c>
      <c r="BC675" s="40">
        <f>BC674*(1-IF(B674&gt;=in_marketplace_from,d_hz_choti*G674,0))</f>
        <v/>
      </c>
      <c r="BD675" s="46">
        <f>BC675*IF(B675&gt;=in_marketplace_from,d_hz_choti*G675,0)</f>
        <v/>
      </c>
      <c r="BE675" s="14">
        <f>F675*SUMIFS(BD656:BD703,B656:B703,B675-in_choti_months)*in_choti_renew*in_choti_ticket</f>
        <v/>
      </c>
      <c r="BF675" s="40">
        <f>BF674*(1-IF(B674&gt;=in_marketplace_from,d_hz_nps*G674,0))</f>
        <v/>
      </c>
      <c r="BG675" s="14">
        <f>F675*BF675*IF(B675&gt;=in_marketplace_from,d_hz_nps*G675,0)*in_nps_ticket*in_nps_comm</f>
        <v/>
      </c>
      <c r="BH675" s="40">
        <f>BH674*(1-IF(B674&gt;=in_marketplace_from,d_hz_gold*G674,0))</f>
        <v/>
      </c>
      <c r="BI675" s="40">
        <f>BI674*d_rho_gold+BH675*IF(B675&gt;=in_marketplace_from,d_hz_gold*G675,0)</f>
        <v/>
      </c>
      <c r="BJ675" s="14">
        <f>F675*BI675*in_gold_ticket*in_gold_comm</f>
        <v/>
      </c>
      <c r="BK675" s="40">
        <f>BK674*(1-IF(B674&gt;=in_marketplace_from,d_hz_fd*G674,0))</f>
        <v/>
      </c>
      <c r="BL675" s="14">
        <f>F675*BK675*IF(B675&gt;=in_marketplace_from,d_hz_fd*G675,0)*in_fd_ticket*in_fd_comm</f>
        <v/>
      </c>
      <c r="BM675" s="40">
        <f>BM674*(1-IF(B674&gt;=in_marketplace_from,d_hz_recharge*G674,0))</f>
        <v/>
      </c>
      <c r="BN675" s="40">
        <f>BN674*d_rho_recharge+BM675*IF(B675&gt;=in_marketplace_from,d_hz_recharge*G675,0)</f>
        <v/>
      </c>
      <c r="BO675" s="14">
        <f>F675*BN675*in_recharge_ticket*in_recharge_comm/12</f>
        <v/>
      </c>
      <c r="BP675" s="40">
        <f>BP674*(1-IF(B674&gt;=in_marketplace_from,d_hz_bills*G674,0))</f>
        <v/>
      </c>
      <c r="BQ675" s="40">
        <f>BQ674*d_rho_bills+BP675*IF(B675&gt;=in_marketplace_from,d_hz_bills*G675,0)</f>
        <v/>
      </c>
      <c r="BR675" s="14">
        <f>F675*BQ675*in_bills_ticket*in_bills_comm/12</f>
        <v/>
      </c>
      <c r="BS675" s="40">
        <f>BS674*(1-IF(B674&gt;=in_marketplace_from,d_hz_loan_gold*G674,0))</f>
        <v/>
      </c>
      <c r="BT675" s="14">
        <f>F675*BS675*IF(B675&gt;=in_marketplace_from,d_hz_loan_gold*G675,0)*in_loan_gold_ticket*in_loan_gold_comm</f>
        <v/>
      </c>
      <c r="BU675" s="40">
        <f>BU674*(1-IF(B674&gt;=in_marketplace_from,d_hz_loan_cd*G674,0))</f>
        <v/>
      </c>
      <c r="BV675" s="14">
        <f>F675*BU675*IF(B675&gt;=in_marketplace_from,d_hz_loan_cd*G675,0)*in_loan_cd_ticket*in_loan_cd_comm</f>
        <v/>
      </c>
      <c r="BW675" s="40">
        <f>BW674*(1-IF(B674&gt;=in_marketplace_from,d_hz_loan_vehicle*G674,0))</f>
        <v/>
      </c>
      <c r="BX675" s="14">
        <f>F675*BW675*IF(B675&gt;=in_marketplace_from,d_hz_loan_vehicle*G675,0)*in_loan_vehicle_ticket*in_loan_vehicle_comm</f>
        <v/>
      </c>
      <c r="BY675" s="40">
        <f>BY674*(1-IF(B674&gt;=in_marketplace_from,d_hz_loan_home*G674,0)*BZ674)</f>
        <v/>
      </c>
      <c r="BZ675" s="11">
        <f>MIN(in_approval_cap,in_loan_home_approval*INDEX('Age profile'!$O$2:$O$61,B675)*(1+in_approval_growth)^(D675-1))</f>
        <v/>
      </c>
      <c r="CA675" s="14">
        <f>F675*BY675*IF(B675&gt;=in_marketplace_from,d_hz_loan_home*G675,0)*BZ675*in_loan_home_ticket*in_loan_home_comm</f>
        <v/>
      </c>
      <c r="CB675" s="40">
        <f>CB674*(1-IF(B674&gt;=in_marketplace_from,d_hz_loan_lap*G674,0)*CC674)</f>
        <v/>
      </c>
      <c r="CC675" s="11">
        <f>MIN(in_approval_cap,in_loan_lap_approval*INDEX('Age profile'!$O$2:$O$61,B675)*(1+in_approval_growth)^(D675-1))</f>
        <v/>
      </c>
      <c r="CD675" s="14">
        <f>F675*CB675*IF(B675&gt;=in_marketplace_from,d_hz_loan_lap*G675,0)*CC675*in_loan_lap_ticket*in_loan_lap_comm</f>
        <v/>
      </c>
      <c r="CE675" s="14">
        <f>AA675+AB675+AC675+AD675+AG675+AJ675+AM675+AP675+AS675+AU675+AX675+BB675+BE675+BG675+BJ675+BL675+BO675+BR675+BT675+BV675+BX675+CA675+CD675</f>
        <v/>
      </c>
    </row>
    <row r="676">
      <c r="A676" s="39" t="n">
        <v>13</v>
      </c>
      <c r="B676" s="39" t="n">
        <v>21</v>
      </c>
      <c r="C676" s="39">
        <f>A676+B676-1</f>
        <v/>
      </c>
      <c r="D676" s="39">
        <f>INT((C676-1)/12)+1</f>
        <v/>
      </c>
      <c r="E676" s="44">
        <f>INDEX(Monthly!$B$2:$B$61,A676)</f>
        <v/>
      </c>
      <c r="F676" s="44">
        <f>E676*INDEX('Age profile'!$B$2:$B$61,B676)</f>
        <v/>
      </c>
      <c r="G676" s="45">
        <f>MIN(in_takeup_cap,INDEX('Age profile'!$N$2:$N$61,B676)*(1+in_takeup_growth)^(D676-1))</f>
        <v/>
      </c>
      <c r="H676" s="11">
        <f>MIN(in_approval_cap,in_approved_first*INDEX('Age profile'!$O$2:$O$61,B676)*(1+in_approval_growth)^(D676-1))</f>
        <v/>
      </c>
      <c r="I676" s="45">
        <f>G676*MIN(in_takeup_cap,INDEX('Age profile'!$O$2:$O$61,B676)*(1+in_approval_growth)^(D676-1))</f>
        <v/>
      </c>
      <c r="J676" s="40">
        <f>(J675-L675)*F676/F675</f>
        <v/>
      </c>
      <c r="K676" s="40">
        <f>(K675-M675)*F676/F675+SUMIFS(O656:O675,B656:B675,B676-1-d_T)*F676</f>
        <v/>
      </c>
      <c r="L676" s="40">
        <f>IF(B676&gt;=in_marketplace_from,J676*d_hz*G676*in_eligible*H676,0)</f>
        <v/>
      </c>
      <c r="M676" s="40">
        <f>IF(B676&gt;=in_marketplace_from,K676*d_hz*G676*in_eligible*in_approved_repeat,0)</f>
        <v/>
      </c>
      <c r="N676" s="40">
        <f>L676+M676</f>
        <v/>
      </c>
      <c r="O676" s="46">
        <f>N676/F676</f>
        <v/>
      </c>
      <c r="P676" s="40">
        <f>F676-J676-K676</f>
        <v/>
      </c>
      <c r="Q676" s="40">
        <f>IF(B676&gt;=in_marketplace_from,(J676+K676)*d_hz*G676,0)</f>
        <v/>
      </c>
      <c r="R676" s="40">
        <f>SUMIFS(N656:N703,B656:B703,"&gt;="&amp;(B676-d_T),B656:B703,"&lt;="&amp;(B676-1))</f>
        <v/>
      </c>
      <c r="S676" s="46">
        <f>(1-d_u)*S675+IF(d_T&gt;in_topup_lag,SUMIFS(O656:O703,B656:B703,B676-in_topup_lag)-d_udrop*SUMIFS(O656:O703,B656:B703,B676-d_T),0)</f>
        <v/>
      </c>
      <c r="T676" s="40">
        <f>F676*d_u*S676</f>
        <v/>
      </c>
      <c r="U676" s="9">
        <f>L676*in_ticket+M676*d_rep_ticket</f>
        <v/>
      </c>
      <c r="V676" s="9">
        <f>U676+T676*d_topup_amt</f>
        <v/>
      </c>
      <c r="W676" s="40">
        <f>N676+T676*d_topup_ratio</f>
        <v/>
      </c>
      <c r="X676" s="40">
        <f>SUMIFS(W656:W703,B656:B703,B676-in_dpd_lag)*d_cured</f>
        <v/>
      </c>
      <c r="Y676" s="40">
        <f>SUMIFS(W656:W703,B656:B703,B676-in_rec_lag)*d_recd</f>
        <v/>
      </c>
      <c r="Z676" s="40">
        <f>IF(AND(B676&gt;=in_marketplace_from,B676&lt;in_marketplace_from+in_card_months),in_card_share/in_card_months*F676*I676,IF(AND(B676&gt;=in_marketplace_from+in_card_months,B676&lt;in_marketplace_from+2*in_card_months),in_card_share*d_card_rem/in_card_months*F676*MIN(in_takeup_cap,(1+in_takeup_growth)^(D676-1))*MIN(in_takeup_cap,(1+in_approval_growth)^(D676-1)),0))</f>
        <v/>
      </c>
      <c r="AA676" s="14">
        <f>V676*in_fee*(1-in_taken_back)</f>
        <v/>
      </c>
      <c r="AB676" s="14">
        <f>SUMIFS(W656:W703,B656:B703,B676-in_dpd_lag)*d_dpd</f>
        <v/>
      </c>
      <c r="AC676" s="14">
        <f>SUMIFS(W656:W703,B656:B703,B676-in_rec_lag)*d_rec</f>
        <v/>
      </c>
      <c r="AD676" s="14">
        <f>Z676*in_card_fee</f>
        <v/>
      </c>
      <c r="AE676" s="40">
        <f>AE675*(1-IF(B675&gt;=in_marketplace_from,d_hz_hlth_small*G675,0))</f>
        <v/>
      </c>
      <c r="AF676" s="46">
        <f>AE676*IF(B676&gt;=in_marketplace_from,d_hz_hlth_small*G676,0)</f>
        <v/>
      </c>
      <c r="AG676" s="14">
        <f>F676*AF676*in_hlth_small_ticket*in_hlth_small_comm*in_ins_partner_share+F676*in_hlth_small_ticket*in_hlth_small_renew_comm*in_ins_partner_share*(in_hlth_small_renew^1*SUMIFS(AF656:AF703,B656:B703,B676-12)+in_hlth_small_renew^2*SUMIFS(AF656:AF703,B656:B703,B676-24)+in_hlth_small_renew^3*SUMIFS(AF656:AF703,B656:B703,B676-36)+in_hlth_small_renew^4*SUMIFS(AF656:AF703,B656:B703,B676-48))</f>
        <v/>
      </c>
      <c r="AH676" s="40">
        <f>AH675*(1-IF(B675&gt;=in_marketplace_from,d_hz_hlth_family*G675,0))</f>
        <v/>
      </c>
      <c r="AI676" s="46">
        <f>AH676*IF(B676&gt;=in_marketplace_from,d_hz_hlth_family*G676,0)</f>
        <v/>
      </c>
      <c r="AJ676" s="14">
        <f>F676*AI676*in_hlth_family_ticket*in_hlth_family_comm*in_ins_partner_share+F676*in_hlth_family_ticket*in_hlth_family_renew_comm*in_ins_partner_share*(in_hlth_family_renew^1*SUMIFS(AI656:AI703,B656:B703,B676-12)+in_hlth_family_renew^2*SUMIFS(AI656:AI703,B656:B703,B676-24)+in_hlth_family_renew^3*SUMIFS(AI656:AI703,B656:B703,B676-36)+in_hlth_family_renew^4*SUMIFS(AI656:AI703,B656:B703,B676-48))</f>
        <v/>
      </c>
      <c r="AK676" s="40">
        <f>AK675*(1-IF(B675&gt;=in_marketplace_from,d_hz_life_term*G675,0))</f>
        <v/>
      </c>
      <c r="AL676" s="46">
        <f>AK676*IF(B676&gt;=in_marketplace_from,d_hz_life_term*G676,0)</f>
        <v/>
      </c>
      <c r="AM676" s="14">
        <f>F676*AL676*in_life_term_ticket*in_life_term_comm*in_ins_partner_share+F676*in_life_term_ticket*in_life_term_renew_comm*in_ins_partner_share*(in_life_term_renew^1*SUMIFS(AL656:AL703,B656:B703,B676-12)+in_life_term_renew^2*SUMIFS(AL656:AL703,B656:B703,B676-24)+in_life_term_renew^3*SUMIFS(AL656:AL703,B656:B703,B676-36)+in_life_term_renew^4*SUMIFS(AL656:AL703,B656:B703,B676-48))</f>
        <v/>
      </c>
      <c r="AN676" s="40">
        <f>AN675*(1-IF(B675&gt;=in_marketplace_from,d_hz_accident*G675,0))</f>
        <v/>
      </c>
      <c r="AO676" s="46">
        <f>AN676*IF(B676&gt;=in_marketplace_from,d_hz_accident*G676,0)</f>
        <v/>
      </c>
      <c r="AP676" s="14">
        <f>F676*AO676*in_accident_ticket*in_accident_comm*in_ins_partner_share+F676*in_accident_ticket*in_accident_renew_comm*in_ins_partner_share*(in_accident_renew^1*SUMIFS(AO656:AO703,B656:B703,B676-12)+in_accident_renew^2*SUMIFS(AO656:AO703,B656:B703,B676-24)+in_accident_renew^3*SUMIFS(AO656:AO703,B656:B703,B676-36)+in_accident_renew^4*SUMIFS(AO656:AO703,B656:B703,B676-48))</f>
        <v/>
      </c>
      <c r="AQ676" s="40">
        <f>AQ675*(1-IF(B675&gt;=in_marketplace_from,d_hz_two_wheeler*G675,0))</f>
        <v/>
      </c>
      <c r="AR676" s="46">
        <f>AQ676*IF(B676&gt;=in_marketplace_from,d_hz_two_wheeler*G676,0)</f>
        <v/>
      </c>
      <c r="AS676" s="14">
        <f>F676*AR676*in_two_wheeler_ticket*in_two_wheeler_comm*in_ins_partner_share+F676*in_two_wheeler_ticket*in_two_wheeler_comm*in_ins_partner_share*(in_two_wheeler_renew^1*SUMIFS(AR656:AR703,B656:B703,B676-12)+in_two_wheeler_renew^2*SUMIFS(AR656:AR703,B656:B703,B676-24)+in_two_wheeler_renew^3*SUMIFS(AR656:AR703,B656:B703,B676-36)+in_two_wheeler_renew^4*SUMIFS(AR656:AR703,B656:B703,B676-48))</f>
        <v/>
      </c>
      <c r="AT676" s="40">
        <f>AT675*(1-IF(B675&gt;=in_marketplace_from,d_hz_device*G675,0))</f>
        <v/>
      </c>
      <c r="AU676" s="14">
        <f>F676*AT676*IF(B676&gt;=in_marketplace_from,d_hz_device*G676,0)*in_device_ticket*in_device_comm*in_ins_partner_share</f>
        <v/>
      </c>
      <c r="AV676" s="40">
        <f>AV675*(1-IF(B675&gt;=in_marketplace_from,d_hz_shop*G675,0))</f>
        <v/>
      </c>
      <c r="AW676" s="46">
        <f>AV676*IF(B676&gt;=in_marketplace_from,d_hz_shop*G676,0)</f>
        <v/>
      </c>
      <c r="AX676" s="14">
        <f>F676*AW676*in_shop_ticket*in_shop_comm*in_ins_partner_share+F676*in_shop_ticket*in_shop_renew_comm*in_ins_partner_share*(in_shop_renew^1*SUMIFS(AW656:AW703,B656:B703,B676-12)+in_shop_renew^2*SUMIFS(AW656:AW703,B656:B703,B676-24)+in_shop_renew^3*SUMIFS(AW656:AW703,B656:B703,B676-36)+in_shop_renew^4*SUMIFS(AW656:AW703,B656:B703,B676-48))</f>
        <v/>
      </c>
      <c r="AY676" s="40">
        <f>AY675*(1-IF(B675&gt;=in_marketplace_from,d_hz_sip*G675,0))</f>
        <v/>
      </c>
      <c r="AZ676" s="40">
        <f>AZ675*d_rho_sip+AY676*IF(B676&gt;=in_marketplace_from,d_hz_sip*G676,0)</f>
        <v/>
      </c>
      <c r="BA676" s="40">
        <f>d_rho_sip*(BA675+AZ675)</f>
        <v/>
      </c>
      <c r="BB676" s="14">
        <f>F676*in_sip_ticket*(BA676+0.5*AZ676)*in_sip_comm/12</f>
        <v/>
      </c>
      <c r="BC676" s="40">
        <f>BC675*(1-IF(B675&gt;=in_marketplace_from,d_hz_choti*G675,0))</f>
        <v/>
      </c>
      <c r="BD676" s="46">
        <f>BC676*IF(B676&gt;=in_marketplace_from,d_hz_choti*G676,0)</f>
        <v/>
      </c>
      <c r="BE676" s="14">
        <f>F676*SUMIFS(BD656:BD703,B656:B703,B676-in_choti_months)*in_choti_renew*in_choti_ticket</f>
        <v/>
      </c>
      <c r="BF676" s="40">
        <f>BF675*(1-IF(B675&gt;=in_marketplace_from,d_hz_nps*G675,0))</f>
        <v/>
      </c>
      <c r="BG676" s="14">
        <f>F676*BF676*IF(B676&gt;=in_marketplace_from,d_hz_nps*G676,0)*in_nps_ticket*in_nps_comm</f>
        <v/>
      </c>
      <c r="BH676" s="40">
        <f>BH675*(1-IF(B675&gt;=in_marketplace_from,d_hz_gold*G675,0))</f>
        <v/>
      </c>
      <c r="BI676" s="40">
        <f>BI675*d_rho_gold+BH676*IF(B676&gt;=in_marketplace_from,d_hz_gold*G676,0)</f>
        <v/>
      </c>
      <c r="BJ676" s="14">
        <f>F676*BI676*in_gold_ticket*in_gold_comm</f>
        <v/>
      </c>
      <c r="BK676" s="40">
        <f>BK675*(1-IF(B675&gt;=in_marketplace_from,d_hz_fd*G675,0))</f>
        <v/>
      </c>
      <c r="BL676" s="14">
        <f>F676*BK676*IF(B676&gt;=in_marketplace_from,d_hz_fd*G676,0)*in_fd_ticket*in_fd_comm</f>
        <v/>
      </c>
      <c r="BM676" s="40">
        <f>BM675*(1-IF(B675&gt;=in_marketplace_from,d_hz_recharge*G675,0))</f>
        <v/>
      </c>
      <c r="BN676" s="40">
        <f>BN675*d_rho_recharge+BM676*IF(B676&gt;=in_marketplace_from,d_hz_recharge*G676,0)</f>
        <v/>
      </c>
      <c r="BO676" s="14">
        <f>F676*BN676*in_recharge_ticket*in_recharge_comm/12</f>
        <v/>
      </c>
      <c r="BP676" s="40">
        <f>BP675*(1-IF(B675&gt;=in_marketplace_from,d_hz_bills*G675,0))</f>
        <v/>
      </c>
      <c r="BQ676" s="40">
        <f>BQ675*d_rho_bills+BP676*IF(B676&gt;=in_marketplace_from,d_hz_bills*G676,0)</f>
        <v/>
      </c>
      <c r="BR676" s="14">
        <f>F676*BQ676*in_bills_ticket*in_bills_comm/12</f>
        <v/>
      </c>
      <c r="BS676" s="40">
        <f>BS675*(1-IF(B675&gt;=in_marketplace_from,d_hz_loan_gold*G675,0))</f>
        <v/>
      </c>
      <c r="BT676" s="14">
        <f>F676*BS676*IF(B676&gt;=in_marketplace_from,d_hz_loan_gold*G676,0)*in_loan_gold_ticket*in_loan_gold_comm</f>
        <v/>
      </c>
      <c r="BU676" s="40">
        <f>BU675*(1-IF(B675&gt;=in_marketplace_from,d_hz_loan_cd*G675,0))</f>
        <v/>
      </c>
      <c r="BV676" s="14">
        <f>F676*BU676*IF(B676&gt;=in_marketplace_from,d_hz_loan_cd*G676,0)*in_loan_cd_ticket*in_loan_cd_comm</f>
        <v/>
      </c>
      <c r="BW676" s="40">
        <f>BW675*(1-IF(B675&gt;=in_marketplace_from,d_hz_loan_vehicle*G675,0))</f>
        <v/>
      </c>
      <c r="BX676" s="14">
        <f>F676*BW676*IF(B676&gt;=in_marketplace_from,d_hz_loan_vehicle*G676,0)*in_loan_vehicle_ticket*in_loan_vehicle_comm</f>
        <v/>
      </c>
      <c r="BY676" s="40">
        <f>BY675*(1-IF(B675&gt;=in_marketplace_from,d_hz_loan_home*G675,0)*BZ675)</f>
        <v/>
      </c>
      <c r="BZ676" s="11">
        <f>MIN(in_approval_cap,in_loan_home_approval*INDEX('Age profile'!$O$2:$O$61,B676)*(1+in_approval_growth)^(D676-1))</f>
        <v/>
      </c>
      <c r="CA676" s="14">
        <f>F676*BY676*IF(B676&gt;=in_marketplace_from,d_hz_loan_home*G676,0)*BZ676*in_loan_home_ticket*in_loan_home_comm</f>
        <v/>
      </c>
      <c r="CB676" s="40">
        <f>CB675*(1-IF(B675&gt;=in_marketplace_from,d_hz_loan_lap*G675,0)*CC675)</f>
        <v/>
      </c>
      <c r="CC676" s="11">
        <f>MIN(in_approval_cap,in_loan_lap_approval*INDEX('Age profile'!$O$2:$O$61,B676)*(1+in_approval_growth)^(D676-1))</f>
        <v/>
      </c>
      <c r="CD676" s="14">
        <f>F676*CB676*IF(B676&gt;=in_marketplace_from,d_hz_loan_lap*G676,0)*CC676*in_loan_lap_ticket*in_loan_lap_comm</f>
        <v/>
      </c>
      <c r="CE676" s="14">
        <f>AA676+AB676+AC676+AD676+AG676+AJ676+AM676+AP676+AS676+AU676+AX676+BB676+BE676+BG676+BJ676+BL676+BO676+BR676+BT676+BV676+BX676+CA676+CD676</f>
        <v/>
      </c>
    </row>
    <row r="677">
      <c r="A677" s="39" t="n">
        <v>13</v>
      </c>
      <c r="B677" s="39" t="n">
        <v>22</v>
      </c>
      <c r="C677" s="39">
        <f>A677+B677-1</f>
        <v/>
      </c>
      <c r="D677" s="39">
        <f>INT((C677-1)/12)+1</f>
        <v/>
      </c>
      <c r="E677" s="44">
        <f>INDEX(Monthly!$B$2:$B$61,A677)</f>
        <v/>
      </c>
      <c r="F677" s="44">
        <f>E677*INDEX('Age profile'!$B$2:$B$61,B677)</f>
        <v/>
      </c>
      <c r="G677" s="45">
        <f>MIN(in_takeup_cap,INDEX('Age profile'!$N$2:$N$61,B677)*(1+in_takeup_growth)^(D677-1))</f>
        <v/>
      </c>
      <c r="H677" s="11">
        <f>MIN(in_approval_cap,in_approved_first*INDEX('Age profile'!$O$2:$O$61,B677)*(1+in_approval_growth)^(D677-1))</f>
        <v/>
      </c>
      <c r="I677" s="45">
        <f>G677*MIN(in_takeup_cap,INDEX('Age profile'!$O$2:$O$61,B677)*(1+in_approval_growth)^(D677-1))</f>
        <v/>
      </c>
      <c r="J677" s="40">
        <f>(J676-L676)*F677/F676</f>
        <v/>
      </c>
      <c r="K677" s="40">
        <f>(K676-M676)*F677/F676+SUMIFS(O656:O676,B656:B676,B677-1-d_T)*F677</f>
        <v/>
      </c>
      <c r="L677" s="40">
        <f>IF(B677&gt;=in_marketplace_from,J677*d_hz*G677*in_eligible*H677,0)</f>
        <v/>
      </c>
      <c r="M677" s="40">
        <f>IF(B677&gt;=in_marketplace_from,K677*d_hz*G677*in_eligible*in_approved_repeat,0)</f>
        <v/>
      </c>
      <c r="N677" s="40">
        <f>L677+M677</f>
        <v/>
      </c>
      <c r="O677" s="46">
        <f>N677/F677</f>
        <v/>
      </c>
      <c r="P677" s="40">
        <f>F677-J677-K677</f>
        <v/>
      </c>
      <c r="Q677" s="40">
        <f>IF(B677&gt;=in_marketplace_from,(J677+K677)*d_hz*G677,0)</f>
        <v/>
      </c>
      <c r="R677" s="40">
        <f>SUMIFS(N656:N703,B656:B703,"&gt;="&amp;(B677-d_T),B656:B703,"&lt;="&amp;(B677-1))</f>
        <v/>
      </c>
      <c r="S677" s="46">
        <f>(1-d_u)*S676+IF(d_T&gt;in_topup_lag,SUMIFS(O656:O703,B656:B703,B677-in_topup_lag)-d_udrop*SUMIFS(O656:O703,B656:B703,B677-d_T),0)</f>
        <v/>
      </c>
      <c r="T677" s="40">
        <f>F677*d_u*S677</f>
        <v/>
      </c>
      <c r="U677" s="9">
        <f>L677*in_ticket+M677*d_rep_ticket</f>
        <v/>
      </c>
      <c r="V677" s="9">
        <f>U677+T677*d_topup_amt</f>
        <v/>
      </c>
      <c r="W677" s="40">
        <f>N677+T677*d_topup_ratio</f>
        <v/>
      </c>
      <c r="X677" s="40">
        <f>SUMIFS(W656:W703,B656:B703,B677-in_dpd_lag)*d_cured</f>
        <v/>
      </c>
      <c r="Y677" s="40">
        <f>SUMIFS(W656:W703,B656:B703,B677-in_rec_lag)*d_recd</f>
        <v/>
      </c>
      <c r="Z677" s="40">
        <f>IF(AND(B677&gt;=in_marketplace_from,B677&lt;in_marketplace_from+in_card_months),in_card_share/in_card_months*F677*I677,IF(AND(B677&gt;=in_marketplace_from+in_card_months,B677&lt;in_marketplace_from+2*in_card_months),in_card_share*d_card_rem/in_card_months*F677*MIN(in_takeup_cap,(1+in_takeup_growth)^(D677-1))*MIN(in_takeup_cap,(1+in_approval_growth)^(D677-1)),0))</f>
        <v/>
      </c>
      <c r="AA677" s="14">
        <f>V677*in_fee*(1-in_taken_back)</f>
        <v/>
      </c>
      <c r="AB677" s="14">
        <f>SUMIFS(W656:W703,B656:B703,B677-in_dpd_lag)*d_dpd</f>
        <v/>
      </c>
      <c r="AC677" s="14">
        <f>SUMIFS(W656:W703,B656:B703,B677-in_rec_lag)*d_rec</f>
        <v/>
      </c>
      <c r="AD677" s="14">
        <f>Z677*in_card_fee</f>
        <v/>
      </c>
      <c r="AE677" s="40">
        <f>AE676*(1-IF(B676&gt;=in_marketplace_from,d_hz_hlth_small*G676,0))</f>
        <v/>
      </c>
      <c r="AF677" s="46">
        <f>AE677*IF(B677&gt;=in_marketplace_from,d_hz_hlth_small*G677,0)</f>
        <v/>
      </c>
      <c r="AG677" s="14">
        <f>F677*AF677*in_hlth_small_ticket*in_hlth_small_comm*in_ins_partner_share+F677*in_hlth_small_ticket*in_hlth_small_renew_comm*in_ins_partner_share*(in_hlth_small_renew^1*SUMIFS(AF656:AF703,B656:B703,B677-12)+in_hlth_small_renew^2*SUMIFS(AF656:AF703,B656:B703,B677-24)+in_hlth_small_renew^3*SUMIFS(AF656:AF703,B656:B703,B677-36)+in_hlth_small_renew^4*SUMIFS(AF656:AF703,B656:B703,B677-48))</f>
        <v/>
      </c>
      <c r="AH677" s="40">
        <f>AH676*(1-IF(B676&gt;=in_marketplace_from,d_hz_hlth_family*G676,0))</f>
        <v/>
      </c>
      <c r="AI677" s="46">
        <f>AH677*IF(B677&gt;=in_marketplace_from,d_hz_hlth_family*G677,0)</f>
        <v/>
      </c>
      <c r="AJ677" s="14">
        <f>F677*AI677*in_hlth_family_ticket*in_hlth_family_comm*in_ins_partner_share+F677*in_hlth_family_ticket*in_hlth_family_renew_comm*in_ins_partner_share*(in_hlth_family_renew^1*SUMIFS(AI656:AI703,B656:B703,B677-12)+in_hlth_family_renew^2*SUMIFS(AI656:AI703,B656:B703,B677-24)+in_hlth_family_renew^3*SUMIFS(AI656:AI703,B656:B703,B677-36)+in_hlth_family_renew^4*SUMIFS(AI656:AI703,B656:B703,B677-48))</f>
        <v/>
      </c>
      <c r="AK677" s="40">
        <f>AK676*(1-IF(B676&gt;=in_marketplace_from,d_hz_life_term*G676,0))</f>
        <v/>
      </c>
      <c r="AL677" s="46">
        <f>AK677*IF(B677&gt;=in_marketplace_from,d_hz_life_term*G677,0)</f>
        <v/>
      </c>
      <c r="AM677" s="14">
        <f>F677*AL677*in_life_term_ticket*in_life_term_comm*in_ins_partner_share+F677*in_life_term_ticket*in_life_term_renew_comm*in_ins_partner_share*(in_life_term_renew^1*SUMIFS(AL656:AL703,B656:B703,B677-12)+in_life_term_renew^2*SUMIFS(AL656:AL703,B656:B703,B677-24)+in_life_term_renew^3*SUMIFS(AL656:AL703,B656:B703,B677-36)+in_life_term_renew^4*SUMIFS(AL656:AL703,B656:B703,B677-48))</f>
        <v/>
      </c>
      <c r="AN677" s="40">
        <f>AN676*(1-IF(B676&gt;=in_marketplace_from,d_hz_accident*G676,0))</f>
        <v/>
      </c>
      <c r="AO677" s="46">
        <f>AN677*IF(B677&gt;=in_marketplace_from,d_hz_accident*G677,0)</f>
        <v/>
      </c>
      <c r="AP677" s="14">
        <f>F677*AO677*in_accident_ticket*in_accident_comm*in_ins_partner_share+F677*in_accident_ticket*in_accident_renew_comm*in_ins_partner_share*(in_accident_renew^1*SUMIFS(AO656:AO703,B656:B703,B677-12)+in_accident_renew^2*SUMIFS(AO656:AO703,B656:B703,B677-24)+in_accident_renew^3*SUMIFS(AO656:AO703,B656:B703,B677-36)+in_accident_renew^4*SUMIFS(AO656:AO703,B656:B703,B677-48))</f>
        <v/>
      </c>
      <c r="AQ677" s="40">
        <f>AQ676*(1-IF(B676&gt;=in_marketplace_from,d_hz_two_wheeler*G676,0))</f>
        <v/>
      </c>
      <c r="AR677" s="46">
        <f>AQ677*IF(B677&gt;=in_marketplace_from,d_hz_two_wheeler*G677,0)</f>
        <v/>
      </c>
      <c r="AS677" s="14">
        <f>F677*AR677*in_two_wheeler_ticket*in_two_wheeler_comm*in_ins_partner_share+F677*in_two_wheeler_ticket*in_two_wheeler_comm*in_ins_partner_share*(in_two_wheeler_renew^1*SUMIFS(AR656:AR703,B656:B703,B677-12)+in_two_wheeler_renew^2*SUMIFS(AR656:AR703,B656:B703,B677-24)+in_two_wheeler_renew^3*SUMIFS(AR656:AR703,B656:B703,B677-36)+in_two_wheeler_renew^4*SUMIFS(AR656:AR703,B656:B703,B677-48))</f>
        <v/>
      </c>
      <c r="AT677" s="40">
        <f>AT676*(1-IF(B676&gt;=in_marketplace_from,d_hz_device*G676,0))</f>
        <v/>
      </c>
      <c r="AU677" s="14">
        <f>F677*AT677*IF(B677&gt;=in_marketplace_from,d_hz_device*G677,0)*in_device_ticket*in_device_comm*in_ins_partner_share</f>
        <v/>
      </c>
      <c r="AV677" s="40">
        <f>AV676*(1-IF(B676&gt;=in_marketplace_from,d_hz_shop*G676,0))</f>
        <v/>
      </c>
      <c r="AW677" s="46">
        <f>AV677*IF(B677&gt;=in_marketplace_from,d_hz_shop*G677,0)</f>
        <v/>
      </c>
      <c r="AX677" s="14">
        <f>F677*AW677*in_shop_ticket*in_shop_comm*in_ins_partner_share+F677*in_shop_ticket*in_shop_renew_comm*in_ins_partner_share*(in_shop_renew^1*SUMIFS(AW656:AW703,B656:B703,B677-12)+in_shop_renew^2*SUMIFS(AW656:AW703,B656:B703,B677-24)+in_shop_renew^3*SUMIFS(AW656:AW703,B656:B703,B677-36)+in_shop_renew^4*SUMIFS(AW656:AW703,B656:B703,B677-48))</f>
        <v/>
      </c>
      <c r="AY677" s="40">
        <f>AY676*(1-IF(B676&gt;=in_marketplace_from,d_hz_sip*G676,0))</f>
        <v/>
      </c>
      <c r="AZ677" s="40">
        <f>AZ676*d_rho_sip+AY677*IF(B677&gt;=in_marketplace_from,d_hz_sip*G677,0)</f>
        <v/>
      </c>
      <c r="BA677" s="40">
        <f>d_rho_sip*(BA676+AZ676)</f>
        <v/>
      </c>
      <c r="BB677" s="14">
        <f>F677*in_sip_ticket*(BA677+0.5*AZ677)*in_sip_comm/12</f>
        <v/>
      </c>
      <c r="BC677" s="40">
        <f>BC676*(1-IF(B676&gt;=in_marketplace_from,d_hz_choti*G676,0))</f>
        <v/>
      </c>
      <c r="BD677" s="46">
        <f>BC677*IF(B677&gt;=in_marketplace_from,d_hz_choti*G677,0)</f>
        <v/>
      </c>
      <c r="BE677" s="14">
        <f>F677*SUMIFS(BD656:BD703,B656:B703,B677-in_choti_months)*in_choti_renew*in_choti_ticket</f>
        <v/>
      </c>
      <c r="BF677" s="40">
        <f>BF676*(1-IF(B676&gt;=in_marketplace_from,d_hz_nps*G676,0))</f>
        <v/>
      </c>
      <c r="BG677" s="14">
        <f>F677*BF677*IF(B677&gt;=in_marketplace_from,d_hz_nps*G677,0)*in_nps_ticket*in_nps_comm</f>
        <v/>
      </c>
      <c r="BH677" s="40">
        <f>BH676*(1-IF(B676&gt;=in_marketplace_from,d_hz_gold*G676,0))</f>
        <v/>
      </c>
      <c r="BI677" s="40">
        <f>BI676*d_rho_gold+BH677*IF(B677&gt;=in_marketplace_from,d_hz_gold*G677,0)</f>
        <v/>
      </c>
      <c r="BJ677" s="14">
        <f>F677*BI677*in_gold_ticket*in_gold_comm</f>
        <v/>
      </c>
      <c r="BK677" s="40">
        <f>BK676*(1-IF(B676&gt;=in_marketplace_from,d_hz_fd*G676,0))</f>
        <v/>
      </c>
      <c r="BL677" s="14">
        <f>F677*BK677*IF(B677&gt;=in_marketplace_from,d_hz_fd*G677,0)*in_fd_ticket*in_fd_comm</f>
        <v/>
      </c>
      <c r="BM677" s="40">
        <f>BM676*(1-IF(B676&gt;=in_marketplace_from,d_hz_recharge*G676,0))</f>
        <v/>
      </c>
      <c r="BN677" s="40">
        <f>BN676*d_rho_recharge+BM677*IF(B677&gt;=in_marketplace_from,d_hz_recharge*G677,0)</f>
        <v/>
      </c>
      <c r="BO677" s="14">
        <f>F677*BN677*in_recharge_ticket*in_recharge_comm/12</f>
        <v/>
      </c>
      <c r="BP677" s="40">
        <f>BP676*(1-IF(B676&gt;=in_marketplace_from,d_hz_bills*G676,0))</f>
        <v/>
      </c>
      <c r="BQ677" s="40">
        <f>BQ676*d_rho_bills+BP677*IF(B677&gt;=in_marketplace_from,d_hz_bills*G677,0)</f>
        <v/>
      </c>
      <c r="BR677" s="14">
        <f>F677*BQ677*in_bills_ticket*in_bills_comm/12</f>
        <v/>
      </c>
      <c r="BS677" s="40">
        <f>BS676*(1-IF(B676&gt;=in_marketplace_from,d_hz_loan_gold*G676,0))</f>
        <v/>
      </c>
      <c r="BT677" s="14">
        <f>F677*BS677*IF(B677&gt;=in_marketplace_from,d_hz_loan_gold*G677,0)*in_loan_gold_ticket*in_loan_gold_comm</f>
        <v/>
      </c>
      <c r="BU677" s="40">
        <f>BU676*(1-IF(B676&gt;=in_marketplace_from,d_hz_loan_cd*G676,0))</f>
        <v/>
      </c>
      <c r="BV677" s="14">
        <f>F677*BU677*IF(B677&gt;=in_marketplace_from,d_hz_loan_cd*G677,0)*in_loan_cd_ticket*in_loan_cd_comm</f>
        <v/>
      </c>
      <c r="BW677" s="40">
        <f>BW676*(1-IF(B676&gt;=in_marketplace_from,d_hz_loan_vehicle*G676,0))</f>
        <v/>
      </c>
      <c r="BX677" s="14">
        <f>F677*BW677*IF(B677&gt;=in_marketplace_from,d_hz_loan_vehicle*G677,0)*in_loan_vehicle_ticket*in_loan_vehicle_comm</f>
        <v/>
      </c>
      <c r="BY677" s="40">
        <f>BY676*(1-IF(B676&gt;=in_marketplace_from,d_hz_loan_home*G676,0)*BZ676)</f>
        <v/>
      </c>
      <c r="BZ677" s="11">
        <f>MIN(in_approval_cap,in_loan_home_approval*INDEX('Age profile'!$O$2:$O$61,B677)*(1+in_approval_growth)^(D677-1))</f>
        <v/>
      </c>
      <c r="CA677" s="14">
        <f>F677*BY677*IF(B677&gt;=in_marketplace_from,d_hz_loan_home*G677,0)*BZ677*in_loan_home_ticket*in_loan_home_comm</f>
        <v/>
      </c>
      <c r="CB677" s="40">
        <f>CB676*(1-IF(B676&gt;=in_marketplace_from,d_hz_loan_lap*G676,0)*CC676)</f>
        <v/>
      </c>
      <c r="CC677" s="11">
        <f>MIN(in_approval_cap,in_loan_lap_approval*INDEX('Age profile'!$O$2:$O$61,B677)*(1+in_approval_growth)^(D677-1))</f>
        <v/>
      </c>
      <c r="CD677" s="14">
        <f>F677*CB677*IF(B677&gt;=in_marketplace_from,d_hz_loan_lap*G677,0)*CC677*in_loan_lap_ticket*in_loan_lap_comm</f>
        <v/>
      </c>
      <c r="CE677" s="14">
        <f>AA677+AB677+AC677+AD677+AG677+AJ677+AM677+AP677+AS677+AU677+AX677+BB677+BE677+BG677+BJ677+BL677+BO677+BR677+BT677+BV677+BX677+CA677+CD677</f>
        <v/>
      </c>
    </row>
    <row r="678">
      <c r="A678" s="39" t="n">
        <v>13</v>
      </c>
      <c r="B678" s="39" t="n">
        <v>23</v>
      </c>
      <c r="C678" s="39">
        <f>A678+B678-1</f>
        <v/>
      </c>
      <c r="D678" s="39">
        <f>INT((C678-1)/12)+1</f>
        <v/>
      </c>
      <c r="E678" s="44">
        <f>INDEX(Monthly!$B$2:$B$61,A678)</f>
        <v/>
      </c>
      <c r="F678" s="44">
        <f>E678*INDEX('Age profile'!$B$2:$B$61,B678)</f>
        <v/>
      </c>
      <c r="G678" s="45">
        <f>MIN(in_takeup_cap,INDEX('Age profile'!$N$2:$N$61,B678)*(1+in_takeup_growth)^(D678-1))</f>
        <v/>
      </c>
      <c r="H678" s="11">
        <f>MIN(in_approval_cap,in_approved_first*INDEX('Age profile'!$O$2:$O$61,B678)*(1+in_approval_growth)^(D678-1))</f>
        <v/>
      </c>
      <c r="I678" s="45">
        <f>G678*MIN(in_takeup_cap,INDEX('Age profile'!$O$2:$O$61,B678)*(1+in_approval_growth)^(D678-1))</f>
        <v/>
      </c>
      <c r="J678" s="40">
        <f>(J677-L677)*F678/F677</f>
        <v/>
      </c>
      <c r="K678" s="40">
        <f>(K677-M677)*F678/F677+SUMIFS(O656:O677,B656:B677,B678-1-d_T)*F678</f>
        <v/>
      </c>
      <c r="L678" s="40">
        <f>IF(B678&gt;=in_marketplace_from,J678*d_hz*G678*in_eligible*H678,0)</f>
        <v/>
      </c>
      <c r="M678" s="40">
        <f>IF(B678&gt;=in_marketplace_from,K678*d_hz*G678*in_eligible*in_approved_repeat,0)</f>
        <v/>
      </c>
      <c r="N678" s="40">
        <f>L678+M678</f>
        <v/>
      </c>
      <c r="O678" s="46">
        <f>N678/F678</f>
        <v/>
      </c>
      <c r="P678" s="40">
        <f>F678-J678-K678</f>
        <v/>
      </c>
      <c r="Q678" s="40">
        <f>IF(B678&gt;=in_marketplace_from,(J678+K678)*d_hz*G678,0)</f>
        <v/>
      </c>
      <c r="R678" s="40">
        <f>SUMIFS(N656:N703,B656:B703,"&gt;="&amp;(B678-d_T),B656:B703,"&lt;="&amp;(B678-1))</f>
        <v/>
      </c>
      <c r="S678" s="46">
        <f>(1-d_u)*S677+IF(d_T&gt;in_topup_lag,SUMIFS(O656:O703,B656:B703,B678-in_topup_lag)-d_udrop*SUMIFS(O656:O703,B656:B703,B678-d_T),0)</f>
        <v/>
      </c>
      <c r="T678" s="40">
        <f>F678*d_u*S678</f>
        <v/>
      </c>
      <c r="U678" s="9">
        <f>L678*in_ticket+M678*d_rep_ticket</f>
        <v/>
      </c>
      <c r="V678" s="9">
        <f>U678+T678*d_topup_amt</f>
        <v/>
      </c>
      <c r="W678" s="40">
        <f>N678+T678*d_topup_ratio</f>
        <v/>
      </c>
      <c r="X678" s="40">
        <f>SUMIFS(W656:W703,B656:B703,B678-in_dpd_lag)*d_cured</f>
        <v/>
      </c>
      <c r="Y678" s="40">
        <f>SUMIFS(W656:W703,B656:B703,B678-in_rec_lag)*d_recd</f>
        <v/>
      </c>
      <c r="Z678" s="40">
        <f>IF(AND(B678&gt;=in_marketplace_from,B678&lt;in_marketplace_from+in_card_months),in_card_share/in_card_months*F678*I678,IF(AND(B678&gt;=in_marketplace_from+in_card_months,B678&lt;in_marketplace_from+2*in_card_months),in_card_share*d_card_rem/in_card_months*F678*MIN(in_takeup_cap,(1+in_takeup_growth)^(D678-1))*MIN(in_takeup_cap,(1+in_approval_growth)^(D678-1)),0))</f>
        <v/>
      </c>
      <c r="AA678" s="14">
        <f>V678*in_fee*(1-in_taken_back)</f>
        <v/>
      </c>
      <c r="AB678" s="14">
        <f>SUMIFS(W656:W703,B656:B703,B678-in_dpd_lag)*d_dpd</f>
        <v/>
      </c>
      <c r="AC678" s="14">
        <f>SUMIFS(W656:W703,B656:B703,B678-in_rec_lag)*d_rec</f>
        <v/>
      </c>
      <c r="AD678" s="14">
        <f>Z678*in_card_fee</f>
        <v/>
      </c>
      <c r="AE678" s="40">
        <f>AE677*(1-IF(B677&gt;=in_marketplace_from,d_hz_hlth_small*G677,0))</f>
        <v/>
      </c>
      <c r="AF678" s="46">
        <f>AE678*IF(B678&gt;=in_marketplace_from,d_hz_hlth_small*G678,0)</f>
        <v/>
      </c>
      <c r="AG678" s="14">
        <f>F678*AF678*in_hlth_small_ticket*in_hlth_small_comm*in_ins_partner_share+F678*in_hlth_small_ticket*in_hlth_small_renew_comm*in_ins_partner_share*(in_hlth_small_renew^1*SUMIFS(AF656:AF703,B656:B703,B678-12)+in_hlth_small_renew^2*SUMIFS(AF656:AF703,B656:B703,B678-24)+in_hlth_small_renew^3*SUMIFS(AF656:AF703,B656:B703,B678-36)+in_hlth_small_renew^4*SUMIFS(AF656:AF703,B656:B703,B678-48))</f>
        <v/>
      </c>
      <c r="AH678" s="40">
        <f>AH677*(1-IF(B677&gt;=in_marketplace_from,d_hz_hlth_family*G677,0))</f>
        <v/>
      </c>
      <c r="AI678" s="46">
        <f>AH678*IF(B678&gt;=in_marketplace_from,d_hz_hlth_family*G678,0)</f>
        <v/>
      </c>
      <c r="AJ678" s="14">
        <f>F678*AI678*in_hlth_family_ticket*in_hlth_family_comm*in_ins_partner_share+F678*in_hlth_family_ticket*in_hlth_family_renew_comm*in_ins_partner_share*(in_hlth_family_renew^1*SUMIFS(AI656:AI703,B656:B703,B678-12)+in_hlth_family_renew^2*SUMIFS(AI656:AI703,B656:B703,B678-24)+in_hlth_family_renew^3*SUMIFS(AI656:AI703,B656:B703,B678-36)+in_hlth_family_renew^4*SUMIFS(AI656:AI703,B656:B703,B678-48))</f>
        <v/>
      </c>
      <c r="AK678" s="40">
        <f>AK677*(1-IF(B677&gt;=in_marketplace_from,d_hz_life_term*G677,0))</f>
        <v/>
      </c>
      <c r="AL678" s="46">
        <f>AK678*IF(B678&gt;=in_marketplace_from,d_hz_life_term*G678,0)</f>
        <v/>
      </c>
      <c r="AM678" s="14">
        <f>F678*AL678*in_life_term_ticket*in_life_term_comm*in_ins_partner_share+F678*in_life_term_ticket*in_life_term_renew_comm*in_ins_partner_share*(in_life_term_renew^1*SUMIFS(AL656:AL703,B656:B703,B678-12)+in_life_term_renew^2*SUMIFS(AL656:AL703,B656:B703,B678-24)+in_life_term_renew^3*SUMIFS(AL656:AL703,B656:B703,B678-36)+in_life_term_renew^4*SUMIFS(AL656:AL703,B656:B703,B678-48))</f>
        <v/>
      </c>
      <c r="AN678" s="40">
        <f>AN677*(1-IF(B677&gt;=in_marketplace_from,d_hz_accident*G677,0))</f>
        <v/>
      </c>
      <c r="AO678" s="46">
        <f>AN678*IF(B678&gt;=in_marketplace_from,d_hz_accident*G678,0)</f>
        <v/>
      </c>
      <c r="AP678" s="14">
        <f>F678*AO678*in_accident_ticket*in_accident_comm*in_ins_partner_share+F678*in_accident_ticket*in_accident_renew_comm*in_ins_partner_share*(in_accident_renew^1*SUMIFS(AO656:AO703,B656:B703,B678-12)+in_accident_renew^2*SUMIFS(AO656:AO703,B656:B703,B678-24)+in_accident_renew^3*SUMIFS(AO656:AO703,B656:B703,B678-36)+in_accident_renew^4*SUMIFS(AO656:AO703,B656:B703,B678-48))</f>
        <v/>
      </c>
      <c r="AQ678" s="40">
        <f>AQ677*(1-IF(B677&gt;=in_marketplace_from,d_hz_two_wheeler*G677,0))</f>
        <v/>
      </c>
      <c r="AR678" s="46">
        <f>AQ678*IF(B678&gt;=in_marketplace_from,d_hz_two_wheeler*G678,0)</f>
        <v/>
      </c>
      <c r="AS678" s="14">
        <f>F678*AR678*in_two_wheeler_ticket*in_two_wheeler_comm*in_ins_partner_share+F678*in_two_wheeler_ticket*in_two_wheeler_comm*in_ins_partner_share*(in_two_wheeler_renew^1*SUMIFS(AR656:AR703,B656:B703,B678-12)+in_two_wheeler_renew^2*SUMIFS(AR656:AR703,B656:B703,B678-24)+in_two_wheeler_renew^3*SUMIFS(AR656:AR703,B656:B703,B678-36)+in_two_wheeler_renew^4*SUMIFS(AR656:AR703,B656:B703,B678-48))</f>
        <v/>
      </c>
      <c r="AT678" s="40">
        <f>AT677*(1-IF(B677&gt;=in_marketplace_from,d_hz_device*G677,0))</f>
        <v/>
      </c>
      <c r="AU678" s="14">
        <f>F678*AT678*IF(B678&gt;=in_marketplace_from,d_hz_device*G678,0)*in_device_ticket*in_device_comm*in_ins_partner_share</f>
        <v/>
      </c>
      <c r="AV678" s="40">
        <f>AV677*(1-IF(B677&gt;=in_marketplace_from,d_hz_shop*G677,0))</f>
        <v/>
      </c>
      <c r="AW678" s="46">
        <f>AV678*IF(B678&gt;=in_marketplace_from,d_hz_shop*G678,0)</f>
        <v/>
      </c>
      <c r="AX678" s="14">
        <f>F678*AW678*in_shop_ticket*in_shop_comm*in_ins_partner_share+F678*in_shop_ticket*in_shop_renew_comm*in_ins_partner_share*(in_shop_renew^1*SUMIFS(AW656:AW703,B656:B703,B678-12)+in_shop_renew^2*SUMIFS(AW656:AW703,B656:B703,B678-24)+in_shop_renew^3*SUMIFS(AW656:AW703,B656:B703,B678-36)+in_shop_renew^4*SUMIFS(AW656:AW703,B656:B703,B678-48))</f>
        <v/>
      </c>
      <c r="AY678" s="40">
        <f>AY677*(1-IF(B677&gt;=in_marketplace_from,d_hz_sip*G677,0))</f>
        <v/>
      </c>
      <c r="AZ678" s="40">
        <f>AZ677*d_rho_sip+AY678*IF(B678&gt;=in_marketplace_from,d_hz_sip*G678,0)</f>
        <v/>
      </c>
      <c r="BA678" s="40">
        <f>d_rho_sip*(BA677+AZ677)</f>
        <v/>
      </c>
      <c r="BB678" s="14">
        <f>F678*in_sip_ticket*(BA678+0.5*AZ678)*in_sip_comm/12</f>
        <v/>
      </c>
      <c r="BC678" s="40">
        <f>BC677*(1-IF(B677&gt;=in_marketplace_from,d_hz_choti*G677,0))</f>
        <v/>
      </c>
      <c r="BD678" s="46">
        <f>BC678*IF(B678&gt;=in_marketplace_from,d_hz_choti*G678,0)</f>
        <v/>
      </c>
      <c r="BE678" s="14">
        <f>F678*SUMIFS(BD656:BD703,B656:B703,B678-in_choti_months)*in_choti_renew*in_choti_ticket</f>
        <v/>
      </c>
      <c r="BF678" s="40">
        <f>BF677*(1-IF(B677&gt;=in_marketplace_from,d_hz_nps*G677,0))</f>
        <v/>
      </c>
      <c r="BG678" s="14">
        <f>F678*BF678*IF(B678&gt;=in_marketplace_from,d_hz_nps*G678,0)*in_nps_ticket*in_nps_comm</f>
        <v/>
      </c>
      <c r="BH678" s="40">
        <f>BH677*(1-IF(B677&gt;=in_marketplace_from,d_hz_gold*G677,0))</f>
        <v/>
      </c>
      <c r="BI678" s="40">
        <f>BI677*d_rho_gold+BH678*IF(B678&gt;=in_marketplace_from,d_hz_gold*G678,0)</f>
        <v/>
      </c>
      <c r="BJ678" s="14">
        <f>F678*BI678*in_gold_ticket*in_gold_comm</f>
        <v/>
      </c>
      <c r="BK678" s="40">
        <f>BK677*(1-IF(B677&gt;=in_marketplace_from,d_hz_fd*G677,0))</f>
        <v/>
      </c>
      <c r="BL678" s="14">
        <f>F678*BK678*IF(B678&gt;=in_marketplace_from,d_hz_fd*G678,0)*in_fd_ticket*in_fd_comm</f>
        <v/>
      </c>
      <c r="BM678" s="40">
        <f>BM677*(1-IF(B677&gt;=in_marketplace_from,d_hz_recharge*G677,0))</f>
        <v/>
      </c>
      <c r="BN678" s="40">
        <f>BN677*d_rho_recharge+BM678*IF(B678&gt;=in_marketplace_from,d_hz_recharge*G678,0)</f>
        <v/>
      </c>
      <c r="BO678" s="14">
        <f>F678*BN678*in_recharge_ticket*in_recharge_comm/12</f>
        <v/>
      </c>
      <c r="BP678" s="40">
        <f>BP677*(1-IF(B677&gt;=in_marketplace_from,d_hz_bills*G677,0))</f>
        <v/>
      </c>
      <c r="BQ678" s="40">
        <f>BQ677*d_rho_bills+BP678*IF(B678&gt;=in_marketplace_from,d_hz_bills*G678,0)</f>
        <v/>
      </c>
      <c r="BR678" s="14">
        <f>F678*BQ678*in_bills_ticket*in_bills_comm/12</f>
        <v/>
      </c>
      <c r="BS678" s="40">
        <f>BS677*(1-IF(B677&gt;=in_marketplace_from,d_hz_loan_gold*G677,0))</f>
        <v/>
      </c>
      <c r="BT678" s="14">
        <f>F678*BS678*IF(B678&gt;=in_marketplace_from,d_hz_loan_gold*G678,0)*in_loan_gold_ticket*in_loan_gold_comm</f>
        <v/>
      </c>
      <c r="BU678" s="40">
        <f>BU677*(1-IF(B677&gt;=in_marketplace_from,d_hz_loan_cd*G677,0))</f>
        <v/>
      </c>
      <c r="BV678" s="14">
        <f>F678*BU678*IF(B678&gt;=in_marketplace_from,d_hz_loan_cd*G678,0)*in_loan_cd_ticket*in_loan_cd_comm</f>
        <v/>
      </c>
      <c r="BW678" s="40">
        <f>BW677*(1-IF(B677&gt;=in_marketplace_from,d_hz_loan_vehicle*G677,0))</f>
        <v/>
      </c>
      <c r="BX678" s="14">
        <f>F678*BW678*IF(B678&gt;=in_marketplace_from,d_hz_loan_vehicle*G678,0)*in_loan_vehicle_ticket*in_loan_vehicle_comm</f>
        <v/>
      </c>
      <c r="BY678" s="40">
        <f>BY677*(1-IF(B677&gt;=in_marketplace_from,d_hz_loan_home*G677,0)*BZ677)</f>
        <v/>
      </c>
      <c r="BZ678" s="11">
        <f>MIN(in_approval_cap,in_loan_home_approval*INDEX('Age profile'!$O$2:$O$61,B678)*(1+in_approval_growth)^(D678-1))</f>
        <v/>
      </c>
      <c r="CA678" s="14">
        <f>F678*BY678*IF(B678&gt;=in_marketplace_from,d_hz_loan_home*G678,0)*BZ678*in_loan_home_ticket*in_loan_home_comm</f>
        <v/>
      </c>
      <c r="CB678" s="40">
        <f>CB677*(1-IF(B677&gt;=in_marketplace_from,d_hz_loan_lap*G677,0)*CC677)</f>
        <v/>
      </c>
      <c r="CC678" s="11">
        <f>MIN(in_approval_cap,in_loan_lap_approval*INDEX('Age profile'!$O$2:$O$61,B678)*(1+in_approval_growth)^(D678-1))</f>
        <v/>
      </c>
      <c r="CD678" s="14">
        <f>F678*CB678*IF(B678&gt;=in_marketplace_from,d_hz_loan_lap*G678,0)*CC678*in_loan_lap_ticket*in_loan_lap_comm</f>
        <v/>
      </c>
      <c r="CE678" s="14">
        <f>AA678+AB678+AC678+AD678+AG678+AJ678+AM678+AP678+AS678+AU678+AX678+BB678+BE678+BG678+BJ678+BL678+BO678+BR678+BT678+BV678+BX678+CA678+CD678</f>
        <v/>
      </c>
    </row>
    <row r="679">
      <c r="A679" s="39" t="n">
        <v>13</v>
      </c>
      <c r="B679" s="39" t="n">
        <v>24</v>
      </c>
      <c r="C679" s="39">
        <f>A679+B679-1</f>
        <v/>
      </c>
      <c r="D679" s="39">
        <f>INT((C679-1)/12)+1</f>
        <v/>
      </c>
      <c r="E679" s="44">
        <f>INDEX(Monthly!$B$2:$B$61,A679)</f>
        <v/>
      </c>
      <c r="F679" s="44">
        <f>E679*INDEX('Age profile'!$B$2:$B$61,B679)</f>
        <v/>
      </c>
      <c r="G679" s="45">
        <f>MIN(in_takeup_cap,INDEX('Age profile'!$N$2:$N$61,B679)*(1+in_takeup_growth)^(D679-1))</f>
        <v/>
      </c>
      <c r="H679" s="11">
        <f>MIN(in_approval_cap,in_approved_first*INDEX('Age profile'!$O$2:$O$61,B679)*(1+in_approval_growth)^(D679-1))</f>
        <v/>
      </c>
      <c r="I679" s="45">
        <f>G679*MIN(in_takeup_cap,INDEX('Age profile'!$O$2:$O$61,B679)*(1+in_approval_growth)^(D679-1))</f>
        <v/>
      </c>
      <c r="J679" s="40">
        <f>(J678-L678)*F679/F678</f>
        <v/>
      </c>
      <c r="K679" s="40">
        <f>(K678-M678)*F679/F678+SUMIFS(O656:O678,B656:B678,B679-1-d_T)*F679</f>
        <v/>
      </c>
      <c r="L679" s="40">
        <f>IF(B679&gt;=in_marketplace_from,J679*d_hz*G679*in_eligible*H679,0)</f>
        <v/>
      </c>
      <c r="M679" s="40">
        <f>IF(B679&gt;=in_marketplace_from,K679*d_hz*G679*in_eligible*in_approved_repeat,0)</f>
        <v/>
      </c>
      <c r="N679" s="40">
        <f>L679+M679</f>
        <v/>
      </c>
      <c r="O679" s="46">
        <f>N679/F679</f>
        <v/>
      </c>
      <c r="P679" s="40">
        <f>F679-J679-K679</f>
        <v/>
      </c>
      <c r="Q679" s="40">
        <f>IF(B679&gt;=in_marketplace_from,(J679+K679)*d_hz*G679,0)</f>
        <v/>
      </c>
      <c r="R679" s="40">
        <f>SUMIFS(N656:N703,B656:B703,"&gt;="&amp;(B679-d_T),B656:B703,"&lt;="&amp;(B679-1))</f>
        <v/>
      </c>
      <c r="S679" s="46">
        <f>(1-d_u)*S678+IF(d_T&gt;in_topup_lag,SUMIFS(O656:O703,B656:B703,B679-in_topup_lag)-d_udrop*SUMIFS(O656:O703,B656:B703,B679-d_T),0)</f>
        <v/>
      </c>
      <c r="T679" s="40">
        <f>F679*d_u*S679</f>
        <v/>
      </c>
      <c r="U679" s="9">
        <f>L679*in_ticket+M679*d_rep_ticket</f>
        <v/>
      </c>
      <c r="V679" s="9">
        <f>U679+T679*d_topup_amt</f>
        <v/>
      </c>
      <c r="W679" s="40">
        <f>N679+T679*d_topup_ratio</f>
        <v/>
      </c>
      <c r="X679" s="40">
        <f>SUMIFS(W656:W703,B656:B703,B679-in_dpd_lag)*d_cured</f>
        <v/>
      </c>
      <c r="Y679" s="40">
        <f>SUMIFS(W656:W703,B656:B703,B679-in_rec_lag)*d_recd</f>
        <v/>
      </c>
      <c r="Z679" s="40">
        <f>IF(AND(B679&gt;=in_marketplace_from,B679&lt;in_marketplace_from+in_card_months),in_card_share/in_card_months*F679*I679,IF(AND(B679&gt;=in_marketplace_from+in_card_months,B679&lt;in_marketplace_from+2*in_card_months),in_card_share*d_card_rem/in_card_months*F679*MIN(in_takeup_cap,(1+in_takeup_growth)^(D679-1))*MIN(in_takeup_cap,(1+in_approval_growth)^(D679-1)),0))</f>
        <v/>
      </c>
      <c r="AA679" s="14">
        <f>V679*in_fee*(1-in_taken_back)</f>
        <v/>
      </c>
      <c r="AB679" s="14">
        <f>SUMIFS(W656:W703,B656:B703,B679-in_dpd_lag)*d_dpd</f>
        <v/>
      </c>
      <c r="AC679" s="14">
        <f>SUMIFS(W656:W703,B656:B703,B679-in_rec_lag)*d_rec</f>
        <v/>
      </c>
      <c r="AD679" s="14">
        <f>Z679*in_card_fee</f>
        <v/>
      </c>
      <c r="AE679" s="40">
        <f>AE678*(1-IF(B678&gt;=in_marketplace_from,d_hz_hlth_small*G678,0))</f>
        <v/>
      </c>
      <c r="AF679" s="46">
        <f>AE679*IF(B679&gt;=in_marketplace_from,d_hz_hlth_small*G679,0)</f>
        <v/>
      </c>
      <c r="AG679" s="14">
        <f>F679*AF679*in_hlth_small_ticket*in_hlth_small_comm*in_ins_partner_share+F679*in_hlth_small_ticket*in_hlth_small_renew_comm*in_ins_partner_share*(in_hlth_small_renew^1*SUMIFS(AF656:AF703,B656:B703,B679-12)+in_hlth_small_renew^2*SUMIFS(AF656:AF703,B656:B703,B679-24)+in_hlth_small_renew^3*SUMIFS(AF656:AF703,B656:B703,B679-36)+in_hlth_small_renew^4*SUMIFS(AF656:AF703,B656:B703,B679-48))</f>
        <v/>
      </c>
      <c r="AH679" s="40">
        <f>AH678*(1-IF(B678&gt;=in_marketplace_from,d_hz_hlth_family*G678,0))</f>
        <v/>
      </c>
      <c r="AI679" s="46">
        <f>AH679*IF(B679&gt;=in_marketplace_from,d_hz_hlth_family*G679,0)</f>
        <v/>
      </c>
      <c r="AJ679" s="14">
        <f>F679*AI679*in_hlth_family_ticket*in_hlth_family_comm*in_ins_partner_share+F679*in_hlth_family_ticket*in_hlth_family_renew_comm*in_ins_partner_share*(in_hlth_family_renew^1*SUMIFS(AI656:AI703,B656:B703,B679-12)+in_hlth_family_renew^2*SUMIFS(AI656:AI703,B656:B703,B679-24)+in_hlth_family_renew^3*SUMIFS(AI656:AI703,B656:B703,B679-36)+in_hlth_family_renew^4*SUMIFS(AI656:AI703,B656:B703,B679-48))</f>
        <v/>
      </c>
      <c r="AK679" s="40">
        <f>AK678*(1-IF(B678&gt;=in_marketplace_from,d_hz_life_term*G678,0))</f>
        <v/>
      </c>
      <c r="AL679" s="46">
        <f>AK679*IF(B679&gt;=in_marketplace_from,d_hz_life_term*G679,0)</f>
        <v/>
      </c>
      <c r="AM679" s="14">
        <f>F679*AL679*in_life_term_ticket*in_life_term_comm*in_ins_partner_share+F679*in_life_term_ticket*in_life_term_renew_comm*in_ins_partner_share*(in_life_term_renew^1*SUMIFS(AL656:AL703,B656:B703,B679-12)+in_life_term_renew^2*SUMIFS(AL656:AL703,B656:B703,B679-24)+in_life_term_renew^3*SUMIFS(AL656:AL703,B656:B703,B679-36)+in_life_term_renew^4*SUMIFS(AL656:AL703,B656:B703,B679-48))</f>
        <v/>
      </c>
      <c r="AN679" s="40">
        <f>AN678*(1-IF(B678&gt;=in_marketplace_from,d_hz_accident*G678,0))</f>
        <v/>
      </c>
      <c r="AO679" s="46">
        <f>AN679*IF(B679&gt;=in_marketplace_from,d_hz_accident*G679,0)</f>
        <v/>
      </c>
      <c r="AP679" s="14">
        <f>F679*AO679*in_accident_ticket*in_accident_comm*in_ins_partner_share+F679*in_accident_ticket*in_accident_renew_comm*in_ins_partner_share*(in_accident_renew^1*SUMIFS(AO656:AO703,B656:B703,B679-12)+in_accident_renew^2*SUMIFS(AO656:AO703,B656:B703,B679-24)+in_accident_renew^3*SUMIFS(AO656:AO703,B656:B703,B679-36)+in_accident_renew^4*SUMIFS(AO656:AO703,B656:B703,B679-48))</f>
        <v/>
      </c>
      <c r="AQ679" s="40">
        <f>AQ678*(1-IF(B678&gt;=in_marketplace_from,d_hz_two_wheeler*G678,0))</f>
        <v/>
      </c>
      <c r="AR679" s="46">
        <f>AQ679*IF(B679&gt;=in_marketplace_from,d_hz_two_wheeler*G679,0)</f>
        <v/>
      </c>
      <c r="AS679" s="14">
        <f>F679*AR679*in_two_wheeler_ticket*in_two_wheeler_comm*in_ins_partner_share+F679*in_two_wheeler_ticket*in_two_wheeler_comm*in_ins_partner_share*(in_two_wheeler_renew^1*SUMIFS(AR656:AR703,B656:B703,B679-12)+in_two_wheeler_renew^2*SUMIFS(AR656:AR703,B656:B703,B679-24)+in_two_wheeler_renew^3*SUMIFS(AR656:AR703,B656:B703,B679-36)+in_two_wheeler_renew^4*SUMIFS(AR656:AR703,B656:B703,B679-48))</f>
        <v/>
      </c>
      <c r="AT679" s="40">
        <f>AT678*(1-IF(B678&gt;=in_marketplace_from,d_hz_device*G678,0))</f>
        <v/>
      </c>
      <c r="AU679" s="14">
        <f>F679*AT679*IF(B679&gt;=in_marketplace_from,d_hz_device*G679,0)*in_device_ticket*in_device_comm*in_ins_partner_share</f>
        <v/>
      </c>
      <c r="AV679" s="40">
        <f>AV678*(1-IF(B678&gt;=in_marketplace_from,d_hz_shop*G678,0))</f>
        <v/>
      </c>
      <c r="AW679" s="46">
        <f>AV679*IF(B679&gt;=in_marketplace_from,d_hz_shop*G679,0)</f>
        <v/>
      </c>
      <c r="AX679" s="14">
        <f>F679*AW679*in_shop_ticket*in_shop_comm*in_ins_partner_share+F679*in_shop_ticket*in_shop_renew_comm*in_ins_partner_share*(in_shop_renew^1*SUMIFS(AW656:AW703,B656:B703,B679-12)+in_shop_renew^2*SUMIFS(AW656:AW703,B656:B703,B679-24)+in_shop_renew^3*SUMIFS(AW656:AW703,B656:B703,B679-36)+in_shop_renew^4*SUMIFS(AW656:AW703,B656:B703,B679-48))</f>
        <v/>
      </c>
      <c r="AY679" s="40">
        <f>AY678*(1-IF(B678&gt;=in_marketplace_from,d_hz_sip*G678,0))</f>
        <v/>
      </c>
      <c r="AZ679" s="40">
        <f>AZ678*d_rho_sip+AY679*IF(B679&gt;=in_marketplace_from,d_hz_sip*G679,0)</f>
        <v/>
      </c>
      <c r="BA679" s="40">
        <f>d_rho_sip*(BA678+AZ678)</f>
        <v/>
      </c>
      <c r="BB679" s="14">
        <f>F679*in_sip_ticket*(BA679+0.5*AZ679)*in_sip_comm/12</f>
        <v/>
      </c>
      <c r="BC679" s="40">
        <f>BC678*(1-IF(B678&gt;=in_marketplace_from,d_hz_choti*G678,0))</f>
        <v/>
      </c>
      <c r="BD679" s="46">
        <f>BC679*IF(B679&gt;=in_marketplace_from,d_hz_choti*G679,0)</f>
        <v/>
      </c>
      <c r="BE679" s="14">
        <f>F679*SUMIFS(BD656:BD703,B656:B703,B679-in_choti_months)*in_choti_renew*in_choti_ticket</f>
        <v/>
      </c>
      <c r="BF679" s="40">
        <f>BF678*(1-IF(B678&gt;=in_marketplace_from,d_hz_nps*G678,0))</f>
        <v/>
      </c>
      <c r="BG679" s="14">
        <f>F679*BF679*IF(B679&gt;=in_marketplace_from,d_hz_nps*G679,0)*in_nps_ticket*in_nps_comm</f>
        <v/>
      </c>
      <c r="BH679" s="40">
        <f>BH678*(1-IF(B678&gt;=in_marketplace_from,d_hz_gold*G678,0))</f>
        <v/>
      </c>
      <c r="BI679" s="40">
        <f>BI678*d_rho_gold+BH679*IF(B679&gt;=in_marketplace_from,d_hz_gold*G679,0)</f>
        <v/>
      </c>
      <c r="BJ679" s="14">
        <f>F679*BI679*in_gold_ticket*in_gold_comm</f>
        <v/>
      </c>
      <c r="BK679" s="40">
        <f>BK678*(1-IF(B678&gt;=in_marketplace_from,d_hz_fd*G678,0))</f>
        <v/>
      </c>
      <c r="BL679" s="14">
        <f>F679*BK679*IF(B679&gt;=in_marketplace_from,d_hz_fd*G679,0)*in_fd_ticket*in_fd_comm</f>
        <v/>
      </c>
      <c r="BM679" s="40">
        <f>BM678*(1-IF(B678&gt;=in_marketplace_from,d_hz_recharge*G678,0))</f>
        <v/>
      </c>
      <c r="BN679" s="40">
        <f>BN678*d_rho_recharge+BM679*IF(B679&gt;=in_marketplace_from,d_hz_recharge*G679,0)</f>
        <v/>
      </c>
      <c r="BO679" s="14">
        <f>F679*BN679*in_recharge_ticket*in_recharge_comm/12</f>
        <v/>
      </c>
      <c r="BP679" s="40">
        <f>BP678*(1-IF(B678&gt;=in_marketplace_from,d_hz_bills*G678,0))</f>
        <v/>
      </c>
      <c r="BQ679" s="40">
        <f>BQ678*d_rho_bills+BP679*IF(B679&gt;=in_marketplace_from,d_hz_bills*G679,0)</f>
        <v/>
      </c>
      <c r="BR679" s="14">
        <f>F679*BQ679*in_bills_ticket*in_bills_comm/12</f>
        <v/>
      </c>
      <c r="BS679" s="40">
        <f>BS678*(1-IF(B678&gt;=in_marketplace_from,d_hz_loan_gold*G678,0))</f>
        <v/>
      </c>
      <c r="BT679" s="14">
        <f>F679*BS679*IF(B679&gt;=in_marketplace_from,d_hz_loan_gold*G679,0)*in_loan_gold_ticket*in_loan_gold_comm</f>
        <v/>
      </c>
      <c r="BU679" s="40">
        <f>BU678*(1-IF(B678&gt;=in_marketplace_from,d_hz_loan_cd*G678,0))</f>
        <v/>
      </c>
      <c r="BV679" s="14">
        <f>F679*BU679*IF(B679&gt;=in_marketplace_from,d_hz_loan_cd*G679,0)*in_loan_cd_ticket*in_loan_cd_comm</f>
        <v/>
      </c>
      <c r="BW679" s="40">
        <f>BW678*(1-IF(B678&gt;=in_marketplace_from,d_hz_loan_vehicle*G678,0))</f>
        <v/>
      </c>
      <c r="BX679" s="14">
        <f>F679*BW679*IF(B679&gt;=in_marketplace_from,d_hz_loan_vehicle*G679,0)*in_loan_vehicle_ticket*in_loan_vehicle_comm</f>
        <v/>
      </c>
      <c r="BY679" s="40">
        <f>BY678*(1-IF(B678&gt;=in_marketplace_from,d_hz_loan_home*G678,0)*BZ678)</f>
        <v/>
      </c>
      <c r="BZ679" s="11">
        <f>MIN(in_approval_cap,in_loan_home_approval*INDEX('Age profile'!$O$2:$O$61,B679)*(1+in_approval_growth)^(D679-1))</f>
        <v/>
      </c>
      <c r="CA679" s="14">
        <f>F679*BY679*IF(B679&gt;=in_marketplace_from,d_hz_loan_home*G679,0)*BZ679*in_loan_home_ticket*in_loan_home_comm</f>
        <v/>
      </c>
      <c r="CB679" s="40">
        <f>CB678*(1-IF(B678&gt;=in_marketplace_from,d_hz_loan_lap*G678,0)*CC678)</f>
        <v/>
      </c>
      <c r="CC679" s="11">
        <f>MIN(in_approval_cap,in_loan_lap_approval*INDEX('Age profile'!$O$2:$O$61,B679)*(1+in_approval_growth)^(D679-1))</f>
        <v/>
      </c>
      <c r="CD679" s="14">
        <f>F679*CB679*IF(B679&gt;=in_marketplace_from,d_hz_loan_lap*G679,0)*CC679*in_loan_lap_ticket*in_loan_lap_comm</f>
        <v/>
      </c>
      <c r="CE679" s="14">
        <f>AA679+AB679+AC679+AD679+AG679+AJ679+AM679+AP679+AS679+AU679+AX679+BB679+BE679+BG679+BJ679+BL679+BO679+BR679+BT679+BV679+BX679+CA679+CD679</f>
        <v/>
      </c>
    </row>
    <row r="680">
      <c r="A680" s="39" t="n">
        <v>13</v>
      </c>
      <c r="B680" s="39" t="n">
        <v>25</v>
      </c>
      <c r="C680" s="39">
        <f>A680+B680-1</f>
        <v/>
      </c>
      <c r="D680" s="39">
        <f>INT((C680-1)/12)+1</f>
        <v/>
      </c>
      <c r="E680" s="44">
        <f>INDEX(Monthly!$B$2:$B$61,A680)</f>
        <v/>
      </c>
      <c r="F680" s="44">
        <f>E680*INDEX('Age profile'!$B$2:$B$61,B680)</f>
        <v/>
      </c>
      <c r="G680" s="45">
        <f>MIN(in_takeup_cap,INDEX('Age profile'!$N$2:$N$61,B680)*(1+in_takeup_growth)^(D680-1))</f>
        <v/>
      </c>
      <c r="H680" s="11">
        <f>MIN(in_approval_cap,in_approved_first*INDEX('Age profile'!$O$2:$O$61,B680)*(1+in_approval_growth)^(D680-1))</f>
        <v/>
      </c>
      <c r="I680" s="45">
        <f>G680*MIN(in_takeup_cap,INDEX('Age profile'!$O$2:$O$61,B680)*(1+in_approval_growth)^(D680-1))</f>
        <v/>
      </c>
      <c r="J680" s="40">
        <f>(J679-L679)*F680/F679</f>
        <v/>
      </c>
      <c r="K680" s="40">
        <f>(K679-M679)*F680/F679+SUMIFS(O656:O679,B656:B679,B680-1-d_T)*F680</f>
        <v/>
      </c>
      <c r="L680" s="40">
        <f>IF(B680&gt;=in_marketplace_from,J680*d_hz*G680*in_eligible*H680,0)</f>
        <v/>
      </c>
      <c r="M680" s="40">
        <f>IF(B680&gt;=in_marketplace_from,K680*d_hz*G680*in_eligible*in_approved_repeat,0)</f>
        <v/>
      </c>
      <c r="N680" s="40">
        <f>L680+M680</f>
        <v/>
      </c>
      <c r="O680" s="46">
        <f>N680/F680</f>
        <v/>
      </c>
      <c r="P680" s="40">
        <f>F680-J680-K680</f>
        <v/>
      </c>
      <c r="Q680" s="40">
        <f>IF(B680&gt;=in_marketplace_from,(J680+K680)*d_hz*G680,0)</f>
        <v/>
      </c>
      <c r="R680" s="40">
        <f>SUMIFS(N656:N703,B656:B703,"&gt;="&amp;(B680-d_T),B656:B703,"&lt;="&amp;(B680-1))</f>
        <v/>
      </c>
      <c r="S680" s="46">
        <f>(1-d_u)*S679+IF(d_T&gt;in_topup_lag,SUMIFS(O656:O703,B656:B703,B680-in_topup_lag)-d_udrop*SUMIFS(O656:O703,B656:B703,B680-d_T),0)</f>
        <v/>
      </c>
      <c r="T680" s="40">
        <f>F680*d_u*S680</f>
        <v/>
      </c>
      <c r="U680" s="9">
        <f>L680*in_ticket+M680*d_rep_ticket</f>
        <v/>
      </c>
      <c r="V680" s="9">
        <f>U680+T680*d_topup_amt</f>
        <v/>
      </c>
      <c r="W680" s="40">
        <f>N680+T680*d_topup_ratio</f>
        <v/>
      </c>
      <c r="X680" s="40">
        <f>SUMIFS(W656:W703,B656:B703,B680-in_dpd_lag)*d_cured</f>
        <v/>
      </c>
      <c r="Y680" s="40">
        <f>SUMIFS(W656:W703,B656:B703,B680-in_rec_lag)*d_recd</f>
        <v/>
      </c>
      <c r="Z680" s="40">
        <f>IF(AND(B680&gt;=in_marketplace_from,B680&lt;in_marketplace_from+in_card_months),in_card_share/in_card_months*F680*I680,IF(AND(B680&gt;=in_marketplace_from+in_card_months,B680&lt;in_marketplace_from+2*in_card_months),in_card_share*d_card_rem/in_card_months*F680*MIN(in_takeup_cap,(1+in_takeup_growth)^(D680-1))*MIN(in_takeup_cap,(1+in_approval_growth)^(D680-1)),0))</f>
        <v/>
      </c>
      <c r="AA680" s="14">
        <f>V680*in_fee*(1-in_taken_back)</f>
        <v/>
      </c>
      <c r="AB680" s="14">
        <f>SUMIFS(W656:W703,B656:B703,B680-in_dpd_lag)*d_dpd</f>
        <v/>
      </c>
      <c r="AC680" s="14">
        <f>SUMIFS(W656:W703,B656:B703,B680-in_rec_lag)*d_rec</f>
        <v/>
      </c>
      <c r="AD680" s="14">
        <f>Z680*in_card_fee</f>
        <v/>
      </c>
      <c r="AE680" s="40">
        <f>AE679*(1-IF(B679&gt;=in_marketplace_from,d_hz_hlth_small*G679,0))</f>
        <v/>
      </c>
      <c r="AF680" s="46">
        <f>AE680*IF(B680&gt;=in_marketplace_from,d_hz_hlth_small*G680,0)</f>
        <v/>
      </c>
      <c r="AG680" s="14">
        <f>F680*AF680*in_hlth_small_ticket*in_hlth_small_comm*in_ins_partner_share+F680*in_hlth_small_ticket*in_hlth_small_renew_comm*in_ins_partner_share*(in_hlth_small_renew^1*SUMIFS(AF656:AF703,B656:B703,B680-12)+in_hlth_small_renew^2*SUMIFS(AF656:AF703,B656:B703,B680-24)+in_hlth_small_renew^3*SUMIFS(AF656:AF703,B656:B703,B680-36)+in_hlth_small_renew^4*SUMIFS(AF656:AF703,B656:B703,B680-48))</f>
        <v/>
      </c>
      <c r="AH680" s="40">
        <f>AH679*(1-IF(B679&gt;=in_marketplace_from,d_hz_hlth_family*G679,0))</f>
        <v/>
      </c>
      <c r="AI680" s="46">
        <f>AH680*IF(B680&gt;=in_marketplace_from,d_hz_hlth_family*G680,0)</f>
        <v/>
      </c>
      <c r="AJ680" s="14">
        <f>F680*AI680*in_hlth_family_ticket*in_hlth_family_comm*in_ins_partner_share+F680*in_hlth_family_ticket*in_hlth_family_renew_comm*in_ins_partner_share*(in_hlth_family_renew^1*SUMIFS(AI656:AI703,B656:B703,B680-12)+in_hlth_family_renew^2*SUMIFS(AI656:AI703,B656:B703,B680-24)+in_hlth_family_renew^3*SUMIFS(AI656:AI703,B656:B703,B680-36)+in_hlth_family_renew^4*SUMIFS(AI656:AI703,B656:B703,B680-48))</f>
        <v/>
      </c>
      <c r="AK680" s="40">
        <f>AK679*(1-IF(B679&gt;=in_marketplace_from,d_hz_life_term*G679,0))</f>
        <v/>
      </c>
      <c r="AL680" s="46">
        <f>AK680*IF(B680&gt;=in_marketplace_from,d_hz_life_term*G680,0)</f>
        <v/>
      </c>
      <c r="AM680" s="14">
        <f>F680*AL680*in_life_term_ticket*in_life_term_comm*in_ins_partner_share+F680*in_life_term_ticket*in_life_term_renew_comm*in_ins_partner_share*(in_life_term_renew^1*SUMIFS(AL656:AL703,B656:B703,B680-12)+in_life_term_renew^2*SUMIFS(AL656:AL703,B656:B703,B680-24)+in_life_term_renew^3*SUMIFS(AL656:AL703,B656:B703,B680-36)+in_life_term_renew^4*SUMIFS(AL656:AL703,B656:B703,B680-48))</f>
        <v/>
      </c>
      <c r="AN680" s="40">
        <f>AN679*(1-IF(B679&gt;=in_marketplace_from,d_hz_accident*G679,0))</f>
        <v/>
      </c>
      <c r="AO680" s="46">
        <f>AN680*IF(B680&gt;=in_marketplace_from,d_hz_accident*G680,0)</f>
        <v/>
      </c>
      <c r="AP680" s="14">
        <f>F680*AO680*in_accident_ticket*in_accident_comm*in_ins_partner_share+F680*in_accident_ticket*in_accident_renew_comm*in_ins_partner_share*(in_accident_renew^1*SUMIFS(AO656:AO703,B656:B703,B680-12)+in_accident_renew^2*SUMIFS(AO656:AO703,B656:B703,B680-24)+in_accident_renew^3*SUMIFS(AO656:AO703,B656:B703,B680-36)+in_accident_renew^4*SUMIFS(AO656:AO703,B656:B703,B680-48))</f>
        <v/>
      </c>
      <c r="AQ680" s="40">
        <f>AQ679*(1-IF(B679&gt;=in_marketplace_from,d_hz_two_wheeler*G679,0))</f>
        <v/>
      </c>
      <c r="AR680" s="46">
        <f>AQ680*IF(B680&gt;=in_marketplace_from,d_hz_two_wheeler*G680,0)</f>
        <v/>
      </c>
      <c r="AS680" s="14">
        <f>F680*AR680*in_two_wheeler_ticket*in_two_wheeler_comm*in_ins_partner_share+F680*in_two_wheeler_ticket*in_two_wheeler_comm*in_ins_partner_share*(in_two_wheeler_renew^1*SUMIFS(AR656:AR703,B656:B703,B680-12)+in_two_wheeler_renew^2*SUMIFS(AR656:AR703,B656:B703,B680-24)+in_two_wheeler_renew^3*SUMIFS(AR656:AR703,B656:B703,B680-36)+in_two_wheeler_renew^4*SUMIFS(AR656:AR703,B656:B703,B680-48))</f>
        <v/>
      </c>
      <c r="AT680" s="40">
        <f>AT679*(1-IF(B679&gt;=in_marketplace_from,d_hz_device*G679,0))</f>
        <v/>
      </c>
      <c r="AU680" s="14">
        <f>F680*AT680*IF(B680&gt;=in_marketplace_from,d_hz_device*G680,0)*in_device_ticket*in_device_comm*in_ins_partner_share</f>
        <v/>
      </c>
      <c r="AV680" s="40">
        <f>AV679*(1-IF(B679&gt;=in_marketplace_from,d_hz_shop*G679,0))</f>
        <v/>
      </c>
      <c r="AW680" s="46">
        <f>AV680*IF(B680&gt;=in_marketplace_from,d_hz_shop*G680,0)</f>
        <v/>
      </c>
      <c r="AX680" s="14">
        <f>F680*AW680*in_shop_ticket*in_shop_comm*in_ins_partner_share+F680*in_shop_ticket*in_shop_renew_comm*in_ins_partner_share*(in_shop_renew^1*SUMIFS(AW656:AW703,B656:B703,B680-12)+in_shop_renew^2*SUMIFS(AW656:AW703,B656:B703,B680-24)+in_shop_renew^3*SUMIFS(AW656:AW703,B656:B703,B680-36)+in_shop_renew^4*SUMIFS(AW656:AW703,B656:B703,B680-48))</f>
        <v/>
      </c>
      <c r="AY680" s="40">
        <f>AY679*(1-IF(B679&gt;=in_marketplace_from,d_hz_sip*G679,0))</f>
        <v/>
      </c>
      <c r="AZ680" s="40">
        <f>AZ679*d_rho_sip+AY680*IF(B680&gt;=in_marketplace_from,d_hz_sip*G680,0)</f>
        <v/>
      </c>
      <c r="BA680" s="40">
        <f>d_rho_sip*(BA679+AZ679)</f>
        <v/>
      </c>
      <c r="BB680" s="14">
        <f>F680*in_sip_ticket*(BA680+0.5*AZ680)*in_sip_comm/12</f>
        <v/>
      </c>
      <c r="BC680" s="40">
        <f>BC679*(1-IF(B679&gt;=in_marketplace_from,d_hz_choti*G679,0))</f>
        <v/>
      </c>
      <c r="BD680" s="46">
        <f>BC680*IF(B680&gt;=in_marketplace_from,d_hz_choti*G680,0)</f>
        <v/>
      </c>
      <c r="BE680" s="14">
        <f>F680*SUMIFS(BD656:BD703,B656:B703,B680-in_choti_months)*in_choti_renew*in_choti_ticket</f>
        <v/>
      </c>
      <c r="BF680" s="40">
        <f>BF679*(1-IF(B679&gt;=in_marketplace_from,d_hz_nps*G679,0))</f>
        <v/>
      </c>
      <c r="BG680" s="14">
        <f>F680*BF680*IF(B680&gt;=in_marketplace_from,d_hz_nps*G680,0)*in_nps_ticket*in_nps_comm</f>
        <v/>
      </c>
      <c r="BH680" s="40">
        <f>BH679*(1-IF(B679&gt;=in_marketplace_from,d_hz_gold*G679,0))</f>
        <v/>
      </c>
      <c r="BI680" s="40">
        <f>BI679*d_rho_gold+BH680*IF(B680&gt;=in_marketplace_from,d_hz_gold*G680,0)</f>
        <v/>
      </c>
      <c r="BJ680" s="14">
        <f>F680*BI680*in_gold_ticket*in_gold_comm</f>
        <v/>
      </c>
      <c r="BK680" s="40">
        <f>BK679*(1-IF(B679&gt;=in_marketplace_from,d_hz_fd*G679,0))</f>
        <v/>
      </c>
      <c r="BL680" s="14">
        <f>F680*BK680*IF(B680&gt;=in_marketplace_from,d_hz_fd*G680,0)*in_fd_ticket*in_fd_comm</f>
        <v/>
      </c>
      <c r="BM680" s="40">
        <f>BM679*(1-IF(B679&gt;=in_marketplace_from,d_hz_recharge*G679,0))</f>
        <v/>
      </c>
      <c r="BN680" s="40">
        <f>BN679*d_rho_recharge+BM680*IF(B680&gt;=in_marketplace_from,d_hz_recharge*G680,0)</f>
        <v/>
      </c>
      <c r="BO680" s="14">
        <f>F680*BN680*in_recharge_ticket*in_recharge_comm/12</f>
        <v/>
      </c>
      <c r="BP680" s="40">
        <f>BP679*(1-IF(B679&gt;=in_marketplace_from,d_hz_bills*G679,0))</f>
        <v/>
      </c>
      <c r="BQ680" s="40">
        <f>BQ679*d_rho_bills+BP680*IF(B680&gt;=in_marketplace_from,d_hz_bills*G680,0)</f>
        <v/>
      </c>
      <c r="BR680" s="14">
        <f>F680*BQ680*in_bills_ticket*in_bills_comm/12</f>
        <v/>
      </c>
      <c r="BS680" s="40">
        <f>BS679*(1-IF(B679&gt;=in_marketplace_from,d_hz_loan_gold*G679,0))</f>
        <v/>
      </c>
      <c r="BT680" s="14">
        <f>F680*BS680*IF(B680&gt;=in_marketplace_from,d_hz_loan_gold*G680,0)*in_loan_gold_ticket*in_loan_gold_comm</f>
        <v/>
      </c>
      <c r="BU680" s="40">
        <f>BU679*(1-IF(B679&gt;=in_marketplace_from,d_hz_loan_cd*G679,0))</f>
        <v/>
      </c>
      <c r="BV680" s="14">
        <f>F680*BU680*IF(B680&gt;=in_marketplace_from,d_hz_loan_cd*G680,0)*in_loan_cd_ticket*in_loan_cd_comm</f>
        <v/>
      </c>
      <c r="BW680" s="40">
        <f>BW679*(1-IF(B679&gt;=in_marketplace_from,d_hz_loan_vehicle*G679,0))</f>
        <v/>
      </c>
      <c r="BX680" s="14">
        <f>F680*BW680*IF(B680&gt;=in_marketplace_from,d_hz_loan_vehicle*G680,0)*in_loan_vehicle_ticket*in_loan_vehicle_comm</f>
        <v/>
      </c>
      <c r="BY680" s="40">
        <f>BY679*(1-IF(B679&gt;=in_marketplace_from,d_hz_loan_home*G679,0)*BZ679)</f>
        <v/>
      </c>
      <c r="BZ680" s="11">
        <f>MIN(in_approval_cap,in_loan_home_approval*INDEX('Age profile'!$O$2:$O$61,B680)*(1+in_approval_growth)^(D680-1))</f>
        <v/>
      </c>
      <c r="CA680" s="14">
        <f>F680*BY680*IF(B680&gt;=in_marketplace_from,d_hz_loan_home*G680,0)*BZ680*in_loan_home_ticket*in_loan_home_comm</f>
        <v/>
      </c>
      <c r="CB680" s="40">
        <f>CB679*(1-IF(B679&gt;=in_marketplace_from,d_hz_loan_lap*G679,0)*CC679)</f>
        <v/>
      </c>
      <c r="CC680" s="11">
        <f>MIN(in_approval_cap,in_loan_lap_approval*INDEX('Age profile'!$O$2:$O$61,B680)*(1+in_approval_growth)^(D680-1))</f>
        <v/>
      </c>
      <c r="CD680" s="14">
        <f>F680*CB680*IF(B680&gt;=in_marketplace_from,d_hz_loan_lap*G680,0)*CC680*in_loan_lap_ticket*in_loan_lap_comm</f>
        <v/>
      </c>
      <c r="CE680" s="14">
        <f>AA680+AB680+AC680+AD680+AG680+AJ680+AM680+AP680+AS680+AU680+AX680+BB680+BE680+BG680+BJ680+BL680+BO680+BR680+BT680+BV680+BX680+CA680+CD680</f>
        <v/>
      </c>
    </row>
    <row r="681">
      <c r="A681" s="39" t="n">
        <v>13</v>
      </c>
      <c r="B681" s="39" t="n">
        <v>26</v>
      </c>
      <c r="C681" s="39">
        <f>A681+B681-1</f>
        <v/>
      </c>
      <c r="D681" s="39">
        <f>INT((C681-1)/12)+1</f>
        <v/>
      </c>
      <c r="E681" s="44">
        <f>INDEX(Monthly!$B$2:$B$61,A681)</f>
        <v/>
      </c>
      <c r="F681" s="44">
        <f>E681*INDEX('Age profile'!$B$2:$B$61,B681)</f>
        <v/>
      </c>
      <c r="G681" s="45">
        <f>MIN(in_takeup_cap,INDEX('Age profile'!$N$2:$N$61,B681)*(1+in_takeup_growth)^(D681-1))</f>
        <v/>
      </c>
      <c r="H681" s="11">
        <f>MIN(in_approval_cap,in_approved_first*INDEX('Age profile'!$O$2:$O$61,B681)*(1+in_approval_growth)^(D681-1))</f>
        <v/>
      </c>
      <c r="I681" s="45">
        <f>G681*MIN(in_takeup_cap,INDEX('Age profile'!$O$2:$O$61,B681)*(1+in_approval_growth)^(D681-1))</f>
        <v/>
      </c>
      <c r="J681" s="40">
        <f>(J680-L680)*F681/F680</f>
        <v/>
      </c>
      <c r="K681" s="40">
        <f>(K680-M680)*F681/F680+SUMIFS(O656:O680,B656:B680,B681-1-d_T)*F681</f>
        <v/>
      </c>
      <c r="L681" s="40">
        <f>IF(B681&gt;=in_marketplace_from,J681*d_hz*G681*in_eligible*H681,0)</f>
        <v/>
      </c>
      <c r="M681" s="40">
        <f>IF(B681&gt;=in_marketplace_from,K681*d_hz*G681*in_eligible*in_approved_repeat,0)</f>
        <v/>
      </c>
      <c r="N681" s="40">
        <f>L681+M681</f>
        <v/>
      </c>
      <c r="O681" s="46">
        <f>N681/F681</f>
        <v/>
      </c>
      <c r="P681" s="40">
        <f>F681-J681-K681</f>
        <v/>
      </c>
      <c r="Q681" s="40">
        <f>IF(B681&gt;=in_marketplace_from,(J681+K681)*d_hz*G681,0)</f>
        <v/>
      </c>
      <c r="R681" s="40">
        <f>SUMIFS(N656:N703,B656:B703,"&gt;="&amp;(B681-d_T),B656:B703,"&lt;="&amp;(B681-1))</f>
        <v/>
      </c>
      <c r="S681" s="46">
        <f>(1-d_u)*S680+IF(d_T&gt;in_topup_lag,SUMIFS(O656:O703,B656:B703,B681-in_topup_lag)-d_udrop*SUMIFS(O656:O703,B656:B703,B681-d_T),0)</f>
        <v/>
      </c>
      <c r="T681" s="40">
        <f>F681*d_u*S681</f>
        <v/>
      </c>
      <c r="U681" s="9">
        <f>L681*in_ticket+M681*d_rep_ticket</f>
        <v/>
      </c>
      <c r="V681" s="9">
        <f>U681+T681*d_topup_amt</f>
        <v/>
      </c>
      <c r="W681" s="40">
        <f>N681+T681*d_topup_ratio</f>
        <v/>
      </c>
      <c r="X681" s="40">
        <f>SUMIFS(W656:W703,B656:B703,B681-in_dpd_lag)*d_cured</f>
        <v/>
      </c>
      <c r="Y681" s="40">
        <f>SUMIFS(W656:W703,B656:B703,B681-in_rec_lag)*d_recd</f>
        <v/>
      </c>
      <c r="Z681" s="40">
        <f>IF(AND(B681&gt;=in_marketplace_from,B681&lt;in_marketplace_from+in_card_months),in_card_share/in_card_months*F681*I681,IF(AND(B681&gt;=in_marketplace_from+in_card_months,B681&lt;in_marketplace_from+2*in_card_months),in_card_share*d_card_rem/in_card_months*F681*MIN(in_takeup_cap,(1+in_takeup_growth)^(D681-1))*MIN(in_takeup_cap,(1+in_approval_growth)^(D681-1)),0))</f>
        <v/>
      </c>
      <c r="AA681" s="14">
        <f>V681*in_fee*(1-in_taken_back)</f>
        <v/>
      </c>
      <c r="AB681" s="14">
        <f>SUMIFS(W656:W703,B656:B703,B681-in_dpd_lag)*d_dpd</f>
        <v/>
      </c>
      <c r="AC681" s="14">
        <f>SUMIFS(W656:W703,B656:B703,B681-in_rec_lag)*d_rec</f>
        <v/>
      </c>
      <c r="AD681" s="14">
        <f>Z681*in_card_fee</f>
        <v/>
      </c>
      <c r="AE681" s="40">
        <f>AE680*(1-IF(B680&gt;=in_marketplace_from,d_hz_hlth_small*G680,0))</f>
        <v/>
      </c>
      <c r="AF681" s="46">
        <f>AE681*IF(B681&gt;=in_marketplace_from,d_hz_hlth_small*G681,0)</f>
        <v/>
      </c>
      <c r="AG681" s="14">
        <f>F681*AF681*in_hlth_small_ticket*in_hlth_small_comm*in_ins_partner_share+F681*in_hlth_small_ticket*in_hlth_small_renew_comm*in_ins_partner_share*(in_hlth_small_renew^1*SUMIFS(AF656:AF703,B656:B703,B681-12)+in_hlth_small_renew^2*SUMIFS(AF656:AF703,B656:B703,B681-24)+in_hlth_small_renew^3*SUMIFS(AF656:AF703,B656:B703,B681-36)+in_hlth_small_renew^4*SUMIFS(AF656:AF703,B656:B703,B681-48))</f>
        <v/>
      </c>
      <c r="AH681" s="40">
        <f>AH680*(1-IF(B680&gt;=in_marketplace_from,d_hz_hlth_family*G680,0))</f>
        <v/>
      </c>
      <c r="AI681" s="46">
        <f>AH681*IF(B681&gt;=in_marketplace_from,d_hz_hlth_family*G681,0)</f>
        <v/>
      </c>
      <c r="AJ681" s="14">
        <f>F681*AI681*in_hlth_family_ticket*in_hlth_family_comm*in_ins_partner_share+F681*in_hlth_family_ticket*in_hlth_family_renew_comm*in_ins_partner_share*(in_hlth_family_renew^1*SUMIFS(AI656:AI703,B656:B703,B681-12)+in_hlth_family_renew^2*SUMIFS(AI656:AI703,B656:B703,B681-24)+in_hlth_family_renew^3*SUMIFS(AI656:AI703,B656:B703,B681-36)+in_hlth_family_renew^4*SUMIFS(AI656:AI703,B656:B703,B681-48))</f>
        <v/>
      </c>
      <c r="AK681" s="40">
        <f>AK680*(1-IF(B680&gt;=in_marketplace_from,d_hz_life_term*G680,0))</f>
        <v/>
      </c>
      <c r="AL681" s="46">
        <f>AK681*IF(B681&gt;=in_marketplace_from,d_hz_life_term*G681,0)</f>
        <v/>
      </c>
      <c r="AM681" s="14">
        <f>F681*AL681*in_life_term_ticket*in_life_term_comm*in_ins_partner_share+F681*in_life_term_ticket*in_life_term_renew_comm*in_ins_partner_share*(in_life_term_renew^1*SUMIFS(AL656:AL703,B656:B703,B681-12)+in_life_term_renew^2*SUMIFS(AL656:AL703,B656:B703,B681-24)+in_life_term_renew^3*SUMIFS(AL656:AL703,B656:B703,B681-36)+in_life_term_renew^4*SUMIFS(AL656:AL703,B656:B703,B681-48))</f>
        <v/>
      </c>
      <c r="AN681" s="40">
        <f>AN680*(1-IF(B680&gt;=in_marketplace_from,d_hz_accident*G680,0))</f>
        <v/>
      </c>
      <c r="AO681" s="46">
        <f>AN681*IF(B681&gt;=in_marketplace_from,d_hz_accident*G681,0)</f>
        <v/>
      </c>
      <c r="AP681" s="14">
        <f>F681*AO681*in_accident_ticket*in_accident_comm*in_ins_partner_share+F681*in_accident_ticket*in_accident_renew_comm*in_ins_partner_share*(in_accident_renew^1*SUMIFS(AO656:AO703,B656:B703,B681-12)+in_accident_renew^2*SUMIFS(AO656:AO703,B656:B703,B681-24)+in_accident_renew^3*SUMIFS(AO656:AO703,B656:B703,B681-36)+in_accident_renew^4*SUMIFS(AO656:AO703,B656:B703,B681-48))</f>
        <v/>
      </c>
      <c r="AQ681" s="40">
        <f>AQ680*(1-IF(B680&gt;=in_marketplace_from,d_hz_two_wheeler*G680,0))</f>
        <v/>
      </c>
      <c r="AR681" s="46">
        <f>AQ681*IF(B681&gt;=in_marketplace_from,d_hz_two_wheeler*G681,0)</f>
        <v/>
      </c>
      <c r="AS681" s="14">
        <f>F681*AR681*in_two_wheeler_ticket*in_two_wheeler_comm*in_ins_partner_share+F681*in_two_wheeler_ticket*in_two_wheeler_comm*in_ins_partner_share*(in_two_wheeler_renew^1*SUMIFS(AR656:AR703,B656:B703,B681-12)+in_two_wheeler_renew^2*SUMIFS(AR656:AR703,B656:B703,B681-24)+in_two_wheeler_renew^3*SUMIFS(AR656:AR703,B656:B703,B681-36)+in_two_wheeler_renew^4*SUMIFS(AR656:AR703,B656:B703,B681-48))</f>
        <v/>
      </c>
      <c r="AT681" s="40">
        <f>AT680*(1-IF(B680&gt;=in_marketplace_from,d_hz_device*G680,0))</f>
        <v/>
      </c>
      <c r="AU681" s="14">
        <f>F681*AT681*IF(B681&gt;=in_marketplace_from,d_hz_device*G681,0)*in_device_ticket*in_device_comm*in_ins_partner_share</f>
        <v/>
      </c>
      <c r="AV681" s="40">
        <f>AV680*(1-IF(B680&gt;=in_marketplace_from,d_hz_shop*G680,0))</f>
        <v/>
      </c>
      <c r="AW681" s="46">
        <f>AV681*IF(B681&gt;=in_marketplace_from,d_hz_shop*G681,0)</f>
        <v/>
      </c>
      <c r="AX681" s="14">
        <f>F681*AW681*in_shop_ticket*in_shop_comm*in_ins_partner_share+F681*in_shop_ticket*in_shop_renew_comm*in_ins_partner_share*(in_shop_renew^1*SUMIFS(AW656:AW703,B656:B703,B681-12)+in_shop_renew^2*SUMIFS(AW656:AW703,B656:B703,B681-24)+in_shop_renew^3*SUMIFS(AW656:AW703,B656:B703,B681-36)+in_shop_renew^4*SUMIFS(AW656:AW703,B656:B703,B681-48))</f>
        <v/>
      </c>
      <c r="AY681" s="40">
        <f>AY680*(1-IF(B680&gt;=in_marketplace_from,d_hz_sip*G680,0))</f>
        <v/>
      </c>
      <c r="AZ681" s="40">
        <f>AZ680*d_rho_sip+AY681*IF(B681&gt;=in_marketplace_from,d_hz_sip*G681,0)</f>
        <v/>
      </c>
      <c r="BA681" s="40">
        <f>d_rho_sip*(BA680+AZ680)</f>
        <v/>
      </c>
      <c r="BB681" s="14">
        <f>F681*in_sip_ticket*(BA681+0.5*AZ681)*in_sip_comm/12</f>
        <v/>
      </c>
      <c r="BC681" s="40">
        <f>BC680*(1-IF(B680&gt;=in_marketplace_from,d_hz_choti*G680,0))</f>
        <v/>
      </c>
      <c r="BD681" s="46">
        <f>BC681*IF(B681&gt;=in_marketplace_from,d_hz_choti*G681,0)</f>
        <v/>
      </c>
      <c r="BE681" s="14">
        <f>F681*SUMIFS(BD656:BD703,B656:B703,B681-in_choti_months)*in_choti_renew*in_choti_ticket</f>
        <v/>
      </c>
      <c r="BF681" s="40">
        <f>BF680*(1-IF(B680&gt;=in_marketplace_from,d_hz_nps*G680,0))</f>
        <v/>
      </c>
      <c r="BG681" s="14">
        <f>F681*BF681*IF(B681&gt;=in_marketplace_from,d_hz_nps*G681,0)*in_nps_ticket*in_nps_comm</f>
        <v/>
      </c>
      <c r="BH681" s="40">
        <f>BH680*(1-IF(B680&gt;=in_marketplace_from,d_hz_gold*G680,0))</f>
        <v/>
      </c>
      <c r="BI681" s="40">
        <f>BI680*d_rho_gold+BH681*IF(B681&gt;=in_marketplace_from,d_hz_gold*G681,0)</f>
        <v/>
      </c>
      <c r="BJ681" s="14">
        <f>F681*BI681*in_gold_ticket*in_gold_comm</f>
        <v/>
      </c>
      <c r="BK681" s="40">
        <f>BK680*(1-IF(B680&gt;=in_marketplace_from,d_hz_fd*G680,0))</f>
        <v/>
      </c>
      <c r="BL681" s="14">
        <f>F681*BK681*IF(B681&gt;=in_marketplace_from,d_hz_fd*G681,0)*in_fd_ticket*in_fd_comm</f>
        <v/>
      </c>
      <c r="BM681" s="40">
        <f>BM680*(1-IF(B680&gt;=in_marketplace_from,d_hz_recharge*G680,0))</f>
        <v/>
      </c>
      <c r="BN681" s="40">
        <f>BN680*d_rho_recharge+BM681*IF(B681&gt;=in_marketplace_from,d_hz_recharge*G681,0)</f>
        <v/>
      </c>
      <c r="BO681" s="14">
        <f>F681*BN681*in_recharge_ticket*in_recharge_comm/12</f>
        <v/>
      </c>
      <c r="BP681" s="40">
        <f>BP680*(1-IF(B680&gt;=in_marketplace_from,d_hz_bills*G680,0))</f>
        <v/>
      </c>
      <c r="BQ681" s="40">
        <f>BQ680*d_rho_bills+BP681*IF(B681&gt;=in_marketplace_from,d_hz_bills*G681,0)</f>
        <v/>
      </c>
      <c r="BR681" s="14">
        <f>F681*BQ681*in_bills_ticket*in_bills_comm/12</f>
        <v/>
      </c>
      <c r="BS681" s="40">
        <f>BS680*(1-IF(B680&gt;=in_marketplace_from,d_hz_loan_gold*G680,0))</f>
        <v/>
      </c>
      <c r="BT681" s="14">
        <f>F681*BS681*IF(B681&gt;=in_marketplace_from,d_hz_loan_gold*G681,0)*in_loan_gold_ticket*in_loan_gold_comm</f>
        <v/>
      </c>
      <c r="BU681" s="40">
        <f>BU680*(1-IF(B680&gt;=in_marketplace_from,d_hz_loan_cd*G680,0))</f>
        <v/>
      </c>
      <c r="BV681" s="14">
        <f>F681*BU681*IF(B681&gt;=in_marketplace_from,d_hz_loan_cd*G681,0)*in_loan_cd_ticket*in_loan_cd_comm</f>
        <v/>
      </c>
      <c r="BW681" s="40">
        <f>BW680*(1-IF(B680&gt;=in_marketplace_from,d_hz_loan_vehicle*G680,0))</f>
        <v/>
      </c>
      <c r="BX681" s="14">
        <f>F681*BW681*IF(B681&gt;=in_marketplace_from,d_hz_loan_vehicle*G681,0)*in_loan_vehicle_ticket*in_loan_vehicle_comm</f>
        <v/>
      </c>
      <c r="BY681" s="40">
        <f>BY680*(1-IF(B680&gt;=in_marketplace_from,d_hz_loan_home*G680,0)*BZ680)</f>
        <v/>
      </c>
      <c r="BZ681" s="11">
        <f>MIN(in_approval_cap,in_loan_home_approval*INDEX('Age profile'!$O$2:$O$61,B681)*(1+in_approval_growth)^(D681-1))</f>
        <v/>
      </c>
      <c r="CA681" s="14">
        <f>F681*BY681*IF(B681&gt;=in_marketplace_from,d_hz_loan_home*G681,0)*BZ681*in_loan_home_ticket*in_loan_home_comm</f>
        <v/>
      </c>
      <c r="CB681" s="40">
        <f>CB680*(1-IF(B680&gt;=in_marketplace_from,d_hz_loan_lap*G680,0)*CC680)</f>
        <v/>
      </c>
      <c r="CC681" s="11">
        <f>MIN(in_approval_cap,in_loan_lap_approval*INDEX('Age profile'!$O$2:$O$61,B681)*(1+in_approval_growth)^(D681-1))</f>
        <v/>
      </c>
      <c r="CD681" s="14">
        <f>F681*CB681*IF(B681&gt;=in_marketplace_from,d_hz_loan_lap*G681,0)*CC681*in_loan_lap_ticket*in_loan_lap_comm</f>
        <v/>
      </c>
      <c r="CE681" s="14">
        <f>AA681+AB681+AC681+AD681+AG681+AJ681+AM681+AP681+AS681+AU681+AX681+BB681+BE681+BG681+BJ681+BL681+BO681+BR681+BT681+BV681+BX681+CA681+CD681</f>
        <v/>
      </c>
    </row>
    <row r="682">
      <c r="A682" s="39" t="n">
        <v>13</v>
      </c>
      <c r="B682" s="39" t="n">
        <v>27</v>
      </c>
      <c r="C682" s="39">
        <f>A682+B682-1</f>
        <v/>
      </c>
      <c r="D682" s="39">
        <f>INT((C682-1)/12)+1</f>
        <v/>
      </c>
      <c r="E682" s="44">
        <f>INDEX(Monthly!$B$2:$B$61,A682)</f>
        <v/>
      </c>
      <c r="F682" s="44">
        <f>E682*INDEX('Age profile'!$B$2:$B$61,B682)</f>
        <v/>
      </c>
      <c r="G682" s="45">
        <f>MIN(in_takeup_cap,INDEX('Age profile'!$N$2:$N$61,B682)*(1+in_takeup_growth)^(D682-1))</f>
        <v/>
      </c>
      <c r="H682" s="11">
        <f>MIN(in_approval_cap,in_approved_first*INDEX('Age profile'!$O$2:$O$61,B682)*(1+in_approval_growth)^(D682-1))</f>
        <v/>
      </c>
      <c r="I682" s="45">
        <f>G682*MIN(in_takeup_cap,INDEX('Age profile'!$O$2:$O$61,B682)*(1+in_approval_growth)^(D682-1))</f>
        <v/>
      </c>
      <c r="J682" s="40">
        <f>(J681-L681)*F682/F681</f>
        <v/>
      </c>
      <c r="K682" s="40">
        <f>(K681-M681)*F682/F681+SUMIFS(O656:O681,B656:B681,B682-1-d_T)*F682</f>
        <v/>
      </c>
      <c r="L682" s="40">
        <f>IF(B682&gt;=in_marketplace_from,J682*d_hz*G682*in_eligible*H682,0)</f>
        <v/>
      </c>
      <c r="M682" s="40">
        <f>IF(B682&gt;=in_marketplace_from,K682*d_hz*G682*in_eligible*in_approved_repeat,0)</f>
        <v/>
      </c>
      <c r="N682" s="40">
        <f>L682+M682</f>
        <v/>
      </c>
      <c r="O682" s="46">
        <f>N682/F682</f>
        <v/>
      </c>
      <c r="P682" s="40">
        <f>F682-J682-K682</f>
        <v/>
      </c>
      <c r="Q682" s="40">
        <f>IF(B682&gt;=in_marketplace_from,(J682+K682)*d_hz*G682,0)</f>
        <v/>
      </c>
      <c r="R682" s="40">
        <f>SUMIFS(N656:N703,B656:B703,"&gt;="&amp;(B682-d_T),B656:B703,"&lt;="&amp;(B682-1))</f>
        <v/>
      </c>
      <c r="S682" s="46">
        <f>(1-d_u)*S681+IF(d_T&gt;in_topup_lag,SUMIFS(O656:O703,B656:B703,B682-in_topup_lag)-d_udrop*SUMIFS(O656:O703,B656:B703,B682-d_T),0)</f>
        <v/>
      </c>
      <c r="T682" s="40">
        <f>F682*d_u*S682</f>
        <v/>
      </c>
      <c r="U682" s="9">
        <f>L682*in_ticket+M682*d_rep_ticket</f>
        <v/>
      </c>
      <c r="V682" s="9">
        <f>U682+T682*d_topup_amt</f>
        <v/>
      </c>
      <c r="W682" s="40">
        <f>N682+T682*d_topup_ratio</f>
        <v/>
      </c>
      <c r="X682" s="40">
        <f>SUMIFS(W656:W703,B656:B703,B682-in_dpd_lag)*d_cured</f>
        <v/>
      </c>
      <c r="Y682" s="40">
        <f>SUMIFS(W656:W703,B656:B703,B682-in_rec_lag)*d_recd</f>
        <v/>
      </c>
      <c r="Z682" s="40">
        <f>IF(AND(B682&gt;=in_marketplace_from,B682&lt;in_marketplace_from+in_card_months),in_card_share/in_card_months*F682*I682,IF(AND(B682&gt;=in_marketplace_from+in_card_months,B682&lt;in_marketplace_from+2*in_card_months),in_card_share*d_card_rem/in_card_months*F682*MIN(in_takeup_cap,(1+in_takeup_growth)^(D682-1))*MIN(in_takeup_cap,(1+in_approval_growth)^(D682-1)),0))</f>
        <v/>
      </c>
      <c r="AA682" s="14">
        <f>V682*in_fee*(1-in_taken_back)</f>
        <v/>
      </c>
      <c r="AB682" s="14">
        <f>SUMIFS(W656:W703,B656:B703,B682-in_dpd_lag)*d_dpd</f>
        <v/>
      </c>
      <c r="AC682" s="14">
        <f>SUMIFS(W656:W703,B656:B703,B682-in_rec_lag)*d_rec</f>
        <v/>
      </c>
      <c r="AD682" s="14">
        <f>Z682*in_card_fee</f>
        <v/>
      </c>
      <c r="AE682" s="40">
        <f>AE681*(1-IF(B681&gt;=in_marketplace_from,d_hz_hlth_small*G681,0))</f>
        <v/>
      </c>
      <c r="AF682" s="46">
        <f>AE682*IF(B682&gt;=in_marketplace_from,d_hz_hlth_small*G682,0)</f>
        <v/>
      </c>
      <c r="AG682" s="14">
        <f>F682*AF682*in_hlth_small_ticket*in_hlth_small_comm*in_ins_partner_share+F682*in_hlth_small_ticket*in_hlth_small_renew_comm*in_ins_partner_share*(in_hlth_small_renew^1*SUMIFS(AF656:AF703,B656:B703,B682-12)+in_hlth_small_renew^2*SUMIFS(AF656:AF703,B656:B703,B682-24)+in_hlth_small_renew^3*SUMIFS(AF656:AF703,B656:B703,B682-36)+in_hlth_small_renew^4*SUMIFS(AF656:AF703,B656:B703,B682-48))</f>
        <v/>
      </c>
      <c r="AH682" s="40">
        <f>AH681*(1-IF(B681&gt;=in_marketplace_from,d_hz_hlth_family*G681,0))</f>
        <v/>
      </c>
      <c r="AI682" s="46">
        <f>AH682*IF(B682&gt;=in_marketplace_from,d_hz_hlth_family*G682,0)</f>
        <v/>
      </c>
      <c r="AJ682" s="14">
        <f>F682*AI682*in_hlth_family_ticket*in_hlth_family_comm*in_ins_partner_share+F682*in_hlth_family_ticket*in_hlth_family_renew_comm*in_ins_partner_share*(in_hlth_family_renew^1*SUMIFS(AI656:AI703,B656:B703,B682-12)+in_hlth_family_renew^2*SUMIFS(AI656:AI703,B656:B703,B682-24)+in_hlth_family_renew^3*SUMIFS(AI656:AI703,B656:B703,B682-36)+in_hlth_family_renew^4*SUMIFS(AI656:AI703,B656:B703,B682-48))</f>
        <v/>
      </c>
      <c r="AK682" s="40">
        <f>AK681*(1-IF(B681&gt;=in_marketplace_from,d_hz_life_term*G681,0))</f>
        <v/>
      </c>
      <c r="AL682" s="46">
        <f>AK682*IF(B682&gt;=in_marketplace_from,d_hz_life_term*G682,0)</f>
        <v/>
      </c>
      <c r="AM682" s="14">
        <f>F682*AL682*in_life_term_ticket*in_life_term_comm*in_ins_partner_share+F682*in_life_term_ticket*in_life_term_renew_comm*in_ins_partner_share*(in_life_term_renew^1*SUMIFS(AL656:AL703,B656:B703,B682-12)+in_life_term_renew^2*SUMIFS(AL656:AL703,B656:B703,B682-24)+in_life_term_renew^3*SUMIFS(AL656:AL703,B656:B703,B682-36)+in_life_term_renew^4*SUMIFS(AL656:AL703,B656:B703,B682-48))</f>
        <v/>
      </c>
      <c r="AN682" s="40">
        <f>AN681*(1-IF(B681&gt;=in_marketplace_from,d_hz_accident*G681,0))</f>
        <v/>
      </c>
      <c r="AO682" s="46">
        <f>AN682*IF(B682&gt;=in_marketplace_from,d_hz_accident*G682,0)</f>
        <v/>
      </c>
      <c r="AP682" s="14">
        <f>F682*AO682*in_accident_ticket*in_accident_comm*in_ins_partner_share+F682*in_accident_ticket*in_accident_renew_comm*in_ins_partner_share*(in_accident_renew^1*SUMIFS(AO656:AO703,B656:B703,B682-12)+in_accident_renew^2*SUMIFS(AO656:AO703,B656:B703,B682-24)+in_accident_renew^3*SUMIFS(AO656:AO703,B656:B703,B682-36)+in_accident_renew^4*SUMIFS(AO656:AO703,B656:B703,B682-48))</f>
        <v/>
      </c>
      <c r="AQ682" s="40">
        <f>AQ681*(1-IF(B681&gt;=in_marketplace_from,d_hz_two_wheeler*G681,0))</f>
        <v/>
      </c>
      <c r="AR682" s="46">
        <f>AQ682*IF(B682&gt;=in_marketplace_from,d_hz_two_wheeler*G682,0)</f>
        <v/>
      </c>
      <c r="AS682" s="14">
        <f>F682*AR682*in_two_wheeler_ticket*in_two_wheeler_comm*in_ins_partner_share+F682*in_two_wheeler_ticket*in_two_wheeler_comm*in_ins_partner_share*(in_two_wheeler_renew^1*SUMIFS(AR656:AR703,B656:B703,B682-12)+in_two_wheeler_renew^2*SUMIFS(AR656:AR703,B656:B703,B682-24)+in_two_wheeler_renew^3*SUMIFS(AR656:AR703,B656:B703,B682-36)+in_two_wheeler_renew^4*SUMIFS(AR656:AR703,B656:B703,B682-48))</f>
        <v/>
      </c>
      <c r="AT682" s="40">
        <f>AT681*(1-IF(B681&gt;=in_marketplace_from,d_hz_device*G681,0))</f>
        <v/>
      </c>
      <c r="AU682" s="14">
        <f>F682*AT682*IF(B682&gt;=in_marketplace_from,d_hz_device*G682,0)*in_device_ticket*in_device_comm*in_ins_partner_share</f>
        <v/>
      </c>
      <c r="AV682" s="40">
        <f>AV681*(1-IF(B681&gt;=in_marketplace_from,d_hz_shop*G681,0))</f>
        <v/>
      </c>
      <c r="AW682" s="46">
        <f>AV682*IF(B682&gt;=in_marketplace_from,d_hz_shop*G682,0)</f>
        <v/>
      </c>
      <c r="AX682" s="14">
        <f>F682*AW682*in_shop_ticket*in_shop_comm*in_ins_partner_share+F682*in_shop_ticket*in_shop_renew_comm*in_ins_partner_share*(in_shop_renew^1*SUMIFS(AW656:AW703,B656:B703,B682-12)+in_shop_renew^2*SUMIFS(AW656:AW703,B656:B703,B682-24)+in_shop_renew^3*SUMIFS(AW656:AW703,B656:B703,B682-36)+in_shop_renew^4*SUMIFS(AW656:AW703,B656:B703,B682-48))</f>
        <v/>
      </c>
      <c r="AY682" s="40">
        <f>AY681*(1-IF(B681&gt;=in_marketplace_from,d_hz_sip*G681,0))</f>
        <v/>
      </c>
      <c r="AZ682" s="40">
        <f>AZ681*d_rho_sip+AY682*IF(B682&gt;=in_marketplace_from,d_hz_sip*G682,0)</f>
        <v/>
      </c>
      <c r="BA682" s="40">
        <f>d_rho_sip*(BA681+AZ681)</f>
        <v/>
      </c>
      <c r="BB682" s="14">
        <f>F682*in_sip_ticket*(BA682+0.5*AZ682)*in_sip_comm/12</f>
        <v/>
      </c>
      <c r="BC682" s="40">
        <f>BC681*(1-IF(B681&gt;=in_marketplace_from,d_hz_choti*G681,0))</f>
        <v/>
      </c>
      <c r="BD682" s="46">
        <f>BC682*IF(B682&gt;=in_marketplace_from,d_hz_choti*G682,0)</f>
        <v/>
      </c>
      <c r="BE682" s="14">
        <f>F682*SUMIFS(BD656:BD703,B656:B703,B682-in_choti_months)*in_choti_renew*in_choti_ticket</f>
        <v/>
      </c>
      <c r="BF682" s="40">
        <f>BF681*(1-IF(B681&gt;=in_marketplace_from,d_hz_nps*G681,0))</f>
        <v/>
      </c>
      <c r="BG682" s="14">
        <f>F682*BF682*IF(B682&gt;=in_marketplace_from,d_hz_nps*G682,0)*in_nps_ticket*in_nps_comm</f>
        <v/>
      </c>
      <c r="BH682" s="40">
        <f>BH681*(1-IF(B681&gt;=in_marketplace_from,d_hz_gold*G681,0))</f>
        <v/>
      </c>
      <c r="BI682" s="40">
        <f>BI681*d_rho_gold+BH682*IF(B682&gt;=in_marketplace_from,d_hz_gold*G682,0)</f>
        <v/>
      </c>
      <c r="BJ682" s="14">
        <f>F682*BI682*in_gold_ticket*in_gold_comm</f>
        <v/>
      </c>
      <c r="BK682" s="40">
        <f>BK681*(1-IF(B681&gt;=in_marketplace_from,d_hz_fd*G681,0))</f>
        <v/>
      </c>
      <c r="BL682" s="14">
        <f>F682*BK682*IF(B682&gt;=in_marketplace_from,d_hz_fd*G682,0)*in_fd_ticket*in_fd_comm</f>
        <v/>
      </c>
      <c r="BM682" s="40">
        <f>BM681*(1-IF(B681&gt;=in_marketplace_from,d_hz_recharge*G681,0))</f>
        <v/>
      </c>
      <c r="BN682" s="40">
        <f>BN681*d_rho_recharge+BM682*IF(B682&gt;=in_marketplace_from,d_hz_recharge*G682,0)</f>
        <v/>
      </c>
      <c r="BO682" s="14">
        <f>F682*BN682*in_recharge_ticket*in_recharge_comm/12</f>
        <v/>
      </c>
      <c r="BP682" s="40">
        <f>BP681*(1-IF(B681&gt;=in_marketplace_from,d_hz_bills*G681,0))</f>
        <v/>
      </c>
      <c r="BQ682" s="40">
        <f>BQ681*d_rho_bills+BP682*IF(B682&gt;=in_marketplace_from,d_hz_bills*G682,0)</f>
        <v/>
      </c>
      <c r="BR682" s="14">
        <f>F682*BQ682*in_bills_ticket*in_bills_comm/12</f>
        <v/>
      </c>
      <c r="BS682" s="40">
        <f>BS681*(1-IF(B681&gt;=in_marketplace_from,d_hz_loan_gold*G681,0))</f>
        <v/>
      </c>
      <c r="BT682" s="14">
        <f>F682*BS682*IF(B682&gt;=in_marketplace_from,d_hz_loan_gold*G682,0)*in_loan_gold_ticket*in_loan_gold_comm</f>
        <v/>
      </c>
      <c r="BU682" s="40">
        <f>BU681*(1-IF(B681&gt;=in_marketplace_from,d_hz_loan_cd*G681,0))</f>
        <v/>
      </c>
      <c r="BV682" s="14">
        <f>F682*BU682*IF(B682&gt;=in_marketplace_from,d_hz_loan_cd*G682,0)*in_loan_cd_ticket*in_loan_cd_comm</f>
        <v/>
      </c>
      <c r="BW682" s="40">
        <f>BW681*(1-IF(B681&gt;=in_marketplace_from,d_hz_loan_vehicle*G681,0))</f>
        <v/>
      </c>
      <c r="BX682" s="14">
        <f>F682*BW682*IF(B682&gt;=in_marketplace_from,d_hz_loan_vehicle*G682,0)*in_loan_vehicle_ticket*in_loan_vehicle_comm</f>
        <v/>
      </c>
      <c r="BY682" s="40">
        <f>BY681*(1-IF(B681&gt;=in_marketplace_from,d_hz_loan_home*G681,0)*BZ681)</f>
        <v/>
      </c>
      <c r="BZ682" s="11">
        <f>MIN(in_approval_cap,in_loan_home_approval*INDEX('Age profile'!$O$2:$O$61,B682)*(1+in_approval_growth)^(D682-1))</f>
        <v/>
      </c>
      <c r="CA682" s="14">
        <f>F682*BY682*IF(B682&gt;=in_marketplace_from,d_hz_loan_home*G682,0)*BZ682*in_loan_home_ticket*in_loan_home_comm</f>
        <v/>
      </c>
      <c r="CB682" s="40">
        <f>CB681*(1-IF(B681&gt;=in_marketplace_from,d_hz_loan_lap*G681,0)*CC681)</f>
        <v/>
      </c>
      <c r="CC682" s="11">
        <f>MIN(in_approval_cap,in_loan_lap_approval*INDEX('Age profile'!$O$2:$O$61,B682)*(1+in_approval_growth)^(D682-1))</f>
        <v/>
      </c>
      <c r="CD682" s="14">
        <f>F682*CB682*IF(B682&gt;=in_marketplace_from,d_hz_loan_lap*G682,0)*CC682*in_loan_lap_ticket*in_loan_lap_comm</f>
        <v/>
      </c>
      <c r="CE682" s="14">
        <f>AA682+AB682+AC682+AD682+AG682+AJ682+AM682+AP682+AS682+AU682+AX682+BB682+BE682+BG682+BJ682+BL682+BO682+BR682+BT682+BV682+BX682+CA682+CD682</f>
        <v/>
      </c>
    </row>
    <row r="683">
      <c r="A683" s="39" t="n">
        <v>13</v>
      </c>
      <c r="B683" s="39" t="n">
        <v>28</v>
      </c>
      <c r="C683" s="39">
        <f>A683+B683-1</f>
        <v/>
      </c>
      <c r="D683" s="39">
        <f>INT((C683-1)/12)+1</f>
        <v/>
      </c>
      <c r="E683" s="44">
        <f>INDEX(Monthly!$B$2:$B$61,A683)</f>
        <v/>
      </c>
      <c r="F683" s="44">
        <f>E683*INDEX('Age profile'!$B$2:$B$61,B683)</f>
        <v/>
      </c>
      <c r="G683" s="45">
        <f>MIN(in_takeup_cap,INDEX('Age profile'!$N$2:$N$61,B683)*(1+in_takeup_growth)^(D683-1))</f>
        <v/>
      </c>
      <c r="H683" s="11">
        <f>MIN(in_approval_cap,in_approved_first*INDEX('Age profile'!$O$2:$O$61,B683)*(1+in_approval_growth)^(D683-1))</f>
        <v/>
      </c>
      <c r="I683" s="45">
        <f>G683*MIN(in_takeup_cap,INDEX('Age profile'!$O$2:$O$61,B683)*(1+in_approval_growth)^(D683-1))</f>
        <v/>
      </c>
      <c r="J683" s="40">
        <f>(J682-L682)*F683/F682</f>
        <v/>
      </c>
      <c r="K683" s="40">
        <f>(K682-M682)*F683/F682+SUMIFS(O656:O682,B656:B682,B683-1-d_T)*F683</f>
        <v/>
      </c>
      <c r="L683" s="40">
        <f>IF(B683&gt;=in_marketplace_from,J683*d_hz*G683*in_eligible*H683,0)</f>
        <v/>
      </c>
      <c r="M683" s="40">
        <f>IF(B683&gt;=in_marketplace_from,K683*d_hz*G683*in_eligible*in_approved_repeat,0)</f>
        <v/>
      </c>
      <c r="N683" s="40">
        <f>L683+M683</f>
        <v/>
      </c>
      <c r="O683" s="46">
        <f>N683/F683</f>
        <v/>
      </c>
      <c r="P683" s="40">
        <f>F683-J683-K683</f>
        <v/>
      </c>
      <c r="Q683" s="40">
        <f>IF(B683&gt;=in_marketplace_from,(J683+K683)*d_hz*G683,0)</f>
        <v/>
      </c>
      <c r="R683" s="40">
        <f>SUMIFS(N656:N703,B656:B703,"&gt;="&amp;(B683-d_T),B656:B703,"&lt;="&amp;(B683-1))</f>
        <v/>
      </c>
      <c r="S683" s="46">
        <f>(1-d_u)*S682+IF(d_T&gt;in_topup_lag,SUMIFS(O656:O703,B656:B703,B683-in_topup_lag)-d_udrop*SUMIFS(O656:O703,B656:B703,B683-d_T),0)</f>
        <v/>
      </c>
      <c r="T683" s="40">
        <f>F683*d_u*S683</f>
        <v/>
      </c>
      <c r="U683" s="9">
        <f>L683*in_ticket+M683*d_rep_ticket</f>
        <v/>
      </c>
      <c r="V683" s="9">
        <f>U683+T683*d_topup_amt</f>
        <v/>
      </c>
      <c r="W683" s="40">
        <f>N683+T683*d_topup_ratio</f>
        <v/>
      </c>
      <c r="X683" s="40">
        <f>SUMIFS(W656:W703,B656:B703,B683-in_dpd_lag)*d_cured</f>
        <v/>
      </c>
      <c r="Y683" s="40">
        <f>SUMIFS(W656:W703,B656:B703,B683-in_rec_lag)*d_recd</f>
        <v/>
      </c>
      <c r="Z683" s="40">
        <f>IF(AND(B683&gt;=in_marketplace_from,B683&lt;in_marketplace_from+in_card_months),in_card_share/in_card_months*F683*I683,IF(AND(B683&gt;=in_marketplace_from+in_card_months,B683&lt;in_marketplace_from+2*in_card_months),in_card_share*d_card_rem/in_card_months*F683*MIN(in_takeup_cap,(1+in_takeup_growth)^(D683-1))*MIN(in_takeup_cap,(1+in_approval_growth)^(D683-1)),0))</f>
        <v/>
      </c>
      <c r="AA683" s="14">
        <f>V683*in_fee*(1-in_taken_back)</f>
        <v/>
      </c>
      <c r="AB683" s="14">
        <f>SUMIFS(W656:W703,B656:B703,B683-in_dpd_lag)*d_dpd</f>
        <v/>
      </c>
      <c r="AC683" s="14">
        <f>SUMIFS(W656:W703,B656:B703,B683-in_rec_lag)*d_rec</f>
        <v/>
      </c>
      <c r="AD683" s="14">
        <f>Z683*in_card_fee</f>
        <v/>
      </c>
      <c r="AE683" s="40">
        <f>AE682*(1-IF(B682&gt;=in_marketplace_from,d_hz_hlth_small*G682,0))</f>
        <v/>
      </c>
      <c r="AF683" s="46">
        <f>AE683*IF(B683&gt;=in_marketplace_from,d_hz_hlth_small*G683,0)</f>
        <v/>
      </c>
      <c r="AG683" s="14">
        <f>F683*AF683*in_hlth_small_ticket*in_hlth_small_comm*in_ins_partner_share+F683*in_hlth_small_ticket*in_hlth_small_renew_comm*in_ins_partner_share*(in_hlth_small_renew^1*SUMIFS(AF656:AF703,B656:B703,B683-12)+in_hlth_small_renew^2*SUMIFS(AF656:AF703,B656:B703,B683-24)+in_hlth_small_renew^3*SUMIFS(AF656:AF703,B656:B703,B683-36)+in_hlth_small_renew^4*SUMIFS(AF656:AF703,B656:B703,B683-48))</f>
        <v/>
      </c>
      <c r="AH683" s="40">
        <f>AH682*(1-IF(B682&gt;=in_marketplace_from,d_hz_hlth_family*G682,0))</f>
        <v/>
      </c>
      <c r="AI683" s="46">
        <f>AH683*IF(B683&gt;=in_marketplace_from,d_hz_hlth_family*G683,0)</f>
        <v/>
      </c>
      <c r="AJ683" s="14">
        <f>F683*AI683*in_hlth_family_ticket*in_hlth_family_comm*in_ins_partner_share+F683*in_hlth_family_ticket*in_hlth_family_renew_comm*in_ins_partner_share*(in_hlth_family_renew^1*SUMIFS(AI656:AI703,B656:B703,B683-12)+in_hlth_family_renew^2*SUMIFS(AI656:AI703,B656:B703,B683-24)+in_hlth_family_renew^3*SUMIFS(AI656:AI703,B656:B703,B683-36)+in_hlth_family_renew^4*SUMIFS(AI656:AI703,B656:B703,B683-48))</f>
        <v/>
      </c>
      <c r="AK683" s="40">
        <f>AK682*(1-IF(B682&gt;=in_marketplace_from,d_hz_life_term*G682,0))</f>
        <v/>
      </c>
      <c r="AL683" s="46">
        <f>AK683*IF(B683&gt;=in_marketplace_from,d_hz_life_term*G683,0)</f>
        <v/>
      </c>
      <c r="AM683" s="14">
        <f>F683*AL683*in_life_term_ticket*in_life_term_comm*in_ins_partner_share+F683*in_life_term_ticket*in_life_term_renew_comm*in_ins_partner_share*(in_life_term_renew^1*SUMIFS(AL656:AL703,B656:B703,B683-12)+in_life_term_renew^2*SUMIFS(AL656:AL703,B656:B703,B683-24)+in_life_term_renew^3*SUMIFS(AL656:AL703,B656:B703,B683-36)+in_life_term_renew^4*SUMIFS(AL656:AL703,B656:B703,B683-48))</f>
        <v/>
      </c>
      <c r="AN683" s="40">
        <f>AN682*(1-IF(B682&gt;=in_marketplace_from,d_hz_accident*G682,0))</f>
        <v/>
      </c>
      <c r="AO683" s="46">
        <f>AN683*IF(B683&gt;=in_marketplace_from,d_hz_accident*G683,0)</f>
        <v/>
      </c>
      <c r="AP683" s="14">
        <f>F683*AO683*in_accident_ticket*in_accident_comm*in_ins_partner_share+F683*in_accident_ticket*in_accident_renew_comm*in_ins_partner_share*(in_accident_renew^1*SUMIFS(AO656:AO703,B656:B703,B683-12)+in_accident_renew^2*SUMIFS(AO656:AO703,B656:B703,B683-24)+in_accident_renew^3*SUMIFS(AO656:AO703,B656:B703,B683-36)+in_accident_renew^4*SUMIFS(AO656:AO703,B656:B703,B683-48))</f>
        <v/>
      </c>
      <c r="AQ683" s="40">
        <f>AQ682*(1-IF(B682&gt;=in_marketplace_from,d_hz_two_wheeler*G682,0))</f>
        <v/>
      </c>
      <c r="AR683" s="46">
        <f>AQ683*IF(B683&gt;=in_marketplace_from,d_hz_two_wheeler*G683,0)</f>
        <v/>
      </c>
      <c r="AS683" s="14">
        <f>F683*AR683*in_two_wheeler_ticket*in_two_wheeler_comm*in_ins_partner_share+F683*in_two_wheeler_ticket*in_two_wheeler_comm*in_ins_partner_share*(in_two_wheeler_renew^1*SUMIFS(AR656:AR703,B656:B703,B683-12)+in_two_wheeler_renew^2*SUMIFS(AR656:AR703,B656:B703,B683-24)+in_two_wheeler_renew^3*SUMIFS(AR656:AR703,B656:B703,B683-36)+in_two_wheeler_renew^4*SUMIFS(AR656:AR703,B656:B703,B683-48))</f>
        <v/>
      </c>
      <c r="AT683" s="40">
        <f>AT682*(1-IF(B682&gt;=in_marketplace_from,d_hz_device*G682,0))</f>
        <v/>
      </c>
      <c r="AU683" s="14">
        <f>F683*AT683*IF(B683&gt;=in_marketplace_from,d_hz_device*G683,0)*in_device_ticket*in_device_comm*in_ins_partner_share</f>
        <v/>
      </c>
      <c r="AV683" s="40">
        <f>AV682*(1-IF(B682&gt;=in_marketplace_from,d_hz_shop*G682,0))</f>
        <v/>
      </c>
      <c r="AW683" s="46">
        <f>AV683*IF(B683&gt;=in_marketplace_from,d_hz_shop*G683,0)</f>
        <v/>
      </c>
      <c r="AX683" s="14">
        <f>F683*AW683*in_shop_ticket*in_shop_comm*in_ins_partner_share+F683*in_shop_ticket*in_shop_renew_comm*in_ins_partner_share*(in_shop_renew^1*SUMIFS(AW656:AW703,B656:B703,B683-12)+in_shop_renew^2*SUMIFS(AW656:AW703,B656:B703,B683-24)+in_shop_renew^3*SUMIFS(AW656:AW703,B656:B703,B683-36)+in_shop_renew^4*SUMIFS(AW656:AW703,B656:B703,B683-48))</f>
        <v/>
      </c>
      <c r="AY683" s="40">
        <f>AY682*(1-IF(B682&gt;=in_marketplace_from,d_hz_sip*G682,0))</f>
        <v/>
      </c>
      <c r="AZ683" s="40">
        <f>AZ682*d_rho_sip+AY683*IF(B683&gt;=in_marketplace_from,d_hz_sip*G683,0)</f>
        <v/>
      </c>
      <c r="BA683" s="40">
        <f>d_rho_sip*(BA682+AZ682)</f>
        <v/>
      </c>
      <c r="BB683" s="14">
        <f>F683*in_sip_ticket*(BA683+0.5*AZ683)*in_sip_comm/12</f>
        <v/>
      </c>
      <c r="BC683" s="40">
        <f>BC682*(1-IF(B682&gt;=in_marketplace_from,d_hz_choti*G682,0))</f>
        <v/>
      </c>
      <c r="BD683" s="46">
        <f>BC683*IF(B683&gt;=in_marketplace_from,d_hz_choti*G683,0)</f>
        <v/>
      </c>
      <c r="BE683" s="14">
        <f>F683*SUMIFS(BD656:BD703,B656:B703,B683-in_choti_months)*in_choti_renew*in_choti_ticket</f>
        <v/>
      </c>
      <c r="BF683" s="40">
        <f>BF682*(1-IF(B682&gt;=in_marketplace_from,d_hz_nps*G682,0))</f>
        <v/>
      </c>
      <c r="BG683" s="14">
        <f>F683*BF683*IF(B683&gt;=in_marketplace_from,d_hz_nps*G683,0)*in_nps_ticket*in_nps_comm</f>
        <v/>
      </c>
      <c r="BH683" s="40">
        <f>BH682*(1-IF(B682&gt;=in_marketplace_from,d_hz_gold*G682,0))</f>
        <v/>
      </c>
      <c r="BI683" s="40">
        <f>BI682*d_rho_gold+BH683*IF(B683&gt;=in_marketplace_from,d_hz_gold*G683,0)</f>
        <v/>
      </c>
      <c r="BJ683" s="14">
        <f>F683*BI683*in_gold_ticket*in_gold_comm</f>
        <v/>
      </c>
      <c r="BK683" s="40">
        <f>BK682*(1-IF(B682&gt;=in_marketplace_from,d_hz_fd*G682,0))</f>
        <v/>
      </c>
      <c r="BL683" s="14">
        <f>F683*BK683*IF(B683&gt;=in_marketplace_from,d_hz_fd*G683,0)*in_fd_ticket*in_fd_comm</f>
        <v/>
      </c>
      <c r="BM683" s="40">
        <f>BM682*(1-IF(B682&gt;=in_marketplace_from,d_hz_recharge*G682,0))</f>
        <v/>
      </c>
      <c r="BN683" s="40">
        <f>BN682*d_rho_recharge+BM683*IF(B683&gt;=in_marketplace_from,d_hz_recharge*G683,0)</f>
        <v/>
      </c>
      <c r="BO683" s="14">
        <f>F683*BN683*in_recharge_ticket*in_recharge_comm/12</f>
        <v/>
      </c>
      <c r="BP683" s="40">
        <f>BP682*(1-IF(B682&gt;=in_marketplace_from,d_hz_bills*G682,0))</f>
        <v/>
      </c>
      <c r="BQ683" s="40">
        <f>BQ682*d_rho_bills+BP683*IF(B683&gt;=in_marketplace_from,d_hz_bills*G683,0)</f>
        <v/>
      </c>
      <c r="BR683" s="14">
        <f>F683*BQ683*in_bills_ticket*in_bills_comm/12</f>
        <v/>
      </c>
      <c r="BS683" s="40">
        <f>BS682*(1-IF(B682&gt;=in_marketplace_from,d_hz_loan_gold*G682,0))</f>
        <v/>
      </c>
      <c r="BT683" s="14">
        <f>F683*BS683*IF(B683&gt;=in_marketplace_from,d_hz_loan_gold*G683,0)*in_loan_gold_ticket*in_loan_gold_comm</f>
        <v/>
      </c>
      <c r="BU683" s="40">
        <f>BU682*(1-IF(B682&gt;=in_marketplace_from,d_hz_loan_cd*G682,0))</f>
        <v/>
      </c>
      <c r="BV683" s="14">
        <f>F683*BU683*IF(B683&gt;=in_marketplace_from,d_hz_loan_cd*G683,0)*in_loan_cd_ticket*in_loan_cd_comm</f>
        <v/>
      </c>
      <c r="BW683" s="40">
        <f>BW682*(1-IF(B682&gt;=in_marketplace_from,d_hz_loan_vehicle*G682,0))</f>
        <v/>
      </c>
      <c r="BX683" s="14">
        <f>F683*BW683*IF(B683&gt;=in_marketplace_from,d_hz_loan_vehicle*G683,0)*in_loan_vehicle_ticket*in_loan_vehicle_comm</f>
        <v/>
      </c>
      <c r="BY683" s="40">
        <f>BY682*(1-IF(B682&gt;=in_marketplace_from,d_hz_loan_home*G682,0)*BZ682)</f>
        <v/>
      </c>
      <c r="BZ683" s="11">
        <f>MIN(in_approval_cap,in_loan_home_approval*INDEX('Age profile'!$O$2:$O$61,B683)*(1+in_approval_growth)^(D683-1))</f>
        <v/>
      </c>
      <c r="CA683" s="14">
        <f>F683*BY683*IF(B683&gt;=in_marketplace_from,d_hz_loan_home*G683,0)*BZ683*in_loan_home_ticket*in_loan_home_comm</f>
        <v/>
      </c>
      <c r="CB683" s="40">
        <f>CB682*(1-IF(B682&gt;=in_marketplace_from,d_hz_loan_lap*G682,0)*CC682)</f>
        <v/>
      </c>
      <c r="CC683" s="11">
        <f>MIN(in_approval_cap,in_loan_lap_approval*INDEX('Age profile'!$O$2:$O$61,B683)*(1+in_approval_growth)^(D683-1))</f>
        <v/>
      </c>
      <c r="CD683" s="14">
        <f>F683*CB683*IF(B683&gt;=in_marketplace_from,d_hz_loan_lap*G683,0)*CC683*in_loan_lap_ticket*in_loan_lap_comm</f>
        <v/>
      </c>
      <c r="CE683" s="14">
        <f>AA683+AB683+AC683+AD683+AG683+AJ683+AM683+AP683+AS683+AU683+AX683+BB683+BE683+BG683+BJ683+BL683+BO683+BR683+BT683+BV683+BX683+CA683+CD683</f>
        <v/>
      </c>
    </row>
    <row r="684">
      <c r="A684" s="39" t="n">
        <v>13</v>
      </c>
      <c r="B684" s="39" t="n">
        <v>29</v>
      </c>
      <c r="C684" s="39">
        <f>A684+B684-1</f>
        <v/>
      </c>
      <c r="D684" s="39">
        <f>INT((C684-1)/12)+1</f>
        <v/>
      </c>
      <c r="E684" s="44">
        <f>INDEX(Monthly!$B$2:$B$61,A684)</f>
        <v/>
      </c>
      <c r="F684" s="44">
        <f>E684*INDEX('Age profile'!$B$2:$B$61,B684)</f>
        <v/>
      </c>
      <c r="G684" s="45">
        <f>MIN(in_takeup_cap,INDEX('Age profile'!$N$2:$N$61,B684)*(1+in_takeup_growth)^(D684-1))</f>
        <v/>
      </c>
      <c r="H684" s="11">
        <f>MIN(in_approval_cap,in_approved_first*INDEX('Age profile'!$O$2:$O$61,B684)*(1+in_approval_growth)^(D684-1))</f>
        <v/>
      </c>
      <c r="I684" s="45">
        <f>G684*MIN(in_takeup_cap,INDEX('Age profile'!$O$2:$O$61,B684)*(1+in_approval_growth)^(D684-1))</f>
        <v/>
      </c>
      <c r="J684" s="40">
        <f>(J683-L683)*F684/F683</f>
        <v/>
      </c>
      <c r="K684" s="40">
        <f>(K683-M683)*F684/F683+SUMIFS(O656:O683,B656:B683,B684-1-d_T)*F684</f>
        <v/>
      </c>
      <c r="L684" s="40">
        <f>IF(B684&gt;=in_marketplace_from,J684*d_hz*G684*in_eligible*H684,0)</f>
        <v/>
      </c>
      <c r="M684" s="40">
        <f>IF(B684&gt;=in_marketplace_from,K684*d_hz*G684*in_eligible*in_approved_repeat,0)</f>
        <v/>
      </c>
      <c r="N684" s="40">
        <f>L684+M684</f>
        <v/>
      </c>
      <c r="O684" s="46">
        <f>N684/F684</f>
        <v/>
      </c>
      <c r="P684" s="40">
        <f>F684-J684-K684</f>
        <v/>
      </c>
      <c r="Q684" s="40">
        <f>IF(B684&gt;=in_marketplace_from,(J684+K684)*d_hz*G684,0)</f>
        <v/>
      </c>
      <c r="R684" s="40">
        <f>SUMIFS(N656:N703,B656:B703,"&gt;="&amp;(B684-d_T),B656:B703,"&lt;="&amp;(B684-1))</f>
        <v/>
      </c>
      <c r="S684" s="46">
        <f>(1-d_u)*S683+IF(d_T&gt;in_topup_lag,SUMIFS(O656:O703,B656:B703,B684-in_topup_lag)-d_udrop*SUMIFS(O656:O703,B656:B703,B684-d_T),0)</f>
        <v/>
      </c>
      <c r="T684" s="40">
        <f>F684*d_u*S684</f>
        <v/>
      </c>
      <c r="U684" s="9">
        <f>L684*in_ticket+M684*d_rep_ticket</f>
        <v/>
      </c>
      <c r="V684" s="9">
        <f>U684+T684*d_topup_amt</f>
        <v/>
      </c>
      <c r="W684" s="40">
        <f>N684+T684*d_topup_ratio</f>
        <v/>
      </c>
      <c r="X684" s="40">
        <f>SUMIFS(W656:W703,B656:B703,B684-in_dpd_lag)*d_cured</f>
        <v/>
      </c>
      <c r="Y684" s="40">
        <f>SUMIFS(W656:W703,B656:B703,B684-in_rec_lag)*d_recd</f>
        <v/>
      </c>
      <c r="Z684" s="40">
        <f>IF(AND(B684&gt;=in_marketplace_from,B684&lt;in_marketplace_from+in_card_months),in_card_share/in_card_months*F684*I684,IF(AND(B684&gt;=in_marketplace_from+in_card_months,B684&lt;in_marketplace_from+2*in_card_months),in_card_share*d_card_rem/in_card_months*F684*MIN(in_takeup_cap,(1+in_takeup_growth)^(D684-1))*MIN(in_takeup_cap,(1+in_approval_growth)^(D684-1)),0))</f>
        <v/>
      </c>
      <c r="AA684" s="14">
        <f>V684*in_fee*(1-in_taken_back)</f>
        <v/>
      </c>
      <c r="AB684" s="14">
        <f>SUMIFS(W656:W703,B656:B703,B684-in_dpd_lag)*d_dpd</f>
        <v/>
      </c>
      <c r="AC684" s="14">
        <f>SUMIFS(W656:W703,B656:B703,B684-in_rec_lag)*d_rec</f>
        <v/>
      </c>
      <c r="AD684" s="14">
        <f>Z684*in_card_fee</f>
        <v/>
      </c>
      <c r="AE684" s="40">
        <f>AE683*(1-IF(B683&gt;=in_marketplace_from,d_hz_hlth_small*G683,0))</f>
        <v/>
      </c>
      <c r="AF684" s="46">
        <f>AE684*IF(B684&gt;=in_marketplace_from,d_hz_hlth_small*G684,0)</f>
        <v/>
      </c>
      <c r="AG684" s="14">
        <f>F684*AF684*in_hlth_small_ticket*in_hlth_small_comm*in_ins_partner_share+F684*in_hlth_small_ticket*in_hlth_small_renew_comm*in_ins_partner_share*(in_hlth_small_renew^1*SUMIFS(AF656:AF703,B656:B703,B684-12)+in_hlth_small_renew^2*SUMIFS(AF656:AF703,B656:B703,B684-24)+in_hlth_small_renew^3*SUMIFS(AF656:AF703,B656:B703,B684-36)+in_hlth_small_renew^4*SUMIFS(AF656:AF703,B656:B703,B684-48))</f>
        <v/>
      </c>
      <c r="AH684" s="40">
        <f>AH683*(1-IF(B683&gt;=in_marketplace_from,d_hz_hlth_family*G683,0))</f>
        <v/>
      </c>
      <c r="AI684" s="46">
        <f>AH684*IF(B684&gt;=in_marketplace_from,d_hz_hlth_family*G684,0)</f>
        <v/>
      </c>
      <c r="AJ684" s="14">
        <f>F684*AI684*in_hlth_family_ticket*in_hlth_family_comm*in_ins_partner_share+F684*in_hlth_family_ticket*in_hlth_family_renew_comm*in_ins_partner_share*(in_hlth_family_renew^1*SUMIFS(AI656:AI703,B656:B703,B684-12)+in_hlth_family_renew^2*SUMIFS(AI656:AI703,B656:B703,B684-24)+in_hlth_family_renew^3*SUMIFS(AI656:AI703,B656:B703,B684-36)+in_hlth_family_renew^4*SUMIFS(AI656:AI703,B656:B703,B684-48))</f>
        <v/>
      </c>
      <c r="AK684" s="40">
        <f>AK683*(1-IF(B683&gt;=in_marketplace_from,d_hz_life_term*G683,0))</f>
        <v/>
      </c>
      <c r="AL684" s="46">
        <f>AK684*IF(B684&gt;=in_marketplace_from,d_hz_life_term*G684,0)</f>
        <v/>
      </c>
      <c r="AM684" s="14">
        <f>F684*AL684*in_life_term_ticket*in_life_term_comm*in_ins_partner_share+F684*in_life_term_ticket*in_life_term_renew_comm*in_ins_partner_share*(in_life_term_renew^1*SUMIFS(AL656:AL703,B656:B703,B684-12)+in_life_term_renew^2*SUMIFS(AL656:AL703,B656:B703,B684-24)+in_life_term_renew^3*SUMIFS(AL656:AL703,B656:B703,B684-36)+in_life_term_renew^4*SUMIFS(AL656:AL703,B656:B703,B684-48))</f>
        <v/>
      </c>
      <c r="AN684" s="40">
        <f>AN683*(1-IF(B683&gt;=in_marketplace_from,d_hz_accident*G683,0))</f>
        <v/>
      </c>
      <c r="AO684" s="46">
        <f>AN684*IF(B684&gt;=in_marketplace_from,d_hz_accident*G684,0)</f>
        <v/>
      </c>
      <c r="AP684" s="14">
        <f>F684*AO684*in_accident_ticket*in_accident_comm*in_ins_partner_share+F684*in_accident_ticket*in_accident_renew_comm*in_ins_partner_share*(in_accident_renew^1*SUMIFS(AO656:AO703,B656:B703,B684-12)+in_accident_renew^2*SUMIFS(AO656:AO703,B656:B703,B684-24)+in_accident_renew^3*SUMIFS(AO656:AO703,B656:B703,B684-36)+in_accident_renew^4*SUMIFS(AO656:AO703,B656:B703,B684-48))</f>
        <v/>
      </c>
      <c r="AQ684" s="40">
        <f>AQ683*(1-IF(B683&gt;=in_marketplace_from,d_hz_two_wheeler*G683,0))</f>
        <v/>
      </c>
      <c r="AR684" s="46">
        <f>AQ684*IF(B684&gt;=in_marketplace_from,d_hz_two_wheeler*G684,0)</f>
        <v/>
      </c>
      <c r="AS684" s="14">
        <f>F684*AR684*in_two_wheeler_ticket*in_two_wheeler_comm*in_ins_partner_share+F684*in_two_wheeler_ticket*in_two_wheeler_comm*in_ins_partner_share*(in_two_wheeler_renew^1*SUMIFS(AR656:AR703,B656:B703,B684-12)+in_two_wheeler_renew^2*SUMIFS(AR656:AR703,B656:B703,B684-24)+in_two_wheeler_renew^3*SUMIFS(AR656:AR703,B656:B703,B684-36)+in_two_wheeler_renew^4*SUMIFS(AR656:AR703,B656:B703,B684-48))</f>
        <v/>
      </c>
      <c r="AT684" s="40">
        <f>AT683*(1-IF(B683&gt;=in_marketplace_from,d_hz_device*G683,0))</f>
        <v/>
      </c>
      <c r="AU684" s="14">
        <f>F684*AT684*IF(B684&gt;=in_marketplace_from,d_hz_device*G684,0)*in_device_ticket*in_device_comm*in_ins_partner_share</f>
        <v/>
      </c>
      <c r="AV684" s="40">
        <f>AV683*(1-IF(B683&gt;=in_marketplace_from,d_hz_shop*G683,0))</f>
        <v/>
      </c>
      <c r="AW684" s="46">
        <f>AV684*IF(B684&gt;=in_marketplace_from,d_hz_shop*G684,0)</f>
        <v/>
      </c>
      <c r="AX684" s="14">
        <f>F684*AW684*in_shop_ticket*in_shop_comm*in_ins_partner_share+F684*in_shop_ticket*in_shop_renew_comm*in_ins_partner_share*(in_shop_renew^1*SUMIFS(AW656:AW703,B656:B703,B684-12)+in_shop_renew^2*SUMIFS(AW656:AW703,B656:B703,B684-24)+in_shop_renew^3*SUMIFS(AW656:AW703,B656:B703,B684-36)+in_shop_renew^4*SUMIFS(AW656:AW703,B656:B703,B684-48))</f>
        <v/>
      </c>
      <c r="AY684" s="40">
        <f>AY683*(1-IF(B683&gt;=in_marketplace_from,d_hz_sip*G683,0))</f>
        <v/>
      </c>
      <c r="AZ684" s="40">
        <f>AZ683*d_rho_sip+AY684*IF(B684&gt;=in_marketplace_from,d_hz_sip*G684,0)</f>
        <v/>
      </c>
      <c r="BA684" s="40">
        <f>d_rho_sip*(BA683+AZ683)</f>
        <v/>
      </c>
      <c r="BB684" s="14">
        <f>F684*in_sip_ticket*(BA684+0.5*AZ684)*in_sip_comm/12</f>
        <v/>
      </c>
      <c r="BC684" s="40">
        <f>BC683*(1-IF(B683&gt;=in_marketplace_from,d_hz_choti*G683,0))</f>
        <v/>
      </c>
      <c r="BD684" s="46">
        <f>BC684*IF(B684&gt;=in_marketplace_from,d_hz_choti*G684,0)</f>
        <v/>
      </c>
      <c r="BE684" s="14">
        <f>F684*SUMIFS(BD656:BD703,B656:B703,B684-in_choti_months)*in_choti_renew*in_choti_ticket</f>
        <v/>
      </c>
      <c r="BF684" s="40">
        <f>BF683*(1-IF(B683&gt;=in_marketplace_from,d_hz_nps*G683,0))</f>
        <v/>
      </c>
      <c r="BG684" s="14">
        <f>F684*BF684*IF(B684&gt;=in_marketplace_from,d_hz_nps*G684,0)*in_nps_ticket*in_nps_comm</f>
        <v/>
      </c>
      <c r="BH684" s="40">
        <f>BH683*(1-IF(B683&gt;=in_marketplace_from,d_hz_gold*G683,0))</f>
        <v/>
      </c>
      <c r="BI684" s="40">
        <f>BI683*d_rho_gold+BH684*IF(B684&gt;=in_marketplace_from,d_hz_gold*G684,0)</f>
        <v/>
      </c>
      <c r="BJ684" s="14">
        <f>F684*BI684*in_gold_ticket*in_gold_comm</f>
        <v/>
      </c>
      <c r="BK684" s="40">
        <f>BK683*(1-IF(B683&gt;=in_marketplace_from,d_hz_fd*G683,0))</f>
        <v/>
      </c>
      <c r="BL684" s="14">
        <f>F684*BK684*IF(B684&gt;=in_marketplace_from,d_hz_fd*G684,0)*in_fd_ticket*in_fd_comm</f>
        <v/>
      </c>
      <c r="BM684" s="40">
        <f>BM683*(1-IF(B683&gt;=in_marketplace_from,d_hz_recharge*G683,0))</f>
        <v/>
      </c>
      <c r="BN684" s="40">
        <f>BN683*d_rho_recharge+BM684*IF(B684&gt;=in_marketplace_from,d_hz_recharge*G684,0)</f>
        <v/>
      </c>
      <c r="BO684" s="14">
        <f>F684*BN684*in_recharge_ticket*in_recharge_comm/12</f>
        <v/>
      </c>
      <c r="BP684" s="40">
        <f>BP683*(1-IF(B683&gt;=in_marketplace_from,d_hz_bills*G683,0))</f>
        <v/>
      </c>
      <c r="BQ684" s="40">
        <f>BQ683*d_rho_bills+BP684*IF(B684&gt;=in_marketplace_from,d_hz_bills*G684,0)</f>
        <v/>
      </c>
      <c r="BR684" s="14">
        <f>F684*BQ684*in_bills_ticket*in_bills_comm/12</f>
        <v/>
      </c>
      <c r="BS684" s="40">
        <f>BS683*(1-IF(B683&gt;=in_marketplace_from,d_hz_loan_gold*G683,0))</f>
        <v/>
      </c>
      <c r="BT684" s="14">
        <f>F684*BS684*IF(B684&gt;=in_marketplace_from,d_hz_loan_gold*G684,0)*in_loan_gold_ticket*in_loan_gold_comm</f>
        <v/>
      </c>
      <c r="BU684" s="40">
        <f>BU683*(1-IF(B683&gt;=in_marketplace_from,d_hz_loan_cd*G683,0))</f>
        <v/>
      </c>
      <c r="BV684" s="14">
        <f>F684*BU684*IF(B684&gt;=in_marketplace_from,d_hz_loan_cd*G684,0)*in_loan_cd_ticket*in_loan_cd_comm</f>
        <v/>
      </c>
      <c r="BW684" s="40">
        <f>BW683*(1-IF(B683&gt;=in_marketplace_from,d_hz_loan_vehicle*G683,0))</f>
        <v/>
      </c>
      <c r="BX684" s="14">
        <f>F684*BW684*IF(B684&gt;=in_marketplace_from,d_hz_loan_vehicle*G684,0)*in_loan_vehicle_ticket*in_loan_vehicle_comm</f>
        <v/>
      </c>
      <c r="BY684" s="40">
        <f>BY683*(1-IF(B683&gt;=in_marketplace_from,d_hz_loan_home*G683,0)*BZ683)</f>
        <v/>
      </c>
      <c r="BZ684" s="11">
        <f>MIN(in_approval_cap,in_loan_home_approval*INDEX('Age profile'!$O$2:$O$61,B684)*(1+in_approval_growth)^(D684-1))</f>
        <v/>
      </c>
      <c r="CA684" s="14">
        <f>F684*BY684*IF(B684&gt;=in_marketplace_from,d_hz_loan_home*G684,0)*BZ684*in_loan_home_ticket*in_loan_home_comm</f>
        <v/>
      </c>
      <c r="CB684" s="40">
        <f>CB683*(1-IF(B683&gt;=in_marketplace_from,d_hz_loan_lap*G683,0)*CC683)</f>
        <v/>
      </c>
      <c r="CC684" s="11">
        <f>MIN(in_approval_cap,in_loan_lap_approval*INDEX('Age profile'!$O$2:$O$61,B684)*(1+in_approval_growth)^(D684-1))</f>
        <v/>
      </c>
      <c r="CD684" s="14">
        <f>F684*CB684*IF(B684&gt;=in_marketplace_from,d_hz_loan_lap*G684,0)*CC684*in_loan_lap_ticket*in_loan_lap_comm</f>
        <v/>
      </c>
      <c r="CE684" s="14">
        <f>AA684+AB684+AC684+AD684+AG684+AJ684+AM684+AP684+AS684+AU684+AX684+BB684+BE684+BG684+BJ684+BL684+BO684+BR684+BT684+BV684+BX684+CA684+CD684</f>
        <v/>
      </c>
    </row>
    <row r="685">
      <c r="A685" s="39" t="n">
        <v>13</v>
      </c>
      <c r="B685" s="39" t="n">
        <v>30</v>
      </c>
      <c r="C685" s="39">
        <f>A685+B685-1</f>
        <v/>
      </c>
      <c r="D685" s="39">
        <f>INT((C685-1)/12)+1</f>
        <v/>
      </c>
      <c r="E685" s="44">
        <f>INDEX(Monthly!$B$2:$B$61,A685)</f>
        <v/>
      </c>
      <c r="F685" s="44">
        <f>E685*INDEX('Age profile'!$B$2:$B$61,B685)</f>
        <v/>
      </c>
      <c r="G685" s="45">
        <f>MIN(in_takeup_cap,INDEX('Age profile'!$N$2:$N$61,B685)*(1+in_takeup_growth)^(D685-1))</f>
        <v/>
      </c>
      <c r="H685" s="11">
        <f>MIN(in_approval_cap,in_approved_first*INDEX('Age profile'!$O$2:$O$61,B685)*(1+in_approval_growth)^(D685-1))</f>
        <v/>
      </c>
      <c r="I685" s="45">
        <f>G685*MIN(in_takeup_cap,INDEX('Age profile'!$O$2:$O$61,B685)*(1+in_approval_growth)^(D685-1))</f>
        <v/>
      </c>
      <c r="J685" s="40">
        <f>(J684-L684)*F685/F684</f>
        <v/>
      </c>
      <c r="K685" s="40">
        <f>(K684-M684)*F685/F684+SUMIFS(O656:O684,B656:B684,B685-1-d_T)*F685</f>
        <v/>
      </c>
      <c r="L685" s="40">
        <f>IF(B685&gt;=in_marketplace_from,J685*d_hz*G685*in_eligible*H685,0)</f>
        <v/>
      </c>
      <c r="M685" s="40">
        <f>IF(B685&gt;=in_marketplace_from,K685*d_hz*G685*in_eligible*in_approved_repeat,0)</f>
        <v/>
      </c>
      <c r="N685" s="40">
        <f>L685+M685</f>
        <v/>
      </c>
      <c r="O685" s="46">
        <f>N685/F685</f>
        <v/>
      </c>
      <c r="P685" s="40">
        <f>F685-J685-K685</f>
        <v/>
      </c>
      <c r="Q685" s="40">
        <f>IF(B685&gt;=in_marketplace_from,(J685+K685)*d_hz*G685,0)</f>
        <v/>
      </c>
      <c r="R685" s="40">
        <f>SUMIFS(N656:N703,B656:B703,"&gt;="&amp;(B685-d_T),B656:B703,"&lt;="&amp;(B685-1))</f>
        <v/>
      </c>
      <c r="S685" s="46">
        <f>(1-d_u)*S684+IF(d_T&gt;in_topup_lag,SUMIFS(O656:O703,B656:B703,B685-in_topup_lag)-d_udrop*SUMIFS(O656:O703,B656:B703,B685-d_T),0)</f>
        <v/>
      </c>
      <c r="T685" s="40">
        <f>F685*d_u*S685</f>
        <v/>
      </c>
      <c r="U685" s="9">
        <f>L685*in_ticket+M685*d_rep_ticket</f>
        <v/>
      </c>
      <c r="V685" s="9">
        <f>U685+T685*d_topup_amt</f>
        <v/>
      </c>
      <c r="W685" s="40">
        <f>N685+T685*d_topup_ratio</f>
        <v/>
      </c>
      <c r="X685" s="40">
        <f>SUMIFS(W656:W703,B656:B703,B685-in_dpd_lag)*d_cured</f>
        <v/>
      </c>
      <c r="Y685" s="40">
        <f>SUMIFS(W656:W703,B656:B703,B685-in_rec_lag)*d_recd</f>
        <v/>
      </c>
      <c r="Z685" s="40">
        <f>IF(AND(B685&gt;=in_marketplace_from,B685&lt;in_marketplace_from+in_card_months),in_card_share/in_card_months*F685*I685,IF(AND(B685&gt;=in_marketplace_from+in_card_months,B685&lt;in_marketplace_from+2*in_card_months),in_card_share*d_card_rem/in_card_months*F685*MIN(in_takeup_cap,(1+in_takeup_growth)^(D685-1))*MIN(in_takeup_cap,(1+in_approval_growth)^(D685-1)),0))</f>
        <v/>
      </c>
      <c r="AA685" s="14">
        <f>V685*in_fee*(1-in_taken_back)</f>
        <v/>
      </c>
      <c r="AB685" s="14">
        <f>SUMIFS(W656:W703,B656:B703,B685-in_dpd_lag)*d_dpd</f>
        <v/>
      </c>
      <c r="AC685" s="14">
        <f>SUMIFS(W656:W703,B656:B703,B685-in_rec_lag)*d_rec</f>
        <v/>
      </c>
      <c r="AD685" s="14">
        <f>Z685*in_card_fee</f>
        <v/>
      </c>
      <c r="AE685" s="40">
        <f>AE684*(1-IF(B684&gt;=in_marketplace_from,d_hz_hlth_small*G684,0))</f>
        <v/>
      </c>
      <c r="AF685" s="46">
        <f>AE685*IF(B685&gt;=in_marketplace_from,d_hz_hlth_small*G685,0)</f>
        <v/>
      </c>
      <c r="AG685" s="14">
        <f>F685*AF685*in_hlth_small_ticket*in_hlth_small_comm*in_ins_partner_share+F685*in_hlth_small_ticket*in_hlth_small_renew_comm*in_ins_partner_share*(in_hlth_small_renew^1*SUMIFS(AF656:AF703,B656:B703,B685-12)+in_hlth_small_renew^2*SUMIFS(AF656:AF703,B656:B703,B685-24)+in_hlth_small_renew^3*SUMIFS(AF656:AF703,B656:B703,B685-36)+in_hlth_small_renew^4*SUMIFS(AF656:AF703,B656:B703,B685-48))</f>
        <v/>
      </c>
      <c r="AH685" s="40">
        <f>AH684*(1-IF(B684&gt;=in_marketplace_from,d_hz_hlth_family*G684,0))</f>
        <v/>
      </c>
      <c r="AI685" s="46">
        <f>AH685*IF(B685&gt;=in_marketplace_from,d_hz_hlth_family*G685,0)</f>
        <v/>
      </c>
      <c r="AJ685" s="14">
        <f>F685*AI685*in_hlth_family_ticket*in_hlth_family_comm*in_ins_partner_share+F685*in_hlth_family_ticket*in_hlth_family_renew_comm*in_ins_partner_share*(in_hlth_family_renew^1*SUMIFS(AI656:AI703,B656:B703,B685-12)+in_hlth_family_renew^2*SUMIFS(AI656:AI703,B656:B703,B685-24)+in_hlth_family_renew^3*SUMIFS(AI656:AI703,B656:B703,B685-36)+in_hlth_family_renew^4*SUMIFS(AI656:AI703,B656:B703,B685-48))</f>
        <v/>
      </c>
      <c r="AK685" s="40">
        <f>AK684*(1-IF(B684&gt;=in_marketplace_from,d_hz_life_term*G684,0))</f>
        <v/>
      </c>
      <c r="AL685" s="46">
        <f>AK685*IF(B685&gt;=in_marketplace_from,d_hz_life_term*G685,0)</f>
        <v/>
      </c>
      <c r="AM685" s="14">
        <f>F685*AL685*in_life_term_ticket*in_life_term_comm*in_ins_partner_share+F685*in_life_term_ticket*in_life_term_renew_comm*in_ins_partner_share*(in_life_term_renew^1*SUMIFS(AL656:AL703,B656:B703,B685-12)+in_life_term_renew^2*SUMIFS(AL656:AL703,B656:B703,B685-24)+in_life_term_renew^3*SUMIFS(AL656:AL703,B656:B703,B685-36)+in_life_term_renew^4*SUMIFS(AL656:AL703,B656:B703,B685-48))</f>
        <v/>
      </c>
      <c r="AN685" s="40">
        <f>AN684*(1-IF(B684&gt;=in_marketplace_from,d_hz_accident*G684,0))</f>
        <v/>
      </c>
      <c r="AO685" s="46">
        <f>AN685*IF(B685&gt;=in_marketplace_from,d_hz_accident*G685,0)</f>
        <v/>
      </c>
      <c r="AP685" s="14">
        <f>F685*AO685*in_accident_ticket*in_accident_comm*in_ins_partner_share+F685*in_accident_ticket*in_accident_renew_comm*in_ins_partner_share*(in_accident_renew^1*SUMIFS(AO656:AO703,B656:B703,B685-12)+in_accident_renew^2*SUMIFS(AO656:AO703,B656:B703,B685-24)+in_accident_renew^3*SUMIFS(AO656:AO703,B656:B703,B685-36)+in_accident_renew^4*SUMIFS(AO656:AO703,B656:B703,B685-48))</f>
        <v/>
      </c>
      <c r="AQ685" s="40">
        <f>AQ684*(1-IF(B684&gt;=in_marketplace_from,d_hz_two_wheeler*G684,0))</f>
        <v/>
      </c>
      <c r="AR685" s="46">
        <f>AQ685*IF(B685&gt;=in_marketplace_from,d_hz_two_wheeler*G685,0)</f>
        <v/>
      </c>
      <c r="AS685" s="14">
        <f>F685*AR685*in_two_wheeler_ticket*in_two_wheeler_comm*in_ins_partner_share+F685*in_two_wheeler_ticket*in_two_wheeler_comm*in_ins_partner_share*(in_two_wheeler_renew^1*SUMIFS(AR656:AR703,B656:B703,B685-12)+in_two_wheeler_renew^2*SUMIFS(AR656:AR703,B656:B703,B685-24)+in_two_wheeler_renew^3*SUMIFS(AR656:AR703,B656:B703,B685-36)+in_two_wheeler_renew^4*SUMIFS(AR656:AR703,B656:B703,B685-48))</f>
        <v/>
      </c>
      <c r="AT685" s="40">
        <f>AT684*(1-IF(B684&gt;=in_marketplace_from,d_hz_device*G684,0))</f>
        <v/>
      </c>
      <c r="AU685" s="14">
        <f>F685*AT685*IF(B685&gt;=in_marketplace_from,d_hz_device*G685,0)*in_device_ticket*in_device_comm*in_ins_partner_share</f>
        <v/>
      </c>
      <c r="AV685" s="40">
        <f>AV684*(1-IF(B684&gt;=in_marketplace_from,d_hz_shop*G684,0))</f>
        <v/>
      </c>
      <c r="AW685" s="46">
        <f>AV685*IF(B685&gt;=in_marketplace_from,d_hz_shop*G685,0)</f>
        <v/>
      </c>
      <c r="AX685" s="14">
        <f>F685*AW685*in_shop_ticket*in_shop_comm*in_ins_partner_share+F685*in_shop_ticket*in_shop_renew_comm*in_ins_partner_share*(in_shop_renew^1*SUMIFS(AW656:AW703,B656:B703,B685-12)+in_shop_renew^2*SUMIFS(AW656:AW703,B656:B703,B685-24)+in_shop_renew^3*SUMIFS(AW656:AW703,B656:B703,B685-36)+in_shop_renew^4*SUMIFS(AW656:AW703,B656:B703,B685-48))</f>
        <v/>
      </c>
      <c r="AY685" s="40">
        <f>AY684*(1-IF(B684&gt;=in_marketplace_from,d_hz_sip*G684,0))</f>
        <v/>
      </c>
      <c r="AZ685" s="40">
        <f>AZ684*d_rho_sip+AY685*IF(B685&gt;=in_marketplace_from,d_hz_sip*G685,0)</f>
        <v/>
      </c>
      <c r="BA685" s="40">
        <f>d_rho_sip*(BA684+AZ684)</f>
        <v/>
      </c>
      <c r="BB685" s="14">
        <f>F685*in_sip_ticket*(BA685+0.5*AZ685)*in_sip_comm/12</f>
        <v/>
      </c>
      <c r="BC685" s="40">
        <f>BC684*(1-IF(B684&gt;=in_marketplace_from,d_hz_choti*G684,0))</f>
        <v/>
      </c>
      <c r="BD685" s="46">
        <f>BC685*IF(B685&gt;=in_marketplace_from,d_hz_choti*G685,0)</f>
        <v/>
      </c>
      <c r="BE685" s="14">
        <f>F685*SUMIFS(BD656:BD703,B656:B703,B685-in_choti_months)*in_choti_renew*in_choti_ticket</f>
        <v/>
      </c>
      <c r="BF685" s="40">
        <f>BF684*(1-IF(B684&gt;=in_marketplace_from,d_hz_nps*G684,0))</f>
        <v/>
      </c>
      <c r="BG685" s="14">
        <f>F685*BF685*IF(B685&gt;=in_marketplace_from,d_hz_nps*G685,0)*in_nps_ticket*in_nps_comm</f>
        <v/>
      </c>
      <c r="BH685" s="40">
        <f>BH684*(1-IF(B684&gt;=in_marketplace_from,d_hz_gold*G684,0))</f>
        <v/>
      </c>
      <c r="BI685" s="40">
        <f>BI684*d_rho_gold+BH685*IF(B685&gt;=in_marketplace_from,d_hz_gold*G685,0)</f>
        <v/>
      </c>
      <c r="BJ685" s="14">
        <f>F685*BI685*in_gold_ticket*in_gold_comm</f>
        <v/>
      </c>
      <c r="BK685" s="40">
        <f>BK684*(1-IF(B684&gt;=in_marketplace_from,d_hz_fd*G684,0))</f>
        <v/>
      </c>
      <c r="BL685" s="14">
        <f>F685*BK685*IF(B685&gt;=in_marketplace_from,d_hz_fd*G685,0)*in_fd_ticket*in_fd_comm</f>
        <v/>
      </c>
      <c r="BM685" s="40">
        <f>BM684*(1-IF(B684&gt;=in_marketplace_from,d_hz_recharge*G684,0))</f>
        <v/>
      </c>
      <c r="BN685" s="40">
        <f>BN684*d_rho_recharge+BM685*IF(B685&gt;=in_marketplace_from,d_hz_recharge*G685,0)</f>
        <v/>
      </c>
      <c r="BO685" s="14">
        <f>F685*BN685*in_recharge_ticket*in_recharge_comm/12</f>
        <v/>
      </c>
      <c r="BP685" s="40">
        <f>BP684*(1-IF(B684&gt;=in_marketplace_from,d_hz_bills*G684,0))</f>
        <v/>
      </c>
      <c r="BQ685" s="40">
        <f>BQ684*d_rho_bills+BP685*IF(B685&gt;=in_marketplace_from,d_hz_bills*G685,0)</f>
        <v/>
      </c>
      <c r="BR685" s="14">
        <f>F685*BQ685*in_bills_ticket*in_bills_comm/12</f>
        <v/>
      </c>
      <c r="BS685" s="40">
        <f>BS684*(1-IF(B684&gt;=in_marketplace_from,d_hz_loan_gold*G684,0))</f>
        <v/>
      </c>
      <c r="BT685" s="14">
        <f>F685*BS685*IF(B685&gt;=in_marketplace_from,d_hz_loan_gold*G685,0)*in_loan_gold_ticket*in_loan_gold_comm</f>
        <v/>
      </c>
      <c r="BU685" s="40">
        <f>BU684*(1-IF(B684&gt;=in_marketplace_from,d_hz_loan_cd*G684,0))</f>
        <v/>
      </c>
      <c r="BV685" s="14">
        <f>F685*BU685*IF(B685&gt;=in_marketplace_from,d_hz_loan_cd*G685,0)*in_loan_cd_ticket*in_loan_cd_comm</f>
        <v/>
      </c>
      <c r="BW685" s="40">
        <f>BW684*(1-IF(B684&gt;=in_marketplace_from,d_hz_loan_vehicle*G684,0))</f>
        <v/>
      </c>
      <c r="BX685" s="14">
        <f>F685*BW685*IF(B685&gt;=in_marketplace_from,d_hz_loan_vehicle*G685,0)*in_loan_vehicle_ticket*in_loan_vehicle_comm</f>
        <v/>
      </c>
      <c r="BY685" s="40">
        <f>BY684*(1-IF(B684&gt;=in_marketplace_from,d_hz_loan_home*G684,0)*BZ684)</f>
        <v/>
      </c>
      <c r="BZ685" s="11">
        <f>MIN(in_approval_cap,in_loan_home_approval*INDEX('Age profile'!$O$2:$O$61,B685)*(1+in_approval_growth)^(D685-1))</f>
        <v/>
      </c>
      <c r="CA685" s="14">
        <f>F685*BY685*IF(B685&gt;=in_marketplace_from,d_hz_loan_home*G685,0)*BZ685*in_loan_home_ticket*in_loan_home_comm</f>
        <v/>
      </c>
      <c r="CB685" s="40">
        <f>CB684*(1-IF(B684&gt;=in_marketplace_from,d_hz_loan_lap*G684,0)*CC684)</f>
        <v/>
      </c>
      <c r="CC685" s="11">
        <f>MIN(in_approval_cap,in_loan_lap_approval*INDEX('Age profile'!$O$2:$O$61,B685)*(1+in_approval_growth)^(D685-1))</f>
        <v/>
      </c>
      <c r="CD685" s="14">
        <f>F685*CB685*IF(B685&gt;=in_marketplace_from,d_hz_loan_lap*G685,0)*CC685*in_loan_lap_ticket*in_loan_lap_comm</f>
        <v/>
      </c>
      <c r="CE685" s="14">
        <f>AA685+AB685+AC685+AD685+AG685+AJ685+AM685+AP685+AS685+AU685+AX685+BB685+BE685+BG685+BJ685+BL685+BO685+BR685+BT685+BV685+BX685+CA685+CD685</f>
        <v/>
      </c>
    </row>
    <row r="686">
      <c r="A686" s="39" t="n">
        <v>13</v>
      </c>
      <c r="B686" s="39" t="n">
        <v>31</v>
      </c>
      <c r="C686" s="39">
        <f>A686+B686-1</f>
        <v/>
      </c>
      <c r="D686" s="39">
        <f>INT((C686-1)/12)+1</f>
        <v/>
      </c>
      <c r="E686" s="44">
        <f>INDEX(Monthly!$B$2:$B$61,A686)</f>
        <v/>
      </c>
      <c r="F686" s="44">
        <f>E686*INDEX('Age profile'!$B$2:$B$61,B686)</f>
        <v/>
      </c>
      <c r="G686" s="45">
        <f>MIN(in_takeup_cap,INDEX('Age profile'!$N$2:$N$61,B686)*(1+in_takeup_growth)^(D686-1))</f>
        <v/>
      </c>
      <c r="H686" s="11">
        <f>MIN(in_approval_cap,in_approved_first*INDEX('Age profile'!$O$2:$O$61,B686)*(1+in_approval_growth)^(D686-1))</f>
        <v/>
      </c>
      <c r="I686" s="45">
        <f>G686*MIN(in_takeup_cap,INDEX('Age profile'!$O$2:$O$61,B686)*(1+in_approval_growth)^(D686-1))</f>
        <v/>
      </c>
      <c r="J686" s="40">
        <f>(J685-L685)*F686/F685</f>
        <v/>
      </c>
      <c r="K686" s="40">
        <f>(K685-M685)*F686/F685+SUMIFS(O656:O685,B656:B685,B686-1-d_T)*F686</f>
        <v/>
      </c>
      <c r="L686" s="40">
        <f>IF(B686&gt;=in_marketplace_from,J686*d_hz*G686*in_eligible*H686,0)</f>
        <v/>
      </c>
      <c r="M686" s="40">
        <f>IF(B686&gt;=in_marketplace_from,K686*d_hz*G686*in_eligible*in_approved_repeat,0)</f>
        <v/>
      </c>
      <c r="N686" s="40">
        <f>L686+M686</f>
        <v/>
      </c>
      <c r="O686" s="46">
        <f>N686/F686</f>
        <v/>
      </c>
      <c r="P686" s="40">
        <f>F686-J686-K686</f>
        <v/>
      </c>
      <c r="Q686" s="40">
        <f>IF(B686&gt;=in_marketplace_from,(J686+K686)*d_hz*G686,0)</f>
        <v/>
      </c>
      <c r="R686" s="40">
        <f>SUMIFS(N656:N703,B656:B703,"&gt;="&amp;(B686-d_T),B656:B703,"&lt;="&amp;(B686-1))</f>
        <v/>
      </c>
      <c r="S686" s="46">
        <f>(1-d_u)*S685+IF(d_T&gt;in_topup_lag,SUMIFS(O656:O703,B656:B703,B686-in_topup_lag)-d_udrop*SUMIFS(O656:O703,B656:B703,B686-d_T),0)</f>
        <v/>
      </c>
      <c r="T686" s="40">
        <f>F686*d_u*S686</f>
        <v/>
      </c>
      <c r="U686" s="9">
        <f>L686*in_ticket+M686*d_rep_ticket</f>
        <v/>
      </c>
      <c r="V686" s="9">
        <f>U686+T686*d_topup_amt</f>
        <v/>
      </c>
      <c r="W686" s="40">
        <f>N686+T686*d_topup_ratio</f>
        <v/>
      </c>
      <c r="X686" s="40">
        <f>SUMIFS(W656:W703,B656:B703,B686-in_dpd_lag)*d_cured</f>
        <v/>
      </c>
      <c r="Y686" s="40">
        <f>SUMIFS(W656:W703,B656:B703,B686-in_rec_lag)*d_recd</f>
        <v/>
      </c>
      <c r="Z686" s="40">
        <f>IF(AND(B686&gt;=in_marketplace_from,B686&lt;in_marketplace_from+in_card_months),in_card_share/in_card_months*F686*I686,IF(AND(B686&gt;=in_marketplace_from+in_card_months,B686&lt;in_marketplace_from+2*in_card_months),in_card_share*d_card_rem/in_card_months*F686*MIN(in_takeup_cap,(1+in_takeup_growth)^(D686-1))*MIN(in_takeup_cap,(1+in_approval_growth)^(D686-1)),0))</f>
        <v/>
      </c>
      <c r="AA686" s="14">
        <f>V686*in_fee*(1-in_taken_back)</f>
        <v/>
      </c>
      <c r="AB686" s="14">
        <f>SUMIFS(W656:W703,B656:B703,B686-in_dpd_lag)*d_dpd</f>
        <v/>
      </c>
      <c r="AC686" s="14">
        <f>SUMIFS(W656:W703,B656:B703,B686-in_rec_lag)*d_rec</f>
        <v/>
      </c>
      <c r="AD686" s="14">
        <f>Z686*in_card_fee</f>
        <v/>
      </c>
      <c r="AE686" s="40">
        <f>AE685*(1-IF(B685&gt;=in_marketplace_from,d_hz_hlth_small*G685,0))</f>
        <v/>
      </c>
      <c r="AF686" s="46">
        <f>AE686*IF(B686&gt;=in_marketplace_from,d_hz_hlth_small*G686,0)</f>
        <v/>
      </c>
      <c r="AG686" s="14">
        <f>F686*AF686*in_hlth_small_ticket*in_hlth_small_comm*in_ins_partner_share+F686*in_hlth_small_ticket*in_hlth_small_renew_comm*in_ins_partner_share*(in_hlth_small_renew^1*SUMIFS(AF656:AF703,B656:B703,B686-12)+in_hlth_small_renew^2*SUMIFS(AF656:AF703,B656:B703,B686-24)+in_hlth_small_renew^3*SUMIFS(AF656:AF703,B656:B703,B686-36)+in_hlth_small_renew^4*SUMIFS(AF656:AF703,B656:B703,B686-48))</f>
        <v/>
      </c>
      <c r="AH686" s="40">
        <f>AH685*(1-IF(B685&gt;=in_marketplace_from,d_hz_hlth_family*G685,0))</f>
        <v/>
      </c>
      <c r="AI686" s="46">
        <f>AH686*IF(B686&gt;=in_marketplace_from,d_hz_hlth_family*G686,0)</f>
        <v/>
      </c>
      <c r="AJ686" s="14">
        <f>F686*AI686*in_hlth_family_ticket*in_hlth_family_comm*in_ins_partner_share+F686*in_hlth_family_ticket*in_hlth_family_renew_comm*in_ins_partner_share*(in_hlth_family_renew^1*SUMIFS(AI656:AI703,B656:B703,B686-12)+in_hlth_family_renew^2*SUMIFS(AI656:AI703,B656:B703,B686-24)+in_hlth_family_renew^3*SUMIFS(AI656:AI703,B656:B703,B686-36)+in_hlth_family_renew^4*SUMIFS(AI656:AI703,B656:B703,B686-48))</f>
        <v/>
      </c>
      <c r="AK686" s="40">
        <f>AK685*(1-IF(B685&gt;=in_marketplace_from,d_hz_life_term*G685,0))</f>
        <v/>
      </c>
      <c r="AL686" s="46">
        <f>AK686*IF(B686&gt;=in_marketplace_from,d_hz_life_term*G686,0)</f>
        <v/>
      </c>
      <c r="AM686" s="14">
        <f>F686*AL686*in_life_term_ticket*in_life_term_comm*in_ins_partner_share+F686*in_life_term_ticket*in_life_term_renew_comm*in_ins_partner_share*(in_life_term_renew^1*SUMIFS(AL656:AL703,B656:B703,B686-12)+in_life_term_renew^2*SUMIFS(AL656:AL703,B656:B703,B686-24)+in_life_term_renew^3*SUMIFS(AL656:AL703,B656:B703,B686-36)+in_life_term_renew^4*SUMIFS(AL656:AL703,B656:B703,B686-48))</f>
        <v/>
      </c>
      <c r="AN686" s="40">
        <f>AN685*(1-IF(B685&gt;=in_marketplace_from,d_hz_accident*G685,0))</f>
        <v/>
      </c>
      <c r="AO686" s="46">
        <f>AN686*IF(B686&gt;=in_marketplace_from,d_hz_accident*G686,0)</f>
        <v/>
      </c>
      <c r="AP686" s="14">
        <f>F686*AO686*in_accident_ticket*in_accident_comm*in_ins_partner_share+F686*in_accident_ticket*in_accident_renew_comm*in_ins_partner_share*(in_accident_renew^1*SUMIFS(AO656:AO703,B656:B703,B686-12)+in_accident_renew^2*SUMIFS(AO656:AO703,B656:B703,B686-24)+in_accident_renew^3*SUMIFS(AO656:AO703,B656:B703,B686-36)+in_accident_renew^4*SUMIFS(AO656:AO703,B656:B703,B686-48))</f>
        <v/>
      </c>
      <c r="AQ686" s="40">
        <f>AQ685*(1-IF(B685&gt;=in_marketplace_from,d_hz_two_wheeler*G685,0))</f>
        <v/>
      </c>
      <c r="AR686" s="46">
        <f>AQ686*IF(B686&gt;=in_marketplace_from,d_hz_two_wheeler*G686,0)</f>
        <v/>
      </c>
      <c r="AS686" s="14">
        <f>F686*AR686*in_two_wheeler_ticket*in_two_wheeler_comm*in_ins_partner_share+F686*in_two_wheeler_ticket*in_two_wheeler_comm*in_ins_partner_share*(in_two_wheeler_renew^1*SUMIFS(AR656:AR703,B656:B703,B686-12)+in_two_wheeler_renew^2*SUMIFS(AR656:AR703,B656:B703,B686-24)+in_two_wheeler_renew^3*SUMIFS(AR656:AR703,B656:B703,B686-36)+in_two_wheeler_renew^4*SUMIFS(AR656:AR703,B656:B703,B686-48))</f>
        <v/>
      </c>
      <c r="AT686" s="40">
        <f>AT685*(1-IF(B685&gt;=in_marketplace_from,d_hz_device*G685,0))</f>
        <v/>
      </c>
      <c r="AU686" s="14">
        <f>F686*AT686*IF(B686&gt;=in_marketplace_from,d_hz_device*G686,0)*in_device_ticket*in_device_comm*in_ins_partner_share</f>
        <v/>
      </c>
      <c r="AV686" s="40">
        <f>AV685*(1-IF(B685&gt;=in_marketplace_from,d_hz_shop*G685,0))</f>
        <v/>
      </c>
      <c r="AW686" s="46">
        <f>AV686*IF(B686&gt;=in_marketplace_from,d_hz_shop*G686,0)</f>
        <v/>
      </c>
      <c r="AX686" s="14">
        <f>F686*AW686*in_shop_ticket*in_shop_comm*in_ins_partner_share+F686*in_shop_ticket*in_shop_renew_comm*in_ins_partner_share*(in_shop_renew^1*SUMIFS(AW656:AW703,B656:B703,B686-12)+in_shop_renew^2*SUMIFS(AW656:AW703,B656:B703,B686-24)+in_shop_renew^3*SUMIFS(AW656:AW703,B656:B703,B686-36)+in_shop_renew^4*SUMIFS(AW656:AW703,B656:B703,B686-48))</f>
        <v/>
      </c>
      <c r="AY686" s="40">
        <f>AY685*(1-IF(B685&gt;=in_marketplace_from,d_hz_sip*G685,0))</f>
        <v/>
      </c>
      <c r="AZ686" s="40">
        <f>AZ685*d_rho_sip+AY686*IF(B686&gt;=in_marketplace_from,d_hz_sip*G686,0)</f>
        <v/>
      </c>
      <c r="BA686" s="40">
        <f>d_rho_sip*(BA685+AZ685)</f>
        <v/>
      </c>
      <c r="BB686" s="14">
        <f>F686*in_sip_ticket*(BA686+0.5*AZ686)*in_sip_comm/12</f>
        <v/>
      </c>
      <c r="BC686" s="40">
        <f>BC685*(1-IF(B685&gt;=in_marketplace_from,d_hz_choti*G685,0))</f>
        <v/>
      </c>
      <c r="BD686" s="46">
        <f>BC686*IF(B686&gt;=in_marketplace_from,d_hz_choti*G686,0)</f>
        <v/>
      </c>
      <c r="BE686" s="14">
        <f>F686*SUMIFS(BD656:BD703,B656:B703,B686-in_choti_months)*in_choti_renew*in_choti_ticket</f>
        <v/>
      </c>
      <c r="BF686" s="40">
        <f>BF685*(1-IF(B685&gt;=in_marketplace_from,d_hz_nps*G685,0))</f>
        <v/>
      </c>
      <c r="BG686" s="14">
        <f>F686*BF686*IF(B686&gt;=in_marketplace_from,d_hz_nps*G686,0)*in_nps_ticket*in_nps_comm</f>
        <v/>
      </c>
      <c r="BH686" s="40">
        <f>BH685*(1-IF(B685&gt;=in_marketplace_from,d_hz_gold*G685,0))</f>
        <v/>
      </c>
      <c r="BI686" s="40">
        <f>BI685*d_rho_gold+BH686*IF(B686&gt;=in_marketplace_from,d_hz_gold*G686,0)</f>
        <v/>
      </c>
      <c r="BJ686" s="14">
        <f>F686*BI686*in_gold_ticket*in_gold_comm</f>
        <v/>
      </c>
      <c r="BK686" s="40">
        <f>BK685*(1-IF(B685&gt;=in_marketplace_from,d_hz_fd*G685,0))</f>
        <v/>
      </c>
      <c r="BL686" s="14">
        <f>F686*BK686*IF(B686&gt;=in_marketplace_from,d_hz_fd*G686,0)*in_fd_ticket*in_fd_comm</f>
        <v/>
      </c>
      <c r="BM686" s="40">
        <f>BM685*(1-IF(B685&gt;=in_marketplace_from,d_hz_recharge*G685,0))</f>
        <v/>
      </c>
      <c r="BN686" s="40">
        <f>BN685*d_rho_recharge+BM686*IF(B686&gt;=in_marketplace_from,d_hz_recharge*G686,0)</f>
        <v/>
      </c>
      <c r="BO686" s="14">
        <f>F686*BN686*in_recharge_ticket*in_recharge_comm/12</f>
        <v/>
      </c>
      <c r="BP686" s="40">
        <f>BP685*(1-IF(B685&gt;=in_marketplace_from,d_hz_bills*G685,0))</f>
        <v/>
      </c>
      <c r="BQ686" s="40">
        <f>BQ685*d_rho_bills+BP686*IF(B686&gt;=in_marketplace_from,d_hz_bills*G686,0)</f>
        <v/>
      </c>
      <c r="BR686" s="14">
        <f>F686*BQ686*in_bills_ticket*in_bills_comm/12</f>
        <v/>
      </c>
      <c r="BS686" s="40">
        <f>BS685*(1-IF(B685&gt;=in_marketplace_from,d_hz_loan_gold*G685,0))</f>
        <v/>
      </c>
      <c r="BT686" s="14">
        <f>F686*BS686*IF(B686&gt;=in_marketplace_from,d_hz_loan_gold*G686,0)*in_loan_gold_ticket*in_loan_gold_comm</f>
        <v/>
      </c>
      <c r="BU686" s="40">
        <f>BU685*(1-IF(B685&gt;=in_marketplace_from,d_hz_loan_cd*G685,0))</f>
        <v/>
      </c>
      <c r="BV686" s="14">
        <f>F686*BU686*IF(B686&gt;=in_marketplace_from,d_hz_loan_cd*G686,0)*in_loan_cd_ticket*in_loan_cd_comm</f>
        <v/>
      </c>
      <c r="BW686" s="40">
        <f>BW685*(1-IF(B685&gt;=in_marketplace_from,d_hz_loan_vehicle*G685,0))</f>
        <v/>
      </c>
      <c r="BX686" s="14">
        <f>F686*BW686*IF(B686&gt;=in_marketplace_from,d_hz_loan_vehicle*G686,0)*in_loan_vehicle_ticket*in_loan_vehicle_comm</f>
        <v/>
      </c>
      <c r="BY686" s="40">
        <f>BY685*(1-IF(B685&gt;=in_marketplace_from,d_hz_loan_home*G685,0)*BZ685)</f>
        <v/>
      </c>
      <c r="BZ686" s="11">
        <f>MIN(in_approval_cap,in_loan_home_approval*INDEX('Age profile'!$O$2:$O$61,B686)*(1+in_approval_growth)^(D686-1))</f>
        <v/>
      </c>
      <c r="CA686" s="14">
        <f>F686*BY686*IF(B686&gt;=in_marketplace_from,d_hz_loan_home*G686,0)*BZ686*in_loan_home_ticket*in_loan_home_comm</f>
        <v/>
      </c>
      <c r="CB686" s="40">
        <f>CB685*(1-IF(B685&gt;=in_marketplace_from,d_hz_loan_lap*G685,0)*CC685)</f>
        <v/>
      </c>
      <c r="CC686" s="11">
        <f>MIN(in_approval_cap,in_loan_lap_approval*INDEX('Age profile'!$O$2:$O$61,B686)*(1+in_approval_growth)^(D686-1))</f>
        <v/>
      </c>
      <c r="CD686" s="14">
        <f>F686*CB686*IF(B686&gt;=in_marketplace_from,d_hz_loan_lap*G686,0)*CC686*in_loan_lap_ticket*in_loan_lap_comm</f>
        <v/>
      </c>
      <c r="CE686" s="14">
        <f>AA686+AB686+AC686+AD686+AG686+AJ686+AM686+AP686+AS686+AU686+AX686+BB686+BE686+BG686+BJ686+BL686+BO686+BR686+BT686+BV686+BX686+CA686+CD686</f>
        <v/>
      </c>
    </row>
    <row r="687">
      <c r="A687" s="39" t="n">
        <v>13</v>
      </c>
      <c r="B687" s="39" t="n">
        <v>32</v>
      </c>
      <c r="C687" s="39">
        <f>A687+B687-1</f>
        <v/>
      </c>
      <c r="D687" s="39">
        <f>INT((C687-1)/12)+1</f>
        <v/>
      </c>
      <c r="E687" s="44">
        <f>INDEX(Monthly!$B$2:$B$61,A687)</f>
        <v/>
      </c>
      <c r="F687" s="44">
        <f>E687*INDEX('Age profile'!$B$2:$B$61,B687)</f>
        <v/>
      </c>
      <c r="G687" s="45">
        <f>MIN(in_takeup_cap,INDEX('Age profile'!$N$2:$N$61,B687)*(1+in_takeup_growth)^(D687-1))</f>
        <v/>
      </c>
      <c r="H687" s="11">
        <f>MIN(in_approval_cap,in_approved_first*INDEX('Age profile'!$O$2:$O$61,B687)*(1+in_approval_growth)^(D687-1))</f>
        <v/>
      </c>
      <c r="I687" s="45">
        <f>G687*MIN(in_takeup_cap,INDEX('Age profile'!$O$2:$O$61,B687)*(1+in_approval_growth)^(D687-1))</f>
        <v/>
      </c>
      <c r="J687" s="40">
        <f>(J686-L686)*F687/F686</f>
        <v/>
      </c>
      <c r="K687" s="40">
        <f>(K686-M686)*F687/F686+SUMIFS(O656:O686,B656:B686,B687-1-d_T)*F687</f>
        <v/>
      </c>
      <c r="L687" s="40">
        <f>IF(B687&gt;=in_marketplace_from,J687*d_hz*G687*in_eligible*H687,0)</f>
        <v/>
      </c>
      <c r="M687" s="40">
        <f>IF(B687&gt;=in_marketplace_from,K687*d_hz*G687*in_eligible*in_approved_repeat,0)</f>
        <v/>
      </c>
      <c r="N687" s="40">
        <f>L687+M687</f>
        <v/>
      </c>
      <c r="O687" s="46">
        <f>N687/F687</f>
        <v/>
      </c>
      <c r="P687" s="40">
        <f>F687-J687-K687</f>
        <v/>
      </c>
      <c r="Q687" s="40">
        <f>IF(B687&gt;=in_marketplace_from,(J687+K687)*d_hz*G687,0)</f>
        <v/>
      </c>
      <c r="R687" s="40">
        <f>SUMIFS(N656:N703,B656:B703,"&gt;="&amp;(B687-d_T),B656:B703,"&lt;="&amp;(B687-1))</f>
        <v/>
      </c>
      <c r="S687" s="46">
        <f>(1-d_u)*S686+IF(d_T&gt;in_topup_lag,SUMIFS(O656:O703,B656:B703,B687-in_topup_lag)-d_udrop*SUMIFS(O656:O703,B656:B703,B687-d_T),0)</f>
        <v/>
      </c>
      <c r="T687" s="40">
        <f>F687*d_u*S687</f>
        <v/>
      </c>
      <c r="U687" s="9">
        <f>L687*in_ticket+M687*d_rep_ticket</f>
        <v/>
      </c>
      <c r="V687" s="9">
        <f>U687+T687*d_topup_amt</f>
        <v/>
      </c>
      <c r="W687" s="40">
        <f>N687+T687*d_topup_ratio</f>
        <v/>
      </c>
      <c r="X687" s="40">
        <f>SUMIFS(W656:W703,B656:B703,B687-in_dpd_lag)*d_cured</f>
        <v/>
      </c>
      <c r="Y687" s="40">
        <f>SUMIFS(W656:W703,B656:B703,B687-in_rec_lag)*d_recd</f>
        <v/>
      </c>
      <c r="Z687" s="40">
        <f>IF(AND(B687&gt;=in_marketplace_from,B687&lt;in_marketplace_from+in_card_months),in_card_share/in_card_months*F687*I687,IF(AND(B687&gt;=in_marketplace_from+in_card_months,B687&lt;in_marketplace_from+2*in_card_months),in_card_share*d_card_rem/in_card_months*F687*MIN(in_takeup_cap,(1+in_takeup_growth)^(D687-1))*MIN(in_takeup_cap,(1+in_approval_growth)^(D687-1)),0))</f>
        <v/>
      </c>
      <c r="AA687" s="14">
        <f>V687*in_fee*(1-in_taken_back)</f>
        <v/>
      </c>
      <c r="AB687" s="14">
        <f>SUMIFS(W656:W703,B656:B703,B687-in_dpd_lag)*d_dpd</f>
        <v/>
      </c>
      <c r="AC687" s="14">
        <f>SUMIFS(W656:W703,B656:B703,B687-in_rec_lag)*d_rec</f>
        <v/>
      </c>
      <c r="AD687" s="14">
        <f>Z687*in_card_fee</f>
        <v/>
      </c>
      <c r="AE687" s="40">
        <f>AE686*(1-IF(B686&gt;=in_marketplace_from,d_hz_hlth_small*G686,0))</f>
        <v/>
      </c>
      <c r="AF687" s="46">
        <f>AE687*IF(B687&gt;=in_marketplace_from,d_hz_hlth_small*G687,0)</f>
        <v/>
      </c>
      <c r="AG687" s="14">
        <f>F687*AF687*in_hlth_small_ticket*in_hlth_small_comm*in_ins_partner_share+F687*in_hlth_small_ticket*in_hlth_small_renew_comm*in_ins_partner_share*(in_hlth_small_renew^1*SUMIFS(AF656:AF703,B656:B703,B687-12)+in_hlth_small_renew^2*SUMIFS(AF656:AF703,B656:B703,B687-24)+in_hlth_small_renew^3*SUMIFS(AF656:AF703,B656:B703,B687-36)+in_hlth_small_renew^4*SUMIFS(AF656:AF703,B656:B703,B687-48))</f>
        <v/>
      </c>
      <c r="AH687" s="40">
        <f>AH686*(1-IF(B686&gt;=in_marketplace_from,d_hz_hlth_family*G686,0))</f>
        <v/>
      </c>
      <c r="AI687" s="46">
        <f>AH687*IF(B687&gt;=in_marketplace_from,d_hz_hlth_family*G687,0)</f>
        <v/>
      </c>
      <c r="AJ687" s="14">
        <f>F687*AI687*in_hlth_family_ticket*in_hlth_family_comm*in_ins_partner_share+F687*in_hlth_family_ticket*in_hlth_family_renew_comm*in_ins_partner_share*(in_hlth_family_renew^1*SUMIFS(AI656:AI703,B656:B703,B687-12)+in_hlth_family_renew^2*SUMIFS(AI656:AI703,B656:B703,B687-24)+in_hlth_family_renew^3*SUMIFS(AI656:AI703,B656:B703,B687-36)+in_hlth_family_renew^4*SUMIFS(AI656:AI703,B656:B703,B687-48))</f>
        <v/>
      </c>
      <c r="AK687" s="40">
        <f>AK686*(1-IF(B686&gt;=in_marketplace_from,d_hz_life_term*G686,0))</f>
        <v/>
      </c>
      <c r="AL687" s="46">
        <f>AK687*IF(B687&gt;=in_marketplace_from,d_hz_life_term*G687,0)</f>
        <v/>
      </c>
      <c r="AM687" s="14">
        <f>F687*AL687*in_life_term_ticket*in_life_term_comm*in_ins_partner_share+F687*in_life_term_ticket*in_life_term_renew_comm*in_ins_partner_share*(in_life_term_renew^1*SUMIFS(AL656:AL703,B656:B703,B687-12)+in_life_term_renew^2*SUMIFS(AL656:AL703,B656:B703,B687-24)+in_life_term_renew^3*SUMIFS(AL656:AL703,B656:B703,B687-36)+in_life_term_renew^4*SUMIFS(AL656:AL703,B656:B703,B687-48))</f>
        <v/>
      </c>
      <c r="AN687" s="40">
        <f>AN686*(1-IF(B686&gt;=in_marketplace_from,d_hz_accident*G686,0))</f>
        <v/>
      </c>
      <c r="AO687" s="46">
        <f>AN687*IF(B687&gt;=in_marketplace_from,d_hz_accident*G687,0)</f>
        <v/>
      </c>
      <c r="AP687" s="14">
        <f>F687*AO687*in_accident_ticket*in_accident_comm*in_ins_partner_share+F687*in_accident_ticket*in_accident_renew_comm*in_ins_partner_share*(in_accident_renew^1*SUMIFS(AO656:AO703,B656:B703,B687-12)+in_accident_renew^2*SUMIFS(AO656:AO703,B656:B703,B687-24)+in_accident_renew^3*SUMIFS(AO656:AO703,B656:B703,B687-36)+in_accident_renew^4*SUMIFS(AO656:AO703,B656:B703,B687-48))</f>
        <v/>
      </c>
      <c r="AQ687" s="40">
        <f>AQ686*(1-IF(B686&gt;=in_marketplace_from,d_hz_two_wheeler*G686,0))</f>
        <v/>
      </c>
      <c r="AR687" s="46">
        <f>AQ687*IF(B687&gt;=in_marketplace_from,d_hz_two_wheeler*G687,0)</f>
        <v/>
      </c>
      <c r="AS687" s="14">
        <f>F687*AR687*in_two_wheeler_ticket*in_two_wheeler_comm*in_ins_partner_share+F687*in_two_wheeler_ticket*in_two_wheeler_comm*in_ins_partner_share*(in_two_wheeler_renew^1*SUMIFS(AR656:AR703,B656:B703,B687-12)+in_two_wheeler_renew^2*SUMIFS(AR656:AR703,B656:B703,B687-24)+in_two_wheeler_renew^3*SUMIFS(AR656:AR703,B656:B703,B687-36)+in_two_wheeler_renew^4*SUMIFS(AR656:AR703,B656:B703,B687-48))</f>
        <v/>
      </c>
      <c r="AT687" s="40">
        <f>AT686*(1-IF(B686&gt;=in_marketplace_from,d_hz_device*G686,0))</f>
        <v/>
      </c>
      <c r="AU687" s="14">
        <f>F687*AT687*IF(B687&gt;=in_marketplace_from,d_hz_device*G687,0)*in_device_ticket*in_device_comm*in_ins_partner_share</f>
        <v/>
      </c>
      <c r="AV687" s="40">
        <f>AV686*(1-IF(B686&gt;=in_marketplace_from,d_hz_shop*G686,0))</f>
        <v/>
      </c>
      <c r="AW687" s="46">
        <f>AV687*IF(B687&gt;=in_marketplace_from,d_hz_shop*G687,0)</f>
        <v/>
      </c>
      <c r="AX687" s="14">
        <f>F687*AW687*in_shop_ticket*in_shop_comm*in_ins_partner_share+F687*in_shop_ticket*in_shop_renew_comm*in_ins_partner_share*(in_shop_renew^1*SUMIFS(AW656:AW703,B656:B703,B687-12)+in_shop_renew^2*SUMIFS(AW656:AW703,B656:B703,B687-24)+in_shop_renew^3*SUMIFS(AW656:AW703,B656:B703,B687-36)+in_shop_renew^4*SUMIFS(AW656:AW703,B656:B703,B687-48))</f>
        <v/>
      </c>
      <c r="AY687" s="40">
        <f>AY686*(1-IF(B686&gt;=in_marketplace_from,d_hz_sip*G686,0))</f>
        <v/>
      </c>
      <c r="AZ687" s="40">
        <f>AZ686*d_rho_sip+AY687*IF(B687&gt;=in_marketplace_from,d_hz_sip*G687,0)</f>
        <v/>
      </c>
      <c r="BA687" s="40">
        <f>d_rho_sip*(BA686+AZ686)</f>
        <v/>
      </c>
      <c r="BB687" s="14">
        <f>F687*in_sip_ticket*(BA687+0.5*AZ687)*in_sip_comm/12</f>
        <v/>
      </c>
      <c r="BC687" s="40">
        <f>BC686*(1-IF(B686&gt;=in_marketplace_from,d_hz_choti*G686,0))</f>
        <v/>
      </c>
      <c r="BD687" s="46">
        <f>BC687*IF(B687&gt;=in_marketplace_from,d_hz_choti*G687,0)</f>
        <v/>
      </c>
      <c r="BE687" s="14">
        <f>F687*SUMIFS(BD656:BD703,B656:B703,B687-in_choti_months)*in_choti_renew*in_choti_ticket</f>
        <v/>
      </c>
      <c r="BF687" s="40">
        <f>BF686*(1-IF(B686&gt;=in_marketplace_from,d_hz_nps*G686,0))</f>
        <v/>
      </c>
      <c r="BG687" s="14">
        <f>F687*BF687*IF(B687&gt;=in_marketplace_from,d_hz_nps*G687,0)*in_nps_ticket*in_nps_comm</f>
        <v/>
      </c>
      <c r="BH687" s="40">
        <f>BH686*(1-IF(B686&gt;=in_marketplace_from,d_hz_gold*G686,0))</f>
        <v/>
      </c>
      <c r="BI687" s="40">
        <f>BI686*d_rho_gold+BH687*IF(B687&gt;=in_marketplace_from,d_hz_gold*G687,0)</f>
        <v/>
      </c>
      <c r="BJ687" s="14">
        <f>F687*BI687*in_gold_ticket*in_gold_comm</f>
        <v/>
      </c>
      <c r="BK687" s="40">
        <f>BK686*(1-IF(B686&gt;=in_marketplace_from,d_hz_fd*G686,0))</f>
        <v/>
      </c>
      <c r="BL687" s="14">
        <f>F687*BK687*IF(B687&gt;=in_marketplace_from,d_hz_fd*G687,0)*in_fd_ticket*in_fd_comm</f>
        <v/>
      </c>
      <c r="BM687" s="40">
        <f>BM686*(1-IF(B686&gt;=in_marketplace_from,d_hz_recharge*G686,0))</f>
        <v/>
      </c>
      <c r="BN687" s="40">
        <f>BN686*d_rho_recharge+BM687*IF(B687&gt;=in_marketplace_from,d_hz_recharge*G687,0)</f>
        <v/>
      </c>
      <c r="BO687" s="14">
        <f>F687*BN687*in_recharge_ticket*in_recharge_comm/12</f>
        <v/>
      </c>
      <c r="BP687" s="40">
        <f>BP686*(1-IF(B686&gt;=in_marketplace_from,d_hz_bills*G686,0))</f>
        <v/>
      </c>
      <c r="BQ687" s="40">
        <f>BQ686*d_rho_bills+BP687*IF(B687&gt;=in_marketplace_from,d_hz_bills*G687,0)</f>
        <v/>
      </c>
      <c r="BR687" s="14">
        <f>F687*BQ687*in_bills_ticket*in_bills_comm/12</f>
        <v/>
      </c>
      <c r="BS687" s="40">
        <f>BS686*(1-IF(B686&gt;=in_marketplace_from,d_hz_loan_gold*G686,0))</f>
        <v/>
      </c>
      <c r="BT687" s="14">
        <f>F687*BS687*IF(B687&gt;=in_marketplace_from,d_hz_loan_gold*G687,0)*in_loan_gold_ticket*in_loan_gold_comm</f>
        <v/>
      </c>
      <c r="BU687" s="40">
        <f>BU686*(1-IF(B686&gt;=in_marketplace_from,d_hz_loan_cd*G686,0))</f>
        <v/>
      </c>
      <c r="BV687" s="14">
        <f>F687*BU687*IF(B687&gt;=in_marketplace_from,d_hz_loan_cd*G687,0)*in_loan_cd_ticket*in_loan_cd_comm</f>
        <v/>
      </c>
      <c r="BW687" s="40">
        <f>BW686*(1-IF(B686&gt;=in_marketplace_from,d_hz_loan_vehicle*G686,0))</f>
        <v/>
      </c>
      <c r="BX687" s="14">
        <f>F687*BW687*IF(B687&gt;=in_marketplace_from,d_hz_loan_vehicle*G687,0)*in_loan_vehicle_ticket*in_loan_vehicle_comm</f>
        <v/>
      </c>
      <c r="BY687" s="40">
        <f>BY686*(1-IF(B686&gt;=in_marketplace_from,d_hz_loan_home*G686,0)*BZ686)</f>
        <v/>
      </c>
      <c r="BZ687" s="11">
        <f>MIN(in_approval_cap,in_loan_home_approval*INDEX('Age profile'!$O$2:$O$61,B687)*(1+in_approval_growth)^(D687-1))</f>
        <v/>
      </c>
      <c r="CA687" s="14">
        <f>F687*BY687*IF(B687&gt;=in_marketplace_from,d_hz_loan_home*G687,0)*BZ687*in_loan_home_ticket*in_loan_home_comm</f>
        <v/>
      </c>
      <c r="CB687" s="40">
        <f>CB686*(1-IF(B686&gt;=in_marketplace_from,d_hz_loan_lap*G686,0)*CC686)</f>
        <v/>
      </c>
      <c r="CC687" s="11">
        <f>MIN(in_approval_cap,in_loan_lap_approval*INDEX('Age profile'!$O$2:$O$61,B687)*(1+in_approval_growth)^(D687-1))</f>
        <v/>
      </c>
      <c r="CD687" s="14">
        <f>F687*CB687*IF(B687&gt;=in_marketplace_from,d_hz_loan_lap*G687,0)*CC687*in_loan_lap_ticket*in_loan_lap_comm</f>
        <v/>
      </c>
      <c r="CE687" s="14">
        <f>AA687+AB687+AC687+AD687+AG687+AJ687+AM687+AP687+AS687+AU687+AX687+BB687+BE687+BG687+BJ687+BL687+BO687+BR687+BT687+BV687+BX687+CA687+CD687</f>
        <v/>
      </c>
    </row>
    <row r="688">
      <c r="A688" s="39" t="n">
        <v>13</v>
      </c>
      <c r="B688" s="39" t="n">
        <v>33</v>
      </c>
      <c r="C688" s="39">
        <f>A688+B688-1</f>
        <v/>
      </c>
      <c r="D688" s="39">
        <f>INT((C688-1)/12)+1</f>
        <v/>
      </c>
      <c r="E688" s="44">
        <f>INDEX(Monthly!$B$2:$B$61,A688)</f>
        <v/>
      </c>
      <c r="F688" s="44">
        <f>E688*INDEX('Age profile'!$B$2:$B$61,B688)</f>
        <v/>
      </c>
      <c r="G688" s="45">
        <f>MIN(in_takeup_cap,INDEX('Age profile'!$N$2:$N$61,B688)*(1+in_takeup_growth)^(D688-1))</f>
        <v/>
      </c>
      <c r="H688" s="11">
        <f>MIN(in_approval_cap,in_approved_first*INDEX('Age profile'!$O$2:$O$61,B688)*(1+in_approval_growth)^(D688-1))</f>
        <v/>
      </c>
      <c r="I688" s="45">
        <f>G688*MIN(in_takeup_cap,INDEX('Age profile'!$O$2:$O$61,B688)*(1+in_approval_growth)^(D688-1))</f>
        <v/>
      </c>
      <c r="J688" s="40">
        <f>(J687-L687)*F688/F687</f>
        <v/>
      </c>
      <c r="K688" s="40">
        <f>(K687-M687)*F688/F687+SUMIFS(O656:O687,B656:B687,B688-1-d_T)*F688</f>
        <v/>
      </c>
      <c r="L688" s="40">
        <f>IF(B688&gt;=in_marketplace_from,J688*d_hz*G688*in_eligible*H688,0)</f>
        <v/>
      </c>
      <c r="M688" s="40">
        <f>IF(B688&gt;=in_marketplace_from,K688*d_hz*G688*in_eligible*in_approved_repeat,0)</f>
        <v/>
      </c>
      <c r="N688" s="40">
        <f>L688+M688</f>
        <v/>
      </c>
      <c r="O688" s="46">
        <f>N688/F688</f>
        <v/>
      </c>
      <c r="P688" s="40">
        <f>F688-J688-K688</f>
        <v/>
      </c>
      <c r="Q688" s="40">
        <f>IF(B688&gt;=in_marketplace_from,(J688+K688)*d_hz*G688,0)</f>
        <v/>
      </c>
      <c r="R688" s="40">
        <f>SUMIFS(N656:N703,B656:B703,"&gt;="&amp;(B688-d_T),B656:B703,"&lt;="&amp;(B688-1))</f>
        <v/>
      </c>
      <c r="S688" s="46">
        <f>(1-d_u)*S687+IF(d_T&gt;in_topup_lag,SUMIFS(O656:O703,B656:B703,B688-in_topup_lag)-d_udrop*SUMIFS(O656:O703,B656:B703,B688-d_T),0)</f>
        <v/>
      </c>
      <c r="T688" s="40">
        <f>F688*d_u*S688</f>
        <v/>
      </c>
      <c r="U688" s="9">
        <f>L688*in_ticket+M688*d_rep_ticket</f>
        <v/>
      </c>
      <c r="V688" s="9">
        <f>U688+T688*d_topup_amt</f>
        <v/>
      </c>
      <c r="W688" s="40">
        <f>N688+T688*d_topup_ratio</f>
        <v/>
      </c>
      <c r="X688" s="40">
        <f>SUMIFS(W656:W703,B656:B703,B688-in_dpd_lag)*d_cured</f>
        <v/>
      </c>
      <c r="Y688" s="40">
        <f>SUMIFS(W656:W703,B656:B703,B688-in_rec_lag)*d_recd</f>
        <v/>
      </c>
      <c r="Z688" s="40">
        <f>IF(AND(B688&gt;=in_marketplace_from,B688&lt;in_marketplace_from+in_card_months),in_card_share/in_card_months*F688*I688,IF(AND(B688&gt;=in_marketplace_from+in_card_months,B688&lt;in_marketplace_from+2*in_card_months),in_card_share*d_card_rem/in_card_months*F688*MIN(in_takeup_cap,(1+in_takeup_growth)^(D688-1))*MIN(in_takeup_cap,(1+in_approval_growth)^(D688-1)),0))</f>
        <v/>
      </c>
      <c r="AA688" s="14">
        <f>V688*in_fee*(1-in_taken_back)</f>
        <v/>
      </c>
      <c r="AB688" s="14">
        <f>SUMIFS(W656:W703,B656:B703,B688-in_dpd_lag)*d_dpd</f>
        <v/>
      </c>
      <c r="AC688" s="14">
        <f>SUMIFS(W656:W703,B656:B703,B688-in_rec_lag)*d_rec</f>
        <v/>
      </c>
      <c r="AD688" s="14">
        <f>Z688*in_card_fee</f>
        <v/>
      </c>
      <c r="AE688" s="40">
        <f>AE687*(1-IF(B687&gt;=in_marketplace_from,d_hz_hlth_small*G687,0))</f>
        <v/>
      </c>
      <c r="AF688" s="46">
        <f>AE688*IF(B688&gt;=in_marketplace_from,d_hz_hlth_small*G688,0)</f>
        <v/>
      </c>
      <c r="AG688" s="14">
        <f>F688*AF688*in_hlth_small_ticket*in_hlth_small_comm*in_ins_partner_share+F688*in_hlth_small_ticket*in_hlth_small_renew_comm*in_ins_partner_share*(in_hlth_small_renew^1*SUMIFS(AF656:AF703,B656:B703,B688-12)+in_hlth_small_renew^2*SUMIFS(AF656:AF703,B656:B703,B688-24)+in_hlth_small_renew^3*SUMIFS(AF656:AF703,B656:B703,B688-36)+in_hlth_small_renew^4*SUMIFS(AF656:AF703,B656:B703,B688-48))</f>
        <v/>
      </c>
      <c r="AH688" s="40">
        <f>AH687*(1-IF(B687&gt;=in_marketplace_from,d_hz_hlth_family*G687,0))</f>
        <v/>
      </c>
      <c r="AI688" s="46">
        <f>AH688*IF(B688&gt;=in_marketplace_from,d_hz_hlth_family*G688,0)</f>
        <v/>
      </c>
      <c r="AJ688" s="14">
        <f>F688*AI688*in_hlth_family_ticket*in_hlth_family_comm*in_ins_partner_share+F688*in_hlth_family_ticket*in_hlth_family_renew_comm*in_ins_partner_share*(in_hlth_family_renew^1*SUMIFS(AI656:AI703,B656:B703,B688-12)+in_hlth_family_renew^2*SUMIFS(AI656:AI703,B656:B703,B688-24)+in_hlth_family_renew^3*SUMIFS(AI656:AI703,B656:B703,B688-36)+in_hlth_family_renew^4*SUMIFS(AI656:AI703,B656:B703,B688-48))</f>
        <v/>
      </c>
      <c r="AK688" s="40">
        <f>AK687*(1-IF(B687&gt;=in_marketplace_from,d_hz_life_term*G687,0))</f>
        <v/>
      </c>
      <c r="AL688" s="46">
        <f>AK688*IF(B688&gt;=in_marketplace_from,d_hz_life_term*G688,0)</f>
        <v/>
      </c>
      <c r="AM688" s="14">
        <f>F688*AL688*in_life_term_ticket*in_life_term_comm*in_ins_partner_share+F688*in_life_term_ticket*in_life_term_renew_comm*in_ins_partner_share*(in_life_term_renew^1*SUMIFS(AL656:AL703,B656:B703,B688-12)+in_life_term_renew^2*SUMIFS(AL656:AL703,B656:B703,B688-24)+in_life_term_renew^3*SUMIFS(AL656:AL703,B656:B703,B688-36)+in_life_term_renew^4*SUMIFS(AL656:AL703,B656:B703,B688-48))</f>
        <v/>
      </c>
      <c r="AN688" s="40">
        <f>AN687*(1-IF(B687&gt;=in_marketplace_from,d_hz_accident*G687,0))</f>
        <v/>
      </c>
      <c r="AO688" s="46">
        <f>AN688*IF(B688&gt;=in_marketplace_from,d_hz_accident*G688,0)</f>
        <v/>
      </c>
      <c r="AP688" s="14">
        <f>F688*AO688*in_accident_ticket*in_accident_comm*in_ins_partner_share+F688*in_accident_ticket*in_accident_renew_comm*in_ins_partner_share*(in_accident_renew^1*SUMIFS(AO656:AO703,B656:B703,B688-12)+in_accident_renew^2*SUMIFS(AO656:AO703,B656:B703,B688-24)+in_accident_renew^3*SUMIFS(AO656:AO703,B656:B703,B688-36)+in_accident_renew^4*SUMIFS(AO656:AO703,B656:B703,B688-48))</f>
        <v/>
      </c>
      <c r="AQ688" s="40">
        <f>AQ687*(1-IF(B687&gt;=in_marketplace_from,d_hz_two_wheeler*G687,0))</f>
        <v/>
      </c>
      <c r="AR688" s="46">
        <f>AQ688*IF(B688&gt;=in_marketplace_from,d_hz_two_wheeler*G688,0)</f>
        <v/>
      </c>
      <c r="AS688" s="14">
        <f>F688*AR688*in_two_wheeler_ticket*in_two_wheeler_comm*in_ins_partner_share+F688*in_two_wheeler_ticket*in_two_wheeler_comm*in_ins_partner_share*(in_two_wheeler_renew^1*SUMIFS(AR656:AR703,B656:B703,B688-12)+in_two_wheeler_renew^2*SUMIFS(AR656:AR703,B656:B703,B688-24)+in_two_wheeler_renew^3*SUMIFS(AR656:AR703,B656:B703,B688-36)+in_two_wheeler_renew^4*SUMIFS(AR656:AR703,B656:B703,B688-48))</f>
        <v/>
      </c>
      <c r="AT688" s="40">
        <f>AT687*(1-IF(B687&gt;=in_marketplace_from,d_hz_device*G687,0))</f>
        <v/>
      </c>
      <c r="AU688" s="14">
        <f>F688*AT688*IF(B688&gt;=in_marketplace_from,d_hz_device*G688,0)*in_device_ticket*in_device_comm*in_ins_partner_share</f>
        <v/>
      </c>
      <c r="AV688" s="40">
        <f>AV687*(1-IF(B687&gt;=in_marketplace_from,d_hz_shop*G687,0))</f>
        <v/>
      </c>
      <c r="AW688" s="46">
        <f>AV688*IF(B688&gt;=in_marketplace_from,d_hz_shop*G688,0)</f>
        <v/>
      </c>
      <c r="AX688" s="14">
        <f>F688*AW688*in_shop_ticket*in_shop_comm*in_ins_partner_share+F688*in_shop_ticket*in_shop_renew_comm*in_ins_partner_share*(in_shop_renew^1*SUMIFS(AW656:AW703,B656:B703,B688-12)+in_shop_renew^2*SUMIFS(AW656:AW703,B656:B703,B688-24)+in_shop_renew^3*SUMIFS(AW656:AW703,B656:B703,B688-36)+in_shop_renew^4*SUMIFS(AW656:AW703,B656:B703,B688-48))</f>
        <v/>
      </c>
      <c r="AY688" s="40">
        <f>AY687*(1-IF(B687&gt;=in_marketplace_from,d_hz_sip*G687,0))</f>
        <v/>
      </c>
      <c r="AZ688" s="40">
        <f>AZ687*d_rho_sip+AY688*IF(B688&gt;=in_marketplace_from,d_hz_sip*G688,0)</f>
        <v/>
      </c>
      <c r="BA688" s="40">
        <f>d_rho_sip*(BA687+AZ687)</f>
        <v/>
      </c>
      <c r="BB688" s="14">
        <f>F688*in_sip_ticket*(BA688+0.5*AZ688)*in_sip_comm/12</f>
        <v/>
      </c>
      <c r="BC688" s="40">
        <f>BC687*(1-IF(B687&gt;=in_marketplace_from,d_hz_choti*G687,0))</f>
        <v/>
      </c>
      <c r="BD688" s="46">
        <f>BC688*IF(B688&gt;=in_marketplace_from,d_hz_choti*G688,0)</f>
        <v/>
      </c>
      <c r="BE688" s="14">
        <f>F688*SUMIFS(BD656:BD703,B656:B703,B688-in_choti_months)*in_choti_renew*in_choti_ticket</f>
        <v/>
      </c>
      <c r="BF688" s="40">
        <f>BF687*(1-IF(B687&gt;=in_marketplace_from,d_hz_nps*G687,0))</f>
        <v/>
      </c>
      <c r="BG688" s="14">
        <f>F688*BF688*IF(B688&gt;=in_marketplace_from,d_hz_nps*G688,0)*in_nps_ticket*in_nps_comm</f>
        <v/>
      </c>
      <c r="BH688" s="40">
        <f>BH687*(1-IF(B687&gt;=in_marketplace_from,d_hz_gold*G687,0))</f>
        <v/>
      </c>
      <c r="BI688" s="40">
        <f>BI687*d_rho_gold+BH688*IF(B688&gt;=in_marketplace_from,d_hz_gold*G688,0)</f>
        <v/>
      </c>
      <c r="BJ688" s="14">
        <f>F688*BI688*in_gold_ticket*in_gold_comm</f>
        <v/>
      </c>
      <c r="BK688" s="40">
        <f>BK687*(1-IF(B687&gt;=in_marketplace_from,d_hz_fd*G687,0))</f>
        <v/>
      </c>
      <c r="BL688" s="14">
        <f>F688*BK688*IF(B688&gt;=in_marketplace_from,d_hz_fd*G688,0)*in_fd_ticket*in_fd_comm</f>
        <v/>
      </c>
      <c r="BM688" s="40">
        <f>BM687*(1-IF(B687&gt;=in_marketplace_from,d_hz_recharge*G687,0))</f>
        <v/>
      </c>
      <c r="BN688" s="40">
        <f>BN687*d_rho_recharge+BM688*IF(B688&gt;=in_marketplace_from,d_hz_recharge*G688,0)</f>
        <v/>
      </c>
      <c r="BO688" s="14">
        <f>F688*BN688*in_recharge_ticket*in_recharge_comm/12</f>
        <v/>
      </c>
      <c r="BP688" s="40">
        <f>BP687*(1-IF(B687&gt;=in_marketplace_from,d_hz_bills*G687,0))</f>
        <v/>
      </c>
      <c r="BQ688" s="40">
        <f>BQ687*d_rho_bills+BP688*IF(B688&gt;=in_marketplace_from,d_hz_bills*G688,0)</f>
        <v/>
      </c>
      <c r="BR688" s="14">
        <f>F688*BQ688*in_bills_ticket*in_bills_comm/12</f>
        <v/>
      </c>
      <c r="BS688" s="40">
        <f>BS687*(1-IF(B687&gt;=in_marketplace_from,d_hz_loan_gold*G687,0))</f>
        <v/>
      </c>
      <c r="BT688" s="14">
        <f>F688*BS688*IF(B688&gt;=in_marketplace_from,d_hz_loan_gold*G688,0)*in_loan_gold_ticket*in_loan_gold_comm</f>
        <v/>
      </c>
      <c r="BU688" s="40">
        <f>BU687*(1-IF(B687&gt;=in_marketplace_from,d_hz_loan_cd*G687,0))</f>
        <v/>
      </c>
      <c r="BV688" s="14">
        <f>F688*BU688*IF(B688&gt;=in_marketplace_from,d_hz_loan_cd*G688,0)*in_loan_cd_ticket*in_loan_cd_comm</f>
        <v/>
      </c>
      <c r="BW688" s="40">
        <f>BW687*(1-IF(B687&gt;=in_marketplace_from,d_hz_loan_vehicle*G687,0))</f>
        <v/>
      </c>
      <c r="BX688" s="14">
        <f>F688*BW688*IF(B688&gt;=in_marketplace_from,d_hz_loan_vehicle*G688,0)*in_loan_vehicle_ticket*in_loan_vehicle_comm</f>
        <v/>
      </c>
      <c r="BY688" s="40">
        <f>BY687*(1-IF(B687&gt;=in_marketplace_from,d_hz_loan_home*G687,0)*BZ687)</f>
        <v/>
      </c>
      <c r="BZ688" s="11">
        <f>MIN(in_approval_cap,in_loan_home_approval*INDEX('Age profile'!$O$2:$O$61,B688)*(1+in_approval_growth)^(D688-1))</f>
        <v/>
      </c>
      <c r="CA688" s="14">
        <f>F688*BY688*IF(B688&gt;=in_marketplace_from,d_hz_loan_home*G688,0)*BZ688*in_loan_home_ticket*in_loan_home_comm</f>
        <v/>
      </c>
      <c r="CB688" s="40">
        <f>CB687*(1-IF(B687&gt;=in_marketplace_from,d_hz_loan_lap*G687,0)*CC687)</f>
        <v/>
      </c>
      <c r="CC688" s="11">
        <f>MIN(in_approval_cap,in_loan_lap_approval*INDEX('Age profile'!$O$2:$O$61,B688)*(1+in_approval_growth)^(D688-1))</f>
        <v/>
      </c>
      <c r="CD688" s="14">
        <f>F688*CB688*IF(B688&gt;=in_marketplace_from,d_hz_loan_lap*G688,0)*CC688*in_loan_lap_ticket*in_loan_lap_comm</f>
        <v/>
      </c>
      <c r="CE688" s="14">
        <f>AA688+AB688+AC688+AD688+AG688+AJ688+AM688+AP688+AS688+AU688+AX688+BB688+BE688+BG688+BJ688+BL688+BO688+BR688+BT688+BV688+BX688+CA688+CD688</f>
        <v/>
      </c>
    </row>
    <row r="689">
      <c r="A689" s="39" t="n">
        <v>13</v>
      </c>
      <c r="B689" s="39" t="n">
        <v>34</v>
      </c>
      <c r="C689" s="39">
        <f>A689+B689-1</f>
        <v/>
      </c>
      <c r="D689" s="39">
        <f>INT((C689-1)/12)+1</f>
        <v/>
      </c>
      <c r="E689" s="44">
        <f>INDEX(Monthly!$B$2:$B$61,A689)</f>
        <v/>
      </c>
      <c r="F689" s="44">
        <f>E689*INDEX('Age profile'!$B$2:$B$61,B689)</f>
        <v/>
      </c>
      <c r="G689" s="45">
        <f>MIN(in_takeup_cap,INDEX('Age profile'!$N$2:$N$61,B689)*(1+in_takeup_growth)^(D689-1))</f>
        <v/>
      </c>
      <c r="H689" s="11">
        <f>MIN(in_approval_cap,in_approved_first*INDEX('Age profile'!$O$2:$O$61,B689)*(1+in_approval_growth)^(D689-1))</f>
        <v/>
      </c>
      <c r="I689" s="45">
        <f>G689*MIN(in_takeup_cap,INDEX('Age profile'!$O$2:$O$61,B689)*(1+in_approval_growth)^(D689-1))</f>
        <v/>
      </c>
      <c r="J689" s="40">
        <f>(J688-L688)*F689/F688</f>
        <v/>
      </c>
      <c r="K689" s="40">
        <f>(K688-M688)*F689/F688+SUMIFS(O656:O688,B656:B688,B689-1-d_T)*F689</f>
        <v/>
      </c>
      <c r="L689" s="40">
        <f>IF(B689&gt;=in_marketplace_from,J689*d_hz*G689*in_eligible*H689,0)</f>
        <v/>
      </c>
      <c r="M689" s="40">
        <f>IF(B689&gt;=in_marketplace_from,K689*d_hz*G689*in_eligible*in_approved_repeat,0)</f>
        <v/>
      </c>
      <c r="N689" s="40">
        <f>L689+M689</f>
        <v/>
      </c>
      <c r="O689" s="46">
        <f>N689/F689</f>
        <v/>
      </c>
      <c r="P689" s="40">
        <f>F689-J689-K689</f>
        <v/>
      </c>
      <c r="Q689" s="40">
        <f>IF(B689&gt;=in_marketplace_from,(J689+K689)*d_hz*G689,0)</f>
        <v/>
      </c>
      <c r="R689" s="40">
        <f>SUMIFS(N656:N703,B656:B703,"&gt;="&amp;(B689-d_T),B656:B703,"&lt;="&amp;(B689-1))</f>
        <v/>
      </c>
      <c r="S689" s="46">
        <f>(1-d_u)*S688+IF(d_T&gt;in_topup_lag,SUMIFS(O656:O703,B656:B703,B689-in_topup_lag)-d_udrop*SUMIFS(O656:O703,B656:B703,B689-d_T),0)</f>
        <v/>
      </c>
      <c r="T689" s="40">
        <f>F689*d_u*S689</f>
        <v/>
      </c>
      <c r="U689" s="9">
        <f>L689*in_ticket+M689*d_rep_ticket</f>
        <v/>
      </c>
      <c r="V689" s="9">
        <f>U689+T689*d_topup_amt</f>
        <v/>
      </c>
      <c r="W689" s="40">
        <f>N689+T689*d_topup_ratio</f>
        <v/>
      </c>
      <c r="X689" s="40">
        <f>SUMIFS(W656:W703,B656:B703,B689-in_dpd_lag)*d_cured</f>
        <v/>
      </c>
      <c r="Y689" s="40">
        <f>SUMIFS(W656:W703,B656:B703,B689-in_rec_lag)*d_recd</f>
        <v/>
      </c>
      <c r="Z689" s="40">
        <f>IF(AND(B689&gt;=in_marketplace_from,B689&lt;in_marketplace_from+in_card_months),in_card_share/in_card_months*F689*I689,IF(AND(B689&gt;=in_marketplace_from+in_card_months,B689&lt;in_marketplace_from+2*in_card_months),in_card_share*d_card_rem/in_card_months*F689*MIN(in_takeup_cap,(1+in_takeup_growth)^(D689-1))*MIN(in_takeup_cap,(1+in_approval_growth)^(D689-1)),0))</f>
        <v/>
      </c>
      <c r="AA689" s="14">
        <f>V689*in_fee*(1-in_taken_back)</f>
        <v/>
      </c>
      <c r="AB689" s="14">
        <f>SUMIFS(W656:W703,B656:B703,B689-in_dpd_lag)*d_dpd</f>
        <v/>
      </c>
      <c r="AC689" s="14">
        <f>SUMIFS(W656:W703,B656:B703,B689-in_rec_lag)*d_rec</f>
        <v/>
      </c>
      <c r="AD689" s="14">
        <f>Z689*in_card_fee</f>
        <v/>
      </c>
      <c r="AE689" s="40">
        <f>AE688*(1-IF(B688&gt;=in_marketplace_from,d_hz_hlth_small*G688,0))</f>
        <v/>
      </c>
      <c r="AF689" s="46">
        <f>AE689*IF(B689&gt;=in_marketplace_from,d_hz_hlth_small*G689,0)</f>
        <v/>
      </c>
      <c r="AG689" s="14">
        <f>F689*AF689*in_hlth_small_ticket*in_hlth_small_comm*in_ins_partner_share+F689*in_hlth_small_ticket*in_hlth_small_renew_comm*in_ins_partner_share*(in_hlth_small_renew^1*SUMIFS(AF656:AF703,B656:B703,B689-12)+in_hlth_small_renew^2*SUMIFS(AF656:AF703,B656:B703,B689-24)+in_hlth_small_renew^3*SUMIFS(AF656:AF703,B656:B703,B689-36)+in_hlth_small_renew^4*SUMIFS(AF656:AF703,B656:B703,B689-48))</f>
        <v/>
      </c>
      <c r="AH689" s="40">
        <f>AH688*(1-IF(B688&gt;=in_marketplace_from,d_hz_hlth_family*G688,0))</f>
        <v/>
      </c>
      <c r="AI689" s="46">
        <f>AH689*IF(B689&gt;=in_marketplace_from,d_hz_hlth_family*G689,0)</f>
        <v/>
      </c>
      <c r="AJ689" s="14">
        <f>F689*AI689*in_hlth_family_ticket*in_hlth_family_comm*in_ins_partner_share+F689*in_hlth_family_ticket*in_hlth_family_renew_comm*in_ins_partner_share*(in_hlth_family_renew^1*SUMIFS(AI656:AI703,B656:B703,B689-12)+in_hlth_family_renew^2*SUMIFS(AI656:AI703,B656:B703,B689-24)+in_hlth_family_renew^3*SUMIFS(AI656:AI703,B656:B703,B689-36)+in_hlth_family_renew^4*SUMIFS(AI656:AI703,B656:B703,B689-48))</f>
        <v/>
      </c>
      <c r="AK689" s="40">
        <f>AK688*(1-IF(B688&gt;=in_marketplace_from,d_hz_life_term*G688,0))</f>
        <v/>
      </c>
      <c r="AL689" s="46">
        <f>AK689*IF(B689&gt;=in_marketplace_from,d_hz_life_term*G689,0)</f>
        <v/>
      </c>
      <c r="AM689" s="14">
        <f>F689*AL689*in_life_term_ticket*in_life_term_comm*in_ins_partner_share+F689*in_life_term_ticket*in_life_term_renew_comm*in_ins_partner_share*(in_life_term_renew^1*SUMIFS(AL656:AL703,B656:B703,B689-12)+in_life_term_renew^2*SUMIFS(AL656:AL703,B656:B703,B689-24)+in_life_term_renew^3*SUMIFS(AL656:AL703,B656:B703,B689-36)+in_life_term_renew^4*SUMIFS(AL656:AL703,B656:B703,B689-48))</f>
        <v/>
      </c>
      <c r="AN689" s="40">
        <f>AN688*(1-IF(B688&gt;=in_marketplace_from,d_hz_accident*G688,0))</f>
        <v/>
      </c>
      <c r="AO689" s="46">
        <f>AN689*IF(B689&gt;=in_marketplace_from,d_hz_accident*G689,0)</f>
        <v/>
      </c>
      <c r="AP689" s="14">
        <f>F689*AO689*in_accident_ticket*in_accident_comm*in_ins_partner_share+F689*in_accident_ticket*in_accident_renew_comm*in_ins_partner_share*(in_accident_renew^1*SUMIFS(AO656:AO703,B656:B703,B689-12)+in_accident_renew^2*SUMIFS(AO656:AO703,B656:B703,B689-24)+in_accident_renew^3*SUMIFS(AO656:AO703,B656:B703,B689-36)+in_accident_renew^4*SUMIFS(AO656:AO703,B656:B703,B689-48))</f>
        <v/>
      </c>
      <c r="AQ689" s="40">
        <f>AQ688*(1-IF(B688&gt;=in_marketplace_from,d_hz_two_wheeler*G688,0))</f>
        <v/>
      </c>
      <c r="AR689" s="46">
        <f>AQ689*IF(B689&gt;=in_marketplace_from,d_hz_two_wheeler*G689,0)</f>
        <v/>
      </c>
      <c r="AS689" s="14">
        <f>F689*AR689*in_two_wheeler_ticket*in_two_wheeler_comm*in_ins_partner_share+F689*in_two_wheeler_ticket*in_two_wheeler_comm*in_ins_partner_share*(in_two_wheeler_renew^1*SUMIFS(AR656:AR703,B656:B703,B689-12)+in_two_wheeler_renew^2*SUMIFS(AR656:AR703,B656:B703,B689-24)+in_two_wheeler_renew^3*SUMIFS(AR656:AR703,B656:B703,B689-36)+in_two_wheeler_renew^4*SUMIFS(AR656:AR703,B656:B703,B689-48))</f>
        <v/>
      </c>
      <c r="AT689" s="40">
        <f>AT688*(1-IF(B688&gt;=in_marketplace_from,d_hz_device*G688,0))</f>
        <v/>
      </c>
      <c r="AU689" s="14">
        <f>F689*AT689*IF(B689&gt;=in_marketplace_from,d_hz_device*G689,0)*in_device_ticket*in_device_comm*in_ins_partner_share</f>
        <v/>
      </c>
      <c r="AV689" s="40">
        <f>AV688*(1-IF(B688&gt;=in_marketplace_from,d_hz_shop*G688,0))</f>
        <v/>
      </c>
      <c r="AW689" s="46">
        <f>AV689*IF(B689&gt;=in_marketplace_from,d_hz_shop*G689,0)</f>
        <v/>
      </c>
      <c r="AX689" s="14">
        <f>F689*AW689*in_shop_ticket*in_shop_comm*in_ins_partner_share+F689*in_shop_ticket*in_shop_renew_comm*in_ins_partner_share*(in_shop_renew^1*SUMIFS(AW656:AW703,B656:B703,B689-12)+in_shop_renew^2*SUMIFS(AW656:AW703,B656:B703,B689-24)+in_shop_renew^3*SUMIFS(AW656:AW703,B656:B703,B689-36)+in_shop_renew^4*SUMIFS(AW656:AW703,B656:B703,B689-48))</f>
        <v/>
      </c>
      <c r="AY689" s="40">
        <f>AY688*(1-IF(B688&gt;=in_marketplace_from,d_hz_sip*G688,0))</f>
        <v/>
      </c>
      <c r="AZ689" s="40">
        <f>AZ688*d_rho_sip+AY689*IF(B689&gt;=in_marketplace_from,d_hz_sip*G689,0)</f>
        <v/>
      </c>
      <c r="BA689" s="40">
        <f>d_rho_sip*(BA688+AZ688)</f>
        <v/>
      </c>
      <c r="BB689" s="14">
        <f>F689*in_sip_ticket*(BA689+0.5*AZ689)*in_sip_comm/12</f>
        <v/>
      </c>
      <c r="BC689" s="40">
        <f>BC688*(1-IF(B688&gt;=in_marketplace_from,d_hz_choti*G688,0))</f>
        <v/>
      </c>
      <c r="BD689" s="46">
        <f>BC689*IF(B689&gt;=in_marketplace_from,d_hz_choti*G689,0)</f>
        <v/>
      </c>
      <c r="BE689" s="14">
        <f>F689*SUMIFS(BD656:BD703,B656:B703,B689-in_choti_months)*in_choti_renew*in_choti_ticket</f>
        <v/>
      </c>
      <c r="BF689" s="40">
        <f>BF688*(1-IF(B688&gt;=in_marketplace_from,d_hz_nps*G688,0))</f>
        <v/>
      </c>
      <c r="BG689" s="14">
        <f>F689*BF689*IF(B689&gt;=in_marketplace_from,d_hz_nps*G689,0)*in_nps_ticket*in_nps_comm</f>
        <v/>
      </c>
      <c r="BH689" s="40">
        <f>BH688*(1-IF(B688&gt;=in_marketplace_from,d_hz_gold*G688,0))</f>
        <v/>
      </c>
      <c r="BI689" s="40">
        <f>BI688*d_rho_gold+BH689*IF(B689&gt;=in_marketplace_from,d_hz_gold*G689,0)</f>
        <v/>
      </c>
      <c r="BJ689" s="14">
        <f>F689*BI689*in_gold_ticket*in_gold_comm</f>
        <v/>
      </c>
      <c r="BK689" s="40">
        <f>BK688*(1-IF(B688&gt;=in_marketplace_from,d_hz_fd*G688,0))</f>
        <v/>
      </c>
      <c r="BL689" s="14">
        <f>F689*BK689*IF(B689&gt;=in_marketplace_from,d_hz_fd*G689,0)*in_fd_ticket*in_fd_comm</f>
        <v/>
      </c>
      <c r="BM689" s="40">
        <f>BM688*(1-IF(B688&gt;=in_marketplace_from,d_hz_recharge*G688,0))</f>
        <v/>
      </c>
      <c r="BN689" s="40">
        <f>BN688*d_rho_recharge+BM689*IF(B689&gt;=in_marketplace_from,d_hz_recharge*G689,0)</f>
        <v/>
      </c>
      <c r="BO689" s="14">
        <f>F689*BN689*in_recharge_ticket*in_recharge_comm/12</f>
        <v/>
      </c>
      <c r="BP689" s="40">
        <f>BP688*(1-IF(B688&gt;=in_marketplace_from,d_hz_bills*G688,0))</f>
        <v/>
      </c>
      <c r="BQ689" s="40">
        <f>BQ688*d_rho_bills+BP689*IF(B689&gt;=in_marketplace_from,d_hz_bills*G689,0)</f>
        <v/>
      </c>
      <c r="BR689" s="14">
        <f>F689*BQ689*in_bills_ticket*in_bills_comm/12</f>
        <v/>
      </c>
      <c r="BS689" s="40">
        <f>BS688*(1-IF(B688&gt;=in_marketplace_from,d_hz_loan_gold*G688,0))</f>
        <v/>
      </c>
      <c r="BT689" s="14">
        <f>F689*BS689*IF(B689&gt;=in_marketplace_from,d_hz_loan_gold*G689,0)*in_loan_gold_ticket*in_loan_gold_comm</f>
        <v/>
      </c>
      <c r="BU689" s="40">
        <f>BU688*(1-IF(B688&gt;=in_marketplace_from,d_hz_loan_cd*G688,0))</f>
        <v/>
      </c>
      <c r="BV689" s="14">
        <f>F689*BU689*IF(B689&gt;=in_marketplace_from,d_hz_loan_cd*G689,0)*in_loan_cd_ticket*in_loan_cd_comm</f>
        <v/>
      </c>
      <c r="BW689" s="40">
        <f>BW688*(1-IF(B688&gt;=in_marketplace_from,d_hz_loan_vehicle*G688,0))</f>
        <v/>
      </c>
      <c r="BX689" s="14">
        <f>F689*BW689*IF(B689&gt;=in_marketplace_from,d_hz_loan_vehicle*G689,0)*in_loan_vehicle_ticket*in_loan_vehicle_comm</f>
        <v/>
      </c>
      <c r="BY689" s="40">
        <f>BY688*(1-IF(B688&gt;=in_marketplace_from,d_hz_loan_home*G688,0)*BZ688)</f>
        <v/>
      </c>
      <c r="BZ689" s="11">
        <f>MIN(in_approval_cap,in_loan_home_approval*INDEX('Age profile'!$O$2:$O$61,B689)*(1+in_approval_growth)^(D689-1))</f>
        <v/>
      </c>
      <c r="CA689" s="14">
        <f>F689*BY689*IF(B689&gt;=in_marketplace_from,d_hz_loan_home*G689,0)*BZ689*in_loan_home_ticket*in_loan_home_comm</f>
        <v/>
      </c>
      <c r="CB689" s="40">
        <f>CB688*(1-IF(B688&gt;=in_marketplace_from,d_hz_loan_lap*G688,0)*CC688)</f>
        <v/>
      </c>
      <c r="CC689" s="11">
        <f>MIN(in_approval_cap,in_loan_lap_approval*INDEX('Age profile'!$O$2:$O$61,B689)*(1+in_approval_growth)^(D689-1))</f>
        <v/>
      </c>
      <c r="CD689" s="14">
        <f>F689*CB689*IF(B689&gt;=in_marketplace_from,d_hz_loan_lap*G689,0)*CC689*in_loan_lap_ticket*in_loan_lap_comm</f>
        <v/>
      </c>
      <c r="CE689" s="14">
        <f>AA689+AB689+AC689+AD689+AG689+AJ689+AM689+AP689+AS689+AU689+AX689+BB689+BE689+BG689+BJ689+BL689+BO689+BR689+BT689+BV689+BX689+CA689+CD689</f>
        <v/>
      </c>
    </row>
    <row r="690">
      <c r="A690" s="39" t="n">
        <v>13</v>
      </c>
      <c r="B690" s="39" t="n">
        <v>35</v>
      </c>
      <c r="C690" s="39">
        <f>A690+B690-1</f>
        <v/>
      </c>
      <c r="D690" s="39">
        <f>INT((C690-1)/12)+1</f>
        <v/>
      </c>
      <c r="E690" s="44">
        <f>INDEX(Monthly!$B$2:$B$61,A690)</f>
        <v/>
      </c>
      <c r="F690" s="44">
        <f>E690*INDEX('Age profile'!$B$2:$B$61,B690)</f>
        <v/>
      </c>
      <c r="G690" s="45">
        <f>MIN(in_takeup_cap,INDEX('Age profile'!$N$2:$N$61,B690)*(1+in_takeup_growth)^(D690-1))</f>
        <v/>
      </c>
      <c r="H690" s="11">
        <f>MIN(in_approval_cap,in_approved_first*INDEX('Age profile'!$O$2:$O$61,B690)*(1+in_approval_growth)^(D690-1))</f>
        <v/>
      </c>
      <c r="I690" s="45">
        <f>G690*MIN(in_takeup_cap,INDEX('Age profile'!$O$2:$O$61,B690)*(1+in_approval_growth)^(D690-1))</f>
        <v/>
      </c>
      <c r="J690" s="40">
        <f>(J689-L689)*F690/F689</f>
        <v/>
      </c>
      <c r="K690" s="40">
        <f>(K689-M689)*F690/F689+SUMIFS(O656:O689,B656:B689,B690-1-d_T)*F690</f>
        <v/>
      </c>
      <c r="L690" s="40">
        <f>IF(B690&gt;=in_marketplace_from,J690*d_hz*G690*in_eligible*H690,0)</f>
        <v/>
      </c>
      <c r="M690" s="40">
        <f>IF(B690&gt;=in_marketplace_from,K690*d_hz*G690*in_eligible*in_approved_repeat,0)</f>
        <v/>
      </c>
      <c r="N690" s="40">
        <f>L690+M690</f>
        <v/>
      </c>
      <c r="O690" s="46">
        <f>N690/F690</f>
        <v/>
      </c>
      <c r="P690" s="40">
        <f>F690-J690-K690</f>
        <v/>
      </c>
      <c r="Q690" s="40">
        <f>IF(B690&gt;=in_marketplace_from,(J690+K690)*d_hz*G690,0)</f>
        <v/>
      </c>
      <c r="R690" s="40">
        <f>SUMIFS(N656:N703,B656:B703,"&gt;="&amp;(B690-d_T),B656:B703,"&lt;="&amp;(B690-1))</f>
        <v/>
      </c>
      <c r="S690" s="46">
        <f>(1-d_u)*S689+IF(d_T&gt;in_topup_lag,SUMIFS(O656:O703,B656:B703,B690-in_topup_lag)-d_udrop*SUMIFS(O656:O703,B656:B703,B690-d_T),0)</f>
        <v/>
      </c>
      <c r="T690" s="40">
        <f>F690*d_u*S690</f>
        <v/>
      </c>
      <c r="U690" s="9">
        <f>L690*in_ticket+M690*d_rep_ticket</f>
        <v/>
      </c>
      <c r="V690" s="9">
        <f>U690+T690*d_topup_amt</f>
        <v/>
      </c>
      <c r="W690" s="40">
        <f>N690+T690*d_topup_ratio</f>
        <v/>
      </c>
      <c r="X690" s="40">
        <f>SUMIFS(W656:W703,B656:B703,B690-in_dpd_lag)*d_cured</f>
        <v/>
      </c>
      <c r="Y690" s="40">
        <f>SUMIFS(W656:W703,B656:B703,B690-in_rec_lag)*d_recd</f>
        <v/>
      </c>
      <c r="Z690" s="40">
        <f>IF(AND(B690&gt;=in_marketplace_from,B690&lt;in_marketplace_from+in_card_months),in_card_share/in_card_months*F690*I690,IF(AND(B690&gt;=in_marketplace_from+in_card_months,B690&lt;in_marketplace_from+2*in_card_months),in_card_share*d_card_rem/in_card_months*F690*MIN(in_takeup_cap,(1+in_takeup_growth)^(D690-1))*MIN(in_takeup_cap,(1+in_approval_growth)^(D690-1)),0))</f>
        <v/>
      </c>
      <c r="AA690" s="14">
        <f>V690*in_fee*(1-in_taken_back)</f>
        <v/>
      </c>
      <c r="AB690" s="14">
        <f>SUMIFS(W656:W703,B656:B703,B690-in_dpd_lag)*d_dpd</f>
        <v/>
      </c>
      <c r="AC690" s="14">
        <f>SUMIFS(W656:W703,B656:B703,B690-in_rec_lag)*d_rec</f>
        <v/>
      </c>
      <c r="AD690" s="14">
        <f>Z690*in_card_fee</f>
        <v/>
      </c>
      <c r="AE690" s="40">
        <f>AE689*(1-IF(B689&gt;=in_marketplace_from,d_hz_hlth_small*G689,0))</f>
        <v/>
      </c>
      <c r="AF690" s="46">
        <f>AE690*IF(B690&gt;=in_marketplace_from,d_hz_hlth_small*G690,0)</f>
        <v/>
      </c>
      <c r="AG690" s="14">
        <f>F690*AF690*in_hlth_small_ticket*in_hlth_small_comm*in_ins_partner_share+F690*in_hlth_small_ticket*in_hlth_small_renew_comm*in_ins_partner_share*(in_hlth_small_renew^1*SUMIFS(AF656:AF703,B656:B703,B690-12)+in_hlth_small_renew^2*SUMIFS(AF656:AF703,B656:B703,B690-24)+in_hlth_small_renew^3*SUMIFS(AF656:AF703,B656:B703,B690-36)+in_hlth_small_renew^4*SUMIFS(AF656:AF703,B656:B703,B690-48))</f>
        <v/>
      </c>
      <c r="AH690" s="40">
        <f>AH689*(1-IF(B689&gt;=in_marketplace_from,d_hz_hlth_family*G689,0))</f>
        <v/>
      </c>
      <c r="AI690" s="46">
        <f>AH690*IF(B690&gt;=in_marketplace_from,d_hz_hlth_family*G690,0)</f>
        <v/>
      </c>
      <c r="AJ690" s="14">
        <f>F690*AI690*in_hlth_family_ticket*in_hlth_family_comm*in_ins_partner_share+F690*in_hlth_family_ticket*in_hlth_family_renew_comm*in_ins_partner_share*(in_hlth_family_renew^1*SUMIFS(AI656:AI703,B656:B703,B690-12)+in_hlth_family_renew^2*SUMIFS(AI656:AI703,B656:B703,B690-24)+in_hlth_family_renew^3*SUMIFS(AI656:AI703,B656:B703,B690-36)+in_hlth_family_renew^4*SUMIFS(AI656:AI703,B656:B703,B690-48))</f>
        <v/>
      </c>
      <c r="AK690" s="40">
        <f>AK689*(1-IF(B689&gt;=in_marketplace_from,d_hz_life_term*G689,0))</f>
        <v/>
      </c>
      <c r="AL690" s="46">
        <f>AK690*IF(B690&gt;=in_marketplace_from,d_hz_life_term*G690,0)</f>
        <v/>
      </c>
      <c r="AM690" s="14">
        <f>F690*AL690*in_life_term_ticket*in_life_term_comm*in_ins_partner_share+F690*in_life_term_ticket*in_life_term_renew_comm*in_ins_partner_share*(in_life_term_renew^1*SUMIFS(AL656:AL703,B656:B703,B690-12)+in_life_term_renew^2*SUMIFS(AL656:AL703,B656:B703,B690-24)+in_life_term_renew^3*SUMIFS(AL656:AL703,B656:B703,B690-36)+in_life_term_renew^4*SUMIFS(AL656:AL703,B656:B703,B690-48))</f>
        <v/>
      </c>
      <c r="AN690" s="40">
        <f>AN689*(1-IF(B689&gt;=in_marketplace_from,d_hz_accident*G689,0))</f>
        <v/>
      </c>
      <c r="AO690" s="46">
        <f>AN690*IF(B690&gt;=in_marketplace_from,d_hz_accident*G690,0)</f>
        <v/>
      </c>
      <c r="AP690" s="14">
        <f>F690*AO690*in_accident_ticket*in_accident_comm*in_ins_partner_share+F690*in_accident_ticket*in_accident_renew_comm*in_ins_partner_share*(in_accident_renew^1*SUMIFS(AO656:AO703,B656:B703,B690-12)+in_accident_renew^2*SUMIFS(AO656:AO703,B656:B703,B690-24)+in_accident_renew^3*SUMIFS(AO656:AO703,B656:B703,B690-36)+in_accident_renew^4*SUMIFS(AO656:AO703,B656:B703,B690-48))</f>
        <v/>
      </c>
      <c r="AQ690" s="40">
        <f>AQ689*(1-IF(B689&gt;=in_marketplace_from,d_hz_two_wheeler*G689,0))</f>
        <v/>
      </c>
      <c r="AR690" s="46">
        <f>AQ690*IF(B690&gt;=in_marketplace_from,d_hz_two_wheeler*G690,0)</f>
        <v/>
      </c>
      <c r="AS690" s="14">
        <f>F690*AR690*in_two_wheeler_ticket*in_two_wheeler_comm*in_ins_partner_share+F690*in_two_wheeler_ticket*in_two_wheeler_comm*in_ins_partner_share*(in_two_wheeler_renew^1*SUMIFS(AR656:AR703,B656:B703,B690-12)+in_two_wheeler_renew^2*SUMIFS(AR656:AR703,B656:B703,B690-24)+in_two_wheeler_renew^3*SUMIFS(AR656:AR703,B656:B703,B690-36)+in_two_wheeler_renew^4*SUMIFS(AR656:AR703,B656:B703,B690-48))</f>
        <v/>
      </c>
      <c r="AT690" s="40">
        <f>AT689*(1-IF(B689&gt;=in_marketplace_from,d_hz_device*G689,0))</f>
        <v/>
      </c>
      <c r="AU690" s="14">
        <f>F690*AT690*IF(B690&gt;=in_marketplace_from,d_hz_device*G690,0)*in_device_ticket*in_device_comm*in_ins_partner_share</f>
        <v/>
      </c>
      <c r="AV690" s="40">
        <f>AV689*(1-IF(B689&gt;=in_marketplace_from,d_hz_shop*G689,0))</f>
        <v/>
      </c>
      <c r="AW690" s="46">
        <f>AV690*IF(B690&gt;=in_marketplace_from,d_hz_shop*G690,0)</f>
        <v/>
      </c>
      <c r="AX690" s="14">
        <f>F690*AW690*in_shop_ticket*in_shop_comm*in_ins_partner_share+F690*in_shop_ticket*in_shop_renew_comm*in_ins_partner_share*(in_shop_renew^1*SUMIFS(AW656:AW703,B656:B703,B690-12)+in_shop_renew^2*SUMIFS(AW656:AW703,B656:B703,B690-24)+in_shop_renew^3*SUMIFS(AW656:AW703,B656:B703,B690-36)+in_shop_renew^4*SUMIFS(AW656:AW703,B656:B703,B690-48))</f>
        <v/>
      </c>
      <c r="AY690" s="40">
        <f>AY689*(1-IF(B689&gt;=in_marketplace_from,d_hz_sip*G689,0))</f>
        <v/>
      </c>
      <c r="AZ690" s="40">
        <f>AZ689*d_rho_sip+AY690*IF(B690&gt;=in_marketplace_from,d_hz_sip*G690,0)</f>
        <v/>
      </c>
      <c r="BA690" s="40">
        <f>d_rho_sip*(BA689+AZ689)</f>
        <v/>
      </c>
      <c r="BB690" s="14">
        <f>F690*in_sip_ticket*(BA690+0.5*AZ690)*in_sip_comm/12</f>
        <v/>
      </c>
      <c r="BC690" s="40">
        <f>BC689*(1-IF(B689&gt;=in_marketplace_from,d_hz_choti*G689,0))</f>
        <v/>
      </c>
      <c r="BD690" s="46">
        <f>BC690*IF(B690&gt;=in_marketplace_from,d_hz_choti*G690,0)</f>
        <v/>
      </c>
      <c r="BE690" s="14">
        <f>F690*SUMIFS(BD656:BD703,B656:B703,B690-in_choti_months)*in_choti_renew*in_choti_ticket</f>
        <v/>
      </c>
      <c r="BF690" s="40">
        <f>BF689*(1-IF(B689&gt;=in_marketplace_from,d_hz_nps*G689,0))</f>
        <v/>
      </c>
      <c r="BG690" s="14">
        <f>F690*BF690*IF(B690&gt;=in_marketplace_from,d_hz_nps*G690,0)*in_nps_ticket*in_nps_comm</f>
        <v/>
      </c>
      <c r="BH690" s="40">
        <f>BH689*(1-IF(B689&gt;=in_marketplace_from,d_hz_gold*G689,0))</f>
        <v/>
      </c>
      <c r="BI690" s="40">
        <f>BI689*d_rho_gold+BH690*IF(B690&gt;=in_marketplace_from,d_hz_gold*G690,0)</f>
        <v/>
      </c>
      <c r="BJ690" s="14">
        <f>F690*BI690*in_gold_ticket*in_gold_comm</f>
        <v/>
      </c>
      <c r="BK690" s="40">
        <f>BK689*(1-IF(B689&gt;=in_marketplace_from,d_hz_fd*G689,0))</f>
        <v/>
      </c>
      <c r="BL690" s="14">
        <f>F690*BK690*IF(B690&gt;=in_marketplace_from,d_hz_fd*G690,0)*in_fd_ticket*in_fd_comm</f>
        <v/>
      </c>
      <c r="BM690" s="40">
        <f>BM689*(1-IF(B689&gt;=in_marketplace_from,d_hz_recharge*G689,0))</f>
        <v/>
      </c>
      <c r="BN690" s="40">
        <f>BN689*d_rho_recharge+BM690*IF(B690&gt;=in_marketplace_from,d_hz_recharge*G690,0)</f>
        <v/>
      </c>
      <c r="BO690" s="14">
        <f>F690*BN690*in_recharge_ticket*in_recharge_comm/12</f>
        <v/>
      </c>
      <c r="BP690" s="40">
        <f>BP689*(1-IF(B689&gt;=in_marketplace_from,d_hz_bills*G689,0))</f>
        <v/>
      </c>
      <c r="BQ690" s="40">
        <f>BQ689*d_rho_bills+BP690*IF(B690&gt;=in_marketplace_from,d_hz_bills*G690,0)</f>
        <v/>
      </c>
      <c r="BR690" s="14">
        <f>F690*BQ690*in_bills_ticket*in_bills_comm/12</f>
        <v/>
      </c>
      <c r="BS690" s="40">
        <f>BS689*(1-IF(B689&gt;=in_marketplace_from,d_hz_loan_gold*G689,0))</f>
        <v/>
      </c>
      <c r="BT690" s="14">
        <f>F690*BS690*IF(B690&gt;=in_marketplace_from,d_hz_loan_gold*G690,0)*in_loan_gold_ticket*in_loan_gold_comm</f>
        <v/>
      </c>
      <c r="BU690" s="40">
        <f>BU689*(1-IF(B689&gt;=in_marketplace_from,d_hz_loan_cd*G689,0))</f>
        <v/>
      </c>
      <c r="BV690" s="14">
        <f>F690*BU690*IF(B690&gt;=in_marketplace_from,d_hz_loan_cd*G690,0)*in_loan_cd_ticket*in_loan_cd_comm</f>
        <v/>
      </c>
      <c r="BW690" s="40">
        <f>BW689*(1-IF(B689&gt;=in_marketplace_from,d_hz_loan_vehicle*G689,0))</f>
        <v/>
      </c>
      <c r="BX690" s="14">
        <f>F690*BW690*IF(B690&gt;=in_marketplace_from,d_hz_loan_vehicle*G690,0)*in_loan_vehicle_ticket*in_loan_vehicle_comm</f>
        <v/>
      </c>
      <c r="BY690" s="40">
        <f>BY689*(1-IF(B689&gt;=in_marketplace_from,d_hz_loan_home*G689,0)*BZ689)</f>
        <v/>
      </c>
      <c r="BZ690" s="11">
        <f>MIN(in_approval_cap,in_loan_home_approval*INDEX('Age profile'!$O$2:$O$61,B690)*(1+in_approval_growth)^(D690-1))</f>
        <v/>
      </c>
      <c r="CA690" s="14">
        <f>F690*BY690*IF(B690&gt;=in_marketplace_from,d_hz_loan_home*G690,0)*BZ690*in_loan_home_ticket*in_loan_home_comm</f>
        <v/>
      </c>
      <c r="CB690" s="40">
        <f>CB689*(1-IF(B689&gt;=in_marketplace_from,d_hz_loan_lap*G689,0)*CC689)</f>
        <v/>
      </c>
      <c r="CC690" s="11">
        <f>MIN(in_approval_cap,in_loan_lap_approval*INDEX('Age profile'!$O$2:$O$61,B690)*(1+in_approval_growth)^(D690-1))</f>
        <v/>
      </c>
      <c r="CD690" s="14">
        <f>F690*CB690*IF(B690&gt;=in_marketplace_from,d_hz_loan_lap*G690,0)*CC690*in_loan_lap_ticket*in_loan_lap_comm</f>
        <v/>
      </c>
      <c r="CE690" s="14">
        <f>AA690+AB690+AC690+AD690+AG690+AJ690+AM690+AP690+AS690+AU690+AX690+BB690+BE690+BG690+BJ690+BL690+BO690+BR690+BT690+BV690+BX690+CA690+CD690</f>
        <v/>
      </c>
    </row>
    <row r="691">
      <c r="A691" s="39" t="n">
        <v>13</v>
      </c>
      <c r="B691" s="39" t="n">
        <v>36</v>
      </c>
      <c r="C691" s="39">
        <f>A691+B691-1</f>
        <v/>
      </c>
      <c r="D691" s="39">
        <f>INT((C691-1)/12)+1</f>
        <v/>
      </c>
      <c r="E691" s="44">
        <f>INDEX(Monthly!$B$2:$B$61,A691)</f>
        <v/>
      </c>
      <c r="F691" s="44">
        <f>E691*INDEX('Age profile'!$B$2:$B$61,B691)</f>
        <v/>
      </c>
      <c r="G691" s="45">
        <f>MIN(in_takeup_cap,INDEX('Age profile'!$N$2:$N$61,B691)*(1+in_takeup_growth)^(D691-1))</f>
        <v/>
      </c>
      <c r="H691" s="11">
        <f>MIN(in_approval_cap,in_approved_first*INDEX('Age profile'!$O$2:$O$61,B691)*(1+in_approval_growth)^(D691-1))</f>
        <v/>
      </c>
      <c r="I691" s="45">
        <f>G691*MIN(in_takeup_cap,INDEX('Age profile'!$O$2:$O$61,B691)*(1+in_approval_growth)^(D691-1))</f>
        <v/>
      </c>
      <c r="J691" s="40">
        <f>(J690-L690)*F691/F690</f>
        <v/>
      </c>
      <c r="K691" s="40">
        <f>(K690-M690)*F691/F690+SUMIFS(O656:O690,B656:B690,B691-1-d_T)*F691</f>
        <v/>
      </c>
      <c r="L691" s="40">
        <f>IF(B691&gt;=in_marketplace_from,J691*d_hz*G691*in_eligible*H691,0)</f>
        <v/>
      </c>
      <c r="M691" s="40">
        <f>IF(B691&gt;=in_marketplace_from,K691*d_hz*G691*in_eligible*in_approved_repeat,0)</f>
        <v/>
      </c>
      <c r="N691" s="40">
        <f>L691+M691</f>
        <v/>
      </c>
      <c r="O691" s="46">
        <f>N691/F691</f>
        <v/>
      </c>
      <c r="P691" s="40">
        <f>F691-J691-K691</f>
        <v/>
      </c>
      <c r="Q691" s="40">
        <f>IF(B691&gt;=in_marketplace_from,(J691+K691)*d_hz*G691,0)</f>
        <v/>
      </c>
      <c r="R691" s="40">
        <f>SUMIFS(N656:N703,B656:B703,"&gt;="&amp;(B691-d_T),B656:B703,"&lt;="&amp;(B691-1))</f>
        <v/>
      </c>
      <c r="S691" s="46">
        <f>(1-d_u)*S690+IF(d_T&gt;in_topup_lag,SUMIFS(O656:O703,B656:B703,B691-in_topup_lag)-d_udrop*SUMIFS(O656:O703,B656:B703,B691-d_T),0)</f>
        <v/>
      </c>
      <c r="T691" s="40">
        <f>F691*d_u*S691</f>
        <v/>
      </c>
      <c r="U691" s="9">
        <f>L691*in_ticket+M691*d_rep_ticket</f>
        <v/>
      </c>
      <c r="V691" s="9">
        <f>U691+T691*d_topup_amt</f>
        <v/>
      </c>
      <c r="W691" s="40">
        <f>N691+T691*d_topup_ratio</f>
        <v/>
      </c>
      <c r="X691" s="40">
        <f>SUMIFS(W656:W703,B656:B703,B691-in_dpd_lag)*d_cured</f>
        <v/>
      </c>
      <c r="Y691" s="40">
        <f>SUMIFS(W656:W703,B656:B703,B691-in_rec_lag)*d_recd</f>
        <v/>
      </c>
      <c r="Z691" s="40">
        <f>IF(AND(B691&gt;=in_marketplace_from,B691&lt;in_marketplace_from+in_card_months),in_card_share/in_card_months*F691*I691,IF(AND(B691&gt;=in_marketplace_from+in_card_months,B691&lt;in_marketplace_from+2*in_card_months),in_card_share*d_card_rem/in_card_months*F691*MIN(in_takeup_cap,(1+in_takeup_growth)^(D691-1))*MIN(in_takeup_cap,(1+in_approval_growth)^(D691-1)),0))</f>
        <v/>
      </c>
      <c r="AA691" s="14">
        <f>V691*in_fee*(1-in_taken_back)</f>
        <v/>
      </c>
      <c r="AB691" s="14">
        <f>SUMIFS(W656:W703,B656:B703,B691-in_dpd_lag)*d_dpd</f>
        <v/>
      </c>
      <c r="AC691" s="14">
        <f>SUMIFS(W656:W703,B656:B703,B691-in_rec_lag)*d_rec</f>
        <v/>
      </c>
      <c r="AD691" s="14">
        <f>Z691*in_card_fee</f>
        <v/>
      </c>
      <c r="AE691" s="40">
        <f>AE690*(1-IF(B690&gt;=in_marketplace_from,d_hz_hlth_small*G690,0))</f>
        <v/>
      </c>
      <c r="AF691" s="46">
        <f>AE691*IF(B691&gt;=in_marketplace_from,d_hz_hlth_small*G691,0)</f>
        <v/>
      </c>
      <c r="AG691" s="14">
        <f>F691*AF691*in_hlth_small_ticket*in_hlth_small_comm*in_ins_partner_share+F691*in_hlth_small_ticket*in_hlth_small_renew_comm*in_ins_partner_share*(in_hlth_small_renew^1*SUMIFS(AF656:AF703,B656:B703,B691-12)+in_hlth_small_renew^2*SUMIFS(AF656:AF703,B656:B703,B691-24)+in_hlth_small_renew^3*SUMIFS(AF656:AF703,B656:B703,B691-36)+in_hlth_small_renew^4*SUMIFS(AF656:AF703,B656:B703,B691-48))</f>
        <v/>
      </c>
      <c r="AH691" s="40">
        <f>AH690*(1-IF(B690&gt;=in_marketplace_from,d_hz_hlth_family*G690,0))</f>
        <v/>
      </c>
      <c r="AI691" s="46">
        <f>AH691*IF(B691&gt;=in_marketplace_from,d_hz_hlth_family*G691,0)</f>
        <v/>
      </c>
      <c r="AJ691" s="14">
        <f>F691*AI691*in_hlth_family_ticket*in_hlth_family_comm*in_ins_partner_share+F691*in_hlth_family_ticket*in_hlth_family_renew_comm*in_ins_partner_share*(in_hlth_family_renew^1*SUMIFS(AI656:AI703,B656:B703,B691-12)+in_hlth_family_renew^2*SUMIFS(AI656:AI703,B656:B703,B691-24)+in_hlth_family_renew^3*SUMIFS(AI656:AI703,B656:B703,B691-36)+in_hlth_family_renew^4*SUMIFS(AI656:AI703,B656:B703,B691-48))</f>
        <v/>
      </c>
      <c r="AK691" s="40">
        <f>AK690*(1-IF(B690&gt;=in_marketplace_from,d_hz_life_term*G690,0))</f>
        <v/>
      </c>
      <c r="AL691" s="46">
        <f>AK691*IF(B691&gt;=in_marketplace_from,d_hz_life_term*G691,0)</f>
        <v/>
      </c>
      <c r="AM691" s="14">
        <f>F691*AL691*in_life_term_ticket*in_life_term_comm*in_ins_partner_share+F691*in_life_term_ticket*in_life_term_renew_comm*in_ins_partner_share*(in_life_term_renew^1*SUMIFS(AL656:AL703,B656:B703,B691-12)+in_life_term_renew^2*SUMIFS(AL656:AL703,B656:B703,B691-24)+in_life_term_renew^3*SUMIFS(AL656:AL703,B656:B703,B691-36)+in_life_term_renew^4*SUMIFS(AL656:AL703,B656:B703,B691-48))</f>
        <v/>
      </c>
      <c r="AN691" s="40">
        <f>AN690*(1-IF(B690&gt;=in_marketplace_from,d_hz_accident*G690,0))</f>
        <v/>
      </c>
      <c r="AO691" s="46">
        <f>AN691*IF(B691&gt;=in_marketplace_from,d_hz_accident*G691,0)</f>
        <v/>
      </c>
      <c r="AP691" s="14">
        <f>F691*AO691*in_accident_ticket*in_accident_comm*in_ins_partner_share+F691*in_accident_ticket*in_accident_renew_comm*in_ins_partner_share*(in_accident_renew^1*SUMIFS(AO656:AO703,B656:B703,B691-12)+in_accident_renew^2*SUMIFS(AO656:AO703,B656:B703,B691-24)+in_accident_renew^3*SUMIFS(AO656:AO703,B656:B703,B691-36)+in_accident_renew^4*SUMIFS(AO656:AO703,B656:B703,B691-48))</f>
        <v/>
      </c>
      <c r="AQ691" s="40">
        <f>AQ690*(1-IF(B690&gt;=in_marketplace_from,d_hz_two_wheeler*G690,0))</f>
        <v/>
      </c>
      <c r="AR691" s="46">
        <f>AQ691*IF(B691&gt;=in_marketplace_from,d_hz_two_wheeler*G691,0)</f>
        <v/>
      </c>
      <c r="AS691" s="14">
        <f>F691*AR691*in_two_wheeler_ticket*in_two_wheeler_comm*in_ins_partner_share+F691*in_two_wheeler_ticket*in_two_wheeler_comm*in_ins_partner_share*(in_two_wheeler_renew^1*SUMIFS(AR656:AR703,B656:B703,B691-12)+in_two_wheeler_renew^2*SUMIFS(AR656:AR703,B656:B703,B691-24)+in_two_wheeler_renew^3*SUMIFS(AR656:AR703,B656:B703,B691-36)+in_two_wheeler_renew^4*SUMIFS(AR656:AR703,B656:B703,B691-48))</f>
        <v/>
      </c>
      <c r="AT691" s="40">
        <f>AT690*(1-IF(B690&gt;=in_marketplace_from,d_hz_device*G690,0))</f>
        <v/>
      </c>
      <c r="AU691" s="14">
        <f>F691*AT691*IF(B691&gt;=in_marketplace_from,d_hz_device*G691,0)*in_device_ticket*in_device_comm*in_ins_partner_share</f>
        <v/>
      </c>
      <c r="AV691" s="40">
        <f>AV690*(1-IF(B690&gt;=in_marketplace_from,d_hz_shop*G690,0))</f>
        <v/>
      </c>
      <c r="AW691" s="46">
        <f>AV691*IF(B691&gt;=in_marketplace_from,d_hz_shop*G691,0)</f>
        <v/>
      </c>
      <c r="AX691" s="14">
        <f>F691*AW691*in_shop_ticket*in_shop_comm*in_ins_partner_share+F691*in_shop_ticket*in_shop_renew_comm*in_ins_partner_share*(in_shop_renew^1*SUMIFS(AW656:AW703,B656:B703,B691-12)+in_shop_renew^2*SUMIFS(AW656:AW703,B656:B703,B691-24)+in_shop_renew^3*SUMIFS(AW656:AW703,B656:B703,B691-36)+in_shop_renew^4*SUMIFS(AW656:AW703,B656:B703,B691-48))</f>
        <v/>
      </c>
      <c r="AY691" s="40">
        <f>AY690*(1-IF(B690&gt;=in_marketplace_from,d_hz_sip*G690,0))</f>
        <v/>
      </c>
      <c r="AZ691" s="40">
        <f>AZ690*d_rho_sip+AY691*IF(B691&gt;=in_marketplace_from,d_hz_sip*G691,0)</f>
        <v/>
      </c>
      <c r="BA691" s="40">
        <f>d_rho_sip*(BA690+AZ690)</f>
        <v/>
      </c>
      <c r="BB691" s="14">
        <f>F691*in_sip_ticket*(BA691+0.5*AZ691)*in_sip_comm/12</f>
        <v/>
      </c>
      <c r="BC691" s="40">
        <f>BC690*(1-IF(B690&gt;=in_marketplace_from,d_hz_choti*G690,0))</f>
        <v/>
      </c>
      <c r="BD691" s="46">
        <f>BC691*IF(B691&gt;=in_marketplace_from,d_hz_choti*G691,0)</f>
        <v/>
      </c>
      <c r="BE691" s="14">
        <f>F691*SUMIFS(BD656:BD703,B656:B703,B691-in_choti_months)*in_choti_renew*in_choti_ticket</f>
        <v/>
      </c>
      <c r="BF691" s="40">
        <f>BF690*(1-IF(B690&gt;=in_marketplace_from,d_hz_nps*G690,0))</f>
        <v/>
      </c>
      <c r="BG691" s="14">
        <f>F691*BF691*IF(B691&gt;=in_marketplace_from,d_hz_nps*G691,0)*in_nps_ticket*in_nps_comm</f>
        <v/>
      </c>
      <c r="BH691" s="40">
        <f>BH690*(1-IF(B690&gt;=in_marketplace_from,d_hz_gold*G690,0))</f>
        <v/>
      </c>
      <c r="BI691" s="40">
        <f>BI690*d_rho_gold+BH691*IF(B691&gt;=in_marketplace_from,d_hz_gold*G691,0)</f>
        <v/>
      </c>
      <c r="BJ691" s="14">
        <f>F691*BI691*in_gold_ticket*in_gold_comm</f>
        <v/>
      </c>
      <c r="BK691" s="40">
        <f>BK690*(1-IF(B690&gt;=in_marketplace_from,d_hz_fd*G690,0))</f>
        <v/>
      </c>
      <c r="BL691" s="14">
        <f>F691*BK691*IF(B691&gt;=in_marketplace_from,d_hz_fd*G691,0)*in_fd_ticket*in_fd_comm</f>
        <v/>
      </c>
      <c r="BM691" s="40">
        <f>BM690*(1-IF(B690&gt;=in_marketplace_from,d_hz_recharge*G690,0))</f>
        <v/>
      </c>
      <c r="BN691" s="40">
        <f>BN690*d_rho_recharge+BM691*IF(B691&gt;=in_marketplace_from,d_hz_recharge*G691,0)</f>
        <v/>
      </c>
      <c r="BO691" s="14">
        <f>F691*BN691*in_recharge_ticket*in_recharge_comm/12</f>
        <v/>
      </c>
      <c r="BP691" s="40">
        <f>BP690*(1-IF(B690&gt;=in_marketplace_from,d_hz_bills*G690,0))</f>
        <v/>
      </c>
      <c r="BQ691" s="40">
        <f>BQ690*d_rho_bills+BP691*IF(B691&gt;=in_marketplace_from,d_hz_bills*G691,0)</f>
        <v/>
      </c>
      <c r="BR691" s="14">
        <f>F691*BQ691*in_bills_ticket*in_bills_comm/12</f>
        <v/>
      </c>
      <c r="BS691" s="40">
        <f>BS690*(1-IF(B690&gt;=in_marketplace_from,d_hz_loan_gold*G690,0))</f>
        <v/>
      </c>
      <c r="BT691" s="14">
        <f>F691*BS691*IF(B691&gt;=in_marketplace_from,d_hz_loan_gold*G691,0)*in_loan_gold_ticket*in_loan_gold_comm</f>
        <v/>
      </c>
      <c r="BU691" s="40">
        <f>BU690*(1-IF(B690&gt;=in_marketplace_from,d_hz_loan_cd*G690,0))</f>
        <v/>
      </c>
      <c r="BV691" s="14">
        <f>F691*BU691*IF(B691&gt;=in_marketplace_from,d_hz_loan_cd*G691,0)*in_loan_cd_ticket*in_loan_cd_comm</f>
        <v/>
      </c>
      <c r="BW691" s="40">
        <f>BW690*(1-IF(B690&gt;=in_marketplace_from,d_hz_loan_vehicle*G690,0))</f>
        <v/>
      </c>
      <c r="BX691" s="14">
        <f>F691*BW691*IF(B691&gt;=in_marketplace_from,d_hz_loan_vehicle*G691,0)*in_loan_vehicle_ticket*in_loan_vehicle_comm</f>
        <v/>
      </c>
      <c r="BY691" s="40">
        <f>BY690*(1-IF(B690&gt;=in_marketplace_from,d_hz_loan_home*G690,0)*BZ690)</f>
        <v/>
      </c>
      <c r="BZ691" s="11">
        <f>MIN(in_approval_cap,in_loan_home_approval*INDEX('Age profile'!$O$2:$O$61,B691)*(1+in_approval_growth)^(D691-1))</f>
        <v/>
      </c>
      <c r="CA691" s="14">
        <f>F691*BY691*IF(B691&gt;=in_marketplace_from,d_hz_loan_home*G691,0)*BZ691*in_loan_home_ticket*in_loan_home_comm</f>
        <v/>
      </c>
      <c r="CB691" s="40">
        <f>CB690*(1-IF(B690&gt;=in_marketplace_from,d_hz_loan_lap*G690,0)*CC690)</f>
        <v/>
      </c>
      <c r="CC691" s="11">
        <f>MIN(in_approval_cap,in_loan_lap_approval*INDEX('Age profile'!$O$2:$O$61,B691)*(1+in_approval_growth)^(D691-1))</f>
        <v/>
      </c>
      <c r="CD691" s="14">
        <f>F691*CB691*IF(B691&gt;=in_marketplace_from,d_hz_loan_lap*G691,0)*CC691*in_loan_lap_ticket*in_loan_lap_comm</f>
        <v/>
      </c>
      <c r="CE691" s="14">
        <f>AA691+AB691+AC691+AD691+AG691+AJ691+AM691+AP691+AS691+AU691+AX691+BB691+BE691+BG691+BJ691+BL691+BO691+BR691+BT691+BV691+BX691+CA691+CD691</f>
        <v/>
      </c>
    </row>
    <row r="692">
      <c r="A692" s="39" t="n">
        <v>13</v>
      </c>
      <c r="B692" s="39" t="n">
        <v>37</v>
      </c>
      <c r="C692" s="39">
        <f>A692+B692-1</f>
        <v/>
      </c>
      <c r="D692" s="39">
        <f>INT((C692-1)/12)+1</f>
        <v/>
      </c>
      <c r="E692" s="44">
        <f>INDEX(Monthly!$B$2:$B$61,A692)</f>
        <v/>
      </c>
      <c r="F692" s="44">
        <f>E692*INDEX('Age profile'!$B$2:$B$61,B692)</f>
        <v/>
      </c>
      <c r="G692" s="45">
        <f>MIN(in_takeup_cap,INDEX('Age profile'!$N$2:$N$61,B692)*(1+in_takeup_growth)^(D692-1))</f>
        <v/>
      </c>
      <c r="H692" s="11">
        <f>MIN(in_approval_cap,in_approved_first*INDEX('Age profile'!$O$2:$O$61,B692)*(1+in_approval_growth)^(D692-1))</f>
        <v/>
      </c>
      <c r="I692" s="45">
        <f>G692*MIN(in_takeup_cap,INDEX('Age profile'!$O$2:$O$61,B692)*(1+in_approval_growth)^(D692-1))</f>
        <v/>
      </c>
      <c r="J692" s="40">
        <f>(J691-L691)*F692/F691</f>
        <v/>
      </c>
      <c r="K692" s="40">
        <f>(K691-M691)*F692/F691+SUMIFS(O656:O691,B656:B691,B692-1-d_T)*F692</f>
        <v/>
      </c>
      <c r="L692" s="40">
        <f>IF(B692&gt;=in_marketplace_from,J692*d_hz*G692*in_eligible*H692,0)</f>
        <v/>
      </c>
      <c r="M692" s="40">
        <f>IF(B692&gt;=in_marketplace_from,K692*d_hz*G692*in_eligible*in_approved_repeat,0)</f>
        <v/>
      </c>
      <c r="N692" s="40">
        <f>L692+M692</f>
        <v/>
      </c>
      <c r="O692" s="46">
        <f>N692/F692</f>
        <v/>
      </c>
      <c r="P692" s="40">
        <f>F692-J692-K692</f>
        <v/>
      </c>
      <c r="Q692" s="40">
        <f>IF(B692&gt;=in_marketplace_from,(J692+K692)*d_hz*G692,0)</f>
        <v/>
      </c>
      <c r="R692" s="40">
        <f>SUMIFS(N656:N703,B656:B703,"&gt;="&amp;(B692-d_T),B656:B703,"&lt;="&amp;(B692-1))</f>
        <v/>
      </c>
      <c r="S692" s="46">
        <f>(1-d_u)*S691+IF(d_T&gt;in_topup_lag,SUMIFS(O656:O703,B656:B703,B692-in_topup_lag)-d_udrop*SUMIFS(O656:O703,B656:B703,B692-d_T),0)</f>
        <v/>
      </c>
      <c r="T692" s="40">
        <f>F692*d_u*S692</f>
        <v/>
      </c>
      <c r="U692" s="9">
        <f>L692*in_ticket+M692*d_rep_ticket</f>
        <v/>
      </c>
      <c r="V692" s="9">
        <f>U692+T692*d_topup_amt</f>
        <v/>
      </c>
      <c r="W692" s="40">
        <f>N692+T692*d_topup_ratio</f>
        <v/>
      </c>
      <c r="X692" s="40">
        <f>SUMIFS(W656:W703,B656:B703,B692-in_dpd_lag)*d_cured</f>
        <v/>
      </c>
      <c r="Y692" s="40">
        <f>SUMIFS(W656:W703,B656:B703,B692-in_rec_lag)*d_recd</f>
        <v/>
      </c>
      <c r="Z692" s="40">
        <f>IF(AND(B692&gt;=in_marketplace_from,B692&lt;in_marketplace_from+in_card_months),in_card_share/in_card_months*F692*I692,IF(AND(B692&gt;=in_marketplace_from+in_card_months,B692&lt;in_marketplace_from+2*in_card_months),in_card_share*d_card_rem/in_card_months*F692*MIN(in_takeup_cap,(1+in_takeup_growth)^(D692-1))*MIN(in_takeup_cap,(1+in_approval_growth)^(D692-1)),0))</f>
        <v/>
      </c>
      <c r="AA692" s="14">
        <f>V692*in_fee*(1-in_taken_back)</f>
        <v/>
      </c>
      <c r="AB692" s="14">
        <f>SUMIFS(W656:W703,B656:B703,B692-in_dpd_lag)*d_dpd</f>
        <v/>
      </c>
      <c r="AC692" s="14">
        <f>SUMIFS(W656:W703,B656:B703,B692-in_rec_lag)*d_rec</f>
        <v/>
      </c>
      <c r="AD692" s="14">
        <f>Z692*in_card_fee</f>
        <v/>
      </c>
      <c r="AE692" s="40">
        <f>AE691*(1-IF(B691&gt;=in_marketplace_from,d_hz_hlth_small*G691,0))</f>
        <v/>
      </c>
      <c r="AF692" s="46">
        <f>AE692*IF(B692&gt;=in_marketplace_from,d_hz_hlth_small*G692,0)</f>
        <v/>
      </c>
      <c r="AG692" s="14">
        <f>F692*AF692*in_hlth_small_ticket*in_hlth_small_comm*in_ins_partner_share+F692*in_hlth_small_ticket*in_hlth_small_renew_comm*in_ins_partner_share*(in_hlth_small_renew^1*SUMIFS(AF656:AF703,B656:B703,B692-12)+in_hlth_small_renew^2*SUMIFS(AF656:AF703,B656:B703,B692-24)+in_hlth_small_renew^3*SUMIFS(AF656:AF703,B656:B703,B692-36)+in_hlth_small_renew^4*SUMIFS(AF656:AF703,B656:B703,B692-48))</f>
        <v/>
      </c>
      <c r="AH692" s="40">
        <f>AH691*(1-IF(B691&gt;=in_marketplace_from,d_hz_hlth_family*G691,0))</f>
        <v/>
      </c>
      <c r="AI692" s="46">
        <f>AH692*IF(B692&gt;=in_marketplace_from,d_hz_hlth_family*G692,0)</f>
        <v/>
      </c>
      <c r="AJ692" s="14">
        <f>F692*AI692*in_hlth_family_ticket*in_hlth_family_comm*in_ins_partner_share+F692*in_hlth_family_ticket*in_hlth_family_renew_comm*in_ins_partner_share*(in_hlth_family_renew^1*SUMIFS(AI656:AI703,B656:B703,B692-12)+in_hlth_family_renew^2*SUMIFS(AI656:AI703,B656:B703,B692-24)+in_hlth_family_renew^3*SUMIFS(AI656:AI703,B656:B703,B692-36)+in_hlth_family_renew^4*SUMIFS(AI656:AI703,B656:B703,B692-48))</f>
        <v/>
      </c>
      <c r="AK692" s="40">
        <f>AK691*(1-IF(B691&gt;=in_marketplace_from,d_hz_life_term*G691,0))</f>
        <v/>
      </c>
      <c r="AL692" s="46">
        <f>AK692*IF(B692&gt;=in_marketplace_from,d_hz_life_term*G692,0)</f>
        <v/>
      </c>
      <c r="AM692" s="14">
        <f>F692*AL692*in_life_term_ticket*in_life_term_comm*in_ins_partner_share+F692*in_life_term_ticket*in_life_term_renew_comm*in_ins_partner_share*(in_life_term_renew^1*SUMIFS(AL656:AL703,B656:B703,B692-12)+in_life_term_renew^2*SUMIFS(AL656:AL703,B656:B703,B692-24)+in_life_term_renew^3*SUMIFS(AL656:AL703,B656:B703,B692-36)+in_life_term_renew^4*SUMIFS(AL656:AL703,B656:B703,B692-48))</f>
        <v/>
      </c>
      <c r="AN692" s="40">
        <f>AN691*(1-IF(B691&gt;=in_marketplace_from,d_hz_accident*G691,0))</f>
        <v/>
      </c>
      <c r="AO692" s="46">
        <f>AN692*IF(B692&gt;=in_marketplace_from,d_hz_accident*G692,0)</f>
        <v/>
      </c>
      <c r="AP692" s="14">
        <f>F692*AO692*in_accident_ticket*in_accident_comm*in_ins_partner_share+F692*in_accident_ticket*in_accident_renew_comm*in_ins_partner_share*(in_accident_renew^1*SUMIFS(AO656:AO703,B656:B703,B692-12)+in_accident_renew^2*SUMIFS(AO656:AO703,B656:B703,B692-24)+in_accident_renew^3*SUMIFS(AO656:AO703,B656:B703,B692-36)+in_accident_renew^4*SUMIFS(AO656:AO703,B656:B703,B692-48))</f>
        <v/>
      </c>
      <c r="AQ692" s="40">
        <f>AQ691*(1-IF(B691&gt;=in_marketplace_from,d_hz_two_wheeler*G691,0))</f>
        <v/>
      </c>
      <c r="AR692" s="46">
        <f>AQ692*IF(B692&gt;=in_marketplace_from,d_hz_two_wheeler*G692,0)</f>
        <v/>
      </c>
      <c r="AS692" s="14">
        <f>F692*AR692*in_two_wheeler_ticket*in_two_wheeler_comm*in_ins_partner_share+F692*in_two_wheeler_ticket*in_two_wheeler_comm*in_ins_partner_share*(in_two_wheeler_renew^1*SUMIFS(AR656:AR703,B656:B703,B692-12)+in_two_wheeler_renew^2*SUMIFS(AR656:AR703,B656:B703,B692-24)+in_two_wheeler_renew^3*SUMIFS(AR656:AR703,B656:B703,B692-36)+in_two_wheeler_renew^4*SUMIFS(AR656:AR703,B656:B703,B692-48))</f>
        <v/>
      </c>
      <c r="AT692" s="40">
        <f>AT691*(1-IF(B691&gt;=in_marketplace_from,d_hz_device*G691,0))</f>
        <v/>
      </c>
      <c r="AU692" s="14">
        <f>F692*AT692*IF(B692&gt;=in_marketplace_from,d_hz_device*G692,0)*in_device_ticket*in_device_comm*in_ins_partner_share</f>
        <v/>
      </c>
      <c r="AV692" s="40">
        <f>AV691*(1-IF(B691&gt;=in_marketplace_from,d_hz_shop*G691,0))</f>
        <v/>
      </c>
      <c r="AW692" s="46">
        <f>AV692*IF(B692&gt;=in_marketplace_from,d_hz_shop*G692,0)</f>
        <v/>
      </c>
      <c r="AX692" s="14">
        <f>F692*AW692*in_shop_ticket*in_shop_comm*in_ins_partner_share+F692*in_shop_ticket*in_shop_renew_comm*in_ins_partner_share*(in_shop_renew^1*SUMIFS(AW656:AW703,B656:B703,B692-12)+in_shop_renew^2*SUMIFS(AW656:AW703,B656:B703,B692-24)+in_shop_renew^3*SUMIFS(AW656:AW703,B656:B703,B692-36)+in_shop_renew^4*SUMIFS(AW656:AW703,B656:B703,B692-48))</f>
        <v/>
      </c>
      <c r="AY692" s="40">
        <f>AY691*(1-IF(B691&gt;=in_marketplace_from,d_hz_sip*G691,0))</f>
        <v/>
      </c>
      <c r="AZ692" s="40">
        <f>AZ691*d_rho_sip+AY692*IF(B692&gt;=in_marketplace_from,d_hz_sip*G692,0)</f>
        <v/>
      </c>
      <c r="BA692" s="40">
        <f>d_rho_sip*(BA691+AZ691)</f>
        <v/>
      </c>
      <c r="BB692" s="14">
        <f>F692*in_sip_ticket*(BA692+0.5*AZ692)*in_sip_comm/12</f>
        <v/>
      </c>
      <c r="BC692" s="40">
        <f>BC691*(1-IF(B691&gt;=in_marketplace_from,d_hz_choti*G691,0))</f>
        <v/>
      </c>
      <c r="BD692" s="46">
        <f>BC692*IF(B692&gt;=in_marketplace_from,d_hz_choti*G692,0)</f>
        <v/>
      </c>
      <c r="BE692" s="14">
        <f>F692*SUMIFS(BD656:BD703,B656:B703,B692-in_choti_months)*in_choti_renew*in_choti_ticket</f>
        <v/>
      </c>
      <c r="BF692" s="40">
        <f>BF691*(1-IF(B691&gt;=in_marketplace_from,d_hz_nps*G691,0))</f>
        <v/>
      </c>
      <c r="BG692" s="14">
        <f>F692*BF692*IF(B692&gt;=in_marketplace_from,d_hz_nps*G692,0)*in_nps_ticket*in_nps_comm</f>
        <v/>
      </c>
      <c r="BH692" s="40">
        <f>BH691*(1-IF(B691&gt;=in_marketplace_from,d_hz_gold*G691,0))</f>
        <v/>
      </c>
      <c r="BI692" s="40">
        <f>BI691*d_rho_gold+BH692*IF(B692&gt;=in_marketplace_from,d_hz_gold*G692,0)</f>
        <v/>
      </c>
      <c r="BJ692" s="14">
        <f>F692*BI692*in_gold_ticket*in_gold_comm</f>
        <v/>
      </c>
      <c r="BK692" s="40">
        <f>BK691*(1-IF(B691&gt;=in_marketplace_from,d_hz_fd*G691,0))</f>
        <v/>
      </c>
      <c r="BL692" s="14">
        <f>F692*BK692*IF(B692&gt;=in_marketplace_from,d_hz_fd*G692,0)*in_fd_ticket*in_fd_comm</f>
        <v/>
      </c>
      <c r="BM692" s="40">
        <f>BM691*(1-IF(B691&gt;=in_marketplace_from,d_hz_recharge*G691,0))</f>
        <v/>
      </c>
      <c r="BN692" s="40">
        <f>BN691*d_rho_recharge+BM692*IF(B692&gt;=in_marketplace_from,d_hz_recharge*G692,0)</f>
        <v/>
      </c>
      <c r="BO692" s="14">
        <f>F692*BN692*in_recharge_ticket*in_recharge_comm/12</f>
        <v/>
      </c>
      <c r="BP692" s="40">
        <f>BP691*(1-IF(B691&gt;=in_marketplace_from,d_hz_bills*G691,0))</f>
        <v/>
      </c>
      <c r="BQ692" s="40">
        <f>BQ691*d_rho_bills+BP692*IF(B692&gt;=in_marketplace_from,d_hz_bills*G692,0)</f>
        <v/>
      </c>
      <c r="BR692" s="14">
        <f>F692*BQ692*in_bills_ticket*in_bills_comm/12</f>
        <v/>
      </c>
      <c r="BS692" s="40">
        <f>BS691*(1-IF(B691&gt;=in_marketplace_from,d_hz_loan_gold*G691,0))</f>
        <v/>
      </c>
      <c r="BT692" s="14">
        <f>F692*BS692*IF(B692&gt;=in_marketplace_from,d_hz_loan_gold*G692,0)*in_loan_gold_ticket*in_loan_gold_comm</f>
        <v/>
      </c>
      <c r="BU692" s="40">
        <f>BU691*(1-IF(B691&gt;=in_marketplace_from,d_hz_loan_cd*G691,0))</f>
        <v/>
      </c>
      <c r="BV692" s="14">
        <f>F692*BU692*IF(B692&gt;=in_marketplace_from,d_hz_loan_cd*G692,0)*in_loan_cd_ticket*in_loan_cd_comm</f>
        <v/>
      </c>
      <c r="BW692" s="40">
        <f>BW691*(1-IF(B691&gt;=in_marketplace_from,d_hz_loan_vehicle*G691,0))</f>
        <v/>
      </c>
      <c r="BX692" s="14">
        <f>F692*BW692*IF(B692&gt;=in_marketplace_from,d_hz_loan_vehicle*G692,0)*in_loan_vehicle_ticket*in_loan_vehicle_comm</f>
        <v/>
      </c>
      <c r="BY692" s="40">
        <f>BY691*(1-IF(B691&gt;=in_marketplace_from,d_hz_loan_home*G691,0)*BZ691)</f>
        <v/>
      </c>
      <c r="BZ692" s="11">
        <f>MIN(in_approval_cap,in_loan_home_approval*INDEX('Age profile'!$O$2:$O$61,B692)*(1+in_approval_growth)^(D692-1))</f>
        <v/>
      </c>
      <c r="CA692" s="14">
        <f>F692*BY692*IF(B692&gt;=in_marketplace_from,d_hz_loan_home*G692,0)*BZ692*in_loan_home_ticket*in_loan_home_comm</f>
        <v/>
      </c>
      <c r="CB692" s="40">
        <f>CB691*(1-IF(B691&gt;=in_marketplace_from,d_hz_loan_lap*G691,0)*CC691)</f>
        <v/>
      </c>
      <c r="CC692" s="11">
        <f>MIN(in_approval_cap,in_loan_lap_approval*INDEX('Age profile'!$O$2:$O$61,B692)*(1+in_approval_growth)^(D692-1))</f>
        <v/>
      </c>
      <c r="CD692" s="14">
        <f>F692*CB692*IF(B692&gt;=in_marketplace_from,d_hz_loan_lap*G692,0)*CC692*in_loan_lap_ticket*in_loan_lap_comm</f>
        <v/>
      </c>
      <c r="CE692" s="14">
        <f>AA692+AB692+AC692+AD692+AG692+AJ692+AM692+AP692+AS692+AU692+AX692+BB692+BE692+BG692+BJ692+BL692+BO692+BR692+BT692+BV692+BX692+CA692+CD692</f>
        <v/>
      </c>
    </row>
    <row r="693">
      <c r="A693" s="39" t="n">
        <v>13</v>
      </c>
      <c r="B693" s="39" t="n">
        <v>38</v>
      </c>
      <c r="C693" s="39">
        <f>A693+B693-1</f>
        <v/>
      </c>
      <c r="D693" s="39">
        <f>INT((C693-1)/12)+1</f>
        <v/>
      </c>
      <c r="E693" s="44">
        <f>INDEX(Monthly!$B$2:$B$61,A693)</f>
        <v/>
      </c>
      <c r="F693" s="44">
        <f>E693*INDEX('Age profile'!$B$2:$B$61,B693)</f>
        <v/>
      </c>
      <c r="G693" s="45">
        <f>MIN(in_takeup_cap,INDEX('Age profile'!$N$2:$N$61,B693)*(1+in_takeup_growth)^(D693-1))</f>
        <v/>
      </c>
      <c r="H693" s="11">
        <f>MIN(in_approval_cap,in_approved_first*INDEX('Age profile'!$O$2:$O$61,B693)*(1+in_approval_growth)^(D693-1))</f>
        <v/>
      </c>
      <c r="I693" s="45">
        <f>G693*MIN(in_takeup_cap,INDEX('Age profile'!$O$2:$O$61,B693)*(1+in_approval_growth)^(D693-1))</f>
        <v/>
      </c>
      <c r="J693" s="40">
        <f>(J692-L692)*F693/F692</f>
        <v/>
      </c>
      <c r="K693" s="40">
        <f>(K692-M692)*F693/F692+SUMIFS(O656:O692,B656:B692,B693-1-d_T)*F693</f>
        <v/>
      </c>
      <c r="L693" s="40">
        <f>IF(B693&gt;=in_marketplace_from,J693*d_hz*G693*in_eligible*H693,0)</f>
        <v/>
      </c>
      <c r="M693" s="40">
        <f>IF(B693&gt;=in_marketplace_from,K693*d_hz*G693*in_eligible*in_approved_repeat,0)</f>
        <v/>
      </c>
      <c r="N693" s="40">
        <f>L693+M693</f>
        <v/>
      </c>
      <c r="O693" s="46">
        <f>N693/F693</f>
        <v/>
      </c>
      <c r="P693" s="40">
        <f>F693-J693-K693</f>
        <v/>
      </c>
      <c r="Q693" s="40">
        <f>IF(B693&gt;=in_marketplace_from,(J693+K693)*d_hz*G693,0)</f>
        <v/>
      </c>
      <c r="R693" s="40">
        <f>SUMIFS(N656:N703,B656:B703,"&gt;="&amp;(B693-d_T),B656:B703,"&lt;="&amp;(B693-1))</f>
        <v/>
      </c>
      <c r="S693" s="46">
        <f>(1-d_u)*S692+IF(d_T&gt;in_topup_lag,SUMIFS(O656:O703,B656:B703,B693-in_topup_lag)-d_udrop*SUMIFS(O656:O703,B656:B703,B693-d_T),0)</f>
        <v/>
      </c>
      <c r="T693" s="40">
        <f>F693*d_u*S693</f>
        <v/>
      </c>
      <c r="U693" s="9">
        <f>L693*in_ticket+M693*d_rep_ticket</f>
        <v/>
      </c>
      <c r="V693" s="9">
        <f>U693+T693*d_topup_amt</f>
        <v/>
      </c>
      <c r="W693" s="40">
        <f>N693+T693*d_topup_ratio</f>
        <v/>
      </c>
      <c r="X693" s="40">
        <f>SUMIFS(W656:W703,B656:B703,B693-in_dpd_lag)*d_cured</f>
        <v/>
      </c>
      <c r="Y693" s="40">
        <f>SUMIFS(W656:W703,B656:B703,B693-in_rec_lag)*d_recd</f>
        <v/>
      </c>
      <c r="Z693" s="40">
        <f>IF(AND(B693&gt;=in_marketplace_from,B693&lt;in_marketplace_from+in_card_months),in_card_share/in_card_months*F693*I693,IF(AND(B693&gt;=in_marketplace_from+in_card_months,B693&lt;in_marketplace_from+2*in_card_months),in_card_share*d_card_rem/in_card_months*F693*MIN(in_takeup_cap,(1+in_takeup_growth)^(D693-1))*MIN(in_takeup_cap,(1+in_approval_growth)^(D693-1)),0))</f>
        <v/>
      </c>
      <c r="AA693" s="14">
        <f>V693*in_fee*(1-in_taken_back)</f>
        <v/>
      </c>
      <c r="AB693" s="14">
        <f>SUMIFS(W656:W703,B656:B703,B693-in_dpd_lag)*d_dpd</f>
        <v/>
      </c>
      <c r="AC693" s="14">
        <f>SUMIFS(W656:W703,B656:B703,B693-in_rec_lag)*d_rec</f>
        <v/>
      </c>
      <c r="AD693" s="14">
        <f>Z693*in_card_fee</f>
        <v/>
      </c>
      <c r="AE693" s="40">
        <f>AE692*(1-IF(B692&gt;=in_marketplace_from,d_hz_hlth_small*G692,0))</f>
        <v/>
      </c>
      <c r="AF693" s="46">
        <f>AE693*IF(B693&gt;=in_marketplace_from,d_hz_hlth_small*G693,0)</f>
        <v/>
      </c>
      <c r="AG693" s="14">
        <f>F693*AF693*in_hlth_small_ticket*in_hlth_small_comm*in_ins_partner_share+F693*in_hlth_small_ticket*in_hlth_small_renew_comm*in_ins_partner_share*(in_hlth_small_renew^1*SUMIFS(AF656:AF703,B656:B703,B693-12)+in_hlth_small_renew^2*SUMIFS(AF656:AF703,B656:B703,B693-24)+in_hlth_small_renew^3*SUMIFS(AF656:AF703,B656:B703,B693-36)+in_hlth_small_renew^4*SUMIFS(AF656:AF703,B656:B703,B693-48))</f>
        <v/>
      </c>
      <c r="AH693" s="40">
        <f>AH692*(1-IF(B692&gt;=in_marketplace_from,d_hz_hlth_family*G692,0))</f>
        <v/>
      </c>
      <c r="AI693" s="46">
        <f>AH693*IF(B693&gt;=in_marketplace_from,d_hz_hlth_family*G693,0)</f>
        <v/>
      </c>
      <c r="AJ693" s="14">
        <f>F693*AI693*in_hlth_family_ticket*in_hlth_family_comm*in_ins_partner_share+F693*in_hlth_family_ticket*in_hlth_family_renew_comm*in_ins_partner_share*(in_hlth_family_renew^1*SUMIFS(AI656:AI703,B656:B703,B693-12)+in_hlth_family_renew^2*SUMIFS(AI656:AI703,B656:B703,B693-24)+in_hlth_family_renew^3*SUMIFS(AI656:AI703,B656:B703,B693-36)+in_hlth_family_renew^4*SUMIFS(AI656:AI703,B656:B703,B693-48))</f>
        <v/>
      </c>
      <c r="AK693" s="40">
        <f>AK692*(1-IF(B692&gt;=in_marketplace_from,d_hz_life_term*G692,0))</f>
        <v/>
      </c>
      <c r="AL693" s="46">
        <f>AK693*IF(B693&gt;=in_marketplace_from,d_hz_life_term*G693,0)</f>
        <v/>
      </c>
      <c r="AM693" s="14">
        <f>F693*AL693*in_life_term_ticket*in_life_term_comm*in_ins_partner_share+F693*in_life_term_ticket*in_life_term_renew_comm*in_ins_partner_share*(in_life_term_renew^1*SUMIFS(AL656:AL703,B656:B703,B693-12)+in_life_term_renew^2*SUMIFS(AL656:AL703,B656:B703,B693-24)+in_life_term_renew^3*SUMIFS(AL656:AL703,B656:B703,B693-36)+in_life_term_renew^4*SUMIFS(AL656:AL703,B656:B703,B693-48))</f>
        <v/>
      </c>
      <c r="AN693" s="40">
        <f>AN692*(1-IF(B692&gt;=in_marketplace_from,d_hz_accident*G692,0))</f>
        <v/>
      </c>
      <c r="AO693" s="46">
        <f>AN693*IF(B693&gt;=in_marketplace_from,d_hz_accident*G693,0)</f>
        <v/>
      </c>
      <c r="AP693" s="14">
        <f>F693*AO693*in_accident_ticket*in_accident_comm*in_ins_partner_share+F693*in_accident_ticket*in_accident_renew_comm*in_ins_partner_share*(in_accident_renew^1*SUMIFS(AO656:AO703,B656:B703,B693-12)+in_accident_renew^2*SUMIFS(AO656:AO703,B656:B703,B693-24)+in_accident_renew^3*SUMIFS(AO656:AO703,B656:B703,B693-36)+in_accident_renew^4*SUMIFS(AO656:AO703,B656:B703,B693-48))</f>
        <v/>
      </c>
      <c r="AQ693" s="40">
        <f>AQ692*(1-IF(B692&gt;=in_marketplace_from,d_hz_two_wheeler*G692,0))</f>
        <v/>
      </c>
      <c r="AR693" s="46">
        <f>AQ693*IF(B693&gt;=in_marketplace_from,d_hz_two_wheeler*G693,0)</f>
        <v/>
      </c>
      <c r="AS693" s="14">
        <f>F693*AR693*in_two_wheeler_ticket*in_two_wheeler_comm*in_ins_partner_share+F693*in_two_wheeler_ticket*in_two_wheeler_comm*in_ins_partner_share*(in_two_wheeler_renew^1*SUMIFS(AR656:AR703,B656:B703,B693-12)+in_two_wheeler_renew^2*SUMIFS(AR656:AR703,B656:B703,B693-24)+in_two_wheeler_renew^3*SUMIFS(AR656:AR703,B656:B703,B693-36)+in_two_wheeler_renew^4*SUMIFS(AR656:AR703,B656:B703,B693-48))</f>
        <v/>
      </c>
      <c r="AT693" s="40">
        <f>AT692*(1-IF(B692&gt;=in_marketplace_from,d_hz_device*G692,0))</f>
        <v/>
      </c>
      <c r="AU693" s="14">
        <f>F693*AT693*IF(B693&gt;=in_marketplace_from,d_hz_device*G693,0)*in_device_ticket*in_device_comm*in_ins_partner_share</f>
        <v/>
      </c>
      <c r="AV693" s="40">
        <f>AV692*(1-IF(B692&gt;=in_marketplace_from,d_hz_shop*G692,0))</f>
        <v/>
      </c>
      <c r="AW693" s="46">
        <f>AV693*IF(B693&gt;=in_marketplace_from,d_hz_shop*G693,0)</f>
        <v/>
      </c>
      <c r="AX693" s="14">
        <f>F693*AW693*in_shop_ticket*in_shop_comm*in_ins_partner_share+F693*in_shop_ticket*in_shop_renew_comm*in_ins_partner_share*(in_shop_renew^1*SUMIFS(AW656:AW703,B656:B703,B693-12)+in_shop_renew^2*SUMIFS(AW656:AW703,B656:B703,B693-24)+in_shop_renew^3*SUMIFS(AW656:AW703,B656:B703,B693-36)+in_shop_renew^4*SUMIFS(AW656:AW703,B656:B703,B693-48))</f>
        <v/>
      </c>
      <c r="AY693" s="40">
        <f>AY692*(1-IF(B692&gt;=in_marketplace_from,d_hz_sip*G692,0))</f>
        <v/>
      </c>
      <c r="AZ693" s="40">
        <f>AZ692*d_rho_sip+AY693*IF(B693&gt;=in_marketplace_from,d_hz_sip*G693,0)</f>
        <v/>
      </c>
      <c r="BA693" s="40">
        <f>d_rho_sip*(BA692+AZ692)</f>
        <v/>
      </c>
      <c r="BB693" s="14">
        <f>F693*in_sip_ticket*(BA693+0.5*AZ693)*in_sip_comm/12</f>
        <v/>
      </c>
      <c r="BC693" s="40">
        <f>BC692*(1-IF(B692&gt;=in_marketplace_from,d_hz_choti*G692,0))</f>
        <v/>
      </c>
      <c r="BD693" s="46">
        <f>BC693*IF(B693&gt;=in_marketplace_from,d_hz_choti*G693,0)</f>
        <v/>
      </c>
      <c r="BE693" s="14">
        <f>F693*SUMIFS(BD656:BD703,B656:B703,B693-in_choti_months)*in_choti_renew*in_choti_ticket</f>
        <v/>
      </c>
      <c r="BF693" s="40">
        <f>BF692*(1-IF(B692&gt;=in_marketplace_from,d_hz_nps*G692,0))</f>
        <v/>
      </c>
      <c r="BG693" s="14">
        <f>F693*BF693*IF(B693&gt;=in_marketplace_from,d_hz_nps*G693,0)*in_nps_ticket*in_nps_comm</f>
        <v/>
      </c>
      <c r="BH693" s="40">
        <f>BH692*(1-IF(B692&gt;=in_marketplace_from,d_hz_gold*G692,0))</f>
        <v/>
      </c>
      <c r="BI693" s="40">
        <f>BI692*d_rho_gold+BH693*IF(B693&gt;=in_marketplace_from,d_hz_gold*G693,0)</f>
        <v/>
      </c>
      <c r="BJ693" s="14">
        <f>F693*BI693*in_gold_ticket*in_gold_comm</f>
        <v/>
      </c>
      <c r="BK693" s="40">
        <f>BK692*(1-IF(B692&gt;=in_marketplace_from,d_hz_fd*G692,0))</f>
        <v/>
      </c>
      <c r="BL693" s="14">
        <f>F693*BK693*IF(B693&gt;=in_marketplace_from,d_hz_fd*G693,0)*in_fd_ticket*in_fd_comm</f>
        <v/>
      </c>
      <c r="BM693" s="40">
        <f>BM692*(1-IF(B692&gt;=in_marketplace_from,d_hz_recharge*G692,0))</f>
        <v/>
      </c>
      <c r="BN693" s="40">
        <f>BN692*d_rho_recharge+BM693*IF(B693&gt;=in_marketplace_from,d_hz_recharge*G693,0)</f>
        <v/>
      </c>
      <c r="BO693" s="14">
        <f>F693*BN693*in_recharge_ticket*in_recharge_comm/12</f>
        <v/>
      </c>
      <c r="BP693" s="40">
        <f>BP692*(1-IF(B692&gt;=in_marketplace_from,d_hz_bills*G692,0))</f>
        <v/>
      </c>
      <c r="BQ693" s="40">
        <f>BQ692*d_rho_bills+BP693*IF(B693&gt;=in_marketplace_from,d_hz_bills*G693,0)</f>
        <v/>
      </c>
      <c r="BR693" s="14">
        <f>F693*BQ693*in_bills_ticket*in_bills_comm/12</f>
        <v/>
      </c>
      <c r="BS693" s="40">
        <f>BS692*(1-IF(B692&gt;=in_marketplace_from,d_hz_loan_gold*G692,0))</f>
        <v/>
      </c>
      <c r="BT693" s="14">
        <f>F693*BS693*IF(B693&gt;=in_marketplace_from,d_hz_loan_gold*G693,0)*in_loan_gold_ticket*in_loan_gold_comm</f>
        <v/>
      </c>
      <c r="BU693" s="40">
        <f>BU692*(1-IF(B692&gt;=in_marketplace_from,d_hz_loan_cd*G692,0))</f>
        <v/>
      </c>
      <c r="BV693" s="14">
        <f>F693*BU693*IF(B693&gt;=in_marketplace_from,d_hz_loan_cd*G693,0)*in_loan_cd_ticket*in_loan_cd_comm</f>
        <v/>
      </c>
      <c r="BW693" s="40">
        <f>BW692*(1-IF(B692&gt;=in_marketplace_from,d_hz_loan_vehicle*G692,0))</f>
        <v/>
      </c>
      <c r="BX693" s="14">
        <f>F693*BW693*IF(B693&gt;=in_marketplace_from,d_hz_loan_vehicle*G693,0)*in_loan_vehicle_ticket*in_loan_vehicle_comm</f>
        <v/>
      </c>
      <c r="BY693" s="40">
        <f>BY692*(1-IF(B692&gt;=in_marketplace_from,d_hz_loan_home*G692,0)*BZ692)</f>
        <v/>
      </c>
      <c r="BZ693" s="11">
        <f>MIN(in_approval_cap,in_loan_home_approval*INDEX('Age profile'!$O$2:$O$61,B693)*(1+in_approval_growth)^(D693-1))</f>
        <v/>
      </c>
      <c r="CA693" s="14">
        <f>F693*BY693*IF(B693&gt;=in_marketplace_from,d_hz_loan_home*G693,0)*BZ693*in_loan_home_ticket*in_loan_home_comm</f>
        <v/>
      </c>
      <c r="CB693" s="40">
        <f>CB692*(1-IF(B692&gt;=in_marketplace_from,d_hz_loan_lap*G692,0)*CC692)</f>
        <v/>
      </c>
      <c r="CC693" s="11">
        <f>MIN(in_approval_cap,in_loan_lap_approval*INDEX('Age profile'!$O$2:$O$61,B693)*(1+in_approval_growth)^(D693-1))</f>
        <v/>
      </c>
      <c r="CD693" s="14">
        <f>F693*CB693*IF(B693&gt;=in_marketplace_from,d_hz_loan_lap*G693,0)*CC693*in_loan_lap_ticket*in_loan_lap_comm</f>
        <v/>
      </c>
      <c r="CE693" s="14">
        <f>AA693+AB693+AC693+AD693+AG693+AJ693+AM693+AP693+AS693+AU693+AX693+BB693+BE693+BG693+BJ693+BL693+BO693+BR693+BT693+BV693+BX693+CA693+CD693</f>
        <v/>
      </c>
    </row>
    <row r="694">
      <c r="A694" s="39" t="n">
        <v>13</v>
      </c>
      <c r="B694" s="39" t="n">
        <v>39</v>
      </c>
      <c r="C694" s="39">
        <f>A694+B694-1</f>
        <v/>
      </c>
      <c r="D694" s="39">
        <f>INT((C694-1)/12)+1</f>
        <v/>
      </c>
      <c r="E694" s="44">
        <f>INDEX(Monthly!$B$2:$B$61,A694)</f>
        <v/>
      </c>
      <c r="F694" s="44">
        <f>E694*INDEX('Age profile'!$B$2:$B$61,B694)</f>
        <v/>
      </c>
      <c r="G694" s="45">
        <f>MIN(in_takeup_cap,INDEX('Age profile'!$N$2:$N$61,B694)*(1+in_takeup_growth)^(D694-1))</f>
        <v/>
      </c>
      <c r="H694" s="11">
        <f>MIN(in_approval_cap,in_approved_first*INDEX('Age profile'!$O$2:$O$61,B694)*(1+in_approval_growth)^(D694-1))</f>
        <v/>
      </c>
      <c r="I694" s="45">
        <f>G694*MIN(in_takeup_cap,INDEX('Age profile'!$O$2:$O$61,B694)*(1+in_approval_growth)^(D694-1))</f>
        <v/>
      </c>
      <c r="J694" s="40">
        <f>(J693-L693)*F694/F693</f>
        <v/>
      </c>
      <c r="K694" s="40">
        <f>(K693-M693)*F694/F693+SUMIFS(O656:O693,B656:B693,B694-1-d_T)*F694</f>
        <v/>
      </c>
      <c r="L694" s="40">
        <f>IF(B694&gt;=in_marketplace_from,J694*d_hz*G694*in_eligible*H694,0)</f>
        <v/>
      </c>
      <c r="M694" s="40">
        <f>IF(B694&gt;=in_marketplace_from,K694*d_hz*G694*in_eligible*in_approved_repeat,0)</f>
        <v/>
      </c>
      <c r="N694" s="40">
        <f>L694+M694</f>
        <v/>
      </c>
      <c r="O694" s="46">
        <f>N694/F694</f>
        <v/>
      </c>
      <c r="P694" s="40">
        <f>F694-J694-K694</f>
        <v/>
      </c>
      <c r="Q694" s="40">
        <f>IF(B694&gt;=in_marketplace_from,(J694+K694)*d_hz*G694,0)</f>
        <v/>
      </c>
      <c r="R694" s="40">
        <f>SUMIFS(N656:N703,B656:B703,"&gt;="&amp;(B694-d_T),B656:B703,"&lt;="&amp;(B694-1))</f>
        <v/>
      </c>
      <c r="S694" s="46">
        <f>(1-d_u)*S693+IF(d_T&gt;in_topup_lag,SUMIFS(O656:O703,B656:B703,B694-in_topup_lag)-d_udrop*SUMIFS(O656:O703,B656:B703,B694-d_T),0)</f>
        <v/>
      </c>
      <c r="T694" s="40">
        <f>F694*d_u*S694</f>
        <v/>
      </c>
      <c r="U694" s="9">
        <f>L694*in_ticket+M694*d_rep_ticket</f>
        <v/>
      </c>
      <c r="V694" s="9">
        <f>U694+T694*d_topup_amt</f>
        <v/>
      </c>
      <c r="W694" s="40">
        <f>N694+T694*d_topup_ratio</f>
        <v/>
      </c>
      <c r="X694" s="40">
        <f>SUMIFS(W656:W703,B656:B703,B694-in_dpd_lag)*d_cured</f>
        <v/>
      </c>
      <c r="Y694" s="40">
        <f>SUMIFS(W656:W703,B656:B703,B694-in_rec_lag)*d_recd</f>
        <v/>
      </c>
      <c r="Z694" s="40">
        <f>IF(AND(B694&gt;=in_marketplace_from,B694&lt;in_marketplace_from+in_card_months),in_card_share/in_card_months*F694*I694,IF(AND(B694&gt;=in_marketplace_from+in_card_months,B694&lt;in_marketplace_from+2*in_card_months),in_card_share*d_card_rem/in_card_months*F694*MIN(in_takeup_cap,(1+in_takeup_growth)^(D694-1))*MIN(in_takeup_cap,(1+in_approval_growth)^(D694-1)),0))</f>
        <v/>
      </c>
      <c r="AA694" s="14">
        <f>V694*in_fee*(1-in_taken_back)</f>
        <v/>
      </c>
      <c r="AB694" s="14">
        <f>SUMIFS(W656:W703,B656:B703,B694-in_dpd_lag)*d_dpd</f>
        <v/>
      </c>
      <c r="AC694" s="14">
        <f>SUMIFS(W656:W703,B656:B703,B694-in_rec_lag)*d_rec</f>
        <v/>
      </c>
      <c r="AD694" s="14">
        <f>Z694*in_card_fee</f>
        <v/>
      </c>
      <c r="AE694" s="40">
        <f>AE693*(1-IF(B693&gt;=in_marketplace_from,d_hz_hlth_small*G693,0))</f>
        <v/>
      </c>
      <c r="AF694" s="46">
        <f>AE694*IF(B694&gt;=in_marketplace_from,d_hz_hlth_small*G694,0)</f>
        <v/>
      </c>
      <c r="AG694" s="14">
        <f>F694*AF694*in_hlth_small_ticket*in_hlth_small_comm*in_ins_partner_share+F694*in_hlth_small_ticket*in_hlth_small_renew_comm*in_ins_partner_share*(in_hlth_small_renew^1*SUMIFS(AF656:AF703,B656:B703,B694-12)+in_hlth_small_renew^2*SUMIFS(AF656:AF703,B656:B703,B694-24)+in_hlth_small_renew^3*SUMIFS(AF656:AF703,B656:B703,B694-36)+in_hlth_small_renew^4*SUMIFS(AF656:AF703,B656:B703,B694-48))</f>
        <v/>
      </c>
      <c r="AH694" s="40">
        <f>AH693*(1-IF(B693&gt;=in_marketplace_from,d_hz_hlth_family*G693,0))</f>
        <v/>
      </c>
      <c r="AI694" s="46">
        <f>AH694*IF(B694&gt;=in_marketplace_from,d_hz_hlth_family*G694,0)</f>
        <v/>
      </c>
      <c r="AJ694" s="14">
        <f>F694*AI694*in_hlth_family_ticket*in_hlth_family_comm*in_ins_partner_share+F694*in_hlth_family_ticket*in_hlth_family_renew_comm*in_ins_partner_share*(in_hlth_family_renew^1*SUMIFS(AI656:AI703,B656:B703,B694-12)+in_hlth_family_renew^2*SUMIFS(AI656:AI703,B656:B703,B694-24)+in_hlth_family_renew^3*SUMIFS(AI656:AI703,B656:B703,B694-36)+in_hlth_family_renew^4*SUMIFS(AI656:AI703,B656:B703,B694-48))</f>
        <v/>
      </c>
      <c r="AK694" s="40">
        <f>AK693*(1-IF(B693&gt;=in_marketplace_from,d_hz_life_term*G693,0))</f>
        <v/>
      </c>
      <c r="AL694" s="46">
        <f>AK694*IF(B694&gt;=in_marketplace_from,d_hz_life_term*G694,0)</f>
        <v/>
      </c>
      <c r="AM694" s="14">
        <f>F694*AL694*in_life_term_ticket*in_life_term_comm*in_ins_partner_share+F694*in_life_term_ticket*in_life_term_renew_comm*in_ins_partner_share*(in_life_term_renew^1*SUMIFS(AL656:AL703,B656:B703,B694-12)+in_life_term_renew^2*SUMIFS(AL656:AL703,B656:B703,B694-24)+in_life_term_renew^3*SUMIFS(AL656:AL703,B656:B703,B694-36)+in_life_term_renew^4*SUMIFS(AL656:AL703,B656:B703,B694-48))</f>
        <v/>
      </c>
      <c r="AN694" s="40">
        <f>AN693*(1-IF(B693&gt;=in_marketplace_from,d_hz_accident*G693,0))</f>
        <v/>
      </c>
      <c r="AO694" s="46">
        <f>AN694*IF(B694&gt;=in_marketplace_from,d_hz_accident*G694,0)</f>
        <v/>
      </c>
      <c r="AP694" s="14">
        <f>F694*AO694*in_accident_ticket*in_accident_comm*in_ins_partner_share+F694*in_accident_ticket*in_accident_renew_comm*in_ins_partner_share*(in_accident_renew^1*SUMIFS(AO656:AO703,B656:B703,B694-12)+in_accident_renew^2*SUMIFS(AO656:AO703,B656:B703,B694-24)+in_accident_renew^3*SUMIFS(AO656:AO703,B656:B703,B694-36)+in_accident_renew^4*SUMIFS(AO656:AO703,B656:B703,B694-48))</f>
        <v/>
      </c>
      <c r="AQ694" s="40">
        <f>AQ693*(1-IF(B693&gt;=in_marketplace_from,d_hz_two_wheeler*G693,0))</f>
        <v/>
      </c>
      <c r="AR694" s="46">
        <f>AQ694*IF(B694&gt;=in_marketplace_from,d_hz_two_wheeler*G694,0)</f>
        <v/>
      </c>
      <c r="AS694" s="14">
        <f>F694*AR694*in_two_wheeler_ticket*in_two_wheeler_comm*in_ins_partner_share+F694*in_two_wheeler_ticket*in_two_wheeler_comm*in_ins_partner_share*(in_two_wheeler_renew^1*SUMIFS(AR656:AR703,B656:B703,B694-12)+in_two_wheeler_renew^2*SUMIFS(AR656:AR703,B656:B703,B694-24)+in_two_wheeler_renew^3*SUMIFS(AR656:AR703,B656:B703,B694-36)+in_two_wheeler_renew^4*SUMIFS(AR656:AR703,B656:B703,B694-48))</f>
        <v/>
      </c>
      <c r="AT694" s="40">
        <f>AT693*(1-IF(B693&gt;=in_marketplace_from,d_hz_device*G693,0))</f>
        <v/>
      </c>
      <c r="AU694" s="14">
        <f>F694*AT694*IF(B694&gt;=in_marketplace_from,d_hz_device*G694,0)*in_device_ticket*in_device_comm*in_ins_partner_share</f>
        <v/>
      </c>
      <c r="AV694" s="40">
        <f>AV693*(1-IF(B693&gt;=in_marketplace_from,d_hz_shop*G693,0))</f>
        <v/>
      </c>
      <c r="AW694" s="46">
        <f>AV694*IF(B694&gt;=in_marketplace_from,d_hz_shop*G694,0)</f>
        <v/>
      </c>
      <c r="AX694" s="14">
        <f>F694*AW694*in_shop_ticket*in_shop_comm*in_ins_partner_share+F694*in_shop_ticket*in_shop_renew_comm*in_ins_partner_share*(in_shop_renew^1*SUMIFS(AW656:AW703,B656:B703,B694-12)+in_shop_renew^2*SUMIFS(AW656:AW703,B656:B703,B694-24)+in_shop_renew^3*SUMIFS(AW656:AW703,B656:B703,B694-36)+in_shop_renew^4*SUMIFS(AW656:AW703,B656:B703,B694-48))</f>
        <v/>
      </c>
      <c r="AY694" s="40">
        <f>AY693*(1-IF(B693&gt;=in_marketplace_from,d_hz_sip*G693,0))</f>
        <v/>
      </c>
      <c r="AZ694" s="40">
        <f>AZ693*d_rho_sip+AY694*IF(B694&gt;=in_marketplace_from,d_hz_sip*G694,0)</f>
        <v/>
      </c>
      <c r="BA694" s="40">
        <f>d_rho_sip*(BA693+AZ693)</f>
        <v/>
      </c>
      <c r="BB694" s="14">
        <f>F694*in_sip_ticket*(BA694+0.5*AZ694)*in_sip_comm/12</f>
        <v/>
      </c>
      <c r="BC694" s="40">
        <f>BC693*(1-IF(B693&gt;=in_marketplace_from,d_hz_choti*G693,0))</f>
        <v/>
      </c>
      <c r="BD694" s="46">
        <f>BC694*IF(B694&gt;=in_marketplace_from,d_hz_choti*G694,0)</f>
        <v/>
      </c>
      <c r="BE694" s="14">
        <f>F694*SUMIFS(BD656:BD703,B656:B703,B694-in_choti_months)*in_choti_renew*in_choti_ticket</f>
        <v/>
      </c>
      <c r="BF694" s="40">
        <f>BF693*(1-IF(B693&gt;=in_marketplace_from,d_hz_nps*G693,0))</f>
        <v/>
      </c>
      <c r="BG694" s="14">
        <f>F694*BF694*IF(B694&gt;=in_marketplace_from,d_hz_nps*G694,0)*in_nps_ticket*in_nps_comm</f>
        <v/>
      </c>
      <c r="BH694" s="40">
        <f>BH693*(1-IF(B693&gt;=in_marketplace_from,d_hz_gold*G693,0))</f>
        <v/>
      </c>
      <c r="BI694" s="40">
        <f>BI693*d_rho_gold+BH694*IF(B694&gt;=in_marketplace_from,d_hz_gold*G694,0)</f>
        <v/>
      </c>
      <c r="BJ694" s="14">
        <f>F694*BI694*in_gold_ticket*in_gold_comm</f>
        <v/>
      </c>
      <c r="BK694" s="40">
        <f>BK693*(1-IF(B693&gt;=in_marketplace_from,d_hz_fd*G693,0))</f>
        <v/>
      </c>
      <c r="BL694" s="14">
        <f>F694*BK694*IF(B694&gt;=in_marketplace_from,d_hz_fd*G694,0)*in_fd_ticket*in_fd_comm</f>
        <v/>
      </c>
      <c r="BM694" s="40">
        <f>BM693*(1-IF(B693&gt;=in_marketplace_from,d_hz_recharge*G693,0))</f>
        <v/>
      </c>
      <c r="BN694" s="40">
        <f>BN693*d_rho_recharge+BM694*IF(B694&gt;=in_marketplace_from,d_hz_recharge*G694,0)</f>
        <v/>
      </c>
      <c r="BO694" s="14">
        <f>F694*BN694*in_recharge_ticket*in_recharge_comm/12</f>
        <v/>
      </c>
      <c r="BP694" s="40">
        <f>BP693*(1-IF(B693&gt;=in_marketplace_from,d_hz_bills*G693,0))</f>
        <v/>
      </c>
      <c r="BQ694" s="40">
        <f>BQ693*d_rho_bills+BP694*IF(B694&gt;=in_marketplace_from,d_hz_bills*G694,0)</f>
        <v/>
      </c>
      <c r="BR694" s="14">
        <f>F694*BQ694*in_bills_ticket*in_bills_comm/12</f>
        <v/>
      </c>
      <c r="BS694" s="40">
        <f>BS693*(1-IF(B693&gt;=in_marketplace_from,d_hz_loan_gold*G693,0))</f>
        <v/>
      </c>
      <c r="BT694" s="14">
        <f>F694*BS694*IF(B694&gt;=in_marketplace_from,d_hz_loan_gold*G694,0)*in_loan_gold_ticket*in_loan_gold_comm</f>
        <v/>
      </c>
      <c r="BU694" s="40">
        <f>BU693*(1-IF(B693&gt;=in_marketplace_from,d_hz_loan_cd*G693,0))</f>
        <v/>
      </c>
      <c r="BV694" s="14">
        <f>F694*BU694*IF(B694&gt;=in_marketplace_from,d_hz_loan_cd*G694,0)*in_loan_cd_ticket*in_loan_cd_comm</f>
        <v/>
      </c>
      <c r="BW694" s="40">
        <f>BW693*(1-IF(B693&gt;=in_marketplace_from,d_hz_loan_vehicle*G693,0))</f>
        <v/>
      </c>
      <c r="BX694" s="14">
        <f>F694*BW694*IF(B694&gt;=in_marketplace_from,d_hz_loan_vehicle*G694,0)*in_loan_vehicle_ticket*in_loan_vehicle_comm</f>
        <v/>
      </c>
      <c r="BY694" s="40">
        <f>BY693*(1-IF(B693&gt;=in_marketplace_from,d_hz_loan_home*G693,0)*BZ693)</f>
        <v/>
      </c>
      <c r="BZ694" s="11">
        <f>MIN(in_approval_cap,in_loan_home_approval*INDEX('Age profile'!$O$2:$O$61,B694)*(1+in_approval_growth)^(D694-1))</f>
        <v/>
      </c>
      <c r="CA694" s="14">
        <f>F694*BY694*IF(B694&gt;=in_marketplace_from,d_hz_loan_home*G694,0)*BZ694*in_loan_home_ticket*in_loan_home_comm</f>
        <v/>
      </c>
      <c r="CB694" s="40">
        <f>CB693*(1-IF(B693&gt;=in_marketplace_from,d_hz_loan_lap*G693,0)*CC693)</f>
        <v/>
      </c>
      <c r="CC694" s="11">
        <f>MIN(in_approval_cap,in_loan_lap_approval*INDEX('Age profile'!$O$2:$O$61,B694)*(1+in_approval_growth)^(D694-1))</f>
        <v/>
      </c>
      <c r="CD694" s="14">
        <f>F694*CB694*IF(B694&gt;=in_marketplace_from,d_hz_loan_lap*G694,0)*CC694*in_loan_lap_ticket*in_loan_lap_comm</f>
        <v/>
      </c>
      <c r="CE694" s="14">
        <f>AA694+AB694+AC694+AD694+AG694+AJ694+AM694+AP694+AS694+AU694+AX694+BB694+BE694+BG694+BJ694+BL694+BO694+BR694+BT694+BV694+BX694+CA694+CD694</f>
        <v/>
      </c>
    </row>
    <row r="695">
      <c r="A695" s="39" t="n">
        <v>13</v>
      </c>
      <c r="B695" s="39" t="n">
        <v>40</v>
      </c>
      <c r="C695" s="39">
        <f>A695+B695-1</f>
        <v/>
      </c>
      <c r="D695" s="39">
        <f>INT((C695-1)/12)+1</f>
        <v/>
      </c>
      <c r="E695" s="44">
        <f>INDEX(Monthly!$B$2:$B$61,A695)</f>
        <v/>
      </c>
      <c r="F695" s="44">
        <f>E695*INDEX('Age profile'!$B$2:$B$61,B695)</f>
        <v/>
      </c>
      <c r="G695" s="45">
        <f>MIN(in_takeup_cap,INDEX('Age profile'!$N$2:$N$61,B695)*(1+in_takeup_growth)^(D695-1))</f>
        <v/>
      </c>
      <c r="H695" s="11">
        <f>MIN(in_approval_cap,in_approved_first*INDEX('Age profile'!$O$2:$O$61,B695)*(1+in_approval_growth)^(D695-1))</f>
        <v/>
      </c>
      <c r="I695" s="45">
        <f>G695*MIN(in_takeup_cap,INDEX('Age profile'!$O$2:$O$61,B695)*(1+in_approval_growth)^(D695-1))</f>
        <v/>
      </c>
      <c r="J695" s="40">
        <f>(J694-L694)*F695/F694</f>
        <v/>
      </c>
      <c r="K695" s="40">
        <f>(K694-M694)*F695/F694+SUMIFS(O656:O694,B656:B694,B695-1-d_T)*F695</f>
        <v/>
      </c>
      <c r="L695" s="40">
        <f>IF(B695&gt;=in_marketplace_from,J695*d_hz*G695*in_eligible*H695,0)</f>
        <v/>
      </c>
      <c r="M695" s="40">
        <f>IF(B695&gt;=in_marketplace_from,K695*d_hz*G695*in_eligible*in_approved_repeat,0)</f>
        <v/>
      </c>
      <c r="N695" s="40">
        <f>L695+M695</f>
        <v/>
      </c>
      <c r="O695" s="46">
        <f>N695/F695</f>
        <v/>
      </c>
      <c r="P695" s="40">
        <f>F695-J695-K695</f>
        <v/>
      </c>
      <c r="Q695" s="40">
        <f>IF(B695&gt;=in_marketplace_from,(J695+K695)*d_hz*G695,0)</f>
        <v/>
      </c>
      <c r="R695" s="40">
        <f>SUMIFS(N656:N703,B656:B703,"&gt;="&amp;(B695-d_T),B656:B703,"&lt;="&amp;(B695-1))</f>
        <v/>
      </c>
      <c r="S695" s="46">
        <f>(1-d_u)*S694+IF(d_T&gt;in_topup_lag,SUMIFS(O656:O703,B656:B703,B695-in_topup_lag)-d_udrop*SUMIFS(O656:O703,B656:B703,B695-d_T),0)</f>
        <v/>
      </c>
      <c r="T695" s="40">
        <f>F695*d_u*S695</f>
        <v/>
      </c>
      <c r="U695" s="9">
        <f>L695*in_ticket+M695*d_rep_ticket</f>
        <v/>
      </c>
      <c r="V695" s="9">
        <f>U695+T695*d_topup_amt</f>
        <v/>
      </c>
      <c r="W695" s="40">
        <f>N695+T695*d_topup_ratio</f>
        <v/>
      </c>
      <c r="X695" s="40">
        <f>SUMIFS(W656:W703,B656:B703,B695-in_dpd_lag)*d_cured</f>
        <v/>
      </c>
      <c r="Y695" s="40">
        <f>SUMIFS(W656:W703,B656:B703,B695-in_rec_lag)*d_recd</f>
        <v/>
      </c>
      <c r="Z695" s="40">
        <f>IF(AND(B695&gt;=in_marketplace_from,B695&lt;in_marketplace_from+in_card_months),in_card_share/in_card_months*F695*I695,IF(AND(B695&gt;=in_marketplace_from+in_card_months,B695&lt;in_marketplace_from+2*in_card_months),in_card_share*d_card_rem/in_card_months*F695*MIN(in_takeup_cap,(1+in_takeup_growth)^(D695-1))*MIN(in_takeup_cap,(1+in_approval_growth)^(D695-1)),0))</f>
        <v/>
      </c>
      <c r="AA695" s="14">
        <f>V695*in_fee*(1-in_taken_back)</f>
        <v/>
      </c>
      <c r="AB695" s="14">
        <f>SUMIFS(W656:W703,B656:B703,B695-in_dpd_lag)*d_dpd</f>
        <v/>
      </c>
      <c r="AC695" s="14">
        <f>SUMIFS(W656:W703,B656:B703,B695-in_rec_lag)*d_rec</f>
        <v/>
      </c>
      <c r="AD695" s="14">
        <f>Z695*in_card_fee</f>
        <v/>
      </c>
      <c r="AE695" s="40">
        <f>AE694*(1-IF(B694&gt;=in_marketplace_from,d_hz_hlth_small*G694,0))</f>
        <v/>
      </c>
      <c r="AF695" s="46">
        <f>AE695*IF(B695&gt;=in_marketplace_from,d_hz_hlth_small*G695,0)</f>
        <v/>
      </c>
      <c r="AG695" s="14">
        <f>F695*AF695*in_hlth_small_ticket*in_hlth_small_comm*in_ins_partner_share+F695*in_hlth_small_ticket*in_hlth_small_renew_comm*in_ins_partner_share*(in_hlth_small_renew^1*SUMIFS(AF656:AF703,B656:B703,B695-12)+in_hlth_small_renew^2*SUMIFS(AF656:AF703,B656:B703,B695-24)+in_hlth_small_renew^3*SUMIFS(AF656:AF703,B656:B703,B695-36)+in_hlth_small_renew^4*SUMIFS(AF656:AF703,B656:B703,B695-48))</f>
        <v/>
      </c>
      <c r="AH695" s="40">
        <f>AH694*(1-IF(B694&gt;=in_marketplace_from,d_hz_hlth_family*G694,0))</f>
        <v/>
      </c>
      <c r="AI695" s="46">
        <f>AH695*IF(B695&gt;=in_marketplace_from,d_hz_hlth_family*G695,0)</f>
        <v/>
      </c>
      <c r="AJ695" s="14">
        <f>F695*AI695*in_hlth_family_ticket*in_hlth_family_comm*in_ins_partner_share+F695*in_hlth_family_ticket*in_hlth_family_renew_comm*in_ins_partner_share*(in_hlth_family_renew^1*SUMIFS(AI656:AI703,B656:B703,B695-12)+in_hlth_family_renew^2*SUMIFS(AI656:AI703,B656:B703,B695-24)+in_hlth_family_renew^3*SUMIFS(AI656:AI703,B656:B703,B695-36)+in_hlth_family_renew^4*SUMIFS(AI656:AI703,B656:B703,B695-48))</f>
        <v/>
      </c>
      <c r="AK695" s="40">
        <f>AK694*(1-IF(B694&gt;=in_marketplace_from,d_hz_life_term*G694,0))</f>
        <v/>
      </c>
      <c r="AL695" s="46">
        <f>AK695*IF(B695&gt;=in_marketplace_from,d_hz_life_term*G695,0)</f>
        <v/>
      </c>
      <c r="AM695" s="14">
        <f>F695*AL695*in_life_term_ticket*in_life_term_comm*in_ins_partner_share+F695*in_life_term_ticket*in_life_term_renew_comm*in_ins_partner_share*(in_life_term_renew^1*SUMIFS(AL656:AL703,B656:B703,B695-12)+in_life_term_renew^2*SUMIFS(AL656:AL703,B656:B703,B695-24)+in_life_term_renew^3*SUMIFS(AL656:AL703,B656:B703,B695-36)+in_life_term_renew^4*SUMIFS(AL656:AL703,B656:B703,B695-48))</f>
        <v/>
      </c>
      <c r="AN695" s="40">
        <f>AN694*(1-IF(B694&gt;=in_marketplace_from,d_hz_accident*G694,0))</f>
        <v/>
      </c>
      <c r="AO695" s="46">
        <f>AN695*IF(B695&gt;=in_marketplace_from,d_hz_accident*G695,0)</f>
        <v/>
      </c>
      <c r="AP695" s="14">
        <f>F695*AO695*in_accident_ticket*in_accident_comm*in_ins_partner_share+F695*in_accident_ticket*in_accident_renew_comm*in_ins_partner_share*(in_accident_renew^1*SUMIFS(AO656:AO703,B656:B703,B695-12)+in_accident_renew^2*SUMIFS(AO656:AO703,B656:B703,B695-24)+in_accident_renew^3*SUMIFS(AO656:AO703,B656:B703,B695-36)+in_accident_renew^4*SUMIFS(AO656:AO703,B656:B703,B695-48))</f>
        <v/>
      </c>
      <c r="AQ695" s="40">
        <f>AQ694*(1-IF(B694&gt;=in_marketplace_from,d_hz_two_wheeler*G694,0))</f>
        <v/>
      </c>
      <c r="AR695" s="46">
        <f>AQ695*IF(B695&gt;=in_marketplace_from,d_hz_two_wheeler*G695,0)</f>
        <v/>
      </c>
      <c r="AS695" s="14">
        <f>F695*AR695*in_two_wheeler_ticket*in_two_wheeler_comm*in_ins_partner_share+F695*in_two_wheeler_ticket*in_two_wheeler_comm*in_ins_partner_share*(in_two_wheeler_renew^1*SUMIFS(AR656:AR703,B656:B703,B695-12)+in_two_wheeler_renew^2*SUMIFS(AR656:AR703,B656:B703,B695-24)+in_two_wheeler_renew^3*SUMIFS(AR656:AR703,B656:B703,B695-36)+in_two_wheeler_renew^4*SUMIFS(AR656:AR703,B656:B703,B695-48))</f>
        <v/>
      </c>
      <c r="AT695" s="40">
        <f>AT694*(1-IF(B694&gt;=in_marketplace_from,d_hz_device*G694,0))</f>
        <v/>
      </c>
      <c r="AU695" s="14">
        <f>F695*AT695*IF(B695&gt;=in_marketplace_from,d_hz_device*G695,0)*in_device_ticket*in_device_comm*in_ins_partner_share</f>
        <v/>
      </c>
      <c r="AV695" s="40">
        <f>AV694*(1-IF(B694&gt;=in_marketplace_from,d_hz_shop*G694,0))</f>
        <v/>
      </c>
      <c r="AW695" s="46">
        <f>AV695*IF(B695&gt;=in_marketplace_from,d_hz_shop*G695,0)</f>
        <v/>
      </c>
      <c r="AX695" s="14">
        <f>F695*AW695*in_shop_ticket*in_shop_comm*in_ins_partner_share+F695*in_shop_ticket*in_shop_renew_comm*in_ins_partner_share*(in_shop_renew^1*SUMIFS(AW656:AW703,B656:B703,B695-12)+in_shop_renew^2*SUMIFS(AW656:AW703,B656:B703,B695-24)+in_shop_renew^3*SUMIFS(AW656:AW703,B656:B703,B695-36)+in_shop_renew^4*SUMIFS(AW656:AW703,B656:B703,B695-48))</f>
        <v/>
      </c>
      <c r="AY695" s="40">
        <f>AY694*(1-IF(B694&gt;=in_marketplace_from,d_hz_sip*G694,0))</f>
        <v/>
      </c>
      <c r="AZ695" s="40">
        <f>AZ694*d_rho_sip+AY695*IF(B695&gt;=in_marketplace_from,d_hz_sip*G695,0)</f>
        <v/>
      </c>
      <c r="BA695" s="40">
        <f>d_rho_sip*(BA694+AZ694)</f>
        <v/>
      </c>
      <c r="BB695" s="14">
        <f>F695*in_sip_ticket*(BA695+0.5*AZ695)*in_sip_comm/12</f>
        <v/>
      </c>
      <c r="BC695" s="40">
        <f>BC694*(1-IF(B694&gt;=in_marketplace_from,d_hz_choti*G694,0))</f>
        <v/>
      </c>
      <c r="BD695" s="46">
        <f>BC695*IF(B695&gt;=in_marketplace_from,d_hz_choti*G695,0)</f>
        <v/>
      </c>
      <c r="BE695" s="14">
        <f>F695*SUMIFS(BD656:BD703,B656:B703,B695-in_choti_months)*in_choti_renew*in_choti_ticket</f>
        <v/>
      </c>
      <c r="BF695" s="40">
        <f>BF694*(1-IF(B694&gt;=in_marketplace_from,d_hz_nps*G694,0))</f>
        <v/>
      </c>
      <c r="BG695" s="14">
        <f>F695*BF695*IF(B695&gt;=in_marketplace_from,d_hz_nps*G695,0)*in_nps_ticket*in_nps_comm</f>
        <v/>
      </c>
      <c r="BH695" s="40">
        <f>BH694*(1-IF(B694&gt;=in_marketplace_from,d_hz_gold*G694,0))</f>
        <v/>
      </c>
      <c r="BI695" s="40">
        <f>BI694*d_rho_gold+BH695*IF(B695&gt;=in_marketplace_from,d_hz_gold*G695,0)</f>
        <v/>
      </c>
      <c r="BJ695" s="14">
        <f>F695*BI695*in_gold_ticket*in_gold_comm</f>
        <v/>
      </c>
      <c r="BK695" s="40">
        <f>BK694*(1-IF(B694&gt;=in_marketplace_from,d_hz_fd*G694,0))</f>
        <v/>
      </c>
      <c r="BL695" s="14">
        <f>F695*BK695*IF(B695&gt;=in_marketplace_from,d_hz_fd*G695,0)*in_fd_ticket*in_fd_comm</f>
        <v/>
      </c>
      <c r="BM695" s="40">
        <f>BM694*(1-IF(B694&gt;=in_marketplace_from,d_hz_recharge*G694,0))</f>
        <v/>
      </c>
      <c r="BN695" s="40">
        <f>BN694*d_rho_recharge+BM695*IF(B695&gt;=in_marketplace_from,d_hz_recharge*G695,0)</f>
        <v/>
      </c>
      <c r="BO695" s="14">
        <f>F695*BN695*in_recharge_ticket*in_recharge_comm/12</f>
        <v/>
      </c>
      <c r="BP695" s="40">
        <f>BP694*(1-IF(B694&gt;=in_marketplace_from,d_hz_bills*G694,0))</f>
        <v/>
      </c>
      <c r="BQ695" s="40">
        <f>BQ694*d_rho_bills+BP695*IF(B695&gt;=in_marketplace_from,d_hz_bills*G695,0)</f>
        <v/>
      </c>
      <c r="BR695" s="14">
        <f>F695*BQ695*in_bills_ticket*in_bills_comm/12</f>
        <v/>
      </c>
      <c r="BS695" s="40">
        <f>BS694*(1-IF(B694&gt;=in_marketplace_from,d_hz_loan_gold*G694,0))</f>
        <v/>
      </c>
      <c r="BT695" s="14">
        <f>F695*BS695*IF(B695&gt;=in_marketplace_from,d_hz_loan_gold*G695,0)*in_loan_gold_ticket*in_loan_gold_comm</f>
        <v/>
      </c>
      <c r="BU695" s="40">
        <f>BU694*(1-IF(B694&gt;=in_marketplace_from,d_hz_loan_cd*G694,0))</f>
        <v/>
      </c>
      <c r="BV695" s="14">
        <f>F695*BU695*IF(B695&gt;=in_marketplace_from,d_hz_loan_cd*G695,0)*in_loan_cd_ticket*in_loan_cd_comm</f>
        <v/>
      </c>
      <c r="BW695" s="40">
        <f>BW694*(1-IF(B694&gt;=in_marketplace_from,d_hz_loan_vehicle*G694,0))</f>
        <v/>
      </c>
      <c r="BX695" s="14">
        <f>F695*BW695*IF(B695&gt;=in_marketplace_from,d_hz_loan_vehicle*G695,0)*in_loan_vehicle_ticket*in_loan_vehicle_comm</f>
        <v/>
      </c>
      <c r="BY695" s="40">
        <f>BY694*(1-IF(B694&gt;=in_marketplace_from,d_hz_loan_home*G694,0)*BZ694)</f>
        <v/>
      </c>
      <c r="BZ695" s="11">
        <f>MIN(in_approval_cap,in_loan_home_approval*INDEX('Age profile'!$O$2:$O$61,B695)*(1+in_approval_growth)^(D695-1))</f>
        <v/>
      </c>
      <c r="CA695" s="14">
        <f>F695*BY695*IF(B695&gt;=in_marketplace_from,d_hz_loan_home*G695,0)*BZ695*in_loan_home_ticket*in_loan_home_comm</f>
        <v/>
      </c>
      <c r="CB695" s="40">
        <f>CB694*(1-IF(B694&gt;=in_marketplace_from,d_hz_loan_lap*G694,0)*CC694)</f>
        <v/>
      </c>
      <c r="CC695" s="11">
        <f>MIN(in_approval_cap,in_loan_lap_approval*INDEX('Age profile'!$O$2:$O$61,B695)*(1+in_approval_growth)^(D695-1))</f>
        <v/>
      </c>
      <c r="CD695" s="14">
        <f>F695*CB695*IF(B695&gt;=in_marketplace_from,d_hz_loan_lap*G695,0)*CC695*in_loan_lap_ticket*in_loan_lap_comm</f>
        <v/>
      </c>
      <c r="CE695" s="14">
        <f>AA695+AB695+AC695+AD695+AG695+AJ695+AM695+AP695+AS695+AU695+AX695+BB695+BE695+BG695+BJ695+BL695+BO695+BR695+BT695+BV695+BX695+CA695+CD695</f>
        <v/>
      </c>
    </row>
    <row r="696">
      <c r="A696" s="39" t="n">
        <v>13</v>
      </c>
      <c r="B696" s="39" t="n">
        <v>41</v>
      </c>
      <c r="C696" s="39">
        <f>A696+B696-1</f>
        <v/>
      </c>
      <c r="D696" s="39">
        <f>INT((C696-1)/12)+1</f>
        <v/>
      </c>
      <c r="E696" s="44">
        <f>INDEX(Monthly!$B$2:$B$61,A696)</f>
        <v/>
      </c>
      <c r="F696" s="44">
        <f>E696*INDEX('Age profile'!$B$2:$B$61,B696)</f>
        <v/>
      </c>
      <c r="G696" s="45">
        <f>MIN(in_takeup_cap,INDEX('Age profile'!$N$2:$N$61,B696)*(1+in_takeup_growth)^(D696-1))</f>
        <v/>
      </c>
      <c r="H696" s="11">
        <f>MIN(in_approval_cap,in_approved_first*INDEX('Age profile'!$O$2:$O$61,B696)*(1+in_approval_growth)^(D696-1))</f>
        <v/>
      </c>
      <c r="I696" s="45">
        <f>G696*MIN(in_takeup_cap,INDEX('Age profile'!$O$2:$O$61,B696)*(1+in_approval_growth)^(D696-1))</f>
        <v/>
      </c>
      <c r="J696" s="40">
        <f>(J695-L695)*F696/F695</f>
        <v/>
      </c>
      <c r="K696" s="40">
        <f>(K695-M695)*F696/F695+SUMIFS(O656:O695,B656:B695,B696-1-d_T)*F696</f>
        <v/>
      </c>
      <c r="L696" s="40">
        <f>IF(B696&gt;=in_marketplace_from,J696*d_hz*G696*in_eligible*H696,0)</f>
        <v/>
      </c>
      <c r="M696" s="40">
        <f>IF(B696&gt;=in_marketplace_from,K696*d_hz*G696*in_eligible*in_approved_repeat,0)</f>
        <v/>
      </c>
      <c r="N696" s="40">
        <f>L696+M696</f>
        <v/>
      </c>
      <c r="O696" s="46">
        <f>N696/F696</f>
        <v/>
      </c>
      <c r="P696" s="40">
        <f>F696-J696-K696</f>
        <v/>
      </c>
      <c r="Q696" s="40">
        <f>IF(B696&gt;=in_marketplace_from,(J696+K696)*d_hz*G696,0)</f>
        <v/>
      </c>
      <c r="R696" s="40">
        <f>SUMIFS(N656:N703,B656:B703,"&gt;="&amp;(B696-d_T),B656:B703,"&lt;="&amp;(B696-1))</f>
        <v/>
      </c>
      <c r="S696" s="46">
        <f>(1-d_u)*S695+IF(d_T&gt;in_topup_lag,SUMIFS(O656:O703,B656:B703,B696-in_topup_lag)-d_udrop*SUMIFS(O656:O703,B656:B703,B696-d_T),0)</f>
        <v/>
      </c>
      <c r="T696" s="40">
        <f>F696*d_u*S696</f>
        <v/>
      </c>
      <c r="U696" s="9">
        <f>L696*in_ticket+M696*d_rep_ticket</f>
        <v/>
      </c>
      <c r="V696" s="9">
        <f>U696+T696*d_topup_amt</f>
        <v/>
      </c>
      <c r="W696" s="40">
        <f>N696+T696*d_topup_ratio</f>
        <v/>
      </c>
      <c r="X696" s="40">
        <f>SUMIFS(W656:W703,B656:B703,B696-in_dpd_lag)*d_cured</f>
        <v/>
      </c>
      <c r="Y696" s="40">
        <f>SUMIFS(W656:W703,B656:B703,B696-in_rec_lag)*d_recd</f>
        <v/>
      </c>
      <c r="Z696" s="40">
        <f>IF(AND(B696&gt;=in_marketplace_from,B696&lt;in_marketplace_from+in_card_months),in_card_share/in_card_months*F696*I696,IF(AND(B696&gt;=in_marketplace_from+in_card_months,B696&lt;in_marketplace_from+2*in_card_months),in_card_share*d_card_rem/in_card_months*F696*MIN(in_takeup_cap,(1+in_takeup_growth)^(D696-1))*MIN(in_takeup_cap,(1+in_approval_growth)^(D696-1)),0))</f>
        <v/>
      </c>
      <c r="AA696" s="14">
        <f>V696*in_fee*(1-in_taken_back)</f>
        <v/>
      </c>
      <c r="AB696" s="14">
        <f>SUMIFS(W656:W703,B656:B703,B696-in_dpd_lag)*d_dpd</f>
        <v/>
      </c>
      <c r="AC696" s="14">
        <f>SUMIFS(W656:W703,B656:B703,B696-in_rec_lag)*d_rec</f>
        <v/>
      </c>
      <c r="AD696" s="14">
        <f>Z696*in_card_fee</f>
        <v/>
      </c>
      <c r="AE696" s="40">
        <f>AE695*(1-IF(B695&gt;=in_marketplace_from,d_hz_hlth_small*G695,0))</f>
        <v/>
      </c>
      <c r="AF696" s="46">
        <f>AE696*IF(B696&gt;=in_marketplace_from,d_hz_hlth_small*G696,0)</f>
        <v/>
      </c>
      <c r="AG696" s="14">
        <f>F696*AF696*in_hlth_small_ticket*in_hlth_small_comm*in_ins_partner_share+F696*in_hlth_small_ticket*in_hlth_small_renew_comm*in_ins_partner_share*(in_hlth_small_renew^1*SUMIFS(AF656:AF703,B656:B703,B696-12)+in_hlth_small_renew^2*SUMIFS(AF656:AF703,B656:B703,B696-24)+in_hlth_small_renew^3*SUMIFS(AF656:AF703,B656:B703,B696-36)+in_hlth_small_renew^4*SUMIFS(AF656:AF703,B656:B703,B696-48))</f>
        <v/>
      </c>
      <c r="AH696" s="40">
        <f>AH695*(1-IF(B695&gt;=in_marketplace_from,d_hz_hlth_family*G695,0))</f>
        <v/>
      </c>
      <c r="AI696" s="46">
        <f>AH696*IF(B696&gt;=in_marketplace_from,d_hz_hlth_family*G696,0)</f>
        <v/>
      </c>
      <c r="AJ696" s="14">
        <f>F696*AI696*in_hlth_family_ticket*in_hlth_family_comm*in_ins_partner_share+F696*in_hlth_family_ticket*in_hlth_family_renew_comm*in_ins_partner_share*(in_hlth_family_renew^1*SUMIFS(AI656:AI703,B656:B703,B696-12)+in_hlth_family_renew^2*SUMIFS(AI656:AI703,B656:B703,B696-24)+in_hlth_family_renew^3*SUMIFS(AI656:AI703,B656:B703,B696-36)+in_hlth_family_renew^4*SUMIFS(AI656:AI703,B656:B703,B696-48))</f>
        <v/>
      </c>
      <c r="AK696" s="40">
        <f>AK695*(1-IF(B695&gt;=in_marketplace_from,d_hz_life_term*G695,0))</f>
        <v/>
      </c>
      <c r="AL696" s="46">
        <f>AK696*IF(B696&gt;=in_marketplace_from,d_hz_life_term*G696,0)</f>
        <v/>
      </c>
      <c r="AM696" s="14">
        <f>F696*AL696*in_life_term_ticket*in_life_term_comm*in_ins_partner_share+F696*in_life_term_ticket*in_life_term_renew_comm*in_ins_partner_share*(in_life_term_renew^1*SUMIFS(AL656:AL703,B656:B703,B696-12)+in_life_term_renew^2*SUMIFS(AL656:AL703,B656:B703,B696-24)+in_life_term_renew^3*SUMIFS(AL656:AL703,B656:B703,B696-36)+in_life_term_renew^4*SUMIFS(AL656:AL703,B656:B703,B696-48))</f>
        <v/>
      </c>
      <c r="AN696" s="40">
        <f>AN695*(1-IF(B695&gt;=in_marketplace_from,d_hz_accident*G695,0))</f>
        <v/>
      </c>
      <c r="AO696" s="46">
        <f>AN696*IF(B696&gt;=in_marketplace_from,d_hz_accident*G696,0)</f>
        <v/>
      </c>
      <c r="AP696" s="14">
        <f>F696*AO696*in_accident_ticket*in_accident_comm*in_ins_partner_share+F696*in_accident_ticket*in_accident_renew_comm*in_ins_partner_share*(in_accident_renew^1*SUMIFS(AO656:AO703,B656:B703,B696-12)+in_accident_renew^2*SUMIFS(AO656:AO703,B656:B703,B696-24)+in_accident_renew^3*SUMIFS(AO656:AO703,B656:B703,B696-36)+in_accident_renew^4*SUMIFS(AO656:AO703,B656:B703,B696-48))</f>
        <v/>
      </c>
      <c r="AQ696" s="40">
        <f>AQ695*(1-IF(B695&gt;=in_marketplace_from,d_hz_two_wheeler*G695,0))</f>
        <v/>
      </c>
      <c r="AR696" s="46">
        <f>AQ696*IF(B696&gt;=in_marketplace_from,d_hz_two_wheeler*G696,0)</f>
        <v/>
      </c>
      <c r="AS696" s="14">
        <f>F696*AR696*in_two_wheeler_ticket*in_two_wheeler_comm*in_ins_partner_share+F696*in_two_wheeler_ticket*in_two_wheeler_comm*in_ins_partner_share*(in_two_wheeler_renew^1*SUMIFS(AR656:AR703,B656:B703,B696-12)+in_two_wheeler_renew^2*SUMIFS(AR656:AR703,B656:B703,B696-24)+in_two_wheeler_renew^3*SUMIFS(AR656:AR703,B656:B703,B696-36)+in_two_wheeler_renew^4*SUMIFS(AR656:AR703,B656:B703,B696-48))</f>
        <v/>
      </c>
      <c r="AT696" s="40">
        <f>AT695*(1-IF(B695&gt;=in_marketplace_from,d_hz_device*G695,0))</f>
        <v/>
      </c>
      <c r="AU696" s="14">
        <f>F696*AT696*IF(B696&gt;=in_marketplace_from,d_hz_device*G696,0)*in_device_ticket*in_device_comm*in_ins_partner_share</f>
        <v/>
      </c>
      <c r="AV696" s="40">
        <f>AV695*(1-IF(B695&gt;=in_marketplace_from,d_hz_shop*G695,0))</f>
        <v/>
      </c>
      <c r="AW696" s="46">
        <f>AV696*IF(B696&gt;=in_marketplace_from,d_hz_shop*G696,0)</f>
        <v/>
      </c>
      <c r="AX696" s="14">
        <f>F696*AW696*in_shop_ticket*in_shop_comm*in_ins_partner_share+F696*in_shop_ticket*in_shop_renew_comm*in_ins_partner_share*(in_shop_renew^1*SUMIFS(AW656:AW703,B656:B703,B696-12)+in_shop_renew^2*SUMIFS(AW656:AW703,B656:B703,B696-24)+in_shop_renew^3*SUMIFS(AW656:AW703,B656:B703,B696-36)+in_shop_renew^4*SUMIFS(AW656:AW703,B656:B703,B696-48))</f>
        <v/>
      </c>
      <c r="AY696" s="40">
        <f>AY695*(1-IF(B695&gt;=in_marketplace_from,d_hz_sip*G695,0))</f>
        <v/>
      </c>
      <c r="AZ696" s="40">
        <f>AZ695*d_rho_sip+AY696*IF(B696&gt;=in_marketplace_from,d_hz_sip*G696,0)</f>
        <v/>
      </c>
      <c r="BA696" s="40">
        <f>d_rho_sip*(BA695+AZ695)</f>
        <v/>
      </c>
      <c r="BB696" s="14">
        <f>F696*in_sip_ticket*(BA696+0.5*AZ696)*in_sip_comm/12</f>
        <v/>
      </c>
      <c r="BC696" s="40">
        <f>BC695*(1-IF(B695&gt;=in_marketplace_from,d_hz_choti*G695,0))</f>
        <v/>
      </c>
      <c r="BD696" s="46">
        <f>BC696*IF(B696&gt;=in_marketplace_from,d_hz_choti*G696,0)</f>
        <v/>
      </c>
      <c r="BE696" s="14">
        <f>F696*SUMIFS(BD656:BD703,B656:B703,B696-in_choti_months)*in_choti_renew*in_choti_ticket</f>
        <v/>
      </c>
      <c r="BF696" s="40">
        <f>BF695*(1-IF(B695&gt;=in_marketplace_from,d_hz_nps*G695,0))</f>
        <v/>
      </c>
      <c r="BG696" s="14">
        <f>F696*BF696*IF(B696&gt;=in_marketplace_from,d_hz_nps*G696,0)*in_nps_ticket*in_nps_comm</f>
        <v/>
      </c>
      <c r="BH696" s="40">
        <f>BH695*(1-IF(B695&gt;=in_marketplace_from,d_hz_gold*G695,0))</f>
        <v/>
      </c>
      <c r="BI696" s="40">
        <f>BI695*d_rho_gold+BH696*IF(B696&gt;=in_marketplace_from,d_hz_gold*G696,0)</f>
        <v/>
      </c>
      <c r="BJ696" s="14">
        <f>F696*BI696*in_gold_ticket*in_gold_comm</f>
        <v/>
      </c>
      <c r="BK696" s="40">
        <f>BK695*(1-IF(B695&gt;=in_marketplace_from,d_hz_fd*G695,0))</f>
        <v/>
      </c>
      <c r="BL696" s="14">
        <f>F696*BK696*IF(B696&gt;=in_marketplace_from,d_hz_fd*G696,0)*in_fd_ticket*in_fd_comm</f>
        <v/>
      </c>
      <c r="BM696" s="40">
        <f>BM695*(1-IF(B695&gt;=in_marketplace_from,d_hz_recharge*G695,0))</f>
        <v/>
      </c>
      <c r="BN696" s="40">
        <f>BN695*d_rho_recharge+BM696*IF(B696&gt;=in_marketplace_from,d_hz_recharge*G696,0)</f>
        <v/>
      </c>
      <c r="BO696" s="14">
        <f>F696*BN696*in_recharge_ticket*in_recharge_comm/12</f>
        <v/>
      </c>
      <c r="BP696" s="40">
        <f>BP695*(1-IF(B695&gt;=in_marketplace_from,d_hz_bills*G695,0))</f>
        <v/>
      </c>
      <c r="BQ696" s="40">
        <f>BQ695*d_rho_bills+BP696*IF(B696&gt;=in_marketplace_from,d_hz_bills*G696,0)</f>
        <v/>
      </c>
      <c r="BR696" s="14">
        <f>F696*BQ696*in_bills_ticket*in_bills_comm/12</f>
        <v/>
      </c>
      <c r="BS696" s="40">
        <f>BS695*(1-IF(B695&gt;=in_marketplace_from,d_hz_loan_gold*G695,0))</f>
        <v/>
      </c>
      <c r="BT696" s="14">
        <f>F696*BS696*IF(B696&gt;=in_marketplace_from,d_hz_loan_gold*G696,0)*in_loan_gold_ticket*in_loan_gold_comm</f>
        <v/>
      </c>
      <c r="BU696" s="40">
        <f>BU695*(1-IF(B695&gt;=in_marketplace_from,d_hz_loan_cd*G695,0))</f>
        <v/>
      </c>
      <c r="BV696" s="14">
        <f>F696*BU696*IF(B696&gt;=in_marketplace_from,d_hz_loan_cd*G696,0)*in_loan_cd_ticket*in_loan_cd_comm</f>
        <v/>
      </c>
      <c r="BW696" s="40">
        <f>BW695*(1-IF(B695&gt;=in_marketplace_from,d_hz_loan_vehicle*G695,0))</f>
        <v/>
      </c>
      <c r="BX696" s="14">
        <f>F696*BW696*IF(B696&gt;=in_marketplace_from,d_hz_loan_vehicle*G696,0)*in_loan_vehicle_ticket*in_loan_vehicle_comm</f>
        <v/>
      </c>
      <c r="BY696" s="40">
        <f>BY695*(1-IF(B695&gt;=in_marketplace_from,d_hz_loan_home*G695,0)*BZ695)</f>
        <v/>
      </c>
      <c r="BZ696" s="11">
        <f>MIN(in_approval_cap,in_loan_home_approval*INDEX('Age profile'!$O$2:$O$61,B696)*(1+in_approval_growth)^(D696-1))</f>
        <v/>
      </c>
      <c r="CA696" s="14">
        <f>F696*BY696*IF(B696&gt;=in_marketplace_from,d_hz_loan_home*G696,0)*BZ696*in_loan_home_ticket*in_loan_home_comm</f>
        <v/>
      </c>
      <c r="CB696" s="40">
        <f>CB695*(1-IF(B695&gt;=in_marketplace_from,d_hz_loan_lap*G695,0)*CC695)</f>
        <v/>
      </c>
      <c r="CC696" s="11">
        <f>MIN(in_approval_cap,in_loan_lap_approval*INDEX('Age profile'!$O$2:$O$61,B696)*(1+in_approval_growth)^(D696-1))</f>
        <v/>
      </c>
      <c r="CD696" s="14">
        <f>F696*CB696*IF(B696&gt;=in_marketplace_from,d_hz_loan_lap*G696,0)*CC696*in_loan_lap_ticket*in_loan_lap_comm</f>
        <v/>
      </c>
      <c r="CE696" s="14">
        <f>AA696+AB696+AC696+AD696+AG696+AJ696+AM696+AP696+AS696+AU696+AX696+BB696+BE696+BG696+BJ696+BL696+BO696+BR696+BT696+BV696+BX696+CA696+CD696</f>
        <v/>
      </c>
    </row>
    <row r="697">
      <c r="A697" s="39" t="n">
        <v>13</v>
      </c>
      <c r="B697" s="39" t="n">
        <v>42</v>
      </c>
      <c r="C697" s="39">
        <f>A697+B697-1</f>
        <v/>
      </c>
      <c r="D697" s="39">
        <f>INT((C697-1)/12)+1</f>
        <v/>
      </c>
      <c r="E697" s="44">
        <f>INDEX(Monthly!$B$2:$B$61,A697)</f>
        <v/>
      </c>
      <c r="F697" s="44">
        <f>E697*INDEX('Age profile'!$B$2:$B$61,B697)</f>
        <v/>
      </c>
      <c r="G697" s="45">
        <f>MIN(in_takeup_cap,INDEX('Age profile'!$N$2:$N$61,B697)*(1+in_takeup_growth)^(D697-1))</f>
        <v/>
      </c>
      <c r="H697" s="11">
        <f>MIN(in_approval_cap,in_approved_first*INDEX('Age profile'!$O$2:$O$61,B697)*(1+in_approval_growth)^(D697-1))</f>
        <v/>
      </c>
      <c r="I697" s="45">
        <f>G697*MIN(in_takeup_cap,INDEX('Age profile'!$O$2:$O$61,B697)*(1+in_approval_growth)^(D697-1))</f>
        <v/>
      </c>
      <c r="J697" s="40">
        <f>(J696-L696)*F697/F696</f>
        <v/>
      </c>
      <c r="K697" s="40">
        <f>(K696-M696)*F697/F696+SUMIFS(O656:O696,B656:B696,B697-1-d_T)*F697</f>
        <v/>
      </c>
      <c r="L697" s="40">
        <f>IF(B697&gt;=in_marketplace_from,J697*d_hz*G697*in_eligible*H697,0)</f>
        <v/>
      </c>
      <c r="M697" s="40">
        <f>IF(B697&gt;=in_marketplace_from,K697*d_hz*G697*in_eligible*in_approved_repeat,0)</f>
        <v/>
      </c>
      <c r="N697" s="40">
        <f>L697+M697</f>
        <v/>
      </c>
      <c r="O697" s="46">
        <f>N697/F697</f>
        <v/>
      </c>
      <c r="P697" s="40">
        <f>F697-J697-K697</f>
        <v/>
      </c>
      <c r="Q697" s="40">
        <f>IF(B697&gt;=in_marketplace_from,(J697+K697)*d_hz*G697,0)</f>
        <v/>
      </c>
      <c r="R697" s="40">
        <f>SUMIFS(N656:N703,B656:B703,"&gt;="&amp;(B697-d_T),B656:B703,"&lt;="&amp;(B697-1))</f>
        <v/>
      </c>
      <c r="S697" s="46">
        <f>(1-d_u)*S696+IF(d_T&gt;in_topup_lag,SUMIFS(O656:O703,B656:B703,B697-in_topup_lag)-d_udrop*SUMIFS(O656:O703,B656:B703,B697-d_T),0)</f>
        <v/>
      </c>
      <c r="T697" s="40">
        <f>F697*d_u*S697</f>
        <v/>
      </c>
      <c r="U697" s="9">
        <f>L697*in_ticket+M697*d_rep_ticket</f>
        <v/>
      </c>
      <c r="V697" s="9">
        <f>U697+T697*d_topup_amt</f>
        <v/>
      </c>
      <c r="W697" s="40">
        <f>N697+T697*d_topup_ratio</f>
        <v/>
      </c>
      <c r="X697" s="40">
        <f>SUMIFS(W656:W703,B656:B703,B697-in_dpd_lag)*d_cured</f>
        <v/>
      </c>
      <c r="Y697" s="40">
        <f>SUMIFS(W656:W703,B656:B703,B697-in_rec_lag)*d_recd</f>
        <v/>
      </c>
      <c r="Z697" s="40">
        <f>IF(AND(B697&gt;=in_marketplace_from,B697&lt;in_marketplace_from+in_card_months),in_card_share/in_card_months*F697*I697,IF(AND(B697&gt;=in_marketplace_from+in_card_months,B697&lt;in_marketplace_from+2*in_card_months),in_card_share*d_card_rem/in_card_months*F697*MIN(in_takeup_cap,(1+in_takeup_growth)^(D697-1))*MIN(in_takeup_cap,(1+in_approval_growth)^(D697-1)),0))</f>
        <v/>
      </c>
      <c r="AA697" s="14">
        <f>V697*in_fee*(1-in_taken_back)</f>
        <v/>
      </c>
      <c r="AB697" s="14">
        <f>SUMIFS(W656:W703,B656:B703,B697-in_dpd_lag)*d_dpd</f>
        <v/>
      </c>
      <c r="AC697" s="14">
        <f>SUMIFS(W656:W703,B656:B703,B697-in_rec_lag)*d_rec</f>
        <v/>
      </c>
      <c r="AD697" s="14">
        <f>Z697*in_card_fee</f>
        <v/>
      </c>
      <c r="AE697" s="40">
        <f>AE696*(1-IF(B696&gt;=in_marketplace_from,d_hz_hlth_small*G696,0))</f>
        <v/>
      </c>
      <c r="AF697" s="46">
        <f>AE697*IF(B697&gt;=in_marketplace_from,d_hz_hlth_small*G697,0)</f>
        <v/>
      </c>
      <c r="AG697" s="14">
        <f>F697*AF697*in_hlth_small_ticket*in_hlth_small_comm*in_ins_partner_share+F697*in_hlth_small_ticket*in_hlth_small_renew_comm*in_ins_partner_share*(in_hlth_small_renew^1*SUMIFS(AF656:AF703,B656:B703,B697-12)+in_hlth_small_renew^2*SUMIFS(AF656:AF703,B656:B703,B697-24)+in_hlth_small_renew^3*SUMIFS(AF656:AF703,B656:B703,B697-36)+in_hlth_small_renew^4*SUMIFS(AF656:AF703,B656:B703,B697-48))</f>
        <v/>
      </c>
      <c r="AH697" s="40">
        <f>AH696*(1-IF(B696&gt;=in_marketplace_from,d_hz_hlth_family*G696,0))</f>
        <v/>
      </c>
      <c r="AI697" s="46">
        <f>AH697*IF(B697&gt;=in_marketplace_from,d_hz_hlth_family*G697,0)</f>
        <v/>
      </c>
      <c r="AJ697" s="14">
        <f>F697*AI697*in_hlth_family_ticket*in_hlth_family_comm*in_ins_partner_share+F697*in_hlth_family_ticket*in_hlth_family_renew_comm*in_ins_partner_share*(in_hlth_family_renew^1*SUMIFS(AI656:AI703,B656:B703,B697-12)+in_hlth_family_renew^2*SUMIFS(AI656:AI703,B656:B703,B697-24)+in_hlth_family_renew^3*SUMIFS(AI656:AI703,B656:B703,B697-36)+in_hlth_family_renew^4*SUMIFS(AI656:AI703,B656:B703,B697-48))</f>
        <v/>
      </c>
      <c r="AK697" s="40">
        <f>AK696*(1-IF(B696&gt;=in_marketplace_from,d_hz_life_term*G696,0))</f>
        <v/>
      </c>
      <c r="AL697" s="46">
        <f>AK697*IF(B697&gt;=in_marketplace_from,d_hz_life_term*G697,0)</f>
        <v/>
      </c>
      <c r="AM697" s="14">
        <f>F697*AL697*in_life_term_ticket*in_life_term_comm*in_ins_partner_share+F697*in_life_term_ticket*in_life_term_renew_comm*in_ins_partner_share*(in_life_term_renew^1*SUMIFS(AL656:AL703,B656:B703,B697-12)+in_life_term_renew^2*SUMIFS(AL656:AL703,B656:B703,B697-24)+in_life_term_renew^3*SUMIFS(AL656:AL703,B656:B703,B697-36)+in_life_term_renew^4*SUMIFS(AL656:AL703,B656:B703,B697-48))</f>
        <v/>
      </c>
      <c r="AN697" s="40">
        <f>AN696*(1-IF(B696&gt;=in_marketplace_from,d_hz_accident*G696,0))</f>
        <v/>
      </c>
      <c r="AO697" s="46">
        <f>AN697*IF(B697&gt;=in_marketplace_from,d_hz_accident*G697,0)</f>
        <v/>
      </c>
      <c r="AP697" s="14">
        <f>F697*AO697*in_accident_ticket*in_accident_comm*in_ins_partner_share+F697*in_accident_ticket*in_accident_renew_comm*in_ins_partner_share*(in_accident_renew^1*SUMIFS(AO656:AO703,B656:B703,B697-12)+in_accident_renew^2*SUMIFS(AO656:AO703,B656:B703,B697-24)+in_accident_renew^3*SUMIFS(AO656:AO703,B656:B703,B697-36)+in_accident_renew^4*SUMIFS(AO656:AO703,B656:B703,B697-48))</f>
        <v/>
      </c>
      <c r="AQ697" s="40">
        <f>AQ696*(1-IF(B696&gt;=in_marketplace_from,d_hz_two_wheeler*G696,0))</f>
        <v/>
      </c>
      <c r="AR697" s="46">
        <f>AQ697*IF(B697&gt;=in_marketplace_from,d_hz_two_wheeler*G697,0)</f>
        <v/>
      </c>
      <c r="AS697" s="14">
        <f>F697*AR697*in_two_wheeler_ticket*in_two_wheeler_comm*in_ins_partner_share+F697*in_two_wheeler_ticket*in_two_wheeler_comm*in_ins_partner_share*(in_two_wheeler_renew^1*SUMIFS(AR656:AR703,B656:B703,B697-12)+in_two_wheeler_renew^2*SUMIFS(AR656:AR703,B656:B703,B697-24)+in_two_wheeler_renew^3*SUMIFS(AR656:AR703,B656:B703,B697-36)+in_two_wheeler_renew^4*SUMIFS(AR656:AR703,B656:B703,B697-48))</f>
        <v/>
      </c>
      <c r="AT697" s="40">
        <f>AT696*(1-IF(B696&gt;=in_marketplace_from,d_hz_device*G696,0))</f>
        <v/>
      </c>
      <c r="AU697" s="14">
        <f>F697*AT697*IF(B697&gt;=in_marketplace_from,d_hz_device*G697,0)*in_device_ticket*in_device_comm*in_ins_partner_share</f>
        <v/>
      </c>
      <c r="AV697" s="40">
        <f>AV696*(1-IF(B696&gt;=in_marketplace_from,d_hz_shop*G696,0))</f>
        <v/>
      </c>
      <c r="AW697" s="46">
        <f>AV697*IF(B697&gt;=in_marketplace_from,d_hz_shop*G697,0)</f>
        <v/>
      </c>
      <c r="AX697" s="14">
        <f>F697*AW697*in_shop_ticket*in_shop_comm*in_ins_partner_share+F697*in_shop_ticket*in_shop_renew_comm*in_ins_partner_share*(in_shop_renew^1*SUMIFS(AW656:AW703,B656:B703,B697-12)+in_shop_renew^2*SUMIFS(AW656:AW703,B656:B703,B697-24)+in_shop_renew^3*SUMIFS(AW656:AW703,B656:B703,B697-36)+in_shop_renew^4*SUMIFS(AW656:AW703,B656:B703,B697-48))</f>
        <v/>
      </c>
      <c r="AY697" s="40">
        <f>AY696*(1-IF(B696&gt;=in_marketplace_from,d_hz_sip*G696,0))</f>
        <v/>
      </c>
      <c r="AZ697" s="40">
        <f>AZ696*d_rho_sip+AY697*IF(B697&gt;=in_marketplace_from,d_hz_sip*G697,0)</f>
        <v/>
      </c>
      <c r="BA697" s="40">
        <f>d_rho_sip*(BA696+AZ696)</f>
        <v/>
      </c>
      <c r="BB697" s="14">
        <f>F697*in_sip_ticket*(BA697+0.5*AZ697)*in_sip_comm/12</f>
        <v/>
      </c>
      <c r="BC697" s="40">
        <f>BC696*(1-IF(B696&gt;=in_marketplace_from,d_hz_choti*G696,0))</f>
        <v/>
      </c>
      <c r="BD697" s="46">
        <f>BC697*IF(B697&gt;=in_marketplace_from,d_hz_choti*G697,0)</f>
        <v/>
      </c>
      <c r="BE697" s="14">
        <f>F697*SUMIFS(BD656:BD703,B656:B703,B697-in_choti_months)*in_choti_renew*in_choti_ticket</f>
        <v/>
      </c>
      <c r="BF697" s="40">
        <f>BF696*(1-IF(B696&gt;=in_marketplace_from,d_hz_nps*G696,0))</f>
        <v/>
      </c>
      <c r="BG697" s="14">
        <f>F697*BF697*IF(B697&gt;=in_marketplace_from,d_hz_nps*G697,0)*in_nps_ticket*in_nps_comm</f>
        <v/>
      </c>
      <c r="BH697" s="40">
        <f>BH696*(1-IF(B696&gt;=in_marketplace_from,d_hz_gold*G696,0))</f>
        <v/>
      </c>
      <c r="BI697" s="40">
        <f>BI696*d_rho_gold+BH697*IF(B697&gt;=in_marketplace_from,d_hz_gold*G697,0)</f>
        <v/>
      </c>
      <c r="BJ697" s="14">
        <f>F697*BI697*in_gold_ticket*in_gold_comm</f>
        <v/>
      </c>
      <c r="BK697" s="40">
        <f>BK696*(1-IF(B696&gt;=in_marketplace_from,d_hz_fd*G696,0))</f>
        <v/>
      </c>
      <c r="BL697" s="14">
        <f>F697*BK697*IF(B697&gt;=in_marketplace_from,d_hz_fd*G697,0)*in_fd_ticket*in_fd_comm</f>
        <v/>
      </c>
      <c r="BM697" s="40">
        <f>BM696*(1-IF(B696&gt;=in_marketplace_from,d_hz_recharge*G696,0))</f>
        <v/>
      </c>
      <c r="BN697" s="40">
        <f>BN696*d_rho_recharge+BM697*IF(B697&gt;=in_marketplace_from,d_hz_recharge*G697,0)</f>
        <v/>
      </c>
      <c r="BO697" s="14">
        <f>F697*BN697*in_recharge_ticket*in_recharge_comm/12</f>
        <v/>
      </c>
      <c r="BP697" s="40">
        <f>BP696*(1-IF(B696&gt;=in_marketplace_from,d_hz_bills*G696,0))</f>
        <v/>
      </c>
      <c r="BQ697" s="40">
        <f>BQ696*d_rho_bills+BP697*IF(B697&gt;=in_marketplace_from,d_hz_bills*G697,0)</f>
        <v/>
      </c>
      <c r="BR697" s="14">
        <f>F697*BQ697*in_bills_ticket*in_bills_comm/12</f>
        <v/>
      </c>
      <c r="BS697" s="40">
        <f>BS696*(1-IF(B696&gt;=in_marketplace_from,d_hz_loan_gold*G696,0))</f>
        <v/>
      </c>
      <c r="BT697" s="14">
        <f>F697*BS697*IF(B697&gt;=in_marketplace_from,d_hz_loan_gold*G697,0)*in_loan_gold_ticket*in_loan_gold_comm</f>
        <v/>
      </c>
      <c r="BU697" s="40">
        <f>BU696*(1-IF(B696&gt;=in_marketplace_from,d_hz_loan_cd*G696,0))</f>
        <v/>
      </c>
      <c r="BV697" s="14">
        <f>F697*BU697*IF(B697&gt;=in_marketplace_from,d_hz_loan_cd*G697,0)*in_loan_cd_ticket*in_loan_cd_comm</f>
        <v/>
      </c>
      <c r="BW697" s="40">
        <f>BW696*(1-IF(B696&gt;=in_marketplace_from,d_hz_loan_vehicle*G696,0))</f>
        <v/>
      </c>
      <c r="BX697" s="14">
        <f>F697*BW697*IF(B697&gt;=in_marketplace_from,d_hz_loan_vehicle*G697,0)*in_loan_vehicle_ticket*in_loan_vehicle_comm</f>
        <v/>
      </c>
      <c r="BY697" s="40">
        <f>BY696*(1-IF(B696&gt;=in_marketplace_from,d_hz_loan_home*G696,0)*BZ696)</f>
        <v/>
      </c>
      <c r="BZ697" s="11">
        <f>MIN(in_approval_cap,in_loan_home_approval*INDEX('Age profile'!$O$2:$O$61,B697)*(1+in_approval_growth)^(D697-1))</f>
        <v/>
      </c>
      <c r="CA697" s="14">
        <f>F697*BY697*IF(B697&gt;=in_marketplace_from,d_hz_loan_home*G697,0)*BZ697*in_loan_home_ticket*in_loan_home_comm</f>
        <v/>
      </c>
      <c r="CB697" s="40">
        <f>CB696*(1-IF(B696&gt;=in_marketplace_from,d_hz_loan_lap*G696,0)*CC696)</f>
        <v/>
      </c>
      <c r="CC697" s="11">
        <f>MIN(in_approval_cap,in_loan_lap_approval*INDEX('Age profile'!$O$2:$O$61,B697)*(1+in_approval_growth)^(D697-1))</f>
        <v/>
      </c>
      <c r="CD697" s="14">
        <f>F697*CB697*IF(B697&gt;=in_marketplace_from,d_hz_loan_lap*G697,0)*CC697*in_loan_lap_ticket*in_loan_lap_comm</f>
        <v/>
      </c>
      <c r="CE697" s="14">
        <f>AA697+AB697+AC697+AD697+AG697+AJ697+AM697+AP697+AS697+AU697+AX697+BB697+BE697+BG697+BJ697+BL697+BO697+BR697+BT697+BV697+BX697+CA697+CD697</f>
        <v/>
      </c>
    </row>
    <row r="698">
      <c r="A698" s="39" t="n">
        <v>13</v>
      </c>
      <c r="B698" s="39" t="n">
        <v>43</v>
      </c>
      <c r="C698" s="39">
        <f>A698+B698-1</f>
        <v/>
      </c>
      <c r="D698" s="39">
        <f>INT((C698-1)/12)+1</f>
        <v/>
      </c>
      <c r="E698" s="44">
        <f>INDEX(Monthly!$B$2:$B$61,A698)</f>
        <v/>
      </c>
      <c r="F698" s="44">
        <f>E698*INDEX('Age profile'!$B$2:$B$61,B698)</f>
        <v/>
      </c>
      <c r="G698" s="45">
        <f>MIN(in_takeup_cap,INDEX('Age profile'!$N$2:$N$61,B698)*(1+in_takeup_growth)^(D698-1))</f>
        <v/>
      </c>
      <c r="H698" s="11">
        <f>MIN(in_approval_cap,in_approved_first*INDEX('Age profile'!$O$2:$O$61,B698)*(1+in_approval_growth)^(D698-1))</f>
        <v/>
      </c>
      <c r="I698" s="45">
        <f>G698*MIN(in_takeup_cap,INDEX('Age profile'!$O$2:$O$61,B698)*(1+in_approval_growth)^(D698-1))</f>
        <v/>
      </c>
      <c r="J698" s="40">
        <f>(J697-L697)*F698/F697</f>
        <v/>
      </c>
      <c r="K698" s="40">
        <f>(K697-M697)*F698/F697+SUMIFS(O656:O697,B656:B697,B698-1-d_T)*F698</f>
        <v/>
      </c>
      <c r="L698" s="40">
        <f>IF(B698&gt;=in_marketplace_from,J698*d_hz*G698*in_eligible*H698,0)</f>
        <v/>
      </c>
      <c r="M698" s="40">
        <f>IF(B698&gt;=in_marketplace_from,K698*d_hz*G698*in_eligible*in_approved_repeat,0)</f>
        <v/>
      </c>
      <c r="N698" s="40">
        <f>L698+M698</f>
        <v/>
      </c>
      <c r="O698" s="46">
        <f>N698/F698</f>
        <v/>
      </c>
      <c r="P698" s="40">
        <f>F698-J698-K698</f>
        <v/>
      </c>
      <c r="Q698" s="40">
        <f>IF(B698&gt;=in_marketplace_from,(J698+K698)*d_hz*G698,0)</f>
        <v/>
      </c>
      <c r="R698" s="40">
        <f>SUMIFS(N656:N703,B656:B703,"&gt;="&amp;(B698-d_T),B656:B703,"&lt;="&amp;(B698-1))</f>
        <v/>
      </c>
      <c r="S698" s="46">
        <f>(1-d_u)*S697+IF(d_T&gt;in_topup_lag,SUMIFS(O656:O703,B656:B703,B698-in_topup_lag)-d_udrop*SUMIFS(O656:O703,B656:B703,B698-d_T),0)</f>
        <v/>
      </c>
      <c r="T698" s="40">
        <f>F698*d_u*S698</f>
        <v/>
      </c>
      <c r="U698" s="9">
        <f>L698*in_ticket+M698*d_rep_ticket</f>
        <v/>
      </c>
      <c r="V698" s="9">
        <f>U698+T698*d_topup_amt</f>
        <v/>
      </c>
      <c r="W698" s="40">
        <f>N698+T698*d_topup_ratio</f>
        <v/>
      </c>
      <c r="X698" s="40">
        <f>SUMIFS(W656:W703,B656:B703,B698-in_dpd_lag)*d_cured</f>
        <v/>
      </c>
      <c r="Y698" s="40">
        <f>SUMIFS(W656:W703,B656:B703,B698-in_rec_lag)*d_recd</f>
        <v/>
      </c>
      <c r="Z698" s="40">
        <f>IF(AND(B698&gt;=in_marketplace_from,B698&lt;in_marketplace_from+in_card_months),in_card_share/in_card_months*F698*I698,IF(AND(B698&gt;=in_marketplace_from+in_card_months,B698&lt;in_marketplace_from+2*in_card_months),in_card_share*d_card_rem/in_card_months*F698*MIN(in_takeup_cap,(1+in_takeup_growth)^(D698-1))*MIN(in_takeup_cap,(1+in_approval_growth)^(D698-1)),0))</f>
        <v/>
      </c>
      <c r="AA698" s="14">
        <f>V698*in_fee*(1-in_taken_back)</f>
        <v/>
      </c>
      <c r="AB698" s="14">
        <f>SUMIFS(W656:W703,B656:B703,B698-in_dpd_lag)*d_dpd</f>
        <v/>
      </c>
      <c r="AC698" s="14">
        <f>SUMIFS(W656:W703,B656:B703,B698-in_rec_lag)*d_rec</f>
        <v/>
      </c>
      <c r="AD698" s="14">
        <f>Z698*in_card_fee</f>
        <v/>
      </c>
      <c r="AE698" s="40">
        <f>AE697*(1-IF(B697&gt;=in_marketplace_from,d_hz_hlth_small*G697,0))</f>
        <v/>
      </c>
      <c r="AF698" s="46">
        <f>AE698*IF(B698&gt;=in_marketplace_from,d_hz_hlth_small*G698,0)</f>
        <v/>
      </c>
      <c r="AG698" s="14">
        <f>F698*AF698*in_hlth_small_ticket*in_hlth_small_comm*in_ins_partner_share+F698*in_hlth_small_ticket*in_hlth_small_renew_comm*in_ins_partner_share*(in_hlth_small_renew^1*SUMIFS(AF656:AF703,B656:B703,B698-12)+in_hlth_small_renew^2*SUMIFS(AF656:AF703,B656:B703,B698-24)+in_hlth_small_renew^3*SUMIFS(AF656:AF703,B656:B703,B698-36)+in_hlth_small_renew^4*SUMIFS(AF656:AF703,B656:B703,B698-48))</f>
        <v/>
      </c>
      <c r="AH698" s="40">
        <f>AH697*(1-IF(B697&gt;=in_marketplace_from,d_hz_hlth_family*G697,0))</f>
        <v/>
      </c>
      <c r="AI698" s="46">
        <f>AH698*IF(B698&gt;=in_marketplace_from,d_hz_hlth_family*G698,0)</f>
        <v/>
      </c>
      <c r="AJ698" s="14">
        <f>F698*AI698*in_hlth_family_ticket*in_hlth_family_comm*in_ins_partner_share+F698*in_hlth_family_ticket*in_hlth_family_renew_comm*in_ins_partner_share*(in_hlth_family_renew^1*SUMIFS(AI656:AI703,B656:B703,B698-12)+in_hlth_family_renew^2*SUMIFS(AI656:AI703,B656:B703,B698-24)+in_hlth_family_renew^3*SUMIFS(AI656:AI703,B656:B703,B698-36)+in_hlth_family_renew^4*SUMIFS(AI656:AI703,B656:B703,B698-48))</f>
        <v/>
      </c>
      <c r="AK698" s="40">
        <f>AK697*(1-IF(B697&gt;=in_marketplace_from,d_hz_life_term*G697,0))</f>
        <v/>
      </c>
      <c r="AL698" s="46">
        <f>AK698*IF(B698&gt;=in_marketplace_from,d_hz_life_term*G698,0)</f>
        <v/>
      </c>
      <c r="AM698" s="14">
        <f>F698*AL698*in_life_term_ticket*in_life_term_comm*in_ins_partner_share+F698*in_life_term_ticket*in_life_term_renew_comm*in_ins_partner_share*(in_life_term_renew^1*SUMIFS(AL656:AL703,B656:B703,B698-12)+in_life_term_renew^2*SUMIFS(AL656:AL703,B656:B703,B698-24)+in_life_term_renew^3*SUMIFS(AL656:AL703,B656:B703,B698-36)+in_life_term_renew^4*SUMIFS(AL656:AL703,B656:B703,B698-48))</f>
        <v/>
      </c>
      <c r="AN698" s="40">
        <f>AN697*(1-IF(B697&gt;=in_marketplace_from,d_hz_accident*G697,0))</f>
        <v/>
      </c>
      <c r="AO698" s="46">
        <f>AN698*IF(B698&gt;=in_marketplace_from,d_hz_accident*G698,0)</f>
        <v/>
      </c>
      <c r="AP698" s="14">
        <f>F698*AO698*in_accident_ticket*in_accident_comm*in_ins_partner_share+F698*in_accident_ticket*in_accident_renew_comm*in_ins_partner_share*(in_accident_renew^1*SUMIFS(AO656:AO703,B656:B703,B698-12)+in_accident_renew^2*SUMIFS(AO656:AO703,B656:B703,B698-24)+in_accident_renew^3*SUMIFS(AO656:AO703,B656:B703,B698-36)+in_accident_renew^4*SUMIFS(AO656:AO703,B656:B703,B698-48))</f>
        <v/>
      </c>
      <c r="AQ698" s="40">
        <f>AQ697*(1-IF(B697&gt;=in_marketplace_from,d_hz_two_wheeler*G697,0))</f>
        <v/>
      </c>
      <c r="AR698" s="46">
        <f>AQ698*IF(B698&gt;=in_marketplace_from,d_hz_two_wheeler*G698,0)</f>
        <v/>
      </c>
      <c r="AS698" s="14">
        <f>F698*AR698*in_two_wheeler_ticket*in_two_wheeler_comm*in_ins_partner_share+F698*in_two_wheeler_ticket*in_two_wheeler_comm*in_ins_partner_share*(in_two_wheeler_renew^1*SUMIFS(AR656:AR703,B656:B703,B698-12)+in_two_wheeler_renew^2*SUMIFS(AR656:AR703,B656:B703,B698-24)+in_two_wheeler_renew^3*SUMIFS(AR656:AR703,B656:B703,B698-36)+in_two_wheeler_renew^4*SUMIFS(AR656:AR703,B656:B703,B698-48))</f>
        <v/>
      </c>
      <c r="AT698" s="40">
        <f>AT697*(1-IF(B697&gt;=in_marketplace_from,d_hz_device*G697,0))</f>
        <v/>
      </c>
      <c r="AU698" s="14">
        <f>F698*AT698*IF(B698&gt;=in_marketplace_from,d_hz_device*G698,0)*in_device_ticket*in_device_comm*in_ins_partner_share</f>
        <v/>
      </c>
      <c r="AV698" s="40">
        <f>AV697*(1-IF(B697&gt;=in_marketplace_from,d_hz_shop*G697,0))</f>
        <v/>
      </c>
      <c r="AW698" s="46">
        <f>AV698*IF(B698&gt;=in_marketplace_from,d_hz_shop*G698,0)</f>
        <v/>
      </c>
      <c r="AX698" s="14">
        <f>F698*AW698*in_shop_ticket*in_shop_comm*in_ins_partner_share+F698*in_shop_ticket*in_shop_renew_comm*in_ins_partner_share*(in_shop_renew^1*SUMIFS(AW656:AW703,B656:B703,B698-12)+in_shop_renew^2*SUMIFS(AW656:AW703,B656:B703,B698-24)+in_shop_renew^3*SUMIFS(AW656:AW703,B656:B703,B698-36)+in_shop_renew^4*SUMIFS(AW656:AW703,B656:B703,B698-48))</f>
        <v/>
      </c>
      <c r="AY698" s="40">
        <f>AY697*(1-IF(B697&gt;=in_marketplace_from,d_hz_sip*G697,0))</f>
        <v/>
      </c>
      <c r="AZ698" s="40">
        <f>AZ697*d_rho_sip+AY698*IF(B698&gt;=in_marketplace_from,d_hz_sip*G698,0)</f>
        <v/>
      </c>
      <c r="BA698" s="40">
        <f>d_rho_sip*(BA697+AZ697)</f>
        <v/>
      </c>
      <c r="BB698" s="14">
        <f>F698*in_sip_ticket*(BA698+0.5*AZ698)*in_sip_comm/12</f>
        <v/>
      </c>
      <c r="BC698" s="40">
        <f>BC697*(1-IF(B697&gt;=in_marketplace_from,d_hz_choti*G697,0))</f>
        <v/>
      </c>
      <c r="BD698" s="46">
        <f>BC698*IF(B698&gt;=in_marketplace_from,d_hz_choti*G698,0)</f>
        <v/>
      </c>
      <c r="BE698" s="14">
        <f>F698*SUMIFS(BD656:BD703,B656:B703,B698-in_choti_months)*in_choti_renew*in_choti_ticket</f>
        <v/>
      </c>
      <c r="BF698" s="40">
        <f>BF697*(1-IF(B697&gt;=in_marketplace_from,d_hz_nps*G697,0))</f>
        <v/>
      </c>
      <c r="BG698" s="14">
        <f>F698*BF698*IF(B698&gt;=in_marketplace_from,d_hz_nps*G698,0)*in_nps_ticket*in_nps_comm</f>
        <v/>
      </c>
      <c r="BH698" s="40">
        <f>BH697*(1-IF(B697&gt;=in_marketplace_from,d_hz_gold*G697,0))</f>
        <v/>
      </c>
      <c r="BI698" s="40">
        <f>BI697*d_rho_gold+BH698*IF(B698&gt;=in_marketplace_from,d_hz_gold*G698,0)</f>
        <v/>
      </c>
      <c r="BJ698" s="14">
        <f>F698*BI698*in_gold_ticket*in_gold_comm</f>
        <v/>
      </c>
      <c r="BK698" s="40">
        <f>BK697*(1-IF(B697&gt;=in_marketplace_from,d_hz_fd*G697,0))</f>
        <v/>
      </c>
      <c r="BL698" s="14">
        <f>F698*BK698*IF(B698&gt;=in_marketplace_from,d_hz_fd*G698,0)*in_fd_ticket*in_fd_comm</f>
        <v/>
      </c>
      <c r="BM698" s="40">
        <f>BM697*(1-IF(B697&gt;=in_marketplace_from,d_hz_recharge*G697,0))</f>
        <v/>
      </c>
      <c r="BN698" s="40">
        <f>BN697*d_rho_recharge+BM698*IF(B698&gt;=in_marketplace_from,d_hz_recharge*G698,0)</f>
        <v/>
      </c>
      <c r="BO698" s="14">
        <f>F698*BN698*in_recharge_ticket*in_recharge_comm/12</f>
        <v/>
      </c>
      <c r="BP698" s="40">
        <f>BP697*(1-IF(B697&gt;=in_marketplace_from,d_hz_bills*G697,0))</f>
        <v/>
      </c>
      <c r="BQ698" s="40">
        <f>BQ697*d_rho_bills+BP698*IF(B698&gt;=in_marketplace_from,d_hz_bills*G698,0)</f>
        <v/>
      </c>
      <c r="BR698" s="14">
        <f>F698*BQ698*in_bills_ticket*in_bills_comm/12</f>
        <v/>
      </c>
      <c r="BS698" s="40">
        <f>BS697*(1-IF(B697&gt;=in_marketplace_from,d_hz_loan_gold*G697,0))</f>
        <v/>
      </c>
      <c r="BT698" s="14">
        <f>F698*BS698*IF(B698&gt;=in_marketplace_from,d_hz_loan_gold*G698,0)*in_loan_gold_ticket*in_loan_gold_comm</f>
        <v/>
      </c>
      <c r="BU698" s="40">
        <f>BU697*(1-IF(B697&gt;=in_marketplace_from,d_hz_loan_cd*G697,0))</f>
        <v/>
      </c>
      <c r="BV698" s="14">
        <f>F698*BU698*IF(B698&gt;=in_marketplace_from,d_hz_loan_cd*G698,0)*in_loan_cd_ticket*in_loan_cd_comm</f>
        <v/>
      </c>
      <c r="BW698" s="40">
        <f>BW697*(1-IF(B697&gt;=in_marketplace_from,d_hz_loan_vehicle*G697,0))</f>
        <v/>
      </c>
      <c r="BX698" s="14">
        <f>F698*BW698*IF(B698&gt;=in_marketplace_from,d_hz_loan_vehicle*G698,0)*in_loan_vehicle_ticket*in_loan_vehicle_comm</f>
        <v/>
      </c>
      <c r="BY698" s="40">
        <f>BY697*(1-IF(B697&gt;=in_marketplace_from,d_hz_loan_home*G697,0)*BZ697)</f>
        <v/>
      </c>
      <c r="BZ698" s="11">
        <f>MIN(in_approval_cap,in_loan_home_approval*INDEX('Age profile'!$O$2:$O$61,B698)*(1+in_approval_growth)^(D698-1))</f>
        <v/>
      </c>
      <c r="CA698" s="14">
        <f>F698*BY698*IF(B698&gt;=in_marketplace_from,d_hz_loan_home*G698,0)*BZ698*in_loan_home_ticket*in_loan_home_comm</f>
        <v/>
      </c>
      <c r="CB698" s="40">
        <f>CB697*(1-IF(B697&gt;=in_marketplace_from,d_hz_loan_lap*G697,0)*CC697)</f>
        <v/>
      </c>
      <c r="CC698" s="11">
        <f>MIN(in_approval_cap,in_loan_lap_approval*INDEX('Age profile'!$O$2:$O$61,B698)*(1+in_approval_growth)^(D698-1))</f>
        <v/>
      </c>
      <c r="CD698" s="14">
        <f>F698*CB698*IF(B698&gt;=in_marketplace_from,d_hz_loan_lap*G698,0)*CC698*in_loan_lap_ticket*in_loan_lap_comm</f>
        <v/>
      </c>
      <c r="CE698" s="14">
        <f>AA698+AB698+AC698+AD698+AG698+AJ698+AM698+AP698+AS698+AU698+AX698+BB698+BE698+BG698+BJ698+BL698+BO698+BR698+BT698+BV698+BX698+CA698+CD698</f>
        <v/>
      </c>
    </row>
    <row r="699">
      <c r="A699" s="39" t="n">
        <v>13</v>
      </c>
      <c r="B699" s="39" t="n">
        <v>44</v>
      </c>
      <c r="C699" s="39">
        <f>A699+B699-1</f>
        <v/>
      </c>
      <c r="D699" s="39">
        <f>INT((C699-1)/12)+1</f>
        <v/>
      </c>
      <c r="E699" s="44">
        <f>INDEX(Monthly!$B$2:$B$61,A699)</f>
        <v/>
      </c>
      <c r="F699" s="44">
        <f>E699*INDEX('Age profile'!$B$2:$B$61,B699)</f>
        <v/>
      </c>
      <c r="G699" s="45">
        <f>MIN(in_takeup_cap,INDEX('Age profile'!$N$2:$N$61,B699)*(1+in_takeup_growth)^(D699-1))</f>
        <v/>
      </c>
      <c r="H699" s="11">
        <f>MIN(in_approval_cap,in_approved_first*INDEX('Age profile'!$O$2:$O$61,B699)*(1+in_approval_growth)^(D699-1))</f>
        <v/>
      </c>
      <c r="I699" s="45">
        <f>G699*MIN(in_takeup_cap,INDEX('Age profile'!$O$2:$O$61,B699)*(1+in_approval_growth)^(D699-1))</f>
        <v/>
      </c>
      <c r="J699" s="40">
        <f>(J698-L698)*F699/F698</f>
        <v/>
      </c>
      <c r="K699" s="40">
        <f>(K698-M698)*F699/F698+SUMIFS(O656:O698,B656:B698,B699-1-d_T)*F699</f>
        <v/>
      </c>
      <c r="L699" s="40">
        <f>IF(B699&gt;=in_marketplace_from,J699*d_hz*G699*in_eligible*H699,0)</f>
        <v/>
      </c>
      <c r="M699" s="40">
        <f>IF(B699&gt;=in_marketplace_from,K699*d_hz*G699*in_eligible*in_approved_repeat,0)</f>
        <v/>
      </c>
      <c r="N699" s="40">
        <f>L699+M699</f>
        <v/>
      </c>
      <c r="O699" s="46">
        <f>N699/F699</f>
        <v/>
      </c>
      <c r="P699" s="40">
        <f>F699-J699-K699</f>
        <v/>
      </c>
      <c r="Q699" s="40">
        <f>IF(B699&gt;=in_marketplace_from,(J699+K699)*d_hz*G699,0)</f>
        <v/>
      </c>
      <c r="R699" s="40">
        <f>SUMIFS(N656:N703,B656:B703,"&gt;="&amp;(B699-d_T),B656:B703,"&lt;="&amp;(B699-1))</f>
        <v/>
      </c>
      <c r="S699" s="46">
        <f>(1-d_u)*S698+IF(d_T&gt;in_topup_lag,SUMIFS(O656:O703,B656:B703,B699-in_topup_lag)-d_udrop*SUMIFS(O656:O703,B656:B703,B699-d_T),0)</f>
        <v/>
      </c>
      <c r="T699" s="40">
        <f>F699*d_u*S699</f>
        <v/>
      </c>
      <c r="U699" s="9">
        <f>L699*in_ticket+M699*d_rep_ticket</f>
        <v/>
      </c>
      <c r="V699" s="9">
        <f>U699+T699*d_topup_amt</f>
        <v/>
      </c>
      <c r="W699" s="40">
        <f>N699+T699*d_topup_ratio</f>
        <v/>
      </c>
      <c r="X699" s="40">
        <f>SUMIFS(W656:W703,B656:B703,B699-in_dpd_lag)*d_cured</f>
        <v/>
      </c>
      <c r="Y699" s="40">
        <f>SUMIFS(W656:W703,B656:B703,B699-in_rec_lag)*d_recd</f>
        <v/>
      </c>
      <c r="Z699" s="40">
        <f>IF(AND(B699&gt;=in_marketplace_from,B699&lt;in_marketplace_from+in_card_months),in_card_share/in_card_months*F699*I699,IF(AND(B699&gt;=in_marketplace_from+in_card_months,B699&lt;in_marketplace_from+2*in_card_months),in_card_share*d_card_rem/in_card_months*F699*MIN(in_takeup_cap,(1+in_takeup_growth)^(D699-1))*MIN(in_takeup_cap,(1+in_approval_growth)^(D699-1)),0))</f>
        <v/>
      </c>
      <c r="AA699" s="14">
        <f>V699*in_fee*(1-in_taken_back)</f>
        <v/>
      </c>
      <c r="AB699" s="14">
        <f>SUMIFS(W656:W703,B656:B703,B699-in_dpd_lag)*d_dpd</f>
        <v/>
      </c>
      <c r="AC699" s="14">
        <f>SUMIFS(W656:W703,B656:B703,B699-in_rec_lag)*d_rec</f>
        <v/>
      </c>
      <c r="AD699" s="14">
        <f>Z699*in_card_fee</f>
        <v/>
      </c>
      <c r="AE699" s="40">
        <f>AE698*(1-IF(B698&gt;=in_marketplace_from,d_hz_hlth_small*G698,0))</f>
        <v/>
      </c>
      <c r="AF699" s="46">
        <f>AE699*IF(B699&gt;=in_marketplace_from,d_hz_hlth_small*G699,0)</f>
        <v/>
      </c>
      <c r="AG699" s="14">
        <f>F699*AF699*in_hlth_small_ticket*in_hlth_small_comm*in_ins_partner_share+F699*in_hlth_small_ticket*in_hlth_small_renew_comm*in_ins_partner_share*(in_hlth_small_renew^1*SUMIFS(AF656:AF703,B656:B703,B699-12)+in_hlth_small_renew^2*SUMIFS(AF656:AF703,B656:B703,B699-24)+in_hlth_small_renew^3*SUMIFS(AF656:AF703,B656:B703,B699-36)+in_hlth_small_renew^4*SUMIFS(AF656:AF703,B656:B703,B699-48))</f>
        <v/>
      </c>
      <c r="AH699" s="40">
        <f>AH698*(1-IF(B698&gt;=in_marketplace_from,d_hz_hlth_family*G698,0))</f>
        <v/>
      </c>
      <c r="AI699" s="46">
        <f>AH699*IF(B699&gt;=in_marketplace_from,d_hz_hlth_family*G699,0)</f>
        <v/>
      </c>
      <c r="AJ699" s="14">
        <f>F699*AI699*in_hlth_family_ticket*in_hlth_family_comm*in_ins_partner_share+F699*in_hlth_family_ticket*in_hlth_family_renew_comm*in_ins_partner_share*(in_hlth_family_renew^1*SUMIFS(AI656:AI703,B656:B703,B699-12)+in_hlth_family_renew^2*SUMIFS(AI656:AI703,B656:B703,B699-24)+in_hlth_family_renew^3*SUMIFS(AI656:AI703,B656:B703,B699-36)+in_hlth_family_renew^4*SUMIFS(AI656:AI703,B656:B703,B699-48))</f>
        <v/>
      </c>
      <c r="AK699" s="40">
        <f>AK698*(1-IF(B698&gt;=in_marketplace_from,d_hz_life_term*G698,0))</f>
        <v/>
      </c>
      <c r="AL699" s="46">
        <f>AK699*IF(B699&gt;=in_marketplace_from,d_hz_life_term*G699,0)</f>
        <v/>
      </c>
      <c r="AM699" s="14">
        <f>F699*AL699*in_life_term_ticket*in_life_term_comm*in_ins_partner_share+F699*in_life_term_ticket*in_life_term_renew_comm*in_ins_partner_share*(in_life_term_renew^1*SUMIFS(AL656:AL703,B656:B703,B699-12)+in_life_term_renew^2*SUMIFS(AL656:AL703,B656:B703,B699-24)+in_life_term_renew^3*SUMIFS(AL656:AL703,B656:B703,B699-36)+in_life_term_renew^4*SUMIFS(AL656:AL703,B656:B703,B699-48))</f>
        <v/>
      </c>
      <c r="AN699" s="40">
        <f>AN698*(1-IF(B698&gt;=in_marketplace_from,d_hz_accident*G698,0))</f>
        <v/>
      </c>
      <c r="AO699" s="46">
        <f>AN699*IF(B699&gt;=in_marketplace_from,d_hz_accident*G699,0)</f>
        <v/>
      </c>
      <c r="AP699" s="14">
        <f>F699*AO699*in_accident_ticket*in_accident_comm*in_ins_partner_share+F699*in_accident_ticket*in_accident_renew_comm*in_ins_partner_share*(in_accident_renew^1*SUMIFS(AO656:AO703,B656:B703,B699-12)+in_accident_renew^2*SUMIFS(AO656:AO703,B656:B703,B699-24)+in_accident_renew^3*SUMIFS(AO656:AO703,B656:B703,B699-36)+in_accident_renew^4*SUMIFS(AO656:AO703,B656:B703,B699-48))</f>
        <v/>
      </c>
      <c r="AQ699" s="40">
        <f>AQ698*(1-IF(B698&gt;=in_marketplace_from,d_hz_two_wheeler*G698,0))</f>
        <v/>
      </c>
      <c r="AR699" s="46">
        <f>AQ699*IF(B699&gt;=in_marketplace_from,d_hz_two_wheeler*G699,0)</f>
        <v/>
      </c>
      <c r="AS699" s="14">
        <f>F699*AR699*in_two_wheeler_ticket*in_two_wheeler_comm*in_ins_partner_share+F699*in_two_wheeler_ticket*in_two_wheeler_comm*in_ins_partner_share*(in_two_wheeler_renew^1*SUMIFS(AR656:AR703,B656:B703,B699-12)+in_two_wheeler_renew^2*SUMIFS(AR656:AR703,B656:B703,B699-24)+in_two_wheeler_renew^3*SUMIFS(AR656:AR703,B656:B703,B699-36)+in_two_wheeler_renew^4*SUMIFS(AR656:AR703,B656:B703,B699-48))</f>
        <v/>
      </c>
      <c r="AT699" s="40">
        <f>AT698*(1-IF(B698&gt;=in_marketplace_from,d_hz_device*G698,0))</f>
        <v/>
      </c>
      <c r="AU699" s="14">
        <f>F699*AT699*IF(B699&gt;=in_marketplace_from,d_hz_device*G699,0)*in_device_ticket*in_device_comm*in_ins_partner_share</f>
        <v/>
      </c>
      <c r="AV699" s="40">
        <f>AV698*(1-IF(B698&gt;=in_marketplace_from,d_hz_shop*G698,0))</f>
        <v/>
      </c>
      <c r="AW699" s="46">
        <f>AV699*IF(B699&gt;=in_marketplace_from,d_hz_shop*G699,0)</f>
        <v/>
      </c>
      <c r="AX699" s="14">
        <f>F699*AW699*in_shop_ticket*in_shop_comm*in_ins_partner_share+F699*in_shop_ticket*in_shop_renew_comm*in_ins_partner_share*(in_shop_renew^1*SUMIFS(AW656:AW703,B656:B703,B699-12)+in_shop_renew^2*SUMIFS(AW656:AW703,B656:B703,B699-24)+in_shop_renew^3*SUMIFS(AW656:AW703,B656:B703,B699-36)+in_shop_renew^4*SUMIFS(AW656:AW703,B656:B703,B699-48))</f>
        <v/>
      </c>
      <c r="AY699" s="40">
        <f>AY698*(1-IF(B698&gt;=in_marketplace_from,d_hz_sip*G698,0))</f>
        <v/>
      </c>
      <c r="AZ699" s="40">
        <f>AZ698*d_rho_sip+AY699*IF(B699&gt;=in_marketplace_from,d_hz_sip*G699,0)</f>
        <v/>
      </c>
      <c r="BA699" s="40">
        <f>d_rho_sip*(BA698+AZ698)</f>
        <v/>
      </c>
      <c r="BB699" s="14">
        <f>F699*in_sip_ticket*(BA699+0.5*AZ699)*in_sip_comm/12</f>
        <v/>
      </c>
      <c r="BC699" s="40">
        <f>BC698*(1-IF(B698&gt;=in_marketplace_from,d_hz_choti*G698,0))</f>
        <v/>
      </c>
      <c r="BD699" s="46">
        <f>BC699*IF(B699&gt;=in_marketplace_from,d_hz_choti*G699,0)</f>
        <v/>
      </c>
      <c r="BE699" s="14">
        <f>F699*SUMIFS(BD656:BD703,B656:B703,B699-in_choti_months)*in_choti_renew*in_choti_ticket</f>
        <v/>
      </c>
      <c r="BF699" s="40">
        <f>BF698*(1-IF(B698&gt;=in_marketplace_from,d_hz_nps*G698,0))</f>
        <v/>
      </c>
      <c r="BG699" s="14">
        <f>F699*BF699*IF(B699&gt;=in_marketplace_from,d_hz_nps*G699,0)*in_nps_ticket*in_nps_comm</f>
        <v/>
      </c>
      <c r="BH699" s="40">
        <f>BH698*(1-IF(B698&gt;=in_marketplace_from,d_hz_gold*G698,0))</f>
        <v/>
      </c>
      <c r="BI699" s="40">
        <f>BI698*d_rho_gold+BH699*IF(B699&gt;=in_marketplace_from,d_hz_gold*G699,0)</f>
        <v/>
      </c>
      <c r="BJ699" s="14">
        <f>F699*BI699*in_gold_ticket*in_gold_comm</f>
        <v/>
      </c>
      <c r="BK699" s="40">
        <f>BK698*(1-IF(B698&gt;=in_marketplace_from,d_hz_fd*G698,0))</f>
        <v/>
      </c>
      <c r="BL699" s="14">
        <f>F699*BK699*IF(B699&gt;=in_marketplace_from,d_hz_fd*G699,0)*in_fd_ticket*in_fd_comm</f>
        <v/>
      </c>
      <c r="BM699" s="40">
        <f>BM698*(1-IF(B698&gt;=in_marketplace_from,d_hz_recharge*G698,0))</f>
        <v/>
      </c>
      <c r="BN699" s="40">
        <f>BN698*d_rho_recharge+BM699*IF(B699&gt;=in_marketplace_from,d_hz_recharge*G699,0)</f>
        <v/>
      </c>
      <c r="BO699" s="14">
        <f>F699*BN699*in_recharge_ticket*in_recharge_comm/12</f>
        <v/>
      </c>
      <c r="BP699" s="40">
        <f>BP698*(1-IF(B698&gt;=in_marketplace_from,d_hz_bills*G698,0))</f>
        <v/>
      </c>
      <c r="BQ699" s="40">
        <f>BQ698*d_rho_bills+BP699*IF(B699&gt;=in_marketplace_from,d_hz_bills*G699,0)</f>
        <v/>
      </c>
      <c r="BR699" s="14">
        <f>F699*BQ699*in_bills_ticket*in_bills_comm/12</f>
        <v/>
      </c>
      <c r="BS699" s="40">
        <f>BS698*(1-IF(B698&gt;=in_marketplace_from,d_hz_loan_gold*G698,0))</f>
        <v/>
      </c>
      <c r="BT699" s="14">
        <f>F699*BS699*IF(B699&gt;=in_marketplace_from,d_hz_loan_gold*G699,0)*in_loan_gold_ticket*in_loan_gold_comm</f>
        <v/>
      </c>
      <c r="BU699" s="40">
        <f>BU698*(1-IF(B698&gt;=in_marketplace_from,d_hz_loan_cd*G698,0))</f>
        <v/>
      </c>
      <c r="BV699" s="14">
        <f>F699*BU699*IF(B699&gt;=in_marketplace_from,d_hz_loan_cd*G699,0)*in_loan_cd_ticket*in_loan_cd_comm</f>
        <v/>
      </c>
      <c r="BW699" s="40">
        <f>BW698*(1-IF(B698&gt;=in_marketplace_from,d_hz_loan_vehicle*G698,0))</f>
        <v/>
      </c>
      <c r="BX699" s="14">
        <f>F699*BW699*IF(B699&gt;=in_marketplace_from,d_hz_loan_vehicle*G699,0)*in_loan_vehicle_ticket*in_loan_vehicle_comm</f>
        <v/>
      </c>
      <c r="BY699" s="40">
        <f>BY698*(1-IF(B698&gt;=in_marketplace_from,d_hz_loan_home*G698,0)*BZ698)</f>
        <v/>
      </c>
      <c r="BZ699" s="11">
        <f>MIN(in_approval_cap,in_loan_home_approval*INDEX('Age profile'!$O$2:$O$61,B699)*(1+in_approval_growth)^(D699-1))</f>
        <v/>
      </c>
      <c r="CA699" s="14">
        <f>F699*BY699*IF(B699&gt;=in_marketplace_from,d_hz_loan_home*G699,0)*BZ699*in_loan_home_ticket*in_loan_home_comm</f>
        <v/>
      </c>
      <c r="CB699" s="40">
        <f>CB698*(1-IF(B698&gt;=in_marketplace_from,d_hz_loan_lap*G698,0)*CC698)</f>
        <v/>
      </c>
      <c r="CC699" s="11">
        <f>MIN(in_approval_cap,in_loan_lap_approval*INDEX('Age profile'!$O$2:$O$61,B699)*(1+in_approval_growth)^(D699-1))</f>
        <v/>
      </c>
      <c r="CD699" s="14">
        <f>F699*CB699*IF(B699&gt;=in_marketplace_from,d_hz_loan_lap*G699,0)*CC699*in_loan_lap_ticket*in_loan_lap_comm</f>
        <v/>
      </c>
      <c r="CE699" s="14">
        <f>AA699+AB699+AC699+AD699+AG699+AJ699+AM699+AP699+AS699+AU699+AX699+BB699+BE699+BG699+BJ699+BL699+BO699+BR699+BT699+BV699+BX699+CA699+CD699</f>
        <v/>
      </c>
    </row>
    <row r="700">
      <c r="A700" s="39" t="n">
        <v>13</v>
      </c>
      <c r="B700" s="39" t="n">
        <v>45</v>
      </c>
      <c r="C700" s="39">
        <f>A700+B700-1</f>
        <v/>
      </c>
      <c r="D700" s="39">
        <f>INT((C700-1)/12)+1</f>
        <v/>
      </c>
      <c r="E700" s="44">
        <f>INDEX(Monthly!$B$2:$B$61,A700)</f>
        <v/>
      </c>
      <c r="F700" s="44">
        <f>E700*INDEX('Age profile'!$B$2:$B$61,B700)</f>
        <v/>
      </c>
      <c r="G700" s="45">
        <f>MIN(in_takeup_cap,INDEX('Age profile'!$N$2:$N$61,B700)*(1+in_takeup_growth)^(D700-1))</f>
        <v/>
      </c>
      <c r="H700" s="11">
        <f>MIN(in_approval_cap,in_approved_first*INDEX('Age profile'!$O$2:$O$61,B700)*(1+in_approval_growth)^(D700-1))</f>
        <v/>
      </c>
      <c r="I700" s="45">
        <f>G700*MIN(in_takeup_cap,INDEX('Age profile'!$O$2:$O$61,B700)*(1+in_approval_growth)^(D700-1))</f>
        <v/>
      </c>
      <c r="J700" s="40">
        <f>(J699-L699)*F700/F699</f>
        <v/>
      </c>
      <c r="K700" s="40">
        <f>(K699-M699)*F700/F699+SUMIFS(O656:O699,B656:B699,B700-1-d_T)*F700</f>
        <v/>
      </c>
      <c r="L700" s="40">
        <f>IF(B700&gt;=in_marketplace_from,J700*d_hz*G700*in_eligible*H700,0)</f>
        <v/>
      </c>
      <c r="M700" s="40">
        <f>IF(B700&gt;=in_marketplace_from,K700*d_hz*G700*in_eligible*in_approved_repeat,0)</f>
        <v/>
      </c>
      <c r="N700" s="40">
        <f>L700+M700</f>
        <v/>
      </c>
      <c r="O700" s="46">
        <f>N700/F700</f>
        <v/>
      </c>
      <c r="P700" s="40">
        <f>F700-J700-K700</f>
        <v/>
      </c>
      <c r="Q700" s="40">
        <f>IF(B700&gt;=in_marketplace_from,(J700+K700)*d_hz*G700,0)</f>
        <v/>
      </c>
      <c r="R700" s="40">
        <f>SUMIFS(N656:N703,B656:B703,"&gt;="&amp;(B700-d_T),B656:B703,"&lt;="&amp;(B700-1))</f>
        <v/>
      </c>
      <c r="S700" s="46">
        <f>(1-d_u)*S699+IF(d_T&gt;in_topup_lag,SUMIFS(O656:O703,B656:B703,B700-in_topup_lag)-d_udrop*SUMIFS(O656:O703,B656:B703,B700-d_T),0)</f>
        <v/>
      </c>
      <c r="T700" s="40">
        <f>F700*d_u*S700</f>
        <v/>
      </c>
      <c r="U700" s="9">
        <f>L700*in_ticket+M700*d_rep_ticket</f>
        <v/>
      </c>
      <c r="V700" s="9">
        <f>U700+T700*d_topup_amt</f>
        <v/>
      </c>
      <c r="W700" s="40">
        <f>N700+T700*d_topup_ratio</f>
        <v/>
      </c>
      <c r="X700" s="40">
        <f>SUMIFS(W656:W703,B656:B703,B700-in_dpd_lag)*d_cured</f>
        <v/>
      </c>
      <c r="Y700" s="40">
        <f>SUMIFS(W656:W703,B656:B703,B700-in_rec_lag)*d_recd</f>
        <v/>
      </c>
      <c r="Z700" s="40">
        <f>IF(AND(B700&gt;=in_marketplace_from,B700&lt;in_marketplace_from+in_card_months),in_card_share/in_card_months*F700*I700,IF(AND(B700&gt;=in_marketplace_from+in_card_months,B700&lt;in_marketplace_from+2*in_card_months),in_card_share*d_card_rem/in_card_months*F700*MIN(in_takeup_cap,(1+in_takeup_growth)^(D700-1))*MIN(in_takeup_cap,(1+in_approval_growth)^(D700-1)),0))</f>
        <v/>
      </c>
      <c r="AA700" s="14">
        <f>V700*in_fee*(1-in_taken_back)</f>
        <v/>
      </c>
      <c r="AB700" s="14">
        <f>SUMIFS(W656:W703,B656:B703,B700-in_dpd_lag)*d_dpd</f>
        <v/>
      </c>
      <c r="AC700" s="14">
        <f>SUMIFS(W656:W703,B656:B703,B700-in_rec_lag)*d_rec</f>
        <v/>
      </c>
      <c r="AD700" s="14">
        <f>Z700*in_card_fee</f>
        <v/>
      </c>
      <c r="AE700" s="40">
        <f>AE699*(1-IF(B699&gt;=in_marketplace_from,d_hz_hlth_small*G699,0))</f>
        <v/>
      </c>
      <c r="AF700" s="46">
        <f>AE700*IF(B700&gt;=in_marketplace_from,d_hz_hlth_small*G700,0)</f>
        <v/>
      </c>
      <c r="AG700" s="14">
        <f>F700*AF700*in_hlth_small_ticket*in_hlth_small_comm*in_ins_partner_share+F700*in_hlth_small_ticket*in_hlth_small_renew_comm*in_ins_partner_share*(in_hlth_small_renew^1*SUMIFS(AF656:AF703,B656:B703,B700-12)+in_hlth_small_renew^2*SUMIFS(AF656:AF703,B656:B703,B700-24)+in_hlth_small_renew^3*SUMIFS(AF656:AF703,B656:B703,B700-36)+in_hlth_small_renew^4*SUMIFS(AF656:AF703,B656:B703,B700-48))</f>
        <v/>
      </c>
      <c r="AH700" s="40">
        <f>AH699*(1-IF(B699&gt;=in_marketplace_from,d_hz_hlth_family*G699,0))</f>
        <v/>
      </c>
      <c r="AI700" s="46">
        <f>AH700*IF(B700&gt;=in_marketplace_from,d_hz_hlth_family*G700,0)</f>
        <v/>
      </c>
      <c r="AJ700" s="14">
        <f>F700*AI700*in_hlth_family_ticket*in_hlth_family_comm*in_ins_partner_share+F700*in_hlth_family_ticket*in_hlth_family_renew_comm*in_ins_partner_share*(in_hlth_family_renew^1*SUMIFS(AI656:AI703,B656:B703,B700-12)+in_hlth_family_renew^2*SUMIFS(AI656:AI703,B656:B703,B700-24)+in_hlth_family_renew^3*SUMIFS(AI656:AI703,B656:B703,B700-36)+in_hlth_family_renew^4*SUMIFS(AI656:AI703,B656:B703,B700-48))</f>
        <v/>
      </c>
      <c r="AK700" s="40">
        <f>AK699*(1-IF(B699&gt;=in_marketplace_from,d_hz_life_term*G699,0))</f>
        <v/>
      </c>
      <c r="AL700" s="46">
        <f>AK700*IF(B700&gt;=in_marketplace_from,d_hz_life_term*G700,0)</f>
        <v/>
      </c>
      <c r="AM700" s="14">
        <f>F700*AL700*in_life_term_ticket*in_life_term_comm*in_ins_partner_share+F700*in_life_term_ticket*in_life_term_renew_comm*in_ins_partner_share*(in_life_term_renew^1*SUMIFS(AL656:AL703,B656:B703,B700-12)+in_life_term_renew^2*SUMIFS(AL656:AL703,B656:B703,B700-24)+in_life_term_renew^3*SUMIFS(AL656:AL703,B656:B703,B700-36)+in_life_term_renew^4*SUMIFS(AL656:AL703,B656:B703,B700-48))</f>
        <v/>
      </c>
      <c r="AN700" s="40">
        <f>AN699*(1-IF(B699&gt;=in_marketplace_from,d_hz_accident*G699,0))</f>
        <v/>
      </c>
      <c r="AO700" s="46">
        <f>AN700*IF(B700&gt;=in_marketplace_from,d_hz_accident*G700,0)</f>
        <v/>
      </c>
      <c r="AP700" s="14">
        <f>F700*AO700*in_accident_ticket*in_accident_comm*in_ins_partner_share+F700*in_accident_ticket*in_accident_renew_comm*in_ins_partner_share*(in_accident_renew^1*SUMIFS(AO656:AO703,B656:B703,B700-12)+in_accident_renew^2*SUMIFS(AO656:AO703,B656:B703,B700-24)+in_accident_renew^3*SUMIFS(AO656:AO703,B656:B703,B700-36)+in_accident_renew^4*SUMIFS(AO656:AO703,B656:B703,B700-48))</f>
        <v/>
      </c>
      <c r="AQ700" s="40">
        <f>AQ699*(1-IF(B699&gt;=in_marketplace_from,d_hz_two_wheeler*G699,0))</f>
        <v/>
      </c>
      <c r="AR700" s="46">
        <f>AQ700*IF(B700&gt;=in_marketplace_from,d_hz_two_wheeler*G700,0)</f>
        <v/>
      </c>
      <c r="AS700" s="14">
        <f>F700*AR700*in_two_wheeler_ticket*in_two_wheeler_comm*in_ins_partner_share+F700*in_two_wheeler_ticket*in_two_wheeler_comm*in_ins_partner_share*(in_two_wheeler_renew^1*SUMIFS(AR656:AR703,B656:B703,B700-12)+in_two_wheeler_renew^2*SUMIFS(AR656:AR703,B656:B703,B700-24)+in_two_wheeler_renew^3*SUMIFS(AR656:AR703,B656:B703,B700-36)+in_two_wheeler_renew^4*SUMIFS(AR656:AR703,B656:B703,B700-48))</f>
        <v/>
      </c>
      <c r="AT700" s="40">
        <f>AT699*(1-IF(B699&gt;=in_marketplace_from,d_hz_device*G699,0))</f>
        <v/>
      </c>
      <c r="AU700" s="14">
        <f>F700*AT700*IF(B700&gt;=in_marketplace_from,d_hz_device*G700,0)*in_device_ticket*in_device_comm*in_ins_partner_share</f>
        <v/>
      </c>
      <c r="AV700" s="40">
        <f>AV699*(1-IF(B699&gt;=in_marketplace_from,d_hz_shop*G699,0))</f>
        <v/>
      </c>
      <c r="AW700" s="46">
        <f>AV700*IF(B700&gt;=in_marketplace_from,d_hz_shop*G700,0)</f>
        <v/>
      </c>
      <c r="AX700" s="14">
        <f>F700*AW700*in_shop_ticket*in_shop_comm*in_ins_partner_share+F700*in_shop_ticket*in_shop_renew_comm*in_ins_partner_share*(in_shop_renew^1*SUMIFS(AW656:AW703,B656:B703,B700-12)+in_shop_renew^2*SUMIFS(AW656:AW703,B656:B703,B700-24)+in_shop_renew^3*SUMIFS(AW656:AW703,B656:B703,B700-36)+in_shop_renew^4*SUMIFS(AW656:AW703,B656:B703,B700-48))</f>
        <v/>
      </c>
      <c r="AY700" s="40">
        <f>AY699*(1-IF(B699&gt;=in_marketplace_from,d_hz_sip*G699,0))</f>
        <v/>
      </c>
      <c r="AZ700" s="40">
        <f>AZ699*d_rho_sip+AY700*IF(B700&gt;=in_marketplace_from,d_hz_sip*G700,0)</f>
        <v/>
      </c>
      <c r="BA700" s="40">
        <f>d_rho_sip*(BA699+AZ699)</f>
        <v/>
      </c>
      <c r="BB700" s="14">
        <f>F700*in_sip_ticket*(BA700+0.5*AZ700)*in_sip_comm/12</f>
        <v/>
      </c>
      <c r="BC700" s="40">
        <f>BC699*(1-IF(B699&gt;=in_marketplace_from,d_hz_choti*G699,0))</f>
        <v/>
      </c>
      <c r="BD700" s="46">
        <f>BC700*IF(B700&gt;=in_marketplace_from,d_hz_choti*G700,0)</f>
        <v/>
      </c>
      <c r="BE700" s="14">
        <f>F700*SUMIFS(BD656:BD703,B656:B703,B700-in_choti_months)*in_choti_renew*in_choti_ticket</f>
        <v/>
      </c>
      <c r="BF700" s="40">
        <f>BF699*(1-IF(B699&gt;=in_marketplace_from,d_hz_nps*G699,0))</f>
        <v/>
      </c>
      <c r="BG700" s="14">
        <f>F700*BF700*IF(B700&gt;=in_marketplace_from,d_hz_nps*G700,0)*in_nps_ticket*in_nps_comm</f>
        <v/>
      </c>
      <c r="BH700" s="40">
        <f>BH699*(1-IF(B699&gt;=in_marketplace_from,d_hz_gold*G699,0))</f>
        <v/>
      </c>
      <c r="BI700" s="40">
        <f>BI699*d_rho_gold+BH700*IF(B700&gt;=in_marketplace_from,d_hz_gold*G700,0)</f>
        <v/>
      </c>
      <c r="BJ700" s="14">
        <f>F700*BI700*in_gold_ticket*in_gold_comm</f>
        <v/>
      </c>
      <c r="BK700" s="40">
        <f>BK699*(1-IF(B699&gt;=in_marketplace_from,d_hz_fd*G699,0))</f>
        <v/>
      </c>
      <c r="BL700" s="14">
        <f>F700*BK700*IF(B700&gt;=in_marketplace_from,d_hz_fd*G700,0)*in_fd_ticket*in_fd_comm</f>
        <v/>
      </c>
      <c r="BM700" s="40">
        <f>BM699*(1-IF(B699&gt;=in_marketplace_from,d_hz_recharge*G699,0))</f>
        <v/>
      </c>
      <c r="BN700" s="40">
        <f>BN699*d_rho_recharge+BM700*IF(B700&gt;=in_marketplace_from,d_hz_recharge*G700,0)</f>
        <v/>
      </c>
      <c r="BO700" s="14">
        <f>F700*BN700*in_recharge_ticket*in_recharge_comm/12</f>
        <v/>
      </c>
      <c r="BP700" s="40">
        <f>BP699*(1-IF(B699&gt;=in_marketplace_from,d_hz_bills*G699,0))</f>
        <v/>
      </c>
      <c r="BQ700" s="40">
        <f>BQ699*d_rho_bills+BP700*IF(B700&gt;=in_marketplace_from,d_hz_bills*G700,0)</f>
        <v/>
      </c>
      <c r="BR700" s="14">
        <f>F700*BQ700*in_bills_ticket*in_bills_comm/12</f>
        <v/>
      </c>
      <c r="BS700" s="40">
        <f>BS699*(1-IF(B699&gt;=in_marketplace_from,d_hz_loan_gold*G699,0))</f>
        <v/>
      </c>
      <c r="BT700" s="14">
        <f>F700*BS700*IF(B700&gt;=in_marketplace_from,d_hz_loan_gold*G700,0)*in_loan_gold_ticket*in_loan_gold_comm</f>
        <v/>
      </c>
      <c r="BU700" s="40">
        <f>BU699*(1-IF(B699&gt;=in_marketplace_from,d_hz_loan_cd*G699,0))</f>
        <v/>
      </c>
      <c r="BV700" s="14">
        <f>F700*BU700*IF(B700&gt;=in_marketplace_from,d_hz_loan_cd*G700,0)*in_loan_cd_ticket*in_loan_cd_comm</f>
        <v/>
      </c>
      <c r="BW700" s="40">
        <f>BW699*(1-IF(B699&gt;=in_marketplace_from,d_hz_loan_vehicle*G699,0))</f>
        <v/>
      </c>
      <c r="BX700" s="14">
        <f>F700*BW700*IF(B700&gt;=in_marketplace_from,d_hz_loan_vehicle*G700,0)*in_loan_vehicle_ticket*in_loan_vehicle_comm</f>
        <v/>
      </c>
      <c r="BY700" s="40">
        <f>BY699*(1-IF(B699&gt;=in_marketplace_from,d_hz_loan_home*G699,0)*BZ699)</f>
        <v/>
      </c>
      <c r="BZ700" s="11">
        <f>MIN(in_approval_cap,in_loan_home_approval*INDEX('Age profile'!$O$2:$O$61,B700)*(1+in_approval_growth)^(D700-1))</f>
        <v/>
      </c>
      <c r="CA700" s="14">
        <f>F700*BY700*IF(B700&gt;=in_marketplace_from,d_hz_loan_home*G700,0)*BZ700*in_loan_home_ticket*in_loan_home_comm</f>
        <v/>
      </c>
      <c r="CB700" s="40">
        <f>CB699*(1-IF(B699&gt;=in_marketplace_from,d_hz_loan_lap*G699,0)*CC699)</f>
        <v/>
      </c>
      <c r="CC700" s="11">
        <f>MIN(in_approval_cap,in_loan_lap_approval*INDEX('Age profile'!$O$2:$O$61,B700)*(1+in_approval_growth)^(D700-1))</f>
        <v/>
      </c>
      <c r="CD700" s="14">
        <f>F700*CB700*IF(B700&gt;=in_marketplace_from,d_hz_loan_lap*G700,0)*CC700*in_loan_lap_ticket*in_loan_lap_comm</f>
        <v/>
      </c>
      <c r="CE700" s="14">
        <f>AA700+AB700+AC700+AD700+AG700+AJ700+AM700+AP700+AS700+AU700+AX700+BB700+BE700+BG700+BJ700+BL700+BO700+BR700+BT700+BV700+BX700+CA700+CD700</f>
        <v/>
      </c>
    </row>
    <row r="701">
      <c r="A701" s="39" t="n">
        <v>13</v>
      </c>
      <c r="B701" s="39" t="n">
        <v>46</v>
      </c>
      <c r="C701" s="39">
        <f>A701+B701-1</f>
        <v/>
      </c>
      <c r="D701" s="39">
        <f>INT((C701-1)/12)+1</f>
        <v/>
      </c>
      <c r="E701" s="44">
        <f>INDEX(Monthly!$B$2:$B$61,A701)</f>
        <v/>
      </c>
      <c r="F701" s="44">
        <f>E701*INDEX('Age profile'!$B$2:$B$61,B701)</f>
        <v/>
      </c>
      <c r="G701" s="45">
        <f>MIN(in_takeup_cap,INDEX('Age profile'!$N$2:$N$61,B701)*(1+in_takeup_growth)^(D701-1))</f>
        <v/>
      </c>
      <c r="H701" s="11">
        <f>MIN(in_approval_cap,in_approved_first*INDEX('Age profile'!$O$2:$O$61,B701)*(1+in_approval_growth)^(D701-1))</f>
        <v/>
      </c>
      <c r="I701" s="45">
        <f>G701*MIN(in_takeup_cap,INDEX('Age profile'!$O$2:$O$61,B701)*(1+in_approval_growth)^(D701-1))</f>
        <v/>
      </c>
      <c r="J701" s="40">
        <f>(J700-L700)*F701/F700</f>
        <v/>
      </c>
      <c r="K701" s="40">
        <f>(K700-M700)*F701/F700+SUMIFS(O656:O700,B656:B700,B701-1-d_T)*F701</f>
        <v/>
      </c>
      <c r="L701" s="40">
        <f>IF(B701&gt;=in_marketplace_from,J701*d_hz*G701*in_eligible*H701,0)</f>
        <v/>
      </c>
      <c r="M701" s="40">
        <f>IF(B701&gt;=in_marketplace_from,K701*d_hz*G701*in_eligible*in_approved_repeat,0)</f>
        <v/>
      </c>
      <c r="N701" s="40">
        <f>L701+M701</f>
        <v/>
      </c>
      <c r="O701" s="46">
        <f>N701/F701</f>
        <v/>
      </c>
      <c r="P701" s="40">
        <f>F701-J701-K701</f>
        <v/>
      </c>
      <c r="Q701" s="40">
        <f>IF(B701&gt;=in_marketplace_from,(J701+K701)*d_hz*G701,0)</f>
        <v/>
      </c>
      <c r="R701" s="40">
        <f>SUMIFS(N656:N703,B656:B703,"&gt;="&amp;(B701-d_T),B656:B703,"&lt;="&amp;(B701-1))</f>
        <v/>
      </c>
      <c r="S701" s="46">
        <f>(1-d_u)*S700+IF(d_T&gt;in_topup_lag,SUMIFS(O656:O703,B656:B703,B701-in_topup_lag)-d_udrop*SUMIFS(O656:O703,B656:B703,B701-d_T),0)</f>
        <v/>
      </c>
      <c r="T701" s="40">
        <f>F701*d_u*S701</f>
        <v/>
      </c>
      <c r="U701" s="9">
        <f>L701*in_ticket+M701*d_rep_ticket</f>
        <v/>
      </c>
      <c r="V701" s="9">
        <f>U701+T701*d_topup_amt</f>
        <v/>
      </c>
      <c r="W701" s="40">
        <f>N701+T701*d_topup_ratio</f>
        <v/>
      </c>
      <c r="X701" s="40">
        <f>SUMIFS(W656:W703,B656:B703,B701-in_dpd_lag)*d_cured</f>
        <v/>
      </c>
      <c r="Y701" s="40">
        <f>SUMIFS(W656:W703,B656:B703,B701-in_rec_lag)*d_recd</f>
        <v/>
      </c>
      <c r="Z701" s="40">
        <f>IF(AND(B701&gt;=in_marketplace_from,B701&lt;in_marketplace_from+in_card_months),in_card_share/in_card_months*F701*I701,IF(AND(B701&gt;=in_marketplace_from+in_card_months,B701&lt;in_marketplace_from+2*in_card_months),in_card_share*d_card_rem/in_card_months*F701*MIN(in_takeup_cap,(1+in_takeup_growth)^(D701-1))*MIN(in_takeup_cap,(1+in_approval_growth)^(D701-1)),0))</f>
        <v/>
      </c>
      <c r="AA701" s="14">
        <f>V701*in_fee*(1-in_taken_back)</f>
        <v/>
      </c>
      <c r="AB701" s="14">
        <f>SUMIFS(W656:W703,B656:B703,B701-in_dpd_lag)*d_dpd</f>
        <v/>
      </c>
      <c r="AC701" s="14">
        <f>SUMIFS(W656:W703,B656:B703,B701-in_rec_lag)*d_rec</f>
        <v/>
      </c>
      <c r="AD701" s="14">
        <f>Z701*in_card_fee</f>
        <v/>
      </c>
      <c r="AE701" s="40">
        <f>AE700*(1-IF(B700&gt;=in_marketplace_from,d_hz_hlth_small*G700,0))</f>
        <v/>
      </c>
      <c r="AF701" s="46">
        <f>AE701*IF(B701&gt;=in_marketplace_from,d_hz_hlth_small*G701,0)</f>
        <v/>
      </c>
      <c r="AG701" s="14">
        <f>F701*AF701*in_hlth_small_ticket*in_hlth_small_comm*in_ins_partner_share+F701*in_hlth_small_ticket*in_hlth_small_renew_comm*in_ins_partner_share*(in_hlth_small_renew^1*SUMIFS(AF656:AF703,B656:B703,B701-12)+in_hlth_small_renew^2*SUMIFS(AF656:AF703,B656:B703,B701-24)+in_hlth_small_renew^3*SUMIFS(AF656:AF703,B656:B703,B701-36)+in_hlth_small_renew^4*SUMIFS(AF656:AF703,B656:B703,B701-48))</f>
        <v/>
      </c>
      <c r="AH701" s="40">
        <f>AH700*(1-IF(B700&gt;=in_marketplace_from,d_hz_hlth_family*G700,0))</f>
        <v/>
      </c>
      <c r="AI701" s="46">
        <f>AH701*IF(B701&gt;=in_marketplace_from,d_hz_hlth_family*G701,0)</f>
        <v/>
      </c>
      <c r="AJ701" s="14">
        <f>F701*AI701*in_hlth_family_ticket*in_hlth_family_comm*in_ins_partner_share+F701*in_hlth_family_ticket*in_hlth_family_renew_comm*in_ins_partner_share*(in_hlth_family_renew^1*SUMIFS(AI656:AI703,B656:B703,B701-12)+in_hlth_family_renew^2*SUMIFS(AI656:AI703,B656:B703,B701-24)+in_hlth_family_renew^3*SUMIFS(AI656:AI703,B656:B703,B701-36)+in_hlth_family_renew^4*SUMIFS(AI656:AI703,B656:B703,B701-48))</f>
        <v/>
      </c>
      <c r="AK701" s="40">
        <f>AK700*(1-IF(B700&gt;=in_marketplace_from,d_hz_life_term*G700,0))</f>
        <v/>
      </c>
      <c r="AL701" s="46">
        <f>AK701*IF(B701&gt;=in_marketplace_from,d_hz_life_term*G701,0)</f>
        <v/>
      </c>
      <c r="AM701" s="14">
        <f>F701*AL701*in_life_term_ticket*in_life_term_comm*in_ins_partner_share+F701*in_life_term_ticket*in_life_term_renew_comm*in_ins_partner_share*(in_life_term_renew^1*SUMIFS(AL656:AL703,B656:B703,B701-12)+in_life_term_renew^2*SUMIFS(AL656:AL703,B656:B703,B701-24)+in_life_term_renew^3*SUMIFS(AL656:AL703,B656:B703,B701-36)+in_life_term_renew^4*SUMIFS(AL656:AL703,B656:B703,B701-48))</f>
        <v/>
      </c>
      <c r="AN701" s="40">
        <f>AN700*(1-IF(B700&gt;=in_marketplace_from,d_hz_accident*G700,0))</f>
        <v/>
      </c>
      <c r="AO701" s="46">
        <f>AN701*IF(B701&gt;=in_marketplace_from,d_hz_accident*G701,0)</f>
        <v/>
      </c>
      <c r="AP701" s="14">
        <f>F701*AO701*in_accident_ticket*in_accident_comm*in_ins_partner_share+F701*in_accident_ticket*in_accident_renew_comm*in_ins_partner_share*(in_accident_renew^1*SUMIFS(AO656:AO703,B656:B703,B701-12)+in_accident_renew^2*SUMIFS(AO656:AO703,B656:B703,B701-24)+in_accident_renew^3*SUMIFS(AO656:AO703,B656:B703,B701-36)+in_accident_renew^4*SUMIFS(AO656:AO703,B656:B703,B701-48))</f>
        <v/>
      </c>
      <c r="AQ701" s="40">
        <f>AQ700*(1-IF(B700&gt;=in_marketplace_from,d_hz_two_wheeler*G700,0))</f>
        <v/>
      </c>
      <c r="AR701" s="46">
        <f>AQ701*IF(B701&gt;=in_marketplace_from,d_hz_two_wheeler*G701,0)</f>
        <v/>
      </c>
      <c r="AS701" s="14">
        <f>F701*AR701*in_two_wheeler_ticket*in_two_wheeler_comm*in_ins_partner_share+F701*in_two_wheeler_ticket*in_two_wheeler_comm*in_ins_partner_share*(in_two_wheeler_renew^1*SUMIFS(AR656:AR703,B656:B703,B701-12)+in_two_wheeler_renew^2*SUMIFS(AR656:AR703,B656:B703,B701-24)+in_two_wheeler_renew^3*SUMIFS(AR656:AR703,B656:B703,B701-36)+in_two_wheeler_renew^4*SUMIFS(AR656:AR703,B656:B703,B701-48))</f>
        <v/>
      </c>
      <c r="AT701" s="40">
        <f>AT700*(1-IF(B700&gt;=in_marketplace_from,d_hz_device*G700,0))</f>
        <v/>
      </c>
      <c r="AU701" s="14">
        <f>F701*AT701*IF(B701&gt;=in_marketplace_from,d_hz_device*G701,0)*in_device_ticket*in_device_comm*in_ins_partner_share</f>
        <v/>
      </c>
      <c r="AV701" s="40">
        <f>AV700*(1-IF(B700&gt;=in_marketplace_from,d_hz_shop*G700,0))</f>
        <v/>
      </c>
      <c r="AW701" s="46">
        <f>AV701*IF(B701&gt;=in_marketplace_from,d_hz_shop*G701,0)</f>
        <v/>
      </c>
      <c r="AX701" s="14">
        <f>F701*AW701*in_shop_ticket*in_shop_comm*in_ins_partner_share+F701*in_shop_ticket*in_shop_renew_comm*in_ins_partner_share*(in_shop_renew^1*SUMIFS(AW656:AW703,B656:B703,B701-12)+in_shop_renew^2*SUMIFS(AW656:AW703,B656:B703,B701-24)+in_shop_renew^3*SUMIFS(AW656:AW703,B656:B703,B701-36)+in_shop_renew^4*SUMIFS(AW656:AW703,B656:B703,B701-48))</f>
        <v/>
      </c>
      <c r="AY701" s="40">
        <f>AY700*(1-IF(B700&gt;=in_marketplace_from,d_hz_sip*G700,0))</f>
        <v/>
      </c>
      <c r="AZ701" s="40">
        <f>AZ700*d_rho_sip+AY701*IF(B701&gt;=in_marketplace_from,d_hz_sip*G701,0)</f>
        <v/>
      </c>
      <c r="BA701" s="40">
        <f>d_rho_sip*(BA700+AZ700)</f>
        <v/>
      </c>
      <c r="BB701" s="14">
        <f>F701*in_sip_ticket*(BA701+0.5*AZ701)*in_sip_comm/12</f>
        <v/>
      </c>
      <c r="BC701" s="40">
        <f>BC700*(1-IF(B700&gt;=in_marketplace_from,d_hz_choti*G700,0))</f>
        <v/>
      </c>
      <c r="BD701" s="46">
        <f>BC701*IF(B701&gt;=in_marketplace_from,d_hz_choti*G701,0)</f>
        <v/>
      </c>
      <c r="BE701" s="14">
        <f>F701*SUMIFS(BD656:BD703,B656:B703,B701-in_choti_months)*in_choti_renew*in_choti_ticket</f>
        <v/>
      </c>
      <c r="BF701" s="40">
        <f>BF700*(1-IF(B700&gt;=in_marketplace_from,d_hz_nps*G700,0))</f>
        <v/>
      </c>
      <c r="BG701" s="14">
        <f>F701*BF701*IF(B701&gt;=in_marketplace_from,d_hz_nps*G701,0)*in_nps_ticket*in_nps_comm</f>
        <v/>
      </c>
      <c r="BH701" s="40">
        <f>BH700*(1-IF(B700&gt;=in_marketplace_from,d_hz_gold*G700,0))</f>
        <v/>
      </c>
      <c r="BI701" s="40">
        <f>BI700*d_rho_gold+BH701*IF(B701&gt;=in_marketplace_from,d_hz_gold*G701,0)</f>
        <v/>
      </c>
      <c r="BJ701" s="14">
        <f>F701*BI701*in_gold_ticket*in_gold_comm</f>
        <v/>
      </c>
      <c r="BK701" s="40">
        <f>BK700*(1-IF(B700&gt;=in_marketplace_from,d_hz_fd*G700,0))</f>
        <v/>
      </c>
      <c r="BL701" s="14">
        <f>F701*BK701*IF(B701&gt;=in_marketplace_from,d_hz_fd*G701,0)*in_fd_ticket*in_fd_comm</f>
        <v/>
      </c>
      <c r="BM701" s="40">
        <f>BM700*(1-IF(B700&gt;=in_marketplace_from,d_hz_recharge*G700,0))</f>
        <v/>
      </c>
      <c r="BN701" s="40">
        <f>BN700*d_rho_recharge+BM701*IF(B701&gt;=in_marketplace_from,d_hz_recharge*G701,0)</f>
        <v/>
      </c>
      <c r="BO701" s="14">
        <f>F701*BN701*in_recharge_ticket*in_recharge_comm/12</f>
        <v/>
      </c>
      <c r="BP701" s="40">
        <f>BP700*(1-IF(B700&gt;=in_marketplace_from,d_hz_bills*G700,0))</f>
        <v/>
      </c>
      <c r="BQ701" s="40">
        <f>BQ700*d_rho_bills+BP701*IF(B701&gt;=in_marketplace_from,d_hz_bills*G701,0)</f>
        <v/>
      </c>
      <c r="BR701" s="14">
        <f>F701*BQ701*in_bills_ticket*in_bills_comm/12</f>
        <v/>
      </c>
      <c r="BS701" s="40">
        <f>BS700*(1-IF(B700&gt;=in_marketplace_from,d_hz_loan_gold*G700,0))</f>
        <v/>
      </c>
      <c r="BT701" s="14">
        <f>F701*BS701*IF(B701&gt;=in_marketplace_from,d_hz_loan_gold*G701,0)*in_loan_gold_ticket*in_loan_gold_comm</f>
        <v/>
      </c>
      <c r="BU701" s="40">
        <f>BU700*(1-IF(B700&gt;=in_marketplace_from,d_hz_loan_cd*G700,0))</f>
        <v/>
      </c>
      <c r="BV701" s="14">
        <f>F701*BU701*IF(B701&gt;=in_marketplace_from,d_hz_loan_cd*G701,0)*in_loan_cd_ticket*in_loan_cd_comm</f>
        <v/>
      </c>
      <c r="BW701" s="40">
        <f>BW700*(1-IF(B700&gt;=in_marketplace_from,d_hz_loan_vehicle*G700,0))</f>
        <v/>
      </c>
      <c r="BX701" s="14">
        <f>F701*BW701*IF(B701&gt;=in_marketplace_from,d_hz_loan_vehicle*G701,0)*in_loan_vehicle_ticket*in_loan_vehicle_comm</f>
        <v/>
      </c>
      <c r="BY701" s="40">
        <f>BY700*(1-IF(B700&gt;=in_marketplace_from,d_hz_loan_home*G700,0)*BZ700)</f>
        <v/>
      </c>
      <c r="BZ701" s="11">
        <f>MIN(in_approval_cap,in_loan_home_approval*INDEX('Age profile'!$O$2:$O$61,B701)*(1+in_approval_growth)^(D701-1))</f>
        <v/>
      </c>
      <c r="CA701" s="14">
        <f>F701*BY701*IF(B701&gt;=in_marketplace_from,d_hz_loan_home*G701,0)*BZ701*in_loan_home_ticket*in_loan_home_comm</f>
        <v/>
      </c>
      <c r="CB701" s="40">
        <f>CB700*(1-IF(B700&gt;=in_marketplace_from,d_hz_loan_lap*G700,0)*CC700)</f>
        <v/>
      </c>
      <c r="CC701" s="11">
        <f>MIN(in_approval_cap,in_loan_lap_approval*INDEX('Age profile'!$O$2:$O$61,B701)*(1+in_approval_growth)^(D701-1))</f>
        <v/>
      </c>
      <c r="CD701" s="14">
        <f>F701*CB701*IF(B701&gt;=in_marketplace_from,d_hz_loan_lap*G701,0)*CC701*in_loan_lap_ticket*in_loan_lap_comm</f>
        <v/>
      </c>
      <c r="CE701" s="14">
        <f>AA701+AB701+AC701+AD701+AG701+AJ701+AM701+AP701+AS701+AU701+AX701+BB701+BE701+BG701+BJ701+BL701+BO701+BR701+BT701+BV701+BX701+CA701+CD701</f>
        <v/>
      </c>
    </row>
    <row r="702">
      <c r="A702" s="39" t="n">
        <v>13</v>
      </c>
      <c r="B702" s="39" t="n">
        <v>47</v>
      </c>
      <c r="C702" s="39">
        <f>A702+B702-1</f>
        <v/>
      </c>
      <c r="D702" s="39">
        <f>INT((C702-1)/12)+1</f>
        <v/>
      </c>
      <c r="E702" s="44">
        <f>INDEX(Monthly!$B$2:$B$61,A702)</f>
        <v/>
      </c>
      <c r="F702" s="44">
        <f>E702*INDEX('Age profile'!$B$2:$B$61,B702)</f>
        <v/>
      </c>
      <c r="G702" s="45">
        <f>MIN(in_takeup_cap,INDEX('Age profile'!$N$2:$N$61,B702)*(1+in_takeup_growth)^(D702-1))</f>
        <v/>
      </c>
      <c r="H702" s="11">
        <f>MIN(in_approval_cap,in_approved_first*INDEX('Age profile'!$O$2:$O$61,B702)*(1+in_approval_growth)^(D702-1))</f>
        <v/>
      </c>
      <c r="I702" s="45">
        <f>G702*MIN(in_takeup_cap,INDEX('Age profile'!$O$2:$O$61,B702)*(1+in_approval_growth)^(D702-1))</f>
        <v/>
      </c>
      <c r="J702" s="40">
        <f>(J701-L701)*F702/F701</f>
        <v/>
      </c>
      <c r="K702" s="40">
        <f>(K701-M701)*F702/F701+SUMIFS(O656:O701,B656:B701,B702-1-d_T)*F702</f>
        <v/>
      </c>
      <c r="L702" s="40">
        <f>IF(B702&gt;=in_marketplace_from,J702*d_hz*G702*in_eligible*H702,0)</f>
        <v/>
      </c>
      <c r="M702" s="40">
        <f>IF(B702&gt;=in_marketplace_from,K702*d_hz*G702*in_eligible*in_approved_repeat,0)</f>
        <v/>
      </c>
      <c r="N702" s="40">
        <f>L702+M702</f>
        <v/>
      </c>
      <c r="O702" s="46">
        <f>N702/F702</f>
        <v/>
      </c>
      <c r="P702" s="40">
        <f>F702-J702-K702</f>
        <v/>
      </c>
      <c r="Q702" s="40">
        <f>IF(B702&gt;=in_marketplace_from,(J702+K702)*d_hz*G702,0)</f>
        <v/>
      </c>
      <c r="R702" s="40">
        <f>SUMIFS(N656:N703,B656:B703,"&gt;="&amp;(B702-d_T),B656:B703,"&lt;="&amp;(B702-1))</f>
        <v/>
      </c>
      <c r="S702" s="46">
        <f>(1-d_u)*S701+IF(d_T&gt;in_topup_lag,SUMIFS(O656:O703,B656:B703,B702-in_topup_lag)-d_udrop*SUMIFS(O656:O703,B656:B703,B702-d_T),0)</f>
        <v/>
      </c>
      <c r="T702" s="40">
        <f>F702*d_u*S702</f>
        <v/>
      </c>
      <c r="U702" s="9">
        <f>L702*in_ticket+M702*d_rep_ticket</f>
        <v/>
      </c>
      <c r="V702" s="9">
        <f>U702+T702*d_topup_amt</f>
        <v/>
      </c>
      <c r="W702" s="40">
        <f>N702+T702*d_topup_ratio</f>
        <v/>
      </c>
      <c r="X702" s="40">
        <f>SUMIFS(W656:W703,B656:B703,B702-in_dpd_lag)*d_cured</f>
        <v/>
      </c>
      <c r="Y702" s="40">
        <f>SUMIFS(W656:W703,B656:B703,B702-in_rec_lag)*d_recd</f>
        <v/>
      </c>
      <c r="Z702" s="40">
        <f>IF(AND(B702&gt;=in_marketplace_from,B702&lt;in_marketplace_from+in_card_months),in_card_share/in_card_months*F702*I702,IF(AND(B702&gt;=in_marketplace_from+in_card_months,B702&lt;in_marketplace_from+2*in_card_months),in_card_share*d_card_rem/in_card_months*F702*MIN(in_takeup_cap,(1+in_takeup_growth)^(D702-1))*MIN(in_takeup_cap,(1+in_approval_growth)^(D702-1)),0))</f>
        <v/>
      </c>
      <c r="AA702" s="14">
        <f>V702*in_fee*(1-in_taken_back)</f>
        <v/>
      </c>
      <c r="AB702" s="14">
        <f>SUMIFS(W656:W703,B656:B703,B702-in_dpd_lag)*d_dpd</f>
        <v/>
      </c>
      <c r="AC702" s="14">
        <f>SUMIFS(W656:W703,B656:B703,B702-in_rec_lag)*d_rec</f>
        <v/>
      </c>
      <c r="AD702" s="14">
        <f>Z702*in_card_fee</f>
        <v/>
      </c>
      <c r="AE702" s="40">
        <f>AE701*(1-IF(B701&gt;=in_marketplace_from,d_hz_hlth_small*G701,0))</f>
        <v/>
      </c>
      <c r="AF702" s="46">
        <f>AE702*IF(B702&gt;=in_marketplace_from,d_hz_hlth_small*G702,0)</f>
        <v/>
      </c>
      <c r="AG702" s="14">
        <f>F702*AF702*in_hlth_small_ticket*in_hlth_small_comm*in_ins_partner_share+F702*in_hlth_small_ticket*in_hlth_small_renew_comm*in_ins_partner_share*(in_hlth_small_renew^1*SUMIFS(AF656:AF703,B656:B703,B702-12)+in_hlth_small_renew^2*SUMIFS(AF656:AF703,B656:B703,B702-24)+in_hlth_small_renew^3*SUMIFS(AF656:AF703,B656:B703,B702-36)+in_hlth_small_renew^4*SUMIFS(AF656:AF703,B656:B703,B702-48))</f>
        <v/>
      </c>
      <c r="AH702" s="40">
        <f>AH701*(1-IF(B701&gt;=in_marketplace_from,d_hz_hlth_family*G701,0))</f>
        <v/>
      </c>
      <c r="AI702" s="46">
        <f>AH702*IF(B702&gt;=in_marketplace_from,d_hz_hlth_family*G702,0)</f>
        <v/>
      </c>
      <c r="AJ702" s="14">
        <f>F702*AI702*in_hlth_family_ticket*in_hlth_family_comm*in_ins_partner_share+F702*in_hlth_family_ticket*in_hlth_family_renew_comm*in_ins_partner_share*(in_hlth_family_renew^1*SUMIFS(AI656:AI703,B656:B703,B702-12)+in_hlth_family_renew^2*SUMIFS(AI656:AI703,B656:B703,B702-24)+in_hlth_family_renew^3*SUMIFS(AI656:AI703,B656:B703,B702-36)+in_hlth_family_renew^4*SUMIFS(AI656:AI703,B656:B703,B702-48))</f>
        <v/>
      </c>
      <c r="AK702" s="40">
        <f>AK701*(1-IF(B701&gt;=in_marketplace_from,d_hz_life_term*G701,0))</f>
        <v/>
      </c>
      <c r="AL702" s="46">
        <f>AK702*IF(B702&gt;=in_marketplace_from,d_hz_life_term*G702,0)</f>
        <v/>
      </c>
      <c r="AM702" s="14">
        <f>F702*AL702*in_life_term_ticket*in_life_term_comm*in_ins_partner_share+F702*in_life_term_ticket*in_life_term_renew_comm*in_ins_partner_share*(in_life_term_renew^1*SUMIFS(AL656:AL703,B656:B703,B702-12)+in_life_term_renew^2*SUMIFS(AL656:AL703,B656:B703,B702-24)+in_life_term_renew^3*SUMIFS(AL656:AL703,B656:B703,B702-36)+in_life_term_renew^4*SUMIFS(AL656:AL703,B656:B703,B702-48))</f>
        <v/>
      </c>
      <c r="AN702" s="40">
        <f>AN701*(1-IF(B701&gt;=in_marketplace_from,d_hz_accident*G701,0))</f>
        <v/>
      </c>
      <c r="AO702" s="46">
        <f>AN702*IF(B702&gt;=in_marketplace_from,d_hz_accident*G702,0)</f>
        <v/>
      </c>
      <c r="AP702" s="14">
        <f>F702*AO702*in_accident_ticket*in_accident_comm*in_ins_partner_share+F702*in_accident_ticket*in_accident_renew_comm*in_ins_partner_share*(in_accident_renew^1*SUMIFS(AO656:AO703,B656:B703,B702-12)+in_accident_renew^2*SUMIFS(AO656:AO703,B656:B703,B702-24)+in_accident_renew^3*SUMIFS(AO656:AO703,B656:B703,B702-36)+in_accident_renew^4*SUMIFS(AO656:AO703,B656:B703,B702-48))</f>
        <v/>
      </c>
      <c r="AQ702" s="40">
        <f>AQ701*(1-IF(B701&gt;=in_marketplace_from,d_hz_two_wheeler*G701,0))</f>
        <v/>
      </c>
      <c r="AR702" s="46">
        <f>AQ702*IF(B702&gt;=in_marketplace_from,d_hz_two_wheeler*G702,0)</f>
        <v/>
      </c>
      <c r="AS702" s="14">
        <f>F702*AR702*in_two_wheeler_ticket*in_two_wheeler_comm*in_ins_partner_share+F702*in_two_wheeler_ticket*in_two_wheeler_comm*in_ins_partner_share*(in_two_wheeler_renew^1*SUMIFS(AR656:AR703,B656:B703,B702-12)+in_two_wheeler_renew^2*SUMIFS(AR656:AR703,B656:B703,B702-24)+in_two_wheeler_renew^3*SUMIFS(AR656:AR703,B656:B703,B702-36)+in_two_wheeler_renew^4*SUMIFS(AR656:AR703,B656:B703,B702-48))</f>
        <v/>
      </c>
      <c r="AT702" s="40">
        <f>AT701*(1-IF(B701&gt;=in_marketplace_from,d_hz_device*G701,0))</f>
        <v/>
      </c>
      <c r="AU702" s="14">
        <f>F702*AT702*IF(B702&gt;=in_marketplace_from,d_hz_device*G702,0)*in_device_ticket*in_device_comm*in_ins_partner_share</f>
        <v/>
      </c>
      <c r="AV702" s="40">
        <f>AV701*(1-IF(B701&gt;=in_marketplace_from,d_hz_shop*G701,0))</f>
        <v/>
      </c>
      <c r="AW702" s="46">
        <f>AV702*IF(B702&gt;=in_marketplace_from,d_hz_shop*G702,0)</f>
        <v/>
      </c>
      <c r="AX702" s="14">
        <f>F702*AW702*in_shop_ticket*in_shop_comm*in_ins_partner_share+F702*in_shop_ticket*in_shop_renew_comm*in_ins_partner_share*(in_shop_renew^1*SUMIFS(AW656:AW703,B656:B703,B702-12)+in_shop_renew^2*SUMIFS(AW656:AW703,B656:B703,B702-24)+in_shop_renew^3*SUMIFS(AW656:AW703,B656:B703,B702-36)+in_shop_renew^4*SUMIFS(AW656:AW703,B656:B703,B702-48))</f>
        <v/>
      </c>
      <c r="AY702" s="40">
        <f>AY701*(1-IF(B701&gt;=in_marketplace_from,d_hz_sip*G701,0))</f>
        <v/>
      </c>
      <c r="AZ702" s="40">
        <f>AZ701*d_rho_sip+AY702*IF(B702&gt;=in_marketplace_from,d_hz_sip*G702,0)</f>
        <v/>
      </c>
      <c r="BA702" s="40">
        <f>d_rho_sip*(BA701+AZ701)</f>
        <v/>
      </c>
      <c r="BB702" s="14">
        <f>F702*in_sip_ticket*(BA702+0.5*AZ702)*in_sip_comm/12</f>
        <v/>
      </c>
      <c r="BC702" s="40">
        <f>BC701*(1-IF(B701&gt;=in_marketplace_from,d_hz_choti*G701,0))</f>
        <v/>
      </c>
      <c r="BD702" s="46">
        <f>BC702*IF(B702&gt;=in_marketplace_from,d_hz_choti*G702,0)</f>
        <v/>
      </c>
      <c r="BE702" s="14">
        <f>F702*SUMIFS(BD656:BD703,B656:B703,B702-in_choti_months)*in_choti_renew*in_choti_ticket</f>
        <v/>
      </c>
      <c r="BF702" s="40">
        <f>BF701*(1-IF(B701&gt;=in_marketplace_from,d_hz_nps*G701,0))</f>
        <v/>
      </c>
      <c r="BG702" s="14">
        <f>F702*BF702*IF(B702&gt;=in_marketplace_from,d_hz_nps*G702,0)*in_nps_ticket*in_nps_comm</f>
        <v/>
      </c>
      <c r="BH702" s="40">
        <f>BH701*(1-IF(B701&gt;=in_marketplace_from,d_hz_gold*G701,0))</f>
        <v/>
      </c>
      <c r="BI702" s="40">
        <f>BI701*d_rho_gold+BH702*IF(B702&gt;=in_marketplace_from,d_hz_gold*G702,0)</f>
        <v/>
      </c>
      <c r="BJ702" s="14">
        <f>F702*BI702*in_gold_ticket*in_gold_comm</f>
        <v/>
      </c>
      <c r="BK702" s="40">
        <f>BK701*(1-IF(B701&gt;=in_marketplace_from,d_hz_fd*G701,0))</f>
        <v/>
      </c>
      <c r="BL702" s="14">
        <f>F702*BK702*IF(B702&gt;=in_marketplace_from,d_hz_fd*G702,0)*in_fd_ticket*in_fd_comm</f>
        <v/>
      </c>
      <c r="BM702" s="40">
        <f>BM701*(1-IF(B701&gt;=in_marketplace_from,d_hz_recharge*G701,0))</f>
        <v/>
      </c>
      <c r="BN702" s="40">
        <f>BN701*d_rho_recharge+BM702*IF(B702&gt;=in_marketplace_from,d_hz_recharge*G702,0)</f>
        <v/>
      </c>
      <c r="BO702" s="14">
        <f>F702*BN702*in_recharge_ticket*in_recharge_comm/12</f>
        <v/>
      </c>
      <c r="BP702" s="40">
        <f>BP701*(1-IF(B701&gt;=in_marketplace_from,d_hz_bills*G701,0))</f>
        <v/>
      </c>
      <c r="BQ702" s="40">
        <f>BQ701*d_rho_bills+BP702*IF(B702&gt;=in_marketplace_from,d_hz_bills*G702,0)</f>
        <v/>
      </c>
      <c r="BR702" s="14">
        <f>F702*BQ702*in_bills_ticket*in_bills_comm/12</f>
        <v/>
      </c>
      <c r="BS702" s="40">
        <f>BS701*(1-IF(B701&gt;=in_marketplace_from,d_hz_loan_gold*G701,0))</f>
        <v/>
      </c>
      <c r="BT702" s="14">
        <f>F702*BS702*IF(B702&gt;=in_marketplace_from,d_hz_loan_gold*G702,0)*in_loan_gold_ticket*in_loan_gold_comm</f>
        <v/>
      </c>
      <c r="BU702" s="40">
        <f>BU701*(1-IF(B701&gt;=in_marketplace_from,d_hz_loan_cd*G701,0))</f>
        <v/>
      </c>
      <c r="BV702" s="14">
        <f>F702*BU702*IF(B702&gt;=in_marketplace_from,d_hz_loan_cd*G702,0)*in_loan_cd_ticket*in_loan_cd_comm</f>
        <v/>
      </c>
      <c r="BW702" s="40">
        <f>BW701*(1-IF(B701&gt;=in_marketplace_from,d_hz_loan_vehicle*G701,0))</f>
        <v/>
      </c>
      <c r="BX702" s="14">
        <f>F702*BW702*IF(B702&gt;=in_marketplace_from,d_hz_loan_vehicle*G702,0)*in_loan_vehicle_ticket*in_loan_vehicle_comm</f>
        <v/>
      </c>
      <c r="BY702" s="40">
        <f>BY701*(1-IF(B701&gt;=in_marketplace_from,d_hz_loan_home*G701,0)*BZ701)</f>
        <v/>
      </c>
      <c r="BZ702" s="11">
        <f>MIN(in_approval_cap,in_loan_home_approval*INDEX('Age profile'!$O$2:$O$61,B702)*(1+in_approval_growth)^(D702-1))</f>
        <v/>
      </c>
      <c r="CA702" s="14">
        <f>F702*BY702*IF(B702&gt;=in_marketplace_from,d_hz_loan_home*G702,0)*BZ702*in_loan_home_ticket*in_loan_home_comm</f>
        <v/>
      </c>
      <c r="CB702" s="40">
        <f>CB701*(1-IF(B701&gt;=in_marketplace_from,d_hz_loan_lap*G701,0)*CC701)</f>
        <v/>
      </c>
      <c r="CC702" s="11">
        <f>MIN(in_approval_cap,in_loan_lap_approval*INDEX('Age profile'!$O$2:$O$61,B702)*(1+in_approval_growth)^(D702-1))</f>
        <v/>
      </c>
      <c r="CD702" s="14">
        <f>F702*CB702*IF(B702&gt;=in_marketplace_from,d_hz_loan_lap*G702,0)*CC702*in_loan_lap_ticket*in_loan_lap_comm</f>
        <v/>
      </c>
      <c r="CE702" s="14">
        <f>AA702+AB702+AC702+AD702+AG702+AJ702+AM702+AP702+AS702+AU702+AX702+BB702+BE702+BG702+BJ702+BL702+BO702+BR702+BT702+BV702+BX702+CA702+CD702</f>
        <v/>
      </c>
    </row>
    <row r="703">
      <c r="A703" s="39" t="n">
        <v>13</v>
      </c>
      <c r="B703" s="39" t="n">
        <v>48</v>
      </c>
      <c r="C703" s="39">
        <f>A703+B703-1</f>
        <v/>
      </c>
      <c r="D703" s="39">
        <f>INT((C703-1)/12)+1</f>
        <v/>
      </c>
      <c r="E703" s="44">
        <f>INDEX(Monthly!$B$2:$B$61,A703)</f>
        <v/>
      </c>
      <c r="F703" s="44">
        <f>E703*INDEX('Age profile'!$B$2:$B$61,B703)</f>
        <v/>
      </c>
      <c r="G703" s="45">
        <f>MIN(in_takeup_cap,INDEX('Age profile'!$N$2:$N$61,B703)*(1+in_takeup_growth)^(D703-1))</f>
        <v/>
      </c>
      <c r="H703" s="11">
        <f>MIN(in_approval_cap,in_approved_first*INDEX('Age profile'!$O$2:$O$61,B703)*(1+in_approval_growth)^(D703-1))</f>
        <v/>
      </c>
      <c r="I703" s="45">
        <f>G703*MIN(in_takeup_cap,INDEX('Age profile'!$O$2:$O$61,B703)*(1+in_approval_growth)^(D703-1))</f>
        <v/>
      </c>
      <c r="J703" s="40">
        <f>(J702-L702)*F703/F702</f>
        <v/>
      </c>
      <c r="K703" s="40">
        <f>(K702-M702)*F703/F702+SUMIFS(O656:O702,B656:B702,B703-1-d_T)*F703</f>
        <v/>
      </c>
      <c r="L703" s="40">
        <f>IF(B703&gt;=in_marketplace_from,J703*d_hz*G703*in_eligible*H703,0)</f>
        <v/>
      </c>
      <c r="M703" s="40">
        <f>IF(B703&gt;=in_marketplace_from,K703*d_hz*G703*in_eligible*in_approved_repeat,0)</f>
        <v/>
      </c>
      <c r="N703" s="40">
        <f>L703+M703</f>
        <v/>
      </c>
      <c r="O703" s="46">
        <f>N703/F703</f>
        <v/>
      </c>
      <c r="P703" s="40">
        <f>F703-J703-K703</f>
        <v/>
      </c>
      <c r="Q703" s="40">
        <f>IF(B703&gt;=in_marketplace_from,(J703+K703)*d_hz*G703,0)</f>
        <v/>
      </c>
      <c r="R703" s="40">
        <f>SUMIFS(N656:N703,B656:B703,"&gt;="&amp;(B703-d_T),B656:B703,"&lt;="&amp;(B703-1))</f>
        <v/>
      </c>
      <c r="S703" s="46">
        <f>(1-d_u)*S702+IF(d_T&gt;in_topup_lag,SUMIFS(O656:O703,B656:B703,B703-in_topup_lag)-d_udrop*SUMIFS(O656:O703,B656:B703,B703-d_T),0)</f>
        <v/>
      </c>
      <c r="T703" s="40">
        <f>F703*d_u*S703</f>
        <v/>
      </c>
      <c r="U703" s="9">
        <f>L703*in_ticket+M703*d_rep_ticket</f>
        <v/>
      </c>
      <c r="V703" s="9">
        <f>U703+T703*d_topup_amt</f>
        <v/>
      </c>
      <c r="W703" s="40">
        <f>N703+T703*d_topup_ratio</f>
        <v/>
      </c>
      <c r="X703" s="40">
        <f>SUMIFS(W656:W703,B656:B703,B703-in_dpd_lag)*d_cured</f>
        <v/>
      </c>
      <c r="Y703" s="40">
        <f>SUMIFS(W656:W703,B656:B703,B703-in_rec_lag)*d_recd</f>
        <v/>
      </c>
      <c r="Z703" s="40">
        <f>IF(AND(B703&gt;=in_marketplace_from,B703&lt;in_marketplace_from+in_card_months),in_card_share/in_card_months*F703*I703,IF(AND(B703&gt;=in_marketplace_from+in_card_months,B703&lt;in_marketplace_from+2*in_card_months),in_card_share*d_card_rem/in_card_months*F703*MIN(in_takeup_cap,(1+in_takeup_growth)^(D703-1))*MIN(in_takeup_cap,(1+in_approval_growth)^(D703-1)),0))</f>
        <v/>
      </c>
      <c r="AA703" s="14">
        <f>V703*in_fee*(1-in_taken_back)</f>
        <v/>
      </c>
      <c r="AB703" s="14">
        <f>SUMIFS(W656:W703,B656:B703,B703-in_dpd_lag)*d_dpd</f>
        <v/>
      </c>
      <c r="AC703" s="14">
        <f>SUMIFS(W656:W703,B656:B703,B703-in_rec_lag)*d_rec</f>
        <v/>
      </c>
      <c r="AD703" s="14">
        <f>Z703*in_card_fee</f>
        <v/>
      </c>
      <c r="AE703" s="40">
        <f>AE702*(1-IF(B702&gt;=in_marketplace_from,d_hz_hlth_small*G702,0))</f>
        <v/>
      </c>
      <c r="AF703" s="46">
        <f>AE703*IF(B703&gt;=in_marketplace_from,d_hz_hlth_small*G703,0)</f>
        <v/>
      </c>
      <c r="AG703" s="14">
        <f>F703*AF703*in_hlth_small_ticket*in_hlth_small_comm*in_ins_partner_share+F703*in_hlth_small_ticket*in_hlth_small_renew_comm*in_ins_partner_share*(in_hlth_small_renew^1*SUMIFS(AF656:AF703,B656:B703,B703-12)+in_hlth_small_renew^2*SUMIFS(AF656:AF703,B656:B703,B703-24)+in_hlth_small_renew^3*SUMIFS(AF656:AF703,B656:B703,B703-36)+in_hlth_small_renew^4*SUMIFS(AF656:AF703,B656:B703,B703-48))</f>
        <v/>
      </c>
      <c r="AH703" s="40">
        <f>AH702*(1-IF(B702&gt;=in_marketplace_from,d_hz_hlth_family*G702,0))</f>
        <v/>
      </c>
      <c r="AI703" s="46">
        <f>AH703*IF(B703&gt;=in_marketplace_from,d_hz_hlth_family*G703,0)</f>
        <v/>
      </c>
      <c r="AJ703" s="14">
        <f>F703*AI703*in_hlth_family_ticket*in_hlth_family_comm*in_ins_partner_share+F703*in_hlth_family_ticket*in_hlth_family_renew_comm*in_ins_partner_share*(in_hlth_family_renew^1*SUMIFS(AI656:AI703,B656:B703,B703-12)+in_hlth_family_renew^2*SUMIFS(AI656:AI703,B656:B703,B703-24)+in_hlth_family_renew^3*SUMIFS(AI656:AI703,B656:B703,B703-36)+in_hlth_family_renew^4*SUMIFS(AI656:AI703,B656:B703,B703-48))</f>
        <v/>
      </c>
      <c r="AK703" s="40">
        <f>AK702*(1-IF(B702&gt;=in_marketplace_from,d_hz_life_term*G702,0))</f>
        <v/>
      </c>
      <c r="AL703" s="46">
        <f>AK703*IF(B703&gt;=in_marketplace_from,d_hz_life_term*G703,0)</f>
        <v/>
      </c>
      <c r="AM703" s="14">
        <f>F703*AL703*in_life_term_ticket*in_life_term_comm*in_ins_partner_share+F703*in_life_term_ticket*in_life_term_renew_comm*in_ins_partner_share*(in_life_term_renew^1*SUMIFS(AL656:AL703,B656:B703,B703-12)+in_life_term_renew^2*SUMIFS(AL656:AL703,B656:B703,B703-24)+in_life_term_renew^3*SUMIFS(AL656:AL703,B656:B703,B703-36)+in_life_term_renew^4*SUMIFS(AL656:AL703,B656:B703,B703-48))</f>
        <v/>
      </c>
      <c r="AN703" s="40">
        <f>AN702*(1-IF(B702&gt;=in_marketplace_from,d_hz_accident*G702,0))</f>
        <v/>
      </c>
      <c r="AO703" s="46">
        <f>AN703*IF(B703&gt;=in_marketplace_from,d_hz_accident*G703,0)</f>
        <v/>
      </c>
      <c r="AP703" s="14">
        <f>F703*AO703*in_accident_ticket*in_accident_comm*in_ins_partner_share+F703*in_accident_ticket*in_accident_renew_comm*in_ins_partner_share*(in_accident_renew^1*SUMIFS(AO656:AO703,B656:B703,B703-12)+in_accident_renew^2*SUMIFS(AO656:AO703,B656:B703,B703-24)+in_accident_renew^3*SUMIFS(AO656:AO703,B656:B703,B703-36)+in_accident_renew^4*SUMIFS(AO656:AO703,B656:B703,B703-48))</f>
        <v/>
      </c>
      <c r="AQ703" s="40">
        <f>AQ702*(1-IF(B702&gt;=in_marketplace_from,d_hz_two_wheeler*G702,0))</f>
        <v/>
      </c>
      <c r="AR703" s="46">
        <f>AQ703*IF(B703&gt;=in_marketplace_from,d_hz_two_wheeler*G703,0)</f>
        <v/>
      </c>
      <c r="AS703" s="14">
        <f>F703*AR703*in_two_wheeler_ticket*in_two_wheeler_comm*in_ins_partner_share+F703*in_two_wheeler_ticket*in_two_wheeler_comm*in_ins_partner_share*(in_two_wheeler_renew^1*SUMIFS(AR656:AR703,B656:B703,B703-12)+in_two_wheeler_renew^2*SUMIFS(AR656:AR703,B656:B703,B703-24)+in_two_wheeler_renew^3*SUMIFS(AR656:AR703,B656:B703,B703-36)+in_two_wheeler_renew^4*SUMIFS(AR656:AR703,B656:B703,B703-48))</f>
        <v/>
      </c>
      <c r="AT703" s="40">
        <f>AT702*(1-IF(B702&gt;=in_marketplace_from,d_hz_device*G702,0))</f>
        <v/>
      </c>
      <c r="AU703" s="14">
        <f>F703*AT703*IF(B703&gt;=in_marketplace_from,d_hz_device*G703,0)*in_device_ticket*in_device_comm*in_ins_partner_share</f>
        <v/>
      </c>
      <c r="AV703" s="40">
        <f>AV702*(1-IF(B702&gt;=in_marketplace_from,d_hz_shop*G702,0))</f>
        <v/>
      </c>
      <c r="AW703" s="46">
        <f>AV703*IF(B703&gt;=in_marketplace_from,d_hz_shop*G703,0)</f>
        <v/>
      </c>
      <c r="AX703" s="14">
        <f>F703*AW703*in_shop_ticket*in_shop_comm*in_ins_partner_share+F703*in_shop_ticket*in_shop_renew_comm*in_ins_partner_share*(in_shop_renew^1*SUMIFS(AW656:AW703,B656:B703,B703-12)+in_shop_renew^2*SUMIFS(AW656:AW703,B656:B703,B703-24)+in_shop_renew^3*SUMIFS(AW656:AW703,B656:B703,B703-36)+in_shop_renew^4*SUMIFS(AW656:AW703,B656:B703,B703-48))</f>
        <v/>
      </c>
      <c r="AY703" s="40">
        <f>AY702*(1-IF(B702&gt;=in_marketplace_from,d_hz_sip*G702,0))</f>
        <v/>
      </c>
      <c r="AZ703" s="40">
        <f>AZ702*d_rho_sip+AY703*IF(B703&gt;=in_marketplace_from,d_hz_sip*G703,0)</f>
        <v/>
      </c>
      <c r="BA703" s="40">
        <f>d_rho_sip*(BA702+AZ702)</f>
        <v/>
      </c>
      <c r="BB703" s="14">
        <f>F703*in_sip_ticket*(BA703+0.5*AZ703)*in_sip_comm/12</f>
        <v/>
      </c>
      <c r="BC703" s="40">
        <f>BC702*(1-IF(B702&gt;=in_marketplace_from,d_hz_choti*G702,0))</f>
        <v/>
      </c>
      <c r="BD703" s="46">
        <f>BC703*IF(B703&gt;=in_marketplace_from,d_hz_choti*G703,0)</f>
        <v/>
      </c>
      <c r="BE703" s="14">
        <f>F703*SUMIFS(BD656:BD703,B656:B703,B703-in_choti_months)*in_choti_renew*in_choti_ticket</f>
        <v/>
      </c>
      <c r="BF703" s="40">
        <f>BF702*(1-IF(B702&gt;=in_marketplace_from,d_hz_nps*G702,0))</f>
        <v/>
      </c>
      <c r="BG703" s="14">
        <f>F703*BF703*IF(B703&gt;=in_marketplace_from,d_hz_nps*G703,0)*in_nps_ticket*in_nps_comm</f>
        <v/>
      </c>
      <c r="BH703" s="40">
        <f>BH702*(1-IF(B702&gt;=in_marketplace_from,d_hz_gold*G702,0))</f>
        <v/>
      </c>
      <c r="BI703" s="40">
        <f>BI702*d_rho_gold+BH703*IF(B703&gt;=in_marketplace_from,d_hz_gold*G703,0)</f>
        <v/>
      </c>
      <c r="BJ703" s="14">
        <f>F703*BI703*in_gold_ticket*in_gold_comm</f>
        <v/>
      </c>
      <c r="BK703" s="40">
        <f>BK702*(1-IF(B702&gt;=in_marketplace_from,d_hz_fd*G702,0))</f>
        <v/>
      </c>
      <c r="BL703" s="14">
        <f>F703*BK703*IF(B703&gt;=in_marketplace_from,d_hz_fd*G703,0)*in_fd_ticket*in_fd_comm</f>
        <v/>
      </c>
      <c r="BM703" s="40">
        <f>BM702*(1-IF(B702&gt;=in_marketplace_from,d_hz_recharge*G702,0))</f>
        <v/>
      </c>
      <c r="BN703" s="40">
        <f>BN702*d_rho_recharge+BM703*IF(B703&gt;=in_marketplace_from,d_hz_recharge*G703,0)</f>
        <v/>
      </c>
      <c r="BO703" s="14">
        <f>F703*BN703*in_recharge_ticket*in_recharge_comm/12</f>
        <v/>
      </c>
      <c r="BP703" s="40">
        <f>BP702*(1-IF(B702&gt;=in_marketplace_from,d_hz_bills*G702,0))</f>
        <v/>
      </c>
      <c r="BQ703" s="40">
        <f>BQ702*d_rho_bills+BP703*IF(B703&gt;=in_marketplace_from,d_hz_bills*G703,0)</f>
        <v/>
      </c>
      <c r="BR703" s="14">
        <f>F703*BQ703*in_bills_ticket*in_bills_comm/12</f>
        <v/>
      </c>
      <c r="BS703" s="40">
        <f>BS702*(1-IF(B702&gt;=in_marketplace_from,d_hz_loan_gold*G702,0))</f>
        <v/>
      </c>
      <c r="BT703" s="14">
        <f>F703*BS703*IF(B703&gt;=in_marketplace_from,d_hz_loan_gold*G703,0)*in_loan_gold_ticket*in_loan_gold_comm</f>
        <v/>
      </c>
      <c r="BU703" s="40">
        <f>BU702*(1-IF(B702&gt;=in_marketplace_from,d_hz_loan_cd*G702,0))</f>
        <v/>
      </c>
      <c r="BV703" s="14">
        <f>F703*BU703*IF(B703&gt;=in_marketplace_from,d_hz_loan_cd*G703,0)*in_loan_cd_ticket*in_loan_cd_comm</f>
        <v/>
      </c>
      <c r="BW703" s="40">
        <f>BW702*(1-IF(B702&gt;=in_marketplace_from,d_hz_loan_vehicle*G702,0))</f>
        <v/>
      </c>
      <c r="BX703" s="14">
        <f>F703*BW703*IF(B703&gt;=in_marketplace_from,d_hz_loan_vehicle*G703,0)*in_loan_vehicle_ticket*in_loan_vehicle_comm</f>
        <v/>
      </c>
      <c r="BY703" s="40">
        <f>BY702*(1-IF(B702&gt;=in_marketplace_from,d_hz_loan_home*G702,0)*BZ702)</f>
        <v/>
      </c>
      <c r="BZ703" s="11">
        <f>MIN(in_approval_cap,in_loan_home_approval*INDEX('Age profile'!$O$2:$O$61,B703)*(1+in_approval_growth)^(D703-1))</f>
        <v/>
      </c>
      <c r="CA703" s="14">
        <f>F703*BY703*IF(B703&gt;=in_marketplace_from,d_hz_loan_home*G703,0)*BZ703*in_loan_home_ticket*in_loan_home_comm</f>
        <v/>
      </c>
      <c r="CB703" s="40">
        <f>CB702*(1-IF(B702&gt;=in_marketplace_from,d_hz_loan_lap*G702,0)*CC702)</f>
        <v/>
      </c>
      <c r="CC703" s="11">
        <f>MIN(in_approval_cap,in_loan_lap_approval*INDEX('Age profile'!$O$2:$O$61,B703)*(1+in_approval_growth)^(D703-1))</f>
        <v/>
      </c>
      <c r="CD703" s="14">
        <f>F703*CB703*IF(B703&gt;=in_marketplace_from,d_hz_loan_lap*G703,0)*CC703*in_loan_lap_ticket*in_loan_lap_comm</f>
        <v/>
      </c>
      <c r="CE703" s="14">
        <f>AA703+AB703+AC703+AD703+AG703+AJ703+AM703+AP703+AS703+AU703+AX703+BB703+BE703+BG703+BJ703+BL703+BO703+BR703+BT703+BV703+BX703+CA703+CD703</f>
        <v/>
      </c>
    </row>
    <row r="704">
      <c r="A704" s="39" t="n">
        <v>14</v>
      </c>
      <c r="B704" s="39" t="n">
        <v>1</v>
      </c>
      <c r="C704" s="39">
        <f>A704+B704-1</f>
        <v/>
      </c>
      <c r="D704" s="39">
        <f>INT((C704-1)/12)+1</f>
        <v/>
      </c>
      <c r="E704" s="44">
        <f>INDEX(Monthly!$B$2:$B$61,A704)</f>
        <v/>
      </c>
      <c r="F704" s="44">
        <f>E704*INDEX('Age profile'!$B$2:$B$61,B704)</f>
        <v/>
      </c>
      <c r="G704" s="45">
        <f>MIN(in_takeup_cap,INDEX('Age profile'!$N$2:$N$61,B704)*(1+in_takeup_growth)^(D704-1))</f>
        <v/>
      </c>
      <c r="H704" s="11">
        <f>MIN(in_approval_cap,in_approved_first*INDEX('Age profile'!$O$2:$O$61,B704)*(1+in_approval_growth)^(D704-1))</f>
        <v/>
      </c>
      <c r="I704" s="45">
        <f>G704*MIN(in_takeup_cap,INDEX('Age profile'!$O$2:$O$61,B704)*(1+in_approval_growth)^(D704-1))</f>
        <v/>
      </c>
      <c r="J704" s="40">
        <f>E704</f>
        <v/>
      </c>
      <c r="K704" s="40" t="n">
        <v>0</v>
      </c>
      <c r="L704" s="40">
        <f>IF(B704&gt;=in_marketplace_from,J704*d_hz*G704*in_eligible*H704,0)</f>
        <v/>
      </c>
      <c r="M704" s="40">
        <f>IF(B704&gt;=in_marketplace_from,K704*d_hz*G704*in_eligible*in_approved_repeat,0)</f>
        <v/>
      </c>
      <c r="N704" s="40">
        <f>L704+M704</f>
        <v/>
      </c>
      <c r="O704" s="46">
        <f>N704/F704</f>
        <v/>
      </c>
      <c r="P704" s="40">
        <f>F704-J704-K704</f>
        <v/>
      </c>
      <c r="Q704" s="40">
        <f>IF(B704&gt;=in_marketplace_from,(J704+K704)*d_hz*G704,0)</f>
        <v/>
      </c>
      <c r="R704" s="40">
        <f>SUMIFS(N704:N750,B704:B750,"&gt;="&amp;(B704-d_T),B704:B750,"&lt;="&amp;(B704-1))</f>
        <v/>
      </c>
      <c r="S704" s="46" t="n">
        <v>0</v>
      </c>
      <c r="T704" s="40">
        <f>F704*d_u*S704</f>
        <v/>
      </c>
      <c r="U704" s="9">
        <f>L704*in_ticket+M704*d_rep_ticket</f>
        <v/>
      </c>
      <c r="V704" s="9">
        <f>U704+T704*d_topup_amt</f>
        <v/>
      </c>
      <c r="W704" s="40">
        <f>N704+T704*d_topup_ratio</f>
        <v/>
      </c>
      <c r="X704" s="40">
        <f>SUMIFS(W704:W750,B704:B750,B704-in_dpd_lag)*d_cured</f>
        <v/>
      </c>
      <c r="Y704" s="40">
        <f>SUMIFS(W704:W750,B704:B750,B704-in_rec_lag)*d_recd</f>
        <v/>
      </c>
      <c r="Z704" s="40">
        <f>IF(AND(B704&gt;=in_marketplace_from,B704&lt;in_marketplace_from+in_card_months),in_card_share/in_card_months*F704*I704,IF(AND(B704&gt;=in_marketplace_from+in_card_months,B704&lt;in_marketplace_from+2*in_card_months),in_card_share*d_card_rem/in_card_months*F704*MIN(in_takeup_cap,(1+in_takeup_growth)^(D704-1))*MIN(in_takeup_cap,(1+in_approval_growth)^(D704-1)),0))</f>
        <v/>
      </c>
      <c r="AA704" s="14">
        <f>V704*in_fee*(1-in_taken_back)</f>
        <v/>
      </c>
      <c r="AB704" s="14">
        <f>SUMIFS(W704:W750,B704:B750,B704-in_dpd_lag)*d_dpd</f>
        <v/>
      </c>
      <c r="AC704" s="14">
        <f>SUMIFS(W704:W750,B704:B750,B704-in_rec_lag)*d_rec</f>
        <v/>
      </c>
      <c r="AD704" s="14">
        <f>Z704*in_card_fee</f>
        <v/>
      </c>
      <c r="AE704" s="40" t="n">
        <v>1</v>
      </c>
      <c r="AF704" s="46">
        <f>AE704*IF(B704&gt;=in_marketplace_from,d_hz_hlth_small*G704,0)</f>
        <v/>
      </c>
      <c r="AG704" s="14">
        <f>F704*AF704*in_hlth_small_ticket*in_hlth_small_comm*in_ins_partner_share+F704*in_hlth_small_ticket*in_hlth_small_renew_comm*in_ins_partner_share*(in_hlth_small_renew^1*SUMIFS(AF704:AF750,B704:B750,B704-12)+in_hlth_small_renew^2*SUMIFS(AF704:AF750,B704:B750,B704-24)+in_hlth_small_renew^3*SUMIFS(AF704:AF750,B704:B750,B704-36)+in_hlth_small_renew^4*SUMIFS(AF704:AF750,B704:B750,B704-48))</f>
        <v/>
      </c>
      <c r="AH704" s="40" t="n">
        <v>1</v>
      </c>
      <c r="AI704" s="46">
        <f>AH704*IF(B704&gt;=in_marketplace_from,d_hz_hlth_family*G704,0)</f>
        <v/>
      </c>
      <c r="AJ704" s="14">
        <f>F704*AI704*in_hlth_family_ticket*in_hlth_family_comm*in_ins_partner_share+F704*in_hlth_family_ticket*in_hlth_family_renew_comm*in_ins_partner_share*(in_hlth_family_renew^1*SUMIFS(AI704:AI750,B704:B750,B704-12)+in_hlth_family_renew^2*SUMIFS(AI704:AI750,B704:B750,B704-24)+in_hlth_family_renew^3*SUMIFS(AI704:AI750,B704:B750,B704-36)+in_hlth_family_renew^4*SUMIFS(AI704:AI750,B704:B750,B704-48))</f>
        <v/>
      </c>
      <c r="AK704" s="40" t="n">
        <v>1</v>
      </c>
      <c r="AL704" s="46">
        <f>AK704*IF(B704&gt;=in_marketplace_from,d_hz_life_term*G704,0)</f>
        <v/>
      </c>
      <c r="AM704" s="14">
        <f>F704*AL704*in_life_term_ticket*in_life_term_comm*in_ins_partner_share+F704*in_life_term_ticket*in_life_term_renew_comm*in_ins_partner_share*(in_life_term_renew^1*SUMIFS(AL704:AL750,B704:B750,B704-12)+in_life_term_renew^2*SUMIFS(AL704:AL750,B704:B750,B704-24)+in_life_term_renew^3*SUMIFS(AL704:AL750,B704:B750,B704-36)+in_life_term_renew^4*SUMIFS(AL704:AL750,B704:B750,B704-48))</f>
        <v/>
      </c>
      <c r="AN704" s="40" t="n">
        <v>1</v>
      </c>
      <c r="AO704" s="46">
        <f>AN704*IF(B704&gt;=in_marketplace_from,d_hz_accident*G704,0)</f>
        <v/>
      </c>
      <c r="AP704" s="14">
        <f>F704*AO704*in_accident_ticket*in_accident_comm*in_ins_partner_share+F704*in_accident_ticket*in_accident_renew_comm*in_ins_partner_share*(in_accident_renew^1*SUMIFS(AO704:AO750,B704:B750,B704-12)+in_accident_renew^2*SUMIFS(AO704:AO750,B704:B750,B704-24)+in_accident_renew^3*SUMIFS(AO704:AO750,B704:B750,B704-36)+in_accident_renew^4*SUMIFS(AO704:AO750,B704:B750,B704-48))</f>
        <v/>
      </c>
      <c r="AQ704" s="40" t="n">
        <v>1</v>
      </c>
      <c r="AR704" s="46">
        <f>AQ704*IF(B704&gt;=in_marketplace_from,d_hz_two_wheeler*G704,0)</f>
        <v/>
      </c>
      <c r="AS704" s="14">
        <f>F704*AR704*in_two_wheeler_ticket*in_two_wheeler_comm*in_ins_partner_share+F704*in_two_wheeler_ticket*in_two_wheeler_comm*in_ins_partner_share*(in_two_wheeler_renew^1*SUMIFS(AR704:AR750,B704:B750,B704-12)+in_two_wheeler_renew^2*SUMIFS(AR704:AR750,B704:B750,B704-24)+in_two_wheeler_renew^3*SUMIFS(AR704:AR750,B704:B750,B704-36)+in_two_wheeler_renew^4*SUMIFS(AR704:AR750,B704:B750,B704-48))</f>
        <v/>
      </c>
      <c r="AT704" s="40" t="n">
        <v>1</v>
      </c>
      <c r="AU704" s="14">
        <f>F704*AT704*IF(B704&gt;=in_marketplace_from,d_hz_device*G704,0)*in_device_ticket*in_device_comm*in_ins_partner_share</f>
        <v/>
      </c>
      <c r="AV704" s="40" t="n">
        <v>1</v>
      </c>
      <c r="AW704" s="46">
        <f>AV704*IF(B704&gt;=in_marketplace_from,d_hz_shop*G704,0)</f>
        <v/>
      </c>
      <c r="AX704" s="14">
        <f>F704*AW704*in_shop_ticket*in_shop_comm*in_ins_partner_share+F704*in_shop_ticket*in_shop_renew_comm*in_ins_partner_share*(in_shop_renew^1*SUMIFS(AW704:AW750,B704:B750,B704-12)+in_shop_renew^2*SUMIFS(AW704:AW750,B704:B750,B704-24)+in_shop_renew^3*SUMIFS(AW704:AW750,B704:B750,B704-36)+in_shop_renew^4*SUMIFS(AW704:AW750,B704:B750,B704-48))</f>
        <v/>
      </c>
      <c r="AY704" s="40" t="n">
        <v>1</v>
      </c>
      <c r="AZ704" s="40">
        <f>AY704*IF(B704&gt;=in_marketplace_from,d_hz_sip*G704,0)</f>
        <v/>
      </c>
      <c r="BA704" s="40" t="n">
        <v>0</v>
      </c>
      <c r="BB704" s="14">
        <f>F704*in_sip_ticket*(BA704+0.5*AZ704)*in_sip_comm/12</f>
        <v/>
      </c>
      <c r="BC704" s="40" t="n">
        <v>1</v>
      </c>
      <c r="BD704" s="46">
        <f>BC704*IF(B704&gt;=in_marketplace_from,d_hz_choti*G704,0)</f>
        <v/>
      </c>
      <c r="BE704" s="14">
        <f>F704*SUMIFS(BD704:BD750,B704:B750,B704-in_choti_months)*in_choti_renew*in_choti_ticket</f>
        <v/>
      </c>
      <c r="BF704" s="40" t="n">
        <v>1</v>
      </c>
      <c r="BG704" s="14">
        <f>F704*BF704*IF(B704&gt;=in_marketplace_from,d_hz_nps*G704,0)*in_nps_ticket*in_nps_comm</f>
        <v/>
      </c>
      <c r="BH704" s="40" t="n">
        <v>1</v>
      </c>
      <c r="BI704" s="40">
        <f>BH704*IF(B704&gt;=in_marketplace_from,d_hz_gold*G704,0)</f>
        <v/>
      </c>
      <c r="BJ704" s="14">
        <f>F704*BI704*in_gold_ticket*in_gold_comm</f>
        <v/>
      </c>
      <c r="BK704" s="40" t="n">
        <v>1</v>
      </c>
      <c r="BL704" s="14">
        <f>F704*BK704*IF(B704&gt;=in_marketplace_from,d_hz_fd*G704,0)*in_fd_ticket*in_fd_comm</f>
        <v/>
      </c>
      <c r="BM704" s="40" t="n">
        <v>1</v>
      </c>
      <c r="BN704" s="40">
        <f>BM704*IF(B704&gt;=in_marketplace_from,d_hz_recharge*G704,0)</f>
        <v/>
      </c>
      <c r="BO704" s="14">
        <f>F704*BN704*in_recharge_ticket*in_recharge_comm/12</f>
        <v/>
      </c>
      <c r="BP704" s="40" t="n">
        <v>1</v>
      </c>
      <c r="BQ704" s="40">
        <f>BP704*IF(B704&gt;=in_marketplace_from,d_hz_bills*G704,0)</f>
        <v/>
      </c>
      <c r="BR704" s="14">
        <f>F704*BQ704*in_bills_ticket*in_bills_comm/12</f>
        <v/>
      </c>
      <c r="BS704" s="40" t="n">
        <v>1</v>
      </c>
      <c r="BT704" s="14">
        <f>F704*BS704*IF(B704&gt;=in_marketplace_from,d_hz_loan_gold*G704,0)*in_loan_gold_ticket*in_loan_gold_comm</f>
        <v/>
      </c>
      <c r="BU704" s="40" t="n">
        <v>1</v>
      </c>
      <c r="BV704" s="14">
        <f>F704*BU704*IF(B704&gt;=in_marketplace_from,d_hz_loan_cd*G704,0)*in_loan_cd_ticket*in_loan_cd_comm</f>
        <v/>
      </c>
      <c r="BW704" s="40" t="n">
        <v>1</v>
      </c>
      <c r="BX704" s="14">
        <f>F704*BW704*IF(B704&gt;=in_marketplace_from,d_hz_loan_vehicle*G704,0)*in_loan_vehicle_ticket*in_loan_vehicle_comm</f>
        <v/>
      </c>
      <c r="BY704" s="40" t="n">
        <v>1</v>
      </c>
      <c r="BZ704" s="11">
        <f>MIN(in_approval_cap,in_loan_home_approval*INDEX('Age profile'!$O$2:$O$61,B704)*(1+in_approval_growth)^(D704-1))</f>
        <v/>
      </c>
      <c r="CA704" s="14">
        <f>F704*BY704*IF(B704&gt;=in_marketplace_from,d_hz_loan_home*G704,0)*BZ704*in_loan_home_ticket*in_loan_home_comm</f>
        <v/>
      </c>
      <c r="CB704" s="40" t="n">
        <v>1</v>
      </c>
      <c r="CC704" s="11">
        <f>MIN(in_approval_cap,in_loan_lap_approval*INDEX('Age profile'!$O$2:$O$61,B704)*(1+in_approval_growth)^(D704-1))</f>
        <v/>
      </c>
      <c r="CD704" s="14">
        <f>F704*CB704*IF(B704&gt;=in_marketplace_from,d_hz_loan_lap*G704,0)*CC704*in_loan_lap_ticket*in_loan_lap_comm</f>
        <v/>
      </c>
      <c r="CE704" s="14">
        <f>AA704+AB704+AC704+AD704+AG704+AJ704+AM704+AP704+AS704+AU704+AX704+BB704+BE704+BG704+BJ704+BL704+BO704+BR704+BT704+BV704+BX704+CA704+CD704</f>
        <v/>
      </c>
    </row>
    <row r="705">
      <c r="A705" s="39" t="n">
        <v>14</v>
      </c>
      <c r="B705" s="39" t="n">
        <v>2</v>
      </c>
      <c r="C705" s="39">
        <f>A705+B705-1</f>
        <v/>
      </c>
      <c r="D705" s="39">
        <f>INT((C705-1)/12)+1</f>
        <v/>
      </c>
      <c r="E705" s="44">
        <f>INDEX(Monthly!$B$2:$B$61,A705)</f>
        <v/>
      </c>
      <c r="F705" s="44">
        <f>E705*INDEX('Age profile'!$B$2:$B$61,B705)</f>
        <v/>
      </c>
      <c r="G705" s="45">
        <f>MIN(in_takeup_cap,INDEX('Age profile'!$N$2:$N$61,B705)*(1+in_takeup_growth)^(D705-1))</f>
        <v/>
      </c>
      <c r="H705" s="11">
        <f>MIN(in_approval_cap,in_approved_first*INDEX('Age profile'!$O$2:$O$61,B705)*(1+in_approval_growth)^(D705-1))</f>
        <v/>
      </c>
      <c r="I705" s="45">
        <f>G705*MIN(in_takeup_cap,INDEX('Age profile'!$O$2:$O$61,B705)*(1+in_approval_growth)^(D705-1))</f>
        <v/>
      </c>
      <c r="J705" s="40">
        <f>(J704-L704)*F705/F704</f>
        <v/>
      </c>
      <c r="K705" s="40">
        <f>(K704-M704)*F705/F704+SUMIFS(O704:O704,B704:B704,B705-1-d_T)*F705</f>
        <v/>
      </c>
      <c r="L705" s="40">
        <f>IF(B705&gt;=in_marketplace_from,J705*d_hz*G705*in_eligible*H705,0)</f>
        <v/>
      </c>
      <c r="M705" s="40">
        <f>IF(B705&gt;=in_marketplace_from,K705*d_hz*G705*in_eligible*in_approved_repeat,0)</f>
        <v/>
      </c>
      <c r="N705" s="40">
        <f>L705+M705</f>
        <v/>
      </c>
      <c r="O705" s="46">
        <f>N705/F705</f>
        <v/>
      </c>
      <c r="P705" s="40">
        <f>F705-J705-K705</f>
        <v/>
      </c>
      <c r="Q705" s="40">
        <f>IF(B705&gt;=in_marketplace_from,(J705+K705)*d_hz*G705,0)</f>
        <v/>
      </c>
      <c r="R705" s="40">
        <f>SUMIFS(N704:N750,B704:B750,"&gt;="&amp;(B705-d_T),B704:B750,"&lt;="&amp;(B705-1))</f>
        <v/>
      </c>
      <c r="S705" s="46">
        <f>(1-d_u)*S704+IF(d_T&gt;in_topup_lag,SUMIFS(O704:O750,B704:B750,B705-in_topup_lag)-d_udrop*SUMIFS(O704:O750,B704:B750,B705-d_T),0)</f>
        <v/>
      </c>
      <c r="T705" s="40">
        <f>F705*d_u*S705</f>
        <v/>
      </c>
      <c r="U705" s="9">
        <f>L705*in_ticket+M705*d_rep_ticket</f>
        <v/>
      </c>
      <c r="V705" s="9">
        <f>U705+T705*d_topup_amt</f>
        <v/>
      </c>
      <c r="W705" s="40">
        <f>N705+T705*d_topup_ratio</f>
        <v/>
      </c>
      <c r="X705" s="40">
        <f>SUMIFS(W704:W750,B704:B750,B705-in_dpd_lag)*d_cured</f>
        <v/>
      </c>
      <c r="Y705" s="40">
        <f>SUMIFS(W704:W750,B704:B750,B705-in_rec_lag)*d_recd</f>
        <v/>
      </c>
      <c r="Z705" s="40">
        <f>IF(AND(B705&gt;=in_marketplace_from,B705&lt;in_marketplace_from+in_card_months),in_card_share/in_card_months*F705*I705,IF(AND(B705&gt;=in_marketplace_from+in_card_months,B705&lt;in_marketplace_from+2*in_card_months),in_card_share*d_card_rem/in_card_months*F705*MIN(in_takeup_cap,(1+in_takeup_growth)^(D705-1))*MIN(in_takeup_cap,(1+in_approval_growth)^(D705-1)),0))</f>
        <v/>
      </c>
      <c r="AA705" s="14">
        <f>V705*in_fee*(1-in_taken_back)</f>
        <v/>
      </c>
      <c r="AB705" s="14">
        <f>SUMIFS(W704:W750,B704:B750,B705-in_dpd_lag)*d_dpd</f>
        <v/>
      </c>
      <c r="AC705" s="14">
        <f>SUMIFS(W704:W750,B704:B750,B705-in_rec_lag)*d_rec</f>
        <v/>
      </c>
      <c r="AD705" s="14">
        <f>Z705*in_card_fee</f>
        <v/>
      </c>
      <c r="AE705" s="40">
        <f>AE704*(1-IF(B704&gt;=in_marketplace_from,d_hz_hlth_small*G704,0))</f>
        <v/>
      </c>
      <c r="AF705" s="46">
        <f>AE705*IF(B705&gt;=in_marketplace_from,d_hz_hlth_small*G705,0)</f>
        <v/>
      </c>
      <c r="AG705" s="14">
        <f>F705*AF705*in_hlth_small_ticket*in_hlth_small_comm*in_ins_partner_share+F705*in_hlth_small_ticket*in_hlth_small_renew_comm*in_ins_partner_share*(in_hlth_small_renew^1*SUMIFS(AF704:AF750,B704:B750,B705-12)+in_hlth_small_renew^2*SUMIFS(AF704:AF750,B704:B750,B705-24)+in_hlth_small_renew^3*SUMIFS(AF704:AF750,B704:B750,B705-36)+in_hlth_small_renew^4*SUMIFS(AF704:AF750,B704:B750,B705-48))</f>
        <v/>
      </c>
      <c r="AH705" s="40">
        <f>AH704*(1-IF(B704&gt;=in_marketplace_from,d_hz_hlth_family*G704,0))</f>
        <v/>
      </c>
      <c r="AI705" s="46">
        <f>AH705*IF(B705&gt;=in_marketplace_from,d_hz_hlth_family*G705,0)</f>
        <v/>
      </c>
      <c r="AJ705" s="14">
        <f>F705*AI705*in_hlth_family_ticket*in_hlth_family_comm*in_ins_partner_share+F705*in_hlth_family_ticket*in_hlth_family_renew_comm*in_ins_partner_share*(in_hlth_family_renew^1*SUMIFS(AI704:AI750,B704:B750,B705-12)+in_hlth_family_renew^2*SUMIFS(AI704:AI750,B704:B750,B705-24)+in_hlth_family_renew^3*SUMIFS(AI704:AI750,B704:B750,B705-36)+in_hlth_family_renew^4*SUMIFS(AI704:AI750,B704:B750,B705-48))</f>
        <v/>
      </c>
      <c r="AK705" s="40">
        <f>AK704*(1-IF(B704&gt;=in_marketplace_from,d_hz_life_term*G704,0))</f>
        <v/>
      </c>
      <c r="AL705" s="46">
        <f>AK705*IF(B705&gt;=in_marketplace_from,d_hz_life_term*G705,0)</f>
        <v/>
      </c>
      <c r="AM705" s="14">
        <f>F705*AL705*in_life_term_ticket*in_life_term_comm*in_ins_partner_share+F705*in_life_term_ticket*in_life_term_renew_comm*in_ins_partner_share*(in_life_term_renew^1*SUMIFS(AL704:AL750,B704:B750,B705-12)+in_life_term_renew^2*SUMIFS(AL704:AL750,B704:B750,B705-24)+in_life_term_renew^3*SUMIFS(AL704:AL750,B704:B750,B705-36)+in_life_term_renew^4*SUMIFS(AL704:AL750,B704:B750,B705-48))</f>
        <v/>
      </c>
      <c r="AN705" s="40">
        <f>AN704*(1-IF(B704&gt;=in_marketplace_from,d_hz_accident*G704,0))</f>
        <v/>
      </c>
      <c r="AO705" s="46">
        <f>AN705*IF(B705&gt;=in_marketplace_from,d_hz_accident*G705,0)</f>
        <v/>
      </c>
      <c r="AP705" s="14">
        <f>F705*AO705*in_accident_ticket*in_accident_comm*in_ins_partner_share+F705*in_accident_ticket*in_accident_renew_comm*in_ins_partner_share*(in_accident_renew^1*SUMIFS(AO704:AO750,B704:B750,B705-12)+in_accident_renew^2*SUMIFS(AO704:AO750,B704:B750,B705-24)+in_accident_renew^3*SUMIFS(AO704:AO750,B704:B750,B705-36)+in_accident_renew^4*SUMIFS(AO704:AO750,B704:B750,B705-48))</f>
        <v/>
      </c>
      <c r="AQ705" s="40">
        <f>AQ704*(1-IF(B704&gt;=in_marketplace_from,d_hz_two_wheeler*G704,0))</f>
        <v/>
      </c>
      <c r="AR705" s="46">
        <f>AQ705*IF(B705&gt;=in_marketplace_from,d_hz_two_wheeler*G705,0)</f>
        <v/>
      </c>
      <c r="AS705" s="14">
        <f>F705*AR705*in_two_wheeler_ticket*in_two_wheeler_comm*in_ins_partner_share+F705*in_two_wheeler_ticket*in_two_wheeler_comm*in_ins_partner_share*(in_two_wheeler_renew^1*SUMIFS(AR704:AR750,B704:B750,B705-12)+in_two_wheeler_renew^2*SUMIFS(AR704:AR750,B704:B750,B705-24)+in_two_wheeler_renew^3*SUMIFS(AR704:AR750,B704:B750,B705-36)+in_two_wheeler_renew^4*SUMIFS(AR704:AR750,B704:B750,B705-48))</f>
        <v/>
      </c>
      <c r="AT705" s="40">
        <f>AT704*(1-IF(B704&gt;=in_marketplace_from,d_hz_device*G704,0))</f>
        <v/>
      </c>
      <c r="AU705" s="14">
        <f>F705*AT705*IF(B705&gt;=in_marketplace_from,d_hz_device*G705,0)*in_device_ticket*in_device_comm*in_ins_partner_share</f>
        <v/>
      </c>
      <c r="AV705" s="40">
        <f>AV704*(1-IF(B704&gt;=in_marketplace_from,d_hz_shop*G704,0))</f>
        <v/>
      </c>
      <c r="AW705" s="46">
        <f>AV705*IF(B705&gt;=in_marketplace_from,d_hz_shop*G705,0)</f>
        <v/>
      </c>
      <c r="AX705" s="14">
        <f>F705*AW705*in_shop_ticket*in_shop_comm*in_ins_partner_share+F705*in_shop_ticket*in_shop_renew_comm*in_ins_partner_share*(in_shop_renew^1*SUMIFS(AW704:AW750,B704:B750,B705-12)+in_shop_renew^2*SUMIFS(AW704:AW750,B704:B750,B705-24)+in_shop_renew^3*SUMIFS(AW704:AW750,B704:B750,B705-36)+in_shop_renew^4*SUMIFS(AW704:AW750,B704:B750,B705-48))</f>
        <v/>
      </c>
      <c r="AY705" s="40">
        <f>AY704*(1-IF(B704&gt;=in_marketplace_from,d_hz_sip*G704,0))</f>
        <v/>
      </c>
      <c r="AZ705" s="40">
        <f>AZ704*d_rho_sip+AY705*IF(B705&gt;=in_marketplace_from,d_hz_sip*G705,0)</f>
        <v/>
      </c>
      <c r="BA705" s="40">
        <f>d_rho_sip*(BA704+AZ704)</f>
        <v/>
      </c>
      <c r="BB705" s="14">
        <f>F705*in_sip_ticket*(BA705+0.5*AZ705)*in_sip_comm/12</f>
        <v/>
      </c>
      <c r="BC705" s="40">
        <f>BC704*(1-IF(B704&gt;=in_marketplace_from,d_hz_choti*G704,0))</f>
        <v/>
      </c>
      <c r="BD705" s="46">
        <f>BC705*IF(B705&gt;=in_marketplace_from,d_hz_choti*G705,0)</f>
        <v/>
      </c>
      <c r="BE705" s="14">
        <f>F705*SUMIFS(BD704:BD750,B704:B750,B705-in_choti_months)*in_choti_renew*in_choti_ticket</f>
        <v/>
      </c>
      <c r="BF705" s="40">
        <f>BF704*(1-IF(B704&gt;=in_marketplace_from,d_hz_nps*G704,0))</f>
        <v/>
      </c>
      <c r="BG705" s="14">
        <f>F705*BF705*IF(B705&gt;=in_marketplace_from,d_hz_nps*G705,0)*in_nps_ticket*in_nps_comm</f>
        <v/>
      </c>
      <c r="BH705" s="40">
        <f>BH704*(1-IF(B704&gt;=in_marketplace_from,d_hz_gold*G704,0))</f>
        <v/>
      </c>
      <c r="BI705" s="40">
        <f>BI704*d_rho_gold+BH705*IF(B705&gt;=in_marketplace_from,d_hz_gold*G705,0)</f>
        <v/>
      </c>
      <c r="BJ705" s="14">
        <f>F705*BI705*in_gold_ticket*in_gold_comm</f>
        <v/>
      </c>
      <c r="BK705" s="40">
        <f>BK704*(1-IF(B704&gt;=in_marketplace_from,d_hz_fd*G704,0))</f>
        <v/>
      </c>
      <c r="BL705" s="14">
        <f>F705*BK705*IF(B705&gt;=in_marketplace_from,d_hz_fd*G705,0)*in_fd_ticket*in_fd_comm</f>
        <v/>
      </c>
      <c r="BM705" s="40">
        <f>BM704*(1-IF(B704&gt;=in_marketplace_from,d_hz_recharge*G704,0))</f>
        <v/>
      </c>
      <c r="BN705" s="40">
        <f>BN704*d_rho_recharge+BM705*IF(B705&gt;=in_marketplace_from,d_hz_recharge*G705,0)</f>
        <v/>
      </c>
      <c r="BO705" s="14">
        <f>F705*BN705*in_recharge_ticket*in_recharge_comm/12</f>
        <v/>
      </c>
      <c r="BP705" s="40">
        <f>BP704*(1-IF(B704&gt;=in_marketplace_from,d_hz_bills*G704,0))</f>
        <v/>
      </c>
      <c r="BQ705" s="40">
        <f>BQ704*d_rho_bills+BP705*IF(B705&gt;=in_marketplace_from,d_hz_bills*G705,0)</f>
        <v/>
      </c>
      <c r="BR705" s="14">
        <f>F705*BQ705*in_bills_ticket*in_bills_comm/12</f>
        <v/>
      </c>
      <c r="BS705" s="40">
        <f>BS704*(1-IF(B704&gt;=in_marketplace_from,d_hz_loan_gold*G704,0))</f>
        <v/>
      </c>
      <c r="BT705" s="14">
        <f>F705*BS705*IF(B705&gt;=in_marketplace_from,d_hz_loan_gold*G705,0)*in_loan_gold_ticket*in_loan_gold_comm</f>
        <v/>
      </c>
      <c r="BU705" s="40">
        <f>BU704*(1-IF(B704&gt;=in_marketplace_from,d_hz_loan_cd*G704,0))</f>
        <v/>
      </c>
      <c r="BV705" s="14">
        <f>F705*BU705*IF(B705&gt;=in_marketplace_from,d_hz_loan_cd*G705,0)*in_loan_cd_ticket*in_loan_cd_comm</f>
        <v/>
      </c>
      <c r="BW705" s="40">
        <f>BW704*(1-IF(B704&gt;=in_marketplace_from,d_hz_loan_vehicle*G704,0))</f>
        <v/>
      </c>
      <c r="BX705" s="14">
        <f>F705*BW705*IF(B705&gt;=in_marketplace_from,d_hz_loan_vehicle*G705,0)*in_loan_vehicle_ticket*in_loan_vehicle_comm</f>
        <v/>
      </c>
      <c r="BY705" s="40">
        <f>BY704*(1-IF(B704&gt;=in_marketplace_from,d_hz_loan_home*G704,0)*BZ704)</f>
        <v/>
      </c>
      <c r="BZ705" s="11">
        <f>MIN(in_approval_cap,in_loan_home_approval*INDEX('Age profile'!$O$2:$O$61,B705)*(1+in_approval_growth)^(D705-1))</f>
        <v/>
      </c>
      <c r="CA705" s="14">
        <f>F705*BY705*IF(B705&gt;=in_marketplace_from,d_hz_loan_home*G705,0)*BZ705*in_loan_home_ticket*in_loan_home_comm</f>
        <v/>
      </c>
      <c r="CB705" s="40">
        <f>CB704*(1-IF(B704&gt;=in_marketplace_from,d_hz_loan_lap*G704,0)*CC704)</f>
        <v/>
      </c>
      <c r="CC705" s="11">
        <f>MIN(in_approval_cap,in_loan_lap_approval*INDEX('Age profile'!$O$2:$O$61,B705)*(1+in_approval_growth)^(D705-1))</f>
        <v/>
      </c>
      <c r="CD705" s="14">
        <f>F705*CB705*IF(B705&gt;=in_marketplace_from,d_hz_loan_lap*G705,0)*CC705*in_loan_lap_ticket*in_loan_lap_comm</f>
        <v/>
      </c>
      <c r="CE705" s="14">
        <f>AA705+AB705+AC705+AD705+AG705+AJ705+AM705+AP705+AS705+AU705+AX705+BB705+BE705+BG705+BJ705+BL705+BO705+BR705+BT705+BV705+BX705+CA705+CD705</f>
        <v/>
      </c>
    </row>
    <row r="706">
      <c r="A706" s="39" t="n">
        <v>14</v>
      </c>
      <c r="B706" s="39" t="n">
        <v>3</v>
      </c>
      <c r="C706" s="39">
        <f>A706+B706-1</f>
        <v/>
      </c>
      <c r="D706" s="39">
        <f>INT((C706-1)/12)+1</f>
        <v/>
      </c>
      <c r="E706" s="44">
        <f>INDEX(Monthly!$B$2:$B$61,A706)</f>
        <v/>
      </c>
      <c r="F706" s="44">
        <f>E706*INDEX('Age profile'!$B$2:$B$61,B706)</f>
        <v/>
      </c>
      <c r="G706" s="45">
        <f>MIN(in_takeup_cap,INDEX('Age profile'!$N$2:$N$61,B706)*(1+in_takeup_growth)^(D706-1))</f>
        <v/>
      </c>
      <c r="H706" s="11">
        <f>MIN(in_approval_cap,in_approved_first*INDEX('Age profile'!$O$2:$O$61,B706)*(1+in_approval_growth)^(D706-1))</f>
        <v/>
      </c>
      <c r="I706" s="45">
        <f>G706*MIN(in_takeup_cap,INDEX('Age profile'!$O$2:$O$61,B706)*(1+in_approval_growth)^(D706-1))</f>
        <v/>
      </c>
      <c r="J706" s="40">
        <f>(J705-L705)*F706/F705</f>
        <v/>
      </c>
      <c r="K706" s="40">
        <f>(K705-M705)*F706/F705+SUMIFS(O704:O705,B704:B705,B706-1-d_T)*F706</f>
        <v/>
      </c>
      <c r="L706" s="40">
        <f>IF(B706&gt;=in_marketplace_from,J706*d_hz*G706*in_eligible*H706,0)</f>
        <v/>
      </c>
      <c r="M706" s="40">
        <f>IF(B706&gt;=in_marketplace_from,K706*d_hz*G706*in_eligible*in_approved_repeat,0)</f>
        <v/>
      </c>
      <c r="N706" s="40">
        <f>L706+M706</f>
        <v/>
      </c>
      <c r="O706" s="46">
        <f>N706/F706</f>
        <v/>
      </c>
      <c r="P706" s="40">
        <f>F706-J706-K706</f>
        <v/>
      </c>
      <c r="Q706" s="40">
        <f>IF(B706&gt;=in_marketplace_from,(J706+K706)*d_hz*G706,0)</f>
        <v/>
      </c>
      <c r="R706" s="40">
        <f>SUMIFS(N704:N750,B704:B750,"&gt;="&amp;(B706-d_T),B704:B750,"&lt;="&amp;(B706-1))</f>
        <v/>
      </c>
      <c r="S706" s="46">
        <f>(1-d_u)*S705+IF(d_T&gt;in_topup_lag,SUMIFS(O704:O750,B704:B750,B706-in_topup_lag)-d_udrop*SUMIFS(O704:O750,B704:B750,B706-d_T),0)</f>
        <v/>
      </c>
      <c r="T706" s="40">
        <f>F706*d_u*S706</f>
        <v/>
      </c>
      <c r="U706" s="9">
        <f>L706*in_ticket+M706*d_rep_ticket</f>
        <v/>
      </c>
      <c r="V706" s="9">
        <f>U706+T706*d_topup_amt</f>
        <v/>
      </c>
      <c r="W706" s="40">
        <f>N706+T706*d_topup_ratio</f>
        <v/>
      </c>
      <c r="X706" s="40">
        <f>SUMIFS(W704:W750,B704:B750,B706-in_dpd_lag)*d_cured</f>
        <v/>
      </c>
      <c r="Y706" s="40">
        <f>SUMIFS(W704:W750,B704:B750,B706-in_rec_lag)*d_recd</f>
        <v/>
      </c>
      <c r="Z706" s="40">
        <f>IF(AND(B706&gt;=in_marketplace_from,B706&lt;in_marketplace_from+in_card_months),in_card_share/in_card_months*F706*I706,IF(AND(B706&gt;=in_marketplace_from+in_card_months,B706&lt;in_marketplace_from+2*in_card_months),in_card_share*d_card_rem/in_card_months*F706*MIN(in_takeup_cap,(1+in_takeup_growth)^(D706-1))*MIN(in_takeup_cap,(1+in_approval_growth)^(D706-1)),0))</f>
        <v/>
      </c>
      <c r="AA706" s="14">
        <f>V706*in_fee*(1-in_taken_back)</f>
        <v/>
      </c>
      <c r="AB706" s="14">
        <f>SUMIFS(W704:W750,B704:B750,B706-in_dpd_lag)*d_dpd</f>
        <v/>
      </c>
      <c r="AC706" s="14">
        <f>SUMIFS(W704:W750,B704:B750,B706-in_rec_lag)*d_rec</f>
        <v/>
      </c>
      <c r="AD706" s="14">
        <f>Z706*in_card_fee</f>
        <v/>
      </c>
      <c r="AE706" s="40">
        <f>AE705*(1-IF(B705&gt;=in_marketplace_from,d_hz_hlth_small*G705,0))</f>
        <v/>
      </c>
      <c r="AF706" s="46">
        <f>AE706*IF(B706&gt;=in_marketplace_from,d_hz_hlth_small*G706,0)</f>
        <v/>
      </c>
      <c r="AG706" s="14">
        <f>F706*AF706*in_hlth_small_ticket*in_hlth_small_comm*in_ins_partner_share+F706*in_hlth_small_ticket*in_hlth_small_renew_comm*in_ins_partner_share*(in_hlth_small_renew^1*SUMIFS(AF704:AF750,B704:B750,B706-12)+in_hlth_small_renew^2*SUMIFS(AF704:AF750,B704:B750,B706-24)+in_hlth_small_renew^3*SUMIFS(AF704:AF750,B704:B750,B706-36)+in_hlth_small_renew^4*SUMIFS(AF704:AF750,B704:B750,B706-48))</f>
        <v/>
      </c>
      <c r="AH706" s="40">
        <f>AH705*(1-IF(B705&gt;=in_marketplace_from,d_hz_hlth_family*G705,0))</f>
        <v/>
      </c>
      <c r="AI706" s="46">
        <f>AH706*IF(B706&gt;=in_marketplace_from,d_hz_hlth_family*G706,0)</f>
        <v/>
      </c>
      <c r="AJ706" s="14">
        <f>F706*AI706*in_hlth_family_ticket*in_hlth_family_comm*in_ins_partner_share+F706*in_hlth_family_ticket*in_hlth_family_renew_comm*in_ins_partner_share*(in_hlth_family_renew^1*SUMIFS(AI704:AI750,B704:B750,B706-12)+in_hlth_family_renew^2*SUMIFS(AI704:AI750,B704:B750,B706-24)+in_hlth_family_renew^3*SUMIFS(AI704:AI750,B704:B750,B706-36)+in_hlth_family_renew^4*SUMIFS(AI704:AI750,B704:B750,B706-48))</f>
        <v/>
      </c>
      <c r="AK706" s="40">
        <f>AK705*(1-IF(B705&gt;=in_marketplace_from,d_hz_life_term*G705,0))</f>
        <v/>
      </c>
      <c r="AL706" s="46">
        <f>AK706*IF(B706&gt;=in_marketplace_from,d_hz_life_term*G706,0)</f>
        <v/>
      </c>
      <c r="AM706" s="14">
        <f>F706*AL706*in_life_term_ticket*in_life_term_comm*in_ins_partner_share+F706*in_life_term_ticket*in_life_term_renew_comm*in_ins_partner_share*(in_life_term_renew^1*SUMIFS(AL704:AL750,B704:B750,B706-12)+in_life_term_renew^2*SUMIFS(AL704:AL750,B704:B750,B706-24)+in_life_term_renew^3*SUMIFS(AL704:AL750,B704:B750,B706-36)+in_life_term_renew^4*SUMIFS(AL704:AL750,B704:B750,B706-48))</f>
        <v/>
      </c>
      <c r="AN706" s="40">
        <f>AN705*(1-IF(B705&gt;=in_marketplace_from,d_hz_accident*G705,0))</f>
        <v/>
      </c>
      <c r="AO706" s="46">
        <f>AN706*IF(B706&gt;=in_marketplace_from,d_hz_accident*G706,0)</f>
        <v/>
      </c>
      <c r="AP706" s="14">
        <f>F706*AO706*in_accident_ticket*in_accident_comm*in_ins_partner_share+F706*in_accident_ticket*in_accident_renew_comm*in_ins_partner_share*(in_accident_renew^1*SUMIFS(AO704:AO750,B704:B750,B706-12)+in_accident_renew^2*SUMIFS(AO704:AO750,B704:B750,B706-24)+in_accident_renew^3*SUMIFS(AO704:AO750,B704:B750,B706-36)+in_accident_renew^4*SUMIFS(AO704:AO750,B704:B750,B706-48))</f>
        <v/>
      </c>
      <c r="AQ706" s="40">
        <f>AQ705*(1-IF(B705&gt;=in_marketplace_from,d_hz_two_wheeler*G705,0))</f>
        <v/>
      </c>
      <c r="AR706" s="46">
        <f>AQ706*IF(B706&gt;=in_marketplace_from,d_hz_two_wheeler*G706,0)</f>
        <v/>
      </c>
      <c r="AS706" s="14">
        <f>F706*AR706*in_two_wheeler_ticket*in_two_wheeler_comm*in_ins_partner_share+F706*in_two_wheeler_ticket*in_two_wheeler_comm*in_ins_partner_share*(in_two_wheeler_renew^1*SUMIFS(AR704:AR750,B704:B750,B706-12)+in_two_wheeler_renew^2*SUMIFS(AR704:AR750,B704:B750,B706-24)+in_two_wheeler_renew^3*SUMIFS(AR704:AR750,B704:B750,B706-36)+in_two_wheeler_renew^4*SUMIFS(AR704:AR750,B704:B750,B706-48))</f>
        <v/>
      </c>
      <c r="AT706" s="40">
        <f>AT705*(1-IF(B705&gt;=in_marketplace_from,d_hz_device*G705,0))</f>
        <v/>
      </c>
      <c r="AU706" s="14">
        <f>F706*AT706*IF(B706&gt;=in_marketplace_from,d_hz_device*G706,0)*in_device_ticket*in_device_comm*in_ins_partner_share</f>
        <v/>
      </c>
      <c r="AV706" s="40">
        <f>AV705*(1-IF(B705&gt;=in_marketplace_from,d_hz_shop*G705,0))</f>
        <v/>
      </c>
      <c r="AW706" s="46">
        <f>AV706*IF(B706&gt;=in_marketplace_from,d_hz_shop*G706,0)</f>
        <v/>
      </c>
      <c r="AX706" s="14">
        <f>F706*AW706*in_shop_ticket*in_shop_comm*in_ins_partner_share+F706*in_shop_ticket*in_shop_renew_comm*in_ins_partner_share*(in_shop_renew^1*SUMIFS(AW704:AW750,B704:B750,B706-12)+in_shop_renew^2*SUMIFS(AW704:AW750,B704:B750,B706-24)+in_shop_renew^3*SUMIFS(AW704:AW750,B704:B750,B706-36)+in_shop_renew^4*SUMIFS(AW704:AW750,B704:B750,B706-48))</f>
        <v/>
      </c>
      <c r="AY706" s="40">
        <f>AY705*(1-IF(B705&gt;=in_marketplace_from,d_hz_sip*G705,0))</f>
        <v/>
      </c>
      <c r="AZ706" s="40">
        <f>AZ705*d_rho_sip+AY706*IF(B706&gt;=in_marketplace_from,d_hz_sip*G706,0)</f>
        <v/>
      </c>
      <c r="BA706" s="40">
        <f>d_rho_sip*(BA705+AZ705)</f>
        <v/>
      </c>
      <c r="BB706" s="14">
        <f>F706*in_sip_ticket*(BA706+0.5*AZ706)*in_sip_comm/12</f>
        <v/>
      </c>
      <c r="BC706" s="40">
        <f>BC705*(1-IF(B705&gt;=in_marketplace_from,d_hz_choti*G705,0))</f>
        <v/>
      </c>
      <c r="BD706" s="46">
        <f>BC706*IF(B706&gt;=in_marketplace_from,d_hz_choti*G706,0)</f>
        <v/>
      </c>
      <c r="BE706" s="14">
        <f>F706*SUMIFS(BD704:BD750,B704:B750,B706-in_choti_months)*in_choti_renew*in_choti_ticket</f>
        <v/>
      </c>
      <c r="BF706" s="40">
        <f>BF705*(1-IF(B705&gt;=in_marketplace_from,d_hz_nps*G705,0))</f>
        <v/>
      </c>
      <c r="BG706" s="14">
        <f>F706*BF706*IF(B706&gt;=in_marketplace_from,d_hz_nps*G706,0)*in_nps_ticket*in_nps_comm</f>
        <v/>
      </c>
      <c r="BH706" s="40">
        <f>BH705*(1-IF(B705&gt;=in_marketplace_from,d_hz_gold*G705,0))</f>
        <v/>
      </c>
      <c r="BI706" s="40">
        <f>BI705*d_rho_gold+BH706*IF(B706&gt;=in_marketplace_from,d_hz_gold*G706,0)</f>
        <v/>
      </c>
      <c r="BJ706" s="14">
        <f>F706*BI706*in_gold_ticket*in_gold_comm</f>
        <v/>
      </c>
      <c r="BK706" s="40">
        <f>BK705*(1-IF(B705&gt;=in_marketplace_from,d_hz_fd*G705,0))</f>
        <v/>
      </c>
      <c r="BL706" s="14">
        <f>F706*BK706*IF(B706&gt;=in_marketplace_from,d_hz_fd*G706,0)*in_fd_ticket*in_fd_comm</f>
        <v/>
      </c>
      <c r="BM706" s="40">
        <f>BM705*(1-IF(B705&gt;=in_marketplace_from,d_hz_recharge*G705,0))</f>
        <v/>
      </c>
      <c r="BN706" s="40">
        <f>BN705*d_rho_recharge+BM706*IF(B706&gt;=in_marketplace_from,d_hz_recharge*G706,0)</f>
        <v/>
      </c>
      <c r="BO706" s="14">
        <f>F706*BN706*in_recharge_ticket*in_recharge_comm/12</f>
        <v/>
      </c>
      <c r="BP706" s="40">
        <f>BP705*(1-IF(B705&gt;=in_marketplace_from,d_hz_bills*G705,0))</f>
        <v/>
      </c>
      <c r="BQ706" s="40">
        <f>BQ705*d_rho_bills+BP706*IF(B706&gt;=in_marketplace_from,d_hz_bills*G706,0)</f>
        <v/>
      </c>
      <c r="BR706" s="14">
        <f>F706*BQ706*in_bills_ticket*in_bills_comm/12</f>
        <v/>
      </c>
      <c r="BS706" s="40">
        <f>BS705*(1-IF(B705&gt;=in_marketplace_from,d_hz_loan_gold*G705,0))</f>
        <v/>
      </c>
      <c r="BT706" s="14">
        <f>F706*BS706*IF(B706&gt;=in_marketplace_from,d_hz_loan_gold*G706,0)*in_loan_gold_ticket*in_loan_gold_comm</f>
        <v/>
      </c>
      <c r="BU706" s="40">
        <f>BU705*(1-IF(B705&gt;=in_marketplace_from,d_hz_loan_cd*G705,0))</f>
        <v/>
      </c>
      <c r="BV706" s="14">
        <f>F706*BU706*IF(B706&gt;=in_marketplace_from,d_hz_loan_cd*G706,0)*in_loan_cd_ticket*in_loan_cd_comm</f>
        <v/>
      </c>
      <c r="BW706" s="40">
        <f>BW705*(1-IF(B705&gt;=in_marketplace_from,d_hz_loan_vehicle*G705,0))</f>
        <v/>
      </c>
      <c r="BX706" s="14">
        <f>F706*BW706*IF(B706&gt;=in_marketplace_from,d_hz_loan_vehicle*G706,0)*in_loan_vehicle_ticket*in_loan_vehicle_comm</f>
        <v/>
      </c>
      <c r="BY706" s="40">
        <f>BY705*(1-IF(B705&gt;=in_marketplace_from,d_hz_loan_home*G705,0)*BZ705)</f>
        <v/>
      </c>
      <c r="BZ706" s="11">
        <f>MIN(in_approval_cap,in_loan_home_approval*INDEX('Age profile'!$O$2:$O$61,B706)*(1+in_approval_growth)^(D706-1))</f>
        <v/>
      </c>
      <c r="CA706" s="14">
        <f>F706*BY706*IF(B706&gt;=in_marketplace_from,d_hz_loan_home*G706,0)*BZ706*in_loan_home_ticket*in_loan_home_comm</f>
        <v/>
      </c>
      <c r="CB706" s="40">
        <f>CB705*(1-IF(B705&gt;=in_marketplace_from,d_hz_loan_lap*G705,0)*CC705)</f>
        <v/>
      </c>
      <c r="CC706" s="11">
        <f>MIN(in_approval_cap,in_loan_lap_approval*INDEX('Age profile'!$O$2:$O$61,B706)*(1+in_approval_growth)^(D706-1))</f>
        <v/>
      </c>
      <c r="CD706" s="14">
        <f>F706*CB706*IF(B706&gt;=in_marketplace_from,d_hz_loan_lap*G706,0)*CC706*in_loan_lap_ticket*in_loan_lap_comm</f>
        <v/>
      </c>
      <c r="CE706" s="14">
        <f>AA706+AB706+AC706+AD706+AG706+AJ706+AM706+AP706+AS706+AU706+AX706+BB706+BE706+BG706+BJ706+BL706+BO706+BR706+BT706+BV706+BX706+CA706+CD706</f>
        <v/>
      </c>
    </row>
    <row r="707">
      <c r="A707" s="39" t="n">
        <v>14</v>
      </c>
      <c r="B707" s="39" t="n">
        <v>4</v>
      </c>
      <c r="C707" s="39">
        <f>A707+B707-1</f>
        <v/>
      </c>
      <c r="D707" s="39">
        <f>INT((C707-1)/12)+1</f>
        <v/>
      </c>
      <c r="E707" s="44">
        <f>INDEX(Monthly!$B$2:$B$61,A707)</f>
        <v/>
      </c>
      <c r="F707" s="44">
        <f>E707*INDEX('Age profile'!$B$2:$B$61,B707)</f>
        <v/>
      </c>
      <c r="G707" s="45">
        <f>MIN(in_takeup_cap,INDEX('Age profile'!$N$2:$N$61,B707)*(1+in_takeup_growth)^(D707-1))</f>
        <v/>
      </c>
      <c r="H707" s="11">
        <f>MIN(in_approval_cap,in_approved_first*INDEX('Age profile'!$O$2:$O$61,B707)*(1+in_approval_growth)^(D707-1))</f>
        <v/>
      </c>
      <c r="I707" s="45">
        <f>G707*MIN(in_takeup_cap,INDEX('Age profile'!$O$2:$O$61,B707)*(1+in_approval_growth)^(D707-1))</f>
        <v/>
      </c>
      <c r="J707" s="40">
        <f>(J706-L706)*F707/F706</f>
        <v/>
      </c>
      <c r="K707" s="40">
        <f>(K706-M706)*F707/F706+SUMIFS(O704:O706,B704:B706,B707-1-d_T)*F707</f>
        <v/>
      </c>
      <c r="L707" s="40">
        <f>IF(B707&gt;=in_marketplace_from,J707*d_hz*G707*in_eligible*H707,0)</f>
        <v/>
      </c>
      <c r="M707" s="40">
        <f>IF(B707&gt;=in_marketplace_from,K707*d_hz*G707*in_eligible*in_approved_repeat,0)</f>
        <v/>
      </c>
      <c r="N707" s="40">
        <f>L707+M707</f>
        <v/>
      </c>
      <c r="O707" s="46">
        <f>N707/F707</f>
        <v/>
      </c>
      <c r="P707" s="40">
        <f>F707-J707-K707</f>
        <v/>
      </c>
      <c r="Q707" s="40">
        <f>IF(B707&gt;=in_marketplace_from,(J707+K707)*d_hz*G707,0)</f>
        <v/>
      </c>
      <c r="R707" s="40">
        <f>SUMIFS(N704:N750,B704:B750,"&gt;="&amp;(B707-d_T),B704:B750,"&lt;="&amp;(B707-1))</f>
        <v/>
      </c>
      <c r="S707" s="46">
        <f>(1-d_u)*S706+IF(d_T&gt;in_topup_lag,SUMIFS(O704:O750,B704:B750,B707-in_topup_lag)-d_udrop*SUMIFS(O704:O750,B704:B750,B707-d_T),0)</f>
        <v/>
      </c>
      <c r="T707" s="40">
        <f>F707*d_u*S707</f>
        <v/>
      </c>
      <c r="U707" s="9">
        <f>L707*in_ticket+M707*d_rep_ticket</f>
        <v/>
      </c>
      <c r="V707" s="9">
        <f>U707+T707*d_topup_amt</f>
        <v/>
      </c>
      <c r="W707" s="40">
        <f>N707+T707*d_topup_ratio</f>
        <v/>
      </c>
      <c r="X707" s="40">
        <f>SUMIFS(W704:W750,B704:B750,B707-in_dpd_lag)*d_cured</f>
        <v/>
      </c>
      <c r="Y707" s="40">
        <f>SUMIFS(W704:W750,B704:B750,B707-in_rec_lag)*d_recd</f>
        <v/>
      </c>
      <c r="Z707" s="40">
        <f>IF(AND(B707&gt;=in_marketplace_from,B707&lt;in_marketplace_from+in_card_months),in_card_share/in_card_months*F707*I707,IF(AND(B707&gt;=in_marketplace_from+in_card_months,B707&lt;in_marketplace_from+2*in_card_months),in_card_share*d_card_rem/in_card_months*F707*MIN(in_takeup_cap,(1+in_takeup_growth)^(D707-1))*MIN(in_takeup_cap,(1+in_approval_growth)^(D707-1)),0))</f>
        <v/>
      </c>
      <c r="AA707" s="14">
        <f>V707*in_fee*(1-in_taken_back)</f>
        <v/>
      </c>
      <c r="AB707" s="14">
        <f>SUMIFS(W704:W750,B704:B750,B707-in_dpd_lag)*d_dpd</f>
        <v/>
      </c>
      <c r="AC707" s="14">
        <f>SUMIFS(W704:W750,B704:B750,B707-in_rec_lag)*d_rec</f>
        <v/>
      </c>
      <c r="AD707" s="14">
        <f>Z707*in_card_fee</f>
        <v/>
      </c>
      <c r="AE707" s="40">
        <f>AE706*(1-IF(B706&gt;=in_marketplace_from,d_hz_hlth_small*G706,0))</f>
        <v/>
      </c>
      <c r="AF707" s="46">
        <f>AE707*IF(B707&gt;=in_marketplace_from,d_hz_hlth_small*G707,0)</f>
        <v/>
      </c>
      <c r="AG707" s="14">
        <f>F707*AF707*in_hlth_small_ticket*in_hlth_small_comm*in_ins_partner_share+F707*in_hlth_small_ticket*in_hlth_small_renew_comm*in_ins_partner_share*(in_hlth_small_renew^1*SUMIFS(AF704:AF750,B704:B750,B707-12)+in_hlth_small_renew^2*SUMIFS(AF704:AF750,B704:B750,B707-24)+in_hlth_small_renew^3*SUMIFS(AF704:AF750,B704:B750,B707-36)+in_hlth_small_renew^4*SUMIFS(AF704:AF750,B704:B750,B707-48))</f>
        <v/>
      </c>
      <c r="AH707" s="40">
        <f>AH706*(1-IF(B706&gt;=in_marketplace_from,d_hz_hlth_family*G706,0))</f>
        <v/>
      </c>
      <c r="AI707" s="46">
        <f>AH707*IF(B707&gt;=in_marketplace_from,d_hz_hlth_family*G707,0)</f>
        <v/>
      </c>
      <c r="AJ707" s="14">
        <f>F707*AI707*in_hlth_family_ticket*in_hlth_family_comm*in_ins_partner_share+F707*in_hlth_family_ticket*in_hlth_family_renew_comm*in_ins_partner_share*(in_hlth_family_renew^1*SUMIFS(AI704:AI750,B704:B750,B707-12)+in_hlth_family_renew^2*SUMIFS(AI704:AI750,B704:B750,B707-24)+in_hlth_family_renew^3*SUMIFS(AI704:AI750,B704:B750,B707-36)+in_hlth_family_renew^4*SUMIFS(AI704:AI750,B704:B750,B707-48))</f>
        <v/>
      </c>
      <c r="AK707" s="40">
        <f>AK706*(1-IF(B706&gt;=in_marketplace_from,d_hz_life_term*G706,0))</f>
        <v/>
      </c>
      <c r="AL707" s="46">
        <f>AK707*IF(B707&gt;=in_marketplace_from,d_hz_life_term*G707,0)</f>
        <v/>
      </c>
      <c r="AM707" s="14">
        <f>F707*AL707*in_life_term_ticket*in_life_term_comm*in_ins_partner_share+F707*in_life_term_ticket*in_life_term_renew_comm*in_ins_partner_share*(in_life_term_renew^1*SUMIFS(AL704:AL750,B704:B750,B707-12)+in_life_term_renew^2*SUMIFS(AL704:AL750,B704:B750,B707-24)+in_life_term_renew^3*SUMIFS(AL704:AL750,B704:B750,B707-36)+in_life_term_renew^4*SUMIFS(AL704:AL750,B704:B750,B707-48))</f>
        <v/>
      </c>
      <c r="AN707" s="40">
        <f>AN706*(1-IF(B706&gt;=in_marketplace_from,d_hz_accident*G706,0))</f>
        <v/>
      </c>
      <c r="AO707" s="46">
        <f>AN707*IF(B707&gt;=in_marketplace_from,d_hz_accident*G707,0)</f>
        <v/>
      </c>
      <c r="AP707" s="14">
        <f>F707*AO707*in_accident_ticket*in_accident_comm*in_ins_partner_share+F707*in_accident_ticket*in_accident_renew_comm*in_ins_partner_share*(in_accident_renew^1*SUMIFS(AO704:AO750,B704:B750,B707-12)+in_accident_renew^2*SUMIFS(AO704:AO750,B704:B750,B707-24)+in_accident_renew^3*SUMIFS(AO704:AO750,B704:B750,B707-36)+in_accident_renew^4*SUMIFS(AO704:AO750,B704:B750,B707-48))</f>
        <v/>
      </c>
      <c r="AQ707" s="40">
        <f>AQ706*(1-IF(B706&gt;=in_marketplace_from,d_hz_two_wheeler*G706,0))</f>
        <v/>
      </c>
      <c r="AR707" s="46">
        <f>AQ707*IF(B707&gt;=in_marketplace_from,d_hz_two_wheeler*G707,0)</f>
        <v/>
      </c>
      <c r="AS707" s="14">
        <f>F707*AR707*in_two_wheeler_ticket*in_two_wheeler_comm*in_ins_partner_share+F707*in_two_wheeler_ticket*in_two_wheeler_comm*in_ins_partner_share*(in_two_wheeler_renew^1*SUMIFS(AR704:AR750,B704:B750,B707-12)+in_two_wheeler_renew^2*SUMIFS(AR704:AR750,B704:B750,B707-24)+in_two_wheeler_renew^3*SUMIFS(AR704:AR750,B704:B750,B707-36)+in_two_wheeler_renew^4*SUMIFS(AR704:AR750,B704:B750,B707-48))</f>
        <v/>
      </c>
      <c r="AT707" s="40">
        <f>AT706*(1-IF(B706&gt;=in_marketplace_from,d_hz_device*G706,0))</f>
        <v/>
      </c>
      <c r="AU707" s="14">
        <f>F707*AT707*IF(B707&gt;=in_marketplace_from,d_hz_device*G707,0)*in_device_ticket*in_device_comm*in_ins_partner_share</f>
        <v/>
      </c>
      <c r="AV707" s="40">
        <f>AV706*(1-IF(B706&gt;=in_marketplace_from,d_hz_shop*G706,0))</f>
        <v/>
      </c>
      <c r="AW707" s="46">
        <f>AV707*IF(B707&gt;=in_marketplace_from,d_hz_shop*G707,0)</f>
        <v/>
      </c>
      <c r="AX707" s="14">
        <f>F707*AW707*in_shop_ticket*in_shop_comm*in_ins_partner_share+F707*in_shop_ticket*in_shop_renew_comm*in_ins_partner_share*(in_shop_renew^1*SUMIFS(AW704:AW750,B704:B750,B707-12)+in_shop_renew^2*SUMIFS(AW704:AW750,B704:B750,B707-24)+in_shop_renew^3*SUMIFS(AW704:AW750,B704:B750,B707-36)+in_shop_renew^4*SUMIFS(AW704:AW750,B704:B750,B707-48))</f>
        <v/>
      </c>
      <c r="AY707" s="40">
        <f>AY706*(1-IF(B706&gt;=in_marketplace_from,d_hz_sip*G706,0))</f>
        <v/>
      </c>
      <c r="AZ707" s="40">
        <f>AZ706*d_rho_sip+AY707*IF(B707&gt;=in_marketplace_from,d_hz_sip*G707,0)</f>
        <v/>
      </c>
      <c r="BA707" s="40">
        <f>d_rho_sip*(BA706+AZ706)</f>
        <v/>
      </c>
      <c r="BB707" s="14">
        <f>F707*in_sip_ticket*(BA707+0.5*AZ707)*in_sip_comm/12</f>
        <v/>
      </c>
      <c r="BC707" s="40">
        <f>BC706*(1-IF(B706&gt;=in_marketplace_from,d_hz_choti*G706,0))</f>
        <v/>
      </c>
      <c r="BD707" s="46">
        <f>BC707*IF(B707&gt;=in_marketplace_from,d_hz_choti*G707,0)</f>
        <v/>
      </c>
      <c r="BE707" s="14">
        <f>F707*SUMIFS(BD704:BD750,B704:B750,B707-in_choti_months)*in_choti_renew*in_choti_ticket</f>
        <v/>
      </c>
      <c r="BF707" s="40">
        <f>BF706*(1-IF(B706&gt;=in_marketplace_from,d_hz_nps*G706,0))</f>
        <v/>
      </c>
      <c r="BG707" s="14">
        <f>F707*BF707*IF(B707&gt;=in_marketplace_from,d_hz_nps*G707,0)*in_nps_ticket*in_nps_comm</f>
        <v/>
      </c>
      <c r="BH707" s="40">
        <f>BH706*(1-IF(B706&gt;=in_marketplace_from,d_hz_gold*G706,0))</f>
        <v/>
      </c>
      <c r="BI707" s="40">
        <f>BI706*d_rho_gold+BH707*IF(B707&gt;=in_marketplace_from,d_hz_gold*G707,0)</f>
        <v/>
      </c>
      <c r="BJ707" s="14">
        <f>F707*BI707*in_gold_ticket*in_gold_comm</f>
        <v/>
      </c>
      <c r="BK707" s="40">
        <f>BK706*(1-IF(B706&gt;=in_marketplace_from,d_hz_fd*G706,0))</f>
        <v/>
      </c>
      <c r="BL707" s="14">
        <f>F707*BK707*IF(B707&gt;=in_marketplace_from,d_hz_fd*G707,0)*in_fd_ticket*in_fd_comm</f>
        <v/>
      </c>
      <c r="BM707" s="40">
        <f>BM706*(1-IF(B706&gt;=in_marketplace_from,d_hz_recharge*G706,0))</f>
        <v/>
      </c>
      <c r="BN707" s="40">
        <f>BN706*d_rho_recharge+BM707*IF(B707&gt;=in_marketplace_from,d_hz_recharge*G707,0)</f>
        <v/>
      </c>
      <c r="BO707" s="14">
        <f>F707*BN707*in_recharge_ticket*in_recharge_comm/12</f>
        <v/>
      </c>
      <c r="BP707" s="40">
        <f>BP706*(1-IF(B706&gt;=in_marketplace_from,d_hz_bills*G706,0))</f>
        <v/>
      </c>
      <c r="BQ707" s="40">
        <f>BQ706*d_rho_bills+BP707*IF(B707&gt;=in_marketplace_from,d_hz_bills*G707,0)</f>
        <v/>
      </c>
      <c r="BR707" s="14">
        <f>F707*BQ707*in_bills_ticket*in_bills_comm/12</f>
        <v/>
      </c>
      <c r="BS707" s="40">
        <f>BS706*(1-IF(B706&gt;=in_marketplace_from,d_hz_loan_gold*G706,0))</f>
        <v/>
      </c>
      <c r="BT707" s="14">
        <f>F707*BS707*IF(B707&gt;=in_marketplace_from,d_hz_loan_gold*G707,0)*in_loan_gold_ticket*in_loan_gold_comm</f>
        <v/>
      </c>
      <c r="BU707" s="40">
        <f>BU706*(1-IF(B706&gt;=in_marketplace_from,d_hz_loan_cd*G706,0))</f>
        <v/>
      </c>
      <c r="BV707" s="14">
        <f>F707*BU707*IF(B707&gt;=in_marketplace_from,d_hz_loan_cd*G707,0)*in_loan_cd_ticket*in_loan_cd_comm</f>
        <v/>
      </c>
      <c r="BW707" s="40">
        <f>BW706*(1-IF(B706&gt;=in_marketplace_from,d_hz_loan_vehicle*G706,0))</f>
        <v/>
      </c>
      <c r="BX707" s="14">
        <f>F707*BW707*IF(B707&gt;=in_marketplace_from,d_hz_loan_vehicle*G707,0)*in_loan_vehicle_ticket*in_loan_vehicle_comm</f>
        <v/>
      </c>
      <c r="BY707" s="40">
        <f>BY706*(1-IF(B706&gt;=in_marketplace_from,d_hz_loan_home*G706,0)*BZ706)</f>
        <v/>
      </c>
      <c r="BZ707" s="11">
        <f>MIN(in_approval_cap,in_loan_home_approval*INDEX('Age profile'!$O$2:$O$61,B707)*(1+in_approval_growth)^(D707-1))</f>
        <v/>
      </c>
      <c r="CA707" s="14">
        <f>F707*BY707*IF(B707&gt;=in_marketplace_from,d_hz_loan_home*G707,0)*BZ707*in_loan_home_ticket*in_loan_home_comm</f>
        <v/>
      </c>
      <c r="CB707" s="40">
        <f>CB706*(1-IF(B706&gt;=in_marketplace_from,d_hz_loan_lap*G706,0)*CC706)</f>
        <v/>
      </c>
      <c r="CC707" s="11">
        <f>MIN(in_approval_cap,in_loan_lap_approval*INDEX('Age profile'!$O$2:$O$61,B707)*(1+in_approval_growth)^(D707-1))</f>
        <v/>
      </c>
      <c r="CD707" s="14">
        <f>F707*CB707*IF(B707&gt;=in_marketplace_from,d_hz_loan_lap*G707,0)*CC707*in_loan_lap_ticket*in_loan_lap_comm</f>
        <v/>
      </c>
      <c r="CE707" s="14">
        <f>AA707+AB707+AC707+AD707+AG707+AJ707+AM707+AP707+AS707+AU707+AX707+BB707+BE707+BG707+BJ707+BL707+BO707+BR707+BT707+BV707+BX707+CA707+CD707</f>
        <v/>
      </c>
    </row>
    <row r="708">
      <c r="A708" s="39" t="n">
        <v>14</v>
      </c>
      <c r="B708" s="39" t="n">
        <v>5</v>
      </c>
      <c r="C708" s="39">
        <f>A708+B708-1</f>
        <v/>
      </c>
      <c r="D708" s="39">
        <f>INT((C708-1)/12)+1</f>
        <v/>
      </c>
      <c r="E708" s="44">
        <f>INDEX(Monthly!$B$2:$B$61,A708)</f>
        <v/>
      </c>
      <c r="F708" s="44">
        <f>E708*INDEX('Age profile'!$B$2:$B$61,B708)</f>
        <v/>
      </c>
      <c r="G708" s="45">
        <f>MIN(in_takeup_cap,INDEX('Age profile'!$N$2:$N$61,B708)*(1+in_takeup_growth)^(D708-1))</f>
        <v/>
      </c>
      <c r="H708" s="11">
        <f>MIN(in_approval_cap,in_approved_first*INDEX('Age profile'!$O$2:$O$61,B708)*(1+in_approval_growth)^(D708-1))</f>
        <v/>
      </c>
      <c r="I708" s="45">
        <f>G708*MIN(in_takeup_cap,INDEX('Age profile'!$O$2:$O$61,B708)*(1+in_approval_growth)^(D708-1))</f>
        <v/>
      </c>
      <c r="J708" s="40">
        <f>(J707-L707)*F708/F707</f>
        <v/>
      </c>
      <c r="K708" s="40">
        <f>(K707-M707)*F708/F707+SUMIFS(O704:O707,B704:B707,B708-1-d_T)*F708</f>
        <v/>
      </c>
      <c r="L708" s="40">
        <f>IF(B708&gt;=in_marketplace_from,J708*d_hz*G708*in_eligible*H708,0)</f>
        <v/>
      </c>
      <c r="M708" s="40">
        <f>IF(B708&gt;=in_marketplace_from,K708*d_hz*G708*in_eligible*in_approved_repeat,0)</f>
        <v/>
      </c>
      <c r="N708" s="40">
        <f>L708+M708</f>
        <v/>
      </c>
      <c r="O708" s="46">
        <f>N708/F708</f>
        <v/>
      </c>
      <c r="P708" s="40">
        <f>F708-J708-K708</f>
        <v/>
      </c>
      <c r="Q708" s="40">
        <f>IF(B708&gt;=in_marketplace_from,(J708+K708)*d_hz*G708,0)</f>
        <v/>
      </c>
      <c r="R708" s="40">
        <f>SUMIFS(N704:N750,B704:B750,"&gt;="&amp;(B708-d_T),B704:B750,"&lt;="&amp;(B708-1))</f>
        <v/>
      </c>
      <c r="S708" s="46">
        <f>(1-d_u)*S707+IF(d_T&gt;in_topup_lag,SUMIFS(O704:O750,B704:B750,B708-in_topup_lag)-d_udrop*SUMIFS(O704:O750,B704:B750,B708-d_T),0)</f>
        <v/>
      </c>
      <c r="T708" s="40">
        <f>F708*d_u*S708</f>
        <v/>
      </c>
      <c r="U708" s="9">
        <f>L708*in_ticket+M708*d_rep_ticket</f>
        <v/>
      </c>
      <c r="V708" s="9">
        <f>U708+T708*d_topup_amt</f>
        <v/>
      </c>
      <c r="W708" s="40">
        <f>N708+T708*d_topup_ratio</f>
        <v/>
      </c>
      <c r="X708" s="40">
        <f>SUMIFS(W704:W750,B704:B750,B708-in_dpd_lag)*d_cured</f>
        <v/>
      </c>
      <c r="Y708" s="40">
        <f>SUMIFS(W704:W750,B704:B750,B708-in_rec_lag)*d_recd</f>
        <v/>
      </c>
      <c r="Z708" s="40">
        <f>IF(AND(B708&gt;=in_marketplace_from,B708&lt;in_marketplace_from+in_card_months),in_card_share/in_card_months*F708*I708,IF(AND(B708&gt;=in_marketplace_from+in_card_months,B708&lt;in_marketplace_from+2*in_card_months),in_card_share*d_card_rem/in_card_months*F708*MIN(in_takeup_cap,(1+in_takeup_growth)^(D708-1))*MIN(in_takeup_cap,(1+in_approval_growth)^(D708-1)),0))</f>
        <v/>
      </c>
      <c r="AA708" s="14">
        <f>V708*in_fee*(1-in_taken_back)</f>
        <v/>
      </c>
      <c r="AB708" s="14">
        <f>SUMIFS(W704:W750,B704:B750,B708-in_dpd_lag)*d_dpd</f>
        <v/>
      </c>
      <c r="AC708" s="14">
        <f>SUMIFS(W704:W750,B704:B750,B708-in_rec_lag)*d_rec</f>
        <v/>
      </c>
      <c r="AD708" s="14">
        <f>Z708*in_card_fee</f>
        <v/>
      </c>
      <c r="AE708" s="40">
        <f>AE707*(1-IF(B707&gt;=in_marketplace_from,d_hz_hlth_small*G707,0))</f>
        <v/>
      </c>
      <c r="AF708" s="46">
        <f>AE708*IF(B708&gt;=in_marketplace_from,d_hz_hlth_small*G708,0)</f>
        <v/>
      </c>
      <c r="AG708" s="14">
        <f>F708*AF708*in_hlth_small_ticket*in_hlth_small_comm*in_ins_partner_share+F708*in_hlth_small_ticket*in_hlth_small_renew_comm*in_ins_partner_share*(in_hlth_small_renew^1*SUMIFS(AF704:AF750,B704:B750,B708-12)+in_hlth_small_renew^2*SUMIFS(AF704:AF750,B704:B750,B708-24)+in_hlth_small_renew^3*SUMIFS(AF704:AF750,B704:B750,B708-36)+in_hlth_small_renew^4*SUMIFS(AF704:AF750,B704:B750,B708-48))</f>
        <v/>
      </c>
      <c r="AH708" s="40">
        <f>AH707*(1-IF(B707&gt;=in_marketplace_from,d_hz_hlth_family*G707,0))</f>
        <v/>
      </c>
      <c r="AI708" s="46">
        <f>AH708*IF(B708&gt;=in_marketplace_from,d_hz_hlth_family*G708,0)</f>
        <v/>
      </c>
      <c r="AJ708" s="14">
        <f>F708*AI708*in_hlth_family_ticket*in_hlth_family_comm*in_ins_partner_share+F708*in_hlth_family_ticket*in_hlth_family_renew_comm*in_ins_partner_share*(in_hlth_family_renew^1*SUMIFS(AI704:AI750,B704:B750,B708-12)+in_hlth_family_renew^2*SUMIFS(AI704:AI750,B704:B750,B708-24)+in_hlth_family_renew^3*SUMIFS(AI704:AI750,B704:B750,B708-36)+in_hlth_family_renew^4*SUMIFS(AI704:AI750,B704:B750,B708-48))</f>
        <v/>
      </c>
      <c r="AK708" s="40">
        <f>AK707*(1-IF(B707&gt;=in_marketplace_from,d_hz_life_term*G707,0))</f>
        <v/>
      </c>
      <c r="AL708" s="46">
        <f>AK708*IF(B708&gt;=in_marketplace_from,d_hz_life_term*G708,0)</f>
        <v/>
      </c>
      <c r="AM708" s="14">
        <f>F708*AL708*in_life_term_ticket*in_life_term_comm*in_ins_partner_share+F708*in_life_term_ticket*in_life_term_renew_comm*in_ins_partner_share*(in_life_term_renew^1*SUMIFS(AL704:AL750,B704:B750,B708-12)+in_life_term_renew^2*SUMIFS(AL704:AL750,B704:B750,B708-24)+in_life_term_renew^3*SUMIFS(AL704:AL750,B704:B750,B708-36)+in_life_term_renew^4*SUMIFS(AL704:AL750,B704:B750,B708-48))</f>
        <v/>
      </c>
      <c r="AN708" s="40">
        <f>AN707*(1-IF(B707&gt;=in_marketplace_from,d_hz_accident*G707,0))</f>
        <v/>
      </c>
      <c r="AO708" s="46">
        <f>AN708*IF(B708&gt;=in_marketplace_from,d_hz_accident*G708,0)</f>
        <v/>
      </c>
      <c r="AP708" s="14">
        <f>F708*AO708*in_accident_ticket*in_accident_comm*in_ins_partner_share+F708*in_accident_ticket*in_accident_renew_comm*in_ins_partner_share*(in_accident_renew^1*SUMIFS(AO704:AO750,B704:B750,B708-12)+in_accident_renew^2*SUMIFS(AO704:AO750,B704:B750,B708-24)+in_accident_renew^3*SUMIFS(AO704:AO750,B704:B750,B708-36)+in_accident_renew^4*SUMIFS(AO704:AO750,B704:B750,B708-48))</f>
        <v/>
      </c>
      <c r="AQ708" s="40">
        <f>AQ707*(1-IF(B707&gt;=in_marketplace_from,d_hz_two_wheeler*G707,0))</f>
        <v/>
      </c>
      <c r="AR708" s="46">
        <f>AQ708*IF(B708&gt;=in_marketplace_from,d_hz_two_wheeler*G708,0)</f>
        <v/>
      </c>
      <c r="AS708" s="14">
        <f>F708*AR708*in_two_wheeler_ticket*in_two_wheeler_comm*in_ins_partner_share+F708*in_two_wheeler_ticket*in_two_wheeler_comm*in_ins_partner_share*(in_two_wheeler_renew^1*SUMIFS(AR704:AR750,B704:B750,B708-12)+in_two_wheeler_renew^2*SUMIFS(AR704:AR750,B704:B750,B708-24)+in_two_wheeler_renew^3*SUMIFS(AR704:AR750,B704:B750,B708-36)+in_two_wheeler_renew^4*SUMIFS(AR704:AR750,B704:B750,B708-48))</f>
        <v/>
      </c>
      <c r="AT708" s="40">
        <f>AT707*(1-IF(B707&gt;=in_marketplace_from,d_hz_device*G707,0))</f>
        <v/>
      </c>
      <c r="AU708" s="14">
        <f>F708*AT708*IF(B708&gt;=in_marketplace_from,d_hz_device*G708,0)*in_device_ticket*in_device_comm*in_ins_partner_share</f>
        <v/>
      </c>
      <c r="AV708" s="40">
        <f>AV707*(1-IF(B707&gt;=in_marketplace_from,d_hz_shop*G707,0))</f>
        <v/>
      </c>
      <c r="AW708" s="46">
        <f>AV708*IF(B708&gt;=in_marketplace_from,d_hz_shop*G708,0)</f>
        <v/>
      </c>
      <c r="AX708" s="14">
        <f>F708*AW708*in_shop_ticket*in_shop_comm*in_ins_partner_share+F708*in_shop_ticket*in_shop_renew_comm*in_ins_partner_share*(in_shop_renew^1*SUMIFS(AW704:AW750,B704:B750,B708-12)+in_shop_renew^2*SUMIFS(AW704:AW750,B704:B750,B708-24)+in_shop_renew^3*SUMIFS(AW704:AW750,B704:B750,B708-36)+in_shop_renew^4*SUMIFS(AW704:AW750,B704:B750,B708-48))</f>
        <v/>
      </c>
      <c r="AY708" s="40">
        <f>AY707*(1-IF(B707&gt;=in_marketplace_from,d_hz_sip*G707,0))</f>
        <v/>
      </c>
      <c r="AZ708" s="40">
        <f>AZ707*d_rho_sip+AY708*IF(B708&gt;=in_marketplace_from,d_hz_sip*G708,0)</f>
        <v/>
      </c>
      <c r="BA708" s="40">
        <f>d_rho_sip*(BA707+AZ707)</f>
        <v/>
      </c>
      <c r="BB708" s="14">
        <f>F708*in_sip_ticket*(BA708+0.5*AZ708)*in_sip_comm/12</f>
        <v/>
      </c>
      <c r="BC708" s="40">
        <f>BC707*(1-IF(B707&gt;=in_marketplace_from,d_hz_choti*G707,0))</f>
        <v/>
      </c>
      <c r="BD708" s="46">
        <f>BC708*IF(B708&gt;=in_marketplace_from,d_hz_choti*G708,0)</f>
        <v/>
      </c>
      <c r="BE708" s="14">
        <f>F708*SUMIFS(BD704:BD750,B704:B750,B708-in_choti_months)*in_choti_renew*in_choti_ticket</f>
        <v/>
      </c>
      <c r="BF708" s="40">
        <f>BF707*(1-IF(B707&gt;=in_marketplace_from,d_hz_nps*G707,0))</f>
        <v/>
      </c>
      <c r="BG708" s="14">
        <f>F708*BF708*IF(B708&gt;=in_marketplace_from,d_hz_nps*G708,0)*in_nps_ticket*in_nps_comm</f>
        <v/>
      </c>
      <c r="BH708" s="40">
        <f>BH707*(1-IF(B707&gt;=in_marketplace_from,d_hz_gold*G707,0))</f>
        <v/>
      </c>
      <c r="BI708" s="40">
        <f>BI707*d_rho_gold+BH708*IF(B708&gt;=in_marketplace_from,d_hz_gold*G708,0)</f>
        <v/>
      </c>
      <c r="BJ708" s="14">
        <f>F708*BI708*in_gold_ticket*in_gold_comm</f>
        <v/>
      </c>
      <c r="BK708" s="40">
        <f>BK707*(1-IF(B707&gt;=in_marketplace_from,d_hz_fd*G707,0))</f>
        <v/>
      </c>
      <c r="BL708" s="14">
        <f>F708*BK708*IF(B708&gt;=in_marketplace_from,d_hz_fd*G708,0)*in_fd_ticket*in_fd_comm</f>
        <v/>
      </c>
      <c r="BM708" s="40">
        <f>BM707*(1-IF(B707&gt;=in_marketplace_from,d_hz_recharge*G707,0))</f>
        <v/>
      </c>
      <c r="BN708" s="40">
        <f>BN707*d_rho_recharge+BM708*IF(B708&gt;=in_marketplace_from,d_hz_recharge*G708,0)</f>
        <v/>
      </c>
      <c r="BO708" s="14">
        <f>F708*BN708*in_recharge_ticket*in_recharge_comm/12</f>
        <v/>
      </c>
      <c r="BP708" s="40">
        <f>BP707*(1-IF(B707&gt;=in_marketplace_from,d_hz_bills*G707,0))</f>
        <v/>
      </c>
      <c r="BQ708" s="40">
        <f>BQ707*d_rho_bills+BP708*IF(B708&gt;=in_marketplace_from,d_hz_bills*G708,0)</f>
        <v/>
      </c>
      <c r="BR708" s="14">
        <f>F708*BQ708*in_bills_ticket*in_bills_comm/12</f>
        <v/>
      </c>
      <c r="BS708" s="40">
        <f>BS707*(1-IF(B707&gt;=in_marketplace_from,d_hz_loan_gold*G707,0))</f>
        <v/>
      </c>
      <c r="BT708" s="14">
        <f>F708*BS708*IF(B708&gt;=in_marketplace_from,d_hz_loan_gold*G708,0)*in_loan_gold_ticket*in_loan_gold_comm</f>
        <v/>
      </c>
      <c r="BU708" s="40">
        <f>BU707*(1-IF(B707&gt;=in_marketplace_from,d_hz_loan_cd*G707,0))</f>
        <v/>
      </c>
      <c r="BV708" s="14">
        <f>F708*BU708*IF(B708&gt;=in_marketplace_from,d_hz_loan_cd*G708,0)*in_loan_cd_ticket*in_loan_cd_comm</f>
        <v/>
      </c>
      <c r="BW708" s="40">
        <f>BW707*(1-IF(B707&gt;=in_marketplace_from,d_hz_loan_vehicle*G707,0))</f>
        <v/>
      </c>
      <c r="BX708" s="14">
        <f>F708*BW708*IF(B708&gt;=in_marketplace_from,d_hz_loan_vehicle*G708,0)*in_loan_vehicle_ticket*in_loan_vehicle_comm</f>
        <v/>
      </c>
      <c r="BY708" s="40">
        <f>BY707*(1-IF(B707&gt;=in_marketplace_from,d_hz_loan_home*G707,0)*BZ707)</f>
        <v/>
      </c>
      <c r="BZ708" s="11">
        <f>MIN(in_approval_cap,in_loan_home_approval*INDEX('Age profile'!$O$2:$O$61,B708)*(1+in_approval_growth)^(D708-1))</f>
        <v/>
      </c>
      <c r="CA708" s="14">
        <f>F708*BY708*IF(B708&gt;=in_marketplace_from,d_hz_loan_home*G708,0)*BZ708*in_loan_home_ticket*in_loan_home_comm</f>
        <v/>
      </c>
      <c r="CB708" s="40">
        <f>CB707*(1-IF(B707&gt;=in_marketplace_from,d_hz_loan_lap*G707,0)*CC707)</f>
        <v/>
      </c>
      <c r="CC708" s="11">
        <f>MIN(in_approval_cap,in_loan_lap_approval*INDEX('Age profile'!$O$2:$O$61,B708)*(1+in_approval_growth)^(D708-1))</f>
        <v/>
      </c>
      <c r="CD708" s="14">
        <f>F708*CB708*IF(B708&gt;=in_marketplace_from,d_hz_loan_lap*G708,0)*CC708*in_loan_lap_ticket*in_loan_lap_comm</f>
        <v/>
      </c>
      <c r="CE708" s="14">
        <f>AA708+AB708+AC708+AD708+AG708+AJ708+AM708+AP708+AS708+AU708+AX708+BB708+BE708+BG708+BJ708+BL708+BO708+BR708+BT708+BV708+BX708+CA708+CD708</f>
        <v/>
      </c>
    </row>
    <row r="709">
      <c r="A709" s="39" t="n">
        <v>14</v>
      </c>
      <c r="B709" s="39" t="n">
        <v>6</v>
      </c>
      <c r="C709" s="39">
        <f>A709+B709-1</f>
        <v/>
      </c>
      <c r="D709" s="39">
        <f>INT((C709-1)/12)+1</f>
        <v/>
      </c>
      <c r="E709" s="44">
        <f>INDEX(Monthly!$B$2:$B$61,A709)</f>
        <v/>
      </c>
      <c r="F709" s="44">
        <f>E709*INDEX('Age profile'!$B$2:$B$61,B709)</f>
        <v/>
      </c>
      <c r="G709" s="45">
        <f>MIN(in_takeup_cap,INDEX('Age profile'!$N$2:$N$61,B709)*(1+in_takeup_growth)^(D709-1))</f>
        <v/>
      </c>
      <c r="H709" s="11">
        <f>MIN(in_approval_cap,in_approved_first*INDEX('Age profile'!$O$2:$O$61,B709)*(1+in_approval_growth)^(D709-1))</f>
        <v/>
      </c>
      <c r="I709" s="45">
        <f>G709*MIN(in_takeup_cap,INDEX('Age profile'!$O$2:$O$61,B709)*(1+in_approval_growth)^(D709-1))</f>
        <v/>
      </c>
      <c r="J709" s="40">
        <f>(J708-L708)*F709/F708</f>
        <v/>
      </c>
      <c r="K709" s="40">
        <f>(K708-M708)*F709/F708+SUMIFS(O704:O708,B704:B708,B709-1-d_T)*F709</f>
        <v/>
      </c>
      <c r="L709" s="40">
        <f>IF(B709&gt;=in_marketplace_from,J709*d_hz*G709*in_eligible*H709,0)</f>
        <v/>
      </c>
      <c r="M709" s="40">
        <f>IF(B709&gt;=in_marketplace_from,K709*d_hz*G709*in_eligible*in_approved_repeat,0)</f>
        <v/>
      </c>
      <c r="N709" s="40">
        <f>L709+M709</f>
        <v/>
      </c>
      <c r="O709" s="46">
        <f>N709/F709</f>
        <v/>
      </c>
      <c r="P709" s="40">
        <f>F709-J709-K709</f>
        <v/>
      </c>
      <c r="Q709" s="40">
        <f>IF(B709&gt;=in_marketplace_from,(J709+K709)*d_hz*G709,0)</f>
        <v/>
      </c>
      <c r="R709" s="40">
        <f>SUMIFS(N704:N750,B704:B750,"&gt;="&amp;(B709-d_T),B704:B750,"&lt;="&amp;(B709-1))</f>
        <v/>
      </c>
      <c r="S709" s="46">
        <f>(1-d_u)*S708+IF(d_T&gt;in_topup_lag,SUMIFS(O704:O750,B704:B750,B709-in_topup_lag)-d_udrop*SUMIFS(O704:O750,B704:B750,B709-d_T),0)</f>
        <v/>
      </c>
      <c r="T709" s="40">
        <f>F709*d_u*S709</f>
        <v/>
      </c>
      <c r="U709" s="9">
        <f>L709*in_ticket+M709*d_rep_ticket</f>
        <v/>
      </c>
      <c r="V709" s="9">
        <f>U709+T709*d_topup_amt</f>
        <v/>
      </c>
      <c r="W709" s="40">
        <f>N709+T709*d_topup_ratio</f>
        <v/>
      </c>
      <c r="X709" s="40">
        <f>SUMIFS(W704:W750,B704:B750,B709-in_dpd_lag)*d_cured</f>
        <v/>
      </c>
      <c r="Y709" s="40">
        <f>SUMIFS(W704:W750,B704:B750,B709-in_rec_lag)*d_recd</f>
        <v/>
      </c>
      <c r="Z709" s="40">
        <f>IF(AND(B709&gt;=in_marketplace_from,B709&lt;in_marketplace_from+in_card_months),in_card_share/in_card_months*F709*I709,IF(AND(B709&gt;=in_marketplace_from+in_card_months,B709&lt;in_marketplace_from+2*in_card_months),in_card_share*d_card_rem/in_card_months*F709*MIN(in_takeup_cap,(1+in_takeup_growth)^(D709-1))*MIN(in_takeup_cap,(1+in_approval_growth)^(D709-1)),0))</f>
        <v/>
      </c>
      <c r="AA709" s="14">
        <f>V709*in_fee*(1-in_taken_back)</f>
        <v/>
      </c>
      <c r="AB709" s="14">
        <f>SUMIFS(W704:W750,B704:B750,B709-in_dpd_lag)*d_dpd</f>
        <v/>
      </c>
      <c r="AC709" s="14">
        <f>SUMIFS(W704:W750,B704:B750,B709-in_rec_lag)*d_rec</f>
        <v/>
      </c>
      <c r="AD709" s="14">
        <f>Z709*in_card_fee</f>
        <v/>
      </c>
      <c r="AE709" s="40">
        <f>AE708*(1-IF(B708&gt;=in_marketplace_from,d_hz_hlth_small*G708,0))</f>
        <v/>
      </c>
      <c r="AF709" s="46">
        <f>AE709*IF(B709&gt;=in_marketplace_from,d_hz_hlth_small*G709,0)</f>
        <v/>
      </c>
      <c r="AG709" s="14">
        <f>F709*AF709*in_hlth_small_ticket*in_hlth_small_comm*in_ins_partner_share+F709*in_hlth_small_ticket*in_hlth_small_renew_comm*in_ins_partner_share*(in_hlth_small_renew^1*SUMIFS(AF704:AF750,B704:B750,B709-12)+in_hlth_small_renew^2*SUMIFS(AF704:AF750,B704:B750,B709-24)+in_hlth_small_renew^3*SUMIFS(AF704:AF750,B704:B750,B709-36)+in_hlth_small_renew^4*SUMIFS(AF704:AF750,B704:B750,B709-48))</f>
        <v/>
      </c>
      <c r="AH709" s="40">
        <f>AH708*(1-IF(B708&gt;=in_marketplace_from,d_hz_hlth_family*G708,0))</f>
        <v/>
      </c>
      <c r="AI709" s="46">
        <f>AH709*IF(B709&gt;=in_marketplace_from,d_hz_hlth_family*G709,0)</f>
        <v/>
      </c>
      <c r="AJ709" s="14">
        <f>F709*AI709*in_hlth_family_ticket*in_hlth_family_comm*in_ins_partner_share+F709*in_hlth_family_ticket*in_hlth_family_renew_comm*in_ins_partner_share*(in_hlth_family_renew^1*SUMIFS(AI704:AI750,B704:B750,B709-12)+in_hlth_family_renew^2*SUMIFS(AI704:AI750,B704:B750,B709-24)+in_hlth_family_renew^3*SUMIFS(AI704:AI750,B704:B750,B709-36)+in_hlth_family_renew^4*SUMIFS(AI704:AI750,B704:B750,B709-48))</f>
        <v/>
      </c>
      <c r="AK709" s="40">
        <f>AK708*(1-IF(B708&gt;=in_marketplace_from,d_hz_life_term*G708,0))</f>
        <v/>
      </c>
      <c r="AL709" s="46">
        <f>AK709*IF(B709&gt;=in_marketplace_from,d_hz_life_term*G709,0)</f>
        <v/>
      </c>
      <c r="AM709" s="14">
        <f>F709*AL709*in_life_term_ticket*in_life_term_comm*in_ins_partner_share+F709*in_life_term_ticket*in_life_term_renew_comm*in_ins_partner_share*(in_life_term_renew^1*SUMIFS(AL704:AL750,B704:B750,B709-12)+in_life_term_renew^2*SUMIFS(AL704:AL750,B704:B750,B709-24)+in_life_term_renew^3*SUMIFS(AL704:AL750,B704:B750,B709-36)+in_life_term_renew^4*SUMIFS(AL704:AL750,B704:B750,B709-48))</f>
        <v/>
      </c>
      <c r="AN709" s="40">
        <f>AN708*(1-IF(B708&gt;=in_marketplace_from,d_hz_accident*G708,0))</f>
        <v/>
      </c>
      <c r="AO709" s="46">
        <f>AN709*IF(B709&gt;=in_marketplace_from,d_hz_accident*G709,0)</f>
        <v/>
      </c>
      <c r="AP709" s="14">
        <f>F709*AO709*in_accident_ticket*in_accident_comm*in_ins_partner_share+F709*in_accident_ticket*in_accident_renew_comm*in_ins_partner_share*(in_accident_renew^1*SUMIFS(AO704:AO750,B704:B750,B709-12)+in_accident_renew^2*SUMIFS(AO704:AO750,B704:B750,B709-24)+in_accident_renew^3*SUMIFS(AO704:AO750,B704:B750,B709-36)+in_accident_renew^4*SUMIFS(AO704:AO750,B704:B750,B709-48))</f>
        <v/>
      </c>
      <c r="AQ709" s="40">
        <f>AQ708*(1-IF(B708&gt;=in_marketplace_from,d_hz_two_wheeler*G708,0))</f>
        <v/>
      </c>
      <c r="AR709" s="46">
        <f>AQ709*IF(B709&gt;=in_marketplace_from,d_hz_two_wheeler*G709,0)</f>
        <v/>
      </c>
      <c r="AS709" s="14">
        <f>F709*AR709*in_two_wheeler_ticket*in_two_wheeler_comm*in_ins_partner_share+F709*in_two_wheeler_ticket*in_two_wheeler_comm*in_ins_partner_share*(in_two_wheeler_renew^1*SUMIFS(AR704:AR750,B704:B750,B709-12)+in_two_wheeler_renew^2*SUMIFS(AR704:AR750,B704:B750,B709-24)+in_two_wheeler_renew^3*SUMIFS(AR704:AR750,B704:B750,B709-36)+in_two_wheeler_renew^4*SUMIFS(AR704:AR750,B704:B750,B709-48))</f>
        <v/>
      </c>
      <c r="AT709" s="40">
        <f>AT708*(1-IF(B708&gt;=in_marketplace_from,d_hz_device*G708,0))</f>
        <v/>
      </c>
      <c r="AU709" s="14">
        <f>F709*AT709*IF(B709&gt;=in_marketplace_from,d_hz_device*G709,0)*in_device_ticket*in_device_comm*in_ins_partner_share</f>
        <v/>
      </c>
      <c r="AV709" s="40">
        <f>AV708*(1-IF(B708&gt;=in_marketplace_from,d_hz_shop*G708,0))</f>
        <v/>
      </c>
      <c r="AW709" s="46">
        <f>AV709*IF(B709&gt;=in_marketplace_from,d_hz_shop*G709,0)</f>
        <v/>
      </c>
      <c r="AX709" s="14">
        <f>F709*AW709*in_shop_ticket*in_shop_comm*in_ins_partner_share+F709*in_shop_ticket*in_shop_renew_comm*in_ins_partner_share*(in_shop_renew^1*SUMIFS(AW704:AW750,B704:B750,B709-12)+in_shop_renew^2*SUMIFS(AW704:AW750,B704:B750,B709-24)+in_shop_renew^3*SUMIFS(AW704:AW750,B704:B750,B709-36)+in_shop_renew^4*SUMIFS(AW704:AW750,B704:B750,B709-48))</f>
        <v/>
      </c>
      <c r="AY709" s="40">
        <f>AY708*(1-IF(B708&gt;=in_marketplace_from,d_hz_sip*G708,0))</f>
        <v/>
      </c>
      <c r="AZ709" s="40">
        <f>AZ708*d_rho_sip+AY709*IF(B709&gt;=in_marketplace_from,d_hz_sip*G709,0)</f>
        <v/>
      </c>
      <c r="BA709" s="40">
        <f>d_rho_sip*(BA708+AZ708)</f>
        <v/>
      </c>
      <c r="BB709" s="14">
        <f>F709*in_sip_ticket*(BA709+0.5*AZ709)*in_sip_comm/12</f>
        <v/>
      </c>
      <c r="BC709" s="40">
        <f>BC708*(1-IF(B708&gt;=in_marketplace_from,d_hz_choti*G708,0))</f>
        <v/>
      </c>
      <c r="BD709" s="46">
        <f>BC709*IF(B709&gt;=in_marketplace_from,d_hz_choti*G709,0)</f>
        <v/>
      </c>
      <c r="BE709" s="14">
        <f>F709*SUMIFS(BD704:BD750,B704:B750,B709-in_choti_months)*in_choti_renew*in_choti_ticket</f>
        <v/>
      </c>
      <c r="BF709" s="40">
        <f>BF708*(1-IF(B708&gt;=in_marketplace_from,d_hz_nps*G708,0))</f>
        <v/>
      </c>
      <c r="BG709" s="14">
        <f>F709*BF709*IF(B709&gt;=in_marketplace_from,d_hz_nps*G709,0)*in_nps_ticket*in_nps_comm</f>
        <v/>
      </c>
      <c r="BH709" s="40">
        <f>BH708*(1-IF(B708&gt;=in_marketplace_from,d_hz_gold*G708,0))</f>
        <v/>
      </c>
      <c r="BI709" s="40">
        <f>BI708*d_rho_gold+BH709*IF(B709&gt;=in_marketplace_from,d_hz_gold*G709,0)</f>
        <v/>
      </c>
      <c r="BJ709" s="14">
        <f>F709*BI709*in_gold_ticket*in_gold_comm</f>
        <v/>
      </c>
      <c r="BK709" s="40">
        <f>BK708*(1-IF(B708&gt;=in_marketplace_from,d_hz_fd*G708,0))</f>
        <v/>
      </c>
      <c r="BL709" s="14">
        <f>F709*BK709*IF(B709&gt;=in_marketplace_from,d_hz_fd*G709,0)*in_fd_ticket*in_fd_comm</f>
        <v/>
      </c>
      <c r="BM709" s="40">
        <f>BM708*(1-IF(B708&gt;=in_marketplace_from,d_hz_recharge*G708,0))</f>
        <v/>
      </c>
      <c r="BN709" s="40">
        <f>BN708*d_rho_recharge+BM709*IF(B709&gt;=in_marketplace_from,d_hz_recharge*G709,0)</f>
        <v/>
      </c>
      <c r="BO709" s="14">
        <f>F709*BN709*in_recharge_ticket*in_recharge_comm/12</f>
        <v/>
      </c>
      <c r="BP709" s="40">
        <f>BP708*(1-IF(B708&gt;=in_marketplace_from,d_hz_bills*G708,0))</f>
        <v/>
      </c>
      <c r="BQ709" s="40">
        <f>BQ708*d_rho_bills+BP709*IF(B709&gt;=in_marketplace_from,d_hz_bills*G709,0)</f>
        <v/>
      </c>
      <c r="BR709" s="14">
        <f>F709*BQ709*in_bills_ticket*in_bills_comm/12</f>
        <v/>
      </c>
      <c r="BS709" s="40">
        <f>BS708*(1-IF(B708&gt;=in_marketplace_from,d_hz_loan_gold*G708,0))</f>
        <v/>
      </c>
      <c r="BT709" s="14">
        <f>F709*BS709*IF(B709&gt;=in_marketplace_from,d_hz_loan_gold*G709,0)*in_loan_gold_ticket*in_loan_gold_comm</f>
        <v/>
      </c>
      <c r="BU709" s="40">
        <f>BU708*(1-IF(B708&gt;=in_marketplace_from,d_hz_loan_cd*G708,0))</f>
        <v/>
      </c>
      <c r="BV709" s="14">
        <f>F709*BU709*IF(B709&gt;=in_marketplace_from,d_hz_loan_cd*G709,0)*in_loan_cd_ticket*in_loan_cd_comm</f>
        <v/>
      </c>
      <c r="BW709" s="40">
        <f>BW708*(1-IF(B708&gt;=in_marketplace_from,d_hz_loan_vehicle*G708,0))</f>
        <v/>
      </c>
      <c r="BX709" s="14">
        <f>F709*BW709*IF(B709&gt;=in_marketplace_from,d_hz_loan_vehicle*G709,0)*in_loan_vehicle_ticket*in_loan_vehicle_comm</f>
        <v/>
      </c>
      <c r="BY709" s="40">
        <f>BY708*(1-IF(B708&gt;=in_marketplace_from,d_hz_loan_home*G708,0)*BZ708)</f>
        <v/>
      </c>
      <c r="BZ709" s="11">
        <f>MIN(in_approval_cap,in_loan_home_approval*INDEX('Age profile'!$O$2:$O$61,B709)*(1+in_approval_growth)^(D709-1))</f>
        <v/>
      </c>
      <c r="CA709" s="14">
        <f>F709*BY709*IF(B709&gt;=in_marketplace_from,d_hz_loan_home*G709,0)*BZ709*in_loan_home_ticket*in_loan_home_comm</f>
        <v/>
      </c>
      <c r="CB709" s="40">
        <f>CB708*(1-IF(B708&gt;=in_marketplace_from,d_hz_loan_lap*G708,0)*CC708)</f>
        <v/>
      </c>
      <c r="CC709" s="11">
        <f>MIN(in_approval_cap,in_loan_lap_approval*INDEX('Age profile'!$O$2:$O$61,B709)*(1+in_approval_growth)^(D709-1))</f>
        <v/>
      </c>
      <c r="CD709" s="14">
        <f>F709*CB709*IF(B709&gt;=in_marketplace_from,d_hz_loan_lap*G709,0)*CC709*in_loan_lap_ticket*in_loan_lap_comm</f>
        <v/>
      </c>
      <c r="CE709" s="14">
        <f>AA709+AB709+AC709+AD709+AG709+AJ709+AM709+AP709+AS709+AU709+AX709+BB709+BE709+BG709+BJ709+BL709+BO709+BR709+BT709+BV709+BX709+CA709+CD709</f>
        <v/>
      </c>
    </row>
    <row r="710">
      <c r="A710" s="39" t="n">
        <v>14</v>
      </c>
      <c r="B710" s="39" t="n">
        <v>7</v>
      </c>
      <c r="C710" s="39">
        <f>A710+B710-1</f>
        <v/>
      </c>
      <c r="D710" s="39">
        <f>INT((C710-1)/12)+1</f>
        <v/>
      </c>
      <c r="E710" s="44">
        <f>INDEX(Monthly!$B$2:$B$61,A710)</f>
        <v/>
      </c>
      <c r="F710" s="44">
        <f>E710*INDEX('Age profile'!$B$2:$B$61,B710)</f>
        <v/>
      </c>
      <c r="G710" s="45">
        <f>MIN(in_takeup_cap,INDEX('Age profile'!$N$2:$N$61,B710)*(1+in_takeup_growth)^(D710-1))</f>
        <v/>
      </c>
      <c r="H710" s="11">
        <f>MIN(in_approval_cap,in_approved_first*INDEX('Age profile'!$O$2:$O$61,B710)*(1+in_approval_growth)^(D710-1))</f>
        <v/>
      </c>
      <c r="I710" s="45">
        <f>G710*MIN(in_takeup_cap,INDEX('Age profile'!$O$2:$O$61,B710)*(1+in_approval_growth)^(D710-1))</f>
        <v/>
      </c>
      <c r="J710" s="40">
        <f>(J709-L709)*F710/F709</f>
        <v/>
      </c>
      <c r="K710" s="40">
        <f>(K709-M709)*F710/F709+SUMIFS(O704:O709,B704:B709,B710-1-d_T)*F710</f>
        <v/>
      </c>
      <c r="L710" s="40">
        <f>IF(B710&gt;=in_marketplace_from,J710*d_hz*G710*in_eligible*H710,0)</f>
        <v/>
      </c>
      <c r="M710" s="40">
        <f>IF(B710&gt;=in_marketplace_from,K710*d_hz*G710*in_eligible*in_approved_repeat,0)</f>
        <v/>
      </c>
      <c r="N710" s="40">
        <f>L710+M710</f>
        <v/>
      </c>
      <c r="O710" s="46">
        <f>N710/F710</f>
        <v/>
      </c>
      <c r="P710" s="40">
        <f>F710-J710-K710</f>
        <v/>
      </c>
      <c r="Q710" s="40">
        <f>IF(B710&gt;=in_marketplace_from,(J710+K710)*d_hz*G710,0)</f>
        <v/>
      </c>
      <c r="R710" s="40">
        <f>SUMIFS(N704:N750,B704:B750,"&gt;="&amp;(B710-d_T),B704:B750,"&lt;="&amp;(B710-1))</f>
        <v/>
      </c>
      <c r="S710" s="46">
        <f>(1-d_u)*S709+IF(d_T&gt;in_topup_lag,SUMIFS(O704:O750,B704:B750,B710-in_topup_lag)-d_udrop*SUMIFS(O704:O750,B704:B750,B710-d_T),0)</f>
        <v/>
      </c>
      <c r="T710" s="40">
        <f>F710*d_u*S710</f>
        <v/>
      </c>
      <c r="U710" s="9">
        <f>L710*in_ticket+M710*d_rep_ticket</f>
        <v/>
      </c>
      <c r="V710" s="9">
        <f>U710+T710*d_topup_amt</f>
        <v/>
      </c>
      <c r="W710" s="40">
        <f>N710+T710*d_topup_ratio</f>
        <v/>
      </c>
      <c r="X710" s="40">
        <f>SUMIFS(W704:W750,B704:B750,B710-in_dpd_lag)*d_cured</f>
        <v/>
      </c>
      <c r="Y710" s="40">
        <f>SUMIFS(W704:W750,B704:B750,B710-in_rec_lag)*d_recd</f>
        <v/>
      </c>
      <c r="Z710" s="40">
        <f>IF(AND(B710&gt;=in_marketplace_from,B710&lt;in_marketplace_from+in_card_months),in_card_share/in_card_months*F710*I710,IF(AND(B710&gt;=in_marketplace_from+in_card_months,B710&lt;in_marketplace_from+2*in_card_months),in_card_share*d_card_rem/in_card_months*F710*MIN(in_takeup_cap,(1+in_takeup_growth)^(D710-1))*MIN(in_takeup_cap,(1+in_approval_growth)^(D710-1)),0))</f>
        <v/>
      </c>
      <c r="AA710" s="14">
        <f>V710*in_fee*(1-in_taken_back)</f>
        <v/>
      </c>
      <c r="AB710" s="14">
        <f>SUMIFS(W704:W750,B704:B750,B710-in_dpd_lag)*d_dpd</f>
        <v/>
      </c>
      <c r="AC710" s="14">
        <f>SUMIFS(W704:W750,B704:B750,B710-in_rec_lag)*d_rec</f>
        <v/>
      </c>
      <c r="AD710" s="14">
        <f>Z710*in_card_fee</f>
        <v/>
      </c>
      <c r="AE710" s="40">
        <f>AE709*(1-IF(B709&gt;=in_marketplace_from,d_hz_hlth_small*G709,0))</f>
        <v/>
      </c>
      <c r="AF710" s="46">
        <f>AE710*IF(B710&gt;=in_marketplace_from,d_hz_hlth_small*G710,0)</f>
        <v/>
      </c>
      <c r="AG710" s="14">
        <f>F710*AF710*in_hlth_small_ticket*in_hlth_small_comm*in_ins_partner_share+F710*in_hlth_small_ticket*in_hlth_small_renew_comm*in_ins_partner_share*(in_hlth_small_renew^1*SUMIFS(AF704:AF750,B704:B750,B710-12)+in_hlth_small_renew^2*SUMIFS(AF704:AF750,B704:B750,B710-24)+in_hlth_small_renew^3*SUMIFS(AF704:AF750,B704:B750,B710-36)+in_hlth_small_renew^4*SUMIFS(AF704:AF750,B704:B750,B710-48))</f>
        <v/>
      </c>
      <c r="AH710" s="40">
        <f>AH709*(1-IF(B709&gt;=in_marketplace_from,d_hz_hlth_family*G709,0))</f>
        <v/>
      </c>
      <c r="AI710" s="46">
        <f>AH710*IF(B710&gt;=in_marketplace_from,d_hz_hlth_family*G710,0)</f>
        <v/>
      </c>
      <c r="AJ710" s="14">
        <f>F710*AI710*in_hlth_family_ticket*in_hlth_family_comm*in_ins_partner_share+F710*in_hlth_family_ticket*in_hlth_family_renew_comm*in_ins_partner_share*(in_hlth_family_renew^1*SUMIFS(AI704:AI750,B704:B750,B710-12)+in_hlth_family_renew^2*SUMIFS(AI704:AI750,B704:B750,B710-24)+in_hlth_family_renew^3*SUMIFS(AI704:AI750,B704:B750,B710-36)+in_hlth_family_renew^4*SUMIFS(AI704:AI750,B704:B750,B710-48))</f>
        <v/>
      </c>
      <c r="AK710" s="40">
        <f>AK709*(1-IF(B709&gt;=in_marketplace_from,d_hz_life_term*G709,0))</f>
        <v/>
      </c>
      <c r="AL710" s="46">
        <f>AK710*IF(B710&gt;=in_marketplace_from,d_hz_life_term*G710,0)</f>
        <v/>
      </c>
      <c r="AM710" s="14">
        <f>F710*AL710*in_life_term_ticket*in_life_term_comm*in_ins_partner_share+F710*in_life_term_ticket*in_life_term_renew_comm*in_ins_partner_share*(in_life_term_renew^1*SUMIFS(AL704:AL750,B704:B750,B710-12)+in_life_term_renew^2*SUMIFS(AL704:AL750,B704:B750,B710-24)+in_life_term_renew^3*SUMIFS(AL704:AL750,B704:B750,B710-36)+in_life_term_renew^4*SUMIFS(AL704:AL750,B704:B750,B710-48))</f>
        <v/>
      </c>
      <c r="AN710" s="40">
        <f>AN709*(1-IF(B709&gt;=in_marketplace_from,d_hz_accident*G709,0))</f>
        <v/>
      </c>
      <c r="AO710" s="46">
        <f>AN710*IF(B710&gt;=in_marketplace_from,d_hz_accident*G710,0)</f>
        <v/>
      </c>
      <c r="AP710" s="14">
        <f>F710*AO710*in_accident_ticket*in_accident_comm*in_ins_partner_share+F710*in_accident_ticket*in_accident_renew_comm*in_ins_partner_share*(in_accident_renew^1*SUMIFS(AO704:AO750,B704:B750,B710-12)+in_accident_renew^2*SUMIFS(AO704:AO750,B704:B750,B710-24)+in_accident_renew^3*SUMIFS(AO704:AO750,B704:B750,B710-36)+in_accident_renew^4*SUMIFS(AO704:AO750,B704:B750,B710-48))</f>
        <v/>
      </c>
      <c r="AQ710" s="40">
        <f>AQ709*(1-IF(B709&gt;=in_marketplace_from,d_hz_two_wheeler*G709,0))</f>
        <v/>
      </c>
      <c r="AR710" s="46">
        <f>AQ710*IF(B710&gt;=in_marketplace_from,d_hz_two_wheeler*G710,0)</f>
        <v/>
      </c>
      <c r="AS710" s="14">
        <f>F710*AR710*in_two_wheeler_ticket*in_two_wheeler_comm*in_ins_partner_share+F710*in_two_wheeler_ticket*in_two_wheeler_comm*in_ins_partner_share*(in_two_wheeler_renew^1*SUMIFS(AR704:AR750,B704:B750,B710-12)+in_two_wheeler_renew^2*SUMIFS(AR704:AR750,B704:B750,B710-24)+in_two_wheeler_renew^3*SUMIFS(AR704:AR750,B704:B750,B710-36)+in_two_wheeler_renew^4*SUMIFS(AR704:AR750,B704:B750,B710-48))</f>
        <v/>
      </c>
      <c r="AT710" s="40">
        <f>AT709*(1-IF(B709&gt;=in_marketplace_from,d_hz_device*G709,0))</f>
        <v/>
      </c>
      <c r="AU710" s="14">
        <f>F710*AT710*IF(B710&gt;=in_marketplace_from,d_hz_device*G710,0)*in_device_ticket*in_device_comm*in_ins_partner_share</f>
        <v/>
      </c>
      <c r="AV710" s="40">
        <f>AV709*(1-IF(B709&gt;=in_marketplace_from,d_hz_shop*G709,0))</f>
        <v/>
      </c>
      <c r="AW710" s="46">
        <f>AV710*IF(B710&gt;=in_marketplace_from,d_hz_shop*G710,0)</f>
        <v/>
      </c>
      <c r="AX710" s="14">
        <f>F710*AW710*in_shop_ticket*in_shop_comm*in_ins_partner_share+F710*in_shop_ticket*in_shop_renew_comm*in_ins_partner_share*(in_shop_renew^1*SUMIFS(AW704:AW750,B704:B750,B710-12)+in_shop_renew^2*SUMIFS(AW704:AW750,B704:B750,B710-24)+in_shop_renew^3*SUMIFS(AW704:AW750,B704:B750,B710-36)+in_shop_renew^4*SUMIFS(AW704:AW750,B704:B750,B710-48))</f>
        <v/>
      </c>
      <c r="AY710" s="40">
        <f>AY709*(1-IF(B709&gt;=in_marketplace_from,d_hz_sip*G709,0))</f>
        <v/>
      </c>
      <c r="AZ710" s="40">
        <f>AZ709*d_rho_sip+AY710*IF(B710&gt;=in_marketplace_from,d_hz_sip*G710,0)</f>
        <v/>
      </c>
      <c r="BA710" s="40">
        <f>d_rho_sip*(BA709+AZ709)</f>
        <v/>
      </c>
      <c r="BB710" s="14">
        <f>F710*in_sip_ticket*(BA710+0.5*AZ710)*in_sip_comm/12</f>
        <v/>
      </c>
      <c r="BC710" s="40">
        <f>BC709*(1-IF(B709&gt;=in_marketplace_from,d_hz_choti*G709,0))</f>
        <v/>
      </c>
      <c r="BD710" s="46">
        <f>BC710*IF(B710&gt;=in_marketplace_from,d_hz_choti*G710,0)</f>
        <v/>
      </c>
      <c r="BE710" s="14">
        <f>F710*SUMIFS(BD704:BD750,B704:B750,B710-in_choti_months)*in_choti_renew*in_choti_ticket</f>
        <v/>
      </c>
      <c r="BF710" s="40">
        <f>BF709*(1-IF(B709&gt;=in_marketplace_from,d_hz_nps*G709,0))</f>
        <v/>
      </c>
      <c r="BG710" s="14">
        <f>F710*BF710*IF(B710&gt;=in_marketplace_from,d_hz_nps*G710,0)*in_nps_ticket*in_nps_comm</f>
        <v/>
      </c>
      <c r="BH710" s="40">
        <f>BH709*(1-IF(B709&gt;=in_marketplace_from,d_hz_gold*G709,0))</f>
        <v/>
      </c>
      <c r="BI710" s="40">
        <f>BI709*d_rho_gold+BH710*IF(B710&gt;=in_marketplace_from,d_hz_gold*G710,0)</f>
        <v/>
      </c>
      <c r="BJ710" s="14">
        <f>F710*BI710*in_gold_ticket*in_gold_comm</f>
        <v/>
      </c>
      <c r="BK710" s="40">
        <f>BK709*(1-IF(B709&gt;=in_marketplace_from,d_hz_fd*G709,0))</f>
        <v/>
      </c>
      <c r="BL710" s="14">
        <f>F710*BK710*IF(B710&gt;=in_marketplace_from,d_hz_fd*G710,0)*in_fd_ticket*in_fd_comm</f>
        <v/>
      </c>
      <c r="BM710" s="40">
        <f>BM709*(1-IF(B709&gt;=in_marketplace_from,d_hz_recharge*G709,0))</f>
        <v/>
      </c>
      <c r="BN710" s="40">
        <f>BN709*d_rho_recharge+BM710*IF(B710&gt;=in_marketplace_from,d_hz_recharge*G710,0)</f>
        <v/>
      </c>
      <c r="BO710" s="14">
        <f>F710*BN710*in_recharge_ticket*in_recharge_comm/12</f>
        <v/>
      </c>
      <c r="BP710" s="40">
        <f>BP709*(1-IF(B709&gt;=in_marketplace_from,d_hz_bills*G709,0))</f>
        <v/>
      </c>
      <c r="BQ710" s="40">
        <f>BQ709*d_rho_bills+BP710*IF(B710&gt;=in_marketplace_from,d_hz_bills*G710,0)</f>
        <v/>
      </c>
      <c r="BR710" s="14">
        <f>F710*BQ710*in_bills_ticket*in_bills_comm/12</f>
        <v/>
      </c>
      <c r="BS710" s="40">
        <f>BS709*(1-IF(B709&gt;=in_marketplace_from,d_hz_loan_gold*G709,0))</f>
        <v/>
      </c>
      <c r="BT710" s="14">
        <f>F710*BS710*IF(B710&gt;=in_marketplace_from,d_hz_loan_gold*G710,0)*in_loan_gold_ticket*in_loan_gold_comm</f>
        <v/>
      </c>
      <c r="BU710" s="40">
        <f>BU709*(1-IF(B709&gt;=in_marketplace_from,d_hz_loan_cd*G709,0))</f>
        <v/>
      </c>
      <c r="BV710" s="14">
        <f>F710*BU710*IF(B710&gt;=in_marketplace_from,d_hz_loan_cd*G710,0)*in_loan_cd_ticket*in_loan_cd_comm</f>
        <v/>
      </c>
      <c r="BW710" s="40">
        <f>BW709*(1-IF(B709&gt;=in_marketplace_from,d_hz_loan_vehicle*G709,0))</f>
        <v/>
      </c>
      <c r="BX710" s="14">
        <f>F710*BW710*IF(B710&gt;=in_marketplace_from,d_hz_loan_vehicle*G710,0)*in_loan_vehicle_ticket*in_loan_vehicle_comm</f>
        <v/>
      </c>
      <c r="BY710" s="40">
        <f>BY709*(1-IF(B709&gt;=in_marketplace_from,d_hz_loan_home*G709,0)*BZ709)</f>
        <v/>
      </c>
      <c r="BZ710" s="11">
        <f>MIN(in_approval_cap,in_loan_home_approval*INDEX('Age profile'!$O$2:$O$61,B710)*(1+in_approval_growth)^(D710-1))</f>
        <v/>
      </c>
      <c r="CA710" s="14">
        <f>F710*BY710*IF(B710&gt;=in_marketplace_from,d_hz_loan_home*G710,0)*BZ710*in_loan_home_ticket*in_loan_home_comm</f>
        <v/>
      </c>
      <c r="CB710" s="40">
        <f>CB709*(1-IF(B709&gt;=in_marketplace_from,d_hz_loan_lap*G709,0)*CC709)</f>
        <v/>
      </c>
      <c r="CC710" s="11">
        <f>MIN(in_approval_cap,in_loan_lap_approval*INDEX('Age profile'!$O$2:$O$61,B710)*(1+in_approval_growth)^(D710-1))</f>
        <v/>
      </c>
      <c r="CD710" s="14">
        <f>F710*CB710*IF(B710&gt;=in_marketplace_from,d_hz_loan_lap*G710,0)*CC710*in_loan_lap_ticket*in_loan_lap_comm</f>
        <v/>
      </c>
      <c r="CE710" s="14">
        <f>AA710+AB710+AC710+AD710+AG710+AJ710+AM710+AP710+AS710+AU710+AX710+BB710+BE710+BG710+BJ710+BL710+BO710+BR710+BT710+BV710+BX710+CA710+CD710</f>
        <v/>
      </c>
    </row>
    <row r="711">
      <c r="A711" s="39" t="n">
        <v>14</v>
      </c>
      <c r="B711" s="39" t="n">
        <v>8</v>
      </c>
      <c r="C711" s="39">
        <f>A711+B711-1</f>
        <v/>
      </c>
      <c r="D711" s="39">
        <f>INT((C711-1)/12)+1</f>
        <v/>
      </c>
      <c r="E711" s="44">
        <f>INDEX(Monthly!$B$2:$B$61,A711)</f>
        <v/>
      </c>
      <c r="F711" s="44">
        <f>E711*INDEX('Age profile'!$B$2:$B$61,B711)</f>
        <v/>
      </c>
      <c r="G711" s="45">
        <f>MIN(in_takeup_cap,INDEX('Age profile'!$N$2:$N$61,B711)*(1+in_takeup_growth)^(D711-1))</f>
        <v/>
      </c>
      <c r="H711" s="11">
        <f>MIN(in_approval_cap,in_approved_first*INDEX('Age profile'!$O$2:$O$61,B711)*(1+in_approval_growth)^(D711-1))</f>
        <v/>
      </c>
      <c r="I711" s="45">
        <f>G711*MIN(in_takeup_cap,INDEX('Age profile'!$O$2:$O$61,B711)*(1+in_approval_growth)^(D711-1))</f>
        <v/>
      </c>
      <c r="J711" s="40">
        <f>(J710-L710)*F711/F710</f>
        <v/>
      </c>
      <c r="K711" s="40">
        <f>(K710-M710)*F711/F710+SUMIFS(O704:O710,B704:B710,B711-1-d_T)*F711</f>
        <v/>
      </c>
      <c r="L711" s="40">
        <f>IF(B711&gt;=in_marketplace_from,J711*d_hz*G711*in_eligible*H711,0)</f>
        <v/>
      </c>
      <c r="M711" s="40">
        <f>IF(B711&gt;=in_marketplace_from,K711*d_hz*G711*in_eligible*in_approved_repeat,0)</f>
        <v/>
      </c>
      <c r="N711" s="40">
        <f>L711+M711</f>
        <v/>
      </c>
      <c r="O711" s="46">
        <f>N711/F711</f>
        <v/>
      </c>
      <c r="P711" s="40">
        <f>F711-J711-K711</f>
        <v/>
      </c>
      <c r="Q711" s="40">
        <f>IF(B711&gt;=in_marketplace_from,(J711+K711)*d_hz*G711,0)</f>
        <v/>
      </c>
      <c r="R711" s="40">
        <f>SUMIFS(N704:N750,B704:B750,"&gt;="&amp;(B711-d_T),B704:B750,"&lt;="&amp;(B711-1))</f>
        <v/>
      </c>
      <c r="S711" s="46">
        <f>(1-d_u)*S710+IF(d_T&gt;in_topup_lag,SUMIFS(O704:O750,B704:B750,B711-in_topup_lag)-d_udrop*SUMIFS(O704:O750,B704:B750,B711-d_T),0)</f>
        <v/>
      </c>
      <c r="T711" s="40">
        <f>F711*d_u*S711</f>
        <v/>
      </c>
      <c r="U711" s="9">
        <f>L711*in_ticket+M711*d_rep_ticket</f>
        <v/>
      </c>
      <c r="V711" s="9">
        <f>U711+T711*d_topup_amt</f>
        <v/>
      </c>
      <c r="W711" s="40">
        <f>N711+T711*d_topup_ratio</f>
        <v/>
      </c>
      <c r="X711" s="40">
        <f>SUMIFS(W704:W750,B704:B750,B711-in_dpd_lag)*d_cured</f>
        <v/>
      </c>
      <c r="Y711" s="40">
        <f>SUMIFS(W704:W750,B704:B750,B711-in_rec_lag)*d_recd</f>
        <v/>
      </c>
      <c r="Z711" s="40">
        <f>IF(AND(B711&gt;=in_marketplace_from,B711&lt;in_marketplace_from+in_card_months),in_card_share/in_card_months*F711*I711,IF(AND(B711&gt;=in_marketplace_from+in_card_months,B711&lt;in_marketplace_from+2*in_card_months),in_card_share*d_card_rem/in_card_months*F711*MIN(in_takeup_cap,(1+in_takeup_growth)^(D711-1))*MIN(in_takeup_cap,(1+in_approval_growth)^(D711-1)),0))</f>
        <v/>
      </c>
      <c r="AA711" s="14">
        <f>V711*in_fee*(1-in_taken_back)</f>
        <v/>
      </c>
      <c r="AB711" s="14">
        <f>SUMIFS(W704:W750,B704:B750,B711-in_dpd_lag)*d_dpd</f>
        <v/>
      </c>
      <c r="AC711" s="14">
        <f>SUMIFS(W704:W750,B704:B750,B711-in_rec_lag)*d_rec</f>
        <v/>
      </c>
      <c r="AD711" s="14">
        <f>Z711*in_card_fee</f>
        <v/>
      </c>
      <c r="AE711" s="40">
        <f>AE710*(1-IF(B710&gt;=in_marketplace_from,d_hz_hlth_small*G710,0))</f>
        <v/>
      </c>
      <c r="AF711" s="46">
        <f>AE711*IF(B711&gt;=in_marketplace_from,d_hz_hlth_small*G711,0)</f>
        <v/>
      </c>
      <c r="AG711" s="14">
        <f>F711*AF711*in_hlth_small_ticket*in_hlth_small_comm*in_ins_partner_share+F711*in_hlth_small_ticket*in_hlth_small_renew_comm*in_ins_partner_share*(in_hlth_small_renew^1*SUMIFS(AF704:AF750,B704:B750,B711-12)+in_hlth_small_renew^2*SUMIFS(AF704:AF750,B704:B750,B711-24)+in_hlth_small_renew^3*SUMIFS(AF704:AF750,B704:B750,B711-36)+in_hlth_small_renew^4*SUMIFS(AF704:AF750,B704:B750,B711-48))</f>
        <v/>
      </c>
      <c r="AH711" s="40">
        <f>AH710*(1-IF(B710&gt;=in_marketplace_from,d_hz_hlth_family*G710,0))</f>
        <v/>
      </c>
      <c r="AI711" s="46">
        <f>AH711*IF(B711&gt;=in_marketplace_from,d_hz_hlth_family*G711,0)</f>
        <v/>
      </c>
      <c r="AJ711" s="14">
        <f>F711*AI711*in_hlth_family_ticket*in_hlth_family_comm*in_ins_partner_share+F711*in_hlth_family_ticket*in_hlth_family_renew_comm*in_ins_partner_share*(in_hlth_family_renew^1*SUMIFS(AI704:AI750,B704:B750,B711-12)+in_hlth_family_renew^2*SUMIFS(AI704:AI750,B704:B750,B711-24)+in_hlth_family_renew^3*SUMIFS(AI704:AI750,B704:B750,B711-36)+in_hlth_family_renew^4*SUMIFS(AI704:AI750,B704:B750,B711-48))</f>
        <v/>
      </c>
      <c r="AK711" s="40">
        <f>AK710*(1-IF(B710&gt;=in_marketplace_from,d_hz_life_term*G710,0))</f>
        <v/>
      </c>
      <c r="AL711" s="46">
        <f>AK711*IF(B711&gt;=in_marketplace_from,d_hz_life_term*G711,0)</f>
        <v/>
      </c>
      <c r="AM711" s="14">
        <f>F711*AL711*in_life_term_ticket*in_life_term_comm*in_ins_partner_share+F711*in_life_term_ticket*in_life_term_renew_comm*in_ins_partner_share*(in_life_term_renew^1*SUMIFS(AL704:AL750,B704:B750,B711-12)+in_life_term_renew^2*SUMIFS(AL704:AL750,B704:B750,B711-24)+in_life_term_renew^3*SUMIFS(AL704:AL750,B704:B750,B711-36)+in_life_term_renew^4*SUMIFS(AL704:AL750,B704:B750,B711-48))</f>
        <v/>
      </c>
      <c r="AN711" s="40">
        <f>AN710*(1-IF(B710&gt;=in_marketplace_from,d_hz_accident*G710,0))</f>
        <v/>
      </c>
      <c r="AO711" s="46">
        <f>AN711*IF(B711&gt;=in_marketplace_from,d_hz_accident*G711,0)</f>
        <v/>
      </c>
      <c r="AP711" s="14">
        <f>F711*AO711*in_accident_ticket*in_accident_comm*in_ins_partner_share+F711*in_accident_ticket*in_accident_renew_comm*in_ins_partner_share*(in_accident_renew^1*SUMIFS(AO704:AO750,B704:B750,B711-12)+in_accident_renew^2*SUMIFS(AO704:AO750,B704:B750,B711-24)+in_accident_renew^3*SUMIFS(AO704:AO750,B704:B750,B711-36)+in_accident_renew^4*SUMIFS(AO704:AO750,B704:B750,B711-48))</f>
        <v/>
      </c>
      <c r="AQ711" s="40">
        <f>AQ710*(1-IF(B710&gt;=in_marketplace_from,d_hz_two_wheeler*G710,0))</f>
        <v/>
      </c>
      <c r="AR711" s="46">
        <f>AQ711*IF(B711&gt;=in_marketplace_from,d_hz_two_wheeler*G711,0)</f>
        <v/>
      </c>
      <c r="AS711" s="14">
        <f>F711*AR711*in_two_wheeler_ticket*in_two_wheeler_comm*in_ins_partner_share+F711*in_two_wheeler_ticket*in_two_wheeler_comm*in_ins_partner_share*(in_two_wheeler_renew^1*SUMIFS(AR704:AR750,B704:B750,B711-12)+in_two_wheeler_renew^2*SUMIFS(AR704:AR750,B704:B750,B711-24)+in_two_wheeler_renew^3*SUMIFS(AR704:AR750,B704:B750,B711-36)+in_two_wheeler_renew^4*SUMIFS(AR704:AR750,B704:B750,B711-48))</f>
        <v/>
      </c>
      <c r="AT711" s="40">
        <f>AT710*(1-IF(B710&gt;=in_marketplace_from,d_hz_device*G710,0))</f>
        <v/>
      </c>
      <c r="AU711" s="14">
        <f>F711*AT711*IF(B711&gt;=in_marketplace_from,d_hz_device*G711,0)*in_device_ticket*in_device_comm*in_ins_partner_share</f>
        <v/>
      </c>
      <c r="AV711" s="40">
        <f>AV710*(1-IF(B710&gt;=in_marketplace_from,d_hz_shop*G710,0))</f>
        <v/>
      </c>
      <c r="AW711" s="46">
        <f>AV711*IF(B711&gt;=in_marketplace_from,d_hz_shop*G711,0)</f>
        <v/>
      </c>
      <c r="AX711" s="14">
        <f>F711*AW711*in_shop_ticket*in_shop_comm*in_ins_partner_share+F711*in_shop_ticket*in_shop_renew_comm*in_ins_partner_share*(in_shop_renew^1*SUMIFS(AW704:AW750,B704:B750,B711-12)+in_shop_renew^2*SUMIFS(AW704:AW750,B704:B750,B711-24)+in_shop_renew^3*SUMIFS(AW704:AW750,B704:B750,B711-36)+in_shop_renew^4*SUMIFS(AW704:AW750,B704:B750,B711-48))</f>
        <v/>
      </c>
      <c r="AY711" s="40">
        <f>AY710*(1-IF(B710&gt;=in_marketplace_from,d_hz_sip*G710,0))</f>
        <v/>
      </c>
      <c r="AZ711" s="40">
        <f>AZ710*d_rho_sip+AY711*IF(B711&gt;=in_marketplace_from,d_hz_sip*G711,0)</f>
        <v/>
      </c>
      <c r="BA711" s="40">
        <f>d_rho_sip*(BA710+AZ710)</f>
        <v/>
      </c>
      <c r="BB711" s="14">
        <f>F711*in_sip_ticket*(BA711+0.5*AZ711)*in_sip_comm/12</f>
        <v/>
      </c>
      <c r="BC711" s="40">
        <f>BC710*(1-IF(B710&gt;=in_marketplace_from,d_hz_choti*G710,0))</f>
        <v/>
      </c>
      <c r="BD711" s="46">
        <f>BC711*IF(B711&gt;=in_marketplace_from,d_hz_choti*G711,0)</f>
        <v/>
      </c>
      <c r="BE711" s="14">
        <f>F711*SUMIFS(BD704:BD750,B704:B750,B711-in_choti_months)*in_choti_renew*in_choti_ticket</f>
        <v/>
      </c>
      <c r="BF711" s="40">
        <f>BF710*(1-IF(B710&gt;=in_marketplace_from,d_hz_nps*G710,0))</f>
        <v/>
      </c>
      <c r="BG711" s="14">
        <f>F711*BF711*IF(B711&gt;=in_marketplace_from,d_hz_nps*G711,0)*in_nps_ticket*in_nps_comm</f>
        <v/>
      </c>
      <c r="BH711" s="40">
        <f>BH710*(1-IF(B710&gt;=in_marketplace_from,d_hz_gold*G710,0))</f>
        <v/>
      </c>
      <c r="BI711" s="40">
        <f>BI710*d_rho_gold+BH711*IF(B711&gt;=in_marketplace_from,d_hz_gold*G711,0)</f>
        <v/>
      </c>
      <c r="BJ711" s="14">
        <f>F711*BI711*in_gold_ticket*in_gold_comm</f>
        <v/>
      </c>
      <c r="BK711" s="40">
        <f>BK710*(1-IF(B710&gt;=in_marketplace_from,d_hz_fd*G710,0))</f>
        <v/>
      </c>
      <c r="BL711" s="14">
        <f>F711*BK711*IF(B711&gt;=in_marketplace_from,d_hz_fd*G711,0)*in_fd_ticket*in_fd_comm</f>
        <v/>
      </c>
      <c r="BM711" s="40">
        <f>BM710*(1-IF(B710&gt;=in_marketplace_from,d_hz_recharge*G710,0))</f>
        <v/>
      </c>
      <c r="BN711" s="40">
        <f>BN710*d_rho_recharge+BM711*IF(B711&gt;=in_marketplace_from,d_hz_recharge*G711,0)</f>
        <v/>
      </c>
      <c r="BO711" s="14">
        <f>F711*BN711*in_recharge_ticket*in_recharge_comm/12</f>
        <v/>
      </c>
      <c r="BP711" s="40">
        <f>BP710*(1-IF(B710&gt;=in_marketplace_from,d_hz_bills*G710,0))</f>
        <v/>
      </c>
      <c r="BQ711" s="40">
        <f>BQ710*d_rho_bills+BP711*IF(B711&gt;=in_marketplace_from,d_hz_bills*G711,0)</f>
        <v/>
      </c>
      <c r="BR711" s="14">
        <f>F711*BQ711*in_bills_ticket*in_bills_comm/12</f>
        <v/>
      </c>
      <c r="BS711" s="40">
        <f>BS710*(1-IF(B710&gt;=in_marketplace_from,d_hz_loan_gold*G710,0))</f>
        <v/>
      </c>
      <c r="BT711" s="14">
        <f>F711*BS711*IF(B711&gt;=in_marketplace_from,d_hz_loan_gold*G711,0)*in_loan_gold_ticket*in_loan_gold_comm</f>
        <v/>
      </c>
      <c r="BU711" s="40">
        <f>BU710*(1-IF(B710&gt;=in_marketplace_from,d_hz_loan_cd*G710,0))</f>
        <v/>
      </c>
      <c r="BV711" s="14">
        <f>F711*BU711*IF(B711&gt;=in_marketplace_from,d_hz_loan_cd*G711,0)*in_loan_cd_ticket*in_loan_cd_comm</f>
        <v/>
      </c>
      <c r="BW711" s="40">
        <f>BW710*(1-IF(B710&gt;=in_marketplace_from,d_hz_loan_vehicle*G710,0))</f>
        <v/>
      </c>
      <c r="BX711" s="14">
        <f>F711*BW711*IF(B711&gt;=in_marketplace_from,d_hz_loan_vehicle*G711,0)*in_loan_vehicle_ticket*in_loan_vehicle_comm</f>
        <v/>
      </c>
      <c r="BY711" s="40">
        <f>BY710*(1-IF(B710&gt;=in_marketplace_from,d_hz_loan_home*G710,0)*BZ710)</f>
        <v/>
      </c>
      <c r="BZ711" s="11">
        <f>MIN(in_approval_cap,in_loan_home_approval*INDEX('Age profile'!$O$2:$O$61,B711)*(1+in_approval_growth)^(D711-1))</f>
        <v/>
      </c>
      <c r="CA711" s="14">
        <f>F711*BY711*IF(B711&gt;=in_marketplace_from,d_hz_loan_home*G711,0)*BZ711*in_loan_home_ticket*in_loan_home_comm</f>
        <v/>
      </c>
      <c r="CB711" s="40">
        <f>CB710*(1-IF(B710&gt;=in_marketplace_from,d_hz_loan_lap*G710,0)*CC710)</f>
        <v/>
      </c>
      <c r="CC711" s="11">
        <f>MIN(in_approval_cap,in_loan_lap_approval*INDEX('Age profile'!$O$2:$O$61,B711)*(1+in_approval_growth)^(D711-1))</f>
        <v/>
      </c>
      <c r="CD711" s="14">
        <f>F711*CB711*IF(B711&gt;=in_marketplace_from,d_hz_loan_lap*G711,0)*CC711*in_loan_lap_ticket*in_loan_lap_comm</f>
        <v/>
      </c>
      <c r="CE711" s="14">
        <f>AA711+AB711+AC711+AD711+AG711+AJ711+AM711+AP711+AS711+AU711+AX711+BB711+BE711+BG711+BJ711+BL711+BO711+BR711+BT711+BV711+BX711+CA711+CD711</f>
        <v/>
      </c>
    </row>
    <row r="712">
      <c r="A712" s="39" t="n">
        <v>14</v>
      </c>
      <c r="B712" s="39" t="n">
        <v>9</v>
      </c>
      <c r="C712" s="39">
        <f>A712+B712-1</f>
        <v/>
      </c>
      <c r="D712" s="39">
        <f>INT((C712-1)/12)+1</f>
        <v/>
      </c>
      <c r="E712" s="44">
        <f>INDEX(Monthly!$B$2:$B$61,A712)</f>
        <v/>
      </c>
      <c r="F712" s="44">
        <f>E712*INDEX('Age profile'!$B$2:$B$61,B712)</f>
        <v/>
      </c>
      <c r="G712" s="45">
        <f>MIN(in_takeup_cap,INDEX('Age profile'!$N$2:$N$61,B712)*(1+in_takeup_growth)^(D712-1))</f>
        <v/>
      </c>
      <c r="H712" s="11">
        <f>MIN(in_approval_cap,in_approved_first*INDEX('Age profile'!$O$2:$O$61,B712)*(1+in_approval_growth)^(D712-1))</f>
        <v/>
      </c>
      <c r="I712" s="45">
        <f>G712*MIN(in_takeup_cap,INDEX('Age profile'!$O$2:$O$61,B712)*(1+in_approval_growth)^(D712-1))</f>
        <v/>
      </c>
      <c r="J712" s="40">
        <f>(J711-L711)*F712/F711</f>
        <v/>
      </c>
      <c r="K712" s="40">
        <f>(K711-M711)*F712/F711+SUMIFS(O704:O711,B704:B711,B712-1-d_T)*F712</f>
        <v/>
      </c>
      <c r="L712" s="40">
        <f>IF(B712&gt;=in_marketplace_from,J712*d_hz*G712*in_eligible*H712,0)</f>
        <v/>
      </c>
      <c r="M712" s="40">
        <f>IF(B712&gt;=in_marketplace_from,K712*d_hz*G712*in_eligible*in_approved_repeat,0)</f>
        <v/>
      </c>
      <c r="N712" s="40">
        <f>L712+M712</f>
        <v/>
      </c>
      <c r="O712" s="46">
        <f>N712/F712</f>
        <v/>
      </c>
      <c r="P712" s="40">
        <f>F712-J712-K712</f>
        <v/>
      </c>
      <c r="Q712" s="40">
        <f>IF(B712&gt;=in_marketplace_from,(J712+K712)*d_hz*G712,0)</f>
        <v/>
      </c>
      <c r="R712" s="40">
        <f>SUMIFS(N704:N750,B704:B750,"&gt;="&amp;(B712-d_T),B704:B750,"&lt;="&amp;(B712-1))</f>
        <v/>
      </c>
      <c r="S712" s="46">
        <f>(1-d_u)*S711+IF(d_T&gt;in_topup_lag,SUMIFS(O704:O750,B704:B750,B712-in_topup_lag)-d_udrop*SUMIFS(O704:O750,B704:B750,B712-d_T),0)</f>
        <v/>
      </c>
      <c r="T712" s="40">
        <f>F712*d_u*S712</f>
        <v/>
      </c>
      <c r="U712" s="9">
        <f>L712*in_ticket+M712*d_rep_ticket</f>
        <v/>
      </c>
      <c r="V712" s="9">
        <f>U712+T712*d_topup_amt</f>
        <v/>
      </c>
      <c r="W712" s="40">
        <f>N712+T712*d_topup_ratio</f>
        <v/>
      </c>
      <c r="X712" s="40">
        <f>SUMIFS(W704:W750,B704:B750,B712-in_dpd_lag)*d_cured</f>
        <v/>
      </c>
      <c r="Y712" s="40">
        <f>SUMIFS(W704:W750,B704:B750,B712-in_rec_lag)*d_recd</f>
        <v/>
      </c>
      <c r="Z712" s="40">
        <f>IF(AND(B712&gt;=in_marketplace_from,B712&lt;in_marketplace_from+in_card_months),in_card_share/in_card_months*F712*I712,IF(AND(B712&gt;=in_marketplace_from+in_card_months,B712&lt;in_marketplace_from+2*in_card_months),in_card_share*d_card_rem/in_card_months*F712*MIN(in_takeup_cap,(1+in_takeup_growth)^(D712-1))*MIN(in_takeup_cap,(1+in_approval_growth)^(D712-1)),0))</f>
        <v/>
      </c>
      <c r="AA712" s="14">
        <f>V712*in_fee*(1-in_taken_back)</f>
        <v/>
      </c>
      <c r="AB712" s="14">
        <f>SUMIFS(W704:W750,B704:B750,B712-in_dpd_lag)*d_dpd</f>
        <v/>
      </c>
      <c r="AC712" s="14">
        <f>SUMIFS(W704:W750,B704:B750,B712-in_rec_lag)*d_rec</f>
        <v/>
      </c>
      <c r="AD712" s="14">
        <f>Z712*in_card_fee</f>
        <v/>
      </c>
      <c r="AE712" s="40">
        <f>AE711*(1-IF(B711&gt;=in_marketplace_from,d_hz_hlth_small*G711,0))</f>
        <v/>
      </c>
      <c r="AF712" s="46">
        <f>AE712*IF(B712&gt;=in_marketplace_from,d_hz_hlth_small*G712,0)</f>
        <v/>
      </c>
      <c r="AG712" s="14">
        <f>F712*AF712*in_hlth_small_ticket*in_hlth_small_comm*in_ins_partner_share+F712*in_hlth_small_ticket*in_hlth_small_renew_comm*in_ins_partner_share*(in_hlth_small_renew^1*SUMIFS(AF704:AF750,B704:B750,B712-12)+in_hlth_small_renew^2*SUMIFS(AF704:AF750,B704:B750,B712-24)+in_hlth_small_renew^3*SUMIFS(AF704:AF750,B704:B750,B712-36)+in_hlth_small_renew^4*SUMIFS(AF704:AF750,B704:B750,B712-48))</f>
        <v/>
      </c>
      <c r="AH712" s="40">
        <f>AH711*(1-IF(B711&gt;=in_marketplace_from,d_hz_hlth_family*G711,0))</f>
        <v/>
      </c>
      <c r="AI712" s="46">
        <f>AH712*IF(B712&gt;=in_marketplace_from,d_hz_hlth_family*G712,0)</f>
        <v/>
      </c>
      <c r="AJ712" s="14">
        <f>F712*AI712*in_hlth_family_ticket*in_hlth_family_comm*in_ins_partner_share+F712*in_hlth_family_ticket*in_hlth_family_renew_comm*in_ins_partner_share*(in_hlth_family_renew^1*SUMIFS(AI704:AI750,B704:B750,B712-12)+in_hlth_family_renew^2*SUMIFS(AI704:AI750,B704:B750,B712-24)+in_hlth_family_renew^3*SUMIFS(AI704:AI750,B704:B750,B712-36)+in_hlth_family_renew^4*SUMIFS(AI704:AI750,B704:B750,B712-48))</f>
        <v/>
      </c>
      <c r="AK712" s="40">
        <f>AK711*(1-IF(B711&gt;=in_marketplace_from,d_hz_life_term*G711,0))</f>
        <v/>
      </c>
      <c r="AL712" s="46">
        <f>AK712*IF(B712&gt;=in_marketplace_from,d_hz_life_term*G712,0)</f>
        <v/>
      </c>
      <c r="AM712" s="14">
        <f>F712*AL712*in_life_term_ticket*in_life_term_comm*in_ins_partner_share+F712*in_life_term_ticket*in_life_term_renew_comm*in_ins_partner_share*(in_life_term_renew^1*SUMIFS(AL704:AL750,B704:B750,B712-12)+in_life_term_renew^2*SUMIFS(AL704:AL750,B704:B750,B712-24)+in_life_term_renew^3*SUMIFS(AL704:AL750,B704:B750,B712-36)+in_life_term_renew^4*SUMIFS(AL704:AL750,B704:B750,B712-48))</f>
        <v/>
      </c>
      <c r="AN712" s="40">
        <f>AN711*(1-IF(B711&gt;=in_marketplace_from,d_hz_accident*G711,0))</f>
        <v/>
      </c>
      <c r="AO712" s="46">
        <f>AN712*IF(B712&gt;=in_marketplace_from,d_hz_accident*G712,0)</f>
        <v/>
      </c>
      <c r="AP712" s="14">
        <f>F712*AO712*in_accident_ticket*in_accident_comm*in_ins_partner_share+F712*in_accident_ticket*in_accident_renew_comm*in_ins_partner_share*(in_accident_renew^1*SUMIFS(AO704:AO750,B704:B750,B712-12)+in_accident_renew^2*SUMIFS(AO704:AO750,B704:B750,B712-24)+in_accident_renew^3*SUMIFS(AO704:AO750,B704:B750,B712-36)+in_accident_renew^4*SUMIFS(AO704:AO750,B704:B750,B712-48))</f>
        <v/>
      </c>
      <c r="AQ712" s="40">
        <f>AQ711*(1-IF(B711&gt;=in_marketplace_from,d_hz_two_wheeler*G711,0))</f>
        <v/>
      </c>
      <c r="AR712" s="46">
        <f>AQ712*IF(B712&gt;=in_marketplace_from,d_hz_two_wheeler*G712,0)</f>
        <v/>
      </c>
      <c r="AS712" s="14">
        <f>F712*AR712*in_two_wheeler_ticket*in_two_wheeler_comm*in_ins_partner_share+F712*in_two_wheeler_ticket*in_two_wheeler_comm*in_ins_partner_share*(in_two_wheeler_renew^1*SUMIFS(AR704:AR750,B704:B750,B712-12)+in_two_wheeler_renew^2*SUMIFS(AR704:AR750,B704:B750,B712-24)+in_two_wheeler_renew^3*SUMIFS(AR704:AR750,B704:B750,B712-36)+in_two_wheeler_renew^4*SUMIFS(AR704:AR750,B704:B750,B712-48))</f>
        <v/>
      </c>
      <c r="AT712" s="40">
        <f>AT711*(1-IF(B711&gt;=in_marketplace_from,d_hz_device*G711,0))</f>
        <v/>
      </c>
      <c r="AU712" s="14">
        <f>F712*AT712*IF(B712&gt;=in_marketplace_from,d_hz_device*G712,0)*in_device_ticket*in_device_comm*in_ins_partner_share</f>
        <v/>
      </c>
      <c r="AV712" s="40">
        <f>AV711*(1-IF(B711&gt;=in_marketplace_from,d_hz_shop*G711,0))</f>
        <v/>
      </c>
      <c r="AW712" s="46">
        <f>AV712*IF(B712&gt;=in_marketplace_from,d_hz_shop*G712,0)</f>
        <v/>
      </c>
      <c r="AX712" s="14">
        <f>F712*AW712*in_shop_ticket*in_shop_comm*in_ins_partner_share+F712*in_shop_ticket*in_shop_renew_comm*in_ins_partner_share*(in_shop_renew^1*SUMIFS(AW704:AW750,B704:B750,B712-12)+in_shop_renew^2*SUMIFS(AW704:AW750,B704:B750,B712-24)+in_shop_renew^3*SUMIFS(AW704:AW750,B704:B750,B712-36)+in_shop_renew^4*SUMIFS(AW704:AW750,B704:B750,B712-48))</f>
        <v/>
      </c>
      <c r="AY712" s="40">
        <f>AY711*(1-IF(B711&gt;=in_marketplace_from,d_hz_sip*G711,0))</f>
        <v/>
      </c>
      <c r="AZ712" s="40">
        <f>AZ711*d_rho_sip+AY712*IF(B712&gt;=in_marketplace_from,d_hz_sip*G712,0)</f>
        <v/>
      </c>
      <c r="BA712" s="40">
        <f>d_rho_sip*(BA711+AZ711)</f>
        <v/>
      </c>
      <c r="BB712" s="14">
        <f>F712*in_sip_ticket*(BA712+0.5*AZ712)*in_sip_comm/12</f>
        <v/>
      </c>
      <c r="BC712" s="40">
        <f>BC711*(1-IF(B711&gt;=in_marketplace_from,d_hz_choti*G711,0))</f>
        <v/>
      </c>
      <c r="BD712" s="46">
        <f>BC712*IF(B712&gt;=in_marketplace_from,d_hz_choti*G712,0)</f>
        <v/>
      </c>
      <c r="BE712" s="14">
        <f>F712*SUMIFS(BD704:BD750,B704:B750,B712-in_choti_months)*in_choti_renew*in_choti_ticket</f>
        <v/>
      </c>
      <c r="BF712" s="40">
        <f>BF711*(1-IF(B711&gt;=in_marketplace_from,d_hz_nps*G711,0))</f>
        <v/>
      </c>
      <c r="BG712" s="14">
        <f>F712*BF712*IF(B712&gt;=in_marketplace_from,d_hz_nps*G712,0)*in_nps_ticket*in_nps_comm</f>
        <v/>
      </c>
      <c r="BH712" s="40">
        <f>BH711*(1-IF(B711&gt;=in_marketplace_from,d_hz_gold*G711,0))</f>
        <v/>
      </c>
      <c r="BI712" s="40">
        <f>BI711*d_rho_gold+BH712*IF(B712&gt;=in_marketplace_from,d_hz_gold*G712,0)</f>
        <v/>
      </c>
      <c r="BJ712" s="14">
        <f>F712*BI712*in_gold_ticket*in_gold_comm</f>
        <v/>
      </c>
      <c r="BK712" s="40">
        <f>BK711*(1-IF(B711&gt;=in_marketplace_from,d_hz_fd*G711,0))</f>
        <v/>
      </c>
      <c r="BL712" s="14">
        <f>F712*BK712*IF(B712&gt;=in_marketplace_from,d_hz_fd*G712,0)*in_fd_ticket*in_fd_comm</f>
        <v/>
      </c>
      <c r="BM712" s="40">
        <f>BM711*(1-IF(B711&gt;=in_marketplace_from,d_hz_recharge*G711,0))</f>
        <v/>
      </c>
      <c r="BN712" s="40">
        <f>BN711*d_rho_recharge+BM712*IF(B712&gt;=in_marketplace_from,d_hz_recharge*G712,0)</f>
        <v/>
      </c>
      <c r="BO712" s="14">
        <f>F712*BN712*in_recharge_ticket*in_recharge_comm/12</f>
        <v/>
      </c>
      <c r="BP712" s="40">
        <f>BP711*(1-IF(B711&gt;=in_marketplace_from,d_hz_bills*G711,0))</f>
        <v/>
      </c>
      <c r="BQ712" s="40">
        <f>BQ711*d_rho_bills+BP712*IF(B712&gt;=in_marketplace_from,d_hz_bills*G712,0)</f>
        <v/>
      </c>
      <c r="BR712" s="14">
        <f>F712*BQ712*in_bills_ticket*in_bills_comm/12</f>
        <v/>
      </c>
      <c r="BS712" s="40">
        <f>BS711*(1-IF(B711&gt;=in_marketplace_from,d_hz_loan_gold*G711,0))</f>
        <v/>
      </c>
      <c r="BT712" s="14">
        <f>F712*BS712*IF(B712&gt;=in_marketplace_from,d_hz_loan_gold*G712,0)*in_loan_gold_ticket*in_loan_gold_comm</f>
        <v/>
      </c>
      <c r="BU712" s="40">
        <f>BU711*(1-IF(B711&gt;=in_marketplace_from,d_hz_loan_cd*G711,0))</f>
        <v/>
      </c>
      <c r="BV712" s="14">
        <f>F712*BU712*IF(B712&gt;=in_marketplace_from,d_hz_loan_cd*G712,0)*in_loan_cd_ticket*in_loan_cd_comm</f>
        <v/>
      </c>
      <c r="BW712" s="40">
        <f>BW711*(1-IF(B711&gt;=in_marketplace_from,d_hz_loan_vehicle*G711,0))</f>
        <v/>
      </c>
      <c r="BX712" s="14">
        <f>F712*BW712*IF(B712&gt;=in_marketplace_from,d_hz_loan_vehicle*G712,0)*in_loan_vehicle_ticket*in_loan_vehicle_comm</f>
        <v/>
      </c>
      <c r="BY712" s="40">
        <f>BY711*(1-IF(B711&gt;=in_marketplace_from,d_hz_loan_home*G711,0)*BZ711)</f>
        <v/>
      </c>
      <c r="BZ712" s="11">
        <f>MIN(in_approval_cap,in_loan_home_approval*INDEX('Age profile'!$O$2:$O$61,B712)*(1+in_approval_growth)^(D712-1))</f>
        <v/>
      </c>
      <c r="CA712" s="14">
        <f>F712*BY712*IF(B712&gt;=in_marketplace_from,d_hz_loan_home*G712,0)*BZ712*in_loan_home_ticket*in_loan_home_comm</f>
        <v/>
      </c>
      <c r="CB712" s="40">
        <f>CB711*(1-IF(B711&gt;=in_marketplace_from,d_hz_loan_lap*G711,0)*CC711)</f>
        <v/>
      </c>
      <c r="CC712" s="11">
        <f>MIN(in_approval_cap,in_loan_lap_approval*INDEX('Age profile'!$O$2:$O$61,B712)*(1+in_approval_growth)^(D712-1))</f>
        <v/>
      </c>
      <c r="CD712" s="14">
        <f>F712*CB712*IF(B712&gt;=in_marketplace_from,d_hz_loan_lap*G712,0)*CC712*in_loan_lap_ticket*in_loan_lap_comm</f>
        <v/>
      </c>
      <c r="CE712" s="14">
        <f>AA712+AB712+AC712+AD712+AG712+AJ712+AM712+AP712+AS712+AU712+AX712+BB712+BE712+BG712+BJ712+BL712+BO712+BR712+BT712+BV712+BX712+CA712+CD712</f>
        <v/>
      </c>
    </row>
    <row r="713">
      <c r="A713" s="39" t="n">
        <v>14</v>
      </c>
      <c r="B713" s="39" t="n">
        <v>10</v>
      </c>
      <c r="C713" s="39">
        <f>A713+B713-1</f>
        <v/>
      </c>
      <c r="D713" s="39">
        <f>INT((C713-1)/12)+1</f>
        <v/>
      </c>
      <c r="E713" s="44">
        <f>INDEX(Monthly!$B$2:$B$61,A713)</f>
        <v/>
      </c>
      <c r="F713" s="44">
        <f>E713*INDEX('Age profile'!$B$2:$B$61,B713)</f>
        <v/>
      </c>
      <c r="G713" s="45">
        <f>MIN(in_takeup_cap,INDEX('Age profile'!$N$2:$N$61,B713)*(1+in_takeup_growth)^(D713-1))</f>
        <v/>
      </c>
      <c r="H713" s="11">
        <f>MIN(in_approval_cap,in_approved_first*INDEX('Age profile'!$O$2:$O$61,B713)*(1+in_approval_growth)^(D713-1))</f>
        <v/>
      </c>
      <c r="I713" s="45">
        <f>G713*MIN(in_takeup_cap,INDEX('Age profile'!$O$2:$O$61,B713)*(1+in_approval_growth)^(D713-1))</f>
        <v/>
      </c>
      <c r="J713" s="40">
        <f>(J712-L712)*F713/F712</f>
        <v/>
      </c>
      <c r="K713" s="40">
        <f>(K712-M712)*F713/F712+SUMIFS(O704:O712,B704:B712,B713-1-d_T)*F713</f>
        <v/>
      </c>
      <c r="L713" s="40">
        <f>IF(B713&gt;=in_marketplace_from,J713*d_hz*G713*in_eligible*H713,0)</f>
        <v/>
      </c>
      <c r="M713" s="40">
        <f>IF(B713&gt;=in_marketplace_from,K713*d_hz*G713*in_eligible*in_approved_repeat,0)</f>
        <v/>
      </c>
      <c r="N713" s="40">
        <f>L713+M713</f>
        <v/>
      </c>
      <c r="O713" s="46">
        <f>N713/F713</f>
        <v/>
      </c>
      <c r="P713" s="40">
        <f>F713-J713-K713</f>
        <v/>
      </c>
      <c r="Q713" s="40">
        <f>IF(B713&gt;=in_marketplace_from,(J713+K713)*d_hz*G713,0)</f>
        <v/>
      </c>
      <c r="R713" s="40">
        <f>SUMIFS(N704:N750,B704:B750,"&gt;="&amp;(B713-d_T),B704:B750,"&lt;="&amp;(B713-1))</f>
        <v/>
      </c>
      <c r="S713" s="46">
        <f>(1-d_u)*S712+IF(d_T&gt;in_topup_lag,SUMIFS(O704:O750,B704:B750,B713-in_topup_lag)-d_udrop*SUMIFS(O704:O750,B704:B750,B713-d_T),0)</f>
        <v/>
      </c>
      <c r="T713" s="40">
        <f>F713*d_u*S713</f>
        <v/>
      </c>
      <c r="U713" s="9">
        <f>L713*in_ticket+M713*d_rep_ticket</f>
        <v/>
      </c>
      <c r="V713" s="9">
        <f>U713+T713*d_topup_amt</f>
        <v/>
      </c>
      <c r="W713" s="40">
        <f>N713+T713*d_topup_ratio</f>
        <v/>
      </c>
      <c r="X713" s="40">
        <f>SUMIFS(W704:W750,B704:B750,B713-in_dpd_lag)*d_cured</f>
        <v/>
      </c>
      <c r="Y713" s="40">
        <f>SUMIFS(W704:W750,B704:B750,B713-in_rec_lag)*d_recd</f>
        <v/>
      </c>
      <c r="Z713" s="40">
        <f>IF(AND(B713&gt;=in_marketplace_from,B713&lt;in_marketplace_from+in_card_months),in_card_share/in_card_months*F713*I713,IF(AND(B713&gt;=in_marketplace_from+in_card_months,B713&lt;in_marketplace_from+2*in_card_months),in_card_share*d_card_rem/in_card_months*F713*MIN(in_takeup_cap,(1+in_takeup_growth)^(D713-1))*MIN(in_takeup_cap,(1+in_approval_growth)^(D713-1)),0))</f>
        <v/>
      </c>
      <c r="AA713" s="14">
        <f>V713*in_fee*(1-in_taken_back)</f>
        <v/>
      </c>
      <c r="AB713" s="14">
        <f>SUMIFS(W704:W750,B704:B750,B713-in_dpd_lag)*d_dpd</f>
        <v/>
      </c>
      <c r="AC713" s="14">
        <f>SUMIFS(W704:W750,B704:B750,B713-in_rec_lag)*d_rec</f>
        <v/>
      </c>
      <c r="AD713" s="14">
        <f>Z713*in_card_fee</f>
        <v/>
      </c>
      <c r="AE713" s="40">
        <f>AE712*(1-IF(B712&gt;=in_marketplace_from,d_hz_hlth_small*G712,0))</f>
        <v/>
      </c>
      <c r="AF713" s="46">
        <f>AE713*IF(B713&gt;=in_marketplace_from,d_hz_hlth_small*G713,0)</f>
        <v/>
      </c>
      <c r="AG713" s="14">
        <f>F713*AF713*in_hlth_small_ticket*in_hlth_small_comm*in_ins_partner_share+F713*in_hlth_small_ticket*in_hlth_small_renew_comm*in_ins_partner_share*(in_hlth_small_renew^1*SUMIFS(AF704:AF750,B704:B750,B713-12)+in_hlth_small_renew^2*SUMIFS(AF704:AF750,B704:B750,B713-24)+in_hlth_small_renew^3*SUMIFS(AF704:AF750,B704:B750,B713-36)+in_hlth_small_renew^4*SUMIFS(AF704:AF750,B704:B750,B713-48))</f>
        <v/>
      </c>
      <c r="AH713" s="40">
        <f>AH712*(1-IF(B712&gt;=in_marketplace_from,d_hz_hlth_family*G712,0))</f>
        <v/>
      </c>
      <c r="AI713" s="46">
        <f>AH713*IF(B713&gt;=in_marketplace_from,d_hz_hlth_family*G713,0)</f>
        <v/>
      </c>
      <c r="AJ713" s="14">
        <f>F713*AI713*in_hlth_family_ticket*in_hlth_family_comm*in_ins_partner_share+F713*in_hlth_family_ticket*in_hlth_family_renew_comm*in_ins_partner_share*(in_hlth_family_renew^1*SUMIFS(AI704:AI750,B704:B750,B713-12)+in_hlth_family_renew^2*SUMIFS(AI704:AI750,B704:B750,B713-24)+in_hlth_family_renew^3*SUMIFS(AI704:AI750,B704:B750,B713-36)+in_hlth_family_renew^4*SUMIFS(AI704:AI750,B704:B750,B713-48))</f>
        <v/>
      </c>
      <c r="AK713" s="40">
        <f>AK712*(1-IF(B712&gt;=in_marketplace_from,d_hz_life_term*G712,0))</f>
        <v/>
      </c>
      <c r="AL713" s="46">
        <f>AK713*IF(B713&gt;=in_marketplace_from,d_hz_life_term*G713,0)</f>
        <v/>
      </c>
      <c r="AM713" s="14">
        <f>F713*AL713*in_life_term_ticket*in_life_term_comm*in_ins_partner_share+F713*in_life_term_ticket*in_life_term_renew_comm*in_ins_partner_share*(in_life_term_renew^1*SUMIFS(AL704:AL750,B704:B750,B713-12)+in_life_term_renew^2*SUMIFS(AL704:AL750,B704:B750,B713-24)+in_life_term_renew^3*SUMIFS(AL704:AL750,B704:B750,B713-36)+in_life_term_renew^4*SUMIFS(AL704:AL750,B704:B750,B713-48))</f>
        <v/>
      </c>
      <c r="AN713" s="40">
        <f>AN712*(1-IF(B712&gt;=in_marketplace_from,d_hz_accident*G712,0))</f>
        <v/>
      </c>
      <c r="AO713" s="46">
        <f>AN713*IF(B713&gt;=in_marketplace_from,d_hz_accident*G713,0)</f>
        <v/>
      </c>
      <c r="AP713" s="14">
        <f>F713*AO713*in_accident_ticket*in_accident_comm*in_ins_partner_share+F713*in_accident_ticket*in_accident_renew_comm*in_ins_partner_share*(in_accident_renew^1*SUMIFS(AO704:AO750,B704:B750,B713-12)+in_accident_renew^2*SUMIFS(AO704:AO750,B704:B750,B713-24)+in_accident_renew^3*SUMIFS(AO704:AO750,B704:B750,B713-36)+in_accident_renew^4*SUMIFS(AO704:AO750,B704:B750,B713-48))</f>
        <v/>
      </c>
      <c r="AQ713" s="40">
        <f>AQ712*(1-IF(B712&gt;=in_marketplace_from,d_hz_two_wheeler*G712,0))</f>
        <v/>
      </c>
      <c r="AR713" s="46">
        <f>AQ713*IF(B713&gt;=in_marketplace_from,d_hz_two_wheeler*G713,0)</f>
        <v/>
      </c>
      <c r="AS713" s="14">
        <f>F713*AR713*in_two_wheeler_ticket*in_two_wheeler_comm*in_ins_partner_share+F713*in_two_wheeler_ticket*in_two_wheeler_comm*in_ins_partner_share*(in_two_wheeler_renew^1*SUMIFS(AR704:AR750,B704:B750,B713-12)+in_two_wheeler_renew^2*SUMIFS(AR704:AR750,B704:B750,B713-24)+in_two_wheeler_renew^3*SUMIFS(AR704:AR750,B704:B750,B713-36)+in_two_wheeler_renew^4*SUMIFS(AR704:AR750,B704:B750,B713-48))</f>
        <v/>
      </c>
      <c r="AT713" s="40">
        <f>AT712*(1-IF(B712&gt;=in_marketplace_from,d_hz_device*G712,0))</f>
        <v/>
      </c>
      <c r="AU713" s="14">
        <f>F713*AT713*IF(B713&gt;=in_marketplace_from,d_hz_device*G713,0)*in_device_ticket*in_device_comm*in_ins_partner_share</f>
        <v/>
      </c>
      <c r="AV713" s="40">
        <f>AV712*(1-IF(B712&gt;=in_marketplace_from,d_hz_shop*G712,0))</f>
        <v/>
      </c>
      <c r="AW713" s="46">
        <f>AV713*IF(B713&gt;=in_marketplace_from,d_hz_shop*G713,0)</f>
        <v/>
      </c>
      <c r="AX713" s="14">
        <f>F713*AW713*in_shop_ticket*in_shop_comm*in_ins_partner_share+F713*in_shop_ticket*in_shop_renew_comm*in_ins_partner_share*(in_shop_renew^1*SUMIFS(AW704:AW750,B704:B750,B713-12)+in_shop_renew^2*SUMIFS(AW704:AW750,B704:B750,B713-24)+in_shop_renew^3*SUMIFS(AW704:AW750,B704:B750,B713-36)+in_shop_renew^4*SUMIFS(AW704:AW750,B704:B750,B713-48))</f>
        <v/>
      </c>
      <c r="AY713" s="40">
        <f>AY712*(1-IF(B712&gt;=in_marketplace_from,d_hz_sip*G712,0))</f>
        <v/>
      </c>
      <c r="AZ713" s="40">
        <f>AZ712*d_rho_sip+AY713*IF(B713&gt;=in_marketplace_from,d_hz_sip*G713,0)</f>
        <v/>
      </c>
      <c r="BA713" s="40">
        <f>d_rho_sip*(BA712+AZ712)</f>
        <v/>
      </c>
      <c r="BB713" s="14">
        <f>F713*in_sip_ticket*(BA713+0.5*AZ713)*in_sip_comm/12</f>
        <v/>
      </c>
      <c r="BC713" s="40">
        <f>BC712*(1-IF(B712&gt;=in_marketplace_from,d_hz_choti*G712,0))</f>
        <v/>
      </c>
      <c r="BD713" s="46">
        <f>BC713*IF(B713&gt;=in_marketplace_from,d_hz_choti*G713,0)</f>
        <v/>
      </c>
      <c r="BE713" s="14">
        <f>F713*SUMIFS(BD704:BD750,B704:B750,B713-in_choti_months)*in_choti_renew*in_choti_ticket</f>
        <v/>
      </c>
      <c r="BF713" s="40">
        <f>BF712*(1-IF(B712&gt;=in_marketplace_from,d_hz_nps*G712,0))</f>
        <v/>
      </c>
      <c r="BG713" s="14">
        <f>F713*BF713*IF(B713&gt;=in_marketplace_from,d_hz_nps*G713,0)*in_nps_ticket*in_nps_comm</f>
        <v/>
      </c>
      <c r="BH713" s="40">
        <f>BH712*(1-IF(B712&gt;=in_marketplace_from,d_hz_gold*G712,0))</f>
        <v/>
      </c>
      <c r="BI713" s="40">
        <f>BI712*d_rho_gold+BH713*IF(B713&gt;=in_marketplace_from,d_hz_gold*G713,0)</f>
        <v/>
      </c>
      <c r="BJ713" s="14">
        <f>F713*BI713*in_gold_ticket*in_gold_comm</f>
        <v/>
      </c>
      <c r="BK713" s="40">
        <f>BK712*(1-IF(B712&gt;=in_marketplace_from,d_hz_fd*G712,0))</f>
        <v/>
      </c>
      <c r="BL713" s="14">
        <f>F713*BK713*IF(B713&gt;=in_marketplace_from,d_hz_fd*G713,0)*in_fd_ticket*in_fd_comm</f>
        <v/>
      </c>
      <c r="BM713" s="40">
        <f>BM712*(1-IF(B712&gt;=in_marketplace_from,d_hz_recharge*G712,0))</f>
        <v/>
      </c>
      <c r="BN713" s="40">
        <f>BN712*d_rho_recharge+BM713*IF(B713&gt;=in_marketplace_from,d_hz_recharge*G713,0)</f>
        <v/>
      </c>
      <c r="BO713" s="14">
        <f>F713*BN713*in_recharge_ticket*in_recharge_comm/12</f>
        <v/>
      </c>
      <c r="BP713" s="40">
        <f>BP712*(1-IF(B712&gt;=in_marketplace_from,d_hz_bills*G712,0))</f>
        <v/>
      </c>
      <c r="BQ713" s="40">
        <f>BQ712*d_rho_bills+BP713*IF(B713&gt;=in_marketplace_from,d_hz_bills*G713,0)</f>
        <v/>
      </c>
      <c r="BR713" s="14">
        <f>F713*BQ713*in_bills_ticket*in_bills_comm/12</f>
        <v/>
      </c>
      <c r="BS713" s="40">
        <f>BS712*(1-IF(B712&gt;=in_marketplace_from,d_hz_loan_gold*G712,0))</f>
        <v/>
      </c>
      <c r="BT713" s="14">
        <f>F713*BS713*IF(B713&gt;=in_marketplace_from,d_hz_loan_gold*G713,0)*in_loan_gold_ticket*in_loan_gold_comm</f>
        <v/>
      </c>
      <c r="BU713" s="40">
        <f>BU712*(1-IF(B712&gt;=in_marketplace_from,d_hz_loan_cd*G712,0))</f>
        <v/>
      </c>
      <c r="BV713" s="14">
        <f>F713*BU713*IF(B713&gt;=in_marketplace_from,d_hz_loan_cd*G713,0)*in_loan_cd_ticket*in_loan_cd_comm</f>
        <v/>
      </c>
      <c r="BW713" s="40">
        <f>BW712*(1-IF(B712&gt;=in_marketplace_from,d_hz_loan_vehicle*G712,0))</f>
        <v/>
      </c>
      <c r="BX713" s="14">
        <f>F713*BW713*IF(B713&gt;=in_marketplace_from,d_hz_loan_vehicle*G713,0)*in_loan_vehicle_ticket*in_loan_vehicle_comm</f>
        <v/>
      </c>
      <c r="BY713" s="40">
        <f>BY712*(1-IF(B712&gt;=in_marketplace_from,d_hz_loan_home*G712,0)*BZ712)</f>
        <v/>
      </c>
      <c r="BZ713" s="11">
        <f>MIN(in_approval_cap,in_loan_home_approval*INDEX('Age profile'!$O$2:$O$61,B713)*(1+in_approval_growth)^(D713-1))</f>
        <v/>
      </c>
      <c r="CA713" s="14">
        <f>F713*BY713*IF(B713&gt;=in_marketplace_from,d_hz_loan_home*G713,0)*BZ713*in_loan_home_ticket*in_loan_home_comm</f>
        <v/>
      </c>
      <c r="CB713" s="40">
        <f>CB712*(1-IF(B712&gt;=in_marketplace_from,d_hz_loan_lap*G712,0)*CC712)</f>
        <v/>
      </c>
      <c r="CC713" s="11">
        <f>MIN(in_approval_cap,in_loan_lap_approval*INDEX('Age profile'!$O$2:$O$61,B713)*(1+in_approval_growth)^(D713-1))</f>
        <v/>
      </c>
      <c r="CD713" s="14">
        <f>F713*CB713*IF(B713&gt;=in_marketplace_from,d_hz_loan_lap*G713,0)*CC713*in_loan_lap_ticket*in_loan_lap_comm</f>
        <v/>
      </c>
      <c r="CE713" s="14">
        <f>AA713+AB713+AC713+AD713+AG713+AJ713+AM713+AP713+AS713+AU713+AX713+BB713+BE713+BG713+BJ713+BL713+BO713+BR713+BT713+BV713+BX713+CA713+CD713</f>
        <v/>
      </c>
    </row>
    <row r="714">
      <c r="A714" s="39" t="n">
        <v>14</v>
      </c>
      <c r="B714" s="39" t="n">
        <v>11</v>
      </c>
      <c r="C714" s="39">
        <f>A714+B714-1</f>
        <v/>
      </c>
      <c r="D714" s="39">
        <f>INT((C714-1)/12)+1</f>
        <v/>
      </c>
      <c r="E714" s="44">
        <f>INDEX(Monthly!$B$2:$B$61,A714)</f>
        <v/>
      </c>
      <c r="F714" s="44">
        <f>E714*INDEX('Age profile'!$B$2:$B$61,B714)</f>
        <v/>
      </c>
      <c r="G714" s="45">
        <f>MIN(in_takeup_cap,INDEX('Age profile'!$N$2:$N$61,B714)*(1+in_takeup_growth)^(D714-1))</f>
        <v/>
      </c>
      <c r="H714" s="11">
        <f>MIN(in_approval_cap,in_approved_first*INDEX('Age profile'!$O$2:$O$61,B714)*(1+in_approval_growth)^(D714-1))</f>
        <v/>
      </c>
      <c r="I714" s="45">
        <f>G714*MIN(in_takeup_cap,INDEX('Age profile'!$O$2:$O$61,B714)*(1+in_approval_growth)^(D714-1))</f>
        <v/>
      </c>
      <c r="J714" s="40">
        <f>(J713-L713)*F714/F713</f>
        <v/>
      </c>
      <c r="K714" s="40">
        <f>(K713-M713)*F714/F713+SUMIFS(O704:O713,B704:B713,B714-1-d_T)*F714</f>
        <v/>
      </c>
      <c r="L714" s="40">
        <f>IF(B714&gt;=in_marketplace_from,J714*d_hz*G714*in_eligible*H714,0)</f>
        <v/>
      </c>
      <c r="M714" s="40">
        <f>IF(B714&gt;=in_marketplace_from,K714*d_hz*G714*in_eligible*in_approved_repeat,0)</f>
        <v/>
      </c>
      <c r="N714" s="40">
        <f>L714+M714</f>
        <v/>
      </c>
      <c r="O714" s="46">
        <f>N714/F714</f>
        <v/>
      </c>
      <c r="P714" s="40">
        <f>F714-J714-K714</f>
        <v/>
      </c>
      <c r="Q714" s="40">
        <f>IF(B714&gt;=in_marketplace_from,(J714+K714)*d_hz*G714,0)</f>
        <v/>
      </c>
      <c r="R714" s="40">
        <f>SUMIFS(N704:N750,B704:B750,"&gt;="&amp;(B714-d_T),B704:B750,"&lt;="&amp;(B714-1))</f>
        <v/>
      </c>
      <c r="S714" s="46">
        <f>(1-d_u)*S713+IF(d_T&gt;in_topup_lag,SUMIFS(O704:O750,B704:B750,B714-in_topup_lag)-d_udrop*SUMIFS(O704:O750,B704:B750,B714-d_T),0)</f>
        <v/>
      </c>
      <c r="T714" s="40">
        <f>F714*d_u*S714</f>
        <v/>
      </c>
      <c r="U714" s="9">
        <f>L714*in_ticket+M714*d_rep_ticket</f>
        <v/>
      </c>
      <c r="V714" s="9">
        <f>U714+T714*d_topup_amt</f>
        <v/>
      </c>
      <c r="W714" s="40">
        <f>N714+T714*d_topup_ratio</f>
        <v/>
      </c>
      <c r="X714" s="40">
        <f>SUMIFS(W704:W750,B704:B750,B714-in_dpd_lag)*d_cured</f>
        <v/>
      </c>
      <c r="Y714" s="40">
        <f>SUMIFS(W704:W750,B704:B750,B714-in_rec_lag)*d_recd</f>
        <v/>
      </c>
      <c r="Z714" s="40">
        <f>IF(AND(B714&gt;=in_marketplace_from,B714&lt;in_marketplace_from+in_card_months),in_card_share/in_card_months*F714*I714,IF(AND(B714&gt;=in_marketplace_from+in_card_months,B714&lt;in_marketplace_from+2*in_card_months),in_card_share*d_card_rem/in_card_months*F714*MIN(in_takeup_cap,(1+in_takeup_growth)^(D714-1))*MIN(in_takeup_cap,(1+in_approval_growth)^(D714-1)),0))</f>
        <v/>
      </c>
      <c r="AA714" s="14">
        <f>V714*in_fee*(1-in_taken_back)</f>
        <v/>
      </c>
      <c r="AB714" s="14">
        <f>SUMIFS(W704:W750,B704:B750,B714-in_dpd_lag)*d_dpd</f>
        <v/>
      </c>
      <c r="AC714" s="14">
        <f>SUMIFS(W704:W750,B704:B750,B714-in_rec_lag)*d_rec</f>
        <v/>
      </c>
      <c r="AD714" s="14">
        <f>Z714*in_card_fee</f>
        <v/>
      </c>
      <c r="AE714" s="40">
        <f>AE713*(1-IF(B713&gt;=in_marketplace_from,d_hz_hlth_small*G713,0))</f>
        <v/>
      </c>
      <c r="AF714" s="46">
        <f>AE714*IF(B714&gt;=in_marketplace_from,d_hz_hlth_small*G714,0)</f>
        <v/>
      </c>
      <c r="AG714" s="14">
        <f>F714*AF714*in_hlth_small_ticket*in_hlth_small_comm*in_ins_partner_share+F714*in_hlth_small_ticket*in_hlth_small_renew_comm*in_ins_partner_share*(in_hlth_small_renew^1*SUMIFS(AF704:AF750,B704:B750,B714-12)+in_hlth_small_renew^2*SUMIFS(AF704:AF750,B704:B750,B714-24)+in_hlth_small_renew^3*SUMIFS(AF704:AF750,B704:B750,B714-36)+in_hlth_small_renew^4*SUMIFS(AF704:AF750,B704:B750,B714-48))</f>
        <v/>
      </c>
      <c r="AH714" s="40">
        <f>AH713*(1-IF(B713&gt;=in_marketplace_from,d_hz_hlth_family*G713,0))</f>
        <v/>
      </c>
      <c r="AI714" s="46">
        <f>AH714*IF(B714&gt;=in_marketplace_from,d_hz_hlth_family*G714,0)</f>
        <v/>
      </c>
      <c r="AJ714" s="14">
        <f>F714*AI714*in_hlth_family_ticket*in_hlth_family_comm*in_ins_partner_share+F714*in_hlth_family_ticket*in_hlth_family_renew_comm*in_ins_partner_share*(in_hlth_family_renew^1*SUMIFS(AI704:AI750,B704:B750,B714-12)+in_hlth_family_renew^2*SUMIFS(AI704:AI750,B704:B750,B714-24)+in_hlth_family_renew^3*SUMIFS(AI704:AI750,B704:B750,B714-36)+in_hlth_family_renew^4*SUMIFS(AI704:AI750,B704:B750,B714-48))</f>
        <v/>
      </c>
      <c r="AK714" s="40">
        <f>AK713*(1-IF(B713&gt;=in_marketplace_from,d_hz_life_term*G713,0))</f>
        <v/>
      </c>
      <c r="AL714" s="46">
        <f>AK714*IF(B714&gt;=in_marketplace_from,d_hz_life_term*G714,0)</f>
        <v/>
      </c>
      <c r="AM714" s="14">
        <f>F714*AL714*in_life_term_ticket*in_life_term_comm*in_ins_partner_share+F714*in_life_term_ticket*in_life_term_renew_comm*in_ins_partner_share*(in_life_term_renew^1*SUMIFS(AL704:AL750,B704:B750,B714-12)+in_life_term_renew^2*SUMIFS(AL704:AL750,B704:B750,B714-24)+in_life_term_renew^3*SUMIFS(AL704:AL750,B704:B750,B714-36)+in_life_term_renew^4*SUMIFS(AL704:AL750,B704:B750,B714-48))</f>
        <v/>
      </c>
      <c r="AN714" s="40">
        <f>AN713*(1-IF(B713&gt;=in_marketplace_from,d_hz_accident*G713,0))</f>
        <v/>
      </c>
      <c r="AO714" s="46">
        <f>AN714*IF(B714&gt;=in_marketplace_from,d_hz_accident*G714,0)</f>
        <v/>
      </c>
      <c r="AP714" s="14">
        <f>F714*AO714*in_accident_ticket*in_accident_comm*in_ins_partner_share+F714*in_accident_ticket*in_accident_renew_comm*in_ins_partner_share*(in_accident_renew^1*SUMIFS(AO704:AO750,B704:B750,B714-12)+in_accident_renew^2*SUMIFS(AO704:AO750,B704:B750,B714-24)+in_accident_renew^3*SUMIFS(AO704:AO750,B704:B750,B714-36)+in_accident_renew^4*SUMIFS(AO704:AO750,B704:B750,B714-48))</f>
        <v/>
      </c>
      <c r="AQ714" s="40">
        <f>AQ713*(1-IF(B713&gt;=in_marketplace_from,d_hz_two_wheeler*G713,0))</f>
        <v/>
      </c>
      <c r="AR714" s="46">
        <f>AQ714*IF(B714&gt;=in_marketplace_from,d_hz_two_wheeler*G714,0)</f>
        <v/>
      </c>
      <c r="AS714" s="14">
        <f>F714*AR714*in_two_wheeler_ticket*in_two_wheeler_comm*in_ins_partner_share+F714*in_two_wheeler_ticket*in_two_wheeler_comm*in_ins_partner_share*(in_two_wheeler_renew^1*SUMIFS(AR704:AR750,B704:B750,B714-12)+in_two_wheeler_renew^2*SUMIFS(AR704:AR750,B704:B750,B714-24)+in_two_wheeler_renew^3*SUMIFS(AR704:AR750,B704:B750,B714-36)+in_two_wheeler_renew^4*SUMIFS(AR704:AR750,B704:B750,B714-48))</f>
        <v/>
      </c>
      <c r="AT714" s="40">
        <f>AT713*(1-IF(B713&gt;=in_marketplace_from,d_hz_device*G713,0))</f>
        <v/>
      </c>
      <c r="AU714" s="14">
        <f>F714*AT714*IF(B714&gt;=in_marketplace_from,d_hz_device*G714,0)*in_device_ticket*in_device_comm*in_ins_partner_share</f>
        <v/>
      </c>
      <c r="AV714" s="40">
        <f>AV713*(1-IF(B713&gt;=in_marketplace_from,d_hz_shop*G713,0))</f>
        <v/>
      </c>
      <c r="AW714" s="46">
        <f>AV714*IF(B714&gt;=in_marketplace_from,d_hz_shop*G714,0)</f>
        <v/>
      </c>
      <c r="AX714" s="14">
        <f>F714*AW714*in_shop_ticket*in_shop_comm*in_ins_partner_share+F714*in_shop_ticket*in_shop_renew_comm*in_ins_partner_share*(in_shop_renew^1*SUMIFS(AW704:AW750,B704:B750,B714-12)+in_shop_renew^2*SUMIFS(AW704:AW750,B704:B750,B714-24)+in_shop_renew^3*SUMIFS(AW704:AW750,B704:B750,B714-36)+in_shop_renew^4*SUMIFS(AW704:AW750,B704:B750,B714-48))</f>
        <v/>
      </c>
      <c r="AY714" s="40">
        <f>AY713*(1-IF(B713&gt;=in_marketplace_from,d_hz_sip*G713,0))</f>
        <v/>
      </c>
      <c r="AZ714" s="40">
        <f>AZ713*d_rho_sip+AY714*IF(B714&gt;=in_marketplace_from,d_hz_sip*G714,0)</f>
        <v/>
      </c>
      <c r="BA714" s="40">
        <f>d_rho_sip*(BA713+AZ713)</f>
        <v/>
      </c>
      <c r="BB714" s="14">
        <f>F714*in_sip_ticket*(BA714+0.5*AZ714)*in_sip_comm/12</f>
        <v/>
      </c>
      <c r="BC714" s="40">
        <f>BC713*(1-IF(B713&gt;=in_marketplace_from,d_hz_choti*G713,0))</f>
        <v/>
      </c>
      <c r="BD714" s="46">
        <f>BC714*IF(B714&gt;=in_marketplace_from,d_hz_choti*G714,0)</f>
        <v/>
      </c>
      <c r="BE714" s="14">
        <f>F714*SUMIFS(BD704:BD750,B704:B750,B714-in_choti_months)*in_choti_renew*in_choti_ticket</f>
        <v/>
      </c>
      <c r="BF714" s="40">
        <f>BF713*(1-IF(B713&gt;=in_marketplace_from,d_hz_nps*G713,0))</f>
        <v/>
      </c>
      <c r="BG714" s="14">
        <f>F714*BF714*IF(B714&gt;=in_marketplace_from,d_hz_nps*G714,0)*in_nps_ticket*in_nps_comm</f>
        <v/>
      </c>
      <c r="BH714" s="40">
        <f>BH713*(1-IF(B713&gt;=in_marketplace_from,d_hz_gold*G713,0))</f>
        <v/>
      </c>
      <c r="BI714" s="40">
        <f>BI713*d_rho_gold+BH714*IF(B714&gt;=in_marketplace_from,d_hz_gold*G714,0)</f>
        <v/>
      </c>
      <c r="BJ714" s="14">
        <f>F714*BI714*in_gold_ticket*in_gold_comm</f>
        <v/>
      </c>
      <c r="BK714" s="40">
        <f>BK713*(1-IF(B713&gt;=in_marketplace_from,d_hz_fd*G713,0))</f>
        <v/>
      </c>
      <c r="BL714" s="14">
        <f>F714*BK714*IF(B714&gt;=in_marketplace_from,d_hz_fd*G714,0)*in_fd_ticket*in_fd_comm</f>
        <v/>
      </c>
      <c r="BM714" s="40">
        <f>BM713*(1-IF(B713&gt;=in_marketplace_from,d_hz_recharge*G713,0))</f>
        <v/>
      </c>
      <c r="BN714" s="40">
        <f>BN713*d_rho_recharge+BM714*IF(B714&gt;=in_marketplace_from,d_hz_recharge*G714,0)</f>
        <v/>
      </c>
      <c r="BO714" s="14">
        <f>F714*BN714*in_recharge_ticket*in_recharge_comm/12</f>
        <v/>
      </c>
      <c r="BP714" s="40">
        <f>BP713*(1-IF(B713&gt;=in_marketplace_from,d_hz_bills*G713,0))</f>
        <v/>
      </c>
      <c r="BQ714" s="40">
        <f>BQ713*d_rho_bills+BP714*IF(B714&gt;=in_marketplace_from,d_hz_bills*G714,0)</f>
        <v/>
      </c>
      <c r="BR714" s="14">
        <f>F714*BQ714*in_bills_ticket*in_bills_comm/12</f>
        <v/>
      </c>
      <c r="BS714" s="40">
        <f>BS713*(1-IF(B713&gt;=in_marketplace_from,d_hz_loan_gold*G713,0))</f>
        <v/>
      </c>
      <c r="BT714" s="14">
        <f>F714*BS714*IF(B714&gt;=in_marketplace_from,d_hz_loan_gold*G714,0)*in_loan_gold_ticket*in_loan_gold_comm</f>
        <v/>
      </c>
      <c r="BU714" s="40">
        <f>BU713*(1-IF(B713&gt;=in_marketplace_from,d_hz_loan_cd*G713,0))</f>
        <v/>
      </c>
      <c r="BV714" s="14">
        <f>F714*BU714*IF(B714&gt;=in_marketplace_from,d_hz_loan_cd*G714,0)*in_loan_cd_ticket*in_loan_cd_comm</f>
        <v/>
      </c>
      <c r="BW714" s="40">
        <f>BW713*(1-IF(B713&gt;=in_marketplace_from,d_hz_loan_vehicle*G713,0))</f>
        <v/>
      </c>
      <c r="BX714" s="14">
        <f>F714*BW714*IF(B714&gt;=in_marketplace_from,d_hz_loan_vehicle*G714,0)*in_loan_vehicle_ticket*in_loan_vehicle_comm</f>
        <v/>
      </c>
      <c r="BY714" s="40">
        <f>BY713*(1-IF(B713&gt;=in_marketplace_from,d_hz_loan_home*G713,0)*BZ713)</f>
        <v/>
      </c>
      <c r="BZ714" s="11">
        <f>MIN(in_approval_cap,in_loan_home_approval*INDEX('Age profile'!$O$2:$O$61,B714)*(1+in_approval_growth)^(D714-1))</f>
        <v/>
      </c>
      <c r="CA714" s="14">
        <f>F714*BY714*IF(B714&gt;=in_marketplace_from,d_hz_loan_home*G714,0)*BZ714*in_loan_home_ticket*in_loan_home_comm</f>
        <v/>
      </c>
      <c r="CB714" s="40">
        <f>CB713*(1-IF(B713&gt;=in_marketplace_from,d_hz_loan_lap*G713,0)*CC713)</f>
        <v/>
      </c>
      <c r="CC714" s="11">
        <f>MIN(in_approval_cap,in_loan_lap_approval*INDEX('Age profile'!$O$2:$O$61,B714)*(1+in_approval_growth)^(D714-1))</f>
        <v/>
      </c>
      <c r="CD714" s="14">
        <f>F714*CB714*IF(B714&gt;=in_marketplace_from,d_hz_loan_lap*G714,0)*CC714*in_loan_lap_ticket*in_loan_lap_comm</f>
        <v/>
      </c>
      <c r="CE714" s="14">
        <f>AA714+AB714+AC714+AD714+AG714+AJ714+AM714+AP714+AS714+AU714+AX714+BB714+BE714+BG714+BJ714+BL714+BO714+BR714+BT714+BV714+BX714+CA714+CD714</f>
        <v/>
      </c>
    </row>
    <row r="715">
      <c r="A715" s="39" t="n">
        <v>14</v>
      </c>
      <c r="B715" s="39" t="n">
        <v>12</v>
      </c>
      <c r="C715" s="39">
        <f>A715+B715-1</f>
        <v/>
      </c>
      <c r="D715" s="39">
        <f>INT((C715-1)/12)+1</f>
        <v/>
      </c>
      <c r="E715" s="44">
        <f>INDEX(Monthly!$B$2:$B$61,A715)</f>
        <v/>
      </c>
      <c r="F715" s="44">
        <f>E715*INDEX('Age profile'!$B$2:$B$61,B715)</f>
        <v/>
      </c>
      <c r="G715" s="45">
        <f>MIN(in_takeup_cap,INDEX('Age profile'!$N$2:$N$61,B715)*(1+in_takeup_growth)^(D715-1))</f>
        <v/>
      </c>
      <c r="H715" s="11">
        <f>MIN(in_approval_cap,in_approved_first*INDEX('Age profile'!$O$2:$O$61,B715)*(1+in_approval_growth)^(D715-1))</f>
        <v/>
      </c>
      <c r="I715" s="45">
        <f>G715*MIN(in_takeup_cap,INDEX('Age profile'!$O$2:$O$61,B715)*(1+in_approval_growth)^(D715-1))</f>
        <v/>
      </c>
      <c r="J715" s="40">
        <f>(J714-L714)*F715/F714</f>
        <v/>
      </c>
      <c r="K715" s="40">
        <f>(K714-M714)*F715/F714+SUMIFS(O704:O714,B704:B714,B715-1-d_T)*F715</f>
        <v/>
      </c>
      <c r="L715" s="40">
        <f>IF(B715&gt;=in_marketplace_from,J715*d_hz*G715*in_eligible*H715,0)</f>
        <v/>
      </c>
      <c r="M715" s="40">
        <f>IF(B715&gt;=in_marketplace_from,K715*d_hz*G715*in_eligible*in_approved_repeat,0)</f>
        <v/>
      </c>
      <c r="N715" s="40">
        <f>L715+M715</f>
        <v/>
      </c>
      <c r="O715" s="46">
        <f>N715/F715</f>
        <v/>
      </c>
      <c r="P715" s="40">
        <f>F715-J715-K715</f>
        <v/>
      </c>
      <c r="Q715" s="40">
        <f>IF(B715&gt;=in_marketplace_from,(J715+K715)*d_hz*G715,0)</f>
        <v/>
      </c>
      <c r="R715" s="40">
        <f>SUMIFS(N704:N750,B704:B750,"&gt;="&amp;(B715-d_T),B704:B750,"&lt;="&amp;(B715-1))</f>
        <v/>
      </c>
      <c r="S715" s="46">
        <f>(1-d_u)*S714+IF(d_T&gt;in_topup_lag,SUMIFS(O704:O750,B704:B750,B715-in_topup_lag)-d_udrop*SUMIFS(O704:O750,B704:B750,B715-d_T),0)</f>
        <v/>
      </c>
      <c r="T715" s="40">
        <f>F715*d_u*S715</f>
        <v/>
      </c>
      <c r="U715" s="9">
        <f>L715*in_ticket+M715*d_rep_ticket</f>
        <v/>
      </c>
      <c r="V715" s="9">
        <f>U715+T715*d_topup_amt</f>
        <v/>
      </c>
      <c r="W715" s="40">
        <f>N715+T715*d_topup_ratio</f>
        <v/>
      </c>
      <c r="X715" s="40">
        <f>SUMIFS(W704:W750,B704:B750,B715-in_dpd_lag)*d_cured</f>
        <v/>
      </c>
      <c r="Y715" s="40">
        <f>SUMIFS(W704:W750,B704:B750,B715-in_rec_lag)*d_recd</f>
        <v/>
      </c>
      <c r="Z715" s="40">
        <f>IF(AND(B715&gt;=in_marketplace_from,B715&lt;in_marketplace_from+in_card_months),in_card_share/in_card_months*F715*I715,IF(AND(B715&gt;=in_marketplace_from+in_card_months,B715&lt;in_marketplace_from+2*in_card_months),in_card_share*d_card_rem/in_card_months*F715*MIN(in_takeup_cap,(1+in_takeup_growth)^(D715-1))*MIN(in_takeup_cap,(1+in_approval_growth)^(D715-1)),0))</f>
        <v/>
      </c>
      <c r="AA715" s="14">
        <f>V715*in_fee*(1-in_taken_back)</f>
        <v/>
      </c>
      <c r="AB715" s="14">
        <f>SUMIFS(W704:W750,B704:B750,B715-in_dpd_lag)*d_dpd</f>
        <v/>
      </c>
      <c r="AC715" s="14">
        <f>SUMIFS(W704:W750,B704:B750,B715-in_rec_lag)*d_rec</f>
        <v/>
      </c>
      <c r="AD715" s="14">
        <f>Z715*in_card_fee</f>
        <v/>
      </c>
      <c r="AE715" s="40">
        <f>AE714*(1-IF(B714&gt;=in_marketplace_from,d_hz_hlth_small*G714,0))</f>
        <v/>
      </c>
      <c r="AF715" s="46">
        <f>AE715*IF(B715&gt;=in_marketplace_from,d_hz_hlth_small*G715,0)</f>
        <v/>
      </c>
      <c r="AG715" s="14">
        <f>F715*AF715*in_hlth_small_ticket*in_hlth_small_comm*in_ins_partner_share+F715*in_hlth_small_ticket*in_hlth_small_renew_comm*in_ins_partner_share*(in_hlth_small_renew^1*SUMIFS(AF704:AF750,B704:B750,B715-12)+in_hlth_small_renew^2*SUMIFS(AF704:AF750,B704:B750,B715-24)+in_hlth_small_renew^3*SUMIFS(AF704:AF750,B704:B750,B715-36)+in_hlth_small_renew^4*SUMIFS(AF704:AF750,B704:B750,B715-48))</f>
        <v/>
      </c>
      <c r="AH715" s="40">
        <f>AH714*(1-IF(B714&gt;=in_marketplace_from,d_hz_hlth_family*G714,0))</f>
        <v/>
      </c>
      <c r="AI715" s="46">
        <f>AH715*IF(B715&gt;=in_marketplace_from,d_hz_hlth_family*G715,0)</f>
        <v/>
      </c>
      <c r="AJ715" s="14">
        <f>F715*AI715*in_hlth_family_ticket*in_hlth_family_comm*in_ins_partner_share+F715*in_hlth_family_ticket*in_hlth_family_renew_comm*in_ins_partner_share*(in_hlth_family_renew^1*SUMIFS(AI704:AI750,B704:B750,B715-12)+in_hlth_family_renew^2*SUMIFS(AI704:AI750,B704:B750,B715-24)+in_hlth_family_renew^3*SUMIFS(AI704:AI750,B704:B750,B715-36)+in_hlth_family_renew^4*SUMIFS(AI704:AI750,B704:B750,B715-48))</f>
        <v/>
      </c>
      <c r="AK715" s="40">
        <f>AK714*(1-IF(B714&gt;=in_marketplace_from,d_hz_life_term*G714,0))</f>
        <v/>
      </c>
      <c r="AL715" s="46">
        <f>AK715*IF(B715&gt;=in_marketplace_from,d_hz_life_term*G715,0)</f>
        <v/>
      </c>
      <c r="AM715" s="14">
        <f>F715*AL715*in_life_term_ticket*in_life_term_comm*in_ins_partner_share+F715*in_life_term_ticket*in_life_term_renew_comm*in_ins_partner_share*(in_life_term_renew^1*SUMIFS(AL704:AL750,B704:B750,B715-12)+in_life_term_renew^2*SUMIFS(AL704:AL750,B704:B750,B715-24)+in_life_term_renew^3*SUMIFS(AL704:AL750,B704:B750,B715-36)+in_life_term_renew^4*SUMIFS(AL704:AL750,B704:B750,B715-48))</f>
        <v/>
      </c>
      <c r="AN715" s="40">
        <f>AN714*(1-IF(B714&gt;=in_marketplace_from,d_hz_accident*G714,0))</f>
        <v/>
      </c>
      <c r="AO715" s="46">
        <f>AN715*IF(B715&gt;=in_marketplace_from,d_hz_accident*G715,0)</f>
        <v/>
      </c>
      <c r="AP715" s="14">
        <f>F715*AO715*in_accident_ticket*in_accident_comm*in_ins_partner_share+F715*in_accident_ticket*in_accident_renew_comm*in_ins_partner_share*(in_accident_renew^1*SUMIFS(AO704:AO750,B704:B750,B715-12)+in_accident_renew^2*SUMIFS(AO704:AO750,B704:B750,B715-24)+in_accident_renew^3*SUMIFS(AO704:AO750,B704:B750,B715-36)+in_accident_renew^4*SUMIFS(AO704:AO750,B704:B750,B715-48))</f>
        <v/>
      </c>
      <c r="AQ715" s="40">
        <f>AQ714*(1-IF(B714&gt;=in_marketplace_from,d_hz_two_wheeler*G714,0))</f>
        <v/>
      </c>
      <c r="AR715" s="46">
        <f>AQ715*IF(B715&gt;=in_marketplace_from,d_hz_two_wheeler*G715,0)</f>
        <v/>
      </c>
      <c r="AS715" s="14">
        <f>F715*AR715*in_two_wheeler_ticket*in_two_wheeler_comm*in_ins_partner_share+F715*in_two_wheeler_ticket*in_two_wheeler_comm*in_ins_partner_share*(in_two_wheeler_renew^1*SUMIFS(AR704:AR750,B704:B750,B715-12)+in_two_wheeler_renew^2*SUMIFS(AR704:AR750,B704:B750,B715-24)+in_two_wheeler_renew^3*SUMIFS(AR704:AR750,B704:B750,B715-36)+in_two_wheeler_renew^4*SUMIFS(AR704:AR750,B704:B750,B715-48))</f>
        <v/>
      </c>
      <c r="AT715" s="40">
        <f>AT714*(1-IF(B714&gt;=in_marketplace_from,d_hz_device*G714,0))</f>
        <v/>
      </c>
      <c r="AU715" s="14">
        <f>F715*AT715*IF(B715&gt;=in_marketplace_from,d_hz_device*G715,0)*in_device_ticket*in_device_comm*in_ins_partner_share</f>
        <v/>
      </c>
      <c r="AV715" s="40">
        <f>AV714*(1-IF(B714&gt;=in_marketplace_from,d_hz_shop*G714,0))</f>
        <v/>
      </c>
      <c r="AW715" s="46">
        <f>AV715*IF(B715&gt;=in_marketplace_from,d_hz_shop*G715,0)</f>
        <v/>
      </c>
      <c r="AX715" s="14">
        <f>F715*AW715*in_shop_ticket*in_shop_comm*in_ins_partner_share+F715*in_shop_ticket*in_shop_renew_comm*in_ins_partner_share*(in_shop_renew^1*SUMIFS(AW704:AW750,B704:B750,B715-12)+in_shop_renew^2*SUMIFS(AW704:AW750,B704:B750,B715-24)+in_shop_renew^3*SUMIFS(AW704:AW750,B704:B750,B715-36)+in_shop_renew^4*SUMIFS(AW704:AW750,B704:B750,B715-48))</f>
        <v/>
      </c>
      <c r="AY715" s="40">
        <f>AY714*(1-IF(B714&gt;=in_marketplace_from,d_hz_sip*G714,0))</f>
        <v/>
      </c>
      <c r="AZ715" s="40">
        <f>AZ714*d_rho_sip+AY715*IF(B715&gt;=in_marketplace_from,d_hz_sip*G715,0)</f>
        <v/>
      </c>
      <c r="BA715" s="40">
        <f>d_rho_sip*(BA714+AZ714)</f>
        <v/>
      </c>
      <c r="BB715" s="14">
        <f>F715*in_sip_ticket*(BA715+0.5*AZ715)*in_sip_comm/12</f>
        <v/>
      </c>
      <c r="BC715" s="40">
        <f>BC714*(1-IF(B714&gt;=in_marketplace_from,d_hz_choti*G714,0))</f>
        <v/>
      </c>
      <c r="BD715" s="46">
        <f>BC715*IF(B715&gt;=in_marketplace_from,d_hz_choti*G715,0)</f>
        <v/>
      </c>
      <c r="BE715" s="14">
        <f>F715*SUMIFS(BD704:BD750,B704:B750,B715-in_choti_months)*in_choti_renew*in_choti_ticket</f>
        <v/>
      </c>
      <c r="BF715" s="40">
        <f>BF714*(1-IF(B714&gt;=in_marketplace_from,d_hz_nps*G714,0))</f>
        <v/>
      </c>
      <c r="BG715" s="14">
        <f>F715*BF715*IF(B715&gt;=in_marketplace_from,d_hz_nps*G715,0)*in_nps_ticket*in_nps_comm</f>
        <v/>
      </c>
      <c r="BH715" s="40">
        <f>BH714*(1-IF(B714&gt;=in_marketplace_from,d_hz_gold*G714,0))</f>
        <v/>
      </c>
      <c r="BI715" s="40">
        <f>BI714*d_rho_gold+BH715*IF(B715&gt;=in_marketplace_from,d_hz_gold*G715,0)</f>
        <v/>
      </c>
      <c r="BJ715" s="14">
        <f>F715*BI715*in_gold_ticket*in_gold_comm</f>
        <v/>
      </c>
      <c r="BK715" s="40">
        <f>BK714*(1-IF(B714&gt;=in_marketplace_from,d_hz_fd*G714,0))</f>
        <v/>
      </c>
      <c r="BL715" s="14">
        <f>F715*BK715*IF(B715&gt;=in_marketplace_from,d_hz_fd*G715,0)*in_fd_ticket*in_fd_comm</f>
        <v/>
      </c>
      <c r="BM715" s="40">
        <f>BM714*(1-IF(B714&gt;=in_marketplace_from,d_hz_recharge*G714,0))</f>
        <v/>
      </c>
      <c r="BN715" s="40">
        <f>BN714*d_rho_recharge+BM715*IF(B715&gt;=in_marketplace_from,d_hz_recharge*G715,0)</f>
        <v/>
      </c>
      <c r="BO715" s="14">
        <f>F715*BN715*in_recharge_ticket*in_recharge_comm/12</f>
        <v/>
      </c>
      <c r="BP715" s="40">
        <f>BP714*(1-IF(B714&gt;=in_marketplace_from,d_hz_bills*G714,0))</f>
        <v/>
      </c>
      <c r="BQ715" s="40">
        <f>BQ714*d_rho_bills+BP715*IF(B715&gt;=in_marketplace_from,d_hz_bills*G715,0)</f>
        <v/>
      </c>
      <c r="BR715" s="14">
        <f>F715*BQ715*in_bills_ticket*in_bills_comm/12</f>
        <v/>
      </c>
      <c r="BS715" s="40">
        <f>BS714*(1-IF(B714&gt;=in_marketplace_from,d_hz_loan_gold*G714,0))</f>
        <v/>
      </c>
      <c r="BT715" s="14">
        <f>F715*BS715*IF(B715&gt;=in_marketplace_from,d_hz_loan_gold*G715,0)*in_loan_gold_ticket*in_loan_gold_comm</f>
        <v/>
      </c>
      <c r="BU715" s="40">
        <f>BU714*(1-IF(B714&gt;=in_marketplace_from,d_hz_loan_cd*G714,0))</f>
        <v/>
      </c>
      <c r="BV715" s="14">
        <f>F715*BU715*IF(B715&gt;=in_marketplace_from,d_hz_loan_cd*G715,0)*in_loan_cd_ticket*in_loan_cd_comm</f>
        <v/>
      </c>
      <c r="BW715" s="40">
        <f>BW714*(1-IF(B714&gt;=in_marketplace_from,d_hz_loan_vehicle*G714,0))</f>
        <v/>
      </c>
      <c r="BX715" s="14">
        <f>F715*BW715*IF(B715&gt;=in_marketplace_from,d_hz_loan_vehicle*G715,0)*in_loan_vehicle_ticket*in_loan_vehicle_comm</f>
        <v/>
      </c>
      <c r="BY715" s="40">
        <f>BY714*(1-IF(B714&gt;=in_marketplace_from,d_hz_loan_home*G714,0)*BZ714)</f>
        <v/>
      </c>
      <c r="BZ715" s="11">
        <f>MIN(in_approval_cap,in_loan_home_approval*INDEX('Age profile'!$O$2:$O$61,B715)*(1+in_approval_growth)^(D715-1))</f>
        <v/>
      </c>
      <c r="CA715" s="14">
        <f>F715*BY715*IF(B715&gt;=in_marketplace_from,d_hz_loan_home*G715,0)*BZ715*in_loan_home_ticket*in_loan_home_comm</f>
        <v/>
      </c>
      <c r="CB715" s="40">
        <f>CB714*(1-IF(B714&gt;=in_marketplace_from,d_hz_loan_lap*G714,0)*CC714)</f>
        <v/>
      </c>
      <c r="CC715" s="11">
        <f>MIN(in_approval_cap,in_loan_lap_approval*INDEX('Age profile'!$O$2:$O$61,B715)*(1+in_approval_growth)^(D715-1))</f>
        <v/>
      </c>
      <c r="CD715" s="14">
        <f>F715*CB715*IF(B715&gt;=in_marketplace_from,d_hz_loan_lap*G715,0)*CC715*in_loan_lap_ticket*in_loan_lap_comm</f>
        <v/>
      </c>
      <c r="CE715" s="14">
        <f>AA715+AB715+AC715+AD715+AG715+AJ715+AM715+AP715+AS715+AU715+AX715+BB715+BE715+BG715+BJ715+BL715+BO715+BR715+BT715+BV715+BX715+CA715+CD715</f>
        <v/>
      </c>
    </row>
    <row r="716">
      <c r="A716" s="39" t="n">
        <v>14</v>
      </c>
      <c r="B716" s="39" t="n">
        <v>13</v>
      </c>
      <c r="C716" s="39">
        <f>A716+B716-1</f>
        <v/>
      </c>
      <c r="D716" s="39">
        <f>INT((C716-1)/12)+1</f>
        <v/>
      </c>
      <c r="E716" s="44">
        <f>INDEX(Monthly!$B$2:$B$61,A716)</f>
        <v/>
      </c>
      <c r="F716" s="44">
        <f>E716*INDEX('Age profile'!$B$2:$B$61,B716)</f>
        <v/>
      </c>
      <c r="G716" s="45">
        <f>MIN(in_takeup_cap,INDEX('Age profile'!$N$2:$N$61,B716)*(1+in_takeup_growth)^(D716-1))</f>
        <v/>
      </c>
      <c r="H716" s="11">
        <f>MIN(in_approval_cap,in_approved_first*INDEX('Age profile'!$O$2:$O$61,B716)*(1+in_approval_growth)^(D716-1))</f>
        <v/>
      </c>
      <c r="I716" s="45">
        <f>G716*MIN(in_takeup_cap,INDEX('Age profile'!$O$2:$O$61,B716)*(1+in_approval_growth)^(D716-1))</f>
        <v/>
      </c>
      <c r="J716" s="40">
        <f>(J715-L715)*F716/F715</f>
        <v/>
      </c>
      <c r="K716" s="40">
        <f>(K715-M715)*F716/F715+SUMIFS(O704:O715,B704:B715,B716-1-d_T)*F716</f>
        <v/>
      </c>
      <c r="L716" s="40">
        <f>IF(B716&gt;=in_marketplace_from,J716*d_hz*G716*in_eligible*H716,0)</f>
        <v/>
      </c>
      <c r="M716" s="40">
        <f>IF(B716&gt;=in_marketplace_from,K716*d_hz*G716*in_eligible*in_approved_repeat,0)</f>
        <v/>
      </c>
      <c r="N716" s="40">
        <f>L716+M716</f>
        <v/>
      </c>
      <c r="O716" s="46">
        <f>N716/F716</f>
        <v/>
      </c>
      <c r="P716" s="40">
        <f>F716-J716-K716</f>
        <v/>
      </c>
      <c r="Q716" s="40">
        <f>IF(B716&gt;=in_marketplace_from,(J716+K716)*d_hz*G716,0)</f>
        <v/>
      </c>
      <c r="R716" s="40">
        <f>SUMIFS(N704:N750,B704:B750,"&gt;="&amp;(B716-d_T),B704:B750,"&lt;="&amp;(B716-1))</f>
        <v/>
      </c>
      <c r="S716" s="46">
        <f>(1-d_u)*S715+IF(d_T&gt;in_topup_lag,SUMIFS(O704:O750,B704:B750,B716-in_topup_lag)-d_udrop*SUMIFS(O704:O750,B704:B750,B716-d_T),0)</f>
        <v/>
      </c>
      <c r="T716" s="40">
        <f>F716*d_u*S716</f>
        <v/>
      </c>
      <c r="U716" s="9">
        <f>L716*in_ticket+M716*d_rep_ticket</f>
        <v/>
      </c>
      <c r="V716" s="9">
        <f>U716+T716*d_topup_amt</f>
        <v/>
      </c>
      <c r="W716" s="40">
        <f>N716+T716*d_topup_ratio</f>
        <v/>
      </c>
      <c r="X716" s="40">
        <f>SUMIFS(W704:W750,B704:B750,B716-in_dpd_lag)*d_cured</f>
        <v/>
      </c>
      <c r="Y716" s="40">
        <f>SUMIFS(W704:W750,B704:B750,B716-in_rec_lag)*d_recd</f>
        <v/>
      </c>
      <c r="Z716" s="40">
        <f>IF(AND(B716&gt;=in_marketplace_from,B716&lt;in_marketplace_from+in_card_months),in_card_share/in_card_months*F716*I716,IF(AND(B716&gt;=in_marketplace_from+in_card_months,B716&lt;in_marketplace_from+2*in_card_months),in_card_share*d_card_rem/in_card_months*F716*MIN(in_takeup_cap,(1+in_takeup_growth)^(D716-1))*MIN(in_takeup_cap,(1+in_approval_growth)^(D716-1)),0))</f>
        <v/>
      </c>
      <c r="AA716" s="14">
        <f>V716*in_fee*(1-in_taken_back)</f>
        <v/>
      </c>
      <c r="AB716" s="14">
        <f>SUMIFS(W704:W750,B704:B750,B716-in_dpd_lag)*d_dpd</f>
        <v/>
      </c>
      <c r="AC716" s="14">
        <f>SUMIFS(W704:W750,B704:B750,B716-in_rec_lag)*d_rec</f>
        <v/>
      </c>
      <c r="AD716" s="14">
        <f>Z716*in_card_fee</f>
        <v/>
      </c>
      <c r="AE716" s="40">
        <f>AE715*(1-IF(B715&gt;=in_marketplace_from,d_hz_hlth_small*G715,0))</f>
        <v/>
      </c>
      <c r="AF716" s="46">
        <f>AE716*IF(B716&gt;=in_marketplace_from,d_hz_hlth_small*G716,0)</f>
        <v/>
      </c>
      <c r="AG716" s="14">
        <f>F716*AF716*in_hlth_small_ticket*in_hlth_small_comm*in_ins_partner_share+F716*in_hlth_small_ticket*in_hlth_small_renew_comm*in_ins_partner_share*(in_hlth_small_renew^1*SUMIFS(AF704:AF750,B704:B750,B716-12)+in_hlth_small_renew^2*SUMIFS(AF704:AF750,B704:B750,B716-24)+in_hlth_small_renew^3*SUMIFS(AF704:AF750,B704:B750,B716-36)+in_hlth_small_renew^4*SUMIFS(AF704:AF750,B704:B750,B716-48))</f>
        <v/>
      </c>
      <c r="AH716" s="40">
        <f>AH715*(1-IF(B715&gt;=in_marketplace_from,d_hz_hlth_family*G715,0))</f>
        <v/>
      </c>
      <c r="AI716" s="46">
        <f>AH716*IF(B716&gt;=in_marketplace_from,d_hz_hlth_family*G716,0)</f>
        <v/>
      </c>
      <c r="AJ716" s="14">
        <f>F716*AI716*in_hlth_family_ticket*in_hlth_family_comm*in_ins_partner_share+F716*in_hlth_family_ticket*in_hlth_family_renew_comm*in_ins_partner_share*(in_hlth_family_renew^1*SUMIFS(AI704:AI750,B704:B750,B716-12)+in_hlth_family_renew^2*SUMIFS(AI704:AI750,B704:B750,B716-24)+in_hlth_family_renew^3*SUMIFS(AI704:AI750,B704:B750,B716-36)+in_hlth_family_renew^4*SUMIFS(AI704:AI750,B704:B750,B716-48))</f>
        <v/>
      </c>
      <c r="AK716" s="40">
        <f>AK715*(1-IF(B715&gt;=in_marketplace_from,d_hz_life_term*G715,0))</f>
        <v/>
      </c>
      <c r="AL716" s="46">
        <f>AK716*IF(B716&gt;=in_marketplace_from,d_hz_life_term*G716,0)</f>
        <v/>
      </c>
      <c r="AM716" s="14">
        <f>F716*AL716*in_life_term_ticket*in_life_term_comm*in_ins_partner_share+F716*in_life_term_ticket*in_life_term_renew_comm*in_ins_partner_share*(in_life_term_renew^1*SUMIFS(AL704:AL750,B704:B750,B716-12)+in_life_term_renew^2*SUMIFS(AL704:AL750,B704:B750,B716-24)+in_life_term_renew^3*SUMIFS(AL704:AL750,B704:B750,B716-36)+in_life_term_renew^4*SUMIFS(AL704:AL750,B704:B750,B716-48))</f>
        <v/>
      </c>
      <c r="AN716" s="40">
        <f>AN715*(1-IF(B715&gt;=in_marketplace_from,d_hz_accident*G715,0))</f>
        <v/>
      </c>
      <c r="AO716" s="46">
        <f>AN716*IF(B716&gt;=in_marketplace_from,d_hz_accident*G716,0)</f>
        <v/>
      </c>
      <c r="AP716" s="14">
        <f>F716*AO716*in_accident_ticket*in_accident_comm*in_ins_partner_share+F716*in_accident_ticket*in_accident_renew_comm*in_ins_partner_share*(in_accident_renew^1*SUMIFS(AO704:AO750,B704:B750,B716-12)+in_accident_renew^2*SUMIFS(AO704:AO750,B704:B750,B716-24)+in_accident_renew^3*SUMIFS(AO704:AO750,B704:B750,B716-36)+in_accident_renew^4*SUMIFS(AO704:AO750,B704:B750,B716-48))</f>
        <v/>
      </c>
      <c r="AQ716" s="40">
        <f>AQ715*(1-IF(B715&gt;=in_marketplace_from,d_hz_two_wheeler*G715,0))</f>
        <v/>
      </c>
      <c r="AR716" s="46">
        <f>AQ716*IF(B716&gt;=in_marketplace_from,d_hz_two_wheeler*G716,0)</f>
        <v/>
      </c>
      <c r="AS716" s="14">
        <f>F716*AR716*in_two_wheeler_ticket*in_two_wheeler_comm*in_ins_partner_share+F716*in_two_wheeler_ticket*in_two_wheeler_comm*in_ins_partner_share*(in_two_wheeler_renew^1*SUMIFS(AR704:AR750,B704:B750,B716-12)+in_two_wheeler_renew^2*SUMIFS(AR704:AR750,B704:B750,B716-24)+in_two_wheeler_renew^3*SUMIFS(AR704:AR750,B704:B750,B716-36)+in_two_wheeler_renew^4*SUMIFS(AR704:AR750,B704:B750,B716-48))</f>
        <v/>
      </c>
      <c r="AT716" s="40">
        <f>AT715*(1-IF(B715&gt;=in_marketplace_from,d_hz_device*G715,0))</f>
        <v/>
      </c>
      <c r="AU716" s="14">
        <f>F716*AT716*IF(B716&gt;=in_marketplace_from,d_hz_device*G716,0)*in_device_ticket*in_device_comm*in_ins_partner_share</f>
        <v/>
      </c>
      <c r="AV716" s="40">
        <f>AV715*(1-IF(B715&gt;=in_marketplace_from,d_hz_shop*G715,0))</f>
        <v/>
      </c>
      <c r="AW716" s="46">
        <f>AV716*IF(B716&gt;=in_marketplace_from,d_hz_shop*G716,0)</f>
        <v/>
      </c>
      <c r="AX716" s="14">
        <f>F716*AW716*in_shop_ticket*in_shop_comm*in_ins_partner_share+F716*in_shop_ticket*in_shop_renew_comm*in_ins_partner_share*(in_shop_renew^1*SUMIFS(AW704:AW750,B704:B750,B716-12)+in_shop_renew^2*SUMIFS(AW704:AW750,B704:B750,B716-24)+in_shop_renew^3*SUMIFS(AW704:AW750,B704:B750,B716-36)+in_shop_renew^4*SUMIFS(AW704:AW750,B704:B750,B716-48))</f>
        <v/>
      </c>
      <c r="AY716" s="40">
        <f>AY715*(1-IF(B715&gt;=in_marketplace_from,d_hz_sip*G715,0))</f>
        <v/>
      </c>
      <c r="AZ716" s="40">
        <f>AZ715*d_rho_sip+AY716*IF(B716&gt;=in_marketplace_from,d_hz_sip*G716,0)</f>
        <v/>
      </c>
      <c r="BA716" s="40">
        <f>d_rho_sip*(BA715+AZ715)</f>
        <v/>
      </c>
      <c r="BB716" s="14">
        <f>F716*in_sip_ticket*(BA716+0.5*AZ716)*in_sip_comm/12</f>
        <v/>
      </c>
      <c r="BC716" s="40">
        <f>BC715*(1-IF(B715&gt;=in_marketplace_from,d_hz_choti*G715,0))</f>
        <v/>
      </c>
      <c r="BD716" s="46">
        <f>BC716*IF(B716&gt;=in_marketplace_from,d_hz_choti*G716,0)</f>
        <v/>
      </c>
      <c r="BE716" s="14">
        <f>F716*SUMIFS(BD704:BD750,B704:B750,B716-in_choti_months)*in_choti_renew*in_choti_ticket</f>
        <v/>
      </c>
      <c r="BF716" s="40">
        <f>BF715*(1-IF(B715&gt;=in_marketplace_from,d_hz_nps*G715,0))</f>
        <v/>
      </c>
      <c r="BG716" s="14">
        <f>F716*BF716*IF(B716&gt;=in_marketplace_from,d_hz_nps*G716,0)*in_nps_ticket*in_nps_comm</f>
        <v/>
      </c>
      <c r="BH716" s="40">
        <f>BH715*(1-IF(B715&gt;=in_marketplace_from,d_hz_gold*G715,0))</f>
        <v/>
      </c>
      <c r="BI716" s="40">
        <f>BI715*d_rho_gold+BH716*IF(B716&gt;=in_marketplace_from,d_hz_gold*G716,0)</f>
        <v/>
      </c>
      <c r="BJ716" s="14">
        <f>F716*BI716*in_gold_ticket*in_gold_comm</f>
        <v/>
      </c>
      <c r="BK716" s="40">
        <f>BK715*(1-IF(B715&gt;=in_marketplace_from,d_hz_fd*G715,0))</f>
        <v/>
      </c>
      <c r="BL716" s="14">
        <f>F716*BK716*IF(B716&gt;=in_marketplace_from,d_hz_fd*G716,0)*in_fd_ticket*in_fd_comm</f>
        <v/>
      </c>
      <c r="BM716" s="40">
        <f>BM715*(1-IF(B715&gt;=in_marketplace_from,d_hz_recharge*G715,0))</f>
        <v/>
      </c>
      <c r="BN716" s="40">
        <f>BN715*d_rho_recharge+BM716*IF(B716&gt;=in_marketplace_from,d_hz_recharge*G716,0)</f>
        <v/>
      </c>
      <c r="BO716" s="14">
        <f>F716*BN716*in_recharge_ticket*in_recharge_comm/12</f>
        <v/>
      </c>
      <c r="BP716" s="40">
        <f>BP715*(1-IF(B715&gt;=in_marketplace_from,d_hz_bills*G715,0))</f>
        <v/>
      </c>
      <c r="BQ716" s="40">
        <f>BQ715*d_rho_bills+BP716*IF(B716&gt;=in_marketplace_from,d_hz_bills*G716,0)</f>
        <v/>
      </c>
      <c r="BR716" s="14">
        <f>F716*BQ716*in_bills_ticket*in_bills_comm/12</f>
        <v/>
      </c>
      <c r="BS716" s="40">
        <f>BS715*(1-IF(B715&gt;=in_marketplace_from,d_hz_loan_gold*G715,0))</f>
        <v/>
      </c>
      <c r="BT716" s="14">
        <f>F716*BS716*IF(B716&gt;=in_marketplace_from,d_hz_loan_gold*G716,0)*in_loan_gold_ticket*in_loan_gold_comm</f>
        <v/>
      </c>
      <c r="BU716" s="40">
        <f>BU715*(1-IF(B715&gt;=in_marketplace_from,d_hz_loan_cd*G715,0))</f>
        <v/>
      </c>
      <c r="BV716" s="14">
        <f>F716*BU716*IF(B716&gt;=in_marketplace_from,d_hz_loan_cd*G716,0)*in_loan_cd_ticket*in_loan_cd_comm</f>
        <v/>
      </c>
      <c r="BW716" s="40">
        <f>BW715*(1-IF(B715&gt;=in_marketplace_from,d_hz_loan_vehicle*G715,0))</f>
        <v/>
      </c>
      <c r="BX716" s="14">
        <f>F716*BW716*IF(B716&gt;=in_marketplace_from,d_hz_loan_vehicle*G716,0)*in_loan_vehicle_ticket*in_loan_vehicle_comm</f>
        <v/>
      </c>
      <c r="BY716" s="40">
        <f>BY715*(1-IF(B715&gt;=in_marketplace_from,d_hz_loan_home*G715,0)*BZ715)</f>
        <v/>
      </c>
      <c r="BZ716" s="11">
        <f>MIN(in_approval_cap,in_loan_home_approval*INDEX('Age profile'!$O$2:$O$61,B716)*(1+in_approval_growth)^(D716-1))</f>
        <v/>
      </c>
      <c r="CA716" s="14">
        <f>F716*BY716*IF(B716&gt;=in_marketplace_from,d_hz_loan_home*G716,0)*BZ716*in_loan_home_ticket*in_loan_home_comm</f>
        <v/>
      </c>
      <c r="CB716" s="40">
        <f>CB715*(1-IF(B715&gt;=in_marketplace_from,d_hz_loan_lap*G715,0)*CC715)</f>
        <v/>
      </c>
      <c r="CC716" s="11">
        <f>MIN(in_approval_cap,in_loan_lap_approval*INDEX('Age profile'!$O$2:$O$61,B716)*(1+in_approval_growth)^(D716-1))</f>
        <v/>
      </c>
      <c r="CD716" s="14">
        <f>F716*CB716*IF(B716&gt;=in_marketplace_from,d_hz_loan_lap*G716,0)*CC716*in_loan_lap_ticket*in_loan_lap_comm</f>
        <v/>
      </c>
      <c r="CE716" s="14">
        <f>AA716+AB716+AC716+AD716+AG716+AJ716+AM716+AP716+AS716+AU716+AX716+BB716+BE716+BG716+BJ716+BL716+BO716+BR716+BT716+BV716+BX716+CA716+CD716</f>
        <v/>
      </c>
    </row>
    <row r="717">
      <c r="A717" s="39" t="n">
        <v>14</v>
      </c>
      <c r="B717" s="39" t="n">
        <v>14</v>
      </c>
      <c r="C717" s="39">
        <f>A717+B717-1</f>
        <v/>
      </c>
      <c r="D717" s="39">
        <f>INT((C717-1)/12)+1</f>
        <v/>
      </c>
      <c r="E717" s="44">
        <f>INDEX(Monthly!$B$2:$B$61,A717)</f>
        <v/>
      </c>
      <c r="F717" s="44">
        <f>E717*INDEX('Age profile'!$B$2:$B$61,B717)</f>
        <v/>
      </c>
      <c r="G717" s="45">
        <f>MIN(in_takeup_cap,INDEX('Age profile'!$N$2:$N$61,B717)*(1+in_takeup_growth)^(D717-1))</f>
        <v/>
      </c>
      <c r="H717" s="11">
        <f>MIN(in_approval_cap,in_approved_first*INDEX('Age profile'!$O$2:$O$61,B717)*(1+in_approval_growth)^(D717-1))</f>
        <v/>
      </c>
      <c r="I717" s="45">
        <f>G717*MIN(in_takeup_cap,INDEX('Age profile'!$O$2:$O$61,B717)*(1+in_approval_growth)^(D717-1))</f>
        <v/>
      </c>
      <c r="J717" s="40">
        <f>(J716-L716)*F717/F716</f>
        <v/>
      </c>
      <c r="K717" s="40">
        <f>(K716-M716)*F717/F716+SUMIFS(O704:O716,B704:B716,B717-1-d_T)*F717</f>
        <v/>
      </c>
      <c r="L717" s="40">
        <f>IF(B717&gt;=in_marketplace_from,J717*d_hz*G717*in_eligible*H717,0)</f>
        <v/>
      </c>
      <c r="M717" s="40">
        <f>IF(B717&gt;=in_marketplace_from,K717*d_hz*G717*in_eligible*in_approved_repeat,0)</f>
        <v/>
      </c>
      <c r="N717" s="40">
        <f>L717+M717</f>
        <v/>
      </c>
      <c r="O717" s="46">
        <f>N717/F717</f>
        <v/>
      </c>
      <c r="P717" s="40">
        <f>F717-J717-K717</f>
        <v/>
      </c>
      <c r="Q717" s="40">
        <f>IF(B717&gt;=in_marketplace_from,(J717+K717)*d_hz*G717,0)</f>
        <v/>
      </c>
      <c r="R717" s="40">
        <f>SUMIFS(N704:N750,B704:B750,"&gt;="&amp;(B717-d_T),B704:B750,"&lt;="&amp;(B717-1))</f>
        <v/>
      </c>
      <c r="S717" s="46">
        <f>(1-d_u)*S716+IF(d_T&gt;in_topup_lag,SUMIFS(O704:O750,B704:B750,B717-in_topup_lag)-d_udrop*SUMIFS(O704:O750,B704:B750,B717-d_T),0)</f>
        <v/>
      </c>
      <c r="T717" s="40">
        <f>F717*d_u*S717</f>
        <v/>
      </c>
      <c r="U717" s="9">
        <f>L717*in_ticket+M717*d_rep_ticket</f>
        <v/>
      </c>
      <c r="V717" s="9">
        <f>U717+T717*d_topup_amt</f>
        <v/>
      </c>
      <c r="W717" s="40">
        <f>N717+T717*d_topup_ratio</f>
        <v/>
      </c>
      <c r="X717" s="40">
        <f>SUMIFS(W704:W750,B704:B750,B717-in_dpd_lag)*d_cured</f>
        <v/>
      </c>
      <c r="Y717" s="40">
        <f>SUMIFS(W704:W750,B704:B750,B717-in_rec_lag)*d_recd</f>
        <v/>
      </c>
      <c r="Z717" s="40">
        <f>IF(AND(B717&gt;=in_marketplace_from,B717&lt;in_marketplace_from+in_card_months),in_card_share/in_card_months*F717*I717,IF(AND(B717&gt;=in_marketplace_from+in_card_months,B717&lt;in_marketplace_from+2*in_card_months),in_card_share*d_card_rem/in_card_months*F717*MIN(in_takeup_cap,(1+in_takeup_growth)^(D717-1))*MIN(in_takeup_cap,(1+in_approval_growth)^(D717-1)),0))</f>
        <v/>
      </c>
      <c r="AA717" s="14">
        <f>V717*in_fee*(1-in_taken_back)</f>
        <v/>
      </c>
      <c r="AB717" s="14">
        <f>SUMIFS(W704:W750,B704:B750,B717-in_dpd_lag)*d_dpd</f>
        <v/>
      </c>
      <c r="AC717" s="14">
        <f>SUMIFS(W704:W750,B704:B750,B717-in_rec_lag)*d_rec</f>
        <v/>
      </c>
      <c r="AD717" s="14">
        <f>Z717*in_card_fee</f>
        <v/>
      </c>
      <c r="AE717" s="40">
        <f>AE716*(1-IF(B716&gt;=in_marketplace_from,d_hz_hlth_small*G716,0))</f>
        <v/>
      </c>
      <c r="AF717" s="46">
        <f>AE717*IF(B717&gt;=in_marketplace_from,d_hz_hlth_small*G717,0)</f>
        <v/>
      </c>
      <c r="AG717" s="14">
        <f>F717*AF717*in_hlth_small_ticket*in_hlth_small_comm*in_ins_partner_share+F717*in_hlth_small_ticket*in_hlth_small_renew_comm*in_ins_partner_share*(in_hlth_small_renew^1*SUMIFS(AF704:AF750,B704:B750,B717-12)+in_hlth_small_renew^2*SUMIFS(AF704:AF750,B704:B750,B717-24)+in_hlth_small_renew^3*SUMIFS(AF704:AF750,B704:B750,B717-36)+in_hlth_small_renew^4*SUMIFS(AF704:AF750,B704:B750,B717-48))</f>
        <v/>
      </c>
      <c r="AH717" s="40">
        <f>AH716*(1-IF(B716&gt;=in_marketplace_from,d_hz_hlth_family*G716,0))</f>
        <v/>
      </c>
      <c r="AI717" s="46">
        <f>AH717*IF(B717&gt;=in_marketplace_from,d_hz_hlth_family*G717,0)</f>
        <v/>
      </c>
      <c r="AJ717" s="14">
        <f>F717*AI717*in_hlth_family_ticket*in_hlth_family_comm*in_ins_partner_share+F717*in_hlth_family_ticket*in_hlth_family_renew_comm*in_ins_partner_share*(in_hlth_family_renew^1*SUMIFS(AI704:AI750,B704:B750,B717-12)+in_hlth_family_renew^2*SUMIFS(AI704:AI750,B704:B750,B717-24)+in_hlth_family_renew^3*SUMIFS(AI704:AI750,B704:B750,B717-36)+in_hlth_family_renew^4*SUMIFS(AI704:AI750,B704:B750,B717-48))</f>
        <v/>
      </c>
      <c r="AK717" s="40">
        <f>AK716*(1-IF(B716&gt;=in_marketplace_from,d_hz_life_term*G716,0))</f>
        <v/>
      </c>
      <c r="AL717" s="46">
        <f>AK717*IF(B717&gt;=in_marketplace_from,d_hz_life_term*G717,0)</f>
        <v/>
      </c>
      <c r="AM717" s="14">
        <f>F717*AL717*in_life_term_ticket*in_life_term_comm*in_ins_partner_share+F717*in_life_term_ticket*in_life_term_renew_comm*in_ins_partner_share*(in_life_term_renew^1*SUMIFS(AL704:AL750,B704:B750,B717-12)+in_life_term_renew^2*SUMIFS(AL704:AL750,B704:B750,B717-24)+in_life_term_renew^3*SUMIFS(AL704:AL750,B704:B750,B717-36)+in_life_term_renew^4*SUMIFS(AL704:AL750,B704:B750,B717-48))</f>
        <v/>
      </c>
      <c r="AN717" s="40">
        <f>AN716*(1-IF(B716&gt;=in_marketplace_from,d_hz_accident*G716,0))</f>
        <v/>
      </c>
      <c r="AO717" s="46">
        <f>AN717*IF(B717&gt;=in_marketplace_from,d_hz_accident*G717,0)</f>
        <v/>
      </c>
      <c r="AP717" s="14">
        <f>F717*AO717*in_accident_ticket*in_accident_comm*in_ins_partner_share+F717*in_accident_ticket*in_accident_renew_comm*in_ins_partner_share*(in_accident_renew^1*SUMIFS(AO704:AO750,B704:B750,B717-12)+in_accident_renew^2*SUMIFS(AO704:AO750,B704:B750,B717-24)+in_accident_renew^3*SUMIFS(AO704:AO750,B704:B750,B717-36)+in_accident_renew^4*SUMIFS(AO704:AO750,B704:B750,B717-48))</f>
        <v/>
      </c>
      <c r="AQ717" s="40">
        <f>AQ716*(1-IF(B716&gt;=in_marketplace_from,d_hz_two_wheeler*G716,0))</f>
        <v/>
      </c>
      <c r="AR717" s="46">
        <f>AQ717*IF(B717&gt;=in_marketplace_from,d_hz_two_wheeler*G717,0)</f>
        <v/>
      </c>
      <c r="AS717" s="14">
        <f>F717*AR717*in_two_wheeler_ticket*in_two_wheeler_comm*in_ins_partner_share+F717*in_two_wheeler_ticket*in_two_wheeler_comm*in_ins_partner_share*(in_two_wheeler_renew^1*SUMIFS(AR704:AR750,B704:B750,B717-12)+in_two_wheeler_renew^2*SUMIFS(AR704:AR750,B704:B750,B717-24)+in_two_wheeler_renew^3*SUMIFS(AR704:AR750,B704:B750,B717-36)+in_two_wheeler_renew^4*SUMIFS(AR704:AR750,B704:B750,B717-48))</f>
        <v/>
      </c>
      <c r="AT717" s="40">
        <f>AT716*(1-IF(B716&gt;=in_marketplace_from,d_hz_device*G716,0))</f>
        <v/>
      </c>
      <c r="AU717" s="14">
        <f>F717*AT717*IF(B717&gt;=in_marketplace_from,d_hz_device*G717,0)*in_device_ticket*in_device_comm*in_ins_partner_share</f>
        <v/>
      </c>
      <c r="AV717" s="40">
        <f>AV716*(1-IF(B716&gt;=in_marketplace_from,d_hz_shop*G716,0))</f>
        <v/>
      </c>
      <c r="AW717" s="46">
        <f>AV717*IF(B717&gt;=in_marketplace_from,d_hz_shop*G717,0)</f>
        <v/>
      </c>
      <c r="AX717" s="14">
        <f>F717*AW717*in_shop_ticket*in_shop_comm*in_ins_partner_share+F717*in_shop_ticket*in_shop_renew_comm*in_ins_partner_share*(in_shop_renew^1*SUMIFS(AW704:AW750,B704:B750,B717-12)+in_shop_renew^2*SUMIFS(AW704:AW750,B704:B750,B717-24)+in_shop_renew^3*SUMIFS(AW704:AW750,B704:B750,B717-36)+in_shop_renew^4*SUMIFS(AW704:AW750,B704:B750,B717-48))</f>
        <v/>
      </c>
      <c r="AY717" s="40">
        <f>AY716*(1-IF(B716&gt;=in_marketplace_from,d_hz_sip*G716,0))</f>
        <v/>
      </c>
      <c r="AZ717" s="40">
        <f>AZ716*d_rho_sip+AY717*IF(B717&gt;=in_marketplace_from,d_hz_sip*G717,0)</f>
        <v/>
      </c>
      <c r="BA717" s="40">
        <f>d_rho_sip*(BA716+AZ716)</f>
        <v/>
      </c>
      <c r="BB717" s="14">
        <f>F717*in_sip_ticket*(BA717+0.5*AZ717)*in_sip_comm/12</f>
        <v/>
      </c>
      <c r="BC717" s="40">
        <f>BC716*(1-IF(B716&gt;=in_marketplace_from,d_hz_choti*G716,0))</f>
        <v/>
      </c>
      <c r="BD717" s="46">
        <f>BC717*IF(B717&gt;=in_marketplace_from,d_hz_choti*G717,0)</f>
        <v/>
      </c>
      <c r="BE717" s="14">
        <f>F717*SUMIFS(BD704:BD750,B704:B750,B717-in_choti_months)*in_choti_renew*in_choti_ticket</f>
        <v/>
      </c>
      <c r="BF717" s="40">
        <f>BF716*(1-IF(B716&gt;=in_marketplace_from,d_hz_nps*G716,0))</f>
        <v/>
      </c>
      <c r="BG717" s="14">
        <f>F717*BF717*IF(B717&gt;=in_marketplace_from,d_hz_nps*G717,0)*in_nps_ticket*in_nps_comm</f>
        <v/>
      </c>
      <c r="BH717" s="40">
        <f>BH716*(1-IF(B716&gt;=in_marketplace_from,d_hz_gold*G716,0))</f>
        <v/>
      </c>
      <c r="BI717" s="40">
        <f>BI716*d_rho_gold+BH717*IF(B717&gt;=in_marketplace_from,d_hz_gold*G717,0)</f>
        <v/>
      </c>
      <c r="BJ717" s="14">
        <f>F717*BI717*in_gold_ticket*in_gold_comm</f>
        <v/>
      </c>
      <c r="BK717" s="40">
        <f>BK716*(1-IF(B716&gt;=in_marketplace_from,d_hz_fd*G716,0))</f>
        <v/>
      </c>
      <c r="BL717" s="14">
        <f>F717*BK717*IF(B717&gt;=in_marketplace_from,d_hz_fd*G717,0)*in_fd_ticket*in_fd_comm</f>
        <v/>
      </c>
      <c r="BM717" s="40">
        <f>BM716*(1-IF(B716&gt;=in_marketplace_from,d_hz_recharge*G716,0))</f>
        <v/>
      </c>
      <c r="BN717" s="40">
        <f>BN716*d_rho_recharge+BM717*IF(B717&gt;=in_marketplace_from,d_hz_recharge*G717,0)</f>
        <v/>
      </c>
      <c r="BO717" s="14">
        <f>F717*BN717*in_recharge_ticket*in_recharge_comm/12</f>
        <v/>
      </c>
      <c r="BP717" s="40">
        <f>BP716*(1-IF(B716&gt;=in_marketplace_from,d_hz_bills*G716,0))</f>
        <v/>
      </c>
      <c r="BQ717" s="40">
        <f>BQ716*d_rho_bills+BP717*IF(B717&gt;=in_marketplace_from,d_hz_bills*G717,0)</f>
        <v/>
      </c>
      <c r="BR717" s="14">
        <f>F717*BQ717*in_bills_ticket*in_bills_comm/12</f>
        <v/>
      </c>
      <c r="BS717" s="40">
        <f>BS716*(1-IF(B716&gt;=in_marketplace_from,d_hz_loan_gold*G716,0))</f>
        <v/>
      </c>
      <c r="BT717" s="14">
        <f>F717*BS717*IF(B717&gt;=in_marketplace_from,d_hz_loan_gold*G717,0)*in_loan_gold_ticket*in_loan_gold_comm</f>
        <v/>
      </c>
      <c r="BU717" s="40">
        <f>BU716*(1-IF(B716&gt;=in_marketplace_from,d_hz_loan_cd*G716,0))</f>
        <v/>
      </c>
      <c r="BV717" s="14">
        <f>F717*BU717*IF(B717&gt;=in_marketplace_from,d_hz_loan_cd*G717,0)*in_loan_cd_ticket*in_loan_cd_comm</f>
        <v/>
      </c>
      <c r="BW717" s="40">
        <f>BW716*(1-IF(B716&gt;=in_marketplace_from,d_hz_loan_vehicle*G716,0))</f>
        <v/>
      </c>
      <c r="BX717" s="14">
        <f>F717*BW717*IF(B717&gt;=in_marketplace_from,d_hz_loan_vehicle*G717,0)*in_loan_vehicle_ticket*in_loan_vehicle_comm</f>
        <v/>
      </c>
      <c r="BY717" s="40">
        <f>BY716*(1-IF(B716&gt;=in_marketplace_from,d_hz_loan_home*G716,0)*BZ716)</f>
        <v/>
      </c>
      <c r="BZ717" s="11">
        <f>MIN(in_approval_cap,in_loan_home_approval*INDEX('Age profile'!$O$2:$O$61,B717)*(1+in_approval_growth)^(D717-1))</f>
        <v/>
      </c>
      <c r="CA717" s="14">
        <f>F717*BY717*IF(B717&gt;=in_marketplace_from,d_hz_loan_home*G717,0)*BZ717*in_loan_home_ticket*in_loan_home_comm</f>
        <v/>
      </c>
      <c r="CB717" s="40">
        <f>CB716*(1-IF(B716&gt;=in_marketplace_from,d_hz_loan_lap*G716,0)*CC716)</f>
        <v/>
      </c>
      <c r="CC717" s="11">
        <f>MIN(in_approval_cap,in_loan_lap_approval*INDEX('Age profile'!$O$2:$O$61,B717)*(1+in_approval_growth)^(D717-1))</f>
        <v/>
      </c>
      <c r="CD717" s="14">
        <f>F717*CB717*IF(B717&gt;=in_marketplace_from,d_hz_loan_lap*G717,0)*CC717*in_loan_lap_ticket*in_loan_lap_comm</f>
        <v/>
      </c>
      <c r="CE717" s="14">
        <f>AA717+AB717+AC717+AD717+AG717+AJ717+AM717+AP717+AS717+AU717+AX717+BB717+BE717+BG717+BJ717+BL717+BO717+BR717+BT717+BV717+BX717+CA717+CD717</f>
        <v/>
      </c>
    </row>
    <row r="718">
      <c r="A718" s="39" t="n">
        <v>14</v>
      </c>
      <c r="B718" s="39" t="n">
        <v>15</v>
      </c>
      <c r="C718" s="39">
        <f>A718+B718-1</f>
        <v/>
      </c>
      <c r="D718" s="39">
        <f>INT((C718-1)/12)+1</f>
        <v/>
      </c>
      <c r="E718" s="44">
        <f>INDEX(Monthly!$B$2:$B$61,A718)</f>
        <v/>
      </c>
      <c r="F718" s="44">
        <f>E718*INDEX('Age profile'!$B$2:$B$61,B718)</f>
        <v/>
      </c>
      <c r="G718" s="45">
        <f>MIN(in_takeup_cap,INDEX('Age profile'!$N$2:$N$61,B718)*(1+in_takeup_growth)^(D718-1))</f>
        <v/>
      </c>
      <c r="H718" s="11">
        <f>MIN(in_approval_cap,in_approved_first*INDEX('Age profile'!$O$2:$O$61,B718)*(1+in_approval_growth)^(D718-1))</f>
        <v/>
      </c>
      <c r="I718" s="45">
        <f>G718*MIN(in_takeup_cap,INDEX('Age profile'!$O$2:$O$61,B718)*(1+in_approval_growth)^(D718-1))</f>
        <v/>
      </c>
      <c r="J718" s="40">
        <f>(J717-L717)*F718/F717</f>
        <v/>
      </c>
      <c r="K718" s="40">
        <f>(K717-M717)*F718/F717+SUMIFS(O704:O717,B704:B717,B718-1-d_T)*F718</f>
        <v/>
      </c>
      <c r="L718" s="40">
        <f>IF(B718&gt;=in_marketplace_from,J718*d_hz*G718*in_eligible*H718,0)</f>
        <v/>
      </c>
      <c r="M718" s="40">
        <f>IF(B718&gt;=in_marketplace_from,K718*d_hz*G718*in_eligible*in_approved_repeat,0)</f>
        <v/>
      </c>
      <c r="N718" s="40">
        <f>L718+M718</f>
        <v/>
      </c>
      <c r="O718" s="46">
        <f>N718/F718</f>
        <v/>
      </c>
      <c r="P718" s="40">
        <f>F718-J718-K718</f>
        <v/>
      </c>
      <c r="Q718" s="40">
        <f>IF(B718&gt;=in_marketplace_from,(J718+K718)*d_hz*G718,0)</f>
        <v/>
      </c>
      <c r="R718" s="40">
        <f>SUMIFS(N704:N750,B704:B750,"&gt;="&amp;(B718-d_T),B704:B750,"&lt;="&amp;(B718-1))</f>
        <v/>
      </c>
      <c r="S718" s="46">
        <f>(1-d_u)*S717+IF(d_T&gt;in_topup_lag,SUMIFS(O704:O750,B704:B750,B718-in_topup_lag)-d_udrop*SUMIFS(O704:O750,B704:B750,B718-d_T),0)</f>
        <v/>
      </c>
      <c r="T718" s="40">
        <f>F718*d_u*S718</f>
        <v/>
      </c>
      <c r="U718" s="9">
        <f>L718*in_ticket+M718*d_rep_ticket</f>
        <v/>
      </c>
      <c r="V718" s="9">
        <f>U718+T718*d_topup_amt</f>
        <v/>
      </c>
      <c r="W718" s="40">
        <f>N718+T718*d_topup_ratio</f>
        <v/>
      </c>
      <c r="X718" s="40">
        <f>SUMIFS(W704:W750,B704:B750,B718-in_dpd_lag)*d_cured</f>
        <v/>
      </c>
      <c r="Y718" s="40">
        <f>SUMIFS(W704:W750,B704:B750,B718-in_rec_lag)*d_recd</f>
        <v/>
      </c>
      <c r="Z718" s="40">
        <f>IF(AND(B718&gt;=in_marketplace_from,B718&lt;in_marketplace_from+in_card_months),in_card_share/in_card_months*F718*I718,IF(AND(B718&gt;=in_marketplace_from+in_card_months,B718&lt;in_marketplace_from+2*in_card_months),in_card_share*d_card_rem/in_card_months*F718*MIN(in_takeup_cap,(1+in_takeup_growth)^(D718-1))*MIN(in_takeup_cap,(1+in_approval_growth)^(D718-1)),0))</f>
        <v/>
      </c>
      <c r="AA718" s="14">
        <f>V718*in_fee*(1-in_taken_back)</f>
        <v/>
      </c>
      <c r="AB718" s="14">
        <f>SUMIFS(W704:W750,B704:B750,B718-in_dpd_lag)*d_dpd</f>
        <v/>
      </c>
      <c r="AC718" s="14">
        <f>SUMIFS(W704:W750,B704:B750,B718-in_rec_lag)*d_rec</f>
        <v/>
      </c>
      <c r="AD718" s="14">
        <f>Z718*in_card_fee</f>
        <v/>
      </c>
      <c r="AE718" s="40">
        <f>AE717*(1-IF(B717&gt;=in_marketplace_from,d_hz_hlth_small*G717,0))</f>
        <v/>
      </c>
      <c r="AF718" s="46">
        <f>AE718*IF(B718&gt;=in_marketplace_from,d_hz_hlth_small*G718,0)</f>
        <v/>
      </c>
      <c r="AG718" s="14">
        <f>F718*AF718*in_hlth_small_ticket*in_hlth_small_comm*in_ins_partner_share+F718*in_hlth_small_ticket*in_hlth_small_renew_comm*in_ins_partner_share*(in_hlth_small_renew^1*SUMIFS(AF704:AF750,B704:B750,B718-12)+in_hlth_small_renew^2*SUMIFS(AF704:AF750,B704:B750,B718-24)+in_hlth_small_renew^3*SUMIFS(AF704:AF750,B704:B750,B718-36)+in_hlth_small_renew^4*SUMIFS(AF704:AF750,B704:B750,B718-48))</f>
        <v/>
      </c>
      <c r="AH718" s="40">
        <f>AH717*(1-IF(B717&gt;=in_marketplace_from,d_hz_hlth_family*G717,0))</f>
        <v/>
      </c>
      <c r="AI718" s="46">
        <f>AH718*IF(B718&gt;=in_marketplace_from,d_hz_hlth_family*G718,0)</f>
        <v/>
      </c>
      <c r="AJ718" s="14">
        <f>F718*AI718*in_hlth_family_ticket*in_hlth_family_comm*in_ins_partner_share+F718*in_hlth_family_ticket*in_hlth_family_renew_comm*in_ins_partner_share*(in_hlth_family_renew^1*SUMIFS(AI704:AI750,B704:B750,B718-12)+in_hlth_family_renew^2*SUMIFS(AI704:AI750,B704:B750,B718-24)+in_hlth_family_renew^3*SUMIFS(AI704:AI750,B704:B750,B718-36)+in_hlth_family_renew^4*SUMIFS(AI704:AI750,B704:B750,B718-48))</f>
        <v/>
      </c>
      <c r="AK718" s="40">
        <f>AK717*(1-IF(B717&gt;=in_marketplace_from,d_hz_life_term*G717,0))</f>
        <v/>
      </c>
      <c r="AL718" s="46">
        <f>AK718*IF(B718&gt;=in_marketplace_from,d_hz_life_term*G718,0)</f>
        <v/>
      </c>
      <c r="AM718" s="14">
        <f>F718*AL718*in_life_term_ticket*in_life_term_comm*in_ins_partner_share+F718*in_life_term_ticket*in_life_term_renew_comm*in_ins_partner_share*(in_life_term_renew^1*SUMIFS(AL704:AL750,B704:B750,B718-12)+in_life_term_renew^2*SUMIFS(AL704:AL750,B704:B750,B718-24)+in_life_term_renew^3*SUMIFS(AL704:AL750,B704:B750,B718-36)+in_life_term_renew^4*SUMIFS(AL704:AL750,B704:B750,B718-48))</f>
        <v/>
      </c>
      <c r="AN718" s="40">
        <f>AN717*(1-IF(B717&gt;=in_marketplace_from,d_hz_accident*G717,0))</f>
        <v/>
      </c>
      <c r="AO718" s="46">
        <f>AN718*IF(B718&gt;=in_marketplace_from,d_hz_accident*G718,0)</f>
        <v/>
      </c>
      <c r="AP718" s="14">
        <f>F718*AO718*in_accident_ticket*in_accident_comm*in_ins_partner_share+F718*in_accident_ticket*in_accident_renew_comm*in_ins_partner_share*(in_accident_renew^1*SUMIFS(AO704:AO750,B704:B750,B718-12)+in_accident_renew^2*SUMIFS(AO704:AO750,B704:B750,B718-24)+in_accident_renew^3*SUMIFS(AO704:AO750,B704:B750,B718-36)+in_accident_renew^4*SUMIFS(AO704:AO750,B704:B750,B718-48))</f>
        <v/>
      </c>
      <c r="AQ718" s="40">
        <f>AQ717*(1-IF(B717&gt;=in_marketplace_from,d_hz_two_wheeler*G717,0))</f>
        <v/>
      </c>
      <c r="AR718" s="46">
        <f>AQ718*IF(B718&gt;=in_marketplace_from,d_hz_two_wheeler*G718,0)</f>
        <v/>
      </c>
      <c r="AS718" s="14">
        <f>F718*AR718*in_two_wheeler_ticket*in_two_wheeler_comm*in_ins_partner_share+F718*in_two_wheeler_ticket*in_two_wheeler_comm*in_ins_partner_share*(in_two_wheeler_renew^1*SUMIFS(AR704:AR750,B704:B750,B718-12)+in_two_wheeler_renew^2*SUMIFS(AR704:AR750,B704:B750,B718-24)+in_two_wheeler_renew^3*SUMIFS(AR704:AR750,B704:B750,B718-36)+in_two_wheeler_renew^4*SUMIFS(AR704:AR750,B704:B750,B718-48))</f>
        <v/>
      </c>
      <c r="AT718" s="40">
        <f>AT717*(1-IF(B717&gt;=in_marketplace_from,d_hz_device*G717,0))</f>
        <v/>
      </c>
      <c r="AU718" s="14">
        <f>F718*AT718*IF(B718&gt;=in_marketplace_from,d_hz_device*G718,0)*in_device_ticket*in_device_comm*in_ins_partner_share</f>
        <v/>
      </c>
      <c r="AV718" s="40">
        <f>AV717*(1-IF(B717&gt;=in_marketplace_from,d_hz_shop*G717,0))</f>
        <v/>
      </c>
      <c r="AW718" s="46">
        <f>AV718*IF(B718&gt;=in_marketplace_from,d_hz_shop*G718,0)</f>
        <v/>
      </c>
      <c r="AX718" s="14">
        <f>F718*AW718*in_shop_ticket*in_shop_comm*in_ins_partner_share+F718*in_shop_ticket*in_shop_renew_comm*in_ins_partner_share*(in_shop_renew^1*SUMIFS(AW704:AW750,B704:B750,B718-12)+in_shop_renew^2*SUMIFS(AW704:AW750,B704:B750,B718-24)+in_shop_renew^3*SUMIFS(AW704:AW750,B704:B750,B718-36)+in_shop_renew^4*SUMIFS(AW704:AW750,B704:B750,B718-48))</f>
        <v/>
      </c>
      <c r="AY718" s="40">
        <f>AY717*(1-IF(B717&gt;=in_marketplace_from,d_hz_sip*G717,0))</f>
        <v/>
      </c>
      <c r="AZ718" s="40">
        <f>AZ717*d_rho_sip+AY718*IF(B718&gt;=in_marketplace_from,d_hz_sip*G718,0)</f>
        <v/>
      </c>
      <c r="BA718" s="40">
        <f>d_rho_sip*(BA717+AZ717)</f>
        <v/>
      </c>
      <c r="BB718" s="14">
        <f>F718*in_sip_ticket*(BA718+0.5*AZ718)*in_sip_comm/12</f>
        <v/>
      </c>
      <c r="BC718" s="40">
        <f>BC717*(1-IF(B717&gt;=in_marketplace_from,d_hz_choti*G717,0))</f>
        <v/>
      </c>
      <c r="BD718" s="46">
        <f>BC718*IF(B718&gt;=in_marketplace_from,d_hz_choti*G718,0)</f>
        <v/>
      </c>
      <c r="BE718" s="14">
        <f>F718*SUMIFS(BD704:BD750,B704:B750,B718-in_choti_months)*in_choti_renew*in_choti_ticket</f>
        <v/>
      </c>
      <c r="BF718" s="40">
        <f>BF717*(1-IF(B717&gt;=in_marketplace_from,d_hz_nps*G717,0))</f>
        <v/>
      </c>
      <c r="BG718" s="14">
        <f>F718*BF718*IF(B718&gt;=in_marketplace_from,d_hz_nps*G718,0)*in_nps_ticket*in_nps_comm</f>
        <v/>
      </c>
      <c r="BH718" s="40">
        <f>BH717*(1-IF(B717&gt;=in_marketplace_from,d_hz_gold*G717,0))</f>
        <v/>
      </c>
      <c r="BI718" s="40">
        <f>BI717*d_rho_gold+BH718*IF(B718&gt;=in_marketplace_from,d_hz_gold*G718,0)</f>
        <v/>
      </c>
      <c r="BJ718" s="14">
        <f>F718*BI718*in_gold_ticket*in_gold_comm</f>
        <v/>
      </c>
      <c r="BK718" s="40">
        <f>BK717*(1-IF(B717&gt;=in_marketplace_from,d_hz_fd*G717,0))</f>
        <v/>
      </c>
      <c r="BL718" s="14">
        <f>F718*BK718*IF(B718&gt;=in_marketplace_from,d_hz_fd*G718,0)*in_fd_ticket*in_fd_comm</f>
        <v/>
      </c>
      <c r="BM718" s="40">
        <f>BM717*(1-IF(B717&gt;=in_marketplace_from,d_hz_recharge*G717,0))</f>
        <v/>
      </c>
      <c r="BN718" s="40">
        <f>BN717*d_rho_recharge+BM718*IF(B718&gt;=in_marketplace_from,d_hz_recharge*G718,0)</f>
        <v/>
      </c>
      <c r="BO718" s="14">
        <f>F718*BN718*in_recharge_ticket*in_recharge_comm/12</f>
        <v/>
      </c>
      <c r="BP718" s="40">
        <f>BP717*(1-IF(B717&gt;=in_marketplace_from,d_hz_bills*G717,0))</f>
        <v/>
      </c>
      <c r="BQ718" s="40">
        <f>BQ717*d_rho_bills+BP718*IF(B718&gt;=in_marketplace_from,d_hz_bills*G718,0)</f>
        <v/>
      </c>
      <c r="BR718" s="14">
        <f>F718*BQ718*in_bills_ticket*in_bills_comm/12</f>
        <v/>
      </c>
      <c r="BS718" s="40">
        <f>BS717*(1-IF(B717&gt;=in_marketplace_from,d_hz_loan_gold*G717,0))</f>
        <v/>
      </c>
      <c r="BT718" s="14">
        <f>F718*BS718*IF(B718&gt;=in_marketplace_from,d_hz_loan_gold*G718,0)*in_loan_gold_ticket*in_loan_gold_comm</f>
        <v/>
      </c>
      <c r="BU718" s="40">
        <f>BU717*(1-IF(B717&gt;=in_marketplace_from,d_hz_loan_cd*G717,0))</f>
        <v/>
      </c>
      <c r="BV718" s="14">
        <f>F718*BU718*IF(B718&gt;=in_marketplace_from,d_hz_loan_cd*G718,0)*in_loan_cd_ticket*in_loan_cd_comm</f>
        <v/>
      </c>
      <c r="BW718" s="40">
        <f>BW717*(1-IF(B717&gt;=in_marketplace_from,d_hz_loan_vehicle*G717,0))</f>
        <v/>
      </c>
      <c r="BX718" s="14">
        <f>F718*BW718*IF(B718&gt;=in_marketplace_from,d_hz_loan_vehicle*G718,0)*in_loan_vehicle_ticket*in_loan_vehicle_comm</f>
        <v/>
      </c>
      <c r="BY718" s="40">
        <f>BY717*(1-IF(B717&gt;=in_marketplace_from,d_hz_loan_home*G717,0)*BZ717)</f>
        <v/>
      </c>
      <c r="BZ718" s="11">
        <f>MIN(in_approval_cap,in_loan_home_approval*INDEX('Age profile'!$O$2:$O$61,B718)*(1+in_approval_growth)^(D718-1))</f>
        <v/>
      </c>
      <c r="CA718" s="14">
        <f>F718*BY718*IF(B718&gt;=in_marketplace_from,d_hz_loan_home*G718,0)*BZ718*in_loan_home_ticket*in_loan_home_comm</f>
        <v/>
      </c>
      <c r="CB718" s="40">
        <f>CB717*(1-IF(B717&gt;=in_marketplace_from,d_hz_loan_lap*G717,0)*CC717)</f>
        <v/>
      </c>
      <c r="CC718" s="11">
        <f>MIN(in_approval_cap,in_loan_lap_approval*INDEX('Age profile'!$O$2:$O$61,B718)*(1+in_approval_growth)^(D718-1))</f>
        <v/>
      </c>
      <c r="CD718" s="14">
        <f>F718*CB718*IF(B718&gt;=in_marketplace_from,d_hz_loan_lap*G718,0)*CC718*in_loan_lap_ticket*in_loan_lap_comm</f>
        <v/>
      </c>
      <c r="CE718" s="14">
        <f>AA718+AB718+AC718+AD718+AG718+AJ718+AM718+AP718+AS718+AU718+AX718+BB718+BE718+BG718+BJ718+BL718+BO718+BR718+BT718+BV718+BX718+CA718+CD718</f>
        <v/>
      </c>
    </row>
    <row r="719">
      <c r="A719" s="39" t="n">
        <v>14</v>
      </c>
      <c r="B719" s="39" t="n">
        <v>16</v>
      </c>
      <c r="C719" s="39">
        <f>A719+B719-1</f>
        <v/>
      </c>
      <c r="D719" s="39">
        <f>INT((C719-1)/12)+1</f>
        <v/>
      </c>
      <c r="E719" s="44">
        <f>INDEX(Monthly!$B$2:$B$61,A719)</f>
        <v/>
      </c>
      <c r="F719" s="44">
        <f>E719*INDEX('Age profile'!$B$2:$B$61,B719)</f>
        <v/>
      </c>
      <c r="G719" s="45">
        <f>MIN(in_takeup_cap,INDEX('Age profile'!$N$2:$N$61,B719)*(1+in_takeup_growth)^(D719-1))</f>
        <v/>
      </c>
      <c r="H719" s="11">
        <f>MIN(in_approval_cap,in_approved_first*INDEX('Age profile'!$O$2:$O$61,B719)*(1+in_approval_growth)^(D719-1))</f>
        <v/>
      </c>
      <c r="I719" s="45">
        <f>G719*MIN(in_takeup_cap,INDEX('Age profile'!$O$2:$O$61,B719)*(1+in_approval_growth)^(D719-1))</f>
        <v/>
      </c>
      <c r="J719" s="40">
        <f>(J718-L718)*F719/F718</f>
        <v/>
      </c>
      <c r="K719" s="40">
        <f>(K718-M718)*F719/F718+SUMIFS(O704:O718,B704:B718,B719-1-d_T)*F719</f>
        <v/>
      </c>
      <c r="L719" s="40">
        <f>IF(B719&gt;=in_marketplace_from,J719*d_hz*G719*in_eligible*H719,0)</f>
        <v/>
      </c>
      <c r="M719" s="40">
        <f>IF(B719&gt;=in_marketplace_from,K719*d_hz*G719*in_eligible*in_approved_repeat,0)</f>
        <v/>
      </c>
      <c r="N719" s="40">
        <f>L719+M719</f>
        <v/>
      </c>
      <c r="O719" s="46">
        <f>N719/F719</f>
        <v/>
      </c>
      <c r="P719" s="40">
        <f>F719-J719-K719</f>
        <v/>
      </c>
      <c r="Q719" s="40">
        <f>IF(B719&gt;=in_marketplace_from,(J719+K719)*d_hz*G719,0)</f>
        <v/>
      </c>
      <c r="R719" s="40">
        <f>SUMIFS(N704:N750,B704:B750,"&gt;="&amp;(B719-d_T),B704:B750,"&lt;="&amp;(B719-1))</f>
        <v/>
      </c>
      <c r="S719" s="46">
        <f>(1-d_u)*S718+IF(d_T&gt;in_topup_lag,SUMIFS(O704:O750,B704:B750,B719-in_topup_lag)-d_udrop*SUMIFS(O704:O750,B704:B750,B719-d_T),0)</f>
        <v/>
      </c>
      <c r="T719" s="40">
        <f>F719*d_u*S719</f>
        <v/>
      </c>
      <c r="U719" s="9">
        <f>L719*in_ticket+M719*d_rep_ticket</f>
        <v/>
      </c>
      <c r="V719" s="9">
        <f>U719+T719*d_topup_amt</f>
        <v/>
      </c>
      <c r="W719" s="40">
        <f>N719+T719*d_topup_ratio</f>
        <v/>
      </c>
      <c r="X719" s="40">
        <f>SUMIFS(W704:W750,B704:B750,B719-in_dpd_lag)*d_cured</f>
        <v/>
      </c>
      <c r="Y719" s="40">
        <f>SUMIFS(W704:W750,B704:B750,B719-in_rec_lag)*d_recd</f>
        <v/>
      </c>
      <c r="Z719" s="40">
        <f>IF(AND(B719&gt;=in_marketplace_from,B719&lt;in_marketplace_from+in_card_months),in_card_share/in_card_months*F719*I719,IF(AND(B719&gt;=in_marketplace_from+in_card_months,B719&lt;in_marketplace_from+2*in_card_months),in_card_share*d_card_rem/in_card_months*F719*MIN(in_takeup_cap,(1+in_takeup_growth)^(D719-1))*MIN(in_takeup_cap,(1+in_approval_growth)^(D719-1)),0))</f>
        <v/>
      </c>
      <c r="AA719" s="14">
        <f>V719*in_fee*(1-in_taken_back)</f>
        <v/>
      </c>
      <c r="AB719" s="14">
        <f>SUMIFS(W704:W750,B704:B750,B719-in_dpd_lag)*d_dpd</f>
        <v/>
      </c>
      <c r="AC719" s="14">
        <f>SUMIFS(W704:W750,B704:B750,B719-in_rec_lag)*d_rec</f>
        <v/>
      </c>
      <c r="AD719" s="14">
        <f>Z719*in_card_fee</f>
        <v/>
      </c>
      <c r="AE719" s="40">
        <f>AE718*(1-IF(B718&gt;=in_marketplace_from,d_hz_hlth_small*G718,0))</f>
        <v/>
      </c>
      <c r="AF719" s="46">
        <f>AE719*IF(B719&gt;=in_marketplace_from,d_hz_hlth_small*G719,0)</f>
        <v/>
      </c>
      <c r="AG719" s="14">
        <f>F719*AF719*in_hlth_small_ticket*in_hlth_small_comm*in_ins_partner_share+F719*in_hlth_small_ticket*in_hlth_small_renew_comm*in_ins_partner_share*(in_hlth_small_renew^1*SUMIFS(AF704:AF750,B704:B750,B719-12)+in_hlth_small_renew^2*SUMIFS(AF704:AF750,B704:B750,B719-24)+in_hlth_small_renew^3*SUMIFS(AF704:AF750,B704:B750,B719-36)+in_hlth_small_renew^4*SUMIFS(AF704:AF750,B704:B750,B719-48))</f>
        <v/>
      </c>
      <c r="AH719" s="40">
        <f>AH718*(1-IF(B718&gt;=in_marketplace_from,d_hz_hlth_family*G718,0))</f>
        <v/>
      </c>
      <c r="AI719" s="46">
        <f>AH719*IF(B719&gt;=in_marketplace_from,d_hz_hlth_family*G719,0)</f>
        <v/>
      </c>
      <c r="AJ719" s="14">
        <f>F719*AI719*in_hlth_family_ticket*in_hlth_family_comm*in_ins_partner_share+F719*in_hlth_family_ticket*in_hlth_family_renew_comm*in_ins_partner_share*(in_hlth_family_renew^1*SUMIFS(AI704:AI750,B704:B750,B719-12)+in_hlth_family_renew^2*SUMIFS(AI704:AI750,B704:B750,B719-24)+in_hlth_family_renew^3*SUMIFS(AI704:AI750,B704:B750,B719-36)+in_hlth_family_renew^4*SUMIFS(AI704:AI750,B704:B750,B719-48))</f>
        <v/>
      </c>
      <c r="AK719" s="40">
        <f>AK718*(1-IF(B718&gt;=in_marketplace_from,d_hz_life_term*G718,0))</f>
        <v/>
      </c>
      <c r="AL719" s="46">
        <f>AK719*IF(B719&gt;=in_marketplace_from,d_hz_life_term*G719,0)</f>
        <v/>
      </c>
      <c r="AM719" s="14">
        <f>F719*AL719*in_life_term_ticket*in_life_term_comm*in_ins_partner_share+F719*in_life_term_ticket*in_life_term_renew_comm*in_ins_partner_share*(in_life_term_renew^1*SUMIFS(AL704:AL750,B704:B750,B719-12)+in_life_term_renew^2*SUMIFS(AL704:AL750,B704:B750,B719-24)+in_life_term_renew^3*SUMIFS(AL704:AL750,B704:B750,B719-36)+in_life_term_renew^4*SUMIFS(AL704:AL750,B704:B750,B719-48))</f>
        <v/>
      </c>
      <c r="AN719" s="40">
        <f>AN718*(1-IF(B718&gt;=in_marketplace_from,d_hz_accident*G718,0))</f>
        <v/>
      </c>
      <c r="AO719" s="46">
        <f>AN719*IF(B719&gt;=in_marketplace_from,d_hz_accident*G719,0)</f>
        <v/>
      </c>
      <c r="AP719" s="14">
        <f>F719*AO719*in_accident_ticket*in_accident_comm*in_ins_partner_share+F719*in_accident_ticket*in_accident_renew_comm*in_ins_partner_share*(in_accident_renew^1*SUMIFS(AO704:AO750,B704:B750,B719-12)+in_accident_renew^2*SUMIFS(AO704:AO750,B704:B750,B719-24)+in_accident_renew^3*SUMIFS(AO704:AO750,B704:B750,B719-36)+in_accident_renew^4*SUMIFS(AO704:AO750,B704:B750,B719-48))</f>
        <v/>
      </c>
      <c r="AQ719" s="40">
        <f>AQ718*(1-IF(B718&gt;=in_marketplace_from,d_hz_two_wheeler*G718,0))</f>
        <v/>
      </c>
      <c r="AR719" s="46">
        <f>AQ719*IF(B719&gt;=in_marketplace_from,d_hz_two_wheeler*G719,0)</f>
        <v/>
      </c>
      <c r="AS719" s="14">
        <f>F719*AR719*in_two_wheeler_ticket*in_two_wheeler_comm*in_ins_partner_share+F719*in_two_wheeler_ticket*in_two_wheeler_comm*in_ins_partner_share*(in_two_wheeler_renew^1*SUMIFS(AR704:AR750,B704:B750,B719-12)+in_two_wheeler_renew^2*SUMIFS(AR704:AR750,B704:B750,B719-24)+in_two_wheeler_renew^3*SUMIFS(AR704:AR750,B704:B750,B719-36)+in_two_wheeler_renew^4*SUMIFS(AR704:AR750,B704:B750,B719-48))</f>
        <v/>
      </c>
      <c r="AT719" s="40">
        <f>AT718*(1-IF(B718&gt;=in_marketplace_from,d_hz_device*G718,0))</f>
        <v/>
      </c>
      <c r="AU719" s="14">
        <f>F719*AT719*IF(B719&gt;=in_marketplace_from,d_hz_device*G719,0)*in_device_ticket*in_device_comm*in_ins_partner_share</f>
        <v/>
      </c>
      <c r="AV719" s="40">
        <f>AV718*(1-IF(B718&gt;=in_marketplace_from,d_hz_shop*G718,0))</f>
        <v/>
      </c>
      <c r="AW719" s="46">
        <f>AV719*IF(B719&gt;=in_marketplace_from,d_hz_shop*G719,0)</f>
        <v/>
      </c>
      <c r="AX719" s="14">
        <f>F719*AW719*in_shop_ticket*in_shop_comm*in_ins_partner_share+F719*in_shop_ticket*in_shop_renew_comm*in_ins_partner_share*(in_shop_renew^1*SUMIFS(AW704:AW750,B704:B750,B719-12)+in_shop_renew^2*SUMIFS(AW704:AW750,B704:B750,B719-24)+in_shop_renew^3*SUMIFS(AW704:AW750,B704:B750,B719-36)+in_shop_renew^4*SUMIFS(AW704:AW750,B704:B750,B719-48))</f>
        <v/>
      </c>
      <c r="AY719" s="40">
        <f>AY718*(1-IF(B718&gt;=in_marketplace_from,d_hz_sip*G718,0))</f>
        <v/>
      </c>
      <c r="AZ719" s="40">
        <f>AZ718*d_rho_sip+AY719*IF(B719&gt;=in_marketplace_from,d_hz_sip*G719,0)</f>
        <v/>
      </c>
      <c r="BA719" s="40">
        <f>d_rho_sip*(BA718+AZ718)</f>
        <v/>
      </c>
      <c r="BB719" s="14">
        <f>F719*in_sip_ticket*(BA719+0.5*AZ719)*in_sip_comm/12</f>
        <v/>
      </c>
      <c r="BC719" s="40">
        <f>BC718*(1-IF(B718&gt;=in_marketplace_from,d_hz_choti*G718,0))</f>
        <v/>
      </c>
      <c r="BD719" s="46">
        <f>BC719*IF(B719&gt;=in_marketplace_from,d_hz_choti*G719,0)</f>
        <v/>
      </c>
      <c r="BE719" s="14">
        <f>F719*SUMIFS(BD704:BD750,B704:B750,B719-in_choti_months)*in_choti_renew*in_choti_ticket</f>
        <v/>
      </c>
      <c r="BF719" s="40">
        <f>BF718*(1-IF(B718&gt;=in_marketplace_from,d_hz_nps*G718,0))</f>
        <v/>
      </c>
      <c r="BG719" s="14">
        <f>F719*BF719*IF(B719&gt;=in_marketplace_from,d_hz_nps*G719,0)*in_nps_ticket*in_nps_comm</f>
        <v/>
      </c>
      <c r="BH719" s="40">
        <f>BH718*(1-IF(B718&gt;=in_marketplace_from,d_hz_gold*G718,0))</f>
        <v/>
      </c>
      <c r="BI719" s="40">
        <f>BI718*d_rho_gold+BH719*IF(B719&gt;=in_marketplace_from,d_hz_gold*G719,0)</f>
        <v/>
      </c>
      <c r="BJ719" s="14">
        <f>F719*BI719*in_gold_ticket*in_gold_comm</f>
        <v/>
      </c>
      <c r="BK719" s="40">
        <f>BK718*(1-IF(B718&gt;=in_marketplace_from,d_hz_fd*G718,0))</f>
        <v/>
      </c>
      <c r="BL719" s="14">
        <f>F719*BK719*IF(B719&gt;=in_marketplace_from,d_hz_fd*G719,0)*in_fd_ticket*in_fd_comm</f>
        <v/>
      </c>
      <c r="BM719" s="40">
        <f>BM718*(1-IF(B718&gt;=in_marketplace_from,d_hz_recharge*G718,0))</f>
        <v/>
      </c>
      <c r="BN719" s="40">
        <f>BN718*d_rho_recharge+BM719*IF(B719&gt;=in_marketplace_from,d_hz_recharge*G719,0)</f>
        <v/>
      </c>
      <c r="BO719" s="14">
        <f>F719*BN719*in_recharge_ticket*in_recharge_comm/12</f>
        <v/>
      </c>
      <c r="BP719" s="40">
        <f>BP718*(1-IF(B718&gt;=in_marketplace_from,d_hz_bills*G718,0))</f>
        <v/>
      </c>
      <c r="BQ719" s="40">
        <f>BQ718*d_rho_bills+BP719*IF(B719&gt;=in_marketplace_from,d_hz_bills*G719,0)</f>
        <v/>
      </c>
      <c r="BR719" s="14">
        <f>F719*BQ719*in_bills_ticket*in_bills_comm/12</f>
        <v/>
      </c>
      <c r="BS719" s="40">
        <f>BS718*(1-IF(B718&gt;=in_marketplace_from,d_hz_loan_gold*G718,0))</f>
        <v/>
      </c>
      <c r="BT719" s="14">
        <f>F719*BS719*IF(B719&gt;=in_marketplace_from,d_hz_loan_gold*G719,0)*in_loan_gold_ticket*in_loan_gold_comm</f>
        <v/>
      </c>
      <c r="BU719" s="40">
        <f>BU718*(1-IF(B718&gt;=in_marketplace_from,d_hz_loan_cd*G718,0))</f>
        <v/>
      </c>
      <c r="BV719" s="14">
        <f>F719*BU719*IF(B719&gt;=in_marketplace_from,d_hz_loan_cd*G719,0)*in_loan_cd_ticket*in_loan_cd_comm</f>
        <v/>
      </c>
      <c r="BW719" s="40">
        <f>BW718*(1-IF(B718&gt;=in_marketplace_from,d_hz_loan_vehicle*G718,0))</f>
        <v/>
      </c>
      <c r="BX719" s="14">
        <f>F719*BW719*IF(B719&gt;=in_marketplace_from,d_hz_loan_vehicle*G719,0)*in_loan_vehicle_ticket*in_loan_vehicle_comm</f>
        <v/>
      </c>
      <c r="BY719" s="40">
        <f>BY718*(1-IF(B718&gt;=in_marketplace_from,d_hz_loan_home*G718,0)*BZ718)</f>
        <v/>
      </c>
      <c r="BZ719" s="11">
        <f>MIN(in_approval_cap,in_loan_home_approval*INDEX('Age profile'!$O$2:$O$61,B719)*(1+in_approval_growth)^(D719-1))</f>
        <v/>
      </c>
      <c r="CA719" s="14">
        <f>F719*BY719*IF(B719&gt;=in_marketplace_from,d_hz_loan_home*G719,0)*BZ719*in_loan_home_ticket*in_loan_home_comm</f>
        <v/>
      </c>
      <c r="CB719" s="40">
        <f>CB718*(1-IF(B718&gt;=in_marketplace_from,d_hz_loan_lap*G718,0)*CC718)</f>
        <v/>
      </c>
      <c r="CC719" s="11">
        <f>MIN(in_approval_cap,in_loan_lap_approval*INDEX('Age profile'!$O$2:$O$61,B719)*(1+in_approval_growth)^(D719-1))</f>
        <v/>
      </c>
      <c r="CD719" s="14">
        <f>F719*CB719*IF(B719&gt;=in_marketplace_from,d_hz_loan_lap*G719,0)*CC719*in_loan_lap_ticket*in_loan_lap_comm</f>
        <v/>
      </c>
      <c r="CE719" s="14">
        <f>AA719+AB719+AC719+AD719+AG719+AJ719+AM719+AP719+AS719+AU719+AX719+BB719+BE719+BG719+BJ719+BL719+BO719+BR719+BT719+BV719+BX719+CA719+CD719</f>
        <v/>
      </c>
    </row>
    <row r="720">
      <c r="A720" s="39" t="n">
        <v>14</v>
      </c>
      <c r="B720" s="39" t="n">
        <v>17</v>
      </c>
      <c r="C720" s="39">
        <f>A720+B720-1</f>
        <v/>
      </c>
      <c r="D720" s="39">
        <f>INT((C720-1)/12)+1</f>
        <v/>
      </c>
      <c r="E720" s="44">
        <f>INDEX(Monthly!$B$2:$B$61,A720)</f>
        <v/>
      </c>
      <c r="F720" s="44">
        <f>E720*INDEX('Age profile'!$B$2:$B$61,B720)</f>
        <v/>
      </c>
      <c r="G720" s="45">
        <f>MIN(in_takeup_cap,INDEX('Age profile'!$N$2:$N$61,B720)*(1+in_takeup_growth)^(D720-1))</f>
        <v/>
      </c>
      <c r="H720" s="11">
        <f>MIN(in_approval_cap,in_approved_first*INDEX('Age profile'!$O$2:$O$61,B720)*(1+in_approval_growth)^(D720-1))</f>
        <v/>
      </c>
      <c r="I720" s="45">
        <f>G720*MIN(in_takeup_cap,INDEX('Age profile'!$O$2:$O$61,B720)*(1+in_approval_growth)^(D720-1))</f>
        <v/>
      </c>
      <c r="J720" s="40">
        <f>(J719-L719)*F720/F719</f>
        <v/>
      </c>
      <c r="K720" s="40">
        <f>(K719-M719)*F720/F719+SUMIFS(O704:O719,B704:B719,B720-1-d_T)*F720</f>
        <v/>
      </c>
      <c r="L720" s="40">
        <f>IF(B720&gt;=in_marketplace_from,J720*d_hz*G720*in_eligible*H720,0)</f>
        <v/>
      </c>
      <c r="M720" s="40">
        <f>IF(B720&gt;=in_marketplace_from,K720*d_hz*G720*in_eligible*in_approved_repeat,0)</f>
        <v/>
      </c>
      <c r="N720" s="40">
        <f>L720+M720</f>
        <v/>
      </c>
      <c r="O720" s="46">
        <f>N720/F720</f>
        <v/>
      </c>
      <c r="P720" s="40">
        <f>F720-J720-K720</f>
        <v/>
      </c>
      <c r="Q720" s="40">
        <f>IF(B720&gt;=in_marketplace_from,(J720+K720)*d_hz*G720,0)</f>
        <v/>
      </c>
      <c r="R720" s="40">
        <f>SUMIFS(N704:N750,B704:B750,"&gt;="&amp;(B720-d_T),B704:B750,"&lt;="&amp;(B720-1))</f>
        <v/>
      </c>
      <c r="S720" s="46">
        <f>(1-d_u)*S719+IF(d_T&gt;in_topup_lag,SUMIFS(O704:O750,B704:B750,B720-in_topup_lag)-d_udrop*SUMIFS(O704:O750,B704:B750,B720-d_T),0)</f>
        <v/>
      </c>
      <c r="T720" s="40">
        <f>F720*d_u*S720</f>
        <v/>
      </c>
      <c r="U720" s="9">
        <f>L720*in_ticket+M720*d_rep_ticket</f>
        <v/>
      </c>
      <c r="V720" s="9">
        <f>U720+T720*d_topup_amt</f>
        <v/>
      </c>
      <c r="W720" s="40">
        <f>N720+T720*d_topup_ratio</f>
        <v/>
      </c>
      <c r="X720" s="40">
        <f>SUMIFS(W704:W750,B704:B750,B720-in_dpd_lag)*d_cured</f>
        <v/>
      </c>
      <c r="Y720" s="40">
        <f>SUMIFS(W704:W750,B704:B750,B720-in_rec_lag)*d_recd</f>
        <v/>
      </c>
      <c r="Z720" s="40">
        <f>IF(AND(B720&gt;=in_marketplace_from,B720&lt;in_marketplace_from+in_card_months),in_card_share/in_card_months*F720*I720,IF(AND(B720&gt;=in_marketplace_from+in_card_months,B720&lt;in_marketplace_from+2*in_card_months),in_card_share*d_card_rem/in_card_months*F720*MIN(in_takeup_cap,(1+in_takeup_growth)^(D720-1))*MIN(in_takeup_cap,(1+in_approval_growth)^(D720-1)),0))</f>
        <v/>
      </c>
      <c r="AA720" s="14">
        <f>V720*in_fee*(1-in_taken_back)</f>
        <v/>
      </c>
      <c r="AB720" s="14">
        <f>SUMIFS(W704:W750,B704:B750,B720-in_dpd_lag)*d_dpd</f>
        <v/>
      </c>
      <c r="AC720" s="14">
        <f>SUMIFS(W704:W750,B704:B750,B720-in_rec_lag)*d_rec</f>
        <v/>
      </c>
      <c r="AD720" s="14">
        <f>Z720*in_card_fee</f>
        <v/>
      </c>
      <c r="AE720" s="40">
        <f>AE719*(1-IF(B719&gt;=in_marketplace_from,d_hz_hlth_small*G719,0))</f>
        <v/>
      </c>
      <c r="AF720" s="46">
        <f>AE720*IF(B720&gt;=in_marketplace_from,d_hz_hlth_small*G720,0)</f>
        <v/>
      </c>
      <c r="AG720" s="14">
        <f>F720*AF720*in_hlth_small_ticket*in_hlth_small_comm*in_ins_partner_share+F720*in_hlth_small_ticket*in_hlth_small_renew_comm*in_ins_partner_share*(in_hlth_small_renew^1*SUMIFS(AF704:AF750,B704:B750,B720-12)+in_hlth_small_renew^2*SUMIFS(AF704:AF750,B704:B750,B720-24)+in_hlth_small_renew^3*SUMIFS(AF704:AF750,B704:B750,B720-36)+in_hlth_small_renew^4*SUMIFS(AF704:AF750,B704:B750,B720-48))</f>
        <v/>
      </c>
      <c r="AH720" s="40">
        <f>AH719*(1-IF(B719&gt;=in_marketplace_from,d_hz_hlth_family*G719,0))</f>
        <v/>
      </c>
      <c r="AI720" s="46">
        <f>AH720*IF(B720&gt;=in_marketplace_from,d_hz_hlth_family*G720,0)</f>
        <v/>
      </c>
      <c r="AJ720" s="14">
        <f>F720*AI720*in_hlth_family_ticket*in_hlth_family_comm*in_ins_partner_share+F720*in_hlth_family_ticket*in_hlth_family_renew_comm*in_ins_partner_share*(in_hlth_family_renew^1*SUMIFS(AI704:AI750,B704:B750,B720-12)+in_hlth_family_renew^2*SUMIFS(AI704:AI750,B704:B750,B720-24)+in_hlth_family_renew^3*SUMIFS(AI704:AI750,B704:B750,B720-36)+in_hlth_family_renew^4*SUMIFS(AI704:AI750,B704:B750,B720-48))</f>
        <v/>
      </c>
      <c r="AK720" s="40">
        <f>AK719*(1-IF(B719&gt;=in_marketplace_from,d_hz_life_term*G719,0))</f>
        <v/>
      </c>
      <c r="AL720" s="46">
        <f>AK720*IF(B720&gt;=in_marketplace_from,d_hz_life_term*G720,0)</f>
        <v/>
      </c>
      <c r="AM720" s="14">
        <f>F720*AL720*in_life_term_ticket*in_life_term_comm*in_ins_partner_share+F720*in_life_term_ticket*in_life_term_renew_comm*in_ins_partner_share*(in_life_term_renew^1*SUMIFS(AL704:AL750,B704:B750,B720-12)+in_life_term_renew^2*SUMIFS(AL704:AL750,B704:B750,B720-24)+in_life_term_renew^3*SUMIFS(AL704:AL750,B704:B750,B720-36)+in_life_term_renew^4*SUMIFS(AL704:AL750,B704:B750,B720-48))</f>
        <v/>
      </c>
      <c r="AN720" s="40">
        <f>AN719*(1-IF(B719&gt;=in_marketplace_from,d_hz_accident*G719,0))</f>
        <v/>
      </c>
      <c r="AO720" s="46">
        <f>AN720*IF(B720&gt;=in_marketplace_from,d_hz_accident*G720,0)</f>
        <v/>
      </c>
      <c r="AP720" s="14">
        <f>F720*AO720*in_accident_ticket*in_accident_comm*in_ins_partner_share+F720*in_accident_ticket*in_accident_renew_comm*in_ins_partner_share*(in_accident_renew^1*SUMIFS(AO704:AO750,B704:B750,B720-12)+in_accident_renew^2*SUMIFS(AO704:AO750,B704:B750,B720-24)+in_accident_renew^3*SUMIFS(AO704:AO750,B704:B750,B720-36)+in_accident_renew^4*SUMIFS(AO704:AO750,B704:B750,B720-48))</f>
        <v/>
      </c>
      <c r="AQ720" s="40">
        <f>AQ719*(1-IF(B719&gt;=in_marketplace_from,d_hz_two_wheeler*G719,0))</f>
        <v/>
      </c>
      <c r="AR720" s="46">
        <f>AQ720*IF(B720&gt;=in_marketplace_from,d_hz_two_wheeler*G720,0)</f>
        <v/>
      </c>
      <c r="AS720" s="14">
        <f>F720*AR720*in_two_wheeler_ticket*in_two_wheeler_comm*in_ins_partner_share+F720*in_two_wheeler_ticket*in_two_wheeler_comm*in_ins_partner_share*(in_two_wheeler_renew^1*SUMIFS(AR704:AR750,B704:B750,B720-12)+in_two_wheeler_renew^2*SUMIFS(AR704:AR750,B704:B750,B720-24)+in_two_wheeler_renew^3*SUMIFS(AR704:AR750,B704:B750,B720-36)+in_two_wheeler_renew^4*SUMIFS(AR704:AR750,B704:B750,B720-48))</f>
        <v/>
      </c>
      <c r="AT720" s="40">
        <f>AT719*(1-IF(B719&gt;=in_marketplace_from,d_hz_device*G719,0))</f>
        <v/>
      </c>
      <c r="AU720" s="14">
        <f>F720*AT720*IF(B720&gt;=in_marketplace_from,d_hz_device*G720,0)*in_device_ticket*in_device_comm*in_ins_partner_share</f>
        <v/>
      </c>
      <c r="AV720" s="40">
        <f>AV719*(1-IF(B719&gt;=in_marketplace_from,d_hz_shop*G719,0))</f>
        <v/>
      </c>
      <c r="AW720" s="46">
        <f>AV720*IF(B720&gt;=in_marketplace_from,d_hz_shop*G720,0)</f>
        <v/>
      </c>
      <c r="AX720" s="14">
        <f>F720*AW720*in_shop_ticket*in_shop_comm*in_ins_partner_share+F720*in_shop_ticket*in_shop_renew_comm*in_ins_partner_share*(in_shop_renew^1*SUMIFS(AW704:AW750,B704:B750,B720-12)+in_shop_renew^2*SUMIFS(AW704:AW750,B704:B750,B720-24)+in_shop_renew^3*SUMIFS(AW704:AW750,B704:B750,B720-36)+in_shop_renew^4*SUMIFS(AW704:AW750,B704:B750,B720-48))</f>
        <v/>
      </c>
      <c r="AY720" s="40">
        <f>AY719*(1-IF(B719&gt;=in_marketplace_from,d_hz_sip*G719,0))</f>
        <v/>
      </c>
      <c r="AZ720" s="40">
        <f>AZ719*d_rho_sip+AY720*IF(B720&gt;=in_marketplace_from,d_hz_sip*G720,0)</f>
        <v/>
      </c>
      <c r="BA720" s="40">
        <f>d_rho_sip*(BA719+AZ719)</f>
        <v/>
      </c>
      <c r="BB720" s="14">
        <f>F720*in_sip_ticket*(BA720+0.5*AZ720)*in_sip_comm/12</f>
        <v/>
      </c>
      <c r="BC720" s="40">
        <f>BC719*(1-IF(B719&gt;=in_marketplace_from,d_hz_choti*G719,0))</f>
        <v/>
      </c>
      <c r="BD720" s="46">
        <f>BC720*IF(B720&gt;=in_marketplace_from,d_hz_choti*G720,0)</f>
        <v/>
      </c>
      <c r="BE720" s="14">
        <f>F720*SUMIFS(BD704:BD750,B704:B750,B720-in_choti_months)*in_choti_renew*in_choti_ticket</f>
        <v/>
      </c>
      <c r="BF720" s="40">
        <f>BF719*(1-IF(B719&gt;=in_marketplace_from,d_hz_nps*G719,0))</f>
        <v/>
      </c>
      <c r="BG720" s="14">
        <f>F720*BF720*IF(B720&gt;=in_marketplace_from,d_hz_nps*G720,0)*in_nps_ticket*in_nps_comm</f>
        <v/>
      </c>
      <c r="BH720" s="40">
        <f>BH719*(1-IF(B719&gt;=in_marketplace_from,d_hz_gold*G719,0))</f>
        <v/>
      </c>
      <c r="BI720" s="40">
        <f>BI719*d_rho_gold+BH720*IF(B720&gt;=in_marketplace_from,d_hz_gold*G720,0)</f>
        <v/>
      </c>
      <c r="BJ720" s="14">
        <f>F720*BI720*in_gold_ticket*in_gold_comm</f>
        <v/>
      </c>
      <c r="BK720" s="40">
        <f>BK719*(1-IF(B719&gt;=in_marketplace_from,d_hz_fd*G719,0))</f>
        <v/>
      </c>
      <c r="BL720" s="14">
        <f>F720*BK720*IF(B720&gt;=in_marketplace_from,d_hz_fd*G720,0)*in_fd_ticket*in_fd_comm</f>
        <v/>
      </c>
      <c r="BM720" s="40">
        <f>BM719*(1-IF(B719&gt;=in_marketplace_from,d_hz_recharge*G719,0))</f>
        <v/>
      </c>
      <c r="BN720" s="40">
        <f>BN719*d_rho_recharge+BM720*IF(B720&gt;=in_marketplace_from,d_hz_recharge*G720,0)</f>
        <v/>
      </c>
      <c r="BO720" s="14">
        <f>F720*BN720*in_recharge_ticket*in_recharge_comm/12</f>
        <v/>
      </c>
      <c r="BP720" s="40">
        <f>BP719*(1-IF(B719&gt;=in_marketplace_from,d_hz_bills*G719,0))</f>
        <v/>
      </c>
      <c r="BQ720" s="40">
        <f>BQ719*d_rho_bills+BP720*IF(B720&gt;=in_marketplace_from,d_hz_bills*G720,0)</f>
        <v/>
      </c>
      <c r="BR720" s="14">
        <f>F720*BQ720*in_bills_ticket*in_bills_comm/12</f>
        <v/>
      </c>
      <c r="BS720" s="40">
        <f>BS719*(1-IF(B719&gt;=in_marketplace_from,d_hz_loan_gold*G719,0))</f>
        <v/>
      </c>
      <c r="BT720" s="14">
        <f>F720*BS720*IF(B720&gt;=in_marketplace_from,d_hz_loan_gold*G720,0)*in_loan_gold_ticket*in_loan_gold_comm</f>
        <v/>
      </c>
      <c r="BU720" s="40">
        <f>BU719*(1-IF(B719&gt;=in_marketplace_from,d_hz_loan_cd*G719,0))</f>
        <v/>
      </c>
      <c r="BV720" s="14">
        <f>F720*BU720*IF(B720&gt;=in_marketplace_from,d_hz_loan_cd*G720,0)*in_loan_cd_ticket*in_loan_cd_comm</f>
        <v/>
      </c>
      <c r="BW720" s="40">
        <f>BW719*(1-IF(B719&gt;=in_marketplace_from,d_hz_loan_vehicle*G719,0))</f>
        <v/>
      </c>
      <c r="BX720" s="14">
        <f>F720*BW720*IF(B720&gt;=in_marketplace_from,d_hz_loan_vehicle*G720,0)*in_loan_vehicle_ticket*in_loan_vehicle_comm</f>
        <v/>
      </c>
      <c r="BY720" s="40">
        <f>BY719*(1-IF(B719&gt;=in_marketplace_from,d_hz_loan_home*G719,0)*BZ719)</f>
        <v/>
      </c>
      <c r="BZ720" s="11">
        <f>MIN(in_approval_cap,in_loan_home_approval*INDEX('Age profile'!$O$2:$O$61,B720)*(1+in_approval_growth)^(D720-1))</f>
        <v/>
      </c>
      <c r="CA720" s="14">
        <f>F720*BY720*IF(B720&gt;=in_marketplace_from,d_hz_loan_home*G720,0)*BZ720*in_loan_home_ticket*in_loan_home_comm</f>
        <v/>
      </c>
      <c r="CB720" s="40">
        <f>CB719*(1-IF(B719&gt;=in_marketplace_from,d_hz_loan_lap*G719,0)*CC719)</f>
        <v/>
      </c>
      <c r="CC720" s="11">
        <f>MIN(in_approval_cap,in_loan_lap_approval*INDEX('Age profile'!$O$2:$O$61,B720)*(1+in_approval_growth)^(D720-1))</f>
        <v/>
      </c>
      <c r="CD720" s="14">
        <f>F720*CB720*IF(B720&gt;=in_marketplace_from,d_hz_loan_lap*G720,0)*CC720*in_loan_lap_ticket*in_loan_lap_comm</f>
        <v/>
      </c>
      <c r="CE720" s="14">
        <f>AA720+AB720+AC720+AD720+AG720+AJ720+AM720+AP720+AS720+AU720+AX720+BB720+BE720+BG720+BJ720+BL720+BO720+BR720+BT720+BV720+BX720+CA720+CD720</f>
        <v/>
      </c>
    </row>
    <row r="721">
      <c r="A721" s="39" t="n">
        <v>14</v>
      </c>
      <c r="B721" s="39" t="n">
        <v>18</v>
      </c>
      <c r="C721" s="39">
        <f>A721+B721-1</f>
        <v/>
      </c>
      <c r="D721" s="39">
        <f>INT((C721-1)/12)+1</f>
        <v/>
      </c>
      <c r="E721" s="44">
        <f>INDEX(Monthly!$B$2:$B$61,A721)</f>
        <v/>
      </c>
      <c r="F721" s="44">
        <f>E721*INDEX('Age profile'!$B$2:$B$61,B721)</f>
        <v/>
      </c>
      <c r="G721" s="45">
        <f>MIN(in_takeup_cap,INDEX('Age profile'!$N$2:$N$61,B721)*(1+in_takeup_growth)^(D721-1))</f>
        <v/>
      </c>
      <c r="H721" s="11">
        <f>MIN(in_approval_cap,in_approved_first*INDEX('Age profile'!$O$2:$O$61,B721)*(1+in_approval_growth)^(D721-1))</f>
        <v/>
      </c>
      <c r="I721" s="45">
        <f>G721*MIN(in_takeup_cap,INDEX('Age profile'!$O$2:$O$61,B721)*(1+in_approval_growth)^(D721-1))</f>
        <v/>
      </c>
      <c r="J721" s="40">
        <f>(J720-L720)*F721/F720</f>
        <v/>
      </c>
      <c r="K721" s="40">
        <f>(K720-M720)*F721/F720+SUMIFS(O704:O720,B704:B720,B721-1-d_T)*F721</f>
        <v/>
      </c>
      <c r="L721" s="40">
        <f>IF(B721&gt;=in_marketplace_from,J721*d_hz*G721*in_eligible*H721,0)</f>
        <v/>
      </c>
      <c r="M721" s="40">
        <f>IF(B721&gt;=in_marketplace_from,K721*d_hz*G721*in_eligible*in_approved_repeat,0)</f>
        <v/>
      </c>
      <c r="N721" s="40">
        <f>L721+M721</f>
        <v/>
      </c>
      <c r="O721" s="46">
        <f>N721/F721</f>
        <v/>
      </c>
      <c r="P721" s="40">
        <f>F721-J721-K721</f>
        <v/>
      </c>
      <c r="Q721" s="40">
        <f>IF(B721&gt;=in_marketplace_from,(J721+K721)*d_hz*G721,0)</f>
        <v/>
      </c>
      <c r="R721" s="40">
        <f>SUMIFS(N704:N750,B704:B750,"&gt;="&amp;(B721-d_T),B704:B750,"&lt;="&amp;(B721-1))</f>
        <v/>
      </c>
      <c r="S721" s="46">
        <f>(1-d_u)*S720+IF(d_T&gt;in_topup_lag,SUMIFS(O704:O750,B704:B750,B721-in_topup_lag)-d_udrop*SUMIFS(O704:O750,B704:B750,B721-d_T),0)</f>
        <v/>
      </c>
      <c r="T721" s="40">
        <f>F721*d_u*S721</f>
        <v/>
      </c>
      <c r="U721" s="9">
        <f>L721*in_ticket+M721*d_rep_ticket</f>
        <v/>
      </c>
      <c r="V721" s="9">
        <f>U721+T721*d_topup_amt</f>
        <v/>
      </c>
      <c r="W721" s="40">
        <f>N721+T721*d_topup_ratio</f>
        <v/>
      </c>
      <c r="X721" s="40">
        <f>SUMIFS(W704:W750,B704:B750,B721-in_dpd_lag)*d_cured</f>
        <v/>
      </c>
      <c r="Y721" s="40">
        <f>SUMIFS(W704:W750,B704:B750,B721-in_rec_lag)*d_recd</f>
        <v/>
      </c>
      <c r="Z721" s="40">
        <f>IF(AND(B721&gt;=in_marketplace_from,B721&lt;in_marketplace_from+in_card_months),in_card_share/in_card_months*F721*I721,IF(AND(B721&gt;=in_marketplace_from+in_card_months,B721&lt;in_marketplace_from+2*in_card_months),in_card_share*d_card_rem/in_card_months*F721*MIN(in_takeup_cap,(1+in_takeup_growth)^(D721-1))*MIN(in_takeup_cap,(1+in_approval_growth)^(D721-1)),0))</f>
        <v/>
      </c>
      <c r="AA721" s="14">
        <f>V721*in_fee*(1-in_taken_back)</f>
        <v/>
      </c>
      <c r="AB721" s="14">
        <f>SUMIFS(W704:W750,B704:B750,B721-in_dpd_lag)*d_dpd</f>
        <v/>
      </c>
      <c r="AC721" s="14">
        <f>SUMIFS(W704:W750,B704:B750,B721-in_rec_lag)*d_rec</f>
        <v/>
      </c>
      <c r="AD721" s="14">
        <f>Z721*in_card_fee</f>
        <v/>
      </c>
      <c r="AE721" s="40">
        <f>AE720*(1-IF(B720&gt;=in_marketplace_from,d_hz_hlth_small*G720,0))</f>
        <v/>
      </c>
      <c r="AF721" s="46">
        <f>AE721*IF(B721&gt;=in_marketplace_from,d_hz_hlth_small*G721,0)</f>
        <v/>
      </c>
      <c r="AG721" s="14">
        <f>F721*AF721*in_hlth_small_ticket*in_hlth_small_comm*in_ins_partner_share+F721*in_hlth_small_ticket*in_hlth_small_renew_comm*in_ins_partner_share*(in_hlth_small_renew^1*SUMIFS(AF704:AF750,B704:B750,B721-12)+in_hlth_small_renew^2*SUMIFS(AF704:AF750,B704:B750,B721-24)+in_hlth_small_renew^3*SUMIFS(AF704:AF750,B704:B750,B721-36)+in_hlth_small_renew^4*SUMIFS(AF704:AF750,B704:B750,B721-48))</f>
        <v/>
      </c>
      <c r="AH721" s="40">
        <f>AH720*(1-IF(B720&gt;=in_marketplace_from,d_hz_hlth_family*G720,0))</f>
        <v/>
      </c>
      <c r="AI721" s="46">
        <f>AH721*IF(B721&gt;=in_marketplace_from,d_hz_hlth_family*G721,0)</f>
        <v/>
      </c>
      <c r="AJ721" s="14">
        <f>F721*AI721*in_hlth_family_ticket*in_hlth_family_comm*in_ins_partner_share+F721*in_hlth_family_ticket*in_hlth_family_renew_comm*in_ins_partner_share*(in_hlth_family_renew^1*SUMIFS(AI704:AI750,B704:B750,B721-12)+in_hlth_family_renew^2*SUMIFS(AI704:AI750,B704:B750,B721-24)+in_hlth_family_renew^3*SUMIFS(AI704:AI750,B704:B750,B721-36)+in_hlth_family_renew^4*SUMIFS(AI704:AI750,B704:B750,B721-48))</f>
        <v/>
      </c>
      <c r="AK721" s="40">
        <f>AK720*(1-IF(B720&gt;=in_marketplace_from,d_hz_life_term*G720,0))</f>
        <v/>
      </c>
      <c r="AL721" s="46">
        <f>AK721*IF(B721&gt;=in_marketplace_from,d_hz_life_term*G721,0)</f>
        <v/>
      </c>
      <c r="AM721" s="14">
        <f>F721*AL721*in_life_term_ticket*in_life_term_comm*in_ins_partner_share+F721*in_life_term_ticket*in_life_term_renew_comm*in_ins_partner_share*(in_life_term_renew^1*SUMIFS(AL704:AL750,B704:B750,B721-12)+in_life_term_renew^2*SUMIFS(AL704:AL750,B704:B750,B721-24)+in_life_term_renew^3*SUMIFS(AL704:AL750,B704:B750,B721-36)+in_life_term_renew^4*SUMIFS(AL704:AL750,B704:B750,B721-48))</f>
        <v/>
      </c>
      <c r="AN721" s="40">
        <f>AN720*(1-IF(B720&gt;=in_marketplace_from,d_hz_accident*G720,0))</f>
        <v/>
      </c>
      <c r="AO721" s="46">
        <f>AN721*IF(B721&gt;=in_marketplace_from,d_hz_accident*G721,0)</f>
        <v/>
      </c>
      <c r="AP721" s="14">
        <f>F721*AO721*in_accident_ticket*in_accident_comm*in_ins_partner_share+F721*in_accident_ticket*in_accident_renew_comm*in_ins_partner_share*(in_accident_renew^1*SUMIFS(AO704:AO750,B704:B750,B721-12)+in_accident_renew^2*SUMIFS(AO704:AO750,B704:B750,B721-24)+in_accident_renew^3*SUMIFS(AO704:AO750,B704:B750,B721-36)+in_accident_renew^4*SUMIFS(AO704:AO750,B704:B750,B721-48))</f>
        <v/>
      </c>
      <c r="AQ721" s="40">
        <f>AQ720*(1-IF(B720&gt;=in_marketplace_from,d_hz_two_wheeler*G720,0))</f>
        <v/>
      </c>
      <c r="AR721" s="46">
        <f>AQ721*IF(B721&gt;=in_marketplace_from,d_hz_two_wheeler*G721,0)</f>
        <v/>
      </c>
      <c r="AS721" s="14">
        <f>F721*AR721*in_two_wheeler_ticket*in_two_wheeler_comm*in_ins_partner_share+F721*in_two_wheeler_ticket*in_two_wheeler_comm*in_ins_partner_share*(in_two_wheeler_renew^1*SUMIFS(AR704:AR750,B704:B750,B721-12)+in_two_wheeler_renew^2*SUMIFS(AR704:AR750,B704:B750,B721-24)+in_two_wheeler_renew^3*SUMIFS(AR704:AR750,B704:B750,B721-36)+in_two_wheeler_renew^4*SUMIFS(AR704:AR750,B704:B750,B721-48))</f>
        <v/>
      </c>
      <c r="AT721" s="40">
        <f>AT720*(1-IF(B720&gt;=in_marketplace_from,d_hz_device*G720,0))</f>
        <v/>
      </c>
      <c r="AU721" s="14">
        <f>F721*AT721*IF(B721&gt;=in_marketplace_from,d_hz_device*G721,0)*in_device_ticket*in_device_comm*in_ins_partner_share</f>
        <v/>
      </c>
      <c r="AV721" s="40">
        <f>AV720*(1-IF(B720&gt;=in_marketplace_from,d_hz_shop*G720,0))</f>
        <v/>
      </c>
      <c r="AW721" s="46">
        <f>AV721*IF(B721&gt;=in_marketplace_from,d_hz_shop*G721,0)</f>
        <v/>
      </c>
      <c r="AX721" s="14">
        <f>F721*AW721*in_shop_ticket*in_shop_comm*in_ins_partner_share+F721*in_shop_ticket*in_shop_renew_comm*in_ins_partner_share*(in_shop_renew^1*SUMIFS(AW704:AW750,B704:B750,B721-12)+in_shop_renew^2*SUMIFS(AW704:AW750,B704:B750,B721-24)+in_shop_renew^3*SUMIFS(AW704:AW750,B704:B750,B721-36)+in_shop_renew^4*SUMIFS(AW704:AW750,B704:B750,B721-48))</f>
        <v/>
      </c>
      <c r="AY721" s="40">
        <f>AY720*(1-IF(B720&gt;=in_marketplace_from,d_hz_sip*G720,0))</f>
        <v/>
      </c>
      <c r="AZ721" s="40">
        <f>AZ720*d_rho_sip+AY721*IF(B721&gt;=in_marketplace_from,d_hz_sip*G721,0)</f>
        <v/>
      </c>
      <c r="BA721" s="40">
        <f>d_rho_sip*(BA720+AZ720)</f>
        <v/>
      </c>
      <c r="BB721" s="14">
        <f>F721*in_sip_ticket*(BA721+0.5*AZ721)*in_sip_comm/12</f>
        <v/>
      </c>
      <c r="BC721" s="40">
        <f>BC720*(1-IF(B720&gt;=in_marketplace_from,d_hz_choti*G720,0))</f>
        <v/>
      </c>
      <c r="BD721" s="46">
        <f>BC721*IF(B721&gt;=in_marketplace_from,d_hz_choti*G721,0)</f>
        <v/>
      </c>
      <c r="BE721" s="14">
        <f>F721*SUMIFS(BD704:BD750,B704:B750,B721-in_choti_months)*in_choti_renew*in_choti_ticket</f>
        <v/>
      </c>
      <c r="BF721" s="40">
        <f>BF720*(1-IF(B720&gt;=in_marketplace_from,d_hz_nps*G720,0))</f>
        <v/>
      </c>
      <c r="BG721" s="14">
        <f>F721*BF721*IF(B721&gt;=in_marketplace_from,d_hz_nps*G721,0)*in_nps_ticket*in_nps_comm</f>
        <v/>
      </c>
      <c r="BH721" s="40">
        <f>BH720*(1-IF(B720&gt;=in_marketplace_from,d_hz_gold*G720,0))</f>
        <v/>
      </c>
      <c r="BI721" s="40">
        <f>BI720*d_rho_gold+BH721*IF(B721&gt;=in_marketplace_from,d_hz_gold*G721,0)</f>
        <v/>
      </c>
      <c r="BJ721" s="14">
        <f>F721*BI721*in_gold_ticket*in_gold_comm</f>
        <v/>
      </c>
      <c r="BK721" s="40">
        <f>BK720*(1-IF(B720&gt;=in_marketplace_from,d_hz_fd*G720,0))</f>
        <v/>
      </c>
      <c r="BL721" s="14">
        <f>F721*BK721*IF(B721&gt;=in_marketplace_from,d_hz_fd*G721,0)*in_fd_ticket*in_fd_comm</f>
        <v/>
      </c>
      <c r="BM721" s="40">
        <f>BM720*(1-IF(B720&gt;=in_marketplace_from,d_hz_recharge*G720,0))</f>
        <v/>
      </c>
      <c r="BN721" s="40">
        <f>BN720*d_rho_recharge+BM721*IF(B721&gt;=in_marketplace_from,d_hz_recharge*G721,0)</f>
        <v/>
      </c>
      <c r="BO721" s="14">
        <f>F721*BN721*in_recharge_ticket*in_recharge_comm/12</f>
        <v/>
      </c>
      <c r="BP721" s="40">
        <f>BP720*(1-IF(B720&gt;=in_marketplace_from,d_hz_bills*G720,0))</f>
        <v/>
      </c>
      <c r="BQ721" s="40">
        <f>BQ720*d_rho_bills+BP721*IF(B721&gt;=in_marketplace_from,d_hz_bills*G721,0)</f>
        <v/>
      </c>
      <c r="BR721" s="14">
        <f>F721*BQ721*in_bills_ticket*in_bills_comm/12</f>
        <v/>
      </c>
      <c r="BS721" s="40">
        <f>BS720*(1-IF(B720&gt;=in_marketplace_from,d_hz_loan_gold*G720,0))</f>
        <v/>
      </c>
      <c r="BT721" s="14">
        <f>F721*BS721*IF(B721&gt;=in_marketplace_from,d_hz_loan_gold*G721,0)*in_loan_gold_ticket*in_loan_gold_comm</f>
        <v/>
      </c>
      <c r="BU721" s="40">
        <f>BU720*(1-IF(B720&gt;=in_marketplace_from,d_hz_loan_cd*G720,0))</f>
        <v/>
      </c>
      <c r="BV721" s="14">
        <f>F721*BU721*IF(B721&gt;=in_marketplace_from,d_hz_loan_cd*G721,0)*in_loan_cd_ticket*in_loan_cd_comm</f>
        <v/>
      </c>
      <c r="BW721" s="40">
        <f>BW720*(1-IF(B720&gt;=in_marketplace_from,d_hz_loan_vehicle*G720,0))</f>
        <v/>
      </c>
      <c r="BX721" s="14">
        <f>F721*BW721*IF(B721&gt;=in_marketplace_from,d_hz_loan_vehicle*G721,0)*in_loan_vehicle_ticket*in_loan_vehicle_comm</f>
        <v/>
      </c>
      <c r="BY721" s="40">
        <f>BY720*(1-IF(B720&gt;=in_marketplace_from,d_hz_loan_home*G720,0)*BZ720)</f>
        <v/>
      </c>
      <c r="BZ721" s="11">
        <f>MIN(in_approval_cap,in_loan_home_approval*INDEX('Age profile'!$O$2:$O$61,B721)*(1+in_approval_growth)^(D721-1))</f>
        <v/>
      </c>
      <c r="CA721" s="14">
        <f>F721*BY721*IF(B721&gt;=in_marketplace_from,d_hz_loan_home*G721,0)*BZ721*in_loan_home_ticket*in_loan_home_comm</f>
        <v/>
      </c>
      <c r="CB721" s="40">
        <f>CB720*(1-IF(B720&gt;=in_marketplace_from,d_hz_loan_lap*G720,0)*CC720)</f>
        <v/>
      </c>
      <c r="CC721" s="11">
        <f>MIN(in_approval_cap,in_loan_lap_approval*INDEX('Age profile'!$O$2:$O$61,B721)*(1+in_approval_growth)^(D721-1))</f>
        <v/>
      </c>
      <c r="CD721" s="14">
        <f>F721*CB721*IF(B721&gt;=in_marketplace_from,d_hz_loan_lap*G721,0)*CC721*in_loan_lap_ticket*in_loan_lap_comm</f>
        <v/>
      </c>
      <c r="CE721" s="14">
        <f>AA721+AB721+AC721+AD721+AG721+AJ721+AM721+AP721+AS721+AU721+AX721+BB721+BE721+BG721+BJ721+BL721+BO721+BR721+BT721+BV721+BX721+CA721+CD721</f>
        <v/>
      </c>
    </row>
    <row r="722">
      <c r="A722" s="39" t="n">
        <v>14</v>
      </c>
      <c r="B722" s="39" t="n">
        <v>19</v>
      </c>
      <c r="C722" s="39">
        <f>A722+B722-1</f>
        <v/>
      </c>
      <c r="D722" s="39">
        <f>INT((C722-1)/12)+1</f>
        <v/>
      </c>
      <c r="E722" s="44">
        <f>INDEX(Monthly!$B$2:$B$61,A722)</f>
        <v/>
      </c>
      <c r="F722" s="44">
        <f>E722*INDEX('Age profile'!$B$2:$B$61,B722)</f>
        <v/>
      </c>
      <c r="G722" s="45">
        <f>MIN(in_takeup_cap,INDEX('Age profile'!$N$2:$N$61,B722)*(1+in_takeup_growth)^(D722-1))</f>
        <v/>
      </c>
      <c r="H722" s="11">
        <f>MIN(in_approval_cap,in_approved_first*INDEX('Age profile'!$O$2:$O$61,B722)*(1+in_approval_growth)^(D722-1))</f>
        <v/>
      </c>
      <c r="I722" s="45">
        <f>G722*MIN(in_takeup_cap,INDEX('Age profile'!$O$2:$O$61,B722)*(1+in_approval_growth)^(D722-1))</f>
        <v/>
      </c>
      <c r="J722" s="40">
        <f>(J721-L721)*F722/F721</f>
        <v/>
      </c>
      <c r="K722" s="40">
        <f>(K721-M721)*F722/F721+SUMIFS(O704:O721,B704:B721,B722-1-d_T)*F722</f>
        <v/>
      </c>
      <c r="L722" s="40">
        <f>IF(B722&gt;=in_marketplace_from,J722*d_hz*G722*in_eligible*H722,0)</f>
        <v/>
      </c>
      <c r="M722" s="40">
        <f>IF(B722&gt;=in_marketplace_from,K722*d_hz*G722*in_eligible*in_approved_repeat,0)</f>
        <v/>
      </c>
      <c r="N722" s="40">
        <f>L722+M722</f>
        <v/>
      </c>
      <c r="O722" s="46">
        <f>N722/F722</f>
        <v/>
      </c>
      <c r="P722" s="40">
        <f>F722-J722-K722</f>
        <v/>
      </c>
      <c r="Q722" s="40">
        <f>IF(B722&gt;=in_marketplace_from,(J722+K722)*d_hz*G722,0)</f>
        <v/>
      </c>
      <c r="R722" s="40">
        <f>SUMIFS(N704:N750,B704:B750,"&gt;="&amp;(B722-d_T),B704:B750,"&lt;="&amp;(B722-1))</f>
        <v/>
      </c>
      <c r="S722" s="46">
        <f>(1-d_u)*S721+IF(d_T&gt;in_topup_lag,SUMIFS(O704:O750,B704:B750,B722-in_topup_lag)-d_udrop*SUMIFS(O704:O750,B704:B750,B722-d_T),0)</f>
        <v/>
      </c>
      <c r="T722" s="40">
        <f>F722*d_u*S722</f>
        <v/>
      </c>
      <c r="U722" s="9">
        <f>L722*in_ticket+M722*d_rep_ticket</f>
        <v/>
      </c>
      <c r="V722" s="9">
        <f>U722+T722*d_topup_amt</f>
        <v/>
      </c>
      <c r="W722" s="40">
        <f>N722+T722*d_topup_ratio</f>
        <v/>
      </c>
      <c r="X722" s="40">
        <f>SUMIFS(W704:W750,B704:B750,B722-in_dpd_lag)*d_cured</f>
        <v/>
      </c>
      <c r="Y722" s="40">
        <f>SUMIFS(W704:W750,B704:B750,B722-in_rec_lag)*d_recd</f>
        <v/>
      </c>
      <c r="Z722" s="40">
        <f>IF(AND(B722&gt;=in_marketplace_from,B722&lt;in_marketplace_from+in_card_months),in_card_share/in_card_months*F722*I722,IF(AND(B722&gt;=in_marketplace_from+in_card_months,B722&lt;in_marketplace_from+2*in_card_months),in_card_share*d_card_rem/in_card_months*F722*MIN(in_takeup_cap,(1+in_takeup_growth)^(D722-1))*MIN(in_takeup_cap,(1+in_approval_growth)^(D722-1)),0))</f>
        <v/>
      </c>
      <c r="AA722" s="14">
        <f>V722*in_fee*(1-in_taken_back)</f>
        <v/>
      </c>
      <c r="AB722" s="14">
        <f>SUMIFS(W704:W750,B704:B750,B722-in_dpd_lag)*d_dpd</f>
        <v/>
      </c>
      <c r="AC722" s="14">
        <f>SUMIFS(W704:W750,B704:B750,B722-in_rec_lag)*d_rec</f>
        <v/>
      </c>
      <c r="AD722" s="14">
        <f>Z722*in_card_fee</f>
        <v/>
      </c>
      <c r="AE722" s="40">
        <f>AE721*(1-IF(B721&gt;=in_marketplace_from,d_hz_hlth_small*G721,0))</f>
        <v/>
      </c>
      <c r="AF722" s="46">
        <f>AE722*IF(B722&gt;=in_marketplace_from,d_hz_hlth_small*G722,0)</f>
        <v/>
      </c>
      <c r="AG722" s="14">
        <f>F722*AF722*in_hlth_small_ticket*in_hlth_small_comm*in_ins_partner_share+F722*in_hlth_small_ticket*in_hlth_small_renew_comm*in_ins_partner_share*(in_hlth_small_renew^1*SUMIFS(AF704:AF750,B704:B750,B722-12)+in_hlth_small_renew^2*SUMIFS(AF704:AF750,B704:B750,B722-24)+in_hlth_small_renew^3*SUMIFS(AF704:AF750,B704:B750,B722-36)+in_hlth_small_renew^4*SUMIFS(AF704:AF750,B704:B750,B722-48))</f>
        <v/>
      </c>
      <c r="AH722" s="40">
        <f>AH721*(1-IF(B721&gt;=in_marketplace_from,d_hz_hlth_family*G721,0))</f>
        <v/>
      </c>
      <c r="AI722" s="46">
        <f>AH722*IF(B722&gt;=in_marketplace_from,d_hz_hlth_family*G722,0)</f>
        <v/>
      </c>
      <c r="AJ722" s="14">
        <f>F722*AI722*in_hlth_family_ticket*in_hlth_family_comm*in_ins_partner_share+F722*in_hlth_family_ticket*in_hlth_family_renew_comm*in_ins_partner_share*(in_hlth_family_renew^1*SUMIFS(AI704:AI750,B704:B750,B722-12)+in_hlth_family_renew^2*SUMIFS(AI704:AI750,B704:B750,B722-24)+in_hlth_family_renew^3*SUMIFS(AI704:AI750,B704:B750,B722-36)+in_hlth_family_renew^4*SUMIFS(AI704:AI750,B704:B750,B722-48))</f>
        <v/>
      </c>
      <c r="AK722" s="40">
        <f>AK721*(1-IF(B721&gt;=in_marketplace_from,d_hz_life_term*G721,0))</f>
        <v/>
      </c>
      <c r="AL722" s="46">
        <f>AK722*IF(B722&gt;=in_marketplace_from,d_hz_life_term*G722,0)</f>
        <v/>
      </c>
      <c r="AM722" s="14">
        <f>F722*AL722*in_life_term_ticket*in_life_term_comm*in_ins_partner_share+F722*in_life_term_ticket*in_life_term_renew_comm*in_ins_partner_share*(in_life_term_renew^1*SUMIFS(AL704:AL750,B704:B750,B722-12)+in_life_term_renew^2*SUMIFS(AL704:AL750,B704:B750,B722-24)+in_life_term_renew^3*SUMIFS(AL704:AL750,B704:B750,B722-36)+in_life_term_renew^4*SUMIFS(AL704:AL750,B704:B750,B722-48))</f>
        <v/>
      </c>
      <c r="AN722" s="40">
        <f>AN721*(1-IF(B721&gt;=in_marketplace_from,d_hz_accident*G721,0))</f>
        <v/>
      </c>
      <c r="AO722" s="46">
        <f>AN722*IF(B722&gt;=in_marketplace_from,d_hz_accident*G722,0)</f>
        <v/>
      </c>
      <c r="AP722" s="14">
        <f>F722*AO722*in_accident_ticket*in_accident_comm*in_ins_partner_share+F722*in_accident_ticket*in_accident_renew_comm*in_ins_partner_share*(in_accident_renew^1*SUMIFS(AO704:AO750,B704:B750,B722-12)+in_accident_renew^2*SUMIFS(AO704:AO750,B704:B750,B722-24)+in_accident_renew^3*SUMIFS(AO704:AO750,B704:B750,B722-36)+in_accident_renew^4*SUMIFS(AO704:AO750,B704:B750,B722-48))</f>
        <v/>
      </c>
      <c r="AQ722" s="40">
        <f>AQ721*(1-IF(B721&gt;=in_marketplace_from,d_hz_two_wheeler*G721,0))</f>
        <v/>
      </c>
      <c r="AR722" s="46">
        <f>AQ722*IF(B722&gt;=in_marketplace_from,d_hz_two_wheeler*G722,0)</f>
        <v/>
      </c>
      <c r="AS722" s="14">
        <f>F722*AR722*in_two_wheeler_ticket*in_two_wheeler_comm*in_ins_partner_share+F722*in_two_wheeler_ticket*in_two_wheeler_comm*in_ins_partner_share*(in_two_wheeler_renew^1*SUMIFS(AR704:AR750,B704:B750,B722-12)+in_two_wheeler_renew^2*SUMIFS(AR704:AR750,B704:B750,B722-24)+in_two_wheeler_renew^3*SUMIFS(AR704:AR750,B704:B750,B722-36)+in_two_wheeler_renew^4*SUMIFS(AR704:AR750,B704:B750,B722-48))</f>
        <v/>
      </c>
      <c r="AT722" s="40">
        <f>AT721*(1-IF(B721&gt;=in_marketplace_from,d_hz_device*G721,0))</f>
        <v/>
      </c>
      <c r="AU722" s="14">
        <f>F722*AT722*IF(B722&gt;=in_marketplace_from,d_hz_device*G722,0)*in_device_ticket*in_device_comm*in_ins_partner_share</f>
        <v/>
      </c>
      <c r="AV722" s="40">
        <f>AV721*(1-IF(B721&gt;=in_marketplace_from,d_hz_shop*G721,0))</f>
        <v/>
      </c>
      <c r="AW722" s="46">
        <f>AV722*IF(B722&gt;=in_marketplace_from,d_hz_shop*G722,0)</f>
        <v/>
      </c>
      <c r="AX722" s="14">
        <f>F722*AW722*in_shop_ticket*in_shop_comm*in_ins_partner_share+F722*in_shop_ticket*in_shop_renew_comm*in_ins_partner_share*(in_shop_renew^1*SUMIFS(AW704:AW750,B704:B750,B722-12)+in_shop_renew^2*SUMIFS(AW704:AW750,B704:B750,B722-24)+in_shop_renew^3*SUMIFS(AW704:AW750,B704:B750,B722-36)+in_shop_renew^4*SUMIFS(AW704:AW750,B704:B750,B722-48))</f>
        <v/>
      </c>
      <c r="AY722" s="40">
        <f>AY721*(1-IF(B721&gt;=in_marketplace_from,d_hz_sip*G721,0))</f>
        <v/>
      </c>
      <c r="AZ722" s="40">
        <f>AZ721*d_rho_sip+AY722*IF(B722&gt;=in_marketplace_from,d_hz_sip*G722,0)</f>
        <v/>
      </c>
      <c r="BA722" s="40">
        <f>d_rho_sip*(BA721+AZ721)</f>
        <v/>
      </c>
      <c r="BB722" s="14">
        <f>F722*in_sip_ticket*(BA722+0.5*AZ722)*in_sip_comm/12</f>
        <v/>
      </c>
      <c r="BC722" s="40">
        <f>BC721*(1-IF(B721&gt;=in_marketplace_from,d_hz_choti*G721,0))</f>
        <v/>
      </c>
      <c r="BD722" s="46">
        <f>BC722*IF(B722&gt;=in_marketplace_from,d_hz_choti*G722,0)</f>
        <v/>
      </c>
      <c r="BE722" s="14">
        <f>F722*SUMIFS(BD704:BD750,B704:B750,B722-in_choti_months)*in_choti_renew*in_choti_ticket</f>
        <v/>
      </c>
      <c r="BF722" s="40">
        <f>BF721*(1-IF(B721&gt;=in_marketplace_from,d_hz_nps*G721,0))</f>
        <v/>
      </c>
      <c r="BG722" s="14">
        <f>F722*BF722*IF(B722&gt;=in_marketplace_from,d_hz_nps*G722,0)*in_nps_ticket*in_nps_comm</f>
        <v/>
      </c>
      <c r="BH722" s="40">
        <f>BH721*(1-IF(B721&gt;=in_marketplace_from,d_hz_gold*G721,0))</f>
        <v/>
      </c>
      <c r="BI722" s="40">
        <f>BI721*d_rho_gold+BH722*IF(B722&gt;=in_marketplace_from,d_hz_gold*G722,0)</f>
        <v/>
      </c>
      <c r="BJ722" s="14">
        <f>F722*BI722*in_gold_ticket*in_gold_comm</f>
        <v/>
      </c>
      <c r="BK722" s="40">
        <f>BK721*(1-IF(B721&gt;=in_marketplace_from,d_hz_fd*G721,0))</f>
        <v/>
      </c>
      <c r="BL722" s="14">
        <f>F722*BK722*IF(B722&gt;=in_marketplace_from,d_hz_fd*G722,0)*in_fd_ticket*in_fd_comm</f>
        <v/>
      </c>
      <c r="BM722" s="40">
        <f>BM721*(1-IF(B721&gt;=in_marketplace_from,d_hz_recharge*G721,0))</f>
        <v/>
      </c>
      <c r="BN722" s="40">
        <f>BN721*d_rho_recharge+BM722*IF(B722&gt;=in_marketplace_from,d_hz_recharge*G722,0)</f>
        <v/>
      </c>
      <c r="BO722" s="14">
        <f>F722*BN722*in_recharge_ticket*in_recharge_comm/12</f>
        <v/>
      </c>
      <c r="BP722" s="40">
        <f>BP721*(1-IF(B721&gt;=in_marketplace_from,d_hz_bills*G721,0))</f>
        <v/>
      </c>
      <c r="BQ722" s="40">
        <f>BQ721*d_rho_bills+BP722*IF(B722&gt;=in_marketplace_from,d_hz_bills*G722,0)</f>
        <v/>
      </c>
      <c r="BR722" s="14">
        <f>F722*BQ722*in_bills_ticket*in_bills_comm/12</f>
        <v/>
      </c>
      <c r="BS722" s="40">
        <f>BS721*(1-IF(B721&gt;=in_marketplace_from,d_hz_loan_gold*G721,0))</f>
        <v/>
      </c>
      <c r="BT722" s="14">
        <f>F722*BS722*IF(B722&gt;=in_marketplace_from,d_hz_loan_gold*G722,0)*in_loan_gold_ticket*in_loan_gold_comm</f>
        <v/>
      </c>
      <c r="BU722" s="40">
        <f>BU721*(1-IF(B721&gt;=in_marketplace_from,d_hz_loan_cd*G721,0))</f>
        <v/>
      </c>
      <c r="BV722" s="14">
        <f>F722*BU722*IF(B722&gt;=in_marketplace_from,d_hz_loan_cd*G722,0)*in_loan_cd_ticket*in_loan_cd_comm</f>
        <v/>
      </c>
      <c r="BW722" s="40">
        <f>BW721*(1-IF(B721&gt;=in_marketplace_from,d_hz_loan_vehicle*G721,0))</f>
        <v/>
      </c>
      <c r="BX722" s="14">
        <f>F722*BW722*IF(B722&gt;=in_marketplace_from,d_hz_loan_vehicle*G722,0)*in_loan_vehicle_ticket*in_loan_vehicle_comm</f>
        <v/>
      </c>
      <c r="BY722" s="40">
        <f>BY721*(1-IF(B721&gt;=in_marketplace_from,d_hz_loan_home*G721,0)*BZ721)</f>
        <v/>
      </c>
      <c r="BZ722" s="11">
        <f>MIN(in_approval_cap,in_loan_home_approval*INDEX('Age profile'!$O$2:$O$61,B722)*(1+in_approval_growth)^(D722-1))</f>
        <v/>
      </c>
      <c r="CA722" s="14">
        <f>F722*BY722*IF(B722&gt;=in_marketplace_from,d_hz_loan_home*G722,0)*BZ722*in_loan_home_ticket*in_loan_home_comm</f>
        <v/>
      </c>
      <c r="CB722" s="40">
        <f>CB721*(1-IF(B721&gt;=in_marketplace_from,d_hz_loan_lap*G721,0)*CC721)</f>
        <v/>
      </c>
      <c r="CC722" s="11">
        <f>MIN(in_approval_cap,in_loan_lap_approval*INDEX('Age profile'!$O$2:$O$61,B722)*(1+in_approval_growth)^(D722-1))</f>
        <v/>
      </c>
      <c r="CD722" s="14">
        <f>F722*CB722*IF(B722&gt;=in_marketplace_from,d_hz_loan_lap*G722,0)*CC722*in_loan_lap_ticket*in_loan_lap_comm</f>
        <v/>
      </c>
      <c r="CE722" s="14">
        <f>AA722+AB722+AC722+AD722+AG722+AJ722+AM722+AP722+AS722+AU722+AX722+BB722+BE722+BG722+BJ722+BL722+BO722+BR722+BT722+BV722+BX722+CA722+CD722</f>
        <v/>
      </c>
    </row>
    <row r="723">
      <c r="A723" s="39" t="n">
        <v>14</v>
      </c>
      <c r="B723" s="39" t="n">
        <v>20</v>
      </c>
      <c r="C723" s="39">
        <f>A723+B723-1</f>
        <v/>
      </c>
      <c r="D723" s="39">
        <f>INT((C723-1)/12)+1</f>
        <v/>
      </c>
      <c r="E723" s="44">
        <f>INDEX(Monthly!$B$2:$B$61,A723)</f>
        <v/>
      </c>
      <c r="F723" s="44">
        <f>E723*INDEX('Age profile'!$B$2:$B$61,B723)</f>
        <v/>
      </c>
      <c r="G723" s="45">
        <f>MIN(in_takeup_cap,INDEX('Age profile'!$N$2:$N$61,B723)*(1+in_takeup_growth)^(D723-1))</f>
        <v/>
      </c>
      <c r="H723" s="11">
        <f>MIN(in_approval_cap,in_approved_first*INDEX('Age profile'!$O$2:$O$61,B723)*(1+in_approval_growth)^(D723-1))</f>
        <v/>
      </c>
      <c r="I723" s="45">
        <f>G723*MIN(in_takeup_cap,INDEX('Age profile'!$O$2:$O$61,B723)*(1+in_approval_growth)^(D723-1))</f>
        <v/>
      </c>
      <c r="J723" s="40">
        <f>(J722-L722)*F723/F722</f>
        <v/>
      </c>
      <c r="K723" s="40">
        <f>(K722-M722)*F723/F722+SUMIFS(O704:O722,B704:B722,B723-1-d_T)*F723</f>
        <v/>
      </c>
      <c r="L723" s="40">
        <f>IF(B723&gt;=in_marketplace_from,J723*d_hz*G723*in_eligible*H723,0)</f>
        <v/>
      </c>
      <c r="M723" s="40">
        <f>IF(B723&gt;=in_marketplace_from,K723*d_hz*G723*in_eligible*in_approved_repeat,0)</f>
        <v/>
      </c>
      <c r="N723" s="40">
        <f>L723+M723</f>
        <v/>
      </c>
      <c r="O723" s="46">
        <f>N723/F723</f>
        <v/>
      </c>
      <c r="P723" s="40">
        <f>F723-J723-K723</f>
        <v/>
      </c>
      <c r="Q723" s="40">
        <f>IF(B723&gt;=in_marketplace_from,(J723+K723)*d_hz*G723,0)</f>
        <v/>
      </c>
      <c r="R723" s="40">
        <f>SUMIFS(N704:N750,B704:B750,"&gt;="&amp;(B723-d_T),B704:B750,"&lt;="&amp;(B723-1))</f>
        <v/>
      </c>
      <c r="S723" s="46">
        <f>(1-d_u)*S722+IF(d_T&gt;in_topup_lag,SUMIFS(O704:O750,B704:B750,B723-in_topup_lag)-d_udrop*SUMIFS(O704:O750,B704:B750,B723-d_T),0)</f>
        <v/>
      </c>
      <c r="T723" s="40">
        <f>F723*d_u*S723</f>
        <v/>
      </c>
      <c r="U723" s="9">
        <f>L723*in_ticket+M723*d_rep_ticket</f>
        <v/>
      </c>
      <c r="V723" s="9">
        <f>U723+T723*d_topup_amt</f>
        <v/>
      </c>
      <c r="W723" s="40">
        <f>N723+T723*d_topup_ratio</f>
        <v/>
      </c>
      <c r="X723" s="40">
        <f>SUMIFS(W704:W750,B704:B750,B723-in_dpd_lag)*d_cured</f>
        <v/>
      </c>
      <c r="Y723" s="40">
        <f>SUMIFS(W704:W750,B704:B750,B723-in_rec_lag)*d_recd</f>
        <v/>
      </c>
      <c r="Z723" s="40">
        <f>IF(AND(B723&gt;=in_marketplace_from,B723&lt;in_marketplace_from+in_card_months),in_card_share/in_card_months*F723*I723,IF(AND(B723&gt;=in_marketplace_from+in_card_months,B723&lt;in_marketplace_from+2*in_card_months),in_card_share*d_card_rem/in_card_months*F723*MIN(in_takeup_cap,(1+in_takeup_growth)^(D723-1))*MIN(in_takeup_cap,(1+in_approval_growth)^(D723-1)),0))</f>
        <v/>
      </c>
      <c r="AA723" s="14">
        <f>V723*in_fee*(1-in_taken_back)</f>
        <v/>
      </c>
      <c r="AB723" s="14">
        <f>SUMIFS(W704:W750,B704:B750,B723-in_dpd_lag)*d_dpd</f>
        <v/>
      </c>
      <c r="AC723" s="14">
        <f>SUMIFS(W704:W750,B704:B750,B723-in_rec_lag)*d_rec</f>
        <v/>
      </c>
      <c r="AD723" s="14">
        <f>Z723*in_card_fee</f>
        <v/>
      </c>
      <c r="AE723" s="40">
        <f>AE722*(1-IF(B722&gt;=in_marketplace_from,d_hz_hlth_small*G722,0))</f>
        <v/>
      </c>
      <c r="AF723" s="46">
        <f>AE723*IF(B723&gt;=in_marketplace_from,d_hz_hlth_small*G723,0)</f>
        <v/>
      </c>
      <c r="AG723" s="14">
        <f>F723*AF723*in_hlth_small_ticket*in_hlth_small_comm*in_ins_partner_share+F723*in_hlth_small_ticket*in_hlth_small_renew_comm*in_ins_partner_share*(in_hlth_small_renew^1*SUMIFS(AF704:AF750,B704:B750,B723-12)+in_hlth_small_renew^2*SUMIFS(AF704:AF750,B704:B750,B723-24)+in_hlth_small_renew^3*SUMIFS(AF704:AF750,B704:B750,B723-36)+in_hlth_small_renew^4*SUMIFS(AF704:AF750,B704:B750,B723-48))</f>
        <v/>
      </c>
      <c r="AH723" s="40">
        <f>AH722*(1-IF(B722&gt;=in_marketplace_from,d_hz_hlth_family*G722,0))</f>
        <v/>
      </c>
      <c r="AI723" s="46">
        <f>AH723*IF(B723&gt;=in_marketplace_from,d_hz_hlth_family*G723,0)</f>
        <v/>
      </c>
      <c r="AJ723" s="14">
        <f>F723*AI723*in_hlth_family_ticket*in_hlth_family_comm*in_ins_partner_share+F723*in_hlth_family_ticket*in_hlth_family_renew_comm*in_ins_partner_share*(in_hlth_family_renew^1*SUMIFS(AI704:AI750,B704:B750,B723-12)+in_hlth_family_renew^2*SUMIFS(AI704:AI750,B704:B750,B723-24)+in_hlth_family_renew^3*SUMIFS(AI704:AI750,B704:B750,B723-36)+in_hlth_family_renew^4*SUMIFS(AI704:AI750,B704:B750,B723-48))</f>
        <v/>
      </c>
      <c r="AK723" s="40">
        <f>AK722*(1-IF(B722&gt;=in_marketplace_from,d_hz_life_term*G722,0))</f>
        <v/>
      </c>
      <c r="AL723" s="46">
        <f>AK723*IF(B723&gt;=in_marketplace_from,d_hz_life_term*G723,0)</f>
        <v/>
      </c>
      <c r="AM723" s="14">
        <f>F723*AL723*in_life_term_ticket*in_life_term_comm*in_ins_partner_share+F723*in_life_term_ticket*in_life_term_renew_comm*in_ins_partner_share*(in_life_term_renew^1*SUMIFS(AL704:AL750,B704:B750,B723-12)+in_life_term_renew^2*SUMIFS(AL704:AL750,B704:B750,B723-24)+in_life_term_renew^3*SUMIFS(AL704:AL750,B704:B750,B723-36)+in_life_term_renew^4*SUMIFS(AL704:AL750,B704:B750,B723-48))</f>
        <v/>
      </c>
      <c r="AN723" s="40">
        <f>AN722*(1-IF(B722&gt;=in_marketplace_from,d_hz_accident*G722,0))</f>
        <v/>
      </c>
      <c r="AO723" s="46">
        <f>AN723*IF(B723&gt;=in_marketplace_from,d_hz_accident*G723,0)</f>
        <v/>
      </c>
      <c r="AP723" s="14">
        <f>F723*AO723*in_accident_ticket*in_accident_comm*in_ins_partner_share+F723*in_accident_ticket*in_accident_renew_comm*in_ins_partner_share*(in_accident_renew^1*SUMIFS(AO704:AO750,B704:B750,B723-12)+in_accident_renew^2*SUMIFS(AO704:AO750,B704:B750,B723-24)+in_accident_renew^3*SUMIFS(AO704:AO750,B704:B750,B723-36)+in_accident_renew^4*SUMIFS(AO704:AO750,B704:B750,B723-48))</f>
        <v/>
      </c>
      <c r="AQ723" s="40">
        <f>AQ722*(1-IF(B722&gt;=in_marketplace_from,d_hz_two_wheeler*G722,0))</f>
        <v/>
      </c>
      <c r="AR723" s="46">
        <f>AQ723*IF(B723&gt;=in_marketplace_from,d_hz_two_wheeler*G723,0)</f>
        <v/>
      </c>
      <c r="AS723" s="14">
        <f>F723*AR723*in_two_wheeler_ticket*in_two_wheeler_comm*in_ins_partner_share+F723*in_two_wheeler_ticket*in_two_wheeler_comm*in_ins_partner_share*(in_two_wheeler_renew^1*SUMIFS(AR704:AR750,B704:B750,B723-12)+in_two_wheeler_renew^2*SUMIFS(AR704:AR750,B704:B750,B723-24)+in_two_wheeler_renew^3*SUMIFS(AR704:AR750,B704:B750,B723-36)+in_two_wheeler_renew^4*SUMIFS(AR704:AR750,B704:B750,B723-48))</f>
        <v/>
      </c>
      <c r="AT723" s="40">
        <f>AT722*(1-IF(B722&gt;=in_marketplace_from,d_hz_device*G722,0))</f>
        <v/>
      </c>
      <c r="AU723" s="14">
        <f>F723*AT723*IF(B723&gt;=in_marketplace_from,d_hz_device*G723,0)*in_device_ticket*in_device_comm*in_ins_partner_share</f>
        <v/>
      </c>
      <c r="AV723" s="40">
        <f>AV722*(1-IF(B722&gt;=in_marketplace_from,d_hz_shop*G722,0))</f>
        <v/>
      </c>
      <c r="AW723" s="46">
        <f>AV723*IF(B723&gt;=in_marketplace_from,d_hz_shop*G723,0)</f>
        <v/>
      </c>
      <c r="AX723" s="14">
        <f>F723*AW723*in_shop_ticket*in_shop_comm*in_ins_partner_share+F723*in_shop_ticket*in_shop_renew_comm*in_ins_partner_share*(in_shop_renew^1*SUMIFS(AW704:AW750,B704:B750,B723-12)+in_shop_renew^2*SUMIFS(AW704:AW750,B704:B750,B723-24)+in_shop_renew^3*SUMIFS(AW704:AW750,B704:B750,B723-36)+in_shop_renew^4*SUMIFS(AW704:AW750,B704:B750,B723-48))</f>
        <v/>
      </c>
      <c r="AY723" s="40">
        <f>AY722*(1-IF(B722&gt;=in_marketplace_from,d_hz_sip*G722,0))</f>
        <v/>
      </c>
      <c r="AZ723" s="40">
        <f>AZ722*d_rho_sip+AY723*IF(B723&gt;=in_marketplace_from,d_hz_sip*G723,0)</f>
        <v/>
      </c>
      <c r="BA723" s="40">
        <f>d_rho_sip*(BA722+AZ722)</f>
        <v/>
      </c>
      <c r="BB723" s="14">
        <f>F723*in_sip_ticket*(BA723+0.5*AZ723)*in_sip_comm/12</f>
        <v/>
      </c>
      <c r="BC723" s="40">
        <f>BC722*(1-IF(B722&gt;=in_marketplace_from,d_hz_choti*G722,0))</f>
        <v/>
      </c>
      <c r="BD723" s="46">
        <f>BC723*IF(B723&gt;=in_marketplace_from,d_hz_choti*G723,0)</f>
        <v/>
      </c>
      <c r="BE723" s="14">
        <f>F723*SUMIFS(BD704:BD750,B704:B750,B723-in_choti_months)*in_choti_renew*in_choti_ticket</f>
        <v/>
      </c>
      <c r="BF723" s="40">
        <f>BF722*(1-IF(B722&gt;=in_marketplace_from,d_hz_nps*G722,0))</f>
        <v/>
      </c>
      <c r="BG723" s="14">
        <f>F723*BF723*IF(B723&gt;=in_marketplace_from,d_hz_nps*G723,0)*in_nps_ticket*in_nps_comm</f>
        <v/>
      </c>
      <c r="BH723" s="40">
        <f>BH722*(1-IF(B722&gt;=in_marketplace_from,d_hz_gold*G722,0))</f>
        <v/>
      </c>
      <c r="BI723" s="40">
        <f>BI722*d_rho_gold+BH723*IF(B723&gt;=in_marketplace_from,d_hz_gold*G723,0)</f>
        <v/>
      </c>
      <c r="BJ723" s="14">
        <f>F723*BI723*in_gold_ticket*in_gold_comm</f>
        <v/>
      </c>
      <c r="BK723" s="40">
        <f>BK722*(1-IF(B722&gt;=in_marketplace_from,d_hz_fd*G722,0))</f>
        <v/>
      </c>
      <c r="BL723" s="14">
        <f>F723*BK723*IF(B723&gt;=in_marketplace_from,d_hz_fd*G723,0)*in_fd_ticket*in_fd_comm</f>
        <v/>
      </c>
      <c r="BM723" s="40">
        <f>BM722*(1-IF(B722&gt;=in_marketplace_from,d_hz_recharge*G722,0))</f>
        <v/>
      </c>
      <c r="BN723" s="40">
        <f>BN722*d_rho_recharge+BM723*IF(B723&gt;=in_marketplace_from,d_hz_recharge*G723,0)</f>
        <v/>
      </c>
      <c r="BO723" s="14">
        <f>F723*BN723*in_recharge_ticket*in_recharge_comm/12</f>
        <v/>
      </c>
      <c r="BP723" s="40">
        <f>BP722*(1-IF(B722&gt;=in_marketplace_from,d_hz_bills*G722,0))</f>
        <v/>
      </c>
      <c r="BQ723" s="40">
        <f>BQ722*d_rho_bills+BP723*IF(B723&gt;=in_marketplace_from,d_hz_bills*G723,0)</f>
        <v/>
      </c>
      <c r="BR723" s="14">
        <f>F723*BQ723*in_bills_ticket*in_bills_comm/12</f>
        <v/>
      </c>
      <c r="BS723" s="40">
        <f>BS722*(1-IF(B722&gt;=in_marketplace_from,d_hz_loan_gold*G722,0))</f>
        <v/>
      </c>
      <c r="BT723" s="14">
        <f>F723*BS723*IF(B723&gt;=in_marketplace_from,d_hz_loan_gold*G723,0)*in_loan_gold_ticket*in_loan_gold_comm</f>
        <v/>
      </c>
      <c r="BU723" s="40">
        <f>BU722*(1-IF(B722&gt;=in_marketplace_from,d_hz_loan_cd*G722,0))</f>
        <v/>
      </c>
      <c r="BV723" s="14">
        <f>F723*BU723*IF(B723&gt;=in_marketplace_from,d_hz_loan_cd*G723,0)*in_loan_cd_ticket*in_loan_cd_comm</f>
        <v/>
      </c>
      <c r="BW723" s="40">
        <f>BW722*(1-IF(B722&gt;=in_marketplace_from,d_hz_loan_vehicle*G722,0))</f>
        <v/>
      </c>
      <c r="BX723" s="14">
        <f>F723*BW723*IF(B723&gt;=in_marketplace_from,d_hz_loan_vehicle*G723,0)*in_loan_vehicle_ticket*in_loan_vehicle_comm</f>
        <v/>
      </c>
      <c r="BY723" s="40">
        <f>BY722*(1-IF(B722&gt;=in_marketplace_from,d_hz_loan_home*G722,0)*BZ722)</f>
        <v/>
      </c>
      <c r="BZ723" s="11">
        <f>MIN(in_approval_cap,in_loan_home_approval*INDEX('Age profile'!$O$2:$O$61,B723)*(1+in_approval_growth)^(D723-1))</f>
        <v/>
      </c>
      <c r="CA723" s="14">
        <f>F723*BY723*IF(B723&gt;=in_marketplace_from,d_hz_loan_home*G723,0)*BZ723*in_loan_home_ticket*in_loan_home_comm</f>
        <v/>
      </c>
      <c r="CB723" s="40">
        <f>CB722*(1-IF(B722&gt;=in_marketplace_from,d_hz_loan_lap*G722,0)*CC722)</f>
        <v/>
      </c>
      <c r="CC723" s="11">
        <f>MIN(in_approval_cap,in_loan_lap_approval*INDEX('Age profile'!$O$2:$O$61,B723)*(1+in_approval_growth)^(D723-1))</f>
        <v/>
      </c>
      <c r="CD723" s="14">
        <f>F723*CB723*IF(B723&gt;=in_marketplace_from,d_hz_loan_lap*G723,0)*CC723*in_loan_lap_ticket*in_loan_lap_comm</f>
        <v/>
      </c>
      <c r="CE723" s="14">
        <f>AA723+AB723+AC723+AD723+AG723+AJ723+AM723+AP723+AS723+AU723+AX723+BB723+BE723+BG723+BJ723+BL723+BO723+BR723+BT723+BV723+BX723+CA723+CD723</f>
        <v/>
      </c>
    </row>
    <row r="724">
      <c r="A724" s="39" t="n">
        <v>14</v>
      </c>
      <c r="B724" s="39" t="n">
        <v>21</v>
      </c>
      <c r="C724" s="39">
        <f>A724+B724-1</f>
        <v/>
      </c>
      <c r="D724" s="39">
        <f>INT((C724-1)/12)+1</f>
        <v/>
      </c>
      <c r="E724" s="44">
        <f>INDEX(Monthly!$B$2:$B$61,A724)</f>
        <v/>
      </c>
      <c r="F724" s="44">
        <f>E724*INDEX('Age profile'!$B$2:$B$61,B724)</f>
        <v/>
      </c>
      <c r="G724" s="45">
        <f>MIN(in_takeup_cap,INDEX('Age profile'!$N$2:$N$61,B724)*(1+in_takeup_growth)^(D724-1))</f>
        <v/>
      </c>
      <c r="H724" s="11">
        <f>MIN(in_approval_cap,in_approved_first*INDEX('Age profile'!$O$2:$O$61,B724)*(1+in_approval_growth)^(D724-1))</f>
        <v/>
      </c>
      <c r="I724" s="45">
        <f>G724*MIN(in_takeup_cap,INDEX('Age profile'!$O$2:$O$61,B724)*(1+in_approval_growth)^(D724-1))</f>
        <v/>
      </c>
      <c r="J724" s="40">
        <f>(J723-L723)*F724/F723</f>
        <v/>
      </c>
      <c r="K724" s="40">
        <f>(K723-M723)*F724/F723+SUMIFS(O704:O723,B704:B723,B724-1-d_T)*F724</f>
        <v/>
      </c>
      <c r="L724" s="40">
        <f>IF(B724&gt;=in_marketplace_from,J724*d_hz*G724*in_eligible*H724,0)</f>
        <v/>
      </c>
      <c r="M724" s="40">
        <f>IF(B724&gt;=in_marketplace_from,K724*d_hz*G724*in_eligible*in_approved_repeat,0)</f>
        <v/>
      </c>
      <c r="N724" s="40">
        <f>L724+M724</f>
        <v/>
      </c>
      <c r="O724" s="46">
        <f>N724/F724</f>
        <v/>
      </c>
      <c r="P724" s="40">
        <f>F724-J724-K724</f>
        <v/>
      </c>
      <c r="Q724" s="40">
        <f>IF(B724&gt;=in_marketplace_from,(J724+K724)*d_hz*G724,0)</f>
        <v/>
      </c>
      <c r="R724" s="40">
        <f>SUMIFS(N704:N750,B704:B750,"&gt;="&amp;(B724-d_T),B704:B750,"&lt;="&amp;(B724-1))</f>
        <v/>
      </c>
      <c r="S724" s="46">
        <f>(1-d_u)*S723+IF(d_T&gt;in_topup_lag,SUMIFS(O704:O750,B704:B750,B724-in_topup_lag)-d_udrop*SUMIFS(O704:O750,B704:B750,B724-d_T),0)</f>
        <v/>
      </c>
      <c r="T724" s="40">
        <f>F724*d_u*S724</f>
        <v/>
      </c>
      <c r="U724" s="9">
        <f>L724*in_ticket+M724*d_rep_ticket</f>
        <v/>
      </c>
      <c r="V724" s="9">
        <f>U724+T724*d_topup_amt</f>
        <v/>
      </c>
      <c r="W724" s="40">
        <f>N724+T724*d_topup_ratio</f>
        <v/>
      </c>
      <c r="X724" s="40">
        <f>SUMIFS(W704:W750,B704:B750,B724-in_dpd_lag)*d_cured</f>
        <v/>
      </c>
      <c r="Y724" s="40">
        <f>SUMIFS(W704:W750,B704:B750,B724-in_rec_lag)*d_recd</f>
        <v/>
      </c>
      <c r="Z724" s="40">
        <f>IF(AND(B724&gt;=in_marketplace_from,B724&lt;in_marketplace_from+in_card_months),in_card_share/in_card_months*F724*I724,IF(AND(B724&gt;=in_marketplace_from+in_card_months,B724&lt;in_marketplace_from+2*in_card_months),in_card_share*d_card_rem/in_card_months*F724*MIN(in_takeup_cap,(1+in_takeup_growth)^(D724-1))*MIN(in_takeup_cap,(1+in_approval_growth)^(D724-1)),0))</f>
        <v/>
      </c>
      <c r="AA724" s="14">
        <f>V724*in_fee*(1-in_taken_back)</f>
        <v/>
      </c>
      <c r="AB724" s="14">
        <f>SUMIFS(W704:W750,B704:B750,B724-in_dpd_lag)*d_dpd</f>
        <v/>
      </c>
      <c r="AC724" s="14">
        <f>SUMIFS(W704:W750,B704:B750,B724-in_rec_lag)*d_rec</f>
        <v/>
      </c>
      <c r="AD724" s="14">
        <f>Z724*in_card_fee</f>
        <v/>
      </c>
      <c r="AE724" s="40">
        <f>AE723*(1-IF(B723&gt;=in_marketplace_from,d_hz_hlth_small*G723,0))</f>
        <v/>
      </c>
      <c r="AF724" s="46">
        <f>AE724*IF(B724&gt;=in_marketplace_from,d_hz_hlth_small*G724,0)</f>
        <v/>
      </c>
      <c r="AG724" s="14">
        <f>F724*AF724*in_hlth_small_ticket*in_hlth_small_comm*in_ins_partner_share+F724*in_hlth_small_ticket*in_hlth_small_renew_comm*in_ins_partner_share*(in_hlth_small_renew^1*SUMIFS(AF704:AF750,B704:B750,B724-12)+in_hlth_small_renew^2*SUMIFS(AF704:AF750,B704:B750,B724-24)+in_hlth_small_renew^3*SUMIFS(AF704:AF750,B704:B750,B724-36)+in_hlth_small_renew^4*SUMIFS(AF704:AF750,B704:B750,B724-48))</f>
        <v/>
      </c>
      <c r="AH724" s="40">
        <f>AH723*(1-IF(B723&gt;=in_marketplace_from,d_hz_hlth_family*G723,0))</f>
        <v/>
      </c>
      <c r="AI724" s="46">
        <f>AH724*IF(B724&gt;=in_marketplace_from,d_hz_hlth_family*G724,0)</f>
        <v/>
      </c>
      <c r="AJ724" s="14">
        <f>F724*AI724*in_hlth_family_ticket*in_hlth_family_comm*in_ins_partner_share+F724*in_hlth_family_ticket*in_hlth_family_renew_comm*in_ins_partner_share*(in_hlth_family_renew^1*SUMIFS(AI704:AI750,B704:B750,B724-12)+in_hlth_family_renew^2*SUMIFS(AI704:AI750,B704:B750,B724-24)+in_hlth_family_renew^3*SUMIFS(AI704:AI750,B704:B750,B724-36)+in_hlth_family_renew^4*SUMIFS(AI704:AI750,B704:B750,B724-48))</f>
        <v/>
      </c>
      <c r="AK724" s="40">
        <f>AK723*(1-IF(B723&gt;=in_marketplace_from,d_hz_life_term*G723,0))</f>
        <v/>
      </c>
      <c r="AL724" s="46">
        <f>AK724*IF(B724&gt;=in_marketplace_from,d_hz_life_term*G724,0)</f>
        <v/>
      </c>
      <c r="AM724" s="14">
        <f>F724*AL724*in_life_term_ticket*in_life_term_comm*in_ins_partner_share+F724*in_life_term_ticket*in_life_term_renew_comm*in_ins_partner_share*(in_life_term_renew^1*SUMIFS(AL704:AL750,B704:B750,B724-12)+in_life_term_renew^2*SUMIFS(AL704:AL750,B704:B750,B724-24)+in_life_term_renew^3*SUMIFS(AL704:AL750,B704:B750,B724-36)+in_life_term_renew^4*SUMIFS(AL704:AL750,B704:B750,B724-48))</f>
        <v/>
      </c>
      <c r="AN724" s="40">
        <f>AN723*(1-IF(B723&gt;=in_marketplace_from,d_hz_accident*G723,0))</f>
        <v/>
      </c>
      <c r="AO724" s="46">
        <f>AN724*IF(B724&gt;=in_marketplace_from,d_hz_accident*G724,0)</f>
        <v/>
      </c>
      <c r="AP724" s="14">
        <f>F724*AO724*in_accident_ticket*in_accident_comm*in_ins_partner_share+F724*in_accident_ticket*in_accident_renew_comm*in_ins_partner_share*(in_accident_renew^1*SUMIFS(AO704:AO750,B704:B750,B724-12)+in_accident_renew^2*SUMIFS(AO704:AO750,B704:B750,B724-24)+in_accident_renew^3*SUMIFS(AO704:AO750,B704:B750,B724-36)+in_accident_renew^4*SUMIFS(AO704:AO750,B704:B750,B724-48))</f>
        <v/>
      </c>
      <c r="AQ724" s="40">
        <f>AQ723*(1-IF(B723&gt;=in_marketplace_from,d_hz_two_wheeler*G723,0))</f>
        <v/>
      </c>
      <c r="AR724" s="46">
        <f>AQ724*IF(B724&gt;=in_marketplace_from,d_hz_two_wheeler*G724,0)</f>
        <v/>
      </c>
      <c r="AS724" s="14">
        <f>F724*AR724*in_two_wheeler_ticket*in_two_wheeler_comm*in_ins_partner_share+F724*in_two_wheeler_ticket*in_two_wheeler_comm*in_ins_partner_share*(in_two_wheeler_renew^1*SUMIFS(AR704:AR750,B704:B750,B724-12)+in_two_wheeler_renew^2*SUMIFS(AR704:AR750,B704:B750,B724-24)+in_two_wheeler_renew^3*SUMIFS(AR704:AR750,B704:B750,B724-36)+in_two_wheeler_renew^4*SUMIFS(AR704:AR750,B704:B750,B724-48))</f>
        <v/>
      </c>
      <c r="AT724" s="40">
        <f>AT723*(1-IF(B723&gt;=in_marketplace_from,d_hz_device*G723,0))</f>
        <v/>
      </c>
      <c r="AU724" s="14">
        <f>F724*AT724*IF(B724&gt;=in_marketplace_from,d_hz_device*G724,0)*in_device_ticket*in_device_comm*in_ins_partner_share</f>
        <v/>
      </c>
      <c r="AV724" s="40">
        <f>AV723*(1-IF(B723&gt;=in_marketplace_from,d_hz_shop*G723,0))</f>
        <v/>
      </c>
      <c r="AW724" s="46">
        <f>AV724*IF(B724&gt;=in_marketplace_from,d_hz_shop*G724,0)</f>
        <v/>
      </c>
      <c r="AX724" s="14">
        <f>F724*AW724*in_shop_ticket*in_shop_comm*in_ins_partner_share+F724*in_shop_ticket*in_shop_renew_comm*in_ins_partner_share*(in_shop_renew^1*SUMIFS(AW704:AW750,B704:B750,B724-12)+in_shop_renew^2*SUMIFS(AW704:AW750,B704:B750,B724-24)+in_shop_renew^3*SUMIFS(AW704:AW750,B704:B750,B724-36)+in_shop_renew^4*SUMIFS(AW704:AW750,B704:B750,B724-48))</f>
        <v/>
      </c>
      <c r="AY724" s="40">
        <f>AY723*(1-IF(B723&gt;=in_marketplace_from,d_hz_sip*G723,0))</f>
        <v/>
      </c>
      <c r="AZ724" s="40">
        <f>AZ723*d_rho_sip+AY724*IF(B724&gt;=in_marketplace_from,d_hz_sip*G724,0)</f>
        <v/>
      </c>
      <c r="BA724" s="40">
        <f>d_rho_sip*(BA723+AZ723)</f>
        <v/>
      </c>
      <c r="BB724" s="14">
        <f>F724*in_sip_ticket*(BA724+0.5*AZ724)*in_sip_comm/12</f>
        <v/>
      </c>
      <c r="BC724" s="40">
        <f>BC723*(1-IF(B723&gt;=in_marketplace_from,d_hz_choti*G723,0))</f>
        <v/>
      </c>
      <c r="BD724" s="46">
        <f>BC724*IF(B724&gt;=in_marketplace_from,d_hz_choti*G724,0)</f>
        <v/>
      </c>
      <c r="BE724" s="14">
        <f>F724*SUMIFS(BD704:BD750,B704:B750,B724-in_choti_months)*in_choti_renew*in_choti_ticket</f>
        <v/>
      </c>
      <c r="BF724" s="40">
        <f>BF723*(1-IF(B723&gt;=in_marketplace_from,d_hz_nps*G723,0))</f>
        <v/>
      </c>
      <c r="BG724" s="14">
        <f>F724*BF724*IF(B724&gt;=in_marketplace_from,d_hz_nps*G724,0)*in_nps_ticket*in_nps_comm</f>
        <v/>
      </c>
      <c r="BH724" s="40">
        <f>BH723*(1-IF(B723&gt;=in_marketplace_from,d_hz_gold*G723,0))</f>
        <v/>
      </c>
      <c r="BI724" s="40">
        <f>BI723*d_rho_gold+BH724*IF(B724&gt;=in_marketplace_from,d_hz_gold*G724,0)</f>
        <v/>
      </c>
      <c r="BJ724" s="14">
        <f>F724*BI724*in_gold_ticket*in_gold_comm</f>
        <v/>
      </c>
      <c r="BK724" s="40">
        <f>BK723*(1-IF(B723&gt;=in_marketplace_from,d_hz_fd*G723,0))</f>
        <v/>
      </c>
      <c r="BL724" s="14">
        <f>F724*BK724*IF(B724&gt;=in_marketplace_from,d_hz_fd*G724,0)*in_fd_ticket*in_fd_comm</f>
        <v/>
      </c>
      <c r="BM724" s="40">
        <f>BM723*(1-IF(B723&gt;=in_marketplace_from,d_hz_recharge*G723,0))</f>
        <v/>
      </c>
      <c r="BN724" s="40">
        <f>BN723*d_rho_recharge+BM724*IF(B724&gt;=in_marketplace_from,d_hz_recharge*G724,0)</f>
        <v/>
      </c>
      <c r="BO724" s="14">
        <f>F724*BN724*in_recharge_ticket*in_recharge_comm/12</f>
        <v/>
      </c>
      <c r="BP724" s="40">
        <f>BP723*(1-IF(B723&gt;=in_marketplace_from,d_hz_bills*G723,0))</f>
        <v/>
      </c>
      <c r="BQ724" s="40">
        <f>BQ723*d_rho_bills+BP724*IF(B724&gt;=in_marketplace_from,d_hz_bills*G724,0)</f>
        <v/>
      </c>
      <c r="BR724" s="14">
        <f>F724*BQ724*in_bills_ticket*in_bills_comm/12</f>
        <v/>
      </c>
      <c r="BS724" s="40">
        <f>BS723*(1-IF(B723&gt;=in_marketplace_from,d_hz_loan_gold*G723,0))</f>
        <v/>
      </c>
      <c r="BT724" s="14">
        <f>F724*BS724*IF(B724&gt;=in_marketplace_from,d_hz_loan_gold*G724,0)*in_loan_gold_ticket*in_loan_gold_comm</f>
        <v/>
      </c>
      <c r="BU724" s="40">
        <f>BU723*(1-IF(B723&gt;=in_marketplace_from,d_hz_loan_cd*G723,0))</f>
        <v/>
      </c>
      <c r="BV724" s="14">
        <f>F724*BU724*IF(B724&gt;=in_marketplace_from,d_hz_loan_cd*G724,0)*in_loan_cd_ticket*in_loan_cd_comm</f>
        <v/>
      </c>
      <c r="BW724" s="40">
        <f>BW723*(1-IF(B723&gt;=in_marketplace_from,d_hz_loan_vehicle*G723,0))</f>
        <v/>
      </c>
      <c r="BX724" s="14">
        <f>F724*BW724*IF(B724&gt;=in_marketplace_from,d_hz_loan_vehicle*G724,0)*in_loan_vehicle_ticket*in_loan_vehicle_comm</f>
        <v/>
      </c>
      <c r="BY724" s="40">
        <f>BY723*(1-IF(B723&gt;=in_marketplace_from,d_hz_loan_home*G723,0)*BZ723)</f>
        <v/>
      </c>
      <c r="BZ724" s="11">
        <f>MIN(in_approval_cap,in_loan_home_approval*INDEX('Age profile'!$O$2:$O$61,B724)*(1+in_approval_growth)^(D724-1))</f>
        <v/>
      </c>
      <c r="CA724" s="14">
        <f>F724*BY724*IF(B724&gt;=in_marketplace_from,d_hz_loan_home*G724,0)*BZ724*in_loan_home_ticket*in_loan_home_comm</f>
        <v/>
      </c>
      <c r="CB724" s="40">
        <f>CB723*(1-IF(B723&gt;=in_marketplace_from,d_hz_loan_lap*G723,0)*CC723)</f>
        <v/>
      </c>
      <c r="CC724" s="11">
        <f>MIN(in_approval_cap,in_loan_lap_approval*INDEX('Age profile'!$O$2:$O$61,B724)*(1+in_approval_growth)^(D724-1))</f>
        <v/>
      </c>
      <c r="CD724" s="14">
        <f>F724*CB724*IF(B724&gt;=in_marketplace_from,d_hz_loan_lap*G724,0)*CC724*in_loan_lap_ticket*in_loan_lap_comm</f>
        <v/>
      </c>
      <c r="CE724" s="14">
        <f>AA724+AB724+AC724+AD724+AG724+AJ724+AM724+AP724+AS724+AU724+AX724+BB724+BE724+BG724+BJ724+BL724+BO724+BR724+BT724+BV724+BX724+CA724+CD724</f>
        <v/>
      </c>
    </row>
    <row r="725">
      <c r="A725" s="39" t="n">
        <v>14</v>
      </c>
      <c r="B725" s="39" t="n">
        <v>22</v>
      </c>
      <c r="C725" s="39">
        <f>A725+B725-1</f>
        <v/>
      </c>
      <c r="D725" s="39">
        <f>INT((C725-1)/12)+1</f>
        <v/>
      </c>
      <c r="E725" s="44">
        <f>INDEX(Monthly!$B$2:$B$61,A725)</f>
        <v/>
      </c>
      <c r="F725" s="44">
        <f>E725*INDEX('Age profile'!$B$2:$B$61,B725)</f>
        <v/>
      </c>
      <c r="G725" s="45">
        <f>MIN(in_takeup_cap,INDEX('Age profile'!$N$2:$N$61,B725)*(1+in_takeup_growth)^(D725-1))</f>
        <v/>
      </c>
      <c r="H725" s="11">
        <f>MIN(in_approval_cap,in_approved_first*INDEX('Age profile'!$O$2:$O$61,B725)*(1+in_approval_growth)^(D725-1))</f>
        <v/>
      </c>
      <c r="I725" s="45">
        <f>G725*MIN(in_takeup_cap,INDEX('Age profile'!$O$2:$O$61,B725)*(1+in_approval_growth)^(D725-1))</f>
        <v/>
      </c>
      <c r="J725" s="40">
        <f>(J724-L724)*F725/F724</f>
        <v/>
      </c>
      <c r="K725" s="40">
        <f>(K724-M724)*F725/F724+SUMIFS(O704:O724,B704:B724,B725-1-d_T)*F725</f>
        <v/>
      </c>
      <c r="L725" s="40">
        <f>IF(B725&gt;=in_marketplace_from,J725*d_hz*G725*in_eligible*H725,0)</f>
        <v/>
      </c>
      <c r="M725" s="40">
        <f>IF(B725&gt;=in_marketplace_from,K725*d_hz*G725*in_eligible*in_approved_repeat,0)</f>
        <v/>
      </c>
      <c r="N725" s="40">
        <f>L725+M725</f>
        <v/>
      </c>
      <c r="O725" s="46">
        <f>N725/F725</f>
        <v/>
      </c>
      <c r="P725" s="40">
        <f>F725-J725-K725</f>
        <v/>
      </c>
      <c r="Q725" s="40">
        <f>IF(B725&gt;=in_marketplace_from,(J725+K725)*d_hz*G725,0)</f>
        <v/>
      </c>
      <c r="R725" s="40">
        <f>SUMIFS(N704:N750,B704:B750,"&gt;="&amp;(B725-d_T),B704:B750,"&lt;="&amp;(B725-1))</f>
        <v/>
      </c>
      <c r="S725" s="46">
        <f>(1-d_u)*S724+IF(d_T&gt;in_topup_lag,SUMIFS(O704:O750,B704:B750,B725-in_topup_lag)-d_udrop*SUMIFS(O704:O750,B704:B750,B725-d_T),0)</f>
        <v/>
      </c>
      <c r="T725" s="40">
        <f>F725*d_u*S725</f>
        <v/>
      </c>
      <c r="U725" s="9">
        <f>L725*in_ticket+M725*d_rep_ticket</f>
        <v/>
      </c>
      <c r="V725" s="9">
        <f>U725+T725*d_topup_amt</f>
        <v/>
      </c>
      <c r="W725" s="40">
        <f>N725+T725*d_topup_ratio</f>
        <v/>
      </c>
      <c r="X725" s="40">
        <f>SUMIFS(W704:W750,B704:B750,B725-in_dpd_lag)*d_cured</f>
        <v/>
      </c>
      <c r="Y725" s="40">
        <f>SUMIFS(W704:W750,B704:B750,B725-in_rec_lag)*d_recd</f>
        <v/>
      </c>
      <c r="Z725" s="40">
        <f>IF(AND(B725&gt;=in_marketplace_from,B725&lt;in_marketplace_from+in_card_months),in_card_share/in_card_months*F725*I725,IF(AND(B725&gt;=in_marketplace_from+in_card_months,B725&lt;in_marketplace_from+2*in_card_months),in_card_share*d_card_rem/in_card_months*F725*MIN(in_takeup_cap,(1+in_takeup_growth)^(D725-1))*MIN(in_takeup_cap,(1+in_approval_growth)^(D725-1)),0))</f>
        <v/>
      </c>
      <c r="AA725" s="14">
        <f>V725*in_fee*(1-in_taken_back)</f>
        <v/>
      </c>
      <c r="AB725" s="14">
        <f>SUMIFS(W704:W750,B704:B750,B725-in_dpd_lag)*d_dpd</f>
        <v/>
      </c>
      <c r="AC725" s="14">
        <f>SUMIFS(W704:W750,B704:B750,B725-in_rec_lag)*d_rec</f>
        <v/>
      </c>
      <c r="AD725" s="14">
        <f>Z725*in_card_fee</f>
        <v/>
      </c>
      <c r="AE725" s="40">
        <f>AE724*(1-IF(B724&gt;=in_marketplace_from,d_hz_hlth_small*G724,0))</f>
        <v/>
      </c>
      <c r="AF725" s="46">
        <f>AE725*IF(B725&gt;=in_marketplace_from,d_hz_hlth_small*G725,0)</f>
        <v/>
      </c>
      <c r="AG725" s="14">
        <f>F725*AF725*in_hlth_small_ticket*in_hlth_small_comm*in_ins_partner_share+F725*in_hlth_small_ticket*in_hlth_small_renew_comm*in_ins_partner_share*(in_hlth_small_renew^1*SUMIFS(AF704:AF750,B704:B750,B725-12)+in_hlth_small_renew^2*SUMIFS(AF704:AF750,B704:B750,B725-24)+in_hlth_small_renew^3*SUMIFS(AF704:AF750,B704:B750,B725-36)+in_hlth_small_renew^4*SUMIFS(AF704:AF750,B704:B750,B725-48))</f>
        <v/>
      </c>
      <c r="AH725" s="40">
        <f>AH724*(1-IF(B724&gt;=in_marketplace_from,d_hz_hlth_family*G724,0))</f>
        <v/>
      </c>
      <c r="AI725" s="46">
        <f>AH725*IF(B725&gt;=in_marketplace_from,d_hz_hlth_family*G725,0)</f>
        <v/>
      </c>
      <c r="AJ725" s="14">
        <f>F725*AI725*in_hlth_family_ticket*in_hlth_family_comm*in_ins_partner_share+F725*in_hlth_family_ticket*in_hlth_family_renew_comm*in_ins_partner_share*(in_hlth_family_renew^1*SUMIFS(AI704:AI750,B704:B750,B725-12)+in_hlth_family_renew^2*SUMIFS(AI704:AI750,B704:B750,B725-24)+in_hlth_family_renew^3*SUMIFS(AI704:AI750,B704:B750,B725-36)+in_hlth_family_renew^4*SUMIFS(AI704:AI750,B704:B750,B725-48))</f>
        <v/>
      </c>
      <c r="AK725" s="40">
        <f>AK724*(1-IF(B724&gt;=in_marketplace_from,d_hz_life_term*G724,0))</f>
        <v/>
      </c>
      <c r="AL725" s="46">
        <f>AK725*IF(B725&gt;=in_marketplace_from,d_hz_life_term*G725,0)</f>
        <v/>
      </c>
      <c r="AM725" s="14">
        <f>F725*AL725*in_life_term_ticket*in_life_term_comm*in_ins_partner_share+F725*in_life_term_ticket*in_life_term_renew_comm*in_ins_partner_share*(in_life_term_renew^1*SUMIFS(AL704:AL750,B704:B750,B725-12)+in_life_term_renew^2*SUMIFS(AL704:AL750,B704:B750,B725-24)+in_life_term_renew^3*SUMIFS(AL704:AL750,B704:B750,B725-36)+in_life_term_renew^4*SUMIFS(AL704:AL750,B704:B750,B725-48))</f>
        <v/>
      </c>
      <c r="AN725" s="40">
        <f>AN724*(1-IF(B724&gt;=in_marketplace_from,d_hz_accident*G724,0))</f>
        <v/>
      </c>
      <c r="AO725" s="46">
        <f>AN725*IF(B725&gt;=in_marketplace_from,d_hz_accident*G725,0)</f>
        <v/>
      </c>
      <c r="AP725" s="14">
        <f>F725*AO725*in_accident_ticket*in_accident_comm*in_ins_partner_share+F725*in_accident_ticket*in_accident_renew_comm*in_ins_partner_share*(in_accident_renew^1*SUMIFS(AO704:AO750,B704:B750,B725-12)+in_accident_renew^2*SUMIFS(AO704:AO750,B704:B750,B725-24)+in_accident_renew^3*SUMIFS(AO704:AO750,B704:B750,B725-36)+in_accident_renew^4*SUMIFS(AO704:AO750,B704:B750,B725-48))</f>
        <v/>
      </c>
      <c r="AQ725" s="40">
        <f>AQ724*(1-IF(B724&gt;=in_marketplace_from,d_hz_two_wheeler*G724,0))</f>
        <v/>
      </c>
      <c r="AR725" s="46">
        <f>AQ725*IF(B725&gt;=in_marketplace_from,d_hz_two_wheeler*G725,0)</f>
        <v/>
      </c>
      <c r="AS725" s="14">
        <f>F725*AR725*in_two_wheeler_ticket*in_two_wheeler_comm*in_ins_partner_share+F725*in_two_wheeler_ticket*in_two_wheeler_comm*in_ins_partner_share*(in_two_wheeler_renew^1*SUMIFS(AR704:AR750,B704:B750,B725-12)+in_two_wheeler_renew^2*SUMIFS(AR704:AR750,B704:B750,B725-24)+in_two_wheeler_renew^3*SUMIFS(AR704:AR750,B704:B750,B725-36)+in_two_wheeler_renew^4*SUMIFS(AR704:AR750,B704:B750,B725-48))</f>
        <v/>
      </c>
      <c r="AT725" s="40">
        <f>AT724*(1-IF(B724&gt;=in_marketplace_from,d_hz_device*G724,0))</f>
        <v/>
      </c>
      <c r="AU725" s="14">
        <f>F725*AT725*IF(B725&gt;=in_marketplace_from,d_hz_device*G725,0)*in_device_ticket*in_device_comm*in_ins_partner_share</f>
        <v/>
      </c>
      <c r="AV725" s="40">
        <f>AV724*(1-IF(B724&gt;=in_marketplace_from,d_hz_shop*G724,0))</f>
        <v/>
      </c>
      <c r="AW725" s="46">
        <f>AV725*IF(B725&gt;=in_marketplace_from,d_hz_shop*G725,0)</f>
        <v/>
      </c>
      <c r="AX725" s="14">
        <f>F725*AW725*in_shop_ticket*in_shop_comm*in_ins_partner_share+F725*in_shop_ticket*in_shop_renew_comm*in_ins_partner_share*(in_shop_renew^1*SUMIFS(AW704:AW750,B704:B750,B725-12)+in_shop_renew^2*SUMIFS(AW704:AW750,B704:B750,B725-24)+in_shop_renew^3*SUMIFS(AW704:AW750,B704:B750,B725-36)+in_shop_renew^4*SUMIFS(AW704:AW750,B704:B750,B725-48))</f>
        <v/>
      </c>
      <c r="AY725" s="40">
        <f>AY724*(1-IF(B724&gt;=in_marketplace_from,d_hz_sip*G724,0))</f>
        <v/>
      </c>
      <c r="AZ725" s="40">
        <f>AZ724*d_rho_sip+AY725*IF(B725&gt;=in_marketplace_from,d_hz_sip*G725,0)</f>
        <v/>
      </c>
      <c r="BA725" s="40">
        <f>d_rho_sip*(BA724+AZ724)</f>
        <v/>
      </c>
      <c r="BB725" s="14">
        <f>F725*in_sip_ticket*(BA725+0.5*AZ725)*in_sip_comm/12</f>
        <v/>
      </c>
      <c r="BC725" s="40">
        <f>BC724*(1-IF(B724&gt;=in_marketplace_from,d_hz_choti*G724,0))</f>
        <v/>
      </c>
      <c r="BD725" s="46">
        <f>BC725*IF(B725&gt;=in_marketplace_from,d_hz_choti*G725,0)</f>
        <v/>
      </c>
      <c r="BE725" s="14">
        <f>F725*SUMIFS(BD704:BD750,B704:B750,B725-in_choti_months)*in_choti_renew*in_choti_ticket</f>
        <v/>
      </c>
      <c r="BF725" s="40">
        <f>BF724*(1-IF(B724&gt;=in_marketplace_from,d_hz_nps*G724,0))</f>
        <v/>
      </c>
      <c r="BG725" s="14">
        <f>F725*BF725*IF(B725&gt;=in_marketplace_from,d_hz_nps*G725,0)*in_nps_ticket*in_nps_comm</f>
        <v/>
      </c>
      <c r="BH725" s="40">
        <f>BH724*(1-IF(B724&gt;=in_marketplace_from,d_hz_gold*G724,0))</f>
        <v/>
      </c>
      <c r="BI725" s="40">
        <f>BI724*d_rho_gold+BH725*IF(B725&gt;=in_marketplace_from,d_hz_gold*G725,0)</f>
        <v/>
      </c>
      <c r="BJ725" s="14">
        <f>F725*BI725*in_gold_ticket*in_gold_comm</f>
        <v/>
      </c>
      <c r="BK725" s="40">
        <f>BK724*(1-IF(B724&gt;=in_marketplace_from,d_hz_fd*G724,0))</f>
        <v/>
      </c>
      <c r="BL725" s="14">
        <f>F725*BK725*IF(B725&gt;=in_marketplace_from,d_hz_fd*G725,0)*in_fd_ticket*in_fd_comm</f>
        <v/>
      </c>
      <c r="BM725" s="40">
        <f>BM724*(1-IF(B724&gt;=in_marketplace_from,d_hz_recharge*G724,0))</f>
        <v/>
      </c>
      <c r="BN725" s="40">
        <f>BN724*d_rho_recharge+BM725*IF(B725&gt;=in_marketplace_from,d_hz_recharge*G725,0)</f>
        <v/>
      </c>
      <c r="BO725" s="14">
        <f>F725*BN725*in_recharge_ticket*in_recharge_comm/12</f>
        <v/>
      </c>
      <c r="BP725" s="40">
        <f>BP724*(1-IF(B724&gt;=in_marketplace_from,d_hz_bills*G724,0))</f>
        <v/>
      </c>
      <c r="BQ725" s="40">
        <f>BQ724*d_rho_bills+BP725*IF(B725&gt;=in_marketplace_from,d_hz_bills*G725,0)</f>
        <v/>
      </c>
      <c r="BR725" s="14">
        <f>F725*BQ725*in_bills_ticket*in_bills_comm/12</f>
        <v/>
      </c>
      <c r="BS725" s="40">
        <f>BS724*(1-IF(B724&gt;=in_marketplace_from,d_hz_loan_gold*G724,0))</f>
        <v/>
      </c>
      <c r="BT725" s="14">
        <f>F725*BS725*IF(B725&gt;=in_marketplace_from,d_hz_loan_gold*G725,0)*in_loan_gold_ticket*in_loan_gold_comm</f>
        <v/>
      </c>
      <c r="BU725" s="40">
        <f>BU724*(1-IF(B724&gt;=in_marketplace_from,d_hz_loan_cd*G724,0))</f>
        <v/>
      </c>
      <c r="BV725" s="14">
        <f>F725*BU725*IF(B725&gt;=in_marketplace_from,d_hz_loan_cd*G725,0)*in_loan_cd_ticket*in_loan_cd_comm</f>
        <v/>
      </c>
      <c r="BW725" s="40">
        <f>BW724*(1-IF(B724&gt;=in_marketplace_from,d_hz_loan_vehicle*G724,0))</f>
        <v/>
      </c>
      <c r="BX725" s="14">
        <f>F725*BW725*IF(B725&gt;=in_marketplace_from,d_hz_loan_vehicle*G725,0)*in_loan_vehicle_ticket*in_loan_vehicle_comm</f>
        <v/>
      </c>
      <c r="BY725" s="40">
        <f>BY724*(1-IF(B724&gt;=in_marketplace_from,d_hz_loan_home*G724,0)*BZ724)</f>
        <v/>
      </c>
      <c r="BZ725" s="11">
        <f>MIN(in_approval_cap,in_loan_home_approval*INDEX('Age profile'!$O$2:$O$61,B725)*(1+in_approval_growth)^(D725-1))</f>
        <v/>
      </c>
      <c r="CA725" s="14">
        <f>F725*BY725*IF(B725&gt;=in_marketplace_from,d_hz_loan_home*G725,0)*BZ725*in_loan_home_ticket*in_loan_home_comm</f>
        <v/>
      </c>
      <c r="CB725" s="40">
        <f>CB724*(1-IF(B724&gt;=in_marketplace_from,d_hz_loan_lap*G724,0)*CC724)</f>
        <v/>
      </c>
      <c r="CC725" s="11">
        <f>MIN(in_approval_cap,in_loan_lap_approval*INDEX('Age profile'!$O$2:$O$61,B725)*(1+in_approval_growth)^(D725-1))</f>
        <v/>
      </c>
      <c r="CD725" s="14">
        <f>F725*CB725*IF(B725&gt;=in_marketplace_from,d_hz_loan_lap*G725,0)*CC725*in_loan_lap_ticket*in_loan_lap_comm</f>
        <v/>
      </c>
      <c r="CE725" s="14">
        <f>AA725+AB725+AC725+AD725+AG725+AJ725+AM725+AP725+AS725+AU725+AX725+BB725+BE725+BG725+BJ725+BL725+BO725+BR725+BT725+BV725+BX725+CA725+CD725</f>
        <v/>
      </c>
    </row>
    <row r="726">
      <c r="A726" s="39" t="n">
        <v>14</v>
      </c>
      <c r="B726" s="39" t="n">
        <v>23</v>
      </c>
      <c r="C726" s="39">
        <f>A726+B726-1</f>
        <v/>
      </c>
      <c r="D726" s="39">
        <f>INT((C726-1)/12)+1</f>
        <v/>
      </c>
      <c r="E726" s="44">
        <f>INDEX(Monthly!$B$2:$B$61,A726)</f>
        <v/>
      </c>
      <c r="F726" s="44">
        <f>E726*INDEX('Age profile'!$B$2:$B$61,B726)</f>
        <v/>
      </c>
      <c r="G726" s="45">
        <f>MIN(in_takeup_cap,INDEX('Age profile'!$N$2:$N$61,B726)*(1+in_takeup_growth)^(D726-1))</f>
        <v/>
      </c>
      <c r="H726" s="11">
        <f>MIN(in_approval_cap,in_approved_first*INDEX('Age profile'!$O$2:$O$61,B726)*(1+in_approval_growth)^(D726-1))</f>
        <v/>
      </c>
      <c r="I726" s="45">
        <f>G726*MIN(in_takeup_cap,INDEX('Age profile'!$O$2:$O$61,B726)*(1+in_approval_growth)^(D726-1))</f>
        <v/>
      </c>
      <c r="J726" s="40">
        <f>(J725-L725)*F726/F725</f>
        <v/>
      </c>
      <c r="K726" s="40">
        <f>(K725-M725)*F726/F725+SUMIFS(O704:O725,B704:B725,B726-1-d_T)*F726</f>
        <v/>
      </c>
      <c r="L726" s="40">
        <f>IF(B726&gt;=in_marketplace_from,J726*d_hz*G726*in_eligible*H726,0)</f>
        <v/>
      </c>
      <c r="M726" s="40">
        <f>IF(B726&gt;=in_marketplace_from,K726*d_hz*G726*in_eligible*in_approved_repeat,0)</f>
        <v/>
      </c>
      <c r="N726" s="40">
        <f>L726+M726</f>
        <v/>
      </c>
      <c r="O726" s="46">
        <f>N726/F726</f>
        <v/>
      </c>
      <c r="P726" s="40">
        <f>F726-J726-K726</f>
        <v/>
      </c>
      <c r="Q726" s="40">
        <f>IF(B726&gt;=in_marketplace_from,(J726+K726)*d_hz*G726,0)</f>
        <v/>
      </c>
      <c r="R726" s="40">
        <f>SUMIFS(N704:N750,B704:B750,"&gt;="&amp;(B726-d_T),B704:B750,"&lt;="&amp;(B726-1))</f>
        <v/>
      </c>
      <c r="S726" s="46">
        <f>(1-d_u)*S725+IF(d_T&gt;in_topup_lag,SUMIFS(O704:O750,B704:B750,B726-in_topup_lag)-d_udrop*SUMIFS(O704:O750,B704:B750,B726-d_T),0)</f>
        <v/>
      </c>
      <c r="T726" s="40">
        <f>F726*d_u*S726</f>
        <v/>
      </c>
      <c r="U726" s="9">
        <f>L726*in_ticket+M726*d_rep_ticket</f>
        <v/>
      </c>
      <c r="V726" s="9">
        <f>U726+T726*d_topup_amt</f>
        <v/>
      </c>
      <c r="W726" s="40">
        <f>N726+T726*d_topup_ratio</f>
        <v/>
      </c>
      <c r="X726" s="40">
        <f>SUMIFS(W704:W750,B704:B750,B726-in_dpd_lag)*d_cured</f>
        <v/>
      </c>
      <c r="Y726" s="40">
        <f>SUMIFS(W704:W750,B704:B750,B726-in_rec_lag)*d_recd</f>
        <v/>
      </c>
      <c r="Z726" s="40">
        <f>IF(AND(B726&gt;=in_marketplace_from,B726&lt;in_marketplace_from+in_card_months),in_card_share/in_card_months*F726*I726,IF(AND(B726&gt;=in_marketplace_from+in_card_months,B726&lt;in_marketplace_from+2*in_card_months),in_card_share*d_card_rem/in_card_months*F726*MIN(in_takeup_cap,(1+in_takeup_growth)^(D726-1))*MIN(in_takeup_cap,(1+in_approval_growth)^(D726-1)),0))</f>
        <v/>
      </c>
      <c r="AA726" s="14">
        <f>V726*in_fee*(1-in_taken_back)</f>
        <v/>
      </c>
      <c r="AB726" s="14">
        <f>SUMIFS(W704:W750,B704:B750,B726-in_dpd_lag)*d_dpd</f>
        <v/>
      </c>
      <c r="AC726" s="14">
        <f>SUMIFS(W704:W750,B704:B750,B726-in_rec_lag)*d_rec</f>
        <v/>
      </c>
      <c r="AD726" s="14">
        <f>Z726*in_card_fee</f>
        <v/>
      </c>
      <c r="AE726" s="40">
        <f>AE725*(1-IF(B725&gt;=in_marketplace_from,d_hz_hlth_small*G725,0))</f>
        <v/>
      </c>
      <c r="AF726" s="46">
        <f>AE726*IF(B726&gt;=in_marketplace_from,d_hz_hlth_small*G726,0)</f>
        <v/>
      </c>
      <c r="AG726" s="14">
        <f>F726*AF726*in_hlth_small_ticket*in_hlth_small_comm*in_ins_partner_share+F726*in_hlth_small_ticket*in_hlth_small_renew_comm*in_ins_partner_share*(in_hlth_small_renew^1*SUMIFS(AF704:AF750,B704:B750,B726-12)+in_hlth_small_renew^2*SUMIFS(AF704:AF750,B704:B750,B726-24)+in_hlth_small_renew^3*SUMIFS(AF704:AF750,B704:B750,B726-36)+in_hlth_small_renew^4*SUMIFS(AF704:AF750,B704:B750,B726-48))</f>
        <v/>
      </c>
      <c r="AH726" s="40">
        <f>AH725*(1-IF(B725&gt;=in_marketplace_from,d_hz_hlth_family*G725,0))</f>
        <v/>
      </c>
      <c r="AI726" s="46">
        <f>AH726*IF(B726&gt;=in_marketplace_from,d_hz_hlth_family*G726,0)</f>
        <v/>
      </c>
      <c r="AJ726" s="14">
        <f>F726*AI726*in_hlth_family_ticket*in_hlth_family_comm*in_ins_partner_share+F726*in_hlth_family_ticket*in_hlth_family_renew_comm*in_ins_partner_share*(in_hlth_family_renew^1*SUMIFS(AI704:AI750,B704:B750,B726-12)+in_hlth_family_renew^2*SUMIFS(AI704:AI750,B704:B750,B726-24)+in_hlth_family_renew^3*SUMIFS(AI704:AI750,B704:B750,B726-36)+in_hlth_family_renew^4*SUMIFS(AI704:AI750,B704:B750,B726-48))</f>
        <v/>
      </c>
      <c r="AK726" s="40">
        <f>AK725*(1-IF(B725&gt;=in_marketplace_from,d_hz_life_term*G725,0))</f>
        <v/>
      </c>
      <c r="AL726" s="46">
        <f>AK726*IF(B726&gt;=in_marketplace_from,d_hz_life_term*G726,0)</f>
        <v/>
      </c>
      <c r="AM726" s="14">
        <f>F726*AL726*in_life_term_ticket*in_life_term_comm*in_ins_partner_share+F726*in_life_term_ticket*in_life_term_renew_comm*in_ins_partner_share*(in_life_term_renew^1*SUMIFS(AL704:AL750,B704:B750,B726-12)+in_life_term_renew^2*SUMIFS(AL704:AL750,B704:B750,B726-24)+in_life_term_renew^3*SUMIFS(AL704:AL750,B704:B750,B726-36)+in_life_term_renew^4*SUMIFS(AL704:AL750,B704:B750,B726-48))</f>
        <v/>
      </c>
      <c r="AN726" s="40">
        <f>AN725*(1-IF(B725&gt;=in_marketplace_from,d_hz_accident*G725,0))</f>
        <v/>
      </c>
      <c r="AO726" s="46">
        <f>AN726*IF(B726&gt;=in_marketplace_from,d_hz_accident*G726,0)</f>
        <v/>
      </c>
      <c r="AP726" s="14">
        <f>F726*AO726*in_accident_ticket*in_accident_comm*in_ins_partner_share+F726*in_accident_ticket*in_accident_renew_comm*in_ins_partner_share*(in_accident_renew^1*SUMIFS(AO704:AO750,B704:B750,B726-12)+in_accident_renew^2*SUMIFS(AO704:AO750,B704:B750,B726-24)+in_accident_renew^3*SUMIFS(AO704:AO750,B704:B750,B726-36)+in_accident_renew^4*SUMIFS(AO704:AO750,B704:B750,B726-48))</f>
        <v/>
      </c>
      <c r="AQ726" s="40">
        <f>AQ725*(1-IF(B725&gt;=in_marketplace_from,d_hz_two_wheeler*G725,0))</f>
        <v/>
      </c>
      <c r="AR726" s="46">
        <f>AQ726*IF(B726&gt;=in_marketplace_from,d_hz_two_wheeler*G726,0)</f>
        <v/>
      </c>
      <c r="AS726" s="14">
        <f>F726*AR726*in_two_wheeler_ticket*in_two_wheeler_comm*in_ins_partner_share+F726*in_two_wheeler_ticket*in_two_wheeler_comm*in_ins_partner_share*(in_two_wheeler_renew^1*SUMIFS(AR704:AR750,B704:B750,B726-12)+in_two_wheeler_renew^2*SUMIFS(AR704:AR750,B704:B750,B726-24)+in_two_wheeler_renew^3*SUMIFS(AR704:AR750,B704:B750,B726-36)+in_two_wheeler_renew^4*SUMIFS(AR704:AR750,B704:B750,B726-48))</f>
        <v/>
      </c>
      <c r="AT726" s="40">
        <f>AT725*(1-IF(B725&gt;=in_marketplace_from,d_hz_device*G725,0))</f>
        <v/>
      </c>
      <c r="AU726" s="14">
        <f>F726*AT726*IF(B726&gt;=in_marketplace_from,d_hz_device*G726,0)*in_device_ticket*in_device_comm*in_ins_partner_share</f>
        <v/>
      </c>
      <c r="AV726" s="40">
        <f>AV725*(1-IF(B725&gt;=in_marketplace_from,d_hz_shop*G725,0))</f>
        <v/>
      </c>
      <c r="AW726" s="46">
        <f>AV726*IF(B726&gt;=in_marketplace_from,d_hz_shop*G726,0)</f>
        <v/>
      </c>
      <c r="AX726" s="14">
        <f>F726*AW726*in_shop_ticket*in_shop_comm*in_ins_partner_share+F726*in_shop_ticket*in_shop_renew_comm*in_ins_partner_share*(in_shop_renew^1*SUMIFS(AW704:AW750,B704:B750,B726-12)+in_shop_renew^2*SUMIFS(AW704:AW750,B704:B750,B726-24)+in_shop_renew^3*SUMIFS(AW704:AW750,B704:B750,B726-36)+in_shop_renew^4*SUMIFS(AW704:AW750,B704:B750,B726-48))</f>
        <v/>
      </c>
      <c r="AY726" s="40">
        <f>AY725*(1-IF(B725&gt;=in_marketplace_from,d_hz_sip*G725,0))</f>
        <v/>
      </c>
      <c r="AZ726" s="40">
        <f>AZ725*d_rho_sip+AY726*IF(B726&gt;=in_marketplace_from,d_hz_sip*G726,0)</f>
        <v/>
      </c>
      <c r="BA726" s="40">
        <f>d_rho_sip*(BA725+AZ725)</f>
        <v/>
      </c>
      <c r="BB726" s="14">
        <f>F726*in_sip_ticket*(BA726+0.5*AZ726)*in_sip_comm/12</f>
        <v/>
      </c>
      <c r="BC726" s="40">
        <f>BC725*(1-IF(B725&gt;=in_marketplace_from,d_hz_choti*G725,0))</f>
        <v/>
      </c>
      <c r="BD726" s="46">
        <f>BC726*IF(B726&gt;=in_marketplace_from,d_hz_choti*G726,0)</f>
        <v/>
      </c>
      <c r="BE726" s="14">
        <f>F726*SUMIFS(BD704:BD750,B704:B750,B726-in_choti_months)*in_choti_renew*in_choti_ticket</f>
        <v/>
      </c>
      <c r="BF726" s="40">
        <f>BF725*(1-IF(B725&gt;=in_marketplace_from,d_hz_nps*G725,0))</f>
        <v/>
      </c>
      <c r="BG726" s="14">
        <f>F726*BF726*IF(B726&gt;=in_marketplace_from,d_hz_nps*G726,0)*in_nps_ticket*in_nps_comm</f>
        <v/>
      </c>
      <c r="BH726" s="40">
        <f>BH725*(1-IF(B725&gt;=in_marketplace_from,d_hz_gold*G725,0))</f>
        <v/>
      </c>
      <c r="BI726" s="40">
        <f>BI725*d_rho_gold+BH726*IF(B726&gt;=in_marketplace_from,d_hz_gold*G726,0)</f>
        <v/>
      </c>
      <c r="BJ726" s="14">
        <f>F726*BI726*in_gold_ticket*in_gold_comm</f>
        <v/>
      </c>
      <c r="BK726" s="40">
        <f>BK725*(1-IF(B725&gt;=in_marketplace_from,d_hz_fd*G725,0))</f>
        <v/>
      </c>
      <c r="BL726" s="14">
        <f>F726*BK726*IF(B726&gt;=in_marketplace_from,d_hz_fd*G726,0)*in_fd_ticket*in_fd_comm</f>
        <v/>
      </c>
      <c r="BM726" s="40">
        <f>BM725*(1-IF(B725&gt;=in_marketplace_from,d_hz_recharge*G725,0))</f>
        <v/>
      </c>
      <c r="BN726" s="40">
        <f>BN725*d_rho_recharge+BM726*IF(B726&gt;=in_marketplace_from,d_hz_recharge*G726,0)</f>
        <v/>
      </c>
      <c r="BO726" s="14">
        <f>F726*BN726*in_recharge_ticket*in_recharge_comm/12</f>
        <v/>
      </c>
      <c r="BP726" s="40">
        <f>BP725*(1-IF(B725&gt;=in_marketplace_from,d_hz_bills*G725,0))</f>
        <v/>
      </c>
      <c r="BQ726" s="40">
        <f>BQ725*d_rho_bills+BP726*IF(B726&gt;=in_marketplace_from,d_hz_bills*G726,0)</f>
        <v/>
      </c>
      <c r="BR726" s="14">
        <f>F726*BQ726*in_bills_ticket*in_bills_comm/12</f>
        <v/>
      </c>
      <c r="BS726" s="40">
        <f>BS725*(1-IF(B725&gt;=in_marketplace_from,d_hz_loan_gold*G725,0))</f>
        <v/>
      </c>
      <c r="BT726" s="14">
        <f>F726*BS726*IF(B726&gt;=in_marketplace_from,d_hz_loan_gold*G726,0)*in_loan_gold_ticket*in_loan_gold_comm</f>
        <v/>
      </c>
      <c r="BU726" s="40">
        <f>BU725*(1-IF(B725&gt;=in_marketplace_from,d_hz_loan_cd*G725,0))</f>
        <v/>
      </c>
      <c r="BV726" s="14">
        <f>F726*BU726*IF(B726&gt;=in_marketplace_from,d_hz_loan_cd*G726,0)*in_loan_cd_ticket*in_loan_cd_comm</f>
        <v/>
      </c>
      <c r="BW726" s="40">
        <f>BW725*(1-IF(B725&gt;=in_marketplace_from,d_hz_loan_vehicle*G725,0))</f>
        <v/>
      </c>
      <c r="BX726" s="14">
        <f>F726*BW726*IF(B726&gt;=in_marketplace_from,d_hz_loan_vehicle*G726,0)*in_loan_vehicle_ticket*in_loan_vehicle_comm</f>
        <v/>
      </c>
      <c r="BY726" s="40">
        <f>BY725*(1-IF(B725&gt;=in_marketplace_from,d_hz_loan_home*G725,0)*BZ725)</f>
        <v/>
      </c>
      <c r="BZ726" s="11">
        <f>MIN(in_approval_cap,in_loan_home_approval*INDEX('Age profile'!$O$2:$O$61,B726)*(1+in_approval_growth)^(D726-1))</f>
        <v/>
      </c>
      <c r="CA726" s="14">
        <f>F726*BY726*IF(B726&gt;=in_marketplace_from,d_hz_loan_home*G726,0)*BZ726*in_loan_home_ticket*in_loan_home_comm</f>
        <v/>
      </c>
      <c r="CB726" s="40">
        <f>CB725*(1-IF(B725&gt;=in_marketplace_from,d_hz_loan_lap*G725,0)*CC725)</f>
        <v/>
      </c>
      <c r="CC726" s="11">
        <f>MIN(in_approval_cap,in_loan_lap_approval*INDEX('Age profile'!$O$2:$O$61,B726)*(1+in_approval_growth)^(D726-1))</f>
        <v/>
      </c>
      <c r="CD726" s="14">
        <f>F726*CB726*IF(B726&gt;=in_marketplace_from,d_hz_loan_lap*G726,0)*CC726*in_loan_lap_ticket*in_loan_lap_comm</f>
        <v/>
      </c>
      <c r="CE726" s="14">
        <f>AA726+AB726+AC726+AD726+AG726+AJ726+AM726+AP726+AS726+AU726+AX726+BB726+BE726+BG726+BJ726+BL726+BO726+BR726+BT726+BV726+BX726+CA726+CD726</f>
        <v/>
      </c>
    </row>
    <row r="727">
      <c r="A727" s="39" t="n">
        <v>14</v>
      </c>
      <c r="B727" s="39" t="n">
        <v>24</v>
      </c>
      <c r="C727" s="39">
        <f>A727+B727-1</f>
        <v/>
      </c>
      <c r="D727" s="39">
        <f>INT((C727-1)/12)+1</f>
        <v/>
      </c>
      <c r="E727" s="44">
        <f>INDEX(Monthly!$B$2:$B$61,A727)</f>
        <v/>
      </c>
      <c r="F727" s="44">
        <f>E727*INDEX('Age profile'!$B$2:$B$61,B727)</f>
        <v/>
      </c>
      <c r="G727" s="45">
        <f>MIN(in_takeup_cap,INDEX('Age profile'!$N$2:$N$61,B727)*(1+in_takeup_growth)^(D727-1))</f>
        <v/>
      </c>
      <c r="H727" s="11">
        <f>MIN(in_approval_cap,in_approved_first*INDEX('Age profile'!$O$2:$O$61,B727)*(1+in_approval_growth)^(D727-1))</f>
        <v/>
      </c>
      <c r="I727" s="45">
        <f>G727*MIN(in_takeup_cap,INDEX('Age profile'!$O$2:$O$61,B727)*(1+in_approval_growth)^(D727-1))</f>
        <v/>
      </c>
      <c r="J727" s="40">
        <f>(J726-L726)*F727/F726</f>
        <v/>
      </c>
      <c r="K727" s="40">
        <f>(K726-M726)*F727/F726+SUMIFS(O704:O726,B704:B726,B727-1-d_T)*F727</f>
        <v/>
      </c>
      <c r="L727" s="40">
        <f>IF(B727&gt;=in_marketplace_from,J727*d_hz*G727*in_eligible*H727,0)</f>
        <v/>
      </c>
      <c r="M727" s="40">
        <f>IF(B727&gt;=in_marketplace_from,K727*d_hz*G727*in_eligible*in_approved_repeat,0)</f>
        <v/>
      </c>
      <c r="N727" s="40">
        <f>L727+M727</f>
        <v/>
      </c>
      <c r="O727" s="46">
        <f>N727/F727</f>
        <v/>
      </c>
      <c r="P727" s="40">
        <f>F727-J727-K727</f>
        <v/>
      </c>
      <c r="Q727" s="40">
        <f>IF(B727&gt;=in_marketplace_from,(J727+K727)*d_hz*G727,0)</f>
        <v/>
      </c>
      <c r="R727" s="40">
        <f>SUMIFS(N704:N750,B704:B750,"&gt;="&amp;(B727-d_T),B704:B750,"&lt;="&amp;(B727-1))</f>
        <v/>
      </c>
      <c r="S727" s="46">
        <f>(1-d_u)*S726+IF(d_T&gt;in_topup_lag,SUMIFS(O704:O750,B704:B750,B727-in_topup_lag)-d_udrop*SUMIFS(O704:O750,B704:B750,B727-d_T),0)</f>
        <v/>
      </c>
      <c r="T727" s="40">
        <f>F727*d_u*S727</f>
        <v/>
      </c>
      <c r="U727" s="9">
        <f>L727*in_ticket+M727*d_rep_ticket</f>
        <v/>
      </c>
      <c r="V727" s="9">
        <f>U727+T727*d_topup_amt</f>
        <v/>
      </c>
      <c r="W727" s="40">
        <f>N727+T727*d_topup_ratio</f>
        <v/>
      </c>
      <c r="X727" s="40">
        <f>SUMIFS(W704:W750,B704:B750,B727-in_dpd_lag)*d_cured</f>
        <v/>
      </c>
      <c r="Y727" s="40">
        <f>SUMIFS(W704:W750,B704:B750,B727-in_rec_lag)*d_recd</f>
        <v/>
      </c>
      <c r="Z727" s="40">
        <f>IF(AND(B727&gt;=in_marketplace_from,B727&lt;in_marketplace_from+in_card_months),in_card_share/in_card_months*F727*I727,IF(AND(B727&gt;=in_marketplace_from+in_card_months,B727&lt;in_marketplace_from+2*in_card_months),in_card_share*d_card_rem/in_card_months*F727*MIN(in_takeup_cap,(1+in_takeup_growth)^(D727-1))*MIN(in_takeup_cap,(1+in_approval_growth)^(D727-1)),0))</f>
        <v/>
      </c>
      <c r="AA727" s="14">
        <f>V727*in_fee*(1-in_taken_back)</f>
        <v/>
      </c>
      <c r="AB727" s="14">
        <f>SUMIFS(W704:W750,B704:B750,B727-in_dpd_lag)*d_dpd</f>
        <v/>
      </c>
      <c r="AC727" s="14">
        <f>SUMIFS(W704:W750,B704:B750,B727-in_rec_lag)*d_rec</f>
        <v/>
      </c>
      <c r="AD727" s="14">
        <f>Z727*in_card_fee</f>
        <v/>
      </c>
      <c r="AE727" s="40">
        <f>AE726*(1-IF(B726&gt;=in_marketplace_from,d_hz_hlth_small*G726,0))</f>
        <v/>
      </c>
      <c r="AF727" s="46">
        <f>AE727*IF(B727&gt;=in_marketplace_from,d_hz_hlth_small*G727,0)</f>
        <v/>
      </c>
      <c r="AG727" s="14">
        <f>F727*AF727*in_hlth_small_ticket*in_hlth_small_comm*in_ins_partner_share+F727*in_hlth_small_ticket*in_hlth_small_renew_comm*in_ins_partner_share*(in_hlth_small_renew^1*SUMIFS(AF704:AF750,B704:B750,B727-12)+in_hlth_small_renew^2*SUMIFS(AF704:AF750,B704:B750,B727-24)+in_hlth_small_renew^3*SUMIFS(AF704:AF750,B704:B750,B727-36)+in_hlth_small_renew^4*SUMIFS(AF704:AF750,B704:B750,B727-48))</f>
        <v/>
      </c>
      <c r="AH727" s="40">
        <f>AH726*(1-IF(B726&gt;=in_marketplace_from,d_hz_hlth_family*G726,0))</f>
        <v/>
      </c>
      <c r="AI727" s="46">
        <f>AH727*IF(B727&gt;=in_marketplace_from,d_hz_hlth_family*G727,0)</f>
        <v/>
      </c>
      <c r="AJ727" s="14">
        <f>F727*AI727*in_hlth_family_ticket*in_hlth_family_comm*in_ins_partner_share+F727*in_hlth_family_ticket*in_hlth_family_renew_comm*in_ins_partner_share*(in_hlth_family_renew^1*SUMIFS(AI704:AI750,B704:B750,B727-12)+in_hlth_family_renew^2*SUMIFS(AI704:AI750,B704:B750,B727-24)+in_hlth_family_renew^3*SUMIFS(AI704:AI750,B704:B750,B727-36)+in_hlth_family_renew^4*SUMIFS(AI704:AI750,B704:B750,B727-48))</f>
        <v/>
      </c>
      <c r="AK727" s="40">
        <f>AK726*(1-IF(B726&gt;=in_marketplace_from,d_hz_life_term*G726,0))</f>
        <v/>
      </c>
      <c r="AL727" s="46">
        <f>AK727*IF(B727&gt;=in_marketplace_from,d_hz_life_term*G727,0)</f>
        <v/>
      </c>
      <c r="AM727" s="14">
        <f>F727*AL727*in_life_term_ticket*in_life_term_comm*in_ins_partner_share+F727*in_life_term_ticket*in_life_term_renew_comm*in_ins_partner_share*(in_life_term_renew^1*SUMIFS(AL704:AL750,B704:B750,B727-12)+in_life_term_renew^2*SUMIFS(AL704:AL750,B704:B750,B727-24)+in_life_term_renew^3*SUMIFS(AL704:AL750,B704:B750,B727-36)+in_life_term_renew^4*SUMIFS(AL704:AL750,B704:B750,B727-48))</f>
        <v/>
      </c>
      <c r="AN727" s="40">
        <f>AN726*(1-IF(B726&gt;=in_marketplace_from,d_hz_accident*G726,0))</f>
        <v/>
      </c>
      <c r="AO727" s="46">
        <f>AN727*IF(B727&gt;=in_marketplace_from,d_hz_accident*G727,0)</f>
        <v/>
      </c>
      <c r="AP727" s="14">
        <f>F727*AO727*in_accident_ticket*in_accident_comm*in_ins_partner_share+F727*in_accident_ticket*in_accident_renew_comm*in_ins_partner_share*(in_accident_renew^1*SUMIFS(AO704:AO750,B704:B750,B727-12)+in_accident_renew^2*SUMIFS(AO704:AO750,B704:B750,B727-24)+in_accident_renew^3*SUMIFS(AO704:AO750,B704:B750,B727-36)+in_accident_renew^4*SUMIFS(AO704:AO750,B704:B750,B727-48))</f>
        <v/>
      </c>
      <c r="AQ727" s="40">
        <f>AQ726*(1-IF(B726&gt;=in_marketplace_from,d_hz_two_wheeler*G726,0))</f>
        <v/>
      </c>
      <c r="AR727" s="46">
        <f>AQ727*IF(B727&gt;=in_marketplace_from,d_hz_two_wheeler*G727,0)</f>
        <v/>
      </c>
      <c r="AS727" s="14">
        <f>F727*AR727*in_two_wheeler_ticket*in_two_wheeler_comm*in_ins_partner_share+F727*in_two_wheeler_ticket*in_two_wheeler_comm*in_ins_partner_share*(in_two_wheeler_renew^1*SUMIFS(AR704:AR750,B704:B750,B727-12)+in_two_wheeler_renew^2*SUMIFS(AR704:AR750,B704:B750,B727-24)+in_two_wheeler_renew^3*SUMIFS(AR704:AR750,B704:B750,B727-36)+in_two_wheeler_renew^4*SUMIFS(AR704:AR750,B704:B750,B727-48))</f>
        <v/>
      </c>
      <c r="AT727" s="40">
        <f>AT726*(1-IF(B726&gt;=in_marketplace_from,d_hz_device*G726,0))</f>
        <v/>
      </c>
      <c r="AU727" s="14">
        <f>F727*AT727*IF(B727&gt;=in_marketplace_from,d_hz_device*G727,0)*in_device_ticket*in_device_comm*in_ins_partner_share</f>
        <v/>
      </c>
      <c r="AV727" s="40">
        <f>AV726*(1-IF(B726&gt;=in_marketplace_from,d_hz_shop*G726,0))</f>
        <v/>
      </c>
      <c r="AW727" s="46">
        <f>AV727*IF(B727&gt;=in_marketplace_from,d_hz_shop*G727,0)</f>
        <v/>
      </c>
      <c r="AX727" s="14">
        <f>F727*AW727*in_shop_ticket*in_shop_comm*in_ins_partner_share+F727*in_shop_ticket*in_shop_renew_comm*in_ins_partner_share*(in_shop_renew^1*SUMIFS(AW704:AW750,B704:B750,B727-12)+in_shop_renew^2*SUMIFS(AW704:AW750,B704:B750,B727-24)+in_shop_renew^3*SUMIFS(AW704:AW750,B704:B750,B727-36)+in_shop_renew^4*SUMIFS(AW704:AW750,B704:B750,B727-48))</f>
        <v/>
      </c>
      <c r="AY727" s="40">
        <f>AY726*(1-IF(B726&gt;=in_marketplace_from,d_hz_sip*G726,0))</f>
        <v/>
      </c>
      <c r="AZ727" s="40">
        <f>AZ726*d_rho_sip+AY727*IF(B727&gt;=in_marketplace_from,d_hz_sip*G727,0)</f>
        <v/>
      </c>
      <c r="BA727" s="40">
        <f>d_rho_sip*(BA726+AZ726)</f>
        <v/>
      </c>
      <c r="BB727" s="14">
        <f>F727*in_sip_ticket*(BA727+0.5*AZ727)*in_sip_comm/12</f>
        <v/>
      </c>
      <c r="BC727" s="40">
        <f>BC726*(1-IF(B726&gt;=in_marketplace_from,d_hz_choti*G726,0))</f>
        <v/>
      </c>
      <c r="BD727" s="46">
        <f>BC727*IF(B727&gt;=in_marketplace_from,d_hz_choti*G727,0)</f>
        <v/>
      </c>
      <c r="BE727" s="14">
        <f>F727*SUMIFS(BD704:BD750,B704:B750,B727-in_choti_months)*in_choti_renew*in_choti_ticket</f>
        <v/>
      </c>
      <c r="BF727" s="40">
        <f>BF726*(1-IF(B726&gt;=in_marketplace_from,d_hz_nps*G726,0))</f>
        <v/>
      </c>
      <c r="BG727" s="14">
        <f>F727*BF727*IF(B727&gt;=in_marketplace_from,d_hz_nps*G727,0)*in_nps_ticket*in_nps_comm</f>
        <v/>
      </c>
      <c r="BH727" s="40">
        <f>BH726*(1-IF(B726&gt;=in_marketplace_from,d_hz_gold*G726,0))</f>
        <v/>
      </c>
      <c r="BI727" s="40">
        <f>BI726*d_rho_gold+BH727*IF(B727&gt;=in_marketplace_from,d_hz_gold*G727,0)</f>
        <v/>
      </c>
      <c r="BJ727" s="14">
        <f>F727*BI727*in_gold_ticket*in_gold_comm</f>
        <v/>
      </c>
      <c r="BK727" s="40">
        <f>BK726*(1-IF(B726&gt;=in_marketplace_from,d_hz_fd*G726,0))</f>
        <v/>
      </c>
      <c r="BL727" s="14">
        <f>F727*BK727*IF(B727&gt;=in_marketplace_from,d_hz_fd*G727,0)*in_fd_ticket*in_fd_comm</f>
        <v/>
      </c>
      <c r="BM727" s="40">
        <f>BM726*(1-IF(B726&gt;=in_marketplace_from,d_hz_recharge*G726,0))</f>
        <v/>
      </c>
      <c r="BN727" s="40">
        <f>BN726*d_rho_recharge+BM727*IF(B727&gt;=in_marketplace_from,d_hz_recharge*G727,0)</f>
        <v/>
      </c>
      <c r="BO727" s="14">
        <f>F727*BN727*in_recharge_ticket*in_recharge_comm/12</f>
        <v/>
      </c>
      <c r="BP727" s="40">
        <f>BP726*(1-IF(B726&gt;=in_marketplace_from,d_hz_bills*G726,0))</f>
        <v/>
      </c>
      <c r="BQ727" s="40">
        <f>BQ726*d_rho_bills+BP727*IF(B727&gt;=in_marketplace_from,d_hz_bills*G727,0)</f>
        <v/>
      </c>
      <c r="BR727" s="14">
        <f>F727*BQ727*in_bills_ticket*in_bills_comm/12</f>
        <v/>
      </c>
      <c r="BS727" s="40">
        <f>BS726*(1-IF(B726&gt;=in_marketplace_from,d_hz_loan_gold*G726,0))</f>
        <v/>
      </c>
      <c r="BT727" s="14">
        <f>F727*BS727*IF(B727&gt;=in_marketplace_from,d_hz_loan_gold*G727,0)*in_loan_gold_ticket*in_loan_gold_comm</f>
        <v/>
      </c>
      <c r="BU727" s="40">
        <f>BU726*(1-IF(B726&gt;=in_marketplace_from,d_hz_loan_cd*G726,0))</f>
        <v/>
      </c>
      <c r="BV727" s="14">
        <f>F727*BU727*IF(B727&gt;=in_marketplace_from,d_hz_loan_cd*G727,0)*in_loan_cd_ticket*in_loan_cd_comm</f>
        <v/>
      </c>
      <c r="BW727" s="40">
        <f>BW726*(1-IF(B726&gt;=in_marketplace_from,d_hz_loan_vehicle*G726,0))</f>
        <v/>
      </c>
      <c r="BX727" s="14">
        <f>F727*BW727*IF(B727&gt;=in_marketplace_from,d_hz_loan_vehicle*G727,0)*in_loan_vehicle_ticket*in_loan_vehicle_comm</f>
        <v/>
      </c>
      <c r="BY727" s="40">
        <f>BY726*(1-IF(B726&gt;=in_marketplace_from,d_hz_loan_home*G726,0)*BZ726)</f>
        <v/>
      </c>
      <c r="BZ727" s="11">
        <f>MIN(in_approval_cap,in_loan_home_approval*INDEX('Age profile'!$O$2:$O$61,B727)*(1+in_approval_growth)^(D727-1))</f>
        <v/>
      </c>
      <c r="CA727" s="14">
        <f>F727*BY727*IF(B727&gt;=in_marketplace_from,d_hz_loan_home*G727,0)*BZ727*in_loan_home_ticket*in_loan_home_comm</f>
        <v/>
      </c>
      <c r="CB727" s="40">
        <f>CB726*(1-IF(B726&gt;=in_marketplace_from,d_hz_loan_lap*G726,0)*CC726)</f>
        <v/>
      </c>
      <c r="CC727" s="11">
        <f>MIN(in_approval_cap,in_loan_lap_approval*INDEX('Age profile'!$O$2:$O$61,B727)*(1+in_approval_growth)^(D727-1))</f>
        <v/>
      </c>
      <c r="CD727" s="14">
        <f>F727*CB727*IF(B727&gt;=in_marketplace_from,d_hz_loan_lap*G727,0)*CC727*in_loan_lap_ticket*in_loan_lap_comm</f>
        <v/>
      </c>
      <c r="CE727" s="14">
        <f>AA727+AB727+AC727+AD727+AG727+AJ727+AM727+AP727+AS727+AU727+AX727+BB727+BE727+BG727+BJ727+BL727+BO727+BR727+BT727+BV727+BX727+CA727+CD727</f>
        <v/>
      </c>
    </row>
    <row r="728">
      <c r="A728" s="39" t="n">
        <v>14</v>
      </c>
      <c r="B728" s="39" t="n">
        <v>25</v>
      </c>
      <c r="C728" s="39">
        <f>A728+B728-1</f>
        <v/>
      </c>
      <c r="D728" s="39">
        <f>INT((C728-1)/12)+1</f>
        <v/>
      </c>
      <c r="E728" s="44">
        <f>INDEX(Monthly!$B$2:$B$61,A728)</f>
        <v/>
      </c>
      <c r="F728" s="44">
        <f>E728*INDEX('Age profile'!$B$2:$B$61,B728)</f>
        <v/>
      </c>
      <c r="G728" s="45">
        <f>MIN(in_takeup_cap,INDEX('Age profile'!$N$2:$N$61,B728)*(1+in_takeup_growth)^(D728-1))</f>
        <v/>
      </c>
      <c r="H728" s="11">
        <f>MIN(in_approval_cap,in_approved_first*INDEX('Age profile'!$O$2:$O$61,B728)*(1+in_approval_growth)^(D728-1))</f>
        <v/>
      </c>
      <c r="I728" s="45">
        <f>G728*MIN(in_takeup_cap,INDEX('Age profile'!$O$2:$O$61,B728)*(1+in_approval_growth)^(D728-1))</f>
        <v/>
      </c>
      <c r="J728" s="40">
        <f>(J727-L727)*F728/F727</f>
        <v/>
      </c>
      <c r="K728" s="40">
        <f>(K727-M727)*F728/F727+SUMIFS(O704:O727,B704:B727,B728-1-d_T)*F728</f>
        <v/>
      </c>
      <c r="L728" s="40">
        <f>IF(B728&gt;=in_marketplace_from,J728*d_hz*G728*in_eligible*H728,0)</f>
        <v/>
      </c>
      <c r="M728" s="40">
        <f>IF(B728&gt;=in_marketplace_from,K728*d_hz*G728*in_eligible*in_approved_repeat,0)</f>
        <v/>
      </c>
      <c r="N728" s="40">
        <f>L728+M728</f>
        <v/>
      </c>
      <c r="O728" s="46">
        <f>N728/F728</f>
        <v/>
      </c>
      <c r="P728" s="40">
        <f>F728-J728-K728</f>
        <v/>
      </c>
      <c r="Q728" s="40">
        <f>IF(B728&gt;=in_marketplace_from,(J728+K728)*d_hz*G728,0)</f>
        <v/>
      </c>
      <c r="R728" s="40">
        <f>SUMIFS(N704:N750,B704:B750,"&gt;="&amp;(B728-d_T),B704:B750,"&lt;="&amp;(B728-1))</f>
        <v/>
      </c>
      <c r="S728" s="46">
        <f>(1-d_u)*S727+IF(d_T&gt;in_topup_lag,SUMIFS(O704:O750,B704:B750,B728-in_topup_lag)-d_udrop*SUMIFS(O704:O750,B704:B750,B728-d_T),0)</f>
        <v/>
      </c>
      <c r="T728" s="40">
        <f>F728*d_u*S728</f>
        <v/>
      </c>
      <c r="U728" s="9">
        <f>L728*in_ticket+M728*d_rep_ticket</f>
        <v/>
      </c>
      <c r="V728" s="9">
        <f>U728+T728*d_topup_amt</f>
        <v/>
      </c>
      <c r="W728" s="40">
        <f>N728+T728*d_topup_ratio</f>
        <v/>
      </c>
      <c r="X728" s="40">
        <f>SUMIFS(W704:W750,B704:B750,B728-in_dpd_lag)*d_cured</f>
        <v/>
      </c>
      <c r="Y728" s="40">
        <f>SUMIFS(W704:W750,B704:B750,B728-in_rec_lag)*d_recd</f>
        <v/>
      </c>
      <c r="Z728" s="40">
        <f>IF(AND(B728&gt;=in_marketplace_from,B728&lt;in_marketplace_from+in_card_months),in_card_share/in_card_months*F728*I728,IF(AND(B728&gt;=in_marketplace_from+in_card_months,B728&lt;in_marketplace_from+2*in_card_months),in_card_share*d_card_rem/in_card_months*F728*MIN(in_takeup_cap,(1+in_takeup_growth)^(D728-1))*MIN(in_takeup_cap,(1+in_approval_growth)^(D728-1)),0))</f>
        <v/>
      </c>
      <c r="AA728" s="14">
        <f>V728*in_fee*(1-in_taken_back)</f>
        <v/>
      </c>
      <c r="AB728" s="14">
        <f>SUMIFS(W704:W750,B704:B750,B728-in_dpd_lag)*d_dpd</f>
        <v/>
      </c>
      <c r="AC728" s="14">
        <f>SUMIFS(W704:W750,B704:B750,B728-in_rec_lag)*d_rec</f>
        <v/>
      </c>
      <c r="AD728" s="14">
        <f>Z728*in_card_fee</f>
        <v/>
      </c>
      <c r="AE728" s="40">
        <f>AE727*(1-IF(B727&gt;=in_marketplace_from,d_hz_hlth_small*G727,0))</f>
        <v/>
      </c>
      <c r="AF728" s="46">
        <f>AE728*IF(B728&gt;=in_marketplace_from,d_hz_hlth_small*G728,0)</f>
        <v/>
      </c>
      <c r="AG728" s="14">
        <f>F728*AF728*in_hlth_small_ticket*in_hlth_small_comm*in_ins_partner_share+F728*in_hlth_small_ticket*in_hlth_small_renew_comm*in_ins_partner_share*(in_hlth_small_renew^1*SUMIFS(AF704:AF750,B704:B750,B728-12)+in_hlth_small_renew^2*SUMIFS(AF704:AF750,B704:B750,B728-24)+in_hlth_small_renew^3*SUMIFS(AF704:AF750,B704:B750,B728-36)+in_hlth_small_renew^4*SUMIFS(AF704:AF750,B704:B750,B728-48))</f>
        <v/>
      </c>
      <c r="AH728" s="40">
        <f>AH727*(1-IF(B727&gt;=in_marketplace_from,d_hz_hlth_family*G727,0))</f>
        <v/>
      </c>
      <c r="AI728" s="46">
        <f>AH728*IF(B728&gt;=in_marketplace_from,d_hz_hlth_family*G728,0)</f>
        <v/>
      </c>
      <c r="AJ728" s="14">
        <f>F728*AI728*in_hlth_family_ticket*in_hlth_family_comm*in_ins_partner_share+F728*in_hlth_family_ticket*in_hlth_family_renew_comm*in_ins_partner_share*(in_hlth_family_renew^1*SUMIFS(AI704:AI750,B704:B750,B728-12)+in_hlth_family_renew^2*SUMIFS(AI704:AI750,B704:B750,B728-24)+in_hlth_family_renew^3*SUMIFS(AI704:AI750,B704:B750,B728-36)+in_hlth_family_renew^4*SUMIFS(AI704:AI750,B704:B750,B728-48))</f>
        <v/>
      </c>
      <c r="AK728" s="40">
        <f>AK727*(1-IF(B727&gt;=in_marketplace_from,d_hz_life_term*G727,0))</f>
        <v/>
      </c>
      <c r="AL728" s="46">
        <f>AK728*IF(B728&gt;=in_marketplace_from,d_hz_life_term*G728,0)</f>
        <v/>
      </c>
      <c r="AM728" s="14">
        <f>F728*AL728*in_life_term_ticket*in_life_term_comm*in_ins_partner_share+F728*in_life_term_ticket*in_life_term_renew_comm*in_ins_partner_share*(in_life_term_renew^1*SUMIFS(AL704:AL750,B704:B750,B728-12)+in_life_term_renew^2*SUMIFS(AL704:AL750,B704:B750,B728-24)+in_life_term_renew^3*SUMIFS(AL704:AL750,B704:B750,B728-36)+in_life_term_renew^4*SUMIFS(AL704:AL750,B704:B750,B728-48))</f>
        <v/>
      </c>
      <c r="AN728" s="40">
        <f>AN727*(1-IF(B727&gt;=in_marketplace_from,d_hz_accident*G727,0))</f>
        <v/>
      </c>
      <c r="AO728" s="46">
        <f>AN728*IF(B728&gt;=in_marketplace_from,d_hz_accident*G728,0)</f>
        <v/>
      </c>
      <c r="AP728" s="14">
        <f>F728*AO728*in_accident_ticket*in_accident_comm*in_ins_partner_share+F728*in_accident_ticket*in_accident_renew_comm*in_ins_partner_share*(in_accident_renew^1*SUMIFS(AO704:AO750,B704:B750,B728-12)+in_accident_renew^2*SUMIFS(AO704:AO750,B704:B750,B728-24)+in_accident_renew^3*SUMIFS(AO704:AO750,B704:B750,B728-36)+in_accident_renew^4*SUMIFS(AO704:AO750,B704:B750,B728-48))</f>
        <v/>
      </c>
      <c r="AQ728" s="40">
        <f>AQ727*(1-IF(B727&gt;=in_marketplace_from,d_hz_two_wheeler*G727,0))</f>
        <v/>
      </c>
      <c r="AR728" s="46">
        <f>AQ728*IF(B728&gt;=in_marketplace_from,d_hz_two_wheeler*G728,0)</f>
        <v/>
      </c>
      <c r="AS728" s="14">
        <f>F728*AR728*in_two_wheeler_ticket*in_two_wheeler_comm*in_ins_partner_share+F728*in_two_wheeler_ticket*in_two_wheeler_comm*in_ins_partner_share*(in_two_wheeler_renew^1*SUMIFS(AR704:AR750,B704:B750,B728-12)+in_two_wheeler_renew^2*SUMIFS(AR704:AR750,B704:B750,B728-24)+in_two_wheeler_renew^3*SUMIFS(AR704:AR750,B704:B750,B728-36)+in_two_wheeler_renew^4*SUMIFS(AR704:AR750,B704:B750,B728-48))</f>
        <v/>
      </c>
      <c r="AT728" s="40">
        <f>AT727*(1-IF(B727&gt;=in_marketplace_from,d_hz_device*G727,0))</f>
        <v/>
      </c>
      <c r="AU728" s="14">
        <f>F728*AT728*IF(B728&gt;=in_marketplace_from,d_hz_device*G728,0)*in_device_ticket*in_device_comm*in_ins_partner_share</f>
        <v/>
      </c>
      <c r="AV728" s="40">
        <f>AV727*(1-IF(B727&gt;=in_marketplace_from,d_hz_shop*G727,0))</f>
        <v/>
      </c>
      <c r="AW728" s="46">
        <f>AV728*IF(B728&gt;=in_marketplace_from,d_hz_shop*G728,0)</f>
        <v/>
      </c>
      <c r="AX728" s="14">
        <f>F728*AW728*in_shop_ticket*in_shop_comm*in_ins_partner_share+F728*in_shop_ticket*in_shop_renew_comm*in_ins_partner_share*(in_shop_renew^1*SUMIFS(AW704:AW750,B704:B750,B728-12)+in_shop_renew^2*SUMIFS(AW704:AW750,B704:B750,B728-24)+in_shop_renew^3*SUMIFS(AW704:AW750,B704:B750,B728-36)+in_shop_renew^4*SUMIFS(AW704:AW750,B704:B750,B728-48))</f>
        <v/>
      </c>
      <c r="AY728" s="40">
        <f>AY727*(1-IF(B727&gt;=in_marketplace_from,d_hz_sip*G727,0))</f>
        <v/>
      </c>
      <c r="AZ728" s="40">
        <f>AZ727*d_rho_sip+AY728*IF(B728&gt;=in_marketplace_from,d_hz_sip*G728,0)</f>
        <v/>
      </c>
      <c r="BA728" s="40">
        <f>d_rho_sip*(BA727+AZ727)</f>
        <v/>
      </c>
      <c r="BB728" s="14">
        <f>F728*in_sip_ticket*(BA728+0.5*AZ728)*in_sip_comm/12</f>
        <v/>
      </c>
      <c r="BC728" s="40">
        <f>BC727*(1-IF(B727&gt;=in_marketplace_from,d_hz_choti*G727,0))</f>
        <v/>
      </c>
      <c r="BD728" s="46">
        <f>BC728*IF(B728&gt;=in_marketplace_from,d_hz_choti*G728,0)</f>
        <v/>
      </c>
      <c r="BE728" s="14">
        <f>F728*SUMIFS(BD704:BD750,B704:B750,B728-in_choti_months)*in_choti_renew*in_choti_ticket</f>
        <v/>
      </c>
      <c r="BF728" s="40">
        <f>BF727*(1-IF(B727&gt;=in_marketplace_from,d_hz_nps*G727,0))</f>
        <v/>
      </c>
      <c r="BG728" s="14">
        <f>F728*BF728*IF(B728&gt;=in_marketplace_from,d_hz_nps*G728,0)*in_nps_ticket*in_nps_comm</f>
        <v/>
      </c>
      <c r="BH728" s="40">
        <f>BH727*(1-IF(B727&gt;=in_marketplace_from,d_hz_gold*G727,0))</f>
        <v/>
      </c>
      <c r="BI728" s="40">
        <f>BI727*d_rho_gold+BH728*IF(B728&gt;=in_marketplace_from,d_hz_gold*G728,0)</f>
        <v/>
      </c>
      <c r="BJ728" s="14">
        <f>F728*BI728*in_gold_ticket*in_gold_comm</f>
        <v/>
      </c>
      <c r="BK728" s="40">
        <f>BK727*(1-IF(B727&gt;=in_marketplace_from,d_hz_fd*G727,0))</f>
        <v/>
      </c>
      <c r="BL728" s="14">
        <f>F728*BK728*IF(B728&gt;=in_marketplace_from,d_hz_fd*G728,0)*in_fd_ticket*in_fd_comm</f>
        <v/>
      </c>
      <c r="BM728" s="40">
        <f>BM727*(1-IF(B727&gt;=in_marketplace_from,d_hz_recharge*G727,0))</f>
        <v/>
      </c>
      <c r="BN728" s="40">
        <f>BN727*d_rho_recharge+BM728*IF(B728&gt;=in_marketplace_from,d_hz_recharge*G728,0)</f>
        <v/>
      </c>
      <c r="BO728" s="14">
        <f>F728*BN728*in_recharge_ticket*in_recharge_comm/12</f>
        <v/>
      </c>
      <c r="BP728" s="40">
        <f>BP727*(1-IF(B727&gt;=in_marketplace_from,d_hz_bills*G727,0))</f>
        <v/>
      </c>
      <c r="BQ728" s="40">
        <f>BQ727*d_rho_bills+BP728*IF(B728&gt;=in_marketplace_from,d_hz_bills*G728,0)</f>
        <v/>
      </c>
      <c r="BR728" s="14">
        <f>F728*BQ728*in_bills_ticket*in_bills_comm/12</f>
        <v/>
      </c>
      <c r="BS728" s="40">
        <f>BS727*(1-IF(B727&gt;=in_marketplace_from,d_hz_loan_gold*G727,0))</f>
        <v/>
      </c>
      <c r="BT728" s="14">
        <f>F728*BS728*IF(B728&gt;=in_marketplace_from,d_hz_loan_gold*G728,0)*in_loan_gold_ticket*in_loan_gold_comm</f>
        <v/>
      </c>
      <c r="BU728" s="40">
        <f>BU727*(1-IF(B727&gt;=in_marketplace_from,d_hz_loan_cd*G727,0))</f>
        <v/>
      </c>
      <c r="BV728" s="14">
        <f>F728*BU728*IF(B728&gt;=in_marketplace_from,d_hz_loan_cd*G728,0)*in_loan_cd_ticket*in_loan_cd_comm</f>
        <v/>
      </c>
      <c r="BW728" s="40">
        <f>BW727*(1-IF(B727&gt;=in_marketplace_from,d_hz_loan_vehicle*G727,0))</f>
        <v/>
      </c>
      <c r="BX728" s="14">
        <f>F728*BW728*IF(B728&gt;=in_marketplace_from,d_hz_loan_vehicle*G728,0)*in_loan_vehicle_ticket*in_loan_vehicle_comm</f>
        <v/>
      </c>
      <c r="BY728" s="40">
        <f>BY727*(1-IF(B727&gt;=in_marketplace_from,d_hz_loan_home*G727,0)*BZ727)</f>
        <v/>
      </c>
      <c r="BZ728" s="11">
        <f>MIN(in_approval_cap,in_loan_home_approval*INDEX('Age profile'!$O$2:$O$61,B728)*(1+in_approval_growth)^(D728-1))</f>
        <v/>
      </c>
      <c r="CA728" s="14">
        <f>F728*BY728*IF(B728&gt;=in_marketplace_from,d_hz_loan_home*G728,0)*BZ728*in_loan_home_ticket*in_loan_home_comm</f>
        <v/>
      </c>
      <c r="CB728" s="40">
        <f>CB727*(1-IF(B727&gt;=in_marketplace_from,d_hz_loan_lap*G727,0)*CC727)</f>
        <v/>
      </c>
      <c r="CC728" s="11">
        <f>MIN(in_approval_cap,in_loan_lap_approval*INDEX('Age profile'!$O$2:$O$61,B728)*(1+in_approval_growth)^(D728-1))</f>
        <v/>
      </c>
      <c r="CD728" s="14">
        <f>F728*CB728*IF(B728&gt;=in_marketplace_from,d_hz_loan_lap*G728,0)*CC728*in_loan_lap_ticket*in_loan_lap_comm</f>
        <v/>
      </c>
      <c r="CE728" s="14">
        <f>AA728+AB728+AC728+AD728+AG728+AJ728+AM728+AP728+AS728+AU728+AX728+BB728+BE728+BG728+BJ728+BL728+BO728+BR728+BT728+BV728+BX728+CA728+CD728</f>
        <v/>
      </c>
    </row>
    <row r="729">
      <c r="A729" s="39" t="n">
        <v>14</v>
      </c>
      <c r="B729" s="39" t="n">
        <v>26</v>
      </c>
      <c r="C729" s="39">
        <f>A729+B729-1</f>
        <v/>
      </c>
      <c r="D729" s="39">
        <f>INT((C729-1)/12)+1</f>
        <v/>
      </c>
      <c r="E729" s="44">
        <f>INDEX(Monthly!$B$2:$B$61,A729)</f>
        <v/>
      </c>
      <c r="F729" s="44">
        <f>E729*INDEX('Age profile'!$B$2:$B$61,B729)</f>
        <v/>
      </c>
      <c r="G729" s="45">
        <f>MIN(in_takeup_cap,INDEX('Age profile'!$N$2:$N$61,B729)*(1+in_takeup_growth)^(D729-1))</f>
        <v/>
      </c>
      <c r="H729" s="11">
        <f>MIN(in_approval_cap,in_approved_first*INDEX('Age profile'!$O$2:$O$61,B729)*(1+in_approval_growth)^(D729-1))</f>
        <v/>
      </c>
      <c r="I729" s="45">
        <f>G729*MIN(in_takeup_cap,INDEX('Age profile'!$O$2:$O$61,B729)*(1+in_approval_growth)^(D729-1))</f>
        <v/>
      </c>
      <c r="J729" s="40">
        <f>(J728-L728)*F729/F728</f>
        <v/>
      </c>
      <c r="K729" s="40">
        <f>(K728-M728)*F729/F728+SUMIFS(O704:O728,B704:B728,B729-1-d_T)*F729</f>
        <v/>
      </c>
      <c r="L729" s="40">
        <f>IF(B729&gt;=in_marketplace_from,J729*d_hz*G729*in_eligible*H729,0)</f>
        <v/>
      </c>
      <c r="M729" s="40">
        <f>IF(B729&gt;=in_marketplace_from,K729*d_hz*G729*in_eligible*in_approved_repeat,0)</f>
        <v/>
      </c>
      <c r="N729" s="40">
        <f>L729+M729</f>
        <v/>
      </c>
      <c r="O729" s="46">
        <f>N729/F729</f>
        <v/>
      </c>
      <c r="P729" s="40">
        <f>F729-J729-K729</f>
        <v/>
      </c>
      <c r="Q729" s="40">
        <f>IF(B729&gt;=in_marketplace_from,(J729+K729)*d_hz*G729,0)</f>
        <v/>
      </c>
      <c r="R729" s="40">
        <f>SUMIFS(N704:N750,B704:B750,"&gt;="&amp;(B729-d_T),B704:B750,"&lt;="&amp;(B729-1))</f>
        <v/>
      </c>
      <c r="S729" s="46">
        <f>(1-d_u)*S728+IF(d_T&gt;in_topup_lag,SUMIFS(O704:O750,B704:B750,B729-in_topup_lag)-d_udrop*SUMIFS(O704:O750,B704:B750,B729-d_T),0)</f>
        <v/>
      </c>
      <c r="T729" s="40">
        <f>F729*d_u*S729</f>
        <v/>
      </c>
      <c r="U729" s="9">
        <f>L729*in_ticket+M729*d_rep_ticket</f>
        <v/>
      </c>
      <c r="V729" s="9">
        <f>U729+T729*d_topup_amt</f>
        <v/>
      </c>
      <c r="W729" s="40">
        <f>N729+T729*d_topup_ratio</f>
        <v/>
      </c>
      <c r="X729" s="40">
        <f>SUMIFS(W704:W750,B704:B750,B729-in_dpd_lag)*d_cured</f>
        <v/>
      </c>
      <c r="Y729" s="40">
        <f>SUMIFS(W704:W750,B704:B750,B729-in_rec_lag)*d_recd</f>
        <v/>
      </c>
      <c r="Z729" s="40">
        <f>IF(AND(B729&gt;=in_marketplace_from,B729&lt;in_marketplace_from+in_card_months),in_card_share/in_card_months*F729*I729,IF(AND(B729&gt;=in_marketplace_from+in_card_months,B729&lt;in_marketplace_from+2*in_card_months),in_card_share*d_card_rem/in_card_months*F729*MIN(in_takeup_cap,(1+in_takeup_growth)^(D729-1))*MIN(in_takeup_cap,(1+in_approval_growth)^(D729-1)),0))</f>
        <v/>
      </c>
      <c r="AA729" s="14">
        <f>V729*in_fee*(1-in_taken_back)</f>
        <v/>
      </c>
      <c r="AB729" s="14">
        <f>SUMIFS(W704:W750,B704:B750,B729-in_dpd_lag)*d_dpd</f>
        <v/>
      </c>
      <c r="AC729" s="14">
        <f>SUMIFS(W704:W750,B704:B750,B729-in_rec_lag)*d_rec</f>
        <v/>
      </c>
      <c r="AD729" s="14">
        <f>Z729*in_card_fee</f>
        <v/>
      </c>
      <c r="AE729" s="40">
        <f>AE728*(1-IF(B728&gt;=in_marketplace_from,d_hz_hlth_small*G728,0))</f>
        <v/>
      </c>
      <c r="AF729" s="46">
        <f>AE729*IF(B729&gt;=in_marketplace_from,d_hz_hlth_small*G729,0)</f>
        <v/>
      </c>
      <c r="AG729" s="14">
        <f>F729*AF729*in_hlth_small_ticket*in_hlth_small_comm*in_ins_partner_share+F729*in_hlth_small_ticket*in_hlth_small_renew_comm*in_ins_partner_share*(in_hlth_small_renew^1*SUMIFS(AF704:AF750,B704:B750,B729-12)+in_hlth_small_renew^2*SUMIFS(AF704:AF750,B704:B750,B729-24)+in_hlth_small_renew^3*SUMIFS(AF704:AF750,B704:B750,B729-36)+in_hlth_small_renew^4*SUMIFS(AF704:AF750,B704:B750,B729-48))</f>
        <v/>
      </c>
      <c r="AH729" s="40">
        <f>AH728*(1-IF(B728&gt;=in_marketplace_from,d_hz_hlth_family*G728,0))</f>
        <v/>
      </c>
      <c r="AI729" s="46">
        <f>AH729*IF(B729&gt;=in_marketplace_from,d_hz_hlth_family*G729,0)</f>
        <v/>
      </c>
      <c r="AJ729" s="14">
        <f>F729*AI729*in_hlth_family_ticket*in_hlth_family_comm*in_ins_partner_share+F729*in_hlth_family_ticket*in_hlth_family_renew_comm*in_ins_partner_share*(in_hlth_family_renew^1*SUMIFS(AI704:AI750,B704:B750,B729-12)+in_hlth_family_renew^2*SUMIFS(AI704:AI750,B704:B750,B729-24)+in_hlth_family_renew^3*SUMIFS(AI704:AI750,B704:B750,B729-36)+in_hlth_family_renew^4*SUMIFS(AI704:AI750,B704:B750,B729-48))</f>
        <v/>
      </c>
      <c r="AK729" s="40">
        <f>AK728*(1-IF(B728&gt;=in_marketplace_from,d_hz_life_term*G728,0))</f>
        <v/>
      </c>
      <c r="AL729" s="46">
        <f>AK729*IF(B729&gt;=in_marketplace_from,d_hz_life_term*G729,0)</f>
        <v/>
      </c>
      <c r="AM729" s="14">
        <f>F729*AL729*in_life_term_ticket*in_life_term_comm*in_ins_partner_share+F729*in_life_term_ticket*in_life_term_renew_comm*in_ins_partner_share*(in_life_term_renew^1*SUMIFS(AL704:AL750,B704:B750,B729-12)+in_life_term_renew^2*SUMIFS(AL704:AL750,B704:B750,B729-24)+in_life_term_renew^3*SUMIFS(AL704:AL750,B704:B750,B729-36)+in_life_term_renew^4*SUMIFS(AL704:AL750,B704:B750,B729-48))</f>
        <v/>
      </c>
      <c r="AN729" s="40">
        <f>AN728*(1-IF(B728&gt;=in_marketplace_from,d_hz_accident*G728,0))</f>
        <v/>
      </c>
      <c r="AO729" s="46">
        <f>AN729*IF(B729&gt;=in_marketplace_from,d_hz_accident*G729,0)</f>
        <v/>
      </c>
      <c r="AP729" s="14">
        <f>F729*AO729*in_accident_ticket*in_accident_comm*in_ins_partner_share+F729*in_accident_ticket*in_accident_renew_comm*in_ins_partner_share*(in_accident_renew^1*SUMIFS(AO704:AO750,B704:B750,B729-12)+in_accident_renew^2*SUMIFS(AO704:AO750,B704:B750,B729-24)+in_accident_renew^3*SUMIFS(AO704:AO750,B704:B750,B729-36)+in_accident_renew^4*SUMIFS(AO704:AO750,B704:B750,B729-48))</f>
        <v/>
      </c>
      <c r="AQ729" s="40">
        <f>AQ728*(1-IF(B728&gt;=in_marketplace_from,d_hz_two_wheeler*G728,0))</f>
        <v/>
      </c>
      <c r="AR729" s="46">
        <f>AQ729*IF(B729&gt;=in_marketplace_from,d_hz_two_wheeler*G729,0)</f>
        <v/>
      </c>
      <c r="AS729" s="14">
        <f>F729*AR729*in_two_wheeler_ticket*in_two_wheeler_comm*in_ins_partner_share+F729*in_two_wheeler_ticket*in_two_wheeler_comm*in_ins_partner_share*(in_two_wheeler_renew^1*SUMIFS(AR704:AR750,B704:B750,B729-12)+in_two_wheeler_renew^2*SUMIFS(AR704:AR750,B704:B750,B729-24)+in_two_wheeler_renew^3*SUMIFS(AR704:AR750,B704:B750,B729-36)+in_two_wheeler_renew^4*SUMIFS(AR704:AR750,B704:B750,B729-48))</f>
        <v/>
      </c>
      <c r="AT729" s="40">
        <f>AT728*(1-IF(B728&gt;=in_marketplace_from,d_hz_device*G728,0))</f>
        <v/>
      </c>
      <c r="AU729" s="14">
        <f>F729*AT729*IF(B729&gt;=in_marketplace_from,d_hz_device*G729,0)*in_device_ticket*in_device_comm*in_ins_partner_share</f>
        <v/>
      </c>
      <c r="AV729" s="40">
        <f>AV728*(1-IF(B728&gt;=in_marketplace_from,d_hz_shop*G728,0))</f>
        <v/>
      </c>
      <c r="AW729" s="46">
        <f>AV729*IF(B729&gt;=in_marketplace_from,d_hz_shop*G729,0)</f>
        <v/>
      </c>
      <c r="AX729" s="14">
        <f>F729*AW729*in_shop_ticket*in_shop_comm*in_ins_partner_share+F729*in_shop_ticket*in_shop_renew_comm*in_ins_partner_share*(in_shop_renew^1*SUMIFS(AW704:AW750,B704:B750,B729-12)+in_shop_renew^2*SUMIFS(AW704:AW750,B704:B750,B729-24)+in_shop_renew^3*SUMIFS(AW704:AW750,B704:B750,B729-36)+in_shop_renew^4*SUMIFS(AW704:AW750,B704:B750,B729-48))</f>
        <v/>
      </c>
      <c r="AY729" s="40">
        <f>AY728*(1-IF(B728&gt;=in_marketplace_from,d_hz_sip*G728,0))</f>
        <v/>
      </c>
      <c r="AZ729" s="40">
        <f>AZ728*d_rho_sip+AY729*IF(B729&gt;=in_marketplace_from,d_hz_sip*G729,0)</f>
        <v/>
      </c>
      <c r="BA729" s="40">
        <f>d_rho_sip*(BA728+AZ728)</f>
        <v/>
      </c>
      <c r="BB729" s="14">
        <f>F729*in_sip_ticket*(BA729+0.5*AZ729)*in_sip_comm/12</f>
        <v/>
      </c>
      <c r="BC729" s="40">
        <f>BC728*(1-IF(B728&gt;=in_marketplace_from,d_hz_choti*G728,0))</f>
        <v/>
      </c>
      <c r="BD729" s="46">
        <f>BC729*IF(B729&gt;=in_marketplace_from,d_hz_choti*G729,0)</f>
        <v/>
      </c>
      <c r="BE729" s="14">
        <f>F729*SUMIFS(BD704:BD750,B704:B750,B729-in_choti_months)*in_choti_renew*in_choti_ticket</f>
        <v/>
      </c>
      <c r="BF729" s="40">
        <f>BF728*(1-IF(B728&gt;=in_marketplace_from,d_hz_nps*G728,0))</f>
        <v/>
      </c>
      <c r="BG729" s="14">
        <f>F729*BF729*IF(B729&gt;=in_marketplace_from,d_hz_nps*G729,0)*in_nps_ticket*in_nps_comm</f>
        <v/>
      </c>
      <c r="BH729" s="40">
        <f>BH728*(1-IF(B728&gt;=in_marketplace_from,d_hz_gold*G728,0))</f>
        <v/>
      </c>
      <c r="BI729" s="40">
        <f>BI728*d_rho_gold+BH729*IF(B729&gt;=in_marketplace_from,d_hz_gold*G729,0)</f>
        <v/>
      </c>
      <c r="BJ729" s="14">
        <f>F729*BI729*in_gold_ticket*in_gold_comm</f>
        <v/>
      </c>
      <c r="BK729" s="40">
        <f>BK728*(1-IF(B728&gt;=in_marketplace_from,d_hz_fd*G728,0))</f>
        <v/>
      </c>
      <c r="BL729" s="14">
        <f>F729*BK729*IF(B729&gt;=in_marketplace_from,d_hz_fd*G729,0)*in_fd_ticket*in_fd_comm</f>
        <v/>
      </c>
      <c r="BM729" s="40">
        <f>BM728*(1-IF(B728&gt;=in_marketplace_from,d_hz_recharge*G728,0))</f>
        <v/>
      </c>
      <c r="BN729" s="40">
        <f>BN728*d_rho_recharge+BM729*IF(B729&gt;=in_marketplace_from,d_hz_recharge*G729,0)</f>
        <v/>
      </c>
      <c r="BO729" s="14">
        <f>F729*BN729*in_recharge_ticket*in_recharge_comm/12</f>
        <v/>
      </c>
      <c r="BP729" s="40">
        <f>BP728*(1-IF(B728&gt;=in_marketplace_from,d_hz_bills*G728,0))</f>
        <v/>
      </c>
      <c r="BQ729" s="40">
        <f>BQ728*d_rho_bills+BP729*IF(B729&gt;=in_marketplace_from,d_hz_bills*G729,0)</f>
        <v/>
      </c>
      <c r="BR729" s="14">
        <f>F729*BQ729*in_bills_ticket*in_bills_comm/12</f>
        <v/>
      </c>
      <c r="BS729" s="40">
        <f>BS728*(1-IF(B728&gt;=in_marketplace_from,d_hz_loan_gold*G728,0))</f>
        <v/>
      </c>
      <c r="BT729" s="14">
        <f>F729*BS729*IF(B729&gt;=in_marketplace_from,d_hz_loan_gold*G729,0)*in_loan_gold_ticket*in_loan_gold_comm</f>
        <v/>
      </c>
      <c r="BU729" s="40">
        <f>BU728*(1-IF(B728&gt;=in_marketplace_from,d_hz_loan_cd*G728,0))</f>
        <v/>
      </c>
      <c r="BV729" s="14">
        <f>F729*BU729*IF(B729&gt;=in_marketplace_from,d_hz_loan_cd*G729,0)*in_loan_cd_ticket*in_loan_cd_comm</f>
        <v/>
      </c>
      <c r="BW729" s="40">
        <f>BW728*(1-IF(B728&gt;=in_marketplace_from,d_hz_loan_vehicle*G728,0))</f>
        <v/>
      </c>
      <c r="BX729" s="14">
        <f>F729*BW729*IF(B729&gt;=in_marketplace_from,d_hz_loan_vehicle*G729,0)*in_loan_vehicle_ticket*in_loan_vehicle_comm</f>
        <v/>
      </c>
      <c r="BY729" s="40">
        <f>BY728*(1-IF(B728&gt;=in_marketplace_from,d_hz_loan_home*G728,0)*BZ728)</f>
        <v/>
      </c>
      <c r="BZ729" s="11">
        <f>MIN(in_approval_cap,in_loan_home_approval*INDEX('Age profile'!$O$2:$O$61,B729)*(1+in_approval_growth)^(D729-1))</f>
        <v/>
      </c>
      <c r="CA729" s="14">
        <f>F729*BY729*IF(B729&gt;=in_marketplace_from,d_hz_loan_home*G729,0)*BZ729*in_loan_home_ticket*in_loan_home_comm</f>
        <v/>
      </c>
      <c r="CB729" s="40">
        <f>CB728*(1-IF(B728&gt;=in_marketplace_from,d_hz_loan_lap*G728,0)*CC728)</f>
        <v/>
      </c>
      <c r="CC729" s="11">
        <f>MIN(in_approval_cap,in_loan_lap_approval*INDEX('Age profile'!$O$2:$O$61,B729)*(1+in_approval_growth)^(D729-1))</f>
        <v/>
      </c>
      <c r="CD729" s="14">
        <f>F729*CB729*IF(B729&gt;=in_marketplace_from,d_hz_loan_lap*G729,0)*CC729*in_loan_lap_ticket*in_loan_lap_comm</f>
        <v/>
      </c>
      <c r="CE729" s="14">
        <f>AA729+AB729+AC729+AD729+AG729+AJ729+AM729+AP729+AS729+AU729+AX729+BB729+BE729+BG729+BJ729+BL729+BO729+BR729+BT729+BV729+BX729+CA729+CD729</f>
        <v/>
      </c>
    </row>
    <row r="730">
      <c r="A730" s="39" t="n">
        <v>14</v>
      </c>
      <c r="B730" s="39" t="n">
        <v>27</v>
      </c>
      <c r="C730" s="39">
        <f>A730+B730-1</f>
        <v/>
      </c>
      <c r="D730" s="39">
        <f>INT((C730-1)/12)+1</f>
        <v/>
      </c>
      <c r="E730" s="44">
        <f>INDEX(Monthly!$B$2:$B$61,A730)</f>
        <v/>
      </c>
      <c r="F730" s="44">
        <f>E730*INDEX('Age profile'!$B$2:$B$61,B730)</f>
        <v/>
      </c>
      <c r="G730" s="45">
        <f>MIN(in_takeup_cap,INDEX('Age profile'!$N$2:$N$61,B730)*(1+in_takeup_growth)^(D730-1))</f>
        <v/>
      </c>
      <c r="H730" s="11">
        <f>MIN(in_approval_cap,in_approved_first*INDEX('Age profile'!$O$2:$O$61,B730)*(1+in_approval_growth)^(D730-1))</f>
        <v/>
      </c>
      <c r="I730" s="45">
        <f>G730*MIN(in_takeup_cap,INDEX('Age profile'!$O$2:$O$61,B730)*(1+in_approval_growth)^(D730-1))</f>
        <v/>
      </c>
      <c r="J730" s="40">
        <f>(J729-L729)*F730/F729</f>
        <v/>
      </c>
      <c r="K730" s="40">
        <f>(K729-M729)*F730/F729+SUMIFS(O704:O729,B704:B729,B730-1-d_T)*F730</f>
        <v/>
      </c>
      <c r="L730" s="40">
        <f>IF(B730&gt;=in_marketplace_from,J730*d_hz*G730*in_eligible*H730,0)</f>
        <v/>
      </c>
      <c r="M730" s="40">
        <f>IF(B730&gt;=in_marketplace_from,K730*d_hz*G730*in_eligible*in_approved_repeat,0)</f>
        <v/>
      </c>
      <c r="N730" s="40">
        <f>L730+M730</f>
        <v/>
      </c>
      <c r="O730" s="46">
        <f>N730/F730</f>
        <v/>
      </c>
      <c r="P730" s="40">
        <f>F730-J730-K730</f>
        <v/>
      </c>
      <c r="Q730" s="40">
        <f>IF(B730&gt;=in_marketplace_from,(J730+K730)*d_hz*G730,0)</f>
        <v/>
      </c>
      <c r="R730" s="40">
        <f>SUMIFS(N704:N750,B704:B750,"&gt;="&amp;(B730-d_T),B704:B750,"&lt;="&amp;(B730-1))</f>
        <v/>
      </c>
      <c r="S730" s="46">
        <f>(1-d_u)*S729+IF(d_T&gt;in_topup_lag,SUMIFS(O704:O750,B704:B750,B730-in_topup_lag)-d_udrop*SUMIFS(O704:O750,B704:B750,B730-d_T),0)</f>
        <v/>
      </c>
      <c r="T730" s="40">
        <f>F730*d_u*S730</f>
        <v/>
      </c>
      <c r="U730" s="9">
        <f>L730*in_ticket+M730*d_rep_ticket</f>
        <v/>
      </c>
      <c r="V730" s="9">
        <f>U730+T730*d_topup_amt</f>
        <v/>
      </c>
      <c r="W730" s="40">
        <f>N730+T730*d_topup_ratio</f>
        <v/>
      </c>
      <c r="X730" s="40">
        <f>SUMIFS(W704:W750,B704:B750,B730-in_dpd_lag)*d_cured</f>
        <v/>
      </c>
      <c r="Y730" s="40">
        <f>SUMIFS(W704:W750,B704:B750,B730-in_rec_lag)*d_recd</f>
        <v/>
      </c>
      <c r="Z730" s="40">
        <f>IF(AND(B730&gt;=in_marketplace_from,B730&lt;in_marketplace_from+in_card_months),in_card_share/in_card_months*F730*I730,IF(AND(B730&gt;=in_marketplace_from+in_card_months,B730&lt;in_marketplace_from+2*in_card_months),in_card_share*d_card_rem/in_card_months*F730*MIN(in_takeup_cap,(1+in_takeup_growth)^(D730-1))*MIN(in_takeup_cap,(1+in_approval_growth)^(D730-1)),0))</f>
        <v/>
      </c>
      <c r="AA730" s="14">
        <f>V730*in_fee*(1-in_taken_back)</f>
        <v/>
      </c>
      <c r="AB730" s="14">
        <f>SUMIFS(W704:W750,B704:B750,B730-in_dpd_lag)*d_dpd</f>
        <v/>
      </c>
      <c r="AC730" s="14">
        <f>SUMIFS(W704:W750,B704:B750,B730-in_rec_lag)*d_rec</f>
        <v/>
      </c>
      <c r="AD730" s="14">
        <f>Z730*in_card_fee</f>
        <v/>
      </c>
      <c r="AE730" s="40">
        <f>AE729*(1-IF(B729&gt;=in_marketplace_from,d_hz_hlth_small*G729,0))</f>
        <v/>
      </c>
      <c r="AF730" s="46">
        <f>AE730*IF(B730&gt;=in_marketplace_from,d_hz_hlth_small*G730,0)</f>
        <v/>
      </c>
      <c r="AG730" s="14">
        <f>F730*AF730*in_hlth_small_ticket*in_hlth_small_comm*in_ins_partner_share+F730*in_hlth_small_ticket*in_hlth_small_renew_comm*in_ins_partner_share*(in_hlth_small_renew^1*SUMIFS(AF704:AF750,B704:B750,B730-12)+in_hlth_small_renew^2*SUMIFS(AF704:AF750,B704:B750,B730-24)+in_hlth_small_renew^3*SUMIFS(AF704:AF750,B704:B750,B730-36)+in_hlth_small_renew^4*SUMIFS(AF704:AF750,B704:B750,B730-48))</f>
        <v/>
      </c>
      <c r="AH730" s="40">
        <f>AH729*(1-IF(B729&gt;=in_marketplace_from,d_hz_hlth_family*G729,0))</f>
        <v/>
      </c>
      <c r="AI730" s="46">
        <f>AH730*IF(B730&gt;=in_marketplace_from,d_hz_hlth_family*G730,0)</f>
        <v/>
      </c>
      <c r="AJ730" s="14">
        <f>F730*AI730*in_hlth_family_ticket*in_hlth_family_comm*in_ins_partner_share+F730*in_hlth_family_ticket*in_hlth_family_renew_comm*in_ins_partner_share*(in_hlth_family_renew^1*SUMIFS(AI704:AI750,B704:B750,B730-12)+in_hlth_family_renew^2*SUMIFS(AI704:AI750,B704:B750,B730-24)+in_hlth_family_renew^3*SUMIFS(AI704:AI750,B704:B750,B730-36)+in_hlth_family_renew^4*SUMIFS(AI704:AI750,B704:B750,B730-48))</f>
        <v/>
      </c>
      <c r="AK730" s="40">
        <f>AK729*(1-IF(B729&gt;=in_marketplace_from,d_hz_life_term*G729,0))</f>
        <v/>
      </c>
      <c r="AL730" s="46">
        <f>AK730*IF(B730&gt;=in_marketplace_from,d_hz_life_term*G730,0)</f>
        <v/>
      </c>
      <c r="AM730" s="14">
        <f>F730*AL730*in_life_term_ticket*in_life_term_comm*in_ins_partner_share+F730*in_life_term_ticket*in_life_term_renew_comm*in_ins_partner_share*(in_life_term_renew^1*SUMIFS(AL704:AL750,B704:B750,B730-12)+in_life_term_renew^2*SUMIFS(AL704:AL750,B704:B750,B730-24)+in_life_term_renew^3*SUMIFS(AL704:AL750,B704:B750,B730-36)+in_life_term_renew^4*SUMIFS(AL704:AL750,B704:B750,B730-48))</f>
        <v/>
      </c>
      <c r="AN730" s="40">
        <f>AN729*(1-IF(B729&gt;=in_marketplace_from,d_hz_accident*G729,0))</f>
        <v/>
      </c>
      <c r="AO730" s="46">
        <f>AN730*IF(B730&gt;=in_marketplace_from,d_hz_accident*G730,0)</f>
        <v/>
      </c>
      <c r="AP730" s="14">
        <f>F730*AO730*in_accident_ticket*in_accident_comm*in_ins_partner_share+F730*in_accident_ticket*in_accident_renew_comm*in_ins_partner_share*(in_accident_renew^1*SUMIFS(AO704:AO750,B704:B750,B730-12)+in_accident_renew^2*SUMIFS(AO704:AO750,B704:B750,B730-24)+in_accident_renew^3*SUMIFS(AO704:AO750,B704:B750,B730-36)+in_accident_renew^4*SUMIFS(AO704:AO750,B704:B750,B730-48))</f>
        <v/>
      </c>
      <c r="AQ730" s="40">
        <f>AQ729*(1-IF(B729&gt;=in_marketplace_from,d_hz_two_wheeler*G729,0))</f>
        <v/>
      </c>
      <c r="AR730" s="46">
        <f>AQ730*IF(B730&gt;=in_marketplace_from,d_hz_two_wheeler*G730,0)</f>
        <v/>
      </c>
      <c r="AS730" s="14">
        <f>F730*AR730*in_two_wheeler_ticket*in_two_wheeler_comm*in_ins_partner_share+F730*in_two_wheeler_ticket*in_two_wheeler_comm*in_ins_partner_share*(in_two_wheeler_renew^1*SUMIFS(AR704:AR750,B704:B750,B730-12)+in_two_wheeler_renew^2*SUMIFS(AR704:AR750,B704:B750,B730-24)+in_two_wheeler_renew^3*SUMIFS(AR704:AR750,B704:B750,B730-36)+in_two_wheeler_renew^4*SUMIFS(AR704:AR750,B704:B750,B730-48))</f>
        <v/>
      </c>
      <c r="AT730" s="40">
        <f>AT729*(1-IF(B729&gt;=in_marketplace_from,d_hz_device*G729,0))</f>
        <v/>
      </c>
      <c r="AU730" s="14">
        <f>F730*AT730*IF(B730&gt;=in_marketplace_from,d_hz_device*G730,0)*in_device_ticket*in_device_comm*in_ins_partner_share</f>
        <v/>
      </c>
      <c r="AV730" s="40">
        <f>AV729*(1-IF(B729&gt;=in_marketplace_from,d_hz_shop*G729,0))</f>
        <v/>
      </c>
      <c r="AW730" s="46">
        <f>AV730*IF(B730&gt;=in_marketplace_from,d_hz_shop*G730,0)</f>
        <v/>
      </c>
      <c r="AX730" s="14">
        <f>F730*AW730*in_shop_ticket*in_shop_comm*in_ins_partner_share+F730*in_shop_ticket*in_shop_renew_comm*in_ins_partner_share*(in_shop_renew^1*SUMIFS(AW704:AW750,B704:B750,B730-12)+in_shop_renew^2*SUMIFS(AW704:AW750,B704:B750,B730-24)+in_shop_renew^3*SUMIFS(AW704:AW750,B704:B750,B730-36)+in_shop_renew^4*SUMIFS(AW704:AW750,B704:B750,B730-48))</f>
        <v/>
      </c>
      <c r="AY730" s="40">
        <f>AY729*(1-IF(B729&gt;=in_marketplace_from,d_hz_sip*G729,0))</f>
        <v/>
      </c>
      <c r="AZ730" s="40">
        <f>AZ729*d_rho_sip+AY730*IF(B730&gt;=in_marketplace_from,d_hz_sip*G730,0)</f>
        <v/>
      </c>
      <c r="BA730" s="40">
        <f>d_rho_sip*(BA729+AZ729)</f>
        <v/>
      </c>
      <c r="BB730" s="14">
        <f>F730*in_sip_ticket*(BA730+0.5*AZ730)*in_sip_comm/12</f>
        <v/>
      </c>
      <c r="BC730" s="40">
        <f>BC729*(1-IF(B729&gt;=in_marketplace_from,d_hz_choti*G729,0))</f>
        <v/>
      </c>
      <c r="BD730" s="46">
        <f>BC730*IF(B730&gt;=in_marketplace_from,d_hz_choti*G730,0)</f>
        <v/>
      </c>
      <c r="BE730" s="14">
        <f>F730*SUMIFS(BD704:BD750,B704:B750,B730-in_choti_months)*in_choti_renew*in_choti_ticket</f>
        <v/>
      </c>
      <c r="BF730" s="40">
        <f>BF729*(1-IF(B729&gt;=in_marketplace_from,d_hz_nps*G729,0))</f>
        <v/>
      </c>
      <c r="BG730" s="14">
        <f>F730*BF730*IF(B730&gt;=in_marketplace_from,d_hz_nps*G730,0)*in_nps_ticket*in_nps_comm</f>
        <v/>
      </c>
      <c r="BH730" s="40">
        <f>BH729*(1-IF(B729&gt;=in_marketplace_from,d_hz_gold*G729,0))</f>
        <v/>
      </c>
      <c r="BI730" s="40">
        <f>BI729*d_rho_gold+BH730*IF(B730&gt;=in_marketplace_from,d_hz_gold*G730,0)</f>
        <v/>
      </c>
      <c r="BJ730" s="14">
        <f>F730*BI730*in_gold_ticket*in_gold_comm</f>
        <v/>
      </c>
      <c r="BK730" s="40">
        <f>BK729*(1-IF(B729&gt;=in_marketplace_from,d_hz_fd*G729,0))</f>
        <v/>
      </c>
      <c r="BL730" s="14">
        <f>F730*BK730*IF(B730&gt;=in_marketplace_from,d_hz_fd*G730,0)*in_fd_ticket*in_fd_comm</f>
        <v/>
      </c>
      <c r="BM730" s="40">
        <f>BM729*(1-IF(B729&gt;=in_marketplace_from,d_hz_recharge*G729,0))</f>
        <v/>
      </c>
      <c r="BN730" s="40">
        <f>BN729*d_rho_recharge+BM730*IF(B730&gt;=in_marketplace_from,d_hz_recharge*G730,0)</f>
        <v/>
      </c>
      <c r="BO730" s="14">
        <f>F730*BN730*in_recharge_ticket*in_recharge_comm/12</f>
        <v/>
      </c>
      <c r="BP730" s="40">
        <f>BP729*(1-IF(B729&gt;=in_marketplace_from,d_hz_bills*G729,0))</f>
        <v/>
      </c>
      <c r="BQ730" s="40">
        <f>BQ729*d_rho_bills+BP730*IF(B730&gt;=in_marketplace_from,d_hz_bills*G730,0)</f>
        <v/>
      </c>
      <c r="BR730" s="14">
        <f>F730*BQ730*in_bills_ticket*in_bills_comm/12</f>
        <v/>
      </c>
      <c r="BS730" s="40">
        <f>BS729*(1-IF(B729&gt;=in_marketplace_from,d_hz_loan_gold*G729,0))</f>
        <v/>
      </c>
      <c r="BT730" s="14">
        <f>F730*BS730*IF(B730&gt;=in_marketplace_from,d_hz_loan_gold*G730,0)*in_loan_gold_ticket*in_loan_gold_comm</f>
        <v/>
      </c>
      <c r="BU730" s="40">
        <f>BU729*(1-IF(B729&gt;=in_marketplace_from,d_hz_loan_cd*G729,0))</f>
        <v/>
      </c>
      <c r="BV730" s="14">
        <f>F730*BU730*IF(B730&gt;=in_marketplace_from,d_hz_loan_cd*G730,0)*in_loan_cd_ticket*in_loan_cd_comm</f>
        <v/>
      </c>
      <c r="BW730" s="40">
        <f>BW729*(1-IF(B729&gt;=in_marketplace_from,d_hz_loan_vehicle*G729,0))</f>
        <v/>
      </c>
      <c r="BX730" s="14">
        <f>F730*BW730*IF(B730&gt;=in_marketplace_from,d_hz_loan_vehicle*G730,0)*in_loan_vehicle_ticket*in_loan_vehicle_comm</f>
        <v/>
      </c>
      <c r="BY730" s="40">
        <f>BY729*(1-IF(B729&gt;=in_marketplace_from,d_hz_loan_home*G729,0)*BZ729)</f>
        <v/>
      </c>
      <c r="BZ730" s="11">
        <f>MIN(in_approval_cap,in_loan_home_approval*INDEX('Age profile'!$O$2:$O$61,B730)*(1+in_approval_growth)^(D730-1))</f>
        <v/>
      </c>
      <c r="CA730" s="14">
        <f>F730*BY730*IF(B730&gt;=in_marketplace_from,d_hz_loan_home*G730,0)*BZ730*in_loan_home_ticket*in_loan_home_comm</f>
        <v/>
      </c>
      <c r="CB730" s="40">
        <f>CB729*(1-IF(B729&gt;=in_marketplace_from,d_hz_loan_lap*G729,0)*CC729)</f>
        <v/>
      </c>
      <c r="CC730" s="11">
        <f>MIN(in_approval_cap,in_loan_lap_approval*INDEX('Age profile'!$O$2:$O$61,B730)*(1+in_approval_growth)^(D730-1))</f>
        <v/>
      </c>
      <c r="CD730" s="14">
        <f>F730*CB730*IF(B730&gt;=in_marketplace_from,d_hz_loan_lap*G730,0)*CC730*in_loan_lap_ticket*in_loan_lap_comm</f>
        <v/>
      </c>
      <c r="CE730" s="14">
        <f>AA730+AB730+AC730+AD730+AG730+AJ730+AM730+AP730+AS730+AU730+AX730+BB730+BE730+BG730+BJ730+BL730+BO730+BR730+BT730+BV730+BX730+CA730+CD730</f>
        <v/>
      </c>
    </row>
    <row r="731">
      <c r="A731" s="39" t="n">
        <v>14</v>
      </c>
      <c r="B731" s="39" t="n">
        <v>28</v>
      </c>
      <c r="C731" s="39">
        <f>A731+B731-1</f>
        <v/>
      </c>
      <c r="D731" s="39">
        <f>INT((C731-1)/12)+1</f>
        <v/>
      </c>
      <c r="E731" s="44">
        <f>INDEX(Monthly!$B$2:$B$61,A731)</f>
        <v/>
      </c>
      <c r="F731" s="44">
        <f>E731*INDEX('Age profile'!$B$2:$B$61,B731)</f>
        <v/>
      </c>
      <c r="G731" s="45">
        <f>MIN(in_takeup_cap,INDEX('Age profile'!$N$2:$N$61,B731)*(1+in_takeup_growth)^(D731-1))</f>
        <v/>
      </c>
      <c r="H731" s="11">
        <f>MIN(in_approval_cap,in_approved_first*INDEX('Age profile'!$O$2:$O$61,B731)*(1+in_approval_growth)^(D731-1))</f>
        <v/>
      </c>
      <c r="I731" s="45">
        <f>G731*MIN(in_takeup_cap,INDEX('Age profile'!$O$2:$O$61,B731)*(1+in_approval_growth)^(D731-1))</f>
        <v/>
      </c>
      <c r="J731" s="40">
        <f>(J730-L730)*F731/F730</f>
        <v/>
      </c>
      <c r="K731" s="40">
        <f>(K730-M730)*F731/F730+SUMIFS(O704:O730,B704:B730,B731-1-d_T)*F731</f>
        <v/>
      </c>
      <c r="L731" s="40">
        <f>IF(B731&gt;=in_marketplace_from,J731*d_hz*G731*in_eligible*H731,0)</f>
        <v/>
      </c>
      <c r="M731" s="40">
        <f>IF(B731&gt;=in_marketplace_from,K731*d_hz*G731*in_eligible*in_approved_repeat,0)</f>
        <v/>
      </c>
      <c r="N731" s="40">
        <f>L731+M731</f>
        <v/>
      </c>
      <c r="O731" s="46">
        <f>N731/F731</f>
        <v/>
      </c>
      <c r="P731" s="40">
        <f>F731-J731-K731</f>
        <v/>
      </c>
      <c r="Q731" s="40">
        <f>IF(B731&gt;=in_marketplace_from,(J731+K731)*d_hz*G731,0)</f>
        <v/>
      </c>
      <c r="R731" s="40">
        <f>SUMIFS(N704:N750,B704:B750,"&gt;="&amp;(B731-d_T),B704:B750,"&lt;="&amp;(B731-1))</f>
        <v/>
      </c>
      <c r="S731" s="46">
        <f>(1-d_u)*S730+IF(d_T&gt;in_topup_lag,SUMIFS(O704:O750,B704:B750,B731-in_topup_lag)-d_udrop*SUMIFS(O704:O750,B704:B750,B731-d_T),0)</f>
        <v/>
      </c>
      <c r="T731" s="40">
        <f>F731*d_u*S731</f>
        <v/>
      </c>
      <c r="U731" s="9">
        <f>L731*in_ticket+M731*d_rep_ticket</f>
        <v/>
      </c>
      <c r="V731" s="9">
        <f>U731+T731*d_topup_amt</f>
        <v/>
      </c>
      <c r="W731" s="40">
        <f>N731+T731*d_topup_ratio</f>
        <v/>
      </c>
      <c r="X731" s="40">
        <f>SUMIFS(W704:W750,B704:B750,B731-in_dpd_lag)*d_cured</f>
        <v/>
      </c>
      <c r="Y731" s="40">
        <f>SUMIFS(W704:W750,B704:B750,B731-in_rec_lag)*d_recd</f>
        <v/>
      </c>
      <c r="Z731" s="40">
        <f>IF(AND(B731&gt;=in_marketplace_from,B731&lt;in_marketplace_from+in_card_months),in_card_share/in_card_months*F731*I731,IF(AND(B731&gt;=in_marketplace_from+in_card_months,B731&lt;in_marketplace_from+2*in_card_months),in_card_share*d_card_rem/in_card_months*F731*MIN(in_takeup_cap,(1+in_takeup_growth)^(D731-1))*MIN(in_takeup_cap,(1+in_approval_growth)^(D731-1)),0))</f>
        <v/>
      </c>
      <c r="AA731" s="14">
        <f>V731*in_fee*(1-in_taken_back)</f>
        <v/>
      </c>
      <c r="AB731" s="14">
        <f>SUMIFS(W704:W750,B704:B750,B731-in_dpd_lag)*d_dpd</f>
        <v/>
      </c>
      <c r="AC731" s="14">
        <f>SUMIFS(W704:W750,B704:B750,B731-in_rec_lag)*d_rec</f>
        <v/>
      </c>
      <c r="AD731" s="14">
        <f>Z731*in_card_fee</f>
        <v/>
      </c>
      <c r="AE731" s="40">
        <f>AE730*(1-IF(B730&gt;=in_marketplace_from,d_hz_hlth_small*G730,0))</f>
        <v/>
      </c>
      <c r="AF731" s="46">
        <f>AE731*IF(B731&gt;=in_marketplace_from,d_hz_hlth_small*G731,0)</f>
        <v/>
      </c>
      <c r="AG731" s="14">
        <f>F731*AF731*in_hlth_small_ticket*in_hlth_small_comm*in_ins_partner_share+F731*in_hlth_small_ticket*in_hlth_small_renew_comm*in_ins_partner_share*(in_hlth_small_renew^1*SUMIFS(AF704:AF750,B704:B750,B731-12)+in_hlth_small_renew^2*SUMIFS(AF704:AF750,B704:B750,B731-24)+in_hlth_small_renew^3*SUMIFS(AF704:AF750,B704:B750,B731-36)+in_hlth_small_renew^4*SUMIFS(AF704:AF750,B704:B750,B731-48))</f>
        <v/>
      </c>
      <c r="AH731" s="40">
        <f>AH730*(1-IF(B730&gt;=in_marketplace_from,d_hz_hlth_family*G730,0))</f>
        <v/>
      </c>
      <c r="AI731" s="46">
        <f>AH731*IF(B731&gt;=in_marketplace_from,d_hz_hlth_family*G731,0)</f>
        <v/>
      </c>
      <c r="AJ731" s="14">
        <f>F731*AI731*in_hlth_family_ticket*in_hlth_family_comm*in_ins_partner_share+F731*in_hlth_family_ticket*in_hlth_family_renew_comm*in_ins_partner_share*(in_hlth_family_renew^1*SUMIFS(AI704:AI750,B704:B750,B731-12)+in_hlth_family_renew^2*SUMIFS(AI704:AI750,B704:B750,B731-24)+in_hlth_family_renew^3*SUMIFS(AI704:AI750,B704:B750,B731-36)+in_hlth_family_renew^4*SUMIFS(AI704:AI750,B704:B750,B731-48))</f>
        <v/>
      </c>
      <c r="AK731" s="40">
        <f>AK730*(1-IF(B730&gt;=in_marketplace_from,d_hz_life_term*G730,0))</f>
        <v/>
      </c>
      <c r="AL731" s="46">
        <f>AK731*IF(B731&gt;=in_marketplace_from,d_hz_life_term*G731,0)</f>
        <v/>
      </c>
      <c r="AM731" s="14">
        <f>F731*AL731*in_life_term_ticket*in_life_term_comm*in_ins_partner_share+F731*in_life_term_ticket*in_life_term_renew_comm*in_ins_partner_share*(in_life_term_renew^1*SUMIFS(AL704:AL750,B704:B750,B731-12)+in_life_term_renew^2*SUMIFS(AL704:AL750,B704:B750,B731-24)+in_life_term_renew^3*SUMIFS(AL704:AL750,B704:B750,B731-36)+in_life_term_renew^4*SUMIFS(AL704:AL750,B704:B750,B731-48))</f>
        <v/>
      </c>
      <c r="AN731" s="40">
        <f>AN730*(1-IF(B730&gt;=in_marketplace_from,d_hz_accident*G730,0))</f>
        <v/>
      </c>
      <c r="AO731" s="46">
        <f>AN731*IF(B731&gt;=in_marketplace_from,d_hz_accident*G731,0)</f>
        <v/>
      </c>
      <c r="AP731" s="14">
        <f>F731*AO731*in_accident_ticket*in_accident_comm*in_ins_partner_share+F731*in_accident_ticket*in_accident_renew_comm*in_ins_partner_share*(in_accident_renew^1*SUMIFS(AO704:AO750,B704:B750,B731-12)+in_accident_renew^2*SUMIFS(AO704:AO750,B704:B750,B731-24)+in_accident_renew^3*SUMIFS(AO704:AO750,B704:B750,B731-36)+in_accident_renew^4*SUMIFS(AO704:AO750,B704:B750,B731-48))</f>
        <v/>
      </c>
      <c r="AQ731" s="40">
        <f>AQ730*(1-IF(B730&gt;=in_marketplace_from,d_hz_two_wheeler*G730,0))</f>
        <v/>
      </c>
      <c r="AR731" s="46">
        <f>AQ731*IF(B731&gt;=in_marketplace_from,d_hz_two_wheeler*G731,0)</f>
        <v/>
      </c>
      <c r="AS731" s="14">
        <f>F731*AR731*in_two_wheeler_ticket*in_two_wheeler_comm*in_ins_partner_share+F731*in_two_wheeler_ticket*in_two_wheeler_comm*in_ins_partner_share*(in_two_wheeler_renew^1*SUMIFS(AR704:AR750,B704:B750,B731-12)+in_two_wheeler_renew^2*SUMIFS(AR704:AR750,B704:B750,B731-24)+in_two_wheeler_renew^3*SUMIFS(AR704:AR750,B704:B750,B731-36)+in_two_wheeler_renew^4*SUMIFS(AR704:AR750,B704:B750,B731-48))</f>
        <v/>
      </c>
      <c r="AT731" s="40">
        <f>AT730*(1-IF(B730&gt;=in_marketplace_from,d_hz_device*G730,0))</f>
        <v/>
      </c>
      <c r="AU731" s="14">
        <f>F731*AT731*IF(B731&gt;=in_marketplace_from,d_hz_device*G731,0)*in_device_ticket*in_device_comm*in_ins_partner_share</f>
        <v/>
      </c>
      <c r="AV731" s="40">
        <f>AV730*(1-IF(B730&gt;=in_marketplace_from,d_hz_shop*G730,0))</f>
        <v/>
      </c>
      <c r="AW731" s="46">
        <f>AV731*IF(B731&gt;=in_marketplace_from,d_hz_shop*G731,0)</f>
        <v/>
      </c>
      <c r="AX731" s="14">
        <f>F731*AW731*in_shop_ticket*in_shop_comm*in_ins_partner_share+F731*in_shop_ticket*in_shop_renew_comm*in_ins_partner_share*(in_shop_renew^1*SUMIFS(AW704:AW750,B704:B750,B731-12)+in_shop_renew^2*SUMIFS(AW704:AW750,B704:B750,B731-24)+in_shop_renew^3*SUMIFS(AW704:AW750,B704:B750,B731-36)+in_shop_renew^4*SUMIFS(AW704:AW750,B704:B750,B731-48))</f>
        <v/>
      </c>
      <c r="AY731" s="40">
        <f>AY730*(1-IF(B730&gt;=in_marketplace_from,d_hz_sip*G730,0))</f>
        <v/>
      </c>
      <c r="AZ731" s="40">
        <f>AZ730*d_rho_sip+AY731*IF(B731&gt;=in_marketplace_from,d_hz_sip*G731,0)</f>
        <v/>
      </c>
      <c r="BA731" s="40">
        <f>d_rho_sip*(BA730+AZ730)</f>
        <v/>
      </c>
      <c r="BB731" s="14">
        <f>F731*in_sip_ticket*(BA731+0.5*AZ731)*in_sip_comm/12</f>
        <v/>
      </c>
      <c r="BC731" s="40">
        <f>BC730*(1-IF(B730&gt;=in_marketplace_from,d_hz_choti*G730,0))</f>
        <v/>
      </c>
      <c r="BD731" s="46">
        <f>BC731*IF(B731&gt;=in_marketplace_from,d_hz_choti*G731,0)</f>
        <v/>
      </c>
      <c r="BE731" s="14">
        <f>F731*SUMIFS(BD704:BD750,B704:B750,B731-in_choti_months)*in_choti_renew*in_choti_ticket</f>
        <v/>
      </c>
      <c r="BF731" s="40">
        <f>BF730*(1-IF(B730&gt;=in_marketplace_from,d_hz_nps*G730,0))</f>
        <v/>
      </c>
      <c r="BG731" s="14">
        <f>F731*BF731*IF(B731&gt;=in_marketplace_from,d_hz_nps*G731,0)*in_nps_ticket*in_nps_comm</f>
        <v/>
      </c>
      <c r="BH731" s="40">
        <f>BH730*(1-IF(B730&gt;=in_marketplace_from,d_hz_gold*G730,0))</f>
        <v/>
      </c>
      <c r="BI731" s="40">
        <f>BI730*d_rho_gold+BH731*IF(B731&gt;=in_marketplace_from,d_hz_gold*G731,0)</f>
        <v/>
      </c>
      <c r="BJ731" s="14">
        <f>F731*BI731*in_gold_ticket*in_gold_comm</f>
        <v/>
      </c>
      <c r="BK731" s="40">
        <f>BK730*(1-IF(B730&gt;=in_marketplace_from,d_hz_fd*G730,0))</f>
        <v/>
      </c>
      <c r="BL731" s="14">
        <f>F731*BK731*IF(B731&gt;=in_marketplace_from,d_hz_fd*G731,0)*in_fd_ticket*in_fd_comm</f>
        <v/>
      </c>
      <c r="BM731" s="40">
        <f>BM730*(1-IF(B730&gt;=in_marketplace_from,d_hz_recharge*G730,0))</f>
        <v/>
      </c>
      <c r="BN731" s="40">
        <f>BN730*d_rho_recharge+BM731*IF(B731&gt;=in_marketplace_from,d_hz_recharge*G731,0)</f>
        <v/>
      </c>
      <c r="BO731" s="14">
        <f>F731*BN731*in_recharge_ticket*in_recharge_comm/12</f>
        <v/>
      </c>
      <c r="BP731" s="40">
        <f>BP730*(1-IF(B730&gt;=in_marketplace_from,d_hz_bills*G730,0))</f>
        <v/>
      </c>
      <c r="BQ731" s="40">
        <f>BQ730*d_rho_bills+BP731*IF(B731&gt;=in_marketplace_from,d_hz_bills*G731,0)</f>
        <v/>
      </c>
      <c r="BR731" s="14">
        <f>F731*BQ731*in_bills_ticket*in_bills_comm/12</f>
        <v/>
      </c>
      <c r="BS731" s="40">
        <f>BS730*(1-IF(B730&gt;=in_marketplace_from,d_hz_loan_gold*G730,0))</f>
        <v/>
      </c>
      <c r="BT731" s="14">
        <f>F731*BS731*IF(B731&gt;=in_marketplace_from,d_hz_loan_gold*G731,0)*in_loan_gold_ticket*in_loan_gold_comm</f>
        <v/>
      </c>
      <c r="BU731" s="40">
        <f>BU730*(1-IF(B730&gt;=in_marketplace_from,d_hz_loan_cd*G730,0))</f>
        <v/>
      </c>
      <c r="BV731" s="14">
        <f>F731*BU731*IF(B731&gt;=in_marketplace_from,d_hz_loan_cd*G731,0)*in_loan_cd_ticket*in_loan_cd_comm</f>
        <v/>
      </c>
      <c r="BW731" s="40">
        <f>BW730*(1-IF(B730&gt;=in_marketplace_from,d_hz_loan_vehicle*G730,0))</f>
        <v/>
      </c>
      <c r="BX731" s="14">
        <f>F731*BW731*IF(B731&gt;=in_marketplace_from,d_hz_loan_vehicle*G731,0)*in_loan_vehicle_ticket*in_loan_vehicle_comm</f>
        <v/>
      </c>
      <c r="BY731" s="40">
        <f>BY730*(1-IF(B730&gt;=in_marketplace_from,d_hz_loan_home*G730,0)*BZ730)</f>
        <v/>
      </c>
      <c r="BZ731" s="11">
        <f>MIN(in_approval_cap,in_loan_home_approval*INDEX('Age profile'!$O$2:$O$61,B731)*(1+in_approval_growth)^(D731-1))</f>
        <v/>
      </c>
      <c r="CA731" s="14">
        <f>F731*BY731*IF(B731&gt;=in_marketplace_from,d_hz_loan_home*G731,0)*BZ731*in_loan_home_ticket*in_loan_home_comm</f>
        <v/>
      </c>
      <c r="CB731" s="40">
        <f>CB730*(1-IF(B730&gt;=in_marketplace_from,d_hz_loan_lap*G730,0)*CC730)</f>
        <v/>
      </c>
      <c r="CC731" s="11">
        <f>MIN(in_approval_cap,in_loan_lap_approval*INDEX('Age profile'!$O$2:$O$61,B731)*(1+in_approval_growth)^(D731-1))</f>
        <v/>
      </c>
      <c r="CD731" s="14">
        <f>F731*CB731*IF(B731&gt;=in_marketplace_from,d_hz_loan_lap*G731,0)*CC731*in_loan_lap_ticket*in_loan_lap_comm</f>
        <v/>
      </c>
      <c r="CE731" s="14">
        <f>AA731+AB731+AC731+AD731+AG731+AJ731+AM731+AP731+AS731+AU731+AX731+BB731+BE731+BG731+BJ731+BL731+BO731+BR731+BT731+BV731+BX731+CA731+CD731</f>
        <v/>
      </c>
    </row>
    <row r="732">
      <c r="A732" s="39" t="n">
        <v>14</v>
      </c>
      <c r="B732" s="39" t="n">
        <v>29</v>
      </c>
      <c r="C732" s="39">
        <f>A732+B732-1</f>
        <v/>
      </c>
      <c r="D732" s="39">
        <f>INT((C732-1)/12)+1</f>
        <v/>
      </c>
      <c r="E732" s="44">
        <f>INDEX(Monthly!$B$2:$B$61,A732)</f>
        <v/>
      </c>
      <c r="F732" s="44">
        <f>E732*INDEX('Age profile'!$B$2:$B$61,B732)</f>
        <v/>
      </c>
      <c r="G732" s="45">
        <f>MIN(in_takeup_cap,INDEX('Age profile'!$N$2:$N$61,B732)*(1+in_takeup_growth)^(D732-1))</f>
        <v/>
      </c>
      <c r="H732" s="11">
        <f>MIN(in_approval_cap,in_approved_first*INDEX('Age profile'!$O$2:$O$61,B732)*(1+in_approval_growth)^(D732-1))</f>
        <v/>
      </c>
      <c r="I732" s="45">
        <f>G732*MIN(in_takeup_cap,INDEX('Age profile'!$O$2:$O$61,B732)*(1+in_approval_growth)^(D732-1))</f>
        <v/>
      </c>
      <c r="J732" s="40">
        <f>(J731-L731)*F732/F731</f>
        <v/>
      </c>
      <c r="K732" s="40">
        <f>(K731-M731)*F732/F731+SUMIFS(O704:O731,B704:B731,B732-1-d_T)*F732</f>
        <v/>
      </c>
      <c r="L732" s="40">
        <f>IF(B732&gt;=in_marketplace_from,J732*d_hz*G732*in_eligible*H732,0)</f>
        <v/>
      </c>
      <c r="M732" s="40">
        <f>IF(B732&gt;=in_marketplace_from,K732*d_hz*G732*in_eligible*in_approved_repeat,0)</f>
        <v/>
      </c>
      <c r="N732" s="40">
        <f>L732+M732</f>
        <v/>
      </c>
      <c r="O732" s="46">
        <f>N732/F732</f>
        <v/>
      </c>
      <c r="P732" s="40">
        <f>F732-J732-K732</f>
        <v/>
      </c>
      <c r="Q732" s="40">
        <f>IF(B732&gt;=in_marketplace_from,(J732+K732)*d_hz*G732,0)</f>
        <v/>
      </c>
      <c r="R732" s="40">
        <f>SUMIFS(N704:N750,B704:B750,"&gt;="&amp;(B732-d_T),B704:B750,"&lt;="&amp;(B732-1))</f>
        <v/>
      </c>
      <c r="S732" s="46">
        <f>(1-d_u)*S731+IF(d_T&gt;in_topup_lag,SUMIFS(O704:O750,B704:B750,B732-in_topup_lag)-d_udrop*SUMIFS(O704:O750,B704:B750,B732-d_T),0)</f>
        <v/>
      </c>
      <c r="T732" s="40">
        <f>F732*d_u*S732</f>
        <v/>
      </c>
      <c r="U732" s="9">
        <f>L732*in_ticket+M732*d_rep_ticket</f>
        <v/>
      </c>
      <c r="V732" s="9">
        <f>U732+T732*d_topup_amt</f>
        <v/>
      </c>
      <c r="W732" s="40">
        <f>N732+T732*d_topup_ratio</f>
        <v/>
      </c>
      <c r="X732" s="40">
        <f>SUMIFS(W704:W750,B704:B750,B732-in_dpd_lag)*d_cured</f>
        <v/>
      </c>
      <c r="Y732" s="40">
        <f>SUMIFS(W704:W750,B704:B750,B732-in_rec_lag)*d_recd</f>
        <v/>
      </c>
      <c r="Z732" s="40">
        <f>IF(AND(B732&gt;=in_marketplace_from,B732&lt;in_marketplace_from+in_card_months),in_card_share/in_card_months*F732*I732,IF(AND(B732&gt;=in_marketplace_from+in_card_months,B732&lt;in_marketplace_from+2*in_card_months),in_card_share*d_card_rem/in_card_months*F732*MIN(in_takeup_cap,(1+in_takeup_growth)^(D732-1))*MIN(in_takeup_cap,(1+in_approval_growth)^(D732-1)),0))</f>
        <v/>
      </c>
      <c r="AA732" s="14">
        <f>V732*in_fee*(1-in_taken_back)</f>
        <v/>
      </c>
      <c r="AB732" s="14">
        <f>SUMIFS(W704:W750,B704:B750,B732-in_dpd_lag)*d_dpd</f>
        <v/>
      </c>
      <c r="AC732" s="14">
        <f>SUMIFS(W704:W750,B704:B750,B732-in_rec_lag)*d_rec</f>
        <v/>
      </c>
      <c r="AD732" s="14">
        <f>Z732*in_card_fee</f>
        <v/>
      </c>
      <c r="AE732" s="40">
        <f>AE731*(1-IF(B731&gt;=in_marketplace_from,d_hz_hlth_small*G731,0))</f>
        <v/>
      </c>
      <c r="AF732" s="46">
        <f>AE732*IF(B732&gt;=in_marketplace_from,d_hz_hlth_small*G732,0)</f>
        <v/>
      </c>
      <c r="AG732" s="14">
        <f>F732*AF732*in_hlth_small_ticket*in_hlth_small_comm*in_ins_partner_share+F732*in_hlth_small_ticket*in_hlth_small_renew_comm*in_ins_partner_share*(in_hlth_small_renew^1*SUMIFS(AF704:AF750,B704:B750,B732-12)+in_hlth_small_renew^2*SUMIFS(AF704:AF750,B704:B750,B732-24)+in_hlth_small_renew^3*SUMIFS(AF704:AF750,B704:B750,B732-36)+in_hlth_small_renew^4*SUMIFS(AF704:AF750,B704:B750,B732-48))</f>
        <v/>
      </c>
      <c r="AH732" s="40">
        <f>AH731*(1-IF(B731&gt;=in_marketplace_from,d_hz_hlth_family*G731,0))</f>
        <v/>
      </c>
      <c r="AI732" s="46">
        <f>AH732*IF(B732&gt;=in_marketplace_from,d_hz_hlth_family*G732,0)</f>
        <v/>
      </c>
      <c r="AJ732" s="14">
        <f>F732*AI732*in_hlth_family_ticket*in_hlth_family_comm*in_ins_partner_share+F732*in_hlth_family_ticket*in_hlth_family_renew_comm*in_ins_partner_share*(in_hlth_family_renew^1*SUMIFS(AI704:AI750,B704:B750,B732-12)+in_hlth_family_renew^2*SUMIFS(AI704:AI750,B704:B750,B732-24)+in_hlth_family_renew^3*SUMIFS(AI704:AI750,B704:B750,B732-36)+in_hlth_family_renew^4*SUMIFS(AI704:AI750,B704:B750,B732-48))</f>
        <v/>
      </c>
      <c r="AK732" s="40">
        <f>AK731*(1-IF(B731&gt;=in_marketplace_from,d_hz_life_term*G731,0))</f>
        <v/>
      </c>
      <c r="AL732" s="46">
        <f>AK732*IF(B732&gt;=in_marketplace_from,d_hz_life_term*G732,0)</f>
        <v/>
      </c>
      <c r="AM732" s="14">
        <f>F732*AL732*in_life_term_ticket*in_life_term_comm*in_ins_partner_share+F732*in_life_term_ticket*in_life_term_renew_comm*in_ins_partner_share*(in_life_term_renew^1*SUMIFS(AL704:AL750,B704:B750,B732-12)+in_life_term_renew^2*SUMIFS(AL704:AL750,B704:B750,B732-24)+in_life_term_renew^3*SUMIFS(AL704:AL750,B704:B750,B732-36)+in_life_term_renew^4*SUMIFS(AL704:AL750,B704:B750,B732-48))</f>
        <v/>
      </c>
      <c r="AN732" s="40">
        <f>AN731*(1-IF(B731&gt;=in_marketplace_from,d_hz_accident*G731,0))</f>
        <v/>
      </c>
      <c r="AO732" s="46">
        <f>AN732*IF(B732&gt;=in_marketplace_from,d_hz_accident*G732,0)</f>
        <v/>
      </c>
      <c r="AP732" s="14">
        <f>F732*AO732*in_accident_ticket*in_accident_comm*in_ins_partner_share+F732*in_accident_ticket*in_accident_renew_comm*in_ins_partner_share*(in_accident_renew^1*SUMIFS(AO704:AO750,B704:B750,B732-12)+in_accident_renew^2*SUMIFS(AO704:AO750,B704:B750,B732-24)+in_accident_renew^3*SUMIFS(AO704:AO750,B704:B750,B732-36)+in_accident_renew^4*SUMIFS(AO704:AO750,B704:B750,B732-48))</f>
        <v/>
      </c>
      <c r="AQ732" s="40">
        <f>AQ731*(1-IF(B731&gt;=in_marketplace_from,d_hz_two_wheeler*G731,0))</f>
        <v/>
      </c>
      <c r="AR732" s="46">
        <f>AQ732*IF(B732&gt;=in_marketplace_from,d_hz_two_wheeler*G732,0)</f>
        <v/>
      </c>
      <c r="AS732" s="14">
        <f>F732*AR732*in_two_wheeler_ticket*in_two_wheeler_comm*in_ins_partner_share+F732*in_two_wheeler_ticket*in_two_wheeler_comm*in_ins_partner_share*(in_two_wheeler_renew^1*SUMIFS(AR704:AR750,B704:B750,B732-12)+in_two_wheeler_renew^2*SUMIFS(AR704:AR750,B704:B750,B732-24)+in_two_wheeler_renew^3*SUMIFS(AR704:AR750,B704:B750,B732-36)+in_two_wheeler_renew^4*SUMIFS(AR704:AR750,B704:B750,B732-48))</f>
        <v/>
      </c>
      <c r="AT732" s="40">
        <f>AT731*(1-IF(B731&gt;=in_marketplace_from,d_hz_device*G731,0))</f>
        <v/>
      </c>
      <c r="AU732" s="14">
        <f>F732*AT732*IF(B732&gt;=in_marketplace_from,d_hz_device*G732,0)*in_device_ticket*in_device_comm*in_ins_partner_share</f>
        <v/>
      </c>
      <c r="AV732" s="40">
        <f>AV731*(1-IF(B731&gt;=in_marketplace_from,d_hz_shop*G731,0))</f>
        <v/>
      </c>
      <c r="AW732" s="46">
        <f>AV732*IF(B732&gt;=in_marketplace_from,d_hz_shop*G732,0)</f>
        <v/>
      </c>
      <c r="AX732" s="14">
        <f>F732*AW732*in_shop_ticket*in_shop_comm*in_ins_partner_share+F732*in_shop_ticket*in_shop_renew_comm*in_ins_partner_share*(in_shop_renew^1*SUMIFS(AW704:AW750,B704:B750,B732-12)+in_shop_renew^2*SUMIFS(AW704:AW750,B704:B750,B732-24)+in_shop_renew^3*SUMIFS(AW704:AW750,B704:B750,B732-36)+in_shop_renew^4*SUMIFS(AW704:AW750,B704:B750,B732-48))</f>
        <v/>
      </c>
      <c r="AY732" s="40">
        <f>AY731*(1-IF(B731&gt;=in_marketplace_from,d_hz_sip*G731,0))</f>
        <v/>
      </c>
      <c r="AZ732" s="40">
        <f>AZ731*d_rho_sip+AY732*IF(B732&gt;=in_marketplace_from,d_hz_sip*G732,0)</f>
        <v/>
      </c>
      <c r="BA732" s="40">
        <f>d_rho_sip*(BA731+AZ731)</f>
        <v/>
      </c>
      <c r="BB732" s="14">
        <f>F732*in_sip_ticket*(BA732+0.5*AZ732)*in_sip_comm/12</f>
        <v/>
      </c>
      <c r="BC732" s="40">
        <f>BC731*(1-IF(B731&gt;=in_marketplace_from,d_hz_choti*G731,0))</f>
        <v/>
      </c>
      <c r="BD732" s="46">
        <f>BC732*IF(B732&gt;=in_marketplace_from,d_hz_choti*G732,0)</f>
        <v/>
      </c>
      <c r="BE732" s="14">
        <f>F732*SUMIFS(BD704:BD750,B704:B750,B732-in_choti_months)*in_choti_renew*in_choti_ticket</f>
        <v/>
      </c>
      <c r="BF732" s="40">
        <f>BF731*(1-IF(B731&gt;=in_marketplace_from,d_hz_nps*G731,0))</f>
        <v/>
      </c>
      <c r="BG732" s="14">
        <f>F732*BF732*IF(B732&gt;=in_marketplace_from,d_hz_nps*G732,0)*in_nps_ticket*in_nps_comm</f>
        <v/>
      </c>
      <c r="BH732" s="40">
        <f>BH731*(1-IF(B731&gt;=in_marketplace_from,d_hz_gold*G731,0))</f>
        <v/>
      </c>
      <c r="BI732" s="40">
        <f>BI731*d_rho_gold+BH732*IF(B732&gt;=in_marketplace_from,d_hz_gold*G732,0)</f>
        <v/>
      </c>
      <c r="BJ732" s="14">
        <f>F732*BI732*in_gold_ticket*in_gold_comm</f>
        <v/>
      </c>
      <c r="BK732" s="40">
        <f>BK731*(1-IF(B731&gt;=in_marketplace_from,d_hz_fd*G731,0))</f>
        <v/>
      </c>
      <c r="BL732" s="14">
        <f>F732*BK732*IF(B732&gt;=in_marketplace_from,d_hz_fd*G732,0)*in_fd_ticket*in_fd_comm</f>
        <v/>
      </c>
      <c r="BM732" s="40">
        <f>BM731*(1-IF(B731&gt;=in_marketplace_from,d_hz_recharge*G731,0))</f>
        <v/>
      </c>
      <c r="BN732" s="40">
        <f>BN731*d_rho_recharge+BM732*IF(B732&gt;=in_marketplace_from,d_hz_recharge*G732,0)</f>
        <v/>
      </c>
      <c r="BO732" s="14">
        <f>F732*BN732*in_recharge_ticket*in_recharge_comm/12</f>
        <v/>
      </c>
      <c r="BP732" s="40">
        <f>BP731*(1-IF(B731&gt;=in_marketplace_from,d_hz_bills*G731,0))</f>
        <v/>
      </c>
      <c r="BQ732" s="40">
        <f>BQ731*d_rho_bills+BP732*IF(B732&gt;=in_marketplace_from,d_hz_bills*G732,0)</f>
        <v/>
      </c>
      <c r="BR732" s="14">
        <f>F732*BQ732*in_bills_ticket*in_bills_comm/12</f>
        <v/>
      </c>
      <c r="BS732" s="40">
        <f>BS731*(1-IF(B731&gt;=in_marketplace_from,d_hz_loan_gold*G731,0))</f>
        <v/>
      </c>
      <c r="BT732" s="14">
        <f>F732*BS732*IF(B732&gt;=in_marketplace_from,d_hz_loan_gold*G732,0)*in_loan_gold_ticket*in_loan_gold_comm</f>
        <v/>
      </c>
      <c r="BU732" s="40">
        <f>BU731*(1-IF(B731&gt;=in_marketplace_from,d_hz_loan_cd*G731,0))</f>
        <v/>
      </c>
      <c r="BV732" s="14">
        <f>F732*BU732*IF(B732&gt;=in_marketplace_from,d_hz_loan_cd*G732,0)*in_loan_cd_ticket*in_loan_cd_comm</f>
        <v/>
      </c>
      <c r="BW732" s="40">
        <f>BW731*(1-IF(B731&gt;=in_marketplace_from,d_hz_loan_vehicle*G731,0))</f>
        <v/>
      </c>
      <c r="BX732" s="14">
        <f>F732*BW732*IF(B732&gt;=in_marketplace_from,d_hz_loan_vehicle*G732,0)*in_loan_vehicle_ticket*in_loan_vehicle_comm</f>
        <v/>
      </c>
      <c r="BY732" s="40">
        <f>BY731*(1-IF(B731&gt;=in_marketplace_from,d_hz_loan_home*G731,0)*BZ731)</f>
        <v/>
      </c>
      <c r="BZ732" s="11">
        <f>MIN(in_approval_cap,in_loan_home_approval*INDEX('Age profile'!$O$2:$O$61,B732)*(1+in_approval_growth)^(D732-1))</f>
        <v/>
      </c>
      <c r="CA732" s="14">
        <f>F732*BY732*IF(B732&gt;=in_marketplace_from,d_hz_loan_home*G732,0)*BZ732*in_loan_home_ticket*in_loan_home_comm</f>
        <v/>
      </c>
      <c r="CB732" s="40">
        <f>CB731*(1-IF(B731&gt;=in_marketplace_from,d_hz_loan_lap*G731,0)*CC731)</f>
        <v/>
      </c>
      <c r="CC732" s="11">
        <f>MIN(in_approval_cap,in_loan_lap_approval*INDEX('Age profile'!$O$2:$O$61,B732)*(1+in_approval_growth)^(D732-1))</f>
        <v/>
      </c>
      <c r="CD732" s="14">
        <f>F732*CB732*IF(B732&gt;=in_marketplace_from,d_hz_loan_lap*G732,0)*CC732*in_loan_lap_ticket*in_loan_lap_comm</f>
        <v/>
      </c>
      <c r="CE732" s="14">
        <f>AA732+AB732+AC732+AD732+AG732+AJ732+AM732+AP732+AS732+AU732+AX732+BB732+BE732+BG732+BJ732+BL732+BO732+BR732+BT732+BV732+BX732+CA732+CD732</f>
        <v/>
      </c>
    </row>
    <row r="733">
      <c r="A733" s="39" t="n">
        <v>14</v>
      </c>
      <c r="B733" s="39" t="n">
        <v>30</v>
      </c>
      <c r="C733" s="39">
        <f>A733+B733-1</f>
        <v/>
      </c>
      <c r="D733" s="39">
        <f>INT((C733-1)/12)+1</f>
        <v/>
      </c>
      <c r="E733" s="44">
        <f>INDEX(Monthly!$B$2:$B$61,A733)</f>
        <v/>
      </c>
      <c r="F733" s="44">
        <f>E733*INDEX('Age profile'!$B$2:$B$61,B733)</f>
        <v/>
      </c>
      <c r="G733" s="45">
        <f>MIN(in_takeup_cap,INDEX('Age profile'!$N$2:$N$61,B733)*(1+in_takeup_growth)^(D733-1))</f>
        <v/>
      </c>
      <c r="H733" s="11">
        <f>MIN(in_approval_cap,in_approved_first*INDEX('Age profile'!$O$2:$O$61,B733)*(1+in_approval_growth)^(D733-1))</f>
        <v/>
      </c>
      <c r="I733" s="45">
        <f>G733*MIN(in_takeup_cap,INDEX('Age profile'!$O$2:$O$61,B733)*(1+in_approval_growth)^(D733-1))</f>
        <v/>
      </c>
      <c r="J733" s="40">
        <f>(J732-L732)*F733/F732</f>
        <v/>
      </c>
      <c r="K733" s="40">
        <f>(K732-M732)*F733/F732+SUMIFS(O704:O732,B704:B732,B733-1-d_T)*F733</f>
        <v/>
      </c>
      <c r="L733" s="40">
        <f>IF(B733&gt;=in_marketplace_from,J733*d_hz*G733*in_eligible*H733,0)</f>
        <v/>
      </c>
      <c r="M733" s="40">
        <f>IF(B733&gt;=in_marketplace_from,K733*d_hz*G733*in_eligible*in_approved_repeat,0)</f>
        <v/>
      </c>
      <c r="N733" s="40">
        <f>L733+M733</f>
        <v/>
      </c>
      <c r="O733" s="46">
        <f>N733/F733</f>
        <v/>
      </c>
      <c r="P733" s="40">
        <f>F733-J733-K733</f>
        <v/>
      </c>
      <c r="Q733" s="40">
        <f>IF(B733&gt;=in_marketplace_from,(J733+K733)*d_hz*G733,0)</f>
        <v/>
      </c>
      <c r="R733" s="40">
        <f>SUMIFS(N704:N750,B704:B750,"&gt;="&amp;(B733-d_T),B704:B750,"&lt;="&amp;(B733-1))</f>
        <v/>
      </c>
      <c r="S733" s="46">
        <f>(1-d_u)*S732+IF(d_T&gt;in_topup_lag,SUMIFS(O704:O750,B704:B750,B733-in_topup_lag)-d_udrop*SUMIFS(O704:O750,B704:B750,B733-d_T),0)</f>
        <v/>
      </c>
      <c r="T733" s="40">
        <f>F733*d_u*S733</f>
        <v/>
      </c>
      <c r="U733" s="9">
        <f>L733*in_ticket+M733*d_rep_ticket</f>
        <v/>
      </c>
      <c r="V733" s="9">
        <f>U733+T733*d_topup_amt</f>
        <v/>
      </c>
      <c r="W733" s="40">
        <f>N733+T733*d_topup_ratio</f>
        <v/>
      </c>
      <c r="X733" s="40">
        <f>SUMIFS(W704:W750,B704:B750,B733-in_dpd_lag)*d_cured</f>
        <v/>
      </c>
      <c r="Y733" s="40">
        <f>SUMIFS(W704:W750,B704:B750,B733-in_rec_lag)*d_recd</f>
        <v/>
      </c>
      <c r="Z733" s="40">
        <f>IF(AND(B733&gt;=in_marketplace_from,B733&lt;in_marketplace_from+in_card_months),in_card_share/in_card_months*F733*I733,IF(AND(B733&gt;=in_marketplace_from+in_card_months,B733&lt;in_marketplace_from+2*in_card_months),in_card_share*d_card_rem/in_card_months*F733*MIN(in_takeup_cap,(1+in_takeup_growth)^(D733-1))*MIN(in_takeup_cap,(1+in_approval_growth)^(D733-1)),0))</f>
        <v/>
      </c>
      <c r="AA733" s="14">
        <f>V733*in_fee*(1-in_taken_back)</f>
        <v/>
      </c>
      <c r="AB733" s="14">
        <f>SUMIFS(W704:W750,B704:B750,B733-in_dpd_lag)*d_dpd</f>
        <v/>
      </c>
      <c r="AC733" s="14">
        <f>SUMIFS(W704:W750,B704:B750,B733-in_rec_lag)*d_rec</f>
        <v/>
      </c>
      <c r="AD733" s="14">
        <f>Z733*in_card_fee</f>
        <v/>
      </c>
      <c r="AE733" s="40">
        <f>AE732*(1-IF(B732&gt;=in_marketplace_from,d_hz_hlth_small*G732,0))</f>
        <v/>
      </c>
      <c r="AF733" s="46">
        <f>AE733*IF(B733&gt;=in_marketplace_from,d_hz_hlth_small*G733,0)</f>
        <v/>
      </c>
      <c r="AG733" s="14">
        <f>F733*AF733*in_hlth_small_ticket*in_hlth_small_comm*in_ins_partner_share+F733*in_hlth_small_ticket*in_hlth_small_renew_comm*in_ins_partner_share*(in_hlth_small_renew^1*SUMIFS(AF704:AF750,B704:B750,B733-12)+in_hlth_small_renew^2*SUMIFS(AF704:AF750,B704:B750,B733-24)+in_hlth_small_renew^3*SUMIFS(AF704:AF750,B704:B750,B733-36)+in_hlth_small_renew^4*SUMIFS(AF704:AF750,B704:B750,B733-48))</f>
        <v/>
      </c>
      <c r="AH733" s="40">
        <f>AH732*(1-IF(B732&gt;=in_marketplace_from,d_hz_hlth_family*G732,0))</f>
        <v/>
      </c>
      <c r="AI733" s="46">
        <f>AH733*IF(B733&gt;=in_marketplace_from,d_hz_hlth_family*G733,0)</f>
        <v/>
      </c>
      <c r="AJ733" s="14">
        <f>F733*AI733*in_hlth_family_ticket*in_hlth_family_comm*in_ins_partner_share+F733*in_hlth_family_ticket*in_hlth_family_renew_comm*in_ins_partner_share*(in_hlth_family_renew^1*SUMIFS(AI704:AI750,B704:B750,B733-12)+in_hlth_family_renew^2*SUMIFS(AI704:AI750,B704:B750,B733-24)+in_hlth_family_renew^3*SUMIFS(AI704:AI750,B704:B750,B733-36)+in_hlth_family_renew^4*SUMIFS(AI704:AI750,B704:B750,B733-48))</f>
        <v/>
      </c>
      <c r="AK733" s="40">
        <f>AK732*(1-IF(B732&gt;=in_marketplace_from,d_hz_life_term*G732,0))</f>
        <v/>
      </c>
      <c r="AL733" s="46">
        <f>AK733*IF(B733&gt;=in_marketplace_from,d_hz_life_term*G733,0)</f>
        <v/>
      </c>
      <c r="AM733" s="14">
        <f>F733*AL733*in_life_term_ticket*in_life_term_comm*in_ins_partner_share+F733*in_life_term_ticket*in_life_term_renew_comm*in_ins_partner_share*(in_life_term_renew^1*SUMIFS(AL704:AL750,B704:B750,B733-12)+in_life_term_renew^2*SUMIFS(AL704:AL750,B704:B750,B733-24)+in_life_term_renew^3*SUMIFS(AL704:AL750,B704:B750,B733-36)+in_life_term_renew^4*SUMIFS(AL704:AL750,B704:B750,B733-48))</f>
        <v/>
      </c>
      <c r="AN733" s="40">
        <f>AN732*(1-IF(B732&gt;=in_marketplace_from,d_hz_accident*G732,0))</f>
        <v/>
      </c>
      <c r="AO733" s="46">
        <f>AN733*IF(B733&gt;=in_marketplace_from,d_hz_accident*G733,0)</f>
        <v/>
      </c>
      <c r="AP733" s="14">
        <f>F733*AO733*in_accident_ticket*in_accident_comm*in_ins_partner_share+F733*in_accident_ticket*in_accident_renew_comm*in_ins_partner_share*(in_accident_renew^1*SUMIFS(AO704:AO750,B704:B750,B733-12)+in_accident_renew^2*SUMIFS(AO704:AO750,B704:B750,B733-24)+in_accident_renew^3*SUMIFS(AO704:AO750,B704:B750,B733-36)+in_accident_renew^4*SUMIFS(AO704:AO750,B704:B750,B733-48))</f>
        <v/>
      </c>
      <c r="AQ733" s="40">
        <f>AQ732*(1-IF(B732&gt;=in_marketplace_from,d_hz_two_wheeler*G732,0))</f>
        <v/>
      </c>
      <c r="AR733" s="46">
        <f>AQ733*IF(B733&gt;=in_marketplace_from,d_hz_two_wheeler*G733,0)</f>
        <v/>
      </c>
      <c r="AS733" s="14">
        <f>F733*AR733*in_two_wheeler_ticket*in_two_wheeler_comm*in_ins_partner_share+F733*in_two_wheeler_ticket*in_two_wheeler_comm*in_ins_partner_share*(in_two_wheeler_renew^1*SUMIFS(AR704:AR750,B704:B750,B733-12)+in_two_wheeler_renew^2*SUMIFS(AR704:AR750,B704:B750,B733-24)+in_two_wheeler_renew^3*SUMIFS(AR704:AR750,B704:B750,B733-36)+in_two_wheeler_renew^4*SUMIFS(AR704:AR750,B704:B750,B733-48))</f>
        <v/>
      </c>
      <c r="AT733" s="40">
        <f>AT732*(1-IF(B732&gt;=in_marketplace_from,d_hz_device*G732,0))</f>
        <v/>
      </c>
      <c r="AU733" s="14">
        <f>F733*AT733*IF(B733&gt;=in_marketplace_from,d_hz_device*G733,0)*in_device_ticket*in_device_comm*in_ins_partner_share</f>
        <v/>
      </c>
      <c r="AV733" s="40">
        <f>AV732*(1-IF(B732&gt;=in_marketplace_from,d_hz_shop*G732,0))</f>
        <v/>
      </c>
      <c r="AW733" s="46">
        <f>AV733*IF(B733&gt;=in_marketplace_from,d_hz_shop*G733,0)</f>
        <v/>
      </c>
      <c r="AX733" s="14">
        <f>F733*AW733*in_shop_ticket*in_shop_comm*in_ins_partner_share+F733*in_shop_ticket*in_shop_renew_comm*in_ins_partner_share*(in_shop_renew^1*SUMIFS(AW704:AW750,B704:B750,B733-12)+in_shop_renew^2*SUMIFS(AW704:AW750,B704:B750,B733-24)+in_shop_renew^3*SUMIFS(AW704:AW750,B704:B750,B733-36)+in_shop_renew^4*SUMIFS(AW704:AW750,B704:B750,B733-48))</f>
        <v/>
      </c>
      <c r="AY733" s="40">
        <f>AY732*(1-IF(B732&gt;=in_marketplace_from,d_hz_sip*G732,0))</f>
        <v/>
      </c>
      <c r="AZ733" s="40">
        <f>AZ732*d_rho_sip+AY733*IF(B733&gt;=in_marketplace_from,d_hz_sip*G733,0)</f>
        <v/>
      </c>
      <c r="BA733" s="40">
        <f>d_rho_sip*(BA732+AZ732)</f>
        <v/>
      </c>
      <c r="BB733" s="14">
        <f>F733*in_sip_ticket*(BA733+0.5*AZ733)*in_sip_comm/12</f>
        <v/>
      </c>
      <c r="BC733" s="40">
        <f>BC732*(1-IF(B732&gt;=in_marketplace_from,d_hz_choti*G732,0))</f>
        <v/>
      </c>
      <c r="BD733" s="46">
        <f>BC733*IF(B733&gt;=in_marketplace_from,d_hz_choti*G733,0)</f>
        <v/>
      </c>
      <c r="BE733" s="14">
        <f>F733*SUMIFS(BD704:BD750,B704:B750,B733-in_choti_months)*in_choti_renew*in_choti_ticket</f>
        <v/>
      </c>
      <c r="BF733" s="40">
        <f>BF732*(1-IF(B732&gt;=in_marketplace_from,d_hz_nps*G732,0))</f>
        <v/>
      </c>
      <c r="BG733" s="14">
        <f>F733*BF733*IF(B733&gt;=in_marketplace_from,d_hz_nps*G733,0)*in_nps_ticket*in_nps_comm</f>
        <v/>
      </c>
      <c r="BH733" s="40">
        <f>BH732*(1-IF(B732&gt;=in_marketplace_from,d_hz_gold*G732,0))</f>
        <v/>
      </c>
      <c r="BI733" s="40">
        <f>BI732*d_rho_gold+BH733*IF(B733&gt;=in_marketplace_from,d_hz_gold*G733,0)</f>
        <v/>
      </c>
      <c r="BJ733" s="14">
        <f>F733*BI733*in_gold_ticket*in_gold_comm</f>
        <v/>
      </c>
      <c r="BK733" s="40">
        <f>BK732*(1-IF(B732&gt;=in_marketplace_from,d_hz_fd*G732,0))</f>
        <v/>
      </c>
      <c r="BL733" s="14">
        <f>F733*BK733*IF(B733&gt;=in_marketplace_from,d_hz_fd*G733,0)*in_fd_ticket*in_fd_comm</f>
        <v/>
      </c>
      <c r="BM733" s="40">
        <f>BM732*(1-IF(B732&gt;=in_marketplace_from,d_hz_recharge*G732,0))</f>
        <v/>
      </c>
      <c r="BN733" s="40">
        <f>BN732*d_rho_recharge+BM733*IF(B733&gt;=in_marketplace_from,d_hz_recharge*G733,0)</f>
        <v/>
      </c>
      <c r="BO733" s="14">
        <f>F733*BN733*in_recharge_ticket*in_recharge_comm/12</f>
        <v/>
      </c>
      <c r="BP733" s="40">
        <f>BP732*(1-IF(B732&gt;=in_marketplace_from,d_hz_bills*G732,0))</f>
        <v/>
      </c>
      <c r="BQ733" s="40">
        <f>BQ732*d_rho_bills+BP733*IF(B733&gt;=in_marketplace_from,d_hz_bills*G733,0)</f>
        <v/>
      </c>
      <c r="BR733" s="14">
        <f>F733*BQ733*in_bills_ticket*in_bills_comm/12</f>
        <v/>
      </c>
      <c r="BS733" s="40">
        <f>BS732*(1-IF(B732&gt;=in_marketplace_from,d_hz_loan_gold*G732,0))</f>
        <v/>
      </c>
      <c r="BT733" s="14">
        <f>F733*BS733*IF(B733&gt;=in_marketplace_from,d_hz_loan_gold*G733,0)*in_loan_gold_ticket*in_loan_gold_comm</f>
        <v/>
      </c>
      <c r="BU733" s="40">
        <f>BU732*(1-IF(B732&gt;=in_marketplace_from,d_hz_loan_cd*G732,0))</f>
        <v/>
      </c>
      <c r="BV733" s="14">
        <f>F733*BU733*IF(B733&gt;=in_marketplace_from,d_hz_loan_cd*G733,0)*in_loan_cd_ticket*in_loan_cd_comm</f>
        <v/>
      </c>
      <c r="BW733" s="40">
        <f>BW732*(1-IF(B732&gt;=in_marketplace_from,d_hz_loan_vehicle*G732,0))</f>
        <v/>
      </c>
      <c r="BX733" s="14">
        <f>F733*BW733*IF(B733&gt;=in_marketplace_from,d_hz_loan_vehicle*G733,0)*in_loan_vehicle_ticket*in_loan_vehicle_comm</f>
        <v/>
      </c>
      <c r="BY733" s="40">
        <f>BY732*(1-IF(B732&gt;=in_marketplace_from,d_hz_loan_home*G732,0)*BZ732)</f>
        <v/>
      </c>
      <c r="BZ733" s="11">
        <f>MIN(in_approval_cap,in_loan_home_approval*INDEX('Age profile'!$O$2:$O$61,B733)*(1+in_approval_growth)^(D733-1))</f>
        <v/>
      </c>
      <c r="CA733" s="14">
        <f>F733*BY733*IF(B733&gt;=in_marketplace_from,d_hz_loan_home*G733,0)*BZ733*in_loan_home_ticket*in_loan_home_comm</f>
        <v/>
      </c>
      <c r="CB733" s="40">
        <f>CB732*(1-IF(B732&gt;=in_marketplace_from,d_hz_loan_lap*G732,0)*CC732)</f>
        <v/>
      </c>
      <c r="CC733" s="11">
        <f>MIN(in_approval_cap,in_loan_lap_approval*INDEX('Age profile'!$O$2:$O$61,B733)*(1+in_approval_growth)^(D733-1))</f>
        <v/>
      </c>
      <c r="CD733" s="14">
        <f>F733*CB733*IF(B733&gt;=in_marketplace_from,d_hz_loan_lap*G733,0)*CC733*in_loan_lap_ticket*in_loan_lap_comm</f>
        <v/>
      </c>
      <c r="CE733" s="14">
        <f>AA733+AB733+AC733+AD733+AG733+AJ733+AM733+AP733+AS733+AU733+AX733+BB733+BE733+BG733+BJ733+BL733+BO733+BR733+BT733+BV733+BX733+CA733+CD733</f>
        <v/>
      </c>
    </row>
    <row r="734">
      <c r="A734" s="39" t="n">
        <v>14</v>
      </c>
      <c r="B734" s="39" t="n">
        <v>31</v>
      </c>
      <c r="C734" s="39">
        <f>A734+B734-1</f>
        <v/>
      </c>
      <c r="D734" s="39">
        <f>INT((C734-1)/12)+1</f>
        <v/>
      </c>
      <c r="E734" s="44">
        <f>INDEX(Monthly!$B$2:$B$61,A734)</f>
        <v/>
      </c>
      <c r="F734" s="44">
        <f>E734*INDEX('Age profile'!$B$2:$B$61,B734)</f>
        <v/>
      </c>
      <c r="G734" s="45">
        <f>MIN(in_takeup_cap,INDEX('Age profile'!$N$2:$N$61,B734)*(1+in_takeup_growth)^(D734-1))</f>
        <v/>
      </c>
      <c r="H734" s="11">
        <f>MIN(in_approval_cap,in_approved_first*INDEX('Age profile'!$O$2:$O$61,B734)*(1+in_approval_growth)^(D734-1))</f>
        <v/>
      </c>
      <c r="I734" s="45">
        <f>G734*MIN(in_takeup_cap,INDEX('Age profile'!$O$2:$O$61,B734)*(1+in_approval_growth)^(D734-1))</f>
        <v/>
      </c>
      <c r="J734" s="40">
        <f>(J733-L733)*F734/F733</f>
        <v/>
      </c>
      <c r="K734" s="40">
        <f>(K733-M733)*F734/F733+SUMIFS(O704:O733,B704:B733,B734-1-d_T)*F734</f>
        <v/>
      </c>
      <c r="L734" s="40">
        <f>IF(B734&gt;=in_marketplace_from,J734*d_hz*G734*in_eligible*H734,0)</f>
        <v/>
      </c>
      <c r="M734" s="40">
        <f>IF(B734&gt;=in_marketplace_from,K734*d_hz*G734*in_eligible*in_approved_repeat,0)</f>
        <v/>
      </c>
      <c r="N734" s="40">
        <f>L734+M734</f>
        <v/>
      </c>
      <c r="O734" s="46">
        <f>N734/F734</f>
        <v/>
      </c>
      <c r="P734" s="40">
        <f>F734-J734-K734</f>
        <v/>
      </c>
      <c r="Q734" s="40">
        <f>IF(B734&gt;=in_marketplace_from,(J734+K734)*d_hz*G734,0)</f>
        <v/>
      </c>
      <c r="R734" s="40">
        <f>SUMIFS(N704:N750,B704:B750,"&gt;="&amp;(B734-d_T),B704:B750,"&lt;="&amp;(B734-1))</f>
        <v/>
      </c>
      <c r="S734" s="46">
        <f>(1-d_u)*S733+IF(d_T&gt;in_topup_lag,SUMIFS(O704:O750,B704:B750,B734-in_topup_lag)-d_udrop*SUMIFS(O704:O750,B704:B750,B734-d_T),0)</f>
        <v/>
      </c>
      <c r="T734" s="40">
        <f>F734*d_u*S734</f>
        <v/>
      </c>
      <c r="U734" s="9">
        <f>L734*in_ticket+M734*d_rep_ticket</f>
        <v/>
      </c>
      <c r="V734" s="9">
        <f>U734+T734*d_topup_amt</f>
        <v/>
      </c>
      <c r="W734" s="40">
        <f>N734+T734*d_topup_ratio</f>
        <v/>
      </c>
      <c r="X734" s="40">
        <f>SUMIFS(W704:W750,B704:B750,B734-in_dpd_lag)*d_cured</f>
        <v/>
      </c>
      <c r="Y734" s="40">
        <f>SUMIFS(W704:W750,B704:B750,B734-in_rec_lag)*d_recd</f>
        <v/>
      </c>
      <c r="Z734" s="40">
        <f>IF(AND(B734&gt;=in_marketplace_from,B734&lt;in_marketplace_from+in_card_months),in_card_share/in_card_months*F734*I734,IF(AND(B734&gt;=in_marketplace_from+in_card_months,B734&lt;in_marketplace_from+2*in_card_months),in_card_share*d_card_rem/in_card_months*F734*MIN(in_takeup_cap,(1+in_takeup_growth)^(D734-1))*MIN(in_takeup_cap,(1+in_approval_growth)^(D734-1)),0))</f>
        <v/>
      </c>
      <c r="AA734" s="14">
        <f>V734*in_fee*(1-in_taken_back)</f>
        <v/>
      </c>
      <c r="AB734" s="14">
        <f>SUMIFS(W704:W750,B704:B750,B734-in_dpd_lag)*d_dpd</f>
        <v/>
      </c>
      <c r="AC734" s="14">
        <f>SUMIFS(W704:W750,B704:B750,B734-in_rec_lag)*d_rec</f>
        <v/>
      </c>
      <c r="AD734" s="14">
        <f>Z734*in_card_fee</f>
        <v/>
      </c>
      <c r="AE734" s="40">
        <f>AE733*(1-IF(B733&gt;=in_marketplace_from,d_hz_hlth_small*G733,0))</f>
        <v/>
      </c>
      <c r="AF734" s="46">
        <f>AE734*IF(B734&gt;=in_marketplace_from,d_hz_hlth_small*G734,0)</f>
        <v/>
      </c>
      <c r="AG734" s="14">
        <f>F734*AF734*in_hlth_small_ticket*in_hlth_small_comm*in_ins_partner_share+F734*in_hlth_small_ticket*in_hlth_small_renew_comm*in_ins_partner_share*(in_hlth_small_renew^1*SUMIFS(AF704:AF750,B704:B750,B734-12)+in_hlth_small_renew^2*SUMIFS(AF704:AF750,B704:B750,B734-24)+in_hlth_small_renew^3*SUMIFS(AF704:AF750,B704:B750,B734-36)+in_hlth_small_renew^4*SUMIFS(AF704:AF750,B704:B750,B734-48))</f>
        <v/>
      </c>
      <c r="AH734" s="40">
        <f>AH733*(1-IF(B733&gt;=in_marketplace_from,d_hz_hlth_family*G733,0))</f>
        <v/>
      </c>
      <c r="AI734" s="46">
        <f>AH734*IF(B734&gt;=in_marketplace_from,d_hz_hlth_family*G734,0)</f>
        <v/>
      </c>
      <c r="AJ734" s="14">
        <f>F734*AI734*in_hlth_family_ticket*in_hlth_family_comm*in_ins_partner_share+F734*in_hlth_family_ticket*in_hlth_family_renew_comm*in_ins_partner_share*(in_hlth_family_renew^1*SUMIFS(AI704:AI750,B704:B750,B734-12)+in_hlth_family_renew^2*SUMIFS(AI704:AI750,B704:B750,B734-24)+in_hlth_family_renew^3*SUMIFS(AI704:AI750,B704:B750,B734-36)+in_hlth_family_renew^4*SUMIFS(AI704:AI750,B704:B750,B734-48))</f>
        <v/>
      </c>
      <c r="AK734" s="40">
        <f>AK733*(1-IF(B733&gt;=in_marketplace_from,d_hz_life_term*G733,0))</f>
        <v/>
      </c>
      <c r="AL734" s="46">
        <f>AK734*IF(B734&gt;=in_marketplace_from,d_hz_life_term*G734,0)</f>
        <v/>
      </c>
      <c r="AM734" s="14">
        <f>F734*AL734*in_life_term_ticket*in_life_term_comm*in_ins_partner_share+F734*in_life_term_ticket*in_life_term_renew_comm*in_ins_partner_share*(in_life_term_renew^1*SUMIFS(AL704:AL750,B704:B750,B734-12)+in_life_term_renew^2*SUMIFS(AL704:AL750,B704:B750,B734-24)+in_life_term_renew^3*SUMIFS(AL704:AL750,B704:B750,B734-36)+in_life_term_renew^4*SUMIFS(AL704:AL750,B704:B750,B734-48))</f>
        <v/>
      </c>
      <c r="AN734" s="40">
        <f>AN733*(1-IF(B733&gt;=in_marketplace_from,d_hz_accident*G733,0))</f>
        <v/>
      </c>
      <c r="AO734" s="46">
        <f>AN734*IF(B734&gt;=in_marketplace_from,d_hz_accident*G734,0)</f>
        <v/>
      </c>
      <c r="AP734" s="14">
        <f>F734*AO734*in_accident_ticket*in_accident_comm*in_ins_partner_share+F734*in_accident_ticket*in_accident_renew_comm*in_ins_partner_share*(in_accident_renew^1*SUMIFS(AO704:AO750,B704:B750,B734-12)+in_accident_renew^2*SUMIFS(AO704:AO750,B704:B750,B734-24)+in_accident_renew^3*SUMIFS(AO704:AO750,B704:B750,B734-36)+in_accident_renew^4*SUMIFS(AO704:AO750,B704:B750,B734-48))</f>
        <v/>
      </c>
      <c r="AQ734" s="40">
        <f>AQ733*(1-IF(B733&gt;=in_marketplace_from,d_hz_two_wheeler*G733,0))</f>
        <v/>
      </c>
      <c r="AR734" s="46">
        <f>AQ734*IF(B734&gt;=in_marketplace_from,d_hz_two_wheeler*G734,0)</f>
        <v/>
      </c>
      <c r="AS734" s="14">
        <f>F734*AR734*in_two_wheeler_ticket*in_two_wheeler_comm*in_ins_partner_share+F734*in_two_wheeler_ticket*in_two_wheeler_comm*in_ins_partner_share*(in_two_wheeler_renew^1*SUMIFS(AR704:AR750,B704:B750,B734-12)+in_two_wheeler_renew^2*SUMIFS(AR704:AR750,B704:B750,B734-24)+in_two_wheeler_renew^3*SUMIFS(AR704:AR750,B704:B750,B734-36)+in_two_wheeler_renew^4*SUMIFS(AR704:AR750,B704:B750,B734-48))</f>
        <v/>
      </c>
      <c r="AT734" s="40">
        <f>AT733*(1-IF(B733&gt;=in_marketplace_from,d_hz_device*G733,0))</f>
        <v/>
      </c>
      <c r="AU734" s="14">
        <f>F734*AT734*IF(B734&gt;=in_marketplace_from,d_hz_device*G734,0)*in_device_ticket*in_device_comm*in_ins_partner_share</f>
        <v/>
      </c>
      <c r="AV734" s="40">
        <f>AV733*(1-IF(B733&gt;=in_marketplace_from,d_hz_shop*G733,0))</f>
        <v/>
      </c>
      <c r="AW734" s="46">
        <f>AV734*IF(B734&gt;=in_marketplace_from,d_hz_shop*G734,0)</f>
        <v/>
      </c>
      <c r="AX734" s="14">
        <f>F734*AW734*in_shop_ticket*in_shop_comm*in_ins_partner_share+F734*in_shop_ticket*in_shop_renew_comm*in_ins_partner_share*(in_shop_renew^1*SUMIFS(AW704:AW750,B704:B750,B734-12)+in_shop_renew^2*SUMIFS(AW704:AW750,B704:B750,B734-24)+in_shop_renew^3*SUMIFS(AW704:AW750,B704:B750,B734-36)+in_shop_renew^4*SUMIFS(AW704:AW750,B704:B750,B734-48))</f>
        <v/>
      </c>
      <c r="AY734" s="40">
        <f>AY733*(1-IF(B733&gt;=in_marketplace_from,d_hz_sip*G733,0))</f>
        <v/>
      </c>
      <c r="AZ734" s="40">
        <f>AZ733*d_rho_sip+AY734*IF(B734&gt;=in_marketplace_from,d_hz_sip*G734,0)</f>
        <v/>
      </c>
      <c r="BA734" s="40">
        <f>d_rho_sip*(BA733+AZ733)</f>
        <v/>
      </c>
      <c r="BB734" s="14">
        <f>F734*in_sip_ticket*(BA734+0.5*AZ734)*in_sip_comm/12</f>
        <v/>
      </c>
      <c r="BC734" s="40">
        <f>BC733*(1-IF(B733&gt;=in_marketplace_from,d_hz_choti*G733,0))</f>
        <v/>
      </c>
      <c r="BD734" s="46">
        <f>BC734*IF(B734&gt;=in_marketplace_from,d_hz_choti*G734,0)</f>
        <v/>
      </c>
      <c r="BE734" s="14">
        <f>F734*SUMIFS(BD704:BD750,B704:B750,B734-in_choti_months)*in_choti_renew*in_choti_ticket</f>
        <v/>
      </c>
      <c r="BF734" s="40">
        <f>BF733*(1-IF(B733&gt;=in_marketplace_from,d_hz_nps*G733,0))</f>
        <v/>
      </c>
      <c r="BG734" s="14">
        <f>F734*BF734*IF(B734&gt;=in_marketplace_from,d_hz_nps*G734,0)*in_nps_ticket*in_nps_comm</f>
        <v/>
      </c>
      <c r="BH734" s="40">
        <f>BH733*(1-IF(B733&gt;=in_marketplace_from,d_hz_gold*G733,0))</f>
        <v/>
      </c>
      <c r="BI734" s="40">
        <f>BI733*d_rho_gold+BH734*IF(B734&gt;=in_marketplace_from,d_hz_gold*G734,0)</f>
        <v/>
      </c>
      <c r="BJ734" s="14">
        <f>F734*BI734*in_gold_ticket*in_gold_comm</f>
        <v/>
      </c>
      <c r="BK734" s="40">
        <f>BK733*(1-IF(B733&gt;=in_marketplace_from,d_hz_fd*G733,0))</f>
        <v/>
      </c>
      <c r="BL734" s="14">
        <f>F734*BK734*IF(B734&gt;=in_marketplace_from,d_hz_fd*G734,0)*in_fd_ticket*in_fd_comm</f>
        <v/>
      </c>
      <c r="BM734" s="40">
        <f>BM733*(1-IF(B733&gt;=in_marketplace_from,d_hz_recharge*G733,0))</f>
        <v/>
      </c>
      <c r="BN734" s="40">
        <f>BN733*d_rho_recharge+BM734*IF(B734&gt;=in_marketplace_from,d_hz_recharge*G734,0)</f>
        <v/>
      </c>
      <c r="BO734" s="14">
        <f>F734*BN734*in_recharge_ticket*in_recharge_comm/12</f>
        <v/>
      </c>
      <c r="BP734" s="40">
        <f>BP733*(1-IF(B733&gt;=in_marketplace_from,d_hz_bills*G733,0))</f>
        <v/>
      </c>
      <c r="BQ734" s="40">
        <f>BQ733*d_rho_bills+BP734*IF(B734&gt;=in_marketplace_from,d_hz_bills*G734,0)</f>
        <v/>
      </c>
      <c r="BR734" s="14">
        <f>F734*BQ734*in_bills_ticket*in_bills_comm/12</f>
        <v/>
      </c>
      <c r="BS734" s="40">
        <f>BS733*(1-IF(B733&gt;=in_marketplace_from,d_hz_loan_gold*G733,0))</f>
        <v/>
      </c>
      <c r="BT734" s="14">
        <f>F734*BS734*IF(B734&gt;=in_marketplace_from,d_hz_loan_gold*G734,0)*in_loan_gold_ticket*in_loan_gold_comm</f>
        <v/>
      </c>
      <c r="BU734" s="40">
        <f>BU733*(1-IF(B733&gt;=in_marketplace_from,d_hz_loan_cd*G733,0))</f>
        <v/>
      </c>
      <c r="BV734" s="14">
        <f>F734*BU734*IF(B734&gt;=in_marketplace_from,d_hz_loan_cd*G734,0)*in_loan_cd_ticket*in_loan_cd_comm</f>
        <v/>
      </c>
      <c r="BW734" s="40">
        <f>BW733*(1-IF(B733&gt;=in_marketplace_from,d_hz_loan_vehicle*G733,0))</f>
        <v/>
      </c>
      <c r="BX734" s="14">
        <f>F734*BW734*IF(B734&gt;=in_marketplace_from,d_hz_loan_vehicle*G734,0)*in_loan_vehicle_ticket*in_loan_vehicle_comm</f>
        <v/>
      </c>
      <c r="BY734" s="40">
        <f>BY733*(1-IF(B733&gt;=in_marketplace_from,d_hz_loan_home*G733,0)*BZ733)</f>
        <v/>
      </c>
      <c r="BZ734" s="11">
        <f>MIN(in_approval_cap,in_loan_home_approval*INDEX('Age profile'!$O$2:$O$61,B734)*(1+in_approval_growth)^(D734-1))</f>
        <v/>
      </c>
      <c r="CA734" s="14">
        <f>F734*BY734*IF(B734&gt;=in_marketplace_from,d_hz_loan_home*G734,0)*BZ734*in_loan_home_ticket*in_loan_home_comm</f>
        <v/>
      </c>
      <c r="CB734" s="40">
        <f>CB733*(1-IF(B733&gt;=in_marketplace_from,d_hz_loan_lap*G733,0)*CC733)</f>
        <v/>
      </c>
      <c r="CC734" s="11">
        <f>MIN(in_approval_cap,in_loan_lap_approval*INDEX('Age profile'!$O$2:$O$61,B734)*(1+in_approval_growth)^(D734-1))</f>
        <v/>
      </c>
      <c r="CD734" s="14">
        <f>F734*CB734*IF(B734&gt;=in_marketplace_from,d_hz_loan_lap*G734,0)*CC734*in_loan_lap_ticket*in_loan_lap_comm</f>
        <v/>
      </c>
      <c r="CE734" s="14">
        <f>AA734+AB734+AC734+AD734+AG734+AJ734+AM734+AP734+AS734+AU734+AX734+BB734+BE734+BG734+BJ734+BL734+BO734+BR734+BT734+BV734+BX734+CA734+CD734</f>
        <v/>
      </c>
    </row>
    <row r="735">
      <c r="A735" s="39" t="n">
        <v>14</v>
      </c>
      <c r="B735" s="39" t="n">
        <v>32</v>
      </c>
      <c r="C735" s="39">
        <f>A735+B735-1</f>
        <v/>
      </c>
      <c r="D735" s="39">
        <f>INT((C735-1)/12)+1</f>
        <v/>
      </c>
      <c r="E735" s="44">
        <f>INDEX(Monthly!$B$2:$B$61,A735)</f>
        <v/>
      </c>
      <c r="F735" s="44">
        <f>E735*INDEX('Age profile'!$B$2:$B$61,B735)</f>
        <v/>
      </c>
      <c r="G735" s="45">
        <f>MIN(in_takeup_cap,INDEX('Age profile'!$N$2:$N$61,B735)*(1+in_takeup_growth)^(D735-1))</f>
        <v/>
      </c>
      <c r="H735" s="11">
        <f>MIN(in_approval_cap,in_approved_first*INDEX('Age profile'!$O$2:$O$61,B735)*(1+in_approval_growth)^(D735-1))</f>
        <v/>
      </c>
      <c r="I735" s="45">
        <f>G735*MIN(in_takeup_cap,INDEX('Age profile'!$O$2:$O$61,B735)*(1+in_approval_growth)^(D735-1))</f>
        <v/>
      </c>
      <c r="J735" s="40">
        <f>(J734-L734)*F735/F734</f>
        <v/>
      </c>
      <c r="K735" s="40">
        <f>(K734-M734)*F735/F734+SUMIFS(O704:O734,B704:B734,B735-1-d_T)*F735</f>
        <v/>
      </c>
      <c r="L735" s="40">
        <f>IF(B735&gt;=in_marketplace_from,J735*d_hz*G735*in_eligible*H735,0)</f>
        <v/>
      </c>
      <c r="M735" s="40">
        <f>IF(B735&gt;=in_marketplace_from,K735*d_hz*G735*in_eligible*in_approved_repeat,0)</f>
        <v/>
      </c>
      <c r="N735" s="40">
        <f>L735+M735</f>
        <v/>
      </c>
      <c r="O735" s="46">
        <f>N735/F735</f>
        <v/>
      </c>
      <c r="P735" s="40">
        <f>F735-J735-K735</f>
        <v/>
      </c>
      <c r="Q735" s="40">
        <f>IF(B735&gt;=in_marketplace_from,(J735+K735)*d_hz*G735,0)</f>
        <v/>
      </c>
      <c r="R735" s="40">
        <f>SUMIFS(N704:N750,B704:B750,"&gt;="&amp;(B735-d_T),B704:B750,"&lt;="&amp;(B735-1))</f>
        <v/>
      </c>
      <c r="S735" s="46">
        <f>(1-d_u)*S734+IF(d_T&gt;in_topup_lag,SUMIFS(O704:O750,B704:B750,B735-in_topup_lag)-d_udrop*SUMIFS(O704:O750,B704:B750,B735-d_T),0)</f>
        <v/>
      </c>
      <c r="T735" s="40">
        <f>F735*d_u*S735</f>
        <v/>
      </c>
      <c r="U735" s="9">
        <f>L735*in_ticket+M735*d_rep_ticket</f>
        <v/>
      </c>
      <c r="V735" s="9">
        <f>U735+T735*d_topup_amt</f>
        <v/>
      </c>
      <c r="W735" s="40">
        <f>N735+T735*d_topup_ratio</f>
        <v/>
      </c>
      <c r="X735" s="40">
        <f>SUMIFS(W704:W750,B704:B750,B735-in_dpd_lag)*d_cured</f>
        <v/>
      </c>
      <c r="Y735" s="40">
        <f>SUMIFS(W704:W750,B704:B750,B735-in_rec_lag)*d_recd</f>
        <v/>
      </c>
      <c r="Z735" s="40">
        <f>IF(AND(B735&gt;=in_marketplace_from,B735&lt;in_marketplace_from+in_card_months),in_card_share/in_card_months*F735*I735,IF(AND(B735&gt;=in_marketplace_from+in_card_months,B735&lt;in_marketplace_from+2*in_card_months),in_card_share*d_card_rem/in_card_months*F735*MIN(in_takeup_cap,(1+in_takeup_growth)^(D735-1))*MIN(in_takeup_cap,(1+in_approval_growth)^(D735-1)),0))</f>
        <v/>
      </c>
      <c r="AA735" s="14">
        <f>V735*in_fee*(1-in_taken_back)</f>
        <v/>
      </c>
      <c r="AB735" s="14">
        <f>SUMIFS(W704:W750,B704:B750,B735-in_dpd_lag)*d_dpd</f>
        <v/>
      </c>
      <c r="AC735" s="14">
        <f>SUMIFS(W704:W750,B704:B750,B735-in_rec_lag)*d_rec</f>
        <v/>
      </c>
      <c r="AD735" s="14">
        <f>Z735*in_card_fee</f>
        <v/>
      </c>
      <c r="AE735" s="40">
        <f>AE734*(1-IF(B734&gt;=in_marketplace_from,d_hz_hlth_small*G734,0))</f>
        <v/>
      </c>
      <c r="AF735" s="46">
        <f>AE735*IF(B735&gt;=in_marketplace_from,d_hz_hlth_small*G735,0)</f>
        <v/>
      </c>
      <c r="AG735" s="14">
        <f>F735*AF735*in_hlth_small_ticket*in_hlth_small_comm*in_ins_partner_share+F735*in_hlth_small_ticket*in_hlth_small_renew_comm*in_ins_partner_share*(in_hlth_small_renew^1*SUMIFS(AF704:AF750,B704:B750,B735-12)+in_hlth_small_renew^2*SUMIFS(AF704:AF750,B704:B750,B735-24)+in_hlth_small_renew^3*SUMIFS(AF704:AF750,B704:B750,B735-36)+in_hlth_small_renew^4*SUMIFS(AF704:AF750,B704:B750,B735-48))</f>
        <v/>
      </c>
      <c r="AH735" s="40">
        <f>AH734*(1-IF(B734&gt;=in_marketplace_from,d_hz_hlth_family*G734,0))</f>
        <v/>
      </c>
      <c r="AI735" s="46">
        <f>AH735*IF(B735&gt;=in_marketplace_from,d_hz_hlth_family*G735,0)</f>
        <v/>
      </c>
      <c r="AJ735" s="14">
        <f>F735*AI735*in_hlth_family_ticket*in_hlth_family_comm*in_ins_partner_share+F735*in_hlth_family_ticket*in_hlth_family_renew_comm*in_ins_partner_share*(in_hlth_family_renew^1*SUMIFS(AI704:AI750,B704:B750,B735-12)+in_hlth_family_renew^2*SUMIFS(AI704:AI750,B704:B750,B735-24)+in_hlth_family_renew^3*SUMIFS(AI704:AI750,B704:B750,B735-36)+in_hlth_family_renew^4*SUMIFS(AI704:AI750,B704:B750,B735-48))</f>
        <v/>
      </c>
      <c r="AK735" s="40">
        <f>AK734*(1-IF(B734&gt;=in_marketplace_from,d_hz_life_term*G734,0))</f>
        <v/>
      </c>
      <c r="AL735" s="46">
        <f>AK735*IF(B735&gt;=in_marketplace_from,d_hz_life_term*G735,0)</f>
        <v/>
      </c>
      <c r="AM735" s="14">
        <f>F735*AL735*in_life_term_ticket*in_life_term_comm*in_ins_partner_share+F735*in_life_term_ticket*in_life_term_renew_comm*in_ins_partner_share*(in_life_term_renew^1*SUMIFS(AL704:AL750,B704:B750,B735-12)+in_life_term_renew^2*SUMIFS(AL704:AL750,B704:B750,B735-24)+in_life_term_renew^3*SUMIFS(AL704:AL750,B704:B750,B735-36)+in_life_term_renew^4*SUMIFS(AL704:AL750,B704:B750,B735-48))</f>
        <v/>
      </c>
      <c r="AN735" s="40">
        <f>AN734*(1-IF(B734&gt;=in_marketplace_from,d_hz_accident*G734,0))</f>
        <v/>
      </c>
      <c r="AO735" s="46">
        <f>AN735*IF(B735&gt;=in_marketplace_from,d_hz_accident*G735,0)</f>
        <v/>
      </c>
      <c r="AP735" s="14">
        <f>F735*AO735*in_accident_ticket*in_accident_comm*in_ins_partner_share+F735*in_accident_ticket*in_accident_renew_comm*in_ins_partner_share*(in_accident_renew^1*SUMIFS(AO704:AO750,B704:B750,B735-12)+in_accident_renew^2*SUMIFS(AO704:AO750,B704:B750,B735-24)+in_accident_renew^3*SUMIFS(AO704:AO750,B704:B750,B735-36)+in_accident_renew^4*SUMIFS(AO704:AO750,B704:B750,B735-48))</f>
        <v/>
      </c>
      <c r="AQ735" s="40">
        <f>AQ734*(1-IF(B734&gt;=in_marketplace_from,d_hz_two_wheeler*G734,0))</f>
        <v/>
      </c>
      <c r="AR735" s="46">
        <f>AQ735*IF(B735&gt;=in_marketplace_from,d_hz_two_wheeler*G735,0)</f>
        <v/>
      </c>
      <c r="AS735" s="14">
        <f>F735*AR735*in_two_wheeler_ticket*in_two_wheeler_comm*in_ins_partner_share+F735*in_two_wheeler_ticket*in_two_wheeler_comm*in_ins_partner_share*(in_two_wheeler_renew^1*SUMIFS(AR704:AR750,B704:B750,B735-12)+in_two_wheeler_renew^2*SUMIFS(AR704:AR750,B704:B750,B735-24)+in_two_wheeler_renew^3*SUMIFS(AR704:AR750,B704:B750,B735-36)+in_two_wheeler_renew^4*SUMIFS(AR704:AR750,B704:B750,B735-48))</f>
        <v/>
      </c>
      <c r="AT735" s="40">
        <f>AT734*(1-IF(B734&gt;=in_marketplace_from,d_hz_device*G734,0))</f>
        <v/>
      </c>
      <c r="AU735" s="14">
        <f>F735*AT735*IF(B735&gt;=in_marketplace_from,d_hz_device*G735,0)*in_device_ticket*in_device_comm*in_ins_partner_share</f>
        <v/>
      </c>
      <c r="AV735" s="40">
        <f>AV734*(1-IF(B734&gt;=in_marketplace_from,d_hz_shop*G734,0))</f>
        <v/>
      </c>
      <c r="AW735" s="46">
        <f>AV735*IF(B735&gt;=in_marketplace_from,d_hz_shop*G735,0)</f>
        <v/>
      </c>
      <c r="AX735" s="14">
        <f>F735*AW735*in_shop_ticket*in_shop_comm*in_ins_partner_share+F735*in_shop_ticket*in_shop_renew_comm*in_ins_partner_share*(in_shop_renew^1*SUMIFS(AW704:AW750,B704:B750,B735-12)+in_shop_renew^2*SUMIFS(AW704:AW750,B704:B750,B735-24)+in_shop_renew^3*SUMIFS(AW704:AW750,B704:B750,B735-36)+in_shop_renew^4*SUMIFS(AW704:AW750,B704:B750,B735-48))</f>
        <v/>
      </c>
      <c r="AY735" s="40">
        <f>AY734*(1-IF(B734&gt;=in_marketplace_from,d_hz_sip*G734,0))</f>
        <v/>
      </c>
      <c r="AZ735" s="40">
        <f>AZ734*d_rho_sip+AY735*IF(B735&gt;=in_marketplace_from,d_hz_sip*G735,0)</f>
        <v/>
      </c>
      <c r="BA735" s="40">
        <f>d_rho_sip*(BA734+AZ734)</f>
        <v/>
      </c>
      <c r="BB735" s="14">
        <f>F735*in_sip_ticket*(BA735+0.5*AZ735)*in_sip_comm/12</f>
        <v/>
      </c>
      <c r="BC735" s="40">
        <f>BC734*(1-IF(B734&gt;=in_marketplace_from,d_hz_choti*G734,0))</f>
        <v/>
      </c>
      <c r="BD735" s="46">
        <f>BC735*IF(B735&gt;=in_marketplace_from,d_hz_choti*G735,0)</f>
        <v/>
      </c>
      <c r="BE735" s="14">
        <f>F735*SUMIFS(BD704:BD750,B704:B750,B735-in_choti_months)*in_choti_renew*in_choti_ticket</f>
        <v/>
      </c>
      <c r="BF735" s="40">
        <f>BF734*(1-IF(B734&gt;=in_marketplace_from,d_hz_nps*G734,0))</f>
        <v/>
      </c>
      <c r="BG735" s="14">
        <f>F735*BF735*IF(B735&gt;=in_marketplace_from,d_hz_nps*G735,0)*in_nps_ticket*in_nps_comm</f>
        <v/>
      </c>
      <c r="BH735" s="40">
        <f>BH734*(1-IF(B734&gt;=in_marketplace_from,d_hz_gold*G734,0))</f>
        <v/>
      </c>
      <c r="BI735" s="40">
        <f>BI734*d_rho_gold+BH735*IF(B735&gt;=in_marketplace_from,d_hz_gold*G735,0)</f>
        <v/>
      </c>
      <c r="BJ735" s="14">
        <f>F735*BI735*in_gold_ticket*in_gold_comm</f>
        <v/>
      </c>
      <c r="BK735" s="40">
        <f>BK734*(1-IF(B734&gt;=in_marketplace_from,d_hz_fd*G734,0))</f>
        <v/>
      </c>
      <c r="BL735" s="14">
        <f>F735*BK735*IF(B735&gt;=in_marketplace_from,d_hz_fd*G735,0)*in_fd_ticket*in_fd_comm</f>
        <v/>
      </c>
      <c r="BM735" s="40">
        <f>BM734*(1-IF(B734&gt;=in_marketplace_from,d_hz_recharge*G734,0))</f>
        <v/>
      </c>
      <c r="BN735" s="40">
        <f>BN734*d_rho_recharge+BM735*IF(B735&gt;=in_marketplace_from,d_hz_recharge*G735,0)</f>
        <v/>
      </c>
      <c r="BO735" s="14">
        <f>F735*BN735*in_recharge_ticket*in_recharge_comm/12</f>
        <v/>
      </c>
      <c r="BP735" s="40">
        <f>BP734*(1-IF(B734&gt;=in_marketplace_from,d_hz_bills*G734,0))</f>
        <v/>
      </c>
      <c r="BQ735" s="40">
        <f>BQ734*d_rho_bills+BP735*IF(B735&gt;=in_marketplace_from,d_hz_bills*G735,0)</f>
        <v/>
      </c>
      <c r="BR735" s="14">
        <f>F735*BQ735*in_bills_ticket*in_bills_comm/12</f>
        <v/>
      </c>
      <c r="BS735" s="40">
        <f>BS734*(1-IF(B734&gt;=in_marketplace_from,d_hz_loan_gold*G734,0))</f>
        <v/>
      </c>
      <c r="BT735" s="14">
        <f>F735*BS735*IF(B735&gt;=in_marketplace_from,d_hz_loan_gold*G735,0)*in_loan_gold_ticket*in_loan_gold_comm</f>
        <v/>
      </c>
      <c r="BU735" s="40">
        <f>BU734*(1-IF(B734&gt;=in_marketplace_from,d_hz_loan_cd*G734,0))</f>
        <v/>
      </c>
      <c r="BV735" s="14">
        <f>F735*BU735*IF(B735&gt;=in_marketplace_from,d_hz_loan_cd*G735,0)*in_loan_cd_ticket*in_loan_cd_comm</f>
        <v/>
      </c>
      <c r="BW735" s="40">
        <f>BW734*(1-IF(B734&gt;=in_marketplace_from,d_hz_loan_vehicle*G734,0))</f>
        <v/>
      </c>
      <c r="BX735" s="14">
        <f>F735*BW735*IF(B735&gt;=in_marketplace_from,d_hz_loan_vehicle*G735,0)*in_loan_vehicle_ticket*in_loan_vehicle_comm</f>
        <v/>
      </c>
      <c r="BY735" s="40">
        <f>BY734*(1-IF(B734&gt;=in_marketplace_from,d_hz_loan_home*G734,0)*BZ734)</f>
        <v/>
      </c>
      <c r="BZ735" s="11">
        <f>MIN(in_approval_cap,in_loan_home_approval*INDEX('Age profile'!$O$2:$O$61,B735)*(1+in_approval_growth)^(D735-1))</f>
        <v/>
      </c>
      <c r="CA735" s="14">
        <f>F735*BY735*IF(B735&gt;=in_marketplace_from,d_hz_loan_home*G735,0)*BZ735*in_loan_home_ticket*in_loan_home_comm</f>
        <v/>
      </c>
      <c r="CB735" s="40">
        <f>CB734*(1-IF(B734&gt;=in_marketplace_from,d_hz_loan_lap*G734,0)*CC734)</f>
        <v/>
      </c>
      <c r="CC735" s="11">
        <f>MIN(in_approval_cap,in_loan_lap_approval*INDEX('Age profile'!$O$2:$O$61,B735)*(1+in_approval_growth)^(D735-1))</f>
        <v/>
      </c>
      <c r="CD735" s="14">
        <f>F735*CB735*IF(B735&gt;=in_marketplace_from,d_hz_loan_lap*G735,0)*CC735*in_loan_lap_ticket*in_loan_lap_comm</f>
        <v/>
      </c>
      <c r="CE735" s="14">
        <f>AA735+AB735+AC735+AD735+AG735+AJ735+AM735+AP735+AS735+AU735+AX735+BB735+BE735+BG735+BJ735+BL735+BO735+BR735+BT735+BV735+BX735+CA735+CD735</f>
        <v/>
      </c>
    </row>
    <row r="736">
      <c r="A736" s="39" t="n">
        <v>14</v>
      </c>
      <c r="B736" s="39" t="n">
        <v>33</v>
      </c>
      <c r="C736" s="39">
        <f>A736+B736-1</f>
        <v/>
      </c>
      <c r="D736" s="39">
        <f>INT((C736-1)/12)+1</f>
        <v/>
      </c>
      <c r="E736" s="44">
        <f>INDEX(Monthly!$B$2:$B$61,A736)</f>
        <v/>
      </c>
      <c r="F736" s="44">
        <f>E736*INDEX('Age profile'!$B$2:$B$61,B736)</f>
        <v/>
      </c>
      <c r="G736" s="45">
        <f>MIN(in_takeup_cap,INDEX('Age profile'!$N$2:$N$61,B736)*(1+in_takeup_growth)^(D736-1))</f>
        <v/>
      </c>
      <c r="H736" s="11">
        <f>MIN(in_approval_cap,in_approved_first*INDEX('Age profile'!$O$2:$O$61,B736)*(1+in_approval_growth)^(D736-1))</f>
        <v/>
      </c>
      <c r="I736" s="45">
        <f>G736*MIN(in_takeup_cap,INDEX('Age profile'!$O$2:$O$61,B736)*(1+in_approval_growth)^(D736-1))</f>
        <v/>
      </c>
      <c r="J736" s="40">
        <f>(J735-L735)*F736/F735</f>
        <v/>
      </c>
      <c r="K736" s="40">
        <f>(K735-M735)*F736/F735+SUMIFS(O704:O735,B704:B735,B736-1-d_T)*F736</f>
        <v/>
      </c>
      <c r="L736" s="40">
        <f>IF(B736&gt;=in_marketplace_from,J736*d_hz*G736*in_eligible*H736,0)</f>
        <v/>
      </c>
      <c r="M736" s="40">
        <f>IF(B736&gt;=in_marketplace_from,K736*d_hz*G736*in_eligible*in_approved_repeat,0)</f>
        <v/>
      </c>
      <c r="N736" s="40">
        <f>L736+M736</f>
        <v/>
      </c>
      <c r="O736" s="46">
        <f>N736/F736</f>
        <v/>
      </c>
      <c r="P736" s="40">
        <f>F736-J736-K736</f>
        <v/>
      </c>
      <c r="Q736" s="40">
        <f>IF(B736&gt;=in_marketplace_from,(J736+K736)*d_hz*G736,0)</f>
        <v/>
      </c>
      <c r="R736" s="40">
        <f>SUMIFS(N704:N750,B704:B750,"&gt;="&amp;(B736-d_T),B704:B750,"&lt;="&amp;(B736-1))</f>
        <v/>
      </c>
      <c r="S736" s="46">
        <f>(1-d_u)*S735+IF(d_T&gt;in_topup_lag,SUMIFS(O704:O750,B704:B750,B736-in_topup_lag)-d_udrop*SUMIFS(O704:O750,B704:B750,B736-d_T),0)</f>
        <v/>
      </c>
      <c r="T736" s="40">
        <f>F736*d_u*S736</f>
        <v/>
      </c>
      <c r="U736" s="9">
        <f>L736*in_ticket+M736*d_rep_ticket</f>
        <v/>
      </c>
      <c r="V736" s="9">
        <f>U736+T736*d_topup_amt</f>
        <v/>
      </c>
      <c r="W736" s="40">
        <f>N736+T736*d_topup_ratio</f>
        <v/>
      </c>
      <c r="X736" s="40">
        <f>SUMIFS(W704:W750,B704:B750,B736-in_dpd_lag)*d_cured</f>
        <v/>
      </c>
      <c r="Y736" s="40">
        <f>SUMIFS(W704:W750,B704:B750,B736-in_rec_lag)*d_recd</f>
        <v/>
      </c>
      <c r="Z736" s="40">
        <f>IF(AND(B736&gt;=in_marketplace_from,B736&lt;in_marketplace_from+in_card_months),in_card_share/in_card_months*F736*I736,IF(AND(B736&gt;=in_marketplace_from+in_card_months,B736&lt;in_marketplace_from+2*in_card_months),in_card_share*d_card_rem/in_card_months*F736*MIN(in_takeup_cap,(1+in_takeup_growth)^(D736-1))*MIN(in_takeup_cap,(1+in_approval_growth)^(D736-1)),0))</f>
        <v/>
      </c>
      <c r="AA736" s="14">
        <f>V736*in_fee*(1-in_taken_back)</f>
        <v/>
      </c>
      <c r="AB736" s="14">
        <f>SUMIFS(W704:W750,B704:B750,B736-in_dpd_lag)*d_dpd</f>
        <v/>
      </c>
      <c r="AC736" s="14">
        <f>SUMIFS(W704:W750,B704:B750,B736-in_rec_lag)*d_rec</f>
        <v/>
      </c>
      <c r="AD736" s="14">
        <f>Z736*in_card_fee</f>
        <v/>
      </c>
      <c r="AE736" s="40">
        <f>AE735*(1-IF(B735&gt;=in_marketplace_from,d_hz_hlth_small*G735,0))</f>
        <v/>
      </c>
      <c r="AF736" s="46">
        <f>AE736*IF(B736&gt;=in_marketplace_from,d_hz_hlth_small*G736,0)</f>
        <v/>
      </c>
      <c r="AG736" s="14">
        <f>F736*AF736*in_hlth_small_ticket*in_hlth_small_comm*in_ins_partner_share+F736*in_hlth_small_ticket*in_hlth_small_renew_comm*in_ins_partner_share*(in_hlth_small_renew^1*SUMIFS(AF704:AF750,B704:B750,B736-12)+in_hlth_small_renew^2*SUMIFS(AF704:AF750,B704:B750,B736-24)+in_hlth_small_renew^3*SUMIFS(AF704:AF750,B704:B750,B736-36)+in_hlth_small_renew^4*SUMIFS(AF704:AF750,B704:B750,B736-48))</f>
        <v/>
      </c>
      <c r="AH736" s="40">
        <f>AH735*(1-IF(B735&gt;=in_marketplace_from,d_hz_hlth_family*G735,0))</f>
        <v/>
      </c>
      <c r="AI736" s="46">
        <f>AH736*IF(B736&gt;=in_marketplace_from,d_hz_hlth_family*G736,0)</f>
        <v/>
      </c>
      <c r="AJ736" s="14">
        <f>F736*AI736*in_hlth_family_ticket*in_hlth_family_comm*in_ins_partner_share+F736*in_hlth_family_ticket*in_hlth_family_renew_comm*in_ins_partner_share*(in_hlth_family_renew^1*SUMIFS(AI704:AI750,B704:B750,B736-12)+in_hlth_family_renew^2*SUMIFS(AI704:AI750,B704:B750,B736-24)+in_hlth_family_renew^3*SUMIFS(AI704:AI750,B704:B750,B736-36)+in_hlth_family_renew^4*SUMIFS(AI704:AI750,B704:B750,B736-48))</f>
        <v/>
      </c>
      <c r="AK736" s="40">
        <f>AK735*(1-IF(B735&gt;=in_marketplace_from,d_hz_life_term*G735,0))</f>
        <v/>
      </c>
      <c r="AL736" s="46">
        <f>AK736*IF(B736&gt;=in_marketplace_from,d_hz_life_term*G736,0)</f>
        <v/>
      </c>
      <c r="AM736" s="14">
        <f>F736*AL736*in_life_term_ticket*in_life_term_comm*in_ins_partner_share+F736*in_life_term_ticket*in_life_term_renew_comm*in_ins_partner_share*(in_life_term_renew^1*SUMIFS(AL704:AL750,B704:B750,B736-12)+in_life_term_renew^2*SUMIFS(AL704:AL750,B704:B750,B736-24)+in_life_term_renew^3*SUMIFS(AL704:AL750,B704:B750,B736-36)+in_life_term_renew^4*SUMIFS(AL704:AL750,B704:B750,B736-48))</f>
        <v/>
      </c>
      <c r="AN736" s="40">
        <f>AN735*(1-IF(B735&gt;=in_marketplace_from,d_hz_accident*G735,0))</f>
        <v/>
      </c>
      <c r="AO736" s="46">
        <f>AN736*IF(B736&gt;=in_marketplace_from,d_hz_accident*G736,0)</f>
        <v/>
      </c>
      <c r="AP736" s="14">
        <f>F736*AO736*in_accident_ticket*in_accident_comm*in_ins_partner_share+F736*in_accident_ticket*in_accident_renew_comm*in_ins_partner_share*(in_accident_renew^1*SUMIFS(AO704:AO750,B704:B750,B736-12)+in_accident_renew^2*SUMIFS(AO704:AO750,B704:B750,B736-24)+in_accident_renew^3*SUMIFS(AO704:AO750,B704:B750,B736-36)+in_accident_renew^4*SUMIFS(AO704:AO750,B704:B750,B736-48))</f>
        <v/>
      </c>
      <c r="AQ736" s="40">
        <f>AQ735*(1-IF(B735&gt;=in_marketplace_from,d_hz_two_wheeler*G735,0))</f>
        <v/>
      </c>
      <c r="AR736" s="46">
        <f>AQ736*IF(B736&gt;=in_marketplace_from,d_hz_two_wheeler*G736,0)</f>
        <v/>
      </c>
      <c r="AS736" s="14">
        <f>F736*AR736*in_two_wheeler_ticket*in_two_wheeler_comm*in_ins_partner_share+F736*in_two_wheeler_ticket*in_two_wheeler_comm*in_ins_partner_share*(in_two_wheeler_renew^1*SUMIFS(AR704:AR750,B704:B750,B736-12)+in_two_wheeler_renew^2*SUMIFS(AR704:AR750,B704:B750,B736-24)+in_two_wheeler_renew^3*SUMIFS(AR704:AR750,B704:B750,B736-36)+in_two_wheeler_renew^4*SUMIFS(AR704:AR750,B704:B750,B736-48))</f>
        <v/>
      </c>
      <c r="AT736" s="40">
        <f>AT735*(1-IF(B735&gt;=in_marketplace_from,d_hz_device*G735,0))</f>
        <v/>
      </c>
      <c r="AU736" s="14">
        <f>F736*AT736*IF(B736&gt;=in_marketplace_from,d_hz_device*G736,0)*in_device_ticket*in_device_comm*in_ins_partner_share</f>
        <v/>
      </c>
      <c r="AV736" s="40">
        <f>AV735*(1-IF(B735&gt;=in_marketplace_from,d_hz_shop*G735,0))</f>
        <v/>
      </c>
      <c r="AW736" s="46">
        <f>AV736*IF(B736&gt;=in_marketplace_from,d_hz_shop*G736,0)</f>
        <v/>
      </c>
      <c r="AX736" s="14">
        <f>F736*AW736*in_shop_ticket*in_shop_comm*in_ins_partner_share+F736*in_shop_ticket*in_shop_renew_comm*in_ins_partner_share*(in_shop_renew^1*SUMIFS(AW704:AW750,B704:B750,B736-12)+in_shop_renew^2*SUMIFS(AW704:AW750,B704:B750,B736-24)+in_shop_renew^3*SUMIFS(AW704:AW750,B704:B750,B736-36)+in_shop_renew^4*SUMIFS(AW704:AW750,B704:B750,B736-48))</f>
        <v/>
      </c>
      <c r="AY736" s="40">
        <f>AY735*(1-IF(B735&gt;=in_marketplace_from,d_hz_sip*G735,0))</f>
        <v/>
      </c>
      <c r="AZ736" s="40">
        <f>AZ735*d_rho_sip+AY736*IF(B736&gt;=in_marketplace_from,d_hz_sip*G736,0)</f>
        <v/>
      </c>
      <c r="BA736" s="40">
        <f>d_rho_sip*(BA735+AZ735)</f>
        <v/>
      </c>
      <c r="BB736" s="14">
        <f>F736*in_sip_ticket*(BA736+0.5*AZ736)*in_sip_comm/12</f>
        <v/>
      </c>
      <c r="BC736" s="40">
        <f>BC735*(1-IF(B735&gt;=in_marketplace_from,d_hz_choti*G735,0))</f>
        <v/>
      </c>
      <c r="BD736" s="46">
        <f>BC736*IF(B736&gt;=in_marketplace_from,d_hz_choti*G736,0)</f>
        <v/>
      </c>
      <c r="BE736" s="14">
        <f>F736*SUMIFS(BD704:BD750,B704:B750,B736-in_choti_months)*in_choti_renew*in_choti_ticket</f>
        <v/>
      </c>
      <c r="BF736" s="40">
        <f>BF735*(1-IF(B735&gt;=in_marketplace_from,d_hz_nps*G735,0))</f>
        <v/>
      </c>
      <c r="BG736" s="14">
        <f>F736*BF736*IF(B736&gt;=in_marketplace_from,d_hz_nps*G736,0)*in_nps_ticket*in_nps_comm</f>
        <v/>
      </c>
      <c r="BH736" s="40">
        <f>BH735*(1-IF(B735&gt;=in_marketplace_from,d_hz_gold*G735,0))</f>
        <v/>
      </c>
      <c r="BI736" s="40">
        <f>BI735*d_rho_gold+BH736*IF(B736&gt;=in_marketplace_from,d_hz_gold*G736,0)</f>
        <v/>
      </c>
      <c r="BJ736" s="14">
        <f>F736*BI736*in_gold_ticket*in_gold_comm</f>
        <v/>
      </c>
      <c r="BK736" s="40">
        <f>BK735*(1-IF(B735&gt;=in_marketplace_from,d_hz_fd*G735,0))</f>
        <v/>
      </c>
      <c r="BL736" s="14">
        <f>F736*BK736*IF(B736&gt;=in_marketplace_from,d_hz_fd*G736,0)*in_fd_ticket*in_fd_comm</f>
        <v/>
      </c>
      <c r="BM736" s="40">
        <f>BM735*(1-IF(B735&gt;=in_marketplace_from,d_hz_recharge*G735,0))</f>
        <v/>
      </c>
      <c r="BN736" s="40">
        <f>BN735*d_rho_recharge+BM736*IF(B736&gt;=in_marketplace_from,d_hz_recharge*G736,0)</f>
        <v/>
      </c>
      <c r="BO736" s="14">
        <f>F736*BN736*in_recharge_ticket*in_recharge_comm/12</f>
        <v/>
      </c>
      <c r="BP736" s="40">
        <f>BP735*(1-IF(B735&gt;=in_marketplace_from,d_hz_bills*G735,0))</f>
        <v/>
      </c>
      <c r="BQ736" s="40">
        <f>BQ735*d_rho_bills+BP736*IF(B736&gt;=in_marketplace_from,d_hz_bills*G736,0)</f>
        <v/>
      </c>
      <c r="BR736" s="14">
        <f>F736*BQ736*in_bills_ticket*in_bills_comm/12</f>
        <v/>
      </c>
      <c r="BS736" s="40">
        <f>BS735*(1-IF(B735&gt;=in_marketplace_from,d_hz_loan_gold*G735,0))</f>
        <v/>
      </c>
      <c r="BT736" s="14">
        <f>F736*BS736*IF(B736&gt;=in_marketplace_from,d_hz_loan_gold*G736,0)*in_loan_gold_ticket*in_loan_gold_comm</f>
        <v/>
      </c>
      <c r="BU736" s="40">
        <f>BU735*(1-IF(B735&gt;=in_marketplace_from,d_hz_loan_cd*G735,0))</f>
        <v/>
      </c>
      <c r="BV736" s="14">
        <f>F736*BU736*IF(B736&gt;=in_marketplace_from,d_hz_loan_cd*G736,0)*in_loan_cd_ticket*in_loan_cd_comm</f>
        <v/>
      </c>
      <c r="BW736" s="40">
        <f>BW735*(1-IF(B735&gt;=in_marketplace_from,d_hz_loan_vehicle*G735,0))</f>
        <v/>
      </c>
      <c r="BX736" s="14">
        <f>F736*BW736*IF(B736&gt;=in_marketplace_from,d_hz_loan_vehicle*G736,0)*in_loan_vehicle_ticket*in_loan_vehicle_comm</f>
        <v/>
      </c>
      <c r="BY736" s="40">
        <f>BY735*(1-IF(B735&gt;=in_marketplace_from,d_hz_loan_home*G735,0)*BZ735)</f>
        <v/>
      </c>
      <c r="BZ736" s="11">
        <f>MIN(in_approval_cap,in_loan_home_approval*INDEX('Age profile'!$O$2:$O$61,B736)*(1+in_approval_growth)^(D736-1))</f>
        <v/>
      </c>
      <c r="CA736" s="14">
        <f>F736*BY736*IF(B736&gt;=in_marketplace_from,d_hz_loan_home*G736,0)*BZ736*in_loan_home_ticket*in_loan_home_comm</f>
        <v/>
      </c>
      <c r="CB736" s="40">
        <f>CB735*(1-IF(B735&gt;=in_marketplace_from,d_hz_loan_lap*G735,0)*CC735)</f>
        <v/>
      </c>
      <c r="CC736" s="11">
        <f>MIN(in_approval_cap,in_loan_lap_approval*INDEX('Age profile'!$O$2:$O$61,B736)*(1+in_approval_growth)^(D736-1))</f>
        <v/>
      </c>
      <c r="CD736" s="14">
        <f>F736*CB736*IF(B736&gt;=in_marketplace_from,d_hz_loan_lap*G736,0)*CC736*in_loan_lap_ticket*in_loan_lap_comm</f>
        <v/>
      </c>
      <c r="CE736" s="14">
        <f>AA736+AB736+AC736+AD736+AG736+AJ736+AM736+AP736+AS736+AU736+AX736+BB736+BE736+BG736+BJ736+BL736+BO736+BR736+BT736+BV736+BX736+CA736+CD736</f>
        <v/>
      </c>
    </row>
    <row r="737">
      <c r="A737" s="39" t="n">
        <v>14</v>
      </c>
      <c r="B737" s="39" t="n">
        <v>34</v>
      </c>
      <c r="C737" s="39">
        <f>A737+B737-1</f>
        <v/>
      </c>
      <c r="D737" s="39">
        <f>INT((C737-1)/12)+1</f>
        <v/>
      </c>
      <c r="E737" s="44">
        <f>INDEX(Monthly!$B$2:$B$61,A737)</f>
        <v/>
      </c>
      <c r="F737" s="44">
        <f>E737*INDEX('Age profile'!$B$2:$B$61,B737)</f>
        <v/>
      </c>
      <c r="G737" s="45">
        <f>MIN(in_takeup_cap,INDEX('Age profile'!$N$2:$N$61,B737)*(1+in_takeup_growth)^(D737-1))</f>
        <v/>
      </c>
      <c r="H737" s="11">
        <f>MIN(in_approval_cap,in_approved_first*INDEX('Age profile'!$O$2:$O$61,B737)*(1+in_approval_growth)^(D737-1))</f>
        <v/>
      </c>
      <c r="I737" s="45">
        <f>G737*MIN(in_takeup_cap,INDEX('Age profile'!$O$2:$O$61,B737)*(1+in_approval_growth)^(D737-1))</f>
        <v/>
      </c>
      <c r="J737" s="40">
        <f>(J736-L736)*F737/F736</f>
        <v/>
      </c>
      <c r="K737" s="40">
        <f>(K736-M736)*F737/F736+SUMIFS(O704:O736,B704:B736,B737-1-d_T)*F737</f>
        <v/>
      </c>
      <c r="L737" s="40">
        <f>IF(B737&gt;=in_marketplace_from,J737*d_hz*G737*in_eligible*H737,0)</f>
        <v/>
      </c>
      <c r="M737" s="40">
        <f>IF(B737&gt;=in_marketplace_from,K737*d_hz*G737*in_eligible*in_approved_repeat,0)</f>
        <v/>
      </c>
      <c r="N737" s="40">
        <f>L737+M737</f>
        <v/>
      </c>
      <c r="O737" s="46">
        <f>N737/F737</f>
        <v/>
      </c>
      <c r="P737" s="40">
        <f>F737-J737-K737</f>
        <v/>
      </c>
      <c r="Q737" s="40">
        <f>IF(B737&gt;=in_marketplace_from,(J737+K737)*d_hz*G737,0)</f>
        <v/>
      </c>
      <c r="R737" s="40">
        <f>SUMIFS(N704:N750,B704:B750,"&gt;="&amp;(B737-d_T),B704:B750,"&lt;="&amp;(B737-1))</f>
        <v/>
      </c>
      <c r="S737" s="46">
        <f>(1-d_u)*S736+IF(d_T&gt;in_topup_lag,SUMIFS(O704:O750,B704:B750,B737-in_topup_lag)-d_udrop*SUMIFS(O704:O750,B704:B750,B737-d_T),0)</f>
        <v/>
      </c>
      <c r="T737" s="40">
        <f>F737*d_u*S737</f>
        <v/>
      </c>
      <c r="U737" s="9">
        <f>L737*in_ticket+M737*d_rep_ticket</f>
        <v/>
      </c>
      <c r="V737" s="9">
        <f>U737+T737*d_topup_amt</f>
        <v/>
      </c>
      <c r="W737" s="40">
        <f>N737+T737*d_topup_ratio</f>
        <v/>
      </c>
      <c r="X737" s="40">
        <f>SUMIFS(W704:W750,B704:B750,B737-in_dpd_lag)*d_cured</f>
        <v/>
      </c>
      <c r="Y737" s="40">
        <f>SUMIFS(W704:W750,B704:B750,B737-in_rec_lag)*d_recd</f>
        <v/>
      </c>
      <c r="Z737" s="40">
        <f>IF(AND(B737&gt;=in_marketplace_from,B737&lt;in_marketplace_from+in_card_months),in_card_share/in_card_months*F737*I737,IF(AND(B737&gt;=in_marketplace_from+in_card_months,B737&lt;in_marketplace_from+2*in_card_months),in_card_share*d_card_rem/in_card_months*F737*MIN(in_takeup_cap,(1+in_takeup_growth)^(D737-1))*MIN(in_takeup_cap,(1+in_approval_growth)^(D737-1)),0))</f>
        <v/>
      </c>
      <c r="AA737" s="14">
        <f>V737*in_fee*(1-in_taken_back)</f>
        <v/>
      </c>
      <c r="AB737" s="14">
        <f>SUMIFS(W704:W750,B704:B750,B737-in_dpd_lag)*d_dpd</f>
        <v/>
      </c>
      <c r="AC737" s="14">
        <f>SUMIFS(W704:W750,B704:B750,B737-in_rec_lag)*d_rec</f>
        <v/>
      </c>
      <c r="AD737" s="14">
        <f>Z737*in_card_fee</f>
        <v/>
      </c>
      <c r="AE737" s="40">
        <f>AE736*(1-IF(B736&gt;=in_marketplace_from,d_hz_hlth_small*G736,0))</f>
        <v/>
      </c>
      <c r="AF737" s="46">
        <f>AE737*IF(B737&gt;=in_marketplace_from,d_hz_hlth_small*G737,0)</f>
        <v/>
      </c>
      <c r="AG737" s="14">
        <f>F737*AF737*in_hlth_small_ticket*in_hlth_small_comm*in_ins_partner_share+F737*in_hlth_small_ticket*in_hlth_small_renew_comm*in_ins_partner_share*(in_hlth_small_renew^1*SUMIFS(AF704:AF750,B704:B750,B737-12)+in_hlth_small_renew^2*SUMIFS(AF704:AF750,B704:B750,B737-24)+in_hlth_small_renew^3*SUMIFS(AF704:AF750,B704:B750,B737-36)+in_hlth_small_renew^4*SUMIFS(AF704:AF750,B704:B750,B737-48))</f>
        <v/>
      </c>
      <c r="AH737" s="40">
        <f>AH736*(1-IF(B736&gt;=in_marketplace_from,d_hz_hlth_family*G736,0))</f>
        <v/>
      </c>
      <c r="AI737" s="46">
        <f>AH737*IF(B737&gt;=in_marketplace_from,d_hz_hlth_family*G737,0)</f>
        <v/>
      </c>
      <c r="AJ737" s="14">
        <f>F737*AI737*in_hlth_family_ticket*in_hlth_family_comm*in_ins_partner_share+F737*in_hlth_family_ticket*in_hlth_family_renew_comm*in_ins_partner_share*(in_hlth_family_renew^1*SUMIFS(AI704:AI750,B704:B750,B737-12)+in_hlth_family_renew^2*SUMIFS(AI704:AI750,B704:B750,B737-24)+in_hlth_family_renew^3*SUMIFS(AI704:AI750,B704:B750,B737-36)+in_hlth_family_renew^4*SUMIFS(AI704:AI750,B704:B750,B737-48))</f>
        <v/>
      </c>
      <c r="AK737" s="40">
        <f>AK736*(1-IF(B736&gt;=in_marketplace_from,d_hz_life_term*G736,0))</f>
        <v/>
      </c>
      <c r="AL737" s="46">
        <f>AK737*IF(B737&gt;=in_marketplace_from,d_hz_life_term*G737,0)</f>
        <v/>
      </c>
      <c r="AM737" s="14">
        <f>F737*AL737*in_life_term_ticket*in_life_term_comm*in_ins_partner_share+F737*in_life_term_ticket*in_life_term_renew_comm*in_ins_partner_share*(in_life_term_renew^1*SUMIFS(AL704:AL750,B704:B750,B737-12)+in_life_term_renew^2*SUMIFS(AL704:AL750,B704:B750,B737-24)+in_life_term_renew^3*SUMIFS(AL704:AL750,B704:B750,B737-36)+in_life_term_renew^4*SUMIFS(AL704:AL750,B704:B750,B737-48))</f>
        <v/>
      </c>
      <c r="AN737" s="40">
        <f>AN736*(1-IF(B736&gt;=in_marketplace_from,d_hz_accident*G736,0))</f>
        <v/>
      </c>
      <c r="AO737" s="46">
        <f>AN737*IF(B737&gt;=in_marketplace_from,d_hz_accident*G737,0)</f>
        <v/>
      </c>
      <c r="AP737" s="14">
        <f>F737*AO737*in_accident_ticket*in_accident_comm*in_ins_partner_share+F737*in_accident_ticket*in_accident_renew_comm*in_ins_partner_share*(in_accident_renew^1*SUMIFS(AO704:AO750,B704:B750,B737-12)+in_accident_renew^2*SUMIFS(AO704:AO750,B704:B750,B737-24)+in_accident_renew^3*SUMIFS(AO704:AO750,B704:B750,B737-36)+in_accident_renew^4*SUMIFS(AO704:AO750,B704:B750,B737-48))</f>
        <v/>
      </c>
      <c r="AQ737" s="40">
        <f>AQ736*(1-IF(B736&gt;=in_marketplace_from,d_hz_two_wheeler*G736,0))</f>
        <v/>
      </c>
      <c r="AR737" s="46">
        <f>AQ737*IF(B737&gt;=in_marketplace_from,d_hz_two_wheeler*G737,0)</f>
        <v/>
      </c>
      <c r="AS737" s="14">
        <f>F737*AR737*in_two_wheeler_ticket*in_two_wheeler_comm*in_ins_partner_share+F737*in_two_wheeler_ticket*in_two_wheeler_comm*in_ins_partner_share*(in_two_wheeler_renew^1*SUMIFS(AR704:AR750,B704:B750,B737-12)+in_two_wheeler_renew^2*SUMIFS(AR704:AR750,B704:B750,B737-24)+in_two_wheeler_renew^3*SUMIFS(AR704:AR750,B704:B750,B737-36)+in_two_wheeler_renew^4*SUMIFS(AR704:AR750,B704:B750,B737-48))</f>
        <v/>
      </c>
      <c r="AT737" s="40">
        <f>AT736*(1-IF(B736&gt;=in_marketplace_from,d_hz_device*G736,0))</f>
        <v/>
      </c>
      <c r="AU737" s="14">
        <f>F737*AT737*IF(B737&gt;=in_marketplace_from,d_hz_device*G737,0)*in_device_ticket*in_device_comm*in_ins_partner_share</f>
        <v/>
      </c>
      <c r="AV737" s="40">
        <f>AV736*(1-IF(B736&gt;=in_marketplace_from,d_hz_shop*G736,0))</f>
        <v/>
      </c>
      <c r="AW737" s="46">
        <f>AV737*IF(B737&gt;=in_marketplace_from,d_hz_shop*G737,0)</f>
        <v/>
      </c>
      <c r="AX737" s="14">
        <f>F737*AW737*in_shop_ticket*in_shop_comm*in_ins_partner_share+F737*in_shop_ticket*in_shop_renew_comm*in_ins_partner_share*(in_shop_renew^1*SUMIFS(AW704:AW750,B704:B750,B737-12)+in_shop_renew^2*SUMIFS(AW704:AW750,B704:B750,B737-24)+in_shop_renew^3*SUMIFS(AW704:AW750,B704:B750,B737-36)+in_shop_renew^4*SUMIFS(AW704:AW750,B704:B750,B737-48))</f>
        <v/>
      </c>
      <c r="AY737" s="40">
        <f>AY736*(1-IF(B736&gt;=in_marketplace_from,d_hz_sip*G736,0))</f>
        <v/>
      </c>
      <c r="AZ737" s="40">
        <f>AZ736*d_rho_sip+AY737*IF(B737&gt;=in_marketplace_from,d_hz_sip*G737,0)</f>
        <v/>
      </c>
      <c r="BA737" s="40">
        <f>d_rho_sip*(BA736+AZ736)</f>
        <v/>
      </c>
      <c r="BB737" s="14">
        <f>F737*in_sip_ticket*(BA737+0.5*AZ737)*in_sip_comm/12</f>
        <v/>
      </c>
      <c r="BC737" s="40">
        <f>BC736*(1-IF(B736&gt;=in_marketplace_from,d_hz_choti*G736,0))</f>
        <v/>
      </c>
      <c r="BD737" s="46">
        <f>BC737*IF(B737&gt;=in_marketplace_from,d_hz_choti*G737,0)</f>
        <v/>
      </c>
      <c r="BE737" s="14">
        <f>F737*SUMIFS(BD704:BD750,B704:B750,B737-in_choti_months)*in_choti_renew*in_choti_ticket</f>
        <v/>
      </c>
      <c r="BF737" s="40">
        <f>BF736*(1-IF(B736&gt;=in_marketplace_from,d_hz_nps*G736,0))</f>
        <v/>
      </c>
      <c r="BG737" s="14">
        <f>F737*BF737*IF(B737&gt;=in_marketplace_from,d_hz_nps*G737,0)*in_nps_ticket*in_nps_comm</f>
        <v/>
      </c>
      <c r="BH737" s="40">
        <f>BH736*(1-IF(B736&gt;=in_marketplace_from,d_hz_gold*G736,0))</f>
        <v/>
      </c>
      <c r="BI737" s="40">
        <f>BI736*d_rho_gold+BH737*IF(B737&gt;=in_marketplace_from,d_hz_gold*G737,0)</f>
        <v/>
      </c>
      <c r="BJ737" s="14">
        <f>F737*BI737*in_gold_ticket*in_gold_comm</f>
        <v/>
      </c>
      <c r="BK737" s="40">
        <f>BK736*(1-IF(B736&gt;=in_marketplace_from,d_hz_fd*G736,0))</f>
        <v/>
      </c>
      <c r="BL737" s="14">
        <f>F737*BK737*IF(B737&gt;=in_marketplace_from,d_hz_fd*G737,0)*in_fd_ticket*in_fd_comm</f>
        <v/>
      </c>
      <c r="BM737" s="40">
        <f>BM736*(1-IF(B736&gt;=in_marketplace_from,d_hz_recharge*G736,0))</f>
        <v/>
      </c>
      <c r="BN737" s="40">
        <f>BN736*d_rho_recharge+BM737*IF(B737&gt;=in_marketplace_from,d_hz_recharge*G737,0)</f>
        <v/>
      </c>
      <c r="BO737" s="14">
        <f>F737*BN737*in_recharge_ticket*in_recharge_comm/12</f>
        <v/>
      </c>
      <c r="BP737" s="40">
        <f>BP736*(1-IF(B736&gt;=in_marketplace_from,d_hz_bills*G736,0))</f>
        <v/>
      </c>
      <c r="BQ737" s="40">
        <f>BQ736*d_rho_bills+BP737*IF(B737&gt;=in_marketplace_from,d_hz_bills*G737,0)</f>
        <v/>
      </c>
      <c r="BR737" s="14">
        <f>F737*BQ737*in_bills_ticket*in_bills_comm/12</f>
        <v/>
      </c>
      <c r="BS737" s="40">
        <f>BS736*(1-IF(B736&gt;=in_marketplace_from,d_hz_loan_gold*G736,0))</f>
        <v/>
      </c>
      <c r="BT737" s="14">
        <f>F737*BS737*IF(B737&gt;=in_marketplace_from,d_hz_loan_gold*G737,0)*in_loan_gold_ticket*in_loan_gold_comm</f>
        <v/>
      </c>
      <c r="BU737" s="40">
        <f>BU736*(1-IF(B736&gt;=in_marketplace_from,d_hz_loan_cd*G736,0))</f>
        <v/>
      </c>
      <c r="BV737" s="14">
        <f>F737*BU737*IF(B737&gt;=in_marketplace_from,d_hz_loan_cd*G737,0)*in_loan_cd_ticket*in_loan_cd_comm</f>
        <v/>
      </c>
      <c r="BW737" s="40">
        <f>BW736*(1-IF(B736&gt;=in_marketplace_from,d_hz_loan_vehicle*G736,0))</f>
        <v/>
      </c>
      <c r="BX737" s="14">
        <f>F737*BW737*IF(B737&gt;=in_marketplace_from,d_hz_loan_vehicle*G737,0)*in_loan_vehicle_ticket*in_loan_vehicle_comm</f>
        <v/>
      </c>
      <c r="BY737" s="40">
        <f>BY736*(1-IF(B736&gt;=in_marketplace_from,d_hz_loan_home*G736,0)*BZ736)</f>
        <v/>
      </c>
      <c r="BZ737" s="11">
        <f>MIN(in_approval_cap,in_loan_home_approval*INDEX('Age profile'!$O$2:$O$61,B737)*(1+in_approval_growth)^(D737-1))</f>
        <v/>
      </c>
      <c r="CA737" s="14">
        <f>F737*BY737*IF(B737&gt;=in_marketplace_from,d_hz_loan_home*G737,0)*BZ737*in_loan_home_ticket*in_loan_home_comm</f>
        <v/>
      </c>
      <c r="CB737" s="40">
        <f>CB736*(1-IF(B736&gt;=in_marketplace_from,d_hz_loan_lap*G736,0)*CC736)</f>
        <v/>
      </c>
      <c r="CC737" s="11">
        <f>MIN(in_approval_cap,in_loan_lap_approval*INDEX('Age profile'!$O$2:$O$61,B737)*(1+in_approval_growth)^(D737-1))</f>
        <v/>
      </c>
      <c r="CD737" s="14">
        <f>F737*CB737*IF(B737&gt;=in_marketplace_from,d_hz_loan_lap*G737,0)*CC737*in_loan_lap_ticket*in_loan_lap_comm</f>
        <v/>
      </c>
      <c r="CE737" s="14">
        <f>AA737+AB737+AC737+AD737+AG737+AJ737+AM737+AP737+AS737+AU737+AX737+BB737+BE737+BG737+BJ737+BL737+BO737+BR737+BT737+BV737+BX737+CA737+CD737</f>
        <v/>
      </c>
    </row>
    <row r="738">
      <c r="A738" s="39" t="n">
        <v>14</v>
      </c>
      <c r="B738" s="39" t="n">
        <v>35</v>
      </c>
      <c r="C738" s="39">
        <f>A738+B738-1</f>
        <v/>
      </c>
      <c r="D738" s="39">
        <f>INT((C738-1)/12)+1</f>
        <v/>
      </c>
      <c r="E738" s="44">
        <f>INDEX(Monthly!$B$2:$B$61,A738)</f>
        <v/>
      </c>
      <c r="F738" s="44">
        <f>E738*INDEX('Age profile'!$B$2:$B$61,B738)</f>
        <v/>
      </c>
      <c r="G738" s="45">
        <f>MIN(in_takeup_cap,INDEX('Age profile'!$N$2:$N$61,B738)*(1+in_takeup_growth)^(D738-1))</f>
        <v/>
      </c>
      <c r="H738" s="11">
        <f>MIN(in_approval_cap,in_approved_first*INDEX('Age profile'!$O$2:$O$61,B738)*(1+in_approval_growth)^(D738-1))</f>
        <v/>
      </c>
      <c r="I738" s="45">
        <f>G738*MIN(in_takeup_cap,INDEX('Age profile'!$O$2:$O$61,B738)*(1+in_approval_growth)^(D738-1))</f>
        <v/>
      </c>
      <c r="J738" s="40">
        <f>(J737-L737)*F738/F737</f>
        <v/>
      </c>
      <c r="K738" s="40">
        <f>(K737-M737)*F738/F737+SUMIFS(O704:O737,B704:B737,B738-1-d_T)*F738</f>
        <v/>
      </c>
      <c r="L738" s="40">
        <f>IF(B738&gt;=in_marketplace_from,J738*d_hz*G738*in_eligible*H738,0)</f>
        <v/>
      </c>
      <c r="M738" s="40">
        <f>IF(B738&gt;=in_marketplace_from,K738*d_hz*G738*in_eligible*in_approved_repeat,0)</f>
        <v/>
      </c>
      <c r="N738" s="40">
        <f>L738+M738</f>
        <v/>
      </c>
      <c r="O738" s="46">
        <f>N738/F738</f>
        <v/>
      </c>
      <c r="P738" s="40">
        <f>F738-J738-K738</f>
        <v/>
      </c>
      <c r="Q738" s="40">
        <f>IF(B738&gt;=in_marketplace_from,(J738+K738)*d_hz*G738,0)</f>
        <v/>
      </c>
      <c r="R738" s="40">
        <f>SUMIFS(N704:N750,B704:B750,"&gt;="&amp;(B738-d_T),B704:B750,"&lt;="&amp;(B738-1))</f>
        <v/>
      </c>
      <c r="S738" s="46">
        <f>(1-d_u)*S737+IF(d_T&gt;in_topup_lag,SUMIFS(O704:O750,B704:B750,B738-in_topup_lag)-d_udrop*SUMIFS(O704:O750,B704:B750,B738-d_T),0)</f>
        <v/>
      </c>
      <c r="T738" s="40">
        <f>F738*d_u*S738</f>
        <v/>
      </c>
      <c r="U738" s="9">
        <f>L738*in_ticket+M738*d_rep_ticket</f>
        <v/>
      </c>
      <c r="V738" s="9">
        <f>U738+T738*d_topup_amt</f>
        <v/>
      </c>
      <c r="W738" s="40">
        <f>N738+T738*d_topup_ratio</f>
        <v/>
      </c>
      <c r="X738" s="40">
        <f>SUMIFS(W704:W750,B704:B750,B738-in_dpd_lag)*d_cured</f>
        <v/>
      </c>
      <c r="Y738" s="40">
        <f>SUMIFS(W704:W750,B704:B750,B738-in_rec_lag)*d_recd</f>
        <v/>
      </c>
      <c r="Z738" s="40">
        <f>IF(AND(B738&gt;=in_marketplace_from,B738&lt;in_marketplace_from+in_card_months),in_card_share/in_card_months*F738*I738,IF(AND(B738&gt;=in_marketplace_from+in_card_months,B738&lt;in_marketplace_from+2*in_card_months),in_card_share*d_card_rem/in_card_months*F738*MIN(in_takeup_cap,(1+in_takeup_growth)^(D738-1))*MIN(in_takeup_cap,(1+in_approval_growth)^(D738-1)),0))</f>
        <v/>
      </c>
      <c r="AA738" s="14">
        <f>V738*in_fee*(1-in_taken_back)</f>
        <v/>
      </c>
      <c r="AB738" s="14">
        <f>SUMIFS(W704:W750,B704:B750,B738-in_dpd_lag)*d_dpd</f>
        <v/>
      </c>
      <c r="AC738" s="14">
        <f>SUMIFS(W704:W750,B704:B750,B738-in_rec_lag)*d_rec</f>
        <v/>
      </c>
      <c r="AD738" s="14">
        <f>Z738*in_card_fee</f>
        <v/>
      </c>
      <c r="AE738" s="40">
        <f>AE737*(1-IF(B737&gt;=in_marketplace_from,d_hz_hlth_small*G737,0))</f>
        <v/>
      </c>
      <c r="AF738" s="46">
        <f>AE738*IF(B738&gt;=in_marketplace_from,d_hz_hlth_small*G738,0)</f>
        <v/>
      </c>
      <c r="AG738" s="14">
        <f>F738*AF738*in_hlth_small_ticket*in_hlth_small_comm*in_ins_partner_share+F738*in_hlth_small_ticket*in_hlth_small_renew_comm*in_ins_partner_share*(in_hlth_small_renew^1*SUMIFS(AF704:AF750,B704:B750,B738-12)+in_hlth_small_renew^2*SUMIFS(AF704:AF750,B704:B750,B738-24)+in_hlth_small_renew^3*SUMIFS(AF704:AF750,B704:B750,B738-36)+in_hlth_small_renew^4*SUMIFS(AF704:AF750,B704:B750,B738-48))</f>
        <v/>
      </c>
      <c r="AH738" s="40">
        <f>AH737*(1-IF(B737&gt;=in_marketplace_from,d_hz_hlth_family*G737,0))</f>
        <v/>
      </c>
      <c r="AI738" s="46">
        <f>AH738*IF(B738&gt;=in_marketplace_from,d_hz_hlth_family*G738,0)</f>
        <v/>
      </c>
      <c r="AJ738" s="14">
        <f>F738*AI738*in_hlth_family_ticket*in_hlth_family_comm*in_ins_partner_share+F738*in_hlth_family_ticket*in_hlth_family_renew_comm*in_ins_partner_share*(in_hlth_family_renew^1*SUMIFS(AI704:AI750,B704:B750,B738-12)+in_hlth_family_renew^2*SUMIFS(AI704:AI750,B704:B750,B738-24)+in_hlth_family_renew^3*SUMIFS(AI704:AI750,B704:B750,B738-36)+in_hlth_family_renew^4*SUMIFS(AI704:AI750,B704:B750,B738-48))</f>
        <v/>
      </c>
      <c r="AK738" s="40">
        <f>AK737*(1-IF(B737&gt;=in_marketplace_from,d_hz_life_term*G737,0))</f>
        <v/>
      </c>
      <c r="AL738" s="46">
        <f>AK738*IF(B738&gt;=in_marketplace_from,d_hz_life_term*G738,0)</f>
        <v/>
      </c>
      <c r="AM738" s="14">
        <f>F738*AL738*in_life_term_ticket*in_life_term_comm*in_ins_partner_share+F738*in_life_term_ticket*in_life_term_renew_comm*in_ins_partner_share*(in_life_term_renew^1*SUMIFS(AL704:AL750,B704:B750,B738-12)+in_life_term_renew^2*SUMIFS(AL704:AL750,B704:B750,B738-24)+in_life_term_renew^3*SUMIFS(AL704:AL750,B704:B750,B738-36)+in_life_term_renew^4*SUMIFS(AL704:AL750,B704:B750,B738-48))</f>
        <v/>
      </c>
      <c r="AN738" s="40">
        <f>AN737*(1-IF(B737&gt;=in_marketplace_from,d_hz_accident*G737,0))</f>
        <v/>
      </c>
      <c r="AO738" s="46">
        <f>AN738*IF(B738&gt;=in_marketplace_from,d_hz_accident*G738,0)</f>
        <v/>
      </c>
      <c r="AP738" s="14">
        <f>F738*AO738*in_accident_ticket*in_accident_comm*in_ins_partner_share+F738*in_accident_ticket*in_accident_renew_comm*in_ins_partner_share*(in_accident_renew^1*SUMIFS(AO704:AO750,B704:B750,B738-12)+in_accident_renew^2*SUMIFS(AO704:AO750,B704:B750,B738-24)+in_accident_renew^3*SUMIFS(AO704:AO750,B704:B750,B738-36)+in_accident_renew^4*SUMIFS(AO704:AO750,B704:B750,B738-48))</f>
        <v/>
      </c>
      <c r="AQ738" s="40">
        <f>AQ737*(1-IF(B737&gt;=in_marketplace_from,d_hz_two_wheeler*G737,0))</f>
        <v/>
      </c>
      <c r="AR738" s="46">
        <f>AQ738*IF(B738&gt;=in_marketplace_from,d_hz_two_wheeler*G738,0)</f>
        <v/>
      </c>
      <c r="AS738" s="14">
        <f>F738*AR738*in_two_wheeler_ticket*in_two_wheeler_comm*in_ins_partner_share+F738*in_two_wheeler_ticket*in_two_wheeler_comm*in_ins_partner_share*(in_two_wheeler_renew^1*SUMIFS(AR704:AR750,B704:B750,B738-12)+in_two_wheeler_renew^2*SUMIFS(AR704:AR750,B704:B750,B738-24)+in_two_wheeler_renew^3*SUMIFS(AR704:AR750,B704:B750,B738-36)+in_two_wheeler_renew^4*SUMIFS(AR704:AR750,B704:B750,B738-48))</f>
        <v/>
      </c>
      <c r="AT738" s="40">
        <f>AT737*(1-IF(B737&gt;=in_marketplace_from,d_hz_device*G737,0))</f>
        <v/>
      </c>
      <c r="AU738" s="14">
        <f>F738*AT738*IF(B738&gt;=in_marketplace_from,d_hz_device*G738,0)*in_device_ticket*in_device_comm*in_ins_partner_share</f>
        <v/>
      </c>
      <c r="AV738" s="40">
        <f>AV737*(1-IF(B737&gt;=in_marketplace_from,d_hz_shop*G737,0))</f>
        <v/>
      </c>
      <c r="AW738" s="46">
        <f>AV738*IF(B738&gt;=in_marketplace_from,d_hz_shop*G738,0)</f>
        <v/>
      </c>
      <c r="AX738" s="14">
        <f>F738*AW738*in_shop_ticket*in_shop_comm*in_ins_partner_share+F738*in_shop_ticket*in_shop_renew_comm*in_ins_partner_share*(in_shop_renew^1*SUMIFS(AW704:AW750,B704:B750,B738-12)+in_shop_renew^2*SUMIFS(AW704:AW750,B704:B750,B738-24)+in_shop_renew^3*SUMIFS(AW704:AW750,B704:B750,B738-36)+in_shop_renew^4*SUMIFS(AW704:AW750,B704:B750,B738-48))</f>
        <v/>
      </c>
      <c r="AY738" s="40">
        <f>AY737*(1-IF(B737&gt;=in_marketplace_from,d_hz_sip*G737,0))</f>
        <v/>
      </c>
      <c r="AZ738" s="40">
        <f>AZ737*d_rho_sip+AY738*IF(B738&gt;=in_marketplace_from,d_hz_sip*G738,0)</f>
        <v/>
      </c>
      <c r="BA738" s="40">
        <f>d_rho_sip*(BA737+AZ737)</f>
        <v/>
      </c>
      <c r="BB738" s="14">
        <f>F738*in_sip_ticket*(BA738+0.5*AZ738)*in_sip_comm/12</f>
        <v/>
      </c>
      <c r="BC738" s="40">
        <f>BC737*(1-IF(B737&gt;=in_marketplace_from,d_hz_choti*G737,0))</f>
        <v/>
      </c>
      <c r="BD738" s="46">
        <f>BC738*IF(B738&gt;=in_marketplace_from,d_hz_choti*G738,0)</f>
        <v/>
      </c>
      <c r="BE738" s="14">
        <f>F738*SUMIFS(BD704:BD750,B704:B750,B738-in_choti_months)*in_choti_renew*in_choti_ticket</f>
        <v/>
      </c>
      <c r="BF738" s="40">
        <f>BF737*(1-IF(B737&gt;=in_marketplace_from,d_hz_nps*G737,0))</f>
        <v/>
      </c>
      <c r="BG738" s="14">
        <f>F738*BF738*IF(B738&gt;=in_marketplace_from,d_hz_nps*G738,0)*in_nps_ticket*in_nps_comm</f>
        <v/>
      </c>
      <c r="BH738" s="40">
        <f>BH737*(1-IF(B737&gt;=in_marketplace_from,d_hz_gold*G737,0))</f>
        <v/>
      </c>
      <c r="BI738" s="40">
        <f>BI737*d_rho_gold+BH738*IF(B738&gt;=in_marketplace_from,d_hz_gold*G738,0)</f>
        <v/>
      </c>
      <c r="BJ738" s="14">
        <f>F738*BI738*in_gold_ticket*in_gold_comm</f>
        <v/>
      </c>
      <c r="BK738" s="40">
        <f>BK737*(1-IF(B737&gt;=in_marketplace_from,d_hz_fd*G737,0))</f>
        <v/>
      </c>
      <c r="BL738" s="14">
        <f>F738*BK738*IF(B738&gt;=in_marketplace_from,d_hz_fd*G738,0)*in_fd_ticket*in_fd_comm</f>
        <v/>
      </c>
      <c r="BM738" s="40">
        <f>BM737*(1-IF(B737&gt;=in_marketplace_from,d_hz_recharge*G737,0))</f>
        <v/>
      </c>
      <c r="BN738" s="40">
        <f>BN737*d_rho_recharge+BM738*IF(B738&gt;=in_marketplace_from,d_hz_recharge*G738,0)</f>
        <v/>
      </c>
      <c r="BO738" s="14">
        <f>F738*BN738*in_recharge_ticket*in_recharge_comm/12</f>
        <v/>
      </c>
      <c r="BP738" s="40">
        <f>BP737*(1-IF(B737&gt;=in_marketplace_from,d_hz_bills*G737,0))</f>
        <v/>
      </c>
      <c r="BQ738" s="40">
        <f>BQ737*d_rho_bills+BP738*IF(B738&gt;=in_marketplace_from,d_hz_bills*G738,0)</f>
        <v/>
      </c>
      <c r="BR738" s="14">
        <f>F738*BQ738*in_bills_ticket*in_bills_comm/12</f>
        <v/>
      </c>
      <c r="BS738" s="40">
        <f>BS737*(1-IF(B737&gt;=in_marketplace_from,d_hz_loan_gold*G737,0))</f>
        <v/>
      </c>
      <c r="BT738" s="14">
        <f>F738*BS738*IF(B738&gt;=in_marketplace_from,d_hz_loan_gold*G738,0)*in_loan_gold_ticket*in_loan_gold_comm</f>
        <v/>
      </c>
      <c r="BU738" s="40">
        <f>BU737*(1-IF(B737&gt;=in_marketplace_from,d_hz_loan_cd*G737,0))</f>
        <v/>
      </c>
      <c r="BV738" s="14">
        <f>F738*BU738*IF(B738&gt;=in_marketplace_from,d_hz_loan_cd*G738,0)*in_loan_cd_ticket*in_loan_cd_comm</f>
        <v/>
      </c>
      <c r="BW738" s="40">
        <f>BW737*(1-IF(B737&gt;=in_marketplace_from,d_hz_loan_vehicle*G737,0))</f>
        <v/>
      </c>
      <c r="BX738" s="14">
        <f>F738*BW738*IF(B738&gt;=in_marketplace_from,d_hz_loan_vehicle*G738,0)*in_loan_vehicle_ticket*in_loan_vehicle_comm</f>
        <v/>
      </c>
      <c r="BY738" s="40">
        <f>BY737*(1-IF(B737&gt;=in_marketplace_from,d_hz_loan_home*G737,0)*BZ737)</f>
        <v/>
      </c>
      <c r="BZ738" s="11">
        <f>MIN(in_approval_cap,in_loan_home_approval*INDEX('Age profile'!$O$2:$O$61,B738)*(1+in_approval_growth)^(D738-1))</f>
        <v/>
      </c>
      <c r="CA738" s="14">
        <f>F738*BY738*IF(B738&gt;=in_marketplace_from,d_hz_loan_home*G738,0)*BZ738*in_loan_home_ticket*in_loan_home_comm</f>
        <v/>
      </c>
      <c r="CB738" s="40">
        <f>CB737*(1-IF(B737&gt;=in_marketplace_from,d_hz_loan_lap*G737,0)*CC737)</f>
        <v/>
      </c>
      <c r="CC738" s="11">
        <f>MIN(in_approval_cap,in_loan_lap_approval*INDEX('Age profile'!$O$2:$O$61,B738)*(1+in_approval_growth)^(D738-1))</f>
        <v/>
      </c>
      <c r="CD738" s="14">
        <f>F738*CB738*IF(B738&gt;=in_marketplace_from,d_hz_loan_lap*G738,0)*CC738*in_loan_lap_ticket*in_loan_lap_comm</f>
        <v/>
      </c>
      <c r="CE738" s="14">
        <f>AA738+AB738+AC738+AD738+AG738+AJ738+AM738+AP738+AS738+AU738+AX738+BB738+BE738+BG738+BJ738+BL738+BO738+BR738+BT738+BV738+BX738+CA738+CD738</f>
        <v/>
      </c>
    </row>
    <row r="739">
      <c r="A739" s="39" t="n">
        <v>14</v>
      </c>
      <c r="B739" s="39" t="n">
        <v>36</v>
      </c>
      <c r="C739" s="39">
        <f>A739+B739-1</f>
        <v/>
      </c>
      <c r="D739" s="39">
        <f>INT((C739-1)/12)+1</f>
        <v/>
      </c>
      <c r="E739" s="44">
        <f>INDEX(Monthly!$B$2:$B$61,A739)</f>
        <v/>
      </c>
      <c r="F739" s="44">
        <f>E739*INDEX('Age profile'!$B$2:$B$61,B739)</f>
        <v/>
      </c>
      <c r="G739" s="45">
        <f>MIN(in_takeup_cap,INDEX('Age profile'!$N$2:$N$61,B739)*(1+in_takeup_growth)^(D739-1))</f>
        <v/>
      </c>
      <c r="H739" s="11">
        <f>MIN(in_approval_cap,in_approved_first*INDEX('Age profile'!$O$2:$O$61,B739)*(1+in_approval_growth)^(D739-1))</f>
        <v/>
      </c>
      <c r="I739" s="45">
        <f>G739*MIN(in_takeup_cap,INDEX('Age profile'!$O$2:$O$61,B739)*(1+in_approval_growth)^(D739-1))</f>
        <v/>
      </c>
      <c r="J739" s="40">
        <f>(J738-L738)*F739/F738</f>
        <v/>
      </c>
      <c r="K739" s="40">
        <f>(K738-M738)*F739/F738+SUMIFS(O704:O738,B704:B738,B739-1-d_T)*F739</f>
        <v/>
      </c>
      <c r="L739" s="40">
        <f>IF(B739&gt;=in_marketplace_from,J739*d_hz*G739*in_eligible*H739,0)</f>
        <v/>
      </c>
      <c r="M739" s="40">
        <f>IF(B739&gt;=in_marketplace_from,K739*d_hz*G739*in_eligible*in_approved_repeat,0)</f>
        <v/>
      </c>
      <c r="N739" s="40">
        <f>L739+M739</f>
        <v/>
      </c>
      <c r="O739" s="46">
        <f>N739/F739</f>
        <v/>
      </c>
      <c r="P739" s="40">
        <f>F739-J739-K739</f>
        <v/>
      </c>
      <c r="Q739" s="40">
        <f>IF(B739&gt;=in_marketplace_from,(J739+K739)*d_hz*G739,0)</f>
        <v/>
      </c>
      <c r="R739" s="40">
        <f>SUMIFS(N704:N750,B704:B750,"&gt;="&amp;(B739-d_T),B704:B750,"&lt;="&amp;(B739-1))</f>
        <v/>
      </c>
      <c r="S739" s="46">
        <f>(1-d_u)*S738+IF(d_T&gt;in_topup_lag,SUMIFS(O704:O750,B704:B750,B739-in_topup_lag)-d_udrop*SUMIFS(O704:O750,B704:B750,B739-d_T),0)</f>
        <v/>
      </c>
      <c r="T739" s="40">
        <f>F739*d_u*S739</f>
        <v/>
      </c>
      <c r="U739" s="9">
        <f>L739*in_ticket+M739*d_rep_ticket</f>
        <v/>
      </c>
      <c r="V739" s="9">
        <f>U739+T739*d_topup_amt</f>
        <v/>
      </c>
      <c r="W739" s="40">
        <f>N739+T739*d_topup_ratio</f>
        <v/>
      </c>
      <c r="X739" s="40">
        <f>SUMIFS(W704:W750,B704:B750,B739-in_dpd_lag)*d_cured</f>
        <v/>
      </c>
      <c r="Y739" s="40">
        <f>SUMIFS(W704:W750,B704:B750,B739-in_rec_lag)*d_recd</f>
        <v/>
      </c>
      <c r="Z739" s="40">
        <f>IF(AND(B739&gt;=in_marketplace_from,B739&lt;in_marketplace_from+in_card_months),in_card_share/in_card_months*F739*I739,IF(AND(B739&gt;=in_marketplace_from+in_card_months,B739&lt;in_marketplace_from+2*in_card_months),in_card_share*d_card_rem/in_card_months*F739*MIN(in_takeup_cap,(1+in_takeup_growth)^(D739-1))*MIN(in_takeup_cap,(1+in_approval_growth)^(D739-1)),0))</f>
        <v/>
      </c>
      <c r="AA739" s="14">
        <f>V739*in_fee*(1-in_taken_back)</f>
        <v/>
      </c>
      <c r="AB739" s="14">
        <f>SUMIFS(W704:W750,B704:B750,B739-in_dpd_lag)*d_dpd</f>
        <v/>
      </c>
      <c r="AC739" s="14">
        <f>SUMIFS(W704:W750,B704:B750,B739-in_rec_lag)*d_rec</f>
        <v/>
      </c>
      <c r="AD739" s="14">
        <f>Z739*in_card_fee</f>
        <v/>
      </c>
      <c r="AE739" s="40">
        <f>AE738*(1-IF(B738&gt;=in_marketplace_from,d_hz_hlth_small*G738,0))</f>
        <v/>
      </c>
      <c r="AF739" s="46">
        <f>AE739*IF(B739&gt;=in_marketplace_from,d_hz_hlth_small*G739,0)</f>
        <v/>
      </c>
      <c r="AG739" s="14">
        <f>F739*AF739*in_hlth_small_ticket*in_hlth_small_comm*in_ins_partner_share+F739*in_hlth_small_ticket*in_hlth_small_renew_comm*in_ins_partner_share*(in_hlth_small_renew^1*SUMIFS(AF704:AF750,B704:B750,B739-12)+in_hlth_small_renew^2*SUMIFS(AF704:AF750,B704:B750,B739-24)+in_hlth_small_renew^3*SUMIFS(AF704:AF750,B704:B750,B739-36)+in_hlth_small_renew^4*SUMIFS(AF704:AF750,B704:B750,B739-48))</f>
        <v/>
      </c>
      <c r="AH739" s="40">
        <f>AH738*(1-IF(B738&gt;=in_marketplace_from,d_hz_hlth_family*G738,0))</f>
        <v/>
      </c>
      <c r="AI739" s="46">
        <f>AH739*IF(B739&gt;=in_marketplace_from,d_hz_hlth_family*G739,0)</f>
        <v/>
      </c>
      <c r="AJ739" s="14">
        <f>F739*AI739*in_hlth_family_ticket*in_hlth_family_comm*in_ins_partner_share+F739*in_hlth_family_ticket*in_hlth_family_renew_comm*in_ins_partner_share*(in_hlth_family_renew^1*SUMIFS(AI704:AI750,B704:B750,B739-12)+in_hlth_family_renew^2*SUMIFS(AI704:AI750,B704:B750,B739-24)+in_hlth_family_renew^3*SUMIFS(AI704:AI750,B704:B750,B739-36)+in_hlth_family_renew^4*SUMIFS(AI704:AI750,B704:B750,B739-48))</f>
        <v/>
      </c>
      <c r="AK739" s="40">
        <f>AK738*(1-IF(B738&gt;=in_marketplace_from,d_hz_life_term*G738,0))</f>
        <v/>
      </c>
      <c r="AL739" s="46">
        <f>AK739*IF(B739&gt;=in_marketplace_from,d_hz_life_term*G739,0)</f>
        <v/>
      </c>
      <c r="AM739" s="14">
        <f>F739*AL739*in_life_term_ticket*in_life_term_comm*in_ins_partner_share+F739*in_life_term_ticket*in_life_term_renew_comm*in_ins_partner_share*(in_life_term_renew^1*SUMIFS(AL704:AL750,B704:B750,B739-12)+in_life_term_renew^2*SUMIFS(AL704:AL750,B704:B750,B739-24)+in_life_term_renew^3*SUMIFS(AL704:AL750,B704:B750,B739-36)+in_life_term_renew^4*SUMIFS(AL704:AL750,B704:B750,B739-48))</f>
        <v/>
      </c>
      <c r="AN739" s="40">
        <f>AN738*(1-IF(B738&gt;=in_marketplace_from,d_hz_accident*G738,0))</f>
        <v/>
      </c>
      <c r="AO739" s="46">
        <f>AN739*IF(B739&gt;=in_marketplace_from,d_hz_accident*G739,0)</f>
        <v/>
      </c>
      <c r="AP739" s="14">
        <f>F739*AO739*in_accident_ticket*in_accident_comm*in_ins_partner_share+F739*in_accident_ticket*in_accident_renew_comm*in_ins_partner_share*(in_accident_renew^1*SUMIFS(AO704:AO750,B704:B750,B739-12)+in_accident_renew^2*SUMIFS(AO704:AO750,B704:B750,B739-24)+in_accident_renew^3*SUMIFS(AO704:AO750,B704:B750,B739-36)+in_accident_renew^4*SUMIFS(AO704:AO750,B704:B750,B739-48))</f>
        <v/>
      </c>
      <c r="AQ739" s="40">
        <f>AQ738*(1-IF(B738&gt;=in_marketplace_from,d_hz_two_wheeler*G738,0))</f>
        <v/>
      </c>
      <c r="AR739" s="46">
        <f>AQ739*IF(B739&gt;=in_marketplace_from,d_hz_two_wheeler*G739,0)</f>
        <v/>
      </c>
      <c r="AS739" s="14">
        <f>F739*AR739*in_two_wheeler_ticket*in_two_wheeler_comm*in_ins_partner_share+F739*in_two_wheeler_ticket*in_two_wheeler_comm*in_ins_partner_share*(in_two_wheeler_renew^1*SUMIFS(AR704:AR750,B704:B750,B739-12)+in_two_wheeler_renew^2*SUMIFS(AR704:AR750,B704:B750,B739-24)+in_two_wheeler_renew^3*SUMIFS(AR704:AR750,B704:B750,B739-36)+in_two_wheeler_renew^4*SUMIFS(AR704:AR750,B704:B750,B739-48))</f>
        <v/>
      </c>
      <c r="AT739" s="40">
        <f>AT738*(1-IF(B738&gt;=in_marketplace_from,d_hz_device*G738,0))</f>
        <v/>
      </c>
      <c r="AU739" s="14">
        <f>F739*AT739*IF(B739&gt;=in_marketplace_from,d_hz_device*G739,0)*in_device_ticket*in_device_comm*in_ins_partner_share</f>
        <v/>
      </c>
      <c r="AV739" s="40">
        <f>AV738*(1-IF(B738&gt;=in_marketplace_from,d_hz_shop*G738,0))</f>
        <v/>
      </c>
      <c r="AW739" s="46">
        <f>AV739*IF(B739&gt;=in_marketplace_from,d_hz_shop*G739,0)</f>
        <v/>
      </c>
      <c r="AX739" s="14">
        <f>F739*AW739*in_shop_ticket*in_shop_comm*in_ins_partner_share+F739*in_shop_ticket*in_shop_renew_comm*in_ins_partner_share*(in_shop_renew^1*SUMIFS(AW704:AW750,B704:B750,B739-12)+in_shop_renew^2*SUMIFS(AW704:AW750,B704:B750,B739-24)+in_shop_renew^3*SUMIFS(AW704:AW750,B704:B750,B739-36)+in_shop_renew^4*SUMIFS(AW704:AW750,B704:B750,B739-48))</f>
        <v/>
      </c>
      <c r="AY739" s="40">
        <f>AY738*(1-IF(B738&gt;=in_marketplace_from,d_hz_sip*G738,0))</f>
        <v/>
      </c>
      <c r="AZ739" s="40">
        <f>AZ738*d_rho_sip+AY739*IF(B739&gt;=in_marketplace_from,d_hz_sip*G739,0)</f>
        <v/>
      </c>
      <c r="BA739" s="40">
        <f>d_rho_sip*(BA738+AZ738)</f>
        <v/>
      </c>
      <c r="BB739" s="14">
        <f>F739*in_sip_ticket*(BA739+0.5*AZ739)*in_sip_comm/12</f>
        <v/>
      </c>
      <c r="BC739" s="40">
        <f>BC738*(1-IF(B738&gt;=in_marketplace_from,d_hz_choti*G738,0))</f>
        <v/>
      </c>
      <c r="BD739" s="46">
        <f>BC739*IF(B739&gt;=in_marketplace_from,d_hz_choti*G739,0)</f>
        <v/>
      </c>
      <c r="BE739" s="14">
        <f>F739*SUMIFS(BD704:BD750,B704:B750,B739-in_choti_months)*in_choti_renew*in_choti_ticket</f>
        <v/>
      </c>
      <c r="BF739" s="40">
        <f>BF738*(1-IF(B738&gt;=in_marketplace_from,d_hz_nps*G738,0))</f>
        <v/>
      </c>
      <c r="BG739" s="14">
        <f>F739*BF739*IF(B739&gt;=in_marketplace_from,d_hz_nps*G739,0)*in_nps_ticket*in_nps_comm</f>
        <v/>
      </c>
      <c r="BH739" s="40">
        <f>BH738*(1-IF(B738&gt;=in_marketplace_from,d_hz_gold*G738,0))</f>
        <v/>
      </c>
      <c r="BI739" s="40">
        <f>BI738*d_rho_gold+BH739*IF(B739&gt;=in_marketplace_from,d_hz_gold*G739,0)</f>
        <v/>
      </c>
      <c r="BJ739" s="14">
        <f>F739*BI739*in_gold_ticket*in_gold_comm</f>
        <v/>
      </c>
      <c r="BK739" s="40">
        <f>BK738*(1-IF(B738&gt;=in_marketplace_from,d_hz_fd*G738,0))</f>
        <v/>
      </c>
      <c r="BL739" s="14">
        <f>F739*BK739*IF(B739&gt;=in_marketplace_from,d_hz_fd*G739,0)*in_fd_ticket*in_fd_comm</f>
        <v/>
      </c>
      <c r="BM739" s="40">
        <f>BM738*(1-IF(B738&gt;=in_marketplace_from,d_hz_recharge*G738,0))</f>
        <v/>
      </c>
      <c r="BN739" s="40">
        <f>BN738*d_rho_recharge+BM739*IF(B739&gt;=in_marketplace_from,d_hz_recharge*G739,0)</f>
        <v/>
      </c>
      <c r="BO739" s="14">
        <f>F739*BN739*in_recharge_ticket*in_recharge_comm/12</f>
        <v/>
      </c>
      <c r="BP739" s="40">
        <f>BP738*(1-IF(B738&gt;=in_marketplace_from,d_hz_bills*G738,0))</f>
        <v/>
      </c>
      <c r="BQ739" s="40">
        <f>BQ738*d_rho_bills+BP739*IF(B739&gt;=in_marketplace_from,d_hz_bills*G739,0)</f>
        <v/>
      </c>
      <c r="BR739" s="14">
        <f>F739*BQ739*in_bills_ticket*in_bills_comm/12</f>
        <v/>
      </c>
      <c r="BS739" s="40">
        <f>BS738*(1-IF(B738&gt;=in_marketplace_from,d_hz_loan_gold*G738,0))</f>
        <v/>
      </c>
      <c r="BT739" s="14">
        <f>F739*BS739*IF(B739&gt;=in_marketplace_from,d_hz_loan_gold*G739,0)*in_loan_gold_ticket*in_loan_gold_comm</f>
        <v/>
      </c>
      <c r="BU739" s="40">
        <f>BU738*(1-IF(B738&gt;=in_marketplace_from,d_hz_loan_cd*G738,0))</f>
        <v/>
      </c>
      <c r="BV739" s="14">
        <f>F739*BU739*IF(B739&gt;=in_marketplace_from,d_hz_loan_cd*G739,0)*in_loan_cd_ticket*in_loan_cd_comm</f>
        <v/>
      </c>
      <c r="BW739" s="40">
        <f>BW738*(1-IF(B738&gt;=in_marketplace_from,d_hz_loan_vehicle*G738,0))</f>
        <v/>
      </c>
      <c r="BX739" s="14">
        <f>F739*BW739*IF(B739&gt;=in_marketplace_from,d_hz_loan_vehicle*G739,0)*in_loan_vehicle_ticket*in_loan_vehicle_comm</f>
        <v/>
      </c>
      <c r="BY739" s="40">
        <f>BY738*(1-IF(B738&gt;=in_marketplace_from,d_hz_loan_home*G738,0)*BZ738)</f>
        <v/>
      </c>
      <c r="BZ739" s="11">
        <f>MIN(in_approval_cap,in_loan_home_approval*INDEX('Age profile'!$O$2:$O$61,B739)*(1+in_approval_growth)^(D739-1))</f>
        <v/>
      </c>
      <c r="CA739" s="14">
        <f>F739*BY739*IF(B739&gt;=in_marketplace_from,d_hz_loan_home*G739,0)*BZ739*in_loan_home_ticket*in_loan_home_comm</f>
        <v/>
      </c>
      <c r="CB739" s="40">
        <f>CB738*(1-IF(B738&gt;=in_marketplace_from,d_hz_loan_lap*G738,0)*CC738)</f>
        <v/>
      </c>
      <c r="CC739" s="11">
        <f>MIN(in_approval_cap,in_loan_lap_approval*INDEX('Age profile'!$O$2:$O$61,B739)*(1+in_approval_growth)^(D739-1))</f>
        <v/>
      </c>
      <c r="CD739" s="14">
        <f>F739*CB739*IF(B739&gt;=in_marketplace_from,d_hz_loan_lap*G739,0)*CC739*in_loan_lap_ticket*in_loan_lap_comm</f>
        <v/>
      </c>
      <c r="CE739" s="14">
        <f>AA739+AB739+AC739+AD739+AG739+AJ739+AM739+AP739+AS739+AU739+AX739+BB739+BE739+BG739+BJ739+BL739+BO739+BR739+BT739+BV739+BX739+CA739+CD739</f>
        <v/>
      </c>
    </row>
    <row r="740">
      <c r="A740" s="39" t="n">
        <v>14</v>
      </c>
      <c r="B740" s="39" t="n">
        <v>37</v>
      </c>
      <c r="C740" s="39">
        <f>A740+B740-1</f>
        <v/>
      </c>
      <c r="D740" s="39">
        <f>INT((C740-1)/12)+1</f>
        <v/>
      </c>
      <c r="E740" s="44">
        <f>INDEX(Monthly!$B$2:$B$61,A740)</f>
        <v/>
      </c>
      <c r="F740" s="44">
        <f>E740*INDEX('Age profile'!$B$2:$B$61,B740)</f>
        <v/>
      </c>
      <c r="G740" s="45">
        <f>MIN(in_takeup_cap,INDEX('Age profile'!$N$2:$N$61,B740)*(1+in_takeup_growth)^(D740-1))</f>
        <v/>
      </c>
      <c r="H740" s="11">
        <f>MIN(in_approval_cap,in_approved_first*INDEX('Age profile'!$O$2:$O$61,B740)*(1+in_approval_growth)^(D740-1))</f>
        <v/>
      </c>
      <c r="I740" s="45">
        <f>G740*MIN(in_takeup_cap,INDEX('Age profile'!$O$2:$O$61,B740)*(1+in_approval_growth)^(D740-1))</f>
        <v/>
      </c>
      <c r="J740" s="40">
        <f>(J739-L739)*F740/F739</f>
        <v/>
      </c>
      <c r="K740" s="40">
        <f>(K739-M739)*F740/F739+SUMIFS(O704:O739,B704:B739,B740-1-d_T)*F740</f>
        <v/>
      </c>
      <c r="L740" s="40">
        <f>IF(B740&gt;=in_marketplace_from,J740*d_hz*G740*in_eligible*H740,0)</f>
        <v/>
      </c>
      <c r="M740" s="40">
        <f>IF(B740&gt;=in_marketplace_from,K740*d_hz*G740*in_eligible*in_approved_repeat,0)</f>
        <v/>
      </c>
      <c r="N740" s="40">
        <f>L740+M740</f>
        <v/>
      </c>
      <c r="O740" s="46">
        <f>N740/F740</f>
        <v/>
      </c>
      <c r="P740" s="40">
        <f>F740-J740-K740</f>
        <v/>
      </c>
      <c r="Q740" s="40">
        <f>IF(B740&gt;=in_marketplace_from,(J740+K740)*d_hz*G740,0)</f>
        <v/>
      </c>
      <c r="R740" s="40">
        <f>SUMIFS(N704:N750,B704:B750,"&gt;="&amp;(B740-d_T),B704:B750,"&lt;="&amp;(B740-1))</f>
        <v/>
      </c>
      <c r="S740" s="46">
        <f>(1-d_u)*S739+IF(d_T&gt;in_topup_lag,SUMIFS(O704:O750,B704:B750,B740-in_topup_lag)-d_udrop*SUMIFS(O704:O750,B704:B750,B740-d_T),0)</f>
        <v/>
      </c>
      <c r="T740" s="40">
        <f>F740*d_u*S740</f>
        <v/>
      </c>
      <c r="U740" s="9">
        <f>L740*in_ticket+M740*d_rep_ticket</f>
        <v/>
      </c>
      <c r="V740" s="9">
        <f>U740+T740*d_topup_amt</f>
        <v/>
      </c>
      <c r="W740" s="40">
        <f>N740+T740*d_topup_ratio</f>
        <v/>
      </c>
      <c r="X740" s="40">
        <f>SUMIFS(W704:W750,B704:B750,B740-in_dpd_lag)*d_cured</f>
        <v/>
      </c>
      <c r="Y740" s="40">
        <f>SUMIFS(W704:W750,B704:B750,B740-in_rec_lag)*d_recd</f>
        <v/>
      </c>
      <c r="Z740" s="40">
        <f>IF(AND(B740&gt;=in_marketplace_from,B740&lt;in_marketplace_from+in_card_months),in_card_share/in_card_months*F740*I740,IF(AND(B740&gt;=in_marketplace_from+in_card_months,B740&lt;in_marketplace_from+2*in_card_months),in_card_share*d_card_rem/in_card_months*F740*MIN(in_takeup_cap,(1+in_takeup_growth)^(D740-1))*MIN(in_takeup_cap,(1+in_approval_growth)^(D740-1)),0))</f>
        <v/>
      </c>
      <c r="AA740" s="14">
        <f>V740*in_fee*(1-in_taken_back)</f>
        <v/>
      </c>
      <c r="AB740" s="14">
        <f>SUMIFS(W704:W750,B704:B750,B740-in_dpd_lag)*d_dpd</f>
        <v/>
      </c>
      <c r="AC740" s="14">
        <f>SUMIFS(W704:W750,B704:B750,B740-in_rec_lag)*d_rec</f>
        <v/>
      </c>
      <c r="AD740" s="14">
        <f>Z740*in_card_fee</f>
        <v/>
      </c>
      <c r="AE740" s="40">
        <f>AE739*(1-IF(B739&gt;=in_marketplace_from,d_hz_hlth_small*G739,0))</f>
        <v/>
      </c>
      <c r="AF740" s="46">
        <f>AE740*IF(B740&gt;=in_marketplace_from,d_hz_hlth_small*G740,0)</f>
        <v/>
      </c>
      <c r="AG740" s="14">
        <f>F740*AF740*in_hlth_small_ticket*in_hlth_small_comm*in_ins_partner_share+F740*in_hlth_small_ticket*in_hlth_small_renew_comm*in_ins_partner_share*(in_hlth_small_renew^1*SUMIFS(AF704:AF750,B704:B750,B740-12)+in_hlth_small_renew^2*SUMIFS(AF704:AF750,B704:B750,B740-24)+in_hlth_small_renew^3*SUMIFS(AF704:AF750,B704:B750,B740-36)+in_hlth_small_renew^4*SUMIFS(AF704:AF750,B704:B750,B740-48))</f>
        <v/>
      </c>
      <c r="AH740" s="40">
        <f>AH739*(1-IF(B739&gt;=in_marketplace_from,d_hz_hlth_family*G739,0))</f>
        <v/>
      </c>
      <c r="AI740" s="46">
        <f>AH740*IF(B740&gt;=in_marketplace_from,d_hz_hlth_family*G740,0)</f>
        <v/>
      </c>
      <c r="AJ740" s="14">
        <f>F740*AI740*in_hlth_family_ticket*in_hlth_family_comm*in_ins_partner_share+F740*in_hlth_family_ticket*in_hlth_family_renew_comm*in_ins_partner_share*(in_hlth_family_renew^1*SUMIFS(AI704:AI750,B704:B750,B740-12)+in_hlth_family_renew^2*SUMIFS(AI704:AI750,B704:B750,B740-24)+in_hlth_family_renew^3*SUMIFS(AI704:AI750,B704:B750,B740-36)+in_hlth_family_renew^4*SUMIFS(AI704:AI750,B704:B750,B740-48))</f>
        <v/>
      </c>
      <c r="AK740" s="40">
        <f>AK739*(1-IF(B739&gt;=in_marketplace_from,d_hz_life_term*G739,0))</f>
        <v/>
      </c>
      <c r="AL740" s="46">
        <f>AK740*IF(B740&gt;=in_marketplace_from,d_hz_life_term*G740,0)</f>
        <v/>
      </c>
      <c r="AM740" s="14">
        <f>F740*AL740*in_life_term_ticket*in_life_term_comm*in_ins_partner_share+F740*in_life_term_ticket*in_life_term_renew_comm*in_ins_partner_share*(in_life_term_renew^1*SUMIFS(AL704:AL750,B704:B750,B740-12)+in_life_term_renew^2*SUMIFS(AL704:AL750,B704:B750,B740-24)+in_life_term_renew^3*SUMIFS(AL704:AL750,B704:B750,B740-36)+in_life_term_renew^4*SUMIFS(AL704:AL750,B704:B750,B740-48))</f>
        <v/>
      </c>
      <c r="AN740" s="40">
        <f>AN739*(1-IF(B739&gt;=in_marketplace_from,d_hz_accident*G739,0))</f>
        <v/>
      </c>
      <c r="AO740" s="46">
        <f>AN740*IF(B740&gt;=in_marketplace_from,d_hz_accident*G740,0)</f>
        <v/>
      </c>
      <c r="AP740" s="14">
        <f>F740*AO740*in_accident_ticket*in_accident_comm*in_ins_partner_share+F740*in_accident_ticket*in_accident_renew_comm*in_ins_partner_share*(in_accident_renew^1*SUMIFS(AO704:AO750,B704:B750,B740-12)+in_accident_renew^2*SUMIFS(AO704:AO750,B704:B750,B740-24)+in_accident_renew^3*SUMIFS(AO704:AO750,B704:B750,B740-36)+in_accident_renew^4*SUMIFS(AO704:AO750,B704:B750,B740-48))</f>
        <v/>
      </c>
      <c r="AQ740" s="40">
        <f>AQ739*(1-IF(B739&gt;=in_marketplace_from,d_hz_two_wheeler*G739,0))</f>
        <v/>
      </c>
      <c r="AR740" s="46">
        <f>AQ740*IF(B740&gt;=in_marketplace_from,d_hz_two_wheeler*G740,0)</f>
        <v/>
      </c>
      <c r="AS740" s="14">
        <f>F740*AR740*in_two_wheeler_ticket*in_two_wheeler_comm*in_ins_partner_share+F740*in_two_wheeler_ticket*in_two_wheeler_comm*in_ins_partner_share*(in_two_wheeler_renew^1*SUMIFS(AR704:AR750,B704:B750,B740-12)+in_two_wheeler_renew^2*SUMIFS(AR704:AR750,B704:B750,B740-24)+in_two_wheeler_renew^3*SUMIFS(AR704:AR750,B704:B750,B740-36)+in_two_wheeler_renew^4*SUMIFS(AR704:AR750,B704:B750,B740-48))</f>
        <v/>
      </c>
      <c r="AT740" s="40">
        <f>AT739*(1-IF(B739&gt;=in_marketplace_from,d_hz_device*G739,0))</f>
        <v/>
      </c>
      <c r="AU740" s="14">
        <f>F740*AT740*IF(B740&gt;=in_marketplace_from,d_hz_device*G740,0)*in_device_ticket*in_device_comm*in_ins_partner_share</f>
        <v/>
      </c>
      <c r="AV740" s="40">
        <f>AV739*(1-IF(B739&gt;=in_marketplace_from,d_hz_shop*G739,0))</f>
        <v/>
      </c>
      <c r="AW740" s="46">
        <f>AV740*IF(B740&gt;=in_marketplace_from,d_hz_shop*G740,0)</f>
        <v/>
      </c>
      <c r="AX740" s="14">
        <f>F740*AW740*in_shop_ticket*in_shop_comm*in_ins_partner_share+F740*in_shop_ticket*in_shop_renew_comm*in_ins_partner_share*(in_shop_renew^1*SUMIFS(AW704:AW750,B704:B750,B740-12)+in_shop_renew^2*SUMIFS(AW704:AW750,B704:B750,B740-24)+in_shop_renew^3*SUMIFS(AW704:AW750,B704:B750,B740-36)+in_shop_renew^4*SUMIFS(AW704:AW750,B704:B750,B740-48))</f>
        <v/>
      </c>
      <c r="AY740" s="40">
        <f>AY739*(1-IF(B739&gt;=in_marketplace_from,d_hz_sip*G739,0))</f>
        <v/>
      </c>
      <c r="AZ740" s="40">
        <f>AZ739*d_rho_sip+AY740*IF(B740&gt;=in_marketplace_from,d_hz_sip*G740,0)</f>
        <v/>
      </c>
      <c r="BA740" s="40">
        <f>d_rho_sip*(BA739+AZ739)</f>
        <v/>
      </c>
      <c r="BB740" s="14">
        <f>F740*in_sip_ticket*(BA740+0.5*AZ740)*in_sip_comm/12</f>
        <v/>
      </c>
      <c r="BC740" s="40">
        <f>BC739*(1-IF(B739&gt;=in_marketplace_from,d_hz_choti*G739,0))</f>
        <v/>
      </c>
      <c r="BD740" s="46">
        <f>BC740*IF(B740&gt;=in_marketplace_from,d_hz_choti*G740,0)</f>
        <v/>
      </c>
      <c r="BE740" s="14">
        <f>F740*SUMIFS(BD704:BD750,B704:B750,B740-in_choti_months)*in_choti_renew*in_choti_ticket</f>
        <v/>
      </c>
      <c r="BF740" s="40">
        <f>BF739*(1-IF(B739&gt;=in_marketplace_from,d_hz_nps*G739,0))</f>
        <v/>
      </c>
      <c r="BG740" s="14">
        <f>F740*BF740*IF(B740&gt;=in_marketplace_from,d_hz_nps*G740,0)*in_nps_ticket*in_nps_comm</f>
        <v/>
      </c>
      <c r="BH740" s="40">
        <f>BH739*(1-IF(B739&gt;=in_marketplace_from,d_hz_gold*G739,0))</f>
        <v/>
      </c>
      <c r="BI740" s="40">
        <f>BI739*d_rho_gold+BH740*IF(B740&gt;=in_marketplace_from,d_hz_gold*G740,0)</f>
        <v/>
      </c>
      <c r="BJ740" s="14">
        <f>F740*BI740*in_gold_ticket*in_gold_comm</f>
        <v/>
      </c>
      <c r="BK740" s="40">
        <f>BK739*(1-IF(B739&gt;=in_marketplace_from,d_hz_fd*G739,0))</f>
        <v/>
      </c>
      <c r="BL740" s="14">
        <f>F740*BK740*IF(B740&gt;=in_marketplace_from,d_hz_fd*G740,0)*in_fd_ticket*in_fd_comm</f>
        <v/>
      </c>
      <c r="BM740" s="40">
        <f>BM739*(1-IF(B739&gt;=in_marketplace_from,d_hz_recharge*G739,0))</f>
        <v/>
      </c>
      <c r="BN740" s="40">
        <f>BN739*d_rho_recharge+BM740*IF(B740&gt;=in_marketplace_from,d_hz_recharge*G740,0)</f>
        <v/>
      </c>
      <c r="BO740" s="14">
        <f>F740*BN740*in_recharge_ticket*in_recharge_comm/12</f>
        <v/>
      </c>
      <c r="BP740" s="40">
        <f>BP739*(1-IF(B739&gt;=in_marketplace_from,d_hz_bills*G739,0))</f>
        <v/>
      </c>
      <c r="BQ740" s="40">
        <f>BQ739*d_rho_bills+BP740*IF(B740&gt;=in_marketplace_from,d_hz_bills*G740,0)</f>
        <v/>
      </c>
      <c r="BR740" s="14">
        <f>F740*BQ740*in_bills_ticket*in_bills_comm/12</f>
        <v/>
      </c>
      <c r="BS740" s="40">
        <f>BS739*(1-IF(B739&gt;=in_marketplace_from,d_hz_loan_gold*G739,0))</f>
        <v/>
      </c>
      <c r="BT740" s="14">
        <f>F740*BS740*IF(B740&gt;=in_marketplace_from,d_hz_loan_gold*G740,0)*in_loan_gold_ticket*in_loan_gold_comm</f>
        <v/>
      </c>
      <c r="BU740" s="40">
        <f>BU739*(1-IF(B739&gt;=in_marketplace_from,d_hz_loan_cd*G739,0))</f>
        <v/>
      </c>
      <c r="BV740" s="14">
        <f>F740*BU740*IF(B740&gt;=in_marketplace_from,d_hz_loan_cd*G740,0)*in_loan_cd_ticket*in_loan_cd_comm</f>
        <v/>
      </c>
      <c r="BW740" s="40">
        <f>BW739*(1-IF(B739&gt;=in_marketplace_from,d_hz_loan_vehicle*G739,0))</f>
        <v/>
      </c>
      <c r="BX740" s="14">
        <f>F740*BW740*IF(B740&gt;=in_marketplace_from,d_hz_loan_vehicle*G740,0)*in_loan_vehicle_ticket*in_loan_vehicle_comm</f>
        <v/>
      </c>
      <c r="BY740" s="40">
        <f>BY739*(1-IF(B739&gt;=in_marketplace_from,d_hz_loan_home*G739,0)*BZ739)</f>
        <v/>
      </c>
      <c r="BZ740" s="11">
        <f>MIN(in_approval_cap,in_loan_home_approval*INDEX('Age profile'!$O$2:$O$61,B740)*(1+in_approval_growth)^(D740-1))</f>
        <v/>
      </c>
      <c r="CA740" s="14">
        <f>F740*BY740*IF(B740&gt;=in_marketplace_from,d_hz_loan_home*G740,0)*BZ740*in_loan_home_ticket*in_loan_home_comm</f>
        <v/>
      </c>
      <c r="CB740" s="40">
        <f>CB739*(1-IF(B739&gt;=in_marketplace_from,d_hz_loan_lap*G739,0)*CC739)</f>
        <v/>
      </c>
      <c r="CC740" s="11">
        <f>MIN(in_approval_cap,in_loan_lap_approval*INDEX('Age profile'!$O$2:$O$61,B740)*(1+in_approval_growth)^(D740-1))</f>
        <v/>
      </c>
      <c r="CD740" s="14">
        <f>F740*CB740*IF(B740&gt;=in_marketplace_from,d_hz_loan_lap*G740,0)*CC740*in_loan_lap_ticket*in_loan_lap_comm</f>
        <v/>
      </c>
      <c r="CE740" s="14">
        <f>AA740+AB740+AC740+AD740+AG740+AJ740+AM740+AP740+AS740+AU740+AX740+BB740+BE740+BG740+BJ740+BL740+BO740+BR740+BT740+BV740+BX740+CA740+CD740</f>
        <v/>
      </c>
    </row>
    <row r="741">
      <c r="A741" s="39" t="n">
        <v>14</v>
      </c>
      <c r="B741" s="39" t="n">
        <v>38</v>
      </c>
      <c r="C741" s="39">
        <f>A741+B741-1</f>
        <v/>
      </c>
      <c r="D741" s="39">
        <f>INT((C741-1)/12)+1</f>
        <v/>
      </c>
      <c r="E741" s="44">
        <f>INDEX(Monthly!$B$2:$B$61,A741)</f>
        <v/>
      </c>
      <c r="F741" s="44">
        <f>E741*INDEX('Age profile'!$B$2:$B$61,B741)</f>
        <v/>
      </c>
      <c r="G741" s="45">
        <f>MIN(in_takeup_cap,INDEX('Age profile'!$N$2:$N$61,B741)*(1+in_takeup_growth)^(D741-1))</f>
        <v/>
      </c>
      <c r="H741" s="11">
        <f>MIN(in_approval_cap,in_approved_first*INDEX('Age profile'!$O$2:$O$61,B741)*(1+in_approval_growth)^(D741-1))</f>
        <v/>
      </c>
      <c r="I741" s="45">
        <f>G741*MIN(in_takeup_cap,INDEX('Age profile'!$O$2:$O$61,B741)*(1+in_approval_growth)^(D741-1))</f>
        <v/>
      </c>
      <c r="J741" s="40">
        <f>(J740-L740)*F741/F740</f>
        <v/>
      </c>
      <c r="K741" s="40">
        <f>(K740-M740)*F741/F740+SUMIFS(O704:O740,B704:B740,B741-1-d_T)*F741</f>
        <v/>
      </c>
      <c r="L741" s="40">
        <f>IF(B741&gt;=in_marketplace_from,J741*d_hz*G741*in_eligible*H741,0)</f>
        <v/>
      </c>
      <c r="M741" s="40">
        <f>IF(B741&gt;=in_marketplace_from,K741*d_hz*G741*in_eligible*in_approved_repeat,0)</f>
        <v/>
      </c>
      <c r="N741" s="40">
        <f>L741+M741</f>
        <v/>
      </c>
      <c r="O741" s="46">
        <f>N741/F741</f>
        <v/>
      </c>
      <c r="P741" s="40">
        <f>F741-J741-K741</f>
        <v/>
      </c>
      <c r="Q741" s="40">
        <f>IF(B741&gt;=in_marketplace_from,(J741+K741)*d_hz*G741,0)</f>
        <v/>
      </c>
      <c r="R741" s="40">
        <f>SUMIFS(N704:N750,B704:B750,"&gt;="&amp;(B741-d_T),B704:B750,"&lt;="&amp;(B741-1))</f>
        <v/>
      </c>
      <c r="S741" s="46">
        <f>(1-d_u)*S740+IF(d_T&gt;in_topup_lag,SUMIFS(O704:O750,B704:B750,B741-in_topup_lag)-d_udrop*SUMIFS(O704:O750,B704:B750,B741-d_T),0)</f>
        <v/>
      </c>
      <c r="T741" s="40">
        <f>F741*d_u*S741</f>
        <v/>
      </c>
      <c r="U741" s="9">
        <f>L741*in_ticket+M741*d_rep_ticket</f>
        <v/>
      </c>
      <c r="V741" s="9">
        <f>U741+T741*d_topup_amt</f>
        <v/>
      </c>
      <c r="W741" s="40">
        <f>N741+T741*d_topup_ratio</f>
        <v/>
      </c>
      <c r="X741" s="40">
        <f>SUMIFS(W704:W750,B704:B750,B741-in_dpd_lag)*d_cured</f>
        <v/>
      </c>
      <c r="Y741" s="40">
        <f>SUMIFS(W704:W750,B704:B750,B741-in_rec_lag)*d_recd</f>
        <v/>
      </c>
      <c r="Z741" s="40">
        <f>IF(AND(B741&gt;=in_marketplace_from,B741&lt;in_marketplace_from+in_card_months),in_card_share/in_card_months*F741*I741,IF(AND(B741&gt;=in_marketplace_from+in_card_months,B741&lt;in_marketplace_from+2*in_card_months),in_card_share*d_card_rem/in_card_months*F741*MIN(in_takeup_cap,(1+in_takeup_growth)^(D741-1))*MIN(in_takeup_cap,(1+in_approval_growth)^(D741-1)),0))</f>
        <v/>
      </c>
      <c r="AA741" s="14">
        <f>V741*in_fee*(1-in_taken_back)</f>
        <v/>
      </c>
      <c r="AB741" s="14">
        <f>SUMIFS(W704:W750,B704:B750,B741-in_dpd_lag)*d_dpd</f>
        <v/>
      </c>
      <c r="AC741" s="14">
        <f>SUMIFS(W704:W750,B704:B750,B741-in_rec_lag)*d_rec</f>
        <v/>
      </c>
      <c r="AD741" s="14">
        <f>Z741*in_card_fee</f>
        <v/>
      </c>
      <c r="AE741" s="40">
        <f>AE740*(1-IF(B740&gt;=in_marketplace_from,d_hz_hlth_small*G740,0))</f>
        <v/>
      </c>
      <c r="AF741" s="46">
        <f>AE741*IF(B741&gt;=in_marketplace_from,d_hz_hlth_small*G741,0)</f>
        <v/>
      </c>
      <c r="AG741" s="14">
        <f>F741*AF741*in_hlth_small_ticket*in_hlth_small_comm*in_ins_partner_share+F741*in_hlth_small_ticket*in_hlth_small_renew_comm*in_ins_partner_share*(in_hlth_small_renew^1*SUMIFS(AF704:AF750,B704:B750,B741-12)+in_hlth_small_renew^2*SUMIFS(AF704:AF750,B704:B750,B741-24)+in_hlth_small_renew^3*SUMIFS(AF704:AF750,B704:B750,B741-36)+in_hlth_small_renew^4*SUMIFS(AF704:AF750,B704:B750,B741-48))</f>
        <v/>
      </c>
      <c r="AH741" s="40">
        <f>AH740*(1-IF(B740&gt;=in_marketplace_from,d_hz_hlth_family*G740,0))</f>
        <v/>
      </c>
      <c r="AI741" s="46">
        <f>AH741*IF(B741&gt;=in_marketplace_from,d_hz_hlth_family*G741,0)</f>
        <v/>
      </c>
      <c r="AJ741" s="14">
        <f>F741*AI741*in_hlth_family_ticket*in_hlth_family_comm*in_ins_partner_share+F741*in_hlth_family_ticket*in_hlth_family_renew_comm*in_ins_partner_share*(in_hlth_family_renew^1*SUMIFS(AI704:AI750,B704:B750,B741-12)+in_hlth_family_renew^2*SUMIFS(AI704:AI750,B704:B750,B741-24)+in_hlth_family_renew^3*SUMIFS(AI704:AI750,B704:B750,B741-36)+in_hlth_family_renew^4*SUMIFS(AI704:AI750,B704:B750,B741-48))</f>
        <v/>
      </c>
      <c r="AK741" s="40">
        <f>AK740*(1-IF(B740&gt;=in_marketplace_from,d_hz_life_term*G740,0))</f>
        <v/>
      </c>
      <c r="AL741" s="46">
        <f>AK741*IF(B741&gt;=in_marketplace_from,d_hz_life_term*G741,0)</f>
        <v/>
      </c>
      <c r="AM741" s="14">
        <f>F741*AL741*in_life_term_ticket*in_life_term_comm*in_ins_partner_share+F741*in_life_term_ticket*in_life_term_renew_comm*in_ins_partner_share*(in_life_term_renew^1*SUMIFS(AL704:AL750,B704:B750,B741-12)+in_life_term_renew^2*SUMIFS(AL704:AL750,B704:B750,B741-24)+in_life_term_renew^3*SUMIFS(AL704:AL750,B704:B750,B741-36)+in_life_term_renew^4*SUMIFS(AL704:AL750,B704:B750,B741-48))</f>
        <v/>
      </c>
      <c r="AN741" s="40">
        <f>AN740*(1-IF(B740&gt;=in_marketplace_from,d_hz_accident*G740,0))</f>
        <v/>
      </c>
      <c r="AO741" s="46">
        <f>AN741*IF(B741&gt;=in_marketplace_from,d_hz_accident*G741,0)</f>
        <v/>
      </c>
      <c r="AP741" s="14">
        <f>F741*AO741*in_accident_ticket*in_accident_comm*in_ins_partner_share+F741*in_accident_ticket*in_accident_renew_comm*in_ins_partner_share*(in_accident_renew^1*SUMIFS(AO704:AO750,B704:B750,B741-12)+in_accident_renew^2*SUMIFS(AO704:AO750,B704:B750,B741-24)+in_accident_renew^3*SUMIFS(AO704:AO750,B704:B750,B741-36)+in_accident_renew^4*SUMIFS(AO704:AO750,B704:B750,B741-48))</f>
        <v/>
      </c>
      <c r="AQ741" s="40">
        <f>AQ740*(1-IF(B740&gt;=in_marketplace_from,d_hz_two_wheeler*G740,0))</f>
        <v/>
      </c>
      <c r="AR741" s="46">
        <f>AQ741*IF(B741&gt;=in_marketplace_from,d_hz_two_wheeler*G741,0)</f>
        <v/>
      </c>
      <c r="AS741" s="14">
        <f>F741*AR741*in_two_wheeler_ticket*in_two_wheeler_comm*in_ins_partner_share+F741*in_two_wheeler_ticket*in_two_wheeler_comm*in_ins_partner_share*(in_two_wheeler_renew^1*SUMIFS(AR704:AR750,B704:B750,B741-12)+in_two_wheeler_renew^2*SUMIFS(AR704:AR750,B704:B750,B741-24)+in_two_wheeler_renew^3*SUMIFS(AR704:AR750,B704:B750,B741-36)+in_two_wheeler_renew^4*SUMIFS(AR704:AR750,B704:B750,B741-48))</f>
        <v/>
      </c>
      <c r="AT741" s="40">
        <f>AT740*(1-IF(B740&gt;=in_marketplace_from,d_hz_device*G740,0))</f>
        <v/>
      </c>
      <c r="AU741" s="14">
        <f>F741*AT741*IF(B741&gt;=in_marketplace_from,d_hz_device*G741,0)*in_device_ticket*in_device_comm*in_ins_partner_share</f>
        <v/>
      </c>
      <c r="AV741" s="40">
        <f>AV740*(1-IF(B740&gt;=in_marketplace_from,d_hz_shop*G740,0))</f>
        <v/>
      </c>
      <c r="AW741" s="46">
        <f>AV741*IF(B741&gt;=in_marketplace_from,d_hz_shop*G741,0)</f>
        <v/>
      </c>
      <c r="AX741" s="14">
        <f>F741*AW741*in_shop_ticket*in_shop_comm*in_ins_partner_share+F741*in_shop_ticket*in_shop_renew_comm*in_ins_partner_share*(in_shop_renew^1*SUMIFS(AW704:AW750,B704:B750,B741-12)+in_shop_renew^2*SUMIFS(AW704:AW750,B704:B750,B741-24)+in_shop_renew^3*SUMIFS(AW704:AW750,B704:B750,B741-36)+in_shop_renew^4*SUMIFS(AW704:AW750,B704:B750,B741-48))</f>
        <v/>
      </c>
      <c r="AY741" s="40">
        <f>AY740*(1-IF(B740&gt;=in_marketplace_from,d_hz_sip*G740,0))</f>
        <v/>
      </c>
      <c r="AZ741" s="40">
        <f>AZ740*d_rho_sip+AY741*IF(B741&gt;=in_marketplace_from,d_hz_sip*G741,0)</f>
        <v/>
      </c>
      <c r="BA741" s="40">
        <f>d_rho_sip*(BA740+AZ740)</f>
        <v/>
      </c>
      <c r="BB741" s="14">
        <f>F741*in_sip_ticket*(BA741+0.5*AZ741)*in_sip_comm/12</f>
        <v/>
      </c>
      <c r="BC741" s="40">
        <f>BC740*(1-IF(B740&gt;=in_marketplace_from,d_hz_choti*G740,0))</f>
        <v/>
      </c>
      <c r="BD741" s="46">
        <f>BC741*IF(B741&gt;=in_marketplace_from,d_hz_choti*G741,0)</f>
        <v/>
      </c>
      <c r="BE741" s="14">
        <f>F741*SUMIFS(BD704:BD750,B704:B750,B741-in_choti_months)*in_choti_renew*in_choti_ticket</f>
        <v/>
      </c>
      <c r="BF741" s="40">
        <f>BF740*(1-IF(B740&gt;=in_marketplace_from,d_hz_nps*G740,0))</f>
        <v/>
      </c>
      <c r="BG741" s="14">
        <f>F741*BF741*IF(B741&gt;=in_marketplace_from,d_hz_nps*G741,0)*in_nps_ticket*in_nps_comm</f>
        <v/>
      </c>
      <c r="BH741" s="40">
        <f>BH740*(1-IF(B740&gt;=in_marketplace_from,d_hz_gold*G740,0))</f>
        <v/>
      </c>
      <c r="BI741" s="40">
        <f>BI740*d_rho_gold+BH741*IF(B741&gt;=in_marketplace_from,d_hz_gold*G741,0)</f>
        <v/>
      </c>
      <c r="BJ741" s="14">
        <f>F741*BI741*in_gold_ticket*in_gold_comm</f>
        <v/>
      </c>
      <c r="BK741" s="40">
        <f>BK740*(1-IF(B740&gt;=in_marketplace_from,d_hz_fd*G740,0))</f>
        <v/>
      </c>
      <c r="BL741" s="14">
        <f>F741*BK741*IF(B741&gt;=in_marketplace_from,d_hz_fd*G741,0)*in_fd_ticket*in_fd_comm</f>
        <v/>
      </c>
      <c r="BM741" s="40">
        <f>BM740*(1-IF(B740&gt;=in_marketplace_from,d_hz_recharge*G740,0))</f>
        <v/>
      </c>
      <c r="BN741" s="40">
        <f>BN740*d_rho_recharge+BM741*IF(B741&gt;=in_marketplace_from,d_hz_recharge*G741,0)</f>
        <v/>
      </c>
      <c r="BO741" s="14">
        <f>F741*BN741*in_recharge_ticket*in_recharge_comm/12</f>
        <v/>
      </c>
      <c r="BP741" s="40">
        <f>BP740*(1-IF(B740&gt;=in_marketplace_from,d_hz_bills*G740,0))</f>
        <v/>
      </c>
      <c r="BQ741" s="40">
        <f>BQ740*d_rho_bills+BP741*IF(B741&gt;=in_marketplace_from,d_hz_bills*G741,0)</f>
        <v/>
      </c>
      <c r="BR741" s="14">
        <f>F741*BQ741*in_bills_ticket*in_bills_comm/12</f>
        <v/>
      </c>
      <c r="BS741" s="40">
        <f>BS740*(1-IF(B740&gt;=in_marketplace_from,d_hz_loan_gold*G740,0))</f>
        <v/>
      </c>
      <c r="BT741" s="14">
        <f>F741*BS741*IF(B741&gt;=in_marketplace_from,d_hz_loan_gold*G741,0)*in_loan_gold_ticket*in_loan_gold_comm</f>
        <v/>
      </c>
      <c r="BU741" s="40">
        <f>BU740*(1-IF(B740&gt;=in_marketplace_from,d_hz_loan_cd*G740,0))</f>
        <v/>
      </c>
      <c r="BV741" s="14">
        <f>F741*BU741*IF(B741&gt;=in_marketplace_from,d_hz_loan_cd*G741,0)*in_loan_cd_ticket*in_loan_cd_comm</f>
        <v/>
      </c>
      <c r="BW741" s="40">
        <f>BW740*(1-IF(B740&gt;=in_marketplace_from,d_hz_loan_vehicle*G740,0))</f>
        <v/>
      </c>
      <c r="BX741" s="14">
        <f>F741*BW741*IF(B741&gt;=in_marketplace_from,d_hz_loan_vehicle*G741,0)*in_loan_vehicle_ticket*in_loan_vehicle_comm</f>
        <v/>
      </c>
      <c r="BY741" s="40">
        <f>BY740*(1-IF(B740&gt;=in_marketplace_from,d_hz_loan_home*G740,0)*BZ740)</f>
        <v/>
      </c>
      <c r="BZ741" s="11">
        <f>MIN(in_approval_cap,in_loan_home_approval*INDEX('Age profile'!$O$2:$O$61,B741)*(1+in_approval_growth)^(D741-1))</f>
        <v/>
      </c>
      <c r="CA741" s="14">
        <f>F741*BY741*IF(B741&gt;=in_marketplace_from,d_hz_loan_home*G741,0)*BZ741*in_loan_home_ticket*in_loan_home_comm</f>
        <v/>
      </c>
      <c r="CB741" s="40">
        <f>CB740*(1-IF(B740&gt;=in_marketplace_from,d_hz_loan_lap*G740,0)*CC740)</f>
        <v/>
      </c>
      <c r="CC741" s="11">
        <f>MIN(in_approval_cap,in_loan_lap_approval*INDEX('Age profile'!$O$2:$O$61,B741)*(1+in_approval_growth)^(D741-1))</f>
        <v/>
      </c>
      <c r="CD741" s="14">
        <f>F741*CB741*IF(B741&gt;=in_marketplace_from,d_hz_loan_lap*G741,0)*CC741*in_loan_lap_ticket*in_loan_lap_comm</f>
        <v/>
      </c>
      <c r="CE741" s="14">
        <f>AA741+AB741+AC741+AD741+AG741+AJ741+AM741+AP741+AS741+AU741+AX741+BB741+BE741+BG741+BJ741+BL741+BO741+BR741+BT741+BV741+BX741+CA741+CD741</f>
        <v/>
      </c>
    </row>
    <row r="742">
      <c r="A742" s="39" t="n">
        <v>14</v>
      </c>
      <c r="B742" s="39" t="n">
        <v>39</v>
      </c>
      <c r="C742" s="39">
        <f>A742+B742-1</f>
        <v/>
      </c>
      <c r="D742" s="39">
        <f>INT((C742-1)/12)+1</f>
        <v/>
      </c>
      <c r="E742" s="44">
        <f>INDEX(Monthly!$B$2:$B$61,A742)</f>
        <v/>
      </c>
      <c r="F742" s="44">
        <f>E742*INDEX('Age profile'!$B$2:$B$61,B742)</f>
        <v/>
      </c>
      <c r="G742" s="45">
        <f>MIN(in_takeup_cap,INDEX('Age profile'!$N$2:$N$61,B742)*(1+in_takeup_growth)^(D742-1))</f>
        <v/>
      </c>
      <c r="H742" s="11">
        <f>MIN(in_approval_cap,in_approved_first*INDEX('Age profile'!$O$2:$O$61,B742)*(1+in_approval_growth)^(D742-1))</f>
        <v/>
      </c>
      <c r="I742" s="45">
        <f>G742*MIN(in_takeup_cap,INDEX('Age profile'!$O$2:$O$61,B742)*(1+in_approval_growth)^(D742-1))</f>
        <v/>
      </c>
      <c r="J742" s="40">
        <f>(J741-L741)*F742/F741</f>
        <v/>
      </c>
      <c r="K742" s="40">
        <f>(K741-M741)*F742/F741+SUMIFS(O704:O741,B704:B741,B742-1-d_T)*F742</f>
        <v/>
      </c>
      <c r="L742" s="40">
        <f>IF(B742&gt;=in_marketplace_from,J742*d_hz*G742*in_eligible*H742,0)</f>
        <v/>
      </c>
      <c r="M742" s="40">
        <f>IF(B742&gt;=in_marketplace_from,K742*d_hz*G742*in_eligible*in_approved_repeat,0)</f>
        <v/>
      </c>
      <c r="N742" s="40">
        <f>L742+M742</f>
        <v/>
      </c>
      <c r="O742" s="46">
        <f>N742/F742</f>
        <v/>
      </c>
      <c r="P742" s="40">
        <f>F742-J742-K742</f>
        <v/>
      </c>
      <c r="Q742" s="40">
        <f>IF(B742&gt;=in_marketplace_from,(J742+K742)*d_hz*G742,0)</f>
        <v/>
      </c>
      <c r="R742" s="40">
        <f>SUMIFS(N704:N750,B704:B750,"&gt;="&amp;(B742-d_T),B704:B750,"&lt;="&amp;(B742-1))</f>
        <v/>
      </c>
      <c r="S742" s="46">
        <f>(1-d_u)*S741+IF(d_T&gt;in_topup_lag,SUMIFS(O704:O750,B704:B750,B742-in_topup_lag)-d_udrop*SUMIFS(O704:O750,B704:B750,B742-d_T),0)</f>
        <v/>
      </c>
      <c r="T742" s="40">
        <f>F742*d_u*S742</f>
        <v/>
      </c>
      <c r="U742" s="9">
        <f>L742*in_ticket+M742*d_rep_ticket</f>
        <v/>
      </c>
      <c r="V742" s="9">
        <f>U742+T742*d_topup_amt</f>
        <v/>
      </c>
      <c r="W742" s="40">
        <f>N742+T742*d_topup_ratio</f>
        <v/>
      </c>
      <c r="X742" s="40">
        <f>SUMIFS(W704:W750,B704:B750,B742-in_dpd_lag)*d_cured</f>
        <v/>
      </c>
      <c r="Y742" s="40">
        <f>SUMIFS(W704:W750,B704:B750,B742-in_rec_lag)*d_recd</f>
        <v/>
      </c>
      <c r="Z742" s="40">
        <f>IF(AND(B742&gt;=in_marketplace_from,B742&lt;in_marketplace_from+in_card_months),in_card_share/in_card_months*F742*I742,IF(AND(B742&gt;=in_marketplace_from+in_card_months,B742&lt;in_marketplace_from+2*in_card_months),in_card_share*d_card_rem/in_card_months*F742*MIN(in_takeup_cap,(1+in_takeup_growth)^(D742-1))*MIN(in_takeup_cap,(1+in_approval_growth)^(D742-1)),0))</f>
        <v/>
      </c>
      <c r="AA742" s="14">
        <f>V742*in_fee*(1-in_taken_back)</f>
        <v/>
      </c>
      <c r="AB742" s="14">
        <f>SUMIFS(W704:W750,B704:B750,B742-in_dpd_lag)*d_dpd</f>
        <v/>
      </c>
      <c r="AC742" s="14">
        <f>SUMIFS(W704:W750,B704:B750,B742-in_rec_lag)*d_rec</f>
        <v/>
      </c>
      <c r="AD742" s="14">
        <f>Z742*in_card_fee</f>
        <v/>
      </c>
      <c r="AE742" s="40">
        <f>AE741*(1-IF(B741&gt;=in_marketplace_from,d_hz_hlth_small*G741,0))</f>
        <v/>
      </c>
      <c r="AF742" s="46">
        <f>AE742*IF(B742&gt;=in_marketplace_from,d_hz_hlth_small*G742,0)</f>
        <v/>
      </c>
      <c r="AG742" s="14">
        <f>F742*AF742*in_hlth_small_ticket*in_hlth_small_comm*in_ins_partner_share+F742*in_hlth_small_ticket*in_hlth_small_renew_comm*in_ins_partner_share*(in_hlth_small_renew^1*SUMIFS(AF704:AF750,B704:B750,B742-12)+in_hlth_small_renew^2*SUMIFS(AF704:AF750,B704:B750,B742-24)+in_hlth_small_renew^3*SUMIFS(AF704:AF750,B704:B750,B742-36)+in_hlth_small_renew^4*SUMIFS(AF704:AF750,B704:B750,B742-48))</f>
        <v/>
      </c>
      <c r="AH742" s="40">
        <f>AH741*(1-IF(B741&gt;=in_marketplace_from,d_hz_hlth_family*G741,0))</f>
        <v/>
      </c>
      <c r="AI742" s="46">
        <f>AH742*IF(B742&gt;=in_marketplace_from,d_hz_hlth_family*G742,0)</f>
        <v/>
      </c>
      <c r="AJ742" s="14">
        <f>F742*AI742*in_hlth_family_ticket*in_hlth_family_comm*in_ins_partner_share+F742*in_hlth_family_ticket*in_hlth_family_renew_comm*in_ins_partner_share*(in_hlth_family_renew^1*SUMIFS(AI704:AI750,B704:B750,B742-12)+in_hlth_family_renew^2*SUMIFS(AI704:AI750,B704:B750,B742-24)+in_hlth_family_renew^3*SUMIFS(AI704:AI750,B704:B750,B742-36)+in_hlth_family_renew^4*SUMIFS(AI704:AI750,B704:B750,B742-48))</f>
        <v/>
      </c>
      <c r="AK742" s="40">
        <f>AK741*(1-IF(B741&gt;=in_marketplace_from,d_hz_life_term*G741,0))</f>
        <v/>
      </c>
      <c r="AL742" s="46">
        <f>AK742*IF(B742&gt;=in_marketplace_from,d_hz_life_term*G742,0)</f>
        <v/>
      </c>
      <c r="AM742" s="14">
        <f>F742*AL742*in_life_term_ticket*in_life_term_comm*in_ins_partner_share+F742*in_life_term_ticket*in_life_term_renew_comm*in_ins_partner_share*(in_life_term_renew^1*SUMIFS(AL704:AL750,B704:B750,B742-12)+in_life_term_renew^2*SUMIFS(AL704:AL750,B704:B750,B742-24)+in_life_term_renew^3*SUMIFS(AL704:AL750,B704:B750,B742-36)+in_life_term_renew^4*SUMIFS(AL704:AL750,B704:B750,B742-48))</f>
        <v/>
      </c>
      <c r="AN742" s="40">
        <f>AN741*(1-IF(B741&gt;=in_marketplace_from,d_hz_accident*G741,0))</f>
        <v/>
      </c>
      <c r="AO742" s="46">
        <f>AN742*IF(B742&gt;=in_marketplace_from,d_hz_accident*G742,0)</f>
        <v/>
      </c>
      <c r="AP742" s="14">
        <f>F742*AO742*in_accident_ticket*in_accident_comm*in_ins_partner_share+F742*in_accident_ticket*in_accident_renew_comm*in_ins_partner_share*(in_accident_renew^1*SUMIFS(AO704:AO750,B704:B750,B742-12)+in_accident_renew^2*SUMIFS(AO704:AO750,B704:B750,B742-24)+in_accident_renew^3*SUMIFS(AO704:AO750,B704:B750,B742-36)+in_accident_renew^4*SUMIFS(AO704:AO750,B704:B750,B742-48))</f>
        <v/>
      </c>
      <c r="AQ742" s="40">
        <f>AQ741*(1-IF(B741&gt;=in_marketplace_from,d_hz_two_wheeler*G741,0))</f>
        <v/>
      </c>
      <c r="AR742" s="46">
        <f>AQ742*IF(B742&gt;=in_marketplace_from,d_hz_two_wheeler*G742,0)</f>
        <v/>
      </c>
      <c r="AS742" s="14">
        <f>F742*AR742*in_two_wheeler_ticket*in_two_wheeler_comm*in_ins_partner_share+F742*in_two_wheeler_ticket*in_two_wheeler_comm*in_ins_partner_share*(in_two_wheeler_renew^1*SUMIFS(AR704:AR750,B704:B750,B742-12)+in_two_wheeler_renew^2*SUMIFS(AR704:AR750,B704:B750,B742-24)+in_two_wheeler_renew^3*SUMIFS(AR704:AR750,B704:B750,B742-36)+in_two_wheeler_renew^4*SUMIFS(AR704:AR750,B704:B750,B742-48))</f>
        <v/>
      </c>
      <c r="AT742" s="40">
        <f>AT741*(1-IF(B741&gt;=in_marketplace_from,d_hz_device*G741,0))</f>
        <v/>
      </c>
      <c r="AU742" s="14">
        <f>F742*AT742*IF(B742&gt;=in_marketplace_from,d_hz_device*G742,0)*in_device_ticket*in_device_comm*in_ins_partner_share</f>
        <v/>
      </c>
      <c r="AV742" s="40">
        <f>AV741*(1-IF(B741&gt;=in_marketplace_from,d_hz_shop*G741,0))</f>
        <v/>
      </c>
      <c r="AW742" s="46">
        <f>AV742*IF(B742&gt;=in_marketplace_from,d_hz_shop*G742,0)</f>
        <v/>
      </c>
      <c r="AX742" s="14">
        <f>F742*AW742*in_shop_ticket*in_shop_comm*in_ins_partner_share+F742*in_shop_ticket*in_shop_renew_comm*in_ins_partner_share*(in_shop_renew^1*SUMIFS(AW704:AW750,B704:B750,B742-12)+in_shop_renew^2*SUMIFS(AW704:AW750,B704:B750,B742-24)+in_shop_renew^3*SUMIFS(AW704:AW750,B704:B750,B742-36)+in_shop_renew^4*SUMIFS(AW704:AW750,B704:B750,B742-48))</f>
        <v/>
      </c>
      <c r="AY742" s="40">
        <f>AY741*(1-IF(B741&gt;=in_marketplace_from,d_hz_sip*G741,0))</f>
        <v/>
      </c>
      <c r="AZ742" s="40">
        <f>AZ741*d_rho_sip+AY742*IF(B742&gt;=in_marketplace_from,d_hz_sip*G742,0)</f>
        <v/>
      </c>
      <c r="BA742" s="40">
        <f>d_rho_sip*(BA741+AZ741)</f>
        <v/>
      </c>
      <c r="BB742" s="14">
        <f>F742*in_sip_ticket*(BA742+0.5*AZ742)*in_sip_comm/12</f>
        <v/>
      </c>
      <c r="BC742" s="40">
        <f>BC741*(1-IF(B741&gt;=in_marketplace_from,d_hz_choti*G741,0))</f>
        <v/>
      </c>
      <c r="BD742" s="46">
        <f>BC742*IF(B742&gt;=in_marketplace_from,d_hz_choti*G742,0)</f>
        <v/>
      </c>
      <c r="BE742" s="14">
        <f>F742*SUMIFS(BD704:BD750,B704:B750,B742-in_choti_months)*in_choti_renew*in_choti_ticket</f>
        <v/>
      </c>
      <c r="BF742" s="40">
        <f>BF741*(1-IF(B741&gt;=in_marketplace_from,d_hz_nps*G741,0))</f>
        <v/>
      </c>
      <c r="BG742" s="14">
        <f>F742*BF742*IF(B742&gt;=in_marketplace_from,d_hz_nps*G742,0)*in_nps_ticket*in_nps_comm</f>
        <v/>
      </c>
      <c r="BH742" s="40">
        <f>BH741*(1-IF(B741&gt;=in_marketplace_from,d_hz_gold*G741,0))</f>
        <v/>
      </c>
      <c r="BI742" s="40">
        <f>BI741*d_rho_gold+BH742*IF(B742&gt;=in_marketplace_from,d_hz_gold*G742,0)</f>
        <v/>
      </c>
      <c r="BJ742" s="14">
        <f>F742*BI742*in_gold_ticket*in_gold_comm</f>
        <v/>
      </c>
      <c r="BK742" s="40">
        <f>BK741*(1-IF(B741&gt;=in_marketplace_from,d_hz_fd*G741,0))</f>
        <v/>
      </c>
      <c r="BL742" s="14">
        <f>F742*BK742*IF(B742&gt;=in_marketplace_from,d_hz_fd*G742,0)*in_fd_ticket*in_fd_comm</f>
        <v/>
      </c>
      <c r="BM742" s="40">
        <f>BM741*(1-IF(B741&gt;=in_marketplace_from,d_hz_recharge*G741,0))</f>
        <v/>
      </c>
      <c r="BN742" s="40">
        <f>BN741*d_rho_recharge+BM742*IF(B742&gt;=in_marketplace_from,d_hz_recharge*G742,0)</f>
        <v/>
      </c>
      <c r="BO742" s="14">
        <f>F742*BN742*in_recharge_ticket*in_recharge_comm/12</f>
        <v/>
      </c>
      <c r="BP742" s="40">
        <f>BP741*(1-IF(B741&gt;=in_marketplace_from,d_hz_bills*G741,0))</f>
        <v/>
      </c>
      <c r="BQ742" s="40">
        <f>BQ741*d_rho_bills+BP742*IF(B742&gt;=in_marketplace_from,d_hz_bills*G742,0)</f>
        <v/>
      </c>
      <c r="BR742" s="14">
        <f>F742*BQ742*in_bills_ticket*in_bills_comm/12</f>
        <v/>
      </c>
      <c r="BS742" s="40">
        <f>BS741*(1-IF(B741&gt;=in_marketplace_from,d_hz_loan_gold*G741,0))</f>
        <v/>
      </c>
      <c r="BT742" s="14">
        <f>F742*BS742*IF(B742&gt;=in_marketplace_from,d_hz_loan_gold*G742,0)*in_loan_gold_ticket*in_loan_gold_comm</f>
        <v/>
      </c>
      <c r="BU742" s="40">
        <f>BU741*(1-IF(B741&gt;=in_marketplace_from,d_hz_loan_cd*G741,0))</f>
        <v/>
      </c>
      <c r="BV742" s="14">
        <f>F742*BU742*IF(B742&gt;=in_marketplace_from,d_hz_loan_cd*G742,0)*in_loan_cd_ticket*in_loan_cd_comm</f>
        <v/>
      </c>
      <c r="BW742" s="40">
        <f>BW741*(1-IF(B741&gt;=in_marketplace_from,d_hz_loan_vehicle*G741,0))</f>
        <v/>
      </c>
      <c r="BX742" s="14">
        <f>F742*BW742*IF(B742&gt;=in_marketplace_from,d_hz_loan_vehicle*G742,0)*in_loan_vehicle_ticket*in_loan_vehicle_comm</f>
        <v/>
      </c>
      <c r="BY742" s="40">
        <f>BY741*(1-IF(B741&gt;=in_marketplace_from,d_hz_loan_home*G741,0)*BZ741)</f>
        <v/>
      </c>
      <c r="BZ742" s="11">
        <f>MIN(in_approval_cap,in_loan_home_approval*INDEX('Age profile'!$O$2:$O$61,B742)*(1+in_approval_growth)^(D742-1))</f>
        <v/>
      </c>
      <c r="CA742" s="14">
        <f>F742*BY742*IF(B742&gt;=in_marketplace_from,d_hz_loan_home*G742,0)*BZ742*in_loan_home_ticket*in_loan_home_comm</f>
        <v/>
      </c>
      <c r="CB742" s="40">
        <f>CB741*(1-IF(B741&gt;=in_marketplace_from,d_hz_loan_lap*G741,0)*CC741)</f>
        <v/>
      </c>
      <c r="CC742" s="11">
        <f>MIN(in_approval_cap,in_loan_lap_approval*INDEX('Age profile'!$O$2:$O$61,B742)*(1+in_approval_growth)^(D742-1))</f>
        <v/>
      </c>
      <c r="CD742" s="14">
        <f>F742*CB742*IF(B742&gt;=in_marketplace_from,d_hz_loan_lap*G742,0)*CC742*in_loan_lap_ticket*in_loan_lap_comm</f>
        <v/>
      </c>
      <c r="CE742" s="14">
        <f>AA742+AB742+AC742+AD742+AG742+AJ742+AM742+AP742+AS742+AU742+AX742+BB742+BE742+BG742+BJ742+BL742+BO742+BR742+BT742+BV742+BX742+CA742+CD742</f>
        <v/>
      </c>
    </row>
    <row r="743">
      <c r="A743" s="39" t="n">
        <v>14</v>
      </c>
      <c r="B743" s="39" t="n">
        <v>40</v>
      </c>
      <c r="C743" s="39">
        <f>A743+B743-1</f>
        <v/>
      </c>
      <c r="D743" s="39">
        <f>INT((C743-1)/12)+1</f>
        <v/>
      </c>
      <c r="E743" s="44">
        <f>INDEX(Monthly!$B$2:$B$61,A743)</f>
        <v/>
      </c>
      <c r="F743" s="44">
        <f>E743*INDEX('Age profile'!$B$2:$B$61,B743)</f>
        <v/>
      </c>
      <c r="G743" s="45">
        <f>MIN(in_takeup_cap,INDEX('Age profile'!$N$2:$N$61,B743)*(1+in_takeup_growth)^(D743-1))</f>
        <v/>
      </c>
      <c r="H743" s="11">
        <f>MIN(in_approval_cap,in_approved_first*INDEX('Age profile'!$O$2:$O$61,B743)*(1+in_approval_growth)^(D743-1))</f>
        <v/>
      </c>
      <c r="I743" s="45">
        <f>G743*MIN(in_takeup_cap,INDEX('Age profile'!$O$2:$O$61,B743)*(1+in_approval_growth)^(D743-1))</f>
        <v/>
      </c>
      <c r="J743" s="40">
        <f>(J742-L742)*F743/F742</f>
        <v/>
      </c>
      <c r="K743" s="40">
        <f>(K742-M742)*F743/F742+SUMIFS(O704:O742,B704:B742,B743-1-d_T)*F743</f>
        <v/>
      </c>
      <c r="L743" s="40">
        <f>IF(B743&gt;=in_marketplace_from,J743*d_hz*G743*in_eligible*H743,0)</f>
        <v/>
      </c>
      <c r="M743" s="40">
        <f>IF(B743&gt;=in_marketplace_from,K743*d_hz*G743*in_eligible*in_approved_repeat,0)</f>
        <v/>
      </c>
      <c r="N743" s="40">
        <f>L743+M743</f>
        <v/>
      </c>
      <c r="O743" s="46">
        <f>N743/F743</f>
        <v/>
      </c>
      <c r="P743" s="40">
        <f>F743-J743-K743</f>
        <v/>
      </c>
      <c r="Q743" s="40">
        <f>IF(B743&gt;=in_marketplace_from,(J743+K743)*d_hz*G743,0)</f>
        <v/>
      </c>
      <c r="R743" s="40">
        <f>SUMIFS(N704:N750,B704:B750,"&gt;="&amp;(B743-d_T),B704:B750,"&lt;="&amp;(B743-1))</f>
        <v/>
      </c>
      <c r="S743" s="46">
        <f>(1-d_u)*S742+IF(d_T&gt;in_topup_lag,SUMIFS(O704:O750,B704:B750,B743-in_topup_lag)-d_udrop*SUMIFS(O704:O750,B704:B750,B743-d_T),0)</f>
        <v/>
      </c>
      <c r="T743" s="40">
        <f>F743*d_u*S743</f>
        <v/>
      </c>
      <c r="U743" s="9">
        <f>L743*in_ticket+M743*d_rep_ticket</f>
        <v/>
      </c>
      <c r="V743" s="9">
        <f>U743+T743*d_topup_amt</f>
        <v/>
      </c>
      <c r="W743" s="40">
        <f>N743+T743*d_topup_ratio</f>
        <v/>
      </c>
      <c r="X743" s="40">
        <f>SUMIFS(W704:W750,B704:B750,B743-in_dpd_lag)*d_cured</f>
        <v/>
      </c>
      <c r="Y743" s="40">
        <f>SUMIFS(W704:W750,B704:B750,B743-in_rec_lag)*d_recd</f>
        <v/>
      </c>
      <c r="Z743" s="40">
        <f>IF(AND(B743&gt;=in_marketplace_from,B743&lt;in_marketplace_from+in_card_months),in_card_share/in_card_months*F743*I743,IF(AND(B743&gt;=in_marketplace_from+in_card_months,B743&lt;in_marketplace_from+2*in_card_months),in_card_share*d_card_rem/in_card_months*F743*MIN(in_takeup_cap,(1+in_takeup_growth)^(D743-1))*MIN(in_takeup_cap,(1+in_approval_growth)^(D743-1)),0))</f>
        <v/>
      </c>
      <c r="AA743" s="14">
        <f>V743*in_fee*(1-in_taken_back)</f>
        <v/>
      </c>
      <c r="AB743" s="14">
        <f>SUMIFS(W704:W750,B704:B750,B743-in_dpd_lag)*d_dpd</f>
        <v/>
      </c>
      <c r="AC743" s="14">
        <f>SUMIFS(W704:W750,B704:B750,B743-in_rec_lag)*d_rec</f>
        <v/>
      </c>
      <c r="AD743" s="14">
        <f>Z743*in_card_fee</f>
        <v/>
      </c>
      <c r="AE743" s="40">
        <f>AE742*(1-IF(B742&gt;=in_marketplace_from,d_hz_hlth_small*G742,0))</f>
        <v/>
      </c>
      <c r="AF743" s="46">
        <f>AE743*IF(B743&gt;=in_marketplace_from,d_hz_hlth_small*G743,0)</f>
        <v/>
      </c>
      <c r="AG743" s="14">
        <f>F743*AF743*in_hlth_small_ticket*in_hlth_small_comm*in_ins_partner_share+F743*in_hlth_small_ticket*in_hlth_small_renew_comm*in_ins_partner_share*(in_hlth_small_renew^1*SUMIFS(AF704:AF750,B704:B750,B743-12)+in_hlth_small_renew^2*SUMIFS(AF704:AF750,B704:B750,B743-24)+in_hlth_small_renew^3*SUMIFS(AF704:AF750,B704:B750,B743-36)+in_hlth_small_renew^4*SUMIFS(AF704:AF750,B704:B750,B743-48))</f>
        <v/>
      </c>
      <c r="AH743" s="40">
        <f>AH742*(1-IF(B742&gt;=in_marketplace_from,d_hz_hlth_family*G742,0))</f>
        <v/>
      </c>
      <c r="AI743" s="46">
        <f>AH743*IF(B743&gt;=in_marketplace_from,d_hz_hlth_family*G743,0)</f>
        <v/>
      </c>
      <c r="AJ743" s="14">
        <f>F743*AI743*in_hlth_family_ticket*in_hlth_family_comm*in_ins_partner_share+F743*in_hlth_family_ticket*in_hlth_family_renew_comm*in_ins_partner_share*(in_hlth_family_renew^1*SUMIFS(AI704:AI750,B704:B750,B743-12)+in_hlth_family_renew^2*SUMIFS(AI704:AI750,B704:B750,B743-24)+in_hlth_family_renew^3*SUMIFS(AI704:AI750,B704:B750,B743-36)+in_hlth_family_renew^4*SUMIFS(AI704:AI750,B704:B750,B743-48))</f>
        <v/>
      </c>
      <c r="AK743" s="40">
        <f>AK742*(1-IF(B742&gt;=in_marketplace_from,d_hz_life_term*G742,0))</f>
        <v/>
      </c>
      <c r="AL743" s="46">
        <f>AK743*IF(B743&gt;=in_marketplace_from,d_hz_life_term*G743,0)</f>
        <v/>
      </c>
      <c r="AM743" s="14">
        <f>F743*AL743*in_life_term_ticket*in_life_term_comm*in_ins_partner_share+F743*in_life_term_ticket*in_life_term_renew_comm*in_ins_partner_share*(in_life_term_renew^1*SUMIFS(AL704:AL750,B704:B750,B743-12)+in_life_term_renew^2*SUMIFS(AL704:AL750,B704:B750,B743-24)+in_life_term_renew^3*SUMIFS(AL704:AL750,B704:B750,B743-36)+in_life_term_renew^4*SUMIFS(AL704:AL750,B704:B750,B743-48))</f>
        <v/>
      </c>
      <c r="AN743" s="40">
        <f>AN742*(1-IF(B742&gt;=in_marketplace_from,d_hz_accident*G742,0))</f>
        <v/>
      </c>
      <c r="AO743" s="46">
        <f>AN743*IF(B743&gt;=in_marketplace_from,d_hz_accident*G743,0)</f>
        <v/>
      </c>
      <c r="AP743" s="14">
        <f>F743*AO743*in_accident_ticket*in_accident_comm*in_ins_partner_share+F743*in_accident_ticket*in_accident_renew_comm*in_ins_partner_share*(in_accident_renew^1*SUMIFS(AO704:AO750,B704:B750,B743-12)+in_accident_renew^2*SUMIFS(AO704:AO750,B704:B750,B743-24)+in_accident_renew^3*SUMIFS(AO704:AO750,B704:B750,B743-36)+in_accident_renew^4*SUMIFS(AO704:AO750,B704:B750,B743-48))</f>
        <v/>
      </c>
      <c r="AQ743" s="40">
        <f>AQ742*(1-IF(B742&gt;=in_marketplace_from,d_hz_two_wheeler*G742,0))</f>
        <v/>
      </c>
      <c r="AR743" s="46">
        <f>AQ743*IF(B743&gt;=in_marketplace_from,d_hz_two_wheeler*G743,0)</f>
        <v/>
      </c>
      <c r="AS743" s="14">
        <f>F743*AR743*in_two_wheeler_ticket*in_two_wheeler_comm*in_ins_partner_share+F743*in_two_wheeler_ticket*in_two_wheeler_comm*in_ins_partner_share*(in_two_wheeler_renew^1*SUMIFS(AR704:AR750,B704:B750,B743-12)+in_two_wheeler_renew^2*SUMIFS(AR704:AR750,B704:B750,B743-24)+in_two_wheeler_renew^3*SUMIFS(AR704:AR750,B704:B750,B743-36)+in_two_wheeler_renew^4*SUMIFS(AR704:AR750,B704:B750,B743-48))</f>
        <v/>
      </c>
      <c r="AT743" s="40">
        <f>AT742*(1-IF(B742&gt;=in_marketplace_from,d_hz_device*G742,0))</f>
        <v/>
      </c>
      <c r="AU743" s="14">
        <f>F743*AT743*IF(B743&gt;=in_marketplace_from,d_hz_device*G743,0)*in_device_ticket*in_device_comm*in_ins_partner_share</f>
        <v/>
      </c>
      <c r="AV743" s="40">
        <f>AV742*(1-IF(B742&gt;=in_marketplace_from,d_hz_shop*G742,0))</f>
        <v/>
      </c>
      <c r="AW743" s="46">
        <f>AV743*IF(B743&gt;=in_marketplace_from,d_hz_shop*G743,0)</f>
        <v/>
      </c>
      <c r="AX743" s="14">
        <f>F743*AW743*in_shop_ticket*in_shop_comm*in_ins_partner_share+F743*in_shop_ticket*in_shop_renew_comm*in_ins_partner_share*(in_shop_renew^1*SUMIFS(AW704:AW750,B704:B750,B743-12)+in_shop_renew^2*SUMIFS(AW704:AW750,B704:B750,B743-24)+in_shop_renew^3*SUMIFS(AW704:AW750,B704:B750,B743-36)+in_shop_renew^4*SUMIFS(AW704:AW750,B704:B750,B743-48))</f>
        <v/>
      </c>
      <c r="AY743" s="40">
        <f>AY742*(1-IF(B742&gt;=in_marketplace_from,d_hz_sip*G742,0))</f>
        <v/>
      </c>
      <c r="AZ743" s="40">
        <f>AZ742*d_rho_sip+AY743*IF(B743&gt;=in_marketplace_from,d_hz_sip*G743,0)</f>
        <v/>
      </c>
      <c r="BA743" s="40">
        <f>d_rho_sip*(BA742+AZ742)</f>
        <v/>
      </c>
      <c r="BB743" s="14">
        <f>F743*in_sip_ticket*(BA743+0.5*AZ743)*in_sip_comm/12</f>
        <v/>
      </c>
      <c r="BC743" s="40">
        <f>BC742*(1-IF(B742&gt;=in_marketplace_from,d_hz_choti*G742,0))</f>
        <v/>
      </c>
      <c r="BD743" s="46">
        <f>BC743*IF(B743&gt;=in_marketplace_from,d_hz_choti*G743,0)</f>
        <v/>
      </c>
      <c r="BE743" s="14">
        <f>F743*SUMIFS(BD704:BD750,B704:B750,B743-in_choti_months)*in_choti_renew*in_choti_ticket</f>
        <v/>
      </c>
      <c r="BF743" s="40">
        <f>BF742*(1-IF(B742&gt;=in_marketplace_from,d_hz_nps*G742,0))</f>
        <v/>
      </c>
      <c r="BG743" s="14">
        <f>F743*BF743*IF(B743&gt;=in_marketplace_from,d_hz_nps*G743,0)*in_nps_ticket*in_nps_comm</f>
        <v/>
      </c>
      <c r="BH743" s="40">
        <f>BH742*(1-IF(B742&gt;=in_marketplace_from,d_hz_gold*G742,0))</f>
        <v/>
      </c>
      <c r="BI743" s="40">
        <f>BI742*d_rho_gold+BH743*IF(B743&gt;=in_marketplace_from,d_hz_gold*G743,0)</f>
        <v/>
      </c>
      <c r="BJ743" s="14">
        <f>F743*BI743*in_gold_ticket*in_gold_comm</f>
        <v/>
      </c>
      <c r="BK743" s="40">
        <f>BK742*(1-IF(B742&gt;=in_marketplace_from,d_hz_fd*G742,0))</f>
        <v/>
      </c>
      <c r="BL743" s="14">
        <f>F743*BK743*IF(B743&gt;=in_marketplace_from,d_hz_fd*G743,0)*in_fd_ticket*in_fd_comm</f>
        <v/>
      </c>
      <c r="BM743" s="40">
        <f>BM742*(1-IF(B742&gt;=in_marketplace_from,d_hz_recharge*G742,0))</f>
        <v/>
      </c>
      <c r="BN743" s="40">
        <f>BN742*d_rho_recharge+BM743*IF(B743&gt;=in_marketplace_from,d_hz_recharge*G743,0)</f>
        <v/>
      </c>
      <c r="BO743" s="14">
        <f>F743*BN743*in_recharge_ticket*in_recharge_comm/12</f>
        <v/>
      </c>
      <c r="BP743" s="40">
        <f>BP742*(1-IF(B742&gt;=in_marketplace_from,d_hz_bills*G742,0))</f>
        <v/>
      </c>
      <c r="BQ743" s="40">
        <f>BQ742*d_rho_bills+BP743*IF(B743&gt;=in_marketplace_from,d_hz_bills*G743,0)</f>
        <v/>
      </c>
      <c r="BR743" s="14">
        <f>F743*BQ743*in_bills_ticket*in_bills_comm/12</f>
        <v/>
      </c>
      <c r="BS743" s="40">
        <f>BS742*(1-IF(B742&gt;=in_marketplace_from,d_hz_loan_gold*G742,0))</f>
        <v/>
      </c>
      <c r="BT743" s="14">
        <f>F743*BS743*IF(B743&gt;=in_marketplace_from,d_hz_loan_gold*G743,0)*in_loan_gold_ticket*in_loan_gold_comm</f>
        <v/>
      </c>
      <c r="BU743" s="40">
        <f>BU742*(1-IF(B742&gt;=in_marketplace_from,d_hz_loan_cd*G742,0))</f>
        <v/>
      </c>
      <c r="BV743" s="14">
        <f>F743*BU743*IF(B743&gt;=in_marketplace_from,d_hz_loan_cd*G743,0)*in_loan_cd_ticket*in_loan_cd_comm</f>
        <v/>
      </c>
      <c r="BW743" s="40">
        <f>BW742*(1-IF(B742&gt;=in_marketplace_from,d_hz_loan_vehicle*G742,0))</f>
        <v/>
      </c>
      <c r="BX743" s="14">
        <f>F743*BW743*IF(B743&gt;=in_marketplace_from,d_hz_loan_vehicle*G743,0)*in_loan_vehicle_ticket*in_loan_vehicle_comm</f>
        <v/>
      </c>
      <c r="BY743" s="40">
        <f>BY742*(1-IF(B742&gt;=in_marketplace_from,d_hz_loan_home*G742,0)*BZ742)</f>
        <v/>
      </c>
      <c r="BZ743" s="11">
        <f>MIN(in_approval_cap,in_loan_home_approval*INDEX('Age profile'!$O$2:$O$61,B743)*(1+in_approval_growth)^(D743-1))</f>
        <v/>
      </c>
      <c r="CA743" s="14">
        <f>F743*BY743*IF(B743&gt;=in_marketplace_from,d_hz_loan_home*G743,0)*BZ743*in_loan_home_ticket*in_loan_home_comm</f>
        <v/>
      </c>
      <c r="CB743" s="40">
        <f>CB742*(1-IF(B742&gt;=in_marketplace_from,d_hz_loan_lap*G742,0)*CC742)</f>
        <v/>
      </c>
      <c r="CC743" s="11">
        <f>MIN(in_approval_cap,in_loan_lap_approval*INDEX('Age profile'!$O$2:$O$61,B743)*(1+in_approval_growth)^(D743-1))</f>
        <v/>
      </c>
      <c r="CD743" s="14">
        <f>F743*CB743*IF(B743&gt;=in_marketplace_from,d_hz_loan_lap*G743,0)*CC743*in_loan_lap_ticket*in_loan_lap_comm</f>
        <v/>
      </c>
      <c r="CE743" s="14">
        <f>AA743+AB743+AC743+AD743+AG743+AJ743+AM743+AP743+AS743+AU743+AX743+BB743+BE743+BG743+BJ743+BL743+BO743+BR743+BT743+BV743+BX743+CA743+CD743</f>
        <v/>
      </c>
    </row>
    <row r="744">
      <c r="A744" s="39" t="n">
        <v>14</v>
      </c>
      <c r="B744" s="39" t="n">
        <v>41</v>
      </c>
      <c r="C744" s="39">
        <f>A744+B744-1</f>
        <v/>
      </c>
      <c r="D744" s="39">
        <f>INT((C744-1)/12)+1</f>
        <v/>
      </c>
      <c r="E744" s="44">
        <f>INDEX(Monthly!$B$2:$B$61,A744)</f>
        <v/>
      </c>
      <c r="F744" s="44">
        <f>E744*INDEX('Age profile'!$B$2:$B$61,B744)</f>
        <v/>
      </c>
      <c r="G744" s="45">
        <f>MIN(in_takeup_cap,INDEX('Age profile'!$N$2:$N$61,B744)*(1+in_takeup_growth)^(D744-1))</f>
        <v/>
      </c>
      <c r="H744" s="11">
        <f>MIN(in_approval_cap,in_approved_first*INDEX('Age profile'!$O$2:$O$61,B744)*(1+in_approval_growth)^(D744-1))</f>
        <v/>
      </c>
      <c r="I744" s="45">
        <f>G744*MIN(in_takeup_cap,INDEX('Age profile'!$O$2:$O$61,B744)*(1+in_approval_growth)^(D744-1))</f>
        <v/>
      </c>
      <c r="J744" s="40">
        <f>(J743-L743)*F744/F743</f>
        <v/>
      </c>
      <c r="K744" s="40">
        <f>(K743-M743)*F744/F743+SUMIFS(O704:O743,B704:B743,B744-1-d_T)*F744</f>
        <v/>
      </c>
      <c r="L744" s="40">
        <f>IF(B744&gt;=in_marketplace_from,J744*d_hz*G744*in_eligible*H744,0)</f>
        <v/>
      </c>
      <c r="M744" s="40">
        <f>IF(B744&gt;=in_marketplace_from,K744*d_hz*G744*in_eligible*in_approved_repeat,0)</f>
        <v/>
      </c>
      <c r="N744" s="40">
        <f>L744+M744</f>
        <v/>
      </c>
      <c r="O744" s="46">
        <f>N744/F744</f>
        <v/>
      </c>
      <c r="P744" s="40">
        <f>F744-J744-K744</f>
        <v/>
      </c>
      <c r="Q744" s="40">
        <f>IF(B744&gt;=in_marketplace_from,(J744+K744)*d_hz*G744,0)</f>
        <v/>
      </c>
      <c r="R744" s="40">
        <f>SUMIFS(N704:N750,B704:B750,"&gt;="&amp;(B744-d_T),B704:B750,"&lt;="&amp;(B744-1))</f>
        <v/>
      </c>
      <c r="S744" s="46">
        <f>(1-d_u)*S743+IF(d_T&gt;in_topup_lag,SUMIFS(O704:O750,B704:B750,B744-in_topup_lag)-d_udrop*SUMIFS(O704:O750,B704:B750,B744-d_T),0)</f>
        <v/>
      </c>
      <c r="T744" s="40">
        <f>F744*d_u*S744</f>
        <v/>
      </c>
      <c r="U744" s="9">
        <f>L744*in_ticket+M744*d_rep_ticket</f>
        <v/>
      </c>
      <c r="V744" s="9">
        <f>U744+T744*d_topup_amt</f>
        <v/>
      </c>
      <c r="W744" s="40">
        <f>N744+T744*d_topup_ratio</f>
        <v/>
      </c>
      <c r="X744" s="40">
        <f>SUMIFS(W704:W750,B704:B750,B744-in_dpd_lag)*d_cured</f>
        <v/>
      </c>
      <c r="Y744" s="40">
        <f>SUMIFS(W704:W750,B704:B750,B744-in_rec_lag)*d_recd</f>
        <v/>
      </c>
      <c r="Z744" s="40">
        <f>IF(AND(B744&gt;=in_marketplace_from,B744&lt;in_marketplace_from+in_card_months),in_card_share/in_card_months*F744*I744,IF(AND(B744&gt;=in_marketplace_from+in_card_months,B744&lt;in_marketplace_from+2*in_card_months),in_card_share*d_card_rem/in_card_months*F744*MIN(in_takeup_cap,(1+in_takeup_growth)^(D744-1))*MIN(in_takeup_cap,(1+in_approval_growth)^(D744-1)),0))</f>
        <v/>
      </c>
      <c r="AA744" s="14">
        <f>V744*in_fee*(1-in_taken_back)</f>
        <v/>
      </c>
      <c r="AB744" s="14">
        <f>SUMIFS(W704:W750,B704:B750,B744-in_dpd_lag)*d_dpd</f>
        <v/>
      </c>
      <c r="AC744" s="14">
        <f>SUMIFS(W704:W750,B704:B750,B744-in_rec_lag)*d_rec</f>
        <v/>
      </c>
      <c r="AD744" s="14">
        <f>Z744*in_card_fee</f>
        <v/>
      </c>
      <c r="AE744" s="40">
        <f>AE743*(1-IF(B743&gt;=in_marketplace_from,d_hz_hlth_small*G743,0))</f>
        <v/>
      </c>
      <c r="AF744" s="46">
        <f>AE744*IF(B744&gt;=in_marketplace_from,d_hz_hlth_small*G744,0)</f>
        <v/>
      </c>
      <c r="AG744" s="14">
        <f>F744*AF744*in_hlth_small_ticket*in_hlth_small_comm*in_ins_partner_share+F744*in_hlth_small_ticket*in_hlth_small_renew_comm*in_ins_partner_share*(in_hlth_small_renew^1*SUMIFS(AF704:AF750,B704:B750,B744-12)+in_hlth_small_renew^2*SUMIFS(AF704:AF750,B704:B750,B744-24)+in_hlth_small_renew^3*SUMIFS(AF704:AF750,B704:B750,B744-36)+in_hlth_small_renew^4*SUMIFS(AF704:AF750,B704:B750,B744-48))</f>
        <v/>
      </c>
      <c r="AH744" s="40">
        <f>AH743*(1-IF(B743&gt;=in_marketplace_from,d_hz_hlth_family*G743,0))</f>
        <v/>
      </c>
      <c r="AI744" s="46">
        <f>AH744*IF(B744&gt;=in_marketplace_from,d_hz_hlth_family*G744,0)</f>
        <v/>
      </c>
      <c r="AJ744" s="14">
        <f>F744*AI744*in_hlth_family_ticket*in_hlth_family_comm*in_ins_partner_share+F744*in_hlth_family_ticket*in_hlth_family_renew_comm*in_ins_partner_share*(in_hlth_family_renew^1*SUMIFS(AI704:AI750,B704:B750,B744-12)+in_hlth_family_renew^2*SUMIFS(AI704:AI750,B704:B750,B744-24)+in_hlth_family_renew^3*SUMIFS(AI704:AI750,B704:B750,B744-36)+in_hlth_family_renew^4*SUMIFS(AI704:AI750,B704:B750,B744-48))</f>
        <v/>
      </c>
      <c r="AK744" s="40">
        <f>AK743*(1-IF(B743&gt;=in_marketplace_from,d_hz_life_term*G743,0))</f>
        <v/>
      </c>
      <c r="AL744" s="46">
        <f>AK744*IF(B744&gt;=in_marketplace_from,d_hz_life_term*G744,0)</f>
        <v/>
      </c>
      <c r="AM744" s="14">
        <f>F744*AL744*in_life_term_ticket*in_life_term_comm*in_ins_partner_share+F744*in_life_term_ticket*in_life_term_renew_comm*in_ins_partner_share*(in_life_term_renew^1*SUMIFS(AL704:AL750,B704:B750,B744-12)+in_life_term_renew^2*SUMIFS(AL704:AL750,B704:B750,B744-24)+in_life_term_renew^3*SUMIFS(AL704:AL750,B704:B750,B744-36)+in_life_term_renew^4*SUMIFS(AL704:AL750,B704:B750,B744-48))</f>
        <v/>
      </c>
      <c r="AN744" s="40">
        <f>AN743*(1-IF(B743&gt;=in_marketplace_from,d_hz_accident*G743,0))</f>
        <v/>
      </c>
      <c r="AO744" s="46">
        <f>AN744*IF(B744&gt;=in_marketplace_from,d_hz_accident*G744,0)</f>
        <v/>
      </c>
      <c r="AP744" s="14">
        <f>F744*AO744*in_accident_ticket*in_accident_comm*in_ins_partner_share+F744*in_accident_ticket*in_accident_renew_comm*in_ins_partner_share*(in_accident_renew^1*SUMIFS(AO704:AO750,B704:B750,B744-12)+in_accident_renew^2*SUMIFS(AO704:AO750,B704:B750,B744-24)+in_accident_renew^3*SUMIFS(AO704:AO750,B704:B750,B744-36)+in_accident_renew^4*SUMIFS(AO704:AO750,B704:B750,B744-48))</f>
        <v/>
      </c>
      <c r="AQ744" s="40">
        <f>AQ743*(1-IF(B743&gt;=in_marketplace_from,d_hz_two_wheeler*G743,0))</f>
        <v/>
      </c>
      <c r="AR744" s="46">
        <f>AQ744*IF(B744&gt;=in_marketplace_from,d_hz_two_wheeler*G744,0)</f>
        <v/>
      </c>
      <c r="AS744" s="14">
        <f>F744*AR744*in_two_wheeler_ticket*in_two_wheeler_comm*in_ins_partner_share+F744*in_two_wheeler_ticket*in_two_wheeler_comm*in_ins_partner_share*(in_two_wheeler_renew^1*SUMIFS(AR704:AR750,B704:B750,B744-12)+in_two_wheeler_renew^2*SUMIFS(AR704:AR750,B704:B750,B744-24)+in_two_wheeler_renew^3*SUMIFS(AR704:AR750,B704:B750,B744-36)+in_two_wheeler_renew^4*SUMIFS(AR704:AR750,B704:B750,B744-48))</f>
        <v/>
      </c>
      <c r="AT744" s="40">
        <f>AT743*(1-IF(B743&gt;=in_marketplace_from,d_hz_device*G743,0))</f>
        <v/>
      </c>
      <c r="AU744" s="14">
        <f>F744*AT744*IF(B744&gt;=in_marketplace_from,d_hz_device*G744,0)*in_device_ticket*in_device_comm*in_ins_partner_share</f>
        <v/>
      </c>
      <c r="AV744" s="40">
        <f>AV743*(1-IF(B743&gt;=in_marketplace_from,d_hz_shop*G743,0))</f>
        <v/>
      </c>
      <c r="AW744" s="46">
        <f>AV744*IF(B744&gt;=in_marketplace_from,d_hz_shop*G744,0)</f>
        <v/>
      </c>
      <c r="AX744" s="14">
        <f>F744*AW744*in_shop_ticket*in_shop_comm*in_ins_partner_share+F744*in_shop_ticket*in_shop_renew_comm*in_ins_partner_share*(in_shop_renew^1*SUMIFS(AW704:AW750,B704:B750,B744-12)+in_shop_renew^2*SUMIFS(AW704:AW750,B704:B750,B744-24)+in_shop_renew^3*SUMIFS(AW704:AW750,B704:B750,B744-36)+in_shop_renew^4*SUMIFS(AW704:AW750,B704:B750,B744-48))</f>
        <v/>
      </c>
      <c r="AY744" s="40">
        <f>AY743*(1-IF(B743&gt;=in_marketplace_from,d_hz_sip*G743,0))</f>
        <v/>
      </c>
      <c r="AZ744" s="40">
        <f>AZ743*d_rho_sip+AY744*IF(B744&gt;=in_marketplace_from,d_hz_sip*G744,0)</f>
        <v/>
      </c>
      <c r="BA744" s="40">
        <f>d_rho_sip*(BA743+AZ743)</f>
        <v/>
      </c>
      <c r="BB744" s="14">
        <f>F744*in_sip_ticket*(BA744+0.5*AZ744)*in_sip_comm/12</f>
        <v/>
      </c>
      <c r="BC744" s="40">
        <f>BC743*(1-IF(B743&gt;=in_marketplace_from,d_hz_choti*G743,0))</f>
        <v/>
      </c>
      <c r="BD744" s="46">
        <f>BC744*IF(B744&gt;=in_marketplace_from,d_hz_choti*G744,0)</f>
        <v/>
      </c>
      <c r="BE744" s="14">
        <f>F744*SUMIFS(BD704:BD750,B704:B750,B744-in_choti_months)*in_choti_renew*in_choti_ticket</f>
        <v/>
      </c>
      <c r="BF744" s="40">
        <f>BF743*(1-IF(B743&gt;=in_marketplace_from,d_hz_nps*G743,0))</f>
        <v/>
      </c>
      <c r="BG744" s="14">
        <f>F744*BF744*IF(B744&gt;=in_marketplace_from,d_hz_nps*G744,0)*in_nps_ticket*in_nps_comm</f>
        <v/>
      </c>
      <c r="BH744" s="40">
        <f>BH743*(1-IF(B743&gt;=in_marketplace_from,d_hz_gold*G743,0))</f>
        <v/>
      </c>
      <c r="BI744" s="40">
        <f>BI743*d_rho_gold+BH744*IF(B744&gt;=in_marketplace_from,d_hz_gold*G744,0)</f>
        <v/>
      </c>
      <c r="BJ744" s="14">
        <f>F744*BI744*in_gold_ticket*in_gold_comm</f>
        <v/>
      </c>
      <c r="BK744" s="40">
        <f>BK743*(1-IF(B743&gt;=in_marketplace_from,d_hz_fd*G743,0))</f>
        <v/>
      </c>
      <c r="BL744" s="14">
        <f>F744*BK744*IF(B744&gt;=in_marketplace_from,d_hz_fd*G744,0)*in_fd_ticket*in_fd_comm</f>
        <v/>
      </c>
      <c r="BM744" s="40">
        <f>BM743*(1-IF(B743&gt;=in_marketplace_from,d_hz_recharge*G743,0))</f>
        <v/>
      </c>
      <c r="BN744" s="40">
        <f>BN743*d_rho_recharge+BM744*IF(B744&gt;=in_marketplace_from,d_hz_recharge*G744,0)</f>
        <v/>
      </c>
      <c r="BO744" s="14">
        <f>F744*BN744*in_recharge_ticket*in_recharge_comm/12</f>
        <v/>
      </c>
      <c r="BP744" s="40">
        <f>BP743*(1-IF(B743&gt;=in_marketplace_from,d_hz_bills*G743,0))</f>
        <v/>
      </c>
      <c r="BQ744" s="40">
        <f>BQ743*d_rho_bills+BP744*IF(B744&gt;=in_marketplace_from,d_hz_bills*G744,0)</f>
        <v/>
      </c>
      <c r="BR744" s="14">
        <f>F744*BQ744*in_bills_ticket*in_bills_comm/12</f>
        <v/>
      </c>
      <c r="BS744" s="40">
        <f>BS743*(1-IF(B743&gt;=in_marketplace_from,d_hz_loan_gold*G743,0))</f>
        <v/>
      </c>
      <c r="BT744" s="14">
        <f>F744*BS744*IF(B744&gt;=in_marketplace_from,d_hz_loan_gold*G744,0)*in_loan_gold_ticket*in_loan_gold_comm</f>
        <v/>
      </c>
      <c r="BU744" s="40">
        <f>BU743*(1-IF(B743&gt;=in_marketplace_from,d_hz_loan_cd*G743,0))</f>
        <v/>
      </c>
      <c r="BV744" s="14">
        <f>F744*BU744*IF(B744&gt;=in_marketplace_from,d_hz_loan_cd*G744,0)*in_loan_cd_ticket*in_loan_cd_comm</f>
        <v/>
      </c>
      <c r="BW744" s="40">
        <f>BW743*(1-IF(B743&gt;=in_marketplace_from,d_hz_loan_vehicle*G743,0))</f>
        <v/>
      </c>
      <c r="BX744" s="14">
        <f>F744*BW744*IF(B744&gt;=in_marketplace_from,d_hz_loan_vehicle*G744,0)*in_loan_vehicle_ticket*in_loan_vehicle_comm</f>
        <v/>
      </c>
      <c r="BY744" s="40">
        <f>BY743*(1-IF(B743&gt;=in_marketplace_from,d_hz_loan_home*G743,0)*BZ743)</f>
        <v/>
      </c>
      <c r="BZ744" s="11">
        <f>MIN(in_approval_cap,in_loan_home_approval*INDEX('Age profile'!$O$2:$O$61,B744)*(1+in_approval_growth)^(D744-1))</f>
        <v/>
      </c>
      <c r="CA744" s="14">
        <f>F744*BY744*IF(B744&gt;=in_marketplace_from,d_hz_loan_home*G744,0)*BZ744*in_loan_home_ticket*in_loan_home_comm</f>
        <v/>
      </c>
      <c r="CB744" s="40">
        <f>CB743*(1-IF(B743&gt;=in_marketplace_from,d_hz_loan_lap*G743,0)*CC743)</f>
        <v/>
      </c>
      <c r="CC744" s="11">
        <f>MIN(in_approval_cap,in_loan_lap_approval*INDEX('Age profile'!$O$2:$O$61,B744)*(1+in_approval_growth)^(D744-1))</f>
        <v/>
      </c>
      <c r="CD744" s="14">
        <f>F744*CB744*IF(B744&gt;=in_marketplace_from,d_hz_loan_lap*G744,0)*CC744*in_loan_lap_ticket*in_loan_lap_comm</f>
        <v/>
      </c>
      <c r="CE744" s="14">
        <f>AA744+AB744+AC744+AD744+AG744+AJ744+AM744+AP744+AS744+AU744+AX744+BB744+BE744+BG744+BJ744+BL744+BO744+BR744+BT744+BV744+BX744+CA744+CD744</f>
        <v/>
      </c>
    </row>
    <row r="745">
      <c r="A745" s="39" t="n">
        <v>14</v>
      </c>
      <c r="B745" s="39" t="n">
        <v>42</v>
      </c>
      <c r="C745" s="39">
        <f>A745+B745-1</f>
        <v/>
      </c>
      <c r="D745" s="39">
        <f>INT((C745-1)/12)+1</f>
        <v/>
      </c>
      <c r="E745" s="44">
        <f>INDEX(Monthly!$B$2:$B$61,A745)</f>
        <v/>
      </c>
      <c r="F745" s="44">
        <f>E745*INDEX('Age profile'!$B$2:$B$61,B745)</f>
        <v/>
      </c>
      <c r="G745" s="45">
        <f>MIN(in_takeup_cap,INDEX('Age profile'!$N$2:$N$61,B745)*(1+in_takeup_growth)^(D745-1))</f>
        <v/>
      </c>
      <c r="H745" s="11">
        <f>MIN(in_approval_cap,in_approved_first*INDEX('Age profile'!$O$2:$O$61,B745)*(1+in_approval_growth)^(D745-1))</f>
        <v/>
      </c>
      <c r="I745" s="45">
        <f>G745*MIN(in_takeup_cap,INDEX('Age profile'!$O$2:$O$61,B745)*(1+in_approval_growth)^(D745-1))</f>
        <v/>
      </c>
      <c r="J745" s="40">
        <f>(J744-L744)*F745/F744</f>
        <v/>
      </c>
      <c r="K745" s="40">
        <f>(K744-M744)*F745/F744+SUMIFS(O704:O744,B704:B744,B745-1-d_T)*F745</f>
        <v/>
      </c>
      <c r="L745" s="40">
        <f>IF(B745&gt;=in_marketplace_from,J745*d_hz*G745*in_eligible*H745,0)</f>
        <v/>
      </c>
      <c r="M745" s="40">
        <f>IF(B745&gt;=in_marketplace_from,K745*d_hz*G745*in_eligible*in_approved_repeat,0)</f>
        <v/>
      </c>
      <c r="N745" s="40">
        <f>L745+M745</f>
        <v/>
      </c>
      <c r="O745" s="46">
        <f>N745/F745</f>
        <v/>
      </c>
      <c r="P745" s="40">
        <f>F745-J745-K745</f>
        <v/>
      </c>
      <c r="Q745" s="40">
        <f>IF(B745&gt;=in_marketplace_from,(J745+K745)*d_hz*G745,0)</f>
        <v/>
      </c>
      <c r="R745" s="40">
        <f>SUMIFS(N704:N750,B704:B750,"&gt;="&amp;(B745-d_T),B704:B750,"&lt;="&amp;(B745-1))</f>
        <v/>
      </c>
      <c r="S745" s="46">
        <f>(1-d_u)*S744+IF(d_T&gt;in_topup_lag,SUMIFS(O704:O750,B704:B750,B745-in_topup_lag)-d_udrop*SUMIFS(O704:O750,B704:B750,B745-d_T),0)</f>
        <v/>
      </c>
      <c r="T745" s="40">
        <f>F745*d_u*S745</f>
        <v/>
      </c>
      <c r="U745" s="9">
        <f>L745*in_ticket+M745*d_rep_ticket</f>
        <v/>
      </c>
      <c r="V745" s="9">
        <f>U745+T745*d_topup_amt</f>
        <v/>
      </c>
      <c r="W745" s="40">
        <f>N745+T745*d_topup_ratio</f>
        <v/>
      </c>
      <c r="X745" s="40">
        <f>SUMIFS(W704:W750,B704:B750,B745-in_dpd_lag)*d_cured</f>
        <v/>
      </c>
      <c r="Y745" s="40">
        <f>SUMIFS(W704:W750,B704:B750,B745-in_rec_lag)*d_recd</f>
        <v/>
      </c>
      <c r="Z745" s="40">
        <f>IF(AND(B745&gt;=in_marketplace_from,B745&lt;in_marketplace_from+in_card_months),in_card_share/in_card_months*F745*I745,IF(AND(B745&gt;=in_marketplace_from+in_card_months,B745&lt;in_marketplace_from+2*in_card_months),in_card_share*d_card_rem/in_card_months*F745*MIN(in_takeup_cap,(1+in_takeup_growth)^(D745-1))*MIN(in_takeup_cap,(1+in_approval_growth)^(D745-1)),0))</f>
        <v/>
      </c>
      <c r="AA745" s="14">
        <f>V745*in_fee*(1-in_taken_back)</f>
        <v/>
      </c>
      <c r="AB745" s="14">
        <f>SUMIFS(W704:W750,B704:B750,B745-in_dpd_lag)*d_dpd</f>
        <v/>
      </c>
      <c r="AC745" s="14">
        <f>SUMIFS(W704:W750,B704:B750,B745-in_rec_lag)*d_rec</f>
        <v/>
      </c>
      <c r="AD745" s="14">
        <f>Z745*in_card_fee</f>
        <v/>
      </c>
      <c r="AE745" s="40">
        <f>AE744*(1-IF(B744&gt;=in_marketplace_from,d_hz_hlth_small*G744,0))</f>
        <v/>
      </c>
      <c r="AF745" s="46">
        <f>AE745*IF(B745&gt;=in_marketplace_from,d_hz_hlth_small*G745,0)</f>
        <v/>
      </c>
      <c r="AG745" s="14">
        <f>F745*AF745*in_hlth_small_ticket*in_hlth_small_comm*in_ins_partner_share+F745*in_hlth_small_ticket*in_hlth_small_renew_comm*in_ins_partner_share*(in_hlth_small_renew^1*SUMIFS(AF704:AF750,B704:B750,B745-12)+in_hlth_small_renew^2*SUMIFS(AF704:AF750,B704:B750,B745-24)+in_hlth_small_renew^3*SUMIFS(AF704:AF750,B704:B750,B745-36)+in_hlth_small_renew^4*SUMIFS(AF704:AF750,B704:B750,B745-48))</f>
        <v/>
      </c>
      <c r="AH745" s="40">
        <f>AH744*(1-IF(B744&gt;=in_marketplace_from,d_hz_hlth_family*G744,0))</f>
        <v/>
      </c>
      <c r="AI745" s="46">
        <f>AH745*IF(B745&gt;=in_marketplace_from,d_hz_hlth_family*G745,0)</f>
        <v/>
      </c>
      <c r="AJ745" s="14">
        <f>F745*AI745*in_hlth_family_ticket*in_hlth_family_comm*in_ins_partner_share+F745*in_hlth_family_ticket*in_hlth_family_renew_comm*in_ins_partner_share*(in_hlth_family_renew^1*SUMIFS(AI704:AI750,B704:B750,B745-12)+in_hlth_family_renew^2*SUMIFS(AI704:AI750,B704:B750,B745-24)+in_hlth_family_renew^3*SUMIFS(AI704:AI750,B704:B750,B745-36)+in_hlth_family_renew^4*SUMIFS(AI704:AI750,B704:B750,B745-48))</f>
        <v/>
      </c>
      <c r="AK745" s="40">
        <f>AK744*(1-IF(B744&gt;=in_marketplace_from,d_hz_life_term*G744,0))</f>
        <v/>
      </c>
      <c r="AL745" s="46">
        <f>AK745*IF(B745&gt;=in_marketplace_from,d_hz_life_term*G745,0)</f>
        <v/>
      </c>
      <c r="AM745" s="14">
        <f>F745*AL745*in_life_term_ticket*in_life_term_comm*in_ins_partner_share+F745*in_life_term_ticket*in_life_term_renew_comm*in_ins_partner_share*(in_life_term_renew^1*SUMIFS(AL704:AL750,B704:B750,B745-12)+in_life_term_renew^2*SUMIFS(AL704:AL750,B704:B750,B745-24)+in_life_term_renew^3*SUMIFS(AL704:AL750,B704:B750,B745-36)+in_life_term_renew^4*SUMIFS(AL704:AL750,B704:B750,B745-48))</f>
        <v/>
      </c>
      <c r="AN745" s="40">
        <f>AN744*(1-IF(B744&gt;=in_marketplace_from,d_hz_accident*G744,0))</f>
        <v/>
      </c>
      <c r="AO745" s="46">
        <f>AN745*IF(B745&gt;=in_marketplace_from,d_hz_accident*G745,0)</f>
        <v/>
      </c>
      <c r="AP745" s="14">
        <f>F745*AO745*in_accident_ticket*in_accident_comm*in_ins_partner_share+F745*in_accident_ticket*in_accident_renew_comm*in_ins_partner_share*(in_accident_renew^1*SUMIFS(AO704:AO750,B704:B750,B745-12)+in_accident_renew^2*SUMIFS(AO704:AO750,B704:B750,B745-24)+in_accident_renew^3*SUMIFS(AO704:AO750,B704:B750,B745-36)+in_accident_renew^4*SUMIFS(AO704:AO750,B704:B750,B745-48))</f>
        <v/>
      </c>
      <c r="AQ745" s="40">
        <f>AQ744*(1-IF(B744&gt;=in_marketplace_from,d_hz_two_wheeler*G744,0))</f>
        <v/>
      </c>
      <c r="AR745" s="46">
        <f>AQ745*IF(B745&gt;=in_marketplace_from,d_hz_two_wheeler*G745,0)</f>
        <v/>
      </c>
      <c r="AS745" s="14">
        <f>F745*AR745*in_two_wheeler_ticket*in_two_wheeler_comm*in_ins_partner_share+F745*in_two_wheeler_ticket*in_two_wheeler_comm*in_ins_partner_share*(in_two_wheeler_renew^1*SUMIFS(AR704:AR750,B704:B750,B745-12)+in_two_wheeler_renew^2*SUMIFS(AR704:AR750,B704:B750,B745-24)+in_two_wheeler_renew^3*SUMIFS(AR704:AR750,B704:B750,B745-36)+in_two_wheeler_renew^4*SUMIFS(AR704:AR750,B704:B750,B745-48))</f>
        <v/>
      </c>
      <c r="AT745" s="40">
        <f>AT744*(1-IF(B744&gt;=in_marketplace_from,d_hz_device*G744,0))</f>
        <v/>
      </c>
      <c r="AU745" s="14">
        <f>F745*AT745*IF(B745&gt;=in_marketplace_from,d_hz_device*G745,0)*in_device_ticket*in_device_comm*in_ins_partner_share</f>
        <v/>
      </c>
      <c r="AV745" s="40">
        <f>AV744*(1-IF(B744&gt;=in_marketplace_from,d_hz_shop*G744,0))</f>
        <v/>
      </c>
      <c r="AW745" s="46">
        <f>AV745*IF(B745&gt;=in_marketplace_from,d_hz_shop*G745,0)</f>
        <v/>
      </c>
      <c r="AX745" s="14">
        <f>F745*AW745*in_shop_ticket*in_shop_comm*in_ins_partner_share+F745*in_shop_ticket*in_shop_renew_comm*in_ins_partner_share*(in_shop_renew^1*SUMIFS(AW704:AW750,B704:B750,B745-12)+in_shop_renew^2*SUMIFS(AW704:AW750,B704:B750,B745-24)+in_shop_renew^3*SUMIFS(AW704:AW750,B704:B750,B745-36)+in_shop_renew^4*SUMIFS(AW704:AW750,B704:B750,B745-48))</f>
        <v/>
      </c>
      <c r="AY745" s="40">
        <f>AY744*(1-IF(B744&gt;=in_marketplace_from,d_hz_sip*G744,0))</f>
        <v/>
      </c>
      <c r="AZ745" s="40">
        <f>AZ744*d_rho_sip+AY745*IF(B745&gt;=in_marketplace_from,d_hz_sip*G745,0)</f>
        <v/>
      </c>
      <c r="BA745" s="40">
        <f>d_rho_sip*(BA744+AZ744)</f>
        <v/>
      </c>
      <c r="BB745" s="14">
        <f>F745*in_sip_ticket*(BA745+0.5*AZ745)*in_sip_comm/12</f>
        <v/>
      </c>
      <c r="BC745" s="40">
        <f>BC744*(1-IF(B744&gt;=in_marketplace_from,d_hz_choti*G744,0))</f>
        <v/>
      </c>
      <c r="BD745" s="46">
        <f>BC745*IF(B745&gt;=in_marketplace_from,d_hz_choti*G745,0)</f>
        <v/>
      </c>
      <c r="BE745" s="14">
        <f>F745*SUMIFS(BD704:BD750,B704:B750,B745-in_choti_months)*in_choti_renew*in_choti_ticket</f>
        <v/>
      </c>
      <c r="BF745" s="40">
        <f>BF744*(1-IF(B744&gt;=in_marketplace_from,d_hz_nps*G744,0))</f>
        <v/>
      </c>
      <c r="BG745" s="14">
        <f>F745*BF745*IF(B745&gt;=in_marketplace_from,d_hz_nps*G745,0)*in_nps_ticket*in_nps_comm</f>
        <v/>
      </c>
      <c r="BH745" s="40">
        <f>BH744*(1-IF(B744&gt;=in_marketplace_from,d_hz_gold*G744,0))</f>
        <v/>
      </c>
      <c r="BI745" s="40">
        <f>BI744*d_rho_gold+BH745*IF(B745&gt;=in_marketplace_from,d_hz_gold*G745,0)</f>
        <v/>
      </c>
      <c r="BJ745" s="14">
        <f>F745*BI745*in_gold_ticket*in_gold_comm</f>
        <v/>
      </c>
      <c r="BK745" s="40">
        <f>BK744*(1-IF(B744&gt;=in_marketplace_from,d_hz_fd*G744,0))</f>
        <v/>
      </c>
      <c r="BL745" s="14">
        <f>F745*BK745*IF(B745&gt;=in_marketplace_from,d_hz_fd*G745,0)*in_fd_ticket*in_fd_comm</f>
        <v/>
      </c>
      <c r="BM745" s="40">
        <f>BM744*(1-IF(B744&gt;=in_marketplace_from,d_hz_recharge*G744,0))</f>
        <v/>
      </c>
      <c r="BN745" s="40">
        <f>BN744*d_rho_recharge+BM745*IF(B745&gt;=in_marketplace_from,d_hz_recharge*G745,0)</f>
        <v/>
      </c>
      <c r="BO745" s="14">
        <f>F745*BN745*in_recharge_ticket*in_recharge_comm/12</f>
        <v/>
      </c>
      <c r="BP745" s="40">
        <f>BP744*(1-IF(B744&gt;=in_marketplace_from,d_hz_bills*G744,0))</f>
        <v/>
      </c>
      <c r="BQ745" s="40">
        <f>BQ744*d_rho_bills+BP745*IF(B745&gt;=in_marketplace_from,d_hz_bills*G745,0)</f>
        <v/>
      </c>
      <c r="BR745" s="14">
        <f>F745*BQ745*in_bills_ticket*in_bills_comm/12</f>
        <v/>
      </c>
      <c r="BS745" s="40">
        <f>BS744*(1-IF(B744&gt;=in_marketplace_from,d_hz_loan_gold*G744,0))</f>
        <v/>
      </c>
      <c r="BT745" s="14">
        <f>F745*BS745*IF(B745&gt;=in_marketplace_from,d_hz_loan_gold*G745,0)*in_loan_gold_ticket*in_loan_gold_comm</f>
        <v/>
      </c>
      <c r="BU745" s="40">
        <f>BU744*(1-IF(B744&gt;=in_marketplace_from,d_hz_loan_cd*G744,0))</f>
        <v/>
      </c>
      <c r="BV745" s="14">
        <f>F745*BU745*IF(B745&gt;=in_marketplace_from,d_hz_loan_cd*G745,0)*in_loan_cd_ticket*in_loan_cd_comm</f>
        <v/>
      </c>
      <c r="BW745" s="40">
        <f>BW744*(1-IF(B744&gt;=in_marketplace_from,d_hz_loan_vehicle*G744,0))</f>
        <v/>
      </c>
      <c r="BX745" s="14">
        <f>F745*BW745*IF(B745&gt;=in_marketplace_from,d_hz_loan_vehicle*G745,0)*in_loan_vehicle_ticket*in_loan_vehicle_comm</f>
        <v/>
      </c>
      <c r="BY745" s="40">
        <f>BY744*(1-IF(B744&gt;=in_marketplace_from,d_hz_loan_home*G744,0)*BZ744)</f>
        <v/>
      </c>
      <c r="BZ745" s="11">
        <f>MIN(in_approval_cap,in_loan_home_approval*INDEX('Age profile'!$O$2:$O$61,B745)*(1+in_approval_growth)^(D745-1))</f>
        <v/>
      </c>
      <c r="CA745" s="14">
        <f>F745*BY745*IF(B745&gt;=in_marketplace_from,d_hz_loan_home*G745,0)*BZ745*in_loan_home_ticket*in_loan_home_comm</f>
        <v/>
      </c>
      <c r="CB745" s="40">
        <f>CB744*(1-IF(B744&gt;=in_marketplace_from,d_hz_loan_lap*G744,0)*CC744)</f>
        <v/>
      </c>
      <c r="CC745" s="11">
        <f>MIN(in_approval_cap,in_loan_lap_approval*INDEX('Age profile'!$O$2:$O$61,B745)*(1+in_approval_growth)^(D745-1))</f>
        <v/>
      </c>
      <c r="CD745" s="14">
        <f>F745*CB745*IF(B745&gt;=in_marketplace_from,d_hz_loan_lap*G745,0)*CC745*in_loan_lap_ticket*in_loan_lap_comm</f>
        <v/>
      </c>
      <c r="CE745" s="14">
        <f>AA745+AB745+AC745+AD745+AG745+AJ745+AM745+AP745+AS745+AU745+AX745+BB745+BE745+BG745+BJ745+BL745+BO745+BR745+BT745+BV745+BX745+CA745+CD745</f>
        <v/>
      </c>
    </row>
    <row r="746">
      <c r="A746" s="39" t="n">
        <v>14</v>
      </c>
      <c r="B746" s="39" t="n">
        <v>43</v>
      </c>
      <c r="C746" s="39">
        <f>A746+B746-1</f>
        <v/>
      </c>
      <c r="D746" s="39">
        <f>INT((C746-1)/12)+1</f>
        <v/>
      </c>
      <c r="E746" s="44">
        <f>INDEX(Monthly!$B$2:$B$61,A746)</f>
        <v/>
      </c>
      <c r="F746" s="44">
        <f>E746*INDEX('Age profile'!$B$2:$B$61,B746)</f>
        <v/>
      </c>
      <c r="G746" s="45">
        <f>MIN(in_takeup_cap,INDEX('Age profile'!$N$2:$N$61,B746)*(1+in_takeup_growth)^(D746-1))</f>
        <v/>
      </c>
      <c r="H746" s="11">
        <f>MIN(in_approval_cap,in_approved_first*INDEX('Age profile'!$O$2:$O$61,B746)*(1+in_approval_growth)^(D746-1))</f>
        <v/>
      </c>
      <c r="I746" s="45">
        <f>G746*MIN(in_takeup_cap,INDEX('Age profile'!$O$2:$O$61,B746)*(1+in_approval_growth)^(D746-1))</f>
        <v/>
      </c>
      <c r="J746" s="40">
        <f>(J745-L745)*F746/F745</f>
        <v/>
      </c>
      <c r="K746" s="40">
        <f>(K745-M745)*F746/F745+SUMIFS(O704:O745,B704:B745,B746-1-d_T)*F746</f>
        <v/>
      </c>
      <c r="L746" s="40">
        <f>IF(B746&gt;=in_marketplace_from,J746*d_hz*G746*in_eligible*H746,0)</f>
        <v/>
      </c>
      <c r="M746" s="40">
        <f>IF(B746&gt;=in_marketplace_from,K746*d_hz*G746*in_eligible*in_approved_repeat,0)</f>
        <v/>
      </c>
      <c r="N746" s="40">
        <f>L746+M746</f>
        <v/>
      </c>
      <c r="O746" s="46">
        <f>N746/F746</f>
        <v/>
      </c>
      <c r="P746" s="40">
        <f>F746-J746-K746</f>
        <v/>
      </c>
      <c r="Q746" s="40">
        <f>IF(B746&gt;=in_marketplace_from,(J746+K746)*d_hz*G746,0)</f>
        <v/>
      </c>
      <c r="R746" s="40">
        <f>SUMIFS(N704:N750,B704:B750,"&gt;="&amp;(B746-d_T),B704:B750,"&lt;="&amp;(B746-1))</f>
        <v/>
      </c>
      <c r="S746" s="46">
        <f>(1-d_u)*S745+IF(d_T&gt;in_topup_lag,SUMIFS(O704:O750,B704:B750,B746-in_topup_lag)-d_udrop*SUMIFS(O704:O750,B704:B750,B746-d_T),0)</f>
        <v/>
      </c>
      <c r="T746" s="40">
        <f>F746*d_u*S746</f>
        <v/>
      </c>
      <c r="U746" s="9">
        <f>L746*in_ticket+M746*d_rep_ticket</f>
        <v/>
      </c>
      <c r="V746" s="9">
        <f>U746+T746*d_topup_amt</f>
        <v/>
      </c>
      <c r="W746" s="40">
        <f>N746+T746*d_topup_ratio</f>
        <v/>
      </c>
      <c r="X746" s="40">
        <f>SUMIFS(W704:W750,B704:B750,B746-in_dpd_lag)*d_cured</f>
        <v/>
      </c>
      <c r="Y746" s="40">
        <f>SUMIFS(W704:W750,B704:B750,B746-in_rec_lag)*d_recd</f>
        <v/>
      </c>
      <c r="Z746" s="40">
        <f>IF(AND(B746&gt;=in_marketplace_from,B746&lt;in_marketplace_from+in_card_months),in_card_share/in_card_months*F746*I746,IF(AND(B746&gt;=in_marketplace_from+in_card_months,B746&lt;in_marketplace_from+2*in_card_months),in_card_share*d_card_rem/in_card_months*F746*MIN(in_takeup_cap,(1+in_takeup_growth)^(D746-1))*MIN(in_takeup_cap,(1+in_approval_growth)^(D746-1)),0))</f>
        <v/>
      </c>
      <c r="AA746" s="14">
        <f>V746*in_fee*(1-in_taken_back)</f>
        <v/>
      </c>
      <c r="AB746" s="14">
        <f>SUMIFS(W704:W750,B704:B750,B746-in_dpd_lag)*d_dpd</f>
        <v/>
      </c>
      <c r="AC746" s="14">
        <f>SUMIFS(W704:W750,B704:B750,B746-in_rec_lag)*d_rec</f>
        <v/>
      </c>
      <c r="AD746" s="14">
        <f>Z746*in_card_fee</f>
        <v/>
      </c>
      <c r="AE746" s="40">
        <f>AE745*(1-IF(B745&gt;=in_marketplace_from,d_hz_hlth_small*G745,0))</f>
        <v/>
      </c>
      <c r="AF746" s="46">
        <f>AE746*IF(B746&gt;=in_marketplace_from,d_hz_hlth_small*G746,0)</f>
        <v/>
      </c>
      <c r="AG746" s="14">
        <f>F746*AF746*in_hlth_small_ticket*in_hlth_small_comm*in_ins_partner_share+F746*in_hlth_small_ticket*in_hlth_small_renew_comm*in_ins_partner_share*(in_hlth_small_renew^1*SUMIFS(AF704:AF750,B704:B750,B746-12)+in_hlth_small_renew^2*SUMIFS(AF704:AF750,B704:B750,B746-24)+in_hlth_small_renew^3*SUMIFS(AF704:AF750,B704:B750,B746-36)+in_hlth_small_renew^4*SUMIFS(AF704:AF750,B704:B750,B746-48))</f>
        <v/>
      </c>
      <c r="AH746" s="40">
        <f>AH745*(1-IF(B745&gt;=in_marketplace_from,d_hz_hlth_family*G745,0))</f>
        <v/>
      </c>
      <c r="AI746" s="46">
        <f>AH746*IF(B746&gt;=in_marketplace_from,d_hz_hlth_family*G746,0)</f>
        <v/>
      </c>
      <c r="AJ746" s="14">
        <f>F746*AI746*in_hlth_family_ticket*in_hlth_family_comm*in_ins_partner_share+F746*in_hlth_family_ticket*in_hlth_family_renew_comm*in_ins_partner_share*(in_hlth_family_renew^1*SUMIFS(AI704:AI750,B704:B750,B746-12)+in_hlth_family_renew^2*SUMIFS(AI704:AI750,B704:B750,B746-24)+in_hlth_family_renew^3*SUMIFS(AI704:AI750,B704:B750,B746-36)+in_hlth_family_renew^4*SUMIFS(AI704:AI750,B704:B750,B746-48))</f>
        <v/>
      </c>
      <c r="AK746" s="40">
        <f>AK745*(1-IF(B745&gt;=in_marketplace_from,d_hz_life_term*G745,0))</f>
        <v/>
      </c>
      <c r="AL746" s="46">
        <f>AK746*IF(B746&gt;=in_marketplace_from,d_hz_life_term*G746,0)</f>
        <v/>
      </c>
      <c r="AM746" s="14">
        <f>F746*AL746*in_life_term_ticket*in_life_term_comm*in_ins_partner_share+F746*in_life_term_ticket*in_life_term_renew_comm*in_ins_partner_share*(in_life_term_renew^1*SUMIFS(AL704:AL750,B704:B750,B746-12)+in_life_term_renew^2*SUMIFS(AL704:AL750,B704:B750,B746-24)+in_life_term_renew^3*SUMIFS(AL704:AL750,B704:B750,B746-36)+in_life_term_renew^4*SUMIFS(AL704:AL750,B704:B750,B746-48))</f>
        <v/>
      </c>
      <c r="AN746" s="40">
        <f>AN745*(1-IF(B745&gt;=in_marketplace_from,d_hz_accident*G745,0))</f>
        <v/>
      </c>
      <c r="AO746" s="46">
        <f>AN746*IF(B746&gt;=in_marketplace_from,d_hz_accident*G746,0)</f>
        <v/>
      </c>
      <c r="AP746" s="14">
        <f>F746*AO746*in_accident_ticket*in_accident_comm*in_ins_partner_share+F746*in_accident_ticket*in_accident_renew_comm*in_ins_partner_share*(in_accident_renew^1*SUMIFS(AO704:AO750,B704:B750,B746-12)+in_accident_renew^2*SUMIFS(AO704:AO750,B704:B750,B746-24)+in_accident_renew^3*SUMIFS(AO704:AO750,B704:B750,B746-36)+in_accident_renew^4*SUMIFS(AO704:AO750,B704:B750,B746-48))</f>
        <v/>
      </c>
      <c r="AQ746" s="40">
        <f>AQ745*(1-IF(B745&gt;=in_marketplace_from,d_hz_two_wheeler*G745,0))</f>
        <v/>
      </c>
      <c r="AR746" s="46">
        <f>AQ746*IF(B746&gt;=in_marketplace_from,d_hz_two_wheeler*G746,0)</f>
        <v/>
      </c>
      <c r="AS746" s="14">
        <f>F746*AR746*in_two_wheeler_ticket*in_two_wheeler_comm*in_ins_partner_share+F746*in_two_wheeler_ticket*in_two_wheeler_comm*in_ins_partner_share*(in_two_wheeler_renew^1*SUMIFS(AR704:AR750,B704:B750,B746-12)+in_two_wheeler_renew^2*SUMIFS(AR704:AR750,B704:B750,B746-24)+in_two_wheeler_renew^3*SUMIFS(AR704:AR750,B704:B750,B746-36)+in_two_wheeler_renew^4*SUMIFS(AR704:AR750,B704:B750,B746-48))</f>
        <v/>
      </c>
      <c r="AT746" s="40">
        <f>AT745*(1-IF(B745&gt;=in_marketplace_from,d_hz_device*G745,0))</f>
        <v/>
      </c>
      <c r="AU746" s="14">
        <f>F746*AT746*IF(B746&gt;=in_marketplace_from,d_hz_device*G746,0)*in_device_ticket*in_device_comm*in_ins_partner_share</f>
        <v/>
      </c>
      <c r="AV746" s="40">
        <f>AV745*(1-IF(B745&gt;=in_marketplace_from,d_hz_shop*G745,0))</f>
        <v/>
      </c>
      <c r="AW746" s="46">
        <f>AV746*IF(B746&gt;=in_marketplace_from,d_hz_shop*G746,0)</f>
        <v/>
      </c>
      <c r="AX746" s="14">
        <f>F746*AW746*in_shop_ticket*in_shop_comm*in_ins_partner_share+F746*in_shop_ticket*in_shop_renew_comm*in_ins_partner_share*(in_shop_renew^1*SUMIFS(AW704:AW750,B704:B750,B746-12)+in_shop_renew^2*SUMIFS(AW704:AW750,B704:B750,B746-24)+in_shop_renew^3*SUMIFS(AW704:AW750,B704:B750,B746-36)+in_shop_renew^4*SUMIFS(AW704:AW750,B704:B750,B746-48))</f>
        <v/>
      </c>
      <c r="AY746" s="40">
        <f>AY745*(1-IF(B745&gt;=in_marketplace_from,d_hz_sip*G745,0))</f>
        <v/>
      </c>
      <c r="AZ746" s="40">
        <f>AZ745*d_rho_sip+AY746*IF(B746&gt;=in_marketplace_from,d_hz_sip*G746,0)</f>
        <v/>
      </c>
      <c r="BA746" s="40">
        <f>d_rho_sip*(BA745+AZ745)</f>
        <v/>
      </c>
      <c r="BB746" s="14">
        <f>F746*in_sip_ticket*(BA746+0.5*AZ746)*in_sip_comm/12</f>
        <v/>
      </c>
      <c r="BC746" s="40">
        <f>BC745*(1-IF(B745&gt;=in_marketplace_from,d_hz_choti*G745,0))</f>
        <v/>
      </c>
      <c r="BD746" s="46">
        <f>BC746*IF(B746&gt;=in_marketplace_from,d_hz_choti*G746,0)</f>
        <v/>
      </c>
      <c r="BE746" s="14">
        <f>F746*SUMIFS(BD704:BD750,B704:B750,B746-in_choti_months)*in_choti_renew*in_choti_ticket</f>
        <v/>
      </c>
      <c r="BF746" s="40">
        <f>BF745*(1-IF(B745&gt;=in_marketplace_from,d_hz_nps*G745,0))</f>
        <v/>
      </c>
      <c r="BG746" s="14">
        <f>F746*BF746*IF(B746&gt;=in_marketplace_from,d_hz_nps*G746,0)*in_nps_ticket*in_nps_comm</f>
        <v/>
      </c>
      <c r="BH746" s="40">
        <f>BH745*(1-IF(B745&gt;=in_marketplace_from,d_hz_gold*G745,0))</f>
        <v/>
      </c>
      <c r="BI746" s="40">
        <f>BI745*d_rho_gold+BH746*IF(B746&gt;=in_marketplace_from,d_hz_gold*G746,0)</f>
        <v/>
      </c>
      <c r="BJ746" s="14">
        <f>F746*BI746*in_gold_ticket*in_gold_comm</f>
        <v/>
      </c>
      <c r="BK746" s="40">
        <f>BK745*(1-IF(B745&gt;=in_marketplace_from,d_hz_fd*G745,0))</f>
        <v/>
      </c>
      <c r="BL746" s="14">
        <f>F746*BK746*IF(B746&gt;=in_marketplace_from,d_hz_fd*G746,0)*in_fd_ticket*in_fd_comm</f>
        <v/>
      </c>
      <c r="BM746" s="40">
        <f>BM745*(1-IF(B745&gt;=in_marketplace_from,d_hz_recharge*G745,0))</f>
        <v/>
      </c>
      <c r="BN746" s="40">
        <f>BN745*d_rho_recharge+BM746*IF(B746&gt;=in_marketplace_from,d_hz_recharge*G746,0)</f>
        <v/>
      </c>
      <c r="BO746" s="14">
        <f>F746*BN746*in_recharge_ticket*in_recharge_comm/12</f>
        <v/>
      </c>
      <c r="BP746" s="40">
        <f>BP745*(1-IF(B745&gt;=in_marketplace_from,d_hz_bills*G745,0))</f>
        <v/>
      </c>
      <c r="BQ746" s="40">
        <f>BQ745*d_rho_bills+BP746*IF(B746&gt;=in_marketplace_from,d_hz_bills*G746,0)</f>
        <v/>
      </c>
      <c r="BR746" s="14">
        <f>F746*BQ746*in_bills_ticket*in_bills_comm/12</f>
        <v/>
      </c>
      <c r="BS746" s="40">
        <f>BS745*(1-IF(B745&gt;=in_marketplace_from,d_hz_loan_gold*G745,0))</f>
        <v/>
      </c>
      <c r="BT746" s="14">
        <f>F746*BS746*IF(B746&gt;=in_marketplace_from,d_hz_loan_gold*G746,0)*in_loan_gold_ticket*in_loan_gold_comm</f>
        <v/>
      </c>
      <c r="BU746" s="40">
        <f>BU745*(1-IF(B745&gt;=in_marketplace_from,d_hz_loan_cd*G745,0))</f>
        <v/>
      </c>
      <c r="BV746" s="14">
        <f>F746*BU746*IF(B746&gt;=in_marketplace_from,d_hz_loan_cd*G746,0)*in_loan_cd_ticket*in_loan_cd_comm</f>
        <v/>
      </c>
      <c r="BW746" s="40">
        <f>BW745*(1-IF(B745&gt;=in_marketplace_from,d_hz_loan_vehicle*G745,0))</f>
        <v/>
      </c>
      <c r="BX746" s="14">
        <f>F746*BW746*IF(B746&gt;=in_marketplace_from,d_hz_loan_vehicle*G746,0)*in_loan_vehicle_ticket*in_loan_vehicle_comm</f>
        <v/>
      </c>
      <c r="BY746" s="40">
        <f>BY745*(1-IF(B745&gt;=in_marketplace_from,d_hz_loan_home*G745,0)*BZ745)</f>
        <v/>
      </c>
      <c r="BZ746" s="11">
        <f>MIN(in_approval_cap,in_loan_home_approval*INDEX('Age profile'!$O$2:$O$61,B746)*(1+in_approval_growth)^(D746-1))</f>
        <v/>
      </c>
      <c r="CA746" s="14">
        <f>F746*BY746*IF(B746&gt;=in_marketplace_from,d_hz_loan_home*G746,0)*BZ746*in_loan_home_ticket*in_loan_home_comm</f>
        <v/>
      </c>
      <c r="CB746" s="40">
        <f>CB745*(1-IF(B745&gt;=in_marketplace_from,d_hz_loan_lap*G745,0)*CC745)</f>
        <v/>
      </c>
      <c r="CC746" s="11">
        <f>MIN(in_approval_cap,in_loan_lap_approval*INDEX('Age profile'!$O$2:$O$61,B746)*(1+in_approval_growth)^(D746-1))</f>
        <v/>
      </c>
      <c r="CD746" s="14">
        <f>F746*CB746*IF(B746&gt;=in_marketplace_from,d_hz_loan_lap*G746,0)*CC746*in_loan_lap_ticket*in_loan_lap_comm</f>
        <v/>
      </c>
      <c r="CE746" s="14">
        <f>AA746+AB746+AC746+AD746+AG746+AJ746+AM746+AP746+AS746+AU746+AX746+BB746+BE746+BG746+BJ746+BL746+BO746+BR746+BT746+BV746+BX746+CA746+CD746</f>
        <v/>
      </c>
    </row>
    <row r="747">
      <c r="A747" s="39" t="n">
        <v>14</v>
      </c>
      <c r="B747" s="39" t="n">
        <v>44</v>
      </c>
      <c r="C747" s="39">
        <f>A747+B747-1</f>
        <v/>
      </c>
      <c r="D747" s="39">
        <f>INT((C747-1)/12)+1</f>
        <v/>
      </c>
      <c r="E747" s="44">
        <f>INDEX(Monthly!$B$2:$B$61,A747)</f>
        <v/>
      </c>
      <c r="F747" s="44">
        <f>E747*INDEX('Age profile'!$B$2:$B$61,B747)</f>
        <v/>
      </c>
      <c r="G747" s="45">
        <f>MIN(in_takeup_cap,INDEX('Age profile'!$N$2:$N$61,B747)*(1+in_takeup_growth)^(D747-1))</f>
        <v/>
      </c>
      <c r="H747" s="11">
        <f>MIN(in_approval_cap,in_approved_first*INDEX('Age profile'!$O$2:$O$61,B747)*(1+in_approval_growth)^(D747-1))</f>
        <v/>
      </c>
      <c r="I747" s="45">
        <f>G747*MIN(in_takeup_cap,INDEX('Age profile'!$O$2:$O$61,B747)*(1+in_approval_growth)^(D747-1))</f>
        <v/>
      </c>
      <c r="J747" s="40">
        <f>(J746-L746)*F747/F746</f>
        <v/>
      </c>
      <c r="K747" s="40">
        <f>(K746-M746)*F747/F746+SUMIFS(O704:O746,B704:B746,B747-1-d_T)*F747</f>
        <v/>
      </c>
      <c r="L747" s="40">
        <f>IF(B747&gt;=in_marketplace_from,J747*d_hz*G747*in_eligible*H747,0)</f>
        <v/>
      </c>
      <c r="M747" s="40">
        <f>IF(B747&gt;=in_marketplace_from,K747*d_hz*G747*in_eligible*in_approved_repeat,0)</f>
        <v/>
      </c>
      <c r="N747" s="40">
        <f>L747+M747</f>
        <v/>
      </c>
      <c r="O747" s="46">
        <f>N747/F747</f>
        <v/>
      </c>
      <c r="P747" s="40">
        <f>F747-J747-K747</f>
        <v/>
      </c>
      <c r="Q747" s="40">
        <f>IF(B747&gt;=in_marketplace_from,(J747+K747)*d_hz*G747,0)</f>
        <v/>
      </c>
      <c r="R747" s="40">
        <f>SUMIFS(N704:N750,B704:B750,"&gt;="&amp;(B747-d_T),B704:B750,"&lt;="&amp;(B747-1))</f>
        <v/>
      </c>
      <c r="S747" s="46">
        <f>(1-d_u)*S746+IF(d_T&gt;in_topup_lag,SUMIFS(O704:O750,B704:B750,B747-in_topup_lag)-d_udrop*SUMIFS(O704:O750,B704:B750,B747-d_T),0)</f>
        <v/>
      </c>
      <c r="T747" s="40">
        <f>F747*d_u*S747</f>
        <v/>
      </c>
      <c r="U747" s="9">
        <f>L747*in_ticket+M747*d_rep_ticket</f>
        <v/>
      </c>
      <c r="V747" s="9">
        <f>U747+T747*d_topup_amt</f>
        <v/>
      </c>
      <c r="W747" s="40">
        <f>N747+T747*d_topup_ratio</f>
        <v/>
      </c>
      <c r="X747" s="40">
        <f>SUMIFS(W704:W750,B704:B750,B747-in_dpd_lag)*d_cured</f>
        <v/>
      </c>
      <c r="Y747" s="40">
        <f>SUMIFS(W704:W750,B704:B750,B747-in_rec_lag)*d_recd</f>
        <v/>
      </c>
      <c r="Z747" s="40">
        <f>IF(AND(B747&gt;=in_marketplace_from,B747&lt;in_marketplace_from+in_card_months),in_card_share/in_card_months*F747*I747,IF(AND(B747&gt;=in_marketplace_from+in_card_months,B747&lt;in_marketplace_from+2*in_card_months),in_card_share*d_card_rem/in_card_months*F747*MIN(in_takeup_cap,(1+in_takeup_growth)^(D747-1))*MIN(in_takeup_cap,(1+in_approval_growth)^(D747-1)),0))</f>
        <v/>
      </c>
      <c r="AA747" s="14">
        <f>V747*in_fee*(1-in_taken_back)</f>
        <v/>
      </c>
      <c r="AB747" s="14">
        <f>SUMIFS(W704:W750,B704:B750,B747-in_dpd_lag)*d_dpd</f>
        <v/>
      </c>
      <c r="AC747" s="14">
        <f>SUMIFS(W704:W750,B704:B750,B747-in_rec_lag)*d_rec</f>
        <v/>
      </c>
      <c r="AD747" s="14">
        <f>Z747*in_card_fee</f>
        <v/>
      </c>
      <c r="AE747" s="40">
        <f>AE746*(1-IF(B746&gt;=in_marketplace_from,d_hz_hlth_small*G746,0))</f>
        <v/>
      </c>
      <c r="AF747" s="46">
        <f>AE747*IF(B747&gt;=in_marketplace_from,d_hz_hlth_small*G747,0)</f>
        <v/>
      </c>
      <c r="AG747" s="14">
        <f>F747*AF747*in_hlth_small_ticket*in_hlth_small_comm*in_ins_partner_share+F747*in_hlth_small_ticket*in_hlth_small_renew_comm*in_ins_partner_share*(in_hlth_small_renew^1*SUMIFS(AF704:AF750,B704:B750,B747-12)+in_hlth_small_renew^2*SUMIFS(AF704:AF750,B704:B750,B747-24)+in_hlth_small_renew^3*SUMIFS(AF704:AF750,B704:B750,B747-36)+in_hlth_small_renew^4*SUMIFS(AF704:AF750,B704:B750,B747-48))</f>
        <v/>
      </c>
      <c r="AH747" s="40">
        <f>AH746*(1-IF(B746&gt;=in_marketplace_from,d_hz_hlth_family*G746,0))</f>
        <v/>
      </c>
      <c r="AI747" s="46">
        <f>AH747*IF(B747&gt;=in_marketplace_from,d_hz_hlth_family*G747,0)</f>
        <v/>
      </c>
      <c r="AJ747" s="14">
        <f>F747*AI747*in_hlth_family_ticket*in_hlth_family_comm*in_ins_partner_share+F747*in_hlth_family_ticket*in_hlth_family_renew_comm*in_ins_partner_share*(in_hlth_family_renew^1*SUMIFS(AI704:AI750,B704:B750,B747-12)+in_hlth_family_renew^2*SUMIFS(AI704:AI750,B704:B750,B747-24)+in_hlth_family_renew^3*SUMIFS(AI704:AI750,B704:B750,B747-36)+in_hlth_family_renew^4*SUMIFS(AI704:AI750,B704:B750,B747-48))</f>
        <v/>
      </c>
      <c r="AK747" s="40">
        <f>AK746*(1-IF(B746&gt;=in_marketplace_from,d_hz_life_term*G746,0))</f>
        <v/>
      </c>
      <c r="AL747" s="46">
        <f>AK747*IF(B747&gt;=in_marketplace_from,d_hz_life_term*G747,0)</f>
        <v/>
      </c>
      <c r="AM747" s="14">
        <f>F747*AL747*in_life_term_ticket*in_life_term_comm*in_ins_partner_share+F747*in_life_term_ticket*in_life_term_renew_comm*in_ins_partner_share*(in_life_term_renew^1*SUMIFS(AL704:AL750,B704:B750,B747-12)+in_life_term_renew^2*SUMIFS(AL704:AL750,B704:B750,B747-24)+in_life_term_renew^3*SUMIFS(AL704:AL750,B704:B750,B747-36)+in_life_term_renew^4*SUMIFS(AL704:AL750,B704:B750,B747-48))</f>
        <v/>
      </c>
      <c r="AN747" s="40">
        <f>AN746*(1-IF(B746&gt;=in_marketplace_from,d_hz_accident*G746,0))</f>
        <v/>
      </c>
      <c r="AO747" s="46">
        <f>AN747*IF(B747&gt;=in_marketplace_from,d_hz_accident*G747,0)</f>
        <v/>
      </c>
      <c r="AP747" s="14">
        <f>F747*AO747*in_accident_ticket*in_accident_comm*in_ins_partner_share+F747*in_accident_ticket*in_accident_renew_comm*in_ins_partner_share*(in_accident_renew^1*SUMIFS(AO704:AO750,B704:B750,B747-12)+in_accident_renew^2*SUMIFS(AO704:AO750,B704:B750,B747-24)+in_accident_renew^3*SUMIFS(AO704:AO750,B704:B750,B747-36)+in_accident_renew^4*SUMIFS(AO704:AO750,B704:B750,B747-48))</f>
        <v/>
      </c>
      <c r="AQ747" s="40">
        <f>AQ746*(1-IF(B746&gt;=in_marketplace_from,d_hz_two_wheeler*G746,0))</f>
        <v/>
      </c>
      <c r="AR747" s="46">
        <f>AQ747*IF(B747&gt;=in_marketplace_from,d_hz_two_wheeler*G747,0)</f>
        <v/>
      </c>
      <c r="AS747" s="14">
        <f>F747*AR747*in_two_wheeler_ticket*in_two_wheeler_comm*in_ins_partner_share+F747*in_two_wheeler_ticket*in_two_wheeler_comm*in_ins_partner_share*(in_two_wheeler_renew^1*SUMIFS(AR704:AR750,B704:B750,B747-12)+in_two_wheeler_renew^2*SUMIFS(AR704:AR750,B704:B750,B747-24)+in_two_wheeler_renew^3*SUMIFS(AR704:AR750,B704:B750,B747-36)+in_two_wheeler_renew^4*SUMIFS(AR704:AR750,B704:B750,B747-48))</f>
        <v/>
      </c>
      <c r="AT747" s="40">
        <f>AT746*(1-IF(B746&gt;=in_marketplace_from,d_hz_device*G746,0))</f>
        <v/>
      </c>
      <c r="AU747" s="14">
        <f>F747*AT747*IF(B747&gt;=in_marketplace_from,d_hz_device*G747,0)*in_device_ticket*in_device_comm*in_ins_partner_share</f>
        <v/>
      </c>
      <c r="AV747" s="40">
        <f>AV746*(1-IF(B746&gt;=in_marketplace_from,d_hz_shop*G746,0))</f>
        <v/>
      </c>
      <c r="AW747" s="46">
        <f>AV747*IF(B747&gt;=in_marketplace_from,d_hz_shop*G747,0)</f>
        <v/>
      </c>
      <c r="AX747" s="14">
        <f>F747*AW747*in_shop_ticket*in_shop_comm*in_ins_partner_share+F747*in_shop_ticket*in_shop_renew_comm*in_ins_partner_share*(in_shop_renew^1*SUMIFS(AW704:AW750,B704:B750,B747-12)+in_shop_renew^2*SUMIFS(AW704:AW750,B704:B750,B747-24)+in_shop_renew^3*SUMIFS(AW704:AW750,B704:B750,B747-36)+in_shop_renew^4*SUMIFS(AW704:AW750,B704:B750,B747-48))</f>
        <v/>
      </c>
      <c r="AY747" s="40">
        <f>AY746*(1-IF(B746&gt;=in_marketplace_from,d_hz_sip*G746,0))</f>
        <v/>
      </c>
      <c r="AZ747" s="40">
        <f>AZ746*d_rho_sip+AY747*IF(B747&gt;=in_marketplace_from,d_hz_sip*G747,0)</f>
        <v/>
      </c>
      <c r="BA747" s="40">
        <f>d_rho_sip*(BA746+AZ746)</f>
        <v/>
      </c>
      <c r="BB747" s="14">
        <f>F747*in_sip_ticket*(BA747+0.5*AZ747)*in_sip_comm/12</f>
        <v/>
      </c>
      <c r="BC747" s="40">
        <f>BC746*(1-IF(B746&gt;=in_marketplace_from,d_hz_choti*G746,0))</f>
        <v/>
      </c>
      <c r="BD747" s="46">
        <f>BC747*IF(B747&gt;=in_marketplace_from,d_hz_choti*G747,0)</f>
        <v/>
      </c>
      <c r="BE747" s="14">
        <f>F747*SUMIFS(BD704:BD750,B704:B750,B747-in_choti_months)*in_choti_renew*in_choti_ticket</f>
        <v/>
      </c>
      <c r="BF747" s="40">
        <f>BF746*(1-IF(B746&gt;=in_marketplace_from,d_hz_nps*G746,0))</f>
        <v/>
      </c>
      <c r="BG747" s="14">
        <f>F747*BF747*IF(B747&gt;=in_marketplace_from,d_hz_nps*G747,0)*in_nps_ticket*in_nps_comm</f>
        <v/>
      </c>
      <c r="BH747" s="40">
        <f>BH746*(1-IF(B746&gt;=in_marketplace_from,d_hz_gold*G746,0))</f>
        <v/>
      </c>
      <c r="BI747" s="40">
        <f>BI746*d_rho_gold+BH747*IF(B747&gt;=in_marketplace_from,d_hz_gold*G747,0)</f>
        <v/>
      </c>
      <c r="BJ747" s="14">
        <f>F747*BI747*in_gold_ticket*in_gold_comm</f>
        <v/>
      </c>
      <c r="BK747" s="40">
        <f>BK746*(1-IF(B746&gt;=in_marketplace_from,d_hz_fd*G746,0))</f>
        <v/>
      </c>
      <c r="BL747" s="14">
        <f>F747*BK747*IF(B747&gt;=in_marketplace_from,d_hz_fd*G747,0)*in_fd_ticket*in_fd_comm</f>
        <v/>
      </c>
      <c r="BM747" s="40">
        <f>BM746*(1-IF(B746&gt;=in_marketplace_from,d_hz_recharge*G746,0))</f>
        <v/>
      </c>
      <c r="BN747" s="40">
        <f>BN746*d_rho_recharge+BM747*IF(B747&gt;=in_marketplace_from,d_hz_recharge*G747,0)</f>
        <v/>
      </c>
      <c r="BO747" s="14">
        <f>F747*BN747*in_recharge_ticket*in_recharge_comm/12</f>
        <v/>
      </c>
      <c r="BP747" s="40">
        <f>BP746*(1-IF(B746&gt;=in_marketplace_from,d_hz_bills*G746,0))</f>
        <v/>
      </c>
      <c r="BQ747" s="40">
        <f>BQ746*d_rho_bills+BP747*IF(B747&gt;=in_marketplace_from,d_hz_bills*G747,0)</f>
        <v/>
      </c>
      <c r="BR747" s="14">
        <f>F747*BQ747*in_bills_ticket*in_bills_comm/12</f>
        <v/>
      </c>
      <c r="BS747" s="40">
        <f>BS746*(1-IF(B746&gt;=in_marketplace_from,d_hz_loan_gold*G746,0))</f>
        <v/>
      </c>
      <c r="BT747" s="14">
        <f>F747*BS747*IF(B747&gt;=in_marketplace_from,d_hz_loan_gold*G747,0)*in_loan_gold_ticket*in_loan_gold_comm</f>
        <v/>
      </c>
      <c r="BU747" s="40">
        <f>BU746*(1-IF(B746&gt;=in_marketplace_from,d_hz_loan_cd*G746,0))</f>
        <v/>
      </c>
      <c r="BV747" s="14">
        <f>F747*BU747*IF(B747&gt;=in_marketplace_from,d_hz_loan_cd*G747,0)*in_loan_cd_ticket*in_loan_cd_comm</f>
        <v/>
      </c>
      <c r="BW747" s="40">
        <f>BW746*(1-IF(B746&gt;=in_marketplace_from,d_hz_loan_vehicle*G746,0))</f>
        <v/>
      </c>
      <c r="BX747" s="14">
        <f>F747*BW747*IF(B747&gt;=in_marketplace_from,d_hz_loan_vehicle*G747,0)*in_loan_vehicle_ticket*in_loan_vehicle_comm</f>
        <v/>
      </c>
      <c r="BY747" s="40">
        <f>BY746*(1-IF(B746&gt;=in_marketplace_from,d_hz_loan_home*G746,0)*BZ746)</f>
        <v/>
      </c>
      <c r="BZ747" s="11">
        <f>MIN(in_approval_cap,in_loan_home_approval*INDEX('Age profile'!$O$2:$O$61,B747)*(1+in_approval_growth)^(D747-1))</f>
        <v/>
      </c>
      <c r="CA747" s="14">
        <f>F747*BY747*IF(B747&gt;=in_marketplace_from,d_hz_loan_home*G747,0)*BZ747*in_loan_home_ticket*in_loan_home_comm</f>
        <v/>
      </c>
      <c r="CB747" s="40">
        <f>CB746*(1-IF(B746&gt;=in_marketplace_from,d_hz_loan_lap*G746,0)*CC746)</f>
        <v/>
      </c>
      <c r="CC747" s="11">
        <f>MIN(in_approval_cap,in_loan_lap_approval*INDEX('Age profile'!$O$2:$O$61,B747)*(1+in_approval_growth)^(D747-1))</f>
        <v/>
      </c>
      <c r="CD747" s="14">
        <f>F747*CB747*IF(B747&gt;=in_marketplace_from,d_hz_loan_lap*G747,0)*CC747*in_loan_lap_ticket*in_loan_lap_comm</f>
        <v/>
      </c>
      <c r="CE747" s="14">
        <f>AA747+AB747+AC747+AD747+AG747+AJ747+AM747+AP747+AS747+AU747+AX747+BB747+BE747+BG747+BJ747+BL747+BO747+BR747+BT747+BV747+BX747+CA747+CD747</f>
        <v/>
      </c>
    </row>
    <row r="748">
      <c r="A748" s="39" t="n">
        <v>14</v>
      </c>
      <c r="B748" s="39" t="n">
        <v>45</v>
      </c>
      <c r="C748" s="39">
        <f>A748+B748-1</f>
        <v/>
      </c>
      <c r="D748" s="39">
        <f>INT((C748-1)/12)+1</f>
        <v/>
      </c>
      <c r="E748" s="44">
        <f>INDEX(Monthly!$B$2:$B$61,A748)</f>
        <v/>
      </c>
      <c r="F748" s="44">
        <f>E748*INDEX('Age profile'!$B$2:$B$61,B748)</f>
        <v/>
      </c>
      <c r="G748" s="45">
        <f>MIN(in_takeup_cap,INDEX('Age profile'!$N$2:$N$61,B748)*(1+in_takeup_growth)^(D748-1))</f>
        <v/>
      </c>
      <c r="H748" s="11">
        <f>MIN(in_approval_cap,in_approved_first*INDEX('Age profile'!$O$2:$O$61,B748)*(1+in_approval_growth)^(D748-1))</f>
        <v/>
      </c>
      <c r="I748" s="45">
        <f>G748*MIN(in_takeup_cap,INDEX('Age profile'!$O$2:$O$61,B748)*(1+in_approval_growth)^(D748-1))</f>
        <v/>
      </c>
      <c r="J748" s="40">
        <f>(J747-L747)*F748/F747</f>
        <v/>
      </c>
      <c r="K748" s="40">
        <f>(K747-M747)*F748/F747+SUMIFS(O704:O747,B704:B747,B748-1-d_T)*F748</f>
        <v/>
      </c>
      <c r="L748" s="40">
        <f>IF(B748&gt;=in_marketplace_from,J748*d_hz*G748*in_eligible*H748,0)</f>
        <v/>
      </c>
      <c r="M748" s="40">
        <f>IF(B748&gt;=in_marketplace_from,K748*d_hz*G748*in_eligible*in_approved_repeat,0)</f>
        <v/>
      </c>
      <c r="N748" s="40">
        <f>L748+M748</f>
        <v/>
      </c>
      <c r="O748" s="46">
        <f>N748/F748</f>
        <v/>
      </c>
      <c r="P748" s="40">
        <f>F748-J748-K748</f>
        <v/>
      </c>
      <c r="Q748" s="40">
        <f>IF(B748&gt;=in_marketplace_from,(J748+K748)*d_hz*G748,0)</f>
        <v/>
      </c>
      <c r="R748" s="40">
        <f>SUMIFS(N704:N750,B704:B750,"&gt;="&amp;(B748-d_T),B704:B750,"&lt;="&amp;(B748-1))</f>
        <v/>
      </c>
      <c r="S748" s="46">
        <f>(1-d_u)*S747+IF(d_T&gt;in_topup_lag,SUMIFS(O704:O750,B704:B750,B748-in_topup_lag)-d_udrop*SUMIFS(O704:O750,B704:B750,B748-d_T),0)</f>
        <v/>
      </c>
      <c r="T748" s="40">
        <f>F748*d_u*S748</f>
        <v/>
      </c>
      <c r="U748" s="9">
        <f>L748*in_ticket+M748*d_rep_ticket</f>
        <v/>
      </c>
      <c r="V748" s="9">
        <f>U748+T748*d_topup_amt</f>
        <v/>
      </c>
      <c r="W748" s="40">
        <f>N748+T748*d_topup_ratio</f>
        <v/>
      </c>
      <c r="X748" s="40">
        <f>SUMIFS(W704:W750,B704:B750,B748-in_dpd_lag)*d_cured</f>
        <v/>
      </c>
      <c r="Y748" s="40">
        <f>SUMIFS(W704:W750,B704:B750,B748-in_rec_lag)*d_recd</f>
        <v/>
      </c>
      <c r="Z748" s="40">
        <f>IF(AND(B748&gt;=in_marketplace_from,B748&lt;in_marketplace_from+in_card_months),in_card_share/in_card_months*F748*I748,IF(AND(B748&gt;=in_marketplace_from+in_card_months,B748&lt;in_marketplace_from+2*in_card_months),in_card_share*d_card_rem/in_card_months*F748*MIN(in_takeup_cap,(1+in_takeup_growth)^(D748-1))*MIN(in_takeup_cap,(1+in_approval_growth)^(D748-1)),0))</f>
        <v/>
      </c>
      <c r="AA748" s="14">
        <f>V748*in_fee*(1-in_taken_back)</f>
        <v/>
      </c>
      <c r="AB748" s="14">
        <f>SUMIFS(W704:W750,B704:B750,B748-in_dpd_lag)*d_dpd</f>
        <v/>
      </c>
      <c r="AC748" s="14">
        <f>SUMIFS(W704:W750,B704:B750,B748-in_rec_lag)*d_rec</f>
        <v/>
      </c>
      <c r="AD748" s="14">
        <f>Z748*in_card_fee</f>
        <v/>
      </c>
      <c r="AE748" s="40">
        <f>AE747*(1-IF(B747&gt;=in_marketplace_from,d_hz_hlth_small*G747,0))</f>
        <v/>
      </c>
      <c r="AF748" s="46">
        <f>AE748*IF(B748&gt;=in_marketplace_from,d_hz_hlth_small*G748,0)</f>
        <v/>
      </c>
      <c r="AG748" s="14">
        <f>F748*AF748*in_hlth_small_ticket*in_hlth_small_comm*in_ins_partner_share+F748*in_hlth_small_ticket*in_hlth_small_renew_comm*in_ins_partner_share*(in_hlth_small_renew^1*SUMIFS(AF704:AF750,B704:B750,B748-12)+in_hlth_small_renew^2*SUMIFS(AF704:AF750,B704:B750,B748-24)+in_hlth_small_renew^3*SUMIFS(AF704:AF750,B704:B750,B748-36)+in_hlth_small_renew^4*SUMIFS(AF704:AF750,B704:B750,B748-48))</f>
        <v/>
      </c>
      <c r="AH748" s="40">
        <f>AH747*(1-IF(B747&gt;=in_marketplace_from,d_hz_hlth_family*G747,0))</f>
        <v/>
      </c>
      <c r="AI748" s="46">
        <f>AH748*IF(B748&gt;=in_marketplace_from,d_hz_hlth_family*G748,0)</f>
        <v/>
      </c>
      <c r="AJ748" s="14">
        <f>F748*AI748*in_hlth_family_ticket*in_hlth_family_comm*in_ins_partner_share+F748*in_hlth_family_ticket*in_hlth_family_renew_comm*in_ins_partner_share*(in_hlth_family_renew^1*SUMIFS(AI704:AI750,B704:B750,B748-12)+in_hlth_family_renew^2*SUMIFS(AI704:AI750,B704:B750,B748-24)+in_hlth_family_renew^3*SUMIFS(AI704:AI750,B704:B750,B748-36)+in_hlth_family_renew^4*SUMIFS(AI704:AI750,B704:B750,B748-48))</f>
        <v/>
      </c>
      <c r="AK748" s="40">
        <f>AK747*(1-IF(B747&gt;=in_marketplace_from,d_hz_life_term*G747,0))</f>
        <v/>
      </c>
      <c r="AL748" s="46">
        <f>AK748*IF(B748&gt;=in_marketplace_from,d_hz_life_term*G748,0)</f>
        <v/>
      </c>
      <c r="AM748" s="14">
        <f>F748*AL748*in_life_term_ticket*in_life_term_comm*in_ins_partner_share+F748*in_life_term_ticket*in_life_term_renew_comm*in_ins_partner_share*(in_life_term_renew^1*SUMIFS(AL704:AL750,B704:B750,B748-12)+in_life_term_renew^2*SUMIFS(AL704:AL750,B704:B750,B748-24)+in_life_term_renew^3*SUMIFS(AL704:AL750,B704:B750,B748-36)+in_life_term_renew^4*SUMIFS(AL704:AL750,B704:B750,B748-48))</f>
        <v/>
      </c>
      <c r="AN748" s="40">
        <f>AN747*(1-IF(B747&gt;=in_marketplace_from,d_hz_accident*G747,0))</f>
        <v/>
      </c>
      <c r="AO748" s="46">
        <f>AN748*IF(B748&gt;=in_marketplace_from,d_hz_accident*G748,0)</f>
        <v/>
      </c>
      <c r="AP748" s="14">
        <f>F748*AO748*in_accident_ticket*in_accident_comm*in_ins_partner_share+F748*in_accident_ticket*in_accident_renew_comm*in_ins_partner_share*(in_accident_renew^1*SUMIFS(AO704:AO750,B704:B750,B748-12)+in_accident_renew^2*SUMIFS(AO704:AO750,B704:B750,B748-24)+in_accident_renew^3*SUMIFS(AO704:AO750,B704:B750,B748-36)+in_accident_renew^4*SUMIFS(AO704:AO750,B704:B750,B748-48))</f>
        <v/>
      </c>
      <c r="AQ748" s="40">
        <f>AQ747*(1-IF(B747&gt;=in_marketplace_from,d_hz_two_wheeler*G747,0))</f>
        <v/>
      </c>
      <c r="AR748" s="46">
        <f>AQ748*IF(B748&gt;=in_marketplace_from,d_hz_two_wheeler*G748,0)</f>
        <v/>
      </c>
      <c r="AS748" s="14">
        <f>F748*AR748*in_two_wheeler_ticket*in_two_wheeler_comm*in_ins_partner_share+F748*in_two_wheeler_ticket*in_two_wheeler_comm*in_ins_partner_share*(in_two_wheeler_renew^1*SUMIFS(AR704:AR750,B704:B750,B748-12)+in_two_wheeler_renew^2*SUMIFS(AR704:AR750,B704:B750,B748-24)+in_two_wheeler_renew^3*SUMIFS(AR704:AR750,B704:B750,B748-36)+in_two_wheeler_renew^4*SUMIFS(AR704:AR750,B704:B750,B748-48))</f>
        <v/>
      </c>
      <c r="AT748" s="40">
        <f>AT747*(1-IF(B747&gt;=in_marketplace_from,d_hz_device*G747,0))</f>
        <v/>
      </c>
      <c r="AU748" s="14">
        <f>F748*AT748*IF(B748&gt;=in_marketplace_from,d_hz_device*G748,0)*in_device_ticket*in_device_comm*in_ins_partner_share</f>
        <v/>
      </c>
      <c r="AV748" s="40">
        <f>AV747*(1-IF(B747&gt;=in_marketplace_from,d_hz_shop*G747,0))</f>
        <v/>
      </c>
      <c r="AW748" s="46">
        <f>AV748*IF(B748&gt;=in_marketplace_from,d_hz_shop*G748,0)</f>
        <v/>
      </c>
      <c r="AX748" s="14">
        <f>F748*AW748*in_shop_ticket*in_shop_comm*in_ins_partner_share+F748*in_shop_ticket*in_shop_renew_comm*in_ins_partner_share*(in_shop_renew^1*SUMIFS(AW704:AW750,B704:B750,B748-12)+in_shop_renew^2*SUMIFS(AW704:AW750,B704:B750,B748-24)+in_shop_renew^3*SUMIFS(AW704:AW750,B704:B750,B748-36)+in_shop_renew^4*SUMIFS(AW704:AW750,B704:B750,B748-48))</f>
        <v/>
      </c>
      <c r="AY748" s="40">
        <f>AY747*(1-IF(B747&gt;=in_marketplace_from,d_hz_sip*G747,0))</f>
        <v/>
      </c>
      <c r="AZ748" s="40">
        <f>AZ747*d_rho_sip+AY748*IF(B748&gt;=in_marketplace_from,d_hz_sip*G748,0)</f>
        <v/>
      </c>
      <c r="BA748" s="40">
        <f>d_rho_sip*(BA747+AZ747)</f>
        <v/>
      </c>
      <c r="BB748" s="14">
        <f>F748*in_sip_ticket*(BA748+0.5*AZ748)*in_sip_comm/12</f>
        <v/>
      </c>
      <c r="BC748" s="40">
        <f>BC747*(1-IF(B747&gt;=in_marketplace_from,d_hz_choti*G747,0))</f>
        <v/>
      </c>
      <c r="BD748" s="46">
        <f>BC748*IF(B748&gt;=in_marketplace_from,d_hz_choti*G748,0)</f>
        <v/>
      </c>
      <c r="BE748" s="14">
        <f>F748*SUMIFS(BD704:BD750,B704:B750,B748-in_choti_months)*in_choti_renew*in_choti_ticket</f>
        <v/>
      </c>
      <c r="BF748" s="40">
        <f>BF747*(1-IF(B747&gt;=in_marketplace_from,d_hz_nps*G747,0))</f>
        <v/>
      </c>
      <c r="BG748" s="14">
        <f>F748*BF748*IF(B748&gt;=in_marketplace_from,d_hz_nps*G748,0)*in_nps_ticket*in_nps_comm</f>
        <v/>
      </c>
      <c r="BH748" s="40">
        <f>BH747*(1-IF(B747&gt;=in_marketplace_from,d_hz_gold*G747,0))</f>
        <v/>
      </c>
      <c r="BI748" s="40">
        <f>BI747*d_rho_gold+BH748*IF(B748&gt;=in_marketplace_from,d_hz_gold*G748,0)</f>
        <v/>
      </c>
      <c r="BJ748" s="14">
        <f>F748*BI748*in_gold_ticket*in_gold_comm</f>
        <v/>
      </c>
      <c r="BK748" s="40">
        <f>BK747*(1-IF(B747&gt;=in_marketplace_from,d_hz_fd*G747,0))</f>
        <v/>
      </c>
      <c r="BL748" s="14">
        <f>F748*BK748*IF(B748&gt;=in_marketplace_from,d_hz_fd*G748,0)*in_fd_ticket*in_fd_comm</f>
        <v/>
      </c>
      <c r="BM748" s="40">
        <f>BM747*(1-IF(B747&gt;=in_marketplace_from,d_hz_recharge*G747,0))</f>
        <v/>
      </c>
      <c r="BN748" s="40">
        <f>BN747*d_rho_recharge+BM748*IF(B748&gt;=in_marketplace_from,d_hz_recharge*G748,0)</f>
        <v/>
      </c>
      <c r="BO748" s="14">
        <f>F748*BN748*in_recharge_ticket*in_recharge_comm/12</f>
        <v/>
      </c>
      <c r="BP748" s="40">
        <f>BP747*(1-IF(B747&gt;=in_marketplace_from,d_hz_bills*G747,0))</f>
        <v/>
      </c>
      <c r="BQ748" s="40">
        <f>BQ747*d_rho_bills+BP748*IF(B748&gt;=in_marketplace_from,d_hz_bills*G748,0)</f>
        <v/>
      </c>
      <c r="BR748" s="14">
        <f>F748*BQ748*in_bills_ticket*in_bills_comm/12</f>
        <v/>
      </c>
      <c r="BS748" s="40">
        <f>BS747*(1-IF(B747&gt;=in_marketplace_from,d_hz_loan_gold*G747,0))</f>
        <v/>
      </c>
      <c r="BT748" s="14">
        <f>F748*BS748*IF(B748&gt;=in_marketplace_from,d_hz_loan_gold*G748,0)*in_loan_gold_ticket*in_loan_gold_comm</f>
        <v/>
      </c>
      <c r="BU748" s="40">
        <f>BU747*(1-IF(B747&gt;=in_marketplace_from,d_hz_loan_cd*G747,0))</f>
        <v/>
      </c>
      <c r="BV748" s="14">
        <f>F748*BU748*IF(B748&gt;=in_marketplace_from,d_hz_loan_cd*G748,0)*in_loan_cd_ticket*in_loan_cd_comm</f>
        <v/>
      </c>
      <c r="BW748" s="40">
        <f>BW747*(1-IF(B747&gt;=in_marketplace_from,d_hz_loan_vehicle*G747,0))</f>
        <v/>
      </c>
      <c r="BX748" s="14">
        <f>F748*BW748*IF(B748&gt;=in_marketplace_from,d_hz_loan_vehicle*G748,0)*in_loan_vehicle_ticket*in_loan_vehicle_comm</f>
        <v/>
      </c>
      <c r="BY748" s="40">
        <f>BY747*(1-IF(B747&gt;=in_marketplace_from,d_hz_loan_home*G747,0)*BZ747)</f>
        <v/>
      </c>
      <c r="BZ748" s="11">
        <f>MIN(in_approval_cap,in_loan_home_approval*INDEX('Age profile'!$O$2:$O$61,B748)*(1+in_approval_growth)^(D748-1))</f>
        <v/>
      </c>
      <c r="CA748" s="14">
        <f>F748*BY748*IF(B748&gt;=in_marketplace_from,d_hz_loan_home*G748,0)*BZ748*in_loan_home_ticket*in_loan_home_comm</f>
        <v/>
      </c>
      <c r="CB748" s="40">
        <f>CB747*(1-IF(B747&gt;=in_marketplace_from,d_hz_loan_lap*G747,0)*CC747)</f>
        <v/>
      </c>
      <c r="CC748" s="11">
        <f>MIN(in_approval_cap,in_loan_lap_approval*INDEX('Age profile'!$O$2:$O$61,B748)*(1+in_approval_growth)^(D748-1))</f>
        <v/>
      </c>
      <c r="CD748" s="14">
        <f>F748*CB748*IF(B748&gt;=in_marketplace_from,d_hz_loan_lap*G748,0)*CC748*in_loan_lap_ticket*in_loan_lap_comm</f>
        <v/>
      </c>
      <c r="CE748" s="14">
        <f>AA748+AB748+AC748+AD748+AG748+AJ748+AM748+AP748+AS748+AU748+AX748+BB748+BE748+BG748+BJ748+BL748+BO748+BR748+BT748+BV748+BX748+CA748+CD748</f>
        <v/>
      </c>
    </row>
    <row r="749">
      <c r="A749" s="39" t="n">
        <v>14</v>
      </c>
      <c r="B749" s="39" t="n">
        <v>46</v>
      </c>
      <c r="C749" s="39">
        <f>A749+B749-1</f>
        <v/>
      </c>
      <c r="D749" s="39">
        <f>INT((C749-1)/12)+1</f>
        <v/>
      </c>
      <c r="E749" s="44">
        <f>INDEX(Monthly!$B$2:$B$61,A749)</f>
        <v/>
      </c>
      <c r="F749" s="44">
        <f>E749*INDEX('Age profile'!$B$2:$B$61,B749)</f>
        <v/>
      </c>
      <c r="G749" s="45">
        <f>MIN(in_takeup_cap,INDEX('Age profile'!$N$2:$N$61,B749)*(1+in_takeup_growth)^(D749-1))</f>
        <v/>
      </c>
      <c r="H749" s="11">
        <f>MIN(in_approval_cap,in_approved_first*INDEX('Age profile'!$O$2:$O$61,B749)*(1+in_approval_growth)^(D749-1))</f>
        <v/>
      </c>
      <c r="I749" s="45">
        <f>G749*MIN(in_takeup_cap,INDEX('Age profile'!$O$2:$O$61,B749)*(1+in_approval_growth)^(D749-1))</f>
        <v/>
      </c>
      <c r="J749" s="40">
        <f>(J748-L748)*F749/F748</f>
        <v/>
      </c>
      <c r="K749" s="40">
        <f>(K748-M748)*F749/F748+SUMIFS(O704:O748,B704:B748,B749-1-d_T)*F749</f>
        <v/>
      </c>
      <c r="L749" s="40">
        <f>IF(B749&gt;=in_marketplace_from,J749*d_hz*G749*in_eligible*H749,0)</f>
        <v/>
      </c>
      <c r="M749" s="40">
        <f>IF(B749&gt;=in_marketplace_from,K749*d_hz*G749*in_eligible*in_approved_repeat,0)</f>
        <v/>
      </c>
      <c r="N749" s="40">
        <f>L749+M749</f>
        <v/>
      </c>
      <c r="O749" s="46">
        <f>N749/F749</f>
        <v/>
      </c>
      <c r="P749" s="40">
        <f>F749-J749-K749</f>
        <v/>
      </c>
      <c r="Q749" s="40">
        <f>IF(B749&gt;=in_marketplace_from,(J749+K749)*d_hz*G749,0)</f>
        <v/>
      </c>
      <c r="R749" s="40">
        <f>SUMIFS(N704:N750,B704:B750,"&gt;="&amp;(B749-d_T),B704:B750,"&lt;="&amp;(B749-1))</f>
        <v/>
      </c>
      <c r="S749" s="46">
        <f>(1-d_u)*S748+IF(d_T&gt;in_topup_lag,SUMIFS(O704:O750,B704:B750,B749-in_topup_lag)-d_udrop*SUMIFS(O704:O750,B704:B750,B749-d_T),0)</f>
        <v/>
      </c>
      <c r="T749" s="40">
        <f>F749*d_u*S749</f>
        <v/>
      </c>
      <c r="U749" s="9">
        <f>L749*in_ticket+M749*d_rep_ticket</f>
        <v/>
      </c>
      <c r="V749" s="9">
        <f>U749+T749*d_topup_amt</f>
        <v/>
      </c>
      <c r="W749" s="40">
        <f>N749+T749*d_topup_ratio</f>
        <v/>
      </c>
      <c r="X749" s="40">
        <f>SUMIFS(W704:W750,B704:B750,B749-in_dpd_lag)*d_cured</f>
        <v/>
      </c>
      <c r="Y749" s="40">
        <f>SUMIFS(W704:W750,B704:B750,B749-in_rec_lag)*d_recd</f>
        <v/>
      </c>
      <c r="Z749" s="40">
        <f>IF(AND(B749&gt;=in_marketplace_from,B749&lt;in_marketplace_from+in_card_months),in_card_share/in_card_months*F749*I749,IF(AND(B749&gt;=in_marketplace_from+in_card_months,B749&lt;in_marketplace_from+2*in_card_months),in_card_share*d_card_rem/in_card_months*F749*MIN(in_takeup_cap,(1+in_takeup_growth)^(D749-1))*MIN(in_takeup_cap,(1+in_approval_growth)^(D749-1)),0))</f>
        <v/>
      </c>
      <c r="AA749" s="14">
        <f>V749*in_fee*(1-in_taken_back)</f>
        <v/>
      </c>
      <c r="AB749" s="14">
        <f>SUMIFS(W704:W750,B704:B750,B749-in_dpd_lag)*d_dpd</f>
        <v/>
      </c>
      <c r="AC749" s="14">
        <f>SUMIFS(W704:W750,B704:B750,B749-in_rec_lag)*d_rec</f>
        <v/>
      </c>
      <c r="AD749" s="14">
        <f>Z749*in_card_fee</f>
        <v/>
      </c>
      <c r="AE749" s="40">
        <f>AE748*(1-IF(B748&gt;=in_marketplace_from,d_hz_hlth_small*G748,0))</f>
        <v/>
      </c>
      <c r="AF749" s="46">
        <f>AE749*IF(B749&gt;=in_marketplace_from,d_hz_hlth_small*G749,0)</f>
        <v/>
      </c>
      <c r="AG749" s="14">
        <f>F749*AF749*in_hlth_small_ticket*in_hlth_small_comm*in_ins_partner_share+F749*in_hlth_small_ticket*in_hlth_small_renew_comm*in_ins_partner_share*(in_hlth_small_renew^1*SUMIFS(AF704:AF750,B704:B750,B749-12)+in_hlth_small_renew^2*SUMIFS(AF704:AF750,B704:B750,B749-24)+in_hlth_small_renew^3*SUMIFS(AF704:AF750,B704:B750,B749-36)+in_hlth_small_renew^4*SUMIFS(AF704:AF750,B704:B750,B749-48))</f>
        <v/>
      </c>
      <c r="AH749" s="40">
        <f>AH748*(1-IF(B748&gt;=in_marketplace_from,d_hz_hlth_family*G748,0))</f>
        <v/>
      </c>
      <c r="AI749" s="46">
        <f>AH749*IF(B749&gt;=in_marketplace_from,d_hz_hlth_family*G749,0)</f>
        <v/>
      </c>
      <c r="AJ749" s="14">
        <f>F749*AI749*in_hlth_family_ticket*in_hlth_family_comm*in_ins_partner_share+F749*in_hlth_family_ticket*in_hlth_family_renew_comm*in_ins_partner_share*(in_hlth_family_renew^1*SUMIFS(AI704:AI750,B704:B750,B749-12)+in_hlth_family_renew^2*SUMIFS(AI704:AI750,B704:B750,B749-24)+in_hlth_family_renew^3*SUMIFS(AI704:AI750,B704:B750,B749-36)+in_hlth_family_renew^4*SUMIFS(AI704:AI750,B704:B750,B749-48))</f>
        <v/>
      </c>
      <c r="AK749" s="40">
        <f>AK748*(1-IF(B748&gt;=in_marketplace_from,d_hz_life_term*G748,0))</f>
        <v/>
      </c>
      <c r="AL749" s="46">
        <f>AK749*IF(B749&gt;=in_marketplace_from,d_hz_life_term*G749,0)</f>
        <v/>
      </c>
      <c r="AM749" s="14">
        <f>F749*AL749*in_life_term_ticket*in_life_term_comm*in_ins_partner_share+F749*in_life_term_ticket*in_life_term_renew_comm*in_ins_partner_share*(in_life_term_renew^1*SUMIFS(AL704:AL750,B704:B750,B749-12)+in_life_term_renew^2*SUMIFS(AL704:AL750,B704:B750,B749-24)+in_life_term_renew^3*SUMIFS(AL704:AL750,B704:B750,B749-36)+in_life_term_renew^4*SUMIFS(AL704:AL750,B704:B750,B749-48))</f>
        <v/>
      </c>
      <c r="AN749" s="40">
        <f>AN748*(1-IF(B748&gt;=in_marketplace_from,d_hz_accident*G748,0))</f>
        <v/>
      </c>
      <c r="AO749" s="46">
        <f>AN749*IF(B749&gt;=in_marketplace_from,d_hz_accident*G749,0)</f>
        <v/>
      </c>
      <c r="AP749" s="14">
        <f>F749*AO749*in_accident_ticket*in_accident_comm*in_ins_partner_share+F749*in_accident_ticket*in_accident_renew_comm*in_ins_partner_share*(in_accident_renew^1*SUMIFS(AO704:AO750,B704:B750,B749-12)+in_accident_renew^2*SUMIFS(AO704:AO750,B704:B750,B749-24)+in_accident_renew^3*SUMIFS(AO704:AO750,B704:B750,B749-36)+in_accident_renew^4*SUMIFS(AO704:AO750,B704:B750,B749-48))</f>
        <v/>
      </c>
      <c r="AQ749" s="40">
        <f>AQ748*(1-IF(B748&gt;=in_marketplace_from,d_hz_two_wheeler*G748,0))</f>
        <v/>
      </c>
      <c r="AR749" s="46">
        <f>AQ749*IF(B749&gt;=in_marketplace_from,d_hz_two_wheeler*G749,0)</f>
        <v/>
      </c>
      <c r="AS749" s="14">
        <f>F749*AR749*in_two_wheeler_ticket*in_two_wheeler_comm*in_ins_partner_share+F749*in_two_wheeler_ticket*in_two_wheeler_comm*in_ins_partner_share*(in_two_wheeler_renew^1*SUMIFS(AR704:AR750,B704:B750,B749-12)+in_two_wheeler_renew^2*SUMIFS(AR704:AR750,B704:B750,B749-24)+in_two_wheeler_renew^3*SUMIFS(AR704:AR750,B704:B750,B749-36)+in_two_wheeler_renew^4*SUMIFS(AR704:AR750,B704:B750,B749-48))</f>
        <v/>
      </c>
      <c r="AT749" s="40">
        <f>AT748*(1-IF(B748&gt;=in_marketplace_from,d_hz_device*G748,0))</f>
        <v/>
      </c>
      <c r="AU749" s="14">
        <f>F749*AT749*IF(B749&gt;=in_marketplace_from,d_hz_device*G749,0)*in_device_ticket*in_device_comm*in_ins_partner_share</f>
        <v/>
      </c>
      <c r="AV749" s="40">
        <f>AV748*(1-IF(B748&gt;=in_marketplace_from,d_hz_shop*G748,0))</f>
        <v/>
      </c>
      <c r="AW749" s="46">
        <f>AV749*IF(B749&gt;=in_marketplace_from,d_hz_shop*G749,0)</f>
        <v/>
      </c>
      <c r="AX749" s="14">
        <f>F749*AW749*in_shop_ticket*in_shop_comm*in_ins_partner_share+F749*in_shop_ticket*in_shop_renew_comm*in_ins_partner_share*(in_shop_renew^1*SUMIFS(AW704:AW750,B704:B750,B749-12)+in_shop_renew^2*SUMIFS(AW704:AW750,B704:B750,B749-24)+in_shop_renew^3*SUMIFS(AW704:AW750,B704:B750,B749-36)+in_shop_renew^4*SUMIFS(AW704:AW750,B704:B750,B749-48))</f>
        <v/>
      </c>
      <c r="AY749" s="40">
        <f>AY748*(1-IF(B748&gt;=in_marketplace_from,d_hz_sip*G748,0))</f>
        <v/>
      </c>
      <c r="AZ749" s="40">
        <f>AZ748*d_rho_sip+AY749*IF(B749&gt;=in_marketplace_from,d_hz_sip*G749,0)</f>
        <v/>
      </c>
      <c r="BA749" s="40">
        <f>d_rho_sip*(BA748+AZ748)</f>
        <v/>
      </c>
      <c r="BB749" s="14">
        <f>F749*in_sip_ticket*(BA749+0.5*AZ749)*in_sip_comm/12</f>
        <v/>
      </c>
      <c r="BC749" s="40">
        <f>BC748*(1-IF(B748&gt;=in_marketplace_from,d_hz_choti*G748,0))</f>
        <v/>
      </c>
      <c r="BD749" s="46">
        <f>BC749*IF(B749&gt;=in_marketplace_from,d_hz_choti*G749,0)</f>
        <v/>
      </c>
      <c r="BE749" s="14">
        <f>F749*SUMIFS(BD704:BD750,B704:B750,B749-in_choti_months)*in_choti_renew*in_choti_ticket</f>
        <v/>
      </c>
      <c r="BF749" s="40">
        <f>BF748*(1-IF(B748&gt;=in_marketplace_from,d_hz_nps*G748,0))</f>
        <v/>
      </c>
      <c r="BG749" s="14">
        <f>F749*BF749*IF(B749&gt;=in_marketplace_from,d_hz_nps*G749,0)*in_nps_ticket*in_nps_comm</f>
        <v/>
      </c>
      <c r="BH749" s="40">
        <f>BH748*(1-IF(B748&gt;=in_marketplace_from,d_hz_gold*G748,0))</f>
        <v/>
      </c>
      <c r="BI749" s="40">
        <f>BI748*d_rho_gold+BH749*IF(B749&gt;=in_marketplace_from,d_hz_gold*G749,0)</f>
        <v/>
      </c>
      <c r="BJ749" s="14">
        <f>F749*BI749*in_gold_ticket*in_gold_comm</f>
        <v/>
      </c>
      <c r="BK749" s="40">
        <f>BK748*(1-IF(B748&gt;=in_marketplace_from,d_hz_fd*G748,0))</f>
        <v/>
      </c>
      <c r="BL749" s="14">
        <f>F749*BK749*IF(B749&gt;=in_marketplace_from,d_hz_fd*G749,0)*in_fd_ticket*in_fd_comm</f>
        <v/>
      </c>
      <c r="BM749" s="40">
        <f>BM748*(1-IF(B748&gt;=in_marketplace_from,d_hz_recharge*G748,0))</f>
        <v/>
      </c>
      <c r="BN749" s="40">
        <f>BN748*d_rho_recharge+BM749*IF(B749&gt;=in_marketplace_from,d_hz_recharge*G749,0)</f>
        <v/>
      </c>
      <c r="BO749" s="14">
        <f>F749*BN749*in_recharge_ticket*in_recharge_comm/12</f>
        <v/>
      </c>
      <c r="BP749" s="40">
        <f>BP748*(1-IF(B748&gt;=in_marketplace_from,d_hz_bills*G748,0))</f>
        <v/>
      </c>
      <c r="BQ749" s="40">
        <f>BQ748*d_rho_bills+BP749*IF(B749&gt;=in_marketplace_from,d_hz_bills*G749,0)</f>
        <v/>
      </c>
      <c r="BR749" s="14">
        <f>F749*BQ749*in_bills_ticket*in_bills_comm/12</f>
        <v/>
      </c>
      <c r="BS749" s="40">
        <f>BS748*(1-IF(B748&gt;=in_marketplace_from,d_hz_loan_gold*G748,0))</f>
        <v/>
      </c>
      <c r="BT749" s="14">
        <f>F749*BS749*IF(B749&gt;=in_marketplace_from,d_hz_loan_gold*G749,0)*in_loan_gold_ticket*in_loan_gold_comm</f>
        <v/>
      </c>
      <c r="BU749" s="40">
        <f>BU748*(1-IF(B748&gt;=in_marketplace_from,d_hz_loan_cd*G748,0))</f>
        <v/>
      </c>
      <c r="BV749" s="14">
        <f>F749*BU749*IF(B749&gt;=in_marketplace_from,d_hz_loan_cd*G749,0)*in_loan_cd_ticket*in_loan_cd_comm</f>
        <v/>
      </c>
      <c r="BW749" s="40">
        <f>BW748*(1-IF(B748&gt;=in_marketplace_from,d_hz_loan_vehicle*G748,0))</f>
        <v/>
      </c>
      <c r="BX749" s="14">
        <f>F749*BW749*IF(B749&gt;=in_marketplace_from,d_hz_loan_vehicle*G749,0)*in_loan_vehicle_ticket*in_loan_vehicle_comm</f>
        <v/>
      </c>
      <c r="BY749" s="40">
        <f>BY748*(1-IF(B748&gt;=in_marketplace_from,d_hz_loan_home*G748,0)*BZ748)</f>
        <v/>
      </c>
      <c r="BZ749" s="11">
        <f>MIN(in_approval_cap,in_loan_home_approval*INDEX('Age profile'!$O$2:$O$61,B749)*(1+in_approval_growth)^(D749-1))</f>
        <v/>
      </c>
      <c r="CA749" s="14">
        <f>F749*BY749*IF(B749&gt;=in_marketplace_from,d_hz_loan_home*G749,0)*BZ749*in_loan_home_ticket*in_loan_home_comm</f>
        <v/>
      </c>
      <c r="CB749" s="40">
        <f>CB748*(1-IF(B748&gt;=in_marketplace_from,d_hz_loan_lap*G748,0)*CC748)</f>
        <v/>
      </c>
      <c r="CC749" s="11">
        <f>MIN(in_approval_cap,in_loan_lap_approval*INDEX('Age profile'!$O$2:$O$61,B749)*(1+in_approval_growth)^(D749-1))</f>
        <v/>
      </c>
      <c r="CD749" s="14">
        <f>F749*CB749*IF(B749&gt;=in_marketplace_from,d_hz_loan_lap*G749,0)*CC749*in_loan_lap_ticket*in_loan_lap_comm</f>
        <v/>
      </c>
      <c r="CE749" s="14">
        <f>AA749+AB749+AC749+AD749+AG749+AJ749+AM749+AP749+AS749+AU749+AX749+BB749+BE749+BG749+BJ749+BL749+BO749+BR749+BT749+BV749+BX749+CA749+CD749</f>
        <v/>
      </c>
    </row>
    <row r="750">
      <c r="A750" s="39" t="n">
        <v>14</v>
      </c>
      <c r="B750" s="39" t="n">
        <v>47</v>
      </c>
      <c r="C750" s="39">
        <f>A750+B750-1</f>
        <v/>
      </c>
      <c r="D750" s="39">
        <f>INT((C750-1)/12)+1</f>
        <v/>
      </c>
      <c r="E750" s="44">
        <f>INDEX(Monthly!$B$2:$B$61,A750)</f>
        <v/>
      </c>
      <c r="F750" s="44">
        <f>E750*INDEX('Age profile'!$B$2:$B$61,B750)</f>
        <v/>
      </c>
      <c r="G750" s="45">
        <f>MIN(in_takeup_cap,INDEX('Age profile'!$N$2:$N$61,B750)*(1+in_takeup_growth)^(D750-1))</f>
        <v/>
      </c>
      <c r="H750" s="11">
        <f>MIN(in_approval_cap,in_approved_first*INDEX('Age profile'!$O$2:$O$61,B750)*(1+in_approval_growth)^(D750-1))</f>
        <v/>
      </c>
      <c r="I750" s="45">
        <f>G750*MIN(in_takeup_cap,INDEX('Age profile'!$O$2:$O$61,B750)*(1+in_approval_growth)^(D750-1))</f>
        <v/>
      </c>
      <c r="J750" s="40">
        <f>(J749-L749)*F750/F749</f>
        <v/>
      </c>
      <c r="K750" s="40">
        <f>(K749-M749)*F750/F749+SUMIFS(O704:O749,B704:B749,B750-1-d_T)*F750</f>
        <v/>
      </c>
      <c r="L750" s="40">
        <f>IF(B750&gt;=in_marketplace_from,J750*d_hz*G750*in_eligible*H750,0)</f>
        <v/>
      </c>
      <c r="M750" s="40">
        <f>IF(B750&gt;=in_marketplace_from,K750*d_hz*G750*in_eligible*in_approved_repeat,0)</f>
        <v/>
      </c>
      <c r="N750" s="40">
        <f>L750+M750</f>
        <v/>
      </c>
      <c r="O750" s="46">
        <f>N750/F750</f>
        <v/>
      </c>
      <c r="P750" s="40">
        <f>F750-J750-K750</f>
        <v/>
      </c>
      <c r="Q750" s="40">
        <f>IF(B750&gt;=in_marketplace_from,(J750+K750)*d_hz*G750,0)</f>
        <v/>
      </c>
      <c r="R750" s="40">
        <f>SUMIFS(N704:N750,B704:B750,"&gt;="&amp;(B750-d_T),B704:B750,"&lt;="&amp;(B750-1))</f>
        <v/>
      </c>
      <c r="S750" s="46">
        <f>(1-d_u)*S749+IF(d_T&gt;in_topup_lag,SUMIFS(O704:O750,B704:B750,B750-in_topup_lag)-d_udrop*SUMIFS(O704:O750,B704:B750,B750-d_T),0)</f>
        <v/>
      </c>
      <c r="T750" s="40">
        <f>F750*d_u*S750</f>
        <v/>
      </c>
      <c r="U750" s="9">
        <f>L750*in_ticket+M750*d_rep_ticket</f>
        <v/>
      </c>
      <c r="V750" s="9">
        <f>U750+T750*d_topup_amt</f>
        <v/>
      </c>
      <c r="W750" s="40">
        <f>N750+T750*d_topup_ratio</f>
        <v/>
      </c>
      <c r="X750" s="40">
        <f>SUMIFS(W704:W750,B704:B750,B750-in_dpd_lag)*d_cured</f>
        <v/>
      </c>
      <c r="Y750" s="40">
        <f>SUMIFS(W704:W750,B704:B750,B750-in_rec_lag)*d_recd</f>
        <v/>
      </c>
      <c r="Z750" s="40">
        <f>IF(AND(B750&gt;=in_marketplace_from,B750&lt;in_marketplace_from+in_card_months),in_card_share/in_card_months*F750*I750,IF(AND(B750&gt;=in_marketplace_from+in_card_months,B750&lt;in_marketplace_from+2*in_card_months),in_card_share*d_card_rem/in_card_months*F750*MIN(in_takeup_cap,(1+in_takeup_growth)^(D750-1))*MIN(in_takeup_cap,(1+in_approval_growth)^(D750-1)),0))</f>
        <v/>
      </c>
      <c r="AA750" s="14">
        <f>V750*in_fee*(1-in_taken_back)</f>
        <v/>
      </c>
      <c r="AB750" s="14">
        <f>SUMIFS(W704:W750,B704:B750,B750-in_dpd_lag)*d_dpd</f>
        <v/>
      </c>
      <c r="AC750" s="14">
        <f>SUMIFS(W704:W750,B704:B750,B750-in_rec_lag)*d_rec</f>
        <v/>
      </c>
      <c r="AD750" s="14">
        <f>Z750*in_card_fee</f>
        <v/>
      </c>
      <c r="AE750" s="40">
        <f>AE749*(1-IF(B749&gt;=in_marketplace_from,d_hz_hlth_small*G749,0))</f>
        <v/>
      </c>
      <c r="AF750" s="46">
        <f>AE750*IF(B750&gt;=in_marketplace_from,d_hz_hlth_small*G750,0)</f>
        <v/>
      </c>
      <c r="AG750" s="14">
        <f>F750*AF750*in_hlth_small_ticket*in_hlth_small_comm*in_ins_partner_share+F750*in_hlth_small_ticket*in_hlth_small_renew_comm*in_ins_partner_share*(in_hlth_small_renew^1*SUMIFS(AF704:AF750,B704:B750,B750-12)+in_hlth_small_renew^2*SUMIFS(AF704:AF750,B704:B750,B750-24)+in_hlth_small_renew^3*SUMIFS(AF704:AF750,B704:B750,B750-36)+in_hlth_small_renew^4*SUMIFS(AF704:AF750,B704:B750,B750-48))</f>
        <v/>
      </c>
      <c r="AH750" s="40">
        <f>AH749*(1-IF(B749&gt;=in_marketplace_from,d_hz_hlth_family*G749,0))</f>
        <v/>
      </c>
      <c r="AI750" s="46">
        <f>AH750*IF(B750&gt;=in_marketplace_from,d_hz_hlth_family*G750,0)</f>
        <v/>
      </c>
      <c r="AJ750" s="14">
        <f>F750*AI750*in_hlth_family_ticket*in_hlth_family_comm*in_ins_partner_share+F750*in_hlth_family_ticket*in_hlth_family_renew_comm*in_ins_partner_share*(in_hlth_family_renew^1*SUMIFS(AI704:AI750,B704:B750,B750-12)+in_hlth_family_renew^2*SUMIFS(AI704:AI750,B704:B750,B750-24)+in_hlth_family_renew^3*SUMIFS(AI704:AI750,B704:B750,B750-36)+in_hlth_family_renew^4*SUMIFS(AI704:AI750,B704:B750,B750-48))</f>
        <v/>
      </c>
      <c r="AK750" s="40">
        <f>AK749*(1-IF(B749&gt;=in_marketplace_from,d_hz_life_term*G749,0))</f>
        <v/>
      </c>
      <c r="AL750" s="46">
        <f>AK750*IF(B750&gt;=in_marketplace_from,d_hz_life_term*G750,0)</f>
        <v/>
      </c>
      <c r="AM750" s="14">
        <f>F750*AL750*in_life_term_ticket*in_life_term_comm*in_ins_partner_share+F750*in_life_term_ticket*in_life_term_renew_comm*in_ins_partner_share*(in_life_term_renew^1*SUMIFS(AL704:AL750,B704:B750,B750-12)+in_life_term_renew^2*SUMIFS(AL704:AL750,B704:B750,B750-24)+in_life_term_renew^3*SUMIFS(AL704:AL750,B704:B750,B750-36)+in_life_term_renew^4*SUMIFS(AL704:AL750,B704:B750,B750-48))</f>
        <v/>
      </c>
      <c r="AN750" s="40">
        <f>AN749*(1-IF(B749&gt;=in_marketplace_from,d_hz_accident*G749,0))</f>
        <v/>
      </c>
      <c r="AO750" s="46">
        <f>AN750*IF(B750&gt;=in_marketplace_from,d_hz_accident*G750,0)</f>
        <v/>
      </c>
      <c r="AP750" s="14">
        <f>F750*AO750*in_accident_ticket*in_accident_comm*in_ins_partner_share+F750*in_accident_ticket*in_accident_renew_comm*in_ins_partner_share*(in_accident_renew^1*SUMIFS(AO704:AO750,B704:B750,B750-12)+in_accident_renew^2*SUMIFS(AO704:AO750,B704:B750,B750-24)+in_accident_renew^3*SUMIFS(AO704:AO750,B704:B750,B750-36)+in_accident_renew^4*SUMIFS(AO704:AO750,B704:B750,B750-48))</f>
        <v/>
      </c>
      <c r="AQ750" s="40">
        <f>AQ749*(1-IF(B749&gt;=in_marketplace_from,d_hz_two_wheeler*G749,0))</f>
        <v/>
      </c>
      <c r="AR750" s="46">
        <f>AQ750*IF(B750&gt;=in_marketplace_from,d_hz_two_wheeler*G750,0)</f>
        <v/>
      </c>
      <c r="AS750" s="14">
        <f>F750*AR750*in_two_wheeler_ticket*in_two_wheeler_comm*in_ins_partner_share+F750*in_two_wheeler_ticket*in_two_wheeler_comm*in_ins_partner_share*(in_two_wheeler_renew^1*SUMIFS(AR704:AR750,B704:B750,B750-12)+in_two_wheeler_renew^2*SUMIFS(AR704:AR750,B704:B750,B750-24)+in_two_wheeler_renew^3*SUMIFS(AR704:AR750,B704:B750,B750-36)+in_two_wheeler_renew^4*SUMIFS(AR704:AR750,B704:B750,B750-48))</f>
        <v/>
      </c>
      <c r="AT750" s="40">
        <f>AT749*(1-IF(B749&gt;=in_marketplace_from,d_hz_device*G749,0))</f>
        <v/>
      </c>
      <c r="AU750" s="14">
        <f>F750*AT750*IF(B750&gt;=in_marketplace_from,d_hz_device*G750,0)*in_device_ticket*in_device_comm*in_ins_partner_share</f>
        <v/>
      </c>
      <c r="AV750" s="40">
        <f>AV749*(1-IF(B749&gt;=in_marketplace_from,d_hz_shop*G749,0))</f>
        <v/>
      </c>
      <c r="AW750" s="46">
        <f>AV750*IF(B750&gt;=in_marketplace_from,d_hz_shop*G750,0)</f>
        <v/>
      </c>
      <c r="AX750" s="14">
        <f>F750*AW750*in_shop_ticket*in_shop_comm*in_ins_partner_share+F750*in_shop_ticket*in_shop_renew_comm*in_ins_partner_share*(in_shop_renew^1*SUMIFS(AW704:AW750,B704:B750,B750-12)+in_shop_renew^2*SUMIFS(AW704:AW750,B704:B750,B750-24)+in_shop_renew^3*SUMIFS(AW704:AW750,B704:B750,B750-36)+in_shop_renew^4*SUMIFS(AW704:AW750,B704:B750,B750-48))</f>
        <v/>
      </c>
      <c r="AY750" s="40">
        <f>AY749*(1-IF(B749&gt;=in_marketplace_from,d_hz_sip*G749,0))</f>
        <v/>
      </c>
      <c r="AZ750" s="40">
        <f>AZ749*d_rho_sip+AY750*IF(B750&gt;=in_marketplace_from,d_hz_sip*G750,0)</f>
        <v/>
      </c>
      <c r="BA750" s="40">
        <f>d_rho_sip*(BA749+AZ749)</f>
        <v/>
      </c>
      <c r="BB750" s="14">
        <f>F750*in_sip_ticket*(BA750+0.5*AZ750)*in_sip_comm/12</f>
        <v/>
      </c>
      <c r="BC750" s="40">
        <f>BC749*(1-IF(B749&gt;=in_marketplace_from,d_hz_choti*G749,0))</f>
        <v/>
      </c>
      <c r="BD750" s="46">
        <f>BC750*IF(B750&gt;=in_marketplace_from,d_hz_choti*G750,0)</f>
        <v/>
      </c>
      <c r="BE750" s="14">
        <f>F750*SUMIFS(BD704:BD750,B704:B750,B750-in_choti_months)*in_choti_renew*in_choti_ticket</f>
        <v/>
      </c>
      <c r="BF750" s="40">
        <f>BF749*(1-IF(B749&gt;=in_marketplace_from,d_hz_nps*G749,0))</f>
        <v/>
      </c>
      <c r="BG750" s="14">
        <f>F750*BF750*IF(B750&gt;=in_marketplace_from,d_hz_nps*G750,0)*in_nps_ticket*in_nps_comm</f>
        <v/>
      </c>
      <c r="BH750" s="40">
        <f>BH749*(1-IF(B749&gt;=in_marketplace_from,d_hz_gold*G749,0))</f>
        <v/>
      </c>
      <c r="BI750" s="40">
        <f>BI749*d_rho_gold+BH750*IF(B750&gt;=in_marketplace_from,d_hz_gold*G750,0)</f>
        <v/>
      </c>
      <c r="BJ750" s="14">
        <f>F750*BI750*in_gold_ticket*in_gold_comm</f>
        <v/>
      </c>
      <c r="BK750" s="40">
        <f>BK749*(1-IF(B749&gt;=in_marketplace_from,d_hz_fd*G749,0))</f>
        <v/>
      </c>
      <c r="BL750" s="14">
        <f>F750*BK750*IF(B750&gt;=in_marketplace_from,d_hz_fd*G750,0)*in_fd_ticket*in_fd_comm</f>
        <v/>
      </c>
      <c r="BM750" s="40">
        <f>BM749*(1-IF(B749&gt;=in_marketplace_from,d_hz_recharge*G749,0))</f>
        <v/>
      </c>
      <c r="BN750" s="40">
        <f>BN749*d_rho_recharge+BM750*IF(B750&gt;=in_marketplace_from,d_hz_recharge*G750,0)</f>
        <v/>
      </c>
      <c r="BO750" s="14">
        <f>F750*BN750*in_recharge_ticket*in_recharge_comm/12</f>
        <v/>
      </c>
      <c r="BP750" s="40">
        <f>BP749*(1-IF(B749&gt;=in_marketplace_from,d_hz_bills*G749,0))</f>
        <v/>
      </c>
      <c r="BQ750" s="40">
        <f>BQ749*d_rho_bills+BP750*IF(B750&gt;=in_marketplace_from,d_hz_bills*G750,0)</f>
        <v/>
      </c>
      <c r="BR750" s="14">
        <f>F750*BQ750*in_bills_ticket*in_bills_comm/12</f>
        <v/>
      </c>
      <c r="BS750" s="40">
        <f>BS749*(1-IF(B749&gt;=in_marketplace_from,d_hz_loan_gold*G749,0))</f>
        <v/>
      </c>
      <c r="BT750" s="14">
        <f>F750*BS750*IF(B750&gt;=in_marketplace_from,d_hz_loan_gold*G750,0)*in_loan_gold_ticket*in_loan_gold_comm</f>
        <v/>
      </c>
      <c r="BU750" s="40">
        <f>BU749*(1-IF(B749&gt;=in_marketplace_from,d_hz_loan_cd*G749,0))</f>
        <v/>
      </c>
      <c r="BV750" s="14">
        <f>F750*BU750*IF(B750&gt;=in_marketplace_from,d_hz_loan_cd*G750,0)*in_loan_cd_ticket*in_loan_cd_comm</f>
        <v/>
      </c>
      <c r="BW750" s="40">
        <f>BW749*(1-IF(B749&gt;=in_marketplace_from,d_hz_loan_vehicle*G749,0))</f>
        <v/>
      </c>
      <c r="BX750" s="14">
        <f>F750*BW750*IF(B750&gt;=in_marketplace_from,d_hz_loan_vehicle*G750,0)*in_loan_vehicle_ticket*in_loan_vehicle_comm</f>
        <v/>
      </c>
      <c r="BY750" s="40">
        <f>BY749*(1-IF(B749&gt;=in_marketplace_from,d_hz_loan_home*G749,0)*BZ749)</f>
        <v/>
      </c>
      <c r="BZ750" s="11">
        <f>MIN(in_approval_cap,in_loan_home_approval*INDEX('Age profile'!$O$2:$O$61,B750)*(1+in_approval_growth)^(D750-1))</f>
        <v/>
      </c>
      <c r="CA750" s="14">
        <f>F750*BY750*IF(B750&gt;=in_marketplace_from,d_hz_loan_home*G750,0)*BZ750*in_loan_home_ticket*in_loan_home_comm</f>
        <v/>
      </c>
      <c r="CB750" s="40">
        <f>CB749*(1-IF(B749&gt;=in_marketplace_from,d_hz_loan_lap*G749,0)*CC749)</f>
        <v/>
      </c>
      <c r="CC750" s="11">
        <f>MIN(in_approval_cap,in_loan_lap_approval*INDEX('Age profile'!$O$2:$O$61,B750)*(1+in_approval_growth)^(D750-1))</f>
        <v/>
      </c>
      <c r="CD750" s="14">
        <f>F750*CB750*IF(B750&gt;=in_marketplace_from,d_hz_loan_lap*G750,0)*CC750*in_loan_lap_ticket*in_loan_lap_comm</f>
        <v/>
      </c>
      <c r="CE750" s="14">
        <f>AA750+AB750+AC750+AD750+AG750+AJ750+AM750+AP750+AS750+AU750+AX750+BB750+BE750+BG750+BJ750+BL750+BO750+BR750+BT750+BV750+BX750+CA750+CD750</f>
        <v/>
      </c>
    </row>
    <row r="751">
      <c r="A751" s="39" t="n">
        <v>15</v>
      </c>
      <c r="B751" s="39" t="n">
        <v>1</v>
      </c>
      <c r="C751" s="39">
        <f>A751+B751-1</f>
        <v/>
      </c>
      <c r="D751" s="39">
        <f>INT((C751-1)/12)+1</f>
        <v/>
      </c>
      <c r="E751" s="44">
        <f>INDEX(Monthly!$B$2:$B$61,A751)</f>
        <v/>
      </c>
      <c r="F751" s="44">
        <f>E751*INDEX('Age profile'!$B$2:$B$61,B751)</f>
        <v/>
      </c>
      <c r="G751" s="45">
        <f>MIN(in_takeup_cap,INDEX('Age profile'!$N$2:$N$61,B751)*(1+in_takeup_growth)^(D751-1))</f>
        <v/>
      </c>
      <c r="H751" s="11">
        <f>MIN(in_approval_cap,in_approved_first*INDEX('Age profile'!$O$2:$O$61,B751)*(1+in_approval_growth)^(D751-1))</f>
        <v/>
      </c>
      <c r="I751" s="45">
        <f>G751*MIN(in_takeup_cap,INDEX('Age profile'!$O$2:$O$61,B751)*(1+in_approval_growth)^(D751-1))</f>
        <v/>
      </c>
      <c r="J751" s="40">
        <f>E751</f>
        <v/>
      </c>
      <c r="K751" s="40" t="n">
        <v>0</v>
      </c>
      <c r="L751" s="40">
        <f>IF(B751&gt;=in_marketplace_from,J751*d_hz*G751*in_eligible*H751,0)</f>
        <v/>
      </c>
      <c r="M751" s="40">
        <f>IF(B751&gt;=in_marketplace_from,K751*d_hz*G751*in_eligible*in_approved_repeat,0)</f>
        <v/>
      </c>
      <c r="N751" s="40">
        <f>L751+M751</f>
        <v/>
      </c>
      <c r="O751" s="46">
        <f>N751/F751</f>
        <v/>
      </c>
      <c r="P751" s="40">
        <f>F751-J751-K751</f>
        <v/>
      </c>
      <c r="Q751" s="40">
        <f>IF(B751&gt;=in_marketplace_from,(J751+K751)*d_hz*G751,0)</f>
        <v/>
      </c>
      <c r="R751" s="40">
        <f>SUMIFS(N751:N796,B751:B796,"&gt;="&amp;(B751-d_T),B751:B796,"&lt;="&amp;(B751-1))</f>
        <v/>
      </c>
      <c r="S751" s="46" t="n">
        <v>0</v>
      </c>
      <c r="T751" s="40">
        <f>F751*d_u*S751</f>
        <v/>
      </c>
      <c r="U751" s="9">
        <f>L751*in_ticket+M751*d_rep_ticket</f>
        <v/>
      </c>
      <c r="V751" s="9">
        <f>U751+T751*d_topup_amt</f>
        <v/>
      </c>
      <c r="W751" s="40">
        <f>N751+T751*d_topup_ratio</f>
        <v/>
      </c>
      <c r="X751" s="40">
        <f>SUMIFS(W751:W796,B751:B796,B751-in_dpd_lag)*d_cured</f>
        <v/>
      </c>
      <c r="Y751" s="40">
        <f>SUMIFS(W751:W796,B751:B796,B751-in_rec_lag)*d_recd</f>
        <v/>
      </c>
      <c r="Z751" s="40">
        <f>IF(AND(B751&gt;=in_marketplace_from,B751&lt;in_marketplace_from+in_card_months),in_card_share/in_card_months*F751*I751,IF(AND(B751&gt;=in_marketplace_from+in_card_months,B751&lt;in_marketplace_from+2*in_card_months),in_card_share*d_card_rem/in_card_months*F751*MIN(in_takeup_cap,(1+in_takeup_growth)^(D751-1))*MIN(in_takeup_cap,(1+in_approval_growth)^(D751-1)),0))</f>
        <v/>
      </c>
      <c r="AA751" s="14">
        <f>V751*in_fee*(1-in_taken_back)</f>
        <v/>
      </c>
      <c r="AB751" s="14">
        <f>SUMIFS(W751:W796,B751:B796,B751-in_dpd_lag)*d_dpd</f>
        <v/>
      </c>
      <c r="AC751" s="14">
        <f>SUMIFS(W751:W796,B751:B796,B751-in_rec_lag)*d_rec</f>
        <v/>
      </c>
      <c r="AD751" s="14">
        <f>Z751*in_card_fee</f>
        <v/>
      </c>
      <c r="AE751" s="40" t="n">
        <v>1</v>
      </c>
      <c r="AF751" s="46">
        <f>AE751*IF(B751&gt;=in_marketplace_from,d_hz_hlth_small*G751,0)</f>
        <v/>
      </c>
      <c r="AG751" s="14">
        <f>F751*AF751*in_hlth_small_ticket*in_hlth_small_comm*in_ins_partner_share+F751*in_hlth_small_ticket*in_hlth_small_renew_comm*in_ins_partner_share*(in_hlth_small_renew^1*SUMIFS(AF751:AF796,B751:B796,B751-12)+in_hlth_small_renew^2*SUMIFS(AF751:AF796,B751:B796,B751-24)+in_hlth_small_renew^3*SUMIFS(AF751:AF796,B751:B796,B751-36)+in_hlth_small_renew^4*SUMIFS(AF751:AF796,B751:B796,B751-48))</f>
        <v/>
      </c>
      <c r="AH751" s="40" t="n">
        <v>1</v>
      </c>
      <c r="AI751" s="46">
        <f>AH751*IF(B751&gt;=in_marketplace_from,d_hz_hlth_family*G751,0)</f>
        <v/>
      </c>
      <c r="AJ751" s="14">
        <f>F751*AI751*in_hlth_family_ticket*in_hlth_family_comm*in_ins_partner_share+F751*in_hlth_family_ticket*in_hlth_family_renew_comm*in_ins_partner_share*(in_hlth_family_renew^1*SUMIFS(AI751:AI796,B751:B796,B751-12)+in_hlth_family_renew^2*SUMIFS(AI751:AI796,B751:B796,B751-24)+in_hlth_family_renew^3*SUMIFS(AI751:AI796,B751:B796,B751-36)+in_hlth_family_renew^4*SUMIFS(AI751:AI796,B751:B796,B751-48))</f>
        <v/>
      </c>
      <c r="AK751" s="40" t="n">
        <v>1</v>
      </c>
      <c r="AL751" s="46">
        <f>AK751*IF(B751&gt;=in_marketplace_from,d_hz_life_term*G751,0)</f>
        <v/>
      </c>
      <c r="AM751" s="14">
        <f>F751*AL751*in_life_term_ticket*in_life_term_comm*in_ins_partner_share+F751*in_life_term_ticket*in_life_term_renew_comm*in_ins_partner_share*(in_life_term_renew^1*SUMIFS(AL751:AL796,B751:B796,B751-12)+in_life_term_renew^2*SUMIFS(AL751:AL796,B751:B796,B751-24)+in_life_term_renew^3*SUMIFS(AL751:AL796,B751:B796,B751-36)+in_life_term_renew^4*SUMIFS(AL751:AL796,B751:B796,B751-48))</f>
        <v/>
      </c>
      <c r="AN751" s="40" t="n">
        <v>1</v>
      </c>
      <c r="AO751" s="46">
        <f>AN751*IF(B751&gt;=in_marketplace_from,d_hz_accident*G751,0)</f>
        <v/>
      </c>
      <c r="AP751" s="14">
        <f>F751*AO751*in_accident_ticket*in_accident_comm*in_ins_partner_share+F751*in_accident_ticket*in_accident_renew_comm*in_ins_partner_share*(in_accident_renew^1*SUMIFS(AO751:AO796,B751:B796,B751-12)+in_accident_renew^2*SUMIFS(AO751:AO796,B751:B796,B751-24)+in_accident_renew^3*SUMIFS(AO751:AO796,B751:B796,B751-36)+in_accident_renew^4*SUMIFS(AO751:AO796,B751:B796,B751-48))</f>
        <v/>
      </c>
      <c r="AQ751" s="40" t="n">
        <v>1</v>
      </c>
      <c r="AR751" s="46">
        <f>AQ751*IF(B751&gt;=in_marketplace_from,d_hz_two_wheeler*G751,0)</f>
        <v/>
      </c>
      <c r="AS751" s="14">
        <f>F751*AR751*in_two_wheeler_ticket*in_two_wheeler_comm*in_ins_partner_share+F751*in_two_wheeler_ticket*in_two_wheeler_comm*in_ins_partner_share*(in_two_wheeler_renew^1*SUMIFS(AR751:AR796,B751:B796,B751-12)+in_two_wheeler_renew^2*SUMIFS(AR751:AR796,B751:B796,B751-24)+in_two_wheeler_renew^3*SUMIFS(AR751:AR796,B751:B796,B751-36)+in_two_wheeler_renew^4*SUMIFS(AR751:AR796,B751:B796,B751-48))</f>
        <v/>
      </c>
      <c r="AT751" s="40" t="n">
        <v>1</v>
      </c>
      <c r="AU751" s="14">
        <f>F751*AT751*IF(B751&gt;=in_marketplace_from,d_hz_device*G751,0)*in_device_ticket*in_device_comm*in_ins_partner_share</f>
        <v/>
      </c>
      <c r="AV751" s="40" t="n">
        <v>1</v>
      </c>
      <c r="AW751" s="46">
        <f>AV751*IF(B751&gt;=in_marketplace_from,d_hz_shop*G751,0)</f>
        <v/>
      </c>
      <c r="AX751" s="14">
        <f>F751*AW751*in_shop_ticket*in_shop_comm*in_ins_partner_share+F751*in_shop_ticket*in_shop_renew_comm*in_ins_partner_share*(in_shop_renew^1*SUMIFS(AW751:AW796,B751:B796,B751-12)+in_shop_renew^2*SUMIFS(AW751:AW796,B751:B796,B751-24)+in_shop_renew^3*SUMIFS(AW751:AW796,B751:B796,B751-36)+in_shop_renew^4*SUMIFS(AW751:AW796,B751:B796,B751-48))</f>
        <v/>
      </c>
      <c r="AY751" s="40" t="n">
        <v>1</v>
      </c>
      <c r="AZ751" s="40">
        <f>AY751*IF(B751&gt;=in_marketplace_from,d_hz_sip*G751,0)</f>
        <v/>
      </c>
      <c r="BA751" s="40" t="n">
        <v>0</v>
      </c>
      <c r="BB751" s="14">
        <f>F751*in_sip_ticket*(BA751+0.5*AZ751)*in_sip_comm/12</f>
        <v/>
      </c>
      <c r="BC751" s="40" t="n">
        <v>1</v>
      </c>
      <c r="BD751" s="46">
        <f>BC751*IF(B751&gt;=in_marketplace_from,d_hz_choti*G751,0)</f>
        <v/>
      </c>
      <c r="BE751" s="14">
        <f>F751*SUMIFS(BD751:BD796,B751:B796,B751-in_choti_months)*in_choti_renew*in_choti_ticket</f>
        <v/>
      </c>
      <c r="BF751" s="40" t="n">
        <v>1</v>
      </c>
      <c r="BG751" s="14">
        <f>F751*BF751*IF(B751&gt;=in_marketplace_from,d_hz_nps*G751,0)*in_nps_ticket*in_nps_comm</f>
        <v/>
      </c>
      <c r="BH751" s="40" t="n">
        <v>1</v>
      </c>
      <c r="BI751" s="40">
        <f>BH751*IF(B751&gt;=in_marketplace_from,d_hz_gold*G751,0)</f>
        <v/>
      </c>
      <c r="BJ751" s="14">
        <f>F751*BI751*in_gold_ticket*in_gold_comm</f>
        <v/>
      </c>
      <c r="BK751" s="40" t="n">
        <v>1</v>
      </c>
      <c r="BL751" s="14">
        <f>F751*BK751*IF(B751&gt;=in_marketplace_from,d_hz_fd*G751,0)*in_fd_ticket*in_fd_comm</f>
        <v/>
      </c>
      <c r="BM751" s="40" t="n">
        <v>1</v>
      </c>
      <c r="BN751" s="40">
        <f>BM751*IF(B751&gt;=in_marketplace_from,d_hz_recharge*G751,0)</f>
        <v/>
      </c>
      <c r="BO751" s="14">
        <f>F751*BN751*in_recharge_ticket*in_recharge_comm/12</f>
        <v/>
      </c>
      <c r="BP751" s="40" t="n">
        <v>1</v>
      </c>
      <c r="BQ751" s="40">
        <f>BP751*IF(B751&gt;=in_marketplace_from,d_hz_bills*G751,0)</f>
        <v/>
      </c>
      <c r="BR751" s="14">
        <f>F751*BQ751*in_bills_ticket*in_bills_comm/12</f>
        <v/>
      </c>
      <c r="BS751" s="40" t="n">
        <v>1</v>
      </c>
      <c r="BT751" s="14">
        <f>F751*BS751*IF(B751&gt;=in_marketplace_from,d_hz_loan_gold*G751,0)*in_loan_gold_ticket*in_loan_gold_comm</f>
        <v/>
      </c>
      <c r="BU751" s="40" t="n">
        <v>1</v>
      </c>
      <c r="BV751" s="14">
        <f>F751*BU751*IF(B751&gt;=in_marketplace_from,d_hz_loan_cd*G751,0)*in_loan_cd_ticket*in_loan_cd_comm</f>
        <v/>
      </c>
      <c r="BW751" s="40" t="n">
        <v>1</v>
      </c>
      <c r="BX751" s="14">
        <f>F751*BW751*IF(B751&gt;=in_marketplace_from,d_hz_loan_vehicle*G751,0)*in_loan_vehicle_ticket*in_loan_vehicle_comm</f>
        <v/>
      </c>
      <c r="BY751" s="40" t="n">
        <v>1</v>
      </c>
      <c r="BZ751" s="11">
        <f>MIN(in_approval_cap,in_loan_home_approval*INDEX('Age profile'!$O$2:$O$61,B751)*(1+in_approval_growth)^(D751-1))</f>
        <v/>
      </c>
      <c r="CA751" s="14">
        <f>F751*BY751*IF(B751&gt;=in_marketplace_from,d_hz_loan_home*G751,0)*BZ751*in_loan_home_ticket*in_loan_home_comm</f>
        <v/>
      </c>
      <c r="CB751" s="40" t="n">
        <v>1</v>
      </c>
      <c r="CC751" s="11">
        <f>MIN(in_approval_cap,in_loan_lap_approval*INDEX('Age profile'!$O$2:$O$61,B751)*(1+in_approval_growth)^(D751-1))</f>
        <v/>
      </c>
      <c r="CD751" s="14">
        <f>F751*CB751*IF(B751&gt;=in_marketplace_from,d_hz_loan_lap*G751,0)*CC751*in_loan_lap_ticket*in_loan_lap_comm</f>
        <v/>
      </c>
      <c r="CE751" s="14">
        <f>AA751+AB751+AC751+AD751+AG751+AJ751+AM751+AP751+AS751+AU751+AX751+BB751+BE751+BG751+BJ751+BL751+BO751+BR751+BT751+BV751+BX751+CA751+CD751</f>
        <v/>
      </c>
    </row>
    <row r="752">
      <c r="A752" s="39" t="n">
        <v>15</v>
      </c>
      <c r="B752" s="39" t="n">
        <v>2</v>
      </c>
      <c r="C752" s="39">
        <f>A752+B752-1</f>
        <v/>
      </c>
      <c r="D752" s="39">
        <f>INT((C752-1)/12)+1</f>
        <v/>
      </c>
      <c r="E752" s="44">
        <f>INDEX(Monthly!$B$2:$B$61,A752)</f>
        <v/>
      </c>
      <c r="F752" s="44">
        <f>E752*INDEX('Age profile'!$B$2:$B$61,B752)</f>
        <v/>
      </c>
      <c r="G752" s="45">
        <f>MIN(in_takeup_cap,INDEX('Age profile'!$N$2:$N$61,B752)*(1+in_takeup_growth)^(D752-1))</f>
        <v/>
      </c>
      <c r="H752" s="11">
        <f>MIN(in_approval_cap,in_approved_first*INDEX('Age profile'!$O$2:$O$61,B752)*(1+in_approval_growth)^(D752-1))</f>
        <v/>
      </c>
      <c r="I752" s="45">
        <f>G752*MIN(in_takeup_cap,INDEX('Age profile'!$O$2:$O$61,B752)*(1+in_approval_growth)^(D752-1))</f>
        <v/>
      </c>
      <c r="J752" s="40">
        <f>(J751-L751)*F752/F751</f>
        <v/>
      </c>
      <c r="K752" s="40">
        <f>(K751-M751)*F752/F751+SUMIFS(O751:O751,B751:B751,B752-1-d_T)*F752</f>
        <v/>
      </c>
      <c r="L752" s="40">
        <f>IF(B752&gt;=in_marketplace_from,J752*d_hz*G752*in_eligible*H752,0)</f>
        <v/>
      </c>
      <c r="M752" s="40">
        <f>IF(B752&gt;=in_marketplace_from,K752*d_hz*G752*in_eligible*in_approved_repeat,0)</f>
        <v/>
      </c>
      <c r="N752" s="40">
        <f>L752+M752</f>
        <v/>
      </c>
      <c r="O752" s="46">
        <f>N752/F752</f>
        <v/>
      </c>
      <c r="P752" s="40">
        <f>F752-J752-K752</f>
        <v/>
      </c>
      <c r="Q752" s="40">
        <f>IF(B752&gt;=in_marketplace_from,(J752+K752)*d_hz*G752,0)</f>
        <v/>
      </c>
      <c r="R752" s="40">
        <f>SUMIFS(N751:N796,B751:B796,"&gt;="&amp;(B752-d_T),B751:B796,"&lt;="&amp;(B752-1))</f>
        <v/>
      </c>
      <c r="S752" s="46">
        <f>(1-d_u)*S751+IF(d_T&gt;in_topup_lag,SUMIFS(O751:O796,B751:B796,B752-in_topup_lag)-d_udrop*SUMIFS(O751:O796,B751:B796,B752-d_T),0)</f>
        <v/>
      </c>
      <c r="T752" s="40">
        <f>F752*d_u*S752</f>
        <v/>
      </c>
      <c r="U752" s="9">
        <f>L752*in_ticket+M752*d_rep_ticket</f>
        <v/>
      </c>
      <c r="V752" s="9">
        <f>U752+T752*d_topup_amt</f>
        <v/>
      </c>
      <c r="W752" s="40">
        <f>N752+T752*d_topup_ratio</f>
        <v/>
      </c>
      <c r="X752" s="40">
        <f>SUMIFS(W751:W796,B751:B796,B752-in_dpd_lag)*d_cured</f>
        <v/>
      </c>
      <c r="Y752" s="40">
        <f>SUMIFS(W751:W796,B751:B796,B752-in_rec_lag)*d_recd</f>
        <v/>
      </c>
      <c r="Z752" s="40">
        <f>IF(AND(B752&gt;=in_marketplace_from,B752&lt;in_marketplace_from+in_card_months),in_card_share/in_card_months*F752*I752,IF(AND(B752&gt;=in_marketplace_from+in_card_months,B752&lt;in_marketplace_from+2*in_card_months),in_card_share*d_card_rem/in_card_months*F752*MIN(in_takeup_cap,(1+in_takeup_growth)^(D752-1))*MIN(in_takeup_cap,(1+in_approval_growth)^(D752-1)),0))</f>
        <v/>
      </c>
      <c r="AA752" s="14">
        <f>V752*in_fee*(1-in_taken_back)</f>
        <v/>
      </c>
      <c r="AB752" s="14">
        <f>SUMIFS(W751:W796,B751:B796,B752-in_dpd_lag)*d_dpd</f>
        <v/>
      </c>
      <c r="AC752" s="14">
        <f>SUMIFS(W751:W796,B751:B796,B752-in_rec_lag)*d_rec</f>
        <v/>
      </c>
      <c r="AD752" s="14">
        <f>Z752*in_card_fee</f>
        <v/>
      </c>
      <c r="AE752" s="40">
        <f>AE751*(1-IF(B751&gt;=in_marketplace_from,d_hz_hlth_small*G751,0))</f>
        <v/>
      </c>
      <c r="AF752" s="46">
        <f>AE752*IF(B752&gt;=in_marketplace_from,d_hz_hlth_small*G752,0)</f>
        <v/>
      </c>
      <c r="AG752" s="14">
        <f>F752*AF752*in_hlth_small_ticket*in_hlth_small_comm*in_ins_partner_share+F752*in_hlth_small_ticket*in_hlth_small_renew_comm*in_ins_partner_share*(in_hlth_small_renew^1*SUMIFS(AF751:AF796,B751:B796,B752-12)+in_hlth_small_renew^2*SUMIFS(AF751:AF796,B751:B796,B752-24)+in_hlth_small_renew^3*SUMIFS(AF751:AF796,B751:B796,B752-36)+in_hlth_small_renew^4*SUMIFS(AF751:AF796,B751:B796,B752-48))</f>
        <v/>
      </c>
      <c r="AH752" s="40">
        <f>AH751*(1-IF(B751&gt;=in_marketplace_from,d_hz_hlth_family*G751,0))</f>
        <v/>
      </c>
      <c r="AI752" s="46">
        <f>AH752*IF(B752&gt;=in_marketplace_from,d_hz_hlth_family*G752,0)</f>
        <v/>
      </c>
      <c r="AJ752" s="14">
        <f>F752*AI752*in_hlth_family_ticket*in_hlth_family_comm*in_ins_partner_share+F752*in_hlth_family_ticket*in_hlth_family_renew_comm*in_ins_partner_share*(in_hlth_family_renew^1*SUMIFS(AI751:AI796,B751:B796,B752-12)+in_hlth_family_renew^2*SUMIFS(AI751:AI796,B751:B796,B752-24)+in_hlth_family_renew^3*SUMIFS(AI751:AI796,B751:B796,B752-36)+in_hlth_family_renew^4*SUMIFS(AI751:AI796,B751:B796,B752-48))</f>
        <v/>
      </c>
      <c r="AK752" s="40">
        <f>AK751*(1-IF(B751&gt;=in_marketplace_from,d_hz_life_term*G751,0))</f>
        <v/>
      </c>
      <c r="AL752" s="46">
        <f>AK752*IF(B752&gt;=in_marketplace_from,d_hz_life_term*G752,0)</f>
        <v/>
      </c>
      <c r="AM752" s="14">
        <f>F752*AL752*in_life_term_ticket*in_life_term_comm*in_ins_partner_share+F752*in_life_term_ticket*in_life_term_renew_comm*in_ins_partner_share*(in_life_term_renew^1*SUMIFS(AL751:AL796,B751:B796,B752-12)+in_life_term_renew^2*SUMIFS(AL751:AL796,B751:B796,B752-24)+in_life_term_renew^3*SUMIFS(AL751:AL796,B751:B796,B752-36)+in_life_term_renew^4*SUMIFS(AL751:AL796,B751:B796,B752-48))</f>
        <v/>
      </c>
      <c r="AN752" s="40">
        <f>AN751*(1-IF(B751&gt;=in_marketplace_from,d_hz_accident*G751,0))</f>
        <v/>
      </c>
      <c r="AO752" s="46">
        <f>AN752*IF(B752&gt;=in_marketplace_from,d_hz_accident*G752,0)</f>
        <v/>
      </c>
      <c r="AP752" s="14">
        <f>F752*AO752*in_accident_ticket*in_accident_comm*in_ins_partner_share+F752*in_accident_ticket*in_accident_renew_comm*in_ins_partner_share*(in_accident_renew^1*SUMIFS(AO751:AO796,B751:B796,B752-12)+in_accident_renew^2*SUMIFS(AO751:AO796,B751:B796,B752-24)+in_accident_renew^3*SUMIFS(AO751:AO796,B751:B796,B752-36)+in_accident_renew^4*SUMIFS(AO751:AO796,B751:B796,B752-48))</f>
        <v/>
      </c>
      <c r="AQ752" s="40">
        <f>AQ751*(1-IF(B751&gt;=in_marketplace_from,d_hz_two_wheeler*G751,0))</f>
        <v/>
      </c>
      <c r="AR752" s="46">
        <f>AQ752*IF(B752&gt;=in_marketplace_from,d_hz_two_wheeler*G752,0)</f>
        <v/>
      </c>
      <c r="AS752" s="14">
        <f>F752*AR752*in_two_wheeler_ticket*in_two_wheeler_comm*in_ins_partner_share+F752*in_two_wheeler_ticket*in_two_wheeler_comm*in_ins_partner_share*(in_two_wheeler_renew^1*SUMIFS(AR751:AR796,B751:B796,B752-12)+in_two_wheeler_renew^2*SUMIFS(AR751:AR796,B751:B796,B752-24)+in_two_wheeler_renew^3*SUMIFS(AR751:AR796,B751:B796,B752-36)+in_two_wheeler_renew^4*SUMIFS(AR751:AR796,B751:B796,B752-48))</f>
        <v/>
      </c>
      <c r="AT752" s="40">
        <f>AT751*(1-IF(B751&gt;=in_marketplace_from,d_hz_device*G751,0))</f>
        <v/>
      </c>
      <c r="AU752" s="14">
        <f>F752*AT752*IF(B752&gt;=in_marketplace_from,d_hz_device*G752,0)*in_device_ticket*in_device_comm*in_ins_partner_share</f>
        <v/>
      </c>
      <c r="AV752" s="40">
        <f>AV751*(1-IF(B751&gt;=in_marketplace_from,d_hz_shop*G751,0))</f>
        <v/>
      </c>
      <c r="AW752" s="46">
        <f>AV752*IF(B752&gt;=in_marketplace_from,d_hz_shop*G752,0)</f>
        <v/>
      </c>
      <c r="AX752" s="14">
        <f>F752*AW752*in_shop_ticket*in_shop_comm*in_ins_partner_share+F752*in_shop_ticket*in_shop_renew_comm*in_ins_partner_share*(in_shop_renew^1*SUMIFS(AW751:AW796,B751:B796,B752-12)+in_shop_renew^2*SUMIFS(AW751:AW796,B751:B796,B752-24)+in_shop_renew^3*SUMIFS(AW751:AW796,B751:B796,B752-36)+in_shop_renew^4*SUMIFS(AW751:AW796,B751:B796,B752-48))</f>
        <v/>
      </c>
      <c r="AY752" s="40">
        <f>AY751*(1-IF(B751&gt;=in_marketplace_from,d_hz_sip*G751,0))</f>
        <v/>
      </c>
      <c r="AZ752" s="40">
        <f>AZ751*d_rho_sip+AY752*IF(B752&gt;=in_marketplace_from,d_hz_sip*G752,0)</f>
        <v/>
      </c>
      <c r="BA752" s="40">
        <f>d_rho_sip*(BA751+AZ751)</f>
        <v/>
      </c>
      <c r="BB752" s="14">
        <f>F752*in_sip_ticket*(BA752+0.5*AZ752)*in_sip_comm/12</f>
        <v/>
      </c>
      <c r="BC752" s="40">
        <f>BC751*(1-IF(B751&gt;=in_marketplace_from,d_hz_choti*G751,0))</f>
        <v/>
      </c>
      <c r="BD752" s="46">
        <f>BC752*IF(B752&gt;=in_marketplace_from,d_hz_choti*G752,0)</f>
        <v/>
      </c>
      <c r="BE752" s="14">
        <f>F752*SUMIFS(BD751:BD796,B751:B796,B752-in_choti_months)*in_choti_renew*in_choti_ticket</f>
        <v/>
      </c>
      <c r="BF752" s="40">
        <f>BF751*(1-IF(B751&gt;=in_marketplace_from,d_hz_nps*G751,0))</f>
        <v/>
      </c>
      <c r="BG752" s="14">
        <f>F752*BF752*IF(B752&gt;=in_marketplace_from,d_hz_nps*G752,0)*in_nps_ticket*in_nps_comm</f>
        <v/>
      </c>
      <c r="BH752" s="40">
        <f>BH751*(1-IF(B751&gt;=in_marketplace_from,d_hz_gold*G751,0))</f>
        <v/>
      </c>
      <c r="BI752" s="40">
        <f>BI751*d_rho_gold+BH752*IF(B752&gt;=in_marketplace_from,d_hz_gold*G752,0)</f>
        <v/>
      </c>
      <c r="BJ752" s="14">
        <f>F752*BI752*in_gold_ticket*in_gold_comm</f>
        <v/>
      </c>
      <c r="BK752" s="40">
        <f>BK751*(1-IF(B751&gt;=in_marketplace_from,d_hz_fd*G751,0))</f>
        <v/>
      </c>
      <c r="BL752" s="14">
        <f>F752*BK752*IF(B752&gt;=in_marketplace_from,d_hz_fd*G752,0)*in_fd_ticket*in_fd_comm</f>
        <v/>
      </c>
      <c r="BM752" s="40">
        <f>BM751*(1-IF(B751&gt;=in_marketplace_from,d_hz_recharge*G751,0))</f>
        <v/>
      </c>
      <c r="BN752" s="40">
        <f>BN751*d_rho_recharge+BM752*IF(B752&gt;=in_marketplace_from,d_hz_recharge*G752,0)</f>
        <v/>
      </c>
      <c r="BO752" s="14">
        <f>F752*BN752*in_recharge_ticket*in_recharge_comm/12</f>
        <v/>
      </c>
      <c r="BP752" s="40">
        <f>BP751*(1-IF(B751&gt;=in_marketplace_from,d_hz_bills*G751,0))</f>
        <v/>
      </c>
      <c r="BQ752" s="40">
        <f>BQ751*d_rho_bills+BP752*IF(B752&gt;=in_marketplace_from,d_hz_bills*G752,0)</f>
        <v/>
      </c>
      <c r="BR752" s="14">
        <f>F752*BQ752*in_bills_ticket*in_bills_comm/12</f>
        <v/>
      </c>
      <c r="BS752" s="40">
        <f>BS751*(1-IF(B751&gt;=in_marketplace_from,d_hz_loan_gold*G751,0))</f>
        <v/>
      </c>
      <c r="BT752" s="14">
        <f>F752*BS752*IF(B752&gt;=in_marketplace_from,d_hz_loan_gold*G752,0)*in_loan_gold_ticket*in_loan_gold_comm</f>
        <v/>
      </c>
      <c r="BU752" s="40">
        <f>BU751*(1-IF(B751&gt;=in_marketplace_from,d_hz_loan_cd*G751,0))</f>
        <v/>
      </c>
      <c r="BV752" s="14">
        <f>F752*BU752*IF(B752&gt;=in_marketplace_from,d_hz_loan_cd*G752,0)*in_loan_cd_ticket*in_loan_cd_comm</f>
        <v/>
      </c>
      <c r="BW752" s="40">
        <f>BW751*(1-IF(B751&gt;=in_marketplace_from,d_hz_loan_vehicle*G751,0))</f>
        <v/>
      </c>
      <c r="BX752" s="14">
        <f>F752*BW752*IF(B752&gt;=in_marketplace_from,d_hz_loan_vehicle*G752,0)*in_loan_vehicle_ticket*in_loan_vehicle_comm</f>
        <v/>
      </c>
      <c r="BY752" s="40">
        <f>BY751*(1-IF(B751&gt;=in_marketplace_from,d_hz_loan_home*G751,0)*BZ751)</f>
        <v/>
      </c>
      <c r="BZ752" s="11">
        <f>MIN(in_approval_cap,in_loan_home_approval*INDEX('Age profile'!$O$2:$O$61,B752)*(1+in_approval_growth)^(D752-1))</f>
        <v/>
      </c>
      <c r="CA752" s="14">
        <f>F752*BY752*IF(B752&gt;=in_marketplace_from,d_hz_loan_home*G752,0)*BZ752*in_loan_home_ticket*in_loan_home_comm</f>
        <v/>
      </c>
      <c r="CB752" s="40">
        <f>CB751*(1-IF(B751&gt;=in_marketplace_from,d_hz_loan_lap*G751,0)*CC751)</f>
        <v/>
      </c>
      <c r="CC752" s="11">
        <f>MIN(in_approval_cap,in_loan_lap_approval*INDEX('Age profile'!$O$2:$O$61,B752)*(1+in_approval_growth)^(D752-1))</f>
        <v/>
      </c>
      <c r="CD752" s="14">
        <f>F752*CB752*IF(B752&gt;=in_marketplace_from,d_hz_loan_lap*G752,0)*CC752*in_loan_lap_ticket*in_loan_lap_comm</f>
        <v/>
      </c>
      <c r="CE752" s="14">
        <f>AA752+AB752+AC752+AD752+AG752+AJ752+AM752+AP752+AS752+AU752+AX752+BB752+BE752+BG752+BJ752+BL752+BO752+BR752+BT752+BV752+BX752+CA752+CD752</f>
        <v/>
      </c>
    </row>
    <row r="753">
      <c r="A753" s="39" t="n">
        <v>15</v>
      </c>
      <c r="B753" s="39" t="n">
        <v>3</v>
      </c>
      <c r="C753" s="39">
        <f>A753+B753-1</f>
        <v/>
      </c>
      <c r="D753" s="39">
        <f>INT((C753-1)/12)+1</f>
        <v/>
      </c>
      <c r="E753" s="44">
        <f>INDEX(Monthly!$B$2:$B$61,A753)</f>
        <v/>
      </c>
      <c r="F753" s="44">
        <f>E753*INDEX('Age profile'!$B$2:$B$61,B753)</f>
        <v/>
      </c>
      <c r="G753" s="45">
        <f>MIN(in_takeup_cap,INDEX('Age profile'!$N$2:$N$61,B753)*(1+in_takeup_growth)^(D753-1))</f>
        <v/>
      </c>
      <c r="H753" s="11">
        <f>MIN(in_approval_cap,in_approved_first*INDEX('Age profile'!$O$2:$O$61,B753)*(1+in_approval_growth)^(D753-1))</f>
        <v/>
      </c>
      <c r="I753" s="45">
        <f>G753*MIN(in_takeup_cap,INDEX('Age profile'!$O$2:$O$61,B753)*(1+in_approval_growth)^(D753-1))</f>
        <v/>
      </c>
      <c r="J753" s="40">
        <f>(J752-L752)*F753/F752</f>
        <v/>
      </c>
      <c r="K753" s="40">
        <f>(K752-M752)*F753/F752+SUMIFS(O751:O752,B751:B752,B753-1-d_T)*F753</f>
        <v/>
      </c>
      <c r="L753" s="40">
        <f>IF(B753&gt;=in_marketplace_from,J753*d_hz*G753*in_eligible*H753,0)</f>
        <v/>
      </c>
      <c r="M753" s="40">
        <f>IF(B753&gt;=in_marketplace_from,K753*d_hz*G753*in_eligible*in_approved_repeat,0)</f>
        <v/>
      </c>
      <c r="N753" s="40">
        <f>L753+M753</f>
        <v/>
      </c>
      <c r="O753" s="46">
        <f>N753/F753</f>
        <v/>
      </c>
      <c r="P753" s="40">
        <f>F753-J753-K753</f>
        <v/>
      </c>
      <c r="Q753" s="40">
        <f>IF(B753&gt;=in_marketplace_from,(J753+K753)*d_hz*G753,0)</f>
        <v/>
      </c>
      <c r="R753" s="40">
        <f>SUMIFS(N751:N796,B751:B796,"&gt;="&amp;(B753-d_T),B751:B796,"&lt;="&amp;(B753-1))</f>
        <v/>
      </c>
      <c r="S753" s="46">
        <f>(1-d_u)*S752+IF(d_T&gt;in_topup_lag,SUMIFS(O751:O796,B751:B796,B753-in_topup_lag)-d_udrop*SUMIFS(O751:O796,B751:B796,B753-d_T),0)</f>
        <v/>
      </c>
      <c r="T753" s="40">
        <f>F753*d_u*S753</f>
        <v/>
      </c>
      <c r="U753" s="9">
        <f>L753*in_ticket+M753*d_rep_ticket</f>
        <v/>
      </c>
      <c r="V753" s="9">
        <f>U753+T753*d_topup_amt</f>
        <v/>
      </c>
      <c r="W753" s="40">
        <f>N753+T753*d_topup_ratio</f>
        <v/>
      </c>
      <c r="X753" s="40">
        <f>SUMIFS(W751:W796,B751:B796,B753-in_dpd_lag)*d_cured</f>
        <v/>
      </c>
      <c r="Y753" s="40">
        <f>SUMIFS(W751:W796,B751:B796,B753-in_rec_lag)*d_recd</f>
        <v/>
      </c>
      <c r="Z753" s="40">
        <f>IF(AND(B753&gt;=in_marketplace_from,B753&lt;in_marketplace_from+in_card_months),in_card_share/in_card_months*F753*I753,IF(AND(B753&gt;=in_marketplace_from+in_card_months,B753&lt;in_marketplace_from+2*in_card_months),in_card_share*d_card_rem/in_card_months*F753*MIN(in_takeup_cap,(1+in_takeup_growth)^(D753-1))*MIN(in_takeup_cap,(1+in_approval_growth)^(D753-1)),0))</f>
        <v/>
      </c>
      <c r="AA753" s="14">
        <f>V753*in_fee*(1-in_taken_back)</f>
        <v/>
      </c>
      <c r="AB753" s="14">
        <f>SUMIFS(W751:W796,B751:B796,B753-in_dpd_lag)*d_dpd</f>
        <v/>
      </c>
      <c r="AC753" s="14">
        <f>SUMIFS(W751:W796,B751:B796,B753-in_rec_lag)*d_rec</f>
        <v/>
      </c>
      <c r="AD753" s="14">
        <f>Z753*in_card_fee</f>
        <v/>
      </c>
      <c r="AE753" s="40">
        <f>AE752*(1-IF(B752&gt;=in_marketplace_from,d_hz_hlth_small*G752,0))</f>
        <v/>
      </c>
      <c r="AF753" s="46">
        <f>AE753*IF(B753&gt;=in_marketplace_from,d_hz_hlth_small*G753,0)</f>
        <v/>
      </c>
      <c r="AG753" s="14">
        <f>F753*AF753*in_hlth_small_ticket*in_hlth_small_comm*in_ins_partner_share+F753*in_hlth_small_ticket*in_hlth_small_renew_comm*in_ins_partner_share*(in_hlth_small_renew^1*SUMIFS(AF751:AF796,B751:B796,B753-12)+in_hlth_small_renew^2*SUMIFS(AF751:AF796,B751:B796,B753-24)+in_hlth_small_renew^3*SUMIFS(AF751:AF796,B751:B796,B753-36)+in_hlth_small_renew^4*SUMIFS(AF751:AF796,B751:B796,B753-48))</f>
        <v/>
      </c>
      <c r="AH753" s="40">
        <f>AH752*(1-IF(B752&gt;=in_marketplace_from,d_hz_hlth_family*G752,0))</f>
        <v/>
      </c>
      <c r="AI753" s="46">
        <f>AH753*IF(B753&gt;=in_marketplace_from,d_hz_hlth_family*G753,0)</f>
        <v/>
      </c>
      <c r="AJ753" s="14">
        <f>F753*AI753*in_hlth_family_ticket*in_hlth_family_comm*in_ins_partner_share+F753*in_hlth_family_ticket*in_hlth_family_renew_comm*in_ins_partner_share*(in_hlth_family_renew^1*SUMIFS(AI751:AI796,B751:B796,B753-12)+in_hlth_family_renew^2*SUMIFS(AI751:AI796,B751:B796,B753-24)+in_hlth_family_renew^3*SUMIFS(AI751:AI796,B751:B796,B753-36)+in_hlth_family_renew^4*SUMIFS(AI751:AI796,B751:B796,B753-48))</f>
        <v/>
      </c>
      <c r="AK753" s="40">
        <f>AK752*(1-IF(B752&gt;=in_marketplace_from,d_hz_life_term*G752,0))</f>
        <v/>
      </c>
      <c r="AL753" s="46">
        <f>AK753*IF(B753&gt;=in_marketplace_from,d_hz_life_term*G753,0)</f>
        <v/>
      </c>
      <c r="AM753" s="14">
        <f>F753*AL753*in_life_term_ticket*in_life_term_comm*in_ins_partner_share+F753*in_life_term_ticket*in_life_term_renew_comm*in_ins_partner_share*(in_life_term_renew^1*SUMIFS(AL751:AL796,B751:B796,B753-12)+in_life_term_renew^2*SUMIFS(AL751:AL796,B751:B796,B753-24)+in_life_term_renew^3*SUMIFS(AL751:AL796,B751:B796,B753-36)+in_life_term_renew^4*SUMIFS(AL751:AL796,B751:B796,B753-48))</f>
        <v/>
      </c>
      <c r="AN753" s="40">
        <f>AN752*(1-IF(B752&gt;=in_marketplace_from,d_hz_accident*G752,0))</f>
        <v/>
      </c>
      <c r="AO753" s="46">
        <f>AN753*IF(B753&gt;=in_marketplace_from,d_hz_accident*G753,0)</f>
        <v/>
      </c>
      <c r="AP753" s="14">
        <f>F753*AO753*in_accident_ticket*in_accident_comm*in_ins_partner_share+F753*in_accident_ticket*in_accident_renew_comm*in_ins_partner_share*(in_accident_renew^1*SUMIFS(AO751:AO796,B751:B796,B753-12)+in_accident_renew^2*SUMIFS(AO751:AO796,B751:B796,B753-24)+in_accident_renew^3*SUMIFS(AO751:AO796,B751:B796,B753-36)+in_accident_renew^4*SUMIFS(AO751:AO796,B751:B796,B753-48))</f>
        <v/>
      </c>
      <c r="AQ753" s="40">
        <f>AQ752*(1-IF(B752&gt;=in_marketplace_from,d_hz_two_wheeler*G752,0))</f>
        <v/>
      </c>
      <c r="AR753" s="46">
        <f>AQ753*IF(B753&gt;=in_marketplace_from,d_hz_two_wheeler*G753,0)</f>
        <v/>
      </c>
      <c r="AS753" s="14">
        <f>F753*AR753*in_two_wheeler_ticket*in_two_wheeler_comm*in_ins_partner_share+F753*in_two_wheeler_ticket*in_two_wheeler_comm*in_ins_partner_share*(in_two_wheeler_renew^1*SUMIFS(AR751:AR796,B751:B796,B753-12)+in_two_wheeler_renew^2*SUMIFS(AR751:AR796,B751:B796,B753-24)+in_two_wheeler_renew^3*SUMIFS(AR751:AR796,B751:B796,B753-36)+in_two_wheeler_renew^4*SUMIFS(AR751:AR796,B751:B796,B753-48))</f>
        <v/>
      </c>
      <c r="AT753" s="40">
        <f>AT752*(1-IF(B752&gt;=in_marketplace_from,d_hz_device*G752,0))</f>
        <v/>
      </c>
      <c r="AU753" s="14">
        <f>F753*AT753*IF(B753&gt;=in_marketplace_from,d_hz_device*G753,0)*in_device_ticket*in_device_comm*in_ins_partner_share</f>
        <v/>
      </c>
      <c r="AV753" s="40">
        <f>AV752*(1-IF(B752&gt;=in_marketplace_from,d_hz_shop*G752,0))</f>
        <v/>
      </c>
      <c r="AW753" s="46">
        <f>AV753*IF(B753&gt;=in_marketplace_from,d_hz_shop*G753,0)</f>
        <v/>
      </c>
      <c r="AX753" s="14">
        <f>F753*AW753*in_shop_ticket*in_shop_comm*in_ins_partner_share+F753*in_shop_ticket*in_shop_renew_comm*in_ins_partner_share*(in_shop_renew^1*SUMIFS(AW751:AW796,B751:B796,B753-12)+in_shop_renew^2*SUMIFS(AW751:AW796,B751:B796,B753-24)+in_shop_renew^3*SUMIFS(AW751:AW796,B751:B796,B753-36)+in_shop_renew^4*SUMIFS(AW751:AW796,B751:B796,B753-48))</f>
        <v/>
      </c>
      <c r="AY753" s="40">
        <f>AY752*(1-IF(B752&gt;=in_marketplace_from,d_hz_sip*G752,0))</f>
        <v/>
      </c>
      <c r="AZ753" s="40">
        <f>AZ752*d_rho_sip+AY753*IF(B753&gt;=in_marketplace_from,d_hz_sip*G753,0)</f>
        <v/>
      </c>
      <c r="BA753" s="40">
        <f>d_rho_sip*(BA752+AZ752)</f>
        <v/>
      </c>
      <c r="BB753" s="14">
        <f>F753*in_sip_ticket*(BA753+0.5*AZ753)*in_sip_comm/12</f>
        <v/>
      </c>
      <c r="BC753" s="40">
        <f>BC752*(1-IF(B752&gt;=in_marketplace_from,d_hz_choti*G752,0))</f>
        <v/>
      </c>
      <c r="BD753" s="46">
        <f>BC753*IF(B753&gt;=in_marketplace_from,d_hz_choti*G753,0)</f>
        <v/>
      </c>
      <c r="BE753" s="14">
        <f>F753*SUMIFS(BD751:BD796,B751:B796,B753-in_choti_months)*in_choti_renew*in_choti_ticket</f>
        <v/>
      </c>
      <c r="BF753" s="40">
        <f>BF752*(1-IF(B752&gt;=in_marketplace_from,d_hz_nps*G752,0))</f>
        <v/>
      </c>
      <c r="BG753" s="14">
        <f>F753*BF753*IF(B753&gt;=in_marketplace_from,d_hz_nps*G753,0)*in_nps_ticket*in_nps_comm</f>
        <v/>
      </c>
      <c r="BH753" s="40">
        <f>BH752*(1-IF(B752&gt;=in_marketplace_from,d_hz_gold*G752,0))</f>
        <v/>
      </c>
      <c r="BI753" s="40">
        <f>BI752*d_rho_gold+BH753*IF(B753&gt;=in_marketplace_from,d_hz_gold*G753,0)</f>
        <v/>
      </c>
      <c r="BJ753" s="14">
        <f>F753*BI753*in_gold_ticket*in_gold_comm</f>
        <v/>
      </c>
      <c r="BK753" s="40">
        <f>BK752*(1-IF(B752&gt;=in_marketplace_from,d_hz_fd*G752,0))</f>
        <v/>
      </c>
      <c r="BL753" s="14">
        <f>F753*BK753*IF(B753&gt;=in_marketplace_from,d_hz_fd*G753,0)*in_fd_ticket*in_fd_comm</f>
        <v/>
      </c>
      <c r="BM753" s="40">
        <f>BM752*(1-IF(B752&gt;=in_marketplace_from,d_hz_recharge*G752,0))</f>
        <v/>
      </c>
      <c r="BN753" s="40">
        <f>BN752*d_rho_recharge+BM753*IF(B753&gt;=in_marketplace_from,d_hz_recharge*G753,0)</f>
        <v/>
      </c>
      <c r="BO753" s="14">
        <f>F753*BN753*in_recharge_ticket*in_recharge_comm/12</f>
        <v/>
      </c>
      <c r="BP753" s="40">
        <f>BP752*(1-IF(B752&gt;=in_marketplace_from,d_hz_bills*G752,0))</f>
        <v/>
      </c>
      <c r="BQ753" s="40">
        <f>BQ752*d_rho_bills+BP753*IF(B753&gt;=in_marketplace_from,d_hz_bills*G753,0)</f>
        <v/>
      </c>
      <c r="BR753" s="14">
        <f>F753*BQ753*in_bills_ticket*in_bills_comm/12</f>
        <v/>
      </c>
      <c r="BS753" s="40">
        <f>BS752*(1-IF(B752&gt;=in_marketplace_from,d_hz_loan_gold*G752,0))</f>
        <v/>
      </c>
      <c r="BT753" s="14">
        <f>F753*BS753*IF(B753&gt;=in_marketplace_from,d_hz_loan_gold*G753,0)*in_loan_gold_ticket*in_loan_gold_comm</f>
        <v/>
      </c>
      <c r="BU753" s="40">
        <f>BU752*(1-IF(B752&gt;=in_marketplace_from,d_hz_loan_cd*G752,0))</f>
        <v/>
      </c>
      <c r="BV753" s="14">
        <f>F753*BU753*IF(B753&gt;=in_marketplace_from,d_hz_loan_cd*G753,0)*in_loan_cd_ticket*in_loan_cd_comm</f>
        <v/>
      </c>
      <c r="BW753" s="40">
        <f>BW752*(1-IF(B752&gt;=in_marketplace_from,d_hz_loan_vehicle*G752,0))</f>
        <v/>
      </c>
      <c r="BX753" s="14">
        <f>F753*BW753*IF(B753&gt;=in_marketplace_from,d_hz_loan_vehicle*G753,0)*in_loan_vehicle_ticket*in_loan_vehicle_comm</f>
        <v/>
      </c>
      <c r="BY753" s="40">
        <f>BY752*(1-IF(B752&gt;=in_marketplace_from,d_hz_loan_home*G752,0)*BZ752)</f>
        <v/>
      </c>
      <c r="BZ753" s="11">
        <f>MIN(in_approval_cap,in_loan_home_approval*INDEX('Age profile'!$O$2:$O$61,B753)*(1+in_approval_growth)^(D753-1))</f>
        <v/>
      </c>
      <c r="CA753" s="14">
        <f>F753*BY753*IF(B753&gt;=in_marketplace_from,d_hz_loan_home*G753,0)*BZ753*in_loan_home_ticket*in_loan_home_comm</f>
        <v/>
      </c>
      <c r="CB753" s="40">
        <f>CB752*(1-IF(B752&gt;=in_marketplace_from,d_hz_loan_lap*G752,0)*CC752)</f>
        <v/>
      </c>
      <c r="CC753" s="11">
        <f>MIN(in_approval_cap,in_loan_lap_approval*INDEX('Age profile'!$O$2:$O$61,B753)*(1+in_approval_growth)^(D753-1))</f>
        <v/>
      </c>
      <c r="CD753" s="14">
        <f>F753*CB753*IF(B753&gt;=in_marketplace_from,d_hz_loan_lap*G753,0)*CC753*in_loan_lap_ticket*in_loan_lap_comm</f>
        <v/>
      </c>
      <c r="CE753" s="14">
        <f>AA753+AB753+AC753+AD753+AG753+AJ753+AM753+AP753+AS753+AU753+AX753+BB753+BE753+BG753+BJ753+BL753+BO753+BR753+BT753+BV753+BX753+CA753+CD753</f>
        <v/>
      </c>
    </row>
    <row r="754">
      <c r="A754" s="39" t="n">
        <v>15</v>
      </c>
      <c r="B754" s="39" t="n">
        <v>4</v>
      </c>
      <c r="C754" s="39">
        <f>A754+B754-1</f>
        <v/>
      </c>
      <c r="D754" s="39">
        <f>INT((C754-1)/12)+1</f>
        <v/>
      </c>
      <c r="E754" s="44">
        <f>INDEX(Monthly!$B$2:$B$61,A754)</f>
        <v/>
      </c>
      <c r="F754" s="44">
        <f>E754*INDEX('Age profile'!$B$2:$B$61,B754)</f>
        <v/>
      </c>
      <c r="G754" s="45">
        <f>MIN(in_takeup_cap,INDEX('Age profile'!$N$2:$N$61,B754)*(1+in_takeup_growth)^(D754-1))</f>
        <v/>
      </c>
      <c r="H754" s="11">
        <f>MIN(in_approval_cap,in_approved_first*INDEX('Age profile'!$O$2:$O$61,B754)*(1+in_approval_growth)^(D754-1))</f>
        <v/>
      </c>
      <c r="I754" s="45">
        <f>G754*MIN(in_takeup_cap,INDEX('Age profile'!$O$2:$O$61,B754)*(1+in_approval_growth)^(D754-1))</f>
        <v/>
      </c>
      <c r="J754" s="40">
        <f>(J753-L753)*F754/F753</f>
        <v/>
      </c>
      <c r="K754" s="40">
        <f>(K753-M753)*F754/F753+SUMIFS(O751:O753,B751:B753,B754-1-d_T)*F754</f>
        <v/>
      </c>
      <c r="L754" s="40">
        <f>IF(B754&gt;=in_marketplace_from,J754*d_hz*G754*in_eligible*H754,0)</f>
        <v/>
      </c>
      <c r="M754" s="40">
        <f>IF(B754&gt;=in_marketplace_from,K754*d_hz*G754*in_eligible*in_approved_repeat,0)</f>
        <v/>
      </c>
      <c r="N754" s="40">
        <f>L754+M754</f>
        <v/>
      </c>
      <c r="O754" s="46">
        <f>N754/F754</f>
        <v/>
      </c>
      <c r="P754" s="40">
        <f>F754-J754-K754</f>
        <v/>
      </c>
      <c r="Q754" s="40">
        <f>IF(B754&gt;=in_marketplace_from,(J754+K754)*d_hz*G754,0)</f>
        <v/>
      </c>
      <c r="R754" s="40">
        <f>SUMIFS(N751:N796,B751:B796,"&gt;="&amp;(B754-d_T),B751:B796,"&lt;="&amp;(B754-1))</f>
        <v/>
      </c>
      <c r="S754" s="46">
        <f>(1-d_u)*S753+IF(d_T&gt;in_topup_lag,SUMIFS(O751:O796,B751:B796,B754-in_topup_lag)-d_udrop*SUMIFS(O751:O796,B751:B796,B754-d_T),0)</f>
        <v/>
      </c>
      <c r="T754" s="40">
        <f>F754*d_u*S754</f>
        <v/>
      </c>
      <c r="U754" s="9">
        <f>L754*in_ticket+M754*d_rep_ticket</f>
        <v/>
      </c>
      <c r="V754" s="9">
        <f>U754+T754*d_topup_amt</f>
        <v/>
      </c>
      <c r="W754" s="40">
        <f>N754+T754*d_topup_ratio</f>
        <v/>
      </c>
      <c r="X754" s="40">
        <f>SUMIFS(W751:W796,B751:B796,B754-in_dpd_lag)*d_cured</f>
        <v/>
      </c>
      <c r="Y754" s="40">
        <f>SUMIFS(W751:W796,B751:B796,B754-in_rec_lag)*d_recd</f>
        <v/>
      </c>
      <c r="Z754" s="40">
        <f>IF(AND(B754&gt;=in_marketplace_from,B754&lt;in_marketplace_from+in_card_months),in_card_share/in_card_months*F754*I754,IF(AND(B754&gt;=in_marketplace_from+in_card_months,B754&lt;in_marketplace_from+2*in_card_months),in_card_share*d_card_rem/in_card_months*F754*MIN(in_takeup_cap,(1+in_takeup_growth)^(D754-1))*MIN(in_takeup_cap,(1+in_approval_growth)^(D754-1)),0))</f>
        <v/>
      </c>
      <c r="AA754" s="14">
        <f>V754*in_fee*(1-in_taken_back)</f>
        <v/>
      </c>
      <c r="AB754" s="14">
        <f>SUMIFS(W751:W796,B751:B796,B754-in_dpd_lag)*d_dpd</f>
        <v/>
      </c>
      <c r="AC754" s="14">
        <f>SUMIFS(W751:W796,B751:B796,B754-in_rec_lag)*d_rec</f>
        <v/>
      </c>
      <c r="AD754" s="14">
        <f>Z754*in_card_fee</f>
        <v/>
      </c>
      <c r="AE754" s="40">
        <f>AE753*(1-IF(B753&gt;=in_marketplace_from,d_hz_hlth_small*G753,0))</f>
        <v/>
      </c>
      <c r="AF754" s="46">
        <f>AE754*IF(B754&gt;=in_marketplace_from,d_hz_hlth_small*G754,0)</f>
        <v/>
      </c>
      <c r="AG754" s="14">
        <f>F754*AF754*in_hlth_small_ticket*in_hlth_small_comm*in_ins_partner_share+F754*in_hlth_small_ticket*in_hlth_small_renew_comm*in_ins_partner_share*(in_hlth_small_renew^1*SUMIFS(AF751:AF796,B751:B796,B754-12)+in_hlth_small_renew^2*SUMIFS(AF751:AF796,B751:B796,B754-24)+in_hlth_small_renew^3*SUMIFS(AF751:AF796,B751:B796,B754-36)+in_hlth_small_renew^4*SUMIFS(AF751:AF796,B751:B796,B754-48))</f>
        <v/>
      </c>
      <c r="AH754" s="40">
        <f>AH753*(1-IF(B753&gt;=in_marketplace_from,d_hz_hlth_family*G753,0))</f>
        <v/>
      </c>
      <c r="AI754" s="46">
        <f>AH754*IF(B754&gt;=in_marketplace_from,d_hz_hlth_family*G754,0)</f>
        <v/>
      </c>
      <c r="AJ754" s="14">
        <f>F754*AI754*in_hlth_family_ticket*in_hlth_family_comm*in_ins_partner_share+F754*in_hlth_family_ticket*in_hlth_family_renew_comm*in_ins_partner_share*(in_hlth_family_renew^1*SUMIFS(AI751:AI796,B751:B796,B754-12)+in_hlth_family_renew^2*SUMIFS(AI751:AI796,B751:B796,B754-24)+in_hlth_family_renew^3*SUMIFS(AI751:AI796,B751:B796,B754-36)+in_hlth_family_renew^4*SUMIFS(AI751:AI796,B751:B796,B754-48))</f>
        <v/>
      </c>
      <c r="AK754" s="40">
        <f>AK753*(1-IF(B753&gt;=in_marketplace_from,d_hz_life_term*G753,0))</f>
        <v/>
      </c>
      <c r="AL754" s="46">
        <f>AK754*IF(B754&gt;=in_marketplace_from,d_hz_life_term*G754,0)</f>
        <v/>
      </c>
      <c r="AM754" s="14">
        <f>F754*AL754*in_life_term_ticket*in_life_term_comm*in_ins_partner_share+F754*in_life_term_ticket*in_life_term_renew_comm*in_ins_partner_share*(in_life_term_renew^1*SUMIFS(AL751:AL796,B751:B796,B754-12)+in_life_term_renew^2*SUMIFS(AL751:AL796,B751:B796,B754-24)+in_life_term_renew^3*SUMIFS(AL751:AL796,B751:B796,B754-36)+in_life_term_renew^4*SUMIFS(AL751:AL796,B751:B796,B754-48))</f>
        <v/>
      </c>
      <c r="AN754" s="40">
        <f>AN753*(1-IF(B753&gt;=in_marketplace_from,d_hz_accident*G753,0))</f>
        <v/>
      </c>
      <c r="AO754" s="46">
        <f>AN754*IF(B754&gt;=in_marketplace_from,d_hz_accident*G754,0)</f>
        <v/>
      </c>
      <c r="AP754" s="14">
        <f>F754*AO754*in_accident_ticket*in_accident_comm*in_ins_partner_share+F754*in_accident_ticket*in_accident_renew_comm*in_ins_partner_share*(in_accident_renew^1*SUMIFS(AO751:AO796,B751:B796,B754-12)+in_accident_renew^2*SUMIFS(AO751:AO796,B751:B796,B754-24)+in_accident_renew^3*SUMIFS(AO751:AO796,B751:B796,B754-36)+in_accident_renew^4*SUMIFS(AO751:AO796,B751:B796,B754-48))</f>
        <v/>
      </c>
      <c r="AQ754" s="40">
        <f>AQ753*(1-IF(B753&gt;=in_marketplace_from,d_hz_two_wheeler*G753,0))</f>
        <v/>
      </c>
      <c r="AR754" s="46">
        <f>AQ754*IF(B754&gt;=in_marketplace_from,d_hz_two_wheeler*G754,0)</f>
        <v/>
      </c>
      <c r="AS754" s="14">
        <f>F754*AR754*in_two_wheeler_ticket*in_two_wheeler_comm*in_ins_partner_share+F754*in_two_wheeler_ticket*in_two_wheeler_comm*in_ins_partner_share*(in_two_wheeler_renew^1*SUMIFS(AR751:AR796,B751:B796,B754-12)+in_two_wheeler_renew^2*SUMIFS(AR751:AR796,B751:B796,B754-24)+in_two_wheeler_renew^3*SUMIFS(AR751:AR796,B751:B796,B754-36)+in_two_wheeler_renew^4*SUMIFS(AR751:AR796,B751:B796,B754-48))</f>
        <v/>
      </c>
      <c r="AT754" s="40">
        <f>AT753*(1-IF(B753&gt;=in_marketplace_from,d_hz_device*G753,0))</f>
        <v/>
      </c>
      <c r="AU754" s="14">
        <f>F754*AT754*IF(B754&gt;=in_marketplace_from,d_hz_device*G754,0)*in_device_ticket*in_device_comm*in_ins_partner_share</f>
        <v/>
      </c>
      <c r="AV754" s="40">
        <f>AV753*(1-IF(B753&gt;=in_marketplace_from,d_hz_shop*G753,0))</f>
        <v/>
      </c>
      <c r="AW754" s="46">
        <f>AV754*IF(B754&gt;=in_marketplace_from,d_hz_shop*G754,0)</f>
        <v/>
      </c>
      <c r="AX754" s="14">
        <f>F754*AW754*in_shop_ticket*in_shop_comm*in_ins_partner_share+F754*in_shop_ticket*in_shop_renew_comm*in_ins_partner_share*(in_shop_renew^1*SUMIFS(AW751:AW796,B751:B796,B754-12)+in_shop_renew^2*SUMIFS(AW751:AW796,B751:B796,B754-24)+in_shop_renew^3*SUMIFS(AW751:AW796,B751:B796,B754-36)+in_shop_renew^4*SUMIFS(AW751:AW796,B751:B796,B754-48))</f>
        <v/>
      </c>
      <c r="AY754" s="40">
        <f>AY753*(1-IF(B753&gt;=in_marketplace_from,d_hz_sip*G753,0))</f>
        <v/>
      </c>
      <c r="AZ754" s="40">
        <f>AZ753*d_rho_sip+AY754*IF(B754&gt;=in_marketplace_from,d_hz_sip*G754,0)</f>
        <v/>
      </c>
      <c r="BA754" s="40">
        <f>d_rho_sip*(BA753+AZ753)</f>
        <v/>
      </c>
      <c r="BB754" s="14">
        <f>F754*in_sip_ticket*(BA754+0.5*AZ754)*in_sip_comm/12</f>
        <v/>
      </c>
      <c r="BC754" s="40">
        <f>BC753*(1-IF(B753&gt;=in_marketplace_from,d_hz_choti*G753,0))</f>
        <v/>
      </c>
      <c r="BD754" s="46">
        <f>BC754*IF(B754&gt;=in_marketplace_from,d_hz_choti*G754,0)</f>
        <v/>
      </c>
      <c r="BE754" s="14">
        <f>F754*SUMIFS(BD751:BD796,B751:B796,B754-in_choti_months)*in_choti_renew*in_choti_ticket</f>
        <v/>
      </c>
      <c r="BF754" s="40">
        <f>BF753*(1-IF(B753&gt;=in_marketplace_from,d_hz_nps*G753,0))</f>
        <v/>
      </c>
      <c r="BG754" s="14">
        <f>F754*BF754*IF(B754&gt;=in_marketplace_from,d_hz_nps*G754,0)*in_nps_ticket*in_nps_comm</f>
        <v/>
      </c>
      <c r="BH754" s="40">
        <f>BH753*(1-IF(B753&gt;=in_marketplace_from,d_hz_gold*G753,0))</f>
        <v/>
      </c>
      <c r="BI754" s="40">
        <f>BI753*d_rho_gold+BH754*IF(B754&gt;=in_marketplace_from,d_hz_gold*G754,0)</f>
        <v/>
      </c>
      <c r="BJ754" s="14">
        <f>F754*BI754*in_gold_ticket*in_gold_comm</f>
        <v/>
      </c>
      <c r="BK754" s="40">
        <f>BK753*(1-IF(B753&gt;=in_marketplace_from,d_hz_fd*G753,0))</f>
        <v/>
      </c>
      <c r="BL754" s="14">
        <f>F754*BK754*IF(B754&gt;=in_marketplace_from,d_hz_fd*G754,0)*in_fd_ticket*in_fd_comm</f>
        <v/>
      </c>
      <c r="BM754" s="40">
        <f>BM753*(1-IF(B753&gt;=in_marketplace_from,d_hz_recharge*G753,0))</f>
        <v/>
      </c>
      <c r="BN754" s="40">
        <f>BN753*d_rho_recharge+BM754*IF(B754&gt;=in_marketplace_from,d_hz_recharge*G754,0)</f>
        <v/>
      </c>
      <c r="BO754" s="14">
        <f>F754*BN754*in_recharge_ticket*in_recharge_comm/12</f>
        <v/>
      </c>
      <c r="BP754" s="40">
        <f>BP753*(1-IF(B753&gt;=in_marketplace_from,d_hz_bills*G753,0))</f>
        <v/>
      </c>
      <c r="BQ754" s="40">
        <f>BQ753*d_rho_bills+BP754*IF(B754&gt;=in_marketplace_from,d_hz_bills*G754,0)</f>
        <v/>
      </c>
      <c r="BR754" s="14">
        <f>F754*BQ754*in_bills_ticket*in_bills_comm/12</f>
        <v/>
      </c>
      <c r="BS754" s="40">
        <f>BS753*(1-IF(B753&gt;=in_marketplace_from,d_hz_loan_gold*G753,0))</f>
        <v/>
      </c>
      <c r="BT754" s="14">
        <f>F754*BS754*IF(B754&gt;=in_marketplace_from,d_hz_loan_gold*G754,0)*in_loan_gold_ticket*in_loan_gold_comm</f>
        <v/>
      </c>
      <c r="BU754" s="40">
        <f>BU753*(1-IF(B753&gt;=in_marketplace_from,d_hz_loan_cd*G753,0))</f>
        <v/>
      </c>
      <c r="BV754" s="14">
        <f>F754*BU754*IF(B754&gt;=in_marketplace_from,d_hz_loan_cd*G754,0)*in_loan_cd_ticket*in_loan_cd_comm</f>
        <v/>
      </c>
      <c r="BW754" s="40">
        <f>BW753*(1-IF(B753&gt;=in_marketplace_from,d_hz_loan_vehicle*G753,0))</f>
        <v/>
      </c>
      <c r="BX754" s="14">
        <f>F754*BW754*IF(B754&gt;=in_marketplace_from,d_hz_loan_vehicle*G754,0)*in_loan_vehicle_ticket*in_loan_vehicle_comm</f>
        <v/>
      </c>
      <c r="BY754" s="40">
        <f>BY753*(1-IF(B753&gt;=in_marketplace_from,d_hz_loan_home*G753,0)*BZ753)</f>
        <v/>
      </c>
      <c r="BZ754" s="11">
        <f>MIN(in_approval_cap,in_loan_home_approval*INDEX('Age profile'!$O$2:$O$61,B754)*(1+in_approval_growth)^(D754-1))</f>
        <v/>
      </c>
      <c r="CA754" s="14">
        <f>F754*BY754*IF(B754&gt;=in_marketplace_from,d_hz_loan_home*G754,0)*BZ754*in_loan_home_ticket*in_loan_home_comm</f>
        <v/>
      </c>
      <c r="CB754" s="40">
        <f>CB753*(1-IF(B753&gt;=in_marketplace_from,d_hz_loan_lap*G753,0)*CC753)</f>
        <v/>
      </c>
      <c r="CC754" s="11">
        <f>MIN(in_approval_cap,in_loan_lap_approval*INDEX('Age profile'!$O$2:$O$61,B754)*(1+in_approval_growth)^(D754-1))</f>
        <v/>
      </c>
      <c r="CD754" s="14">
        <f>F754*CB754*IF(B754&gt;=in_marketplace_from,d_hz_loan_lap*G754,0)*CC754*in_loan_lap_ticket*in_loan_lap_comm</f>
        <v/>
      </c>
      <c r="CE754" s="14">
        <f>AA754+AB754+AC754+AD754+AG754+AJ754+AM754+AP754+AS754+AU754+AX754+BB754+BE754+BG754+BJ754+BL754+BO754+BR754+BT754+BV754+BX754+CA754+CD754</f>
        <v/>
      </c>
    </row>
    <row r="755">
      <c r="A755" s="39" t="n">
        <v>15</v>
      </c>
      <c r="B755" s="39" t="n">
        <v>5</v>
      </c>
      <c r="C755" s="39">
        <f>A755+B755-1</f>
        <v/>
      </c>
      <c r="D755" s="39">
        <f>INT((C755-1)/12)+1</f>
        <v/>
      </c>
      <c r="E755" s="44">
        <f>INDEX(Monthly!$B$2:$B$61,A755)</f>
        <v/>
      </c>
      <c r="F755" s="44">
        <f>E755*INDEX('Age profile'!$B$2:$B$61,B755)</f>
        <v/>
      </c>
      <c r="G755" s="45">
        <f>MIN(in_takeup_cap,INDEX('Age profile'!$N$2:$N$61,B755)*(1+in_takeup_growth)^(D755-1))</f>
        <v/>
      </c>
      <c r="H755" s="11">
        <f>MIN(in_approval_cap,in_approved_first*INDEX('Age profile'!$O$2:$O$61,B755)*(1+in_approval_growth)^(D755-1))</f>
        <v/>
      </c>
      <c r="I755" s="45">
        <f>G755*MIN(in_takeup_cap,INDEX('Age profile'!$O$2:$O$61,B755)*(1+in_approval_growth)^(D755-1))</f>
        <v/>
      </c>
      <c r="J755" s="40">
        <f>(J754-L754)*F755/F754</f>
        <v/>
      </c>
      <c r="K755" s="40">
        <f>(K754-M754)*F755/F754+SUMIFS(O751:O754,B751:B754,B755-1-d_T)*F755</f>
        <v/>
      </c>
      <c r="L755" s="40">
        <f>IF(B755&gt;=in_marketplace_from,J755*d_hz*G755*in_eligible*H755,0)</f>
        <v/>
      </c>
      <c r="M755" s="40">
        <f>IF(B755&gt;=in_marketplace_from,K755*d_hz*G755*in_eligible*in_approved_repeat,0)</f>
        <v/>
      </c>
      <c r="N755" s="40">
        <f>L755+M755</f>
        <v/>
      </c>
      <c r="O755" s="46">
        <f>N755/F755</f>
        <v/>
      </c>
      <c r="P755" s="40">
        <f>F755-J755-K755</f>
        <v/>
      </c>
      <c r="Q755" s="40">
        <f>IF(B755&gt;=in_marketplace_from,(J755+K755)*d_hz*G755,0)</f>
        <v/>
      </c>
      <c r="R755" s="40">
        <f>SUMIFS(N751:N796,B751:B796,"&gt;="&amp;(B755-d_T),B751:B796,"&lt;="&amp;(B755-1))</f>
        <v/>
      </c>
      <c r="S755" s="46">
        <f>(1-d_u)*S754+IF(d_T&gt;in_topup_lag,SUMIFS(O751:O796,B751:B796,B755-in_topup_lag)-d_udrop*SUMIFS(O751:O796,B751:B796,B755-d_T),0)</f>
        <v/>
      </c>
      <c r="T755" s="40">
        <f>F755*d_u*S755</f>
        <v/>
      </c>
      <c r="U755" s="9">
        <f>L755*in_ticket+M755*d_rep_ticket</f>
        <v/>
      </c>
      <c r="V755" s="9">
        <f>U755+T755*d_topup_amt</f>
        <v/>
      </c>
      <c r="W755" s="40">
        <f>N755+T755*d_topup_ratio</f>
        <v/>
      </c>
      <c r="X755" s="40">
        <f>SUMIFS(W751:W796,B751:B796,B755-in_dpd_lag)*d_cured</f>
        <v/>
      </c>
      <c r="Y755" s="40">
        <f>SUMIFS(W751:W796,B751:B796,B755-in_rec_lag)*d_recd</f>
        <v/>
      </c>
      <c r="Z755" s="40">
        <f>IF(AND(B755&gt;=in_marketplace_from,B755&lt;in_marketplace_from+in_card_months),in_card_share/in_card_months*F755*I755,IF(AND(B755&gt;=in_marketplace_from+in_card_months,B755&lt;in_marketplace_from+2*in_card_months),in_card_share*d_card_rem/in_card_months*F755*MIN(in_takeup_cap,(1+in_takeup_growth)^(D755-1))*MIN(in_takeup_cap,(1+in_approval_growth)^(D755-1)),0))</f>
        <v/>
      </c>
      <c r="AA755" s="14">
        <f>V755*in_fee*(1-in_taken_back)</f>
        <v/>
      </c>
      <c r="AB755" s="14">
        <f>SUMIFS(W751:W796,B751:B796,B755-in_dpd_lag)*d_dpd</f>
        <v/>
      </c>
      <c r="AC755" s="14">
        <f>SUMIFS(W751:W796,B751:B796,B755-in_rec_lag)*d_rec</f>
        <v/>
      </c>
      <c r="AD755" s="14">
        <f>Z755*in_card_fee</f>
        <v/>
      </c>
      <c r="AE755" s="40">
        <f>AE754*(1-IF(B754&gt;=in_marketplace_from,d_hz_hlth_small*G754,0))</f>
        <v/>
      </c>
      <c r="AF755" s="46">
        <f>AE755*IF(B755&gt;=in_marketplace_from,d_hz_hlth_small*G755,0)</f>
        <v/>
      </c>
      <c r="AG755" s="14">
        <f>F755*AF755*in_hlth_small_ticket*in_hlth_small_comm*in_ins_partner_share+F755*in_hlth_small_ticket*in_hlth_small_renew_comm*in_ins_partner_share*(in_hlth_small_renew^1*SUMIFS(AF751:AF796,B751:B796,B755-12)+in_hlth_small_renew^2*SUMIFS(AF751:AF796,B751:B796,B755-24)+in_hlth_small_renew^3*SUMIFS(AF751:AF796,B751:B796,B755-36)+in_hlth_small_renew^4*SUMIFS(AF751:AF796,B751:B796,B755-48))</f>
        <v/>
      </c>
      <c r="AH755" s="40">
        <f>AH754*(1-IF(B754&gt;=in_marketplace_from,d_hz_hlth_family*G754,0))</f>
        <v/>
      </c>
      <c r="AI755" s="46">
        <f>AH755*IF(B755&gt;=in_marketplace_from,d_hz_hlth_family*G755,0)</f>
        <v/>
      </c>
      <c r="AJ755" s="14">
        <f>F755*AI755*in_hlth_family_ticket*in_hlth_family_comm*in_ins_partner_share+F755*in_hlth_family_ticket*in_hlth_family_renew_comm*in_ins_partner_share*(in_hlth_family_renew^1*SUMIFS(AI751:AI796,B751:B796,B755-12)+in_hlth_family_renew^2*SUMIFS(AI751:AI796,B751:B796,B755-24)+in_hlth_family_renew^3*SUMIFS(AI751:AI796,B751:B796,B755-36)+in_hlth_family_renew^4*SUMIFS(AI751:AI796,B751:B796,B755-48))</f>
        <v/>
      </c>
      <c r="AK755" s="40">
        <f>AK754*(1-IF(B754&gt;=in_marketplace_from,d_hz_life_term*G754,0))</f>
        <v/>
      </c>
      <c r="AL755" s="46">
        <f>AK755*IF(B755&gt;=in_marketplace_from,d_hz_life_term*G755,0)</f>
        <v/>
      </c>
      <c r="AM755" s="14">
        <f>F755*AL755*in_life_term_ticket*in_life_term_comm*in_ins_partner_share+F755*in_life_term_ticket*in_life_term_renew_comm*in_ins_partner_share*(in_life_term_renew^1*SUMIFS(AL751:AL796,B751:B796,B755-12)+in_life_term_renew^2*SUMIFS(AL751:AL796,B751:B796,B755-24)+in_life_term_renew^3*SUMIFS(AL751:AL796,B751:B796,B755-36)+in_life_term_renew^4*SUMIFS(AL751:AL796,B751:B796,B755-48))</f>
        <v/>
      </c>
      <c r="AN755" s="40">
        <f>AN754*(1-IF(B754&gt;=in_marketplace_from,d_hz_accident*G754,0))</f>
        <v/>
      </c>
      <c r="AO755" s="46">
        <f>AN755*IF(B755&gt;=in_marketplace_from,d_hz_accident*G755,0)</f>
        <v/>
      </c>
      <c r="AP755" s="14">
        <f>F755*AO755*in_accident_ticket*in_accident_comm*in_ins_partner_share+F755*in_accident_ticket*in_accident_renew_comm*in_ins_partner_share*(in_accident_renew^1*SUMIFS(AO751:AO796,B751:B796,B755-12)+in_accident_renew^2*SUMIFS(AO751:AO796,B751:B796,B755-24)+in_accident_renew^3*SUMIFS(AO751:AO796,B751:B796,B755-36)+in_accident_renew^4*SUMIFS(AO751:AO796,B751:B796,B755-48))</f>
        <v/>
      </c>
      <c r="AQ755" s="40">
        <f>AQ754*(1-IF(B754&gt;=in_marketplace_from,d_hz_two_wheeler*G754,0))</f>
        <v/>
      </c>
      <c r="AR755" s="46">
        <f>AQ755*IF(B755&gt;=in_marketplace_from,d_hz_two_wheeler*G755,0)</f>
        <v/>
      </c>
      <c r="AS755" s="14">
        <f>F755*AR755*in_two_wheeler_ticket*in_two_wheeler_comm*in_ins_partner_share+F755*in_two_wheeler_ticket*in_two_wheeler_comm*in_ins_partner_share*(in_two_wheeler_renew^1*SUMIFS(AR751:AR796,B751:B796,B755-12)+in_two_wheeler_renew^2*SUMIFS(AR751:AR796,B751:B796,B755-24)+in_two_wheeler_renew^3*SUMIFS(AR751:AR796,B751:B796,B755-36)+in_two_wheeler_renew^4*SUMIFS(AR751:AR796,B751:B796,B755-48))</f>
        <v/>
      </c>
      <c r="AT755" s="40">
        <f>AT754*(1-IF(B754&gt;=in_marketplace_from,d_hz_device*G754,0))</f>
        <v/>
      </c>
      <c r="AU755" s="14">
        <f>F755*AT755*IF(B755&gt;=in_marketplace_from,d_hz_device*G755,0)*in_device_ticket*in_device_comm*in_ins_partner_share</f>
        <v/>
      </c>
      <c r="AV755" s="40">
        <f>AV754*(1-IF(B754&gt;=in_marketplace_from,d_hz_shop*G754,0))</f>
        <v/>
      </c>
      <c r="AW755" s="46">
        <f>AV755*IF(B755&gt;=in_marketplace_from,d_hz_shop*G755,0)</f>
        <v/>
      </c>
      <c r="AX755" s="14">
        <f>F755*AW755*in_shop_ticket*in_shop_comm*in_ins_partner_share+F755*in_shop_ticket*in_shop_renew_comm*in_ins_partner_share*(in_shop_renew^1*SUMIFS(AW751:AW796,B751:B796,B755-12)+in_shop_renew^2*SUMIFS(AW751:AW796,B751:B796,B755-24)+in_shop_renew^3*SUMIFS(AW751:AW796,B751:B796,B755-36)+in_shop_renew^4*SUMIFS(AW751:AW796,B751:B796,B755-48))</f>
        <v/>
      </c>
      <c r="AY755" s="40">
        <f>AY754*(1-IF(B754&gt;=in_marketplace_from,d_hz_sip*G754,0))</f>
        <v/>
      </c>
      <c r="AZ755" s="40">
        <f>AZ754*d_rho_sip+AY755*IF(B755&gt;=in_marketplace_from,d_hz_sip*G755,0)</f>
        <v/>
      </c>
      <c r="BA755" s="40">
        <f>d_rho_sip*(BA754+AZ754)</f>
        <v/>
      </c>
      <c r="BB755" s="14">
        <f>F755*in_sip_ticket*(BA755+0.5*AZ755)*in_sip_comm/12</f>
        <v/>
      </c>
      <c r="BC755" s="40">
        <f>BC754*(1-IF(B754&gt;=in_marketplace_from,d_hz_choti*G754,0))</f>
        <v/>
      </c>
      <c r="BD755" s="46">
        <f>BC755*IF(B755&gt;=in_marketplace_from,d_hz_choti*G755,0)</f>
        <v/>
      </c>
      <c r="BE755" s="14">
        <f>F755*SUMIFS(BD751:BD796,B751:B796,B755-in_choti_months)*in_choti_renew*in_choti_ticket</f>
        <v/>
      </c>
      <c r="BF755" s="40">
        <f>BF754*(1-IF(B754&gt;=in_marketplace_from,d_hz_nps*G754,0))</f>
        <v/>
      </c>
      <c r="BG755" s="14">
        <f>F755*BF755*IF(B755&gt;=in_marketplace_from,d_hz_nps*G755,0)*in_nps_ticket*in_nps_comm</f>
        <v/>
      </c>
      <c r="BH755" s="40">
        <f>BH754*(1-IF(B754&gt;=in_marketplace_from,d_hz_gold*G754,0))</f>
        <v/>
      </c>
      <c r="BI755" s="40">
        <f>BI754*d_rho_gold+BH755*IF(B755&gt;=in_marketplace_from,d_hz_gold*G755,0)</f>
        <v/>
      </c>
      <c r="BJ755" s="14">
        <f>F755*BI755*in_gold_ticket*in_gold_comm</f>
        <v/>
      </c>
      <c r="BK755" s="40">
        <f>BK754*(1-IF(B754&gt;=in_marketplace_from,d_hz_fd*G754,0))</f>
        <v/>
      </c>
      <c r="BL755" s="14">
        <f>F755*BK755*IF(B755&gt;=in_marketplace_from,d_hz_fd*G755,0)*in_fd_ticket*in_fd_comm</f>
        <v/>
      </c>
      <c r="BM755" s="40">
        <f>BM754*(1-IF(B754&gt;=in_marketplace_from,d_hz_recharge*G754,0))</f>
        <v/>
      </c>
      <c r="BN755" s="40">
        <f>BN754*d_rho_recharge+BM755*IF(B755&gt;=in_marketplace_from,d_hz_recharge*G755,0)</f>
        <v/>
      </c>
      <c r="BO755" s="14">
        <f>F755*BN755*in_recharge_ticket*in_recharge_comm/12</f>
        <v/>
      </c>
      <c r="BP755" s="40">
        <f>BP754*(1-IF(B754&gt;=in_marketplace_from,d_hz_bills*G754,0))</f>
        <v/>
      </c>
      <c r="BQ755" s="40">
        <f>BQ754*d_rho_bills+BP755*IF(B755&gt;=in_marketplace_from,d_hz_bills*G755,0)</f>
        <v/>
      </c>
      <c r="BR755" s="14">
        <f>F755*BQ755*in_bills_ticket*in_bills_comm/12</f>
        <v/>
      </c>
      <c r="BS755" s="40">
        <f>BS754*(1-IF(B754&gt;=in_marketplace_from,d_hz_loan_gold*G754,0))</f>
        <v/>
      </c>
      <c r="BT755" s="14">
        <f>F755*BS755*IF(B755&gt;=in_marketplace_from,d_hz_loan_gold*G755,0)*in_loan_gold_ticket*in_loan_gold_comm</f>
        <v/>
      </c>
      <c r="BU755" s="40">
        <f>BU754*(1-IF(B754&gt;=in_marketplace_from,d_hz_loan_cd*G754,0))</f>
        <v/>
      </c>
      <c r="BV755" s="14">
        <f>F755*BU755*IF(B755&gt;=in_marketplace_from,d_hz_loan_cd*G755,0)*in_loan_cd_ticket*in_loan_cd_comm</f>
        <v/>
      </c>
      <c r="BW755" s="40">
        <f>BW754*(1-IF(B754&gt;=in_marketplace_from,d_hz_loan_vehicle*G754,0))</f>
        <v/>
      </c>
      <c r="BX755" s="14">
        <f>F755*BW755*IF(B755&gt;=in_marketplace_from,d_hz_loan_vehicle*G755,0)*in_loan_vehicle_ticket*in_loan_vehicle_comm</f>
        <v/>
      </c>
      <c r="BY755" s="40">
        <f>BY754*(1-IF(B754&gt;=in_marketplace_from,d_hz_loan_home*G754,0)*BZ754)</f>
        <v/>
      </c>
      <c r="BZ755" s="11">
        <f>MIN(in_approval_cap,in_loan_home_approval*INDEX('Age profile'!$O$2:$O$61,B755)*(1+in_approval_growth)^(D755-1))</f>
        <v/>
      </c>
      <c r="CA755" s="14">
        <f>F755*BY755*IF(B755&gt;=in_marketplace_from,d_hz_loan_home*G755,0)*BZ755*in_loan_home_ticket*in_loan_home_comm</f>
        <v/>
      </c>
      <c r="CB755" s="40">
        <f>CB754*(1-IF(B754&gt;=in_marketplace_from,d_hz_loan_lap*G754,0)*CC754)</f>
        <v/>
      </c>
      <c r="CC755" s="11">
        <f>MIN(in_approval_cap,in_loan_lap_approval*INDEX('Age profile'!$O$2:$O$61,B755)*(1+in_approval_growth)^(D755-1))</f>
        <v/>
      </c>
      <c r="CD755" s="14">
        <f>F755*CB755*IF(B755&gt;=in_marketplace_from,d_hz_loan_lap*G755,0)*CC755*in_loan_lap_ticket*in_loan_lap_comm</f>
        <v/>
      </c>
      <c r="CE755" s="14">
        <f>AA755+AB755+AC755+AD755+AG755+AJ755+AM755+AP755+AS755+AU755+AX755+BB755+BE755+BG755+BJ755+BL755+BO755+BR755+BT755+BV755+BX755+CA755+CD755</f>
        <v/>
      </c>
    </row>
    <row r="756">
      <c r="A756" s="39" t="n">
        <v>15</v>
      </c>
      <c r="B756" s="39" t="n">
        <v>6</v>
      </c>
      <c r="C756" s="39">
        <f>A756+B756-1</f>
        <v/>
      </c>
      <c r="D756" s="39">
        <f>INT((C756-1)/12)+1</f>
        <v/>
      </c>
      <c r="E756" s="44">
        <f>INDEX(Monthly!$B$2:$B$61,A756)</f>
        <v/>
      </c>
      <c r="F756" s="44">
        <f>E756*INDEX('Age profile'!$B$2:$B$61,B756)</f>
        <v/>
      </c>
      <c r="G756" s="45">
        <f>MIN(in_takeup_cap,INDEX('Age profile'!$N$2:$N$61,B756)*(1+in_takeup_growth)^(D756-1))</f>
        <v/>
      </c>
      <c r="H756" s="11">
        <f>MIN(in_approval_cap,in_approved_first*INDEX('Age profile'!$O$2:$O$61,B756)*(1+in_approval_growth)^(D756-1))</f>
        <v/>
      </c>
      <c r="I756" s="45">
        <f>G756*MIN(in_takeup_cap,INDEX('Age profile'!$O$2:$O$61,B756)*(1+in_approval_growth)^(D756-1))</f>
        <v/>
      </c>
      <c r="J756" s="40">
        <f>(J755-L755)*F756/F755</f>
        <v/>
      </c>
      <c r="K756" s="40">
        <f>(K755-M755)*F756/F755+SUMIFS(O751:O755,B751:B755,B756-1-d_T)*F756</f>
        <v/>
      </c>
      <c r="L756" s="40">
        <f>IF(B756&gt;=in_marketplace_from,J756*d_hz*G756*in_eligible*H756,0)</f>
        <v/>
      </c>
      <c r="M756" s="40">
        <f>IF(B756&gt;=in_marketplace_from,K756*d_hz*G756*in_eligible*in_approved_repeat,0)</f>
        <v/>
      </c>
      <c r="N756" s="40">
        <f>L756+M756</f>
        <v/>
      </c>
      <c r="O756" s="46">
        <f>N756/F756</f>
        <v/>
      </c>
      <c r="P756" s="40">
        <f>F756-J756-K756</f>
        <v/>
      </c>
      <c r="Q756" s="40">
        <f>IF(B756&gt;=in_marketplace_from,(J756+K756)*d_hz*G756,0)</f>
        <v/>
      </c>
      <c r="R756" s="40">
        <f>SUMIFS(N751:N796,B751:B796,"&gt;="&amp;(B756-d_T),B751:B796,"&lt;="&amp;(B756-1))</f>
        <v/>
      </c>
      <c r="S756" s="46">
        <f>(1-d_u)*S755+IF(d_T&gt;in_topup_lag,SUMIFS(O751:O796,B751:B796,B756-in_topup_lag)-d_udrop*SUMIFS(O751:O796,B751:B796,B756-d_T),0)</f>
        <v/>
      </c>
      <c r="T756" s="40">
        <f>F756*d_u*S756</f>
        <v/>
      </c>
      <c r="U756" s="9">
        <f>L756*in_ticket+M756*d_rep_ticket</f>
        <v/>
      </c>
      <c r="V756" s="9">
        <f>U756+T756*d_topup_amt</f>
        <v/>
      </c>
      <c r="W756" s="40">
        <f>N756+T756*d_topup_ratio</f>
        <v/>
      </c>
      <c r="X756" s="40">
        <f>SUMIFS(W751:W796,B751:B796,B756-in_dpd_lag)*d_cured</f>
        <v/>
      </c>
      <c r="Y756" s="40">
        <f>SUMIFS(W751:W796,B751:B796,B756-in_rec_lag)*d_recd</f>
        <v/>
      </c>
      <c r="Z756" s="40">
        <f>IF(AND(B756&gt;=in_marketplace_from,B756&lt;in_marketplace_from+in_card_months),in_card_share/in_card_months*F756*I756,IF(AND(B756&gt;=in_marketplace_from+in_card_months,B756&lt;in_marketplace_from+2*in_card_months),in_card_share*d_card_rem/in_card_months*F756*MIN(in_takeup_cap,(1+in_takeup_growth)^(D756-1))*MIN(in_takeup_cap,(1+in_approval_growth)^(D756-1)),0))</f>
        <v/>
      </c>
      <c r="AA756" s="14">
        <f>V756*in_fee*(1-in_taken_back)</f>
        <v/>
      </c>
      <c r="AB756" s="14">
        <f>SUMIFS(W751:W796,B751:B796,B756-in_dpd_lag)*d_dpd</f>
        <v/>
      </c>
      <c r="AC756" s="14">
        <f>SUMIFS(W751:W796,B751:B796,B756-in_rec_lag)*d_rec</f>
        <v/>
      </c>
      <c r="AD756" s="14">
        <f>Z756*in_card_fee</f>
        <v/>
      </c>
      <c r="AE756" s="40">
        <f>AE755*(1-IF(B755&gt;=in_marketplace_from,d_hz_hlth_small*G755,0))</f>
        <v/>
      </c>
      <c r="AF756" s="46">
        <f>AE756*IF(B756&gt;=in_marketplace_from,d_hz_hlth_small*G756,0)</f>
        <v/>
      </c>
      <c r="AG756" s="14">
        <f>F756*AF756*in_hlth_small_ticket*in_hlth_small_comm*in_ins_partner_share+F756*in_hlth_small_ticket*in_hlth_small_renew_comm*in_ins_partner_share*(in_hlth_small_renew^1*SUMIFS(AF751:AF796,B751:B796,B756-12)+in_hlth_small_renew^2*SUMIFS(AF751:AF796,B751:B796,B756-24)+in_hlth_small_renew^3*SUMIFS(AF751:AF796,B751:B796,B756-36)+in_hlth_small_renew^4*SUMIFS(AF751:AF796,B751:B796,B756-48))</f>
        <v/>
      </c>
      <c r="AH756" s="40">
        <f>AH755*(1-IF(B755&gt;=in_marketplace_from,d_hz_hlth_family*G755,0))</f>
        <v/>
      </c>
      <c r="AI756" s="46">
        <f>AH756*IF(B756&gt;=in_marketplace_from,d_hz_hlth_family*G756,0)</f>
        <v/>
      </c>
      <c r="AJ756" s="14">
        <f>F756*AI756*in_hlth_family_ticket*in_hlth_family_comm*in_ins_partner_share+F756*in_hlth_family_ticket*in_hlth_family_renew_comm*in_ins_partner_share*(in_hlth_family_renew^1*SUMIFS(AI751:AI796,B751:B796,B756-12)+in_hlth_family_renew^2*SUMIFS(AI751:AI796,B751:B796,B756-24)+in_hlth_family_renew^3*SUMIFS(AI751:AI796,B751:B796,B756-36)+in_hlth_family_renew^4*SUMIFS(AI751:AI796,B751:B796,B756-48))</f>
        <v/>
      </c>
      <c r="AK756" s="40">
        <f>AK755*(1-IF(B755&gt;=in_marketplace_from,d_hz_life_term*G755,0))</f>
        <v/>
      </c>
      <c r="AL756" s="46">
        <f>AK756*IF(B756&gt;=in_marketplace_from,d_hz_life_term*G756,0)</f>
        <v/>
      </c>
      <c r="AM756" s="14">
        <f>F756*AL756*in_life_term_ticket*in_life_term_comm*in_ins_partner_share+F756*in_life_term_ticket*in_life_term_renew_comm*in_ins_partner_share*(in_life_term_renew^1*SUMIFS(AL751:AL796,B751:B796,B756-12)+in_life_term_renew^2*SUMIFS(AL751:AL796,B751:B796,B756-24)+in_life_term_renew^3*SUMIFS(AL751:AL796,B751:B796,B756-36)+in_life_term_renew^4*SUMIFS(AL751:AL796,B751:B796,B756-48))</f>
        <v/>
      </c>
      <c r="AN756" s="40">
        <f>AN755*(1-IF(B755&gt;=in_marketplace_from,d_hz_accident*G755,0))</f>
        <v/>
      </c>
      <c r="AO756" s="46">
        <f>AN756*IF(B756&gt;=in_marketplace_from,d_hz_accident*G756,0)</f>
        <v/>
      </c>
      <c r="AP756" s="14">
        <f>F756*AO756*in_accident_ticket*in_accident_comm*in_ins_partner_share+F756*in_accident_ticket*in_accident_renew_comm*in_ins_partner_share*(in_accident_renew^1*SUMIFS(AO751:AO796,B751:B796,B756-12)+in_accident_renew^2*SUMIFS(AO751:AO796,B751:B796,B756-24)+in_accident_renew^3*SUMIFS(AO751:AO796,B751:B796,B756-36)+in_accident_renew^4*SUMIFS(AO751:AO796,B751:B796,B756-48))</f>
        <v/>
      </c>
      <c r="AQ756" s="40">
        <f>AQ755*(1-IF(B755&gt;=in_marketplace_from,d_hz_two_wheeler*G755,0))</f>
        <v/>
      </c>
      <c r="AR756" s="46">
        <f>AQ756*IF(B756&gt;=in_marketplace_from,d_hz_two_wheeler*G756,0)</f>
        <v/>
      </c>
      <c r="AS756" s="14">
        <f>F756*AR756*in_two_wheeler_ticket*in_two_wheeler_comm*in_ins_partner_share+F756*in_two_wheeler_ticket*in_two_wheeler_comm*in_ins_partner_share*(in_two_wheeler_renew^1*SUMIFS(AR751:AR796,B751:B796,B756-12)+in_two_wheeler_renew^2*SUMIFS(AR751:AR796,B751:B796,B756-24)+in_two_wheeler_renew^3*SUMIFS(AR751:AR796,B751:B796,B756-36)+in_two_wheeler_renew^4*SUMIFS(AR751:AR796,B751:B796,B756-48))</f>
        <v/>
      </c>
      <c r="AT756" s="40">
        <f>AT755*(1-IF(B755&gt;=in_marketplace_from,d_hz_device*G755,0))</f>
        <v/>
      </c>
      <c r="AU756" s="14">
        <f>F756*AT756*IF(B756&gt;=in_marketplace_from,d_hz_device*G756,0)*in_device_ticket*in_device_comm*in_ins_partner_share</f>
        <v/>
      </c>
      <c r="AV756" s="40">
        <f>AV755*(1-IF(B755&gt;=in_marketplace_from,d_hz_shop*G755,0))</f>
        <v/>
      </c>
      <c r="AW756" s="46">
        <f>AV756*IF(B756&gt;=in_marketplace_from,d_hz_shop*G756,0)</f>
        <v/>
      </c>
      <c r="AX756" s="14">
        <f>F756*AW756*in_shop_ticket*in_shop_comm*in_ins_partner_share+F756*in_shop_ticket*in_shop_renew_comm*in_ins_partner_share*(in_shop_renew^1*SUMIFS(AW751:AW796,B751:B796,B756-12)+in_shop_renew^2*SUMIFS(AW751:AW796,B751:B796,B756-24)+in_shop_renew^3*SUMIFS(AW751:AW796,B751:B796,B756-36)+in_shop_renew^4*SUMIFS(AW751:AW796,B751:B796,B756-48))</f>
        <v/>
      </c>
      <c r="AY756" s="40">
        <f>AY755*(1-IF(B755&gt;=in_marketplace_from,d_hz_sip*G755,0))</f>
        <v/>
      </c>
      <c r="AZ756" s="40">
        <f>AZ755*d_rho_sip+AY756*IF(B756&gt;=in_marketplace_from,d_hz_sip*G756,0)</f>
        <v/>
      </c>
      <c r="BA756" s="40">
        <f>d_rho_sip*(BA755+AZ755)</f>
        <v/>
      </c>
      <c r="BB756" s="14">
        <f>F756*in_sip_ticket*(BA756+0.5*AZ756)*in_sip_comm/12</f>
        <v/>
      </c>
      <c r="BC756" s="40">
        <f>BC755*(1-IF(B755&gt;=in_marketplace_from,d_hz_choti*G755,0))</f>
        <v/>
      </c>
      <c r="BD756" s="46">
        <f>BC756*IF(B756&gt;=in_marketplace_from,d_hz_choti*G756,0)</f>
        <v/>
      </c>
      <c r="BE756" s="14">
        <f>F756*SUMIFS(BD751:BD796,B751:B796,B756-in_choti_months)*in_choti_renew*in_choti_ticket</f>
        <v/>
      </c>
      <c r="BF756" s="40">
        <f>BF755*(1-IF(B755&gt;=in_marketplace_from,d_hz_nps*G755,0))</f>
        <v/>
      </c>
      <c r="BG756" s="14">
        <f>F756*BF756*IF(B756&gt;=in_marketplace_from,d_hz_nps*G756,0)*in_nps_ticket*in_nps_comm</f>
        <v/>
      </c>
      <c r="BH756" s="40">
        <f>BH755*(1-IF(B755&gt;=in_marketplace_from,d_hz_gold*G755,0))</f>
        <v/>
      </c>
      <c r="BI756" s="40">
        <f>BI755*d_rho_gold+BH756*IF(B756&gt;=in_marketplace_from,d_hz_gold*G756,0)</f>
        <v/>
      </c>
      <c r="BJ756" s="14">
        <f>F756*BI756*in_gold_ticket*in_gold_comm</f>
        <v/>
      </c>
      <c r="BK756" s="40">
        <f>BK755*(1-IF(B755&gt;=in_marketplace_from,d_hz_fd*G755,0))</f>
        <v/>
      </c>
      <c r="BL756" s="14">
        <f>F756*BK756*IF(B756&gt;=in_marketplace_from,d_hz_fd*G756,0)*in_fd_ticket*in_fd_comm</f>
        <v/>
      </c>
      <c r="BM756" s="40">
        <f>BM755*(1-IF(B755&gt;=in_marketplace_from,d_hz_recharge*G755,0))</f>
        <v/>
      </c>
      <c r="BN756" s="40">
        <f>BN755*d_rho_recharge+BM756*IF(B756&gt;=in_marketplace_from,d_hz_recharge*G756,0)</f>
        <v/>
      </c>
      <c r="BO756" s="14">
        <f>F756*BN756*in_recharge_ticket*in_recharge_comm/12</f>
        <v/>
      </c>
      <c r="BP756" s="40">
        <f>BP755*(1-IF(B755&gt;=in_marketplace_from,d_hz_bills*G755,0))</f>
        <v/>
      </c>
      <c r="BQ756" s="40">
        <f>BQ755*d_rho_bills+BP756*IF(B756&gt;=in_marketplace_from,d_hz_bills*G756,0)</f>
        <v/>
      </c>
      <c r="BR756" s="14">
        <f>F756*BQ756*in_bills_ticket*in_bills_comm/12</f>
        <v/>
      </c>
      <c r="BS756" s="40">
        <f>BS755*(1-IF(B755&gt;=in_marketplace_from,d_hz_loan_gold*G755,0))</f>
        <v/>
      </c>
      <c r="BT756" s="14">
        <f>F756*BS756*IF(B756&gt;=in_marketplace_from,d_hz_loan_gold*G756,0)*in_loan_gold_ticket*in_loan_gold_comm</f>
        <v/>
      </c>
      <c r="BU756" s="40">
        <f>BU755*(1-IF(B755&gt;=in_marketplace_from,d_hz_loan_cd*G755,0))</f>
        <v/>
      </c>
      <c r="BV756" s="14">
        <f>F756*BU756*IF(B756&gt;=in_marketplace_from,d_hz_loan_cd*G756,0)*in_loan_cd_ticket*in_loan_cd_comm</f>
        <v/>
      </c>
      <c r="BW756" s="40">
        <f>BW755*(1-IF(B755&gt;=in_marketplace_from,d_hz_loan_vehicle*G755,0))</f>
        <v/>
      </c>
      <c r="BX756" s="14">
        <f>F756*BW756*IF(B756&gt;=in_marketplace_from,d_hz_loan_vehicle*G756,0)*in_loan_vehicle_ticket*in_loan_vehicle_comm</f>
        <v/>
      </c>
      <c r="BY756" s="40">
        <f>BY755*(1-IF(B755&gt;=in_marketplace_from,d_hz_loan_home*G755,0)*BZ755)</f>
        <v/>
      </c>
      <c r="BZ756" s="11">
        <f>MIN(in_approval_cap,in_loan_home_approval*INDEX('Age profile'!$O$2:$O$61,B756)*(1+in_approval_growth)^(D756-1))</f>
        <v/>
      </c>
      <c r="CA756" s="14">
        <f>F756*BY756*IF(B756&gt;=in_marketplace_from,d_hz_loan_home*G756,0)*BZ756*in_loan_home_ticket*in_loan_home_comm</f>
        <v/>
      </c>
      <c r="CB756" s="40">
        <f>CB755*(1-IF(B755&gt;=in_marketplace_from,d_hz_loan_lap*G755,0)*CC755)</f>
        <v/>
      </c>
      <c r="CC756" s="11">
        <f>MIN(in_approval_cap,in_loan_lap_approval*INDEX('Age profile'!$O$2:$O$61,B756)*(1+in_approval_growth)^(D756-1))</f>
        <v/>
      </c>
      <c r="CD756" s="14">
        <f>F756*CB756*IF(B756&gt;=in_marketplace_from,d_hz_loan_lap*G756,0)*CC756*in_loan_lap_ticket*in_loan_lap_comm</f>
        <v/>
      </c>
      <c r="CE756" s="14">
        <f>AA756+AB756+AC756+AD756+AG756+AJ756+AM756+AP756+AS756+AU756+AX756+BB756+BE756+BG756+BJ756+BL756+BO756+BR756+BT756+BV756+BX756+CA756+CD756</f>
        <v/>
      </c>
    </row>
    <row r="757">
      <c r="A757" s="39" t="n">
        <v>15</v>
      </c>
      <c r="B757" s="39" t="n">
        <v>7</v>
      </c>
      <c r="C757" s="39">
        <f>A757+B757-1</f>
        <v/>
      </c>
      <c r="D757" s="39">
        <f>INT((C757-1)/12)+1</f>
        <v/>
      </c>
      <c r="E757" s="44">
        <f>INDEX(Monthly!$B$2:$B$61,A757)</f>
        <v/>
      </c>
      <c r="F757" s="44">
        <f>E757*INDEX('Age profile'!$B$2:$B$61,B757)</f>
        <v/>
      </c>
      <c r="G757" s="45">
        <f>MIN(in_takeup_cap,INDEX('Age profile'!$N$2:$N$61,B757)*(1+in_takeup_growth)^(D757-1))</f>
        <v/>
      </c>
      <c r="H757" s="11">
        <f>MIN(in_approval_cap,in_approved_first*INDEX('Age profile'!$O$2:$O$61,B757)*(1+in_approval_growth)^(D757-1))</f>
        <v/>
      </c>
      <c r="I757" s="45">
        <f>G757*MIN(in_takeup_cap,INDEX('Age profile'!$O$2:$O$61,B757)*(1+in_approval_growth)^(D757-1))</f>
        <v/>
      </c>
      <c r="J757" s="40">
        <f>(J756-L756)*F757/F756</f>
        <v/>
      </c>
      <c r="K757" s="40">
        <f>(K756-M756)*F757/F756+SUMIFS(O751:O756,B751:B756,B757-1-d_T)*F757</f>
        <v/>
      </c>
      <c r="L757" s="40">
        <f>IF(B757&gt;=in_marketplace_from,J757*d_hz*G757*in_eligible*H757,0)</f>
        <v/>
      </c>
      <c r="M757" s="40">
        <f>IF(B757&gt;=in_marketplace_from,K757*d_hz*G757*in_eligible*in_approved_repeat,0)</f>
        <v/>
      </c>
      <c r="N757" s="40">
        <f>L757+M757</f>
        <v/>
      </c>
      <c r="O757" s="46">
        <f>N757/F757</f>
        <v/>
      </c>
      <c r="P757" s="40">
        <f>F757-J757-K757</f>
        <v/>
      </c>
      <c r="Q757" s="40">
        <f>IF(B757&gt;=in_marketplace_from,(J757+K757)*d_hz*G757,0)</f>
        <v/>
      </c>
      <c r="R757" s="40">
        <f>SUMIFS(N751:N796,B751:B796,"&gt;="&amp;(B757-d_T),B751:B796,"&lt;="&amp;(B757-1))</f>
        <v/>
      </c>
      <c r="S757" s="46">
        <f>(1-d_u)*S756+IF(d_T&gt;in_topup_lag,SUMIFS(O751:O796,B751:B796,B757-in_topup_lag)-d_udrop*SUMIFS(O751:O796,B751:B796,B757-d_T),0)</f>
        <v/>
      </c>
      <c r="T757" s="40">
        <f>F757*d_u*S757</f>
        <v/>
      </c>
      <c r="U757" s="9">
        <f>L757*in_ticket+M757*d_rep_ticket</f>
        <v/>
      </c>
      <c r="V757" s="9">
        <f>U757+T757*d_topup_amt</f>
        <v/>
      </c>
      <c r="W757" s="40">
        <f>N757+T757*d_topup_ratio</f>
        <v/>
      </c>
      <c r="X757" s="40">
        <f>SUMIFS(W751:W796,B751:B796,B757-in_dpd_lag)*d_cured</f>
        <v/>
      </c>
      <c r="Y757" s="40">
        <f>SUMIFS(W751:W796,B751:B796,B757-in_rec_lag)*d_recd</f>
        <v/>
      </c>
      <c r="Z757" s="40">
        <f>IF(AND(B757&gt;=in_marketplace_from,B757&lt;in_marketplace_from+in_card_months),in_card_share/in_card_months*F757*I757,IF(AND(B757&gt;=in_marketplace_from+in_card_months,B757&lt;in_marketplace_from+2*in_card_months),in_card_share*d_card_rem/in_card_months*F757*MIN(in_takeup_cap,(1+in_takeup_growth)^(D757-1))*MIN(in_takeup_cap,(1+in_approval_growth)^(D757-1)),0))</f>
        <v/>
      </c>
      <c r="AA757" s="14">
        <f>V757*in_fee*(1-in_taken_back)</f>
        <v/>
      </c>
      <c r="AB757" s="14">
        <f>SUMIFS(W751:W796,B751:B796,B757-in_dpd_lag)*d_dpd</f>
        <v/>
      </c>
      <c r="AC757" s="14">
        <f>SUMIFS(W751:W796,B751:B796,B757-in_rec_lag)*d_rec</f>
        <v/>
      </c>
      <c r="AD757" s="14">
        <f>Z757*in_card_fee</f>
        <v/>
      </c>
      <c r="AE757" s="40">
        <f>AE756*(1-IF(B756&gt;=in_marketplace_from,d_hz_hlth_small*G756,0))</f>
        <v/>
      </c>
      <c r="AF757" s="46">
        <f>AE757*IF(B757&gt;=in_marketplace_from,d_hz_hlth_small*G757,0)</f>
        <v/>
      </c>
      <c r="AG757" s="14">
        <f>F757*AF757*in_hlth_small_ticket*in_hlth_small_comm*in_ins_partner_share+F757*in_hlth_small_ticket*in_hlth_small_renew_comm*in_ins_partner_share*(in_hlth_small_renew^1*SUMIFS(AF751:AF796,B751:B796,B757-12)+in_hlth_small_renew^2*SUMIFS(AF751:AF796,B751:B796,B757-24)+in_hlth_small_renew^3*SUMIFS(AF751:AF796,B751:B796,B757-36)+in_hlth_small_renew^4*SUMIFS(AF751:AF796,B751:B796,B757-48))</f>
        <v/>
      </c>
      <c r="AH757" s="40">
        <f>AH756*(1-IF(B756&gt;=in_marketplace_from,d_hz_hlth_family*G756,0))</f>
        <v/>
      </c>
      <c r="AI757" s="46">
        <f>AH757*IF(B757&gt;=in_marketplace_from,d_hz_hlth_family*G757,0)</f>
        <v/>
      </c>
      <c r="AJ757" s="14">
        <f>F757*AI757*in_hlth_family_ticket*in_hlth_family_comm*in_ins_partner_share+F757*in_hlth_family_ticket*in_hlth_family_renew_comm*in_ins_partner_share*(in_hlth_family_renew^1*SUMIFS(AI751:AI796,B751:B796,B757-12)+in_hlth_family_renew^2*SUMIFS(AI751:AI796,B751:B796,B757-24)+in_hlth_family_renew^3*SUMIFS(AI751:AI796,B751:B796,B757-36)+in_hlth_family_renew^4*SUMIFS(AI751:AI796,B751:B796,B757-48))</f>
        <v/>
      </c>
      <c r="AK757" s="40">
        <f>AK756*(1-IF(B756&gt;=in_marketplace_from,d_hz_life_term*G756,0))</f>
        <v/>
      </c>
      <c r="AL757" s="46">
        <f>AK757*IF(B757&gt;=in_marketplace_from,d_hz_life_term*G757,0)</f>
        <v/>
      </c>
      <c r="AM757" s="14">
        <f>F757*AL757*in_life_term_ticket*in_life_term_comm*in_ins_partner_share+F757*in_life_term_ticket*in_life_term_renew_comm*in_ins_partner_share*(in_life_term_renew^1*SUMIFS(AL751:AL796,B751:B796,B757-12)+in_life_term_renew^2*SUMIFS(AL751:AL796,B751:B796,B757-24)+in_life_term_renew^3*SUMIFS(AL751:AL796,B751:B796,B757-36)+in_life_term_renew^4*SUMIFS(AL751:AL796,B751:B796,B757-48))</f>
        <v/>
      </c>
      <c r="AN757" s="40">
        <f>AN756*(1-IF(B756&gt;=in_marketplace_from,d_hz_accident*G756,0))</f>
        <v/>
      </c>
      <c r="AO757" s="46">
        <f>AN757*IF(B757&gt;=in_marketplace_from,d_hz_accident*G757,0)</f>
        <v/>
      </c>
      <c r="AP757" s="14">
        <f>F757*AO757*in_accident_ticket*in_accident_comm*in_ins_partner_share+F757*in_accident_ticket*in_accident_renew_comm*in_ins_partner_share*(in_accident_renew^1*SUMIFS(AO751:AO796,B751:B796,B757-12)+in_accident_renew^2*SUMIFS(AO751:AO796,B751:B796,B757-24)+in_accident_renew^3*SUMIFS(AO751:AO796,B751:B796,B757-36)+in_accident_renew^4*SUMIFS(AO751:AO796,B751:B796,B757-48))</f>
        <v/>
      </c>
      <c r="AQ757" s="40">
        <f>AQ756*(1-IF(B756&gt;=in_marketplace_from,d_hz_two_wheeler*G756,0))</f>
        <v/>
      </c>
      <c r="AR757" s="46">
        <f>AQ757*IF(B757&gt;=in_marketplace_from,d_hz_two_wheeler*G757,0)</f>
        <v/>
      </c>
      <c r="AS757" s="14">
        <f>F757*AR757*in_two_wheeler_ticket*in_two_wheeler_comm*in_ins_partner_share+F757*in_two_wheeler_ticket*in_two_wheeler_comm*in_ins_partner_share*(in_two_wheeler_renew^1*SUMIFS(AR751:AR796,B751:B796,B757-12)+in_two_wheeler_renew^2*SUMIFS(AR751:AR796,B751:B796,B757-24)+in_two_wheeler_renew^3*SUMIFS(AR751:AR796,B751:B796,B757-36)+in_two_wheeler_renew^4*SUMIFS(AR751:AR796,B751:B796,B757-48))</f>
        <v/>
      </c>
      <c r="AT757" s="40">
        <f>AT756*(1-IF(B756&gt;=in_marketplace_from,d_hz_device*G756,0))</f>
        <v/>
      </c>
      <c r="AU757" s="14">
        <f>F757*AT757*IF(B757&gt;=in_marketplace_from,d_hz_device*G757,0)*in_device_ticket*in_device_comm*in_ins_partner_share</f>
        <v/>
      </c>
      <c r="AV757" s="40">
        <f>AV756*(1-IF(B756&gt;=in_marketplace_from,d_hz_shop*G756,0))</f>
        <v/>
      </c>
      <c r="AW757" s="46">
        <f>AV757*IF(B757&gt;=in_marketplace_from,d_hz_shop*G757,0)</f>
        <v/>
      </c>
      <c r="AX757" s="14">
        <f>F757*AW757*in_shop_ticket*in_shop_comm*in_ins_partner_share+F757*in_shop_ticket*in_shop_renew_comm*in_ins_partner_share*(in_shop_renew^1*SUMIFS(AW751:AW796,B751:B796,B757-12)+in_shop_renew^2*SUMIFS(AW751:AW796,B751:B796,B757-24)+in_shop_renew^3*SUMIFS(AW751:AW796,B751:B796,B757-36)+in_shop_renew^4*SUMIFS(AW751:AW796,B751:B796,B757-48))</f>
        <v/>
      </c>
      <c r="AY757" s="40">
        <f>AY756*(1-IF(B756&gt;=in_marketplace_from,d_hz_sip*G756,0))</f>
        <v/>
      </c>
      <c r="AZ757" s="40">
        <f>AZ756*d_rho_sip+AY757*IF(B757&gt;=in_marketplace_from,d_hz_sip*G757,0)</f>
        <v/>
      </c>
      <c r="BA757" s="40">
        <f>d_rho_sip*(BA756+AZ756)</f>
        <v/>
      </c>
      <c r="BB757" s="14">
        <f>F757*in_sip_ticket*(BA757+0.5*AZ757)*in_sip_comm/12</f>
        <v/>
      </c>
      <c r="BC757" s="40">
        <f>BC756*(1-IF(B756&gt;=in_marketplace_from,d_hz_choti*G756,0))</f>
        <v/>
      </c>
      <c r="BD757" s="46">
        <f>BC757*IF(B757&gt;=in_marketplace_from,d_hz_choti*G757,0)</f>
        <v/>
      </c>
      <c r="BE757" s="14">
        <f>F757*SUMIFS(BD751:BD796,B751:B796,B757-in_choti_months)*in_choti_renew*in_choti_ticket</f>
        <v/>
      </c>
      <c r="BF757" s="40">
        <f>BF756*(1-IF(B756&gt;=in_marketplace_from,d_hz_nps*G756,0))</f>
        <v/>
      </c>
      <c r="BG757" s="14">
        <f>F757*BF757*IF(B757&gt;=in_marketplace_from,d_hz_nps*G757,0)*in_nps_ticket*in_nps_comm</f>
        <v/>
      </c>
      <c r="BH757" s="40">
        <f>BH756*(1-IF(B756&gt;=in_marketplace_from,d_hz_gold*G756,0))</f>
        <v/>
      </c>
      <c r="BI757" s="40">
        <f>BI756*d_rho_gold+BH757*IF(B757&gt;=in_marketplace_from,d_hz_gold*G757,0)</f>
        <v/>
      </c>
      <c r="BJ757" s="14">
        <f>F757*BI757*in_gold_ticket*in_gold_comm</f>
        <v/>
      </c>
      <c r="BK757" s="40">
        <f>BK756*(1-IF(B756&gt;=in_marketplace_from,d_hz_fd*G756,0))</f>
        <v/>
      </c>
      <c r="BL757" s="14">
        <f>F757*BK757*IF(B757&gt;=in_marketplace_from,d_hz_fd*G757,0)*in_fd_ticket*in_fd_comm</f>
        <v/>
      </c>
      <c r="BM757" s="40">
        <f>BM756*(1-IF(B756&gt;=in_marketplace_from,d_hz_recharge*G756,0))</f>
        <v/>
      </c>
      <c r="BN757" s="40">
        <f>BN756*d_rho_recharge+BM757*IF(B757&gt;=in_marketplace_from,d_hz_recharge*G757,0)</f>
        <v/>
      </c>
      <c r="BO757" s="14">
        <f>F757*BN757*in_recharge_ticket*in_recharge_comm/12</f>
        <v/>
      </c>
      <c r="BP757" s="40">
        <f>BP756*(1-IF(B756&gt;=in_marketplace_from,d_hz_bills*G756,0))</f>
        <v/>
      </c>
      <c r="BQ757" s="40">
        <f>BQ756*d_rho_bills+BP757*IF(B757&gt;=in_marketplace_from,d_hz_bills*G757,0)</f>
        <v/>
      </c>
      <c r="BR757" s="14">
        <f>F757*BQ757*in_bills_ticket*in_bills_comm/12</f>
        <v/>
      </c>
      <c r="BS757" s="40">
        <f>BS756*(1-IF(B756&gt;=in_marketplace_from,d_hz_loan_gold*G756,0))</f>
        <v/>
      </c>
      <c r="BT757" s="14">
        <f>F757*BS757*IF(B757&gt;=in_marketplace_from,d_hz_loan_gold*G757,0)*in_loan_gold_ticket*in_loan_gold_comm</f>
        <v/>
      </c>
      <c r="BU757" s="40">
        <f>BU756*(1-IF(B756&gt;=in_marketplace_from,d_hz_loan_cd*G756,0))</f>
        <v/>
      </c>
      <c r="BV757" s="14">
        <f>F757*BU757*IF(B757&gt;=in_marketplace_from,d_hz_loan_cd*G757,0)*in_loan_cd_ticket*in_loan_cd_comm</f>
        <v/>
      </c>
      <c r="BW757" s="40">
        <f>BW756*(1-IF(B756&gt;=in_marketplace_from,d_hz_loan_vehicle*G756,0))</f>
        <v/>
      </c>
      <c r="BX757" s="14">
        <f>F757*BW757*IF(B757&gt;=in_marketplace_from,d_hz_loan_vehicle*G757,0)*in_loan_vehicle_ticket*in_loan_vehicle_comm</f>
        <v/>
      </c>
      <c r="BY757" s="40">
        <f>BY756*(1-IF(B756&gt;=in_marketplace_from,d_hz_loan_home*G756,0)*BZ756)</f>
        <v/>
      </c>
      <c r="BZ757" s="11">
        <f>MIN(in_approval_cap,in_loan_home_approval*INDEX('Age profile'!$O$2:$O$61,B757)*(1+in_approval_growth)^(D757-1))</f>
        <v/>
      </c>
      <c r="CA757" s="14">
        <f>F757*BY757*IF(B757&gt;=in_marketplace_from,d_hz_loan_home*G757,0)*BZ757*in_loan_home_ticket*in_loan_home_comm</f>
        <v/>
      </c>
      <c r="CB757" s="40">
        <f>CB756*(1-IF(B756&gt;=in_marketplace_from,d_hz_loan_lap*G756,0)*CC756)</f>
        <v/>
      </c>
      <c r="CC757" s="11">
        <f>MIN(in_approval_cap,in_loan_lap_approval*INDEX('Age profile'!$O$2:$O$61,B757)*(1+in_approval_growth)^(D757-1))</f>
        <v/>
      </c>
      <c r="CD757" s="14">
        <f>F757*CB757*IF(B757&gt;=in_marketplace_from,d_hz_loan_lap*G757,0)*CC757*in_loan_lap_ticket*in_loan_lap_comm</f>
        <v/>
      </c>
      <c r="CE757" s="14">
        <f>AA757+AB757+AC757+AD757+AG757+AJ757+AM757+AP757+AS757+AU757+AX757+BB757+BE757+BG757+BJ757+BL757+BO757+BR757+BT757+BV757+BX757+CA757+CD757</f>
        <v/>
      </c>
    </row>
    <row r="758">
      <c r="A758" s="39" t="n">
        <v>15</v>
      </c>
      <c r="B758" s="39" t="n">
        <v>8</v>
      </c>
      <c r="C758" s="39">
        <f>A758+B758-1</f>
        <v/>
      </c>
      <c r="D758" s="39">
        <f>INT((C758-1)/12)+1</f>
        <v/>
      </c>
      <c r="E758" s="44">
        <f>INDEX(Monthly!$B$2:$B$61,A758)</f>
        <v/>
      </c>
      <c r="F758" s="44">
        <f>E758*INDEX('Age profile'!$B$2:$B$61,B758)</f>
        <v/>
      </c>
      <c r="G758" s="45">
        <f>MIN(in_takeup_cap,INDEX('Age profile'!$N$2:$N$61,B758)*(1+in_takeup_growth)^(D758-1))</f>
        <v/>
      </c>
      <c r="H758" s="11">
        <f>MIN(in_approval_cap,in_approved_first*INDEX('Age profile'!$O$2:$O$61,B758)*(1+in_approval_growth)^(D758-1))</f>
        <v/>
      </c>
      <c r="I758" s="45">
        <f>G758*MIN(in_takeup_cap,INDEX('Age profile'!$O$2:$O$61,B758)*(1+in_approval_growth)^(D758-1))</f>
        <v/>
      </c>
      <c r="J758" s="40">
        <f>(J757-L757)*F758/F757</f>
        <v/>
      </c>
      <c r="K758" s="40">
        <f>(K757-M757)*F758/F757+SUMIFS(O751:O757,B751:B757,B758-1-d_T)*F758</f>
        <v/>
      </c>
      <c r="L758" s="40">
        <f>IF(B758&gt;=in_marketplace_from,J758*d_hz*G758*in_eligible*H758,0)</f>
        <v/>
      </c>
      <c r="M758" s="40">
        <f>IF(B758&gt;=in_marketplace_from,K758*d_hz*G758*in_eligible*in_approved_repeat,0)</f>
        <v/>
      </c>
      <c r="N758" s="40">
        <f>L758+M758</f>
        <v/>
      </c>
      <c r="O758" s="46">
        <f>N758/F758</f>
        <v/>
      </c>
      <c r="P758" s="40">
        <f>F758-J758-K758</f>
        <v/>
      </c>
      <c r="Q758" s="40">
        <f>IF(B758&gt;=in_marketplace_from,(J758+K758)*d_hz*G758,0)</f>
        <v/>
      </c>
      <c r="R758" s="40">
        <f>SUMIFS(N751:N796,B751:B796,"&gt;="&amp;(B758-d_T),B751:B796,"&lt;="&amp;(B758-1))</f>
        <v/>
      </c>
      <c r="S758" s="46">
        <f>(1-d_u)*S757+IF(d_T&gt;in_topup_lag,SUMIFS(O751:O796,B751:B796,B758-in_topup_lag)-d_udrop*SUMIFS(O751:O796,B751:B796,B758-d_T),0)</f>
        <v/>
      </c>
      <c r="T758" s="40">
        <f>F758*d_u*S758</f>
        <v/>
      </c>
      <c r="U758" s="9">
        <f>L758*in_ticket+M758*d_rep_ticket</f>
        <v/>
      </c>
      <c r="V758" s="9">
        <f>U758+T758*d_topup_amt</f>
        <v/>
      </c>
      <c r="W758" s="40">
        <f>N758+T758*d_topup_ratio</f>
        <v/>
      </c>
      <c r="X758" s="40">
        <f>SUMIFS(W751:W796,B751:B796,B758-in_dpd_lag)*d_cured</f>
        <v/>
      </c>
      <c r="Y758" s="40">
        <f>SUMIFS(W751:W796,B751:B796,B758-in_rec_lag)*d_recd</f>
        <v/>
      </c>
      <c r="Z758" s="40">
        <f>IF(AND(B758&gt;=in_marketplace_from,B758&lt;in_marketplace_from+in_card_months),in_card_share/in_card_months*F758*I758,IF(AND(B758&gt;=in_marketplace_from+in_card_months,B758&lt;in_marketplace_from+2*in_card_months),in_card_share*d_card_rem/in_card_months*F758*MIN(in_takeup_cap,(1+in_takeup_growth)^(D758-1))*MIN(in_takeup_cap,(1+in_approval_growth)^(D758-1)),0))</f>
        <v/>
      </c>
      <c r="AA758" s="14">
        <f>V758*in_fee*(1-in_taken_back)</f>
        <v/>
      </c>
      <c r="AB758" s="14">
        <f>SUMIFS(W751:W796,B751:B796,B758-in_dpd_lag)*d_dpd</f>
        <v/>
      </c>
      <c r="AC758" s="14">
        <f>SUMIFS(W751:W796,B751:B796,B758-in_rec_lag)*d_rec</f>
        <v/>
      </c>
      <c r="AD758" s="14">
        <f>Z758*in_card_fee</f>
        <v/>
      </c>
      <c r="AE758" s="40">
        <f>AE757*(1-IF(B757&gt;=in_marketplace_from,d_hz_hlth_small*G757,0))</f>
        <v/>
      </c>
      <c r="AF758" s="46">
        <f>AE758*IF(B758&gt;=in_marketplace_from,d_hz_hlth_small*G758,0)</f>
        <v/>
      </c>
      <c r="AG758" s="14">
        <f>F758*AF758*in_hlth_small_ticket*in_hlth_small_comm*in_ins_partner_share+F758*in_hlth_small_ticket*in_hlth_small_renew_comm*in_ins_partner_share*(in_hlth_small_renew^1*SUMIFS(AF751:AF796,B751:B796,B758-12)+in_hlth_small_renew^2*SUMIFS(AF751:AF796,B751:B796,B758-24)+in_hlth_small_renew^3*SUMIFS(AF751:AF796,B751:B796,B758-36)+in_hlth_small_renew^4*SUMIFS(AF751:AF796,B751:B796,B758-48))</f>
        <v/>
      </c>
      <c r="AH758" s="40">
        <f>AH757*(1-IF(B757&gt;=in_marketplace_from,d_hz_hlth_family*G757,0))</f>
        <v/>
      </c>
      <c r="AI758" s="46">
        <f>AH758*IF(B758&gt;=in_marketplace_from,d_hz_hlth_family*G758,0)</f>
        <v/>
      </c>
      <c r="AJ758" s="14">
        <f>F758*AI758*in_hlth_family_ticket*in_hlth_family_comm*in_ins_partner_share+F758*in_hlth_family_ticket*in_hlth_family_renew_comm*in_ins_partner_share*(in_hlth_family_renew^1*SUMIFS(AI751:AI796,B751:B796,B758-12)+in_hlth_family_renew^2*SUMIFS(AI751:AI796,B751:B796,B758-24)+in_hlth_family_renew^3*SUMIFS(AI751:AI796,B751:B796,B758-36)+in_hlth_family_renew^4*SUMIFS(AI751:AI796,B751:B796,B758-48))</f>
        <v/>
      </c>
      <c r="AK758" s="40">
        <f>AK757*(1-IF(B757&gt;=in_marketplace_from,d_hz_life_term*G757,0))</f>
        <v/>
      </c>
      <c r="AL758" s="46">
        <f>AK758*IF(B758&gt;=in_marketplace_from,d_hz_life_term*G758,0)</f>
        <v/>
      </c>
      <c r="AM758" s="14">
        <f>F758*AL758*in_life_term_ticket*in_life_term_comm*in_ins_partner_share+F758*in_life_term_ticket*in_life_term_renew_comm*in_ins_partner_share*(in_life_term_renew^1*SUMIFS(AL751:AL796,B751:B796,B758-12)+in_life_term_renew^2*SUMIFS(AL751:AL796,B751:B796,B758-24)+in_life_term_renew^3*SUMIFS(AL751:AL796,B751:B796,B758-36)+in_life_term_renew^4*SUMIFS(AL751:AL796,B751:B796,B758-48))</f>
        <v/>
      </c>
      <c r="AN758" s="40">
        <f>AN757*(1-IF(B757&gt;=in_marketplace_from,d_hz_accident*G757,0))</f>
        <v/>
      </c>
      <c r="AO758" s="46">
        <f>AN758*IF(B758&gt;=in_marketplace_from,d_hz_accident*G758,0)</f>
        <v/>
      </c>
      <c r="AP758" s="14">
        <f>F758*AO758*in_accident_ticket*in_accident_comm*in_ins_partner_share+F758*in_accident_ticket*in_accident_renew_comm*in_ins_partner_share*(in_accident_renew^1*SUMIFS(AO751:AO796,B751:B796,B758-12)+in_accident_renew^2*SUMIFS(AO751:AO796,B751:B796,B758-24)+in_accident_renew^3*SUMIFS(AO751:AO796,B751:B796,B758-36)+in_accident_renew^4*SUMIFS(AO751:AO796,B751:B796,B758-48))</f>
        <v/>
      </c>
      <c r="AQ758" s="40">
        <f>AQ757*(1-IF(B757&gt;=in_marketplace_from,d_hz_two_wheeler*G757,0))</f>
        <v/>
      </c>
      <c r="AR758" s="46">
        <f>AQ758*IF(B758&gt;=in_marketplace_from,d_hz_two_wheeler*G758,0)</f>
        <v/>
      </c>
      <c r="AS758" s="14">
        <f>F758*AR758*in_two_wheeler_ticket*in_two_wheeler_comm*in_ins_partner_share+F758*in_two_wheeler_ticket*in_two_wheeler_comm*in_ins_partner_share*(in_two_wheeler_renew^1*SUMIFS(AR751:AR796,B751:B796,B758-12)+in_two_wheeler_renew^2*SUMIFS(AR751:AR796,B751:B796,B758-24)+in_two_wheeler_renew^3*SUMIFS(AR751:AR796,B751:B796,B758-36)+in_two_wheeler_renew^4*SUMIFS(AR751:AR796,B751:B796,B758-48))</f>
        <v/>
      </c>
      <c r="AT758" s="40">
        <f>AT757*(1-IF(B757&gt;=in_marketplace_from,d_hz_device*G757,0))</f>
        <v/>
      </c>
      <c r="AU758" s="14">
        <f>F758*AT758*IF(B758&gt;=in_marketplace_from,d_hz_device*G758,0)*in_device_ticket*in_device_comm*in_ins_partner_share</f>
        <v/>
      </c>
      <c r="AV758" s="40">
        <f>AV757*(1-IF(B757&gt;=in_marketplace_from,d_hz_shop*G757,0))</f>
        <v/>
      </c>
      <c r="AW758" s="46">
        <f>AV758*IF(B758&gt;=in_marketplace_from,d_hz_shop*G758,0)</f>
        <v/>
      </c>
      <c r="AX758" s="14">
        <f>F758*AW758*in_shop_ticket*in_shop_comm*in_ins_partner_share+F758*in_shop_ticket*in_shop_renew_comm*in_ins_partner_share*(in_shop_renew^1*SUMIFS(AW751:AW796,B751:B796,B758-12)+in_shop_renew^2*SUMIFS(AW751:AW796,B751:B796,B758-24)+in_shop_renew^3*SUMIFS(AW751:AW796,B751:B796,B758-36)+in_shop_renew^4*SUMIFS(AW751:AW796,B751:B796,B758-48))</f>
        <v/>
      </c>
      <c r="AY758" s="40">
        <f>AY757*(1-IF(B757&gt;=in_marketplace_from,d_hz_sip*G757,0))</f>
        <v/>
      </c>
      <c r="AZ758" s="40">
        <f>AZ757*d_rho_sip+AY758*IF(B758&gt;=in_marketplace_from,d_hz_sip*G758,0)</f>
        <v/>
      </c>
      <c r="BA758" s="40">
        <f>d_rho_sip*(BA757+AZ757)</f>
        <v/>
      </c>
      <c r="BB758" s="14">
        <f>F758*in_sip_ticket*(BA758+0.5*AZ758)*in_sip_comm/12</f>
        <v/>
      </c>
      <c r="BC758" s="40">
        <f>BC757*(1-IF(B757&gt;=in_marketplace_from,d_hz_choti*G757,0))</f>
        <v/>
      </c>
      <c r="BD758" s="46">
        <f>BC758*IF(B758&gt;=in_marketplace_from,d_hz_choti*G758,0)</f>
        <v/>
      </c>
      <c r="BE758" s="14">
        <f>F758*SUMIFS(BD751:BD796,B751:B796,B758-in_choti_months)*in_choti_renew*in_choti_ticket</f>
        <v/>
      </c>
      <c r="BF758" s="40">
        <f>BF757*(1-IF(B757&gt;=in_marketplace_from,d_hz_nps*G757,0))</f>
        <v/>
      </c>
      <c r="BG758" s="14">
        <f>F758*BF758*IF(B758&gt;=in_marketplace_from,d_hz_nps*G758,0)*in_nps_ticket*in_nps_comm</f>
        <v/>
      </c>
      <c r="BH758" s="40">
        <f>BH757*(1-IF(B757&gt;=in_marketplace_from,d_hz_gold*G757,0))</f>
        <v/>
      </c>
      <c r="BI758" s="40">
        <f>BI757*d_rho_gold+BH758*IF(B758&gt;=in_marketplace_from,d_hz_gold*G758,0)</f>
        <v/>
      </c>
      <c r="BJ758" s="14">
        <f>F758*BI758*in_gold_ticket*in_gold_comm</f>
        <v/>
      </c>
      <c r="BK758" s="40">
        <f>BK757*(1-IF(B757&gt;=in_marketplace_from,d_hz_fd*G757,0))</f>
        <v/>
      </c>
      <c r="BL758" s="14">
        <f>F758*BK758*IF(B758&gt;=in_marketplace_from,d_hz_fd*G758,0)*in_fd_ticket*in_fd_comm</f>
        <v/>
      </c>
      <c r="BM758" s="40">
        <f>BM757*(1-IF(B757&gt;=in_marketplace_from,d_hz_recharge*G757,0))</f>
        <v/>
      </c>
      <c r="BN758" s="40">
        <f>BN757*d_rho_recharge+BM758*IF(B758&gt;=in_marketplace_from,d_hz_recharge*G758,0)</f>
        <v/>
      </c>
      <c r="BO758" s="14">
        <f>F758*BN758*in_recharge_ticket*in_recharge_comm/12</f>
        <v/>
      </c>
      <c r="BP758" s="40">
        <f>BP757*(1-IF(B757&gt;=in_marketplace_from,d_hz_bills*G757,0))</f>
        <v/>
      </c>
      <c r="BQ758" s="40">
        <f>BQ757*d_rho_bills+BP758*IF(B758&gt;=in_marketplace_from,d_hz_bills*G758,0)</f>
        <v/>
      </c>
      <c r="BR758" s="14">
        <f>F758*BQ758*in_bills_ticket*in_bills_comm/12</f>
        <v/>
      </c>
      <c r="BS758" s="40">
        <f>BS757*(1-IF(B757&gt;=in_marketplace_from,d_hz_loan_gold*G757,0))</f>
        <v/>
      </c>
      <c r="BT758" s="14">
        <f>F758*BS758*IF(B758&gt;=in_marketplace_from,d_hz_loan_gold*G758,0)*in_loan_gold_ticket*in_loan_gold_comm</f>
        <v/>
      </c>
      <c r="BU758" s="40">
        <f>BU757*(1-IF(B757&gt;=in_marketplace_from,d_hz_loan_cd*G757,0))</f>
        <v/>
      </c>
      <c r="BV758" s="14">
        <f>F758*BU758*IF(B758&gt;=in_marketplace_from,d_hz_loan_cd*G758,0)*in_loan_cd_ticket*in_loan_cd_comm</f>
        <v/>
      </c>
      <c r="BW758" s="40">
        <f>BW757*(1-IF(B757&gt;=in_marketplace_from,d_hz_loan_vehicle*G757,0))</f>
        <v/>
      </c>
      <c r="BX758" s="14">
        <f>F758*BW758*IF(B758&gt;=in_marketplace_from,d_hz_loan_vehicle*G758,0)*in_loan_vehicle_ticket*in_loan_vehicle_comm</f>
        <v/>
      </c>
      <c r="BY758" s="40">
        <f>BY757*(1-IF(B757&gt;=in_marketplace_from,d_hz_loan_home*G757,0)*BZ757)</f>
        <v/>
      </c>
      <c r="BZ758" s="11">
        <f>MIN(in_approval_cap,in_loan_home_approval*INDEX('Age profile'!$O$2:$O$61,B758)*(1+in_approval_growth)^(D758-1))</f>
        <v/>
      </c>
      <c r="CA758" s="14">
        <f>F758*BY758*IF(B758&gt;=in_marketplace_from,d_hz_loan_home*G758,0)*BZ758*in_loan_home_ticket*in_loan_home_comm</f>
        <v/>
      </c>
      <c r="CB758" s="40">
        <f>CB757*(1-IF(B757&gt;=in_marketplace_from,d_hz_loan_lap*G757,0)*CC757)</f>
        <v/>
      </c>
      <c r="CC758" s="11">
        <f>MIN(in_approval_cap,in_loan_lap_approval*INDEX('Age profile'!$O$2:$O$61,B758)*(1+in_approval_growth)^(D758-1))</f>
        <v/>
      </c>
      <c r="CD758" s="14">
        <f>F758*CB758*IF(B758&gt;=in_marketplace_from,d_hz_loan_lap*G758,0)*CC758*in_loan_lap_ticket*in_loan_lap_comm</f>
        <v/>
      </c>
      <c r="CE758" s="14">
        <f>AA758+AB758+AC758+AD758+AG758+AJ758+AM758+AP758+AS758+AU758+AX758+BB758+BE758+BG758+BJ758+BL758+BO758+BR758+BT758+BV758+BX758+CA758+CD758</f>
        <v/>
      </c>
    </row>
    <row r="759">
      <c r="A759" s="39" t="n">
        <v>15</v>
      </c>
      <c r="B759" s="39" t="n">
        <v>9</v>
      </c>
      <c r="C759" s="39">
        <f>A759+B759-1</f>
        <v/>
      </c>
      <c r="D759" s="39">
        <f>INT((C759-1)/12)+1</f>
        <v/>
      </c>
      <c r="E759" s="44">
        <f>INDEX(Monthly!$B$2:$B$61,A759)</f>
        <v/>
      </c>
      <c r="F759" s="44">
        <f>E759*INDEX('Age profile'!$B$2:$B$61,B759)</f>
        <v/>
      </c>
      <c r="G759" s="45">
        <f>MIN(in_takeup_cap,INDEX('Age profile'!$N$2:$N$61,B759)*(1+in_takeup_growth)^(D759-1))</f>
        <v/>
      </c>
      <c r="H759" s="11">
        <f>MIN(in_approval_cap,in_approved_first*INDEX('Age profile'!$O$2:$O$61,B759)*(1+in_approval_growth)^(D759-1))</f>
        <v/>
      </c>
      <c r="I759" s="45">
        <f>G759*MIN(in_takeup_cap,INDEX('Age profile'!$O$2:$O$61,B759)*(1+in_approval_growth)^(D759-1))</f>
        <v/>
      </c>
      <c r="J759" s="40">
        <f>(J758-L758)*F759/F758</f>
        <v/>
      </c>
      <c r="K759" s="40">
        <f>(K758-M758)*F759/F758+SUMIFS(O751:O758,B751:B758,B759-1-d_T)*F759</f>
        <v/>
      </c>
      <c r="L759" s="40">
        <f>IF(B759&gt;=in_marketplace_from,J759*d_hz*G759*in_eligible*H759,0)</f>
        <v/>
      </c>
      <c r="M759" s="40">
        <f>IF(B759&gt;=in_marketplace_from,K759*d_hz*G759*in_eligible*in_approved_repeat,0)</f>
        <v/>
      </c>
      <c r="N759" s="40">
        <f>L759+M759</f>
        <v/>
      </c>
      <c r="O759" s="46">
        <f>N759/F759</f>
        <v/>
      </c>
      <c r="P759" s="40">
        <f>F759-J759-K759</f>
        <v/>
      </c>
      <c r="Q759" s="40">
        <f>IF(B759&gt;=in_marketplace_from,(J759+K759)*d_hz*G759,0)</f>
        <v/>
      </c>
      <c r="R759" s="40">
        <f>SUMIFS(N751:N796,B751:B796,"&gt;="&amp;(B759-d_T),B751:B796,"&lt;="&amp;(B759-1))</f>
        <v/>
      </c>
      <c r="S759" s="46">
        <f>(1-d_u)*S758+IF(d_T&gt;in_topup_lag,SUMIFS(O751:O796,B751:B796,B759-in_topup_lag)-d_udrop*SUMIFS(O751:O796,B751:B796,B759-d_T),0)</f>
        <v/>
      </c>
      <c r="T759" s="40">
        <f>F759*d_u*S759</f>
        <v/>
      </c>
      <c r="U759" s="9">
        <f>L759*in_ticket+M759*d_rep_ticket</f>
        <v/>
      </c>
      <c r="V759" s="9">
        <f>U759+T759*d_topup_amt</f>
        <v/>
      </c>
      <c r="W759" s="40">
        <f>N759+T759*d_topup_ratio</f>
        <v/>
      </c>
      <c r="X759" s="40">
        <f>SUMIFS(W751:W796,B751:B796,B759-in_dpd_lag)*d_cured</f>
        <v/>
      </c>
      <c r="Y759" s="40">
        <f>SUMIFS(W751:W796,B751:B796,B759-in_rec_lag)*d_recd</f>
        <v/>
      </c>
      <c r="Z759" s="40">
        <f>IF(AND(B759&gt;=in_marketplace_from,B759&lt;in_marketplace_from+in_card_months),in_card_share/in_card_months*F759*I759,IF(AND(B759&gt;=in_marketplace_from+in_card_months,B759&lt;in_marketplace_from+2*in_card_months),in_card_share*d_card_rem/in_card_months*F759*MIN(in_takeup_cap,(1+in_takeup_growth)^(D759-1))*MIN(in_takeup_cap,(1+in_approval_growth)^(D759-1)),0))</f>
        <v/>
      </c>
      <c r="AA759" s="14">
        <f>V759*in_fee*(1-in_taken_back)</f>
        <v/>
      </c>
      <c r="AB759" s="14">
        <f>SUMIFS(W751:W796,B751:B796,B759-in_dpd_lag)*d_dpd</f>
        <v/>
      </c>
      <c r="AC759" s="14">
        <f>SUMIFS(W751:W796,B751:B796,B759-in_rec_lag)*d_rec</f>
        <v/>
      </c>
      <c r="AD759" s="14">
        <f>Z759*in_card_fee</f>
        <v/>
      </c>
      <c r="AE759" s="40">
        <f>AE758*(1-IF(B758&gt;=in_marketplace_from,d_hz_hlth_small*G758,0))</f>
        <v/>
      </c>
      <c r="AF759" s="46">
        <f>AE759*IF(B759&gt;=in_marketplace_from,d_hz_hlth_small*G759,0)</f>
        <v/>
      </c>
      <c r="AG759" s="14">
        <f>F759*AF759*in_hlth_small_ticket*in_hlth_small_comm*in_ins_partner_share+F759*in_hlth_small_ticket*in_hlth_small_renew_comm*in_ins_partner_share*(in_hlth_small_renew^1*SUMIFS(AF751:AF796,B751:B796,B759-12)+in_hlth_small_renew^2*SUMIFS(AF751:AF796,B751:B796,B759-24)+in_hlth_small_renew^3*SUMIFS(AF751:AF796,B751:B796,B759-36)+in_hlth_small_renew^4*SUMIFS(AF751:AF796,B751:B796,B759-48))</f>
        <v/>
      </c>
      <c r="AH759" s="40">
        <f>AH758*(1-IF(B758&gt;=in_marketplace_from,d_hz_hlth_family*G758,0))</f>
        <v/>
      </c>
      <c r="AI759" s="46">
        <f>AH759*IF(B759&gt;=in_marketplace_from,d_hz_hlth_family*G759,0)</f>
        <v/>
      </c>
      <c r="AJ759" s="14">
        <f>F759*AI759*in_hlth_family_ticket*in_hlth_family_comm*in_ins_partner_share+F759*in_hlth_family_ticket*in_hlth_family_renew_comm*in_ins_partner_share*(in_hlth_family_renew^1*SUMIFS(AI751:AI796,B751:B796,B759-12)+in_hlth_family_renew^2*SUMIFS(AI751:AI796,B751:B796,B759-24)+in_hlth_family_renew^3*SUMIFS(AI751:AI796,B751:B796,B759-36)+in_hlth_family_renew^4*SUMIFS(AI751:AI796,B751:B796,B759-48))</f>
        <v/>
      </c>
      <c r="AK759" s="40">
        <f>AK758*(1-IF(B758&gt;=in_marketplace_from,d_hz_life_term*G758,0))</f>
        <v/>
      </c>
      <c r="AL759" s="46">
        <f>AK759*IF(B759&gt;=in_marketplace_from,d_hz_life_term*G759,0)</f>
        <v/>
      </c>
      <c r="AM759" s="14">
        <f>F759*AL759*in_life_term_ticket*in_life_term_comm*in_ins_partner_share+F759*in_life_term_ticket*in_life_term_renew_comm*in_ins_partner_share*(in_life_term_renew^1*SUMIFS(AL751:AL796,B751:B796,B759-12)+in_life_term_renew^2*SUMIFS(AL751:AL796,B751:B796,B759-24)+in_life_term_renew^3*SUMIFS(AL751:AL796,B751:B796,B759-36)+in_life_term_renew^4*SUMIFS(AL751:AL796,B751:B796,B759-48))</f>
        <v/>
      </c>
      <c r="AN759" s="40">
        <f>AN758*(1-IF(B758&gt;=in_marketplace_from,d_hz_accident*G758,0))</f>
        <v/>
      </c>
      <c r="AO759" s="46">
        <f>AN759*IF(B759&gt;=in_marketplace_from,d_hz_accident*G759,0)</f>
        <v/>
      </c>
      <c r="AP759" s="14">
        <f>F759*AO759*in_accident_ticket*in_accident_comm*in_ins_partner_share+F759*in_accident_ticket*in_accident_renew_comm*in_ins_partner_share*(in_accident_renew^1*SUMIFS(AO751:AO796,B751:B796,B759-12)+in_accident_renew^2*SUMIFS(AO751:AO796,B751:B796,B759-24)+in_accident_renew^3*SUMIFS(AO751:AO796,B751:B796,B759-36)+in_accident_renew^4*SUMIFS(AO751:AO796,B751:B796,B759-48))</f>
        <v/>
      </c>
      <c r="AQ759" s="40">
        <f>AQ758*(1-IF(B758&gt;=in_marketplace_from,d_hz_two_wheeler*G758,0))</f>
        <v/>
      </c>
      <c r="AR759" s="46">
        <f>AQ759*IF(B759&gt;=in_marketplace_from,d_hz_two_wheeler*G759,0)</f>
        <v/>
      </c>
      <c r="AS759" s="14">
        <f>F759*AR759*in_two_wheeler_ticket*in_two_wheeler_comm*in_ins_partner_share+F759*in_two_wheeler_ticket*in_two_wheeler_comm*in_ins_partner_share*(in_two_wheeler_renew^1*SUMIFS(AR751:AR796,B751:B796,B759-12)+in_two_wheeler_renew^2*SUMIFS(AR751:AR796,B751:B796,B759-24)+in_two_wheeler_renew^3*SUMIFS(AR751:AR796,B751:B796,B759-36)+in_two_wheeler_renew^4*SUMIFS(AR751:AR796,B751:B796,B759-48))</f>
        <v/>
      </c>
      <c r="AT759" s="40">
        <f>AT758*(1-IF(B758&gt;=in_marketplace_from,d_hz_device*G758,0))</f>
        <v/>
      </c>
      <c r="AU759" s="14">
        <f>F759*AT759*IF(B759&gt;=in_marketplace_from,d_hz_device*G759,0)*in_device_ticket*in_device_comm*in_ins_partner_share</f>
        <v/>
      </c>
      <c r="AV759" s="40">
        <f>AV758*(1-IF(B758&gt;=in_marketplace_from,d_hz_shop*G758,0))</f>
        <v/>
      </c>
      <c r="AW759" s="46">
        <f>AV759*IF(B759&gt;=in_marketplace_from,d_hz_shop*G759,0)</f>
        <v/>
      </c>
      <c r="AX759" s="14">
        <f>F759*AW759*in_shop_ticket*in_shop_comm*in_ins_partner_share+F759*in_shop_ticket*in_shop_renew_comm*in_ins_partner_share*(in_shop_renew^1*SUMIFS(AW751:AW796,B751:B796,B759-12)+in_shop_renew^2*SUMIFS(AW751:AW796,B751:B796,B759-24)+in_shop_renew^3*SUMIFS(AW751:AW796,B751:B796,B759-36)+in_shop_renew^4*SUMIFS(AW751:AW796,B751:B796,B759-48))</f>
        <v/>
      </c>
      <c r="AY759" s="40">
        <f>AY758*(1-IF(B758&gt;=in_marketplace_from,d_hz_sip*G758,0))</f>
        <v/>
      </c>
      <c r="AZ759" s="40">
        <f>AZ758*d_rho_sip+AY759*IF(B759&gt;=in_marketplace_from,d_hz_sip*G759,0)</f>
        <v/>
      </c>
      <c r="BA759" s="40">
        <f>d_rho_sip*(BA758+AZ758)</f>
        <v/>
      </c>
      <c r="BB759" s="14">
        <f>F759*in_sip_ticket*(BA759+0.5*AZ759)*in_sip_comm/12</f>
        <v/>
      </c>
      <c r="BC759" s="40">
        <f>BC758*(1-IF(B758&gt;=in_marketplace_from,d_hz_choti*G758,0))</f>
        <v/>
      </c>
      <c r="BD759" s="46">
        <f>BC759*IF(B759&gt;=in_marketplace_from,d_hz_choti*G759,0)</f>
        <v/>
      </c>
      <c r="BE759" s="14">
        <f>F759*SUMIFS(BD751:BD796,B751:B796,B759-in_choti_months)*in_choti_renew*in_choti_ticket</f>
        <v/>
      </c>
      <c r="BF759" s="40">
        <f>BF758*(1-IF(B758&gt;=in_marketplace_from,d_hz_nps*G758,0))</f>
        <v/>
      </c>
      <c r="BG759" s="14">
        <f>F759*BF759*IF(B759&gt;=in_marketplace_from,d_hz_nps*G759,0)*in_nps_ticket*in_nps_comm</f>
        <v/>
      </c>
      <c r="BH759" s="40">
        <f>BH758*(1-IF(B758&gt;=in_marketplace_from,d_hz_gold*G758,0))</f>
        <v/>
      </c>
      <c r="BI759" s="40">
        <f>BI758*d_rho_gold+BH759*IF(B759&gt;=in_marketplace_from,d_hz_gold*G759,0)</f>
        <v/>
      </c>
      <c r="BJ759" s="14">
        <f>F759*BI759*in_gold_ticket*in_gold_comm</f>
        <v/>
      </c>
      <c r="BK759" s="40">
        <f>BK758*(1-IF(B758&gt;=in_marketplace_from,d_hz_fd*G758,0))</f>
        <v/>
      </c>
      <c r="BL759" s="14">
        <f>F759*BK759*IF(B759&gt;=in_marketplace_from,d_hz_fd*G759,0)*in_fd_ticket*in_fd_comm</f>
        <v/>
      </c>
      <c r="BM759" s="40">
        <f>BM758*(1-IF(B758&gt;=in_marketplace_from,d_hz_recharge*G758,0))</f>
        <v/>
      </c>
      <c r="BN759" s="40">
        <f>BN758*d_rho_recharge+BM759*IF(B759&gt;=in_marketplace_from,d_hz_recharge*G759,0)</f>
        <v/>
      </c>
      <c r="BO759" s="14">
        <f>F759*BN759*in_recharge_ticket*in_recharge_comm/12</f>
        <v/>
      </c>
      <c r="BP759" s="40">
        <f>BP758*(1-IF(B758&gt;=in_marketplace_from,d_hz_bills*G758,0))</f>
        <v/>
      </c>
      <c r="BQ759" s="40">
        <f>BQ758*d_rho_bills+BP759*IF(B759&gt;=in_marketplace_from,d_hz_bills*G759,0)</f>
        <v/>
      </c>
      <c r="BR759" s="14">
        <f>F759*BQ759*in_bills_ticket*in_bills_comm/12</f>
        <v/>
      </c>
      <c r="BS759" s="40">
        <f>BS758*(1-IF(B758&gt;=in_marketplace_from,d_hz_loan_gold*G758,0))</f>
        <v/>
      </c>
      <c r="BT759" s="14">
        <f>F759*BS759*IF(B759&gt;=in_marketplace_from,d_hz_loan_gold*G759,0)*in_loan_gold_ticket*in_loan_gold_comm</f>
        <v/>
      </c>
      <c r="BU759" s="40">
        <f>BU758*(1-IF(B758&gt;=in_marketplace_from,d_hz_loan_cd*G758,0))</f>
        <v/>
      </c>
      <c r="BV759" s="14">
        <f>F759*BU759*IF(B759&gt;=in_marketplace_from,d_hz_loan_cd*G759,0)*in_loan_cd_ticket*in_loan_cd_comm</f>
        <v/>
      </c>
      <c r="BW759" s="40">
        <f>BW758*(1-IF(B758&gt;=in_marketplace_from,d_hz_loan_vehicle*G758,0))</f>
        <v/>
      </c>
      <c r="BX759" s="14">
        <f>F759*BW759*IF(B759&gt;=in_marketplace_from,d_hz_loan_vehicle*G759,0)*in_loan_vehicle_ticket*in_loan_vehicle_comm</f>
        <v/>
      </c>
      <c r="BY759" s="40">
        <f>BY758*(1-IF(B758&gt;=in_marketplace_from,d_hz_loan_home*G758,0)*BZ758)</f>
        <v/>
      </c>
      <c r="BZ759" s="11">
        <f>MIN(in_approval_cap,in_loan_home_approval*INDEX('Age profile'!$O$2:$O$61,B759)*(1+in_approval_growth)^(D759-1))</f>
        <v/>
      </c>
      <c r="CA759" s="14">
        <f>F759*BY759*IF(B759&gt;=in_marketplace_from,d_hz_loan_home*G759,0)*BZ759*in_loan_home_ticket*in_loan_home_comm</f>
        <v/>
      </c>
      <c r="CB759" s="40">
        <f>CB758*(1-IF(B758&gt;=in_marketplace_from,d_hz_loan_lap*G758,0)*CC758)</f>
        <v/>
      </c>
      <c r="CC759" s="11">
        <f>MIN(in_approval_cap,in_loan_lap_approval*INDEX('Age profile'!$O$2:$O$61,B759)*(1+in_approval_growth)^(D759-1))</f>
        <v/>
      </c>
      <c r="CD759" s="14">
        <f>F759*CB759*IF(B759&gt;=in_marketplace_from,d_hz_loan_lap*G759,0)*CC759*in_loan_lap_ticket*in_loan_lap_comm</f>
        <v/>
      </c>
      <c r="CE759" s="14">
        <f>AA759+AB759+AC759+AD759+AG759+AJ759+AM759+AP759+AS759+AU759+AX759+BB759+BE759+BG759+BJ759+BL759+BO759+BR759+BT759+BV759+BX759+CA759+CD759</f>
        <v/>
      </c>
    </row>
    <row r="760">
      <c r="A760" s="39" t="n">
        <v>15</v>
      </c>
      <c r="B760" s="39" t="n">
        <v>10</v>
      </c>
      <c r="C760" s="39">
        <f>A760+B760-1</f>
        <v/>
      </c>
      <c r="D760" s="39">
        <f>INT((C760-1)/12)+1</f>
        <v/>
      </c>
      <c r="E760" s="44">
        <f>INDEX(Monthly!$B$2:$B$61,A760)</f>
        <v/>
      </c>
      <c r="F760" s="44">
        <f>E760*INDEX('Age profile'!$B$2:$B$61,B760)</f>
        <v/>
      </c>
      <c r="G760" s="45">
        <f>MIN(in_takeup_cap,INDEX('Age profile'!$N$2:$N$61,B760)*(1+in_takeup_growth)^(D760-1))</f>
        <v/>
      </c>
      <c r="H760" s="11">
        <f>MIN(in_approval_cap,in_approved_first*INDEX('Age profile'!$O$2:$O$61,B760)*(1+in_approval_growth)^(D760-1))</f>
        <v/>
      </c>
      <c r="I760" s="45">
        <f>G760*MIN(in_takeup_cap,INDEX('Age profile'!$O$2:$O$61,B760)*(1+in_approval_growth)^(D760-1))</f>
        <v/>
      </c>
      <c r="J760" s="40">
        <f>(J759-L759)*F760/F759</f>
        <v/>
      </c>
      <c r="K760" s="40">
        <f>(K759-M759)*F760/F759+SUMIFS(O751:O759,B751:B759,B760-1-d_T)*F760</f>
        <v/>
      </c>
      <c r="L760" s="40">
        <f>IF(B760&gt;=in_marketplace_from,J760*d_hz*G760*in_eligible*H760,0)</f>
        <v/>
      </c>
      <c r="M760" s="40">
        <f>IF(B760&gt;=in_marketplace_from,K760*d_hz*G760*in_eligible*in_approved_repeat,0)</f>
        <v/>
      </c>
      <c r="N760" s="40">
        <f>L760+M760</f>
        <v/>
      </c>
      <c r="O760" s="46">
        <f>N760/F760</f>
        <v/>
      </c>
      <c r="P760" s="40">
        <f>F760-J760-K760</f>
        <v/>
      </c>
      <c r="Q760" s="40">
        <f>IF(B760&gt;=in_marketplace_from,(J760+K760)*d_hz*G760,0)</f>
        <v/>
      </c>
      <c r="R760" s="40">
        <f>SUMIFS(N751:N796,B751:B796,"&gt;="&amp;(B760-d_T),B751:B796,"&lt;="&amp;(B760-1))</f>
        <v/>
      </c>
      <c r="S760" s="46">
        <f>(1-d_u)*S759+IF(d_T&gt;in_topup_lag,SUMIFS(O751:O796,B751:B796,B760-in_topup_lag)-d_udrop*SUMIFS(O751:O796,B751:B796,B760-d_T),0)</f>
        <v/>
      </c>
      <c r="T760" s="40">
        <f>F760*d_u*S760</f>
        <v/>
      </c>
      <c r="U760" s="9">
        <f>L760*in_ticket+M760*d_rep_ticket</f>
        <v/>
      </c>
      <c r="V760" s="9">
        <f>U760+T760*d_topup_amt</f>
        <v/>
      </c>
      <c r="W760" s="40">
        <f>N760+T760*d_topup_ratio</f>
        <v/>
      </c>
      <c r="X760" s="40">
        <f>SUMIFS(W751:W796,B751:B796,B760-in_dpd_lag)*d_cured</f>
        <v/>
      </c>
      <c r="Y760" s="40">
        <f>SUMIFS(W751:W796,B751:B796,B760-in_rec_lag)*d_recd</f>
        <v/>
      </c>
      <c r="Z760" s="40">
        <f>IF(AND(B760&gt;=in_marketplace_from,B760&lt;in_marketplace_from+in_card_months),in_card_share/in_card_months*F760*I760,IF(AND(B760&gt;=in_marketplace_from+in_card_months,B760&lt;in_marketplace_from+2*in_card_months),in_card_share*d_card_rem/in_card_months*F760*MIN(in_takeup_cap,(1+in_takeup_growth)^(D760-1))*MIN(in_takeup_cap,(1+in_approval_growth)^(D760-1)),0))</f>
        <v/>
      </c>
      <c r="AA760" s="14">
        <f>V760*in_fee*(1-in_taken_back)</f>
        <v/>
      </c>
      <c r="AB760" s="14">
        <f>SUMIFS(W751:W796,B751:B796,B760-in_dpd_lag)*d_dpd</f>
        <v/>
      </c>
      <c r="AC760" s="14">
        <f>SUMIFS(W751:W796,B751:B796,B760-in_rec_lag)*d_rec</f>
        <v/>
      </c>
      <c r="AD760" s="14">
        <f>Z760*in_card_fee</f>
        <v/>
      </c>
      <c r="AE760" s="40">
        <f>AE759*(1-IF(B759&gt;=in_marketplace_from,d_hz_hlth_small*G759,0))</f>
        <v/>
      </c>
      <c r="AF760" s="46">
        <f>AE760*IF(B760&gt;=in_marketplace_from,d_hz_hlth_small*G760,0)</f>
        <v/>
      </c>
      <c r="AG760" s="14">
        <f>F760*AF760*in_hlth_small_ticket*in_hlth_small_comm*in_ins_partner_share+F760*in_hlth_small_ticket*in_hlth_small_renew_comm*in_ins_partner_share*(in_hlth_small_renew^1*SUMIFS(AF751:AF796,B751:B796,B760-12)+in_hlth_small_renew^2*SUMIFS(AF751:AF796,B751:B796,B760-24)+in_hlth_small_renew^3*SUMIFS(AF751:AF796,B751:B796,B760-36)+in_hlth_small_renew^4*SUMIFS(AF751:AF796,B751:B796,B760-48))</f>
        <v/>
      </c>
      <c r="AH760" s="40">
        <f>AH759*(1-IF(B759&gt;=in_marketplace_from,d_hz_hlth_family*G759,0))</f>
        <v/>
      </c>
      <c r="AI760" s="46">
        <f>AH760*IF(B760&gt;=in_marketplace_from,d_hz_hlth_family*G760,0)</f>
        <v/>
      </c>
      <c r="AJ760" s="14">
        <f>F760*AI760*in_hlth_family_ticket*in_hlth_family_comm*in_ins_partner_share+F760*in_hlth_family_ticket*in_hlth_family_renew_comm*in_ins_partner_share*(in_hlth_family_renew^1*SUMIFS(AI751:AI796,B751:B796,B760-12)+in_hlth_family_renew^2*SUMIFS(AI751:AI796,B751:B796,B760-24)+in_hlth_family_renew^3*SUMIFS(AI751:AI796,B751:B796,B760-36)+in_hlth_family_renew^4*SUMIFS(AI751:AI796,B751:B796,B760-48))</f>
        <v/>
      </c>
      <c r="AK760" s="40">
        <f>AK759*(1-IF(B759&gt;=in_marketplace_from,d_hz_life_term*G759,0))</f>
        <v/>
      </c>
      <c r="AL760" s="46">
        <f>AK760*IF(B760&gt;=in_marketplace_from,d_hz_life_term*G760,0)</f>
        <v/>
      </c>
      <c r="AM760" s="14">
        <f>F760*AL760*in_life_term_ticket*in_life_term_comm*in_ins_partner_share+F760*in_life_term_ticket*in_life_term_renew_comm*in_ins_partner_share*(in_life_term_renew^1*SUMIFS(AL751:AL796,B751:B796,B760-12)+in_life_term_renew^2*SUMIFS(AL751:AL796,B751:B796,B760-24)+in_life_term_renew^3*SUMIFS(AL751:AL796,B751:B796,B760-36)+in_life_term_renew^4*SUMIFS(AL751:AL796,B751:B796,B760-48))</f>
        <v/>
      </c>
      <c r="AN760" s="40">
        <f>AN759*(1-IF(B759&gt;=in_marketplace_from,d_hz_accident*G759,0))</f>
        <v/>
      </c>
      <c r="AO760" s="46">
        <f>AN760*IF(B760&gt;=in_marketplace_from,d_hz_accident*G760,0)</f>
        <v/>
      </c>
      <c r="AP760" s="14">
        <f>F760*AO760*in_accident_ticket*in_accident_comm*in_ins_partner_share+F760*in_accident_ticket*in_accident_renew_comm*in_ins_partner_share*(in_accident_renew^1*SUMIFS(AO751:AO796,B751:B796,B760-12)+in_accident_renew^2*SUMIFS(AO751:AO796,B751:B796,B760-24)+in_accident_renew^3*SUMIFS(AO751:AO796,B751:B796,B760-36)+in_accident_renew^4*SUMIFS(AO751:AO796,B751:B796,B760-48))</f>
        <v/>
      </c>
      <c r="AQ760" s="40">
        <f>AQ759*(1-IF(B759&gt;=in_marketplace_from,d_hz_two_wheeler*G759,0))</f>
        <v/>
      </c>
      <c r="AR760" s="46">
        <f>AQ760*IF(B760&gt;=in_marketplace_from,d_hz_two_wheeler*G760,0)</f>
        <v/>
      </c>
      <c r="AS760" s="14">
        <f>F760*AR760*in_two_wheeler_ticket*in_two_wheeler_comm*in_ins_partner_share+F760*in_two_wheeler_ticket*in_two_wheeler_comm*in_ins_partner_share*(in_two_wheeler_renew^1*SUMIFS(AR751:AR796,B751:B796,B760-12)+in_two_wheeler_renew^2*SUMIFS(AR751:AR796,B751:B796,B760-24)+in_two_wheeler_renew^3*SUMIFS(AR751:AR796,B751:B796,B760-36)+in_two_wheeler_renew^4*SUMIFS(AR751:AR796,B751:B796,B760-48))</f>
        <v/>
      </c>
      <c r="AT760" s="40">
        <f>AT759*(1-IF(B759&gt;=in_marketplace_from,d_hz_device*G759,0))</f>
        <v/>
      </c>
      <c r="AU760" s="14">
        <f>F760*AT760*IF(B760&gt;=in_marketplace_from,d_hz_device*G760,0)*in_device_ticket*in_device_comm*in_ins_partner_share</f>
        <v/>
      </c>
      <c r="AV760" s="40">
        <f>AV759*(1-IF(B759&gt;=in_marketplace_from,d_hz_shop*G759,0))</f>
        <v/>
      </c>
      <c r="AW760" s="46">
        <f>AV760*IF(B760&gt;=in_marketplace_from,d_hz_shop*G760,0)</f>
        <v/>
      </c>
      <c r="AX760" s="14">
        <f>F760*AW760*in_shop_ticket*in_shop_comm*in_ins_partner_share+F760*in_shop_ticket*in_shop_renew_comm*in_ins_partner_share*(in_shop_renew^1*SUMIFS(AW751:AW796,B751:B796,B760-12)+in_shop_renew^2*SUMIFS(AW751:AW796,B751:B796,B760-24)+in_shop_renew^3*SUMIFS(AW751:AW796,B751:B796,B760-36)+in_shop_renew^4*SUMIFS(AW751:AW796,B751:B796,B760-48))</f>
        <v/>
      </c>
      <c r="AY760" s="40">
        <f>AY759*(1-IF(B759&gt;=in_marketplace_from,d_hz_sip*G759,0))</f>
        <v/>
      </c>
      <c r="AZ760" s="40">
        <f>AZ759*d_rho_sip+AY760*IF(B760&gt;=in_marketplace_from,d_hz_sip*G760,0)</f>
        <v/>
      </c>
      <c r="BA760" s="40">
        <f>d_rho_sip*(BA759+AZ759)</f>
        <v/>
      </c>
      <c r="BB760" s="14">
        <f>F760*in_sip_ticket*(BA760+0.5*AZ760)*in_sip_comm/12</f>
        <v/>
      </c>
      <c r="BC760" s="40">
        <f>BC759*(1-IF(B759&gt;=in_marketplace_from,d_hz_choti*G759,0))</f>
        <v/>
      </c>
      <c r="BD760" s="46">
        <f>BC760*IF(B760&gt;=in_marketplace_from,d_hz_choti*G760,0)</f>
        <v/>
      </c>
      <c r="BE760" s="14">
        <f>F760*SUMIFS(BD751:BD796,B751:B796,B760-in_choti_months)*in_choti_renew*in_choti_ticket</f>
        <v/>
      </c>
      <c r="BF760" s="40">
        <f>BF759*(1-IF(B759&gt;=in_marketplace_from,d_hz_nps*G759,0))</f>
        <v/>
      </c>
      <c r="BG760" s="14">
        <f>F760*BF760*IF(B760&gt;=in_marketplace_from,d_hz_nps*G760,0)*in_nps_ticket*in_nps_comm</f>
        <v/>
      </c>
      <c r="BH760" s="40">
        <f>BH759*(1-IF(B759&gt;=in_marketplace_from,d_hz_gold*G759,0))</f>
        <v/>
      </c>
      <c r="BI760" s="40">
        <f>BI759*d_rho_gold+BH760*IF(B760&gt;=in_marketplace_from,d_hz_gold*G760,0)</f>
        <v/>
      </c>
      <c r="BJ760" s="14">
        <f>F760*BI760*in_gold_ticket*in_gold_comm</f>
        <v/>
      </c>
      <c r="BK760" s="40">
        <f>BK759*(1-IF(B759&gt;=in_marketplace_from,d_hz_fd*G759,0))</f>
        <v/>
      </c>
      <c r="BL760" s="14">
        <f>F760*BK760*IF(B760&gt;=in_marketplace_from,d_hz_fd*G760,0)*in_fd_ticket*in_fd_comm</f>
        <v/>
      </c>
      <c r="BM760" s="40">
        <f>BM759*(1-IF(B759&gt;=in_marketplace_from,d_hz_recharge*G759,0))</f>
        <v/>
      </c>
      <c r="BN760" s="40">
        <f>BN759*d_rho_recharge+BM760*IF(B760&gt;=in_marketplace_from,d_hz_recharge*G760,0)</f>
        <v/>
      </c>
      <c r="BO760" s="14">
        <f>F760*BN760*in_recharge_ticket*in_recharge_comm/12</f>
        <v/>
      </c>
      <c r="BP760" s="40">
        <f>BP759*(1-IF(B759&gt;=in_marketplace_from,d_hz_bills*G759,0))</f>
        <v/>
      </c>
      <c r="BQ760" s="40">
        <f>BQ759*d_rho_bills+BP760*IF(B760&gt;=in_marketplace_from,d_hz_bills*G760,0)</f>
        <v/>
      </c>
      <c r="BR760" s="14">
        <f>F760*BQ760*in_bills_ticket*in_bills_comm/12</f>
        <v/>
      </c>
      <c r="BS760" s="40">
        <f>BS759*(1-IF(B759&gt;=in_marketplace_from,d_hz_loan_gold*G759,0))</f>
        <v/>
      </c>
      <c r="BT760" s="14">
        <f>F760*BS760*IF(B760&gt;=in_marketplace_from,d_hz_loan_gold*G760,0)*in_loan_gold_ticket*in_loan_gold_comm</f>
        <v/>
      </c>
      <c r="BU760" s="40">
        <f>BU759*(1-IF(B759&gt;=in_marketplace_from,d_hz_loan_cd*G759,0))</f>
        <v/>
      </c>
      <c r="BV760" s="14">
        <f>F760*BU760*IF(B760&gt;=in_marketplace_from,d_hz_loan_cd*G760,0)*in_loan_cd_ticket*in_loan_cd_comm</f>
        <v/>
      </c>
      <c r="BW760" s="40">
        <f>BW759*(1-IF(B759&gt;=in_marketplace_from,d_hz_loan_vehicle*G759,0))</f>
        <v/>
      </c>
      <c r="BX760" s="14">
        <f>F760*BW760*IF(B760&gt;=in_marketplace_from,d_hz_loan_vehicle*G760,0)*in_loan_vehicle_ticket*in_loan_vehicle_comm</f>
        <v/>
      </c>
      <c r="BY760" s="40">
        <f>BY759*(1-IF(B759&gt;=in_marketplace_from,d_hz_loan_home*G759,0)*BZ759)</f>
        <v/>
      </c>
      <c r="BZ760" s="11">
        <f>MIN(in_approval_cap,in_loan_home_approval*INDEX('Age profile'!$O$2:$O$61,B760)*(1+in_approval_growth)^(D760-1))</f>
        <v/>
      </c>
      <c r="CA760" s="14">
        <f>F760*BY760*IF(B760&gt;=in_marketplace_from,d_hz_loan_home*G760,0)*BZ760*in_loan_home_ticket*in_loan_home_comm</f>
        <v/>
      </c>
      <c r="CB760" s="40">
        <f>CB759*(1-IF(B759&gt;=in_marketplace_from,d_hz_loan_lap*G759,0)*CC759)</f>
        <v/>
      </c>
      <c r="CC760" s="11">
        <f>MIN(in_approval_cap,in_loan_lap_approval*INDEX('Age profile'!$O$2:$O$61,B760)*(1+in_approval_growth)^(D760-1))</f>
        <v/>
      </c>
      <c r="CD760" s="14">
        <f>F760*CB760*IF(B760&gt;=in_marketplace_from,d_hz_loan_lap*G760,0)*CC760*in_loan_lap_ticket*in_loan_lap_comm</f>
        <v/>
      </c>
      <c r="CE760" s="14">
        <f>AA760+AB760+AC760+AD760+AG760+AJ760+AM760+AP760+AS760+AU760+AX760+BB760+BE760+BG760+BJ760+BL760+BO760+BR760+BT760+BV760+BX760+CA760+CD760</f>
        <v/>
      </c>
    </row>
    <row r="761">
      <c r="A761" s="39" t="n">
        <v>15</v>
      </c>
      <c r="B761" s="39" t="n">
        <v>11</v>
      </c>
      <c r="C761" s="39">
        <f>A761+B761-1</f>
        <v/>
      </c>
      <c r="D761" s="39">
        <f>INT((C761-1)/12)+1</f>
        <v/>
      </c>
      <c r="E761" s="44">
        <f>INDEX(Monthly!$B$2:$B$61,A761)</f>
        <v/>
      </c>
      <c r="F761" s="44">
        <f>E761*INDEX('Age profile'!$B$2:$B$61,B761)</f>
        <v/>
      </c>
      <c r="G761" s="45">
        <f>MIN(in_takeup_cap,INDEX('Age profile'!$N$2:$N$61,B761)*(1+in_takeup_growth)^(D761-1))</f>
        <v/>
      </c>
      <c r="H761" s="11">
        <f>MIN(in_approval_cap,in_approved_first*INDEX('Age profile'!$O$2:$O$61,B761)*(1+in_approval_growth)^(D761-1))</f>
        <v/>
      </c>
      <c r="I761" s="45">
        <f>G761*MIN(in_takeup_cap,INDEX('Age profile'!$O$2:$O$61,B761)*(1+in_approval_growth)^(D761-1))</f>
        <v/>
      </c>
      <c r="J761" s="40">
        <f>(J760-L760)*F761/F760</f>
        <v/>
      </c>
      <c r="K761" s="40">
        <f>(K760-M760)*F761/F760+SUMIFS(O751:O760,B751:B760,B761-1-d_T)*F761</f>
        <v/>
      </c>
      <c r="L761" s="40">
        <f>IF(B761&gt;=in_marketplace_from,J761*d_hz*G761*in_eligible*H761,0)</f>
        <v/>
      </c>
      <c r="M761" s="40">
        <f>IF(B761&gt;=in_marketplace_from,K761*d_hz*G761*in_eligible*in_approved_repeat,0)</f>
        <v/>
      </c>
      <c r="N761" s="40">
        <f>L761+M761</f>
        <v/>
      </c>
      <c r="O761" s="46">
        <f>N761/F761</f>
        <v/>
      </c>
      <c r="P761" s="40">
        <f>F761-J761-K761</f>
        <v/>
      </c>
      <c r="Q761" s="40">
        <f>IF(B761&gt;=in_marketplace_from,(J761+K761)*d_hz*G761,0)</f>
        <v/>
      </c>
      <c r="R761" s="40">
        <f>SUMIFS(N751:N796,B751:B796,"&gt;="&amp;(B761-d_T),B751:B796,"&lt;="&amp;(B761-1))</f>
        <v/>
      </c>
      <c r="S761" s="46">
        <f>(1-d_u)*S760+IF(d_T&gt;in_topup_lag,SUMIFS(O751:O796,B751:B796,B761-in_topup_lag)-d_udrop*SUMIFS(O751:O796,B751:B796,B761-d_T),0)</f>
        <v/>
      </c>
      <c r="T761" s="40">
        <f>F761*d_u*S761</f>
        <v/>
      </c>
      <c r="U761" s="9">
        <f>L761*in_ticket+M761*d_rep_ticket</f>
        <v/>
      </c>
      <c r="V761" s="9">
        <f>U761+T761*d_topup_amt</f>
        <v/>
      </c>
      <c r="W761" s="40">
        <f>N761+T761*d_topup_ratio</f>
        <v/>
      </c>
      <c r="X761" s="40">
        <f>SUMIFS(W751:W796,B751:B796,B761-in_dpd_lag)*d_cured</f>
        <v/>
      </c>
      <c r="Y761" s="40">
        <f>SUMIFS(W751:W796,B751:B796,B761-in_rec_lag)*d_recd</f>
        <v/>
      </c>
      <c r="Z761" s="40">
        <f>IF(AND(B761&gt;=in_marketplace_from,B761&lt;in_marketplace_from+in_card_months),in_card_share/in_card_months*F761*I761,IF(AND(B761&gt;=in_marketplace_from+in_card_months,B761&lt;in_marketplace_from+2*in_card_months),in_card_share*d_card_rem/in_card_months*F761*MIN(in_takeup_cap,(1+in_takeup_growth)^(D761-1))*MIN(in_takeup_cap,(1+in_approval_growth)^(D761-1)),0))</f>
        <v/>
      </c>
      <c r="AA761" s="14">
        <f>V761*in_fee*(1-in_taken_back)</f>
        <v/>
      </c>
      <c r="AB761" s="14">
        <f>SUMIFS(W751:W796,B751:B796,B761-in_dpd_lag)*d_dpd</f>
        <v/>
      </c>
      <c r="AC761" s="14">
        <f>SUMIFS(W751:W796,B751:B796,B761-in_rec_lag)*d_rec</f>
        <v/>
      </c>
      <c r="AD761" s="14">
        <f>Z761*in_card_fee</f>
        <v/>
      </c>
      <c r="AE761" s="40">
        <f>AE760*(1-IF(B760&gt;=in_marketplace_from,d_hz_hlth_small*G760,0))</f>
        <v/>
      </c>
      <c r="AF761" s="46">
        <f>AE761*IF(B761&gt;=in_marketplace_from,d_hz_hlth_small*G761,0)</f>
        <v/>
      </c>
      <c r="AG761" s="14">
        <f>F761*AF761*in_hlth_small_ticket*in_hlth_small_comm*in_ins_partner_share+F761*in_hlth_small_ticket*in_hlth_small_renew_comm*in_ins_partner_share*(in_hlth_small_renew^1*SUMIFS(AF751:AF796,B751:B796,B761-12)+in_hlth_small_renew^2*SUMIFS(AF751:AF796,B751:B796,B761-24)+in_hlth_small_renew^3*SUMIFS(AF751:AF796,B751:B796,B761-36)+in_hlth_small_renew^4*SUMIFS(AF751:AF796,B751:B796,B761-48))</f>
        <v/>
      </c>
      <c r="AH761" s="40">
        <f>AH760*(1-IF(B760&gt;=in_marketplace_from,d_hz_hlth_family*G760,0))</f>
        <v/>
      </c>
      <c r="AI761" s="46">
        <f>AH761*IF(B761&gt;=in_marketplace_from,d_hz_hlth_family*G761,0)</f>
        <v/>
      </c>
      <c r="AJ761" s="14">
        <f>F761*AI761*in_hlth_family_ticket*in_hlth_family_comm*in_ins_partner_share+F761*in_hlth_family_ticket*in_hlth_family_renew_comm*in_ins_partner_share*(in_hlth_family_renew^1*SUMIFS(AI751:AI796,B751:B796,B761-12)+in_hlth_family_renew^2*SUMIFS(AI751:AI796,B751:B796,B761-24)+in_hlth_family_renew^3*SUMIFS(AI751:AI796,B751:B796,B761-36)+in_hlth_family_renew^4*SUMIFS(AI751:AI796,B751:B796,B761-48))</f>
        <v/>
      </c>
      <c r="AK761" s="40">
        <f>AK760*(1-IF(B760&gt;=in_marketplace_from,d_hz_life_term*G760,0))</f>
        <v/>
      </c>
      <c r="AL761" s="46">
        <f>AK761*IF(B761&gt;=in_marketplace_from,d_hz_life_term*G761,0)</f>
        <v/>
      </c>
      <c r="AM761" s="14">
        <f>F761*AL761*in_life_term_ticket*in_life_term_comm*in_ins_partner_share+F761*in_life_term_ticket*in_life_term_renew_comm*in_ins_partner_share*(in_life_term_renew^1*SUMIFS(AL751:AL796,B751:B796,B761-12)+in_life_term_renew^2*SUMIFS(AL751:AL796,B751:B796,B761-24)+in_life_term_renew^3*SUMIFS(AL751:AL796,B751:B796,B761-36)+in_life_term_renew^4*SUMIFS(AL751:AL796,B751:B796,B761-48))</f>
        <v/>
      </c>
      <c r="AN761" s="40">
        <f>AN760*(1-IF(B760&gt;=in_marketplace_from,d_hz_accident*G760,0))</f>
        <v/>
      </c>
      <c r="AO761" s="46">
        <f>AN761*IF(B761&gt;=in_marketplace_from,d_hz_accident*G761,0)</f>
        <v/>
      </c>
      <c r="AP761" s="14">
        <f>F761*AO761*in_accident_ticket*in_accident_comm*in_ins_partner_share+F761*in_accident_ticket*in_accident_renew_comm*in_ins_partner_share*(in_accident_renew^1*SUMIFS(AO751:AO796,B751:B796,B761-12)+in_accident_renew^2*SUMIFS(AO751:AO796,B751:B796,B761-24)+in_accident_renew^3*SUMIFS(AO751:AO796,B751:B796,B761-36)+in_accident_renew^4*SUMIFS(AO751:AO796,B751:B796,B761-48))</f>
        <v/>
      </c>
      <c r="AQ761" s="40">
        <f>AQ760*(1-IF(B760&gt;=in_marketplace_from,d_hz_two_wheeler*G760,0))</f>
        <v/>
      </c>
      <c r="AR761" s="46">
        <f>AQ761*IF(B761&gt;=in_marketplace_from,d_hz_two_wheeler*G761,0)</f>
        <v/>
      </c>
      <c r="AS761" s="14">
        <f>F761*AR761*in_two_wheeler_ticket*in_two_wheeler_comm*in_ins_partner_share+F761*in_two_wheeler_ticket*in_two_wheeler_comm*in_ins_partner_share*(in_two_wheeler_renew^1*SUMIFS(AR751:AR796,B751:B796,B761-12)+in_two_wheeler_renew^2*SUMIFS(AR751:AR796,B751:B796,B761-24)+in_two_wheeler_renew^3*SUMIFS(AR751:AR796,B751:B796,B761-36)+in_two_wheeler_renew^4*SUMIFS(AR751:AR796,B751:B796,B761-48))</f>
        <v/>
      </c>
      <c r="AT761" s="40">
        <f>AT760*(1-IF(B760&gt;=in_marketplace_from,d_hz_device*G760,0))</f>
        <v/>
      </c>
      <c r="AU761" s="14">
        <f>F761*AT761*IF(B761&gt;=in_marketplace_from,d_hz_device*G761,0)*in_device_ticket*in_device_comm*in_ins_partner_share</f>
        <v/>
      </c>
      <c r="AV761" s="40">
        <f>AV760*(1-IF(B760&gt;=in_marketplace_from,d_hz_shop*G760,0))</f>
        <v/>
      </c>
      <c r="AW761" s="46">
        <f>AV761*IF(B761&gt;=in_marketplace_from,d_hz_shop*G761,0)</f>
        <v/>
      </c>
      <c r="AX761" s="14">
        <f>F761*AW761*in_shop_ticket*in_shop_comm*in_ins_partner_share+F761*in_shop_ticket*in_shop_renew_comm*in_ins_partner_share*(in_shop_renew^1*SUMIFS(AW751:AW796,B751:B796,B761-12)+in_shop_renew^2*SUMIFS(AW751:AW796,B751:B796,B761-24)+in_shop_renew^3*SUMIFS(AW751:AW796,B751:B796,B761-36)+in_shop_renew^4*SUMIFS(AW751:AW796,B751:B796,B761-48))</f>
        <v/>
      </c>
      <c r="AY761" s="40">
        <f>AY760*(1-IF(B760&gt;=in_marketplace_from,d_hz_sip*G760,0))</f>
        <v/>
      </c>
      <c r="AZ761" s="40">
        <f>AZ760*d_rho_sip+AY761*IF(B761&gt;=in_marketplace_from,d_hz_sip*G761,0)</f>
        <v/>
      </c>
      <c r="BA761" s="40">
        <f>d_rho_sip*(BA760+AZ760)</f>
        <v/>
      </c>
      <c r="BB761" s="14">
        <f>F761*in_sip_ticket*(BA761+0.5*AZ761)*in_sip_comm/12</f>
        <v/>
      </c>
      <c r="BC761" s="40">
        <f>BC760*(1-IF(B760&gt;=in_marketplace_from,d_hz_choti*G760,0))</f>
        <v/>
      </c>
      <c r="BD761" s="46">
        <f>BC761*IF(B761&gt;=in_marketplace_from,d_hz_choti*G761,0)</f>
        <v/>
      </c>
      <c r="BE761" s="14">
        <f>F761*SUMIFS(BD751:BD796,B751:B796,B761-in_choti_months)*in_choti_renew*in_choti_ticket</f>
        <v/>
      </c>
      <c r="BF761" s="40">
        <f>BF760*(1-IF(B760&gt;=in_marketplace_from,d_hz_nps*G760,0))</f>
        <v/>
      </c>
      <c r="BG761" s="14">
        <f>F761*BF761*IF(B761&gt;=in_marketplace_from,d_hz_nps*G761,0)*in_nps_ticket*in_nps_comm</f>
        <v/>
      </c>
      <c r="BH761" s="40">
        <f>BH760*(1-IF(B760&gt;=in_marketplace_from,d_hz_gold*G760,0))</f>
        <v/>
      </c>
      <c r="BI761" s="40">
        <f>BI760*d_rho_gold+BH761*IF(B761&gt;=in_marketplace_from,d_hz_gold*G761,0)</f>
        <v/>
      </c>
      <c r="BJ761" s="14">
        <f>F761*BI761*in_gold_ticket*in_gold_comm</f>
        <v/>
      </c>
      <c r="BK761" s="40">
        <f>BK760*(1-IF(B760&gt;=in_marketplace_from,d_hz_fd*G760,0))</f>
        <v/>
      </c>
      <c r="BL761" s="14">
        <f>F761*BK761*IF(B761&gt;=in_marketplace_from,d_hz_fd*G761,0)*in_fd_ticket*in_fd_comm</f>
        <v/>
      </c>
      <c r="BM761" s="40">
        <f>BM760*(1-IF(B760&gt;=in_marketplace_from,d_hz_recharge*G760,0))</f>
        <v/>
      </c>
      <c r="BN761" s="40">
        <f>BN760*d_rho_recharge+BM761*IF(B761&gt;=in_marketplace_from,d_hz_recharge*G761,0)</f>
        <v/>
      </c>
      <c r="BO761" s="14">
        <f>F761*BN761*in_recharge_ticket*in_recharge_comm/12</f>
        <v/>
      </c>
      <c r="BP761" s="40">
        <f>BP760*(1-IF(B760&gt;=in_marketplace_from,d_hz_bills*G760,0))</f>
        <v/>
      </c>
      <c r="BQ761" s="40">
        <f>BQ760*d_rho_bills+BP761*IF(B761&gt;=in_marketplace_from,d_hz_bills*G761,0)</f>
        <v/>
      </c>
      <c r="BR761" s="14">
        <f>F761*BQ761*in_bills_ticket*in_bills_comm/12</f>
        <v/>
      </c>
      <c r="BS761" s="40">
        <f>BS760*(1-IF(B760&gt;=in_marketplace_from,d_hz_loan_gold*G760,0))</f>
        <v/>
      </c>
      <c r="BT761" s="14">
        <f>F761*BS761*IF(B761&gt;=in_marketplace_from,d_hz_loan_gold*G761,0)*in_loan_gold_ticket*in_loan_gold_comm</f>
        <v/>
      </c>
      <c r="BU761" s="40">
        <f>BU760*(1-IF(B760&gt;=in_marketplace_from,d_hz_loan_cd*G760,0))</f>
        <v/>
      </c>
      <c r="BV761" s="14">
        <f>F761*BU761*IF(B761&gt;=in_marketplace_from,d_hz_loan_cd*G761,0)*in_loan_cd_ticket*in_loan_cd_comm</f>
        <v/>
      </c>
      <c r="BW761" s="40">
        <f>BW760*(1-IF(B760&gt;=in_marketplace_from,d_hz_loan_vehicle*G760,0))</f>
        <v/>
      </c>
      <c r="BX761" s="14">
        <f>F761*BW761*IF(B761&gt;=in_marketplace_from,d_hz_loan_vehicle*G761,0)*in_loan_vehicle_ticket*in_loan_vehicle_comm</f>
        <v/>
      </c>
      <c r="BY761" s="40">
        <f>BY760*(1-IF(B760&gt;=in_marketplace_from,d_hz_loan_home*G760,0)*BZ760)</f>
        <v/>
      </c>
      <c r="BZ761" s="11">
        <f>MIN(in_approval_cap,in_loan_home_approval*INDEX('Age profile'!$O$2:$O$61,B761)*(1+in_approval_growth)^(D761-1))</f>
        <v/>
      </c>
      <c r="CA761" s="14">
        <f>F761*BY761*IF(B761&gt;=in_marketplace_from,d_hz_loan_home*G761,0)*BZ761*in_loan_home_ticket*in_loan_home_comm</f>
        <v/>
      </c>
      <c r="CB761" s="40">
        <f>CB760*(1-IF(B760&gt;=in_marketplace_from,d_hz_loan_lap*G760,0)*CC760)</f>
        <v/>
      </c>
      <c r="CC761" s="11">
        <f>MIN(in_approval_cap,in_loan_lap_approval*INDEX('Age profile'!$O$2:$O$61,B761)*(1+in_approval_growth)^(D761-1))</f>
        <v/>
      </c>
      <c r="CD761" s="14">
        <f>F761*CB761*IF(B761&gt;=in_marketplace_from,d_hz_loan_lap*G761,0)*CC761*in_loan_lap_ticket*in_loan_lap_comm</f>
        <v/>
      </c>
      <c r="CE761" s="14">
        <f>AA761+AB761+AC761+AD761+AG761+AJ761+AM761+AP761+AS761+AU761+AX761+BB761+BE761+BG761+BJ761+BL761+BO761+BR761+BT761+BV761+BX761+CA761+CD761</f>
        <v/>
      </c>
    </row>
    <row r="762">
      <c r="A762" s="39" t="n">
        <v>15</v>
      </c>
      <c r="B762" s="39" t="n">
        <v>12</v>
      </c>
      <c r="C762" s="39">
        <f>A762+B762-1</f>
        <v/>
      </c>
      <c r="D762" s="39">
        <f>INT((C762-1)/12)+1</f>
        <v/>
      </c>
      <c r="E762" s="44">
        <f>INDEX(Monthly!$B$2:$B$61,A762)</f>
        <v/>
      </c>
      <c r="F762" s="44">
        <f>E762*INDEX('Age profile'!$B$2:$B$61,B762)</f>
        <v/>
      </c>
      <c r="G762" s="45">
        <f>MIN(in_takeup_cap,INDEX('Age profile'!$N$2:$N$61,B762)*(1+in_takeup_growth)^(D762-1))</f>
        <v/>
      </c>
      <c r="H762" s="11">
        <f>MIN(in_approval_cap,in_approved_first*INDEX('Age profile'!$O$2:$O$61,B762)*(1+in_approval_growth)^(D762-1))</f>
        <v/>
      </c>
      <c r="I762" s="45">
        <f>G762*MIN(in_takeup_cap,INDEX('Age profile'!$O$2:$O$61,B762)*(1+in_approval_growth)^(D762-1))</f>
        <v/>
      </c>
      <c r="J762" s="40">
        <f>(J761-L761)*F762/F761</f>
        <v/>
      </c>
      <c r="K762" s="40">
        <f>(K761-M761)*F762/F761+SUMIFS(O751:O761,B751:B761,B762-1-d_T)*F762</f>
        <v/>
      </c>
      <c r="L762" s="40">
        <f>IF(B762&gt;=in_marketplace_from,J762*d_hz*G762*in_eligible*H762,0)</f>
        <v/>
      </c>
      <c r="M762" s="40">
        <f>IF(B762&gt;=in_marketplace_from,K762*d_hz*G762*in_eligible*in_approved_repeat,0)</f>
        <v/>
      </c>
      <c r="N762" s="40">
        <f>L762+M762</f>
        <v/>
      </c>
      <c r="O762" s="46">
        <f>N762/F762</f>
        <v/>
      </c>
      <c r="P762" s="40">
        <f>F762-J762-K762</f>
        <v/>
      </c>
      <c r="Q762" s="40">
        <f>IF(B762&gt;=in_marketplace_from,(J762+K762)*d_hz*G762,0)</f>
        <v/>
      </c>
      <c r="R762" s="40">
        <f>SUMIFS(N751:N796,B751:B796,"&gt;="&amp;(B762-d_T),B751:B796,"&lt;="&amp;(B762-1))</f>
        <v/>
      </c>
      <c r="S762" s="46">
        <f>(1-d_u)*S761+IF(d_T&gt;in_topup_lag,SUMIFS(O751:O796,B751:B796,B762-in_topup_lag)-d_udrop*SUMIFS(O751:O796,B751:B796,B762-d_T),0)</f>
        <v/>
      </c>
      <c r="T762" s="40">
        <f>F762*d_u*S762</f>
        <v/>
      </c>
      <c r="U762" s="9">
        <f>L762*in_ticket+M762*d_rep_ticket</f>
        <v/>
      </c>
      <c r="V762" s="9">
        <f>U762+T762*d_topup_amt</f>
        <v/>
      </c>
      <c r="W762" s="40">
        <f>N762+T762*d_topup_ratio</f>
        <v/>
      </c>
      <c r="X762" s="40">
        <f>SUMIFS(W751:W796,B751:B796,B762-in_dpd_lag)*d_cured</f>
        <v/>
      </c>
      <c r="Y762" s="40">
        <f>SUMIFS(W751:W796,B751:B796,B762-in_rec_lag)*d_recd</f>
        <v/>
      </c>
      <c r="Z762" s="40">
        <f>IF(AND(B762&gt;=in_marketplace_from,B762&lt;in_marketplace_from+in_card_months),in_card_share/in_card_months*F762*I762,IF(AND(B762&gt;=in_marketplace_from+in_card_months,B762&lt;in_marketplace_from+2*in_card_months),in_card_share*d_card_rem/in_card_months*F762*MIN(in_takeup_cap,(1+in_takeup_growth)^(D762-1))*MIN(in_takeup_cap,(1+in_approval_growth)^(D762-1)),0))</f>
        <v/>
      </c>
      <c r="AA762" s="14">
        <f>V762*in_fee*(1-in_taken_back)</f>
        <v/>
      </c>
      <c r="AB762" s="14">
        <f>SUMIFS(W751:W796,B751:B796,B762-in_dpd_lag)*d_dpd</f>
        <v/>
      </c>
      <c r="AC762" s="14">
        <f>SUMIFS(W751:W796,B751:B796,B762-in_rec_lag)*d_rec</f>
        <v/>
      </c>
      <c r="AD762" s="14">
        <f>Z762*in_card_fee</f>
        <v/>
      </c>
      <c r="AE762" s="40">
        <f>AE761*(1-IF(B761&gt;=in_marketplace_from,d_hz_hlth_small*G761,0))</f>
        <v/>
      </c>
      <c r="AF762" s="46">
        <f>AE762*IF(B762&gt;=in_marketplace_from,d_hz_hlth_small*G762,0)</f>
        <v/>
      </c>
      <c r="AG762" s="14">
        <f>F762*AF762*in_hlth_small_ticket*in_hlth_small_comm*in_ins_partner_share+F762*in_hlth_small_ticket*in_hlth_small_renew_comm*in_ins_partner_share*(in_hlth_small_renew^1*SUMIFS(AF751:AF796,B751:B796,B762-12)+in_hlth_small_renew^2*SUMIFS(AF751:AF796,B751:B796,B762-24)+in_hlth_small_renew^3*SUMIFS(AF751:AF796,B751:B796,B762-36)+in_hlth_small_renew^4*SUMIFS(AF751:AF796,B751:B796,B762-48))</f>
        <v/>
      </c>
      <c r="AH762" s="40">
        <f>AH761*(1-IF(B761&gt;=in_marketplace_from,d_hz_hlth_family*G761,0))</f>
        <v/>
      </c>
      <c r="AI762" s="46">
        <f>AH762*IF(B762&gt;=in_marketplace_from,d_hz_hlth_family*G762,0)</f>
        <v/>
      </c>
      <c r="AJ762" s="14">
        <f>F762*AI762*in_hlth_family_ticket*in_hlth_family_comm*in_ins_partner_share+F762*in_hlth_family_ticket*in_hlth_family_renew_comm*in_ins_partner_share*(in_hlth_family_renew^1*SUMIFS(AI751:AI796,B751:B796,B762-12)+in_hlth_family_renew^2*SUMIFS(AI751:AI796,B751:B796,B762-24)+in_hlth_family_renew^3*SUMIFS(AI751:AI796,B751:B796,B762-36)+in_hlth_family_renew^4*SUMIFS(AI751:AI796,B751:B796,B762-48))</f>
        <v/>
      </c>
      <c r="AK762" s="40">
        <f>AK761*(1-IF(B761&gt;=in_marketplace_from,d_hz_life_term*G761,0))</f>
        <v/>
      </c>
      <c r="AL762" s="46">
        <f>AK762*IF(B762&gt;=in_marketplace_from,d_hz_life_term*G762,0)</f>
        <v/>
      </c>
      <c r="AM762" s="14">
        <f>F762*AL762*in_life_term_ticket*in_life_term_comm*in_ins_partner_share+F762*in_life_term_ticket*in_life_term_renew_comm*in_ins_partner_share*(in_life_term_renew^1*SUMIFS(AL751:AL796,B751:B796,B762-12)+in_life_term_renew^2*SUMIFS(AL751:AL796,B751:B796,B762-24)+in_life_term_renew^3*SUMIFS(AL751:AL796,B751:B796,B762-36)+in_life_term_renew^4*SUMIFS(AL751:AL796,B751:B796,B762-48))</f>
        <v/>
      </c>
      <c r="AN762" s="40">
        <f>AN761*(1-IF(B761&gt;=in_marketplace_from,d_hz_accident*G761,0))</f>
        <v/>
      </c>
      <c r="AO762" s="46">
        <f>AN762*IF(B762&gt;=in_marketplace_from,d_hz_accident*G762,0)</f>
        <v/>
      </c>
      <c r="AP762" s="14">
        <f>F762*AO762*in_accident_ticket*in_accident_comm*in_ins_partner_share+F762*in_accident_ticket*in_accident_renew_comm*in_ins_partner_share*(in_accident_renew^1*SUMIFS(AO751:AO796,B751:B796,B762-12)+in_accident_renew^2*SUMIFS(AO751:AO796,B751:B796,B762-24)+in_accident_renew^3*SUMIFS(AO751:AO796,B751:B796,B762-36)+in_accident_renew^4*SUMIFS(AO751:AO796,B751:B796,B762-48))</f>
        <v/>
      </c>
      <c r="AQ762" s="40">
        <f>AQ761*(1-IF(B761&gt;=in_marketplace_from,d_hz_two_wheeler*G761,0))</f>
        <v/>
      </c>
      <c r="AR762" s="46">
        <f>AQ762*IF(B762&gt;=in_marketplace_from,d_hz_two_wheeler*G762,0)</f>
        <v/>
      </c>
      <c r="AS762" s="14">
        <f>F762*AR762*in_two_wheeler_ticket*in_two_wheeler_comm*in_ins_partner_share+F762*in_two_wheeler_ticket*in_two_wheeler_comm*in_ins_partner_share*(in_two_wheeler_renew^1*SUMIFS(AR751:AR796,B751:B796,B762-12)+in_two_wheeler_renew^2*SUMIFS(AR751:AR796,B751:B796,B762-24)+in_two_wheeler_renew^3*SUMIFS(AR751:AR796,B751:B796,B762-36)+in_two_wheeler_renew^4*SUMIFS(AR751:AR796,B751:B796,B762-48))</f>
        <v/>
      </c>
      <c r="AT762" s="40">
        <f>AT761*(1-IF(B761&gt;=in_marketplace_from,d_hz_device*G761,0))</f>
        <v/>
      </c>
      <c r="AU762" s="14">
        <f>F762*AT762*IF(B762&gt;=in_marketplace_from,d_hz_device*G762,0)*in_device_ticket*in_device_comm*in_ins_partner_share</f>
        <v/>
      </c>
      <c r="AV762" s="40">
        <f>AV761*(1-IF(B761&gt;=in_marketplace_from,d_hz_shop*G761,0))</f>
        <v/>
      </c>
      <c r="AW762" s="46">
        <f>AV762*IF(B762&gt;=in_marketplace_from,d_hz_shop*G762,0)</f>
        <v/>
      </c>
      <c r="AX762" s="14">
        <f>F762*AW762*in_shop_ticket*in_shop_comm*in_ins_partner_share+F762*in_shop_ticket*in_shop_renew_comm*in_ins_partner_share*(in_shop_renew^1*SUMIFS(AW751:AW796,B751:B796,B762-12)+in_shop_renew^2*SUMIFS(AW751:AW796,B751:B796,B762-24)+in_shop_renew^3*SUMIFS(AW751:AW796,B751:B796,B762-36)+in_shop_renew^4*SUMIFS(AW751:AW796,B751:B796,B762-48))</f>
        <v/>
      </c>
      <c r="AY762" s="40">
        <f>AY761*(1-IF(B761&gt;=in_marketplace_from,d_hz_sip*G761,0))</f>
        <v/>
      </c>
      <c r="AZ762" s="40">
        <f>AZ761*d_rho_sip+AY762*IF(B762&gt;=in_marketplace_from,d_hz_sip*G762,0)</f>
        <v/>
      </c>
      <c r="BA762" s="40">
        <f>d_rho_sip*(BA761+AZ761)</f>
        <v/>
      </c>
      <c r="BB762" s="14">
        <f>F762*in_sip_ticket*(BA762+0.5*AZ762)*in_sip_comm/12</f>
        <v/>
      </c>
      <c r="BC762" s="40">
        <f>BC761*(1-IF(B761&gt;=in_marketplace_from,d_hz_choti*G761,0))</f>
        <v/>
      </c>
      <c r="BD762" s="46">
        <f>BC762*IF(B762&gt;=in_marketplace_from,d_hz_choti*G762,0)</f>
        <v/>
      </c>
      <c r="BE762" s="14">
        <f>F762*SUMIFS(BD751:BD796,B751:B796,B762-in_choti_months)*in_choti_renew*in_choti_ticket</f>
        <v/>
      </c>
      <c r="BF762" s="40">
        <f>BF761*(1-IF(B761&gt;=in_marketplace_from,d_hz_nps*G761,0))</f>
        <v/>
      </c>
      <c r="BG762" s="14">
        <f>F762*BF762*IF(B762&gt;=in_marketplace_from,d_hz_nps*G762,0)*in_nps_ticket*in_nps_comm</f>
        <v/>
      </c>
      <c r="BH762" s="40">
        <f>BH761*(1-IF(B761&gt;=in_marketplace_from,d_hz_gold*G761,0))</f>
        <v/>
      </c>
      <c r="BI762" s="40">
        <f>BI761*d_rho_gold+BH762*IF(B762&gt;=in_marketplace_from,d_hz_gold*G762,0)</f>
        <v/>
      </c>
      <c r="BJ762" s="14">
        <f>F762*BI762*in_gold_ticket*in_gold_comm</f>
        <v/>
      </c>
      <c r="BK762" s="40">
        <f>BK761*(1-IF(B761&gt;=in_marketplace_from,d_hz_fd*G761,0))</f>
        <v/>
      </c>
      <c r="BL762" s="14">
        <f>F762*BK762*IF(B762&gt;=in_marketplace_from,d_hz_fd*G762,0)*in_fd_ticket*in_fd_comm</f>
        <v/>
      </c>
      <c r="BM762" s="40">
        <f>BM761*(1-IF(B761&gt;=in_marketplace_from,d_hz_recharge*G761,0))</f>
        <v/>
      </c>
      <c r="BN762" s="40">
        <f>BN761*d_rho_recharge+BM762*IF(B762&gt;=in_marketplace_from,d_hz_recharge*G762,0)</f>
        <v/>
      </c>
      <c r="BO762" s="14">
        <f>F762*BN762*in_recharge_ticket*in_recharge_comm/12</f>
        <v/>
      </c>
      <c r="BP762" s="40">
        <f>BP761*(1-IF(B761&gt;=in_marketplace_from,d_hz_bills*G761,0))</f>
        <v/>
      </c>
      <c r="BQ762" s="40">
        <f>BQ761*d_rho_bills+BP762*IF(B762&gt;=in_marketplace_from,d_hz_bills*G762,0)</f>
        <v/>
      </c>
      <c r="BR762" s="14">
        <f>F762*BQ762*in_bills_ticket*in_bills_comm/12</f>
        <v/>
      </c>
      <c r="BS762" s="40">
        <f>BS761*(1-IF(B761&gt;=in_marketplace_from,d_hz_loan_gold*G761,0))</f>
        <v/>
      </c>
      <c r="BT762" s="14">
        <f>F762*BS762*IF(B762&gt;=in_marketplace_from,d_hz_loan_gold*G762,0)*in_loan_gold_ticket*in_loan_gold_comm</f>
        <v/>
      </c>
      <c r="BU762" s="40">
        <f>BU761*(1-IF(B761&gt;=in_marketplace_from,d_hz_loan_cd*G761,0))</f>
        <v/>
      </c>
      <c r="BV762" s="14">
        <f>F762*BU762*IF(B762&gt;=in_marketplace_from,d_hz_loan_cd*G762,0)*in_loan_cd_ticket*in_loan_cd_comm</f>
        <v/>
      </c>
      <c r="BW762" s="40">
        <f>BW761*(1-IF(B761&gt;=in_marketplace_from,d_hz_loan_vehicle*G761,0))</f>
        <v/>
      </c>
      <c r="BX762" s="14">
        <f>F762*BW762*IF(B762&gt;=in_marketplace_from,d_hz_loan_vehicle*G762,0)*in_loan_vehicle_ticket*in_loan_vehicle_comm</f>
        <v/>
      </c>
      <c r="BY762" s="40">
        <f>BY761*(1-IF(B761&gt;=in_marketplace_from,d_hz_loan_home*G761,0)*BZ761)</f>
        <v/>
      </c>
      <c r="BZ762" s="11">
        <f>MIN(in_approval_cap,in_loan_home_approval*INDEX('Age profile'!$O$2:$O$61,B762)*(1+in_approval_growth)^(D762-1))</f>
        <v/>
      </c>
      <c r="CA762" s="14">
        <f>F762*BY762*IF(B762&gt;=in_marketplace_from,d_hz_loan_home*G762,0)*BZ762*in_loan_home_ticket*in_loan_home_comm</f>
        <v/>
      </c>
      <c r="CB762" s="40">
        <f>CB761*(1-IF(B761&gt;=in_marketplace_from,d_hz_loan_lap*G761,0)*CC761)</f>
        <v/>
      </c>
      <c r="CC762" s="11">
        <f>MIN(in_approval_cap,in_loan_lap_approval*INDEX('Age profile'!$O$2:$O$61,B762)*(1+in_approval_growth)^(D762-1))</f>
        <v/>
      </c>
      <c r="CD762" s="14">
        <f>F762*CB762*IF(B762&gt;=in_marketplace_from,d_hz_loan_lap*G762,0)*CC762*in_loan_lap_ticket*in_loan_lap_comm</f>
        <v/>
      </c>
      <c r="CE762" s="14">
        <f>AA762+AB762+AC762+AD762+AG762+AJ762+AM762+AP762+AS762+AU762+AX762+BB762+BE762+BG762+BJ762+BL762+BO762+BR762+BT762+BV762+BX762+CA762+CD762</f>
        <v/>
      </c>
    </row>
    <row r="763">
      <c r="A763" s="39" t="n">
        <v>15</v>
      </c>
      <c r="B763" s="39" t="n">
        <v>13</v>
      </c>
      <c r="C763" s="39">
        <f>A763+B763-1</f>
        <v/>
      </c>
      <c r="D763" s="39">
        <f>INT((C763-1)/12)+1</f>
        <v/>
      </c>
      <c r="E763" s="44">
        <f>INDEX(Monthly!$B$2:$B$61,A763)</f>
        <v/>
      </c>
      <c r="F763" s="44">
        <f>E763*INDEX('Age profile'!$B$2:$B$61,B763)</f>
        <v/>
      </c>
      <c r="G763" s="45">
        <f>MIN(in_takeup_cap,INDEX('Age profile'!$N$2:$N$61,B763)*(1+in_takeup_growth)^(D763-1))</f>
        <v/>
      </c>
      <c r="H763" s="11">
        <f>MIN(in_approval_cap,in_approved_first*INDEX('Age profile'!$O$2:$O$61,B763)*(1+in_approval_growth)^(D763-1))</f>
        <v/>
      </c>
      <c r="I763" s="45">
        <f>G763*MIN(in_takeup_cap,INDEX('Age profile'!$O$2:$O$61,B763)*(1+in_approval_growth)^(D763-1))</f>
        <v/>
      </c>
      <c r="J763" s="40">
        <f>(J762-L762)*F763/F762</f>
        <v/>
      </c>
      <c r="K763" s="40">
        <f>(K762-M762)*F763/F762+SUMIFS(O751:O762,B751:B762,B763-1-d_T)*F763</f>
        <v/>
      </c>
      <c r="L763" s="40">
        <f>IF(B763&gt;=in_marketplace_from,J763*d_hz*G763*in_eligible*H763,0)</f>
        <v/>
      </c>
      <c r="M763" s="40">
        <f>IF(B763&gt;=in_marketplace_from,K763*d_hz*G763*in_eligible*in_approved_repeat,0)</f>
        <v/>
      </c>
      <c r="N763" s="40">
        <f>L763+M763</f>
        <v/>
      </c>
      <c r="O763" s="46">
        <f>N763/F763</f>
        <v/>
      </c>
      <c r="P763" s="40">
        <f>F763-J763-K763</f>
        <v/>
      </c>
      <c r="Q763" s="40">
        <f>IF(B763&gt;=in_marketplace_from,(J763+K763)*d_hz*G763,0)</f>
        <v/>
      </c>
      <c r="R763" s="40">
        <f>SUMIFS(N751:N796,B751:B796,"&gt;="&amp;(B763-d_T),B751:B796,"&lt;="&amp;(B763-1))</f>
        <v/>
      </c>
      <c r="S763" s="46">
        <f>(1-d_u)*S762+IF(d_T&gt;in_topup_lag,SUMIFS(O751:O796,B751:B796,B763-in_topup_lag)-d_udrop*SUMIFS(O751:O796,B751:B796,B763-d_T),0)</f>
        <v/>
      </c>
      <c r="T763" s="40">
        <f>F763*d_u*S763</f>
        <v/>
      </c>
      <c r="U763" s="9">
        <f>L763*in_ticket+M763*d_rep_ticket</f>
        <v/>
      </c>
      <c r="V763" s="9">
        <f>U763+T763*d_topup_amt</f>
        <v/>
      </c>
      <c r="W763" s="40">
        <f>N763+T763*d_topup_ratio</f>
        <v/>
      </c>
      <c r="X763" s="40">
        <f>SUMIFS(W751:W796,B751:B796,B763-in_dpd_lag)*d_cured</f>
        <v/>
      </c>
      <c r="Y763" s="40">
        <f>SUMIFS(W751:W796,B751:B796,B763-in_rec_lag)*d_recd</f>
        <v/>
      </c>
      <c r="Z763" s="40">
        <f>IF(AND(B763&gt;=in_marketplace_from,B763&lt;in_marketplace_from+in_card_months),in_card_share/in_card_months*F763*I763,IF(AND(B763&gt;=in_marketplace_from+in_card_months,B763&lt;in_marketplace_from+2*in_card_months),in_card_share*d_card_rem/in_card_months*F763*MIN(in_takeup_cap,(1+in_takeup_growth)^(D763-1))*MIN(in_takeup_cap,(1+in_approval_growth)^(D763-1)),0))</f>
        <v/>
      </c>
      <c r="AA763" s="14">
        <f>V763*in_fee*(1-in_taken_back)</f>
        <v/>
      </c>
      <c r="AB763" s="14">
        <f>SUMIFS(W751:W796,B751:B796,B763-in_dpd_lag)*d_dpd</f>
        <v/>
      </c>
      <c r="AC763" s="14">
        <f>SUMIFS(W751:W796,B751:B796,B763-in_rec_lag)*d_rec</f>
        <v/>
      </c>
      <c r="AD763" s="14">
        <f>Z763*in_card_fee</f>
        <v/>
      </c>
      <c r="AE763" s="40">
        <f>AE762*(1-IF(B762&gt;=in_marketplace_from,d_hz_hlth_small*G762,0))</f>
        <v/>
      </c>
      <c r="AF763" s="46">
        <f>AE763*IF(B763&gt;=in_marketplace_from,d_hz_hlth_small*G763,0)</f>
        <v/>
      </c>
      <c r="AG763" s="14">
        <f>F763*AF763*in_hlth_small_ticket*in_hlth_small_comm*in_ins_partner_share+F763*in_hlth_small_ticket*in_hlth_small_renew_comm*in_ins_partner_share*(in_hlth_small_renew^1*SUMIFS(AF751:AF796,B751:B796,B763-12)+in_hlth_small_renew^2*SUMIFS(AF751:AF796,B751:B796,B763-24)+in_hlth_small_renew^3*SUMIFS(AF751:AF796,B751:B796,B763-36)+in_hlth_small_renew^4*SUMIFS(AF751:AF796,B751:B796,B763-48))</f>
        <v/>
      </c>
      <c r="AH763" s="40">
        <f>AH762*(1-IF(B762&gt;=in_marketplace_from,d_hz_hlth_family*G762,0))</f>
        <v/>
      </c>
      <c r="AI763" s="46">
        <f>AH763*IF(B763&gt;=in_marketplace_from,d_hz_hlth_family*G763,0)</f>
        <v/>
      </c>
      <c r="AJ763" s="14">
        <f>F763*AI763*in_hlth_family_ticket*in_hlth_family_comm*in_ins_partner_share+F763*in_hlth_family_ticket*in_hlth_family_renew_comm*in_ins_partner_share*(in_hlth_family_renew^1*SUMIFS(AI751:AI796,B751:B796,B763-12)+in_hlth_family_renew^2*SUMIFS(AI751:AI796,B751:B796,B763-24)+in_hlth_family_renew^3*SUMIFS(AI751:AI796,B751:B796,B763-36)+in_hlth_family_renew^4*SUMIFS(AI751:AI796,B751:B796,B763-48))</f>
        <v/>
      </c>
      <c r="AK763" s="40">
        <f>AK762*(1-IF(B762&gt;=in_marketplace_from,d_hz_life_term*G762,0))</f>
        <v/>
      </c>
      <c r="AL763" s="46">
        <f>AK763*IF(B763&gt;=in_marketplace_from,d_hz_life_term*G763,0)</f>
        <v/>
      </c>
      <c r="AM763" s="14">
        <f>F763*AL763*in_life_term_ticket*in_life_term_comm*in_ins_partner_share+F763*in_life_term_ticket*in_life_term_renew_comm*in_ins_partner_share*(in_life_term_renew^1*SUMIFS(AL751:AL796,B751:B796,B763-12)+in_life_term_renew^2*SUMIFS(AL751:AL796,B751:B796,B763-24)+in_life_term_renew^3*SUMIFS(AL751:AL796,B751:B796,B763-36)+in_life_term_renew^4*SUMIFS(AL751:AL796,B751:B796,B763-48))</f>
        <v/>
      </c>
      <c r="AN763" s="40">
        <f>AN762*(1-IF(B762&gt;=in_marketplace_from,d_hz_accident*G762,0))</f>
        <v/>
      </c>
      <c r="AO763" s="46">
        <f>AN763*IF(B763&gt;=in_marketplace_from,d_hz_accident*G763,0)</f>
        <v/>
      </c>
      <c r="AP763" s="14">
        <f>F763*AO763*in_accident_ticket*in_accident_comm*in_ins_partner_share+F763*in_accident_ticket*in_accident_renew_comm*in_ins_partner_share*(in_accident_renew^1*SUMIFS(AO751:AO796,B751:B796,B763-12)+in_accident_renew^2*SUMIFS(AO751:AO796,B751:B796,B763-24)+in_accident_renew^3*SUMIFS(AO751:AO796,B751:B796,B763-36)+in_accident_renew^4*SUMIFS(AO751:AO796,B751:B796,B763-48))</f>
        <v/>
      </c>
      <c r="AQ763" s="40">
        <f>AQ762*(1-IF(B762&gt;=in_marketplace_from,d_hz_two_wheeler*G762,0))</f>
        <v/>
      </c>
      <c r="AR763" s="46">
        <f>AQ763*IF(B763&gt;=in_marketplace_from,d_hz_two_wheeler*G763,0)</f>
        <v/>
      </c>
      <c r="AS763" s="14">
        <f>F763*AR763*in_two_wheeler_ticket*in_two_wheeler_comm*in_ins_partner_share+F763*in_two_wheeler_ticket*in_two_wheeler_comm*in_ins_partner_share*(in_two_wheeler_renew^1*SUMIFS(AR751:AR796,B751:B796,B763-12)+in_two_wheeler_renew^2*SUMIFS(AR751:AR796,B751:B796,B763-24)+in_two_wheeler_renew^3*SUMIFS(AR751:AR796,B751:B796,B763-36)+in_two_wheeler_renew^4*SUMIFS(AR751:AR796,B751:B796,B763-48))</f>
        <v/>
      </c>
      <c r="AT763" s="40">
        <f>AT762*(1-IF(B762&gt;=in_marketplace_from,d_hz_device*G762,0))</f>
        <v/>
      </c>
      <c r="AU763" s="14">
        <f>F763*AT763*IF(B763&gt;=in_marketplace_from,d_hz_device*G763,0)*in_device_ticket*in_device_comm*in_ins_partner_share</f>
        <v/>
      </c>
      <c r="AV763" s="40">
        <f>AV762*(1-IF(B762&gt;=in_marketplace_from,d_hz_shop*G762,0))</f>
        <v/>
      </c>
      <c r="AW763" s="46">
        <f>AV763*IF(B763&gt;=in_marketplace_from,d_hz_shop*G763,0)</f>
        <v/>
      </c>
      <c r="AX763" s="14">
        <f>F763*AW763*in_shop_ticket*in_shop_comm*in_ins_partner_share+F763*in_shop_ticket*in_shop_renew_comm*in_ins_partner_share*(in_shop_renew^1*SUMIFS(AW751:AW796,B751:B796,B763-12)+in_shop_renew^2*SUMIFS(AW751:AW796,B751:B796,B763-24)+in_shop_renew^3*SUMIFS(AW751:AW796,B751:B796,B763-36)+in_shop_renew^4*SUMIFS(AW751:AW796,B751:B796,B763-48))</f>
        <v/>
      </c>
      <c r="AY763" s="40">
        <f>AY762*(1-IF(B762&gt;=in_marketplace_from,d_hz_sip*G762,0))</f>
        <v/>
      </c>
      <c r="AZ763" s="40">
        <f>AZ762*d_rho_sip+AY763*IF(B763&gt;=in_marketplace_from,d_hz_sip*G763,0)</f>
        <v/>
      </c>
      <c r="BA763" s="40">
        <f>d_rho_sip*(BA762+AZ762)</f>
        <v/>
      </c>
      <c r="BB763" s="14">
        <f>F763*in_sip_ticket*(BA763+0.5*AZ763)*in_sip_comm/12</f>
        <v/>
      </c>
      <c r="BC763" s="40">
        <f>BC762*(1-IF(B762&gt;=in_marketplace_from,d_hz_choti*G762,0))</f>
        <v/>
      </c>
      <c r="BD763" s="46">
        <f>BC763*IF(B763&gt;=in_marketplace_from,d_hz_choti*G763,0)</f>
        <v/>
      </c>
      <c r="BE763" s="14">
        <f>F763*SUMIFS(BD751:BD796,B751:B796,B763-in_choti_months)*in_choti_renew*in_choti_ticket</f>
        <v/>
      </c>
      <c r="BF763" s="40">
        <f>BF762*(1-IF(B762&gt;=in_marketplace_from,d_hz_nps*G762,0))</f>
        <v/>
      </c>
      <c r="BG763" s="14">
        <f>F763*BF763*IF(B763&gt;=in_marketplace_from,d_hz_nps*G763,0)*in_nps_ticket*in_nps_comm</f>
        <v/>
      </c>
      <c r="BH763" s="40">
        <f>BH762*(1-IF(B762&gt;=in_marketplace_from,d_hz_gold*G762,0))</f>
        <v/>
      </c>
      <c r="BI763" s="40">
        <f>BI762*d_rho_gold+BH763*IF(B763&gt;=in_marketplace_from,d_hz_gold*G763,0)</f>
        <v/>
      </c>
      <c r="BJ763" s="14">
        <f>F763*BI763*in_gold_ticket*in_gold_comm</f>
        <v/>
      </c>
      <c r="BK763" s="40">
        <f>BK762*(1-IF(B762&gt;=in_marketplace_from,d_hz_fd*G762,0))</f>
        <v/>
      </c>
      <c r="BL763" s="14">
        <f>F763*BK763*IF(B763&gt;=in_marketplace_from,d_hz_fd*G763,0)*in_fd_ticket*in_fd_comm</f>
        <v/>
      </c>
      <c r="BM763" s="40">
        <f>BM762*(1-IF(B762&gt;=in_marketplace_from,d_hz_recharge*G762,0))</f>
        <v/>
      </c>
      <c r="BN763" s="40">
        <f>BN762*d_rho_recharge+BM763*IF(B763&gt;=in_marketplace_from,d_hz_recharge*G763,0)</f>
        <v/>
      </c>
      <c r="BO763" s="14">
        <f>F763*BN763*in_recharge_ticket*in_recharge_comm/12</f>
        <v/>
      </c>
      <c r="BP763" s="40">
        <f>BP762*(1-IF(B762&gt;=in_marketplace_from,d_hz_bills*G762,0))</f>
        <v/>
      </c>
      <c r="BQ763" s="40">
        <f>BQ762*d_rho_bills+BP763*IF(B763&gt;=in_marketplace_from,d_hz_bills*G763,0)</f>
        <v/>
      </c>
      <c r="BR763" s="14">
        <f>F763*BQ763*in_bills_ticket*in_bills_comm/12</f>
        <v/>
      </c>
      <c r="BS763" s="40">
        <f>BS762*(1-IF(B762&gt;=in_marketplace_from,d_hz_loan_gold*G762,0))</f>
        <v/>
      </c>
      <c r="BT763" s="14">
        <f>F763*BS763*IF(B763&gt;=in_marketplace_from,d_hz_loan_gold*G763,0)*in_loan_gold_ticket*in_loan_gold_comm</f>
        <v/>
      </c>
      <c r="BU763" s="40">
        <f>BU762*(1-IF(B762&gt;=in_marketplace_from,d_hz_loan_cd*G762,0))</f>
        <v/>
      </c>
      <c r="BV763" s="14">
        <f>F763*BU763*IF(B763&gt;=in_marketplace_from,d_hz_loan_cd*G763,0)*in_loan_cd_ticket*in_loan_cd_comm</f>
        <v/>
      </c>
      <c r="BW763" s="40">
        <f>BW762*(1-IF(B762&gt;=in_marketplace_from,d_hz_loan_vehicle*G762,0))</f>
        <v/>
      </c>
      <c r="BX763" s="14">
        <f>F763*BW763*IF(B763&gt;=in_marketplace_from,d_hz_loan_vehicle*G763,0)*in_loan_vehicle_ticket*in_loan_vehicle_comm</f>
        <v/>
      </c>
      <c r="BY763" s="40">
        <f>BY762*(1-IF(B762&gt;=in_marketplace_from,d_hz_loan_home*G762,0)*BZ762)</f>
        <v/>
      </c>
      <c r="BZ763" s="11">
        <f>MIN(in_approval_cap,in_loan_home_approval*INDEX('Age profile'!$O$2:$O$61,B763)*(1+in_approval_growth)^(D763-1))</f>
        <v/>
      </c>
      <c r="CA763" s="14">
        <f>F763*BY763*IF(B763&gt;=in_marketplace_from,d_hz_loan_home*G763,0)*BZ763*in_loan_home_ticket*in_loan_home_comm</f>
        <v/>
      </c>
      <c r="CB763" s="40">
        <f>CB762*(1-IF(B762&gt;=in_marketplace_from,d_hz_loan_lap*G762,0)*CC762)</f>
        <v/>
      </c>
      <c r="CC763" s="11">
        <f>MIN(in_approval_cap,in_loan_lap_approval*INDEX('Age profile'!$O$2:$O$61,B763)*(1+in_approval_growth)^(D763-1))</f>
        <v/>
      </c>
      <c r="CD763" s="14">
        <f>F763*CB763*IF(B763&gt;=in_marketplace_from,d_hz_loan_lap*G763,0)*CC763*in_loan_lap_ticket*in_loan_lap_comm</f>
        <v/>
      </c>
      <c r="CE763" s="14">
        <f>AA763+AB763+AC763+AD763+AG763+AJ763+AM763+AP763+AS763+AU763+AX763+BB763+BE763+BG763+BJ763+BL763+BO763+BR763+BT763+BV763+BX763+CA763+CD763</f>
        <v/>
      </c>
    </row>
    <row r="764">
      <c r="A764" s="39" t="n">
        <v>15</v>
      </c>
      <c r="B764" s="39" t="n">
        <v>14</v>
      </c>
      <c r="C764" s="39">
        <f>A764+B764-1</f>
        <v/>
      </c>
      <c r="D764" s="39">
        <f>INT((C764-1)/12)+1</f>
        <v/>
      </c>
      <c r="E764" s="44">
        <f>INDEX(Monthly!$B$2:$B$61,A764)</f>
        <v/>
      </c>
      <c r="F764" s="44">
        <f>E764*INDEX('Age profile'!$B$2:$B$61,B764)</f>
        <v/>
      </c>
      <c r="G764" s="45">
        <f>MIN(in_takeup_cap,INDEX('Age profile'!$N$2:$N$61,B764)*(1+in_takeup_growth)^(D764-1))</f>
        <v/>
      </c>
      <c r="H764" s="11">
        <f>MIN(in_approval_cap,in_approved_first*INDEX('Age profile'!$O$2:$O$61,B764)*(1+in_approval_growth)^(D764-1))</f>
        <v/>
      </c>
      <c r="I764" s="45">
        <f>G764*MIN(in_takeup_cap,INDEX('Age profile'!$O$2:$O$61,B764)*(1+in_approval_growth)^(D764-1))</f>
        <v/>
      </c>
      <c r="J764" s="40">
        <f>(J763-L763)*F764/F763</f>
        <v/>
      </c>
      <c r="K764" s="40">
        <f>(K763-M763)*F764/F763+SUMIFS(O751:O763,B751:B763,B764-1-d_T)*F764</f>
        <v/>
      </c>
      <c r="L764" s="40">
        <f>IF(B764&gt;=in_marketplace_from,J764*d_hz*G764*in_eligible*H764,0)</f>
        <v/>
      </c>
      <c r="M764" s="40">
        <f>IF(B764&gt;=in_marketplace_from,K764*d_hz*G764*in_eligible*in_approved_repeat,0)</f>
        <v/>
      </c>
      <c r="N764" s="40">
        <f>L764+M764</f>
        <v/>
      </c>
      <c r="O764" s="46">
        <f>N764/F764</f>
        <v/>
      </c>
      <c r="P764" s="40">
        <f>F764-J764-K764</f>
        <v/>
      </c>
      <c r="Q764" s="40">
        <f>IF(B764&gt;=in_marketplace_from,(J764+K764)*d_hz*G764,0)</f>
        <v/>
      </c>
      <c r="R764" s="40">
        <f>SUMIFS(N751:N796,B751:B796,"&gt;="&amp;(B764-d_T),B751:B796,"&lt;="&amp;(B764-1))</f>
        <v/>
      </c>
      <c r="S764" s="46">
        <f>(1-d_u)*S763+IF(d_T&gt;in_topup_lag,SUMIFS(O751:O796,B751:B796,B764-in_topup_lag)-d_udrop*SUMIFS(O751:O796,B751:B796,B764-d_T),0)</f>
        <v/>
      </c>
      <c r="T764" s="40">
        <f>F764*d_u*S764</f>
        <v/>
      </c>
      <c r="U764" s="9">
        <f>L764*in_ticket+M764*d_rep_ticket</f>
        <v/>
      </c>
      <c r="V764" s="9">
        <f>U764+T764*d_topup_amt</f>
        <v/>
      </c>
      <c r="W764" s="40">
        <f>N764+T764*d_topup_ratio</f>
        <v/>
      </c>
      <c r="X764" s="40">
        <f>SUMIFS(W751:W796,B751:B796,B764-in_dpd_lag)*d_cured</f>
        <v/>
      </c>
      <c r="Y764" s="40">
        <f>SUMIFS(W751:W796,B751:B796,B764-in_rec_lag)*d_recd</f>
        <v/>
      </c>
      <c r="Z764" s="40">
        <f>IF(AND(B764&gt;=in_marketplace_from,B764&lt;in_marketplace_from+in_card_months),in_card_share/in_card_months*F764*I764,IF(AND(B764&gt;=in_marketplace_from+in_card_months,B764&lt;in_marketplace_from+2*in_card_months),in_card_share*d_card_rem/in_card_months*F764*MIN(in_takeup_cap,(1+in_takeup_growth)^(D764-1))*MIN(in_takeup_cap,(1+in_approval_growth)^(D764-1)),0))</f>
        <v/>
      </c>
      <c r="AA764" s="14">
        <f>V764*in_fee*(1-in_taken_back)</f>
        <v/>
      </c>
      <c r="AB764" s="14">
        <f>SUMIFS(W751:W796,B751:B796,B764-in_dpd_lag)*d_dpd</f>
        <v/>
      </c>
      <c r="AC764" s="14">
        <f>SUMIFS(W751:W796,B751:B796,B764-in_rec_lag)*d_rec</f>
        <v/>
      </c>
      <c r="AD764" s="14">
        <f>Z764*in_card_fee</f>
        <v/>
      </c>
      <c r="AE764" s="40">
        <f>AE763*(1-IF(B763&gt;=in_marketplace_from,d_hz_hlth_small*G763,0))</f>
        <v/>
      </c>
      <c r="AF764" s="46">
        <f>AE764*IF(B764&gt;=in_marketplace_from,d_hz_hlth_small*G764,0)</f>
        <v/>
      </c>
      <c r="AG764" s="14">
        <f>F764*AF764*in_hlth_small_ticket*in_hlth_small_comm*in_ins_partner_share+F764*in_hlth_small_ticket*in_hlth_small_renew_comm*in_ins_partner_share*(in_hlth_small_renew^1*SUMIFS(AF751:AF796,B751:B796,B764-12)+in_hlth_small_renew^2*SUMIFS(AF751:AF796,B751:B796,B764-24)+in_hlth_small_renew^3*SUMIFS(AF751:AF796,B751:B796,B764-36)+in_hlth_small_renew^4*SUMIFS(AF751:AF796,B751:B796,B764-48))</f>
        <v/>
      </c>
      <c r="AH764" s="40">
        <f>AH763*(1-IF(B763&gt;=in_marketplace_from,d_hz_hlth_family*G763,0))</f>
        <v/>
      </c>
      <c r="AI764" s="46">
        <f>AH764*IF(B764&gt;=in_marketplace_from,d_hz_hlth_family*G764,0)</f>
        <v/>
      </c>
      <c r="AJ764" s="14">
        <f>F764*AI764*in_hlth_family_ticket*in_hlth_family_comm*in_ins_partner_share+F764*in_hlth_family_ticket*in_hlth_family_renew_comm*in_ins_partner_share*(in_hlth_family_renew^1*SUMIFS(AI751:AI796,B751:B796,B764-12)+in_hlth_family_renew^2*SUMIFS(AI751:AI796,B751:B796,B764-24)+in_hlth_family_renew^3*SUMIFS(AI751:AI796,B751:B796,B764-36)+in_hlth_family_renew^4*SUMIFS(AI751:AI796,B751:B796,B764-48))</f>
        <v/>
      </c>
      <c r="AK764" s="40">
        <f>AK763*(1-IF(B763&gt;=in_marketplace_from,d_hz_life_term*G763,0))</f>
        <v/>
      </c>
      <c r="AL764" s="46">
        <f>AK764*IF(B764&gt;=in_marketplace_from,d_hz_life_term*G764,0)</f>
        <v/>
      </c>
      <c r="AM764" s="14">
        <f>F764*AL764*in_life_term_ticket*in_life_term_comm*in_ins_partner_share+F764*in_life_term_ticket*in_life_term_renew_comm*in_ins_partner_share*(in_life_term_renew^1*SUMIFS(AL751:AL796,B751:B796,B764-12)+in_life_term_renew^2*SUMIFS(AL751:AL796,B751:B796,B764-24)+in_life_term_renew^3*SUMIFS(AL751:AL796,B751:B796,B764-36)+in_life_term_renew^4*SUMIFS(AL751:AL796,B751:B796,B764-48))</f>
        <v/>
      </c>
      <c r="AN764" s="40">
        <f>AN763*(1-IF(B763&gt;=in_marketplace_from,d_hz_accident*G763,0))</f>
        <v/>
      </c>
      <c r="AO764" s="46">
        <f>AN764*IF(B764&gt;=in_marketplace_from,d_hz_accident*G764,0)</f>
        <v/>
      </c>
      <c r="AP764" s="14">
        <f>F764*AO764*in_accident_ticket*in_accident_comm*in_ins_partner_share+F764*in_accident_ticket*in_accident_renew_comm*in_ins_partner_share*(in_accident_renew^1*SUMIFS(AO751:AO796,B751:B796,B764-12)+in_accident_renew^2*SUMIFS(AO751:AO796,B751:B796,B764-24)+in_accident_renew^3*SUMIFS(AO751:AO796,B751:B796,B764-36)+in_accident_renew^4*SUMIFS(AO751:AO796,B751:B796,B764-48))</f>
        <v/>
      </c>
      <c r="AQ764" s="40">
        <f>AQ763*(1-IF(B763&gt;=in_marketplace_from,d_hz_two_wheeler*G763,0))</f>
        <v/>
      </c>
      <c r="AR764" s="46">
        <f>AQ764*IF(B764&gt;=in_marketplace_from,d_hz_two_wheeler*G764,0)</f>
        <v/>
      </c>
      <c r="AS764" s="14">
        <f>F764*AR764*in_two_wheeler_ticket*in_two_wheeler_comm*in_ins_partner_share+F764*in_two_wheeler_ticket*in_two_wheeler_comm*in_ins_partner_share*(in_two_wheeler_renew^1*SUMIFS(AR751:AR796,B751:B796,B764-12)+in_two_wheeler_renew^2*SUMIFS(AR751:AR796,B751:B796,B764-24)+in_two_wheeler_renew^3*SUMIFS(AR751:AR796,B751:B796,B764-36)+in_two_wheeler_renew^4*SUMIFS(AR751:AR796,B751:B796,B764-48))</f>
        <v/>
      </c>
      <c r="AT764" s="40">
        <f>AT763*(1-IF(B763&gt;=in_marketplace_from,d_hz_device*G763,0))</f>
        <v/>
      </c>
      <c r="AU764" s="14">
        <f>F764*AT764*IF(B764&gt;=in_marketplace_from,d_hz_device*G764,0)*in_device_ticket*in_device_comm*in_ins_partner_share</f>
        <v/>
      </c>
      <c r="AV764" s="40">
        <f>AV763*(1-IF(B763&gt;=in_marketplace_from,d_hz_shop*G763,0))</f>
        <v/>
      </c>
      <c r="AW764" s="46">
        <f>AV764*IF(B764&gt;=in_marketplace_from,d_hz_shop*G764,0)</f>
        <v/>
      </c>
      <c r="AX764" s="14">
        <f>F764*AW764*in_shop_ticket*in_shop_comm*in_ins_partner_share+F764*in_shop_ticket*in_shop_renew_comm*in_ins_partner_share*(in_shop_renew^1*SUMIFS(AW751:AW796,B751:B796,B764-12)+in_shop_renew^2*SUMIFS(AW751:AW796,B751:B796,B764-24)+in_shop_renew^3*SUMIFS(AW751:AW796,B751:B796,B764-36)+in_shop_renew^4*SUMIFS(AW751:AW796,B751:B796,B764-48))</f>
        <v/>
      </c>
      <c r="AY764" s="40">
        <f>AY763*(1-IF(B763&gt;=in_marketplace_from,d_hz_sip*G763,0))</f>
        <v/>
      </c>
      <c r="AZ764" s="40">
        <f>AZ763*d_rho_sip+AY764*IF(B764&gt;=in_marketplace_from,d_hz_sip*G764,0)</f>
        <v/>
      </c>
      <c r="BA764" s="40">
        <f>d_rho_sip*(BA763+AZ763)</f>
        <v/>
      </c>
      <c r="BB764" s="14">
        <f>F764*in_sip_ticket*(BA764+0.5*AZ764)*in_sip_comm/12</f>
        <v/>
      </c>
      <c r="BC764" s="40">
        <f>BC763*(1-IF(B763&gt;=in_marketplace_from,d_hz_choti*G763,0))</f>
        <v/>
      </c>
      <c r="BD764" s="46">
        <f>BC764*IF(B764&gt;=in_marketplace_from,d_hz_choti*G764,0)</f>
        <v/>
      </c>
      <c r="BE764" s="14">
        <f>F764*SUMIFS(BD751:BD796,B751:B796,B764-in_choti_months)*in_choti_renew*in_choti_ticket</f>
        <v/>
      </c>
      <c r="BF764" s="40">
        <f>BF763*(1-IF(B763&gt;=in_marketplace_from,d_hz_nps*G763,0))</f>
        <v/>
      </c>
      <c r="BG764" s="14">
        <f>F764*BF764*IF(B764&gt;=in_marketplace_from,d_hz_nps*G764,0)*in_nps_ticket*in_nps_comm</f>
        <v/>
      </c>
      <c r="BH764" s="40">
        <f>BH763*(1-IF(B763&gt;=in_marketplace_from,d_hz_gold*G763,0))</f>
        <v/>
      </c>
      <c r="BI764" s="40">
        <f>BI763*d_rho_gold+BH764*IF(B764&gt;=in_marketplace_from,d_hz_gold*G764,0)</f>
        <v/>
      </c>
      <c r="BJ764" s="14">
        <f>F764*BI764*in_gold_ticket*in_gold_comm</f>
        <v/>
      </c>
      <c r="BK764" s="40">
        <f>BK763*(1-IF(B763&gt;=in_marketplace_from,d_hz_fd*G763,0))</f>
        <v/>
      </c>
      <c r="BL764" s="14">
        <f>F764*BK764*IF(B764&gt;=in_marketplace_from,d_hz_fd*G764,0)*in_fd_ticket*in_fd_comm</f>
        <v/>
      </c>
      <c r="BM764" s="40">
        <f>BM763*(1-IF(B763&gt;=in_marketplace_from,d_hz_recharge*G763,0))</f>
        <v/>
      </c>
      <c r="BN764" s="40">
        <f>BN763*d_rho_recharge+BM764*IF(B764&gt;=in_marketplace_from,d_hz_recharge*G764,0)</f>
        <v/>
      </c>
      <c r="BO764" s="14">
        <f>F764*BN764*in_recharge_ticket*in_recharge_comm/12</f>
        <v/>
      </c>
      <c r="BP764" s="40">
        <f>BP763*(1-IF(B763&gt;=in_marketplace_from,d_hz_bills*G763,0))</f>
        <v/>
      </c>
      <c r="BQ764" s="40">
        <f>BQ763*d_rho_bills+BP764*IF(B764&gt;=in_marketplace_from,d_hz_bills*G764,0)</f>
        <v/>
      </c>
      <c r="BR764" s="14">
        <f>F764*BQ764*in_bills_ticket*in_bills_comm/12</f>
        <v/>
      </c>
      <c r="BS764" s="40">
        <f>BS763*(1-IF(B763&gt;=in_marketplace_from,d_hz_loan_gold*G763,0))</f>
        <v/>
      </c>
      <c r="BT764" s="14">
        <f>F764*BS764*IF(B764&gt;=in_marketplace_from,d_hz_loan_gold*G764,0)*in_loan_gold_ticket*in_loan_gold_comm</f>
        <v/>
      </c>
      <c r="BU764" s="40">
        <f>BU763*(1-IF(B763&gt;=in_marketplace_from,d_hz_loan_cd*G763,0))</f>
        <v/>
      </c>
      <c r="BV764" s="14">
        <f>F764*BU764*IF(B764&gt;=in_marketplace_from,d_hz_loan_cd*G764,0)*in_loan_cd_ticket*in_loan_cd_comm</f>
        <v/>
      </c>
      <c r="BW764" s="40">
        <f>BW763*(1-IF(B763&gt;=in_marketplace_from,d_hz_loan_vehicle*G763,0))</f>
        <v/>
      </c>
      <c r="BX764" s="14">
        <f>F764*BW764*IF(B764&gt;=in_marketplace_from,d_hz_loan_vehicle*G764,0)*in_loan_vehicle_ticket*in_loan_vehicle_comm</f>
        <v/>
      </c>
      <c r="BY764" s="40">
        <f>BY763*(1-IF(B763&gt;=in_marketplace_from,d_hz_loan_home*G763,0)*BZ763)</f>
        <v/>
      </c>
      <c r="BZ764" s="11">
        <f>MIN(in_approval_cap,in_loan_home_approval*INDEX('Age profile'!$O$2:$O$61,B764)*(1+in_approval_growth)^(D764-1))</f>
        <v/>
      </c>
      <c r="CA764" s="14">
        <f>F764*BY764*IF(B764&gt;=in_marketplace_from,d_hz_loan_home*G764,0)*BZ764*in_loan_home_ticket*in_loan_home_comm</f>
        <v/>
      </c>
      <c r="CB764" s="40">
        <f>CB763*(1-IF(B763&gt;=in_marketplace_from,d_hz_loan_lap*G763,0)*CC763)</f>
        <v/>
      </c>
      <c r="CC764" s="11">
        <f>MIN(in_approval_cap,in_loan_lap_approval*INDEX('Age profile'!$O$2:$O$61,B764)*(1+in_approval_growth)^(D764-1))</f>
        <v/>
      </c>
      <c r="CD764" s="14">
        <f>F764*CB764*IF(B764&gt;=in_marketplace_from,d_hz_loan_lap*G764,0)*CC764*in_loan_lap_ticket*in_loan_lap_comm</f>
        <v/>
      </c>
      <c r="CE764" s="14">
        <f>AA764+AB764+AC764+AD764+AG764+AJ764+AM764+AP764+AS764+AU764+AX764+BB764+BE764+BG764+BJ764+BL764+BO764+BR764+BT764+BV764+BX764+CA764+CD764</f>
        <v/>
      </c>
    </row>
    <row r="765">
      <c r="A765" s="39" t="n">
        <v>15</v>
      </c>
      <c r="B765" s="39" t="n">
        <v>15</v>
      </c>
      <c r="C765" s="39">
        <f>A765+B765-1</f>
        <v/>
      </c>
      <c r="D765" s="39">
        <f>INT((C765-1)/12)+1</f>
        <v/>
      </c>
      <c r="E765" s="44">
        <f>INDEX(Monthly!$B$2:$B$61,A765)</f>
        <v/>
      </c>
      <c r="F765" s="44">
        <f>E765*INDEX('Age profile'!$B$2:$B$61,B765)</f>
        <v/>
      </c>
      <c r="G765" s="45">
        <f>MIN(in_takeup_cap,INDEX('Age profile'!$N$2:$N$61,B765)*(1+in_takeup_growth)^(D765-1))</f>
        <v/>
      </c>
      <c r="H765" s="11">
        <f>MIN(in_approval_cap,in_approved_first*INDEX('Age profile'!$O$2:$O$61,B765)*(1+in_approval_growth)^(D765-1))</f>
        <v/>
      </c>
      <c r="I765" s="45">
        <f>G765*MIN(in_takeup_cap,INDEX('Age profile'!$O$2:$O$61,B765)*(1+in_approval_growth)^(D765-1))</f>
        <v/>
      </c>
      <c r="J765" s="40">
        <f>(J764-L764)*F765/F764</f>
        <v/>
      </c>
      <c r="K765" s="40">
        <f>(K764-M764)*F765/F764+SUMIFS(O751:O764,B751:B764,B765-1-d_T)*F765</f>
        <v/>
      </c>
      <c r="L765" s="40">
        <f>IF(B765&gt;=in_marketplace_from,J765*d_hz*G765*in_eligible*H765,0)</f>
        <v/>
      </c>
      <c r="M765" s="40">
        <f>IF(B765&gt;=in_marketplace_from,K765*d_hz*G765*in_eligible*in_approved_repeat,0)</f>
        <v/>
      </c>
      <c r="N765" s="40">
        <f>L765+M765</f>
        <v/>
      </c>
      <c r="O765" s="46">
        <f>N765/F765</f>
        <v/>
      </c>
      <c r="P765" s="40">
        <f>F765-J765-K765</f>
        <v/>
      </c>
      <c r="Q765" s="40">
        <f>IF(B765&gt;=in_marketplace_from,(J765+K765)*d_hz*G765,0)</f>
        <v/>
      </c>
      <c r="R765" s="40">
        <f>SUMIFS(N751:N796,B751:B796,"&gt;="&amp;(B765-d_T),B751:B796,"&lt;="&amp;(B765-1))</f>
        <v/>
      </c>
      <c r="S765" s="46">
        <f>(1-d_u)*S764+IF(d_T&gt;in_topup_lag,SUMIFS(O751:O796,B751:B796,B765-in_topup_lag)-d_udrop*SUMIFS(O751:O796,B751:B796,B765-d_T),0)</f>
        <v/>
      </c>
      <c r="T765" s="40">
        <f>F765*d_u*S765</f>
        <v/>
      </c>
      <c r="U765" s="9">
        <f>L765*in_ticket+M765*d_rep_ticket</f>
        <v/>
      </c>
      <c r="V765" s="9">
        <f>U765+T765*d_topup_amt</f>
        <v/>
      </c>
      <c r="W765" s="40">
        <f>N765+T765*d_topup_ratio</f>
        <v/>
      </c>
      <c r="X765" s="40">
        <f>SUMIFS(W751:W796,B751:B796,B765-in_dpd_lag)*d_cured</f>
        <v/>
      </c>
      <c r="Y765" s="40">
        <f>SUMIFS(W751:W796,B751:B796,B765-in_rec_lag)*d_recd</f>
        <v/>
      </c>
      <c r="Z765" s="40">
        <f>IF(AND(B765&gt;=in_marketplace_from,B765&lt;in_marketplace_from+in_card_months),in_card_share/in_card_months*F765*I765,IF(AND(B765&gt;=in_marketplace_from+in_card_months,B765&lt;in_marketplace_from+2*in_card_months),in_card_share*d_card_rem/in_card_months*F765*MIN(in_takeup_cap,(1+in_takeup_growth)^(D765-1))*MIN(in_takeup_cap,(1+in_approval_growth)^(D765-1)),0))</f>
        <v/>
      </c>
      <c r="AA765" s="14">
        <f>V765*in_fee*(1-in_taken_back)</f>
        <v/>
      </c>
      <c r="AB765" s="14">
        <f>SUMIFS(W751:W796,B751:B796,B765-in_dpd_lag)*d_dpd</f>
        <v/>
      </c>
      <c r="AC765" s="14">
        <f>SUMIFS(W751:W796,B751:B796,B765-in_rec_lag)*d_rec</f>
        <v/>
      </c>
      <c r="AD765" s="14">
        <f>Z765*in_card_fee</f>
        <v/>
      </c>
      <c r="AE765" s="40">
        <f>AE764*(1-IF(B764&gt;=in_marketplace_from,d_hz_hlth_small*G764,0))</f>
        <v/>
      </c>
      <c r="AF765" s="46">
        <f>AE765*IF(B765&gt;=in_marketplace_from,d_hz_hlth_small*G765,0)</f>
        <v/>
      </c>
      <c r="AG765" s="14">
        <f>F765*AF765*in_hlth_small_ticket*in_hlth_small_comm*in_ins_partner_share+F765*in_hlth_small_ticket*in_hlth_small_renew_comm*in_ins_partner_share*(in_hlth_small_renew^1*SUMIFS(AF751:AF796,B751:B796,B765-12)+in_hlth_small_renew^2*SUMIFS(AF751:AF796,B751:B796,B765-24)+in_hlth_small_renew^3*SUMIFS(AF751:AF796,B751:B796,B765-36)+in_hlth_small_renew^4*SUMIFS(AF751:AF796,B751:B796,B765-48))</f>
        <v/>
      </c>
      <c r="AH765" s="40">
        <f>AH764*(1-IF(B764&gt;=in_marketplace_from,d_hz_hlth_family*G764,0))</f>
        <v/>
      </c>
      <c r="AI765" s="46">
        <f>AH765*IF(B765&gt;=in_marketplace_from,d_hz_hlth_family*G765,0)</f>
        <v/>
      </c>
      <c r="AJ765" s="14">
        <f>F765*AI765*in_hlth_family_ticket*in_hlth_family_comm*in_ins_partner_share+F765*in_hlth_family_ticket*in_hlth_family_renew_comm*in_ins_partner_share*(in_hlth_family_renew^1*SUMIFS(AI751:AI796,B751:B796,B765-12)+in_hlth_family_renew^2*SUMIFS(AI751:AI796,B751:B796,B765-24)+in_hlth_family_renew^3*SUMIFS(AI751:AI796,B751:B796,B765-36)+in_hlth_family_renew^4*SUMIFS(AI751:AI796,B751:B796,B765-48))</f>
        <v/>
      </c>
      <c r="AK765" s="40">
        <f>AK764*(1-IF(B764&gt;=in_marketplace_from,d_hz_life_term*G764,0))</f>
        <v/>
      </c>
      <c r="AL765" s="46">
        <f>AK765*IF(B765&gt;=in_marketplace_from,d_hz_life_term*G765,0)</f>
        <v/>
      </c>
      <c r="AM765" s="14">
        <f>F765*AL765*in_life_term_ticket*in_life_term_comm*in_ins_partner_share+F765*in_life_term_ticket*in_life_term_renew_comm*in_ins_partner_share*(in_life_term_renew^1*SUMIFS(AL751:AL796,B751:B796,B765-12)+in_life_term_renew^2*SUMIFS(AL751:AL796,B751:B796,B765-24)+in_life_term_renew^3*SUMIFS(AL751:AL796,B751:B796,B765-36)+in_life_term_renew^4*SUMIFS(AL751:AL796,B751:B796,B765-48))</f>
        <v/>
      </c>
      <c r="AN765" s="40">
        <f>AN764*(1-IF(B764&gt;=in_marketplace_from,d_hz_accident*G764,0))</f>
        <v/>
      </c>
      <c r="AO765" s="46">
        <f>AN765*IF(B765&gt;=in_marketplace_from,d_hz_accident*G765,0)</f>
        <v/>
      </c>
      <c r="AP765" s="14">
        <f>F765*AO765*in_accident_ticket*in_accident_comm*in_ins_partner_share+F765*in_accident_ticket*in_accident_renew_comm*in_ins_partner_share*(in_accident_renew^1*SUMIFS(AO751:AO796,B751:B796,B765-12)+in_accident_renew^2*SUMIFS(AO751:AO796,B751:B796,B765-24)+in_accident_renew^3*SUMIFS(AO751:AO796,B751:B796,B765-36)+in_accident_renew^4*SUMIFS(AO751:AO796,B751:B796,B765-48))</f>
        <v/>
      </c>
      <c r="AQ765" s="40">
        <f>AQ764*(1-IF(B764&gt;=in_marketplace_from,d_hz_two_wheeler*G764,0))</f>
        <v/>
      </c>
      <c r="AR765" s="46">
        <f>AQ765*IF(B765&gt;=in_marketplace_from,d_hz_two_wheeler*G765,0)</f>
        <v/>
      </c>
      <c r="AS765" s="14">
        <f>F765*AR765*in_two_wheeler_ticket*in_two_wheeler_comm*in_ins_partner_share+F765*in_two_wheeler_ticket*in_two_wheeler_comm*in_ins_partner_share*(in_two_wheeler_renew^1*SUMIFS(AR751:AR796,B751:B796,B765-12)+in_two_wheeler_renew^2*SUMIFS(AR751:AR796,B751:B796,B765-24)+in_two_wheeler_renew^3*SUMIFS(AR751:AR796,B751:B796,B765-36)+in_two_wheeler_renew^4*SUMIFS(AR751:AR796,B751:B796,B765-48))</f>
        <v/>
      </c>
      <c r="AT765" s="40">
        <f>AT764*(1-IF(B764&gt;=in_marketplace_from,d_hz_device*G764,0))</f>
        <v/>
      </c>
      <c r="AU765" s="14">
        <f>F765*AT765*IF(B765&gt;=in_marketplace_from,d_hz_device*G765,0)*in_device_ticket*in_device_comm*in_ins_partner_share</f>
        <v/>
      </c>
      <c r="AV765" s="40">
        <f>AV764*(1-IF(B764&gt;=in_marketplace_from,d_hz_shop*G764,0))</f>
        <v/>
      </c>
      <c r="AW765" s="46">
        <f>AV765*IF(B765&gt;=in_marketplace_from,d_hz_shop*G765,0)</f>
        <v/>
      </c>
      <c r="AX765" s="14">
        <f>F765*AW765*in_shop_ticket*in_shop_comm*in_ins_partner_share+F765*in_shop_ticket*in_shop_renew_comm*in_ins_partner_share*(in_shop_renew^1*SUMIFS(AW751:AW796,B751:B796,B765-12)+in_shop_renew^2*SUMIFS(AW751:AW796,B751:B796,B765-24)+in_shop_renew^3*SUMIFS(AW751:AW796,B751:B796,B765-36)+in_shop_renew^4*SUMIFS(AW751:AW796,B751:B796,B765-48))</f>
        <v/>
      </c>
      <c r="AY765" s="40">
        <f>AY764*(1-IF(B764&gt;=in_marketplace_from,d_hz_sip*G764,0))</f>
        <v/>
      </c>
      <c r="AZ765" s="40">
        <f>AZ764*d_rho_sip+AY765*IF(B765&gt;=in_marketplace_from,d_hz_sip*G765,0)</f>
        <v/>
      </c>
      <c r="BA765" s="40">
        <f>d_rho_sip*(BA764+AZ764)</f>
        <v/>
      </c>
      <c r="BB765" s="14">
        <f>F765*in_sip_ticket*(BA765+0.5*AZ765)*in_sip_comm/12</f>
        <v/>
      </c>
      <c r="BC765" s="40">
        <f>BC764*(1-IF(B764&gt;=in_marketplace_from,d_hz_choti*G764,0))</f>
        <v/>
      </c>
      <c r="BD765" s="46">
        <f>BC765*IF(B765&gt;=in_marketplace_from,d_hz_choti*G765,0)</f>
        <v/>
      </c>
      <c r="BE765" s="14">
        <f>F765*SUMIFS(BD751:BD796,B751:B796,B765-in_choti_months)*in_choti_renew*in_choti_ticket</f>
        <v/>
      </c>
      <c r="BF765" s="40">
        <f>BF764*(1-IF(B764&gt;=in_marketplace_from,d_hz_nps*G764,0))</f>
        <v/>
      </c>
      <c r="BG765" s="14">
        <f>F765*BF765*IF(B765&gt;=in_marketplace_from,d_hz_nps*G765,0)*in_nps_ticket*in_nps_comm</f>
        <v/>
      </c>
      <c r="BH765" s="40">
        <f>BH764*(1-IF(B764&gt;=in_marketplace_from,d_hz_gold*G764,0))</f>
        <v/>
      </c>
      <c r="BI765" s="40">
        <f>BI764*d_rho_gold+BH765*IF(B765&gt;=in_marketplace_from,d_hz_gold*G765,0)</f>
        <v/>
      </c>
      <c r="BJ765" s="14">
        <f>F765*BI765*in_gold_ticket*in_gold_comm</f>
        <v/>
      </c>
      <c r="BK765" s="40">
        <f>BK764*(1-IF(B764&gt;=in_marketplace_from,d_hz_fd*G764,0))</f>
        <v/>
      </c>
      <c r="BL765" s="14">
        <f>F765*BK765*IF(B765&gt;=in_marketplace_from,d_hz_fd*G765,0)*in_fd_ticket*in_fd_comm</f>
        <v/>
      </c>
      <c r="BM765" s="40">
        <f>BM764*(1-IF(B764&gt;=in_marketplace_from,d_hz_recharge*G764,0))</f>
        <v/>
      </c>
      <c r="BN765" s="40">
        <f>BN764*d_rho_recharge+BM765*IF(B765&gt;=in_marketplace_from,d_hz_recharge*G765,0)</f>
        <v/>
      </c>
      <c r="BO765" s="14">
        <f>F765*BN765*in_recharge_ticket*in_recharge_comm/12</f>
        <v/>
      </c>
      <c r="BP765" s="40">
        <f>BP764*(1-IF(B764&gt;=in_marketplace_from,d_hz_bills*G764,0))</f>
        <v/>
      </c>
      <c r="BQ765" s="40">
        <f>BQ764*d_rho_bills+BP765*IF(B765&gt;=in_marketplace_from,d_hz_bills*G765,0)</f>
        <v/>
      </c>
      <c r="BR765" s="14">
        <f>F765*BQ765*in_bills_ticket*in_bills_comm/12</f>
        <v/>
      </c>
      <c r="BS765" s="40">
        <f>BS764*(1-IF(B764&gt;=in_marketplace_from,d_hz_loan_gold*G764,0))</f>
        <v/>
      </c>
      <c r="BT765" s="14">
        <f>F765*BS765*IF(B765&gt;=in_marketplace_from,d_hz_loan_gold*G765,0)*in_loan_gold_ticket*in_loan_gold_comm</f>
        <v/>
      </c>
      <c r="BU765" s="40">
        <f>BU764*(1-IF(B764&gt;=in_marketplace_from,d_hz_loan_cd*G764,0))</f>
        <v/>
      </c>
      <c r="BV765" s="14">
        <f>F765*BU765*IF(B765&gt;=in_marketplace_from,d_hz_loan_cd*G765,0)*in_loan_cd_ticket*in_loan_cd_comm</f>
        <v/>
      </c>
      <c r="BW765" s="40">
        <f>BW764*(1-IF(B764&gt;=in_marketplace_from,d_hz_loan_vehicle*G764,0))</f>
        <v/>
      </c>
      <c r="BX765" s="14">
        <f>F765*BW765*IF(B765&gt;=in_marketplace_from,d_hz_loan_vehicle*G765,0)*in_loan_vehicle_ticket*in_loan_vehicle_comm</f>
        <v/>
      </c>
      <c r="BY765" s="40">
        <f>BY764*(1-IF(B764&gt;=in_marketplace_from,d_hz_loan_home*G764,0)*BZ764)</f>
        <v/>
      </c>
      <c r="BZ765" s="11">
        <f>MIN(in_approval_cap,in_loan_home_approval*INDEX('Age profile'!$O$2:$O$61,B765)*(1+in_approval_growth)^(D765-1))</f>
        <v/>
      </c>
      <c r="CA765" s="14">
        <f>F765*BY765*IF(B765&gt;=in_marketplace_from,d_hz_loan_home*G765,0)*BZ765*in_loan_home_ticket*in_loan_home_comm</f>
        <v/>
      </c>
      <c r="CB765" s="40">
        <f>CB764*(1-IF(B764&gt;=in_marketplace_from,d_hz_loan_lap*G764,0)*CC764)</f>
        <v/>
      </c>
      <c r="CC765" s="11">
        <f>MIN(in_approval_cap,in_loan_lap_approval*INDEX('Age profile'!$O$2:$O$61,B765)*(1+in_approval_growth)^(D765-1))</f>
        <v/>
      </c>
      <c r="CD765" s="14">
        <f>F765*CB765*IF(B765&gt;=in_marketplace_from,d_hz_loan_lap*G765,0)*CC765*in_loan_lap_ticket*in_loan_lap_comm</f>
        <v/>
      </c>
      <c r="CE765" s="14">
        <f>AA765+AB765+AC765+AD765+AG765+AJ765+AM765+AP765+AS765+AU765+AX765+BB765+BE765+BG765+BJ765+BL765+BO765+BR765+BT765+BV765+BX765+CA765+CD765</f>
        <v/>
      </c>
    </row>
    <row r="766">
      <c r="A766" s="39" t="n">
        <v>15</v>
      </c>
      <c r="B766" s="39" t="n">
        <v>16</v>
      </c>
      <c r="C766" s="39">
        <f>A766+B766-1</f>
        <v/>
      </c>
      <c r="D766" s="39">
        <f>INT((C766-1)/12)+1</f>
        <v/>
      </c>
      <c r="E766" s="44">
        <f>INDEX(Monthly!$B$2:$B$61,A766)</f>
        <v/>
      </c>
      <c r="F766" s="44">
        <f>E766*INDEX('Age profile'!$B$2:$B$61,B766)</f>
        <v/>
      </c>
      <c r="G766" s="45">
        <f>MIN(in_takeup_cap,INDEX('Age profile'!$N$2:$N$61,B766)*(1+in_takeup_growth)^(D766-1))</f>
        <v/>
      </c>
      <c r="H766" s="11">
        <f>MIN(in_approval_cap,in_approved_first*INDEX('Age profile'!$O$2:$O$61,B766)*(1+in_approval_growth)^(D766-1))</f>
        <v/>
      </c>
      <c r="I766" s="45">
        <f>G766*MIN(in_takeup_cap,INDEX('Age profile'!$O$2:$O$61,B766)*(1+in_approval_growth)^(D766-1))</f>
        <v/>
      </c>
      <c r="J766" s="40">
        <f>(J765-L765)*F766/F765</f>
        <v/>
      </c>
      <c r="K766" s="40">
        <f>(K765-M765)*F766/F765+SUMIFS(O751:O765,B751:B765,B766-1-d_T)*F766</f>
        <v/>
      </c>
      <c r="L766" s="40">
        <f>IF(B766&gt;=in_marketplace_from,J766*d_hz*G766*in_eligible*H766,0)</f>
        <v/>
      </c>
      <c r="M766" s="40">
        <f>IF(B766&gt;=in_marketplace_from,K766*d_hz*G766*in_eligible*in_approved_repeat,0)</f>
        <v/>
      </c>
      <c r="N766" s="40">
        <f>L766+M766</f>
        <v/>
      </c>
      <c r="O766" s="46">
        <f>N766/F766</f>
        <v/>
      </c>
      <c r="P766" s="40">
        <f>F766-J766-K766</f>
        <v/>
      </c>
      <c r="Q766" s="40">
        <f>IF(B766&gt;=in_marketplace_from,(J766+K766)*d_hz*G766,0)</f>
        <v/>
      </c>
      <c r="R766" s="40">
        <f>SUMIFS(N751:N796,B751:B796,"&gt;="&amp;(B766-d_T),B751:B796,"&lt;="&amp;(B766-1))</f>
        <v/>
      </c>
      <c r="S766" s="46">
        <f>(1-d_u)*S765+IF(d_T&gt;in_topup_lag,SUMIFS(O751:O796,B751:B796,B766-in_topup_lag)-d_udrop*SUMIFS(O751:O796,B751:B796,B766-d_T),0)</f>
        <v/>
      </c>
      <c r="T766" s="40">
        <f>F766*d_u*S766</f>
        <v/>
      </c>
      <c r="U766" s="9">
        <f>L766*in_ticket+M766*d_rep_ticket</f>
        <v/>
      </c>
      <c r="V766" s="9">
        <f>U766+T766*d_topup_amt</f>
        <v/>
      </c>
      <c r="W766" s="40">
        <f>N766+T766*d_topup_ratio</f>
        <v/>
      </c>
      <c r="X766" s="40">
        <f>SUMIFS(W751:W796,B751:B796,B766-in_dpd_lag)*d_cured</f>
        <v/>
      </c>
      <c r="Y766" s="40">
        <f>SUMIFS(W751:W796,B751:B796,B766-in_rec_lag)*d_recd</f>
        <v/>
      </c>
      <c r="Z766" s="40">
        <f>IF(AND(B766&gt;=in_marketplace_from,B766&lt;in_marketplace_from+in_card_months),in_card_share/in_card_months*F766*I766,IF(AND(B766&gt;=in_marketplace_from+in_card_months,B766&lt;in_marketplace_from+2*in_card_months),in_card_share*d_card_rem/in_card_months*F766*MIN(in_takeup_cap,(1+in_takeup_growth)^(D766-1))*MIN(in_takeup_cap,(1+in_approval_growth)^(D766-1)),0))</f>
        <v/>
      </c>
      <c r="AA766" s="14">
        <f>V766*in_fee*(1-in_taken_back)</f>
        <v/>
      </c>
      <c r="AB766" s="14">
        <f>SUMIFS(W751:W796,B751:B796,B766-in_dpd_lag)*d_dpd</f>
        <v/>
      </c>
      <c r="AC766" s="14">
        <f>SUMIFS(W751:W796,B751:B796,B766-in_rec_lag)*d_rec</f>
        <v/>
      </c>
      <c r="AD766" s="14">
        <f>Z766*in_card_fee</f>
        <v/>
      </c>
      <c r="AE766" s="40">
        <f>AE765*(1-IF(B765&gt;=in_marketplace_from,d_hz_hlth_small*G765,0))</f>
        <v/>
      </c>
      <c r="AF766" s="46">
        <f>AE766*IF(B766&gt;=in_marketplace_from,d_hz_hlth_small*G766,0)</f>
        <v/>
      </c>
      <c r="AG766" s="14">
        <f>F766*AF766*in_hlth_small_ticket*in_hlth_small_comm*in_ins_partner_share+F766*in_hlth_small_ticket*in_hlth_small_renew_comm*in_ins_partner_share*(in_hlth_small_renew^1*SUMIFS(AF751:AF796,B751:B796,B766-12)+in_hlth_small_renew^2*SUMIFS(AF751:AF796,B751:B796,B766-24)+in_hlth_small_renew^3*SUMIFS(AF751:AF796,B751:B796,B766-36)+in_hlth_small_renew^4*SUMIFS(AF751:AF796,B751:B796,B766-48))</f>
        <v/>
      </c>
      <c r="AH766" s="40">
        <f>AH765*(1-IF(B765&gt;=in_marketplace_from,d_hz_hlth_family*G765,0))</f>
        <v/>
      </c>
      <c r="AI766" s="46">
        <f>AH766*IF(B766&gt;=in_marketplace_from,d_hz_hlth_family*G766,0)</f>
        <v/>
      </c>
      <c r="AJ766" s="14">
        <f>F766*AI766*in_hlth_family_ticket*in_hlth_family_comm*in_ins_partner_share+F766*in_hlth_family_ticket*in_hlth_family_renew_comm*in_ins_partner_share*(in_hlth_family_renew^1*SUMIFS(AI751:AI796,B751:B796,B766-12)+in_hlth_family_renew^2*SUMIFS(AI751:AI796,B751:B796,B766-24)+in_hlth_family_renew^3*SUMIFS(AI751:AI796,B751:B796,B766-36)+in_hlth_family_renew^4*SUMIFS(AI751:AI796,B751:B796,B766-48))</f>
        <v/>
      </c>
      <c r="AK766" s="40">
        <f>AK765*(1-IF(B765&gt;=in_marketplace_from,d_hz_life_term*G765,0))</f>
        <v/>
      </c>
      <c r="AL766" s="46">
        <f>AK766*IF(B766&gt;=in_marketplace_from,d_hz_life_term*G766,0)</f>
        <v/>
      </c>
      <c r="AM766" s="14">
        <f>F766*AL766*in_life_term_ticket*in_life_term_comm*in_ins_partner_share+F766*in_life_term_ticket*in_life_term_renew_comm*in_ins_partner_share*(in_life_term_renew^1*SUMIFS(AL751:AL796,B751:B796,B766-12)+in_life_term_renew^2*SUMIFS(AL751:AL796,B751:B796,B766-24)+in_life_term_renew^3*SUMIFS(AL751:AL796,B751:B796,B766-36)+in_life_term_renew^4*SUMIFS(AL751:AL796,B751:B796,B766-48))</f>
        <v/>
      </c>
      <c r="AN766" s="40">
        <f>AN765*(1-IF(B765&gt;=in_marketplace_from,d_hz_accident*G765,0))</f>
        <v/>
      </c>
      <c r="AO766" s="46">
        <f>AN766*IF(B766&gt;=in_marketplace_from,d_hz_accident*G766,0)</f>
        <v/>
      </c>
      <c r="AP766" s="14">
        <f>F766*AO766*in_accident_ticket*in_accident_comm*in_ins_partner_share+F766*in_accident_ticket*in_accident_renew_comm*in_ins_partner_share*(in_accident_renew^1*SUMIFS(AO751:AO796,B751:B796,B766-12)+in_accident_renew^2*SUMIFS(AO751:AO796,B751:B796,B766-24)+in_accident_renew^3*SUMIFS(AO751:AO796,B751:B796,B766-36)+in_accident_renew^4*SUMIFS(AO751:AO796,B751:B796,B766-48))</f>
        <v/>
      </c>
      <c r="AQ766" s="40">
        <f>AQ765*(1-IF(B765&gt;=in_marketplace_from,d_hz_two_wheeler*G765,0))</f>
        <v/>
      </c>
      <c r="AR766" s="46">
        <f>AQ766*IF(B766&gt;=in_marketplace_from,d_hz_two_wheeler*G766,0)</f>
        <v/>
      </c>
      <c r="AS766" s="14">
        <f>F766*AR766*in_two_wheeler_ticket*in_two_wheeler_comm*in_ins_partner_share+F766*in_two_wheeler_ticket*in_two_wheeler_comm*in_ins_partner_share*(in_two_wheeler_renew^1*SUMIFS(AR751:AR796,B751:B796,B766-12)+in_two_wheeler_renew^2*SUMIFS(AR751:AR796,B751:B796,B766-24)+in_two_wheeler_renew^3*SUMIFS(AR751:AR796,B751:B796,B766-36)+in_two_wheeler_renew^4*SUMIFS(AR751:AR796,B751:B796,B766-48))</f>
        <v/>
      </c>
      <c r="AT766" s="40">
        <f>AT765*(1-IF(B765&gt;=in_marketplace_from,d_hz_device*G765,0))</f>
        <v/>
      </c>
      <c r="AU766" s="14">
        <f>F766*AT766*IF(B766&gt;=in_marketplace_from,d_hz_device*G766,0)*in_device_ticket*in_device_comm*in_ins_partner_share</f>
        <v/>
      </c>
      <c r="AV766" s="40">
        <f>AV765*(1-IF(B765&gt;=in_marketplace_from,d_hz_shop*G765,0))</f>
        <v/>
      </c>
      <c r="AW766" s="46">
        <f>AV766*IF(B766&gt;=in_marketplace_from,d_hz_shop*G766,0)</f>
        <v/>
      </c>
      <c r="AX766" s="14">
        <f>F766*AW766*in_shop_ticket*in_shop_comm*in_ins_partner_share+F766*in_shop_ticket*in_shop_renew_comm*in_ins_partner_share*(in_shop_renew^1*SUMIFS(AW751:AW796,B751:B796,B766-12)+in_shop_renew^2*SUMIFS(AW751:AW796,B751:B796,B766-24)+in_shop_renew^3*SUMIFS(AW751:AW796,B751:B796,B766-36)+in_shop_renew^4*SUMIFS(AW751:AW796,B751:B796,B766-48))</f>
        <v/>
      </c>
      <c r="AY766" s="40">
        <f>AY765*(1-IF(B765&gt;=in_marketplace_from,d_hz_sip*G765,0))</f>
        <v/>
      </c>
      <c r="AZ766" s="40">
        <f>AZ765*d_rho_sip+AY766*IF(B766&gt;=in_marketplace_from,d_hz_sip*G766,0)</f>
        <v/>
      </c>
      <c r="BA766" s="40">
        <f>d_rho_sip*(BA765+AZ765)</f>
        <v/>
      </c>
      <c r="BB766" s="14">
        <f>F766*in_sip_ticket*(BA766+0.5*AZ766)*in_sip_comm/12</f>
        <v/>
      </c>
      <c r="BC766" s="40">
        <f>BC765*(1-IF(B765&gt;=in_marketplace_from,d_hz_choti*G765,0))</f>
        <v/>
      </c>
      <c r="BD766" s="46">
        <f>BC766*IF(B766&gt;=in_marketplace_from,d_hz_choti*G766,0)</f>
        <v/>
      </c>
      <c r="BE766" s="14">
        <f>F766*SUMIFS(BD751:BD796,B751:B796,B766-in_choti_months)*in_choti_renew*in_choti_ticket</f>
        <v/>
      </c>
      <c r="BF766" s="40">
        <f>BF765*(1-IF(B765&gt;=in_marketplace_from,d_hz_nps*G765,0))</f>
        <v/>
      </c>
      <c r="BG766" s="14">
        <f>F766*BF766*IF(B766&gt;=in_marketplace_from,d_hz_nps*G766,0)*in_nps_ticket*in_nps_comm</f>
        <v/>
      </c>
      <c r="BH766" s="40">
        <f>BH765*(1-IF(B765&gt;=in_marketplace_from,d_hz_gold*G765,0))</f>
        <v/>
      </c>
      <c r="BI766" s="40">
        <f>BI765*d_rho_gold+BH766*IF(B766&gt;=in_marketplace_from,d_hz_gold*G766,0)</f>
        <v/>
      </c>
      <c r="BJ766" s="14">
        <f>F766*BI766*in_gold_ticket*in_gold_comm</f>
        <v/>
      </c>
      <c r="BK766" s="40">
        <f>BK765*(1-IF(B765&gt;=in_marketplace_from,d_hz_fd*G765,0))</f>
        <v/>
      </c>
      <c r="BL766" s="14">
        <f>F766*BK766*IF(B766&gt;=in_marketplace_from,d_hz_fd*G766,0)*in_fd_ticket*in_fd_comm</f>
        <v/>
      </c>
      <c r="BM766" s="40">
        <f>BM765*(1-IF(B765&gt;=in_marketplace_from,d_hz_recharge*G765,0))</f>
        <v/>
      </c>
      <c r="BN766" s="40">
        <f>BN765*d_rho_recharge+BM766*IF(B766&gt;=in_marketplace_from,d_hz_recharge*G766,0)</f>
        <v/>
      </c>
      <c r="BO766" s="14">
        <f>F766*BN766*in_recharge_ticket*in_recharge_comm/12</f>
        <v/>
      </c>
      <c r="BP766" s="40">
        <f>BP765*(1-IF(B765&gt;=in_marketplace_from,d_hz_bills*G765,0))</f>
        <v/>
      </c>
      <c r="BQ766" s="40">
        <f>BQ765*d_rho_bills+BP766*IF(B766&gt;=in_marketplace_from,d_hz_bills*G766,0)</f>
        <v/>
      </c>
      <c r="BR766" s="14">
        <f>F766*BQ766*in_bills_ticket*in_bills_comm/12</f>
        <v/>
      </c>
      <c r="BS766" s="40">
        <f>BS765*(1-IF(B765&gt;=in_marketplace_from,d_hz_loan_gold*G765,0))</f>
        <v/>
      </c>
      <c r="BT766" s="14">
        <f>F766*BS766*IF(B766&gt;=in_marketplace_from,d_hz_loan_gold*G766,0)*in_loan_gold_ticket*in_loan_gold_comm</f>
        <v/>
      </c>
      <c r="BU766" s="40">
        <f>BU765*(1-IF(B765&gt;=in_marketplace_from,d_hz_loan_cd*G765,0))</f>
        <v/>
      </c>
      <c r="BV766" s="14">
        <f>F766*BU766*IF(B766&gt;=in_marketplace_from,d_hz_loan_cd*G766,0)*in_loan_cd_ticket*in_loan_cd_comm</f>
        <v/>
      </c>
      <c r="BW766" s="40">
        <f>BW765*(1-IF(B765&gt;=in_marketplace_from,d_hz_loan_vehicle*G765,0))</f>
        <v/>
      </c>
      <c r="BX766" s="14">
        <f>F766*BW766*IF(B766&gt;=in_marketplace_from,d_hz_loan_vehicle*G766,0)*in_loan_vehicle_ticket*in_loan_vehicle_comm</f>
        <v/>
      </c>
      <c r="BY766" s="40">
        <f>BY765*(1-IF(B765&gt;=in_marketplace_from,d_hz_loan_home*G765,0)*BZ765)</f>
        <v/>
      </c>
      <c r="BZ766" s="11">
        <f>MIN(in_approval_cap,in_loan_home_approval*INDEX('Age profile'!$O$2:$O$61,B766)*(1+in_approval_growth)^(D766-1))</f>
        <v/>
      </c>
      <c r="CA766" s="14">
        <f>F766*BY766*IF(B766&gt;=in_marketplace_from,d_hz_loan_home*G766,0)*BZ766*in_loan_home_ticket*in_loan_home_comm</f>
        <v/>
      </c>
      <c r="CB766" s="40">
        <f>CB765*(1-IF(B765&gt;=in_marketplace_from,d_hz_loan_lap*G765,0)*CC765)</f>
        <v/>
      </c>
      <c r="CC766" s="11">
        <f>MIN(in_approval_cap,in_loan_lap_approval*INDEX('Age profile'!$O$2:$O$61,B766)*(1+in_approval_growth)^(D766-1))</f>
        <v/>
      </c>
      <c r="CD766" s="14">
        <f>F766*CB766*IF(B766&gt;=in_marketplace_from,d_hz_loan_lap*G766,0)*CC766*in_loan_lap_ticket*in_loan_lap_comm</f>
        <v/>
      </c>
      <c r="CE766" s="14">
        <f>AA766+AB766+AC766+AD766+AG766+AJ766+AM766+AP766+AS766+AU766+AX766+BB766+BE766+BG766+BJ766+BL766+BO766+BR766+BT766+BV766+BX766+CA766+CD766</f>
        <v/>
      </c>
    </row>
    <row r="767">
      <c r="A767" s="39" t="n">
        <v>15</v>
      </c>
      <c r="B767" s="39" t="n">
        <v>17</v>
      </c>
      <c r="C767" s="39">
        <f>A767+B767-1</f>
        <v/>
      </c>
      <c r="D767" s="39">
        <f>INT((C767-1)/12)+1</f>
        <v/>
      </c>
      <c r="E767" s="44">
        <f>INDEX(Monthly!$B$2:$B$61,A767)</f>
        <v/>
      </c>
      <c r="F767" s="44">
        <f>E767*INDEX('Age profile'!$B$2:$B$61,B767)</f>
        <v/>
      </c>
      <c r="G767" s="45">
        <f>MIN(in_takeup_cap,INDEX('Age profile'!$N$2:$N$61,B767)*(1+in_takeup_growth)^(D767-1))</f>
        <v/>
      </c>
      <c r="H767" s="11">
        <f>MIN(in_approval_cap,in_approved_first*INDEX('Age profile'!$O$2:$O$61,B767)*(1+in_approval_growth)^(D767-1))</f>
        <v/>
      </c>
      <c r="I767" s="45">
        <f>G767*MIN(in_takeup_cap,INDEX('Age profile'!$O$2:$O$61,B767)*(1+in_approval_growth)^(D767-1))</f>
        <v/>
      </c>
      <c r="J767" s="40">
        <f>(J766-L766)*F767/F766</f>
        <v/>
      </c>
      <c r="K767" s="40">
        <f>(K766-M766)*F767/F766+SUMIFS(O751:O766,B751:B766,B767-1-d_T)*F767</f>
        <v/>
      </c>
      <c r="L767" s="40">
        <f>IF(B767&gt;=in_marketplace_from,J767*d_hz*G767*in_eligible*H767,0)</f>
        <v/>
      </c>
      <c r="M767" s="40">
        <f>IF(B767&gt;=in_marketplace_from,K767*d_hz*G767*in_eligible*in_approved_repeat,0)</f>
        <v/>
      </c>
      <c r="N767" s="40">
        <f>L767+M767</f>
        <v/>
      </c>
      <c r="O767" s="46">
        <f>N767/F767</f>
        <v/>
      </c>
      <c r="P767" s="40">
        <f>F767-J767-K767</f>
        <v/>
      </c>
      <c r="Q767" s="40">
        <f>IF(B767&gt;=in_marketplace_from,(J767+K767)*d_hz*G767,0)</f>
        <v/>
      </c>
      <c r="R767" s="40">
        <f>SUMIFS(N751:N796,B751:B796,"&gt;="&amp;(B767-d_T),B751:B796,"&lt;="&amp;(B767-1))</f>
        <v/>
      </c>
      <c r="S767" s="46">
        <f>(1-d_u)*S766+IF(d_T&gt;in_topup_lag,SUMIFS(O751:O796,B751:B796,B767-in_topup_lag)-d_udrop*SUMIFS(O751:O796,B751:B796,B767-d_T),0)</f>
        <v/>
      </c>
      <c r="T767" s="40">
        <f>F767*d_u*S767</f>
        <v/>
      </c>
      <c r="U767" s="9">
        <f>L767*in_ticket+M767*d_rep_ticket</f>
        <v/>
      </c>
      <c r="V767" s="9">
        <f>U767+T767*d_topup_amt</f>
        <v/>
      </c>
      <c r="W767" s="40">
        <f>N767+T767*d_topup_ratio</f>
        <v/>
      </c>
      <c r="X767" s="40">
        <f>SUMIFS(W751:W796,B751:B796,B767-in_dpd_lag)*d_cured</f>
        <v/>
      </c>
      <c r="Y767" s="40">
        <f>SUMIFS(W751:W796,B751:B796,B767-in_rec_lag)*d_recd</f>
        <v/>
      </c>
      <c r="Z767" s="40">
        <f>IF(AND(B767&gt;=in_marketplace_from,B767&lt;in_marketplace_from+in_card_months),in_card_share/in_card_months*F767*I767,IF(AND(B767&gt;=in_marketplace_from+in_card_months,B767&lt;in_marketplace_from+2*in_card_months),in_card_share*d_card_rem/in_card_months*F767*MIN(in_takeup_cap,(1+in_takeup_growth)^(D767-1))*MIN(in_takeup_cap,(1+in_approval_growth)^(D767-1)),0))</f>
        <v/>
      </c>
      <c r="AA767" s="14">
        <f>V767*in_fee*(1-in_taken_back)</f>
        <v/>
      </c>
      <c r="AB767" s="14">
        <f>SUMIFS(W751:W796,B751:B796,B767-in_dpd_lag)*d_dpd</f>
        <v/>
      </c>
      <c r="AC767" s="14">
        <f>SUMIFS(W751:W796,B751:B796,B767-in_rec_lag)*d_rec</f>
        <v/>
      </c>
      <c r="AD767" s="14">
        <f>Z767*in_card_fee</f>
        <v/>
      </c>
      <c r="AE767" s="40">
        <f>AE766*(1-IF(B766&gt;=in_marketplace_from,d_hz_hlth_small*G766,0))</f>
        <v/>
      </c>
      <c r="AF767" s="46">
        <f>AE767*IF(B767&gt;=in_marketplace_from,d_hz_hlth_small*G767,0)</f>
        <v/>
      </c>
      <c r="AG767" s="14">
        <f>F767*AF767*in_hlth_small_ticket*in_hlth_small_comm*in_ins_partner_share+F767*in_hlth_small_ticket*in_hlth_small_renew_comm*in_ins_partner_share*(in_hlth_small_renew^1*SUMIFS(AF751:AF796,B751:B796,B767-12)+in_hlth_small_renew^2*SUMIFS(AF751:AF796,B751:B796,B767-24)+in_hlth_small_renew^3*SUMIFS(AF751:AF796,B751:B796,B767-36)+in_hlth_small_renew^4*SUMIFS(AF751:AF796,B751:B796,B767-48))</f>
        <v/>
      </c>
      <c r="AH767" s="40">
        <f>AH766*(1-IF(B766&gt;=in_marketplace_from,d_hz_hlth_family*G766,0))</f>
        <v/>
      </c>
      <c r="AI767" s="46">
        <f>AH767*IF(B767&gt;=in_marketplace_from,d_hz_hlth_family*G767,0)</f>
        <v/>
      </c>
      <c r="AJ767" s="14">
        <f>F767*AI767*in_hlth_family_ticket*in_hlth_family_comm*in_ins_partner_share+F767*in_hlth_family_ticket*in_hlth_family_renew_comm*in_ins_partner_share*(in_hlth_family_renew^1*SUMIFS(AI751:AI796,B751:B796,B767-12)+in_hlth_family_renew^2*SUMIFS(AI751:AI796,B751:B796,B767-24)+in_hlth_family_renew^3*SUMIFS(AI751:AI796,B751:B796,B767-36)+in_hlth_family_renew^4*SUMIFS(AI751:AI796,B751:B796,B767-48))</f>
        <v/>
      </c>
      <c r="AK767" s="40">
        <f>AK766*(1-IF(B766&gt;=in_marketplace_from,d_hz_life_term*G766,0))</f>
        <v/>
      </c>
      <c r="AL767" s="46">
        <f>AK767*IF(B767&gt;=in_marketplace_from,d_hz_life_term*G767,0)</f>
        <v/>
      </c>
      <c r="AM767" s="14">
        <f>F767*AL767*in_life_term_ticket*in_life_term_comm*in_ins_partner_share+F767*in_life_term_ticket*in_life_term_renew_comm*in_ins_partner_share*(in_life_term_renew^1*SUMIFS(AL751:AL796,B751:B796,B767-12)+in_life_term_renew^2*SUMIFS(AL751:AL796,B751:B796,B767-24)+in_life_term_renew^3*SUMIFS(AL751:AL796,B751:B796,B767-36)+in_life_term_renew^4*SUMIFS(AL751:AL796,B751:B796,B767-48))</f>
        <v/>
      </c>
      <c r="AN767" s="40">
        <f>AN766*(1-IF(B766&gt;=in_marketplace_from,d_hz_accident*G766,0))</f>
        <v/>
      </c>
      <c r="AO767" s="46">
        <f>AN767*IF(B767&gt;=in_marketplace_from,d_hz_accident*G767,0)</f>
        <v/>
      </c>
      <c r="AP767" s="14">
        <f>F767*AO767*in_accident_ticket*in_accident_comm*in_ins_partner_share+F767*in_accident_ticket*in_accident_renew_comm*in_ins_partner_share*(in_accident_renew^1*SUMIFS(AO751:AO796,B751:B796,B767-12)+in_accident_renew^2*SUMIFS(AO751:AO796,B751:B796,B767-24)+in_accident_renew^3*SUMIFS(AO751:AO796,B751:B796,B767-36)+in_accident_renew^4*SUMIFS(AO751:AO796,B751:B796,B767-48))</f>
        <v/>
      </c>
      <c r="AQ767" s="40">
        <f>AQ766*(1-IF(B766&gt;=in_marketplace_from,d_hz_two_wheeler*G766,0))</f>
        <v/>
      </c>
      <c r="AR767" s="46">
        <f>AQ767*IF(B767&gt;=in_marketplace_from,d_hz_two_wheeler*G767,0)</f>
        <v/>
      </c>
      <c r="AS767" s="14">
        <f>F767*AR767*in_two_wheeler_ticket*in_two_wheeler_comm*in_ins_partner_share+F767*in_two_wheeler_ticket*in_two_wheeler_comm*in_ins_partner_share*(in_two_wheeler_renew^1*SUMIFS(AR751:AR796,B751:B796,B767-12)+in_two_wheeler_renew^2*SUMIFS(AR751:AR796,B751:B796,B767-24)+in_two_wheeler_renew^3*SUMIFS(AR751:AR796,B751:B796,B767-36)+in_two_wheeler_renew^4*SUMIFS(AR751:AR796,B751:B796,B767-48))</f>
        <v/>
      </c>
      <c r="AT767" s="40">
        <f>AT766*(1-IF(B766&gt;=in_marketplace_from,d_hz_device*G766,0))</f>
        <v/>
      </c>
      <c r="AU767" s="14">
        <f>F767*AT767*IF(B767&gt;=in_marketplace_from,d_hz_device*G767,0)*in_device_ticket*in_device_comm*in_ins_partner_share</f>
        <v/>
      </c>
      <c r="AV767" s="40">
        <f>AV766*(1-IF(B766&gt;=in_marketplace_from,d_hz_shop*G766,0))</f>
        <v/>
      </c>
      <c r="AW767" s="46">
        <f>AV767*IF(B767&gt;=in_marketplace_from,d_hz_shop*G767,0)</f>
        <v/>
      </c>
      <c r="AX767" s="14">
        <f>F767*AW767*in_shop_ticket*in_shop_comm*in_ins_partner_share+F767*in_shop_ticket*in_shop_renew_comm*in_ins_partner_share*(in_shop_renew^1*SUMIFS(AW751:AW796,B751:B796,B767-12)+in_shop_renew^2*SUMIFS(AW751:AW796,B751:B796,B767-24)+in_shop_renew^3*SUMIFS(AW751:AW796,B751:B796,B767-36)+in_shop_renew^4*SUMIFS(AW751:AW796,B751:B796,B767-48))</f>
        <v/>
      </c>
      <c r="AY767" s="40">
        <f>AY766*(1-IF(B766&gt;=in_marketplace_from,d_hz_sip*G766,0))</f>
        <v/>
      </c>
      <c r="AZ767" s="40">
        <f>AZ766*d_rho_sip+AY767*IF(B767&gt;=in_marketplace_from,d_hz_sip*G767,0)</f>
        <v/>
      </c>
      <c r="BA767" s="40">
        <f>d_rho_sip*(BA766+AZ766)</f>
        <v/>
      </c>
      <c r="BB767" s="14">
        <f>F767*in_sip_ticket*(BA767+0.5*AZ767)*in_sip_comm/12</f>
        <v/>
      </c>
      <c r="BC767" s="40">
        <f>BC766*(1-IF(B766&gt;=in_marketplace_from,d_hz_choti*G766,0))</f>
        <v/>
      </c>
      <c r="BD767" s="46">
        <f>BC767*IF(B767&gt;=in_marketplace_from,d_hz_choti*G767,0)</f>
        <v/>
      </c>
      <c r="BE767" s="14">
        <f>F767*SUMIFS(BD751:BD796,B751:B796,B767-in_choti_months)*in_choti_renew*in_choti_ticket</f>
        <v/>
      </c>
      <c r="BF767" s="40">
        <f>BF766*(1-IF(B766&gt;=in_marketplace_from,d_hz_nps*G766,0))</f>
        <v/>
      </c>
      <c r="BG767" s="14">
        <f>F767*BF767*IF(B767&gt;=in_marketplace_from,d_hz_nps*G767,0)*in_nps_ticket*in_nps_comm</f>
        <v/>
      </c>
      <c r="BH767" s="40">
        <f>BH766*(1-IF(B766&gt;=in_marketplace_from,d_hz_gold*G766,0))</f>
        <v/>
      </c>
      <c r="BI767" s="40">
        <f>BI766*d_rho_gold+BH767*IF(B767&gt;=in_marketplace_from,d_hz_gold*G767,0)</f>
        <v/>
      </c>
      <c r="BJ767" s="14">
        <f>F767*BI767*in_gold_ticket*in_gold_comm</f>
        <v/>
      </c>
      <c r="BK767" s="40">
        <f>BK766*(1-IF(B766&gt;=in_marketplace_from,d_hz_fd*G766,0))</f>
        <v/>
      </c>
      <c r="BL767" s="14">
        <f>F767*BK767*IF(B767&gt;=in_marketplace_from,d_hz_fd*G767,0)*in_fd_ticket*in_fd_comm</f>
        <v/>
      </c>
      <c r="BM767" s="40">
        <f>BM766*(1-IF(B766&gt;=in_marketplace_from,d_hz_recharge*G766,0))</f>
        <v/>
      </c>
      <c r="BN767" s="40">
        <f>BN766*d_rho_recharge+BM767*IF(B767&gt;=in_marketplace_from,d_hz_recharge*G767,0)</f>
        <v/>
      </c>
      <c r="BO767" s="14">
        <f>F767*BN767*in_recharge_ticket*in_recharge_comm/12</f>
        <v/>
      </c>
      <c r="BP767" s="40">
        <f>BP766*(1-IF(B766&gt;=in_marketplace_from,d_hz_bills*G766,0))</f>
        <v/>
      </c>
      <c r="BQ767" s="40">
        <f>BQ766*d_rho_bills+BP767*IF(B767&gt;=in_marketplace_from,d_hz_bills*G767,0)</f>
        <v/>
      </c>
      <c r="BR767" s="14">
        <f>F767*BQ767*in_bills_ticket*in_bills_comm/12</f>
        <v/>
      </c>
      <c r="BS767" s="40">
        <f>BS766*(1-IF(B766&gt;=in_marketplace_from,d_hz_loan_gold*G766,0))</f>
        <v/>
      </c>
      <c r="BT767" s="14">
        <f>F767*BS767*IF(B767&gt;=in_marketplace_from,d_hz_loan_gold*G767,0)*in_loan_gold_ticket*in_loan_gold_comm</f>
        <v/>
      </c>
      <c r="BU767" s="40">
        <f>BU766*(1-IF(B766&gt;=in_marketplace_from,d_hz_loan_cd*G766,0))</f>
        <v/>
      </c>
      <c r="BV767" s="14">
        <f>F767*BU767*IF(B767&gt;=in_marketplace_from,d_hz_loan_cd*G767,0)*in_loan_cd_ticket*in_loan_cd_comm</f>
        <v/>
      </c>
      <c r="BW767" s="40">
        <f>BW766*(1-IF(B766&gt;=in_marketplace_from,d_hz_loan_vehicle*G766,0))</f>
        <v/>
      </c>
      <c r="BX767" s="14">
        <f>F767*BW767*IF(B767&gt;=in_marketplace_from,d_hz_loan_vehicle*G767,0)*in_loan_vehicle_ticket*in_loan_vehicle_comm</f>
        <v/>
      </c>
      <c r="BY767" s="40">
        <f>BY766*(1-IF(B766&gt;=in_marketplace_from,d_hz_loan_home*G766,0)*BZ766)</f>
        <v/>
      </c>
      <c r="BZ767" s="11">
        <f>MIN(in_approval_cap,in_loan_home_approval*INDEX('Age profile'!$O$2:$O$61,B767)*(1+in_approval_growth)^(D767-1))</f>
        <v/>
      </c>
      <c r="CA767" s="14">
        <f>F767*BY767*IF(B767&gt;=in_marketplace_from,d_hz_loan_home*G767,0)*BZ767*in_loan_home_ticket*in_loan_home_comm</f>
        <v/>
      </c>
      <c r="CB767" s="40">
        <f>CB766*(1-IF(B766&gt;=in_marketplace_from,d_hz_loan_lap*G766,0)*CC766)</f>
        <v/>
      </c>
      <c r="CC767" s="11">
        <f>MIN(in_approval_cap,in_loan_lap_approval*INDEX('Age profile'!$O$2:$O$61,B767)*(1+in_approval_growth)^(D767-1))</f>
        <v/>
      </c>
      <c r="CD767" s="14">
        <f>F767*CB767*IF(B767&gt;=in_marketplace_from,d_hz_loan_lap*G767,0)*CC767*in_loan_lap_ticket*in_loan_lap_comm</f>
        <v/>
      </c>
      <c r="CE767" s="14">
        <f>AA767+AB767+AC767+AD767+AG767+AJ767+AM767+AP767+AS767+AU767+AX767+BB767+BE767+BG767+BJ767+BL767+BO767+BR767+BT767+BV767+BX767+CA767+CD767</f>
        <v/>
      </c>
    </row>
    <row r="768">
      <c r="A768" s="39" t="n">
        <v>15</v>
      </c>
      <c r="B768" s="39" t="n">
        <v>18</v>
      </c>
      <c r="C768" s="39">
        <f>A768+B768-1</f>
        <v/>
      </c>
      <c r="D768" s="39">
        <f>INT((C768-1)/12)+1</f>
        <v/>
      </c>
      <c r="E768" s="44">
        <f>INDEX(Monthly!$B$2:$B$61,A768)</f>
        <v/>
      </c>
      <c r="F768" s="44">
        <f>E768*INDEX('Age profile'!$B$2:$B$61,B768)</f>
        <v/>
      </c>
      <c r="G768" s="45">
        <f>MIN(in_takeup_cap,INDEX('Age profile'!$N$2:$N$61,B768)*(1+in_takeup_growth)^(D768-1))</f>
        <v/>
      </c>
      <c r="H768" s="11">
        <f>MIN(in_approval_cap,in_approved_first*INDEX('Age profile'!$O$2:$O$61,B768)*(1+in_approval_growth)^(D768-1))</f>
        <v/>
      </c>
      <c r="I768" s="45">
        <f>G768*MIN(in_takeup_cap,INDEX('Age profile'!$O$2:$O$61,B768)*(1+in_approval_growth)^(D768-1))</f>
        <v/>
      </c>
      <c r="J768" s="40">
        <f>(J767-L767)*F768/F767</f>
        <v/>
      </c>
      <c r="K768" s="40">
        <f>(K767-M767)*F768/F767+SUMIFS(O751:O767,B751:B767,B768-1-d_T)*F768</f>
        <v/>
      </c>
      <c r="L768" s="40">
        <f>IF(B768&gt;=in_marketplace_from,J768*d_hz*G768*in_eligible*H768,0)</f>
        <v/>
      </c>
      <c r="M768" s="40">
        <f>IF(B768&gt;=in_marketplace_from,K768*d_hz*G768*in_eligible*in_approved_repeat,0)</f>
        <v/>
      </c>
      <c r="N768" s="40">
        <f>L768+M768</f>
        <v/>
      </c>
      <c r="O768" s="46">
        <f>N768/F768</f>
        <v/>
      </c>
      <c r="P768" s="40">
        <f>F768-J768-K768</f>
        <v/>
      </c>
      <c r="Q768" s="40">
        <f>IF(B768&gt;=in_marketplace_from,(J768+K768)*d_hz*G768,0)</f>
        <v/>
      </c>
      <c r="R768" s="40">
        <f>SUMIFS(N751:N796,B751:B796,"&gt;="&amp;(B768-d_T),B751:B796,"&lt;="&amp;(B768-1))</f>
        <v/>
      </c>
      <c r="S768" s="46">
        <f>(1-d_u)*S767+IF(d_T&gt;in_topup_lag,SUMIFS(O751:O796,B751:B796,B768-in_topup_lag)-d_udrop*SUMIFS(O751:O796,B751:B796,B768-d_T),0)</f>
        <v/>
      </c>
      <c r="T768" s="40">
        <f>F768*d_u*S768</f>
        <v/>
      </c>
      <c r="U768" s="9">
        <f>L768*in_ticket+M768*d_rep_ticket</f>
        <v/>
      </c>
      <c r="V768" s="9">
        <f>U768+T768*d_topup_amt</f>
        <v/>
      </c>
      <c r="W768" s="40">
        <f>N768+T768*d_topup_ratio</f>
        <v/>
      </c>
      <c r="X768" s="40">
        <f>SUMIFS(W751:W796,B751:B796,B768-in_dpd_lag)*d_cured</f>
        <v/>
      </c>
      <c r="Y768" s="40">
        <f>SUMIFS(W751:W796,B751:B796,B768-in_rec_lag)*d_recd</f>
        <v/>
      </c>
      <c r="Z768" s="40">
        <f>IF(AND(B768&gt;=in_marketplace_from,B768&lt;in_marketplace_from+in_card_months),in_card_share/in_card_months*F768*I768,IF(AND(B768&gt;=in_marketplace_from+in_card_months,B768&lt;in_marketplace_from+2*in_card_months),in_card_share*d_card_rem/in_card_months*F768*MIN(in_takeup_cap,(1+in_takeup_growth)^(D768-1))*MIN(in_takeup_cap,(1+in_approval_growth)^(D768-1)),0))</f>
        <v/>
      </c>
      <c r="AA768" s="14">
        <f>V768*in_fee*(1-in_taken_back)</f>
        <v/>
      </c>
      <c r="AB768" s="14">
        <f>SUMIFS(W751:W796,B751:B796,B768-in_dpd_lag)*d_dpd</f>
        <v/>
      </c>
      <c r="AC768" s="14">
        <f>SUMIFS(W751:W796,B751:B796,B768-in_rec_lag)*d_rec</f>
        <v/>
      </c>
      <c r="AD768" s="14">
        <f>Z768*in_card_fee</f>
        <v/>
      </c>
      <c r="AE768" s="40">
        <f>AE767*(1-IF(B767&gt;=in_marketplace_from,d_hz_hlth_small*G767,0))</f>
        <v/>
      </c>
      <c r="AF768" s="46">
        <f>AE768*IF(B768&gt;=in_marketplace_from,d_hz_hlth_small*G768,0)</f>
        <v/>
      </c>
      <c r="AG768" s="14">
        <f>F768*AF768*in_hlth_small_ticket*in_hlth_small_comm*in_ins_partner_share+F768*in_hlth_small_ticket*in_hlth_small_renew_comm*in_ins_partner_share*(in_hlth_small_renew^1*SUMIFS(AF751:AF796,B751:B796,B768-12)+in_hlth_small_renew^2*SUMIFS(AF751:AF796,B751:B796,B768-24)+in_hlth_small_renew^3*SUMIFS(AF751:AF796,B751:B796,B768-36)+in_hlth_small_renew^4*SUMIFS(AF751:AF796,B751:B796,B768-48))</f>
        <v/>
      </c>
      <c r="AH768" s="40">
        <f>AH767*(1-IF(B767&gt;=in_marketplace_from,d_hz_hlth_family*G767,0))</f>
        <v/>
      </c>
      <c r="AI768" s="46">
        <f>AH768*IF(B768&gt;=in_marketplace_from,d_hz_hlth_family*G768,0)</f>
        <v/>
      </c>
      <c r="AJ768" s="14">
        <f>F768*AI768*in_hlth_family_ticket*in_hlth_family_comm*in_ins_partner_share+F768*in_hlth_family_ticket*in_hlth_family_renew_comm*in_ins_partner_share*(in_hlth_family_renew^1*SUMIFS(AI751:AI796,B751:B796,B768-12)+in_hlth_family_renew^2*SUMIFS(AI751:AI796,B751:B796,B768-24)+in_hlth_family_renew^3*SUMIFS(AI751:AI796,B751:B796,B768-36)+in_hlth_family_renew^4*SUMIFS(AI751:AI796,B751:B796,B768-48))</f>
        <v/>
      </c>
      <c r="AK768" s="40">
        <f>AK767*(1-IF(B767&gt;=in_marketplace_from,d_hz_life_term*G767,0))</f>
        <v/>
      </c>
      <c r="AL768" s="46">
        <f>AK768*IF(B768&gt;=in_marketplace_from,d_hz_life_term*G768,0)</f>
        <v/>
      </c>
      <c r="AM768" s="14">
        <f>F768*AL768*in_life_term_ticket*in_life_term_comm*in_ins_partner_share+F768*in_life_term_ticket*in_life_term_renew_comm*in_ins_partner_share*(in_life_term_renew^1*SUMIFS(AL751:AL796,B751:B796,B768-12)+in_life_term_renew^2*SUMIFS(AL751:AL796,B751:B796,B768-24)+in_life_term_renew^3*SUMIFS(AL751:AL796,B751:B796,B768-36)+in_life_term_renew^4*SUMIFS(AL751:AL796,B751:B796,B768-48))</f>
        <v/>
      </c>
      <c r="AN768" s="40">
        <f>AN767*(1-IF(B767&gt;=in_marketplace_from,d_hz_accident*G767,0))</f>
        <v/>
      </c>
      <c r="AO768" s="46">
        <f>AN768*IF(B768&gt;=in_marketplace_from,d_hz_accident*G768,0)</f>
        <v/>
      </c>
      <c r="AP768" s="14">
        <f>F768*AO768*in_accident_ticket*in_accident_comm*in_ins_partner_share+F768*in_accident_ticket*in_accident_renew_comm*in_ins_partner_share*(in_accident_renew^1*SUMIFS(AO751:AO796,B751:B796,B768-12)+in_accident_renew^2*SUMIFS(AO751:AO796,B751:B796,B768-24)+in_accident_renew^3*SUMIFS(AO751:AO796,B751:B796,B768-36)+in_accident_renew^4*SUMIFS(AO751:AO796,B751:B796,B768-48))</f>
        <v/>
      </c>
      <c r="AQ768" s="40">
        <f>AQ767*(1-IF(B767&gt;=in_marketplace_from,d_hz_two_wheeler*G767,0))</f>
        <v/>
      </c>
      <c r="AR768" s="46">
        <f>AQ768*IF(B768&gt;=in_marketplace_from,d_hz_two_wheeler*G768,0)</f>
        <v/>
      </c>
      <c r="AS768" s="14">
        <f>F768*AR768*in_two_wheeler_ticket*in_two_wheeler_comm*in_ins_partner_share+F768*in_two_wheeler_ticket*in_two_wheeler_comm*in_ins_partner_share*(in_two_wheeler_renew^1*SUMIFS(AR751:AR796,B751:B796,B768-12)+in_two_wheeler_renew^2*SUMIFS(AR751:AR796,B751:B796,B768-24)+in_two_wheeler_renew^3*SUMIFS(AR751:AR796,B751:B796,B768-36)+in_two_wheeler_renew^4*SUMIFS(AR751:AR796,B751:B796,B768-48))</f>
        <v/>
      </c>
      <c r="AT768" s="40">
        <f>AT767*(1-IF(B767&gt;=in_marketplace_from,d_hz_device*G767,0))</f>
        <v/>
      </c>
      <c r="AU768" s="14">
        <f>F768*AT768*IF(B768&gt;=in_marketplace_from,d_hz_device*G768,0)*in_device_ticket*in_device_comm*in_ins_partner_share</f>
        <v/>
      </c>
      <c r="AV768" s="40">
        <f>AV767*(1-IF(B767&gt;=in_marketplace_from,d_hz_shop*G767,0))</f>
        <v/>
      </c>
      <c r="AW768" s="46">
        <f>AV768*IF(B768&gt;=in_marketplace_from,d_hz_shop*G768,0)</f>
        <v/>
      </c>
      <c r="AX768" s="14">
        <f>F768*AW768*in_shop_ticket*in_shop_comm*in_ins_partner_share+F768*in_shop_ticket*in_shop_renew_comm*in_ins_partner_share*(in_shop_renew^1*SUMIFS(AW751:AW796,B751:B796,B768-12)+in_shop_renew^2*SUMIFS(AW751:AW796,B751:B796,B768-24)+in_shop_renew^3*SUMIFS(AW751:AW796,B751:B796,B768-36)+in_shop_renew^4*SUMIFS(AW751:AW796,B751:B796,B768-48))</f>
        <v/>
      </c>
      <c r="AY768" s="40">
        <f>AY767*(1-IF(B767&gt;=in_marketplace_from,d_hz_sip*G767,0))</f>
        <v/>
      </c>
      <c r="AZ768" s="40">
        <f>AZ767*d_rho_sip+AY768*IF(B768&gt;=in_marketplace_from,d_hz_sip*G768,0)</f>
        <v/>
      </c>
      <c r="BA768" s="40">
        <f>d_rho_sip*(BA767+AZ767)</f>
        <v/>
      </c>
      <c r="BB768" s="14">
        <f>F768*in_sip_ticket*(BA768+0.5*AZ768)*in_sip_comm/12</f>
        <v/>
      </c>
      <c r="BC768" s="40">
        <f>BC767*(1-IF(B767&gt;=in_marketplace_from,d_hz_choti*G767,0))</f>
        <v/>
      </c>
      <c r="BD768" s="46">
        <f>BC768*IF(B768&gt;=in_marketplace_from,d_hz_choti*G768,0)</f>
        <v/>
      </c>
      <c r="BE768" s="14">
        <f>F768*SUMIFS(BD751:BD796,B751:B796,B768-in_choti_months)*in_choti_renew*in_choti_ticket</f>
        <v/>
      </c>
      <c r="BF768" s="40">
        <f>BF767*(1-IF(B767&gt;=in_marketplace_from,d_hz_nps*G767,0))</f>
        <v/>
      </c>
      <c r="BG768" s="14">
        <f>F768*BF768*IF(B768&gt;=in_marketplace_from,d_hz_nps*G768,0)*in_nps_ticket*in_nps_comm</f>
        <v/>
      </c>
      <c r="BH768" s="40">
        <f>BH767*(1-IF(B767&gt;=in_marketplace_from,d_hz_gold*G767,0))</f>
        <v/>
      </c>
      <c r="BI768" s="40">
        <f>BI767*d_rho_gold+BH768*IF(B768&gt;=in_marketplace_from,d_hz_gold*G768,0)</f>
        <v/>
      </c>
      <c r="BJ768" s="14">
        <f>F768*BI768*in_gold_ticket*in_gold_comm</f>
        <v/>
      </c>
      <c r="BK768" s="40">
        <f>BK767*(1-IF(B767&gt;=in_marketplace_from,d_hz_fd*G767,0))</f>
        <v/>
      </c>
      <c r="BL768" s="14">
        <f>F768*BK768*IF(B768&gt;=in_marketplace_from,d_hz_fd*G768,0)*in_fd_ticket*in_fd_comm</f>
        <v/>
      </c>
      <c r="BM768" s="40">
        <f>BM767*(1-IF(B767&gt;=in_marketplace_from,d_hz_recharge*G767,0))</f>
        <v/>
      </c>
      <c r="BN768" s="40">
        <f>BN767*d_rho_recharge+BM768*IF(B768&gt;=in_marketplace_from,d_hz_recharge*G768,0)</f>
        <v/>
      </c>
      <c r="BO768" s="14">
        <f>F768*BN768*in_recharge_ticket*in_recharge_comm/12</f>
        <v/>
      </c>
      <c r="BP768" s="40">
        <f>BP767*(1-IF(B767&gt;=in_marketplace_from,d_hz_bills*G767,0))</f>
        <v/>
      </c>
      <c r="BQ768" s="40">
        <f>BQ767*d_rho_bills+BP768*IF(B768&gt;=in_marketplace_from,d_hz_bills*G768,0)</f>
        <v/>
      </c>
      <c r="BR768" s="14">
        <f>F768*BQ768*in_bills_ticket*in_bills_comm/12</f>
        <v/>
      </c>
      <c r="BS768" s="40">
        <f>BS767*(1-IF(B767&gt;=in_marketplace_from,d_hz_loan_gold*G767,0))</f>
        <v/>
      </c>
      <c r="BT768" s="14">
        <f>F768*BS768*IF(B768&gt;=in_marketplace_from,d_hz_loan_gold*G768,0)*in_loan_gold_ticket*in_loan_gold_comm</f>
        <v/>
      </c>
      <c r="BU768" s="40">
        <f>BU767*(1-IF(B767&gt;=in_marketplace_from,d_hz_loan_cd*G767,0))</f>
        <v/>
      </c>
      <c r="BV768" s="14">
        <f>F768*BU768*IF(B768&gt;=in_marketplace_from,d_hz_loan_cd*G768,0)*in_loan_cd_ticket*in_loan_cd_comm</f>
        <v/>
      </c>
      <c r="BW768" s="40">
        <f>BW767*(1-IF(B767&gt;=in_marketplace_from,d_hz_loan_vehicle*G767,0))</f>
        <v/>
      </c>
      <c r="BX768" s="14">
        <f>F768*BW768*IF(B768&gt;=in_marketplace_from,d_hz_loan_vehicle*G768,0)*in_loan_vehicle_ticket*in_loan_vehicle_comm</f>
        <v/>
      </c>
      <c r="BY768" s="40">
        <f>BY767*(1-IF(B767&gt;=in_marketplace_from,d_hz_loan_home*G767,0)*BZ767)</f>
        <v/>
      </c>
      <c r="BZ768" s="11">
        <f>MIN(in_approval_cap,in_loan_home_approval*INDEX('Age profile'!$O$2:$O$61,B768)*(1+in_approval_growth)^(D768-1))</f>
        <v/>
      </c>
      <c r="CA768" s="14">
        <f>F768*BY768*IF(B768&gt;=in_marketplace_from,d_hz_loan_home*G768,0)*BZ768*in_loan_home_ticket*in_loan_home_comm</f>
        <v/>
      </c>
      <c r="CB768" s="40">
        <f>CB767*(1-IF(B767&gt;=in_marketplace_from,d_hz_loan_lap*G767,0)*CC767)</f>
        <v/>
      </c>
      <c r="CC768" s="11">
        <f>MIN(in_approval_cap,in_loan_lap_approval*INDEX('Age profile'!$O$2:$O$61,B768)*(1+in_approval_growth)^(D768-1))</f>
        <v/>
      </c>
      <c r="CD768" s="14">
        <f>F768*CB768*IF(B768&gt;=in_marketplace_from,d_hz_loan_lap*G768,0)*CC768*in_loan_lap_ticket*in_loan_lap_comm</f>
        <v/>
      </c>
      <c r="CE768" s="14">
        <f>AA768+AB768+AC768+AD768+AG768+AJ768+AM768+AP768+AS768+AU768+AX768+BB768+BE768+BG768+BJ768+BL768+BO768+BR768+BT768+BV768+BX768+CA768+CD768</f>
        <v/>
      </c>
    </row>
    <row r="769">
      <c r="A769" s="39" t="n">
        <v>15</v>
      </c>
      <c r="B769" s="39" t="n">
        <v>19</v>
      </c>
      <c r="C769" s="39">
        <f>A769+B769-1</f>
        <v/>
      </c>
      <c r="D769" s="39">
        <f>INT((C769-1)/12)+1</f>
        <v/>
      </c>
      <c r="E769" s="44">
        <f>INDEX(Monthly!$B$2:$B$61,A769)</f>
        <v/>
      </c>
      <c r="F769" s="44">
        <f>E769*INDEX('Age profile'!$B$2:$B$61,B769)</f>
        <v/>
      </c>
      <c r="G769" s="45">
        <f>MIN(in_takeup_cap,INDEX('Age profile'!$N$2:$N$61,B769)*(1+in_takeup_growth)^(D769-1))</f>
        <v/>
      </c>
      <c r="H769" s="11">
        <f>MIN(in_approval_cap,in_approved_first*INDEX('Age profile'!$O$2:$O$61,B769)*(1+in_approval_growth)^(D769-1))</f>
        <v/>
      </c>
      <c r="I769" s="45">
        <f>G769*MIN(in_takeup_cap,INDEX('Age profile'!$O$2:$O$61,B769)*(1+in_approval_growth)^(D769-1))</f>
        <v/>
      </c>
      <c r="J769" s="40">
        <f>(J768-L768)*F769/F768</f>
        <v/>
      </c>
      <c r="K769" s="40">
        <f>(K768-M768)*F769/F768+SUMIFS(O751:O768,B751:B768,B769-1-d_T)*F769</f>
        <v/>
      </c>
      <c r="L769" s="40">
        <f>IF(B769&gt;=in_marketplace_from,J769*d_hz*G769*in_eligible*H769,0)</f>
        <v/>
      </c>
      <c r="M769" s="40">
        <f>IF(B769&gt;=in_marketplace_from,K769*d_hz*G769*in_eligible*in_approved_repeat,0)</f>
        <v/>
      </c>
      <c r="N769" s="40">
        <f>L769+M769</f>
        <v/>
      </c>
      <c r="O769" s="46">
        <f>N769/F769</f>
        <v/>
      </c>
      <c r="P769" s="40">
        <f>F769-J769-K769</f>
        <v/>
      </c>
      <c r="Q769" s="40">
        <f>IF(B769&gt;=in_marketplace_from,(J769+K769)*d_hz*G769,0)</f>
        <v/>
      </c>
      <c r="R769" s="40">
        <f>SUMIFS(N751:N796,B751:B796,"&gt;="&amp;(B769-d_T),B751:B796,"&lt;="&amp;(B769-1))</f>
        <v/>
      </c>
      <c r="S769" s="46">
        <f>(1-d_u)*S768+IF(d_T&gt;in_topup_lag,SUMIFS(O751:O796,B751:B796,B769-in_topup_lag)-d_udrop*SUMIFS(O751:O796,B751:B796,B769-d_T),0)</f>
        <v/>
      </c>
      <c r="T769" s="40">
        <f>F769*d_u*S769</f>
        <v/>
      </c>
      <c r="U769" s="9">
        <f>L769*in_ticket+M769*d_rep_ticket</f>
        <v/>
      </c>
      <c r="V769" s="9">
        <f>U769+T769*d_topup_amt</f>
        <v/>
      </c>
      <c r="W769" s="40">
        <f>N769+T769*d_topup_ratio</f>
        <v/>
      </c>
      <c r="X769" s="40">
        <f>SUMIFS(W751:W796,B751:B796,B769-in_dpd_lag)*d_cured</f>
        <v/>
      </c>
      <c r="Y769" s="40">
        <f>SUMIFS(W751:W796,B751:B796,B769-in_rec_lag)*d_recd</f>
        <v/>
      </c>
      <c r="Z769" s="40">
        <f>IF(AND(B769&gt;=in_marketplace_from,B769&lt;in_marketplace_from+in_card_months),in_card_share/in_card_months*F769*I769,IF(AND(B769&gt;=in_marketplace_from+in_card_months,B769&lt;in_marketplace_from+2*in_card_months),in_card_share*d_card_rem/in_card_months*F769*MIN(in_takeup_cap,(1+in_takeup_growth)^(D769-1))*MIN(in_takeup_cap,(1+in_approval_growth)^(D769-1)),0))</f>
        <v/>
      </c>
      <c r="AA769" s="14">
        <f>V769*in_fee*(1-in_taken_back)</f>
        <v/>
      </c>
      <c r="AB769" s="14">
        <f>SUMIFS(W751:W796,B751:B796,B769-in_dpd_lag)*d_dpd</f>
        <v/>
      </c>
      <c r="AC769" s="14">
        <f>SUMIFS(W751:W796,B751:B796,B769-in_rec_lag)*d_rec</f>
        <v/>
      </c>
      <c r="AD769" s="14">
        <f>Z769*in_card_fee</f>
        <v/>
      </c>
      <c r="AE769" s="40">
        <f>AE768*(1-IF(B768&gt;=in_marketplace_from,d_hz_hlth_small*G768,0))</f>
        <v/>
      </c>
      <c r="AF769" s="46">
        <f>AE769*IF(B769&gt;=in_marketplace_from,d_hz_hlth_small*G769,0)</f>
        <v/>
      </c>
      <c r="AG769" s="14">
        <f>F769*AF769*in_hlth_small_ticket*in_hlth_small_comm*in_ins_partner_share+F769*in_hlth_small_ticket*in_hlth_small_renew_comm*in_ins_partner_share*(in_hlth_small_renew^1*SUMIFS(AF751:AF796,B751:B796,B769-12)+in_hlth_small_renew^2*SUMIFS(AF751:AF796,B751:B796,B769-24)+in_hlth_small_renew^3*SUMIFS(AF751:AF796,B751:B796,B769-36)+in_hlth_small_renew^4*SUMIFS(AF751:AF796,B751:B796,B769-48))</f>
        <v/>
      </c>
      <c r="AH769" s="40">
        <f>AH768*(1-IF(B768&gt;=in_marketplace_from,d_hz_hlth_family*G768,0))</f>
        <v/>
      </c>
      <c r="AI769" s="46">
        <f>AH769*IF(B769&gt;=in_marketplace_from,d_hz_hlth_family*G769,0)</f>
        <v/>
      </c>
      <c r="AJ769" s="14">
        <f>F769*AI769*in_hlth_family_ticket*in_hlth_family_comm*in_ins_partner_share+F769*in_hlth_family_ticket*in_hlth_family_renew_comm*in_ins_partner_share*(in_hlth_family_renew^1*SUMIFS(AI751:AI796,B751:B796,B769-12)+in_hlth_family_renew^2*SUMIFS(AI751:AI796,B751:B796,B769-24)+in_hlth_family_renew^3*SUMIFS(AI751:AI796,B751:B796,B769-36)+in_hlth_family_renew^4*SUMIFS(AI751:AI796,B751:B796,B769-48))</f>
        <v/>
      </c>
      <c r="AK769" s="40">
        <f>AK768*(1-IF(B768&gt;=in_marketplace_from,d_hz_life_term*G768,0))</f>
        <v/>
      </c>
      <c r="AL769" s="46">
        <f>AK769*IF(B769&gt;=in_marketplace_from,d_hz_life_term*G769,0)</f>
        <v/>
      </c>
      <c r="AM769" s="14">
        <f>F769*AL769*in_life_term_ticket*in_life_term_comm*in_ins_partner_share+F769*in_life_term_ticket*in_life_term_renew_comm*in_ins_partner_share*(in_life_term_renew^1*SUMIFS(AL751:AL796,B751:B796,B769-12)+in_life_term_renew^2*SUMIFS(AL751:AL796,B751:B796,B769-24)+in_life_term_renew^3*SUMIFS(AL751:AL796,B751:B796,B769-36)+in_life_term_renew^4*SUMIFS(AL751:AL796,B751:B796,B769-48))</f>
        <v/>
      </c>
      <c r="AN769" s="40">
        <f>AN768*(1-IF(B768&gt;=in_marketplace_from,d_hz_accident*G768,0))</f>
        <v/>
      </c>
      <c r="AO769" s="46">
        <f>AN769*IF(B769&gt;=in_marketplace_from,d_hz_accident*G769,0)</f>
        <v/>
      </c>
      <c r="AP769" s="14">
        <f>F769*AO769*in_accident_ticket*in_accident_comm*in_ins_partner_share+F769*in_accident_ticket*in_accident_renew_comm*in_ins_partner_share*(in_accident_renew^1*SUMIFS(AO751:AO796,B751:B796,B769-12)+in_accident_renew^2*SUMIFS(AO751:AO796,B751:B796,B769-24)+in_accident_renew^3*SUMIFS(AO751:AO796,B751:B796,B769-36)+in_accident_renew^4*SUMIFS(AO751:AO796,B751:B796,B769-48))</f>
        <v/>
      </c>
      <c r="AQ769" s="40">
        <f>AQ768*(1-IF(B768&gt;=in_marketplace_from,d_hz_two_wheeler*G768,0))</f>
        <v/>
      </c>
      <c r="AR769" s="46">
        <f>AQ769*IF(B769&gt;=in_marketplace_from,d_hz_two_wheeler*G769,0)</f>
        <v/>
      </c>
      <c r="AS769" s="14">
        <f>F769*AR769*in_two_wheeler_ticket*in_two_wheeler_comm*in_ins_partner_share+F769*in_two_wheeler_ticket*in_two_wheeler_comm*in_ins_partner_share*(in_two_wheeler_renew^1*SUMIFS(AR751:AR796,B751:B796,B769-12)+in_two_wheeler_renew^2*SUMIFS(AR751:AR796,B751:B796,B769-24)+in_two_wheeler_renew^3*SUMIFS(AR751:AR796,B751:B796,B769-36)+in_two_wheeler_renew^4*SUMIFS(AR751:AR796,B751:B796,B769-48))</f>
        <v/>
      </c>
      <c r="AT769" s="40">
        <f>AT768*(1-IF(B768&gt;=in_marketplace_from,d_hz_device*G768,0))</f>
        <v/>
      </c>
      <c r="AU769" s="14">
        <f>F769*AT769*IF(B769&gt;=in_marketplace_from,d_hz_device*G769,0)*in_device_ticket*in_device_comm*in_ins_partner_share</f>
        <v/>
      </c>
      <c r="AV769" s="40">
        <f>AV768*(1-IF(B768&gt;=in_marketplace_from,d_hz_shop*G768,0))</f>
        <v/>
      </c>
      <c r="AW769" s="46">
        <f>AV769*IF(B769&gt;=in_marketplace_from,d_hz_shop*G769,0)</f>
        <v/>
      </c>
      <c r="AX769" s="14">
        <f>F769*AW769*in_shop_ticket*in_shop_comm*in_ins_partner_share+F769*in_shop_ticket*in_shop_renew_comm*in_ins_partner_share*(in_shop_renew^1*SUMIFS(AW751:AW796,B751:B796,B769-12)+in_shop_renew^2*SUMIFS(AW751:AW796,B751:B796,B769-24)+in_shop_renew^3*SUMIFS(AW751:AW796,B751:B796,B769-36)+in_shop_renew^4*SUMIFS(AW751:AW796,B751:B796,B769-48))</f>
        <v/>
      </c>
      <c r="AY769" s="40">
        <f>AY768*(1-IF(B768&gt;=in_marketplace_from,d_hz_sip*G768,0))</f>
        <v/>
      </c>
      <c r="AZ769" s="40">
        <f>AZ768*d_rho_sip+AY769*IF(B769&gt;=in_marketplace_from,d_hz_sip*G769,0)</f>
        <v/>
      </c>
      <c r="BA769" s="40">
        <f>d_rho_sip*(BA768+AZ768)</f>
        <v/>
      </c>
      <c r="BB769" s="14">
        <f>F769*in_sip_ticket*(BA769+0.5*AZ769)*in_sip_comm/12</f>
        <v/>
      </c>
      <c r="BC769" s="40">
        <f>BC768*(1-IF(B768&gt;=in_marketplace_from,d_hz_choti*G768,0))</f>
        <v/>
      </c>
      <c r="BD769" s="46">
        <f>BC769*IF(B769&gt;=in_marketplace_from,d_hz_choti*G769,0)</f>
        <v/>
      </c>
      <c r="BE769" s="14">
        <f>F769*SUMIFS(BD751:BD796,B751:B796,B769-in_choti_months)*in_choti_renew*in_choti_ticket</f>
        <v/>
      </c>
      <c r="BF769" s="40">
        <f>BF768*(1-IF(B768&gt;=in_marketplace_from,d_hz_nps*G768,0))</f>
        <v/>
      </c>
      <c r="BG769" s="14">
        <f>F769*BF769*IF(B769&gt;=in_marketplace_from,d_hz_nps*G769,0)*in_nps_ticket*in_nps_comm</f>
        <v/>
      </c>
      <c r="BH769" s="40">
        <f>BH768*(1-IF(B768&gt;=in_marketplace_from,d_hz_gold*G768,0))</f>
        <v/>
      </c>
      <c r="BI769" s="40">
        <f>BI768*d_rho_gold+BH769*IF(B769&gt;=in_marketplace_from,d_hz_gold*G769,0)</f>
        <v/>
      </c>
      <c r="BJ769" s="14">
        <f>F769*BI769*in_gold_ticket*in_gold_comm</f>
        <v/>
      </c>
      <c r="BK769" s="40">
        <f>BK768*(1-IF(B768&gt;=in_marketplace_from,d_hz_fd*G768,0))</f>
        <v/>
      </c>
      <c r="BL769" s="14">
        <f>F769*BK769*IF(B769&gt;=in_marketplace_from,d_hz_fd*G769,0)*in_fd_ticket*in_fd_comm</f>
        <v/>
      </c>
      <c r="BM769" s="40">
        <f>BM768*(1-IF(B768&gt;=in_marketplace_from,d_hz_recharge*G768,0))</f>
        <v/>
      </c>
      <c r="BN769" s="40">
        <f>BN768*d_rho_recharge+BM769*IF(B769&gt;=in_marketplace_from,d_hz_recharge*G769,0)</f>
        <v/>
      </c>
      <c r="BO769" s="14">
        <f>F769*BN769*in_recharge_ticket*in_recharge_comm/12</f>
        <v/>
      </c>
      <c r="BP769" s="40">
        <f>BP768*(1-IF(B768&gt;=in_marketplace_from,d_hz_bills*G768,0))</f>
        <v/>
      </c>
      <c r="BQ769" s="40">
        <f>BQ768*d_rho_bills+BP769*IF(B769&gt;=in_marketplace_from,d_hz_bills*G769,0)</f>
        <v/>
      </c>
      <c r="BR769" s="14">
        <f>F769*BQ769*in_bills_ticket*in_bills_comm/12</f>
        <v/>
      </c>
      <c r="BS769" s="40">
        <f>BS768*(1-IF(B768&gt;=in_marketplace_from,d_hz_loan_gold*G768,0))</f>
        <v/>
      </c>
      <c r="BT769" s="14">
        <f>F769*BS769*IF(B769&gt;=in_marketplace_from,d_hz_loan_gold*G769,0)*in_loan_gold_ticket*in_loan_gold_comm</f>
        <v/>
      </c>
      <c r="BU769" s="40">
        <f>BU768*(1-IF(B768&gt;=in_marketplace_from,d_hz_loan_cd*G768,0))</f>
        <v/>
      </c>
      <c r="BV769" s="14">
        <f>F769*BU769*IF(B769&gt;=in_marketplace_from,d_hz_loan_cd*G769,0)*in_loan_cd_ticket*in_loan_cd_comm</f>
        <v/>
      </c>
      <c r="BW769" s="40">
        <f>BW768*(1-IF(B768&gt;=in_marketplace_from,d_hz_loan_vehicle*G768,0))</f>
        <v/>
      </c>
      <c r="BX769" s="14">
        <f>F769*BW769*IF(B769&gt;=in_marketplace_from,d_hz_loan_vehicle*G769,0)*in_loan_vehicle_ticket*in_loan_vehicle_comm</f>
        <v/>
      </c>
      <c r="BY769" s="40">
        <f>BY768*(1-IF(B768&gt;=in_marketplace_from,d_hz_loan_home*G768,0)*BZ768)</f>
        <v/>
      </c>
      <c r="BZ769" s="11">
        <f>MIN(in_approval_cap,in_loan_home_approval*INDEX('Age profile'!$O$2:$O$61,B769)*(1+in_approval_growth)^(D769-1))</f>
        <v/>
      </c>
      <c r="CA769" s="14">
        <f>F769*BY769*IF(B769&gt;=in_marketplace_from,d_hz_loan_home*G769,0)*BZ769*in_loan_home_ticket*in_loan_home_comm</f>
        <v/>
      </c>
      <c r="CB769" s="40">
        <f>CB768*(1-IF(B768&gt;=in_marketplace_from,d_hz_loan_lap*G768,0)*CC768)</f>
        <v/>
      </c>
      <c r="CC769" s="11">
        <f>MIN(in_approval_cap,in_loan_lap_approval*INDEX('Age profile'!$O$2:$O$61,B769)*(1+in_approval_growth)^(D769-1))</f>
        <v/>
      </c>
      <c r="CD769" s="14">
        <f>F769*CB769*IF(B769&gt;=in_marketplace_from,d_hz_loan_lap*G769,0)*CC769*in_loan_lap_ticket*in_loan_lap_comm</f>
        <v/>
      </c>
      <c r="CE769" s="14">
        <f>AA769+AB769+AC769+AD769+AG769+AJ769+AM769+AP769+AS769+AU769+AX769+BB769+BE769+BG769+BJ769+BL769+BO769+BR769+BT769+BV769+BX769+CA769+CD769</f>
        <v/>
      </c>
    </row>
    <row r="770">
      <c r="A770" s="39" t="n">
        <v>15</v>
      </c>
      <c r="B770" s="39" t="n">
        <v>20</v>
      </c>
      <c r="C770" s="39">
        <f>A770+B770-1</f>
        <v/>
      </c>
      <c r="D770" s="39">
        <f>INT((C770-1)/12)+1</f>
        <v/>
      </c>
      <c r="E770" s="44">
        <f>INDEX(Monthly!$B$2:$B$61,A770)</f>
        <v/>
      </c>
      <c r="F770" s="44">
        <f>E770*INDEX('Age profile'!$B$2:$B$61,B770)</f>
        <v/>
      </c>
      <c r="G770" s="45">
        <f>MIN(in_takeup_cap,INDEX('Age profile'!$N$2:$N$61,B770)*(1+in_takeup_growth)^(D770-1))</f>
        <v/>
      </c>
      <c r="H770" s="11">
        <f>MIN(in_approval_cap,in_approved_first*INDEX('Age profile'!$O$2:$O$61,B770)*(1+in_approval_growth)^(D770-1))</f>
        <v/>
      </c>
      <c r="I770" s="45">
        <f>G770*MIN(in_takeup_cap,INDEX('Age profile'!$O$2:$O$61,B770)*(1+in_approval_growth)^(D770-1))</f>
        <v/>
      </c>
      <c r="J770" s="40">
        <f>(J769-L769)*F770/F769</f>
        <v/>
      </c>
      <c r="K770" s="40">
        <f>(K769-M769)*F770/F769+SUMIFS(O751:O769,B751:B769,B770-1-d_T)*F770</f>
        <v/>
      </c>
      <c r="L770" s="40">
        <f>IF(B770&gt;=in_marketplace_from,J770*d_hz*G770*in_eligible*H770,0)</f>
        <v/>
      </c>
      <c r="M770" s="40">
        <f>IF(B770&gt;=in_marketplace_from,K770*d_hz*G770*in_eligible*in_approved_repeat,0)</f>
        <v/>
      </c>
      <c r="N770" s="40">
        <f>L770+M770</f>
        <v/>
      </c>
      <c r="O770" s="46">
        <f>N770/F770</f>
        <v/>
      </c>
      <c r="P770" s="40">
        <f>F770-J770-K770</f>
        <v/>
      </c>
      <c r="Q770" s="40">
        <f>IF(B770&gt;=in_marketplace_from,(J770+K770)*d_hz*G770,0)</f>
        <v/>
      </c>
      <c r="R770" s="40">
        <f>SUMIFS(N751:N796,B751:B796,"&gt;="&amp;(B770-d_T),B751:B796,"&lt;="&amp;(B770-1))</f>
        <v/>
      </c>
      <c r="S770" s="46">
        <f>(1-d_u)*S769+IF(d_T&gt;in_topup_lag,SUMIFS(O751:O796,B751:B796,B770-in_topup_lag)-d_udrop*SUMIFS(O751:O796,B751:B796,B770-d_T),0)</f>
        <v/>
      </c>
      <c r="T770" s="40">
        <f>F770*d_u*S770</f>
        <v/>
      </c>
      <c r="U770" s="9">
        <f>L770*in_ticket+M770*d_rep_ticket</f>
        <v/>
      </c>
      <c r="V770" s="9">
        <f>U770+T770*d_topup_amt</f>
        <v/>
      </c>
      <c r="W770" s="40">
        <f>N770+T770*d_topup_ratio</f>
        <v/>
      </c>
      <c r="X770" s="40">
        <f>SUMIFS(W751:W796,B751:B796,B770-in_dpd_lag)*d_cured</f>
        <v/>
      </c>
      <c r="Y770" s="40">
        <f>SUMIFS(W751:W796,B751:B796,B770-in_rec_lag)*d_recd</f>
        <v/>
      </c>
      <c r="Z770" s="40">
        <f>IF(AND(B770&gt;=in_marketplace_from,B770&lt;in_marketplace_from+in_card_months),in_card_share/in_card_months*F770*I770,IF(AND(B770&gt;=in_marketplace_from+in_card_months,B770&lt;in_marketplace_from+2*in_card_months),in_card_share*d_card_rem/in_card_months*F770*MIN(in_takeup_cap,(1+in_takeup_growth)^(D770-1))*MIN(in_takeup_cap,(1+in_approval_growth)^(D770-1)),0))</f>
        <v/>
      </c>
      <c r="AA770" s="14">
        <f>V770*in_fee*(1-in_taken_back)</f>
        <v/>
      </c>
      <c r="AB770" s="14">
        <f>SUMIFS(W751:W796,B751:B796,B770-in_dpd_lag)*d_dpd</f>
        <v/>
      </c>
      <c r="AC770" s="14">
        <f>SUMIFS(W751:W796,B751:B796,B770-in_rec_lag)*d_rec</f>
        <v/>
      </c>
      <c r="AD770" s="14">
        <f>Z770*in_card_fee</f>
        <v/>
      </c>
      <c r="AE770" s="40">
        <f>AE769*(1-IF(B769&gt;=in_marketplace_from,d_hz_hlth_small*G769,0))</f>
        <v/>
      </c>
      <c r="AF770" s="46">
        <f>AE770*IF(B770&gt;=in_marketplace_from,d_hz_hlth_small*G770,0)</f>
        <v/>
      </c>
      <c r="AG770" s="14">
        <f>F770*AF770*in_hlth_small_ticket*in_hlth_small_comm*in_ins_partner_share+F770*in_hlth_small_ticket*in_hlth_small_renew_comm*in_ins_partner_share*(in_hlth_small_renew^1*SUMIFS(AF751:AF796,B751:B796,B770-12)+in_hlth_small_renew^2*SUMIFS(AF751:AF796,B751:B796,B770-24)+in_hlth_small_renew^3*SUMIFS(AF751:AF796,B751:B796,B770-36)+in_hlth_small_renew^4*SUMIFS(AF751:AF796,B751:B796,B770-48))</f>
        <v/>
      </c>
      <c r="AH770" s="40">
        <f>AH769*(1-IF(B769&gt;=in_marketplace_from,d_hz_hlth_family*G769,0))</f>
        <v/>
      </c>
      <c r="AI770" s="46">
        <f>AH770*IF(B770&gt;=in_marketplace_from,d_hz_hlth_family*G770,0)</f>
        <v/>
      </c>
      <c r="AJ770" s="14">
        <f>F770*AI770*in_hlth_family_ticket*in_hlth_family_comm*in_ins_partner_share+F770*in_hlth_family_ticket*in_hlth_family_renew_comm*in_ins_partner_share*(in_hlth_family_renew^1*SUMIFS(AI751:AI796,B751:B796,B770-12)+in_hlth_family_renew^2*SUMIFS(AI751:AI796,B751:B796,B770-24)+in_hlth_family_renew^3*SUMIFS(AI751:AI796,B751:B796,B770-36)+in_hlth_family_renew^4*SUMIFS(AI751:AI796,B751:B796,B770-48))</f>
        <v/>
      </c>
      <c r="AK770" s="40">
        <f>AK769*(1-IF(B769&gt;=in_marketplace_from,d_hz_life_term*G769,0))</f>
        <v/>
      </c>
      <c r="AL770" s="46">
        <f>AK770*IF(B770&gt;=in_marketplace_from,d_hz_life_term*G770,0)</f>
        <v/>
      </c>
      <c r="AM770" s="14">
        <f>F770*AL770*in_life_term_ticket*in_life_term_comm*in_ins_partner_share+F770*in_life_term_ticket*in_life_term_renew_comm*in_ins_partner_share*(in_life_term_renew^1*SUMIFS(AL751:AL796,B751:B796,B770-12)+in_life_term_renew^2*SUMIFS(AL751:AL796,B751:B796,B770-24)+in_life_term_renew^3*SUMIFS(AL751:AL796,B751:B796,B770-36)+in_life_term_renew^4*SUMIFS(AL751:AL796,B751:B796,B770-48))</f>
        <v/>
      </c>
      <c r="AN770" s="40">
        <f>AN769*(1-IF(B769&gt;=in_marketplace_from,d_hz_accident*G769,0))</f>
        <v/>
      </c>
      <c r="AO770" s="46">
        <f>AN770*IF(B770&gt;=in_marketplace_from,d_hz_accident*G770,0)</f>
        <v/>
      </c>
      <c r="AP770" s="14">
        <f>F770*AO770*in_accident_ticket*in_accident_comm*in_ins_partner_share+F770*in_accident_ticket*in_accident_renew_comm*in_ins_partner_share*(in_accident_renew^1*SUMIFS(AO751:AO796,B751:B796,B770-12)+in_accident_renew^2*SUMIFS(AO751:AO796,B751:B796,B770-24)+in_accident_renew^3*SUMIFS(AO751:AO796,B751:B796,B770-36)+in_accident_renew^4*SUMIFS(AO751:AO796,B751:B796,B770-48))</f>
        <v/>
      </c>
      <c r="AQ770" s="40">
        <f>AQ769*(1-IF(B769&gt;=in_marketplace_from,d_hz_two_wheeler*G769,0))</f>
        <v/>
      </c>
      <c r="AR770" s="46">
        <f>AQ770*IF(B770&gt;=in_marketplace_from,d_hz_two_wheeler*G770,0)</f>
        <v/>
      </c>
      <c r="AS770" s="14">
        <f>F770*AR770*in_two_wheeler_ticket*in_two_wheeler_comm*in_ins_partner_share+F770*in_two_wheeler_ticket*in_two_wheeler_comm*in_ins_partner_share*(in_two_wheeler_renew^1*SUMIFS(AR751:AR796,B751:B796,B770-12)+in_two_wheeler_renew^2*SUMIFS(AR751:AR796,B751:B796,B770-24)+in_two_wheeler_renew^3*SUMIFS(AR751:AR796,B751:B796,B770-36)+in_two_wheeler_renew^4*SUMIFS(AR751:AR796,B751:B796,B770-48))</f>
        <v/>
      </c>
      <c r="AT770" s="40">
        <f>AT769*(1-IF(B769&gt;=in_marketplace_from,d_hz_device*G769,0))</f>
        <v/>
      </c>
      <c r="AU770" s="14">
        <f>F770*AT770*IF(B770&gt;=in_marketplace_from,d_hz_device*G770,0)*in_device_ticket*in_device_comm*in_ins_partner_share</f>
        <v/>
      </c>
      <c r="AV770" s="40">
        <f>AV769*(1-IF(B769&gt;=in_marketplace_from,d_hz_shop*G769,0))</f>
        <v/>
      </c>
      <c r="AW770" s="46">
        <f>AV770*IF(B770&gt;=in_marketplace_from,d_hz_shop*G770,0)</f>
        <v/>
      </c>
      <c r="AX770" s="14">
        <f>F770*AW770*in_shop_ticket*in_shop_comm*in_ins_partner_share+F770*in_shop_ticket*in_shop_renew_comm*in_ins_partner_share*(in_shop_renew^1*SUMIFS(AW751:AW796,B751:B796,B770-12)+in_shop_renew^2*SUMIFS(AW751:AW796,B751:B796,B770-24)+in_shop_renew^3*SUMIFS(AW751:AW796,B751:B796,B770-36)+in_shop_renew^4*SUMIFS(AW751:AW796,B751:B796,B770-48))</f>
        <v/>
      </c>
      <c r="AY770" s="40">
        <f>AY769*(1-IF(B769&gt;=in_marketplace_from,d_hz_sip*G769,0))</f>
        <v/>
      </c>
      <c r="AZ770" s="40">
        <f>AZ769*d_rho_sip+AY770*IF(B770&gt;=in_marketplace_from,d_hz_sip*G770,0)</f>
        <v/>
      </c>
      <c r="BA770" s="40">
        <f>d_rho_sip*(BA769+AZ769)</f>
        <v/>
      </c>
      <c r="BB770" s="14">
        <f>F770*in_sip_ticket*(BA770+0.5*AZ770)*in_sip_comm/12</f>
        <v/>
      </c>
      <c r="BC770" s="40">
        <f>BC769*(1-IF(B769&gt;=in_marketplace_from,d_hz_choti*G769,0))</f>
        <v/>
      </c>
      <c r="BD770" s="46">
        <f>BC770*IF(B770&gt;=in_marketplace_from,d_hz_choti*G770,0)</f>
        <v/>
      </c>
      <c r="BE770" s="14">
        <f>F770*SUMIFS(BD751:BD796,B751:B796,B770-in_choti_months)*in_choti_renew*in_choti_ticket</f>
        <v/>
      </c>
      <c r="BF770" s="40">
        <f>BF769*(1-IF(B769&gt;=in_marketplace_from,d_hz_nps*G769,0))</f>
        <v/>
      </c>
      <c r="BG770" s="14">
        <f>F770*BF770*IF(B770&gt;=in_marketplace_from,d_hz_nps*G770,0)*in_nps_ticket*in_nps_comm</f>
        <v/>
      </c>
      <c r="BH770" s="40">
        <f>BH769*(1-IF(B769&gt;=in_marketplace_from,d_hz_gold*G769,0))</f>
        <v/>
      </c>
      <c r="BI770" s="40">
        <f>BI769*d_rho_gold+BH770*IF(B770&gt;=in_marketplace_from,d_hz_gold*G770,0)</f>
        <v/>
      </c>
      <c r="BJ770" s="14">
        <f>F770*BI770*in_gold_ticket*in_gold_comm</f>
        <v/>
      </c>
      <c r="BK770" s="40">
        <f>BK769*(1-IF(B769&gt;=in_marketplace_from,d_hz_fd*G769,0))</f>
        <v/>
      </c>
      <c r="BL770" s="14">
        <f>F770*BK770*IF(B770&gt;=in_marketplace_from,d_hz_fd*G770,0)*in_fd_ticket*in_fd_comm</f>
        <v/>
      </c>
      <c r="BM770" s="40">
        <f>BM769*(1-IF(B769&gt;=in_marketplace_from,d_hz_recharge*G769,0))</f>
        <v/>
      </c>
      <c r="BN770" s="40">
        <f>BN769*d_rho_recharge+BM770*IF(B770&gt;=in_marketplace_from,d_hz_recharge*G770,0)</f>
        <v/>
      </c>
      <c r="BO770" s="14">
        <f>F770*BN770*in_recharge_ticket*in_recharge_comm/12</f>
        <v/>
      </c>
      <c r="BP770" s="40">
        <f>BP769*(1-IF(B769&gt;=in_marketplace_from,d_hz_bills*G769,0))</f>
        <v/>
      </c>
      <c r="BQ770" s="40">
        <f>BQ769*d_rho_bills+BP770*IF(B770&gt;=in_marketplace_from,d_hz_bills*G770,0)</f>
        <v/>
      </c>
      <c r="BR770" s="14">
        <f>F770*BQ770*in_bills_ticket*in_bills_comm/12</f>
        <v/>
      </c>
      <c r="BS770" s="40">
        <f>BS769*(1-IF(B769&gt;=in_marketplace_from,d_hz_loan_gold*G769,0))</f>
        <v/>
      </c>
      <c r="BT770" s="14">
        <f>F770*BS770*IF(B770&gt;=in_marketplace_from,d_hz_loan_gold*G770,0)*in_loan_gold_ticket*in_loan_gold_comm</f>
        <v/>
      </c>
      <c r="BU770" s="40">
        <f>BU769*(1-IF(B769&gt;=in_marketplace_from,d_hz_loan_cd*G769,0))</f>
        <v/>
      </c>
      <c r="BV770" s="14">
        <f>F770*BU770*IF(B770&gt;=in_marketplace_from,d_hz_loan_cd*G770,0)*in_loan_cd_ticket*in_loan_cd_comm</f>
        <v/>
      </c>
      <c r="BW770" s="40">
        <f>BW769*(1-IF(B769&gt;=in_marketplace_from,d_hz_loan_vehicle*G769,0))</f>
        <v/>
      </c>
      <c r="BX770" s="14">
        <f>F770*BW770*IF(B770&gt;=in_marketplace_from,d_hz_loan_vehicle*G770,0)*in_loan_vehicle_ticket*in_loan_vehicle_comm</f>
        <v/>
      </c>
      <c r="BY770" s="40">
        <f>BY769*(1-IF(B769&gt;=in_marketplace_from,d_hz_loan_home*G769,0)*BZ769)</f>
        <v/>
      </c>
      <c r="BZ770" s="11">
        <f>MIN(in_approval_cap,in_loan_home_approval*INDEX('Age profile'!$O$2:$O$61,B770)*(1+in_approval_growth)^(D770-1))</f>
        <v/>
      </c>
      <c r="CA770" s="14">
        <f>F770*BY770*IF(B770&gt;=in_marketplace_from,d_hz_loan_home*G770,0)*BZ770*in_loan_home_ticket*in_loan_home_comm</f>
        <v/>
      </c>
      <c r="CB770" s="40">
        <f>CB769*(1-IF(B769&gt;=in_marketplace_from,d_hz_loan_lap*G769,0)*CC769)</f>
        <v/>
      </c>
      <c r="CC770" s="11">
        <f>MIN(in_approval_cap,in_loan_lap_approval*INDEX('Age profile'!$O$2:$O$61,B770)*(1+in_approval_growth)^(D770-1))</f>
        <v/>
      </c>
      <c r="CD770" s="14">
        <f>F770*CB770*IF(B770&gt;=in_marketplace_from,d_hz_loan_lap*G770,0)*CC770*in_loan_lap_ticket*in_loan_lap_comm</f>
        <v/>
      </c>
      <c r="CE770" s="14">
        <f>AA770+AB770+AC770+AD770+AG770+AJ770+AM770+AP770+AS770+AU770+AX770+BB770+BE770+BG770+BJ770+BL770+BO770+BR770+BT770+BV770+BX770+CA770+CD770</f>
        <v/>
      </c>
    </row>
    <row r="771">
      <c r="A771" s="39" t="n">
        <v>15</v>
      </c>
      <c r="B771" s="39" t="n">
        <v>21</v>
      </c>
      <c r="C771" s="39">
        <f>A771+B771-1</f>
        <v/>
      </c>
      <c r="D771" s="39">
        <f>INT((C771-1)/12)+1</f>
        <v/>
      </c>
      <c r="E771" s="44">
        <f>INDEX(Monthly!$B$2:$B$61,A771)</f>
        <v/>
      </c>
      <c r="F771" s="44">
        <f>E771*INDEX('Age profile'!$B$2:$B$61,B771)</f>
        <v/>
      </c>
      <c r="G771" s="45">
        <f>MIN(in_takeup_cap,INDEX('Age profile'!$N$2:$N$61,B771)*(1+in_takeup_growth)^(D771-1))</f>
        <v/>
      </c>
      <c r="H771" s="11">
        <f>MIN(in_approval_cap,in_approved_first*INDEX('Age profile'!$O$2:$O$61,B771)*(1+in_approval_growth)^(D771-1))</f>
        <v/>
      </c>
      <c r="I771" s="45">
        <f>G771*MIN(in_takeup_cap,INDEX('Age profile'!$O$2:$O$61,B771)*(1+in_approval_growth)^(D771-1))</f>
        <v/>
      </c>
      <c r="J771" s="40">
        <f>(J770-L770)*F771/F770</f>
        <v/>
      </c>
      <c r="K771" s="40">
        <f>(K770-M770)*F771/F770+SUMIFS(O751:O770,B751:B770,B771-1-d_T)*F771</f>
        <v/>
      </c>
      <c r="L771" s="40">
        <f>IF(B771&gt;=in_marketplace_from,J771*d_hz*G771*in_eligible*H771,0)</f>
        <v/>
      </c>
      <c r="M771" s="40">
        <f>IF(B771&gt;=in_marketplace_from,K771*d_hz*G771*in_eligible*in_approved_repeat,0)</f>
        <v/>
      </c>
      <c r="N771" s="40">
        <f>L771+M771</f>
        <v/>
      </c>
      <c r="O771" s="46">
        <f>N771/F771</f>
        <v/>
      </c>
      <c r="P771" s="40">
        <f>F771-J771-K771</f>
        <v/>
      </c>
      <c r="Q771" s="40">
        <f>IF(B771&gt;=in_marketplace_from,(J771+K771)*d_hz*G771,0)</f>
        <v/>
      </c>
      <c r="R771" s="40">
        <f>SUMIFS(N751:N796,B751:B796,"&gt;="&amp;(B771-d_T),B751:B796,"&lt;="&amp;(B771-1))</f>
        <v/>
      </c>
      <c r="S771" s="46">
        <f>(1-d_u)*S770+IF(d_T&gt;in_topup_lag,SUMIFS(O751:O796,B751:B796,B771-in_topup_lag)-d_udrop*SUMIFS(O751:O796,B751:B796,B771-d_T),0)</f>
        <v/>
      </c>
      <c r="T771" s="40">
        <f>F771*d_u*S771</f>
        <v/>
      </c>
      <c r="U771" s="9">
        <f>L771*in_ticket+M771*d_rep_ticket</f>
        <v/>
      </c>
      <c r="V771" s="9">
        <f>U771+T771*d_topup_amt</f>
        <v/>
      </c>
      <c r="W771" s="40">
        <f>N771+T771*d_topup_ratio</f>
        <v/>
      </c>
      <c r="X771" s="40">
        <f>SUMIFS(W751:W796,B751:B796,B771-in_dpd_lag)*d_cured</f>
        <v/>
      </c>
      <c r="Y771" s="40">
        <f>SUMIFS(W751:W796,B751:B796,B771-in_rec_lag)*d_recd</f>
        <v/>
      </c>
      <c r="Z771" s="40">
        <f>IF(AND(B771&gt;=in_marketplace_from,B771&lt;in_marketplace_from+in_card_months),in_card_share/in_card_months*F771*I771,IF(AND(B771&gt;=in_marketplace_from+in_card_months,B771&lt;in_marketplace_from+2*in_card_months),in_card_share*d_card_rem/in_card_months*F771*MIN(in_takeup_cap,(1+in_takeup_growth)^(D771-1))*MIN(in_takeup_cap,(1+in_approval_growth)^(D771-1)),0))</f>
        <v/>
      </c>
      <c r="AA771" s="14">
        <f>V771*in_fee*(1-in_taken_back)</f>
        <v/>
      </c>
      <c r="AB771" s="14">
        <f>SUMIFS(W751:W796,B751:B796,B771-in_dpd_lag)*d_dpd</f>
        <v/>
      </c>
      <c r="AC771" s="14">
        <f>SUMIFS(W751:W796,B751:B796,B771-in_rec_lag)*d_rec</f>
        <v/>
      </c>
      <c r="AD771" s="14">
        <f>Z771*in_card_fee</f>
        <v/>
      </c>
      <c r="AE771" s="40">
        <f>AE770*(1-IF(B770&gt;=in_marketplace_from,d_hz_hlth_small*G770,0))</f>
        <v/>
      </c>
      <c r="AF771" s="46">
        <f>AE771*IF(B771&gt;=in_marketplace_from,d_hz_hlth_small*G771,0)</f>
        <v/>
      </c>
      <c r="AG771" s="14">
        <f>F771*AF771*in_hlth_small_ticket*in_hlth_small_comm*in_ins_partner_share+F771*in_hlth_small_ticket*in_hlth_small_renew_comm*in_ins_partner_share*(in_hlth_small_renew^1*SUMIFS(AF751:AF796,B751:B796,B771-12)+in_hlth_small_renew^2*SUMIFS(AF751:AF796,B751:B796,B771-24)+in_hlth_small_renew^3*SUMIFS(AF751:AF796,B751:B796,B771-36)+in_hlth_small_renew^4*SUMIFS(AF751:AF796,B751:B796,B771-48))</f>
        <v/>
      </c>
      <c r="AH771" s="40">
        <f>AH770*(1-IF(B770&gt;=in_marketplace_from,d_hz_hlth_family*G770,0))</f>
        <v/>
      </c>
      <c r="AI771" s="46">
        <f>AH771*IF(B771&gt;=in_marketplace_from,d_hz_hlth_family*G771,0)</f>
        <v/>
      </c>
      <c r="AJ771" s="14">
        <f>F771*AI771*in_hlth_family_ticket*in_hlth_family_comm*in_ins_partner_share+F771*in_hlth_family_ticket*in_hlth_family_renew_comm*in_ins_partner_share*(in_hlth_family_renew^1*SUMIFS(AI751:AI796,B751:B796,B771-12)+in_hlth_family_renew^2*SUMIFS(AI751:AI796,B751:B796,B771-24)+in_hlth_family_renew^3*SUMIFS(AI751:AI796,B751:B796,B771-36)+in_hlth_family_renew^4*SUMIFS(AI751:AI796,B751:B796,B771-48))</f>
        <v/>
      </c>
      <c r="AK771" s="40">
        <f>AK770*(1-IF(B770&gt;=in_marketplace_from,d_hz_life_term*G770,0))</f>
        <v/>
      </c>
      <c r="AL771" s="46">
        <f>AK771*IF(B771&gt;=in_marketplace_from,d_hz_life_term*G771,0)</f>
        <v/>
      </c>
      <c r="AM771" s="14">
        <f>F771*AL771*in_life_term_ticket*in_life_term_comm*in_ins_partner_share+F771*in_life_term_ticket*in_life_term_renew_comm*in_ins_partner_share*(in_life_term_renew^1*SUMIFS(AL751:AL796,B751:B796,B771-12)+in_life_term_renew^2*SUMIFS(AL751:AL796,B751:B796,B771-24)+in_life_term_renew^3*SUMIFS(AL751:AL796,B751:B796,B771-36)+in_life_term_renew^4*SUMIFS(AL751:AL796,B751:B796,B771-48))</f>
        <v/>
      </c>
      <c r="AN771" s="40">
        <f>AN770*(1-IF(B770&gt;=in_marketplace_from,d_hz_accident*G770,0))</f>
        <v/>
      </c>
      <c r="AO771" s="46">
        <f>AN771*IF(B771&gt;=in_marketplace_from,d_hz_accident*G771,0)</f>
        <v/>
      </c>
      <c r="AP771" s="14">
        <f>F771*AO771*in_accident_ticket*in_accident_comm*in_ins_partner_share+F771*in_accident_ticket*in_accident_renew_comm*in_ins_partner_share*(in_accident_renew^1*SUMIFS(AO751:AO796,B751:B796,B771-12)+in_accident_renew^2*SUMIFS(AO751:AO796,B751:B796,B771-24)+in_accident_renew^3*SUMIFS(AO751:AO796,B751:B796,B771-36)+in_accident_renew^4*SUMIFS(AO751:AO796,B751:B796,B771-48))</f>
        <v/>
      </c>
      <c r="AQ771" s="40">
        <f>AQ770*(1-IF(B770&gt;=in_marketplace_from,d_hz_two_wheeler*G770,0))</f>
        <v/>
      </c>
      <c r="AR771" s="46">
        <f>AQ771*IF(B771&gt;=in_marketplace_from,d_hz_two_wheeler*G771,0)</f>
        <v/>
      </c>
      <c r="AS771" s="14">
        <f>F771*AR771*in_two_wheeler_ticket*in_two_wheeler_comm*in_ins_partner_share+F771*in_two_wheeler_ticket*in_two_wheeler_comm*in_ins_partner_share*(in_two_wheeler_renew^1*SUMIFS(AR751:AR796,B751:B796,B771-12)+in_two_wheeler_renew^2*SUMIFS(AR751:AR796,B751:B796,B771-24)+in_two_wheeler_renew^3*SUMIFS(AR751:AR796,B751:B796,B771-36)+in_two_wheeler_renew^4*SUMIFS(AR751:AR796,B751:B796,B771-48))</f>
        <v/>
      </c>
      <c r="AT771" s="40">
        <f>AT770*(1-IF(B770&gt;=in_marketplace_from,d_hz_device*G770,0))</f>
        <v/>
      </c>
      <c r="AU771" s="14">
        <f>F771*AT771*IF(B771&gt;=in_marketplace_from,d_hz_device*G771,0)*in_device_ticket*in_device_comm*in_ins_partner_share</f>
        <v/>
      </c>
      <c r="AV771" s="40">
        <f>AV770*(1-IF(B770&gt;=in_marketplace_from,d_hz_shop*G770,0))</f>
        <v/>
      </c>
      <c r="AW771" s="46">
        <f>AV771*IF(B771&gt;=in_marketplace_from,d_hz_shop*G771,0)</f>
        <v/>
      </c>
      <c r="AX771" s="14">
        <f>F771*AW771*in_shop_ticket*in_shop_comm*in_ins_partner_share+F771*in_shop_ticket*in_shop_renew_comm*in_ins_partner_share*(in_shop_renew^1*SUMIFS(AW751:AW796,B751:B796,B771-12)+in_shop_renew^2*SUMIFS(AW751:AW796,B751:B796,B771-24)+in_shop_renew^3*SUMIFS(AW751:AW796,B751:B796,B771-36)+in_shop_renew^4*SUMIFS(AW751:AW796,B751:B796,B771-48))</f>
        <v/>
      </c>
      <c r="AY771" s="40">
        <f>AY770*(1-IF(B770&gt;=in_marketplace_from,d_hz_sip*G770,0))</f>
        <v/>
      </c>
      <c r="AZ771" s="40">
        <f>AZ770*d_rho_sip+AY771*IF(B771&gt;=in_marketplace_from,d_hz_sip*G771,0)</f>
        <v/>
      </c>
      <c r="BA771" s="40">
        <f>d_rho_sip*(BA770+AZ770)</f>
        <v/>
      </c>
      <c r="BB771" s="14">
        <f>F771*in_sip_ticket*(BA771+0.5*AZ771)*in_sip_comm/12</f>
        <v/>
      </c>
      <c r="BC771" s="40">
        <f>BC770*(1-IF(B770&gt;=in_marketplace_from,d_hz_choti*G770,0))</f>
        <v/>
      </c>
      <c r="BD771" s="46">
        <f>BC771*IF(B771&gt;=in_marketplace_from,d_hz_choti*G771,0)</f>
        <v/>
      </c>
      <c r="BE771" s="14">
        <f>F771*SUMIFS(BD751:BD796,B751:B796,B771-in_choti_months)*in_choti_renew*in_choti_ticket</f>
        <v/>
      </c>
      <c r="BF771" s="40">
        <f>BF770*(1-IF(B770&gt;=in_marketplace_from,d_hz_nps*G770,0))</f>
        <v/>
      </c>
      <c r="BG771" s="14">
        <f>F771*BF771*IF(B771&gt;=in_marketplace_from,d_hz_nps*G771,0)*in_nps_ticket*in_nps_comm</f>
        <v/>
      </c>
      <c r="BH771" s="40">
        <f>BH770*(1-IF(B770&gt;=in_marketplace_from,d_hz_gold*G770,0))</f>
        <v/>
      </c>
      <c r="BI771" s="40">
        <f>BI770*d_rho_gold+BH771*IF(B771&gt;=in_marketplace_from,d_hz_gold*G771,0)</f>
        <v/>
      </c>
      <c r="BJ771" s="14">
        <f>F771*BI771*in_gold_ticket*in_gold_comm</f>
        <v/>
      </c>
      <c r="BK771" s="40">
        <f>BK770*(1-IF(B770&gt;=in_marketplace_from,d_hz_fd*G770,0))</f>
        <v/>
      </c>
      <c r="BL771" s="14">
        <f>F771*BK771*IF(B771&gt;=in_marketplace_from,d_hz_fd*G771,0)*in_fd_ticket*in_fd_comm</f>
        <v/>
      </c>
      <c r="BM771" s="40">
        <f>BM770*(1-IF(B770&gt;=in_marketplace_from,d_hz_recharge*G770,0))</f>
        <v/>
      </c>
      <c r="BN771" s="40">
        <f>BN770*d_rho_recharge+BM771*IF(B771&gt;=in_marketplace_from,d_hz_recharge*G771,0)</f>
        <v/>
      </c>
      <c r="BO771" s="14">
        <f>F771*BN771*in_recharge_ticket*in_recharge_comm/12</f>
        <v/>
      </c>
      <c r="BP771" s="40">
        <f>BP770*(1-IF(B770&gt;=in_marketplace_from,d_hz_bills*G770,0))</f>
        <v/>
      </c>
      <c r="BQ771" s="40">
        <f>BQ770*d_rho_bills+BP771*IF(B771&gt;=in_marketplace_from,d_hz_bills*G771,0)</f>
        <v/>
      </c>
      <c r="BR771" s="14">
        <f>F771*BQ771*in_bills_ticket*in_bills_comm/12</f>
        <v/>
      </c>
      <c r="BS771" s="40">
        <f>BS770*(1-IF(B770&gt;=in_marketplace_from,d_hz_loan_gold*G770,0))</f>
        <v/>
      </c>
      <c r="BT771" s="14">
        <f>F771*BS771*IF(B771&gt;=in_marketplace_from,d_hz_loan_gold*G771,0)*in_loan_gold_ticket*in_loan_gold_comm</f>
        <v/>
      </c>
      <c r="BU771" s="40">
        <f>BU770*(1-IF(B770&gt;=in_marketplace_from,d_hz_loan_cd*G770,0))</f>
        <v/>
      </c>
      <c r="BV771" s="14">
        <f>F771*BU771*IF(B771&gt;=in_marketplace_from,d_hz_loan_cd*G771,0)*in_loan_cd_ticket*in_loan_cd_comm</f>
        <v/>
      </c>
      <c r="BW771" s="40">
        <f>BW770*(1-IF(B770&gt;=in_marketplace_from,d_hz_loan_vehicle*G770,0))</f>
        <v/>
      </c>
      <c r="BX771" s="14">
        <f>F771*BW771*IF(B771&gt;=in_marketplace_from,d_hz_loan_vehicle*G771,0)*in_loan_vehicle_ticket*in_loan_vehicle_comm</f>
        <v/>
      </c>
      <c r="BY771" s="40">
        <f>BY770*(1-IF(B770&gt;=in_marketplace_from,d_hz_loan_home*G770,0)*BZ770)</f>
        <v/>
      </c>
      <c r="BZ771" s="11">
        <f>MIN(in_approval_cap,in_loan_home_approval*INDEX('Age profile'!$O$2:$O$61,B771)*(1+in_approval_growth)^(D771-1))</f>
        <v/>
      </c>
      <c r="CA771" s="14">
        <f>F771*BY771*IF(B771&gt;=in_marketplace_from,d_hz_loan_home*G771,0)*BZ771*in_loan_home_ticket*in_loan_home_comm</f>
        <v/>
      </c>
      <c r="CB771" s="40">
        <f>CB770*(1-IF(B770&gt;=in_marketplace_from,d_hz_loan_lap*G770,0)*CC770)</f>
        <v/>
      </c>
      <c r="CC771" s="11">
        <f>MIN(in_approval_cap,in_loan_lap_approval*INDEX('Age profile'!$O$2:$O$61,B771)*(1+in_approval_growth)^(D771-1))</f>
        <v/>
      </c>
      <c r="CD771" s="14">
        <f>F771*CB771*IF(B771&gt;=in_marketplace_from,d_hz_loan_lap*G771,0)*CC771*in_loan_lap_ticket*in_loan_lap_comm</f>
        <v/>
      </c>
      <c r="CE771" s="14">
        <f>AA771+AB771+AC771+AD771+AG771+AJ771+AM771+AP771+AS771+AU771+AX771+BB771+BE771+BG771+BJ771+BL771+BO771+BR771+BT771+BV771+BX771+CA771+CD771</f>
        <v/>
      </c>
    </row>
    <row r="772">
      <c r="A772" s="39" t="n">
        <v>15</v>
      </c>
      <c r="B772" s="39" t="n">
        <v>22</v>
      </c>
      <c r="C772" s="39">
        <f>A772+B772-1</f>
        <v/>
      </c>
      <c r="D772" s="39">
        <f>INT((C772-1)/12)+1</f>
        <v/>
      </c>
      <c r="E772" s="44">
        <f>INDEX(Monthly!$B$2:$B$61,A772)</f>
        <v/>
      </c>
      <c r="F772" s="44">
        <f>E772*INDEX('Age profile'!$B$2:$B$61,B772)</f>
        <v/>
      </c>
      <c r="G772" s="45">
        <f>MIN(in_takeup_cap,INDEX('Age profile'!$N$2:$N$61,B772)*(1+in_takeup_growth)^(D772-1))</f>
        <v/>
      </c>
      <c r="H772" s="11">
        <f>MIN(in_approval_cap,in_approved_first*INDEX('Age profile'!$O$2:$O$61,B772)*(1+in_approval_growth)^(D772-1))</f>
        <v/>
      </c>
      <c r="I772" s="45">
        <f>G772*MIN(in_takeup_cap,INDEX('Age profile'!$O$2:$O$61,B772)*(1+in_approval_growth)^(D772-1))</f>
        <v/>
      </c>
      <c r="J772" s="40">
        <f>(J771-L771)*F772/F771</f>
        <v/>
      </c>
      <c r="K772" s="40">
        <f>(K771-M771)*F772/F771+SUMIFS(O751:O771,B751:B771,B772-1-d_T)*F772</f>
        <v/>
      </c>
      <c r="L772" s="40">
        <f>IF(B772&gt;=in_marketplace_from,J772*d_hz*G772*in_eligible*H772,0)</f>
        <v/>
      </c>
      <c r="M772" s="40">
        <f>IF(B772&gt;=in_marketplace_from,K772*d_hz*G772*in_eligible*in_approved_repeat,0)</f>
        <v/>
      </c>
      <c r="N772" s="40">
        <f>L772+M772</f>
        <v/>
      </c>
      <c r="O772" s="46">
        <f>N772/F772</f>
        <v/>
      </c>
      <c r="P772" s="40">
        <f>F772-J772-K772</f>
        <v/>
      </c>
      <c r="Q772" s="40">
        <f>IF(B772&gt;=in_marketplace_from,(J772+K772)*d_hz*G772,0)</f>
        <v/>
      </c>
      <c r="R772" s="40">
        <f>SUMIFS(N751:N796,B751:B796,"&gt;="&amp;(B772-d_T),B751:B796,"&lt;="&amp;(B772-1))</f>
        <v/>
      </c>
      <c r="S772" s="46">
        <f>(1-d_u)*S771+IF(d_T&gt;in_topup_lag,SUMIFS(O751:O796,B751:B796,B772-in_topup_lag)-d_udrop*SUMIFS(O751:O796,B751:B796,B772-d_T),0)</f>
        <v/>
      </c>
      <c r="T772" s="40">
        <f>F772*d_u*S772</f>
        <v/>
      </c>
      <c r="U772" s="9">
        <f>L772*in_ticket+M772*d_rep_ticket</f>
        <v/>
      </c>
      <c r="V772" s="9">
        <f>U772+T772*d_topup_amt</f>
        <v/>
      </c>
      <c r="W772" s="40">
        <f>N772+T772*d_topup_ratio</f>
        <v/>
      </c>
      <c r="X772" s="40">
        <f>SUMIFS(W751:W796,B751:B796,B772-in_dpd_lag)*d_cured</f>
        <v/>
      </c>
      <c r="Y772" s="40">
        <f>SUMIFS(W751:W796,B751:B796,B772-in_rec_lag)*d_recd</f>
        <v/>
      </c>
      <c r="Z772" s="40">
        <f>IF(AND(B772&gt;=in_marketplace_from,B772&lt;in_marketplace_from+in_card_months),in_card_share/in_card_months*F772*I772,IF(AND(B772&gt;=in_marketplace_from+in_card_months,B772&lt;in_marketplace_from+2*in_card_months),in_card_share*d_card_rem/in_card_months*F772*MIN(in_takeup_cap,(1+in_takeup_growth)^(D772-1))*MIN(in_takeup_cap,(1+in_approval_growth)^(D772-1)),0))</f>
        <v/>
      </c>
      <c r="AA772" s="14">
        <f>V772*in_fee*(1-in_taken_back)</f>
        <v/>
      </c>
      <c r="AB772" s="14">
        <f>SUMIFS(W751:W796,B751:B796,B772-in_dpd_lag)*d_dpd</f>
        <v/>
      </c>
      <c r="AC772" s="14">
        <f>SUMIFS(W751:W796,B751:B796,B772-in_rec_lag)*d_rec</f>
        <v/>
      </c>
      <c r="AD772" s="14">
        <f>Z772*in_card_fee</f>
        <v/>
      </c>
      <c r="AE772" s="40">
        <f>AE771*(1-IF(B771&gt;=in_marketplace_from,d_hz_hlth_small*G771,0))</f>
        <v/>
      </c>
      <c r="AF772" s="46">
        <f>AE772*IF(B772&gt;=in_marketplace_from,d_hz_hlth_small*G772,0)</f>
        <v/>
      </c>
      <c r="AG772" s="14">
        <f>F772*AF772*in_hlth_small_ticket*in_hlth_small_comm*in_ins_partner_share+F772*in_hlth_small_ticket*in_hlth_small_renew_comm*in_ins_partner_share*(in_hlth_small_renew^1*SUMIFS(AF751:AF796,B751:B796,B772-12)+in_hlth_small_renew^2*SUMIFS(AF751:AF796,B751:B796,B772-24)+in_hlth_small_renew^3*SUMIFS(AF751:AF796,B751:B796,B772-36)+in_hlth_small_renew^4*SUMIFS(AF751:AF796,B751:B796,B772-48))</f>
        <v/>
      </c>
      <c r="AH772" s="40">
        <f>AH771*(1-IF(B771&gt;=in_marketplace_from,d_hz_hlth_family*G771,0))</f>
        <v/>
      </c>
      <c r="AI772" s="46">
        <f>AH772*IF(B772&gt;=in_marketplace_from,d_hz_hlth_family*G772,0)</f>
        <v/>
      </c>
      <c r="AJ772" s="14">
        <f>F772*AI772*in_hlth_family_ticket*in_hlth_family_comm*in_ins_partner_share+F772*in_hlth_family_ticket*in_hlth_family_renew_comm*in_ins_partner_share*(in_hlth_family_renew^1*SUMIFS(AI751:AI796,B751:B796,B772-12)+in_hlth_family_renew^2*SUMIFS(AI751:AI796,B751:B796,B772-24)+in_hlth_family_renew^3*SUMIFS(AI751:AI796,B751:B796,B772-36)+in_hlth_family_renew^4*SUMIFS(AI751:AI796,B751:B796,B772-48))</f>
        <v/>
      </c>
      <c r="AK772" s="40">
        <f>AK771*(1-IF(B771&gt;=in_marketplace_from,d_hz_life_term*G771,0))</f>
        <v/>
      </c>
      <c r="AL772" s="46">
        <f>AK772*IF(B772&gt;=in_marketplace_from,d_hz_life_term*G772,0)</f>
        <v/>
      </c>
      <c r="AM772" s="14">
        <f>F772*AL772*in_life_term_ticket*in_life_term_comm*in_ins_partner_share+F772*in_life_term_ticket*in_life_term_renew_comm*in_ins_partner_share*(in_life_term_renew^1*SUMIFS(AL751:AL796,B751:B796,B772-12)+in_life_term_renew^2*SUMIFS(AL751:AL796,B751:B796,B772-24)+in_life_term_renew^3*SUMIFS(AL751:AL796,B751:B796,B772-36)+in_life_term_renew^4*SUMIFS(AL751:AL796,B751:B796,B772-48))</f>
        <v/>
      </c>
      <c r="AN772" s="40">
        <f>AN771*(1-IF(B771&gt;=in_marketplace_from,d_hz_accident*G771,0))</f>
        <v/>
      </c>
      <c r="AO772" s="46">
        <f>AN772*IF(B772&gt;=in_marketplace_from,d_hz_accident*G772,0)</f>
        <v/>
      </c>
      <c r="AP772" s="14">
        <f>F772*AO772*in_accident_ticket*in_accident_comm*in_ins_partner_share+F772*in_accident_ticket*in_accident_renew_comm*in_ins_partner_share*(in_accident_renew^1*SUMIFS(AO751:AO796,B751:B796,B772-12)+in_accident_renew^2*SUMIFS(AO751:AO796,B751:B796,B772-24)+in_accident_renew^3*SUMIFS(AO751:AO796,B751:B796,B772-36)+in_accident_renew^4*SUMIFS(AO751:AO796,B751:B796,B772-48))</f>
        <v/>
      </c>
      <c r="AQ772" s="40">
        <f>AQ771*(1-IF(B771&gt;=in_marketplace_from,d_hz_two_wheeler*G771,0))</f>
        <v/>
      </c>
      <c r="AR772" s="46">
        <f>AQ772*IF(B772&gt;=in_marketplace_from,d_hz_two_wheeler*G772,0)</f>
        <v/>
      </c>
      <c r="AS772" s="14">
        <f>F772*AR772*in_two_wheeler_ticket*in_two_wheeler_comm*in_ins_partner_share+F772*in_two_wheeler_ticket*in_two_wheeler_comm*in_ins_partner_share*(in_two_wheeler_renew^1*SUMIFS(AR751:AR796,B751:B796,B772-12)+in_two_wheeler_renew^2*SUMIFS(AR751:AR796,B751:B796,B772-24)+in_two_wheeler_renew^3*SUMIFS(AR751:AR796,B751:B796,B772-36)+in_two_wheeler_renew^4*SUMIFS(AR751:AR796,B751:B796,B772-48))</f>
        <v/>
      </c>
      <c r="AT772" s="40">
        <f>AT771*(1-IF(B771&gt;=in_marketplace_from,d_hz_device*G771,0))</f>
        <v/>
      </c>
      <c r="AU772" s="14">
        <f>F772*AT772*IF(B772&gt;=in_marketplace_from,d_hz_device*G772,0)*in_device_ticket*in_device_comm*in_ins_partner_share</f>
        <v/>
      </c>
      <c r="AV772" s="40">
        <f>AV771*(1-IF(B771&gt;=in_marketplace_from,d_hz_shop*G771,0))</f>
        <v/>
      </c>
      <c r="AW772" s="46">
        <f>AV772*IF(B772&gt;=in_marketplace_from,d_hz_shop*G772,0)</f>
        <v/>
      </c>
      <c r="AX772" s="14">
        <f>F772*AW772*in_shop_ticket*in_shop_comm*in_ins_partner_share+F772*in_shop_ticket*in_shop_renew_comm*in_ins_partner_share*(in_shop_renew^1*SUMIFS(AW751:AW796,B751:B796,B772-12)+in_shop_renew^2*SUMIFS(AW751:AW796,B751:B796,B772-24)+in_shop_renew^3*SUMIFS(AW751:AW796,B751:B796,B772-36)+in_shop_renew^4*SUMIFS(AW751:AW796,B751:B796,B772-48))</f>
        <v/>
      </c>
      <c r="AY772" s="40">
        <f>AY771*(1-IF(B771&gt;=in_marketplace_from,d_hz_sip*G771,0))</f>
        <v/>
      </c>
      <c r="AZ772" s="40">
        <f>AZ771*d_rho_sip+AY772*IF(B772&gt;=in_marketplace_from,d_hz_sip*G772,0)</f>
        <v/>
      </c>
      <c r="BA772" s="40">
        <f>d_rho_sip*(BA771+AZ771)</f>
        <v/>
      </c>
      <c r="BB772" s="14">
        <f>F772*in_sip_ticket*(BA772+0.5*AZ772)*in_sip_comm/12</f>
        <v/>
      </c>
      <c r="BC772" s="40">
        <f>BC771*(1-IF(B771&gt;=in_marketplace_from,d_hz_choti*G771,0))</f>
        <v/>
      </c>
      <c r="BD772" s="46">
        <f>BC772*IF(B772&gt;=in_marketplace_from,d_hz_choti*G772,0)</f>
        <v/>
      </c>
      <c r="BE772" s="14">
        <f>F772*SUMIFS(BD751:BD796,B751:B796,B772-in_choti_months)*in_choti_renew*in_choti_ticket</f>
        <v/>
      </c>
      <c r="BF772" s="40">
        <f>BF771*(1-IF(B771&gt;=in_marketplace_from,d_hz_nps*G771,0))</f>
        <v/>
      </c>
      <c r="BG772" s="14">
        <f>F772*BF772*IF(B772&gt;=in_marketplace_from,d_hz_nps*G772,0)*in_nps_ticket*in_nps_comm</f>
        <v/>
      </c>
      <c r="BH772" s="40">
        <f>BH771*(1-IF(B771&gt;=in_marketplace_from,d_hz_gold*G771,0))</f>
        <v/>
      </c>
      <c r="BI772" s="40">
        <f>BI771*d_rho_gold+BH772*IF(B772&gt;=in_marketplace_from,d_hz_gold*G772,0)</f>
        <v/>
      </c>
      <c r="BJ772" s="14">
        <f>F772*BI772*in_gold_ticket*in_gold_comm</f>
        <v/>
      </c>
      <c r="BK772" s="40">
        <f>BK771*(1-IF(B771&gt;=in_marketplace_from,d_hz_fd*G771,0))</f>
        <v/>
      </c>
      <c r="BL772" s="14">
        <f>F772*BK772*IF(B772&gt;=in_marketplace_from,d_hz_fd*G772,0)*in_fd_ticket*in_fd_comm</f>
        <v/>
      </c>
      <c r="BM772" s="40">
        <f>BM771*(1-IF(B771&gt;=in_marketplace_from,d_hz_recharge*G771,0))</f>
        <v/>
      </c>
      <c r="BN772" s="40">
        <f>BN771*d_rho_recharge+BM772*IF(B772&gt;=in_marketplace_from,d_hz_recharge*G772,0)</f>
        <v/>
      </c>
      <c r="BO772" s="14">
        <f>F772*BN772*in_recharge_ticket*in_recharge_comm/12</f>
        <v/>
      </c>
      <c r="BP772" s="40">
        <f>BP771*(1-IF(B771&gt;=in_marketplace_from,d_hz_bills*G771,0))</f>
        <v/>
      </c>
      <c r="BQ772" s="40">
        <f>BQ771*d_rho_bills+BP772*IF(B772&gt;=in_marketplace_from,d_hz_bills*G772,0)</f>
        <v/>
      </c>
      <c r="BR772" s="14">
        <f>F772*BQ772*in_bills_ticket*in_bills_comm/12</f>
        <v/>
      </c>
      <c r="BS772" s="40">
        <f>BS771*(1-IF(B771&gt;=in_marketplace_from,d_hz_loan_gold*G771,0))</f>
        <v/>
      </c>
      <c r="BT772" s="14">
        <f>F772*BS772*IF(B772&gt;=in_marketplace_from,d_hz_loan_gold*G772,0)*in_loan_gold_ticket*in_loan_gold_comm</f>
        <v/>
      </c>
      <c r="BU772" s="40">
        <f>BU771*(1-IF(B771&gt;=in_marketplace_from,d_hz_loan_cd*G771,0))</f>
        <v/>
      </c>
      <c r="BV772" s="14">
        <f>F772*BU772*IF(B772&gt;=in_marketplace_from,d_hz_loan_cd*G772,0)*in_loan_cd_ticket*in_loan_cd_comm</f>
        <v/>
      </c>
      <c r="BW772" s="40">
        <f>BW771*(1-IF(B771&gt;=in_marketplace_from,d_hz_loan_vehicle*G771,0))</f>
        <v/>
      </c>
      <c r="BX772" s="14">
        <f>F772*BW772*IF(B772&gt;=in_marketplace_from,d_hz_loan_vehicle*G772,0)*in_loan_vehicle_ticket*in_loan_vehicle_comm</f>
        <v/>
      </c>
      <c r="BY772" s="40">
        <f>BY771*(1-IF(B771&gt;=in_marketplace_from,d_hz_loan_home*G771,0)*BZ771)</f>
        <v/>
      </c>
      <c r="BZ772" s="11">
        <f>MIN(in_approval_cap,in_loan_home_approval*INDEX('Age profile'!$O$2:$O$61,B772)*(1+in_approval_growth)^(D772-1))</f>
        <v/>
      </c>
      <c r="CA772" s="14">
        <f>F772*BY772*IF(B772&gt;=in_marketplace_from,d_hz_loan_home*G772,0)*BZ772*in_loan_home_ticket*in_loan_home_comm</f>
        <v/>
      </c>
      <c r="CB772" s="40">
        <f>CB771*(1-IF(B771&gt;=in_marketplace_from,d_hz_loan_lap*G771,0)*CC771)</f>
        <v/>
      </c>
      <c r="CC772" s="11">
        <f>MIN(in_approval_cap,in_loan_lap_approval*INDEX('Age profile'!$O$2:$O$61,B772)*(1+in_approval_growth)^(D772-1))</f>
        <v/>
      </c>
      <c r="CD772" s="14">
        <f>F772*CB772*IF(B772&gt;=in_marketplace_from,d_hz_loan_lap*G772,0)*CC772*in_loan_lap_ticket*in_loan_lap_comm</f>
        <v/>
      </c>
      <c r="CE772" s="14">
        <f>AA772+AB772+AC772+AD772+AG772+AJ772+AM772+AP772+AS772+AU772+AX772+BB772+BE772+BG772+BJ772+BL772+BO772+BR772+BT772+BV772+BX772+CA772+CD772</f>
        <v/>
      </c>
    </row>
    <row r="773">
      <c r="A773" s="39" t="n">
        <v>15</v>
      </c>
      <c r="B773" s="39" t="n">
        <v>23</v>
      </c>
      <c r="C773" s="39">
        <f>A773+B773-1</f>
        <v/>
      </c>
      <c r="D773" s="39">
        <f>INT((C773-1)/12)+1</f>
        <v/>
      </c>
      <c r="E773" s="44">
        <f>INDEX(Monthly!$B$2:$B$61,A773)</f>
        <v/>
      </c>
      <c r="F773" s="44">
        <f>E773*INDEX('Age profile'!$B$2:$B$61,B773)</f>
        <v/>
      </c>
      <c r="G773" s="45">
        <f>MIN(in_takeup_cap,INDEX('Age profile'!$N$2:$N$61,B773)*(1+in_takeup_growth)^(D773-1))</f>
        <v/>
      </c>
      <c r="H773" s="11">
        <f>MIN(in_approval_cap,in_approved_first*INDEX('Age profile'!$O$2:$O$61,B773)*(1+in_approval_growth)^(D773-1))</f>
        <v/>
      </c>
      <c r="I773" s="45">
        <f>G773*MIN(in_takeup_cap,INDEX('Age profile'!$O$2:$O$61,B773)*(1+in_approval_growth)^(D773-1))</f>
        <v/>
      </c>
      <c r="J773" s="40">
        <f>(J772-L772)*F773/F772</f>
        <v/>
      </c>
      <c r="K773" s="40">
        <f>(K772-M772)*F773/F772+SUMIFS(O751:O772,B751:B772,B773-1-d_T)*F773</f>
        <v/>
      </c>
      <c r="L773" s="40">
        <f>IF(B773&gt;=in_marketplace_from,J773*d_hz*G773*in_eligible*H773,0)</f>
        <v/>
      </c>
      <c r="M773" s="40">
        <f>IF(B773&gt;=in_marketplace_from,K773*d_hz*G773*in_eligible*in_approved_repeat,0)</f>
        <v/>
      </c>
      <c r="N773" s="40">
        <f>L773+M773</f>
        <v/>
      </c>
      <c r="O773" s="46">
        <f>N773/F773</f>
        <v/>
      </c>
      <c r="P773" s="40">
        <f>F773-J773-K773</f>
        <v/>
      </c>
      <c r="Q773" s="40">
        <f>IF(B773&gt;=in_marketplace_from,(J773+K773)*d_hz*G773,0)</f>
        <v/>
      </c>
      <c r="R773" s="40">
        <f>SUMIFS(N751:N796,B751:B796,"&gt;="&amp;(B773-d_T),B751:B796,"&lt;="&amp;(B773-1))</f>
        <v/>
      </c>
      <c r="S773" s="46">
        <f>(1-d_u)*S772+IF(d_T&gt;in_topup_lag,SUMIFS(O751:O796,B751:B796,B773-in_topup_lag)-d_udrop*SUMIFS(O751:O796,B751:B796,B773-d_T),0)</f>
        <v/>
      </c>
      <c r="T773" s="40">
        <f>F773*d_u*S773</f>
        <v/>
      </c>
      <c r="U773" s="9">
        <f>L773*in_ticket+M773*d_rep_ticket</f>
        <v/>
      </c>
      <c r="V773" s="9">
        <f>U773+T773*d_topup_amt</f>
        <v/>
      </c>
      <c r="W773" s="40">
        <f>N773+T773*d_topup_ratio</f>
        <v/>
      </c>
      <c r="X773" s="40">
        <f>SUMIFS(W751:W796,B751:B796,B773-in_dpd_lag)*d_cured</f>
        <v/>
      </c>
      <c r="Y773" s="40">
        <f>SUMIFS(W751:W796,B751:B796,B773-in_rec_lag)*d_recd</f>
        <v/>
      </c>
      <c r="Z773" s="40">
        <f>IF(AND(B773&gt;=in_marketplace_from,B773&lt;in_marketplace_from+in_card_months),in_card_share/in_card_months*F773*I773,IF(AND(B773&gt;=in_marketplace_from+in_card_months,B773&lt;in_marketplace_from+2*in_card_months),in_card_share*d_card_rem/in_card_months*F773*MIN(in_takeup_cap,(1+in_takeup_growth)^(D773-1))*MIN(in_takeup_cap,(1+in_approval_growth)^(D773-1)),0))</f>
        <v/>
      </c>
      <c r="AA773" s="14">
        <f>V773*in_fee*(1-in_taken_back)</f>
        <v/>
      </c>
      <c r="AB773" s="14">
        <f>SUMIFS(W751:W796,B751:B796,B773-in_dpd_lag)*d_dpd</f>
        <v/>
      </c>
      <c r="AC773" s="14">
        <f>SUMIFS(W751:W796,B751:B796,B773-in_rec_lag)*d_rec</f>
        <v/>
      </c>
      <c r="AD773" s="14">
        <f>Z773*in_card_fee</f>
        <v/>
      </c>
      <c r="AE773" s="40">
        <f>AE772*(1-IF(B772&gt;=in_marketplace_from,d_hz_hlth_small*G772,0))</f>
        <v/>
      </c>
      <c r="AF773" s="46">
        <f>AE773*IF(B773&gt;=in_marketplace_from,d_hz_hlth_small*G773,0)</f>
        <v/>
      </c>
      <c r="AG773" s="14">
        <f>F773*AF773*in_hlth_small_ticket*in_hlth_small_comm*in_ins_partner_share+F773*in_hlth_small_ticket*in_hlth_small_renew_comm*in_ins_partner_share*(in_hlth_small_renew^1*SUMIFS(AF751:AF796,B751:B796,B773-12)+in_hlth_small_renew^2*SUMIFS(AF751:AF796,B751:B796,B773-24)+in_hlth_small_renew^3*SUMIFS(AF751:AF796,B751:B796,B773-36)+in_hlth_small_renew^4*SUMIFS(AF751:AF796,B751:B796,B773-48))</f>
        <v/>
      </c>
      <c r="AH773" s="40">
        <f>AH772*(1-IF(B772&gt;=in_marketplace_from,d_hz_hlth_family*G772,0))</f>
        <v/>
      </c>
      <c r="AI773" s="46">
        <f>AH773*IF(B773&gt;=in_marketplace_from,d_hz_hlth_family*G773,0)</f>
        <v/>
      </c>
      <c r="AJ773" s="14">
        <f>F773*AI773*in_hlth_family_ticket*in_hlth_family_comm*in_ins_partner_share+F773*in_hlth_family_ticket*in_hlth_family_renew_comm*in_ins_partner_share*(in_hlth_family_renew^1*SUMIFS(AI751:AI796,B751:B796,B773-12)+in_hlth_family_renew^2*SUMIFS(AI751:AI796,B751:B796,B773-24)+in_hlth_family_renew^3*SUMIFS(AI751:AI796,B751:B796,B773-36)+in_hlth_family_renew^4*SUMIFS(AI751:AI796,B751:B796,B773-48))</f>
        <v/>
      </c>
      <c r="AK773" s="40">
        <f>AK772*(1-IF(B772&gt;=in_marketplace_from,d_hz_life_term*G772,0))</f>
        <v/>
      </c>
      <c r="AL773" s="46">
        <f>AK773*IF(B773&gt;=in_marketplace_from,d_hz_life_term*G773,0)</f>
        <v/>
      </c>
      <c r="AM773" s="14">
        <f>F773*AL773*in_life_term_ticket*in_life_term_comm*in_ins_partner_share+F773*in_life_term_ticket*in_life_term_renew_comm*in_ins_partner_share*(in_life_term_renew^1*SUMIFS(AL751:AL796,B751:B796,B773-12)+in_life_term_renew^2*SUMIFS(AL751:AL796,B751:B796,B773-24)+in_life_term_renew^3*SUMIFS(AL751:AL796,B751:B796,B773-36)+in_life_term_renew^4*SUMIFS(AL751:AL796,B751:B796,B773-48))</f>
        <v/>
      </c>
      <c r="AN773" s="40">
        <f>AN772*(1-IF(B772&gt;=in_marketplace_from,d_hz_accident*G772,0))</f>
        <v/>
      </c>
      <c r="AO773" s="46">
        <f>AN773*IF(B773&gt;=in_marketplace_from,d_hz_accident*G773,0)</f>
        <v/>
      </c>
      <c r="AP773" s="14">
        <f>F773*AO773*in_accident_ticket*in_accident_comm*in_ins_partner_share+F773*in_accident_ticket*in_accident_renew_comm*in_ins_partner_share*(in_accident_renew^1*SUMIFS(AO751:AO796,B751:B796,B773-12)+in_accident_renew^2*SUMIFS(AO751:AO796,B751:B796,B773-24)+in_accident_renew^3*SUMIFS(AO751:AO796,B751:B796,B773-36)+in_accident_renew^4*SUMIFS(AO751:AO796,B751:B796,B773-48))</f>
        <v/>
      </c>
      <c r="AQ773" s="40">
        <f>AQ772*(1-IF(B772&gt;=in_marketplace_from,d_hz_two_wheeler*G772,0))</f>
        <v/>
      </c>
      <c r="AR773" s="46">
        <f>AQ773*IF(B773&gt;=in_marketplace_from,d_hz_two_wheeler*G773,0)</f>
        <v/>
      </c>
      <c r="AS773" s="14">
        <f>F773*AR773*in_two_wheeler_ticket*in_two_wheeler_comm*in_ins_partner_share+F773*in_two_wheeler_ticket*in_two_wheeler_comm*in_ins_partner_share*(in_two_wheeler_renew^1*SUMIFS(AR751:AR796,B751:B796,B773-12)+in_two_wheeler_renew^2*SUMIFS(AR751:AR796,B751:B796,B773-24)+in_two_wheeler_renew^3*SUMIFS(AR751:AR796,B751:B796,B773-36)+in_two_wheeler_renew^4*SUMIFS(AR751:AR796,B751:B796,B773-48))</f>
        <v/>
      </c>
      <c r="AT773" s="40">
        <f>AT772*(1-IF(B772&gt;=in_marketplace_from,d_hz_device*G772,0))</f>
        <v/>
      </c>
      <c r="AU773" s="14">
        <f>F773*AT773*IF(B773&gt;=in_marketplace_from,d_hz_device*G773,0)*in_device_ticket*in_device_comm*in_ins_partner_share</f>
        <v/>
      </c>
      <c r="AV773" s="40">
        <f>AV772*(1-IF(B772&gt;=in_marketplace_from,d_hz_shop*G772,0))</f>
        <v/>
      </c>
      <c r="AW773" s="46">
        <f>AV773*IF(B773&gt;=in_marketplace_from,d_hz_shop*G773,0)</f>
        <v/>
      </c>
      <c r="AX773" s="14">
        <f>F773*AW773*in_shop_ticket*in_shop_comm*in_ins_partner_share+F773*in_shop_ticket*in_shop_renew_comm*in_ins_partner_share*(in_shop_renew^1*SUMIFS(AW751:AW796,B751:B796,B773-12)+in_shop_renew^2*SUMIFS(AW751:AW796,B751:B796,B773-24)+in_shop_renew^3*SUMIFS(AW751:AW796,B751:B796,B773-36)+in_shop_renew^4*SUMIFS(AW751:AW796,B751:B796,B773-48))</f>
        <v/>
      </c>
      <c r="AY773" s="40">
        <f>AY772*(1-IF(B772&gt;=in_marketplace_from,d_hz_sip*G772,0))</f>
        <v/>
      </c>
      <c r="AZ773" s="40">
        <f>AZ772*d_rho_sip+AY773*IF(B773&gt;=in_marketplace_from,d_hz_sip*G773,0)</f>
        <v/>
      </c>
      <c r="BA773" s="40">
        <f>d_rho_sip*(BA772+AZ772)</f>
        <v/>
      </c>
      <c r="BB773" s="14">
        <f>F773*in_sip_ticket*(BA773+0.5*AZ773)*in_sip_comm/12</f>
        <v/>
      </c>
      <c r="BC773" s="40">
        <f>BC772*(1-IF(B772&gt;=in_marketplace_from,d_hz_choti*G772,0))</f>
        <v/>
      </c>
      <c r="BD773" s="46">
        <f>BC773*IF(B773&gt;=in_marketplace_from,d_hz_choti*G773,0)</f>
        <v/>
      </c>
      <c r="BE773" s="14">
        <f>F773*SUMIFS(BD751:BD796,B751:B796,B773-in_choti_months)*in_choti_renew*in_choti_ticket</f>
        <v/>
      </c>
      <c r="BF773" s="40">
        <f>BF772*(1-IF(B772&gt;=in_marketplace_from,d_hz_nps*G772,0))</f>
        <v/>
      </c>
      <c r="BG773" s="14">
        <f>F773*BF773*IF(B773&gt;=in_marketplace_from,d_hz_nps*G773,0)*in_nps_ticket*in_nps_comm</f>
        <v/>
      </c>
      <c r="BH773" s="40">
        <f>BH772*(1-IF(B772&gt;=in_marketplace_from,d_hz_gold*G772,0))</f>
        <v/>
      </c>
      <c r="BI773" s="40">
        <f>BI772*d_rho_gold+BH773*IF(B773&gt;=in_marketplace_from,d_hz_gold*G773,0)</f>
        <v/>
      </c>
      <c r="BJ773" s="14">
        <f>F773*BI773*in_gold_ticket*in_gold_comm</f>
        <v/>
      </c>
      <c r="BK773" s="40">
        <f>BK772*(1-IF(B772&gt;=in_marketplace_from,d_hz_fd*G772,0))</f>
        <v/>
      </c>
      <c r="BL773" s="14">
        <f>F773*BK773*IF(B773&gt;=in_marketplace_from,d_hz_fd*G773,0)*in_fd_ticket*in_fd_comm</f>
        <v/>
      </c>
      <c r="BM773" s="40">
        <f>BM772*(1-IF(B772&gt;=in_marketplace_from,d_hz_recharge*G772,0))</f>
        <v/>
      </c>
      <c r="BN773" s="40">
        <f>BN772*d_rho_recharge+BM773*IF(B773&gt;=in_marketplace_from,d_hz_recharge*G773,0)</f>
        <v/>
      </c>
      <c r="BO773" s="14">
        <f>F773*BN773*in_recharge_ticket*in_recharge_comm/12</f>
        <v/>
      </c>
      <c r="BP773" s="40">
        <f>BP772*(1-IF(B772&gt;=in_marketplace_from,d_hz_bills*G772,0))</f>
        <v/>
      </c>
      <c r="BQ773" s="40">
        <f>BQ772*d_rho_bills+BP773*IF(B773&gt;=in_marketplace_from,d_hz_bills*G773,0)</f>
        <v/>
      </c>
      <c r="BR773" s="14">
        <f>F773*BQ773*in_bills_ticket*in_bills_comm/12</f>
        <v/>
      </c>
      <c r="BS773" s="40">
        <f>BS772*(1-IF(B772&gt;=in_marketplace_from,d_hz_loan_gold*G772,0))</f>
        <v/>
      </c>
      <c r="BT773" s="14">
        <f>F773*BS773*IF(B773&gt;=in_marketplace_from,d_hz_loan_gold*G773,0)*in_loan_gold_ticket*in_loan_gold_comm</f>
        <v/>
      </c>
      <c r="BU773" s="40">
        <f>BU772*(1-IF(B772&gt;=in_marketplace_from,d_hz_loan_cd*G772,0))</f>
        <v/>
      </c>
      <c r="BV773" s="14">
        <f>F773*BU773*IF(B773&gt;=in_marketplace_from,d_hz_loan_cd*G773,0)*in_loan_cd_ticket*in_loan_cd_comm</f>
        <v/>
      </c>
      <c r="BW773" s="40">
        <f>BW772*(1-IF(B772&gt;=in_marketplace_from,d_hz_loan_vehicle*G772,0))</f>
        <v/>
      </c>
      <c r="BX773" s="14">
        <f>F773*BW773*IF(B773&gt;=in_marketplace_from,d_hz_loan_vehicle*G773,0)*in_loan_vehicle_ticket*in_loan_vehicle_comm</f>
        <v/>
      </c>
      <c r="BY773" s="40">
        <f>BY772*(1-IF(B772&gt;=in_marketplace_from,d_hz_loan_home*G772,0)*BZ772)</f>
        <v/>
      </c>
      <c r="BZ773" s="11">
        <f>MIN(in_approval_cap,in_loan_home_approval*INDEX('Age profile'!$O$2:$O$61,B773)*(1+in_approval_growth)^(D773-1))</f>
        <v/>
      </c>
      <c r="CA773" s="14">
        <f>F773*BY773*IF(B773&gt;=in_marketplace_from,d_hz_loan_home*G773,0)*BZ773*in_loan_home_ticket*in_loan_home_comm</f>
        <v/>
      </c>
      <c r="CB773" s="40">
        <f>CB772*(1-IF(B772&gt;=in_marketplace_from,d_hz_loan_lap*G772,0)*CC772)</f>
        <v/>
      </c>
      <c r="CC773" s="11">
        <f>MIN(in_approval_cap,in_loan_lap_approval*INDEX('Age profile'!$O$2:$O$61,B773)*(1+in_approval_growth)^(D773-1))</f>
        <v/>
      </c>
      <c r="CD773" s="14">
        <f>F773*CB773*IF(B773&gt;=in_marketplace_from,d_hz_loan_lap*G773,0)*CC773*in_loan_lap_ticket*in_loan_lap_comm</f>
        <v/>
      </c>
      <c r="CE773" s="14">
        <f>AA773+AB773+AC773+AD773+AG773+AJ773+AM773+AP773+AS773+AU773+AX773+BB773+BE773+BG773+BJ773+BL773+BO773+BR773+BT773+BV773+BX773+CA773+CD773</f>
        <v/>
      </c>
    </row>
    <row r="774">
      <c r="A774" s="39" t="n">
        <v>15</v>
      </c>
      <c r="B774" s="39" t="n">
        <v>24</v>
      </c>
      <c r="C774" s="39">
        <f>A774+B774-1</f>
        <v/>
      </c>
      <c r="D774" s="39">
        <f>INT((C774-1)/12)+1</f>
        <v/>
      </c>
      <c r="E774" s="44">
        <f>INDEX(Monthly!$B$2:$B$61,A774)</f>
        <v/>
      </c>
      <c r="F774" s="44">
        <f>E774*INDEX('Age profile'!$B$2:$B$61,B774)</f>
        <v/>
      </c>
      <c r="G774" s="45">
        <f>MIN(in_takeup_cap,INDEX('Age profile'!$N$2:$N$61,B774)*(1+in_takeup_growth)^(D774-1))</f>
        <v/>
      </c>
      <c r="H774" s="11">
        <f>MIN(in_approval_cap,in_approved_first*INDEX('Age profile'!$O$2:$O$61,B774)*(1+in_approval_growth)^(D774-1))</f>
        <v/>
      </c>
      <c r="I774" s="45">
        <f>G774*MIN(in_takeup_cap,INDEX('Age profile'!$O$2:$O$61,B774)*(1+in_approval_growth)^(D774-1))</f>
        <v/>
      </c>
      <c r="J774" s="40">
        <f>(J773-L773)*F774/F773</f>
        <v/>
      </c>
      <c r="K774" s="40">
        <f>(K773-M773)*F774/F773+SUMIFS(O751:O773,B751:B773,B774-1-d_T)*F774</f>
        <v/>
      </c>
      <c r="L774" s="40">
        <f>IF(B774&gt;=in_marketplace_from,J774*d_hz*G774*in_eligible*H774,0)</f>
        <v/>
      </c>
      <c r="M774" s="40">
        <f>IF(B774&gt;=in_marketplace_from,K774*d_hz*G774*in_eligible*in_approved_repeat,0)</f>
        <v/>
      </c>
      <c r="N774" s="40">
        <f>L774+M774</f>
        <v/>
      </c>
      <c r="O774" s="46">
        <f>N774/F774</f>
        <v/>
      </c>
      <c r="P774" s="40">
        <f>F774-J774-K774</f>
        <v/>
      </c>
      <c r="Q774" s="40">
        <f>IF(B774&gt;=in_marketplace_from,(J774+K774)*d_hz*G774,0)</f>
        <v/>
      </c>
      <c r="R774" s="40">
        <f>SUMIFS(N751:N796,B751:B796,"&gt;="&amp;(B774-d_T),B751:B796,"&lt;="&amp;(B774-1))</f>
        <v/>
      </c>
      <c r="S774" s="46">
        <f>(1-d_u)*S773+IF(d_T&gt;in_topup_lag,SUMIFS(O751:O796,B751:B796,B774-in_topup_lag)-d_udrop*SUMIFS(O751:O796,B751:B796,B774-d_T),0)</f>
        <v/>
      </c>
      <c r="T774" s="40">
        <f>F774*d_u*S774</f>
        <v/>
      </c>
      <c r="U774" s="9">
        <f>L774*in_ticket+M774*d_rep_ticket</f>
        <v/>
      </c>
      <c r="V774" s="9">
        <f>U774+T774*d_topup_amt</f>
        <v/>
      </c>
      <c r="W774" s="40">
        <f>N774+T774*d_topup_ratio</f>
        <v/>
      </c>
      <c r="X774" s="40">
        <f>SUMIFS(W751:W796,B751:B796,B774-in_dpd_lag)*d_cured</f>
        <v/>
      </c>
      <c r="Y774" s="40">
        <f>SUMIFS(W751:W796,B751:B796,B774-in_rec_lag)*d_recd</f>
        <v/>
      </c>
      <c r="Z774" s="40">
        <f>IF(AND(B774&gt;=in_marketplace_from,B774&lt;in_marketplace_from+in_card_months),in_card_share/in_card_months*F774*I774,IF(AND(B774&gt;=in_marketplace_from+in_card_months,B774&lt;in_marketplace_from+2*in_card_months),in_card_share*d_card_rem/in_card_months*F774*MIN(in_takeup_cap,(1+in_takeup_growth)^(D774-1))*MIN(in_takeup_cap,(1+in_approval_growth)^(D774-1)),0))</f>
        <v/>
      </c>
      <c r="AA774" s="14">
        <f>V774*in_fee*(1-in_taken_back)</f>
        <v/>
      </c>
      <c r="AB774" s="14">
        <f>SUMIFS(W751:W796,B751:B796,B774-in_dpd_lag)*d_dpd</f>
        <v/>
      </c>
      <c r="AC774" s="14">
        <f>SUMIFS(W751:W796,B751:B796,B774-in_rec_lag)*d_rec</f>
        <v/>
      </c>
      <c r="AD774" s="14">
        <f>Z774*in_card_fee</f>
        <v/>
      </c>
      <c r="AE774" s="40">
        <f>AE773*(1-IF(B773&gt;=in_marketplace_from,d_hz_hlth_small*G773,0))</f>
        <v/>
      </c>
      <c r="AF774" s="46">
        <f>AE774*IF(B774&gt;=in_marketplace_from,d_hz_hlth_small*G774,0)</f>
        <v/>
      </c>
      <c r="AG774" s="14">
        <f>F774*AF774*in_hlth_small_ticket*in_hlth_small_comm*in_ins_partner_share+F774*in_hlth_small_ticket*in_hlth_small_renew_comm*in_ins_partner_share*(in_hlth_small_renew^1*SUMIFS(AF751:AF796,B751:B796,B774-12)+in_hlth_small_renew^2*SUMIFS(AF751:AF796,B751:B796,B774-24)+in_hlth_small_renew^3*SUMIFS(AF751:AF796,B751:B796,B774-36)+in_hlth_small_renew^4*SUMIFS(AF751:AF796,B751:B796,B774-48))</f>
        <v/>
      </c>
      <c r="AH774" s="40">
        <f>AH773*(1-IF(B773&gt;=in_marketplace_from,d_hz_hlth_family*G773,0))</f>
        <v/>
      </c>
      <c r="AI774" s="46">
        <f>AH774*IF(B774&gt;=in_marketplace_from,d_hz_hlth_family*G774,0)</f>
        <v/>
      </c>
      <c r="AJ774" s="14">
        <f>F774*AI774*in_hlth_family_ticket*in_hlth_family_comm*in_ins_partner_share+F774*in_hlth_family_ticket*in_hlth_family_renew_comm*in_ins_partner_share*(in_hlth_family_renew^1*SUMIFS(AI751:AI796,B751:B796,B774-12)+in_hlth_family_renew^2*SUMIFS(AI751:AI796,B751:B796,B774-24)+in_hlth_family_renew^3*SUMIFS(AI751:AI796,B751:B796,B774-36)+in_hlth_family_renew^4*SUMIFS(AI751:AI796,B751:B796,B774-48))</f>
        <v/>
      </c>
      <c r="AK774" s="40">
        <f>AK773*(1-IF(B773&gt;=in_marketplace_from,d_hz_life_term*G773,0))</f>
        <v/>
      </c>
      <c r="AL774" s="46">
        <f>AK774*IF(B774&gt;=in_marketplace_from,d_hz_life_term*G774,0)</f>
        <v/>
      </c>
      <c r="AM774" s="14">
        <f>F774*AL774*in_life_term_ticket*in_life_term_comm*in_ins_partner_share+F774*in_life_term_ticket*in_life_term_renew_comm*in_ins_partner_share*(in_life_term_renew^1*SUMIFS(AL751:AL796,B751:B796,B774-12)+in_life_term_renew^2*SUMIFS(AL751:AL796,B751:B796,B774-24)+in_life_term_renew^3*SUMIFS(AL751:AL796,B751:B796,B774-36)+in_life_term_renew^4*SUMIFS(AL751:AL796,B751:B796,B774-48))</f>
        <v/>
      </c>
      <c r="AN774" s="40">
        <f>AN773*(1-IF(B773&gt;=in_marketplace_from,d_hz_accident*G773,0))</f>
        <v/>
      </c>
      <c r="AO774" s="46">
        <f>AN774*IF(B774&gt;=in_marketplace_from,d_hz_accident*G774,0)</f>
        <v/>
      </c>
      <c r="AP774" s="14">
        <f>F774*AO774*in_accident_ticket*in_accident_comm*in_ins_partner_share+F774*in_accident_ticket*in_accident_renew_comm*in_ins_partner_share*(in_accident_renew^1*SUMIFS(AO751:AO796,B751:B796,B774-12)+in_accident_renew^2*SUMIFS(AO751:AO796,B751:B796,B774-24)+in_accident_renew^3*SUMIFS(AO751:AO796,B751:B796,B774-36)+in_accident_renew^4*SUMIFS(AO751:AO796,B751:B796,B774-48))</f>
        <v/>
      </c>
      <c r="AQ774" s="40">
        <f>AQ773*(1-IF(B773&gt;=in_marketplace_from,d_hz_two_wheeler*G773,0))</f>
        <v/>
      </c>
      <c r="AR774" s="46">
        <f>AQ774*IF(B774&gt;=in_marketplace_from,d_hz_two_wheeler*G774,0)</f>
        <v/>
      </c>
      <c r="AS774" s="14">
        <f>F774*AR774*in_two_wheeler_ticket*in_two_wheeler_comm*in_ins_partner_share+F774*in_two_wheeler_ticket*in_two_wheeler_comm*in_ins_partner_share*(in_two_wheeler_renew^1*SUMIFS(AR751:AR796,B751:B796,B774-12)+in_two_wheeler_renew^2*SUMIFS(AR751:AR796,B751:B796,B774-24)+in_two_wheeler_renew^3*SUMIFS(AR751:AR796,B751:B796,B774-36)+in_two_wheeler_renew^4*SUMIFS(AR751:AR796,B751:B796,B774-48))</f>
        <v/>
      </c>
      <c r="AT774" s="40">
        <f>AT773*(1-IF(B773&gt;=in_marketplace_from,d_hz_device*G773,0))</f>
        <v/>
      </c>
      <c r="AU774" s="14">
        <f>F774*AT774*IF(B774&gt;=in_marketplace_from,d_hz_device*G774,0)*in_device_ticket*in_device_comm*in_ins_partner_share</f>
        <v/>
      </c>
      <c r="AV774" s="40">
        <f>AV773*(1-IF(B773&gt;=in_marketplace_from,d_hz_shop*G773,0))</f>
        <v/>
      </c>
      <c r="AW774" s="46">
        <f>AV774*IF(B774&gt;=in_marketplace_from,d_hz_shop*G774,0)</f>
        <v/>
      </c>
      <c r="AX774" s="14">
        <f>F774*AW774*in_shop_ticket*in_shop_comm*in_ins_partner_share+F774*in_shop_ticket*in_shop_renew_comm*in_ins_partner_share*(in_shop_renew^1*SUMIFS(AW751:AW796,B751:B796,B774-12)+in_shop_renew^2*SUMIFS(AW751:AW796,B751:B796,B774-24)+in_shop_renew^3*SUMIFS(AW751:AW796,B751:B796,B774-36)+in_shop_renew^4*SUMIFS(AW751:AW796,B751:B796,B774-48))</f>
        <v/>
      </c>
      <c r="AY774" s="40">
        <f>AY773*(1-IF(B773&gt;=in_marketplace_from,d_hz_sip*G773,0))</f>
        <v/>
      </c>
      <c r="AZ774" s="40">
        <f>AZ773*d_rho_sip+AY774*IF(B774&gt;=in_marketplace_from,d_hz_sip*G774,0)</f>
        <v/>
      </c>
      <c r="BA774" s="40">
        <f>d_rho_sip*(BA773+AZ773)</f>
        <v/>
      </c>
      <c r="BB774" s="14">
        <f>F774*in_sip_ticket*(BA774+0.5*AZ774)*in_sip_comm/12</f>
        <v/>
      </c>
      <c r="BC774" s="40">
        <f>BC773*(1-IF(B773&gt;=in_marketplace_from,d_hz_choti*G773,0))</f>
        <v/>
      </c>
      <c r="BD774" s="46">
        <f>BC774*IF(B774&gt;=in_marketplace_from,d_hz_choti*G774,0)</f>
        <v/>
      </c>
      <c r="BE774" s="14">
        <f>F774*SUMIFS(BD751:BD796,B751:B796,B774-in_choti_months)*in_choti_renew*in_choti_ticket</f>
        <v/>
      </c>
      <c r="BF774" s="40">
        <f>BF773*(1-IF(B773&gt;=in_marketplace_from,d_hz_nps*G773,0))</f>
        <v/>
      </c>
      <c r="BG774" s="14">
        <f>F774*BF774*IF(B774&gt;=in_marketplace_from,d_hz_nps*G774,0)*in_nps_ticket*in_nps_comm</f>
        <v/>
      </c>
      <c r="BH774" s="40">
        <f>BH773*(1-IF(B773&gt;=in_marketplace_from,d_hz_gold*G773,0))</f>
        <v/>
      </c>
      <c r="BI774" s="40">
        <f>BI773*d_rho_gold+BH774*IF(B774&gt;=in_marketplace_from,d_hz_gold*G774,0)</f>
        <v/>
      </c>
      <c r="BJ774" s="14">
        <f>F774*BI774*in_gold_ticket*in_gold_comm</f>
        <v/>
      </c>
      <c r="BK774" s="40">
        <f>BK773*(1-IF(B773&gt;=in_marketplace_from,d_hz_fd*G773,0))</f>
        <v/>
      </c>
      <c r="BL774" s="14">
        <f>F774*BK774*IF(B774&gt;=in_marketplace_from,d_hz_fd*G774,0)*in_fd_ticket*in_fd_comm</f>
        <v/>
      </c>
      <c r="BM774" s="40">
        <f>BM773*(1-IF(B773&gt;=in_marketplace_from,d_hz_recharge*G773,0))</f>
        <v/>
      </c>
      <c r="BN774" s="40">
        <f>BN773*d_rho_recharge+BM774*IF(B774&gt;=in_marketplace_from,d_hz_recharge*G774,0)</f>
        <v/>
      </c>
      <c r="BO774" s="14">
        <f>F774*BN774*in_recharge_ticket*in_recharge_comm/12</f>
        <v/>
      </c>
      <c r="BP774" s="40">
        <f>BP773*(1-IF(B773&gt;=in_marketplace_from,d_hz_bills*G773,0))</f>
        <v/>
      </c>
      <c r="BQ774" s="40">
        <f>BQ773*d_rho_bills+BP774*IF(B774&gt;=in_marketplace_from,d_hz_bills*G774,0)</f>
        <v/>
      </c>
      <c r="BR774" s="14">
        <f>F774*BQ774*in_bills_ticket*in_bills_comm/12</f>
        <v/>
      </c>
      <c r="BS774" s="40">
        <f>BS773*(1-IF(B773&gt;=in_marketplace_from,d_hz_loan_gold*G773,0))</f>
        <v/>
      </c>
      <c r="BT774" s="14">
        <f>F774*BS774*IF(B774&gt;=in_marketplace_from,d_hz_loan_gold*G774,0)*in_loan_gold_ticket*in_loan_gold_comm</f>
        <v/>
      </c>
      <c r="BU774" s="40">
        <f>BU773*(1-IF(B773&gt;=in_marketplace_from,d_hz_loan_cd*G773,0))</f>
        <v/>
      </c>
      <c r="BV774" s="14">
        <f>F774*BU774*IF(B774&gt;=in_marketplace_from,d_hz_loan_cd*G774,0)*in_loan_cd_ticket*in_loan_cd_comm</f>
        <v/>
      </c>
      <c r="BW774" s="40">
        <f>BW773*(1-IF(B773&gt;=in_marketplace_from,d_hz_loan_vehicle*G773,0))</f>
        <v/>
      </c>
      <c r="BX774" s="14">
        <f>F774*BW774*IF(B774&gt;=in_marketplace_from,d_hz_loan_vehicle*G774,0)*in_loan_vehicle_ticket*in_loan_vehicle_comm</f>
        <v/>
      </c>
      <c r="BY774" s="40">
        <f>BY773*(1-IF(B773&gt;=in_marketplace_from,d_hz_loan_home*G773,0)*BZ773)</f>
        <v/>
      </c>
      <c r="BZ774" s="11">
        <f>MIN(in_approval_cap,in_loan_home_approval*INDEX('Age profile'!$O$2:$O$61,B774)*(1+in_approval_growth)^(D774-1))</f>
        <v/>
      </c>
      <c r="CA774" s="14">
        <f>F774*BY774*IF(B774&gt;=in_marketplace_from,d_hz_loan_home*G774,0)*BZ774*in_loan_home_ticket*in_loan_home_comm</f>
        <v/>
      </c>
      <c r="CB774" s="40">
        <f>CB773*(1-IF(B773&gt;=in_marketplace_from,d_hz_loan_lap*G773,0)*CC773)</f>
        <v/>
      </c>
      <c r="CC774" s="11">
        <f>MIN(in_approval_cap,in_loan_lap_approval*INDEX('Age profile'!$O$2:$O$61,B774)*(1+in_approval_growth)^(D774-1))</f>
        <v/>
      </c>
      <c r="CD774" s="14">
        <f>F774*CB774*IF(B774&gt;=in_marketplace_from,d_hz_loan_lap*G774,0)*CC774*in_loan_lap_ticket*in_loan_lap_comm</f>
        <v/>
      </c>
      <c r="CE774" s="14">
        <f>AA774+AB774+AC774+AD774+AG774+AJ774+AM774+AP774+AS774+AU774+AX774+BB774+BE774+BG774+BJ774+BL774+BO774+BR774+BT774+BV774+BX774+CA774+CD774</f>
        <v/>
      </c>
    </row>
    <row r="775">
      <c r="A775" s="39" t="n">
        <v>15</v>
      </c>
      <c r="B775" s="39" t="n">
        <v>25</v>
      </c>
      <c r="C775" s="39">
        <f>A775+B775-1</f>
        <v/>
      </c>
      <c r="D775" s="39">
        <f>INT((C775-1)/12)+1</f>
        <v/>
      </c>
      <c r="E775" s="44">
        <f>INDEX(Monthly!$B$2:$B$61,A775)</f>
        <v/>
      </c>
      <c r="F775" s="44">
        <f>E775*INDEX('Age profile'!$B$2:$B$61,B775)</f>
        <v/>
      </c>
      <c r="G775" s="45">
        <f>MIN(in_takeup_cap,INDEX('Age profile'!$N$2:$N$61,B775)*(1+in_takeup_growth)^(D775-1))</f>
        <v/>
      </c>
      <c r="H775" s="11">
        <f>MIN(in_approval_cap,in_approved_first*INDEX('Age profile'!$O$2:$O$61,B775)*(1+in_approval_growth)^(D775-1))</f>
        <v/>
      </c>
      <c r="I775" s="45">
        <f>G775*MIN(in_takeup_cap,INDEX('Age profile'!$O$2:$O$61,B775)*(1+in_approval_growth)^(D775-1))</f>
        <v/>
      </c>
      <c r="J775" s="40">
        <f>(J774-L774)*F775/F774</f>
        <v/>
      </c>
      <c r="K775" s="40">
        <f>(K774-M774)*F775/F774+SUMIFS(O751:O774,B751:B774,B775-1-d_T)*F775</f>
        <v/>
      </c>
      <c r="L775" s="40">
        <f>IF(B775&gt;=in_marketplace_from,J775*d_hz*G775*in_eligible*H775,0)</f>
        <v/>
      </c>
      <c r="M775" s="40">
        <f>IF(B775&gt;=in_marketplace_from,K775*d_hz*G775*in_eligible*in_approved_repeat,0)</f>
        <v/>
      </c>
      <c r="N775" s="40">
        <f>L775+M775</f>
        <v/>
      </c>
      <c r="O775" s="46">
        <f>N775/F775</f>
        <v/>
      </c>
      <c r="P775" s="40">
        <f>F775-J775-K775</f>
        <v/>
      </c>
      <c r="Q775" s="40">
        <f>IF(B775&gt;=in_marketplace_from,(J775+K775)*d_hz*G775,0)</f>
        <v/>
      </c>
      <c r="R775" s="40">
        <f>SUMIFS(N751:N796,B751:B796,"&gt;="&amp;(B775-d_T),B751:B796,"&lt;="&amp;(B775-1))</f>
        <v/>
      </c>
      <c r="S775" s="46">
        <f>(1-d_u)*S774+IF(d_T&gt;in_topup_lag,SUMIFS(O751:O796,B751:B796,B775-in_topup_lag)-d_udrop*SUMIFS(O751:O796,B751:B796,B775-d_T),0)</f>
        <v/>
      </c>
      <c r="T775" s="40">
        <f>F775*d_u*S775</f>
        <v/>
      </c>
      <c r="U775" s="9">
        <f>L775*in_ticket+M775*d_rep_ticket</f>
        <v/>
      </c>
      <c r="V775" s="9">
        <f>U775+T775*d_topup_amt</f>
        <v/>
      </c>
      <c r="W775" s="40">
        <f>N775+T775*d_topup_ratio</f>
        <v/>
      </c>
      <c r="X775" s="40">
        <f>SUMIFS(W751:W796,B751:B796,B775-in_dpd_lag)*d_cured</f>
        <v/>
      </c>
      <c r="Y775" s="40">
        <f>SUMIFS(W751:W796,B751:B796,B775-in_rec_lag)*d_recd</f>
        <v/>
      </c>
      <c r="Z775" s="40">
        <f>IF(AND(B775&gt;=in_marketplace_from,B775&lt;in_marketplace_from+in_card_months),in_card_share/in_card_months*F775*I775,IF(AND(B775&gt;=in_marketplace_from+in_card_months,B775&lt;in_marketplace_from+2*in_card_months),in_card_share*d_card_rem/in_card_months*F775*MIN(in_takeup_cap,(1+in_takeup_growth)^(D775-1))*MIN(in_takeup_cap,(1+in_approval_growth)^(D775-1)),0))</f>
        <v/>
      </c>
      <c r="AA775" s="14">
        <f>V775*in_fee*(1-in_taken_back)</f>
        <v/>
      </c>
      <c r="AB775" s="14">
        <f>SUMIFS(W751:W796,B751:B796,B775-in_dpd_lag)*d_dpd</f>
        <v/>
      </c>
      <c r="AC775" s="14">
        <f>SUMIFS(W751:W796,B751:B796,B775-in_rec_lag)*d_rec</f>
        <v/>
      </c>
      <c r="AD775" s="14">
        <f>Z775*in_card_fee</f>
        <v/>
      </c>
      <c r="AE775" s="40">
        <f>AE774*(1-IF(B774&gt;=in_marketplace_from,d_hz_hlth_small*G774,0))</f>
        <v/>
      </c>
      <c r="AF775" s="46">
        <f>AE775*IF(B775&gt;=in_marketplace_from,d_hz_hlth_small*G775,0)</f>
        <v/>
      </c>
      <c r="AG775" s="14">
        <f>F775*AF775*in_hlth_small_ticket*in_hlth_small_comm*in_ins_partner_share+F775*in_hlth_small_ticket*in_hlth_small_renew_comm*in_ins_partner_share*(in_hlth_small_renew^1*SUMIFS(AF751:AF796,B751:B796,B775-12)+in_hlth_small_renew^2*SUMIFS(AF751:AF796,B751:B796,B775-24)+in_hlth_small_renew^3*SUMIFS(AF751:AF796,B751:B796,B775-36)+in_hlth_small_renew^4*SUMIFS(AF751:AF796,B751:B796,B775-48))</f>
        <v/>
      </c>
      <c r="AH775" s="40">
        <f>AH774*(1-IF(B774&gt;=in_marketplace_from,d_hz_hlth_family*G774,0))</f>
        <v/>
      </c>
      <c r="AI775" s="46">
        <f>AH775*IF(B775&gt;=in_marketplace_from,d_hz_hlth_family*G775,0)</f>
        <v/>
      </c>
      <c r="AJ775" s="14">
        <f>F775*AI775*in_hlth_family_ticket*in_hlth_family_comm*in_ins_partner_share+F775*in_hlth_family_ticket*in_hlth_family_renew_comm*in_ins_partner_share*(in_hlth_family_renew^1*SUMIFS(AI751:AI796,B751:B796,B775-12)+in_hlth_family_renew^2*SUMIFS(AI751:AI796,B751:B796,B775-24)+in_hlth_family_renew^3*SUMIFS(AI751:AI796,B751:B796,B775-36)+in_hlth_family_renew^4*SUMIFS(AI751:AI796,B751:B796,B775-48))</f>
        <v/>
      </c>
      <c r="AK775" s="40">
        <f>AK774*(1-IF(B774&gt;=in_marketplace_from,d_hz_life_term*G774,0))</f>
        <v/>
      </c>
      <c r="AL775" s="46">
        <f>AK775*IF(B775&gt;=in_marketplace_from,d_hz_life_term*G775,0)</f>
        <v/>
      </c>
      <c r="AM775" s="14">
        <f>F775*AL775*in_life_term_ticket*in_life_term_comm*in_ins_partner_share+F775*in_life_term_ticket*in_life_term_renew_comm*in_ins_partner_share*(in_life_term_renew^1*SUMIFS(AL751:AL796,B751:B796,B775-12)+in_life_term_renew^2*SUMIFS(AL751:AL796,B751:B796,B775-24)+in_life_term_renew^3*SUMIFS(AL751:AL796,B751:B796,B775-36)+in_life_term_renew^4*SUMIFS(AL751:AL796,B751:B796,B775-48))</f>
        <v/>
      </c>
      <c r="AN775" s="40">
        <f>AN774*(1-IF(B774&gt;=in_marketplace_from,d_hz_accident*G774,0))</f>
        <v/>
      </c>
      <c r="AO775" s="46">
        <f>AN775*IF(B775&gt;=in_marketplace_from,d_hz_accident*G775,0)</f>
        <v/>
      </c>
      <c r="AP775" s="14">
        <f>F775*AO775*in_accident_ticket*in_accident_comm*in_ins_partner_share+F775*in_accident_ticket*in_accident_renew_comm*in_ins_partner_share*(in_accident_renew^1*SUMIFS(AO751:AO796,B751:B796,B775-12)+in_accident_renew^2*SUMIFS(AO751:AO796,B751:B796,B775-24)+in_accident_renew^3*SUMIFS(AO751:AO796,B751:B796,B775-36)+in_accident_renew^4*SUMIFS(AO751:AO796,B751:B796,B775-48))</f>
        <v/>
      </c>
      <c r="AQ775" s="40">
        <f>AQ774*(1-IF(B774&gt;=in_marketplace_from,d_hz_two_wheeler*G774,0))</f>
        <v/>
      </c>
      <c r="AR775" s="46">
        <f>AQ775*IF(B775&gt;=in_marketplace_from,d_hz_two_wheeler*G775,0)</f>
        <v/>
      </c>
      <c r="AS775" s="14">
        <f>F775*AR775*in_two_wheeler_ticket*in_two_wheeler_comm*in_ins_partner_share+F775*in_two_wheeler_ticket*in_two_wheeler_comm*in_ins_partner_share*(in_two_wheeler_renew^1*SUMIFS(AR751:AR796,B751:B796,B775-12)+in_two_wheeler_renew^2*SUMIFS(AR751:AR796,B751:B796,B775-24)+in_two_wheeler_renew^3*SUMIFS(AR751:AR796,B751:B796,B775-36)+in_two_wheeler_renew^4*SUMIFS(AR751:AR796,B751:B796,B775-48))</f>
        <v/>
      </c>
      <c r="AT775" s="40">
        <f>AT774*(1-IF(B774&gt;=in_marketplace_from,d_hz_device*G774,0))</f>
        <v/>
      </c>
      <c r="AU775" s="14">
        <f>F775*AT775*IF(B775&gt;=in_marketplace_from,d_hz_device*G775,0)*in_device_ticket*in_device_comm*in_ins_partner_share</f>
        <v/>
      </c>
      <c r="AV775" s="40">
        <f>AV774*(1-IF(B774&gt;=in_marketplace_from,d_hz_shop*G774,0))</f>
        <v/>
      </c>
      <c r="AW775" s="46">
        <f>AV775*IF(B775&gt;=in_marketplace_from,d_hz_shop*G775,0)</f>
        <v/>
      </c>
      <c r="AX775" s="14">
        <f>F775*AW775*in_shop_ticket*in_shop_comm*in_ins_partner_share+F775*in_shop_ticket*in_shop_renew_comm*in_ins_partner_share*(in_shop_renew^1*SUMIFS(AW751:AW796,B751:B796,B775-12)+in_shop_renew^2*SUMIFS(AW751:AW796,B751:B796,B775-24)+in_shop_renew^3*SUMIFS(AW751:AW796,B751:B796,B775-36)+in_shop_renew^4*SUMIFS(AW751:AW796,B751:B796,B775-48))</f>
        <v/>
      </c>
      <c r="AY775" s="40">
        <f>AY774*(1-IF(B774&gt;=in_marketplace_from,d_hz_sip*G774,0))</f>
        <v/>
      </c>
      <c r="AZ775" s="40">
        <f>AZ774*d_rho_sip+AY775*IF(B775&gt;=in_marketplace_from,d_hz_sip*G775,0)</f>
        <v/>
      </c>
      <c r="BA775" s="40">
        <f>d_rho_sip*(BA774+AZ774)</f>
        <v/>
      </c>
      <c r="BB775" s="14">
        <f>F775*in_sip_ticket*(BA775+0.5*AZ775)*in_sip_comm/12</f>
        <v/>
      </c>
      <c r="BC775" s="40">
        <f>BC774*(1-IF(B774&gt;=in_marketplace_from,d_hz_choti*G774,0))</f>
        <v/>
      </c>
      <c r="BD775" s="46">
        <f>BC775*IF(B775&gt;=in_marketplace_from,d_hz_choti*G775,0)</f>
        <v/>
      </c>
      <c r="BE775" s="14">
        <f>F775*SUMIFS(BD751:BD796,B751:B796,B775-in_choti_months)*in_choti_renew*in_choti_ticket</f>
        <v/>
      </c>
      <c r="BF775" s="40">
        <f>BF774*(1-IF(B774&gt;=in_marketplace_from,d_hz_nps*G774,0))</f>
        <v/>
      </c>
      <c r="BG775" s="14">
        <f>F775*BF775*IF(B775&gt;=in_marketplace_from,d_hz_nps*G775,0)*in_nps_ticket*in_nps_comm</f>
        <v/>
      </c>
      <c r="BH775" s="40">
        <f>BH774*(1-IF(B774&gt;=in_marketplace_from,d_hz_gold*G774,0))</f>
        <v/>
      </c>
      <c r="BI775" s="40">
        <f>BI774*d_rho_gold+BH775*IF(B775&gt;=in_marketplace_from,d_hz_gold*G775,0)</f>
        <v/>
      </c>
      <c r="BJ775" s="14">
        <f>F775*BI775*in_gold_ticket*in_gold_comm</f>
        <v/>
      </c>
      <c r="BK775" s="40">
        <f>BK774*(1-IF(B774&gt;=in_marketplace_from,d_hz_fd*G774,0))</f>
        <v/>
      </c>
      <c r="BL775" s="14">
        <f>F775*BK775*IF(B775&gt;=in_marketplace_from,d_hz_fd*G775,0)*in_fd_ticket*in_fd_comm</f>
        <v/>
      </c>
      <c r="BM775" s="40">
        <f>BM774*(1-IF(B774&gt;=in_marketplace_from,d_hz_recharge*G774,0))</f>
        <v/>
      </c>
      <c r="BN775" s="40">
        <f>BN774*d_rho_recharge+BM775*IF(B775&gt;=in_marketplace_from,d_hz_recharge*G775,0)</f>
        <v/>
      </c>
      <c r="BO775" s="14">
        <f>F775*BN775*in_recharge_ticket*in_recharge_comm/12</f>
        <v/>
      </c>
      <c r="BP775" s="40">
        <f>BP774*(1-IF(B774&gt;=in_marketplace_from,d_hz_bills*G774,0))</f>
        <v/>
      </c>
      <c r="BQ775" s="40">
        <f>BQ774*d_rho_bills+BP775*IF(B775&gt;=in_marketplace_from,d_hz_bills*G775,0)</f>
        <v/>
      </c>
      <c r="BR775" s="14">
        <f>F775*BQ775*in_bills_ticket*in_bills_comm/12</f>
        <v/>
      </c>
      <c r="BS775" s="40">
        <f>BS774*(1-IF(B774&gt;=in_marketplace_from,d_hz_loan_gold*G774,0))</f>
        <v/>
      </c>
      <c r="BT775" s="14">
        <f>F775*BS775*IF(B775&gt;=in_marketplace_from,d_hz_loan_gold*G775,0)*in_loan_gold_ticket*in_loan_gold_comm</f>
        <v/>
      </c>
      <c r="BU775" s="40">
        <f>BU774*(1-IF(B774&gt;=in_marketplace_from,d_hz_loan_cd*G774,0))</f>
        <v/>
      </c>
      <c r="BV775" s="14">
        <f>F775*BU775*IF(B775&gt;=in_marketplace_from,d_hz_loan_cd*G775,0)*in_loan_cd_ticket*in_loan_cd_comm</f>
        <v/>
      </c>
      <c r="BW775" s="40">
        <f>BW774*(1-IF(B774&gt;=in_marketplace_from,d_hz_loan_vehicle*G774,0))</f>
        <v/>
      </c>
      <c r="BX775" s="14">
        <f>F775*BW775*IF(B775&gt;=in_marketplace_from,d_hz_loan_vehicle*G775,0)*in_loan_vehicle_ticket*in_loan_vehicle_comm</f>
        <v/>
      </c>
      <c r="BY775" s="40">
        <f>BY774*(1-IF(B774&gt;=in_marketplace_from,d_hz_loan_home*G774,0)*BZ774)</f>
        <v/>
      </c>
      <c r="BZ775" s="11">
        <f>MIN(in_approval_cap,in_loan_home_approval*INDEX('Age profile'!$O$2:$O$61,B775)*(1+in_approval_growth)^(D775-1))</f>
        <v/>
      </c>
      <c r="CA775" s="14">
        <f>F775*BY775*IF(B775&gt;=in_marketplace_from,d_hz_loan_home*G775,0)*BZ775*in_loan_home_ticket*in_loan_home_comm</f>
        <v/>
      </c>
      <c r="CB775" s="40">
        <f>CB774*(1-IF(B774&gt;=in_marketplace_from,d_hz_loan_lap*G774,0)*CC774)</f>
        <v/>
      </c>
      <c r="CC775" s="11">
        <f>MIN(in_approval_cap,in_loan_lap_approval*INDEX('Age profile'!$O$2:$O$61,B775)*(1+in_approval_growth)^(D775-1))</f>
        <v/>
      </c>
      <c r="CD775" s="14">
        <f>F775*CB775*IF(B775&gt;=in_marketplace_from,d_hz_loan_lap*G775,0)*CC775*in_loan_lap_ticket*in_loan_lap_comm</f>
        <v/>
      </c>
      <c r="CE775" s="14">
        <f>AA775+AB775+AC775+AD775+AG775+AJ775+AM775+AP775+AS775+AU775+AX775+BB775+BE775+BG775+BJ775+BL775+BO775+BR775+BT775+BV775+BX775+CA775+CD775</f>
        <v/>
      </c>
    </row>
    <row r="776">
      <c r="A776" s="39" t="n">
        <v>15</v>
      </c>
      <c r="B776" s="39" t="n">
        <v>26</v>
      </c>
      <c r="C776" s="39">
        <f>A776+B776-1</f>
        <v/>
      </c>
      <c r="D776" s="39">
        <f>INT((C776-1)/12)+1</f>
        <v/>
      </c>
      <c r="E776" s="44">
        <f>INDEX(Monthly!$B$2:$B$61,A776)</f>
        <v/>
      </c>
      <c r="F776" s="44">
        <f>E776*INDEX('Age profile'!$B$2:$B$61,B776)</f>
        <v/>
      </c>
      <c r="G776" s="45">
        <f>MIN(in_takeup_cap,INDEX('Age profile'!$N$2:$N$61,B776)*(1+in_takeup_growth)^(D776-1))</f>
        <v/>
      </c>
      <c r="H776" s="11">
        <f>MIN(in_approval_cap,in_approved_first*INDEX('Age profile'!$O$2:$O$61,B776)*(1+in_approval_growth)^(D776-1))</f>
        <v/>
      </c>
      <c r="I776" s="45">
        <f>G776*MIN(in_takeup_cap,INDEX('Age profile'!$O$2:$O$61,B776)*(1+in_approval_growth)^(D776-1))</f>
        <v/>
      </c>
      <c r="J776" s="40">
        <f>(J775-L775)*F776/F775</f>
        <v/>
      </c>
      <c r="K776" s="40">
        <f>(K775-M775)*F776/F775+SUMIFS(O751:O775,B751:B775,B776-1-d_T)*F776</f>
        <v/>
      </c>
      <c r="L776" s="40">
        <f>IF(B776&gt;=in_marketplace_from,J776*d_hz*G776*in_eligible*H776,0)</f>
        <v/>
      </c>
      <c r="M776" s="40">
        <f>IF(B776&gt;=in_marketplace_from,K776*d_hz*G776*in_eligible*in_approved_repeat,0)</f>
        <v/>
      </c>
      <c r="N776" s="40">
        <f>L776+M776</f>
        <v/>
      </c>
      <c r="O776" s="46">
        <f>N776/F776</f>
        <v/>
      </c>
      <c r="P776" s="40">
        <f>F776-J776-K776</f>
        <v/>
      </c>
      <c r="Q776" s="40">
        <f>IF(B776&gt;=in_marketplace_from,(J776+K776)*d_hz*G776,0)</f>
        <v/>
      </c>
      <c r="R776" s="40">
        <f>SUMIFS(N751:N796,B751:B796,"&gt;="&amp;(B776-d_T),B751:B796,"&lt;="&amp;(B776-1))</f>
        <v/>
      </c>
      <c r="S776" s="46">
        <f>(1-d_u)*S775+IF(d_T&gt;in_topup_lag,SUMIFS(O751:O796,B751:B796,B776-in_topup_lag)-d_udrop*SUMIFS(O751:O796,B751:B796,B776-d_T),0)</f>
        <v/>
      </c>
      <c r="T776" s="40">
        <f>F776*d_u*S776</f>
        <v/>
      </c>
      <c r="U776" s="9">
        <f>L776*in_ticket+M776*d_rep_ticket</f>
        <v/>
      </c>
      <c r="V776" s="9">
        <f>U776+T776*d_topup_amt</f>
        <v/>
      </c>
      <c r="W776" s="40">
        <f>N776+T776*d_topup_ratio</f>
        <v/>
      </c>
      <c r="X776" s="40">
        <f>SUMIFS(W751:W796,B751:B796,B776-in_dpd_lag)*d_cured</f>
        <v/>
      </c>
      <c r="Y776" s="40">
        <f>SUMIFS(W751:W796,B751:B796,B776-in_rec_lag)*d_recd</f>
        <v/>
      </c>
      <c r="Z776" s="40">
        <f>IF(AND(B776&gt;=in_marketplace_from,B776&lt;in_marketplace_from+in_card_months),in_card_share/in_card_months*F776*I776,IF(AND(B776&gt;=in_marketplace_from+in_card_months,B776&lt;in_marketplace_from+2*in_card_months),in_card_share*d_card_rem/in_card_months*F776*MIN(in_takeup_cap,(1+in_takeup_growth)^(D776-1))*MIN(in_takeup_cap,(1+in_approval_growth)^(D776-1)),0))</f>
        <v/>
      </c>
      <c r="AA776" s="14">
        <f>V776*in_fee*(1-in_taken_back)</f>
        <v/>
      </c>
      <c r="AB776" s="14">
        <f>SUMIFS(W751:W796,B751:B796,B776-in_dpd_lag)*d_dpd</f>
        <v/>
      </c>
      <c r="AC776" s="14">
        <f>SUMIFS(W751:W796,B751:B796,B776-in_rec_lag)*d_rec</f>
        <v/>
      </c>
      <c r="AD776" s="14">
        <f>Z776*in_card_fee</f>
        <v/>
      </c>
      <c r="AE776" s="40">
        <f>AE775*(1-IF(B775&gt;=in_marketplace_from,d_hz_hlth_small*G775,0))</f>
        <v/>
      </c>
      <c r="AF776" s="46">
        <f>AE776*IF(B776&gt;=in_marketplace_from,d_hz_hlth_small*G776,0)</f>
        <v/>
      </c>
      <c r="AG776" s="14">
        <f>F776*AF776*in_hlth_small_ticket*in_hlth_small_comm*in_ins_partner_share+F776*in_hlth_small_ticket*in_hlth_small_renew_comm*in_ins_partner_share*(in_hlth_small_renew^1*SUMIFS(AF751:AF796,B751:B796,B776-12)+in_hlth_small_renew^2*SUMIFS(AF751:AF796,B751:B796,B776-24)+in_hlth_small_renew^3*SUMIFS(AF751:AF796,B751:B796,B776-36)+in_hlth_small_renew^4*SUMIFS(AF751:AF796,B751:B796,B776-48))</f>
        <v/>
      </c>
      <c r="AH776" s="40">
        <f>AH775*(1-IF(B775&gt;=in_marketplace_from,d_hz_hlth_family*G775,0))</f>
        <v/>
      </c>
      <c r="AI776" s="46">
        <f>AH776*IF(B776&gt;=in_marketplace_from,d_hz_hlth_family*G776,0)</f>
        <v/>
      </c>
      <c r="AJ776" s="14">
        <f>F776*AI776*in_hlth_family_ticket*in_hlth_family_comm*in_ins_partner_share+F776*in_hlth_family_ticket*in_hlth_family_renew_comm*in_ins_partner_share*(in_hlth_family_renew^1*SUMIFS(AI751:AI796,B751:B796,B776-12)+in_hlth_family_renew^2*SUMIFS(AI751:AI796,B751:B796,B776-24)+in_hlth_family_renew^3*SUMIFS(AI751:AI796,B751:B796,B776-36)+in_hlth_family_renew^4*SUMIFS(AI751:AI796,B751:B796,B776-48))</f>
        <v/>
      </c>
      <c r="AK776" s="40">
        <f>AK775*(1-IF(B775&gt;=in_marketplace_from,d_hz_life_term*G775,0))</f>
        <v/>
      </c>
      <c r="AL776" s="46">
        <f>AK776*IF(B776&gt;=in_marketplace_from,d_hz_life_term*G776,0)</f>
        <v/>
      </c>
      <c r="AM776" s="14">
        <f>F776*AL776*in_life_term_ticket*in_life_term_comm*in_ins_partner_share+F776*in_life_term_ticket*in_life_term_renew_comm*in_ins_partner_share*(in_life_term_renew^1*SUMIFS(AL751:AL796,B751:B796,B776-12)+in_life_term_renew^2*SUMIFS(AL751:AL796,B751:B796,B776-24)+in_life_term_renew^3*SUMIFS(AL751:AL796,B751:B796,B776-36)+in_life_term_renew^4*SUMIFS(AL751:AL796,B751:B796,B776-48))</f>
        <v/>
      </c>
      <c r="AN776" s="40">
        <f>AN775*(1-IF(B775&gt;=in_marketplace_from,d_hz_accident*G775,0))</f>
        <v/>
      </c>
      <c r="AO776" s="46">
        <f>AN776*IF(B776&gt;=in_marketplace_from,d_hz_accident*G776,0)</f>
        <v/>
      </c>
      <c r="AP776" s="14">
        <f>F776*AO776*in_accident_ticket*in_accident_comm*in_ins_partner_share+F776*in_accident_ticket*in_accident_renew_comm*in_ins_partner_share*(in_accident_renew^1*SUMIFS(AO751:AO796,B751:B796,B776-12)+in_accident_renew^2*SUMIFS(AO751:AO796,B751:B796,B776-24)+in_accident_renew^3*SUMIFS(AO751:AO796,B751:B796,B776-36)+in_accident_renew^4*SUMIFS(AO751:AO796,B751:B796,B776-48))</f>
        <v/>
      </c>
      <c r="AQ776" s="40">
        <f>AQ775*(1-IF(B775&gt;=in_marketplace_from,d_hz_two_wheeler*G775,0))</f>
        <v/>
      </c>
      <c r="AR776" s="46">
        <f>AQ776*IF(B776&gt;=in_marketplace_from,d_hz_two_wheeler*G776,0)</f>
        <v/>
      </c>
      <c r="AS776" s="14">
        <f>F776*AR776*in_two_wheeler_ticket*in_two_wheeler_comm*in_ins_partner_share+F776*in_two_wheeler_ticket*in_two_wheeler_comm*in_ins_partner_share*(in_two_wheeler_renew^1*SUMIFS(AR751:AR796,B751:B796,B776-12)+in_two_wheeler_renew^2*SUMIFS(AR751:AR796,B751:B796,B776-24)+in_two_wheeler_renew^3*SUMIFS(AR751:AR796,B751:B796,B776-36)+in_two_wheeler_renew^4*SUMIFS(AR751:AR796,B751:B796,B776-48))</f>
        <v/>
      </c>
      <c r="AT776" s="40">
        <f>AT775*(1-IF(B775&gt;=in_marketplace_from,d_hz_device*G775,0))</f>
        <v/>
      </c>
      <c r="AU776" s="14">
        <f>F776*AT776*IF(B776&gt;=in_marketplace_from,d_hz_device*G776,0)*in_device_ticket*in_device_comm*in_ins_partner_share</f>
        <v/>
      </c>
      <c r="AV776" s="40">
        <f>AV775*(1-IF(B775&gt;=in_marketplace_from,d_hz_shop*G775,0))</f>
        <v/>
      </c>
      <c r="AW776" s="46">
        <f>AV776*IF(B776&gt;=in_marketplace_from,d_hz_shop*G776,0)</f>
        <v/>
      </c>
      <c r="AX776" s="14">
        <f>F776*AW776*in_shop_ticket*in_shop_comm*in_ins_partner_share+F776*in_shop_ticket*in_shop_renew_comm*in_ins_partner_share*(in_shop_renew^1*SUMIFS(AW751:AW796,B751:B796,B776-12)+in_shop_renew^2*SUMIFS(AW751:AW796,B751:B796,B776-24)+in_shop_renew^3*SUMIFS(AW751:AW796,B751:B796,B776-36)+in_shop_renew^4*SUMIFS(AW751:AW796,B751:B796,B776-48))</f>
        <v/>
      </c>
      <c r="AY776" s="40">
        <f>AY775*(1-IF(B775&gt;=in_marketplace_from,d_hz_sip*G775,0))</f>
        <v/>
      </c>
      <c r="AZ776" s="40">
        <f>AZ775*d_rho_sip+AY776*IF(B776&gt;=in_marketplace_from,d_hz_sip*G776,0)</f>
        <v/>
      </c>
      <c r="BA776" s="40">
        <f>d_rho_sip*(BA775+AZ775)</f>
        <v/>
      </c>
      <c r="BB776" s="14">
        <f>F776*in_sip_ticket*(BA776+0.5*AZ776)*in_sip_comm/12</f>
        <v/>
      </c>
      <c r="BC776" s="40">
        <f>BC775*(1-IF(B775&gt;=in_marketplace_from,d_hz_choti*G775,0))</f>
        <v/>
      </c>
      <c r="BD776" s="46">
        <f>BC776*IF(B776&gt;=in_marketplace_from,d_hz_choti*G776,0)</f>
        <v/>
      </c>
      <c r="BE776" s="14">
        <f>F776*SUMIFS(BD751:BD796,B751:B796,B776-in_choti_months)*in_choti_renew*in_choti_ticket</f>
        <v/>
      </c>
      <c r="BF776" s="40">
        <f>BF775*(1-IF(B775&gt;=in_marketplace_from,d_hz_nps*G775,0))</f>
        <v/>
      </c>
      <c r="BG776" s="14">
        <f>F776*BF776*IF(B776&gt;=in_marketplace_from,d_hz_nps*G776,0)*in_nps_ticket*in_nps_comm</f>
        <v/>
      </c>
      <c r="BH776" s="40">
        <f>BH775*(1-IF(B775&gt;=in_marketplace_from,d_hz_gold*G775,0))</f>
        <v/>
      </c>
      <c r="BI776" s="40">
        <f>BI775*d_rho_gold+BH776*IF(B776&gt;=in_marketplace_from,d_hz_gold*G776,0)</f>
        <v/>
      </c>
      <c r="BJ776" s="14">
        <f>F776*BI776*in_gold_ticket*in_gold_comm</f>
        <v/>
      </c>
      <c r="BK776" s="40">
        <f>BK775*(1-IF(B775&gt;=in_marketplace_from,d_hz_fd*G775,0))</f>
        <v/>
      </c>
      <c r="BL776" s="14">
        <f>F776*BK776*IF(B776&gt;=in_marketplace_from,d_hz_fd*G776,0)*in_fd_ticket*in_fd_comm</f>
        <v/>
      </c>
      <c r="BM776" s="40">
        <f>BM775*(1-IF(B775&gt;=in_marketplace_from,d_hz_recharge*G775,0))</f>
        <v/>
      </c>
      <c r="BN776" s="40">
        <f>BN775*d_rho_recharge+BM776*IF(B776&gt;=in_marketplace_from,d_hz_recharge*G776,0)</f>
        <v/>
      </c>
      <c r="BO776" s="14">
        <f>F776*BN776*in_recharge_ticket*in_recharge_comm/12</f>
        <v/>
      </c>
      <c r="BP776" s="40">
        <f>BP775*(1-IF(B775&gt;=in_marketplace_from,d_hz_bills*G775,0))</f>
        <v/>
      </c>
      <c r="BQ776" s="40">
        <f>BQ775*d_rho_bills+BP776*IF(B776&gt;=in_marketplace_from,d_hz_bills*G776,0)</f>
        <v/>
      </c>
      <c r="BR776" s="14">
        <f>F776*BQ776*in_bills_ticket*in_bills_comm/12</f>
        <v/>
      </c>
      <c r="BS776" s="40">
        <f>BS775*(1-IF(B775&gt;=in_marketplace_from,d_hz_loan_gold*G775,0))</f>
        <v/>
      </c>
      <c r="BT776" s="14">
        <f>F776*BS776*IF(B776&gt;=in_marketplace_from,d_hz_loan_gold*G776,0)*in_loan_gold_ticket*in_loan_gold_comm</f>
        <v/>
      </c>
      <c r="BU776" s="40">
        <f>BU775*(1-IF(B775&gt;=in_marketplace_from,d_hz_loan_cd*G775,0))</f>
        <v/>
      </c>
      <c r="BV776" s="14">
        <f>F776*BU776*IF(B776&gt;=in_marketplace_from,d_hz_loan_cd*G776,0)*in_loan_cd_ticket*in_loan_cd_comm</f>
        <v/>
      </c>
      <c r="BW776" s="40">
        <f>BW775*(1-IF(B775&gt;=in_marketplace_from,d_hz_loan_vehicle*G775,0))</f>
        <v/>
      </c>
      <c r="BX776" s="14">
        <f>F776*BW776*IF(B776&gt;=in_marketplace_from,d_hz_loan_vehicle*G776,0)*in_loan_vehicle_ticket*in_loan_vehicle_comm</f>
        <v/>
      </c>
      <c r="BY776" s="40">
        <f>BY775*(1-IF(B775&gt;=in_marketplace_from,d_hz_loan_home*G775,0)*BZ775)</f>
        <v/>
      </c>
      <c r="BZ776" s="11">
        <f>MIN(in_approval_cap,in_loan_home_approval*INDEX('Age profile'!$O$2:$O$61,B776)*(1+in_approval_growth)^(D776-1))</f>
        <v/>
      </c>
      <c r="CA776" s="14">
        <f>F776*BY776*IF(B776&gt;=in_marketplace_from,d_hz_loan_home*G776,0)*BZ776*in_loan_home_ticket*in_loan_home_comm</f>
        <v/>
      </c>
      <c r="CB776" s="40">
        <f>CB775*(1-IF(B775&gt;=in_marketplace_from,d_hz_loan_lap*G775,0)*CC775)</f>
        <v/>
      </c>
      <c r="CC776" s="11">
        <f>MIN(in_approval_cap,in_loan_lap_approval*INDEX('Age profile'!$O$2:$O$61,B776)*(1+in_approval_growth)^(D776-1))</f>
        <v/>
      </c>
      <c r="CD776" s="14">
        <f>F776*CB776*IF(B776&gt;=in_marketplace_from,d_hz_loan_lap*G776,0)*CC776*in_loan_lap_ticket*in_loan_lap_comm</f>
        <v/>
      </c>
      <c r="CE776" s="14">
        <f>AA776+AB776+AC776+AD776+AG776+AJ776+AM776+AP776+AS776+AU776+AX776+BB776+BE776+BG776+BJ776+BL776+BO776+BR776+BT776+BV776+BX776+CA776+CD776</f>
        <v/>
      </c>
    </row>
    <row r="777">
      <c r="A777" s="39" t="n">
        <v>15</v>
      </c>
      <c r="B777" s="39" t="n">
        <v>27</v>
      </c>
      <c r="C777" s="39">
        <f>A777+B777-1</f>
        <v/>
      </c>
      <c r="D777" s="39">
        <f>INT((C777-1)/12)+1</f>
        <v/>
      </c>
      <c r="E777" s="44">
        <f>INDEX(Monthly!$B$2:$B$61,A777)</f>
        <v/>
      </c>
      <c r="F777" s="44">
        <f>E777*INDEX('Age profile'!$B$2:$B$61,B777)</f>
        <v/>
      </c>
      <c r="G777" s="45">
        <f>MIN(in_takeup_cap,INDEX('Age profile'!$N$2:$N$61,B777)*(1+in_takeup_growth)^(D777-1))</f>
        <v/>
      </c>
      <c r="H777" s="11">
        <f>MIN(in_approval_cap,in_approved_first*INDEX('Age profile'!$O$2:$O$61,B777)*(1+in_approval_growth)^(D777-1))</f>
        <v/>
      </c>
      <c r="I777" s="45">
        <f>G777*MIN(in_takeup_cap,INDEX('Age profile'!$O$2:$O$61,B777)*(1+in_approval_growth)^(D777-1))</f>
        <v/>
      </c>
      <c r="J777" s="40">
        <f>(J776-L776)*F777/F776</f>
        <v/>
      </c>
      <c r="K777" s="40">
        <f>(K776-M776)*F777/F776+SUMIFS(O751:O776,B751:B776,B777-1-d_T)*F777</f>
        <v/>
      </c>
      <c r="L777" s="40">
        <f>IF(B777&gt;=in_marketplace_from,J777*d_hz*G777*in_eligible*H777,0)</f>
        <v/>
      </c>
      <c r="M777" s="40">
        <f>IF(B777&gt;=in_marketplace_from,K777*d_hz*G777*in_eligible*in_approved_repeat,0)</f>
        <v/>
      </c>
      <c r="N777" s="40">
        <f>L777+M777</f>
        <v/>
      </c>
      <c r="O777" s="46">
        <f>N777/F777</f>
        <v/>
      </c>
      <c r="P777" s="40">
        <f>F777-J777-K777</f>
        <v/>
      </c>
      <c r="Q777" s="40">
        <f>IF(B777&gt;=in_marketplace_from,(J777+K777)*d_hz*G777,0)</f>
        <v/>
      </c>
      <c r="R777" s="40">
        <f>SUMIFS(N751:N796,B751:B796,"&gt;="&amp;(B777-d_T),B751:B796,"&lt;="&amp;(B777-1))</f>
        <v/>
      </c>
      <c r="S777" s="46">
        <f>(1-d_u)*S776+IF(d_T&gt;in_topup_lag,SUMIFS(O751:O796,B751:B796,B777-in_topup_lag)-d_udrop*SUMIFS(O751:O796,B751:B796,B777-d_T),0)</f>
        <v/>
      </c>
      <c r="T777" s="40">
        <f>F777*d_u*S777</f>
        <v/>
      </c>
      <c r="U777" s="9">
        <f>L777*in_ticket+M777*d_rep_ticket</f>
        <v/>
      </c>
      <c r="V777" s="9">
        <f>U777+T777*d_topup_amt</f>
        <v/>
      </c>
      <c r="W777" s="40">
        <f>N777+T777*d_topup_ratio</f>
        <v/>
      </c>
      <c r="X777" s="40">
        <f>SUMIFS(W751:W796,B751:B796,B777-in_dpd_lag)*d_cured</f>
        <v/>
      </c>
      <c r="Y777" s="40">
        <f>SUMIFS(W751:W796,B751:B796,B777-in_rec_lag)*d_recd</f>
        <v/>
      </c>
      <c r="Z777" s="40">
        <f>IF(AND(B777&gt;=in_marketplace_from,B777&lt;in_marketplace_from+in_card_months),in_card_share/in_card_months*F777*I777,IF(AND(B777&gt;=in_marketplace_from+in_card_months,B777&lt;in_marketplace_from+2*in_card_months),in_card_share*d_card_rem/in_card_months*F777*MIN(in_takeup_cap,(1+in_takeup_growth)^(D777-1))*MIN(in_takeup_cap,(1+in_approval_growth)^(D777-1)),0))</f>
        <v/>
      </c>
      <c r="AA777" s="14">
        <f>V777*in_fee*(1-in_taken_back)</f>
        <v/>
      </c>
      <c r="AB777" s="14">
        <f>SUMIFS(W751:W796,B751:B796,B777-in_dpd_lag)*d_dpd</f>
        <v/>
      </c>
      <c r="AC777" s="14">
        <f>SUMIFS(W751:W796,B751:B796,B777-in_rec_lag)*d_rec</f>
        <v/>
      </c>
      <c r="AD777" s="14">
        <f>Z777*in_card_fee</f>
        <v/>
      </c>
      <c r="AE777" s="40">
        <f>AE776*(1-IF(B776&gt;=in_marketplace_from,d_hz_hlth_small*G776,0))</f>
        <v/>
      </c>
      <c r="AF777" s="46">
        <f>AE777*IF(B777&gt;=in_marketplace_from,d_hz_hlth_small*G777,0)</f>
        <v/>
      </c>
      <c r="AG777" s="14">
        <f>F777*AF777*in_hlth_small_ticket*in_hlth_small_comm*in_ins_partner_share+F777*in_hlth_small_ticket*in_hlth_small_renew_comm*in_ins_partner_share*(in_hlth_small_renew^1*SUMIFS(AF751:AF796,B751:B796,B777-12)+in_hlth_small_renew^2*SUMIFS(AF751:AF796,B751:B796,B777-24)+in_hlth_small_renew^3*SUMIFS(AF751:AF796,B751:B796,B777-36)+in_hlth_small_renew^4*SUMIFS(AF751:AF796,B751:B796,B777-48))</f>
        <v/>
      </c>
      <c r="AH777" s="40">
        <f>AH776*(1-IF(B776&gt;=in_marketplace_from,d_hz_hlth_family*G776,0))</f>
        <v/>
      </c>
      <c r="AI777" s="46">
        <f>AH777*IF(B777&gt;=in_marketplace_from,d_hz_hlth_family*G777,0)</f>
        <v/>
      </c>
      <c r="AJ777" s="14">
        <f>F777*AI777*in_hlth_family_ticket*in_hlth_family_comm*in_ins_partner_share+F777*in_hlth_family_ticket*in_hlth_family_renew_comm*in_ins_partner_share*(in_hlth_family_renew^1*SUMIFS(AI751:AI796,B751:B796,B777-12)+in_hlth_family_renew^2*SUMIFS(AI751:AI796,B751:B796,B777-24)+in_hlth_family_renew^3*SUMIFS(AI751:AI796,B751:B796,B777-36)+in_hlth_family_renew^4*SUMIFS(AI751:AI796,B751:B796,B777-48))</f>
        <v/>
      </c>
      <c r="AK777" s="40">
        <f>AK776*(1-IF(B776&gt;=in_marketplace_from,d_hz_life_term*G776,0))</f>
        <v/>
      </c>
      <c r="AL777" s="46">
        <f>AK777*IF(B777&gt;=in_marketplace_from,d_hz_life_term*G777,0)</f>
        <v/>
      </c>
      <c r="AM777" s="14">
        <f>F777*AL777*in_life_term_ticket*in_life_term_comm*in_ins_partner_share+F777*in_life_term_ticket*in_life_term_renew_comm*in_ins_partner_share*(in_life_term_renew^1*SUMIFS(AL751:AL796,B751:B796,B777-12)+in_life_term_renew^2*SUMIFS(AL751:AL796,B751:B796,B777-24)+in_life_term_renew^3*SUMIFS(AL751:AL796,B751:B796,B777-36)+in_life_term_renew^4*SUMIFS(AL751:AL796,B751:B796,B777-48))</f>
        <v/>
      </c>
      <c r="AN777" s="40">
        <f>AN776*(1-IF(B776&gt;=in_marketplace_from,d_hz_accident*G776,0))</f>
        <v/>
      </c>
      <c r="AO777" s="46">
        <f>AN777*IF(B777&gt;=in_marketplace_from,d_hz_accident*G777,0)</f>
        <v/>
      </c>
      <c r="AP777" s="14">
        <f>F777*AO777*in_accident_ticket*in_accident_comm*in_ins_partner_share+F777*in_accident_ticket*in_accident_renew_comm*in_ins_partner_share*(in_accident_renew^1*SUMIFS(AO751:AO796,B751:B796,B777-12)+in_accident_renew^2*SUMIFS(AO751:AO796,B751:B796,B777-24)+in_accident_renew^3*SUMIFS(AO751:AO796,B751:B796,B777-36)+in_accident_renew^4*SUMIFS(AO751:AO796,B751:B796,B777-48))</f>
        <v/>
      </c>
      <c r="AQ777" s="40">
        <f>AQ776*(1-IF(B776&gt;=in_marketplace_from,d_hz_two_wheeler*G776,0))</f>
        <v/>
      </c>
      <c r="AR777" s="46">
        <f>AQ777*IF(B777&gt;=in_marketplace_from,d_hz_two_wheeler*G777,0)</f>
        <v/>
      </c>
      <c r="AS777" s="14">
        <f>F777*AR777*in_two_wheeler_ticket*in_two_wheeler_comm*in_ins_partner_share+F777*in_two_wheeler_ticket*in_two_wheeler_comm*in_ins_partner_share*(in_two_wheeler_renew^1*SUMIFS(AR751:AR796,B751:B796,B777-12)+in_two_wheeler_renew^2*SUMIFS(AR751:AR796,B751:B796,B777-24)+in_two_wheeler_renew^3*SUMIFS(AR751:AR796,B751:B796,B777-36)+in_two_wheeler_renew^4*SUMIFS(AR751:AR796,B751:B796,B777-48))</f>
        <v/>
      </c>
      <c r="AT777" s="40">
        <f>AT776*(1-IF(B776&gt;=in_marketplace_from,d_hz_device*G776,0))</f>
        <v/>
      </c>
      <c r="AU777" s="14">
        <f>F777*AT777*IF(B777&gt;=in_marketplace_from,d_hz_device*G777,0)*in_device_ticket*in_device_comm*in_ins_partner_share</f>
        <v/>
      </c>
      <c r="AV777" s="40">
        <f>AV776*(1-IF(B776&gt;=in_marketplace_from,d_hz_shop*G776,0))</f>
        <v/>
      </c>
      <c r="AW777" s="46">
        <f>AV777*IF(B777&gt;=in_marketplace_from,d_hz_shop*G777,0)</f>
        <v/>
      </c>
      <c r="AX777" s="14">
        <f>F777*AW777*in_shop_ticket*in_shop_comm*in_ins_partner_share+F777*in_shop_ticket*in_shop_renew_comm*in_ins_partner_share*(in_shop_renew^1*SUMIFS(AW751:AW796,B751:B796,B777-12)+in_shop_renew^2*SUMIFS(AW751:AW796,B751:B796,B777-24)+in_shop_renew^3*SUMIFS(AW751:AW796,B751:B796,B777-36)+in_shop_renew^4*SUMIFS(AW751:AW796,B751:B796,B777-48))</f>
        <v/>
      </c>
      <c r="AY777" s="40">
        <f>AY776*(1-IF(B776&gt;=in_marketplace_from,d_hz_sip*G776,0))</f>
        <v/>
      </c>
      <c r="AZ777" s="40">
        <f>AZ776*d_rho_sip+AY777*IF(B777&gt;=in_marketplace_from,d_hz_sip*G777,0)</f>
        <v/>
      </c>
      <c r="BA777" s="40">
        <f>d_rho_sip*(BA776+AZ776)</f>
        <v/>
      </c>
      <c r="BB777" s="14">
        <f>F777*in_sip_ticket*(BA777+0.5*AZ777)*in_sip_comm/12</f>
        <v/>
      </c>
      <c r="BC777" s="40">
        <f>BC776*(1-IF(B776&gt;=in_marketplace_from,d_hz_choti*G776,0))</f>
        <v/>
      </c>
      <c r="BD777" s="46">
        <f>BC777*IF(B777&gt;=in_marketplace_from,d_hz_choti*G777,0)</f>
        <v/>
      </c>
      <c r="BE777" s="14">
        <f>F777*SUMIFS(BD751:BD796,B751:B796,B777-in_choti_months)*in_choti_renew*in_choti_ticket</f>
        <v/>
      </c>
      <c r="BF777" s="40">
        <f>BF776*(1-IF(B776&gt;=in_marketplace_from,d_hz_nps*G776,0))</f>
        <v/>
      </c>
      <c r="BG777" s="14">
        <f>F777*BF777*IF(B777&gt;=in_marketplace_from,d_hz_nps*G777,0)*in_nps_ticket*in_nps_comm</f>
        <v/>
      </c>
      <c r="BH777" s="40">
        <f>BH776*(1-IF(B776&gt;=in_marketplace_from,d_hz_gold*G776,0))</f>
        <v/>
      </c>
      <c r="BI777" s="40">
        <f>BI776*d_rho_gold+BH777*IF(B777&gt;=in_marketplace_from,d_hz_gold*G777,0)</f>
        <v/>
      </c>
      <c r="BJ777" s="14">
        <f>F777*BI777*in_gold_ticket*in_gold_comm</f>
        <v/>
      </c>
      <c r="BK777" s="40">
        <f>BK776*(1-IF(B776&gt;=in_marketplace_from,d_hz_fd*G776,0))</f>
        <v/>
      </c>
      <c r="BL777" s="14">
        <f>F777*BK777*IF(B777&gt;=in_marketplace_from,d_hz_fd*G777,0)*in_fd_ticket*in_fd_comm</f>
        <v/>
      </c>
      <c r="BM777" s="40">
        <f>BM776*(1-IF(B776&gt;=in_marketplace_from,d_hz_recharge*G776,0))</f>
        <v/>
      </c>
      <c r="BN777" s="40">
        <f>BN776*d_rho_recharge+BM777*IF(B777&gt;=in_marketplace_from,d_hz_recharge*G777,0)</f>
        <v/>
      </c>
      <c r="BO777" s="14">
        <f>F777*BN777*in_recharge_ticket*in_recharge_comm/12</f>
        <v/>
      </c>
      <c r="BP777" s="40">
        <f>BP776*(1-IF(B776&gt;=in_marketplace_from,d_hz_bills*G776,0))</f>
        <v/>
      </c>
      <c r="BQ777" s="40">
        <f>BQ776*d_rho_bills+BP777*IF(B777&gt;=in_marketplace_from,d_hz_bills*G777,0)</f>
        <v/>
      </c>
      <c r="BR777" s="14">
        <f>F777*BQ777*in_bills_ticket*in_bills_comm/12</f>
        <v/>
      </c>
      <c r="BS777" s="40">
        <f>BS776*(1-IF(B776&gt;=in_marketplace_from,d_hz_loan_gold*G776,0))</f>
        <v/>
      </c>
      <c r="BT777" s="14">
        <f>F777*BS777*IF(B777&gt;=in_marketplace_from,d_hz_loan_gold*G777,0)*in_loan_gold_ticket*in_loan_gold_comm</f>
        <v/>
      </c>
      <c r="BU777" s="40">
        <f>BU776*(1-IF(B776&gt;=in_marketplace_from,d_hz_loan_cd*G776,0))</f>
        <v/>
      </c>
      <c r="BV777" s="14">
        <f>F777*BU777*IF(B777&gt;=in_marketplace_from,d_hz_loan_cd*G777,0)*in_loan_cd_ticket*in_loan_cd_comm</f>
        <v/>
      </c>
      <c r="BW777" s="40">
        <f>BW776*(1-IF(B776&gt;=in_marketplace_from,d_hz_loan_vehicle*G776,0))</f>
        <v/>
      </c>
      <c r="BX777" s="14">
        <f>F777*BW777*IF(B777&gt;=in_marketplace_from,d_hz_loan_vehicle*G777,0)*in_loan_vehicle_ticket*in_loan_vehicle_comm</f>
        <v/>
      </c>
      <c r="BY777" s="40">
        <f>BY776*(1-IF(B776&gt;=in_marketplace_from,d_hz_loan_home*G776,0)*BZ776)</f>
        <v/>
      </c>
      <c r="BZ777" s="11">
        <f>MIN(in_approval_cap,in_loan_home_approval*INDEX('Age profile'!$O$2:$O$61,B777)*(1+in_approval_growth)^(D777-1))</f>
        <v/>
      </c>
      <c r="CA777" s="14">
        <f>F777*BY777*IF(B777&gt;=in_marketplace_from,d_hz_loan_home*G777,0)*BZ777*in_loan_home_ticket*in_loan_home_comm</f>
        <v/>
      </c>
      <c r="CB777" s="40">
        <f>CB776*(1-IF(B776&gt;=in_marketplace_from,d_hz_loan_lap*G776,0)*CC776)</f>
        <v/>
      </c>
      <c r="CC777" s="11">
        <f>MIN(in_approval_cap,in_loan_lap_approval*INDEX('Age profile'!$O$2:$O$61,B777)*(1+in_approval_growth)^(D777-1))</f>
        <v/>
      </c>
      <c r="CD777" s="14">
        <f>F777*CB777*IF(B777&gt;=in_marketplace_from,d_hz_loan_lap*G777,0)*CC777*in_loan_lap_ticket*in_loan_lap_comm</f>
        <v/>
      </c>
      <c r="CE777" s="14">
        <f>AA777+AB777+AC777+AD777+AG777+AJ777+AM777+AP777+AS777+AU777+AX777+BB777+BE777+BG777+BJ777+BL777+BO777+BR777+BT777+BV777+BX777+CA777+CD777</f>
        <v/>
      </c>
    </row>
    <row r="778">
      <c r="A778" s="39" t="n">
        <v>15</v>
      </c>
      <c r="B778" s="39" t="n">
        <v>28</v>
      </c>
      <c r="C778" s="39">
        <f>A778+B778-1</f>
        <v/>
      </c>
      <c r="D778" s="39">
        <f>INT((C778-1)/12)+1</f>
        <v/>
      </c>
      <c r="E778" s="44">
        <f>INDEX(Monthly!$B$2:$B$61,A778)</f>
        <v/>
      </c>
      <c r="F778" s="44">
        <f>E778*INDEX('Age profile'!$B$2:$B$61,B778)</f>
        <v/>
      </c>
      <c r="G778" s="45">
        <f>MIN(in_takeup_cap,INDEX('Age profile'!$N$2:$N$61,B778)*(1+in_takeup_growth)^(D778-1))</f>
        <v/>
      </c>
      <c r="H778" s="11">
        <f>MIN(in_approval_cap,in_approved_first*INDEX('Age profile'!$O$2:$O$61,B778)*(1+in_approval_growth)^(D778-1))</f>
        <v/>
      </c>
      <c r="I778" s="45">
        <f>G778*MIN(in_takeup_cap,INDEX('Age profile'!$O$2:$O$61,B778)*(1+in_approval_growth)^(D778-1))</f>
        <v/>
      </c>
      <c r="J778" s="40">
        <f>(J777-L777)*F778/F777</f>
        <v/>
      </c>
      <c r="K778" s="40">
        <f>(K777-M777)*F778/F777+SUMIFS(O751:O777,B751:B777,B778-1-d_T)*F778</f>
        <v/>
      </c>
      <c r="L778" s="40">
        <f>IF(B778&gt;=in_marketplace_from,J778*d_hz*G778*in_eligible*H778,0)</f>
        <v/>
      </c>
      <c r="M778" s="40">
        <f>IF(B778&gt;=in_marketplace_from,K778*d_hz*G778*in_eligible*in_approved_repeat,0)</f>
        <v/>
      </c>
      <c r="N778" s="40">
        <f>L778+M778</f>
        <v/>
      </c>
      <c r="O778" s="46">
        <f>N778/F778</f>
        <v/>
      </c>
      <c r="P778" s="40">
        <f>F778-J778-K778</f>
        <v/>
      </c>
      <c r="Q778" s="40">
        <f>IF(B778&gt;=in_marketplace_from,(J778+K778)*d_hz*G778,0)</f>
        <v/>
      </c>
      <c r="R778" s="40">
        <f>SUMIFS(N751:N796,B751:B796,"&gt;="&amp;(B778-d_T),B751:B796,"&lt;="&amp;(B778-1))</f>
        <v/>
      </c>
      <c r="S778" s="46">
        <f>(1-d_u)*S777+IF(d_T&gt;in_topup_lag,SUMIFS(O751:O796,B751:B796,B778-in_topup_lag)-d_udrop*SUMIFS(O751:O796,B751:B796,B778-d_T),0)</f>
        <v/>
      </c>
      <c r="T778" s="40">
        <f>F778*d_u*S778</f>
        <v/>
      </c>
      <c r="U778" s="9">
        <f>L778*in_ticket+M778*d_rep_ticket</f>
        <v/>
      </c>
      <c r="V778" s="9">
        <f>U778+T778*d_topup_amt</f>
        <v/>
      </c>
      <c r="W778" s="40">
        <f>N778+T778*d_topup_ratio</f>
        <v/>
      </c>
      <c r="X778" s="40">
        <f>SUMIFS(W751:W796,B751:B796,B778-in_dpd_lag)*d_cured</f>
        <v/>
      </c>
      <c r="Y778" s="40">
        <f>SUMIFS(W751:W796,B751:B796,B778-in_rec_lag)*d_recd</f>
        <v/>
      </c>
      <c r="Z778" s="40">
        <f>IF(AND(B778&gt;=in_marketplace_from,B778&lt;in_marketplace_from+in_card_months),in_card_share/in_card_months*F778*I778,IF(AND(B778&gt;=in_marketplace_from+in_card_months,B778&lt;in_marketplace_from+2*in_card_months),in_card_share*d_card_rem/in_card_months*F778*MIN(in_takeup_cap,(1+in_takeup_growth)^(D778-1))*MIN(in_takeup_cap,(1+in_approval_growth)^(D778-1)),0))</f>
        <v/>
      </c>
      <c r="AA778" s="14">
        <f>V778*in_fee*(1-in_taken_back)</f>
        <v/>
      </c>
      <c r="AB778" s="14">
        <f>SUMIFS(W751:W796,B751:B796,B778-in_dpd_lag)*d_dpd</f>
        <v/>
      </c>
      <c r="AC778" s="14">
        <f>SUMIFS(W751:W796,B751:B796,B778-in_rec_lag)*d_rec</f>
        <v/>
      </c>
      <c r="AD778" s="14">
        <f>Z778*in_card_fee</f>
        <v/>
      </c>
      <c r="AE778" s="40">
        <f>AE777*(1-IF(B777&gt;=in_marketplace_from,d_hz_hlth_small*G777,0))</f>
        <v/>
      </c>
      <c r="AF778" s="46">
        <f>AE778*IF(B778&gt;=in_marketplace_from,d_hz_hlth_small*G778,0)</f>
        <v/>
      </c>
      <c r="AG778" s="14">
        <f>F778*AF778*in_hlth_small_ticket*in_hlth_small_comm*in_ins_partner_share+F778*in_hlth_small_ticket*in_hlth_small_renew_comm*in_ins_partner_share*(in_hlth_small_renew^1*SUMIFS(AF751:AF796,B751:B796,B778-12)+in_hlth_small_renew^2*SUMIFS(AF751:AF796,B751:B796,B778-24)+in_hlth_small_renew^3*SUMIFS(AF751:AF796,B751:B796,B778-36)+in_hlth_small_renew^4*SUMIFS(AF751:AF796,B751:B796,B778-48))</f>
        <v/>
      </c>
      <c r="AH778" s="40">
        <f>AH777*(1-IF(B777&gt;=in_marketplace_from,d_hz_hlth_family*G777,0))</f>
        <v/>
      </c>
      <c r="AI778" s="46">
        <f>AH778*IF(B778&gt;=in_marketplace_from,d_hz_hlth_family*G778,0)</f>
        <v/>
      </c>
      <c r="AJ778" s="14">
        <f>F778*AI778*in_hlth_family_ticket*in_hlth_family_comm*in_ins_partner_share+F778*in_hlth_family_ticket*in_hlth_family_renew_comm*in_ins_partner_share*(in_hlth_family_renew^1*SUMIFS(AI751:AI796,B751:B796,B778-12)+in_hlth_family_renew^2*SUMIFS(AI751:AI796,B751:B796,B778-24)+in_hlth_family_renew^3*SUMIFS(AI751:AI796,B751:B796,B778-36)+in_hlth_family_renew^4*SUMIFS(AI751:AI796,B751:B796,B778-48))</f>
        <v/>
      </c>
      <c r="AK778" s="40">
        <f>AK777*(1-IF(B777&gt;=in_marketplace_from,d_hz_life_term*G777,0))</f>
        <v/>
      </c>
      <c r="AL778" s="46">
        <f>AK778*IF(B778&gt;=in_marketplace_from,d_hz_life_term*G778,0)</f>
        <v/>
      </c>
      <c r="AM778" s="14">
        <f>F778*AL778*in_life_term_ticket*in_life_term_comm*in_ins_partner_share+F778*in_life_term_ticket*in_life_term_renew_comm*in_ins_partner_share*(in_life_term_renew^1*SUMIFS(AL751:AL796,B751:B796,B778-12)+in_life_term_renew^2*SUMIFS(AL751:AL796,B751:B796,B778-24)+in_life_term_renew^3*SUMIFS(AL751:AL796,B751:B796,B778-36)+in_life_term_renew^4*SUMIFS(AL751:AL796,B751:B796,B778-48))</f>
        <v/>
      </c>
      <c r="AN778" s="40">
        <f>AN777*(1-IF(B777&gt;=in_marketplace_from,d_hz_accident*G777,0))</f>
        <v/>
      </c>
      <c r="AO778" s="46">
        <f>AN778*IF(B778&gt;=in_marketplace_from,d_hz_accident*G778,0)</f>
        <v/>
      </c>
      <c r="AP778" s="14">
        <f>F778*AO778*in_accident_ticket*in_accident_comm*in_ins_partner_share+F778*in_accident_ticket*in_accident_renew_comm*in_ins_partner_share*(in_accident_renew^1*SUMIFS(AO751:AO796,B751:B796,B778-12)+in_accident_renew^2*SUMIFS(AO751:AO796,B751:B796,B778-24)+in_accident_renew^3*SUMIFS(AO751:AO796,B751:B796,B778-36)+in_accident_renew^4*SUMIFS(AO751:AO796,B751:B796,B778-48))</f>
        <v/>
      </c>
      <c r="AQ778" s="40">
        <f>AQ777*(1-IF(B777&gt;=in_marketplace_from,d_hz_two_wheeler*G777,0))</f>
        <v/>
      </c>
      <c r="AR778" s="46">
        <f>AQ778*IF(B778&gt;=in_marketplace_from,d_hz_two_wheeler*G778,0)</f>
        <v/>
      </c>
      <c r="AS778" s="14">
        <f>F778*AR778*in_two_wheeler_ticket*in_two_wheeler_comm*in_ins_partner_share+F778*in_two_wheeler_ticket*in_two_wheeler_comm*in_ins_partner_share*(in_two_wheeler_renew^1*SUMIFS(AR751:AR796,B751:B796,B778-12)+in_two_wheeler_renew^2*SUMIFS(AR751:AR796,B751:B796,B778-24)+in_two_wheeler_renew^3*SUMIFS(AR751:AR796,B751:B796,B778-36)+in_two_wheeler_renew^4*SUMIFS(AR751:AR796,B751:B796,B778-48))</f>
        <v/>
      </c>
      <c r="AT778" s="40">
        <f>AT777*(1-IF(B777&gt;=in_marketplace_from,d_hz_device*G777,0))</f>
        <v/>
      </c>
      <c r="AU778" s="14">
        <f>F778*AT778*IF(B778&gt;=in_marketplace_from,d_hz_device*G778,0)*in_device_ticket*in_device_comm*in_ins_partner_share</f>
        <v/>
      </c>
      <c r="AV778" s="40">
        <f>AV777*(1-IF(B777&gt;=in_marketplace_from,d_hz_shop*G777,0))</f>
        <v/>
      </c>
      <c r="AW778" s="46">
        <f>AV778*IF(B778&gt;=in_marketplace_from,d_hz_shop*G778,0)</f>
        <v/>
      </c>
      <c r="AX778" s="14">
        <f>F778*AW778*in_shop_ticket*in_shop_comm*in_ins_partner_share+F778*in_shop_ticket*in_shop_renew_comm*in_ins_partner_share*(in_shop_renew^1*SUMIFS(AW751:AW796,B751:B796,B778-12)+in_shop_renew^2*SUMIFS(AW751:AW796,B751:B796,B778-24)+in_shop_renew^3*SUMIFS(AW751:AW796,B751:B796,B778-36)+in_shop_renew^4*SUMIFS(AW751:AW796,B751:B796,B778-48))</f>
        <v/>
      </c>
      <c r="AY778" s="40">
        <f>AY777*(1-IF(B777&gt;=in_marketplace_from,d_hz_sip*G777,0))</f>
        <v/>
      </c>
      <c r="AZ778" s="40">
        <f>AZ777*d_rho_sip+AY778*IF(B778&gt;=in_marketplace_from,d_hz_sip*G778,0)</f>
        <v/>
      </c>
      <c r="BA778" s="40">
        <f>d_rho_sip*(BA777+AZ777)</f>
        <v/>
      </c>
      <c r="BB778" s="14">
        <f>F778*in_sip_ticket*(BA778+0.5*AZ778)*in_sip_comm/12</f>
        <v/>
      </c>
      <c r="BC778" s="40">
        <f>BC777*(1-IF(B777&gt;=in_marketplace_from,d_hz_choti*G777,0))</f>
        <v/>
      </c>
      <c r="BD778" s="46">
        <f>BC778*IF(B778&gt;=in_marketplace_from,d_hz_choti*G778,0)</f>
        <v/>
      </c>
      <c r="BE778" s="14">
        <f>F778*SUMIFS(BD751:BD796,B751:B796,B778-in_choti_months)*in_choti_renew*in_choti_ticket</f>
        <v/>
      </c>
      <c r="BF778" s="40">
        <f>BF777*(1-IF(B777&gt;=in_marketplace_from,d_hz_nps*G777,0))</f>
        <v/>
      </c>
      <c r="BG778" s="14">
        <f>F778*BF778*IF(B778&gt;=in_marketplace_from,d_hz_nps*G778,0)*in_nps_ticket*in_nps_comm</f>
        <v/>
      </c>
      <c r="BH778" s="40">
        <f>BH777*(1-IF(B777&gt;=in_marketplace_from,d_hz_gold*G777,0))</f>
        <v/>
      </c>
      <c r="BI778" s="40">
        <f>BI777*d_rho_gold+BH778*IF(B778&gt;=in_marketplace_from,d_hz_gold*G778,0)</f>
        <v/>
      </c>
      <c r="BJ778" s="14">
        <f>F778*BI778*in_gold_ticket*in_gold_comm</f>
        <v/>
      </c>
      <c r="BK778" s="40">
        <f>BK777*(1-IF(B777&gt;=in_marketplace_from,d_hz_fd*G777,0))</f>
        <v/>
      </c>
      <c r="BL778" s="14">
        <f>F778*BK778*IF(B778&gt;=in_marketplace_from,d_hz_fd*G778,0)*in_fd_ticket*in_fd_comm</f>
        <v/>
      </c>
      <c r="BM778" s="40">
        <f>BM777*(1-IF(B777&gt;=in_marketplace_from,d_hz_recharge*G777,0))</f>
        <v/>
      </c>
      <c r="BN778" s="40">
        <f>BN777*d_rho_recharge+BM778*IF(B778&gt;=in_marketplace_from,d_hz_recharge*G778,0)</f>
        <v/>
      </c>
      <c r="BO778" s="14">
        <f>F778*BN778*in_recharge_ticket*in_recharge_comm/12</f>
        <v/>
      </c>
      <c r="BP778" s="40">
        <f>BP777*(1-IF(B777&gt;=in_marketplace_from,d_hz_bills*G777,0))</f>
        <v/>
      </c>
      <c r="BQ778" s="40">
        <f>BQ777*d_rho_bills+BP778*IF(B778&gt;=in_marketplace_from,d_hz_bills*G778,0)</f>
        <v/>
      </c>
      <c r="BR778" s="14">
        <f>F778*BQ778*in_bills_ticket*in_bills_comm/12</f>
        <v/>
      </c>
      <c r="BS778" s="40">
        <f>BS777*(1-IF(B777&gt;=in_marketplace_from,d_hz_loan_gold*G777,0))</f>
        <v/>
      </c>
      <c r="BT778" s="14">
        <f>F778*BS778*IF(B778&gt;=in_marketplace_from,d_hz_loan_gold*G778,0)*in_loan_gold_ticket*in_loan_gold_comm</f>
        <v/>
      </c>
      <c r="BU778" s="40">
        <f>BU777*(1-IF(B777&gt;=in_marketplace_from,d_hz_loan_cd*G777,0))</f>
        <v/>
      </c>
      <c r="BV778" s="14">
        <f>F778*BU778*IF(B778&gt;=in_marketplace_from,d_hz_loan_cd*G778,0)*in_loan_cd_ticket*in_loan_cd_comm</f>
        <v/>
      </c>
      <c r="BW778" s="40">
        <f>BW777*(1-IF(B777&gt;=in_marketplace_from,d_hz_loan_vehicle*G777,0))</f>
        <v/>
      </c>
      <c r="BX778" s="14">
        <f>F778*BW778*IF(B778&gt;=in_marketplace_from,d_hz_loan_vehicle*G778,0)*in_loan_vehicle_ticket*in_loan_vehicle_comm</f>
        <v/>
      </c>
      <c r="BY778" s="40">
        <f>BY777*(1-IF(B777&gt;=in_marketplace_from,d_hz_loan_home*G777,0)*BZ777)</f>
        <v/>
      </c>
      <c r="BZ778" s="11">
        <f>MIN(in_approval_cap,in_loan_home_approval*INDEX('Age profile'!$O$2:$O$61,B778)*(1+in_approval_growth)^(D778-1))</f>
        <v/>
      </c>
      <c r="CA778" s="14">
        <f>F778*BY778*IF(B778&gt;=in_marketplace_from,d_hz_loan_home*G778,0)*BZ778*in_loan_home_ticket*in_loan_home_comm</f>
        <v/>
      </c>
      <c r="CB778" s="40">
        <f>CB777*(1-IF(B777&gt;=in_marketplace_from,d_hz_loan_lap*G777,0)*CC777)</f>
        <v/>
      </c>
      <c r="CC778" s="11">
        <f>MIN(in_approval_cap,in_loan_lap_approval*INDEX('Age profile'!$O$2:$O$61,B778)*(1+in_approval_growth)^(D778-1))</f>
        <v/>
      </c>
      <c r="CD778" s="14">
        <f>F778*CB778*IF(B778&gt;=in_marketplace_from,d_hz_loan_lap*G778,0)*CC778*in_loan_lap_ticket*in_loan_lap_comm</f>
        <v/>
      </c>
      <c r="CE778" s="14">
        <f>AA778+AB778+AC778+AD778+AG778+AJ778+AM778+AP778+AS778+AU778+AX778+BB778+BE778+BG778+BJ778+BL778+BO778+BR778+BT778+BV778+BX778+CA778+CD778</f>
        <v/>
      </c>
    </row>
    <row r="779">
      <c r="A779" s="39" t="n">
        <v>15</v>
      </c>
      <c r="B779" s="39" t="n">
        <v>29</v>
      </c>
      <c r="C779" s="39">
        <f>A779+B779-1</f>
        <v/>
      </c>
      <c r="D779" s="39">
        <f>INT((C779-1)/12)+1</f>
        <v/>
      </c>
      <c r="E779" s="44">
        <f>INDEX(Monthly!$B$2:$B$61,A779)</f>
        <v/>
      </c>
      <c r="F779" s="44">
        <f>E779*INDEX('Age profile'!$B$2:$B$61,B779)</f>
        <v/>
      </c>
      <c r="G779" s="45">
        <f>MIN(in_takeup_cap,INDEX('Age profile'!$N$2:$N$61,B779)*(1+in_takeup_growth)^(D779-1))</f>
        <v/>
      </c>
      <c r="H779" s="11">
        <f>MIN(in_approval_cap,in_approved_first*INDEX('Age profile'!$O$2:$O$61,B779)*(1+in_approval_growth)^(D779-1))</f>
        <v/>
      </c>
      <c r="I779" s="45">
        <f>G779*MIN(in_takeup_cap,INDEX('Age profile'!$O$2:$O$61,B779)*(1+in_approval_growth)^(D779-1))</f>
        <v/>
      </c>
      <c r="J779" s="40">
        <f>(J778-L778)*F779/F778</f>
        <v/>
      </c>
      <c r="K779" s="40">
        <f>(K778-M778)*F779/F778+SUMIFS(O751:O778,B751:B778,B779-1-d_T)*F779</f>
        <v/>
      </c>
      <c r="L779" s="40">
        <f>IF(B779&gt;=in_marketplace_from,J779*d_hz*G779*in_eligible*H779,0)</f>
        <v/>
      </c>
      <c r="M779" s="40">
        <f>IF(B779&gt;=in_marketplace_from,K779*d_hz*G779*in_eligible*in_approved_repeat,0)</f>
        <v/>
      </c>
      <c r="N779" s="40">
        <f>L779+M779</f>
        <v/>
      </c>
      <c r="O779" s="46">
        <f>N779/F779</f>
        <v/>
      </c>
      <c r="P779" s="40">
        <f>F779-J779-K779</f>
        <v/>
      </c>
      <c r="Q779" s="40">
        <f>IF(B779&gt;=in_marketplace_from,(J779+K779)*d_hz*G779,0)</f>
        <v/>
      </c>
      <c r="R779" s="40">
        <f>SUMIFS(N751:N796,B751:B796,"&gt;="&amp;(B779-d_T),B751:B796,"&lt;="&amp;(B779-1))</f>
        <v/>
      </c>
      <c r="S779" s="46">
        <f>(1-d_u)*S778+IF(d_T&gt;in_topup_lag,SUMIFS(O751:O796,B751:B796,B779-in_topup_lag)-d_udrop*SUMIFS(O751:O796,B751:B796,B779-d_T),0)</f>
        <v/>
      </c>
      <c r="T779" s="40">
        <f>F779*d_u*S779</f>
        <v/>
      </c>
      <c r="U779" s="9">
        <f>L779*in_ticket+M779*d_rep_ticket</f>
        <v/>
      </c>
      <c r="V779" s="9">
        <f>U779+T779*d_topup_amt</f>
        <v/>
      </c>
      <c r="W779" s="40">
        <f>N779+T779*d_topup_ratio</f>
        <v/>
      </c>
      <c r="X779" s="40">
        <f>SUMIFS(W751:W796,B751:B796,B779-in_dpd_lag)*d_cured</f>
        <v/>
      </c>
      <c r="Y779" s="40">
        <f>SUMIFS(W751:W796,B751:B796,B779-in_rec_lag)*d_recd</f>
        <v/>
      </c>
      <c r="Z779" s="40">
        <f>IF(AND(B779&gt;=in_marketplace_from,B779&lt;in_marketplace_from+in_card_months),in_card_share/in_card_months*F779*I779,IF(AND(B779&gt;=in_marketplace_from+in_card_months,B779&lt;in_marketplace_from+2*in_card_months),in_card_share*d_card_rem/in_card_months*F779*MIN(in_takeup_cap,(1+in_takeup_growth)^(D779-1))*MIN(in_takeup_cap,(1+in_approval_growth)^(D779-1)),0))</f>
        <v/>
      </c>
      <c r="AA779" s="14">
        <f>V779*in_fee*(1-in_taken_back)</f>
        <v/>
      </c>
      <c r="AB779" s="14">
        <f>SUMIFS(W751:W796,B751:B796,B779-in_dpd_lag)*d_dpd</f>
        <v/>
      </c>
      <c r="AC779" s="14">
        <f>SUMIFS(W751:W796,B751:B796,B779-in_rec_lag)*d_rec</f>
        <v/>
      </c>
      <c r="AD779" s="14">
        <f>Z779*in_card_fee</f>
        <v/>
      </c>
      <c r="AE779" s="40">
        <f>AE778*(1-IF(B778&gt;=in_marketplace_from,d_hz_hlth_small*G778,0))</f>
        <v/>
      </c>
      <c r="AF779" s="46">
        <f>AE779*IF(B779&gt;=in_marketplace_from,d_hz_hlth_small*G779,0)</f>
        <v/>
      </c>
      <c r="AG779" s="14">
        <f>F779*AF779*in_hlth_small_ticket*in_hlth_small_comm*in_ins_partner_share+F779*in_hlth_small_ticket*in_hlth_small_renew_comm*in_ins_partner_share*(in_hlth_small_renew^1*SUMIFS(AF751:AF796,B751:B796,B779-12)+in_hlth_small_renew^2*SUMIFS(AF751:AF796,B751:B796,B779-24)+in_hlth_small_renew^3*SUMIFS(AF751:AF796,B751:B796,B779-36)+in_hlth_small_renew^4*SUMIFS(AF751:AF796,B751:B796,B779-48))</f>
        <v/>
      </c>
      <c r="AH779" s="40">
        <f>AH778*(1-IF(B778&gt;=in_marketplace_from,d_hz_hlth_family*G778,0))</f>
        <v/>
      </c>
      <c r="AI779" s="46">
        <f>AH779*IF(B779&gt;=in_marketplace_from,d_hz_hlth_family*G779,0)</f>
        <v/>
      </c>
      <c r="AJ779" s="14">
        <f>F779*AI779*in_hlth_family_ticket*in_hlth_family_comm*in_ins_partner_share+F779*in_hlth_family_ticket*in_hlth_family_renew_comm*in_ins_partner_share*(in_hlth_family_renew^1*SUMIFS(AI751:AI796,B751:B796,B779-12)+in_hlth_family_renew^2*SUMIFS(AI751:AI796,B751:B796,B779-24)+in_hlth_family_renew^3*SUMIFS(AI751:AI796,B751:B796,B779-36)+in_hlth_family_renew^4*SUMIFS(AI751:AI796,B751:B796,B779-48))</f>
        <v/>
      </c>
      <c r="AK779" s="40">
        <f>AK778*(1-IF(B778&gt;=in_marketplace_from,d_hz_life_term*G778,0))</f>
        <v/>
      </c>
      <c r="AL779" s="46">
        <f>AK779*IF(B779&gt;=in_marketplace_from,d_hz_life_term*G779,0)</f>
        <v/>
      </c>
      <c r="AM779" s="14">
        <f>F779*AL779*in_life_term_ticket*in_life_term_comm*in_ins_partner_share+F779*in_life_term_ticket*in_life_term_renew_comm*in_ins_partner_share*(in_life_term_renew^1*SUMIFS(AL751:AL796,B751:B796,B779-12)+in_life_term_renew^2*SUMIFS(AL751:AL796,B751:B796,B779-24)+in_life_term_renew^3*SUMIFS(AL751:AL796,B751:B796,B779-36)+in_life_term_renew^4*SUMIFS(AL751:AL796,B751:B796,B779-48))</f>
        <v/>
      </c>
      <c r="AN779" s="40">
        <f>AN778*(1-IF(B778&gt;=in_marketplace_from,d_hz_accident*G778,0))</f>
        <v/>
      </c>
      <c r="AO779" s="46">
        <f>AN779*IF(B779&gt;=in_marketplace_from,d_hz_accident*G779,0)</f>
        <v/>
      </c>
      <c r="AP779" s="14">
        <f>F779*AO779*in_accident_ticket*in_accident_comm*in_ins_partner_share+F779*in_accident_ticket*in_accident_renew_comm*in_ins_partner_share*(in_accident_renew^1*SUMIFS(AO751:AO796,B751:B796,B779-12)+in_accident_renew^2*SUMIFS(AO751:AO796,B751:B796,B779-24)+in_accident_renew^3*SUMIFS(AO751:AO796,B751:B796,B779-36)+in_accident_renew^4*SUMIFS(AO751:AO796,B751:B796,B779-48))</f>
        <v/>
      </c>
      <c r="AQ779" s="40">
        <f>AQ778*(1-IF(B778&gt;=in_marketplace_from,d_hz_two_wheeler*G778,0))</f>
        <v/>
      </c>
      <c r="AR779" s="46">
        <f>AQ779*IF(B779&gt;=in_marketplace_from,d_hz_two_wheeler*G779,0)</f>
        <v/>
      </c>
      <c r="AS779" s="14">
        <f>F779*AR779*in_two_wheeler_ticket*in_two_wheeler_comm*in_ins_partner_share+F779*in_two_wheeler_ticket*in_two_wheeler_comm*in_ins_partner_share*(in_two_wheeler_renew^1*SUMIFS(AR751:AR796,B751:B796,B779-12)+in_two_wheeler_renew^2*SUMIFS(AR751:AR796,B751:B796,B779-24)+in_two_wheeler_renew^3*SUMIFS(AR751:AR796,B751:B796,B779-36)+in_two_wheeler_renew^4*SUMIFS(AR751:AR796,B751:B796,B779-48))</f>
        <v/>
      </c>
      <c r="AT779" s="40">
        <f>AT778*(1-IF(B778&gt;=in_marketplace_from,d_hz_device*G778,0))</f>
        <v/>
      </c>
      <c r="AU779" s="14">
        <f>F779*AT779*IF(B779&gt;=in_marketplace_from,d_hz_device*G779,0)*in_device_ticket*in_device_comm*in_ins_partner_share</f>
        <v/>
      </c>
      <c r="AV779" s="40">
        <f>AV778*(1-IF(B778&gt;=in_marketplace_from,d_hz_shop*G778,0))</f>
        <v/>
      </c>
      <c r="AW779" s="46">
        <f>AV779*IF(B779&gt;=in_marketplace_from,d_hz_shop*G779,0)</f>
        <v/>
      </c>
      <c r="AX779" s="14">
        <f>F779*AW779*in_shop_ticket*in_shop_comm*in_ins_partner_share+F779*in_shop_ticket*in_shop_renew_comm*in_ins_partner_share*(in_shop_renew^1*SUMIFS(AW751:AW796,B751:B796,B779-12)+in_shop_renew^2*SUMIFS(AW751:AW796,B751:B796,B779-24)+in_shop_renew^3*SUMIFS(AW751:AW796,B751:B796,B779-36)+in_shop_renew^4*SUMIFS(AW751:AW796,B751:B796,B779-48))</f>
        <v/>
      </c>
      <c r="AY779" s="40">
        <f>AY778*(1-IF(B778&gt;=in_marketplace_from,d_hz_sip*G778,0))</f>
        <v/>
      </c>
      <c r="AZ779" s="40">
        <f>AZ778*d_rho_sip+AY779*IF(B779&gt;=in_marketplace_from,d_hz_sip*G779,0)</f>
        <v/>
      </c>
      <c r="BA779" s="40">
        <f>d_rho_sip*(BA778+AZ778)</f>
        <v/>
      </c>
      <c r="BB779" s="14">
        <f>F779*in_sip_ticket*(BA779+0.5*AZ779)*in_sip_comm/12</f>
        <v/>
      </c>
      <c r="BC779" s="40">
        <f>BC778*(1-IF(B778&gt;=in_marketplace_from,d_hz_choti*G778,0))</f>
        <v/>
      </c>
      <c r="BD779" s="46">
        <f>BC779*IF(B779&gt;=in_marketplace_from,d_hz_choti*G779,0)</f>
        <v/>
      </c>
      <c r="BE779" s="14">
        <f>F779*SUMIFS(BD751:BD796,B751:B796,B779-in_choti_months)*in_choti_renew*in_choti_ticket</f>
        <v/>
      </c>
      <c r="BF779" s="40">
        <f>BF778*(1-IF(B778&gt;=in_marketplace_from,d_hz_nps*G778,0))</f>
        <v/>
      </c>
      <c r="BG779" s="14">
        <f>F779*BF779*IF(B779&gt;=in_marketplace_from,d_hz_nps*G779,0)*in_nps_ticket*in_nps_comm</f>
        <v/>
      </c>
      <c r="BH779" s="40">
        <f>BH778*(1-IF(B778&gt;=in_marketplace_from,d_hz_gold*G778,0))</f>
        <v/>
      </c>
      <c r="BI779" s="40">
        <f>BI778*d_rho_gold+BH779*IF(B779&gt;=in_marketplace_from,d_hz_gold*G779,0)</f>
        <v/>
      </c>
      <c r="BJ779" s="14">
        <f>F779*BI779*in_gold_ticket*in_gold_comm</f>
        <v/>
      </c>
      <c r="BK779" s="40">
        <f>BK778*(1-IF(B778&gt;=in_marketplace_from,d_hz_fd*G778,0))</f>
        <v/>
      </c>
      <c r="BL779" s="14">
        <f>F779*BK779*IF(B779&gt;=in_marketplace_from,d_hz_fd*G779,0)*in_fd_ticket*in_fd_comm</f>
        <v/>
      </c>
      <c r="BM779" s="40">
        <f>BM778*(1-IF(B778&gt;=in_marketplace_from,d_hz_recharge*G778,0))</f>
        <v/>
      </c>
      <c r="BN779" s="40">
        <f>BN778*d_rho_recharge+BM779*IF(B779&gt;=in_marketplace_from,d_hz_recharge*G779,0)</f>
        <v/>
      </c>
      <c r="BO779" s="14">
        <f>F779*BN779*in_recharge_ticket*in_recharge_comm/12</f>
        <v/>
      </c>
      <c r="BP779" s="40">
        <f>BP778*(1-IF(B778&gt;=in_marketplace_from,d_hz_bills*G778,0))</f>
        <v/>
      </c>
      <c r="BQ779" s="40">
        <f>BQ778*d_rho_bills+BP779*IF(B779&gt;=in_marketplace_from,d_hz_bills*G779,0)</f>
        <v/>
      </c>
      <c r="BR779" s="14">
        <f>F779*BQ779*in_bills_ticket*in_bills_comm/12</f>
        <v/>
      </c>
      <c r="BS779" s="40">
        <f>BS778*(1-IF(B778&gt;=in_marketplace_from,d_hz_loan_gold*G778,0))</f>
        <v/>
      </c>
      <c r="BT779" s="14">
        <f>F779*BS779*IF(B779&gt;=in_marketplace_from,d_hz_loan_gold*G779,0)*in_loan_gold_ticket*in_loan_gold_comm</f>
        <v/>
      </c>
      <c r="BU779" s="40">
        <f>BU778*(1-IF(B778&gt;=in_marketplace_from,d_hz_loan_cd*G778,0))</f>
        <v/>
      </c>
      <c r="BV779" s="14">
        <f>F779*BU779*IF(B779&gt;=in_marketplace_from,d_hz_loan_cd*G779,0)*in_loan_cd_ticket*in_loan_cd_comm</f>
        <v/>
      </c>
      <c r="BW779" s="40">
        <f>BW778*(1-IF(B778&gt;=in_marketplace_from,d_hz_loan_vehicle*G778,0))</f>
        <v/>
      </c>
      <c r="BX779" s="14">
        <f>F779*BW779*IF(B779&gt;=in_marketplace_from,d_hz_loan_vehicle*G779,0)*in_loan_vehicle_ticket*in_loan_vehicle_comm</f>
        <v/>
      </c>
      <c r="BY779" s="40">
        <f>BY778*(1-IF(B778&gt;=in_marketplace_from,d_hz_loan_home*G778,0)*BZ778)</f>
        <v/>
      </c>
      <c r="BZ779" s="11">
        <f>MIN(in_approval_cap,in_loan_home_approval*INDEX('Age profile'!$O$2:$O$61,B779)*(1+in_approval_growth)^(D779-1))</f>
        <v/>
      </c>
      <c r="CA779" s="14">
        <f>F779*BY779*IF(B779&gt;=in_marketplace_from,d_hz_loan_home*G779,0)*BZ779*in_loan_home_ticket*in_loan_home_comm</f>
        <v/>
      </c>
      <c r="CB779" s="40">
        <f>CB778*(1-IF(B778&gt;=in_marketplace_from,d_hz_loan_lap*G778,0)*CC778)</f>
        <v/>
      </c>
      <c r="CC779" s="11">
        <f>MIN(in_approval_cap,in_loan_lap_approval*INDEX('Age profile'!$O$2:$O$61,B779)*(1+in_approval_growth)^(D779-1))</f>
        <v/>
      </c>
      <c r="CD779" s="14">
        <f>F779*CB779*IF(B779&gt;=in_marketplace_from,d_hz_loan_lap*G779,0)*CC779*in_loan_lap_ticket*in_loan_lap_comm</f>
        <v/>
      </c>
      <c r="CE779" s="14">
        <f>AA779+AB779+AC779+AD779+AG779+AJ779+AM779+AP779+AS779+AU779+AX779+BB779+BE779+BG779+BJ779+BL779+BO779+BR779+BT779+BV779+BX779+CA779+CD779</f>
        <v/>
      </c>
    </row>
    <row r="780">
      <c r="A780" s="39" t="n">
        <v>15</v>
      </c>
      <c r="B780" s="39" t="n">
        <v>30</v>
      </c>
      <c r="C780" s="39">
        <f>A780+B780-1</f>
        <v/>
      </c>
      <c r="D780" s="39">
        <f>INT((C780-1)/12)+1</f>
        <v/>
      </c>
      <c r="E780" s="44">
        <f>INDEX(Monthly!$B$2:$B$61,A780)</f>
        <v/>
      </c>
      <c r="F780" s="44">
        <f>E780*INDEX('Age profile'!$B$2:$B$61,B780)</f>
        <v/>
      </c>
      <c r="G780" s="45">
        <f>MIN(in_takeup_cap,INDEX('Age profile'!$N$2:$N$61,B780)*(1+in_takeup_growth)^(D780-1))</f>
        <v/>
      </c>
      <c r="H780" s="11">
        <f>MIN(in_approval_cap,in_approved_first*INDEX('Age profile'!$O$2:$O$61,B780)*(1+in_approval_growth)^(D780-1))</f>
        <v/>
      </c>
      <c r="I780" s="45">
        <f>G780*MIN(in_takeup_cap,INDEX('Age profile'!$O$2:$O$61,B780)*(1+in_approval_growth)^(D780-1))</f>
        <v/>
      </c>
      <c r="J780" s="40">
        <f>(J779-L779)*F780/F779</f>
        <v/>
      </c>
      <c r="K780" s="40">
        <f>(K779-M779)*F780/F779+SUMIFS(O751:O779,B751:B779,B780-1-d_T)*F780</f>
        <v/>
      </c>
      <c r="L780" s="40">
        <f>IF(B780&gt;=in_marketplace_from,J780*d_hz*G780*in_eligible*H780,0)</f>
        <v/>
      </c>
      <c r="M780" s="40">
        <f>IF(B780&gt;=in_marketplace_from,K780*d_hz*G780*in_eligible*in_approved_repeat,0)</f>
        <v/>
      </c>
      <c r="N780" s="40">
        <f>L780+M780</f>
        <v/>
      </c>
      <c r="O780" s="46">
        <f>N780/F780</f>
        <v/>
      </c>
      <c r="P780" s="40">
        <f>F780-J780-K780</f>
        <v/>
      </c>
      <c r="Q780" s="40">
        <f>IF(B780&gt;=in_marketplace_from,(J780+K780)*d_hz*G780,0)</f>
        <v/>
      </c>
      <c r="R780" s="40">
        <f>SUMIFS(N751:N796,B751:B796,"&gt;="&amp;(B780-d_T),B751:B796,"&lt;="&amp;(B780-1))</f>
        <v/>
      </c>
      <c r="S780" s="46">
        <f>(1-d_u)*S779+IF(d_T&gt;in_topup_lag,SUMIFS(O751:O796,B751:B796,B780-in_topup_lag)-d_udrop*SUMIFS(O751:O796,B751:B796,B780-d_T),0)</f>
        <v/>
      </c>
      <c r="T780" s="40">
        <f>F780*d_u*S780</f>
        <v/>
      </c>
      <c r="U780" s="9">
        <f>L780*in_ticket+M780*d_rep_ticket</f>
        <v/>
      </c>
      <c r="V780" s="9">
        <f>U780+T780*d_topup_amt</f>
        <v/>
      </c>
      <c r="W780" s="40">
        <f>N780+T780*d_topup_ratio</f>
        <v/>
      </c>
      <c r="X780" s="40">
        <f>SUMIFS(W751:W796,B751:B796,B780-in_dpd_lag)*d_cured</f>
        <v/>
      </c>
      <c r="Y780" s="40">
        <f>SUMIFS(W751:W796,B751:B796,B780-in_rec_lag)*d_recd</f>
        <v/>
      </c>
      <c r="Z780" s="40">
        <f>IF(AND(B780&gt;=in_marketplace_from,B780&lt;in_marketplace_from+in_card_months),in_card_share/in_card_months*F780*I780,IF(AND(B780&gt;=in_marketplace_from+in_card_months,B780&lt;in_marketplace_from+2*in_card_months),in_card_share*d_card_rem/in_card_months*F780*MIN(in_takeup_cap,(1+in_takeup_growth)^(D780-1))*MIN(in_takeup_cap,(1+in_approval_growth)^(D780-1)),0))</f>
        <v/>
      </c>
      <c r="AA780" s="14">
        <f>V780*in_fee*(1-in_taken_back)</f>
        <v/>
      </c>
      <c r="AB780" s="14">
        <f>SUMIFS(W751:W796,B751:B796,B780-in_dpd_lag)*d_dpd</f>
        <v/>
      </c>
      <c r="AC780" s="14">
        <f>SUMIFS(W751:W796,B751:B796,B780-in_rec_lag)*d_rec</f>
        <v/>
      </c>
      <c r="AD780" s="14">
        <f>Z780*in_card_fee</f>
        <v/>
      </c>
      <c r="AE780" s="40">
        <f>AE779*(1-IF(B779&gt;=in_marketplace_from,d_hz_hlth_small*G779,0))</f>
        <v/>
      </c>
      <c r="AF780" s="46">
        <f>AE780*IF(B780&gt;=in_marketplace_from,d_hz_hlth_small*G780,0)</f>
        <v/>
      </c>
      <c r="AG780" s="14">
        <f>F780*AF780*in_hlth_small_ticket*in_hlth_small_comm*in_ins_partner_share+F780*in_hlth_small_ticket*in_hlth_small_renew_comm*in_ins_partner_share*(in_hlth_small_renew^1*SUMIFS(AF751:AF796,B751:B796,B780-12)+in_hlth_small_renew^2*SUMIFS(AF751:AF796,B751:B796,B780-24)+in_hlth_small_renew^3*SUMIFS(AF751:AF796,B751:B796,B780-36)+in_hlth_small_renew^4*SUMIFS(AF751:AF796,B751:B796,B780-48))</f>
        <v/>
      </c>
      <c r="AH780" s="40">
        <f>AH779*(1-IF(B779&gt;=in_marketplace_from,d_hz_hlth_family*G779,0))</f>
        <v/>
      </c>
      <c r="AI780" s="46">
        <f>AH780*IF(B780&gt;=in_marketplace_from,d_hz_hlth_family*G780,0)</f>
        <v/>
      </c>
      <c r="AJ780" s="14">
        <f>F780*AI780*in_hlth_family_ticket*in_hlth_family_comm*in_ins_partner_share+F780*in_hlth_family_ticket*in_hlth_family_renew_comm*in_ins_partner_share*(in_hlth_family_renew^1*SUMIFS(AI751:AI796,B751:B796,B780-12)+in_hlth_family_renew^2*SUMIFS(AI751:AI796,B751:B796,B780-24)+in_hlth_family_renew^3*SUMIFS(AI751:AI796,B751:B796,B780-36)+in_hlth_family_renew^4*SUMIFS(AI751:AI796,B751:B796,B780-48))</f>
        <v/>
      </c>
      <c r="AK780" s="40">
        <f>AK779*(1-IF(B779&gt;=in_marketplace_from,d_hz_life_term*G779,0))</f>
        <v/>
      </c>
      <c r="AL780" s="46">
        <f>AK780*IF(B780&gt;=in_marketplace_from,d_hz_life_term*G780,0)</f>
        <v/>
      </c>
      <c r="AM780" s="14">
        <f>F780*AL780*in_life_term_ticket*in_life_term_comm*in_ins_partner_share+F780*in_life_term_ticket*in_life_term_renew_comm*in_ins_partner_share*(in_life_term_renew^1*SUMIFS(AL751:AL796,B751:B796,B780-12)+in_life_term_renew^2*SUMIFS(AL751:AL796,B751:B796,B780-24)+in_life_term_renew^3*SUMIFS(AL751:AL796,B751:B796,B780-36)+in_life_term_renew^4*SUMIFS(AL751:AL796,B751:B796,B780-48))</f>
        <v/>
      </c>
      <c r="AN780" s="40">
        <f>AN779*(1-IF(B779&gt;=in_marketplace_from,d_hz_accident*G779,0))</f>
        <v/>
      </c>
      <c r="AO780" s="46">
        <f>AN780*IF(B780&gt;=in_marketplace_from,d_hz_accident*G780,0)</f>
        <v/>
      </c>
      <c r="AP780" s="14">
        <f>F780*AO780*in_accident_ticket*in_accident_comm*in_ins_partner_share+F780*in_accident_ticket*in_accident_renew_comm*in_ins_partner_share*(in_accident_renew^1*SUMIFS(AO751:AO796,B751:B796,B780-12)+in_accident_renew^2*SUMIFS(AO751:AO796,B751:B796,B780-24)+in_accident_renew^3*SUMIFS(AO751:AO796,B751:B796,B780-36)+in_accident_renew^4*SUMIFS(AO751:AO796,B751:B796,B780-48))</f>
        <v/>
      </c>
      <c r="AQ780" s="40">
        <f>AQ779*(1-IF(B779&gt;=in_marketplace_from,d_hz_two_wheeler*G779,0))</f>
        <v/>
      </c>
      <c r="AR780" s="46">
        <f>AQ780*IF(B780&gt;=in_marketplace_from,d_hz_two_wheeler*G780,0)</f>
        <v/>
      </c>
      <c r="AS780" s="14">
        <f>F780*AR780*in_two_wheeler_ticket*in_two_wheeler_comm*in_ins_partner_share+F780*in_two_wheeler_ticket*in_two_wheeler_comm*in_ins_partner_share*(in_two_wheeler_renew^1*SUMIFS(AR751:AR796,B751:B796,B780-12)+in_two_wheeler_renew^2*SUMIFS(AR751:AR796,B751:B796,B780-24)+in_two_wheeler_renew^3*SUMIFS(AR751:AR796,B751:B796,B780-36)+in_two_wheeler_renew^4*SUMIFS(AR751:AR796,B751:B796,B780-48))</f>
        <v/>
      </c>
      <c r="AT780" s="40">
        <f>AT779*(1-IF(B779&gt;=in_marketplace_from,d_hz_device*G779,0))</f>
        <v/>
      </c>
      <c r="AU780" s="14">
        <f>F780*AT780*IF(B780&gt;=in_marketplace_from,d_hz_device*G780,0)*in_device_ticket*in_device_comm*in_ins_partner_share</f>
        <v/>
      </c>
      <c r="AV780" s="40">
        <f>AV779*(1-IF(B779&gt;=in_marketplace_from,d_hz_shop*G779,0))</f>
        <v/>
      </c>
      <c r="AW780" s="46">
        <f>AV780*IF(B780&gt;=in_marketplace_from,d_hz_shop*G780,0)</f>
        <v/>
      </c>
      <c r="AX780" s="14">
        <f>F780*AW780*in_shop_ticket*in_shop_comm*in_ins_partner_share+F780*in_shop_ticket*in_shop_renew_comm*in_ins_partner_share*(in_shop_renew^1*SUMIFS(AW751:AW796,B751:B796,B780-12)+in_shop_renew^2*SUMIFS(AW751:AW796,B751:B796,B780-24)+in_shop_renew^3*SUMIFS(AW751:AW796,B751:B796,B780-36)+in_shop_renew^4*SUMIFS(AW751:AW796,B751:B796,B780-48))</f>
        <v/>
      </c>
      <c r="AY780" s="40">
        <f>AY779*(1-IF(B779&gt;=in_marketplace_from,d_hz_sip*G779,0))</f>
        <v/>
      </c>
      <c r="AZ780" s="40">
        <f>AZ779*d_rho_sip+AY780*IF(B780&gt;=in_marketplace_from,d_hz_sip*G780,0)</f>
        <v/>
      </c>
      <c r="BA780" s="40">
        <f>d_rho_sip*(BA779+AZ779)</f>
        <v/>
      </c>
      <c r="BB780" s="14">
        <f>F780*in_sip_ticket*(BA780+0.5*AZ780)*in_sip_comm/12</f>
        <v/>
      </c>
      <c r="BC780" s="40">
        <f>BC779*(1-IF(B779&gt;=in_marketplace_from,d_hz_choti*G779,0))</f>
        <v/>
      </c>
      <c r="BD780" s="46">
        <f>BC780*IF(B780&gt;=in_marketplace_from,d_hz_choti*G780,0)</f>
        <v/>
      </c>
      <c r="BE780" s="14">
        <f>F780*SUMIFS(BD751:BD796,B751:B796,B780-in_choti_months)*in_choti_renew*in_choti_ticket</f>
        <v/>
      </c>
      <c r="BF780" s="40">
        <f>BF779*(1-IF(B779&gt;=in_marketplace_from,d_hz_nps*G779,0))</f>
        <v/>
      </c>
      <c r="BG780" s="14">
        <f>F780*BF780*IF(B780&gt;=in_marketplace_from,d_hz_nps*G780,0)*in_nps_ticket*in_nps_comm</f>
        <v/>
      </c>
      <c r="BH780" s="40">
        <f>BH779*(1-IF(B779&gt;=in_marketplace_from,d_hz_gold*G779,0))</f>
        <v/>
      </c>
      <c r="BI780" s="40">
        <f>BI779*d_rho_gold+BH780*IF(B780&gt;=in_marketplace_from,d_hz_gold*G780,0)</f>
        <v/>
      </c>
      <c r="BJ780" s="14">
        <f>F780*BI780*in_gold_ticket*in_gold_comm</f>
        <v/>
      </c>
      <c r="BK780" s="40">
        <f>BK779*(1-IF(B779&gt;=in_marketplace_from,d_hz_fd*G779,0))</f>
        <v/>
      </c>
      <c r="BL780" s="14">
        <f>F780*BK780*IF(B780&gt;=in_marketplace_from,d_hz_fd*G780,0)*in_fd_ticket*in_fd_comm</f>
        <v/>
      </c>
      <c r="BM780" s="40">
        <f>BM779*(1-IF(B779&gt;=in_marketplace_from,d_hz_recharge*G779,0))</f>
        <v/>
      </c>
      <c r="BN780" s="40">
        <f>BN779*d_rho_recharge+BM780*IF(B780&gt;=in_marketplace_from,d_hz_recharge*G780,0)</f>
        <v/>
      </c>
      <c r="BO780" s="14">
        <f>F780*BN780*in_recharge_ticket*in_recharge_comm/12</f>
        <v/>
      </c>
      <c r="BP780" s="40">
        <f>BP779*(1-IF(B779&gt;=in_marketplace_from,d_hz_bills*G779,0))</f>
        <v/>
      </c>
      <c r="BQ780" s="40">
        <f>BQ779*d_rho_bills+BP780*IF(B780&gt;=in_marketplace_from,d_hz_bills*G780,0)</f>
        <v/>
      </c>
      <c r="BR780" s="14">
        <f>F780*BQ780*in_bills_ticket*in_bills_comm/12</f>
        <v/>
      </c>
      <c r="BS780" s="40">
        <f>BS779*(1-IF(B779&gt;=in_marketplace_from,d_hz_loan_gold*G779,0))</f>
        <v/>
      </c>
      <c r="BT780" s="14">
        <f>F780*BS780*IF(B780&gt;=in_marketplace_from,d_hz_loan_gold*G780,0)*in_loan_gold_ticket*in_loan_gold_comm</f>
        <v/>
      </c>
      <c r="BU780" s="40">
        <f>BU779*(1-IF(B779&gt;=in_marketplace_from,d_hz_loan_cd*G779,0))</f>
        <v/>
      </c>
      <c r="BV780" s="14">
        <f>F780*BU780*IF(B780&gt;=in_marketplace_from,d_hz_loan_cd*G780,0)*in_loan_cd_ticket*in_loan_cd_comm</f>
        <v/>
      </c>
      <c r="BW780" s="40">
        <f>BW779*(1-IF(B779&gt;=in_marketplace_from,d_hz_loan_vehicle*G779,0))</f>
        <v/>
      </c>
      <c r="BX780" s="14">
        <f>F780*BW780*IF(B780&gt;=in_marketplace_from,d_hz_loan_vehicle*G780,0)*in_loan_vehicle_ticket*in_loan_vehicle_comm</f>
        <v/>
      </c>
      <c r="BY780" s="40">
        <f>BY779*(1-IF(B779&gt;=in_marketplace_from,d_hz_loan_home*G779,0)*BZ779)</f>
        <v/>
      </c>
      <c r="BZ780" s="11">
        <f>MIN(in_approval_cap,in_loan_home_approval*INDEX('Age profile'!$O$2:$O$61,B780)*(1+in_approval_growth)^(D780-1))</f>
        <v/>
      </c>
      <c r="CA780" s="14">
        <f>F780*BY780*IF(B780&gt;=in_marketplace_from,d_hz_loan_home*G780,0)*BZ780*in_loan_home_ticket*in_loan_home_comm</f>
        <v/>
      </c>
      <c r="CB780" s="40">
        <f>CB779*(1-IF(B779&gt;=in_marketplace_from,d_hz_loan_lap*G779,0)*CC779)</f>
        <v/>
      </c>
      <c r="CC780" s="11">
        <f>MIN(in_approval_cap,in_loan_lap_approval*INDEX('Age profile'!$O$2:$O$61,B780)*(1+in_approval_growth)^(D780-1))</f>
        <v/>
      </c>
      <c r="CD780" s="14">
        <f>F780*CB780*IF(B780&gt;=in_marketplace_from,d_hz_loan_lap*G780,0)*CC780*in_loan_lap_ticket*in_loan_lap_comm</f>
        <v/>
      </c>
      <c r="CE780" s="14">
        <f>AA780+AB780+AC780+AD780+AG780+AJ780+AM780+AP780+AS780+AU780+AX780+BB780+BE780+BG780+BJ780+BL780+BO780+BR780+BT780+BV780+BX780+CA780+CD780</f>
        <v/>
      </c>
    </row>
    <row r="781">
      <c r="A781" s="39" t="n">
        <v>15</v>
      </c>
      <c r="B781" s="39" t="n">
        <v>31</v>
      </c>
      <c r="C781" s="39">
        <f>A781+B781-1</f>
        <v/>
      </c>
      <c r="D781" s="39">
        <f>INT((C781-1)/12)+1</f>
        <v/>
      </c>
      <c r="E781" s="44">
        <f>INDEX(Monthly!$B$2:$B$61,A781)</f>
        <v/>
      </c>
      <c r="F781" s="44">
        <f>E781*INDEX('Age profile'!$B$2:$B$61,B781)</f>
        <v/>
      </c>
      <c r="G781" s="45">
        <f>MIN(in_takeup_cap,INDEX('Age profile'!$N$2:$N$61,B781)*(1+in_takeup_growth)^(D781-1))</f>
        <v/>
      </c>
      <c r="H781" s="11">
        <f>MIN(in_approval_cap,in_approved_first*INDEX('Age profile'!$O$2:$O$61,B781)*(1+in_approval_growth)^(D781-1))</f>
        <v/>
      </c>
      <c r="I781" s="45">
        <f>G781*MIN(in_takeup_cap,INDEX('Age profile'!$O$2:$O$61,B781)*(1+in_approval_growth)^(D781-1))</f>
        <v/>
      </c>
      <c r="J781" s="40">
        <f>(J780-L780)*F781/F780</f>
        <v/>
      </c>
      <c r="K781" s="40">
        <f>(K780-M780)*F781/F780+SUMIFS(O751:O780,B751:B780,B781-1-d_T)*F781</f>
        <v/>
      </c>
      <c r="L781" s="40">
        <f>IF(B781&gt;=in_marketplace_from,J781*d_hz*G781*in_eligible*H781,0)</f>
        <v/>
      </c>
      <c r="M781" s="40">
        <f>IF(B781&gt;=in_marketplace_from,K781*d_hz*G781*in_eligible*in_approved_repeat,0)</f>
        <v/>
      </c>
      <c r="N781" s="40">
        <f>L781+M781</f>
        <v/>
      </c>
      <c r="O781" s="46">
        <f>N781/F781</f>
        <v/>
      </c>
      <c r="P781" s="40">
        <f>F781-J781-K781</f>
        <v/>
      </c>
      <c r="Q781" s="40">
        <f>IF(B781&gt;=in_marketplace_from,(J781+K781)*d_hz*G781,0)</f>
        <v/>
      </c>
      <c r="R781" s="40">
        <f>SUMIFS(N751:N796,B751:B796,"&gt;="&amp;(B781-d_T),B751:B796,"&lt;="&amp;(B781-1))</f>
        <v/>
      </c>
      <c r="S781" s="46">
        <f>(1-d_u)*S780+IF(d_T&gt;in_topup_lag,SUMIFS(O751:O796,B751:B796,B781-in_topup_lag)-d_udrop*SUMIFS(O751:O796,B751:B796,B781-d_T),0)</f>
        <v/>
      </c>
      <c r="T781" s="40">
        <f>F781*d_u*S781</f>
        <v/>
      </c>
      <c r="U781" s="9">
        <f>L781*in_ticket+M781*d_rep_ticket</f>
        <v/>
      </c>
      <c r="V781" s="9">
        <f>U781+T781*d_topup_amt</f>
        <v/>
      </c>
      <c r="W781" s="40">
        <f>N781+T781*d_topup_ratio</f>
        <v/>
      </c>
      <c r="X781" s="40">
        <f>SUMIFS(W751:W796,B751:B796,B781-in_dpd_lag)*d_cured</f>
        <v/>
      </c>
      <c r="Y781" s="40">
        <f>SUMIFS(W751:W796,B751:B796,B781-in_rec_lag)*d_recd</f>
        <v/>
      </c>
      <c r="Z781" s="40">
        <f>IF(AND(B781&gt;=in_marketplace_from,B781&lt;in_marketplace_from+in_card_months),in_card_share/in_card_months*F781*I781,IF(AND(B781&gt;=in_marketplace_from+in_card_months,B781&lt;in_marketplace_from+2*in_card_months),in_card_share*d_card_rem/in_card_months*F781*MIN(in_takeup_cap,(1+in_takeup_growth)^(D781-1))*MIN(in_takeup_cap,(1+in_approval_growth)^(D781-1)),0))</f>
        <v/>
      </c>
      <c r="AA781" s="14">
        <f>V781*in_fee*(1-in_taken_back)</f>
        <v/>
      </c>
      <c r="AB781" s="14">
        <f>SUMIFS(W751:W796,B751:B796,B781-in_dpd_lag)*d_dpd</f>
        <v/>
      </c>
      <c r="AC781" s="14">
        <f>SUMIFS(W751:W796,B751:B796,B781-in_rec_lag)*d_rec</f>
        <v/>
      </c>
      <c r="AD781" s="14">
        <f>Z781*in_card_fee</f>
        <v/>
      </c>
      <c r="AE781" s="40">
        <f>AE780*(1-IF(B780&gt;=in_marketplace_from,d_hz_hlth_small*G780,0))</f>
        <v/>
      </c>
      <c r="AF781" s="46">
        <f>AE781*IF(B781&gt;=in_marketplace_from,d_hz_hlth_small*G781,0)</f>
        <v/>
      </c>
      <c r="AG781" s="14">
        <f>F781*AF781*in_hlth_small_ticket*in_hlth_small_comm*in_ins_partner_share+F781*in_hlth_small_ticket*in_hlth_small_renew_comm*in_ins_partner_share*(in_hlth_small_renew^1*SUMIFS(AF751:AF796,B751:B796,B781-12)+in_hlth_small_renew^2*SUMIFS(AF751:AF796,B751:B796,B781-24)+in_hlth_small_renew^3*SUMIFS(AF751:AF796,B751:B796,B781-36)+in_hlth_small_renew^4*SUMIFS(AF751:AF796,B751:B796,B781-48))</f>
        <v/>
      </c>
      <c r="AH781" s="40">
        <f>AH780*(1-IF(B780&gt;=in_marketplace_from,d_hz_hlth_family*G780,0))</f>
        <v/>
      </c>
      <c r="AI781" s="46">
        <f>AH781*IF(B781&gt;=in_marketplace_from,d_hz_hlth_family*G781,0)</f>
        <v/>
      </c>
      <c r="AJ781" s="14">
        <f>F781*AI781*in_hlth_family_ticket*in_hlth_family_comm*in_ins_partner_share+F781*in_hlth_family_ticket*in_hlth_family_renew_comm*in_ins_partner_share*(in_hlth_family_renew^1*SUMIFS(AI751:AI796,B751:B796,B781-12)+in_hlth_family_renew^2*SUMIFS(AI751:AI796,B751:B796,B781-24)+in_hlth_family_renew^3*SUMIFS(AI751:AI796,B751:B796,B781-36)+in_hlth_family_renew^4*SUMIFS(AI751:AI796,B751:B796,B781-48))</f>
        <v/>
      </c>
      <c r="AK781" s="40">
        <f>AK780*(1-IF(B780&gt;=in_marketplace_from,d_hz_life_term*G780,0))</f>
        <v/>
      </c>
      <c r="AL781" s="46">
        <f>AK781*IF(B781&gt;=in_marketplace_from,d_hz_life_term*G781,0)</f>
        <v/>
      </c>
      <c r="AM781" s="14">
        <f>F781*AL781*in_life_term_ticket*in_life_term_comm*in_ins_partner_share+F781*in_life_term_ticket*in_life_term_renew_comm*in_ins_partner_share*(in_life_term_renew^1*SUMIFS(AL751:AL796,B751:B796,B781-12)+in_life_term_renew^2*SUMIFS(AL751:AL796,B751:B796,B781-24)+in_life_term_renew^3*SUMIFS(AL751:AL796,B751:B796,B781-36)+in_life_term_renew^4*SUMIFS(AL751:AL796,B751:B796,B781-48))</f>
        <v/>
      </c>
      <c r="AN781" s="40">
        <f>AN780*(1-IF(B780&gt;=in_marketplace_from,d_hz_accident*G780,0))</f>
        <v/>
      </c>
      <c r="AO781" s="46">
        <f>AN781*IF(B781&gt;=in_marketplace_from,d_hz_accident*G781,0)</f>
        <v/>
      </c>
      <c r="AP781" s="14">
        <f>F781*AO781*in_accident_ticket*in_accident_comm*in_ins_partner_share+F781*in_accident_ticket*in_accident_renew_comm*in_ins_partner_share*(in_accident_renew^1*SUMIFS(AO751:AO796,B751:B796,B781-12)+in_accident_renew^2*SUMIFS(AO751:AO796,B751:B796,B781-24)+in_accident_renew^3*SUMIFS(AO751:AO796,B751:B796,B781-36)+in_accident_renew^4*SUMIFS(AO751:AO796,B751:B796,B781-48))</f>
        <v/>
      </c>
      <c r="AQ781" s="40">
        <f>AQ780*(1-IF(B780&gt;=in_marketplace_from,d_hz_two_wheeler*G780,0))</f>
        <v/>
      </c>
      <c r="AR781" s="46">
        <f>AQ781*IF(B781&gt;=in_marketplace_from,d_hz_two_wheeler*G781,0)</f>
        <v/>
      </c>
      <c r="AS781" s="14">
        <f>F781*AR781*in_two_wheeler_ticket*in_two_wheeler_comm*in_ins_partner_share+F781*in_two_wheeler_ticket*in_two_wheeler_comm*in_ins_partner_share*(in_two_wheeler_renew^1*SUMIFS(AR751:AR796,B751:B796,B781-12)+in_two_wheeler_renew^2*SUMIFS(AR751:AR796,B751:B796,B781-24)+in_two_wheeler_renew^3*SUMIFS(AR751:AR796,B751:B796,B781-36)+in_two_wheeler_renew^4*SUMIFS(AR751:AR796,B751:B796,B781-48))</f>
        <v/>
      </c>
      <c r="AT781" s="40">
        <f>AT780*(1-IF(B780&gt;=in_marketplace_from,d_hz_device*G780,0))</f>
        <v/>
      </c>
      <c r="AU781" s="14">
        <f>F781*AT781*IF(B781&gt;=in_marketplace_from,d_hz_device*G781,0)*in_device_ticket*in_device_comm*in_ins_partner_share</f>
        <v/>
      </c>
      <c r="AV781" s="40">
        <f>AV780*(1-IF(B780&gt;=in_marketplace_from,d_hz_shop*G780,0))</f>
        <v/>
      </c>
      <c r="AW781" s="46">
        <f>AV781*IF(B781&gt;=in_marketplace_from,d_hz_shop*G781,0)</f>
        <v/>
      </c>
      <c r="AX781" s="14">
        <f>F781*AW781*in_shop_ticket*in_shop_comm*in_ins_partner_share+F781*in_shop_ticket*in_shop_renew_comm*in_ins_partner_share*(in_shop_renew^1*SUMIFS(AW751:AW796,B751:B796,B781-12)+in_shop_renew^2*SUMIFS(AW751:AW796,B751:B796,B781-24)+in_shop_renew^3*SUMIFS(AW751:AW796,B751:B796,B781-36)+in_shop_renew^4*SUMIFS(AW751:AW796,B751:B796,B781-48))</f>
        <v/>
      </c>
      <c r="AY781" s="40">
        <f>AY780*(1-IF(B780&gt;=in_marketplace_from,d_hz_sip*G780,0))</f>
        <v/>
      </c>
      <c r="AZ781" s="40">
        <f>AZ780*d_rho_sip+AY781*IF(B781&gt;=in_marketplace_from,d_hz_sip*G781,0)</f>
        <v/>
      </c>
      <c r="BA781" s="40">
        <f>d_rho_sip*(BA780+AZ780)</f>
        <v/>
      </c>
      <c r="BB781" s="14">
        <f>F781*in_sip_ticket*(BA781+0.5*AZ781)*in_sip_comm/12</f>
        <v/>
      </c>
      <c r="BC781" s="40">
        <f>BC780*(1-IF(B780&gt;=in_marketplace_from,d_hz_choti*G780,0))</f>
        <v/>
      </c>
      <c r="BD781" s="46">
        <f>BC781*IF(B781&gt;=in_marketplace_from,d_hz_choti*G781,0)</f>
        <v/>
      </c>
      <c r="BE781" s="14">
        <f>F781*SUMIFS(BD751:BD796,B751:B796,B781-in_choti_months)*in_choti_renew*in_choti_ticket</f>
        <v/>
      </c>
      <c r="BF781" s="40">
        <f>BF780*(1-IF(B780&gt;=in_marketplace_from,d_hz_nps*G780,0))</f>
        <v/>
      </c>
      <c r="BG781" s="14">
        <f>F781*BF781*IF(B781&gt;=in_marketplace_from,d_hz_nps*G781,0)*in_nps_ticket*in_nps_comm</f>
        <v/>
      </c>
      <c r="BH781" s="40">
        <f>BH780*(1-IF(B780&gt;=in_marketplace_from,d_hz_gold*G780,0))</f>
        <v/>
      </c>
      <c r="BI781" s="40">
        <f>BI780*d_rho_gold+BH781*IF(B781&gt;=in_marketplace_from,d_hz_gold*G781,0)</f>
        <v/>
      </c>
      <c r="BJ781" s="14">
        <f>F781*BI781*in_gold_ticket*in_gold_comm</f>
        <v/>
      </c>
      <c r="BK781" s="40">
        <f>BK780*(1-IF(B780&gt;=in_marketplace_from,d_hz_fd*G780,0))</f>
        <v/>
      </c>
      <c r="BL781" s="14">
        <f>F781*BK781*IF(B781&gt;=in_marketplace_from,d_hz_fd*G781,0)*in_fd_ticket*in_fd_comm</f>
        <v/>
      </c>
      <c r="BM781" s="40">
        <f>BM780*(1-IF(B780&gt;=in_marketplace_from,d_hz_recharge*G780,0))</f>
        <v/>
      </c>
      <c r="BN781" s="40">
        <f>BN780*d_rho_recharge+BM781*IF(B781&gt;=in_marketplace_from,d_hz_recharge*G781,0)</f>
        <v/>
      </c>
      <c r="BO781" s="14">
        <f>F781*BN781*in_recharge_ticket*in_recharge_comm/12</f>
        <v/>
      </c>
      <c r="BP781" s="40">
        <f>BP780*(1-IF(B780&gt;=in_marketplace_from,d_hz_bills*G780,0))</f>
        <v/>
      </c>
      <c r="BQ781" s="40">
        <f>BQ780*d_rho_bills+BP781*IF(B781&gt;=in_marketplace_from,d_hz_bills*G781,0)</f>
        <v/>
      </c>
      <c r="BR781" s="14">
        <f>F781*BQ781*in_bills_ticket*in_bills_comm/12</f>
        <v/>
      </c>
      <c r="BS781" s="40">
        <f>BS780*(1-IF(B780&gt;=in_marketplace_from,d_hz_loan_gold*G780,0))</f>
        <v/>
      </c>
      <c r="BT781" s="14">
        <f>F781*BS781*IF(B781&gt;=in_marketplace_from,d_hz_loan_gold*G781,0)*in_loan_gold_ticket*in_loan_gold_comm</f>
        <v/>
      </c>
      <c r="BU781" s="40">
        <f>BU780*(1-IF(B780&gt;=in_marketplace_from,d_hz_loan_cd*G780,0))</f>
        <v/>
      </c>
      <c r="BV781" s="14">
        <f>F781*BU781*IF(B781&gt;=in_marketplace_from,d_hz_loan_cd*G781,0)*in_loan_cd_ticket*in_loan_cd_comm</f>
        <v/>
      </c>
      <c r="BW781" s="40">
        <f>BW780*(1-IF(B780&gt;=in_marketplace_from,d_hz_loan_vehicle*G780,0))</f>
        <v/>
      </c>
      <c r="BX781" s="14">
        <f>F781*BW781*IF(B781&gt;=in_marketplace_from,d_hz_loan_vehicle*G781,0)*in_loan_vehicle_ticket*in_loan_vehicle_comm</f>
        <v/>
      </c>
      <c r="BY781" s="40">
        <f>BY780*(1-IF(B780&gt;=in_marketplace_from,d_hz_loan_home*G780,0)*BZ780)</f>
        <v/>
      </c>
      <c r="BZ781" s="11">
        <f>MIN(in_approval_cap,in_loan_home_approval*INDEX('Age profile'!$O$2:$O$61,B781)*(1+in_approval_growth)^(D781-1))</f>
        <v/>
      </c>
      <c r="CA781" s="14">
        <f>F781*BY781*IF(B781&gt;=in_marketplace_from,d_hz_loan_home*G781,0)*BZ781*in_loan_home_ticket*in_loan_home_comm</f>
        <v/>
      </c>
      <c r="CB781" s="40">
        <f>CB780*(1-IF(B780&gt;=in_marketplace_from,d_hz_loan_lap*G780,0)*CC780)</f>
        <v/>
      </c>
      <c r="CC781" s="11">
        <f>MIN(in_approval_cap,in_loan_lap_approval*INDEX('Age profile'!$O$2:$O$61,B781)*(1+in_approval_growth)^(D781-1))</f>
        <v/>
      </c>
      <c r="CD781" s="14">
        <f>F781*CB781*IF(B781&gt;=in_marketplace_from,d_hz_loan_lap*G781,0)*CC781*in_loan_lap_ticket*in_loan_lap_comm</f>
        <v/>
      </c>
      <c r="CE781" s="14">
        <f>AA781+AB781+AC781+AD781+AG781+AJ781+AM781+AP781+AS781+AU781+AX781+BB781+BE781+BG781+BJ781+BL781+BO781+BR781+BT781+BV781+BX781+CA781+CD781</f>
        <v/>
      </c>
    </row>
    <row r="782">
      <c r="A782" s="39" t="n">
        <v>15</v>
      </c>
      <c r="B782" s="39" t="n">
        <v>32</v>
      </c>
      <c r="C782" s="39">
        <f>A782+B782-1</f>
        <v/>
      </c>
      <c r="D782" s="39">
        <f>INT((C782-1)/12)+1</f>
        <v/>
      </c>
      <c r="E782" s="44">
        <f>INDEX(Monthly!$B$2:$B$61,A782)</f>
        <v/>
      </c>
      <c r="F782" s="44">
        <f>E782*INDEX('Age profile'!$B$2:$B$61,B782)</f>
        <v/>
      </c>
      <c r="G782" s="45">
        <f>MIN(in_takeup_cap,INDEX('Age profile'!$N$2:$N$61,B782)*(1+in_takeup_growth)^(D782-1))</f>
        <v/>
      </c>
      <c r="H782" s="11">
        <f>MIN(in_approval_cap,in_approved_first*INDEX('Age profile'!$O$2:$O$61,B782)*(1+in_approval_growth)^(D782-1))</f>
        <v/>
      </c>
      <c r="I782" s="45">
        <f>G782*MIN(in_takeup_cap,INDEX('Age profile'!$O$2:$O$61,B782)*(1+in_approval_growth)^(D782-1))</f>
        <v/>
      </c>
      <c r="J782" s="40">
        <f>(J781-L781)*F782/F781</f>
        <v/>
      </c>
      <c r="K782" s="40">
        <f>(K781-M781)*F782/F781+SUMIFS(O751:O781,B751:B781,B782-1-d_T)*F782</f>
        <v/>
      </c>
      <c r="L782" s="40">
        <f>IF(B782&gt;=in_marketplace_from,J782*d_hz*G782*in_eligible*H782,0)</f>
        <v/>
      </c>
      <c r="M782" s="40">
        <f>IF(B782&gt;=in_marketplace_from,K782*d_hz*G782*in_eligible*in_approved_repeat,0)</f>
        <v/>
      </c>
      <c r="N782" s="40">
        <f>L782+M782</f>
        <v/>
      </c>
      <c r="O782" s="46">
        <f>N782/F782</f>
        <v/>
      </c>
      <c r="P782" s="40">
        <f>F782-J782-K782</f>
        <v/>
      </c>
      <c r="Q782" s="40">
        <f>IF(B782&gt;=in_marketplace_from,(J782+K782)*d_hz*G782,0)</f>
        <v/>
      </c>
      <c r="R782" s="40">
        <f>SUMIFS(N751:N796,B751:B796,"&gt;="&amp;(B782-d_T),B751:B796,"&lt;="&amp;(B782-1))</f>
        <v/>
      </c>
      <c r="S782" s="46">
        <f>(1-d_u)*S781+IF(d_T&gt;in_topup_lag,SUMIFS(O751:O796,B751:B796,B782-in_topup_lag)-d_udrop*SUMIFS(O751:O796,B751:B796,B782-d_T),0)</f>
        <v/>
      </c>
      <c r="T782" s="40">
        <f>F782*d_u*S782</f>
        <v/>
      </c>
      <c r="U782" s="9">
        <f>L782*in_ticket+M782*d_rep_ticket</f>
        <v/>
      </c>
      <c r="V782" s="9">
        <f>U782+T782*d_topup_amt</f>
        <v/>
      </c>
      <c r="W782" s="40">
        <f>N782+T782*d_topup_ratio</f>
        <v/>
      </c>
      <c r="X782" s="40">
        <f>SUMIFS(W751:W796,B751:B796,B782-in_dpd_lag)*d_cured</f>
        <v/>
      </c>
      <c r="Y782" s="40">
        <f>SUMIFS(W751:W796,B751:B796,B782-in_rec_lag)*d_recd</f>
        <v/>
      </c>
      <c r="Z782" s="40">
        <f>IF(AND(B782&gt;=in_marketplace_from,B782&lt;in_marketplace_from+in_card_months),in_card_share/in_card_months*F782*I782,IF(AND(B782&gt;=in_marketplace_from+in_card_months,B782&lt;in_marketplace_from+2*in_card_months),in_card_share*d_card_rem/in_card_months*F782*MIN(in_takeup_cap,(1+in_takeup_growth)^(D782-1))*MIN(in_takeup_cap,(1+in_approval_growth)^(D782-1)),0))</f>
        <v/>
      </c>
      <c r="AA782" s="14">
        <f>V782*in_fee*(1-in_taken_back)</f>
        <v/>
      </c>
      <c r="AB782" s="14">
        <f>SUMIFS(W751:W796,B751:B796,B782-in_dpd_lag)*d_dpd</f>
        <v/>
      </c>
      <c r="AC782" s="14">
        <f>SUMIFS(W751:W796,B751:B796,B782-in_rec_lag)*d_rec</f>
        <v/>
      </c>
      <c r="AD782" s="14">
        <f>Z782*in_card_fee</f>
        <v/>
      </c>
      <c r="AE782" s="40">
        <f>AE781*(1-IF(B781&gt;=in_marketplace_from,d_hz_hlth_small*G781,0))</f>
        <v/>
      </c>
      <c r="AF782" s="46">
        <f>AE782*IF(B782&gt;=in_marketplace_from,d_hz_hlth_small*G782,0)</f>
        <v/>
      </c>
      <c r="AG782" s="14">
        <f>F782*AF782*in_hlth_small_ticket*in_hlth_small_comm*in_ins_partner_share+F782*in_hlth_small_ticket*in_hlth_small_renew_comm*in_ins_partner_share*(in_hlth_small_renew^1*SUMIFS(AF751:AF796,B751:B796,B782-12)+in_hlth_small_renew^2*SUMIFS(AF751:AF796,B751:B796,B782-24)+in_hlth_small_renew^3*SUMIFS(AF751:AF796,B751:B796,B782-36)+in_hlth_small_renew^4*SUMIFS(AF751:AF796,B751:B796,B782-48))</f>
        <v/>
      </c>
      <c r="AH782" s="40">
        <f>AH781*(1-IF(B781&gt;=in_marketplace_from,d_hz_hlth_family*G781,0))</f>
        <v/>
      </c>
      <c r="AI782" s="46">
        <f>AH782*IF(B782&gt;=in_marketplace_from,d_hz_hlth_family*G782,0)</f>
        <v/>
      </c>
      <c r="AJ782" s="14">
        <f>F782*AI782*in_hlth_family_ticket*in_hlth_family_comm*in_ins_partner_share+F782*in_hlth_family_ticket*in_hlth_family_renew_comm*in_ins_partner_share*(in_hlth_family_renew^1*SUMIFS(AI751:AI796,B751:B796,B782-12)+in_hlth_family_renew^2*SUMIFS(AI751:AI796,B751:B796,B782-24)+in_hlth_family_renew^3*SUMIFS(AI751:AI796,B751:B796,B782-36)+in_hlth_family_renew^4*SUMIFS(AI751:AI796,B751:B796,B782-48))</f>
        <v/>
      </c>
      <c r="AK782" s="40">
        <f>AK781*(1-IF(B781&gt;=in_marketplace_from,d_hz_life_term*G781,0))</f>
        <v/>
      </c>
      <c r="AL782" s="46">
        <f>AK782*IF(B782&gt;=in_marketplace_from,d_hz_life_term*G782,0)</f>
        <v/>
      </c>
      <c r="AM782" s="14">
        <f>F782*AL782*in_life_term_ticket*in_life_term_comm*in_ins_partner_share+F782*in_life_term_ticket*in_life_term_renew_comm*in_ins_partner_share*(in_life_term_renew^1*SUMIFS(AL751:AL796,B751:B796,B782-12)+in_life_term_renew^2*SUMIFS(AL751:AL796,B751:B796,B782-24)+in_life_term_renew^3*SUMIFS(AL751:AL796,B751:B796,B782-36)+in_life_term_renew^4*SUMIFS(AL751:AL796,B751:B796,B782-48))</f>
        <v/>
      </c>
      <c r="AN782" s="40">
        <f>AN781*(1-IF(B781&gt;=in_marketplace_from,d_hz_accident*G781,0))</f>
        <v/>
      </c>
      <c r="AO782" s="46">
        <f>AN782*IF(B782&gt;=in_marketplace_from,d_hz_accident*G782,0)</f>
        <v/>
      </c>
      <c r="AP782" s="14">
        <f>F782*AO782*in_accident_ticket*in_accident_comm*in_ins_partner_share+F782*in_accident_ticket*in_accident_renew_comm*in_ins_partner_share*(in_accident_renew^1*SUMIFS(AO751:AO796,B751:B796,B782-12)+in_accident_renew^2*SUMIFS(AO751:AO796,B751:B796,B782-24)+in_accident_renew^3*SUMIFS(AO751:AO796,B751:B796,B782-36)+in_accident_renew^4*SUMIFS(AO751:AO796,B751:B796,B782-48))</f>
        <v/>
      </c>
      <c r="AQ782" s="40">
        <f>AQ781*(1-IF(B781&gt;=in_marketplace_from,d_hz_two_wheeler*G781,0))</f>
        <v/>
      </c>
      <c r="AR782" s="46">
        <f>AQ782*IF(B782&gt;=in_marketplace_from,d_hz_two_wheeler*G782,0)</f>
        <v/>
      </c>
      <c r="AS782" s="14">
        <f>F782*AR782*in_two_wheeler_ticket*in_two_wheeler_comm*in_ins_partner_share+F782*in_two_wheeler_ticket*in_two_wheeler_comm*in_ins_partner_share*(in_two_wheeler_renew^1*SUMIFS(AR751:AR796,B751:B796,B782-12)+in_two_wheeler_renew^2*SUMIFS(AR751:AR796,B751:B796,B782-24)+in_two_wheeler_renew^3*SUMIFS(AR751:AR796,B751:B796,B782-36)+in_two_wheeler_renew^4*SUMIFS(AR751:AR796,B751:B796,B782-48))</f>
        <v/>
      </c>
      <c r="AT782" s="40">
        <f>AT781*(1-IF(B781&gt;=in_marketplace_from,d_hz_device*G781,0))</f>
        <v/>
      </c>
      <c r="AU782" s="14">
        <f>F782*AT782*IF(B782&gt;=in_marketplace_from,d_hz_device*G782,0)*in_device_ticket*in_device_comm*in_ins_partner_share</f>
        <v/>
      </c>
      <c r="AV782" s="40">
        <f>AV781*(1-IF(B781&gt;=in_marketplace_from,d_hz_shop*G781,0))</f>
        <v/>
      </c>
      <c r="AW782" s="46">
        <f>AV782*IF(B782&gt;=in_marketplace_from,d_hz_shop*G782,0)</f>
        <v/>
      </c>
      <c r="AX782" s="14">
        <f>F782*AW782*in_shop_ticket*in_shop_comm*in_ins_partner_share+F782*in_shop_ticket*in_shop_renew_comm*in_ins_partner_share*(in_shop_renew^1*SUMIFS(AW751:AW796,B751:B796,B782-12)+in_shop_renew^2*SUMIFS(AW751:AW796,B751:B796,B782-24)+in_shop_renew^3*SUMIFS(AW751:AW796,B751:B796,B782-36)+in_shop_renew^4*SUMIFS(AW751:AW796,B751:B796,B782-48))</f>
        <v/>
      </c>
      <c r="AY782" s="40">
        <f>AY781*(1-IF(B781&gt;=in_marketplace_from,d_hz_sip*G781,0))</f>
        <v/>
      </c>
      <c r="AZ782" s="40">
        <f>AZ781*d_rho_sip+AY782*IF(B782&gt;=in_marketplace_from,d_hz_sip*G782,0)</f>
        <v/>
      </c>
      <c r="BA782" s="40">
        <f>d_rho_sip*(BA781+AZ781)</f>
        <v/>
      </c>
      <c r="BB782" s="14">
        <f>F782*in_sip_ticket*(BA782+0.5*AZ782)*in_sip_comm/12</f>
        <v/>
      </c>
      <c r="BC782" s="40">
        <f>BC781*(1-IF(B781&gt;=in_marketplace_from,d_hz_choti*G781,0))</f>
        <v/>
      </c>
      <c r="BD782" s="46">
        <f>BC782*IF(B782&gt;=in_marketplace_from,d_hz_choti*G782,0)</f>
        <v/>
      </c>
      <c r="BE782" s="14">
        <f>F782*SUMIFS(BD751:BD796,B751:B796,B782-in_choti_months)*in_choti_renew*in_choti_ticket</f>
        <v/>
      </c>
      <c r="BF782" s="40">
        <f>BF781*(1-IF(B781&gt;=in_marketplace_from,d_hz_nps*G781,0))</f>
        <v/>
      </c>
      <c r="BG782" s="14">
        <f>F782*BF782*IF(B782&gt;=in_marketplace_from,d_hz_nps*G782,0)*in_nps_ticket*in_nps_comm</f>
        <v/>
      </c>
      <c r="BH782" s="40">
        <f>BH781*(1-IF(B781&gt;=in_marketplace_from,d_hz_gold*G781,0))</f>
        <v/>
      </c>
      <c r="BI782" s="40">
        <f>BI781*d_rho_gold+BH782*IF(B782&gt;=in_marketplace_from,d_hz_gold*G782,0)</f>
        <v/>
      </c>
      <c r="BJ782" s="14">
        <f>F782*BI782*in_gold_ticket*in_gold_comm</f>
        <v/>
      </c>
      <c r="BK782" s="40">
        <f>BK781*(1-IF(B781&gt;=in_marketplace_from,d_hz_fd*G781,0))</f>
        <v/>
      </c>
      <c r="BL782" s="14">
        <f>F782*BK782*IF(B782&gt;=in_marketplace_from,d_hz_fd*G782,0)*in_fd_ticket*in_fd_comm</f>
        <v/>
      </c>
      <c r="BM782" s="40">
        <f>BM781*(1-IF(B781&gt;=in_marketplace_from,d_hz_recharge*G781,0))</f>
        <v/>
      </c>
      <c r="BN782" s="40">
        <f>BN781*d_rho_recharge+BM782*IF(B782&gt;=in_marketplace_from,d_hz_recharge*G782,0)</f>
        <v/>
      </c>
      <c r="BO782" s="14">
        <f>F782*BN782*in_recharge_ticket*in_recharge_comm/12</f>
        <v/>
      </c>
      <c r="BP782" s="40">
        <f>BP781*(1-IF(B781&gt;=in_marketplace_from,d_hz_bills*G781,0))</f>
        <v/>
      </c>
      <c r="BQ782" s="40">
        <f>BQ781*d_rho_bills+BP782*IF(B782&gt;=in_marketplace_from,d_hz_bills*G782,0)</f>
        <v/>
      </c>
      <c r="BR782" s="14">
        <f>F782*BQ782*in_bills_ticket*in_bills_comm/12</f>
        <v/>
      </c>
      <c r="BS782" s="40">
        <f>BS781*(1-IF(B781&gt;=in_marketplace_from,d_hz_loan_gold*G781,0))</f>
        <v/>
      </c>
      <c r="BT782" s="14">
        <f>F782*BS782*IF(B782&gt;=in_marketplace_from,d_hz_loan_gold*G782,0)*in_loan_gold_ticket*in_loan_gold_comm</f>
        <v/>
      </c>
      <c r="BU782" s="40">
        <f>BU781*(1-IF(B781&gt;=in_marketplace_from,d_hz_loan_cd*G781,0))</f>
        <v/>
      </c>
      <c r="BV782" s="14">
        <f>F782*BU782*IF(B782&gt;=in_marketplace_from,d_hz_loan_cd*G782,0)*in_loan_cd_ticket*in_loan_cd_comm</f>
        <v/>
      </c>
      <c r="BW782" s="40">
        <f>BW781*(1-IF(B781&gt;=in_marketplace_from,d_hz_loan_vehicle*G781,0))</f>
        <v/>
      </c>
      <c r="BX782" s="14">
        <f>F782*BW782*IF(B782&gt;=in_marketplace_from,d_hz_loan_vehicle*G782,0)*in_loan_vehicle_ticket*in_loan_vehicle_comm</f>
        <v/>
      </c>
      <c r="BY782" s="40">
        <f>BY781*(1-IF(B781&gt;=in_marketplace_from,d_hz_loan_home*G781,0)*BZ781)</f>
        <v/>
      </c>
      <c r="BZ782" s="11">
        <f>MIN(in_approval_cap,in_loan_home_approval*INDEX('Age profile'!$O$2:$O$61,B782)*(1+in_approval_growth)^(D782-1))</f>
        <v/>
      </c>
      <c r="CA782" s="14">
        <f>F782*BY782*IF(B782&gt;=in_marketplace_from,d_hz_loan_home*G782,0)*BZ782*in_loan_home_ticket*in_loan_home_comm</f>
        <v/>
      </c>
      <c r="CB782" s="40">
        <f>CB781*(1-IF(B781&gt;=in_marketplace_from,d_hz_loan_lap*G781,0)*CC781)</f>
        <v/>
      </c>
      <c r="CC782" s="11">
        <f>MIN(in_approval_cap,in_loan_lap_approval*INDEX('Age profile'!$O$2:$O$61,B782)*(1+in_approval_growth)^(D782-1))</f>
        <v/>
      </c>
      <c r="CD782" s="14">
        <f>F782*CB782*IF(B782&gt;=in_marketplace_from,d_hz_loan_lap*G782,0)*CC782*in_loan_lap_ticket*in_loan_lap_comm</f>
        <v/>
      </c>
      <c r="CE782" s="14">
        <f>AA782+AB782+AC782+AD782+AG782+AJ782+AM782+AP782+AS782+AU782+AX782+BB782+BE782+BG782+BJ782+BL782+BO782+BR782+BT782+BV782+BX782+CA782+CD782</f>
        <v/>
      </c>
    </row>
    <row r="783">
      <c r="A783" s="39" t="n">
        <v>15</v>
      </c>
      <c r="B783" s="39" t="n">
        <v>33</v>
      </c>
      <c r="C783" s="39">
        <f>A783+B783-1</f>
        <v/>
      </c>
      <c r="D783" s="39">
        <f>INT((C783-1)/12)+1</f>
        <v/>
      </c>
      <c r="E783" s="44">
        <f>INDEX(Monthly!$B$2:$B$61,A783)</f>
        <v/>
      </c>
      <c r="F783" s="44">
        <f>E783*INDEX('Age profile'!$B$2:$B$61,B783)</f>
        <v/>
      </c>
      <c r="G783" s="45">
        <f>MIN(in_takeup_cap,INDEX('Age profile'!$N$2:$N$61,B783)*(1+in_takeup_growth)^(D783-1))</f>
        <v/>
      </c>
      <c r="H783" s="11">
        <f>MIN(in_approval_cap,in_approved_first*INDEX('Age profile'!$O$2:$O$61,B783)*(1+in_approval_growth)^(D783-1))</f>
        <v/>
      </c>
      <c r="I783" s="45">
        <f>G783*MIN(in_takeup_cap,INDEX('Age profile'!$O$2:$O$61,B783)*(1+in_approval_growth)^(D783-1))</f>
        <v/>
      </c>
      <c r="J783" s="40">
        <f>(J782-L782)*F783/F782</f>
        <v/>
      </c>
      <c r="K783" s="40">
        <f>(K782-M782)*F783/F782+SUMIFS(O751:O782,B751:B782,B783-1-d_T)*F783</f>
        <v/>
      </c>
      <c r="L783" s="40">
        <f>IF(B783&gt;=in_marketplace_from,J783*d_hz*G783*in_eligible*H783,0)</f>
        <v/>
      </c>
      <c r="M783" s="40">
        <f>IF(B783&gt;=in_marketplace_from,K783*d_hz*G783*in_eligible*in_approved_repeat,0)</f>
        <v/>
      </c>
      <c r="N783" s="40">
        <f>L783+M783</f>
        <v/>
      </c>
      <c r="O783" s="46">
        <f>N783/F783</f>
        <v/>
      </c>
      <c r="P783" s="40">
        <f>F783-J783-K783</f>
        <v/>
      </c>
      <c r="Q783" s="40">
        <f>IF(B783&gt;=in_marketplace_from,(J783+K783)*d_hz*G783,0)</f>
        <v/>
      </c>
      <c r="R783" s="40">
        <f>SUMIFS(N751:N796,B751:B796,"&gt;="&amp;(B783-d_T),B751:B796,"&lt;="&amp;(B783-1))</f>
        <v/>
      </c>
      <c r="S783" s="46">
        <f>(1-d_u)*S782+IF(d_T&gt;in_topup_lag,SUMIFS(O751:O796,B751:B796,B783-in_topup_lag)-d_udrop*SUMIFS(O751:O796,B751:B796,B783-d_T),0)</f>
        <v/>
      </c>
      <c r="T783" s="40">
        <f>F783*d_u*S783</f>
        <v/>
      </c>
      <c r="U783" s="9">
        <f>L783*in_ticket+M783*d_rep_ticket</f>
        <v/>
      </c>
      <c r="V783" s="9">
        <f>U783+T783*d_topup_amt</f>
        <v/>
      </c>
      <c r="W783" s="40">
        <f>N783+T783*d_topup_ratio</f>
        <v/>
      </c>
      <c r="X783" s="40">
        <f>SUMIFS(W751:W796,B751:B796,B783-in_dpd_lag)*d_cured</f>
        <v/>
      </c>
      <c r="Y783" s="40">
        <f>SUMIFS(W751:W796,B751:B796,B783-in_rec_lag)*d_recd</f>
        <v/>
      </c>
      <c r="Z783" s="40">
        <f>IF(AND(B783&gt;=in_marketplace_from,B783&lt;in_marketplace_from+in_card_months),in_card_share/in_card_months*F783*I783,IF(AND(B783&gt;=in_marketplace_from+in_card_months,B783&lt;in_marketplace_from+2*in_card_months),in_card_share*d_card_rem/in_card_months*F783*MIN(in_takeup_cap,(1+in_takeup_growth)^(D783-1))*MIN(in_takeup_cap,(1+in_approval_growth)^(D783-1)),0))</f>
        <v/>
      </c>
      <c r="AA783" s="14">
        <f>V783*in_fee*(1-in_taken_back)</f>
        <v/>
      </c>
      <c r="AB783" s="14">
        <f>SUMIFS(W751:W796,B751:B796,B783-in_dpd_lag)*d_dpd</f>
        <v/>
      </c>
      <c r="AC783" s="14">
        <f>SUMIFS(W751:W796,B751:B796,B783-in_rec_lag)*d_rec</f>
        <v/>
      </c>
      <c r="AD783" s="14">
        <f>Z783*in_card_fee</f>
        <v/>
      </c>
      <c r="AE783" s="40">
        <f>AE782*(1-IF(B782&gt;=in_marketplace_from,d_hz_hlth_small*G782,0))</f>
        <v/>
      </c>
      <c r="AF783" s="46">
        <f>AE783*IF(B783&gt;=in_marketplace_from,d_hz_hlth_small*G783,0)</f>
        <v/>
      </c>
      <c r="AG783" s="14">
        <f>F783*AF783*in_hlth_small_ticket*in_hlth_small_comm*in_ins_partner_share+F783*in_hlth_small_ticket*in_hlth_small_renew_comm*in_ins_partner_share*(in_hlth_small_renew^1*SUMIFS(AF751:AF796,B751:B796,B783-12)+in_hlth_small_renew^2*SUMIFS(AF751:AF796,B751:B796,B783-24)+in_hlth_small_renew^3*SUMIFS(AF751:AF796,B751:B796,B783-36)+in_hlth_small_renew^4*SUMIFS(AF751:AF796,B751:B796,B783-48))</f>
        <v/>
      </c>
      <c r="AH783" s="40">
        <f>AH782*(1-IF(B782&gt;=in_marketplace_from,d_hz_hlth_family*G782,0))</f>
        <v/>
      </c>
      <c r="AI783" s="46">
        <f>AH783*IF(B783&gt;=in_marketplace_from,d_hz_hlth_family*G783,0)</f>
        <v/>
      </c>
      <c r="AJ783" s="14">
        <f>F783*AI783*in_hlth_family_ticket*in_hlth_family_comm*in_ins_partner_share+F783*in_hlth_family_ticket*in_hlth_family_renew_comm*in_ins_partner_share*(in_hlth_family_renew^1*SUMIFS(AI751:AI796,B751:B796,B783-12)+in_hlth_family_renew^2*SUMIFS(AI751:AI796,B751:B796,B783-24)+in_hlth_family_renew^3*SUMIFS(AI751:AI796,B751:B796,B783-36)+in_hlth_family_renew^4*SUMIFS(AI751:AI796,B751:B796,B783-48))</f>
        <v/>
      </c>
      <c r="AK783" s="40">
        <f>AK782*(1-IF(B782&gt;=in_marketplace_from,d_hz_life_term*G782,0))</f>
        <v/>
      </c>
      <c r="AL783" s="46">
        <f>AK783*IF(B783&gt;=in_marketplace_from,d_hz_life_term*G783,0)</f>
        <v/>
      </c>
      <c r="AM783" s="14">
        <f>F783*AL783*in_life_term_ticket*in_life_term_comm*in_ins_partner_share+F783*in_life_term_ticket*in_life_term_renew_comm*in_ins_partner_share*(in_life_term_renew^1*SUMIFS(AL751:AL796,B751:B796,B783-12)+in_life_term_renew^2*SUMIFS(AL751:AL796,B751:B796,B783-24)+in_life_term_renew^3*SUMIFS(AL751:AL796,B751:B796,B783-36)+in_life_term_renew^4*SUMIFS(AL751:AL796,B751:B796,B783-48))</f>
        <v/>
      </c>
      <c r="AN783" s="40">
        <f>AN782*(1-IF(B782&gt;=in_marketplace_from,d_hz_accident*G782,0))</f>
        <v/>
      </c>
      <c r="AO783" s="46">
        <f>AN783*IF(B783&gt;=in_marketplace_from,d_hz_accident*G783,0)</f>
        <v/>
      </c>
      <c r="AP783" s="14">
        <f>F783*AO783*in_accident_ticket*in_accident_comm*in_ins_partner_share+F783*in_accident_ticket*in_accident_renew_comm*in_ins_partner_share*(in_accident_renew^1*SUMIFS(AO751:AO796,B751:B796,B783-12)+in_accident_renew^2*SUMIFS(AO751:AO796,B751:B796,B783-24)+in_accident_renew^3*SUMIFS(AO751:AO796,B751:B796,B783-36)+in_accident_renew^4*SUMIFS(AO751:AO796,B751:B796,B783-48))</f>
        <v/>
      </c>
      <c r="AQ783" s="40">
        <f>AQ782*(1-IF(B782&gt;=in_marketplace_from,d_hz_two_wheeler*G782,0))</f>
        <v/>
      </c>
      <c r="AR783" s="46">
        <f>AQ783*IF(B783&gt;=in_marketplace_from,d_hz_two_wheeler*G783,0)</f>
        <v/>
      </c>
      <c r="AS783" s="14">
        <f>F783*AR783*in_two_wheeler_ticket*in_two_wheeler_comm*in_ins_partner_share+F783*in_two_wheeler_ticket*in_two_wheeler_comm*in_ins_partner_share*(in_two_wheeler_renew^1*SUMIFS(AR751:AR796,B751:B796,B783-12)+in_two_wheeler_renew^2*SUMIFS(AR751:AR796,B751:B796,B783-24)+in_two_wheeler_renew^3*SUMIFS(AR751:AR796,B751:B796,B783-36)+in_two_wheeler_renew^4*SUMIFS(AR751:AR796,B751:B796,B783-48))</f>
        <v/>
      </c>
      <c r="AT783" s="40">
        <f>AT782*(1-IF(B782&gt;=in_marketplace_from,d_hz_device*G782,0))</f>
        <v/>
      </c>
      <c r="AU783" s="14">
        <f>F783*AT783*IF(B783&gt;=in_marketplace_from,d_hz_device*G783,0)*in_device_ticket*in_device_comm*in_ins_partner_share</f>
        <v/>
      </c>
      <c r="AV783" s="40">
        <f>AV782*(1-IF(B782&gt;=in_marketplace_from,d_hz_shop*G782,0))</f>
        <v/>
      </c>
      <c r="AW783" s="46">
        <f>AV783*IF(B783&gt;=in_marketplace_from,d_hz_shop*G783,0)</f>
        <v/>
      </c>
      <c r="AX783" s="14">
        <f>F783*AW783*in_shop_ticket*in_shop_comm*in_ins_partner_share+F783*in_shop_ticket*in_shop_renew_comm*in_ins_partner_share*(in_shop_renew^1*SUMIFS(AW751:AW796,B751:B796,B783-12)+in_shop_renew^2*SUMIFS(AW751:AW796,B751:B796,B783-24)+in_shop_renew^3*SUMIFS(AW751:AW796,B751:B796,B783-36)+in_shop_renew^4*SUMIFS(AW751:AW796,B751:B796,B783-48))</f>
        <v/>
      </c>
      <c r="AY783" s="40">
        <f>AY782*(1-IF(B782&gt;=in_marketplace_from,d_hz_sip*G782,0))</f>
        <v/>
      </c>
      <c r="AZ783" s="40">
        <f>AZ782*d_rho_sip+AY783*IF(B783&gt;=in_marketplace_from,d_hz_sip*G783,0)</f>
        <v/>
      </c>
      <c r="BA783" s="40">
        <f>d_rho_sip*(BA782+AZ782)</f>
        <v/>
      </c>
      <c r="BB783" s="14">
        <f>F783*in_sip_ticket*(BA783+0.5*AZ783)*in_sip_comm/12</f>
        <v/>
      </c>
      <c r="BC783" s="40">
        <f>BC782*(1-IF(B782&gt;=in_marketplace_from,d_hz_choti*G782,0))</f>
        <v/>
      </c>
      <c r="BD783" s="46">
        <f>BC783*IF(B783&gt;=in_marketplace_from,d_hz_choti*G783,0)</f>
        <v/>
      </c>
      <c r="BE783" s="14">
        <f>F783*SUMIFS(BD751:BD796,B751:B796,B783-in_choti_months)*in_choti_renew*in_choti_ticket</f>
        <v/>
      </c>
      <c r="BF783" s="40">
        <f>BF782*(1-IF(B782&gt;=in_marketplace_from,d_hz_nps*G782,0))</f>
        <v/>
      </c>
      <c r="BG783" s="14">
        <f>F783*BF783*IF(B783&gt;=in_marketplace_from,d_hz_nps*G783,0)*in_nps_ticket*in_nps_comm</f>
        <v/>
      </c>
      <c r="BH783" s="40">
        <f>BH782*(1-IF(B782&gt;=in_marketplace_from,d_hz_gold*G782,0))</f>
        <v/>
      </c>
      <c r="BI783" s="40">
        <f>BI782*d_rho_gold+BH783*IF(B783&gt;=in_marketplace_from,d_hz_gold*G783,0)</f>
        <v/>
      </c>
      <c r="BJ783" s="14">
        <f>F783*BI783*in_gold_ticket*in_gold_comm</f>
        <v/>
      </c>
      <c r="BK783" s="40">
        <f>BK782*(1-IF(B782&gt;=in_marketplace_from,d_hz_fd*G782,0))</f>
        <v/>
      </c>
      <c r="BL783" s="14">
        <f>F783*BK783*IF(B783&gt;=in_marketplace_from,d_hz_fd*G783,0)*in_fd_ticket*in_fd_comm</f>
        <v/>
      </c>
      <c r="BM783" s="40">
        <f>BM782*(1-IF(B782&gt;=in_marketplace_from,d_hz_recharge*G782,0))</f>
        <v/>
      </c>
      <c r="BN783" s="40">
        <f>BN782*d_rho_recharge+BM783*IF(B783&gt;=in_marketplace_from,d_hz_recharge*G783,0)</f>
        <v/>
      </c>
      <c r="BO783" s="14">
        <f>F783*BN783*in_recharge_ticket*in_recharge_comm/12</f>
        <v/>
      </c>
      <c r="BP783" s="40">
        <f>BP782*(1-IF(B782&gt;=in_marketplace_from,d_hz_bills*G782,0))</f>
        <v/>
      </c>
      <c r="BQ783" s="40">
        <f>BQ782*d_rho_bills+BP783*IF(B783&gt;=in_marketplace_from,d_hz_bills*G783,0)</f>
        <v/>
      </c>
      <c r="BR783" s="14">
        <f>F783*BQ783*in_bills_ticket*in_bills_comm/12</f>
        <v/>
      </c>
      <c r="BS783" s="40">
        <f>BS782*(1-IF(B782&gt;=in_marketplace_from,d_hz_loan_gold*G782,0))</f>
        <v/>
      </c>
      <c r="BT783" s="14">
        <f>F783*BS783*IF(B783&gt;=in_marketplace_from,d_hz_loan_gold*G783,0)*in_loan_gold_ticket*in_loan_gold_comm</f>
        <v/>
      </c>
      <c r="BU783" s="40">
        <f>BU782*(1-IF(B782&gt;=in_marketplace_from,d_hz_loan_cd*G782,0))</f>
        <v/>
      </c>
      <c r="BV783" s="14">
        <f>F783*BU783*IF(B783&gt;=in_marketplace_from,d_hz_loan_cd*G783,0)*in_loan_cd_ticket*in_loan_cd_comm</f>
        <v/>
      </c>
      <c r="BW783" s="40">
        <f>BW782*(1-IF(B782&gt;=in_marketplace_from,d_hz_loan_vehicle*G782,0))</f>
        <v/>
      </c>
      <c r="BX783" s="14">
        <f>F783*BW783*IF(B783&gt;=in_marketplace_from,d_hz_loan_vehicle*G783,0)*in_loan_vehicle_ticket*in_loan_vehicle_comm</f>
        <v/>
      </c>
      <c r="BY783" s="40">
        <f>BY782*(1-IF(B782&gt;=in_marketplace_from,d_hz_loan_home*G782,0)*BZ782)</f>
        <v/>
      </c>
      <c r="BZ783" s="11">
        <f>MIN(in_approval_cap,in_loan_home_approval*INDEX('Age profile'!$O$2:$O$61,B783)*(1+in_approval_growth)^(D783-1))</f>
        <v/>
      </c>
      <c r="CA783" s="14">
        <f>F783*BY783*IF(B783&gt;=in_marketplace_from,d_hz_loan_home*G783,0)*BZ783*in_loan_home_ticket*in_loan_home_comm</f>
        <v/>
      </c>
      <c r="CB783" s="40">
        <f>CB782*(1-IF(B782&gt;=in_marketplace_from,d_hz_loan_lap*G782,0)*CC782)</f>
        <v/>
      </c>
      <c r="CC783" s="11">
        <f>MIN(in_approval_cap,in_loan_lap_approval*INDEX('Age profile'!$O$2:$O$61,B783)*(1+in_approval_growth)^(D783-1))</f>
        <v/>
      </c>
      <c r="CD783" s="14">
        <f>F783*CB783*IF(B783&gt;=in_marketplace_from,d_hz_loan_lap*G783,0)*CC783*in_loan_lap_ticket*in_loan_lap_comm</f>
        <v/>
      </c>
      <c r="CE783" s="14">
        <f>AA783+AB783+AC783+AD783+AG783+AJ783+AM783+AP783+AS783+AU783+AX783+BB783+BE783+BG783+BJ783+BL783+BO783+BR783+BT783+BV783+BX783+CA783+CD783</f>
        <v/>
      </c>
    </row>
    <row r="784">
      <c r="A784" s="39" t="n">
        <v>15</v>
      </c>
      <c r="B784" s="39" t="n">
        <v>34</v>
      </c>
      <c r="C784" s="39">
        <f>A784+B784-1</f>
        <v/>
      </c>
      <c r="D784" s="39">
        <f>INT((C784-1)/12)+1</f>
        <v/>
      </c>
      <c r="E784" s="44">
        <f>INDEX(Monthly!$B$2:$B$61,A784)</f>
        <v/>
      </c>
      <c r="F784" s="44">
        <f>E784*INDEX('Age profile'!$B$2:$B$61,B784)</f>
        <v/>
      </c>
      <c r="G784" s="45">
        <f>MIN(in_takeup_cap,INDEX('Age profile'!$N$2:$N$61,B784)*(1+in_takeup_growth)^(D784-1))</f>
        <v/>
      </c>
      <c r="H784" s="11">
        <f>MIN(in_approval_cap,in_approved_first*INDEX('Age profile'!$O$2:$O$61,B784)*(1+in_approval_growth)^(D784-1))</f>
        <v/>
      </c>
      <c r="I784" s="45">
        <f>G784*MIN(in_takeup_cap,INDEX('Age profile'!$O$2:$O$61,B784)*(1+in_approval_growth)^(D784-1))</f>
        <v/>
      </c>
      <c r="J784" s="40">
        <f>(J783-L783)*F784/F783</f>
        <v/>
      </c>
      <c r="K784" s="40">
        <f>(K783-M783)*F784/F783+SUMIFS(O751:O783,B751:B783,B784-1-d_T)*F784</f>
        <v/>
      </c>
      <c r="L784" s="40">
        <f>IF(B784&gt;=in_marketplace_from,J784*d_hz*G784*in_eligible*H784,0)</f>
        <v/>
      </c>
      <c r="M784" s="40">
        <f>IF(B784&gt;=in_marketplace_from,K784*d_hz*G784*in_eligible*in_approved_repeat,0)</f>
        <v/>
      </c>
      <c r="N784" s="40">
        <f>L784+M784</f>
        <v/>
      </c>
      <c r="O784" s="46">
        <f>N784/F784</f>
        <v/>
      </c>
      <c r="P784" s="40">
        <f>F784-J784-K784</f>
        <v/>
      </c>
      <c r="Q784" s="40">
        <f>IF(B784&gt;=in_marketplace_from,(J784+K784)*d_hz*G784,0)</f>
        <v/>
      </c>
      <c r="R784" s="40">
        <f>SUMIFS(N751:N796,B751:B796,"&gt;="&amp;(B784-d_T),B751:B796,"&lt;="&amp;(B784-1))</f>
        <v/>
      </c>
      <c r="S784" s="46">
        <f>(1-d_u)*S783+IF(d_T&gt;in_topup_lag,SUMIFS(O751:O796,B751:B796,B784-in_topup_lag)-d_udrop*SUMIFS(O751:O796,B751:B796,B784-d_T),0)</f>
        <v/>
      </c>
      <c r="T784" s="40">
        <f>F784*d_u*S784</f>
        <v/>
      </c>
      <c r="U784" s="9">
        <f>L784*in_ticket+M784*d_rep_ticket</f>
        <v/>
      </c>
      <c r="V784" s="9">
        <f>U784+T784*d_topup_amt</f>
        <v/>
      </c>
      <c r="W784" s="40">
        <f>N784+T784*d_topup_ratio</f>
        <v/>
      </c>
      <c r="X784" s="40">
        <f>SUMIFS(W751:W796,B751:B796,B784-in_dpd_lag)*d_cured</f>
        <v/>
      </c>
      <c r="Y784" s="40">
        <f>SUMIFS(W751:W796,B751:B796,B784-in_rec_lag)*d_recd</f>
        <v/>
      </c>
      <c r="Z784" s="40">
        <f>IF(AND(B784&gt;=in_marketplace_from,B784&lt;in_marketplace_from+in_card_months),in_card_share/in_card_months*F784*I784,IF(AND(B784&gt;=in_marketplace_from+in_card_months,B784&lt;in_marketplace_from+2*in_card_months),in_card_share*d_card_rem/in_card_months*F784*MIN(in_takeup_cap,(1+in_takeup_growth)^(D784-1))*MIN(in_takeup_cap,(1+in_approval_growth)^(D784-1)),0))</f>
        <v/>
      </c>
      <c r="AA784" s="14">
        <f>V784*in_fee*(1-in_taken_back)</f>
        <v/>
      </c>
      <c r="AB784" s="14">
        <f>SUMIFS(W751:W796,B751:B796,B784-in_dpd_lag)*d_dpd</f>
        <v/>
      </c>
      <c r="AC784" s="14">
        <f>SUMIFS(W751:W796,B751:B796,B784-in_rec_lag)*d_rec</f>
        <v/>
      </c>
      <c r="AD784" s="14">
        <f>Z784*in_card_fee</f>
        <v/>
      </c>
      <c r="AE784" s="40">
        <f>AE783*(1-IF(B783&gt;=in_marketplace_from,d_hz_hlth_small*G783,0))</f>
        <v/>
      </c>
      <c r="AF784" s="46">
        <f>AE784*IF(B784&gt;=in_marketplace_from,d_hz_hlth_small*G784,0)</f>
        <v/>
      </c>
      <c r="AG784" s="14">
        <f>F784*AF784*in_hlth_small_ticket*in_hlth_small_comm*in_ins_partner_share+F784*in_hlth_small_ticket*in_hlth_small_renew_comm*in_ins_partner_share*(in_hlth_small_renew^1*SUMIFS(AF751:AF796,B751:B796,B784-12)+in_hlth_small_renew^2*SUMIFS(AF751:AF796,B751:B796,B784-24)+in_hlth_small_renew^3*SUMIFS(AF751:AF796,B751:B796,B784-36)+in_hlth_small_renew^4*SUMIFS(AF751:AF796,B751:B796,B784-48))</f>
        <v/>
      </c>
      <c r="AH784" s="40">
        <f>AH783*(1-IF(B783&gt;=in_marketplace_from,d_hz_hlth_family*G783,0))</f>
        <v/>
      </c>
      <c r="AI784" s="46">
        <f>AH784*IF(B784&gt;=in_marketplace_from,d_hz_hlth_family*G784,0)</f>
        <v/>
      </c>
      <c r="AJ784" s="14">
        <f>F784*AI784*in_hlth_family_ticket*in_hlth_family_comm*in_ins_partner_share+F784*in_hlth_family_ticket*in_hlth_family_renew_comm*in_ins_partner_share*(in_hlth_family_renew^1*SUMIFS(AI751:AI796,B751:B796,B784-12)+in_hlth_family_renew^2*SUMIFS(AI751:AI796,B751:B796,B784-24)+in_hlth_family_renew^3*SUMIFS(AI751:AI796,B751:B796,B784-36)+in_hlth_family_renew^4*SUMIFS(AI751:AI796,B751:B796,B784-48))</f>
        <v/>
      </c>
      <c r="AK784" s="40">
        <f>AK783*(1-IF(B783&gt;=in_marketplace_from,d_hz_life_term*G783,0))</f>
        <v/>
      </c>
      <c r="AL784" s="46">
        <f>AK784*IF(B784&gt;=in_marketplace_from,d_hz_life_term*G784,0)</f>
        <v/>
      </c>
      <c r="AM784" s="14">
        <f>F784*AL784*in_life_term_ticket*in_life_term_comm*in_ins_partner_share+F784*in_life_term_ticket*in_life_term_renew_comm*in_ins_partner_share*(in_life_term_renew^1*SUMIFS(AL751:AL796,B751:B796,B784-12)+in_life_term_renew^2*SUMIFS(AL751:AL796,B751:B796,B784-24)+in_life_term_renew^3*SUMIFS(AL751:AL796,B751:B796,B784-36)+in_life_term_renew^4*SUMIFS(AL751:AL796,B751:B796,B784-48))</f>
        <v/>
      </c>
      <c r="AN784" s="40">
        <f>AN783*(1-IF(B783&gt;=in_marketplace_from,d_hz_accident*G783,0))</f>
        <v/>
      </c>
      <c r="AO784" s="46">
        <f>AN784*IF(B784&gt;=in_marketplace_from,d_hz_accident*G784,0)</f>
        <v/>
      </c>
      <c r="AP784" s="14">
        <f>F784*AO784*in_accident_ticket*in_accident_comm*in_ins_partner_share+F784*in_accident_ticket*in_accident_renew_comm*in_ins_partner_share*(in_accident_renew^1*SUMIFS(AO751:AO796,B751:B796,B784-12)+in_accident_renew^2*SUMIFS(AO751:AO796,B751:B796,B784-24)+in_accident_renew^3*SUMIFS(AO751:AO796,B751:B796,B784-36)+in_accident_renew^4*SUMIFS(AO751:AO796,B751:B796,B784-48))</f>
        <v/>
      </c>
      <c r="AQ784" s="40">
        <f>AQ783*(1-IF(B783&gt;=in_marketplace_from,d_hz_two_wheeler*G783,0))</f>
        <v/>
      </c>
      <c r="AR784" s="46">
        <f>AQ784*IF(B784&gt;=in_marketplace_from,d_hz_two_wheeler*G784,0)</f>
        <v/>
      </c>
      <c r="AS784" s="14">
        <f>F784*AR784*in_two_wheeler_ticket*in_two_wheeler_comm*in_ins_partner_share+F784*in_two_wheeler_ticket*in_two_wheeler_comm*in_ins_partner_share*(in_two_wheeler_renew^1*SUMIFS(AR751:AR796,B751:B796,B784-12)+in_two_wheeler_renew^2*SUMIFS(AR751:AR796,B751:B796,B784-24)+in_two_wheeler_renew^3*SUMIFS(AR751:AR796,B751:B796,B784-36)+in_two_wheeler_renew^4*SUMIFS(AR751:AR796,B751:B796,B784-48))</f>
        <v/>
      </c>
      <c r="AT784" s="40">
        <f>AT783*(1-IF(B783&gt;=in_marketplace_from,d_hz_device*G783,0))</f>
        <v/>
      </c>
      <c r="AU784" s="14">
        <f>F784*AT784*IF(B784&gt;=in_marketplace_from,d_hz_device*G784,0)*in_device_ticket*in_device_comm*in_ins_partner_share</f>
        <v/>
      </c>
      <c r="AV784" s="40">
        <f>AV783*(1-IF(B783&gt;=in_marketplace_from,d_hz_shop*G783,0))</f>
        <v/>
      </c>
      <c r="AW784" s="46">
        <f>AV784*IF(B784&gt;=in_marketplace_from,d_hz_shop*G784,0)</f>
        <v/>
      </c>
      <c r="AX784" s="14">
        <f>F784*AW784*in_shop_ticket*in_shop_comm*in_ins_partner_share+F784*in_shop_ticket*in_shop_renew_comm*in_ins_partner_share*(in_shop_renew^1*SUMIFS(AW751:AW796,B751:B796,B784-12)+in_shop_renew^2*SUMIFS(AW751:AW796,B751:B796,B784-24)+in_shop_renew^3*SUMIFS(AW751:AW796,B751:B796,B784-36)+in_shop_renew^4*SUMIFS(AW751:AW796,B751:B796,B784-48))</f>
        <v/>
      </c>
      <c r="AY784" s="40">
        <f>AY783*(1-IF(B783&gt;=in_marketplace_from,d_hz_sip*G783,0))</f>
        <v/>
      </c>
      <c r="AZ784" s="40">
        <f>AZ783*d_rho_sip+AY784*IF(B784&gt;=in_marketplace_from,d_hz_sip*G784,0)</f>
        <v/>
      </c>
      <c r="BA784" s="40">
        <f>d_rho_sip*(BA783+AZ783)</f>
        <v/>
      </c>
      <c r="BB784" s="14">
        <f>F784*in_sip_ticket*(BA784+0.5*AZ784)*in_sip_comm/12</f>
        <v/>
      </c>
      <c r="BC784" s="40">
        <f>BC783*(1-IF(B783&gt;=in_marketplace_from,d_hz_choti*G783,0))</f>
        <v/>
      </c>
      <c r="BD784" s="46">
        <f>BC784*IF(B784&gt;=in_marketplace_from,d_hz_choti*G784,0)</f>
        <v/>
      </c>
      <c r="BE784" s="14">
        <f>F784*SUMIFS(BD751:BD796,B751:B796,B784-in_choti_months)*in_choti_renew*in_choti_ticket</f>
        <v/>
      </c>
      <c r="BF784" s="40">
        <f>BF783*(1-IF(B783&gt;=in_marketplace_from,d_hz_nps*G783,0))</f>
        <v/>
      </c>
      <c r="BG784" s="14">
        <f>F784*BF784*IF(B784&gt;=in_marketplace_from,d_hz_nps*G784,0)*in_nps_ticket*in_nps_comm</f>
        <v/>
      </c>
      <c r="BH784" s="40">
        <f>BH783*(1-IF(B783&gt;=in_marketplace_from,d_hz_gold*G783,0))</f>
        <v/>
      </c>
      <c r="BI784" s="40">
        <f>BI783*d_rho_gold+BH784*IF(B784&gt;=in_marketplace_from,d_hz_gold*G784,0)</f>
        <v/>
      </c>
      <c r="BJ784" s="14">
        <f>F784*BI784*in_gold_ticket*in_gold_comm</f>
        <v/>
      </c>
      <c r="BK784" s="40">
        <f>BK783*(1-IF(B783&gt;=in_marketplace_from,d_hz_fd*G783,0))</f>
        <v/>
      </c>
      <c r="BL784" s="14">
        <f>F784*BK784*IF(B784&gt;=in_marketplace_from,d_hz_fd*G784,0)*in_fd_ticket*in_fd_comm</f>
        <v/>
      </c>
      <c r="BM784" s="40">
        <f>BM783*(1-IF(B783&gt;=in_marketplace_from,d_hz_recharge*G783,0))</f>
        <v/>
      </c>
      <c r="BN784" s="40">
        <f>BN783*d_rho_recharge+BM784*IF(B784&gt;=in_marketplace_from,d_hz_recharge*G784,0)</f>
        <v/>
      </c>
      <c r="BO784" s="14">
        <f>F784*BN784*in_recharge_ticket*in_recharge_comm/12</f>
        <v/>
      </c>
      <c r="BP784" s="40">
        <f>BP783*(1-IF(B783&gt;=in_marketplace_from,d_hz_bills*G783,0))</f>
        <v/>
      </c>
      <c r="BQ784" s="40">
        <f>BQ783*d_rho_bills+BP784*IF(B784&gt;=in_marketplace_from,d_hz_bills*G784,0)</f>
        <v/>
      </c>
      <c r="BR784" s="14">
        <f>F784*BQ784*in_bills_ticket*in_bills_comm/12</f>
        <v/>
      </c>
      <c r="BS784" s="40">
        <f>BS783*(1-IF(B783&gt;=in_marketplace_from,d_hz_loan_gold*G783,0))</f>
        <v/>
      </c>
      <c r="BT784" s="14">
        <f>F784*BS784*IF(B784&gt;=in_marketplace_from,d_hz_loan_gold*G784,0)*in_loan_gold_ticket*in_loan_gold_comm</f>
        <v/>
      </c>
      <c r="BU784" s="40">
        <f>BU783*(1-IF(B783&gt;=in_marketplace_from,d_hz_loan_cd*G783,0))</f>
        <v/>
      </c>
      <c r="BV784" s="14">
        <f>F784*BU784*IF(B784&gt;=in_marketplace_from,d_hz_loan_cd*G784,0)*in_loan_cd_ticket*in_loan_cd_comm</f>
        <v/>
      </c>
      <c r="BW784" s="40">
        <f>BW783*(1-IF(B783&gt;=in_marketplace_from,d_hz_loan_vehicle*G783,0))</f>
        <v/>
      </c>
      <c r="BX784" s="14">
        <f>F784*BW784*IF(B784&gt;=in_marketplace_from,d_hz_loan_vehicle*G784,0)*in_loan_vehicle_ticket*in_loan_vehicle_comm</f>
        <v/>
      </c>
      <c r="BY784" s="40">
        <f>BY783*(1-IF(B783&gt;=in_marketplace_from,d_hz_loan_home*G783,0)*BZ783)</f>
        <v/>
      </c>
      <c r="BZ784" s="11">
        <f>MIN(in_approval_cap,in_loan_home_approval*INDEX('Age profile'!$O$2:$O$61,B784)*(1+in_approval_growth)^(D784-1))</f>
        <v/>
      </c>
      <c r="CA784" s="14">
        <f>F784*BY784*IF(B784&gt;=in_marketplace_from,d_hz_loan_home*G784,0)*BZ784*in_loan_home_ticket*in_loan_home_comm</f>
        <v/>
      </c>
      <c r="CB784" s="40">
        <f>CB783*(1-IF(B783&gt;=in_marketplace_from,d_hz_loan_lap*G783,0)*CC783)</f>
        <v/>
      </c>
      <c r="CC784" s="11">
        <f>MIN(in_approval_cap,in_loan_lap_approval*INDEX('Age profile'!$O$2:$O$61,B784)*(1+in_approval_growth)^(D784-1))</f>
        <v/>
      </c>
      <c r="CD784" s="14">
        <f>F784*CB784*IF(B784&gt;=in_marketplace_from,d_hz_loan_lap*G784,0)*CC784*in_loan_lap_ticket*in_loan_lap_comm</f>
        <v/>
      </c>
      <c r="CE784" s="14">
        <f>AA784+AB784+AC784+AD784+AG784+AJ784+AM784+AP784+AS784+AU784+AX784+BB784+BE784+BG784+BJ784+BL784+BO784+BR784+BT784+BV784+BX784+CA784+CD784</f>
        <v/>
      </c>
    </row>
    <row r="785">
      <c r="A785" s="39" t="n">
        <v>15</v>
      </c>
      <c r="B785" s="39" t="n">
        <v>35</v>
      </c>
      <c r="C785" s="39">
        <f>A785+B785-1</f>
        <v/>
      </c>
      <c r="D785" s="39">
        <f>INT((C785-1)/12)+1</f>
        <v/>
      </c>
      <c r="E785" s="44">
        <f>INDEX(Monthly!$B$2:$B$61,A785)</f>
        <v/>
      </c>
      <c r="F785" s="44">
        <f>E785*INDEX('Age profile'!$B$2:$B$61,B785)</f>
        <v/>
      </c>
      <c r="G785" s="45">
        <f>MIN(in_takeup_cap,INDEX('Age profile'!$N$2:$N$61,B785)*(1+in_takeup_growth)^(D785-1))</f>
        <v/>
      </c>
      <c r="H785" s="11">
        <f>MIN(in_approval_cap,in_approved_first*INDEX('Age profile'!$O$2:$O$61,B785)*(1+in_approval_growth)^(D785-1))</f>
        <v/>
      </c>
      <c r="I785" s="45">
        <f>G785*MIN(in_takeup_cap,INDEX('Age profile'!$O$2:$O$61,B785)*(1+in_approval_growth)^(D785-1))</f>
        <v/>
      </c>
      <c r="J785" s="40">
        <f>(J784-L784)*F785/F784</f>
        <v/>
      </c>
      <c r="K785" s="40">
        <f>(K784-M784)*F785/F784+SUMIFS(O751:O784,B751:B784,B785-1-d_T)*F785</f>
        <v/>
      </c>
      <c r="L785" s="40">
        <f>IF(B785&gt;=in_marketplace_from,J785*d_hz*G785*in_eligible*H785,0)</f>
        <v/>
      </c>
      <c r="M785" s="40">
        <f>IF(B785&gt;=in_marketplace_from,K785*d_hz*G785*in_eligible*in_approved_repeat,0)</f>
        <v/>
      </c>
      <c r="N785" s="40">
        <f>L785+M785</f>
        <v/>
      </c>
      <c r="O785" s="46">
        <f>N785/F785</f>
        <v/>
      </c>
      <c r="P785" s="40">
        <f>F785-J785-K785</f>
        <v/>
      </c>
      <c r="Q785" s="40">
        <f>IF(B785&gt;=in_marketplace_from,(J785+K785)*d_hz*G785,0)</f>
        <v/>
      </c>
      <c r="R785" s="40">
        <f>SUMIFS(N751:N796,B751:B796,"&gt;="&amp;(B785-d_T),B751:B796,"&lt;="&amp;(B785-1))</f>
        <v/>
      </c>
      <c r="S785" s="46">
        <f>(1-d_u)*S784+IF(d_T&gt;in_topup_lag,SUMIFS(O751:O796,B751:B796,B785-in_topup_lag)-d_udrop*SUMIFS(O751:O796,B751:B796,B785-d_T),0)</f>
        <v/>
      </c>
      <c r="T785" s="40">
        <f>F785*d_u*S785</f>
        <v/>
      </c>
      <c r="U785" s="9">
        <f>L785*in_ticket+M785*d_rep_ticket</f>
        <v/>
      </c>
      <c r="V785" s="9">
        <f>U785+T785*d_topup_amt</f>
        <v/>
      </c>
      <c r="W785" s="40">
        <f>N785+T785*d_topup_ratio</f>
        <v/>
      </c>
      <c r="X785" s="40">
        <f>SUMIFS(W751:W796,B751:B796,B785-in_dpd_lag)*d_cured</f>
        <v/>
      </c>
      <c r="Y785" s="40">
        <f>SUMIFS(W751:W796,B751:B796,B785-in_rec_lag)*d_recd</f>
        <v/>
      </c>
      <c r="Z785" s="40">
        <f>IF(AND(B785&gt;=in_marketplace_from,B785&lt;in_marketplace_from+in_card_months),in_card_share/in_card_months*F785*I785,IF(AND(B785&gt;=in_marketplace_from+in_card_months,B785&lt;in_marketplace_from+2*in_card_months),in_card_share*d_card_rem/in_card_months*F785*MIN(in_takeup_cap,(1+in_takeup_growth)^(D785-1))*MIN(in_takeup_cap,(1+in_approval_growth)^(D785-1)),0))</f>
        <v/>
      </c>
      <c r="AA785" s="14">
        <f>V785*in_fee*(1-in_taken_back)</f>
        <v/>
      </c>
      <c r="AB785" s="14">
        <f>SUMIFS(W751:W796,B751:B796,B785-in_dpd_lag)*d_dpd</f>
        <v/>
      </c>
      <c r="AC785" s="14">
        <f>SUMIFS(W751:W796,B751:B796,B785-in_rec_lag)*d_rec</f>
        <v/>
      </c>
      <c r="AD785" s="14">
        <f>Z785*in_card_fee</f>
        <v/>
      </c>
      <c r="AE785" s="40">
        <f>AE784*(1-IF(B784&gt;=in_marketplace_from,d_hz_hlth_small*G784,0))</f>
        <v/>
      </c>
      <c r="AF785" s="46">
        <f>AE785*IF(B785&gt;=in_marketplace_from,d_hz_hlth_small*G785,0)</f>
        <v/>
      </c>
      <c r="AG785" s="14">
        <f>F785*AF785*in_hlth_small_ticket*in_hlth_small_comm*in_ins_partner_share+F785*in_hlth_small_ticket*in_hlth_small_renew_comm*in_ins_partner_share*(in_hlth_small_renew^1*SUMIFS(AF751:AF796,B751:B796,B785-12)+in_hlth_small_renew^2*SUMIFS(AF751:AF796,B751:B796,B785-24)+in_hlth_small_renew^3*SUMIFS(AF751:AF796,B751:B796,B785-36)+in_hlth_small_renew^4*SUMIFS(AF751:AF796,B751:B796,B785-48))</f>
        <v/>
      </c>
      <c r="AH785" s="40">
        <f>AH784*(1-IF(B784&gt;=in_marketplace_from,d_hz_hlth_family*G784,0))</f>
        <v/>
      </c>
      <c r="AI785" s="46">
        <f>AH785*IF(B785&gt;=in_marketplace_from,d_hz_hlth_family*G785,0)</f>
        <v/>
      </c>
      <c r="AJ785" s="14">
        <f>F785*AI785*in_hlth_family_ticket*in_hlth_family_comm*in_ins_partner_share+F785*in_hlth_family_ticket*in_hlth_family_renew_comm*in_ins_partner_share*(in_hlth_family_renew^1*SUMIFS(AI751:AI796,B751:B796,B785-12)+in_hlth_family_renew^2*SUMIFS(AI751:AI796,B751:B796,B785-24)+in_hlth_family_renew^3*SUMIFS(AI751:AI796,B751:B796,B785-36)+in_hlth_family_renew^4*SUMIFS(AI751:AI796,B751:B796,B785-48))</f>
        <v/>
      </c>
      <c r="AK785" s="40">
        <f>AK784*(1-IF(B784&gt;=in_marketplace_from,d_hz_life_term*G784,0))</f>
        <v/>
      </c>
      <c r="AL785" s="46">
        <f>AK785*IF(B785&gt;=in_marketplace_from,d_hz_life_term*G785,0)</f>
        <v/>
      </c>
      <c r="AM785" s="14">
        <f>F785*AL785*in_life_term_ticket*in_life_term_comm*in_ins_partner_share+F785*in_life_term_ticket*in_life_term_renew_comm*in_ins_partner_share*(in_life_term_renew^1*SUMIFS(AL751:AL796,B751:B796,B785-12)+in_life_term_renew^2*SUMIFS(AL751:AL796,B751:B796,B785-24)+in_life_term_renew^3*SUMIFS(AL751:AL796,B751:B796,B785-36)+in_life_term_renew^4*SUMIFS(AL751:AL796,B751:B796,B785-48))</f>
        <v/>
      </c>
      <c r="AN785" s="40">
        <f>AN784*(1-IF(B784&gt;=in_marketplace_from,d_hz_accident*G784,0))</f>
        <v/>
      </c>
      <c r="AO785" s="46">
        <f>AN785*IF(B785&gt;=in_marketplace_from,d_hz_accident*G785,0)</f>
        <v/>
      </c>
      <c r="AP785" s="14">
        <f>F785*AO785*in_accident_ticket*in_accident_comm*in_ins_partner_share+F785*in_accident_ticket*in_accident_renew_comm*in_ins_partner_share*(in_accident_renew^1*SUMIFS(AO751:AO796,B751:B796,B785-12)+in_accident_renew^2*SUMIFS(AO751:AO796,B751:B796,B785-24)+in_accident_renew^3*SUMIFS(AO751:AO796,B751:B796,B785-36)+in_accident_renew^4*SUMIFS(AO751:AO796,B751:B796,B785-48))</f>
        <v/>
      </c>
      <c r="AQ785" s="40">
        <f>AQ784*(1-IF(B784&gt;=in_marketplace_from,d_hz_two_wheeler*G784,0))</f>
        <v/>
      </c>
      <c r="AR785" s="46">
        <f>AQ785*IF(B785&gt;=in_marketplace_from,d_hz_two_wheeler*G785,0)</f>
        <v/>
      </c>
      <c r="AS785" s="14">
        <f>F785*AR785*in_two_wheeler_ticket*in_two_wheeler_comm*in_ins_partner_share+F785*in_two_wheeler_ticket*in_two_wheeler_comm*in_ins_partner_share*(in_two_wheeler_renew^1*SUMIFS(AR751:AR796,B751:B796,B785-12)+in_two_wheeler_renew^2*SUMIFS(AR751:AR796,B751:B796,B785-24)+in_two_wheeler_renew^3*SUMIFS(AR751:AR796,B751:B796,B785-36)+in_two_wheeler_renew^4*SUMIFS(AR751:AR796,B751:B796,B785-48))</f>
        <v/>
      </c>
      <c r="AT785" s="40">
        <f>AT784*(1-IF(B784&gt;=in_marketplace_from,d_hz_device*G784,0))</f>
        <v/>
      </c>
      <c r="AU785" s="14">
        <f>F785*AT785*IF(B785&gt;=in_marketplace_from,d_hz_device*G785,0)*in_device_ticket*in_device_comm*in_ins_partner_share</f>
        <v/>
      </c>
      <c r="AV785" s="40">
        <f>AV784*(1-IF(B784&gt;=in_marketplace_from,d_hz_shop*G784,0))</f>
        <v/>
      </c>
      <c r="AW785" s="46">
        <f>AV785*IF(B785&gt;=in_marketplace_from,d_hz_shop*G785,0)</f>
        <v/>
      </c>
      <c r="AX785" s="14">
        <f>F785*AW785*in_shop_ticket*in_shop_comm*in_ins_partner_share+F785*in_shop_ticket*in_shop_renew_comm*in_ins_partner_share*(in_shop_renew^1*SUMIFS(AW751:AW796,B751:B796,B785-12)+in_shop_renew^2*SUMIFS(AW751:AW796,B751:B796,B785-24)+in_shop_renew^3*SUMIFS(AW751:AW796,B751:B796,B785-36)+in_shop_renew^4*SUMIFS(AW751:AW796,B751:B796,B785-48))</f>
        <v/>
      </c>
      <c r="AY785" s="40">
        <f>AY784*(1-IF(B784&gt;=in_marketplace_from,d_hz_sip*G784,0))</f>
        <v/>
      </c>
      <c r="AZ785" s="40">
        <f>AZ784*d_rho_sip+AY785*IF(B785&gt;=in_marketplace_from,d_hz_sip*G785,0)</f>
        <v/>
      </c>
      <c r="BA785" s="40">
        <f>d_rho_sip*(BA784+AZ784)</f>
        <v/>
      </c>
      <c r="BB785" s="14">
        <f>F785*in_sip_ticket*(BA785+0.5*AZ785)*in_sip_comm/12</f>
        <v/>
      </c>
      <c r="BC785" s="40">
        <f>BC784*(1-IF(B784&gt;=in_marketplace_from,d_hz_choti*G784,0))</f>
        <v/>
      </c>
      <c r="BD785" s="46">
        <f>BC785*IF(B785&gt;=in_marketplace_from,d_hz_choti*G785,0)</f>
        <v/>
      </c>
      <c r="BE785" s="14">
        <f>F785*SUMIFS(BD751:BD796,B751:B796,B785-in_choti_months)*in_choti_renew*in_choti_ticket</f>
        <v/>
      </c>
      <c r="BF785" s="40">
        <f>BF784*(1-IF(B784&gt;=in_marketplace_from,d_hz_nps*G784,0))</f>
        <v/>
      </c>
      <c r="BG785" s="14">
        <f>F785*BF785*IF(B785&gt;=in_marketplace_from,d_hz_nps*G785,0)*in_nps_ticket*in_nps_comm</f>
        <v/>
      </c>
      <c r="BH785" s="40">
        <f>BH784*(1-IF(B784&gt;=in_marketplace_from,d_hz_gold*G784,0))</f>
        <v/>
      </c>
      <c r="BI785" s="40">
        <f>BI784*d_rho_gold+BH785*IF(B785&gt;=in_marketplace_from,d_hz_gold*G785,0)</f>
        <v/>
      </c>
      <c r="BJ785" s="14">
        <f>F785*BI785*in_gold_ticket*in_gold_comm</f>
        <v/>
      </c>
      <c r="BK785" s="40">
        <f>BK784*(1-IF(B784&gt;=in_marketplace_from,d_hz_fd*G784,0))</f>
        <v/>
      </c>
      <c r="BL785" s="14">
        <f>F785*BK785*IF(B785&gt;=in_marketplace_from,d_hz_fd*G785,0)*in_fd_ticket*in_fd_comm</f>
        <v/>
      </c>
      <c r="BM785" s="40">
        <f>BM784*(1-IF(B784&gt;=in_marketplace_from,d_hz_recharge*G784,0))</f>
        <v/>
      </c>
      <c r="BN785" s="40">
        <f>BN784*d_rho_recharge+BM785*IF(B785&gt;=in_marketplace_from,d_hz_recharge*G785,0)</f>
        <v/>
      </c>
      <c r="BO785" s="14">
        <f>F785*BN785*in_recharge_ticket*in_recharge_comm/12</f>
        <v/>
      </c>
      <c r="BP785" s="40">
        <f>BP784*(1-IF(B784&gt;=in_marketplace_from,d_hz_bills*G784,0))</f>
        <v/>
      </c>
      <c r="BQ785" s="40">
        <f>BQ784*d_rho_bills+BP785*IF(B785&gt;=in_marketplace_from,d_hz_bills*G785,0)</f>
        <v/>
      </c>
      <c r="BR785" s="14">
        <f>F785*BQ785*in_bills_ticket*in_bills_comm/12</f>
        <v/>
      </c>
      <c r="BS785" s="40">
        <f>BS784*(1-IF(B784&gt;=in_marketplace_from,d_hz_loan_gold*G784,0))</f>
        <v/>
      </c>
      <c r="BT785" s="14">
        <f>F785*BS785*IF(B785&gt;=in_marketplace_from,d_hz_loan_gold*G785,0)*in_loan_gold_ticket*in_loan_gold_comm</f>
        <v/>
      </c>
      <c r="BU785" s="40">
        <f>BU784*(1-IF(B784&gt;=in_marketplace_from,d_hz_loan_cd*G784,0))</f>
        <v/>
      </c>
      <c r="BV785" s="14">
        <f>F785*BU785*IF(B785&gt;=in_marketplace_from,d_hz_loan_cd*G785,0)*in_loan_cd_ticket*in_loan_cd_comm</f>
        <v/>
      </c>
      <c r="BW785" s="40">
        <f>BW784*(1-IF(B784&gt;=in_marketplace_from,d_hz_loan_vehicle*G784,0))</f>
        <v/>
      </c>
      <c r="BX785" s="14">
        <f>F785*BW785*IF(B785&gt;=in_marketplace_from,d_hz_loan_vehicle*G785,0)*in_loan_vehicle_ticket*in_loan_vehicle_comm</f>
        <v/>
      </c>
      <c r="BY785" s="40">
        <f>BY784*(1-IF(B784&gt;=in_marketplace_from,d_hz_loan_home*G784,0)*BZ784)</f>
        <v/>
      </c>
      <c r="BZ785" s="11">
        <f>MIN(in_approval_cap,in_loan_home_approval*INDEX('Age profile'!$O$2:$O$61,B785)*(1+in_approval_growth)^(D785-1))</f>
        <v/>
      </c>
      <c r="CA785" s="14">
        <f>F785*BY785*IF(B785&gt;=in_marketplace_from,d_hz_loan_home*G785,0)*BZ785*in_loan_home_ticket*in_loan_home_comm</f>
        <v/>
      </c>
      <c r="CB785" s="40">
        <f>CB784*(1-IF(B784&gt;=in_marketplace_from,d_hz_loan_lap*G784,0)*CC784)</f>
        <v/>
      </c>
      <c r="CC785" s="11">
        <f>MIN(in_approval_cap,in_loan_lap_approval*INDEX('Age profile'!$O$2:$O$61,B785)*(1+in_approval_growth)^(D785-1))</f>
        <v/>
      </c>
      <c r="CD785" s="14">
        <f>F785*CB785*IF(B785&gt;=in_marketplace_from,d_hz_loan_lap*G785,0)*CC785*in_loan_lap_ticket*in_loan_lap_comm</f>
        <v/>
      </c>
      <c r="CE785" s="14">
        <f>AA785+AB785+AC785+AD785+AG785+AJ785+AM785+AP785+AS785+AU785+AX785+BB785+BE785+BG785+BJ785+BL785+BO785+BR785+BT785+BV785+BX785+CA785+CD785</f>
        <v/>
      </c>
    </row>
    <row r="786">
      <c r="A786" s="39" t="n">
        <v>15</v>
      </c>
      <c r="B786" s="39" t="n">
        <v>36</v>
      </c>
      <c r="C786" s="39">
        <f>A786+B786-1</f>
        <v/>
      </c>
      <c r="D786" s="39">
        <f>INT((C786-1)/12)+1</f>
        <v/>
      </c>
      <c r="E786" s="44">
        <f>INDEX(Monthly!$B$2:$B$61,A786)</f>
        <v/>
      </c>
      <c r="F786" s="44">
        <f>E786*INDEX('Age profile'!$B$2:$B$61,B786)</f>
        <v/>
      </c>
      <c r="G786" s="45">
        <f>MIN(in_takeup_cap,INDEX('Age profile'!$N$2:$N$61,B786)*(1+in_takeup_growth)^(D786-1))</f>
        <v/>
      </c>
      <c r="H786" s="11">
        <f>MIN(in_approval_cap,in_approved_first*INDEX('Age profile'!$O$2:$O$61,B786)*(1+in_approval_growth)^(D786-1))</f>
        <v/>
      </c>
      <c r="I786" s="45">
        <f>G786*MIN(in_takeup_cap,INDEX('Age profile'!$O$2:$O$61,B786)*(1+in_approval_growth)^(D786-1))</f>
        <v/>
      </c>
      <c r="J786" s="40">
        <f>(J785-L785)*F786/F785</f>
        <v/>
      </c>
      <c r="K786" s="40">
        <f>(K785-M785)*F786/F785+SUMIFS(O751:O785,B751:B785,B786-1-d_T)*F786</f>
        <v/>
      </c>
      <c r="L786" s="40">
        <f>IF(B786&gt;=in_marketplace_from,J786*d_hz*G786*in_eligible*H786,0)</f>
        <v/>
      </c>
      <c r="M786" s="40">
        <f>IF(B786&gt;=in_marketplace_from,K786*d_hz*G786*in_eligible*in_approved_repeat,0)</f>
        <v/>
      </c>
      <c r="N786" s="40">
        <f>L786+M786</f>
        <v/>
      </c>
      <c r="O786" s="46">
        <f>N786/F786</f>
        <v/>
      </c>
      <c r="P786" s="40">
        <f>F786-J786-K786</f>
        <v/>
      </c>
      <c r="Q786" s="40">
        <f>IF(B786&gt;=in_marketplace_from,(J786+K786)*d_hz*G786,0)</f>
        <v/>
      </c>
      <c r="R786" s="40">
        <f>SUMIFS(N751:N796,B751:B796,"&gt;="&amp;(B786-d_T),B751:B796,"&lt;="&amp;(B786-1))</f>
        <v/>
      </c>
      <c r="S786" s="46">
        <f>(1-d_u)*S785+IF(d_T&gt;in_topup_lag,SUMIFS(O751:O796,B751:B796,B786-in_topup_lag)-d_udrop*SUMIFS(O751:O796,B751:B796,B786-d_T),0)</f>
        <v/>
      </c>
      <c r="T786" s="40">
        <f>F786*d_u*S786</f>
        <v/>
      </c>
      <c r="U786" s="9">
        <f>L786*in_ticket+M786*d_rep_ticket</f>
        <v/>
      </c>
      <c r="V786" s="9">
        <f>U786+T786*d_topup_amt</f>
        <v/>
      </c>
      <c r="W786" s="40">
        <f>N786+T786*d_topup_ratio</f>
        <v/>
      </c>
      <c r="X786" s="40">
        <f>SUMIFS(W751:W796,B751:B796,B786-in_dpd_lag)*d_cured</f>
        <v/>
      </c>
      <c r="Y786" s="40">
        <f>SUMIFS(W751:W796,B751:B796,B786-in_rec_lag)*d_recd</f>
        <v/>
      </c>
      <c r="Z786" s="40">
        <f>IF(AND(B786&gt;=in_marketplace_from,B786&lt;in_marketplace_from+in_card_months),in_card_share/in_card_months*F786*I786,IF(AND(B786&gt;=in_marketplace_from+in_card_months,B786&lt;in_marketplace_from+2*in_card_months),in_card_share*d_card_rem/in_card_months*F786*MIN(in_takeup_cap,(1+in_takeup_growth)^(D786-1))*MIN(in_takeup_cap,(1+in_approval_growth)^(D786-1)),0))</f>
        <v/>
      </c>
      <c r="AA786" s="14">
        <f>V786*in_fee*(1-in_taken_back)</f>
        <v/>
      </c>
      <c r="AB786" s="14">
        <f>SUMIFS(W751:W796,B751:B796,B786-in_dpd_lag)*d_dpd</f>
        <v/>
      </c>
      <c r="AC786" s="14">
        <f>SUMIFS(W751:W796,B751:B796,B786-in_rec_lag)*d_rec</f>
        <v/>
      </c>
      <c r="AD786" s="14">
        <f>Z786*in_card_fee</f>
        <v/>
      </c>
      <c r="AE786" s="40">
        <f>AE785*(1-IF(B785&gt;=in_marketplace_from,d_hz_hlth_small*G785,0))</f>
        <v/>
      </c>
      <c r="AF786" s="46">
        <f>AE786*IF(B786&gt;=in_marketplace_from,d_hz_hlth_small*G786,0)</f>
        <v/>
      </c>
      <c r="AG786" s="14">
        <f>F786*AF786*in_hlth_small_ticket*in_hlth_small_comm*in_ins_partner_share+F786*in_hlth_small_ticket*in_hlth_small_renew_comm*in_ins_partner_share*(in_hlth_small_renew^1*SUMIFS(AF751:AF796,B751:B796,B786-12)+in_hlth_small_renew^2*SUMIFS(AF751:AF796,B751:B796,B786-24)+in_hlth_small_renew^3*SUMIFS(AF751:AF796,B751:B796,B786-36)+in_hlth_small_renew^4*SUMIFS(AF751:AF796,B751:B796,B786-48))</f>
        <v/>
      </c>
      <c r="AH786" s="40">
        <f>AH785*(1-IF(B785&gt;=in_marketplace_from,d_hz_hlth_family*G785,0))</f>
        <v/>
      </c>
      <c r="AI786" s="46">
        <f>AH786*IF(B786&gt;=in_marketplace_from,d_hz_hlth_family*G786,0)</f>
        <v/>
      </c>
      <c r="AJ786" s="14">
        <f>F786*AI786*in_hlth_family_ticket*in_hlth_family_comm*in_ins_partner_share+F786*in_hlth_family_ticket*in_hlth_family_renew_comm*in_ins_partner_share*(in_hlth_family_renew^1*SUMIFS(AI751:AI796,B751:B796,B786-12)+in_hlth_family_renew^2*SUMIFS(AI751:AI796,B751:B796,B786-24)+in_hlth_family_renew^3*SUMIFS(AI751:AI796,B751:B796,B786-36)+in_hlth_family_renew^4*SUMIFS(AI751:AI796,B751:B796,B786-48))</f>
        <v/>
      </c>
      <c r="AK786" s="40">
        <f>AK785*(1-IF(B785&gt;=in_marketplace_from,d_hz_life_term*G785,0))</f>
        <v/>
      </c>
      <c r="AL786" s="46">
        <f>AK786*IF(B786&gt;=in_marketplace_from,d_hz_life_term*G786,0)</f>
        <v/>
      </c>
      <c r="AM786" s="14">
        <f>F786*AL786*in_life_term_ticket*in_life_term_comm*in_ins_partner_share+F786*in_life_term_ticket*in_life_term_renew_comm*in_ins_partner_share*(in_life_term_renew^1*SUMIFS(AL751:AL796,B751:B796,B786-12)+in_life_term_renew^2*SUMIFS(AL751:AL796,B751:B796,B786-24)+in_life_term_renew^3*SUMIFS(AL751:AL796,B751:B796,B786-36)+in_life_term_renew^4*SUMIFS(AL751:AL796,B751:B796,B786-48))</f>
        <v/>
      </c>
      <c r="AN786" s="40">
        <f>AN785*(1-IF(B785&gt;=in_marketplace_from,d_hz_accident*G785,0))</f>
        <v/>
      </c>
      <c r="AO786" s="46">
        <f>AN786*IF(B786&gt;=in_marketplace_from,d_hz_accident*G786,0)</f>
        <v/>
      </c>
      <c r="AP786" s="14">
        <f>F786*AO786*in_accident_ticket*in_accident_comm*in_ins_partner_share+F786*in_accident_ticket*in_accident_renew_comm*in_ins_partner_share*(in_accident_renew^1*SUMIFS(AO751:AO796,B751:B796,B786-12)+in_accident_renew^2*SUMIFS(AO751:AO796,B751:B796,B786-24)+in_accident_renew^3*SUMIFS(AO751:AO796,B751:B796,B786-36)+in_accident_renew^4*SUMIFS(AO751:AO796,B751:B796,B786-48))</f>
        <v/>
      </c>
      <c r="AQ786" s="40">
        <f>AQ785*(1-IF(B785&gt;=in_marketplace_from,d_hz_two_wheeler*G785,0))</f>
        <v/>
      </c>
      <c r="AR786" s="46">
        <f>AQ786*IF(B786&gt;=in_marketplace_from,d_hz_two_wheeler*G786,0)</f>
        <v/>
      </c>
      <c r="AS786" s="14">
        <f>F786*AR786*in_two_wheeler_ticket*in_two_wheeler_comm*in_ins_partner_share+F786*in_two_wheeler_ticket*in_two_wheeler_comm*in_ins_partner_share*(in_two_wheeler_renew^1*SUMIFS(AR751:AR796,B751:B796,B786-12)+in_two_wheeler_renew^2*SUMIFS(AR751:AR796,B751:B796,B786-24)+in_two_wheeler_renew^3*SUMIFS(AR751:AR796,B751:B796,B786-36)+in_two_wheeler_renew^4*SUMIFS(AR751:AR796,B751:B796,B786-48))</f>
        <v/>
      </c>
      <c r="AT786" s="40">
        <f>AT785*(1-IF(B785&gt;=in_marketplace_from,d_hz_device*G785,0))</f>
        <v/>
      </c>
      <c r="AU786" s="14">
        <f>F786*AT786*IF(B786&gt;=in_marketplace_from,d_hz_device*G786,0)*in_device_ticket*in_device_comm*in_ins_partner_share</f>
        <v/>
      </c>
      <c r="AV786" s="40">
        <f>AV785*(1-IF(B785&gt;=in_marketplace_from,d_hz_shop*G785,0))</f>
        <v/>
      </c>
      <c r="AW786" s="46">
        <f>AV786*IF(B786&gt;=in_marketplace_from,d_hz_shop*G786,0)</f>
        <v/>
      </c>
      <c r="AX786" s="14">
        <f>F786*AW786*in_shop_ticket*in_shop_comm*in_ins_partner_share+F786*in_shop_ticket*in_shop_renew_comm*in_ins_partner_share*(in_shop_renew^1*SUMIFS(AW751:AW796,B751:B796,B786-12)+in_shop_renew^2*SUMIFS(AW751:AW796,B751:B796,B786-24)+in_shop_renew^3*SUMIFS(AW751:AW796,B751:B796,B786-36)+in_shop_renew^4*SUMIFS(AW751:AW796,B751:B796,B786-48))</f>
        <v/>
      </c>
      <c r="AY786" s="40">
        <f>AY785*(1-IF(B785&gt;=in_marketplace_from,d_hz_sip*G785,0))</f>
        <v/>
      </c>
      <c r="AZ786" s="40">
        <f>AZ785*d_rho_sip+AY786*IF(B786&gt;=in_marketplace_from,d_hz_sip*G786,0)</f>
        <v/>
      </c>
      <c r="BA786" s="40">
        <f>d_rho_sip*(BA785+AZ785)</f>
        <v/>
      </c>
      <c r="BB786" s="14">
        <f>F786*in_sip_ticket*(BA786+0.5*AZ786)*in_sip_comm/12</f>
        <v/>
      </c>
      <c r="BC786" s="40">
        <f>BC785*(1-IF(B785&gt;=in_marketplace_from,d_hz_choti*G785,0))</f>
        <v/>
      </c>
      <c r="BD786" s="46">
        <f>BC786*IF(B786&gt;=in_marketplace_from,d_hz_choti*G786,0)</f>
        <v/>
      </c>
      <c r="BE786" s="14">
        <f>F786*SUMIFS(BD751:BD796,B751:B796,B786-in_choti_months)*in_choti_renew*in_choti_ticket</f>
        <v/>
      </c>
      <c r="BF786" s="40">
        <f>BF785*(1-IF(B785&gt;=in_marketplace_from,d_hz_nps*G785,0))</f>
        <v/>
      </c>
      <c r="BG786" s="14">
        <f>F786*BF786*IF(B786&gt;=in_marketplace_from,d_hz_nps*G786,0)*in_nps_ticket*in_nps_comm</f>
        <v/>
      </c>
      <c r="BH786" s="40">
        <f>BH785*(1-IF(B785&gt;=in_marketplace_from,d_hz_gold*G785,0))</f>
        <v/>
      </c>
      <c r="BI786" s="40">
        <f>BI785*d_rho_gold+BH786*IF(B786&gt;=in_marketplace_from,d_hz_gold*G786,0)</f>
        <v/>
      </c>
      <c r="BJ786" s="14">
        <f>F786*BI786*in_gold_ticket*in_gold_comm</f>
        <v/>
      </c>
      <c r="BK786" s="40">
        <f>BK785*(1-IF(B785&gt;=in_marketplace_from,d_hz_fd*G785,0))</f>
        <v/>
      </c>
      <c r="BL786" s="14">
        <f>F786*BK786*IF(B786&gt;=in_marketplace_from,d_hz_fd*G786,0)*in_fd_ticket*in_fd_comm</f>
        <v/>
      </c>
      <c r="BM786" s="40">
        <f>BM785*(1-IF(B785&gt;=in_marketplace_from,d_hz_recharge*G785,0))</f>
        <v/>
      </c>
      <c r="BN786" s="40">
        <f>BN785*d_rho_recharge+BM786*IF(B786&gt;=in_marketplace_from,d_hz_recharge*G786,0)</f>
        <v/>
      </c>
      <c r="BO786" s="14">
        <f>F786*BN786*in_recharge_ticket*in_recharge_comm/12</f>
        <v/>
      </c>
      <c r="BP786" s="40">
        <f>BP785*(1-IF(B785&gt;=in_marketplace_from,d_hz_bills*G785,0))</f>
        <v/>
      </c>
      <c r="BQ786" s="40">
        <f>BQ785*d_rho_bills+BP786*IF(B786&gt;=in_marketplace_from,d_hz_bills*G786,0)</f>
        <v/>
      </c>
      <c r="BR786" s="14">
        <f>F786*BQ786*in_bills_ticket*in_bills_comm/12</f>
        <v/>
      </c>
      <c r="BS786" s="40">
        <f>BS785*(1-IF(B785&gt;=in_marketplace_from,d_hz_loan_gold*G785,0))</f>
        <v/>
      </c>
      <c r="BT786" s="14">
        <f>F786*BS786*IF(B786&gt;=in_marketplace_from,d_hz_loan_gold*G786,0)*in_loan_gold_ticket*in_loan_gold_comm</f>
        <v/>
      </c>
      <c r="BU786" s="40">
        <f>BU785*(1-IF(B785&gt;=in_marketplace_from,d_hz_loan_cd*G785,0))</f>
        <v/>
      </c>
      <c r="BV786" s="14">
        <f>F786*BU786*IF(B786&gt;=in_marketplace_from,d_hz_loan_cd*G786,0)*in_loan_cd_ticket*in_loan_cd_comm</f>
        <v/>
      </c>
      <c r="BW786" s="40">
        <f>BW785*(1-IF(B785&gt;=in_marketplace_from,d_hz_loan_vehicle*G785,0))</f>
        <v/>
      </c>
      <c r="BX786" s="14">
        <f>F786*BW786*IF(B786&gt;=in_marketplace_from,d_hz_loan_vehicle*G786,0)*in_loan_vehicle_ticket*in_loan_vehicle_comm</f>
        <v/>
      </c>
      <c r="BY786" s="40">
        <f>BY785*(1-IF(B785&gt;=in_marketplace_from,d_hz_loan_home*G785,0)*BZ785)</f>
        <v/>
      </c>
      <c r="BZ786" s="11">
        <f>MIN(in_approval_cap,in_loan_home_approval*INDEX('Age profile'!$O$2:$O$61,B786)*(1+in_approval_growth)^(D786-1))</f>
        <v/>
      </c>
      <c r="CA786" s="14">
        <f>F786*BY786*IF(B786&gt;=in_marketplace_from,d_hz_loan_home*G786,0)*BZ786*in_loan_home_ticket*in_loan_home_comm</f>
        <v/>
      </c>
      <c r="CB786" s="40">
        <f>CB785*(1-IF(B785&gt;=in_marketplace_from,d_hz_loan_lap*G785,0)*CC785)</f>
        <v/>
      </c>
      <c r="CC786" s="11">
        <f>MIN(in_approval_cap,in_loan_lap_approval*INDEX('Age profile'!$O$2:$O$61,B786)*(1+in_approval_growth)^(D786-1))</f>
        <v/>
      </c>
      <c r="CD786" s="14">
        <f>F786*CB786*IF(B786&gt;=in_marketplace_from,d_hz_loan_lap*G786,0)*CC786*in_loan_lap_ticket*in_loan_lap_comm</f>
        <v/>
      </c>
      <c r="CE786" s="14">
        <f>AA786+AB786+AC786+AD786+AG786+AJ786+AM786+AP786+AS786+AU786+AX786+BB786+BE786+BG786+BJ786+BL786+BO786+BR786+BT786+BV786+BX786+CA786+CD786</f>
        <v/>
      </c>
    </row>
    <row r="787">
      <c r="A787" s="39" t="n">
        <v>15</v>
      </c>
      <c r="B787" s="39" t="n">
        <v>37</v>
      </c>
      <c r="C787" s="39">
        <f>A787+B787-1</f>
        <v/>
      </c>
      <c r="D787" s="39">
        <f>INT((C787-1)/12)+1</f>
        <v/>
      </c>
      <c r="E787" s="44">
        <f>INDEX(Monthly!$B$2:$B$61,A787)</f>
        <v/>
      </c>
      <c r="F787" s="44">
        <f>E787*INDEX('Age profile'!$B$2:$B$61,B787)</f>
        <v/>
      </c>
      <c r="G787" s="45">
        <f>MIN(in_takeup_cap,INDEX('Age profile'!$N$2:$N$61,B787)*(1+in_takeup_growth)^(D787-1))</f>
        <v/>
      </c>
      <c r="H787" s="11">
        <f>MIN(in_approval_cap,in_approved_first*INDEX('Age profile'!$O$2:$O$61,B787)*(1+in_approval_growth)^(D787-1))</f>
        <v/>
      </c>
      <c r="I787" s="45">
        <f>G787*MIN(in_takeup_cap,INDEX('Age profile'!$O$2:$O$61,B787)*(1+in_approval_growth)^(D787-1))</f>
        <v/>
      </c>
      <c r="J787" s="40">
        <f>(J786-L786)*F787/F786</f>
        <v/>
      </c>
      <c r="K787" s="40">
        <f>(K786-M786)*F787/F786+SUMIFS(O751:O786,B751:B786,B787-1-d_T)*F787</f>
        <v/>
      </c>
      <c r="L787" s="40">
        <f>IF(B787&gt;=in_marketplace_from,J787*d_hz*G787*in_eligible*H787,0)</f>
        <v/>
      </c>
      <c r="M787" s="40">
        <f>IF(B787&gt;=in_marketplace_from,K787*d_hz*G787*in_eligible*in_approved_repeat,0)</f>
        <v/>
      </c>
      <c r="N787" s="40">
        <f>L787+M787</f>
        <v/>
      </c>
      <c r="O787" s="46">
        <f>N787/F787</f>
        <v/>
      </c>
      <c r="P787" s="40">
        <f>F787-J787-K787</f>
        <v/>
      </c>
      <c r="Q787" s="40">
        <f>IF(B787&gt;=in_marketplace_from,(J787+K787)*d_hz*G787,0)</f>
        <v/>
      </c>
      <c r="R787" s="40">
        <f>SUMIFS(N751:N796,B751:B796,"&gt;="&amp;(B787-d_T),B751:B796,"&lt;="&amp;(B787-1))</f>
        <v/>
      </c>
      <c r="S787" s="46">
        <f>(1-d_u)*S786+IF(d_T&gt;in_topup_lag,SUMIFS(O751:O796,B751:B796,B787-in_topup_lag)-d_udrop*SUMIFS(O751:O796,B751:B796,B787-d_T),0)</f>
        <v/>
      </c>
      <c r="T787" s="40">
        <f>F787*d_u*S787</f>
        <v/>
      </c>
      <c r="U787" s="9">
        <f>L787*in_ticket+M787*d_rep_ticket</f>
        <v/>
      </c>
      <c r="V787" s="9">
        <f>U787+T787*d_topup_amt</f>
        <v/>
      </c>
      <c r="W787" s="40">
        <f>N787+T787*d_topup_ratio</f>
        <v/>
      </c>
      <c r="X787" s="40">
        <f>SUMIFS(W751:W796,B751:B796,B787-in_dpd_lag)*d_cured</f>
        <v/>
      </c>
      <c r="Y787" s="40">
        <f>SUMIFS(W751:W796,B751:B796,B787-in_rec_lag)*d_recd</f>
        <v/>
      </c>
      <c r="Z787" s="40">
        <f>IF(AND(B787&gt;=in_marketplace_from,B787&lt;in_marketplace_from+in_card_months),in_card_share/in_card_months*F787*I787,IF(AND(B787&gt;=in_marketplace_from+in_card_months,B787&lt;in_marketplace_from+2*in_card_months),in_card_share*d_card_rem/in_card_months*F787*MIN(in_takeup_cap,(1+in_takeup_growth)^(D787-1))*MIN(in_takeup_cap,(1+in_approval_growth)^(D787-1)),0))</f>
        <v/>
      </c>
      <c r="AA787" s="14">
        <f>V787*in_fee*(1-in_taken_back)</f>
        <v/>
      </c>
      <c r="AB787" s="14">
        <f>SUMIFS(W751:W796,B751:B796,B787-in_dpd_lag)*d_dpd</f>
        <v/>
      </c>
      <c r="AC787" s="14">
        <f>SUMIFS(W751:W796,B751:B796,B787-in_rec_lag)*d_rec</f>
        <v/>
      </c>
      <c r="AD787" s="14">
        <f>Z787*in_card_fee</f>
        <v/>
      </c>
      <c r="AE787" s="40">
        <f>AE786*(1-IF(B786&gt;=in_marketplace_from,d_hz_hlth_small*G786,0))</f>
        <v/>
      </c>
      <c r="AF787" s="46">
        <f>AE787*IF(B787&gt;=in_marketplace_from,d_hz_hlth_small*G787,0)</f>
        <v/>
      </c>
      <c r="AG787" s="14">
        <f>F787*AF787*in_hlth_small_ticket*in_hlth_small_comm*in_ins_partner_share+F787*in_hlth_small_ticket*in_hlth_small_renew_comm*in_ins_partner_share*(in_hlth_small_renew^1*SUMIFS(AF751:AF796,B751:B796,B787-12)+in_hlth_small_renew^2*SUMIFS(AF751:AF796,B751:B796,B787-24)+in_hlth_small_renew^3*SUMIFS(AF751:AF796,B751:B796,B787-36)+in_hlth_small_renew^4*SUMIFS(AF751:AF796,B751:B796,B787-48))</f>
        <v/>
      </c>
      <c r="AH787" s="40">
        <f>AH786*(1-IF(B786&gt;=in_marketplace_from,d_hz_hlth_family*G786,0))</f>
        <v/>
      </c>
      <c r="AI787" s="46">
        <f>AH787*IF(B787&gt;=in_marketplace_from,d_hz_hlth_family*G787,0)</f>
        <v/>
      </c>
      <c r="AJ787" s="14">
        <f>F787*AI787*in_hlth_family_ticket*in_hlth_family_comm*in_ins_partner_share+F787*in_hlth_family_ticket*in_hlth_family_renew_comm*in_ins_partner_share*(in_hlth_family_renew^1*SUMIFS(AI751:AI796,B751:B796,B787-12)+in_hlth_family_renew^2*SUMIFS(AI751:AI796,B751:B796,B787-24)+in_hlth_family_renew^3*SUMIFS(AI751:AI796,B751:B796,B787-36)+in_hlth_family_renew^4*SUMIFS(AI751:AI796,B751:B796,B787-48))</f>
        <v/>
      </c>
      <c r="AK787" s="40">
        <f>AK786*(1-IF(B786&gt;=in_marketplace_from,d_hz_life_term*G786,0))</f>
        <v/>
      </c>
      <c r="AL787" s="46">
        <f>AK787*IF(B787&gt;=in_marketplace_from,d_hz_life_term*G787,0)</f>
        <v/>
      </c>
      <c r="AM787" s="14">
        <f>F787*AL787*in_life_term_ticket*in_life_term_comm*in_ins_partner_share+F787*in_life_term_ticket*in_life_term_renew_comm*in_ins_partner_share*(in_life_term_renew^1*SUMIFS(AL751:AL796,B751:B796,B787-12)+in_life_term_renew^2*SUMIFS(AL751:AL796,B751:B796,B787-24)+in_life_term_renew^3*SUMIFS(AL751:AL796,B751:B796,B787-36)+in_life_term_renew^4*SUMIFS(AL751:AL796,B751:B796,B787-48))</f>
        <v/>
      </c>
      <c r="AN787" s="40">
        <f>AN786*(1-IF(B786&gt;=in_marketplace_from,d_hz_accident*G786,0))</f>
        <v/>
      </c>
      <c r="AO787" s="46">
        <f>AN787*IF(B787&gt;=in_marketplace_from,d_hz_accident*G787,0)</f>
        <v/>
      </c>
      <c r="AP787" s="14">
        <f>F787*AO787*in_accident_ticket*in_accident_comm*in_ins_partner_share+F787*in_accident_ticket*in_accident_renew_comm*in_ins_partner_share*(in_accident_renew^1*SUMIFS(AO751:AO796,B751:B796,B787-12)+in_accident_renew^2*SUMIFS(AO751:AO796,B751:B796,B787-24)+in_accident_renew^3*SUMIFS(AO751:AO796,B751:B796,B787-36)+in_accident_renew^4*SUMIFS(AO751:AO796,B751:B796,B787-48))</f>
        <v/>
      </c>
      <c r="AQ787" s="40">
        <f>AQ786*(1-IF(B786&gt;=in_marketplace_from,d_hz_two_wheeler*G786,0))</f>
        <v/>
      </c>
      <c r="AR787" s="46">
        <f>AQ787*IF(B787&gt;=in_marketplace_from,d_hz_two_wheeler*G787,0)</f>
        <v/>
      </c>
      <c r="AS787" s="14">
        <f>F787*AR787*in_two_wheeler_ticket*in_two_wheeler_comm*in_ins_partner_share+F787*in_two_wheeler_ticket*in_two_wheeler_comm*in_ins_partner_share*(in_two_wheeler_renew^1*SUMIFS(AR751:AR796,B751:B796,B787-12)+in_two_wheeler_renew^2*SUMIFS(AR751:AR796,B751:B796,B787-24)+in_two_wheeler_renew^3*SUMIFS(AR751:AR796,B751:B796,B787-36)+in_two_wheeler_renew^4*SUMIFS(AR751:AR796,B751:B796,B787-48))</f>
        <v/>
      </c>
      <c r="AT787" s="40">
        <f>AT786*(1-IF(B786&gt;=in_marketplace_from,d_hz_device*G786,0))</f>
        <v/>
      </c>
      <c r="AU787" s="14">
        <f>F787*AT787*IF(B787&gt;=in_marketplace_from,d_hz_device*G787,0)*in_device_ticket*in_device_comm*in_ins_partner_share</f>
        <v/>
      </c>
      <c r="AV787" s="40">
        <f>AV786*(1-IF(B786&gt;=in_marketplace_from,d_hz_shop*G786,0))</f>
        <v/>
      </c>
      <c r="AW787" s="46">
        <f>AV787*IF(B787&gt;=in_marketplace_from,d_hz_shop*G787,0)</f>
        <v/>
      </c>
      <c r="AX787" s="14">
        <f>F787*AW787*in_shop_ticket*in_shop_comm*in_ins_partner_share+F787*in_shop_ticket*in_shop_renew_comm*in_ins_partner_share*(in_shop_renew^1*SUMIFS(AW751:AW796,B751:B796,B787-12)+in_shop_renew^2*SUMIFS(AW751:AW796,B751:B796,B787-24)+in_shop_renew^3*SUMIFS(AW751:AW796,B751:B796,B787-36)+in_shop_renew^4*SUMIFS(AW751:AW796,B751:B796,B787-48))</f>
        <v/>
      </c>
      <c r="AY787" s="40">
        <f>AY786*(1-IF(B786&gt;=in_marketplace_from,d_hz_sip*G786,0))</f>
        <v/>
      </c>
      <c r="AZ787" s="40">
        <f>AZ786*d_rho_sip+AY787*IF(B787&gt;=in_marketplace_from,d_hz_sip*G787,0)</f>
        <v/>
      </c>
      <c r="BA787" s="40">
        <f>d_rho_sip*(BA786+AZ786)</f>
        <v/>
      </c>
      <c r="BB787" s="14">
        <f>F787*in_sip_ticket*(BA787+0.5*AZ787)*in_sip_comm/12</f>
        <v/>
      </c>
      <c r="BC787" s="40">
        <f>BC786*(1-IF(B786&gt;=in_marketplace_from,d_hz_choti*G786,0))</f>
        <v/>
      </c>
      <c r="BD787" s="46">
        <f>BC787*IF(B787&gt;=in_marketplace_from,d_hz_choti*G787,0)</f>
        <v/>
      </c>
      <c r="BE787" s="14">
        <f>F787*SUMIFS(BD751:BD796,B751:B796,B787-in_choti_months)*in_choti_renew*in_choti_ticket</f>
        <v/>
      </c>
      <c r="BF787" s="40">
        <f>BF786*(1-IF(B786&gt;=in_marketplace_from,d_hz_nps*G786,0))</f>
        <v/>
      </c>
      <c r="BG787" s="14">
        <f>F787*BF787*IF(B787&gt;=in_marketplace_from,d_hz_nps*G787,0)*in_nps_ticket*in_nps_comm</f>
        <v/>
      </c>
      <c r="BH787" s="40">
        <f>BH786*(1-IF(B786&gt;=in_marketplace_from,d_hz_gold*G786,0))</f>
        <v/>
      </c>
      <c r="BI787" s="40">
        <f>BI786*d_rho_gold+BH787*IF(B787&gt;=in_marketplace_from,d_hz_gold*G787,0)</f>
        <v/>
      </c>
      <c r="BJ787" s="14">
        <f>F787*BI787*in_gold_ticket*in_gold_comm</f>
        <v/>
      </c>
      <c r="BK787" s="40">
        <f>BK786*(1-IF(B786&gt;=in_marketplace_from,d_hz_fd*G786,0))</f>
        <v/>
      </c>
      <c r="BL787" s="14">
        <f>F787*BK787*IF(B787&gt;=in_marketplace_from,d_hz_fd*G787,0)*in_fd_ticket*in_fd_comm</f>
        <v/>
      </c>
      <c r="BM787" s="40">
        <f>BM786*(1-IF(B786&gt;=in_marketplace_from,d_hz_recharge*G786,0))</f>
        <v/>
      </c>
      <c r="BN787" s="40">
        <f>BN786*d_rho_recharge+BM787*IF(B787&gt;=in_marketplace_from,d_hz_recharge*G787,0)</f>
        <v/>
      </c>
      <c r="BO787" s="14">
        <f>F787*BN787*in_recharge_ticket*in_recharge_comm/12</f>
        <v/>
      </c>
      <c r="BP787" s="40">
        <f>BP786*(1-IF(B786&gt;=in_marketplace_from,d_hz_bills*G786,0))</f>
        <v/>
      </c>
      <c r="BQ787" s="40">
        <f>BQ786*d_rho_bills+BP787*IF(B787&gt;=in_marketplace_from,d_hz_bills*G787,0)</f>
        <v/>
      </c>
      <c r="BR787" s="14">
        <f>F787*BQ787*in_bills_ticket*in_bills_comm/12</f>
        <v/>
      </c>
      <c r="BS787" s="40">
        <f>BS786*(1-IF(B786&gt;=in_marketplace_from,d_hz_loan_gold*G786,0))</f>
        <v/>
      </c>
      <c r="BT787" s="14">
        <f>F787*BS787*IF(B787&gt;=in_marketplace_from,d_hz_loan_gold*G787,0)*in_loan_gold_ticket*in_loan_gold_comm</f>
        <v/>
      </c>
      <c r="BU787" s="40">
        <f>BU786*(1-IF(B786&gt;=in_marketplace_from,d_hz_loan_cd*G786,0))</f>
        <v/>
      </c>
      <c r="BV787" s="14">
        <f>F787*BU787*IF(B787&gt;=in_marketplace_from,d_hz_loan_cd*G787,0)*in_loan_cd_ticket*in_loan_cd_comm</f>
        <v/>
      </c>
      <c r="BW787" s="40">
        <f>BW786*(1-IF(B786&gt;=in_marketplace_from,d_hz_loan_vehicle*G786,0))</f>
        <v/>
      </c>
      <c r="BX787" s="14">
        <f>F787*BW787*IF(B787&gt;=in_marketplace_from,d_hz_loan_vehicle*G787,0)*in_loan_vehicle_ticket*in_loan_vehicle_comm</f>
        <v/>
      </c>
      <c r="BY787" s="40">
        <f>BY786*(1-IF(B786&gt;=in_marketplace_from,d_hz_loan_home*G786,0)*BZ786)</f>
        <v/>
      </c>
      <c r="BZ787" s="11">
        <f>MIN(in_approval_cap,in_loan_home_approval*INDEX('Age profile'!$O$2:$O$61,B787)*(1+in_approval_growth)^(D787-1))</f>
        <v/>
      </c>
      <c r="CA787" s="14">
        <f>F787*BY787*IF(B787&gt;=in_marketplace_from,d_hz_loan_home*G787,0)*BZ787*in_loan_home_ticket*in_loan_home_comm</f>
        <v/>
      </c>
      <c r="CB787" s="40">
        <f>CB786*(1-IF(B786&gt;=in_marketplace_from,d_hz_loan_lap*G786,0)*CC786)</f>
        <v/>
      </c>
      <c r="CC787" s="11">
        <f>MIN(in_approval_cap,in_loan_lap_approval*INDEX('Age profile'!$O$2:$O$61,B787)*(1+in_approval_growth)^(D787-1))</f>
        <v/>
      </c>
      <c r="CD787" s="14">
        <f>F787*CB787*IF(B787&gt;=in_marketplace_from,d_hz_loan_lap*G787,0)*CC787*in_loan_lap_ticket*in_loan_lap_comm</f>
        <v/>
      </c>
      <c r="CE787" s="14">
        <f>AA787+AB787+AC787+AD787+AG787+AJ787+AM787+AP787+AS787+AU787+AX787+BB787+BE787+BG787+BJ787+BL787+BO787+BR787+BT787+BV787+BX787+CA787+CD787</f>
        <v/>
      </c>
    </row>
    <row r="788">
      <c r="A788" s="39" t="n">
        <v>15</v>
      </c>
      <c r="B788" s="39" t="n">
        <v>38</v>
      </c>
      <c r="C788" s="39">
        <f>A788+B788-1</f>
        <v/>
      </c>
      <c r="D788" s="39">
        <f>INT((C788-1)/12)+1</f>
        <v/>
      </c>
      <c r="E788" s="44">
        <f>INDEX(Monthly!$B$2:$B$61,A788)</f>
        <v/>
      </c>
      <c r="F788" s="44">
        <f>E788*INDEX('Age profile'!$B$2:$B$61,B788)</f>
        <v/>
      </c>
      <c r="G788" s="45">
        <f>MIN(in_takeup_cap,INDEX('Age profile'!$N$2:$N$61,B788)*(1+in_takeup_growth)^(D788-1))</f>
        <v/>
      </c>
      <c r="H788" s="11">
        <f>MIN(in_approval_cap,in_approved_first*INDEX('Age profile'!$O$2:$O$61,B788)*(1+in_approval_growth)^(D788-1))</f>
        <v/>
      </c>
      <c r="I788" s="45">
        <f>G788*MIN(in_takeup_cap,INDEX('Age profile'!$O$2:$O$61,B788)*(1+in_approval_growth)^(D788-1))</f>
        <v/>
      </c>
      <c r="J788" s="40">
        <f>(J787-L787)*F788/F787</f>
        <v/>
      </c>
      <c r="K788" s="40">
        <f>(K787-M787)*F788/F787+SUMIFS(O751:O787,B751:B787,B788-1-d_T)*F788</f>
        <v/>
      </c>
      <c r="L788" s="40">
        <f>IF(B788&gt;=in_marketplace_from,J788*d_hz*G788*in_eligible*H788,0)</f>
        <v/>
      </c>
      <c r="M788" s="40">
        <f>IF(B788&gt;=in_marketplace_from,K788*d_hz*G788*in_eligible*in_approved_repeat,0)</f>
        <v/>
      </c>
      <c r="N788" s="40">
        <f>L788+M788</f>
        <v/>
      </c>
      <c r="O788" s="46">
        <f>N788/F788</f>
        <v/>
      </c>
      <c r="P788" s="40">
        <f>F788-J788-K788</f>
        <v/>
      </c>
      <c r="Q788" s="40">
        <f>IF(B788&gt;=in_marketplace_from,(J788+K788)*d_hz*G788,0)</f>
        <v/>
      </c>
      <c r="R788" s="40">
        <f>SUMIFS(N751:N796,B751:B796,"&gt;="&amp;(B788-d_T),B751:B796,"&lt;="&amp;(B788-1))</f>
        <v/>
      </c>
      <c r="S788" s="46">
        <f>(1-d_u)*S787+IF(d_T&gt;in_topup_lag,SUMIFS(O751:O796,B751:B796,B788-in_topup_lag)-d_udrop*SUMIFS(O751:O796,B751:B796,B788-d_T),0)</f>
        <v/>
      </c>
      <c r="T788" s="40">
        <f>F788*d_u*S788</f>
        <v/>
      </c>
      <c r="U788" s="9">
        <f>L788*in_ticket+M788*d_rep_ticket</f>
        <v/>
      </c>
      <c r="V788" s="9">
        <f>U788+T788*d_topup_amt</f>
        <v/>
      </c>
      <c r="W788" s="40">
        <f>N788+T788*d_topup_ratio</f>
        <v/>
      </c>
      <c r="X788" s="40">
        <f>SUMIFS(W751:W796,B751:B796,B788-in_dpd_lag)*d_cured</f>
        <v/>
      </c>
      <c r="Y788" s="40">
        <f>SUMIFS(W751:W796,B751:B796,B788-in_rec_lag)*d_recd</f>
        <v/>
      </c>
      <c r="Z788" s="40">
        <f>IF(AND(B788&gt;=in_marketplace_from,B788&lt;in_marketplace_from+in_card_months),in_card_share/in_card_months*F788*I788,IF(AND(B788&gt;=in_marketplace_from+in_card_months,B788&lt;in_marketplace_from+2*in_card_months),in_card_share*d_card_rem/in_card_months*F788*MIN(in_takeup_cap,(1+in_takeup_growth)^(D788-1))*MIN(in_takeup_cap,(1+in_approval_growth)^(D788-1)),0))</f>
        <v/>
      </c>
      <c r="AA788" s="14">
        <f>V788*in_fee*(1-in_taken_back)</f>
        <v/>
      </c>
      <c r="AB788" s="14">
        <f>SUMIFS(W751:W796,B751:B796,B788-in_dpd_lag)*d_dpd</f>
        <v/>
      </c>
      <c r="AC788" s="14">
        <f>SUMIFS(W751:W796,B751:B796,B788-in_rec_lag)*d_rec</f>
        <v/>
      </c>
      <c r="AD788" s="14">
        <f>Z788*in_card_fee</f>
        <v/>
      </c>
      <c r="AE788" s="40">
        <f>AE787*(1-IF(B787&gt;=in_marketplace_from,d_hz_hlth_small*G787,0))</f>
        <v/>
      </c>
      <c r="AF788" s="46">
        <f>AE788*IF(B788&gt;=in_marketplace_from,d_hz_hlth_small*G788,0)</f>
        <v/>
      </c>
      <c r="AG788" s="14">
        <f>F788*AF788*in_hlth_small_ticket*in_hlth_small_comm*in_ins_partner_share+F788*in_hlth_small_ticket*in_hlth_small_renew_comm*in_ins_partner_share*(in_hlth_small_renew^1*SUMIFS(AF751:AF796,B751:B796,B788-12)+in_hlth_small_renew^2*SUMIFS(AF751:AF796,B751:B796,B788-24)+in_hlth_small_renew^3*SUMIFS(AF751:AF796,B751:B796,B788-36)+in_hlth_small_renew^4*SUMIFS(AF751:AF796,B751:B796,B788-48))</f>
        <v/>
      </c>
      <c r="AH788" s="40">
        <f>AH787*(1-IF(B787&gt;=in_marketplace_from,d_hz_hlth_family*G787,0))</f>
        <v/>
      </c>
      <c r="AI788" s="46">
        <f>AH788*IF(B788&gt;=in_marketplace_from,d_hz_hlth_family*G788,0)</f>
        <v/>
      </c>
      <c r="AJ788" s="14">
        <f>F788*AI788*in_hlth_family_ticket*in_hlth_family_comm*in_ins_partner_share+F788*in_hlth_family_ticket*in_hlth_family_renew_comm*in_ins_partner_share*(in_hlth_family_renew^1*SUMIFS(AI751:AI796,B751:B796,B788-12)+in_hlth_family_renew^2*SUMIFS(AI751:AI796,B751:B796,B788-24)+in_hlth_family_renew^3*SUMIFS(AI751:AI796,B751:B796,B788-36)+in_hlth_family_renew^4*SUMIFS(AI751:AI796,B751:B796,B788-48))</f>
        <v/>
      </c>
      <c r="AK788" s="40">
        <f>AK787*(1-IF(B787&gt;=in_marketplace_from,d_hz_life_term*G787,0))</f>
        <v/>
      </c>
      <c r="AL788" s="46">
        <f>AK788*IF(B788&gt;=in_marketplace_from,d_hz_life_term*G788,0)</f>
        <v/>
      </c>
      <c r="AM788" s="14">
        <f>F788*AL788*in_life_term_ticket*in_life_term_comm*in_ins_partner_share+F788*in_life_term_ticket*in_life_term_renew_comm*in_ins_partner_share*(in_life_term_renew^1*SUMIFS(AL751:AL796,B751:B796,B788-12)+in_life_term_renew^2*SUMIFS(AL751:AL796,B751:B796,B788-24)+in_life_term_renew^3*SUMIFS(AL751:AL796,B751:B796,B788-36)+in_life_term_renew^4*SUMIFS(AL751:AL796,B751:B796,B788-48))</f>
        <v/>
      </c>
      <c r="AN788" s="40">
        <f>AN787*(1-IF(B787&gt;=in_marketplace_from,d_hz_accident*G787,0))</f>
        <v/>
      </c>
      <c r="AO788" s="46">
        <f>AN788*IF(B788&gt;=in_marketplace_from,d_hz_accident*G788,0)</f>
        <v/>
      </c>
      <c r="AP788" s="14">
        <f>F788*AO788*in_accident_ticket*in_accident_comm*in_ins_partner_share+F788*in_accident_ticket*in_accident_renew_comm*in_ins_partner_share*(in_accident_renew^1*SUMIFS(AO751:AO796,B751:B796,B788-12)+in_accident_renew^2*SUMIFS(AO751:AO796,B751:B796,B788-24)+in_accident_renew^3*SUMIFS(AO751:AO796,B751:B796,B788-36)+in_accident_renew^4*SUMIFS(AO751:AO796,B751:B796,B788-48))</f>
        <v/>
      </c>
      <c r="AQ788" s="40">
        <f>AQ787*(1-IF(B787&gt;=in_marketplace_from,d_hz_two_wheeler*G787,0))</f>
        <v/>
      </c>
      <c r="AR788" s="46">
        <f>AQ788*IF(B788&gt;=in_marketplace_from,d_hz_two_wheeler*G788,0)</f>
        <v/>
      </c>
      <c r="AS788" s="14">
        <f>F788*AR788*in_two_wheeler_ticket*in_two_wheeler_comm*in_ins_partner_share+F788*in_two_wheeler_ticket*in_two_wheeler_comm*in_ins_partner_share*(in_two_wheeler_renew^1*SUMIFS(AR751:AR796,B751:B796,B788-12)+in_two_wheeler_renew^2*SUMIFS(AR751:AR796,B751:B796,B788-24)+in_two_wheeler_renew^3*SUMIFS(AR751:AR796,B751:B796,B788-36)+in_two_wheeler_renew^4*SUMIFS(AR751:AR796,B751:B796,B788-48))</f>
        <v/>
      </c>
      <c r="AT788" s="40">
        <f>AT787*(1-IF(B787&gt;=in_marketplace_from,d_hz_device*G787,0))</f>
        <v/>
      </c>
      <c r="AU788" s="14">
        <f>F788*AT788*IF(B788&gt;=in_marketplace_from,d_hz_device*G788,0)*in_device_ticket*in_device_comm*in_ins_partner_share</f>
        <v/>
      </c>
      <c r="AV788" s="40">
        <f>AV787*(1-IF(B787&gt;=in_marketplace_from,d_hz_shop*G787,0))</f>
        <v/>
      </c>
      <c r="AW788" s="46">
        <f>AV788*IF(B788&gt;=in_marketplace_from,d_hz_shop*G788,0)</f>
        <v/>
      </c>
      <c r="AX788" s="14">
        <f>F788*AW788*in_shop_ticket*in_shop_comm*in_ins_partner_share+F788*in_shop_ticket*in_shop_renew_comm*in_ins_partner_share*(in_shop_renew^1*SUMIFS(AW751:AW796,B751:B796,B788-12)+in_shop_renew^2*SUMIFS(AW751:AW796,B751:B796,B788-24)+in_shop_renew^3*SUMIFS(AW751:AW796,B751:B796,B788-36)+in_shop_renew^4*SUMIFS(AW751:AW796,B751:B796,B788-48))</f>
        <v/>
      </c>
      <c r="AY788" s="40">
        <f>AY787*(1-IF(B787&gt;=in_marketplace_from,d_hz_sip*G787,0))</f>
        <v/>
      </c>
      <c r="AZ788" s="40">
        <f>AZ787*d_rho_sip+AY788*IF(B788&gt;=in_marketplace_from,d_hz_sip*G788,0)</f>
        <v/>
      </c>
      <c r="BA788" s="40">
        <f>d_rho_sip*(BA787+AZ787)</f>
        <v/>
      </c>
      <c r="BB788" s="14">
        <f>F788*in_sip_ticket*(BA788+0.5*AZ788)*in_sip_comm/12</f>
        <v/>
      </c>
      <c r="BC788" s="40">
        <f>BC787*(1-IF(B787&gt;=in_marketplace_from,d_hz_choti*G787,0))</f>
        <v/>
      </c>
      <c r="BD788" s="46">
        <f>BC788*IF(B788&gt;=in_marketplace_from,d_hz_choti*G788,0)</f>
        <v/>
      </c>
      <c r="BE788" s="14">
        <f>F788*SUMIFS(BD751:BD796,B751:B796,B788-in_choti_months)*in_choti_renew*in_choti_ticket</f>
        <v/>
      </c>
      <c r="BF788" s="40">
        <f>BF787*(1-IF(B787&gt;=in_marketplace_from,d_hz_nps*G787,0))</f>
        <v/>
      </c>
      <c r="BG788" s="14">
        <f>F788*BF788*IF(B788&gt;=in_marketplace_from,d_hz_nps*G788,0)*in_nps_ticket*in_nps_comm</f>
        <v/>
      </c>
      <c r="BH788" s="40">
        <f>BH787*(1-IF(B787&gt;=in_marketplace_from,d_hz_gold*G787,0))</f>
        <v/>
      </c>
      <c r="BI788" s="40">
        <f>BI787*d_rho_gold+BH788*IF(B788&gt;=in_marketplace_from,d_hz_gold*G788,0)</f>
        <v/>
      </c>
      <c r="BJ788" s="14">
        <f>F788*BI788*in_gold_ticket*in_gold_comm</f>
        <v/>
      </c>
      <c r="BK788" s="40">
        <f>BK787*(1-IF(B787&gt;=in_marketplace_from,d_hz_fd*G787,0))</f>
        <v/>
      </c>
      <c r="BL788" s="14">
        <f>F788*BK788*IF(B788&gt;=in_marketplace_from,d_hz_fd*G788,0)*in_fd_ticket*in_fd_comm</f>
        <v/>
      </c>
      <c r="BM788" s="40">
        <f>BM787*(1-IF(B787&gt;=in_marketplace_from,d_hz_recharge*G787,0))</f>
        <v/>
      </c>
      <c r="BN788" s="40">
        <f>BN787*d_rho_recharge+BM788*IF(B788&gt;=in_marketplace_from,d_hz_recharge*G788,0)</f>
        <v/>
      </c>
      <c r="BO788" s="14">
        <f>F788*BN788*in_recharge_ticket*in_recharge_comm/12</f>
        <v/>
      </c>
      <c r="BP788" s="40">
        <f>BP787*(1-IF(B787&gt;=in_marketplace_from,d_hz_bills*G787,0))</f>
        <v/>
      </c>
      <c r="BQ788" s="40">
        <f>BQ787*d_rho_bills+BP788*IF(B788&gt;=in_marketplace_from,d_hz_bills*G788,0)</f>
        <v/>
      </c>
      <c r="BR788" s="14">
        <f>F788*BQ788*in_bills_ticket*in_bills_comm/12</f>
        <v/>
      </c>
      <c r="BS788" s="40">
        <f>BS787*(1-IF(B787&gt;=in_marketplace_from,d_hz_loan_gold*G787,0))</f>
        <v/>
      </c>
      <c r="BT788" s="14">
        <f>F788*BS788*IF(B788&gt;=in_marketplace_from,d_hz_loan_gold*G788,0)*in_loan_gold_ticket*in_loan_gold_comm</f>
        <v/>
      </c>
      <c r="BU788" s="40">
        <f>BU787*(1-IF(B787&gt;=in_marketplace_from,d_hz_loan_cd*G787,0))</f>
        <v/>
      </c>
      <c r="BV788" s="14">
        <f>F788*BU788*IF(B788&gt;=in_marketplace_from,d_hz_loan_cd*G788,0)*in_loan_cd_ticket*in_loan_cd_comm</f>
        <v/>
      </c>
      <c r="BW788" s="40">
        <f>BW787*(1-IF(B787&gt;=in_marketplace_from,d_hz_loan_vehicle*G787,0))</f>
        <v/>
      </c>
      <c r="BX788" s="14">
        <f>F788*BW788*IF(B788&gt;=in_marketplace_from,d_hz_loan_vehicle*G788,0)*in_loan_vehicle_ticket*in_loan_vehicle_comm</f>
        <v/>
      </c>
      <c r="BY788" s="40">
        <f>BY787*(1-IF(B787&gt;=in_marketplace_from,d_hz_loan_home*G787,0)*BZ787)</f>
        <v/>
      </c>
      <c r="BZ788" s="11">
        <f>MIN(in_approval_cap,in_loan_home_approval*INDEX('Age profile'!$O$2:$O$61,B788)*(1+in_approval_growth)^(D788-1))</f>
        <v/>
      </c>
      <c r="CA788" s="14">
        <f>F788*BY788*IF(B788&gt;=in_marketplace_from,d_hz_loan_home*G788,0)*BZ788*in_loan_home_ticket*in_loan_home_comm</f>
        <v/>
      </c>
      <c r="CB788" s="40">
        <f>CB787*(1-IF(B787&gt;=in_marketplace_from,d_hz_loan_lap*G787,0)*CC787)</f>
        <v/>
      </c>
      <c r="CC788" s="11">
        <f>MIN(in_approval_cap,in_loan_lap_approval*INDEX('Age profile'!$O$2:$O$61,B788)*(1+in_approval_growth)^(D788-1))</f>
        <v/>
      </c>
      <c r="CD788" s="14">
        <f>F788*CB788*IF(B788&gt;=in_marketplace_from,d_hz_loan_lap*G788,0)*CC788*in_loan_lap_ticket*in_loan_lap_comm</f>
        <v/>
      </c>
      <c r="CE788" s="14">
        <f>AA788+AB788+AC788+AD788+AG788+AJ788+AM788+AP788+AS788+AU788+AX788+BB788+BE788+BG788+BJ788+BL788+BO788+BR788+BT788+BV788+BX788+CA788+CD788</f>
        <v/>
      </c>
    </row>
    <row r="789">
      <c r="A789" s="39" t="n">
        <v>15</v>
      </c>
      <c r="B789" s="39" t="n">
        <v>39</v>
      </c>
      <c r="C789" s="39">
        <f>A789+B789-1</f>
        <v/>
      </c>
      <c r="D789" s="39">
        <f>INT((C789-1)/12)+1</f>
        <v/>
      </c>
      <c r="E789" s="44">
        <f>INDEX(Monthly!$B$2:$B$61,A789)</f>
        <v/>
      </c>
      <c r="F789" s="44">
        <f>E789*INDEX('Age profile'!$B$2:$B$61,B789)</f>
        <v/>
      </c>
      <c r="G789" s="45">
        <f>MIN(in_takeup_cap,INDEX('Age profile'!$N$2:$N$61,B789)*(1+in_takeup_growth)^(D789-1))</f>
        <v/>
      </c>
      <c r="H789" s="11">
        <f>MIN(in_approval_cap,in_approved_first*INDEX('Age profile'!$O$2:$O$61,B789)*(1+in_approval_growth)^(D789-1))</f>
        <v/>
      </c>
      <c r="I789" s="45">
        <f>G789*MIN(in_takeup_cap,INDEX('Age profile'!$O$2:$O$61,B789)*(1+in_approval_growth)^(D789-1))</f>
        <v/>
      </c>
      <c r="J789" s="40">
        <f>(J788-L788)*F789/F788</f>
        <v/>
      </c>
      <c r="K789" s="40">
        <f>(K788-M788)*F789/F788+SUMIFS(O751:O788,B751:B788,B789-1-d_T)*F789</f>
        <v/>
      </c>
      <c r="L789" s="40">
        <f>IF(B789&gt;=in_marketplace_from,J789*d_hz*G789*in_eligible*H789,0)</f>
        <v/>
      </c>
      <c r="M789" s="40">
        <f>IF(B789&gt;=in_marketplace_from,K789*d_hz*G789*in_eligible*in_approved_repeat,0)</f>
        <v/>
      </c>
      <c r="N789" s="40">
        <f>L789+M789</f>
        <v/>
      </c>
      <c r="O789" s="46">
        <f>N789/F789</f>
        <v/>
      </c>
      <c r="P789" s="40">
        <f>F789-J789-K789</f>
        <v/>
      </c>
      <c r="Q789" s="40">
        <f>IF(B789&gt;=in_marketplace_from,(J789+K789)*d_hz*G789,0)</f>
        <v/>
      </c>
      <c r="R789" s="40">
        <f>SUMIFS(N751:N796,B751:B796,"&gt;="&amp;(B789-d_T),B751:B796,"&lt;="&amp;(B789-1))</f>
        <v/>
      </c>
      <c r="S789" s="46">
        <f>(1-d_u)*S788+IF(d_T&gt;in_topup_lag,SUMIFS(O751:O796,B751:B796,B789-in_topup_lag)-d_udrop*SUMIFS(O751:O796,B751:B796,B789-d_T),0)</f>
        <v/>
      </c>
      <c r="T789" s="40">
        <f>F789*d_u*S789</f>
        <v/>
      </c>
      <c r="U789" s="9">
        <f>L789*in_ticket+M789*d_rep_ticket</f>
        <v/>
      </c>
      <c r="V789" s="9">
        <f>U789+T789*d_topup_amt</f>
        <v/>
      </c>
      <c r="W789" s="40">
        <f>N789+T789*d_topup_ratio</f>
        <v/>
      </c>
      <c r="X789" s="40">
        <f>SUMIFS(W751:W796,B751:B796,B789-in_dpd_lag)*d_cured</f>
        <v/>
      </c>
      <c r="Y789" s="40">
        <f>SUMIFS(W751:W796,B751:B796,B789-in_rec_lag)*d_recd</f>
        <v/>
      </c>
      <c r="Z789" s="40">
        <f>IF(AND(B789&gt;=in_marketplace_from,B789&lt;in_marketplace_from+in_card_months),in_card_share/in_card_months*F789*I789,IF(AND(B789&gt;=in_marketplace_from+in_card_months,B789&lt;in_marketplace_from+2*in_card_months),in_card_share*d_card_rem/in_card_months*F789*MIN(in_takeup_cap,(1+in_takeup_growth)^(D789-1))*MIN(in_takeup_cap,(1+in_approval_growth)^(D789-1)),0))</f>
        <v/>
      </c>
      <c r="AA789" s="14">
        <f>V789*in_fee*(1-in_taken_back)</f>
        <v/>
      </c>
      <c r="AB789" s="14">
        <f>SUMIFS(W751:W796,B751:B796,B789-in_dpd_lag)*d_dpd</f>
        <v/>
      </c>
      <c r="AC789" s="14">
        <f>SUMIFS(W751:W796,B751:B796,B789-in_rec_lag)*d_rec</f>
        <v/>
      </c>
      <c r="AD789" s="14">
        <f>Z789*in_card_fee</f>
        <v/>
      </c>
      <c r="AE789" s="40">
        <f>AE788*(1-IF(B788&gt;=in_marketplace_from,d_hz_hlth_small*G788,0))</f>
        <v/>
      </c>
      <c r="AF789" s="46">
        <f>AE789*IF(B789&gt;=in_marketplace_from,d_hz_hlth_small*G789,0)</f>
        <v/>
      </c>
      <c r="AG789" s="14">
        <f>F789*AF789*in_hlth_small_ticket*in_hlth_small_comm*in_ins_partner_share+F789*in_hlth_small_ticket*in_hlth_small_renew_comm*in_ins_partner_share*(in_hlth_small_renew^1*SUMIFS(AF751:AF796,B751:B796,B789-12)+in_hlth_small_renew^2*SUMIFS(AF751:AF796,B751:B796,B789-24)+in_hlth_small_renew^3*SUMIFS(AF751:AF796,B751:B796,B789-36)+in_hlth_small_renew^4*SUMIFS(AF751:AF796,B751:B796,B789-48))</f>
        <v/>
      </c>
      <c r="AH789" s="40">
        <f>AH788*(1-IF(B788&gt;=in_marketplace_from,d_hz_hlth_family*G788,0))</f>
        <v/>
      </c>
      <c r="AI789" s="46">
        <f>AH789*IF(B789&gt;=in_marketplace_from,d_hz_hlth_family*G789,0)</f>
        <v/>
      </c>
      <c r="AJ789" s="14">
        <f>F789*AI789*in_hlth_family_ticket*in_hlth_family_comm*in_ins_partner_share+F789*in_hlth_family_ticket*in_hlth_family_renew_comm*in_ins_partner_share*(in_hlth_family_renew^1*SUMIFS(AI751:AI796,B751:B796,B789-12)+in_hlth_family_renew^2*SUMIFS(AI751:AI796,B751:B796,B789-24)+in_hlth_family_renew^3*SUMIFS(AI751:AI796,B751:B796,B789-36)+in_hlth_family_renew^4*SUMIFS(AI751:AI796,B751:B796,B789-48))</f>
        <v/>
      </c>
      <c r="AK789" s="40">
        <f>AK788*(1-IF(B788&gt;=in_marketplace_from,d_hz_life_term*G788,0))</f>
        <v/>
      </c>
      <c r="AL789" s="46">
        <f>AK789*IF(B789&gt;=in_marketplace_from,d_hz_life_term*G789,0)</f>
        <v/>
      </c>
      <c r="AM789" s="14">
        <f>F789*AL789*in_life_term_ticket*in_life_term_comm*in_ins_partner_share+F789*in_life_term_ticket*in_life_term_renew_comm*in_ins_partner_share*(in_life_term_renew^1*SUMIFS(AL751:AL796,B751:B796,B789-12)+in_life_term_renew^2*SUMIFS(AL751:AL796,B751:B796,B789-24)+in_life_term_renew^3*SUMIFS(AL751:AL796,B751:B796,B789-36)+in_life_term_renew^4*SUMIFS(AL751:AL796,B751:B796,B789-48))</f>
        <v/>
      </c>
      <c r="AN789" s="40">
        <f>AN788*(1-IF(B788&gt;=in_marketplace_from,d_hz_accident*G788,0))</f>
        <v/>
      </c>
      <c r="AO789" s="46">
        <f>AN789*IF(B789&gt;=in_marketplace_from,d_hz_accident*G789,0)</f>
        <v/>
      </c>
      <c r="AP789" s="14">
        <f>F789*AO789*in_accident_ticket*in_accident_comm*in_ins_partner_share+F789*in_accident_ticket*in_accident_renew_comm*in_ins_partner_share*(in_accident_renew^1*SUMIFS(AO751:AO796,B751:B796,B789-12)+in_accident_renew^2*SUMIFS(AO751:AO796,B751:B796,B789-24)+in_accident_renew^3*SUMIFS(AO751:AO796,B751:B796,B789-36)+in_accident_renew^4*SUMIFS(AO751:AO796,B751:B796,B789-48))</f>
        <v/>
      </c>
      <c r="AQ789" s="40">
        <f>AQ788*(1-IF(B788&gt;=in_marketplace_from,d_hz_two_wheeler*G788,0))</f>
        <v/>
      </c>
      <c r="AR789" s="46">
        <f>AQ789*IF(B789&gt;=in_marketplace_from,d_hz_two_wheeler*G789,0)</f>
        <v/>
      </c>
      <c r="AS789" s="14">
        <f>F789*AR789*in_two_wheeler_ticket*in_two_wheeler_comm*in_ins_partner_share+F789*in_two_wheeler_ticket*in_two_wheeler_comm*in_ins_partner_share*(in_two_wheeler_renew^1*SUMIFS(AR751:AR796,B751:B796,B789-12)+in_two_wheeler_renew^2*SUMIFS(AR751:AR796,B751:B796,B789-24)+in_two_wheeler_renew^3*SUMIFS(AR751:AR796,B751:B796,B789-36)+in_two_wheeler_renew^4*SUMIFS(AR751:AR796,B751:B796,B789-48))</f>
        <v/>
      </c>
      <c r="AT789" s="40">
        <f>AT788*(1-IF(B788&gt;=in_marketplace_from,d_hz_device*G788,0))</f>
        <v/>
      </c>
      <c r="AU789" s="14">
        <f>F789*AT789*IF(B789&gt;=in_marketplace_from,d_hz_device*G789,0)*in_device_ticket*in_device_comm*in_ins_partner_share</f>
        <v/>
      </c>
      <c r="AV789" s="40">
        <f>AV788*(1-IF(B788&gt;=in_marketplace_from,d_hz_shop*G788,0))</f>
        <v/>
      </c>
      <c r="AW789" s="46">
        <f>AV789*IF(B789&gt;=in_marketplace_from,d_hz_shop*G789,0)</f>
        <v/>
      </c>
      <c r="AX789" s="14">
        <f>F789*AW789*in_shop_ticket*in_shop_comm*in_ins_partner_share+F789*in_shop_ticket*in_shop_renew_comm*in_ins_partner_share*(in_shop_renew^1*SUMIFS(AW751:AW796,B751:B796,B789-12)+in_shop_renew^2*SUMIFS(AW751:AW796,B751:B796,B789-24)+in_shop_renew^3*SUMIFS(AW751:AW796,B751:B796,B789-36)+in_shop_renew^4*SUMIFS(AW751:AW796,B751:B796,B789-48))</f>
        <v/>
      </c>
      <c r="AY789" s="40">
        <f>AY788*(1-IF(B788&gt;=in_marketplace_from,d_hz_sip*G788,0))</f>
        <v/>
      </c>
      <c r="AZ789" s="40">
        <f>AZ788*d_rho_sip+AY789*IF(B789&gt;=in_marketplace_from,d_hz_sip*G789,0)</f>
        <v/>
      </c>
      <c r="BA789" s="40">
        <f>d_rho_sip*(BA788+AZ788)</f>
        <v/>
      </c>
      <c r="BB789" s="14">
        <f>F789*in_sip_ticket*(BA789+0.5*AZ789)*in_sip_comm/12</f>
        <v/>
      </c>
      <c r="BC789" s="40">
        <f>BC788*(1-IF(B788&gt;=in_marketplace_from,d_hz_choti*G788,0))</f>
        <v/>
      </c>
      <c r="BD789" s="46">
        <f>BC789*IF(B789&gt;=in_marketplace_from,d_hz_choti*G789,0)</f>
        <v/>
      </c>
      <c r="BE789" s="14">
        <f>F789*SUMIFS(BD751:BD796,B751:B796,B789-in_choti_months)*in_choti_renew*in_choti_ticket</f>
        <v/>
      </c>
      <c r="BF789" s="40">
        <f>BF788*(1-IF(B788&gt;=in_marketplace_from,d_hz_nps*G788,0))</f>
        <v/>
      </c>
      <c r="BG789" s="14">
        <f>F789*BF789*IF(B789&gt;=in_marketplace_from,d_hz_nps*G789,0)*in_nps_ticket*in_nps_comm</f>
        <v/>
      </c>
      <c r="BH789" s="40">
        <f>BH788*(1-IF(B788&gt;=in_marketplace_from,d_hz_gold*G788,0))</f>
        <v/>
      </c>
      <c r="BI789" s="40">
        <f>BI788*d_rho_gold+BH789*IF(B789&gt;=in_marketplace_from,d_hz_gold*G789,0)</f>
        <v/>
      </c>
      <c r="BJ789" s="14">
        <f>F789*BI789*in_gold_ticket*in_gold_comm</f>
        <v/>
      </c>
      <c r="BK789" s="40">
        <f>BK788*(1-IF(B788&gt;=in_marketplace_from,d_hz_fd*G788,0))</f>
        <v/>
      </c>
      <c r="BL789" s="14">
        <f>F789*BK789*IF(B789&gt;=in_marketplace_from,d_hz_fd*G789,0)*in_fd_ticket*in_fd_comm</f>
        <v/>
      </c>
      <c r="BM789" s="40">
        <f>BM788*(1-IF(B788&gt;=in_marketplace_from,d_hz_recharge*G788,0))</f>
        <v/>
      </c>
      <c r="BN789" s="40">
        <f>BN788*d_rho_recharge+BM789*IF(B789&gt;=in_marketplace_from,d_hz_recharge*G789,0)</f>
        <v/>
      </c>
      <c r="BO789" s="14">
        <f>F789*BN789*in_recharge_ticket*in_recharge_comm/12</f>
        <v/>
      </c>
      <c r="BP789" s="40">
        <f>BP788*(1-IF(B788&gt;=in_marketplace_from,d_hz_bills*G788,0))</f>
        <v/>
      </c>
      <c r="BQ789" s="40">
        <f>BQ788*d_rho_bills+BP789*IF(B789&gt;=in_marketplace_from,d_hz_bills*G789,0)</f>
        <v/>
      </c>
      <c r="BR789" s="14">
        <f>F789*BQ789*in_bills_ticket*in_bills_comm/12</f>
        <v/>
      </c>
      <c r="BS789" s="40">
        <f>BS788*(1-IF(B788&gt;=in_marketplace_from,d_hz_loan_gold*G788,0))</f>
        <v/>
      </c>
      <c r="BT789" s="14">
        <f>F789*BS789*IF(B789&gt;=in_marketplace_from,d_hz_loan_gold*G789,0)*in_loan_gold_ticket*in_loan_gold_comm</f>
        <v/>
      </c>
      <c r="BU789" s="40">
        <f>BU788*(1-IF(B788&gt;=in_marketplace_from,d_hz_loan_cd*G788,0))</f>
        <v/>
      </c>
      <c r="BV789" s="14">
        <f>F789*BU789*IF(B789&gt;=in_marketplace_from,d_hz_loan_cd*G789,0)*in_loan_cd_ticket*in_loan_cd_comm</f>
        <v/>
      </c>
      <c r="BW789" s="40">
        <f>BW788*(1-IF(B788&gt;=in_marketplace_from,d_hz_loan_vehicle*G788,0))</f>
        <v/>
      </c>
      <c r="BX789" s="14">
        <f>F789*BW789*IF(B789&gt;=in_marketplace_from,d_hz_loan_vehicle*G789,0)*in_loan_vehicle_ticket*in_loan_vehicle_comm</f>
        <v/>
      </c>
      <c r="BY789" s="40">
        <f>BY788*(1-IF(B788&gt;=in_marketplace_from,d_hz_loan_home*G788,0)*BZ788)</f>
        <v/>
      </c>
      <c r="BZ789" s="11">
        <f>MIN(in_approval_cap,in_loan_home_approval*INDEX('Age profile'!$O$2:$O$61,B789)*(1+in_approval_growth)^(D789-1))</f>
        <v/>
      </c>
      <c r="CA789" s="14">
        <f>F789*BY789*IF(B789&gt;=in_marketplace_from,d_hz_loan_home*G789,0)*BZ789*in_loan_home_ticket*in_loan_home_comm</f>
        <v/>
      </c>
      <c r="CB789" s="40">
        <f>CB788*(1-IF(B788&gt;=in_marketplace_from,d_hz_loan_lap*G788,0)*CC788)</f>
        <v/>
      </c>
      <c r="CC789" s="11">
        <f>MIN(in_approval_cap,in_loan_lap_approval*INDEX('Age profile'!$O$2:$O$61,B789)*(1+in_approval_growth)^(D789-1))</f>
        <v/>
      </c>
      <c r="CD789" s="14">
        <f>F789*CB789*IF(B789&gt;=in_marketplace_from,d_hz_loan_lap*G789,0)*CC789*in_loan_lap_ticket*in_loan_lap_comm</f>
        <v/>
      </c>
      <c r="CE789" s="14">
        <f>AA789+AB789+AC789+AD789+AG789+AJ789+AM789+AP789+AS789+AU789+AX789+BB789+BE789+BG789+BJ789+BL789+BO789+BR789+BT789+BV789+BX789+CA789+CD789</f>
        <v/>
      </c>
    </row>
    <row r="790">
      <c r="A790" s="39" t="n">
        <v>15</v>
      </c>
      <c r="B790" s="39" t="n">
        <v>40</v>
      </c>
      <c r="C790" s="39">
        <f>A790+B790-1</f>
        <v/>
      </c>
      <c r="D790" s="39">
        <f>INT((C790-1)/12)+1</f>
        <v/>
      </c>
      <c r="E790" s="44">
        <f>INDEX(Monthly!$B$2:$B$61,A790)</f>
        <v/>
      </c>
      <c r="F790" s="44">
        <f>E790*INDEX('Age profile'!$B$2:$B$61,B790)</f>
        <v/>
      </c>
      <c r="G790" s="45">
        <f>MIN(in_takeup_cap,INDEX('Age profile'!$N$2:$N$61,B790)*(1+in_takeup_growth)^(D790-1))</f>
        <v/>
      </c>
      <c r="H790" s="11">
        <f>MIN(in_approval_cap,in_approved_first*INDEX('Age profile'!$O$2:$O$61,B790)*(1+in_approval_growth)^(D790-1))</f>
        <v/>
      </c>
      <c r="I790" s="45">
        <f>G790*MIN(in_takeup_cap,INDEX('Age profile'!$O$2:$O$61,B790)*(1+in_approval_growth)^(D790-1))</f>
        <v/>
      </c>
      <c r="J790" s="40">
        <f>(J789-L789)*F790/F789</f>
        <v/>
      </c>
      <c r="K790" s="40">
        <f>(K789-M789)*F790/F789+SUMIFS(O751:O789,B751:B789,B790-1-d_T)*F790</f>
        <v/>
      </c>
      <c r="L790" s="40">
        <f>IF(B790&gt;=in_marketplace_from,J790*d_hz*G790*in_eligible*H790,0)</f>
        <v/>
      </c>
      <c r="M790" s="40">
        <f>IF(B790&gt;=in_marketplace_from,K790*d_hz*G790*in_eligible*in_approved_repeat,0)</f>
        <v/>
      </c>
      <c r="N790" s="40">
        <f>L790+M790</f>
        <v/>
      </c>
      <c r="O790" s="46">
        <f>N790/F790</f>
        <v/>
      </c>
      <c r="P790" s="40">
        <f>F790-J790-K790</f>
        <v/>
      </c>
      <c r="Q790" s="40">
        <f>IF(B790&gt;=in_marketplace_from,(J790+K790)*d_hz*G790,0)</f>
        <v/>
      </c>
      <c r="R790" s="40">
        <f>SUMIFS(N751:N796,B751:B796,"&gt;="&amp;(B790-d_T),B751:B796,"&lt;="&amp;(B790-1))</f>
        <v/>
      </c>
      <c r="S790" s="46">
        <f>(1-d_u)*S789+IF(d_T&gt;in_topup_lag,SUMIFS(O751:O796,B751:B796,B790-in_topup_lag)-d_udrop*SUMIFS(O751:O796,B751:B796,B790-d_T),0)</f>
        <v/>
      </c>
      <c r="T790" s="40">
        <f>F790*d_u*S790</f>
        <v/>
      </c>
      <c r="U790" s="9">
        <f>L790*in_ticket+M790*d_rep_ticket</f>
        <v/>
      </c>
      <c r="V790" s="9">
        <f>U790+T790*d_topup_amt</f>
        <v/>
      </c>
      <c r="W790" s="40">
        <f>N790+T790*d_topup_ratio</f>
        <v/>
      </c>
      <c r="X790" s="40">
        <f>SUMIFS(W751:W796,B751:B796,B790-in_dpd_lag)*d_cured</f>
        <v/>
      </c>
      <c r="Y790" s="40">
        <f>SUMIFS(W751:W796,B751:B796,B790-in_rec_lag)*d_recd</f>
        <v/>
      </c>
      <c r="Z790" s="40">
        <f>IF(AND(B790&gt;=in_marketplace_from,B790&lt;in_marketplace_from+in_card_months),in_card_share/in_card_months*F790*I790,IF(AND(B790&gt;=in_marketplace_from+in_card_months,B790&lt;in_marketplace_from+2*in_card_months),in_card_share*d_card_rem/in_card_months*F790*MIN(in_takeup_cap,(1+in_takeup_growth)^(D790-1))*MIN(in_takeup_cap,(1+in_approval_growth)^(D790-1)),0))</f>
        <v/>
      </c>
      <c r="AA790" s="14">
        <f>V790*in_fee*(1-in_taken_back)</f>
        <v/>
      </c>
      <c r="AB790" s="14">
        <f>SUMIFS(W751:W796,B751:B796,B790-in_dpd_lag)*d_dpd</f>
        <v/>
      </c>
      <c r="AC790" s="14">
        <f>SUMIFS(W751:W796,B751:B796,B790-in_rec_lag)*d_rec</f>
        <v/>
      </c>
      <c r="AD790" s="14">
        <f>Z790*in_card_fee</f>
        <v/>
      </c>
      <c r="AE790" s="40">
        <f>AE789*(1-IF(B789&gt;=in_marketplace_from,d_hz_hlth_small*G789,0))</f>
        <v/>
      </c>
      <c r="AF790" s="46">
        <f>AE790*IF(B790&gt;=in_marketplace_from,d_hz_hlth_small*G790,0)</f>
        <v/>
      </c>
      <c r="AG790" s="14">
        <f>F790*AF790*in_hlth_small_ticket*in_hlth_small_comm*in_ins_partner_share+F790*in_hlth_small_ticket*in_hlth_small_renew_comm*in_ins_partner_share*(in_hlth_small_renew^1*SUMIFS(AF751:AF796,B751:B796,B790-12)+in_hlth_small_renew^2*SUMIFS(AF751:AF796,B751:B796,B790-24)+in_hlth_small_renew^3*SUMIFS(AF751:AF796,B751:B796,B790-36)+in_hlth_small_renew^4*SUMIFS(AF751:AF796,B751:B796,B790-48))</f>
        <v/>
      </c>
      <c r="AH790" s="40">
        <f>AH789*(1-IF(B789&gt;=in_marketplace_from,d_hz_hlth_family*G789,0))</f>
        <v/>
      </c>
      <c r="AI790" s="46">
        <f>AH790*IF(B790&gt;=in_marketplace_from,d_hz_hlth_family*G790,0)</f>
        <v/>
      </c>
      <c r="AJ790" s="14">
        <f>F790*AI790*in_hlth_family_ticket*in_hlth_family_comm*in_ins_partner_share+F790*in_hlth_family_ticket*in_hlth_family_renew_comm*in_ins_partner_share*(in_hlth_family_renew^1*SUMIFS(AI751:AI796,B751:B796,B790-12)+in_hlth_family_renew^2*SUMIFS(AI751:AI796,B751:B796,B790-24)+in_hlth_family_renew^3*SUMIFS(AI751:AI796,B751:B796,B790-36)+in_hlth_family_renew^4*SUMIFS(AI751:AI796,B751:B796,B790-48))</f>
        <v/>
      </c>
      <c r="AK790" s="40">
        <f>AK789*(1-IF(B789&gt;=in_marketplace_from,d_hz_life_term*G789,0))</f>
        <v/>
      </c>
      <c r="AL790" s="46">
        <f>AK790*IF(B790&gt;=in_marketplace_from,d_hz_life_term*G790,0)</f>
        <v/>
      </c>
      <c r="AM790" s="14">
        <f>F790*AL790*in_life_term_ticket*in_life_term_comm*in_ins_partner_share+F790*in_life_term_ticket*in_life_term_renew_comm*in_ins_partner_share*(in_life_term_renew^1*SUMIFS(AL751:AL796,B751:B796,B790-12)+in_life_term_renew^2*SUMIFS(AL751:AL796,B751:B796,B790-24)+in_life_term_renew^3*SUMIFS(AL751:AL796,B751:B796,B790-36)+in_life_term_renew^4*SUMIFS(AL751:AL796,B751:B796,B790-48))</f>
        <v/>
      </c>
      <c r="AN790" s="40">
        <f>AN789*(1-IF(B789&gt;=in_marketplace_from,d_hz_accident*G789,0))</f>
        <v/>
      </c>
      <c r="AO790" s="46">
        <f>AN790*IF(B790&gt;=in_marketplace_from,d_hz_accident*G790,0)</f>
        <v/>
      </c>
      <c r="AP790" s="14">
        <f>F790*AO790*in_accident_ticket*in_accident_comm*in_ins_partner_share+F790*in_accident_ticket*in_accident_renew_comm*in_ins_partner_share*(in_accident_renew^1*SUMIFS(AO751:AO796,B751:B796,B790-12)+in_accident_renew^2*SUMIFS(AO751:AO796,B751:B796,B790-24)+in_accident_renew^3*SUMIFS(AO751:AO796,B751:B796,B790-36)+in_accident_renew^4*SUMIFS(AO751:AO796,B751:B796,B790-48))</f>
        <v/>
      </c>
      <c r="AQ790" s="40">
        <f>AQ789*(1-IF(B789&gt;=in_marketplace_from,d_hz_two_wheeler*G789,0))</f>
        <v/>
      </c>
      <c r="AR790" s="46">
        <f>AQ790*IF(B790&gt;=in_marketplace_from,d_hz_two_wheeler*G790,0)</f>
        <v/>
      </c>
      <c r="AS790" s="14">
        <f>F790*AR790*in_two_wheeler_ticket*in_two_wheeler_comm*in_ins_partner_share+F790*in_two_wheeler_ticket*in_two_wheeler_comm*in_ins_partner_share*(in_two_wheeler_renew^1*SUMIFS(AR751:AR796,B751:B796,B790-12)+in_two_wheeler_renew^2*SUMIFS(AR751:AR796,B751:B796,B790-24)+in_two_wheeler_renew^3*SUMIFS(AR751:AR796,B751:B796,B790-36)+in_two_wheeler_renew^4*SUMIFS(AR751:AR796,B751:B796,B790-48))</f>
        <v/>
      </c>
      <c r="AT790" s="40">
        <f>AT789*(1-IF(B789&gt;=in_marketplace_from,d_hz_device*G789,0))</f>
        <v/>
      </c>
      <c r="AU790" s="14">
        <f>F790*AT790*IF(B790&gt;=in_marketplace_from,d_hz_device*G790,0)*in_device_ticket*in_device_comm*in_ins_partner_share</f>
        <v/>
      </c>
      <c r="AV790" s="40">
        <f>AV789*(1-IF(B789&gt;=in_marketplace_from,d_hz_shop*G789,0))</f>
        <v/>
      </c>
      <c r="AW790" s="46">
        <f>AV790*IF(B790&gt;=in_marketplace_from,d_hz_shop*G790,0)</f>
        <v/>
      </c>
      <c r="AX790" s="14">
        <f>F790*AW790*in_shop_ticket*in_shop_comm*in_ins_partner_share+F790*in_shop_ticket*in_shop_renew_comm*in_ins_partner_share*(in_shop_renew^1*SUMIFS(AW751:AW796,B751:B796,B790-12)+in_shop_renew^2*SUMIFS(AW751:AW796,B751:B796,B790-24)+in_shop_renew^3*SUMIFS(AW751:AW796,B751:B796,B790-36)+in_shop_renew^4*SUMIFS(AW751:AW796,B751:B796,B790-48))</f>
        <v/>
      </c>
      <c r="AY790" s="40">
        <f>AY789*(1-IF(B789&gt;=in_marketplace_from,d_hz_sip*G789,0))</f>
        <v/>
      </c>
      <c r="AZ790" s="40">
        <f>AZ789*d_rho_sip+AY790*IF(B790&gt;=in_marketplace_from,d_hz_sip*G790,0)</f>
        <v/>
      </c>
      <c r="BA790" s="40">
        <f>d_rho_sip*(BA789+AZ789)</f>
        <v/>
      </c>
      <c r="BB790" s="14">
        <f>F790*in_sip_ticket*(BA790+0.5*AZ790)*in_sip_comm/12</f>
        <v/>
      </c>
      <c r="BC790" s="40">
        <f>BC789*(1-IF(B789&gt;=in_marketplace_from,d_hz_choti*G789,0))</f>
        <v/>
      </c>
      <c r="BD790" s="46">
        <f>BC790*IF(B790&gt;=in_marketplace_from,d_hz_choti*G790,0)</f>
        <v/>
      </c>
      <c r="BE790" s="14">
        <f>F790*SUMIFS(BD751:BD796,B751:B796,B790-in_choti_months)*in_choti_renew*in_choti_ticket</f>
        <v/>
      </c>
      <c r="BF790" s="40">
        <f>BF789*(1-IF(B789&gt;=in_marketplace_from,d_hz_nps*G789,0))</f>
        <v/>
      </c>
      <c r="BG790" s="14">
        <f>F790*BF790*IF(B790&gt;=in_marketplace_from,d_hz_nps*G790,0)*in_nps_ticket*in_nps_comm</f>
        <v/>
      </c>
      <c r="BH790" s="40">
        <f>BH789*(1-IF(B789&gt;=in_marketplace_from,d_hz_gold*G789,0))</f>
        <v/>
      </c>
      <c r="BI790" s="40">
        <f>BI789*d_rho_gold+BH790*IF(B790&gt;=in_marketplace_from,d_hz_gold*G790,0)</f>
        <v/>
      </c>
      <c r="BJ790" s="14">
        <f>F790*BI790*in_gold_ticket*in_gold_comm</f>
        <v/>
      </c>
      <c r="BK790" s="40">
        <f>BK789*(1-IF(B789&gt;=in_marketplace_from,d_hz_fd*G789,0))</f>
        <v/>
      </c>
      <c r="BL790" s="14">
        <f>F790*BK790*IF(B790&gt;=in_marketplace_from,d_hz_fd*G790,0)*in_fd_ticket*in_fd_comm</f>
        <v/>
      </c>
      <c r="BM790" s="40">
        <f>BM789*(1-IF(B789&gt;=in_marketplace_from,d_hz_recharge*G789,0))</f>
        <v/>
      </c>
      <c r="BN790" s="40">
        <f>BN789*d_rho_recharge+BM790*IF(B790&gt;=in_marketplace_from,d_hz_recharge*G790,0)</f>
        <v/>
      </c>
      <c r="BO790" s="14">
        <f>F790*BN790*in_recharge_ticket*in_recharge_comm/12</f>
        <v/>
      </c>
      <c r="BP790" s="40">
        <f>BP789*(1-IF(B789&gt;=in_marketplace_from,d_hz_bills*G789,0))</f>
        <v/>
      </c>
      <c r="BQ790" s="40">
        <f>BQ789*d_rho_bills+BP790*IF(B790&gt;=in_marketplace_from,d_hz_bills*G790,0)</f>
        <v/>
      </c>
      <c r="BR790" s="14">
        <f>F790*BQ790*in_bills_ticket*in_bills_comm/12</f>
        <v/>
      </c>
      <c r="BS790" s="40">
        <f>BS789*(1-IF(B789&gt;=in_marketplace_from,d_hz_loan_gold*G789,0))</f>
        <v/>
      </c>
      <c r="BT790" s="14">
        <f>F790*BS790*IF(B790&gt;=in_marketplace_from,d_hz_loan_gold*G790,0)*in_loan_gold_ticket*in_loan_gold_comm</f>
        <v/>
      </c>
      <c r="BU790" s="40">
        <f>BU789*(1-IF(B789&gt;=in_marketplace_from,d_hz_loan_cd*G789,0))</f>
        <v/>
      </c>
      <c r="BV790" s="14">
        <f>F790*BU790*IF(B790&gt;=in_marketplace_from,d_hz_loan_cd*G790,0)*in_loan_cd_ticket*in_loan_cd_comm</f>
        <v/>
      </c>
      <c r="BW790" s="40">
        <f>BW789*(1-IF(B789&gt;=in_marketplace_from,d_hz_loan_vehicle*G789,0))</f>
        <v/>
      </c>
      <c r="BX790" s="14">
        <f>F790*BW790*IF(B790&gt;=in_marketplace_from,d_hz_loan_vehicle*G790,0)*in_loan_vehicle_ticket*in_loan_vehicle_comm</f>
        <v/>
      </c>
      <c r="BY790" s="40">
        <f>BY789*(1-IF(B789&gt;=in_marketplace_from,d_hz_loan_home*G789,0)*BZ789)</f>
        <v/>
      </c>
      <c r="BZ790" s="11">
        <f>MIN(in_approval_cap,in_loan_home_approval*INDEX('Age profile'!$O$2:$O$61,B790)*(1+in_approval_growth)^(D790-1))</f>
        <v/>
      </c>
      <c r="CA790" s="14">
        <f>F790*BY790*IF(B790&gt;=in_marketplace_from,d_hz_loan_home*G790,0)*BZ790*in_loan_home_ticket*in_loan_home_comm</f>
        <v/>
      </c>
      <c r="CB790" s="40">
        <f>CB789*(1-IF(B789&gt;=in_marketplace_from,d_hz_loan_lap*G789,0)*CC789)</f>
        <v/>
      </c>
      <c r="CC790" s="11">
        <f>MIN(in_approval_cap,in_loan_lap_approval*INDEX('Age profile'!$O$2:$O$61,B790)*(1+in_approval_growth)^(D790-1))</f>
        <v/>
      </c>
      <c r="CD790" s="14">
        <f>F790*CB790*IF(B790&gt;=in_marketplace_from,d_hz_loan_lap*G790,0)*CC790*in_loan_lap_ticket*in_loan_lap_comm</f>
        <v/>
      </c>
      <c r="CE790" s="14">
        <f>AA790+AB790+AC790+AD790+AG790+AJ790+AM790+AP790+AS790+AU790+AX790+BB790+BE790+BG790+BJ790+BL790+BO790+BR790+BT790+BV790+BX790+CA790+CD790</f>
        <v/>
      </c>
    </row>
    <row r="791">
      <c r="A791" s="39" t="n">
        <v>15</v>
      </c>
      <c r="B791" s="39" t="n">
        <v>41</v>
      </c>
      <c r="C791" s="39">
        <f>A791+B791-1</f>
        <v/>
      </c>
      <c r="D791" s="39">
        <f>INT((C791-1)/12)+1</f>
        <v/>
      </c>
      <c r="E791" s="44">
        <f>INDEX(Monthly!$B$2:$B$61,A791)</f>
        <v/>
      </c>
      <c r="F791" s="44">
        <f>E791*INDEX('Age profile'!$B$2:$B$61,B791)</f>
        <v/>
      </c>
      <c r="G791" s="45">
        <f>MIN(in_takeup_cap,INDEX('Age profile'!$N$2:$N$61,B791)*(1+in_takeup_growth)^(D791-1))</f>
        <v/>
      </c>
      <c r="H791" s="11">
        <f>MIN(in_approval_cap,in_approved_first*INDEX('Age profile'!$O$2:$O$61,B791)*(1+in_approval_growth)^(D791-1))</f>
        <v/>
      </c>
      <c r="I791" s="45">
        <f>G791*MIN(in_takeup_cap,INDEX('Age profile'!$O$2:$O$61,B791)*(1+in_approval_growth)^(D791-1))</f>
        <v/>
      </c>
      <c r="J791" s="40">
        <f>(J790-L790)*F791/F790</f>
        <v/>
      </c>
      <c r="K791" s="40">
        <f>(K790-M790)*F791/F790+SUMIFS(O751:O790,B751:B790,B791-1-d_T)*F791</f>
        <v/>
      </c>
      <c r="L791" s="40">
        <f>IF(B791&gt;=in_marketplace_from,J791*d_hz*G791*in_eligible*H791,0)</f>
        <v/>
      </c>
      <c r="M791" s="40">
        <f>IF(B791&gt;=in_marketplace_from,K791*d_hz*G791*in_eligible*in_approved_repeat,0)</f>
        <v/>
      </c>
      <c r="N791" s="40">
        <f>L791+M791</f>
        <v/>
      </c>
      <c r="O791" s="46">
        <f>N791/F791</f>
        <v/>
      </c>
      <c r="P791" s="40">
        <f>F791-J791-K791</f>
        <v/>
      </c>
      <c r="Q791" s="40">
        <f>IF(B791&gt;=in_marketplace_from,(J791+K791)*d_hz*G791,0)</f>
        <v/>
      </c>
      <c r="R791" s="40">
        <f>SUMIFS(N751:N796,B751:B796,"&gt;="&amp;(B791-d_T),B751:B796,"&lt;="&amp;(B791-1))</f>
        <v/>
      </c>
      <c r="S791" s="46">
        <f>(1-d_u)*S790+IF(d_T&gt;in_topup_lag,SUMIFS(O751:O796,B751:B796,B791-in_topup_lag)-d_udrop*SUMIFS(O751:O796,B751:B796,B791-d_T),0)</f>
        <v/>
      </c>
      <c r="T791" s="40">
        <f>F791*d_u*S791</f>
        <v/>
      </c>
      <c r="U791" s="9">
        <f>L791*in_ticket+M791*d_rep_ticket</f>
        <v/>
      </c>
      <c r="V791" s="9">
        <f>U791+T791*d_topup_amt</f>
        <v/>
      </c>
      <c r="W791" s="40">
        <f>N791+T791*d_topup_ratio</f>
        <v/>
      </c>
      <c r="X791" s="40">
        <f>SUMIFS(W751:W796,B751:B796,B791-in_dpd_lag)*d_cured</f>
        <v/>
      </c>
      <c r="Y791" s="40">
        <f>SUMIFS(W751:W796,B751:B796,B791-in_rec_lag)*d_recd</f>
        <v/>
      </c>
      <c r="Z791" s="40">
        <f>IF(AND(B791&gt;=in_marketplace_from,B791&lt;in_marketplace_from+in_card_months),in_card_share/in_card_months*F791*I791,IF(AND(B791&gt;=in_marketplace_from+in_card_months,B791&lt;in_marketplace_from+2*in_card_months),in_card_share*d_card_rem/in_card_months*F791*MIN(in_takeup_cap,(1+in_takeup_growth)^(D791-1))*MIN(in_takeup_cap,(1+in_approval_growth)^(D791-1)),0))</f>
        <v/>
      </c>
      <c r="AA791" s="14">
        <f>V791*in_fee*(1-in_taken_back)</f>
        <v/>
      </c>
      <c r="AB791" s="14">
        <f>SUMIFS(W751:W796,B751:B796,B791-in_dpd_lag)*d_dpd</f>
        <v/>
      </c>
      <c r="AC791" s="14">
        <f>SUMIFS(W751:W796,B751:B796,B791-in_rec_lag)*d_rec</f>
        <v/>
      </c>
      <c r="AD791" s="14">
        <f>Z791*in_card_fee</f>
        <v/>
      </c>
      <c r="AE791" s="40">
        <f>AE790*(1-IF(B790&gt;=in_marketplace_from,d_hz_hlth_small*G790,0))</f>
        <v/>
      </c>
      <c r="AF791" s="46">
        <f>AE791*IF(B791&gt;=in_marketplace_from,d_hz_hlth_small*G791,0)</f>
        <v/>
      </c>
      <c r="AG791" s="14">
        <f>F791*AF791*in_hlth_small_ticket*in_hlth_small_comm*in_ins_partner_share+F791*in_hlth_small_ticket*in_hlth_small_renew_comm*in_ins_partner_share*(in_hlth_small_renew^1*SUMIFS(AF751:AF796,B751:B796,B791-12)+in_hlth_small_renew^2*SUMIFS(AF751:AF796,B751:B796,B791-24)+in_hlth_small_renew^3*SUMIFS(AF751:AF796,B751:B796,B791-36)+in_hlth_small_renew^4*SUMIFS(AF751:AF796,B751:B796,B791-48))</f>
        <v/>
      </c>
      <c r="AH791" s="40">
        <f>AH790*(1-IF(B790&gt;=in_marketplace_from,d_hz_hlth_family*G790,0))</f>
        <v/>
      </c>
      <c r="AI791" s="46">
        <f>AH791*IF(B791&gt;=in_marketplace_from,d_hz_hlth_family*G791,0)</f>
        <v/>
      </c>
      <c r="AJ791" s="14">
        <f>F791*AI791*in_hlth_family_ticket*in_hlth_family_comm*in_ins_partner_share+F791*in_hlth_family_ticket*in_hlth_family_renew_comm*in_ins_partner_share*(in_hlth_family_renew^1*SUMIFS(AI751:AI796,B751:B796,B791-12)+in_hlth_family_renew^2*SUMIFS(AI751:AI796,B751:B796,B791-24)+in_hlth_family_renew^3*SUMIFS(AI751:AI796,B751:B796,B791-36)+in_hlth_family_renew^4*SUMIFS(AI751:AI796,B751:B796,B791-48))</f>
        <v/>
      </c>
      <c r="AK791" s="40">
        <f>AK790*(1-IF(B790&gt;=in_marketplace_from,d_hz_life_term*G790,0))</f>
        <v/>
      </c>
      <c r="AL791" s="46">
        <f>AK791*IF(B791&gt;=in_marketplace_from,d_hz_life_term*G791,0)</f>
        <v/>
      </c>
      <c r="AM791" s="14">
        <f>F791*AL791*in_life_term_ticket*in_life_term_comm*in_ins_partner_share+F791*in_life_term_ticket*in_life_term_renew_comm*in_ins_partner_share*(in_life_term_renew^1*SUMIFS(AL751:AL796,B751:B796,B791-12)+in_life_term_renew^2*SUMIFS(AL751:AL796,B751:B796,B791-24)+in_life_term_renew^3*SUMIFS(AL751:AL796,B751:B796,B791-36)+in_life_term_renew^4*SUMIFS(AL751:AL796,B751:B796,B791-48))</f>
        <v/>
      </c>
      <c r="AN791" s="40">
        <f>AN790*(1-IF(B790&gt;=in_marketplace_from,d_hz_accident*G790,0))</f>
        <v/>
      </c>
      <c r="AO791" s="46">
        <f>AN791*IF(B791&gt;=in_marketplace_from,d_hz_accident*G791,0)</f>
        <v/>
      </c>
      <c r="AP791" s="14">
        <f>F791*AO791*in_accident_ticket*in_accident_comm*in_ins_partner_share+F791*in_accident_ticket*in_accident_renew_comm*in_ins_partner_share*(in_accident_renew^1*SUMIFS(AO751:AO796,B751:B796,B791-12)+in_accident_renew^2*SUMIFS(AO751:AO796,B751:B796,B791-24)+in_accident_renew^3*SUMIFS(AO751:AO796,B751:B796,B791-36)+in_accident_renew^4*SUMIFS(AO751:AO796,B751:B796,B791-48))</f>
        <v/>
      </c>
      <c r="AQ791" s="40">
        <f>AQ790*(1-IF(B790&gt;=in_marketplace_from,d_hz_two_wheeler*G790,0))</f>
        <v/>
      </c>
      <c r="AR791" s="46">
        <f>AQ791*IF(B791&gt;=in_marketplace_from,d_hz_two_wheeler*G791,0)</f>
        <v/>
      </c>
      <c r="AS791" s="14">
        <f>F791*AR791*in_two_wheeler_ticket*in_two_wheeler_comm*in_ins_partner_share+F791*in_two_wheeler_ticket*in_two_wheeler_comm*in_ins_partner_share*(in_two_wheeler_renew^1*SUMIFS(AR751:AR796,B751:B796,B791-12)+in_two_wheeler_renew^2*SUMIFS(AR751:AR796,B751:B796,B791-24)+in_two_wheeler_renew^3*SUMIFS(AR751:AR796,B751:B796,B791-36)+in_two_wheeler_renew^4*SUMIFS(AR751:AR796,B751:B796,B791-48))</f>
        <v/>
      </c>
      <c r="AT791" s="40">
        <f>AT790*(1-IF(B790&gt;=in_marketplace_from,d_hz_device*G790,0))</f>
        <v/>
      </c>
      <c r="AU791" s="14">
        <f>F791*AT791*IF(B791&gt;=in_marketplace_from,d_hz_device*G791,0)*in_device_ticket*in_device_comm*in_ins_partner_share</f>
        <v/>
      </c>
      <c r="AV791" s="40">
        <f>AV790*(1-IF(B790&gt;=in_marketplace_from,d_hz_shop*G790,0))</f>
        <v/>
      </c>
      <c r="AW791" s="46">
        <f>AV791*IF(B791&gt;=in_marketplace_from,d_hz_shop*G791,0)</f>
        <v/>
      </c>
      <c r="AX791" s="14">
        <f>F791*AW791*in_shop_ticket*in_shop_comm*in_ins_partner_share+F791*in_shop_ticket*in_shop_renew_comm*in_ins_partner_share*(in_shop_renew^1*SUMIFS(AW751:AW796,B751:B796,B791-12)+in_shop_renew^2*SUMIFS(AW751:AW796,B751:B796,B791-24)+in_shop_renew^3*SUMIFS(AW751:AW796,B751:B796,B791-36)+in_shop_renew^4*SUMIFS(AW751:AW796,B751:B796,B791-48))</f>
        <v/>
      </c>
      <c r="AY791" s="40">
        <f>AY790*(1-IF(B790&gt;=in_marketplace_from,d_hz_sip*G790,0))</f>
        <v/>
      </c>
      <c r="AZ791" s="40">
        <f>AZ790*d_rho_sip+AY791*IF(B791&gt;=in_marketplace_from,d_hz_sip*G791,0)</f>
        <v/>
      </c>
      <c r="BA791" s="40">
        <f>d_rho_sip*(BA790+AZ790)</f>
        <v/>
      </c>
      <c r="BB791" s="14">
        <f>F791*in_sip_ticket*(BA791+0.5*AZ791)*in_sip_comm/12</f>
        <v/>
      </c>
      <c r="BC791" s="40">
        <f>BC790*(1-IF(B790&gt;=in_marketplace_from,d_hz_choti*G790,0))</f>
        <v/>
      </c>
      <c r="BD791" s="46">
        <f>BC791*IF(B791&gt;=in_marketplace_from,d_hz_choti*G791,0)</f>
        <v/>
      </c>
      <c r="BE791" s="14">
        <f>F791*SUMIFS(BD751:BD796,B751:B796,B791-in_choti_months)*in_choti_renew*in_choti_ticket</f>
        <v/>
      </c>
      <c r="BF791" s="40">
        <f>BF790*(1-IF(B790&gt;=in_marketplace_from,d_hz_nps*G790,0))</f>
        <v/>
      </c>
      <c r="BG791" s="14">
        <f>F791*BF791*IF(B791&gt;=in_marketplace_from,d_hz_nps*G791,0)*in_nps_ticket*in_nps_comm</f>
        <v/>
      </c>
      <c r="BH791" s="40">
        <f>BH790*(1-IF(B790&gt;=in_marketplace_from,d_hz_gold*G790,0))</f>
        <v/>
      </c>
      <c r="BI791" s="40">
        <f>BI790*d_rho_gold+BH791*IF(B791&gt;=in_marketplace_from,d_hz_gold*G791,0)</f>
        <v/>
      </c>
      <c r="BJ791" s="14">
        <f>F791*BI791*in_gold_ticket*in_gold_comm</f>
        <v/>
      </c>
      <c r="BK791" s="40">
        <f>BK790*(1-IF(B790&gt;=in_marketplace_from,d_hz_fd*G790,0))</f>
        <v/>
      </c>
      <c r="BL791" s="14">
        <f>F791*BK791*IF(B791&gt;=in_marketplace_from,d_hz_fd*G791,0)*in_fd_ticket*in_fd_comm</f>
        <v/>
      </c>
      <c r="BM791" s="40">
        <f>BM790*(1-IF(B790&gt;=in_marketplace_from,d_hz_recharge*G790,0))</f>
        <v/>
      </c>
      <c r="BN791" s="40">
        <f>BN790*d_rho_recharge+BM791*IF(B791&gt;=in_marketplace_from,d_hz_recharge*G791,0)</f>
        <v/>
      </c>
      <c r="BO791" s="14">
        <f>F791*BN791*in_recharge_ticket*in_recharge_comm/12</f>
        <v/>
      </c>
      <c r="BP791" s="40">
        <f>BP790*(1-IF(B790&gt;=in_marketplace_from,d_hz_bills*G790,0))</f>
        <v/>
      </c>
      <c r="BQ791" s="40">
        <f>BQ790*d_rho_bills+BP791*IF(B791&gt;=in_marketplace_from,d_hz_bills*G791,0)</f>
        <v/>
      </c>
      <c r="BR791" s="14">
        <f>F791*BQ791*in_bills_ticket*in_bills_comm/12</f>
        <v/>
      </c>
      <c r="BS791" s="40">
        <f>BS790*(1-IF(B790&gt;=in_marketplace_from,d_hz_loan_gold*G790,0))</f>
        <v/>
      </c>
      <c r="BT791" s="14">
        <f>F791*BS791*IF(B791&gt;=in_marketplace_from,d_hz_loan_gold*G791,0)*in_loan_gold_ticket*in_loan_gold_comm</f>
        <v/>
      </c>
      <c r="BU791" s="40">
        <f>BU790*(1-IF(B790&gt;=in_marketplace_from,d_hz_loan_cd*G790,0))</f>
        <v/>
      </c>
      <c r="BV791" s="14">
        <f>F791*BU791*IF(B791&gt;=in_marketplace_from,d_hz_loan_cd*G791,0)*in_loan_cd_ticket*in_loan_cd_comm</f>
        <v/>
      </c>
      <c r="BW791" s="40">
        <f>BW790*(1-IF(B790&gt;=in_marketplace_from,d_hz_loan_vehicle*G790,0))</f>
        <v/>
      </c>
      <c r="BX791" s="14">
        <f>F791*BW791*IF(B791&gt;=in_marketplace_from,d_hz_loan_vehicle*G791,0)*in_loan_vehicle_ticket*in_loan_vehicle_comm</f>
        <v/>
      </c>
      <c r="BY791" s="40">
        <f>BY790*(1-IF(B790&gt;=in_marketplace_from,d_hz_loan_home*G790,0)*BZ790)</f>
        <v/>
      </c>
      <c r="BZ791" s="11">
        <f>MIN(in_approval_cap,in_loan_home_approval*INDEX('Age profile'!$O$2:$O$61,B791)*(1+in_approval_growth)^(D791-1))</f>
        <v/>
      </c>
      <c r="CA791" s="14">
        <f>F791*BY791*IF(B791&gt;=in_marketplace_from,d_hz_loan_home*G791,0)*BZ791*in_loan_home_ticket*in_loan_home_comm</f>
        <v/>
      </c>
      <c r="CB791" s="40">
        <f>CB790*(1-IF(B790&gt;=in_marketplace_from,d_hz_loan_lap*G790,0)*CC790)</f>
        <v/>
      </c>
      <c r="CC791" s="11">
        <f>MIN(in_approval_cap,in_loan_lap_approval*INDEX('Age profile'!$O$2:$O$61,B791)*(1+in_approval_growth)^(D791-1))</f>
        <v/>
      </c>
      <c r="CD791" s="14">
        <f>F791*CB791*IF(B791&gt;=in_marketplace_from,d_hz_loan_lap*G791,0)*CC791*in_loan_lap_ticket*in_loan_lap_comm</f>
        <v/>
      </c>
      <c r="CE791" s="14">
        <f>AA791+AB791+AC791+AD791+AG791+AJ791+AM791+AP791+AS791+AU791+AX791+BB791+BE791+BG791+BJ791+BL791+BO791+BR791+BT791+BV791+BX791+CA791+CD791</f>
        <v/>
      </c>
    </row>
    <row r="792">
      <c r="A792" s="39" t="n">
        <v>15</v>
      </c>
      <c r="B792" s="39" t="n">
        <v>42</v>
      </c>
      <c r="C792" s="39">
        <f>A792+B792-1</f>
        <v/>
      </c>
      <c r="D792" s="39">
        <f>INT((C792-1)/12)+1</f>
        <v/>
      </c>
      <c r="E792" s="44">
        <f>INDEX(Monthly!$B$2:$B$61,A792)</f>
        <v/>
      </c>
      <c r="F792" s="44">
        <f>E792*INDEX('Age profile'!$B$2:$B$61,B792)</f>
        <v/>
      </c>
      <c r="G792" s="45">
        <f>MIN(in_takeup_cap,INDEX('Age profile'!$N$2:$N$61,B792)*(1+in_takeup_growth)^(D792-1))</f>
        <v/>
      </c>
      <c r="H792" s="11">
        <f>MIN(in_approval_cap,in_approved_first*INDEX('Age profile'!$O$2:$O$61,B792)*(1+in_approval_growth)^(D792-1))</f>
        <v/>
      </c>
      <c r="I792" s="45">
        <f>G792*MIN(in_takeup_cap,INDEX('Age profile'!$O$2:$O$61,B792)*(1+in_approval_growth)^(D792-1))</f>
        <v/>
      </c>
      <c r="J792" s="40">
        <f>(J791-L791)*F792/F791</f>
        <v/>
      </c>
      <c r="K792" s="40">
        <f>(K791-M791)*F792/F791+SUMIFS(O751:O791,B751:B791,B792-1-d_T)*F792</f>
        <v/>
      </c>
      <c r="L792" s="40">
        <f>IF(B792&gt;=in_marketplace_from,J792*d_hz*G792*in_eligible*H792,0)</f>
        <v/>
      </c>
      <c r="M792" s="40">
        <f>IF(B792&gt;=in_marketplace_from,K792*d_hz*G792*in_eligible*in_approved_repeat,0)</f>
        <v/>
      </c>
      <c r="N792" s="40">
        <f>L792+M792</f>
        <v/>
      </c>
      <c r="O792" s="46">
        <f>N792/F792</f>
        <v/>
      </c>
      <c r="P792" s="40">
        <f>F792-J792-K792</f>
        <v/>
      </c>
      <c r="Q792" s="40">
        <f>IF(B792&gt;=in_marketplace_from,(J792+K792)*d_hz*G792,0)</f>
        <v/>
      </c>
      <c r="R792" s="40">
        <f>SUMIFS(N751:N796,B751:B796,"&gt;="&amp;(B792-d_T),B751:B796,"&lt;="&amp;(B792-1))</f>
        <v/>
      </c>
      <c r="S792" s="46">
        <f>(1-d_u)*S791+IF(d_T&gt;in_topup_lag,SUMIFS(O751:O796,B751:B796,B792-in_topup_lag)-d_udrop*SUMIFS(O751:O796,B751:B796,B792-d_T),0)</f>
        <v/>
      </c>
      <c r="T792" s="40">
        <f>F792*d_u*S792</f>
        <v/>
      </c>
      <c r="U792" s="9">
        <f>L792*in_ticket+M792*d_rep_ticket</f>
        <v/>
      </c>
      <c r="V792" s="9">
        <f>U792+T792*d_topup_amt</f>
        <v/>
      </c>
      <c r="W792" s="40">
        <f>N792+T792*d_topup_ratio</f>
        <v/>
      </c>
      <c r="X792" s="40">
        <f>SUMIFS(W751:W796,B751:B796,B792-in_dpd_lag)*d_cured</f>
        <v/>
      </c>
      <c r="Y792" s="40">
        <f>SUMIFS(W751:W796,B751:B796,B792-in_rec_lag)*d_recd</f>
        <v/>
      </c>
      <c r="Z792" s="40">
        <f>IF(AND(B792&gt;=in_marketplace_from,B792&lt;in_marketplace_from+in_card_months),in_card_share/in_card_months*F792*I792,IF(AND(B792&gt;=in_marketplace_from+in_card_months,B792&lt;in_marketplace_from+2*in_card_months),in_card_share*d_card_rem/in_card_months*F792*MIN(in_takeup_cap,(1+in_takeup_growth)^(D792-1))*MIN(in_takeup_cap,(1+in_approval_growth)^(D792-1)),0))</f>
        <v/>
      </c>
      <c r="AA792" s="14">
        <f>V792*in_fee*(1-in_taken_back)</f>
        <v/>
      </c>
      <c r="AB792" s="14">
        <f>SUMIFS(W751:W796,B751:B796,B792-in_dpd_lag)*d_dpd</f>
        <v/>
      </c>
      <c r="AC792" s="14">
        <f>SUMIFS(W751:W796,B751:B796,B792-in_rec_lag)*d_rec</f>
        <v/>
      </c>
      <c r="AD792" s="14">
        <f>Z792*in_card_fee</f>
        <v/>
      </c>
      <c r="AE792" s="40">
        <f>AE791*(1-IF(B791&gt;=in_marketplace_from,d_hz_hlth_small*G791,0))</f>
        <v/>
      </c>
      <c r="AF792" s="46">
        <f>AE792*IF(B792&gt;=in_marketplace_from,d_hz_hlth_small*G792,0)</f>
        <v/>
      </c>
      <c r="AG792" s="14">
        <f>F792*AF792*in_hlth_small_ticket*in_hlth_small_comm*in_ins_partner_share+F792*in_hlth_small_ticket*in_hlth_small_renew_comm*in_ins_partner_share*(in_hlth_small_renew^1*SUMIFS(AF751:AF796,B751:B796,B792-12)+in_hlth_small_renew^2*SUMIFS(AF751:AF796,B751:B796,B792-24)+in_hlth_small_renew^3*SUMIFS(AF751:AF796,B751:B796,B792-36)+in_hlth_small_renew^4*SUMIFS(AF751:AF796,B751:B796,B792-48))</f>
        <v/>
      </c>
      <c r="AH792" s="40">
        <f>AH791*(1-IF(B791&gt;=in_marketplace_from,d_hz_hlth_family*G791,0))</f>
        <v/>
      </c>
      <c r="AI792" s="46">
        <f>AH792*IF(B792&gt;=in_marketplace_from,d_hz_hlth_family*G792,0)</f>
        <v/>
      </c>
      <c r="AJ792" s="14">
        <f>F792*AI792*in_hlth_family_ticket*in_hlth_family_comm*in_ins_partner_share+F792*in_hlth_family_ticket*in_hlth_family_renew_comm*in_ins_partner_share*(in_hlth_family_renew^1*SUMIFS(AI751:AI796,B751:B796,B792-12)+in_hlth_family_renew^2*SUMIFS(AI751:AI796,B751:B796,B792-24)+in_hlth_family_renew^3*SUMIFS(AI751:AI796,B751:B796,B792-36)+in_hlth_family_renew^4*SUMIFS(AI751:AI796,B751:B796,B792-48))</f>
        <v/>
      </c>
      <c r="AK792" s="40">
        <f>AK791*(1-IF(B791&gt;=in_marketplace_from,d_hz_life_term*G791,0))</f>
        <v/>
      </c>
      <c r="AL792" s="46">
        <f>AK792*IF(B792&gt;=in_marketplace_from,d_hz_life_term*G792,0)</f>
        <v/>
      </c>
      <c r="AM792" s="14">
        <f>F792*AL792*in_life_term_ticket*in_life_term_comm*in_ins_partner_share+F792*in_life_term_ticket*in_life_term_renew_comm*in_ins_partner_share*(in_life_term_renew^1*SUMIFS(AL751:AL796,B751:B796,B792-12)+in_life_term_renew^2*SUMIFS(AL751:AL796,B751:B796,B792-24)+in_life_term_renew^3*SUMIFS(AL751:AL796,B751:B796,B792-36)+in_life_term_renew^4*SUMIFS(AL751:AL796,B751:B796,B792-48))</f>
        <v/>
      </c>
      <c r="AN792" s="40">
        <f>AN791*(1-IF(B791&gt;=in_marketplace_from,d_hz_accident*G791,0))</f>
        <v/>
      </c>
      <c r="AO792" s="46">
        <f>AN792*IF(B792&gt;=in_marketplace_from,d_hz_accident*G792,0)</f>
        <v/>
      </c>
      <c r="AP792" s="14">
        <f>F792*AO792*in_accident_ticket*in_accident_comm*in_ins_partner_share+F792*in_accident_ticket*in_accident_renew_comm*in_ins_partner_share*(in_accident_renew^1*SUMIFS(AO751:AO796,B751:B796,B792-12)+in_accident_renew^2*SUMIFS(AO751:AO796,B751:B796,B792-24)+in_accident_renew^3*SUMIFS(AO751:AO796,B751:B796,B792-36)+in_accident_renew^4*SUMIFS(AO751:AO796,B751:B796,B792-48))</f>
        <v/>
      </c>
      <c r="AQ792" s="40">
        <f>AQ791*(1-IF(B791&gt;=in_marketplace_from,d_hz_two_wheeler*G791,0))</f>
        <v/>
      </c>
      <c r="AR792" s="46">
        <f>AQ792*IF(B792&gt;=in_marketplace_from,d_hz_two_wheeler*G792,0)</f>
        <v/>
      </c>
      <c r="AS792" s="14">
        <f>F792*AR792*in_two_wheeler_ticket*in_two_wheeler_comm*in_ins_partner_share+F792*in_two_wheeler_ticket*in_two_wheeler_comm*in_ins_partner_share*(in_two_wheeler_renew^1*SUMIFS(AR751:AR796,B751:B796,B792-12)+in_two_wheeler_renew^2*SUMIFS(AR751:AR796,B751:B796,B792-24)+in_two_wheeler_renew^3*SUMIFS(AR751:AR796,B751:B796,B792-36)+in_two_wheeler_renew^4*SUMIFS(AR751:AR796,B751:B796,B792-48))</f>
        <v/>
      </c>
      <c r="AT792" s="40">
        <f>AT791*(1-IF(B791&gt;=in_marketplace_from,d_hz_device*G791,0))</f>
        <v/>
      </c>
      <c r="AU792" s="14">
        <f>F792*AT792*IF(B792&gt;=in_marketplace_from,d_hz_device*G792,0)*in_device_ticket*in_device_comm*in_ins_partner_share</f>
        <v/>
      </c>
      <c r="AV792" s="40">
        <f>AV791*(1-IF(B791&gt;=in_marketplace_from,d_hz_shop*G791,0))</f>
        <v/>
      </c>
      <c r="AW792" s="46">
        <f>AV792*IF(B792&gt;=in_marketplace_from,d_hz_shop*G792,0)</f>
        <v/>
      </c>
      <c r="AX792" s="14">
        <f>F792*AW792*in_shop_ticket*in_shop_comm*in_ins_partner_share+F792*in_shop_ticket*in_shop_renew_comm*in_ins_partner_share*(in_shop_renew^1*SUMIFS(AW751:AW796,B751:B796,B792-12)+in_shop_renew^2*SUMIFS(AW751:AW796,B751:B796,B792-24)+in_shop_renew^3*SUMIFS(AW751:AW796,B751:B796,B792-36)+in_shop_renew^4*SUMIFS(AW751:AW796,B751:B796,B792-48))</f>
        <v/>
      </c>
      <c r="AY792" s="40">
        <f>AY791*(1-IF(B791&gt;=in_marketplace_from,d_hz_sip*G791,0))</f>
        <v/>
      </c>
      <c r="AZ792" s="40">
        <f>AZ791*d_rho_sip+AY792*IF(B792&gt;=in_marketplace_from,d_hz_sip*G792,0)</f>
        <v/>
      </c>
      <c r="BA792" s="40">
        <f>d_rho_sip*(BA791+AZ791)</f>
        <v/>
      </c>
      <c r="BB792" s="14">
        <f>F792*in_sip_ticket*(BA792+0.5*AZ792)*in_sip_comm/12</f>
        <v/>
      </c>
      <c r="BC792" s="40">
        <f>BC791*(1-IF(B791&gt;=in_marketplace_from,d_hz_choti*G791,0))</f>
        <v/>
      </c>
      <c r="BD792" s="46">
        <f>BC792*IF(B792&gt;=in_marketplace_from,d_hz_choti*G792,0)</f>
        <v/>
      </c>
      <c r="BE792" s="14">
        <f>F792*SUMIFS(BD751:BD796,B751:B796,B792-in_choti_months)*in_choti_renew*in_choti_ticket</f>
        <v/>
      </c>
      <c r="BF792" s="40">
        <f>BF791*(1-IF(B791&gt;=in_marketplace_from,d_hz_nps*G791,0))</f>
        <v/>
      </c>
      <c r="BG792" s="14">
        <f>F792*BF792*IF(B792&gt;=in_marketplace_from,d_hz_nps*G792,0)*in_nps_ticket*in_nps_comm</f>
        <v/>
      </c>
      <c r="BH792" s="40">
        <f>BH791*(1-IF(B791&gt;=in_marketplace_from,d_hz_gold*G791,0))</f>
        <v/>
      </c>
      <c r="BI792" s="40">
        <f>BI791*d_rho_gold+BH792*IF(B792&gt;=in_marketplace_from,d_hz_gold*G792,0)</f>
        <v/>
      </c>
      <c r="BJ792" s="14">
        <f>F792*BI792*in_gold_ticket*in_gold_comm</f>
        <v/>
      </c>
      <c r="BK792" s="40">
        <f>BK791*(1-IF(B791&gt;=in_marketplace_from,d_hz_fd*G791,0))</f>
        <v/>
      </c>
      <c r="BL792" s="14">
        <f>F792*BK792*IF(B792&gt;=in_marketplace_from,d_hz_fd*G792,0)*in_fd_ticket*in_fd_comm</f>
        <v/>
      </c>
      <c r="BM792" s="40">
        <f>BM791*(1-IF(B791&gt;=in_marketplace_from,d_hz_recharge*G791,0))</f>
        <v/>
      </c>
      <c r="BN792" s="40">
        <f>BN791*d_rho_recharge+BM792*IF(B792&gt;=in_marketplace_from,d_hz_recharge*G792,0)</f>
        <v/>
      </c>
      <c r="BO792" s="14">
        <f>F792*BN792*in_recharge_ticket*in_recharge_comm/12</f>
        <v/>
      </c>
      <c r="BP792" s="40">
        <f>BP791*(1-IF(B791&gt;=in_marketplace_from,d_hz_bills*G791,0))</f>
        <v/>
      </c>
      <c r="BQ792" s="40">
        <f>BQ791*d_rho_bills+BP792*IF(B792&gt;=in_marketplace_from,d_hz_bills*G792,0)</f>
        <v/>
      </c>
      <c r="BR792" s="14">
        <f>F792*BQ792*in_bills_ticket*in_bills_comm/12</f>
        <v/>
      </c>
      <c r="BS792" s="40">
        <f>BS791*(1-IF(B791&gt;=in_marketplace_from,d_hz_loan_gold*G791,0))</f>
        <v/>
      </c>
      <c r="BT792" s="14">
        <f>F792*BS792*IF(B792&gt;=in_marketplace_from,d_hz_loan_gold*G792,0)*in_loan_gold_ticket*in_loan_gold_comm</f>
        <v/>
      </c>
      <c r="BU792" s="40">
        <f>BU791*(1-IF(B791&gt;=in_marketplace_from,d_hz_loan_cd*G791,0))</f>
        <v/>
      </c>
      <c r="BV792" s="14">
        <f>F792*BU792*IF(B792&gt;=in_marketplace_from,d_hz_loan_cd*G792,0)*in_loan_cd_ticket*in_loan_cd_comm</f>
        <v/>
      </c>
      <c r="BW792" s="40">
        <f>BW791*(1-IF(B791&gt;=in_marketplace_from,d_hz_loan_vehicle*G791,0))</f>
        <v/>
      </c>
      <c r="BX792" s="14">
        <f>F792*BW792*IF(B792&gt;=in_marketplace_from,d_hz_loan_vehicle*G792,0)*in_loan_vehicle_ticket*in_loan_vehicle_comm</f>
        <v/>
      </c>
      <c r="BY792" s="40">
        <f>BY791*(1-IF(B791&gt;=in_marketplace_from,d_hz_loan_home*G791,0)*BZ791)</f>
        <v/>
      </c>
      <c r="BZ792" s="11">
        <f>MIN(in_approval_cap,in_loan_home_approval*INDEX('Age profile'!$O$2:$O$61,B792)*(1+in_approval_growth)^(D792-1))</f>
        <v/>
      </c>
      <c r="CA792" s="14">
        <f>F792*BY792*IF(B792&gt;=in_marketplace_from,d_hz_loan_home*G792,0)*BZ792*in_loan_home_ticket*in_loan_home_comm</f>
        <v/>
      </c>
      <c r="CB792" s="40">
        <f>CB791*(1-IF(B791&gt;=in_marketplace_from,d_hz_loan_lap*G791,0)*CC791)</f>
        <v/>
      </c>
      <c r="CC792" s="11">
        <f>MIN(in_approval_cap,in_loan_lap_approval*INDEX('Age profile'!$O$2:$O$61,B792)*(1+in_approval_growth)^(D792-1))</f>
        <v/>
      </c>
      <c r="CD792" s="14">
        <f>F792*CB792*IF(B792&gt;=in_marketplace_from,d_hz_loan_lap*G792,0)*CC792*in_loan_lap_ticket*in_loan_lap_comm</f>
        <v/>
      </c>
      <c r="CE792" s="14">
        <f>AA792+AB792+AC792+AD792+AG792+AJ792+AM792+AP792+AS792+AU792+AX792+BB792+BE792+BG792+BJ792+BL792+BO792+BR792+BT792+BV792+BX792+CA792+CD792</f>
        <v/>
      </c>
    </row>
    <row r="793">
      <c r="A793" s="39" t="n">
        <v>15</v>
      </c>
      <c r="B793" s="39" t="n">
        <v>43</v>
      </c>
      <c r="C793" s="39">
        <f>A793+B793-1</f>
        <v/>
      </c>
      <c r="D793" s="39">
        <f>INT((C793-1)/12)+1</f>
        <v/>
      </c>
      <c r="E793" s="44">
        <f>INDEX(Monthly!$B$2:$B$61,A793)</f>
        <v/>
      </c>
      <c r="F793" s="44">
        <f>E793*INDEX('Age profile'!$B$2:$B$61,B793)</f>
        <v/>
      </c>
      <c r="G793" s="45">
        <f>MIN(in_takeup_cap,INDEX('Age profile'!$N$2:$N$61,B793)*(1+in_takeup_growth)^(D793-1))</f>
        <v/>
      </c>
      <c r="H793" s="11">
        <f>MIN(in_approval_cap,in_approved_first*INDEX('Age profile'!$O$2:$O$61,B793)*(1+in_approval_growth)^(D793-1))</f>
        <v/>
      </c>
      <c r="I793" s="45">
        <f>G793*MIN(in_takeup_cap,INDEX('Age profile'!$O$2:$O$61,B793)*(1+in_approval_growth)^(D793-1))</f>
        <v/>
      </c>
      <c r="J793" s="40">
        <f>(J792-L792)*F793/F792</f>
        <v/>
      </c>
      <c r="K793" s="40">
        <f>(K792-M792)*F793/F792+SUMIFS(O751:O792,B751:B792,B793-1-d_T)*F793</f>
        <v/>
      </c>
      <c r="L793" s="40">
        <f>IF(B793&gt;=in_marketplace_from,J793*d_hz*G793*in_eligible*H793,0)</f>
        <v/>
      </c>
      <c r="M793" s="40">
        <f>IF(B793&gt;=in_marketplace_from,K793*d_hz*G793*in_eligible*in_approved_repeat,0)</f>
        <v/>
      </c>
      <c r="N793" s="40">
        <f>L793+M793</f>
        <v/>
      </c>
      <c r="O793" s="46">
        <f>N793/F793</f>
        <v/>
      </c>
      <c r="P793" s="40">
        <f>F793-J793-K793</f>
        <v/>
      </c>
      <c r="Q793" s="40">
        <f>IF(B793&gt;=in_marketplace_from,(J793+K793)*d_hz*G793,0)</f>
        <v/>
      </c>
      <c r="R793" s="40">
        <f>SUMIFS(N751:N796,B751:B796,"&gt;="&amp;(B793-d_T),B751:B796,"&lt;="&amp;(B793-1))</f>
        <v/>
      </c>
      <c r="S793" s="46">
        <f>(1-d_u)*S792+IF(d_T&gt;in_topup_lag,SUMIFS(O751:O796,B751:B796,B793-in_topup_lag)-d_udrop*SUMIFS(O751:O796,B751:B796,B793-d_T),0)</f>
        <v/>
      </c>
      <c r="T793" s="40">
        <f>F793*d_u*S793</f>
        <v/>
      </c>
      <c r="U793" s="9">
        <f>L793*in_ticket+M793*d_rep_ticket</f>
        <v/>
      </c>
      <c r="V793" s="9">
        <f>U793+T793*d_topup_amt</f>
        <v/>
      </c>
      <c r="W793" s="40">
        <f>N793+T793*d_topup_ratio</f>
        <v/>
      </c>
      <c r="X793" s="40">
        <f>SUMIFS(W751:W796,B751:B796,B793-in_dpd_lag)*d_cured</f>
        <v/>
      </c>
      <c r="Y793" s="40">
        <f>SUMIFS(W751:W796,B751:B796,B793-in_rec_lag)*d_recd</f>
        <v/>
      </c>
      <c r="Z793" s="40">
        <f>IF(AND(B793&gt;=in_marketplace_from,B793&lt;in_marketplace_from+in_card_months),in_card_share/in_card_months*F793*I793,IF(AND(B793&gt;=in_marketplace_from+in_card_months,B793&lt;in_marketplace_from+2*in_card_months),in_card_share*d_card_rem/in_card_months*F793*MIN(in_takeup_cap,(1+in_takeup_growth)^(D793-1))*MIN(in_takeup_cap,(1+in_approval_growth)^(D793-1)),0))</f>
        <v/>
      </c>
      <c r="AA793" s="14">
        <f>V793*in_fee*(1-in_taken_back)</f>
        <v/>
      </c>
      <c r="AB793" s="14">
        <f>SUMIFS(W751:W796,B751:B796,B793-in_dpd_lag)*d_dpd</f>
        <v/>
      </c>
      <c r="AC793" s="14">
        <f>SUMIFS(W751:W796,B751:B796,B793-in_rec_lag)*d_rec</f>
        <v/>
      </c>
      <c r="AD793" s="14">
        <f>Z793*in_card_fee</f>
        <v/>
      </c>
      <c r="AE793" s="40">
        <f>AE792*(1-IF(B792&gt;=in_marketplace_from,d_hz_hlth_small*G792,0))</f>
        <v/>
      </c>
      <c r="AF793" s="46">
        <f>AE793*IF(B793&gt;=in_marketplace_from,d_hz_hlth_small*G793,0)</f>
        <v/>
      </c>
      <c r="AG793" s="14">
        <f>F793*AF793*in_hlth_small_ticket*in_hlth_small_comm*in_ins_partner_share+F793*in_hlth_small_ticket*in_hlth_small_renew_comm*in_ins_partner_share*(in_hlth_small_renew^1*SUMIFS(AF751:AF796,B751:B796,B793-12)+in_hlth_small_renew^2*SUMIFS(AF751:AF796,B751:B796,B793-24)+in_hlth_small_renew^3*SUMIFS(AF751:AF796,B751:B796,B793-36)+in_hlth_small_renew^4*SUMIFS(AF751:AF796,B751:B796,B793-48))</f>
        <v/>
      </c>
      <c r="AH793" s="40">
        <f>AH792*(1-IF(B792&gt;=in_marketplace_from,d_hz_hlth_family*G792,0))</f>
        <v/>
      </c>
      <c r="AI793" s="46">
        <f>AH793*IF(B793&gt;=in_marketplace_from,d_hz_hlth_family*G793,0)</f>
        <v/>
      </c>
      <c r="AJ793" s="14">
        <f>F793*AI793*in_hlth_family_ticket*in_hlth_family_comm*in_ins_partner_share+F793*in_hlth_family_ticket*in_hlth_family_renew_comm*in_ins_partner_share*(in_hlth_family_renew^1*SUMIFS(AI751:AI796,B751:B796,B793-12)+in_hlth_family_renew^2*SUMIFS(AI751:AI796,B751:B796,B793-24)+in_hlth_family_renew^3*SUMIFS(AI751:AI796,B751:B796,B793-36)+in_hlth_family_renew^4*SUMIFS(AI751:AI796,B751:B796,B793-48))</f>
        <v/>
      </c>
      <c r="AK793" s="40">
        <f>AK792*(1-IF(B792&gt;=in_marketplace_from,d_hz_life_term*G792,0))</f>
        <v/>
      </c>
      <c r="AL793" s="46">
        <f>AK793*IF(B793&gt;=in_marketplace_from,d_hz_life_term*G793,0)</f>
        <v/>
      </c>
      <c r="AM793" s="14">
        <f>F793*AL793*in_life_term_ticket*in_life_term_comm*in_ins_partner_share+F793*in_life_term_ticket*in_life_term_renew_comm*in_ins_partner_share*(in_life_term_renew^1*SUMIFS(AL751:AL796,B751:B796,B793-12)+in_life_term_renew^2*SUMIFS(AL751:AL796,B751:B796,B793-24)+in_life_term_renew^3*SUMIFS(AL751:AL796,B751:B796,B793-36)+in_life_term_renew^4*SUMIFS(AL751:AL796,B751:B796,B793-48))</f>
        <v/>
      </c>
      <c r="AN793" s="40">
        <f>AN792*(1-IF(B792&gt;=in_marketplace_from,d_hz_accident*G792,0))</f>
        <v/>
      </c>
      <c r="AO793" s="46">
        <f>AN793*IF(B793&gt;=in_marketplace_from,d_hz_accident*G793,0)</f>
        <v/>
      </c>
      <c r="AP793" s="14">
        <f>F793*AO793*in_accident_ticket*in_accident_comm*in_ins_partner_share+F793*in_accident_ticket*in_accident_renew_comm*in_ins_partner_share*(in_accident_renew^1*SUMIFS(AO751:AO796,B751:B796,B793-12)+in_accident_renew^2*SUMIFS(AO751:AO796,B751:B796,B793-24)+in_accident_renew^3*SUMIFS(AO751:AO796,B751:B796,B793-36)+in_accident_renew^4*SUMIFS(AO751:AO796,B751:B796,B793-48))</f>
        <v/>
      </c>
      <c r="AQ793" s="40">
        <f>AQ792*(1-IF(B792&gt;=in_marketplace_from,d_hz_two_wheeler*G792,0))</f>
        <v/>
      </c>
      <c r="AR793" s="46">
        <f>AQ793*IF(B793&gt;=in_marketplace_from,d_hz_two_wheeler*G793,0)</f>
        <v/>
      </c>
      <c r="AS793" s="14">
        <f>F793*AR793*in_two_wheeler_ticket*in_two_wheeler_comm*in_ins_partner_share+F793*in_two_wheeler_ticket*in_two_wheeler_comm*in_ins_partner_share*(in_two_wheeler_renew^1*SUMIFS(AR751:AR796,B751:B796,B793-12)+in_two_wheeler_renew^2*SUMIFS(AR751:AR796,B751:B796,B793-24)+in_two_wheeler_renew^3*SUMIFS(AR751:AR796,B751:B796,B793-36)+in_two_wheeler_renew^4*SUMIFS(AR751:AR796,B751:B796,B793-48))</f>
        <v/>
      </c>
      <c r="AT793" s="40">
        <f>AT792*(1-IF(B792&gt;=in_marketplace_from,d_hz_device*G792,0))</f>
        <v/>
      </c>
      <c r="AU793" s="14">
        <f>F793*AT793*IF(B793&gt;=in_marketplace_from,d_hz_device*G793,0)*in_device_ticket*in_device_comm*in_ins_partner_share</f>
        <v/>
      </c>
      <c r="AV793" s="40">
        <f>AV792*(1-IF(B792&gt;=in_marketplace_from,d_hz_shop*G792,0))</f>
        <v/>
      </c>
      <c r="AW793" s="46">
        <f>AV793*IF(B793&gt;=in_marketplace_from,d_hz_shop*G793,0)</f>
        <v/>
      </c>
      <c r="AX793" s="14">
        <f>F793*AW793*in_shop_ticket*in_shop_comm*in_ins_partner_share+F793*in_shop_ticket*in_shop_renew_comm*in_ins_partner_share*(in_shop_renew^1*SUMIFS(AW751:AW796,B751:B796,B793-12)+in_shop_renew^2*SUMIFS(AW751:AW796,B751:B796,B793-24)+in_shop_renew^3*SUMIFS(AW751:AW796,B751:B796,B793-36)+in_shop_renew^4*SUMIFS(AW751:AW796,B751:B796,B793-48))</f>
        <v/>
      </c>
      <c r="AY793" s="40">
        <f>AY792*(1-IF(B792&gt;=in_marketplace_from,d_hz_sip*G792,0))</f>
        <v/>
      </c>
      <c r="AZ793" s="40">
        <f>AZ792*d_rho_sip+AY793*IF(B793&gt;=in_marketplace_from,d_hz_sip*G793,0)</f>
        <v/>
      </c>
      <c r="BA793" s="40">
        <f>d_rho_sip*(BA792+AZ792)</f>
        <v/>
      </c>
      <c r="BB793" s="14">
        <f>F793*in_sip_ticket*(BA793+0.5*AZ793)*in_sip_comm/12</f>
        <v/>
      </c>
      <c r="BC793" s="40">
        <f>BC792*(1-IF(B792&gt;=in_marketplace_from,d_hz_choti*G792,0))</f>
        <v/>
      </c>
      <c r="BD793" s="46">
        <f>BC793*IF(B793&gt;=in_marketplace_from,d_hz_choti*G793,0)</f>
        <v/>
      </c>
      <c r="BE793" s="14">
        <f>F793*SUMIFS(BD751:BD796,B751:B796,B793-in_choti_months)*in_choti_renew*in_choti_ticket</f>
        <v/>
      </c>
      <c r="BF793" s="40">
        <f>BF792*(1-IF(B792&gt;=in_marketplace_from,d_hz_nps*G792,0))</f>
        <v/>
      </c>
      <c r="BG793" s="14">
        <f>F793*BF793*IF(B793&gt;=in_marketplace_from,d_hz_nps*G793,0)*in_nps_ticket*in_nps_comm</f>
        <v/>
      </c>
      <c r="BH793" s="40">
        <f>BH792*(1-IF(B792&gt;=in_marketplace_from,d_hz_gold*G792,0))</f>
        <v/>
      </c>
      <c r="BI793" s="40">
        <f>BI792*d_rho_gold+BH793*IF(B793&gt;=in_marketplace_from,d_hz_gold*G793,0)</f>
        <v/>
      </c>
      <c r="BJ793" s="14">
        <f>F793*BI793*in_gold_ticket*in_gold_comm</f>
        <v/>
      </c>
      <c r="BK793" s="40">
        <f>BK792*(1-IF(B792&gt;=in_marketplace_from,d_hz_fd*G792,0))</f>
        <v/>
      </c>
      <c r="BL793" s="14">
        <f>F793*BK793*IF(B793&gt;=in_marketplace_from,d_hz_fd*G793,0)*in_fd_ticket*in_fd_comm</f>
        <v/>
      </c>
      <c r="BM793" s="40">
        <f>BM792*(1-IF(B792&gt;=in_marketplace_from,d_hz_recharge*G792,0))</f>
        <v/>
      </c>
      <c r="BN793" s="40">
        <f>BN792*d_rho_recharge+BM793*IF(B793&gt;=in_marketplace_from,d_hz_recharge*G793,0)</f>
        <v/>
      </c>
      <c r="BO793" s="14">
        <f>F793*BN793*in_recharge_ticket*in_recharge_comm/12</f>
        <v/>
      </c>
      <c r="BP793" s="40">
        <f>BP792*(1-IF(B792&gt;=in_marketplace_from,d_hz_bills*G792,0))</f>
        <v/>
      </c>
      <c r="BQ793" s="40">
        <f>BQ792*d_rho_bills+BP793*IF(B793&gt;=in_marketplace_from,d_hz_bills*G793,0)</f>
        <v/>
      </c>
      <c r="BR793" s="14">
        <f>F793*BQ793*in_bills_ticket*in_bills_comm/12</f>
        <v/>
      </c>
      <c r="BS793" s="40">
        <f>BS792*(1-IF(B792&gt;=in_marketplace_from,d_hz_loan_gold*G792,0))</f>
        <v/>
      </c>
      <c r="BT793" s="14">
        <f>F793*BS793*IF(B793&gt;=in_marketplace_from,d_hz_loan_gold*G793,0)*in_loan_gold_ticket*in_loan_gold_comm</f>
        <v/>
      </c>
      <c r="BU793" s="40">
        <f>BU792*(1-IF(B792&gt;=in_marketplace_from,d_hz_loan_cd*G792,0))</f>
        <v/>
      </c>
      <c r="BV793" s="14">
        <f>F793*BU793*IF(B793&gt;=in_marketplace_from,d_hz_loan_cd*G793,0)*in_loan_cd_ticket*in_loan_cd_comm</f>
        <v/>
      </c>
      <c r="BW793" s="40">
        <f>BW792*(1-IF(B792&gt;=in_marketplace_from,d_hz_loan_vehicle*G792,0))</f>
        <v/>
      </c>
      <c r="BX793" s="14">
        <f>F793*BW793*IF(B793&gt;=in_marketplace_from,d_hz_loan_vehicle*G793,0)*in_loan_vehicle_ticket*in_loan_vehicle_comm</f>
        <v/>
      </c>
      <c r="BY793" s="40">
        <f>BY792*(1-IF(B792&gt;=in_marketplace_from,d_hz_loan_home*G792,0)*BZ792)</f>
        <v/>
      </c>
      <c r="BZ793" s="11">
        <f>MIN(in_approval_cap,in_loan_home_approval*INDEX('Age profile'!$O$2:$O$61,B793)*(1+in_approval_growth)^(D793-1))</f>
        <v/>
      </c>
      <c r="CA793" s="14">
        <f>F793*BY793*IF(B793&gt;=in_marketplace_from,d_hz_loan_home*G793,0)*BZ793*in_loan_home_ticket*in_loan_home_comm</f>
        <v/>
      </c>
      <c r="CB793" s="40">
        <f>CB792*(1-IF(B792&gt;=in_marketplace_from,d_hz_loan_lap*G792,0)*CC792)</f>
        <v/>
      </c>
      <c r="CC793" s="11">
        <f>MIN(in_approval_cap,in_loan_lap_approval*INDEX('Age profile'!$O$2:$O$61,B793)*(1+in_approval_growth)^(D793-1))</f>
        <v/>
      </c>
      <c r="CD793" s="14">
        <f>F793*CB793*IF(B793&gt;=in_marketplace_from,d_hz_loan_lap*G793,0)*CC793*in_loan_lap_ticket*in_loan_lap_comm</f>
        <v/>
      </c>
      <c r="CE793" s="14">
        <f>AA793+AB793+AC793+AD793+AG793+AJ793+AM793+AP793+AS793+AU793+AX793+BB793+BE793+BG793+BJ793+BL793+BO793+BR793+BT793+BV793+BX793+CA793+CD793</f>
        <v/>
      </c>
    </row>
    <row r="794">
      <c r="A794" s="39" t="n">
        <v>15</v>
      </c>
      <c r="B794" s="39" t="n">
        <v>44</v>
      </c>
      <c r="C794" s="39">
        <f>A794+B794-1</f>
        <v/>
      </c>
      <c r="D794" s="39">
        <f>INT((C794-1)/12)+1</f>
        <v/>
      </c>
      <c r="E794" s="44">
        <f>INDEX(Monthly!$B$2:$B$61,A794)</f>
        <v/>
      </c>
      <c r="F794" s="44">
        <f>E794*INDEX('Age profile'!$B$2:$B$61,B794)</f>
        <v/>
      </c>
      <c r="G794" s="45">
        <f>MIN(in_takeup_cap,INDEX('Age profile'!$N$2:$N$61,B794)*(1+in_takeup_growth)^(D794-1))</f>
        <v/>
      </c>
      <c r="H794" s="11">
        <f>MIN(in_approval_cap,in_approved_first*INDEX('Age profile'!$O$2:$O$61,B794)*(1+in_approval_growth)^(D794-1))</f>
        <v/>
      </c>
      <c r="I794" s="45">
        <f>G794*MIN(in_takeup_cap,INDEX('Age profile'!$O$2:$O$61,B794)*(1+in_approval_growth)^(D794-1))</f>
        <v/>
      </c>
      <c r="J794" s="40">
        <f>(J793-L793)*F794/F793</f>
        <v/>
      </c>
      <c r="K794" s="40">
        <f>(K793-M793)*F794/F793+SUMIFS(O751:O793,B751:B793,B794-1-d_T)*F794</f>
        <v/>
      </c>
      <c r="L794" s="40">
        <f>IF(B794&gt;=in_marketplace_from,J794*d_hz*G794*in_eligible*H794,0)</f>
        <v/>
      </c>
      <c r="M794" s="40">
        <f>IF(B794&gt;=in_marketplace_from,K794*d_hz*G794*in_eligible*in_approved_repeat,0)</f>
        <v/>
      </c>
      <c r="N794" s="40">
        <f>L794+M794</f>
        <v/>
      </c>
      <c r="O794" s="46">
        <f>N794/F794</f>
        <v/>
      </c>
      <c r="P794" s="40">
        <f>F794-J794-K794</f>
        <v/>
      </c>
      <c r="Q794" s="40">
        <f>IF(B794&gt;=in_marketplace_from,(J794+K794)*d_hz*G794,0)</f>
        <v/>
      </c>
      <c r="R794" s="40">
        <f>SUMIFS(N751:N796,B751:B796,"&gt;="&amp;(B794-d_T),B751:B796,"&lt;="&amp;(B794-1))</f>
        <v/>
      </c>
      <c r="S794" s="46">
        <f>(1-d_u)*S793+IF(d_T&gt;in_topup_lag,SUMIFS(O751:O796,B751:B796,B794-in_topup_lag)-d_udrop*SUMIFS(O751:O796,B751:B796,B794-d_T),0)</f>
        <v/>
      </c>
      <c r="T794" s="40">
        <f>F794*d_u*S794</f>
        <v/>
      </c>
      <c r="U794" s="9">
        <f>L794*in_ticket+M794*d_rep_ticket</f>
        <v/>
      </c>
      <c r="V794" s="9">
        <f>U794+T794*d_topup_amt</f>
        <v/>
      </c>
      <c r="W794" s="40">
        <f>N794+T794*d_topup_ratio</f>
        <v/>
      </c>
      <c r="X794" s="40">
        <f>SUMIFS(W751:W796,B751:B796,B794-in_dpd_lag)*d_cured</f>
        <v/>
      </c>
      <c r="Y794" s="40">
        <f>SUMIFS(W751:W796,B751:B796,B794-in_rec_lag)*d_recd</f>
        <v/>
      </c>
      <c r="Z794" s="40">
        <f>IF(AND(B794&gt;=in_marketplace_from,B794&lt;in_marketplace_from+in_card_months),in_card_share/in_card_months*F794*I794,IF(AND(B794&gt;=in_marketplace_from+in_card_months,B794&lt;in_marketplace_from+2*in_card_months),in_card_share*d_card_rem/in_card_months*F794*MIN(in_takeup_cap,(1+in_takeup_growth)^(D794-1))*MIN(in_takeup_cap,(1+in_approval_growth)^(D794-1)),0))</f>
        <v/>
      </c>
      <c r="AA794" s="14">
        <f>V794*in_fee*(1-in_taken_back)</f>
        <v/>
      </c>
      <c r="AB794" s="14">
        <f>SUMIFS(W751:W796,B751:B796,B794-in_dpd_lag)*d_dpd</f>
        <v/>
      </c>
      <c r="AC794" s="14">
        <f>SUMIFS(W751:W796,B751:B796,B794-in_rec_lag)*d_rec</f>
        <v/>
      </c>
      <c r="AD794" s="14">
        <f>Z794*in_card_fee</f>
        <v/>
      </c>
      <c r="AE794" s="40">
        <f>AE793*(1-IF(B793&gt;=in_marketplace_from,d_hz_hlth_small*G793,0))</f>
        <v/>
      </c>
      <c r="AF794" s="46">
        <f>AE794*IF(B794&gt;=in_marketplace_from,d_hz_hlth_small*G794,0)</f>
        <v/>
      </c>
      <c r="AG794" s="14">
        <f>F794*AF794*in_hlth_small_ticket*in_hlth_small_comm*in_ins_partner_share+F794*in_hlth_small_ticket*in_hlth_small_renew_comm*in_ins_partner_share*(in_hlth_small_renew^1*SUMIFS(AF751:AF796,B751:B796,B794-12)+in_hlth_small_renew^2*SUMIFS(AF751:AF796,B751:B796,B794-24)+in_hlth_small_renew^3*SUMIFS(AF751:AF796,B751:B796,B794-36)+in_hlth_small_renew^4*SUMIFS(AF751:AF796,B751:B796,B794-48))</f>
        <v/>
      </c>
      <c r="AH794" s="40">
        <f>AH793*(1-IF(B793&gt;=in_marketplace_from,d_hz_hlth_family*G793,0))</f>
        <v/>
      </c>
      <c r="AI794" s="46">
        <f>AH794*IF(B794&gt;=in_marketplace_from,d_hz_hlth_family*G794,0)</f>
        <v/>
      </c>
      <c r="AJ794" s="14">
        <f>F794*AI794*in_hlth_family_ticket*in_hlth_family_comm*in_ins_partner_share+F794*in_hlth_family_ticket*in_hlth_family_renew_comm*in_ins_partner_share*(in_hlth_family_renew^1*SUMIFS(AI751:AI796,B751:B796,B794-12)+in_hlth_family_renew^2*SUMIFS(AI751:AI796,B751:B796,B794-24)+in_hlth_family_renew^3*SUMIFS(AI751:AI796,B751:B796,B794-36)+in_hlth_family_renew^4*SUMIFS(AI751:AI796,B751:B796,B794-48))</f>
        <v/>
      </c>
      <c r="AK794" s="40">
        <f>AK793*(1-IF(B793&gt;=in_marketplace_from,d_hz_life_term*G793,0))</f>
        <v/>
      </c>
      <c r="AL794" s="46">
        <f>AK794*IF(B794&gt;=in_marketplace_from,d_hz_life_term*G794,0)</f>
        <v/>
      </c>
      <c r="AM794" s="14">
        <f>F794*AL794*in_life_term_ticket*in_life_term_comm*in_ins_partner_share+F794*in_life_term_ticket*in_life_term_renew_comm*in_ins_partner_share*(in_life_term_renew^1*SUMIFS(AL751:AL796,B751:B796,B794-12)+in_life_term_renew^2*SUMIFS(AL751:AL796,B751:B796,B794-24)+in_life_term_renew^3*SUMIFS(AL751:AL796,B751:B796,B794-36)+in_life_term_renew^4*SUMIFS(AL751:AL796,B751:B796,B794-48))</f>
        <v/>
      </c>
      <c r="AN794" s="40">
        <f>AN793*(1-IF(B793&gt;=in_marketplace_from,d_hz_accident*G793,0))</f>
        <v/>
      </c>
      <c r="AO794" s="46">
        <f>AN794*IF(B794&gt;=in_marketplace_from,d_hz_accident*G794,0)</f>
        <v/>
      </c>
      <c r="AP794" s="14">
        <f>F794*AO794*in_accident_ticket*in_accident_comm*in_ins_partner_share+F794*in_accident_ticket*in_accident_renew_comm*in_ins_partner_share*(in_accident_renew^1*SUMIFS(AO751:AO796,B751:B796,B794-12)+in_accident_renew^2*SUMIFS(AO751:AO796,B751:B796,B794-24)+in_accident_renew^3*SUMIFS(AO751:AO796,B751:B796,B794-36)+in_accident_renew^4*SUMIFS(AO751:AO796,B751:B796,B794-48))</f>
        <v/>
      </c>
      <c r="AQ794" s="40">
        <f>AQ793*(1-IF(B793&gt;=in_marketplace_from,d_hz_two_wheeler*G793,0))</f>
        <v/>
      </c>
      <c r="AR794" s="46">
        <f>AQ794*IF(B794&gt;=in_marketplace_from,d_hz_two_wheeler*G794,0)</f>
        <v/>
      </c>
      <c r="AS794" s="14">
        <f>F794*AR794*in_two_wheeler_ticket*in_two_wheeler_comm*in_ins_partner_share+F794*in_two_wheeler_ticket*in_two_wheeler_comm*in_ins_partner_share*(in_two_wheeler_renew^1*SUMIFS(AR751:AR796,B751:B796,B794-12)+in_two_wheeler_renew^2*SUMIFS(AR751:AR796,B751:B796,B794-24)+in_two_wheeler_renew^3*SUMIFS(AR751:AR796,B751:B796,B794-36)+in_two_wheeler_renew^4*SUMIFS(AR751:AR796,B751:B796,B794-48))</f>
        <v/>
      </c>
      <c r="AT794" s="40">
        <f>AT793*(1-IF(B793&gt;=in_marketplace_from,d_hz_device*G793,0))</f>
        <v/>
      </c>
      <c r="AU794" s="14">
        <f>F794*AT794*IF(B794&gt;=in_marketplace_from,d_hz_device*G794,0)*in_device_ticket*in_device_comm*in_ins_partner_share</f>
        <v/>
      </c>
      <c r="AV794" s="40">
        <f>AV793*(1-IF(B793&gt;=in_marketplace_from,d_hz_shop*G793,0))</f>
        <v/>
      </c>
      <c r="AW794" s="46">
        <f>AV794*IF(B794&gt;=in_marketplace_from,d_hz_shop*G794,0)</f>
        <v/>
      </c>
      <c r="AX794" s="14">
        <f>F794*AW794*in_shop_ticket*in_shop_comm*in_ins_partner_share+F794*in_shop_ticket*in_shop_renew_comm*in_ins_partner_share*(in_shop_renew^1*SUMIFS(AW751:AW796,B751:B796,B794-12)+in_shop_renew^2*SUMIFS(AW751:AW796,B751:B796,B794-24)+in_shop_renew^3*SUMIFS(AW751:AW796,B751:B796,B794-36)+in_shop_renew^4*SUMIFS(AW751:AW796,B751:B796,B794-48))</f>
        <v/>
      </c>
      <c r="AY794" s="40">
        <f>AY793*(1-IF(B793&gt;=in_marketplace_from,d_hz_sip*G793,0))</f>
        <v/>
      </c>
      <c r="AZ794" s="40">
        <f>AZ793*d_rho_sip+AY794*IF(B794&gt;=in_marketplace_from,d_hz_sip*G794,0)</f>
        <v/>
      </c>
      <c r="BA794" s="40">
        <f>d_rho_sip*(BA793+AZ793)</f>
        <v/>
      </c>
      <c r="BB794" s="14">
        <f>F794*in_sip_ticket*(BA794+0.5*AZ794)*in_sip_comm/12</f>
        <v/>
      </c>
      <c r="BC794" s="40">
        <f>BC793*(1-IF(B793&gt;=in_marketplace_from,d_hz_choti*G793,0))</f>
        <v/>
      </c>
      <c r="BD794" s="46">
        <f>BC794*IF(B794&gt;=in_marketplace_from,d_hz_choti*G794,0)</f>
        <v/>
      </c>
      <c r="BE794" s="14">
        <f>F794*SUMIFS(BD751:BD796,B751:B796,B794-in_choti_months)*in_choti_renew*in_choti_ticket</f>
        <v/>
      </c>
      <c r="BF794" s="40">
        <f>BF793*(1-IF(B793&gt;=in_marketplace_from,d_hz_nps*G793,0))</f>
        <v/>
      </c>
      <c r="BG794" s="14">
        <f>F794*BF794*IF(B794&gt;=in_marketplace_from,d_hz_nps*G794,0)*in_nps_ticket*in_nps_comm</f>
        <v/>
      </c>
      <c r="BH794" s="40">
        <f>BH793*(1-IF(B793&gt;=in_marketplace_from,d_hz_gold*G793,0))</f>
        <v/>
      </c>
      <c r="BI794" s="40">
        <f>BI793*d_rho_gold+BH794*IF(B794&gt;=in_marketplace_from,d_hz_gold*G794,0)</f>
        <v/>
      </c>
      <c r="BJ794" s="14">
        <f>F794*BI794*in_gold_ticket*in_gold_comm</f>
        <v/>
      </c>
      <c r="BK794" s="40">
        <f>BK793*(1-IF(B793&gt;=in_marketplace_from,d_hz_fd*G793,0))</f>
        <v/>
      </c>
      <c r="BL794" s="14">
        <f>F794*BK794*IF(B794&gt;=in_marketplace_from,d_hz_fd*G794,0)*in_fd_ticket*in_fd_comm</f>
        <v/>
      </c>
      <c r="BM794" s="40">
        <f>BM793*(1-IF(B793&gt;=in_marketplace_from,d_hz_recharge*G793,0))</f>
        <v/>
      </c>
      <c r="BN794" s="40">
        <f>BN793*d_rho_recharge+BM794*IF(B794&gt;=in_marketplace_from,d_hz_recharge*G794,0)</f>
        <v/>
      </c>
      <c r="BO794" s="14">
        <f>F794*BN794*in_recharge_ticket*in_recharge_comm/12</f>
        <v/>
      </c>
      <c r="BP794" s="40">
        <f>BP793*(1-IF(B793&gt;=in_marketplace_from,d_hz_bills*G793,0))</f>
        <v/>
      </c>
      <c r="BQ794" s="40">
        <f>BQ793*d_rho_bills+BP794*IF(B794&gt;=in_marketplace_from,d_hz_bills*G794,0)</f>
        <v/>
      </c>
      <c r="BR794" s="14">
        <f>F794*BQ794*in_bills_ticket*in_bills_comm/12</f>
        <v/>
      </c>
      <c r="BS794" s="40">
        <f>BS793*(1-IF(B793&gt;=in_marketplace_from,d_hz_loan_gold*G793,0))</f>
        <v/>
      </c>
      <c r="BT794" s="14">
        <f>F794*BS794*IF(B794&gt;=in_marketplace_from,d_hz_loan_gold*G794,0)*in_loan_gold_ticket*in_loan_gold_comm</f>
        <v/>
      </c>
      <c r="BU794" s="40">
        <f>BU793*(1-IF(B793&gt;=in_marketplace_from,d_hz_loan_cd*G793,0))</f>
        <v/>
      </c>
      <c r="BV794" s="14">
        <f>F794*BU794*IF(B794&gt;=in_marketplace_from,d_hz_loan_cd*G794,0)*in_loan_cd_ticket*in_loan_cd_comm</f>
        <v/>
      </c>
      <c r="BW794" s="40">
        <f>BW793*(1-IF(B793&gt;=in_marketplace_from,d_hz_loan_vehicle*G793,0))</f>
        <v/>
      </c>
      <c r="BX794" s="14">
        <f>F794*BW794*IF(B794&gt;=in_marketplace_from,d_hz_loan_vehicle*G794,0)*in_loan_vehicle_ticket*in_loan_vehicle_comm</f>
        <v/>
      </c>
      <c r="BY794" s="40">
        <f>BY793*(1-IF(B793&gt;=in_marketplace_from,d_hz_loan_home*G793,0)*BZ793)</f>
        <v/>
      </c>
      <c r="BZ794" s="11">
        <f>MIN(in_approval_cap,in_loan_home_approval*INDEX('Age profile'!$O$2:$O$61,B794)*(1+in_approval_growth)^(D794-1))</f>
        <v/>
      </c>
      <c r="CA794" s="14">
        <f>F794*BY794*IF(B794&gt;=in_marketplace_from,d_hz_loan_home*G794,0)*BZ794*in_loan_home_ticket*in_loan_home_comm</f>
        <v/>
      </c>
      <c r="CB794" s="40">
        <f>CB793*(1-IF(B793&gt;=in_marketplace_from,d_hz_loan_lap*G793,0)*CC793)</f>
        <v/>
      </c>
      <c r="CC794" s="11">
        <f>MIN(in_approval_cap,in_loan_lap_approval*INDEX('Age profile'!$O$2:$O$61,B794)*(1+in_approval_growth)^(D794-1))</f>
        <v/>
      </c>
      <c r="CD794" s="14">
        <f>F794*CB794*IF(B794&gt;=in_marketplace_from,d_hz_loan_lap*G794,0)*CC794*in_loan_lap_ticket*in_loan_lap_comm</f>
        <v/>
      </c>
      <c r="CE794" s="14">
        <f>AA794+AB794+AC794+AD794+AG794+AJ794+AM794+AP794+AS794+AU794+AX794+BB794+BE794+BG794+BJ794+BL794+BO794+BR794+BT794+BV794+BX794+CA794+CD794</f>
        <v/>
      </c>
    </row>
    <row r="795">
      <c r="A795" s="39" t="n">
        <v>15</v>
      </c>
      <c r="B795" s="39" t="n">
        <v>45</v>
      </c>
      <c r="C795" s="39">
        <f>A795+B795-1</f>
        <v/>
      </c>
      <c r="D795" s="39">
        <f>INT((C795-1)/12)+1</f>
        <v/>
      </c>
      <c r="E795" s="44">
        <f>INDEX(Monthly!$B$2:$B$61,A795)</f>
        <v/>
      </c>
      <c r="F795" s="44">
        <f>E795*INDEX('Age profile'!$B$2:$B$61,B795)</f>
        <v/>
      </c>
      <c r="G795" s="45">
        <f>MIN(in_takeup_cap,INDEX('Age profile'!$N$2:$N$61,B795)*(1+in_takeup_growth)^(D795-1))</f>
        <v/>
      </c>
      <c r="H795" s="11">
        <f>MIN(in_approval_cap,in_approved_first*INDEX('Age profile'!$O$2:$O$61,B795)*(1+in_approval_growth)^(D795-1))</f>
        <v/>
      </c>
      <c r="I795" s="45">
        <f>G795*MIN(in_takeup_cap,INDEX('Age profile'!$O$2:$O$61,B795)*(1+in_approval_growth)^(D795-1))</f>
        <v/>
      </c>
      <c r="J795" s="40">
        <f>(J794-L794)*F795/F794</f>
        <v/>
      </c>
      <c r="K795" s="40">
        <f>(K794-M794)*F795/F794+SUMIFS(O751:O794,B751:B794,B795-1-d_T)*F795</f>
        <v/>
      </c>
      <c r="L795" s="40">
        <f>IF(B795&gt;=in_marketplace_from,J795*d_hz*G795*in_eligible*H795,0)</f>
        <v/>
      </c>
      <c r="M795" s="40">
        <f>IF(B795&gt;=in_marketplace_from,K795*d_hz*G795*in_eligible*in_approved_repeat,0)</f>
        <v/>
      </c>
      <c r="N795" s="40">
        <f>L795+M795</f>
        <v/>
      </c>
      <c r="O795" s="46">
        <f>N795/F795</f>
        <v/>
      </c>
      <c r="P795" s="40">
        <f>F795-J795-K795</f>
        <v/>
      </c>
      <c r="Q795" s="40">
        <f>IF(B795&gt;=in_marketplace_from,(J795+K795)*d_hz*G795,0)</f>
        <v/>
      </c>
      <c r="R795" s="40">
        <f>SUMIFS(N751:N796,B751:B796,"&gt;="&amp;(B795-d_T),B751:B796,"&lt;="&amp;(B795-1))</f>
        <v/>
      </c>
      <c r="S795" s="46">
        <f>(1-d_u)*S794+IF(d_T&gt;in_topup_lag,SUMIFS(O751:O796,B751:B796,B795-in_topup_lag)-d_udrop*SUMIFS(O751:O796,B751:B796,B795-d_T),0)</f>
        <v/>
      </c>
      <c r="T795" s="40">
        <f>F795*d_u*S795</f>
        <v/>
      </c>
      <c r="U795" s="9">
        <f>L795*in_ticket+M795*d_rep_ticket</f>
        <v/>
      </c>
      <c r="V795" s="9">
        <f>U795+T795*d_topup_amt</f>
        <v/>
      </c>
      <c r="W795" s="40">
        <f>N795+T795*d_topup_ratio</f>
        <v/>
      </c>
      <c r="X795" s="40">
        <f>SUMIFS(W751:W796,B751:B796,B795-in_dpd_lag)*d_cured</f>
        <v/>
      </c>
      <c r="Y795" s="40">
        <f>SUMIFS(W751:W796,B751:B796,B795-in_rec_lag)*d_recd</f>
        <v/>
      </c>
      <c r="Z795" s="40">
        <f>IF(AND(B795&gt;=in_marketplace_from,B795&lt;in_marketplace_from+in_card_months),in_card_share/in_card_months*F795*I795,IF(AND(B795&gt;=in_marketplace_from+in_card_months,B795&lt;in_marketplace_from+2*in_card_months),in_card_share*d_card_rem/in_card_months*F795*MIN(in_takeup_cap,(1+in_takeup_growth)^(D795-1))*MIN(in_takeup_cap,(1+in_approval_growth)^(D795-1)),0))</f>
        <v/>
      </c>
      <c r="AA795" s="14">
        <f>V795*in_fee*(1-in_taken_back)</f>
        <v/>
      </c>
      <c r="AB795" s="14">
        <f>SUMIFS(W751:W796,B751:B796,B795-in_dpd_lag)*d_dpd</f>
        <v/>
      </c>
      <c r="AC795" s="14">
        <f>SUMIFS(W751:W796,B751:B796,B795-in_rec_lag)*d_rec</f>
        <v/>
      </c>
      <c r="AD795" s="14">
        <f>Z795*in_card_fee</f>
        <v/>
      </c>
      <c r="AE795" s="40">
        <f>AE794*(1-IF(B794&gt;=in_marketplace_from,d_hz_hlth_small*G794,0))</f>
        <v/>
      </c>
      <c r="AF795" s="46">
        <f>AE795*IF(B795&gt;=in_marketplace_from,d_hz_hlth_small*G795,0)</f>
        <v/>
      </c>
      <c r="AG795" s="14">
        <f>F795*AF795*in_hlth_small_ticket*in_hlth_small_comm*in_ins_partner_share+F795*in_hlth_small_ticket*in_hlth_small_renew_comm*in_ins_partner_share*(in_hlth_small_renew^1*SUMIFS(AF751:AF796,B751:B796,B795-12)+in_hlth_small_renew^2*SUMIFS(AF751:AF796,B751:B796,B795-24)+in_hlth_small_renew^3*SUMIFS(AF751:AF796,B751:B796,B795-36)+in_hlth_small_renew^4*SUMIFS(AF751:AF796,B751:B796,B795-48))</f>
        <v/>
      </c>
      <c r="AH795" s="40">
        <f>AH794*(1-IF(B794&gt;=in_marketplace_from,d_hz_hlth_family*G794,0))</f>
        <v/>
      </c>
      <c r="AI795" s="46">
        <f>AH795*IF(B795&gt;=in_marketplace_from,d_hz_hlth_family*G795,0)</f>
        <v/>
      </c>
      <c r="AJ795" s="14">
        <f>F795*AI795*in_hlth_family_ticket*in_hlth_family_comm*in_ins_partner_share+F795*in_hlth_family_ticket*in_hlth_family_renew_comm*in_ins_partner_share*(in_hlth_family_renew^1*SUMIFS(AI751:AI796,B751:B796,B795-12)+in_hlth_family_renew^2*SUMIFS(AI751:AI796,B751:B796,B795-24)+in_hlth_family_renew^3*SUMIFS(AI751:AI796,B751:B796,B795-36)+in_hlth_family_renew^4*SUMIFS(AI751:AI796,B751:B796,B795-48))</f>
        <v/>
      </c>
      <c r="AK795" s="40">
        <f>AK794*(1-IF(B794&gt;=in_marketplace_from,d_hz_life_term*G794,0))</f>
        <v/>
      </c>
      <c r="AL795" s="46">
        <f>AK795*IF(B795&gt;=in_marketplace_from,d_hz_life_term*G795,0)</f>
        <v/>
      </c>
      <c r="AM795" s="14">
        <f>F795*AL795*in_life_term_ticket*in_life_term_comm*in_ins_partner_share+F795*in_life_term_ticket*in_life_term_renew_comm*in_ins_partner_share*(in_life_term_renew^1*SUMIFS(AL751:AL796,B751:B796,B795-12)+in_life_term_renew^2*SUMIFS(AL751:AL796,B751:B796,B795-24)+in_life_term_renew^3*SUMIFS(AL751:AL796,B751:B796,B795-36)+in_life_term_renew^4*SUMIFS(AL751:AL796,B751:B796,B795-48))</f>
        <v/>
      </c>
      <c r="AN795" s="40">
        <f>AN794*(1-IF(B794&gt;=in_marketplace_from,d_hz_accident*G794,0))</f>
        <v/>
      </c>
      <c r="AO795" s="46">
        <f>AN795*IF(B795&gt;=in_marketplace_from,d_hz_accident*G795,0)</f>
        <v/>
      </c>
      <c r="AP795" s="14">
        <f>F795*AO795*in_accident_ticket*in_accident_comm*in_ins_partner_share+F795*in_accident_ticket*in_accident_renew_comm*in_ins_partner_share*(in_accident_renew^1*SUMIFS(AO751:AO796,B751:B796,B795-12)+in_accident_renew^2*SUMIFS(AO751:AO796,B751:B796,B795-24)+in_accident_renew^3*SUMIFS(AO751:AO796,B751:B796,B795-36)+in_accident_renew^4*SUMIFS(AO751:AO796,B751:B796,B795-48))</f>
        <v/>
      </c>
      <c r="AQ795" s="40">
        <f>AQ794*(1-IF(B794&gt;=in_marketplace_from,d_hz_two_wheeler*G794,0))</f>
        <v/>
      </c>
      <c r="AR795" s="46">
        <f>AQ795*IF(B795&gt;=in_marketplace_from,d_hz_two_wheeler*G795,0)</f>
        <v/>
      </c>
      <c r="AS795" s="14">
        <f>F795*AR795*in_two_wheeler_ticket*in_two_wheeler_comm*in_ins_partner_share+F795*in_two_wheeler_ticket*in_two_wheeler_comm*in_ins_partner_share*(in_two_wheeler_renew^1*SUMIFS(AR751:AR796,B751:B796,B795-12)+in_two_wheeler_renew^2*SUMIFS(AR751:AR796,B751:B796,B795-24)+in_two_wheeler_renew^3*SUMIFS(AR751:AR796,B751:B796,B795-36)+in_two_wheeler_renew^4*SUMIFS(AR751:AR796,B751:B796,B795-48))</f>
        <v/>
      </c>
      <c r="AT795" s="40">
        <f>AT794*(1-IF(B794&gt;=in_marketplace_from,d_hz_device*G794,0))</f>
        <v/>
      </c>
      <c r="AU795" s="14">
        <f>F795*AT795*IF(B795&gt;=in_marketplace_from,d_hz_device*G795,0)*in_device_ticket*in_device_comm*in_ins_partner_share</f>
        <v/>
      </c>
      <c r="AV795" s="40">
        <f>AV794*(1-IF(B794&gt;=in_marketplace_from,d_hz_shop*G794,0))</f>
        <v/>
      </c>
      <c r="AW795" s="46">
        <f>AV795*IF(B795&gt;=in_marketplace_from,d_hz_shop*G795,0)</f>
        <v/>
      </c>
      <c r="AX795" s="14">
        <f>F795*AW795*in_shop_ticket*in_shop_comm*in_ins_partner_share+F795*in_shop_ticket*in_shop_renew_comm*in_ins_partner_share*(in_shop_renew^1*SUMIFS(AW751:AW796,B751:B796,B795-12)+in_shop_renew^2*SUMIFS(AW751:AW796,B751:B796,B795-24)+in_shop_renew^3*SUMIFS(AW751:AW796,B751:B796,B795-36)+in_shop_renew^4*SUMIFS(AW751:AW796,B751:B796,B795-48))</f>
        <v/>
      </c>
      <c r="AY795" s="40">
        <f>AY794*(1-IF(B794&gt;=in_marketplace_from,d_hz_sip*G794,0))</f>
        <v/>
      </c>
      <c r="AZ795" s="40">
        <f>AZ794*d_rho_sip+AY795*IF(B795&gt;=in_marketplace_from,d_hz_sip*G795,0)</f>
        <v/>
      </c>
      <c r="BA795" s="40">
        <f>d_rho_sip*(BA794+AZ794)</f>
        <v/>
      </c>
      <c r="BB795" s="14">
        <f>F795*in_sip_ticket*(BA795+0.5*AZ795)*in_sip_comm/12</f>
        <v/>
      </c>
      <c r="BC795" s="40">
        <f>BC794*(1-IF(B794&gt;=in_marketplace_from,d_hz_choti*G794,0))</f>
        <v/>
      </c>
      <c r="BD795" s="46">
        <f>BC795*IF(B795&gt;=in_marketplace_from,d_hz_choti*G795,0)</f>
        <v/>
      </c>
      <c r="BE795" s="14">
        <f>F795*SUMIFS(BD751:BD796,B751:B796,B795-in_choti_months)*in_choti_renew*in_choti_ticket</f>
        <v/>
      </c>
      <c r="BF795" s="40">
        <f>BF794*(1-IF(B794&gt;=in_marketplace_from,d_hz_nps*G794,0))</f>
        <v/>
      </c>
      <c r="BG795" s="14">
        <f>F795*BF795*IF(B795&gt;=in_marketplace_from,d_hz_nps*G795,0)*in_nps_ticket*in_nps_comm</f>
        <v/>
      </c>
      <c r="BH795" s="40">
        <f>BH794*(1-IF(B794&gt;=in_marketplace_from,d_hz_gold*G794,0))</f>
        <v/>
      </c>
      <c r="BI795" s="40">
        <f>BI794*d_rho_gold+BH795*IF(B795&gt;=in_marketplace_from,d_hz_gold*G795,0)</f>
        <v/>
      </c>
      <c r="BJ795" s="14">
        <f>F795*BI795*in_gold_ticket*in_gold_comm</f>
        <v/>
      </c>
      <c r="BK795" s="40">
        <f>BK794*(1-IF(B794&gt;=in_marketplace_from,d_hz_fd*G794,0))</f>
        <v/>
      </c>
      <c r="BL795" s="14">
        <f>F795*BK795*IF(B795&gt;=in_marketplace_from,d_hz_fd*G795,0)*in_fd_ticket*in_fd_comm</f>
        <v/>
      </c>
      <c r="BM795" s="40">
        <f>BM794*(1-IF(B794&gt;=in_marketplace_from,d_hz_recharge*G794,0))</f>
        <v/>
      </c>
      <c r="BN795" s="40">
        <f>BN794*d_rho_recharge+BM795*IF(B795&gt;=in_marketplace_from,d_hz_recharge*G795,0)</f>
        <v/>
      </c>
      <c r="BO795" s="14">
        <f>F795*BN795*in_recharge_ticket*in_recharge_comm/12</f>
        <v/>
      </c>
      <c r="BP795" s="40">
        <f>BP794*(1-IF(B794&gt;=in_marketplace_from,d_hz_bills*G794,0))</f>
        <v/>
      </c>
      <c r="BQ795" s="40">
        <f>BQ794*d_rho_bills+BP795*IF(B795&gt;=in_marketplace_from,d_hz_bills*G795,0)</f>
        <v/>
      </c>
      <c r="BR795" s="14">
        <f>F795*BQ795*in_bills_ticket*in_bills_comm/12</f>
        <v/>
      </c>
      <c r="BS795" s="40">
        <f>BS794*(1-IF(B794&gt;=in_marketplace_from,d_hz_loan_gold*G794,0))</f>
        <v/>
      </c>
      <c r="BT795" s="14">
        <f>F795*BS795*IF(B795&gt;=in_marketplace_from,d_hz_loan_gold*G795,0)*in_loan_gold_ticket*in_loan_gold_comm</f>
        <v/>
      </c>
      <c r="BU795" s="40">
        <f>BU794*(1-IF(B794&gt;=in_marketplace_from,d_hz_loan_cd*G794,0))</f>
        <v/>
      </c>
      <c r="BV795" s="14">
        <f>F795*BU795*IF(B795&gt;=in_marketplace_from,d_hz_loan_cd*G795,0)*in_loan_cd_ticket*in_loan_cd_comm</f>
        <v/>
      </c>
      <c r="BW795" s="40">
        <f>BW794*(1-IF(B794&gt;=in_marketplace_from,d_hz_loan_vehicle*G794,0))</f>
        <v/>
      </c>
      <c r="BX795" s="14">
        <f>F795*BW795*IF(B795&gt;=in_marketplace_from,d_hz_loan_vehicle*G795,0)*in_loan_vehicle_ticket*in_loan_vehicle_comm</f>
        <v/>
      </c>
      <c r="BY795" s="40">
        <f>BY794*(1-IF(B794&gt;=in_marketplace_from,d_hz_loan_home*G794,0)*BZ794)</f>
        <v/>
      </c>
      <c r="BZ795" s="11">
        <f>MIN(in_approval_cap,in_loan_home_approval*INDEX('Age profile'!$O$2:$O$61,B795)*(1+in_approval_growth)^(D795-1))</f>
        <v/>
      </c>
      <c r="CA795" s="14">
        <f>F795*BY795*IF(B795&gt;=in_marketplace_from,d_hz_loan_home*G795,0)*BZ795*in_loan_home_ticket*in_loan_home_comm</f>
        <v/>
      </c>
      <c r="CB795" s="40">
        <f>CB794*(1-IF(B794&gt;=in_marketplace_from,d_hz_loan_lap*G794,0)*CC794)</f>
        <v/>
      </c>
      <c r="CC795" s="11">
        <f>MIN(in_approval_cap,in_loan_lap_approval*INDEX('Age profile'!$O$2:$O$61,B795)*(1+in_approval_growth)^(D795-1))</f>
        <v/>
      </c>
      <c r="CD795" s="14">
        <f>F795*CB795*IF(B795&gt;=in_marketplace_from,d_hz_loan_lap*G795,0)*CC795*in_loan_lap_ticket*in_loan_lap_comm</f>
        <v/>
      </c>
      <c r="CE795" s="14">
        <f>AA795+AB795+AC795+AD795+AG795+AJ795+AM795+AP795+AS795+AU795+AX795+BB795+BE795+BG795+BJ795+BL795+BO795+BR795+BT795+BV795+BX795+CA795+CD795</f>
        <v/>
      </c>
    </row>
    <row r="796">
      <c r="A796" s="39" t="n">
        <v>15</v>
      </c>
      <c r="B796" s="39" t="n">
        <v>46</v>
      </c>
      <c r="C796" s="39">
        <f>A796+B796-1</f>
        <v/>
      </c>
      <c r="D796" s="39">
        <f>INT((C796-1)/12)+1</f>
        <v/>
      </c>
      <c r="E796" s="44">
        <f>INDEX(Monthly!$B$2:$B$61,A796)</f>
        <v/>
      </c>
      <c r="F796" s="44">
        <f>E796*INDEX('Age profile'!$B$2:$B$61,B796)</f>
        <v/>
      </c>
      <c r="G796" s="45">
        <f>MIN(in_takeup_cap,INDEX('Age profile'!$N$2:$N$61,B796)*(1+in_takeup_growth)^(D796-1))</f>
        <v/>
      </c>
      <c r="H796" s="11">
        <f>MIN(in_approval_cap,in_approved_first*INDEX('Age profile'!$O$2:$O$61,B796)*(1+in_approval_growth)^(D796-1))</f>
        <v/>
      </c>
      <c r="I796" s="45">
        <f>G796*MIN(in_takeup_cap,INDEX('Age profile'!$O$2:$O$61,B796)*(1+in_approval_growth)^(D796-1))</f>
        <v/>
      </c>
      <c r="J796" s="40">
        <f>(J795-L795)*F796/F795</f>
        <v/>
      </c>
      <c r="K796" s="40">
        <f>(K795-M795)*F796/F795+SUMIFS(O751:O795,B751:B795,B796-1-d_T)*F796</f>
        <v/>
      </c>
      <c r="L796" s="40">
        <f>IF(B796&gt;=in_marketplace_from,J796*d_hz*G796*in_eligible*H796,0)</f>
        <v/>
      </c>
      <c r="M796" s="40">
        <f>IF(B796&gt;=in_marketplace_from,K796*d_hz*G796*in_eligible*in_approved_repeat,0)</f>
        <v/>
      </c>
      <c r="N796" s="40">
        <f>L796+M796</f>
        <v/>
      </c>
      <c r="O796" s="46">
        <f>N796/F796</f>
        <v/>
      </c>
      <c r="P796" s="40">
        <f>F796-J796-K796</f>
        <v/>
      </c>
      <c r="Q796" s="40">
        <f>IF(B796&gt;=in_marketplace_from,(J796+K796)*d_hz*G796,0)</f>
        <v/>
      </c>
      <c r="R796" s="40">
        <f>SUMIFS(N751:N796,B751:B796,"&gt;="&amp;(B796-d_T),B751:B796,"&lt;="&amp;(B796-1))</f>
        <v/>
      </c>
      <c r="S796" s="46">
        <f>(1-d_u)*S795+IF(d_T&gt;in_topup_lag,SUMIFS(O751:O796,B751:B796,B796-in_topup_lag)-d_udrop*SUMIFS(O751:O796,B751:B796,B796-d_T),0)</f>
        <v/>
      </c>
      <c r="T796" s="40">
        <f>F796*d_u*S796</f>
        <v/>
      </c>
      <c r="U796" s="9">
        <f>L796*in_ticket+M796*d_rep_ticket</f>
        <v/>
      </c>
      <c r="V796" s="9">
        <f>U796+T796*d_topup_amt</f>
        <v/>
      </c>
      <c r="W796" s="40">
        <f>N796+T796*d_topup_ratio</f>
        <v/>
      </c>
      <c r="X796" s="40">
        <f>SUMIFS(W751:W796,B751:B796,B796-in_dpd_lag)*d_cured</f>
        <v/>
      </c>
      <c r="Y796" s="40">
        <f>SUMIFS(W751:W796,B751:B796,B796-in_rec_lag)*d_recd</f>
        <v/>
      </c>
      <c r="Z796" s="40">
        <f>IF(AND(B796&gt;=in_marketplace_from,B796&lt;in_marketplace_from+in_card_months),in_card_share/in_card_months*F796*I796,IF(AND(B796&gt;=in_marketplace_from+in_card_months,B796&lt;in_marketplace_from+2*in_card_months),in_card_share*d_card_rem/in_card_months*F796*MIN(in_takeup_cap,(1+in_takeup_growth)^(D796-1))*MIN(in_takeup_cap,(1+in_approval_growth)^(D796-1)),0))</f>
        <v/>
      </c>
      <c r="AA796" s="14">
        <f>V796*in_fee*(1-in_taken_back)</f>
        <v/>
      </c>
      <c r="AB796" s="14">
        <f>SUMIFS(W751:W796,B751:B796,B796-in_dpd_lag)*d_dpd</f>
        <v/>
      </c>
      <c r="AC796" s="14">
        <f>SUMIFS(W751:W796,B751:B796,B796-in_rec_lag)*d_rec</f>
        <v/>
      </c>
      <c r="AD796" s="14">
        <f>Z796*in_card_fee</f>
        <v/>
      </c>
      <c r="AE796" s="40">
        <f>AE795*(1-IF(B795&gt;=in_marketplace_from,d_hz_hlth_small*G795,0))</f>
        <v/>
      </c>
      <c r="AF796" s="46">
        <f>AE796*IF(B796&gt;=in_marketplace_from,d_hz_hlth_small*G796,0)</f>
        <v/>
      </c>
      <c r="AG796" s="14">
        <f>F796*AF796*in_hlth_small_ticket*in_hlth_small_comm*in_ins_partner_share+F796*in_hlth_small_ticket*in_hlth_small_renew_comm*in_ins_partner_share*(in_hlth_small_renew^1*SUMIFS(AF751:AF796,B751:B796,B796-12)+in_hlth_small_renew^2*SUMIFS(AF751:AF796,B751:B796,B796-24)+in_hlth_small_renew^3*SUMIFS(AF751:AF796,B751:B796,B796-36)+in_hlth_small_renew^4*SUMIFS(AF751:AF796,B751:B796,B796-48))</f>
        <v/>
      </c>
      <c r="AH796" s="40">
        <f>AH795*(1-IF(B795&gt;=in_marketplace_from,d_hz_hlth_family*G795,0))</f>
        <v/>
      </c>
      <c r="AI796" s="46">
        <f>AH796*IF(B796&gt;=in_marketplace_from,d_hz_hlth_family*G796,0)</f>
        <v/>
      </c>
      <c r="AJ796" s="14">
        <f>F796*AI796*in_hlth_family_ticket*in_hlth_family_comm*in_ins_partner_share+F796*in_hlth_family_ticket*in_hlth_family_renew_comm*in_ins_partner_share*(in_hlth_family_renew^1*SUMIFS(AI751:AI796,B751:B796,B796-12)+in_hlth_family_renew^2*SUMIFS(AI751:AI796,B751:B796,B796-24)+in_hlth_family_renew^3*SUMIFS(AI751:AI796,B751:B796,B796-36)+in_hlth_family_renew^4*SUMIFS(AI751:AI796,B751:B796,B796-48))</f>
        <v/>
      </c>
      <c r="AK796" s="40">
        <f>AK795*(1-IF(B795&gt;=in_marketplace_from,d_hz_life_term*G795,0))</f>
        <v/>
      </c>
      <c r="AL796" s="46">
        <f>AK796*IF(B796&gt;=in_marketplace_from,d_hz_life_term*G796,0)</f>
        <v/>
      </c>
      <c r="AM796" s="14">
        <f>F796*AL796*in_life_term_ticket*in_life_term_comm*in_ins_partner_share+F796*in_life_term_ticket*in_life_term_renew_comm*in_ins_partner_share*(in_life_term_renew^1*SUMIFS(AL751:AL796,B751:B796,B796-12)+in_life_term_renew^2*SUMIFS(AL751:AL796,B751:B796,B796-24)+in_life_term_renew^3*SUMIFS(AL751:AL796,B751:B796,B796-36)+in_life_term_renew^4*SUMIFS(AL751:AL796,B751:B796,B796-48))</f>
        <v/>
      </c>
      <c r="AN796" s="40">
        <f>AN795*(1-IF(B795&gt;=in_marketplace_from,d_hz_accident*G795,0))</f>
        <v/>
      </c>
      <c r="AO796" s="46">
        <f>AN796*IF(B796&gt;=in_marketplace_from,d_hz_accident*G796,0)</f>
        <v/>
      </c>
      <c r="AP796" s="14">
        <f>F796*AO796*in_accident_ticket*in_accident_comm*in_ins_partner_share+F796*in_accident_ticket*in_accident_renew_comm*in_ins_partner_share*(in_accident_renew^1*SUMIFS(AO751:AO796,B751:B796,B796-12)+in_accident_renew^2*SUMIFS(AO751:AO796,B751:B796,B796-24)+in_accident_renew^3*SUMIFS(AO751:AO796,B751:B796,B796-36)+in_accident_renew^4*SUMIFS(AO751:AO796,B751:B796,B796-48))</f>
        <v/>
      </c>
      <c r="AQ796" s="40">
        <f>AQ795*(1-IF(B795&gt;=in_marketplace_from,d_hz_two_wheeler*G795,0))</f>
        <v/>
      </c>
      <c r="AR796" s="46">
        <f>AQ796*IF(B796&gt;=in_marketplace_from,d_hz_two_wheeler*G796,0)</f>
        <v/>
      </c>
      <c r="AS796" s="14">
        <f>F796*AR796*in_two_wheeler_ticket*in_two_wheeler_comm*in_ins_partner_share+F796*in_two_wheeler_ticket*in_two_wheeler_comm*in_ins_partner_share*(in_two_wheeler_renew^1*SUMIFS(AR751:AR796,B751:B796,B796-12)+in_two_wheeler_renew^2*SUMIFS(AR751:AR796,B751:B796,B796-24)+in_two_wheeler_renew^3*SUMIFS(AR751:AR796,B751:B796,B796-36)+in_two_wheeler_renew^4*SUMIFS(AR751:AR796,B751:B796,B796-48))</f>
        <v/>
      </c>
      <c r="AT796" s="40">
        <f>AT795*(1-IF(B795&gt;=in_marketplace_from,d_hz_device*G795,0))</f>
        <v/>
      </c>
      <c r="AU796" s="14">
        <f>F796*AT796*IF(B796&gt;=in_marketplace_from,d_hz_device*G796,0)*in_device_ticket*in_device_comm*in_ins_partner_share</f>
        <v/>
      </c>
      <c r="AV796" s="40">
        <f>AV795*(1-IF(B795&gt;=in_marketplace_from,d_hz_shop*G795,0))</f>
        <v/>
      </c>
      <c r="AW796" s="46">
        <f>AV796*IF(B796&gt;=in_marketplace_from,d_hz_shop*G796,0)</f>
        <v/>
      </c>
      <c r="AX796" s="14">
        <f>F796*AW796*in_shop_ticket*in_shop_comm*in_ins_partner_share+F796*in_shop_ticket*in_shop_renew_comm*in_ins_partner_share*(in_shop_renew^1*SUMIFS(AW751:AW796,B751:B796,B796-12)+in_shop_renew^2*SUMIFS(AW751:AW796,B751:B796,B796-24)+in_shop_renew^3*SUMIFS(AW751:AW796,B751:B796,B796-36)+in_shop_renew^4*SUMIFS(AW751:AW796,B751:B796,B796-48))</f>
        <v/>
      </c>
      <c r="AY796" s="40">
        <f>AY795*(1-IF(B795&gt;=in_marketplace_from,d_hz_sip*G795,0))</f>
        <v/>
      </c>
      <c r="AZ796" s="40">
        <f>AZ795*d_rho_sip+AY796*IF(B796&gt;=in_marketplace_from,d_hz_sip*G796,0)</f>
        <v/>
      </c>
      <c r="BA796" s="40">
        <f>d_rho_sip*(BA795+AZ795)</f>
        <v/>
      </c>
      <c r="BB796" s="14">
        <f>F796*in_sip_ticket*(BA796+0.5*AZ796)*in_sip_comm/12</f>
        <v/>
      </c>
      <c r="BC796" s="40">
        <f>BC795*(1-IF(B795&gt;=in_marketplace_from,d_hz_choti*G795,0))</f>
        <v/>
      </c>
      <c r="BD796" s="46">
        <f>BC796*IF(B796&gt;=in_marketplace_from,d_hz_choti*G796,0)</f>
        <v/>
      </c>
      <c r="BE796" s="14">
        <f>F796*SUMIFS(BD751:BD796,B751:B796,B796-in_choti_months)*in_choti_renew*in_choti_ticket</f>
        <v/>
      </c>
      <c r="BF796" s="40">
        <f>BF795*(1-IF(B795&gt;=in_marketplace_from,d_hz_nps*G795,0))</f>
        <v/>
      </c>
      <c r="BG796" s="14">
        <f>F796*BF796*IF(B796&gt;=in_marketplace_from,d_hz_nps*G796,0)*in_nps_ticket*in_nps_comm</f>
        <v/>
      </c>
      <c r="BH796" s="40">
        <f>BH795*(1-IF(B795&gt;=in_marketplace_from,d_hz_gold*G795,0))</f>
        <v/>
      </c>
      <c r="BI796" s="40">
        <f>BI795*d_rho_gold+BH796*IF(B796&gt;=in_marketplace_from,d_hz_gold*G796,0)</f>
        <v/>
      </c>
      <c r="BJ796" s="14">
        <f>F796*BI796*in_gold_ticket*in_gold_comm</f>
        <v/>
      </c>
      <c r="BK796" s="40">
        <f>BK795*(1-IF(B795&gt;=in_marketplace_from,d_hz_fd*G795,0))</f>
        <v/>
      </c>
      <c r="BL796" s="14">
        <f>F796*BK796*IF(B796&gt;=in_marketplace_from,d_hz_fd*G796,0)*in_fd_ticket*in_fd_comm</f>
        <v/>
      </c>
      <c r="BM796" s="40">
        <f>BM795*(1-IF(B795&gt;=in_marketplace_from,d_hz_recharge*G795,0))</f>
        <v/>
      </c>
      <c r="BN796" s="40">
        <f>BN795*d_rho_recharge+BM796*IF(B796&gt;=in_marketplace_from,d_hz_recharge*G796,0)</f>
        <v/>
      </c>
      <c r="BO796" s="14">
        <f>F796*BN796*in_recharge_ticket*in_recharge_comm/12</f>
        <v/>
      </c>
      <c r="BP796" s="40">
        <f>BP795*(1-IF(B795&gt;=in_marketplace_from,d_hz_bills*G795,0))</f>
        <v/>
      </c>
      <c r="BQ796" s="40">
        <f>BQ795*d_rho_bills+BP796*IF(B796&gt;=in_marketplace_from,d_hz_bills*G796,0)</f>
        <v/>
      </c>
      <c r="BR796" s="14">
        <f>F796*BQ796*in_bills_ticket*in_bills_comm/12</f>
        <v/>
      </c>
      <c r="BS796" s="40">
        <f>BS795*(1-IF(B795&gt;=in_marketplace_from,d_hz_loan_gold*G795,0))</f>
        <v/>
      </c>
      <c r="BT796" s="14">
        <f>F796*BS796*IF(B796&gt;=in_marketplace_from,d_hz_loan_gold*G796,0)*in_loan_gold_ticket*in_loan_gold_comm</f>
        <v/>
      </c>
      <c r="BU796" s="40">
        <f>BU795*(1-IF(B795&gt;=in_marketplace_from,d_hz_loan_cd*G795,0))</f>
        <v/>
      </c>
      <c r="BV796" s="14">
        <f>F796*BU796*IF(B796&gt;=in_marketplace_from,d_hz_loan_cd*G796,0)*in_loan_cd_ticket*in_loan_cd_comm</f>
        <v/>
      </c>
      <c r="BW796" s="40">
        <f>BW795*(1-IF(B795&gt;=in_marketplace_from,d_hz_loan_vehicle*G795,0))</f>
        <v/>
      </c>
      <c r="BX796" s="14">
        <f>F796*BW796*IF(B796&gt;=in_marketplace_from,d_hz_loan_vehicle*G796,0)*in_loan_vehicle_ticket*in_loan_vehicle_comm</f>
        <v/>
      </c>
      <c r="BY796" s="40">
        <f>BY795*(1-IF(B795&gt;=in_marketplace_from,d_hz_loan_home*G795,0)*BZ795)</f>
        <v/>
      </c>
      <c r="BZ796" s="11">
        <f>MIN(in_approval_cap,in_loan_home_approval*INDEX('Age profile'!$O$2:$O$61,B796)*(1+in_approval_growth)^(D796-1))</f>
        <v/>
      </c>
      <c r="CA796" s="14">
        <f>F796*BY796*IF(B796&gt;=in_marketplace_from,d_hz_loan_home*G796,0)*BZ796*in_loan_home_ticket*in_loan_home_comm</f>
        <v/>
      </c>
      <c r="CB796" s="40">
        <f>CB795*(1-IF(B795&gt;=in_marketplace_from,d_hz_loan_lap*G795,0)*CC795)</f>
        <v/>
      </c>
      <c r="CC796" s="11">
        <f>MIN(in_approval_cap,in_loan_lap_approval*INDEX('Age profile'!$O$2:$O$61,B796)*(1+in_approval_growth)^(D796-1))</f>
        <v/>
      </c>
      <c r="CD796" s="14">
        <f>F796*CB796*IF(B796&gt;=in_marketplace_from,d_hz_loan_lap*G796,0)*CC796*in_loan_lap_ticket*in_loan_lap_comm</f>
        <v/>
      </c>
      <c r="CE796" s="14">
        <f>AA796+AB796+AC796+AD796+AG796+AJ796+AM796+AP796+AS796+AU796+AX796+BB796+BE796+BG796+BJ796+BL796+BO796+BR796+BT796+BV796+BX796+CA796+CD796</f>
        <v/>
      </c>
    </row>
    <row r="797">
      <c r="A797" s="39" t="n">
        <v>16</v>
      </c>
      <c r="B797" s="39" t="n">
        <v>1</v>
      </c>
      <c r="C797" s="39">
        <f>A797+B797-1</f>
        <v/>
      </c>
      <c r="D797" s="39">
        <f>INT((C797-1)/12)+1</f>
        <v/>
      </c>
      <c r="E797" s="44">
        <f>INDEX(Monthly!$B$2:$B$61,A797)</f>
        <v/>
      </c>
      <c r="F797" s="44">
        <f>E797*INDEX('Age profile'!$B$2:$B$61,B797)</f>
        <v/>
      </c>
      <c r="G797" s="45">
        <f>MIN(in_takeup_cap,INDEX('Age profile'!$N$2:$N$61,B797)*(1+in_takeup_growth)^(D797-1))</f>
        <v/>
      </c>
      <c r="H797" s="11">
        <f>MIN(in_approval_cap,in_approved_first*INDEX('Age profile'!$O$2:$O$61,B797)*(1+in_approval_growth)^(D797-1))</f>
        <v/>
      </c>
      <c r="I797" s="45">
        <f>G797*MIN(in_takeup_cap,INDEX('Age profile'!$O$2:$O$61,B797)*(1+in_approval_growth)^(D797-1))</f>
        <v/>
      </c>
      <c r="J797" s="40">
        <f>E797</f>
        <v/>
      </c>
      <c r="K797" s="40" t="n">
        <v>0</v>
      </c>
      <c r="L797" s="40">
        <f>IF(B797&gt;=in_marketplace_from,J797*d_hz*G797*in_eligible*H797,0)</f>
        <v/>
      </c>
      <c r="M797" s="40">
        <f>IF(B797&gt;=in_marketplace_from,K797*d_hz*G797*in_eligible*in_approved_repeat,0)</f>
        <v/>
      </c>
      <c r="N797" s="40">
        <f>L797+M797</f>
        <v/>
      </c>
      <c r="O797" s="46">
        <f>N797/F797</f>
        <v/>
      </c>
      <c r="P797" s="40">
        <f>F797-J797-K797</f>
        <v/>
      </c>
      <c r="Q797" s="40">
        <f>IF(B797&gt;=in_marketplace_from,(J797+K797)*d_hz*G797,0)</f>
        <v/>
      </c>
      <c r="R797" s="40">
        <f>SUMIFS(N797:N841,B797:B841,"&gt;="&amp;(B797-d_T),B797:B841,"&lt;="&amp;(B797-1))</f>
        <v/>
      </c>
      <c r="S797" s="46" t="n">
        <v>0</v>
      </c>
      <c r="T797" s="40">
        <f>F797*d_u*S797</f>
        <v/>
      </c>
      <c r="U797" s="9">
        <f>L797*in_ticket+M797*d_rep_ticket</f>
        <v/>
      </c>
      <c r="V797" s="9">
        <f>U797+T797*d_topup_amt</f>
        <v/>
      </c>
      <c r="W797" s="40">
        <f>N797+T797*d_topup_ratio</f>
        <v/>
      </c>
      <c r="X797" s="40">
        <f>SUMIFS(W797:W841,B797:B841,B797-in_dpd_lag)*d_cured</f>
        <v/>
      </c>
      <c r="Y797" s="40">
        <f>SUMIFS(W797:W841,B797:B841,B797-in_rec_lag)*d_recd</f>
        <v/>
      </c>
      <c r="Z797" s="40">
        <f>IF(AND(B797&gt;=in_marketplace_from,B797&lt;in_marketplace_from+in_card_months),in_card_share/in_card_months*F797*I797,IF(AND(B797&gt;=in_marketplace_from+in_card_months,B797&lt;in_marketplace_from+2*in_card_months),in_card_share*d_card_rem/in_card_months*F797*MIN(in_takeup_cap,(1+in_takeup_growth)^(D797-1))*MIN(in_takeup_cap,(1+in_approval_growth)^(D797-1)),0))</f>
        <v/>
      </c>
      <c r="AA797" s="14">
        <f>V797*in_fee*(1-in_taken_back)</f>
        <v/>
      </c>
      <c r="AB797" s="14">
        <f>SUMIFS(W797:W841,B797:B841,B797-in_dpd_lag)*d_dpd</f>
        <v/>
      </c>
      <c r="AC797" s="14">
        <f>SUMIFS(W797:W841,B797:B841,B797-in_rec_lag)*d_rec</f>
        <v/>
      </c>
      <c r="AD797" s="14">
        <f>Z797*in_card_fee</f>
        <v/>
      </c>
      <c r="AE797" s="40" t="n">
        <v>1</v>
      </c>
      <c r="AF797" s="46">
        <f>AE797*IF(B797&gt;=in_marketplace_from,d_hz_hlth_small*G797,0)</f>
        <v/>
      </c>
      <c r="AG797" s="14">
        <f>F797*AF797*in_hlth_small_ticket*in_hlth_small_comm*in_ins_partner_share+F797*in_hlth_small_ticket*in_hlth_small_renew_comm*in_ins_partner_share*(in_hlth_small_renew^1*SUMIFS(AF797:AF841,B797:B841,B797-12)+in_hlth_small_renew^2*SUMIFS(AF797:AF841,B797:B841,B797-24)+in_hlth_small_renew^3*SUMIFS(AF797:AF841,B797:B841,B797-36)+in_hlth_small_renew^4*SUMIFS(AF797:AF841,B797:B841,B797-48))</f>
        <v/>
      </c>
      <c r="AH797" s="40" t="n">
        <v>1</v>
      </c>
      <c r="AI797" s="46">
        <f>AH797*IF(B797&gt;=in_marketplace_from,d_hz_hlth_family*G797,0)</f>
        <v/>
      </c>
      <c r="AJ797" s="14">
        <f>F797*AI797*in_hlth_family_ticket*in_hlth_family_comm*in_ins_partner_share+F797*in_hlth_family_ticket*in_hlth_family_renew_comm*in_ins_partner_share*(in_hlth_family_renew^1*SUMIFS(AI797:AI841,B797:B841,B797-12)+in_hlth_family_renew^2*SUMIFS(AI797:AI841,B797:B841,B797-24)+in_hlth_family_renew^3*SUMIFS(AI797:AI841,B797:B841,B797-36)+in_hlth_family_renew^4*SUMIFS(AI797:AI841,B797:B841,B797-48))</f>
        <v/>
      </c>
      <c r="AK797" s="40" t="n">
        <v>1</v>
      </c>
      <c r="AL797" s="46">
        <f>AK797*IF(B797&gt;=in_marketplace_from,d_hz_life_term*G797,0)</f>
        <v/>
      </c>
      <c r="AM797" s="14">
        <f>F797*AL797*in_life_term_ticket*in_life_term_comm*in_ins_partner_share+F797*in_life_term_ticket*in_life_term_renew_comm*in_ins_partner_share*(in_life_term_renew^1*SUMIFS(AL797:AL841,B797:B841,B797-12)+in_life_term_renew^2*SUMIFS(AL797:AL841,B797:B841,B797-24)+in_life_term_renew^3*SUMIFS(AL797:AL841,B797:B841,B797-36)+in_life_term_renew^4*SUMIFS(AL797:AL841,B797:B841,B797-48))</f>
        <v/>
      </c>
      <c r="AN797" s="40" t="n">
        <v>1</v>
      </c>
      <c r="AO797" s="46">
        <f>AN797*IF(B797&gt;=in_marketplace_from,d_hz_accident*G797,0)</f>
        <v/>
      </c>
      <c r="AP797" s="14">
        <f>F797*AO797*in_accident_ticket*in_accident_comm*in_ins_partner_share+F797*in_accident_ticket*in_accident_renew_comm*in_ins_partner_share*(in_accident_renew^1*SUMIFS(AO797:AO841,B797:B841,B797-12)+in_accident_renew^2*SUMIFS(AO797:AO841,B797:B841,B797-24)+in_accident_renew^3*SUMIFS(AO797:AO841,B797:B841,B797-36)+in_accident_renew^4*SUMIFS(AO797:AO841,B797:B841,B797-48))</f>
        <v/>
      </c>
      <c r="AQ797" s="40" t="n">
        <v>1</v>
      </c>
      <c r="AR797" s="46">
        <f>AQ797*IF(B797&gt;=in_marketplace_from,d_hz_two_wheeler*G797,0)</f>
        <v/>
      </c>
      <c r="AS797" s="14">
        <f>F797*AR797*in_two_wheeler_ticket*in_two_wheeler_comm*in_ins_partner_share+F797*in_two_wheeler_ticket*in_two_wheeler_comm*in_ins_partner_share*(in_two_wheeler_renew^1*SUMIFS(AR797:AR841,B797:B841,B797-12)+in_two_wheeler_renew^2*SUMIFS(AR797:AR841,B797:B841,B797-24)+in_two_wheeler_renew^3*SUMIFS(AR797:AR841,B797:B841,B797-36)+in_two_wheeler_renew^4*SUMIFS(AR797:AR841,B797:B841,B797-48))</f>
        <v/>
      </c>
      <c r="AT797" s="40" t="n">
        <v>1</v>
      </c>
      <c r="AU797" s="14">
        <f>F797*AT797*IF(B797&gt;=in_marketplace_from,d_hz_device*G797,0)*in_device_ticket*in_device_comm*in_ins_partner_share</f>
        <v/>
      </c>
      <c r="AV797" s="40" t="n">
        <v>1</v>
      </c>
      <c r="AW797" s="46">
        <f>AV797*IF(B797&gt;=in_marketplace_from,d_hz_shop*G797,0)</f>
        <v/>
      </c>
      <c r="AX797" s="14">
        <f>F797*AW797*in_shop_ticket*in_shop_comm*in_ins_partner_share+F797*in_shop_ticket*in_shop_renew_comm*in_ins_partner_share*(in_shop_renew^1*SUMIFS(AW797:AW841,B797:B841,B797-12)+in_shop_renew^2*SUMIFS(AW797:AW841,B797:B841,B797-24)+in_shop_renew^3*SUMIFS(AW797:AW841,B797:B841,B797-36)+in_shop_renew^4*SUMIFS(AW797:AW841,B797:B841,B797-48))</f>
        <v/>
      </c>
      <c r="AY797" s="40" t="n">
        <v>1</v>
      </c>
      <c r="AZ797" s="40">
        <f>AY797*IF(B797&gt;=in_marketplace_from,d_hz_sip*G797,0)</f>
        <v/>
      </c>
      <c r="BA797" s="40" t="n">
        <v>0</v>
      </c>
      <c r="BB797" s="14">
        <f>F797*in_sip_ticket*(BA797+0.5*AZ797)*in_sip_comm/12</f>
        <v/>
      </c>
      <c r="BC797" s="40" t="n">
        <v>1</v>
      </c>
      <c r="BD797" s="46">
        <f>BC797*IF(B797&gt;=in_marketplace_from,d_hz_choti*G797,0)</f>
        <v/>
      </c>
      <c r="BE797" s="14">
        <f>F797*SUMIFS(BD797:BD841,B797:B841,B797-in_choti_months)*in_choti_renew*in_choti_ticket</f>
        <v/>
      </c>
      <c r="BF797" s="40" t="n">
        <v>1</v>
      </c>
      <c r="BG797" s="14">
        <f>F797*BF797*IF(B797&gt;=in_marketplace_from,d_hz_nps*G797,0)*in_nps_ticket*in_nps_comm</f>
        <v/>
      </c>
      <c r="BH797" s="40" t="n">
        <v>1</v>
      </c>
      <c r="BI797" s="40">
        <f>BH797*IF(B797&gt;=in_marketplace_from,d_hz_gold*G797,0)</f>
        <v/>
      </c>
      <c r="BJ797" s="14">
        <f>F797*BI797*in_gold_ticket*in_gold_comm</f>
        <v/>
      </c>
      <c r="BK797" s="40" t="n">
        <v>1</v>
      </c>
      <c r="BL797" s="14">
        <f>F797*BK797*IF(B797&gt;=in_marketplace_from,d_hz_fd*G797,0)*in_fd_ticket*in_fd_comm</f>
        <v/>
      </c>
      <c r="BM797" s="40" t="n">
        <v>1</v>
      </c>
      <c r="BN797" s="40">
        <f>BM797*IF(B797&gt;=in_marketplace_from,d_hz_recharge*G797,0)</f>
        <v/>
      </c>
      <c r="BO797" s="14">
        <f>F797*BN797*in_recharge_ticket*in_recharge_comm/12</f>
        <v/>
      </c>
      <c r="BP797" s="40" t="n">
        <v>1</v>
      </c>
      <c r="BQ797" s="40">
        <f>BP797*IF(B797&gt;=in_marketplace_from,d_hz_bills*G797,0)</f>
        <v/>
      </c>
      <c r="BR797" s="14">
        <f>F797*BQ797*in_bills_ticket*in_bills_comm/12</f>
        <v/>
      </c>
      <c r="BS797" s="40" t="n">
        <v>1</v>
      </c>
      <c r="BT797" s="14">
        <f>F797*BS797*IF(B797&gt;=in_marketplace_from,d_hz_loan_gold*G797,0)*in_loan_gold_ticket*in_loan_gold_comm</f>
        <v/>
      </c>
      <c r="BU797" s="40" t="n">
        <v>1</v>
      </c>
      <c r="BV797" s="14">
        <f>F797*BU797*IF(B797&gt;=in_marketplace_from,d_hz_loan_cd*G797,0)*in_loan_cd_ticket*in_loan_cd_comm</f>
        <v/>
      </c>
      <c r="BW797" s="40" t="n">
        <v>1</v>
      </c>
      <c r="BX797" s="14">
        <f>F797*BW797*IF(B797&gt;=in_marketplace_from,d_hz_loan_vehicle*G797,0)*in_loan_vehicle_ticket*in_loan_vehicle_comm</f>
        <v/>
      </c>
      <c r="BY797" s="40" t="n">
        <v>1</v>
      </c>
      <c r="BZ797" s="11">
        <f>MIN(in_approval_cap,in_loan_home_approval*INDEX('Age profile'!$O$2:$O$61,B797)*(1+in_approval_growth)^(D797-1))</f>
        <v/>
      </c>
      <c r="CA797" s="14">
        <f>F797*BY797*IF(B797&gt;=in_marketplace_from,d_hz_loan_home*G797,0)*BZ797*in_loan_home_ticket*in_loan_home_comm</f>
        <v/>
      </c>
      <c r="CB797" s="40" t="n">
        <v>1</v>
      </c>
      <c r="CC797" s="11">
        <f>MIN(in_approval_cap,in_loan_lap_approval*INDEX('Age profile'!$O$2:$O$61,B797)*(1+in_approval_growth)^(D797-1))</f>
        <v/>
      </c>
      <c r="CD797" s="14">
        <f>F797*CB797*IF(B797&gt;=in_marketplace_from,d_hz_loan_lap*G797,0)*CC797*in_loan_lap_ticket*in_loan_lap_comm</f>
        <v/>
      </c>
      <c r="CE797" s="14">
        <f>AA797+AB797+AC797+AD797+AG797+AJ797+AM797+AP797+AS797+AU797+AX797+BB797+BE797+BG797+BJ797+BL797+BO797+BR797+BT797+BV797+BX797+CA797+CD797</f>
        <v/>
      </c>
    </row>
    <row r="798">
      <c r="A798" s="39" t="n">
        <v>16</v>
      </c>
      <c r="B798" s="39" t="n">
        <v>2</v>
      </c>
      <c r="C798" s="39">
        <f>A798+B798-1</f>
        <v/>
      </c>
      <c r="D798" s="39">
        <f>INT((C798-1)/12)+1</f>
        <v/>
      </c>
      <c r="E798" s="44">
        <f>INDEX(Monthly!$B$2:$B$61,A798)</f>
        <v/>
      </c>
      <c r="F798" s="44">
        <f>E798*INDEX('Age profile'!$B$2:$B$61,B798)</f>
        <v/>
      </c>
      <c r="G798" s="45">
        <f>MIN(in_takeup_cap,INDEX('Age profile'!$N$2:$N$61,B798)*(1+in_takeup_growth)^(D798-1))</f>
        <v/>
      </c>
      <c r="H798" s="11">
        <f>MIN(in_approval_cap,in_approved_first*INDEX('Age profile'!$O$2:$O$61,B798)*(1+in_approval_growth)^(D798-1))</f>
        <v/>
      </c>
      <c r="I798" s="45">
        <f>G798*MIN(in_takeup_cap,INDEX('Age profile'!$O$2:$O$61,B798)*(1+in_approval_growth)^(D798-1))</f>
        <v/>
      </c>
      <c r="J798" s="40">
        <f>(J797-L797)*F798/F797</f>
        <v/>
      </c>
      <c r="K798" s="40">
        <f>(K797-M797)*F798/F797+SUMIFS(O797:O797,B797:B797,B798-1-d_T)*F798</f>
        <v/>
      </c>
      <c r="L798" s="40">
        <f>IF(B798&gt;=in_marketplace_from,J798*d_hz*G798*in_eligible*H798,0)</f>
        <v/>
      </c>
      <c r="M798" s="40">
        <f>IF(B798&gt;=in_marketplace_from,K798*d_hz*G798*in_eligible*in_approved_repeat,0)</f>
        <v/>
      </c>
      <c r="N798" s="40">
        <f>L798+M798</f>
        <v/>
      </c>
      <c r="O798" s="46">
        <f>N798/F798</f>
        <v/>
      </c>
      <c r="P798" s="40">
        <f>F798-J798-K798</f>
        <v/>
      </c>
      <c r="Q798" s="40">
        <f>IF(B798&gt;=in_marketplace_from,(J798+K798)*d_hz*G798,0)</f>
        <v/>
      </c>
      <c r="R798" s="40">
        <f>SUMIFS(N797:N841,B797:B841,"&gt;="&amp;(B798-d_T),B797:B841,"&lt;="&amp;(B798-1))</f>
        <v/>
      </c>
      <c r="S798" s="46">
        <f>(1-d_u)*S797+IF(d_T&gt;in_topup_lag,SUMIFS(O797:O841,B797:B841,B798-in_topup_lag)-d_udrop*SUMIFS(O797:O841,B797:B841,B798-d_T),0)</f>
        <v/>
      </c>
      <c r="T798" s="40">
        <f>F798*d_u*S798</f>
        <v/>
      </c>
      <c r="U798" s="9">
        <f>L798*in_ticket+M798*d_rep_ticket</f>
        <v/>
      </c>
      <c r="V798" s="9">
        <f>U798+T798*d_topup_amt</f>
        <v/>
      </c>
      <c r="W798" s="40">
        <f>N798+T798*d_topup_ratio</f>
        <v/>
      </c>
      <c r="X798" s="40">
        <f>SUMIFS(W797:W841,B797:B841,B798-in_dpd_lag)*d_cured</f>
        <v/>
      </c>
      <c r="Y798" s="40">
        <f>SUMIFS(W797:W841,B797:B841,B798-in_rec_lag)*d_recd</f>
        <v/>
      </c>
      <c r="Z798" s="40">
        <f>IF(AND(B798&gt;=in_marketplace_from,B798&lt;in_marketplace_from+in_card_months),in_card_share/in_card_months*F798*I798,IF(AND(B798&gt;=in_marketplace_from+in_card_months,B798&lt;in_marketplace_from+2*in_card_months),in_card_share*d_card_rem/in_card_months*F798*MIN(in_takeup_cap,(1+in_takeup_growth)^(D798-1))*MIN(in_takeup_cap,(1+in_approval_growth)^(D798-1)),0))</f>
        <v/>
      </c>
      <c r="AA798" s="14">
        <f>V798*in_fee*(1-in_taken_back)</f>
        <v/>
      </c>
      <c r="AB798" s="14">
        <f>SUMIFS(W797:W841,B797:B841,B798-in_dpd_lag)*d_dpd</f>
        <v/>
      </c>
      <c r="AC798" s="14">
        <f>SUMIFS(W797:W841,B797:B841,B798-in_rec_lag)*d_rec</f>
        <v/>
      </c>
      <c r="AD798" s="14">
        <f>Z798*in_card_fee</f>
        <v/>
      </c>
      <c r="AE798" s="40">
        <f>AE797*(1-IF(B797&gt;=in_marketplace_from,d_hz_hlth_small*G797,0))</f>
        <v/>
      </c>
      <c r="AF798" s="46">
        <f>AE798*IF(B798&gt;=in_marketplace_from,d_hz_hlth_small*G798,0)</f>
        <v/>
      </c>
      <c r="AG798" s="14">
        <f>F798*AF798*in_hlth_small_ticket*in_hlth_small_comm*in_ins_partner_share+F798*in_hlth_small_ticket*in_hlth_small_renew_comm*in_ins_partner_share*(in_hlth_small_renew^1*SUMIFS(AF797:AF841,B797:B841,B798-12)+in_hlth_small_renew^2*SUMIFS(AF797:AF841,B797:B841,B798-24)+in_hlth_small_renew^3*SUMIFS(AF797:AF841,B797:B841,B798-36)+in_hlth_small_renew^4*SUMIFS(AF797:AF841,B797:B841,B798-48))</f>
        <v/>
      </c>
      <c r="AH798" s="40">
        <f>AH797*(1-IF(B797&gt;=in_marketplace_from,d_hz_hlth_family*G797,0))</f>
        <v/>
      </c>
      <c r="AI798" s="46">
        <f>AH798*IF(B798&gt;=in_marketplace_from,d_hz_hlth_family*G798,0)</f>
        <v/>
      </c>
      <c r="AJ798" s="14">
        <f>F798*AI798*in_hlth_family_ticket*in_hlth_family_comm*in_ins_partner_share+F798*in_hlth_family_ticket*in_hlth_family_renew_comm*in_ins_partner_share*(in_hlth_family_renew^1*SUMIFS(AI797:AI841,B797:B841,B798-12)+in_hlth_family_renew^2*SUMIFS(AI797:AI841,B797:B841,B798-24)+in_hlth_family_renew^3*SUMIFS(AI797:AI841,B797:B841,B798-36)+in_hlth_family_renew^4*SUMIFS(AI797:AI841,B797:B841,B798-48))</f>
        <v/>
      </c>
      <c r="AK798" s="40">
        <f>AK797*(1-IF(B797&gt;=in_marketplace_from,d_hz_life_term*G797,0))</f>
        <v/>
      </c>
      <c r="AL798" s="46">
        <f>AK798*IF(B798&gt;=in_marketplace_from,d_hz_life_term*G798,0)</f>
        <v/>
      </c>
      <c r="AM798" s="14">
        <f>F798*AL798*in_life_term_ticket*in_life_term_comm*in_ins_partner_share+F798*in_life_term_ticket*in_life_term_renew_comm*in_ins_partner_share*(in_life_term_renew^1*SUMIFS(AL797:AL841,B797:B841,B798-12)+in_life_term_renew^2*SUMIFS(AL797:AL841,B797:B841,B798-24)+in_life_term_renew^3*SUMIFS(AL797:AL841,B797:B841,B798-36)+in_life_term_renew^4*SUMIFS(AL797:AL841,B797:B841,B798-48))</f>
        <v/>
      </c>
      <c r="AN798" s="40">
        <f>AN797*(1-IF(B797&gt;=in_marketplace_from,d_hz_accident*G797,0))</f>
        <v/>
      </c>
      <c r="AO798" s="46">
        <f>AN798*IF(B798&gt;=in_marketplace_from,d_hz_accident*G798,0)</f>
        <v/>
      </c>
      <c r="AP798" s="14">
        <f>F798*AO798*in_accident_ticket*in_accident_comm*in_ins_partner_share+F798*in_accident_ticket*in_accident_renew_comm*in_ins_partner_share*(in_accident_renew^1*SUMIFS(AO797:AO841,B797:B841,B798-12)+in_accident_renew^2*SUMIFS(AO797:AO841,B797:B841,B798-24)+in_accident_renew^3*SUMIFS(AO797:AO841,B797:B841,B798-36)+in_accident_renew^4*SUMIFS(AO797:AO841,B797:B841,B798-48))</f>
        <v/>
      </c>
      <c r="AQ798" s="40">
        <f>AQ797*(1-IF(B797&gt;=in_marketplace_from,d_hz_two_wheeler*G797,0))</f>
        <v/>
      </c>
      <c r="AR798" s="46">
        <f>AQ798*IF(B798&gt;=in_marketplace_from,d_hz_two_wheeler*G798,0)</f>
        <v/>
      </c>
      <c r="AS798" s="14">
        <f>F798*AR798*in_two_wheeler_ticket*in_two_wheeler_comm*in_ins_partner_share+F798*in_two_wheeler_ticket*in_two_wheeler_comm*in_ins_partner_share*(in_two_wheeler_renew^1*SUMIFS(AR797:AR841,B797:B841,B798-12)+in_two_wheeler_renew^2*SUMIFS(AR797:AR841,B797:B841,B798-24)+in_two_wheeler_renew^3*SUMIFS(AR797:AR841,B797:B841,B798-36)+in_two_wheeler_renew^4*SUMIFS(AR797:AR841,B797:B841,B798-48))</f>
        <v/>
      </c>
      <c r="AT798" s="40">
        <f>AT797*(1-IF(B797&gt;=in_marketplace_from,d_hz_device*G797,0))</f>
        <v/>
      </c>
      <c r="AU798" s="14">
        <f>F798*AT798*IF(B798&gt;=in_marketplace_from,d_hz_device*G798,0)*in_device_ticket*in_device_comm*in_ins_partner_share</f>
        <v/>
      </c>
      <c r="AV798" s="40">
        <f>AV797*(1-IF(B797&gt;=in_marketplace_from,d_hz_shop*G797,0))</f>
        <v/>
      </c>
      <c r="AW798" s="46">
        <f>AV798*IF(B798&gt;=in_marketplace_from,d_hz_shop*G798,0)</f>
        <v/>
      </c>
      <c r="AX798" s="14">
        <f>F798*AW798*in_shop_ticket*in_shop_comm*in_ins_partner_share+F798*in_shop_ticket*in_shop_renew_comm*in_ins_partner_share*(in_shop_renew^1*SUMIFS(AW797:AW841,B797:B841,B798-12)+in_shop_renew^2*SUMIFS(AW797:AW841,B797:B841,B798-24)+in_shop_renew^3*SUMIFS(AW797:AW841,B797:B841,B798-36)+in_shop_renew^4*SUMIFS(AW797:AW841,B797:B841,B798-48))</f>
        <v/>
      </c>
      <c r="AY798" s="40">
        <f>AY797*(1-IF(B797&gt;=in_marketplace_from,d_hz_sip*G797,0))</f>
        <v/>
      </c>
      <c r="AZ798" s="40">
        <f>AZ797*d_rho_sip+AY798*IF(B798&gt;=in_marketplace_from,d_hz_sip*G798,0)</f>
        <v/>
      </c>
      <c r="BA798" s="40">
        <f>d_rho_sip*(BA797+AZ797)</f>
        <v/>
      </c>
      <c r="BB798" s="14">
        <f>F798*in_sip_ticket*(BA798+0.5*AZ798)*in_sip_comm/12</f>
        <v/>
      </c>
      <c r="BC798" s="40">
        <f>BC797*(1-IF(B797&gt;=in_marketplace_from,d_hz_choti*G797,0))</f>
        <v/>
      </c>
      <c r="BD798" s="46">
        <f>BC798*IF(B798&gt;=in_marketplace_from,d_hz_choti*G798,0)</f>
        <v/>
      </c>
      <c r="BE798" s="14">
        <f>F798*SUMIFS(BD797:BD841,B797:B841,B798-in_choti_months)*in_choti_renew*in_choti_ticket</f>
        <v/>
      </c>
      <c r="BF798" s="40">
        <f>BF797*(1-IF(B797&gt;=in_marketplace_from,d_hz_nps*G797,0))</f>
        <v/>
      </c>
      <c r="BG798" s="14">
        <f>F798*BF798*IF(B798&gt;=in_marketplace_from,d_hz_nps*G798,0)*in_nps_ticket*in_nps_comm</f>
        <v/>
      </c>
      <c r="BH798" s="40">
        <f>BH797*(1-IF(B797&gt;=in_marketplace_from,d_hz_gold*G797,0))</f>
        <v/>
      </c>
      <c r="BI798" s="40">
        <f>BI797*d_rho_gold+BH798*IF(B798&gt;=in_marketplace_from,d_hz_gold*G798,0)</f>
        <v/>
      </c>
      <c r="BJ798" s="14">
        <f>F798*BI798*in_gold_ticket*in_gold_comm</f>
        <v/>
      </c>
      <c r="BK798" s="40">
        <f>BK797*(1-IF(B797&gt;=in_marketplace_from,d_hz_fd*G797,0))</f>
        <v/>
      </c>
      <c r="BL798" s="14">
        <f>F798*BK798*IF(B798&gt;=in_marketplace_from,d_hz_fd*G798,0)*in_fd_ticket*in_fd_comm</f>
        <v/>
      </c>
      <c r="BM798" s="40">
        <f>BM797*(1-IF(B797&gt;=in_marketplace_from,d_hz_recharge*G797,0))</f>
        <v/>
      </c>
      <c r="BN798" s="40">
        <f>BN797*d_rho_recharge+BM798*IF(B798&gt;=in_marketplace_from,d_hz_recharge*G798,0)</f>
        <v/>
      </c>
      <c r="BO798" s="14">
        <f>F798*BN798*in_recharge_ticket*in_recharge_comm/12</f>
        <v/>
      </c>
      <c r="BP798" s="40">
        <f>BP797*(1-IF(B797&gt;=in_marketplace_from,d_hz_bills*G797,0))</f>
        <v/>
      </c>
      <c r="BQ798" s="40">
        <f>BQ797*d_rho_bills+BP798*IF(B798&gt;=in_marketplace_from,d_hz_bills*G798,0)</f>
        <v/>
      </c>
      <c r="BR798" s="14">
        <f>F798*BQ798*in_bills_ticket*in_bills_comm/12</f>
        <v/>
      </c>
      <c r="BS798" s="40">
        <f>BS797*(1-IF(B797&gt;=in_marketplace_from,d_hz_loan_gold*G797,0))</f>
        <v/>
      </c>
      <c r="BT798" s="14">
        <f>F798*BS798*IF(B798&gt;=in_marketplace_from,d_hz_loan_gold*G798,0)*in_loan_gold_ticket*in_loan_gold_comm</f>
        <v/>
      </c>
      <c r="BU798" s="40">
        <f>BU797*(1-IF(B797&gt;=in_marketplace_from,d_hz_loan_cd*G797,0))</f>
        <v/>
      </c>
      <c r="BV798" s="14">
        <f>F798*BU798*IF(B798&gt;=in_marketplace_from,d_hz_loan_cd*G798,0)*in_loan_cd_ticket*in_loan_cd_comm</f>
        <v/>
      </c>
      <c r="BW798" s="40">
        <f>BW797*(1-IF(B797&gt;=in_marketplace_from,d_hz_loan_vehicle*G797,0))</f>
        <v/>
      </c>
      <c r="BX798" s="14">
        <f>F798*BW798*IF(B798&gt;=in_marketplace_from,d_hz_loan_vehicle*G798,0)*in_loan_vehicle_ticket*in_loan_vehicle_comm</f>
        <v/>
      </c>
      <c r="BY798" s="40">
        <f>BY797*(1-IF(B797&gt;=in_marketplace_from,d_hz_loan_home*G797,0)*BZ797)</f>
        <v/>
      </c>
      <c r="BZ798" s="11">
        <f>MIN(in_approval_cap,in_loan_home_approval*INDEX('Age profile'!$O$2:$O$61,B798)*(1+in_approval_growth)^(D798-1))</f>
        <v/>
      </c>
      <c r="CA798" s="14">
        <f>F798*BY798*IF(B798&gt;=in_marketplace_from,d_hz_loan_home*G798,0)*BZ798*in_loan_home_ticket*in_loan_home_comm</f>
        <v/>
      </c>
      <c r="CB798" s="40">
        <f>CB797*(1-IF(B797&gt;=in_marketplace_from,d_hz_loan_lap*G797,0)*CC797)</f>
        <v/>
      </c>
      <c r="CC798" s="11">
        <f>MIN(in_approval_cap,in_loan_lap_approval*INDEX('Age profile'!$O$2:$O$61,B798)*(1+in_approval_growth)^(D798-1))</f>
        <v/>
      </c>
      <c r="CD798" s="14">
        <f>F798*CB798*IF(B798&gt;=in_marketplace_from,d_hz_loan_lap*G798,0)*CC798*in_loan_lap_ticket*in_loan_lap_comm</f>
        <v/>
      </c>
      <c r="CE798" s="14">
        <f>AA798+AB798+AC798+AD798+AG798+AJ798+AM798+AP798+AS798+AU798+AX798+BB798+BE798+BG798+BJ798+BL798+BO798+BR798+BT798+BV798+BX798+CA798+CD798</f>
        <v/>
      </c>
    </row>
    <row r="799">
      <c r="A799" s="39" t="n">
        <v>16</v>
      </c>
      <c r="B799" s="39" t="n">
        <v>3</v>
      </c>
      <c r="C799" s="39">
        <f>A799+B799-1</f>
        <v/>
      </c>
      <c r="D799" s="39">
        <f>INT((C799-1)/12)+1</f>
        <v/>
      </c>
      <c r="E799" s="44">
        <f>INDEX(Monthly!$B$2:$B$61,A799)</f>
        <v/>
      </c>
      <c r="F799" s="44">
        <f>E799*INDEX('Age profile'!$B$2:$B$61,B799)</f>
        <v/>
      </c>
      <c r="G799" s="45">
        <f>MIN(in_takeup_cap,INDEX('Age profile'!$N$2:$N$61,B799)*(1+in_takeup_growth)^(D799-1))</f>
        <v/>
      </c>
      <c r="H799" s="11">
        <f>MIN(in_approval_cap,in_approved_first*INDEX('Age profile'!$O$2:$O$61,B799)*(1+in_approval_growth)^(D799-1))</f>
        <v/>
      </c>
      <c r="I799" s="45">
        <f>G799*MIN(in_takeup_cap,INDEX('Age profile'!$O$2:$O$61,B799)*(1+in_approval_growth)^(D799-1))</f>
        <v/>
      </c>
      <c r="J799" s="40">
        <f>(J798-L798)*F799/F798</f>
        <v/>
      </c>
      <c r="K799" s="40">
        <f>(K798-M798)*F799/F798+SUMIFS(O797:O798,B797:B798,B799-1-d_T)*F799</f>
        <v/>
      </c>
      <c r="L799" s="40">
        <f>IF(B799&gt;=in_marketplace_from,J799*d_hz*G799*in_eligible*H799,0)</f>
        <v/>
      </c>
      <c r="M799" s="40">
        <f>IF(B799&gt;=in_marketplace_from,K799*d_hz*G799*in_eligible*in_approved_repeat,0)</f>
        <v/>
      </c>
      <c r="N799" s="40">
        <f>L799+M799</f>
        <v/>
      </c>
      <c r="O799" s="46">
        <f>N799/F799</f>
        <v/>
      </c>
      <c r="P799" s="40">
        <f>F799-J799-K799</f>
        <v/>
      </c>
      <c r="Q799" s="40">
        <f>IF(B799&gt;=in_marketplace_from,(J799+K799)*d_hz*G799,0)</f>
        <v/>
      </c>
      <c r="R799" s="40">
        <f>SUMIFS(N797:N841,B797:B841,"&gt;="&amp;(B799-d_T),B797:B841,"&lt;="&amp;(B799-1))</f>
        <v/>
      </c>
      <c r="S799" s="46">
        <f>(1-d_u)*S798+IF(d_T&gt;in_topup_lag,SUMIFS(O797:O841,B797:B841,B799-in_topup_lag)-d_udrop*SUMIFS(O797:O841,B797:B841,B799-d_T),0)</f>
        <v/>
      </c>
      <c r="T799" s="40">
        <f>F799*d_u*S799</f>
        <v/>
      </c>
      <c r="U799" s="9">
        <f>L799*in_ticket+M799*d_rep_ticket</f>
        <v/>
      </c>
      <c r="V799" s="9">
        <f>U799+T799*d_topup_amt</f>
        <v/>
      </c>
      <c r="W799" s="40">
        <f>N799+T799*d_topup_ratio</f>
        <v/>
      </c>
      <c r="X799" s="40">
        <f>SUMIFS(W797:W841,B797:B841,B799-in_dpd_lag)*d_cured</f>
        <v/>
      </c>
      <c r="Y799" s="40">
        <f>SUMIFS(W797:W841,B797:B841,B799-in_rec_lag)*d_recd</f>
        <v/>
      </c>
      <c r="Z799" s="40">
        <f>IF(AND(B799&gt;=in_marketplace_from,B799&lt;in_marketplace_from+in_card_months),in_card_share/in_card_months*F799*I799,IF(AND(B799&gt;=in_marketplace_from+in_card_months,B799&lt;in_marketplace_from+2*in_card_months),in_card_share*d_card_rem/in_card_months*F799*MIN(in_takeup_cap,(1+in_takeup_growth)^(D799-1))*MIN(in_takeup_cap,(1+in_approval_growth)^(D799-1)),0))</f>
        <v/>
      </c>
      <c r="AA799" s="14">
        <f>V799*in_fee*(1-in_taken_back)</f>
        <v/>
      </c>
      <c r="AB799" s="14">
        <f>SUMIFS(W797:W841,B797:B841,B799-in_dpd_lag)*d_dpd</f>
        <v/>
      </c>
      <c r="AC799" s="14">
        <f>SUMIFS(W797:W841,B797:B841,B799-in_rec_lag)*d_rec</f>
        <v/>
      </c>
      <c r="AD799" s="14">
        <f>Z799*in_card_fee</f>
        <v/>
      </c>
      <c r="AE799" s="40">
        <f>AE798*(1-IF(B798&gt;=in_marketplace_from,d_hz_hlth_small*G798,0))</f>
        <v/>
      </c>
      <c r="AF799" s="46">
        <f>AE799*IF(B799&gt;=in_marketplace_from,d_hz_hlth_small*G799,0)</f>
        <v/>
      </c>
      <c r="AG799" s="14">
        <f>F799*AF799*in_hlth_small_ticket*in_hlth_small_comm*in_ins_partner_share+F799*in_hlth_small_ticket*in_hlth_small_renew_comm*in_ins_partner_share*(in_hlth_small_renew^1*SUMIFS(AF797:AF841,B797:B841,B799-12)+in_hlth_small_renew^2*SUMIFS(AF797:AF841,B797:B841,B799-24)+in_hlth_small_renew^3*SUMIFS(AF797:AF841,B797:B841,B799-36)+in_hlth_small_renew^4*SUMIFS(AF797:AF841,B797:B841,B799-48))</f>
        <v/>
      </c>
      <c r="AH799" s="40">
        <f>AH798*(1-IF(B798&gt;=in_marketplace_from,d_hz_hlth_family*G798,0))</f>
        <v/>
      </c>
      <c r="AI799" s="46">
        <f>AH799*IF(B799&gt;=in_marketplace_from,d_hz_hlth_family*G799,0)</f>
        <v/>
      </c>
      <c r="AJ799" s="14">
        <f>F799*AI799*in_hlth_family_ticket*in_hlth_family_comm*in_ins_partner_share+F799*in_hlth_family_ticket*in_hlth_family_renew_comm*in_ins_partner_share*(in_hlth_family_renew^1*SUMIFS(AI797:AI841,B797:B841,B799-12)+in_hlth_family_renew^2*SUMIFS(AI797:AI841,B797:B841,B799-24)+in_hlth_family_renew^3*SUMIFS(AI797:AI841,B797:B841,B799-36)+in_hlth_family_renew^4*SUMIFS(AI797:AI841,B797:B841,B799-48))</f>
        <v/>
      </c>
      <c r="AK799" s="40">
        <f>AK798*(1-IF(B798&gt;=in_marketplace_from,d_hz_life_term*G798,0))</f>
        <v/>
      </c>
      <c r="AL799" s="46">
        <f>AK799*IF(B799&gt;=in_marketplace_from,d_hz_life_term*G799,0)</f>
        <v/>
      </c>
      <c r="AM799" s="14">
        <f>F799*AL799*in_life_term_ticket*in_life_term_comm*in_ins_partner_share+F799*in_life_term_ticket*in_life_term_renew_comm*in_ins_partner_share*(in_life_term_renew^1*SUMIFS(AL797:AL841,B797:B841,B799-12)+in_life_term_renew^2*SUMIFS(AL797:AL841,B797:B841,B799-24)+in_life_term_renew^3*SUMIFS(AL797:AL841,B797:B841,B799-36)+in_life_term_renew^4*SUMIFS(AL797:AL841,B797:B841,B799-48))</f>
        <v/>
      </c>
      <c r="AN799" s="40">
        <f>AN798*(1-IF(B798&gt;=in_marketplace_from,d_hz_accident*G798,0))</f>
        <v/>
      </c>
      <c r="AO799" s="46">
        <f>AN799*IF(B799&gt;=in_marketplace_from,d_hz_accident*G799,0)</f>
        <v/>
      </c>
      <c r="AP799" s="14">
        <f>F799*AO799*in_accident_ticket*in_accident_comm*in_ins_partner_share+F799*in_accident_ticket*in_accident_renew_comm*in_ins_partner_share*(in_accident_renew^1*SUMIFS(AO797:AO841,B797:B841,B799-12)+in_accident_renew^2*SUMIFS(AO797:AO841,B797:B841,B799-24)+in_accident_renew^3*SUMIFS(AO797:AO841,B797:B841,B799-36)+in_accident_renew^4*SUMIFS(AO797:AO841,B797:B841,B799-48))</f>
        <v/>
      </c>
      <c r="AQ799" s="40">
        <f>AQ798*(1-IF(B798&gt;=in_marketplace_from,d_hz_two_wheeler*G798,0))</f>
        <v/>
      </c>
      <c r="AR799" s="46">
        <f>AQ799*IF(B799&gt;=in_marketplace_from,d_hz_two_wheeler*G799,0)</f>
        <v/>
      </c>
      <c r="AS799" s="14">
        <f>F799*AR799*in_two_wheeler_ticket*in_two_wheeler_comm*in_ins_partner_share+F799*in_two_wheeler_ticket*in_two_wheeler_comm*in_ins_partner_share*(in_two_wheeler_renew^1*SUMIFS(AR797:AR841,B797:B841,B799-12)+in_two_wheeler_renew^2*SUMIFS(AR797:AR841,B797:B841,B799-24)+in_two_wheeler_renew^3*SUMIFS(AR797:AR841,B797:B841,B799-36)+in_two_wheeler_renew^4*SUMIFS(AR797:AR841,B797:B841,B799-48))</f>
        <v/>
      </c>
      <c r="AT799" s="40">
        <f>AT798*(1-IF(B798&gt;=in_marketplace_from,d_hz_device*G798,0))</f>
        <v/>
      </c>
      <c r="AU799" s="14">
        <f>F799*AT799*IF(B799&gt;=in_marketplace_from,d_hz_device*G799,0)*in_device_ticket*in_device_comm*in_ins_partner_share</f>
        <v/>
      </c>
      <c r="AV799" s="40">
        <f>AV798*(1-IF(B798&gt;=in_marketplace_from,d_hz_shop*G798,0))</f>
        <v/>
      </c>
      <c r="AW799" s="46">
        <f>AV799*IF(B799&gt;=in_marketplace_from,d_hz_shop*G799,0)</f>
        <v/>
      </c>
      <c r="AX799" s="14">
        <f>F799*AW799*in_shop_ticket*in_shop_comm*in_ins_partner_share+F799*in_shop_ticket*in_shop_renew_comm*in_ins_partner_share*(in_shop_renew^1*SUMIFS(AW797:AW841,B797:B841,B799-12)+in_shop_renew^2*SUMIFS(AW797:AW841,B797:B841,B799-24)+in_shop_renew^3*SUMIFS(AW797:AW841,B797:B841,B799-36)+in_shop_renew^4*SUMIFS(AW797:AW841,B797:B841,B799-48))</f>
        <v/>
      </c>
      <c r="AY799" s="40">
        <f>AY798*(1-IF(B798&gt;=in_marketplace_from,d_hz_sip*G798,0))</f>
        <v/>
      </c>
      <c r="AZ799" s="40">
        <f>AZ798*d_rho_sip+AY799*IF(B799&gt;=in_marketplace_from,d_hz_sip*G799,0)</f>
        <v/>
      </c>
      <c r="BA799" s="40">
        <f>d_rho_sip*(BA798+AZ798)</f>
        <v/>
      </c>
      <c r="BB799" s="14">
        <f>F799*in_sip_ticket*(BA799+0.5*AZ799)*in_sip_comm/12</f>
        <v/>
      </c>
      <c r="BC799" s="40">
        <f>BC798*(1-IF(B798&gt;=in_marketplace_from,d_hz_choti*G798,0))</f>
        <v/>
      </c>
      <c r="BD799" s="46">
        <f>BC799*IF(B799&gt;=in_marketplace_from,d_hz_choti*G799,0)</f>
        <v/>
      </c>
      <c r="BE799" s="14">
        <f>F799*SUMIFS(BD797:BD841,B797:B841,B799-in_choti_months)*in_choti_renew*in_choti_ticket</f>
        <v/>
      </c>
      <c r="BF799" s="40">
        <f>BF798*(1-IF(B798&gt;=in_marketplace_from,d_hz_nps*G798,0))</f>
        <v/>
      </c>
      <c r="BG799" s="14">
        <f>F799*BF799*IF(B799&gt;=in_marketplace_from,d_hz_nps*G799,0)*in_nps_ticket*in_nps_comm</f>
        <v/>
      </c>
      <c r="BH799" s="40">
        <f>BH798*(1-IF(B798&gt;=in_marketplace_from,d_hz_gold*G798,0))</f>
        <v/>
      </c>
      <c r="BI799" s="40">
        <f>BI798*d_rho_gold+BH799*IF(B799&gt;=in_marketplace_from,d_hz_gold*G799,0)</f>
        <v/>
      </c>
      <c r="BJ799" s="14">
        <f>F799*BI799*in_gold_ticket*in_gold_comm</f>
        <v/>
      </c>
      <c r="BK799" s="40">
        <f>BK798*(1-IF(B798&gt;=in_marketplace_from,d_hz_fd*G798,0))</f>
        <v/>
      </c>
      <c r="BL799" s="14">
        <f>F799*BK799*IF(B799&gt;=in_marketplace_from,d_hz_fd*G799,0)*in_fd_ticket*in_fd_comm</f>
        <v/>
      </c>
      <c r="BM799" s="40">
        <f>BM798*(1-IF(B798&gt;=in_marketplace_from,d_hz_recharge*G798,0))</f>
        <v/>
      </c>
      <c r="BN799" s="40">
        <f>BN798*d_rho_recharge+BM799*IF(B799&gt;=in_marketplace_from,d_hz_recharge*G799,0)</f>
        <v/>
      </c>
      <c r="BO799" s="14">
        <f>F799*BN799*in_recharge_ticket*in_recharge_comm/12</f>
        <v/>
      </c>
      <c r="BP799" s="40">
        <f>BP798*(1-IF(B798&gt;=in_marketplace_from,d_hz_bills*G798,0))</f>
        <v/>
      </c>
      <c r="BQ799" s="40">
        <f>BQ798*d_rho_bills+BP799*IF(B799&gt;=in_marketplace_from,d_hz_bills*G799,0)</f>
        <v/>
      </c>
      <c r="BR799" s="14">
        <f>F799*BQ799*in_bills_ticket*in_bills_comm/12</f>
        <v/>
      </c>
      <c r="BS799" s="40">
        <f>BS798*(1-IF(B798&gt;=in_marketplace_from,d_hz_loan_gold*G798,0))</f>
        <v/>
      </c>
      <c r="BT799" s="14">
        <f>F799*BS799*IF(B799&gt;=in_marketplace_from,d_hz_loan_gold*G799,0)*in_loan_gold_ticket*in_loan_gold_comm</f>
        <v/>
      </c>
      <c r="BU799" s="40">
        <f>BU798*(1-IF(B798&gt;=in_marketplace_from,d_hz_loan_cd*G798,0))</f>
        <v/>
      </c>
      <c r="BV799" s="14">
        <f>F799*BU799*IF(B799&gt;=in_marketplace_from,d_hz_loan_cd*G799,0)*in_loan_cd_ticket*in_loan_cd_comm</f>
        <v/>
      </c>
      <c r="BW799" s="40">
        <f>BW798*(1-IF(B798&gt;=in_marketplace_from,d_hz_loan_vehicle*G798,0))</f>
        <v/>
      </c>
      <c r="BX799" s="14">
        <f>F799*BW799*IF(B799&gt;=in_marketplace_from,d_hz_loan_vehicle*G799,0)*in_loan_vehicle_ticket*in_loan_vehicle_comm</f>
        <v/>
      </c>
      <c r="BY799" s="40">
        <f>BY798*(1-IF(B798&gt;=in_marketplace_from,d_hz_loan_home*G798,0)*BZ798)</f>
        <v/>
      </c>
      <c r="BZ799" s="11">
        <f>MIN(in_approval_cap,in_loan_home_approval*INDEX('Age profile'!$O$2:$O$61,B799)*(1+in_approval_growth)^(D799-1))</f>
        <v/>
      </c>
      <c r="CA799" s="14">
        <f>F799*BY799*IF(B799&gt;=in_marketplace_from,d_hz_loan_home*G799,0)*BZ799*in_loan_home_ticket*in_loan_home_comm</f>
        <v/>
      </c>
      <c r="CB799" s="40">
        <f>CB798*(1-IF(B798&gt;=in_marketplace_from,d_hz_loan_lap*G798,0)*CC798)</f>
        <v/>
      </c>
      <c r="CC799" s="11">
        <f>MIN(in_approval_cap,in_loan_lap_approval*INDEX('Age profile'!$O$2:$O$61,B799)*(1+in_approval_growth)^(D799-1))</f>
        <v/>
      </c>
      <c r="CD799" s="14">
        <f>F799*CB799*IF(B799&gt;=in_marketplace_from,d_hz_loan_lap*G799,0)*CC799*in_loan_lap_ticket*in_loan_lap_comm</f>
        <v/>
      </c>
      <c r="CE799" s="14">
        <f>AA799+AB799+AC799+AD799+AG799+AJ799+AM799+AP799+AS799+AU799+AX799+BB799+BE799+BG799+BJ799+BL799+BO799+BR799+BT799+BV799+BX799+CA799+CD799</f>
        <v/>
      </c>
    </row>
    <row r="800">
      <c r="A800" s="39" t="n">
        <v>16</v>
      </c>
      <c r="B800" s="39" t="n">
        <v>4</v>
      </c>
      <c r="C800" s="39">
        <f>A800+B800-1</f>
        <v/>
      </c>
      <c r="D800" s="39">
        <f>INT((C800-1)/12)+1</f>
        <v/>
      </c>
      <c r="E800" s="44">
        <f>INDEX(Monthly!$B$2:$B$61,A800)</f>
        <v/>
      </c>
      <c r="F800" s="44">
        <f>E800*INDEX('Age profile'!$B$2:$B$61,B800)</f>
        <v/>
      </c>
      <c r="G800" s="45">
        <f>MIN(in_takeup_cap,INDEX('Age profile'!$N$2:$N$61,B800)*(1+in_takeup_growth)^(D800-1))</f>
        <v/>
      </c>
      <c r="H800" s="11">
        <f>MIN(in_approval_cap,in_approved_first*INDEX('Age profile'!$O$2:$O$61,B800)*(1+in_approval_growth)^(D800-1))</f>
        <v/>
      </c>
      <c r="I800" s="45">
        <f>G800*MIN(in_takeup_cap,INDEX('Age profile'!$O$2:$O$61,B800)*(1+in_approval_growth)^(D800-1))</f>
        <v/>
      </c>
      <c r="J800" s="40">
        <f>(J799-L799)*F800/F799</f>
        <v/>
      </c>
      <c r="K800" s="40">
        <f>(K799-M799)*F800/F799+SUMIFS(O797:O799,B797:B799,B800-1-d_T)*F800</f>
        <v/>
      </c>
      <c r="L800" s="40">
        <f>IF(B800&gt;=in_marketplace_from,J800*d_hz*G800*in_eligible*H800,0)</f>
        <v/>
      </c>
      <c r="M800" s="40">
        <f>IF(B800&gt;=in_marketplace_from,K800*d_hz*G800*in_eligible*in_approved_repeat,0)</f>
        <v/>
      </c>
      <c r="N800" s="40">
        <f>L800+M800</f>
        <v/>
      </c>
      <c r="O800" s="46">
        <f>N800/F800</f>
        <v/>
      </c>
      <c r="P800" s="40">
        <f>F800-J800-K800</f>
        <v/>
      </c>
      <c r="Q800" s="40">
        <f>IF(B800&gt;=in_marketplace_from,(J800+K800)*d_hz*G800,0)</f>
        <v/>
      </c>
      <c r="R800" s="40">
        <f>SUMIFS(N797:N841,B797:B841,"&gt;="&amp;(B800-d_T),B797:B841,"&lt;="&amp;(B800-1))</f>
        <v/>
      </c>
      <c r="S800" s="46">
        <f>(1-d_u)*S799+IF(d_T&gt;in_topup_lag,SUMIFS(O797:O841,B797:B841,B800-in_topup_lag)-d_udrop*SUMIFS(O797:O841,B797:B841,B800-d_T),0)</f>
        <v/>
      </c>
      <c r="T800" s="40">
        <f>F800*d_u*S800</f>
        <v/>
      </c>
      <c r="U800" s="9">
        <f>L800*in_ticket+M800*d_rep_ticket</f>
        <v/>
      </c>
      <c r="V800" s="9">
        <f>U800+T800*d_topup_amt</f>
        <v/>
      </c>
      <c r="W800" s="40">
        <f>N800+T800*d_topup_ratio</f>
        <v/>
      </c>
      <c r="X800" s="40">
        <f>SUMIFS(W797:W841,B797:B841,B800-in_dpd_lag)*d_cured</f>
        <v/>
      </c>
      <c r="Y800" s="40">
        <f>SUMIFS(W797:W841,B797:B841,B800-in_rec_lag)*d_recd</f>
        <v/>
      </c>
      <c r="Z800" s="40">
        <f>IF(AND(B800&gt;=in_marketplace_from,B800&lt;in_marketplace_from+in_card_months),in_card_share/in_card_months*F800*I800,IF(AND(B800&gt;=in_marketplace_from+in_card_months,B800&lt;in_marketplace_from+2*in_card_months),in_card_share*d_card_rem/in_card_months*F800*MIN(in_takeup_cap,(1+in_takeup_growth)^(D800-1))*MIN(in_takeup_cap,(1+in_approval_growth)^(D800-1)),0))</f>
        <v/>
      </c>
      <c r="AA800" s="14">
        <f>V800*in_fee*(1-in_taken_back)</f>
        <v/>
      </c>
      <c r="AB800" s="14">
        <f>SUMIFS(W797:W841,B797:B841,B800-in_dpd_lag)*d_dpd</f>
        <v/>
      </c>
      <c r="AC800" s="14">
        <f>SUMIFS(W797:W841,B797:B841,B800-in_rec_lag)*d_rec</f>
        <v/>
      </c>
      <c r="AD800" s="14">
        <f>Z800*in_card_fee</f>
        <v/>
      </c>
      <c r="AE800" s="40">
        <f>AE799*(1-IF(B799&gt;=in_marketplace_from,d_hz_hlth_small*G799,0))</f>
        <v/>
      </c>
      <c r="AF800" s="46">
        <f>AE800*IF(B800&gt;=in_marketplace_from,d_hz_hlth_small*G800,0)</f>
        <v/>
      </c>
      <c r="AG800" s="14">
        <f>F800*AF800*in_hlth_small_ticket*in_hlth_small_comm*in_ins_partner_share+F800*in_hlth_small_ticket*in_hlth_small_renew_comm*in_ins_partner_share*(in_hlth_small_renew^1*SUMIFS(AF797:AF841,B797:B841,B800-12)+in_hlth_small_renew^2*SUMIFS(AF797:AF841,B797:B841,B800-24)+in_hlth_small_renew^3*SUMIFS(AF797:AF841,B797:B841,B800-36)+in_hlth_small_renew^4*SUMIFS(AF797:AF841,B797:B841,B800-48))</f>
        <v/>
      </c>
      <c r="AH800" s="40">
        <f>AH799*(1-IF(B799&gt;=in_marketplace_from,d_hz_hlth_family*G799,0))</f>
        <v/>
      </c>
      <c r="AI800" s="46">
        <f>AH800*IF(B800&gt;=in_marketplace_from,d_hz_hlth_family*G800,0)</f>
        <v/>
      </c>
      <c r="AJ800" s="14">
        <f>F800*AI800*in_hlth_family_ticket*in_hlth_family_comm*in_ins_partner_share+F800*in_hlth_family_ticket*in_hlth_family_renew_comm*in_ins_partner_share*(in_hlth_family_renew^1*SUMIFS(AI797:AI841,B797:B841,B800-12)+in_hlth_family_renew^2*SUMIFS(AI797:AI841,B797:B841,B800-24)+in_hlth_family_renew^3*SUMIFS(AI797:AI841,B797:B841,B800-36)+in_hlth_family_renew^4*SUMIFS(AI797:AI841,B797:B841,B800-48))</f>
        <v/>
      </c>
      <c r="AK800" s="40">
        <f>AK799*(1-IF(B799&gt;=in_marketplace_from,d_hz_life_term*G799,0))</f>
        <v/>
      </c>
      <c r="AL800" s="46">
        <f>AK800*IF(B800&gt;=in_marketplace_from,d_hz_life_term*G800,0)</f>
        <v/>
      </c>
      <c r="AM800" s="14">
        <f>F800*AL800*in_life_term_ticket*in_life_term_comm*in_ins_partner_share+F800*in_life_term_ticket*in_life_term_renew_comm*in_ins_partner_share*(in_life_term_renew^1*SUMIFS(AL797:AL841,B797:B841,B800-12)+in_life_term_renew^2*SUMIFS(AL797:AL841,B797:B841,B800-24)+in_life_term_renew^3*SUMIFS(AL797:AL841,B797:B841,B800-36)+in_life_term_renew^4*SUMIFS(AL797:AL841,B797:B841,B800-48))</f>
        <v/>
      </c>
      <c r="AN800" s="40">
        <f>AN799*(1-IF(B799&gt;=in_marketplace_from,d_hz_accident*G799,0))</f>
        <v/>
      </c>
      <c r="AO800" s="46">
        <f>AN800*IF(B800&gt;=in_marketplace_from,d_hz_accident*G800,0)</f>
        <v/>
      </c>
      <c r="AP800" s="14">
        <f>F800*AO800*in_accident_ticket*in_accident_comm*in_ins_partner_share+F800*in_accident_ticket*in_accident_renew_comm*in_ins_partner_share*(in_accident_renew^1*SUMIFS(AO797:AO841,B797:B841,B800-12)+in_accident_renew^2*SUMIFS(AO797:AO841,B797:B841,B800-24)+in_accident_renew^3*SUMIFS(AO797:AO841,B797:B841,B800-36)+in_accident_renew^4*SUMIFS(AO797:AO841,B797:B841,B800-48))</f>
        <v/>
      </c>
      <c r="AQ800" s="40">
        <f>AQ799*(1-IF(B799&gt;=in_marketplace_from,d_hz_two_wheeler*G799,0))</f>
        <v/>
      </c>
      <c r="AR800" s="46">
        <f>AQ800*IF(B800&gt;=in_marketplace_from,d_hz_two_wheeler*G800,0)</f>
        <v/>
      </c>
      <c r="AS800" s="14">
        <f>F800*AR800*in_two_wheeler_ticket*in_two_wheeler_comm*in_ins_partner_share+F800*in_two_wheeler_ticket*in_two_wheeler_comm*in_ins_partner_share*(in_two_wheeler_renew^1*SUMIFS(AR797:AR841,B797:B841,B800-12)+in_two_wheeler_renew^2*SUMIFS(AR797:AR841,B797:B841,B800-24)+in_two_wheeler_renew^3*SUMIFS(AR797:AR841,B797:B841,B800-36)+in_two_wheeler_renew^4*SUMIFS(AR797:AR841,B797:B841,B800-48))</f>
        <v/>
      </c>
      <c r="AT800" s="40">
        <f>AT799*(1-IF(B799&gt;=in_marketplace_from,d_hz_device*G799,0))</f>
        <v/>
      </c>
      <c r="AU800" s="14">
        <f>F800*AT800*IF(B800&gt;=in_marketplace_from,d_hz_device*G800,0)*in_device_ticket*in_device_comm*in_ins_partner_share</f>
        <v/>
      </c>
      <c r="AV800" s="40">
        <f>AV799*(1-IF(B799&gt;=in_marketplace_from,d_hz_shop*G799,0))</f>
        <v/>
      </c>
      <c r="AW800" s="46">
        <f>AV800*IF(B800&gt;=in_marketplace_from,d_hz_shop*G800,0)</f>
        <v/>
      </c>
      <c r="AX800" s="14">
        <f>F800*AW800*in_shop_ticket*in_shop_comm*in_ins_partner_share+F800*in_shop_ticket*in_shop_renew_comm*in_ins_partner_share*(in_shop_renew^1*SUMIFS(AW797:AW841,B797:B841,B800-12)+in_shop_renew^2*SUMIFS(AW797:AW841,B797:B841,B800-24)+in_shop_renew^3*SUMIFS(AW797:AW841,B797:B841,B800-36)+in_shop_renew^4*SUMIFS(AW797:AW841,B797:B841,B800-48))</f>
        <v/>
      </c>
      <c r="AY800" s="40">
        <f>AY799*(1-IF(B799&gt;=in_marketplace_from,d_hz_sip*G799,0))</f>
        <v/>
      </c>
      <c r="AZ800" s="40">
        <f>AZ799*d_rho_sip+AY800*IF(B800&gt;=in_marketplace_from,d_hz_sip*G800,0)</f>
        <v/>
      </c>
      <c r="BA800" s="40">
        <f>d_rho_sip*(BA799+AZ799)</f>
        <v/>
      </c>
      <c r="BB800" s="14">
        <f>F800*in_sip_ticket*(BA800+0.5*AZ800)*in_sip_comm/12</f>
        <v/>
      </c>
      <c r="BC800" s="40">
        <f>BC799*(1-IF(B799&gt;=in_marketplace_from,d_hz_choti*G799,0))</f>
        <v/>
      </c>
      <c r="BD800" s="46">
        <f>BC800*IF(B800&gt;=in_marketplace_from,d_hz_choti*G800,0)</f>
        <v/>
      </c>
      <c r="BE800" s="14">
        <f>F800*SUMIFS(BD797:BD841,B797:B841,B800-in_choti_months)*in_choti_renew*in_choti_ticket</f>
        <v/>
      </c>
      <c r="BF800" s="40">
        <f>BF799*(1-IF(B799&gt;=in_marketplace_from,d_hz_nps*G799,0))</f>
        <v/>
      </c>
      <c r="BG800" s="14">
        <f>F800*BF800*IF(B800&gt;=in_marketplace_from,d_hz_nps*G800,0)*in_nps_ticket*in_nps_comm</f>
        <v/>
      </c>
      <c r="BH800" s="40">
        <f>BH799*(1-IF(B799&gt;=in_marketplace_from,d_hz_gold*G799,0))</f>
        <v/>
      </c>
      <c r="BI800" s="40">
        <f>BI799*d_rho_gold+BH800*IF(B800&gt;=in_marketplace_from,d_hz_gold*G800,0)</f>
        <v/>
      </c>
      <c r="BJ800" s="14">
        <f>F800*BI800*in_gold_ticket*in_gold_comm</f>
        <v/>
      </c>
      <c r="BK800" s="40">
        <f>BK799*(1-IF(B799&gt;=in_marketplace_from,d_hz_fd*G799,0))</f>
        <v/>
      </c>
      <c r="BL800" s="14">
        <f>F800*BK800*IF(B800&gt;=in_marketplace_from,d_hz_fd*G800,0)*in_fd_ticket*in_fd_comm</f>
        <v/>
      </c>
      <c r="BM800" s="40">
        <f>BM799*(1-IF(B799&gt;=in_marketplace_from,d_hz_recharge*G799,0))</f>
        <v/>
      </c>
      <c r="BN800" s="40">
        <f>BN799*d_rho_recharge+BM800*IF(B800&gt;=in_marketplace_from,d_hz_recharge*G800,0)</f>
        <v/>
      </c>
      <c r="BO800" s="14">
        <f>F800*BN800*in_recharge_ticket*in_recharge_comm/12</f>
        <v/>
      </c>
      <c r="BP800" s="40">
        <f>BP799*(1-IF(B799&gt;=in_marketplace_from,d_hz_bills*G799,0))</f>
        <v/>
      </c>
      <c r="BQ800" s="40">
        <f>BQ799*d_rho_bills+BP800*IF(B800&gt;=in_marketplace_from,d_hz_bills*G800,0)</f>
        <v/>
      </c>
      <c r="BR800" s="14">
        <f>F800*BQ800*in_bills_ticket*in_bills_comm/12</f>
        <v/>
      </c>
      <c r="BS800" s="40">
        <f>BS799*(1-IF(B799&gt;=in_marketplace_from,d_hz_loan_gold*G799,0))</f>
        <v/>
      </c>
      <c r="BT800" s="14">
        <f>F800*BS800*IF(B800&gt;=in_marketplace_from,d_hz_loan_gold*G800,0)*in_loan_gold_ticket*in_loan_gold_comm</f>
        <v/>
      </c>
      <c r="BU800" s="40">
        <f>BU799*(1-IF(B799&gt;=in_marketplace_from,d_hz_loan_cd*G799,0))</f>
        <v/>
      </c>
      <c r="BV800" s="14">
        <f>F800*BU800*IF(B800&gt;=in_marketplace_from,d_hz_loan_cd*G800,0)*in_loan_cd_ticket*in_loan_cd_comm</f>
        <v/>
      </c>
      <c r="BW800" s="40">
        <f>BW799*(1-IF(B799&gt;=in_marketplace_from,d_hz_loan_vehicle*G799,0))</f>
        <v/>
      </c>
      <c r="BX800" s="14">
        <f>F800*BW800*IF(B800&gt;=in_marketplace_from,d_hz_loan_vehicle*G800,0)*in_loan_vehicle_ticket*in_loan_vehicle_comm</f>
        <v/>
      </c>
      <c r="BY800" s="40">
        <f>BY799*(1-IF(B799&gt;=in_marketplace_from,d_hz_loan_home*G799,0)*BZ799)</f>
        <v/>
      </c>
      <c r="BZ800" s="11">
        <f>MIN(in_approval_cap,in_loan_home_approval*INDEX('Age profile'!$O$2:$O$61,B800)*(1+in_approval_growth)^(D800-1))</f>
        <v/>
      </c>
      <c r="CA800" s="14">
        <f>F800*BY800*IF(B800&gt;=in_marketplace_from,d_hz_loan_home*G800,0)*BZ800*in_loan_home_ticket*in_loan_home_comm</f>
        <v/>
      </c>
      <c r="CB800" s="40">
        <f>CB799*(1-IF(B799&gt;=in_marketplace_from,d_hz_loan_lap*G799,0)*CC799)</f>
        <v/>
      </c>
      <c r="CC800" s="11">
        <f>MIN(in_approval_cap,in_loan_lap_approval*INDEX('Age profile'!$O$2:$O$61,B800)*(1+in_approval_growth)^(D800-1))</f>
        <v/>
      </c>
      <c r="CD800" s="14">
        <f>F800*CB800*IF(B800&gt;=in_marketplace_from,d_hz_loan_lap*G800,0)*CC800*in_loan_lap_ticket*in_loan_lap_comm</f>
        <v/>
      </c>
      <c r="CE800" s="14">
        <f>AA800+AB800+AC800+AD800+AG800+AJ800+AM800+AP800+AS800+AU800+AX800+BB800+BE800+BG800+BJ800+BL800+BO800+BR800+BT800+BV800+BX800+CA800+CD800</f>
        <v/>
      </c>
    </row>
    <row r="801">
      <c r="A801" s="39" t="n">
        <v>16</v>
      </c>
      <c r="B801" s="39" t="n">
        <v>5</v>
      </c>
      <c r="C801" s="39">
        <f>A801+B801-1</f>
        <v/>
      </c>
      <c r="D801" s="39">
        <f>INT((C801-1)/12)+1</f>
        <v/>
      </c>
      <c r="E801" s="44">
        <f>INDEX(Monthly!$B$2:$B$61,A801)</f>
        <v/>
      </c>
      <c r="F801" s="44">
        <f>E801*INDEX('Age profile'!$B$2:$B$61,B801)</f>
        <v/>
      </c>
      <c r="G801" s="45">
        <f>MIN(in_takeup_cap,INDEX('Age profile'!$N$2:$N$61,B801)*(1+in_takeup_growth)^(D801-1))</f>
        <v/>
      </c>
      <c r="H801" s="11">
        <f>MIN(in_approval_cap,in_approved_first*INDEX('Age profile'!$O$2:$O$61,B801)*(1+in_approval_growth)^(D801-1))</f>
        <v/>
      </c>
      <c r="I801" s="45">
        <f>G801*MIN(in_takeup_cap,INDEX('Age profile'!$O$2:$O$61,B801)*(1+in_approval_growth)^(D801-1))</f>
        <v/>
      </c>
      <c r="J801" s="40">
        <f>(J800-L800)*F801/F800</f>
        <v/>
      </c>
      <c r="K801" s="40">
        <f>(K800-M800)*F801/F800+SUMIFS(O797:O800,B797:B800,B801-1-d_T)*F801</f>
        <v/>
      </c>
      <c r="L801" s="40">
        <f>IF(B801&gt;=in_marketplace_from,J801*d_hz*G801*in_eligible*H801,0)</f>
        <v/>
      </c>
      <c r="M801" s="40">
        <f>IF(B801&gt;=in_marketplace_from,K801*d_hz*G801*in_eligible*in_approved_repeat,0)</f>
        <v/>
      </c>
      <c r="N801" s="40">
        <f>L801+M801</f>
        <v/>
      </c>
      <c r="O801" s="46">
        <f>N801/F801</f>
        <v/>
      </c>
      <c r="P801" s="40">
        <f>F801-J801-K801</f>
        <v/>
      </c>
      <c r="Q801" s="40">
        <f>IF(B801&gt;=in_marketplace_from,(J801+K801)*d_hz*G801,0)</f>
        <v/>
      </c>
      <c r="R801" s="40">
        <f>SUMIFS(N797:N841,B797:B841,"&gt;="&amp;(B801-d_T),B797:B841,"&lt;="&amp;(B801-1))</f>
        <v/>
      </c>
      <c r="S801" s="46">
        <f>(1-d_u)*S800+IF(d_T&gt;in_topup_lag,SUMIFS(O797:O841,B797:B841,B801-in_topup_lag)-d_udrop*SUMIFS(O797:O841,B797:B841,B801-d_T),0)</f>
        <v/>
      </c>
      <c r="T801" s="40">
        <f>F801*d_u*S801</f>
        <v/>
      </c>
      <c r="U801" s="9">
        <f>L801*in_ticket+M801*d_rep_ticket</f>
        <v/>
      </c>
      <c r="V801" s="9">
        <f>U801+T801*d_topup_amt</f>
        <v/>
      </c>
      <c r="W801" s="40">
        <f>N801+T801*d_topup_ratio</f>
        <v/>
      </c>
      <c r="X801" s="40">
        <f>SUMIFS(W797:W841,B797:B841,B801-in_dpd_lag)*d_cured</f>
        <v/>
      </c>
      <c r="Y801" s="40">
        <f>SUMIFS(W797:W841,B797:B841,B801-in_rec_lag)*d_recd</f>
        <v/>
      </c>
      <c r="Z801" s="40">
        <f>IF(AND(B801&gt;=in_marketplace_from,B801&lt;in_marketplace_from+in_card_months),in_card_share/in_card_months*F801*I801,IF(AND(B801&gt;=in_marketplace_from+in_card_months,B801&lt;in_marketplace_from+2*in_card_months),in_card_share*d_card_rem/in_card_months*F801*MIN(in_takeup_cap,(1+in_takeup_growth)^(D801-1))*MIN(in_takeup_cap,(1+in_approval_growth)^(D801-1)),0))</f>
        <v/>
      </c>
      <c r="AA801" s="14">
        <f>V801*in_fee*(1-in_taken_back)</f>
        <v/>
      </c>
      <c r="AB801" s="14">
        <f>SUMIFS(W797:W841,B797:B841,B801-in_dpd_lag)*d_dpd</f>
        <v/>
      </c>
      <c r="AC801" s="14">
        <f>SUMIFS(W797:W841,B797:B841,B801-in_rec_lag)*d_rec</f>
        <v/>
      </c>
      <c r="AD801" s="14">
        <f>Z801*in_card_fee</f>
        <v/>
      </c>
      <c r="AE801" s="40">
        <f>AE800*(1-IF(B800&gt;=in_marketplace_from,d_hz_hlth_small*G800,0))</f>
        <v/>
      </c>
      <c r="AF801" s="46">
        <f>AE801*IF(B801&gt;=in_marketplace_from,d_hz_hlth_small*G801,0)</f>
        <v/>
      </c>
      <c r="AG801" s="14">
        <f>F801*AF801*in_hlth_small_ticket*in_hlth_small_comm*in_ins_partner_share+F801*in_hlth_small_ticket*in_hlth_small_renew_comm*in_ins_partner_share*(in_hlth_small_renew^1*SUMIFS(AF797:AF841,B797:B841,B801-12)+in_hlth_small_renew^2*SUMIFS(AF797:AF841,B797:B841,B801-24)+in_hlth_small_renew^3*SUMIFS(AF797:AF841,B797:B841,B801-36)+in_hlth_small_renew^4*SUMIFS(AF797:AF841,B797:B841,B801-48))</f>
        <v/>
      </c>
      <c r="AH801" s="40">
        <f>AH800*(1-IF(B800&gt;=in_marketplace_from,d_hz_hlth_family*G800,0))</f>
        <v/>
      </c>
      <c r="AI801" s="46">
        <f>AH801*IF(B801&gt;=in_marketplace_from,d_hz_hlth_family*G801,0)</f>
        <v/>
      </c>
      <c r="AJ801" s="14">
        <f>F801*AI801*in_hlth_family_ticket*in_hlth_family_comm*in_ins_partner_share+F801*in_hlth_family_ticket*in_hlth_family_renew_comm*in_ins_partner_share*(in_hlth_family_renew^1*SUMIFS(AI797:AI841,B797:B841,B801-12)+in_hlth_family_renew^2*SUMIFS(AI797:AI841,B797:B841,B801-24)+in_hlth_family_renew^3*SUMIFS(AI797:AI841,B797:B841,B801-36)+in_hlth_family_renew^4*SUMIFS(AI797:AI841,B797:B841,B801-48))</f>
        <v/>
      </c>
      <c r="AK801" s="40">
        <f>AK800*(1-IF(B800&gt;=in_marketplace_from,d_hz_life_term*G800,0))</f>
        <v/>
      </c>
      <c r="AL801" s="46">
        <f>AK801*IF(B801&gt;=in_marketplace_from,d_hz_life_term*G801,0)</f>
        <v/>
      </c>
      <c r="AM801" s="14">
        <f>F801*AL801*in_life_term_ticket*in_life_term_comm*in_ins_partner_share+F801*in_life_term_ticket*in_life_term_renew_comm*in_ins_partner_share*(in_life_term_renew^1*SUMIFS(AL797:AL841,B797:B841,B801-12)+in_life_term_renew^2*SUMIFS(AL797:AL841,B797:B841,B801-24)+in_life_term_renew^3*SUMIFS(AL797:AL841,B797:B841,B801-36)+in_life_term_renew^4*SUMIFS(AL797:AL841,B797:B841,B801-48))</f>
        <v/>
      </c>
      <c r="AN801" s="40">
        <f>AN800*(1-IF(B800&gt;=in_marketplace_from,d_hz_accident*G800,0))</f>
        <v/>
      </c>
      <c r="AO801" s="46">
        <f>AN801*IF(B801&gt;=in_marketplace_from,d_hz_accident*G801,0)</f>
        <v/>
      </c>
      <c r="AP801" s="14">
        <f>F801*AO801*in_accident_ticket*in_accident_comm*in_ins_partner_share+F801*in_accident_ticket*in_accident_renew_comm*in_ins_partner_share*(in_accident_renew^1*SUMIFS(AO797:AO841,B797:B841,B801-12)+in_accident_renew^2*SUMIFS(AO797:AO841,B797:B841,B801-24)+in_accident_renew^3*SUMIFS(AO797:AO841,B797:B841,B801-36)+in_accident_renew^4*SUMIFS(AO797:AO841,B797:B841,B801-48))</f>
        <v/>
      </c>
      <c r="AQ801" s="40">
        <f>AQ800*(1-IF(B800&gt;=in_marketplace_from,d_hz_two_wheeler*G800,0))</f>
        <v/>
      </c>
      <c r="AR801" s="46">
        <f>AQ801*IF(B801&gt;=in_marketplace_from,d_hz_two_wheeler*G801,0)</f>
        <v/>
      </c>
      <c r="AS801" s="14">
        <f>F801*AR801*in_two_wheeler_ticket*in_two_wheeler_comm*in_ins_partner_share+F801*in_two_wheeler_ticket*in_two_wheeler_comm*in_ins_partner_share*(in_two_wheeler_renew^1*SUMIFS(AR797:AR841,B797:B841,B801-12)+in_two_wheeler_renew^2*SUMIFS(AR797:AR841,B797:B841,B801-24)+in_two_wheeler_renew^3*SUMIFS(AR797:AR841,B797:B841,B801-36)+in_two_wheeler_renew^4*SUMIFS(AR797:AR841,B797:B841,B801-48))</f>
        <v/>
      </c>
      <c r="AT801" s="40">
        <f>AT800*(1-IF(B800&gt;=in_marketplace_from,d_hz_device*G800,0))</f>
        <v/>
      </c>
      <c r="AU801" s="14">
        <f>F801*AT801*IF(B801&gt;=in_marketplace_from,d_hz_device*G801,0)*in_device_ticket*in_device_comm*in_ins_partner_share</f>
        <v/>
      </c>
      <c r="AV801" s="40">
        <f>AV800*(1-IF(B800&gt;=in_marketplace_from,d_hz_shop*G800,0))</f>
        <v/>
      </c>
      <c r="AW801" s="46">
        <f>AV801*IF(B801&gt;=in_marketplace_from,d_hz_shop*G801,0)</f>
        <v/>
      </c>
      <c r="AX801" s="14">
        <f>F801*AW801*in_shop_ticket*in_shop_comm*in_ins_partner_share+F801*in_shop_ticket*in_shop_renew_comm*in_ins_partner_share*(in_shop_renew^1*SUMIFS(AW797:AW841,B797:B841,B801-12)+in_shop_renew^2*SUMIFS(AW797:AW841,B797:B841,B801-24)+in_shop_renew^3*SUMIFS(AW797:AW841,B797:B841,B801-36)+in_shop_renew^4*SUMIFS(AW797:AW841,B797:B841,B801-48))</f>
        <v/>
      </c>
      <c r="AY801" s="40">
        <f>AY800*(1-IF(B800&gt;=in_marketplace_from,d_hz_sip*G800,0))</f>
        <v/>
      </c>
      <c r="AZ801" s="40">
        <f>AZ800*d_rho_sip+AY801*IF(B801&gt;=in_marketplace_from,d_hz_sip*G801,0)</f>
        <v/>
      </c>
      <c r="BA801" s="40">
        <f>d_rho_sip*(BA800+AZ800)</f>
        <v/>
      </c>
      <c r="BB801" s="14">
        <f>F801*in_sip_ticket*(BA801+0.5*AZ801)*in_sip_comm/12</f>
        <v/>
      </c>
      <c r="BC801" s="40">
        <f>BC800*(1-IF(B800&gt;=in_marketplace_from,d_hz_choti*G800,0))</f>
        <v/>
      </c>
      <c r="BD801" s="46">
        <f>BC801*IF(B801&gt;=in_marketplace_from,d_hz_choti*G801,0)</f>
        <v/>
      </c>
      <c r="BE801" s="14">
        <f>F801*SUMIFS(BD797:BD841,B797:B841,B801-in_choti_months)*in_choti_renew*in_choti_ticket</f>
        <v/>
      </c>
      <c r="BF801" s="40">
        <f>BF800*(1-IF(B800&gt;=in_marketplace_from,d_hz_nps*G800,0))</f>
        <v/>
      </c>
      <c r="BG801" s="14">
        <f>F801*BF801*IF(B801&gt;=in_marketplace_from,d_hz_nps*G801,0)*in_nps_ticket*in_nps_comm</f>
        <v/>
      </c>
      <c r="BH801" s="40">
        <f>BH800*(1-IF(B800&gt;=in_marketplace_from,d_hz_gold*G800,0))</f>
        <v/>
      </c>
      <c r="BI801" s="40">
        <f>BI800*d_rho_gold+BH801*IF(B801&gt;=in_marketplace_from,d_hz_gold*G801,0)</f>
        <v/>
      </c>
      <c r="BJ801" s="14">
        <f>F801*BI801*in_gold_ticket*in_gold_comm</f>
        <v/>
      </c>
      <c r="BK801" s="40">
        <f>BK800*(1-IF(B800&gt;=in_marketplace_from,d_hz_fd*G800,0))</f>
        <v/>
      </c>
      <c r="BL801" s="14">
        <f>F801*BK801*IF(B801&gt;=in_marketplace_from,d_hz_fd*G801,0)*in_fd_ticket*in_fd_comm</f>
        <v/>
      </c>
      <c r="BM801" s="40">
        <f>BM800*(1-IF(B800&gt;=in_marketplace_from,d_hz_recharge*G800,0))</f>
        <v/>
      </c>
      <c r="BN801" s="40">
        <f>BN800*d_rho_recharge+BM801*IF(B801&gt;=in_marketplace_from,d_hz_recharge*G801,0)</f>
        <v/>
      </c>
      <c r="BO801" s="14">
        <f>F801*BN801*in_recharge_ticket*in_recharge_comm/12</f>
        <v/>
      </c>
      <c r="BP801" s="40">
        <f>BP800*(1-IF(B800&gt;=in_marketplace_from,d_hz_bills*G800,0))</f>
        <v/>
      </c>
      <c r="BQ801" s="40">
        <f>BQ800*d_rho_bills+BP801*IF(B801&gt;=in_marketplace_from,d_hz_bills*G801,0)</f>
        <v/>
      </c>
      <c r="BR801" s="14">
        <f>F801*BQ801*in_bills_ticket*in_bills_comm/12</f>
        <v/>
      </c>
      <c r="BS801" s="40">
        <f>BS800*(1-IF(B800&gt;=in_marketplace_from,d_hz_loan_gold*G800,0))</f>
        <v/>
      </c>
      <c r="BT801" s="14">
        <f>F801*BS801*IF(B801&gt;=in_marketplace_from,d_hz_loan_gold*G801,0)*in_loan_gold_ticket*in_loan_gold_comm</f>
        <v/>
      </c>
      <c r="BU801" s="40">
        <f>BU800*(1-IF(B800&gt;=in_marketplace_from,d_hz_loan_cd*G800,0))</f>
        <v/>
      </c>
      <c r="BV801" s="14">
        <f>F801*BU801*IF(B801&gt;=in_marketplace_from,d_hz_loan_cd*G801,0)*in_loan_cd_ticket*in_loan_cd_comm</f>
        <v/>
      </c>
      <c r="BW801" s="40">
        <f>BW800*(1-IF(B800&gt;=in_marketplace_from,d_hz_loan_vehicle*G800,0))</f>
        <v/>
      </c>
      <c r="BX801" s="14">
        <f>F801*BW801*IF(B801&gt;=in_marketplace_from,d_hz_loan_vehicle*G801,0)*in_loan_vehicle_ticket*in_loan_vehicle_comm</f>
        <v/>
      </c>
      <c r="BY801" s="40">
        <f>BY800*(1-IF(B800&gt;=in_marketplace_from,d_hz_loan_home*G800,0)*BZ800)</f>
        <v/>
      </c>
      <c r="BZ801" s="11">
        <f>MIN(in_approval_cap,in_loan_home_approval*INDEX('Age profile'!$O$2:$O$61,B801)*(1+in_approval_growth)^(D801-1))</f>
        <v/>
      </c>
      <c r="CA801" s="14">
        <f>F801*BY801*IF(B801&gt;=in_marketplace_from,d_hz_loan_home*G801,0)*BZ801*in_loan_home_ticket*in_loan_home_comm</f>
        <v/>
      </c>
      <c r="CB801" s="40">
        <f>CB800*(1-IF(B800&gt;=in_marketplace_from,d_hz_loan_lap*G800,0)*CC800)</f>
        <v/>
      </c>
      <c r="CC801" s="11">
        <f>MIN(in_approval_cap,in_loan_lap_approval*INDEX('Age profile'!$O$2:$O$61,B801)*(1+in_approval_growth)^(D801-1))</f>
        <v/>
      </c>
      <c r="CD801" s="14">
        <f>F801*CB801*IF(B801&gt;=in_marketplace_from,d_hz_loan_lap*G801,0)*CC801*in_loan_lap_ticket*in_loan_lap_comm</f>
        <v/>
      </c>
      <c r="CE801" s="14">
        <f>AA801+AB801+AC801+AD801+AG801+AJ801+AM801+AP801+AS801+AU801+AX801+BB801+BE801+BG801+BJ801+BL801+BO801+BR801+BT801+BV801+BX801+CA801+CD801</f>
        <v/>
      </c>
    </row>
    <row r="802">
      <c r="A802" s="39" t="n">
        <v>16</v>
      </c>
      <c r="B802" s="39" t="n">
        <v>6</v>
      </c>
      <c r="C802" s="39">
        <f>A802+B802-1</f>
        <v/>
      </c>
      <c r="D802" s="39">
        <f>INT((C802-1)/12)+1</f>
        <v/>
      </c>
      <c r="E802" s="44">
        <f>INDEX(Monthly!$B$2:$B$61,A802)</f>
        <v/>
      </c>
      <c r="F802" s="44">
        <f>E802*INDEX('Age profile'!$B$2:$B$61,B802)</f>
        <v/>
      </c>
      <c r="G802" s="45">
        <f>MIN(in_takeup_cap,INDEX('Age profile'!$N$2:$N$61,B802)*(1+in_takeup_growth)^(D802-1))</f>
        <v/>
      </c>
      <c r="H802" s="11">
        <f>MIN(in_approval_cap,in_approved_first*INDEX('Age profile'!$O$2:$O$61,B802)*(1+in_approval_growth)^(D802-1))</f>
        <v/>
      </c>
      <c r="I802" s="45">
        <f>G802*MIN(in_takeup_cap,INDEX('Age profile'!$O$2:$O$61,B802)*(1+in_approval_growth)^(D802-1))</f>
        <v/>
      </c>
      <c r="J802" s="40">
        <f>(J801-L801)*F802/F801</f>
        <v/>
      </c>
      <c r="K802" s="40">
        <f>(K801-M801)*F802/F801+SUMIFS(O797:O801,B797:B801,B802-1-d_T)*F802</f>
        <v/>
      </c>
      <c r="L802" s="40">
        <f>IF(B802&gt;=in_marketplace_from,J802*d_hz*G802*in_eligible*H802,0)</f>
        <v/>
      </c>
      <c r="M802" s="40">
        <f>IF(B802&gt;=in_marketplace_from,K802*d_hz*G802*in_eligible*in_approved_repeat,0)</f>
        <v/>
      </c>
      <c r="N802" s="40">
        <f>L802+M802</f>
        <v/>
      </c>
      <c r="O802" s="46">
        <f>N802/F802</f>
        <v/>
      </c>
      <c r="P802" s="40">
        <f>F802-J802-K802</f>
        <v/>
      </c>
      <c r="Q802" s="40">
        <f>IF(B802&gt;=in_marketplace_from,(J802+K802)*d_hz*G802,0)</f>
        <v/>
      </c>
      <c r="R802" s="40">
        <f>SUMIFS(N797:N841,B797:B841,"&gt;="&amp;(B802-d_T),B797:B841,"&lt;="&amp;(B802-1))</f>
        <v/>
      </c>
      <c r="S802" s="46">
        <f>(1-d_u)*S801+IF(d_T&gt;in_topup_lag,SUMIFS(O797:O841,B797:B841,B802-in_topup_lag)-d_udrop*SUMIFS(O797:O841,B797:B841,B802-d_T),0)</f>
        <v/>
      </c>
      <c r="T802" s="40">
        <f>F802*d_u*S802</f>
        <v/>
      </c>
      <c r="U802" s="9">
        <f>L802*in_ticket+M802*d_rep_ticket</f>
        <v/>
      </c>
      <c r="V802" s="9">
        <f>U802+T802*d_topup_amt</f>
        <v/>
      </c>
      <c r="W802" s="40">
        <f>N802+T802*d_topup_ratio</f>
        <v/>
      </c>
      <c r="X802" s="40">
        <f>SUMIFS(W797:W841,B797:B841,B802-in_dpd_lag)*d_cured</f>
        <v/>
      </c>
      <c r="Y802" s="40">
        <f>SUMIFS(W797:W841,B797:B841,B802-in_rec_lag)*d_recd</f>
        <v/>
      </c>
      <c r="Z802" s="40">
        <f>IF(AND(B802&gt;=in_marketplace_from,B802&lt;in_marketplace_from+in_card_months),in_card_share/in_card_months*F802*I802,IF(AND(B802&gt;=in_marketplace_from+in_card_months,B802&lt;in_marketplace_from+2*in_card_months),in_card_share*d_card_rem/in_card_months*F802*MIN(in_takeup_cap,(1+in_takeup_growth)^(D802-1))*MIN(in_takeup_cap,(1+in_approval_growth)^(D802-1)),0))</f>
        <v/>
      </c>
      <c r="AA802" s="14">
        <f>V802*in_fee*(1-in_taken_back)</f>
        <v/>
      </c>
      <c r="AB802" s="14">
        <f>SUMIFS(W797:W841,B797:B841,B802-in_dpd_lag)*d_dpd</f>
        <v/>
      </c>
      <c r="AC802" s="14">
        <f>SUMIFS(W797:W841,B797:B841,B802-in_rec_lag)*d_rec</f>
        <v/>
      </c>
      <c r="AD802" s="14">
        <f>Z802*in_card_fee</f>
        <v/>
      </c>
      <c r="AE802" s="40">
        <f>AE801*(1-IF(B801&gt;=in_marketplace_from,d_hz_hlth_small*G801,0))</f>
        <v/>
      </c>
      <c r="AF802" s="46">
        <f>AE802*IF(B802&gt;=in_marketplace_from,d_hz_hlth_small*G802,0)</f>
        <v/>
      </c>
      <c r="AG802" s="14">
        <f>F802*AF802*in_hlth_small_ticket*in_hlth_small_comm*in_ins_partner_share+F802*in_hlth_small_ticket*in_hlth_small_renew_comm*in_ins_partner_share*(in_hlth_small_renew^1*SUMIFS(AF797:AF841,B797:B841,B802-12)+in_hlth_small_renew^2*SUMIFS(AF797:AF841,B797:B841,B802-24)+in_hlth_small_renew^3*SUMIFS(AF797:AF841,B797:B841,B802-36)+in_hlth_small_renew^4*SUMIFS(AF797:AF841,B797:B841,B802-48))</f>
        <v/>
      </c>
      <c r="AH802" s="40">
        <f>AH801*(1-IF(B801&gt;=in_marketplace_from,d_hz_hlth_family*G801,0))</f>
        <v/>
      </c>
      <c r="AI802" s="46">
        <f>AH802*IF(B802&gt;=in_marketplace_from,d_hz_hlth_family*G802,0)</f>
        <v/>
      </c>
      <c r="AJ802" s="14">
        <f>F802*AI802*in_hlth_family_ticket*in_hlth_family_comm*in_ins_partner_share+F802*in_hlth_family_ticket*in_hlth_family_renew_comm*in_ins_partner_share*(in_hlth_family_renew^1*SUMIFS(AI797:AI841,B797:B841,B802-12)+in_hlth_family_renew^2*SUMIFS(AI797:AI841,B797:B841,B802-24)+in_hlth_family_renew^3*SUMIFS(AI797:AI841,B797:B841,B802-36)+in_hlth_family_renew^4*SUMIFS(AI797:AI841,B797:B841,B802-48))</f>
        <v/>
      </c>
      <c r="AK802" s="40">
        <f>AK801*(1-IF(B801&gt;=in_marketplace_from,d_hz_life_term*G801,0))</f>
        <v/>
      </c>
      <c r="AL802" s="46">
        <f>AK802*IF(B802&gt;=in_marketplace_from,d_hz_life_term*G802,0)</f>
        <v/>
      </c>
      <c r="AM802" s="14">
        <f>F802*AL802*in_life_term_ticket*in_life_term_comm*in_ins_partner_share+F802*in_life_term_ticket*in_life_term_renew_comm*in_ins_partner_share*(in_life_term_renew^1*SUMIFS(AL797:AL841,B797:B841,B802-12)+in_life_term_renew^2*SUMIFS(AL797:AL841,B797:B841,B802-24)+in_life_term_renew^3*SUMIFS(AL797:AL841,B797:B841,B802-36)+in_life_term_renew^4*SUMIFS(AL797:AL841,B797:B841,B802-48))</f>
        <v/>
      </c>
      <c r="AN802" s="40">
        <f>AN801*(1-IF(B801&gt;=in_marketplace_from,d_hz_accident*G801,0))</f>
        <v/>
      </c>
      <c r="AO802" s="46">
        <f>AN802*IF(B802&gt;=in_marketplace_from,d_hz_accident*G802,0)</f>
        <v/>
      </c>
      <c r="AP802" s="14">
        <f>F802*AO802*in_accident_ticket*in_accident_comm*in_ins_partner_share+F802*in_accident_ticket*in_accident_renew_comm*in_ins_partner_share*(in_accident_renew^1*SUMIFS(AO797:AO841,B797:B841,B802-12)+in_accident_renew^2*SUMIFS(AO797:AO841,B797:B841,B802-24)+in_accident_renew^3*SUMIFS(AO797:AO841,B797:B841,B802-36)+in_accident_renew^4*SUMIFS(AO797:AO841,B797:B841,B802-48))</f>
        <v/>
      </c>
      <c r="AQ802" s="40">
        <f>AQ801*(1-IF(B801&gt;=in_marketplace_from,d_hz_two_wheeler*G801,0))</f>
        <v/>
      </c>
      <c r="AR802" s="46">
        <f>AQ802*IF(B802&gt;=in_marketplace_from,d_hz_two_wheeler*G802,0)</f>
        <v/>
      </c>
      <c r="AS802" s="14">
        <f>F802*AR802*in_two_wheeler_ticket*in_two_wheeler_comm*in_ins_partner_share+F802*in_two_wheeler_ticket*in_two_wheeler_comm*in_ins_partner_share*(in_two_wheeler_renew^1*SUMIFS(AR797:AR841,B797:B841,B802-12)+in_two_wheeler_renew^2*SUMIFS(AR797:AR841,B797:B841,B802-24)+in_two_wheeler_renew^3*SUMIFS(AR797:AR841,B797:B841,B802-36)+in_two_wheeler_renew^4*SUMIFS(AR797:AR841,B797:B841,B802-48))</f>
        <v/>
      </c>
      <c r="AT802" s="40">
        <f>AT801*(1-IF(B801&gt;=in_marketplace_from,d_hz_device*G801,0))</f>
        <v/>
      </c>
      <c r="AU802" s="14">
        <f>F802*AT802*IF(B802&gt;=in_marketplace_from,d_hz_device*G802,0)*in_device_ticket*in_device_comm*in_ins_partner_share</f>
        <v/>
      </c>
      <c r="AV802" s="40">
        <f>AV801*(1-IF(B801&gt;=in_marketplace_from,d_hz_shop*G801,0))</f>
        <v/>
      </c>
      <c r="AW802" s="46">
        <f>AV802*IF(B802&gt;=in_marketplace_from,d_hz_shop*G802,0)</f>
        <v/>
      </c>
      <c r="AX802" s="14">
        <f>F802*AW802*in_shop_ticket*in_shop_comm*in_ins_partner_share+F802*in_shop_ticket*in_shop_renew_comm*in_ins_partner_share*(in_shop_renew^1*SUMIFS(AW797:AW841,B797:B841,B802-12)+in_shop_renew^2*SUMIFS(AW797:AW841,B797:B841,B802-24)+in_shop_renew^3*SUMIFS(AW797:AW841,B797:B841,B802-36)+in_shop_renew^4*SUMIFS(AW797:AW841,B797:B841,B802-48))</f>
        <v/>
      </c>
      <c r="AY802" s="40">
        <f>AY801*(1-IF(B801&gt;=in_marketplace_from,d_hz_sip*G801,0))</f>
        <v/>
      </c>
      <c r="AZ802" s="40">
        <f>AZ801*d_rho_sip+AY802*IF(B802&gt;=in_marketplace_from,d_hz_sip*G802,0)</f>
        <v/>
      </c>
      <c r="BA802" s="40">
        <f>d_rho_sip*(BA801+AZ801)</f>
        <v/>
      </c>
      <c r="BB802" s="14">
        <f>F802*in_sip_ticket*(BA802+0.5*AZ802)*in_sip_comm/12</f>
        <v/>
      </c>
      <c r="BC802" s="40">
        <f>BC801*(1-IF(B801&gt;=in_marketplace_from,d_hz_choti*G801,0))</f>
        <v/>
      </c>
      <c r="BD802" s="46">
        <f>BC802*IF(B802&gt;=in_marketplace_from,d_hz_choti*G802,0)</f>
        <v/>
      </c>
      <c r="BE802" s="14">
        <f>F802*SUMIFS(BD797:BD841,B797:B841,B802-in_choti_months)*in_choti_renew*in_choti_ticket</f>
        <v/>
      </c>
      <c r="BF802" s="40">
        <f>BF801*(1-IF(B801&gt;=in_marketplace_from,d_hz_nps*G801,0))</f>
        <v/>
      </c>
      <c r="BG802" s="14">
        <f>F802*BF802*IF(B802&gt;=in_marketplace_from,d_hz_nps*G802,0)*in_nps_ticket*in_nps_comm</f>
        <v/>
      </c>
      <c r="BH802" s="40">
        <f>BH801*(1-IF(B801&gt;=in_marketplace_from,d_hz_gold*G801,0))</f>
        <v/>
      </c>
      <c r="BI802" s="40">
        <f>BI801*d_rho_gold+BH802*IF(B802&gt;=in_marketplace_from,d_hz_gold*G802,0)</f>
        <v/>
      </c>
      <c r="BJ802" s="14">
        <f>F802*BI802*in_gold_ticket*in_gold_comm</f>
        <v/>
      </c>
      <c r="BK802" s="40">
        <f>BK801*(1-IF(B801&gt;=in_marketplace_from,d_hz_fd*G801,0))</f>
        <v/>
      </c>
      <c r="BL802" s="14">
        <f>F802*BK802*IF(B802&gt;=in_marketplace_from,d_hz_fd*G802,0)*in_fd_ticket*in_fd_comm</f>
        <v/>
      </c>
      <c r="BM802" s="40">
        <f>BM801*(1-IF(B801&gt;=in_marketplace_from,d_hz_recharge*G801,0))</f>
        <v/>
      </c>
      <c r="BN802" s="40">
        <f>BN801*d_rho_recharge+BM802*IF(B802&gt;=in_marketplace_from,d_hz_recharge*G802,0)</f>
        <v/>
      </c>
      <c r="BO802" s="14">
        <f>F802*BN802*in_recharge_ticket*in_recharge_comm/12</f>
        <v/>
      </c>
      <c r="BP802" s="40">
        <f>BP801*(1-IF(B801&gt;=in_marketplace_from,d_hz_bills*G801,0))</f>
        <v/>
      </c>
      <c r="BQ802" s="40">
        <f>BQ801*d_rho_bills+BP802*IF(B802&gt;=in_marketplace_from,d_hz_bills*G802,0)</f>
        <v/>
      </c>
      <c r="BR802" s="14">
        <f>F802*BQ802*in_bills_ticket*in_bills_comm/12</f>
        <v/>
      </c>
      <c r="BS802" s="40">
        <f>BS801*(1-IF(B801&gt;=in_marketplace_from,d_hz_loan_gold*G801,0))</f>
        <v/>
      </c>
      <c r="BT802" s="14">
        <f>F802*BS802*IF(B802&gt;=in_marketplace_from,d_hz_loan_gold*G802,0)*in_loan_gold_ticket*in_loan_gold_comm</f>
        <v/>
      </c>
      <c r="BU802" s="40">
        <f>BU801*(1-IF(B801&gt;=in_marketplace_from,d_hz_loan_cd*G801,0))</f>
        <v/>
      </c>
      <c r="BV802" s="14">
        <f>F802*BU802*IF(B802&gt;=in_marketplace_from,d_hz_loan_cd*G802,0)*in_loan_cd_ticket*in_loan_cd_comm</f>
        <v/>
      </c>
      <c r="BW802" s="40">
        <f>BW801*(1-IF(B801&gt;=in_marketplace_from,d_hz_loan_vehicle*G801,0))</f>
        <v/>
      </c>
      <c r="BX802" s="14">
        <f>F802*BW802*IF(B802&gt;=in_marketplace_from,d_hz_loan_vehicle*G802,0)*in_loan_vehicle_ticket*in_loan_vehicle_comm</f>
        <v/>
      </c>
      <c r="BY802" s="40">
        <f>BY801*(1-IF(B801&gt;=in_marketplace_from,d_hz_loan_home*G801,0)*BZ801)</f>
        <v/>
      </c>
      <c r="BZ802" s="11">
        <f>MIN(in_approval_cap,in_loan_home_approval*INDEX('Age profile'!$O$2:$O$61,B802)*(1+in_approval_growth)^(D802-1))</f>
        <v/>
      </c>
      <c r="CA802" s="14">
        <f>F802*BY802*IF(B802&gt;=in_marketplace_from,d_hz_loan_home*G802,0)*BZ802*in_loan_home_ticket*in_loan_home_comm</f>
        <v/>
      </c>
      <c r="CB802" s="40">
        <f>CB801*(1-IF(B801&gt;=in_marketplace_from,d_hz_loan_lap*G801,0)*CC801)</f>
        <v/>
      </c>
      <c r="CC802" s="11">
        <f>MIN(in_approval_cap,in_loan_lap_approval*INDEX('Age profile'!$O$2:$O$61,B802)*(1+in_approval_growth)^(D802-1))</f>
        <v/>
      </c>
      <c r="CD802" s="14">
        <f>F802*CB802*IF(B802&gt;=in_marketplace_from,d_hz_loan_lap*G802,0)*CC802*in_loan_lap_ticket*in_loan_lap_comm</f>
        <v/>
      </c>
      <c r="CE802" s="14">
        <f>AA802+AB802+AC802+AD802+AG802+AJ802+AM802+AP802+AS802+AU802+AX802+BB802+BE802+BG802+BJ802+BL802+BO802+BR802+BT802+BV802+BX802+CA802+CD802</f>
        <v/>
      </c>
    </row>
    <row r="803">
      <c r="A803" s="39" t="n">
        <v>16</v>
      </c>
      <c r="B803" s="39" t="n">
        <v>7</v>
      </c>
      <c r="C803" s="39">
        <f>A803+B803-1</f>
        <v/>
      </c>
      <c r="D803" s="39">
        <f>INT((C803-1)/12)+1</f>
        <v/>
      </c>
      <c r="E803" s="44">
        <f>INDEX(Monthly!$B$2:$B$61,A803)</f>
        <v/>
      </c>
      <c r="F803" s="44">
        <f>E803*INDEX('Age profile'!$B$2:$B$61,B803)</f>
        <v/>
      </c>
      <c r="G803" s="45">
        <f>MIN(in_takeup_cap,INDEX('Age profile'!$N$2:$N$61,B803)*(1+in_takeup_growth)^(D803-1))</f>
        <v/>
      </c>
      <c r="H803" s="11">
        <f>MIN(in_approval_cap,in_approved_first*INDEX('Age profile'!$O$2:$O$61,B803)*(1+in_approval_growth)^(D803-1))</f>
        <v/>
      </c>
      <c r="I803" s="45">
        <f>G803*MIN(in_takeup_cap,INDEX('Age profile'!$O$2:$O$61,B803)*(1+in_approval_growth)^(D803-1))</f>
        <v/>
      </c>
      <c r="J803" s="40">
        <f>(J802-L802)*F803/F802</f>
        <v/>
      </c>
      <c r="K803" s="40">
        <f>(K802-M802)*F803/F802+SUMIFS(O797:O802,B797:B802,B803-1-d_T)*F803</f>
        <v/>
      </c>
      <c r="L803" s="40">
        <f>IF(B803&gt;=in_marketplace_from,J803*d_hz*G803*in_eligible*H803,0)</f>
        <v/>
      </c>
      <c r="M803" s="40">
        <f>IF(B803&gt;=in_marketplace_from,K803*d_hz*G803*in_eligible*in_approved_repeat,0)</f>
        <v/>
      </c>
      <c r="N803" s="40">
        <f>L803+M803</f>
        <v/>
      </c>
      <c r="O803" s="46">
        <f>N803/F803</f>
        <v/>
      </c>
      <c r="P803" s="40">
        <f>F803-J803-K803</f>
        <v/>
      </c>
      <c r="Q803" s="40">
        <f>IF(B803&gt;=in_marketplace_from,(J803+K803)*d_hz*G803,0)</f>
        <v/>
      </c>
      <c r="R803" s="40">
        <f>SUMIFS(N797:N841,B797:B841,"&gt;="&amp;(B803-d_T),B797:B841,"&lt;="&amp;(B803-1))</f>
        <v/>
      </c>
      <c r="S803" s="46">
        <f>(1-d_u)*S802+IF(d_T&gt;in_topup_lag,SUMIFS(O797:O841,B797:B841,B803-in_topup_lag)-d_udrop*SUMIFS(O797:O841,B797:B841,B803-d_T),0)</f>
        <v/>
      </c>
      <c r="T803" s="40">
        <f>F803*d_u*S803</f>
        <v/>
      </c>
      <c r="U803" s="9">
        <f>L803*in_ticket+M803*d_rep_ticket</f>
        <v/>
      </c>
      <c r="V803" s="9">
        <f>U803+T803*d_topup_amt</f>
        <v/>
      </c>
      <c r="W803" s="40">
        <f>N803+T803*d_topup_ratio</f>
        <v/>
      </c>
      <c r="X803" s="40">
        <f>SUMIFS(W797:W841,B797:B841,B803-in_dpd_lag)*d_cured</f>
        <v/>
      </c>
      <c r="Y803" s="40">
        <f>SUMIFS(W797:W841,B797:B841,B803-in_rec_lag)*d_recd</f>
        <v/>
      </c>
      <c r="Z803" s="40">
        <f>IF(AND(B803&gt;=in_marketplace_from,B803&lt;in_marketplace_from+in_card_months),in_card_share/in_card_months*F803*I803,IF(AND(B803&gt;=in_marketplace_from+in_card_months,B803&lt;in_marketplace_from+2*in_card_months),in_card_share*d_card_rem/in_card_months*F803*MIN(in_takeup_cap,(1+in_takeup_growth)^(D803-1))*MIN(in_takeup_cap,(1+in_approval_growth)^(D803-1)),0))</f>
        <v/>
      </c>
      <c r="AA803" s="14">
        <f>V803*in_fee*(1-in_taken_back)</f>
        <v/>
      </c>
      <c r="AB803" s="14">
        <f>SUMIFS(W797:W841,B797:B841,B803-in_dpd_lag)*d_dpd</f>
        <v/>
      </c>
      <c r="AC803" s="14">
        <f>SUMIFS(W797:W841,B797:B841,B803-in_rec_lag)*d_rec</f>
        <v/>
      </c>
      <c r="AD803" s="14">
        <f>Z803*in_card_fee</f>
        <v/>
      </c>
      <c r="AE803" s="40">
        <f>AE802*(1-IF(B802&gt;=in_marketplace_from,d_hz_hlth_small*G802,0))</f>
        <v/>
      </c>
      <c r="AF803" s="46">
        <f>AE803*IF(B803&gt;=in_marketplace_from,d_hz_hlth_small*G803,0)</f>
        <v/>
      </c>
      <c r="AG803" s="14">
        <f>F803*AF803*in_hlth_small_ticket*in_hlth_small_comm*in_ins_partner_share+F803*in_hlth_small_ticket*in_hlth_small_renew_comm*in_ins_partner_share*(in_hlth_small_renew^1*SUMIFS(AF797:AF841,B797:B841,B803-12)+in_hlth_small_renew^2*SUMIFS(AF797:AF841,B797:B841,B803-24)+in_hlth_small_renew^3*SUMIFS(AF797:AF841,B797:B841,B803-36)+in_hlth_small_renew^4*SUMIFS(AF797:AF841,B797:B841,B803-48))</f>
        <v/>
      </c>
      <c r="AH803" s="40">
        <f>AH802*(1-IF(B802&gt;=in_marketplace_from,d_hz_hlth_family*G802,0))</f>
        <v/>
      </c>
      <c r="AI803" s="46">
        <f>AH803*IF(B803&gt;=in_marketplace_from,d_hz_hlth_family*G803,0)</f>
        <v/>
      </c>
      <c r="AJ803" s="14">
        <f>F803*AI803*in_hlth_family_ticket*in_hlth_family_comm*in_ins_partner_share+F803*in_hlth_family_ticket*in_hlth_family_renew_comm*in_ins_partner_share*(in_hlth_family_renew^1*SUMIFS(AI797:AI841,B797:B841,B803-12)+in_hlth_family_renew^2*SUMIFS(AI797:AI841,B797:B841,B803-24)+in_hlth_family_renew^3*SUMIFS(AI797:AI841,B797:B841,B803-36)+in_hlth_family_renew^4*SUMIFS(AI797:AI841,B797:B841,B803-48))</f>
        <v/>
      </c>
      <c r="AK803" s="40">
        <f>AK802*(1-IF(B802&gt;=in_marketplace_from,d_hz_life_term*G802,0))</f>
        <v/>
      </c>
      <c r="AL803" s="46">
        <f>AK803*IF(B803&gt;=in_marketplace_from,d_hz_life_term*G803,0)</f>
        <v/>
      </c>
      <c r="AM803" s="14">
        <f>F803*AL803*in_life_term_ticket*in_life_term_comm*in_ins_partner_share+F803*in_life_term_ticket*in_life_term_renew_comm*in_ins_partner_share*(in_life_term_renew^1*SUMIFS(AL797:AL841,B797:B841,B803-12)+in_life_term_renew^2*SUMIFS(AL797:AL841,B797:B841,B803-24)+in_life_term_renew^3*SUMIFS(AL797:AL841,B797:B841,B803-36)+in_life_term_renew^4*SUMIFS(AL797:AL841,B797:B841,B803-48))</f>
        <v/>
      </c>
      <c r="AN803" s="40">
        <f>AN802*(1-IF(B802&gt;=in_marketplace_from,d_hz_accident*G802,0))</f>
        <v/>
      </c>
      <c r="AO803" s="46">
        <f>AN803*IF(B803&gt;=in_marketplace_from,d_hz_accident*G803,0)</f>
        <v/>
      </c>
      <c r="AP803" s="14">
        <f>F803*AO803*in_accident_ticket*in_accident_comm*in_ins_partner_share+F803*in_accident_ticket*in_accident_renew_comm*in_ins_partner_share*(in_accident_renew^1*SUMIFS(AO797:AO841,B797:B841,B803-12)+in_accident_renew^2*SUMIFS(AO797:AO841,B797:B841,B803-24)+in_accident_renew^3*SUMIFS(AO797:AO841,B797:B841,B803-36)+in_accident_renew^4*SUMIFS(AO797:AO841,B797:B841,B803-48))</f>
        <v/>
      </c>
      <c r="AQ803" s="40">
        <f>AQ802*(1-IF(B802&gt;=in_marketplace_from,d_hz_two_wheeler*G802,0))</f>
        <v/>
      </c>
      <c r="AR803" s="46">
        <f>AQ803*IF(B803&gt;=in_marketplace_from,d_hz_two_wheeler*G803,0)</f>
        <v/>
      </c>
      <c r="AS803" s="14">
        <f>F803*AR803*in_two_wheeler_ticket*in_two_wheeler_comm*in_ins_partner_share+F803*in_two_wheeler_ticket*in_two_wheeler_comm*in_ins_partner_share*(in_two_wheeler_renew^1*SUMIFS(AR797:AR841,B797:B841,B803-12)+in_two_wheeler_renew^2*SUMIFS(AR797:AR841,B797:B841,B803-24)+in_two_wheeler_renew^3*SUMIFS(AR797:AR841,B797:B841,B803-36)+in_two_wheeler_renew^4*SUMIFS(AR797:AR841,B797:B841,B803-48))</f>
        <v/>
      </c>
      <c r="AT803" s="40">
        <f>AT802*(1-IF(B802&gt;=in_marketplace_from,d_hz_device*G802,0))</f>
        <v/>
      </c>
      <c r="AU803" s="14">
        <f>F803*AT803*IF(B803&gt;=in_marketplace_from,d_hz_device*G803,0)*in_device_ticket*in_device_comm*in_ins_partner_share</f>
        <v/>
      </c>
      <c r="AV803" s="40">
        <f>AV802*(1-IF(B802&gt;=in_marketplace_from,d_hz_shop*G802,0))</f>
        <v/>
      </c>
      <c r="AW803" s="46">
        <f>AV803*IF(B803&gt;=in_marketplace_from,d_hz_shop*G803,0)</f>
        <v/>
      </c>
      <c r="AX803" s="14">
        <f>F803*AW803*in_shop_ticket*in_shop_comm*in_ins_partner_share+F803*in_shop_ticket*in_shop_renew_comm*in_ins_partner_share*(in_shop_renew^1*SUMIFS(AW797:AW841,B797:B841,B803-12)+in_shop_renew^2*SUMIFS(AW797:AW841,B797:B841,B803-24)+in_shop_renew^3*SUMIFS(AW797:AW841,B797:B841,B803-36)+in_shop_renew^4*SUMIFS(AW797:AW841,B797:B841,B803-48))</f>
        <v/>
      </c>
      <c r="AY803" s="40">
        <f>AY802*(1-IF(B802&gt;=in_marketplace_from,d_hz_sip*G802,0))</f>
        <v/>
      </c>
      <c r="AZ803" s="40">
        <f>AZ802*d_rho_sip+AY803*IF(B803&gt;=in_marketplace_from,d_hz_sip*G803,0)</f>
        <v/>
      </c>
      <c r="BA803" s="40">
        <f>d_rho_sip*(BA802+AZ802)</f>
        <v/>
      </c>
      <c r="BB803" s="14">
        <f>F803*in_sip_ticket*(BA803+0.5*AZ803)*in_sip_comm/12</f>
        <v/>
      </c>
      <c r="BC803" s="40">
        <f>BC802*(1-IF(B802&gt;=in_marketplace_from,d_hz_choti*G802,0))</f>
        <v/>
      </c>
      <c r="BD803" s="46">
        <f>BC803*IF(B803&gt;=in_marketplace_from,d_hz_choti*G803,0)</f>
        <v/>
      </c>
      <c r="BE803" s="14">
        <f>F803*SUMIFS(BD797:BD841,B797:B841,B803-in_choti_months)*in_choti_renew*in_choti_ticket</f>
        <v/>
      </c>
      <c r="BF803" s="40">
        <f>BF802*(1-IF(B802&gt;=in_marketplace_from,d_hz_nps*G802,0))</f>
        <v/>
      </c>
      <c r="BG803" s="14">
        <f>F803*BF803*IF(B803&gt;=in_marketplace_from,d_hz_nps*G803,0)*in_nps_ticket*in_nps_comm</f>
        <v/>
      </c>
      <c r="BH803" s="40">
        <f>BH802*(1-IF(B802&gt;=in_marketplace_from,d_hz_gold*G802,0))</f>
        <v/>
      </c>
      <c r="BI803" s="40">
        <f>BI802*d_rho_gold+BH803*IF(B803&gt;=in_marketplace_from,d_hz_gold*G803,0)</f>
        <v/>
      </c>
      <c r="BJ803" s="14">
        <f>F803*BI803*in_gold_ticket*in_gold_comm</f>
        <v/>
      </c>
      <c r="BK803" s="40">
        <f>BK802*(1-IF(B802&gt;=in_marketplace_from,d_hz_fd*G802,0))</f>
        <v/>
      </c>
      <c r="BL803" s="14">
        <f>F803*BK803*IF(B803&gt;=in_marketplace_from,d_hz_fd*G803,0)*in_fd_ticket*in_fd_comm</f>
        <v/>
      </c>
      <c r="BM803" s="40">
        <f>BM802*(1-IF(B802&gt;=in_marketplace_from,d_hz_recharge*G802,0))</f>
        <v/>
      </c>
      <c r="BN803" s="40">
        <f>BN802*d_rho_recharge+BM803*IF(B803&gt;=in_marketplace_from,d_hz_recharge*G803,0)</f>
        <v/>
      </c>
      <c r="BO803" s="14">
        <f>F803*BN803*in_recharge_ticket*in_recharge_comm/12</f>
        <v/>
      </c>
      <c r="BP803" s="40">
        <f>BP802*(1-IF(B802&gt;=in_marketplace_from,d_hz_bills*G802,0))</f>
        <v/>
      </c>
      <c r="BQ803" s="40">
        <f>BQ802*d_rho_bills+BP803*IF(B803&gt;=in_marketplace_from,d_hz_bills*G803,0)</f>
        <v/>
      </c>
      <c r="BR803" s="14">
        <f>F803*BQ803*in_bills_ticket*in_bills_comm/12</f>
        <v/>
      </c>
      <c r="BS803" s="40">
        <f>BS802*(1-IF(B802&gt;=in_marketplace_from,d_hz_loan_gold*G802,0))</f>
        <v/>
      </c>
      <c r="BT803" s="14">
        <f>F803*BS803*IF(B803&gt;=in_marketplace_from,d_hz_loan_gold*G803,0)*in_loan_gold_ticket*in_loan_gold_comm</f>
        <v/>
      </c>
      <c r="BU803" s="40">
        <f>BU802*(1-IF(B802&gt;=in_marketplace_from,d_hz_loan_cd*G802,0))</f>
        <v/>
      </c>
      <c r="BV803" s="14">
        <f>F803*BU803*IF(B803&gt;=in_marketplace_from,d_hz_loan_cd*G803,0)*in_loan_cd_ticket*in_loan_cd_comm</f>
        <v/>
      </c>
      <c r="BW803" s="40">
        <f>BW802*(1-IF(B802&gt;=in_marketplace_from,d_hz_loan_vehicle*G802,0))</f>
        <v/>
      </c>
      <c r="BX803" s="14">
        <f>F803*BW803*IF(B803&gt;=in_marketplace_from,d_hz_loan_vehicle*G803,0)*in_loan_vehicle_ticket*in_loan_vehicle_comm</f>
        <v/>
      </c>
      <c r="BY803" s="40">
        <f>BY802*(1-IF(B802&gt;=in_marketplace_from,d_hz_loan_home*G802,0)*BZ802)</f>
        <v/>
      </c>
      <c r="BZ803" s="11">
        <f>MIN(in_approval_cap,in_loan_home_approval*INDEX('Age profile'!$O$2:$O$61,B803)*(1+in_approval_growth)^(D803-1))</f>
        <v/>
      </c>
      <c r="CA803" s="14">
        <f>F803*BY803*IF(B803&gt;=in_marketplace_from,d_hz_loan_home*G803,0)*BZ803*in_loan_home_ticket*in_loan_home_comm</f>
        <v/>
      </c>
      <c r="CB803" s="40">
        <f>CB802*(1-IF(B802&gt;=in_marketplace_from,d_hz_loan_lap*G802,0)*CC802)</f>
        <v/>
      </c>
      <c r="CC803" s="11">
        <f>MIN(in_approval_cap,in_loan_lap_approval*INDEX('Age profile'!$O$2:$O$61,B803)*(1+in_approval_growth)^(D803-1))</f>
        <v/>
      </c>
      <c r="CD803" s="14">
        <f>F803*CB803*IF(B803&gt;=in_marketplace_from,d_hz_loan_lap*G803,0)*CC803*in_loan_lap_ticket*in_loan_lap_comm</f>
        <v/>
      </c>
      <c r="CE803" s="14">
        <f>AA803+AB803+AC803+AD803+AG803+AJ803+AM803+AP803+AS803+AU803+AX803+BB803+BE803+BG803+BJ803+BL803+BO803+BR803+BT803+BV803+BX803+CA803+CD803</f>
        <v/>
      </c>
    </row>
    <row r="804">
      <c r="A804" s="39" t="n">
        <v>16</v>
      </c>
      <c r="B804" s="39" t="n">
        <v>8</v>
      </c>
      <c r="C804" s="39">
        <f>A804+B804-1</f>
        <v/>
      </c>
      <c r="D804" s="39">
        <f>INT((C804-1)/12)+1</f>
        <v/>
      </c>
      <c r="E804" s="44">
        <f>INDEX(Monthly!$B$2:$B$61,A804)</f>
        <v/>
      </c>
      <c r="F804" s="44">
        <f>E804*INDEX('Age profile'!$B$2:$B$61,B804)</f>
        <v/>
      </c>
      <c r="G804" s="45">
        <f>MIN(in_takeup_cap,INDEX('Age profile'!$N$2:$N$61,B804)*(1+in_takeup_growth)^(D804-1))</f>
        <v/>
      </c>
      <c r="H804" s="11">
        <f>MIN(in_approval_cap,in_approved_first*INDEX('Age profile'!$O$2:$O$61,B804)*(1+in_approval_growth)^(D804-1))</f>
        <v/>
      </c>
      <c r="I804" s="45">
        <f>G804*MIN(in_takeup_cap,INDEX('Age profile'!$O$2:$O$61,B804)*(1+in_approval_growth)^(D804-1))</f>
        <v/>
      </c>
      <c r="J804" s="40">
        <f>(J803-L803)*F804/F803</f>
        <v/>
      </c>
      <c r="K804" s="40">
        <f>(K803-M803)*F804/F803+SUMIFS(O797:O803,B797:B803,B804-1-d_T)*F804</f>
        <v/>
      </c>
      <c r="L804" s="40">
        <f>IF(B804&gt;=in_marketplace_from,J804*d_hz*G804*in_eligible*H804,0)</f>
        <v/>
      </c>
      <c r="M804" s="40">
        <f>IF(B804&gt;=in_marketplace_from,K804*d_hz*G804*in_eligible*in_approved_repeat,0)</f>
        <v/>
      </c>
      <c r="N804" s="40">
        <f>L804+M804</f>
        <v/>
      </c>
      <c r="O804" s="46">
        <f>N804/F804</f>
        <v/>
      </c>
      <c r="P804" s="40">
        <f>F804-J804-K804</f>
        <v/>
      </c>
      <c r="Q804" s="40">
        <f>IF(B804&gt;=in_marketplace_from,(J804+K804)*d_hz*G804,0)</f>
        <v/>
      </c>
      <c r="R804" s="40">
        <f>SUMIFS(N797:N841,B797:B841,"&gt;="&amp;(B804-d_T),B797:B841,"&lt;="&amp;(B804-1))</f>
        <v/>
      </c>
      <c r="S804" s="46">
        <f>(1-d_u)*S803+IF(d_T&gt;in_topup_lag,SUMIFS(O797:O841,B797:B841,B804-in_topup_lag)-d_udrop*SUMIFS(O797:O841,B797:B841,B804-d_T),0)</f>
        <v/>
      </c>
      <c r="T804" s="40">
        <f>F804*d_u*S804</f>
        <v/>
      </c>
      <c r="U804" s="9">
        <f>L804*in_ticket+M804*d_rep_ticket</f>
        <v/>
      </c>
      <c r="V804" s="9">
        <f>U804+T804*d_topup_amt</f>
        <v/>
      </c>
      <c r="W804" s="40">
        <f>N804+T804*d_topup_ratio</f>
        <v/>
      </c>
      <c r="X804" s="40">
        <f>SUMIFS(W797:W841,B797:B841,B804-in_dpd_lag)*d_cured</f>
        <v/>
      </c>
      <c r="Y804" s="40">
        <f>SUMIFS(W797:W841,B797:B841,B804-in_rec_lag)*d_recd</f>
        <v/>
      </c>
      <c r="Z804" s="40">
        <f>IF(AND(B804&gt;=in_marketplace_from,B804&lt;in_marketplace_from+in_card_months),in_card_share/in_card_months*F804*I804,IF(AND(B804&gt;=in_marketplace_from+in_card_months,B804&lt;in_marketplace_from+2*in_card_months),in_card_share*d_card_rem/in_card_months*F804*MIN(in_takeup_cap,(1+in_takeup_growth)^(D804-1))*MIN(in_takeup_cap,(1+in_approval_growth)^(D804-1)),0))</f>
        <v/>
      </c>
      <c r="AA804" s="14">
        <f>V804*in_fee*(1-in_taken_back)</f>
        <v/>
      </c>
      <c r="AB804" s="14">
        <f>SUMIFS(W797:W841,B797:B841,B804-in_dpd_lag)*d_dpd</f>
        <v/>
      </c>
      <c r="AC804" s="14">
        <f>SUMIFS(W797:W841,B797:B841,B804-in_rec_lag)*d_rec</f>
        <v/>
      </c>
      <c r="AD804" s="14">
        <f>Z804*in_card_fee</f>
        <v/>
      </c>
      <c r="AE804" s="40">
        <f>AE803*(1-IF(B803&gt;=in_marketplace_from,d_hz_hlth_small*G803,0))</f>
        <v/>
      </c>
      <c r="AF804" s="46">
        <f>AE804*IF(B804&gt;=in_marketplace_from,d_hz_hlth_small*G804,0)</f>
        <v/>
      </c>
      <c r="AG804" s="14">
        <f>F804*AF804*in_hlth_small_ticket*in_hlth_small_comm*in_ins_partner_share+F804*in_hlth_small_ticket*in_hlth_small_renew_comm*in_ins_partner_share*(in_hlth_small_renew^1*SUMIFS(AF797:AF841,B797:B841,B804-12)+in_hlth_small_renew^2*SUMIFS(AF797:AF841,B797:B841,B804-24)+in_hlth_small_renew^3*SUMIFS(AF797:AF841,B797:B841,B804-36)+in_hlth_small_renew^4*SUMIFS(AF797:AF841,B797:B841,B804-48))</f>
        <v/>
      </c>
      <c r="AH804" s="40">
        <f>AH803*(1-IF(B803&gt;=in_marketplace_from,d_hz_hlth_family*G803,0))</f>
        <v/>
      </c>
      <c r="AI804" s="46">
        <f>AH804*IF(B804&gt;=in_marketplace_from,d_hz_hlth_family*G804,0)</f>
        <v/>
      </c>
      <c r="AJ804" s="14">
        <f>F804*AI804*in_hlth_family_ticket*in_hlth_family_comm*in_ins_partner_share+F804*in_hlth_family_ticket*in_hlth_family_renew_comm*in_ins_partner_share*(in_hlth_family_renew^1*SUMIFS(AI797:AI841,B797:B841,B804-12)+in_hlth_family_renew^2*SUMIFS(AI797:AI841,B797:B841,B804-24)+in_hlth_family_renew^3*SUMIFS(AI797:AI841,B797:B841,B804-36)+in_hlth_family_renew^4*SUMIFS(AI797:AI841,B797:B841,B804-48))</f>
        <v/>
      </c>
      <c r="AK804" s="40">
        <f>AK803*(1-IF(B803&gt;=in_marketplace_from,d_hz_life_term*G803,0))</f>
        <v/>
      </c>
      <c r="AL804" s="46">
        <f>AK804*IF(B804&gt;=in_marketplace_from,d_hz_life_term*G804,0)</f>
        <v/>
      </c>
      <c r="AM804" s="14">
        <f>F804*AL804*in_life_term_ticket*in_life_term_comm*in_ins_partner_share+F804*in_life_term_ticket*in_life_term_renew_comm*in_ins_partner_share*(in_life_term_renew^1*SUMIFS(AL797:AL841,B797:B841,B804-12)+in_life_term_renew^2*SUMIFS(AL797:AL841,B797:B841,B804-24)+in_life_term_renew^3*SUMIFS(AL797:AL841,B797:B841,B804-36)+in_life_term_renew^4*SUMIFS(AL797:AL841,B797:B841,B804-48))</f>
        <v/>
      </c>
      <c r="AN804" s="40">
        <f>AN803*(1-IF(B803&gt;=in_marketplace_from,d_hz_accident*G803,0))</f>
        <v/>
      </c>
      <c r="AO804" s="46">
        <f>AN804*IF(B804&gt;=in_marketplace_from,d_hz_accident*G804,0)</f>
        <v/>
      </c>
      <c r="AP804" s="14">
        <f>F804*AO804*in_accident_ticket*in_accident_comm*in_ins_partner_share+F804*in_accident_ticket*in_accident_renew_comm*in_ins_partner_share*(in_accident_renew^1*SUMIFS(AO797:AO841,B797:B841,B804-12)+in_accident_renew^2*SUMIFS(AO797:AO841,B797:B841,B804-24)+in_accident_renew^3*SUMIFS(AO797:AO841,B797:B841,B804-36)+in_accident_renew^4*SUMIFS(AO797:AO841,B797:B841,B804-48))</f>
        <v/>
      </c>
      <c r="AQ804" s="40">
        <f>AQ803*(1-IF(B803&gt;=in_marketplace_from,d_hz_two_wheeler*G803,0))</f>
        <v/>
      </c>
      <c r="AR804" s="46">
        <f>AQ804*IF(B804&gt;=in_marketplace_from,d_hz_two_wheeler*G804,0)</f>
        <v/>
      </c>
      <c r="AS804" s="14">
        <f>F804*AR804*in_two_wheeler_ticket*in_two_wheeler_comm*in_ins_partner_share+F804*in_two_wheeler_ticket*in_two_wheeler_comm*in_ins_partner_share*(in_two_wheeler_renew^1*SUMIFS(AR797:AR841,B797:B841,B804-12)+in_two_wheeler_renew^2*SUMIFS(AR797:AR841,B797:B841,B804-24)+in_two_wheeler_renew^3*SUMIFS(AR797:AR841,B797:B841,B804-36)+in_two_wheeler_renew^4*SUMIFS(AR797:AR841,B797:B841,B804-48))</f>
        <v/>
      </c>
      <c r="AT804" s="40">
        <f>AT803*(1-IF(B803&gt;=in_marketplace_from,d_hz_device*G803,0))</f>
        <v/>
      </c>
      <c r="AU804" s="14">
        <f>F804*AT804*IF(B804&gt;=in_marketplace_from,d_hz_device*G804,0)*in_device_ticket*in_device_comm*in_ins_partner_share</f>
        <v/>
      </c>
      <c r="AV804" s="40">
        <f>AV803*(1-IF(B803&gt;=in_marketplace_from,d_hz_shop*G803,0))</f>
        <v/>
      </c>
      <c r="AW804" s="46">
        <f>AV804*IF(B804&gt;=in_marketplace_from,d_hz_shop*G804,0)</f>
        <v/>
      </c>
      <c r="AX804" s="14">
        <f>F804*AW804*in_shop_ticket*in_shop_comm*in_ins_partner_share+F804*in_shop_ticket*in_shop_renew_comm*in_ins_partner_share*(in_shop_renew^1*SUMIFS(AW797:AW841,B797:B841,B804-12)+in_shop_renew^2*SUMIFS(AW797:AW841,B797:B841,B804-24)+in_shop_renew^3*SUMIFS(AW797:AW841,B797:B841,B804-36)+in_shop_renew^4*SUMIFS(AW797:AW841,B797:B841,B804-48))</f>
        <v/>
      </c>
      <c r="AY804" s="40">
        <f>AY803*(1-IF(B803&gt;=in_marketplace_from,d_hz_sip*G803,0))</f>
        <v/>
      </c>
      <c r="AZ804" s="40">
        <f>AZ803*d_rho_sip+AY804*IF(B804&gt;=in_marketplace_from,d_hz_sip*G804,0)</f>
        <v/>
      </c>
      <c r="BA804" s="40">
        <f>d_rho_sip*(BA803+AZ803)</f>
        <v/>
      </c>
      <c r="BB804" s="14">
        <f>F804*in_sip_ticket*(BA804+0.5*AZ804)*in_sip_comm/12</f>
        <v/>
      </c>
      <c r="BC804" s="40">
        <f>BC803*(1-IF(B803&gt;=in_marketplace_from,d_hz_choti*G803,0))</f>
        <v/>
      </c>
      <c r="BD804" s="46">
        <f>BC804*IF(B804&gt;=in_marketplace_from,d_hz_choti*G804,0)</f>
        <v/>
      </c>
      <c r="BE804" s="14">
        <f>F804*SUMIFS(BD797:BD841,B797:B841,B804-in_choti_months)*in_choti_renew*in_choti_ticket</f>
        <v/>
      </c>
      <c r="BF804" s="40">
        <f>BF803*(1-IF(B803&gt;=in_marketplace_from,d_hz_nps*G803,0))</f>
        <v/>
      </c>
      <c r="BG804" s="14">
        <f>F804*BF804*IF(B804&gt;=in_marketplace_from,d_hz_nps*G804,0)*in_nps_ticket*in_nps_comm</f>
        <v/>
      </c>
      <c r="BH804" s="40">
        <f>BH803*(1-IF(B803&gt;=in_marketplace_from,d_hz_gold*G803,0))</f>
        <v/>
      </c>
      <c r="BI804" s="40">
        <f>BI803*d_rho_gold+BH804*IF(B804&gt;=in_marketplace_from,d_hz_gold*G804,0)</f>
        <v/>
      </c>
      <c r="BJ804" s="14">
        <f>F804*BI804*in_gold_ticket*in_gold_comm</f>
        <v/>
      </c>
      <c r="BK804" s="40">
        <f>BK803*(1-IF(B803&gt;=in_marketplace_from,d_hz_fd*G803,0))</f>
        <v/>
      </c>
      <c r="BL804" s="14">
        <f>F804*BK804*IF(B804&gt;=in_marketplace_from,d_hz_fd*G804,0)*in_fd_ticket*in_fd_comm</f>
        <v/>
      </c>
      <c r="BM804" s="40">
        <f>BM803*(1-IF(B803&gt;=in_marketplace_from,d_hz_recharge*G803,0))</f>
        <v/>
      </c>
      <c r="BN804" s="40">
        <f>BN803*d_rho_recharge+BM804*IF(B804&gt;=in_marketplace_from,d_hz_recharge*G804,0)</f>
        <v/>
      </c>
      <c r="BO804" s="14">
        <f>F804*BN804*in_recharge_ticket*in_recharge_comm/12</f>
        <v/>
      </c>
      <c r="BP804" s="40">
        <f>BP803*(1-IF(B803&gt;=in_marketplace_from,d_hz_bills*G803,0))</f>
        <v/>
      </c>
      <c r="BQ804" s="40">
        <f>BQ803*d_rho_bills+BP804*IF(B804&gt;=in_marketplace_from,d_hz_bills*G804,0)</f>
        <v/>
      </c>
      <c r="BR804" s="14">
        <f>F804*BQ804*in_bills_ticket*in_bills_comm/12</f>
        <v/>
      </c>
      <c r="BS804" s="40">
        <f>BS803*(1-IF(B803&gt;=in_marketplace_from,d_hz_loan_gold*G803,0))</f>
        <v/>
      </c>
      <c r="BT804" s="14">
        <f>F804*BS804*IF(B804&gt;=in_marketplace_from,d_hz_loan_gold*G804,0)*in_loan_gold_ticket*in_loan_gold_comm</f>
        <v/>
      </c>
      <c r="BU804" s="40">
        <f>BU803*(1-IF(B803&gt;=in_marketplace_from,d_hz_loan_cd*G803,0))</f>
        <v/>
      </c>
      <c r="BV804" s="14">
        <f>F804*BU804*IF(B804&gt;=in_marketplace_from,d_hz_loan_cd*G804,0)*in_loan_cd_ticket*in_loan_cd_comm</f>
        <v/>
      </c>
      <c r="BW804" s="40">
        <f>BW803*(1-IF(B803&gt;=in_marketplace_from,d_hz_loan_vehicle*G803,0))</f>
        <v/>
      </c>
      <c r="BX804" s="14">
        <f>F804*BW804*IF(B804&gt;=in_marketplace_from,d_hz_loan_vehicle*G804,0)*in_loan_vehicle_ticket*in_loan_vehicle_comm</f>
        <v/>
      </c>
      <c r="BY804" s="40">
        <f>BY803*(1-IF(B803&gt;=in_marketplace_from,d_hz_loan_home*G803,0)*BZ803)</f>
        <v/>
      </c>
      <c r="BZ804" s="11">
        <f>MIN(in_approval_cap,in_loan_home_approval*INDEX('Age profile'!$O$2:$O$61,B804)*(1+in_approval_growth)^(D804-1))</f>
        <v/>
      </c>
      <c r="CA804" s="14">
        <f>F804*BY804*IF(B804&gt;=in_marketplace_from,d_hz_loan_home*G804,0)*BZ804*in_loan_home_ticket*in_loan_home_comm</f>
        <v/>
      </c>
      <c r="CB804" s="40">
        <f>CB803*(1-IF(B803&gt;=in_marketplace_from,d_hz_loan_lap*G803,0)*CC803)</f>
        <v/>
      </c>
      <c r="CC804" s="11">
        <f>MIN(in_approval_cap,in_loan_lap_approval*INDEX('Age profile'!$O$2:$O$61,B804)*(1+in_approval_growth)^(D804-1))</f>
        <v/>
      </c>
      <c r="CD804" s="14">
        <f>F804*CB804*IF(B804&gt;=in_marketplace_from,d_hz_loan_lap*G804,0)*CC804*in_loan_lap_ticket*in_loan_lap_comm</f>
        <v/>
      </c>
      <c r="CE804" s="14">
        <f>AA804+AB804+AC804+AD804+AG804+AJ804+AM804+AP804+AS804+AU804+AX804+BB804+BE804+BG804+BJ804+BL804+BO804+BR804+BT804+BV804+BX804+CA804+CD804</f>
        <v/>
      </c>
    </row>
    <row r="805">
      <c r="A805" s="39" t="n">
        <v>16</v>
      </c>
      <c r="B805" s="39" t="n">
        <v>9</v>
      </c>
      <c r="C805" s="39">
        <f>A805+B805-1</f>
        <v/>
      </c>
      <c r="D805" s="39">
        <f>INT((C805-1)/12)+1</f>
        <v/>
      </c>
      <c r="E805" s="44">
        <f>INDEX(Monthly!$B$2:$B$61,A805)</f>
        <v/>
      </c>
      <c r="F805" s="44">
        <f>E805*INDEX('Age profile'!$B$2:$B$61,B805)</f>
        <v/>
      </c>
      <c r="G805" s="45">
        <f>MIN(in_takeup_cap,INDEX('Age profile'!$N$2:$N$61,B805)*(1+in_takeup_growth)^(D805-1))</f>
        <v/>
      </c>
      <c r="H805" s="11">
        <f>MIN(in_approval_cap,in_approved_first*INDEX('Age profile'!$O$2:$O$61,B805)*(1+in_approval_growth)^(D805-1))</f>
        <v/>
      </c>
      <c r="I805" s="45">
        <f>G805*MIN(in_takeup_cap,INDEX('Age profile'!$O$2:$O$61,B805)*(1+in_approval_growth)^(D805-1))</f>
        <v/>
      </c>
      <c r="J805" s="40">
        <f>(J804-L804)*F805/F804</f>
        <v/>
      </c>
      <c r="K805" s="40">
        <f>(K804-M804)*F805/F804+SUMIFS(O797:O804,B797:B804,B805-1-d_T)*F805</f>
        <v/>
      </c>
      <c r="L805" s="40">
        <f>IF(B805&gt;=in_marketplace_from,J805*d_hz*G805*in_eligible*H805,0)</f>
        <v/>
      </c>
      <c r="M805" s="40">
        <f>IF(B805&gt;=in_marketplace_from,K805*d_hz*G805*in_eligible*in_approved_repeat,0)</f>
        <v/>
      </c>
      <c r="N805" s="40">
        <f>L805+M805</f>
        <v/>
      </c>
      <c r="O805" s="46">
        <f>N805/F805</f>
        <v/>
      </c>
      <c r="P805" s="40">
        <f>F805-J805-K805</f>
        <v/>
      </c>
      <c r="Q805" s="40">
        <f>IF(B805&gt;=in_marketplace_from,(J805+K805)*d_hz*G805,0)</f>
        <v/>
      </c>
      <c r="R805" s="40">
        <f>SUMIFS(N797:N841,B797:B841,"&gt;="&amp;(B805-d_T),B797:B841,"&lt;="&amp;(B805-1))</f>
        <v/>
      </c>
      <c r="S805" s="46">
        <f>(1-d_u)*S804+IF(d_T&gt;in_topup_lag,SUMIFS(O797:O841,B797:B841,B805-in_topup_lag)-d_udrop*SUMIFS(O797:O841,B797:B841,B805-d_T),0)</f>
        <v/>
      </c>
      <c r="T805" s="40">
        <f>F805*d_u*S805</f>
        <v/>
      </c>
      <c r="U805" s="9">
        <f>L805*in_ticket+M805*d_rep_ticket</f>
        <v/>
      </c>
      <c r="V805" s="9">
        <f>U805+T805*d_topup_amt</f>
        <v/>
      </c>
      <c r="W805" s="40">
        <f>N805+T805*d_topup_ratio</f>
        <v/>
      </c>
      <c r="X805" s="40">
        <f>SUMIFS(W797:W841,B797:B841,B805-in_dpd_lag)*d_cured</f>
        <v/>
      </c>
      <c r="Y805" s="40">
        <f>SUMIFS(W797:W841,B797:B841,B805-in_rec_lag)*d_recd</f>
        <v/>
      </c>
      <c r="Z805" s="40">
        <f>IF(AND(B805&gt;=in_marketplace_from,B805&lt;in_marketplace_from+in_card_months),in_card_share/in_card_months*F805*I805,IF(AND(B805&gt;=in_marketplace_from+in_card_months,B805&lt;in_marketplace_from+2*in_card_months),in_card_share*d_card_rem/in_card_months*F805*MIN(in_takeup_cap,(1+in_takeup_growth)^(D805-1))*MIN(in_takeup_cap,(1+in_approval_growth)^(D805-1)),0))</f>
        <v/>
      </c>
      <c r="AA805" s="14">
        <f>V805*in_fee*(1-in_taken_back)</f>
        <v/>
      </c>
      <c r="AB805" s="14">
        <f>SUMIFS(W797:W841,B797:B841,B805-in_dpd_lag)*d_dpd</f>
        <v/>
      </c>
      <c r="AC805" s="14">
        <f>SUMIFS(W797:W841,B797:B841,B805-in_rec_lag)*d_rec</f>
        <v/>
      </c>
      <c r="AD805" s="14">
        <f>Z805*in_card_fee</f>
        <v/>
      </c>
      <c r="AE805" s="40">
        <f>AE804*(1-IF(B804&gt;=in_marketplace_from,d_hz_hlth_small*G804,0))</f>
        <v/>
      </c>
      <c r="AF805" s="46">
        <f>AE805*IF(B805&gt;=in_marketplace_from,d_hz_hlth_small*G805,0)</f>
        <v/>
      </c>
      <c r="AG805" s="14">
        <f>F805*AF805*in_hlth_small_ticket*in_hlth_small_comm*in_ins_partner_share+F805*in_hlth_small_ticket*in_hlth_small_renew_comm*in_ins_partner_share*(in_hlth_small_renew^1*SUMIFS(AF797:AF841,B797:B841,B805-12)+in_hlth_small_renew^2*SUMIFS(AF797:AF841,B797:B841,B805-24)+in_hlth_small_renew^3*SUMIFS(AF797:AF841,B797:B841,B805-36)+in_hlth_small_renew^4*SUMIFS(AF797:AF841,B797:B841,B805-48))</f>
        <v/>
      </c>
      <c r="AH805" s="40">
        <f>AH804*(1-IF(B804&gt;=in_marketplace_from,d_hz_hlth_family*G804,0))</f>
        <v/>
      </c>
      <c r="AI805" s="46">
        <f>AH805*IF(B805&gt;=in_marketplace_from,d_hz_hlth_family*G805,0)</f>
        <v/>
      </c>
      <c r="AJ805" s="14">
        <f>F805*AI805*in_hlth_family_ticket*in_hlth_family_comm*in_ins_partner_share+F805*in_hlth_family_ticket*in_hlth_family_renew_comm*in_ins_partner_share*(in_hlth_family_renew^1*SUMIFS(AI797:AI841,B797:B841,B805-12)+in_hlth_family_renew^2*SUMIFS(AI797:AI841,B797:B841,B805-24)+in_hlth_family_renew^3*SUMIFS(AI797:AI841,B797:B841,B805-36)+in_hlth_family_renew^4*SUMIFS(AI797:AI841,B797:B841,B805-48))</f>
        <v/>
      </c>
      <c r="AK805" s="40">
        <f>AK804*(1-IF(B804&gt;=in_marketplace_from,d_hz_life_term*G804,0))</f>
        <v/>
      </c>
      <c r="AL805" s="46">
        <f>AK805*IF(B805&gt;=in_marketplace_from,d_hz_life_term*G805,0)</f>
        <v/>
      </c>
      <c r="AM805" s="14">
        <f>F805*AL805*in_life_term_ticket*in_life_term_comm*in_ins_partner_share+F805*in_life_term_ticket*in_life_term_renew_comm*in_ins_partner_share*(in_life_term_renew^1*SUMIFS(AL797:AL841,B797:B841,B805-12)+in_life_term_renew^2*SUMIFS(AL797:AL841,B797:B841,B805-24)+in_life_term_renew^3*SUMIFS(AL797:AL841,B797:B841,B805-36)+in_life_term_renew^4*SUMIFS(AL797:AL841,B797:B841,B805-48))</f>
        <v/>
      </c>
      <c r="AN805" s="40">
        <f>AN804*(1-IF(B804&gt;=in_marketplace_from,d_hz_accident*G804,0))</f>
        <v/>
      </c>
      <c r="AO805" s="46">
        <f>AN805*IF(B805&gt;=in_marketplace_from,d_hz_accident*G805,0)</f>
        <v/>
      </c>
      <c r="AP805" s="14">
        <f>F805*AO805*in_accident_ticket*in_accident_comm*in_ins_partner_share+F805*in_accident_ticket*in_accident_renew_comm*in_ins_partner_share*(in_accident_renew^1*SUMIFS(AO797:AO841,B797:B841,B805-12)+in_accident_renew^2*SUMIFS(AO797:AO841,B797:B841,B805-24)+in_accident_renew^3*SUMIFS(AO797:AO841,B797:B841,B805-36)+in_accident_renew^4*SUMIFS(AO797:AO841,B797:B841,B805-48))</f>
        <v/>
      </c>
      <c r="AQ805" s="40">
        <f>AQ804*(1-IF(B804&gt;=in_marketplace_from,d_hz_two_wheeler*G804,0))</f>
        <v/>
      </c>
      <c r="AR805" s="46">
        <f>AQ805*IF(B805&gt;=in_marketplace_from,d_hz_two_wheeler*G805,0)</f>
        <v/>
      </c>
      <c r="AS805" s="14">
        <f>F805*AR805*in_two_wheeler_ticket*in_two_wheeler_comm*in_ins_partner_share+F805*in_two_wheeler_ticket*in_two_wheeler_comm*in_ins_partner_share*(in_two_wheeler_renew^1*SUMIFS(AR797:AR841,B797:B841,B805-12)+in_two_wheeler_renew^2*SUMIFS(AR797:AR841,B797:B841,B805-24)+in_two_wheeler_renew^3*SUMIFS(AR797:AR841,B797:B841,B805-36)+in_two_wheeler_renew^4*SUMIFS(AR797:AR841,B797:B841,B805-48))</f>
        <v/>
      </c>
      <c r="AT805" s="40">
        <f>AT804*(1-IF(B804&gt;=in_marketplace_from,d_hz_device*G804,0))</f>
        <v/>
      </c>
      <c r="AU805" s="14">
        <f>F805*AT805*IF(B805&gt;=in_marketplace_from,d_hz_device*G805,0)*in_device_ticket*in_device_comm*in_ins_partner_share</f>
        <v/>
      </c>
      <c r="AV805" s="40">
        <f>AV804*(1-IF(B804&gt;=in_marketplace_from,d_hz_shop*G804,0))</f>
        <v/>
      </c>
      <c r="AW805" s="46">
        <f>AV805*IF(B805&gt;=in_marketplace_from,d_hz_shop*G805,0)</f>
        <v/>
      </c>
      <c r="AX805" s="14">
        <f>F805*AW805*in_shop_ticket*in_shop_comm*in_ins_partner_share+F805*in_shop_ticket*in_shop_renew_comm*in_ins_partner_share*(in_shop_renew^1*SUMIFS(AW797:AW841,B797:B841,B805-12)+in_shop_renew^2*SUMIFS(AW797:AW841,B797:B841,B805-24)+in_shop_renew^3*SUMIFS(AW797:AW841,B797:B841,B805-36)+in_shop_renew^4*SUMIFS(AW797:AW841,B797:B841,B805-48))</f>
        <v/>
      </c>
      <c r="AY805" s="40">
        <f>AY804*(1-IF(B804&gt;=in_marketplace_from,d_hz_sip*G804,0))</f>
        <v/>
      </c>
      <c r="AZ805" s="40">
        <f>AZ804*d_rho_sip+AY805*IF(B805&gt;=in_marketplace_from,d_hz_sip*G805,0)</f>
        <v/>
      </c>
      <c r="BA805" s="40">
        <f>d_rho_sip*(BA804+AZ804)</f>
        <v/>
      </c>
      <c r="BB805" s="14">
        <f>F805*in_sip_ticket*(BA805+0.5*AZ805)*in_sip_comm/12</f>
        <v/>
      </c>
      <c r="BC805" s="40">
        <f>BC804*(1-IF(B804&gt;=in_marketplace_from,d_hz_choti*G804,0))</f>
        <v/>
      </c>
      <c r="BD805" s="46">
        <f>BC805*IF(B805&gt;=in_marketplace_from,d_hz_choti*G805,0)</f>
        <v/>
      </c>
      <c r="BE805" s="14">
        <f>F805*SUMIFS(BD797:BD841,B797:B841,B805-in_choti_months)*in_choti_renew*in_choti_ticket</f>
        <v/>
      </c>
      <c r="BF805" s="40">
        <f>BF804*(1-IF(B804&gt;=in_marketplace_from,d_hz_nps*G804,0))</f>
        <v/>
      </c>
      <c r="BG805" s="14">
        <f>F805*BF805*IF(B805&gt;=in_marketplace_from,d_hz_nps*G805,0)*in_nps_ticket*in_nps_comm</f>
        <v/>
      </c>
      <c r="BH805" s="40">
        <f>BH804*(1-IF(B804&gt;=in_marketplace_from,d_hz_gold*G804,0))</f>
        <v/>
      </c>
      <c r="BI805" s="40">
        <f>BI804*d_rho_gold+BH805*IF(B805&gt;=in_marketplace_from,d_hz_gold*G805,0)</f>
        <v/>
      </c>
      <c r="BJ805" s="14">
        <f>F805*BI805*in_gold_ticket*in_gold_comm</f>
        <v/>
      </c>
      <c r="BK805" s="40">
        <f>BK804*(1-IF(B804&gt;=in_marketplace_from,d_hz_fd*G804,0))</f>
        <v/>
      </c>
      <c r="BL805" s="14">
        <f>F805*BK805*IF(B805&gt;=in_marketplace_from,d_hz_fd*G805,0)*in_fd_ticket*in_fd_comm</f>
        <v/>
      </c>
      <c r="BM805" s="40">
        <f>BM804*(1-IF(B804&gt;=in_marketplace_from,d_hz_recharge*G804,0))</f>
        <v/>
      </c>
      <c r="BN805" s="40">
        <f>BN804*d_rho_recharge+BM805*IF(B805&gt;=in_marketplace_from,d_hz_recharge*G805,0)</f>
        <v/>
      </c>
      <c r="BO805" s="14">
        <f>F805*BN805*in_recharge_ticket*in_recharge_comm/12</f>
        <v/>
      </c>
      <c r="BP805" s="40">
        <f>BP804*(1-IF(B804&gt;=in_marketplace_from,d_hz_bills*G804,0))</f>
        <v/>
      </c>
      <c r="BQ805" s="40">
        <f>BQ804*d_rho_bills+BP805*IF(B805&gt;=in_marketplace_from,d_hz_bills*G805,0)</f>
        <v/>
      </c>
      <c r="BR805" s="14">
        <f>F805*BQ805*in_bills_ticket*in_bills_comm/12</f>
        <v/>
      </c>
      <c r="BS805" s="40">
        <f>BS804*(1-IF(B804&gt;=in_marketplace_from,d_hz_loan_gold*G804,0))</f>
        <v/>
      </c>
      <c r="BT805" s="14">
        <f>F805*BS805*IF(B805&gt;=in_marketplace_from,d_hz_loan_gold*G805,0)*in_loan_gold_ticket*in_loan_gold_comm</f>
        <v/>
      </c>
      <c r="BU805" s="40">
        <f>BU804*(1-IF(B804&gt;=in_marketplace_from,d_hz_loan_cd*G804,0))</f>
        <v/>
      </c>
      <c r="BV805" s="14">
        <f>F805*BU805*IF(B805&gt;=in_marketplace_from,d_hz_loan_cd*G805,0)*in_loan_cd_ticket*in_loan_cd_comm</f>
        <v/>
      </c>
      <c r="BW805" s="40">
        <f>BW804*(1-IF(B804&gt;=in_marketplace_from,d_hz_loan_vehicle*G804,0))</f>
        <v/>
      </c>
      <c r="BX805" s="14">
        <f>F805*BW805*IF(B805&gt;=in_marketplace_from,d_hz_loan_vehicle*G805,0)*in_loan_vehicle_ticket*in_loan_vehicle_comm</f>
        <v/>
      </c>
      <c r="BY805" s="40">
        <f>BY804*(1-IF(B804&gt;=in_marketplace_from,d_hz_loan_home*G804,0)*BZ804)</f>
        <v/>
      </c>
      <c r="BZ805" s="11">
        <f>MIN(in_approval_cap,in_loan_home_approval*INDEX('Age profile'!$O$2:$O$61,B805)*(1+in_approval_growth)^(D805-1))</f>
        <v/>
      </c>
      <c r="CA805" s="14">
        <f>F805*BY805*IF(B805&gt;=in_marketplace_from,d_hz_loan_home*G805,0)*BZ805*in_loan_home_ticket*in_loan_home_comm</f>
        <v/>
      </c>
      <c r="CB805" s="40">
        <f>CB804*(1-IF(B804&gt;=in_marketplace_from,d_hz_loan_lap*G804,0)*CC804)</f>
        <v/>
      </c>
      <c r="CC805" s="11">
        <f>MIN(in_approval_cap,in_loan_lap_approval*INDEX('Age profile'!$O$2:$O$61,B805)*(1+in_approval_growth)^(D805-1))</f>
        <v/>
      </c>
      <c r="CD805" s="14">
        <f>F805*CB805*IF(B805&gt;=in_marketplace_from,d_hz_loan_lap*G805,0)*CC805*in_loan_lap_ticket*in_loan_lap_comm</f>
        <v/>
      </c>
      <c r="CE805" s="14">
        <f>AA805+AB805+AC805+AD805+AG805+AJ805+AM805+AP805+AS805+AU805+AX805+BB805+BE805+BG805+BJ805+BL805+BO805+BR805+BT805+BV805+BX805+CA805+CD805</f>
        <v/>
      </c>
    </row>
    <row r="806">
      <c r="A806" s="39" t="n">
        <v>16</v>
      </c>
      <c r="B806" s="39" t="n">
        <v>10</v>
      </c>
      <c r="C806" s="39">
        <f>A806+B806-1</f>
        <v/>
      </c>
      <c r="D806" s="39">
        <f>INT((C806-1)/12)+1</f>
        <v/>
      </c>
      <c r="E806" s="44">
        <f>INDEX(Monthly!$B$2:$B$61,A806)</f>
        <v/>
      </c>
      <c r="F806" s="44">
        <f>E806*INDEX('Age profile'!$B$2:$B$61,B806)</f>
        <v/>
      </c>
      <c r="G806" s="45">
        <f>MIN(in_takeup_cap,INDEX('Age profile'!$N$2:$N$61,B806)*(1+in_takeup_growth)^(D806-1))</f>
        <v/>
      </c>
      <c r="H806" s="11">
        <f>MIN(in_approval_cap,in_approved_first*INDEX('Age profile'!$O$2:$O$61,B806)*(1+in_approval_growth)^(D806-1))</f>
        <v/>
      </c>
      <c r="I806" s="45">
        <f>G806*MIN(in_takeup_cap,INDEX('Age profile'!$O$2:$O$61,B806)*(1+in_approval_growth)^(D806-1))</f>
        <v/>
      </c>
      <c r="J806" s="40">
        <f>(J805-L805)*F806/F805</f>
        <v/>
      </c>
      <c r="K806" s="40">
        <f>(K805-M805)*F806/F805+SUMIFS(O797:O805,B797:B805,B806-1-d_T)*F806</f>
        <v/>
      </c>
      <c r="L806" s="40">
        <f>IF(B806&gt;=in_marketplace_from,J806*d_hz*G806*in_eligible*H806,0)</f>
        <v/>
      </c>
      <c r="M806" s="40">
        <f>IF(B806&gt;=in_marketplace_from,K806*d_hz*G806*in_eligible*in_approved_repeat,0)</f>
        <v/>
      </c>
      <c r="N806" s="40">
        <f>L806+M806</f>
        <v/>
      </c>
      <c r="O806" s="46">
        <f>N806/F806</f>
        <v/>
      </c>
      <c r="P806" s="40">
        <f>F806-J806-K806</f>
        <v/>
      </c>
      <c r="Q806" s="40">
        <f>IF(B806&gt;=in_marketplace_from,(J806+K806)*d_hz*G806,0)</f>
        <v/>
      </c>
      <c r="R806" s="40">
        <f>SUMIFS(N797:N841,B797:B841,"&gt;="&amp;(B806-d_T),B797:B841,"&lt;="&amp;(B806-1))</f>
        <v/>
      </c>
      <c r="S806" s="46">
        <f>(1-d_u)*S805+IF(d_T&gt;in_topup_lag,SUMIFS(O797:O841,B797:B841,B806-in_topup_lag)-d_udrop*SUMIFS(O797:O841,B797:B841,B806-d_T),0)</f>
        <v/>
      </c>
      <c r="T806" s="40">
        <f>F806*d_u*S806</f>
        <v/>
      </c>
      <c r="U806" s="9">
        <f>L806*in_ticket+M806*d_rep_ticket</f>
        <v/>
      </c>
      <c r="V806" s="9">
        <f>U806+T806*d_topup_amt</f>
        <v/>
      </c>
      <c r="W806" s="40">
        <f>N806+T806*d_topup_ratio</f>
        <v/>
      </c>
      <c r="X806" s="40">
        <f>SUMIFS(W797:W841,B797:B841,B806-in_dpd_lag)*d_cured</f>
        <v/>
      </c>
      <c r="Y806" s="40">
        <f>SUMIFS(W797:W841,B797:B841,B806-in_rec_lag)*d_recd</f>
        <v/>
      </c>
      <c r="Z806" s="40">
        <f>IF(AND(B806&gt;=in_marketplace_from,B806&lt;in_marketplace_from+in_card_months),in_card_share/in_card_months*F806*I806,IF(AND(B806&gt;=in_marketplace_from+in_card_months,B806&lt;in_marketplace_from+2*in_card_months),in_card_share*d_card_rem/in_card_months*F806*MIN(in_takeup_cap,(1+in_takeup_growth)^(D806-1))*MIN(in_takeup_cap,(1+in_approval_growth)^(D806-1)),0))</f>
        <v/>
      </c>
      <c r="AA806" s="14">
        <f>V806*in_fee*(1-in_taken_back)</f>
        <v/>
      </c>
      <c r="AB806" s="14">
        <f>SUMIFS(W797:W841,B797:B841,B806-in_dpd_lag)*d_dpd</f>
        <v/>
      </c>
      <c r="AC806" s="14">
        <f>SUMIFS(W797:W841,B797:B841,B806-in_rec_lag)*d_rec</f>
        <v/>
      </c>
      <c r="AD806" s="14">
        <f>Z806*in_card_fee</f>
        <v/>
      </c>
      <c r="AE806" s="40">
        <f>AE805*(1-IF(B805&gt;=in_marketplace_from,d_hz_hlth_small*G805,0))</f>
        <v/>
      </c>
      <c r="AF806" s="46">
        <f>AE806*IF(B806&gt;=in_marketplace_from,d_hz_hlth_small*G806,0)</f>
        <v/>
      </c>
      <c r="AG806" s="14">
        <f>F806*AF806*in_hlth_small_ticket*in_hlth_small_comm*in_ins_partner_share+F806*in_hlth_small_ticket*in_hlth_small_renew_comm*in_ins_partner_share*(in_hlth_small_renew^1*SUMIFS(AF797:AF841,B797:B841,B806-12)+in_hlth_small_renew^2*SUMIFS(AF797:AF841,B797:B841,B806-24)+in_hlth_small_renew^3*SUMIFS(AF797:AF841,B797:B841,B806-36)+in_hlth_small_renew^4*SUMIFS(AF797:AF841,B797:B841,B806-48))</f>
        <v/>
      </c>
      <c r="AH806" s="40">
        <f>AH805*(1-IF(B805&gt;=in_marketplace_from,d_hz_hlth_family*G805,0))</f>
        <v/>
      </c>
      <c r="AI806" s="46">
        <f>AH806*IF(B806&gt;=in_marketplace_from,d_hz_hlth_family*G806,0)</f>
        <v/>
      </c>
      <c r="AJ806" s="14">
        <f>F806*AI806*in_hlth_family_ticket*in_hlth_family_comm*in_ins_partner_share+F806*in_hlth_family_ticket*in_hlth_family_renew_comm*in_ins_partner_share*(in_hlth_family_renew^1*SUMIFS(AI797:AI841,B797:B841,B806-12)+in_hlth_family_renew^2*SUMIFS(AI797:AI841,B797:B841,B806-24)+in_hlth_family_renew^3*SUMIFS(AI797:AI841,B797:B841,B806-36)+in_hlth_family_renew^4*SUMIFS(AI797:AI841,B797:B841,B806-48))</f>
        <v/>
      </c>
      <c r="AK806" s="40">
        <f>AK805*(1-IF(B805&gt;=in_marketplace_from,d_hz_life_term*G805,0))</f>
        <v/>
      </c>
      <c r="AL806" s="46">
        <f>AK806*IF(B806&gt;=in_marketplace_from,d_hz_life_term*G806,0)</f>
        <v/>
      </c>
      <c r="AM806" s="14">
        <f>F806*AL806*in_life_term_ticket*in_life_term_comm*in_ins_partner_share+F806*in_life_term_ticket*in_life_term_renew_comm*in_ins_partner_share*(in_life_term_renew^1*SUMIFS(AL797:AL841,B797:B841,B806-12)+in_life_term_renew^2*SUMIFS(AL797:AL841,B797:B841,B806-24)+in_life_term_renew^3*SUMIFS(AL797:AL841,B797:B841,B806-36)+in_life_term_renew^4*SUMIFS(AL797:AL841,B797:B841,B806-48))</f>
        <v/>
      </c>
      <c r="AN806" s="40">
        <f>AN805*(1-IF(B805&gt;=in_marketplace_from,d_hz_accident*G805,0))</f>
        <v/>
      </c>
      <c r="AO806" s="46">
        <f>AN806*IF(B806&gt;=in_marketplace_from,d_hz_accident*G806,0)</f>
        <v/>
      </c>
      <c r="AP806" s="14">
        <f>F806*AO806*in_accident_ticket*in_accident_comm*in_ins_partner_share+F806*in_accident_ticket*in_accident_renew_comm*in_ins_partner_share*(in_accident_renew^1*SUMIFS(AO797:AO841,B797:B841,B806-12)+in_accident_renew^2*SUMIFS(AO797:AO841,B797:B841,B806-24)+in_accident_renew^3*SUMIFS(AO797:AO841,B797:B841,B806-36)+in_accident_renew^4*SUMIFS(AO797:AO841,B797:B841,B806-48))</f>
        <v/>
      </c>
      <c r="AQ806" s="40">
        <f>AQ805*(1-IF(B805&gt;=in_marketplace_from,d_hz_two_wheeler*G805,0))</f>
        <v/>
      </c>
      <c r="AR806" s="46">
        <f>AQ806*IF(B806&gt;=in_marketplace_from,d_hz_two_wheeler*G806,0)</f>
        <v/>
      </c>
      <c r="AS806" s="14">
        <f>F806*AR806*in_two_wheeler_ticket*in_two_wheeler_comm*in_ins_partner_share+F806*in_two_wheeler_ticket*in_two_wheeler_comm*in_ins_partner_share*(in_two_wheeler_renew^1*SUMIFS(AR797:AR841,B797:B841,B806-12)+in_two_wheeler_renew^2*SUMIFS(AR797:AR841,B797:B841,B806-24)+in_two_wheeler_renew^3*SUMIFS(AR797:AR841,B797:B841,B806-36)+in_two_wheeler_renew^4*SUMIFS(AR797:AR841,B797:B841,B806-48))</f>
        <v/>
      </c>
      <c r="AT806" s="40">
        <f>AT805*(1-IF(B805&gt;=in_marketplace_from,d_hz_device*G805,0))</f>
        <v/>
      </c>
      <c r="AU806" s="14">
        <f>F806*AT806*IF(B806&gt;=in_marketplace_from,d_hz_device*G806,0)*in_device_ticket*in_device_comm*in_ins_partner_share</f>
        <v/>
      </c>
      <c r="AV806" s="40">
        <f>AV805*(1-IF(B805&gt;=in_marketplace_from,d_hz_shop*G805,0))</f>
        <v/>
      </c>
      <c r="AW806" s="46">
        <f>AV806*IF(B806&gt;=in_marketplace_from,d_hz_shop*G806,0)</f>
        <v/>
      </c>
      <c r="AX806" s="14">
        <f>F806*AW806*in_shop_ticket*in_shop_comm*in_ins_partner_share+F806*in_shop_ticket*in_shop_renew_comm*in_ins_partner_share*(in_shop_renew^1*SUMIFS(AW797:AW841,B797:B841,B806-12)+in_shop_renew^2*SUMIFS(AW797:AW841,B797:B841,B806-24)+in_shop_renew^3*SUMIFS(AW797:AW841,B797:B841,B806-36)+in_shop_renew^4*SUMIFS(AW797:AW841,B797:B841,B806-48))</f>
        <v/>
      </c>
      <c r="AY806" s="40">
        <f>AY805*(1-IF(B805&gt;=in_marketplace_from,d_hz_sip*G805,0))</f>
        <v/>
      </c>
      <c r="AZ806" s="40">
        <f>AZ805*d_rho_sip+AY806*IF(B806&gt;=in_marketplace_from,d_hz_sip*G806,0)</f>
        <v/>
      </c>
      <c r="BA806" s="40">
        <f>d_rho_sip*(BA805+AZ805)</f>
        <v/>
      </c>
      <c r="BB806" s="14">
        <f>F806*in_sip_ticket*(BA806+0.5*AZ806)*in_sip_comm/12</f>
        <v/>
      </c>
      <c r="BC806" s="40">
        <f>BC805*(1-IF(B805&gt;=in_marketplace_from,d_hz_choti*G805,0))</f>
        <v/>
      </c>
      <c r="BD806" s="46">
        <f>BC806*IF(B806&gt;=in_marketplace_from,d_hz_choti*G806,0)</f>
        <v/>
      </c>
      <c r="BE806" s="14">
        <f>F806*SUMIFS(BD797:BD841,B797:B841,B806-in_choti_months)*in_choti_renew*in_choti_ticket</f>
        <v/>
      </c>
      <c r="BF806" s="40">
        <f>BF805*(1-IF(B805&gt;=in_marketplace_from,d_hz_nps*G805,0))</f>
        <v/>
      </c>
      <c r="BG806" s="14">
        <f>F806*BF806*IF(B806&gt;=in_marketplace_from,d_hz_nps*G806,0)*in_nps_ticket*in_nps_comm</f>
        <v/>
      </c>
      <c r="BH806" s="40">
        <f>BH805*(1-IF(B805&gt;=in_marketplace_from,d_hz_gold*G805,0))</f>
        <v/>
      </c>
      <c r="BI806" s="40">
        <f>BI805*d_rho_gold+BH806*IF(B806&gt;=in_marketplace_from,d_hz_gold*G806,0)</f>
        <v/>
      </c>
      <c r="BJ806" s="14">
        <f>F806*BI806*in_gold_ticket*in_gold_comm</f>
        <v/>
      </c>
      <c r="BK806" s="40">
        <f>BK805*(1-IF(B805&gt;=in_marketplace_from,d_hz_fd*G805,0))</f>
        <v/>
      </c>
      <c r="BL806" s="14">
        <f>F806*BK806*IF(B806&gt;=in_marketplace_from,d_hz_fd*G806,0)*in_fd_ticket*in_fd_comm</f>
        <v/>
      </c>
      <c r="BM806" s="40">
        <f>BM805*(1-IF(B805&gt;=in_marketplace_from,d_hz_recharge*G805,0))</f>
        <v/>
      </c>
      <c r="BN806" s="40">
        <f>BN805*d_rho_recharge+BM806*IF(B806&gt;=in_marketplace_from,d_hz_recharge*G806,0)</f>
        <v/>
      </c>
      <c r="BO806" s="14">
        <f>F806*BN806*in_recharge_ticket*in_recharge_comm/12</f>
        <v/>
      </c>
      <c r="BP806" s="40">
        <f>BP805*(1-IF(B805&gt;=in_marketplace_from,d_hz_bills*G805,0))</f>
        <v/>
      </c>
      <c r="BQ806" s="40">
        <f>BQ805*d_rho_bills+BP806*IF(B806&gt;=in_marketplace_from,d_hz_bills*G806,0)</f>
        <v/>
      </c>
      <c r="BR806" s="14">
        <f>F806*BQ806*in_bills_ticket*in_bills_comm/12</f>
        <v/>
      </c>
      <c r="BS806" s="40">
        <f>BS805*(1-IF(B805&gt;=in_marketplace_from,d_hz_loan_gold*G805,0))</f>
        <v/>
      </c>
      <c r="BT806" s="14">
        <f>F806*BS806*IF(B806&gt;=in_marketplace_from,d_hz_loan_gold*G806,0)*in_loan_gold_ticket*in_loan_gold_comm</f>
        <v/>
      </c>
      <c r="BU806" s="40">
        <f>BU805*(1-IF(B805&gt;=in_marketplace_from,d_hz_loan_cd*G805,0))</f>
        <v/>
      </c>
      <c r="BV806" s="14">
        <f>F806*BU806*IF(B806&gt;=in_marketplace_from,d_hz_loan_cd*G806,0)*in_loan_cd_ticket*in_loan_cd_comm</f>
        <v/>
      </c>
      <c r="BW806" s="40">
        <f>BW805*(1-IF(B805&gt;=in_marketplace_from,d_hz_loan_vehicle*G805,0))</f>
        <v/>
      </c>
      <c r="BX806" s="14">
        <f>F806*BW806*IF(B806&gt;=in_marketplace_from,d_hz_loan_vehicle*G806,0)*in_loan_vehicle_ticket*in_loan_vehicle_comm</f>
        <v/>
      </c>
      <c r="BY806" s="40">
        <f>BY805*(1-IF(B805&gt;=in_marketplace_from,d_hz_loan_home*G805,0)*BZ805)</f>
        <v/>
      </c>
      <c r="BZ806" s="11">
        <f>MIN(in_approval_cap,in_loan_home_approval*INDEX('Age profile'!$O$2:$O$61,B806)*(1+in_approval_growth)^(D806-1))</f>
        <v/>
      </c>
      <c r="CA806" s="14">
        <f>F806*BY806*IF(B806&gt;=in_marketplace_from,d_hz_loan_home*G806,0)*BZ806*in_loan_home_ticket*in_loan_home_comm</f>
        <v/>
      </c>
      <c r="CB806" s="40">
        <f>CB805*(1-IF(B805&gt;=in_marketplace_from,d_hz_loan_lap*G805,0)*CC805)</f>
        <v/>
      </c>
      <c r="CC806" s="11">
        <f>MIN(in_approval_cap,in_loan_lap_approval*INDEX('Age profile'!$O$2:$O$61,B806)*(1+in_approval_growth)^(D806-1))</f>
        <v/>
      </c>
      <c r="CD806" s="14">
        <f>F806*CB806*IF(B806&gt;=in_marketplace_from,d_hz_loan_lap*G806,0)*CC806*in_loan_lap_ticket*in_loan_lap_comm</f>
        <v/>
      </c>
      <c r="CE806" s="14">
        <f>AA806+AB806+AC806+AD806+AG806+AJ806+AM806+AP806+AS806+AU806+AX806+BB806+BE806+BG806+BJ806+BL806+BO806+BR806+BT806+BV806+BX806+CA806+CD806</f>
        <v/>
      </c>
    </row>
    <row r="807">
      <c r="A807" s="39" t="n">
        <v>16</v>
      </c>
      <c r="B807" s="39" t="n">
        <v>11</v>
      </c>
      <c r="C807" s="39">
        <f>A807+B807-1</f>
        <v/>
      </c>
      <c r="D807" s="39">
        <f>INT((C807-1)/12)+1</f>
        <v/>
      </c>
      <c r="E807" s="44">
        <f>INDEX(Monthly!$B$2:$B$61,A807)</f>
        <v/>
      </c>
      <c r="F807" s="44">
        <f>E807*INDEX('Age profile'!$B$2:$B$61,B807)</f>
        <v/>
      </c>
      <c r="G807" s="45">
        <f>MIN(in_takeup_cap,INDEX('Age profile'!$N$2:$N$61,B807)*(1+in_takeup_growth)^(D807-1))</f>
        <v/>
      </c>
      <c r="H807" s="11">
        <f>MIN(in_approval_cap,in_approved_first*INDEX('Age profile'!$O$2:$O$61,B807)*(1+in_approval_growth)^(D807-1))</f>
        <v/>
      </c>
      <c r="I807" s="45">
        <f>G807*MIN(in_takeup_cap,INDEX('Age profile'!$O$2:$O$61,B807)*(1+in_approval_growth)^(D807-1))</f>
        <v/>
      </c>
      <c r="J807" s="40">
        <f>(J806-L806)*F807/F806</f>
        <v/>
      </c>
      <c r="K807" s="40">
        <f>(K806-M806)*F807/F806+SUMIFS(O797:O806,B797:B806,B807-1-d_T)*F807</f>
        <v/>
      </c>
      <c r="L807" s="40">
        <f>IF(B807&gt;=in_marketplace_from,J807*d_hz*G807*in_eligible*H807,0)</f>
        <v/>
      </c>
      <c r="M807" s="40">
        <f>IF(B807&gt;=in_marketplace_from,K807*d_hz*G807*in_eligible*in_approved_repeat,0)</f>
        <v/>
      </c>
      <c r="N807" s="40">
        <f>L807+M807</f>
        <v/>
      </c>
      <c r="O807" s="46">
        <f>N807/F807</f>
        <v/>
      </c>
      <c r="P807" s="40">
        <f>F807-J807-K807</f>
        <v/>
      </c>
      <c r="Q807" s="40">
        <f>IF(B807&gt;=in_marketplace_from,(J807+K807)*d_hz*G807,0)</f>
        <v/>
      </c>
      <c r="R807" s="40">
        <f>SUMIFS(N797:N841,B797:B841,"&gt;="&amp;(B807-d_T),B797:B841,"&lt;="&amp;(B807-1))</f>
        <v/>
      </c>
      <c r="S807" s="46">
        <f>(1-d_u)*S806+IF(d_T&gt;in_topup_lag,SUMIFS(O797:O841,B797:B841,B807-in_topup_lag)-d_udrop*SUMIFS(O797:O841,B797:B841,B807-d_T),0)</f>
        <v/>
      </c>
      <c r="T807" s="40">
        <f>F807*d_u*S807</f>
        <v/>
      </c>
      <c r="U807" s="9">
        <f>L807*in_ticket+M807*d_rep_ticket</f>
        <v/>
      </c>
      <c r="V807" s="9">
        <f>U807+T807*d_topup_amt</f>
        <v/>
      </c>
      <c r="W807" s="40">
        <f>N807+T807*d_topup_ratio</f>
        <v/>
      </c>
      <c r="X807" s="40">
        <f>SUMIFS(W797:W841,B797:B841,B807-in_dpd_lag)*d_cured</f>
        <v/>
      </c>
      <c r="Y807" s="40">
        <f>SUMIFS(W797:W841,B797:B841,B807-in_rec_lag)*d_recd</f>
        <v/>
      </c>
      <c r="Z807" s="40">
        <f>IF(AND(B807&gt;=in_marketplace_from,B807&lt;in_marketplace_from+in_card_months),in_card_share/in_card_months*F807*I807,IF(AND(B807&gt;=in_marketplace_from+in_card_months,B807&lt;in_marketplace_from+2*in_card_months),in_card_share*d_card_rem/in_card_months*F807*MIN(in_takeup_cap,(1+in_takeup_growth)^(D807-1))*MIN(in_takeup_cap,(1+in_approval_growth)^(D807-1)),0))</f>
        <v/>
      </c>
      <c r="AA807" s="14">
        <f>V807*in_fee*(1-in_taken_back)</f>
        <v/>
      </c>
      <c r="AB807" s="14">
        <f>SUMIFS(W797:W841,B797:B841,B807-in_dpd_lag)*d_dpd</f>
        <v/>
      </c>
      <c r="AC807" s="14">
        <f>SUMIFS(W797:W841,B797:B841,B807-in_rec_lag)*d_rec</f>
        <v/>
      </c>
      <c r="AD807" s="14">
        <f>Z807*in_card_fee</f>
        <v/>
      </c>
      <c r="AE807" s="40">
        <f>AE806*(1-IF(B806&gt;=in_marketplace_from,d_hz_hlth_small*G806,0))</f>
        <v/>
      </c>
      <c r="AF807" s="46">
        <f>AE807*IF(B807&gt;=in_marketplace_from,d_hz_hlth_small*G807,0)</f>
        <v/>
      </c>
      <c r="AG807" s="14">
        <f>F807*AF807*in_hlth_small_ticket*in_hlth_small_comm*in_ins_partner_share+F807*in_hlth_small_ticket*in_hlth_small_renew_comm*in_ins_partner_share*(in_hlth_small_renew^1*SUMIFS(AF797:AF841,B797:B841,B807-12)+in_hlth_small_renew^2*SUMIFS(AF797:AF841,B797:B841,B807-24)+in_hlth_small_renew^3*SUMIFS(AF797:AF841,B797:B841,B807-36)+in_hlth_small_renew^4*SUMIFS(AF797:AF841,B797:B841,B807-48))</f>
        <v/>
      </c>
      <c r="AH807" s="40">
        <f>AH806*(1-IF(B806&gt;=in_marketplace_from,d_hz_hlth_family*G806,0))</f>
        <v/>
      </c>
      <c r="AI807" s="46">
        <f>AH807*IF(B807&gt;=in_marketplace_from,d_hz_hlth_family*G807,0)</f>
        <v/>
      </c>
      <c r="AJ807" s="14">
        <f>F807*AI807*in_hlth_family_ticket*in_hlth_family_comm*in_ins_partner_share+F807*in_hlth_family_ticket*in_hlth_family_renew_comm*in_ins_partner_share*(in_hlth_family_renew^1*SUMIFS(AI797:AI841,B797:B841,B807-12)+in_hlth_family_renew^2*SUMIFS(AI797:AI841,B797:B841,B807-24)+in_hlth_family_renew^3*SUMIFS(AI797:AI841,B797:B841,B807-36)+in_hlth_family_renew^4*SUMIFS(AI797:AI841,B797:B841,B807-48))</f>
        <v/>
      </c>
      <c r="AK807" s="40">
        <f>AK806*(1-IF(B806&gt;=in_marketplace_from,d_hz_life_term*G806,0))</f>
        <v/>
      </c>
      <c r="AL807" s="46">
        <f>AK807*IF(B807&gt;=in_marketplace_from,d_hz_life_term*G807,0)</f>
        <v/>
      </c>
      <c r="AM807" s="14">
        <f>F807*AL807*in_life_term_ticket*in_life_term_comm*in_ins_partner_share+F807*in_life_term_ticket*in_life_term_renew_comm*in_ins_partner_share*(in_life_term_renew^1*SUMIFS(AL797:AL841,B797:B841,B807-12)+in_life_term_renew^2*SUMIFS(AL797:AL841,B797:B841,B807-24)+in_life_term_renew^3*SUMIFS(AL797:AL841,B797:B841,B807-36)+in_life_term_renew^4*SUMIFS(AL797:AL841,B797:B841,B807-48))</f>
        <v/>
      </c>
      <c r="AN807" s="40">
        <f>AN806*(1-IF(B806&gt;=in_marketplace_from,d_hz_accident*G806,0))</f>
        <v/>
      </c>
      <c r="AO807" s="46">
        <f>AN807*IF(B807&gt;=in_marketplace_from,d_hz_accident*G807,0)</f>
        <v/>
      </c>
      <c r="AP807" s="14">
        <f>F807*AO807*in_accident_ticket*in_accident_comm*in_ins_partner_share+F807*in_accident_ticket*in_accident_renew_comm*in_ins_partner_share*(in_accident_renew^1*SUMIFS(AO797:AO841,B797:B841,B807-12)+in_accident_renew^2*SUMIFS(AO797:AO841,B797:B841,B807-24)+in_accident_renew^3*SUMIFS(AO797:AO841,B797:B841,B807-36)+in_accident_renew^4*SUMIFS(AO797:AO841,B797:B841,B807-48))</f>
        <v/>
      </c>
      <c r="AQ807" s="40">
        <f>AQ806*(1-IF(B806&gt;=in_marketplace_from,d_hz_two_wheeler*G806,0))</f>
        <v/>
      </c>
      <c r="AR807" s="46">
        <f>AQ807*IF(B807&gt;=in_marketplace_from,d_hz_two_wheeler*G807,0)</f>
        <v/>
      </c>
      <c r="AS807" s="14">
        <f>F807*AR807*in_two_wheeler_ticket*in_two_wheeler_comm*in_ins_partner_share+F807*in_two_wheeler_ticket*in_two_wheeler_comm*in_ins_partner_share*(in_two_wheeler_renew^1*SUMIFS(AR797:AR841,B797:B841,B807-12)+in_two_wheeler_renew^2*SUMIFS(AR797:AR841,B797:B841,B807-24)+in_two_wheeler_renew^3*SUMIFS(AR797:AR841,B797:B841,B807-36)+in_two_wheeler_renew^4*SUMIFS(AR797:AR841,B797:B841,B807-48))</f>
        <v/>
      </c>
      <c r="AT807" s="40">
        <f>AT806*(1-IF(B806&gt;=in_marketplace_from,d_hz_device*G806,0))</f>
        <v/>
      </c>
      <c r="AU807" s="14">
        <f>F807*AT807*IF(B807&gt;=in_marketplace_from,d_hz_device*G807,0)*in_device_ticket*in_device_comm*in_ins_partner_share</f>
        <v/>
      </c>
      <c r="AV807" s="40">
        <f>AV806*(1-IF(B806&gt;=in_marketplace_from,d_hz_shop*G806,0))</f>
        <v/>
      </c>
      <c r="AW807" s="46">
        <f>AV807*IF(B807&gt;=in_marketplace_from,d_hz_shop*G807,0)</f>
        <v/>
      </c>
      <c r="AX807" s="14">
        <f>F807*AW807*in_shop_ticket*in_shop_comm*in_ins_partner_share+F807*in_shop_ticket*in_shop_renew_comm*in_ins_partner_share*(in_shop_renew^1*SUMIFS(AW797:AW841,B797:B841,B807-12)+in_shop_renew^2*SUMIFS(AW797:AW841,B797:B841,B807-24)+in_shop_renew^3*SUMIFS(AW797:AW841,B797:B841,B807-36)+in_shop_renew^4*SUMIFS(AW797:AW841,B797:B841,B807-48))</f>
        <v/>
      </c>
      <c r="AY807" s="40">
        <f>AY806*(1-IF(B806&gt;=in_marketplace_from,d_hz_sip*G806,0))</f>
        <v/>
      </c>
      <c r="AZ807" s="40">
        <f>AZ806*d_rho_sip+AY807*IF(B807&gt;=in_marketplace_from,d_hz_sip*G807,0)</f>
        <v/>
      </c>
      <c r="BA807" s="40">
        <f>d_rho_sip*(BA806+AZ806)</f>
        <v/>
      </c>
      <c r="BB807" s="14">
        <f>F807*in_sip_ticket*(BA807+0.5*AZ807)*in_sip_comm/12</f>
        <v/>
      </c>
      <c r="BC807" s="40">
        <f>BC806*(1-IF(B806&gt;=in_marketplace_from,d_hz_choti*G806,0))</f>
        <v/>
      </c>
      <c r="BD807" s="46">
        <f>BC807*IF(B807&gt;=in_marketplace_from,d_hz_choti*G807,0)</f>
        <v/>
      </c>
      <c r="BE807" s="14">
        <f>F807*SUMIFS(BD797:BD841,B797:B841,B807-in_choti_months)*in_choti_renew*in_choti_ticket</f>
        <v/>
      </c>
      <c r="BF807" s="40">
        <f>BF806*(1-IF(B806&gt;=in_marketplace_from,d_hz_nps*G806,0))</f>
        <v/>
      </c>
      <c r="BG807" s="14">
        <f>F807*BF807*IF(B807&gt;=in_marketplace_from,d_hz_nps*G807,0)*in_nps_ticket*in_nps_comm</f>
        <v/>
      </c>
      <c r="BH807" s="40">
        <f>BH806*(1-IF(B806&gt;=in_marketplace_from,d_hz_gold*G806,0))</f>
        <v/>
      </c>
      <c r="BI807" s="40">
        <f>BI806*d_rho_gold+BH807*IF(B807&gt;=in_marketplace_from,d_hz_gold*G807,0)</f>
        <v/>
      </c>
      <c r="BJ807" s="14">
        <f>F807*BI807*in_gold_ticket*in_gold_comm</f>
        <v/>
      </c>
      <c r="BK807" s="40">
        <f>BK806*(1-IF(B806&gt;=in_marketplace_from,d_hz_fd*G806,0))</f>
        <v/>
      </c>
      <c r="BL807" s="14">
        <f>F807*BK807*IF(B807&gt;=in_marketplace_from,d_hz_fd*G807,0)*in_fd_ticket*in_fd_comm</f>
        <v/>
      </c>
      <c r="BM807" s="40">
        <f>BM806*(1-IF(B806&gt;=in_marketplace_from,d_hz_recharge*G806,0))</f>
        <v/>
      </c>
      <c r="BN807" s="40">
        <f>BN806*d_rho_recharge+BM807*IF(B807&gt;=in_marketplace_from,d_hz_recharge*G807,0)</f>
        <v/>
      </c>
      <c r="BO807" s="14">
        <f>F807*BN807*in_recharge_ticket*in_recharge_comm/12</f>
        <v/>
      </c>
      <c r="BP807" s="40">
        <f>BP806*(1-IF(B806&gt;=in_marketplace_from,d_hz_bills*G806,0))</f>
        <v/>
      </c>
      <c r="BQ807" s="40">
        <f>BQ806*d_rho_bills+BP807*IF(B807&gt;=in_marketplace_from,d_hz_bills*G807,0)</f>
        <v/>
      </c>
      <c r="BR807" s="14">
        <f>F807*BQ807*in_bills_ticket*in_bills_comm/12</f>
        <v/>
      </c>
      <c r="BS807" s="40">
        <f>BS806*(1-IF(B806&gt;=in_marketplace_from,d_hz_loan_gold*G806,0))</f>
        <v/>
      </c>
      <c r="BT807" s="14">
        <f>F807*BS807*IF(B807&gt;=in_marketplace_from,d_hz_loan_gold*G807,0)*in_loan_gold_ticket*in_loan_gold_comm</f>
        <v/>
      </c>
      <c r="BU807" s="40">
        <f>BU806*(1-IF(B806&gt;=in_marketplace_from,d_hz_loan_cd*G806,0))</f>
        <v/>
      </c>
      <c r="BV807" s="14">
        <f>F807*BU807*IF(B807&gt;=in_marketplace_from,d_hz_loan_cd*G807,0)*in_loan_cd_ticket*in_loan_cd_comm</f>
        <v/>
      </c>
      <c r="BW807" s="40">
        <f>BW806*(1-IF(B806&gt;=in_marketplace_from,d_hz_loan_vehicle*G806,0))</f>
        <v/>
      </c>
      <c r="BX807" s="14">
        <f>F807*BW807*IF(B807&gt;=in_marketplace_from,d_hz_loan_vehicle*G807,0)*in_loan_vehicle_ticket*in_loan_vehicle_comm</f>
        <v/>
      </c>
      <c r="BY807" s="40">
        <f>BY806*(1-IF(B806&gt;=in_marketplace_from,d_hz_loan_home*G806,0)*BZ806)</f>
        <v/>
      </c>
      <c r="BZ807" s="11">
        <f>MIN(in_approval_cap,in_loan_home_approval*INDEX('Age profile'!$O$2:$O$61,B807)*(1+in_approval_growth)^(D807-1))</f>
        <v/>
      </c>
      <c r="CA807" s="14">
        <f>F807*BY807*IF(B807&gt;=in_marketplace_from,d_hz_loan_home*G807,0)*BZ807*in_loan_home_ticket*in_loan_home_comm</f>
        <v/>
      </c>
      <c r="CB807" s="40">
        <f>CB806*(1-IF(B806&gt;=in_marketplace_from,d_hz_loan_lap*G806,0)*CC806)</f>
        <v/>
      </c>
      <c r="CC807" s="11">
        <f>MIN(in_approval_cap,in_loan_lap_approval*INDEX('Age profile'!$O$2:$O$61,B807)*(1+in_approval_growth)^(D807-1))</f>
        <v/>
      </c>
      <c r="CD807" s="14">
        <f>F807*CB807*IF(B807&gt;=in_marketplace_from,d_hz_loan_lap*G807,0)*CC807*in_loan_lap_ticket*in_loan_lap_comm</f>
        <v/>
      </c>
      <c r="CE807" s="14">
        <f>AA807+AB807+AC807+AD807+AG807+AJ807+AM807+AP807+AS807+AU807+AX807+BB807+BE807+BG807+BJ807+BL807+BO807+BR807+BT807+BV807+BX807+CA807+CD807</f>
        <v/>
      </c>
    </row>
    <row r="808">
      <c r="A808" s="39" t="n">
        <v>16</v>
      </c>
      <c r="B808" s="39" t="n">
        <v>12</v>
      </c>
      <c r="C808" s="39">
        <f>A808+B808-1</f>
        <v/>
      </c>
      <c r="D808" s="39">
        <f>INT((C808-1)/12)+1</f>
        <v/>
      </c>
      <c r="E808" s="44">
        <f>INDEX(Monthly!$B$2:$B$61,A808)</f>
        <v/>
      </c>
      <c r="F808" s="44">
        <f>E808*INDEX('Age profile'!$B$2:$B$61,B808)</f>
        <v/>
      </c>
      <c r="G808" s="45">
        <f>MIN(in_takeup_cap,INDEX('Age profile'!$N$2:$N$61,B808)*(1+in_takeup_growth)^(D808-1))</f>
        <v/>
      </c>
      <c r="H808" s="11">
        <f>MIN(in_approval_cap,in_approved_first*INDEX('Age profile'!$O$2:$O$61,B808)*(1+in_approval_growth)^(D808-1))</f>
        <v/>
      </c>
      <c r="I808" s="45">
        <f>G808*MIN(in_takeup_cap,INDEX('Age profile'!$O$2:$O$61,B808)*(1+in_approval_growth)^(D808-1))</f>
        <v/>
      </c>
      <c r="J808" s="40">
        <f>(J807-L807)*F808/F807</f>
        <v/>
      </c>
      <c r="K808" s="40">
        <f>(K807-M807)*F808/F807+SUMIFS(O797:O807,B797:B807,B808-1-d_T)*F808</f>
        <v/>
      </c>
      <c r="L808" s="40">
        <f>IF(B808&gt;=in_marketplace_from,J808*d_hz*G808*in_eligible*H808,0)</f>
        <v/>
      </c>
      <c r="M808" s="40">
        <f>IF(B808&gt;=in_marketplace_from,K808*d_hz*G808*in_eligible*in_approved_repeat,0)</f>
        <v/>
      </c>
      <c r="N808" s="40">
        <f>L808+M808</f>
        <v/>
      </c>
      <c r="O808" s="46">
        <f>N808/F808</f>
        <v/>
      </c>
      <c r="P808" s="40">
        <f>F808-J808-K808</f>
        <v/>
      </c>
      <c r="Q808" s="40">
        <f>IF(B808&gt;=in_marketplace_from,(J808+K808)*d_hz*G808,0)</f>
        <v/>
      </c>
      <c r="R808" s="40">
        <f>SUMIFS(N797:N841,B797:B841,"&gt;="&amp;(B808-d_T),B797:B841,"&lt;="&amp;(B808-1))</f>
        <v/>
      </c>
      <c r="S808" s="46">
        <f>(1-d_u)*S807+IF(d_T&gt;in_topup_lag,SUMIFS(O797:O841,B797:B841,B808-in_topup_lag)-d_udrop*SUMIFS(O797:O841,B797:B841,B808-d_T),0)</f>
        <v/>
      </c>
      <c r="T808" s="40">
        <f>F808*d_u*S808</f>
        <v/>
      </c>
      <c r="U808" s="9">
        <f>L808*in_ticket+M808*d_rep_ticket</f>
        <v/>
      </c>
      <c r="V808" s="9">
        <f>U808+T808*d_topup_amt</f>
        <v/>
      </c>
      <c r="W808" s="40">
        <f>N808+T808*d_topup_ratio</f>
        <v/>
      </c>
      <c r="X808" s="40">
        <f>SUMIFS(W797:W841,B797:B841,B808-in_dpd_lag)*d_cured</f>
        <v/>
      </c>
      <c r="Y808" s="40">
        <f>SUMIFS(W797:W841,B797:B841,B808-in_rec_lag)*d_recd</f>
        <v/>
      </c>
      <c r="Z808" s="40">
        <f>IF(AND(B808&gt;=in_marketplace_from,B808&lt;in_marketplace_from+in_card_months),in_card_share/in_card_months*F808*I808,IF(AND(B808&gt;=in_marketplace_from+in_card_months,B808&lt;in_marketplace_from+2*in_card_months),in_card_share*d_card_rem/in_card_months*F808*MIN(in_takeup_cap,(1+in_takeup_growth)^(D808-1))*MIN(in_takeup_cap,(1+in_approval_growth)^(D808-1)),0))</f>
        <v/>
      </c>
      <c r="AA808" s="14">
        <f>V808*in_fee*(1-in_taken_back)</f>
        <v/>
      </c>
      <c r="AB808" s="14">
        <f>SUMIFS(W797:W841,B797:B841,B808-in_dpd_lag)*d_dpd</f>
        <v/>
      </c>
      <c r="AC808" s="14">
        <f>SUMIFS(W797:W841,B797:B841,B808-in_rec_lag)*d_rec</f>
        <v/>
      </c>
      <c r="AD808" s="14">
        <f>Z808*in_card_fee</f>
        <v/>
      </c>
      <c r="AE808" s="40">
        <f>AE807*(1-IF(B807&gt;=in_marketplace_from,d_hz_hlth_small*G807,0))</f>
        <v/>
      </c>
      <c r="AF808" s="46">
        <f>AE808*IF(B808&gt;=in_marketplace_from,d_hz_hlth_small*G808,0)</f>
        <v/>
      </c>
      <c r="AG808" s="14">
        <f>F808*AF808*in_hlth_small_ticket*in_hlth_small_comm*in_ins_partner_share+F808*in_hlth_small_ticket*in_hlth_small_renew_comm*in_ins_partner_share*(in_hlth_small_renew^1*SUMIFS(AF797:AF841,B797:B841,B808-12)+in_hlth_small_renew^2*SUMIFS(AF797:AF841,B797:B841,B808-24)+in_hlth_small_renew^3*SUMIFS(AF797:AF841,B797:B841,B808-36)+in_hlth_small_renew^4*SUMIFS(AF797:AF841,B797:B841,B808-48))</f>
        <v/>
      </c>
      <c r="AH808" s="40">
        <f>AH807*(1-IF(B807&gt;=in_marketplace_from,d_hz_hlth_family*G807,0))</f>
        <v/>
      </c>
      <c r="AI808" s="46">
        <f>AH808*IF(B808&gt;=in_marketplace_from,d_hz_hlth_family*G808,0)</f>
        <v/>
      </c>
      <c r="AJ808" s="14">
        <f>F808*AI808*in_hlth_family_ticket*in_hlth_family_comm*in_ins_partner_share+F808*in_hlth_family_ticket*in_hlth_family_renew_comm*in_ins_partner_share*(in_hlth_family_renew^1*SUMIFS(AI797:AI841,B797:B841,B808-12)+in_hlth_family_renew^2*SUMIFS(AI797:AI841,B797:B841,B808-24)+in_hlth_family_renew^3*SUMIFS(AI797:AI841,B797:B841,B808-36)+in_hlth_family_renew^4*SUMIFS(AI797:AI841,B797:B841,B808-48))</f>
        <v/>
      </c>
      <c r="AK808" s="40">
        <f>AK807*(1-IF(B807&gt;=in_marketplace_from,d_hz_life_term*G807,0))</f>
        <v/>
      </c>
      <c r="AL808" s="46">
        <f>AK808*IF(B808&gt;=in_marketplace_from,d_hz_life_term*G808,0)</f>
        <v/>
      </c>
      <c r="AM808" s="14">
        <f>F808*AL808*in_life_term_ticket*in_life_term_comm*in_ins_partner_share+F808*in_life_term_ticket*in_life_term_renew_comm*in_ins_partner_share*(in_life_term_renew^1*SUMIFS(AL797:AL841,B797:B841,B808-12)+in_life_term_renew^2*SUMIFS(AL797:AL841,B797:B841,B808-24)+in_life_term_renew^3*SUMIFS(AL797:AL841,B797:B841,B808-36)+in_life_term_renew^4*SUMIFS(AL797:AL841,B797:B841,B808-48))</f>
        <v/>
      </c>
      <c r="AN808" s="40">
        <f>AN807*(1-IF(B807&gt;=in_marketplace_from,d_hz_accident*G807,0))</f>
        <v/>
      </c>
      <c r="AO808" s="46">
        <f>AN808*IF(B808&gt;=in_marketplace_from,d_hz_accident*G808,0)</f>
        <v/>
      </c>
      <c r="AP808" s="14">
        <f>F808*AO808*in_accident_ticket*in_accident_comm*in_ins_partner_share+F808*in_accident_ticket*in_accident_renew_comm*in_ins_partner_share*(in_accident_renew^1*SUMIFS(AO797:AO841,B797:B841,B808-12)+in_accident_renew^2*SUMIFS(AO797:AO841,B797:B841,B808-24)+in_accident_renew^3*SUMIFS(AO797:AO841,B797:B841,B808-36)+in_accident_renew^4*SUMIFS(AO797:AO841,B797:B841,B808-48))</f>
        <v/>
      </c>
      <c r="AQ808" s="40">
        <f>AQ807*(1-IF(B807&gt;=in_marketplace_from,d_hz_two_wheeler*G807,0))</f>
        <v/>
      </c>
      <c r="AR808" s="46">
        <f>AQ808*IF(B808&gt;=in_marketplace_from,d_hz_two_wheeler*G808,0)</f>
        <v/>
      </c>
      <c r="AS808" s="14">
        <f>F808*AR808*in_two_wheeler_ticket*in_two_wheeler_comm*in_ins_partner_share+F808*in_two_wheeler_ticket*in_two_wheeler_comm*in_ins_partner_share*(in_two_wheeler_renew^1*SUMIFS(AR797:AR841,B797:B841,B808-12)+in_two_wheeler_renew^2*SUMIFS(AR797:AR841,B797:B841,B808-24)+in_two_wheeler_renew^3*SUMIFS(AR797:AR841,B797:B841,B808-36)+in_two_wheeler_renew^4*SUMIFS(AR797:AR841,B797:B841,B808-48))</f>
        <v/>
      </c>
      <c r="AT808" s="40">
        <f>AT807*(1-IF(B807&gt;=in_marketplace_from,d_hz_device*G807,0))</f>
        <v/>
      </c>
      <c r="AU808" s="14">
        <f>F808*AT808*IF(B808&gt;=in_marketplace_from,d_hz_device*G808,0)*in_device_ticket*in_device_comm*in_ins_partner_share</f>
        <v/>
      </c>
      <c r="AV808" s="40">
        <f>AV807*(1-IF(B807&gt;=in_marketplace_from,d_hz_shop*G807,0))</f>
        <v/>
      </c>
      <c r="AW808" s="46">
        <f>AV808*IF(B808&gt;=in_marketplace_from,d_hz_shop*G808,0)</f>
        <v/>
      </c>
      <c r="AX808" s="14">
        <f>F808*AW808*in_shop_ticket*in_shop_comm*in_ins_partner_share+F808*in_shop_ticket*in_shop_renew_comm*in_ins_partner_share*(in_shop_renew^1*SUMIFS(AW797:AW841,B797:B841,B808-12)+in_shop_renew^2*SUMIFS(AW797:AW841,B797:B841,B808-24)+in_shop_renew^3*SUMIFS(AW797:AW841,B797:B841,B808-36)+in_shop_renew^4*SUMIFS(AW797:AW841,B797:B841,B808-48))</f>
        <v/>
      </c>
      <c r="AY808" s="40">
        <f>AY807*(1-IF(B807&gt;=in_marketplace_from,d_hz_sip*G807,0))</f>
        <v/>
      </c>
      <c r="AZ808" s="40">
        <f>AZ807*d_rho_sip+AY808*IF(B808&gt;=in_marketplace_from,d_hz_sip*G808,0)</f>
        <v/>
      </c>
      <c r="BA808" s="40">
        <f>d_rho_sip*(BA807+AZ807)</f>
        <v/>
      </c>
      <c r="BB808" s="14">
        <f>F808*in_sip_ticket*(BA808+0.5*AZ808)*in_sip_comm/12</f>
        <v/>
      </c>
      <c r="BC808" s="40">
        <f>BC807*(1-IF(B807&gt;=in_marketplace_from,d_hz_choti*G807,0))</f>
        <v/>
      </c>
      <c r="BD808" s="46">
        <f>BC808*IF(B808&gt;=in_marketplace_from,d_hz_choti*G808,0)</f>
        <v/>
      </c>
      <c r="BE808" s="14">
        <f>F808*SUMIFS(BD797:BD841,B797:B841,B808-in_choti_months)*in_choti_renew*in_choti_ticket</f>
        <v/>
      </c>
      <c r="BF808" s="40">
        <f>BF807*(1-IF(B807&gt;=in_marketplace_from,d_hz_nps*G807,0))</f>
        <v/>
      </c>
      <c r="BG808" s="14">
        <f>F808*BF808*IF(B808&gt;=in_marketplace_from,d_hz_nps*G808,0)*in_nps_ticket*in_nps_comm</f>
        <v/>
      </c>
      <c r="BH808" s="40">
        <f>BH807*(1-IF(B807&gt;=in_marketplace_from,d_hz_gold*G807,0))</f>
        <v/>
      </c>
      <c r="BI808" s="40">
        <f>BI807*d_rho_gold+BH808*IF(B808&gt;=in_marketplace_from,d_hz_gold*G808,0)</f>
        <v/>
      </c>
      <c r="BJ808" s="14">
        <f>F808*BI808*in_gold_ticket*in_gold_comm</f>
        <v/>
      </c>
      <c r="BK808" s="40">
        <f>BK807*(1-IF(B807&gt;=in_marketplace_from,d_hz_fd*G807,0))</f>
        <v/>
      </c>
      <c r="BL808" s="14">
        <f>F808*BK808*IF(B808&gt;=in_marketplace_from,d_hz_fd*G808,0)*in_fd_ticket*in_fd_comm</f>
        <v/>
      </c>
      <c r="BM808" s="40">
        <f>BM807*(1-IF(B807&gt;=in_marketplace_from,d_hz_recharge*G807,0))</f>
        <v/>
      </c>
      <c r="BN808" s="40">
        <f>BN807*d_rho_recharge+BM808*IF(B808&gt;=in_marketplace_from,d_hz_recharge*G808,0)</f>
        <v/>
      </c>
      <c r="BO808" s="14">
        <f>F808*BN808*in_recharge_ticket*in_recharge_comm/12</f>
        <v/>
      </c>
      <c r="BP808" s="40">
        <f>BP807*(1-IF(B807&gt;=in_marketplace_from,d_hz_bills*G807,0))</f>
        <v/>
      </c>
      <c r="BQ808" s="40">
        <f>BQ807*d_rho_bills+BP808*IF(B808&gt;=in_marketplace_from,d_hz_bills*G808,0)</f>
        <v/>
      </c>
      <c r="BR808" s="14">
        <f>F808*BQ808*in_bills_ticket*in_bills_comm/12</f>
        <v/>
      </c>
      <c r="BS808" s="40">
        <f>BS807*(1-IF(B807&gt;=in_marketplace_from,d_hz_loan_gold*G807,0))</f>
        <v/>
      </c>
      <c r="BT808" s="14">
        <f>F808*BS808*IF(B808&gt;=in_marketplace_from,d_hz_loan_gold*G808,0)*in_loan_gold_ticket*in_loan_gold_comm</f>
        <v/>
      </c>
      <c r="BU808" s="40">
        <f>BU807*(1-IF(B807&gt;=in_marketplace_from,d_hz_loan_cd*G807,0))</f>
        <v/>
      </c>
      <c r="BV808" s="14">
        <f>F808*BU808*IF(B808&gt;=in_marketplace_from,d_hz_loan_cd*G808,0)*in_loan_cd_ticket*in_loan_cd_comm</f>
        <v/>
      </c>
      <c r="BW808" s="40">
        <f>BW807*(1-IF(B807&gt;=in_marketplace_from,d_hz_loan_vehicle*G807,0))</f>
        <v/>
      </c>
      <c r="BX808" s="14">
        <f>F808*BW808*IF(B808&gt;=in_marketplace_from,d_hz_loan_vehicle*G808,0)*in_loan_vehicle_ticket*in_loan_vehicle_comm</f>
        <v/>
      </c>
      <c r="BY808" s="40">
        <f>BY807*(1-IF(B807&gt;=in_marketplace_from,d_hz_loan_home*G807,0)*BZ807)</f>
        <v/>
      </c>
      <c r="BZ808" s="11">
        <f>MIN(in_approval_cap,in_loan_home_approval*INDEX('Age profile'!$O$2:$O$61,B808)*(1+in_approval_growth)^(D808-1))</f>
        <v/>
      </c>
      <c r="CA808" s="14">
        <f>F808*BY808*IF(B808&gt;=in_marketplace_from,d_hz_loan_home*G808,0)*BZ808*in_loan_home_ticket*in_loan_home_comm</f>
        <v/>
      </c>
      <c r="CB808" s="40">
        <f>CB807*(1-IF(B807&gt;=in_marketplace_from,d_hz_loan_lap*G807,0)*CC807)</f>
        <v/>
      </c>
      <c r="CC808" s="11">
        <f>MIN(in_approval_cap,in_loan_lap_approval*INDEX('Age profile'!$O$2:$O$61,B808)*(1+in_approval_growth)^(D808-1))</f>
        <v/>
      </c>
      <c r="CD808" s="14">
        <f>F808*CB808*IF(B808&gt;=in_marketplace_from,d_hz_loan_lap*G808,0)*CC808*in_loan_lap_ticket*in_loan_lap_comm</f>
        <v/>
      </c>
      <c r="CE808" s="14">
        <f>AA808+AB808+AC808+AD808+AG808+AJ808+AM808+AP808+AS808+AU808+AX808+BB808+BE808+BG808+BJ808+BL808+BO808+BR808+BT808+BV808+BX808+CA808+CD808</f>
        <v/>
      </c>
    </row>
    <row r="809">
      <c r="A809" s="39" t="n">
        <v>16</v>
      </c>
      <c r="B809" s="39" t="n">
        <v>13</v>
      </c>
      <c r="C809" s="39">
        <f>A809+B809-1</f>
        <v/>
      </c>
      <c r="D809" s="39">
        <f>INT((C809-1)/12)+1</f>
        <v/>
      </c>
      <c r="E809" s="44">
        <f>INDEX(Monthly!$B$2:$B$61,A809)</f>
        <v/>
      </c>
      <c r="F809" s="44">
        <f>E809*INDEX('Age profile'!$B$2:$B$61,B809)</f>
        <v/>
      </c>
      <c r="G809" s="45">
        <f>MIN(in_takeup_cap,INDEX('Age profile'!$N$2:$N$61,B809)*(1+in_takeup_growth)^(D809-1))</f>
        <v/>
      </c>
      <c r="H809" s="11">
        <f>MIN(in_approval_cap,in_approved_first*INDEX('Age profile'!$O$2:$O$61,B809)*(1+in_approval_growth)^(D809-1))</f>
        <v/>
      </c>
      <c r="I809" s="45">
        <f>G809*MIN(in_takeup_cap,INDEX('Age profile'!$O$2:$O$61,B809)*(1+in_approval_growth)^(D809-1))</f>
        <v/>
      </c>
      <c r="J809" s="40">
        <f>(J808-L808)*F809/F808</f>
        <v/>
      </c>
      <c r="K809" s="40">
        <f>(K808-M808)*F809/F808+SUMIFS(O797:O808,B797:B808,B809-1-d_T)*F809</f>
        <v/>
      </c>
      <c r="L809" s="40">
        <f>IF(B809&gt;=in_marketplace_from,J809*d_hz*G809*in_eligible*H809,0)</f>
        <v/>
      </c>
      <c r="M809" s="40">
        <f>IF(B809&gt;=in_marketplace_from,K809*d_hz*G809*in_eligible*in_approved_repeat,0)</f>
        <v/>
      </c>
      <c r="N809" s="40">
        <f>L809+M809</f>
        <v/>
      </c>
      <c r="O809" s="46">
        <f>N809/F809</f>
        <v/>
      </c>
      <c r="P809" s="40">
        <f>F809-J809-K809</f>
        <v/>
      </c>
      <c r="Q809" s="40">
        <f>IF(B809&gt;=in_marketplace_from,(J809+K809)*d_hz*G809,0)</f>
        <v/>
      </c>
      <c r="R809" s="40">
        <f>SUMIFS(N797:N841,B797:B841,"&gt;="&amp;(B809-d_T),B797:B841,"&lt;="&amp;(B809-1))</f>
        <v/>
      </c>
      <c r="S809" s="46">
        <f>(1-d_u)*S808+IF(d_T&gt;in_topup_lag,SUMIFS(O797:O841,B797:B841,B809-in_topup_lag)-d_udrop*SUMIFS(O797:O841,B797:B841,B809-d_T),0)</f>
        <v/>
      </c>
      <c r="T809" s="40">
        <f>F809*d_u*S809</f>
        <v/>
      </c>
      <c r="U809" s="9">
        <f>L809*in_ticket+M809*d_rep_ticket</f>
        <v/>
      </c>
      <c r="V809" s="9">
        <f>U809+T809*d_topup_amt</f>
        <v/>
      </c>
      <c r="W809" s="40">
        <f>N809+T809*d_topup_ratio</f>
        <v/>
      </c>
      <c r="X809" s="40">
        <f>SUMIFS(W797:W841,B797:B841,B809-in_dpd_lag)*d_cured</f>
        <v/>
      </c>
      <c r="Y809" s="40">
        <f>SUMIFS(W797:W841,B797:B841,B809-in_rec_lag)*d_recd</f>
        <v/>
      </c>
      <c r="Z809" s="40">
        <f>IF(AND(B809&gt;=in_marketplace_from,B809&lt;in_marketplace_from+in_card_months),in_card_share/in_card_months*F809*I809,IF(AND(B809&gt;=in_marketplace_from+in_card_months,B809&lt;in_marketplace_from+2*in_card_months),in_card_share*d_card_rem/in_card_months*F809*MIN(in_takeup_cap,(1+in_takeup_growth)^(D809-1))*MIN(in_takeup_cap,(1+in_approval_growth)^(D809-1)),0))</f>
        <v/>
      </c>
      <c r="AA809" s="14">
        <f>V809*in_fee*(1-in_taken_back)</f>
        <v/>
      </c>
      <c r="AB809" s="14">
        <f>SUMIFS(W797:W841,B797:B841,B809-in_dpd_lag)*d_dpd</f>
        <v/>
      </c>
      <c r="AC809" s="14">
        <f>SUMIFS(W797:W841,B797:B841,B809-in_rec_lag)*d_rec</f>
        <v/>
      </c>
      <c r="AD809" s="14">
        <f>Z809*in_card_fee</f>
        <v/>
      </c>
      <c r="AE809" s="40">
        <f>AE808*(1-IF(B808&gt;=in_marketplace_from,d_hz_hlth_small*G808,0))</f>
        <v/>
      </c>
      <c r="AF809" s="46">
        <f>AE809*IF(B809&gt;=in_marketplace_from,d_hz_hlth_small*G809,0)</f>
        <v/>
      </c>
      <c r="AG809" s="14">
        <f>F809*AF809*in_hlth_small_ticket*in_hlth_small_comm*in_ins_partner_share+F809*in_hlth_small_ticket*in_hlth_small_renew_comm*in_ins_partner_share*(in_hlth_small_renew^1*SUMIFS(AF797:AF841,B797:B841,B809-12)+in_hlth_small_renew^2*SUMIFS(AF797:AF841,B797:B841,B809-24)+in_hlth_small_renew^3*SUMIFS(AF797:AF841,B797:B841,B809-36)+in_hlth_small_renew^4*SUMIFS(AF797:AF841,B797:B841,B809-48))</f>
        <v/>
      </c>
      <c r="AH809" s="40">
        <f>AH808*(1-IF(B808&gt;=in_marketplace_from,d_hz_hlth_family*G808,0))</f>
        <v/>
      </c>
      <c r="AI809" s="46">
        <f>AH809*IF(B809&gt;=in_marketplace_from,d_hz_hlth_family*G809,0)</f>
        <v/>
      </c>
      <c r="AJ809" s="14">
        <f>F809*AI809*in_hlth_family_ticket*in_hlth_family_comm*in_ins_partner_share+F809*in_hlth_family_ticket*in_hlth_family_renew_comm*in_ins_partner_share*(in_hlth_family_renew^1*SUMIFS(AI797:AI841,B797:B841,B809-12)+in_hlth_family_renew^2*SUMIFS(AI797:AI841,B797:B841,B809-24)+in_hlth_family_renew^3*SUMIFS(AI797:AI841,B797:B841,B809-36)+in_hlth_family_renew^4*SUMIFS(AI797:AI841,B797:B841,B809-48))</f>
        <v/>
      </c>
      <c r="AK809" s="40">
        <f>AK808*(1-IF(B808&gt;=in_marketplace_from,d_hz_life_term*G808,0))</f>
        <v/>
      </c>
      <c r="AL809" s="46">
        <f>AK809*IF(B809&gt;=in_marketplace_from,d_hz_life_term*G809,0)</f>
        <v/>
      </c>
      <c r="AM809" s="14">
        <f>F809*AL809*in_life_term_ticket*in_life_term_comm*in_ins_partner_share+F809*in_life_term_ticket*in_life_term_renew_comm*in_ins_partner_share*(in_life_term_renew^1*SUMIFS(AL797:AL841,B797:B841,B809-12)+in_life_term_renew^2*SUMIFS(AL797:AL841,B797:B841,B809-24)+in_life_term_renew^3*SUMIFS(AL797:AL841,B797:B841,B809-36)+in_life_term_renew^4*SUMIFS(AL797:AL841,B797:B841,B809-48))</f>
        <v/>
      </c>
      <c r="AN809" s="40">
        <f>AN808*(1-IF(B808&gt;=in_marketplace_from,d_hz_accident*G808,0))</f>
        <v/>
      </c>
      <c r="AO809" s="46">
        <f>AN809*IF(B809&gt;=in_marketplace_from,d_hz_accident*G809,0)</f>
        <v/>
      </c>
      <c r="AP809" s="14">
        <f>F809*AO809*in_accident_ticket*in_accident_comm*in_ins_partner_share+F809*in_accident_ticket*in_accident_renew_comm*in_ins_partner_share*(in_accident_renew^1*SUMIFS(AO797:AO841,B797:B841,B809-12)+in_accident_renew^2*SUMIFS(AO797:AO841,B797:B841,B809-24)+in_accident_renew^3*SUMIFS(AO797:AO841,B797:B841,B809-36)+in_accident_renew^4*SUMIFS(AO797:AO841,B797:B841,B809-48))</f>
        <v/>
      </c>
      <c r="AQ809" s="40">
        <f>AQ808*(1-IF(B808&gt;=in_marketplace_from,d_hz_two_wheeler*G808,0))</f>
        <v/>
      </c>
      <c r="AR809" s="46">
        <f>AQ809*IF(B809&gt;=in_marketplace_from,d_hz_two_wheeler*G809,0)</f>
        <v/>
      </c>
      <c r="AS809" s="14">
        <f>F809*AR809*in_two_wheeler_ticket*in_two_wheeler_comm*in_ins_partner_share+F809*in_two_wheeler_ticket*in_two_wheeler_comm*in_ins_partner_share*(in_two_wheeler_renew^1*SUMIFS(AR797:AR841,B797:B841,B809-12)+in_two_wheeler_renew^2*SUMIFS(AR797:AR841,B797:B841,B809-24)+in_two_wheeler_renew^3*SUMIFS(AR797:AR841,B797:B841,B809-36)+in_two_wheeler_renew^4*SUMIFS(AR797:AR841,B797:B841,B809-48))</f>
        <v/>
      </c>
      <c r="AT809" s="40">
        <f>AT808*(1-IF(B808&gt;=in_marketplace_from,d_hz_device*G808,0))</f>
        <v/>
      </c>
      <c r="AU809" s="14">
        <f>F809*AT809*IF(B809&gt;=in_marketplace_from,d_hz_device*G809,0)*in_device_ticket*in_device_comm*in_ins_partner_share</f>
        <v/>
      </c>
      <c r="AV809" s="40">
        <f>AV808*(1-IF(B808&gt;=in_marketplace_from,d_hz_shop*G808,0))</f>
        <v/>
      </c>
      <c r="AW809" s="46">
        <f>AV809*IF(B809&gt;=in_marketplace_from,d_hz_shop*G809,0)</f>
        <v/>
      </c>
      <c r="AX809" s="14">
        <f>F809*AW809*in_shop_ticket*in_shop_comm*in_ins_partner_share+F809*in_shop_ticket*in_shop_renew_comm*in_ins_partner_share*(in_shop_renew^1*SUMIFS(AW797:AW841,B797:B841,B809-12)+in_shop_renew^2*SUMIFS(AW797:AW841,B797:B841,B809-24)+in_shop_renew^3*SUMIFS(AW797:AW841,B797:B841,B809-36)+in_shop_renew^4*SUMIFS(AW797:AW841,B797:B841,B809-48))</f>
        <v/>
      </c>
      <c r="AY809" s="40">
        <f>AY808*(1-IF(B808&gt;=in_marketplace_from,d_hz_sip*G808,0))</f>
        <v/>
      </c>
      <c r="AZ809" s="40">
        <f>AZ808*d_rho_sip+AY809*IF(B809&gt;=in_marketplace_from,d_hz_sip*G809,0)</f>
        <v/>
      </c>
      <c r="BA809" s="40">
        <f>d_rho_sip*(BA808+AZ808)</f>
        <v/>
      </c>
      <c r="BB809" s="14">
        <f>F809*in_sip_ticket*(BA809+0.5*AZ809)*in_sip_comm/12</f>
        <v/>
      </c>
      <c r="BC809" s="40">
        <f>BC808*(1-IF(B808&gt;=in_marketplace_from,d_hz_choti*G808,0))</f>
        <v/>
      </c>
      <c r="BD809" s="46">
        <f>BC809*IF(B809&gt;=in_marketplace_from,d_hz_choti*G809,0)</f>
        <v/>
      </c>
      <c r="BE809" s="14">
        <f>F809*SUMIFS(BD797:BD841,B797:B841,B809-in_choti_months)*in_choti_renew*in_choti_ticket</f>
        <v/>
      </c>
      <c r="BF809" s="40">
        <f>BF808*(1-IF(B808&gt;=in_marketplace_from,d_hz_nps*G808,0))</f>
        <v/>
      </c>
      <c r="BG809" s="14">
        <f>F809*BF809*IF(B809&gt;=in_marketplace_from,d_hz_nps*G809,0)*in_nps_ticket*in_nps_comm</f>
        <v/>
      </c>
      <c r="BH809" s="40">
        <f>BH808*(1-IF(B808&gt;=in_marketplace_from,d_hz_gold*G808,0))</f>
        <v/>
      </c>
      <c r="BI809" s="40">
        <f>BI808*d_rho_gold+BH809*IF(B809&gt;=in_marketplace_from,d_hz_gold*G809,0)</f>
        <v/>
      </c>
      <c r="BJ809" s="14">
        <f>F809*BI809*in_gold_ticket*in_gold_comm</f>
        <v/>
      </c>
      <c r="BK809" s="40">
        <f>BK808*(1-IF(B808&gt;=in_marketplace_from,d_hz_fd*G808,0))</f>
        <v/>
      </c>
      <c r="BL809" s="14">
        <f>F809*BK809*IF(B809&gt;=in_marketplace_from,d_hz_fd*G809,0)*in_fd_ticket*in_fd_comm</f>
        <v/>
      </c>
      <c r="BM809" s="40">
        <f>BM808*(1-IF(B808&gt;=in_marketplace_from,d_hz_recharge*G808,0))</f>
        <v/>
      </c>
      <c r="BN809" s="40">
        <f>BN808*d_rho_recharge+BM809*IF(B809&gt;=in_marketplace_from,d_hz_recharge*G809,0)</f>
        <v/>
      </c>
      <c r="BO809" s="14">
        <f>F809*BN809*in_recharge_ticket*in_recharge_comm/12</f>
        <v/>
      </c>
      <c r="BP809" s="40">
        <f>BP808*(1-IF(B808&gt;=in_marketplace_from,d_hz_bills*G808,0))</f>
        <v/>
      </c>
      <c r="BQ809" s="40">
        <f>BQ808*d_rho_bills+BP809*IF(B809&gt;=in_marketplace_from,d_hz_bills*G809,0)</f>
        <v/>
      </c>
      <c r="BR809" s="14">
        <f>F809*BQ809*in_bills_ticket*in_bills_comm/12</f>
        <v/>
      </c>
      <c r="BS809" s="40">
        <f>BS808*(1-IF(B808&gt;=in_marketplace_from,d_hz_loan_gold*G808,0))</f>
        <v/>
      </c>
      <c r="BT809" s="14">
        <f>F809*BS809*IF(B809&gt;=in_marketplace_from,d_hz_loan_gold*G809,0)*in_loan_gold_ticket*in_loan_gold_comm</f>
        <v/>
      </c>
      <c r="BU809" s="40">
        <f>BU808*(1-IF(B808&gt;=in_marketplace_from,d_hz_loan_cd*G808,0))</f>
        <v/>
      </c>
      <c r="BV809" s="14">
        <f>F809*BU809*IF(B809&gt;=in_marketplace_from,d_hz_loan_cd*G809,0)*in_loan_cd_ticket*in_loan_cd_comm</f>
        <v/>
      </c>
      <c r="BW809" s="40">
        <f>BW808*(1-IF(B808&gt;=in_marketplace_from,d_hz_loan_vehicle*G808,0))</f>
        <v/>
      </c>
      <c r="BX809" s="14">
        <f>F809*BW809*IF(B809&gt;=in_marketplace_from,d_hz_loan_vehicle*G809,0)*in_loan_vehicle_ticket*in_loan_vehicle_comm</f>
        <v/>
      </c>
      <c r="BY809" s="40">
        <f>BY808*(1-IF(B808&gt;=in_marketplace_from,d_hz_loan_home*G808,0)*BZ808)</f>
        <v/>
      </c>
      <c r="BZ809" s="11">
        <f>MIN(in_approval_cap,in_loan_home_approval*INDEX('Age profile'!$O$2:$O$61,B809)*(1+in_approval_growth)^(D809-1))</f>
        <v/>
      </c>
      <c r="CA809" s="14">
        <f>F809*BY809*IF(B809&gt;=in_marketplace_from,d_hz_loan_home*G809,0)*BZ809*in_loan_home_ticket*in_loan_home_comm</f>
        <v/>
      </c>
      <c r="CB809" s="40">
        <f>CB808*(1-IF(B808&gt;=in_marketplace_from,d_hz_loan_lap*G808,0)*CC808)</f>
        <v/>
      </c>
      <c r="CC809" s="11">
        <f>MIN(in_approval_cap,in_loan_lap_approval*INDEX('Age profile'!$O$2:$O$61,B809)*(1+in_approval_growth)^(D809-1))</f>
        <v/>
      </c>
      <c r="CD809" s="14">
        <f>F809*CB809*IF(B809&gt;=in_marketplace_from,d_hz_loan_lap*G809,0)*CC809*in_loan_lap_ticket*in_loan_lap_comm</f>
        <v/>
      </c>
      <c r="CE809" s="14">
        <f>AA809+AB809+AC809+AD809+AG809+AJ809+AM809+AP809+AS809+AU809+AX809+BB809+BE809+BG809+BJ809+BL809+BO809+BR809+BT809+BV809+BX809+CA809+CD809</f>
        <v/>
      </c>
    </row>
    <row r="810">
      <c r="A810" s="39" t="n">
        <v>16</v>
      </c>
      <c r="B810" s="39" t="n">
        <v>14</v>
      </c>
      <c r="C810" s="39">
        <f>A810+B810-1</f>
        <v/>
      </c>
      <c r="D810" s="39">
        <f>INT((C810-1)/12)+1</f>
        <v/>
      </c>
      <c r="E810" s="44">
        <f>INDEX(Monthly!$B$2:$B$61,A810)</f>
        <v/>
      </c>
      <c r="F810" s="44">
        <f>E810*INDEX('Age profile'!$B$2:$B$61,B810)</f>
        <v/>
      </c>
      <c r="G810" s="45">
        <f>MIN(in_takeup_cap,INDEX('Age profile'!$N$2:$N$61,B810)*(1+in_takeup_growth)^(D810-1))</f>
        <v/>
      </c>
      <c r="H810" s="11">
        <f>MIN(in_approval_cap,in_approved_first*INDEX('Age profile'!$O$2:$O$61,B810)*(1+in_approval_growth)^(D810-1))</f>
        <v/>
      </c>
      <c r="I810" s="45">
        <f>G810*MIN(in_takeup_cap,INDEX('Age profile'!$O$2:$O$61,B810)*(1+in_approval_growth)^(D810-1))</f>
        <v/>
      </c>
      <c r="J810" s="40">
        <f>(J809-L809)*F810/F809</f>
        <v/>
      </c>
      <c r="K810" s="40">
        <f>(K809-M809)*F810/F809+SUMIFS(O797:O809,B797:B809,B810-1-d_T)*F810</f>
        <v/>
      </c>
      <c r="L810" s="40">
        <f>IF(B810&gt;=in_marketplace_from,J810*d_hz*G810*in_eligible*H810,0)</f>
        <v/>
      </c>
      <c r="M810" s="40">
        <f>IF(B810&gt;=in_marketplace_from,K810*d_hz*G810*in_eligible*in_approved_repeat,0)</f>
        <v/>
      </c>
      <c r="N810" s="40">
        <f>L810+M810</f>
        <v/>
      </c>
      <c r="O810" s="46">
        <f>N810/F810</f>
        <v/>
      </c>
      <c r="P810" s="40">
        <f>F810-J810-K810</f>
        <v/>
      </c>
      <c r="Q810" s="40">
        <f>IF(B810&gt;=in_marketplace_from,(J810+K810)*d_hz*G810,0)</f>
        <v/>
      </c>
      <c r="R810" s="40">
        <f>SUMIFS(N797:N841,B797:B841,"&gt;="&amp;(B810-d_T),B797:B841,"&lt;="&amp;(B810-1))</f>
        <v/>
      </c>
      <c r="S810" s="46">
        <f>(1-d_u)*S809+IF(d_T&gt;in_topup_lag,SUMIFS(O797:O841,B797:B841,B810-in_topup_lag)-d_udrop*SUMIFS(O797:O841,B797:B841,B810-d_T),0)</f>
        <v/>
      </c>
      <c r="T810" s="40">
        <f>F810*d_u*S810</f>
        <v/>
      </c>
      <c r="U810" s="9">
        <f>L810*in_ticket+M810*d_rep_ticket</f>
        <v/>
      </c>
      <c r="V810" s="9">
        <f>U810+T810*d_topup_amt</f>
        <v/>
      </c>
      <c r="W810" s="40">
        <f>N810+T810*d_topup_ratio</f>
        <v/>
      </c>
      <c r="X810" s="40">
        <f>SUMIFS(W797:W841,B797:B841,B810-in_dpd_lag)*d_cured</f>
        <v/>
      </c>
      <c r="Y810" s="40">
        <f>SUMIFS(W797:W841,B797:B841,B810-in_rec_lag)*d_recd</f>
        <v/>
      </c>
      <c r="Z810" s="40">
        <f>IF(AND(B810&gt;=in_marketplace_from,B810&lt;in_marketplace_from+in_card_months),in_card_share/in_card_months*F810*I810,IF(AND(B810&gt;=in_marketplace_from+in_card_months,B810&lt;in_marketplace_from+2*in_card_months),in_card_share*d_card_rem/in_card_months*F810*MIN(in_takeup_cap,(1+in_takeup_growth)^(D810-1))*MIN(in_takeup_cap,(1+in_approval_growth)^(D810-1)),0))</f>
        <v/>
      </c>
      <c r="AA810" s="14">
        <f>V810*in_fee*(1-in_taken_back)</f>
        <v/>
      </c>
      <c r="AB810" s="14">
        <f>SUMIFS(W797:W841,B797:B841,B810-in_dpd_lag)*d_dpd</f>
        <v/>
      </c>
      <c r="AC810" s="14">
        <f>SUMIFS(W797:W841,B797:B841,B810-in_rec_lag)*d_rec</f>
        <v/>
      </c>
      <c r="AD810" s="14">
        <f>Z810*in_card_fee</f>
        <v/>
      </c>
      <c r="AE810" s="40">
        <f>AE809*(1-IF(B809&gt;=in_marketplace_from,d_hz_hlth_small*G809,0))</f>
        <v/>
      </c>
      <c r="AF810" s="46">
        <f>AE810*IF(B810&gt;=in_marketplace_from,d_hz_hlth_small*G810,0)</f>
        <v/>
      </c>
      <c r="AG810" s="14">
        <f>F810*AF810*in_hlth_small_ticket*in_hlth_small_comm*in_ins_partner_share+F810*in_hlth_small_ticket*in_hlth_small_renew_comm*in_ins_partner_share*(in_hlth_small_renew^1*SUMIFS(AF797:AF841,B797:B841,B810-12)+in_hlth_small_renew^2*SUMIFS(AF797:AF841,B797:B841,B810-24)+in_hlth_small_renew^3*SUMIFS(AF797:AF841,B797:B841,B810-36)+in_hlth_small_renew^4*SUMIFS(AF797:AF841,B797:B841,B810-48))</f>
        <v/>
      </c>
      <c r="AH810" s="40">
        <f>AH809*(1-IF(B809&gt;=in_marketplace_from,d_hz_hlth_family*G809,0))</f>
        <v/>
      </c>
      <c r="AI810" s="46">
        <f>AH810*IF(B810&gt;=in_marketplace_from,d_hz_hlth_family*G810,0)</f>
        <v/>
      </c>
      <c r="AJ810" s="14">
        <f>F810*AI810*in_hlth_family_ticket*in_hlth_family_comm*in_ins_partner_share+F810*in_hlth_family_ticket*in_hlth_family_renew_comm*in_ins_partner_share*(in_hlth_family_renew^1*SUMIFS(AI797:AI841,B797:B841,B810-12)+in_hlth_family_renew^2*SUMIFS(AI797:AI841,B797:B841,B810-24)+in_hlth_family_renew^3*SUMIFS(AI797:AI841,B797:B841,B810-36)+in_hlth_family_renew^4*SUMIFS(AI797:AI841,B797:B841,B810-48))</f>
        <v/>
      </c>
      <c r="AK810" s="40">
        <f>AK809*(1-IF(B809&gt;=in_marketplace_from,d_hz_life_term*G809,0))</f>
        <v/>
      </c>
      <c r="AL810" s="46">
        <f>AK810*IF(B810&gt;=in_marketplace_from,d_hz_life_term*G810,0)</f>
        <v/>
      </c>
      <c r="AM810" s="14">
        <f>F810*AL810*in_life_term_ticket*in_life_term_comm*in_ins_partner_share+F810*in_life_term_ticket*in_life_term_renew_comm*in_ins_partner_share*(in_life_term_renew^1*SUMIFS(AL797:AL841,B797:B841,B810-12)+in_life_term_renew^2*SUMIFS(AL797:AL841,B797:B841,B810-24)+in_life_term_renew^3*SUMIFS(AL797:AL841,B797:B841,B810-36)+in_life_term_renew^4*SUMIFS(AL797:AL841,B797:B841,B810-48))</f>
        <v/>
      </c>
      <c r="AN810" s="40">
        <f>AN809*(1-IF(B809&gt;=in_marketplace_from,d_hz_accident*G809,0))</f>
        <v/>
      </c>
      <c r="AO810" s="46">
        <f>AN810*IF(B810&gt;=in_marketplace_from,d_hz_accident*G810,0)</f>
        <v/>
      </c>
      <c r="AP810" s="14">
        <f>F810*AO810*in_accident_ticket*in_accident_comm*in_ins_partner_share+F810*in_accident_ticket*in_accident_renew_comm*in_ins_partner_share*(in_accident_renew^1*SUMIFS(AO797:AO841,B797:B841,B810-12)+in_accident_renew^2*SUMIFS(AO797:AO841,B797:B841,B810-24)+in_accident_renew^3*SUMIFS(AO797:AO841,B797:B841,B810-36)+in_accident_renew^4*SUMIFS(AO797:AO841,B797:B841,B810-48))</f>
        <v/>
      </c>
      <c r="AQ810" s="40">
        <f>AQ809*(1-IF(B809&gt;=in_marketplace_from,d_hz_two_wheeler*G809,0))</f>
        <v/>
      </c>
      <c r="AR810" s="46">
        <f>AQ810*IF(B810&gt;=in_marketplace_from,d_hz_two_wheeler*G810,0)</f>
        <v/>
      </c>
      <c r="AS810" s="14">
        <f>F810*AR810*in_two_wheeler_ticket*in_two_wheeler_comm*in_ins_partner_share+F810*in_two_wheeler_ticket*in_two_wheeler_comm*in_ins_partner_share*(in_two_wheeler_renew^1*SUMIFS(AR797:AR841,B797:B841,B810-12)+in_two_wheeler_renew^2*SUMIFS(AR797:AR841,B797:B841,B810-24)+in_two_wheeler_renew^3*SUMIFS(AR797:AR841,B797:B841,B810-36)+in_two_wheeler_renew^4*SUMIFS(AR797:AR841,B797:B841,B810-48))</f>
        <v/>
      </c>
      <c r="AT810" s="40">
        <f>AT809*(1-IF(B809&gt;=in_marketplace_from,d_hz_device*G809,0))</f>
        <v/>
      </c>
      <c r="AU810" s="14">
        <f>F810*AT810*IF(B810&gt;=in_marketplace_from,d_hz_device*G810,0)*in_device_ticket*in_device_comm*in_ins_partner_share</f>
        <v/>
      </c>
      <c r="AV810" s="40">
        <f>AV809*(1-IF(B809&gt;=in_marketplace_from,d_hz_shop*G809,0))</f>
        <v/>
      </c>
      <c r="AW810" s="46">
        <f>AV810*IF(B810&gt;=in_marketplace_from,d_hz_shop*G810,0)</f>
        <v/>
      </c>
      <c r="AX810" s="14">
        <f>F810*AW810*in_shop_ticket*in_shop_comm*in_ins_partner_share+F810*in_shop_ticket*in_shop_renew_comm*in_ins_partner_share*(in_shop_renew^1*SUMIFS(AW797:AW841,B797:B841,B810-12)+in_shop_renew^2*SUMIFS(AW797:AW841,B797:B841,B810-24)+in_shop_renew^3*SUMIFS(AW797:AW841,B797:B841,B810-36)+in_shop_renew^4*SUMIFS(AW797:AW841,B797:B841,B810-48))</f>
        <v/>
      </c>
      <c r="AY810" s="40">
        <f>AY809*(1-IF(B809&gt;=in_marketplace_from,d_hz_sip*G809,0))</f>
        <v/>
      </c>
      <c r="AZ810" s="40">
        <f>AZ809*d_rho_sip+AY810*IF(B810&gt;=in_marketplace_from,d_hz_sip*G810,0)</f>
        <v/>
      </c>
      <c r="BA810" s="40">
        <f>d_rho_sip*(BA809+AZ809)</f>
        <v/>
      </c>
      <c r="BB810" s="14">
        <f>F810*in_sip_ticket*(BA810+0.5*AZ810)*in_sip_comm/12</f>
        <v/>
      </c>
      <c r="BC810" s="40">
        <f>BC809*(1-IF(B809&gt;=in_marketplace_from,d_hz_choti*G809,0))</f>
        <v/>
      </c>
      <c r="BD810" s="46">
        <f>BC810*IF(B810&gt;=in_marketplace_from,d_hz_choti*G810,0)</f>
        <v/>
      </c>
      <c r="BE810" s="14">
        <f>F810*SUMIFS(BD797:BD841,B797:B841,B810-in_choti_months)*in_choti_renew*in_choti_ticket</f>
        <v/>
      </c>
      <c r="BF810" s="40">
        <f>BF809*(1-IF(B809&gt;=in_marketplace_from,d_hz_nps*G809,0))</f>
        <v/>
      </c>
      <c r="BG810" s="14">
        <f>F810*BF810*IF(B810&gt;=in_marketplace_from,d_hz_nps*G810,0)*in_nps_ticket*in_nps_comm</f>
        <v/>
      </c>
      <c r="BH810" s="40">
        <f>BH809*(1-IF(B809&gt;=in_marketplace_from,d_hz_gold*G809,0))</f>
        <v/>
      </c>
      <c r="BI810" s="40">
        <f>BI809*d_rho_gold+BH810*IF(B810&gt;=in_marketplace_from,d_hz_gold*G810,0)</f>
        <v/>
      </c>
      <c r="BJ810" s="14">
        <f>F810*BI810*in_gold_ticket*in_gold_comm</f>
        <v/>
      </c>
      <c r="BK810" s="40">
        <f>BK809*(1-IF(B809&gt;=in_marketplace_from,d_hz_fd*G809,0))</f>
        <v/>
      </c>
      <c r="BL810" s="14">
        <f>F810*BK810*IF(B810&gt;=in_marketplace_from,d_hz_fd*G810,0)*in_fd_ticket*in_fd_comm</f>
        <v/>
      </c>
      <c r="BM810" s="40">
        <f>BM809*(1-IF(B809&gt;=in_marketplace_from,d_hz_recharge*G809,0))</f>
        <v/>
      </c>
      <c r="BN810" s="40">
        <f>BN809*d_rho_recharge+BM810*IF(B810&gt;=in_marketplace_from,d_hz_recharge*G810,0)</f>
        <v/>
      </c>
      <c r="BO810" s="14">
        <f>F810*BN810*in_recharge_ticket*in_recharge_comm/12</f>
        <v/>
      </c>
      <c r="BP810" s="40">
        <f>BP809*(1-IF(B809&gt;=in_marketplace_from,d_hz_bills*G809,0))</f>
        <v/>
      </c>
      <c r="BQ810" s="40">
        <f>BQ809*d_rho_bills+BP810*IF(B810&gt;=in_marketplace_from,d_hz_bills*G810,0)</f>
        <v/>
      </c>
      <c r="BR810" s="14">
        <f>F810*BQ810*in_bills_ticket*in_bills_comm/12</f>
        <v/>
      </c>
      <c r="BS810" s="40">
        <f>BS809*(1-IF(B809&gt;=in_marketplace_from,d_hz_loan_gold*G809,0))</f>
        <v/>
      </c>
      <c r="BT810" s="14">
        <f>F810*BS810*IF(B810&gt;=in_marketplace_from,d_hz_loan_gold*G810,0)*in_loan_gold_ticket*in_loan_gold_comm</f>
        <v/>
      </c>
      <c r="BU810" s="40">
        <f>BU809*(1-IF(B809&gt;=in_marketplace_from,d_hz_loan_cd*G809,0))</f>
        <v/>
      </c>
      <c r="BV810" s="14">
        <f>F810*BU810*IF(B810&gt;=in_marketplace_from,d_hz_loan_cd*G810,0)*in_loan_cd_ticket*in_loan_cd_comm</f>
        <v/>
      </c>
      <c r="BW810" s="40">
        <f>BW809*(1-IF(B809&gt;=in_marketplace_from,d_hz_loan_vehicle*G809,0))</f>
        <v/>
      </c>
      <c r="BX810" s="14">
        <f>F810*BW810*IF(B810&gt;=in_marketplace_from,d_hz_loan_vehicle*G810,0)*in_loan_vehicle_ticket*in_loan_vehicle_comm</f>
        <v/>
      </c>
      <c r="BY810" s="40">
        <f>BY809*(1-IF(B809&gt;=in_marketplace_from,d_hz_loan_home*G809,0)*BZ809)</f>
        <v/>
      </c>
      <c r="BZ810" s="11">
        <f>MIN(in_approval_cap,in_loan_home_approval*INDEX('Age profile'!$O$2:$O$61,B810)*(1+in_approval_growth)^(D810-1))</f>
        <v/>
      </c>
      <c r="CA810" s="14">
        <f>F810*BY810*IF(B810&gt;=in_marketplace_from,d_hz_loan_home*G810,0)*BZ810*in_loan_home_ticket*in_loan_home_comm</f>
        <v/>
      </c>
      <c r="CB810" s="40">
        <f>CB809*(1-IF(B809&gt;=in_marketplace_from,d_hz_loan_lap*G809,0)*CC809)</f>
        <v/>
      </c>
      <c r="CC810" s="11">
        <f>MIN(in_approval_cap,in_loan_lap_approval*INDEX('Age profile'!$O$2:$O$61,B810)*(1+in_approval_growth)^(D810-1))</f>
        <v/>
      </c>
      <c r="CD810" s="14">
        <f>F810*CB810*IF(B810&gt;=in_marketplace_from,d_hz_loan_lap*G810,0)*CC810*in_loan_lap_ticket*in_loan_lap_comm</f>
        <v/>
      </c>
      <c r="CE810" s="14">
        <f>AA810+AB810+AC810+AD810+AG810+AJ810+AM810+AP810+AS810+AU810+AX810+BB810+BE810+BG810+BJ810+BL810+BO810+BR810+BT810+BV810+BX810+CA810+CD810</f>
        <v/>
      </c>
    </row>
    <row r="811">
      <c r="A811" s="39" t="n">
        <v>16</v>
      </c>
      <c r="B811" s="39" t="n">
        <v>15</v>
      </c>
      <c r="C811" s="39">
        <f>A811+B811-1</f>
        <v/>
      </c>
      <c r="D811" s="39">
        <f>INT((C811-1)/12)+1</f>
        <v/>
      </c>
      <c r="E811" s="44">
        <f>INDEX(Monthly!$B$2:$B$61,A811)</f>
        <v/>
      </c>
      <c r="F811" s="44">
        <f>E811*INDEX('Age profile'!$B$2:$B$61,B811)</f>
        <v/>
      </c>
      <c r="G811" s="45">
        <f>MIN(in_takeup_cap,INDEX('Age profile'!$N$2:$N$61,B811)*(1+in_takeup_growth)^(D811-1))</f>
        <v/>
      </c>
      <c r="H811" s="11">
        <f>MIN(in_approval_cap,in_approved_first*INDEX('Age profile'!$O$2:$O$61,B811)*(1+in_approval_growth)^(D811-1))</f>
        <v/>
      </c>
      <c r="I811" s="45">
        <f>G811*MIN(in_takeup_cap,INDEX('Age profile'!$O$2:$O$61,B811)*(1+in_approval_growth)^(D811-1))</f>
        <v/>
      </c>
      <c r="J811" s="40">
        <f>(J810-L810)*F811/F810</f>
        <v/>
      </c>
      <c r="K811" s="40">
        <f>(K810-M810)*F811/F810+SUMIFS(O797:O810,B797:B810,B811-1-d_T)*F811</f>
        <v/>
      </c>
      <c r="L811" s="40">
        <f>IF(B811&gt;=in_marketplace_from,J811*d_hz*G811*in_eligible*H811,0)</f>
        <v/>
      </c>
      <c r="M811" s="40">
        <f>IF(B811&gt;=in_marketplace_from,K811*d_hz*G811*in_eligible*in_approved_repeat,0)</f>
        <v/>
      </c>
      <c r="N811" s="40">
        <f>L811+M811</f>
        <v/>
      </c>
      <c r="O811" s="46">
        <f>N811/F811</f>
        <v/>
      </c>
      <c r="P811" s="40">
        <f>F811-J811-K811</f>
        <v/>
      </c>
      <c r="Q811" s="40">
        <f>IF(B811&gt;=in_marketplace_from,(J811+K811)*d_hz*G811,0)</f>
        <v/>
      </c>
      <c r="R811" s="40">
        <f>SUMIFS(N797:N841,B797:B841,"&gt;="&amp;(B811-d_T),B797:B841,"&lt;="&amp;(B811-1))</f>
        <v/>
      </c>
      <c r="S811" s="46">
        <f>(1-d_u)*S810+IF(d_T&gt;in_topup_lag,SUMIFS(O797:O841,B797:B841,B811-in_topup_lag)-d_udrop*SUMIFS(O797:O841,B797:B841,B811-d_T),0)</f>
        <v/>
      </c>
      <c r="T811" s="40">
        <f>F811*d_u*S811</f>
        <v/>
      </c>
      <c r="U811" s="9">
        <f>L811*in_ticket+M811*d_rep_ticket</f>
        <v/>
      </c>
      <c r="V811" s="9">
        <f>U811+T811*d_topup_amt</f>
        <v/>
      </c>
      <c r="W811" s="40">
        <f>N811+T811*d_topup_ratio</f>
        <v/>
      </c>
      <c r="X811" s="40">
        <f>SUMIFS(W797:W841,B797:B841,B811-in_dpd_lag)*d_cured</f>
        <v/>
      </c>
      <c r="Y811" s="40">
        <f>SUMIFS(W797:W841,B797:B841,B811-in_rec_lag)*d_recd</f>
        <v/>
      </c>
      <c r="Z811" s="40">
        <f>IF(AND(B811&gt;=in_marketplace_from,B811&lt;in_marketplace_from+in_card_months),in_card_share/in_card_months*F811*I811,IF(AND(B811&gt;=in_marketplace_from+in_card_months,B811&lt;in_marketplace_from+2*in_card_months),in_card_share*d_card_rem/in_card_months*F811*MIN(in_takeup_cap,(1+in_takeup_growth)^(D811-1))*MIN(in_takeup_cap,(1+in_approval_growth)^(D811-1)),0))</f>
        <v/>
      </c>
      <c r="AA811" s="14">
        <f>V811*in_fee*(1-in_taken_back)</f>
        <v/>
      </c>
      <c r="AB811" s="14">
        <f>SUMIFS(W797:W841,B797:B841,B811-in_dpd_lag)*d_dpd</f>
        <v/>
      </c>
      <c r="AC811" s="14">
        <f>SUMIFS(W797:W841,B797:B841,B811-in_rec_lag)*d_rec</f>
        <v/>
      </c>
      <c r="AD811" s="14">
        <f>Z811*in_card_fee</f>
        <v/>
      </c>
      <c r="AE811" s="40">
        <f>AE810*(1-IF(B810&gt;=in_marketplace_from,d_hz_hlth_small*G810,0))</f>
        <v/>
      </c>
      <c r="AF811" s="46">
        <f>AE811*IF(B811&gt;=in_marketplace_from,d_hz_hlth_small*G811,0)</f>
        <v/>
      </c>
      <c r="AG811" s="14">
        <f>F811*AF811*in_hlth_small_ticket*in_hlth_small_comm*in_ins_partner_share+F811*in_hlth_small_ticket*in_hlth_small_renew_comm*in_ins_partner_share*(in_hlth_small_renew^1*SUMIFS(AF797:AF841,B797:B841,B811-12)+in_hlth_small_renew^2*SUMIFS(AF797:AF841,B797:B841,B811-24)+in_hlth_small_renew^3*SUMIFS(AF797:AF841,B797:B841,B811-36)+in_hlth_small_renew^4*SUMIFS(AF797:AF841,B797:B841,B811-48))</f>
        <v/>
      </c>
      <c r="AH811" s="40">
        <f>AH810*(1-IF(B810&gt;=in_marketplace_from,d_hz_hlth_family*G810,0))</f>
        <v/>
      </c>
      <c r="AI811" s="46">
        <f>AH811*IF(B811&gt;=in_marketplace_from,d_hz_hlth_family*G811,0)</f>
        <v/>
      </c>
      <c r="AJ811" s="14">
        <f>F811*AI811*in_hlth_family_ticket*in_hlth_family_comm*in_ins_partner_share+F811*in_hlth_family_ticket*in_hlth_family_renew_comm*in_ins_partner_share*(in_hlth_family_renew^1*SUMIFS(AI797:AI841,B797:B841,B811-12)+in_hlth_family_renew^2*SUMIFS(AI797:AI841,B797:B841,B811-24)+in_hlth_family_renew^3*SUMIFS(AI797:AI841,B797:B841,B811-36)+in_hlth_family_renew^4*SUMIFS(AI797:AI841,B797:B841,B811-48))</f>
        <v/>
      </c>
      <c r="AK811" s="40">
        <f>AK810*(1-IF(B810&gt;=in_marketplace_from,d_hz_life_term*G810,0))</f>
        <v/>
      </c>
      <c r="AL811" s="46">
        <f>AK811*IF(B811&gt;=in_marketplace_from,d_hz_life_term*G811,0)</f>
        <v/>
      </c>
      <c r="AM811" s="14">
        <f>F811*AL811*in_life_term_ticket*in_life_term_comm*in_ins_partner_share+F811*in_life_term_ticket*in_life_term_renew_comm*in_ins_partner_share*(in_life_term_renew^1*SUMIFS(AL797:AL841,B797:B841,B811-12)+in_life_term_renew^2*SUMIFS(AL797:AL841,B797:B841,B811-24)+in_life_term_renew^3*SUMIFS(AL797:AL841,B797:B841,B811-36)+in_life_term_renew^4*SUMIFS(AL797:AL841,B797:B841,B811-48))</f>
        <v/>
      </c>
      <c r="AN811" s="40">
        <f>AN810*(1-IF(B810&gt;=in_marketplace_from,d_hz_accident*G810,0))</f>
        <v/>
      </c>
      <c r="AO811" s="46">
        <f>AN811*IF(B811&gt;=in_marketplace_from,d_hz_accident*G811,0)</f>
        <v/>
      </c>
      <c r="AP811" s="14">
        <f>F811*AO811*in_accident_ticket*in_accident_comm*in_ins_partner_share+F811*in_accident_ticket*in_accident_renew_comm*in_ins_partner_share*(in_accident_renew^1*SUMIFS(AO797:AO841,B797:B841,B811-12)+in_accident_renew^2*SUMIFS(AO797:AO841,B797:B841,B811-24)+in_accident_renew^3*SUMIFS(AO797:AO841,B797:B841,B811-36)+in_accident_renew^4*SUMIFS(AO797:AO841,B797:B841,B811-48))</f>
        <v/>
      </c>
      <c r="AQ811" s="40">
        <f>AQ810*(1-IF(B810&gt;=in_marketplace_from,d_hz_two_wheeler*G810,0))</f>
        <v/>
      </c>
      <c r="AR811" s="46">
        <f>AQ811*IF(B811&gt;=in_marketplace_from,d_hz_two_wheeler*G811,0)</f>
        <v/>
      </c>
      <c r="AS811" s="14">
        <f>F811*AR811*in_two_wheeler_ticket*in_two_wheeler_comm*in_ins_partner_share+F811*in_two_wheeler_ticket*in_two_wheeler_comm*in_ins_partner_share*(in_two_wheeler_renew^1*SUMIFS(AR797:AR841,B797:B841,B811-12)+in_two_wheeler_renew^2*SUMIFS(AR797:AR841,B797:B841,B811-24)+in_two_wheeler_renew^3*SUMIFS(AR797:AR841,B797:B841,B811-36)+in_two_wheeler_renew^4*SUMIFS(AR797:AR841,B797:B841,B811-48))</f>
        <v/>
      </c>
      <c r="AT811" s="40">
        <f>AT810*(1-IF(B810&gt;=in_marketplace_from,d_hz_device*G810,0))</f>
        <v/>
      </c>
      <c r="AU811" s="14">
        <f>F811*AT811*IF(B811&gt;=in_marketplace_from,d_hz_device*G811,0)*in_device_ticket*in_device_comm*in_ins_partner_share</f>
        <v/>
      </c>
      <c r="AV811" s="40">
        <f>AV810*(1-IF(B810&gt;=in_marketplace_from,d_hz_shop*G810,0))</f>
        <v/>
      </c>
      <c r="AW811" s="46">
        <f>AV811*IF(B811&gt;=in_marketplace_from,d_hz_shop*G811,0)</f>
        <v/>
      </c>
      <c r="AX811" s="14">
        <f>F811*AW811*in_shop_ticket*in_shop_comm*in_ins_partner_share+F811*in_shop_ticket*in_shop_renew_comm*in_ins_partner_share*(in_shop_renew^1*SUMIFS(AW797:AW841,B797:B841,B811-12)+in_shop_renew^2*SUMIFS(AW797:AW841,B797:B841,B811-24)+in_shop_renew^3*SUMIFS(AW797:AW841,B797:B841,B811-36)+in_shop_renew^4*SUMIFS(AW797:AW841,B797:B841,B811-48))</f>
        <v/>
      </c>
      <c r="AY811" s="40">
        <f>AY810*(1-IF(B810&gt;=in_marketplace_from,d_hz_sip*G810,0))</f>
        <v/>
      </c>
      <c r="AZ811" s="40">
        <f>AZ810*d_rho_sip+AY811*IF(B811&gt;=in_marketplace_from,d_hz_sip*G811,0)</f>
        <v/>
      </c>
      <c r="BA811" s="40">
        <f>d_rho_sip*(BA810+AZ810)</f>
        <v/>
      </c>
      <c r="BB811" s="14">
        <f>F811*in_sip_ticket*(BA811+0.5*AZ811)*in_sip_comm/12</f>
        <v/>
      </c>
      <c r="BC811" s="40">
        <f>BC810*(1-IF(B810&gt;=in_marketplace_from,d_hz_choti*G810,0))</f>
        <v/>
      </c>
      <c r="BD811" s="46">
        <f>BC811*IF(B811&gt;=in_marketplace_from,d_hz_choti*G811,0)</f>
        <v/>
      </c>
      <c r="BE811" s="14">
        <f>F811*SUMIFS(BD797:BD841,B797:B841,B811-in_choti_months)*in_choti_renew*in_choti_ticket</f>
        <v/>
      </c>
      <c r="BF811" s="40">
        <f>BF810*(1-IF(B810&gt;=in_marketplace_from,d_hz_nps*G810,0))</f>
        <v/>
      </c>
      <c r="BG811" s="14">
        <f>F811*BF811*IF(B811&gt;=in_marketplace_from,d_hz_nps*G811,0)*in_nps_ticket*in_nps_comm</f>
        <v/>
      </c>
      <c r="BH811" s="40">
        <f>BH810*(1-IF(B810&gt;=in_marketplace_from,d_hz_gold*G810,0))</f>
        <v/>
      </c>
      <c r="BI811" s="40">
        <f>BI810*d_rho_gold+BH811*IF(B811&gt;=in_marketplace_from,d_hz_gold*G811,0)</f>
        <v/>
      </c>
      <c r="BJ811" s="14">
        <f>F811*BI811*in_gold_ticket*in_gold_comm</f>
        <v/>
      </c>
      <c r="BK811" s="40">
        <f>BK810*(1-IF(B810&gt;=in_marketplace_from,d_hz_fd*G810,0))</f>
        <v/>
      </c>
      <c r="BL811" s="14">
        <f>F811*BK811*IF(B811&gt;=in_marketplace_from,d_hz_fd*G811,0)*in_fd_ticket*in_fd_comm</f>
        <v/>
      </c>
      <c r="BM811" s="40">
        <f>BM810*(1-IF(B810&gt;=in_marketplace_from,d_hz_recharge*G810,0))</f>
        <v/>
      </c>
      <c r="BN811" s="40">
        <f>BN810*d_rho_recharge+BM811*IF(B811&gt;=in_marketplace_from,d_hz_recharge*G811,0)</f>
        <v/>
      </c>
      <c r="BO811" s="14">
        <f>F811*BN811*in_recharge_ticket*in_recharge_comm/12</f>
        <v/>
      </c>
      <c r="BP811" s="40">
        <f>BP810*(1-IF(B810&gt;=in_marketplace_from,d_hz_bills*G810,0))</f>
        <v/>
      </c>
      <c r="BQ811" s="40">
        <f>BQ810*d_rho_bills+BP811*IF(B811&gt;=in_marketplace_from,d_hz_bills*G811,0)</f>
        <v/>
      </c>
      <c r="BR811" s="14">
        <f>F811*BQ811*in_bills_ticket*in_bills_comm/12</f>
        <v/>
      </c>
      <c r="BS811" s="40">
        <f>BS810*(1-IF(B810&gt;=in_marketplace_from,d_hz_loan_gold*G810,0))</f>
        <v/>
      </c>
      <c r="BT811" s="14">
        <f>F811*BS811*IF(B811&gt;=in_marketplace_from,d_hz_loan_gold*G811,0)*in_loan_gold_ticket*in_loan_gold_comm</f>
        <v/>
      </c>
      <c r="BU811" s="40">
        <f>BU810*(1-IF(B810&gt;=in_marketplace_from,d_hz_loan_cd*G810,0))</f>
        <v/>
      </c>
      <c r="BV811" s="14">
        <f>F811*BU811*IF(B811&gt;=in_marketplace_from,d_hz_loan_cd*G811,0)*in_loan_cd_ticket*in_loan_cd_comm</f>
        <v/>
      </c>
      <c r="BW811" s="40">
        <f>BW810*(1-IF(B810&gt;=in_marketplace_from,d_hz_loan_vehicle*G810,0))</f>
        <v/>
      </c>
      <c r="BX811" s="14">
        <f>F811*BW811*IF(B811&gt;=in_marketplace_from,d_hz_loan_vehicle*G811,0)*in_loan_vehicle_ticket*in_loan_vehicle_comm</f>
        <v/>
      </c>
      <c r="BY811" s="40">
        <f>BY810*(1-IF(B810&gt;=in_marketplace_from,d_hz_loan_home*G810,0)*BZ810)</f>
        <v/>
      </c>
      <c r="BZ811" s="11">
        <f>MIN(in_approval_cap,in_loan_home_approval*INDEX('Age profile'!$O$2:$O$61,B811)*(1+in_approval_growth)^(D811-1))</f>
        <v/>
      </c>
      <c r="CA811" s="14">
        <f>F811*BY811*IF(B811&gt;=in_marketplace_from,d_hz_loan_home*G811,0)*BZ811*in_loan_home_ticket*in_loan_home_comm</f>
        <v/>
      </c>
      <c r="CB811" s="40">
        <f>CB810*(1-IF(B810&gt;=in_marketplace_from,d_hz_loan_lap*G810,0)*CC810)</f>
        <v/>
      </c>
      <c r="CC811" s="11">
        <f>MIN(in_approval_cap,in_loan_lap_approval*INDEX('Age profile'!$O$2:$O$61,B811)*(1+in_approval_growth)^(D811-1))</f>
        <v/>
      </c>
      <c r="CD811" s="14">
        <f>F811*CB811*IF(B811&gt;=in_marketplace_from,d_hz_loan_lap*G811,0)*CC811*in_loan_lap_ticket*in_loan_lap_comm</f>
        <v/>
      </c>
      <c r="CE811" s="14">
        <f>AA811+AB811+AC811+AD811+AG811+AJ811+AM811+AP811+AS811+AU811+AX811+BB811+BE811+BG811+BJ811+BL811+BO811+BR811+BT811+BV811+BX811+CA811+CD811</f>
        <v/>
      </c>
    </row>
    <row r="812">
      <c r="A812" s="39" t="n">
        <v>16</v>
      </c>
      <c r="B812" s="39" t="n">
        <v>16</v>
      </c>
      <c r="C812" s="39">
        <f>A812+B812-1</f>
        <v/>
      </c>
      <c r="D812" s="39">
        <f>INT((C812-1)/12)+1</f>
        <v/>
      </c>
      <c r="E812" s="44">
        <f>INDEX(Monthly!$B$2:$B$61,A812)</f>
        <v/>
      </c>
      <c r="F812" s="44">
        <f>E812*INDEX('Age profile'!$B$2:$B$61,B812)</f>
        <v/>
      </c>
      <c r="G812" s="45">
        <f>MIN(in_takeup_cap,INDEX('Age profile'!$N$2:$N$61,B812)*(1+in_takeup_growth)^(D812-1))</f>
        <v/>
      </c>
      <c r="H812" s="11">
        <f>MIN(in_approval_cap,in_approved_first*INDEX('Age profile'!$O$2:$O$61,B812)*(1+in_approval_growth)^(D812-1))</f>
        <v/>
      </c>
      <c r="I812" s="45">
        <f>G812*MIN(in_takeup_cap,INDEX('Age profile'!$O$2:$O$61,B812)*(1+in_approval_growth)^(D812-1))</f>
        <v/>
      </c>
      <c r="J812" s="40">
        <f>(J811-L811)*F812/F811</f>
        <v/>
      </c>
      <c r="K812" s="40">
        <f>(K811-M811)*F812/F811+SUMIFS(O797:O811,B797:B811,B812-1-d_T)*F812</f>
        <v/>
      </c>
      <c r="L812" s="40">
        <f>IF(B812&gt;=in_marketplace_from,J812*d_hz*G812*in_eligible*H812,0)</f>
        <v/>
      </c>
      <c r="M812" s="40">
        <f>IF(B812&gt;=in_marketplace_from,K812*d_hz*G812*in_eligible*in_approved_repeat,0)</f>
        <v/>
      </c>
      <c r="N812" s="40">
        <f>L812+M812</f>
        <v/>
      </c>
      <c r="O812" s="46">
        <f>N812/F812</f>
        <v/>
      </c>
      <c r="P812" s="40">
        <f>F812-J812-K812</f>
        <v/>
      </c>
      <c r="Q812" s="40">
        <f>IF(B812&gt;=in_marketplace_from,(J812+K812)*d_hz*G812,0)</f>
        <v/>
      </c>
      <c r="R812" s="40">
        <f>SUMIFS(N797:N841,B797:B841,"&gt;="&amp;(B812-d_T),B797:B841,"&lt;="&amp;(B812-1))</f>
        <v/>
      </c>
      <c r="S812" s="46">
        <f>(1-d_u)*S811+IF(d_T&gt;in_topup_lag,SUMIFS(O797:O841,B797:B841,B812-in_topup_lag)-d_udrop*SUMIFS(O797:O841,B797:B841,B812-d_T),0)</f>
        <v/>
      </c>
      <c r="T812" s="40">
        <f>F812*d_u*S812</f>
        <v/>
      </c>
      <c r="U812" s="9">
        <f>L812*in_ticket+M812*d_rep_ticket</f>
        <v/>
      </c>
      <c r="V812" s="9">
        <f>U812+T812*d_topup_amt</f>
        <v/>
      </c>
      <c r="W812" s="40">
        <f>N812+T812*d_topup_ratio</f>
        <v/>
      </c>
      <c r="X812" s="40">
        <f>SUMIFS(W797:W841,B797:B841,B812-in_dpd_lag)*d_cured</f>
        <v/>
      </c>
      <c r="Y812" s="40">
        <f>SUMIFS(W797:W841,B797:B841,B812-in_rec_lag)*d_recd</f>
        <v/>
      </c>
      <c r="Z812" s="40">
        <f>IF(AND(B812&gt;=in_marketplace_from,B812&lt;in_marketplace_from+in_card_months),in_card_share/in_card_months*F812*I812,IF(AND(B812&gt;=in_marketplace_from+in_card_months,B812&lt;in_marketplace_from+2*in_card_months),in_card_share*d_card_rem/in_card_months*F812*MIN(in_takeup_cap,(1+in_takeup_growth)^(D812-1))*MIN(in_takeup_cap,(1+in_approval_growth)^(D812-1)),0))</f>
        <v/>
      </c>
      <c r="AA812" s="14">
        <f>V812*in_fee*(1-in_taken_back)</f>
        <v/>
      </c>
      <c r="AB812" s="14">
        <f>SUMIFS(W797:W841,B797:B841,B812-in_dpd_lag)*d_dpd</f>
        <v/>
      </c>
      <c r="AC812" s="14">
        <f>SUMIFS(W797:W841,B797:B841,B812-in_rec_lag)*d_rec</f>
        <v/>
      </c>
      <c r="AD812" s="14">
        <f>Z812*in_card_fee</f>
        <v/>
      </c>
      <c r="AE812" s="40">
        <f>AE811*(1-IF(B811&gt;=in_marketplace_from,d_hz_hlth_small*G811,0))</f>
        <v/>
      </c>
      <c r="AF812" s="46">
        <f>AE812*IF(B812&gt;=in_marketplace_from,d_hz_hlth_small*G812,0)</f>
        <v/>
      </c>
      <c r="AG812" s="14">
        <f>F812*AF812*in_hlth_small_ticket*in_hlth_small_comm*in_ins_partner_share+F812*in_hlth_small_ticket*in_hlth_small_renew_comm*in_ins_partner_share*(in_hlth_small_renew^1*SUMIFS(AF797:AF841,B797:B841,B812-12)+in_hlth_small_renew^2*SUMIFS(AF797:AF841,B797:B841,B812-24)+in_hlth_small_renew^3*SUMIFS(AF797:AF841,B797:B841,B812-36)+in_hlth_small_renew^4*SUMIFS(AF797:AF841,B797:B841,B812-48))</f>
        <v/>
      </c>
      <c r="AH812" s="40">
        <f>AH811*(1-IF(B811&gt;=in_marketplace_from,d_hz_hlth_family*G811,0))</f>
        <v/>
      </c>
      <c r="AI812" s="46">
        <f>AH812*IF(B812&gt;=in_marketplace_from,d_hz_hlth_family*G812,0)</f>
        <v/>
      </c>
      <c r="AJ812" s="14">
        <f>F812*AI812*in_hlth_family_ticket*in_hlth_family_comm*in_ins_partner_share+F812*in_hlth_family_ticket*in_hlth_family_renew_comm*in_ins_partner_share*(in_hlth_family_renew^1*SUMIFS(AI797:AI841,B797:B841,B812-12)+in_hlth_family_renew^2*SUMIFS(AI797:AI841,B797:B841,B812-24)+in_hlth_family_renew^3*SUMIFS(AI797:AI841,B797:B841,B812-36)+in_hlth_family_renew^4*SUMIFS(AI797:AI841,B797:B841,B812-48))</f>
        <v/>
      </c>
      <c r="AK812" s="40">
        <f>AK811*(1-IF(B811&gt;=in_marketplace_from,d_hz_life_term*G811,0))</f>
        <v/>
      </c>
      <c r="AL812" s="46">
        <f>AK812*IF(B812&gt;=in_marketplace_from,d_hz_life_term*G812,0)</f>
        <v/>
      </c>
      <c r="AM812" s="14">
        <f>F812*AL812*in_life_term_ticket*in_life_term_comm*in_ins_partner_share+F812*in_life_term_ticket*in_life_term_renew_comm*in_ins_partner_share*(in_life_term_renew^1*SUMIFS(AL797:AL841,B797:B841,B812-12)+in_life_term_renew^2*SUMIFS(AL797:AL841,B797:B841,B812-24)+in_life_term_renew^3*SUMIFS(AL797:AL841,B797:B841,B812-36)+in_life_term_renew^4*SUMIFS(AL797:AL841,B797:B841,B812-48))</f>
        <v/>
      </c>
      <c r="AN812" s="40">
        <f>AN811*(1-IF(B811&gt;=in_marketplace_from,d_hz_accident*G811,0))</f>
        <v/>
      </c>
      <c r="AO812" s="46">
        <f>AN812*IF(B812&gt;=in_marketplace_from,d_hz_accident*G812,0)</f>
        <v/>
      </c>
      <c r="AP812" s="14">
        <f>F812*AO812*in_accident_ticket*in_accident_comm*in_ins_partner_share+F812*in_accident_ticket*in_accident_renew_comm*in_ins_partner_share*(in_accident_renew^1*SUMIFS(AO797:AO841,B797:B841,B812-12)+in_accident_renew^2*SUMIFS(AO797:AO841,B797:B841,B812-24)+in_accident_renew^3*SUMIFS(AO797:AO841,B797:B841,B812-36)+in_accident_renew^4*SUMIFS(AO797:AO841,B797:B841,B812-48))</f>
        <v/>
      </c>
      <c r="AQ812" s="40">
        <f>AQ811*(1-IF(B811&gt;=in_marketplace_from,d_hz_two_wheeler*G811,0))</f>
        <v/>
      </c>
      <c r="AR812" s="46">
        <f>AQ812*IF(B812&gt;=in_marketplace_from,d_hz_two_wheeler*G812,0)</f>
        <v/>
      </c>
      <c r="AS812" s="14">
        <f>F812*AR812*in_two_wheeler_ticket*in_two_wheeler_comm*in_ins_partner_share+F812*in_two_wheeler_ticket*in_two_wheeler_comm*in_ins_partner_share*(in_two_wheeler_renew^1*SUMIFS(AR797:AR841,B797:B841,B812-12)+in_two_wheeler_renew^2*SUMIFS(AR797:AR841,B797:B841,B812-24)+in_two_wheeler_renew^3*SUMIFS(AR797:AR841,B797:B841,B812-36)+in_two_wheeler_renew^4*SUMIFS(AR797:AR841,B797:B841,B812-48))</f>
        <v/>
      </c>
      <c r="AT812" s="40">
        <f>AT811*(1-IF(B811&gt;=in_marketplace_from,d_hz_device*G811,0))</f>
        <v/>
      </c>
      <c r="AU812" s="14">
        <f>F812*AT812*IF(B812&gt;=in_marketplace_from,d_hz_device*G812,0)*in_device_ticket*in_device_comm*in_ins_partner_share</f>
        <v/>
      </c>
      <c r="AV812" s="40">
        <f>AV811*(1-IF(B811&gt;=in_marketplace_from,d_hz_shop*G811,0))</f>
        <v/>
      </c>
      <c r="AW812" s="46">
        <f>AV812*IF(B812&gt;=in_marketplace_from,d_hz_shop*G812,0)</f>
        <v/>
      </c>
      <c r="AX812" s="14">
        <f>F812*AW812*in_shop_ticket*in_shop_comm*in_ins_partner_share+F812*in_shop_ticket*in_shop_renew_comm*in_ins_partner_share*(in_shop_renew^1*SUMIFS(AW797:AW841,B797:B841,B812-12)+in_shop_renew^2*SUMIFS(AW797:AW841,B797:B841,B812-24)+in_shop_renew^3*SUMIFS(AW797:AW841,B797:B841,B812-36)+in_shop_renew^4*SUMIFS(AW797:AW841,B797:B841,B812-48))</f>
        <v/>
      </c>
      <c r="AY812" s="40">
        <f>AY811*(1-IF(B811&gt;=in_marketplace_from,d_hz_sip*G811,0))</f>
        <v/>
      </c>
      <c r="AZ812" s="40">
        <f>AZ811*d_rho_sip+AY812*IF(B812&gt;=in_marketplace_from,d_hz_sip*G812,0)</f>
        <v/>
      </c>
      <c r="BA812" s="40">
        <f>d_rho_sip*(BA811+AZ811)</f>
        <v/>
      </c>
      <c r="BB812" s="14">
        <f>F812*in_sip_ticket*(BA812+0.5*AZ812)*in_sip_comm/12</f>
        <v/>
      </c>
      <c r="BC812" s="40">
        <f>BC811*(1-IF(B811&gt;=in_marketplace_from,d_hz_choti*G811,0))</f>
        <v/>
      </c>
      <c r="BD812" s="46">
        <f>BC812*IF(B812&gt;=in_marketplace_from,d_hz_choti*G812,0)</f>
        <v/>
      </c>
      <c r="BE812" s="14">
        <f>F812*SUMIFS(BD797:BD841,B797:B841,B812-in_choti_months)*in_choti_renew*in_choti_ticket</f>
        <v/>
      </c>
      <c r="BF812" s="40">
        <f>BF811*(1-IF(B811&gt;=in_marketplace_from,d_hz_nps*G811,0))</f>
        <v/>
      </c>
      <c r="BG812" s="14">
        <f>F812*BF812*IF(B812&gt;=in_marketplace_from,d_hz_nps*G812,0)*in_nps_ticket*in_nps_comm</f>
        <v/>
      </c>
      <c r="BH812" s="40">
        <f>BH811*(1-IF(B811&gt;=in_marketplace_from,d_hz_gold*G811,0))</f>
        <v/>
      </c>
      <c r="BI812" s="40">
        <f>BI811*d_rho_gold+BH812*IF(B812&gt;=in_marketplace_from,d_hz_gold*G812,0)</f>
        <v/>
      </c>
      <c r="BJ812" s="14">
        <f>F812*BI812*in_gold_ticket*in_gold_comm</f>
        <v/>
      </c>
      <c r="BK812" s="40">
        <f>BK811*(1-IF(B811&gt;=in_marketplace_from,d_hz_fd*G811,0))</f>
        <v/>
      </c>
      <c r="BL812" s="14">
        <f>F812*BK812*IF(B812&gt;=in_marketplace_from,d_hz_fd*G812,0)*in_fd_ticket*in_fd_comm</f>
        <v/>
      </c>
      <c r="BM812" s="40">
        <f>BM811*(1-IF(B811&gt;=in_marketplace_from,d_hz_recharge*G811,0))</f>
        <v/>
      </c>
      <c r="BN812" s="40">
        <f>BN811*d_rho_recharge+BM812*IF(B812&gt;=in_marketplace_from,d_hz_recharge*G812,0)</f>
        <v/>
      </c>
      <c r="BO812" s="14">
        <f>F812*BN812*in_recharge_ticket*in_recharge_comm/12</f>
        <v/>
      </c>
      <c r="BP812" s="40">
        <f>BP811*(1-IF(B811&gt;=in_marketplace_from,d_hz_bills*G811,0))</f>
        <v/>
      </c>
      <c r="BQ812" s="40">
        <f>BQ811*d_rho_bills+BP812*IF(B812&gt;=in_marketplace_from,d_hz_bills*G812,0)</f>
        <v/>
      </c>
      <c r="BR812" s="14">
        <f>F812*BQ812*in_bills_ticket*in_bills_comm/12</f>
        <v/>
      </c>
      <c r="BS812" s="40">
        <f>BS811*(1-IF(B811&gt;=in_marketplace_from,d_hz_loan_gold*G811,0))</f>
        <v/>
      </c>
      <c r="BT812" s="14">
        <f>F812*BS812*IF(B812&gt;=in_marketplace_from,d_hz_loan_gold*G812,0)*in_loan_gold_ticket*in_loan_gold_comm</f>
        <v/>
      </c>
      <c r="BU812" s="40">
        <f>BU811*(1-IF(B811&gt;=in_marketplace_from,d_hz_loan_cd*G811,0))</f>
        <v/>
      </c>
      <c r="BV812" s="14">
        <f>F812*BU812*IF(B812&gt;=in_marketplace_from,d_hz_loan_cd*G812,0)*in_loan_cd_ticket*in_loan_cd_comm</f>
        <v/>
      </c>
      <c r="BW812" s="40">
        <f>BW811*(1-IF(B811&gt;=in_marketplace_from,d_hz_loan_vehicle*G811,0))</f>
        <v/>
      </c>
      <c r="BX812" s="14">
        <f>F812*BW812*IF(B812&gt;=in_marketplace_from,d_hz_loan_vehicle*G812,0)*in_loan_vehicle_ticket*in_loan_vehicle_comm</f>
        <v/>
      </c>
      <c r="BY812" s="40">
        <f>BY811*(1-IF(B811&gt;=in_marketplace_from,d_hz_loan_home*G811,0)*BZ811)</f>
        <v/>
      </c>
      <c r="BZ812" s="11">
        <f>MIN(in_approval_cap,in_loan_home_approval*INDEX('Age profile'!$O$2:$O$61,B812)*(1+in_approval_growth)^(D812-1))</f>
        <v/>
      </c>
      <c r="CA812" s="14">
        <f>F812*BY812*IF(B812&gt;=in_marketplace_from,d_hz_loan_home*G812,0)*BZ812*in_loan_home_ticket*in_loan_home_comm</f>
        <v/>
      </c>
      <c r="CB812" s="40">
        <f>CB811*(1-IF(B811&gt;=in_marketplace_from,d_hz_loan_lap*G811,0)*CC811)</f>
        <v/>
      </c>
      <c r="CC812" s="11">
        <f>MIN(in_approval_cap,in_loan_lap_approval*INDEX('Age profile'!$O$2:$O$61,B812)*(1+in_approval_growth)^(D812-1))</f>
        <v/>
      </c>
      <c r="CD812" s="14">
        <f>F812*CB812*IF(B812&gt;=in_marketplace_from,d_hz_loan_lap*G812,0)*CC812*in_loan_lap_ticket*in_loan_lap_comm</f>
        <v/>
      </c>
      <c r="CE812" s="14">
        <f>AA812+AB812+AC812+AD812+AG812+AJ812+AM812+AP812+AS812+AU812+AX812+BB812+BE812+BG812+BJ812+BL812+BO812+BR812+BT812+BV812+BX812+CA812+CD812</f>
        <v/>
      </c>
    </row>
    <row r="813">
      <c r="A813" s="39" t="n">
        <v>16</v>
      </c>
      <c r="B813" s="39" t="n">
        <v>17</v>
      </c>
      <c r="C813" s="39">
        <f>A813+B813-1</f>
        <v/>
      </c>
      <c r="D813" s="39">
        <f>INT((C813-1)/12)+1</f>
        <v/>
      </c>
      <c r="E813" s="44">
        <f>INDEX(Monthly!$B$2:$B$61,A813)</f>
        <v/>
      </c>
      <c r="F813" s="44">
        <f>E813*INDEX('Age profile'!$B$2:$B$61,B813)</f>
        <v/>
      </c>
      <c r="G813" s="45">
        <f>MIN(in_takeup_cap,INDEX('Age profile'!$N$2:$N$61,B813)*(1+in_takeup_growth)^(D813-1))</f>
        <v/>
      </c>
      <c r="H813" s="11">
        <f>MIN(in_approval_cap,in_approved_first*INDEX('Age profile'!$O$2:$O$61,B813)*(1+in_approval_growth)^(D813-1))</f>
        <v/>
      </c>
      <c r="I813" s="45">
        <f>G813*MIN(in_takeup_cap,INDEX('Age profile'!$O$2:$O$61,B813)*(1+in_approval_growth)^(D813-1))</f>
        <v/>
      </c>
      <c r="J813" s="40">
        <f>(J812-L812)*F813/F812</f>
        <v/>
      </c>
      <c r="K813" s="40">
        <f>(K812-M812)*F813/F812+SUMIFS(O797:O812,B797:B812,B813-1-d_T)*F813</f>
        <v/>
      </c>
      <c r="L813" s="40">
        <f>IF(B813&gt;=in_marketplace_from,J813*d_hz*G813*in_eligible*H813,0)</f>
        <v/>
      </c>
      <c r="M813" s="40">
        <f>IF(B813&gt;=in_marketplace_from,K813*d_hz*G813*in_eligible*in_approved_repeat,0)</f>
        <v/>
      </c>
      <c r="N813" s="40">
        <f>L813+M813</f>
        <v/>
      </c>
      <c r="O813" s="46">
        <f>N813/F813</f>
        <v/>
      </c>
      <c r="P813" s="40">
        <f>F813-J813-K813</f>
        <v/>
      </c>
      <c r="Q813" s="40">
        <f>IF(B813&gt;=in_marketplace_from,(J813+K813)*d_hz*G813,0)</f>
        <v/>
      </c>
      <c r="R813" s="40">
        <f>SUMIFS(N797:N841,B797:B841,"&gt;="&amp;(B813-d_T),B797:B841,"&lt;="&amp;(B813-1))</f>
        <v/>
      </c>
      <c r="S813" s="46">
        <f>(1-d_u)*S812+IF(d_T&gt;in_topup_lag,SUMIFS(O797:O841,B797:B841,B813-in_topup_lag)-d_udrop*SUMIFS(O797:O841,B797:B841,B813-d_T),0)</f>
        <v/>
      </c>
      <c r="T813" s="40">
        <f>F813*d_u*S813</f>
        <v/>
      </c>
      <c r="U813" s="9">
        <f>L813*in_ticket+M813*d_rep_ticket</f>
        <v/>
      </c>
      <c r="V813" s="9">
        <f>U813+T813*d_topup_amt</f>
        <v/>
      </c>
      <c r="W813" s="40">
        <f>N813+T813*d_topup_ratio</f>
        <v/>
      </c>
      <c r="X813" s="40">
        <f>SUMIFS(W797:W841,B797:B841,B813-in_dpd_lag)*d_cured</f>
        <v/>
      </c>
      <c r="Y813" s="40">
        <f>SUMIFS(W797:W841,B797:B841,B813-in_rec_lag)*d_recd</f>
        <v/>
      </c>
      <c r="Z813" s="40">
        <f>IF(AND(B813&gt;=in_marketplace_from,B813&lt;in_marketplace_from+in_card_months),in_card_share/in_card_months*F813*I813,IF(AND(B813&gt;=in_marketplace_from+in_card_months,B813&lt;in_marketplace_from+2*in_card_months),in_card_share*d_card_rem/in_card_months*F813*MIN(in_takeup_cap,(1+in_takeup_growth)^(D813-1))*MIN(in_takeup_cap,(1+in_approval_growth)^(D813-1)),0))</f>
        <v/>
      </c>
      <c r="AA813" s="14">
        <f>V813*in_fee*(1-in_taken_back)</f>
        <v/>
      </c>
      <c r="AB813" s="14">
        <f>SUMIFS(W797:W841,B797:B841,B813-in_dpd_lag)*d_dpd</f>
        <v/>
      </c>
      <c r="AC813" s="14">
        <f>SUMIFS(W797:W841,B797:B841,B813-in_rec_lag)*d_rec</f>
        <v/>
      </c>
      <c r="AD813" s="14">
        <f>Z813*in_card_fee</f>
        <v/>
      </c>
      <c r="AE813" s="40">
        <f>AE812*(1-IF(B812&gt;=in_marketplace_from,d_hz_hlth_small*G812,0))</f>
        <v/>
      </c>
      <c r="AF813" s="46">
        <f>AE813*IF(B813&gt;=in_marketplace_from,d_hz_hlth_small*G813,0)</f>
        <v/>
      </c>
      <c r="AG813" s="14">
        <f>F813*AF813*in_hlth_small_ticket*in_hlth_small_comm*in_ins_partner_share+F813*in_hlth_small_ticket*in_hlth_small_renew_comm*in_ins_partner_share*(in_hlth_small_renew^1*SUMIFS(AF797:AF841,B797:B841,B813-12)+in_hlth_small_renew^2*SUMIFS(AF797:AF841,B797:B841,B813-24)+in_hlth_small_renew^3*SUMIFS(AF797:AF841,B797:B841,B813-36)+in_hlth_small_renew^4*SUMIFS(AF797:AF841,B797:B841,B813-48))</f>
        <v/>
      </c>
      <c r="AH813" s="40">
        <f>AH812*(1-IF(B812&gt;=in_marketplace_from,d_hz_hlth_family*G812,0))</f>
        <v/>
      </c>
      <c r="AI813" s="46">
        <f>AH813*IF(B813&gt;=in_marketplace_from,d_hz_hlth_family*G813,0)</f>
        <v/>
      </c>
      <c r="AJ813" s="14">
        <f>F813*AI813*in_hlth_family_ticket*in_hlth_family_comm*in_ins_partner_share+F813*in_hlth_family_ticket*in_hlth_family_renew_comm*in_ins_partner_share*(in_hlth_family_renew^1*SUMIFS(AI797:AI841,B797:B841,B813-12)+in_hlth_family_renew^2*SUMIFS(AI797:AI841,B797:B841,B813-24)+in_hlth_family_renew^3*SUMIFS(AI797:AI841,B797:B841,B813-36)+in_hlth_family_renew^4*SUMIFS(AI797:AI841,B797:B841,B813-48))</f>
        <v/>
      </c>
      <c r="AK813" s="40">
        <f>AK812*(1-IF(B812&gt;=in_marketplace_from,d_hz_life_term*G812,0))</f>
        <v/>
      </c>
      <c r="AL813" s="46">
        <f>AK813*IF(B813&gt;=in_marketplace_from,d_hz_life_term*G813,0)</f>
        <v/>
      </c>
      <c r="AM813" s="14">
        <f>F813*AL813*in_life_term_ticket*in_life_term_comm*in_ins_partner_share+F813*in_life_term_ticket*in_life_term_renew_comm*in_ins_partner_share*(in_life_term_renew^1*SUMIFS(AL797:AL841,B797:B841,B813-12)+in_life_term_renew^2*SUMIFS(AL797:AL841,B797:B841,B813-24)+in_life_term_renew^3*SUMIFS(AL797:AL841,B797:B841,B813-36)+in_life_term_renew^4*SUMIFS(AL797:AL841,B797:B841,B813-48))</f>
        <v/>
      </c>
      <c r="AN813" s="40">
        <f>AN812*(1-IF(B812&gt;=in_marketplace_from,d_hz_accident*G812,0))</f>
        <v/>
      </c>
      <c r="AO813" s="46">
        <f>AN813*IF(B813&gt;=in_marketplace_from,d_hz_accident*G813,0)</f>
        <v/>
      </c>
      <c r="AP813" s="14">
        <f>F813*AO813*in_accident_ticket*in_accident_comm*in_ins_partner_share+F813*in_accident_ticket*in_accident_renew_comm*in_ins_partner_share*(in_accident_renew^1*SUMIFS(AO797:AO841,B797:B841,B813-12)+in_accident_renew^2*SUMIFS(AO797:AO841,B797:B841,B813-24)+in_accident_renew^3*SUMIFS(AO797:AO841,B797:B841,B813-36)+in_accident_renew^4*SUMIFS(AO797:AO841,B797:B841,B813-48))</f>
        <v/>
      </c>
      <c r="AQ813" s="40">
        <f>AQ812*(1-IF(B812&gt;=in_marketplace_from,d_hz_two_wheeler*G812,0))</f>
        <v/>
      </c>
      <c r="AR813" s="46">
        <f>AQ813*IF(B813&gt;=in_marketplace_from,d_hz_two_wheeler*G813,0)</f>
        <v/>
      </c>
      <c r="AS813" s="14">
        <f>F813*AR813*in_two_wheeler_ticket*in_two_wheeler_comm*in_ins_partner_share+F813*in_two_wheeler_ticket*in_two_wheeler_comm*in_ins_partner_share*(in_two_wheeler_renew^1*SUMIFS(AR797:AR841,B797:B841,B813-12)+in_two_wheeler_renew^2*SUMIFS(AR797:AR841,B797:B841,B813-24)+in_two_wheeler_renew^3*SUMIFS(AR797:AR841,B797:B841,B813-36)+in_two_wheeler_renew^4*SUMIFS(AR797:AR841,B797:B841,B813-48))</f>
        <v/>
      </c>
      <c r="AT813" s="40">
        <f>AT812*(1-IF(B812&gt;=in_marketplace_from,d_hz_device*G812,0))</f>
        <v/>
      </c>
      <c r="AU813" s="14">
        <f>F813*AT813*IF(B813&gt;=in_marketplace_from,d_hz_device*G813,0)*in_device_ticket*in_device_comm*in_ins_partner_share</f>
        <v/>
      </c>
      <c r="AV813" s="40">
        <f>AV812*(1-IF(B812&gt;=in_marketplace_from,d_hz_shop*G812,0))</f>
        <v/>
      </c>
      <c r="AW813" s="46">
        <f>AV813*IF(B813&gt;=in_marketplace_from,d_hz_shop*G813,0)</f>
        <v/>
      </c>
      <c r="AX813" s="14">
        <f>F813*AW813*in_shop_ticket*in_shop_comm*in_ins_partner_share+F813*in_shop_ticket*in_shop_renew_comm*in_ins_partner_share*(in_shop_renew^1*SUMIFS(AW797:AW841,B797:B841,B813-12)+in_shop_renew^2*SUMIFS(AW797:AW841,B797:B841,B813-24)+in_shop_renew^3*SUMIFS(AW797:AW841,B797:B841,B813-36)+in_shop_renew^4*SUMIFS(AW797:AW841,B797:B841,B813-48))</f>
        <v/>
      </c>
      <c r="AY813" s="40">
        <f>AY812*(1-IF(B812&gt;=in_marketplace_from,d_hz_sip*G812,0))</f>
        <v/>
      </c>
      <c r="AZ813" s="40">
        <f>AZ812*d_rho_sip+AY813*IF(B813&gt;=in_marketplace_from,d_hz_sip*G813,0)</f>
        <v/>
      </c>
      <c r="BA813" s="40">
        <f>d_rho_sip*(BA812+AZ812)</f>
        <v/>
      </c>
      <c r="BB813" s="14">
        <f>F813*in_sip_ticket*(BA813+0.5*AZ813)*in_sip_comm/12</f>
        <v/>
      </c>
      <c r="BC813" s="40">
        <f>BC812*(1-IF(B812&gt;=in_marketplace_from,d_hz_choti*G812,0))</f>
        <v/>
      </c>
      <c r="BD813" s="46">
        <f>BC813*IF(B813&gt;=in_marketplace_from,d_hz_choti*G813,0)</f>
        <v/>
      </c>
      <c r="BE813" s="14">
        <f>F813*SUMIFS(BD797:BD841,B797:B841,B813-in_choti_months)*in_choti_renew*in_choti_ticket</f>
        <v/>
      </c>
      <c r="BF813" s="40">
        <f>BF812*(1-IF(B812&gt;=in_marketplace_from,d_hz_nps*G812,0))</f>
        <v/>
      </c>
      <c r="BG813" s="14">
        <f>F813*BF813*IF(B813&gt;=in_marketplace_from,d_hz_nps*G813,0)*in_nps_ticket*in_nps_comm</f>
        <v/>
      </c>
      <c r="BH813" s="40">
        <f>BH812*(1-IF(B812&gt;=in_marketplace_from,d_hz_gold*G812,0))</f>
        <v/>
      </c>
      <c r="BI813" s="40">
        <f>BI812*d_rho_gold+BH813*IF(B813&gt;=in_marketplace_from,d_hz_gold*G813,0)</f>
        <v/>
      </c>
      <c r="BJ813" s="14">
        <f>F813*BI813*in_gold_ticket*in_gold_comm</f>
        <v/>
      </c>
      <c r="BK813" s="40">
        <f>BK812*(1-IF(B812&gt;=in_marketplace_from,d_hz_fd*G812,0))</f>
        <v/>
      </c>
      <c r="BL813" s="14">
        <f>F813*BK813*IF(B813&gt;=in_marketplace_from,d_hz_fd*G813,0)*in_fd_ticket*in_fd_comm</f>
        <v/>
      </c>
      <c r="BM813" s="40">
        <f>BM812*(1-IF(B812&gt;=in_marketplace_from,d_hz_recharge*G812,0))</f>
        <v/>
      </c>
      <c r="BN813" s="40">
        <f>BN812*d_rho_recharge+BM813*IF(B813&gt;=in_marketplace_from,d_hz_recharge*G813,0)</f>
        <v/>
      </c>
      <c r="BO813" s="14">
        <f>F813*BN813*in_recharge_ticket*in_recharge_comm/12</f>
        <v/>
      </c>
      <c r="BP813" s="40">
        <f>BP812*(1-IF(B812&gt;=in_marketplace_from,d_hz_bills*G812,0))</f>
        <v/>
      </c>
      <c r="BQ813" s="40">
        <f>BQ812*d_rho_bills+BP813*IF(B813&gt;=in_marketplace_from,d_hz_bills*G813,0)</f>
        <v/>
      </c>
      <c r="BR813" s="14">
        <f>F813*BQ813*in_bills_ticket*in_bills_comm/12</f>
        <v/>
      </c>
      <c r="BS813" s="40">
        <f>BS812*(1-IF(B812&gt;=in_marketplace_from,d_hz_loan_gold*G812,0))</f>
        <v/>
      </c>
      <c r="BT813" s="14">
        <f>F813*BS813*IF(B813&gt;=in_marketplace_from,d_hz_loan_gold*G813,0)*in_loan_gold_ticket*in_loan_gold_comm</f>
        <v/>
      </c>
      <c r="BU813" s="40">
        <f>BU812*(1-IF(B812&gt;=in_marketplace_from,d_hz_loan_cd*G812,0))</f>
        <v/>
      </c>
      <c r="BV813" s="14">
        <f>F813*BU813*IF(B813&gt;=in_marketplace_from,d_hz_loan_cd*G813,0)*in_loan_cd_ticket*in_loan_cd_comm</f>
        <v/>
      </c>
      <c r="BW813" s="40">
        <f>BW812*(1-IF(B812&gt;=in_marketplace_from,d_hz_loan_vehicle*G812,0))</f>
        <v/>
      </c>
      <c r="BX813" s="14">
        <f>F813*BW813*IF(B813&gt;=in_marketplace_from,d_hz_loan_vehicle*G813,0)*in_loan_vehicle_ticket*in_loan_vehicle_comm</f>
        <v/>
      </c>
      <c r="BY813" s="40">
        <f>BY812*(1-IF(B812&gt;=in_marketplace_from,d_hz_loan_home*G812,0)*BZ812)</f>
        <v/>
      </c>
      <c r="BZ813" s="11">
        <f>MIN(in_approval_cap,in_loan_home_approval*INDEX('Age profile'!$O$2:$O$61,B813)*(1+in_approval_growth)^(D813-1))</f>
        <v/>
      </c>
      <c r="CA813" s="14">
        <f>F813*BY813*IF(B813&gt;=in_marketplace_from,d_hz_loan_home*G813,0)*BZ813*in_loan_home_ticket*in_loan_home_comm</f>
        <v/>
      </c>
      <c r="CB813" s="40">
        <f>CB812*(1-IF(B812&gt;=in_marketplace_from,d_hz_loan_lap*G812,0)*CC812)</f>
        <v/>
      </c>
      <c r="CC813" s="11">
        <f>MIN(in_approval_cap,in_loan_lap_approval*INDEX('Age profile'!$O$2:$O$61,B813)*(1+in_approval_growth)^(D813-1))</f>
        <v/>
      </c>
      <c r="CD813" s="14">
        <f>F813*CB813*IF(B813&gt;=in_marketplace_from,d_hz_loan_lap*G813,0)*CC813*in_loan_lap_ticket*in_loan_lap_comm</f>
        <v/>
      </c>
      <c r="CE813" s="14">
        <f>AA813+AB813+AC813+AD813+AG813+AJ813+AM813+AP813+AS813+AU813+AX813+BB813+BE813+BG813+BJ813+BL813+BO813+BR813+BT813+BV813+BX813+CA813+CD813</f>
        <v/>
      </c>
    </row>
    <row r="814">
      <c r="A814" s="39" t="n">
        <v>16</v>
      </c>
      <c r="B814" s="39" t="n">
        <v>18</v>
      </c>
      <c r="C814" s="39">
        <f>A814+B814-1</f>
        <v/>
      </c>
      <c r="D814" s="39">
        <f>INT((C814-1)/12)+1</f>
        <v/>
      </c>
      <c r="E814" s="44">
        <f>INDEX(Monthly!$B$2:$B$61,A814)</f>
        <v/>
      </c>
      <c r="F814" s="44">
        <f>E814*INDEX('Age profile'!$B$2:$B$61,B814)</f>
        <v/>
      </c>
      <c r="G814" s="45">
        <f>MIN(in_takeup_cap,INDEX('Age profile'!$N$2:$N$61,B814)*(1+in_takeup_growth)^(D814-1))</f>
        <v/>
      </c>
      <c r="H814" s="11">
        <f>MIN(in_approval_cap,in_approved_first*INDEX('Age profile'!$O$2:$O$61,B814)*(1+in_approval_growth)^(D814-1))</f>
        <v/>
      </c>
      <c r="I814" s="45">
        <f>G814*MIN(in_takeup_cap,INDEX('Age profile'!$O$2:$O$61,B814)*(1+in_approval_growth)^(D814-1))</f>
        <v/>
      </c>
      <c r="J814" s="40">
        <f>(J813-L813)*F814/F813</f>
        <v/>
      </c>
      <c r="K814" s="40">
        <f>(K813-M813)*F814/F813+SUMIFS(O797:O813,B797:B813,B814-1-d_T)*F814</f>
        <v/>
      </c>
      <c r="L814" s="40">
        <f>IF(B814&gt;=in_marketplace_from,J814*d_hz*G814*in_eligible*H814,0)</f>
        <v/>
      </c>
      <c r="M814" s="40">
        <f>IF(B814&gt;=in_marketplace_from,K814*d_hz*G814*in_eligible*in_approved_repeat,0)</f>
        <v/>
      </c>
      <c r="N814" s="40">
        <f>L814+M814</f>
        <v/>
      </c>
      <c r="O814" s="46">
        <f>N814/F814</f>
        <v/>
      </c>
      <c r="P814" s="40">
        <f>F814-J814-K814</f>
        <v/>
      </c>
      <c r="Q814" s="40">
        <f>IF(B814&gt;=in_marketplace_from,(J814+K814)*d_hz*G814,0)</f>
        <v/>
      </c>
      <c r="R814" s="40">
        <f>SUMIFS(N797:N841,B797:B841,"&gt;="&amp;(B814-d_T),B797:B841,"&lt;="&amp;(B814-1))</f>
        <v/>
      </c>
      <c r="S814" s="46">
        <f>(1-d_u)*S813+IF(d_T&gt;in_topup_lag,SUMIFS(O797:O841,B797:B841,B814-in_topup_lag)-d_udrop*SUMIFS(O797:O841,B797:B841,B814-d_T),0)</f>
        <v/>
      </c>
      <c r="T814" s="40">
        <f>F814*d_u*S814</f>
        <v/>
      </c>
      <c r="U814" s="9">
        <f>L814*in_ticket+M814*d_rep_ticket</f>
        <v/>
      </c>
      <c r="V814" s="9">
        <f>U814+T814*d_topup_amt</f>
        <v/>
      </c>
      <c r="W814" s="40">
        <f>N814+T814*d_topup_ratio</f>
        <v/>
      </c>
      <c r="X814" s="40">
        <f>SUMIFS(W797:W841,B797:B841,B814-in_dpd_lag)*d_cured</f>
        <v/>
      </c>
      <c r="Y814" s="40">
        <f>SUMIFS(W797:W841,B797:B841,B814-in_rec_lag)*d_recd</f>
        <v/>
      </c>
      <c r="Z814" s="40">
        <f>IF(AND(B814&gt;=in_marketplace_from,B814&lt;in_marketplace_from+in_card_months),in_card_share/in_card_months*F814*I814,IF(AND(B814&gt;=in_marketplace_from+in_card_months,B814&lt;in_marketplace_from+2*in_card_months),in_card_share*d_card_rem/in_card_months*F814*MIN(in_takeup_cap,(1+in_takeup_growth)^(D814-1))*MIN(in_takeup_cap,(1+in_approval_growth)^(D814-1)),0))</f>
        <v/>
      </c>
      <c r="AA814" s="14">
        <f>V814*in_fee*(1-in_taken_back)</f>
        <v/>
      </c>
      <c r="AB814" s="14">
        <f>SUMIFS(W797:W841,B797:B841,B814-in_dpd_lag)*d_dpd</f>
        <v/>
      </c>
      <c r="AC814" s="14">
        <f>SUMIFS(W797:W841,B797:B841,B814-in_rec_lag)*d_rec</f>
        <v/>
      </c>
      <c r="AD814" s="14">
        <f>Z814*in_card_fee</f>
        <v/>
      </c>
      <c r="AE814" s="40">
        <f>AE813*(1-IF(B813&gt;=in_marketplace_from,d_hz_hlth_small*G813,0))</f>
        <v/>
      </c>
      <c r="AF814" s="46">
        <f>AE814*IF(B814&gt;=in_marketplace_from,d_hz_hlth_small*G814,0)</f>
        <v/>
      </c>
      <c r="AG814" s="14">
        <f>F814*AF814*in_hlth_small_ticket*in_hlth_small_comm*in_ins_partner_share+F814*in_hlth_small_ticket*in_hlth_small_renew_comm*in_ins_partner_share*(in_hlth_small_renew^1*SUMIFS(AF797:AF841,B797:B841,B814-12)+in_hlth_small_renew^2*SUMIFS(AF797:AF841,B797:B841,B814-24)+in_hlth_small_renew^3*SUMIFS(AF797:AF841,B797:B841,B814-36)+in_hlth_small_renew^4*SUMIFS(AF797:AF841,B797:B841,B814-48))</f>
        <v/>
      </c>
      <c r="AH814" s="40">
        <f>AH813*(1-IF(B813&gt;=in_marketplace_from,d_hz_hlth_family*G813,0))</f>
        <v/>
      </c>
      <c r="AI814" s="46">
        <f>AH814*IF(B814&gt;=in_marketplace_from,d_hz_hlth_family*G814,0)</f>
        <v/>
      </c>
      <c r="AJ814" s="14">
        <f>F814*AI814*in_hlth_family_ticket*in_hlth_family_comm*in_ins_partner_share+F814*in_hlth_family_ticket*in_hlth_family_renew_comm*in_ins_partner_share*(in_hlth_family_renew^1*SUMIFS(AI797:AI841,B797:B841,B814-12)+in_hlth_family_renew^2*SUMIFS(AI797:AI841,B797:B841,B814-24)+in_hlth_family_renew^3*SUMIFS(AI797:AI841,B797:B841,B814-36)+in_hlth_family_renew^4*SUMIFS(AI797:AI841,B797:B841,B814-48))</f>
        <v/>
      </c>
      <c r="AK814" s="40">
        <f>AK813*(1-IF(B813&gt;=in_marketplace_from,d_hz_life_term*G813,0))</f>
        <v/>
      </c>
      <c r="AL814" s="46">
        <f>AK814*IF(B814&gt;=in_marketplace_from,d_hz_life_term*G814,0)</f>
        <v/>
      </c>
      <c r="AM814" s="14">
        <f>F814*AL814*in_life_term_ticket*in_life_term_comm*in_ins_partner_share+F814*in_life_term_ticket*in_life_term_renew_comm*in_ins_partner_share*(in_life_term_renew^1*SUMIFS(AL797:AL841,B797:B841,B814-12)+in_life_term_renew^2*SUMIFS(AL797:AL841,B797:B841,B814-24)+in_life_term_renew^3*SUMIFS(AL797:AL841,B797:B841,B814-36)+in_life_term_renew^4*SUMIFS(AL797:AL841,B797:B841,B814-48))</f>
        <v/>
      </c>
      <c r="AN814" s="40">
        <f>AN813*(1-IF(B813&gt;=in_marketplace_from,d_hz_accident*G813,0))</f>
        <v/>
      </c>
      <c r="AO814" s="46">
        <f>AN814*IF(B814&gt;=in_marketplace_from,d_hz_accident*G814,0)</f>
        <v/>
      </c>
      <c r="AP814" s="14">
        <f>F814*AO814*in_accident_ticket*in_accident_comm*in_ins_partner_share+F814*in_accident_ticket*in_accident_renew_comm*in_ins_partner_share*(in_accident_renew^1*SUMIFS(AO797:AO841,B797:B841,B814-12)+in_accident_renew^2*SUMIFS(AO797:AO841,B797:B841,B814-24)+in_accident_renew^3*SUMIFS(AO797:AO841,B797:B841,B814-36)+in_accident_renew^4*SUMIFS(AO797:AO841,B797:B841,B814-48))</f>
        <v/>
      </c>
      <c r="AQ814" s="40">
        <f>AQ813*(1-IF(B813&gt;=in_marketplace_from,d_hz_two_wheeler*G813,0))</f>
        <v/>
      </c>
      <c r="AR814" s="46">
        <f>AQ814*IF(B814&gt;=in_marketplace_from,d_hz_two_wheeler*G814,0)</f>
        <v/>
      </c>
      <c r="AS814" s="14">
        <f>F814*AR814*in_two_wheeler_ticket*in_two_wheeler_comm*in_ins_partner_share+F814*in_two_wheeler_ticket*in_two_wheeler_comm*in_ins_partner_share*(in_two_wheeler_renew^1*SUMIFS(AR797:AR841,B797:B841,B814-12)+in_two_wheeler_renew^2*SUMIFS(AR797:AR841,B797:B841,B814-24)+in_two_wheeler_renew^3*SUMIFS(AR797:AR841,B797:B841,B814-36)+in_two_wheeler_renew^4*SUMIFS(AR797:AR841,B797:B841,B814-48))</f>
        <v/>
      </c>
      <c r="AT814" s="40">
        <f>AT813*(1-IF(B813&gt;=in_marketplace_from,d_hz_device*G813,0))</f>
        <v/>
      </c>
      <c r="AU814" s="14">
        <f>F814*AT814*IF(B814&gt;=in_marketplace_from,d_hz_device*G814,0)*in_device_ticket*in_device_comm*in_ins_partner_share</f>
        <v/>
      </c>
      <c r="AV814" s="40">
        <f>AV813*(1-IF(B813&gt;=in_marketplace_from,d_hz_shop*G813,0))</f>
        <v/>
      </c>
      <c r="AW814" s="46">
        <f>AV814*IF(B814&gt;=in_marketplace_from,d_hz_shop*G814,0)</f>
        <v/>
      </c>
      <c r="AX814" s="14">
        <f>F814*AW814*in_shop_ticket*in_shop_comm*in_ins_partner_share+F814*in_shop_ticket*in_shop_renew_comm*in_ins_partner_share*(in_shop_renew^1*SUMIFS(AW797:AW841,B797:B841,B814-12)+in_shop_renew^2*SUMIFS(AW797:AW841,B797:B841,B814-24)+in_shop_renew^3*SUMIFS(AW797:AW841,B797:B841,B814-36)+in_shop_renew^4*SUMIFS(AW797:AW841,B797:B841,B814-48))</f>
        <v/>
      </c>
      <c r="AY814" s="40">
        <f>AY813*(1-IF(B813&gt;=in_marketplace_from,d_hz_sip*G813,0))</f>
        <v/>
      </c>
      <c r="AZ814" s="40">
        <f>AZ813*d_rho_sip+AY814*IF(B814&gt;=in_marketplace_from,d_hz_sip*G814,0)</f>
        <v/>
      </c>
      <c r="BA814" s="40">
        <f>d_rho_sip*(BA813+AZ813)</f>
        <v/>
      </c>
      <c r="BB814" s="14">
        <f>F814*in_sip_ticket*(BA814+0.5*AZ814)*in_sip_comm/12</f>
        <v/>
      </c>
      <c r="BC814" s="40">
        <f>BC813*(1-IF(B813&gt;=in_marketplace_from,d_hz_choti*G813,0))</f>
        <v/>
      </c>
      <c r="BD814" s="46">
        <f>BC814*IF(B814&gt;=in_marketplace_from,d_hz_choti*G814,0)</f>
        <v/>
      </c>
      <c r="BE814" s="14">
        <f>F814*SUMIFS(BD797:BD841,B797:B841,B814-in_choti_months)*in_choti_renew*in_choti_ticket</f>
        <v/>
      </c>
      <c r="BF814" s="40">
        <f>BF813*(1-IF(B813&gt;=in_marketplace_from,d_hz_nps*G813,0))</f>
        <v/>
      </c>
      <c r="BG814" s="14">
        <f>F814*BF814*IF(B814&gt;=in_marketplace_from,d_hz_nps*G814,0)*in_nps_ticket*in_nps_comm</f>
        <v/>
      </c>
      <c r="BH814" s="40">
        <f>BH813*(1-IF(B813&gt;=in_marketplace_from,d_hz_gold*G813,0))</f>
        <v/>
      </c>
      <c r="BI814" s="40">
        <f>BI813*d_rho_gold+BH814*IF(B814&gt;=in_marketplace_from,d_hz_gold*G814,0)</f>
        <v/>
      </c>
      <c r="BJ814" s="14">
        <f>F814*BI814*in_gold_ticket*in_gold_comm</f>
        <v/>
      </c>
      <c r="BK814" s="40">
        <f>BK813*(1-IF(B813&gt;=in_marketplace_from,d_hz_fd*G813,0))</f>
        <v/>
      </c>
      <c r="BL814" s="14">
        <f>F814*BK814*IF(B814&gt;=in_marketplace_from,d_hz_fd*G814,0)*in_fd_ticket*in_fd_comm</f>
        <v/>
      </c>
      <c r="BM814" s="40">
        <f>BM813*(1-IF(B813&gt;=in_marketplace_from,d_hz_recharge*G813,0))</f>
        <v/>
      </c>
      <c r="BN814" s="40">
        <f>BN813*d_rho_recharge+BM814*IF(B814&gt;=in_marketplace_from,d_hz_recharge*G814,0)</f>
        <v/>
      </c>
      <c r="BO814" s="14">
        <f>F814*BN814*in_recharge_ticket*in_recharge_comm/12</f>
        <v/>
      </c>
      <c r="BP814" s="40">
        <f>BP813*(1-IF(B813&gt;=in_marketplace_from,d_hz_bills*G813,0))</f>
        <v/>
      </c>
      <c r="BQ814" s="40">
        <f>BQ813*d_rho_bills+BP814*IF(B814&gt;=in_marketplace_from,d_hz_bills*G814,0)</f>
        <v/>
      </c>
      <c r="BR814" s="14">
        <f>F814*BQ814*in_bills_ticket*in_bills_comm/12</f>
        <v/>
      </c>
      <c r="BS814" s="40">
        <f>BS813*(1-IF(B813&gt;=in_marketplace_from,d_hz_loan_gold*G813,0))</f>
        <v/>
      </c>
      <c r="BT814" s="14">
        <f>F814*BS814*IF(B814&gt;=in_marketplace_from,d_hz_loan_gold*G814,0)*in_loan_gold_ticket*in_loan_gold_comm</f>
        <v/>
      </c>
      <c r="BU814" s="40">
        <f>BU813*(1-IF(B813&gt;=in_marketplace_from,d_hz_loan_cd*G813,0))</f>
        <v/>
      </c>
      <c r="BV814" s="14">
        <f>F814*BU814*IF(B814&gt;=in_marketplace_from,d_hz_loan_cd*G814,0)*in_loan_cd_ticket*in_loan_cd_comm</f>
        <v/>
      </c>
      <c r="BW814" s="40">
        <f>BW813*(1-IF(B813&gt;=in_marketplace_from,d_hz_loan_vehicle*G813,0))</f>
        <v/>
      </c>
      <c r="BX814" s="14">
        <f>F814*BW814*IF(B814&gt;=in_marketplace_from,d_hz_loan_vehicle*G814,0)*in_loan_vehicle_ticket*in_loan_vehicle_comm</f>
        <v/>
      </c>
      <c r="BY814" s="40">
        <f>BY813*(1-IF(B813&gt;=in_marketplace_from,d_hz_loan_home*G813,0)*BZ813)</f>
        <v/>
      </c>
      <c r="BZ814" s="11">
        <f>MIN(in_approval_cap,in_loan_home_approval*INDEX('Age profile'!$O$2:$O$61,B814)*(1+in_approval_growth)^(D814-1))</f>
        <v/>
      </c>
      <c r="CA814" s="14">
        <f>F814*BY814*IF(B814&gt;=in_marketplace_from,d_hz_loan_home*G814,0)*BZ814*in_loan_home_ticket*in_loan_home_comm</f>
        <v/>
      </c>
      <c r="CB814" s="40">
        <f>CB813*(1-IF(B813&gt;=in_marketplace_from,d_hz_loan_lap*G813,0)*CC813)</f>
        <v/>
      </c>
      <c r="CC814" s="11">
        <f>MIN(in_approval_cap,in_loan_lap_approval*INDEX('Age profile'!$O$2:$O$61,B814)*(1+in_approval_growth)^(D814-1))</f>
        <v/>
      </c>
      <c r="CD814" s="14">
        <f>F814*CB814*IF(B814&gt;=in_marketplace_from,d_hz_loan_lap*G814,0)*CC814*in_loan_lap_ticket*in_loan_lap_comm</f>
        <v/>
      </c>
      <c r="CE814" s="14">
        <f>AA814+AB814+AC814+AD814+AG814+AJ814+AM814+AP814+AS814+AU814+AX814+BB814+BE814+BG814+BJ814+BL814+BO814+BR814+BT814+BV814+BX814+CA814+CD814</f>
        <v/>
      </c>
    </row>
    <row r="815">
      <c r="A815" s="39" t="n">
        <v>16</v>
      </c>
      <c r="B815" s="39" t="n">
        <v>19</v>
      </c>
      <c r="C815" s="39">
        <f>A815+B815-1</f>
        <v/>
      </c>
      <c r="D815" s="39">
        <f>INT((C815-1)/12)+1</f>
        <v/>
      </c>
      <c r="E815" s="44">
        <f>INDEX(Monthly!$B$2:$B$61,A815)</f>
        <v/>
      </c>
      <c r="F815" s="44">
        <f>E815*INDEX('Age profile'!$B$2:$B$61,B815)</f>
        <v/>
      </c>
      <c r="G815" s="45">
        <f>MIN(in_takeup_cap,INDEX('Age profile'!$N$2:$N$61,B815)*(1+in_takeup_growth)^(D815-1))</f>
        <v/>
      </c>
      <c r="H815" s="11">
        <f>MIN(in_approval_cap,in_approved_first*INDEX('Age profile'!$O$2:$O$61,B815)*(1+in_approval_growth)^(D815-1))</f>
        <v/>
      </c>
      <c r="I815" s="45">
        <f>G815*MIN(in_takeup_cap,INDEX('Age profile'!$O$2:$O$61,B815)*(1+in_approval_growth)^(D815-1))</f>
        <v/>
      </c>
      <c r="J815" s="40">
        <f>(J814-L814)*F815/F814</f>
        <v/>
      </c>
      <c r="K815" s="40">
        <f>(K814-M814)*F815/F814+SUMIFS(O797:O814,B797:B814,B815-1-d_T)*F815</f>
        <v/>
      </c>
      <c r="L815" s="40">
        <f>IF(B815&gt;=in_marketplace_from,J815*d_hz*G815*in_eligible*H815,0)</f>
        <v/>
      </c>
      <c r="M815" s="40">
        <f>IF(B815&gt;=in_marketplace_from,K815*d_hz*G815*in_eligible*in_approved_repeat,0)</f>
        <v/>
      </c>
      <c r="N815" s="40">
        <f>L815+M815</f>
        <v/>
      </c>
      <c r="O815" s="46">
        <f>N815/F815</f>
        <v/>
      </c>
      <c r="P815" s="40">
        <f>F815-J815-K815</f>
        <v/>
      </c>
      <c r="Q815" s="40">
        <f>IF(B815&gt;=in_marketplace_from,(J815+K815)*d_hz*G815,0)</f>
        <v/>
      </c>
      <c r="R815" s="40">
        <f>SUMIFS(N797:N841,B797:B841,"&gt;="&amp;(B815-d_T),B797:B841,"&lt;="&amp;(B815-1))</f>
        <v/>
      </c>
      <c r="S815" s="46">
        <f>(1-d_u)*S814+IF(d_T&gt;in_topup_lag,SUMIFS(O797:O841,B797:B841,B815-in_topup_lag)-d_udrop*SUMIFS(O797:O841,B797:B841,B815-d_T),0)</f>
        <v/>
      </c>
      <c r="T815" s="40">
        <f>F815*d_u*S815</f>
        <v/>
      </c>
      <c r="U815" s="9">
        <f>L815*in_ticket+M815*d_rep_ticket</f>
        <v/>
      </c>
      <c r="V815" s="9">
        <f>U815+T815*d_topup_amt</f>
        <v/>
      </c>
      <c r="W815" s="40">
        <f>N815+T815*d_topup_ratio</f>
        <v/>
      </c>
      <c r="X815" s="40">
        <f>SUMIFS(W797:W841,B797:B841,B815-in_dpd_lag)*d_cured</f>
        <v/>
      </c>
      <c r="Y815" s="40">
        <f>SUMIFS(W797:W841,B797:B841,B815-in_rec_lag)*d_recd</f>
        <v/>
      </c>
      <c r="Z815" s="40">
        <f>IF(AND(B815&gt;=in_marketplace_from,B815&lt;in_marketplace_from+in_card_months),in_card_share/in_card_months*F815*I815,IF(AND(B815&gt;=in_marketplace_from+in_card_months,B815&lt;in_marketplace_from+2*in_card_months),in_card_share*d_card_rem/in_card_months*F815*MIN(in_takeup_cap,(1+in_takeup_growth)^(D815-1))*MIN(in_takeup_cap,(1+in_approval_growth)^(D815-1)),0))</f>
        <v/>
      </c>
      <c r="AA815" s="14">
        <f>V815*in_fee*(1-in_taken_back)</f>
        <v/>
      </c>
      <c r="AB815" s="14">
        <f>SUMIFS(W797:W841,B797:B841,B815-in_dpd_lag)*d_dpd</f>
        <v/>
      </c>
      <c r="AC815" s="14">
        <f>SUMIFS(W797:W841,B797:B841,B815-in_rec_lag)*d_rec</f>
        <v/>
      </c>
      <c r="AD815" s="14">
        <f>Z815*in_card_fee</f>
        <v/>
      </c>
      <c r="AE815" s="40">
        <f>AE814*(1-IF(B814&gt;=in_marketplace_from,d_hz_hlth_small*G814,0))</f>
        <v/>
      </c>
      <c r="AF815" s="46">
        <f>AE815*IF(B815&gt;=in_marketplace_from,d_hz_hlth_small*G815,0)</f>
        <v/>
      </c>
      <c r="AG815" s="14">
        <f>F815*AF815*in_hlth_small_ticket*in_hlth_small_comm*in_ins_partner_share+F815*in_hlth_small_ticket*in_hlth_small_renew_comm*in_ins_partner_share*(in_hlth_small_renew^1*SUMIFS(AF797:AF841,B797:B841,B815-12)+in_hlth_small_renew^2*SUMIFS(AF797:AF841,B797:B841,B815-24)+in_hlth_small_renew^3*SUMIFS(AF797:AF841,B797:B841,B815-36)+in_hlth_small_renew^4*SUMIFS(AF797:AF841,B797:B841,B815-48))</f>
        <v/>
      </c>
      <c r="AH815" s="40">
        <f>AH814*(1-IF(B814&gt;=in_marketplace_from,d_hz_hlth_family*G814,0))</f>
        <v/>
      </c>
      <c r="AI815" s="46">
        <f>AH815*IF(B815&gt;=in_marketplace_from,d_hz_hlth_family*G815,0)</f>
        <v/>
      </c>
      <c r="AJ815" s="14">
        <f>F815*AI815*in_hlth_family_ticket*in_hlth_family_comm*in_ins_partner_share+F815*in_hlth_family_ticket*in_hlth_family_renew_comm*in_ins_partner_share*(in_hlth_family_renew^1*SUMIFS(AI797:AI841,B797:B841,B815-12)+in_hlth_family_renew^2*SUMIFS(AI797:AI841,B797:B841,B815-24)+in_hlth_family_renew^3*SUMIFS(AI797:AI841,B797:B841,B815-36)+in_hlth_family_renew^4*SUMIFS(AI797:AI841,B797:B841,B815-48))</f>
        <v/>
      </c>
      <c r="AK815" s="40">
        <f>AK814*(1-IF(B814&gt;=in_marketplace_from,d_hz_life_term*G814,0))</f>
        <v/>
      </c>
      <c r="AL815" s="46">
        <f>AK815*IF(B815&gt;=in_marketplace_from,d_hz_life_term*G815,0)</f>
        <v/>
      </c>
      <c r="AM815" s="14">
        <f>F815*AL815*in_life_term_ticket*in_life_term_comm*in_ins_partner_share+F815*in_life_term_ticket*in_life_term_renew_comm*in_ins_partner_share*(in_life_term_renew^1*SUMIFS(AL797:AL841,B797:B841,B815-12)+in_life_term_renew^2*SUMIFS(AL797:AL841,B797:B841,B815-24)+in_life_term_renew^3*SUMIFS(AL797:AL841,B797:B841,B815-36)+in_life_term_renew^4*SUMIFS(AL797:AL841,B797:B841,B815-48))</f>
        <v/>
      </c>
      <c r="AN815" s="40">
        <f>AN814*(1-IF(B814&gt;=in_marketplace_from,d_hz_accident*G814,0))</f>
        <v/>
      </c>
      <c r="AO815" s="46">
        <f>AN815*IF(B815&gt;=in_marketplace_from,d_hz_accident*G815,0)</f>
        <v/>
      </c>
      <c r="AP815" s="14">
        <f>F815*AO815*in_accident_ticket*in_accident_comm*in_ins_partner_share+F815*in_accident_ticket*in_accident_renew_comm*in_ins_partner_share*(in_accident_renew^1*SUMIFS(AO797:AO841,B797:B841,B815-12)+in_accident_renew^2*SUMIFS(AO797:AO841,B797:B841,B815-24)+in_accident_renew^3*SUMIFS(AO797:AO841,B797:B841,B815-36)+in_accident_renew^4*SUMIFS(AO797:AO841,B797:B841,B815-48))</f>
        <v/>
      </c>
      <c r="AQ815" s="40">
        <f>AQ814*(1-IF(B814&gt;=in_marketplace_from,d_hz_two_wheeler*G814,0))</f>
        <v/>
      </c>
      <c r="AR815" s="46">
        <f>AQ815*IF(B815&gt;=in_marketplace_from,d_hz_two_wheeler*G815,0)</f>
        <v/>
      </c>
      <c r="AS815" s="14">
        <f>F815*AR815*in_two_wheeler_ticket*in_two_wheeler_comm*in_ins_partner_share+F815*in_two_wheeler_ticket*in_two_wheeler_comm*in_ins_partner_share*(in_two_wheeler_renew^1*SUMIFS(AR797:AR841,B797:B841,B815-12)+in_two_wheeler_renew^2*SUMIFS(AR797:AR841,B797:B841,B815-24)+in_two_wheeler_renew^3*SUMIFS(AR797:AR841,B797:B841,B815-36)+in_two_wheeler_renew^4*SUMIFS(AR797:AR841,B797:B841,B815-48))</f>
        <v/>
      </c>
      <c r="AT815" s="40">
        <f>AT814*(1-IF(B814&gt;=in_marketplace_from,d_hz_device*G814,0))</f>
        <v/>
      </c>
      <c r="AU815" s="14">
        <f>F815*AT815*IF(B815&gt;=in_marketplace_from,d_hz_device*G815,0)*in_device_ticket*in_device_comm*in_ins_partner_share</f>
        <v/>
      </c>
      <c r="AV815" s="40">
        <f>AV814*(1-IF(B814&gt;=in_marketplace_from,d_hz_shop*G814,0))</f>
        <v/>
      </c>
      <c r="AW815" s="46">
        <f>AV815*IF(B815&gt;=in_marketplace_from,d_hz_shop*G815,0)</f>
        <v/>
      </c>
      <c r="AX815" s="14">
        <f>F815*AW815*in_shop_ticket*in_shop_comm*in_ins_partner_share+F815*in_shop_ticket*in_shop_renew_comm*in_ins_partner_share*(in_shop_renew^1*SUMIFS(AW797:AW841,B797:B841,B815-12)+in_shop_renew^2*SUMIFS(AW797:AW841,B797:B841,B815-24)+in_shop_renew^3*SUMIFS(AW797:AW841,B797:B841,B815-36)+in_shop_renew^4*SUMIFS(AW797:AW841,B797:B841,B815-48))</f>
        <v/>
      </c>
      <c r="AY815" s="40">
        <f>AY814*(1-IF(B814&gt;=in_marketplace_from,d_hz_sip*G814,0))</f>
        <v/>
      </c>
      <c r="AZ815" s="40">
        <f>AZ814*d_rho_sip+AY815*IF(B815&gt;=in_marketplace_from,d_hz_sip*G815,0)</f>
        <v/>
      </c>
      <c r="BA815" s="40">
        <f>d_rho_sip*(BA814+AZ814)</f>
        <v/>
      </c>
      <c r="BB815" s="14">
        <f>F815*in_sip_ticket*(BA815+0.5*AZ815)*in_sip_comm/12</f>
        <v/>
      </c>
      <c r="BC815" s="40">
        <f>BC814*(1-IF(B814&gt;=in_marketplace_from,d_hz_choti*G814,0))</f>
        <v/>
      </c>
      <c r="BD815" s="46">
        <f>BC815*IF(B815&gt;=in_marketplace_from,d_hz_choti*G815,0)</f>
        <v/>
      </c>
      <c r="BE815" s="14">
        <f>F815*SUMIFS(BD797:BD841,B797:B841,B815-in_choti_months)*in_choti_renew*in_choti_ticket</f>
        <v/>
      </c>
      <c r="BF815" s="40">
        <f>BF814*(1-IF(B814&gt;=in_marketplace_from,d_hz_nps*G814,0))</f>
        <v/>
      </c>
      <c r="BG815" s="14">
        <f>F815*BF815*IF(B815&gt;=in_marketplace_from,d_hz_nps*G815,0)*in_nps_ticket*in_nps_comm</f>
        <v/>
      </c>
      <c r="BH815" s="40">
        <f>BH814*(1-IF(B814&gt;=in_marketplace_from,d_hz_gold*G814,0))</f>
        <v/>
      </c>
      <c r="BI815" s="40">
        <f>BI814*d_rho_gold+BH815*IF(B815&gt;=in_marketplace_from,d_hz_gold*G815,0)</f>
        <v/>
      </c>
      <c r="BJ815" s="14">
        <f>F815*BI815*in_gold_ticket*in_gold_comm</f>
        <v/>
      </c>
      <c r="BK815" s="40">
        <f>BK814*(1-IF(B814&gt;=in_marketplace_from,d_hz_fd*G814,0))</f>
        <v/>
      </c>
      <c r="BL815" s="14">
        <f>F815*BK815*IF(B815&gt;=in_marketplace_from,d_hz_fd*G815,0)*in_fd_ticket*in_fd_comm</f>
        <v/>
      </c>
      <c r="BM815" s="40">
        <f>BM814*(1-IF(B814&gt;=in_marketplace_from,d_hz_recharge*G814,0))</f>
        <v/>
      </c>
      <c r="BN815" s="40">
        <f>BN814*d_rho_recharge+BM815*IF(B815&gt;=in_marketplace_from,d_hz_recharge*G815,0)</f>
        <v/>
      </c>
      <c r="BO815" s="14">
        <f>F815*BN815*in_recharge_ticket*in_recharge_comm/12</f>
        <v/>
      </c>
      <c r="BP815" s="40">
        <f>BP814*(1-IF(B814&gt;=in_marketplace_from,d_hz_bills*G814,0))</f>
        <v/>
      </c>
      <c r="BQ815" s="40">
        <f>BQ814*d_rho_bills+BP815*IF(B815&gt;=in_marketplace_from,d_hz_bills*G815,0)</f>
        <v/>
      </c>
      <c r="BR815" s="14">
        <f>F815*BQ815*in_bills_ticket*in_bills_comm/12</f>
        <v/>
      </c>
      <c r="BS815" s="40">
        <f>BS814*(1-IF(B814&gt;=in_marketplace_from,d_hz_loan_gold*G814,0))</f>
        <v/>
      </c>
      <c r="BT815" s="14">
        <f>F815*BS815*IF(B815&gt;=in_marketplace_from,d_hz_loan_gold*G815,0)*in_loan_gold_ticket*in_loan_gold_comm</f>
        <v/>
      </c>
      <c r="BU815" s="40">
        <f>BU814*(1-IF(B814&gt;=in_marketplace_from,d_hz_loan_cd*G814,0))</f>
        <v/>
      </c>
      <c r="BV815" s="14">
        <f>F815*BU815*IF(B815&gt;=in_marketplace_from,d_hz_loan_cd*G815,0)*in_loan_cd_ticket*in_loan_cd_comm</f>
        <v/>
      </c>
      <c r="BW815" s="40">
        <f>BW814*(1-IF(B814&gt;=in_marketplace_from,d_hz_loan_vehicle*G814,0))</f>
        <v/>
      </c>
      <c r="BX815" s="14">
        <f>F815*BW815*IF(B815&gt;=in_marketplace_from,d_hz_loan_vehicle*G815,0)*in_loan_vehicle_ticket*in_loan_vehicle_comm</f>
        <v/>
      </c>
      <c r="BY815" s="40">
        <f>BY814*(1-IF(B814&gt;=in_marketplace_from,d_hz_loan_home*G814,0)*BZ814)</f>
        <v/>
      </c>
      <c r="BZ815" s="11">
        <f>MIN(in_approval_cap,in_loan_home_approval*INDEX('Age profile'!$O$2:$O$61,B815)*(1+in_approval_growth)^(D815-1))</f>
        <v/>
      </c>
      <c r="CA815" s="14">
        <f>F815*BY815*IF(B815&gt;=in_marketplace_from,d_hz_loan_home*G815,0)*BZ815*in_loan_home_ticket*in_loan_home_comm</f>
        <v/>
      </c>
      <c r="CB815" s="40">
        <f>CB814*(1-IF(B814&gt;=in_marketplace_from,d_hz_loan_lap*G814,0)*CC814)</f>
        <v/>
      </c>
      <c r="CC815" s="11">
        <f>MIN(in_approval_cap,in_loan_lap_approval*INDEX('Age profile'!$O$2:$O$61,B815)*(1+in_approval_growth)^(D815-1))</f>
        <v/>
      </c>
      <c r="CD815" s="14">
        <f>F815*CB815*IF(B815&gt;=in_marketplace_from,d_hz_loan_lap*G815,0)*CC815*in_loan_lap_ticket*in_loan_lap_comm</f>
        <v/>
      </c>
      <c r="CE815" s="14">
        <f>AA815+AB815+AC815+AD815+AG815+AJ815+AM815+AP815+AS815+AU815+AX815+BB815+BE815+BG815+BJ815+BL815+BO815+BR815+BT815+BV815+BX815+CA815+CD815</f>
        <v/>
      </c>
    </row>
    <row r="816">
      <c r="A816" s="39" t="n">
        <v>16</v>
      </c>
      <c r="B816" s="39" t="n">
        <v>20</v>
      </c>
      <c r="C816" s="39">
        <f>A816+B816-1</f>
        <v/>
      </c>
      <c r="D816" s="39">
        <f>INT((C816-1)/12)+1</f>
        <v/>
      </c>
      <c r="E816" s="44">
        <f>INDEX(Monthly!$B$2:$B$61,A816)</f>
        <v/>
      </c>
      <c r="F816" s="44">
        <f>E816*INDEX('Age profile'!$B$2:$B$61,B816)</f>
        <v/>
      </c>
      <c r="G816" s="45">
        <f>MIN(in_takeup_cap,INDEX('Age profile'!$N$2:$N$61,B816)*(1+in_takeup_growth)^(D816-1))</f>
        <v/>
      </c>
      <c r="H816" s="11">
        <f>MIN(in_approval_cap,in_approved_first*INDEX('Age profile'!$O$2:$O$61,B816)*(1+in_approval_growth)^(D816-1))</f>
        <v/>
      </c>
      <c r="I816" s="45">
        <f>G816*MIN(in_takeup_cap,INDEX('Age profile'!$O$2:$O$61,B816)*(1+in_approval_growth)^(D816-1))</f>
        <v/>
      </c>
      <c r="J816" s="40">
        <f>(J815-L815)*F816/F815</f>
        <v/>
      </c>
      <c r="K816" s="40">
        <f>(K815-M815)*F816/F815+SUMIFS(O797:O815,B797:B815,B816-1-d_T)*F816</f>
        <v/>
      </c>
      <c r="L816" s="40">
        <f>IF(B816&gt;=in_marketplace_from,J816*d_hz*G816*in_eligible*H816,0)</f>
        <v/>
      </c>
      <c r="M816" s="40">
        <f>IF(B816&gt;=in_marketplace_from,K816*d_hz*G816*in_eligible*in_approved_repeat,0)</f>
        <v/>
      </c>
      <c r="N816" s="40">
        <f>L816+M816</f>
        <v/>
      </c>
      <c r="O816" s="46">
        <f>N816/F816</f>
        <v/>
      </c>
      <c r="P816" s="40">
        <f>F816-J816-K816</f>
        <v/>
      </c>
      <c r="Q816" s="40">
        <f>IF(B816&gt;=in_marketplace_from,(J816+K816)*d_hz*G816,0)</f>
        <v/>
      </c>
      <c r="R816" s="40">
        <f>SUMIFS(N797:N841,B797:B841,"&gt;="&amp;(B816-d_T),B797:B841,"&lt;="&amp;(B816-1))</f>
        <v/>
      </c>
      <c r="S816" s="46">
        <f>(1-d_u)*S815+IF(d_T&gt;in_topup_lag,SUMIFS(O797:O841,B797:B841,B816-in_topup_lag)-d_udrop*SUMIFS(O797:O841,B797:B841,B816-d_T),0)</f>
        <v/>
      </c>
      <c r="T816" s="40">
        <f>F816*d_u*S816</f>
        <v/>
      </c>
      <c r="U816" s="9">
        <f>L816*in_ticket+M816*d_rep_ticket</f>
        <v/>
      </c>
      <c r="V816" s="9">
        <f>U816+T816*d_topup_amt</f>
        <v/>
      </c>
      <c r="W816" s="40">
        <f>N816+T816*d_topup_ratio</f>
        <v/>
      </c>
      <c r="X816" s="40">
        <f>SUMIFS(W797:W841,B797:B841,B816-in_dpd_lag)*d_cured</f>
        <v/>
      </c>
      <c r="Y816" s="40">
        <f>SUMIFS(W797:W841,B797:B841,B816-in_rec_lag)*d_recd</f>
        <v/>
      </c>
      <c r="Z816" s="40">
        <f>IF(AND(B816&gt;=in_marketplace_from,B816&lt;in_marketplace_from+in_card_months),in_card_share/in_card_months*F816*I816,IF(AND(B816&gt;=in_marketplace_from+in_card_months,B816&lt;in_marketplace_from+2*in_card_months),in_card_share*d_card_rem/in_card_months*F816*MIN(in_takeup_cap,(1+in_takeup_growth)^(D816-1))*MIN(in_takeup_cap,(1+in_approval_growth)^(D816-1)),0))</f>
        <v/>
      </c>
      <c r="AA816" s="14">
        <f>V816*in_fee*(1-in_taken_back)</f>
        <v/>
      </c>
      <c r="AB816" s="14">
        <f>SUMIFS(W797:W841,B797:B841,B816-in_dpd_lag)*d_dpd</f>
        <v/>
      </c>
      <c r="AC816" s="14">
        <f>SUMIFS(W797:W841,B797:B841,B816-in_rec_lag)*d_rec</f>
        <v/>
      </c>
      <c r="AD816" s="14">
        <f>Z816*in_card_fee</f>
        <v/>
      </c>
      <c r="AE816" s="40">
        <f>AE815*(1-IF(B815&gt;=in_marketplace_from,d_hz_hlth_small*G815,0))</f>
        <v/>
      </c>
      <c r="AF816" s="46">
        <f>AE816*IF(B816&gt;=in_marketplace_from,d_hz_hlth_small*G816,0)</f>
        <v/>
      </c>
      <c r="AG816" s="14">
        <f>F816*AF816*in_hlth_small_ticket*in_hlth_small_comm*in_ins_partner_share+F816*in_hlth_small_ticket*in_hlth_small_renew_comm*in_ins_partner_share*(in_hlth_small_renew^1*SUMIFS(AF797:AF841,B797:B841,B816-12)+in_hlth_small_renew^2*SUMIFS(AF797:AF841,B797:B841,B816-24)+in_hlth_small_renew^3*SUMIFS(AF797:AF841,B797:B841,B816-36)+in_hlth_small_renew^4*SUMIFS(AF797:AF841,B797:B841,B816-48))</f>
        <v/>
      </c>
      <c r="AH816" s="40">
        <f>AH815*(1-IF(B815&gt;=in_marketplace_from,d_hz_hlth_family*G815,0))</f>
        <v/>
      </c>
      <c r="AI816" s="46">
        <f>AH816*IF(B816&gt;=in_marketplace_from,d_hz_hlth_family*G816,0)</f>
        <v/>
      </c>
      <c r="AJ816" s="14">
        <f>F816*AI816*in_hlth_family_ticket*in_hlth_family_comm*in_ins_partner_share+F816*in_hlth_family_ticket*in_hlth_family_renew_comm*in_ins_partner_share*(in_hlth_family_renew^1*SUMIFS(AI797:AI841,B797:B841,B816-12)+in_hlth_family_renew^2*SUMIFS(AI797:AI841,B797:B841,B816-24)+in_hlth_family_renew^3*SUMIFS(AI797:AI841,B797:B841,B816-36)+in_hlth_family_renew^4*SUMIFS(AI797:AI841,B797:B841,B816-48))</f>
        <v/>
      </c>
      <c r="AK816" s="40">
        <f>AK815*(1-IF(B815&gt;=in_marketplace_from,d_hz_life_term*G815,0))</f>
        <v/>
      </c>
      <c r="AL816" s="46">
        <f>AK816*IF(B816&gt;=in_marketplace_from,d_hz_life_term*G816,0)</f>
        <v/>
      </c>
      <c r="AM816" s="14">
        <f>F816*AL816*in_life_term_ticket*in_life_term_comm*in_ins_partner_share+F816*in_life_term_ticket*in_life_term_renew_comm*in_ins_partner_share*(in_life_term_renew^1*SUMIFS(AL797:AL841,B797:B841,B816-12)+in_life_term_renew^2*SUMIFS(AL797:AL841,B797:B841,B816-24)+in_life_term_renew^3*SUMIFS(AL797:AL841,B797:B841,B816-36)+in_life_term_renew^4*SUMIFS(AL797:AL841,B797:B841,B816-48))</f>
        <v/>
      </c>
      <c r="AN816" s="40">
        <f>AN815*(1-IF(B815&gt;=in_marketplace_from,d_hz_accident*G815,0))</f>
        <v/>
      </c>
      <c r="AO816" s="46">
        <f>AN816*IF(B816&gt;=in_marketplace_from,d_hz_accident*G816,0)</f>
        <v/>
      </c>
      <c r="AP816" s="14">
        <f>F816*AO816*in_accident_ticket*in_accident_comm*in_ins_partner_share+F816*in_accident_ticket*in_accident_renew_comm*in_ins_partner_share*(in_accident_renew^1*SUMIFS(AO797:AO841,B797:B841,B816-12)+in_accident_renew^2*SUMIFS(AO797:AO841,B797:B841,B816-24)+in_accident_renew^3*SUMIFS(AO797:AO841,B797:B841,B816-36)+in_accident_renew^4*SUMIFS(AO797:AO841,B797:B841,B816-48))</f>
        <v/>
      </c>
      <c r="AQ816" s="40">
        <f>AQ815*(1-IF(B815&gt;=in_marketplace_from,d_hz_two_wheeler*G815,0))</f>
        <v/>
      </c>
      <c r="AR816" s="46">
        <f>AQ816*IF(B816&gt;=in_marketplace_from,d_hz_two_wheeler*G816,0)</f>
        <v/>
      </c>
      <c r="AS816" s="14">
        <f>F816*AR816*in_two_wheeler_ticket*in_two_wheeler_comm*in_ins_partner_share+F816*in_two_wheeler_ticket*in_two_wheeler_comm*in_ins_partner_share*(in_two_wheeler_renew^1*SUMIFS(AR797:AR841,B797:B841,B816-12)+in_two_wheeler_renew^2*SUMIFS(AR797:AR841,B797:B841,B816-24)+in_two_wheeler_renew^3*SUMIFS(AR797:AR841,B797:B841,B816-36)+in_two_wheeler_renew^4*SUMIFS(AR797:AR841,B797:B841,B816-48))</f>
        <v/>
      </c>
      <c r="AT816" s="40">
        <f>AT815*(1-IF(B815&gt;=in_marketplace_from,d_hz_device*G815,0))</f>
        <v/>
      </c>
      <c r="AU816" s="14">
        <f>F816*AT816*IF(B816&gt;=in_marketplace_from,d_hz_device*G816,0)*in_device_ticket*in_device_comm*in_ins_partner_share</f>
        <v/>
      </c>
      <c r="AV816" s="40">
        <f>AV815*(1-IF(B815&gt;=in_marketplace_from,d_hz_shop*G815,0))</f>
        <v/>
      </c>
      <c r="AW816" s="46">
        <f>AV816*IF(B816&gt;=in_marketplace_from,d_hz_shop*G816,0)</f>
        <v/>
      </c>
      <c r="AX816" s="14">
        <f>F816*AW816*in_shop_ticket*in_shop_comm*in_ins_partner_share+F816*in_shop_ticket*in_shop_renew_comm*in_ins_partner_share*(in_shop_renew^1*SUMIFS(AW797:AW841,B797:B841,B816-12)+in_shop_renew^2*SUMIFS(AW797:AW841,B797:B841,B816-24)+in_shop_renew^3*SUMIFS(AW797:AW841,B797:B841,B816-36)+in_shop_renew^4*SUMIFS(AW797:AW841,B797:B841,B816-48))</f>
        <v/>
      </c>
      <c r="AY816" s="40">
        <f>AY815*(1-IF(B815&gt;=in_marketplace_from,d_hz_sip*G815,0))</f>
        <v/>
      </c>
      <c r="AZ816" s="40">
        <f>AZ815*d_rho_sip+AY816*IF(B816&gt;=in_marketplace_from,d_hz_sip*G816,0)</f>
        <v/>
      </c>
      <c r="BA816" s="40">
        <f>d_rho_sip*(BA815+AZ815)</f>
        <v/>
      </c>
      <c r="BB816" s="14">
        <f>F816*in_sip_ticket*(BA816+0.5*AZ816)*in_sip_comm/12</f>
        <v/>
      </c>
      <c r="BC816" s="40">
        <f>BC815*(1-IF(B815&gt;=in_marketplace_from,d_hz_choti*G815,0))</f>
        <v/>
      </c>
      <c r="BD816" s="46">
        <f>BC816*IF(B816&gt;=in_marketplace_from,d_hz_choti*G816,0)</f>
        <v/>
      </c>
      <c r="BE816" s="14">
        <f>F816*SUMIFS(BD797:BD841,B797:B841,B816-in_choti_months)*in_choti_renew*in_choti_ticket</f>
        <v/>
      </c>
      <c r="BF816" s="40">
        <f>BF815*(1-IF(B815&gt;=in_marketplace_from,d_hz_nps*G815,0))</f>
        <v/>
      </c>
      <c r="BG816" s="14">
        <f>F816*BF816*IF(B816&gt;=in_marketplace_from,d_hz_nps*G816,0)*in_nps_ticket*in_nps_comm</f>
        <v/>
      </c>
      <c r="BH816" s="40">
        <f>BH815*(1-IF(B815&gt;=in_marketplace_from,d_hz_gold*G815,0))</f>
        <v/>
      </c>
      <c r="BI816" s="40">
        <f>BI815*d_rho_gold+BH816*IF(B816&gt;=in_marketplace_from,d_hz_gold*G816,0)</f>
        <v/>
      </c>
      <c r="BJ816" s="14">
        <f>F816*BI816*in_gold_ticket*in_gold_comm</f>
        <v/>
      </c>
      <c r="BK816" s="40">
        <f>BK815*(1-IF(B815&gt;=in_marketplace_from,d_hz_fd*G815,0))</f>
        <v/>
      </c>
      <c r="BL816" s="14">
        <f>F816*BK816*IF(B816&gt;=in_marketplace_from,d_hz_fd*G816,0)*in_fd_ticket*in_fd_comm</f>
        <v/>
      </c>
      <c r="BM816" s="40">
        <f>BM815*(1-IF(B815&gt;=in_marketplace_from,d_hz_recharge*G815,0))</f>
        <v/>
      </c>
      <c r="BN816" s="40">
        <f>BN815*d_rho_recharge+BM816*IF(B816&gt;=in_marketplace_from,d_hz_recharge*G816,0)</f>
        <v/>
      </c>
      <c r="BO816" s="14">
        <f>F816*BN816*in_recharge_ticket*in_recharge_comm/12</f>
        <v/>
      </c>
      <c r="BP816" s="40">
        <f>BP815*(1-IF(B815&gt;=in_marketplace_from,d_hz_bills*G815,0))</f>
        <v/>
      </c>
      <c r="BQ816" s="40">
        <f>BQ815*d_rho_bills+BP816*IF(B816&gt;=in_marketplace_from,d_hz_bills*G816,0)</f>
        <v/>
      </c>
      <c r="BR816" s="14">
        <f>F816*BQ816*in_bills_ticket*in_bills_comm/12</f>
        <v/>
      </c>
      <c r="BS816" s="40">
        <f>BS815*(1-IF(B815&gt;=in_marketplace_from,d_hz_loan_gold*G815,0))</f>
        <v/>
      </c>
      <c r="BT816" s="14">
        <f>F816*BS816*IF(B816&gt;=in_marketplace_from,d_hz_loan_gold*G816,0)*in_loan_gold_ticket*in_loan_gold_comm</f>
        <v/>
      </c>
      <c r="BU816" s="40">
        <f>BU815*(1-IF(B815&gt;=in_marketplace_from,d_hz_loan_cd*G815,0))</f>
        <v/>
      </c>
      <c r="BV816" s="14">
        <f>F816*BU816*IF(B816&gt;=in_marketplace_from,d_hz_loan_cd*G816,0)*in_loan_cd_ticket*in_loan_cd_comm</f>
        <v/>
      </c>
      <c r="BW816" s="40">
        <f>BW815*(1-IF(B815&gt;=in_marketplace_from,d_hz_loan_vehicle*G815,0))</f>
        <v/>
      </c>
      <c r="BX816" s="14">
        <f>F816*BW816*IF(B816&gt;=in_marketplace_from,d_hz_loan_vehicle*G816,0)*in_loan_vehicle_ticket*in_loan_vehicle_comm</f>
        <v/>
      </c>
      <c r="BY816" s="40">
        <f>BY815*(1-IF(B815&gt;=in_marketplace_from,d_hz_loan_home*G815,0)*BZ815)</f>
        <v/>
      </c>
      <c r="BZ816" s="11">
        <f>MIN(in_approval_cap,in_loan_home_approval*INDEX('Age profile'!$O$2:$O$61,B816)*(1+in_approval_growth)^(D816-1))</f>
        <v/>
      </c>
      <c r="CA816" s="14">
        <f>F816*BY816*IF(B816&gt;=in_marketplace_from,d_hz_loan_home*G816,0)*BZ816*in_loan_home_ticket*in_loan_home_comm</f>
        <v/>
      </c>
      <c r="CB816" s="40">
        <f>CB815*(1-IF(B815&gt;=in_marketplace_from,d_hz_loan_lap*G815,0)*CC815)</f>
        <v/>
      </c>
      <c r="CC816" s="11">
        <f>MIN(in_approval_cap,in_loan_lap_approval*INDEX('Age profile'!$O$2:$O$61,B816)*(1+in_approval_growth)^(D816-1))</f>
        <v/>
      </c>
      <c r="CD816" s="14">
        <f>F816*CB816*IF(B816&gt;=in_marketplace_from,d_hz_loan_lap*G816,0)*CC816*in_loan_lap_ticket*in_loan_lap_comm</f>
        <v/>
      </c>
      <c r="CE816" s="14">
        <f>AA816+AB816+AC816+AD816+AG816+AJ816+AM816+AP816+AS816+AU816+AX816+BB816+BE816+BG816+BJ816+BL816+BO816+BR816+BT816+BV816+BX816+CA816+CD816</f>
        <v/>
      </c>
    </row>
    <row r="817">
      <c r="A817" s="39" t="n">
        <v>16</v>
      </c>
      <c r="B817" s="39" t="n">
        <v>21</v>
      </c>
      <c r="C817" s="39">
        <f>A817+B817-1</f>
        <v/>
      </c>
      <c r="D817" s="39">
        <f>INT((C817-1)/12)+1</f>
        <v/>
      </c>
      <c r="E817" s="44">
        <f>INDEX(Monthly!$B$2:$B$61,A817)</f>
        <v/>
      </c>
      <c r="F817" s="44">
        <f>E817*INDEX('Age profile'!$B$2:$B$61,B817)</f>
        <v/>
      </c>
      <c r="G817" s="45">
        <f>MIN(in_takeup_cap,INDEX('Age profile'!$N$2:$N$61,B817)*(1+in_takeup_growth)^(D817-1))</f>
        <v/>
      </c>
      <c r="H817" s="11">
        <f>MIN(in_approval_cap,in_approved_first*INDEX('Age profile'!$O$2:$O$61,B817)*(1+in_approval_growth)^(D817-1))</f>
        <v/>
      </c>
      <c r="I817" s="45">
        <f>G817*MIN(in_takeup_cap,INDEX('Age profile'!$O$2:$O$61,B817)*(1+in_approval_growth)^(D817-1))</f>
        <v/>
      </c>
      <c r="J817" s="40">
        <f>(J816-L816)*F817/F816</f>
        <v/>
      </c>
      <c r="K817" s="40">
        <f>(K816-M816)*F817/F816+SUMIFS(O797:O816,B797:B816,B817-1-d_T)*F817</f>
        <v/>
      </c>
      <c r="L817" s="40">
        <f>IF(B817&gt;=in_marketplace_from,J817*d_hz*G817*in_eligible*H817,0)</f>
        <v/>
      </c>
      <c r="M817" s="40">
        <f>IF(B817&gt;=in_marketplace_from,K817*d_hz*G817*in_eligible*in_approved_repeat,0)</f>
        <v/>
      </c>
      <c r="N817" s="40">
        <f>L817+M817</f>
        <v/>
      </c>
      <c r="O817" s="46">
        <f>N817/F817</f>
        <v/>
      </c>
      <c r="P817" s="40">
        <f>F817-J817-K817</f>
        <v/>
      </c>
      <c r="Q817" s="40">
        <f>IF(B817&gt;=in_marketplace_from,(J817+K817)*d_hz*G817,0)</f>
        <v/>
      </c>
      <c r="R817" s="40">
        <f>SUMIFS(N797:N841,B797:B841,"&gt;="&amp;(B817-d_T),B797:B841,"&lt;="&amp;(B817-1))</f>
        <v/>
      </c>
      <c r="S817" s="46">
        <f>(1-d_u)*S816+IF(d_T&gt;in_topup_lag,SUMIFS(O797:O841,B797:B841,B817-in_topup_lag)-d_udrop*SUMIFS(O797:O841,B797:B841,B817-d_T),0)</f>
        <v/>
      </c>
      <c r="T817" s="40">
        <f>F817*d_u*S817</f>
        <v/>
      </c>
      <c r="U817" s="9">
        <f>L817*in_ticket+M817*d_rep_ticket</f>
        <v/>
      </c>
      <c r="V817" s="9">
        <f>U817+T817*d_topup_amt</f>
        <v/>
      </c>
      <c r="W817" s="40">
        <f>N817+T817*d_topup_ratio</f>
        <v/>
      </c>
      <c r="X817" s="40">
        <f>SUMIFS(W797:W841,B797:B841,B817-in_dpd_lag)*d_cured</f>
        <v/>
      </c>
      <c r="Y817" s="40">
        <f>SUMIFS(W797:W841,B797:B841,B817-in_rec_lag)*d_recd</f>
        <v/>
      </c>
      <c r="Z817" s="40">
        <f>IF(AND(B817&gt;=in_marketplace_from,B817&lt;in_marketplace_from+in_card_months),in_card_share/in_card_months*F817*I817,IF(AND(B817&gt;=in_marketplace_from+in_card_months,B817&lt;in_marketplace_from+2*in_card_months),in_card_share*d_card_rem/in_card_months*F817*MIN(in_takeup_cap,(1+in_takeup_growth)^(D817-1))*MIN(in_takeup_cap,(1+in_approval_growth)^(D817-1)),0))</f>
        <v/>
      </c>
      <c r="AA817" s="14">
        <f>V817*in_fee*(1-in_taken_back)</f>
        <v/>
      </c>
      <c r="AB817" s="14">
        <f>SUMIFS(W797:W841,B797:B841,B817-in_dpd_lag)*d_dpd</f>
        <v/>
      </c>
      <c r="AC817" s="14">
        <f>SUMIFS(W797:W841,B797:B841,B817-in_rec_lag)*d_rec</f>
        <v/>
      </c>
      <c r="AD817" s="14">
        <f>Z817*in_card_fee</f>
        <v/>
      </c>
      <c r="AE817" s="40">
        <f>AE816*(1-IF(B816&gt;=in_marketplace_from,d_hz_hlth_small*G816,0))</f>
        <v/>
      </c>
      <c r="AF817" s="46">
        <f>AE817*IF(B817&gt;=in_marketplace_from,d_hz_hlth_small*G817,0)</f>
        <v/>
      </c>
      <c r="AG817" s="14">
        <f>F817*AF817*in_hlth_small_ticket*in_hlth_small_comm*in_ins_partner_share+F817*in_hlth_small_ticket*in_hlth_small_renew_comm*in_ins_partner_share*(in_hlth_small_renew^1*SUMIFS(AF797:AF841,B797:B841,B817-12)+in_hlth_small_renew^2*SUMIFS(AF797:AF841,B797:B841,B817-24)+in_hlth_small_renew^3*SUMIFS(AF797:AF841,B797:B841,B817-36)+in_hlth_small_renew^4*SUMIFS(AF797:AF841,B797:B841,B817-48))</f>
        <v/>
      </c>
      <c r="AH817" s="40">
        <f>AH816*(1-IF(B816&gt;=in_marketplace_from,d_hz_hlth_family*G816,0))</f>
        <v/>
      </c>
      <c r="AI817" s="46">
        <f>AH817*IF(B817&gt;=in_marketplace_from,d_hz_hlth_family*G817,0)</f>
        <v/>
      </c>
      <c r="AJ817" s="14">
        <f>F817*AI817*in_hlth_family_ticket*in_hlth_family_comm*in_ins_partner_share+F817*in_hlth_family_ticket*in_hlth_family_renew_comm*in_ins_partner_share*(in_hlth_family_renew^1*SUMIFS(AI797:AI841,B797:B841,B817-12)+in_hlth_family_renew^2*SUMIFS(AI797:AI841,B797:B841,B817-24)+in_hlth_family_renew^3*SUMIFS(AI797:AI841,B797:B841,B817-36)+in_hlth_family_renew^4*SUMIFS(AI797:AI841,B797:B841,B817-48))</f>
        <v/>
      </c>
      <c r="AK817" s="40">
        <f>AK816*(1-IF(B816&gt;=in_marketplace_from,d_hz_life_term*G816,0))</f>
        <v/>
      </c>
      <c r="AL817" s="46">
        <f>AK817*IF(B817&gt;=in_marketplace_from,d_hz_life_term*G817,0)</f>
        <v/>
      </c>
      <c r="AM817" s="14">
        <f>F817*AL817*in_life_term_ticket*in_life_term_comm*in_ins_partner_share+F817*in_life_term_ticket*in_life_term_renew_comm*in_ins_partner_share*(in_life_term_renew^1*SUMIFS(AL797:AL841,B797:B841,B817-12)+in_life_term_renew^2*SUMIFS(AL797:AL841,B797:B841,B817-24)+in_life_term_renew^3*SUMIFS(AL797:AL841,B797:B841,B817-36)+in_life_term_renew^4*SUMIFS(AL797:AL841,B797:B841,B817-48))</f>
        <v/>
      </c>
      <c r="AN817" s="40">
        <f>AN816*(1-IF(B816&gt;=in_marketplace_from,d_hz_accident*G816,0))</f>
        <v/>
      </c>
      <c r="AO817" s="46">
        <f>AN817*IF(B817&gt;=in_marketplace_from,d_hz_accident*G817,0)</f>
        <v/>
      </c>
      <c r="AP817" s="14">
        <f>F817*AO817*in_accident_ticket*in_accident_comm*in_ins_partner_share+F817*in_accident_ticket*in_accident_renew_comm*in_ins_partner_share*(in_accident_renew^1*SUMIFS(AO797:AO841,B797:B841,B817-12)+in_accident_renew^2*SUMIFS(AO797:AO841,B797:B841,B817-24)+in_accident_renew^3*SUMIFS(AO797:AO841,B797:B841,B817-36)+in_accident_renew^4*SUMIFS(AO797:AO841,B797:B841,B817-48))</f>
        <v/>
      </c>
      <c r="AQ817" s="40">
        <f>AQ816*(1-IF(B816&gt;=in_marketplace_from,d_hz_two_wheeler*G816,0))</f>
        <v/>
      </c>
      <c r="AR817" s="46">
        <f>AQ817*IF(B817&gt;=in_marketplace_from,d_hz_two_wheeler*G817,0)</f>
        <v/>
      </c>
      <c r="AS817" s="14">
        <f>F817*AR817*in_two_wheeler_ticket*in_two_wheeler_comm*in_ins_partner_share+F817*in_two_wheeler_ticket*in_two_wheeler_comm*in_ins_partner_share*(in_two_wheeler_renew^1*SUMIFS(AR797:AR841,B797:B841,B817-12)+in_two_wheeler_renew^2*SUMIFS(AR797:AR841,B797:B841,B817-24)+in_two_wheeler_renew^3*SUMIFS(AR797:AR841,B797:B841,B817-36)+in_two_wheeler_renew^4*SUMIFS(AR797:AR841,B797:B841,B817-48))</f>
        <v/>
      </c>
      <c r="AT817" s="40">
        <f>AT816*(1-IF(B816&gt;=in_marketplace_from,d_hz_device*G816,0))</f>
        <v/>
      </c>
      <c r="AU817" s="14">
        <f>F817*AT817*IF(B817&gt;=in_marketplace_from,d_hz_device*G817,0)*in_device_ticket*in_device_comm*in_ins_partner_share</f>
        <v/>
      </c>
      <c r="AV817" s="40">
        <f>AV816*(1-IF(B816&gt;=in_marketplace_from,d_hz_shop*G816,0))</f>
        <v/>
      </c>
      <c r="AW817" s="46">
        <f>AV817*IF(B817&gt;=in_marketplace_from,d_hz_shop*G817,0)</f>
        <v/>
      </c>
      <c r="AX817" s="14">
        <f>F817*AW817*in_shop_ticket*in_shop_comm*in_ins_partner_share+F817*in_shop_ticket*in_shop_renew_comm*in_ins_partner_share*(in_shop_renew^1*SUMIFS(AW797:AW841,B797:B841,B817-12)+in_shop_renew^2*SUMIFS(AW797:AW841,B797:B841,B817-24)+in_shop_renew^3*SUMIFS(AW797:AW841,B797:B841,B817-36)+in_shop_renew^4*SUMIFS(AW797:AW841,B797:B841,B817-48))</f>
        <v/>
      </c>
      <c r="AY817" s="40">
        <f>AY816*(1-IF(B816&gt;=in_marketplace_from,d_hz_sip*G816,0))</f>
        <v/>
      </c>
      <c r="AZ817" s="40">
        <f>AZ816*d_rho_sip+AY817*IF(B817&gt;=in_marketplace_from,d_hz_sip*G817,0)</f>
        <v/>
      </c>
      <c r="BA817" s="40">
        <f>d_rho_sip*(BA816+AZ816)</f>
        <v/>
      </c>
      <c r="BB817" s="14">
        <f>F817*in_sip_ticket*(BA817+0.5*AZ817)*in_sip_comm/12</f>
        <v/>
      </c>
      <c r="BC817" s="40">
        <f>BC816*(1-IF(B816&gt;=in_marketplace_from,d_hz_choti*G816,0))</f>
        <v/>
      </c>
      <c r="BD817" s="46">
        <f>BC817*IF(B817&gt;=in_marketplace_from,d_hz_choti*G817,0)</f>
        <v/>
      </c>
      <c r="BE817" s="14">
        <f>F817*SUMIFS(BD797:BD841,B797:B841,B817-in_choti_months)*in_choti_renew*in_choti_ticket</f>
        <v/>
      </c>
      <c r="BF817" s="40">
        <f>BF816*(1-IF(B816&gt;=in_marketplace_from,d_hz_nps*G816,0))</f>
        <v/>
      </c>
      <c r="BG817" s="14">
        <f>F817*BF817*IF(B817&gt;=in_marketplace_from,d_hz_nps*G817,0)*in_nps_ticket*in_nps_comm</f>
        <v/>
      </c>
      <c r="BH817" s="40">
        <f>BH816*(1-IF(B816&gt;=in_marketplace_from,d_hz_gold*G816,0))</f>
        <v/>
      </c>
      <c r="BI817" s="40">
        <f>BI816*d_rho_gold+BH817*IF(B817&gt;=in_marketplace_from,d_hz_gold*G817,0)</f>
        <v/>
      </c>
      <c r="BJ817" s="14">
        <f>F817*BI817*in_gold_ticket*in_gold_comm</f>
        <v/>
      </c>
      <c r="BK817" s="40">
        <f>BK816*(1-IF(B816&gt;=in_marketplace_from,d_hz_fd*G816,0))</f>
        <v/>
      </c>
      <c r="BL817" s="14">
        <f>F817*BK817*IF(B817&gt;=in_marketplace_from,d_hz_fd*G817,0)*in_fd_ticket*in_fd_comm</f>
        <v/>
      </c>
      <c r="BM817" s="40">
        <f>BM816*(1-IF(B816&gt;=in_marketplace_from,d_hz_recharge*G816,0))</f>
        <v/>
      </c>
      <c r="BN817" s="40">
        <f>BN816*d_rho_recharge+BM817*IF(B817&gt;=in_marketplace_from,d_hz_recharge*G817,0)</f>
        <v/>
      </c>
      <c r="BO817" s="14">
        <f>F817*BN817*in_recharge_ticket*in_recharge_comm/12</f>
        <v/>
      </c>
      <c r="BP817" s="40">
        <f>BP816*(1-IF(B816&gt;=in_marketplace_from,d_hz_bills*G816,0))</f>
        <v/>
      </c>
      <c r="BQ817" s="40">
        <f>BQ816*d_rho_bills+BP817*IF(B817&gt;=in_marketplace_from,d_hz_bills*G817,0)</f>
        <v/>
      </c>
      <c r="BR817" s="14">
        <f>F817*BQ817*in_bills_ticket*in_bills_comm/12</f>
        <v/>
      </c>
      <c r="BS817" s="40">
        <f>BS816*(1-IF(B816&gt;=in_marketplace_from,d_hz_loan_gold*G816,0))</f>
        <v/>
      </c>
      <c r="BT817" s="14">
        <f>F817*BS817*IF(B817&gt;=in_marketplace_from,d_hz_loan_gold*G817,0)*in_loan_gold_ticket*in_loan_gold_comm</f>
        <v/>
      </c>
      <c r="BU817" s="40">
        <f>BU816*(1-IF(B816&gt;=in_marketplace_from,d_hz_loan_cd*G816,0))</f>
        <v/>
      </c>
      <c r="BV817" s="14">
        <f>F817*BU817*IF(B817&gt;=in_marketplace_from,d_hz_loan_cd*G817,0)*in_loan_cd_ticket*in_loan_cd_comm</f>
        <v/>
      </c>
      <c r="BW817" s="40">
        <f>BW816*(1-IF(B816&gt;=in_marketplace_from,d_hz_loan_vehicle*G816,0))</f>
        <v/>
      </c>
      <c r="BX817" s="14">
        <f>F817*BW817*IF(B817&gt;=in_marketplace_from,d_hz_loan_vehicle*G817,0)*in_loan_vehicle_ticket*in_loan_vehicle_comm</f>
        <v/>
      </c>
      <c r="BY817" s="40">
        <f>BY816*(1-IF(B816&gt;=in_marketplace_from,d_hz_loan_home*G816,0)*BZ816)</f>
        <v/>
      </c>
      <c r="BZ817" s="11">
        <f>MIN(in_approval_cap,in_loan_home_approval*INDEX('Age profile'!$O$2:$O$61,B817)*(1+in_approval_growth)^(D817-1))</f>
        <v/>
      </c>
      <c r="CA817" s="14">
        <f>F817*BY817*IF(B817&gt;=in_marketplace_from,d_hz_loan_home*G817,0)*BZ817*in_loan_home_ticket*in_loan_home_comm</f>
        <v/>
      </c>
      <c r="CB817" s="40">
        <f>CB816*(1-IF(B816&gt;=in_marketplace_from,d_hz_loan_lap*G816,0)*CC816)</f>
        <v/>
      </c>
      <c r="CC817" s="11">
        <f>MIN(in_approval_cap,in_loan_lap_approval*INDEX('Age profile'!$O$2:$O$61,B817)*(1+in_approval_growth)^(D817-1))</f>
        <v/>
      </c>
      <c r="CD817" s="14">
        <f>F817*CB817*IF(B817&gt;=in_marketplace_from,d_hz_loan_lap*G817,0)*CC817*in_loan_lap_ticket*in_loan_lap_comm</f>
        <v/>
      </c>
      <c r="CE817" s="14">
        <f>AA817+AB817+AC817+AD817+AG817+AJ817+AM817+AP817+AS817+AU817+AX817+BB817+BE817+BG817+BJ817+BL817+BO817+BR817+BT817+BV817+BX817+CA817+CD817</f>
        <v/>
      </c>
    </row>
    <row r="818">
      <c r="A818" s="39" t="n">
        <v>16</v>
      </c>
      <c r="B818" s="39" t="n">
        <v>22</v>
      </c>
      <c r="C818" s="39">
        <f>A818+B818-1</f>
        <v/>
      </c>
      <c r="D818" s="39">
        <f>INT((C818-1)/12)+1</f>
        <v/>
      </c>
      <c r="E818" s="44">
        <f>INDEX(Monthly!$B$2:$B$61,A818)</f>
        <v/>
      </c>
      <c r="F818" s="44">
        <f>E818*INDEX('Age profile'!$B$2:$B$61,B818)</f>
        <v/>
      </c>
      <c r="G818" s="45">
        <f>MIN(in_takeup_cap,INDEX('Age profile'!$N$2:$N$61,B818)*(1+in_takeup_growth)^(D818-1))</f>
        <v/>
      </c>
      <c r="H818" s="11">
        <f>MIN(in_approval_cap,in_approved_first*INDEX('Age profile'!$O$2:$O$61,B818)*(1+in_approval_growth)^(D818-1))</f>
        <v/>
      </c>
      <c r="I818" s="45">
        <f>G818*MIN(in_takeup_cap,INDEX('Age profile'!$O$2:$O$61,B818)*(1+in_approval_growth)^(D818-1))</f>
        <v/>
      </c>
      <c r="J818" s="40">
        <f>(J817-L817)*F818/F817</f>
        <v/>
      </c>
      <c r="K818" s="40">
        <f>(K817-M817)*F818/F817+SUMIFS(O797:O817,B797:B817,B818-1-d_T)*F818</f>
        <v/>
      </c>
      <c r="L818" s="40">
        <f>IF(B818&gt;=in_marketplace_from,J818*d_hz*G818*in_eligible*H818,0)</f>
        <v/>
      </c>
      <c r="M818" s="40">
        <f>IF(B818&gt;=in_marketplace_from,K818*d_hz*G818*in_eligible*in_approved_repeat,0)</f>
        <v/>
      </c>
      <c r="N818" s="40">
        <f>L818+M818</f>
        <v/>
      </c>
      <c r="O818" s="46">
        <f>N818/F818</f>
        <v/>
      </c>
      <c r="P818" s="40">
        <f>F818-J818-K818</f>
        <v/>
      </c>
      <c r="Q818" s="40">
        <f>IF(B818&gt;=in_marketplace_from,(J818+K818)*d_hz*G818,0)</f>
        <v/>
      </c>
      <c r="R818" s="40">
        <f>SUMIFS(N797:N841,B797:B841,"&gt;="&amp;(B818-d_T),B797:B841,"&lt;="&amp;(B818-1))</f>
        <v/>
      </c>
      <c r="S818" s="46">
        <f>(1-d_u)*S817+IF(d_T&gt;in_topup_lag,SUMIFS(O797:O841,B797:B841,B818-in_topup_lag)-d_udrop*SUMIFS(O797:O841,B797:B841,B818-d_T),0)</f>
        <v/>
      </c>
      <c r="T818" s="40">
        <f>F818*d_u*S818</f>
        <v/>
      </c>
      <c r="U818" s="9">
        <f>L818*in_ticket+M818*d_rep_ticket</f>
        <v/>
      </c>
      <c r="V818" s="9">
        <f>U818+T818*d_topup_amt</f>
        <v/>
      </c>
      <c r="W818" s="40">
        <f>N818+T818*d_topup_ratio</f>
        <v/>
      </c>
      <c r="X818" s="40">
        <f>SUMIFS(W797:W841,B797:B841,B818-in_dpd_lag)*d_cured</f>
        <v/>
      </c>
      <c r="Y818" s="40">
        <f>SUMIFS(W797:W841,B797:B841,B818-in_rec_lag)*d_recd</f>
        <v/>
      </c>
      <c r="Z818" s="40">
        <f>IF(AND(B818&gt;=in_marketplace_from,B818&lt;in_marketplace_from+in_card_months),in_card_share/in_card_months*F818*I818,IF(AND(B818&gt;=in_marketplace_from+in_card_months,B818&lt;in_marketplace_from+2*in_card_months),in_card_share*d_card_rem/in_card_months*F818*MIN(in_takeup_cap,(1+in_takeup_growth)^(D818-1))*MIN(in_takeup_cap,(1+in_approval_growth)^(D818-1)),0))</f>
        <v/>
      </c>
      <c r="AA818" s="14">
        <f>V818*in_fee*(1-in_taken_back)</f>
        <v/>
      </c>
      <c r="AB818" s="14">
        <f>SUMIFS(W797:W841,B797:B841,B818-in_dpd_lag)*d_dpd</f>
        <v/>
      </c>
      <c r="AC818" s="14">
        <f>SUMIFS(W797:W841,B797:B841,B818-in_rec_lag)*d_rec</f>
        <v/>
      </c>
      <c r="AD818" s="14">
        <f>Z818*in_card_fee</f>
        <v/>
      </c>
      <c r="AE818" s="40">
        <f>AE817*(1-IF(B817&gt;=in_marketplace_from,d_hz_hlth_small*G817,0))</f>
        <v/>
      </c>
      <c r="AF818" s="46">
        <f>AE818*IF(B818&gt;=in_marketplace_from,d_hz_hlth_small*G818,0)</f>
        <v/>
      </c>
      <c r="AG818" s="14">
        <f>F818*AF818*in_hlth_small_ticket*in_hlth_small_comm*in_ins_partner_share+F818*in_hlth_small_ticket*in_hlth_small_renew_comm*in_ins_partner_share*(in_hlth_small_renew^1*SUMIFS(AF797:AF841,B797:B841,B818-12)+in_hlth_small_renew^2*SUMIFS(AF797:AF841,B797:B841,B818-24)+in_hlth_small_renew^3*SUMIFS(AF797:AF841,B797:B841,B818-36)+in_hlth_small_renew^4*SUMIFS(AF797:AF841,B797:B841,B818-48))</f>
        <v/>
      </c>
      <c r="AH818" s="40">
        <f>AH817*(1-IF(B817&gt;=in_marketplace_from,d_hz_hlth_family*G817,0))</f>
        <v/>
      </c>
      <c r="AI818" s="46">
        <f>AH818*IF(B818&gt;=in_marketplace_from,d_hz_hlth_family*G818,0)</f>
        <v/>
      </c>
      <c r="AJ818" s="14">
        <f>F818*AI818*in_hlth_family_ticket*in_hlth_family_comm*in_ins_partner_share+F818*in_hlth_family_ticket*in_hlth_family_renew_comm*in_ins_partner_share*(in_hlth_family_renew^1*SUMIFS(AI797:AI841,B797:B841,B818-12)+in_hlth_family_renew^2*SUMIFS(AI797:AI841,B797:B841,B818-24)+in_hlth_family_renew^3*SUMIFS(AI797:AI841,B797:B841,B818-36)+in_hlth_family_renew^4*SUMIFS(AI797:AI841,B797:B841,B818-48))</f>
        <v/>
      </c>
      <c r="AK818" s="40">
        <f>AK817*(1-IF(B817&gt;=in_marketplace_from,d_hz_life_term*G817,0))</f>
        <v/>
      </c>
      <c r="AL818" s="46">
        <f>AK818*IF(B818&gt;=in_marketplace_from,d_hz_life_term*G818,0)</f>
        <v/>
      </c>
      <c r="AM818" s="14">
        <f>F818*AL818*in_life_term_ticket*in_life_term_comm*in_ins_partner_share+F818*in_life_term_ticket*in_life_term_renew_comm*in_ins_partner_share*(in_life_term_renew^1*SUMIFS(AL797:AL841,B797:B841,B818-12)+in_life_term_renew^2*SUMIFS(AL797:AL841,B797:B841,B818-24)+in_life_term_renew^3*SUMIFS(AL797:AL841,B797:B841,B818-36)+in_life_term_renew^4*SUMIFS(AL797:AL841,B797:B841,B818-48))</f>
        <v/>
      </c>
      <c r="AN818" s="40">
        <f>AN817*(1-IF(B817&gt;=in_marketplace_from,d_hz_accident*G817,0))</f>
        <v/>
      </c>
      <c r="AO818" s="46">
        <f>AN818*IF(B818&gt;=in_marketplace_from,d_hz_accident*G818,0)</f>
        <v/>
      </c>
      <c r="AP818" s="14">
        <f>F818*AO818*in_accident_ticket*in_accident_comm*in_ins_partner_share+F818*in_accident_ticket*in_accident_renew_comm*in_ins_partner_share*(in_accident_renew^1*SUMIFS(AO797:AO841,B797:B841,B818-12)+in_accident_renew^2*SUMIFS(AO797:AO841,B797:B841,B818-24)+in_accident_renew^3*SUMIFS(AO797:AO841,B797:B841,B818-36)+in_accident_renew^4*SUMIFS(AO797:AO841,B797:B841,B818-48))</f>
        <v/>
      </c>
      <c r="AQ818" s="40">
        <f>AQ817*(1-IF(B817&gt;=in_marketplace_from,d_hz_two_wheeler*G817,0))</f>
        <v/>
      </c>
      <c r="AR818" s="46">
        <f>AQ818*IF(B818&gt;=in_marketplace_from,d_hz_two_wheeler*G818,0)</f>
        <v/>
      </c>
      <c r="AS818" s="14">
        <f>F818*AR818*in_two_wheeler_ticket*in_two_wheeler_comm*in_ins_partner_share+F818*in_two_wheeler_ticket*in_two_wheeler_comm*in_ins_partner_share*(in_two_wheeler_renew^1*SUMIFS(AR797:AR841,B797:B841,B818-12)+in_two_wheeler_renew^2*SUMIFS(AR797:AR841,B797:B841,B818-24)+in_two_wheeler_renew^3*SUMIFS(AR797:AR841,B797:B841,B818-36)+in_two_wheeler_renew^4*SUMIFS(AR797:AR841,B797:B841,B818-48))</f>
        <v/>
      </c>
      <c r="AT818" s="40">
        <f>AT817*(1-IF(B817&gt;=in_marketplace_from,d_hz_device*G817,0))</f>
        <v/>
      </c>
      <c r="AU818" s="14">
        <f>F818*AT818*IF(B818&gt;=in_marketplace_from,d_hz_device*G818,0)*in_device_ticket*in_device_comm*in_ins_partner_share</f>
        <v/>
      </c>
      <c r="AV818" s="40">
        <f>AV817*(1-IF(B817&gt;=in_marketplace_from,d_hz_shop*G817,0))</f>
        <v/>
      </c>
      <c r="AW818" s="46">
        <f>AV818*IF(B818&gt;=in_marketplace_from,d_hz_shop*G818,0)</f>
        <v/>
      </c>
      <c r="AX818" s="14">
        <f>F818*AW818*in_shop_ticket*in_shop_comm*in_ins_partner_share+F818*in_shop_ticket*in_shop_renew_comm*in_ins_partner_share*(in_shop_renew^1*SUMIFS(AW797:AW841,B797:B841,B818-12)+in_shop_renew^2*SUMIFS(AW797:AW841,B797:B841,B818-24)+in_shop_renew^3*SUMIFS(AW797:AW841,B797:B841,B818-36)+in_shop_renew^4*SUMIFS(AW797:AW841,B797:B841,B818-48))</f>
        <v/>
      </c>
      <c r="AY818" s="40">
        <f>AY817*(1-IF(B817&gt;=in_marketplace_from,d_hz_sip*G817,0))</f>
        <v/>
      </c>
      <c r="AZ818" s="40">
        <f>AZ817*d_rho_sip+AY818*IF(B818&gt;=in_marketplace_from,d_hz_sip*G818,0)</f>
        <v/>
      </c>
      <c r="BA818" s="40">
        <f>d_rho_sip*(BA817+AZ817)</f>
        <v/>
      </c>
      <c r="BB818" s="14">
        <f>F818*in_sip_ticket*(BA818+0.5*AZ818)*in_sip_comm/12</f>
        <v/>
      </c>
      <c r="BC818" s="40">
        <f>BC817*(1-IF(B817&gt;=in_marketplace_from,d_hz_choti*G817,0))</f>
        <v/>
      </c>
      <c r="BD818" s="46">
        <f>BC818*IF(B818&gt;=in_marketplace_from,d_hz_choti*G818,0)</f>
        <v/>
      </c>
      <c r="BE818" s="14">
        <f>F818*SUMIFS(BD797:BD841,B797:B841,B818-in_choti_months)*in_choti_renew*in_choti_ticket</f>
        <v/>
      </c>
      <c r="BF818" s="40">
        <f>BF817*(1-IF(B817&gt;=in_marketplace_from,d_hz_nps*G817,0))</f>
        <v/>
      </c>
      <c r="BG818" s="14">
        <f>F818*BF818*IF(B818&gt;=in_marketplace_from,d_hz_nps*G818,0)*in_nps_ticket*in_nps_comm</f>
        <v/>
      </c>
      <c r="BH818" s="40">
        <f>BH817*(1-IF(B817&gt;=in_marketplace_from,d_hz_gold*G817,0))</f>
        <v/>
      </c>
      <c r="BI818" s="40">
        <f>BI817*d_rho_gold+BH818*IF(B818&gt;=in_marketplace_from,d_hz_gold*G818,0)</f>
        <v/>
      </c>
      <c r="BJ818" s="14">
        <f>F818*BI818*in_gold_ticket*in_gold_comm</f>
        <v/>
      </c>
      <c r="BK818" s="40">
        <f>BK817*(1-IF(B817&gt;=in_marketplace_from,d_hz_fd*G817,0))</f>
        <v/>
      </c>
      <c r="BL818" s="14">
        <f>F818*BK818*IF(B818&gt;=in_marketplace_from,d_hz_fd*G818,0)*in_fd_ticket*in_fd_comm</f>
        <v/>
      </c>
      <c r="BM818" s="40">
        <f>BM817*(1-IF(B817&gt;=in_marketplace_from,d_hz_recharge*G817,0))</f>
        <v/>
      </c>
      <c r="BN818" s="40">
        <f>BN817*d_rho_recharge+BM818*IF(B818&gt;=in_marketplace_from,d_hz_recharge*G818,0)</f>
        <v/>
      </c>
      <c r="BO818" s="14">
        <f>F818*BN818*in_recharge_ticket*in_recharge_comm/12</f>
        <v/>
      </c>
      <c r="BP818" s="40">
        <f>BP817*(1-IF(B817&gt;=in_marketplace_from,d_hz_bills*G817,0))</f>
        <v/>
      </c>
      <c r="BQ818" s="40">
        <f>BQ817*d_rho_bills+BP818*IF(B818&gt;=in_marketplace_from,d_hz_bills*G818,0)</f>
        <v/>
      </c>
      <c r="BR818" s="14">
        <f>F818*BQ818*in_bills_ticket*in_bills_comm/12</f>
        <v/>
      </c>
      <c r="BS818" s="40">
        <f>BS817*(1-IF(B817&gt;=in_marketplace_from,d_hz_loan_gold*G817,0))</f>
        <v/>
      </c>
      <c r="BT818" s="14">
        <f>F818*BS818*IF(B818&gt;=in_marketplace_from,d_hz_loan_gold*G818,0)*in_loan_gold_ticket*in_loan_gold_comm</f>
        <v/>
      </c>
      <c r="BU818" s="40">
        <f>BU817*(1-IF(B817&gt;=in_marketplace_from,d_hz_loan_cd*G817,0))</f>
        <v/>
      </c>
      <c r="BV818" s="14">
        <f>F818*BU818*IF(B818&gt;=in_marketplace_from,d_hz_loan_cd*G818,0)*in_loan_cd_ticket*in_loan_cd_comm</f>
        <v/>
      </c>
      <c r="BW818" s="40">
        <f>BW817*(1-IF(B817&gt;=in_marketplace_from,d_hz_loan_vehicle*G817,0))</f>
        <v/>
      </c>
      <c r="BX818" s="14">
        <f>F818*BW818*IF(B818&gt;=in_marketplace_from,d_hz_loan_vehicle*G818,0)*in_loan_vehicle_ticket*in_loan_vehicle_comm</f>
        <v/>
      </c>
      <c r="BY818" s="40">
        <f>BY817*(1-IF(B817&gt;=in_marketplace_from,d_hz_loan_home*G817,0)*BZ817)</f>
        <v/>
      </c>
      <c r="BZ818" s="11">
        <f>MIN(in_approval_cap,in_loan_home_approval*INDEX('Age profile'!$O$2:$O$61,B818)*(1+in_approval_growth)^(D818-1))</f>
        <v/>
      </c>
      <c r="CA818" s="14">
        <f>F818*BY818*IF(B818&gt;=in_marketplace_from,d_hz_loan_home*G818,0)*BZ818*in_loan_home_ticket*in_loan_home_comm</f>
        <v/>
      </c>
      <c r="CB818" s="40">
        <f>CB817*(1-IF(B817&gt;=in_marketplace_from,d_hz_loan_lap*G817,0)*CC817)</f>
        <v/>
      </c>
      <c r="CC818" s="11">
        <f>MIN(in_approval_cap,in_loan_lap_approval*INDEX('Age profile'!$O$2:$O$61,B818)*(1+in_approval_growth)^(D818-1))</f>
        <v/>
      </c>
      <c r="CD818" s="14">
        <f>F818*CB818*IF(B818&gt;=in_marketplace_from,d_hz_loan_lap*G818,0)*CC818*in_loan_lap_ticket*in_loan_lap_comm</f>
        <v/>
      </c>
      <c r="CE818" s="14">
        <f>AA818+AB818+AC818+AD818+AG818+AJ818+AM818+AP818+AS818+AU818+AX818+BB818+BE818+BG818+BJ818+BL818+BO818+BR818+BT818+BV818+BX818+CA818+CD818</f>
        <v/>
      </c>
    </row>
    <row r="819">
      <c r="A819" s="39" t="n">
        <v>16</v>
      </c>
      <c r="B819" s="39" t="n">
        <v>23</v>
      </c>
      <c r="C819" s="39">
        <f>A819+B819-1</f>
        <v/>
      </c>
      <c r="D819" s="39">
        <f>INT((C819-1)/12)+1</f>
        <v/>
      </c>
      <c r="E819" s="44">
        <f>INDEX(Monthly!$B$2:$B$61,A819)</f>
        <v/>
      </c>
      <c r="F819" s="44">
        <f>E819*INDEX('Age profile'!$B$2:$B$61,B819)</f>
        <v/>
      </c>
      <c r="G819" s="45">
        <f>MIN(in_takeup_cap,INDEX('Age profile'!$N$2:$N$61,B819)*(1+in_takeup_growth)^(D819-1))</f>
        <v/>
      </c>
      <c r="H819" s="11">
        <f>MIN(in_approval_cap,in_approved_first*INDEX('Age profile'!$O$2:$O$61,B819)*(1+in_approval_growth)^(D819-1))</f>
        <v/>
      </c>
      <c r="I819" s="45">
        <f>G819*MIN(in_takeup_cap,INDEX('Age profile'!$O$2:$O$61,B819)*(1+in_approval_growth)^(D819-1))</f>
        <v/>
      </c>
      <c r="J819" s="40">
        <f>(J818-L818)*F819/F818</f>
        <v/>
      </c>
      <c r="K819" s="40">
        <f>(K818-M818)*F819/F818+SUMIFS(O797:O818,B797:B818,B819-1-d_T)*F819</f>
        <v/>
      </c>
      <c r="L819" s="40">
        <f>IF(B819&gt;=in_marketplace_from,J819*d_hz*G819*in_eligible*H819,0)</f>
        <v/>
      </c>
      <c r="M819" s="40">
        <f>IF(B819&gt;=in_marketplace_from,K819*d_hz*G819*in_eligible*in_approved_repeat,0)</f>
        <v/>
      </c>
      <c r="N819" s="40">
        <f>L819+M819</f>
        <v/>
      </c>
      <c r="O819" s="46">
        <f>N819/F819</f>
        <v/>
      </c>
      <c r="P819" s="40">
        <f>F819-J819-K819</f>
        <v/>
      </c>
      <c r="Q819" s="40">
        <f>IF(B819&gt;=in_marketplace_from,(J819+K819)*d_hz*G819,0)</f>
        <v/>
      </c>
      <c r="R819" s="40">
        <f>SUMIFS(N797:N841,B797:B841,"&gt;="&amp;(B819-d_T),B797:B841,"&lt;="&amp;(B819-1))</f>
        <v/>
      </c>
      <c r="S819" s="46">
        <f>(1-d_u)*S818+IF(d_T&gt;in_topup_lag,SUMIFS(O797:O841,B797:B841,B819-in_topup_lag)-d_udrop*SUMIFS(O797:O841,B797:B841,B819-d_T),0)</f>
        <v/>
      </c>
      <c r="T819" s="40">
        <f>F819*d_u*S819</f>
        <v/>
      </c>
      <c r="U819" s="9">
        <f>L819*in_ticket+M819*d_rep_ticket</f>
        <v/>
      </c>
      <c r="V819" s="9">
        <f>U819+T819*d_topup_amt</f>
        <v/>
      </c>
      <c r="W819" s="40">
        <f>N819+T819*d_topup_ratio</f>
        <v/>
      </c>
      <c r="X819" s="40">
        <f>SUMIFS(W797:W841,B797:B841,B819-in_dpd_lag)*d_cured</f>
        <v/>
      </c>
      <c r="Y819" s="40">
        <f>SUMIFS(W797:W841,B797:B841,B819-in_rec_lag)*d_recd</f>
        <v/>
      </c>
      <c r="Z819" s="40">
        <f>IF(AND(B819&gt;=in_marketplace_from,B819&lt;in_marketplace_from+in_card_months),in_card_share/in_card_months*F819*I819,IF(AND(B819&gt;=in_marketplace_from+in_card_months,B819&lt;in_marketplace_from+2*in_card_months),in_card_share*d_card_rem/in_card_months*F819*MIN(in_takeup_cap,(1+in_takeup_growth)^(D819-1))*MIN(in_takeup_cap,(1+in_approval_growth)^(D819-1)),0))</f>
        <v/>
      </c>
      <c r="AA819" s="14">
        <f>V819*in_fee*(1-in_taken_back)</f>
        <v/>
      </c>
      <c r="AB819" s="14">
        <f>SUMIFS(W797:W841,B797:B841,B819-in_dpd_lag)*d_dpd</f>
        <v/>
      </c>
      <c r="AC819" s="14">
        <f>SUMIFS(W797:W841,B797:B841,B819-in_rec_lag)*d_rec</f>
        <v/>
      </c>
      <c r="AD819" s="14">
        <f>Z819*in_card_fee</f>
        <v/>
      </c>
      <c r="AE819" s="40">
        <f>AE818*(1-IF(B818&gt;=in_marketplace_from,d_hz_hlth_small*G818,0))</f>
        <v/>
      </c>
      <c r="AF819" s="46">
        <f>AE819*IF(B819&gt;=in_marketplace_from,d_hz_hlth_small*G819,0)</f>
        <v/>
      </c>
      <c r="AG819" s="14">
        <f>F819*AF819*in_hlth_small_ticket*in_hlth_small_comm*in_ins_partner_share+F819*in_hlth_small_ticket*in_hlth_small_renew_comm*in_ins_partner_share*(in_hlth_small_renew^1*SUMIFS(AF797:AF841,B797:B841,B819-12)+in_hlth_small_renew^2*SUMIFS(AF797:AF841,B797:B841,B819-24)+in_hlth_small_renew^3*SUMIFS(AF797:AF841,B797:B841,B819-36)+in_hlth_small_renew^4*SUMIFS(AF797:AF841,B797:B841,B819-48))</f>
        <v/>
      </c>
      <c r="AH819" s="40">
        <f>AH818*(1-IF(B818&gt;=in_marketplace_from,d_hz_hlth_family*G818,0))</f>
        <v/>
      </c>
      <c r="AI819" s="46">
        <f>AH819*IF(B819&gt;=in_marketplace_from,d_hz_hlth_family*G819,0)</f>
        <v/>
      </c>
      <c r="AJ819" s="14">
        <f>F819*AI819*in_hlth_family_ticket*in_hlth_family_comm*in_ins_partner_share+F819*in_hlth_family_ticket*in_hlth_family_renew_comm*in_ins_partner_share*(in_hlth_family_renew^1*SUMIFS(AI797:AI841,B797:B841,B819-12)+in_hlth_family_renew^2*SUMIFS(AI797:AI841,B797:B841,B819-24)+in_hlth_family_renew^3*SUMIFS(AI797:AI841,B797:B841,B819-36)+in_hlth_family_renew^4*SUMIFS(AI797:AI841,B797:B841,B819-48))</f>
        <v/>
      </c>
      <c r="AK819" s="40">
        <f>AK818*(1-IF(B818&gt;=in_marketplace_from,d_hz_life_term*G818,0))</f>
        <v/>
      </c>
      <c r="AL819" s="46">
        <f>AK819*IF(B819&gt;=in_marketplace_from,d_hz_life_term*G819,0)</f>
        <v/>
      </c>
      <c r="AM819" s="14">
        <f>F819*AL819*in_life_term_ticket*in_life_term_comm*in_ins_partner_share+F819*in_life_term_ticket*in_life_term_renew_comm*in_ins_partner_share*(in_life_term_renew^1*SUMIFS(AL797:AL841,B797:B841,B819-12)+in_life_term_renew^2*SUMIFS(AL797:AL841,B797:B841,B819-24)+in_life_term_renew^3*SUMIFS(AL797:AL841,B797:B841,B819-36)+in_life_term_renew^4*SUMIFS(AL797:AL841,B797:B841,B819-48))</f>
        <v/>
      </c>
      <c r="AN819" s="40">
        <f>AN818*(1-IF(B818&gt;=in_marketplace_from,d_hz_accident*G818,0))</f>
        <v/>
      </c>
      <c r="AO819" s="46">
        <f>AN819*IF(B819&gt;=in_marketplace_from,d_hz_accident*G819,0)</f>
        <v/>
      </c>
      <c r="AP819" s="14">
        <f>F819*AO819*in_accident_ticket*in_accident_comm*in_ins_partner_share+F819*in_accident_ticket*in_accident_renew_comm*in_ins_partner_share*(in_accident_renew^1*SUMIFS(AO797:AO841,B797:B841,B819-12)+in_accident_renew^2*SUMIFS(AO797:AO841,B797:B841,B819-24)+in_accident_renew^3*SUMIFS(AO797:AO841,B797:B841,B819-36)+in_accident_renew^4*SUMIFS(AO797:AO841,B797:B841,B819-48))</f>
        <v/>
      </c>
      <c r="AQ819" s="40">
        <f>AQ818*(1-IF(B818&gt;=in_marketplace_from,d_hz_two_wheeler*G818,0))</f>
        <v/>
      </c>
      <c r="AR819" s="46">
        <f>AQ819*IF(B819&gt;=in_marketplace_from,d_hz_two_wheeler*G819,0)</f>
        <v/>
      </c>
      <c r="AS819" s="14">
        <f>F819*AR819*in_two_wheeler_ticket*in_two_wheeler_comm*in_ins_partner_share+F819*in_two_wheeler_ticket*in_two_wheeler_comm*in_ins_partner_share*(in_two_wheeler_renew^1*SUMIFS(AR797:AR841,B797:B841,B819-12)+in_two_wheeler_renew^2*SUMIFS(AR797:AR841,B797:B841,B819-24)+in_two_wheeler_renew^3*SUMIFS(AR797:AR841,B797:B841,B819-36)+in_two_wheeler_renew^4*SUMIFS(AR797:AR841,B797:B841,B819-48))</f>
        <v/>
      </c>
      <c r="AT819" s="40">
        <f>AT818*(1-IF(B818&gt;=in_marketplace_from,d_hz_device*G818,0))</f>
        <v/>
      </c>
      <c r="AU819" s="14">
        <f>F819*AT819*IF(B819&gt;=in_marketplace_from,d_hz_device*G819,0)*in_device_ticket*in_device_comm*in_ins_partner_share</f>
        <v/>
      </c>
      <c r="AV819" s="40">
        <f>AV818*(1-IF(B818&gt;=in_marketplace_from,d_hz_shop*G818,0))</f>
        <v/>
      </c>
      <c r="AW819" s="46">
        <f>AV819*IF(B819&gt;=in_marketplace_from,d_hz_shop*G819,0)</f>
        <v/>
      </c>
      <c r="AX819" s="14">
        <f>F819*AW819*in_shop_ticket*in_shop_comm*in_ins_partner_share+F819*in_shop_ticket*in_shop_renew_comm*in_ins_partner_share*(in_shop_renew^1*SUMIFS(AW797:AW841,B797:B841,B819-12)+in_shop_renew^2*SUMIFS(AW797:AW841,B797:B841,B819-24)+in_shop_renew^3*SUMIFS(AW797:AW841,B797:B841,B819-36)+in_shop_renew^4*SUMIFS(AW797:AW841,B797:B841,B819-48))</f>
        <v/>
      </c>
      <c r="AY819" s="40">
        <f>AY818*(1-IF(B818&gt;=in_marketplace_from,d_hz_sip*G818,0))</f>
        <v/>
      </c>
      <c r="AZ819" s="40">
        <f>AZ818*d_rho_sip+AY819*IF(B819&gt;=in_marketplace_from,d_hz_sip*G819,0)</f>
        <v/>
      </c>
      <c r="BA819" s="40">
        <f>d_rho_sip*(BA818+AZ818)</f>
        <v/>
      </c>
      <c r="BB819" s="14">
        <f>F819*in_sip_ticket*(BA819+0.5*AZ819)*in_sip_comm/12</f>
        <v/>
      </c>
      <c r="BC819" s="40">
        <f>BC818*(1-IF(B818&gt;=in_marketplace_from,d_hz_choti*G818,0))</f>
        <v/>
      </c>
      <c r="BD819" s="46">
        <f>BC819*IF(B819&gt;=in_marketplace_from,d_hz_choti*G819,0)</f>
        <v/>
      </c>
      <c r="BE819" s="14">
        <f>F819*SUMIFS(BD797:BD841,B797:B841,B819-in_choti_months)*in_choti_renew*in_choti_ticket</f>
        <v/>
      </c>
      <c r="BF819" s="40">
        <f>BF818*(1-IF(B818&gt;=in_marketplace_from,d_hz_nps*G818,0))</f>
        <v/>
      </c>
      <c r="BG819" s="14">
        <f>F819*BF819*IF(B819&gt;=in_marketplace_from,d_hz_nps*G819,0)*in_nps_ticket*in_nps_comm</f>
        <v/>
      </c>
      <c r="BH819" s="40">
        <f>BH818*(1-IF(B818&gt;=in_marketplace_from,d_hz_gold*G818,0))</f>
        <v/>
      </c>
      <c r="BI819" s="40">
        <f>BI818*d_rho_gold+BH819*IF(B819&gt;=in_marketplace_from,d_hz_gold*G819,0)</f>
        <v/>
      </c>
      <c r="BJ819" s="14">
        <f>F819*BI819*in_gold_ticket*in_gold_comm</f>
        <v/>
      </c>
      <c r="BK819" s="40">
        <f>BK818*(1-IF(B818&gt;=in_marketplace_from,d_hz_fd*G818,0))</f>
        <v/>
      </c>
      <c r="BL819" s="14">
        <f>F819*BK819*IF(B819&gt;=in_marketplace_from,d_hz_fd*G819,0)*in_fd_ticket*in_fd_comm</f>
        <v/>
      </c>
      <c r="BM819" s="40">
        <f>BM818*(1-IF(B818&gt;=in_marketplace_from,d_hz_recharge*G818,0))</f>
        <v/>
      </c>
      <c r="BN819" s="40">
        <f>BN818*d_rho_recharge+BM819*IF(B819&gt;=in_marketplace_from,d_hz_recharge*G819,0)</f>
        <v/>
      </c>
      <c r="BO819" s="14">
        <f>F819*BN819*in_recharge_ticket*in_recharge_comm/12</f>
        <v/>
      </c>
      <c r="BP819" s="40">
        <f>BP818*(1-IF(B818&gt;=in_marketplace_from,d_hz_bills*G818,0))</f>
        <v/>
      </c>
      <c r="BQ819" s="40">
        <f>BQ818*d_rho_bills+BP819*IF(B819&gt;=in_marketplace_from,d_hz_bills*G819,0)</f>
        <v/>
      </c>
      <c r="BR819" s="14">
        <f>F819*BQ819*in_bills_ticket*in_bills_comm/12</f>
        <v/>
      </c>
      <c r="BS819" s="40">
        <f>BS818*(1-IF(B818&gt;=in_marketplace_from,d_hz_loan_gold*G818,0))</f>
        <v/>
      </c>
      <c r="BT819" s="14">
        <f>F819*BS819*IF(B819&gt;=in_marketplace_from,d_hz_loan_gold*G819,0)*in_loan_gold_ticket*in_loan_gold_comm</f>
        <v/>
      </c>
      <c r="BU819" s="40">
        <f>BU818*(1-IF(B818&gt;=in_marketplace_from,d_hz_loan_cd*G818,0))</f>
        <v/>
      </c>
      <c r="BV819" s="14">
        <f>F819*BU819*IF(B819&gt;=in_marketplace_from,d_hz_loan_cd*G819,0)*in_loan_cd_ticket*in_loan_cd_comm</f>
        <v/>
      </c>
      <c r="BW819" s="40">
        <f>BW818*(1-IF(B818&gt;=in_marketplace_from,d_hz_loan_vehicle*G818,0))</f>
        <v/>
      </c>
      <c r="BX819" s="14">
        <f>F819*BW819*IF(B819&gt;=in_marketplace_from,d_hz_loan_vehicle*G819,0)*in_loan_vehicle_ticket*in_loan_vehicle_comm</f>
        <v/>
      </c>
      <c r="BY819" s="40">
        <f>BY818*(1-IF(B818&gt;=in_marketplace_from,d_hz_loan_home*G818,0)*BZ818)</f>
        <v/>
      </c>
      <c r="BZ819" s="11">
        <f>MIN(in_approval_cap,in_loan_home_approval*INDEX('Age profile'!$O$2:$O$61,B819)*(1+in_approval_growth)^(D819-1))</f>
        <v/>
      </c>
      <c r="CA819" s="14">
        <f>F819*BY819*IF(B819&gt;=in_marketplace_from,d_hz_loan_home*G819,0)*BZ819*in_loan_home_ticket*in_loan_home_comm</f>
        <v/>
      </c>
      <c r="CB819" s="40">
        <f>CB818*(1-IF(B818&gt;=in_marketplace_from,d_hz_loan_lap*G818,0)*CC818)</f>
        <v/>
      </c>
      <c r="CC819" s="11">
        <f>MIN(in_approval_cap,in_loan_lap_approval*INDEX('Age profile'!$O$2:$O$61,B819)*(1+in_approval_growth)^(D819-1))</f>
        <v/>
      </c>
      <c r="CD819" s="14">
        <f>F819*CB819*IF(B819&gt;=in_marketplace_from,d_hz_loan_lap*G819,0)*CC819*in_loan_lap_ticket*in_loan_lap_comm</f>
        <v/>
      </c>
      <c r="CE819" s="14">
        <f>AA819+AB819+AC819+AD819+AG819+AJ819+AM819+AP819+AS819+AU819+AX819+BB819+BE819+BG819+BJ819+BL819+BO819+BR819+BT819+BV819+BX819+CA819+CD819</f>
        <v/>
      </c>
    </row>
    <row r="820">
      <c r="A820" s="39" t="n">
        <v>16</v>
      </c>
      <c r="B820" s="39" t="n">
        <v>24</v>
      </c>
      <c r="C820" s="39">
        <f>A820+B820-1</f>
        <v/>
      </c>
      <c r="D820" s="39">
        <f>INT((C820-1)/12)+1</f>
        <v/>
      </c>
      <c r="E820" s="44">
        <f>INDEX(Monthly!$B$2:$B$61,A820)</f>
        <v/>
      </c>
      <c r="F820" s="44">
        <f>E820*INDEX('Age profile'!$B$2:$B$61,B820)</f>
        <v/>
      </c>
      <c r="G820" s="45">
        <f>MIN(in_takeup_cap,INDEX('Age profile'!$N$2:$N$61,B820)*(1+in_takeup_growth)^(D820-1))</f>
        <v/>
      </c>
      <c r="H820" s="11">
        <f>MIN(in_approval_cap,in_approved_first*INDEX('Age profile'!$O$2:$O$61,B820)*(1+in_approval_growth)^(D820-1))</f>
        <v/>
      </c>
      <c r="I820" s="45">
        <f>G820*MIN(in_takeup_cap,INDEX('Age profile'!$O$2:$O$61,B820)*(1+in_approval_growth)^(D820-1))</f>
        <v/>
      </c>
      <c r="J820" s="40">
        <f>(J819-L819)*F820/F819</f>
        <v/>
      </c>
      <c r="K820" s="40">
        <f>(K819-M819)*F820/F819+SUMIFS(O797:O819,B797:B819,B820-1-d_T)*F820</f>
        <v/>
      </c>
      <c r="L820" s="40">
        <f>IF(B820&gt;=in_marketplace_from,J820*d_hz*G820*in_eligible*H820,0)</f>
        <v/>
      </c>
      <c r="M820" s="40">
        <f>IF(B820&gt;=in_marketplace_from,K820*d_hz*G820*in_eligible*in_approved_repeat,0)</f>
        <v/>
      </c>
      <c r="N820" s="40">
        <f>L820+M820</f>
        <v/>
      </c>
      <c r="O820" s="46">
        <f>N820/F820</f>
        <v/>
      </c>
      <c r="P820" s="40">
        <f>F820-J820-K820</f>
        <v/>
      </c>
      <c r="Q820" s="40">
        <f>IF(B820&gt;=in_marketplace_from,(J820+K820)*d_hz*G820,0)</f>
        <v/>
      </c>
      <c r="R820" s="40">
        <f>SUMIFS(N797:N841,B797:B841,"&gt;="&amp;(B820-d_T),B797:B841,"&lt;="&amp;(B820-1))</f>
        <v/>
      </c>
      <c r="S820" s="46">
        <f>(1-d_u)*S819+IF(d_T&gt;in_topup_lag,SUMIFS(O797:O841,B797:B841,B820-in_topup_lag)-d_udrop*SUMIFS(O797:O841,B797:B841,B820-d_T),0)</f>
        <v/>
      </c>
      <c r="T820" s="40">
        <f>F820*d_u*S820</f>
        <v/>
      </c>
      <c r="U820" s="9">
        <f>L820*in_ticket+M820*d_rep_ticket</f>
        <v/>
      </c>
      <c r="V820" s="9">
        <f>U820+T820*d_topup_amt</f>
        <v/>
      </c>
      <c r="W820" s="40">
        <f>N820+T820*d_topup_ratio</f>
        <v/>
      </c>
      <c r="X820" s="40">
        <f>SUMIFS(W797:W841,B797:B841,B820-in_dpd_lag)*d_cured</f>
        <v/>
      </c>
      <c r="Y820" s="40">
        <f>SUMIFS(W797:W841,B797:B841,B820-in_rec_lag)*d_recd</f>
        <v/>
      </c>
      <c r="Z820" s="40">
        <f>IF(AND(B820&gt;=in_marketplace_from,B820&lt;in_marketplace_from+in_card_months),in_card_share/in_card_months*F820*I820,IF(AND(B820&gt;=in_marketplace_from+in_card_months,B820&lt;in_marketplace_from+2*in_card_months),in_card_share*d_card_rem/in_card_months*F820*MIN(in_takeup_cap,(1+in_takeup_growth)^(D820-1))*MIN(in_takeup_cap,(1+in_approval_growth)^(D820-1)),0))</f>
        <v/>
      </c>
      <c r="AA820" s="14">
        <f>V820*in_fee*(1-in_taken_back)</f>
        <v/>
      </c>
      <c r="AB820" s="14">
        <f>SUMIFS(W797:W841,B797:B841,B820-in_dpd_lag)*d_dpd</f>
        <v/>
      </c>
      <c r="AC820" s="14">
        <f>SUMIFS(W797:W841,B797:B841,B820-in_rec_lag)*d_rec</f>
        <v/>
      </c>
      <c r="AD820" s="14">
        <f>Z820*in_card_fee</f>
        <v/>
      </c>
      <c r="AE820" s="40">
        <f>AE819*(1-IF(B819&gt;=in_marketplace_from,d_hz_hlth_small*G819,0))</f>
        <v/>
      </c>
      <c r="AF820" s="46">
        <f>AE820*IF(B820&gt;=in_marketplace_from,d_hz_hlth_small*G820,0)</f>
        <v/>
      </c>
      <c r="AG820" s="14">
        <f>F820*AF820*in_hlth_small_ticket*in_hlth_small_comm*in_ins_partner_share+F820*in_hlth_small_ticket*in_hlth_small_renew_comm*in_ins_partner_share*(in_hlth_small_renew^1*SUMIFS(AF797:AF841,B797:B841,B820-12)+in_hlth_small_renew^2*SUMIFS(AF797:AF841,B797:B841,B820-24)+in_hlth_small_renew^3*SUMIFS(AF797:AF841,B797:B841,B820-36)+in_hlth_small_renew^4*SUMIFS(AF797:AF841,B797:B841,B820-48))</f>
        <v/>
      </c>
      <c r="AH820" s="40">
        <f>AH819*(1-IF(B819&gt;=in_marketplace_from,d_hz_hlth_family*G819,0))</f>
        <v/>
      </c>
      <c r="AI820" s="46">
        <f>AH820*IF(B820&gt;=in_marketplace_from,d_hz_hlth_family*G820,0)</f>
        <v/>
      </c>
      <c r="AJ820" s="14">
        <f>F820*AI820*in_hlth_family_ticket*in_hlth_family_comm*in_ins_partner_share+F820*in_hlth_family_ticket*in_hlth_family_renew_comm*in_ins_partner_share*(in_hlth_family_renew^1*SUMIFS(AI797:AI841,B797:B841,B820-12)+in_hlth_family_renew^2*SUMIFS(AI797:AI841,B797:B841,B820-24)+in_hlth_family_renew^3*SUMIFS(AI797:AI841,B797:B841,B820-36)+in_hlth_family_renew^4*SUMIFS(AI797:AI841,B797:B841,B820-48))</f>
        <v/>
      </c>
      <c r="AK820" s="40">
        <f>AK819*(1-IF(B819&gt;=in_marketplace_from,d_hz_life_term*G819,0))</f>
        <v/>
      </c>
      <c r="AL820" s="46">
        <f>AK820*IF(B820&gt;=in_marketplace_from,d_hz_life_term*G820,0)</f>
        <v/>
      </c>
      <c r="AM820" s="14">
        <f>F820*AL820*in_life_term_ticket*in_life_term_comm*in_ins_partner_share+F820*in_life_term_ticket*in_life_term_renew_comm*in_ins_partner_share*(in_life_term_renew^1*SUMIFS(AL797:AL841,B797:B841,B820-12)+in_life_term_renew^2*SUMIFS(AL797:AL841,B797:B841,B820-24)+in_life_term_renew^3*SUMIFS(AL797:AL841,B797:B841,B820-36)+in_life_term_renew^4*SUMIFS(AL797:AL841,B797:B841,B820-48))</f>
        <v/>
      </c>
      <c r="AN820" s="40">
        <f>AN819*(1-IF(B819&gt;=in_marketplace_from,d_hz_accident*G819,0))</f>
        <v/>
      </c>
      <c r="AO820" s="46">
        <f>AN820*IF(B820&gt;=in_marketplace_from,d_hz_accident*G820,0)</f>
        <v/>
      </c>
      <c r="AP820" s="14">
        <f>F820*AO820*in_accident_ticket*in_accident_comm*in_ins_partner_share+F820*in_accident_ticket*in_accident_renew_comm*in_ins_partner_share*(in_accident_renew^1*SUMIFS(AO797:AO841,B797:B841,B820-12)+in_accident_renew^2*SUMIFS(AO797:AO841,B797:B841,B820-24)+in_accident_renew^3*SUMIFS(AO797:AO841,B797:B841,B820-36)+in_accident_renew^4*SUMIFS(AO797:AO841,B797:B841,B820-48))</f>
        <v/>
      </c>
      <c r="AQ820" s="40">
        <f>AQ819*(1-IF(B819&gt;=in_marketplace_from,d_hz_two_wheeler*G819,0))</f>
        <v/>
      </c>
      <c r="AR820" s="46">
        <f>AQ820*IF(B820&gt;=in_marketplace_from,d_hz_two_wheeler*G820,0)</f>
        <v/>
      </c>
      <c r="AS820" s="14">
        <f>F820*AR820*in_two_wheeler_ticket*in_two_wheeler_comm*in_ins_partner_share+F820*in_two_wheeler_ticket*in_two_wheeler_comm*in_ins_partner_share*(in_two_wheeler_renew^1*SUMIFS(AR797:AR841,B797:B841,B820-12)+in_two_wheeler_renew^2*SUMIFS(AR797:AR841,B797:B841,B820-24)+in_two_wheeler_renew^3*SUMIFS(AR797:AR841,B797:B841,B820-36)+in_two_wheeler_renew^4*SUMIFS(AR797:AR841,B797:B841,B820-48))</f>
        <v/>
      </c>
      <c r="AT820" s="40">
        <f>AT819*(1-IF(B819&gt;=in_marketplace_from,d_hz_device*G819,0))</f>
        <v/>
      </c>
      <c r="AU820" s="14">
        <f>F820*AT820*IF(B820&gt;=in_marketplace_from,d_hz_device*G820,0)*in_device_ticket*in_device_comm*in_ins_partner_share</f>
        <v/>
      </c>
      <c r="AV820" s="40">
        <f>AV819*(1-IF(B819&gt;=in_marketplace_from,d_hz_shop*G819,0))</f>
        <v/>
      </c>
      <c r="AW820" s="46">
        <f>AV820*IF(B820&gt;=in_marketplace_from,d_hz_shop*G820,0)</f>
        <v/>
      </c>
      <c r="AX820" s="14">
        <f>F820*AW820*in_shop_ticket*in_shop_comm*in_ins_partner_share+F820*in_shop_ticket*in_shop_renew_comm*in_ins_partner_share*(in_shop_renew^1*SUMIFS(AW797:AW841,B797:B841,B820-12)+in_shop_renew^2*SUMIFS(AW797:AW841,B797:B841,B820-24)+in_shop_renew^3*SUMIFS(AW797:AW841,B797:B841,B820-36)+in_shop_renew^4*SUMIFS(AW797:AW841,B797:B841,B820-48))</f>
        <v/>
      </c>
      <c r="AY820" s="40">
        <f>AY819*(1-IF(B819&gt;=in_marketplace_from,d_hz_sip*G819,0))</f>
        <v/>
      </c>
      <c r="AZ820" s="40">
        <f>AZ819*d_rho_sip+AY820*IF(B820&gt;=in_marketplace_from,d_hz_sip*G820,0)</f>
        <v/>
      </c>
      <c r="BA820" s="40">
        <f>d_rho_sip*(BA819+AZ819)</f>
        <v/>
      </c>
      <c r="BB820" s="14">
        <f>F820*in_sip_ticket*(BA820+0.5*AZ820)*in_sip_comm/12</f>
        <v/>
      </c>
      <c r="BC820" s="40">
        <f>BC819*(1-IF(B819&gt;=in_marketplace_from,d_hz_choti*G819,0))</f>
        <v/>
      </c>
      <c r="BD820" s="46">
        <f>BC820*IF(B820&gt;=in_marketplace_from,d_hz_choti*G820,0)</f>
        <v/>
      </c>
      <c r="BE820" s="14">
        <f>F820*SUMIFS(BD797:BD841,B797:B841,B820-in_choti_months)*in_choti_renew*in_choti_ticket</f>
        <v/>
      </c>
      <c r="BF820" s="40">
        <f>BF819*(1-IF(B819&gt;=in_marketplace_from,d_hz_nps*G819,0))</f>
        <v/>
      </c>
      <c r="BG820" s="14">
        <f>F820*BF820*IF(B820&gt;=in_marketplace_from,d_hz_nps*G820,0)*in_nps_ticket*in_nps_comm</f>
        <v/>
      </c>
      <c r="BH820" s="40">
        <f>BH819*(1-IF(B819&gt;=in_marketplace_from,d_hz_gold*G819,0))</f>
        <v/>
      </c>
      <c r="BI820" s="40">
        <f>BI819*d_rho_gold+BH820*IF(B820&gt;=in_marketplace_from,d_hz_gold*G820,0)</f>
        <v/>
      </c>
      <c r="BJ820" s="14">
        <f>F820*BI820*in_gold_ticket*in_gold_comm</f>
        <v/>
      </c>
      <c r="BK820" s="40">
        <f>BK819*(1-IF(B819&gt;=in_marketplace_from,d_hz_fd*G819,0))</f>
        <v/>
      </c>
      <c r="BL820" s="14">
        <f>F820*BK820*IF(B820&gt;=in_marketplace_from,d_hz_fd*G820,0)*in_fd_ticket*in_fd_comm</f>
        <v/>
      </c>
      <c r="BM820" s="40">
        <f>BM819*(1-IF(B819&gt;=in_marketplace_from,d_hz_recharge*G819,0))</f>
        <v/>
      </c>
      <c r="BN820" s="40">
        <f>BN819*d_rho_recharge+BM820*IF(B820&gt;=in_marketplace_from,d_hz_recharge*G820,0)</f>
        <v/>
      </c>
      <c r="BO820" s="14">
        <f>F820*BN820*in_recharge_ticket*in_recharge_comm/12</f>
        <v/>
      </c>
      <c r="BP820" s="40">
        <f>BP819*(1-IF(B819&gt;=in_marketplace_from,d_hz_bills*G819,0))</f>
        <v/>
      </c>
      <c r="BQ820" s="40">
        <f>BQ819*d_rho_bills+BP820*IF(B820&gt;=in_marketplace_from,d_hz_bills*G820,0)</f>
        <v/>
      </c>
      <c r="BR820" s="14">
        <f>F820*BQ820*in_bills_ticket*in_bills_comm/12</f>
        <v/>
      </c>
      <c r="BS820" s="40">
        <f>BS819*(1-IF(B819&gt;=in_marketplace_from,d_hz_loan_gold*G819,0))</f>
        <v/>
      </c>
      <c r="BT820" s="14">
        <f>F820*BS820*IF(B820&gt;=in_marketplace_from,d_hz_loan_gold*G820,0)*in_loan_gold_ticket*in_loan_gold_comm</f>
        <v/>
      </c>
      <c r="BU820" s="40">
        <f>BU819*(1-IF(B819&gt;=in_marketplace_from,d_hz_loan_cd*G819,0))</f>
        <v/>
      </c>
      <c r="BV820" s="14">
        <f>F820*BU820*IF(B820&gt;=in_marketplace_from,d_hz_loan_cd*G820,0)*in_loan_cd_ticket*in_loan_cd_comm</f>
        <v/>
      </c>
      <c r="BW820" s="40">
        <f>BW819*(1-IF(B819&gt;=in_marketplace_from,d_hz_loan_vehicle*G819,0))</f>
        <v/>
      </c>
      <c r="BX820" s="14">
        <f>F820*BW820*IF(B820&gt;=in_marketplace_from,d_hz_loan_vehicle*G820,0)*in_loan_vehicle_ticket*in_loan_vehicle_comm</f>
        <v/>
      </c>
      <c r="BY820" s="40">
        <f>BY819*(1-IF(B819&gt;=in_marketplace_from,d_hz_loan_home*G819,0)*BZ819)</f>
        <v/>
      </c>
      <c r="BZ820" s="11">
        <f>MIN(in_approval_cap,in_loan_home_approval*INDEX('Age profile'!$O$2:$O$61,B820)*(1+in_approval_growth)^(D820-1))</f>
        <v/>
      </c>
      <c r="CA820" s="14">
        <f>F820*BY820*IF(B820&gt;=in_marketplace_from,d_hz_loan_home*G820,0)*BZ820*in_loan_home_ticket*in_loan_home_comm</f>
        <v/>
      </c>
      <c r="CB820" s="40">
        <f>CB819*(1-IF(B819&gt;=in_marketplace_from,d_hz_loan_lap*G819,0)*CC819)</f>
        <v/>
      </c>
      <c r="CC820" s="11">
        <f>MIN(in_approval_cap,in_loan_lap_approval*INDEX('Age profile'!$O$2:$O$61,B820)*(1+in_approval_growth)^(D820-1))</f>
        <v/>
      </c>
      <c r="CD820" s="14">
        <f>F820*CB820*IF(B820&gt;=in_marketplace_from,d_hz_loan_lap*G820,0)*CC820*in_loan_lap_ticket*in_loan_lap_comm</f>
        <v/>
      </c>
      <c r="CE820" s="14">
        <f>AA820+AB820+AC820+AD820+AG820+AJ820+AM820+AP820+AS820+AU820+AX820+BB820+BE820+BG820+BJ820+BL820+BO820+BR820+BT820+BV820+BX820+CA820+CD820</f>
        <v/>
      </c>
    </row>
    <row r="821">
      <c r="A821" s="39" t="n">
        <v>16</v>
      </c>
      <c r="B821" s="39" t="n">
        <v>25</v>
      </c>
      <c r="C821" s="39">
        <f>A821+B821-1</f>
        <v/>
      </c>
      <c r="D821" s="39">
        <f>INT((C821-1)/12)+1</f>
        <v/>
      </c>
      <c r="E821" s="44">
        <f>INDEX(Monthly!$B$2:$B$61,A821)</f>
        <v/>
      </c>
      <c r="F821" s="44">
        <f>E821*INDEX('Age profile'!$B$2:$B$61,B821)</f>
        <v/>
      </c>
      <c r="G821" s="45">
        <f>MIN(in_takeup_cap,INDEX('Age profile'!$N$2:$N$61,B821)*(1+in_takeup_growth)^(D821-1))</f>
        <v/>
      </c>
      <c r="H821" s="11">
        <f>MIN(in_approval_cap,in_approved_first*INDEX('Age profile'!$O$2:$O$61,B821)*(1+in_approval_growth)^(D821-1))</f>
        <v/>
      </c>
      <c r="I821" s="45">
        <f>G821*MIN(in_takeup_cap,INDEX('Age profile'!$O$2:$O$61,B821)*(1+in_approval_growth)^(D821-1))</f>
        <v/>
      </c>
      <c r="J821" s="40">
        <f>(J820-L820)*F821/F820</f>
        <v/>
      </c>
      <c r="K821" s="40">
        <f>(K820-M820)*F821/F820+SUMIFS(O797:O820,B797:B820,B821-1-d_T)*F821</f>
        <v/>
      </c>
      <c r="L821" s="40">
        <f>IF(B821&gt;=in_marketplace_from,J821*d_hz*G821*in_eligible*H821,0)</f>
        <v/>
      </c>
      <c r="M821" s="40">
        <f>IF(B821&gt;=in_marketplace_from,K821*d_hz*G821*in_eligible*in_approved_repeat,0)</f>
        <v/>
      </c>
      <c r="N821" s="40">
        <f>L821+M821</f>
        <v/>
      </c>
      <c r="O821" s="46">
        <f>N821/F821</f>
        <v/>
      </c>
      <c r="P821" s="40">
        <f>F821-J821-K821</f>
        <v/>
      </c>
      <c r="Q821" s="40">
        <f>IF(B821&gt;=in_marketplace_from,(J821+K821)*d_hz*G821,0)</f>
        <v/>
      </c>
      <c r="R821" s="40">
        <f>SUMIFS(N797:N841,B797:B841,"&gt;="&amp;(B821-d_T),B797:B841,"&lt;="&amp;(B821-1))</f>
        <v/>
      </c>
      <c r="S821" s="46">
        <f>(1-d_u)*S820+IF(d_T&gt;in_topup_lag,SUMIFS(O797:O841,B797:B841,B821-in_topup_lag)-d_udrop*SUMIFS(O797:O841,B797:B841,B821-d_T),0)</f>
        <v/>
      </c>
      <c r="T821" s="40">
        <f>F821*d_u*S821</f>
        <v/>
      </c>
      <c r="U821" s="9">
        <f>L821*in_ticket+M821*d_rep_ticket</f>
        <v/>
      </c>
      <c r="V821" s="9">
        <f>U821+T821*d_topup_amt</f>
        <v/>
      </c>
      <c r="W821" s="40">
        <f>N821+T821*d_topup_ratio</f>
        <v/>
      </c>
      <c r="X821" s="40">
        <f>SUMIFS(W797:W841,B797:B841,B821-in_dpd_lag)*d_cured</f>
        <v/>
      </c>
      <c r="Y821" s="40">
        <f>SUMIFS(W797:W841,B797:B841,B821-in_rec_lag)*d_recd</f>
        <v/>
      </c>
      <c r="Z821" s="40">
        <f>IF(AND(B821&gt;=in_marketplace_from,B821&lt;in_marketplace_from+in_card_months),in_card_share/in_card_months*F821*I821,IF(AND(B821&gt;=in_marketplace_from+in_card_months,B821&lt;in_marketplace_from+2*in_card_months),in_card_share*d_card_rem/in_card_months*F821*MIN(in_takeup_cap,(1+in_takeup_growth)^(D821-1))*MIN(in_takeup_cap,(1+in_approval_growth)^(D821-1)),0))</f>
        <v/>
      </c>
      <c r="AA821" s="14">
        <f>V821*in_fee*(1-in_taken_back)</f>
        <v/>
      </c>
      <c r="AB821" s="14">
        <f>SUMIFS(W797:W841,B797:B841,B821-in_dpd_lag)*d_dpd</f>
        <v/>
      </c>
      <c r="AC821" s="14">
        <f>SUMIFS(W797:W841,B797:B841,B821-in_rec_lag)*d_rec</f>
        <v/>
      </c>
      <c r="AD821" s="14">
        <f>Z821*in_card_fee</f>
        <v/>
      </c>
      <c r="AE821" s="40">
        <f>AE820*(1-IF(B820&gt;=in_marketplace_from,d_hz_hlth_small*G820,0))</f>
        <v/>
      </c>
      <c r="AF821" s="46">
        <f>AE821*IF(B821&gt;=in_marketplace_from,d_hz_hlth_small*G821,0)</f>
        <v/>
      </c>
      <c r="AG821" s="14">
        <f>F821*AF821*in_hlth_small_ticket*in_hlth_small_comm*in_ins_partner_share+F821*in_hlth_small_ticket*in_hlth_small_renew_comm*in_ins_partner_share*(in_hlth_small_renew^1*SUMIFS(AF797:AF841,B797:B841,B821-12)+in_hlth_small_renew^2*SUMIFS(AF797:AF841,B797:B841,B821-24)+in_hlth_small_renew^3*SUMIFS(AF797:AF841,B797:B841,B821-36)+in_hlth_small_renew^4*SUMIFS(AF797:AF841,B797:B841,B821-48))</f>
        <v/>
      </c>
      <c r="AH821" s="40">
        <f>AH820*(1-IF(B820&gt;=in_marketplace_from,d_hz_hlth_family*G820,0))</f>
        <v/>
      </c>
      <c r="AI821" s="46">
        <f>AH821*IF(B821&gt;=in_marketplace_from,d_hz_hlth_family*G821,0)</f>
        <v/>
      </c>
      <c r="AJ821" s="14">
        <f>F821*AI821*in_hlth_family_ticket*in_hlth_family_comm*in_ins_partner_share+F821*in_hlth_family_ticket*in_hlth_family_renew_comm*in_ins_partner_share*(in_hlth_family_renew^1*SUMIFS(AI797:AI841,B797:B841,B821-12)+in_hlth_family_renew^2*SUMIFS(AI797:AI841,B797:B841,B821-24)+in_hlth_family_renew^3*SUMIFS(AI797:AI841,B797:B841,B821-36)+in_hlth_family_renew^4*SUMIFS(AI797:AI841,B797:B841,B821-48))</f>
        <v/>
      </c>
      <c r="AK821" s="40">
        <f>AK820*(1-IF(B820&gt;=in_marketplace_from,d_hz_life_term*G820,0))</f>
        <v/>
      </c>
      <c r="AL821" s="46">
        <f>AK821*IF(B821&gt;=in_marketplace_from,d_hz_life_term*G821,0)</f>
        <v/>
      </c>
      <c r="AM821" s="14">
        <f>F821*AL821*in_life_term_ticket*in_life_term_comm*in_ins_partner_share+F821*in_life_term_ticket*in_life_term_renew_comm*in_ins_partner_share*(in_life_term_renew^1*SUMIFS(AL797:AL841,B797:B841,B821-12)+in_life_term_renew^2*SUMIFS(AL797:AL841,B797:B841,B821-24)+in_life_term_renew^3*SUMIFS(AL797:AL841,B797:B841,B821-36)+in_life_term_renew^4*SUMIFS(AL797:AL841,B797:B841,B821-48))</f>
        <v/>
      </c>
      <c r="AN821" s="40">
        <f>AN820*(1-IF(B820&gt;=in_marketplace_from,d_hz_accident*G820,0))</f>
        <v/>
      </c>
      <c r="AO821" s="46">
        <f>AN821*IF(B821&gt;=in_marketplace_from,d_hz_accident*G821,0)</f>
        <v/>
      </c>
      <c r="AP821" s="14">
        <f>F821*AO821*in_accident_ticket*in_accident_comm*in_ins_partner_share+F821*in_accident_ticket*in_accident_renew_comm*in_ins_partner_share*(in_accident_renew^1*SUMIFS(AO797:AO841,B797:B841,B821-12)+in_accident_renew^2*SUMIFS(AO797:AO841,B797:B841,B821-24)+in_accident_renew^3*SUMIFS(AO797:AO841,B797:B841,B821-36)+in_accident_renew^4*SUMIFS(AO797:AO841,B797:B841,B821-48))</f>
        <v/>
      </c>
      <c r="AQ821" s="40">
        <f>AQ820*(1-IF(B820&gt;=in_marketplace_from,d_hz_two_wheeler*G820,0))</f>
        <v/>
      </c>
      <c r="AR821" s="46">
        <f>AQ821*IF(B821&gt;=in_marketplace_from,d_hz_two_wheeler*G821,0)</f>
        <v/>
      </c>
      <c r="AS821" s="14">
        <f>F821*AR821*in_two_wheeler_ticket*in_two_wheeler_comm*in_ins_partner_share+F821*in_two_wheeler_ticket*in_two_wheeler_comm*in_ins_partner_share*(in_two_wheeler_renew^1*SUMIFS(AR797:AR841,B797:B841,B821-12)+in_two_wheeler_renew^2*SUMIFS(AR797:AR841,B797:B841,B821-24)+in_two_wheeler_renew^3*SUMIFS(AR797:AR841,B797:B841,B821-36)+in_two_wheeler_renew^4*SUMIFS(AR797:AR841,B797:B841,B821-48))</f>
        <v/>
      </c>
      <c r="AT821" s="40">
        <f>AT820*(1-IF(B820&gt;=in_marketplace_from,d_hz_device*G820,0))</f>
        <v/>
      </c>
      <c r="AU821" s="14">
        <f>F821*AT821*IF(B821&gt;=in_marketplace_from,d_hz_device*G821,0)*in_device_ticket*in_device_comm*in_ins_partner_share</f>
        <v/>
      </c>
      <c r="AV821" s="40">
        <f>AV820*(1-IF(B820&gt;=in_marketplace_from,d_hz_shop*G820,0))</f>
        <v/>
      </c>
      <c r="AW821" s="46">
        <f>AV821*IF(B821&gt;=in_marketplace_from,d_hz_shop*G821,0)</f>
        <v/>
      </c>
      <c r="AX821" s="14">
        <f>F821*AW821*in_shop_ticket*in_shop_comm*in_ins_partner_share+F821*in_shop_ticket*in_shop_renew_comm*in_ins_partner_share*(in_shop_renew^1*SUMIFS(AW797:AW841,B797:B841,B821-12)+in_shop_renew^2*SUMIFS(AW797:AW841,B797:B841,B821-24)+in_shop_renew^3*SUMIFS(AW797:AW841,B797:B841,B821-36)+in_shop_renew^4*SUMIFS(AW797:AW841,B797:B841,B821-48))</f>
        <v/>
      </c>
      <c r="AY821" s="40">
        <f>AY820*(1-IF(B820&gt;=in_marketplace_from,d_hz_sip*G820,0))</f>
        <v/>
      </c>
      <c r="AZ821" s="40">
        <f>AZ820*d_rho_sip+AY821*IF(B821&gt;=in_marketplace_from,d_hz_sip*G821,0)</f>
        <v/>
      </c>
      <c r="BA821" s="40">
        <f>d_rho_sip*(BA820+AZ820)</f>
        <v/>
      </c>
      <c r="BB821" s="14">
        <f>F821*in_sip_ticket*(BA821+0.5*AZ821)*in_sip_comm/12</f>
        <v/>
      </c>
      <c r="BC821" s="40">
        <f>BC820*(1-IF(B820&gt;=in_marketplace_from,d_hz_choti*G820,0))</f>
        <v/>
      </c>
      <c r="BD821" s="46">
        <f>BC821*IF(B821&gt;=in_marketplace_from,d_hz_choti*G821,0)</f>
        <v/>
      </c>
      <c r="BE821" s="14">
        <f>F821*SUMIFS(BD797:BD841,B797:B841,B821-in_choti_months)*in_choti_renew*in_choti_ticket</f>
        <v/>
      </c>
      <c r="BF821" s="40">
        <f>BF820*(1-IF(B820&gt;=in_marketplace_from,d_hz_nps*G820,0))</f>
        <v/>
      </c>
      <c r="BG821" s="14">
        <f>F821*BF821*IF(B821&gt;=in_marketplace_from,d_hz_nps*G821,0)*in_nps_ticket*in_nps_comm</f>
        <v/>
      </c>
      <c r="BH821" s="40">
        <f>BH820*(1-IF(B820&gt;=in_marketplace_from,d_hz_gold*G820,0))</f>
        <v/>
      </c>
      <c r="BI821" s="40">
        <f>BI820*d_rho_gold+BH821*IF(B821&gt;=in_marketplace_from,d_hz_gold*G821,0)</f>
        <v/>
      </c>
      <c r="BJ821" s="14">
        <f>F821*BI821*in_gold_ticket*in_gold_comm</f>
        <v/>
      </c>
      <c r="BK821" s="40">
        <f>BK820*(1-IF(B820&gt;=in_marketplace_from,d_hz_fd*G820,0))</f>
        <v/>
      </c>
      <c r="BL821" s="14">
        <f>F821*BK821*IF(B821&gt;=in_marketplace_from,d_hz_fd*G821,0)*in_fd_ticket*in_fd_comm</f>
        <v/>
      </c>
      <c r="BM821" s="40">
        <f>BM820*(1-IF(B820&gt;=in_marketplace_from,d_hz_recharge*G820,0))</f>
        <v/>
      </c>
      <c r="BN821" s="40">
        <f>BN820*d_rho_recharge+BM821*IF(B821&gt;=in_marketplace_from,d_hz_recharge*G821,0)</f>
        <v/>
      </c>
      <c r="BO821" s="14">
        <f>F821*BN821*in_recharge_ticket*in_recharge_comm/12</f>
        <v/>
      </c>
      <c r="BP821" s="40">
        <f>BP820*(1-IF(B820&gt;=in_marketplace_from,d_hz_bills*G820,0))</f>
        <v/>
      </c>
      <c r="BQ821" s="40">
        <f>BQ820*d_rho_bills+BP821*IF(B821&gt;=in_marketplace_from,d_hz_bills*G821,0)</f>
        <v/>
      </c>
      <c r="BR821" s="14">
        <f>F821*BQ821*in_bills_ticket*in_bills_comm/12</f>
        <v/>
      </c>
      <c r="BS821" s="40">
        <f>BS820*(1-IF(B820&gt;=in_marketplace_from,d_hz_loan_gold*G820,0))</f>
        <v/>
      </c>
      <c r="BT821" s="14">
        <f>F821*BS821*IF(B821&gt;=in_marketplace_from,d_hz_loan_gold*G821,0)*in_loan_gold_ticket*in_loan_gold_comm</f>
        <v/>
      </c>
      <c r="BU821" s="40">
        <f>BU820*(1-IF(B820&gt;=in_marketplace_from,d_hz_loan_cd*G820,0))</f>
        <v/>
      </c>
      <c r="BV821" s="14">
        <f>F821*BU821*IF(B821&gt;=in_marketplace_from,d_hz_loan_cd*G821,0)*in_loan_cd_ticket*in_loan_cd_comm</f>
        <v/>
      </c>
      <c r="BW821" s="40">
        <f>BW820*(1-IF(B820&gt;=in_marketplace_from,d_hz_loan_vehicle*G820,0))</f>
        <v/>
      </c>
      <c r="BX821" s="14">
        <f>F821*BW821*IF(B821&gt;=in_marketplace_from,d_hz_loan_vehicle*G821,0)*in_loan_vehicle_ticket*in_loan_vehicle_comm</f>
        <v/>
      </c>
      <c r="BY821" s="40">
        <f>BY820*(1-IF(B820&gt;=in_marketplace_from,d_hz_loan_home*G820,0)*BZ820)</f>
        <v/>
      </c>
      <c r="BZ821" s="11">
        <f>MIN(in_approval_cap,in_loan_home_approval*INDEX('Age profile'!$O$2:$O$61,B821)*(1+in_approval_growth)^(D821-1))</f>
        <v/>
      </c>
      <c r="CA821" s="14">
        <f>F821*BY821*IF(B821&gt;=in_marketplace_from,d_hz_loan_home*G821,0)*BZ821*in_loan_home_ticket*in_loan_home_comm</f>
        <v/>
      </c>
      <c r="CB821" s="40">
        <f>CB820*(1-IF(B820&gt;=in_marketplace_from,d_hz_loan_lap*G820,0)*CC820)</f>
        <v/>
      </c>
      <c r="CC821" s="11">
        <f>MIN(in_approval_cap,in_loan_lap_approval*INDEX('Age profile'!$O$2:$O$61,B821)*(1+in_approval_growth)^(D821-1))</f>
        <v/>
      </c>
      <c r="CD821" s="14">
        <f>F821*CB821*IF(B821&gt;=in_marketplace_from,d_hz_loan_lap*G821,0)*CC821*in_loan_lap_ticket*in_loan_lap_comm</f>
        <v/>
      </c>
      <c r="CE821" s="14">
        <f>AA821+AB821+AC821+AD821+AG821+AJ821+AM821+AP821+AS821+AU821+AX821+BB821+BE821+BG821+BJ821+BL821+BO821+BR821+BT821+BV821+BX821+CA821+CD821</f>
        <v/>
      </c>
    </row>
    <row r="822">
      <c r="A822" s="39" t="n">
        <v>16</v>
      </c>
      <c r="B822" s="39" t="n">
        <v>26</v>
      </c>
      <c r="C822" s="39">
        <f>A822+B822-1</f>
        <v/>
      </c>
      <c r="D822" s="39">
        <f>INT((C822-1)/12)+1</f>
        <v/>
      </c>
      <c r="E822" s="44">
        <f>INDEX(Monthly!$B$2:$B$61,A822)</f>
        <v/>
      </c>
      <c r="F822" s="44">
        <f>E822*INDEX('Age profile'!$B$2:$B$61,B822)</f>
        <v/>
      </c>
      <c r="G822" s="45">
        <f>MIN(in_takeup_cap,INDEX('Age profile'!$N$2:$N$61,B822)*(1+in_takeup_growth)^(D822-1))</f>
        <v/>
      </c>
      <c r="H822" s="11">
        <f>MIN(in_approval_cap,in_approved_first*INDEX('Age profile'!$O$2:$O$61,B822)*(1+in_approval_growth)^(D822-1))</f>
        <v/>
      </c>
      <c r="I822" s="45">
        <f>G822*MIN(in_takeup_cap,INDEX('Age profile'!$O$2:$O$61,B822)*(1+in_approval_growth)^(D822-1))</f>
        <v/>
      </c>
      <c r="J822" s="40">
        <f>(J821-L821)*F822/F821</f>
        <v/>
      </c>
      <c r="K822" s="40">
        <f>(K821-M821)*F822/F821+SUMIFS(O797:O821,B797:B821,B822-1-d_T)*F822</f>
        <v/>
      </c>
      <c r="L822" s="40">
        <f>IF(B822&gt;=in_marketplace_from,J822*d_hz*G822*in_eligible*H822,0)</f>
        <v/>
      </c>
      <c r="M822" s="40">
        <f>IF(B822&gt;=in_marketplace_from,K822*d_hz*G822*in_eligible*in_approved_repeat,0)</f>
        <v/>
      </c>
      <c r="N822" s="40">
        <f>L822+M822</f>
        <v/>
      </c>
      <c r="O822" s="46">
        <f>N822/F822</f>
        <v/>
      </c>
      <c r="P822" s="40">
        <f>F822-J822-K822</f>
        <v/>
      </c>
      <c r="Q822" s="40">
        <f>IF(B822&gt;=in_marketplace_from,(J822+K822)*d_hz*G822,0)</f>
        <v/>
      </c>
      <c r="R822" s="40">
        <f>SUMIFS(N797:N841,B797:B841,"&gt;="&amp;(B822-d_T),B797:B841,"&lt;="&amp;(B822-1))</f>
        <v/>
      </c>
      <c r="S822" s="46">
        <f>(1-d_u)*S821+IF(d_T&gt;in_topup_lag,SUMIFS(O797:O841,B797:B841,B822-in_topup_lag)-d_udrop*SUMIFS(O797:O841,B797:B841,B822-d_T),0)</f>
        <v/>
      </c>
      <c r="T822" s="40">
        <f>F822*d_u*S822</f>
        <v/>
      </c>
      <c r="U822" s="9">
        <f>L822*in_ticket+M822*d_rep_ticket</f>
        <v/>
      </c>
      <c r="V822" s="9">
        <f>U822+T822*d_topup_amt</f>
        <v/>
      </c>
      <c r="W822" s="40">
        <f>N822+T822*d_topup_ratio</f>
        <v/>
      </c>
      <c r="X822" s="40">
        <f>SUMIFS(W797:W841,B797:B841,B822-in_dpd_lag)*d_cured</f>
        <v/>
      </c>
      <c r="Y822" s="40">
        <f>SUMIFS(W797:W841,B797:B841,B822-in_rec_lag)*d_recd</f>
        <v/>
      </c>
      <c r="Z822" s="40">
        <f>IF(AND(B822&gt;=in_marketplace_from,B822&lt;in_marketplace_from+in_card_months),in_card_share/in_card_months*F822*I822,IF(AND(B822&gt;=in_marketplace_from+in_card_months,B822&lt;in_marketplace_from+2*in_card_months),in_card_share*d_card_rem/in_card_months*F822*MIN(in_takeup_cap,(1+in_takeup_growth)^(D822-1))*MIN(in_takeup_cap,(1+in_approval_growth)^(D822-1)),0))</f>
        <v/>
      </c>
      <c r="AA822" s="14">
        <f>V822*in_fee*(1-in_taken_back)</f>
        <v/>
      </c>
      <c r="AB822" s="14">
        <f>SUMIFS(W797:W841,B797:B841,B822-in_dpd_lag)*d_dpd</f>
        <v/>
      </c>
      <c r="AC822" s="14">
        <f>SUMIFS(W797:W841,B797:B841,B822-in_rec_lag)*d_rec</f>
        <v/>
      </c>
      <c r="AD822" s="14">
        <f>Z822*in_card_fee</f>
        <v/>
      </c>
      <c r="AE822" s="40">
        <f>AE821*(1-IF(B821&gt;=in_marketplace_from,d_hz_hlth_small*G821,0))</f>
        <v/>
      </c>
      <c r="AF822" s="46">
        <f>AE822*IF(B822&gt;=in_marketplace_from,d_hz_hlth_small*G822,0)</f>
        <v/>
      </c>
      <c r="AG822" s="14">
        <f>F822*AF822*in_hlth_small_ticket*in_hlth_small_comm*in_ins_partner_share+F822*in_hlth_small_ticket*in_hlth_small_renew_comm*in_ins_partner_share*(in_hlth_small_renew^1*SUMIFS(AF797:AF841,B797:B841,B822-12)+in_hlth_small_renew^2*SUMIFS(AF797:AF841,B797:B841,B822-24)+in_hlth_small_renew^3*SUMIFS(AF797:AF841,B797:B841,B822-36)+in_hlth_small_renew^4*SUMIFS(AF797:AF841,B797:B841,B822-48))</f>
        <v/>
      </c>
      <c r="AH822" s="40">
        <f>AH821*(1-IF(B821&gt;=in_marketplace_from,d_hz_hlth_family*G821,0))</f>
        <v/>
      </c>
      <c r="AI822" s="46">
        <f>AH822*IF(B822&gt;=in_marketplace_from,d_hz_hlth_family*G822,0)</f>
        <v/>
      </c>
      <c r="AJ822" s="14">
        <f>F822*AI822*in_hlth_family_ticket*in_hlth_family_comm*in_ins_partner_share+F822*in_hlth_family_ticket*in_hlth_family_renew_comm*in_ins_partner_share*(in_hlth_family_renew^1*SUMIFS(AI797:AI841,B797:B841,B822-12)+in_hlth_family_renew^2*SUMIFS(AI797:AI841,B797:B841,B822-24)+in_hlth_family_renew^3*SUMIFS(AI797:AI841,B797:B841,B822-36)+in_hlth_family_renew^4*SUMIFS(AI797:AI841,B797:B841,B822-48))</f>
        <v/>
      </c>
      <c r="AK822" s="40">
        <f>AK821*(1-IF(B821&gt;=in_marketplace_from,d_hz_life_term*G821,0))</f>
        <v/>
      </c>
      <c r="AL822" s="46">
        <f>AK822*IF(B822&gt;=in_marketplace_from,d_hz_life_term*G822,0)</f>
        <v/>
      </c>
      <c r="AM822" s="14">
        <f>F822*AL822*in_life_term_ticket*in_life_term_comm*in_ins_partner_share+F822*in_life_term_ticket*in_life_term_renew_comm*in_ins_partner_share*(in_life_term_renew^1*SUMIFS(AL797:AL841,B797:B841,B822-12)+in_life_term_renew^2*SUMIFS(AL797:AL841,B797:B841,B822-24)+in_life_term_renew^3*SUMIFS(AL797:AL841,B797:B841,B822-36)+in_life_term_renew^4*SUMIFS(AL797:AL841,B797:B841,B822-48))</f>
        <v/>
      </c>
      <c r="AN822" s="40">
        <f>AN821*(1-IF(B821&gt;=in_marketplace_from,d_hz_accident*G821,0))</f>
        <v/>
      </c>
      <c r="AO822" s="46">
        <f>AN822*IF(B822&gt;=in_marketplace_from,d_hz_accident*G822,0)</f>
        <v/>
      </c>
      <c r="AP822" s="14">
        <f>F822*AO822*in_accident_ticket*in_accident_comm*in_ins_partner_share+F822*in_accident_ticket*in_accident_renew_comm*in_ins_partner_share*(in_accident_renew^1*SUMIFS(AO797:AO841,B797:B841,B822-12)+in_accident_renew^2*SUMIFS(AO797:AO841,B797:B841,B822-24)+in_accident_renew^3*SUMIFS(AO797:AO841,B797:B841,B822-36)+in_accident_renew^4*SUMIFS(AO797:AO841,B797:B841,B822-48))</f>
        <v/>
      </c>
      <c r="AQ822" s="40">
        <f>AQ821*(1-IF(B821&gt;=in_marketplace_from,d_hz_two_wheeler*G821,0))</f>
        <v/>
      </c>
      <c r="AR822" s="46">
        <f>AQ822*IF(B822&gt;=in_marketplace_from,d_hz_two_wheeler*G822,0)</f>
        <v/>
      </c>
      <c r="AS822" s="14">
        <f>F822*AR822*in_two_wheeler_ticket*in_two_wheeler_comm*in_ins_partner_share+F822*in_two_wheeler_ticket*in_two_wheeler_comm*in_ins_partner_share*(in_two_wheeler_renew^1*SUMIFS(AR797:AR841,B797:B841,B822-12)+in_two_wheeler_renew^2*SUMIFS(AR797:AR841,B797:B841,B822-24)+in_two_wheeler_renew^3*SUMIFS(AR797:AR841,B797:B841,B822-36)+in_two_wheeler_renew^4*SUMIFS(AR797:AR841,B797:B841,B822-48))</f>
        <v/>
      </c>
      <c r="AT822" s="40">
        <f>AT821*(1-IF(B821&gt;=in_marketplace_from,d_hz_device*G821,0))</f>
        <v/>
      </c>
      <c r="AU822" s="14">
        <f>F822*AT822*IF(B822&gt;=in_marketplace_from,d_hz_device*G822,0)*in_device_ticket*in_device_comm*in_ins_partner_share</f>
        <v/>
      </c>
      <c r="AV822" s="40">
        <f>AV821*(1-IF(B821&gt;=in_marketplace_from,d_hz_shop*G821,0))</f>
        <v/>
      </c>
      <c r="AW822" s="46">
        <f>AV822*IF(B822&gt;=in_marketplace_from,d_hz_shop*G822,0)</f>
        <v/>
      </c>
      <c r="AX822" s="14">
        <f>F822*AW822*in_shop_ticket*in_shop_comm*in_ins_partner_share+F822*in_shop_ticket*in_shop_renew_comm*in_ins_partner_share*(in_shop_renew^1*SUMIFS(AW797:AW841,B797:B841,B822-12)+in_shop_renew^2*SUMIFS(AW797:AW841,B797:B841,B822-24)+in_shop_renew^3*SUMIFS(AW797:AW841,B797:B841,B822-36)+in_shop_renew^4*SUMIFS(AW797:AW841,B797:B841,B822-48))</f>
        <v/>
      </c>
      <c r="AY822" s="40">
        <f>AY821*(1-IF(B821&gt;=in_marketplace_from,d_hz_sip*G821,0))</f>
        <v/>
      </c>
      <c r="AZ822" s="40">
        <f>AZ821*d_rho_sip+AY822*IF(B822&gt;=in_marketplace_from,d_hz_sip*G822,0)</f>
        <v/>
      </c>
      <c r="BA822" s="40">
        <f>d_rho_sip*(BA821+AZ821)</f>
        <v/>
      </c>
      <c r="BB822" s="14">
        <f>F822*in_sip_ticket*(BA822+0.5*AZ822)*in_sip_comm/12</f>
        <v/>
      </c>
      <c r="BC822" s="40">
        <f>BC821*(1-IF(B821&gt;=in_marketplace_from,d_hz_choti*G821,0))</f>
        <v/>
      </c>
      <c r="BD822" s="46">
        <f>BC822*IF(B822&gt;=in_marketplace_from,d_hz_choti*G822,0)</f>
        <v/>
      </c>
      <c r="BE822" s="14">
        <f>F822*SUMIFS(BD797:BD841,B797:B841,B822-in_choti_months)*in_choti_renew*in_choti_ticket</f>
        <v/>
      </c>
      <c r="BF822" s="40">
        <f>BF821*(1-IF(B821&gt;=in_marketplace_from,d_hz_nps*G821,0))</f>
        <v/>
      </c>
      <c r="BG822" s="14">
        <f>F822*BF822*IF(B822&gt;=in_marketplace_from,d_hz_nps*G822,0)*in_nps_ticket*in_nps_comm</f>
        <v/>
      </c>
      <c r="BH822" s="40">
        <f>BH821*(1-IF(B821&gt;=in_marketplace_from,d_hz_gold*G821,0))</f>
        <v/>
      </c>
      <c r="BI822" s="40">
        <f>BI821*d_rho_gold+BH822*IF(B822&gt;=in_marketplace_from,d_hz_gold*G822,0)</f>
        <v/>
      </c>
      <c r="BJ822" s="14">
        <f>F822*BI822*in_gold_ticket*in_gold_comm</f>
        <v/>
      </c>
      <c r="BK822" s="40">
        <f>BK821*(1-IF(B821&gt;=in_marketplace_from,d_hz_fd*G821,0))</f>
        <v/>
      </c>
      <c r="BL822" s="14">
        <f>F822*BK822*IF(B822&gt;=in_marketplace_from,d_hz_fd*G822,0)*in_fd_ticket*in_fd_comm</f>
        <v/>
      </c>
      <c r="BM822" s="40">
        <f>BM821*(1-IF(B821&gt;=in_marketplace_from,d_hz_recharge*G821,0))</f>
        <v/>
      </c>
      <c r="BN822" s="40">
        <f>BN821*d_rho_recharge+BM822*IF(B822&gt;=in_marketplace_from,d_hz_recharge*G822,0)</f>
        <v/>
      </c>
      <c r="BO822" s="14">
        <f>F822*BN822*in_recharge_ticket*in_recharge_comm/12</f>
        <v/>
      </c>
      <c r="BP822" s="40">
        <f>BP821*(1-IF(B821&gt;=in_marketplace_from,d_hz_bills*G821,0))</f>
        <v/>
      </c>
      <c r="BQ822" s="40">
        <f>BQ821*d_rho_bills+BP822*IF(B822&gt;=in_marketplace_from,d_hz_bills*G822,0)</f>
        <v/>
      </c>
      <c r="BR822" s="14">
        <f>F822*BQ822*in_bills_ticket*in_bills_comm/12</f>
        <v/>
      </c>
      <c r="BS822" s="40">
        <f>BS821*(1-IF(B821&gt;=in_marketplace_from,d_hz_loan_gold*G821,0))</f>
        <v/>
      </c>
      <c r="BT822" s="14">
        <f>F822*BS822*IF(B822&gt;=in_marketplace_from,d_hz_loan_gold*G822,0)*in_loan_gold_ticket*in_loan_gold_comm</f>
        <v/>
      </c>
      <c r="BU822" s="40">
        <f>BU821*(1-IF(B821&gt;=in_marketplace_from,d_hz_loan_cd*G821,0))</f>
        <v/>
      </c>
      <c r="BV822" s="14">
        <f>F822*BU822*IF(B822&gt;=in_marketplace_from,d_hz_loan_cd*G822,0)*in_loan_cd_ticket*in_loan_cd_comm</f>
        <v/>
      </c>
      <c r="BW822" s="40">
        <f>BW821*(1-IF(B821&gt;=in_marketplace_from,d_hz_loan_vehicle*G821,0))</f>
        <v/>
      </c>
      <c r="BX822" s="14">
        <f>F822*BW822*IF(B822&gt;=in_marketplace_from,d_hz_loan_vehicle*G822,0)*in_loan_vehicle_ticket*in_loan_vehicle_comm</f>
        <v/>
      </c>
      <c r="BY822" s="40">
        <f>BY821*(1-IF(B821&gt;=in_marketplace_from,d_hz_loan_home*G821,0)*BZ821)</f>
        <v/>
      </c>
      <c r="BZ822" s="11">
        <f>MIN(in_approval_cap,in_loan_home_approval*INDEX('Age profile'!$O$2:$O$61,B822)*(1+in_approval_growth)^(D822-1))</f>
        <v/>
      </c>
      <c r="CA822" s="14">
        <f>F822*BY822*IF(B822&gt;=in_marketplace_from,d_hz_loan_home*G822,0)*BZ822*in_loan_home_ticket*in_loan_home_comm</f>
        <v/>
      </c>
      <c r="CB822" s="40">
        <f>CB821*(1-IF(B821&gt;=in_marketplace_from,d_hz_loan_lap*G821,0)*CC821)</f>
        <v/>
      </c>
      <c r="CC822" s="11">
        <f>MIN(in_approval_cap,in_loan_lap_approval*INDEX('Age profile'!$O$2:$O$61,B822)*(1+in_approval_growth)^(D822-1))</f>
        <v/>
      </c>
      <c r="CD822" s="14">
        <f>F822*CB822*IF(B822&gt;=in_marketplace_from,d_hz_loan_lap*G822,0)*CC822*in_loan_lap_ticket*in_loan_lap_comm</f>
        <v/>
      </c>
      <c r="CE822" s="14">
        <f>AA822+AB822+AC822+AD822+AG822+AJ822+AM822+AP822+AS822+AU822+AX822+BB822+BE822+BG822+BJ822+BL822+BO822+BR822+BT822+BV822+BX822+CA822+CD822</f>
        <v/>
      </c>
    </row>
    <row r="823">
      <c r="A823" s="39" t="n">
        <v>16</v>
      </c>
      <c r="B823" s="39" t="n">
        <v>27</v>
      </c>
      <c r="C823" s="39">
        <f>A823+B823-1</f>
        <v/>
      </c>
      <c r="D823" s="39">
        <f>INT((C823-1)/12)+1</f>
        <v/>
      </c>
      <c r="E823" s="44">
        <f>INDEX(Monthly!$B$2:$B$61,A823)</f>
        <v/>
      </c>
      <c r="F823" s="44">
        <f>E823*INDEX('Age profile'!$B$2:$B$61,B823)</f>
        <v/>
      </c>
      <c r="G823" s="45">
        <f>MIN(in_takeup_cap,INDEX('Age profile'!$N$2:$N$61,B823)*(1+in_takeup_growth)^(D823-1))</f>
        <v/>
      </c>
      <c r="H823" s="11">
        <f>MIN(in_approval_cap,in_approved_first*INDEX('Age profile'!$O$2:$O$61,B823)*(1+in_approval_growth)^(D823-1))</f>
        <v/>
      </c>
      <c r="I823" s="45">
        <f>G823*MIN(in_takeup_cap,INDEX('Age profile'!$O$2:$O$61,B823)*(1+in_approval_growth)^(D823-1))</f>
        <v/>
      </c>
      <c r="J823" s="40">
        <f>(J822-L822)*F823/F822</f>
        <v/>
      </c>
      <c r="K823" s="40">
        <f>(K822-M822)*F823/F822+SUMIFS(O797:O822,B797:B822,B823-1-d_T)*F823</f>
        <v/>
      </c>
      <c r="L823" s="40">
        <f>IF(B823&gt;=in_marketplace_from,J823*d_hz*G823*in_eligible*H823,0)</f>
        <v/>
      </c>
      <c r="M823" s="40">
        <f>IF(B823&gt;=in_marketplace_from,K823*d_hz*G823*in_eligible*in_approved_repeat,0)</f>
        <v/>
      </c>
      <c r="N823" s="40">
        <f>L823+M823</f>
        <v/>
      </c>
      <c r="O823" s="46">
        <f>N823/F823</f>
        <v/>
      </c>
      <c r="P823" s="40">
        <f>F823-J823-K823</f>
        <v/>
      </c>
      <c r="Q823" s="40">
        <f>IF(B823&gt;=in_marketplace_from,(J823+K823)*d_hz*G823,0)</f>
        <v/>
      </c>
      <c r="R823" s="40">
        <f>SUMIFS(N797:N841,B797:B841,"&gt;="&amp;(B823-d_T),B797:B841,"&lt;="&amp;(B823-1))</f>
        <v/>
      </c>
      <c r="S823" s="46">
        <f>(1-d_u)*S822+IF(d_T&gt;in_topup_lag,SUMIFS(O797:O841,B797:B841,B823-in_topup_lag)-d_udrop*SUMIFS(O797:O841,B797:B841,B823-d_T),0)</f>
        <v/>
      </c>
      <c r="T823" s="40">
        <f>F823*d_u*S823</f>
        <v/>
      </c>
      <c r="U823" s="9">
        <f>L823*in_ticket+M823*d_rep_ticket</f>
        <v/>
      </c>
      <c r="V823" s="9">
        <f>U823+T823*d_topup_amt</f>
        <v/>
      </c>
      <c r="W823" s="40">
        <f>N823+T823*d_topup_ratio</f>
        <v/>
      </c>
      <c r="X823" s="40">
        <f>SUMIFS(W797:W841,B797:B841,B823-in_dpd_lag)*d_cured</f>
        <v/>
      </c>
      <c r="Y823" s="40">
        <f>SUMIFS(W797:W841,B797:B841,B823-in_rec_lag)*d_recd</f>
        <v/>
      </c>
      <c r="Z823" s="40">
        <f>IF(AND(B823&gt;=in_marketplace_from,B823&lt;in_marketplace_from+in_card_months),in_card_share/in_card_months*F823*I823,IF(AND(B823&gt;=in_marketplace_from+in_card_months,B823&lt;in_marketplace_from+2*in_card_months),in_card_share*d_card_rem/in_card_months*F823*MIN(in_takeup_cap,(1+in_takeup_growth)^(D823-1))*MIN(in_takeup_cap,(1+in_approval_growth)^(D823-1)),0))</f>
        <v/>
      </c>
      <c r="AA823" s="14">
        <f>V823*in_fee*(1-in_taken_back)</f>
        <v/>
      </c>
      <c r="AB823" s="14">
        <f>SUMIFS(W797:W841,B797:B841,B823-in_dpd_lag)*d_dpd</f>
        <v/>
      </c>
      <c r="AC823" s="14">
        <f>SUMIFS(W797:W841,B797:B841,B823-in_rec_lag)*d_rec</f>
        <v/>
      </c>
      <c r="AD823" s="14">
        <f>Z823*in_card_fee</f>
        <v/>
      </c>
      <c r="AE823" s="40">
        <f>AE822*(1-IF(B822&gt;=in_marketplace_from,d_hz_hlth_small*G822,0))</f>
        <v/>
      </c>
      <c r="AF823" s="46">
        <f>AE823*IF(B823&gt;=in_marketplace_from,d_hz_hlth_small*G823,0)</f>
        <v/>
      </c>
      <c r="AG823" s="14">
        <f>F823*AF823*in_hlth_small_ticket*in_hlth_small_comm*in_ins_partner_share+F823*in_hlth_small_ticket*in_hlth_small_renew_comm*in_ins_partner_share*(in_hlth_small_renew^1*SUMIFS(AF797:AF841,B797:B841,B823-12)+in_hlth_small_renew^2*SUMIFS(AF797:AF841,B797:B841,B823-24)+in_hlth_small_renew^3*SUMIFS(AF797:AF841,B797:B841,B823-36)+in_hlth_small_renew^4*SUMIFS(AF797:AF841,B797:B841,B823-48))</f>
        <v/>
      </c>
      <c r="AH823" s="40">
        <f>AH822*(1-IF(B822&gt;=in_marketplace_from,d_hz_hlth_family*G822,0))</f>
        <v/>
      </c>
      <c r="AI823" s="46">
        <f>AH823*IF(B823&gt;=in_marketplace_from,d_hz_hlth_family*G823,0)</f>
        <v/>
      </c>
      <c r="AJ823" s="14">
        <f>F823*AI823*in_hlth_family_ticket*in_hlth_family_comm*in_ins_partner_share+F823*in_hlth_family_ticket*in_hlth_family_renew_comm*in_ins_partner_share*(in_hlth_family_renew^1*SUMIFS(AI797:AI841,B797:B841,B823-12)+in_hlth_family_renew^2*SUMIFS(AI797:AI841,B797:B841,B823-24)+in_hlth_family_renew^3*SUMIFS(AI797:AI841,B797:B841,B823-36)+in_hlth_family_renew^4*SUMIFS(AI797:AI841,B797:B841,B823-48))</f>
        <v/>
      </c>
      <c r="AK823" s="40">
        <f>AK822*(1-IF(B822&gt;=in_marketplace_from,d_hz_life_term*G822,0))</f>
        <v/>
      </c>
      <c r="AL823" s="46">
        <f>AK823*IF(B823&gt;=in_marketplace_from,d_hz_life_term*G823,0)</f>
        <v/>
      </c>
      <c r="AM823" s="14">
        <f>F823*AL823*in_life_term_ticket*in_life_term_comm*in_ins_partner_share+F823*in_life_term_ticket*in_life_term_renew_comm*in_ins_partner_share*(in_life_term_renew^1*SUMIFS(AL797:AL841,B797:B841,B823-12)+in_life_term_renew^2*SUMIFS(AL797:AL841,B797:B841,B823-24)+in_life_term_renew^3*SUMIFS(AL797:AL841,B797:B841,B823-36)+in_life_term_renew^4*SUMIFS(AL797:AL841,B797:B841,B823-48))</f>
        <v/>
      </c>
      <c r="AN823" s="40">
        <f>AN822*(1-IF(B822&gt;=in_marketplace_from,d_hz_accident*G822,0))</f>
        <v/>
      </c>
      <c r="AO823" s="46">
        <f>AN823*IF(B823&gt;=in_marketplace_from,d_hz_accident*G823,0)</f>
        <v/>
      </c>
      <c r="AP823" s="14">
        <f>F823*AO823*in_accident_ticket*in_accident_comm*in_ins_partner_share+F823*in_accident_ticket*in_accident_renew_comm*in_ins_partner_share*(in_accident_renew^1*SUMIFS(AO797:AO841,B797:B841,B823-12)+in_accident_renew^2*SUMIFS(AO797:AO841,B797:B841,B823-24)+in_accident_renew^3*SUMIFS(AO797:AO841,B797:B841,B823-36)+in_accident_renew^4*SUMIFS(AO797:AO841,B797:B841,B823-48))</f>
        <v/>
      </c>
      <c r="AQ823" s="40">
        <f>AQ822*(1-IF(B822&gt;=in_marketplace_from,d_hz_two_wheeler*G822,0))</f>
        <v/>
      </c>
      <c r="AR823" s="46">
        <f>AQ823*IF(B823&gt;=in_marketplace_from,d_hz_two_wheeler*G823,0)</f>
        <v/>
      </c>
      <c r="AS823" s="14">
        <f>F823*AR823*in_two_wheeler_ticket*in_two_wheeler_comm*in_ins_partner_share+F823*in_two_wheeler_ticket*in_two_wheeler_comm*in_ins_partner_share*(in_two_wheeler_renew^1*SUMIFS(AR797:AR841,B797:B841,B823-12)+in_two_wheeler_renew^2*SUMIFS(AR797:AR841,B797:B841,B823-24)+in_two_wheeler_renew^3*SUMIFS(AR797:AR841,B797:B841,B823-36)+in_two_wheeler_renew^4*SUMIFS(AR797:AR841,B797:B841,B823-48))</f>
        <v/>
      </c>
      <c r="AT823" s="40">
        <f>AT822*(1-IF(B822&gt;=in_marketplace_from,d_hz_device*G822,0))</f>
        <v/>
      </c>
      <c r="AU823" s="14">
        <f>F823*AT823*IF(B823&gt;=in_marketplace_from,d_hz_device*G823,0)*in_device_ticket*in_device_comm*in_ins_partner_share</f>
        <v/>
      </c>
      <c r="AV823" s="40">
        <f>AV822*(1-IF(B822&gt;=in_marketplace_from,d_hz_shop*G822,0))</f>
        <v/>
      </c>
      <c r="AW823" s="46">
        <f>AV823*IF(B823&gt;=in_marketplace_from,d_hz_shop*G823,0)</f>
        <v/>
      </c>
      <c r="AX823" s="14">
        <f>F823*AW823*in_shop_ticket*in_shop_comm*in_ins_partner_share+F823*in_shop_ticket*in_shop_renew_comm*in_ins_partner_share*(in_shop_renew^1*SUMIFS(AW797:AW841,B797:B841,B823-12)+in_shop_renew^2*SUMIFS(AW797:AW841,B797:B841,B823-24)+in_shop_renew^3*SUMIFS(AW797:AW841,B797:B841,B823-36)+in_shop_renew^4*SUMIFS(AW797:AW841,B797:B841,B823-48))</f>
        <v/>
      </c>
      <c r="AY823" s="40">
        <f>AY822*(1-IF(B822&gt;=in_marketplace_from,d_hz_sip*G822,0))</f>
        <v/>
      </c>
      <c r="AZ823" s="40">
        <f>AZ822*d_rho_sip+AY823*IF(B823&gt;=in_marketplace_from,d_hz_sip*G823,0)</f>
        <v/>
      </c>
      <c r="BA823" s="40">
        <f>d_rho_sip*(BA822+AZ822)</f>
        <v/>
      </c>
      <c r="BB823" s="14">
        <f>F823*in_sip_ticket*(BA823+0.5*AZ823)*in_sip_comm/12</f>
        <v/>
      </c>
      <c r="BC823" s="40">
        <f>BC822*(1-IF(B822&gt;=in_marketplace_from,d_hz_choti*G822,0))</f>
        <v/>
      </c>
      <c r="BD823" s="46">
        <f>BC823*IF(B823&gt;=in_marketplace_from,d_hz_choti*G823,0)</f>
        <v/>
      </c>
      <c r="BE823" s="14">
        <f>F823*SUMIFS(BD797:BD841,B797:B841,B823-in_choti_months)*in_choti_renew*in_choti_ticket</f>
        <v/>
      </c>
      <c r="BF823" s="40">
        <f>BF822*(1-IF(B822&gt;=in_marketplace_from,d_hz_nps*G822,0))</f>
        <v/>
      </c>
      <c r="BG823" s="14">
        <f>F823*BF823*IF(B823&gt;=in_marketplace_from,d_hz_nps*G823,0)*in_nps_ticket*in_nps_comm</f>
        <v/>
      </c>
      <c r="BH823" s="40">
        <f>BH822*(1-IF(B822&gt;=in_marketplace_from,d_hz_gold*G822,0))</f>
        <v/>
      </c>
      <c r="BI823" s="40">
        <f>BI822*d_rho_gold+BH823*IF(B823&gt;=in_marketplace_from,d_hz_gold*G823,0)</f>
        <v/>
      </c>
      <c r="BJ823" s="14">
        <f>F823*BI823*in_gold_ticket*in_gold_comm</f>
        <v/>
      </c>
      <c r="BK823" s="40">
        <f>BK822*(1-IF(B822&gt;=in_marketplace_from,d_hz_fd*G822,0))</f>
        <v/>
      </c>
      <c r="BL823" s="14">
        <f>F823*BK823*IF(B823&gt;=in_marketplace_from,d_hz_fd*G823,0)*in_fd_ticket*in_fd_comm</f>
        <v/>
      </c>
      <c r="BM823" s="40">
        <f>BM822*(1-IF(B822&gt;=in_marketplace_from,d_hz_recharge*G822,0))</f>
        <v/>
      </c>
      <c r="BN823" s="40">
        <f>BN822*d_rho_recharge+BM823*IF(B823&gt;=in_marketplace_from,d_hz_recharge*G823,0)</f>
        <v/>
      </c>
      <c r="BO823" s="14">
        <f>F823*BN823*in_recharge_ticket*in_recharge_comm/12</f>
        <v/>
      </c>
      <c r="BP823" s="40">
        <f>BP822*(1-IF(B822&gt;=in_marketplace_from,d_hz_bills*G822,0))</f>
        <v/>
      </c>
      <c r="BQ823" s="40">
        <f>BQ822*d_rho_bills+BP823*IF(B823&gt;=in_marketplace_from,d_hz_bills*G823,0)</f>
        <v/>
      </c>
      <c r="BR823" s="14">
        <f>F823*BQ823*in_bills_ticket*in_bills_comm/12</f>
        <v/>
      </c>
      <c r="BS823" s="40">
        <f>BS822*(1-IF(B822&gt;=in_marketplace_from,d_hz_loan_gold*G822,0))</f>
        <v/>
      </c>
      <c r="BT823" s="14">
        <f>F823*BS823*IF(B823&gt;=in_marketplace_from,d_hz_loan_gold*G823,0)*in_loan_gold_ticket*in_loan_gold_comm</f>
        <v/>
      </c>
      <c r="BU823" s="40">
        <f>BU822*(1-IF(B822&gt;=in_marketplace_from,d_hz_loan_cd*G822,0))</f>
        <v/>
      </c>
      <c r="BV823" s="14">
        <f>F823*BU823*IF(B823&gt;=in_marketplace_from,d_hz_loan_cd*G823,0)*in_loan_cd_ticket*in_loan_cd_comm</f>
        <v/>
      </c>
      <c r="BW823" s="40">
        <f>BW822*(1-IF(B822&gt;=in_marketplace_from,d_hz_loan_vehicle*G822,0))</f>
        <v/>
      </c>
      <c r="BX823" s="14">
        <f>F823*BW823*IF(B823&gt;=in_marketplace_from,d_hz_loan_vehicle*G823,0)*in_loan_vehicle_ticket*in_loan_vehicle_comm</f>
        <v/>
      </c>
      <c r="BY823" s="40">
        <f>BY822*(1-IF(B822&gt;=in_marketplace_from,d_hz_loan_home*G822,0)*BZ822)</f>
        <v/>
      </c>
      <c r="BZ823" s="11">
        <f>MIN(in_approval_cap,in_loan_home_approval*INDEX('Age profile'!$O$2:$O$61,B823)*(1+in_approval_growth)^(D823-1))</f>
        <v/>
      </c>
      <c r="CA823" s="14">
        <f>F823*BY823*IF(B823&gt;=in_marketplace_from,d_hz_loan_home*G823,0)*BZ823*in_loan_home_ticket*in_loan_home_comm</f>
        <v/>
      </c>
      <c r="CB823" s="40">
        <f>CB822*(1-IF(B822&gt;=in_marketplace_from,d_hz_loan_lap*G822,0)*CC822)</f>
        <v/>
      </c>
      <c r="CC823" s="11">
        <f>MIN(in_approval_cap,in_loan_lap_approval*INDEX('Age profile'!$O$2:$O$61,B823)*(1+in_approval_growth)^(D823-1))</f>
        <v/>
      </c>
      <c r="CD823" s="14">
        <f>F823*CB823*IF(B823&gt;=in_marketplace_from,d_hz_loan_lap*G823,0)*CC823*in_loan_lap_ticket*in_loan_lap_comm</f>
        <v/>
      </c>
      <c r="CE823" s="14">
        <f>AA823+AB823+AC823+AD823+AG823+AJ823+AM823+AP823+AS823+AU823+AX823+BB823+BE823+BG823+BJ823+BL823+BO823+BR823+BT823+BV823+BX823+CA823+CD823</f>
        <v/>
      </c>
    </row>
    <row r="824">
      <c r="A824" s="39" t="n">
        <v>16</v>
      </c>
      <c r="B824" s="39" t="n">
        <v>28</v>
      </c>
      <c r="C824" s="39">
        <f>A824+B824-1</f>
        <v/>
      </c>
      <c r="D824" s="39">
        <f>INT((C824-1)/12)+1</f>
        <v/>
      </c>
      <c r="E824" s="44">
        <f>INDEX(Monthly!$B$2:$B$61,A824)</f>
        <v/>
      </c>
      <c r="F824" s="44">
        <f>E824*INDEX('Age profile'!$B$2:$B$61,B824)</f>
        <v/>
      </c>
      <c r="G824" s="45">
        <f>MIN(in_takeup_cap,INDEX('Age profile'!$N$2:$N$61,B824)*(1+in_takeup_growth)^(D824-1))</f>
        <v/>
      </c>
      <c r="H824" s="11">
        <f>MIN(in_approval_cap,in_approved_first*INDEX('Age profile'!$O$2:$O$61,B824)*(1+in_approval_growth)^(D824-1))</f>
        <v/>
      </c>
      <c r="I824" s="45">
        <f>G824*MIN(in_takeup_cap,INDEX('Age profile'!$O$2:$O$61,B824)*(1+in_approval_growth)^(D824-1))</f>
        <v/>
      </c>
      <c r="J824" s="40">
        <f>(J823-L823)*F824/F823</f>
        <v/>
      </c>
      <c r="K824" s="40">
        <f>(K823-M823)*F824/F823+SUMIFS(O797:O823,B797:B823,B824-1-d_T)*F824</f>
        <v/>
      </c>
      <c r="L824" s="40">
        <f>IF(B824&gt;=in_marketplace_from,J824*d_hz*G824*in_eligible*H824,0)</f>
        <v/>
      </c>
      <c r="M824" s="40">
        <f>IF(B824&gt;=in_marketplace_from,K824*d_hz*G824*in_eligible*in_approved_repeat,0)</f>
        <v/>
      </c>
      <c r="N824" s="40">
        <f>L824+M824</f>
        <v/>
      </c>
      <c r="O824" s="46">
        <f>N824/F824</f>
        <v/>
      </c>
      <c r="P824" s="40">
        <f>F824-J824-K824</f>
        <v/>
      </c>
      <c r="Q824" s="40">
        <f>IF(B824&gt;=in_marketplace_from,(J824+K824)*d_hz*G824,0)</f>
        <v/>
      </c>
      <c r="R824" s="40">
        <f>SUMIFS(N797:N841,B797:B841,"&gt;="&amp;(B824-d_T),B797:B841,"&lt;="&amp;(B824-1))</f>
        <v/>
      </c>
      <c r="S824" s="46">
        <f>(1-d_u)*S823+IF(d_T&gt;in_topup_lag,SUMIFS(O797:O841,B797:B841,B824-in_topup_lag)-d_udrop*SUMIFS(O797:O841,B797:B841,B824-d_T),0)</f>
        <v/>
      </c>
      <c r="T824" s="40">
        <f>F824*d_u*S824</f>
        <v/>
      </c>
      <c r="U824" s="9">
        <f>L824*in_ticket+M824*d_rep_ticket</f>
        <v/>
      </c>
      <c r="V824" s="9">
        <f>U824+T824*d_topup_amt</f>
        <v/>
      </c>
      <c r="W824" s="40">
        <f>N824+T824*d_topup_ratio</f>
        <v/>
      </c>
      <c r="X824" s="40">
        <f>SUMIFS(W797:W841,B797:B841,B824-in_dpd_lag)*d_cured</f>
        <v/>
      </c>
      <c r="Y824" s="40">
        <f>SUMIFS(W797:W841,B797:B841,B824-in_rec_lag)*d_recd</f>
        <v/>
      </c>
      <c r="Z824" s="40">
        <f>IF(AND(B824&gt;=in_marketplace_from,B824&lt;in_marketplace_from+in_card_months),in_card_share/in_card_months*F824*I824,IF(AND(B824&gt;=in_marketplace_from+in_card_months,B824&lt;in_marketplace_from+2*in_card_months),in_card_share*d_card_rem/in_card_months*F824*MIN(in_takeup_cap,(1+in_takeup_growth)^(D824-1))*MIN(in_takeup_cap,(1+in_approval_growth)^(D824-1)),0))</f>
        <v/>
      </c>
      <c r="AA824" s="14">
        <f>V824*in_fee*(1-in_taken_back)</f>
        <v/>
      </c>
      <c r="AB824" s="14">
        <f>SUMIFS(W797:W841,B797:B841,B824-in_dpd_lag)*d_dpd</f>
        <v/>
      </c>
      <c r="AC824" s="14">
        <f>SUMIFS(W797:W841,B797:B841,B824-in_rec_lag)*d_rec</f>
        <v/>
      </c>
      <c r="AD824" s="14">
        <f>Z824*in_card_fee</f>
        <v/>
      </c>
      <c r="AE824" s="40">
        <f>AE823*(1-IF(B823&gt;=in_marketplace_from,d_hz_hlth_small*G823,0))</f>
        <v/>
      </c>
      <c r="AF824" s="46">
        <f>AE824*IF(B824&gt;=in_marketplace_from,d_hz_hlth_small*G824,0)</f>
        <v/>
      </c>
      <c r="AG824" s="14">
        <f>F824*AF824*in_hlth_small_ticket*in_hlth_small_comm*in_ins_partner_share+F824*in_hlth_small_ticket*in_hlth_small_renew_comm*in_ins_partner_share*(in_hlth_small_renew^1*SUMIFS(AF797:AF841,B797:B841,B824-12)+in_hlth_small_renew^2*SUMIFS(AF797:AF841,B797:B841,B824-24)+in_hlth_small_renew^3*SUMIFS(AF797:AF841,B797:B841,B824-36)+in_hlth_small_renew^4*SUMIFS(AF797:AF841,B797:B841,B824-48))</f>
        <v/>
      </c>
      <c r="AH824" s="40">
        <f>AH823*(1-IF(B823&gt;=in_marketplace_from,d_hz_hlth_family*G823,0))</f>
        <v/>
      </c>
      <c r="AI824" s="46">
        <f>AH824*IF(B824&gt;=in_marketplace_from,d_hz_hlth_family*G824,0)</f>
        <v/>
      </c>
      <c r="AJ824" s="14">
        <f>F824*AI824*in_hlth_family_ticket*in_hlth_family_comm*in_ins_partner_share+F824*in_hlth_family_ticket*in_hlth_family_renew_comm*in_ins_partner_share*(in_hlth_family_renew^1*SUMIFS(AI797:AI841,B797:B841,B824-12)+in_hlth_family_renew^2*SUMIFS(AI797:AI841,B797:B841,B824-24)+in_hlth_family_renew^3*SUMIFS(AI797:AI841,B797:B841,B824-36)+in_hlth_family_renew^4*SUMIFS(AI797:AI841,B797:B841,B824-48))</f>
        <v/>
      </c>
      <c r="AK824" s="40">
        <f>AK823*(1-IF(B823&gt;=in_marketplace_from,d_hz_life_term*G823,0))</f>
        <v/>
      </c>
      <c r="AL824" s="46">
        <f>AK824*IF(B824&gt;=in_marketplace_from,d_hz_life_term*G824,0)</f>
        <v/>
      </c>
      <c r="AM824" s="14">
        <f>F824*AL824*in_life_term_ticket*in_life_term_comm*in_ins_partner_share+F824*in_life_term_ticket*in_life_term_renew_comm*in_ins_partner_share*(in_life_term_renew^1*SUMIFS(AL797:AL841,B797:B841,B824-12)+in_life_term_renew^2*SUMIFS(AL797:AL841,B797:B841,B824-24)+in_life_term_renew^3*SUMIFS(AL797:AL841,B797:B841,B824-36)+in_life_term_renew^4*SUMIFS(AL797:AL841,B797:B841,B824-48))</f>
        <v/>
      </c>
      <c r="AN824" s="40">
        <f>AN823*(1-IF(B823&gt;=in_marketplace_from,d_hz_accident*G823,0))</f>
        <v/>
      </c>
      <c r="AO824" s="46">
        <f>AN824*IF(B824&gt;=in_marketplace_from,d_hz_accident*G824,0)</f>
        <v/>
      </c>
      <c r="AP824" s="14">
        <f>F824*AO824*in_accident_ticket*in_accident_comm*in_ins_partner_share+F824*in_accident_ticket*in_accident_renew_comm*in_ins_partner_share*(in_accident_renew^1*SUMIFS(AO797:AO841,B797:B841,B824-12)+in_accident_renew^2*SUMIFS(AO797:AO841,B797:B841,B824-24)+in_accident_renew^3*SUMIFS(AO797:AO841,B797:B841,B824-36)+in_accident_renew^4*SUMIFS(AO797:AO841,B797:B841,B824-48))</f>
        <v/>
      </c>
      <c r="AQ824" s="40">
        <f>AQ823*(1-IF(B823&gt;=in_marketplace_from,d_hz_two_wheeler*G823,0))</f>
        <v/>
      </c>
      <c r="AR824" s="46">
        <f>AQ824*IF(B824&gt;=in_marketplace_from,d_hz_two_wheeler*G824,0)</f>
        <v/>
      </c>
      <c r="AS824" s="14">
        <f>F824*AR824*in_two_wheeler_ticket*in_two_wheeler_comm*in_ins_partner_share+F824*in_two_wheeler_ticket*in_two_wheeler_comm*in_ins_partner_share*(in_two_wheeler_renew^1*SUMIFS(AR797:AR841,B797:B841,B824-12)+in_two_wheeler_renew^2*SUMIFS(AR797:AR841,B797:B841,B824-24)+in_two_wheeler_renew^3*SUMIFS(AR797:AR841,B797:B841,B824-36)+in_two_wheeler_renew^4*SUMIFS(AR797:AR841,B797:B841,B824-48))</f>
        <v/>
      </c>
      <c r="AT824" s="40">
        <f>AT823*(1-IF(B823&gt;=in_marketplace_from,d_hz_device*G823,0))</f>
        <v/>
      </c>
      <c r="AU824" s="14">
        <f>F824*AT824*IF(B824&gt;=in_marketplace_from,d_hz_device*G824,0)*in_device_ticket*in_device_comm*in_ins_partner_share</f>
        <v/>
      </c>
      <c r="AV824" s="40">
        <f>AV823*(1-IF(B823&gt;=in_marketplace_from,d_hz_shop*G823,0))</f>
        <v/>
      </c>
      <c r="AW824" s="46">
        <f>AV824*IF(B824&gt;=in_marketplace_from,d_hz_shop*G824,0)</f>
        <v/>
      </c>
      <c r="AX824" s="14">
        <f>F824*AW824*in_shop_ticket*in_shop_comm*in_ins_partner_share+F824*in_shop_ticket*in_shop_renew_comm*in_ins_partner_share*(in_shop_renew^1*SUMIFS(AW797:AW841,B797:B841,B824-12)+in_shop_renew^2*SUMIFS(AW797:AW841,B797:B841,B824-24)+in_shop_renew^3*SUMIFS(AW797:AW841,B797:B841,B824-36)+in_shop_renew^4*SUMIFS(AW797:AW841,B797:B841,B824-48))</f>
        <v/>
      </c>
      <c r="AY824" s="40">
        <f>AY823*(1-IF(B823&gt;=in_marketplace_from,d_hz_sip*G823,0))</f>
        <v/>
      </c>
      <c r="AZ824" s="40">
        <f>AZ823*d_rho_sip+AY824*IF(B824&gt;=in_marketplace_from,d_hz_sip*G824,0)</f>
        <v/>
      </c>
      <c r="BA824" s="40">
        <f>d_rho_sip*(BA823+AZ823)</f>
        <v/>
      </c>
      <c r="BB824" s="14">
        <f>F824*in_sip_ticket*(BA824+0.5*AZ824)*in_sip_comm/12</f>
        <v/>
      </c>
      <c r="BC824" s="40">
        <f>BC823*(1-IF(B823&gt;=in_marketplace_from,d_hz_choti*G823,0))</f>
        <v/>
      </c>
      <c r="BD824" s="46">
        <f>BC824*IF(B824&gt;=in_marketplace_from,d_hz_choti*G824,0)</f>
        <v/>
      </c>
      <c r="BE824" s="14">
        <f>F824*SUMIFS(BD797:BD841,B797:B841,B824-in_choti_months)*in_choti_renew*in_choti_ticket</f>
        <v/>
      </c>
      <c r="BF824" s="40">
        <f>BF823*(1-IF(B823&gt;=in_marketplace_from,d_hz_nps*G823,0))</f>
        <v/>
      </c>
      <c r="BG824" s="14">
        <f>F824*BF824*IF(B824&gt;=in_marketplace_from,d_hz_nps*G824,0)*in_nps_ticket*in_nps_comm</f>
        <v/>
      </c>
      <c r="BH824" s="40">
        <f>BH823*(1-IF(B823&gt;=in_marketplace_from,d_hz_gold*G823,0))</f>
        <v/>
      </c>
      <c r="BI824" s="40">
        <f>BI823*d_rho_gold+BH824*IF(B824&gt;=in_marketplace_from,d_hz_gold*G824,0)</f>
        <v/>
      </c>
      <c r="BJ824" s="14">
        <f>F824*BI824*in_gold_ticket*in_gold_comm</f>
        <v/>
      </c>
      <c r="BK824" s="40">
        <f>BK823*(1-IF(B823&gt;=in_marketplace_from,d_hz_fd*G823,0))</f>
        <v/>
      </c>
      <c r="BL824" s="14">
        <f>F824*BK824*IF(B824&gt;=in_marketplace_from,d_hz_fd*G824,0)*in_fd_ticket*in_fd_comm</f>
        <v/>
      </c>
      <c r="BM824" s="40">
        <f>BM823*(1-IF(B823&gt;=in_marketplace_from,d_hz_recharge*G823,0))</f>
        <v/>
      </c>
      <c r="BN824" s="40">
        <f>BN823*d_rho_recharge+BM824*IF(B824&gt;=in_marketplace_from,d_hz_recharge*G824,0)</f>
        <v/>
      </c>
      <c r="BO824" s="14">
        <f>F824*BN824*in_recharge_ticket*in_recharge_comm/12</f>
        <v/>
      </c>
      <c r="BP824" s="40">
        <f>BP823*(1-IF(B823&gt;=in_marketplace_from,d_hz_bills*G823,0))</f>
        <v/>
      </c>
      <c r="BQ824" s="40">
        <f>BQ823*d_rho_bills+BP824*IF(B824&gt;=in_marketplace_from,d_hz_bills*G824,0)</f>
        <v/>
      </c>
      <c r="BR824" s="14">
        <f>F824*BQ824*in_bills_ticket*in_bills_comm/12</f>
        <v/>
      </c>
      <c r="BS824" s="40">
        <f>BS823*(1-IF(B823&gt;=in_marketplace_from,d_hz_loan_gold*G823,0))</f>
        <v/>
      </c>
      <c r="BT824" s="14">
        <f>F824*BS824*IF(B824&gt;=in_marketplace_from,d_hz_loan_gold*G824,0)*in_loan_gold_ticket*in_loan_gold_comm</f>
        <v/>
      </c>
      <c r="BU824" s="40">
        <f>BU823*(1-IF(B823&gt;=in_marketplace_from,d_hz_loan_cd*G823,0))</f>
        <v/>
      </c>
      <c r="BV824" s="14">
        <f>F824*BU824*IF(B824&gt;=in_marketplace_from,d_hz_loan_cd*G824,0)*in_loan_cd_ticket*in_loan_cd_comm</f>
        <v/>
      </c>
      <c r="BW824" s="40">
        <f>BW823*(1-IF(B823&gt;=in_marketplace_from,d_hz_loan_vehicle*G823,0))</f>
        <v/>
      </c>
      <c r="BX824" s="14">
        <f>F824*BW824*IF(B824&gt;=in_marketplace_from,d_hz_loan_vehicle*G824,0)*in_loan_vehicle_ticket*in_loan_vehicle_comm</f>
        <v/>
      </c>
      <c r="BY824" s="40">
        <f>BY823*(1-IF(B823&gt;=in_marketplace_from,d_hz_loan_home*G823,0)*BZ823)</f>
        <v/>
      </c>
      <c r="BZ824" s="11">
        <f>MIN(in_approval_cap,in_loan_home_approval*INDEX('Age profile'!$O$2:$O$61,B824)*(1+in_approval_growth)^(D824-1))</f>
        <v/>
      </c>
      <c r="CA824" s="14">
        <f>F824*BY824*IF(B824&gt;=in_marketplace_from,d_hz_loan_home*G824,0)*BZ824*in_loan_home_ticket*in_loan_home_comm</f>
        <v/>
      </c>
      <c r="CB824" s="40">
        <f>CB823*(1-IF(B823&gt;=in_marketplace_from,d_hz_loan_lap*G823,0)*CC823)</f>
        <v/>
      </c>
      <c r="CC824" s="11">
        <f>MIN(in_approval_cap,in_loan_lap_approval*INDEX('Age profile'!$O$2:$O$61,B824)*(1+in_approval_growth)^(D824-1))</f>
        <v/>
      </c>
      <c r="CD824" s="14">
        <f>F824*CB824*IF(B824&gt;=in_marketplace_from,d_hz_loan_lap*G824,0)*CC824*in_loan_lap_ticket*in_loan_lap_comm</f>
        <v/>
      </c>
      <c r="CE824" s="14">
        <f>AA824+AB824+AC824+AD824+AG824+AJ824+AM824+AP824+AS824+AU824+AX824+BB824+BE824+BG824+BJ824+BL824+BO824+BR824+BT824+BV824+BX824+CA824+CD824</f>
        <v/>
      </c>
    </row>
    <row r="825">
      <c r="A825" s="39" t="n">
        <v>16</v>
      </c>
      <c r="B825" s="39" t="n">
        <v>29</v>
      </c>
      <c r="C825" s="39">
        <f>A825+B825-1</f>
        <v/>
      </c>
      <c r="D825" s="39">
        <f>INT((C825-1)/12)+1</f>
        <v/>
      </c>
      <c r="E825" s="44">
        <f>INDEX(Monthly!$B$2:$B$61,A825)</f>
        <v/>
      </c>
      <c r="F825" s="44">
        <f>E825*INDEX('Age profile'!$B$2:$B$61,B825)</f>
        <v/>
      </c>
      <c r="G825" s="45">
        <f>MIN(in_takeup_cap,INDEX('Age profile'!$N$2:$N$61,B825)*(1+in_takeup_growth)^(D825-1))</f>
        <v/>
      </c>
      <c r="H825" s="11">
        <f>MIN(in_approval_cap,in_approved_first*INDEX('Age profile'!$O$2:$O$61,B825)*(1+in_approval_growth)^(D825-1))</f>
        <v/>
      </c>
      <c r="I825" s="45">
        <f>G825*MIN(in_takeup_cap,INDEX('Age profile'!$O$2:$O$61,B825)*(1+in_approval_growth)^(D825-1))</f>
        <v/>
      </c>
      <c r="J825" s="40">
        <f>(J824-L824)*F825/F824</f>
        <v/>
      </c>
      <c r="K825" s="40">
        <f>(K824-M824)*F825/F824+SUMIFS(O797:O824,B797:B824,B825-1-d_T)*F825</f>
        <v/>
      </c>
      <c r="L825" s="40">
        <f>IF(B825&gt;=in_marketplace_from,J825*d_hz*G825*in_eligible*H825,0)</f>
        <v/>
      </c>
      <c r="M825" s="40">
        <f>IF(B825&gt;=in_marketplace_from,K825*d_hz*G825*in_eligible*in_approved_repeat,0)</f>
        <v/>
      </c>
      <c r="N825" s="40">
        <f>L825+M825</f>
        <v/>
      </c>
      <c r="O825" s="46">
        <f>N825/F825</f>
        <v/>
      </c>
      <c r="P825" s="40">
        <f>F825-J825-K825</f>
        <v/>
      </c>
      <c r="Q825" s="40">
        <f>IF(B825&gt;=in_marketplace_from,(J825+K825)*d_hz*G825,0)</f>
        <v/>
      </c>
      <c r="R825" s="40">
        <f>SUMIFS(N797:N841,B797:B841,"&gt;="&amp;(B825-d_T),B797:B841,"&lt;="&amp;(B825-1))</f>
        <v/>
      </c>
      <c r="S825" s="46">
        <f>(1-d_u)*S824+IF(d_T&gt;in_topup_lag,SUMIFS(O797:O841,B797:B841,B825-in_topup_lag)-d_udrop*SUMIFS(O797:O841,B797:B841,B825-d_T),0)</f>
        <v/>
      </c>
      <c r="T825" s="40">
        <f>F825*d_u*S825</f>
        <v/>
      </c>
      <c r="U825" s="9">
        <f>L825*in_ticket+M825*d_rep_ticket</f>
        <v/>
      </c>
      <c r="V825" s="9">
        <f>U825+T825*d_topup_amt</f>
        <v/>
      </c>
      <c r="W825" s="40">
        <f>N825+T825*d_topup_ratio</f>
        <v/>
      </c>
      <c r="X825" s="40">
        <f>SUMIFS(W797:W841,B797:B841,B825-in_dpd_lag)*d_cured</f>
        <v/>
      </c>
      <c r="Y825" s="40">
        <f>SUMIFS(W797:W841,B797:B841,B825-in_rec_lag)*d_recd</f>
        <v/>
      </c>
      <c r="Z825" s="40">
        <f>IF(AND(B825&gt;=in_marketplace_from,B825&lt;in_marketplace_from+in_card_months),in_card_share/in_card_months*F825*I825,IF(AND(B825&gt;=in_marketplace_from+in_card_months,B825&lt;in_marketplace_from+2*in_card_months),in_card_share*d_card_rem/in_card_months*F825*MIN(in_takeup_cap,(1+in_takeup_growth)^(D825-1))*MIN(in_takeup_cap,(1+in_approval_growth)^(D825-1)),0))</f>
        <v/>
      </c>
      <c r="AA825" s="14">
        <f>V825*in_fee*(1-in_taken_back)</f>
        <v/>
      </c>
      <c r="AB825" s="14">
        <f>SUMIFS(W797:W841,B797:B841,B825-in_dpd_lag)*d_dpd</f>
        <v/>
      </c>
      <c r="AC825" s="14">
        <f>SUMIFS(W797:W841,B797:B841,B825-in_rec_lag)*d_rec</f>
        <v/>
      </c>
      <c r="AD825" s="14">
        <f>Z825*in_card_fee</f>
        <v/>
      </c>
      <c r="AE825" s="40">
        <f>AE824*(1-IF(B824&gt;=in_marketplace_from,d_hz_hlth_small*G824,0))</f>
        <v/>
      </c>
      <c r="AF825" s="46">
        <f>AE825*IF(B825&gt;=in_marketplace_from,d_hz_hlth_small*G825,0)</f>
        <v/>
      </c>
      <c r="AG825" s="14">
        <f>F825*AF825*in_hlth_small_ticket*in_hlth_small_comm*in_ins_partner_share+F825*in_hlth_small_ticket*in_hlth_small_renew_comm*in_ins_partner_share*(in_hlth_small_renew^1*SUMIFS(AF797:AF841,B797:B841,B825-12)+in_hlth_small_renew^2*SUMIFS(AF797:AF841,B797:B841,B825-24)+in_hlth_small_renew^3*SUMIFS(AF797:AF841,B797:B841,B825-36)+in_hlth_small_renew^4*SUMIFS(AF797:AF841,B797:B841,B825-48))</f>
        <v/>
      </c>
      <c r="AH825" s="40">
        <f>AH824*(1-IF(B824&gt;=in_marketplace_from,d_hz_hlth_family*G824,0))</f>
        <v/>
      </c>
      <c r="AI825" s="46">
        <f>AH825*IF(B825&gt;=in_marketplace_from,d_hz_hlth_family*G825,0)</f>
        <v/>
      </c>
      <c r="AJ825" s="14">
        <f>F825*AI825*in_hlth_family_ticket*in_hlth_family_comm*in_ins_partner_share+F825*in_hlth_family_ticket*in_hlth_family_renew_comm*in_ins_partner_share*(in_hlth_family_renew^1*SUMIFS(AI797:AI841,B797:B841,B825-12)+in_hlth_family_renew^2*SUMIFS(AI797:AI841,B797:B841,B825-24)+in_hlth_family_renew^3*SUMIFS(AI797:AI841,B797:B841,B825-36)+in_hlth_family_renew^4*SUMIFS(AI797:AI841,B797:B841,B825-48))</f>
        <v/>
      </c>
      <c r="AK825" s="40">
        <f>AK824*(1-IF(B824&gt;=in_marketplace_from,d_hz_life_term*G824,0))</f>
        <v/>
      </c>
      <c r="AL825" s="46">
        <f>AK825*IF(B825&gt;=in_marketplace_from,d_hz_life_term*G825,0)</f>
        <v/>
      </c>
      <c r="AM825" s="14">
        <f>F825*AL825*in_life_term_ticket*in_life_term_comm*in_ins_partner_share+F825*in_life_term_ticket*in_life_term_renew_comm*in_ins_partner_share*(in_life_term_renew^1*SUMIFS(AL797:AL841,B797:B841,B825-12)+in_life_term_renew^2*SUMIFS(AL797:AL841,B797:B841,B825-24)+in_life_term_renew^3*SUMIFS(AL797:AL841,B797:B841,B825-36)+in_life_term_renew^4*SUMIFS(AL797:AL841,B797:B841,B825-48))</f>
        <v/>
      </c>
      <c r="AN825" s="40">
        <f>AN824*(1-IF(B824&gt;=in_marketplace_from,d_hz_accident*G824,0))</f>
        <v/>
      </c>
      <c r="AO825" s="46">
        <f>AN825*IF(B825&gt;=in_marketplace_from,d_hz_accident*G825,0)</f>
        <v/>
      </c>
      <c r="AP825" s="14">
        <f>F825*AO825*in_accident_ticket*in_accident_comm*in_ins_partner_share+F825*in_accident_ticket*in_accident_renew_comm*in_ins_partner_share*(in_accident_renew^1*SUMIFS(AO797:AO841,B797:B841,B825-12)+in_accident_renew^2*SUMIFS(AO797:AO841,B797:B841,B825-24)+in_accident_renew^3*SUMIFS(AO797:AO841,B797:B841,B825-36)+in_accident_renew^4*SUMIFS(AO797:AO841,B797:B841,B825-48))</f>
        <v/>
      </c>
      <c r="AQ825" s="40">
        <f>AQ824*(1-IF(B824&gt;=in_marketplace_from,d_hz_two_wheeler*G824,0))</f>
        <v/>
      </c>
      <c r="AR825" s="46">
        <f>AQ825*IF(B825&gt;=in_marketplace_from,d_hz_two_wheeler*G825,0)</f>
        <v/>
      </c>
      <c r="AS825" s="14">
        <f>F825*AR825*in_two_wheeler_ticket*in_two_wheeler_comm*in_ins_partner_share+F825*in_two_wheeler_ticket*in_two_wheeler_comm*in_ins_partner_share*(in_two_wheeler_renew^1*SUMIFS(AR797:AR841,B797:B841,B825-12)+in_two_wheeler_renew^2*SUMIFS(AR797:AR841,B797:B841,B825-24)+in_two_wheeler_renew^3*SUMIFS(AR797:AR841,B797:B841,B825-36)+in_two_wheeler_renew^4*SUMIFS(AR797:AR841,B797:B841,B825-48))</f>
        <v/>
      </c>
      <c r="AT825" s="40">
        <f>AT824*(1-IF(B824&gt;=in_marketplace_from,d_hz_device*G824,0))</f>
        <v/>
      </c>
      <c r="AU825" s="14">
        <f>F825*AT825*IF(B825&gt;=in_marketplace_from,d_hz_device*G825,0)*in_device_ticket*in_device_comm*in_ins_partner_share</f>
        <v/>
      </c>
      <c r="AV825" s="40">
        <f>AV824*(1-IF(B824&gt;=in_marketplace_from,d_hz_shop*G824,0))</f>
        <v/>
      </c>
      <c r="AW825" s="46">
        <f>AV825*IF(B825&gt;=in_marketplace_from,d_hz_shop*G825,0)</f>
        <v/>
      </c>
      <c r="AX825" s="14">
        <f>F825*AW825*in_shop_ticket*in_shop_comm*in_ins_partner_share+F825*in_shop_ticket*in_shop_renew_comm*in_ins_partner_share*(in_shop_renew^1*SUMIFS(AW797:AW841,B797:B841,B825-12)+in_shop_renew^2*SUMIFS(AW797:AW841,B797:B841,B825-24)+in_shop_renew^3*SUMIFS(AW797:AW841,B797:B841,B825-36)+in_shop_renew^4*SUMIFS(AW797:AW841,B797:B841,B825-48))</f>
        <v/>
      </c>
      <c r="AY825" s="40">
        <f>AY824*(1-IF(B824&gt;=in_marketplace_from,d_hz_sip*G824,0))</f>
        <v/>
      </c>
      <c r="AZ825" s="40">
        <f>AZ824*d_rho_sip+AY825*IF(B825&gt;=in_marketplace_from,d_hz_sip*G825,0)</f>
        <v/>
      </c>
      <c r="BA825" s="40">
        <f>d_rho_sip*(BA824+AZ824)</f>
        <v/>
      </c>
      <c r="BB825" s="14">
        <f>F825*in_sip_ticket*(BA825+0.5*AZ825)*in_sip_comm/12</f>
        <v/>
      </c>
      <c r="BC825" s="40">
        <f>BC824*(1-IF(B824&gt;=in_marketplace_from,d_hz_choti*G824,0))</f>
        <v/>
      </c>
      <c r="BD825" s="46">
        <f>BC825*IF(B825&gt;=in_marketplace_from,d_hz_choti*G825,0)</f>
        <v/>
      </c>
      <c r="BE825" s="14">
        <f>F825*SUMIFS(BD797:BD841,B797:B841,B825-in_choti_months)*in_choti_renew*in_choti_ticket</f>
        <v/>
      </c>
      <c r="BF825" s="40">
        <f>BF824*(1-IF(B824&gt;=in_marketplace_from,d_hz_nps*G824,0))</f>
        <v/>
      </c>
      <c r="BG825" s="14">
        <f>F825*BF825*IF(B825&gt;=in_marketplace_from,d_hz_nps*G825,0)*in_nps_ticket*in_nps_comm</f>
        <v/>
      </c>
      <c r="BH825" s="40">
        <f>BH824*(1-IF(B824&gt;=in_marketplace_from,d_hz_gold*G824,0))</f>
        <v/>
      </c>
      <c r="BI825" s="40">
        <f>BI824*d_rho_gold+BH825*IF(B825&gt;=in_marketplace_from,d_hz_gold*G825,0)</f>
        <v/>
      </c>
      <c r="BJ825" s="14">
        <f>F825*BI825*in_gold_ticket*in_gold_comm</f>
        <v/>
      </c>
      <c r="BK825" s="40">
        <f>BK824*(1-IF(B824&gt;=in_marketplace_from,d_hz_fd*G824,0))</f>
        <v/>
      </c>
      <c r="BL825" s="14">
        <f>F825*BK825*IF(B825&gt;=in_marketplace_from,d_hz_fd*G825,0)*in_fd_ticket*in_fd_comm</f>
        <v/>
      </c>
      <c r="BM825" s="40">
        <f>BM824*(1-IF(B824&gt;=in_marketplace_from,d_hz_recharge*G824,0))</f>
        <v/>
      </c>
      <c r="BN825" s="40">
        <f>BN824*d_rho_recharge+BM825*IF(B825&gt;=in_marketplace_from,d_hz_recharge*G825,0)</f>
        <v/>
      </c>
      <c r="BO825" s="14">
        <f>F825*BN825*in_recharge_ticket*in_recharge_comm/12</f>
        <v/>
      </c>
      <c r="BP825" s="40">
        <f>BP824*(1-IF(B824&gt;=in_marketplace_from,d_hz_bills*G824,0))</f>
        <v/>
      </c>
      <c r="BQ825" s="40">
        <f>BQ824*d_rho_bills+BP825*IF(B825&gt;=in_marketplace_from,d_hz_bills*G825,0)</f>
        <v/>
      </c>
      <c r="BR825" s="14">
        <f>F825*BQ825*in_bills_ticket*in_bills_comm/12</f>
        <v/>
      </c>
      <c r="BS825" s="40">
        <f>BS824*(1-IF(B824&gt;=in_marketplace_from,d_hz_loan_gold*G824,0))</f>
        <v/>
      </c>
      <c r="BT825" s="14">
        <f>F825*BS825*IF(B825&gt;=in_marketplace_from,d_hz_loan_gold*G825,0)*in_loan_gold_ticket*in_loan_gold_comm</f>
        <v/>
      </c>
      <c r="BU825" s="40">
        <f>BU824*(1-IF(B824&gt;=in_marketplace_from,d_hz_loan_cd*G824,0))</f>
        <v/>
      </c>
      <c r="BV825" s="14">
        <f>F825*BU825*IF(B825&gt;=in_marketplace_from,d_hz_loan_cd*G825,0)*in_loan_cd_ticket*in_loan_cd_comm</f>
        <v/>
      </c>
      <c r="BW825" s="40">
        <f>BW824*(1-IF(B824&gt;=in_marketplace_from,d_hz_loan_vehicle*G824,0))</f>
        <v/>
      </c>
      <c r="BX825" s="14">
        <f>F825*BW825*IF(B825&gt;=in_marketplace_from,d_hz_loan_vehicle*G825,0)*in_loan_vehicle_ticket*in_loan_vehicle_comm</f>
        <v/>
      </c>
      <c r="BY825" s="40">
        <f>BY824*(1-IF(B824&gt;=in_marketplace_from,d_hz_loan_home*G824,0)*BZ824)</f>
        <v/>
      </c>
      <c r="BZ825" s="11">
        <f>MIN(in_approval_cap,in_loan_home_approval*INDEX('Age profile'!$O$2:$O$61,B825)*(1+in_approval_growth)^(D825-1))</f>
        <v/>
      </c>
      <c r="CA825" s="14">
        <f>F825*BY825*IF(B825&gt;=in_marketplace_from,d_hz_loan_home*G825,0)*BZ825*in_loan_home_ticket*in_loan_home_comm</f>
        <v/>
      </c>
      <c r="CB825" s="40">
        <f>CB824*(1-IF(B824&gt;=in_marketplace_from,d_hz_loan_lap*G824,0)*CC824)</f>
        <v/>
      </c>
      <c r="CC825" s="11">
        <f>MIN(in_approval_cap,in_loan_lap_approval*INDEX('Age profile'!$O$2:$O$61,B825)*(1+in_approval_growth)^(D825-1))</f>
        <v/>
      </c>
      <c r="CD825" s="14">
        <f>F825*CB825*IF(B825&gt;=in_marketplace_from,d_hz_loan_lap*G825,0)*CC825*in_loan_lap_ticket*in_loan_lap_comm</f>
        <v/>
      </c>
      <c r="CE825" s="14">
        <f>AA825+AB825+AC825+AD825+AG825+AJ825+AM825+AP825+AS825+AU825+AX825+BB825+BE825+BG825+BJ825+BL825+BO825+BR825+BT825+BV825+BX825+CA825+CD825</f>
        <v/>
      </c>
    </row>
    <row r="826">
      <c r="A826" s="39" t="n">
        <v>16</v>
      </c>
      <c r="B826" s="39" t="n">
        <v>30</v>
      </c>
      <c r="C826" s="39">
        <f>A826+B826-1</f>
        <v/>
      </c>
      <c r="D826" s="39">
        <f>INT((C826-1)/12)+1</f>
        <v/>
      </c>
      <c r="E826" s="44">
        <f>INDEX(Monthly!$B$2:$B$61,A826)</f>
        <v/>
      </c>
      <c r="F826" s="44">
        <f>E826*INDEX('Age profile'!$B$2:$B$61,B826)</f>
        <v/>
      </c>
      <c r="G826" s="45">
        <f>MIN(in_takeup_cap,INDEX('Age profile'!$N$2:$N$61,B826)*(1+in_takeup_growth)^(D826-1))</f>
        <v/>
      </c>
      <c r="H826" s="11">
        <f>MIN(in_approval_cap,in_approved_first*INDEX('Age profile'!$O$2:$O$61,B826)*(1+in_approval_growth)^(D826-1))</f>
        <v/>
      </c>
      <c r="I826" s="45">
        <f>G826*MIN(in_takeup_cap,INDEX('Age profile'!$O$2:$O$61,B826)*(1+in_approval_growth)^(D826-1))</f>
        <v/>
      </c>
      <c r="J826" s="40">
        <f>(J825-L825)*F826/F825</f>
        <v/>
      </c>
      <c r="K826" s="40">
        <f>(K825-M825)*F826/F825+SUMIFS(O797:O825,B797:B825,B826-1-d_T)*F826</f>
        <v/>
      </c>
      <c r="L826" s="40">
        <f>IF(B826&gt;=in_marketplace_from,J826*d_hz*G826*in_eligible*H826,0)</f>
        <v/>
      </c>
      <c r="M826" s="40">
        <f>IF(B826&gt;=in_marketplace_from,K826*d_hz*G826*in_eligible*in_approved_repeat,0)</f>
        <v/>
      </c>
      <c r="N826" s="40">
        <f>L826+M826</f>
        <v/>
      </c>
      <c r="O826" s="46">
        <f>N826/F826</f>
        <v/>
      </c>
      <c r="P826" s="40">
        <f>F826-J826-K826</f>
        <v/>
      </c>
      <c r="Q826" s="40">
        <f>IF(B826&gt;=in_marketplace_from,(J826+K826)*d_hz*G826,0)</f>
        <v/>
      </c>
      <c r="R826" s="40">
        <f>SUMIFS(N797:N841,B797:B841,"&gt;="&amp;(B826-d_T),B797:B841,"&lt;="&amp;(B826-1))</f>
        <v/>
      </c>
      <c r="S826" s="46">
        <f>(1-d_u)*S825+IF(d_T&gt;in_topup_lag,SUMIFS(O797:O841,B797:B841,B826-in_topup_lag)-d_udrop*SUMIFS(O797:O841,B797:B841,B826-d_T),0)</f>
        <v/>
      </c>
      <c r="T826" s="40">
        <f>F826*d_u*S826</f>
        <v/>
      </c>
      <c r="U826" s="9">
        <f>L826*in_ticket+M826*d_rep_ticket</f>
        <v/>
      </c>
      <c r="V826" s="9">
        <f>U826+T826*d_topup_amt</f>
        <v/>
      </c>
      <c r="W826" s="40">
        <f>N826+T826*d_topup_ratio</f>
        <v/>
      </c>
      <c r="X826" s="40">
        <f>SUMIFS(W797:W841,B797:B841,B826-in_dpd_lag)*d_cured</f>
        <v/>
      </c>
      <c r="Y826" s="40">
        <f>SUMIFS(W797:W841,B797:B841,B826-in_rec_lag)*d_recd</f>
        <v/>
      </c>
      <c r="Z826" s="40">
        <f>IF(AND(B826&gt;=in_marketplace_from,B826&lt;in_marketplace_from+in_card_months),in_card_share/in_card_months*F826*I826,IF(AND(B826&gt;=in_marketplace_from+in_card_months,B826&lt;in_marketplace_from+2*in_card_months),in_card_share*d_card_rem/in_card_months*F826*MIN(in_takeup_cap,(1+in_takeup_growth)^(D826-1))*MIN(in_takeup_cap,(1+in_approval_growth)^(D826-1)),0))</f>
        <v/>
      </c>
      <c r="AA826" s="14">
        <f>V826*in_fee*(1-in_taken_back)</f>
        <v/>
      </c>
      <c r="AB826" s="14">
        <f>SUMIFS(W797:W841,B797:B841,B826-in_dpd_lag)*d_dpd</f>
        <v/>
      </c>
      <c r="AC826" s="14">
        <f>SUMIFS(W797:W841,B797:B841,B826-in_rec_lag)*d_rec</f>
        <v/>
      </c>
      <c r="AD826" s="14">
        <f>Z826*in_card_fee</f>
        <v/>
      </c>
      <c r="AE826" s="40">
        <f>AE825*(1-IF(B825&gt;=in_marketplace_from,d_hz_hlth_small*G825,0))</f>
        <v/>
      </c>
      <c r="AF826" s="46">
        <f>AE826*IF(B826&gt;=in_marketplace_from,d_hz_hlth_small*G826,0)</f>
        <v/>
      </c>
      <c r="AG826" s="14">
        <f>F826*AF826*in_hlth_small_ticket*in_hlth_small_comm*in_ins_partner_share+F826*in_hlth_small_ticket*in_hlth_small_renew_comm*in_ins_partner_share*(in_hlth_small_renew^1*SUMIFS(AF797:AF841,B797:B841,B826-12)+in_hlth_small_renew^2*SUMIFS(AF797:AF841,B797:B841,B826-24)+in_hlth_small_renew^3*SUMIFS(AF797:AF841,B797:B841,B826-36)+in_hlth_small_renew^4*SUMIFS(AF797:AF841,B797:B841,B826-48))</f>
        <v/>
      </c>
      <c r="AH826" s="40">
        <f>AH825*(1-IF(B825&gt;=in_marketplace_from,d_hz_hlth_family*G825,0))</f>
        <v/>
      </c>
      <c r="AI826" s="46">
        <f>AH826*IF(B826&gt;=in_marketplace_from,d_hz_hlth_family*G826,0)</f>
        <v/>
      </c>
      <c r="AJ826" s="14">
        <f>F826*AI826*in_hlth_family_ticket*in_hlth_family_comm*in_ins_partner_share+F826*in_hlth_family_ticket*in_hlth_family_renew_comm*in_ins_partner_share*(in_hlth_family_renew^1*SUMIFS(AI797:AI841,B797:B841,B826-12)+in_hlth_family_renew^2*SUMIFS(AI797:AI841,B797:B841,B826-24)+in_hlth_family_renew^3*SUMIFS(AI797:AI841,B797:B841,B826-36)+in_hlth_family_renew^4*SUMIFS(AI797:AI841,B797:B841,B826-48))</f>
        <v/>
      </c>
      <c r="AK826" s="40">
        <f>AK825*(1-IF(B825&gt;=in_marketplace_from,d_hz_life_term*G825,0))</f>
        <v/>
      </c>
      <c r="AL826" s="46">
        <f>AK826*IF(B826&gt;=in_marketplace_from,d_hz_life_term*G826,0)</f>
        <v/>
      </c>
      <c r="AM826" s="14">
        <f>F826*AL826*in_life_term_ticket*in_life_term_comm*in_ins_partner_share+F826*in_life_term_ticket*in_life_term_renew_comm*in_ins_partner_share*(in_life_term_renew^1*SUMIFS(AL797:AL841,B797:B841,B826-12)+in_life_term_renew^2*SUMIFS(AL797:AL841,B797:B841,B826-24)+in_life_term_renew^3*SUMIFS(AL797:AL841,B797:B841,B826-36)+in_life_term_renew^4*SUMIFS(AL797:AL841,B797:B841,B826-48))</f>
        <v/>
      </c>
      <c r="AN826" s="40">
        <f>AN825*(1-IF(B825&gt;=in_marketplace_from,d_hz_accident*G825,0))</f>
        <v/>
      </c>
      <c r="AO826" s="46">
        <f>AN826*IF(B826&gt;=in_marketplace_from,d_hz_accident*G826,0)</f>
        <v/>
      </c>
      <c r="AP826" s="14">
        <f>F826*AO826*in_accident_ticket*in_accident_comm*in_ins_partner_share+F826*in_accident_ticket*in_accident_renew_comm*in_ins_partner_share*(in_accident_renew^1*SUMIFS(AO797:AO841,B797:B841,B826-12)+in_accident_renew^2*SUMIFS(AO797:AO841,B797:B841,B826-24)+in_accident_renew^3*SUMIFS(AO797:AO841,B797:B841,B826-36)+in_accident_renew^4*SUMIFS(AO797:AO841,B797:B841,B826-48))</f>
        <v/>
      </c>
      <c r="AQ826" s="40">
        <f>AQ825*(1-IF(B825&gt;=in_marketplace_from,d_hz_two_wheeler*G825,0))</f>
        <v/>
      </c>
      <c r="AR826" s="46">
        <f>AQ826*IF(B826&gt;=in_marketplace_from,d_hz_two_wheeler*G826,0)</f>
        <v/>
      </c>
      <c r="AS826" s="14">
        <f>F826*AR826*in_two_wheeler_ticket*in_two_wheeler_comm*in_ins_partner_share+F826*in_two_wheeler_ticket*in_two_wheeler_comm*in_ins_partner_share*(in_two_wheeler_renew^1*SUMIFS(AR797:AR841,B797:B841,B826-12)+in_two_wheeler_renew^2*SUMIFS(AR797:AR841,B797:B841,B826-24)+in_two_wheeler_renew^3*SUMIFS(AR797:AR841,B797:B841,B826-36)+in_two_wheeler_renew^4*SUMIFS(AR797:AR841,B797:B841,B826-48))</f>
        <v/>
      </c>
      <c r="AT826" s="40">
        <f>AT825*(1-IF(B825&gt;=in_marketplace_from,d_hz_device*G825,0))</f>
        <v/>
      </c>
      <c r="AU826" s="14">
        <f>F826*AT826*IF(B826&gt;=in_marketplace_from,d_hz_device*G826,0)*in_device_ticket*in_device_comm*in_ins_partner_share</f>
        <v/>
      </c>
      <c r="AV826" s="40">
        <f>AV825*(1-IF(B825&gt;=in_marketplace_from,d_hz_shop*G825,0))</f>
        <v/>
      </c>
      <c r="AW826" s="46">
        <f>AV826*IF(B826&gt;=in_marketplace_from,d_hz_shop*G826,0)</f>
        <v/>
      </c>
      <c r="AX826" s="14">
        <f>F826*AW826*in_shop_ticket*in_shop_comm*in_ins_partner_share+F826*in_shop_ticket*in_shop_renew_comm*in_ins_partner_share*(in_shop_renew^1*SUMIFS(AW797:AW841,B797:B841,B826-12)+in_shop_renew^2*SUMIFS(AW797:AW841,B797:B841,B826-24)+in_shop_renew^3*SUMIFS(AW797:AW841,B797:B841,B826-36)+in_shop_renew^4*SUMIFS(AW797:AW841,B797:B841,B826-48))</f>
        <v/>
      </c>
      <c r="AY826" s="40">
        <f>AY825*(1-IF(B825&gt;=in_marketplace_from,d_hz_sip*G825,0))</f>
        <v/>
      </c>
      <c r="AZ826" s="40">
        <f>AZ825*d_rho_sip+AY826*IF(B826&gt;=in_marketplace_from,d_hz_sip*G826,0)</f>
        <v/>
      </c>
      <c r="BA826" s="40">
        <f>d_rho_sip*(BA825+AZ825)</f>
        <v/>
      </c>
      <c r="BB826" s="14">
        <f>F826*in_sip_ticket*(BA826+0.5*AZ826)*in_sip_comm/12</f>
        <v/>
      </c>
      <c r="BC826" s="40">
        <f>BC825*(1-IF(B825&gt;=in_marketplace_from,d_hz_choti*G825,0))</f>
        <v/>
      </c>
      <c r="BD826" s="46">
        <f>BC826*IF(B826&gt;=in_marketplace_from,d_hz_choti*G826,0)</f>
        <v/>
      </c>
      <c r="BE826" s="14">
        <f>F826*SUMIFS(BD797:BD841,B797:B841,B826-in_choti_months)*in_choti_renew*in_choti_ticket</f>
        <v/>
      </c>
      <c r="BF826" s="40">
        <f>BF825*(1-IF(B825&gt;=in_marketplace_from,d_hz_nps*G825,0))</f>
        <v/>
      </c>
      <c r="BG826" s="14">
        <f>F826*BF826*IF(B826&gt;=in_marketplace_from,d_hz_nps*G826,0)*in_nps_ticket*in_nps_comm</f>
        <v/>
      </c>
      <c r="BH826" s="40">
        <f>BH825*(1-IF(B825&gt;=in_marketplace_from,d_hz_gold*G825,0))</f>
        <v/>
      </c>
      <c r="BI826" s="40">
        <f>BI825*d_rho_gold+BH826*IF(B826&gt;=in_marketplace_from,d_hz_gold*G826,0)</f>
        <v/>
      </c>
      <c r="BJ826" s="14">
        <f>F826*BI826*in_gold_ticket*in_gold_comm</f>
        <v/>
      </c>
      <c r="BK826" s="40">
        <f>BK825*(1-IF(B825&gt;=in_marketplace_from,d_hz_fd*G825,0))</f>
        <v/>
      </c>
      <c r="BL826" s="14">
        <f>F826*BK826*IF(B826&gt;=in_marketplace_from,d_hz_fd*G826,0)*in_fd_ticket*in_fd_comm</f>
        <v/>
      </c>
      <c r="BM826" s="40">
        <f>BM825*(1-IF(B825&gt;=in_marketplace_from,d_hz_recharge*G825,0))</f>
        <v/>
      </c>
      <c r="BN826" s="40">
        <f>BN825*d_rho_recharge+BM826*IF(B826&gt;=in_marketplace_from,d_hz_recharge*G826,0)</f>
        <v/>
      </c>
      <c r="BO826" s="14">
        <f>F826*BN826*in_recharge_ticket*in_recharge_comm/12</f>
        <v/>
      </c>
      <c r="BP826" s="40">
        <f>BP825*(1-IF(B825&gt;=in_marketplace_from,d_hz_bills*G825,0))</f>
        <v/>
      </c>
      <c r="BQ826" s="40">
        <f>BQ825*d_rho_bills+BP826*IF(B826&gt;=in_marketplace_from,d_hz_bills*G826,0)</f>
        <v/>
      </c>
      <c r="BR826" s="14">
        <f>F826*BQ826*in_bills_ticket*in_bills_comm/12</f>
        <v/>
      </c>
      <c r="BS826" s="40">
        <f>BS825*(1-IF(B825&gt;=in_marketplace_from,d_hz_loan_gold*G825,0))</f>
        <v/>
      </c>
      <c r="BT826" s="14">
        <f>F826*BS826*IF(B826&gt;=in_marketplace_from,d_hz_loan_gold*G826,0)*in_loan_gold_ticket*in_loan_gold_comm</f>
        <v/>
      </c>
      <c r="BU826" s="40">
        <f>BU825*(1-IF(B825&gt;=in_marketplace_from,d_hz_loan_cd*G825,0))</f>
        <v/>
      </c>
      <c r="BV826" s="14">
        <f>F826*BU826*IF(B826&gt;=in_marketplace_from,d_hz_loan_cd*G826,0)*in_loan_cd_ticket*in_loan_cd_comm</f>
        <v/>
      </c>
      <c r="BW826" s="40">
        <f>BW825*(1-IF(B825&gt;=in_marketplace_from,d_hz_loan_vehicle*G825,0))</f>
        <v/>
      </c>
      <c r="BX826" s="14">
        <f>F826*BW826*IF(B826&gt;=in_marketplace_from,d_hz_loan_vehicle*G826,0)*in_loan_vehicle_ticket*in_loan_vehicle_comm</f>
        <v/>
      </c>
      <c r="BY826" s="40">
        <f>BY825*(1-IF(B825&gt;=in_marketplace_from,d_hz_loan_home*G825,0)*BZ825)</f>
        <v/>
      </c>
      <c r="BZ826" s="11">
        <f>MIN(in_approval_cap,in_loan_home_approval*INDEX('Age profile'!$O$2:$O$61,B826)*(1+in_approval_growth)^(D826-1))</f>
        <v/>
      </c>
      <c r="CA826" s="14">
        <f>F826*BY826*IF(B826&gt;=in_marketplace_from,d_hz_loan_home*G826,0)*BZ826*in_loan_home_ticket*in_loan_home_comm</f>
        <v/>
      </c>
      <c r="CB826" s="40">
        <f>CB825*(1-IF(B825&gt;=in_marketplace_from,d_hz_loan_lap*G825,0)*CC825)</f>
        <v/>
      </c>
      <c r="CC826" s="11">
        <f>MIN(in_approval_cap,in_loan_lap_approval*INDEX('Age profile'!$O$2:$O$61,B826)*(1+in_approval_growth)^(D826-1))</f>
        <v/>
      </c>
      <c r="CD826" s="14">
        <f>F826*CB826*IF(B826&gt;=in_marketplace_from,d_hz_loan_lap*G826,0)*CC826*in_loan_lap_ticket*in_loan_lap_comm</f>
        <v/>
      </c>
      <c r="CE826" s="14">
        <f>AA826+AB826+AC826+AD826+AG826+AJ826+AM826+AP826+AS826+AU826+AX826+BB826+BE826+BG826+BJ826+BL826+BO826+BR826+BT826+BV826+BX826+CA826+CD826</f>
        <v/>
      </c>
    </row>
    <row r="827">
      <c r="A827" s="39" t="n">
        <v>16</v>
      </c>
      <c r="B827" s="39" t="n">
        <v>31</v>
      </c>
      <c r="C827" s="39">
        <f>A827+B827-1</f>
        <v/>
      </c>
      <c r="D827" s="39">
        <f>INT((C827-1)/12)+1</f>
        <v/>
      </c>
      <c r="E827" s="44">
        <f>INDEX(Monthly!$B$2:$B$61,A827)</f>
        <v/>
      </c>
      <c r="F827" s="44">
        <f>E827*INDEX('Age profile'!$B$2:$B$61,B827)</f>
        <v/>
      </c>
      <c r="G827" s="45">
        <f>MIN(in_takeup_cap,INDEX('Age profile'!$N$2:$N$61,B827)*(1+in_takeup_growth)^(D827-1))</f>
        <v/>
      </c>
      <c r="H827" s="11">
        <f>MIN(in_approval_cap,in_approved_first*INDEX('Age profile'!$O$2:$O$61,B827)*(1+in_approval_growth)^(D827-1))</f>
        <v/>
      </c>
      <c r="I827" s="45">
        <f>G827*MIN(in_takeup_cap,INDEX('Age profile'!$O$2:$O$61,B827)*(1+in_approval_growth)^(D827-1))</f>
        <v/>
      </c>
      <c r="J827" s="40">
        <f>(J826-L826)*F827/F826</f>
        <v/>
      </c>
      <c r="K827" s="40">
        <f>(K826-M826)*F827/F826+SUMIFS(O797:O826,B797:B826,B827-1-d_T)*F827</f>
        <v/>
      </c>
      <c r="L827" s="40">
        <f>IF(B827&gt;=in_marketplace_from,J827*d_hz*G827*in_eligible*H827,0)</f>
        <v/>
      </c>
      <c r="M827" s="40">
        <f>IF(B827&gt;=in_marketplace_from,K827*d_hz*G827*in_eligible*in_approved_repeat,0)</f>
        <v/>
      </c>
      <c r="N827" s="40">
        <f>L827+M827</f>
        <v/>
      </c>
      <c r="O827" s="46">
        <f>N827/F827</f>
        <v/>
      </c>
      <c r="P827" s="40">
        <f>F827-J827-K827</f>
        <v/>
      </c>
      <c r="Q827" s="40">
        <f>IF(B827&gt;=in_marketplace_from,(J827+K827)*d_hz*G827,0)</f>
        <v/>
      </c>
      <c r="R827" s="40">
        <f>SUMIFS(N797:N841,B797:B841,"&gt;="&amp;(B827-d_T),B797:B841,"&lt;="&amp;(B827-1))</f>
        <v/>
      </c>
      <c r="S827" s="46">
        <f>(1-d_u)*S826+IF(d_T&gt;in_topup_lag,SUMIFS(O797:O841,B797:B841,B827-in_topup_lag)-d_udrop*SUMIFS(O797:O841,B797:B841,B827-d_T),0)</f>
        <v/>
      </c>
      <c r="T827" s="40">
        <f>F827*d_u*S827</f>
        <v/>
      </c>
      <c r="U827" s="9">
        <f>L827*in_ticket+M827*d_rep_ticket</f>
        <v/>
      </c>
      <c r="V827" s="9">
        <f>U827+T827*d_topup_amt</f>
        <v/>
      </c>
      <c r="W827" s="40">
        <f>N827+T827*d_topup_ratio</f>
        <v/>
      </c>
      <c r="X827" s="40">
        <f>SUMIFS(W797:W841,B797:B841,B827-in_dpd_lag)*d_cured</f>
        <v/>
      </c>
      <c r="Y827" s="40">
        <f>SUMIFS(W797:W841,B797:B841,B827-in_rec_lag)*d_recd</f>
        <v/>
      </c>
      <c r="Z827" s="40">
        <f>IF(AND(B827&gt;=in_marketplace_from,B827&lt;in_marketplace_from+in_card_months),in_card_share/in_card_months*F827*I827,IF(AND(B827&gt;=in_marketplace_from+in_card_months,B827&lt;in_marketplace_from+2*in_card_months),in_card_share*d_card_rem/in_card_months*F827*MIN(in_takeup_cap,(1+in_takeup_growth)^(D827-1))*MIN(in_takeup_cap,(1+in_approval_growth)^(D827-1)),0))</f>
        <v/>
      </c>
      <c r="AA827" s="14">
        <f>V827*in_fee*(1-in_taken_back)</f>
        <v/>
      </c>
      <c r="AB827" s="14">
        <f>SUMIFS(W797:W841,B797:B841,B827-in_dpd_lag)*d_dpd</f>
        <v/>
      </c>
      <c r="AC827" s="14">
        <f>SUMIFS(W797:W841,B797:B841,B827-in_rec_lag)*d_rec</f>
        <v/>
      </c>
      <c r="AD827" s="14">
        <f>Z827*in_card_fee</f>
        <v/>
      </c>
      <c r="AE827" s="40">
        <f>AE826*(1-IF(B826&gt;=in_marketplace_from,d_hz_hlth_small*G826,0))</f>
        <v/>
      </c>
      <c r="AF827" s="46">
        <f>AE827*IF(B827&gt;=in_marketplace_from,d_hz_hlth_small*G827,0)</f>
        <v/>
      </c>
      <c r="AG827" s="14">
        <f>F827*AF827*in_hlth_small_ticket*in_hlth_small_comm*in_ins_partner_share+F827*in_hlth_small_ticket*in_hlth_small_renew_comm*in_ins_partner_share*(in_hlth_small_renew^1*SUMIFS(AF797:AF841,B797:B841,B827-12)+in_hlth_small_renew^2*SUMIFS(AF797:AF841,B797:B841,B827-24)+in_hlth_small_renew^3*SUMIFS(AF797:AF841,B797:B841,B827-36)+in_hlth_small_renew^4*SUMIFS(AF797:AF841,B797:B841,B827-48))</f>
        <v/>
      </c>
      <c r="AH827" s="40">
        <f>AH826*(1-IF(B826&gt;=in_marketplace_from,d_hz_hlth_family*G826,0))</f>
        <v/>
      </c>
      <c r="AI827" s="46">
        <f>AH827*IF(B827&gt;=in_marketplace_from,d_hz_hlth_family*G827,0)</f>
        <v/>
      </c>
      <c r="AJ827" s="14">
        <f>F827*AI827*in_hlth_family_ticket*in_hlth_family_comm*in_ins_partner_share+F827*in_hlth_family_ticket*in_hlth_family_renew_comm*in_ins_partner_share*(in_hlth_family_renew^1*SUMIFS(AI797:AI841,B797:B841,B827-12)+in_hlth_family_renew^2*SUMIFS(AI797:AI841,B797:B841,B827-24)+in_hlth_family_renew^3*SUMIFS(AI797:AI841,B797:B841,B827-36)+in_hlth_family_renew^4*SUMIFS(AI797:AI841,B797:B841,B827-48))</f>
        <v/>
      </c>
      <c r="AK827" s="40">
        <f>AK826*(1-IF(B826&gt;=in_marketplace_from,d_hz_life_term*G826,0))</f>
        <v/>
      </c>
      <c r="AL827" s="46">
        <f>AK827*IF(B827&gt;=in_marketplace_from,d_hz_life_term*G827,0)</f>
        <v/>
      </c>
      <c r="AM827" s="14">
        <f>F827*AL827*in_life_term_ticket*in_life_term_comm*in_ins_partner_share+F827*in_life_term_ticket*in_life_term_renew_comm*in_ins_partner_share*(in_life_term_renew^1*SUMIFS(AL797:AL841,B797:B841,B827-12)+in_life_term_renew^2*SUMIFS(AL797:AL841,B797:B841,B827-24)+in_life_term_renew^3*SUMIFS(AL797:AL841,B797:B841,B827-36)+in_life_term_renew^4*SUMIFS(AL797:AL841,B797:B841,B827-48))</f>
        <v/>
      </c>
      <c r="AN827" s="40">
        <f>AN826*(1-IF(B826&gt;=in_marketplace_from,d_hz_accident*G826,0))</f>
        <v/>
      </c>
      <c r="AO827" s="46">
        <f>AN827*IF(B827&gt;=in_marketplace_from,d_hz_accident*G827,0)</f>
        <v/>
      </c>
      <c r="AP827" s="14">
        <f>F827*AO827*in_accident_ticket*in_accident_comm*in_ins_partner_share+F827*in_accident_ticket*in_accident_renew_comm*in_ins_partner_share*(in_accident_renew^1*SUMIFS(AO797:AO841,B797:B841,B827-12)+in_accident_renew^2*SUMIFS(AO797:AO841,B797:B841,B827-24)+in_accident_renew^3*SUMIFS(AO797:AO841,B797:B841,B827-36)+in_accident_renew^4*SUMIFS(AO797:AO841,B797:B841,B827-48))</f>
        <v/>
      </c>
      <c r="AQ827" s="40">
        <f>AQ826*(1-IF(B826&gt;=in_marketplace_from,d_hz_two_wheeler*G826,0))</f>
        <v/>
      </c>
      <c r="AR827" s="46">
        <f>AQ827*IF(B827&gt;=in_marketplace_from,d_hz_two_wheeler*G827,0)</f>
        <v/>
      </c>
      <c r="AS827" s="14">
        <f>F827*AR827*in_two_wheeler_ticket*in_two_wheeler_comm*in_ins_partner_share+F827*in_two_wheeler_ticket*in_two_wheeler_comm*in_ins_partner_share*(in_two_wheeler_renew^1*SUMIFS(AR797:AR841,B797:B841,B827-12)+in_two_wheeler_renew^2*SUMIFS(AR797:AR841,B797:B841,B827-24)+in_two_wheeler_renew^3*SUMIFS(AR797:AR841,B797:B841,B827-36)+in_two_wheeler_renew^4*SUMIFS(AR797:AR841,B797:B841,B827-48))</f>
        <v/>
      </c>
      <c r="AT827" s="40">
        <f>AT826*(1-IF(B826&gt;=in_marketplace_from,d_hz_device*G826,0))</f>
        <v/>
      </c>
      <c r="AU827" s="14">
        <f>F827*AT827*IF(B827&gt;=in_marketplace_from,d_hz_device*G827,0)*in_device_ticket*in_device_comm*in_ins_partner_share</f>
        <v/>
      </c>
      <c r="AV827" s="40">
        <f>AV826*(1-IF(B826&gt;=in_marketplace_from,d_hz_shop*G826,0))</f>
        <v/>
      </c>
      <c r="AW827" s="46">
        <f>AV827*IF(B827&gt;=in_marketplace_from,d_hz_shop*G827,0)</f>
        <v/>
      </c>
      <c r="AX827" s="14">
        <f>F827*AW827*in_shop_ticket*in_shop_comm*in_ins_partner_share+F827*in_shop_ticket*in_shop_renew_comm*in_ins_partner_share*(in_shop_renew^1*SUMIFS(AW797:AW841,B797:B841,B827-12)+in_shop_renew^2*SUMIFS(AW797:AW841,B797:B841,B827-24)+in_shop_renew^3*SUMIFS(AW797:AW841,B797:B841,B827-36)+in_shop_renew^4*SUMIFS(AW797:AW841,B797:B841,B827-48))</f>
        <v/>
      </c>
      <c r="AY827" s="40">
        <f>AY826*(1-IF(B826&gt;=in_marketplace_from,d_hz_sip*G826,0))</f>
        <v/>
      </c>
      <c r="AZ827" s="40">
        <f>AZ826*d_rho_sip+AY827*IF(B827&gt;=in_marketplace_from,d_hz_sip*G827,0)</f>
        <v/>
      </c>
      <c r="BA827" s="40">
        <f>d_rho_sip*(BA826+AZ826)</f>
        <v/>
      </c>
      <c r="BB827" s="14">
        <f>F827*in_sip_ticket*(BA827+0.5*AZ827)*in_sip_comm/12</f>
        <v/>
      </c>
      <c r="BC827" s="40">
        <f>BC826*(1-IF(B826&gt;=in_marketplace_from,d_hz_choti*G826,0))</f>
        <v/>
      </c>
      <c r="BD827" s="46">
        <f>BC827*IF(B827&gt;=in_marketplace_from,d_hz_choti*G827,0)</f>
        <v/>
      </c>
      <c r="BE827" s="14">
        <f>F827*SUMIFS(BD797:BD841,B797:B841,B827-in_choti_months)*in_choti_renew*in_choti_ticket</f>
        <v/>
      </c>
      <c r="BF827" s="40">
        <f>BF826*(1-IF(B826&gt;=in_marketplace_from,d_hz_nps*G826,0))</f>
        <v/>
      </c>
      <c r="BG827" s="14">
        <f>F827*BF827*IF(B827&gt;=in_marketplace_from,d_hz_nps*G827,0)*in_nps_ticket*in_nps_comm</f>
        <v/>
      </c>
      <c r="BH827" s="40">
        <f>BH826*(1-IF(B826&gt;=in_marketplace_from,d_hz_gold*G826,0))</f>
        <v/>
      </c>
      <c r="BI827" s="40">
        <f>BI826*d_rho_gold+BH827*IF(B827&gt;=in_marketplace_from,d_hz_gold*G827,0)</f>
        <v/>
      </c>
      <c r="BJ827" s="14">
        <f>F827*BI827*in_gold_ticket*in_gold_comm</f>
        <v/>
      </c>
      <c r="BK827" s="40">
        <f>BK826*(1-IF(B826&gt;=in_marketplace_from,d_hz_fd*G826,0))</f>
        <v/>
      </c>
      <c r="BL827" s="14">
        <f>F827*BK827*IF(B827&gt;=in_marketplace_from,d_hz_fd*G827,0)*in_fd_ticket*in_fd_comm</f>
        <v/>
      </c>
      <c r="BM827" s="40">
        <f>BM826*(1-IF(B826&gt;=in_marketplace_from,d_hz_recharge*G826,0))</f>
        <v/>
      </c>
      <c r="BN827" s="40">
        <f>BN826*d_rho_recharge+BM827*IF(B827&gt;=in_marketplace_from,d_hz_recharge*G827,0)</f>
        <v/>
      </c>
      <c r="BO827" s="14">
        <f>F827*BN827*in_recharge_ticket*in_recharge_comm/12</f>
        <v/>
      </c>
      <c r="BP827" s="40">
        <f>BP826*(1-IF(B826&gt;=in_marketplace_from,d_hz_bills*G826,0))</f>
        <v/>
      </c>
      <c r="BQ827" s="40">
        <f>BQ826*d_rho_bills+BP827*IF(B827&gt;=in_marketplace_from,d_hz_bills*G827,0)</f>
        <v/>
      </c>
      <c r="BR827" s="14">
        <f>F827*BQ827*in_bills_ticket*in_bills_comm/12</f>
        <v/>
      </c>
      <c r="BS827" s="40">
        <f>BS826*(1-IF(B826&gt;=in_marketplace_from,d_hz_loan_gold*G826,0))</f>
        <v/>
      </c>
      <c r="BT827" s="14">
        <f>F827*BS827*IF(B827&gt;=in_marketplace_from,d_hz_loan_gold*G827,0)*in_loan_gold_ticket*in_loan_gold_comm</f>
        <v/>
      </c>
      <c r="BU827" s="40">
        <f>BU826*(1-IF(B826&gt;=in_marketplace_from,d_hz_loan_cd*G826,0))</f>
        <v/>
      </c>
      <c r="BV827" s="14">
        <f>F827*BU827*IF(B827&gt;=in_marketplace_from,d_hz_loan_cd*G827,0)*in_loan_cd_ticket*in_loan_cd_comm</f>
        <v/>
      </c>
      <c r="BW827" s="40">
        <f>BW826*(1-IF(B826&gt;=in_marketplace_from,d_hz_loan_vehicle*G826,0))</f>
        <v/>
      </c>
      <c r="BX827" s="14">
        <f>F827*BW827*IF(B827&gt;=in_marketplace_from,d_hz_loan_vehicle*G827,0)*in_loan_vehicle_ticket*in_loan_vehicle_comm</f>
        <v/>
      </c>
      <c r="BY827" s="40">
        <f>BY826*(1-IF(B826&gt;=in_marketplace_from,d_hz_loan_home*G826,0)*BZ826)</f>
        <v/>
      </c>
      <c r="BZ827" s="11">
        <f>MIN(in_approval_cap,in_loan_home_approval*INDEX('Age profile'!$O$2:$O$61,B827)*(1+in_approval_growth)^(D827-1))</f>
        <v/>
      </c>
      <c r="CA827" s="14">
        <f>F827*BY827*IF(B827&gt;=in_marketplace_from,d_hz_loan_home*G827,0)*BZ827*in_loan_home_ticket*in_loan_home_comm</f>
        <v/>
      </c>
      <c r="CB827" s="40">
        <f>CB826*(1-IF(B826&gt;=in_marketplace_from,d_hz_loan_lap*G826,0)*CC826)</f>
        <v/>
      </c>
      <c r="CC827" s="11">
        <f>MIN(in_approval_cap,in_loan_lap_approval*INDEX('Age profile'!$O$2:$O$61,B827)*(1+in_approval_growth)^(D827-1))</f>
        <v/>
      </c>
      <c r="CD827" s="14">
        <f>F827*CB827*IF(B827&gt;=in_marketplace_from,d_hz_loan_lap*G827,0)*CC827*in_loan_lap_ticket*in_loan_lap_comm</f>
        <v/>
      </c>
      <c r="CE827" s="14">
        <f>AA827+AB827+AC827+AD827+AG827+AJ827+AM827+AP827+AS827+AU827+AX827+BB827+BE827+BG827+BJ827+BL827+BO827+BR827+BT827+BV827+BX827+CA827+CD827</f>
        <v/>
      </c>
    </row>
    <row r="828">
      <c r="A828" s="39" t="n">
        <v>16</v>
      </c>
      <c r="B828" s="39" t="n">
        <v>32</v>
      </c>
      <c r="C828" s="39">
        <f>A828+B828-1</f>
        <v/>
      </c>
      <c r="D828" s="39">
        <f>INT((C828-1)/12)+1</f>
        <v/>
      </c>
      <c r="E828" s="44">
        <f>INDEX(Monthly!$B$2:$B$61,A828)</f>
        <v/>
      </c>
      <c r="F828" s="44">
        <f>E828*INDEX('Age profile'!$B$2:$B$61,B828)</f>
        <v/>
      </c>
      <c r="G828" s="45">
        <f>MIN(in_takeup_cap,INDEX('Age profile'!$N$2:$N$61,B828)*(1+in_takeup_growth)^(D828-1))</f>
        <v/>
      </c>
      <c r="H828" s="11">
        <f>MIN(in_approval_cap,in_approved_first*INDEX('Age profile'!$O$2:$O$61,B828)*(1+in_approval_growth)^(D828-1))</f>
        <v/>
      </c>
      <c r="I828" s="45">
        <f>G828*MIN(in_takeup_cap,INDEX('Age profile'!$O$2:$O$61,B828)*(1+in_approval_growth)^(D828-1))</f>
        <v/>
      </c>
      <c r="J828" s="40">
        <f>(J827-L827)*F828/F827</f>
        <v/>
      </c>
      <c r="K828" s="40">
        <f>(K827-M827)*F828/F827+SUMIFS(O797:O827,B797:B827,B828-1-d_T)*F828</f>
        <v/>
      </c>
      <c r="L828" s="40">
        <f>IF(B828&gt;=in_marketplace_from,J828*d_hz*G828*in_eligible*H828,0)</f>
        <v/>
      </c>
      <c r="M828" s="40">
        <f>IF(B828&gt;=in_marketplace_from,K828*d_hz*G828*in_eligible*in_approved_repeat,0)</f>
        <v/>
      </c>
      <c r="N828" s="40">
        <f>L828+M828</f>
        <v/>
      </c>
      <c r="O828" s="46">
        <f>N828/F828</f>
        <v/>
      </c>
      <c r="P828" s="40">
        <f>F828-J828-K828</f>
        <v/>
      </c>
      <c r="Q828" s="40">
        <f>IF(B828&gt;=in_marketplace_from,(J828+K828)*d_hz*G828,0)</f>
        <v/>
      </c>
      <c r="R828" s="40">
        <f>SUMIFS(N797:N841,B797:B841,"&gt;="&amp;(B828-d_T),B797:B841,"&lt;="&amp;(B828-1))</f>
        <v/>
      </c>
      <c r="S828" s="46">
        <f>(1-d_u)*S827+IF(d_T&gt;in_topup_lag,SUMIFS(O797:O841,B797:B841,B828-in_topup_lag)-d_udrop*SUMIFS(O797:O841,B797:B841,B828-d_T),0)</f>
        <v/>
      </c>
      <c r="T828" s="40">
        <f>F828*d_u*S828</f>
        <v/>
      </c>
      <c r="U828" s="9">
        <f>L828*in_ticket+M828*d_rep_ticket</f>
        <v/>
      </c>
      <c r="V828" s="9">
        <f>U828+T828*d_topup_amt</f>
        <v/>
      </c>
      <c r="W828" s="40">
        <f>N828+T828*d_topup_ratio</f>
        <v/>
      </c>
      <c r="X828" s="40">
        <f>SUMIFS(W797:W841,B797:B841,B828-in_dpd_lag)*d_cured</f>
        <v/>
      </c>
      <c r="Y828" s="40">
        <f>SUMIFS(W797:W841,B797:B841,B828-in_rec_lag)*d_recd</f>
        <v/>
      </c>
      <c r="Z828" s="40">
        <f>IF(AND(B828&gt;=in_marketplace_from,B828&lt;in_marketplace_from+in_card_months),in_card_share/in_card_months*F828*I828,IF(AND(B828&gt;=in_marketplace_from+in_card_months,B828&lt;in_marketplace_from+2*in_card_months),in_card_share*d_card_rem/in_card_months*F828*MIN(in_takeup_cap,(1+in_takeup_growth)^(D828-1))*MIN(in_takeup_cap,(1+in_approval_growth)^(D828-1)),0))</f>
        <v/>
      </c>
      <c r="AA828" s="14">
        <f>V828*in_fee*(1-in_taken_back)</f>
        <v/>
      </c>
      <c r="AB828" s="14">
        <f>SUMIFS(W797:W841,B797:B841,B828-in_dpd_lag)*d_dpd</f>
        <v/>
      </c>
      <c r="AC828" s="14">
        <f>SUMIFS(W797:W841,B797:B841,B828-in_rec_lag)*d_rec</f>
        <v/>
      </c>
      <c r="AD828" s="14">
        <f>Z828*in_card_fee</f>
        <v/>
      </c>
      <c r="AE828" s="40">
        <f>AE827*(1-IF(B827&gt;=in_marketplace_from,d_hz_hlth_small*G827,0))</f>
        <v/>
      </c>
      <c r="AF828" s="46">
        <f>AE828*IF(B828&gt;=in_marketplace_from,d_hz_hlth_small*G828,0)</f>
        <v/>
      </c>
      <c r="AG828" s="14">
        <f>F828*AF828*in_hlth_small_ticket*in_hlth_small_comm*in_ins_partner_share+F828*in_hlth_small_ticket*in_hlth_small_renew_comm*in_ins_partner_share*(in_hlth_small_renew^1*SUMIFS(AF797:AF841,B797:B841,B828-12)+in_hlth_small_renew^2*SUMIFS(AF797:AF841,B797:B841,B828-24)+in_hlth_small_renew^3*SUMIFS(AF797:AF841,B797:B841,B828-36)+in_hlth_small_renew^4*SUMIFS(AF797:AF841,B797:B841,B828-48))</f>
        <v/>
      </c>
      <c r="AH828" s="40">
        <f>AH827*(1-IF(B827&gt;=in_marketplace_from,d_hz_hlth_family*G827,0))</f>
        <v/>
      </c>
      <c r="AI828" s="46">
        <f>AH828*IF(B828&gt;=in_marketplace_from,d_hz_hlth_family*G828,0)</f>
        <v/>
      </c>
      <c r="AJ828" s="14">
        <f>F828*AI828*in_hlth_family_ticket*in_hlth_family_comm*in_ins_partner_share+F828*in_hlth_family_ticket*in_hlth_family_renew_comm*in_ins_partner_share*(in_hlth_family_renew^1*SUMIFS(AI797:AI841,B797:B841,B828-12)+in_hlth_family_renew^2*SUMIFS(AI797:AI841,B797:B841,B828-24)+in_hlth_family_renew^3*SUMIFS(AI797:AI841,B797:B841,B828-36)+in_hlth_family_renew^4*SUMIFS(AI797:AI841,B797:B841,B828-48))</f>
        <v/>
      </c>
      <c r="AK828" s="40">
        <f>AK827*(1-IF(B827&gt;=in_marketplace_from,d_hz_life_term*G827,0))</f>
        <v/>
      </c>
      <c r="AL828" s="46">
        <f>AK828*IF(B828&gt;=in_marketplace_from,d_hz_life_term*G828,0)</f>
        <v/>
      </c>
      <c r="AM828" s="14">
        <f>F828*AL828*in_life_term_ticket*in_life_term_comm*in_ins_partner_share+F828*in_life_term_ticket*in_life_term_renew_comm*in_ins_partner_share*(in_life_term_renew^1*SUMIFS(AL797:AL841,B797:B841,B828-12)+in_life_term_renew^2*SUMIFS(AL797:AL841,B797:B841,B828-24)+in_life_term_renew^3*SUMIFS(AL797:AL841,B797:B841,B828-36)+in_life_term_renew^4*SUMIFS(AL797:AL841,B797:B841,B828-48))</f>
        <v/>
      </c>
      <c r="AN828" s="40">
        <f>AN827*(1-IF(B827&gt;=in_marketplace_from,d_hz_accident*G827,0))</f>
        <v/>
      </c>
      <c r="AO828" s="46">
        <f>AN828*IF(B828&gt;=in_marketplace_from,d_hz_accident*G828,0)</f>
        <v/>
      </c>
      <c r="AP828" s="14">
        <f>F828*AO828*in_accident_ticket*in_accident_comm*in_ins_partner_share+F828*in_accident_ticket*in_accident_renew_comm*in_ins_partner_share*(in_accident_renew^1*SUMIFS(AO797:AO841,B797:B841,B828-12)+in_accident_renew^2*SUMIFS(AO797:AO841,B797:B841,B828-24)+in_accident_renew^3*SUMIFS(AO797:AO841,B797:B841,B828-36)+in_accident_renew^4*SUMIFS(AO797:AO841,B797:B841,B828-48))</f>
        <v/>
      </c>
      <c r="AQ828" s="40">
        <f>AQ827*(1-IF(B827&gt;=in_marketplace_from,d_hz_two_wheeler*G827,0))</f>
        <v/>
      </c>
      <c r="AR828" s="46">
        <f>AQ828*IF(B828&gt;=in_marketplace_from,d_hz_two_wheeler*G828,0)</f>
        <v/>
      </c>
      <c r="AS828" s="14">
        <f>F828*AR828*in_two_wheeler_ticket*in_two_wheeler_comm*in_ins_partner_share+F828*in_two_wheeler_ticket*in_two_wheeler_comm*in_ins_partner_share*(in_two_wheeler_renew^1*SUMIFS(AR797:AR841,B797:B841,B828-12)+in_two_wheeler_renew^2*SUMIFS(AR797:AR841,B797:B841,B828-24)+in_two_wheeler_renew^3*SUMIFS(AR797:AR841,B797:B841,B828-36)+in_two_wheeler_renew^4*SUMIFS(AR797:AR841,B797:B841,B828-48))</f>
        <v/>
      </c>
      <c r="AT828" s="40">
        <f>AT827*(1-IF(B827&gt;=in_marketplace_from,d_hz_device*G827,0))</f>
        <v/>
      </c>
      <c r="AU828" s="14">
        <f>F828*AT828*IF(B828&gt;=in_marketplace_from,d_hz_device*G828,0)*in_device_ticket*in_device_comm*in_ins_partner_share</f>
        <v/>
      </c>
      <c r="AV828" s="40">
        <f>AV827*(1-IF(B827&gt;=in_marketplace_from,d_hz_shop*G827,0))</f>
        <v/>
      </c>
      <c r="AW828" s="46">
        <f>AV828*IF(B828&gt;=in_marketplace_from,d_hz_shop*G828,0)</f>
        <v/>
      </c>
      <c r="AX828" s="14">
        <f>F828*AW828*in_shop_ticket*in_shop_comm*in_ins_partner_share+F828*in_shop_ticket*in_shop_renew_comm*in_ins_partner_share*(in_shop_renew^1*SUMIFS(AW797:AW841,B797:B841,B828-12)+in_shop_renew^2*SUMIFS(AW797:AW841,B797:B841,B828-24)+in_shop_renew^3*SUMIFS(AW797:AW841,B797:B841,B828-36)+in_shop_renew^4*SUMIFS(AW797:AW841,B797:B841,B828-48))</f>
        <v/>
      </c>
      <c r="AY828" s="40">
        <f>AY827*(1-IF(B827&gt;=in_marketplace_from,d_hz_sip*G827,0))</f>
        <v/>
      </c>
      <c r="AZ828" s="40">
        <f>AZ827*d_rho_sip+AY828*IF(B828&gt;=in_marketplace_from,d_hz_sip*G828,0)</f>
        <v/>
      </c>
      <c r="BA828" s="40">
        <f>d_rho_sip*(BA827+AZ827)</f>
        <v/>
      </c>
      <c r="BB828" s="14">
        <f>F828*in_sip_ticket*(BA828+0.5*AZ828)*in_sip_comm/12</f>
        <v/>
      </c>
      <c r="BC828" s="40">
        <f>BC827*(1-IF(B827&gt;=in_marketplace_from,d_hz_choti*G827,0))</f>
        <v/>
      </c>
      <c r="BD828" s="46">
        <f>BC828*IF(B828&gt;=in_marketplace_from,d_hz_choti*G828,0)</f>
        <v/>
      </c>
      <c r="BE828" s="14">
        <f>F828*SUMIFS(BD797:BD841,B797:B841,B828-in_choti_months)*in_choti_renew*in_choti_ticket</f>
        <v/>
      </c>
      <c r="BF828" s="40">
        <f>BF827*(1-IF(B827&gt;=in_marketplace_from,d_hz_nps*G827,0))</f>
        <v/>
      </c>
      <c r="BG828" s="14">
        <f>F828*BF828*IF(B828&gt;=in_marketplace_from,d_hz_nps*G828,0)*in_nps_ticket*in_nps_comm</f>
        <v/>
      </c>
      <c r="BH828" s="40">
        <f>BH827*(1-IF(B827&gt;=in_marketplace_from,d_hz_gold*G827,0))</f>
        <v/>
      </c>
      <c r="BI828" s="40">
        <f>BI827*d_rho_gold+BH828*IF(B828&gt;=in_marketplace_from,d_hz_gold*G828,0)</f>
        <v/>
      </c>
      <c r="BJ828" s="14">
        <f>F828*BI828*in_gold_ticket*in_gold_comm</f>
        <v/>
      </c>
      <c r="BK828" s="40">
        <f>BK827*(1-IF(B827&gt;=in_marketplace_from,d_hz_fd*G827,0))</f>
        <v/>
      </c>
      <c r="BL828" s="14">
        <f>F828*BK828*IF(B828&gt;=in_marketplace_from,d_hz_fd*G828,0)*in_fd_ticket*in_fd_comm</f>
        <v/>
      </c>
      <c r="BM828" s="40">
        <f>BM827*(1-IF(B827&gt;=in_marketplace_from,d_hz_recharge*G827,0))</f>
        <v/>
      </c>
      <c r="BN828" s="40">
        <f>BN827*d_rho_recharge+BM828*IF(B828&gt;=in_marketplace_from,d_hz_recharge*G828,0)</f>
        <v/>
      </c>
      <c r="BO828" s="14">
        <f>F828*BN828*in_recharge_ticket*in_recharge_comm/12</f>
        <v/>
      </c>
      <c r="BP828" s="40">
        <f>BP827*(1-IF(B827&gt;=in_marketplace_from,d_hz_bills*G827,0))</f>
        <v/>
      </c>
      <c r="BQ828" s="40">
        <f>BQ827*d_rho_bills+BP828*IF(B828&gt;=in_marketplace_from,d_hz_bills*G828,0)</f>
        <v/>
      </c>
      <c r="BR828" s="14">
        <f>F828*BQ828*in_bills_ticket*in_bills_comm/12</f>
        <v/>
      </c>
      <c r="BS828" s="40">
        <f>BS827*(1-IF(B827&gt;=in_marketplace_from,d_hz_loan_gold*G827,0))</f>
        <v/>
      </c>
      <c r="BT828" s="14">
        <f>F828*BS828*IF(B828&gt;=in_marketplace_from,d_hz_loan_gold*G828,0)*in_loan_gold_ticket*in_loan_gold_comm</f>
        <v/>
      </c>
      <c r="BU828" s="40">
        <f>BU827*(1-IF(B827&gt;=in_marketplace_from,d_hz_loan_cd*G827,0))</f>
        <v/>
      </c>
      <c r="BV828" s="14">
        <f>F828*BU828*IF(B828&gt;=in_marketplace_from,d_hz_loan_cd*G828,0)*in_loan_cd_ticket*in_loan_cd_comm</f>
        <v/>
      </c>
      <c r="BW828" s="40">
        <f>BW827*(1-IF(B827&gt;=in_marketplace_from,d_hz_loan_vehicle*G827,0))</f>
        <v/>
      </c>
      <c r="BX828" s="14">
        <f>F828*BW828*IF(B828&gt;=in_marketplace_from,d_hz_loan_vehicle*G828,0)*in_loan_vehicle_ticket*in_loan_vehicle_comm</f>
        <v/>
      </c>
      <c r="BY828" s="40">
        <f>BY827*(1-IF(B827&gt;=in_marketplace_from,d_hz_loan_home*G827,0)*BZ827)</f>
        <v/>
      </c>
      <c r="BZ828" s="11">
        <f>MIN(in_approval_cap,in_loan_home_approval*INDEX('Age profile'!$O$2:$O$61,B828)*(1+in_approval_growth)^(D828-1))</f>
        <v/>
      </c>
      <c r="CA828" s="14">
        <f>F828*BY828*IF(B828&gt;=in_marketplace_from,d_hz_loan_home*G828,0)*BZ828*in_loan_home_ticket*in_loan_home_comm</f>
        <v/>
      </c>
      <c r="CB828" s="40">
        <f>CB827*(1-IF(B827&gt;=in_marketplace_from,d_hz_loan_lap*G827,0)*CC827)</f>
        <v/>
      </c>
      <c r="CC828" s="11">
        <f>MIN(in_approval_cap,in_loan_lap_approval*INDEX('Age profile'!$O$2:$O$61,B828)*(1+in_approval_growth)^(D828-1))</f>
        <v/>
      </c>
      <c r="CD828" s="14">
        <f>F828*CB828*IF(B828&gt;=in_marketplace_from,d_hz_loan_lap*G828,0)*CC828*in_loan_lap_ticket*in_loan_lap_comm</f>
        <v/>
      </c>
      <c r="CE828" s="14">
        <f>AA828+AB828+AC828+AD828+AG828+AJ828+AM828+AP828+AS828+AU828+AX828+BB828+BE828+BG828+BJ828+BL828+BO828+BR828+BT828+BV828+BX828+CA828+CD828</f>
        <v/>
      </c>
    </row>
    <row r="829">
      <c r="A829" s="39" t="n">
        <v>16</v>
      </c>
      <c r="B829" s="39" t="n">
        <v>33</v>
      </c>
      <c r="C829" s="39">
        <f>A829+B829-1</f>
        <v/>
      </c>
      <c r="D829" s="39">
        <f>INT((C829-1)/12)+1</f>
        <v/>
      </c>
      <c r="E829" s="44">
        <f>INDEX(Monthly!$B$2:$B$61,A829)</f>
        <v/>
      </c>
      <c r="F829" s="44">
        <f>E829*INDEX('Age profile'!$B$2:$B$61,B829)</f>
        <v/>
      </c>
      <c r="G829" s="45">
        <f>MIN(in_takeup_cap,INDEX('Age profile'!$N$2:$N$61,B829)*(1+in_takeup_growth)^(D829-1))</f>
        <v/>
      </c>
      <c r="H829" s="11">
        <f>MIN(in_approval_cap,in_approved_first*INDEX('Age profile'!$O$2:$O$61,B829)*(1+in_approval_growth)^(D829-1))</f>
        <v/>
      </c>
      <c r="I829" s="45">
        <f>G829*MIN(in_takeup_cap,INDEX('Age profile'!$O$2:$O$61,B829)*(1+in_approval_growth)^(D829-1))</f>
        <v/>
      </c>
      <c r="J829" s="40">
        <f>(J828-L828)*F829/F828</f>
        <v/>
      </c>
      <c r="K829" s="40">
        <f>(K828-M828)*F829/F828+SUMIFS(O797:O828,B797:B828,B829-1-d_T)*F829</f>
        <v/>
      </c>
      <c r="L829" s="40">
        <f>IF(B829&gt;=in_marketplace_from,J829*d_hz*G829*in_eligible*H829,0)</f>
        <v/>
      </c>
      <c r="M829" s="40">
        <f>IF(B829&gt;=in_marketplace_from,K829*d_hz*G829*in_eligible*in_approved_repeat,0)</f>
        <v/>
      </c>
      <c r="N829" s="40">
        <f>L829+M829</f>
        <v/>
      </c>
      <c r="O829" s="46">
        <f>N829/F829</f>
        <v/>
      </c>
      <c r="P829" s="40">
        <f>F829-J829-K829</f>
        <v/>
      </c>
      <c r="Q829" s="40">
        <f>IF(B829&gt;=in_marketplace_from,(J829+K829)*d_hz*G829,0)</f>
        <v/>
      </c>
      <c r="R829" s="40">
        <f>SUMIFS(N797:N841,B797:B841,"&gt;="&amp;(B829-d_T),B797:B841,"&lt;="&amp;(B829-1))</f>
        <v/>
      </c>
      <c r="S829" s="46">
        <f>(1-d_u)*S828+IF(d_T&gt;in_topup_lag,SUMIFS(O797:O841,B797:B841,B829-in_topup_lag)-d_udrop*SUMIFS(O797:O841,B797:B841,B829-d_T),0)</f>
        <v/>
      </c>
      <c r="T829" s="40">
        <f>F829*d_u*S829</f>
        <v/>
      </c>
      <c r="U829" s="9">
        <f>L829*in_ticket+M829*d_rep_ticket</f>
        <v/>
      </c>
      <c r="V829" s="9">
        <f>U829+T829*d_topup_amt</f>
        <v/>
      </c>
      <c r="W829" s="40">
        <f>N829+T829*d_topup_ratio</f>
        <v/>
      </c>
      <c r="X829" s="40">
        <f>SUMIFS(W797:W841,B797:B841,B829-in_dpd_lag)*d_cured</f>
        <v/>
      </c>
      <c r="Y829" s="40">
        <f>SUMIFS(W797:W841,B797:B841,B829-in_rec_lag)*d_recd</f>
        <v/>
      </c>
      <c r="Z829" s="40">
        <f>IF(AND(B829&gt;=in_marketplace_from,B829&lt;in_marketplace_from+in_card_months),in_card_share/in_card_months*F829*I829,IF(AND(B829&gt;=in_marketplace_from+in_card_months,B829&lt;in_marketplace_from+2*in_card_months),in_card_share*d_card_rem/in_card_months*F829*MIN(in_takeup_cap,(1+in_takeup_growth)^(D829-1))*MIN(in_takeup_cap,(1+in_approval_growth)^(D829-1)),0))</f>
        <v/>
      </c>
      <c r="AA829" s="14">
        <f>V829*in_fee*(1-in_taken_back)</f>
        <v/>
      </c>
      <c r="AB829" s="14">
        <f>SUMIFS(W797:W841,B797:B841,B829-in_dpd_lag)*d_dpd</f>
        <v/>
      </c>
      <c r="AC829" s="14">
        <f>SUMIFS(W797:W841,B797:B841,B829-in_rec_lag)*d_rec</f>
        <v/>
      </c>
      <c r="AD829" s="14">
        <f>Z829*in_card_fee</f>
        <v/>
      </c>
      <c r="AE829" s="40">
        <f>AE828*(1-IF(B828&gt;=in_marketplace_from,d_hz_hlth_small*G828,0))</f>
        <v/>
      </c>
      <c r="AF829" s="46">
        <f>AE829*IF(B829&gt;=in_marketplace_from,d_hz_hlth_small*G829,0)</f>
        <v/>
      </c>
      <c r="AG829" s="14">
        <f>F829*AF829*in_hlth_small_ticket*in_hlth_small_comm*in_ins_partner_share+F829*in_hlth_small_ticket*in_hlth_small_renew_comm*in_ins_partner_share*(in_hlth_small_renew^1*SUMIFS(AF797:AF841,B797:B841,B829-12)+in_hlth_small_renew^2*SUMIFS(AF797:AF841,B797:B841,B829-24)+in_hlth_small_renew^3*SUMIFS(AF797:AF841,B797:B841,B829-36)+in_hlth_small_renew^4*SUMIFS(AF797:AF841,B797:B841,B829-48))</f>
        <v/>
      </c>
      <c r="AH829" s="40">
        <f>AH828*(1-IF(B828&gt;=in_marketplace_from,d_hz_hlth_family*G828,0))</f>
        <v/>
      </c>
      <c r="AI829" s="46">
        <f>AH829*IF(B829&gt;=in_marketplace_from,d_hz_hlth_family*G829,0)</f>
        <v/>
      </c>
      <c r="AJ829" s="14">
        <f>F829*AI829*in_hlth_family_ticket*in_hlth_family_comm*in_ins_partner_share+F829*in_hlth_family_ticket*in_hlth_family_renew_comm*in_ins_partner_share*(in_hlth_family_renew^1*SUMIFS(AI797:AI841,B797:B841,B829-12)+in_hlth_family_renew^2*SUMIFS(AI797:AI841,B797:B841,B829-24)+in_hlth_family_renew^3*SUMIFS(AI797:AI841,B797:B841,B829-36)+in_hlth_family_renew^4*SUMIFS(AI797:AI841,B797:B841,B829-48))</f>
        <v/>
      </c>
      <c r="AK829" s="40">
        <f>AK828*(1-IF(B828&gt;=in_marketplace_from,d_hz_life_term*G828,0))</f>
        <v/>
      </c>
      <c r="AL829" s="46">
        <f>AK829*IF(B829&gt;=in_marketplace_from,d_hz_life_term*G829,0)</f>
        <v/>
      </c>
      <c r="AM829" s="14">
        <f>F829*AL829*in_life_term_ticket*in_life_term_comm*in_ins_partner_share+F829*in_life_term_ticket*in_life_term_renew_comm*in_ins_partner_share*(in_life_term_renew^1*SUMIFS(AL797:AL841,B797:B841,B829-12)+in_life_term_renew^2*SUMIFS(AL797:AL841,B797:B841,B829-24)+in_life_term_renew^3*SUMIFS(AL797:AL841,B797:B841,B829-36)+in_life_term_renew^4*SUMIFS(AL797:AL841,B797:B841,B829-48))</f>
        <v/>
      </c>
      <c r="AN829" s="40">
        <f>AN828*(1-IF(B828&gt;=in_marketplace_from,d_hz_accident*G828,0))</f>
        <v/>
      </c>
      <c r="AO829" s="46">
        <f>AN829*IF(B829&gt;=in_marketplace_from,d_hz_accident*G829,0)</f>
        <v/>
      </c>
      <c r="AP829" s="14">
        <f>F829*AO829*in_accident_ticket*in_accident_comm*in_ins_partner_share+F829*in_accident_ticket*in_accident_renew_comm*in_ins_partner_share*(in_accident_renew^1*SUMIFS(AO797:AO841,B797:B841,B829-12)+in_accident_renew^2*SUMIFS(AO797:AO841,B797:B841,B829-24)+in_accident_renew^3*SUMIFS(AO797:AO841,B797:B841,B829-36)+in_accident_renew^4*SUMIFS(AO797:AO841,B797:B841,B829-48))</f>
        <v/>
      </c>
      <c r="AQ829" s="40">
        <f>AQ828*(1-IF(B828&gt;=in_marketplace_from,d_hz_two_wheeler*G828,0))</f>
        <v/>
      </c>
      <c r="AR829" s="46">
        <f>AQ829*IF(B829&gt;=in_marketplace_from,d_hz_two_wheeler*G829,0)</f>
        <v/>
      </c>
      <c r="AS829" s="14">
        <f>F829*AR829*in_two_wheeler_ticket*in_two_wheeler_comm*in_ins_partner_share+F829*in_two_wheeler_ticket*in_two_wheeler_comm*in_ins_partner_share*(in_two_wheeler_renew^1*SUMIFS(AR797:AR841,B797:B841,B829-12)+in_two_wheeler_renew^2*SUMIFS(AR797:AR841,B797:B841,B829-24)+in_two_wheeler_renew^3*SUMIFS(AR797:AR841,B797:B841,B829-36)+in_two_wheeler_renew^4*SUMIFS(AR797:AR841,B797:B841,B829-48))</f>
        <v/>
      </c>
      <c r="AT829" s="40">
        <f>AT828*(1-IF(B828&gt;=in_marketplace_from,d_hz_device*G828,0))</f>
        <v/>
      </c>
      <c r="AU829" s="14">
        <f>F829*AT829*IF(B829&gt;=in_marketplace_from,d_hz_device*G829,0)*in_device_ticket*in_device_comm*in_ins_partner_share</f>
        <v/>
      </c>
      <c r="AV829" s="40">
        <f>AV828*(1-IF(B828&gt;=in_marketplace_from,d_hz_shop*G828,0))</f>
        <v/>
      </c>
      <c r="AW829" s="46">
        <f>AV829*IF(B829&gt;=in_marketplace_from,d_hz_shop*G829,0)</f>
        <v/>
      </c>
      <c r="AX829" s="14">
        <f>F829*AW829*in_shop_ticket*in_shop_comm*in_ins_partner_share+F829*in_shop_ticket*in_shop_renew_comm*in_ins_partner_share*(in_shop_renew^1*SUMIFS(AW797:AW841,B797:B841,B829-12)+in_shop_renew^2*SUMIFS(AW797:AW841,B797:B841,B829-24)+in_shop_renew^3*SUMIFS(AW797:AW841,B797:B841,B829-36)+in_shop_renew^4*SUMIFS(AW797:AW841,B797:B841,B829-48))</f>
        <v/>
      </c>
      <c r="AY829" s="40">
        <f>AY828*(1-IF(B828&gt;=in_marketplace_from,d_hz_sip*G828,0))</f>
        <v/>
      </c>
      <c r="AZ829" s="40">
        <f>AZ828*d_rho_sip+AY829*IF(B829&gt;=in_marketplace_from,d_hz_sip*G829,0)</f>
        <v/>
      </c>
      <c r="BA829" s="40">
        <f>d_rho_sip*(BA828+AZ828)</f>
        <v/>
      </c>
      <c r="BB829" s="14">
        <f>F829*in_sip_ticket*(BA829+0.5*AZ829)*in_sip_comm/12</f>
        <v/>
      </c>
      <c r="BC829" s="40">
        <f>BC828*(1-IF(B828&gt;=in_marketplace_from,d_hz_choti*G828,0))</f>
        <v/>
      </c>
      <c r="BD829" s="46">
        <f>BC829*IF(B829&gt;=in_marketplace_from,d_hz_choti*G829,0)</f>
        <v/>
      </c>
      <c r="BE829" s="14">
        <f>F829*SUMIFS(BD797:BD841,B797:B841,B829-in_choti_months)*in_choti_renew*in_choti_ticket</f>
        <v/>
      </c>
      <c r="BF829" s="40">
        <f>BF828*(1-IF(B828&gt;=in_marketplace_from,d_hz_nps*G828,0))</f>
        <v/>
      </c>
      <c r="BG829" s="14">
        <f>F829*BF829*IF(B829&gt;=in_marketplace_from,d_hz_nps*G829,0)*in_nps_ticket*in_nps_comm</f>
        <v/>
      </c>
      <c r="BH829" s="40">
        <f>BH828*(1-IF(B828&gt;=in_marketplace_from,d_hz_gold*G828,0))</f>
        <v/>
      </c>
      <c r="BI829" s="40">
        <f>BI828*d_rho_gold+BH829*IF(B829&gt;=in_marketplace_from,d_hz_gold*G829,0)</f>
        <v/>
      </c>
      <c r="BJ829" s="14">
        <f>F829*BI829*in_gold_ticket*in_gold_comm</f>
        <v/>
      </c>
      <c r="BK829" s="40">
        <f>BK828*(1-IF(B828&gt;=in_marketplace_from,d_hz_fd*G828,0))</f>
        <v/>
      </c>
      <c r="BL829" s="14">
        <f>F829*BK829*IF(B829&gt;=in_marketplace_from,d_hz_fd*G829,0)*in_fd_ticket*in_fd_comm</f>
        <v/>
      </c>
      <c r="BM829" s="40">
        <f>BM828*(1-IF(B828&gt;=in_marketplace_from,d_hz_recharge*G828,0))</f>
        <v/>
      </c>
      <c r="BN829" s="40">
        <f>BN828*d_rho_recharge+BM829*IF(B829&gt;=in_marketplace_from,d_hz_recharge*G829,0)</f>
        <v/>
      </c>
      <c r="BO829" s="14">
        <f>F829*BN829*in_recharge_ticket*in_recharge_comm/12</f>
        <v/>
      </c>
      <c r="BP829" s="40">
        <f>BP828*(1-IF(B828&gt;=in_marketplace_from,d_hz_bills*G828,0))</f>
        <v/>
      </c>
      <c r="BQ829" s="40">
        <f>BQ828*d_rho_bills+BP829*IF(B829&gt;=in_marketplace_from,d_hz_bills*G829,0)</f>
        <v/>
      </c>
      <c r="BR829" s="14">
        <f>F829*BQ829*in_bills_ticket*in_bills_comm/12</f>
        <v/>
      </c>
      <c r="BS829" s="40">
        <f>BS828*(1-IF(B828&gt;=in_marketplace_from,d_hz_loan_gold*G828,0))</f>
        <v/>
      </c>
      <c r="BT829" s="14">
        <f>F829*BS829*IF(B829&gt;=in_marketplace_from,d_hz_loan_gold*G829,0)*in_loan_gold_ticket*in_loan_gold_comm</f>
        <v/>
      </c>
      <c r="BU829" s="40">
        <f>BU828*(1-IF(B828&gt;=in_marketplace_from,d_hz_loan_cd*G828,0))</f>
        <v/>
      </c>
      <c r="BV829" s="14">
        <f>F829*BU829*IF(B829&gt;=in_marketplace_from,d_hz_loan_cd*G829,0)*in_loan_cd_ticket*in_loan_cd_comm</f>
        <v/>
      </c>
      <c r="BW829" s="40">
        <f>BW828*(1-IF(B828&gt;=in_marketplace_from,d_hz_loan_vehicle*G828,0))</f>
        <v/>
      </c>
      <c r="BX829" s="14">
        <f>F829*BW829*IF(B829&gt;=in_marketplace_from,d_hz_loan_vehicle*G829,0)*in_loan_vehicle_ticket*in_loan_vehicle_comm</f>
        <v/>
      </c>
      <c r="BY829" s="40">
        <f>BY828*(1-IF(B828&gt;=in_marketplace_from,d_hz_loan_home*G828,0)*BZ828)</f>
        <v/>
      </c>
      <c r="BZ829" s="11">
        <f>MIN(in_approval_cap,in_loan_home_approval*INDEX('Age profile'!$O$2:$O$61,B829)*(1+in_approval_growth)^(D829-1))</f>
        <v/>
      </c>
      <c r="CA829" s="14">
        <f>F829*BY829*IF(B829&gt;=in_marketplace_from,d_hz_loan_home*G829,0)*BZ829*in_loan_home_ticket*in_loan_home_comm</f>
        <v/>
      </c>
      <c r="CB829" s="40">
        <f>CB828*(1-IF(B828&gt;=in_marketplace_from,d_hz_loan_lap*G828,0)*CC828)</f>
        <v/>
      </c>
      <c r="CC829" s="11">
        <f>MIN(in_approval_cap,in_loan_lap_approval*INDEX('Age profile'!$O$2:$O$61,B829)*(1+in_approval_growth)^(D829-1))</f>
        <v/>
      </c>
      <c r="CD829" s="14">
        <f>F829*CB829*IF(B829&gt;=in_marketplace_from,d_hz_loan_lap*G829,0)*CC829*in_loan_lap_ticket*in_loan_lap_comm</f>
        <v/>
      </c>
      <c r="CE829" s="14">
        <f>AA829+AB829+AC829+AD829+AG829+AJ829+AM829+AP829+AS829+AU829+AX829+BB829+BE829+BG829+BJ829+BL829+BO829+BR829+BT829+BV829+BX829+CA829+CD829</f>
        <v/>
      </c>
    </row>
    <row r="830">
      <c r="A830" s="39" t="n">
        <v>16</v>
      </c>
      <c r="B830" s="39" t="n">
        <v>34</v>
      </c>
      <c r="C830" s="39">
        <f>A830+B830-1</f>
        <v/>
      </c>
      <c r="D830" s="39">
        <f>INT((C830-1)/12)+1</f>
        <v/>
      </c>
      <c r="E830" s="44">
        <f>INDEX(Monthly!$B$2:$B$61,A830)</f>
        <v/>
      </c>
      <c r="F830" s="44">
        <f>E830*INDEX('Age profile'!$B$2:$B$61,B830)</f>
        <v/>
      </c>
      <c r="G830" s="45">
        <f>MIN(in_takeup_cap,INDEX('Age profile'!$N$2:$N$61,B830)*(1+in_takeup_growth)^(D830-1))</f>
        <v/>
      </c>
      <c r="H830" s="11">
        <f>MIN(in_approval_cap,in_approved_first*INDEX('Age profile'!$O$2:$O$61,B830)*(1+in_approval_growth)^(D830-1))</f>
        <v/>
      </c>
      <c r="I830" s="45">
        <f>G830*MIN(in_takeup_cap,INDEX('Age profile'!$O$2:$O$61,B830)*(1+in_approval_growth)^(D830-1))</f>
        <v/>
      </c>
      <c r="J830" s="40">
        <f>(J829-L829)*F830/F829</f>
        <v/>
      </c>
      <c r="K830" s="40">
        <f>(K829-M829)*F830/F829+SUMIFS(O797:O829,B797:B829,B830-1-d_T)*F830</f>
        <v/>
      </c>
      <c r="L830" s="40">
        <f>IF(B830&gt;=in_marketplace_from,J830*d_hz*G830*in_eligible*H830,0)</f>
        <v/>
      </c>
      <c r="M830" s="40">
        <f>IF(B830&gt;=in_marketplace_from,K830*d_hz*G830*in_eligible*in_approved_repeat,0)</f>
        <v/>
      </c>
      <c r="N830" s="40">
        <f>L830+M830</f>
        <v/>
      </c>
      <c r="O830" s="46">
        <f>N830/F830</f>
        <v/>
      </c>
      <c r="P830" s="40">
        <f>F830-J830-K830</f>
        <v/>
      </c>
      <c r="Q830" s="40">
        <f>IF(B830&gt;=in_marketplace_from,(J830+K830)*d_hz*G830,0)</f>
        <v/>
      </c>
      <c r="R830" s="40">
        <f>SUMIFS(N797:N841,B797:B841,"&gt;="&amp;(B830-d_T),B797:B841,"&lt;="&amp;(B830-1))</f>
        <v/>
      </c>
      <c r="S830" s="46">
        <f>(1-d_u)*S829+IF(d_T&gt;in_topup_lag,SUMIFS(O797:O841,B797:B841,B830-in_topup_lag)-d_udrop*SUMIFS(O797:O841,B797:B841,B830-d_T),0)</f>
        <v/>
      </c>
      <c r="T830" s="40">
        <f>F830*d_u*S830</f>
        <v/>
      </c>
      <c r="U830" s="9">
        <f>L830*in_ticket+M830*d_rep_ticket</f>
        <v/>
      </c>
      <c r="V830" s="9">
        <f>U830+T830*d_topup_amt</f>
        <v/>
      </c>
      <c r="W830" s="40">
        <f>N830+T830*d_topup_ratio</f>
        <v/>
      </c>
      <c r="X830" s="40">
        <f>SUMIFS(W797:W841,B797:B841,B830-in_dpd_lag)*d_cured</f>
        <v/>
      </c>
      <c r="Y830" s="40">
        <f>SUMIFS(W797:W841,B797:B841,B830-in_rec_lag)*d_recd</f>
        <v/>
      </c>
      <c r="Z830" s="40">
        <f>IF(AND(B830&gt;=in_marketplace_from,B830&lt;in_marketplace_from+in_card_months),in_card_share/in_card_months*F830*I830,IF(AND(B830&gt;=in_marketplace_from+in_card_months,B830&lt;in_marketplace_from+2*in_card_months),in_card_share*d_card_rem/in_card_months*F830*MIN(in_takeup_cap,(1+in_takeup_growth)^(D830-1))*MIN(in_takeup_cap,(1+in_approval_growth)^(D830-1)),0))</f>
        <v/>
      </c>
      <c r="AA830" s="14">
        <f>V830*in_fee*(1-in_taken_back)</f>
        <v/>
      </c>
      <c r="AB830" s="14">
        <f>SUMIFS(W797:W841,B797:B841,B830-in_dpd_lag)*d_dpd</f>
        <v/>
      </c>
      <c r="AC830" s="14">
        <f>SUMIFS(W797:W841,B797:B841,B830-in_rec_lag)*d_rec</f>
        <v/>
      </c>
      <c r="AD830" s="14">
        <f>Z830*in_card_fee</f>
        <v/>
      </c>
      <c r="AE830" s="40">
        <f>AE829*(1-IF(B829&gt;=in_marketplace_from,d_hz_hlth_small*G829,0))</f>
        <v/>
      </c>
      <c r="AF830" s="46">
        <f>AE830*IF(B830&gt;=in_marketplace_from,d_hz_hlth_small*G830,0)</f>
        <v/>
      </c>
      <c r="AG830" s="14">
        <f>F830*AF830*in_hlth_small_ticket*in_hlth_small_comm*in_ins_partner_share+F830*in_hlth_small_ticket*in_hlth_small_renew_comm*in_ins_partner_share*(in_hlth_small_renew^1*SUMIFS(AF797:AF841,B797:B841,B830-12)+in_hlth_small_renew^2*SUMIFS(AF797:AF841,B797:B841,B830-24)+in_hlth_small_renew^3*SUMIFS(AF797:AF841,B797:B841,B830-36)+in_hlth_small_renew^4*SUMIFS(AF797:AF841,B797:B841,B830-48))</f>
        <v/>
      </c>
      <c r="AH830" s="40">
        <f>AH829*(1-IF(B829&gt;=in_marketplace_from,d_hz_hlth_family*G829,0))</f>
        <v/>
      </c>
      <c r="AI830" s="46">
        <f>AH830*IF(B830&gt;=in_marketplace_from,d_hz_hlth_family*G830,0)</f>
        <v/>
      </c>
      <c r="AJ830" s="14">
        <f>F830*AI830*in_hlth_family_ticket*in_hlth_family_comm*in_ins_partner_share+F830*in_hlth_family_ticket*in_hlth_family_renew_comm*in_ins_partner_share*(in_hlth_family_renew^1*SUMIFS(AI797:AI841,B797:B841,B830-12)+in_hlth_family_renew^2*SUMIFS(AI797:AI841,B797:B841,B830-24)+in_hlth_family_renew^3*SUMIFS(AI797:AI841,B797:B841,B830-36)+in_hlth_family_renew^4*SUMIFS(AI797:AI841,B797:B841,B830-48))</f>
        <v/>
      </c>
      <c r="AK830" s="40">
        <f>AK829*(1-IF(B829&gt;=in_marketplace_from,d_hz_life_term*G829,0))</f>
        <v/>
      </c>
      <c r="AL830" s="46">
        <f>AK830*IF(B830&gt;=in_marketplace_from,d_hz_life_term*G830,0)</f>
        <v/>
      </c>
      <c r="AM830" s="14">
        <f>F830*AL830*in_life_term_ticket*in_life_term_comm*in_ins_partner_share+F830*in_life_term_ticket*in_life_term_renew_comm*in_ins_partner_share*(in_life_term_renew^1*SUMIFS(AL797:AL841,B797:B841,B830-12)+in_life_term_renew^2*SUMIFS(AL797:AL841,B797:B841,B830-24)+in_life_term_renew^3*SUMIFS(AL797:AL841,B797:B841,B830-36)+in_life_term_renew^4*SUMIFS(AL797:AL841,B797:B841,B830-48))</f>
        <v/>
      </c>
      <c r="AN830" s="40">
        <f>AN829*(1-IF(B829&gt;=in_marketplace_from,d_hz_accident*G829,0))</f>
        <v/>
      </c>
      <c r="AO830" s="46">
        <f>AN830*IF(B830&gt;=in_marketplace_from,d_hz_accident*G830,0)</f>
        <v/>
      </c>
      <c r="AP830" s="14">
        <f>F830*AO830*in_accident_ticket*in_accident_comm*in_ins_partner_share+F830*in_accident_ticket*in_accident_renew_comm*in_ins_partner_share*(in_accident_renew^1*SUMIFS(AO797:AO841,B797:B841,B830-12)+in_accident_renew^2*SUMIFS(AO797:AO841,B797:B841,B830-24)+in_accident_renew^3*SUMIFS(AO797:AO841,B797:B841,B830-36)+in_accident_renew^4*SUMIFS(AO797:AO841,B797:B841,B830-48))</f>
        <v/>
      </c>
      <c r="AQ830" s="40">
        <f>AQ829*(1-IF(B829&gt;=in_marketplace_from,d_hz_two_wheeler*G829,0))</f>
        <v/>
      </c>
      <c r="AR830" s="46">
        <f>AQ830*IF(B830&gt;=in_marketplace_from,d_hz_two_wheeler*G830,0)</f>
        <v/>
      </c>
      <c r="AS830" s="14">
        <f>F830*AR830*in_two_wheeler_ticket*in_two_wheeler_comm*in_ins_partner_share+F830*in_two_wheeler_ticket*in_two_wheeler_comm*in_ins_partner_share*(in_two_wheeler_renew^1*SUMIFS(AR797:AR841,B797:B841,B830-12)+in_two_wheeler_renew^2*SUMIFS(AR797:AR841,B797:B841,B830-24)+in_two_wheeler_renew^3*SUMIFS(AR797:AR841,B797:B841,B830-36)+in_two_wheeler_renew^4*SUMIFS(AR797:AR841,B797:B841,B830-48))</f>
        <v/>
      </c>
      <c r="AT830" s="40">
        <f>AT829*(1-IF(B829&gt;=in_marketplace_from,d_hz_device*G829,0))</f>
        <v/>
      </c>
      <c r="AU830" s="14">
        <f>F830*AT830*IF(B830&gt;=in_marketplace_from,d_hz_device*G830,0)*in_device_ticket*in_device_comm*in_ins_partner_share</f>
        <v/>
      </c>
      <c r="AV830" s="40">
        <f>AV829*(1-IF(B829&gt;=in_marketplace_from,d_hz_shop*G829,0))</f>
        <v/>
      </c>
      <c r="AW830" s="46">
        <f>AV830*IF(B830&gt;=in_marketplace_from,d_hz_shop*G830,0)</f>
        <v/>
      </c>
      <c r="AX830" s="14">
        <f>F830*AW830*in_shop_ticket*in_shop_comm*in_ins_partner_share+F830*in_shop_ticket*in_shop_renew_comm*in_ins_partner_share*(in_shop_renew^1*SUMIFS(AW797:AW841,B797:B841,B830-12)+in_shop_renew^2*SUMIFS(AW797:AW841,B797:B841,B830-24)+in_shop_renew^3*SUMIFS(AW797:AW841,B797:B841,B830-36)+in_shop_renew^4*SUMIFS(AW797:AW841,B797:B841,B830-48))</f>
        <v/>
      </c>
      <c r="AY830" s="40">
        <f>AY829*(1-IF(B829&gt;=in_marketplace_from,d_hz_sip*G829,0))</f>
        <v/>
      </c>
      <c r="AZ830" s="40">
        <f>AZ829*d_rho_sip+AY830*IF(B830&gt;=in_marketplace_from,d_hz_sip*G830,0)</f>
        <v/>
      </c>
      <c r="BA830" s="40">
        <f>d_rho_sip*(BA829+AZ829)</f>
        <v/>
      </c>
      <c r="BB830" s="14">
        <f>F830*in_sip_ticket*(BA830+0.5*AZ830)*in_sip_comm/12</f>
        <v/>
      </c>
      <c r="BC830" s="40">
        <f>BC829*(1-IF(B829&gt;=in_marketplace_from,d_hz_choti*G829,0))</f>
        <v/>
      </c>
      <c r="BD830" s="46">
        <f>BC830*IF(B830&gt;=in_marketplace_from,d_hz_choti*G830,0)</f>
        <v/>
      </c>
      <c r="BE830" s="14">
        <f>F830*SUMIFS(BD797:BD841,B797:B841,B830-in_choti_months)*in_choti_renew*in_choti_ticket</f>
        <v/>
      </c>
      <c r="BF830" s="40">
        <f>BF829*(1-IF(B829&gt;=in_marketplace_from,d_hz_nps*G829,0))</f>
        <v/>
      </c>
      <c r="BG830" s="14">
        <f>F830*BF830*IF(B830&gt;=in_marketplace_from,d_hz_nps*G830,0)*in_nps_ticket*in_nps_comm</f>
        <v/>
      </c>
      <c r="BH830" s="40">
        <f>BH829*(1-IF(B829&gt;=in_marketplace_from,d_hz_gold*G829,0))</f>
        <v/>
      </c>
      <c r="BI830" s="40">
        <f>BI829*d_rho_gold+BH830*IF(B830&gt;=in_marketplace_from,d_hz_gold*G830,0)</f>
        <v/>
      </c>
      <c r="BJ830" s="14">
        <f>F830*BI830*in_gold_ticket*in_gold_comm</f>
        <v/>
      </c>
      <c r="BK830" s="40">
        <f>BK829*(1-IF(B829&gt;=in_marketplace_from,d_hz_fd*G829,0))</f>
        <v/>
      </c>
      <c r="BL830" s="14">
        <f>F830*BK830*IF(B830&gt;=in_marketplace_from,d_hz_fd*G830,0)*in_fd_ticket*in_fd_comm</f>
        <v/>
      </c>
      <c r="BM830" s="40">
        <f>BM829*(1-IF(B829&gt;=in_marketplace_from,d_hz_recharge*G829,0))</f>
        <v/>
      </c>
      <c r="BN830" s="40">
        <f>BN829*d_rho_recharge+BM830*IF(B830&gt;=in_marketplace_from,d_hz_recharge*G830,0)</f>
        <v/>
      </c>
      <c r="BO830" s="14">
        <f>F830*BN830*in_recharge_ticket*in_recharge_comm/12</f>
        <v/>
      </c>
      <c r="BP830" s="40">
        <f>BP829*(1-IF(B829&gt;=in_marketplace_from,d_hz_bills*G829,0))</f>
        <v/>
      </c>
      <c r="BQ830" s="40">
        <f>BQ829*d_rho_bills+BP830*IF(B830&gt;=in_marketplace_from,d_hz_bills*G830,0)</f>
        <v/>
      </c>
      <c r="BR830" s="14">
        <f>F830*BQ830*in_bills_ticket*in_bills_comm/12</f>
        <v/>
      </c>
      <c r="BS830" s="40">
        <f>BS829*(1-IF(B829&gt;=in_marketplace_from,d_hz_loan_gold*G829,0))</f>
        <v/>
      </c>
      <c r="BT830" s="14">
        <f>F830*BS830*IF(B830&gt;=in_marketplace_from,d_hz_loan_gold*G830,0)*in_loan_gold_ticket*in_loan_gold_comm</f>
        <v/>
      </c>
      <c r="BU830" s="40">
        <f>BU829*(1-IF(B829&gt;=in_marketplace_from,d_hz_loan_cd*G829,0))</f>
        <v/>
      </c>
      <c r="BV830" s="14">
        <f>F830*BU830*IF(B830&gt;=in_marketplace_from,d_hz_loan_cd*G830,0)*in_loan_cd_ticket*in_loan_cd_comm</f>
        <v/>
      </c>
      <c r="BW830" s="40">
        <f>BW829*(1-IF(B829&gt;=in_marketplace_from,d_hz_loan_vehicle*G829,0))</f>
        <v/>
      </c>
      <c r="BX830" s="14">
        <f>F830*BW830*IF(B830&gt;=in_marketplace_from,d_hz_loan_vehicle*G830,0)*in_loan_vehicle_ticket*in_loan_vehicle_comm</f>
        <v/>
      </c>
      <c r="BY830" s="40">
        <f>BY829*(1-IF(B829&gt;=in_marketplace_from,d_hz_loan_home*G829,0)*BZ829)</f>
        <v/>
      </c>
      <c r="BZ830" s="11">
        <f>MIN(in_approval_cap,in_loan_home_approval*INDEX('Age profile'!$O$2:$O$61,B830)*(1+in_approval_growth)^(D830-1))</f>
        <v/>
      </c>
      <c r="CA830" s="14">
        <f>F830*BY830*IF(B830&gt;=in_marketplace_from,d_hz_loan_home*G830,0)*BZ830*in_loan_home_ticket*in_loan_home_comm</f>
        <v/>
      </c>
      <c r="CB830" s="40">
        <f>CB829*(1-IF(B829&gt;=in_marketplace_from,d_hz_loan_lap*G829,0)*CC829)</f>
        <v/>
      </c>
      <c r="CC830" s="11">
        <f>MIN(in_approval_cap,in_loan_lap_approval*INDEX('Age profile'!$O$2:$O$61,B830)*(1+in_approval_growth)^(D830-1))</f>
        <v/>
      </c>
      <c r="CD830" s="14">
        <f>F830*CB830*IF(B830&gt;=in_marketplace_from,d_hz_loan_lap*G830,0)*CC830*in_loan_lap_ticket*in_loan_lap_comm</f>
        <v/>
      </c>
      <c r="CE830" s="14">
        <f>AA830+AB830+AC830+AD830+AG830+AJ830+AM830+AP830+AS830+AU830+AX830+BB830+BE830+BG830+BJ830+BL830+BO830+BR830+BT830+BV830+BX830+CA830+CD830</f>
        <v/>
      </c>
    </row>
    <row r="831">
      <c r="A831" s="39" t="n">
        <v>16</v>
      </c>
      <c r="B831" s="39" t="n">
        <v>35</v>
      </c>
      <c r="C831" s="39">
        <f>A831+B831-1</f>
        <v/>
      </c>
      <c r="D831" s="39">
        <f>INT((C831-1)/12)+1</f>
        <v/>
      </c>
      <c r="E831" s="44">
        <f>INDEX(Monthly!$B$2:$B$61,A831)</f>
        <v/>
      </c>
      <c r="F831" s="44">
        <f>E831*INDEX('Age profile'!$B$2:$B$61,B831)</f>
        <v/>
      </c>
      <c r="G831" s="45">
        <f>MIN(in_takeup_cap,INDEX('Age profile'!$N$2:$N$61,B831)*(1+in_takeup_growth)^(D831-1))</f>
        <v/>
      </c>
      <c r="H831" s="11">
        <f>MIN(in_approval_cap,in_approved_first*INDEX('Age profile'!$O$2:$O$61,B831)*(1+in_approval_growth)^(D831-1))</f>
        <v/>
      </c>
      <c r="I831" s="45">
        <f>G831*MIN(in_takeup_cap,INDEX('Age profile'!$O$2:$O$61,B831)*(1+in_approval_growth)^(D831-1))</f>
        <v/>
      </c>
      <c r="J831" s="40">
        <f>(J830-L830)*F831/F830</f>
        <v/>
      </c>
      <c r="K831" s="40">
        <f>(K830-M830)*F831/F830+SUMIFS(O797:O830,B797:B830,B831-1-d_T)*F831</f>
        <v/>
      </c>
      <c r="L831" s="40">
        <f>IF(B831&gt;=in_marketplace_from,J831*d_hz*G831*in_eligible*H831,0)</f>
        <v/>
      </c>
      <c r="M831" s="40">
        <f>IF(B831&gt;=in_marketplace_from,K831*d_hz*G831*in_eligible*in_approved_repeat,0)</f>
        <v/>
      </c>
      <c r="N831" s="40">
        <f>L831+M831</f>
        <v/>
      </c>
      <c r="O831" s="46">
        <f>N831/F831</f>
        <v/>
      </c>
      <c r="P831" s="40">
        <f>F831-J831-K831</f>
        <v/>
      </c>
      <c r="Q831" s="40">
        <f>IF(B831&gt;=in_marketplace_from,(J831+K831)*d_hz*G831,0)</f>
        <v/>
      </c>
      <c r="R831" s="40">
        <f>SUMIFS(N797:N841,B797:B841,"&gt;="&amp;(B831-d_T),B797:B841,"&lt;="&amp;(B831-1))</f>
        <v/>
      </c>
      <c r="S831" s="46">
        <f>(1-d_u)*S830+IF(d_T&gt;in_topup_lag,SUMIFS(O797:O841,B797:B841,B831-in_topup_lag)-d_udrop*SUMIFS(O797:O841,B797:B841,B831-d_T),0)</f>
        <v/>
      </c>
      <c r="T831" s="40">
        <f>F831*d_u*S831</f>
        <v/>
      </c>
      <c r="U831" s="9">
        <f>L831*in_ticket+M831*d_rep_ticket</f>
        <v/>
      </c>
      <c r="V831" s="9">
        <f>U831+T831*d_topup_amt</f>
        <v/>
      </c>
      <c r="W831" s="40">
        <f>N831+T831*d_topup_ratio</f>
        <v/>
      </c>
      <c r="X831" s="40">
        <f>SUMIFS(W797:W841,B797:B841,B831-in_dpd_lag)*d_cured</f>
        <v/>
      </c>
      <c r="Y831" s="40">
        <f>SUMIFS(W797:W841,B797:B841,B831-in_rec_lag)*d_recd</f>
        <v/>
      </c>
      <c r="Z831" s="40">
        <f>IF(AND(B831&gt;=in_marketplace_from,B831&lt;in_marketplace_from+in_card_months),in_card_share/in_card_months*F831*I831,IF(AND(B831&gt;=in_marketplace_from+in_card_months,B831&lt;in_marketplace_from+2*in_card_months),in_card_share*d_card_rem/in_card_months*F831*MIN(in_takeup_cap,(1+in_takeup_growth)^(D831-1))*MIN(in_takeup_cap,(1+in_approval_growth)^(D831-1)),0))</f>
        <v/>
      </c>
      <c r="AA831" s="14">
        <f>V831*in_fee*(1-in_taken_back)</f>
        <v/>
      </c>
      <c r="AB831" s="14">
        <f>SUMIFS(W797:W841,B797:B841,B831-in_dpd_lag)*d_dpd</f>
        <v/>
      </c>
      <c r="AC831" s="14">
        <f>SUMIFS(W797:W841,B797:B841,B831-in_rec_lag)*d_rec</f>
        <v/>
      </c>
      <c r="AD831" s="14">
        <f>Z831*in_card_fee</f>
        <v/>
      </c>
      <c r="AE831" s="40">
        <f>AE830*(1-IF(B830&gt;=in_marketplace_from,d_hz_hlth_small*G830,0))</f>
        <v/>
      </c>
      <c r="AF831" s="46">
        <f>AE831*IF(B831&gt;=in_marketplace_from,d_hz_hlth_small*G831,0)</f>
        <v/>
      </c>
      <c r="AG831" s="14">
        <f>F831*AF831*in_hlth_small_ticket*in_hlth_small_comm*in_ins_partner_share+F831*in_hlth_small_ticket*in_hlth_small_renew_comm*in_ins_partner_share*(in_hlth_small_renew^1*SUMIFS(AF797:AF841,B797:B841,B831-12)+in_hlth_small_renew^2*SUMIFS(AF797:AF841,B797:B841,B831-24)+in_hlth_small_renew^3*SUMIFS(AF797:AF841,B797:B841,B831-36)+in_hlth_small_renew^4*SUMIFS(AF797:AF841,B797:B841,B831-48))</f>
        <v/>
      </c>
      <c r="AH831" s="40">
        <f>AH830*(1-IF(B830&gt;=in_marketplace_from,d_hz_hlth_family*G830,0))</f>
        <v/>
      </c>
      <c r="AI831" s="46">
        <f>AH831*IF(B831&gt;=in_marketplace_from,d_hz_hlth_family*G831,0)</f>
        <v/>
      </c>
      <c r="AJ831" s="14">
        <f>F831*AI831*in_hlth_family_ticket*in_hlth_family_comm*in_ins_partner_share+F831*in_hlth_family_ticket*in_hlth_family_renew_comm*in_ins_partner_share*(in_hlth_family_renew^1*SUMIFS(AI797:AI841,B797:B841,B831-12)+in_hlth_family_renew^2*SUMIFS(AI797:AI841,B797:B841,B831-24)+in_hlth_family_renew^3*SUMIFS(AI797:AI841,B797:B841,B831-36)+in_hlth_family_renew^4*SUMIFS(AI797:AI841,B797:B841,B831-48))</f>
        <v/>
      </c>
      <c r="AK831" s="40">
        <f>AK830*(1-IF(B830&gt;=in_marketplace_from,d_hz_life_term*G830,0))</f>
        <v/>
      </c>
      <c r="AL831" s="46">
        <f>AK831*IF(B831&gt;=in_marketplace_from,d_hz_life_term*G831,0)</f>
        <v/>
      </c>
      <c r="AM831" s="14">
        <f>F831*AL831*in_life_term_ticket*in_life_term_comm*in_ins_partner_share+F831*in_life_term_ticket*in_life_term_renew_comm*in_ins_partner_share*(in_life_term_renew^1*SUMIFS(AL797:AL841,B797:B841,B831-12)+in_life_term_renew^2*SUMIFS(AL797:AL841,B797:B841,B831-24)+in_life_term_renew^3*SUMIFS(AL797:AL841,B797:B841,B831-36)+in_life_term_renew^4*SUMIFS(AL797:AL841,B797:B841,B831-48))</f>
        <v/>
      </c>
      <c r="AN831" s="40">
        <f>AN830*(1-IF(B830&gt;=in_marketplace_from,d_hz_accident*G830,0))</f>
        <v/>
      </c>
      <c r="AO831" s="46">
        <f>AN831*IF(B831&gt;=in_marketplace_from,d_hz_accident*G831,0)</f>
        <v/>
      </c>
      <c r="AP831" s="14">
        <f>F831*AO831*in_accident_ticket*in_accident_comm*in_ins_partner_share+F831*in_accident_ticket*in_accident_renew_comm*in_ins_partner_share*(in_accident_renew^1*SUMIFS(AO797:AO841,B797:B841,B831-12)+in_accident_renew^2*SUMIFS(AO797:AO841,B797:B841,B831-24)+in_accident_renew^3*SUMIFS(AO797:AO841,B797:B841,B831-36)+in_accident_renew^4*SUMIFS(AO797:AO841,B797:B841,B831-48))</f>
        <v/>
      </c>
      <c r="AQ831" s="40">
        <f>AQ830*(1-IF(B830&gt;=in_marketplace_from,d_hz_two_wheeler*G830,0))</f>
        <v/>
      </c>
      <c r="AR831" s="46">
        <f>AQ831*IF(B831&gt;=in_marketplace_from,d_hz_two_wheeler*G831,0)</f>
        <v/>
      </c>
      <c r="AS831" s="14">
        <f>F831*AR831*in_two_wheeler_ticket*in_two_wheeler_comm*in_ins_partner_share+F831*in_two_wheeler_ticket*in_two_wheeler_comm*in_ins_partner_share*(in_two_wheeler_renew^1*SUMIFS(AR797:AR841,B797:B841,B831-12)+in_two_wheeler_renew^2*SUMIFS(AR797:AR841,B797:B841,B831-24)+in_two_wheeler_renew^3*SUMIFS(AR797:AR841,B797:B841,B831-36)+in_two_wheeler_renew^4*SUMIFS(AR797:AR841,B797:B841,B831-48))</f>
        <v/>
      </c>
      <c r="AT831" s="40">
        <f>AT830*(1-IF(B830&gt;=in_marketplace_from,d_hz_device*G830,0))</f>
        <v/>
      </c>
      <c r="AU831" s="14">
        <f>F831*AT831*IF(B831&gt;=in_marketplace_from,d_hz_device*G831,0)*in_device_ticket*in_device_comm*in_ins_partner_share</f>
        <v/>
      </c>
      <c r="AV831" s="40">
        <f>AV830*(1-IF(B830&gt;=in_marketplace_from,d_hz_shop*G830,0))</f>
        <v/>
      </c>
      <c r="AW831" s="46">
        <f>AV831*IF(B831&gt;=in_marketplace_from,d_hz_shop*G831,0)</f>
        <v/>
      </c>
      <c r="AX831" s="14">
        <f>F831*AW831*in_shop_ticket*in_shop_comm*in_ins_partner_share+F831*in_shop_ticket*in_shop_renew_comm*in_ins_partner_share*(in_shop_renew^1*SUMIFS(AW797:AW841,B797:B841,B831-12)+in_shop_renew^2*SUMIFS(AW797:AW841,B797:B841,B831-24)+in_shop_renew^3*SUMIFS(AW797:AW841,B797:B841,B831-36)+in_shop_renew^4*SUMIFS(AW797:AW841,B797:B841,B831-48))</f>
        <v/>
      </c>
      <c r="AY831" s="40">
        <f>AY830*(1-IF(B830&gt;=in_marketplace_from,d_hz_sip*G830,0))</f>
        <v/>
      </c>
      <c r="AZ831" s="40">
        <f>AZ830*d_rho_sip+AY831*IF(B831&gt;=in_marketplace_from,d_hz_sip*G831,0)</f>
        <v/>
      </c>
      <c r="BA831" s="40">
        <f>d_rho_sip*(BA830+AZ830)</f>
        <v/>
      </c>
      <c r="BB831" s="14">
        <f>F831*in_sip_ticket*(BA831+0.5*AZ831)*in_sip_comm/12</f>
        <v/>
      </c>
      <c r="BC831" s="40">
        <f>BC830*(1-IF(B830&gt;=in_marketplace_from,d_hz_choti*G830,0))</f>
        <v/>
      </c>
      <c r="BD831" s="46">
        <f>BC831*IF(B831&gt;=in_marketplace_from,d_hz_choti*G831,0)</f>
        <v/>
      </c>
      <c r="BE831" s="14">
        <f>F831*SUMIFS(BD797:BD841,B797:B841,B831-in_choti_months)*in_choti_renew*in_choti_ticket</f>
        <v/>
      </c>
      <c r="BF831" s="40">
        <f>BF830*(1-IF(B830&gt;=in_marketplace_from,d_hz_nps*G830,0))</f>
        <v/>
      </c>
      <c r="BG831" s="14">
        <f>F831*BF831*IF(B831&gt;=in_marketplace_from,d_hz_nps*G831,0)*in_nps_ticket*in_nps_comm</f>
        <v/>
      </c>
      <c r="BH831" s="40">
        <f>BH830*(1-IF(B830&gt;=in_marketplace_from,d_hz_gold*G830,0))</f>
        <v/>
      </c>
      <c r="BI831" s="40">
        <f>BI830*d_rho_gold+BH831*IF(B831&gt;=in_marketplace_from,d_hz_gold*G831,0)</f>
        <v/>
      </c>
      <c r="BJ831" s="14">
        <f>F831*BI831*in_gold_ticket*in_gold_comm</f>
        <v/>
      </c>
      <c r="BK831" s="40">
        <f>BK830*(1-IF(B830&gt;=in_marketplace_from,d_hz_fd*G830,0))</f>
        <v/>
      </c>
      <c r="BL831" s="14">
        <f>F831*BK831*IF(B831&gt;=in_marketplace_from,d_hz_fd*G831,0)*in_fd_ticket*in_fd_comm</f>
        <v/>
      </c>
      <c r="BM831" s="40">
        <f>BM830*(1-IF(B830&gt;=in_marketplace_from,d_hz_recharge*G830,0))</f>
        <v/>
      </c>
      <c r="BN831" s="40">
        <f>BN830*d_rho_recharge+BM831*IF(B831&gt;=in_marketplace_from,d_hz_recharge*G831,0)</f>
        <v/>
      </c>
      <c r="BO831" s="14">
        <f>F831*BN831*in_recharge_ticket*in_recharge_comm/12</f>
        <v/>
      </c>
      <c r="BP831" s="40">
        <f>BP830*(1-IF(B830&gt;=in_marketplace_from,d_hz_bills*G830,0))</f>
        <v/>
      </c>
      <c r="BQ831" s="40">
        <f>BQ830*d_rho_bills+BP831*IF(B831&gt;=in_marketplace_from,d_hz_bills*G831,0)</f>
        <v/>
      </c>
      <c r="BR831" s="14">
        <f>F831*BQ831*in_bills_ticket*in_bills_comm/12</f>
        <v/>
      </c>
      <c r="BS831" s="40">
        <f>BS830*(1-IF(B830&gt;=in_marketplace_from,d_hz_loan_gold*G830,0))</f>
        <v/>
      </c>
      <c r="BT831" s="14">
        <f>F831*BS831*IF(B831&gt;=in_marketplace_from,d_hz_loan_gold*G831,0)*in_loan_gold_ticket*in_loan_gold_comm</f>
        <v/>
      </c>
      <c r="BU831" s="40">
        <f>BU830*(1-IF(B830&gt;=in_marketplace_from,d_hz_loan_cd*G830,0))</f>
        <v/>
      </c>
      <c r="BV831" s="14">
        <f>F831*BU831*IF(B831&gt;=in_marketplace_from,d_hz_loan_cd*G831,0)*in_loan_cd_ticket*in_loan_cd_comm</f>
        <v/>
      </c>
      <c r="BW831" s="40">
        <f>BW830*(1-IF(B830&gt;=in_marketplace_from,d_hz_loan_vehicle*G830,0))</f>
        <v/>
      </c>
      <c r="BX831" s="14">
        <f>F831*BW831*IF(B831&gt;=in_marketplace_from,d_hz_loan_vehicle*G831,0)*in_loan_vehicle_ticket*in_loan_vehicle_comm</f>
        <v/>
      </c>
      <c r="BY831" s="40">
        <f>BY830*(1-IF(B830&gt;=in_marketplace_from,d_hz_loan_home*G830,0)*BZ830)</f>
        <v/>
      </c>
      <c r="BZ831" s="11">
        <f>MIN(in_approval_cap,in_loan_home_approval*INDEX('Age profile'!$O$2:$O$61,B831)*(1+in_approval_growth)^(D831-1))</f>
        <v/>
      </c>
      <c r="CA831" s="14">
        <f>F831*BY831*IF(B831&gt;=in_marketplace_from,d_hz_loan_home*G831,0)*BZ831*in_loan_home_ticket*in_loan_home_comm</f>
        <v/>
      </c>
      <c r="CB831" s="40">
        <f>CB830*(1-IF(B830&gt;=in_marketplace_from,d_hz_loan_lap*G830,0)*CC830)</f>
        <v/>
      </c>
      <c r="CC831" s="11">
        <f>MIN(in_approval_cap,in_loan_lap_approval*INDEX('Age profile'!$O$2:$O$61,B831)*(1+in_approval_growth)^(D831-1))</f>
        <v/>
      </c>
      <c r="CD831" s="14">
        <f>F831*CB831*IF(B831&gt;=in_marketplace_from,d_hz_loan_lap*G831,0)*CC831*in_loan_lap_ticket*in_loan_lap_comm</f>
        <v/>
      </c>
      <c r="CE831" s="14">
        <f>AA831+AB831+AC831+AD831+AG831+AJ831+AM831+AP831+AS831+AU831+AX831+BB831+BE831+BG831+BJ831+BL831+BO831+BR831+BT831+BV831+BX831+CA831+CD831</f>
        <v/>
      </c>
    </row>
    <row r="832">
      <c r="A832" s="39" t="n">
        <v>16</v>
      </c>
      <c r="B832" s="39" t="n">
        <v>36</v>
      </c>
      <c r="C832" s="39">
        <f>A832+B832-1</f>
        <v/>
      </c>
      <c r="D832" s="39">
        <f>INT((C832-1)/12)+1</f>
        <v/>
      </c>
      <c r="E832" s="44">
        <f>INDEX(Monthly!$B$2:$B$61,A832)</f>
        <v/>
      </c>
      <c r="F832" s="44">
        <f>E832*INDEX('Age profile'!$B$2:$B$61,B832)</f>
        <v/>
      </c>
      <c r="G832" s="45">
        <f>MIN(in_takeup_cap,INDEX('Age profile'!$N$2:$N$61,B832)*(1+in_takeup_growth)^(D832-1))</f>
        <v/>
      </c>
      <c r="H832" s="11">
        <f>MIN(in_approval_cap,in_approved_first*INDEX('Age profile'!$O$2:$O$61,B832)*(1+in_approval_growth)^(D832-1))</f>
        <v/>
      </c>
      <c r="I832" s="45">
        <f>G832*MIN(in_takeup_cap,INDEX('Age profile'!$O$2:$O$61,B832)*(1+in_approval_growth)^(D832-1))</f>
        <v/>
      </c>
      <c r="J832" s="40">
        <f>(J831-L831)*F832/F831</f>
        <v/>
      </c>
      <c r="K832" s="40">
        <f>(K831-M831)*F832/F831+SUMIFS(O797:O831,B797:B831,B832-1-d_T)*F832</f>
        <v/>
      </c>
      <c r="L832" s="40">
        <f>IF(B832&gt;=in_marketplace_from,J832*d_hz*G832*in_eligible*H832,0)</f>
        <v/>
      </c>
      <c r="M832" s="40">
        <f>IF(B832&gt;=in_marketplace_from,K832*d_hz*G832*in_eligible*in_approved_repeat,0)</f>
        <v/>
      </c>
      <c r="N832" s="40">
        <f>L832+M832</f>
        <v/>
      </c>
      <c r="O832" s="46">
        <f>N832/F832</f>
        <v/>
      </c>
      <c r="P832" s="40">
        <f>F832-J832-K832</f>
        <v/>
      </c>
      <c r="Q832" s="40">
        <f>IF(B832&gt;=in_marketplace_from,(J832+K832)*d_hz*G832,0)</f>
        <v/>
      </c>
      <c r="R832" s="40">
        <f>SUMIFS(N797:N841,B797:B841,"&gt;="&amp;(B832-d_T),B797:B841,"&lt;="&amp;(B832-1))</f>
        <v/>
      </c>
      <c r="S832" s="46">
        <f>(1-d_u)*S831+IF(d_T&gt;in_topup_lag,SUMIFS(O797:O841,B797:B841,B832-in_topup_lag)-d_udrop*SUMIFS(O797:O841,B797:B841,B832-d_T),0)</f>
        <v/>
      </c>
      <c r="T832" s="40">
        <f>F832*d_u*S832</f>
        <v/>
      </c>
      <c r="U832" s="9">
        <f>L832*in_ticket+M832*d_rep_ticket</f>
        <v/>
      </c>
      <c r="V832" s="9">
        <f>U832+T832*d_topup_amt</f>
        <v/>
      </c>
      <c r="W832" s="40">
        <f>N832+T832*d_topup_ratio</f>
        <v/>
      </c>
      <c r="X832" s="40">
        <f>SUMIFS(W797:W841,B797:B841,B832-in_dpd_lag)*d_cured</f>
        <v/>
      </c>
      <c r="Y832" s="40">
        <f>SUMIFS(W797:W841,B797:B841,B832-in_rec_lag)*d_recd</f>
        <v/>
      </c>
      <c r="Z832" s="40">
        <f>IF(AND(B832&gt;=in_marketplace_from,B832&lt;in_marketplace_from+in_card_months),in_card_share/in_card_months*F832*I832,IF(AND(B832&gt;=in_marketplace_from+in_card_months,B832&lt;in_marketplace_from+2*in_card_months),in_card_share*d_card_rem/in_card_months*F832*MIN(in_takeup_cap,(1+in_takeup_growth)^(D832-1))*MIN(in_takeup_cap,(1+in_approval_growth)^(D832-1)),0))</f>
        <v/>
      </c>
      <c r="AA832" s="14">
        <f>V832*in_fee*(1-in_taken_back)</f>
        <v/>
      </c>
      <c r="AB832" s="14">
        <f>SUMIFS(W797:W841,B797:B841,B832-in_dpd_lag)*d_dpd</f>
        <v/>
      </c>
      <c r="AC832" s="14">
        <f>SUMIFS(W797:W841,B797:B841,B832-in_rec_lag)*d_rec</f>
        <v/>
      </c>
      <c r="AD832" s="14">
        <f>Z832*in_card_fee</f>
        <v/>
      </c>
      <c r="AE832" s="40">
        <f>AE831*(1-IF(B831&gt;=in_marketplace_from,d_hz_hlth_small*G831,0))</f>
        <v/>
      </c>
      <c r="AF832" s="46">
        <f>AE832*IF(B832&gt;=in_marketplace_from,d_hz_hlth_small*G832,0)</f>
        <v/>
      </c>
      <c r="AG832" s="14">
        <f>F832*AF832*in_hlth_small_ticket*in_hlth_small_comm*in_ins_partner_share+F832*in_hlth_small_ticket*in_hlth_small_renew_comm*in_ins_partner_share*(in_hlth_small_renew^1*SUMIFS(AF797:AF841,B797:B841,B832-12)+in_hlth_small_renew^2*SUMIFS(AF797:AF841,B797:B841,B832-24)+in_hlth_small_renew^3*SUMIFS(AF797:AF841,B797:B841,B832-36)+in_hlth_small_renew^4*SUMIFS(AF797:AF841,B797:B841,B832-48))</f>
        <v/>
      </c>
      <c r="AH832" s="40">
        <f>AH831*(1-IF(B831&gt;=in_marketplace_from,d_hz_hlth_family*G831,0))</f>
        <v/>
      </c>
      <c r="AI832" s="46">
        <f>AH832*IF(B832&gt;=in_marketplace_from,d_hz_hlth_family*G832,0)</f>
        <v/>
      </c>
      <c r="AJ832" s="14">
        <f>F832*AI832*in_hlth_family_ticket*in_hlth_family_comm*in_ins_partner_share+F832*in_hlth_family_ticket*in_hlth_family_renew_comm*in_ins_partner_share*(in_hlth_family_renew^1*SUMIFS(AI797:AI841,B797:B841,B832-12)+in_hlth_family_renew^2*SUMIFS(AI797:AI841,B797:B841,B832-24)+in_hlth_family_renew^3*SUMIFS(AI797:AI841,B797:B841,B832-36)+in_hlth_family_renew^4*SUMIFS(AI797:AI841,B797:B841,B832-48))</f>
        <v/>
      </c>
      <c r="AK832" s="40">
        <f>AK831*(1-IF(B831&gt;=in_marketplace_from,d_hz_life_term*G831,0))</f>
        <v/>
      </c>
      <c r="AL832" s="46">
        <f>AK832*IF(B832&gt;=in_marketplace_from,d_hz_life_term*G832,0)</f>
        <v/>
      </c>
      <c r="AM832" s="14">
        <f>F832*AL832*in_life_term_ticket*in_life_term_comm*in_ins_partner_share+F832*in_life_term_ticket*in_life_term_renew_comm*in_ins_partner_share*(in_life_term_renew^1*SUMIFS(AL797:AL841,B797:B841,B832-12)+in_life_term_renew^2*SUMIFS(AL797:AL841,B797:B841,B832-24)+in_life_term_renew^3*SUMIFS(AL797:AL841,B797:B841,B832-36)+in_life_term_renew^4*SUMIFS(AL797:AL841,B797:B841,B832-48))</f>
        <v/>
      </c>
      <c r="AN832" s="40">
        <f>AN831*(1-IF(B831&gt;=in_marketplace_from,d_hz_accident*G831,0))</f>
        <v/>
      </c>
      <c r="AO832" s="46">
        <f>AN832*IF(B832&gt;=in_marketplace_from,d_hz_accident*G832,0)</f>
        <v/>
      </c>
      <c r="AP832" s="14">
        <f>F832*AO832*in_accident_ticket*in_accident_comm*in_ins_partner_share+F832*in_accident_ticket*in_accident_renew_comm*in_ins_partner_share*(in_accident_renew^1*SUMIFS(AO797:AO841,B797:B841,B832-12)+in_accident_renew^2*SUMIFS(AO797:AO841,B797:B841,B832-24)+in_accident_renew^3*SUMIFS(AO797:AO841,B797:B841,B832-36)+in_accident_renew^4*SUMIFS(AO797:AO841,B797:B841,B832-48))</f>
        <v/>
      </c>
      <c r="AQ832" s="40">
        <f>AQ831*(1-IF(B831&gt;=in_marketplace_from,d_hz_two_wheeler*G831,0))</f>
        <v/>
      </c>
      <c r="AR832" s="46">
        <f>AQ832*IF(B832&gt;=in_marketplace_from,d_hz_two_wheeler*G832,0)</f>
        <v/>
      </c>
      <c r="AS832" s="14">
        <f>F832*AR832*in_two_wheeler_ticket*in_two_wheeler_comm*in_ins_partner_share+F832*in_two_wheeler_ticket*in_two_wheeler_comm*in_ins_partner_share*(in_two_wheeler_renew^1*SUMIFS(AR797:AR841,B797:B841,B832-12)+in_two_wheeler_renew^2*SUMIFS(AR797:AR841,B797:B841,B832-24)+in_two_wheeler_renew^3*SUMIFS(AR797:AR841,B797:B841,B832-36)+in_two_wheeler_renew^4*SUMIFS(AR797:AR841,B797:B841,B832-48))</f>
        <v/>
      </c>
      <c r="AT832" s="40">
        <f>AT831*(1-IF(B831&gt;=in_marketplace_from,d_hz_device*G831,0))</f>
        <v/>
      </c>
      <c r="AU832" s="14">
        <f>F832*AT832*IF(B832&gt;=in_marketplace_from,d_hz_device*G832,0)*in_device_ticket*in_device_comm*in_ins_partner_share</f>
        <v/>
      </c>
      <c r="AV832" s="40">
        <f>AV831*(1-IF(B831&gt;=in_marketplace_from,d_hz_shop*G831,0))</f>
        <v/>
      </c>
      <c r="AW832" s="46">
        <f>AV832*IF(B832&gt;=in_marketplace_from,d_hz_shop*G832,0)</f>
        <v/>
      </c>
      <c r="AX832" s="14">
        <f>F832*AW832*in_shop_ticket*in_shop_comm*in_ins_partner_share+F832*in_shop_ticket*in_shop_renew_comm*in_ins_partner_share*(in_shop_renew^1*SUMIFS(AW797:AW841,B797:B841,B832-12)+in_shop_renew^2*SUMIFS(AW797:AW841,B797:B841,B832-24)+in_shop_renew^3*SUMIFS(AW797:AW841,B797:B841,B832-36)+in_shop_renew^4*SUMIFS(AW797:AW841,B797:B841,B832-48))</f>
        <v/>
      </c>
      <c r="AY832" s="40">
        <f>AY831*(1-IF(B831&gt;=in_marketplace_from,d_hz_sip*G831,0))</f>
        <v/>
      </c>
      <c r="AZ832" s="40">
        <f>AZ831*d_rho_sip+AY832*IF(B832&gt;=in_marketplace_from,d_hz_sip*G832,0)</f>
        <v/>
      </c>
      <c r="BA832" s="40">
        <f>d_rho_sip*(BA831+AZ831)</f>
        <v/>
      </c>
      <c r="BB832" s="14">
        <f>F832*in_sip_ticket*(BA832+0.5*AZ832)*in_sip_comm/12</f>
        <v/>
      </c>
      <c r="BC832" s="40">
        <f>BC831*(1-IF(B831&gt;=in_marketplace_from,d_hz_choti*G831,0))</f>
        <v/>
      </c>
      <c r="BD832" s="46">
        <f>BC832*IF(B832&gt;=in_marketplace_from,d_hz_choti*G832,0)</f>
        <v/>
      </c>
      <c r="BE832" s="14">
        <f>F832*SUMIFS(BD797:BD841,B797:B841,B832-in_choti_months)*in_choti_renew*in_choti_ticket</f>
        <v/>
      </c>
      <c r="BF832" s="40">
        <f>BF831*(1-IF(B831&gt;=in_marketplace_from,d_hz_nps*G831,0))</f>
        <v/>
      </c>
      <c r="BG832" s="14">
        <f>F832*BF832*IF(B832&gt;=in_marketplace_from,d_hz_nps*G832,0)*in_nps_ticket*in_nps_comm</f>
        <v/>
      </c>
      <c r="BH832" s="40">
        <f>BH831*(1-IF(B831&gt;=in_marketplace_from,d_hz_gold*G831,0))</f>
        <v/>
      </c>
      <c r="BI832" s="40">
        <f>BI831*d_rho_gold+BH832*IF(B832&gt;=in_marketplace_from,d_hz_gold*G832,0)</f>
        <v/>
      </c>
      <c r="BJ832" s="14">
        <f>F832*BI832*in_gold_ticket*in_gold_comm</f>
        <v/>
      </c>
      <c r="BK832" s="40">
        <f>BK831*(1-IF(B831&gt;=in_marketplace_from,d_hz_fd*G831,0))</f>
        <v/>
      </c>
      <c r="BL832" s="14">
        <f>F832*BK832*IF(B832&gt;=in_marketplace_from,d_hz_fd*G832,0)*in_fd_ticket*in_fd_comm</f>
        <v/>
      </c>
      <c r="BM832" s="40">
        <f>BM831*(1-IF(B831&gt;=in_marketplace_from,d_hz_recharge*G831,0))</f>
        <v/>
      </c>
      <c r="BN832" s="40">
        <f>BN831*d_rho_recharge+BM832*IF(B832&gt;=in_marketplace_from,d_hz_recharge*G832,0)</f>
        <v/>
      </c>
      <c r="BO832" s="14">
        <f>F832*BN832*in_recharge_ticket*in_recharge_comm/12</f>
        <v/>
      </c>
      <c r="BP832" s="40">
        <f>BP831*(1-IF(B831&gt;=in_marketplace_from,d_hz_bills*G831,0))</f>
        <v/>
      </c>
      <c r="BQ832" s="40">
        <f>BQ831*d_rho_bills+BP832*IF(B832&gt;=in_marketplace_from,d_hz_bills*G832,0)</f>
        <v/>
      </c>
      <c r="BR832" s="14">
        <f>F832*BQ832*in_bills_ticket*in_bills_comm/12</f>
        <v/>
      </c>
      <c r="BS832" s="40">
        <f>BS831*(1-IF(B831&gt;=in_marketplace_from,d_hz_loan_gold*G831,0))</f>
        <v/>
      </c>
      <c r="BT832" s="14">
        <f>F832*BS832*IF(B832&gt;=in_marketplace_from,d_hz_loan_gold*G832,0)*in_loan_gold_ticket*in_loan_gold_comm</f>
        <v/>
      </c>
      <c r="BU832" s="40">
        <f>BU831*(1-IF(B831&gt;=in_marketplace_from,d_hz_loan_cd*G831,0))</f>
        <v/>
      </c>
      <c r="BV832" s="14">
        <f>F832*BU832*IF(B832&gt;=in_marketplace_from,d_hz_loan_cd*G832,0)*in_loan_cd_ticket*in_loan_cd_comm</f>
        <v/>
      </c>
      <c r="BW832" s="40">
        <f>BW831*(1-IF(B831&gt;=in_marketplace_from,d_hz_loan_vehicle*G831,0))</f>
        <v/>
      </c>
      <c r="BX832" s="14">
        <f>F832*BW832*IF(B832&gt;=in_marketplace_from,d_hz_loan_vehicle*G832,0)*in_loan_vehicle_ticket*in_loan_vehicle_comm</f>
        <v/>
      </c>
      <c r="BY832" s="40">
        <f>BY831*(1-IF(B831&gt;=in_marketplace_from,d_hz_loan_home*G831,0)*BZ831)</f>
        <v/>
      </c>
      <c r="BZ832" s="11">
        <f>MIN(in_approval_cap,in_loan_home_approval*INDEX('Age profile'!$O$2:$O$61,B832)*(1+in_approval_growth)^(D832-1))</f>
        <v/>
      </c>
      <c r="CA832" s="14">
        <f>F832*BY832*IF(B832&gt;=in_marketplace_from,d_hz_loan_home*G832,0)*BZ832*in_loan_home_ticket*in_loan_home_comm</f>
        <v/>
      </c>
      <c r="CB832" s="40">
        <f>CB831*(1-IF(B831&gt;=in_marketplace_from,d_hz_loan_lap*G831,0)*CC831)</f>
        <v/>
      </c>
      <c r="CC832" s="11">
        <f>MIN(in_approval_cap,in_loan_lap_approval*INDEX('Age profile'!$O$2:$O$61,B832)*(1+in_approval_growth)^(D832-1))</f>
        <v/>
      </c>
      <c r="CD832" s="14">
        <f>F832*CB832*IF(B832&gt;=in_marketplace_from,d_hz_loan_lap*G832,0)*CC832*in_loan_lap_ticket*in_loan_lap_comm</f>
        <v/>
      </c>
      <c r="CE832" s="14">
        <f>AA832+AB832+AC832+AD832+AG832+AJ832+AM832+AP832+AS832+AU832+AX832+BB832+BE832+BG832+BJ832+BL832+BO832+BR832+BT832+BV832+BX832+CA832+CD832</f>
        <v/>
      </c>
    </row>
    <row r="833">
      <c r="A833" s="39" t="n">
        <v>16</v>
      </c>
      <c r="B833" s="39" t="n">
        <v>37</v>
      </c>
      <c r="C833" s="39">
        <f>A833+B833-1</f>
        <v/>
      </c>
      <c r="D833" s="39">
        <f>INT((C833-1)/12)+1</f>
        <v/>
      </c>
      <c r="E833" s="44">
        <f>INDEX(Monthly!$B$2:$B$61,A833)</f>
        <v/>
      </c>
      <c r="F833" s="44">
        <f>E833*INDEX('Age profile'!$B$2:$B$61,B833)</f>
        <v/>
      </c>
      <c r="G833" s="45">
        <f>MIN(in_takeup_cap,INDEX('Age profile'!$N$2:$N$61,B833)*(1+in_takeup_growth)^(D833-1))</f>
        <v/>
      </c>
      <c r="H833" s="11">
        <f>MIN(in_approval_cap,in_approved_first*INDEX('Age profile'!$O$2:$O$61,B833)*(1+in_approval_growth)^(D833-1))</f>
        <v/>
      </c>
      <c r="I833" s="45">
        <f>G833*MIN(in_takeup_cap,INDEX('Age profile'!$O$2:$O$61,B833)*(1+in_approval_growth)^(D833-1))</f>
        <v/>
      </c>
      <c r="J833" s="40">
        <f>(J832-L832)*F833/F832</f>
        <v/>
      </c>
      <c r="K833" s="40">
        <f>(K832-M832)*F833/F832+SUMIFS(O797:O832,B797:B832,B833-1-d_T)*F833</f>
        <v/>
      </c>
      <c r="L833" s="40">
        <f>IF(B833&gt;=in_marketplace_from,J833*d_hz*G833*in_eligible*H833,0)</f>
        <v/>
      </c>
      <c r="M833" s="40">
        <f>IF(B833&gt;=in_marketplace_from,K833*d_hz*G833*in_eligible*in_approved_repeat,0)</f>
        <v/>
      </c>
      <c r="N833" s="40">
        <f>L833+M833</f>
        <v/>
      </c>
      <c r="O833" s="46">
        <f>N833/F833</f>
        <v/>
      </c>
      <c r="P833" s="40">
        <f>F833-J833-K833</f>
        <v/>
      </c>
      <c r="Q833" s="40">
        <f>IF(B833&gt;=in_marketplace_from,(J833+K833)*d_hz*G833,0)</f>
        <v/>
      </c>
      <c r="R833" s="40">
        <f>SUMIFS(N797:N841,B797:B841,"&gt;="&amp;(B833-d_T),B797:B841,"&lt;="&amp;(B833-1))</f>
        <v/>
      </c>
      <c r="S833" s="46">
        <f>(1-d_u)*S832+IF(d_T&gt;in_topup_lag,SUMIFS(O797:O841,B797:B841,B833-in_topup_lag)-d_udrop*SUMIFS(O797:O841,B797:B841,B833-d_T),0)</f>
        <v/>
      </c>
      <c r="T833" s="40">
        <f>F833*d_u*S833</f>
        <v/>
      </c>
      <c r="U833" s="9">
        <f>L833*in_ticket+M833*d_rep_ticket</f>
        <v/>
      </c>
      <c r="V833" s="9">
        <f>U833+T833*d_topup_amt</f>
        <v/>
      </c>
      <c r="W833" s="40">
        <f>N833+T833*d_topup_ratio</f>
        <v/>
      </c>
      <c r="X833" s="40">
        <f>SUMIFS(W797:W841,B797:B841,B833-in_dpd_lag)*d_cured</f>
        <v/>
      </c>
      <c r="Y833" s="40">
        <f>SUMIFS(W797:W841,B797:B841,B833-in_rec_lag)*d_recd</f>
        <v/>
      </c>
      <c r="Z833" s="40">
        <f>IF(AND(B833&gt;=in_marketplace_from,B833&lt;in_marketplace_from+in_card_months),in_card_share/in_card_months*F833*I833,IF(AND(B833&gt;=in_marketplace_from+in_card_months,B833&lt;in_marketplace_from+2*in_card_months),in_card_share*d_card_rem/in_card_months*F833*MIN(in_takeup_cap,(1+in_takeup_growth)^(D833-1))*MIN(in_takeup_cap,(1+in_approval_growth)^(D833-1)),0))</f>
        <v/>
      </c>
      <c r="AA833" s="14">
        <f>V833*in_fee*(1-in_taken_back)</f>
        <v/>
      </c>
      <c r="AB833" s="14">
        <f>SUMIFS(W797:W841,B797:B841,B833-in_dpd_lag)*d_dpd</f>
        <v/>
      </c>
      <c r="AC833" s="14">
        <f>SUMIFS(W797:W841,B797:B841,B833-in_rec_lag)*d_rec</f>
        <v/>
      </c>
      <c r="AD833" s="14">
        <f>Z833*in_card_fee</f>
        <v/>
      </c>
      <c r="AE833" s="40">
        <f>AE832*(1-IF(B832&gt;=in_marketplace_from,d_hz_hlth_small*G832,0))</f>
        <v/>
      </c>
      <c r="AF833" s="46">
        <f>AE833*IF(B833&gt;=in_marketplace_from,d_hz_hlth_small*G833,0)</f>
        <v/>
      </c>
      <c r="AG833" s="14">
        <f>F833*AF833*in_hlth_small_ticket*in_hlth_small_comm*in_ins_partner_share+F833*in_hlth_small_ticket*in_hlth_small_renew_comm*in_ins_partner_share*(in_hlth_small_renew^1*SUMIFS(AF797:AF841,B797:B841,B833-12)+in_hlth_small_renew^2*SUMIFS(AF797:AF841,B797:B841,B833-24)+in_hlth_small_renew^3*SUMIFS(AF797:AF841,B797:B841,B833-36)+in_hlth_small_renew^4*SUMIFS(AF797:AF841,B797:B841,B833-48))</f>
        <v/>
      </c>
      <c r="AH833" s="40">
        <f>AH832*(1-IF(B832&gt;=in_marketplace_from,d_hz_hlth_family*G832,0))</f>
        <v/>
      </c>
      <c r="AI833" s="46">
        <f>AH833*IF(B833&gt;=in_marketplace_from,d_hz_hlth_family*G833,0)</f>
        <v/>
      </c>
      <c r="AJ833" s="14">
        <f>F833*AI833*in_hlth_family_ticket*in_hlth_family_comm*in_ins_partner_share+F833*in_hlth_family_ticket*in_hlth_family_renew_comm*in_ins_partner_share*(in_hlth_family_renew^1*SUMIFS(AI797:AI841,B797:B841,B833-12)+in_hlth_family_renew^2*SUMIFS(AI797:AI841,B797:B841,B833-24)+in_hlth_family_renew^3*SUMIFS(AI797:AI841,B797:B841,B833-36)+in_hlth_family_renew^4*SUMIFS(AI797:AI841,B797:B841,B833-48))</f>
        <v/>
      </c>
      <c r="AK833" s="40">
        <f>AK832*(1-IF(B832&gt;=in_marketplace_from,d_hz_life_term*G832,0))</f>
        <v/>
      </c>
      <c r="AL833" s="46">
        <f>AK833*IF(B833&gt;=in_marketplace_from,d_hz_life_term*G833,0)</f>
        <v/>
      </c>
      <c r="AM833" s="14">
        <f>F833*AL833*in_life_term_ticket*in_life_term_comm*in_ins_partner_share+F833*in_life_term_ticket*in_life_term_renew_comm*in_ins_partner_share*(in_life_term_renew^1*SUMIFS(AL797:AL841,B797:B841,B833-12)+in_life_term_renew^2*SUMIFS(AL797:AL841,B797:B841,B833-24)+in_life_term_renew^3*SUMIFS(AL797:AL841,B797:B841,B833-36)+in_life_term_renew^4*SUMIFS(AL797:AL841,B797:B841,B833-48))</f>
        <v/>
      </c>
      <c r="AN833" s="40">
        <f>AN832*(1-IF(B832&gt;=in_marketplace_from,d_hz_accident*G832,0))</f>
        <v/>
      </c>
      <c r="AO833" s="46">
        <f>AN833*IF(B833&gt;=in_marketplace_from,d_hz_accident*G833,0)</f>
        <v/>
      </c>
      <c r="AP833" s="14">
        <f>F833*AO833*in_accident_ticket*in_accident_comm*in_ins_partner_share+F833*in_accident_ticket*in_accident_renew_comm*in_ins_partner_share*(in_accident_renew^1*SUMIFS(AO797:AO841,B797:B841,B833-12)+in_accident_renew^2*SUMIFS(AO797:AO841,B797:B841,B833-24)+in_accident_renew^3*SUMIFS(AO797:AO841,B797:B841,B833-36)+in_accident_renew^4*SUMIFS(AO797:AO841,B797:B841,B833-48))</f>
        <v/>
      </c>
      <c r="AQ833" s="40">
        <f>AQ832*(1-IF(B832&gt;=in_marketplace_from,d_hz_two_wheeler*G832,0))</f>
        <v/>
      </c>
      <c r="AR833" s="46">
        <f>AQ833*IF(B833&gt;=in_marketplace_from,d_hz_two_wheeler*G833,0)</f>
        <v/>
      </c>
      <c r="AS833" s="14">
        <f>F833*AR833*in_two_wheeler_ticket*in_two_wheeler_comm*in_ins_partner_share+F833*in_two_wheeler_ticket*in_two_wheeler_comm*in_ins_partner_share*(in_two_wheeler_renew^1*SUMIFS(AR797:AR841,B797:B841,B833-12)+in_two_wheeler_renew^2*SUMIFS(AR797:AR841,B797:B841,B833-24)+in_two_wheeler_renew^3*SUMIFS(AR797:AR841,B797:B841,B833-36)+in_two_wheeler_renew^4*SUMIFS(AR797:AR841,B797:B841,B833-48))</f>
        <v/>
      </c>
      <c r="AT833" s="40">
        <f>AT832*(1-IF(B832&gt;=in_marketplace_from,d_hz_device*G832,0))</f>
        <v/>
      </c>
      <c r="AU833" s="14">
        <f>F833*AT833*IF(B833&gt;=in_marketplace_from,d_hz_device*G833,0)*in_device_ticket*in_device_comm*in_ins_partner_share</f>
        <v/>
      </c>
      <c r="AV833" s="40">
        <f>AV832*(1-IF(B832&gt;=in_marketplace_from,d_hz_shop*G832,0))</f>
        <v/>
      </c>
      <c r="AW833" s="46">
        <f>AV833*IF(B833&gt;=in_marketplace_from,d_hz_shop*G833,0)</f>
        <v/>
      </c>
      <c r="AX833" s="14">
        <f>F833*AW833*in_shop_ticket*in_shop_comm*in_ins_partner_share+F833*in_shop_ticket*in_shop_renew_comm*in_ins_partner_share*(in_shop_renew^1*SUMIFS(AW797:AW841,B797:B841,B833-12)+in_shop_renew^2*SUMIFS(AW797:AW841,B797:B841,B833-24)+in_shop_renew^3*SUMIFS(AW797:AW841,B797:B841,B833-36)+in_shop_renew^4*SUMIFS(AW797:AW841,B797:B841,B833-48))</f>
        <v/>
      </c>
      <c r="AY833" s="40">
        <f>AY832*(1-IF(B832&gt;=in_marketplace_from,d_hz_sip*G832,0))</f>
        <v/>
      </c>
      <c r="AZ833" s="40">
        <f>AZ832*d_rho_sip+AY833*IF(B833&gt;=in_marketplace_from,d_hz_sip*G833,0)</f>
        <v/>
      </c>
      <c r="BA833" s="40">
        <f>d_rho_sip*(BA832+AZ832)</f>
        <v/>
      </c>
      <c r="BB833" s="14">
        <f>F833*in_sip_ticket*(BA833+0.5*AZ833)*in_sip_comm/12</f>
        <v/>
      </c>
      <c r="BC833" s="40">
        <f>BC832*(1-IF(B832&gt;=in_marketplace_from,d_hz_choti*G832,0))</f>
        <v/>
      </c>
      <c r="BD833" s="46">
        <f>BC833*IF(B833&gt;=in_marketplace_from,d_hz_choti*G833,0)</f>
        <v/>
      </c>
      <c r="BE833" s="14">
        <f>F833*SUMIFS(BD797:BD841,B797:B841,B833-in_choti_months)*in_choti_renew*in_choti_ticket</f>
        <v/>
      </c>
      <c r="BF833" s="40">
        <f>BF832*(1-IF(B832&gt;=in_marketplace_from,d_hz_nps*G832,0))</f>
        <v/>
      </c>
      <c r="BG833" s="14">
        <f>F833*BF833*IF(B833&gt;=in_marketplace_from,d_hz_nps*G833,0)*in_nps_ticket*in_nps_comm</f>
        <v/>
      </c>
      <c r="BH833" s="40">
        <f>BH832*(1-IF(B832&gt;=in_marketplace_from,d_hz_gold*G832,0))</f>
        <v/>
      </c>
      <c r="BI833" s="40">
        <f>BI832*d_rho_gold+BH833*IF(B833&gt;=in_marketplace_from,d_hz_gold*G833,0)</f>
        <v/>
      </c>
      <c r="BJ833" s="14">
        <f>F833*BI833*in_gold_ticket*in_gold_comm</f>
        <v/>
      </c>
      <c r="BK833" s="40">
        <f>BK832*(1-IF(B832&gt;=in_marketplace_from,d_hz_fd*G832,0))</f>
        <v/>
      </c>
      <c r="BL833" s="14">
        <f>F833*BK833*IF(B833&gt;=in_marketplace_from,d_hz_fd*G833,0)*in_fd_ticket*in_fd_comm</f>
        <v/>
      </c>
      <c r="BM833" s="40">
        <f>BM832*(1-IF(B832&gt;=in_marketplace_from,d_hz_recharge*G832,0))</f>
        <v/>
      </c>
      <c r="BN833" s="40">
        <f>BN832*d_rho_recharge+BM833*IF(B833&gt;=in_marketplace_from,d_hz_recharge*G833,0)</f>
        <v/>
      </c>
      <c r="BO833" s="14">
        <f>F833*BN833*in_recharge_ticket*in_recharge_comm/12</f>
        <v/>
      </c>
      <c r="BP833" s="40">
        <f>BP832*(1-IF(B832&gt;=in_marketplace_from,d_hz_bills*G832,0))</f>
        <v/>
      </c>
      <c r="BQ833" s="40">
        <f>BQ832*d_rho_bills+BP833*IF(B833&gt;=in_marketplace_from,d_hz_bills*G833,0)</f>
        <v/>
      </c>
      <c r="BR833" s="14">
        <f>F833*BQ833*in_bills_ticket*in_bills_comm/12</f>
        <v/>
      </c>
      <c r="BS833" s="40">
        <f>BS832*(1-IF(B832&gt;=in_marketplace_from,d_hz_loan_gold*G832,0))</f>
        <v/>
      </c>
      <c r="BT833" s="14">
        <f>F833*BS833*IF(B833&gt;=in_marketplace_from,d_hz_loan_gold*G833,0)*in_loan_gold_ticket*in_loan_gold_comm</f>
        <v/>
      </c>
      <c r="BU833" s="40">
        <f>BU832*(1-IF(B832&gt;=in_marketplace_from,d_hz_loan_cd*G832,0))</f>
        <v/>
      </c>
      <c r="BV833" s="14">
        <f>F833*BU833*IF(B833&gt;=in_marketplace_from,d_hz_loan_cd*G833,0)*in_loan_cd_ticket*in_loan_cd_comm</f>
        <v/>
      </c>
      <c r="BW833" s="40">
        <f>BW832*(1-IF(B832&gt;=in_marketplace_from,d_hz_loan_vehicle*G832,0))</f>
        <v/>
      </c>
      <c r="BX833" s="14">
        <f>F833*BW833*IF(B833&gt;=in_marketplace_from,d_hz_loan_vehicle*G833,0)*in_loan_vehicle_ticket*in_loan_vehicle_comm</f>
        <v/>
      </c>
      <c r="BY833" s="40">
        <f>BY832*(1-IF(B832&gt;=in_marketplace_from,d_hz_loan_home*G832,0)*BZ832)</f>
        <v/>
      </c>
      <c r="BZ833" s="11">
        <f>MIN(in_approval_cap,in_loan_home_approval*INDEX('Age profile'!$O$2:$O$61,B833)*(1+in_approval_growth)^(D833-1))</f>
        <v/>
      </c>
      <c r="CA833" s="14">
        <f>F833*BY833*IF(B833&gt;=in_marketplace_from,d_hz_loan_home*G833,0)*BZ833*in_loan_home_ticket*in_loan_home_comm</f>
        <v/>
      </c>
      <c r="CB833" s="40">
        <f>CB832*(1-IF(B832&gt;=in_marketplace_from,d_hz_loan_lap*G832,0)*CC832)</f>
        <v/>
      </c>
      <c r="CC833" s="11">
        <f>MIN(in_approval_cap,in_loan_lap_approval*INDEX('Age profile'!$O$2:$O$61,B833)*(1+in_approval_growth)^(D833-1))</f>
        <v/>
      </c>
      <c r="CD833" s="14">
        <f>F833*CB833*IF(B833&gt;=in_marketplace_from,d_hz_loan_lap*G833,0)*CC833*in_loan_lap_ticket*in_loan_lap_comm</f>
        <v/>
      </c>
      <c r="CE833" s="14">
        <f>AA833+AB833+AC833+AD833+AG833+AJ833+AM833+AP833+AS833+AU833+AX833+BB833+BE833+BG833+BJ833+BL833+BO833+BR833+BT833+BV833+BX833+CA833+CD833</f>
        <v/>
      </c>
    </row>
    <row r="834">
      <c r="A834" s="39" t="n">
        <v>16</v>
      </c>
      <c r="B834" s="39" t="n">
        <v>38</v>
      </c>
      <c r="C834" s="39">
        <f>A834+B834-1</f>
        <v/>
      </c>
      <c r="D834" s="39">
        <f>INT((C834-1)/12)+1</f>
        <v/>
      </c>
      <c r="E834" s="44">
        <f>INDEX(Monthly!$B$2:$B$61,A834)</f>
        <v/>
      </c>
      <c r="F834" s="44">
        <f>E834*INDEX('Age profile'!$B$2:$B$61,B834)</f>
        <v/>
      </c>
      <c r="G834" s="45">
        <f>MIN(in_takeup_cap,INDEX('Age profile'!$N$2:$N$61,B834)*(1+in_takeup_growth)^(D834-1))</f>
        <v/>
      </c>
      <c r="H834" s="11">
        <f>MIN(in_approval_cap,in_approved_first*INDEX('Age profile'!$O$2:$O$61,B834)*(1+in_approval_growth)^(D834-1))</f>
        <v/>
      </c>
      <c r="I834" s="45">
        <f>G834*MIN(in_takeup_cap,INDEX('Age profile'!$O$2:$O$61,B834)*(1+in_approval_growth)^(D834-1))</f>
        <v/>
      </c>
      <c r="J834" s="40">
        <f>(J833-L833)*F834/F833</f>
        <v/>
      </c>
      <c r="K834" s="40">
        <f>(K833-M833)*F834/F833+SUMIFS(O797:O833,B797:B833,B834-1-d_T)*F834</f>
        <v/>
      </c>
      <c r="L834" s="40">
        <f>IF(B834&gt;=in_marketplace_from,J834*d_hz*G834*in_eligible*H834,0)</f>
        <v/>
      </c>
      <c r="M834" s="40">
        <f>IF(B834&gt;=in_marketplace_from,K834*d_hz*G834*in_eligible*in_approved_repeat,0)</f>
        <v/>
      </c>
      <c r="N834" s="40">
        <f>L834+M834</f>
        <v/>
      </c>
      <c r="O834" s="46">
        <f>N834/F834</f>
        <v/>
      </c>
      <c r="P834" s="40">
        <f>F834-J834-K834</f>
        <v/>
      </c>
      <c r="Q834" s="40">
        <f>IF(B834&gt;=in_marketplace_from,(J834+K834)*d_hz*G834,0)</f>
        <v/>
      </c>
      <c r="R834" s="40">
        <f>SUMIFS(N797:N841,B797:B841,"&gt;="&amp;(B834-d_T),B797:B841,"&lt;="&amp;(B834-1))</f>
        <v/>
      </c>
      <c r="S834" s="46">
        <f>(1-d_u)*S833+IF(d_T&gt;in_topup_lag,SUMIFS(O797:O841,B797:B841,B834-in_topup_lag)-d_udrop*SUMIFS(O797:O841,B797:B841,B834-d_T),0)</f>
        <v/>
      </c>
      <c r="T834" s="40">
        <f>F834*d_u*S834</f>
        <v/>
      </c>
      <c r="U834" s="9">
        <f>L834*in_ticket+M834*d_rep_ticket</f>
        <v/>
      </c>
      <c r="V834" s="9">
        <f>U834+T834*d_topup_amt</f>
        <v/>
      </c>
      <c r="W834" s="40">
        <f>N834+T834*d_topup_ratio</f>
        <v/>
      </c>
      <c r="X834" s="40">
        <f>SUMIFS(W797:W841,B797:B841,B834-in_dpd_lag)*d_cured</f>
        <v/>
      </c>
      <c r="Y834" s="40">
        <f>SUMIFS(W797:W841,B797:B841,B834-in_rec_lag)*d_recd</f>
        <v/>
      </c>
      <c r="Z834" s="40">
        <f>IF(AND(B834&gt;=in_marketplace_from,B834&lt;in_marketplace_from+in_card_months),in_card_share/in_card_months*F834*I834,IF(AND(B834&gt;=in_marketplace_from+in_card_months,B834&lt;in_marketplace_from+2*in_card_months),in_card_share*d_card_rem/in_card_months*F834*MIN(in_takeup_cap,(1+in_takeup_growth)^(D834-1))*MIN(in_takeup_cap,(1+in_approval_growth)^(D834-1)),0))</f>
        <v/>
      </c>
      <c r="AA834" s="14">
        <f>V834*in_fee*(1-in_taken_back)</f>
        <v/>
      </c>
      <c r="AB834" s="14">
        <f>SUMIFS(W797:W841,B797:B841,B834-in_dpd_lag)*d_dpd</f>
        <v/>
      </c>
      <c r="AC834" s="14">
        <f>SUMIFS(W797:W841,B797:B841,B834-in_rec_lag)*d_rec</f>
        <v/>
      </c>
      <c r="AD834" s="14">
        <f>Z834*in_card_fee</f>
        <v/>
      </c>
      <c r="AE834" s="40">
        <f>AE833*(1-IF(B833&gt;=in_marketplace_from,d_hz_hlth_small*G833,0))</f>
        <v/>
      </c>
      <c r="AF834" s="46">
        <f>AE834*IF(B834&gt;=in_marketplace_from,d_hz_hlth_small*G834,0)</f>
        <v/>
      </c>
      <c r="AG834" s="14">
        <f>F834*AF834*in_hlth_small_ticket*in_hlth_small_comm*in_ins_partner_share+F834*in_hlth_small_ticket*in_hlth_small_renew_comm*in_ins_partner_share*(in_hlth_small_renew^1*SUMIFS(AF797:AF841,B797:B841,B834-12)+in_hlth_small_renew^2*SUMIFS(AF797:AF841,B797:B841,B834-24)+in_hlth_small_renew^3*SUMIFS(AF797:AF841,B797:B841,B834-36)+in_hlth_small_renew^4*SUMIFS(AF797:AF841,B797:B841,B834-48))</f>
        <v/>
      </c>
      <c r="AH834" s="40">
        <f>AH833*(1-IF(B833&gt;=in_marketplace_from,d_hz_hlth_family*G833,0))</f>
        <v/>
      </c>
      <c r="AI834" s="46">
        <f>AH834*IF(B834&gt;=in_marketplace_from,d_hz_hlth_family*G834,0)</f>
        <v/>
      </c>
      <c r="AJ834" s="14">
        <f>F834*AI834*in_hlth_family_ticket*in_hlth_family_comm*in_ins_partner_share+F834*in_hlth_family_ticket*in_hlth_family_renew_comm*in_ins_partner_share*(in_hlth_family_renew^1*SUMIFS(AI797:AI841,B797:B841,B834-12)+in_hlth_family_renew^2*SUMIFS(AI797:AI841,B797:B841,B834-24)+in_hlth_family_renew^3*SUMIFS(AI797:AI841,B797:B841,B834-36)+in_hlth_family_renew^4*SUMIFS(AI797:AI841,B797:B841,B834-48))</f>
        <v/>
      </c>
      <c r="AK834" s="40">
        <f>AK833*(1-IF(B833&gt;=in_marketplace_from,d_hz_life_term*G833,0))</f>
        <v/>
      </c>
      <c r="AL834" s="46">
        <f>AK834*IF(B834&gt;=in_marketplace_from,d_hz_life_term*G834,0)</f>
        <v/>
      </c>
      <c r="AM834" s="14">
        <f>F834*AL834*in_life_term_ticket*in_life_term_comm*in_ins_partner_share+F834*in_life_term_ticket*in_life_term_renew_comm*in_ins_partner_share*(in_life_term_renew^1*SUMIFS(AL797:AL841,B797:B841,B834-12)+in_life_term_renew^2*SUMIFS(AL797:AL841,B797:B841,B834-24)+in_life_term_renew^3*SUMIFS(AL797:AL841,B797:B841,B834-36)+in_life_term_renew^4*SUMIFS(AL797:AL841,B797:B841,B834-48))</f>
        <v/>
      </c>
      <c r="AN834" s="40">
        <f>AN833*(1-IF(B833&gt;=in_marketplace_from,d_hz_accident*G833,0))</f>
        <v/>
      </c>
      <c r="AO834" s="46">
        <f>AN834*IF(B834&gt;=in_marketplace_from,d_hz_accident*G834,0)</f>
        <v/>
      </c>
      <c r="AP834" s="14">
        <f>F834*AO834*in_accident_ticket*in_accident_comm*in_ins_partner_share+F834*in_accident_ticket*in_accident_renew_comm*in_ins_partner_share*(in_accident_renew^1*SUMIFS(AO797:AO841,B797:B841,B834-12)+in_accident_renew^2*SUMIFS(AO797:AO841,B797:B841,B834-24)+in_accident_renew^3*SUMIFS(AO797:AO841,B797:B841,B834-36)+in_accident_renew^4*SUMIFS(AO797:AO841,B797:B841,B834-48))</f>
        <v/>
      </c>
      <c r="AQ834" s="40">
        <f>AQ833*(1-IF(B833&gt;=in_marketplace_from,d_hz_two_wheeler*G833,0))</f>
        <v/>
      </c>
      <c r="AR834" s="46">
        <f>AQ834*IF(B834&gt;=in_marketplace_from,d_hz_two_wheeler*G834,0)</f>
        <v/>
      </c>
      <c r="AS834" s="14">
        <f>F834*AR834*in_two_wheeler_ticket*in_two_wheeler_comm*in_ins_partner_share+F834*in_two_wheeler_ticket*in_two_wheeler_comm*in_ins_partner_share*(in_two_wheeler_renew^1*SUMIFS(AR797:AR841,B797:B841,B834-12)+in_two_wheeler_renew^2*SUMIFS(AR797:AR841,B797:B841,B834-24)+in_two_wheeler_renew^3*SUMIFS(AR797:AR841,B797:B841,B834-36)+in_two_wheeler_renew^4*SUMIFS(AR797:AR841,B797:B841,B834-48))</f>
        <v/>
      </c>
      <c r="AT834" s="40">
        <f>AT833*(1-IF(B833&gt;=in_marketplace_from,d_hz_device*G833,0))</f>
        <v/>
      </c>
      <c r="AU834" s="14">
        <f>F834*AT834*IF(B834&gt;=in_marketplace_from,d_hz_device*G834,0)*in_device_ticket*in_device_comm*in_ins_partner_share</f>
        <v/>
      </c>
      <c r="AV834" s="40">
        <f>AV833*(1-IF(B833&gt;=in_marketplace_from,d_hz_shop*G833,0))</f>
        <v/>
      </c>
      <c r="AW834" s="46">
        <f>AV834*IF(B834&gt;=in_marketplace_from,d_hz_shop*G834,0)</f>
        <v/>
      </c>
      <c r="AX834" s="14">
        <f>F834*AW834*in_shop_ticket*in_shop_comm*in_ins_partner_share+F834*in_shop_ticket*in_shop_renew_comm*in_ins_partner_share*(in_shop_renew^1*SUMIFS(AW797:AW841,B797:B841,B834-12)+in_shop_renew^2*SUMIFS(AW797:AW841,B797:B841,B834-24)+in_shop_renew^3*SUMIFS(AW797:AW841,B797:B841,B834-36)+in_shop_renew^4*SUMIFS(AW797:AW841,B797:B841,B834-48))</f>
        <v/>
      </c>
      <c r="AY834" s="40">
        <f>AY833*(1-IF(B833&gt;=in_marketplace_from,d_hz_sip*G833,0))</f>
        <v/>
      </c>
      <c r="AZ834" s="40">
        <f>AZ833*d_rho_sip+AY834*IF(B834&gt;=in_marketplace_from,d_hz_sip*G834,0)</f>
        <v/>
      </c>
      <c r="BA834" s="40">
        <f>d_rho_sip*(BA833+AZ833)</f>
        <v/>
      </c>
      <c r="BB834" s="14">
        <f>F834*in_sip_ticket*(BA834+0.5*AZ834)*in_sip_comm/12</f>
        <v/>
      </c>
      <c r="BC834" s="40">
        <f>BC833*(1-IF(B833&gt;=in_marketplace_from,d_hz_choti*G833,0))</f>
        <v/>
      </c>
      <c r="BD834" s="46">
        <f>BC834*IF(B834&gt;=in_marketplace_from,d_hz_choti*G834,0)</f>
        <v/>
      </c>
      <c r="BE834" s="14">
        <f>F834*SUMIFS(BD797:BD841,B797:B841,B834-in_choti_months)*in_choti_renew*in_choti_ticket</f>
        <v/>
      </c>
      <c r="BF834" s="40">
        <f>BF833*(1-IF(B833&gt;=in_marketplace_from,d_hz_nps*G833,0))</f>
        <v/>
      </c>
      <c r="BG834" s="14">
        <f>F834*BF834*IF(B834&gt;=in_marketplace_from,d_hz_nps*G834,0)*in_nps_ticket*in_nps_comm</f>
        <v/>
      </c>
      <c r="BH834" s="40">
        <f>BH833*(1-IF(B833&gt;=in_marketplace_from,d_hz_gold*G833,0))</f>
        <v/>
      </c>
      <c r="BI834" s="40">
        <f>BI833*d_rho_gold+BH834*IF(B834&gt;=in_marketplace_from,d_hz_gold*G834,0)</f>
        <v/>
      </c>
      <c r="BJ834" s="14">
        <f>F834*BI834*in_gold_ticket*in_gold_comm</f>
        <v/>
      </c>
      <c r="BK834" s="40">
        <f>BK833*(1-IF(B833&gt;=in_marketplace_from,d_hz_fd*G833,0))</f>
        <v/>
      </c>
      <c r="BL834" s="14">
        <f>F834*BK834*IF(B834&gt;=in_marketplace_from,d_hz_fd*G834,0)*in_fd_ticket*in_fd_comm</f>
        <v/>
      </c>
      <c r="BM834" s="40">
        <f>BM833*(1-IF(B833&gt;=in_marketplace_from,d_hz_recharge*G833,0))</f>
        <v/>
      </c>
      <c r="BN834" s="40">
        <f>BN833*d_rho_recharge+BM834*IF(B834&gt;=in_marketplace_from,d_hz_recharge*G834,0)</f>
        <v/>
      </c>
      <c r="BO834" s="14">
        <f>F834*BN834*in_recharge_ticket*in_recharge_comm/12</f>
        <v/>
      </c>
      <c r="BP834" s="40">
        <f>BP833*(1-IF(B833&gt;=in_marketplace_from,d_hz_bills*G833,0))</f>
        <v/>
      </c>
      <c r="BQ834" s="40">
        <f>BQ833*d_rho_bills+BP834*IF(B834&gt;=in_marketplace_from,d_hz_bills*G834,0)</f>
        <v/>
      </c>
      <c r="BR834" s="14">
        <f>F834*BQ834*in_bills_ticket*in_bills_comm/12</f>
        <v/>
      </c>
      <c r="BS834" s="40">
        <f>BS833*(1-IF(B833&gt;=in_marketplace_from,d_hz_loan_gold*G833,0))</f>
        <v/>
      </c>
      <c r="BT834" s="14">
        <f>F834*BS834*IF(B834&gt;=in_marketplace_from,d_hz_loan_gold*G834,0)*in_loan_gold_ticket*in_loan_gold_comm</f>
        <v/>
      </c>
      <c r="BU834" s="40">
        <f>BU833*(1-IF(B833&gt;=in_marketplace_from,d_hz_loan_cd*G833,0))</f>
        <v/>
      </c>
      <c r="BV834" s="14">
        <f>F834*BU834*IF(B834&gt;=in_marketplace_from,d_hz_loan_cd*G834,0)*in_loan_cd_ticket*in_loan_cd_comm</f>
        <v/>
      </c>
      <c r="BW834" s="40">
        <f>BW833*(1-IF(B833&gt;=in_marketplace_from,d_hz_loan_vehicle*G833,0))</f>
        <v/>
      </c>
      <c r="BX834" s="14">
        <f>F834*BW834*IF(B834&gt;=in_marketplace_from,d_hz_loan_vehicle*G834,0)*in_loan_vehicle_ticket*in_loan_vehicle_comm</f>
        <v/>
      </c>
      <c r="BY834" s="40">
        <f>BY833*(1-IF(B833&gt;=in_marketplace_from,d_hz_loan_home*G833,0)*BZ833)</f>
        <v/>
      </c>
      <c r="BZ834" s="11">
        <f>MIN(in_approval_cap,in_loan_home_approval*INDEX('Age profile'!$O$2:$O$61,B834)*(1+in_approval_growth)^(D834-1))</f>
        <v/>
      </c>
      <c r="CA834" s="14">
        <f>F834*BY834*IF(B834&gt;=in_marketplace_from,d_hz_loan_home*G834,0)*BZ834*in_loan_home_ticket*in_loan_home_comm</f>
        <v/>
      </c>
      <c r="CB834" s="40">
        <f>CB833*(1-IF(B833&gt;=in_marketplace_from,d_hz_loan_lap*G833,0)*CC833)</f>
        <v/>
      </c>
      <c r="CC834" s="11">
        <f>MIN(in_approval_cap,in_loan_lap_approval*INDEX('Age profile'!$O$2:$O$61,B834)*(1+in_approval_growth)^(D834-1))</f>
        <v/>
      </c>
      <c r="CD834" s="14">
        <f>F834*CB834*IF(B834&gt;=in_marketplace_from,d_hz_loan_lap*G834,0)*CC834*in_loan_lap_ticket*in_loan_lap_comm</f>
        <v/>
      </c>
      <c r="CE834" s="14">
        <f>AA834+AB834+AC834+AD834+AG834+AJ834+AM834+AP834+AS834+AU834+AX834+BB834+BE834+BG834+BJ834+BL834+BO834+BR834+BT834+BV834+BX834+CA834+CD834</f>
        <v/>
      </c>
    </row>
    <row r="835">
      <c r="A835" s="39" t="n">
        <v>16</v>
      </c>
      <c r="B835" s="39" t="n">
        <v>39</v>
      </c>
      <c r="C835" s="39">
        <f>A835+B835-1</f>
        <v/>
      </c>
      <c r="D835" s="39">
        <f>INT((C835-1)/12)+1</f>
        <v/>
      </c>
      <c r="E835" s="44">
        <f>INDEX(Monthly!$B$2:$B$61,A835)</f>
        <v/>
      </c>
      <c r="F835" s="44">
        <f>E835*INDEX('Age profile'!$B$2:$B$61,B835)</f>
        <v/>
      </c>
      <c r="G835" s="45">
        <f>MIN(in_takeup_cap,INDEX('Age profile'!$N$2:$N$61,B835)*(1+in_takeup_growth)^(D835-1))</f>
        <v/>
      </c>
      <c r="H835" s="11">
        <f>MIN(in_approval_cap,in_approved_first*INDEX('Age profile'!$O$2:$O$61,B835)*(1+in_approval_growth)^(D835-1))</f>
        <v/>
      </c>
      <c r="I835" s="45">
        <f>G835*MIN(in_takeup_cap,INDEX('Age profile'!$O$2:$O$61,B835)*(1+in_approval_growth)^(D835-1))</f>
        <v/>
      </c>
      <c r="J835" s="40">
        <f>(J834-L834)*F835/F834</f>
        <v/>
      </c>
      <c r="K835" s="40">
        <f>(K834-M834)*F835/F834+SUMIFS(O797:O834,B797:B834,B835-1-d_T)*F835</f>
        <v/>
      </c>
      <c r="L835" s="40">
        <f>IF(B835&gt;=in_marketplace_from,J835*d_hz*G835*in_eligible*H835,0)</f>
        <v/>
      </c>
      <c r="M835" s="40">
        <f>IF(B835&gt;=in_marketplace_from,K835*d_hz*G835*in_eligible*in_approved_repeat,0)</f>
        <v/>
      </c>
      <c r="N835" s="40">
        <f>L835+M835</f>
        <v/>
      </c>
      <c r="O835" s="46">
        <f>N835/F835</f>
        <v/>
      </c>
      <c r="P835" s="40">
        <f>F835-J835-K835</f>
        <v/>
      </c>
      <c r="Q835" s="40">
        <f>IF(B835&gt;=in_marketplace_from,(J835+K835)*d_hz*G835,0)</f>
        <v/>
      </c>
      <c r="R835" s="40">
        <f>SUMIFS(N797:N841,B797:B841,"&gt;="&amp;(B835-d_T),B797:B841,"&lt;="&amp;(B835-1))</f>
        <v/>
      </c>
      <c r="S835" s="46">
        <f>(1-d_u)*S834+IF(d_T&gt;in_topup_lag,SUMIFS(O797:O841,B797:B841,B835-in_topup_lag)-d_udrop*SUMIFS(O797:O841,B797:B841,B835-d_T),0)</f>
        <v/>
      </c>
      <c r="T835" s="40">
        <f>F835*d_u*S835</f>
        <v/>
      </c>
      <c r="U835" s="9">
        <f>L835*in_ticket+M835*d_rep_ticket</f>
        <v/>
      </c>
      <c r="V835" s="9">
        <f>U835+T835*d_topup_amt</f>
        <v/>
      </c>
      <c r="W835" s="40">
        <f>N835+T835*d_topup_ratio</f>
        <v/>
      </c>
      <c r="X835" s="40">
        <f>SUMIFS(W797:W841,B797:B841,B835-in_dpd_lag)*d_cured</f>
        <v/>
      </c>
      <c r="Y835" s="40">
        <f>SUMIFS(W797:W841,B797:B841,B835-in_rec_lag)*d_recd</f>
        <v/>
      </c>
      <c r="Z835" s="40">
        <f>IF(AND(B835&gt;=in_marketplace_from,B835&lt;in_marketplace_from+in_card_months),in_card_share/in_card_months*F835*I835,IF(AND(B835&gt;=in_marketplace_from+in_card_months,B835&lt;in_marketplace_from+2*in_card_months),in_card_share*d_card_rem/in_card_months*F835*MIN(in_takeup_cap,(1+in_takeup_growth)^(D835-1))*MIN(in_takeup_cap,(1+in_approval_growth)^(D835-1)),0))</f>
        <v/>
      </c>
      <c r="AA835" s="14">
        <f>V835*in_fee*(1-in_taken_back)</f>
        <v/>
      </c>
      <c r="AB835" s="14">
        <f>SUMIFS(W797:W841,B797:B841,B835-in_dpd_lag)*d_dpd</f>
        <v/>
      </c>
      <c r="AC835" s="14">
        <f>SUMIFS(W797:W841,B797:B841,B835-in_rec_lag)*d_rec</f>
        <v/>
      </c>
      <c r="AD835" s="14">
        <f>Z835*in_card_fee</f>
        <v/>
      </c>
      <c r="AE835" s="40">
        <f>AE834*(1-IF(B834&gt;=in_marketplace_from,d_hz_hlth_small*G834,0))</f>
        <v/>
      </c>
      <c r="AF835" s="46">
        <f>AE835*IF(B835&gt;=in_marketplace_from,d_hz_hlth_small*G835,0)</f>
        <v/>
      </c>
      <c r="AG835" s="14">
        <f>F835*AF835*in_hlth_small_ticket*in_hlth_small_comm*in_ins_partner_share+F835*in_hlth_small_ticket*in_hlth_small_renew_comm*in_ins_partner_share*(in_hlth_small_renew^1*SUMIFS(AF797:AF841,B797:B841,B835-12)+in_hlth_small_renew^2*SUMIFS(AF797:AF841,B797:B841,B835-24)+in_hlth_small_renew^3*SUMIFS(AF797:AF841,B797:B841,B835-36)+in_hlth_small_renew^4*SUMIFS(AF797:AF841,B797:B841,B835-48))</f>
        <v/>
      </c>
      <c r="AH835" s="40">
        <f>AH834*(1-IF(B834&gt;=in_marketplace_from,d_hz_hlth_family*G834,0))</f>
        <v/>
      </c>
      <c r="AI835" s="46">
        <f>AH835*IF(B835&gt;=in_marketplace_from,d_hz_hlth_family*G835,0)</f>
        <v/>
      </c>
      <c r="AJ835" s="14">
        <f>F835*AI835*in_hlth_family_ticket*in_hlth_family_comm*in_ins_partner_share+F835*in_hlth_family_ticket*in_hlth_family_renew_comm*in_ins_partner_share*(in_hlth_family_renew^1*SUMIFS(AI797:AI841,B797:B841,B835-12)+in_hlth_family_renew^2*SUMIFS(AI797:AI841,B797:B841,B835-24)+in_hlth_family_renew^3*SUMIFS(AI797:AI841,B797:B841,B835-36)+in_hlth_family_renew^4*SUMIFS(AI797:AI841,B797:B841,B835-48))</f>
        <v/>
      </c>
      <c r="AK835" s="40">
        <f>AK834*(1-IF(B834&gt;=in_marketplace_from,d_hz_life_term*G834,0))</f>
        <v/>
      </c>
      <c r="AL835" s="46">
        <f>AK835*IF(B835&gt;=in_marketplace_from,d_hz_life_term*G835,0)</f>
        <v/>
      </c>
      <c r="AM835" s="14">
        <f>F835*AL835*in_life_term_ticket*in_life_term_comm*in_ins_partner_share+F835*in_life_term_ticket*in_life_term_renew_comm*in_ins_partner_share*(in_life_term_renew^1*SUMIFS(AL797:AL841,B797:B841,B835-12)+in_life_term_renew^2*SUMIFS(AL797:AL841,B797:B841,B835-24)+in_life_term_renew^3*SUMIFS(AL797:AL841,B797:B841,B835-36)+in_life_term_renew^4*SUMIFS(AL797:AL841,B797:B841,B835-48))</f>
        <v/>
      </c>
      <c r="AN835" s="40">
        <f>AN834*(1-IF(B834&gt;=in_marketplace_from,d_hz_accident*G834,0))</f>
        <v/>
      </c>
      <c r="AO835" s="46">
        <f>AN835*IF(B835&gt;=in_marketplace_from,d_hz_accident*G835,0)</f>
        <v/>
      </c>
      <c r="AP835" s="14">
        <f>F835*AO835*in_accident_ticket*in_accident_comm*in_ins_partner_share+F835*in_accident_ticket*in_accident_renew_comm*in_ins_partner_share*(in_accident_renew^1*SUMIFS(AO797:AO841,B797:B841,B835-12)+in_accident_renew^2*SUMIFS(AO797:AO841,B797:B841,B835-24)+in_accident_renew^3*SUMIFS(AO797:AO841,B797:B841,B835-36)+in_accident_renew^4*SUMIFS(AO797:AO841,B797:B841,B835-48))</f>
        <v/>
      </c>
      <c r="AQ835" s="40">
        <f>AQ834*(1-IF(B834&gt;=in_marketplace_from,d_hz_two_wheeler*G834,0))</f>
        <v/>
      </c>
      <c r="AR835" s="46">
        <f>AQ835*IF(B835&gt;=in_marketplace_from,d_hz_two_wheeler*G835,0)</f>
        <v/>
      </c>
      <c r="AS835" s="14">
        <f>F835*AR835*in_two_wheeler_ticket*in_two_wheeler_comm*in_ins_partner_share+F835*in_two_wheeler_ticket*in_two_wheeler_comm*in_ins_partner_share*(in_two_wheeler_renew^1*SUMIFS(AR797:AR841,B797:B841,B835-12)+in_two_wheeler_renew^2*SUMIFS(AR797:AR841,B797:B841,B835-24)+in_two_wheeler_renew^3*SUMIFS(AR797:AR841,B797:B841,B835-36)+in_two_wheeler_renew^4*SUMIFS(AR797:AR841,B797:B841,B835-48))</f>
        <v/>
      </c>
      <c r="AT835" s="40">
        <f>AT834*(1-IF(B834&gt;=in_marketplace_from,d_hz_device*G834,0))</f>
        <v/>
      </c>
      <c r="AU835" s="14">
        <f>F835*AT835*IF(B835&gt;=in_marketplace_from,d_hz_device*G835,0)*in_device_ticket*in_device_comm*in_ins_partner_share</f>
        <v/>
      </c>
      <c r="AV835" s="40">
        <f>AV834*(1-IF(B834&gt;=in_marketplace_from,d_hz_shop*G834,0))</f>
        <v/>
      </c>
      <c r="AW835" s="46">
        <f>AV835*IF(B835&gt;=in_marketplace_from,d_hz_shop*G835,0)</f>
        <v/>
      </c>
      <c r="AX835" s="14">
        <f>F835*AW835*in_shop_ticket*in_shop_comm*in_ins_partner_share+F835*in_shop_ticket*in_shop_renew_comm*in_ins_partner_share*(in_shop_renew^1*SUMIFS(AW797:AW841,B797:B841,B835-12)+in_shop_renew^2*SUMIFS(AW797:AW841,B797:B841,B835-24)+in_shop_renew^3*SUMIFS(AW797:AW841,B797:B841,B835-36)+in_shop_renew^4*SUMIFS(AW797:AW841,B797:B841,B835-48))</f>
        <v/>
      </c>
      <c r="AY835" s="40">
        <f>AY834*(1-IF(B834&gt;=in_marketplace_from,d_hz_sip*G834,0))</f>
        <v/>
      </c>
      <c r="AZ835" s="40">
        <f>AZ834*d_rho_sip+AY835*IF(B835&gt;=in_marketplace_from,d_hz_sip*G835,0)</f>
        <v/>
      </c>
      <c r="BA835" s="40">
        <f>d_rho_sip*(BA834+AZ834)</f>
        <v/>
      </c>
      <c r="BB835" s="14">
        <f>F835*in_sip_ticket*(BA835+0.5*AZ835)*in_sip_comm/12</f>
        <v/>
      </c>
      <c r="BC835" s="40">
        <f>BC834*(1-IF(B834&gt;=in_marketplace_from,d_hz_choti*G834,0))</f>
        <v/>
      </c>
      <c r="BD835" s="46">
        <f>BC835*IF(B835&gt;=in_marketplace_from,d_hz_choti*G835,0)</f>
        <v/>
      </c>
      <c r="BE835" s="14">
        <f>F835*SUMIFS(BD797:BD841,B797:B841,B835-in_choti_months)*in_choti_renew*in_choti_ticket</f>
        <v/>
      </c>
      <c r="BF835" s="40">
        <f>BF834*(1-IF(B834&gt;=in_marketplace_from,d_hz_nps*G834,0))</f>
        <v/>
      </c>
      <c r="BG835" s="14">
        <f>F835*BF835*IF(B835&gt;=in_marketplace_from,d_hz_nps*G835,0)*in_nps_ticket*in_nps_comm</f>
        <v/>
      </c>
      <c r="BH835" s="40">
        <f>BH834*(1-IF(B834&gt;=in_marketplace_from,d_hz_gold*G834,0))</f>
        <v/>
      </c>
      <c r="BI835" s="40">
        <f>BI834*d_rho_gold+BH835*IF(B835&gt;=in_marketplace_from,d_hz_gold*G835,0)</f>
        <v/>
      </c>
      <c r="BJ835" s="14">
        <f>F835*BI835*in_gold_ticket*in_gold_comm</f>
        <v/>
      </c>
      <c r="BK835" s="40">
        <f>BK834*(1-IF(B834&gt;=in_marketplace_from,d_hz_fd*G834,0))</f>
        <v/>
      </c>
      <c r="BL835" s="14">
        <f>F835*BK835*IF(B835&gt;=in_marketplace_from,d_hz_fd*G835,0)*in_fd_ticket*in_fd_comm</f>
        <v/>
      </c>
      <c r="BM835" s="40">
        <f>BM834*(1-IF(B834&gt;=in_marketplace_from,d_hz_recharge*G834,0))</f>
        <v/>
      </c>
      <c r="BN835" s="40">
        <f>BN834*d_rho_recharge+BM835*IF(B835&gt;=in_marketplace_from,d_hz_recharge*G835,0)</f>
        <v/>
      </c>
      <c r="BO835" s="14">
        <f>F835*BN835*in_recharge_ticket*in_recharge_comm/12</f>
        <v/>
      </c>
      <c r="BP835" s="40">
        <f>BP834*(1-IF(B834&gt;=in_marketplace_from,d_hz_bills*G834,0))</f>
        <v/>
      </c>
      <c r="BQ835" s="40">
        <f>BQ834*d_rho_bills+BP835*IF(B835&gt;=in_marketplace_from,d_hz_bills*G835,0)</f>
        <v/>
      </c>
      <c r="BR835" s="14">
        <f>F835*BQ835*in_bills_ticket*in_bills_comm/12</f>
        <v/>
      </c>
      <c r="BS835" s="40">
        <f>BS834*(1-IF(B834&gt;=in_marketplace_from,d_hz_loan_gold*G834,0))</f>
        <v/>
      </c>
      <c r="BT835" s="14">
        <f>F835*BS835*IF(B835&gt;=in_marketplace_from,d_hz_loan_gold*G835,0)*in_loan_gold_ticket*in_loan_gold_comm</f>
        <v/>
      </c>
      <c r="BU835" s="40">
        <f>BU834*(1-IF(B834&gt;=in_marketplace_from,d_hz_loan_cd*G834,0))</f>
        <v/>
      </c>
      <c r="BV835" s="14">
        <f>F835*BU835*IF(B835&gt;=in_marketplace_from,d_hz_loan_cd*G835,0)*in_loan_cd_ticket*in_loan_cd_comm</f>
        <v/>
      </c>
      <c r="BW835" s="40">
        <f>BW834*(1-IF(B834&gt;=in_marketplace_from,d_hz_loan_vehicle*G834,0))</f>
        <v/>
      </c>
      <c r="BX835" s="14">
        <f>F835*BW835*IF(B835&gt;=in_marketplace_from,d_hz_loan_vehicle*G835,0)*in_loan_vehicle_ticket*in_loan_vehicle_comm</f>
        <v/>
      </c>
      <c r="BY835" s="40">
        <f>BY834*(1-IF(B834&gt;=in_marketplace_from,d_hz_loan_home*G834,0)*BZ834)</f>
        <v/>
      </c>
      <c r="BZ835" s="11">
        <f>MIN(in_approval_cap,in_loan_home_approval*INDEX('Age profile'!$O$2:$O$61,B835)*(1+in_approval_growth)^(D835-1))</f>
        <v/>
      </c>
      <c r="CA835" s="14">
        <f>F835*BY835*IF(B835&gt;=in_marketplace_from,d_hz_loan_home*G835,0)*BZ835*in_loan_home_ticket*in_loan_home_comm</f>
        <v/>
      </c>
      <c r="CB835" s="40">
        <f>CB834*(1-IF(B834&gt;=in_marketplace_from,d_hz_loan_lap*G834,0)*CC834)</f>
        <v/>
      </c>
      <c r="CC835" s="11">
        <f>MIN(in_approval_cap,in_loan_lap_approval*INDEX('Age profile'!$O$2:$O$61,B835)*(1+in_approval_growth)^(D835-1))</f>
        <v/>
      </c>
      <c r="CD835" s="14">
        <f>F835*CB835*IF(B835&gt;=in_marketplace_from,d_hz_loan_lap*G835,0)*CC835*in_loan_lap_ticket*in_loan_lap_comm</f>
        <v/>
      </c>
      <c r="CE835" s="14">
        <f>AA835+AB835+AC835+AD835+AG835+AJ835+AM835+AP835+AS835+AU835+AX835+BB835+BE835+BG835+BJ835+BL835+BO835+BR835+BT835+BV835+BX835+CA835+CD835</f>
        <v/>
      </c>
    </row>
    <row r="836">
      <c r="A836" s="39" t="n">
        <v>16</v>
      </c>
      <c r="B836" s="39" t="n">
        <v>40</v>
      </c>
      <c r="C836" s="39">
        <f>A836+B836-1</f>
        <v/>
      </c>
      <c r="D836" s="39">
        <f>INT((C836-1)/12)+1</f>
        <v/>
      </c>
      <c r="E836" s="44">
        <f>INDEX(Monthly!$B$2:$B$61,A836)</f>
        <v/>
      </c>
      <c r="F836" s="44">
        <f>E836*INDEX('Age profile'!$B$2:$B$61,B836)</f>
        <v/>
      </c>
      <c r="G836" s="45">
        <f>MIN(in_takeup_cap,INDEX('Age profile'!$N$2:$N$61,B836)*(1+in_takeup_growth)^(D836-1))</f>
        <v/>
      </c>
      <c r="H836" s="11">
        <f>MIN(in_approval_cap,in_approved_first*INDEX('Age profile'!$O$2:$O$61,B836)*(1+in_approval_growth)^(D836-1))</f>
        <v/>
      </c>
      <c r="I836" s="45">
        <f>G836*MIN(in_takeup_cap,INDEX('Age profile'!$O$2:$O$61,B836)*(1+in_approval_growth)^(D836-1))</f>
        <v/>
      </c>
      <c r="J836" s="40">
        <f>(J835-L835)*F836/F835</f>
        <v/>
      </c>
      <c r="K836" s="40">
        <f>(K835-M835)*F836/F835+SUMIFS(O797:O835,B797:B835,B836-1-d_T)*F836</f>
        <v/>
      </c>
      <c r="L836" s="40">
        <f>IF(B836&gt;=in_marketplace_from,J836*d_hz*G836*in_eligible*H836,0)</f>
        <v/>
      </c>
      <c r="M836" s="40">
        <f>IF(B836&gt;=in_marketplace_from,K836*d_hz*G836*in_eligible*in_approved_repeat,0)</f>
        <v/>
      </c>
      <c r="N836" s="40">
        <f>L836+M836</f>
        <v/>
      </c>
      <c r="O836" s="46">
        <f>N836/F836</f>
        <v/>
      </c>
      <c r="P836" s="40">
        <f>F836-J836-K836</f>
        <v/>
      </c>
      <c r="Q836" s="40">
        <f>IF(B836&gt;=in_marketplace_from,(J836+K836)*d_hz*G836,0)</f>
        <v/>
      </c>
      <c r="R836" s="40">
        <f>SUMIFS(N797:N841,B797:B841,"&gt;="&amp;(B836-d_T),B797:B841,"&lt;="&amp;(B836-1))</f>
        <v/>
      </c>
      <c r="S836" s="46">
        <f>(1-d_u)*S835+IF(d_T&gt;in_topup_lag,SUMIFS(O797:O841,B797:B841,B836-in_topup_lag)-d_udrop*SUMIFS(O797:O841,B797:B841,B836-d_T),0)</f>
        <v/>
      </c>
      <c r="T836" s="40">
        <f>F836*d_u*S836</f>
        <v/>
      </c>
      <c r="U836" s="9">
        <f>L836*in_ticket+M836*d_rep_ticket</f>
        <v/>
      </c>
      <c r="V836" s="9">
        <f>U836+T836*d_topup_amt</f>
        <v/>
      </c>
      <c r="W836" s="40">
        <f>N836+T836*d_topup_ratio</f>
        <v/>
      </c>
      <c r="X836" s="40">
        <f>SUMIFS(W797:W841,B797:B841,B836-in_dpd_lag)*d_cured</f>
        <v/>
      </c>
      <c r="Y836" s="40">
        <f>SUMIFS(W797:W841,B797:B841,B836-in_rec_lag)*d_recd</f>
        <v/>
      </c>
      <c r="Z836" s="40">
        <f>IF(AND(B836&gt;=in_marketplace_from,B836&lt;in_marketplace_from+in_card_months),in_card_share/in_card_months*F836*I836,IF(AND(B836&gt;=in_marketplace_from+in_card_months,B836&lt;in_marketplace_from+2*in_card_months),in_card_share*d_card_rem/in_card_months*F836*MIN(in_takeup_cap,(1+in_takeup_growth)^(D836-1))*MIN(in_takeup_cap,(1+in_approval_growth)^(D836-1)),0))</f>
        <v/>
      </c>
      <c r="AA836" s="14">
        <f>V836*in_fee*(1-in_taken_back)</f>
        <v/>
      </c>
      <c r="AB836" s="14">
        <f>SUMIFS(W797:W841,B797:B841,B836-in_dpd_lag)*d_dpd</f>
        <v/>
      </c>
      <c r="AC836" s="14">
        <f>SUMIFS(W797:W841,B797:B841,B836-in_rec_lag)*d_rec</f>
        <v/>
      </c>
      <c r="AD836" s="14">
        <f>Z836*in_card_fee</f>
        <v/>
      </c>
      <c r="AE836" s="40">
        <f>AE835*(1-IF(B835&gt;=in_marketplace_from,d_hz_hlth_small*G835,0))</f>
        <v/>
      </c>
      <c r="AF836" s="46">
        <f>AE836*IF(B836&gt;=in_marketplace_from,d_hz_hlth_small*G836,0)</f>
        <v/>
      </c>
      <c r="AG836" s="14">
        <f>F836*AF836*in_hlth_small_ticket*in_hlth_small_comm*in_ins_partner_share+F836*in_hlth_small_ticket*in_hlth_small_renew_comm*in_ins_partner_share*(in_hlth_small_renew^1*SUMIFS(AF797:AF841,B797:B841,B836-12)+in_hlth_small_renew^2*SUMIFS(AF797:AF841,B797:B841,B836-24)+in_hlth_small_renew^3*SUMIFS(AF797:AF841,B797:B841,B836-36)+in_hlth_small_renew^4*SUMIFS(AF797:AF841,B797:B841,B836-48))</f>
        <v/>
      </c>
      <c r="AH836" s="40">
        <f>AH835*(1-IF(B835&gt;=in_marketplace_from,d_hz_hlth_family*G835,0))</f>
        <v/>
      </c>
      <c r="AI836" s="46">
        <f>AH836*IF(B836&gt;=in_marketplace_from,d_hz_hlth_family*G836,0)</f>
        <v/>
      </c>
      <c r="AJ836" s="14">
        <f>F836*AI836*in_hlth_family_ticket*in_hlth_family_comm*in_ins_partner_share+F836*in_hlth_family_ticket*in_hlth_family_renew_comm*in_ins_partner_share*(in_hlth_family_renew^1*SUMIFS(AI797:AI841,B797:B841,B836-12)+in_hlth_family_renew^2*SUMIFS(AI797:AI841,B797:B841,B836-24)+in_hlth_family_renew^3*SUMIFS(AI797:AI841,B797:B841,B836-36)+in_hlth_family_renew^4*SUMIFS(AI797:AI841,B797:B841,B836-48))</f>
        <v/>
      </c>
      <c r="AK836" s="40">
        <f>AK835*(1-IF(B835&gt;=in_marketplace_from,d_hz_life_term*G835,0))</f>
        <v/>
      </c>
      <c r="AL836" s="46">
        <f>AK836*IF(B836&gt;=in_marketplace_from,d_hz_life_term*G836,0)</f>
        <v/>
      </c>
      <c r="AM836" s="14">
        <f>F836*AL836*in_life_term_ticket*in_life_term_comm*in_ins_partner_share+F836*in_life_term_ticket*in_life_term_renew_comm*in_ins_partner_share*(in_life_term_renew^1*SUMIFS(AL797:AL841,B797:B841,B836-12)+in_life_term_renew^2*SUMIFS(AL797:AL841,B797:B841,B836-24)+in_life_term_renew^3*SUMIFS(AL797:AL841,B797:B841,B836-36)+in_life_term_renew^4*SUMIFS(AL797:AL841,B797:B841,B836-48))</f>
        <v/>
      </c>
      <c r="AN836" s="40">
        <f>AN835*(1-IF(B835&gt;=in_marketplace_from,d_hz_accident*G835,0))</f>
        <v/>
      </c>
      <c r="AO836" s="46">
        <f>AN836*IF(B836&gt;=in_marketplace_from,d_hz_accident*G836,0)</f>
        <v/>
      </c>
      <c r="AP836" s="14">
        <f>F836*AO836*in_accident_ticket*in_accident_comm*in_ins_partner_share+F836*in_accident_ticket*in_accident_renew_comm*in_ins_partner_share*(in_accident_renew^1*SUMIFS(AO797:AO841,B797:B841,B836-12)+in_accident_renew^2*SUMIFS(AO797:AO841,B797:B841,B836-24)+in_accident_renew^3*SUMIFS(AO797:AO841,B797:B841,B836-36)+in_accident_renew^4*SUMIFS(AO797:AO841,B797:B841,B836-48))</f>
        <v/>
      </c>
      <c r="AQ836" s="40">
        <f>AQ835*(1-IF(B835&gt;=in_marketplace_from,d_hz_two_wheeler*G835,0))</f>
        <v/>
      </c>
      <c r="AR836" s="46">
        <f>AQ836*IF(B836&gt;=in_marketplace_from,d_hz_two_wheeler*G836,0)</f>
        <v/>
      </c>
      <c r="AS836" s="14">
        <f>F836*AR836*in_two_wheeler_ticket*in_two_wheeler_comm*in_ins_partner_share+F836*in_two_wheeler_ticket*in_two_wheeler_comm*in_ins_partner_share*(in_two_wheeler_renew^1*SUMIFS(AR797:AR841,B797:B841,B836-12)+in_two_wheeler_renew^2*SUMIFS(AR797:AR841,B797:B841,B836-24)+in_two_wheeler_renew^3*SUMIFS(AR797:AR841,B797:B841,B836-36)+in_two_wheeler_renew^4*SUMIFS(AR797:AR841,B797:B841,B836-48))</f>
        <v/>
      </c>
      <c r="AT836" s="40">
        <f>AT835*(1-IF(B835&gt;=in_marketplace_from,d_hz_device*G835,0))</f>
        <v/>
      </c>
      <c r="AU836" s="14">
        <f>F836*AT836*IF(B836&gt;=in_marketplace_from,d_hz_device*G836,0)*in_device_ticket*in_device_comm*in_ins_partner_share</f>
        <v/>
      </c>
      <c r="AV836" s="40">
        <f>AV835*(1-IF(B835&gt;=in_marketplace_from,d_hz_shop*G835,0))</f>
        <v/>
      </c>
      <c r="AW836" s="46">
        <f>AV836*IF(B836&gt;=in_marketplace_from,d_hz_shop*G836,0)</f>
        <v/>
      </c>
      <c r="AX836" s="14">
        <f>F836*AW836*in_shop_ticket*in_shop_comm*in_ins_partner_share+F836*in_shop_ticket*in_shop_renew_comm*in_ins_partner_share*(in_shop_renew^1*SUMIFS(AW797:AW841,B797:B841,B836-12)+in_shop_renew^2*SUMIFS(AW797:AW841,B797:B841,B836-24)+in_shop_renew^3*SUMIFS(AW797:AW841,B797:B841,B836-36)+in_shop_renew^4*SUMIFS(AW797:AW841,B797:B841,B836-48))</f>
        <v/>
      </c>
      <c r="AY836" s="40">
        <f>AY835*(1-IF(B835&gt;=in_marketplace_from,d_hz_sip*G835,0))</f>
        <v/>
      </c>
      <c r="AZ836" s="40">
        <f>AZ835*d_rho_sip+AY836*IF(B836&gt;=in_marketplace_from,d_hz_sip*G836,0)</f>
        <v/>
      </c>
      <c r="BA836" s="40">
        <f>d_rho_sip*(BA835+AZ835)</f>
        <v/>
      </c>
      <c r="BB836" s="14">
        <f>F836*in_sip_ticket*(BA836+0.5*AZ836)*in_sip_comm/12</f>
        <v/>
      </c>
      <c r="BC836" s="40">
        <f>BC835*(1-IF(B835&gt;=in_marketplace_from,d_hz_choti*G835,0))</f>
        <v/>
      </c>
      <c r="BD836" s="46">
        <f>BC836*IF(B836&gt;=in_marketplace_from,d_hz_choti*G836,0)</f>
        <v/>
      </c>
      <c r="BE836" s="14">
        <f>F836*SUMIFS(BD797:BD841,B797:B841,B836-in_choti_months)*in_choti_renew*in_choti_ticket</f>
        <v/>
      </c>
      <c r="BF836" s="40">
        <f>BF835*(1-IF(B835&gt;=in_marketplace_from,d_hz_nps*G835,0))</f>
        <v/>
      </c>
      <c r="BG836" s="14">
        <f>F836*BF836*IF(B836&gt;=in_marketplace_from,d_hz_nps*G836,0)*in_nps_ticket*in_nps_comm</f>
        <v/>
      </c>
      <c r="BH836" s="40">
        <f>BH835*(1-IF(B835&gt;=in_marketplace_from,d_hz_gold*G835,0))</f>
        <v/>
      </c>
      <c r="BI836" s="40">
        <f>BI835*d_rho_gold+BH836*IF(B836&gt;=in_marketplace_from,d_hz_gold*G836,0)</f>
        <v/>
      </c>
      <c r="BJ836" s="14">
        <f>F836*BI836*in_gold_ticket*in_gold_comm</f>
        <v/>
      </c>
      <c r="BK836" s="40">
        <f>BK835*(1-IF(B835&gt;=in_marketplace_from,d_hz_fd*G835,0))</f>
        <v/>
      </c>
      <c r="BL836" s="14">
        <f>F836*BK836*IF(B836&gt;=in_marketplace_from,d_hz_fd*G836,0)*in_fd_ticket*in_fd_comm</f>
        <v/>
      </c>
      <c r="BM836" s="40">
        <f>BM835*(1-IF(B835&gt;=in_marketplace_from,d_hz_recharge*G835,0))</f>
        <v/>
      </c>
      <c r="BN836" s="40">
        <f>BN835*d_rho_recharge+BM836*IF(B836&gt;=in_marketplace_from,d_hz_recharge*G836,0)</f>
        <v/>
      </c>
      <c r="BO836" s="14">
        <f>F836*BN836*in_recharge_ticket*in_recharge_comm/12</f>
        <v/>
      </c>
      <c r="BP836" s="40">
        <f>BP835*(1-IF(B835&gt;=in_marketplace_from,d_hz_bills*G835,0))</f>
        <v/>
      </c>
      <c r="BQ836" s="40">
        <f>BQ835*d_rho_bills+BP836*IF(B836&gt;=in_marketplace_from,d_hz_bills*G836,0)</f>
        <v/>
      </c>
      <c r="BR836" s="14">
        <f>F836*BQ836*in_bills_ticket*in_bills_comm/12</f>
        <v/>
      </c>
      <c r="BS836" s="40">
        <f>BS835*(1-IF(B835&gt;=in_marketplace_from,d_hz_loan_gold*G835,0))</f>
        <v/>
      </c>
      <c r="BT836" s="14">
        <f>F836*BS836*IF(B836&gt;=in_marketplace_from,d_hz_loan_gold*G836,0)*in_loan_gold_ticket*in_loan_gold_comm</f>
        <v/>
      </c>
      <c r="BU836" s="40">
        <f>BU835*(1-IF(B835&gt;=in_marketplace_from,d_hz_loan_cd*G835,0))</f>
        <v/>
      </c>
      <c r="BV836" s="14">
        <f>F836*BU836*IF(B836&gt;=in_marketplace_from,d_hz_loan_cd*G836,0)*in_loan_cd_ticket*in_loan_cd_comm</f>
        <v/>
      </c>
      <c r="BW836" s="40">
        <f>BW835*(1-IF(B835&gt;=in_marketplace_from,d_hz_loan_vehicle*G835,0))</f>
        <v/>
      </c>
      <c r="BX836" s="14">
        <f>F836*BW836*IF(B836&gt;=in_marketplace_from,d_hz_loan_vehicle*G836,0)*in_loan_vehicle_ticket*in_loan_vehicle_comm</f>
        <v/>
      </c>
      <c r="BY836" s="40">
        <f>BY835*(1-IF(B835&gt;=in_marketplace_from,d_hz_loan_home*G835,0)*BZ835)</f>
        <v/>
      </c>
      <c r="BZ836" s="11">
        <f>MIN(in_approval_cap,in_loan_home_approval*INDEX('Age profile'!$O$2:$O$61,B836)*(1+in_approval_growth)^(D836-1))</f>
        <v/>
      </c>
      <c r="CA836" s="14">
        <f>F836*BY836*IF(B836&gt;=in_marketplace_from,d_hz_loan_home*G836,0)*BZ836*in_loan_home_ticket*in_loan_home_comm</f>
        <v/>
      </c>
      <c r="CB836" s="40">
        <f>CB835*(1-IF(B835&gt;=in_marketplace_from,d_hz_loan_lap*G835,0)*CC835)</f>
        <v/>
      </c>
      <c r="CC836" s="11">
        <f>MIN(in_approval_cap,in_loan_lap_approval*INDEX('Age profile'!$O$2:$O$61,B836)*(1+in_approval_growth)^(D836-1))</f>
        <v/>
      </c>
      <c r="CD836" s="14">
        <f>F836*CB836*IF(B836&gt;=in_marketplace_from,d_hz_loan_lap*G836,0)*CC836*in_loan_lap_ticket*in_loan_lap_comm</f>
        <v/>
      </c>
      <c r="CE836" s="14">
        <f>AA836+AB836+AC836+AD836+AG836+AJ836+AM836+AP836+AS836+AU836+AX836+BB836+BE836+BG836+BJ836+BL836+BO836+BR836+BT836+BV836+BX836+CA836+CD836</f>
        <v/>
      </c>
    </row>
    <row r="837">
      <c r="A837" s="39" t="n">
        <v>16</v>
      </c>
      <c r="B837" s="39" t="n">
        <v>41</v>
      </c>
      <c r="C837" s="39">
        <f>A837+B837-1</f>
        <v/>
      </c>
      <c r="D837" s="39">
        <f>INT((C837-1)/12)+1</f>
        <v/>
      </c>
      <c r="E837" s="44">
        <f>INDEX(Monthly!$B$2:$B$61,A837)</f>
        <v/>
      </c>
      <c r="F837" s="44">
        <f>E837*INDEX('Age profile'!$B$2:$B$61,B837)</f>
        <v/>
      </c>
      <c r="G837" s="45">
        <f>MIN(in_takeup_cap,INDEX('Age profile'!$N$2:$N$61,B837)*(1+in_takeup_growth)^(D837-1))</f>
        <v/>
      </c>
      <c r="H837" s="11">
        <f>MIN(in_approval_cap,in_approved_first*INDEX('Age profile'!$O$2:$O$61,B837)*(1+in_approval_growth)^(D837-1))</f>
        <v/>
      </c>
      <c r="I837" s="45">
        <f>G837*MIN(in_takeup_cap,INDEX('Age profile'!$O$2:$O$61,B837)*(1+in_approval_growth)^(D837-1))</f>
        <v/>
      </c>
      <c r="J837" s="40">
        <f>(J836-L836)*F837/F836</f>
        <v/>
      </c>
      <c r="K837" s="40">
        <f>(K836-M836)*F837/F836+SUMIFS(O797:O836,B797:B836,B837-1-d_T)*F837</f>
        <v/>
      </c>
      <c r="L837" s="40">
        <f>IF(B837&gt;=in_marketplace_from,J837*d_hz*G837*in_eligible*H837,0)</f>
        <v/>
      </c>
      <c r="M837" s="40">
        <f>IF(B837&gt;=in_marketplace_from,K837*d_hz*G837*in_eligible*in_approved_repeat,0)</f>
        <v/>
      </c>
      <c r="N837" s="40">
        <f>L837+M837</f>
        <v/>
      </c>
      <c r="O837" s="46">
        <f>N837/F837</f>
        <v/>
      </c>
      <c r="P837" s="40">
        <f>F837-J837-K837</f>
        <v/>
      </c>
      <c r="Q837" s="40">
        <f>IF(B837&gt;=in_marketplace_from,(J837+K837)*d_hz*G837,0)</f>
        <v/>
      </c>
      <c r="R837" s="40">
        <f>SUMIFS(N797:N841,B797:B841,"&gt;="&amp;(B837-d_T),B797:B841,"&lt;="&amp;(B837-1))</f>
        <v/>
      </c>
      <c r="S837" s="46">
        <f>(1-d_u)*S836+IF(d_T&gt;in_topup_lag,SUMIFS(O797:O841,B797:B841,B837-in_topup_lag)-d_udrop*SUMIFS(O797:O841,B797:B841,B837-d_T),0)</f>
        <v/>
      </c>
      <c r="T837" s="40">
        <f>F837*d_u*S837</f>
        <v/>
      </c>
      <c r="U837" s="9">
        <f>L837*in_ticket+M837*d_rep_ticket</f>
        <v/>
      </c>
      <c r="V837" s="9">
        <f>U837+T837*d_topup_amt</f>
        <v/>
      </c>
      <c r="W837" s="40">
        <f>N837+T837*d_topup_ratio</f>
        <v/>
      </c>
      <c r="X837" s="40">
        <f>SUMIFS(W797:W841,B797:B841,B837-in_dpd_lag)*d_cured</f>
        <v/>
      </c>
      <c r="Y837" s="40">
        <f>SUMIFS(W797:W841,B797:B841,B837-in_rec_lag)*d_recd</f>
        <v/>
      </c>
      <c r="Z837" s="40">
        <f>IF(AND(B837&gt;=in_marketplace_from,B837&lt;in_marketplace_from+in_card_months),in_card_share/in_card_months*F837*I837,IF(AND(B837&gt;=in_marketplace_from+in_card_months,B837&lt;in_marketplace_from+2*in_card_months),in_card_share*d_card_rem/in_card_months*F837*MIN(in_takeup_cap,(1+in_takeup_growth)^(D837-1))*MIN(in_takeup_cap,(1+in_approval_growth)^(D837-1)),0))</f>
        <v/>
      </c>
      <c r="AA837" s="14">
        <f>V837*in_fee*(1-in_taken_back)</f>
        <v/>
      </c>
      <c r="AB837" s="14">
        <f>SUMIFS(W797:W841,B797:B841,B837-in_dpd_lag)*d_dpd</f>
        <v/>
      </c>
      <c r="AC837" s="14">
        <f>SUMIFS(W797:W841,B797:B841,B837-in_rec_lag)*d_rec</f>
        <v/>
      </c>
      <c r="AD837" s="14">
        <f>Z837*in_card_fee</f>
        <v/>
      </c>
      <c r="AE837" s="40">
        <f>AE836*(1-IF(B836&gt;=in_marketplace_from,d_hz_hlth_small*G836,0))</f>
        <v/>
      </c>
      <c r="AF837" s="46">
        <f>AE837*IF(B837&gt;=in_marketplace_from,d_hz_hlth_small*G837,0)</f>
        <v/>
      </c>
      <c r="AG837" s="14">
        <f>F837*AF837*in_hlth_small_ticket*in_hlth_small_comm*in_ins_partner_share+F837*in_hlth_small_ticket*in_hlth_small_renew_comm*in_ins_partner_share*(in_hlth_small_renew^1*SUMIFS(AF797:AF841,B797:B841,B837-12)+in_hlth_small_renew^2*SUMIFS(AF797:AF841,B797:B841,B837-24)+in_hlth_small_renew^3*SUMIFS(AF797:AF841,B797:B841,B837-36)+in_hlth_small_renew^4*SUMIFS(AF797:AF841,B797:B841,B837-48))</f>
        <v/>
      </c>
      <c r="AH837" s="40">
        <f>AH836*(1-IF(B836&gt;=in_marketplace_from,d_hz_hlth_family*G836,0))</f>
        <v/>
      </c>
      <c r="AI837" s="46">
        <f>AH837*IF(B837&gt;=in_marketplace_from,d_hz_hlth_family*G837,0)</f>
        <v/>
      </c>
      <c r="AJ837" s="14">
        <f>F837*AI837*in_hlth_family_ticket*in_hlth_family_comm*in_ins_partner_share+F837*in_hlth_family_ticket*in_hlth_family_renew_comm*in_ins_partner_share*(in_hlth_family_renew^1*SUMIFS(AI797:AI841,B797:B841,B837-12)+in_hlth_family_renew^2*SUMIFS(AI797:AI841,B797:B841,B837-24)+in_hlth_family_renew^3*SUMIFS(AI797:AI841,B797:B841,B837-36)+in_hlth_family_renew^4*SUMIFS(AI797:AI841,B797:B841,B837-48))</f>
        <v/>
      </c>
      <c r="AK837" s="40">
        <f>AK836*(1-IF(B836&gt;=in_marketplace_from,d_hz_life_term*G836,0))</f>
        <v/>
      </c>
      <c r="AL837" s="46">
        <f>AK837*IF(B837&gt;=in_marketplace_from,d_hz_life_term*G837,0)</f>
        <v/>
      </c>
      <c r="AM837" s="14">
        <f>F837*AL837*in_life_term_ticket*in_life_term_comm*in_ins_partner_share+F837*in_life_term_ticket*in_life_term_renew_comm*in_ins_partner_share*(in_life_term_renew^1*SUMIFS(AL797:AL841,B797:B841,B837-12)+in_life_term_renew^2*SUMIFS(AL797:AL841,B797:B841,B837-24)+in_life_term_renew^3*SUMIFS(AL797:AL841,B797:B841,B837-36)+in_life_term_renew^4*SUMIFS(AL797:AL841,B797:B841,B837-48))</f>
        <v/>
      </c>
      <c r="AN837" s="40">
        <f>AN836*(1-IF(B836&gt;=in_marketplace_from,d_hz_accident*G836,0))</f>
        <v/>
      </c>
      <c r="AO837" s="46">
        <f>AN837*IF(B837&gt;=in_marketplace_from,d_hz_accident*G837,0)</f>
        <v/>
      </c>
      <c r="AP837" s="14">
        <f>F837*AO837*in_accident_ticket*in_accident_comm*in_ins_partner_share+F837*in_accident_ticket*in_accident_renew_comm*in_ins_partner_share*(in_accident_renew^1*SUMIFS(AO797:AO841,B797:B841,B837-12)+in_accident_renew^2*SUMIFS(AO797:AO841,B797:B841,B837-24)+in_accident_renew^3*SUMIFS(AO797:AO841,B797:B841,B837-36)+in_accident_renew^4*SUMIFS(AO797:AO841,B797:B841,B837-48))</f>
        <v/>
      </c>
      <c r="AQ837" s="40">
        <f>AQ836*(1-IF(B836&gt;=in_marketplace_from,d_hz_two_wheeler*G836,0))</f>
        <v/>
      </c>
      <c r="AR837" s="46">
        <f>AQ837*IF(B837&gt;=in_marketplace_from,d_hz_two_wheeler*G837,0)</f>
        <v/>
      </c>
      <c r="AS837" s="14">
        <f>F837*AR837*in_two_wheeler_ticket*in_two_wheeler_comm*in_ins_partner_share+F837*in_two_wheeler_ticket*in_two_wheeler_comm*in_ins_partner_share*(in_two_wheeler_renew^1*SUMIFS(AR797:AR841,B797:B841,B837-12)+in_two_wheeler_renew^2*SUMIFS(AR797:AR841,B797:B841,B837-24)+in_two_wheeler_renew^3*SUMIFS(AR797:AR841,B797:B841,B837-36)+in_two_wheeler_renew^4*SUMIFS(AR797:AR841,B797:B841,B837-48))</f>
        <v/>
      </c>
      <c r="AT837" s="40">
        <f>AT836*(1-IF(B836&gt;=in_marketplace_from,d_hz_device*G836,0))</f>
        <v/>
      </c>
      <c r="AU837" s="14">
        <f>F837*AT837*IF(B837&gt;=in_marketplace_from,d_hz_device*G837,0)*in_device_ticket*in_device_comm*in_ins_partner_share</f>
        <v/>
      </c>
      <c r="AV837" s="40">
        <f>AV836*(1-IF(B836&gt;=in_marketplace_from,d_hz_shop*G836,0))</f>
        <v/>
      </c>
      <c r="AW837" s="46">
        <f>AV837*IF(B837&gt;=in_marketplace_from,d_hz_shop*G837,0)</f>
        <v/>
      </c>
      <c r="AX837" s="14">
        <f>F837*AW837*in_shop_ticket*in_shop_comm*in_ins_partner_share+F837*in_shop_ticket*in_shop_renew_comm*in_ins_partner_share*(in_shop_renew^1*SUMIFS(AW797:AW841,B797:B841,B837-12)+in_shop_renew^2*SUMIFS(AW797:AW841,B797:B841,B837-24)+in_shop_renew^3*SUMIFS(AW797:AW841,B797:B841,B837-36)+in_shop_renew^4*SUMIFS(AW797:AW841,B797:B841,B837-48))</f>
        <v/>
      </c>
      <c r="AY837" s="40">
        <f>AY836*(1-IF(B836&gt;=in_marketplace_from,d_hz_sip*G836,0))</f>
        <v/>
      </c>
      <c r="AZ837" s="40">
        <f>AZ836*d_rho_sip+AY837*IF(B837&gt;=in_marketplace_from,d_hz_sip*G837,0)</f>
        <v/>
      </c>
      <c r="BA837" s="40">
        <f>d_rho_sip*(BA836+AZ836)</f>
        <v/>
      </c>
      <c r="BB837" s="14">
        <f>F837*in_sip_ticket*(BA837+0.5*AZ837)*in_sip_comm/12</f>
        <v/>
      </c>
      <c r="BC837" s="40">
        <f>BC836*(1-IF(B836&gt;=in_marketplace_from,d_hz_choti*G836,0))</f>
        <v/>
      </c>
      <c r="BD837" s="46">
        <f>BC837*IF(B837&gt;=in_marketplace_from,d_hz_choti*G837,0)</f>
        <v/>
      </c>
      <c r="BE837" s="14">
        <f>F837*SUMIFS(BD797:BD841,B797:B841,B837-in_choti_months)*in_choti_renew*in_choti_ticket</f>
        <v/>
      </c>
      <c r="BF837" s="40">
        <f>BF836*(1-IF(B836&gt;=in_marketplace_from,d_hz_nps*G836,0))</f>
        <v/>
      </c>
      <c r="BG837" s="14">
        <f>F837*BF837*IF(B837&gt;=in_marketplace_from,d_hz_nps*G837,0)*in_nps_ticket*in_nps_comm</f>
        <v/>
      </c>
      <c r="BH837" s="40">
        <f>BH836*(1-IF(B836&gt;=in_marketplace_from,d_hz_gold*G836,0))</f>
        <v/>
      </c>
      <c r="BI837" s="40">
        <f>BI836*d_rho_gold+BH837*IF(B837&gt;=in_marketplace_from,d_hz_gold*G837,0)</f>
        <v/>
      </c>
      <c r="BJ837" s="14">
        <f>F837*BI837*in_gold_ticket*in_gold_comm</f>
        <v/>
      </c>
      <c r="BK837" s="40">
        <f>BK836*(1-IF(B836&gt;=in_marketplace_from,d_hz_fd*G836,0))</f>
        <v/>
      </c>
      <c r="BL837" s="14">
        <f>F837*BK837*IF(B837&gt;=in_marketplace_from,d_hz_fd*G837,0)*in_fd_ticket*in_fd_comm</f>
        <v/>
      </c>
      <c r="BM837" s="40">
        <f>BM836*(1-IF(B836&gt;=in_marketplace_from,d_hz_recharge*G836,0))</f>
        <v/>
      </c>
      <c r="BN837" s="40">
        <f>BN836*d_rho_recharge+BM837*IF(B837&gt;=in_marketplace_from,d_hz_recharge*G837,0)</f>
        <v/>
      </c>
      <c r="BO837" s="14">
        <f>F837*BN837*in_recharge_ticket*in_recharge_comm/12</f>
        <v/>
      </c>
      <c r="BP837" s="40">
        <f>BP836*(1-IF(B836&gt;=in_marketplace_from,d_hz_bills*G836,0))</f>
        <v/>
      </c>
      <c r="BQ837" s="40">
        <f>BQ836*d_rho_bills+BP837*IF(B837&gt;=in_marketplace_from,d_hz_bills*G837,0)</f>
        <v/>
      </c>
      <c r="BR837" s="14">
        <f>F837*BQ837*in_bills_ticket*in_bills_comm/12</f>
        <v/>
      </c>
      <c r="BS837" s="40">
        <f>BS836*(1-IF(B836&gt;=in_marketplace_from,d_hz_loan_gold*G836,0))</f>
        <v/>
      </c>
      <c r="BT837" s="14">
        <f>F837*BS837*IF(B837&gt;=in_marketplace_from,d_hz_loan_gold*G837,0)*in_loan_gold_ticket*in_loan_gold_comm</f>
        <v/>
      </c>
      <c r="BU837" s="40">
        <f>BU836*(1-IF(B836&gt;=in_marketplace_from,d_hz_loan_cd*G836,0))</f>
        <v/>
      </c>
      <c r="BV837" s="14">
        <f>F837*BU837*IF(B837&gt;=in_marketplace_from,d_hz_loan_cd*G837,0)*in_loan_cd_ticket*in_loan_cd_comm</f>
        <v/>
      </c>
      <c r="BW837" s="40">
        <f>BW836*(1-IF(B836&gt;=in_marketplace_from,d_hz_loan_vehicle*G836,0))</f>
        <v/>
      </c>
      <c r="BX837" s="14">
        <f>F837*BW837*IF(B837&gt;=in_marketplace_from,d_hz_loan_vehicle*G837,0)*in_loan_vehicle_ticket*in_loan_vehicle_comm</f>
        <v/>
      </c>
      <c r="BY837" s="40">
        <f>BY836*(1-IF(B836&gt;=in_marketplace_from,d_hz_loan_home*G836,0)*BZ836)</f>
        <v/>
      </c>
      <c r="BZ837" s="11">
        <f>MIN(in_approval_cap,in_loan_home_approval*INDEX('Age profile'!$O$2:$O$61,B837)*(1+in_approval_growth)^(D837-1))</f>
        <v/>
      </c>
      <c r="CA837" s="14">
        <f>F837*BY837*IF(B837&gt;=in_marketplace_from,d_hz_loan_home*G837,0)*BZ837*in_loan_home_ticket*in_loan_home_comm</f>
        <v/>
      </c>
      <c r="CB837" s="40">
        <f>CB836*(1-IF(B836&gt;=in_marketplace_from,d_hz_loan_lap*G836,0)*CC836)</f>
        <v/>
      </c>
      <c r="CC837" s="11">
        <f>MIN(in_approval_cap,in_loan_lap_approval*INDEX('Age profile'!$O$2:$O$61,B837)*(1+in_approval_growth)^(D837-1))</f>
        <v/>
      </c>
      <c r="CD837" s="14">
        <f>F837*CB837*IF(B837&gt;=in_marketplace_from,d_hz_loan_lap*G837,0)*CC837*in_loan_lap_ticket*in_loan_lap_comm</f>
        <v/>
      </c>
      <c r="CE837" s="14">
        <f>AA837+AB837+AC837+AD837+AG837+AJ837+AM837+AP837+AS837+AU837+AX837+BB837+BE837+BG837+BJ837+BL837+BO837+BR837+BT837+BV837+BX837+CA837+CD837</f>
        <v/>
      </c>
    </row>
    <row r="838">
      <c r="A838" s="39" t="n">
        <v>16</v>
      </c>
      <c r="B838" s="39" t="n">
        <v>42</v>
      </c>
      <c r="C838" s="39">
        <f>A838+B838-1</f>
        <v/>
      </c>
      <c r="D838" s="39">
        <f>INT((C838-1)/12)+1</f>
        <v/>
      </c>
      <c r="E838" s="44">
        <f>INDEX(Monthly!$B$2:$B$61,A838)</f>
        <v/>
      </c>
      <c r="F838" s="44">
        <f>E838*INDEX('Age profile'!$B$2:$B$61,B838)</f>
        <v/>
      </c>
      <c r="G838" s="45">
        <f>MIN(in_takeup_cap,INDEX('Age profile'!$N$2:$N$61,B838)*(1+in_takeup_growth)^(D838-1))</f>
        <v/>
      </c>
      <c r="H838" s="11">
        <f>MIN(in_approval_cap,in_approved_first*INDEX('Age profile'!$O$2:$O$61,B838)*(1+in_approval_growth)^(D838-1))</f>
        <v/>
      </c>
      <c r="I838" s="45">
        <f>G838*MIN(in_takeup_cap,INDEX('Age profile'!$O$2:$O$61,B838)*(1+in_approval_growth)^(D838-1))</f>
        <v/>
      </c>
      <c r="J838" s="40">
        <f>(J837-L837)*F838/F837</f>
        <v/>
      </c>
      <c r="K838" s="40">
        <f>(K837-M837)*F838/F837+SUMIFS(O797:O837,B797:B837,B838-1-d_T)*F838</f>
        <v/>
      </c>
      <c r="L838" s="40">
        <f>IF(B838&gt;=in_marketplace_from,J838*d_hz*G838*in_eligible*H838,0)</f>
        <v/>
      </c>
      <c r="M838" s="40">
        <f>IF(B838&gt;=in_marketplace_from,K838*d_hz*G838*in_eligible*in_approved_repeat,0)</f>
        <v/>
      </c>
      <c r="N838" s="40">
        <f>L838+M838</f>
        <v/>
      </c>
      <c r="O838" s="46">
        <f>N838/F838</f>
        <v/>
      </c>
      <c r="P838" s="40">
        <f>F838-J838-K838</f>
        <v/>
      </c>
      <c r="Q838" s="40">
        <f>IF(B838&gt;=in_marketplace_from,(J838+K838)*d_hz*G838,0)</f>
        <v/>
      </c>
      <c r="R838" s="40">
        <f>SUMIFS(N797:N841,B797:B841,"&gt;="&amp;(B838-d_T),B797:B841,"&lt;="&amp;(B838-1))</f>
        <v/>
      </c>
      <c r="S838" s="46">
        <f>(1-d_u)*S837+IF(d_T&gt;in_topup_lag,SUMIFS(O797:O841,B797:B841,B838-in_topup_lag)-d_udrop*SUMIFS(O797:O841,B797:B841,B838-d_T),0)</f>
        <v/>
      </c>
      <c r="T838" s="40">
        <f>F838*d_u*S838</f>
        <v/>
      </c>
      <c r="U838" s="9">
        <f>L838*in_ticket+M838*d_rep_ticket</f>
        <v/>
      </c>
      <c r="V838" s="9">
        <f>U838+T838*d_topup_amt</f>
        <v/>
      </c>
      <c r="W838" s="40">
        <f>N838+T838*d_topup_ratio</f>
        <v/>
      </c>
      <c r="X838" s="40">
        <f>SUMIFS(W797:W841,B797:B841,B838-in_dpd_lag)*d_cured</f>
        <v/>
      </c>
      <c r="Y838" s="40">
        <f>SUMIFS(W797:W841,B797:B841,B838-in_rec_lag)*d_recd</f>
        <v/>
      </c>
      <c r="Z838" s="40">
        <f>IF(AND(B838&gt;=in_marketplace_from,B838&lt;in_marketplace_from+in_card_months),in_card_share/in_card_months*F838*I838,IF(AND(B838&gt;=in_marketplace_from+in_card_months,B838&lt;in_marketplace_from+2*in_card_months),in_card_share*d_card_rem/in_card_months*F838*MIN(in_takeup_cap,(1+in_takeup_growth)^(D838-1))*MIN(in_takeup_cap,(1+in_approval_growth)^(D838-1)),0))</f>
        <v/>
      </c>
      <c r="AA838" s="14">
        <f>V838*in_fee*(1-in_taken_back)</f>
        <v/>
      </c>
      <c r="AB838" s="14">
        <f>SUMIFS(W797:W841,B797:B841,B838-in_dpd_lag)*d_dpd</f>
        <v/>
      </c>
      <c r="AC838" s="14">
        <f>SUMIFS(W797:W841,B797:B841,B838-in_rec_lag)*d_rec</f>
        <v/>
      </c>
      <c r="AD838" s="14">
        <f>Z838*in_card_fee</f>
        <v/>
      </c>
      <c r="AE838" s="40">
        <f>AE837*(1-IF(B837&gt;=in_marketplace_from,d_hz_hlth_small*G837,0))</f>
        <v/>
      </c>
      <c r="AF838" s="46">
        <f>AE838*IF(B838&gt;=in_marketplace_from,d_hz_hlth_small*G838,0)</f>
        <v/>
      </c>
      <c r="AG838" s="14">
        <f>F838*AF838*in_hlth_small_ticket*in_hlth_small_comm*in_ins_partner_share+F838*in_hlth_small_ticket*in_hlth_small_renew_comm*in_ins_partner_share*(in_hlth_small_renew^1*SUMIFS(AF797:AF841,B797:B841,B838-12)+in_hlth_small_renew^2*SUMIFS(AF797:AF841,B797:B841,B838-24)+in_hlth_small_renew^3*SUMIFS(AF797:AF841,B797:B841,B838-36)+in_hlth_small_renew^4*SUMIFS(AF797:AF841,B797:B841,B838-48))</f>
        <v/>
      </c>
      <c r="AH838" s="40">
        <f>AH837*(1-IF(B837&gt;=in_marketplace_from,d_hz_hlth_family*G837,0))</f>
        <v/>
      </c>
      <c r="AI838" s="46">
        <f>AH838*IF(B838&gt;=in_marketplace_from,d_hz_hlth_family*G838,0)</f>
        <v/>
      </c>
      <c r="AJ838" s="14">
        <f>F838*AI838*in_hlth_family_ticket*in_hlth_family_comm*in_ins_partner_share+F838*in_hlth_family_ticket*in_hlth_family_renew_comm*in_ins_partner_share*(in_hlth_family_renew^1*SUMIFS(AI797:AI841,B797:B841,B838-12)+in_hlth_family_renew^2*SUMIFS(AI797:AI841,B797:B841,B838-24)+in_hlth_family_renew^3*SUMIFS(AI797:AI841,B797:B841,B838-36)+in_hlth_family_renew^4*SUMIFS(AI797:AI841,B797:B841,B838-48))</f>
        <v/>
      </c>
      <c r="AK838" s="40">
        <f>AK837*(1-IF(B837&gt;=in_marketplace_from,d_hz_life_term*G837,0))</f>
        <v/>
      </c>
      <c r="AL838" s="46">
        <f>AK838*IF(B838&gt;=in_marketplace_from,d_hz_life_term*G838,0)</f>
        <v/>
      </c>
      <c r="AM838" s="14">
        <f>F838*AL838*in_life_term_ticket*in_life_term_comm*in_ins_partner_share+F838*in_life_term_ticket*in_life_term_renew_comm*in_ins_partner_share*(in_life_term_renew^1*SUMIFS(AL797:AL841,B797:B841,B838-12)+in_life_term_renew^2*SUMIFS(AL797:AL841,B797:B841,B838-24)+in_life_term_renew^3*SUMIFS(AL797:AL841,B797:B841,B838-36)+in_life_term_renew^4*SUMIFS(AL797:AL841,B797:B841,B838-48))</f>
        <v/>
      </c>
      <c r="AN838" s="40">
        <f>AN837*(1-IF(B837&gt;=in_marketplace_from,d_hz_accident*G837,0))</f>
        <v/>
      </c>
      <c r="AO838" s="46">
        <f>AN838*IF(B838&gt;=in_marketplace_from,d_hz_accident*G838,0)</f>
        <v/>
      </c>
      <c r="AP838" s="14">
        <f>F838*AO838*in_accident_ticket*in_accident_comm*in_ins_partner_share+F838*in_accident_ticket*in_accident_renew_comm*in_ins_partner_share*(in_accident_renew^1*SUMIFS(AO797:AO841,B797:B841,B838-12)+in_accident_renew^2*SUMIFS(AO797:AO841,B797:B841,B838-24)+in_accident_renew^3*SUMIFS(AO797:AO841,B797:B841,B838-36)+in_accident_renew^4*SUMIFS(AO797:AO841,B797:B841,B838-48))</f>
        <v/>
      </c>
      <c r="AQ838" s="40">
        <f>AQ837*(1-IF(B837&gt;=in_marketplace_from,d_hz_two_wheeler*G837,0))</f>
        <v/>
      </c>
      <c r="AR838" s="46">
        <f>AQ838*IF(B838&gt;=in_marketplace_from,d_hz_two_wheeler*G838,0)</f>
        <v/>
      </c>
      <c r="AS838" s="14">
        <f>F838*AR838*in_two_wheeler_ticket*in_two_wheeler_comm*in_ins_partner_share+F838*in_two_wheeler_ticket*in_two_wheeler_comm*in_ins_partner_share*(in_two_wheeler_renew^1*SUMIFS(AR797:AR841,B797:B841,B838-12)+in_two_wheeler_renew^2*SUMIFS(AR797:AR841,B797:B841,B838-24)+in_two_wheeler_renew^3*SUMIFS(AR797:AR841,B797:B841,B838-36)+in_two_wheeler_renew^4*SUMIFS(AR797:AR841,B797:B841,B838-48))</f>
        <v/>
      </c>
      <c r="AT838" s="40">
        <f>AT837*(1-IF(B837&gt;=in_marketplace_from,d_hz_device*G837,0))</f>
        <v/>
      </c>
      <c r="AU838" s="14">
        <f>F838*AT838*IF(B838&gt;=in_marketplace_from,d_hz_device*G838,0)*in_device_ticket*in_device_comm*in_ins_partner_share</f>
        <v/>
      </c>
      <c r="AV838" s="40">
        <f>AV837*(1-IF(B837&gt;=in_marketplace_from,d_hz_shop*G837,0))</f>
        <v/>
      </c>
      <c r="AW838" s="46">
        <f>AV838*IF(B838&gt;=in_marketplace_from,d_hz_shop*G838,0)</f>
        <v/>
      </c>
      <c r="AX838" s="14">
        <f>F838*AW838*in_shop_ticket*in_shop_comm*in_ins_partner_share+F838*in_shop_ticket*in_shop_renew_comm*in_ins_partner_share*(in_shop_renew^1*SUMIFS(AW797:AW841,B797:B841,B838-12)+in_shop_renew^2*SUMIFS(AW797:AW841,B797:B841,B838-24)+in_shop_renew^3*SUMIFS(AW797:AW841,B797:B841,B838-36)+in_shop_renew^4*SUMIFS(AW797:AW841,B797:B841,B838-48))</f>
        <v/>
      </c>
      <c r="AY838" s="40">
        <f>AY837*(1-IF(B837&gt;=in_marketplace_from,d_hz_sip*G837,0))</f>
        <v/>
      </c>
      <c r="AZ838" s="40">
        <f>AZ837*d_rho_sip+AY838*IF(B838&gt;=in_marketplace_from,d_hz_sip*G838,0)</f>
        <v/>
      </c>
      <c r="BA838" s="40">
        <f>d_rho_sip*(BA837+AZ837)</f>
        <v/>
      </c>
      <c r="BB838" s="14">
        <f>F838*in_sip_ticket*(BA838+0.5*AZ838)*in_sip_comm/12</f>
        <v/>
      </c>
      <c r="BC838" s="40">
        <f>BC837*(1-IF(B837&gt;=in_marketplace_from,d_hz_choti*G837,0))</f>
        <v/>
      </c>
      <c r="BD838" s="46">
        <f>BC838*IF(B838&gt;=in_marketplace_from,d_hz_choti*G838,0)</f>
        <v/>
      </c>
      <c r="BE838" s="14">
        <f>F838*SUMIFS(BD797:BD841,B797:B841,B838-in_choti_months)*in_choti_renew*in_choti_ticket</f>
        <v/>
      </c>
      <c r="BF838" s="40">
        <f>BF837*(1-IF(B837&gt;=in_marketplace_from,d_hz_nps*G837,0))</f>
        <v/>
      </c>
      <c r="BG838" s="14">
        <f>F838*BF838*IF(B838&gt;=in_marketplace_from,d_hz_nps*G838,0)*in_nps_ticket*in_nps_comm</f>
        <v/>
      </c>
      <c r="BH838" s="40">
        <f>BH837*(1-IF(B837&gt;=in_marketplace_from,d_hz_gold*G837,0))</f>
        <v/>
      </c>
      <c r="BI838" s="40">
        <f>BI837*d_rho_gold+BH838*IF(B838&gt;=in_marketplace_from,d_hz_gold*G838,0)</f>
        <v/>
      </c>
      <c r="BJ838" s="14">
        <f>F838*BI838*in_gold_ticket*in_gold_comm</f>
        <v/>
      </c>
      <c r="BK838" s="40">
        <f>BK837*(1-IF(B837&gt;=in_marketplace_from,d_hz_fd*G837,0))</f>
        <v/>
      </c>
      <c r="BL838" s="14">
        <f>F838*BK838*IF(B838&gt;=in_marketplace_from,d_hz_fd*G838,0)*in_fd_ticket*in_fd_comm</f>
        <v/>
      </c>
      <c r="BM838" s="40">
        <f>BM837*(1-IF(B837&gt;=in_marketplace_from,d_hz_recharge*G837,0))</f>
        <v/>
      </c>
      <c r="BN838" s="40">
        <f>BN837*d_rho_recharge+BM838*IF(B838&gt;=in_marketplace_from,d_hz_recharge*G838,0)</f>
        <v/>
      </c>
      <c r="BO838" s="14">
        <f>F838*BN838*in_recharge_ticket*in_recharge_comm/12</f>
        <v/>
      </c>
      <c r="BP838" s="40">
        <f>BP837*(1-IF(B837&gt;=in_marketplace_from,d_hz_bills*G837,0))</f>
        <v/>
      </c>
      <c r="BQ838" s="40">
        <f>BQ837*d_rho_bills+BP838*IF(B838&gt;=in_marketplace_from,d_hz_bills*G838,0)</f>
        <v/>
      </c>
      <c r="BR838" s="14">
        <f>F838*BQ838*in_bills_ticket*in_bills_comm/12</f>
        <v/>
      </c>
      <c r="BS838" s="40">
        <f>BS837*(1-IF(B837&gt;=in_marketplace_from,d_hz_loan_gold*G837,0))</f>
        <v/>
      </c>
      <c r="BT838" s="14">
        <f>F838*BS838*IF(B838&gt;=in_marketplace_from,d_hz_loan_gold*G838,0)*in_loan_gold_ticket*in_loan_gold_comm</f>
        <v/>
      </c>
      <c r="BU838" s="40">
        <f>BU837*(1-IF(B837&gt;=in_marketplace_from,d_hz_loan_cd*G837,0))</f>
        <v/>
      </c>
      <c r="BV838" s="14">
        <f>F838*BU838*IF(B838&gt;=in_marketplace_from,d_hz_loan_cd*G838,0)*in_loan_cd_ticket*in_loan_cd_comm</f>
        <v/>
      </c>
      <c r="BW838" s="40">
        <f>BW837*(1-IF(B837&gt;=in_marketplace_from,d_hz_loan_vehicle*G837,0))</f>
        <v/>
      </c>
      <c r="BX838" s="14">
        <f>F838*BW838*IF(B838&gt;=in_marketplace_from,d_hz_loan_vehicle*G838,0)*in_loan_vehicle_ticket*in_loan_vehicle_comm</f>
        <v/>
      </c>
      <c r="BY838" s="40">
        <f>BY837*(1-IF(B837&gt;=in_marketplace_from,d_hz_loan_home*G837,0)*BZ837)</f>
        <v/>
      </c>
      <c r="BZ838" s="11">
        <f>MIN(in_approval_cap,in_loan_home_approval*INDEX('Age profile'!$O$2:$O$61,B838)*(1+in_approval_growth)^(D838-1))</f>
        <v/>
      </c>
      <c r="CA838" s="14">
        <f>F838*BY838*IF(B838&gt;=in_marketplace_from,d_hz_loan_home*G838,0)*BZ838*in_loan_home_ticket*in_loan_home_comm</f>
        <v/>
      </c>
      <c r="CB838" s="40">
        <f>CB837*(1-IF(B837&gt;=in_marketplace_from,d_hz_loan_lap*G837,0)*CC837)</f>
        <v/>
      </c>
      <c r="CC838" s="11">
        <f>MIN(in_approval_cap,in_loan_lap_approval*INDEX('Age profile'!$O$2:$O$61,B838)*(1+in_approval_growth)^(D838-1))</f>
        <v/>
      </c>
      <c r="CD838" s="14">
        <f>F838*CB838*IF(B838&gt;=in_marketplace_from,d_hz_loan_lap*G838,0)*CC838*in_loan_lap_ticket*in_loan_lap_comm</f>
        <v/>
      </c>
      <c r="CE838" s="14">
        <f>AA838+AB838+AC838+AD838+AG838+AJ838+AM838+AP838+AS838+AU838+AX838+BB838+BE838+BG838+BJ838+BL838+BO838+BR838+BT838+BV838+BX838+CA838+CD838</f>
        <v/>
      </c>
    </row>
    <row r="839">
      <c r="A839" s="39" t="n">
        <v>16</v>
      </c>
      <c r="B839" s="39" t="n">
        <v>43</v>
      </c>
      <c r="C839" s="39">
        <f>A839+B839-1</f>
        <v/>
      </c>
      <c r="D839" s="39">
        <f>INT((C839-1)/12)+1</f>
        <v/>
      </c>
      <c r="E839" s="44">
        <f>INDEX(Monthly!$B$2:$B$61,A839)</f>
        <v/>
      </c>
      <c r="F839" s="44">
        <f>E839*INDEX('Age profile'!$B$2:$B$61,B839)</f>
        <v/>
      </c>
      <c r="G839" s="45">
        <f>MIN(in_takeup_cap,INDEX('Age profile'!$N$2:$N$61,B839)*(1+in_takeup_growth)^(D839-1))</f>
        <v/>
      </c>
      <c r="H839" s="11">
        <f>MIN(in_approval_cap,in_approved_first*INDEX('Age profile'!$O$2:$O$61,B839)*(1+in_approval_growth)^(D839-1))</f>
        <v/>
      </c>
      <c r="I839" s="45">
        <f>G839*MIN(in_takeup_cap,INDEX('Age profile'!$O$2:$O$61,B839)*(1+in_approval_growth)^(D839-1))</f>
        <v/>
      </c>
      <c r="J839" s="40">
        <f>(J838-L838)*F839/F838</f>
        <v/>
      </c>
      <c r="K839" s="40">
        <f>(K838-M838)*F839/F838+SUMIFS(O797:O838,B797:B838,B839-1-d_T)*F839</f>
        <v/>
      </c>
      <c r="L839" s="40">
        <f>IF(B839&gt;=in_marketplace_from,J839*d_hz*G839*in_eligible*H839,0)</f>
        <v/>
      </c>
      <c r="M839" s="40">
        <f>IF(B839&gt;=in_marketplace_from,K839*d_hz*G839*in_eligible*in_approved_repeat,0)</f>
        <v/>
      </c>
      <c r="N839" s="40">
        <f>L839+M839</f>
        <v/>
      </c>
      <c r="O839" s="46">
        <f>N839/F839</f>
        <v/>
      </c>
      <c r="P839" s="40">
        <f>F839-J839-K839</f>
        <v/>
      </c>
      <c r="Q839" s="40">
        <f>IF(B839&gt;=in_marketplace_from,(J839+K839)*d_hz*G839,0)</f>
        <v/>
      </c>
      <c r="R839" s="40">
        <f>SUMIFS(N797:N841,B797:B841,"&gt;="&amp;(B839-d_T),B797:B841,"&lt;="&amp;(B839-1))</f>
        <v/>
      </c>
      <c r="S839" s="46">
        <f>(1-d_u)*S838+IF(d_T&gt;in_topup_lag,SUMIFS(O797:O841,B797:B841,B839-in_topup_lag)-d_udrop*SUMIFS(O797:O841,B797:B841,B839-d_T),0)</f>
        <v/>
      </c>
      <c r="T839" s="40">
        <f>F839*d_u*S839</f>
        <v/>
      </c>
      <c r="U839" s="9">
        <f>L839*in_ticket+M839*d_rep_ticket</f>
        <v/>
      </c>
      <c r="V839" s="9">
        <f>U839+T839*d_topup_amt</f>
        <v/>
      </c>
      <c r="W839" s="40">
        <f>N839+T839*d_topup_ratio</f>
        <v/>
      </c>
      <c r="X839" s="40">
        <f>SUMIFS(W797:W841,B797:B841,B839-in_dpd_lag)*d_cured</f>
        <v/>
      </c>
      <c r="Y839" s="40">
        <f>SUMIFS(W797:W841,B797:B841,B839-in_rec_lag)*d_recd</f>
        <v/>
      </c>
      <c r="Z839" s="40">
        <f>IF(AND(B839&gt;=in_marketplace_from,B839&lt;in_marketplace_from+in_card_months),in_card_share/in_card_months*F839*I839,IF(AND(B839&gt;=in_marketplace_from+in_card_months,B839&lt;in_marketplace_from+2*in_card_months),in_card_share*d_card_rem/in_card_months*F839*MIN(in_takeup_cap,(1+in_takeup_growth)^(D839-1))*MIN(in_takeup_cap,(1+in_approval_growth)^(D839-1)),0))</f>
        <v/>
      </c>
      <c r="AA839" s="14">
        <f>V839*in_fee*(1-in_taken_back)</f>
        <v/>
      </c>
      <c r="AB839" s="14">
        <f>SUMIFS(W797:W841,B797:B841,B839-in_dpd_lag)*d_dpd</f>
        <v/>
      </c>
      <c r="AC839" s="14">
        <f>SUMIFS(W797:W841,B797:B841,B839-in_rec_lag)*d_rec</f>
        <v/>
      </c>
      <c r="AD839" s="14">
        <f>Z839*in_card_fee</f>
        <v/>
      </c>
      <c r="AE839" s="40">
        <f>AE838*(1-IF(B838&gt;=in_marketplace_from,d_hz_hlth_small*G838,0))</f>
        <v/>
      </c>
      <c r="AF839" s="46">
        <f>AE839*IF(B839&gt;=in_marketplace_from,d_hz_hlth_small*G839,0)</f>
        <v/>
      </c>
      <c r="AG839" s="14">
        <f>F839*AF839*in_hlth_small_ticket*in_hlth_small_comm*in_ins_partner_share+F839*in_hlth_small_ticket*in_hlth_small_renew_comm*in_ins_partner_share*(in_hlth_small_renew^1*SUMIFS(AF797:AF841,B797:B841,B839-12)+in_hlth_small_renew^2*SUMIFS(AF797:AF841,B797:B841,B839-24)+in_hlth_small_renew^3*SUMIFS(AF797:AF841,B797:B841,B839-36)+in_hlth_small_renew^4*SUMIFS(AF797:AF841,B797:B841,B839-48))</f>
        <v/>
      </c>
      <c r="AH839" s="40">
        <f>AH838*(1-IF(B838&gt;=in_marketplace_from,d_hz_hlth_family*G838,0))</f>
        <v/>
      </c>
      <c r="AI839" s="46">
        <f>AH839*IF(B839&gt;=in_marketplace_from,d_hz_hlth_family*G839,0)</f>
        <v/>
      </c>
      <c r="AJ839" s="14">
        <f>F839*AI839*in_hlth_family_ticket*in_hlth_family_comm*in_ins_partner_share+F839*in_hlth_family_ticket*in_hlth_family_renew_comm*in_ins_partner_share*(in_hlth_family_renew^1*SUMIFS(AI797:AI841,B797:B841,B839-12)+in_hlth_family_renew^2*SUMIFS(AI797:AI841,B797:B841,B839-24)+in_hlth_family_renew^3*SUMIFS(AI797:AI841,B797:B841,B839-36)+in_hlth_family_renew^4*SUMIFS(AI797:AI841,B797:B841,B839-48))</f>
        <v/>
      </c>
      <c r="AK839" s="40">
        <f>AK838*(1-IF(B838&gt;=in_marketplace_from,d_hz_life_term*G838,0))</f>
        <v/>
      </c>
      <c r="AL839" s="46">
        <f>AK839*IF(B839&gt;=in_marketplace_from,d_hz_life_term*G839,0)</f>
        <v/>
      </c>
      <c r="AM839" s="14">
        <f>F839*AL839*in_life_term_ticket*in_life_term_comm*in_ins_partner_share+F839*in_life_term_ticket*in_life_term_renew_comm*in_ins_partner_share*(in_life_term_renew^1*SUMIFS(AL797:AL841,B797:B841,B839-12)+in_life_term_renew^2*SUMIFS(AL797:AL841,B797:B841,B839-24)+in_life_term_renew^3*SUMIFS(AL797:AL841,B797:B841,B839-36)+in_life_term_renew^4*SUMIFS(AL797:AL841,B797:B841,B839-48))</f>
        <v/>
      </c>
      <c r="AN839" s="40">
        <f>AN838*(1-IF(B838&gt;=in_marketplace_from,d_hz_accident*G838,0))</f>
        <v/>
      </c>
      <c r="AO839" s="46">
        <f>AN839*IF(B839&gt;=in_marketplace_from,d_hz_accident*G839,0)</f>
        <v/>
      </c>
      <c r="AP839" s="14">
        <f>F839*AO839*in_accident_ticket*in_accident_comm*in_ins_partner_share+F839*in_accident_ticket*in_accident_renew_comm*in_ins_partner_share*(in_accident_renew^1*SUMIFS(AO797:AO841,B797:B841,B839-12)+in_accident_renew^2*SUMIFS(AO797:AO841,B797:B841,B839-24)+in_accident_renew^3*SUMIFS(AO797:AO841,B797:B841,B839-36)+in_accident_renew^4*SUMIFS(AO797:AO841,B797:B841,B839-48))</f>
        <v/>
      </c>
      <c r="AQ839" s="40">
        <f>AQ838*(1-IF(B838&gt;=in_marketplace_from,d_hz_two_wheeler*G838,0))</f>
        <v/>
      </c>
      <c r="AR839" s="46">
        <f>AQ839*IF(B839&gt;=in_marketplace_from,d_hz_two_wheeler*G839,0)</f>
        <v/>
      </c>
      <c r="AS839" s="14">
        <f>F839*AR839*in_two_wheeler_ticket*in_two_wheeler_comm*in_ins_partner_share+F839*in_two_wheeler_ticket*in_two_wheeler_comm*in_ins_partner_share*(in_two_wheeler_renew^1*SUMIFS(AR797:AR841,B797:B841,B839-12)+in_two_wheeler_renew^2*SUMIFS(AR797:AR841,B797:B841,B839-24)+in_two_wheeler_renew^3*SUMIFS(AR797:AR841,B797:B841,B839-36)+in_two_wheeler_renew^4*SUMIFS(AR797:AR841,B797:B841,B839-48))</f>
        <v/>
      </c>
      <c r="AT839" s="40">
        <f>AT838*(1-IF(B838&gt;=in_marketplace_from,d_hz_device*G838,0))</f>
        <v/>
      </c>
      <c r="AU839" s="14">
        <f>F839*AT839*IF(B839&gt;=in_marketplace_from,d_hz_device*G839,0)*in_device_ticket*in_device_comm*in_ins_partner_share</f>
        <v/>
      </c>
      <c r="AV839" s="40">
        <f>AV838*(1-IF(B838&gt;=in_marketplace_from,d_hz_shop*G838,0))</f>
        <v/>
      </c>
      <c r="AW839" s="46">
        <f>AV839*IF(B839&gt;=in_marketplace_from,d_hz_shop*G839,0)</f>
        <v/>
      </c>
      <c r="AX839" s="14">
        <f>F839*AW839*in_shop_ticket*in_shop_comm*in_ins_partner_share+F839*in_shop_ticket*in_shop_renew_comm*in_ins_partner_share*(in_shop_renew^1*SUMIFS(AW797:AW841,B797:B841,B839-12)+in_shop_renew^2*SUMIFS(AW797:AW841,B797:B841,B839-24)+in_shop_renew^3*SUMIFS(AW797:AW841,B797:B841,B839-36)+in_shop_renew^4*SUMIFS(AW797:AW841,B797:B841,B839-48))</f>
        <v/>
      </c>
      <c r="AY839" s="40">
        <f>AY838*(1-IF(B838&gt;=in_marketplace_from,d_hz_sip*G838,0))</f>
        <v/>
      </c>
      <c r="AZ839" s="40">
        <f>AZ838*d_rho_sip+AY839*IF(B839&gt;=in_marketplace_from,d_hz_sip*G839,0)</f>
        <v/>
      </c>
      <c r="BA839" s="40">
        <f>d_rho_sip*(BA838+AZ838)</f>
        <v/>
      </c>
      <c r="BB839" s="14">
        <f>F839*in_sip_ticket*(BA839+0.5*AZ839)*in_sip_comm/12</f>
        <v/>
      </c>
      <c r="BC839" s="40">
        <f>BC838*(1-IF(B838&gt;=in_marketplace_from,d_hz_choti*G838,0))</f>
        <v/>
      </c>
      <c r="BD839" s="46">
        <f>BC839*IF(B839&gt;=in_marketplace_from,d_hz_choti*G839,0)</f>
        <v/>
      </c>
      <c r="BE839" s="14">
        <f>F839*SUMIFS(BD797:BD841,B797:B841,B839-in_choti_months)*in_choti_renew*in_choti_ticket</f>
        <v/>
      </c>
      <c r="BF839" s="40">
        <f>BF838*(1-IF(B838&gt;=in_marketplace_from,d_hz_nps*G838,0))</f>
        <v/>
      </c>
      <c r="BG839" s="14">
        <f>F839*BF839*IF(B839&gt;=in_marketplace_from,d_hz_nps*G839,0)*in_nps_ticket*in_nps_comm</f>
        <v/>
      </c>
      <c r="BH839" s="40">
        <f>BH838*(1-IF(B838&gt;=in_marketplace_from,d_hz_gold*G838,0))</f>
        <v/>
      </c>
      <c r="BI839" s="40">
        <f>BI838*d_rho_gold+BH839*IF(B839&gt;=in_marketplace_from,d_hz_gold*G839,0)</f>
        <v/>
      </c>
      <c r="BJ839" s="14">
        <f>F839*BI839*in_gold_ticket*in_gold_comm</f>
        <v/>
      </c>
      <c r="BK839" s="40">
        <f>BK838*(1-IF(B838&gt;=in_marketplace_from,d_hz_fd*G838,0))</f>
        <v/>
      </c>
      <c r="BL839" s="14">
        <f>F839*BK839*IF(B839&gt;=in_marketplace_from,d_hz_fd*G839,0)*in_fd_ticket*in_fd_comm</f>
        <v/>
      </c>
      <c r="BM839" s="40">
        <f>BM838*(1-IF(B838&gt;=in_marketplace_from,d_hz_recharge*G838,0))</f>
        <v/>
      </c>
      <c r="BN839" s="40">
        <f>BN838*d_rho_recharge+BM839*IF(B839&gt;=in_marketplace_from,d_hz_recharge*G839,0)</f>
        <v/>
      </c>
      <c r="BO839" s="14">
        <f>F839*BN839*in_recharge_ticket*in_recharge_comm/12</f>
        <v/>
      </c>
      <c r="BP839" s="40">
        <f>BP838*(1-IF(B838&gt;=in_marketplace_from,d_hz_bills*G838,0))</f>
        <v/>
      </c>
      <c r="BQ839" s="40">
        <f>BQ838*d_rho_bills+BP839*IF(B839&gt;=in_marketplace_from,d_hz_bills*G839,0)</f>
        <v/>
      </c>
      <c r="BR839" s="14">
        <f>F839*BQ839*in_bills_ticket*in_bills_comm/12</f>
        <v/>
      </c>
      <c r="BS839" s="40">
        <f>BS838*(1-IF(B838&gt;=in_marketplace_from,d_hz_loan_gold*G838,0))</f>
        <v/>
      </c>
      <c r="BT839" s="14">
        <f>F839*BS839*IF(B839&gt;=in_marketplace_from,d_hz_loan_gold*G839,0)*in_loan_gold_ticket*in_loan_gold_comm</f>
        <v/>
      </c>
      <c r="BU839" s="40">
        <f>BU838*(1-IF(B838&gt;=in_marketplace_from,d_hz_loan_cd*G838,0))</f>
        <v/>
      </c>
      <c r="BV839" s="14">
        <f>F839*BU839*IF(B839&gt;=in_marketplace_from,d_hz_loan_cd*G839,0)*in_loan_cd_ticket*in_loan_cd_comm</f>
        <v/>
      </c>
      <c r="BW839" s="40">
        <f>BW838*(1-IF(B838&gt;=in_marketplace_from,d_hz_loan_vehicle*G838,0))</f>
        <v/>
      </c>
      <c r="BX839" s="14">
        <f>F839*BW839*IF(B839&gt;=in_marketplace_from,d_hz_loan_vehicle*G839,0)*in_loan_vehicle_ticket*in_loan_vehicle_comm</f>
        <v/>
      </c>
      <c r="BY839" s="40">
        <f>BY838*(1-IF(B838&gt;=in_marketplace_from,d_hz_loan_home*G838,0)*BZ838)</f>
        <v/>
      </c>
      <c r="BZ839" s="11">
        <f>MIN(in_approval_cap,in_loan_home_approval*INDEX('Age profile'!$O$2:$O$61,B839)*(1+in_approval_growth)^(D839-1))</f>
        <v/>
      </c>
      <c r="CA839" s="14">
        <f>F839*BY839*IF(B839&gt;=in_marketplace_from,d_hz_loan_home*G839,0)*BZ839*in_loan_home_ticket*in_loan_home_comm</f>
        <v/>
      </c>
      <c r="CB839" s="40">
        <f>CB838*(1-IF(B838&gt;=in_marketplace_from,d_hz_loan_lap*G838,0)*CC838)</f>
        <v/>
      </c>
      <c r="CC839" s="11">
        <f>MIN(in_approval_cap,in_loan_lap_approval*INDEX('Age profile'!$O$2:$O$61,B839)*(1+in_approval_growth)^(D839-1))</f>
        <v/>
      </c>
      <c r="CD839" s="14">
        <f>F839*CB839*IF(B839&gt;=in_marketplace_from,d_hz_loan_lap*G839,0)*CC839*in_loan_lap_ticket*in_loan_lap_comm</f>
        <v/>
      </c>
      <c r="CE839" s="14">
        <f>AA839+AB839+AC839+AD839+AG839+AJ839+AM839+AP839+AS839+AU839+AX839+BB839+BE839+BG839+BJ839+BL839+BO839+BR839+BT839+BV839+BX839+CA839+CD839</f>
        <v/>
      </c>
    </row>
    <row r="840">
      <c r="A840" s="39" t="n">
        <v>16</v>
      </c>
      <c r="B840" s="39" t="n">
        <v>44</v>
      </c>
      <c r="C840" s="39">
        <f>A840+B840-1</f>
        <v/>
      </c>
      <c r="D840" s="39">
        <f>INT((C840-1)/12)+1</f>
        <v/>
      </c>
      <c r="E840" s="44">
        <f>INDEX(Monthly!$B$2:$B$61,A840)</f>
        <v/>
      </c>
      <c r="F840" s="44">
        <f>E840*INDEX('Age profile'!$B$2:$B$61,B840)</f>
        <v/>
      </c>
      <c r="G840" s="45">
        <f>MIN(in_takeup_cap,INDEX('Age profile'!$N$2:$N$61,B840)*(1+in_takeup_growth)^(D840-1))</f>
        <v/>
      </c>
      <c r="H840" s="11">
        <f>MIN(in_approval_cap,in_approved_first*INDEX('Age profile'!$O$2:$O$61,B840)*(1+in_approval_growth)^(D840-1))</f>
        <v/>
      </c>
      <c r="I840" s="45">
        <f>G840*MIN(in_takeup_cap,INDEX('Age profile'!$O$2:$O$61,B840)*(1+in_approval_growth)^(D840-1))</f>
        <v/>
      </c>
      <c r="J840" s="40">
        <f>(J839-L839)*F840/F839</f>
        <v/>
      </c>
      <c r="K840" s="40">
        <f>(K839-M839)*F840/F839+SUMIFS(O797:O839,B797:B839,B840-1-d_T)*F840</f>
        <v/>
      </c>
      <c r="L840" s="40">
        <f>IF(B840&gt;=in_marketplace_from,J840*d_hz*G840*in_eligible*H840,0)</f>
        <v/>
      </c>
      <c r="M840" s="40">
        <f>IF(B840&gt;=in_marketplace_from,K840*d_hz*G840*in_eligible*in_approved_repeat,0)</f>
        <v/>
      </c>
      <c r="N840" s="40">
        <f>L840+M840</f>
        <v/>
      </c>
      <c r="O840" s="46">
        <f>N840/F840</f>
        <v/>
      </c>
      <c r="P840" s="40">
        <f>F840-J840-K840</f>
        <v/>
      </c>
      <c r="Q840" s="40">
        <f>IF(B840&gt;=in_marketplace_from,(J840+K840)*d_hz*G840,0)</f>
        <v/>
      </c>
      <c r="R840" s="40">
        <f>SUMIFS(N797:N841,B797:B841,"&gt;="&amp;(B840-d_T),B797:B841,"&lt;="&amp;(B840-1))</f>
        <v/>
      </c>
      <c r="S840" s="46">
        <f>(1-d_u)*S839+IF(d_T&gt;in_topup_lag,SUMIFS(O797:O841,B797:B841,B840-in_topup_lag)-d_udrop*SUMIFS(O797:O841,B797:B841,B840-d_T),0)</f>
        <v/>
      </c>
      <c r="T840" s="40">
        <f>F840*d_u*S840</f>
        <v/>
      </c>
      <c r="U840" s="9">
        <f>L840*in_ticket+M840*d_rep_ticket</f>
        <v/>
      </c>
      <c r="V840" s="9">
        <f>U840+T840*d_topup_amt</f>
        <v/>
      </c>
      <c r="W840" s="40">
        <f>N840+T840*d_topup_ratio</f>
        <v/>
      </c>
      <c r="X840" s="40">
        <f>SUMIFS(W797:W841,B797:B841,B840-in_dpd_lag)*d_cured</f>
        <v/>
      </c>
      <c r="Y840" s="40">
        <f>SUMIFS(W797:W841,B797:B841,B840-in_rec_lag)*d_recd</f>
        <v/>
      </c>
      <c r="Z840" s="40">
        <f>IF(AND(B840&gt;=in_marketplace_from,B840&lt;in_marketplace_from+in_card_months),in_card_share/in_card_months*F840*I840,IF(AND(B840&gt;=in_marketplace_from+in_card_months,B840&lt;in_marketplace_from+2*in_card_months),in_card_share*d_card_rem/in_card_months*F840*MIN(in_takeup_cap,(1+in_takeup_growth)^(D840-1))*MIN(in_takeup_cap,(1+in_approval_growth)^(D840-1)),0))</f>
        <v/>
      </c>
      <c r="AA840" s="14">
        <f>V840*in_fee*(1-in_taken_back)</f>
        <v/>
      </c>
      <c r="AB840" s="14">
        <f>SUMIFS(W797:W841,B797:B841,B840-in_dpd_lag)*d_dpd</f>
        <v/>
      </c>
      <c r="AC840" s="14">
        <f>SUMIFS(W797:W841,B797:B841,B840-in_rec_lag)*d_rec</f>
        <v/>
      </c>
      <c r="AD840" s="14">
        <f>Z840*in_card_fee</f>
        <v/>
      </c>
      <c r="AE840" s="40">
        <f>AE839*(1-IF(B839&gt;=in_marketplace_from,d_hz_hlth_small*G839,0))</f>
        <v/>
      </c>
      <c r="AF840" s="46">
        <f>AE840*IF(B840&gt;=in_marketplace_from,d_hz_hlth_small*G840,0)</f>
        <v/>
      </c>
      <c r="AG840" s="14">
        <f>F840*AF840*in_hlth_small_ticket*in_hlth_small_comm*in_ins_partner_share+F840*in_hlth_small_ticket*in_hlth_small_renew_comm*in_ins_partner_share*(in_hlth_small_renew^1*SUMIFS(AF797:AF841,B797:B841,B840-12)+in_hlth_small_renew^2*SUMIFS(AF797:AF841,B797:B841,B840-24)+in_hlth_small_renew^3*SUMIFS(AF797:AF841,B797:B841,B840-36)+in_hlth_small_renew^4*SUMIFS(AF797:AF841,B797:B841,B840-48))</f>
        <v/>
      </c>
      <c r="AH840" s="40">
        <f>AH839*(1-IF(B839&gt;=in_marketplace_from,d_hz_hlth_family*G839,0))</f>
        <v/>
      </c>
      <c r="AI840" s="46">
        <f>AH840*IF(B840&gt;=in_marketplace_from,d_hz_hlth_family*G840,0)</f>
        <v/>
      </c>
      <c r="AJ840" s="14">
        <f>F840*AI840*in_hlth_family_ticket*in_hlth_family_comm*in_ins_partner_share+F840*in_hlth_family_ticket*in_hlth_family_renew_comm*in_ins_partner_share*(in_hlth_family_renew^1*SUMIFS(AI797:AI841,B797:B841,B840-12)+in_hlth_family_renew^2*SUMIFS(AI797:AI841,B797:B841,B840-24)+in_hlth_family_renew^3*SUMIFS(AI797:AI841,B797:B841,B840-36)+in_hlth_family_renew^4*SUMIFS(AI797:AI841,B797:B841,B840-48))</f>
        <v/>
      </c>
      <c r="AK840" s="40">
        <f>AK839*(1-IF(B839&gt;=in_marketplace_from,d_hz_life_term*G839,0))</f>
        <v/>
      </c>
      <c r="AL840" s="46">
        <f>AK840*IF(B840&gt;=in_marketplace_from,d_hz_life_term*G840,0)</f>
        <v/>
      </c>
      <c r="AM840" s="14">
        <f>F840*AL840*in_life_term_ticket*in_life_term_comm*in_ins_partner_share+F840*in_life_term_ticket*in_life_term_renew_comm*in_ins_partner_share*(in_life_term_renew^1*SUMIFS(AL797:AL841,B797:B841,B840-12)+in_life_term_renew^2*SUMIFS(AL797:AL841,B797:B841,B840-24)+in_life_term_renew^3*SUMIFS(AL797:AL841,B797:B841,B840-36)+in_life_term_renew^4*SUMIFS(AL797:AL841,B797:B841,B840-48))</f>
        <v/>
      </c>
      <c r="AN840" s="40">
        <f>AN839*(1-IF(B839&gt;=in_marketplace_from,d_hz_accident*G839,0))</f>
        <v/>
      </c>
      <c r="AO840" s="46">
        <f>AN840*IF(B840&gt;=in_marketplace_from,d_hz_accident*G840,0)</f>
        <v/>
      </c>
      <c r="AP840" s="14">
        <f>F840*AO840*in_accident_ticket*in_accident_comm*in_ins_partner_share+F840*in_accident_ticket*in_accident_renew_comm*in_ins_partner_share*(in_accident_renew^1*SUMIFS(AO797:AO841,B797:B841,B840-12)+in_accident_renew^2*SUMIFS(AO797:AO841,B797:B841,B840-24)+in_accident_renew^3*SUMIFS(AO797:AO841,B797:B841,B840-36)+in_accident_renew^4*SUMIFS(AO797:AO841,B797:B841,B840-48))</f>
        <v/>
      </c>
      <c r="AQ840" s="40">
        <f>AQ839*(1-IF(B839&gt;=in_marketplace_from,d_hz_two_wheeler*G839,0))</f>
        <v/>
      </c>
      <c r="AR840" s="46">
        <f>AQ840*IF(B840&gt;=in_marketplace_from,d_hz_two_wheeler*G840,0)</f>
        <v/>
      </c>
      <c r="AS840" s="14">
        <f>F840*AR840*in_two_wheeler_ticket*in_two_wheeler_comm*in_ins_partner_share+F840*in_two_wheeler_ticket*in_two_wheeler_comm*in_ins_partner_share*(in_two_wheeler_renew^1*SUMIFS(AR797:AR841,B797:B841,B840-12)+in_two_wheeler_renew^2*SUMIFS(AR797:AR841,B797:B841,B840-24)+in_two_wheeler_renew^3*SUMIFS(AR797:AR841,B797:B841,B840-36)+in_two_wheeler_renew^4*SUMIFS(AR797:AR841,B797:B841,B840-48))</f>
        <v/>
      </c>
      <c r="AT840" s="40">
        <f>AT839*(1-IF(B839&gt;=in_marketplace_from,d_hz_device*G839,0))</f>
        <v/>
      </c>
      <c r="AU840" s="14">
        <f>F840*AT840*IF(B840&gt;=in_marketplace_from,d_hz_device*G840,0)*in_device_ticket*in_device_comm*in_ins_partner_share</f>
        <v/>
      </c>
      <c r="AV840" s="40">
        <f>AV839*(1-IF(B839&gt;=in_marketplace_from,d_hz_shop*G839,0))</f>
        <v/>
      </c>
      <c r="AW840" s="46">
        <f>AV840*IF(B840&gt;=in_marketplace_from,d_hz_shop*G840,0)</f>
        <v/>
      </c>
      <c r="AX840" s="14">
        <f>F840*AW840*in_shop_ticket*in_shop_comm*in_ins_partner_share+F840*in_shop_ticket*in_shop_renew_comm*in_ins_partner_share*(in_shop_renew^1*SUMIFS(AW797:AW841,B797:B841,B840-12)+in_shop_renew^2*SUMIFS(AW797:AW841,B797:B841,B840-24)+in_shop_renew^3*SUMIFS(AW797:AW841,B797:B841,B840-36)+in_shop_renew^4*SUMIFS(AW797:AW841,B797:B841,B840-48))</f>
        <v/>
      </c>
      <c r="AY840" s="40">
        <f>AY839*(1-IF(B839&gt;=in_marketplace_from,d_hz_sip*G839,0))</f>
        <v/>
      </c>
      <c r="AZ840" s="40">
        <f>AZ839*d_rho_sip+AY840*IF(B840&gt;=in_marketplace_from,d_hz_sip*G840,0)</f>
        <v/>
      </c>
      <c r="BA840" s="40">
        <f>d_rho_sip*(BA839+AZ839)</f>
        <v/>
      </c>
      <c r="BB840" s="14">
        <f>F840*in_sip_ticket*(BA840+0.5*AZ840)*in_sip_comm/12</f>
        <v/>
      </c>
      <c r="BC840" s="40">
        <f>BC839*(1-IF(B839&gt;=in_marketplace_from,d_hz_choti*G839,0))</f>
        <v/>
      </c>
      <c r="BD840" s="46">
        <f>BC840*IF(B840&gt;=in_marketplace_from,d_hz_choti*G840,0)</f>
        <v/>
      </c>
      <c r="BE840" s="14">
        <f>F840*SUMIFS(BD797:BD841,B797:B841,B840-in_choti_months)*in_choti_renew*in_choti_ticket</f>
        <v/>
      </c>
      <c r="BF840" s="40">
        <f>BF839*(1-IF(B839&gt;=in_marketplace_from,d_hz_nps*G839,0))</f>
        <v/>
      </c>
      <c r="BG840" s="14">
        <f>F840*BF840*IF(B840&gt;=in_marketplace_from,d_hz_nps*G840,0)*in_nps_ticket*in_nps_comm</f>
        <v/>
      </c>
      <c r="BH840" s="40">
        <f>BH839*(1-IF(B839&gt;=in_marketplace_from,d_hz_gold*G839,0))</f>
        <v/>
      </c>
      <c r="BI840" s="40">
        <f>BI839*d_rho_gold+BH840*IF(B840&gt;=in_marketplace_from,d_hz_gold*G840,0)</f>
        <v/>
      </c>
      <c r="BJ840" s="14">
        <f>F840*BI840*in_gold_ticket*in_gold_comm</f>
        <v/>
      </c>
      <c r="BK840" s="40">
        <f>BK839*(1-IF(B839&gt;=in_marketplace_from,d_hz_fd*G839,0))</f>
        <v/>
      </c>
      <c r="BL840" s="14">
        <f>F840*BK840*IF(B840&gt;=in_marketplace_from,d_hz_fd*G840,0)*in_fd_ticket*in_fd_comm</f>
        <v/>
      </c>
      <c r="BM840" s="40">
        <f>BM839*(1-IF(B839&gt;=in_marketplace_from,d_hz_recharge*G839,0))</f>
        <v/>
      </c>
      <c r="BN840" s="40">
        <f>BN839*d_rho_recharge+BM840*IF(B840&gt;=in_marketplace_from,d_hz_recharge*G840,0)</f>
        <v/>
      </c>
      <c r="BO840" s="14">
        <f>F840*BN840*in_recharge_ticket*in_recharge_comm/12</f>
        <v/>
      </c>
      <c r="BP840" s="40">
        <f>BP839*(1-IF(B839&gt;=in_marketplace_from,d_hz_bills*G839,0))</f>
        <v/>
      </c>
      <c r="BQ840" s="40">
        <f>BQ839*d_rho_bills+BP840*IF(B840&gt;=in_marketplace_from,d_hz_bills*G840,0)</f>
        <v/>
      </c>
      <c r="BR840" s="14">
        <f>F840*BQ840*in_bills_ticket*in_bills_comm/12</f>
        <v/>
      </c>
      <c r="BS840" s="40">
        <f>BS839*(1-IF(B839&gt;=in_marketplace_from,d_hz_loan_gold*G839,0))</f>
        <v/>
      </c>
      <c r="BT840" s="14">
        <f>F840*BS840*IF(B840&gt;=in_marketplace_from,d_hz_loan_gold*G840,0)*in_loan_gold_ticket*in_loan_gold_comm</f>
        <v/>
      </c>
      <c r="BU840" s="40">
        <f>BU839*(1-IF(B839&gt;=in_marketplace_from,d_hz_loan_cd*G839,0))</f>
        <v/>
      </c>
      <c r="BV840" s="14">
        <f>F840*BU840*IF(B840&gt;=in_marketplace_from,d_hz_loan_cd*G840,0)*in_loan_cd_ticket*in_loan_cd_comm</f>
        <v/>
      </c>
      <c r="BW840" s="40">
        <f>BW839*(1-IF(B839&gt;=in_marketplace_from,d_hz_loan_vehicle*G839,0))</f>
        <v/>
      </c>
      <c r="BX840" s="14">
        <f>F840*BW840*IF(B840&gt;=in_marketplace_from,d_hz_loan_vehicle*G840,0)*in_loan_vehicle_ticket*in_loan_vehicle_comm</f>
        <v/>
      </c>
      <c r="BY840" s="40">
        <f>BY839*(1-IF(B839&gt;=in_marketplace_from,d_hz_loan_home*G839,0)*BZ839)</f>
        <v/>
      </c>
      <c r="BZ840" s="11">
        <f>MIN(in_approval_cap,in_loan_home_approval*INDEX('Age profile'!$O$2:$O$61,B840)*(1+in_approval_growth)^(D840-1))</f>
        <v/>
      </c>
      <c r="CA840" s="14">
        <f>F840*BY840*IF(B840&gt;=in_marketplace_from,d_hz_loan_home*G840,0)*BZ840*in_loan_home_ticket*in_loan_home_comm</f>
        <v/>
      </c>
      <c r="CB840" s="40">
        <f>CB839*(1-IF(B839&gt;=in_marketplace_from,d_hz_loan_lap*G839,0)*CC839)</f>
        <v/>
      </c>
      <c r="CC840" s="11">
        <f>MIN(in_approval_cap,in_loan_lap_approval*INDEX('Age profile'!$O$2:$O$61,B840)*(1+in_approval_growth)^(D840-1))</f>
        <v/>
      </c>
      <c r="CD840" s="14">
        <f>F840*CB840*IF(B840&gt;=in_marketplace_from,d_hz_loan_lap*G840,0)*CC840*in_loan_lap_ticket*in_loan_lap_comm</f>
        <v/>
      </c>
      <c r="CE840" s="14">
        <f>AA840+AB840+AC840+AD840+AG840+AJ840+AM840+AP840+AS840+AU840+AX840+BB840+BE840+BG840+BJ840+BL840+BO840+BR840+BT840+BV840+BX840+CA840+CD840</f>
        <v/>
      </c>
    </row>
    <row r="841">
      <c r="A841" s="39" t="n">
        <v>16</v>
      </c>
      <c r="B841" s="39" t="n">
        <v>45</v>
      </c>
      <c r="C841" s="39">
        <f>A841+B841-1</f>
        <v/>
      </c>
      <c r="D841" s="39">
        <f>INT((C841-1)/12)+1</f>
        <v/>
      </c>
      <c r="E841" s="44">
        <f>INDEX(Monthly!$B$2:$B$61,A841)</f>
        <v/>
      </c>
      <c r="F841" s="44">
        <f>E841*INDEX('Age profile'!$B$2:$B$61,B841)</f>
        <v/>
      </c>
      <c r="G841" s="45">
        <f>MIN(in_takeup_cap,INDEX('Age profile'!$N$2:$N$61,B841)*(1+in_takeup_growth)^(D841-1))</f>
        <v/>
      </c>
      <c r="H841" s="11">
        <f>MIN(in_approval_cap,in_approved_first*INDEX('Age profile'!$O$2:$O$61,B841)*(1+in_approval_growth)^(D841-1))</f>
        <v/>
      </c>
      <c r="I841" s="45">
        <f>G841*MIN(in_takeup_cap,INDEX('Age profile'!$O$2:$O$61,B841)*(1+in_approval_growth)^(D841-1))</f>
        <v/>
      </c>
      <c r="J841" s="40">
        <f>(J840-L840)*F841/F840</f>
        <v/>
      </c>
      <c r="K841" s="40">
        <f>(K840-M840)*F841/F840+SUMIFS(O797:O840,B797:B840,B841-1-d_T)*F841</f>
        <v/>
      </c>
      <c r="L841" s="40">
        <f>IF(B841&gt;=in_marketplace_from,J841*d_hz*G841*in_eligible*H841,0)</f>
        <v/>
      </c>
      <c r="M841" s="40">
        <f>IF(B841&gt;=in_marketplace_from,K841*d_hz*G841*in_eligible*in_approved_repeat,0)</f>
        <v/>
      </c>
      <c r="N841" s="40">
        <f>L841+M841</f>
        <v/>
      </c>
      <c r="O841" s="46">
        <f>N841/F841</f>
        <v/>
      </c>
      <c r="P841" s="40">
        <f>F841-J841-K841</f>
        <v/>
      </c>
      <c r="Q841" s="40">
        <f>IF(B841&gt;=in_marketplace_from,(J841+K841)*d_hz*G841,0)</f>
        <v/>
      </c>
      <c r="R841" s="40">
        <f>SUMIFS(N797:N841,B797:B841,"&gt;="&amp;(B841-d_T),B797:B841,"&lt;="&amp;(B841-1))</f>
        <v/>
      </c>
      <c r="S841" s="46">
        <f>(1-d_u)*S840+IF(d_T&gt;in_topup_lag,SUMIFS(O797:O841,B797:B841,B841-in_topup_lag)-d_udrop*SUMIFS(O797:O841,B797:B841,B841-d_T),0)</f>
        <v/>
      </c>
      <c r="T841" s="40">
        <f>F841*d_u*S841</f>
        <v/>
      </c>
      <c r="U841" s="9">
        <f>L841*in_ticket+M841*d_rep_ticket</f>
        <v/>
      </c>
      <c r="V841" s="9">
        <f>U841+T841*d_topup_amt</f>
        <v/>
      </c>
      <c r="W841" s="40">
        <f>N841+T841*d_topup_ratio</f>
        <v/>
      </c>
      <c r="X841" s="40">
        <f>SUMIFS(W797:W841,B797:B841,B841-in_dpd_lag)*d_cured</f>
        <v/>
      </c>
      <c r="Y841" s="40">
        <f>SUMIFS(W797:W841,B797:B841,B841-in_rec_lag)*d_recd</f>
        <v/>
      </c>
      <c r="Z841" s="40">
        <f>IF(AND(B841&gt;=in_marketplace_from,B841&lt;in_marketplace_from+in_card_months),in_card_share/in_card_months*F841*I841,IF(AND(B841&gt;=in_marketplace_from+in_card_months,B841&lt;in_marketplace_from+2*in_card_months),in_card_share*d_card_rem/in_card_months*F841*MIN(in_takeup_cap,(1+in_takeup_growth)^(D841-1))*MIN(in_takeup_cap,(1+in_approval_growth)^(D841-1)),0))</f>
        <v/>
      </c>
      <c r="AA841" s="14">
        <f>V841*in_fee*(1-in_taken_back)</f>
        <v/>
      </c>
      <c r="AB841" s="14">
        <f>SUMIFS(W797:W841,B797:B841,B841-in_dpd_lag)*d_dpd</f>
        <v/>
      </c>
      <c r="AC841" s="14">
        <f>SUMIFS(W797:W841,B797:B841,B841-in_rec_lag)*d_rec</f>
        <v/>
      </c>
      <c r="AD841" s="14">
        <f>Z841*in_card_fee</f>
        <v/>
      </c>
      <c r="AE841" s="40">
        <f>AE840*(1-IF(B840&gt;=in_marketplace_from,d_hz_hlth_small*G840,0))</f>
        <v/>
      </c>
      <c r="AF841" s="46">
        <f>AE841*IF(B841&gt;=in_marketplace_from,d_hz_hlth_small*G841,0)</f>
        <v/>
      </c>
      <c r="AG841" s="14">
        <f>F841*AF841*in_hlth_small_ticket*in_hlth_small_comm*in_ins_partner_share+F841*in_hlth_small_ticket*in_hlth_small_renew_comm*in_ins_partner_share*(in_hlth_small_renew^1*SUMIFS(AF797:AF841,B797:B841,B841-12)+in_hlth_small_renew^2*SUMIFS(AF797:AF841,B797:B841,B841-24)+in_hlth_small_renew^3*SUMIFS(AF797:AF841,B797:B841,B841-36)+in_hlth_small_renew^4*SUMIFS(AF797:AF841,B797:B841,B841-48))</f>
        <v/>
      </c>
      <c r="AH841" s="40">
        <f>AH840*(1-IF(B840&gt;=in_marketplace_from,d_hz_hlth_family*G840,0))</f>
        <v/>
      </c>
      <c r="AI841" s="46">
        <f>AH841*IF(B841&gt;=in_marketplace_from,d_hz_hlth_family*G841,0)</f>
        <v/>
      </c>
      <c r="AJ841" s="14">
        <f>F841*AI841*in_hlth_family_ticket*in_hlth_family_comm*in_ins_partner_share+F841*in_hlth_family_ticket*in_hlth_family_renew_comm*in_ins_partner_share*(in_hlth_family_renew^1*SUMIFS(AI797:AI841,B797:B841,B841-12)+in_hlth_family_renew^2*SUMIFS(AI797:AI841,B797:B841,B841-24)+in_hlth_family_renew^3*SUMIFS(AI797:AI841,B797:B841,B841-36)+in_hlth_family_renew^4*SUMIFS(AI797:AI841,B797:B841,B841-48))</f>
        <v/>
      </c>
      <c r="AK841" s="40">
        <f>AK840*(1-IF(B840&gt;=in_marketplace_from,d_hz_life_term*G840,0))</f>
        <v/>
      </c>
      <c r="AL841" s="46">
        <f>AK841*IF(B841&gt;=in_marketplace_from,d_hz_life_term*G841,0)</f>
        <v/>
      </c>
      <c r="AM841" s="14">
        <f>F841*AL841*in_life_term_ticket*in_life_term_comm*in_ins_partner_share+F841*in_life_term_ticket*in_life_term_renew_comm*in_ins_partner_share*(in_life_term_renew^1*SUMIFS(AL797:AL841,B797:B841,B841-12)+in_life_term_renew^2*SUMIFS(AL797:AL841,B797:B841,B841-24)+in_life_term_renew^3*SUMIFS(AL797:AL841,B797:B841,B841-36)+in_life_term_renew^4*SUMIFS(AL797:AL841,B797:B841,B841-48))</f>
        <v/>
      </c>
      <c r="AN841" s="40">
        <f>AN840*(1-IF(B840&gt;=in_marketplace_from,d_hz_accident*G840,0))</f>
        <v/>
      </c>
      <c r="AO841" s="46">
        <f>AN841*IF(B841&gt;=in_marketplace_from,d_hz_accident*G841,0)</f>
        <v/>
      </c>
      <c r="AP841" s="14">
        <f>F841*AO841*in_accident_ticket*in_accident_comm*in_ins_partner_share+F841*in_accident_ticket*in_accident_renew_comm*in_ins_partner_share*(in_accident_renew^1*SUMIFS(AO797:AO841,B797:B841,B841-12)+in_accident_renew^2*SUMIFS(AO797:AO841,B797:B841,B841-24)+in_accident_renew^3*SUMIFS(AO797:AO841,B797:B841,B841-36)+in_accident_renew^4*SUMIFS(AO797:AO841,B797:B841,B841-48))</f>
        <v/>
      </c>
      <c r="AQ841" s="40">
        <f>AQ840*(1-IF(B840&gt;=in_marketplace_from,d_hz_two_wheeler*G840,0))</f>
        <v/>
      </c>
      <c r="AR841" s="46">
        <f>AQ841*IF(B841&gt;=in_marketplace_from,d_hz_two_wheeler*G841,0)</f>
        <v/>
      </c>
      <c r="AS841" s="14">
        <f>F841*AR841*in_two_wheeler_ticket*in_two_wheeler_comm*in_ins_partner_share+F841*in_two_wheeler_ticket*in_two_wheeler_comm*in_ins_partner_share*(in_two_wheeler_renew^1*SUMIFS(AR797:AR841,B797:B841,B841-12)+in_two_wheeler_renew^2*SUMIFS(AR797:AR841,B797:B841,B841-24)+in_two_wheeler_renew^3*SUMIFS(AR797:AR841,B797:B841,B841-36)+in_two_wheeler_renew^4*SUMIFS(AR797:AR841,B797:B841,B841-48))</f>
        <v/>
      </c>
      <c r="AT841" s="40">
        <f>AT840*(1-IF(B840&gt;=in_marketplace_from,d_hz_device*G840,0))</f>
        <v/>
      </c>
      <c r="AU841" s="14">
        <f>F841*AT841*IF(B841&gt;=in_marketplace_from,d_hz_device*G841,0)*in_device_ticket*in_device_comm*in_ins_partner_share</f>
        <v/>
      </c>
      <c r="AV841" s="40">
        <f>AV840*(1-IF(B840&gt;=in_marketplace_from,d_hz_shop*G840,0))</f>
        <v/>
      </c>
      <c r="AW841" s="46">
        <f>AV841*IF(B841&gt;=in_marketplace_from,d_hz_shop*G841,0)</f>
        <v/>
      </c>
      <c r="AX841" s="14">
        <f>F841*AW841*in_shop_ticket*in_shop_comm*in_ins_partner_share+F841*in_shop_ticket*in_shop_renew_comm*in_ins_partner_share*(in_shop_renew^1*SUMIFS(AW797:AW841,B797:B841,B841-12)+in_shop_renew^2*SUMIFS(AW797:AW841,B797:B841,B841-24)+in_shop_renew^3*SUMIFS(AW797:AW841,B797:B841,B841-36)+in_shop_renew^4*SUMIFS(AW797:AW841,B797:B841,B841-48))</f>
        <v/>
      </c>
      <c r="AY841" s="40">
        <f>AY840*(1-IF(B840&gt;=in_marketplace_from,d_hz_sip*G840,0))</f>
        <v/>
      </c>
      <c r="AZ841" s="40">
        <f>AZ840*d_rho_sip+AY841*IF(B841&gt;=in_marketplace_from,d_hz_sip*G841,0)</f>
        <v/>
      </c>
      <c r="BA841" s="40">
        <f>d_rho_sip*(BA840+AZ840)</f>
        <v/>
      </c>
      <c r="BB841" s="14">
        <f>F841*in_sip_ticket*(BA841+0.5*AZ841)*in_sip_comm/12</f>
        <v/>
      </c>
      <c r="BC841" s="40">
        <f>BC840*(1-IF(B840&gt;=in_marketplace_from,d_hz_choti*G840,0))</f>
        <v/>
      </c>
      <c r="BD841" s="46">
        <f>BC841*IF(B841&gt;=in_marketplace_from,d_hz_choti*G841,0)</f>
        <v/>
      </c>
      <c r="BE841" s="14">
        <f>F841*SUMIFS(BD797:BD841,B797:B841,B841-in_choti_months)*in_choti_renew*in_choti_ticket</f>
        <v/>
      </c>
      <c r="BF841" s="40">
        <f>BF840*(1-IF(B840&gt;=in_marketplace_from,d_hz_nps*G840,0))</f>
        <v/>
      </c>
      <c r="BG841" s="14">
        <f>F841*BF841*IF(B841&gt;=in_marketplace_from,d_hz_nps*G841,0)*in_nps_ticket*in_nps_comm</f>
        <v/>
      </c>
      <c r="BH841" s="40">
        <f>BH840*(1-IF(B840&gt;=in_marketplace_from,d_hz_gold*G840,0))</f>
        <v/>
      </c>
      <c r="BI841" s="40">
        <f>BI840*d_rho_gold+BH841*IF(B841&gt;=in_marketplace_from,d_hz_gold*G841,0)</f>
        <v/>
      </c>
      <c r="BJ841" s="14">
        <f>F841*BI841*in_gold_ticket*in_gold_comm</f>
        <v/>
      </c>
      <c r="BK841" s="40">
        <f>BK840*(1-IF(B840&gt;=in_marketplace_from,d_hz_fd*G840,0))</f>
        <v/>
      </c>
      <c r="BL841" s="14">
        <f>F841*BK841*IF(B841&gt;=in_marketplace_from,d_hz_fd*G841,0)*in_fd_ticket*in_fd_comm</f>
        <v/>
      </c>
      <c r="BM841" s="40">
        <f>BM840*(1-IF(B840&gt;=in_marketplace_from,d_hz_recharge*G840,0))</f>
        <v/>
      </c>
      <c r="BN841" s="40">
        <f>BN840*d_rho_recharge+BM841*IF(B841&gt;=in_marketplace_from,d_hz_recharge*G841,0)</f>
        <v/>
      </c>
      <c r="BO841" s="14">
        <f>F841*BN841*in_recharge_ticket*in_recharge_comm/12</f>
        <v/>
      </c>
      <c r="BP841" s="40">
        <f>BP840*(1-IF(B840&gt;=in_marketplace_from,d_hz_bills*G840,0))</f>
        <v/>
      </c>
      <c r="BQ841" s="40">
        <f>BQ840*d_rho_bills+BP841*IF(B841&gt;=in_marketplace_from,d_hz_bills*G841,0)</f>
        <v/>
      </c>
      <c r="BR841" s="14">
        <f>F841*BQ841*in_bills_ticket*in_bills_comm/12</f>
        <v/>
      </c>
      <c r="BS841" s="40">
        <f>BS840*(1-IF(B840&gt;=in_marketplace_from,d_hz_loan_gold*G840,0))</f>
        <v/>
      </c>
      <c r="BT841" s="14">
        <f>F841*BS841*IF(B841&gt;=in_marketplace_from,d_hz_loan_gold*G841,0)*in_loan_gold_ticket*in_loan_gold_comm</f>
        <v/>
      </c>
      <c r="BU841" s="40">
        <f>BU840*(1-IF(B840&gt;=in_marketplace_from,d_hz_loan_cd*G840,0))</f>
        <v/>
      </c>
      <c r="BV841" s="14">
        <f>F841*BU841*IF(B841&gt;=in_marketplace_from,d_hz_loan_cd*G841,0)*in_loan_cd_ticket*in_loan_cd_comm</f>
        <v/>
      </c>
      <c r="BW841" s="40">
        <f>BW840*(1-IF(B840&gt;=in_marketplace_from,d_hz_loan_vehicle*G840,0))</f>
        <v/>
      </c>
      <c r="BX841" s="14">
        <f>F841*BW841*IF(B841&gt;=in_marketplace_from,d_hz_loan_vehicle*G841,0)*in_loan_vehicle_ticket*in_loan_vehicle_comm</f>
        <v/>
      </c>
      <c r="BY841" s="40">
        <f>BY840*(1-IF(B840&gt;=in_marketplace_from,d_hz_loan_home*G840,0)*BZ840)</f>
        <v/>
      </c>
      <c r="BZ841" s="11">
        <f>MIN(in_approval_cap,in_loan_home_approval*INDEX('Age profile'!$O$2:$O$61,B841)*(1+in_approval_growth)^(D841-1))</f>
        <v/>
      </c>
      <c r="CA841" s="14">
        <f>F841*BY841*IF(B841&gt;=in_marketplace_from,d_hz_loan_home*G841,0)*BZ841*in_loan_home_ticket*in_loan_home_comm</f>
        <v/>
      </c>
      <c r="CB841" s="40">
        <f>CB840*(1-IF(B840&gt;=in_marketplace_from,d_hz_loan_lap*G840,0)*CC840)</f>
        <v/>
      </c>
      <c r="CC841" s="11">
        <f>MIN(in_approval_cap,in_loan_lap_approval*INDEX('Age profile'!$O$2:$O$61,B841)*(1+in_approval_growth)^(D841-1))</f>
        <v/>
      </c>
      <c r="CD841" s="14">
        <f>F841*CB841*IF(B841&gt;=in_marketplace_from,d_hz_loan_lap*G841,0)*CC841*in_loan_lap_ticket*in_loan_lap_comm</f>
        <v/>
      </c>
      <c r="CE841" s="14">
        <f>AA841+AB841+AC841+AD841+AG841+AJ841+AM841+AP841+AS841+AU841+AX841+BB841+BE841+BG841+BJ841+BL841+BO841+BR841+BT841+BV841+BX841+CA841+CD841</f>
        <v/>
      </c>
    </row>
    <row r="842">
      <c r="A842" s="39" t="n">
        <v>17</v>
      </c>
      <c r="B842" s="39" t="n">
        <v>1</v>
      </c>
      <c r="C842" s="39">
        <f>A842+B842-1</f>
        <v/>
      </c>
      <c r="D842" s="39">
        <f>INT((C842-1)/12)+1</f>
        <v/>
      </c>
      <c r="E842" s="44">
        <f>INDEX(Monthly!$B$2:$B$61,A842)</f>
        <v/>
      </c>
      <c r="F842" s="44">
        <f>E842*INDEX('Age profile'!$B$2:$B$61,B842)</f>
        <v/>
      </c>
      <c r="G842" s="45">
        <f>MIN(in_takeup_cap,INDEX('Age profile'!$N$2:$N$61,B842)*(1+in_takeup_growth)^(D842-1))</f>
        <v/>
      </c>
      <c r="H842" s="11">
        <f>MIN(in_approval_cap,in_approved_first*INDEX('Age profile'!$O$2:$O$61,B842)*(1+in_approval_growth)^(D842-1))</f>
        <v/>
      </c>
      <c r="I842" s="45">
        <f>G842*MIN(in_takeup_cap,INDEX('Age profile'!$O$2:$O$61,B842)*(1+in_approval_growth)^(D842-1))</f>
        <v/>
      </c>
      <c r="J842" s="40">
        <f>E842</f>
        <v/>
      </c>
      <c r="K842" s="40" t="n">
        <v>0</v>
      </c>
      <c r="L842" s="40">
        <f>IF(B842&gt;=in_marketplace_from,J842*d_hz*G842*in_eligible*H842,0)</f>
        <v/>
      </c>
      <c r="M842" s="40">
        <f>IF(B842&gt;=in_marketplace_from,K842*d_hz*G842*in_eligible*in_approved_repeat,0)</f>
        <v/>
      </c>
      <c r="N842" s="40">
        <f>L842+M842</f>
        <v/>
      </c>
      <c r="O842" s="46">
        <f>N842/F842</f>
        <v/>
      </c>
      <c r="P842" s="40">
        <f>F842-J842-K842</f>
        <v/>
      </c>
      <c r="Q842" s="40">
        <f>IF(B842&gt;=in_marketplace_from,(J842+K842)*d_hz*G842,0)</f>
        <v/>
      </c>
      <c r="R842" s="40">
        <f>SUMIFS(N842:N885,B842:B885,"&gt;="&amp;(B842-d_T),B842:B885,"&lt;="&amp;(B842-1))</f>
        <v/>
      </c>
      <c r="S842" s="46" t="n">
        <v>0</v>
      </c>
      <c r="T842" s="40">
        <f>F842*d_u*S842</f>
        <v/>
      </c>
      <c r="U842" s="9">
        <f>L842*in_ticket+M842*d_rep_ticket</f>
        <v/>
      </c>
      <c r="V842" s="9">
        <f>U842+T842*d_topup_amt</f>
        <v/>
      </c>
      <c r="W842" s="40">
        <f>N842+T842*d_topup_ratio</f>
        <v/>
      </c>
      <c r="X842" s="40">
        <f>SUMIFS(W842:W885,B842:B885,B842-in_dpd_lag)*d_cured</f>
        <v/>
      </c>
      <c r="Y842" s="40">
        <f>SUMIFS(W842:W885,B842:B885,B842-in_rec_lag)*d_recd</f>
        <v/>
      </c>
      <c r="Z842" s="40">
        <f>IF(AND(B842&gt;=in_marketplace_from,B842&lt;in_marketplace_from+in_card_months),in_card_share/in_card_months*F842*I842,IF(AND(B842&gt;=in_marketplace_from+in_card_months,B842&lt;in_marketplace_from+2*in_card_months),in_card_share*d_card_rem/in_card_months*F842*MIN(in_takeup_cap,(1+in_takeup_growth)^(D842-1))*MIN(in_takeup_cap,(1+in_approval_growth)^(D842-1)),0))</f>
        <v/>
      </c>
      <c r="AA842" s="14">
        <f>V842*in_fee*(1-in_taken_back)</f>
        <v/>
      </c>
      <c r="AB842" s="14">
        <f>SUMIFS(W842:W885,B842:B885,B842-in_dpd_lag)*d_dpd</f>
        <v/>
      </c>
      <c r="AC842" s="14">
        <f>SUMIFS(W842:W885,B842:B885,B842-in_rec_lag)*d_rec</f>
        <v/>
      </c>
      <c r="AD842" s="14">
        <f>Z842*in_card_fee</f>
        <v/>
      </c>
      <c r="AE842" s="40" t="n">
        <v>1</v>
      </c>
      <c r="AF842" s="46">
        <f>AE842*IF(B842&gt;=in_marketplace_from,d_hz_hlth_small*G842,0)</f>
        <v/>
      </c>
      <c r="AG842" s="14">
        <f>F842*AF842*in_hlth_small_ticket*in_hlth_small_comm*in_ins_partner_share+F842*in_hlth_small_ticket*in_hlth_small_renew_comm*in_ins_partner_share*(in_hlth_small_renew^1*SUMIFS(AF842:AF885,B842:B885,B842-12)+in_hlth_small_renew^2*SUMIFS(AF842:AF885,B842:B885,B842-24)+in_hlth_small_renew^3*SUMIFS(AF842:AF885,B842:B885,B842-36)+in_hlth_small_renew^4*SUMIFS(AF842:AF885,B842:B885,B842-48))</f>
        <v/>
      </c>
      <c r="AH842" s="40" t="n">
        <v>1</v>
      </c>
      <c r="AI842" s="46">
        <f>AH842*IF(B842&gt;=in_marketplace_from,d_hz_hlth_family*G842,0)</f>
        <v/>
      </c>
      <c r="AJ842" s="14">
        <f>F842*AI842*in_hlth_family_ticket*in_hlth_family_comm*in_ins_partner_share+F842*in_hlth_family_ticket*in_hlth_family_renew_comm*in_ins_partner_share*(in_hlth_family_renew^1*SUMIFS(AI842:AI885,B842:B885,B842-12)+in_hlth_family_renew^2*SUMIFS(AI842:AI885,B842:B885,B842-24)+in_hlth_family_renew^3*SUMIFS(AI842:AI885,B842:B885,B842-36)+in_hlth_family_renew^4*SUMIFS(AI842:AI885,B842:B885,B842-48))</f>
        <v/>
      </c>
      <c r="AK842" s="40" t="n">
        <v>1</v>
      </c>
      <c r="AL842" s="46">
        <f>AK842*IF(B842&gt;=in_marketplace_from,d_hz_life_term*G842,0)</f>
        <v/>
      </c>
      <c r="AM842" s="14">
        <f>F842*AL842*in_life_term_ticket*in_life_term_comm*in_ins_partner_share+F842*in_life_term_ticket*in_life_term_renew_comm*in_ins_partner_share*(in_life_term_renew^1*SUMIFS(AL842:AL885,B842:B885,B842-12)+in_life_term_renew^2*SUMIFS(AL842:AL885,B842:B885,B842-24)+in_life_term_renew^3*SUMIFS(AL842:AL885,B842:B885,B842-36)+in_life_term_renew^4*SUMIFS(AL842:AL885,B842:B885,B842-48))</f>
        <v/>
      </c>
      <c r="AN842" s="40" t="n">
        <v>1</v>
      </c>
      <c r="AO842" s="46">
        <f>AN842*IF(B842&gt;=in_marketplace_from,d_hz_accident*G842,0)</f>
        <v/>
      </c>
      <c r="AP842" s="14">
        <f>F842*AO842*in_accident_ticket*in_accident_comm*in_ins_partner_share+F842*in_accident_ticket*in_accident_renew_comm*in_ins_partner_share*(in_accident_renew^1*SUMIFS(AO842:AO885,B842:B885,B842-12)+in_accident_renew^2*SUMIFS(AO842:AO885,B842:B885,B842-24)+in_accident_renew^3*SUMIFS(AO842:AO885,B842:B885,B842-36)+in_accident_renew^4*SUMIFS(AO842:AO885,B842:B885,B842-48))</f>
        <v/>
      </c>
      <c r="AQ842" s="40" t="n">
        <v>1</v>
      </c>
      <c r="AR842" s="46">
        <f>AQ842*IF(B842&gt;=in_marketplace_from,d_hz_two_wheeler*G842,0)</f>
        <v/>
      </c>
      <c r="AS842" s="14">
        <f>F842*AR842*in_two_wheeler_ticket*in_two_wheeler_comm*in_ins_partner_share+F842*in_two_wheeler_ticket*in_two_wheeler_comm*in_ins_partner_share*(in_two_wheeler_renew^1*SUMIFS(AR842:AR885,B842:B885,B842-12)+in_two_wheeler_renew^2*SUMIFS(AR842:AR885,B842:B885,B842-24)+in_two_wheeler_renew^3*SUMIFS(AR842:AR885,B842:B885,B842-36)+in_two_wheeler_renew^4*SUMIFS(AR842:AR885,B842:B885,B842-48))</f>
        <v/>
      </c>
      <c r="AT842" s="40" t="n">
        <v>1</v>
      </c>
      <c r="AU842" s="14">
        <f>F842*AT842*IF(B842&gt;=in_marketplace_from,d_hz_device*G842,0)*in_device_ticket*in_device_comm*in_ins_partner_share</f>
        <v/>
      </c>
      <c r="AV842" s="40" t="n">
        <v>1</v>
      </c>
      <c r="AW842" s="46">
        <f>AV842*IF(B842&gt;=in_marketplace_from,d_hz_shop*G842,0)</f>
        <v/>
      </c>
      <c r="AX842" s="14">
        <f>F842*AW842*in_shop_ticket*in_shop_comm*in_ins_partner_share+F842*in_shop_ticket*in_shop_renew_comm*in_ins_partner_share*(in_shop_renew^1*SUMIFS(AW842:AW885,B842:B885,B842-12)+in_shop_renew^2*SUMIFS(AW842:AW885,B842:B885,B842-24)+in_shop_renew^3*SUMIFS(AW842:AW885,B842:B885,B842-36)+in_shop_renew^4*SUMIFS(AW842:AW885,B842:B885,B842-48))</f>
        <v/>
      </c>
      <c r="AY842" s="40" t="n">
        <v>1</v>
      </c>
      <c r="AZ842" s="40">
        <f>AY842*IF(B842&gt;=in_marketplace_from,d_hz_sip*G842,0)</f>
        <v/>
      </c>
      <c r="BA842" s="40" t="n">
        <v>0</v>
      </c>
      <c r="BB842" s="14">
        <f>F842*in_sip_ticket*(BA842+0.5*AZ842)*in_sip_comm/12</f>
        <v/>
      </c>
      <c r="BC842" s="40" t="n">
        <v>1</v>
      </c>
      <c r="BD842" s="46">
        <f>BC842*IF(B842&gt;=in_marketplace_from,d_hz_choti*G842,0)</f>
        <v/>
      </c>
      <c r="BE842" s="14">
        <f>F842*SUMIFS(BD842:BD885,B842:B885,B842-in_choti_months)*in_choti_renew*in_choti_ticket</f>
        <v/>
      </c>
      <c r="BF842" s="40" t="n">
        <v>1</v>
      </c>
      <c r="BG842" s="14">
        <f>F842*BF842*IF(B842&gt;=in_marketplace_from,d_hz_nps*G842,0)*in_nps_ticket*in_nps_comm</f>
        <v/>
      </c>
      <c r="BH842" s="40" t="n">
        <v>1</v>
      </c>
      <c r="BI842" s="40">
        <f>BH842*IF(B842&gt;=in_marketplace_from,d_hz_gold*G842,0)</f>
        <v/>
      </c>
      <c r="BJ842" s="14">
        <f>F842*BI842*in_gold_ticket*in_gold_comm</f>
        <v/>
      </c>
      <c r="BK842" s="40" t="n">
        <v>1</v>
      </c>
      <c r="BL842" s="14">
        <f>F842*BK842*IF(B842&gt;=in_marketplace_from,d_hz_fd*G842,0)*in_fd_ticket*in_fd_comm</f>
        <v/>
      </c>
      <c r="BM842" s="40" t="n">
        <v>1</v>
      </c>
      <c r="BN842" s="40">
        <f>BM842*IF(B842&gt;=in_marketplace_from,d_hz_recharge*G842,0)</f>
        <v/>
      </c>
      <c r="BO842" s="14">
        <f>F842*BN842*in_recharge_ticket*in_recharge_comm/12</f>
        <v/>
      </c>
      <c r="BP842" s="40" t="n">
        <v>1</v>
      </c>
      <c r="BQ842" s="40">
        <f>BP842*IF(B842&gt;=in_marketplace_from,d_hz_bills*G842,0)</f>
        <v/>
      </c>
      <c r="BR842" s="14">
        <f>F842*BQ842*in_bills_ticket*in_bills_comm/12</f>
        <v/>
      </c>
      <c r="BS842" s="40" t="n">
        <v>1</v>
      </c>
      <c r="BT842" s="14">
        <f>F842*BS842*IF(B842&gt;=in_marketplace_from,d_hz_loan_gold*G842,0)*in_loan_gold_ticket*in_loan_gold_comm</f>
        <v/>
      </c>
      <c r="BU842" s="40" t="n">
        <v>1</v>
      </c>
      <c r="BV842" s="14">
        <f>F842*BU842*IF(B842&gt;=in_marketplace_from,d_hz_loan_cd*G842,0)*in_loan_cd_ticket*in_loan_cd_comm</f>
        <v/>
      </c>
      <c r="BW842" s="40" t="n">
        <v>1</v>
      </c>
      <c r="BX842" s="14">
        <f>F842*BW842*IF(B842&gt;=in_marketplace_from,d_hz_loan_vehicle*G842,0)*in_loan_vehicle_ticket*in_loan_vehicle_comm</f>
        <v/>
      </c>
      <c r="BY842" s="40" t="n">
        <v>1</v>
      </c>
      <c r="BZ842" s="11">
        <f>MIN(in_approval_cap,in_loan_home_approval*INDEX('Age profile'!$O$2:$O$61,B842)*(1+in_approval_growth)^(D842-1))</f>
        <v/>
      </c>
      <c r="CA842" s="14">
        <f>F842*BY842*IF(B842&gt;=in_marketplace_from,d_hz_loan_home*G842,0)*BZ842*in_loan_home_ticket*in_loan_home_comm</f>
        <v/>
      </c>
      <c r="CB842" s="40" t="n">
        <v>1</v>
      </c>
      <c r="CC842" s="11">
        <f>MIN(in_approval_cap,in_loan_lap_approval*INDEX('Age profile'!$O$2:$O$61,B842)*(1+in_approval_growth)^(D842-1))</f>
        <v/>
      </c>
      <c r="CD842" s="14">
        <f>F842*CB842*IF(B842&gt;=in_marketplace_from,d_hz_loan_lap*G842,0)*CC842*in_loan_lap_ticket*in_loan_lap_comm</f>
        <v/>
      </c>
      <c r="CE842" s="14">
        <f>AA842+AB842+AC842+AD842+AG842+AJ842+AM842+AP842+AS842+AU842+AX842+BB842+BE842+BG842+BJ842+BL842+BO842+BR842+BT842+BV842+BX842+CA842+CD842</f>
        <v/>
      </c>
    </row>
    <row r="843">
      <c r="A843" s="39" t="n">
        <v>17</v>
      </c>
      <c r="B843" s="39" t="n">
        <v>2</v>
      </c>
      <c r="C843" s="39">
        <f>A843+B843-1</f>
        <v/>
      </c>
      <c r="D843" s="39">
        <f>INT((C843-1)/12)+1</f>
        <v/>
      </c>
      <c r="E843" s="44">
        <f>INDEX(Monthly!$B$2:$B$61,A843)</f>
        <v/>
      </c>
      <c r="F843" s="44">
        <f>E843*INDEX('Age profile'!$B$2:$B$61,B843)</f>
        <v/>
      </c>
      <c r="G843" s="45">
        <f>MIN(in_takeup_cap,INDEX('Age profile'!$N$2:$N$61,B843)*(1+in_takeup_growth)^(D843-1))</f>
        <v/>
      </c>
      <c r="H843" s="11">
        <f>MIN(in_approval_cap,in_approved_first*INDEX('Age profile'!$O$2:$O$61,B843)*(1+in_approval_growth)^(D843-1))</f>
        <v/>
      </c>
      <c r="I843" s="45">
        <f>G843*MIN(in_takeup_cap,INDEX('Age profile'!$O$2:$O$61,B843)*(1+in_approval_growth)^(D843-1))</f>
        <v/>
      </c>
      <c r="J843" s="40">
        <f>(J842-L842)*F843/F842</f>
        <v/>
      </c>
      <c r="K843" s="40">
        <f>(K842-M842)*F843/F842+SUMIFS(O842:O842,B842:B842,B843-1-d_T)*F843</f>
        <v/>
      </c>
      <c r="L843" s="40">
        <f>IF(B843&gt;=in_marketplace_from,J843*d_hz*G843*in_eligible*H843,0)</f>
        <v/>
      </c>
      <c r="M843" s="40">
        <f>IF(B843&gt;=in_marketplace_from,K843*d_hz*G843*in_eligible*in_approved_repeat,0)</f>
        <v/>
      </c>
      <c r="N843" s="40">
        <f>L843+M843</f>
        <v/>
      </c>
      <c r="O843" s="46">
        <f>N843/F843</f>
        <v/>
      </c>
      <c r="P843" s="40">
        <f>F843-J843-K843</f>
        <v/>
      </c>
      <c r="Q843" s="40">
        <f>IF(B843&gt;=in_marketplace_from,(J843+K843)*d_hz*G843,0)</f>
        <v/>
      </c>
      <c r="R843" s="40">
        <f>SUMIFS(N842:N885,B842:B885,"&gt;="&amp;(B843-d_T),B842:B885,"&lt;="&amp;(B843-1))</f>
        <v/>
      </c>
      <c r="S843" s="46">
        <f>(1-d_u)*S842+IF(d_T&gt;in_topup_lag,SUMIFS(O842:O885,B842:B885,B843-in_topup_lag)-d_udrop*SUMIFS(O842:O885,B842:B885,B843-d_T),0)</f>
        <v/>
      </c>
      <c r="T843" s="40">
        <f>F843*d_u*S843</f>
        <v/>
      </c>
      <c r="U843" s="9">
        <f>L843*in_ticket+M843*d_rep_ticket</f>
        <v/>
      </c>
      <c r="V843" s="9">
        <f>U843+T843*d_topup_amt</f>
        <v/>
      </c>
      <c r="W843" s="40">
        <f>N843+T843*d_topup_ratio</f>
        <v/>
      </c>
      <c r="X843" s="40">
        <f>SUMIFS(W842:W885,B842:B885,B843-in_dpd_lag)*d_cured</f>
        <v/>
      </c>
      <c r="Y843" s="40">
        <f>SUMIFS(W842:W885,B842:B885,B843-in_rec_lag)*d_recd</f>
        <v/>
      </c>
      <c r="Z843" s="40">
        <f>IF(AND(B843&gt;=in_marketplace_from,B843&lt;in_marketplace_from+in_card_months),in_card_share/in_card_months*F843*I843,IF(AND(B843&gt;=in_marketplace_from+in_card_months,B843&lt;in_marketplace_from+2*in_card_months),in_card_share*d_card_rem/in_card_months*F843*MIN(in_takeup_cap,(1+in_takeup_growth)^(D843-1))*MIN(in_takeup_cap,(1+in_approval_growth)^(D843-1)),0))</f>
        <v/>
      </c>
      <c r="AA843" s="14">
        <f>V843*in_fee*(1-in_taken_back)</f>
        <v/>
      </c>
      <c r="AB843" s="14">
        <f>SUMIFS(W842:W885,B842:B885,B843-in_dpd_lag)*d_dpd</f>
        <v/>
      </c>
      <c r="AC843" s="14">
        <f>SUMIFS(W842:W885,B842:B885,B843-in_rec_lag)*d_rec</f>
        <v/>
      </c>
      <c r="AD843" s="14">
        <f>Z843*in_card_fee</f>
        <v/>
      </c>
      <c r="AE843" s="40">
        <f>AE842*(1-IF(B842&gt;=in_marketplace_from,d_hz_hlth_small*G842,0))</f>
        <v/>
      </c>
      <c r="AF843" s="46">
        <f>AE843*IF(B843&gt;=in_marketplace_from,d_hz_hlth_small*G843,0)</f>
        <v/>
      </c>
      <c r="AG843" s="14">
        <f>F843*AF843*in_hlth_small_ticket*in_hlth_small_comm*in_ins_partner_share+F843*in_hlth_small_ticket*in_hlth_small_renew_comm*in_ins_partner_share*(in_hlth_small_renew^1*SUMIFS(AF842:AF885,B842:B885,B843-12)+in_hlth_small_renew^2*SUMIFS(AF842:AF885,B842:B885,B843-24)+in_hlth_small_renew^3*SUMIFS(AF842:AF885,B842:B885,B843-36)+in_hlth_small_renew^4*SUMIFS(AF842:AF885,B842:B885,B843-48))</f>
        <v/>
      </c>
      <c r="AH843" s="40">
        <f>AH842*(1-IF(B842&gt;=in_marketplace_from,d_hz_hlth_family*G842,0))</f>
        <v/>
      </c>
      <c r="AI843" s="46">
        <f>AH843*IF(B843&gt;=in_marketplace_from,d_hz_hlth_family*G843,0)</f>
        <v/>
      </c>
      <c r="AJ843" s="14">
        <f>F843*AI843*in_hlth_family_ticket*in_hlth_family_comm*in_ins_partner_share+F843*in_hlth_family_ticket*in_hlth_family_renew_comm*in_ins_partner_share*(in_hlth_family_renew^1*SUMIFS(AI842:AI885,B842:B885,B843-12)+in_hlth_family_renew^2*SUMIFS(AI842:AI885,B842:B885,B843-24)+in_hlth_family_renew^3*SUMIFS(AI842:AI885,B842:B885,B843-36)+in_hlth_family_renew^4*SUMIFS(AI842:AI885,B842:B885,B843-48))</f>
        <v/>
      </c>
      <c r="AK843" s="40">
        <f>AK842*(1-IF(B842&gt;=in_marketplace_from,d_hz_life_term*G842,0))</f>
        <v/>
      </c>
      <c r="AL843" s="46">
        <f>AK843*IF(B843&gt;=in_marketplace_from,d_hz_life_term*G843,0)</f>
        <v/>
      </c>
      <c r="AM843" s="14">
        <f>F843*AL843*in_life_term_ticket*in_life_term_comm*in_ins_partner_share+F843*in_life_term_ticket*in_life_term_renew_comm*in_ins_partner_share*(in_life_term_renew^1*SUMIFS(AL842:AL885,B842:B885,B843-12)+in_life_term_renew^2*SUMIFS(AL842:AL885,B842:B885,B843-24)+in_life_term_renew^3*SUMIFS(AL842:AL885,B842:B885,B843-36)+in_life_term_renew^4*SUMIFS(AL842:AL885,B842:B885,B843-48))</f>
        <v/>
      </c>
      <c r="AN843" s="40">
        <f>AN842*(1-IF(B842&gt;=in_marketplace_from,d_hz_accident*G842,0))</f>
        <v/>
      </c>
      <c r="AO843" s="46">
        <f>AN843*IF(B843&gt;=in_marketplace_from,d_hz_accident*G843,0)</f>
        <v/>
      </c>
      <c r="AP843" s="14">
        <f>F843*AO843*in_accident_ticket*in_accident_comm*in_ins_partner_share+F843*in_accident_ticket*in_accident_renew_comm*in_ins_partner_share*(in_accident_renew^1*SUMIFS(AO842:AO885,B842:B885,B843-12)+in_accident_renew^2*SUMIFS(AO842:AO885,B842:B885,B843-24)+in_accident_renew^3*SUMIFS(AO842:AO885,B842:B885,B843-36)+in_accident_renew^4*SUMIFS(AO842:AO885,B842:B885,B843-48))</f>
        <v/>
      </c>
      <c r="AQ843" s="40">
        <f>AQ842*(1-IF(B842&gt;=in_marketplace_from,d_hz_two_wheeler*G842,0))</f>
        <v/>
      </c>
      <c r="AR843" s="46">
        <f>AQ843*IF(B843&gt;=in_marketplace_from,d_hz_two_wheeler*G843,0)</f>
        <v/>
      </c>
      <c r="AS843" s="14">
        <f>F843*AR843*in_two_wheeler_ticket*in_two_wheeler_comm*in_ins_partner_share+F843*in_two_wheeler_ticket*in_two_wheeler_comm*in_ins_partner_share*(in_two_wheeler_renew^1*SUMIFS(AR842:AR885,B842:B885,B843-12)+in_two_wheeler_renew^2*SUMIFS(AR842:AR885,B842:B885,B843-24)+in_two_wheeler_renew^3*SUMIFS(AR842:AR885,B842:B885,B843-36)+in_two_wheeler_renew^4*SUMIFS(AR842:AR885,B842:B885,B843-48))</f>
        <v/>
      </c>
      <c r="AT843" s="40">
        <f>AT842*(1-IF(B842&gt;=in_marketplace_from,d_hz_device*G842,0))</f>
        <v/>
      </c>
      <c r="AU843" s="14">
        <f>F843*AT843*IF(B843&gt;=in_marketplace_from,d_hz_device*G843,0)*in_device_ticket*in_device_comm*in_ins_partner_share</f>
        <v/>
      </c>
      <c r="AV843" s="40">
        <f>AV842*(1-IF(B842&gt;=in_marketplace_from,d_hz_shop*G842,0))</f>
        <v/>
      </c>
      <c r="AW843" s="46">
        <f>AV843*IF(B843&gt;=in_marketplace_from,d_hz_shop*G843,0)</f>
        <v/>
      </c>
      <c r="AX843" s="14">
        <f>F843*AW843*in_shop_ticket*in_shop_comm*in_ins_partner_share+F843*in_shop_ticket*in_shop_renew_comm*in_ins_partner_share*(in_shop_renew^1*SUMIFS(AW842:AW885,B842:B885,B843-12)+in_shop_renew^2*SUMIFS(AW842:AW885,B842:B885,B843-24)+in_shop_renew^3*SUMIFS(AW842:AW885,B842:B885,B843-36)+in_shop_renew^4*SUMIFS(AW842:AW885,B842:B885,B843-48))</f>
        <v/>
      </c>
      <c r="AY843" s="40">
        <f>AY842*(1-IF(B842&gt;=in_marketplace_from,d_hz_sip*G842,0))</f>
        <v/>
      </c>
      <c r="AZ843" s="40">
        <f>AZ842*d_rho_sip+AY843*IF(B843&gt;=in_marketplace_from,d_hz_sip*G843,0)</f>
        <v/>
      </c>
      <c r="BA843" s="40">
        <f>d_rho_sip*(BA842+AZ842)</f>
        <v/>
      </c>
      <c r="BB843" s="14">
        <f>F843*in_sip_ticket*(BA843+0.5*AZ843)*in_sip_comm/12</f>
        <v/>
      </c>
      <c r="BC843" s="40">
        <f>BC842*(1-IF(B842&gt;=in_marketplace_from,d_hz_choti*G842,0))</f>
        <v/>
      </c>
      <c r="BD843" s="46">
        <f>BC843*IF(B843&gt;=in_marketplace_from,d_hz_choti*G843,0)</f>
        <v/>
      </c>
      <c r="BE843" s="14">
        <f>F843*SUMIFS(BD842:BD885,B842:B885,B843-in_choti_months)*in_choti_renew*in_choti_ticket</f>
        <v/>
      </c>
      <c r="BF843" s="40">
        <f>BF842*(1-IF(B842&gt;=in_marketplace_from,d_hz_nps*G842,0))</f>
        <v/>
      </c>
      <c r="BG843" s="14">
        <f>F843*BF843*IF(B843&gt;=in_marketplace_from,d_hz_nps*G843,0)*in_nps_ticket*in_nps_comm</f>
        <v/>
      </c>
      <c r="BH843" s="40">
        <f>BH842*(1-IF(B842&gt;=in_marketplace_from,d_hz_gold*G842,0))</f>
        <v/>
      </c>
      <c r="BI843" s="40">
        <f>BI842*d_rho_gold+BH843*IF(B843&gt;=in_marketplace_from,d_hz_gold*G843,0)</f>
        <v/>
      </c>
      <c r="BJ843" s="14">
        <f>F843*BI843*in_gold_ticket*in_gold_comm</f>
        <v/>
      </c>
      <c r="BK843" s="40">
        <f>BK842*(1-IF(B842&gt;=in_marketplace_from,d_hz_fd*G842,0))</f>
        <v/>
      </c>
      <c r="BL843" s="14">
        <f>F843*BK843*IF(B843&gt;=in_marketplace_from,d_hz_fd*G843,0)*in_fd_ticket*in_fd_comm</f>
        <v/>
      </c>
      <c r="BM843" s="40">
        <f>BM842*(1-IF(B842&gt;=in_marketplace_from,d_hz_recharge*G842,0))</f>
        <v/>
      </c>
      <c r="BN843" s="40">
        <f>BN842*d_rho_recharge+BM843*IF(B843&gt;=in_marketplace_from,d_hz_recharge*G843,0)</f>
        <v/>
      </c>
      <c r="BO843" s="14">
        <f>F843*BN843*in_recharge_ticket*in_recharge_comm/12</f>
        <v/>
      </c>
      <c r="BP843" s="40">
        <f>BP842*(1-IF(B842&gt;=in_marketplace_from,d_hz_bills*G842,0))</f>
        <v/>
      </c>
      <c r="BQ843" s="40">
        <f>BQ842*d_rho_bills+BP843*IF(B843&gt;=in_marketplace_from,d_hz_bills*G843,0)</f>
        <v/>
      </c>
      <c r="BR843" s="14">
        <f>F843*BQ843*in_bills_ticket*in_bills_comm/12</f>
        <v/>
      </c>
      <c r="BS843" s="40">
        <f>BS842*(1-IF(B842&gt;=in_marketplace_from,d_hz_loan_gold*G842,0))</f>
        <v/>
      </c>
      <c r="BT843" s="14">
        <f>F843*BS843*IF(B843&gt;=in_marketplace_from,d_hz_loan_gold*G843,0)*in_loan_gold_ticket*in_loan_gold_comm</f>
        <v/>
      </c>
      <c r="BU843" s="40">
        <f>BU842*(1-IF(B842&gt;=in_marketplace_from,d_hz_loan_cd*G842,0))</f>
        <v/>
      </c>
      <c r="BV843" s="14">
        <f>F843*BU843*IF(B843&gt;=in_marketplace_from,d_hz_loan_cd*G843,0)*in_loan_cd_ticket*in_loan_cd_comm</f>
        <v/>
      </c>
      <c r="BW843" s="40">
        <f>BW842*(1-IF(B842&gt;=in_marketplace_from,d_hz_loan_vehicle*G842,0))</f>
        <v/>
      </c>
      <c r="BX843" s="14">
        <f>F843*BW843*IF(B843&gt;=in_marketplace_from,d_hz_loan_vehicle*G843,0)*in_loan_vehicle_ticket*in_loan_vehicle_comm</f>
        <v/>
      </c>
      <c r="BY843" s="40">
        <f>BY842*(1-IF(B842&gt;=in_marketplace_from,d_hz_loan_home*G842,0)*BZ842)</f>
        <v/>
      </c>
      <c r="BZ843" s="11">
        <f>MIN(in_approval_cap,in_loan_home_approval*INDEX('Age profile'!$O$2:$O$61,B843)*(1+in_approval_growth)^(D843-1))</f>
        <v/>
      </c>
      <c r="CA843" s="14">
        <f>F843*BY843*IF(B843&gt;=in_marketplace_from,d_hz_loan_home*G843,0)*BZ843*in_loan_home_ticket*in_loan_home_comm</f>
        <v/>
      </c>
      <c r="CB843" s="40">
        <f>CB842*(1-IF(B842&gt;=in_marketplace_from,d_hz_loan_lap*G842,0)*CC842)</f>
        <v/>
      </c>
      <c r="CC843" s="11">
        <f>MIN(in_approval_cap,in_loan_lap_approval*INDEX('Age profile'!$O$2:$O$61,B843)*(1+in_approval_growth)^(D843-1))</f>
        <v/>
      </c>
      <c r="CD843" s="14">
        <f>F843*CB843*IF(B843&gt;=in_marketplace_from,d_hz_loan_lap*G843,0)*CC843*in_loan_lap_ticket*in_loan_lap_comm</f>
        <v/>
      </c>
      <c r="CE843" s="14">
        <f>AA843+AB843+AC843+AD843+AG843+AJ843+AM843+AP843+AS843+AU843+AX843+BB843+BE843+BG843+BJ843+BL843+BO843+BR843+BT843+BV843+BX843+CA843+CD843</f>
        <v/>
      </c>
    </row>
    <row r="844">
      <c r="A844" s="39" t="n">
        <v>17</v>
      </c>
      <c r="B844" s="39" t="n">
        <v>3</v>
      </c>
      <c r="C844" s="39">
        <f>A844+B844-1</f>
        <v/>
      </c>
      <c r="D844" s="39">
        <f>INT((C844-1)/12)+1</f>
        <v/>
      </c>
      <c r="E844" s="44">
        <f>INDEX(Monthly!$B$2:$B$61,A844)</f>
        <v/>
      </c>
      <c r="F844" s="44">
        <f>E844*INDEX('Age profile'!$B$2:$B$61,B844)</f>
        <v/>
      </c>
      <c r="G844" s="45">
        <f>MIN(in_takeup_cap,INDEX('Age profile'!$N$2:$N$61,B844)*(1+in_takeup_growth)^(D844-1))</f>
        <v/>
      </c>
      <c r="H844" s="11">
        <f>MIN(in_approval_cap,in_approved_first*INDEX('Age profile'!$O$2:$O$61,B844)*(1+in_approval_growth)^(D844-1))</f>
        <v/>
      </c>
      <c r="I844" s="45">
        <f>G844*MIN(in_takeup_cap,INDEX('Age profile'!$O$2:$O$61,B844)*(1+in_approval_growth)^(D844-1))</f>
        <v/>
      </c>
      <c r="J844" s="40">
        <f>(J843-L843)*F844/F843</f>
        <v/>
      </c>
      <c r="K844" s="40">
        <f>(K843-M843)*F844/F843+SUMIFS(O842:O843,B842:B843,B844-1-d_T)*F844</f>
        <v/>
      </c>
      <c r="L844" s="40">
        <f>IF(B844&gt;=in_marketplace_from,J844*d_hz*G844*in_eligible*H844,0)</f>
        <v/>
      </c>
      <c r="M844" s="40">
        <f>IF(B844&gt;=in_marketplace_from,K844*d_hz*G844*in_eligible*in_approved_repeat,0)</f>
        <v/>
      </c>
      <c r="N844" s="40">
        <f>L844+M844</f>
        <v/>
      </c>
      <c r="O844" s="46">
        <f>N844/F844</f>
        <v/>
      </c>
      <c r="P844" s="40">
        <f>F844-J844-K844</f>
        <v/>
      </c>
      <c r="Q844" s="40">
        <f>IF(B844&gt;=in_marketplace_from,(J844+K844)*d_hz*G844,0)</f>
        <v/>
      </c>
      <c r="R844" s="40">
        <f>SUMIFS(N842:N885,B842:B885,"&gt;="&amp;(B844-d_T),B842:B885,"&lt;="&amp;(B844-1))</f>
        <v/>
      </c>
      <c r="S844" s="46">
        <f>(1-d_u)*S843+IF(d_T&gt;in_topup_lag,SUMIFS(O842:O885,B842:B885,B844-in_topup_lag)-d_udrop*SUMIFS(O842:O885,B842:B885,B844-d_T),0)</f>
        <v/>
      </c>
      <c r="T844" s="40">
        <f>F844*d_u*S844</f>
        <v/>
      </c>
      <c r="U844" s="9">
        <f>L844*in_ticket+M844*d_rep_ticket</f>
        <v/>
      </c>
      <c r="V844" s="9">
        <f>U844+T844*d_topup_amt</f>
        <v/>
      </c>
      <c r="W844" s="40">
        <f>N844+T844*d_topup_ratio</f>
        <v/>
      </c>
      <c r="X844" s="40">
        <f>SUMIFS(W842:W885,B842:B885,B844-in_dpd_lag)*d_cured</f>
        <v/>
      </c>
      <c r="Y844" s="40">
        <f>SUMIFS(W842:W885,B842:B885,B844-in_rec_lag)*d_recd</f>
        <v/>
      </c>
      <c r="Z844" s="40">
        <f>IF(AND(B844&gt;=in_marketplace_from,B844&lt;in_marketplace_from+in_card_months),in_card_share/in_card_months*F844*I844,IF(AND(B844&gt;=in_marketplace_from+in_card_months,B844&lt;in_marketplace_from+2*in_card_months),in_card_share*d_card_rem/in_card_months*F844*MIN(in_takeup_cap,(1+in_takeup_growth)^(D844-1))*MIN(in_takeup_cap,(1+in_approval_growth)^(D844-1)),0))</f>
        <v/>
      </c>
      <c r="AA844" s="14">
        <f>V844*in_fee*(1-in_taken_back)</f>
        <v/>
      </c>
      <c r="AB844" s="14">
        <f>SUMIFS(W842:W885,B842:B885,B844-in_dpd_lag)*d_dpd</f>
        <v/>
      </c>
      <c r="AC844" s="14">
        <f>SUMIFS(W842:W885,B842:B885,B844-in_rec_lag)*d_rec</f>
        <v/>
      </c>
      <c r="AD844" s="14">
        <f>Z844*in_card_fee</f>
        <v/>
      </c>
      <c r="AE844" s="40">
        <f>AE843*(1-IF(B843&gt;=in_marketplace_from,d_hz_hlth_small*G843,0))</f>
        <v/>
      </c>
      <c r="AF844" s="46">
        <f>AE844*IF(B844&gt;=in_marketplace_from,d_hz_hlth_small*G844,0)</f>
        <v/>
      </c>
      <c r="AG844" s="14">
        <f>F844*AF844*in_hlth_small_ticket*in_hlth_small_comm*in_ins_partner_share+F844*in_hlth_small_ticket*in_hlth_small_renew_comm*in_ins_partner_share*(in_hlth_small_renew^1*SUMIFS(AF842:AF885,B842:B885,B844-12)+in_hlth_small_renew^2*SUMIFS(AF842:AF885,B842:B885,B844-24)+in_hlth_small_renew^3*SUMIFS(AF842:AF885,B842:B885,B844-36)+in_hlth_small_renew^4*SUMIFS(AF842:AF885,B842:B885,B844-48))</f>
        <v/>
      </c>
      <c r="AH844" s="40">
        <f>AH843*(1-IF(B843&gt;=in_marketplace_from,d_hz_hlth_family*G843,0))</f>
        <v/>
      </c>
      <c r="AI844" s="46">
        <f>AH844*IF(B844&gt;=in_marketplace_from,d_hz_hlth_family*G844,0)</f>
        <v/>
      </c>
      <c r="AJ844" s="14">
        <f>F844*AI844*in_hlth_family_ticket*in_hlth_family_comm*in_ins_partner_share+F844*in_hlth_family_ticket*in_hlth_family_renew_comm*in_ins_partner_share*(in_hlth_family_renew^1*SUMIFS(AI842:AI885,B842:B885,B844-12)+in_hlth_family_renew^2*SUMIFS(AI842:AI885,B842:B885,B844-24)+in_hlth_family_renew^3*SUMIFS(AI842:AI885,B842:B885,B844-36)+in_hlth_family_renew^4*SUMIFS(AI842:AI885,B842:B885,B844-48))</f>
        <v/>
      </c>
      <c r="AK844" s="40">
        <f>AK843*(1-IF(B843&gt;=in_marketplace_from,d_hz_life_term*G843,0))</f>
        <v/>
      </c>
      <c r="AL844" s="46">
        <f>AK844*IF(B844&gt;=in_marketplace_from,d_hz_life_term*G844,0)</f>
        <v/>
      </c>
      <c r="AM844" s="14">
        <f>F844*AL844*in_life_term_ticket*in_life_term_comm*in_ins_partner_share+F844*in_life_term_ticket*in_life_term_renew_comm*in_ins_partner_share*(in_life_term_renew^1*SUMIFS(AL842:AL885,B842:B885,B844-12)+in_life_term_renew^2*SUMIFS(AL842:AL885,B842:B885,B844-24)+in_life_term_renew^3*SUMIFS(AL842:AL885,B842:B885,B844-36)+in_life_term_renew^4*SUMIFS(AL842:AL885,B842:B885,B844-48))</f>
        <v/>
      </c>
      <c r="AN844" s="40">
        <f>AN843*(1-IF(B843&gt;=in_marketplace_from,d_hz_accident*G843,0))</f>
        <v/>
      </c>
      <c r="AO844" s="46">
        <f>AN844*IF(B844&gt;=in_marketplace_from,d_hz_accident*G844,0)</f>
        <v/>
      </c>
      <c r="AP844" s="14">
        <f>F844*AO844*in_accident_ticket*in_accident_comm*in_ins_partner_share+F844*in_accident_ticket*in_accident_renew_comm*in_ins_partner_share*(in_accident_renew^1*SUMIFS(AO842:AO885,B842:B885,B844-12)+in_accident_renew^2*SUMIFS(AO842:AO885,B842:B885,B844-24)+in_accident_renew^3*SUMIFS(AO842:AO885,B842:B885,B844-36)+in_accident_renew^4*SUMIFS(AO842:AO885,B842:B885,B844-48))</f>
        <v/>
      </c>
      <c r="AQ844" s="40">
        <f>AQ843*(1-IF(B843&gt;=in_marketplace_from,d_hz_two_wheeler*G843,0))</f>
        <v/>
      </c>
      <c r="AR844" s="46">
        <f>AQ844*IF(B844&gt;=in_marketplace_from,d_hz_two_wheeler*G844,0)</f>
        <v/>
      </c>
      <c r="AS844" s="14">
        <f>F844*AR844*in_two_wheeler_ticket*in_two_wheeler_comm*in_ins_partner_share+F844*in_two_wheeler_ticket*in_two_wheeler_comm*in_ins_partner_share*(in_two_wheeler_renew^1*SUMIFS(AR842:AR885,B842:B885,B844-12)+in_two_wheeler_renew^2*SUMIFS(AR842:AR885,B842:B885,B844-24)+in_two_wheeler_renew^3*SUMIFS(AR842:AR885,B842:B885,B844-36)+in_two_wheeler_renew^4*SUMIFS(AR842:AR885,B842:B885,B844-48))</f>
        <v/>
      </c>
      <c r="AT844" s="40">
        <f>AT843*(1-IF(B843&gt;=in_marketplace_from,d_hz_device*G843,0))</f>
        <v/>
      </c>
      <c r="AU844" s="14">
        <f>F844*AT844*IF(B844&gt;=in_marketplace_from,d_hz_device*G844,0)*in_device_ticket*in_device_comm*in_ins_partner_share</f>
        <v/>
      </c>
      <c r="AV844" s="40">
        <f>AV843*(1-IF(B843&gt;=in_marketplace_from,d_hz_shop*G843,0))</f>
        <v/>
      </c>
      <c r="AW844" s="46">
        <f>AV844*IF(B844&gt;=in_marketplace_from,d_hz_shop*G844,0)</f>
        <v/>
      </c>
      <c r="AX844" s="14">
        <f>F844*AW844*in_shop_ticket*in_shop_comm*in_ins_partner_share+F844*in_shop_ticket*in_shop_renew_comm*in_ins_partner_share*(in_shop_renew^1*SUMIFS(AW842:AW885,B842:B885,B844-12)+in_shop_renew^2*SUMIFS(AW842:AW885,B842:B885,B844-24)+in_shop_renew^3*SUMIFS(AW842:AW885,B842:B885,B844-36)+in_shop_renew^4*SUMIFS(AW842:AW885,B842:B885,B844-48))</f>
        <v/>
      </c>
      <c r="AY844" s="40">
        <f>AY843*(1-IF(B843&gt;=in_marketplace_from,d_hz_sip*G843,0))</f>
        <v/>
      </c>
      <c r="AZ844" s="40">
        <f>AZ843*d_rho_sip+AY844*IF(B844&gt;=in_marketplace_from,d_hz_sip*G844,0)</f>
        <v/>
      </c>
      <c r="BA844" s="40">
        <f>d_rho_sip*(BA843+AZ843)</f>
        <v/>
      </c>
      <c r="BB844" s="14">
        <f>F844*in_sip_ticket*(BA844+0.5*AZ844)*in_sip_comm/12</f>
        <v/>
      </c>
      <c r="BC844" s="40">
        <f>BC843*(1-IF(B843&gt;=in_marketplace_from,d_hz_choti*G843,0))</f>
        <v/>
      </c>
      <c r="BD844" s="46">
        <f>BC844*IF(B844&gt;=in_marketplace_from,d_hz_choti*G844,0)</f>
        <v/>
      </c>
      <c r="BE844" s="14">
        <f>F844*SUMIFS(BD842:BD885,B842:B885,B844-in_choti_months)*in_choti_renew*in_choti_ticket</f>
        <v/>
      </c>
      <c r="BF844" s="40">
        <f>BF843*(1-IF(B843&gt;=in_marketplace_from,d_hz_nps*G843,0))</f>
        <v/>
      </c>
      <c r="BG844" s="14">
        <f>F844*BF844*IF(B844&gt;=in_marketplace_from,d_hz_nps*G844,0)*in_nps_ticket*in_nps_comm</f>
        <v/>
      </c>
      <c r="BH844" s="40">
        <f>BH843*(1-IF(B843&gt;=in_marketplace_from,d_hz_gold*G843,0))</f>
        <v/>
      </c>
      <c r="BI844" s="40">
        <f>BI843*d_rho_gold+BH844*IF(B844&gt;=in_marketplace_from,d_hz_gold*G844,0)</f>
        <v/>
      </c>
      <c r="BJ844" s="14">
        <f>F844*BI844*in_gold_ticket*in_gold_comm</f>
        <v/>
      </c>
      <c r="BK844" s="40">
        <f>BK843*(1-IF(B843&gt;=in_marketplace_from,d_hz_fd*G843,0))</f>
        <v/>
      </c>
      <c r="BL844" s="14">
        <f>F844*BK844*IF(B844&gt;=in_marketplace_from,d_hz_fd*G844,0)*in_fd_ticket*in_fd_comm</f>
        <v/>
      </c>
      <c r="BM844" s="40">
        <f>BM843*(1-IF(B843&gt;=in_marketplace_from,d_hz_recharge*G843,0))</f>
        <v/>
      </c>
      <c r="BN844" s="40">
        <f>BN843*d_rho_recharge+BM844*IF(B844&gt;=in_marketplace_from,d_hz_recharge*G844,0)</f>
        <v/>
      </c>
      <c r="BO844" s="14">
        <f>F844*BN844*in_recharge_ticket*in_recharge_comm/12</f>
        <v/>
      </c>
      <c r="BP844" s="40">
        <f>BP843*(1-IF(B843&gt;=in_marketplace_from,d_hz_bills*G843,0))</f>
        <v/>
      </c>
      <c r="BQ844" s="40">
        <f>BQ843*d_rho_bills+BP844*IF(B844&gt;=in_marketplace_from,d_hz_bills*G844,0)</f>
        <v/>
      </c>
      <c r="BR844" s="14">
        <f>F844*BQ844*in_bills_ticket*in_bills_comm/12</f>
        <v/>
      </c>
      <c r="BS844" s="40">
        <f>BS843*(1-IF(B843&gt;=in_marketplace_from,d_hz_loan_gold*G843,0))</f>
        <v/>
      </c>
      <c r="BT844" s="14">
        <f>F844*BS844*IF(B844&gt;=in_marketplace_from,d_hz_loan_gold*G844,0)*in_loan_gold_ticket*in_loan_gold_comm</f>
        <v/>
      </c>
      <c r="BU844" s="40">
        <f>BU843*(1-IF(B843&gt;=in_marketplace_from,d_hz_loan_cd*G843,0))</f>
        <v/>
      </c>
      <c r="BV844" s="14">
        <f>F844*BU844*IF(B844&gt;=in_marketplace_from,d_hz_loan_cd*G844,0)*in_loan_cd_ticket*in_loan_cd_comm</f>
        <v/>
      </c>
      <c r="BW844" s="40">
        <f>BW843*(1-IF(B843&gt;=in_marketplace_from,d_hz_loan_vehicle*G843,0))</f>
        <v/>
      </c>
      <c r="BX844" s="14">
        <f>F844*BW844*IF(B844&gt;=in_marketplace_from,d_hz_loan_vehicle*G844,0)*in_loan_vehicle_ticket*in_loan_vehicle_comm</f>
        <v/>
      </c>
      <c r="BY844" s="40">
        <f>BY843*(1-IF(B843&gt;=in_marketplace_from,d_hz_loan_home*G843,0)*BZ843)</f>
        <v/>
      </c>
      <c r="BZ844" s="11">
        <f>MIN(in_approval_cap,in_loan_home_approval*INDEX('Age profile'!$O$2:$O$61,B844)*(1+in_approval_growth)^(D844-1))</f>
        <v/>
      </c>
      <c r="CA844" s="14">
        <f>F844*BY844*IF(B844&gt;=in_marketplace_from,d_hz_loan_home*G844,0)*BZ844*in_loan_home_ticket*in_loan_home_comm</f>
        <v/>
      </c>
      <c r="CB844" s="40">
        <f>CB843*(1-IF(B843&gt;=in_marketplace_from,d_hz_loan_lap*G843,0)*CC843)</f>
        <v/>
      </c>
      <c r="CC844" s="11">
        <f>MIN(in_approval_cap,in_loan_lap_approval*INDEX('Age profile'!$O$2:$O$61,B844)*(1+in_approval_growth)^(D844-1))</f>
        <v/>
      </c>
      <c r="CD844" s="14">
        <f>F844*CB844*IF(B844&gt;=in_marketplace_from,d_hz_loan_lap*G844,0)*CC844*in_loan_lap_ticket*in_loan_lap_comm</f>
        <v/>
      </c>
      <c r="CE844" s="14">
        <f>AA844+AB844+AC844+AD844+AG844+AJ844+AM844+AP844+AS844+AU844+AX844+BB844+BE844+BG844+BJ844+BL844+BO844+BR844+BT844+BV844+BX844+CA844+CD844</f>
        <v/>
      </c>
    </row>
    <row r="845">
      <c r="A845" s="39" t="n">
        <v>17</v>
      </c>
      <c r="B845" s="39" t="n">
        <v>4</v>
      </c>
      <c r="C845" s="39">
        <f>A845+B845-1</f>
        <v/>
      </c>
      <c r="D845" s="39">
        <f>INT((C845-1)/12)+1</f>
        <v/>
      </c>
      <c r="E845" s="44">
        <f>INDEX(Monthly!$B$2:$B$61,A845)</f>
        <v/>
      </c>
      <c r="F845" s="44">
        <f>E845*INDEX('Age profile'!$B$2:$B$61,B845)</f>
        <v/>
      </c>
      <c r="G845" s="45">
        <f>MIN(in_takeup_cap,INDEX('Age profile'!$N$2:$N$61,B845)*(1+in_takeup_growth)^(D845-1))</f>
        <v/>
      </c>
      <c r="H845" s="11">
        <f>MIN(in_approval_cap,in_approved_first*INDEX('Age profile'!$O$2:$O$61,B845)*(1+in_approval_growth)^(D845-1))</f>
        <v/>
      </c>
      <c r="I845" s="45">
        <f>G845*MIN(in_takeup_cap,INDEX('Age profile'!$O$2:$O$61,B845)*(1+in_approval_growth)^(D845-1))</f>
        <v/>
      </c>
      <c r="J845" s="40">
        <f>(J844-L844)*F845/F844</f>
        <v/>
      </c>
      <c r="K845" s="40">
        <f>(K844-M844)*F845/F844+SUMIFS(O842:O844,B842:B844,B845-1-d_T)*F845</f>
        <v/>
      </c>
      <c r="L845" s="40">
        <f>IF(B845&gt;=in_marketplace_from,J845*d_hz*G845*in_eligible*H845,0)</f>
        <v/>
      </c>
      <c r="M845" s="40">
        <f>IF(B845&gt;=in_marketplace_from,K845*d_hz*G845*in_eligible*in_approved_repeat,0)</f>
        <v/>
      </c>
      <c r="N845" s="40">
        <f>L845+M845</f>
        <v/>
      </c>
      <c r="O845" s="46">
        <f>N845/F845</f>
        <v/>
      </c>
      <c r="P845" s="40">
        <f>F845-J845-K845</f>
        <v/>
      </c>
      <c r="Q845" s="40">
        <f>IF(B845&gt;=in_marketplace_from,(J845+K845)*d_hz*G845,0)</f>
        <v/>
      </c>
      <c r="R845" s="40">
        <f>SUMIFS(N842:N885,B842:B885,"&gt;="&amp;(B845-d_T),B842:B885,"&lt;="&amp;(B845-1))</f>
        <v/>
      </c>
      <c r="S845" s="46">
        <f>(1-d_u)*S844+IF(d_T&gt;in_topup_lag,SUMIFS(O842:O885,B842:B885,B845-in_topup_lag)-d_udrop*SUMIFS(O842:O885,B842:B885,B845-d_T),0)</f>
        <v/>
      </c>
      <c r="T845" s="40">
        <f>F845*d_u*S845</f>
        <v/>
      </c>
      <c r="U845" s="9">
        <f>L845*in_ticket+M845*d_rep_ticket</f>
        <v/>
      </c>
      <c r="V845" s="9">
        <f>U845+T845*d_topup_amt</f>
        <v/>
      </c>
      <c r="W845" s="40">
        <f>N845+T845*d_topup_ratio</f>
        <v/>
      </c>
      <c r="X845" s="40">
        <f>SUMIFS(W842:W885,B842:B885,B845-in_dpd_lag)*d_cured</f>
        <v/>
      </c>
      <c r="Y845" s="40">
        <f>SUMIFS(W842:W885,B842:B885,B845-in_rec_lag)*d_recd</f>
        <v/>
      </c>
      <c r="Z845" s="40">
        <f>IF(AND(B845&gt;=in_marketplace_from,B845&lt;in_marketplace_from+in_card_months),in_card_share/in_card_months*F845*I845,IF(AND(B845&gt;=in_marketplace_from+in_card_months,B845&lt;in_marketplace_from+2*in_card_months),in_card_share*d_card_rem/in_card_months*F845*MIN(in_takeup_cap,(1+in_takeup_growth)^(D845-1))*MIN(in_takeup_cap,(1+in_approval_growth)^(D845-1)),0))</f>
        <v/>
      </c>
      <c r="AA845" s="14">
        <f>V845*in_fee*(1-in_taken_back)</f>
        <v/>
      </c>
      <c r="AB845" s="14">
        <f>SUMIFS(W842:W885,B842:B885,B845-in_dpd_lag)*d_dpd</f>
        <v/>
      </c>
      <c r="AC845" s="14">
        <f>SUMIFS(W842:W885,B842:B885,B845-in_rec_lag)*d_rec</f>
        <v/>
      </c>
      <c r="AD845" s="14">
        <f>Z845*in_card_fee</f>
        <v/>
      </c>
      <c r="AE845" s="40">
        <f>AE844*(1-IF(B844&gt;=in_marketplace_from,d_hz_hlth_small*G844,0))</f>
        <v/>
      </c>
      <c r="AF845" s="46">
        <f>AE845*IF(B845&gt;=in_marketplace_from,d_hz_hlth_small*G845,0)</f>
        <v/>
      </c>
      <c r="AG845" s="14">
        <f>F845*AF845*in_hlth_small_ticket*in_hlth_small_comm*in_ins_partner_share+F845*in_hlth_small_ticket*in_hlth_small_renew_comm*in_ins_partner_share*(in_hlth_small_renew^1*SUMIFS(AF842:AF885,B842:B885,B845-12)+in_hlth_small_renew^2*SUMIFS(AF842:AF885,B842:B885,B845-24)+in_hlth_small_renew^3*SUMIFS(AF842:AF885,B842:B885,B845-36)+in_hlth_small_renew^4*SUMIFS(AF842:AF885,B842:B885,B845-48))</f>
        <v/>
      </c>
      <c r="AH845" s="40">
        <f>AH844*(1-IF(B844&gt;=in_marketplace_from,d_hz_hlth_family*G844,0))</f>
        <v/>
      </c>
      <c r="AI845" s="46">
        <f>AH845*IF(B845&gt;=in_marketplace_from,d_hz_hlth_family*G845,0)</f>
        <v/>
      </c>
      <c r="AJ845" s="14">
        <f>F845*AI845*in_hlth_family_ticket*in_hlth_family_comm*in_ins_partner_share+F845*in_hlth_family_ticket*in_hlth_family_renew_comm*in_ins_partner_share*(in_hlth_family_renew^1*SUMIFS(AI842:AI885,B842:B885,B845-12)+in_hlth_family_renew^2*SUMIFS(AI842:AI885,B842:B885,B845-24)+in_hlth_family_renew^3*SUMIFS(AI842:AI885,B842:B885,B845-36)+in_hlth_family_renew^4*SUMIFS(AI842:AI885,B842:B885,B845-48))</f>
        <v/>
      </c>
      <c r="AK845" s="40">
        <f>AK844*(1-IF(B844&gt;=in_marketplace_from,d_hz_life_term*G844,0))</f>
        <v/>
      </c>
      <c r="AL845" s="46">
        <f>AK845*IF(B845&gt;=in_marketplace_from,d_hz_life_term*G845,0)</f>
        <v/>
      </c>
      <c r="AM845" s="14">
        <f>F845*AL845*in_life_term_ticket*in_life_term_comm*in_ins_partner_share+F845*in_life_term_ticket*in_life_term_renew_comm*in_ins_partner_share*(in_life_term_renew^1*SUMIFS(AL842:AL885,B842:B885,B845-12)+in_life_term_renew^2*SUMIFS(AL842:AL885,B842:B885,B845-24)+in_life_term_renew^3*SUMIFS(AL842:AL885,B842:B885,B845-36)+in_life_term_renew^4*SUMIFS(AL842:AL885,B842:B885,B845-48))</f>
        <v/>
      </c>
      <c r="AN845" s="40">
        <f>AN844*(1-IF(B844&gt;=in_marketplace_from,d_hz_accident*G844,0))</f>
        <v/>
      </c>
      <c r="AO845" s="46">
        <f>AN845*IF(B845&gt;=in_marketplace_from,d_hz_accident*G845,0)</f>
        <v/>
      </c>
      <c r="AP845" s="14">
        <f>F845*AO845*in_accident_ticket*in_accident_comm*in_ins_partner_share+F845*in_accident_ticket*in_accident_renew_comm*in_ins_partner_share*(in_accident_renew^1*SUMIFS(AO842:AO885,B842:B885,B845-12)+in_accident_renew^2*SUMIFS(AO842:AO885,B842:B885,B845-24)+in_accident_renew^3*SUMIFS(AO842:AO885,B842:B885,B845-36)+in_accident_renew^4*SUMIFS(AO842:AO885,B842:B885,B845-48))</f>
        <v/>
      </c>
      <c r="AQ845" s="40">
        <f>AQ844*(1-IF(B844&gt;=in_marketplace_from,d_hz_two_wheeler*G844,0))</f>
        <v/>
      </c>
      <c r="AR845" s="46">
        <f>AQ845*IF(B845&gt;=in_marketplace_from,d_hz_two_wheeler*G845,0)</f>
        <v/>
      </c>
      <c r="AS845" s="14">
        <f>F845*AR845*in_two_wheeler_ticket*in_two_wheeler_comm*in_ins_partner_share+F845*in_two_wheeler_ticket*in_two_wheeler_comm*in_ins_partner_share*(in_two_wheeler_renew^1*SUMIFS(AR842:AR885,B842:B885,B845-12)+in_two_wheeler_renew^2*SUMIFS(AR842:AR885,B842:B885,B845-24)+in_two_wheeler_renew^3*SUMIFS(AR842:AR885,B842:B885,B845-36)+in_two_wheeler_renew^4*SUMIFS(AR842:AR885,B842:B885,B845-48))</f>
        <v/>
      </c>
      <c r="AT845" s="40">
        <f>AT844*(1-IF(B844&gt;=in_marketplace_from,d_hz_device*G844,0))</f>
        <v/>
      </c>
      <c r="AU845" s="14">
        <f>F845*AT845*IF(B845&gt;=in_marketplace_from,d_hz_device*G845,0)*in_device_ticket*in_device_comm*in_ins_partner_share</f>
        <v/>
      </c>
      <c r="AV845" s="40">
        <f>AV844*(1-IF(B844&gt;=in_marketplace_from,d_hz_shop*G844,0))</f>
        <v/>
      </c>
      <c r="AW845" s="46">
        <f>AV845*IF(B845&gt;=in_marketplace_from,d_hz_shop*G845,0)</f>
        <v/>
      </c>
      <c r="AX845" s="14">
        <f>F845*AW845*in_shop_ticket*in_shop_comm*in_ins_partner_share+F845*in_shop_ticket*in_shop_renew_comm*in_ins_partner_share*(in_shop_renew^1*SUMIFS(AW842:AW885,B842:B885,B845-12)+in_shop_renew^2*SUMIFS(AW842:AW885,B842:B885,B845-24)+in_shop_renew^3*SUMIFS(AW842:AW885,B842:B885,B845-36)+in_shop_renew^4*SUMIFS(AW842:AW885,B842:B885,B845-48))</f>
        <v/>
      </c>
      <c r="AY845" s="40">
        <f>AY844*(1-IF(B844&gt;=in_marketplace_from,d_hz_sip*G844,0))</f>
        <v/>
      </c>
      <c r="AZ845" s="40">
        <f>AZ844*d_rho_sip+AY845*IF(B845&gt;=in_marketplace_from,d_hz_sip*G845,0)</f>
        <v/>
      </c>
      <c r="BA845" s="40">
        <f>d_rho_sip*(BA844+AZ844)</f>
        <v/>
      </c>
      <c r="BB845" s="14">
        <f>F845*in_sip_ticket*(BA845+0.5*AZ845)*in_sip_comm/12</f>
        <v/>
      </c>
      <c r="BC845" s="40">
        <f>BC844*(1-IF(B844&gt;=in_marketplace_from,d_hz_choti*G844,0))</f>
        <v/>
      </c>
      <c r="BD845" s="46">
        <f>BC845*IF(B845&gt;=in_marketplace_from,d_hz_choti*G845,0)</f>
        <v/>
      </c>
      <c r="BE845" s="14">
        <f>F845*SUMIFS(BD842:BD885,B842:B885,B845-in_choti_months)*in_choti_renew*in_choti_ticket</f>
        <v/>
      </c>
      <c r="BF845" s="40">
        <f>BF844*(1-IF(B844&gt;=in_marketplace_from,d_hz_nps*G844,0))</f>
        <v/>
      </c>
      <c r="BG845" s="14">
        <f>F845*BF845*IF(B845&gt;=in_marketplace_from,d_hz_nps*G845,0)*in_nps_ticket*in_nps_comm</f>
        <v/>
      </c>
      <c r="BH845" s="40">
        <f>BH844*(1-IF(B844&gt;=in_marketplace_from,d_hz_gold*G844,0))</f>
        <v/>
      </c>
      <c r="BI845" s="40">
        <f>BI844*d_rho_gold+BH845*IF(B845&gt;=in_marketplace_from,d_hz_gold*G845,0)</f>
        <v/>
      </c>
      <c r="BJ845" s="14">
        <f>F845*BI845*in_gold_ticket*in_gold_comm</f>
        <v/>
      </c>
      <c r="BK845" s="40">
        <f>BK844*(1-IF(B844&gt;=in_marketplace_from,d_hz_fd*G844,0))</f>
        <v/>
      </c>
      <c r="BL845" s="14">
        <f>F845*BK845*IF(B845&gt;=in_marketplace_from,d_hz_fd*G845,0)*in_fd_ticket*in_fd_comm</f>
        <v/>
      </c>
      <c r="BM845" s="40">
        <f>BM844*(1-IF(B844&gt;=in_marketplace_from,d_hz_recharge*G844,0))</f>
        <v/>
      </c>
      <c r="BN845" s="40">
        <f>BN844*d_rho_recharge+BM845*IF(B845&gt;=in_marketplace_from,d_hz_recharge*G845,0)</f>
        <v/>
      </c>
      <c r="BO845" s="14">
        <f>F845*BN845*in_recharge_ticket*in_recharge_comm/12</f>
        <v/>
      </c>
      <c r="BP845" s="40">
        <f>BP844*(1-IF(B844&gt;=in_marketplace_from,d_hz_bills*G844,0))</f>
        <v/>
      </c>
      <c r="BQ845" s="40">
        <f>BQ844*d_rho_bills+BP845*IF(B845&gt;=in_marketplace_from,d_hz_bills*G845,0)</f>
        <v/>
      </c>
      <c r="BR845" s="14">
        <f>F845*BQ845*in_bills_ticket*in_bills_comm/12</f>
        <v/>
      </c>
      <c r="BS845" s="40">
        <f>BS844*(1-IF(B844&gt;=in_marketplace_from,d_hz_loan_gold*G844,0))</f>
        <v/>
      </c>
      <c r="BT845" s="14">
        <f>F845*BS845*IF(B845&gt;=in_marketplace_from,d_hz_loan_gold*G845,0)*in_loan_gold_ticket*in_loan_gold_comm</f>
        <v/>
      </c>
      <c r="BU845" s="40">
        <f>BU844*(1-IF(B844&gt;=in_marketplace_from,d_hz_loan_cd*G844,0))</f>
        <v/>
      </c>
      <c r="BV845" s="14">
        <f>F845*BU845*IF(B845&gt;=in_marketplace_from,d_hz_loan_cd*G845,0)*in_loan_cd_ticket*in_loan_cd_comm</f>
        <v/>
      </c>
      <c r="BW845" s="40">
        <f>BW844*(1-IF(B844&gt;=in_marketplace_from,d_hz_loan_vehicle*G844,0))</f>
        <v/>
      </c>
      <c r="BX845" s="14">
        <f>F845*BW845*IF(B845&gt;=in_marketplace_from,d_hz_loan_vehicle*G845,0)*in_loan_vehicle_ticket*in_loan_vehicle_comm</f>
        <v/>
      </c>
      <c r="BY845" s="40">
        <f>BY844*(1-IF(B844&gt;=in_marketplace_from,d_hz_loan_home*G844,0)*BZ844)</f>
        <v/>
      </c>
      <c r="BZ845" s="11">
        <f>MIN(in_approval_cap,in_loan_home_approval*INDEX('Age profile'!$O$2:$O$61,B845)*(1+in_approval_growth)^(D845-1))</f>
        <v/>
      </c>
      <c r="CA845" s="14">
        <f>F845*BY845*IF(B845&gt;=in_marketplace_from,d_hz_loan_home*G845,0)*BZ845*in_loan_home_ticket*in_loan_home_comm</f>
        <v/>
      </c>
      <c r="CB845" s="40">
        <f>CB844*(1-IF(B844&gt;=in_marketplace_from,d_hz_loan_lap*G844,0)*CC844)</f>
        <v/>
      </c>
      <c r="CC845" s="11">
        <f>MIN(in_approval_cap,in_loan_lap_approval*INDEX('Age profile'!$O$2:$O$61,B845)*(1+in_approval_growth)^(D845-1))</f>
        <v/>
      </c>
      <c r="CD845" s="14">
        <f>F845*CB845*IF(B845&gt;=in_marketplace_from,d_hz_loan_lap*G845,0)*CC845*in_loan_lap_ticket*in_loan_lap_comm</f>
        <v/>
      </c>
      <c r="CE845" s="14">
        <f>AA845+AB845+AC845+AD845+AG845+AJ845+AM845+AP845+AS845+AU845+AX845+BB845+BE845+BG845+BJ845+BL845+BO845+BR845+BT845+BV845+BX845+CA845+CD845</f>
        <v/>
      </c>
    </row>
    <row r="846">
      <c r="A846" s="39" t="n">
        <v>17</v>
      </c>
      <c r="B846" s="39" t="n">
        <v>5</v>
      </c>
      <c r="C846" s="39">
        <f>A846+B846-1</f>
        <v/>
      </c>
      <c r="D846" s="39">
        <f>INT((C846-1)/12)+1</f>
        <v/>
      </c>
      <c r="E846" s="44">
        <f>INDEX(Monthly!$B$2:$B$61,A846)</f>
        <v/>
      </c>
      <c r="F846" s="44">
        <f>E846*INDEX('Age profile'!$B$2:$B$61,B846)</f>
        <v/>
      </c>
      <c r="G846" s="45">
        <f>MIN(in_takeup_cap,INDEX('Age profile'!$N$2:$N$61,B846)*(1+in_takeup_growth)^(D846-1))</f>
        <v/>
      </c>
      <c r="H846" s="11">
        <f>MIN(in_approval_cap,in_approved_first*INDEX('Age profile'!$O$2:$O$61,B846)*(1+in_approval_growth)^(D846-1))</f>
        <v/>
      </c>
      <c r="I846" s="45">
        <f>G846*MIN(in_takeup_cap,INDEX('Age profile'!$O$2:$O$61,B846)*(1+in_approval_growth)^(D846-1))</f>
        <v/>
      </c>
      <c r="J846" s="40">
        <f>(J845-L845)*F846/F845</f>
        <v/>
      </c>
      <c r="K846" s="40">
        <f>(K845-M845)*F846/F845+SUMIFS(O842:O845,B842:B845,B846-1-d_T)*F846</f>
        <v/>
      </c>
      <c r="L846" s="40">
        <f>IF(B846&gt;=in_marketplace_from,J846*d_hz*G846*in_eligible*H846,0)</f>
        <v/>
      </c>
      <c r="M846" s="40">
        <f>IF(B846&gt;=in_marketplace_from,K846*d_hz*G846*in_eligible*in_approved_repeat,0)</f>
        <v/>
      </c>
      <c r="N846" s="40">
        <f>L846+M846</f>
        <v/>
      </c>
      <c r="O846" s="46">
        <f>N846/F846</f>
        <v/>
      </c>
      <c r="P846" s="40">
        <f>F846-J846-K846</f>
        <v/>
      </c>
      <c r="Q846" s="40">
        <f>IF(B846&gt;=in_marketplace_from,(J846+K846)*d_hz*G846,0)</f>
        <v/>
      </c>
      <c r="R846" s="40">
        <f>SUMIFS(N842:N885,B842:B885,"&gt;="&amp;(B846-d_T),B842:B885,"&lt;="&amp;(B846-1))</f>
        <v/>
      </c>
      <c r="S846" s="46">
        <f>(1-d_u)*S845+IF(d_T&gt;in_topup_lag,SUMIFS(O842:O885,B842:B885,B846-in_topup_lag)-d_udrop*SUMIFS(O842:O885,B842:B885,B846-d_T),0)</f>
        <v/>
      </c>
      <c r="T846" s="40">
        <f>F846*d_u*S846</f>
        <v/>
      </c>
      <c r="U846" s="9">
        <f>L846*in_ticket+M846*d_rep_ticket</f>
        <v/>
      </c>
      <c r="V846" s="9">
        <f>U846+T846*d_topup_amt</f>
        <v/>
      </c>
      <c r="W846" s="40">
        <f>N846+T846*d_topup_ratio</f>
        <v/>
      </c>
      <c r="X846" s="40">
        <f>SUMIFS(W842:W885,B842:B885,B846-in_dpd_lag)*d_cured</f>
        <v/>
      </c>
      <c r="Y846" s="40">
        <f>SUMIFS(W842:W885,B842:B885,B846-in_rec_lag)*d_recd</f>
        <v/>
      </c>
      <c r="Z846" s="40">
        <f>IF(AND(B846&gt;=in_marketplace_from,B846&lt;in_marketplace_from+in_card_months),in_card_share/in_card_months*F846*I846,IF(AND(B846&gt;=in_marketplace_from+in_card_months,B846&lt;in_marketplace_from+2*in_card_months),in_card_share*d_card_rem/in_card_months*F846*MIN(in_takeup_cap,(1+in_takeup_growth)^(D846-1))*MIN(in_takeup_cap,(1+in_approval_growth)^(D846-1)),0))</f>
        <v/>
      </c>
      <c r="AA846" s="14">
        <f>V846*in_fee*(1-in_taken_back)</f>
        <v/>
      </c>
      <c r="AB846" s="14">
        <f>SUMIFS(W842:W885,B842:B885,B846-in_dpd_lag)*d_dpd</f>
        <v/>
      </c>
      <c r="AC846" s="14">
        <f>SUMIFS(W842:W885,B842:B885,B846-in_rec_lag)*d_rec</f>
        <v/>
      </c>
      <c r="AD846" s="14">
        <f>Z846*in_card_fee</f>
        <v/>
      </c>
      <c r="AE846" s="40">
        <f>AE845*(1-IF(B845&gt;=in_marketplace_from,d_hz_hlth_small*G845,0))</f>
        <v/>
      </c>
      <c r="AF846" s="46">
        <f>AE846*IF(B846&gt;=in_marketplace_from,d_hz_hlth_small*G846,0)</f>
        <v/>
      </c>
      <c r="AG846" s="14">
        <f>F846*AF846*in_hlth_small_ticket*in_hlth_small_comm*in_ins_partner_share+F846*in_hlth_small_ticket*in_hlth_small_renew_comm*in_ins_partner_share*(in_hlth_small_renew^1*SUMIFS(AF842:AF885,B842:B885,B846-12)+in_hlth_small_renew^2*SUMIFS(AF842:AF885,B842:B885,B846-24)+in_hlth_small_renew^3*SUMIFS(AF842:AF885,B842:B885,B846-36)+in_hlth_small_renew^4*SUMIFS(AF842:AF885,B842:B885,B846-48))</f>
        <v/>
      </c>
      <c r="AH846" s="40">
        <f>AH845*(1-IF(B845&gt;=in_marketplace_from,d_hz_hlth_family*G845,0))</f>
        <v/>
      </c>
      <c r="AI846" s="46">
        <f>AH846*IF(B846&gt;=in_marketplace_from,d_hz_hlth_family*G846,0)</f>
        <v/>
      </c>
      <c r="AJ846" s="14">
        <f>F846*AI846*in_hlth_family_ticket*in_hlth_family_comm*in_ins_partner_share+F846*in_hlth_family_ticket*in_hlth_family_renew_comm*in_ins_partner_share*(in_hlth_family_renew^1*SUMIFS(AI842:AI885,B842:B885,B846-12)+in_hlth_family_renew^2*SUMIFS(AI842:AI885,B842:B885,B846-24)+in_hlth_family_renew^3*SUMIFS(AI842:AI885,B842:B885,B846-36)+in_hlth_family_renew^4*SUMIFS(AI842:AI885,B842:B885,B846-48))</f>
        <v/>
      </c>
      <c r="AK846" s="40">
        <f>AK845*(1-IF(B845&gt;=in_marketplace_from,d_hz_life_term*G845,0))</f>
        <v/>
      </c>
      <c r="AL846" s="46">
        <f>AK846*IF(B846&gt;=in_marketplace_from,d_hz_life_term*G846,0)</f>
        <v/>
      </c>
      <c r="AM846" s="14">
        <f>F846*AL846*in_life_term_ticket*in_life_term_comm*in_ins_partner_share+F846*in_life_term_ticket*in_life_term_renew_comm*in_ins_partner_share*(in_life_term_renew^1*SUMIFS(AL842:AL885,B842:B885,B846-12)+in_life_term_renew^2*SUMIFS(AL842:AL885,B842:B885,B846-24)+in_life_term_renew^3*SUMIFS(AL842:AL885,B842:B885,B846-36)+in_life_term_renew^4*SUMIFS(AL842:AL885,B842:B885,B846-48))</f>
        <v/>
      </c>
      <c r="AN846" s="40">
        <f>AN845*(1-IF(B845&gt;=in_marketplace_from,d_hz_accident*G845,0))</f>
        <v/>
      </c>
      <c r="AO846" s="46">
        <f>AN846*IF(B846&gt;=in_marketplace_from,d_hz_accident*G846,0)</f>
        <v/>
      </c>
      <c r="AP846" s="14">
        <f>F846*AO846*in_accident_ticket*in_accident_comm*in_ins_partner_share+F846*in_accident_ticket*in_accident_renew_comm*in_ins_partner_share*(in_accident_renew^1*SUMIFS(AO842:AO885,B842:B885,B846-12)+in_accident_renew^2*SUMIFS(AO842:AO885,B842:B885,B846-24)+in_accident_renew^3*SUMIFS(AO842:AO885,B842:B885,B846-36)+in_accident_renew^4*SUMIFS(AO842:AO885,B842:B885,B846-48))</f>
        <v/>
      </c>
      <c r="AQ846" s="40">
        <f>AQ845*(1-IF(B845&gt;=in_marketplace_from,d_hz_two_wheeler*G845,0))</f>
        <v/>
      </c>
      <c r="AR846" s="46">
        <f>AQ846*IF(B846&gt;=in_marketplace_from,d_hz_two_wheeler*G846,0)</f>
        <v/>
      </c>
      <c r="AS846" s="14">
        <f>F846*AR846*in_two_wheeler_ticket*in_two_wheeler_comm*in_ins_partner_share+F846*in_two_wheeler_ticket*in_two_wheeler_comm*in_ins_partner_share*(in_two_wheeler_renew^1*SUMIFS(AR842:AR885,B842:B885,B846-12)+in_two_wheeler_renew^2*SUMIFS(AR842:AR885,B842:B885,B846-24)+in_two_wheeler_renew^3*SUMIFS(AR842:AR885,B842:B885,B846-36)+in_two_wheeler_renew^4*SUMIFS(AR842:AR885,B842:B885,B846-48))</f>
        <v/>
      </c>
      <c r="AT846" s="40">
        <f>AT845*(1-IF(B845&gt;=in_marketplace_from,d_hz_device*G845,0))</f>
        <v/>
      </c>
      <c r="AU846" s="14">
        <f>F846*AT846*IF(B846&gt;=in_marketplace_from,d_hz_device*G846,0)*in_device_ticket*in_device_comm*in_ins_partner_share</f>
        <v/>
      </c>
      <c r="AV846" s="40">
        <f>AV845*(1-IF(B845&gt;=in_marketplace_from,d_hz_shop*G845,0))</f>
        <v/>
      </c>
      <c r="AW846" s="46">
        <f>AV846*IF(B846&gt;=in_marketplace_from,d_hz_shop*G846,0)</f>
        <v/>
      </c>
      <c r="AX846" s="14">
        <f>F846*AW846*in_shop_ticket*in_shop_comm*in_ins_partner_share+F846*in_shop_ticket*in_shop_renew_comm*in_ins_partner_share*(in_shop_renew^1*SUMIFS(AW842:AW885,B842:B885,B846-12)+in_shop_renew^2*SUMIFS(AW842:AW885,B842:B885,B846-24)+in_shop_renew^3*SUMIFS(AW842:AW885,B842:B885,B846-36)+in_shop_renew^4*SUMIFS(AW842:AW885,B842:B885,B846-48))</f>
        <v/>
      </c>
      <c r="AY846" s="40">
        <f>AY845*(1-IF(B845&gt;=in_marketplace_from,d_hz_sip*G845,0))</f>
        <v/>
      </c>
      <c r="AZ846" s="40">
        <f>AZ845*d_rho_sip+AY846*IF(B846&gt;=in_marketplace_from,d_hz_sip*G846,0)</f>
        <v/>
      </c>
      <c r="BA846" s="40">
        <f>d_rho_sip*(BA845+AZ845)</f>
        <v/>
      </c>
      <c r="BB846" s="14">
        <f>F846*in_sip_ticket*(BA846+0.5*AZ846)*in_sip_comm/12</f>
        <v/>
      </c>
      <c r="BC846" s="40">
        <f>BC845*(1-IF(B845&gt;=in_marketplace_from,d_hz_choti*G845,0))</f>
        <v/>
      </c>
      <c r="BD846" s="46">
        <f>BC846*IF(B846&gt;=in_marketplace_from,d_hz_choti*G846,0)</f>
        <v/>
      </c>
      <c r="BE846" s="14">
        <f>F846*SUMIFS(BD842:BD885,B842:B885,B846-in_choti_months)*in_choti_renew*in_choti_ticket</f>
        <v/>
      </c>
      <c r="BF846" s="40">
        <f>BF845*(1-IF(B845&gt;=in_marketplace_from,d_hz_nps*G845,0))</f>
        <v/>
      </c>
      <c r="BG846" s="14">
        <f>F846*BF846*IF(B846&gt;=in_marketplace_from,d_hz_nps*G846,0)*in_nps_ticket*in_nps_comm</f>
        <v/>
      </c>
      <c r="BH846" s="40">
        <f>BH845*(1-IF(B845&gt;=in_marketplace_from,d_hz_gold*G845,0))</f>
        <v/>
      </c>
      <c r="BI846" s="40">
        <f>BI845*d_rho_gold+BH846*IF(B846&gt;=in_marketplace_from,d_hz_gold*G846,0)</f>
        <v/>
      </c>
      <c r="BJ846" s="14">
        <f>F846*BI846*in_gold_ticket*in_gold_comm</f>
        <v/>
      </c>
      <c r="BK846" s="40">
        <f>BK845*(1-IF(B845&gt;=in_marketplace_from,d_hz_fd*G845,0))</f>
        <v/>
      </c>
      <c r="BL846" s="14">
        <f>F846*BK846*IF(B846&gt;=in_marketplace_from,d_hz_fd*G846,0)*in_fd_ticket*in_fd_comm</f>
        <v/>
      </c>
      <c r="BM846" s="40">
        <f>BM845*(1-IF(B845&gt;=in_marketplace_from,d_hz_recharge*G845,0))</f>
        <v/>
      </c>
      <c r="BN846" s="40">
        <f>BN845*d_rho_recharge+BM846*IF(B846&gt;=in_marketplace_from,d_hz_recharge*G846,0)</f>
        <v/>
      </c>
      <c r="BO846" s="14">
        <f>F846*BN846*in_recharge_ticket*in_recharge_comm/12</f>
        <v/>
      </c>
      <c r="BP846" s="40">
        <f>BP845*(1-IF(B845&gt;=in_marketplace_from,d_hz_bills*G845,0))</f>
        <v/>
      </c>
      <c r="BQ846" s="40">
        <f>BQ845*d_rho_bills+BP846*IF(B846&gt;=in_marketplace_from,d_hz_bills*G846,0)</f>
        <v/>
      </c>
      <c r="BR846" s="14">
        <f>F846*BQ846*in_bills_ticket*in_bills_comm/12</f>
        <v/>
      </c>
      <c r="BS846" s="40">
        <f>BS845*(1-IF(B845&gt;=in_marketplace_from,d_hz_loan_gold*G845,0))</f>
        <v/>
      </c>
      <c r="BT846" s="14">
        <f>F846*BS846*IF(B846&gt;=in_marketplace_from,d_hz_loan_gold*G846,0)*in_loan_gold_ticket*in_loan_gold_comm</f>
        <v/>
      </c>
      <c r="BU846" s="40">
        <f>BU845*(1-IF(B845&gt;=in_marketplace_from,d_hz_loan_cd*G845,0))</f>
        <v/>
      </c>
      <c r="BV846" s="14">
        <f>F846*BU846*IF(B846&gt;=in_marketplace_from,d_hz_loan_cd*G846,0)*in_loan_cd_ticket*in_loan_cd_comm</f>
        <v/>
      </c>
      <c r="BW846" s="40">
        <f>BW845*(1-IF(B845&gt;=in_marketplace_from,d_hz_loan_vehicle*G845,0))</f>
        <v/>
      </c>
      <c r="BX846" s="14">
        <f>F846*BW846*IF(B846&gt;=in_marketplace_from,d_hz_loan_vehicle*G846,0)*in_loan_vehicle_ticket*in_loan_vehicle_comm</f>
        <v/>
      </c>
      <c r="BY846" s="40">
        <f>BY845*(1-IF(B845&gt;=in_marketplace_from,d_hz_loan_home*G845,0)*BZ845)</f>
        <v/>
      </c>
      <c r="BZ846" s="11">
        <f>MIN(in_approval_cap,in_loan_home_approval*INDEX('Age profile'!$O$2:$O$61,B846)*(1+in_approval_growth)^(D846-1))</f>
        <v/>
      </c>
      <c r="CA846" s="14">
        <f>F846*BY846*IF(B846&gt;=in_marketplace_from,d_hz_loan_home*G846,0)*BZ846*in_loan_home_ticket*in_loan_home_comm</f>
        <v/>
      </c>
      <c r="CB846" s="40">
        <f>CB845*(1-IF(B845&gt;=in_marketplace_from,d_hz_loan_lap*G845,0)*CC845)</f>
        <v/>
      </c>
      <c r="CC846" s="11">
        <f>MIN(in_approval_cap,in_loan_lap_approval*INDEX('Age profile'!$O$2:$O$61,B846)*(1+in_approval_growth)^(D846-1))</f>
        <v/>
      </c>
      <c r="CD846" s="14">
        <f>F846*CB846*IF(B846&gt;=in_marketplace_from,d_hz_loan_lap*G846,0)*CC846*in_loan_lap_ticket*in_loan_lap_comm</f>
        <v/>
      </c>
      <c r="CE846" s="14">
        <f>AA846+AB846+AC846+AD846+AG846+AJ846+AM846+AP846+AS846+AU846+AX846+BB846+BE846+BG846+BJ846+BL846+BO846+BR846+BT846+BV846+BX846+CA846+CD846</f>
        <v/>
      </c>
    </row>
    <row r="847">
      <c r="A847" s="39" t="n">
        <v>17</v>
      </c>
      <c r="B847" s="39" t="n">
        <v>6</v>
      </c>
      <c r="C847" s="39">
        <f>A847+B847-1</f>
        <v/>
      </c>
      <c r="D847" s="39">
        <f>INT((C847-1)/12)+1</f>
        <v/>
      </c>
      <c r="E847" s="44">
        <f>INDEX(Monthly!$B$2:$B$61,A847)</f>
        <v/>
      </c>
      <c r="F847" s="44">
        <f>E847*INDEX('Age profile'!$B$2:$B$61,B847)</f>
        <v/>
      </c>
      <c r="G847" s="45">
        <f>MIN(in_takeup_cap,INDEX('Age profile'!$N$2:$N$61,B847)*(1+in_takeup_growth)^(D847-1))</f>
        <v/>
      </c>
      <c r="H847" s="11">
        <f>MIN(in_approval_cap,in_approved_first*INDEX('Age profile'!$O$2:$O$61,B847)*(1+in_approval_growth)^(D847-1))</f>
        <v/>
      </c>
      <c r="I847" s="45">
        <f>G847*MIN(in_takeup_cap,INDEX('Age profile'!$O$2:$O$61,B847)*(1+in_approval_growth)^(D847-1))</f>
        <v/>
      </c>
      <c r="J847" s="40">
        <f>(J846-L846)*F847/F846</f>
        <v/>
      </c>
      <c r="K847" s="40">
        <f>(K846-M846)*F847/F846+SUMIFS(O842:O846,B842:B846,B847-1-d_T)*F847</f>
        <v/>
      </c>
      <c r="L847" s="40">
        <f>IF(B847&gt;=in_marketplace_from,J847*d_hz*G847*in_eligible*H847,0)</f>
        <v/>
      </c>
      <c r="M847" s="40">
        <f>IF(B847&gt;=in_marketplace_from,K847*d_hz*G847*in_eligible*in_approved_repeat,0)</f>
        <v/>
      </c>
      <c r="N847" s="40">
        <f>L847+M847</f>
        <v/>
      </c>
      <c r="O847" s="46">
        <f>N847/F847</f>
        <v/>
      </c>
      <c r="P847" s="40">
        <f>F847-J847-K847</f>
        <v/>
      </c>
      <c r="Q847" s="40">
        <f>IF(B847&gt;=in_marketplace_from,(J847+K847)*d_hz*G847,0)</f>
        <v/>
      </c>
      <c r="R847" s="40">
        <f>SUMIFS(N842:N885,B842:B885,"&gt;="&amp;(B847-d_T),B842:B885,"&lt;="&amp;(B847-1))</f>
        <v/>
      </c>
      <c r="S847" s="46">
        <f>(1-d_u)*S846+IF(d_T&gt;in_topup_lag,SUMIFS(O842:O885,B842:B885,B847-in_topup_lag)-d_udrop*SUMIFS(O842:O885,B842:B885,B847-d_T),0)</f>
        <v/>
      </c>
      <c r="T847" s="40">
        <f>F847*d_u*S847</f>
        <v/>
      </c>
      <c r="U847" s="9">
        <f>L847*in_ticket+M847*d_rep_ticket</f>
        <v/>
      </c>
      <c r="V847" s="9">
        <f>U847+T847*d_topup_amt</f>
        <v/>
      </c>
      <c r="W847" s="40">
        <f>N847+T847*d_topup_ratio</f>
        <v/>
      </c>
      <c r="X847" s="40">
        <f>SUMIFS(W842:W885,B842:B885,B847-in_dpd_lag)*d_cured</f>
        <v/>
      </c>
      <c r="Y847" s="40">
        <f>SUMIFS(W842:W885,B842:B885,B847-in_rec_lag)*d_recd</f>
        <v/>
      </c>
      <c r="Z847" s="40">
        <f>IF(AND(B847&gt;=in_marketplace_from,B847&lt;in_marketplace_from+in_card_months),in_card_share/in_card_months*F847*I847,IF(AND(B847&gt;=in_marketplace_from+in_card_months,B847&lt;in_marketplace_from+2*in_card_months),in_card_share*d_card_rem/in_card_months*F847*MIN(in_takeup_cap,(1+in_takeup_growth)^(D847-1))*MIN(in_takeup_cap,(1+in_approval_growth)^(D847-1)),0))</f>
        <v/>
      </c>
      <c r="AA847" s="14">
        <f>V847*in_fee*(1-in_taken_back)</f>
        <v/>
      </c>
      <c r="AB847" s="14">
        <f>SUMIFS(W842:W885,B842:B885,B847-in_dpd_lag)*d_dpd</f>
        <v/>
      </c>
      <c r="AC847" s="14">
        <f>SUMIFS(W842:W885,B842:B885,B847-in_rec_lag)*d_rec</f>
        <v/>
      </c>
      <c r="AD847" s="14">
        <f>Z847*in_card_fee</f>
        <v/>
      </c>
      <c r="AE847" s="40">
        <f>AE846*(1-IF(B846&gt;=in_marketplace_from,d_hz_hlth_small*G846,0))</f>
        <v/>
      </c>
      <c r="AF847" s="46">
        <f>AE847*IF(B847&gt;=in_marketplace_from,d_hz_hlth_small*G847,0)</f>
        <v/>
      </c>
      <c r="AG847" s="14">
        <f>F847*AF847*in_hlth_small_ticket*in_hlth_small_comm*in_ins_partner_share+F847*in_hlth_small_ticket*in_hlth_small_renew_comm*in_ins_partner_share*(in_hlth_small_renew^1*SUMIFS(AF842:AF885,B842:B885,B847-12)+in_hlth_small_renew^2*SUMIFS(AF842:AF885,B842:B885,B847-24)+in_hlth_small_renew^3*SUMIFS(AF842:AF885,B842:B885,B847-36)+in_hlth_small_renew^4*SUMIFS(AF842:AF885,B842:B885,B847-48))</f>
        <v/>
      </c>
      <c r="AH847" s="40">
        <f>AH846*(1-IF(B846&gt;=in_marketplace_from,d_hz_hlth_family*G846,0))</f>
        <v/>
      </c>
      <c r="AI847" s="46">
        <f>AH847*IF(B847&gt;=in_marketplace_from,d_hz_hlth_family*G847,0)</f>
        <v/>
      </c>
      <c r="AJ847" s="14">
        <f>F847*AI847*in_hlth_family_ticket*in_hlth_family_comm*in_ins_partner_share+F847*in_hlth_family_ticket*in_hlth_family_renew_comm*in_ins_partner_share*(in_hlth_family_renew^1*SUMIFS(AI842:AI885,B842:B885,B847-12)+in_hlth_family_renew^2*SUMIFS(AI842:AI885,B842:B885,B847-24)+in_hlth_family_renew^3*SUMIFS(AI842:AI885,B842:B885,B847-36)+in_hlth_family_renew^4*SUMIFS(AI842:AI885,B842:B885,B847-48))</f>
        <v/>
      </c>
      <c r="AK847" s="40">
        <f>AK846*(1-IF(B846&gt;=in_marketplace_from,d_hz_life_term*G846,0))</f>
        <v/>
      </c>
      <c r="AL847" s="46">
        <f>AK847*IF(B847&gt;=in_marketplace_from,d_hz_life_term*G847,0)</f>
        <v/>
      </c>
      <c r="AM847" s="14">
        <f>F847*AL847*in_life_term_ticket*in_life_term_comm*in_ins_partner_share+F847*in_life_term_ticket*in_life_term_renew_comm*in_ins_partner_share*(in_life_term_renew^1*SUMIFS(AL842:AL885,B842:B885,B847-12)+in_life_term_renew^2*SUMIFS(AL842:AL885,B842:B885,B847-24)+in_life_term_renew^3*SUMIFS(AL842:AL885,B842:B885,B847-36)+in_life_term_renew^4*SUMIFS(AL842:AL885,B842:B885,B847-48))</f>
        <v/>
      </c>
      <c r="AN847" s="40">
        <f>AN846*(1-IF(B846&gt;=in_marketplace_from,d_hz_accident*G846,0))</f>
        <v/>
      </c>
      <c r="AO847" s="46">
        <f>AN847*IF(B847&gt;=in_marketplace_from,d_hz_accident*G847,0)</f>
        <v/>
      </c>
      <c r="AP847" s="14">
        <f>F847*AO847*in_accident_ticket*in_accident_comm*in_ins_partner_share+F847*in_accident_ticket*in_accident_renew_comm*in_ins_partner_share*(in_accident_renew^1*SUMIFS(AO842:AO885,B842:B885,B847-12)+in_accident_renew^2*SUMIFS(AO842:AO885,B842:B885,B847-24)+in_accident_renew^3*SUMIFS(AO842:AO885,B842:B885,B847-36)+in_accident_renew^4*SUMIFS(AO842:AO885,B842:B885,B847-48))</f>
        <v/>
      </c>
      <c r="AQ847" s="40">
        <f>AQ846*(1-IF(B846&gt;=in_marketplace_from,d_hz_two_wheeler*G846,0))</f>
        <v/>
      </c>
      <c r="AR847" s="46">
        <f>AQ847*IF(B847&gt;=in_marketplace_from,d_hz_two_wheeler*G847,0)</f>
        <v/>
      </c>
      <c r="AS847" s="14">
        <f>F847*AR847*in_two_wheeler_ticket*in_two_wheeler_comm*in_ins_partner_share+F847*in_two_wheeler_ticket*in_two_wheeler_comm*in_ins_partner_share*(in_two_wheeler_renew^1*SUMIFS(AR842:AR885,B842:B885,B847-12)+in_two_wheeler_renew^2*SUMIFS(AR842:AR885,B842:B885,B847-24)+in_two_wheeler_renew^3*SUMIFS(AR842:AR885,B842:B885,B847-36)+in_two_wheeler_renew^4*SUMIFS(AR842:AR885,B842:B885,B847-48))</f>
        <v/>
      </c>
      <c r="AT847" s="40">
        <f>AT846*(1-IF(B846&gt;=in_marketplace_from,d_hz_device*G846,0))</f>
        <v/>
      </c>
      <c r="AU847" s="14">
        <f>F847*AT847*IF(B847&gt;=in_marketplace_from,d_hz_device*G847,0)*in_device_ticket*in_device_comm*in_ins_partner_share</f>
        <v/>
      </c>
      <c r="AV847" s="40">
        <f>AV846*(1-IF(B846&gt;=in_marketplace_from,d_hz_shop*G846,0))</f>
        <v/>
      </c>
      <c r="AW847" s="46">
        <f>AV847*IF(B847&gt;=in_marketplace_from,d_hz_shop*G847,0)</f>
        <v/>
      </c>
      <c r="AX847" s="14">
        <f>F847*AW847*in_shop_ticket*in_shop_comm*in_ins_partner_share+F847*in_shop_ticket*in_shop_renew_comm*in_ins_partner_share*(in_shop_renew^1*SUMIFS(AW842:AW885,B842:B885,B847-12)+in_shop_renew^2*SUMIFS(AW842:AW885,B842:B885,B847-24)+in_shop_renew^3*SUMIFS(AW842:AW885,B842:B885,B847-36)+in_shop_renew^4*SUMIFS(AW842:AW885,B842:B885,B847-48))</f>
        <v/>
      </c>
      <c r="AY847" s="40">
        <f>AY846*(1-IF(B846&gt;=in_marketplace_from,d_hz_sip*G846,0))</f>
        <v/>
      </c>
      <c r="AZ847" s="40">
        <f>AZ846*d_rho_sip+AY847*IF(B847&gt;=in_marketplace_from,d_hz_sip*G847,0)</f>
        <v/>
      </c>
      <c r="BA847" s="40">
        <f>d_rho_sip*(BA846+AZ846)</f>
        <v/>
      </c>
      <c r="BB847" s="14">
        <f>F847*in_sip_ticket*(BA847+0.5*AZ847)*in_sip_comm/12</f>
        <v/>
      </c>
      <c r="BC847" s="40">
        <f>BC846*(1-IF(B846&gt;=in_marketplace_from,d_hz_choti*G846,0))</f>
        <v/>
      </c>
      <c r="BD847" s="46">
        <f>BC847*IF(B847&gt;=in_marketplace_from,d_hz_choti*G847,0)</f>
        <v/>
      </c>
      <c r="BE847" s="14">
        <f>F847*SUMIFS(BD842:BD885,B842:B885,B847-in_choti_months)*in_choti_renew*in_choti_ticket</f>
        <v/>
      </c>
      <c r="BF847" s="40">
        <f>BF846*(1-IF(B846&gt;=in_marketplace_from,d_hz_nps*G846,0))</f>
        <v/>
      </c>
      <c r="BG847" s="14">
        <f>F847*BF847*IF(B847&gt;=in_marketplace_from,d_hz_nps*G847,0)*in_nps_ticket*in_nps_comm</f>
        <v/>
      </c>
      <c r="BH847" s="40">
        <f>BH846*(1-IF(B846&gt;=in_marketplace_from,d_hz_gold*G846,0))</f>
        <v/>
      </c>
      <c r="BI847" s="40">
        <f>BI846*d_rho_gold+BH847*IF(B847&gt;=in_marketplace_from,d_hz_gold*G847,0)</f>
        <v/>
      </c>
      <c r="BJ847" s="14">
        <f>F847*BI847*in_gold_ticket*in_gold_comm</f>
        <v/>
      </c>
      <c r="BK847" s="40">
        <f>BK846*(1-IF(B846&gt;=in_marketplace_from,d_hz_fd*G846,0))</f>
        <v/>
      </c>
      <c r="BL847" s="14">
        <f>F847*BK847*IF(B847&gt;=in_marketplace_from,d_hz_fd*G847,0)*in_fd_ticket*in_fd_comm</f>
        <v/>
      </c>
      <c r="BM847" s="40">
        <f>BM846*(1-IF(B846&gt;=in_marketplace_from,d_hz_recharge*G846,0))</f>
        <v/>
      </c>
      <c r="BN847" s="40">
        <f>BN846*d_rho_recharge+BM847*IF(B847&gt;=in_marketplace_from,d_hz_recharge*G847,0)</f>
        <v/>
      </c>
      <c r="BO847" s="14">
        <f>F847*BN847*in_recharge_ticket*in_recharge_comm/12</f>
        <v/>
      </c>
      <c r="BP847" s="40">
        <f>BP846*(1-IF(B846&gt;=in_marketplace_from,d_hz_bills*G846,0))</f>
        <v/>
      </c>
      <c r="BQ847" s="40">
        <f>BQ846*d_rho_bills+BP847*IF(B847&gt;=in_marketplace_from,d_hz_bills*G847,0)</f>
        <v/>
      </c>
      <c r="BR847" s="14">
        <f>F847*BQ847*in_bills_ticket*in_bills_comm/12</f>
        <v/>
      </c>
      <c r="BS847" s="40">
        <f>BS846*(1-IF(B846&gt;=in_marketplace_from,d_hz_loan_gold*G846,0))</f>
        <v/>
      </c>
      <c r="BT847" s="14">
        <f>F847*BS847*IF(B847&gt;=in_marketplace_from,d_hz_loan_gold*G847,0)*in_loan_gold_ticket*in_loan_gold_comm</f>
        <v/>
      </c>
      <c r="BU847" s="40">
        <f>BU846*(1-IF(B846&gt;=in_marketplace_from,d_hz_loan_cd*G846,0))</f>
        <v/>
      </c>
      <c r="BV847" s="14">
        <f>F847*BU847*IF(B847&gt;=in_marketplace_from,d_hz_loan_cd*G847,0)*in_loan_cd_ticket*in_loan_cd_comm</f>
        <v/>
      </c>
      <c r="BW847" s="40">
        <f>BW846*(1-IF(B846&gt;=in_marketplace_from,d_hz_loan_vehicle*G846,0))</f>
        <v/>
      </c>
      <c r="BX847" s="14">
        <f>F847*BW847*IF(B847&gt;=in_marketplace_from,d_hz_loan_vehicle*G847,0)*in_loan_vehicle_ticket*in_loan_vehicle_comm</f>
        <v/>
      </c>
      <c r="BY847" s="40">
        <f>BY846*(1-IF(B846&gt;=in_marketplace_from,d_hz_loan_home*G846,0)*BZ846)</f>
        <v/>
      </c>
      <c r="BZ847" s="11">
        <f>MIN(in_approval_cap,in_loan_home_approval*INDEX('Age profile'!$O$2:$O$61,B847)*(1+in_approval_growth)^(D847-1))</f>
        <v/>
      </c>
      <c r="CA847" s="14">
        <f>F847*BY847*IF(B847&gt;=in_marketplace_from,d_hz_loan_home*G847,0)*BZ847*in_loan_home_ticket*in_loan_home_comm</f>
        <v/>
      </c>
      <c r="CB847" s="40">
        <f>CB846*(1-IF(B846&gt;=in_marketplace_from,d_hz_loan_lap*G846,0)*CC846)</f>
        <v/>
      </c>
      <c r="CC847" s="11">
        <f>MIN(in_approval_cap,in_loan_lap_approval*INDEX('Age profile'!$O$2:$O$61,B847)*(1+in_approval_growth)^(D847-1))</f>
        <v/>
      </c>
      <c r="CD847" s="14">
        <f>F847*CB847*IF(B847&gt;=in_marketplace_from,d_hz_loan_lap*G847,0)*CC847*in_loan_lap_ticket*in_loan_lap_comm</f>
        <v/>
      </c>
      <c r="CE847" s="14">
        <f>AA847+AB847+AC847+AD847+AG847+AJ847+AM847+AP847+AS847+AU847+AX847+BB847+BE847+BG847+BJ847+BL847+BO847+BR847+BT847+BV847+BX847+CA847+CD847</f>
        <v/>
      </c>
    </row>
    <row r="848">
      <c r="A848" s="39" t="n">
        <v>17</v>
      </c>
      <c r="B848" s="39" t="n">
        <v>7</v>
      </c>
      <c r="C848" s="39">
        <f>A848+B848-1</f>
        <v/>
      </c>
      <c r="D848" s="39">
        <f>INT((C848-1)/12)+1</f>
        <v/>
      </c>
      <c r="E848" s="44">
        <f>INDEX(Monthly!$B$2:$B$61,A848)</f>
        <v/>
      </c>
      <c r="F848" s="44">
        <f>E848*INDEX('Age profile'!$B$2:$B$61,B848)</f>
        <v/>
      </c>
      <c r="G848" s="45">
        <f>MIN(in_takeup_cap,INDEX('Age profile'!$N$2:$N$61,B848)*(1+in_takeup_growth)^(D848-1))</f>
        <v/>
      </c>
      <c r="H848" s="11">
        <f>MIN(in_approval_cap,in_approved_first*INDEX('Age profile'!$O$2:$O$61,B848)*(1+in_approval_growth)^(D848-1))</f>
        <v/>
      </c>
      <c r="I848" s="45">
        <f>G848*MIN(in_takeup_cap,INDEX('Age profile'!$O$2:$O$61,B848)*(1+in_approval_growth)^(D848-1))</f>
        <v/>
      </c>
      <c r="J848" s="40">
        <f>(J847-L847)*F848/F847</f>
        <v/>
      </c>
      <c r="K848" s="40">
        <f>(K847-M847)*F848/F847+SUMIFS(O842:O847,B842:B847,B848-1-d_T)*F848</f>
        <v/>
      </c>
      <c r="L848" s="40">
        <f>IF(B848&gt;=in_marketplace_from,J848*d_hz*G848*in_eligible*H848,0)</f>
        <v/>
      </c>
      <c r="M848" s="40">
        <f>IF(B848&gt;=in_marketplace_from,K848*d_hz*G848*in_eligible*in_approved_repeat,0)</f>
        <v/>
      </c>
      <c r="N848" s="40">
        <f>L848+M848</f>
        <v/>
      </c>
      <c r="O848" s="46">
        <f>N848/F848</f>
        <v/>
      </c>
      <c r="P848" s="40">
        <f>F848-J848-K848</f>
        <v/>
      </c>
      <c r="Q848" s="40">
        <f>IF(B848&gt;=in_marketplace_from,(J848+K848)*d_hz*G848,0)</f>
        <v/>
      </c>
      <c r="R848" s="40">
        <f>SUMIFS(N842:N885,B842:B885,"&gt;="&amp;(B848-d_T),B842:B885,"&lt;="&amp;(B848-1))</f>
        <v/>
      </c>
      <c r="S848" s="46">
        <f>(1-d_u)*S847+IF(d_T&gt;in_topup_lag,SUMIFS(O842:O885,B842:B885,B848-in_topup_lag)-d_udrop*SUMIFS(O842:O885,B842:B885,B848-d_T),0)</f>
        <v/>
      </c>
      <c r="T848" s="40">
        <f>F848*d_u*S848</f>
        <v/>
      </c>
      <c r="U848" s="9">
        <f>L848*in_ticket+M848*d_rep_ticket</f>
        <v/>
      </c>
      <c r="V848" s="9">
        <f>U848+T848*d_topup_amt</f>
        <v/>
      </c>
      <c r="W848" s="40">
        <f>N848+T848*d_topup_ratio</f>
        <v/>
      </c>
      <c r="X848" s="40">
        <f>SUMIFS(W842:W885,B842:B885,B848-in_dpd_lag)*d_cured</f>
        <v/>
      </c>
      <c r="Y848" s="40">
        <f>SUMIFS(W842:W885,B842:B885,B848-in_rec_lag)*d_recd</f>
        <v/>
      </c>
      <c r="Z848" s="40">
        <f>IF(AND(B848&gt;=in_marketplace_from,B848&lt;in_marketplace_from+in_card_months),in_card_share/in_card_months*F848*I848,IF(AND(B848&gt;=in_marketplace_from+in_card_months,B848&lt;in_marketplace_from+2*in_card_months),in_card_share*d_card_rem/in_card_months*F848*MIN(in_takeup_cap,(1+in_takeup_growth)^(D848-1))*MIN(in_takeup_cap,(1+in_approval_growth)^(D848-1)),0))</f>
        <v/>
      </c>
      <c r="AA848" s="14">
        <f>V848*in_fee*(1-in_taken_back)</f>
        <v/>
      </c>
      <c r="AB848" s="14">
        <f>SUMIFS(W842:W885,B842:B885,B848-in_dpd_lag)*d_dpd</f>
        <v/>
      </c>
      <c r="AC848" s="14">
        <f>SUMIFS(W842:W885,B842:B885,B848-in_rec_lag)*d_rec</f>
        <v/>
      </c>
      <c r="AD848" s="14">
        <f>Z848*in_card_fee</f>
        <v/>
      </c>
      <c r="AE848" s="40">
        <f>AE847*(1-IF(B847&gt;=in_marketplace_from,d_hz_hlth_small*G847,0))</f>
        <v/>
      </c>
      <c r="AF848" s="46">
        <f>AE848*IF(B848&gt;=in_marketplace_from,d_hz_hlth_small*G848,0)</f>
        <v/>
      </c>
      <c r="AG848" s="14">
        <f>F848*AF848*in_hlth_small_ticket*in_hlth_small_comm*in_ins_partner_share+F848*in_hlth_small_ticket*in_hlth_small_renew_comm*in_ins_partner_share*(in_hlth_small_renew^1*SUMIFS(AF842:AF885,B842:B885,B848-12)+in_hlth_small_renew^2*SUMIFS(AF842:AF885,B842:B885,B848-24)+in_hlth_small_renew^3*SUMIFS(AF842:AF885,B842:B885,B848-36)+in_hlth_small_renew^4*SUMIFS(AF842:AF885,B842:B885,B848-48))</f>
        <v/>
      </c>
      <c r="AH848" s="40">
        <f>AH847*(1-IF(B847&gt;=in_marketplace_from,d_hz_hlth_family*G847,0))</f>
        <v/>
      </c>
      <c r="AI848" s="46">
        <f>AH848*IF(B848&gt;=in_marketplace_from,d_hz_hlth_family*G848,0)</f>
        <v/>
      </c>
      <c r="AJ848" s="14">
        <f>F848*AI848*in_hlth_family_ticket*in_hlth_family_comm*in_ins_partner_share+F848*in_hlth_family_ticket*in_hlth_family_renew_comm*in_ins_partner_share*(in_hlth_family_renew^1*SUMIFS(AI842:AI885,B842:B885,B848-12)+in_hlth_family_renew^2*SUMIFS(AI842:AI885,B842:B885,B848-24)+in_hlth_family_renew^3*SUMIFS(AI842:AI885,B842:B885,B848-36)+in_hlth_family_renew^4*SUMIFS(AI842:AI885,B842:B885,B848-48))</f>
        <v/>
      </c>
      <c r="AK848" s="40">
        <f>AK847*(1-IF(B847&gt;=in_marketplace_from,d_hz_life_term*G847,0))</f>
        <v/>
      </c>
      <c r="AL848" s="46">
        <f>AK848*IF(B848&gt;=in_marketplace_from,d_hz_life_term*G848,0)</f>
        <v/>
      </c>
      <c r="AM848" s="14">
        <f>F848*AL848*in_life_term_ticket*in_life_term_comm*in_ins_partner_share+F848*in_life_term_ticket*in_life_term_renew_comm*in_ins_partner_share*(in_life_term_renew^1*SUMIFS(AL842:AL885,B842:B885,B848-12)+in_life_term_renew^2*SUMIFS(AL842:AL885,B842:B885,B848-24)+in_life_term_renew^3*SUMIFS(AL842:AL885,B842:B885,B848-36)+in_life_term_renew^4*SUMIFS(AL842:AL885,B842:B885,B848-48))</f>
        <v/>
      </c>
      <c r="AN848" s="40">
        <f>AN847*(1-IF(B847&gt;=in_marketplace_from,d_hz_accident*G847,0))</f>
        <v/>
      </c>
      <c r="AO848" s="46">
        <f>AN848*IF(B848&gt;=in_marketplace_from,d_hz_accident*G848,0)</f>
        <v/>
      </c>
      <c r="AP848" s="14">
        <f>F848*AO848*in_accident_ticket*in_accident_comm*in_ins_partner_share+F848*in_accident_ticket*in_accident_renew_comm*in_ins_partner_share*(in_accident_renew^1*SUMIFS(AO842:AO885,B842:B885,B848-12)+in_accident_renew^2*SUMIFS(AO842:AO885,B842:B885,B848-24)+in_accident_renew^3*SUMIFS(AO842:AO885,B842:B885,B848-36)+in_accident_renew^4*SUMIFS(AO842:AO885,B842:B885,B848-48))</f>
        <v/>
      </c>
      <c r="AQ848" s="40">
        <f>AQ847*(1-IF(B847&gt;=in_marketplace_from,d_hz_two_wheeler*G847,0))</f>
        <v/>
      </c>
      <c r="AR848" s="46">
        <f>AQ848*IF(B848&gt;=in_marketplace_from,d_hz_two_wheeler*G848,0)</f>
        <v/>
      </c>
      <c r="AS848" s="14">
        <f>F848*AR848*in_two_wheeler_ticket*in_two_wheeler_comm*in_ins_partner_share+F848*in_two_wheeler_ticket*in_two_wheeler_comm*in_ins_partner_share*(in_two_wheeler_renew^1*SUMIFS(AR842:AR885,B842:B885,B848-12)+in_two_wheeler_renew^2*SUMIFS(AR842:AR885,B842:B885,B848-24)+in_two_wheeler_renew^3*SUMIFS(AR842:AR885,B842:B885,B848-36)+in_two_wheeler_renew^4*SUMIFS(AR842:AR885,B842:B885,B848-48))</f>
        <v/>
      </c>
      <c r="AT848" s="40">
        <f>AT847*(1-IF(B847&gt;=in_marketplace_from,d_hz_device*G847,0))</f>
        <v/>
      </c>
      <c r="AU848" s="14">
        <f>F848*AT848*IF(B848&gt;=in_marketplace_from,d_hz_device*G848,0)*in_device_ticket*in_device_comm*in_ins_partner_share</f>
        <v/>
      </c>
      <c r="AV848" s="40">
        <f>AV847*(1-IF(B847&gt;=in_marketplace_from,d_hz_shop*G847,0))</f>
        <v/>
      </c>
      <c r="AW848" s="46">
        <f>AV848*IF(B848&gt;=in_marketplace_from,d_hz_shop*G848,0)</f>
        <v/>
      </c>
      <c r="AX848" s="14">
        <f>F848*AW848*in_shop_ticket*in_shop_comm*in_ins_partner_share+F848*in_shop_ticket*in_shop_renew_comm*in_ins_partner_share*(in_shop_renew^1*SUMIFS(AW842:AW885,B842:B885,B848-12)+in_shop_renew^2*SUMIFS(AW842:AW885,B842:B885,B848-24)+in_shop_renew^3*SUMIFS(AW842:AW885,B842:B885,B848-36)+in_shop_renew^4*SUMIFS(AW842:AW885,B842:B885,B848-48))</f>
        <v/>
      </c>
      <c r="AY848" s="40">
        <f>AY847*(1-IF(B847&gt;=in_marketplace_from,d_hz_sip*G847,0))</f>
        <v/>
      </c>
      <c r="AZ848" s="40">
        <f>AZ847*d_rho_sip+AY848*IF(B848&gt;=in_marketplace_from,d_hz_sip*G848,0)</f>
        <v/>
      </c>
      <c r="BA848" s="40">
        <f>d_rho_sip*(BA847+AZ847)</f>
        <v/>
      </c>
      <c r="BB848" s="14">
        <f>F848*in_sip_ticket*(BA848+0.5*AZ848)*in_sip_comm/12</f>
        <v/>
      </c>
      <c r="BC848" s="40">
        <f>BC847*(1-IF(B847&gt;=in_marketplace_from,d_hz_choti*G847,0))</f>
        <v/>
      </c>
      <c r="BD848" s="46">
        <f>BC848*IF(B848&gt;=in_marketplace_from,d_hz_choti*G848,0)</f>
        <v/>
      </c>
      <c r="BE848" s="14">
        <f>F848*SUMIFS(BD842:BD885,B842:B885,B848-in_choti_months)*in_choti_renew*in_choti_ticket</f>
        <v/>
      </c>
      <c r="BF848" s="40">
        <f>BF847*(1-IF(B847&gt;=in_marketplace_from,d_hz_nps*G847,0))</f>
        <v/>
      </c>
      <c r="BG848" s="14">
        <f>F848*BF848*IF(B848&gt;=in_marketplace_from,d_hz_nps*G848,0)*in_nps_ticket*in_nps_comm</f>
        <v/>
      </c>
      <c r="BH848" s="40">
        <f>BH847*(1-IF(B847&gt;=in_marketplace_from,d_hz_gold*G847,0))</f>
        <v/>
      </c>
      <c r="BI848" s="40">
        <f>BI847*d_rho_gold+BH848*IF(B848&gt;=in_marketplace_from,d_hz_gold*G848,0)</f>
        <v/>
      </c>
      <c r="BJ848" s="14">
        <f>F848*BI848*in_gold_ticket*in_gold_comm</f>
        <v/>
      </c>
      <c r="BK848" s="40">
        <f>BK847*(1-IF(B847&gt;=in_marketplace_from,d_hz_fd*G847,0))</f>
        <v/>
      </c>
      <c r="BL848" s="14">
        <f>F848*BK848*IF(B848&gt;=in_marketplace_from,d_hz_fd*G848,0)*in_fd_ticket*in_fd_comm</f>
        <v/>
      </c>
      <c r="BM848" s="40">
        <f>BM847*(1-IF(B847&gt;=in_marketplace_from,d_hz_recharge*G847,0))</f>
        <v/>
      </c>
      <c r="BN848" s="40">
        <f>BN847*d_rho_recharge+BM848*IF(B848&gt;=in_marketplace_from,d_hz_recharge*G848,0)</f>
        <v/>
      </c>
      <c r="BO848" s="14">
        <f>F848*BN848*in_recharge_ticket*in_recharge_comm/12</f>
        <v/>
      </c>
      <c r="BP848" s="40">
        <f>BP847*(1-IF(B847&gt;=in_marketplace_from,d_hz_bills*G847,0))</f>
        <v/>
      </c>
      <c r="BQ848" s="40">
        <f>BQ847*d_rho_bills+BP848*IF(B848&gt;=in_marketplace_from,d_hz_bills*G848,0)</f>
        <v/>
      </c>
      <c r="BR848" s="14">
        <f>F848*BQ848*in_bills_ticket*in_bills_comm/12</f>
        <v/>
      </c>
      <c r="BS848" s="40">
        <f>BS847*(1-IF(B847&gt;=in_marketplace_from,d_hz_loan_gold*G847,0))</f>
        <v/>
      </c>
      <c r="BT848" s="14">
        <f>F848*BS848*IF(B848&gt;=in_marketplace_from,d_hz_loan_gold*G848,0)*in_loan_gold_ticket*in_loan_gold_comm</f>
        <v/>
      </c>
      <c r="BU848" s="40">
        <f>BU847*(1-IF(B847&gt;=in_marketplace_from,d_hz_loan_cd*G847,0))</f>
        <v/>
      </c>
      <c r="BV848" s="14">
        <f>F848*BU848*IF(B848&gt;=in_marketplace_from,d_hz_loan_cd*G848,0)*in_loan_cd_ticket*in_loan_cd_comm</f>
        <v/>
      </c>
      <c r="BW848" s="40">
        <f>BW847*(1-IF(B847&gt;=in_marketplace_from,d_hz_loan_vehicle*G847,0))</f>
        <v/>
      </c>
      <c r="BX848" s="14">
        <f>F848*BW848*IF(B848&gt;=in_marketplace_from,d_hz_loan_vehicle*G848,0)*in_loan_vehicle_ticket*in_loan_vehicle_comm</f>
        <v/>
      </c>
      <c r="BY848" s="40">
        <f>BY847*(1-IF(B847&gt;=in_marketplace_from,d_hz_loan_home*G847,0)*BZ847)</f>
        <v/>
      </c>
      <c r="BZ848" s="11">
        <f>MIN(in_approval_cap,in_loan_home_approval*INDEX('Age profile'!$O$2:$O$61,B848)*(1+in_approval_growth)^(D848-1))</f>
        <v/>
      </c>
      <c r="CA848" s="14">
        <f>F848*BY848*IF(B848&gt;=in_marketplace_from,d_hz_loan_home*G848,0)*BZ848*in_loan_home_ticket*in_loan_home_comm</f>
        <v/>
      </c>
      <c r="CB848" s="40">
        <f>CB847*(1-IF(B847&gt;=in_marketplace_from,d_hz_loan_lap*G847,0)*CC847)</f>
        <v/>
      </c>
      <c r="CC848" s="11">
        <f>MIN(in_approval_cap,in_loan_lap_approval*INDEX('Age profile'!$O$2:$O$61,B848)*(1+in_approval_growth)^(D848-1))</f>
        <v/>
      </c>
      <c r="CD848" s="14">
        <f>F848*CB848*IF(B848&gt;=in_marketplace_from,d_hz_loan_lap*G848,0)*CC848*in_loan_lap_ticket*in_loan_lap_comm</f>
        <v/>
      </c>
      <c r="CE848" s="14">
        <f>AA848+AB848+AC848+AD848+AG848+AJ848+AM848+AP848+AS848+AU848+AX848+BB848+BE848+BG848+BJ848+BL848+BO848+BR848+BT848+BV848+BX848+CA848+CD848</f>
        <v/>
      </c>
    </row>
    <row r="849">
      <c r="A849" s="39" t="n">
        <v>17</v>
      </c>
      <c r="B849" s="39" t="n">
        <v>8</v>
      </c>
      <c r="C849" s="39">
        <f>A849+B849-1</f>
        <v/>
      </c>
      <c r="D849" s="39">
        <f>INT((C849-1)/12)+1</f>
        <v/>
      </c>
      <c r="E849" s="44">
        <f>INDEX(Monthly!$B$2:$B$61,A849)</f>
        <v/>
      </c>
      <c r="F849" s="44">
        <f>E849*INDEX('Age profile'!$B$2:$B$61,B849)</f>
        <v/>
      </c>
      <c r="G849" s="45">
        <f>MIN(in_takeup_cap,INDEX('Age profile'!$N$2:$N$61,B849)*(1+in_takeup_growth)^(D849-1))</f>
        <v/>
      </c>
      <c r="H849" s="11">
        <f>MIN(in_approval_cap,in_approved_first*INDEX('Age profile'!$O$2:$O$61,B849)*(1+in_approval_growth)^(D849-1))</f>
        <v/>
      </c>
      <c r="I849" s="45">
        <f>G849*MIN(in_takeup_cap,INDEX('Age profile'!$O$2:$O$61,B849)*(1+in_approval_growth)^(D849-1))</f>
        <v/>
      </c>
      <c r="J849" s="40">
        <f>(J848-L848)*F849/F848</f>
        <v/>
      </c>
      <c r="K849" s="40">
        <f>(K848-M848)*F849/F848+SUMIFS(O842:O848,B842:B848,B849-1-d_T)*F849</f>
        <v/>
      </c>
      <c r="L849" s="40">
        <f>IF(B849&gt;=in_marketplace_from,J849*d_hz*G849*in_eligible*H849,0)</f>
        <v/>
      </c>
      <c r="M849" s="40">
        <f>IF(B849&gt;=in_marketplace_from,K849*d_hz*G849*in_eligible*in_approved_repeat,0)</f>
        <v/>
      </c>
      <c r="N849" s="40">
        <f>L849+M849</f>
        <v/>
      </c>
      <c r="O849" s="46">
        <f>N849/F849</f>
        <v/>
      </c>
      <c r="P849" s="40">
        <f>F849-J849-K849</f>
        <v/>
      </c>
      <c r="Q849" s="40">
        <f>IF(B849&gt;=in_marketplace_from,(J849+K849)*d_hz*G849,0)</f>
        <v/>
      </c>
      <c r="R849" s="40">
        <f>SUMIFS(N842:N885,B842:B885,"&gt;="&amp;(B849-d_T),B842:B885,"&lt;="&amp;(B849-1))</f>
        <v/>
      </c>
      <c r="S849" s="46">
        <f>(1-d_u)*S848+IF(d_T&gt;in_topup_lag,SUMIFS(O842:O885,B842:B885,B849-in_topup_lag)-d_udrop*SUMIFS(O842:O885,B842:B885,B849-d_T),0)</f>
        <v/>
      </c>
      <c r="T849" s="40">
        <f>F849*d_u*S849</f>
        <v/>
      </c>
      <c r="U849" s="9">
        <f>L849*in_ticket+M849*d_rep_ticket</f>
        <v/>
      </c>
      <c r="V849" s="9">
        <f>U849+T849*d_topup_amt</f>
        <v/>
      </c>
      <c r="W849" s="40">
        <f>N849+T849*d_topup_ratio</f>
        <v/>
      </c>
      <c r="X849" s="40">
        <f>SUMIFS(W842:W885,B842:B885,B849-in_dpd_lag)*d_cured</f>
        <v/>
      </c>
      <c r="Y849" s="40">
        <f>SUMIFS(W842:W885,B842:B885,B849-in_rec_lag)*d_recd</f>
        <v/>
      </c>
      <c r="Z849" s="40">
        <f>IF(AND(B849&gt;=in_marketplace_from,B849&lt;in_marketplace_from+in_card_months),in_card_share/in_card_months*F849*I849,IF(AND(B849&gt;=in_marketplace_from+in_card_months,B849&lt;in_marketplace_from+2*in_card_months),in_card_share*d_card_rem/in_card_months*F849*MIN(in_takeup_cap,(1+in_takeup_growth)^(D849-1))*MIN(in_takeup_cap,(1+in_approval_growth)^(D849-1)),0))</f>
        <v/>
      </c>
      <c r="AA849" s="14">
        <f>V849*in_fee*(1-in_taken_back)</f>
        <v/>
      </c>
      <c r="AB849" s="14">
        <f>SUMIFS(W842:W885,B842:B885,B849-in_dpd_lag)*d_dpd</f>
        <v/>
      </c>
      <c r="AC849" s="14">
        <f>SUMIFS(W842:W885,B842:B885,B849-in_rec_lag)*d_rec</f>
        <v/>
      </c>
      <c r="AD849" s="14">
        <f>Z849*in_card_fee</f>
        <v/>
      </c>
      <c r="AE849" s="40">
        <f>AE848*(1-IF(B848&gt;=in_marketplace_from,d_hz_hlth_small*G848,0))</f>
        <v/>
      </c>
      <c r="AF849" s="46">
        <f>AE849*IF(B849&gt;=in_marketplace_from,d_hz_hlth_small*G849,0)</f>
        <v/>
      </c>
      <c r="AG849" s="14">
        <f>F849*AF849*in_hlth_small_ticket*in_hlth_small_comm*in_ins_partner_share+F849*in_hlth_small_ticket*in_hlth_small_renew_comm*in_ins_partner_share*(in_hlth_small_renew^1*SUMIFS(AF842:AF885,B842:B885,B849-12)+in_hlth_small_renew^2*SUMIFS(AF842:AF885,B842:B885,B849-24)+in_hlth_small_renew^3*SUMIFS(AF842:AF885,B842:B885,B849-36)+in_hlth_small_renew^4*SUMIFS(AF842:AF885,B842:B885,B849-48))</f>
        <v/>
      </c>
      <c r="AH849" s="40">
        <f>AH848*(1-IF(B848&gt;=in_marketplace_from,d_hz_hlth_family*G848,0))</f>
        <v/>
      </c>
      <c r="AI849" s="46">
        <f>AH849*IF(B849&gt;=in_marketplace_from,d_hz_hlth_family*G849,0)</f>
        <v/>
      </c>
      <c r="AJ849" s="14">
        <f>F849*AI849*in_hlth_family_ticket*in_hlth_family_comm*in_ins_partner_share+F849*in_hlth_family_ticket*in_hlth_family_renew_comm*in_ins_partner_share*(in_hlth_family_renew^1*SUMIFS(AI842:AI885,B842:B885,B849-12)+in_hlth_family_renew^2*SUMIFS(AI842:AI885,B842:B885,B849-24)+in_hlth_family_renew^3*SUMIFS(AI842:AI885,B842:B885,B849-36)+in_hlth_family_renew^4*SUMIFS(AI842:AI885,B842:B885,B849-48))</f>
        <v/>
      </c>
      <c r="AK849" s="40">
        <f>AK848*(1-IF(B848&gt;=in_marketplace_from,d_hz_life_term*G848,0))</f>
        <v/>
      </c>
      <c r="AL849" s="46">
        <f>AK849*IF(B849&gt;=in_marketplace_from,d_hz_life_term*G849,0)</f>
        <v/>
      </c>
      <c r="AM849" s="14">
        <f>F849*AL849*in_life_term_ticket*in_life_term_comm*in_ins_partner_share+F849*in_life_term_ticket*in_life_term_renew_comm*in_ins_partner_share*(in_life_term_renew^1*SUMIFS(AL842:AL885,B842:B885,B849-12)+in_life_term_renew^2*SUMIFS(AL842:AL885,B842:B885,B849-24)+in_life_term_renew^3*SUMIFS(AL842:AL885,B842:B885,B849-36)+in_life_term_renew^4*SUMIFS(AL842:AL885,B842:B885,B849-48))</f>
        <v/>
      </c>
      <c r="AN849" s="40">
        <f>AN848*(1-IF(B848&gt;=in_marketplace_from,d_hz_accident*G848,0))</f>
        <v/>
      </c>
      <c r="AO849" s="46">
        <f>AN849*IF(B849&gt;=in_marketplace_from,d_hz_accident*G849,0)</f>
        <v/>
      </c>
      <c r="AP849" s="14">
        <f>F849*AO849*in_accident_ticket*in_accident_comm*in_ins_partner_share+F849*in_accident_ticket*in_accident_renew_comm*in_ins_partner_share*(in_accident_renew^1*SUMIFS(AO842:AO885,B842:B885,B849-12)+in_accident_renew^2*SUMIFS(AO842:AO885,B842:B885,B849-24)+in_accident_renew^3*SUMIFS(AO842:AO885,B842:B885,B849-36)+in_accident_renew^4*SUMIFS(AO842:AO885,B842:B885,B849-48))</f>
        <v/>
      </c>
      <c r="AQ849" s="40">
        <f>AQ848*(1-IF(B848&gt;=in_marketplace_from,d_hz_two_wheeler*G848,0))</f>
        <v/>
      </c>
      <c r="AR849" s="46">
        <f>AQ849*IF(B849&gt;=in_marketplace_from,d_hz_two_wheeler*G849,0)</f>
        <v/>
      </c>
      <c r="AS849" s="14">
        <f>F849*AR849*in_two_wheeler_ticket*in_two_wheeler_comm*in_ins_partner_share+F849*in_two_wheeler_ticket*in_two_wheeler_comm*in_ins_partner_share*(in_two_wheeler_renew^1*SUMIFS(AR842:AR885,B842:B885,B849-12)+in_two_wheeler_renew^2*SUMIFS(AR842:AR885,B842:B885,B849-24)+in_two_wheeler_renew^3*SUMIFS(AR842:AR885,B842:B885,B849-36)+in_two_wheeler_renew^4*SUMIFS(AR842:AR885,B842:B885,B849-48))</f>
        <v/>
      </c>
      <c r="AT849" s="40">
        <f>AT848*(1-IF(B848&gt;=in_marketplace_from,d_hz_device*G848,0))</f>
        <v/>
      </c>
      <c r="AU849" s="14">
        <f>F849*AT849*IF(B849&gt;=in_marketplace_from,d_hz_device*G849,0)*in_device_ticket*in_device_comm*in_ins_partner_share</f>
        <v/>
      </c>
      <c r="AV849" s="40">
        <f>AV848*(1-IF(B848&gt;=in_marketplace_from,d_hz_shop*G848,0))</f>
        <v/>
      </c>
      <c r="AW849" s="46">
        <f>AV849*IF(B849&gt;=in_marketplace_from,d_hz_shop*G849,0)</f>
        <v/>
      </c>
      <c r="AX849" s="14">
        <f>F849*AW849*in_shop_ticket*in_shop_comm*in_ins_partner_share+F849*in_shop_ticket*in_shop_renew_comm*in_ins_partner_share*(in_shop_renew^1*SUMIFS(AW842:AW885,B842:B885,B849-12)+in_shop_renew^2*SUMIFS(AW842:AW885,B842:B885,B849-24)+in_shop_renew^3*SUMIFS(AW842:AW885,B842:B885,B849-36)+in_shop_renew^4*SUMIFS(AW842:AW885,B842:B885,B849-48))</f>
        <v/>
      </c>
      <c r="AY849" s="40">
        <f>AY848*(1-IF(B848&gt;=in_marketplace_from,d_hz_sip*G848,0))</f>
        <v/>
      </c>
      <c r="AZ849" s="40">
        <f>AZ848*d_rho_sip+AY849*IF(B849&gt;=in_marketplace_from,d_hz_sip*G849,0)</f>
        <v/>
      </c>
      <c r="BA849" s="40">
        <f>d_rho_sip*(BA848+AZ848)</f>
        <v/>
      </c>
      <c r="BB849" s="14">
        <f>F849*in_sip_ticket*(BA849+0.5*AZ849)*in_sip_comm/12</f>
        <v/>
      </c>
      <c r="BC849" s="40">
        <f>BC848*(1-IF(B848&gt;=in_marketplace_from,d_hz_choti*G848,0))</f>
        <v/>
      </c>
      <c r="BD849" s="46">
        <f>BC849*IF(B849&gt;=in_marketplace_from,d_hz_choti*G849,0)</f>
        <v/>
      </c>
      <c r="BE849" s="14">
        <f>F849*SUMIFS(BD842:BD885,B842:B885,B849-in_choti_months)*in_choti_renew*in_choti_ticket</f>
        <v/>
      </c>
      <c r="BF849" s="40">
        <f>BF848*(1-IF(B848&gt;=in_marketplace_from,d_hz_nps*G848,0))</f>
        <v/>
      </c>
      <c r="BG849" s="14">
        <f>F849*BF849*IF(B849&gt;=in_marketplace_from,d_hz_nps*G849,0)*in_nps_ticket*in_nps_comm</f>
        <v/>
      </c>
      <c r="BH849" s="40">
        <f>BH848*(1-IF(B848&gt;=in_marketplace_from,d_hz_gold*G848,0))</f>
        <v/>
      </c>
      <c r="BI849" s="40">
        <f>BI848*d_rho_gold+BH849*IF(B849&gt;=in_marketplace_from,d_hz_gold*G849,0)</f>
        <v/>
      </c>
      <c r="BJ849" s="14">
        <f>F849*BI849*in_gold_ticket*in_gold_comm</f>
        <v/>
      </c>
      <c r="BK849" s="40">
        <f>BK848*(1-IF(B848&gt;=in_marketplace_from,d_hz_fd*G848,0))</f>
        <v/>
      </c>
      <c r="BL849" s="14">
        <f>F849*BK849*IF(B849&gt;=in_marketplace_from,d_hz_fd*G849,0)*in_fd_ticket*in_fd_comm</f>
        <v/>
      </c>
      <c r="BM849" s="40">
        <f>BM848*(1-IF(B848&gt;=in_marketplace_from,d_hz_recharge*G848,0))</f>
        <v/>
      </c>
      <c r="BN849" s="40">
        <f>BN848*d_rho_recharge+BM849*IF(B849&gt;=in_marketplace_from,d_hz_recharge*G849,0)</f>
        <v/>
      </c>
      <c r="BO849" s="14">
        <f>F849*BN849*in_recharge_ticket*in_recharge_comm/12</f>
        <v/>
      </c>
      <c r="BP849" s="40">
        <f>BP848*(1-IF(B848&gt;=in_marketplace_from,d_hz_bills*G848,0))</f>
        <v/>
      </c>
      <c r="BQ849" s="40">
        <f>BQ848*d_rho_bills+BP849*IF(B849&gt;=in_marketplace_from,d_hz_bills*G849,0)</f>
        <v/>
      </c>
      <c r="BR849" s="14">
        <f>F849*BQ849*in_bills_ticket*in_bills_comm/12</f>
        <v/>
      </c>
      <c r="BS849" s="40">
        <f>BS848*(1-IF(B848&gt;=in_marketplace_from,d_hz_loan_gold*G848,0))</f>
        <v/>
      </c>
      <c r="BT849" s="14">
        <f>F849*BS849*IF(B849&gt;=in_marketplace_from,d_hz_loan_gold*G849,0)*in_loan_gold_ticket*in_loan_gold_comm</f>
        <v/>
      </c>
      <c r="BU849" s="40">
        <f>BU848*(1-IF(B848&gt;=in_marketplace_from,d_hz_loan_cd*G848,0))</f>
        <v/>
      </c>
      <c r="BV849" s="14">
        <f>F849*BU849*IF(B849&gt;=in_marketplace_from,d_hz_loan_cd*G849,0)*in_loan_cd_ticket*in_loan_cd_comm</f>
        <v/>
      </c>
      <c r="BW849" s="40">
        <f>BW848*(1-IF(B848&gt;=in_marketplace_from,d_hz_loan_vehicle*G848,0))</f>
        <v/>
      </c>
      <c r="BX849" s="14">
        <f>F849*BW849*IF(B849&gt;=in_marketplace_from,d_hz_loan_vehicle*G849,0)*in_loan_vehicle_ticket*in_loan_vehicle_comm</f>
        <v/>
      </c>
      <c r="BY849" s="40">
        <f>BY848*(1-IF(B848&gt;=in_marketplace_from,d_hz_loan_home*G848,0)*BZ848)</f>
        <v/>
      </c>
      <c r="BZ849" s="11">
        <f>MIN(in_approval_cap,in_loan_home_approval*INDEX('Age profile'!$O$2:$O$61,B849)*(1+in_approval_growth)^(D849-1))</f>
        <v/>
      </c>
      <c r="CA849" s="14">
        <f>F849*BY849*IF(B849&gt;=in_marketplace_from,d_hz_loan_home*G849,0)*BZ849*in_loan_home_ticket*in_loan_home_comm</f>
        <v/>
      </c>
      <c r="CB849" s="40">
        <f>CB848*(1-IF(B848&gt;=in_marketplace_from,d_hz_loan_lap*G848,0)*CC848)</f>
        <v/>
      </c>
      <c r="CC849" s="11">
        <f>MIN(in_approval_cap,in_loan_lap_approval*INDEX('Age profile'!$O$2:$O$61,B849)*(1+in_approval_growth)^(D849-1))</f>
        <v/>
      </c>
      <c r="CD849" s="14">
        <f>F849*CB849*IF(B849&gt;=in_marketplace_from,d_hz_loan_lap*G849,0)*CC849*in_loan_lap_ticket*in_loan_lap_comm</f>
        <v/>
      </c>
      <c r="CE849" s="14">
        <f>AA849+AB849+AC849+AD849+AG849+AJ849+AM849+AP849+AS849+AU849+AX849+BB849+BE849+BG849+BJ849+BL849+BO849+BR849+BT849+BV849+BX849+CA849+CD849</f>
        <v/>
      </c>
    </row>
    <row r="850">
      <c r="A850" s="39" t="n">
        <v>17</v>
      </c>
      <c r="B850" s="39" t="n">
        <v>9</v>
      </c>
      <c r="C850" s="39">
        <f>A850+B850-1</f>
        <v/>
      </c>
      <c r="D850" s="39">
        <f>INT((C850-1)/12)+1</f>
        <v/>
      </c>
      <c r="E850" s="44">
        <f>INDEX(Monthly!$B$2:$B$61,A850)</f>
        <v/>
      </c>
      <c r="F850" s="44">
        <f>E850*INDEX('Age profile'!$B$2:$B$61,B850)</f>
        <v/>
      </c>
      <c r="G850" s="45">
        <f>MIN(in_takeup_cap,INDEX('Age profile'!$N$2:$N$61,B850)*(1+in_takeup_growth)^(D850-1))</f>
        <v/>
      </c>
      <c r="H850" s="11">
        <f>MIN(in_approval_cap,in_approved_first*INDEX('Age profile'!$O$2:$O$61,B850)*(1+in_approval_growth)^(D850-1))</f>
        <v/>
      </c>
      <c r="I850" s="45">
        <f>G850*MIN(in_takeup_cap,INDEX('Age profile'!$O$2:$O$61,B850)*(1+in_approval_growth)^(D850-1))</f>
        <v/>
      </c>
      <c r="J850" s="40">
        <f>(J849-L849)*F850/F849</f>
        <v/>
      </c>
      <c r="K850" s="40">
        <f>(K849-M849)*F850/F849+SUMIFS(O842:O849,B842:B849,B850-1-d_T)*F850</f>
        <v/>
      </c>
      <c r="L850" s="40">
        <f>IF(B850&gt;=in_marketplace_from,J850*d_hz*G850*in_eligible*H850,0)</f>
        <v/>
      </c>
      <c r="M850" s="40">
        <f>IF(B850&gt;=in_marketplace_from,K850*d_hz*G850*in_eligible*in_approved_repeat,0)</f>
        <v/>
      </c>
      <c r="N850" s="40">
        <f>L850+M850</f>
        <v/>
      </c>
      <c r="O850" s="46">
        <f>N850/F850</f>
        <v/>
      </c>
      <c r="P850" s="40">
        <f>F850-J850-K850</f>
        <v/>
      </c>
      <c r="Q850" s="40">
        <f>IF(B850&gt;=in_marketplace_from,(J850+K850)*d_hz*G850,0)</f>
        <v/>
      </c>
      <c r="R850" s="40">
        <f>SUMIFS(N842:N885,B842:B885,"&gt;="&amp;(B850-d_T),B842:B885,"&lt;="&amp;(B850-1))</f>
        <v/>
      </c>
      <c r="S850" s="46">
        <f>(1-d_u)*S849+IF(d_T&gt;in_topup_lag,SUMIFS(O842:O885,B842:B885,B850-in_topup_lag)-d_udrop*SUMIFS(O842:O885,B842:B885,B850-d_T),0)</f>
        <v/>
      </c>
      <c r="T850" s="40">
        <f>F850*d_u*S850</f>
        <v/>
      </c>
      <c r="U850" s="9">
        <f>L850*in_ticket+M850*d_rep_ticket</f>
        <v/>
      </c>
      <c r="V850" s="9">
        <f>U850+T850*d_topup_amt</f>
        <v/>
      </c>
      <c r="W850" s="40">
        <f>N850+T850*d_topup_ratio</f>
        <v/>
      </c>
      <c r="X850" s="40">
        <f>SUMIFS(W842:W885,B842:B885,B850-in_dpd_lag)*d_cured</f>
        <v/>
      </c>
      <c r="Y850" s="40">
        <f>SUMIFS(W842:W885,B842:B885,B850-in_rec_lag)*d_recd</f>
        <v/>
      </c>
      <c r="Z850" s="40">
        <f>IF(AND(B850&gt;=in_marketplace_from,B850&lt;in_marketplace_from+in_card_months),in_card_share/in_card_months*F850*I850,IF(AND(B850&gt;=in_marketplace_from+in_card_months,B850&lt;in_marketplace_from+2*in_card_months),in_card_share*d_card_rem/in_card_months*F850*MIN(in_takeup_cap,(1+in_takeup_growth)^(D850-1))*MIN(in_takeup_cap,(1+in_approval_growth)^(D850-1)),0))</f>
        <v/>
      </c>
      <c r="AA850" s="14">
        <f>V850*in_fee*(1-in_taken_back)</f>
        <v/>
      </c>
      <c r="AB850" s="14">
        <f>SUMIFS(W842:W885,B842:B885,B850-in_dpd_lag)*d_dpd</f>
        <v/>
      </c>
      <c r="AC850" s="14">
        <f>SUMIFS(W842:W885,B842:B885,B850-in_rec_lag)*d_rec</f>
        <v/>
      </c>
      <c r="AD850" s="14">
        <f>Z850*in_card_fee</f>
        <v/>
      </c>
      <c r="AE850" s="40">
        <f>AE849*(1-IF(B849&gt;=in_marketplace_from,d_hz_hlth_small*G849,0))</f>
        <v/>
      </c>
      <c r="AF850" s="46">
        <f>AE850*IF(B850&gt;=in_marketplace_from,d_hz_hlth_small*G850,0)</f>
        <v/>
      </c>
      <c r="AG850" s="14">
        <f>F850*AF850*in_hlth_small_ticket*in_hlth_small_comm*in_ins_partner_share+F850*in_hlth_small_ticket*in_hlth_small_renew_comm*in_ins_partner_share*(in_hlth_small_renew^1*SUMIFS(AF842:AF885,B842:B885,B850-12)+in_hlth_small_renew^2*SUMIFS(AF842:AF885,B842:B885,B850-24)+in_hlth_small_renew^3*SUMIFS(AF842:AF885,B842:B885,B850-36)+in_hlth_small_renew^4*SUMIFS(AF842:AF885,B842:B885,B850-48))</f>
        <v/>
      </c>
      <c r="AH850" s="40">
        <f>AH849*(1-IF(B849&gt;=in_marketplace_from,d_hz_hlth_family*G849,0))</f>
        <v/>
      </c>
      <c r="AI850" s="46">
        <f>AH850*IF(B850&gt;=in_marketplace_from,d_hz_hlth_family*G850,0)</f>
        <v/>
      </c>
      <c r="AJ850" s="14">
        <f>F850*AI850*in_hlth_family_ticket*in_hlth_family_comm*in_ins_partner_share+F850*in_hlth_family_ticket*in_hlth_family_renew_comm*in_ins_partner_share*(in_hlth_family_renew^1*SUMIFS(AI842:AI885,B842:B885,B850-12)+in_hlth_family_renew^2*SUMIFS(AI842:AI885,B842:B885,B850-24)+in_hlth_family_renew^3*SUMIFS(AI842:AI885,B842:B885,B850-36)+in_hlth_family_renew^4*SUMIFS(AI842:AI885,B842:B885,B850-48))</f>
        <v/>
      </c>
      <c r="AK850" s="40">
        <f>AK849*(1-IF(B849&gt;=in_marketplace_from,d_hz_life_term*G849,0))</f>
        <v/>
      </c>
      <c r="AL850" s="46">
        <f>AK850*IF(B850&gt;=in_marketplace_from,d_hz_life_term*G850,0)</f>
        <v/>
      </c>
      <c r="AM850" s="14">
        <f>F850*AL850*in_life_term_ticket*in_life_term_comm*in_ins_partner_share+F850*in_life_term_ticket*in_life_term_renew_comm*in_ins_partner_share*(in_life_term_renew^1*SUMIFS(AL842:AL885,B842:B885,B850-12)+in_life_term_renew^2*SUMIFS(AL842:AL885,B842:B885,B850-24)+in_life_term_renew^3*SUMIFS(AL842:AL885,B842:B885,B850-36)+in_life_term_renew^4*SUMIFS(AL842:AL885,B842:B885,B850-48))</f>
        <v/>
      </c>
      <c r="AN850" s="40">
        <f>AN849*(1-IF(B849&gt;=in_marketplace_from,d_hz_accident*G849,0))</f>
        <v/>
      </c>
      <c r="AO850" s="46">
        <f>AN850*IF(B850&gt;=in_marketplace_from,d_hz_accident*G850,0)</f>
        <v/>
      </c>
      <c r="AP850" s="14">
        <f>F850*AO850*in_accident_ticket*in_accident_comm*in_ins_partner_share+F850*in_accident_ticket*in_accident_renew_comm*in_ins_partner_share*(in_accident_renew^1*SUMIFS(AO842:AO885,B842:B885,B850-12)+in_accident_renew^2*SUMIFS(AO842:AO885,B842:B885,B850-24)+in_accident_renew^3*SUMIFS(AO842:AO885,B842:B885,B850-36)+in_accident_renew^4*SUMIFS(AO842:AO885,B842:B885,B850-48))</f>
        <v/>
      </c>
      <c r="AQ850" s="40">
        <f>AQ849*(1-IF(B849&gt;=in_marketplace_from,d_hz_two_wheeler*G849,0))</f>
        <v/>
      </c>
      <c r="AR850" s="46">
        <f>AQ850*IF(B850&gt;=in_marketplace_from,d_hz_two_wheeler*G850,0)</f>
        <v/>
      </c>
      <c r="AS850" s="14">
        <f>F850*AR850*in_two_wheeler_ticket*in_two_wheeler_comm*in_ins_partner_share+F850*in_two_wheeler_ticket*in_two_wheeler_comm*in_ins_partner_share*(in_two_wheeler_renew^1*SUMIFS(AR842:AR885,B842:B885,B850-12)+in_two_wheeler_renew^2*SUMIFS(AR842:AR885,B842:B885,B850-24)+in_two_wheeler_renew^3*SUMIFS(AR842:AR885,B842:B885,B850-36)+in_two_wheeler_renew^4*SUMIFS(AR842:AR885,B842:B885,B850-48))</f>
        <v/>
      </c>
      <c r="AT850" s="40">
        <f>AT849*(1-IF(B849&gt;=in_marketplace_from,d_hz_device*G849,0))</f>
        <v/>
      </c>
      <c r="AU850" s="14">
        <f>F850*AT850*IF(B850&gt;=in_marketplace_from,d_hz_device*G850,0)*in_device_ticket*in_device_comm*in_ins_partner_share</f>
        <v/>
      </c>
      <c r="AV850" s="40">
        <f>AV849*(1-IF(B849&gt;=in_marketplace_from,d_hz_shop*G849,0))</f>
        <v/>
      </c>
      <c r="AW850" s="46">
        <f>AV850*IF(B850&gt;=in_marketplace_from,d_hz_shop*G850,0)</f>
        <v/>
      </c>
      <c r="AX850" s="14">
        <f>F850*AW850*in_shop_ticket*in_shop_comm*in_ins_partner_share+F850*in_shop_ticket*in_shop_renew_comm*in_ins_partner_share*(in_shop_renew^1*SUMIFS(AW842:AW885,B842:B885,B850-12)+in_shop_renew^2*SUMIFS(AW842:AW885,B842:B885,B850-24)+in_shop_renew^3*SUMIFS(AW842:AW885,B842:B885,B850-36)+in_shop_renew^4*SUMIFS(AW842:AW885,B842:B885,B850-48))</f>
        <v/>
      </c>
      <c r="AY850" s="40">
        <f>AY849*(1-IF(B849&gt;=in_marketplace_from,d_hz_sip*G849,0))</f>
        <v/>
      </c>
      <c r="AZ850" s="40">
        <f>AZ849*d_rho_sip+AY850*IF(B850&gt;=in_marketplace_from,d_hz_sip*G850,0)</f>
        <v/>
      </c>
      <c r="BA850" s="40">
        <f>d_rho_sip*(BA849+AZ849)</f>
        <v/>
      </c>
      <c r="BB850" s="14">
        <f>F850*in_sip_ticket*(BA850+0.5*AZ850)*in_sip_comm/12</f>
        <v/>
      </c>
      <c r="BC850" s="40">
        <f>BC849*(1-IF(B849&gt;=in_marketplace_from,d_hz_choti*G849,0))</f>
        <v/>
      </c>
      <c r="BD850" s="46">
        <f>BC850*IF(B850&gt;=in_marketplace_from,d_hz_choti*G850,0)</f>
        <v/>
      </c>
      <c r="BE850" s="14">
        <f>F850*SUMIFS(BD842:BD885,B842:B885,B850-in_choti_months)*in_choti_renew*in_choti_ticket</f>
        <v/>
      </c>
      <c r="BF850" s="40">
        <f>BF849*(1-IF(B849&gt;=in_marketplace_from,d_hz_nps*G849,0))</f>
        <v/>
      </c>
      <c r="BG850" s="14">
        <f>F850*BF850*IF(B850&gt;=in_marketplace_from,d_hz_nps*G850,0)*in_nps_ticket*in_nps_comm</f>
        <v/>
      </c>
      <c r="BH850" s="40">
        <f>BH849*(1-IF(B849&gt;=in_marketplace_from,d_hz_gold*G849,0))</f>
        <v/>
      </c>
      <c r="BI850" s="40">
        <f>BI849*d_rho_gold+BH850*IF(B850&gt;=in_marketplace_from,d_hz_gold*G850,0)</f>
        <v/>
      </c>
      <c r="BJ850" s="14">
        <f>F850*BI850*in_gold_ticket*in_gold_comm</f>
        <v/>
      </c>
      <c r="BK850" s="40">
        <f>BK849*(1-IF(B849&gt;=in_marketplace_from,d_hz_fd*G849,0))</f>
        <v/>
      </c>
      <c r="BL850" s="14">
        <f>F850*BK850*IF(B850&gt;=in_marketplace_from,d_hz_fd*G850,0)*in_fd_ticket*in_fd_comm</f>
        <v/>
      </c>
      <c r="BM850" s="40">
        <f>BM849*(1-IF(B849&gt;=in_marketplace_from,d_hz_recharge*G849,0))</f>
        <v/>
      </c>
      <c r="BN850" s="40">
        <f>BN849*d_rho_recharge+BM850*IF(B850&gt;=in_marketplace_from,d_hz_recharge*G850,0)</f>
        <v/>
      </c>
      <c r="BO850" s="14">
        <f>F850*BN850*in_recharge_ticket*in_recharge_comm/12</f>
        <v/>
      </c>
      <c r="BP850" s="40">
        <f>BP849*(1-IF(B849&gt;=in_marketplace_from,d_hz_bills*G849,0))</f>
        <v/>
      </c>
      <c r="BQ850" s="40">
        <f>BQ849*d_rho_bills+BP850*IF(B850&gt;=in_marketplace_from,d_hz_bills*G850,0)</f>
        <v/>
      </c>
      <c r="BR850" s="14">
        <f>F850*BQ850*in_bills_ticket*in_bills_comm/12</f>
        <v/>
      </c>
      <c r="BS850" s="40">
        <f>BS849*(1-IF(B849&gt;=in_marketplace_from,d_hz_loan_gold*G849,0))</f>
        <v/>
      </c>
      <c r="BT850" s="14">
        <f>F850*BS850*IF(B850&gt;=in_marketplace_from,d_hz_loan_gold*G850,0)*in_loan_gold_ticket*in_loan_gold_comm</f>
        <v/>
      </c>
      <c r="BU850" s="40">
        <f>BU849*(1-IF(B849&gt;=in_marketplace_from,d_hz_loan_cd*G849,0))</f>
        <v/>
      </c>
      <c r="BV850" s="14">
        <f>F850*BU850*IF(B850&gt;=in_marketplace_from,d_hz_loan_cd*G850,0)*in_loan_cd_ticket*in_loan_cd_comm</f>
        <v/>
      </c>
      <c r="BW850" s="40">
        <f>BW849*(1-IF(B849&gt;=in_marketplace_from,d_hz_loan_vehicle*G849,0))</f>
        <v/>
      </c>
      <c r="BX850" s="14">
        <f>F850*BW850*IF(B850&gt;=in_marketplace_from,d_hz_loan_vehicle*G850,0)*in_loan_vehicle_ticket*in_loan_vehicle_comm</f>
        <v/>
      </c>
      <c r="BY850" s="40">
        <f>BY849*(1-IF(B849&gt;=in_marketplace_from,d_hz_loan_home*G849,0)*BZ849)</f>
        <v/>
      </c>
      <c r="BZ850" s="11">
        <f>MIN(in_approval_cap,in_loan_home_approval*INDEX('Age profile'!$O$2:$O$61,B850)*(1+in_approval_growth)^(D850-1))</f>
        <v/>
      </c>
      <c r="CA850" s="14">
        <f>F850*BY850*IF(B850&gt;=in_marketplace_from,d_hz_loan_home*G850,0)*BZ850*in_loan_home_ticket*in_loan_home_comm</f>
        <v/>
      </c>
      <c r="CB850" s="40">
        <f>CB849*(1-IF(B849&gt;=in_marketplace_from,d_hz_loan_lap*G849,0)*CC849)</f>
        <v/>
      </c>
      <c r="CC850" s="11">
        <f>MIN(in_approval_cap,in_loan_lap_approval*INDEX('Age profile'!$O$2:$O$61,B850)*(1+in_approval_growth)^(D850-1))</f>
        <v/>
      </c>
      <c r="CD850" s="14">
        <f>F850*CB850*IF(B850&gt;=in_marketplace_from,d_hz_loan_lap*G850,0)*CC850*in_loan_lap_ticket*in_loan_lap_comm</f>
        <v/>
      </c>
      <c r="CE850" s="14">
        <f>AA850+AB850+AC850+AD850+AG850+AJ850+AM850+AP850+AS850+AU850+AX850+BB850+BE850+BG850+BJ850+BL850+BO850+BR850+BT850+BV850+BX850+CA850+CD850</f>
        <v/>
      </c>
    </row>
    <row r="851">
      <c r="A851" s="39" t="n">
        <v>17</v>
      </c>
      <c r="B851" s="39" t="n">
        <v>10</v>
      </c>
      <c r="C851" s="39">
        <f>A851+B851-1</f>
        <v/>
      </c>
      <c r="D851" s="39">
        <f>INT((C851-1)/12)+1</f>
        <v/>
      </c>
      <c r="E851" s="44">
        <f>INDEX(Monthly!$B$2:$B$61,A851)</f>
        <v/>
      </c>
      <c r="F851" s="44">
        <f>E851*INDEX('Age profile'!$B$2:$B$61,B851)</f>
        <v/>
      </c>
      <c r="G851" s="45">
        <f>MIN(in_takeup_cap,INDEX('Age profile'!$N$2:$N$61,B851)*(1+in_takeup_growth)^(D851-1))</f>
        <v/>
      </c>
      <c r="H851" s="11">
        <f>MIN(in_approval_cap,in_approved_first*INDEX('Age profile'!$O$2:$O$61,B851)*(1+in_approval_growth)^(D851-1))</f>
        <v/>
      </c>
      <c r="I851" s="45">
        <f>G851*MIN(in_takeup_cap,INDEX('Age profile'!$O$2:$O$61,B851)*(1+in_approval_growth)^(D851-1))</f>
        <v/>
      </c>
      <c r="J851" s="40">
        <f>(J850-L850)*F851/F850</f>
        <v/>
      </c>
      <c r="K851" s="40">
        <f>(K850-M850)*F851/F850+SUMIFS(O842:O850,B842:B850,B851-1-d_T)*F851</f>
        <v/>
      </c>
      <c r="L851" s="40">
        <f>IF(B851&gt;=in_marketplace_from,J851*d_hz*G851*in_eligible*H851,0)</f>
        <v/>
      </c>
      <c r="M851" s="40">
        <f>IF(B851&gt;=in_marketplace_from,K851*d_hz*G851*in_eligible*in_approved_repeat,0)</f>
        <v/>
      </c>
      <c r="N851" s="40">
        <f>L851+M851</f>
        <v/>
      </c>
      <c r="O851" s="46">
        <f>N851/F851</f>
        <v/>
      </c>
      <c r="P851" s="40">
        <f>F851-J851-K851</f>
        <v/>
      </c>
      <c r="Q851" s="40">
        <f>IF(B851&gt;=in_marketplace_from,(J851+K851)*d_hz*G851,0)</f>
        <v/>
      </c>
      <c r="R851" s="40">
        <f>SUMIFS(N842:N885,B842:B885,"&gt;="&amp;(B851-d_T),B842:B885,"&lt;="&amp;(B851-1))</f>
        <v/>
      </c>
      <c r="S851" s="46">
        <f>(1-d_u)*S850+IF(d_T&gt;in_topup_lag,SUMIFS(O842:O885,B842:B885,B851-in_topup_lag)-d_udrop*SUMIFS(O842:O885,B842:B885,B851-d_T),0)</f>
        <v/>
      </c>
      <c r="T851" s="40">
        <f>F851*d_u*S851</f>
        <v/>
      </c>
      <c r="U851" s="9">
        <f>L851*in_ticket+M851*d_rep_ticket</f>
        <v/>
      </c>
      <c r="V851" s="9">
        <f>U851+T851*d_topup_amt</f>
        <v/>
      </c>
      <c r="W851" s="40">
        <f>N851+T851*d_topup_ratio</f>
        <v/>
      </c>
      <c r="X851" s="40">
        <f>SUMIFS(W842:W885,B842:B885,B851-in_dpd_lag)*d_cured</f>
        <v/>
      </c>
      <c r="Y851" s="40">
        <f>SUMIFS(W842:W885,B842:B885,B851-in_rec_lag)*d_recd</f>
        <v/>
      </c>
      <c r="Z851" s="40">
        <f>IF(AND(B851&gt;=in_marketplace_from,B851&lt;in_marketplace_from+in_card_months),in_card_share/in_card_months*F851*I851,IF(AND(B851&gt;=in_marketplace_from+in_card_months,B851&lt;in_marketplace_from+2*in_card_months),in_card_share*d_card_rem/in_card_months*F851*MIN(in_takeup_cap,(1+in_takeup_growth)^(D851-1))*MIN(in_takeup_cap,(1+in_approval_growth)^(D851-1)),0))</f>
        <v/>
      </c>
      <c r="AA851" s="14">
        <f>V851*in_fee*(1-in_taken_back)</f>
        <v/>
      </c>
      <c r="AB851" s="14">
        <f>SUMIFS(W842:W885,B842:B885,B851-in_dpd_lag)*d_dpd</f>
        <v/>
      </c>
      <c r="AC851" s="14">
        <f>SUMIFS(W842:W885,B842:B885,B851-in_rec_lag)*d_rec</f>
        <v/>
      </c>
      <c r="AD851" s="14">
        <f>Z851*in_card_fee</f>
        <v/>
      </c>
      <c r="AE851" s="40">
        <f>AE850*(1-IF(B850&gt;=in_marketplace_from,d_hz_hlth_small*G850,0))</f>
        <v/>
      </c>
      <c r="AF851" s="46">
        <f>AE851*IF(B851&gt;=in_marketplace_from,d_hz_hlth_small*G851,0)</f>
        <v/>
      </c>
      <c r="AG851" s="14">
        <f>F851*AF851*in_hlth_small_ticket*in_hlth_small_comm*in_ins_partner_share+F851*in_hlth_small_ticket*in_hlth_small_renew_comm*in_ins_partner_share*(in_hlth_small_renew^1*SUMIFS(AF842:AF885,B842:B885,B851-12)+in_hlth_small_renew^2*SUMIFS(AF842:AF885,B842:B885,B851-24)+in_hlth_small_renew^3*SUMIFS(AF842:AF885,B842:B885,B851-36)+in_hlth_small_renew^4*SUMIFS(AF842:AF885,B842:B885,B851-48))</f>
        <v/>
      </c>
      <c r="AH851" s="40">
        <f>AH850*(1-IF(B850&gt;=in_marketplace_from,d_hz_hlth_family*G850,0))</f>
        <v/>
      </c>
      <c r="AI851" s="46">
        <f>AH851*IF(B851&gt;=in_marketplace_from,d_hz_hlth_family*G851,0)</f>
        <v/>
      </c>
      <c r="AJ851" s="14">
        <f>F851*AI851*in_hlth_family_ticket*in_hlth_family_comm*in_ins_partner_share+F851*in_hlth_family_ticket*in_hlth_family_renew_comm*in_ins_partner_share*(in_hlth_family_renew^1*SUMIFS(AI842:AI885,B842:B885,B851-12)+in_hlth_family_renew^2*SUMIFS(AI842:AI885,B842:B885,B851-24)+in_hlth_family_renew^3*SUMIFS(AI842:AI885,B842:B885,B851-36)+in_hlth_family_renew^4*SUMIFS(AI842:AI885,B842:B885,B851-48))</f>
        <v/>
      </c>
      <c r="AK851" s="40">
        <f>AK850*(1-IF(B850&gt;=in_marketplace_from,d_hz_life_term*G850,0))</f>
        <v/>
      </c>
      <c r="AL851" s="46">
        <f>AK851*IF(B851&gt;=in_marketplace_from,d_hz_life_term*G851,0)</f>
        <v/>
      </c>
      <c r="AM851" s="14">
        <f>F851*AL851*in_life_term_ticket*in_life_term_comm*in_ins_partner_share+F851*in_life_term_ticket*in_life_term_renew_comm*in_ins_partner_share*(in_life_term_renew^1*SUMIFS(AL842:AL885,B842:B885,B851-12)+in_life_term_renew^2*SUMIFS(AL842:AL885,B842:B885,B851-24)+in_life_term_renew^3*SUMIFS(AL842:AL885,B842:B885,B851-36)+in_life_term_renew^4*SUMIFS(AL842:AL885,B842:B885,B851-48))</f>
        <v/>
      </c>
      <c r="AN851" s="40">
        <f>AN850*(1-IF(B850&gt;=in_marketplace_from,d_hz_accident*G850,0))</f>
        <v/>
      </c>
      <c r="AO851" s="46">
        <f>AN851*IF(B851&gt;=in_marketplace_from,d_hz_accident*G851,0)</f>
        <v/>
      </c>
      <c r="AP851" s="14">
        <f>F851*AO851*in_accident_ticket*in_accident_comm*in_ins_partner_share+F851*in_accident_ticket*in_accident_renew_comm*in_ins_partner_share*(in_accident_renew^1*SUMIFS(AO842:AO885,B842:B885,B851-12)+in_accident_renew^2*SUMIFS(AO842:AO885,B842:B885,B851-24)+in_accident_renew^3*SUMIFS(AO842:AO885,B842:B885,B851-36)+in_accident_renew^4*SUMIFS(AO842:AO885,B842:B885,B851-48))</f>
        <v/>
      </c>
      <c r="AQ851" s="40">
        <f>AQ850*(1-IF(B850&gt;=in_marketplace_from,d_hz_two_wheeler*G850,0))</f>
        <v/>
      </c>
      <c r="AR851" s="46">
        <f>AQ851*IF(B851&gt;=in_marketplace_from,d_hz_two_wheeler*G851,0)</f>
        <v/>
      </c>
      <c r="AS851" s="14">
        <f>F851*AR851*in_two_wheeler_ticket*in_two_wheeler_comm*in_ins_partner_share+F851*in_two_wheeler_ticket*in_two_wheeler_comm*in_ins_partner_share*(in_two_wheeler_renew^1*SUMIFS(AR842:AR885,B842:B885,B851-12)+in_two_wheeler_renew^2*SUMIFS(AR842:AR885,B842:B885,B851-24)+in_two_wheeler_renew^3*SUMIFS(AR842:AR885,B842:B885,B851-36)+in_two_wheeler_renew^4*SUMIFS(AR842:AR885,B842:B885,B851-48))</f>
        <v/>
      </c>
      <c r="AT851" s="40">
        <f>AT850*(1-IF(B850&gt;=in_marketplace_from,d_hz_device*G850,0))</f>
        <v/>
      </c>
      <c r="AU851" s="14">
        <f>F851*AT851*IF(B851&gt;=in_marketplace_from,d_hz_device*G851,0)*in_device_ticket*in_device_comm*in_ins_partner_share</f>
        <v/>
      </c>
      <c r="AV851" s="40">
        <f>AV850*(1-IF(B850&gt;=in_marketplace_from,d_hz_shop*G850,0))</f>
        <v/>
      </c>
      <c r="AW851" s="46">
        <f>AV851*IF(B851&gt;=in_marketplace_from,d_hz_shop*G851,0)</f>
        <v/>
      </c>
      <c r="AX851" s="14">
        <f>F851*AW851*in_shop_ticket*in_shop_comm*in_ins_partner_share+F851*in_shop_ticket*in_shop_renew_comm*in_ins_partner_share*(in_shop_renew^1*SUMIFS(AW842:AW885,B842:B885,B851-12)+in_shop_renew^2*SUMIFS(AW842:AW885,B842:B885,B851-24)+in_shop_renew^3*SUMIFS(AW842:AW885,B842:B885,B851-36)+in_shop_renew^4*SUMIFS(AW842:AW885,B842:B885,B851-48))</f>
        <v/>
      </c>
      <c r="AY851" s="40">
        <f>AY850*(1-IF(B850&gt;=in_marketplace_from,d_hz_sip*G850,0))</f>
        <v/>
      </c>
      <c r="AZ851" s="40">
        <f>AZ850*d_rho_sip+AY851*IF(B851&gt;=in_marketplace_from,d_hz_sip*G851,0)</f>
        <v/>
      </c>
      <c r="BA851" s="40">
        <f>d_rho_sip*(BA850+AZ850)</f>
        <v/>
      </c>
      <c r="BB851" s="14">
        <f>F851*in_sip_ticket*(BA851+0.5*AZ851)*in_sip_comm/12</f>
        <v/>
      </c>
      <c r="BC851" s="40">
        <f>BC850*(1-IF(B850&gt;=in_marketplace_from,d_hz_choti*G850,0))</f>
        <v/>
      </c>
      <c r="BD851" s="46">
        <f>BC851*IF(B851&gt;=in_marketplace_from,d_hz_choti*G851,0)</f>
        <v/>
      </c>
      <c r="BE851" s="14">
        <f>F851*SUMIFS(BD842:BD885,B842:B885,B851-in_choti_months)*in_choti_renew*in_choti_ticket</f>
        <v/>
      </c>
      <c r="BF851" s="40">
        <f>BF850*(1-IF(B850&gt;=in_marketplace_from,d_hz_nps*G850,0))</f>
        <v/>
      </c>
      <c r="BG851" s="14">
        <f>F851*BF851*IF(B851&gt;=in_marketplace_from,d_hz_nps*G851,0)*in_nps_ticket*in_nps_comm</f>
        <v/>
      </c>
      <c r="BH851" s="40">
        <f>BH850*(1-IF(B850&gt;=in_marketplace_from,d_hz_gold*G850,0))</f>
        <v/>
      </c>
      <c r="BI851" s="40">
        <f>BI850*d_rho_gold+BH851*IF(B851&gt;=in_marketplace_from,d_hz_gold*G851,0)</f>
        <v/>
      </c>
      <c r="BJ851" s="14">
        <f>F851*BI851*in_gold_ticket*in_gold_comm</f>
        <v/>
      </c>
      <c r="BK851" s="40">
        <f>BK850*(1-IF(B850&gt;=in_marketplace_from,d_hz_fd*G850,0))</f>
        <v/>
      </c>
      <c r="BL851" s="14">
        <f>F851*BK851*IF(B851&gt;=in_marketplace_from,d_hz_fd*G851,0)*in_fd_ticket*in_fd_comm</f>
        <v/>
      </c>
      <c r="BM851" s="40">
        <f>BM850*(1-IF(B850&gt;=in_marketplace_from,d_hz_recharge*G850,0))</f>
        <v/>
      </c>
      <c r="BN851" s="40">
        <f>BN850*d_rho_recharge+BM851*IF(B851&gt;=in_marketplace_from,d_hz_recharge*G851,0)</f>
        <v/>
      </c>
      <c r="BO851" s="14">
        <f>F851*BN851*in_recharge_ticket*in_recharge_comm/12</f>
        <v/>
      </c>
      <c r="BP851" s="40">
        <f>BP850*(1-IF(B850&gt;=in_marketplace_from,d_hz_bills*G850,0))</f>
        <v/>
      </c>
      <c r="BQ851" s="40">
        <f>BQ850*d_rho_bills+BP851*IF(B851&gt;=in_marketplace_from,d_hz_bills*G851,0)</f>
        <v/>
      </c>
      <c r="BR851" s="14">
        <f>F851*BQ851*in_bills_ticket*in_bills_comm/12</f>
        <v/>
      </c>
      <c r="BS851" s="40">
        <f>BS850*(1-IF(B850&gt;=in_marketplace_from,d_hz_loan_gold*G850,0))</f>
        <v/>
      </c>
      <c r="BT851" s="14">
        <f>F851*BS851*IF(B851&gt;=in_marketplace_from,d_hz_loan_gold*G851,0)*in_loan_gold_ticket*in_loan_gold_comm</f>
        <v/>
      </c>
      <c r="BU851" s="40">
        <f>BU850*(1-IF(B850&gt;=in_marketplace_from,d_hz_loan_cd*G850,0))</f>
        <v/>
      </c>
      <c r="BV851" s="14">
        <f>F851*BU851*IF(B851&gt;=in_marketplace_from,d_hz_loan_cd*G851,0)*in_loan_cd_ticket*in_loan_cd_comm</f>
        <v/>
      </c>
      <c r="BW851" s="40">
        <f>BW850*(1-IF(B850&gt;=in_marketplace_from,d_hz_loan_vehicle*G850,0))</f>
        <v/>
      </c>
      <c r="BX851" s="14">
        <f>F851*BW851*IF(B851&gt;=in_marketplace_from,d_hz_loan_vehicle*G851,0)*in_loan_vehicle_ticket*in_loan_vehicle_comm</f>
        <v/>
      </c>
      <c r="BY851" s="40">
        <f>BY850*(1-IF(B850&gt;=in_marketplace_from,d_hz_loan_home*G850,0)*BZ850)</f>
        <v/>
      </c>
      <c r="BZ851" s="11">
        <f>MIN(in_approval_cap,in_loan_home_approval*INDEX('Age profile'!$O$2:$O$61,B851)*(1+in_approval_growth)^(D851-1))</f>
        <v/>
      </c>
      <c r="CA851" s="14">
        <f>F851*BY851*IF(B851&gt;=in_marketplace_from,d_hz_loan_home*G851,0)*BZ851*in_loan_home_ticket*in_loan_home_comm</f>
        <v/>
      </c>
      <c r="CB851" s="40">
        <f>CB850*(1-IF(B850&gt;=in_marketplace_from,d_hz_loan_lap*G850,0)*CC850)</f>
        <v/>
      </c>
      <c r="CC851" s="11">
        <f>MIN(in_approval_cap,in_loan_lap_approval*INDEX('Age profile'!$O$2:$O$61,B851)*(1+in_approval_growth)^(D851-1))</f>
        <v/>
      </c>
      <c r="CD851" s="14">
        <f>F851*CB851*IF(B851&gt;=in_marketplace_from,d_hz_loan_lap*G851,0)*CC851*in_loan_lap_ticket*in_loan_lap_comm</f>
        <v/>
      </c>
      <c r="CE851" s="14">
        <f>AA851+AB851+AC851+AD851+AG851+AJ851+AM851+AP851+AS851+AU851+AX851+BB851+BE851+BG851+BJ851+BL851+BO851+BR851+BT851+BV851+BX851+CA851+CD851</f>
        <v/>
      </c>
    </row>
    <row r="852">
      <c r="A852" s="39" t="n">
        <v>17</v>
      </c>
      <c r="B852" s="39" t="n">
        <v>11</v>
      </c>
      <c r="C852" s="39">
        <f>A852+B852-1</f>
        <v/>
      </c>
      <c r="D852" s="39">
        <f>INT((C852-1)/12)+1</f>
        <v/>
      </c>
      <c r="E852" s="44">
        <f>INDEX(Monthly!$B$2:$B$61,A852)</f>
        <v/>
      </c>
      <c r="F852" s="44">
        <f>E852*INDEX('Age profile'!$B$2:$B$61,B852)</f>
        <v/>
      </c>
      <c r="G852" s="45">
        <f>MIN(in_takeup_cap,INDEX('Age profile'!$N$2:$N$61,B852)*(1+in_takeup_growth)^(D852-1))</f>
        <v/>
      </c>
      <c r="H852" s="11">
        <f>MIN(in_approval_cap,in_approved_first*INDEX('Age profile'!$O$2:$O$61,B852)*(1+in_approval_growth)^(D852-1))</f>
        <v/>
      </c>
      <c r="I852" s="45">
        <f>G852*MIN(in_takeup_cap,INDEX('Age profile'!$O$2:$O$61,B852)*(1+in_approval_growth)^(D852-1))</f>
        <v/>
      </c>
      <c r="J852" s="40">
        <f>(J851-L851)*F852/F851</f>
        <v/>
      </c>
      <c r="K852" s="40">
        <f>(K851-M851)*F852/F851+SUMIFS(O842:O851,B842:B851,B852-1-d_T)*F852</f>
        <v/>
      </c>
      <c r="L852" s="40">
        <f>IF(B852&gt;=in_marketplace_from,J852*d_hz*G852*in_eligible*H852,0)</f>
        <v/>
      </c>
      <c r="M852" s="40">
        <f>IF(B852&gt;=in_marketplace_from,K852*d_hz*G852*in_eligible*in_approved_repeat,0)</f>
        <v/>
      </c>
      <c r="N852" s="40">
        <f>L852+M852</f>
        <v/>
      </c>
      <c r="O852" s="46">
        <f>N852/F852</f>
        <v/>
      </c>
      <c r="P852" s="40">
        <f>F852-J852-K852</f>
        <v/>
      </c>
      <c r="Q852" s="40">
        <f>IF(B852&gt;=in_marketplace_from,(J852+K852)*d_hz*G852,0)</f>
        <v/>
      </c>
      <c r="R852" s="40">
        <f>SUMIFS(N842:N885,B842:B885,"&gt;="&amp;(B852-d_T),B842:B885,"&lt;="&amp;(B852-1))</f>
        <v/>
      </c>
      <c r="S852" s="46">
        <f>(1-d_u)*S851+IF(d_T&gt;in_topup_lag,SUMIFS(O842:O885,B842:B885,B852-in_topup_lag)-d_udrop*SUMIFS(O842:O885,B842:B885,B852-d_T),0)</f>
        <v/>
      </c>
      <c r="T852" s="40">
        <f>F852*d_u*S852</f>
        <v/>
      </c>
      <c r="U852" s="9">
        <f>L852*in_ticket+M852*d_rep_ticket</f>
        <v/>
      </c>
      <c r="V852" s="9">
        <f>U852+T852*d_topup_amt</f>
        <v/>
      </c>
      <c r="W852" s="40">
        <f>N852+T852*d_topup_ratio</f>
        <v/>
      </c>
      <c r="X852" s="40">
        <f>SUMIFS(W842:W885,B842:B885,B852-in_dpd_lag)*d_cured</f>
        <v/>
      </c>
      <c r="Y852" s="40">
        <f>SUMIFS(W842:W885,B842:B885,B852-in_rec_lag)*d_recd</f>
        <v/>
      </c>
      <c r="Z852" s="40">
        <f>IF(AND(B852&gt;=in_marketplace_from,B852&lt;in_marketplace_from+in_card_months),in_card_share/in_card_months*F852*I852,IF(AND(B852&gt;=in_marketplace_from+in_card_months,B852&lt;in_marketplace_from+2*in_card_months),in_card_share*d_card_rem/in_card_months*F852*MIN(in_takeup_cap,(1+in_takeup_growth)^(D852-1))*MIN(in_takeup_cap,(1+in_approval_growth)^(D852-1)),0))</f>
        <v/>
      </c>
      <c r="AA852" s="14">
        <f>V852*in_fee*(1-in_taken_back)</f>
        <v/>
      </c>
      <c r="AB852" s="14">
        <f>SUMIFS(W842:W885,B842:B885,B852-in_dpd_lag)*d_dpd</f>
        <v/>
      </c>
      <c r="AC852" s="14">
        <f>SUMIFS(W842:W885,B842:B885,B852-in_rec_lag)*d_rec</f>
        <v/>
      </c>
      <c r="AD852" s="14">
        <f>Z852*in_card_fee</f>
        <v/>
      </c>
      <c r="AE852" s="40">
        <f>AE851*(1-IF(B851&gt;=in_marketplace_from,d_hz_hlth_small*G851,0))</f>
        <v/>
      </c>
      <c r="AF852" s="46">
        <f>AE852*IF(B852&gt;=in_marketplace_from,d_hz_hlth_small*G852,0)</f>
        <v/>
      </c>
      <c r="AG852" s="14">
        <f>F852*AF852*in_hlth_small_ticket*in_hlth_small_comm*in_ins_partner_share+F852*in_hlth_small_ticket*in_hlth_small_renew_comm*in_ins_partner_share*(in_hlth_small_renew^1*SUMIFS(AF842:AF885,B842:B885,B852-12)+in_hlth_small_renew^2*SUMIFS(AF842:AF885,B842:B885,B852-24)+in_hlth_small_renew^3*SUMIFS(AF842:AF885,B842:B885,B852-36)+in_hlth_small_renew^4*SUMIFS(AF842:AF885,B842:B885,B852-48))</f>
        <v/>
      </c>
      <c r="AH852" s="40">
        <f>AH851*(1-IF(B851&gt;=in_marketplace_from,d_hz_hlth_family*G851,0))</f>
        <v/>
      </c>
      <c r="AI852" s="46">
        <f>AH852*IF(B852&gt;=in_marketplace_from,d_hz_hlth_family*G852,0)</f>
        <v/>
      </c>
      <c r="AJ852" s="14">
        <f>F852*AI852*in_hlth_family_ticket*in_hlth_family_comm*in_ins_partner_share+F852*in_hlth_family_ticket*in_hlth_family_renew_comm*in_ins_partner_share*(in_hlth_family_renew^1*SUMIFS(AI842:AI885,B842:B885,B852-12)+in_hlth_family_renew^2*SUMIFS(AI842:AI885,B842:B885,B852-24)+in_hlth_family_renew^3*SUMIFS(AI842:AI885,B842:B885,B852-36)+in_hlth_family_renew^4*SUMIFS(AI842:AI885,B842:B885,B852-48))</f>
        <v/>
      </c>
      <c r="AK852" s="40">
        <f>AK851*(1-IF(B851&gt;=in_marketplace_from,d_hz_life_term*G851,0))</f>
        <v/>
      </c>
      <c r="AL852" s="46">
        <f>AK852*IF(B852&gt;=in_marketplace_from,d_hz_life_term*G852,0)</f>
        <v/>
      </c>
      <c r="AM852" s="14">
        <f>F852*AL852*in_life_term_ticket*in_life_term_comm*in_ins_partner_share+F852*in_life_term_ticket*in_life_term_renew_comm*in_ins_partner_share*(in_life_term_renew^1*SUMIFS(AL842:AL885,B842:B885,B852-12)+in_life_term_renew^2*SUMIFS(AL842:AL885,B842:B885,B852-24)+in_life_term_renew^3*SUMIFS(AL842:AL885,B842:B885,B852-36)+in_life_term_renew^4*SUMIFS(AL842:AL885,B842:B885,B852-48))</f>
        <v/>
      </c>
      <c r="AN852" s="40">
        <f>AN851*(1-IF(B851&gt;=in_marketplace_from,d_hz_accident*G851,0))</f>
        <v/>
      </c>
      <c r="AO852" s="46">
        <f>AN852*IF(B852&gt;=in_marketplace_from,d_hz_accident*G852,0)</f>
        <v/>
      </c>
      <c r="AP852" s="14">
        <f>F852*AO852*in_accident_ticket*in_accident_comm*in_ins_partner_share+F852*in_accident_ticket*in_accident_renew_comm*in_ins_partner_share*(in_accident_renew^1*SUMIFS(AO842:AO885,B842:B885,B852-12)+in_accident_renew^2*SUMIFS(AO842:AO885,B842:B885,B852-24)+in_accident_renew^3*SUMIFS(AO842:AO885,B842:B885,B852-36)+in_accident_renew^4*SUMIFS(AO842:AO885,B842:B885,B852-48))</f>
        <v/>
      </c>
      <c r="AQ852" s="40">
        <f>AQ851*(1-IF(B851&gt;=in_marketplace_from,d_hz_two_wheeler*G851,0))</f>
        <v/>
      </c>
      <c r="AR852" s="46">
        <f>AQ852*IF(B852&gt;=in_marketplace_from,d_hz_two_wheeler*G852,0)</f>
        <v/>
      </c>
      <c r="AS852" s="14">
        <f>F852*AR852*in_two_wheeler_ticket*in_two_wheeler_comm*in_ins_partner_share+F852*in_two_wheeler_ticket*in_two_wheeler_comm*in_ins_partner_share*(in_two_wheeler_renew^1*SUMIFS(AR842:AR885,B842:B885,B852-12)+in_two_wheeler_renew^2*SUMIFS(AR842:AR885,B842:B885,B852-24)+in_two_wheeler_renew^3*SUMIFS(AR842:AR885,B842:B885,B852-36)+in_two_wheeler_renew^4*SUMIFS(AR842:AR885,B842:B885,B852-48))</f>
        <v/>
      </c>
      <c r="AT852" s="40">
        <f>AT851*(1-IF(B851&gt;=in_marketplace_from,d_hz_device*G851,0))</f>
        <v/>
      </c>
      <c r="AU852" s="14">
        <f>F852*AT852*IF(B852&gt;=in_marketplace_from,d_hz_device*G852,0)*in_device_ticket*in_device_comm*in_ins_partner_share</f>
        <v/>
      </c>
      <c r="AV852" s="40">
        <f>AV851*(1-IF(B851&gt;=in_marketplace_from,d_hz_shop*G851,0))</f>
        <v/>
      </c>
      <c r="AW852" s="46">
        <f>AV852*IF(B852&gt;=in_marketplace_from,d_hz_shop*G852,0)</f>
        <v/>
      </c>
      <c r="AX852" s="14">
        <f>F852*AW852*in_shop_ticket*in_shop_comm*in_ins_partner_share+F852*in_shop_ticket*in_shop_renew_comm*in_ins_partner_share*(in_shop_renew^1*SUMIFS(AW842:AW885,B842:B885,B852-12)+in_shop_renew^2*SUMIFS(AW842:AW885,B842:B885,B852-24)+in_shop_renew^3*SUMIFS(AW842:AW885,B842:B885,B852-36)+in_shop_renew^4*SUMIFS(AW842:AW885,B842:B885,B852-48))</f>
        <v/>
      </c>
      <c r="AY852" s="40">
        <f>AY851*(1-IF(B851&gt;=in_marketplace_from,d_hz_sip*G851,0))</f>
        <v/>
      </c>
      <c r="AZ852" s="40">
        <f>AZ851*d_rho_sip+AY852*IF(B852&gt;=in_marketplace_from,d_hz_sip*G852,0)</f>
        <v/>
      </c>
      <c r="BA852" s="40">
        <f>d_rho_sip*(BA851+AZ851)</f>
        <v/>
      </c>
      <c r="BB852" s="14">
        <f>F852*in_sip_ticket*(BA852+0.5*AZ852)*in_sip_comm/12</f>
        <v/>
      </c>
      <c r="BC852" s="40">
        <f>BC851*(1-IF(B851&gt;=in_marketplace_from,d_hz_choti*G851,0))</f>
        <v/>
      </c>
      <c r="BD852" s="46">
        <f>BC852*IF(B852&gt;=in_marketplace_from,d_hz_choti*G852,0)</f>
        <v/>
      </c>
      <c r="BE852" s="14">
        <f>F852*SUMIFS(BD842:BD885,B842:B885,B852-in_choti_months)*in_choti_renew*in_choti_ticket</f>
        <v/>
      </c>
      <c r="BF852" s="40">
        <f>BF851*(1-IF(B851&gt;=in_marketplace_from,d_hz_nps*G851,0))</f>
        <v/>
      </c>
      <c r="BG852" s="14">
        <f>F852*BF852*IF(B852&gt;=in_marketplace_from,d_hz_nps*G852,0)*in_nps_ticket*in_nps_comm</f>
        <v/>
      </c>
      <c r="BH852" s="40">
        <f>BH851*(1-IF(B851&gt;=in_marketplace_from,d_hz_gold*G851,0))</f>
        <v/>
      </c>
      <c r="BI852" s="40">
        <f>BI851*d_rho_gold+BH852*IF(B852&gt;=in_marketplace_from,d_hz_gold*G852,0)</f>
        <v/>
      </c>
      <c r="BJ852" s="14">
        <f>F852*BI852*in_gold_ticket*in_gold_comm</f>
        <v/>
      </c>
      <c r="BK852" s="40">
        <f>BK851*(1-IF(B851&gt;=in_marketplace_from,d_hz_fd*G851,0))</f>
        <v/>
      </c>
      <c r="BL852" s="14">
        <f>F852*BK852*IF(B852&gt;=in_marketplace_from,d_hz_fd*G852,0)*in_fd_ticket*in_fd_comm</f>
        <v/>
      </c>
      <c r="BM852" s="40">
        <f>BM851*(1-IF(B851&gt;=in_marketplace_from,d_hz_recharge*G851,0))</f>
        <v/>
      </c>
      <c r="BN852" s="40">
        <f>BN851*d_rho_recharge+BM852*IF(B852&gt;=in_marketplace_from,d_hz_recharge*G852,0)</f>
        <v/>
      </c>
      <c r="BO852" s="14">
        <f>F852*BN852*in_recharge_ticket*in_recharge_comm/12</f>
        <v/>
      </c>
      <c r="BP852" s="40">
        <f>BP851*(1-IF(B851&gt;=in_marketplace_from,d_hz_bills*G851,0))</f>
        <v/>
      </c>
      <c r="BQ852" s="40">
        <f>BQ851*d_rho_bills+BP852*IF(B852&gt;=in_marketplace_from,d_hz_bills*G852,0)</f>
        <v/>
      </c>
      <c r="BR852" s="14">
        <f>F852*BQ852*in_bills_ticket*in_bills_comm/12</f>
        <v/>
      </c>
      <c r="BS852" s="40">
        <f>BS851*(1-IF(B851&gt;=in_marketplace_from,d_hz_loan_gold*G851,0))</f>
        <v/>
      </c>
      <c r="BT852" s="14">
        <f>F852*BS852*IF(B852&gt;=in_marketplace_from,d_hz_loan_gold*G852,0)*in_loan_gold_ticket*in_loan_gold_comm</f>
        <v/>
      </c>
      <c r="BU852" s="40">
        <f>BU851*(1-IF(B851&gt;=in_marketplace_from,d_hz_loan_cd*G851,0))</f>
        <v/>
      </c>
      <c r="BV852" s="14">
        <f>F852*BU852*IF(B852&gt;=in_marketplace_from,d_hz_loan_cd*G852,0)*in_loan_cd_ticket*in_loan_cd_comm</f>
        <v/>
      </c>
      <c r="BW852" s="40">
        <f>BW851*(1-IF(B851&gt;=in_marketplace_from,d_hz_loan_vehicle*G851,0))</f>
        <v/>
      </c>
      <c r="BX852" s="14">
        <f>F852*BW852*IF(B852&gt;=in_marketplace_from,d_hz_loan_vehicle*G852,0)*in_loan_vehicle_ticket*in_loan_vehicle_comm</f>
        <v/>
      </c>
      <c r="BY852" s="40">
        <f>BY851*(1-IF(B851&gt;=in_marketplace_from,d_hz_loan_home*G851,0)*BZ851)</f>
        <v/>
      </c>
      <c r="BZ852" s="11">
        <f>MIN(in_approval_cap,in_loan_home_approval*INDEX('Age profile'!$O$2:$O$61,B852)*(1+in_approval_growth)^(D852-1))</f>
        <v/>
      </c>
      <c r="CA852" s="14">
        <f>F852*BY852*IF(B852&gt;=in_marketplace_from,d_hz_loan_home*G852,0)*BZ852*in_loan_home_ticket*in_loan_home_comm</f>
        <v/>
      </c>
      <c r="CB852" s="40">
        <f>CB851*(1-IF(B851&gt;=in_marketplace_from,d_hz_loan_lap*G851,0)*CC851)</f>
        <v/>
      </c>
      <c r="CC852" s="11">
        <f>MIN(in_approval_cap,in_loan_lap_approval*INDEX('Age profile'!$O$2:$O$61,B852)*(1+in_approval_growth)^(D852-1))</f>
        <v/>
      </c>
      <c r="CD852" s="14">
        <f>F852*CB852*IF(B852&gt;=in_marketplace_from,d_hz_loan_lap*G852,0)*CC852*in_loan_lap_ticket*in_loan_lap_comm</f>
        <v/>
      </c>
      <c r="CE852" s="14">
        <f>AA852+AB852+AC852+AD852+AG852+AJ852+AM852+AP852+AS852+AU852+AX852+BB852+BE852+BG852+BJ852+BL852+BO852+BR852+BT852+BV852+BX852+CA852+CD852</f>
        <v/>
      </c>
    </row>
    <row r="853">
      <c r="A853" s="39" t="n">
        <v>17</v>
      </c>
      <c r="B853" s="39" t="n">
        <v>12</v>
      </c>
      <c r="C853" s="39">
        <f>A853+B853-1</f>
        <v/>
      </c>
      <c r="D853" s="39">
        <f>INT((C853-1)/12)+1</f>
        <v/>
      </c>
      <c r="E853" s="44">
        <f>INDEX(Monthly!$B$2:$B$61,A853)</f>
        <v/>
      </c>
      <c r="F853" s="44">
        <f>E853*INDEX('Age profile'!$B$2:$B$61,B853)</f>
        <v/>
      </c>
      <c r="G853" s="45">
        <f>MIN(in_takeup_cap,INDEX('Age profile'!$N$2:$N$61,B853)*(1+in_takeup_growth)^(D853-1))</f>
        <v/>
      </c>
      <c r="H853" s="11">
        <f>MIN(in_approval_cap,in_approved_first*INDEX('Age profile'!$O$2:$O$61,B853)*(1+in_approval_growth)^(D853-1))</f>
        <v/>
      </c>
      <c r="I853" s="45">
        <f>G853*MIN(in_takeup_cap,INDEX('Age profile'!$O$2:$O$61,B853)*(1+in_approval_growth)^(D853-1))</f>
        <v/>
      </c>
      <c r="J853" s="40">
        <f>(J852-L852)*F853/F852</f>
        <v/>
      </c>
      <c r="K853" s="40">
        <f>(K852-M852)*F853/F852+SUMIFS(O842:O852,B842:B852,B853-1-d_T)*F853</f>
        <v/>
      </c>
      <c r="L853" s="40">
        <f>IF(B853&gt;=in_marketplace_from,J853*d_hz*G853*in_eligible*H853,0)</f>
        <v/>
      </c>
      <c r="M853" s="40">
        <f>IF(B853&gt;=in_marketplace_from,K853*d_hz*G853*in_eligible*in_approved_repeat,0)</f>
        <v/>
      </c>
      <c r="N853" s="40">
        <f>L853+M853</f>
        <v/>
      </c>
      <c r="O853" s="46">
        <f>N853/F853</f>
        <v/>
      </c>
      <c r="P853" s="40">
        <f>F853-J853-K853</f>
        <v/>
      </c>
      <c r="Q853" s="40">
        <f>IF(B853&gt;=in_marketplace_from,(J853+K853)*d_hz*G853,0)</f>
        <v/>
      </c>
      <c r="R853" s="40">
        <f>SUMIFS(N842:N885,B842:B885,"&gt;="&amp;(B853-d_T),B842:B885,"&lt;="&amp;(B853-1))</f>
        <v/>
      </c>
      <c r="S853" s="46">
        <f>(1-d_u)*S852+IF(d_T&gt;in_topup_lag,SUMIFS(O842:O885,B842:B885,B853-in_topup_lag)-d_udrop*SUMIFS(O842:O885,B842:B885,B853-d_T),0)</f>
        <v/>
      </c>
      <c r="T853" s="40">
        <f>F853*d_u*S853</f>
        <v/>
      </c>
      <c r="U853" s="9">
        <f>L853*in_ticket+M853*d_rep_ticket</f>
        <v/>
      </c>
      <c r="V853" s="9">
        <f>U853+T853*d_topup_amt</f>
        <v/>
      </c>
      <c r="W853" s="40">
        <f>N853+T853*d_topup_ratio</f>
        <v/>
      </c>
      <c r="X853" s="40">
        <f>SUMIFS(W842:W885,B842:B885,B853-in_dpd_lag)*d_cured</f>
        <v/>
      </c>
      <c r="Y853" s="40">
        <f>SUMIFS(W842:W885,B842:B885,B853-in_rec_lag)*d_recd</f>
        <v/>
      </c>
      <c r="Z853" s="40">
        <f>IF(AND(B853&gt;=in_marketplace_from,B853&lt;in_marketplace_from+in_card_months),in_card_share/in_card_months*F853*I853,IF(AND(B853&gt;=in_marketplace_from+in_card_months,B853&lt;in_marketplace_from+2*in_card_months),in_card_share*d_card_rem/in_card_months*F853*MIN(in_takeup_cap,(1+in_takeup_growth)^(D853-1))*MIN(in_takeup_cap,(1+in_approval_growth)^(D853-1)),0))</f>
        <v/>
      </c>
      <c r="AA853" s="14">
        <f>V853*in_fee*(1-in_taken_back)</f>
        <v/>
      </c>
      <c r="AB853" s="14">
        <f>SUMIFS(W842:W885,B842:B885,B853-in_dpd_lag)*d_dpd</f>
        <v/>
      </c>
      <c r="AC853" s="14">
        <f>SUMIFS(W842:W885,B842:B885,B853-in_rec_lag)*d_rec</f>
        <v/>
      </c>
      <c r="AD853" s="14">
        <f>Z853*in_card_fee</f>
        <v/>
      </c>
      <c r="AE853" s="40">
        <f>AE852*(1-IF(B852&gt;=in_marketplace_from,d_hz_hlth_small*G852,0))</f>
        <v/>
      </c>
      <c r="AF853" s="46">
        <f>AE853*IF(B853&gt;=in_marketplace_from,d_hz_hlth_small*G853,0)</f>
        <v/>
      </c>
      <c r="AG853" s="14">
        <f>F853*AF853*in_hlth_small_ticket*in_hlth_small_comm*in_ins_partner_share+F853*in_hlth_small_ticket*in_hlth_small_renew_comm*in_ins_partner_share*(in_hlth_small_renew^1*SUMIFS(AF842:AF885,B842:B885,B853-12)+in_hlth_small_renew^2*SUMIFS(AF842:AF885,B842:B885,B853-24)+in_hlth_small_renew^3*SUMIFS(AF842:AF885,B842:B885,B853-36)+in_hlth_small_renew^4*SUMIFS(AF842:AF885,B842:B885,B853-48))</f>
        <v/>
      </c>
      <c r="AH853" s="40">
        <f>AH852*(1-IF(B852&gt;=in_marketplace_from,d_hz_hlth_family*G852,0))</f>
        <v/>
      </c>
      <c r="AI853" s="46">
        <f>AH853*IF(B853&gt;=in_marketplace_from,d_hz_hlth_family*G853,0)</f>
        <v/>
      </c>
      <c r="AJ853" s="14">
        <f>F853*AI853*in_hlth_family_ticket*in_hlth_family_comm*in_ins_partner_share+F853*in_hlth_family_ticket*in_hlth_family_renew_comm*in_ins_partner_share*(in_hlth_family_renew^1*SUMIFS(AI842:AI885,B842:B885,B853-12)+in_hlth_family_renew^2*SUMIFS(AI842:AI885,B842:B885,B853-24)+in_hlth_family_renew^3*SUMIFS(AI842:AI885,B842:B885,B853-36)+in_hlth_family_renew^4*SUMIFS(AI842:AI885,B842:B885,B853-48))</f>
        <v/>
      </c>
      <c r="AK853" s="40">
        <f>AK852*(1-IF(B852&gt;=in_marketplace_from,d_hz_life_term*G852,0))</f>
        <v/>
      </c>
      <c r="AL853" s="46">
        <f>AK853*IF(B853&gt;=in_marketplace_from,d_hz_life_term*G853,0)</f>
        <v/>
      </c>
      <c r="AM853" s="14">
        <f>F853*AL853*in_life_term_ticket*in_life_term_comm*in_ins_partner_share+F853*in_life_term_ticket*in_life_term_renew_comm*in_ins_partner_share*(in_life_term_renew^1*SUMIFS(AL842:AL885,B842:B885,B853-12)+in_life_term_renew^2*SUMIFS(AL842:AL885,B842:B885,B853-24)+in_life_term_renew^3*SUMIFS(AL842:AL885,B842:B885,B853-36)+in_life_term_renew^4*SUMIFS(AL842:AL885,B842:B885,B853-48))</f>
        <v/>
      </c>
      <c r="AN853" s="40">
        <f>AN852*(1-IF(B852&gt;=in_marketplace_from,d_hz_accident*G852,0))</f>
        <v/>
      </c>
      <c r="AO853" s="46">
        <f>AN853*IF(B853&gt;=in_marketplace_from,d_hz_accident*G853,0)</f>
        <v/>
      </c>
      <c r="AP853" s="14">
        <f>F853*AO853*in_accident_ticket*in_accident_comm*in_ins_partner_share+F853*in_accident_ticket*in_accident_renew_comm*in_ins_partner_share*(in_accident_renew^1*SUMIFS(AO842:AO885,B842:B885,B853-12)+in_accident_renew^2*SUMIFS(AO842:AO885,B842:B885,B853-24)+in_accident_renew^3*SUMIFS(AO842:AO885,B842:B885,B853-36)+in_accident_renew^4*SUMIFS(AO842:AO885,B842:B885,B853-48))</f>
        <v/>
      </c>
      <c r="AQ853" s="40">
        <f>AQ852*(1-IF(B852&gt;=in_marketplace_from,d_hz_two_wheeler*G852,0))</f>
        <v/>
      </c>
      <c r="AR853" s="46">
        <f>AQ853*IF(B853&gt;=in_marketplace_from,d_hz_two_wheeler*G853,0)</f>
        <v/>
      </c>
      <c r="AS853" s="14">
        <f>F853*AR853*in_two_wheeler_ticket*in_two_wheeler_comm*in_ins_partner_share+F853*in_two_wheeler_ticket*in_two_wheeler_comm*in_ins_partner_share*(in_two_wheeler_renew^1*SUMIFS(AR842:AR885,B842:B885,B853-12)+in_two_wheeler_renew^2*SUMIFS(AR842:AR885,B842:B885,B853-24)+in_two_wheeler_renew^3*SUMIFS(AR842:AR885,B842:B885,B853-36)+in_two_wheeler_renew^4*SUMIFS(AR842:AR885,B842:B885,B853-48))</f>
        <v/>
      </c>
      <c r="AT853" s="40">
        <f>AT852*(1-IF(B852&gt;=in_marketplace_from,d_hz_device*G852,0))</f>
        <v/>
      </c>
      <c r="AU853" s="14">
        <f>F853*AT853*IF(B853&gt;=in_marketplace_from,d_hz_device*G853,0)*in_device_ticket*in_device_comm*in_ins_partner_share</f>
        <v/>
      </c>
      <c r="AV853" s="40">
        <f>AV852*(1-IF(B852&gt;=in_marketplace_from,d_hz_shop*G852,0))</f>
        <v/>
      </c>
      <c r="AW853" s="46">
        <f>AV853*IF(B853&gt;=in_marketplace_from,d_hz_shop*G853,0)</f>
        <v/>
      </c>
      <c r="AX853" s="14">
        <f>F853*AW853*in_shop_ticket*in_shop_comm*in_ins_partner_share+F853*in_shop_ticket*in_shop_renew_comm*in_ins_partner_share*(in_shop_renew^1*SUMIFS(AW842:AW885,B842:B885,B853-12)+in_shop_renew^2*SUMIFS(AW842:AW885,B842:B885,B853-24)+in_shop_renew^3*SUMIFS(AW842:AW885,B842:B885,B853-36)+in_shop_renew^4*SUMIFS(AW842:AW885,B842:B885,B853-48))</f>
        <v/>
      </c>
      <c r="AY853" s="40">
        <f>AY852*(1-IF(B852&gt;=in_marketplace_from,d_hz_sip*G852,0))</f>
        <v/>
      </c>
      <c r="AZ853" s="40">
        <f>AZ852*d_rho_sip+AY853*IF(B853&gt;=in_marketplace_from,d_hz_sip*G853,0)</f>
        <v/>
      </c>
      <c r="BA853" s="40">
        <f>d_rho_sip*(BA852+AZ852)</f>
        <v/>
      </c>
      <c r="BB853" s="14">
        <f>F853*in_sip_ticket*(BA853+0.5*AZ853)*in_sip_comm/12</f>
        <v/>
      </c>
      <c r="BC853" s="40">
        <f>BC852*(1-IF(B852&gt;=in_marketplace_from,d_hz_choti*G852,0))</f>
        <v/>
      </c>
      <c r="BD853" s="46">
        <f>BC853*IF(B853&gt;=in_marketplace_from,d_hz_choti*G853,0)</f>
        <v/>
      </c>
      <c r="BE853" s="14">
        <f>F853*SUMIFS(BD842:BD885,B842:B885,B853-in_choti_months)*in_choti_renew*in_choti_ticket</f>
        <v/>
      </c>
      <c r="BF853" s="40">
        <f>BF852*(1-IF(B852&gt;=in_marketplace_from,d_hz_nps*G852,0))</f>
        <v/>
      </c>
      <c r="BG853" s="14">
        <f>F853*BF853*IF(B853&gt;=in_marketplace_from,d_hz_nps*G853,0)*in_nps_ticket*in_nps_comm</f>
        <v/>
      </c>
      <c r="BH853" s="40">
        <f>BH852*(1-IF(B852&gt;=in_marketplace_from,d_hz_gold*G852,0))</f>
        <v/>
      </c>
      <c r="BI853" s="40">
        <f>BI852*d_rho_gold+BH853*IF(B853&gt;=in_marketplace_from,d_hz_gold*G853,0)</f>
        <v/>
      </c>
      <c r="BJ853" s="14">
        <f>F853*BI853*in_gold_ticket*in_gold_comm</f>
        <v/>
      </c>
      <c r="BK853" s="40">
        <f>BK852*(1-IF(B852&gt;=in_marketplace_from,d_hz_fd*G852,0))</f>
        <v/>
      </c>
      <c r="BL853" s="14">
        <f>F853*BK853*IF(B853&gt;=in_marketplace_from,d_hz_fd*G853,0)*in_fd_ticket*in_fd_comm</f>
        <v/>
      </c>
      <c r="BM853" s="40">
        <f>BM852*(1-IF(B852&gt;=in_marketplace_from,d_hz_recharge*G852,0))</f>
        <v/>
      </c>
      <c r="BN853" s="40">
        <f>BN852*d_rho_recharge+BM853*IF(B853&gt;=in_marketplace_from,d_hz_recharge*G853,0)</f>
        <v/>
      </c>
      <c r="BO853" s="14">
        <f>F853*BN853*in_recharge_ticket*in_recharge_comm/12</f>
        <v/>
      </c>
      <c r="BP853" s="40">
        <f>BP852*(1-IF(B852&gt;=in_marketplace_from,d_hz_bills*G852,0))</f>
        <v/>
      </c>
      <c r="BQ853" s="40">
        <f>BQ852*d_rho_bills+BP853*IF(B853&gt;=in_marketplace_from,d_hz_bills*G853,0)</f>
        <v/>
      </c>
      <c r="BR853" s="14">
        <f>F853*BQ853*in_bills_ticket*in_bills_comm/12</f>
        <v/>
      </c>
      <c r="BS853" s="40">
        <f>BS852*(1-IF(B852&gt;=in_marketplace_from,d_hz_loan_gold*G852,0))</f>
        <v/>
      </c>
      <c r="BT853" s="14">
        <f>F853*BS853*IF(B853&gt;=in_marketplace_from,d_hz_loan_gold*G853,0)*in_loan_gold_ticket*in_loan_gold_comm</f>
        <v/>
      </c>
      <c r="BU853" s="40">
        <f>BU852*(1-IF(B852&gt;=in_marketplace_from,d_hz_loan_cd*G852,0))</f>
        <v/>
      </c>
      <c r="BV853" s="14">
        <f>F853*BU853*IF(B853&gt;=in_marketplace_from,d_hz_loan_cd*G853,0)*in_loan_cd_ticket*in_loan_cd_comm</f>
        <v/>
      </c>
      <c r="BW853" s="40">
        <f>BW852*(1-IF(B852&gt;=in_marketplace_from,d_hz_loan_vehicle*G852,0))</f>
        <v/>
      </c>
      <c r="BX853" s="14">
        <f>F853*BW853*IF(B853&gt;=in_marketplace_from,d_hz_loan_vehicle*G853,0)*in_loan_vehicle_ticket*in_loan_vehicle_comm</f>
        <v/>
      </c>
      <c r="BY853" s="40">
        <f>BY852*(1-IF(B852&gt;=in_marketplace_from,d_hz_loan_home*G852,0)*BZ852)</f>
        <v/>
      </c>
      <c r="BZ853" s="11">
        <f>MIN(in_approval_cap,in_loan_home_approval*INDEX('Age profile'!$O$2:$O$61,B853)*(1+in_approval_growth)^(D853-1))</f>
        <v/>
      </c>
      <c r="CA853" s="14">
        <f>F853*BY853*IF(B853&gt;=in_marketplace_from,d_hz_loan_home*G853,0)*BZ853*in_loan_home_ticket*in_loan_home_comm</f>
        <v/>
      </c>
      <c r="CB853" s="40">
        <f>CB852*(1-IF(B852&gt;=in_marketplace_from,d_hz_loan_lap*G852,0)*CC852)</f>
        <v/>
      </c>
      <c r="CC853" s="11">
        <f>MIN(in_approval_cap,in_loan_lap_approval*INDEX('Age profile'!$O$2:$O$61,B853)*(1+in_approval_growth)^(D853-1))</f>
        <v/>
      </c>
      <c r="CD853" s="14">
        <f>F853*CB853*IF(B853&gt;=in_marketplace_from,d_hz_loan_lap*G853,0)*CC853*in_loan_lap_ticket*in_loan_lap_comm</f>
        <v/>
      </c>
      <c r="CE853" s="14">
        <f>AA853+AB853+AC853+AD853+AG853+AJ853+AM853+AP853+AS853+AU853+AX853+BB853+BE853+BG853+BJ853+BL853+BO853+BR853+BT853+BV853+BX853+CA853+CD853</f>
        <v/>
      </c>
    </row>
    <row r="854">
      <c r="A854" s="39" t="n">
        <v>17</v>
      </c>
      <c r="B854" s="39" t="n">
        <v>13</v>
      </c>
      <c r="C854" s="39">
        <f>A854+B854-1</f>
        <v/>
      </c>
      <c r="D854" s="39">
        <f>INT((C854-1)/12)+1</f>
        <v/>
      </c>
      <c r="E854" s="44">
        <f>INDEX(Monthly!$B$2:$B$61,A854)</f>
        <v/>
      </c>
      <c r="F854" s="44">
        <f>E854*INDEX('Age profile'!$B$2:$B$61,B854)</f>
        <v/>
      </c>
      <c r="G854" s="45">
        <f>MIN(in_takeup_cap,INDEX('Age profile'!$N$2:$N$61,B854)*(1+in_takeup_growth)^(D854-1))</f>
        <v/>
      </c>
      <c r="H854" s="11">
        <f>MIN(in_approval_cap,in_approved_first*INDEX('Age profile'!$O$2:$O$61,B854)*(1+in_approval_growth)^(D854-1))</f>
        <v/>
      </c>
      <c r="I854" s="45">
        <f>G854*MIN(in_takeup_cap,INDEX('Age profile'!$O$2:$O$61,B854)*(1+in_approval_growth)^(D854-1))</f>
        <v/>
      </c>
      <c r="J854" s="40">
        <f>(J853-L853)*F854/F853</f>
        <v/>
      </c>
      <c r="K854" s="40">
        <f>(K853-M853)*F854/F853+SUMIFS(O842:O853,B842:B853,B854-1-d_T)*F854</f>
        <v/>
      </c>
      <c r="L854" s="40">
        <f>IF(B854&gt;=in_marketplace_from,J854*d_hz*G854*in_eligible*H854,0)</f>
        <v/>
      </c>
      <c r="M854" s="40">
        <f>IF(B854&gt;=in_marketplace_from,K854*d_hz*G854*in_eligible*in_approved_repeat,0)</f>
        <v/>
      </c>
      <c r="N854" s="40">
        <f>L854+M854</f>
        <v/>
      </c>
      <c r="O854" s="46">
        <f>N854/F854</f>
        <v/>
      </c>
      <c r="P854" s="40">
        <f>F854-J854-K854</f>
        <v/>
      </c>
      <c r="Q854" s="40">
        <f>IF(B854&gt;=in_marketplace_from,(J854+K854)*d_hz*G854,0)</f>
        <v/>
      </c>
      <c r="R854" s="40">
        <f>SUMIFS(N842:N885,B842:B885,"&gt;="&amp;(B854-d_T),B842:B885,"&lt;="&amp;(B854-1))</f>
        <v/>
      </c>
      <c r="S854" s="46">
        <f>(1-d_u)*S853+IF(d_T&gt;in_topup_lag,SUMIFS(O842:O885,B842:B885,B854-in_topup_lag)-d_udrop*SUMIFS(O842:O885,B842:B885,B854-d_T),0)</f>
        <v/>
      </c>
      <c r="T854" s="40">
        <f>F854*d_u*S854</f>
        <v/>
      </c>
      <c r="U854" s="9">
        <f>L854*in_ticket+M854*d_rep_ticket</f>
        <v/>
      </c>
      <c r="V854" s="9">
        <f>U854+T854*d_topup_amt</f>
        <v/>
      </c>
      <c r="W854" s="40">
        <f>N854+T854*d_topup_ratio</f>
        <v/>
      </c>
      <c r="X854" s="40">
        <f>SUMIFS(W842:W885,B842:B885,B854-in_dpd_lag)*d_cured</f>
        <v/>
      </c>
      <c r="Y854" s="40">
        <f>SUMIFS(W842:W885,B842:B885,B854-in_rec_lag)*d_recd</f>
        <v/>
      </c>
      <c r="Z854" s="40">
        <f>IF(AND(B854&gt;=in_marketplace_from,B854&lt;in_marketplace_from+in_card_months),in_card_share/in_card_months*F854*I854,IF(AND(B854&gt;=in_marketplace_from+in_card_months,B854&lt;in_marketplace_from+2*in_card_months),in_card_share*d_card_rem/in_card_months*F854*MIN(in_takeup_cap,(1+in_takeup_growth)^(D854-1))*MIN(in_takeup_cap,(1+in_approval_growth)^(D854-1)),0))</f>
        <v/>
      </c>
      <c r="AA854" s="14">
        <f>V854*in_fee*(1-in_taken_back)</f>
        <v/>
      </c>
      <c r="AB854" s="14">
        <f>SUMIFS(W842:W885,B842:B885,B854-in_dpd_lag)*d_dpd</f>
        <v/>
      </c>
      <c r="AC854" s="14">
        <f>SUMIFS(W842:W885,B842:B885,B854-in_rec_lag)*d_rec</f>
        <v/>
      </c>
      <c r="AD854" s="14">
        <f>Z854*in_card_fee</f>
        <v/>
      </c>
      <c r="AE854" s="40">
        <f>AE853*(1-IF(B853&gt;=in_marketplace_from,d_hz_hlth_small*G853,0))</f>
        <v/>
      </c>
      <c r="AF854" s="46">
        <f>AE854*IF(B854&gt;=in_marketplace_from,d_hz_hlth_small*G854,0)</f>
        <v/>
      </c>
      <c r="AG854" s="14">
        <f>F854*AF854*in_hlth_small_ticket*in_hlth_small_comm*in_ins_partner_share+F854*in_hlth_small_ticket*in_hlth_small_renew_comm*in_ins_partner_share*(in_hlth_small_renew^1*SUMIFS(AF842:AF885,B842:B885,B854-12)+in_hlth_small_renew^2*SUMIFS(AF842:AF885,B842:B885,B854-24)+in_hlth_small_renew^3*SUMIFS(AF842:AF885,B842:B885,B854-36)+in_hlth_small_renew^4*SUMIFS(AF842:AF885,B842:B885,B854-48))</f>
        <v/>
      </c>
      <c r="AH854" s="40">
        <f>AH853*(1-IF(B853&gt;=in_marketplace_from,d_hz_hlth_family*G853,0))</f>
        <v/>
      </c>
      <c r="AI854" s="46">
        <f>AH854*IF(B854&gt;=in_marketplace_from,d_hz_hlth_family*G854,0)</f>
        <v/>
      </c>
      <c r="AJ854" s="14">
        <f>F854*AI854*in_hlth_family_ticket*in_hlth_family_comm*in_ins_partner_share+F854*in_hlth_family_ticket*in_hlth_family_renew_comm*in_ins_partner_share*(in_hlth_family_renew^1*SUMIFS(AI842:AI885,B842:B885,B854-12)+in_hlth_family_renew^2*SUMIFS(AI842:AI885,B842:B885,B854-24)+in_hlth_family_renew^3*SUMIFS(AI842:AI885,B842:B885,B854-36)+in_hlth_family_renew^4*SUMIFS(AI842:AI885,B842:B885,B854-48))</f>
        <v/>
      </c>
      <c r="AK854" s="40">
        <f>AK853*(1-IF(B853&gt;=in_marketplace_from,d_hz_life_term*G853,0))</f>
        <v/>
      </c>
      <c r="AL854" s="46">
        <f>AK854*IF(B854&gt;=in_marketplace_from,d_hz_life_term*G854,0)</f>
        <v/>
      </c>
      <c r="AM854" s="14">
        <f>F854*AL854*in_life_term_ticket*in_life_term_comm*in_ins_partner_share+F854*in_life_term_ticket*in_life_term_renew_comm*in_ins_partner_share*(in_life_term_renew^1*SUMIFS(AL842:AL885,B842:B885,B854-12)+in_life_term_renew^2*SUMIFS(AL842:AL885,B842:B885,B854-24)+in_life_term_renew^3*SUMIFS(AL842:AL885,B842:B885,B854-36)+in_life_term_renew^4*SUMIFS(AL842:AL885,B842:B885,B854-48))</f>
        <v/>
      </c>
      <c r="AN854" s="40">
        <f>AN853*(1-IF(B853&gt;=in_marketplace_from,d_hz_accident*G853,0))</f>
        <v/>
      </c>
      <c r="AO854" s="46">
        <f>AN854*IF(B854&gt;=in_marketplace_from,d_hz_accident*G854,0)</f>
        <v/>
      </c>
      <c r="AP854" s="14">
        <f>F854*AO854*in_accident_ticket*in_accident_comm*in_ins_partner_share+F854*in_accident_ticket*in_accident_renew_comm*in_ins_partner_share*(in_accident_renew^1*SUMIFS(AO842:AO885,B842:B885,B854-12)+in_accident_renew^2*SUMIFS(AO842:AO885,B842:B885,B854-24)+in_accident_renew^3*SUMIFS(AO842:AO885,B842:B885,B854-36)+in_accident_renew^4*SUMIFS(AO842:AO885,B842:B885,B854-48))</f>
        <v/>
      </c>
      <c r="AQ854" s="40">
        <f>AQ853*(1-IF(B853&gt;=in_marketplace_from,d_hz_two_wheeler*G853,0))</f>
        <v/>
      </c>
      <c r="AR854" s="46">
        <f>AQ854*IF(B854&gt;=in_marketplace_from,d_hz_two_wheeler*G854,0)</f>
        <v/>
      </c>
      <c r="AS854" s="14">
        <f>F854*AR854*in_two_wheeler_ticket*in_two_wheeler_comm*in_ins_partner_share+F854*in_two_wheeler_ticket*in_two_wheeler_comm*in_ins_partner_share*(in_two_wheeler_renew^1*SUMIFS(AR842:AR885,B842:B885,B854-12)+in_two_wheeler_renew^2*SUMIFS(AR842:AR885,B842:B885,B854-24)+in_two_wheeler_renew^3*SUMIFS(AR842:AR885,B842:B885,B854-36)+in_two_wheeler_renew^4*SUMIFS(AR842:AR885,B842:B885,B854-48))</f>
        <v/>
      </c>
      <c r="AT854" s="40">
        <f>AT853*(1-IF(B853&gt;=in_marketplace_from,d_hz_device*G853,0))</f>
        <v/>
      </c>
      <c r="AU854" s="14">
        <f>F854*AT854*IF(B854&gt;=in_marketplace_from,d_hz_device*G854,0)*in_device_ticket*in_device_comm*in_ins_partner_share</f>
        <v/>
      </c>
      <c r="AV854" s="40">
        <f>AV853*(1-IF(B853&gt;=in_marketplace_from,d_hz_shop*G853,0))</f>
        <v/>
      </c>
      <c r="AW854" s="46">
        <f>AV854*IF(B854&gt;=in_marketplace_from,d_hz_shop*G854,0)</f>
        <v/>
      </c>
      <c r="AX854" s="14">
        <f>F854*AW854*in_shop_ticket*in_shop_comm*in_ins_partner_share+F854*in_shop_ticket*in_shop_renew_comm*in_ins_partner_share*(in_shop_renew^1*SUMIFS(AW842:AW885,B842:B885,B854-12)+in_shop_renew^2*SUMIFS(AW842:AW885,B842:B885,B854-24)+in_shop_renew^3*SUMIFS(AW842:AW885,B842:B885,B854-36)+in_shop_renew^4*SUMIFS(AW842:AW885,B842:B885,B854-48))</f>
        <v/>
      </c>
      <c r="AY854" s="40">
        <f>AY853*(1-IF(B853&gt;=in_marketplace_from,d_hz_sip*G853,0))</f>
        <v/>
      </c>
      <c r="AZ854" s="40">
        <f>AZ853*d_rho_sip+AY854*IF(B854&gt;=in_marketplace_from,d_hz_sip*G854,0)</f>
        <v/>
      </c>
      <c r="BA854" s="40">
        <f>d_rho_sip*(BA853+AZ853)</f>
        <v/>
      </c>
      <c r="BB854" s="14">
        <f>F854*in_sip_ticket*(BA854+0.5*AZ854)*in_sip_comm/12</f>
        <v/>
      </c>
      <c r="BC854" s="40">
        <f>BC853*(1-IF(B853&gt;=in_marketplace_from,d_hz_choti*G853,0))</f>
        <v/>
      </c>
      <c r="BD854" s="46">
        <f>BC854*IF(B854&gt;=in_marketplace_from,d_hz_choti*G854,0)</f>
        <v/>
      </c>
      <c r="BE854" s="14">
        <f>F854*SUMIFS(BD842:BD885,B842:B885,B854-in_choti_months)*in_choti_renew*in_choti_ticket</f>
        <v/>
      </c>
      <c r="BF854" s="40">
        <f>BF853*(1-IF(B853&gt;=in_marketplace_from,d_hz_nps*G853,0))</f>
        <v/>
      </c>
      <c r="BG854" s="14">
        <f>F854*BF854*IF(B854&gt;=in_marketplace_from,d_hz_nps*G854,0)*in_nps_ticket*in_nps_comm</f>
        <v/>
      </c>
      <c r="BH854" s="40">
        <f>BH853*(1-IF(B853&gt;=in_marketplace_from,d_hz_gold*G853,0))</f>
        <v/>
      </c>
      <c r="BI854" s="40">
        <f>BI853*d_rho_gold+BH854*IF(B854&gt;=in_marketplace_from,d_hz_gold*G854,0)</f>
        <v/>
      </c>
      <c r="BJ854" s="14">
        <f>F854*BI854*in_gold_ticket*in_gold_comm</f>
        <v/>
      </c>
      <c r="BK854" s="40">
        <f>BK853*(1-IF(B853&gt;=in_marketplace_from,d_hz_fd*G853,0))</f>
        <v/>
      </c>
      <c r="BL854" s="14">
        <f>F854*BK854*IF(B854&gt;=in_marketplace_from,d_hz_fd*G854,0)*in_fd_ticket*in_fd_comm</f>
        <v/>
      </c>
      <c r="BM854" s="40">
        <f>BM853*(1-IF(B853&gt;=in_marketplace_from,d_hz_recharge*G853,0))</f>
        <v/>
      </c>
      <c r="BN854" s="40">
        <f>BN853*d_rho_recharge+BM854*IF(B854&gt;=in_marketplace_from,d_hz_recharge*G854,0)</f>
        <v/>
      </c>
      <c r="BO854" s="14">
        <f>F854*BN854*in_recharge_ticket*in_recharge_comm/12</f>
        <v/>
      </c>
      <c r="BP854" s="40">
        <f>BP853*(1-IF(B853&gt;=in_marketplace_from,d_hz_bills*G853,0))</f>
        <v/>
      </c>
      <c r="BQ854" s="40">
        <f>BQ853*d_rho_bills+BP854*IF(B854&gt;=in_marketplace_from,d_hz_bills*G854,0)</f>
        <v/>
      </c>
      <c r="BR854" s="14">
        <f>F854*BQ854*in_bills_ticket*in_bills_comm/12</f>
        <v/>
      </c>
      <c r="BS854" s="40">
        <f>BS853*(1-IF(B853&gt;=in_marketplace_from,d_hz_loan_gold*G853,0))</f>
        <v/>
      </c>
      <c r="BT854" s="14">
        <f>F854*BS854*IF(B854&gt;=in_marketplace_from,d_hz_loan_gold*G854,0)*in_loan_gold_ticket*in_loan_gold_comm</f>
        <v/>
      </c>
      <c r="BU854" s="40">
        <f>BU853*(1-IF(B853&gt;=in_marketplace_from,d_hz_loan_cd*G853,0))</f>
        <v/>
      </c>
      <c r="BV854" s="14">
        <f>F854*BU854*IF(B854&gt;=in_marketplace_from,d_hz_loan_cd*G854,0)*in_loan_cd_ticket*in_loan_cd_comm</f>
        <v/>
      </c>
      <c r="BW854" s="40">
        <f>BW853*(1-IF(B853&gt;=in_marketplace_from,d_hz_loan_vehicle*G853,0))</f>
        <v/>
      </c>
      <c r="BX854" s="14">
        <f>F854*BW854*IF(B854&gt;=in_marketplace_from,d_hz_loan_vehicle*G854,0)*in_loan_vehicle_ticket*in_loan_vehicle_comm</f>
        <v/>
      </c>
      <c r="BY854" s="40">
        <f>BY853*(1-IF(B853&gt;=in_marketplace_from,d_hz_loan_home*G853,0)*BZ853)</f>
        <v/>
      </c>
      <c r="BZ854" s="11">
        <f>MIN(in_approval_cap,in_loan_home_approval*INDEX('Age profile'!$O$2:$O$61,B854)*(1+in_approval_growth)^(D854-1))</f>
        <v/>
      </c>
      <c r="CA854" s="14">
        <f>F854*BY854*IF(B854&gt;=in_marketplace_from,d_hz_loan_home*G854,0)*BZ854*in_loan_home_ticket*in_loan_home_comm</f>
        <v/>
      </c>
      <c r="CB854" s="40">
        <f>CB853*(1-IF(B853&gt;=in_marketplace_from,d_hz_loan_lap*G853,0)*CC853)</f>
        <v/>
      </c>
      <c r="CC854" s="11">
        <f>MIN(in_approval_cap,in_loan_lap_approval*INDEX('Age profile'!$O$2:$O$61,B854)*(1+in_approval_growth)^(D854-1))</f>
        <v/>
      </c>
      <c r="CD854" s="14">
        <f>F854*CB854*IF(B854&gt;=in_marketplace_from,d_hz_loan_lap*G854,0)*CC854*in_loan_lap_ticket*in_loan_lap_comm</f>
        <v/>
      </c>
      <c r="CE854" s="14">
        <f>AA854+AB854+AC854+AD854+AG854+AJ854+AM854+AP854+AS854+AU854+AX854+BB854+BE854+BG854+BJ854+BL854+BO854+BR854+BT854+BV854+BX854+CA854+CD854</f>
        <v/>
      </c>
    </row>
    <row r="855">
      <c r="A855" s="39" t="n">
        <v>17</v>
      </c>
      <c r="B855" s="39" t="n">
        <v>14</v>
      </c>
      <c r="C855" s="39">
        <f>A855+B855-1</f>
        <v/>
      </c>
      <c r="D855" s="39">
        <f>INT((C855-1)/12)+1</f>
        <v/>
      </c>
      <c r="E855" s="44">
        <f>INDEX(Monthly!$B$2:$B$61,A855)</f>
        <v/>
      </c>
      <c r="F855" s="44">
        <f>E855*INDEX('Age profile'!$B$2:$B$61,B855)</f>
        <v/>
      </c>
      <c r="G855" s="45">
        <f>MIN(in_takeup_cap,INDEX('Age profile'!$N$2:$N$61,B855)*(1+in_takeup_growth)^(D855-1))</f>
        <v/>
      </c>
      <c r="H855" s="11">
        <f>MIN(in_approval_cap,in_approved_first*INDEX('Age profile'!$O$2:$O$61,B855)*(1+in_approval_growth)^(D855-1))</f>
        <v/>
      </c>
      <c r="I855" s="45">
        <f>G855*MIN(in_takeup_cap,INDEX('Age profile'!$O$2:$O$61,B855)*(1+in_approval_growth)^(D855-1))</f>
        <v/>
      </c>
      <c r="J855" s="40">
        <f>(J854-L854)*F855/F854</f>
        <v/>
      </c>
      <c r="K855" s="40">
        <f>(K854-M854)*F855/F854+SUMIFS(O842:O854,B842:B854,B855-1-d_T)*F855</f>
        <v/>
      </c>
      <c r="L855" s="40">
        <f>IF(B855&gt;=in_marketplace_from,J855*d_hz*G855*in_eligible*H855,0)</f>
        <v/>
      </c>
      <c r="M855" s="40">
        <f>IF(B855&gt;=in_marketplace_from,K855*d_hz*G855*in_eligible*in_approved_repeat,0)</f>
        <v/>
      </c>
      <c r="N855" s="40">
        <f>L855+M855</f>
        <v/>
      </c>
      <c r="O855" s="46">
        <f>N855/F855</f>
        <v/>
      </c>
      <c r="P855" s="40">
        <f>F855-J855-K855</f>
        <v/>
      </c>
      <c r="Q855" s="40">
        <f>IF(B855&gt;=in_marketplace_from,(J855+K855)*d_hz*G855,0)</f>
        <v/>
      </c>
      <c r="R855" s="40">
        <f>SUMIFS(N842:N885,B842:B885,"&gt;="&amp;(B855-d_T),B842:B885,"&lt;="&amp;(B855-1))</f>
        <v/>
      </c>
      <c r="S855" s="46">
        <f>(1-d_u)*S854+IF(d_T&gt;in_topup_lag,SUMIFS(O842:O885,B842:B885,B855-in_topup_lag)-d_udrop*SUMIFS(O842:O885,B842:B885,B855-d_T),0)</f>
        <v/>
      </c>
      <c r="T855" s="40">
        <f>F855*d_u*S855</f>
        <v/>
      </c>
      <c r="U855" s="9">
        <f>L855*in_ticket+M855*d_rep_ticket</f>
        <v/>
      </c>
      <c r="V855" s="9">
        <f>U855+T855*d_topup_amt</f>
        <v/>
      </c>
      <c r="W855" s="40">
        <f>N855+T855*d_topup_ratio</f>
        <v/>
      </c>
      <c r="X855" s="40">
        <f>SUMIFS(W842:W885,B842:B885,B855-in_dpd_lag)*d_cured</f>
        <v/>
      </c>
      <c r="Y855" s="40">
        <f>SUMIFS(W842:W885,B842:B885,B855-in_rec_lag)*d_recd</f>
        <v/>
      </c>
      <c r="Z855" s="40">
        <f>IF(AND(B855&gt;=in_marketplace_from,B855&lt;in_marketplace_from+in_card_months),in_card_share/in_card_months*F855*I855,IF(AND(B855&gt;=in_marketplace_from+in_card_months,B855&lt;in_marketplace_from+2*in_card_months),in_card_share*d_card_rem/in_card_months*F855*MIN(in_takeup_cap,(1+in_takeup_growth)^(D855-1))*MIN(in_takeup_cap,(1+in_approval_growth)^(D855-1)),0))</f>
        <v/>
      </c>
      <c r="AA855" s="14">
        <f>V855*in_fee*(1-in_taken_back)</f>
        <v/>
      </c>
      <c r="AB855" s="14">
        <f>SUMIFS(W842:W885,B842:B885,B855-in_dpd_lag)*d_dpd</f>
        <v/>
      </c>
      <c r="AC855" s="14">
        <f>SUMIFS(W842:W885,B842:B885,B855-in_rec_lag)*d_rec</f>
        <v/>
      </c>
      <c r="AD855" s="14">
        <f>Z855*in_card_fee</f>
        <v/>
      </c>
      <c r="AE855" s="40">
        <f>AE854*(1-IF(B854&gt;=in_marketplace_from,d_hz_hlth_small*G854,0))</f>
        <v/>
      </c>
      <c r="AF855" s="46">
        <f>AE855*IF(B855&gt;=in_marketplace_from,d_hz_hlth_small*G855,0)</f>
        <v/>
      </c>
      <c r="AG855" s="14">
        <f>F855*AF855*in_hlth_small_ticket*in_hlth_small_comm*in_ins_partner_share+F855*in_hlth_small_ticket*in_hlth_small_renew_comm*in_ins_partner_share*(in_hlth_small_renew^1*SUMIFS(AF842:AF885,B842:B885,B855-12)+in_hlth_small_renew^2*SUMIFS(AF842:AF885,B842:B885,B855-24)+in_hlth_small_renew^3*SUMIFS(AF842:AF885,B842:B885,B855-36)+in_hlth_small_renew^4*SUMIFS(AF842:AF885,B842:B885,B855-48))</f>
        <v/>
      </c>
      <c r="AH855" s="40">
        <f>AH854*(1-IF(B854&gt;=in_marketplace_from,d_hz_hlth_family*G854,0))</f>
        <v/>
      </c>
      <c r="AI855" s="46">
        <f>AH855*IF(B855&gt;=in_marketplace_from,d_hz_hlth_family*G855,0)</f>
        <v/>
      </c>
      <c r="AJ855" s="14">
        <f>F855*AI855*in_hlth_family_ticket*in_hlth_family_comm*in_ins_partner_share+F855*in_hlth_family_ticket*in_hlth_family_renew_comm*in_ins_partner_share*(in_hlth_family_renew^1*SUMIFS(AI842:AI885,B842:B885,B855-12)+in_hlth_family_renew^2*SUMIFS(AI842:AI885,B842:B885,B855-24)+in_hlth_family_renew^3*SUMIFS(AI842:AI885,B842:B885,B855-36)+in_hlth_family_renew^4*SUMIFS(AI842:AI885,B842:B885,B855-48))</f>
        <v/>
      </c>
      <c r="AK855" s="40">
        <f>AK854*(1-IF(B854&gt;=in_marketplace_from,d_hz_life_term*G854,0))</f>
        <v/>
      </c>
      <c r="AL855" s="46">
        <f>AK855*IF(B855&gt;=in_marketplace_from,d_hz_life_term*G855,0)</f>
        <v/>
      </c>
      <c r="AM855" s="14">
        <f>F855*AL855*in_life_term_ticket*in_life_term_comm*in_ins_partner_share+F855*in_life_term_ticket*in_life_term_renew_comm*in_ins_partner_share*(in_life_term_renew^1*SUMIFS(AL842:AL885,B842:B885,B855-12)+in_life_term_renew^2*SUMIFS(AL842:AL885,B842:B885,B855-24)+in_life_term_renew^3*SUMIFS(AL842:AL885,B842:B885,B855-36)+in_life_term_renew^4*SUMIFS(AL842:AL885,B842:B885,B855-48))</f>
        <v/>
      </c>
      <c r="AN855" s="40">
        <f>AN854*(1-IF(B854&gt;=in_marketplace_from,d_hz_accident*G854,0))</f>
        <v/>
      </c>
      <c r="AO855" s="46">
        <f>AN855*IF(B855&gt;=in_marketplace_from,d_hz_accident*G855,0)</f>
        <v/>
      </c>
      <c r="AP855" s="14">
        <f>F855*AO855*in_accident_ticket*in_accident_comm*in_ins_partner_share+F855*in_accident_ticket*in_accident_renew_comm*in_ins_partner_share*(in_accident_renew^1*SUMIFS(AO842:AO885,B842:B885,B855-12)+in_accident_renew^2*SUMIFS(AO842:AO885,B842:B885,B855-24)+in_accident_renew^3*SUMIFS(AO842:AO885,B842:B885,B855-36)+in_accident_renew^4*SUMIFS(AO842:AO885,B842:B885,B855-48))</f>
        <v/>
      </c>
      <c r="AQ855" s="40">
        <f>AQ854*(1-IF(B854&gt;=in_marketplace_from,d_hz_two_wheeler*G854,0))</f>
        <v/>
      </c>
      <c r="AR855" s="46">
        <f>AQ855*IF(B855&gt;=in_marketplace_from,d_hz_two_wheeler*G855,0)</f>
        <v/>
      </c>
      <c r="AS855" s="14">
        <f>F855*AR855*in_two_wheeler_ticket*in_two_wheeler_comm*in_ins_partner_share+F855*in_two_wheeler_ticket*in_two_wheeler_comm*in_ins_partner_share*(in_two_wheeler_renew^1*SUMIFS(AR842:AR885,B842:B885,B855-12)+in_two_wheeler_renew^2*SUMIFS(AR842:AR885,B842:B885,B855-24)+in_two_wheeler_renew^3*SUMIFS(AR842:AR885,B842:B885,B855-36)+in_two_wheeler_renew^4*SUMIFS(AR842:AR885,B842:B885,B855-48))</f>
        <v/>
      </c>
      <c r="AT855" s="40">
        <f>AT854*(1-IF(B854&gt;=in_marketplace_from,d_hz_device*G854,0))</f>
        <v/>
      </c>
      <c r="AU855" s="14">
        <f>F855*AT855*IF(B855&gt;=in_marketplace_from,d_hz_device*G855,0)*in_device_ticket*in_device_comm*in_ins_partner_share</f>
        <v/>
      </c>
      <c r="AV855" s="40">
        <f>AV854*(1-IF(B854&gt;=in_marketplace_from,d_hz_shop*G854,0))</f>
        <v/>
      </c>
      <c r="AW855" s="46">
        <f>AV855*IF(B855&gt;=in_marketplace_from,d_hz_shop*G855,0)</f>
        <v/>
      </c>
      <c r="AX855" s="14">
        <f>F855*AW855*in_shop_ticket*in_shop_comm*in_ins_partner_share+F855*in_shop_ticket*in_shop_renew_comm*in_ins_partner_share*(in_shop_renew^1*SUMIFS(AW842:AW885,B842:B885,B855-12)+in_shop_renew^2*SUMIFS(AW842:AW885,B842:B885,B855-24)+in_shop_renew^3*SUMIFS(AW842:AW885,B842:B885,B855-36)+in_shop_renew^4*SUMIFS(AW842:AW885,B842:B885,B855-48))</f>
        <v/>
      </c>
      <c r="AY855" s="40">
        <f>AY854*(1-IF(B854&gt;=in_marketplace_from,d_hz_sip*G854,0))</f>
        <v/>
      </c>
      <c r="AZ855" s="40">
        <f>AZ854*d_rho_sip+AY855*IF(B855&gt;=in_marketplace_from,d_hz_sip*G855,0)</f>
        <v/>
      </c>
      <c r="BA855" s="40">
        <f>d_rho_sip*(BA854+AZ854)</f>
        <v/>
      </c>
      <c r="BB855" s="14">
        <f>F855*in_sip_ticket*(BA855+0.5*AZ855)*in_sip_comm/12</f>
        <v/>
      </c>
      <c r="BC855" s="40">
        <f>BC854*(1-IF(B854&gt;=in_marketplace_from,d_hz_choti*G854,0))</f>
        <v/>
      </c>
      <c r="BD855" s="46">
        <f>BC855*IF(B855&gt;=in_marketplace_from,d_hz_choti*G855,0)</f>
        <v/>
      </c>
      <c r="BE855" s="14">
        <f>F855*SUMIFS(BD842:BD885,B842:B885,B855-in_choti_months)*in_choti_renew*in_choti_ticket</f>
        <v/>
      </c>
      <c r="BF855" s="40">
        <f>BF854*(1-IF(B854&gt;=in_marketplace_from,d_hz_nps*G854,0))</f>
        <v/>
      </c>
      <c r="BG855" s="14">
        <f>F855*BF855*IF(B855&gt;=in_marketplace_from,d_hz_nps*G855,0)*in_nps_ticket*in_nps_comm</f>
        <v/>
      </c>
      <c r="BH855" s="40">
        <f>BH854*(1-IF(B854&gt;=in_marketplace_from,d_hz_gold*G854,0))</f>
        <v/>
      </c>
      <c r="BI855" s="40">
        <f>BI854*d_rho_gold+BH855*IF(B855&gt;=in_marketplace_from,d_hz_gold*G855,0)</f>
        <v/>
      </c>
      <c r="BJ855" s="14">
        <f>F855*BI855*in_gold_ticket*in_gold_comm</f>
        <v/>
      </c>
      <c r="BK855" s="40">
        <f>BK854*(1-IF(B854&gt;=in_marketplace_from,d_hz_fd*G854,0))</f>
        <v/>
      </c>
      <c r="BL855" s="14">
        <f>F855*BK855*IF(B855&gt;=in_marketplace_from,d_hz_fd*G855,0)*in_fd_ticket*in_fd_comm</f>
        <v/>
      </c>
      <c r="BM855" s="40">
        <f>BM854*(1-IF(B854&gt;=in_marketplace_from,d_hz_recharge*G854,0))</f>
        <v/>
      </c>
      <c r="BN855" s="40">
        <f>BN854*d_rho_recharge+BM855*IF(B855&gt;=in_marketplace_from,d_hz_recharge*G855,0)</f>
        <v/>
      </c>
      <c r="BO855" s="14">
        <f>F855*BN855*in_recharge_ticket*in_recharge_comm/12</f>
        <v/>
      </c>
      <c r="BP855" s="40">
        <f>BP854*(1-IF(B854&gt;=in_marketplace_from,d_hz_bills*G854,0))</f>
        <v/>
      </c>
      <c r="BQ855" s="40">
        <f>BQ854*d_rho_bills+BP855*IF(B855&gt;=in_marketplace_from,d_hz_bills*G855,0)</f>
        <v/>
      </c>
      <c r="BR855" s="14">
        <f>F855*BQ855*in_bills_ticket*in_bills_comm/12</f>
        <v/>
      </c>
      <c r="BS855" s="40">
        <f>BS854*(1-IF(B854&gt;=in_marketplace_from,d_hz_loan_gold*G854,0))</f>
        <v/>
      </c>
      <c r="BT855" s="14">
        <f>F855*BS855*IF(B855&gt;=in_marketplace_from,d_hz_loan_gold*G855,0)*in_loan_gold_ticket*in_loan_gold_comm</f>
        <v/>
      </c>
      <c r="BU855" s="40">
        <f>BU854*(1-IF(B854&gt;=in_marketplace_from,d_hz_loan_cd*G854,0))</f>
        <v/>
      </c>
      <c r="BV855" s="14">
        <f>F855*BU855*IF(B855&gt;=in_marketplace_from,d_hz_loan_cd*G855,0)*in_loan_cd_ticket*in_loan_cd_comm</f>
        <v/>
      </c>
      <c r="BW855" s="40">
        <f>BW854*(1-IF(B854&gt;=in_marketplace_from,d_hz_loan_vehicle*G854,0))</f>
        <v/>
      </c>
      <c r="BX855" s="14">
        <f>F855*BW855*IF(B855&gt;=in_marketplace_from,d_hz_loan_vehicle*G855,0)*in_loan_vehicle_ticket*in_loan_vehicle_comm</f>
        <v/>
      </c>
      <c r="BY855" s="40">
        <f>BY854*(1-IF(B854&gt;=in_marketplace_from,d_hz_loan_home*G854,0)*BZ854)</f>
        <v/>
      </c>
      <c r="BZ855" s="11">
        <f>MIN(in_approval_cap,in_loan_home_approval*INDEX('Age profile'!$O$2:$O$61,B855)*(1+in_approval_growth)^(D855-1))</f>
        <v/>
      </c>
      <c r="CA855" s="14">
        <f>F855*BY855*IF(B855&gt;=in_marketplace_from,d_hz_loan_home*G855,0)*BZ855*in_loan_home_ticket*in_loan_home_comm</f>
        <v/>
      </c>
      <c r="CB855" s="40">
        <f>CB854*(1-IF(B854&gt;=in_marketplace_from,d_hz_loan_lap*G854,0)*CC854)</f>
        <v/>
      </c>
      <c r="CC855" s="11">
        <f>MIN(in_approval_cap,in_loan_lap_approval*INDEX('Age profile'!$O$2:$O$61,B855)*(1+in_approval_growth)^(D855-1))</f>
        <v/>
      </c>
      <c r="CD855" s="14">
        <f>F855*CB855*IF(B855&gt;=in_marketplace_from,d_hz_loan_lap*G855,0)*CC855*in_loan_lap_ticket*in_loan_lap_comm</f>
        <v/>
      </c>
      <c r="CE855" s="14">
        <f>AA855+AB855+AC855+AD855+AG855+AJ855+AM855+AP855+AS855+AU855+AX855+BB855+BE855+BG855+BJ855+BL855+BO855+BR855+BT855+BV855+BX855+CA855+CD855</f>
        <v/>
      </c>
    </row>
    <row r="856">
      <c r="A856" s="39" t="n">
        <v>17</v>
      </c>
      <c r="B856" s="39" t="n">
        <v>15</v>
      </c>
      <c r="C856" s="39">
        <f>A856+B856-1</f>
        <v/>
      </c>
      <c r="D856" s="39">
        <f>INT((C856-1)/12)+1</f>
        <v/>
      </c>
      <c r="E856" s="44">
        <f>INDEX(Monthly!$B$2:$B$61,A856)</f>
        <v/>
      </c>
      <c r="F856" s="44">
        <f>E856*INDEX('Age profile'!$B$2:$B$61,B856)</f>
        <v/>
      </c>
      <c r="G856" s="45">
        <f>MIN(in_takeup_cap,INDEX('Age profile'!$N$2:$N$61,B856)*(1+in_takeup_growth)^(D856-1))</f>
        <v/>
      </c>
      <c r="H856" s="11">
        <f>MIN(in_approval_cap,in_approved_first*INDEX('Age profile'!$O$2:$O$61,B856)*(1+in_approval_growth)^(D856-1))</f>
        <v/>
      </c>
      <c r="I856" s="45">
        <f>G856*MIN(in_takeup_cap,INDEX('Age profile'!$O$2:$O$61,B856)*(1+in_approval_growth)^(D856-1))</f>
        <v/>
      </c>
      <c r="J856" s="40">
        <f>(J855-L855)*F856/F855</f>
        <v/>
      </c>
      <c r="K856" s="40">
        <f>(K855-M855)*F856/F855+SUMIFS(O842:O855,B842:B855,B856-1-d_T)*F856</f>
        <v/>
      </c>
      <c r="L856" s="40">
        <f>IF(B856&gt;=in_marketplace_from,J856*d_hz*G856*in_eligible*H856,0)</f>
        <v/>
      </c>
      <c r="M856" s="40">
        <f>IF(B856&gt;=in_marketplace_from,K856*d_hz*G856*in_eligible*in_approved_repeat,0)</f>
        <v/>
      </c>
      <c r="N856" s="40">
        <f>L856+M856</f>
        <v/>
      </c>
      <c r="O856" s="46">
        <f>N856/F856</f>
        <v/>
      </c>
      <c r="P856" s="40">
        <f>F856-J856-K856</f>
        <v/>
      </c>
      <c r="Q856" s="40">
        <f>IF(B856&gt;=in_marketplace_from,(J856+K856)*d_hz*G856,0)</f>
        <v/>
      </c>
      <c r="R856" s="40">
        <f>SUMIFS(N842:N885,B842:B885,"&gt;="&amp;(B856-d_T),B842:B885,"&lt;="&amp;(B856-1))</f>
        <v/>
      </c>
      <c r="S856" s="46">
        <f>(1-d_u)*S855+IF(d_T&gt;in_topup_lag,SUMIFS(O842:O885,B842:B885,B856-in_topup_lag)-d_udrop*SUMIFS(O842:O885,B842:B885,B856-d_T),0)</f>
        <v/>
      </c>
      <c r="T856" s="40">
        <f>F856*d_u*S856</f>
        <v/>
      </c>
      <c r="U856" s="9">
        <f>L856*in_ticket+M856*d_rep_ticket</f>
        <v/>
      </c>
      <c r="V856" s="9">
        <f>U856+T856*d_topup_amt</f>
        <v/>
      </c>
      <c r="W856" s="40">
        <f>N856+T856*d_topup_ratio</f>
        <v/>
      </c>
      <c r="X856" s="40">
        <f>SUMIFS(W842:W885,B842:B885,B856-in_dpd_lag)*d_cured</f>
        <v/>
      </c>
      <c r="Y856" s="40">
        <f>SUMIFS(W842:W885,B842:B885,B856-in_rec_lag)*d_recd</f>
        <v/>
      </c>
      <c r="Z856" s="40">
        <f>IF(AND(B856&gt;=in_marketplace_from,B856&lt;in_marketplace_from+in_card_months),in_card_share/in_card_months*F856*I856,IF(AND(B856&gt;=in_marketplace_from+in_card_months,B856&lt;in_marketplace_from+2*in_card_months),in_card_share*d_card_rem/in_card_months*F856*MIN(in_takeup_cap,(1+in_takeup_growth)^(D856-1))*MIN(in_takeup_cap,(1+in_approval_growth)^(D856-1)),0))</f>
        <v/>
      </c>
      <c r="AA856" s="14">
        <f>V856*in_fee*(1-in_taken_back)</f>
        <v/>
      </c>
      <c r="AB856" s="14">
        <f>SUMIFS(W842:W885,B842:B885,B856-in_dpd_lag)*d_dpd</f>
        <v/>
      </c>
      <c r="AC856" s="14">
        <f>SUMIFS(W842:W885,B842:B885,B856-in_rec_lag)*d_rec</f>
        <v/>
      </c>
      <c r="AD856" s="14">
        <f>Z856*in_card_fee</f>
        <v/>
      </c>
      <c r="AE856" s="40">
        <f>AE855*(1-IF(B855&gt;=in_marketplace_from,d_hz_hlth_small*G855,0))</f>
        <v/>
      </c>
      <c r="AF856" s="46">
        <f>AE856*IF(B856&gt;=in_marketplace_from,d_hz_hlth_small*G856,0)</f>
        <v/>
      </c>
      <c r="AG856" s="14">
        <f>F856*AF856*in_hlth_small_ticket*in_hlth_small_comm*in_ins_partner_share+F856*in_hlth_small_ticket*in_hlth_small_renew_comm*in_ins_partner_share*(in_hlth_small_renew^1*SUMIFS(AF842:AF885,B842:B885,B856-12)+in_hlth_small_renew^2*SUMIFS(AF842:AF885,B842:B885,B856-24)+in_hlth_small_renew^3*SUMIFS(AF842:AF885,B842:B885,B856-36)+in_hlth_small_renew^4*SUMIFS(AF842:AF885,B842:B885,B856-48))</f>
        <v/>
      </c>
      <c r="AH856" s="40">
        <f>AH855*(1-IF(B855&gt;=in_marketplace_from,d_hz_hlth_family*G855,0))</f>
        <v/>
      </c>
      <c r="AI856" s="46">
        <f>AH856*IF(B856&gt;=in_marketplace_from,d_hz_hlth_family*G856,0)</f>
        <v/>
      </c>
      <c r="AJ856" s="14">
        <f>F856*AI856*in_hlth_family_ticket*in_hlth_family_comm*in_ins_partner_share+F856*in_hlth_family_ticket*in_hlth_family_renew_comm*in_ins_partner_share*(in_hlth_family_renew^1*SUMIFS(AI842:AI885,B842:B885,B856-12)+in_hlth_family_renew^2*SUMIFS(AI842:AI885,B842:B885,B856-24)+in_hlth_family_renew^3*SUMIFS(AI842:AI885,B842:B885,B856-36)+in_hlth_family_renew^4*SUMIFS(AI842:AI885,B842:B885,B856-48))</f>
        <v/>
      </c>
      <c r="AK856" s="40">
        <f>AK855*(1-IF(B855&gt;=in_marketplace_from,d_hz_life_term*G855,0))</f>
        <v/>
      </c>
      <c r="AL856" s="46">
        <f>AK856*IF(B856&gt;=in_marketplace_from,d_hz_life_term*G856,0)</f>
        <v/>
      </c>
      <c r="AM856" s="14">
        <f>F856*AL856*in_life_term_ticket*in_life_term_comm*in_ins_partner_share+F856*in_life_term_ticket*in_life_term_renew_comm*in_ins_partner_share*(in_life_term_renew^1*SUMIFS(AL842:AL885,B842:B885,B856-12)+in_life_term_renew^2*SUMIFS(AL842:AL885,B842:B885,B856-24)+in_life_term_renew^3*SUMIFS(AL842:AL885,B842:B885,B856-36)+in_life_term_renew^4*SUMIFS(AL842:AL885,B842:B885,B856-48))</f>
        <v/>
      </c>
      <c r="AN856" s="40">
        <f>AN855*(1-IF(B855&gt;=in_marketplace_from,d_hz_accident*G855,0))</f>
        <v/>
      </c>
      <c r="AO856" s="46">
        <f>AN856*IF(B856&gt;=in_marketplace_from,d_hz_accident*G856,0)</f>
        <v/>
      </c>
      <c r="AP856" s="14">
        <f>F856*AO856*in_accident_ticket*in_accident_comm*in_ins_partner_share+F856*in_accident_ticket*in_accident_renew_comm*in_ins_partner_share*(in_accident_renew^1*SUMIFS(AO842:AO885,B842:B885,B856-12)+in_accident_renew^2*SUMIFS(AO842:AO885,B842:B885,B856-24)+in_accident_renew^3*SUMIFS(AO842:AO885,B842:B885,B856-36)+in_accident_renew^4*SUMIFS(AO842:AO885,B842:B885,B856-48))</f>
        <v/>
      </c>
      <c r="AQ856" s="40">
        <f>AQ855*(1-IF(B855&gt;=in_marketplace_from,d_hz_two_wheeler*G855,0))</f>
        <v/>
      </c>
      <c r="AR856" s="46">
        <f>AQ856*IF(B856&gt;=in_marketplace_from,d_hz_two_wheeler*G856,0)</f>
        <v/>
      </c>
      <c r="AS856" s="14">
        <f>F856*AR856*in_two_wheeler_ticket*in_two_wheeler_comm*in_ins_partner_share+F856*in_two_wheeler_ticket*in_two_wheeler_comm*in_ins_partner_share*(in_two_wheeler_renew^1*SUMIFS(AR842:AR885,B842:B885,B856-12)+in_two_wheeler_renew^2*SUMIFS(AR842:AR885,B842:B885,B856-24)+in_two_wheeler_renew^3*SUMIFS(AR842:AR885,B842:B885,B856-36)+in_two_wheeler_renew^4*SUMIFS(AR842:AR885,B842:B885,B856-48))</f>
        <v/>
      </c>
      <c r="AT856" s="40">
        <f>AT855*(1-IF(B855&gt;=in_marketplace_from,d_hz_device*G855,0))</f>
        <v/>
      </c>
      <c r="AU856" s="14">
        <f>F856*AT856*IF(B856&gt;=in_marketplace_from,d_hz_device*G856,0)*in_device_ticket*in_device_comm*in_ins_partner_share</f>
        <v/>
      </c>
      <c r="AV856" s="40">
        <f>AV855*(1-IF(B855&gt;=in_marketplace_from,d_hz_shop*G855,0))</f>
        <v/>
      </c>
      <c r="AW856" s="46">
        <f>AV856*IF(B856&gt;=in_marketplace_from,d_hz_shop*G856,0)</f>
        <v/>
      </c>
      <c r="AX856" s="14">
        <f>F856*AW856*in_shop_ticket*in_shop_comm*in_ins_partner_share+F856*in_shop_ticket*in_shop_renew_comm*in_ins_partner_share*(in_shop_renew^1*SUMIFS(AW842:AW885,B842:B885,B856-12)+in_shop_renew^2*SUMIFS(AW842:AW885,B842:B885,B856-24)+in_shop_renew^3*SUMIFS(AW842:AW885,B842:B885,B856-36)+in_shop_renew^4*SUMIFS(AW842:AW885,B842:B885,B856-48))</f>
        <v/>
      </c>
      <c r="AY856" s="40">
        <f>AY855*(1-IF(B855&gt;=in_marketplace_from,d_hz_sip*G855,0))</f>
        <v/>
      </c>
      <c r="AZ856" s="40">
        <f>AZ855*d_rho_sip+AY856*IF(B856&gt;=in_marketplace_from,d_hz_sip*G856,0)</f>
        <v/>
      </c>
      <c r="BA856" s="40">
        <f>d_rho_sip*(BA855+AZ855)</f>
        <v/>
      </c>
      <c r="BB856" s="14">
        <f>F856*in_sip_ticket*(BA856+0.5*AZ856)*in_sip_comm/12</f>
        <v/>
      </c>
      <c r="BC856" s="40">
        <f>BC855*(1-IF(B855&gt;=in_marketplace_from,d_hz_choti*G855,0))</f>
        <v/>
      </c>
      <c r="BD856" s="46">
        <f>BC856*IF(B856&gt;=in_marketplace_from,d_hz_choti*G856,0)</f>
        <v/>
      </c>
      <c r="BE856" s="14">
        <f>F856*SUMIFS(BD842:BD885,B842:B885,B856-in_choti_months)*in_choti_renew*in_choti_ticket</f>
        <v/>
      </c>
      <c r="BF856" s="40">
        <f>BF855*(1-IF(B855&gt;=in_marketplace_from,d_hz_nps*G855,0))</f>
        <v/>
      </c>
      <c r="BG856" s="14">
        <f>F856*BF856*IF(B856&gt;=in_marketplace_from,d_hz_nps*G856,0)*in_nps_ticket*in_nps_comm</f>
        <v/>
      </c>
      <c r="BH856" s="40">
        <f>BH855*(1-IF(B855&gt;=in_marketplace_from,d_hz_gold*G855,0))</f>
        <v/>
      </c>
      <c r="BI856" s="40">
        <f>BI855*d_rho_gold+BH856*IF(B856&gt;=in_marketplace_from,d_hz_gold*G856,0)</f>
        <v/>
      </c>
      <c r="BJ856" s="14">
        <f>F856*BI856*in_gold_ticket*in_gold_comm</f>
        <v/>
      </c>
      <c r="BK856" s="40">
        <f>BK855*(1-IF(B855&gt;=in_marketplace_from,d_hz_fd*G855,0))</f>
        <v/>
      </c>
      <c r="BL856" s="14">
        <f>F856*BK856*IF(B856&gt;=in_marketplace_from,d_hz_fd*G856,0)*in_fd_ticket*in_fd_comm</f>
        <v/>
      </c>
      <c r="BM856" s="40">
        <f>BM855*(1-IF(B855&gt;=in_marketplace_from,d_hz_recharge*G855,0))</f>
        <v/>
      </c>
      <c r="BN856" s="40">
        <f>BN855*d_rho_recharge+BM856*IF(B856&gt;=in_marketplace_from,d_hz_recharge*G856,0)</f>
        <v/>
      </c>
      <c r="BO856" s="14">
        <f>F856*BN856*in_recharge_ticket*in_recharge_comm/12</f>
        <v/>
      </c>
      <c r="BP856" s="40">
        <f>BP855*(1-IF(B855&gt;=in_marketplace_from,d_hz_bills*G855,0))</f>
        <v/>
      </c>
      <c r="BQ856" s="40">
        <f>BQ855*d_rho_bills+BP856*IF(B856&gt;=in_marketplace_from,d_hz_bills*G856,0)</f>
        <v/>
      </c>
      <c r="BR856" s="14">
        <f>F856*BQ856*in_bills_ticket*in_bills_comm/12</f>
        <v/>
      </c>
      <c r="BS856" s="40">
        <f>BS855*(1-IF(B855&gt;=in_marketplace_from,d_hz_loan_gold*G855,0))</f>
        <v/>
      </c>
      <c r="BT856" s="14">
        <f>F856*BS856*IF(B856&gt;=in_marketplace_from,d_hz_loan_gold*G856,0)*in_loan_gold_ticket*in_loan_gold_comm</f>
        <v/>
      </c>
      <c r="BU856" s="40">
        <f>BU855*(1-IF(B855&gt;=in_marketplace_from,d_hz_loan_cd*G855,0))</f>
        <v/>
      </c>
      <c r="BV856" s="14">
        <f>F856*BU856*IF(B856&gt;=in_marketplace_from,d_hz_loan_cd*G856,0)*in_loan_cd_ticket*in_loan_cd_comm</f>
        <v/>
      </c>
      <c r="BW856" s="40">
        <f>BW855*(1-IF(B855&gt;=in_marketplace_from,d_hz_loan_vehicle*G855,0))</f>
        <v/>
      </c>
      <c r="BX856" s="14">
        <f>F856*BW856*IF(B856&gt;=in_marketplace_from,d_hz_loan_vehicle*G856,0)*in_loan_vehicle_ticket*in_loan_vehicle_comm</f>
        <v/>
      </c>
      <c r="BY856" s="40">
        <f>BY855*(1-IF(B855&gt;=in_marketplace_from,d_hz_loan_home*G855,0)*BZ855)</f>
        <v/>
      </c>
      <c r="BZ856" s="11">
        <f>MIN(in_approval_cap,in_loan_home_approval*INDEX('Age profile'!$O$2:$O$61,B856)*(1+in_approval_growth)^(D856-1))</f>
        <v/>
      </c>
      <c r="CA856" s="14">
        <f>F856*BY856*IF(B856&gt;=in_marketplace_from,d_hz_loan_home*G856,0)*BZ856*in_loan_home_ticket*in_loan_home_comm</f>
        <v/>
      </c>
      <c r="CB856" s="40">
        <f>CB855*(1-IF(B855&gt;=in_marketplace_from,d_hz_loan_lap*G855,0)*CC855)</f>
        <v/>
      </c>
      <c r="CC856" s="11">
        <f>MIN(in_approval_cap,in_loan_lap_approval*INDEX('Age profile'!$O$2:$O$61,B856)*(1+in_approval_growth)^(D856-1))</f>
        <v/>
      </c>
      <c r="CD856" s="14">
        <f>F856*CB856*IF(B856&gt;=in_marketplace_from,d_hz_loan_lap*G856,0)*CC856*in_loan_lap_ticket*in_loan_lap_comm</f>
        <v/>
      </c>
      <c r="CE856" s="14">
        <f>AA856+AB856+AC856+AD856+AG856+AJ856+AM856+AP856+AS856+AU856+AX856+BB856+BE856+BG856+BJ856+BL856+BO856+BR856+BT856+BV856+BX856+CA856+CD856</f>
        <v/>
      </c>
    </row>
    <row r="857">
      <c r="A857" s="39" t="n">
        <v>17</v>
      </c>
      <c r="B857" s="39" t="n">
        <v>16</v>
      </c>
      <c r="C857" s="39">
        <f>A857+B857-1</f>
        <v/>
      </c>
      <c r="D857" s="39">
        <f>INT((C857-1)/12)+1</f>
        <v/>
      </c>
      <c r="E857" s="44">
        <f>INDEX(Monthly!$B$2:$B$61,A857)</f>
        <v/>
      </c>
      <c r="F857" s="44">
        <f>E857*INDEX('Age profile'!$B$2:$B$61,B857)</f>
        <v/>
      </c>
      <c r="G857" s="45">
        <f>MIN(in_takeup_cap,INDEX('Age profile'!$N$2:$N$61,B857)*(1+in_takeup_growth)^(D857-1))</f>
        <v/>
      </c>
      <c r="H857" s="11">
        <f>MIN(in_approval_cap,in_approved_first*INDEX('Age profile'!$O$2:$O$61,B857)*(1+in_approval_growth)^(D857-1))</f>
        <v/>
      </c>
      <c r="I857" s="45">
        <f>G857*MIN(in_takeup_cap,INDEX('Age profile'!$O$2:$O$61,B857)*(1+in_approval_growth)^(D857-1))</f>
        <v/>
      </c>
      <c r="J857" s="40">
        <f>(J856-L856)*F857/F856</f>
        <v/>
      </c>
      <c r="K857" s="40">
        <f>(K856-M856)*F857/F856+SUMIFS(O842:O856,B842:B856,B857-1-d_T)*F857</f>
        <v/>
      </c>
      <c r="L857" s="40">
        <f>IF(B857&gt;=in_marketplace_from,J857*d_hz*G857*in_eligible*H857,0)</f>
        <v/>
      </c>
      <c r="M857" s="40">
        <f>IF(B857&gt;=in_marketplace_from,K857*d_hz*G857*in_eligible*in_approved_repeat,0)</f>
        <v/>
      </c>
      <c r="N857" s="40">
        <f>L857+M857</f>
        <v/>
      </c>
      <c r="O857" s="46">
        <f>N857/F857</f>
        <v/>
      </c>
      <c r="P857" s="40">
        <f>F857-J857-K857</f>
        <v/>
      </c>
      <c r="Q857" s="40">
        <f>IF(B857&gt;=in_marketplace_from,(J857+K857)*d_hz*G857,0)</f>
        <v/>
      </c>
      <c r="R857" s="40">
        <f>SUMIFS(N842:N885,B842:B885,"&gt;="&amp;(B857-d_T),B842:B885,"&lt;="&amp;(B857-1))</f>
        <v/>
      </c>
      <c r="S857" s="46">
        <f>(1-d_u)*S856+IF(d_T&gt;in_topup_lag,SUMIFS(O842:O885,B842:B885,B857-in_topup_lag)-d_udrop*SUMIFS(O842:O885,B842:B885,B857-d_T),0)</f>
        <v/>
      </c>
      <c r="T857" s="40">
        <f>F857*d_u*S857</f>
        <v/>
      </c>
      <c r="U857" s="9">
        <f>L857*in_ticket+M857*d_rep_ticket</f>
        <v/>
      </c>
      <c r="V857" s="9">
        <f>U857+T857*d_topup_amt</f>
        <v/>
      </c>
      <c r="W857" s="40">
        <f>N857+T857*d_topup_ratio</f>
        <v/>
      </c>
      <c r="X857" s="40">
        <f>SUMIFS(W842:W885,B842:B885,B857-in_dpd_lag)*d_cured</f>
        <v/>
      </c>
      <c r="Y857" s="40">
        <f>SUMIFS(W842:W885,B842:B885,B857-in_rec_lag)*d_recd</f>
        <v/>
      </c>
      <c r="Z857" s="40">
        <f>IF(AND(B857&gt;=in_marketplace_from,B857&lt;in_marketplace_from+in_card_months),in_card_share/in_card_months*F857*I857,IF(AND(B857&gt;=in_marketplace_from+in_card_months,B857&lt;in_marketplace_from+2*in_card_months),in_card_share*d_card_rem/in_card_months*F857*MIN(in_takeup_cap,(1+in_takeup_growth)^(D857-1))*MIN(in_takeup_cap,(1+in_approval_growth)^(D857-1)),0))</f>
        <v/>
      </c>
      <c r="AA857" s="14">
        <f>V857*in_fee*(1-in_taken_back)</f>
        <v/>
      </c>
      <c r="AB857" s="14">
        <f>SUMIFS(W842:W885,B842:B885,B857-in_dpd_lag)*d_dpd</f>
        <v/>
      </c>
      <c r="AC857" s="14">
        <f>SUMIFS(W842:W885,B842:B885,B857-in_rec_lag)*d_rec</f>
        <v/>
      </c>
      <c r="AD857" s="14">
        <f>Z857*in_card_fee</f>
        <v/>
      </c>
      <c r="AE857" s="40">
        <f>AE856*(1-IF(B856&gt;=in_marketplace_from,d_hz_hlth_small*G856,0))</f>
        <v/>
      </c>
      <c r="AF857" s="46">
        <f>AE857*IF(B857&gt;=in_marketplace_from,d_hz_hlth_small*G857,0)</f>
        <v/>
      </c>
      <c r="AG857" s="14">
        <f>F857*AF857*in_hlth_small_ticket*in_hlth_small_comm*in_ins_partner_share+F857*in_hlth_small_ticket*in_hlth_small_renew_comm*in_ins_partner_share*(in_hlth_small_renew^1*SUMIFS(AF842:AF885,B842:B885,B857-12)+in_hlth_small_renew^2*SUMIFS(AF842:AF885,B842:B885,B857-24)+in_hlth_small_renew^3*SUMIFS(AF842:AF885,B842:B885,B857-36)+in_hlth_small_renew^4*SUMIFS(AF842:AF885,B842:B885,B857-48))</f>
        <v/>
      </c>
      <c r="AH857" s="40">
        <f>AH856*(1-IF(B856&gt;=in_marketplace_from,d_hz_hlth_family*G856,0))</f>
        <v/>
      </c>
      <c r="AI857" s="46">
        <f>AH857*IF(B857&gt;=in_marketplace_from,d_hz_hlth_family*G857,0)</f>
        <v/>
      </c>
      <c r="AJ857" s="14">
        <f>F857*AI857*in_hlth_family_ticket*in_hlth_family_comm*in_ins_partner_share+F857*in_hlth_family_ticket*in_hlth_family_renew_comm*in_ins_partner_share*(in_hlth_family_renew^1*SUMIFS(AI842:AI885,B842:B885,B857-12)+in_hlth_family_renew^2*SUMIFS(AI842:AI885,B842:B885,B857-24)+in_hlth_family_renew^3*SUMIFS(AI842:AI885,B842:B885,B857-36)+in_hlth_family_renew^4*SUMIFS(AI842:AI885,B842:B885,B857-48))</f>
        <v/>
      </c>
      <c r="AK857" s="40">
        <f>AK856*(1-IF(B856&gt;=in_marketplace_from,d_hz_life_term*G856,0))</f>
        <v/>
      </c>
      <c r="AL857" s="46">
        <f>AK857*IF(B857&gt;=in_marketplace_from,d_hz_life_term*G857,0)</f>
        <v/>
      </c>
      <c r="AM857" s="14">
        <f>F857*AL857*in_life_term_ticket*in_life_term_comm*in_ins_partner_share+F857*in_life_term_ticket*in_life_term_renew_comm*in_ins_partner_share*(in_life_term_renew^1*SUMIFS(AL842:AL885,B842:B885,B857-12)+in_life_term_renew^2*SUMIFS(AL842:AL885,B842:B885,B857-24)+in_life_term_renew^3*SUMIFS(AL842:AL885,B842:B885,B857-36)+in_life_term_renew^4*SUMIFS(AL842:AL885,B842:B885,B857-48))</f>
        <v/>
      </c>
      <c r="AN857" s="40">
        <f>AN856*(1-IF(B856&gt;=in_marketplace_from,d_hz_accident*G856,0))</f>
        <v/>
      </c>
      <c r="AO857" s="46">
        <f>AN857*IF(B857&gt;=in_marketplace_from,d_hz_accident*G857,0)</f>
        <v/>
      </c>
      <c r="AP857" s="14">
        <f>F857*AO857*in_accident_ticket*in_accident_comm*in_ins_partner_share+F857*in_accident_ticket*in_accident_renew_comm*in_ins_partner_share*(in_accident_renew^1*SUMIFS(AO842:AO885,B842:B885,B857-12)+in_accident_renew^2*SUMIFS(AO842:AO885,B842:B885,B857-24)+in_accident_renew^3*SUMIFS(AO842:AO885,B842:B885,B857-36)+in_accident_renew^4*SUMIFS(AO842:AO885,B842:B885,B857-48))</f>
        <v/>
      </c>
      <c r="AQ857" s="40">
        <f>AQ856*(1-IF(B856&gt;=in_marketplace_from,d_hz_two_wheeler*G856,0))</f>
        <v/>
      </c>
      <c r="AR857" s="46">
        <f>AQ857*IF(B857&gt;=in_marketplace_from,d_hz_two_wheeler*G857,0)</f>
        <v/>
      </c>
      <c r="AS857" s="14">
        <f>F857*AR857*in_two_wheeler_ticket*in_two_wheeler_comm*in_ins_partner_share+F857*in_two_wheeler_ticket*in_two_wheeler_comm*in_ins_partner_share*(in_two_wheeler_renew^1*SUMIFS(AR842:AR885,B842:B885,B857-12)+in_two_wheeler_renew^2*SUMIFS(AR842:AR885,B842:B885,B857-24)+in_two_wheeler_renew^3*SUMIFS(AR842:AR885,B842:B885,B857-36)+in_two_wheeler_renew^4*SUMIFS(AR842:AR885,B842:B885,B857-48))</f>
        <v/>
      </c>
      <c r="AT857" s="40">
        <f>AT856*(1-IF(B856&gt;=in_marketplace_from,d_hz_device*G856,0))</f>
        <v/>
      </c>
      <c r="AU857" s="14">
        <f>F857*AT857*IF(B857&gt;=in_marketplace_from,d_hz_device*G857,0)*in_device_ticket*in_device_comm*in_ins_partner_share</f>
        <v/>
      </c>
      <c r="AV857" s="40">
        <f>AV856*(1-IF(B856&gt;=in_marketplace_from,d_hz_shop*G856,0))</f>
        <v/>
      </c>
      <c r="AW857" s="46">
        <f>AV857*IF(B857&gt;=in_marketplace_from,d_hz_shop*G857,0)</f>
        <v/>
      </c>
      <c r="AX857" s="14">
        <f>F857*AW857*in_shop_ticket*in_shop_comm*in_ins_partner_share+F857*in_shop_ticket*in_shop_renew_comm*in_ins_partner_share*(in_shop_renew^1*SUMIFS(AW842:AW885,B842:B885,B857-12)+in_shop_renew^2*SUMIFS(AW842:AW885,B842:B885,B857-24)+in_shop_renew^3*SUMIFS(AW842:AW885,B842:B885,B857-36)+in_shop_renew^4*SUMIFS(AW842:AW885,B842:B885,B857-48))</f>
        <v/>
      </c>
      <c r="AY857" s="40">
        <f>AY856*(1-IF(B856&gt;=in_marketplace_from,d_hz_sip*G856,0))</f>
        <v/>
      </c>
      <c r="AZ857" s="40">
        <f>AZ856*d_rho_sip+AY857*IF(B857&gt;=in_marketplace_from,d_hz_sip*G857,0)</f>
        <v/>
      </c>
      <c r="BA857" s="40">
        <f>d_rho_sip*(BA856+AZ856)</f>
        <v/>
      </c>
      <c r="BB857" s="14">
        <f>F857*in_sip_ticket*(BA857+0.5*AZ857)*in_sip_comm/12</f>
        <v/>
      </c>
      <c r="BC857" s="40">
        <f>BC856*(1-IF(B856&gt;=in_marketplace_from,d_hz_choti*G856,0))</f>
        <v/>
      </c>
      <c r="BD857" s="46">
        <f>BC857*IF(B857&gt;=in_marketplace_from,d_hz_choti*G857,0)</f>
        <v/>
      </c>
      <c r="BE857" s="14">
        <f>F857*SUMIFS(BD842:BD885,B842:B885,B857-in_choti_months)*in_choti_renew*in_choti_ticket</f>
        <v/>
      </c>
      <c r="BF857" s="40">
        <f>BF856*(1-IF(B856&gt;=in_marketplace_from,d_hz_nps*G856,0))</f>
        <v/>
      </c>
      <c r="BG857" s="14">
        <f>F857*BF857*IF(B857&gt;=in_marketplace_from,d_hz_nps*G857,0)*in_nps_ticket*in_nps_comm</f>
        <v/>
      </c>
      <c r="BH857" s="40">
        <f>BH856*(1-IF(B856&gt;=in_marketplace_from,d_hz_gold*G856,0))</f>
        <v/>
      </c>
      <c r="BI857" s="40">
        <f>BI856*d_rho_gold+BH857*IF(B857&gt;=in_marketplace_from,d_hz_gold*G857,0)</f>
        <v/>
      </c>
      <c r="BJ857" s="14">
        <f>F857*BI857*in_gold_ticket*in_gold_comm</f>
        <v/>
      </c>
      <c r="BK857" s="40">
        <f>BK856*(1-IF(B856&gt;=in_marketplace_from,d_hz_fd*G856,0))</f>
        <v/>
      </c>
      <c r="BL857" s="14">
        <f>F857*BK857*IF(B857&gt;=in_marketplace_from,d_hz_fd*G857,0)*in_fd_ticket*in_fd_comm</f>
        <v/>
      </c>
      <c r="BM857" s="40">
        <f>BM856*(1-IF(B856&gt;=in_marketplace_from,d_hz_recharge*G856,0))</f>
        <v/>
      </c>
      <c r="BN857" s="40">
        <f>BN856*d_rho_recharge+BM857*IF(B857&gt;=in_marketplace_from,d_hz_recharge*G857,0)</f>
        <v/>
      </c>
      <c r="BO857" s="14">
        <f>F857*BN857*in_recharge_ticket*in_recharge_comm/12</f>
        <v/>
      </c>
      <c r="BP857" s="40">
        <f>BP856*(1-IF(B856&gt;=in_marketplace_from,d_hz_bills*G856,0))</f>
        <v/>
      </c>
      <c r="BQ857" s="40">
        <f>BQ856*d_rho_bills+BP857*IF(B857&gt;=in_marketplace_from,d_hz_bills*G857,0)</f>
        <v/>
      </c>
      <c r="BR857" s="14">
        <f>F857*BQ857*in_bills_ticket*in_bills_comm/12</f>
        <v/>
      </c>
      <c r="BS857" s="40">
        <f>BS856*(1-IF(B856&gt;=in_marketplace_from,d_hz_loan_gold*G856,0))</f>
        <v/>
      </c>
      <c r="BT857" s="14">
        <f>F857*BS857*IF(B857&gt;=in_marketplace_from,d_hz_loan_gold*G857,0)*in_loan_gold_ticket*in_loan_gold_comm</f>
        <v/>
      </c>
      <c r="BU857" s="40">
        <f>BU856*(1-IF(B856&gt;=in_marketplace_from,d_hz_loan_cd*G856,0))</f>
        <v/>
      </c>
      <c r="BV857" s="14">
        <f>F857*BU857*IF(B857&gt;=in_marketplace_from,d_hz_loan_cd*G857,0)*in_loan_cd_ticket*in_loan_cd_comm</f>
        <v/>
      </c>
      <c r="BW857" s="40">
        <f>BW856*(1-IF(B856&gt;=in_marketplace_from,d_hz_loan_vehicle*G856,0))</f>
        <v/>
      </c>
      <c r="BX857" s="14">
        <f>F857*BW857*IF(B857&gt;=in_marketplace_from,d_hz_loan_vehicle*G857,0)*in_loan_vehicle_ticket*in_loan_vehicle_comm</f>
        <v/>
      </c>
      <c r="BY857" s="40">
        <f>BY856*(1-IF(B856&gt;=in_marketplace_from,d_hz_loan_home*G856,0)*BZ856)</f>
        <v/>
      </c>
      <c r="BZ857" s="11">
        <f>MIN(in_approval_cap,in_loan_home_approval*INDEX('Age profile'!$O$2:$O$61,B857)*(1+in_approval_growth)^(D857-1))</f>
        <v/>
      </c>
      <c r="CA857" s="14">
        <f>F857*BY857*IF(B857&gt;=in_marketplace_from,d_hz_loan_home*G857,0)*BZ857*in_loan_home_ticket*in_loan_home_comm</f>
        <v/>
      </c>
      <c r="CB857" s="40">
        <f>CB856*(1-IF(B856&gt;=in_marketplace_from,d_hz_loan_lap*G856,0)*CC856)</f>
        <v/>
      </c>
      <c r="CC857" s="11">
        <f>MIN(in_approval_cap,in_loan_lap_approval*INDEX('Age profile'!$O$2:$O$61,B857)*(1+in_approval_growth)^(D857-1))</f>
        <v/>
      </c>
      <c r="CD857" s="14">
        <f>F857*CB857*IF(B857&gt;=in_marketplace_from,d_hz_loan_lap*G857,0)*CC857*in_loan_lap_ticket*in_loan_lap_comm</f>
        <v/>
      </c>
      <c r="CE857" s="14">
        <f>AA857+AB857+AC857+AD857+AG857+AJ857+AM857+AP857+AS857+AU857+AX857+BB857+BE857+BG857+BJ857+BL857+BO857+BR857+BT857+BV857+BX857+CA857+CD857</f>
        <v/>
      </c>
    </row>
    <row r="858">
      <c r="A858" s="39" t="n">
        <v>17</v>
      </c>
      <c r="B858" s="39" t="n">
        <v>17</v>
      </c>
      <c r="C858" s="39">
        <f>A858+B858-1</f>
        <v/>
      </c>
      <c r="D858" s="39">
        <f>INT((C858-1)/12)+1</f>
        <v/>
      </c>
      <c r="E858" s="44">
        <f>INDEX(Monthly!$B$2:$B$61,A858)</f>
        <v/>
      </c>
      <c r="F858" s="44">
        <f>E858*INDEX('Age profile'!$B$2:$B$61,B858)</f>
        <v/>
      </c>
      <c r="G858" s="45">
        <f>MIN(in_takeup_cap,INDEX('Age profile'!$N$2:$N$61,B858)*(1+in_takeup_growth)^(D858-1))</f>
        <v/>
      </c>
      <c r="H858" s="11">
        <f>MIN(in_approval_cap,in_approved_first*INDEX('Age profile'!$O$2:$O$61,B858)*(1+in_approval_growth)^(D858-1))</f>
        <v/>
      </c>
      <c r="I858" s="45">
        <f>G858*MIN(in_takeup_cap,INDEX('Age profile'!$O$2:$O$61,B858)*(1+in_approval_growth)^(D858-1))</f>
        <v/>
      </c>
      <c r="J858" s="40">
        <f>(J857-L857)*F858/F857</f>
        <v/>
      </c>
      <c r="K858" s="40">
        <f>(K857-M857)*F858/F857+SUMIFS(O842:O857,B842:B857,B858-1-d_T)*F858</f>
        <v/>
      </c>
      <c r="L858" s="40">
        <f>IF(B858&gt;=in_marketplace_from,J858*d_hz*G858*in_eligible*H858,0)</f>
        <v/>
      </c>
      <c r="M858" s="40">
        <f>IF(B858&gt;=in_marketplace_from,K858*d_hz*G858*in_eligible*in_approved_repeat,0)</f>
        <v/>
      </c>
      <c r="N858" s="40">
        <f>L858+M858</f>
        <v/>
      </c>
      <c r="O858" s="46">
        <f>N858/F858</f>
        <v/>
      </c>
      <c r="P858" s="40">
        <f>F858-J858-K858</f>
        <v/>
      </c>
      <c r="Q858" s="40">
        <f>IF(B858&gt;=in_marketplace_from,(J858+K858)*d_hz*G858,0)</f>
        <v/>
      </c>
      <c r="R858" s="40">
        <f>SUMIFS(N842:N885,B842:B885,"&gt;="&amp;(B858-d_T),B842:B885,"&lt;="&amp;(B858-1))</f>
        <v/>
      </c>
      <c r="S858" s="46">
        <f>(1-d_u)*S857+IF(d_T&gt;in_topup_lag,SUMIFS(O842:O885,B842:B885,B858-in_topup_lag)-d_udrop*SUMIFS(O842:O885,B842:B885,B858-d_T),0)</f>
        <v/>
      </c>
      <c r="T858" s="40">
        <f>F858*d_u*S858</f>
        <v/>
      </c>
      <c r="U858" s="9">
        <f>L858*in_ticket+M858*d_rep_ticket</f>
        <v/>
      </c>
      <c r="V858" s="9">
        <f>U858+T858*d_topup_amt</f>
        <v/>
      </c>
      <c r="W858" s="40">
        <f>N858+T858*d_topup_ratio</f>
        <v/>
      </c>
      <c r="X858" s="40">
        <f>SUMIFS(W842:W885,B842:B885,B858-in_dpd_lag)*d_cured</f>
        <v/>
      </c>
      <c r="Y858" s="40">
        <f>SUMIFS(W842:W885,B842:B885,B858-in_rec_lag)*d_recd</f>
        <v/>
      </c>
      <c r="Z858" s="40">
        <f>IF(AND(B858&gt;=in_marketplace_from,B858&lt;in_marketplace_from+in_card_months),in_card_share/in_card_months*F858*I858,IF(AND(B858&gt;=in_marketplace_from+in_card_months,B858&lt;in_marketplace_from+2*in_card_months),in_card_share*d_card_rem/in_card_months*F858*MIN(in_takeup_cap,(1+in_takeup_growth)^(D858-1))*MIN(in_takeup_cap,(1+in_approval_growth)^(D858-1)),0))</f>
        <v/>
      </c>
      <c r="AA858" s="14">
        <f>V858*in_fee*(1-in_taken_back)</f>
        <v/>
      </c>
      <c r="AB858" s="14">
        <f>SUMIFS(W842:W885,B842:B885,B858-in_dpd_lag)*d_dpd</f>
        <v/>
      </c>
      <c r="AC858" s="14">
        <f>SUMIFS(W842:W885,B842:B885,B858-in_rec_lag)*d_rec</f>
        <v/>
      </c>
      <c r="AD858" s="14">
        <f>Z858*in_card_fee</f>
        <v/>
      </c>
      <c r="AE858" s="40">
        <f>AE857*(1-IF(B857&gt;=in_marketplace_from,d_hz_hlth_small*G857,0))</f>
        <v/>
      </c>
      <c r="AF858" s="46">
        <f>AE858*IF(B858&gt;=in_marketplace_from,d_hz_hlth_small*G858,0)</f>
        <v/>
      </c>
      <c r="AG858" s="14">
        <f>F858*AF858*in_hlth_small_ticket*in_hlth_small_comm*in_ins_partner_share+F858*in_hlth_small_ticket*in_hlth_small_renew_comm*in_ins_partner_share*(in_hlth_small_renew^1*SUMIFS(AF842:AF885,B842:B885,B858-12)+in_hlth_small_renew^2*SUMIFS(AF842:AF885,B842:B885,B858-24)+in_hlth_small_renew^3*SUMIFS(AF842:AF885,B842:B885,B858-36)+in_hlth_small_renew^4*SUMIFS(AF842:AF885,B842:B885,B858-48))</f>
        <v/>
      </c>
      <c r="AH858" s="40">
        <f>AH857*(1-IF(B857&gt;=in_marketplace_from,d_hz_hlth_family*G857,0))</f>
        <v/>
      </c>
      <c r="AI858" s="46">
        <f>AH858*IF(B858&gt;=in_marketplace_from,d_hz_hlth_family*G858,0)</f>
        <v/>
      </c>
      <c r="AJ858" s="14">
        <f>F858*AI858*in_hlth_family_ticket*in_hlth_family_comm*in_ins_partner_share+F858*in_hlth_family_ticket*in_hlth_family_renew_comm*in_ins_partner_share*(in_hlth_family_renew^1*SUMIFS(AI842:AI885,B842:B885,B858-12)+in_hlth_family_renew^2*SUMIFS(AI842:AI885,B842:B885,B858-24)+in_hlth_family_renew^3*SUMIFS(AI842:AI885,B842:B885,B858-36)+in_hlth_family_renew^4*SUMIFS(AI842:AI885,B842:B885,B858-48))</f>
        <v/>
      </c>
      <c r="AK858" s="40">
        <f>AK857*(1-IF(B857&gt;=in_marketplace_from,d_hz_life_term*G857,0))</f>
        <v/>
      </c>
      <c r="AL858" s="46">
        <f>AK858*IF(B858&gt;=in_marketplace_from,d_hz_life_term*G858,0)</f>
        <v/>
      </c>
      <c r="AM858" s="14">
        <f>F858*AL858*in_life_term_ticket*in_life_term_comm*in_ins_partner_share+F858*in_life_term_ticket*in_life_term_renew_comm*in_ins_partner_share*(in_life_term_renew^1*SUMIFS(AL842:AL885,B842:B885,B858-12)+in_life_term_renew^2*SUMIFS(AL842:AL885,B842:B885,B858-24)+in_life_term_renew^3*SUMIFS(AL842:AL885,B842:B885,B858-36)+in_life_term_renew^4*SUMIFS(AL842:AL885,B842:B885,B858-48))</f>
        <v/>
      </c>
      <c r="AN858" s="40">
        <f>AN857*(1-IF(B857&gt;=in_marketplace_from,d_hz_accident*G857,0))</f>
        <v/>
      </c>
      <c r="AO858" s="46">
        <f>AN858*IF(B858&gt;=in_marketplace_from,d_hz_accident*G858,0)</f>
        <v/>
      </c>
      <c r="AP858" s="14">
        <f>F858*AO858*in_accident_ticket*in_accident_comm*in_ins_partner_share+F858*in_accident_ticket*in_accident_renew_comm*in_ins_partner_share*(in_accident_renew^1*SUMIFS(AO842:AO885,B842:B885,B858-12)+in_accident_renew^2*SUMIFS(AO842:AO885,B842:B885,B858-24)+in_accident_renew^3*SUMIFS(AO842:AO885,B842:B885,B858-36)+in_accident_renew^4*SUMIFS(AO842:AO885,B842:B885,B858-48))</f>
        <v/>
      </c>
      <c r="AQ858" s="40">
        <f>AQ857*(1-IF(B857&gt;=in_marketplace_from,d_hz_two_wheeler*G857,0))</f>
        <v/>
      </c>
      <c r="AR858" s="46">
        <f>AQ858*IF(B858&gt;=in_marketplace_from,d_hz_two_wheeler*G858,0)</f>
        <v/>
      </c>
      <c r="AS858" s="14">
        <f>F858*AR858*in_two_wheeler_ticket*in_two_wheeler_comm*in_ins_partner_share+F858*in_two_wheeler_ticket*in_two_wheeler_comm*in_ins_partner_share*(in_two_wheeler_renew^1*SUMIFS(AR842:AR885,B842:B885,B858-12)+in_two_wheeler_renew^2*SUMIFS(AR842:AR885,B842:B885,B858-24)+in_two_wheeler_renew^3*SUMIFS(AR842:AR885,B842:B885,B858-36)+in_two_wheeler_renew^4*SUMIFS(AR842:AR885,B842:B885,B858-48))</f>
        <v/>
      </c>
      <c r="AT858" s="40">
        <f>AT857*(1-IF(B857&gt;=in_marketplace_from,d_hz_device*G857,0))</f>
        <v/>
      </c>
      <c r="AU858" s="14">
        <f>F858*AT858*IF(B858&gt;=in_marketplace_from,d_hz_device*G858,0)*in_device_ticket*in_device_comm*in_ins_partner_share</f>
        <v/>
      </c>
      <c r="AV858" s="40">
        <f>AV857*(1-IF(B857&gt;=in_marketplace_from,d_hz_shop*G857,0))</f>
        <v/>
      </c>
      <c r="AW858" s="46">
        <f>AV858*IF(B858&gt;=in_marketplace_from,d_hz_shop*G858,0)</f>
        <v/>
      </c>
      <c r="AX858" s="14">
        <f>F858*AW858*in_shop_ticket*in_shop_comm*in_ins_partner_share+F858*in_shop_ticket*in_shop_renew_comm*in_ins_partner_share*(in_shop_renew^1*SUMIFS(AW842:AW885,B842:B885,B858-12)+in_shop_renew^2*SUMIFS(AW842:AW885,B842:B885,B858-24)+in_shop_renew^3*SUMIFS(AW842:AW885,B842:B885,B858-36)+in_shop_renew^4*SUMIFS(AW842:AW885,B842:B885,B858-48))</f>
        <v/>
      </c>
      <c r="AY858" s="40">
        <f>AY857*(1-IF(B857&gt;=in_marketplace_from,d_hz_sip*G857,0))</f>
        <v/>
      </c>
      <c r="AZ858" s="40">
        <f>AZ857*d_rho_sip+AY858*IF(B858&gt;=in_marketplace_from,d_hz_sip*G858,0)</f>
        <v/>
      </c>
      <c r="BA858" s="40">
        <f>d_rho_sip*(BA857+AZ857)</f>
        <v/>
      </c>
      <c r="BB858" s="14">
        <f>F858*in_sip_ticket*(BA858+0.5*AZ858)*in_sip_comm/12</f>
        <v/>
      </c>
      <c r="BC858" s="40">
        <f>BC857*(1-IF(B857&gt;=in_marketplace_from,d_hz_choti*G857,0))</f>
        <v/>
      </c>
      <c r="BD858" s="46">
        <f>BC858*IF(B858&gt;=in_marketplace_from,d_hz_choti*G858,0)</f>
        <v/>
      </c>
      <c r="BE858" s="14">
        <f>F858*SUMIFS(BD842:BD885,B842:B885,B858-in_choti_months)*in_choti_renew*in_choti_ticket</f>
        <v/>
      </c>
      <c r="BF858" s="40">
        <f>BF857*(1-IF(B857&gt;=in_marketplace_from,d_hz_nps*G857,0))</f>
        <v/>
      </c>
      <c r="BG858" s="14">
        <f>F858*BF858*IF(B858&gt;=in_marketplace_from,d_hz_nps*G858,0)*in_nps_ticket*in_nps_comm</f>
        <v/>
      </c>
      <c r="BH858" s="40">
        <f>BH857*(1-IF(B857&gt;=in_marketplace_from,d_hz_gold*G857,0))</f>
        <v/>
      </c>
      <c r="BI858" s="40">
        <f>BI857*d_rho_gold+BH858*IF(B858&gt;=in_marketplace_from,d_hz_gold*G858,0)</f>
        <v/>
      </c>
      <c r="BJ858" s="14">
        <f>F858*BI858*in_gold_ticket*in_gold_comm</f>
        <v/>
      </c>
      <c r="BK858" s="40">
        <f>BK857*(1-IF(B857&gt;=in_marketplace_from,d_hz_fd*G857,0))</f>
        <v/>
      </c>
      <c r="BL858" s="14">
        <f>F858*BK858*IF(B858&gt;=in_marketplace_from,d_hz_fd*G858,0)*in_fd_ticket*in_fd_comm</f>
        <v/>
      </c>
      <c r="BM858" s="40">
        <f>BM857*(1-IF(B857&gt;=in_marketplace_from,d_hz_recharge*G857,0))</f>
        <v/>
      </c>
      <c r="BN858" s="40">
        <f>BN857*d_rho_recharge+BM858*IF(B858&gt;=in_marketplace_from,d_hz_recharge*G858,0)</f>
        <v/>
      </c>
      <c r="BO858" s="14">
        <f>F858*BN858*in_recharge_ticket*in_recharge_comm/12</f>
        <v/>
      </c>
      <c r="BP858" s="40">
        <f>BP857*(1-IF(B857&gt;=in_marketplace_from,d_hz_bills*G857,0))</f>
        <v/>
      </c>
      <c r="BQ858" s="40">
        <f>BQ857*d_rho_bills+BP858*IF(B858&gt;=in_marketplace_from,d_hz_bills*G858,0)</f>
        <v/>
      </c>
      <c r="BR858" s="14">
        <f>F858*BQ858*in_bills_ticket*in_bills_comm/12</f>
        <v/>
      </c>
      <c r="BS858" s="40">
        <f>BS857*(1-IF(B857&gt;=in_marketplace_from,d_hz_loan_gold*G857,0))</f>
        <v/>
      </c>
      <c r="BT858" s="14">
        <f>F858*BS858*IF(B858&gt;=in_marketplace_from,d_hz_loan_gold*G858,0)*in_loan_gold_ticket*in_loan_gold_comm</f>
        <v/>
      </c>
      <c r="BU858" s="40">
        <f>BU857*(1-IF(B857&gt;=in_marketplace_from,d_hz_loan_cd*G857,0))</f>
        <v/>
      </c>
      <c r="BV858" s="14">
        <f>F858*BU858*IF(B858&gt;=in_marketplace_from,d_hz_loan_cd*G858,0)*in_loan_cd_ticket*in_loan_cd_comm</f>
        <v/>
      </c>
      <c r="BW858" s="40">
        <f>BW857*(1-IF(B857&gt;=in_marketplace_from,d_hz_loan_vehicle*G857,0))</f>
        <v/>
      </c>
      <c r="BX858" s="14">
        <f>F858*BW858*IF(B858&gt;=in_marketplace_from,d_hz_loan_vehicle*G858,0)*in_loan_vehicle_ticket*in_loan_vehicle_comm</f>
        <v/>
      </c>
      <c r="BY858" s="40">
        <f>BY857*(1-IF(B857&gt;=in_marketplace_from,d_hz_loan_home*G857,0)*BZ857)</f>
        <v/>
      </c>
      <c r="BZ858" s="11">
        <f>MIN(in_approval_cap,in_loan_home_approval*INDEX('Age profile'!$O$2:$O$61,B858)*(1+in_approval_growth)^(D858-1))</f>
        <v/>
      </c>
      <c r="CA858" s="14">
        <f>F858*BY858*IF(B858&gt;=in_marketplace_from,d_hz_loan_home*G858,0)*BZ858*in_loan_home_ticket*in_loan_home_comm</f>
        <v/>
      </c>
      <c r="CB858" s="40">
        <f>CB857*(1-IF(B857&gt;=in_marketplace_from,d_hz_loan_lap*G857,0)*CC857)</f>
        <v/>
      </c>
      <c r="CC858" s="11">
        <f>MIN(in_approval_cap,in_loan_lap_approval*INDEX('Age profile'!$O$2:$O$61,B858)*(1+in_approval_growth)^(D858-1))</f>
        <v/>
      </c>
      <c r="CD858" s="14">
        <f>F858*CB858*IF(B858&gt;=in_marketplace_from,d_hz_loan_lap*G858,0)*CC858*in_loan_lap_ticket*in_loan_lap_comm</f>
        <v/>
      </c>
      <c r="CE858" s="14">
        <f>AA858+AB858+AC858+AD858+AG858+AJ858+AM858+AP858+AS858+AU858+AX858+BB858+BE858+BG858+BJ858+BL858+BO858+BR858+BT858+BV858+BX858+CA858+CD858</f>
        <v/>
      </c>
    </row>
    <row r="859">
      <c r="A859" s="39" t="n">
        <v>17</v>
      </c>
      <c r="B859" s="39" t="n">
        <v>18</v>
      </c>
      <c r="C859" s="39">
        <f>A859+B859-1</f>
        <v/>
      </c>
      <c r="D859" s="39">
        <f>INT((C859-1)/12)+1</f>
        <v/>
      </c>
      <c r="E859" s="44">
        <f>INDEX(Monthly!$B$2:$B$61,A859)</f>
        <v/>
      </c>
      <c r="F859" s="44">
        <f>E859*INDEX('Age profile'!$B$2:$B$61,B859)</f>
        <v/>
      </c>
      <c r="G859" s="45">
        <f>MIN(in_takeup_cap,INDEX('Age profile'!$N$2:$N$61,B859)*(1+in_takeup_growth)^(D859-1))</f>
        <v/>
      </c>
      <c r="H859" s="11">
        <f>MIN(in_approval_cap,in_approved_first*INDEX('Age profile'!$O$2:$O$61,B859)*(1+in_approval_growth)^(D859-1))</f>
        <v/>
      </c>
      <c r="I859" s="45">
        <f>G859*MIN(in_takeup_cap,INDEX('Age profile'!$O$2:$O$61,B859)*(1+in_approval_growth)^(D859-1))</f>
        <v/>
      </c>
      <c r="J859" s="40">
        <f>(J858-L858)*F859/F858</f>
        <v/>
      </c>
      <c r="K859" s="40">
        <f>(K858-M858)*F859/F858+SUMIFS(O842:O858,B842:B858,B859-1-d_T)*F859</f>
        <v/>
      </c>
      <c r="L859" s="40">
        <f>IF(B859&gt;=in_marketplace_from,J859*d_hz*G859*in_eligible*H859,0)</f>
        <v/>
      </c>
      <c r="M859" s="40">
        <f>IF(B859&gt;=in_marketplace_from,K859*d_hz*G859*in_eligible*in_approved_repeat,0)</f>
        <v/>
      </c>
      <c r="N859" s="40">
        <f>L859+M859</f>
        <v/>
      </c>
      <c r="O859" s="46">
        <f>N859/F859</f>
        <v/>
      </c>
      <c r="P859" s="40">
        <f>F859-J859-K859</f>
        <v/>
      </c>
      <c r="Q859" s="40">
        <f>IF(B859&gt;=in_marketplace_from,(J859+K859)*d_hz*G859,0)</f>
        <v/>
      </c>
      <c r="R859" s="40">
        <f>SUMIFS(N842:N885,B842:B885,"&gt;="&amp;(B859-d_T),B842:B885,"&lt;="&amp;(B859-1))</f>
        <v/>
      </c>
      <c r="S859" s="46">
        <f>(1-d_u)*S858+IF(d_T&gt;in_topup_lag,SUMIFS(O842:O885,B842:B885,B859-in_topup_lag)-d_udrop*SUMIFS(O842:O885,B842:B885,B859-d_T),0)</f>
        <v/>
      </c>
      <c r="T859" s="40">
        <f>F859*d_u*S859</f>
        <v/>
      </c>
      <c r="U859" s="9">
        <f>L859*in_ticket+M859*d_rep_ticket</f>
        <v/>
      </c>
      <c r="V859" s="9">
        <f>U859+T859*d_topup_amt</f>
        <v/>
      </c>
      <c r="W859" s="40">
        <f>N859+T859*d_topup_ratio</f>
        <v/>
      </c>
      <c r="X859" s="40">
        <f>SUMIFS(W842:W885,B842:B885,B859-in_dpd_lag)*d_cured</f>
        <v/>
      </c>
      <c r="Y859" s="40">
        <f>SUMIFS(W842:W885,B842:B885,B859-in_rec_lag)*d_recd</f>
        <v/>
      </c>
      <c r="Z859" s="40">
        <f>IF(AND(B859&gt;=in_marketplace_from,B859&lt;in_marketplace_from+in_card_months),in_card_share/in_card_months*F859*I859,IF(AND(B859&gt;=in_marketplace_from+in_card_months,B859&lt;in_marketplace_from+2*in_card_months),in_card_share*d_card_rem/in_card_months*F859*MIN(in_takeup_cap,(1+in_takeup_growth)^(D859-1))*MIN(in_takeup_cap,(1+in_approval_growth)^(D859-1)),0))</f>
        <v/>
      </c>
      <c r="AA859" s="14">
        <f>V859*in_fee*(1-in_taken_back)</f>
        <v/>
      </c>
      <c r="AB859" s="14">
        <f>SUMIFS(W842:W885,B842:B885,B859-in_dpd_lag)*d_dpd</f>
        <v/>
      </c>
      <c r="AC859" s="14">
        <f>SUMIFS(W842:W885,B842:B885,B859-in_rec_lag)*d_rec</f>
        <v/>
      </c>
      <c r="AD859" s="14">
        <f>Z859*in_card_fee</f>
        <v/>
      </c>
      <c r="AE859" s="40">
        <f>AE858*(1-IF(B858&gt;=in_marketplace_from,d_hz_hlth_small*G858,0))</f>
        <v/>
      </c>
      <c r="AF859" s="46">
        <f>AE859*IF(B859&gt;=in_marketplace_from,d_hz_hlth_small*G859,0)</f>
        <v/>
      </c>
      <c r="AG859" s="14">
        <f>F859*AF859*in_hlth_small_ticket*in_hlth_small_comm*in_ins_partner_share+F859*in_hlth_small_ticket*in_hlth_small_renew_comm*in_ins_partner_share*(in_hlth_small_renew^1*SUMIFS(AF842:AF885,B842:B885,B859-12)+in_hlth_small_renew^2*SUMIFS(AF842:AF885,B842:B885,B859-24)+in_hlth_small_renew^3*SUMIFS(AF842:AF885,B842:B885,B859-36)+in_hlth_small_renew^4*SUMIFS(AF842:AF885,B842:B885,B859-48))</f>
        <v/>
      </c>
      <c r="AH859" s="40">
        <f>AH858*(1-IF(B858&gt;=in_marketplace_from,d_hz_hlth_family*G858,0))</f>
        <v/>
      </c>
      <c r="AI859" s="46">
        <f>AH859*IF(B859&gt;=in_marketplace_from,d_hz_hlth_family*G859,0)</f>
        <v/>
      </c>
      <c r="AJ859" s="14">
        <f>F859*AI859*in_hlth_family_ticket*in_hlth_family_comm*in_ins_partner_share+F859*in_hlth_family_ticket*in_hlth_family_renew_comm*in_ins_partner_share*(in_hlth_family_renew^1*SUMIFS(AI842:AI885,B842:B885,B859-12)+in_hlth_family_renew^2*SUMIFS(AI842:AI885,B842:B885,B859-24)+in_hlth_family_renew^3*SUMIFS(AI842:AI885,B842:B885,B859-36)+in_hlth_family_renew^4*SUMIFS(AI842:AI885,B842:B885,B859-48))</f>
        <v/>
      </c>
      <c r="AK859" s="40">
        <f>AK858*(1-IF(B858&gt;=in_marketplace_from,d_hz_life_term*G858,0))</f>
        <v/>
      </c>
      <c r="AL859" s="46">
        <f>AK859*IF(B859&gt;=in_marketplace_from,d_hz_life_term*G859,0)</f>
        <v/>
      </c>
      <c r="AM859" s="14">
        <f>F859*AL859*in_life_term_ticket*in_life_term_comm*in_ins_partner_share+F859*in_life_term_ticket*in_life_term_renew_comm*in_ins_partner_share*(in_life_term_renew^1*SUMIFS(AL842:AL885,B842:B885,B859-12)+in_life_term_renew^2*SUMIFS(AL842:AL885,B842:B885,B859-24)+in_life_term_renew^3*SUMIFS(AL842:AL885,B842:B885,B859-36)+in_life_term_renew^4*SUMIFS(AL842:AL885,B842:B885,B859-48))</f>
        <v/>
      </c>
      <c r="AN859" s="40">
        <f>AN858*(1-IF(B858&gt;=in_marketplace_from,d_hz_accident*G858,0))</f>
        <v/>
      </c>
      <c r="AO859" s="46">
        <f>AN859*IF(B859&gt;=in_marketplace_from,d_hz_accident*G859,0)</f>
        <v/>
      </c>
      <c r="AP859" s="14">
        <f>F859*AO859*in_accident_ticket*in_accident_comm*in_ins_partner_share+F859*in_accident_ticket*in_accident_renew_comm*in_ins_partner_share*(in_accident_renew^1*SUMIFS(AO842:AO885,B842:B885,B859-12)+in_accident_renew^2*SUMIFS(AO842:AO885,B842:B885,B859-24)+in_accident_renew^3*SUMIFS(AO842:AO885,B842:B885,B859-36)+in_accident_renew^4*SUMIFS(AO842:AO885,B842:B885,B859-48))</f>
        <v/>
      </c>
      <c r="AQ859" s="40">
        <f>AQ858*(1-IF(B858&gt;=in_marketplace_from,d_hz_two_wheeler*G858,0))</f>
        <v/>
      </c>
      <c r="AR859" s="46">
        <f>AQ859*IF(B859&gt;=in_marketplace_from,d_hz_two_wheeler*G859,0)</f>
        <v/>
      </c>
      <c r="AS859" s="14">
        <f>F859*AR859*in_two_wheeler_ticket*in_two_wheeler_comm*in_ins_partner_share+F859*in_two_wheeler_ticket*in_two_wheeler_comm*in_ins_partner_share*(in_two_wheeler_renew^1*SUMIFS(AR842:AR885,B842:B885,B859-12)+in_two_wheeler_renew^2*SUMIFS(AR842:AR885,B842:B885,B859-24)+in_two_wheeler_renew^3*SUMIFS(AR842:AR885,B842:B885,B859-36)+in_two_wheeler_renew^4*SUMIFS(AR842:AR885,B842:B885,B859-48))</f>
        <v/>
      </c>
      <c r="AT859" s="40">
        <f>AT858*(1-IF(B858&gt;=in_marketplace_from,d_hz_device*G858,0))</f>
        <v/>
      </c>
      <c r="AU859" s="14">
        <f>F859*AT859*IF(B859&gt;=in_marketplace_from,d_hz_device*G859,0)*in_device_ticket*in_device_comm*in_ins_partner_share</f>
        <v/>
      </c>
      <c r="AV859" s="40">
        <f>AV858*(1-IF(B858&gt;=in_marketplace_from,d_hz_shop*G858,0))</f>
        <v/>
      </c>
      <c r="AW859" s="46">
        <f>AV859*IF(B859&gt;=in_marketplace_from,d_hz_shop*G859,0)</f>
        <v/>
      </c>
      <c r="AX859" s="14">
        <f>F859*AW859*in_shop_ticket*in_shop_comm*in_ins_partner_share+F859*in_shop_ticket*in_shop_renew_comm*in_ins_partner_share*(in_shop_renew^1*SUMIFS(AW842:AW885,B842:B885,B859-12)+in_shop_renew^2*SUMIFS(AW842:AW885,B842:B885,B859-24)+in_shop_renew^3*SUMIFS(AW842:AW885,B842:B885,B859-36)+in_shop_renew^4*SUMIFS(AW842:AW885,B842:B885,B859-48))</f>
        <v/>
      </c>
      <c r="AY859" s="40">
        <f>AY858*(1-IF(B858&gt;=in_marketplace_from,d_hz_sip*G858,0))</f>
        <v/>
      </c>
      <c r="AZ859" s="40">
        <f>AZ858*d_rho_sip+AY859*IF(B859&gt;=in_marketplace_from,d_hz_sip*G859,0)</f>
        <v/>
      </c>
      <c r="BA859" s="40">
        <f>d_rho_sip*(BA858+AZ858)</f>
        <v/>
      </c>
      <c r="BB859" s="14">
        <f>F859*in_sip_ticket*(BA859+0.5*AZ859)*in_sip_comm/12</f>
        <v/>
      </c>
      <c r="BC859" s="40">
        <f>BC858*(1-IF(B858&gt;=in_marketplace_from,d_hz_choti*G858,0))</f>
        <v/>
      </c>
      <c r="BD859" s="46">
        <f>BC859*IF(B859&gt;=in_marketplace_from,d_hz_choti*G859,0)</f>
        <v/>
      </c>
      <c r="BE859" s="14">
        <f>F859*SUMIFS(BD842:BD885,B842:B885,B859-in_choti_months)*in_choti_renew*in_choti_ticket</f>
        <v/>
      </c>
      <c r="BF859" s="40">
        <f>BF858*(1-IF(B858&gt;=in_marketplace_from,d_hz_nps*G858,0))</f>
        <v/>
      </c>
      <c r="BG859" s="14">
        <f>F859*BF859*IF(B859&gt;=in_marketplace_from,d_hz_nps*G859,0)*in_nps_ticket*in_nps_comm</f>
        <v/>
      </c>
      <c r="BH859" s="40">
        <f>BH858*(1-IF(B858&gt;=in_marketplace_from,d_hz_gold*G858,0))</f>
        <v/>
      </c>
      <c r="BI859" s="40">
        <f>BI858*d_rho_gold+BH859*IF(B859&gt;=in_marketplace_from,d_hz_gold*G859,0)</f>
        <v/>
      </c>
      <c r="BJ859" s="14">
        <f>F859*BI859*in_gold_ticket*in_gold_comm</f>
        <v/>
      </c>
      <c r="BK859" s="40">
        <f>BK858*(1-IF(B858&gt;=in_marketplace_from,d_hz_fd*G858,0))</f>
        <v/>
      </c>
      <c r="BL859" s="14">
        <f>F859*BK859*IF(B859&gt;=in_marketplace_from,d_hz_fd*G859,0)*in_fd_ticket*in_fd_comm</f>
        <v/>
      </c>
      <c r="BM859" s="40">
        <f>BM858*(1-IF(B858&gt;=in_marketplace_from,d_hz_recharge*G858,0))</f>
        <v/>
      </c>
      <c r="BN859" s="40">
        <f>BN858*d_rho_recharge+BM859*IF(B859&gt;=in_marketplace_from,d_hz_recharge*G859,0)</f>
        <v/>
      </c>
      <c r="BO859" s="14">
        <f>F859*BN859*in_recharge_ticket*in_recharge_comm/12</f>
        <v/>
      </c>
      <c r="BP859" s="40">
        <f>BP858*(1-IF(B858&gt;=in_marketplace_from,d_hz_bills*G858,0))</f>
        <v/>
      </c>
      <c r="BQ859" s="40">
        <f>BQ858*d_rho_bills+BP859*IF(B859&gt;=in_marketplace_from,d_hz_bills*G859,0)</f>
        <v/>
      </c>
      <c r="BR859" s="14">
        <f>F859*BQ859*in_bills_ticket*in_bills_comm/12</f>
        <v/>
      </c>
      <c r="BS859" s="40">
        <f>BS858*(1-IF(B858&gt;=in_marketplace_from,d_hz_loan_gold*G858,0))</f>
        <v/>
      </c>
      <c r="BT859" s="14">
        <f>F859*BS859*IF(B859&gt;=in_marketplace_from,d_hz_loan_gold*G859,0)*in_loan_gold_ticket*in_loan_gold_comm</f>
        <v/>
      </c>
      <c r="BU859" s="40">
        <f>BU858*(1-IF(B858&gt;=in_marketplace_from,d_hz_loan_cd*G858,0))</f>
        <v/>
      </c>
      <c r="BV859" s="14">
        <f>F859*BU859*IF(B859&gt;=in_marketplace_from,d_hz_loan_cd*G859,0)*in_loan_cd_ticket*in_loan_cd_comm</f>
        <v/>
      </c>
      <c r="BW859" s="40">
        <f>BW858*(1-IF(B858&gt;=in_marketplace_from,d_hz_loan_vehicle*G858,0))</f>
        <v/>
      </c>
      <c r="BX859" s="14">
        <f>F859*BW859*IF(B859&gt;=in_marketplace_from,d_hz_loan_vehicle*G859,0)*in_loan_vehicle_ticket*in_loan_vehicle_comm</f>
        <v/>
      </c>
      <c r="BY859" s="40">
        <f>BY858*(1-IF(B858&gt;=in_marketplace_from,d_hz_loan_home*G858,0)*BZ858)</f>
        <v/>
      </c>
      <c r="BZ859" s="11">
        <f>MIN(in_approval_cap,in_loan_home_approval*INDEX('Age profile'!$O$2:$O$61,B859)*(1+in_approval_growth)^(D859-1))</f>
        <v/>
      </c>
      <c r="CA859" s="14">
        <f>F859*BY859*IF(B859&gt;=in_marketplace_from,d_hz_loan_home*G859,0)*BZ859*in_loan_home_ticket*in_loan_home_comm</f>
        <v/>
      </c>
      <c r="CB859" s="40">
        <f>CB858*(1-IF(B858&gt;=in_marketplace_from,d_hz_loan_lap*G858,0)*CC858)</f>
        <v/>
      </c>
      <c r="CC859" s="11">
        <f>MIN(in_approval_cap,in_loan_lap_approval*INDEX('Age profile'!$O$2:$O$61,B859)*(1+in_approval_growth)^(D859-1))</f>
        <v/>
      </c>
      <c r="CD859" s="14">
        <f>F859*CB859*IF(B859&gt;=in_marketplace_from,d_hz_loan_lap*G859,0)*CC859*in_loan_lap_ticket*in_loan_lap_comm</f>
        <v/>
      </c>
      <c r="CE859" s="14">
        <f>AA859+AB859+AC859+AD859+AG859+AJ859+AM859+AP859+AS859+AU859+AX859+BB859+BE859+BG859+BJ859+BL859+BO859+BR859+BT859+BV859+BX859+CA859+CD859</f>
        <v/>
      </c>
    </row>
    <row r="860">
      <c r="A860" s="39" t="n">
        <v>17</v>
      </c>
      <c r="B860" s="39" t="n">
        <v>19</v>
      </c>
      <c r="C860" s="39">
        <f>A860+B860-1</f>
        <v/>
      </c>
      <c r="D860" s="39">
        <f>INT((C860-1)/12)+1</f>
        <v/>
      </c>
      <c r="E860" s="44">
        <f>INDEX(Monthly!$B$2:$B$61,A860)</f>
        <v/>
      </c>
      <c r="F860" s="44">
        <f>E860*INDEX('Age profile'!$B$2:$B$61,B860)</f>
        <v/>
      </c>
      <c r="G860" s="45">
        <f>MIN(in_takeup_cap,INDEX('Age profile'!$N$2:$N$61,B860)*(1+in_takeup_growth)^(D860-1))</f>
        <v/>
      </c>
      <c r="H860" s="11">
        <f>MIN(in_approval_cap,in_approved_first*INDEX('Age profile'!$O$2:$O$61,B860)*(1+in_approval_growth)^(D860-1))</f>
        <v/>
      </c>
      <c r="I860" s="45">
        <f>G860*MIN(in_takeup_cap,INDEX('Age profile'!$O$2:$O$61,B860)*(1+in_approval_growth)^(D860-1))</f>
        <v/>
      </c>
      <c r="J860" s="40">
        <f>(J859-L859)*F860/F859</f>
        <v/>
      </c>
      <c r="K860" s="40">
        <f>(K859-M859)*F860/F859+SUMIFS(O842:O859,B842:B859,B860-1-d_T)*F860</f>
        <v/>
      </c>
      <c r="L860" s="40">
        <f>IF(B860&gt;=in_marketplace_from,J860*d_hz*G860*in_eligible*H860,0)</f>
        <v/>
      </c>
      <c r="M860" s="40">
        <f>IF(B860&gt;=in_marketplace_from,K860*d_hz*G860*in_eligible*in_approved_repeat,0)</f>
        <v/>
      </c>
      <c r="N860" s="40">
        <f>L860+M860</f>
        <v/>
      </c>
      <c r="O860" s="46">
        <f>N860/F860</f>
        <v/>
      </c>
      <c r="P860" s="40">
        <f>F860-J860-K860</f>
        <v/>
      </c>
      <c r="Q860" s="40">
        <f>IF(B860&gt;=in_marketplace_from,(J860+K860)*d_hz*G860,0)</f>
        <v/>
      </c>
      <c r="R860" s="40">
        <f>SUMIFS(N842:N885,B842:B885,"&gt;="&amp;(B860-d_T),B842:B885,"&lt;="&amp;(B860-1))</f>
        <v/>
      </c>
      <c r="S860" s="46">
        <f>(1-d_u)*S859+IF(d_T&gt;in_topup_lag,SUMIFS(O842:O885,B842:B885,B860-in_topup_lag)-d_udrop*SUMIFS(O842:O885,B842:B885,B860-d_T),0)</f>
        <v/>
      </c>
      <c r="T860" s="40">
        <f>F860*d_u*S860</f>
        <v/>
      </c>
      <c r="U860" s="9">
        <f>L860*in_ticket+M860*d_rep_ticket</f>
        <v/>
      </c>
      <c r="V860" s="9">
        <f>U860+T860*d_topup_amt</f>
        <v/>
      </c>
      <c r="W860" s="40">
        <f>N860+T860*d_topup_ratio</f>
        <v/>
      </c>
      <c r="X860" s="40">
        <f>SUMIFS(W842:W885,B842:B885,B860-in_dpd_lag)*d_cured</f>
        <v/>
      </c>
      <c r="Y860" s="40">
        <f>SUMIFS(W842:W885,B842:B885,B860-in_rec_lag)*d_recd</f>
        <v/>
      </c>
      <c r="Z860" s="40">
        <f>IF(AND(B860&gt;=in_marketplace_from,B860&lt;in_marketplace_from+in_card_months),in_card_share/in_card_months*F860*I860,IF(AND(B860&gt;=in_marketplace_from+in_card_months,B860&lt;in_marketplace_from+2*in_card_months),in_card_share*d_card_rem/in_card_months*F860*MIN(in_takeup_cap,(1+in_takeup_growth)^(D860-1))*MIN(in_takeup_cap,(1+in_approval_growth)^(D860-1)),0))</f>
        <v/>
      </c>
      <c r="AA860" s="14">
        <f>V860*in_fee*(1-in_taken_back)</f>
        <v/>
      </c>
      <c r="AB860" s="14">
        <f>SUMIFS(W842:W885,B842:B885,B860-in_dpd_lag)*d_dpd</f>
        <v/>
      </c>
      <c r="AC860" s="14">
        <f>SUMIFS(W842:W885,B842:B885,B860-in_rec_lag)*d_rec</f>
        <v/>
      </c>
      <c r="AD860" s="14">
        <f>Z860*in_card_fee</f>
        <v/>
      </c>
      <c r="AE860" s="40">
        <f>AE859*(1-IF(B859&gt;=in_marketplace_from,d_hz_hlth_small*G859,0))</f>
        <v/>
      </c>
      <c r="AF860" s="46">
        <f>AE860*IF(B860&gt;=in_marketplace_from,d_hz_hlth_small*G860,0)</f>
        <v/>
      </c>
      <c r="AG860" s="14">
        <f>F860*AF860*in_hlth_small_ticket*in_hlth_small_comm*in_ins_partner_share+F860*in_hlth_small_ticket*in_hlth_small_renew_comm*in_ins_partner_share*(in_hlth_small_renew^1*SUMIFS(AF842:AF885,B842:B885,B860-12)+in_hlth_small_renew^2*SUMIFS(AF842:AF885,B842:B885,B860-24)+in_hlth_small_renew^3*SUMIFS(AF842:AF885,B842:B885,B860-36)+in_hlth_small_renew^4*SUMIFS(AF842:AF885,B842:B885,B860-48))</f>
        <v/>
      </c>
      <c r="AH860" s="40">
        <f>AH859*(1-IF(B859&gt;=in_marketplace_from,d_hz_hlth_family*G859,0))</f>
        <v/>
      </c>
      <c r="AI860" s="46">
        <f>AH860*IF(B860&gt;=in_marketplace_from,d_hz_hlth_family*G860,0)</f>
        <v/>
      </c>
      <c r="AJ860" s="14">
        <f>F860*AI860*in_hlth_family_ticket*in_hlth_family_comm*in_ins_partner_share+F860*in_hlth_family_ticket*in_hlth_family_renew_comm*in_ins_partner_share*(in_hlth_family_renew^1*SUMIFS(AI842:AI885,B842:B885,B860-12)+in_hlth_family_renew^2*SUMIFS(AI842:AI885,B842:B885,B860-24)+in_hlth_family_renew^3*SUMIFS(AI842:AI885,B842:B885,B860-36)+in_hlth_family_renew^4*SUMIFS(AI842:AI885,B842:B885,B860-48))</f>
        <v/>
      </c>
      <c r="AK860" s="40">
        <f>AK859*(1-IF(B859&gt;=in_marketplace_from,d_hz_life_term*G859,0))</f>
        <v/>
      </c>
      <c r="AL860" s="46">
        <f>AK860*IF(B860&gt;=in_marketplace_from,d_hz_life_term*G860,0)</f>
        <v/>
      </c>
      <c r="AM860" s="14">
        <f>F860*AL860*in_life_term_ticket*in_life_term_comm*in_ins_partner_share+F860*in_life_term_ticket*in_life_term_renew_comm*in_ins_partner_share*(in_life_term_renew^1*SUMIFS(AL842:AL885,B842:B885,B860-12)+in_life_term_renew^2*SUMIFS(AL842:AL885,B842:B885,B860-24)+in_life_term_renew^3*SUMIFS(AL842:AL885,B842:B885,B860-36)+in_life_term_renew^4*SUMIFS(AL842:AL885,B842:B885,B860-48))</f>
        <v/>
      </c>
      <c r="AN860" s="40">
        <f>AN859*(1-IF(B859&gt;=in_marketplace_from,d_hz_accident*G859,0))</f>
        <v/>
      </c>
      <c r="AO860" s="46">
        <f>AN860*IF(B860&gt;=in_marketplace_from,d_hz_accident*G860,0)</f>
        <v/>
      </c>
      <c r="AP860" s="14">
        <f>F860*AO860*in_accident_ticket*in_accident_comm*in_ins_partner_share+F860*in_accident_ticket*in_accident_renew_comm*in_ins_partner_share*(in_accident_renew^1*SUMIFS(AO842:AO885,B842:B885,B860-12)+in_accident_renew^2*SUMIFS(AO842:AO885,B842:B885,B860-24)+in_accident_renew^3*SUMIFS(AO842:AO885,B842:B885,B860-36)+in_accident_renew^4*SUMIFS(AO842:AO885,B842:B885,B860-48))</f>
        <v/>
      </c>
      <c r="AQ860" s="40">
        <f>AQ859*(1-IF(B859&gt;=in_marketplace_from,d_hz_two_wheeler*G859,0))</f>
        <v/>
      </c>
      <c r="AR860" s="46">
        <f>AQ860*IF(B860&gt;=in_marketplace_from,d_hz_two_wheeler*G860,0)</f>
        <v/>
      </c>
      <c r="AS860" s="14">
        <f>F860*AR860*in_two_wheeler_ticket*in_two_wheeler_comm*in_ins_partner_share+F860*in_two_wheeler_ticket*in_two_wheeler_comm*in_ins_partner_share*(in_two_wheeler_renew^1*SUMIFS(AR842:AR885,B842:B885,B860-12)+in_two_wheeler_renew^2*SUMIFS(AR842:AR885,B842:B885,B860-24)+in_two_wheeler_renew^3*SUMIFS(AR842:AR885,B842:B885,B860-36)+in_two_wheeler_renew^4*SUMIFS(AR842:AR885,B842:B885,B860-48))</f>
        <v/>
      </c>
      <c r="AT860" s="40">
        <f>AT859*(1-IF(B859&gt;=in_marketplace_from,d_hz_device*G859,0))</f>
        <v/>
      </c>
      <c r="AU860" s="14">
        <f>F860*AT860*IF(B860&gt;=in_marketplace_from,d_hz_device*G860,0)*in_device_ticket*in_device_comm*in_ins_partner_share</f>
        <v/>
      </c>
      <c r="AV860" s="40">
        <f>AV859*(1-IF(B859&gt;=in_marketplace_from,d_hz_shop*G859,0))</f>
        <v/>
      </c>
      <c r="AW860" s="46">
        <f>AV860*IF(B860&gt;=in_marketplace_from,d_hz_shop*G860,0)</f>
        <v/>
      </c>
      <c r="AX860" s="14">
        <f>F860*AW860*in_shop_ticket*in_shop_comm*in_ins_partner_share+F860*in_shop_ticket*in_shop_renew_comm*in_ins_partner_share*(in_shop_renew^1*SUMIFS(AW842:AW885,B842:B885,B860-12)+in_shop_renew^2*SUMIFS(AW842:AW885,B842:B885,B860-24)+in_shop_renew^3*SUMIFS(AW842:AW885,B842:B885,B860-36)+in_shop_renew^4*SUMIFS(AW842:AW885,B842:B885,B860-48))</f>
        <v/>
      </c>
      <c r="AY860" s="40">
        <f>AY859*(1-IF(B859&gt;=in_marketplace_from,d_hz_sip*G859,0))</f>
        <v/>
      </c>
      <c r="AZ860" s="40">
        <f>AZ859*d_rho_sip+AY860*IF(B860&gt;=in_marketplace_from,d_hz_sip*G860,0)</f>
        <v/>
      </c>
      <c r="BA860" s="40">
        <f>d_rho_sip*(BA859+AZ859)</f>
        <v/>
      </c>
      <c r="BB860" s="14">
        <f>F860*in_sip_ticket*(BA860+0.5*AZ860)*in_sip_comm/12</f>
        <v/>
      </c>
      <c r="BC860" s="40">
        <f>BC859*(1-IF(B859&gt;=in_marketplace_from,d_hz_choti*G859,0))</f>
        <v/>
      </c>
      <c r="BD860" s="46">
        <f>BC860*IF(B860&gt;=in_marketplace_from,d_hz_choti*G860,0)</f>
        <v/>
      </c>
      <c r="BE860" s="14">
        <f>F860*SUMIFS(BD842:BD885,B842:B885,B860-in_choti_months)*in_choti_renew*in_choti_ticket</f>
        <v/>
      </c>
      <c r="BF860" s="40">
        <f>BF859*(1-IF(B859&gt;=in_marketplace_from,d_hz_nps*G859,0))</f>
        <v/>
      </c>
      <c r="BG860" s="14">
        <f>F860*BF860*IF(B860&gt;=in_marketplace_from,d_hz_nps*G860,0)*in_nps_ticket*in_nps_comm</f>
        <v/>
      </c>
      <c r="BH860" s="40">
        <f>BH859*(1-IF(B859&gt;=in_marketplace_from,d_hz_gold*G859,0))</f>
        <v/>
      </c>
      <c r="BI860" s="40">
        <f>BI859*d_rho_gold+BH860*IF(B860&gt;=in_marketplace_from,d_hz_gold*G860,0)</f>
        <v/>
      </c>
      <c r="BJ860" s="14">
        <f>F860*BI860*in_gold_ticket*in_gold_comm</f>
        <v/>
      </c>
      <c r="BK860" s="40">
        <f>BK859*(1-IF(B859&gt;=in_marketplace_from,d_hz_fd*G859,0))</f>
        <v/>
      </c>
      <c r="BL860" s="14">
        <f>F860*BK860*IF(B860&gt;=in_marketplace_from,d_hz_fd*G860,0)*in_fd_ticket*in_fd_comm</f>
        <v/>
      </c>
      <c r="BM860" s="40">
        <f>BM859*(1-IF(B859&gt;=in_marketplace_from,d_hz_recharge*G859,0))</f>
        <v/>
      </c>
      <c r="BN860" s="40">
        <f>BN859*d_rho_recharge+BM860*IF(B860&gt;=in_marketplace_from,d_hz_recharge*G860,0)</f>
        <v/>
      </c>
      <c r="BO860" s="14">
        <f>F860*BN860*in_recharge_ticket*in_recharge_comm/12</f>
        <v/>
      </c>
      <c r="BP860" s="40">
        <f>BP859*(1-IF(B859&gt;=in_marketplace_from,d_hz_bills*G859,0))</f>
        <v/>
      </c>
      <c r="BQ860" s="40">
        <f>BQ859*d_rho_bills+BP860*IF(B860&gt;=in_marketplace_from,d_hz_bills*G860,0)</f>
        <v/>
      </c>
      <c r="BR860" s="14">
        <f>F860*BQ860*in_bills_ticket*in_bills_comm/12</f>
        <v/>
      </c>
      <c r="BS860" s="40">
        <f>BS859*(1-IF(B859&gt;=in_marketplace_from,d_hz_loan_gold*G859,0))</f>
        <v/>
      </c>
      <c r="BT860" s="14">
        <f>F860*BS860*IF(B860&gt;=in_marketplace_from,d_hz_loan_gold*G860,0)*in_loan_gold_ticket*in_loan_gold_comm</f>
        <v/>
      </c>
      <c r="BU860" s="40">
        <f>BU859*(1-IF(B859&gt;=in_marketplace_from,d_hz_loan_cd*G859,0))</f>
        <v/>
      </c>
      <c r="BV860" s="14">
        <f>F860*BU860*IF(B860&gt;=in_marketplace_from,d_hz_loan_cd*G860,0)*in_loan_cd_ticket*in_loan_cd_comm</f>
        <v/>
      </c>
      <c r="BW860" s="40">
        <f>BW859*(1-IF(B859&gt;=in_marketplace_from,d_hz_loan_vehicle*G859,0))</f>
        <v/>
      </c>
      <c r="BX860" s="14">
        <f>F860*BW860*IF(B860&gt;=in_marketplace_from,d_hz_loan_vehicle*G860,0)*in_loan_vehicle_ticket*in_loan_vehicle_comm</f>
        <v/>
      </c>
      <c r="BY860" s="40">
        <f>BY859*(1-IF(B859&gt;=in_marketplace_from,d_hz_loan_home*G859,0)*BZ859)</f>
        <v/>
      </c>
      <c r="BZ860" s="11">
        <f>MIN(in_approval_cap,in_loan_home_approval*INDEX('Age profile'!$O$2:$O$61,B860)*(1+in_approval_growth)^(D860-1))</f>
        <v/>
      </c>
      <c r="CA860" s="14">
        <f>F860*BY860*IF(B860&gt;=in_marketplace_from,d_hz_loan_home*G860,0)*BZ860*in_loan_home_ticket*in_loan_home_comm</f>
        <v/>
      </c>
      <c r="CB860" s="40">
        <f>CB859*(1-IF(B859&gt;=in_marketplace_from,d_hz_loan_lap*G859,0)*CC859)</f>
        <v/>
      </c>
      <c r="CC860" s="11">
        <f>MIN(in_approval_cap,in_loan_lap_approval*INDEX('Age profile'!$O$2:$O$61,B860)*(1+in_approval_growth)^(D860-1))</f>
        <v/>
      </c>
      <c r="CD860" s="14">
        <f>F860*CB860*IF(B860&gt;=in_marketplace_from,d_hz_loan_lap*G860,0)*CC860*in_loan_lap_ticket*in_loan_lap_comm</f>
        <v/>
      </c>
      <c r="CE860" s="14">
        <f>AA860+AB860+AC860+AD860+AG860+AJ860+AM860+AP860+AS860+AU860+AX860+BB860+BE860+BG860+BJ860+BL860+BO860+BR860+BT860+BV860+BX860+CA860+CD860</f>
        <v/>
      </c>
    </row>
    <row r="861">
      <c r="A861" s="39" t="n">
        <v>17</v>
      </c>
      <c r="B861" s="39" t="n">
        <v>20</v>
      </c>
      <c r="C861" s="39">
        <f>A861+B861-1</f>
        <v/>
      </c>
      <c r="D861" s="39">
        <f>INT((C861-1)/12)+1</f>
        <v/>
      </c>
      <c r="E861" s="44">
        <f>INDEX(Monthly!$B$2:$B$61,A861)</f>
        <v/>
      </c>
      <c r="F861" s="44">
        <f>E861*INDEX('Age profile'!$B$2:$B$61,B861)</f>
        <v/>
      </c>
      <c r="G861" s="45">
        <f>MIN(in_takeup_cap,INDEX('Age profile'!$N$2:$N$61,B861)*(1+in_takeup_growth)^(D861-1))</f>
        <v/>
      </c>
      <c r="H861" s="11">
        <f>MIN(in_approval_cap,in_approved_first*INDEX('Age profile'!$O$2:$O$61,B861)*(1+in_approval_growth)^(D861-1))</f>
        <v/>
      </c>
      <c r="I861" s="45">
        <f>G861*MIN(in_takeup_cap,INDEX('Age profile'!$O$2:$O$61,B861)*(1+in_approval_growth)^(D861-1))</f>
        <v/>
      </c>
      <c r="J861" s="40">
        <f>(J860-L860)*F861/F860</f>
        <v/>
      </c>
      <c r="K861" s="40">
        <f>(K860-M860)*F861/F860+SUMIFS(O842:O860,B842:B860,B861-1-d_T)*F861</f>
        <v/>
      </c>
      <c r="L861" s="40">
        <f>IF(B861&gt;=in_marketplace_from,J861*d_hz*G861*in_eligible*H861,0)</f>
        <v/>
      </c>
      <c r="M861" s="40">
        <f>IF(B861&gt;=in_marketplace_from,K861*d_hz*G861*in_eligible*in_approved_repeat,0)</f>
        <v/>
      </c>
      <c r="N861" s="40">
        <f>L861+M861</f>
        <v/>
      </c>
      <c r="O861" s="46">
        <f>N861/F861</f>
        <v/>
      </c>
      <c r="P861" s="40">
        <f>F861-J861-K861</f>
        <v/>
      </c>
      <c r="Q861" s="40">
        <f>IF(B861&gt;=in_marketplace_from,(J861+K861)*d_hz*G861,0)</f>
        <v/>
      </c>
      <c r="R861" s="40">
        <f>SUMIFS(N842:N885,B842:B885,"&gt;="&amp;(B861-d_T),B842:B885,"&lt;="&amp;(B861-1))</f>
        <v/>
      </c>
      <c r="S861" s="46">
        <f>(1-d_u)*S860+IF(d_T&gt;in_topup_lag,SUMIFS(O842:O885,B842:B885,B861-in_topup_lag)-d_udrop*SUMIFS(O842:O885,B842:B885,B861-d_T),0)</f>
        <v/>
      </c>
      <c r="T861" s="40">
        <f>F861*d_u*S861</f>
        <v/>
      </c>
      <c r="U861" s="9">
        <f>L861*in_ticket+M861*d_rep_ticket</f>
        <v/>
      </c>
      <c r="V861" s="9">
        <f>U861+T861*d_topup_amt</f>
        <v/>
      </c>
      <c r="W861" s="40">
        <f>N861+T861*d_topup_ratio</f>
        <v/>
      </c>
      <c r="X861" s="40">
        <f>SUMIFS(W842:W885,B842:B885,B861-in_dpd_lag)*d_cured</f>
        <v/>
      </c>
      <c r="Y861" s="40">
        <f>SUMIFS(W842:W885,B842:B885,B861-in_rec_lag)*d_recd</f>
        <v/>
      </c>
      <c r="Z861" s="40">
        <f>IF(AND(B861&gt;=in_marketplace_from,B861&lt;in_marketplace_from+in_card_months),in_card_share/in_card_months*F861*I861,IF(AND(B861&gt;=in_marketplace_from+in_card_months,B861&lt;in_marketplace_from+2*in_card_months),in_card_share*d_card_rem/in_card_months*F861*MIN(in_takeup_cap,(1+in_takeup_growth)^(D861-1))*MIN(in_takeup_cap,(1+in_approval_growth)^(D861-1)),0))</f>
        <v/>
      </c>
      <c r="AA861" s="14">
        <f>V861*in_fee*(1-in_taken_back)</f>
        <v/>
      </c>
      <c r="AB861" s="14">
        <f>SUMIFS(W842:W885,B842:B885,B861-in_dpd_lag)*d_dpd</f>
        <v/>
      </c>
      <c r="AC861" s="14">
        <f>SUMIFS(W842:W885,B842:B885,B861-in_rec_lag)*d_rec</f>
        <v/>
      </c>
      <c r="AD861" s="14">
        <f>Z861*in_card_fee</f>
        <v/>
      </c>
      <c r="AE861" s="40">
        <f>AE860*(1-IF(B860&gt;=in_marketplace_from,d_hz_hlth_small*G860,0))</f>
        <v/>
      </c>
      <c r="AF861" s="46">
        <f>AE861*IF(B861&gt;=in_marketplace_from,d_hz_hlth_small*G861,0)</f>
        <v/>
      </c>
      <c r="AG861" s="14">
        <f>F861*AF861*in_hlth_small_ticket*in_hlth_small_comm*in_ins_partner_share+F861*in_hlth_small_ticket*in_hlth_small_renew_comm*in_ins_partner_share*(in_hlth_small_renew^1*SUMIFS(AF842:AF885,B842:B885,B861-12)+in_hlth_small_renew^2*SUMIFS(AF842:AF885,B842:B885,B861-24)+in_hlth_small_renew^3*SUMIFS(AF842:AF885,B842:B885,B861-36)+in_hlth_small_renew^4*SUMIFS(AF842:AF885,B842:B885,B861-48))</f>
        <v/>
      </c>
      <c r="AH861" s="40">
        <f>AH860*(1-IF(B860&gt;=in_marketplace_from,d_hz_hlth_family*G860,0))</f>
        <v/>
      </c>
      <c r="AI861" s="46">
        <f>AH861*IF(B861&gt;=in_marketplace_from,d_hz_hlth_family*G861,0)</f>
        <v/>
      </c>
      <c r="AJ861" s="14">
        <f>F861*AI861*in_hlth_family_ticket*in_hlth_family_comm*in_ins_partner_share+F861*in_hlth_family_ticket*in_hlth_family_renew_comm*in_ins_partner_share*(in_hlth_family_renew^1*SUMIFS(AI842:AI885,B842:B885,B861-12)+in_hlth_family_renew^2*SUMIFS(AI842:AI885,B842:B885,B861-24)+in_hlth_family_renew^3*SUMIFS(AI842:AI885,B842:B885,B861-36)+in_hlth_family_renew^4*SUMIFS(AI842:AI885,B842:B885,B861-48))</f>
        <v/>
      </c>
      <c r="AK861" s="40">
        <f>AK860*(1-IF(B860&gt;=in_marketplace_from,d_hz_life_term*G860,0))</f>
        <v/>
      </c>
      <c r="AL861" s="46">
        <f>AK861*IF(B861&gt;=in_marketplace_from,d_hz_life_term*G861,0)</f>
        <v/>
      </c>
      <c r="AM861" s="14">
        <f>F861*AL861*in_life_term_ticket*in_life_term_comm*in_ins_partner_share+F861*in_life_term_ticket*in_life_term_renew_comm*in_ins_partner_share*(in_life_term_renew^1*SUMIFS(AL842:AL885,B842:B885,B861-12)+in_life_term_renew^2*SUMIFS(AL842:AL885,B842:B885,B861-24)+in_life_term_renew^3*SUMIFS(AL842:AL885,B842:B885,B861-36)+in_life_term_renew^4*SUMIFS(AL842:AL885,B842:B885,B861-48))</f>
        <v/>
      </c>
      <c r="AN861" s="40">
        <f>AN860*(1-IF(B860&gt;=in_marketplace_from,d_hz_accident*G860,0))</f>
        <v/>
      </c>
      <c r="AO861" s="46">
        <f>AN861*IF(B861&gt;=in_marketplace_from,d_hz_accident*G861,0)</f>
        <v/>
      </c>
      <c r="AP861" s="14">
        <f>F861*AO861*in_accident_ticket*in_accident_comm*in_ins_partner_share+F861*in_accident_ticket*in_accident_renew_comm*in_ins_partner_share*(in_accident_renew^1*SUMIFS(AO842:AO885,B842:B885,B861-12)+in_accident_renew^2*SUMIFS(AO842:AO885,B842:B885,B861-24)+in_accident_renew^3*SUMIFS(AO842:AO885,B842:B885,B861-36)+in_accident_renew^4*SUMIFS(AO842:AO885,B842:B885,B861-48))</f>
        <v/>
      </c>
      <c r="AQ861" s="40">
        <f>AQ860*(1-IF(B860&gt;=in_marketplace_from,d_hz_two_wheeler*G860,0))</f>
        <v/>
      </c>
      <c r="AR861" s="46">
        <f>AQ861*IF(B861&gt;=in_marketplace_from,d_hz_two_wheeler*G861,0)</f>
        <v/>
      </c>
      <c r="AS861" s="14">
        <f>F861*AR861*in_two_wheeler_ticket*in_two_wheeler_comm*in_ins_partner_share+F861*in_two_wheeler_ticket*in_two_wheeler_comm*in_ins_partner_share*(in_two_wheeler_renew^1*SUMIFS(AR842:AR885,B842:B885,B861-12)+in_two_wheeler_renew^2*SUMIFS(AR842:AR885,B842:B885,B861-24)+in_two_wheeler_renew^3*SUMIFS(AR842:AR885,B842:B885,B861-36)+in_two_wheeler_renew^4*SUMIFS(AR842:AR885,B842:B885,B861-48))</f>
        <v/>
      </c>
      <c r="AT861" s="40">
        <f>AT860*(1-IF(B860&gt;=in_marketplace_from,d_hz_device*G860,0))</f>
        <v/>
      </c>
      <c r="AU861" s="14">
        <f>F861*AT861*IF(B861&gt;=in_marketplace_from,d_hz_device*G861,0)*in_device_ticket*in_device_comm*in_ins_partner_share</f>
        <v/>
      </c>
      <c r="AV861" s="40">
        <f>AV860*(1-IF(B860&gt;=in_marketplace_from,d_hz_shop*G860,0))</f>
        <v/>
      </c>
      <c r="AW861" s="46">
        <f>AV861*IF(B861&gt;=in_marketplace_from,d_hz_shop*G861,0)</f>
        <v/>
      </c>
      <c r="AX861" s="14">
        <f>F861*AW861*in_shop_ticket*in_shop_comm*in_ins_partner_share+F861*in_shop_ticket*in_shop_renew_comm*in_ins_partner_share*(in_shop_renew^1*SUMIFS(AW842:AW885,B842:B885,B861-12)+in_shop_renew^2*SUMIFS(AW842:AW885,B842:B885,B861-24)+in_shop_renew^3*SUMIFS(AW842:AW885,B842:B885,B861-36)+in_shop_renew^4*SUMIFS(AW842:AW885,B842:B885,B861-48))</f>
        <v/>
      </c>
      <c r="AY861" s="40">
        <f>AY860*(1-IF(B860&gt;=in_marketplace_from,d_hz_sip*G860,0))</f>
        <v/>
      </c>
      <c r="AZ861" s="40">
        <f>AZ860*d_rho_sip+AY861*IF(B861&gt;=in_marketplace_from,d_hz_sip*G861,0)</f>
        <v/>
      </c>
      <c r="BA861" s="40">
        <f>d_rho_sip*(BA860+AZ860)</f>
        <v/>
      </c>
      <c r="BB861" s="14">
        <f>F861*in_sip_ticket*(BA861+0.5*AZ861)*in_sip_comm/12</f>
        <v/>
      </c>
      <c r="BC861" s="40">
        <f>BC860*(1-IF(B860&gt;=in_marketplace_from,d_hz_choti*G860,0))</f>
        <v/>
      </c>
      <c r="BD861" s="46">
        <f>BC861*IF(B861&gt;=in_marketplace_from,d_hz_choti*G861,0)</f>
        <v/>
      </c>
      <c r="BE861" s="14">
        <f>F861*SUMIFS(BD842:BD885,B842:B885,B861-in_choti_months)*in_choti_renew*in_choti_ticket</f>
        <v/>
      </c>
      <c r="BF861" s="40">
        <f>BF860*(1-IF(B860&gt;=in_marketplace_from,d_hz_nps*G860,0))</f>
        <v/>
      </c>
      <c r="BG861" s="14">
        <f>F861*BF861*IF(B861&gt;=in_marketplace_from,d_hz_nps*G861,0)*in_nps_ticket*in_nps_comm</f>
        <v/>
      </c>
      <c r="BH861" s="40">
        <f>BH860*(1-IF(B860&gt;=in_marketplace_from,d_hz_gold*G860,0))</f>
        <v/>
      </c>
      <c r="BI861" s="40">
        <f>BI860*d_rho_gold+BH861*IF(B861&gt;=in_marketplace_from,d_hz_gold*G861,0)</f>
        <v/>
      </c>
      <c r="BJ861" s="14">
        <f>F861*BI861*in_gold_ticket*in_gold_comm</f>
        <v/>
      </c>
      <c r="BK861" s="40">
        <f>BK860*(1-IF(B860&gt;=in_marketplace_from,d_hz_fd*G860,0))</f>
        <v/>
      </c>
      <c r="BL861" s="14">
        <f>F861*BK861*IF(B861&gt;=in_marketplace_from,d_hz_fd*G861,0)*in_fd_ticket*in_fd_comm</f>
        <v/>
      </c>
      <c r="BM861" s="40">
        <f>BM860*(1-IF(B860&gt;=in_marketplace_from,d_hz_recharge*G860,0))</f>
        <v/>
      </c>
      <c r="BN861" s="40">
        <f>BN860*d_rho_recharge+BM861*IF(B861&gt;=in_marketplace_from,d_hz_recharge*G861,0)</f>
        <v/>
      </c>
      <c r="BO861" s="14">
        <f>F861*BN861*in_recharge_ticket*in_recharge_comm/12</f>
        <v/>
      </c>
      <c r="BP861" s="40">
        <f>BP860*(1-IF(B860&gt;=in_marketplace_from,d_hz_bills*G860,0))</f>
        <v/>
      </c>
      <c r="BQ861" s="40">
        <f>BQ860*d_rho_bills+BP861*IF(B861&gt;=in_marketplace_from,d_hz_bills*G861,0)</f>
        <v/>
      </c>
      <c r="BR861" s="14">
        <f>F861*BQ861*in_bills_ticket*in_bills_comm/12</f>
        <v/>
      </c>
      <c r="BS861" s="40">
        <f>BS860*(1-IF(B860&gt;=in_marketplace_from,d_hz_loan_gold*G860,0))</f>
        <v/>
      </c>
      <c r="BT861" s="14">
        <f>F861*BS861*IF(B861&gt;=in_marketplace_from,d_hz_loan_gold*G861,0)*in_loan_gold_ticket*in_loan_gold_comm</f>
        <v/>
      </c>
      <c r="BU861" s="40">
        <f>BU860*(1-IF(B860&gt;=in_marketplace_from,d_hz_loan_cd*G860,0))</f>
        <v/>
      </c>
      <c r="BV861" s="14">
        <f>F861*BU861*IF(B861&gt;=in_marketplace_from,d_hz_loan_cd*G861,0)*in_loan_cd_ticket*in_loan_cd_comm</f>
        <v/>
      </c>
      <c r="BW861" s="40">
        <f>BW860*(1-IF(B860&gt;=in_marketplace_from,d_hz_loan_vehicle*G860,0))</f>
        <v/>
      </c>
      <c r="BX861" s="14">
        <f>F861*BW861*IF(B861&gt;=in_marketplace_from,d_hz_loan_vehicle*G861,0)*in_loan_vehicle_ticket*in_loan_vehicle_comm</f>
        <v/>
      </c>
      <c r="BY861" s="40">
        <f>BY860*(1-IF(B860&gt;=in_marketplace_from,d_hz_loan_home*G860,0)*BZ860)</f>
        <v/>
      </c>
      <c r="BZ861" s="11">
        <f>MIN(in_approval_cap,in_loan_home_approval*INDEX('Age profile'!$O$2:$O$61,B861)*(1+in_approval_growth)^(D861-1))</f>
        <v/>
      </c>
      <c r="CA861" s="14">
        <f>F861*BY861*IF(B861&gt;=in_marketplace_from,d_hz_loan_home*G861,0)*BZ861*in_loan_home_ticket*in_loan_home_comm</f>
        <v/>
      </c>
      <c r="CB861" s="40">
        <f>CB860*(1-IF(B860&gt;=in_marketplace_from,d_hz_loan_lap*G860,0)*CC860)</f>
        <v/>
      </c>
      <c r="CC861" s="11">
        <f>MIN(in_approval_cap,in_loan_lap_approval*INDEX('Age profile'!$O$2:$O$61,B861)*(1+in_approval_growth)^(D861-1))</f>
        <v/>
      </c>
      <c r="CD861" s="14">
        <f>F861*CB861*IF(B861&gt;=in_marketplace_from,d_hz_loan_lap*G861,0)*CC861*in_loan_lap_ticket*in_loan_lap_comm</f>
        <v/>
      </c>
      <c r="CE861" s="14">
        <f>AA861+AB861+AC861+AD861+AG861+AJ861+AM861+AP861+AS861+AU861+AX861+BB861+BE861+BG861+BJ861+BL861+BO861+BR861+BT861+BV861+BX861+CA861+CD861</f>
        <v/>
      </c>
    </row>
    <row r="862">
      <c r="A862" s="39" t="n">
        <v>17</v>
      </c>
      <c r="B862" s="39" t="n">
        <v>21</v>
      </c>
      <c r="C862" s="39">
        <f>A862+B862-1</f>
        <v/>
      </c>
      <c r="D862" s="39">
        <f>INT((C862-1)/12)+1</f>
        <v/>
      </c>
      <c r="E862" s="44">
        <f>INDEX(Monthly!$B$2:$B$61,A862)</f>
        <v/>
      </c>
      <c r="F862" s="44">
        <f>E862*INDEX('Age profile'!$B$2:$B$61,B862)</f>
        <v/>
      </c>
      <c r="G862" s="45">
        <f>MIN(in_takeup_cap,INDEX('Age profile'!$N$2:$N$61,B862)*(1+in_takeup_growth)^(D862-1))</f>
        <v/>
      </c>
      <c r="H862" s="11">
        <f>MIN(in_approval_cap,in_approved_first*INDEX('Age profile'!$O$2:$O$61,B862)*(1+in_approval_growth)^(D862-1))</f>
        <v/>
      </c>
      <c r="I862" s="45">
        <f>G862*MIN(in_takeup_cap,INDEX('Age profile'!$O$2:$O$61,B862)*(1+in_approval_growth)^(D862-1))</f>
        <v/>
      </c>
      <c r="J862" s="40">
        <f>(J861-L861)*F862/F861</f>
        <v/>
      </c>
      <c r="K862" s="40">
        <f>(K861-M861)*F862/F861+SUMIFS(O842:O861,B842:B861,B862-1-d_T)*F862</f>
        <v/>
      </c>
      <c r="L862" s="40">
        <f>IF(B862&gt;=in_marketplace_from,J862*d_hz*G862*in_eligible*H862,0)</f>
        <v/>
      </c>
      <c r="M862" s="40">
        <f>IF(B862&gt;=in_marketplace_from,K862*d_hz*G862*in_eligible*in_approved_repeat,0)</f>
        <v/>
      </c>
      <c r="N862" s="40">
        <f>L862+M862</f>
        <v/>
      </c>
      <c r="O862" s="46">
        <f>N862/F862</f>
        <v/>
      </c>
      <c r="P862" s="40">
        <f>F862-J862-K862</f>
        <v/>
      </c>
      <c r="Q862" s="40">
        <f>IF(B862&gt;=in_marketplace_from,(J862+K862)*d_hz*G862,0)</f>
        <v/>
      </c>
      <c r="R862" s="40">
        <f>SUMIFS(N842:N885,B842:B885,"&gt;="&amp;(B862-d_T),B842:B885,"&lt;="&amp;(B862-1))</f>
        <v/>
      </c>
      <c r="S862" s="46">
        <f>(1-d_u)*S861+IF(d_T&gt;in_topup_lag,SUMIFS(O842:O885,B842:B885,B862-in_topup_lag)-d_udrop*SUMIFS(O842:O885,B842:B885,B862-d_T),0)</f>
        <v/>
      </c>
      <c r="T862" s="40">
        <f>F862*d_u*S862</f>
        <v/>
      </c>
      <c r="U862" s="9">
        <f>L862*in_ticket+M862*d_rep_ticket</f>
        <v/>
      </c>
      <c r="V862" s="9">
        <f>U862+T862*d_topup_amt</f>
        <v/>
      </c>
      <c r="W862" s="40">
        <f>N862+T862*d_topup_ratio</f>
        <v/>
      </c>
      <c r="X862" s="40">
        <f>SUMIFS(W842:W885,B842:B885,B862-in_dpd_lag)*d_cured</f>
        <v/>
      </c>
      <c r="Y862" s="40">
        <f>SUMIFS(W842:W885,B842:B885,B862-in_rec_lag)*d_recd</f>
        <v/>
      </c>
      <c r="Z862" s="40">
        <f>IF(AND(B862&gt;=in_marketplace_from,B862&lt;in_marketplace_from+in_card_months),in_card_share/in_card_months*F862*I862,IF(AND(B862&gt;=in_marketplace_from+in_card_months,B862&lt;in_marketplace_from+2*in_card_months),in_card_share*d_card_rem/in_card_months*F862*MIN(in_takeup_cap,(1+in_takeup_growth)^(D862-1))*MIN(in_takeup_cap,(1+in_approval_growth)^(D862-1)),0))</f>
        <v/>
      </c>
      <c r="AA862" s="14">
        <f>V862*in_fee*(1-in_taken_back)</f>
        <v/>
      </c>
      <c r="AB862" s="14">
        <f>SUMIFS(W842:W885,B842:B885,B862-in_dpd_lag)*d_dpd</f>
        <v/>
      </c>
      <c r="AC862" s="14">
        <f>SUMIFS(W842:W885,B842:B885,B862-in_rec_lag)*d_rec</f>
        <v/>
      </c>
      <c r="AD862" s="14">
        <f>Z862*in_card_fee</f>
        <v/>
      </c>
      <c r="AE862" s="40">
        <f>AE861*(1-IF(B861&gt;=in_marketplace_from,d_hz_hlth_small*G861,0))</f>
        <v/>
      </c>
      <c r="AF862" s="46">
        <f>AE862*IF(B862&gt;=in_marketplace_from,d_hz_hlth_small*G862,0)</f>
        <v/>
      </c>
      <c r="AG862" s="14">
        <f>F862*AF862*in_hlth_small_ticket*in_hlth_small_comm*in_ins_partner_share+F862*in_hlth_small_ticket*in_hlth_small_renew_comm*in_ins_partner_share*(in_hlth_small_renew^1*SUMIFS(AF842:AF885,B842:B885,B862-12)+in_hlth_small_renew^2*SUMIFS(AF842:AF885,B842:B885,B862-24)+in_hlth_small_renew^3*SUMIFS(AF842:AF885,B842:B885,B862-36)+in_hlth_small_renew^4*SUMIFS(AF842:AF885,B842:B885,B862-48))</f>
        <v/>
      </c>
      <c r="AH862" s="40">
        <f>AH861*(1-IF(B861&gt;=in_marketplace_from,d_hz_hlth_family*G861,0))</f>
        <v/>
      </c>
      <c r="AI862" s="46">
        <f>AH862*IF(B862&gt;=in_marketplace_from,d_hz_hlth_family*G862,0)</f>
        <v/>
      </c>
      <c r="AJ862" s="14">
        <f>F862*AI862*in_hlth_family_ticket*in_hlth_family_comm*in_ins_partner_share+F862*in_hlth_family_ticket*in_hlth_family_renew_comm*in_ins_partner_share*(in_hlth_family_renew^1*SUMIFS(AI842:AI885,B842:B885,B862-12)+in_hlth_family_renew^2*SUMIFS(AI842:AI885,B842:B885,B862-24)+in_hlth_family_renew^3*SUMIFS(AI842:AI885,B842:B885,B862-36)+in_hlth_family_renew^4*SUMIFS(AI842:AI885,B842:B885,B862-48))</f>
        <v/>
      </c>
      <c r="AK862" s="40">
        <f>AK861*(1-IF(B861&gt;=in_marketplace_from,d_hz_life_term*G861,0))</f>
        <v/>
      </c>
      <c r="AL862" s="46">
        <f>AK862*IF(B862&gt;=in_marketplace_from,d_hz_life_term*G862,0)</f>
        <v/>
      </c>
      <c r="AM862" s="14">
        <f>F862*AL862*in_life_term_ticket*in_life_term_comm*in_ins_partner_share+F862*in_life_term_ticket*in_life_term_renew_comm*in_ins_partner_share*(in_life_term_renew^1*SUMIFS(AL842:AL885,B842:B885,B862-12)+in_life_term_renew^2*SUMIFS(AL842:AL885,B842:B885,B862-24)+in_life_term_renew^3*SUMIFS(AL842:AL885,B842:B885,B862-36)+in_life_term_renew^4*SUMIFS(AL842:AL885,B842:B885,B862-48))</f>
        <v/>
      </c>
      <c r="AN862" s="40">
        <f>AN861*(1-IF(B861&gt;=in_marketplace_from,d_hz_accident*G861,0))</f>
        <v/>
      </c>
      <c r="AO862" s="46">
        <f>AN862*IF(B862&gt;=in_marketplace_from,d_hz_accident*G862,0)</f>
        <v/>
      </c>
      <c r="AP862" s="14">
        <f>F862*AO862*in_accident_ticket*in_accident_comm*in_ins_partner_share+F862*in_accident_ticket*in_accident_renew_comm*in_ins_partner_share*(in_accident_renew^1*SUMIFS(AO842:AO885,B842:B885,B862-12)+in_accident_renew^2*SUMIFS(AO842:AO885,B842:B885,B862-24)+in_accident_renew^3*SUMIFS(AO842:AO885,B842:B885,B862-36)+in_accident_renew^4*SUMIFS(AO842:AO885,B842:B885,B862-48))</f>
        <v/>
      </c>
      <c r="AQ862" s="40">
        <f>AQ861*(1-IF(B861&gt;=in_marketplace_from,d_hz_two_wheeler*G861,0))</f>
        <v/>
      </c>
      <c r="AR862" s="46">
        <f>AQ862*IF(B862&gt;=in_marketplace_from,d_hz_two_wheeler*G862,0)</f>
        <v/>
      </c>
      <c r="AS862" s="14">
        <f>F862*AR862*in_two_wheeler_ticket*in_two_wheeler_comm*in_ins_partner_share+F862*in_two_wheeler_ticket*in_two_wheeler_comm*in_ins_partner_share*(in_two_wheeler_renew^1*SUMIFS(AR842:AR885,B842:B885,B862-12)+in_two_wheeler_renew^2*SUMIFS(AR842:AR885,B842:B885,B862-24)+in_two_wheeler_renew^3*SUMIFS(AR842:AR885,B842:B885,B862-36)+in_two_wheeler_renew^4*SUMIFS(AR842:AR885,B842:B885,B862-48))</f>
        <v/>
      </c>
      <c r="AT862" s="40">
        <f>AT861*(1-IF(B861&gt;=in_marketplace_from,d_hz_device*G861,0))</f>
        <v/>
      </c>
      <c r="AU862" s="14">
        <f>F862*AT862*IF(B862&gt;=in_marketplace_from,d_hz_device*G862,0)*in_device_ticket*in_device_comm*in_ins_partner_share</f>
        <v/>
      </c>
      <c r="AV862" s="40">
        <f>AV861*(1-IF(B861&gt;=in_marketplace_from,d_hz_shop*G861,0))</f>
        <v/>
      </c>
      <c r="AW862" s="46">
        <f>AV862*IF(B862&gt;=in_marketplace_from,d_hz_shop*G862,0)</f>
        <v/>
      </c>
      <c r="AX862" s="14">
        <f>F862*AW862*in_shop_ticket*in_shop_comm*in_ins_partner_share+F862*in_shop_ticket*in_shop_renew_comm*in_ins_partner_share*(in_shop_renew^1*SUMIFS(AW842:AW885,B842:B885,B862-12)+in_shop_renew^2*SUMIFS(AW842:AW885,B842:B885,B862-24)+in_shop_renew^3*SUMIFS(AW842:AW885,B842:B885,B862-36)+in_shop_renew^4*SUMIFS(AW842:AW885,B842:B885,B862-48))</f>
        <v/>
      </c>
      <c r="AY862" s="40">
        <f>AY861*(1-IF(B861&gt;=in_marketplace_from,d_hz_sip*G861,0))</f>
        <v/>
      </c>
      <c r="AZ862" s="40">
        <f>AZ861*d_rho_sip+AY862*IF(B862&gt;=in_marketplace_from,d_hz_sip*G862,0)</f>
        <v/>
      </c>
      <c r="BA862" s="40">
        <f>d_rho_sip*(BA861+AZ861)</f>
        <v/>
      </c>
      <c r="BB862" s="14">
        <f>F862*in_sip_ticket*(BA862+0.5*AZ862)*in_sip_comm/12</f>
        <v/>
      </c>
      <c r="BC862" s="40">
        <f>BC861*(1-IF(B861&gt;=in_marketplace_from,d_hz_choti*G861,0))</f>
        <v/>
      </c>
      <c r="BD862" s="46">
        <f>BC862*IF(B862&gt;=in_marketplace_from,d_hz_choti*G862,0)</f>
        <v/>
      </c>
      <c r="BE862" s="14">
        <f>F862*SUMIFS(BD842:BD885,B842:B885,B862-in_choti_months)*in_choti_renew*in_choti_ticket</f>
        <v/>
      </c>
      <c r="BF862" s="40">
        <f>BF861*(1-IF(B861&gt;=in_marketplace_from,d_hz_nps*G861,0))</f>
        <v/>
      </c>
      <c r="BG862" s="14">
        <f>F862*BF862*IF(B862&gt;=in_marketplace_from,d_hz_nps*G862,0)*in_nps_ticket*in_nps_comm</f>
        <v/>
      </c>
      <c r="BH862" s="40">
        <f>BH861*(1-IF(B861&gt;=in_marketplace_from,d_hz_gold*G861,0))</f>
        <v/>
      </c>
      <c r="BI862" s="40">
        <f>BI861*d_rho_gold+BH862*IF(B862&gt;=in_marketplace_from,d_hz_gold*G862,0)</f>
        <v/>
      </c>
      <c r="BJ862" s="14">
        <f>F862*BI862*in_gold_ticket*in_gold_comm</f>
        <v/>
      </c>
      <c r="BK862" s="40">
        <f>BK861*(1-IF(B861&gt;=in_marketplace_from,d_hz_fd*G861,0))</f>
        <v/>
      </c>
      <c r="BL862" s="14">
        <f>F862*BK862*IF(B862&gt;=in_marketplace_from,d_hz_fd*G862,0)*in_fd_ticket*in_fd_comm</f>
        <v/>
      </c>
      <c r="BM862" s="40">
        <f>BM861*(1-IF(B861&gt;=in_marketplace_from,d_hz_recharge*G861,0))</f>
        <v/>
      </c>
      <c r="BN862" s="40">
        <f>BN861*d_rho_recharge+BM862*IF(B862&gt;=in_marketplace_from,d_hz_recharge*G862,0)</f>
        <v/>
      </c>
      <c r="BO862" s="14">
        <f>F862*BN862*in_recharge_ticket*in_recharge_comm/12</f>
        <v/>
      </c>
      <c r="BP862" s="40">
        <f>BP861*(1-IF(B861&gt;=in_marketplace_from,d_hz_bills*G861,0))</f>
        <v/>
      </c>
      <c r="BQ862" s="40">
        <f>BQ861*d_rho_bills+BP862*IF(B862&gt;=in_marketplace_from,d_hz_bills*G862,0)</f>
        <v/>
      </c>
      <c r="BR862" s="14">
        <f>F862*BQ862*in_bills_ticket*in_bills_comm/12</f>
        <v/>
      </c>
      <c r="BS862" s="40">
        <f>BS861*(1-IF(B861&gt;=in_marketplace_from,d_hz_loan_gold*G861,0))</f>
        <v/>
      </c>
      <c r="BT862" s="14">
        <f>F862*BS862*IF(B862&gt;=in_marketplace_from,d_hz_loan_gold*G862,0)*in_loan_gold_ticket*in_loan_gold_comm</f>
        <v/>
      </c>
      <c r="BU862" s="40">
        <f>BU861*(1-IF(B861&gt;=in_marketplace_from,d_hz_loan_cd*G861,0))</f>
        <v/>
      </c>
      <c r="BV862" s="14">
        <f>F862*BU862*IF(B862&gt;=in_marketplace_from,d_hz_loan_cd*G862,0)*in_loan_cd_ticket*in_loan_cd_comm</f>
        <v/>
      </c>
      <c r="BW862" s="40">
        <f>BW861*(1-IF(B861&gt;=in_marketplace_from,d_hz_loan_vehicle*G861,0))</f>
        <v/>
      </c>
      <c r="BX862" s="14">
        <f>F862*BW862*IF(B862&gt;=in_marketplace_from,d_hz_loan_vehicle*G862,0)*in_loan_vehicle_ticket*in_loan_vehicle_comm</f>
        <v/>
      </c>
      <c r="BY862" s="40">
        <f>BY861*(1-IF(B861&gt;=in_marketplace_from,d_hz_loan_home*G861,0)*BZ861)</f>
        <v/>
      </c>
      <c r="BZ862" s="11">
        <f>MIN(in_approval_cap,in_loan_home_approval*INDEX('Age profile'!$O$2:$O$61,B862)*(1+in_approval_growth)^(D862-1))</f>
        <v/>
      </c>
      <c r="CA862" s="14">
        <f>F862*BY862*IF(B862&gt;=in_marketplace_from,d_hz_loan_home*G862,0)*BZ862*in_loan_home_ticket*in_loan_home_comm</f>
        <v/>
      </c>
      <c r="CB862" s="40">
        <f>CB861*(1-IF(B861&gt;=in_marketplace_from,d_hz_loan_lap*G861,0)*CC861)</f>
        <v/>
      </c>
      <c r="CC862" s="11">
        <f>MIN(in_approval_cap,in_loan_lap_approval*INDEX('Age profile'!$O$2:$O$61,B862)*(1+in_approval_growth)^(D862-1))</f>
        <v/>
      </c>
      <c r="CD862" s="14">
        <f>F862*CB862*IF(B862&gt;=in_marketplace_from,d_hz_loan_lap*G862,0)*CC862*in_loan_lap_ticket*in_loan_lap_comm</f>
        <v/>
      </c>
      <c r="CE862" s="14">
        <f>AA862+AB862+AC862+AD862+AG862+AJ862+AM862+AP862+AS862+AU862+AX862+BB862+BE862+BG862+BJ862+BL862+BO862+BR862+BT862+BV862+BX862+CA862+CD862</f>
        <v/>
      </c>
    </row>
    <row r="863">
      <c r="A863" s="39" t="n">
        <v>17</v>
      </c>
      <c r="B863" s="39" t="n">
        <v>22</v>
      </c>
      <c r="C863" s="39">
        <f>A863+B863-1</f>
        <v/>
      </c>
      <c r="D863" s="39">
        <f>INT((C863-1)/12)+1</f>
        <v/>
      </c>
      <c r="E863" s="44">
        <f>INDEX(Monthly!$B$2:$B$61,A863)</f>
        <v/>
      </c>
      <c r="F863" s="44">
        <f>E863*INDEX('Age profile'!$B$2:$B$61,B863)</f>
        <v/>
      </c>
      <c r="G863" s="45">
        <f>MIN(in_takeup_cap,INDEX('Age profile'!$N$2:$N$61,B863)*(1+in_takeup_growth)^(D863-1))</f>
        <v/>
      </c>
      <c r="H863" s="11">
        <f>MIN(in_approval_cap,in_approved_first*INDEX('Age profile'!$O$2:$O$61,B863)*(1+in_approval_growth)^(D863-1))</f>
        <v/>
      </c>
      <c r="I863" s="45">
        <f>G863*MIN(in_takeup_cap,INDEX('Age profile'!$O$2:$O$61,B863)*(1+in_approval_growth)^(D863-1))</f>
        <v/>
      </c>
      <c r="J863" s="40">
        <f>(J862-L862)*F863/F862</f>
        <v/>
      </c>
      <c r="K863" s="40">
        <f>(K862-M862)*F863/F862+SUMIFS(O842:O862,B842:B862,B863-1-d_T)*F863</f>
        <v/>
      </c>
      <c r="L863" s="40">
        <f>IF(B863&gt;=in_marketplace_from,J863*d_hz*G863*in_eligible*H863,0)</f>
        <v/>
      </c>
      <c r="M863" s="40">
        <f>IF(B863&gt;=in_marketplace_from,K863*d_hz*G863*in_eligible*in_approved_repeat,0)</f>
        <v/>
      </c>
      <c r="N863" s="40">
        <f>L863+M863</f>
        <v/>
      </c>
      <c r="O863" s="46">
        <f>N863/F863</f>
        <v/>
      </c>
      <c r="P863" s="40">
        <f>F863-J863-K863</f>
        <v/>
      </c>
      <c r="Q863" s="40">
        <f>IF(B863&gt;=in_marketplace_from,(J863+K863)*d_hz*G863,0)</f>
        <v/>
      </c>
      <c r="R863" s="40">
        <f>SUMIFS(N842:N885,B842:B885,"&gt;="&amp;(B863-d_T),B842:B885,"&lt;="&amp;(B863-1))</f>
        <v/>
      </c>
      <c r="S863" s="46">
        <f>(1-d_u)*S862+IF(d_T&gt;in_topup_lag,SUMIFS(O842:O885,B842:B885,B863-in_topup_lag)-d_udrop*SUMIFS(O842:O885,B842:B885,B863-d_T),0)</f>
        <v/>
      </c>
      <c r="T863" s="40">
        <f>F863*d_u*S863</f>
        <v/>
      </c>
      <c r="U863" s="9">
        <f>L863*in_ticket+M863*d_rep_ticket</f>
        <v/>
      </c>
      <c r="V863" s="9">
        <f>U863+T863*d_topup_amt</f>
        <v/>
      </c>
      <c r="W863" s="40">
        <f>N863+T863*d_topup_ratio</f>
        <v/>
      </c>
      <c r="X863" s="40">
        <f>SUMIFS(W842:W885,B842:B885,B863-in_dpd_lag)*d_cured</f>
        <v/>
      </c>
      <c r="Y863" s="40">
        <f>SUMIFS(W842:W885,B842:B885,B863-in_rec_lag)*d_recd</f>
        <v/>
      </c>
      <c r="Z863" s="40">
        <f>IF(AND(B863&gt;=in_marketplace_from,B863&lt;in_marketplace_from+in_card_months),in_card_share/in_card_months*F863*I863,IF(AND(B863&gt;=in_marketplace_from+in_card_months,B863&lt;in_marketplace_from+2*in_card_months),in_card_share*d_card_rem/in_card_months*F863*MIN(in_takeup_cap,(1+in_takeup_growth)^(D863-1))*MIN(in_takeup_cap,(1+in_approval_growth)^(D863-1)),0))</f>
        <v/>
      </c>
      <c r="AA863" s="14">
        <f>V863*in_fee*(1-in_taken_back)</f>
        <v/>
      </c>
      <c r="AB863" s="14">
        <f>SUMIFS(W842:W885,B842:B885,B863-in_dpd_lag)*d_dpd</f>
        <v/>
      </c>
      <c r="AC863" s="14">
        <f>SUMIFS(W842:W885,B842:B885,B863-in_rec_lag)*d_rec</f>
        <v/>
      </c>
      <c r="AD863" s="14">
        <f>Z863*in_card_fee</f>
        <v/>
      </c>
      <c r="AE863" s="40">
        <f>AE862*(1-IF(B862&gt;=in_marketplace_from,d_hz_hlth_small*G862,0))</f>
        <v/>
      </c>
      <c r="AF863" s="46">
        <f>AE863*IF(B863&gt;=in_marketplace_from,d_hz_hlth_small*G863,0)</f>
        <v/>
      </c>
      <c r="AG863" s="14">
        <f>F863*AF863*in_hlth_small_ticket*in_hlth_small_comm*in_ins_partner_share+F863*in_hlth_small_ticket*in_hlth_small_renew_comm*in_ins_partner_share*(in_hlth_small_renew^1*SUMIFS(AF842:AF885,B842:B885,B863-12)+in_hlth_small_renew^2*SUMIFS(AF842:AF885,B842:B885,B863-24)+in_hlth_small_renew^3*SUMIFS(AF842:AF885,B842:B885,B863-36)+in_hlth_small_renew^4*SUMIFS(AF842:AF885,B842:B885,B863-48))</f>
        <v/>
      </c>
      <c r="AH863" s="40">
        <f>AH862*(1-IF(B862&gt;=in_marketplace_from,d_hz_hlth_family*G862,0))</f>
        <v/>
      </c>
      <c r="AI863" s="46">
        <f>AH863*IF(B863&gt;=in_marketplace_from,d_hz_hlth_family*G863,0)</f>
        <v/>
      </c>
      <c r="AJ863" s="14">
        <f>F863*AI863*in_hlth_family_ticket*in_hlth_family_comm*in_ins_partner_share+F863*in_hlth_family_ticket*in_hlth_family_renew_comm*in_ins_partner_share*(in_hlth_family_renew^1*SUMIFS(AI842:AI885,B842:B885,B863-12)+in_hlth_family_renew^2*SUMIFS(AI842:AI885,B842:B885,B863-24)+in_hlth_family_renew^3*SUMIFS(AI842:AI885,B842:B885,B863-36)+in_hlth_family_renew^4*SUMIFS(AI842:AI885,B842:B885,B863-48))</f>
        <v/>
      </c>
      <c r="AK863" s="40">
        <f>AK862*(1-IF(B862&gt;=in_marketplace_from,d_hz_life_term*G862,0))</f>
        <v/>
      </c>
      <c r="AL863" s="46">
        <f>AK863*IF(B863&gt;=in_marketplace_from,d_hz_life_term*G863,0)</f>
        <v/>
      </c>
      <c r="AM863" s="14">
        <f>F863*AL863*in_life_term_ticket*in_life_term_comm*in_ins_partner_share+F863*in_life_term_ticket*in_life_term_renew_comm*in_ins_partner_share*(in_life_term_renew^1*SUMIFS(AL842:AL885,B842:B885,B863-12)+in_life_term_renew^2*SUMIFS(AL842:AL885,B842:B885,B863-24)+in_life_term_renew^3*SUMIFS(AL842:AL885,B842:B885,B863-36)+in_life_term_renew^4*SUMIFS(AL842:AL885,B842:B885,B863-48))</f>
        <v/>
      </c>
      <c r="AN863" s="40">
        <f>AN862*(1-IF(B862&gt;=in_marketplace_from,d_hz_accident*G862,0))</f>
        <v/>
      </c>
      <c r="AO863" s="46">
        <f>AN863*IF(B863&gt;=in_marketplace_from,d_hz_accident*G863,0)</f>
        <v/>
      </c>
      <c r="AP863" s="14">
        <f>F863*AO863*in_accident_ticket*in_accident_comm*in_ins_partner_share+F863*in_accident_ticket*in_accident_renew_comm*in_ins_partner_share*(in_accident_renew^1*SUMIFS(AO842:AO885,B842:B885,B863-12)+in_accident_renew^2*SUMIFS(AO842:AO885,B842:B885,B863-24)+in_accident_renew^3*SUMIFS(AO842:AO885,B842:B885,B863-36)+in_accident_renew^4*SUMIFS(AO842:AO885,B842:B885,B863-48))</f>
        <v/>
      </c>
      <c r="AQ863" s="40">
        <f>AQ862*(1-IF(B862&gt;=in_marketplace_from,d_hz_two_wheeler*G862,0))</f>
        <v/>
      </c>
      <c r="AR863" s="46">
        <f>AQ863*IF(B863&gt;=in_marketplace_from,d_hz_two_wheeler*G863,0)</f>
        <v/>
      </c>
      <c r="AS863" s="14">
        <f>F863*AR863*in_two_wheeler_ticket*in_two_wheeler_comm*in_ins_partner_share+F863*in_two_wheeler_ticket*in_two_wheeler_comm*in_ins_partner_share*(in_two_wheeler_renew^1*SUMIFS(AR842:AR885,B842:B885,B863-12)+in_two_wheeler_renew^2*SUMIFS(AR842:AR885,B842:B885,B863-24)+in_two_wheeler_renew^3*SUMIFS(AR842:AR885,B842:B885,B863-36)+in_two_wheeler_renew^4*SUMIFS(AR842:AR885,B842:B885,B863-48))</f>
        <v/>
      </c>
      <c r="AT863" s="40">
        <f>AT862*(1-IF(B862&gt;=in_marketplace_from,d_hz_device*G862,0))</f>
        <v/>
      </c>
      <c r="AU863" s="14">
        <f>F863*AT863*IF(B863&gt;=in_marketplace_from,d_hz_device*G863,0)*in_device_ticket*in_device_comm*in_ins_partner_share</f>
        <v/>
      </c>
      <c r="AV863" s="40">
        <f>AV862*(1-IF(B862&gt;=in_marketplace_from,d_hz_shop*G862,0))</f>
        <v/>
      </c>
      <c r="AW863" s="46">
        <f>AV863*IF(B863&gt;=in_marketplace_from,d_hz_shop*G863,0)</f>
        <v/>
      </c>
      <c r="AX863" s="14">
        <f>F863*AW863*in_shop_ticket*in_shop_comm*in_ins_partner_share+F863*in_shop_ticket*in_shop_renew_comm*in_ins_partner_share*(in_shop_renew^1*SUMIFS(AW842:AW885,B842:B885,B863-12)+in_shop_renew^2*SUMIFS(AW842:AW885,B842:B885,B863-24)+in_shop_renew^3*SUMIFS(AW842:AW885,B842:B885,B863-36)+in_shop_renew^4*SUMIFS(AW842:AW885,B842:B885,B863-48))</f>
        <v/>
      </c>
      <c r="AY863" s="40">
        <f>AY862*(1-IF(B862&gt;=in_marketplace_from,d_hz_sip*G862,0))</f>
        <v/>
      </c>
      <c r="AZ863" s="40">
        <f>AZ862*d_rho_sip+AY863*IF(B863&gt;=in_marketplace_from,d_hz_sip*G863,0)</f>
        <v/>
      </c>
      <c r="BA863" s="40">
        <f>d_rho_sip*(BA862+AZ862)</f>
        <v/>
      </c>
      <c r="BB863" s="14">
        <f>F863*in_sip_ticket*(BA863+0.5*AZ863)*in_sip_comm/12</f>
        <v/>
      </c>
      <c r="BC863" s="40">
        <f>BC862*(1-IF(B862&gt;=in_marketplace_from,d_hz_choti*G862,0))</f>
        <v/>
      </c>
      <c r="BD863" s="46">
        <f>BC863*IF(B863&gt;=in_marketplace_from,d_hz_choti*G863,0)</f>
        <v/>
      </c>
      <c r="BE863" s="14">
        <f>F863*SUMIFS(BD842:BD885,B842:B885,B863-in_choti_months)*in_choti_renew*in_choti_ticket</f>
        <v/>
      </c>
      <c r="BF863" s="40">
        <f>BF862*(1-IF(B862&gt;=in_marketplace_from,d_hz_nps*G862,0))</f>
        <v/>
      </c>
      <c r="BG863" s="14">
        <f>F863*BF863*IF(B863&gt;=in_marketplace_from,d_hz_nps*G863,0)*in_nps_ticket*in_nps_comm</f>
        <v/>
      </c>
      <c r="BH863" s="40">
        <f>BH862*(1-IF(B862&gt;=in_marketplace_from,d_hz_gold*G862,0))</f>
        <v/>
      </c>
      <c r="BI863" s="40">
        <f>BI862*d_rho_gold+BH863*IF(B863&gt;=in_marketplace_from,d_hz_gold*G863,0)</f>
        <v/>
      </c>
      <c r="BJ863" s="14">
        <f>F863*BI863*in_gold_ticket*in_gold_comm</f>
        <v/>
      </c>
      <c r="BK863" s="40">
        <f>BK862*(1-IF(B862&gt;=in_marketplace_from,d_hz_fd*G862,0))</f>
        <v/>
      </c>
      <c r="BL863" s="14">
        <f>F863*BK863*IF(B863&gt;=in_marketplace_from,d_hz_fd*G863,0)*in_fd_ticket*in_fd_comm</f>
        <v/>
      </c>
      <c r="BM863" s="40">
        <f>BM862*(1-IF(B862&gt;=in_marketplace_from,d_hz_recharge*G862,0))</f>
        <v/>
      </c>
      <c r="BN863" s="40">
        <f>BN862*d_rho_recharge+BM863*IF(B863&gt;=in_marketplace_from,d_hz_recharge*G863,0)</f>
        <v/>
      </c>
      <c r="BO863" s="14">
        <f>F863*BN863*in_recharge_ticket*in_recharge_comm/12</f>
        <v/>
      </c>
      <c r="BP863" s="40">
        <f>BP862*(1-IF(B862&gt;=in_marketplace_from,d_hz_bills*G862,0))</f>
        <v/>
      </c>
      <c r="BQ863" s="40">
        <f>BQ862*d_rho_bills+BP863*IF(B863&gt;=in_marketplace_from,d_hz_bills*G863,0)</f>
        <v/>
      </c>
      <c r="BR863" s="14">
        <f>F863*BQ863*in_bills_ticket*in_bills_comm/12</f>
        <v/>
      </c>
      <c r="BS863" s="40">
        <f>BS862*(1-IF(B862&gt;=in_marketplace_from,d_hz_loan_gold*G862,0))</f>
        <v/>
      </c>
      <c r="BT863" s="14">
        <f>F863*BS863*IF(B863&gt;=in_marketplace_from,d_hz_loan_gold*G863,0)*in_loan_gold_ticket*in_loan_gold_comm</f>
        <v/>
      </c>
      <c r="BU863" s="40">
        <f>BU862*(1-IF(B862&gt;=in_marketplace_from,d_hz_loan_cd*G862,0))</f>
        <v/>
      </c>
      <c r="BV863" s="14">
        <f>F863*BU863*IF(B863&gt;=in_marketplace_from,d_hz_loan_cd*G863,0)*in_loan_cd_ticket*in_loan_cd_comm</f>
        <v/>
      </c>
      <c r="BW863" s="40">
        <f>BW862*(1-IF(B862&gt;=in_marketplace_from,d_hz_loan_vehicle*G862,0))</f>
        <v/>
      </c>
      <c r="BX863" s="14">
        <f>F863*BW863*IF(B863&gt;=in_marketplace_from,d_hz_loan_vehicle*G863,0)*in_loan_vehicle_ticket*in_loan_vehicle_comm</f>
        <v/>
      </c>
      <c r="BY863" s="40">
        <f>BY862*(1-IF(B862&gt;=in_marketplace_from,d_hz_loan_home*G862,0)*BZ862)</f>
        <v/>
      </c>
      <c r="BZ863" s="11">
        <f>MIN(in_approval_cap,in_loan_home_approval*INDEX('Age profile'!$O$2:$O$61,B863)*(1+in_approval_growth)^(D863-1))</f>
        <v/>
      </c>
      <c r="CA863" s="14">
        <f>F863*BY863*IF(B863&gt;=in_marketplace_from,d_hz_loan_home*G863,0)*BZ863*in_loan_home_ticket*in_loan_home_comm</f>
        <v/>
      </c>
      <c r="CB863" s="40">
        <f>CB862*(1-IF(B862&gt;=in_marketplace_from,d_hz_loan_lap*G862,0)*CC862)</f>
        <v/>
      </c>
      <c r="CC863" s="11">
        <f>MIN(in_approval_cap,in_loan_lap_approval*INDEX('Age profile'!$O$2:$O$61,B863)*(1+in_approval_growth)^(D863-1))</f>
        <v/>
      </c>
      <c r="CD863" s="14">
        <f>F863*CB863*IF(B863&gt;=in_marketplace_from,d_hz_loan_lap*G863,0)*CC863*in_loan_lap_ticket*in_loan_lap_comm</f>
        <v/>
      </c>
      <c r="CE863" s="14">
        <f>AA863+AB863+AC863+AD863+AG863+AJ863+AM863+AP863+AS863+AU863+AX863+BB863+BE863+BG863+BJ863+BL863+BO863+BR863+BT863+BV863+BX863+CA863+CD863</f>
        <v/>
      </c>
    </row>
    <row r="864">
      <c r="A864" s="39" t="n">
        <v>17</v>
      </c>
      <c r="B864" s="39" t="n">
        <v>23</v>
      </c>
      <c r="C864" s="39">
        <f>A864+B864-1</f>
        <v/>
      </c>
      <c r="D864" s="39">
        <f>INT((C864-1)/12)+1</f>
        <v/>
      </c>
      <c r="E864" s="44">
        <f>INDEX(Monthly!$B$2:$B$61,A864)</f>
        <v/>
      </c>
      <c r="F864" s="44">
        <f>E864*INDEX('Age profile'!$B$2:$B$61,B864)</f>
        <v/>
      </c>
      <c r="G864" s="45">
        <f>MIN(in_takeup_cap,INDEX('Age profile'!$N$2:$N$61,B864)*(1+in_takeup_growth)^(D864-1))</f>
        <v/>
      </c>
      <c r="H864" s="11">
        <f>MIN(in_approval_cap,in_approved_first*INDEX('Age profile'!$O$2:$O$61,B864)*(1+in_approval_growth)^(D864-1))</f>
        <v/>
      </c>
      <c r="I864" s="45">
        <f>G864*MIN(in_takeup_cap,INDEX('Age profile'!$O$2:$O$61,B864)*(1+in_approval_growth)^(D864-1))</f>
        <v/>
      </c>
      <c r="J864" s="40">
        <f>(J863-L863)*F864/F863</f>
        <v/>
      </c>
      <c r="K864" s="40">
        <f>(K863-M863)*F864/F863+SUMIFS(O842:O863,B842:B863,B864-1-d_T)*F864</f>
        <v/>
      </c>
      <c r="L864" s="40">
        <f>IF(B864&gt;=in_marketplace_from,J864*d_hz*G864*in_eligible*H864,0)</f>
        <v/>
      </c>
      <c r="M864" s="40">
        <f>IF(B864&gt;=in_marketplace_from,K864*d_hz*G864*in_eligible*in_approved_repeat,0)</f>
        <v/>
      </c>
      <c r="N864" s="40">
        <f>L864+M864</f>
        <v/>
      </c>
      <c r="O864" s="46">
        <f>N864/F864</f>
        <v/>
      </c>
      <c r="P864" s="40">
        <f>F864-J864-K864</f>
        <v/>
      </c>
      <c r="Q864" s="40">
        <f>IF(B864&gt;=in_marketplace_from,(J864+K864)*d_hz*G864,0)</f>
        <v/>
      </c>
      <c r="R864" s="40">
        <f>SUMIFS(N842:N885,B842:B885,"&gt;="&amp;(B864-d_T),B842:B885,"&lt;="&amp;(B864-1))</f>
        <v/>
      </c>
      <c r="S864" s="46">
        <f>(1-d_u)*S863+IF(d_T&gt;in_topup_lag,SUMIFS(O842:O885,B842:B885,B864-in_topup_lag)-d_udrop*SUMIFS(O842:O885,B842:B885,B864-d_T),0)</f>
        <v/>
      </c>
      <c r="T864" s="40">
        <f>F864*d_u*S864</f>
        <v/>
      </c>
      <c r="U864" s="9">
        <f>L864*in_ticket+M864*d_rep_ticket</f>
        <v/>
      </c>
      <c r="V864" s="9">
        <f>U864+T864*d_topup_amt</f>
        <v/>
      </c>
      <c r="W864" s="40">
        <f>N864+T864*d_topup_ratio</f>
        <v/>
      </c>
      <c r="X864" s="40">
        <f>SUMIFS(W842:W885,B842:B885,B864-in_dpd_lag)*d_cured</f>
        <v/>
      </c>
      <c r="Y864" s="40">
        <f>SUMIFS(W842:W885,B842:B885,B864-in_rec_lag)*d_recd</f>
        <v/>
      </c>
      <c r="Z864" s="40">
        <f>IF(AND(B864&gt;=in_marketplace_from,B864&lt;in_marketplace_from+in_card_months),in_card_share/in_card_months*F864*I864,IF(AND(B864&gt;=in_marketplace_from+in_card_months,B864&lt;in_marketplace_from+2*in_card_months),in_card_share*d_card_rem/in_card_months*F864*MIN(in_takeup_cap,(1+in_takeup_growth)^(D864-1))*MIN(in_takeup_cap,(1+in_approval_growth)^(D864-1)),0))</f>
        <v/>
      </c>
      <c r="AA864" s="14">
        <f>V864*in_fee*(1-in_taken_back)</f>
        <v/>
      </c>
      <c r="AB864" s="14">
        <f>SUMIFS(W842:W885,B842:B885,B864-in_dpd_lag)*d_dpd</f>
        <v/>
      </c>
      <c r="AC864" s="14">
        <f>SUMIFS(W842:W885,B842:B885,B864-in_rec_lag)*d_rec</f>
        <v/>
      </c>
      <c r="AD864" s="14">
        <f>Z864*in_card_fee</f>
        <v/>
      </c>
      <c r="AE864" s="40">
        <f>AE863*(1-IF(B863&gt;=in_marketplace_from,d_hz_hlth_small*G863,0))</f>
        <v/>
      </c>
      <c r="AF864" s="46">
        <f>AE864*IF(B864&gt;=in_marketplace_from,d_hz_hlth_small*G864,0)</f>
        <v/>
      </c>
      <c r="AG864" s="14">
        <f>F864*AF864*in_hlth_small_ticket*in_hlth_small_comm*in_ins_partner_share+F864*in_hlth_small_ticket*in_hlth_small_renew_comm*in_ins_partner_share*(in_hlth_small_renew^1*SUMIFS(AF842:AF885,B842:B885,B864-12)+in_hlth_small_renew^2*SUMIFS(AF842:AF885,B842:B885,B864-24)+in_hlth_small_renew^3*SUMIFS(AF842:AF885,B842:B885,B864-36)+in_hlth_small_renew^4*SUMIFS(AF842:AF885,B842:B885,B864-48))</f>
        <v/>
      </c>
      <c r="AH864" s="40">
        <f>AH863*(1-IF(B863&gt;=in_marketplace_from,d_hz_hlth_family*G863,0))</f>
        <v/>
      </c>
      <c r="AI864" s="46">
        <f>AH864*IF(B864&gt;=in_marketplace_from,d_hz_hlth_family*G864,0)</f>
        <v/>
      </c>
      <c r="AJ864" s="14">
        <f>F864*AI864*in_hlth_family_ticket*in_hlth_family_comm*in_ins_partner_share+F864*in_hlth_family_ticket*in_hlth_family_renew_comm*in_ins_partner_share*(in_hlth_family_renew^1*SUMIFS(AI842:AI885,B842:B885,B864-12)+in_hlth_family_renew^2*SUMIFS(AI842:AI885,B842:B885,B864-24)+in_hlth_family_renew^3*SUMIFS(AI842:AI885,B842:B885,B864-36)+in_hlth_family_renew^4*SUMIFS(AI842:AI885,B842:B885,B864-48))</f>
        <v/>
      </c>
      <c r="AK864" s="40">
        <f>AK863*(1-IF(B863&gt;=in_marketplace_from,d_hz_life_term*G863,0))</f>
        <v/>
      </c>
      <c r="AL864" s="46">
        <f>AK864*IF(B864&gt;=in_marketplace_from,d_hz_life_term*G864,0)</f>
        <v/>
      </c>
      <c r="AM864" s="14">
        <f>F864*AL864*in_life_term_ticket*in_life_term_comm*in_ins_partner_share+F864*in_life_term_ticket*in_life_term_renew_comm*in_ins_partner_share*(in_life_term_renew^1*SUMIFS(AL842:AL885,B842:B885,B864-12)+in_life_term_renew^2*SUMIFS(AL842:AL885,B842:B885,B864-24)+in_life_term_renew^3*SUMIFS(AL842:AL885,B842:B885,B864-36)+in_life_term_renew^4*SUMIFS(AL842:AL885,B842:B885,B864-48))</f>
        <v/>
      </c>
      <c r="AN864" s="40">
        <f>AN863*(1-IF(B863&gt;=in_marketplace_from,d_hz_accident*G863,0))</f>
        <v/>
      </c>
      <c r="AO864" s="46">
        <f>AN864*IF(B864&gt;=in_marketplace_from,d_hz_accident*G864,0)</f>
        <v/>
      </c>
      <c r="AP864" s="14">
        <f>F864*AO864*in_accident_ticket*in_accident_comm*in_ins_partner_share+F864*in_accident_ticket*in_accident_renew_comm*in_ins_partner_share*(in_accident_renew^1*SUMIFS(AO842:AO885,B842:B885,B864-12)+in_accident_renew^2*SUMIFS(AO842:AO885,B842:B885,B864-24)+in_accident_renew^3*SUMIFS(AO842:AO885,B842:B885,B864-36)+in_accident_renew^4*SUMIFS(AO842:AO885,B842:B885,B864-48))</f>
        <v/>
      </c>
      <c r="AQ864" s="40">
        <f>AQ863*(1-IF(B863&gt;=in_marketplace_from,d_hz_two_wheeler*G863,0))</f>
        <v/>
      </c>
      <c r="AR864" s="46">
        <f>AQ864*IF(B864&gt;=in_marketplace_from,d_hz_two_wheeler*G864,0)</f>
        <v/>
      </c>
      <c r="AS864" s="14">
        <f>F864*AR864*in_two_wheeler_ticket*in_two_wheeler_comm*in_ins_partner_share+F864*in_two_wheeler_ticket*in_two_wheeler_comm*in_ins_partner_share*(in_two_wheeler_renew^1*SUMIFS(AR842:AR885,B842:B885,B864-12)+in_two_wheeler_renew^2*SUMIFS(AR842:AR885,B842:B885,B864-24)+in_two_wheeler_renew^3*SUMIFS(AR842:AR885,B842:B885,B864-36)+in_two_wheeler_renew^4*SUMIFS(AR842:AR885,B842:B885,B864-48))</f>
        <v/>
      </c>
      <c r="AT864" s="40">
        <f>AT863*(1-IF(B863&gt;=in_marketplace_from,d_hz_device*G863,0))</f>
        <v/>
      </c>
      <c r="AU864" s="14">
        <f>F864*AT864*IF(B864&gt;=in_marketplace_from,d_hz_device*G864,0)*in_device_ticket*in_device_comm*in_ins_partner_share</f>
        <v/>
      </c>
      <c r="AV864" s="40">
        <f>AV863*(1-IF(B863&gt;=in_marketplace_from,d_hz_shop*G863,0))</f>
        <v/>
      </c>
      <c r="AW864" s="46">
        <f>AV864*IF(B864&gt;=in_marketplace_from,d_hz_shop*G864,0)</f>
        <v/>
      </c>
      <c r="AX864" s="14">
        <f>F864*AW864*in_shop_ticket*in_shop_comm*in_ins_partner_share+F864*in_shop_ticket*in_shop_renew_comm*in_ins_partner_share*(in_shop_renew^1*SUMIFS(AW842:AW885,B842:B885,B864-12)+in_shop_renew^2*SUMIFS(AW842:AW885,B842:B885,B864-24)+in_shop_renew^3*SUMIFS(AW842:AW885,B842:B885,B864-36)+in_shop_renew^4*SUMIFS(AW842:AW885,B842:B885,B864-48))</f>
        <v/>
      </c>
      <c r="AY864" s="40">
        <f>AY863*(1-IF(B863&gt;=in_marketplace_from,d_hz_sip*G863,0))</f>
        <v/>
      </c>
      <c r="AZ864" s="40">
        <f>AZ863*d_rho_sip+AY864*IF(B864&gt;=in_marketplace_from,d_hz_sip*G864,0)</f>
        <v/>
      </c>
      <c r="BA864" s="40">
        <f>d_rho_sip*(BA863+AZ863)</f>
        <v/>
      </c>
      <c r="BB864" s="14">
        <f>F864*in_sip_ticket*(BA864+0.5*AZ864)*in_sip_comm/12</f>
        <v/>
      </c>
      <c r="BC864" s="40">
        <f>BC863*(1-IF(B863&gt;=in_marketplace_from,d_hz_choti*G863,0))</f>
        <v/>
      </c>
      <c r="BD864" s="46">
        <f>BC864*IF(B864&gt;=in_marketplace_from,d_hz_choti*G864,0)</f>
        <v/>
      </c>
      <c r="BE864" s="14">
        <f>F864*SUMIFS(BD842:BD885,B842:B885,B864-in_choti_months)*in_choti_renew*in_choti_ticket</f>
        <v/>
      </c>
      <c r="BF864" s="40">
        <f>BF863*(1-IF(B863&gt;=in_marketplace_from,d_hz_nps*G863,0))</f>
        <v/>
      </c>
      <c r="BG864" s="14">
        <f>F864*BF864*IF(B864&gt;=in_marketplace_from,d_hz_nps*G864,0)*in_nps_ticket*in_nps_comm</f>
        <v/>
      </c>
      <c r="BH864" s="40">
        <f>BH863*(1-IF(B863&gt;=in_marketplace_from,d_hz_gold*G863,0))</f>
        <v/>
      </c>
      <c r="BI864" s="40">
        <f>BI863*d_rho_gold+BH864*IF(B864&gt;=in_marketplace_from,d_hz_gold*G864,0)</f>
        <v/>
      </c>
      <c r="BJ864" s="14">
        <f>F864*BI864*in_gold_ticket*in_gold_comm</f>
        <v/>
      </c>
      <c r="BK864" s="40">
        <f>BK863*(1-IF(B863&gt;=in_marketplace_from,d_hz_fd*G863,0))</f>
        <v/>
      </c>
      <c r="BL864" s="14">
        <f>F864*BK864*IF(B864&gt;=in_marketplace_from,d_hz_fd*G864,0)*in_fd_ticket*in_fd_comm</f>
        <v/>
      </c>
      <c r="BM864" s="40">
        <f>BM863*(1-IF(B863&gt;=in_marketplace_from,d_hz_recharge*G863,0))</f>
        <v/>
      </c>
      <c r="BN864" s="40">
        <f>BN863*d_rho_recharge+BM864*IF(B864&gt;=in_marketplace_from,d_hz_recharge*G864,0)</f>
        <v/>
      </c>
      <c r="BO864" s="14">
        <f>F864*BN864*in_recharge_ticket*in_recharge_comm/12</f>
        <v/>
      </c>
      <c r="BP864" s="40">
        <f>BP863*(1-IF(B863&gt;=in_marketplace_from,d_hz_bills*G863,0))</f>
        <v/>
      </c>
      <c r="BQ864" s="40">
        <f>BQ863*d_rho_bills+BP864*IF(B864&gt;=in_marketplace_from,d_hz_bills*G864,0)</f>
        <v/>
      </c>
      <c r="BR864" s="14">
        <f>F864*BQ864*in_bills_ticket*in_bills_comm/12</f>
        <v/>
      </c>
      <c r="BS864" s="40">
        <f>BS863*(1-IF(B863&gt;=in_marketplace_from,d_hz_loan_gold*G863,0))</f>
        <v/>
      </c>
      <c r="BT864" s="14">
        <f>F864*BS864*IF(B864&gt;=in_marketplace_from,d_hz_loan_gold*G864,0)*in_loan_gold_ticket*in_loan_gold_comm</f>
        <v/>
      </c>
      <c r="BU864" s="40">
        <f>BU863*(1-IF(B863&gt;=in_marketplace_from,d_hz_loan_cd*G863,0))</f>
        <v/>
      </c>
      <c r="BV864" s="14">
        <f>F864*BU864*IF(B864&gt;=in_marketplace_from,d_hz_loan_cd*G864,0)*in_loan_cd_ticket*in_loan_cd_comm</f>
        <v/>
      </c>
      <c r="BW864" s="40">
        <f>BW863*(1-IF(B863&gt;=in_marketplace_from,d_hz_loan_vehicle*G863,0))</f>
        <v/>
      </c>
      <c r="BX864" s="14">
        <f>F864*BW864*IF(B864&gt;=in_marketplace_from,d_hz_loan_vehicle*G864,0)*in_loan_vehicle_ticket*in_loan_vehicle_comm</f>
        <v/>
      </c>
      <c r="BY864" s="40">
        <f>BY863*(1-IF(B863&gt;=in_marketplace_from,d_hz_loan_home*G863,0)*BZ863)</f>
        <v/>
      </c>
      <c r="BZ864" s="11">
        <f>MIN(in_approval_cap,in_loan_home_approval*INDEX('Age profile'!$O$2:$O$61,B864)*(1+in_approval_growth)^(D864-1))</f>
        <v/>
      </c>
      <c r="CA864" s="14">
        <f>F864*BY864*IF(B864&gt;=in_marketplace_from,d_hz_loan_home*G864,0)*BZ864*in_loan_home_ticket*in_loan_home_comm</f>
        <v/>
      </c>
      <c r="CB864" s="40">
        <f>CB863*(1-IF(B863&gt;=in_marketplace_from,d_hz_loan_lap*G863,0)*CC863)</f>
        <v/>
      </c>
      <c r="CC864" s="11">
        <f>MIN(in_approval_cap,in_loan_lap_approval*INDEX('Age profile'!$O$2:$O$61,B864)*(1+in_approval_growth)^(D864-1))</f>
        <v/>
      </c>
      <c r="CD864" s="14">
        <f>F864*CB864*IF(B864&gt;=in_marketplace_from,d_hz_loan_lap*G864,0)*CC864*in_loan_lap_ticket*in_loan_lap_comm</f>
        <v/>
      </c>
      <c r="CE864" s="14">
        <f>AA864+AB864+AC864+AD864+AG864+AJ864+AM864+AP864+AS864+AU864+AX864+BB864+BE864+BG864+BJ864+BL864+BO864+BR864+BT864+BV864+BX864+CA864+CD864</f>
        <v/>
      </c>
    </row>
    <row r="865">
      <c r="A865" s="39" t="n">
        <v>17</v>
      </c>
      <c r="B865" s="39" t="n">
        <v>24</v>
      </c>
      <c r="C865" s="39">
        <f>A865+B865-1</f>
        <v/>
      </c>
      <c r="D865" s="39">
        <f>INT((C865-1)/12)+1</f>
        <v/>
      </c>
      <c r="E865" s="44">
        <f>INDEX(Monthly!$B$2:$B$61,A865)</f>
        <v/>
      </c>
      <c r="F865" s="44">
        <f>E865*INDEX('Age profile'!$B$2:$B$61,B865)</f>
        <v/>
      </c>
      <c r="G865" s="45">
        <f>MIN(in_takeup_cap,INDEX('Age profile'!$N$2:$N$61,B865)*(1+in_takeup_growth)^(D865-1))</f>
        <v/>
      </c>
      <c r="H865" s="11">
        <f>MIN(in_approval_cap,in_approved_first*INDEX('Age profile'!$O$2:$O$61,B865)*(1+in_approval_growth)^(D865-1))</f>
        <v/>
      </c>
      <c r="I865" s="45">
        <f>G865*MIN(in_takeup_cap,INDEX('Age profile'!$O$2:$O$61,B865)*(1+in_approval_growth)^(D865-1))</f>
        <v/>
      </c>
      <c r="J865" s="40">
        <f>(J864-L864)*F865/F864</f>
        <v/>
      </c>
      <c r="K865" s="40">
        <f>(K864-M864)*F865/F864+SUMIFS(O842:O864,B842:B864,B865-1-d_T)*F865</f>
        <v/>
      </c>
      <c r="L865" s="40">
        <f>IF(B865&gt;=in_marketplace_from,J865*d_hz*G865*in_eligible*H865,0)</f>
        <v/>
      </c>
      <c r="M865" s="40">
        <f>IF(B865&gt;=in_marketplace_from,K865*d_hz*G865*in_eligible*in_approved_repeat,0)</f>
        <v/>
      </c>
      <c r="N865" s="40">
        <f>L865+M865</f>
        <v/>
      </c>
      <c r="O865" s="46">
        <f>N865/F865</f>
        <v/>
      </c>
      <c r="P865" s="40">
        <f>F865-J865-K865</f>
        <v/>
      </c>
      <c r="Q865" s="40">
        <f>IF(B865&gt;=in_marketplace_from,(J865+K865)*d_hz*G865,0)</f>
        <v/>
      </c>
      <c r="R865" s="40">
        <f>SUMIFS(N842:N885,B842:B885,"&gt;="&amp;(B865-d_T),B842:B885,"&lt;="&amp;(B865-1))</f>
        <v/>
      </c>
      <c r="S865" s="46">
        <f>(1-d_u)*S864+IF(d_T&gt;in_topup_lag,SUMIFS(O842:O885,B842:B885,B865-in_topup_lag)-d_udrop*SUMIFS(O842:O885,B842:B885,B865-d_T),0)</f>
        <v/>
      </c>
      <c r="T865" s="40">
        <f>F865*d_u*S865</f>
        <v/>
      </c>
      <c r="U865" s="9">
        <f>L865*in_ticket+M865*d_rep_ticket</f>
        <v/>
      </c>
      <c r="V865" s="9">
        <f>U865+T865*d_topup_amt</f>
        <v/>
      </c>
      <c r="W865" s="40">
        <f>N865+T865*d_topup_ratio</f>
        <v/>
      </c>
      <c r="X865" s="40">
        <f>SUMIFS(W842:W885,B842:B885,B865-in_dpd_lag)*d_cured</f>
        <v/>
      </c>
      <c r="Y865" s="40">
        <f>SUMIFS(W842:W885,B842:B885,B865-in_rec_lag)*d_recd</f>
        <v/>
      </c>
      <c r="Z865" s="40">
        <f>IF(AND(B865&gt;=in_marketplace_from,B865&lt;in_marketplace_from+in_card_months),in_card_share/in_card_months*F865*I865,IF(AND(B865&gt;=in_marketplace_from+in_card_months,B865&lt;in_marketplace_from+2*in_card_months),in_card_share*d_card_rem/in_card_months*F865*MIN(in_takeup_cap,(1+in_takeup_growth)^(D865-1))*MIN(in_takeup_cap,(1+in_approval_growth)^(D865-1)),0))</f>
        <v/>
      </c>
      <c r="AA865" s="14">
        <f>V865*in_fee*(1-in_taken_back)</f>
        <v/>
      </c>
      <c r="AB865" s="14">
        <f>SUMIFS(W842:W885,B842:B885,B865-in_dpd_lag)*d_dpd</f>
        <v/>
      </c>
      <c r="AC865" s="14">
        <f>SUMIFS(W842:W885,B842:B885,B865-in_rec_lag)*d_rec</f>
        <v/>
      </c>
      <c r="AD865" s="14">
        <f>Z865*in_card_fee</f>
        <v/>
      </c>
      <c r="AE865" s="40">
        <f>AE864*(1-IF(B864&gt;=in_marketplace_from,d_hz_hlth_small*G864,0))</f>
        <v/>
      </c>
      <c r="AF865" s="46">
        <f>AE865*IF(B865&gt;=in_marketplace_from,d_hz_hlth_small*G865,0)</f>
        <v/>
      </c>
      <c r="AG865" s="14">
        <f>F865*AF865*in_hlth_small_ticket*in_hlth_small_comm*in_ins_partner_share+F865*in_hlth_small_ticket*in_hlth_small_renew_comm*in_ins_partner_share*(in_hlth_small_renew^1*SUMIFS(AF842:AF885,B842:B885,B865-12)+in_hlth_small_renew^2*SUMIFS(AF842:AF885,B842:B885,B865-24)+in_hlth_small_renew^3*SUMIFS(AF842:AF885,B842:B885,B865-36)+in_hlth_small_renew^4*SUMIFS(AF842:AF885,B842:B885,B865-48))</f>
        <v/>
      </c>
      <c r="AH865" s="40">
        <f>AH864*(1-IF(B864&gt;=in_marketplace_from,d_hz_hlth_family*G864,0))</f>
        <v/>
      </c>
      <c r="AI865" s="46">
        <f>AH865*IF(B865&gt;=in_marketplace_from,d_hz_hlth_family*G865,0)</f>
        <v/>
      </c>
      <c r="AJ865" s="14">
        <f>F865*AI865*in_hlth_family_ticket*in_hlth_family_comm*in_ins_partner_share+F865*in_hlth_family_ticket*in_hlth_family_renew_comm*in_ins_partner_share*(in_hlth_family_renew^1*SUMIFS(AI842:AI885,B842:B885,B865-12)+in_hlth_family_renew^2*SUMIFS(AI842:AI885,B842:B885,B865-24)+in_hlth_family_renew^3*SUMIFS(AI842:AI885,B842:B885,B865-36)+in_hlth_family_renew^4*SUMIFS(AI842:AI885,B842:B885,B865-48))</f>
        <v/>
      </c>
      <c r="AK865" s="40">
        <f>AK864*(1-IF(B864&gt;=in_marketplace_from,d_hz_life_term*G864,0))</f>
        <v/>
      </c>
      <c r="AL865" s="46">
        <f>AK865*IF(B865&gt;=in_marketplace_from,d_hz_life_term*G865,0)</f>
        <v/>
      </c>
      <c r="AM865" s="14">
        <f>F865*AL865*in_life_term_ticket*in_life_term_comm*in_ins_partner_share+F865*in_life_term_ticket*in_life_term_renew_comm*in_ins_partner_share*(in_life_term_renew^1*SUMIFS(AL842:AL885,B842:B885,B865-12)+in_life_term_renew^2*SUMIFS(AL842:AL885,B842:B885,B865-24)+in_life_term_renew^3*SUMIFS(AL842:AL885,B842:B885,B865-36)+in_life_term_renew^4*SUMIFS(AL842:AL885,B842:B885,B865-48))</f>
        <v/>
      </c>
      <c r="AN865" s="40">
        <f>AN864*(1-IF(B864&gt;=in_marketplace_from,d_hz_accident*G864,0))</f>
        <v/>
      </c>
      <c r="AO865" s="46">
        <f>AN865*IF(B865&gt;=in_marketplace_from,d_hz_accident*G865,0)</f>
        <v/>
      </c>
      <c r="AP865" s="14">
        <f>F865*AO865*in_accident_ticket*in_accident_comm*in_ins_partner_share+F865*in_accident_ticket*in_accident_renew_comm*in_ins_partner_share*(in_accident_renew^1*SUMIFS(AO842:AO885,B842:B885,B865-12)+in_accident_renew^2*SUMIFS(AO842:AO885,B842:B885,B865-24)+in_accident_renew^3*SUMIFS(AO842:AO885,B842:B885,B865-36)+in_accident_renew^4*SUMIFS(AO842:AO885,B842:B885,B865-48))</f>
        <v/>
      </c>
      <c r="AQ865" s="40">
        <f>AQ864*(1-IF(B864&gt;=in_marketplace_from,d_hz_two_wheeler*G864,0))</f>
        <v/>
      </c>
      <c r="AR865" s="46">
        <f>AQ865*IF(B865&gt;=in_marketplace_from,d_hz_two_wheeler*G865,0)</f>
        <v/>
      </c>
      <c r="AS865" s="14">
        <f>F865*AR865*in_two_wheeler_ticket*in_two_wheeler_comm*in_ins_partner_share+F865*in_two_wheeler_ticket*in_two_wheeler_comm*in_ins_partner_share*(in_two_wheeler_renew^1*SUMIFS(AR842:AR885,B842:B885,B865-12)+in_two_wheeler_renew^2*SUMIFS(AR842:AR885,B842:B885,B865-24)+in_two_wheeler_renew^3*SUMIFS(AR842:AR885,B842:B885,B865-36)+in_two_wheeler_renew^4*SUMIFS(AR842:AR885,B842:B885,B865-48))</f>
        <v/>
      </c>
      <c r="AT865" s="40">
        <f>AT864*(1-IF(B864&gt;=in_marketplace_from,d_hz_device*G864,0))</f>
        <v/>
      </c>
      <c r="AU865" s="14">
        <f>F865*AT865*IF(B865&gt;=in_marketplace_from,d_hz_device*G865,0)*in_device_ticket*in_device_comm*in_ins_partner_share</f>
        <v/>
      </c>
      <c r="AV865" s="40">
        <f>AV864*(1-IF(B864&gt;=in_marketplace_from,d_hz_shop*G864,0))</f>
        <v/>
      </c>
      <c r="AW865" s="46">
        <f>AV865*IF(B865&gt;=in_marketplace_from,d_hz_shop*G865,0)</f>
        <v/>
      </c>
      <c r="AX865" s="14">
        <f>F865*AW865*in_shop_ticket*in_shop_comm*in_ins_partner_share+F865*in_shop_ticket*in_shop_renew_comm*in_ins_partner_share*(in_shop_renew^1*SUMIFS(AW842:AW885,B842:B885,B865-12)+in_shop_renew^2*SUMIFS(AW842:AW885,B842:B885,B865-24)+in_shop_renew^3*SUMIFS(AW842:AW885,B842:B885,B865-36)+in_shop_renew^4*SUMIFS(AW842:AW885,B842:B885,B865-48))</f>
        <v/>
      </c>
      <c r="AY865" s="40">
        <f>AY864*(1-IF(B864&gt;=in_marketplace_from,d_hz_sip*G864,0))</f>
        <v/>
      </c>
      <c r="AZ865" s="40">
        <f>AZ864*d_rho_sip+AY865*IF(B865&gt;=in_marketplace_from,d_hz_sip*G865,0)</f>
        <v/>
      </c>
      <c r="BA865" s="40">
        <f>d_rho_sip*(BA864+AZ864)</f>
        <v/>
      </c>
      <c r="BB865" s="14">
        <f>F865*in_sip_ticket*(BA865+0.5*AZ865)*in_sip_comm/12</f>
        <v/>
      </c>
      <c r="BC865" s="40">
        <f>BC864*(1-IF(B864&gt;=in_marketplace_from,d_hz_choti*G864,0))</f>
        <v/>
      </c>
      <c r="BD865" s="46">
        <f>BC865*IF(B865&gt;=in_marketplace_from,d_hz_choti*G865,0)</f>
        <v/>
      </c>
      <c r="BE865" s="14">
        <f>F865*SUMIFS(BD842:BD885,B842:B885,B865-in_choti_months)*in_choti_renew*in_choti_ticket</f>
        <v/>
      </c>
      <c r="BF865" s="40">
        <f>BF864*(1-IF(B864&gt;=in_marketplace_from,d_hz_nps*G864,0))</f>
        <v/>
      </c>
      <c r="BG865" s="14">
        <f>F865*BF865*IF(B865&gt;=in_marketplace_from,d_hz_nps*G865,0)*in_nps_ticket*in_nps_comm</f>
        <v/>
      </c>
      <c r="BH865" s="40">
        <f>BH864*(1-IF(B864&gt;=in_marketplace_from,d_hz_gold*G864,0))</f>
        <v/>
      </c>
      <c r="BI865" s="40">
        <f>BI864*d_rho_gold+BH865*IF(B865&gt;=in_marketplace_from,d_hz_gold*G865,0)</f>
        <v/>
      </c>
      <c r="BJ865" s="14">
        <f>F865*BI865*in_gold_ticket*in_gold_comm</f>
        <v/>
      </c>
      <c r="BK865" s="40">
        <f>BK864*(1-IF(B864&gt;=in_marketplace_from,d_hz_fd*G864,0))</f>
        <v/>
      </c>
      <c r="BL865" s="14">
        <f>F865*BK865*IF(B865&gt;=in_marketplace_from,d_hz_fd*G865,0)*in_fd_ticket*in_fd_comm</f>
        <v/>
      </c>
      <c r="BM865" s="40">
        <f>BM864*(1-IF(B864&gt;=in_marketplace_from,d_hz_recharge*G864,0))</f>
        <v/>
      </c>
      <c r="BN865" s="40">
        <f>BN864*d_rho_recharge+BM865*IF(B865&gt;=in_marketplace_from,d_hz_recharge*G865,0)</f>
        <v/>
      </c>
      <c r="BO865" s="14">
        <f>F865*BN865*in_recharge_ticket*in_recharge_comm/12</f>
        <v/>
      </c>
      <c r="BP865" s="40">
        <f>BP864*(1-IF(B864&gt;=in_marketplace_from,d_hz_bills*G864,0))</f>
        <v/>
      </c>
      <c r="BQ865" s="40">
        <f>BQ864*d_rho_bills+BP865*IF(B865&gt;=in_marketplace_from,d_hz_bills*G865,0)</f>
        <v/>
      </c>
      <c r="BR865" s="14">
        <f>F865*BQ865*in_bills_ticket*in_bills_comm/12</f>
        <v/>
      </c>
      <c r="BS865" s="40">
        <f>BS864*(1-IF(B864&gt;=in_marketplace_from,d_hz_loan_gold*G864,0))</f>
        <v/>
      </c>
      <c r="BT865" s="14">
        <f>F865*BS865*IF(B865&gt;=in_marketplace_from,d_hz_loan_gold*G865,0)*in_loan_gold_ticket*in_loan_gold_comm</f>
        <v/>
      </c>
      <c r="BU865" s="40">
        <f>BU864*(1-IF(B864&gt;=in_marketplace_from,d_hz_loan_cd*G864,0))</f>
        <v/>
      </c>
      <c r="BV865" s="14">
        <f>F865*BU865*IF(B865&gt;=in_marketplace_from,d_hz_loan_cd*G865,0)*in_loan_cd_ticket*in_loan_cd_comm</f>
        <v/>
      </c>
      <c r="BW865" s="40">
        <f>BW864*(1-IF(B864&gt;=in_marketplace_from,d_hz_loan_vehicle*G864,0))</f>
        <v/>
      </c>
      <c r="BX865" s="14">
        <f>F865*BW865*IF(B865&gt;=in_marketplace_from,d_hz_loan_vehicle*G865,0)*in_loan_vehicle_ticket*in_loan_vehicle_comm</f>
        <v/>
      </c>
      <c r="BY865" s="40">
        <f>BY864*(1-IF(B864&gt;=in_marketplace_from,d_hz_loan_home*G864,0)*BZ864)</f>
        <v/>
      </c>
      <c r="BZ865" s="11">
        <f>MIN(in_approval_cap,in_loan_home_approval*INDEX('Age profile'!$O$2:$O$61,B865)*(1+in_approval_growth)^(D865-1))</f>
        <v/>
      </c>
      <c r="CA865" s="14">
        <f>F865*BY865*IF(B865&gt;=in_marketplace_from,d_hz_loan_home*G865,0)*BZ865*in_loan_home_ticket*in_loan_home_comm</f>
        <v/>
      </c>
      <c r="CB865" s="40">
        <f>CB864*(1-IF(B864&gt;=in_marketplace_from,d_hz_loan_lap*G864,0)*CC864)</f>
        <v/>
      </c>
      <c r="CC865" s="11">
        <f>MIN(in_approval_cap,in_loan_lap_approval*INDEX('Age profile'!$O$2:$O$61,B865)*(1+in_approval_growth)^(D865-1))</f>
        <v/>
      </c>
      <c r="CD865" s="14">
        <f>F865*CB865*IF(B865&gt;=in_marketplace_from,d_hz_loan_lap*G865,0)*CC865*in_loan_lap_ticket*in_loan_lap_comm</f>
        <v/>
      </c>
      <c r="CE865" s="14">
        <f>AA865+AB865+AC865+AD865+AG865+AJ865+AM865+AP865+AS865+AU865+AX865+BB865+BE865+BG865+BJ865+BL865+BO865+BR865+BT865+BV865+BX865+CA865+CD865</f>
        <v/>
      </c>
    </row>
    <row r="866">
      <c r="A866" s="39" t="n">
        <v>17</v>
      </c>
      <c r="B866" s="39" t="n">
        <v>25</v>
      </c>
      <c r="C866" s="39">
        <f>A866+B866-1</f>
        <v/>
      </c>
      <c r="D866" s="39">
        <f>INT((C866-1)/12)+1</f>
        <v/>
      </c>
      <c r="E866" s="44">
        <f>INDEX(Monthly!$B$2:$B$61,A866)</f>
        <v/>
      </c>
      <c r="F866" s="44">
        <f>E866*INDEX('Age profile'!$B$2:$B$61,B866)</f>
        <v/>
      </c>
      <c r="G866" s="45">
        <f>MIN(in_takeup_cap,INDEX('Age profile'!$N$2:$N$61,B866)*(1+in_takeup_growth)^(D866-1))</f>
        <v/>
      </c>
      <c r="H866" s="11">
        <f>MIN(in_approval_cap,in_approved_first*INDEX('Age profile'!$O$2:$O$61,B866)*(1+in_approval_growth)^(D866-1))</f>
        <v/>
      </c>
      <c r="I866" s="45">
        <f>G866*MIN(in_takeup_cap,INDEX('Age profile'!$O$2:$O$61,B866)*(1+in_approval_growth)^(D866-1))</f>
        <v/>
      </c>
      <c r="J866" s="40">
        <f>(J865-L865)*F866/F865</f>
        <v/>
      </c>
      <c r="K866" s="40">
        <f>(K865-M865)*F866/F865+SUMIFS(O842:O865,B842:B865,B866-1-d_T)*F866</f>
        <v/>
      </c>
      <c r="L866" s="40">
        <f>IF(B866&gt;=in_marketplace_from,J866*d_hz*G866*in_eligible*H866,0)</f>
        <v/>
      </c>
      <c r="M866" s="40">
        <f>IF(B866&gt;=in_marketplace_from,K866*d_hz*G866*in_eligible*in_approved_repeat,0)</f>
        <v/>
      </c>
      <c r="N866" s="40">
        <f>L866+M866</f>
        <v/>
      </c>
      <c r="O866" s="46">
        <f>N866/F866</f>
        <v/>
      </c>
      <c r="P866" s="40">
        <f>F866-J866-K866</f>
        <v/>
      </c>
      <c r="Q866" s="40">
        <f>IF(B866&gt;=in_marketplace_from,(J866+K866)*d_hz*G866,0)</f>
        <v/>
      </c>
      <c r="R866" s="40">
        <f>SUMIFS(N842:N885,B842:B885,"&gt;="&amp;(B866-d_T),B842:B885,"&lt;="&amp;(B866-1))</f>
        <v/>
      </c>
      <c r="S866" s="46">
        <f>(1-d_u)*S865+IF(d_T&gt;in_topup_lag,SUMIFS(O842:O885,B842:B885,B866-in_topup_lag)-d_udrop*SUMIFS(O842:O885,B842:B885,B866-d_T),0)</f>
        <v/>
      </c>
      <c r="T866" s="40">
        <f>F866*d_u*S866</f>
        <v/>
      </c>
      <c r="U866" s="9">
        <f>L866*in_ticket+M866*d_rep_ticket</f>
        <v/>
      </c>
      <c r="V866" s="9">
        <f>U866+T866*d_topup_amt</f>
        <v/>
      </c>
      <c r="W866" s="40">
        <f>N866+T866*d_topup_ratio</f>
        <v/>
      </c>
      <c r="X866" s="40">
        <f>SUMIFS(W842:W885,B842:B885,B866-in_dpd_lag)*d_cured</f>
        <v/>
      </c>
      <c r="Y866" s="40">
        <f>SUMIFS(W842:W885,B842:B885,B866-in_rec_lag)*d_recd</f>
        <v/>
      </c>
      <c r="Z866" s="40">
        <f>IF(AND(B866&gt;=in_marketplace_from,B866&lt;in_marketplace_from+in_card_months),in_card_share/in_card_months*F866*I866,IF(AND(B866&gt;=in_marketplace_from+in_card_months,B866&lt;in_marketplace_from+2*in_card_months),in_card_share*d_card_rem/in_card_months*F866*MIN(in_takeup_cap,(1+in_takeup_growth)^(D866-1))*MIN(in_takeup_cap,(1+in_approval_growth)^(D866-1)),0))</f>
        <v/>
      </c>
      <c r="AA866" s="14">
        <f>V866*in_fee*(1-in_taken_back)</f>
        <v/>
      </c>
      <c r="AB866" s="14">
        <f>SUMIFS(W842:W885,B842:B885,B866-in_dpd_lag)*d_dpd</f>
        <v/>
      </c>
      <c r="AC866" s="14">
        <f>SUMIFS(W842:W885,B842:B885,B866-in_rec_lag)*d_rec</f>
        <v/>
      </c>
      <c r="AD866" s="14">
        <f>Z866*in_card_fee</f>
        <v/>
      </c>
      <c r="AE866" s="40">
        <f>AE865*(1-IF(B865&gt;=in_marketplace_from,d_hz_hlth_small*G865,0))</f>
        <v/>
      </c>
      <c r="AF866" s="46">
        <f>AE866*IF(B866&gt;=in_marketplace_from,d_hz_hlth_small*G866,0)</f>
        <v/>
      </c>
      <c r="AG866" s="14">
        <f>F866*AF866*in_hlth_small_ticket*in_hlth_small_comm*in_ins_partner_share+F866*in_hlth_small_ticket*in_hlth_small_renew_comm*in_ins_partner_share*(in_hlth_small_renew^1*SUMIFS(AF842:AF885,B842:B885,B866-12)+in_hlth_small_renew^2*SUMIFS(AF842:AF885,B842:B885,B866-24)+in_hlth_small_renew^3*SUMIFS(AF842:AF885,B842:B885,B866-36)+in_hlth_small_renew^4*SUMIFS(AF842:AF885,B842:B885,B866-48))</f>
        <v/>
      </c>
      <c r="AH866" s="40">
        <f>AH865*(1-IF(B865&gt;=in_marketplace_from,d_hz_hlth_family*G865,0))</f>
        <v/>
      </c>
      <c r="AI866" s="46">
        <f>AH866*IF(B866&gt;=in_marketplace_from,d_hz_hlth_family*G866,0)</f>
        <v/>
      </c>
      <c r="AJ866" s="14">
        <f>F866*AI866*in_hlth_family_ticket*in_hlth_family_comm*in_ins_partner_share+F866*in_hlth_family_ticket*in_hlth_family_renew_comm*in_ins_partner_share*(in_hlth_family_renew^1*SUMIFS(AI842:AI885,B842:B885,B866-12)+in_hlth_family_renew^2*SUMIFS(AI842:AI885,B842:B885,B866-24)+in_hlth_family_renew^3*SUMIFS(AI842:AI885,B842:B885,B866-36)+in_hlth_family_renew^4*SUMIFS(AI842:AI885,B842:B885,B866-48))</f>
        <v/>
      </c>
      <c r="AK866" s="40">
        <f>AK865*(1-IF(B865&gt;=in_marketplace_from,d_hz_life_term*G865,0))</f>
        <v/>
      </c>
      <c r="AL866" s="46">
        <f>AK866*IF(B866&gt;=in_marketplace_from,d_hz_life_term*G866,0)</f>
        <v/>
      </c>
      <c r="AM866" s="14">
        <f>F866*AL866*in_life_term_ticket*in_life_term_comm*in_ins_partner_share+F866*in_life_term_ticket*in_life_term_renew_comm*in_ins_partner_share*(in_life_term_renew^1*SUMIFS(AL842:AL885,B842:B885,B866-12)+in_life_term_renew^2*SUMIFS(AL842:AL885,B842:B885,B866-24)+in_life_term_renew^3*SUMIFS(AL842:AL885,B842:B885,B866-36)+in_life_term_renew^4*SUMIFS(AL842:AL885,B842:B885,B866-48))</f>
        <v/>
      </c>
      <c r="AN866" s="40">
        <f>AN865*(1-IF(B865&gt;=in_marketplace_from,d_hz_accident*G865,0))</f>
        <v/>
      </c>
      <c r="AO866" s="46">
        <f>AN866*IF(B866&gt;=in_marketplace_from,d_hz_accident*G866,0)</f>
        <v/>
      </c>
      <c r="AP866" s="14">
        <f>F866*AO866*in_accident_ticket*in_accident_comm*in_ins_partner_share+F866*in_accident_ticket*in_accident_renew_comm*in_ins_partner_share*(in_accident_renew^1*SUMIFS(AO842:AO885,B842:B885,B866-12)+in_accident_renew^2*SUMIFS(AO842:AO885,B842:B885,B866-24)+in_accident_renew^3*SUMIFS(AO842:AO885,B842:B885,B866-36)+in_accident_renew^4*SUMIFS(AO842:AO885,B842:B885,B866-48))</f>
        <v/>
      </c>
      <c r="AQ866" s="40">
        <f>AQ865*(1-IF(B865&gt;=in_marketplace_from,d_hz_two_wheeler*G865,0))</f>
        <v/>
      </c>
      <c r="AR866" s="46">
        <f>AQ866*IF(B866&gt;=in_marketplace_from,d_hz_two_wheeler*G866,0)</f>
        <v/>
      </c>
      <c r="AS866" s="14">
        <f>F866*AR866*in_two_wheeler_ticket*in_two_wheeler_comm*in_ins_partner_share+F866*in_two_wheeler_ticket*in_two_wheeler_comm*in_ins_partner_share*(in_two_wheeler_renew^1*SUMIFS(AR842:AR885,B842:B885,B866-12)+in_two_wheeler_renew^2*SUMIFS(AR842:AR885,B842:B885,B866-24)+in_two_wheeler_renew^3*SUMIFS(AR842:AR885,B842:B885,B866-36)+in_two_wheeler_renew^4*SUMIFS(AR842:AR885,B842:B885,B866-48))</f>
        <v/>
      </c>
      <c r="AT866" s="40">
        <f>AT865*(1-IF(B865&gt;=in_marketplace_from,d_hz_device*G865,0))</f>
        <v/>
      </c>
      <c r="AU866" s="14">
        <f>F866*AT866*IF(B866&gt;=in_marketplace_from,d_hz_device*G866,0)*in_device_ticket*in_device_comm*in_ins_partner_share</f>
        <v/>
      </c>
      <c r="AV866" s="40">
        <f>AV865*(1-IF(B865&gt;=in_marketplace_from,d_hz_shop*G865,0))</f>
        <v/>
      </c>
      <c r="AW866" s="46">
        <f>AV866*IF(B866&gt;=in_marketplace_from,d_hz_shop*G866,0)</f>
        <v/>
      </c>
      <c r="AX866" s="14">
        <f>F866*AW866*in_shop_ticket*in_shop_comm*in_ins_partner_share+F866*in_shop_ticket*in_shop_renew_comm*in_ins_partner_share*(in_shop_renew^1*SUMIFS(AW842:AW885,B842:B885,B866-12)+in_shop_renew^2*SUMIFS(AW842:AW885,B842:B885,B866-24)+in_shop_renew^3*SUMIFS(AW842:AW885,B842:B885,B866-36)+in_shop_renew^4*SUMIFS(AW842:AW885,B842:B885,B866-48))</f>
        <v/>
      </c>
      <c r="AY866" s="40">
        <f>AY865*(1-IF(B865&gt;=in_marketplace_from,d_hz_sip*G865,0))</f>
        <v/>
      </c>
      <c r="AZ866" s="40">
        <f>AZ865*d_rho_sip+AY866*IF(B866&gt;=in_marketplace_from,d_hz_sip*G866,0)</f>
        <v/>
      </c>
      <c r="BA866" s="40">
        <f>d_rho_sip*(BA865+AZ865)</f>
        <v/>
      </c>
      <c r="BB866" s="14">
        <f>F866*in_sip_ticket*(BA866+0.5*AZ866)*in_sip_comm/12</f>
        <v/>
      </c>
      <c r="BC866" s="40">
        <f>BC865*(1-IF(B865&gt;=in_marketplace_from,d_hz_choti*G865,0))</f>
        <v/>
      </c>
      <c r="BD866" s="46">
        <f>BC866*IF(B866&gt;=in_marketplace_from,d_hz_choti*G866,0)</f>
        <v/>
      </c>
      <c r="BE866" s="14">
        <f>F866*SUMIFS(BD842:BD885,B842:B885,B866-in_choti_months)*in_choti_renew*in_choti_ticket</f>
        <v/>
      </c>
      <c r="BF866" s="40">
        <f>BF865*(1-IF(B865&gt;=in_marketplace_from,d_hz_nps*G865,0))</f>
        <v/>
      </c>
      <c r="BG866" s="14">
        <f>F866*BF866*IF(B866&gt;=in_marketplace_from,d_hz_nps*G866,0)*in_nps_ticket*in_nps_comm</f>
        <v/>
      </c>
      <c r="BH866" s="40">
        <f>BH865*(1-IF(B865&gt;=in_marketplace_from,d_hz_gold*G865,0))</f>
        <v/>
      </c>
      <c r="BI866" s="40">
        <f>BI865*d_rho_gold+BH866*IF(B866&gt;=in_marketplace_from,d_hz_gold*G866,0)</f>
        <v/>
      </c>
      <c r="BJ866" s="14">
        <f>F866*BI866*in_gold_ticket*in_gold_comm</f>
        <v/>
      </c>
      <c r="BK866" s="40">
        <f>BK865*(1-IF(B865&gt;=in_marketplace_from,d_hz_fd*G865,0))</f>
        <v/>
      </c>
      <c r="BL866" s="14">
        <f>F866*BK866*IF(B866&gt;=in_marketplace_from,d_hz_fd*G866,0)*in_fd_ticket*in_fd_comm</f>
        <v/>
      </c>
      <c r="BM866" s="40">
        <f>BM865*(1-IF(B865&gt;=in_marketplace_from,d_hz_recharge*G865,0))</f>
        <v/>
      </c>
      <c r="BN866" s="40">
        <f>BN865*d_rho_recharge+BM866*IF(B866&gt;=in_marketplace_from,d_hz_recharge*G866,0)</f>
        <v/>
      </c>
      <c r="BO866" s="14">
        <f>F866*BN866*in_recharge_ticket*in_recharge_comm/12</f>
        <v/>
      </c>
      <c r="BP866" s="40">
        <f>BP865*(1-IF(B865&gt;=in_marketplace_from,d_hz_bills*G865,0))</f>
        <v/>
      </c>
      <c r="BQ866" s="40">
        <f>BQ865*d_rho_bills+BP866*IF(B866&gt;=in_marketplace_from,d_hz_bills*G866,0)</f>
        <v/>
      </c>
      <c r="BR866" s="14">
        <f>F866*BQ866*in_bills_ticket*in_bills_comm/12</f>
        <v/>
      </c>
      <c r="BS866" s="40">
        <f>BS865*(1-IF(B865&gt;=in_marketplace_from,d_hz_loan_gold*G865,0))</f>
        <v/>
      </c>
      <c r="BT866" s="14">
        <f>F866*BS866*IF(B866&gt;=in_marketplace_from,d_hz_loan_gold*G866,0)*in_loan_gold_ticket*in_loan_gold_comm</f>
        <v/>
      </c>
      <c r="BU866" s="40">
        <f>BU865*(1-IF(B865&gt;=in_marketplace_from,d_hz_loan_cd*G865,0))</f>
        <v/>
      </c>
      <c r="BV866" s="14">
        <f>F866*BU866*IF(B866&gt;=in_marketplace_from,d_hz_loan_cd*G866,0)*in_loan_cd_ticket*in_loan_cd_comm</f>
        <v/>
      </c>
      <c r="BW866" s="40">
        <f>BW865*(1-IF(B865&gt;=in_marketplace_from,d_hz_loan_vehicle*G865,0))</f>
        <v/>
      </c>
      <c r="BX866" s="14">
        <f>F866*BW866*IF(B866&gt;=in_marketplace_from,d_hz_loan_vehicle*G866,0)*in_loan_vehicle_ticket*in_loan_vehicle_comm</f>
        <v/>
      </c>
      <c r="BY866" s="40">
        <f>BY865*(1-IF(B865&gt;=in_marketplace_from,d_hz_loan_home*G865,0)*BZ865)</f>
        <v/>
      </c>
      <c r="BZ866" s="11">
        <f>MIN(in_approval_cap,in_loan_home_approval*INDEX('Age profile'!$O$2:$O$61,B866)*(1+in_approval_growth)^(D866-1))</f>
        <v/>
      </c>
      <c r="CA866" s="14">
        <f>F866*BY866*IF(B866&gt;=in_marketplace_from,d_hz_loan_home*G866,0)*BZ866*in_loan_home_ticket*in_loan_home_comm</f>
        <v/>
      </c>
      <c r="CB866" s="40">
        <f>CB865*(1-IF(B865&gt;=in_marketplace_from,d_hz_loan_lap*G865,0)*CC865)</f>
        <v/>
      </c>
      <c r="CC866" s="11">
        <f>MIN(in_approval_cap,in_loan_lap_approval*INDEX('Age profile'!$O$2:$O$61,B866)*(1+in_approval_growth)^(D866-1))</f>
        <v/>
      </c>
      <c r="CD866" s="14">
        <f>F866*CB866*IF(B866&gt;=in_marketplace_from,d_hz_loan_lap*G866,0)*CC866*in_loan_lap_ticket*in_loan_lap_comm</f>
        <v/>
      </c>
      <c r="CE866" s="14">
        <f>AA866+AB866+AC866+AD866+AG866+AJ866+AM866+AP866+AS866+AU866+AX866+BB866+BE866+BG866+BJ866+BL866+BO866+BR866+BT866+BV866+BX866+CA866+CD866</f>
        <v/>
      </c>
    </row>
    <row r="867">
      <c r="A867" s="39" t="n">
        <v>17</v>
      </c>
      <c r="B867" s="39" t="n">
        <v>26</v>
      </c>
      <c r="C867" s="39">
        <f>A867+B867-1</f>
        <v/>
      </c>
      <c r="D867" s="39">
        <f>INT((C867-1)/12)+1</f>
        <v/>
      </c>
      <c r="E867" s="44">
        <f>INDEX(Monthly!$B$2:$B$61,A867)</f>
        <v/>
      </c>
      <c r="F867" s="44">
        <f>E867*INDEX('Age profile'!$B$2:$B$61,B867)</f>
        <v/>
      </c>
      <c r="G867" s="45">
        <f>MIN(in_takeup_cap,INDEX('Age profile'!$N$2:$N$61,B867)*(1+in_takeup_growth)^(D867-1))</f>
        <v/>
      </c>
      <c r="H867" s="11">
        <f>MIN(in_approval_cap,in_approved_first*INDEX('Age profile'!$O$2:$O$61,B867)*(1+in_approval_growth)^(D867-1))</f>
        <v/>
      </c>
      <c r="I867" s="45">
        <f>G867*MIN(in_takeup_cap,INDEX('Age profile'!$O$2:$O$61,B867)*(1+in_approval_growth)^(D867-1))</f>
        <v/>
      </c>
      <c r="J867" s="40">
        <f>(J866-L866)*F867/F866</f>
        <v/>
      </c>
      <c r="K867" s="40">
        <f>(K866-M866)*F867/F866+SUMIFS(O842:O866,B842:B866,B867-1-d_T)*F867</f>
        <v/>
      </c>
      <c r="L867" s="40">
        <f>IF(B867&gt;=in_marketplace_from,J867*d_hz*G867*in_eligible*H867,0)</f>
        <v/>
      </c>
      <c r="M867" s="40">
        <f>IF(B867&gt;=in_marketplace_from,K867*d_hz*G867*in_eligible*in_approved_repeat,0)</f>
        <v/>
      </c>
      <c r="N867" s="40">
        <f>L867+M867</f>
        <v/>
      </c>
      <c r="O867" s="46">
        <f>N867/F867</f>
        <v/>
      </c>
      <c r="P867" s="40">
        <f>F867-J867-K867</f>
        <v/>
      </c>
      <c r="Q867" s="40">
        <f>IF(B867&gt;=in_marketplace_from,(J867+K867)*d_hz*G867,0)</f>
        <v/>
      </c>
      <c r="R867" s="40">
        <f>SUMIFS(N842:N885,B842:B885,"&gt;="&amp;(B867-d_T),B842:B885,"&lt;="&amp;(B867-1))</f>
        <v/>
      </c>
      <c r="S867" s="46">
        <f>(1-d_u)*S866+IF(d_T&gt;in_topup_lag,SUMIFS(O842:O885,B842:B885,B867-in_topup_lag)-d_udrop*SUMIFS(O842:O885,B842:B885,B867-d_T),0)</f>
        <v/>
      </c>
      <c r="T867" s="40">
        <f>F867*d_u*S867</f>
        <v/>
      </c>
      <c r="U867" s="9">
        <f>L867*in_ticket+M867*d_rep_ticket</f>
        <v/>
      </c>
      <c r="V867" s="9">
        <f>U867+T867*d_topup_amt</f>
        <v/>
      </c>
      <c r="W867" s="40">
        <f>N867+T867*d_topup_ratio</f>
        <v/>
      </c>
      <c r="X867" s="40">
        <f>SUMIFS(W842:W885,B842:B885,B867-in_dpd_lag)*d_cured</f>
        <v/>
      </c>
      <c r="Y867" s="40">
        <f>SUMIFS(W842:W885,B842:B885,B867-in_rec_lag)*d_recd</f>
        <v/>
      </c>
      <c r="Z867" s="40">
        <f>IF(AND(B867&gt;=in_marketplace_from,B867&lt;in_marketplace_from+in_card_months),in_card_share/in_card_months*F867*I867,IF(AND(B867&gt;=in_marketplace_from+in_card_months,B867&lt;in_marketplace_from+2*in_card_months),in_card_share*d_card_rem/in_card_months*F867*MIN(in_takeup_cap,(1+in_takeup_growth)^(D867-1))*MIN(in_takeup_cap,(1+in_approval_growth)^(D867-1)),0))</f>
        <v/>
      </c>
      <c r="AA867" s="14">
        <f>V867*in_fee*(1-in_taken_back)</f>
        <v/>
      </c>
      <c r="AB867" s="14">
        <f>SUMIFS(W842:W885,B842:B885,B867-in_dpd_lag)*d_dpd</f>
        <v/>
      </c>
      <c r="AC867" s="14">
        <f>SUMIFS(W842:W885,B842:B885,B867-in_rec_lag)*d_rec</f>
        <v/>
      </c>
      <c r="AD867" s="14">
        <f>Z867*in_card_fee</f>
        <v/>
      </c>
      <c r="AE867" s="40">
        <f>AE866*(1-IF(B866&gt;=in_marketplace_from,d_hz_hlth_small*G866,0))</f>
        <v/>
      </c>
      <c r="AF867" s="46">
        <f>AE867*IF(B867&gt;=in_marketplace_from,d_hz_hlth_small*G867,0)</f>
        <v/>
      </c>
      <c r="AG867" s="14">
        <f>F867*AF867*in_hlth_small_ticket*in_hlth_small_comm*in_ins_partner_share+F867*in_hlth_small_ticket*in_hlth_small_renew_comm*in_ins_partner_share*(in_hlth_small_renew^1*SUMIFS(AF842:AF885,B842:B885,B867-12)+in_hlth_small_renew^2*SUMIFS(AF842:AF885,B842:B885,B867-24)+in_hlth_small_renew^3*SUMIFS(AF842:AF885,B842:B885,B867-36)+in_hlth_small_renew^4*SUMIFS(AF842:AF885,B842:B885,B867-48))</f>
        <v/>
      </c>
      <c r="AH867" s="40">
        <f>AH866*(1-IF(B866&gt;=in_marketplace_from,d_hz_hlth_family*G866,0))</f>
        <v/>
      </c>
      <c r="AI867" s="46">
        <f>AH867*IF(B867&gt;=in_marketplace_from,d_hz_hlth_family*G867,0)</f>
        <v/>
      </c>
      <c r="AJ867" s="14">
        <f>F867*AI867*in_hlth_family_ticket*in_hlth_family_comm*in_ins_partner_share+F867*in_hlth_family_ticket*in_hlth_family_renew_comm*in_ins_partner_share*(in_hlth_family_renew^1*SUMIFS(AI842:AI885,B842:B885,B867-12)+in_hlth_family_renew^2*SUMIFS(AI842:AI885,B842:B885,B867-24)+in_hlth_family_renew^3*SUMIFS(AI842:AI885,B842:B885,B867-36)+in_hlth_family_renew^4*SUMIFS(AI842:AI885,B842:B885,B867-48))</f>
        <v/>
      </c>
      <c r="AK867" s="40">
        <f>AK866*(1-IF(B866&gt;=in_marketplace_from,d_hz_life_term*G866,0))</f>
        <v/>
      </c>
      <c r="AL867" s="46">
        <f>AK867*IF(B867&gt;=in_marketplace_from,d_hz_life_term*G867,0)</f>
        <v/>
      </c>
      <c r="AM867" s="14">
        <f>F867*AL867*in_life_term_ticket*in_life_term_comm*in_ins_partner_share+F867*in_life_term_ticket*in_life_term_renew_comm*in_ins_partner_share*(in_life_term_renew^1*SUMIFS(AL842:AL885,B842:B885,B867-12)+in_life_term_renew^2*SUMIFS(AL842:AL885,B842:B885,B867-24)+in_life_term_renew^3*SUMIFS(AL842:AL885,B842:B885,B867-36)+in_life_term_renew^4*SUMIFS(AL842:AL885,B842:B885,B867-48))</f>
        <v/>
      </c>
      <c r="AN867" s="40">
        <f>AN866*(1-IF(B866&gt;=in_marketplace_from,d_hz_accident*G866,0))</f>
        <v/>
      </c>
      <c r="AO867" s="46">
        <f>AN867*IF(B867&gt;=in_marketplace_from,d_hz_accident*G867,0)</f>
        <v/>
      </c>
      <c r="AP867" s="14">
        <f>F867*AO867*in_accident_ticket*in_accident_comm*in_ins_partner_share+F867*in_accident_ticket*in_accident_renew_comm*in_ins_partner_share*(in_accident_renew^1*SUMIFS(AO842:AO885,B842:B885,B867-12)+in_accident_renew^2*SUMIFS(AO842:AO885,B842:B885,B867-24)+in_accident_renew^3*SUMIFS(AO842:AO885,B842:B885,B867-36)+in_accident_renew^4*SUMIFS(AO842:AO885,B842:B885,B867-48))</f>
        <v/>
      </c>
      <c r="AQ867" s="40">
        <f>AQ866*(1-IF(B866&gt;=in_marketplace_from,d_hz_two_wheeler*G866,0))</f>
        <v/>
      </c>
      <c r="AR867" s="46">
        <f>AQ867*IF(B867&gt;=in_marketplace_from,d_hz_two_wheeler*G867,0)</f>
        <v/>
      </c>
      <c r="AS867" s="14">
        <f>F867*AR867*in_two_wheeler_ticket*in_two_wheeler_comm*in_ins_partner_share+F867*in_two_wheeler_ticket*in_two_wheeler_comm*in_ins_partner_share*(in_two_wheeler_renew^1*SUMIFS(AR842:AR885,B842:B885,B867-12)+in_two_wheeler_renew^2*SUMIFS(AR842:AR885,B842:B885,B867-24)+in_two_wheeler_renew^3*SUMIFS(AR842:AR885,B842:B885,B867-36)+in_two_wheeler_renew^4*SUMIFS(AR842:AR885,B842:B885,B867-48))</f>
        <v/>
      </c>
      <c r="AT867" s="40">
        <f>AT866*(1-IF(B866&gt;=in_marketplace_from,d_hz_device*G866,0))</f>
        <v/>
      </c>
      <c r="AU867" s="14">
        <f>F867*AT867*IF(B867&gt;=in_marketplace_from,d_hz_device*G867,0)*in_device_ticket*in_device_comm*in_ins_partner_share</f>
        <v/>
      </c>
      <c r="AV867" s="40">
        <f>AV866*(1-IF(B866&gt;=in_marketplace_from,d_hz_shop*G866,0))</f>
        <v/>
      </c>
      <c r="AW867" s="46">
        <f>AV867*IF(B867&gt;=in_marketplace_from,d_hz_shop*G867,0)</f>
        <v/>
      </c>
      <c r="AX867" s="14">
        <f>F867*AW867*in_shop_ticket*in_shop_comm*in_ins_partner_share+F867*in_shop_ticket*in_shop_renew_comm*in_ins_partner_share*(in_shop_renew^1*SUMIFS(AW842:AW885,B842:B885,B867-12)+in_shop_renew^2*SUMIFS(AW842:AW885,B842:B885,B867-24)+in_shop_renew^3*SUMIFS(AW842:AW885,B842:B885,B867-36)+in_shop_renew^4*SUMIFS(AW842:AW885,B842:B885,B867-48))</f>
        <v/>
      </c>
      <c r="AY867" s="40">
        <f>AY866*(1-IF(B866&gt;=in_marketplace_from,d_hz_sip*G866,0))</f>
        <v/>
      </c>
      <c r="AZ867" s="40">
        <f>AZ866*d_rho_sip+AY867*IF(B867&gt;=in_marketplace_from,d_hz_sip*G867,0)</f>
        <v/>
      </c>
      <c r="BA867" s="40">
        <f>d_rho_sip*(BA866+AZ866)</f>
        <v/>
      </c>
      <c r="BB867" s="14">
        <f>F867*in_sip_ticket*(BA867+0.5*AZ867)*in_sip_comm/12</f>
        <v/>
      </c>
      <c r="BC867" s="40">
        <f>BC866*(1-IF(B866&gt;=in_marketplace_from,d_hz_choti*G866,0))</f>
        <v/>
      </c>
      <c r="BD867" s="46">
        <f>BC867*IF(B867&gt;=in_marketplace_from,d_hz_choti*G867,0)</f>
        <v/>
      </c>
      <c r="BE867" s="14">
        <f>F867*SUMIFS(BD842:BD885,B842:B885,B867-in_choti_months)*in_choti_renew*in_choti_ticket</f>
        <v/>
      </c>
      <c r="BF867" s="40">
        <f>BF866*(1-IF(B866&gt;=in_marketplace_from,d_hz_nps*G866,0))</f>
        <v/>
      </c>
      <c r="BG867" s="14">
        <f>F867*BF867*IF(B867&gt;=in_marketplace_from,d_hz_nps*G867,0)*in_nps_ticket*in_nps_comm</f>
        <v/>
      </c>
      <c r="BH867" s="40">
        <f>BH866*(1-IF(B866&gt;=in_marketplace_from,d_hz_gold*G866,0))</f>
        <v/>
      </c>
      <c r="BI867" s="40">
        <f>BI866*d_rho_gold+BH867*IF(B867&gt;=in_marketplace_from,d_hz_gold*G867,0)</f>
        <v/>
      </c>
      <c r="BJ867" s="14">
        <f>F867*BI867*in_gold_ticket*in_gold_comm</f>
        <v/>
      </c>
      <c r="BK867" s="40">
        <f>BK866*(1-IF(B866&gt;=in_marketplace_from,d_hz_fd*G866,0))</f>
        <v/>
      </c>
      <c r="BL867" s="14">
        <f>F867*BK867*IF(B867&gt;=in_marketplace_from,d_hz_fd*G867,0)*in_fd_ticket*in_fd_comm</f>
        <v/>
      </c>
      <c r="BM867" s="40">
        <f>BM866*(1-IF(B866&gt;=in_marketplace_from,d_hz_recharge*G866,0))</f>
        <v/>
      </c>
      <c r="BN867" s="40">
        <f>BN866*d_rho_recharge+BM867*IF(B867&gt;=in_marketplace_from,d_hz_recharge*G867,0)</f>
        <v/>
      </c>
      <c r="BO867" s="14">
        <f>F867*BN867*in_recharge_ticket*in_recharge_comm/12</f>
        <v/>
      </c>
      <c r="BP867" s="40">
        <f>BP866*(1-IF(B866&gt;=in_marketplace_from,d_hz_bills*G866,0))</f>
        <v/>
      </c>
      <c r="BQ867" s="40">
        <f>BQ866*d_rho_bills+BP867*IF(B867&gt;=in_marketplace_from,d_hz_bills*G867,0)</f>
        <v/>
      </c>
      <c r="BR867" s="14">
        <f>F867*BQ867*in_bills_ticket*in_bills_comm/12</f>
        <v/>
      </c>
      <c r="BS867" s="40">
        <f>BS866*(1-IF(B866&gt;=in_marketplace_from,d_hz_loan_gold*G866,0))</f>
        <v/>
      </c>
      <c r="BT867" s="14">
        <f>F867*BS867*IF(B867&gt;=in_marketplace_from,d_hz_loan_gold*G867,0)*in_loan_gold_ticket*in_loan_gold_comm</f>
        <v/>
      </c>
      <c r="BU867" s="40">
        <f>BU866*(1-IF(B866&gt;=in_marketplace_from,d_hz_loan_cd*G866,0))</f>
        <v/>
      </c>
      <c r="BV867" s="14">
        <f>F867*BU867*IF(B867&gt;=in_marketplace_from,d_hz_loan_cd*G867,0)*in_loan_cd_ticket*in_loan_cd_comm</f>
        <v/>
      </c>
      <c r="BW867" s="40">
        <f>BW866*(1-IF(B866&gt;=in_marketplace_from,d_hz_loan_vehicle*G866,0))</f>
        <v/>
      </c>
      <c r="BX867" s="14">
        <f>F867*BW867*IF(B867&gt;=in_marketplace_from,d_hz_loan_vehicle*G867,0)*in_loan_vehicle_ticket*in_loan_vehicle_comm</f>
        <v/>
      </c>
      <c r="BY867" s="40">
        <f>BY866*(1-IF(B866&gt;=in_marketplace_from,d_hz_loan_home*G866,0)*BZ866)</f>
        <v/>
      </c>
      <c r="BZ867" s="11">
        <f>MIN(in_approval_cap,in_loan_home_approval*INDEX('Age profile'!$O$2:$O$61,B867)*(1+in_approval_growth)^(D867-1))</f>
        <v/>
      </c>
      <c r="CA867" s="14">
        <f>F867*BY867*IF(B867&gt;=in_marketplace_from,d_hz_loan_home*G867,0)*BZ867*in_loan_home_ticket*in_loan_home_comm</f>
        <v/>
      </c>
      <c r="CB867" s="40">
        <f>CB866*(1-IF(B866&gt;=in_marketplace_from,d_hz_loan_lap*G866,0)*CC866)</f>
        <v/>
      </c>
      <c r="CC867" s="11">
        <f>MIN(in_approval_cap,in_loan_lap_approval*INDEX('Age profile'!$O$2:$O$61,B867)*(1+in_approval_growth)^(D867-1))</f>
        <v/>
      </c>
      <c r="CD867" s="14">
        <f>F867*CB867*IF(B867&gt;=in_marketplace_from,d_hz_loan_lap*G867,0)*CC867*in_loan_lap_ticket*in_loan_lap_comm</f>
        <v/>
      </c>
      <c r="CE867" s="14">
        <f>AA867+AB867+AC867+AD867+AG867+AJ867+AM867+AP867+AS867+AU867+AX867+BB867+BE867+BG867+BJ867+BL867+BO867+BR867+BT867+BV867+BX867+CA867+CD867</f>
        <v/>
      </c>
    </row>
    <row r="868">
      <c r="A868" s="39" t="n">
        <v>17</v>
      </c>
      <c r="B868" s="39" t="n">
        <v>27</v>
      </c>
      <c r="C868" s="39">
        <f>A868+B868-1</f>
        <v/>
      </c>
      <c r="D868" s="39">
        <f>INT((C868-1)/12)+1</f>
        <v/>
      </c>
      <c r="E868" s="44">
        <f>INDEX(Monthly!$B$2:$B$61,A868)</f>
        <v/>
      </c>
      <c r="F868" s="44">
        <f>E868*INDEX('Age profile'!$B$2:$B$61,B868)</f>
        <v/>
      </c>
      <c r="G868" s="45">
        <f>MIN(in_takeup_cap,INDEX('Age profile'!$N$2:$N$61,B868)*(1+in_takeup_growth)^(D868-1))</f>
        <v/>
      </c>
      <c r="H868" s="11">
        <f>MIN(in_approval_cap,in_approved_first*INDEX('Age profile'!$O$2:$O$61,B868)*(1+in_approval_growth)^(D868-1))</f>
        <v/>
      </c>
      <c r="I868" s="45">
        <f>G868*MIN(in_takeup_cap,INDEX('Age profile'!$O$2:$O$61,B868)*(1+in_approval_growth)^(D868-1))</f>
        <v/>
      </c>
      <c r="J868" s="40">
        <f>(J867-L867)*F868/F867</f>
        <v/>
      </c>
      <c r="K868" s="40">
        <f>(K867-M867)*F868/F867+SUMIFS(O842:O867,B842:B867,B868-1-d_T)*F868</f>
        <v/>
      </c>
      <c r="L868" s="40">
        <f>IF(B868&gt;=in_marketplace_from,J868*d_hz*G868*in_eligible*H868,0)</f>
        <v/>
      </c>
      <c r="M868" s="40">
        <f>IF(B868&gt;=in_marketplace_from,K868*d_hz*G868*in_eligible*in_approved_repeat,0)</f>
        <v/>
      </c>
      <c r="N868" s="40">
        <f>L868+M868</f>
        <v/>
      </c>
      <c r="O868" s="46">
        <f>N868/F868</f>
        <v/>
      </c>
      <c r="P868" s="40">
        <f>F868-J868-K868</f>
        <v/>
      </c>
      <c r="Q868" s="40">
        <f>IF(B868&gt;=in_marketplace_from,(J868+K868)*d_hz*G868,0)</f>
        <v/>
      </c>
      <c r="R868" s="40">
        <f>SUMIFS(N842:N885,B842:B885,"&gt;="&amp;(B868-d_T),B842:B885,"&lt;="&amp;(B868-1))</f>
        <v/>
      </c>
      <c r="S868" s="46">
        <f>(1-d_u)*S867+IF(d_T&gt;in_topup_lag,SUMIFS(O842:O885,B842:B885,B868-in_topup_lag)-d_udrop*SUMIFS(O842:O885,B842:B885,B868-d_T),0)</f>
        <v/>
      </c>
      <c r="T868" s="40">
        <f>F868*d_u*S868</f>
        <v/>
      </c>
      <c r="U868" s="9">
        <f>L868*in_ticket+M868*d_rep_ticket</f>
        <v/>
      </c>
      <c r="V868" s="9">
        <f>U868+T868*d_topup_amt</f>
        <v/>
      </c>
      <c r="W868" s="40">
        <f>N868+T868*d_topup_ratio</f>
        <v/>
      </c>
      <c r="X868" s="40">
        <f>SUMIFS(W842:W885,B842:B885,B868-in_dpd_lag)*d_cured</f>
        <v/>
      </c>
      <c r="Y868" s="40">
        <f>SUMIFS(W842:W885,B842:B885,B868-in_rec_lag)*d_recd</f>
        <v/>
      </c>
      <c r="Z868" s="40">
        <f>IF(AND(B868&gt;=in_marketplace_from,B868&lt;in_marketplace_from+in_card_months),in_card_share/in_card_months*F868*I868,IF(AND(B868&gt;=in_marketplace_from+in_card_months,B868&lt;in_marketplace_from+2*in_card_months),in_card_share*d_card_rem/in_card_months*F868*MIN(in_takeup_cap,(1+in_takeup_growth)^(D868-1))*MIN(in_takeup_cap,(1+in_approval_growth)^(D868-1)),0))</f>
        <v/>
      </c>
      <c r="AA868" s="14">
        <f>V868*in_fee*(1-in_taken_back)</f>
        <v/>
      </c>
      <c r="AB868" s="14">
        <f>SUMIFS(W842:W885,B842:B885,B868-in_dpd_lag)*d_dpd</f>
        <v/>
      </c>
      <c r="AC868" s="14">
        <f>SUMIFS(W842:W885,B842:B885,B868-in_rec_lag)*d_rec</f>
        <v/>
      </c>
      <c r="AD868" s="14">
        <f>Z868*in_card_fee</f>
        <v/>
      </c>
      <c r="AE868" s="40">
        <f>AE867*(1-IF(B867&gt;=in_marketplace_from,d_hz_hlth_small*G867,0))</f>
        <v/>
      </c>
      <c r="AF868" s="46">
        <f>AE868*IF(B868&gt;=in_marketplace_from,d_hz_hlth_small*G868,0)</f>
        <v/>
      </c>
      <c r="AG868" s="14">
        <f>F868*AF868*in_hlth_small_ticket*in_hlth_small_comm*in_ins_partner_share+F868*in_hlth_small_ticket*in_hlth_small_renew_comm*in_ins_partner_share*(in_hlth_small_renew^1*SUMIFS(AF842:AF885,B842:B885,B868-12)+in_hlth_small_renew^2*SUMIFS(AF842:AF885,B842:B885,B868-24)+in_hlth_small_renew^3*SUMIFS(AF842:AF885,B842:B885,B868-36)+in_hlth_small_renew^4*SUMIFS(AF842:AF885,B842:B885,B868-48))</f>
        <v/>
      </c>
      <c r="AH868" s="40">
        <f>AH867*(1-IF(B867&gt;=in_marketplace_from,d_hz_hlth_family*G867,0))</f>
        <v/>
      </c>
      <c r="AI868" s="46">
        <f>AH868*IF(B868&gt;=in_marketplace_from,d_hz_hlth_family*G868,0)</f>
        <v/>
      </c>
      <c r="AJ868" s="14">
        <f>F868*AI868*in_hlth_family_ticket*in_hlth_family_comm*in_ins_partner_share+F868*in_hlth_family_ticket*in_hlth_family_renew_comm*in_ins_partner_share*(in_hlth_family_renew^1*SUMIFS(AI842:AI885,B842:B885,B868-12)+in_hlth_family_renew^2*SUMIFS(AI842:AI885,B842:B885,B868-24)+in_hlth_family_renew^3*SUMIFS(AI842:AI885,B842:B885,B868-36)+in_hlth_family_renew^4*SUMIFS(AI842:AI885,B842:B885,B868-48))</f>
        <v/>
      </c>
      <c r="AK868" s="40">
        <f>AK867*(1-IF(B867&gt;=in_marketplace_from,d_hz_life_term*G867,0))</f>
        <v/>
      </c>
      <c r="AL868" s="46">
        <f>AK868*IF(B868&gt;=in_marketplace_from,d_hz_life_term*G868,0)</f>
        <v/>
      </c>
      <c r="AM868" s="14">
        <f>F868*AL868*in_life_term_ticket*in_life_term_comm*in_ins_partner_share+F868*in_life_term_ticket*in_life_term_renew_comm*in_ins_partner_share*(in_life_term_renew^1*SUMIFS(AL842:AL885,B842:B885,B868-12)+in_life_term_renew^2*SUMIFS(AL842:AL885,B842:B885,B868-24)+in_life_term_renew^3*SUMIFS(AL842:AL885,B842:B885,B868-36)+in_life_term_renew^4*SUMIFS(AL842:AL885,B842:B885,B868-48))</f>
        <v/>
      </c>
      <c r="AN868" s="40">
        <f>AN867*(1-IF(B867&gt;=in_marketplace_from,d_hz_accident*G867,0))</f>
        <v/>
      </c>
      <c r="AO868" s="46">
        <f>AN868*IF(B868&gt;=in_marketplace_from,d_hz_accident*G868,0)</f>
        <v/>
      </c>
      <c r="AP868" s="14">
        <f>F868*AO868*in_accident_ticket*in_accident_comm*in_ins_partner_share+F868*in_accident_ticket*in_accident_renew_comm*in_ins_partner_share*(in_accident_renew^1*SUMIFS(AO842:AO885,B842:B885,B868-12)+in_accident_renew^2*SUMIFS(AO842:AO885,B842:B885,B868-24)+in_accident_renew^3*SUMIFS(AO842:AO885,B842:B885,B868-36)+in_accident_renew^4*SUMIFS(AO842:AO885,B842:B885,B868-48))</f>
        <v/>
      </c>
      <c r="AQ868" s="40">
        <f>AQ867*(1-IF(B867&gt;=in_marketplace_from,d_hz_two_wheeler*G867,0))</f>
        <v/>
      </c>
      <c r="AR868" s="46">
        <f>AQ868*IF(B868&gt;=in_marketplace_from,d_hz_two_wheeler*G868,0)</f>
        <v/>
      </c>
      <c r="AS868" s="14">
        <f>F868*AR868*in_two_wheeler_ticket*in_two_wheeler_comm*in_ins_partner_share+F868*in_two_wheeler_ticket*in_two_wheeler_comm*in_ins_partner_share*(in_two_wheeler_renew^1*SUMIFS(AR842:AR885,B842:B885,B868-12)+in_two_wheeler_renew^2*SUMIFS(AR842:AR885,B842:B885,B868-24)+in_two_wheeler_renew^3*SUMIFS(AR842:AR885,B842:B885,B868-36)+in_two_wheeler_renew^4*SUMIFS(AR842:AR885,B842:B885,B868-48))</f>
        <v/>
      </c>
      <c r="AT868" s="40">
        <f>AT867*(1-IF(B867&gt;=in_marketplace_from,d_hz_device*G867,0))</f>
        <v/>
      </c>
      <c r="AU868" s="14">
        <f>F868*AT868*IF(B868&gt;=in_marketplace_from,d_hz_device*G868,0)*in_device_ticket*in_device_comm*in_ins_partner_share</f>
        <v/>
      </c>
      <c r="AV868" s="40">
        <f>AV867*(1-IF(B867&gt;=in_marketplace_from,d_hz_shop*G867,0))</f>
        <v/>
      </c>
      <c r="AW868" s="46">
        <f>AV868*IF(B868&gt;=in_marketplace_from,d_hz_shop*G868,0)</f>
        <v/>
      </c>
      <c r="AX868" s="14">
        <f>F868*AW868*in_shop_ticket*in_shop_comm*in_ins_partner_share+F868*in_shop_ticket*in_shop_renew_comm*in_ins_partner_share*(in_shop_renew^1*SUMIFS(AW842:AW885,B842:B885,B868-12)+in_shop_renew^2*SUMIFS(AW842:AW885,B842:B885,B868-24)+in_shop_renew^3*SUMIFS(AW842:AW885,B842:B885,B868-36)+in_shop_renew^4*SUMIFS(AW842:AW885,B842:B885,B868-48))</f>
        <v/>
      </c>
      <c r="AY868" s="40">
        <f>AY867*(1-IF(B867&gt;=in_marketplace_from,d_hz_sip*G867,0))</f>
        <v/>
      </c>
      <c r="AZ868" s="40">
        <f>AZ867*d_rho_sip+AY868*IF(B868&gt;=in_marketplace_from,d_hz_sip*G868,0)</f>
        <v/>
      </c>
      <c r="BA868" s="40">
        <f>d_rho_sip*(BA867+AZ867)</f>
        <v/>
      </c>
      <c r="BB868" s="14">
        <f>F868*in_sip_ticket*(BA868+0.5*AZ868)*in_sip_comm/12</f>
        <v/>
      </c>
      <c r="BC868" s="40">
        <f>BC867*(1-IF(B867&gt;=in_marketplace_from,d_hz_choti*G867,0))</f>
        <v/>
      </c>
      <c r="BD868" s="46">
        <f>BC868*IF(B868&gt;=in_marketplace_from,d_hz_choti*G868,0)</f>
        <v/>
      </c>
      <c r="BE868" s="14">
        <f>F868*SUMIFS(BD842:BD885,B842:B885,B868-in_choti_months)*in_choti_renew*in_choti_ticket</f>
        <v/>
      </c>
      <c r="BF868" s="40">
        <f>BF867*(1-IF(B867&gt;=in_marketplace_from,d_hz_nps*G867,0))</f>
        <v/>
      </c>
      <c r="BG868" s="14">
        <f>F868*BF868*IF(B868&gt;=in_marketplace_from,d_hz_nps*G868,0)*in_nps_ticket*in_nps_comm</f>
        <v/>
      </c>
      <c r="BH868" s="40">
        <f>BH867*(1-IF(B867&gt;=in_marketplace_from,d_hz_gold*G867,0))</f>
        <v/>
      </c>
      <c r="BI868" s="40">
        <f>BI867*d_rho_gold+BH868*IF(B868&gt;=in_marketplace_from,d_hz_gold*G868,0)</f>
        <v/>
      </c>
      <c r="BJ868" s="14">
        <f>F868*BI868*in_gold_ticket*in_gold_comm</f>
        <v/>
      </c>
      <c r="BK868" s="40">
        <f>BK867*(1-IF(B867&gt;=in_marketplace_from,d_hz_fd*G867,0))</f>
        <v/>
      </c>
      <c r="BL868" s="14">
        <f>F868*BK868*IF(B868&gt;=in_marketplace_from,d_hz_fd*G868,0)*in_fd_ticket*in_fd_comm</f>
        <v/>
      </c>
      <c r="BM868" s="40">
        <f>BM867*(1-IF(B867&gt;=in_marketplace_from,d_hz_recharge*G867,0))</f>
        <v/>
      </c>
      <c r="BN868" s="40">
        <f>BN867*d_rho_recharge+BM868*IF(B868&gt;=in_marketplace_from,d_hz_recharge*G868,0)</f>
        <v/>
      </c>
      <c r="BO868" s="14">
        <f>F868*BN868*in_recharge_ticket*in_recharge_comm/12</f>
        <v/>
      </c>
      <c r="BP868" s="40">
        <f>BP867*(1-IF(B867&gt;=in_marketplace_from,d_hz_bills*G867,0))</f>
        <v/>
      </c>
      <c r="BQ868" s="40">
        <f>BQ867*d_rho_bills+BP868*IF(B868&gt;=in_marketplace_from,d_hz_bills*G868,0)</f>
        <v/>
      </c>
      <c r="BR868" s="14">
        <f>F868*BQ868*in_bills_ticket*in_bills_comm/12</f>
        <v/>
      </c>
      <c r="BS868" s="40">
        <f>BS867*(1-IF(B867&gt;=in_marketplace_from,d_hz_loan_gold*G867,0))</f>
        <v/>
      </c>
      <c r="BT868" s="14">
        <f>F868*BS868*IF(B868&gt;=in_marketplace_from,d_hz_loan_gold*G868,0)*in_loan_gold_ticket*in_loan_gold_comm</f>
        <v/>
      </c>
      <c r="BU868" s="40">
        <f>BU867*(1-IF(B867&gt;=in_marketplace_from,d_hz_loan_cd*G867,0))</f>
        <v/>
      </c>
      <c r="BV868" s="14">
        <f>F868*BU868*IF(B868&gt;=in_marketplace_from,d_hz_loan_cd*G868,0)*in_loan_cd_ticket*in_loan_cd_comm</f>
        <v/>
      </c>
      <c r="BW868" s="40">
        <f>BW867*(1-IF(B867&gt;=in_marketplace_from,d_hz_loan_vehicle*G867,0))</f>
        <v/>
      </c>
      <c r="BX868" s="14">
        <f>F868*BW868*IF(B868&gt;=in_marketplace_from,d_hz_loan_vehicle*G868,0)*in_loan_vehicle_ticket*in_loan_vehicle_comm</f>
        <v/>
      </c>
      <c r="BY868" s="40">
        <f>BY867*(1-IF(B867&gt;=in_marketplace_from,d_hz_loan_home*G867,0)*BZ867)</f>
        <v/>
      </c>
      <c r="BZ868" s="11">
        <f>MIN(in_approval_cap,in_loan_home_approval*INDEX('Age profile'!$O$2:$O$61,B868)*(1+in_approval_growth)^(D868-1))</f>
        <v/>
      </c>
      <c r="CA868" s="14">
        <f>F868*BY868*IF(B868&gt;=in_marketplace_from,d_hz_loan_home*G868,0)*BZ868*in_loan_home_ticket*in_loan_home_comm</f>
        <v/>
      </c>
      <c r="CB868" s="40">
        <f>CB867*(1-IF(B867&gt;=in_marketplace_from,d_hz_loan_lap*G867,0)*CC867)</f>
        <v/>
      </c>
      <c r="CC868" s="11">
        <f>MIN(in_approval_cap,in_loan_lap_approval*INDEX('Age profile'!$O$2:$O$61,B868)*(1+in_approval_growth)^(D868-1))</f>
        <v/>
      </c>
      <c r="CD868" s="14">
        <f>F868*CB868*IF(B868&gt;=in_marketplace_from,d_hz_loan_lap*G868,0)*CC868*in_loan_lap_ticket*in_loan_lap_comm</f>
        <v/>
      </c>
      <c r="CE868" s="14">
        <f>AA868+AB868+AC868+AD868+AG868+AJ868+AM868+AP868+AS868+AU868+AX868+BB868+BE868+BG868+BJ868+BL868+BO868+BR868+BT868+BV868+BX868+CA868+CD868</f>
        <v/>
      </c>
    </row>
    <row r="869">
      <c r="A869" s="39" t="n">
        <v>17</v>
      </c>
      <c r="B869" s="39" t="n">
        <v>28</v>
      </c>
      <c r="C869" s="39">
        <f>A869+B869-1</f>
        <v/>
      </c>
      <c r="D869" s="39">
        <f>INT((C869-1)/12)+1</f>
        <v/>
      </c>
      <c r="E869" s="44">
        <f>INDEX(Monthly!$B$2:$B$61,A869)</f>
        <v/>
      </c>
      <c r="F869" s="44">
        <f>E869*INDEX('Age profile'!$B$2:$B$61,B869)</f>
        <v/>
      </c>
      <c r="G869" s="45">
        <f>MIN(in_takeup_cap,INDEX('Age profile'!$N$2:$N$61,B869)*(1+in_takeup_growth)^(D869-1))</f>
        <v/>
      </c>
      <c r="H869" s="11">
        <f>MIN(in_approval_cap,in_approved_first*INDEX('Age profile'!$O$2:$O$61,B869)*(1+in_approval_growth)^(D869-1))</f>
        <v/>
      </c>
      <c r="I869" s="45">
        <f>G869*MIN(in_takeup_cap,INDEX('Age profile'!$O$2:$O$61,B869)*(1+in_approval_growth)^(D869-1))</f>
        <v/>
      </c>
      <c r="J869" s="40">
        <f>(J868-L868)*F869/F868</f>
        <v/>
      </c>
      <c r="K869" s="40">
        <f>(K868-M868)*F869/F868+SUMIFS(O842:O868,B842:B868,B869-1-d_T)*F869</f>
        <v/>
      </c>
      <c r="L869" s="40">
        <f>IF(B869&gt;=in_marketplace_from,J869*d_hz*G869*in_eligible*H869,0)</f>
        <v/>
      </c>
      <c r="M869" s="40">
        <f>IF(B869&gt;=in_marketplace_from,K869*d_hz*G869*in_eligible*in_approved_repeat,0)</f>
        <v/>
      </c>
      <c r="N869" s="40">
        <f>L869+M869</f>
        <v/>
      </c>
      <c r="O869" s="46">
        <f>N869/F869</f>
        <v/>
      </c>
      <c r="P869" s="40">
        <f>F869-J869-K869</f>
        <v/>
      </c>
      <c r="Q869" s="40">
        <f>IF(B869&gt;=in_marketplace_from,(J869+K869)*d_hz*G869,0)</f>
        <v/>
      </c>
      <c r="R869" s="40">
        <f>SUMIFS(N842:N885,B842:B885,"&gt;="&amp;(B869-d_T),B842:B885,"&lt;="&amp;(B869-1))</f>
        <v/>
      </c>
      <c r="S869" s="46">
        <f>(1-d_u)*S868+IF(d_T&gt;in_topup_lag,SUMIFS(O842:O885,B842:B885,B869-in_topup_lag)-d_udrop*SUMIFS(O842:O885,B842:B885,B869-d_T),0)</f>
        <v/>
      </c>
      <c r="T869" s="40">
        <f>F869*d_u*S869</f>
        <v/>
      </c>
      <c r="U869" s="9">
        <f>L869*in_ticket+M869*d_rep_ticket</f>
        <v/>
      </c>
      <c r="V869" s="9">
        <f>U869+T869*d_topup_amt</f>
        <v/>
      </c>
      <c r="W869" s="40">
        <f>N869+T869*d_topup_ratio</f>
        <v/>
      </c>
      <c r="X869" s="40">
        <f>SUMIFS(W842:W885,B842:B885,B869-in_dpd_lag)*d_cured</f>
        <v/>
      </c>
      <c r="Y869" s="40">
        <f>SUMIFS(W842:W885,B842:B885,B869-in_rec_lag)*d_recd</f>
        <v/>
      </c>
      <c r="Z869" s="40">
        <f>IF(AND(B869&gt;=in_marketplace_from,B869&lt;in_marketplace_from+in_card_months),in_card_share/in_card_months*F869*I869,IF(AND(B869&gt;=in_marketplace_from+in_card_months,B869&lt;in_marketplace_from+2*in_card_months),in_card_share*d_card_rem/in_card_months*F869*MIN(in_takeup_cap,(1+in_takeup_growth)^(D869-1))*MIN(in_takeup_cap,(1+in_approval_growth)^(D869-1)),0))</f>
        <v/>
      </c>
      <c r="AA869" s="14">
        <f>V869*in_fee*(1-in_taken_back)</f>
        <v/>
      </c>
      <c r="AB869" s="14">
        <f>SUMIFS(W842:W885,B842:B885,B869-in_dpd_lag)*d_dpd</f>
        <v/>
      </c>
      <c r="AC869" s="14">
        <f>SUMIFS(W842:W885,B842:B885,B869-in_rec_lag)*d_rec</f>
        <v/>
      </c>
      <c r="AD869" s="14">
        <f>Z869*in_card_fee</f>
        <v/>
      </c>
      <c r="AE869" s="40">
        <f>AE868*(1-IF(B868&gt;=in_marketplace_from,d_hz_hlth_small*G868,0))</f>
        <v/>
      </c>
      <c r="AF869" s="46">
        <f>AE869*IF(B869&gt;=in_marketplace_from,d_hz_hlth_small*G869,0)</f>
        <v/>
      </c>
      <c r="AG869" s="14">
        <f>F869*AF869*in_hlth_small_ticket*in_hlth_small_comm*in_ins_partner_share+F869*in_hlth_small_ticket*in_hlth_small_renew_comm*in_ins_partner_share*(in_hlth_small_renew^1*SUMIFS(AF842:AF885,B842:B885,B869-12)+in_hlth_small_renew^2*SUMIFS(AF842:AF885,B842:B885,B869-24)+in_hlth_small_renew^3*SUMIFS(AF842:AF885,B842:B885,B869-36)+in_hlth_small_renew^4*SUMIFS(AF842:AF885,B842:B885,B869-48))</f>
        <v/>
      </c>
      <c r="AH869" s="40">
        <f>AH868*(1-IF(B868&gt;=in_marketplace_from,d_hz_hlth_family*G868,0))</f>
        <v/>
      </c>
      <c r="AI869" s="46">
        <f>AH869*IF(B869&gt;=in_marketplace_from,d_hz_hlth_family*G869,0)</f>
        <v/>
      </c>
      <c r="AJ869" s="14">
        <f>F869*AI869*in_hlth_family_ticket*in_hlth_family_comm*in_ins_partner_share+F869*in_hlth_family_ticket*in_hlth_family_renew_comm*in_ins_partner_share*(in_hlth_family_renew^1*SUMIFS(AI842:AI885,B842:B885,B869-12)+in_hlth_family_renew^2*SUMIFS(AI842:AI885,B842:B885,B869-24)+in_hlth_family_renew^3*SUMIFS(AI842:AI885,B842:B885,B869-36)+in_hlth_family_renew^4*SUMIFS(AI842:AI885,B842:B885,B869-48))</f>
        <v/>
      </c>
      <c r="AK869" s="40">
        <f>AK868*(1-IF(B868&gt;=in_marketplace_from,d_hz_life_term*G868,0))</f>
        <v/>
      </c>
      <c r="AL869" s="46">
        <f>AK869*IF(B869&gt;=in_marketplace_from,d_hz_life_term*G869,0)</f>
        <v/>
      </c>
      <c r="AM869" s="14">
        <f>F869*AL869*in_life_term_ticket*in_life_term_comm*in_ins_partner_share+F869*in_life_term_ticket*in_life_term_renew_comm*in_ins_partner_share*(in_life_term_renew^1*SUMIFS(AL842:AL885,B842:B885,B869-12)+in_life_term_renew^2*SUMIFS(AL842:AL885,B842:B885,B869-24)+in_life_term_renew^3*SUMIFS(AL842:AL885,B842:B885,B869-36)+in_life_term_renew^4*SUMIFS(AL842:AL885,B842:B885,B869-48))</f>
        <v/>
      </c>
      <c r="AN869" s="40">
        <f>AN868*(1-IF(B868&gt;=in_marketplace_from,d_hz_accident*G868,0))</f>
        <v/>
      </c>
      <c r="AO869" s="46">
        <f>AN869*IF(B869&gt;=in_marketplace_from,d_hz_accident*G869,0)</f>
        <v/>
      </c>
      <c r="AP869" s="14">
        <f>F869*AO869*in_accident_ticket*in_accident_comm*in_ins_partner_share+F869*in_accident_ticket*in_accident_renew_comm*in_ins_partner_share*(in_accident_renew^1*SUMIFS(AO842:AO885,B842:B885,B869-12)+in_accident_renew^2*SUMIFS(AO842:AO885,B842:B885,B869-24)+in_accident_renew^3*SUMIFS(AO842:AO885,B842:B885,B869-36)+in_accident_renew^4*SUMIFS(AO842:AO885,B842:B885,B869-48))</f>
        <v/>
      </c>
      <c r="AQ869" s="40">
        <f>AQ868*(1-IF(B868&gt;=in_marketplace_from,d_hz_two_wheeler*G868,0))</f>
        <v/>
      </c>
      <c r="AR869" s="46">
        <f>AQ869*IF(B869&gt;=in_marketplace_from,d_hz_two_wheeler*G869,0)</f>
        <v/>
      </c>
      <c r="AS869" s="14">
        <f>F869*AR869*in_two_wheeler_ticket*in_two_wheeler_comm*in_ins_partner_share+F869*in_two_wheeler_ticket*in_two_wheeler_comm*in_ins_partner_share*(in_two_wheeler_renew^1*SUMIFS(AR842:AR885,B842:B885,B869-12)+in_two_wheeler_renew^2*SUMIFS(AR842:AR885,B842:B885,B869-24)+in_two_wheeler_renew^3*SUMIFS(AR842:AR885,B842:B885,B869-36)+in_two_wheeler_renew^4*SUMIFS(AR842:AR885,B842:B885,B869-48))</f>
        <v/>
      </c>
      <c r="AT869" s="40">
        <f>AT868*(1-IF(B868&gt;=in_marketplace_from,d_hz_device*G868,0))</f>
        <v/>
      </c>
      <c r="AU869" s="14">
        <f>F869*AT869*IF(B869&gt;=in_marketplace_from,d_hz_device*G869,0)*in_device_ticket*in_device_comm*in_ins_partner_share</f>
        <v/>
      </c>
      <c r="AV869" s="40">
        <f>AV868*(1-IF(B868&gt;=in_marketplace_from,d_hz_shop*G868,0))</f>
        <v/>
      </c>
      <c r="AW869" s="46">
        <f>AV869*IF(B869&gt;=in_marketplace_from,d_hz_shop*G869,0)</f>
        <v/>
      </c>
      <c r="AX869" s="14">
        <f>F869*AW869*in_shop_ticket*in_shop_comm*in_ins_partner_share+F869*in_shop_ticket*in_shop_renew_comm*in_ins_partner_share*(in_shop_renew^1*SUMIFS(AW842:AW885,B842:B885,B869-12)+in_shop_renew^2*SUMIFS(AW842:AW885,B842:B885,B869-24)+in_shop_renew^3*SUMIFS(AW842:AW885,B842:B885,B869-36)+in_shop_renew^4*SUMIFS(AW842:AW885,B842:B885,B869-48))</f>
        <v/>
      </c>
      <c r="AY869" s="40">
        <f>AY868*(1-IF(B868&gt;=in_marketplace_from,d_hz_sip*G868,0))</f>
        <v/>
      </c>
      <c r="AZ869" s="40">
        <f>AZ868*d_rho_sip+AY869*IF(B869&gt;=in_marketplace_from,d_hz_sip*G869,0)</f>
        <v/>
      </c>
      <c r="BA869" s="40">
        <f>d_rho_sip*(BA868+AZ868)</f>
        <v/>
      </c>
      <c r="BB869" s="14">
        <f>F869*in_sip_ticket*(BA869+0.5*AZ869)*in_sip_comm/12</f>
        <v/>
      </c>
      <c r="BC869" s="40">
        <f>BC868*(1-IF(B868&gt;=in_marketplace_from,d_hz_choti*G868,0))</f>
        <v/>
      </c>
      <c r="BD869" s="46">
        <f>BC869*IF(B869&gt;=in_marketplace_from,d_hz_choti*G869,0)</f>
        <v/>
      </c>
      <c r="BE869" s="14">
        <f>F869*SUMIFS(BD842:BD885,B842:B885,B869-in_choti_months)*in_choti_renew*in_choti_ticket</f>
        <v/>
      </c>
      <c r="BF869" s="40">
        <f>BF868*(1-IF(B868&gt;=in_marketplace_from,d_hz_nps*G868,0))</f>
        <v/>
      </c>
      <c r="BG869" s="14">
        <f>F869*BF869*IF(B869&gt;=in_marketplace_from,d_hz_nps*G869,0)*in_nps_ticket*in_nps_comm</f>
        <v/>
      </c>
      <c r="BH869" s="40">
        <f>BH868*(1-IF(B868&gt;=in_marketplace_from,d_hz_gold*G868,0))</f>
        <v/>
      </c>
      <c r="BI869" s="40">
        <f>BI868*d_rho_gold+BH869*IF(B869&gt;=in_marketplace_from,d_hz_gold*G869,0)</f>
        <v/>
      </c>
      <c r="BJ869" s="14">
        <f>F869*BI869*in_gold_ticket*in_gold_comm</f>
        <v/>
      </c>
      <c r="BK869" s="40">
        <f>BK868*(1-IF(B868&gt;=in_marketplace_from,d_hz_fd*G868,0))</f>
        <v/>
      </c>
      <c r="BL869" s="14">
        <f>F869*BK869*IF(B869&gt;=in_marketplace_from,d_hz_fd*G869,0)*in_fd_ticket*in_fd_comm</f>
        <v/>
      </c>
      <c r="BM869" s="40">
        <f>BM868*(1-IF(B868&gt;=in_marketplace_from,d_hz_recharge*G868,0))</f>
        <v/>
      </c>
      <c r="BN869" s="40">
        <f>BN868*d_rho_recharge+BM869*IF(B869&gt;=in_marketplace_from,d_hz_recharge*G869,0)</f>
        <v/>
      </c>
      <c r="BO869" s="14">
        <f>F869*BN869*in_recharge_ticket*in_recharge_comm/12</f>
        <v/>
      </c>
      <c r="BP869" s="40">
        <f>BP868*(1-IF(B868&gt;=in_marketplace_from,d_hz_bills*G868,0))</f>
        <v/>
      </c>
      <c r="BQ869" s="40">
        <f>BQ868*d_rho_bills+BP869*IF(B869&gt;=in_marketplace_from,d_hz_bills*G869,0)</f>
        <v/>
      </c>
      <c r="BR869" s="14">
        <f>F869*BQ869*in_bills_ticket*in_bills_comm/12</f>
        <v/>
      </c>
      <c r="BS869" s="40">
        <f>BS868*(1-IF(B868&gt;=in_marketplace_from,d_hz_loan_gold*G868,0))</f>
        <v/>
      </c>
      <c r="BT869" s="14">
        <f>F869*BS869*IF(B869&gt;=in_marketplace_from,d_hz_loan_gold*G869,0)*in_loan_gold_ticket*in_loan_gold_comm</f>
        <v/>
      </c>
      <c r="BU869" s="40">
        <f>BU868*(1-IF(B868&gt;=in_marketplace_from,d_hz_loan_cd*G868,0))</f>
        <v/>
      </c>
      <c r="BV869" s="14">
        <f>F869*BU869*IF(B869&gt;=in_marketplace_from,d_hz_loan_cd*G869,0)*in_loan_cd_ticket*in_loan_cd_comm</f>
        <v/>
      </c>
      <c r="BW869" s="40">
        <f>BW868*(1-IF(B868&gt;=in_marketplace_from,d_hz_loan_vehicle*G868,0))</f>
        <v/>
      </c>
      <c r="BX869" s="14">
        <f>F869*BW869*IF(B869&gt;=in_marketplace_from,d_hz_loan_vehicle*G869,0)*in_loan_vehicle_ticket*in_loan_vehicle_comm</f>
        <v/>
      </c>
      <c r="BY869" s="40">
        <f>BY868*(1-IF(B868&gt;=in_marketplace_from,d_hz_loan_home*G868,0)*BZ868)</f>
        <v/>
      </c>
      <c r="BZ869" s="11">
        <f>MIN(in_approval_cap,in_loan_home_approval*INDEX('Age profile'!$O$2:$O$61,B869)*(1+in_approval_growth)^(D869-1))</f>
        <v/>
      </c>
      <c r="CA869" s="14">
        <f>F869*BY869*IF(B869&gt;=in_marketplace_from,d_hz_loan_home*G869,0)*BZ869*in_loan_home_ticket*in_loan_home_comm</f>
        <v/>
      </c>
      <c r="CB869" s="40">
        <f>CB868*(1-IF(B868&gt;=in_marketplace_from,d_hz_loan_lap*G868,0)*CC868)</f>
        <v/>
      </c>
      <c r="CC869" s="11">
        <f>MIN(in_approval_cap,in_loan_lap_approval*INDEX('Age profile'!$O$2:$O$61,B869)*(1+in_approval_growth)^(D869-1))</f>
        <v/>
      </c>
      <c r="CD869" s="14">
        <f>F869*CB869*IF(B869&gt;=in_marketplace_from,d_hz_loan_lap*G869,0)*CC869*in_loan_lap_ticket*in_loan_lap_comm</f>
        <v/>
      </c>
      <c r="CE869" s="14">
        <f>AA869+AB869+AC869+AD869+AG869+AJ869+AM869+AP869+AS869+AU869+AX869+BB869+BE869+BG869+BJ869+BL869+BO869+BR869+BT869+BV869+BX869+CA869+CD869</f>
        <v/>
      </c>
    </row>
    <row r="870">
      <c r="A870" s="39" t="n">
        <v>17</v>
      </c>
      <c r="B870" s="39" t="n">
        <v>29</v>
      </c>
      <c r="C870" s="39">
        <f>A870+B870-1</f>
        <v/>
      </c>
      <c r="D870" s="39">
        <f>INT((C870-1)/12)+1</f>
        <v/>
      </c>
      <c r="E870" s="44">
        <f>INDEX(Monthly!$B$2:$B$61,A870)</f>
        <v/>
      </c>
      <c r="F870" s="44">
        <f>E870*INDEX('Age profile'!$B$2:$B$61,B870)</f>
        <v/>
      </c>
      <c r="G870" s="45">
        <f>MIN(in_takeup_cap,INDEX('Age profile'!$N$2:$N$61,B870)*(1+in_takeup_growth)^(D870-1))</f>
        <v/>
      </c>
      <c r="H870" s="11">
        <f>MIN(in_approval_cap,in_approved_first*INDEX('Age profile'!$O$2:$O$61,B870)*(1+in_approval_growth)^(D870-1))</f>
        <v/>
      </c>
      <c r="I870" s="45">
        <f>G870*MIN(in_takeup_cap,INDEX('Age profile'!$O$2:$O$61,B870)*(1+in_approval_growth)^(D870-1))</f>
        <v/>
      </c>
      <c r="J870" s="40">
        <f>(J869-L869)*F870/F869</f>
        <v/>
      </c>
      <c r="K870" s="40">
        <f>(K869-M869)*F870/F869+SUMIFS(O842:O869,B842:B869,B870-1-d_T)*F870</f>
        <v/>
      </c>
      <c r="L870" s="40">
        <f>IF(B870&gt;=in_marketplace_from,J870*d_hz*G870*in_eligible*H870,0)</f>
        <v/>
      </c>
      <c r="M870" s="40">
        <f>IF(B870&gt;=in_marketplace_from,K870*d_hz*G870*in_eligible*in_approved_repeat,0)</f>
        <v/>
      </c>
      <c r="N870" s="40">
        <f>L870+M870</f>
        <v/>
      </c>
      <c r="O870" s="46">
        <f>N870/F870</f>
        <v/>
      </c>
      <c r="P870" s="40">
        <f>F870-J870-K870</f>
        <v/>
      </c>
      <c r="Q870" s="40">
        <f>IF(B870&gt;=in_marketplace_from,(J870+K870)*d_hz*G870,0)</f>
        <v/>
      </c>
      <c r="R870" s="40">
        <f>SUMIFS(N842:N885,B842:B885,"&gt;="&amp;(B870-d_T),B842:B885,"&lt;="&amp;(B870-1))</f>
        <v/>
      </c>
      <c r="S870" s="46">
        <f>(1-d_u)*S869+IF(d_T&gt;in_topup_lag,SUMIFS(O842:O885,B842:B885,B870-in_topup_lag)-d_udrop*SUMIFS(O842:O885,B842:B885,B870-d_T),0)</f>
        <v/>
      </c>
      <c r="T870" s="40">
        <f>F870*d_u*S870</f>
        <v/>
      </c>
      <c r="U870" s="9">
        <f>L870*in_ticket+M870*d_rep_ticket</f>
        <v/>
      </c>
      <c r="V870" s="9">
        <f>U870+T870*d_topup_amt</f>
        <v/>
      </c>
      <c r="W870" s="40">
        <f>N870+T870*d_topup_ratio</f>
        <v/>
      </c>
      <c r="X870" s="40">
        <f>SUMIFS(W842:W885,B842:B885,B870-in_dpd_lag)*d_cured</f>
        <v/>
      </c>
      <c r="Y870" s="40">
        <f>SUMIFS(W842:W885,B842:B885,B870-in_rec_lag)*d_recd</f>
        <v/>
      </c>
      <c r="Z870" s="40">
        <f>IF(AND(B870&gt;=in_marketplace_from,B870&lt;in_marketplace_from+in_card_months),in_card_share/in_card_months*F870*I870,IF(AND(B870&gt;=in_marketplace_from+in_card_months,B870&lt;in_marketplace_from+2*in_card_months),in_card_share*d_card_rem/in_card_months*F870*MIN(in_takeup_cap,(1+in_takeup_growth)^(D870-1))*MIN(in_takeup_cap,(1+in_approval_growth)^(D870-1)),0))</f>
        <v/>
      </c>
      <c r="AA870" s="14">
        <f>V870*in_fee*(1-in_taken_back)</f>
        <v/>
      </c>
      <c r="AB870" s="14">
        <f>SUMIFS(W842:W885,B842:B885,B870-in_dpd_lag)*d_dpd</f>
        <v/>
      </c>
      <c r="AC870" s="14">
        <f>SUMIFS(W842:W885,B842:B885,B870-in_rec_lag)*d_rec</f>
        <v/>
      </c>
      <c r="AD870" s="14">
        <f>Z870*in_card_fee</f>
        <v/>
      </c>
      <c r="AE870" s="40">
        <f>AE869*(1-IF(B869&gt;=in_marketplace_from,d_hz_hlth_small*G869,0))</f>
        <v/>
      </c>
      <c r="AF870" s="46">
        <f>AE870*IF(B870&gt;=in_marketplace_from,d_hz_hlth_small*G870,0)</f>
        <v/>
      </c>
      <c r="AG870" s="14">
        <f>F870*AF870*in_hlth_small_ticket*in_hlth_small_comm*in_ins_partner_share+F870*in_hlth_small_ticket*in_hlth_small_renew_comm*in_ins_partner_share*(in_hlth_small_renew^1*SUMIFS(AF842:AF885,B842:B885,B870-12)+in_hlth_small_renew^2*SUMIFS(AF842:AF885,B842:B885,B870-24)+in_hlth_small_renew^3*SUMIFS(AF842:AF885,B842:B885,B870-36)+in_hlth_small_renew^4*SUMIFS(AF842:AF885,B842:B885,B870-48))</f>
        <v/>
      </c>
      <c r="AH870" s="40">
        <f>AH869*(1-IF(B869&gt;=in_marketplace_from,d_hz_hlth_family*G869,0))</f>
        <v/>
      </c>
      <c r="AI870" s="46">
        <f>AH870*IF(B870&gt;=in_marketplace_from,d_hz_hlth_family*G870,0)</f>
        <v/>
      </c>
      <c r="AJ870" s="14">
        <f>F870*AI870*in_hlth_family_ticket*in_hlth_family_comm*in_ins_partner_share+F870*in_hlth_family_ticket*in_hlth_family_renew_comm*in_ins_partner_share*(in_hlth_family_renew^1*SUMIFS(AI842:AI885,B842:B885,B870-12)+in_hlth_family_renew^2*SUMIFS(AI842:AI885,B842:B885,B870-24)+in_hlth_family_renew^3*SUMIFS(AI842:AI885,B842:B885,B870-36)+in_hlth_family_renew^4*SUMIFS(AI842:AI885,B842:B885,B870-48))</f>
        <v/>
      </c>
      <c r="AK870" s="40">
        <f>AK869*(1-IF(B869&gt;=in_marketplace_from,d_hz_life_term*G869,0))</f>
        <v/>
      </c>
      <c r="AL870" s="46">
        <f>AK870*IF(B870&gt;=in_marketplace_from,d_hz_life_term*G870,0)</f>
        <v/>
      </c>
      <c r="AM870" s="14">
        <f>F870*AL870*in_life_term_ticket*in_life_term_comm*in_ins_partner_share+F870*in_life_term_ticket*in_life_term_renew_comm*in_ins_partner_share*(in_life_term_renew^1*SUMIFS(AL842:AL885,B842:B885,B870-12)+in_life_term_renew^2*SUMIFS(AL842:AL885,B842:B885,B870-24)+in_life_term_renew^3*SUMIFS(AL842:AL885,B842:B885,B870-36)+in_life_term_renew^4*SUMIFS(AL842:AL885,B842:B885,B870-48))</f>
        <v/>
      </c>
      <c r="AN870" s="40">
        <f>AN869*(1-IF(B869&gt;=in_marketplace_from,d_hz_accident*G869,0))</f>
        <v/>
      </c>
      <c r="AO870" s="46">
        <f>AN870*IF(B870&gt;=in_marketplace_from,d_hz_accident*G870,0)</f>
        <v/>
      </c>
      <c r="AP870" s="14">
        <f>F870*AO870*in_accident_ticket*in_accident_comm*in_ins_partner_share+F870*in_accident_ticket*in_accident_renew_comm*in_ins_partner_share*(in_accident_renew^1*SUMIFS(AO842:AO885,B842:B885,B870-12)+in_accident_renew^2*SUMIFS(AO842:AO885,B842:B885,B870-24)+in_accident_renew^3*SUMIFS(AO842:AO885,B842:B885,B870-36)+in_accident_renew^4*SUMIFS(AO842:AO885,B842:B885,B870-48))</f>
        <v/>
      </c>
      <c r="AQ870" s="40">
        <f>AQ869*(1-IF(B869&gt;=in_marketplace_from,d_hz_two_wheeler*G869,0))</f>
        <v/>
      </c>
      <c r="AR870" s="46">
        <f>AQ870*IF(B870&gt;=in_marketplace_from,d_hz_two_wheeler*G870,0)</f>
        <v/>
      </c>
      <c r="AS870" s="14">
        <f>F870*AR870*in_two_wheeler_ticket*in_two_wheeler_comm*in_ins_partner_share+F870*in_two_wheeler_ticket*in_two_wheeler_comm*in_ins_partner_share*(in_two_wheeler_renew^1*SUMIFS(AR842:AR885,B842:B885,B870-12)+in_two_wheeler_renew^2*SUMIFS(AR842:AR885,B842:B885,B870-24)+in_two_wheeler_renew^3*SUMIFS(AR842:AR885,B842:B885,B870-36)+in_two_wheeler_renew^4*SUMIFS(AR842:AR885,B842:B885,B870-48))</f>
        <v/>
      </c>
      <c r="AT870" s="40">
        <f>AT869*(1-IF(B869&gt;=in_marketplace_from,d_hz_device*G869,0))</f>
        <v/>
      </c>
      <c r="AU870" s="14">
        <f>F870*AT870*IF(B870&gt;=in_marketplace_from,d_hz_device*G870,0)*in_device_ticket*in_device_comm*in_ins_partner_share</f>
        <v/>
      </c>
      <c r="AV870" s="40">
        <f>AV869*(1-IF(B869&gt;=in_marketplace_from,d_hz_shop*G869,0))</f>
        <v/>
      </c>
      <c r="AW870" s="46">
        <f>AV870*IF(B870&gt;=in_marketplace_from,d_hz_shop*G870,0)</f>
        <v/>
      </c>
      <c r="AX870" s="14">
        <f>F870*AW870*in_shop_ticket*in_shop_comm*in_ins_partner_share+F870*in_shop_ticket*in_shop_renew_comm*in_ins_partner_share*(in_shop_renew^1*SUMIFS(AW842:AW885,B842:B885,B870-12)+in_shop_renew^2*SUMIFS(AW842:AW885,B842:B885,B870-24)+in_shop_renew^3*SUMIFS(AW842:AW885,B842:B885,B870-36)+in_shop_renew^4*SUMIFS(AW842:AW885,B842:B885,B870-48))</f>
        <v/>
      </c>
      <c r="AY870" s="40">
        <f>AY869*(1-IF(B869&gt;=in_marketplace_from,d_hz_sip*G869,0))</f>
        <v/>
      </c>
      <c r="AZ870" s="40">
        <f>AZ869*d_rho_sip+AY870*IF(B870&gt;=in_marketplace_from,d_hz_sip*G870,0)</f>
        <v/>
      </c>
      <c r="BA870" s="40">
        <f>d_rho_sip*(BA869+AZ869)</f>
        <v/>
      </c>
      <c r="BB870" s="14">
        <f>F870*in_sip_ticket*(BA870+0.5*AZ870)*in_sip_comm/12</f>
        <v/>
      </c>
      <c r="BC870" s="40">
        <f>BC869*(1-IF(B869&gt;=in_marketplace_from,d_hz_choti*G869,0))</f>
        <v/>
      </c>
      <c r="BD870" s="46">
        <f>BC870*IF(B870&gt;=in_marketplace_from,d_hz_choti*G870,0)</f>
        <v/>
      </c>
      <c r="BE870" s="14">
        <f>F870*SUMIFS(BD842:BD885,B842:B885,B870-in_choti_months)*in_choti_renew*in_choti_ticket</f>
        <v/>
      </c>
      <c r="BF870" s="40">
        <f>BF869*(1-IF(B869&gt;=in_marketplace_from,d_hz_nps*G869,0))</f>
        <v/>
      </c>
      <c r="BG870" s="14">
        <f>F870*BF870*IF(B870&gt;=in_marketplace_from,d_hz_nps*G870,0)*in_nps_ticket*in_nps_comm</f>
        <v/>
      </c>
      <c r="BH870" s="40">
        <f>BH869*(1-IF(B869&gt;=in_marketplace_from,d_hz_gold*G869,0))</f>
        <v/>
      </c>
      <c r="BI870" s="40">
        <f>BI869*d_rho_gold+BH870*IF(B870&gt;=in_marketplace_from,d_hz_gold*G870,0)</f>
        <v/>
      </c>
      <c r="BJ870" s="14">
        <f>F870*BI870*in_gold_ticket*in_gold_comm</f>
        <v/>
      </c>
      <c r="BK870" s="40">
        <f>BK869*(1-IF(B869&gt;=in_marketplace_from,d_hz_fd*G869,0))</f>
        <v/>
      </c>
      <c r="BL870" s="14">
        <f>F870*BK870*IF(B870&gt;=in_marketplace_from,d_hz_fd*G870,0)*in_fd_ticket*in_fd_comm</f>
        <v/>
      </c>
      <c r="BM870" s="40">
        <f>BM869*(1-IF(B869&gt;=in_marketplace_from,d_hz_recharge*G869,0))</f>
        <v/>
      </c>
      <c r="BN870" s="40">
        <f>BN869*d_rho_recharge+BM870*IF(B870&gt;=in_marketplace_from,d_hz_recharge*G870,0)</f>
        <v/>
      </c>
      <c r="BO870" s="14">
        <f>F870*BN870*in_recharge_ticket*in_recharge_comm/12</f>
        <v/>
      </c>
      <c r="BP870" s="40">
        <f>BP869*(1-IF(B869&gt;=in_marketplace_from,d_hz_bills*G869,0))</f>
        <v/>
      </c>
      <c r="BQ870" s="40">
        <f>BQ869*d_rho_bills+BP870*IF(B870&gt;=in_marketplace_from,d_hz_bills*G870,0)</f>
        <v/>
      </c>
      <c r="BR870" s="14">
        <f>F870*BQ870*in_bills_ticket*in_bills_comm/12</f>
        <v/>
      </c>
      <c r="BS870" s="40">
        <f>BS869*(1-IF(B869&gt;=in_marketplace_from,d_hz_loan_gold*G869,0))</f>
        <v/>
      </c>
      <c r="BT870" s="14">
        <f>F870*BS870*IF(B870&gt;=in_marketplace_from,d_hz_loan_gold*G870,0)*in_loan_gold_ticket*in_loan_gold_comm</f>
        <v/>
      </c>
      <c r="BU870" s="40">
        <f>BU869*(1-IF(B869&gt;=in_marketplace_from,d_hz_loan_cd*G869,0))</f>
        <v/>
      </c>
      <c r="BV870" s="14">
        <f>F870*BU870*IF(B870&gt;=in_marketplace_from,d_hz_loan_cd*G870,0)*in_loan_cd_ticket*in_loan_cd_comm</f>
        <v/>
      </c>
      <c r="BW870" s="40">
        <f>BW869*(1-IF(B869&gt;=in_marketplace_from,d_hz_loan_vehicle*G869,0))</f>
        <v/>
      </c>
      <c r="BX870" s="14">
        <f>F870*BW870*IF(B870&gt;=in_marketplace_from,d_hz_loan_vehicle*G870,0)*in_loan_vehicle_ticket*in_loan_vehicle_comm</f>
        <v/>
      </c>
      <c r="BY870" s="40">
        <f>BY869*(1-IF(B869&gt;=in_marketplace_from,d_hz_loan_home*G869,0)*BZ869)</f>
        <v/>
      </c>
      <c r="BZ870" s="11">
        <f>MIN(in_approval_cap,in_loan_home_approval*INDEX('Age profile'!$O$2:$O$61,B870)*(1+in_approval_growth)^(D870-1))</f>
        <v/>
      </c>
      <c r="CA870" s="14">
        <f>F870*BY870*IF(B870&gt;=in_marketplace_from,d_hz_loan_home*G870,0)*BZ870*in_loan_home_ticket*in_loan_home_comm</f>
        <v/>
      </c>
      <c r="CB870" s="40">
        <f>CB869*(1-IF(B869&gt;=in_marketplace_from,d_hz_loan_lap*G869,0)*CC869)</f>
        <v/>
      </c>
      <c r="CC870" s="11">
        <f>MIN(in_approval_cap,in_loan_lap_approval*INDEX('Age profile'!$O$2:$O$61,B870)*(1+in_approval_growth)^(D870-1))</f>
        <v/>
      </c>
      <c r="CD870" s="14">
        <f>F870*CB870*IF(B870&gt;=in_marketplace_from,d_hz_loan_lap*G870,0)*CC870*in_loan_lap_ticket*in_loan_lap_comm</f>
        <v/>
      </c>
      <c r="CE870" s="14">
        <f>AA870+AB870+AC870+AD870+AG870+AJ870+AM870+AP870+AS870+AU870+AX870+BB870+BE870+BG870+BJ870+BL870+BO870+BR870+BT870+BV870+BX870+CA870+CD870</f>
        <v/>
      </c>
    </row>
    <row r="871">
      <c r="A871" s="39" t="n">
        <v>17</v>
      </c>
      <c r="B871" s="39" t="n">
        <v>30</v>
      </c>
      <c r="C871" s="39">
        <f>A871+B871-1</f>
        <v/>
      </c>
      <c r="D871" s="39">
        <f>INT((C871-1)/12)+1</f>
        <v/>
      </c>
      <c r="E871" s="44">
        <f>INDEX(Monthly!$B$2:$B$61,A871)</f>
        <v/>
      </c>
      <c r="F871" s="44">
        <f>E871*INDEX('Age profile'!$B$2:$B$61,B871)</f>
        <v/>
      </c>
      <c r="G871" s="45">
        <f>MIN(in_takeup_cap,INDEX('Age profile'!$N$2:$N$61,B871)*(1+in_takeup_growth)^(D871-1))</f>
        <v/>
      </c>
      <c r="H871" s="11">
        <f>MIN(in_approval_cap,in_approved_first*INDEX('Age profile'!$O$2:$O$61,B871)*(1+in_approval_growth)^(D871-1))</f>
        <v/>
      </c>
      <c r="I871" s="45">
        <f>G871*MIN(in_takeup_cap,INDEX('Age profile'!$O$2:$O$61,B871)*(1+in_approval_growth)^(D871-1))</f>
        <v/>
      </c>
      <c r="J871" s="40">
        <f>(J870-L870)*F871/F870</f>
        <v/>
      </c>
      <c r="K871" s="40">
        <f>(K870-M870)*F871/F870+SUMIFS(O842:O870,B842:B870,B871-1-d_T)*F871</f>
        <v/>
      </c>
      <c r="L871" s="40">
        <f>IF(B871&gt;=in_marketplace_from,J871*d_hz*G871*in_eligible*H871,0)</f>
        <v/>
      </c>
      <c r="M871" s="40">
        <f>IF(B871&gt;=in_marketplace_from,K871*d_hz*G871*in_eligible*in_approved_repeat,0)</f>
        <v/>
      </c>
      <c r="N871" s="40">
        <f>L871+M871</f>
        <v/>
      </c>
      <c r="O871" s="46">
        <f>N871/F871</f>
        <v/>
      </c>
      <c r="P871" s="40">
        <f>F871-J871-K871</f>
        <v/>
      </c>
      <c r="Q871" s="40">
        <f>IF(B871&gt;=in_marketplace_from,(J871+K871)*d_hz*G871,0)</f>
        <v/>
      </c>
      <c r="R871" s="40">
        <f>SUMIFS(N842:N885,B842:B885,"&gt;="&amp;(B871-d_T),B842:B885,"&lt;="&amp;(B871-1))</f>
        <v/>
      </c>
      <c r="S871" s="46">
        <f>(1-d_u)*S870+IF(d_T&gt;in_topup_lag,SUMIFS(O842:O885,B842:B885,B871-in_topup_lag)-d_udrop*SUMIFS(O842:O885,B842:B885,B871-d_T),0)</f>
        <v/>
      </c>
      <c r="T871" s="40">
        <f>F871*d_u*S871</f>
        <v/>
      </c>
      <c r="U871" s="9">
        <f>L871*in_ticket+M871*d_rep_ticket</f>
        <v/>
      </c>
      <c r="V871" s="9">
        <f>U871+T871*d_topup_amt</f>
        <v/>
      </c>
      <c r="W871" s="40">
        <f>N871+T871*d_topup_ratio</f>
        <v/>
      </c>
      <c r="X871" s="40">
        <f>SUMIFS(W842:W885,B842:B885,B871-in_dpd_lag)*d_cured</f>
        <v/>
      </c>
      <c r="Y871" s="40">
        <f>SUMIFS(W842:W885,B842:B885,B871-in_rec_lag)*d_recd</f>
        <v/>
      </c>
      <c r="Z871" s="40">
        <f>IF(AND(B871&gt;=in_marketplace_from,B871&lt;in_marketplace_from+in_card_months),in_card_share/in_card_months*F871*I871,IF(AND(B871&gt;=in_marketplace_from+in_card_months,B871&lt;in_marketplace_from+2*in_card_months),in_card_share*d_card_rem/in_card_months*F871*MIN(in_takeup_cap,(1+in_takeup_growth)^(D871-1))*MIN(in_takeup_cap,(1+in_approval_growth)^(D871-1)),0))</f>
        <v/>
      </c>
      <c r="AA871" s="14">
        <f>V871*in_fee*(1-in_taken_back)</f>
        <v/>
      </c>
      <c r="AB871" s="14">
        <f>SUMIFS(W842:W885,B842:B885,B871-in_dpd_lag)*d_dpd</f>
        <v/>
      </c>
      <c r="AC871" s="14">
        <f>SUMIFS(W842:W885,B842:B885,B871-in_rec_lag)*d_rec</f>
        <v/>
      </c>
      <c r="AD871" s="14">
        <f>Z871*in_card_fee</f>
        <v/>
      </c>
      <c r="AE871" s="40">
        <f>AE870*(1-IF(B870&gt;=in_marketplace_from,d_hz_hlth_small*G870,0))</f>
        <v/>
      </c>
      <c r="AF871" s="46">
        <f>AE871*IF(B871&gt;=in_marketplace_from,d_hz_hlth_small*G871,0)</f>
        <v/>
      </c>
      <c r="AG871" s="14">
        <f>F871*AF871*in_hlth_small_ticket*in_hlth_small_comm*in_ins_partner_share+F871*in_hlth_small_ticket*in_hlth_small_renew_comm*in_ins_partner_share*(in_hlth_small_renew^1*SUMIFS(AF842:AF885,B842:B885,B871-12)+in_hlth_small_renew^2*SUMIFS(AF842:AF885,B842:B885,B871-24)+in_hlth_small_renew^3*SUMIFS(AF842:AF885,B842:B885,B871-36)+in_hlth_small_renew^4*SUMIFS(AF842:AF885,B842:B885,B871-48))</f>
        <v/>
      </c>
      <c r="AH871" s="40">
        <f>AH870*(1-IF(B870&gt;=in_marketplace_from,d_hz_hlth_family*G870,0))</f>
        <v/>
      </c>
      <c r="AI871" s="46">
        <f>AH871*IF(B871&gt;=in_marketplace_from,d_hz_hlth_family*G871,0)</f>
        <v/>
      </c>
      <c r="AJ871" s="14">
        <f>F871*AI871*in_hlth_family_ticket*in_hlth_family_comm*in_ins_partner_share+F871*in_hlth_family_ticket*in_hlth_family_renew_comm*in_ins_partner_share*(in_hlth_family_renew^1*SUMIFS(AI842:AI885,B842:B885,B871-12)+in_hlth_family_renew^2*SUMIFS(AI842:AI885,B842:B885,B871-24)+in_hlth_family_renew^3*SUMIFS(AI842:AI885,B842:B885,B871-36)+in_hlth_family_renew^4*SUMIFS(AI842:AI885,B842:B885,B871-48))</f>
        <v/>
      </c>
      <c r="AK871" s="40">
        <f>AK870*(1-IF(B870&gt;=in_marketplace_from,d_hz_life_term*G870,0))</f>
        <v/>
      </c>
      <c r="AL871" s="46">
        <f>AK871*IF(B871&gt;=in_marketplace_from,d_hz_life_term*G871,0)</f>
        <v/>
      </c>
      <c r="AM871" s="14">
        <f>F871*AL871*in_life_term_ticket*in_life_term_comm*in_ins_partner_share+F871*in_life_term_ticket*in_life_term_renew_comm*in_ins_partner_share*(in_life_term_renew^1*SUMIFS(AL842:AL885,B842:B885,B871-12)+in_life_term_renew^2*SUMIFS(AL842:AL885,B842:B885,B871-24)+in_life_term_renew^3*SUMIFS(AL842:AL885,B842:B885,B871-36)+in_life_term_renew^4*SUMIFS(AL842:AL885,B842:B885,B871-48))</f>
        <v/>
      </c>
      <c r="AN871" s="40">
        <f>AN870*(1-IF(B870&gt;=in_marketplace_from,d_hz_accident*G870,0))</f>
        <v/>
      </c>
      <c r="AO871" s="46">
        <f>AN871*IF(B871&gt;=in_marketplace_from,d_hz_accident*G871,0)</f>
        <v/>
      </c>
      <c r="AP871" s="14">
        <f>F871*AO871*in_accident_ticket*in_accident_comm*in_ins_partner_share+F871*in_accident_ticket*in_accident_renew_comm*in_ins_partner_share*(in_accident_renew^1*SUMIFS(AO842:AO885,B842:B885,B871-12)+in_accident_renew^2*SUMIFS(AO842:AO885,B842:B885,B871-24)+in_accident_renew^3*SUMIFS(AO842:AO885,B842:B885,B871-36)+in_accident_renew^4*SUMIFS(AO842:AO885,B842:B885,B871-48))</f>
        <v/>
      </c>
      <c r="AQ871" s="40">
        <f>AQ870*(1-IF(B870&gt;=in_marketplace_from,d_hz_two_wheeler*G870,0))</f>
        <v/>
      </c>
      <c r="AR871" s="46">
        <f>AQ871*IF(B871&gt;=in_marketplace_from,d_hz_two_wheeler*G871,0)</f>
        <v/>
      </c>
      <c r="AS871" s="14">
        <f>F871*AR871*in_two_wheeler_ticket*in_two_wheeler_comm*in_ins_partner_share+F871*in_two_wheeler_ticket*in_two_wheeler_comm*in_ins_partner_share*(in_two_wheeler_renew^1*SUMIFS(AR842:AR885,B842:B885,B871-12)+in_two_wheeler_renew^2*SUMIFS(AR842:AR885,B842:B885,B871-24)+in_two_wheeler_renew^3*SUMIFS(AR842:AR885,B842:B885,B871-36)+in_two_wheeler_renew^4*SUMIFS(AR842:AR885,B842:B885,B871-48))</f>
        <v/>
      </c>
      <c r="AT871" s="40">
        <f>AT870*(1-IF(B870&gt;=in_marketplace_from,d_hz_device*G870,0))</f>
        <v/>
      </c>
      <c r="AU871" s="14">
        <f>F871*AT871*IF(B871&gt;=in_marketplace_from,d_hz_device*G871,0)*in_device_ticket*in_device_comm*in_ins_partner_share</f>
        <v/>
      </c>
      <c r="AV871" s="40">
        <f>AV870*(1-IF(B870&gt;=in_marketplace_from,d_hz_shop*G870,0))</f>
        <v/>
      </c>
      <c r="AW871" s="46">
        <f>AV871*IF(B871&gt;=in_marketplace_from,d_hz_shop*G871,0)</f>
        <v/>
      </c>
      <c r="AX871" s="14">
        <f>F871*AW871*in_shop_ticket*in_shop_comm*in_ins_partner_share+F871*in_shop_ticket*in_shop_renew_comm*in_ins_partner_share*(in_shop_renew^1*SUMIFS(AW842:AW885,B842:B885,B871-12)+in_shop_renew^2*SUMIFS(AW842:AW885,B842:B885,B871-24)+in_shop_renew^3*SUMIFS(AW842:AW885,B842:B885,B871-36)+in_shop_renew^4*SUMIFS(AW842:AW885,B842:B885,B871-48))</f>
        <v/>
      </c>
      <c r="AY871" s="40">
        <f>AY870*(1-IF(B870&gt;=in_marketplace_from,d_hz_sip*G870,0))</f>
        <v/>
      </c>
      <c r="AZ871" s="40">
        <f>AZ870*d_rho_sip+AY871*IF(B871&gt;=in_marketplace_from,d_hz_sip*G871,0)</f>
        <v/>
      </c>
      <c r="BA871" s="40">
        <f>d_rho_sip*(BA870+AZ870)</f>
        <v/>
      </c>
      <c r="BB871" s="14">
        <f>F871*in_sip_ticket*(BA871+0.5*AZ871)*in_sip_comm/12</f>
        <v/>
      </c>
      <c r="BC871" s="40">
        <f>BC870*(1-IF(B870&gt;=in_marketplace_from,d_hz_choti*G870,0))</f>
        <v/>
      </c>
      <c r="BD871" s="46">
        <f>BC871*IF(B871&gt;=in_marketplace_from,d_hz_choti*G871,0)</f>
        <v/>
      </c>
      <c r="BE871" s="14">
        <f>F871*SUMIFS(BD842:BD885,B842:B885,B871-in_choti_months)*in_choti_renew*in_choti_ticket</f>
        <v/>
      </c>
      <c r="BF871" s="40">
        <f>BF870*(1-IF(B870&gt;=in_marketplace_from,d_hz_nps*G870,0))</f>
        <v/>
      </c>
      <c r="BG871" s="14">
        <f>F871*BF871*IF(B871&gt;=in_marketplace_from,d_hz_nps*G871,0)*in_nps_ticket*in_nps_comm</f>
        <v/>
      </c>
      <c r="BH871" s="40">
        <f>BH870*(1-IF(B870&gt;=in_marketplace_from,d_hz_gold*G870,0))</f>
        <v/>
      </c>
      <c r="BI871" s="40">
        <f>BI870*d_rho_gold+BH871*IF(B871&gt;=in_marketplace_from,d_hz_gold*G871,0)</f>
        <v/>
      </c>
      <c r="BJ871" s="14">
        <f>F871*BI871*in_gold_ticket*in_gold_comm</f>
        <v/>
      </c>
      <c r="BK871" s="40">
        <f>BK870*(1-IF(B870&gt;=in_marketplace_from,d_hz_fd*G870,0))</f>
        <v/>
      </c>
      <c r="BL871" s="14">
        <f>F871*BK871*IF(B871&gt;=in_marketplace_from,d_hz_fd*G871,0)*in_fd_ticket*in_fd_comm</f>
        <v/>
      </c>
      <c r="BM871" s="40">
        <f>BM870*(1-IF(B870&gt;=in_marketplace_from,d_hz_recharge*G870,0))</f>
        <v/>
      </c>
      <c r="BN871" s="40">
        <f>BN870*d_rho_recharge+BM871*IF(B871&gt;=in_marketplace_from,d_hz_recharge*G871,0)</f>
        <v/>
      </c>
      <c r="BO871" s="14">
        <f>F871*BN871*in_recharge_ticket*in_recharge_comm/12</f>
        <v/>
      </c>
      <c r="BP871" s="40">
        <f>BP870*(1-IF(B870&gt;=in_marketplace_from,d_hz_bills*G870,0))</f>
        <v/>
      </c>
      <c r="BQ871" s="40">
        <f>BQ870*d_rho_bills+BP871*IF(B871&gt;=in_marketplace_from,d_hz_bills*G871,0)</f>
        <v/>
      </c>
      <c r="BR871" s="14">
        <f>F871*BQ871*in_bills_ticket*in_bills_comm/12</f>
        <v/>
      </c>
      <c r="BS871" s="40">
        <f>BS870*(1-IF(B870&gt;=in_marketplace_from,d_hz_loan_gold*G870,0))</f>
        <v/>
      </c>
      <c r="BT871" s="14">
        <f>F871*BS871*IF(B871&gt;=in_marketplace_from,d_hz_loan_gold*G871,0)*in_loan_gold_ticket*in_loan_gold_comm</f>
        <v/>
      </c>
      <c r="BU871" s="40">
        <f>BU870*(1-IF(B870&gt;=in_marketplace_from,d_hz_loan_cd*G870,0))</f>
        <v/>
      </c>
      <c r="BV871" s="14">
        <f>F871*BU871*IF(B871&gt;=in_marketplace_from,d_hz_loan_cd*G871,0)*in_loan_cd_ticket*in_loan_cd_comm</f>
        <v/>
      </c>
      <c r="BW871" s="40">
        <f>BW870*(1-IF(B870&gt;=in_marketplace_from,d_hz_loan_vehicle*G870,0))</f>
        <v/>
      </c>
      <c r="BX871" s="14">
        <f>F871*BW871*IF(B871&gt;=in_marketplace_from,d_hz_loan_vehicle*G871,0)*in_loan_vehicle_ticket*in_loan_vehicle_comm</f>
        <v/>
      </c>
      <c r="BY871" s="40">
        <f>BY870*(1-IF(B870&gt;=in_marketplace_from,d_hz_loan_home*G870,0)*BZ870)</f>
        <v/>
      </c>
      <c r="BZ871" s="11">
        <f>MIN(in_approval_cap,in_loan_home_approval*INDEX('Age profile'!$O$2:$O$61,B871)*(1+in_approval_growth)^(D871-1))</f>
        <v/>
      </c>
      <c r="CA871" s="14">
        <f>F871*BY871*IF(B871&gt;=in_marketplace_from,d_hz_loan_home*G871,0)*BZ871*in_loan_home_ticket*in_loan_home_comm</f>
        <v/>
      </c>
      <c r="CB871" s="40">
        <f>CB870*(1-IF(B870&gt;=in_marketplace_from,d_hz_loan_lap*G870,0)*CC870)</f>
        <v/>
      </c>
      <c r="CC871" s="11">
        <f>MIN(in_approval_cap,in_loan_lap_approval*INDEX('Age profile'!$O$2:$O$61,B871)*(1+in_approval_growth)^(D871-1))</f>
        <v/>
      </c>
      <c r="CD871" s="14">
        <f>F871*CB871*IF(B871&gt;=in_marketplace_from,d_hz_loan_lap*G871,0)*CC871*in_loan_lap_ticket*in_loan_lap_comm</f>
        <v/>
      </c>
      <c r="CE871" s="14">
        <f>AA871+AB871+AC871+AD871+AG871+AJ871+AM871+AP871+AS871+AU871+AX871+BB871+BE871+BG871+BJ871+BL871+BO871+BR871+BT871+BV871+BX871+CA871+CD871</f>
        <v/>
      </c>
    </row>
    <row r="872">
      <c r="A872" s="39" t="n">
        <v>17</v>
      </c>
      <c r="B872" s="39" t="n">
        <v>31</v>
      </c>
      <c r="C872" s="39">
        <f>A872+B872-1</f>
        <v/>
      </c>
      <c r="D872" s="39">
        <f>INT((C872-1)/12)+1</f>
        <v/>
      </c>
      <c r="E872" s="44">
        <f>INDEX(Monthly!$B$2:$B$61,A872)</f>
        <v/>
      </c>
      <c r="F872" s="44">
        <f>E872*INDEX('Age profile'!$B$2:$B$61,B872)</f>
        <v/>
      </c>
      <c r="G872" s="45">
        <f>MIN(in_takeup_cap,INDEX('Age profile'!$N$2:$N$61,B872)*(1+in_takeup_growth)^(D872-1))</f>
        <v/>
      </c>
      <c r="H872" s="11">
        <f>MIN(in_approval_cap,in_approved_first*INDEX('Age profile'!$O$2:$O$61,B872)*(1+in_approval_growth)^(D872-1))</f>
        <v/>
      </c>
      <c r="I872" s="45">
        <f>G872*MIN(in_takeup_cap,INDEX('Age profile'!$O$2:$O$61,B872)*(1+in_approval_growth)^(D872-1))</f>
        <v/>
      </c>
      <c r="J872" s="40">
        <f>(J871-L871)*F872/F871</f>
        <v/>
      </c>
      <c r="K872" s="40">
        <f>(K871-M871)*F872/F871+SUMIFS(O842:O871,B842:B871,B872-1-d_T)*F872</f>
        <v/>
      </c>
      <c r="L872" s="40">
        <f>IF(B872&gt;=in_marketplace_from,J872*d_hz*G872*in_eligible*H872,0)</f>
        <v/>
      </c>
      <c r="M872" s="40">
        <f>IF(B872&gt;=in_marketplace_from,K872*d_hz*G872*in_eligible*in_approved_repeat,0)</f>
        <v/>
      </c>
      <c r="N872" s="40">
        <f>L872+M872</f>
        <v/>
      </c>
      <c r="O872" s="46">
        <f>N872/F872</f>
        <v/>
      </c>
      <c r="P872" s="40">
        <f>F872-J872-K872</f>
        <v/>
      </c>
      <c r="Q872" s="40">
        <f>IF(B872&gt;=in_marketplace_from,(J872+K872)*d_hz*G872,0)</f>
        <v/>
      </c>
      <c r="R872" s="40">
        <f>SUMIFS(N842:N885,B842:B885,"&gt;="&amp;(B872-d_T),B842:B885,"&lt;="&amp;(B872-1))</f>
        <v/>
      </c>
      <c r="S872" s="46">
        <f>(1-d_u)*S871+IF(d_T&gt;in_topup_lag,SUMIFS(O842:O885,B842:B885,B872-in_topup_lag)-d_udrop*SUMIFS(O842:O885,B842:B885,B872-d_T),0)</f>
        <v/>
      </c>
      <c r="T872" s="40">
        <f>F872*d_u*S872</f>
        <v/>
      </c>
      <c r="U872" s="9">
        <f>L872*in_ticket+M872*d_rep_ticket</f>
        <v/>
      </c>
      <c r="V872" s="9">
        <f>U872+T872*d_topup_amt</f>
        <v/>
      </c>
      <c r="W872" s="40">
        <f>N872+T872*d_topup_ratio</f>
        <v/>
      </c>
      <c r="X872" s="40">
        <f>SUMIFS(W842:W885,B842:B885,B872-in_dpd_lag)*d_cured</f>
        <v/>
      </c>
      <c r="Y872" s="40">
        <f>SUMIFS(W842:W885,B842:B885,B872-in_rec_lag)*d_recd</f>
        <v/>
      </c>
      <c r="Z872" s="40">
        <f>IF(AND(B872&gt;=in_marketplace_from,B872&lt;in_marketplace_from+in_card_months),in_card_share/in_card_months*F872*I872,IF(AND(B872&gt;=in_marketplace_from+in_card_months,B872&lt;in_marketplace_from+2*in_card_months),in_card_share*d_card_rem/in_card_months*F872*MIN(in_takeup_cap,(1+in_takeup_growth)^(D872-1))*MIN(in_takeup_cap,(1+in_approval_growth)^(D872-1)),0))</f>
        <v/>
      </c>
      <c r="AA872" s="14">
        <f>V872*in_fee*(1-in_taken_back)</f>
        <v/>
      </c>
      <c r="AB872" s="14">
        <f>SUMIFS(W842:W885,B842:B885,B872-in_dpd_lag)*d_dpd</f>
        <v/>
      </c>
      <c r="AC872" s="14">
        <f>SUMIFS(W842:W885,B842:B885,B872-in_rec_lag)*d_rec</f>
        <v/>
      </c>
      <c r="AD872" s="14">
        <f>Z872*in_card_fee</f>
        <v/>
      </c>
      <c r="AE872" s="40">
        <f>AE871*(1-IF(B871&gt;=in_marketplace_from,d_hz_hlth_small*G871,0))</f>
        <v/>
      </c>
      <c r="AF872" s="46">
        <f>AE872*IF(B872&gt;=in_marketplace_from,d_hz_hlth_small*G872,0)</f>
        <v/>
      </c>
      <c r="AG872" s="14">
        <f>F872*AF872*in_hlth_small_ticket*in_hlth_small_comm*in_ins_partner_share+F872*in_hlth_small_ticket*in_hlth_small_renew_comm*in_ins_partner_share*(in_hlth_small_renew^1*SUMIFS(AF842:AF885,B842:B885,B872-12)+in_hlth_small_renew^2*SUMIFS(AF842:AF885,B842:B885,B872-24)+in_hlth_small_renew^3*SUMIFS(AF842:AF885,B842:B885,B872-36)+in_hlth_small_renew^4*SUMIFS(AF842:AF885,B842:B885,B872-48))</f>
        <v/>
      </c>
      <c r="AH872" s="40">
        <f>AH871*(1-IF(B871&gt;=in_marketplace_from,d_hz_hlth_family*G871,0))</f>
        <v/>
      </c>
      <c r="AI872" s="46">
        <f>AH872*IF(B872&gt;=in_marketplace_from,d_hz_hlth_family*G872,0)</f>
        <v/>
      </c>
      <c r="AJ872" s="14">
        <f>F872*AI872*in_hlth_family_ticket*in_hlth_family_comm*in_ins_partner_share+F872*in_hlth_family_ticket*in_hlth_family_renew_comm*in_ins_partner_share*(in_hlth_family_renew^1*SUMIFS(AI842:AI885,B842:B885,B872-12)+in_hlth_family_renew^2*SUMIFS(AI842:AI885,B842:B885,B872-24)+in_hlth_family_renew^3*SUMIFS(AI842:AI885,B842:B885,B872-36)+in_hlth_family_renew^4*SUMIFS(AI842:AI885,B842:B885,B872-48))</f>
        <v/>
      </c>
      <c r="AK872" s="40">
        <f>AK871*(1-IF(B871&gt;=in_marketplace_from,d_hz_life_term*G871,0))</f>
        <v/>
      </c>
      <c r="AL872" s="46">
        <f>AK872*IF(B872&gt;=in_marketplace_from,d_hz_life_term*G872,0)</f>
        <v/>
      </c>
      <c r="AM872" s="14">
        <f>F872*AL872*in_life_term_ticket*in_life_term_comm*in_ins_partner_share+F872*in_life_term_ticket*in_life_term_renew_comm*in_ins_partner_share*(in_life_term_renew^1*SUMIFS(AL842:AL885,B842:B885,B872-12)+in_life_term_renew^2*SUMIFS(AL842:AL885,B842:B885,B872-24)+in_life_term_renew^3*SUMIFS(AL842:AL885,B842:B885,B872-36)+in_life_term_renew^4*SUMIFS(AL842:AL885,B842:B885,B872-48))</f>
        <v/>
      </c>
      <c r="AN872" s="40">
        <f>AN871*(1-IF(B871&gt;=in_marketplace_from,d_hz_accident*G871,0))</f>
        <v/>
      </c>
      <c r="AO872" s="46">
        <f>AN872*IF(B872&gt;=in_marketplace_from,d_hz_accident*G872,0)</f>
        <v/>
      </c>
      <c r="AP872" s="14">
        <f>F872*AO872*in_accident_ticket*in_accident_comm*in_ins_partner_share+F872*in_accident_ticket*in_accident_renew_comm*in_ins_partner_share*(in_accident_renew^1*SUMIFS(AO842:AO885,B842:B885,B872-12)+in_accident_renew^2*SUMIFS(AO842:AO885,B842:B885,B872-24)+in_accident_renew^3*SUMIFS(AO842:AO885,B842:B885,B872-36)+in_accident_renew^4*SUMIFS(AO842:AO885,B842:B885,B872-48))</f>
        <v/>
      </c>
      <c r="AQ872" s="40">
        <f>AQ871*(1-IF(B871&gt;=in_marketplace_from,d_hz_two_wheeler*G871,0))</f>
        <v/>
      </c>
      <c r="AR872" s="46">
        <f>AQ872*IF(B872&gt;=in_marketplace_from,d_hz_two_wheeler*G872,0)</f>
        <v/>
      </c>
      <c r="AS872" s="14">
        <f>F872*AR872*in_two_wheeler_ticket*in_two_wheeler_comm*in_ins_partner_share+F872*in_two_wheeler_ticket*in_two_wheeler_comm*in_ins_partner_share*(in_two_wheeler_renew^1*SUMIFS(AR842:AR885,B842:B885,B872-12)+in_two_wheeler_renew^2*SUMIFS(AR842:AR885,B842:B885,B872-24)+in_two_wheeler_renew^3*SUMIFS(AR842:AR885,B842:B885,B872-36)+in_two_wheeler_renew^4*SUMIFS(AR842:AR885,B842:B885,B872-48))</f>
        <v/>
      </c>
      <c r="AT872" s="40">
        <f>AT871*(1-IF(B871&gt;=in_marketplace_from,d_hz_device*G871,0))</f>
        <v/>
      </c>
      <c r="AU872" s="14">
        <f>F872*AT872*IF(B872&gt;=in_marketplace_from,d_hz_device*G872,0)*in_device_ticket*in_device_comm*in_ins_partner_share</f>
        <v/>
      </c>
      <c r="AV872" s="40">
        <f>AV871*(1-IF(B871&gt;=in_marketplace_from,d_hz_shop*G871,0))</f>
        <v/>
      </c>
      <c r="AW872" s="46">
        <f>AV872*IF(B872&gt;=in_marketplace_from,d_hz_shop*G872,0)</f>
        <v/>
      </c>
      <c r="AX872" s="14">
        <f>F872*AW872*in_shop_ticket*in_shop_comm*in_ins_partner_share+F872*in_shop_ticket*in_shop_renew_comm*in_ins_partner_share*(in_shop_renew^1*SUMIFS(AW842:AW885,B842:B885,B872-12)+in_shop_renew^2*SUMIFS(AW842:AW885,B842:B885,B872-24)+in_shop_renew^3*SUMIFS(AW842:AW885,B842:B885,B872-36)+in_shop_renew^4*SUMIFS(AW842:AW885,B842:B885,B872-48))</f>
        <v/>
      </c>
      <c r="AY872" s="40">
        <f>AY871*(1-IF(B871&gt;=in_marketplace_from,d_hz_sip*G871,0))</f>
        <v/>
      </c>
      <c r="AZ872" s="40">
        <f>AZ871*d_rho_sip+AY872*IF(B872&gt;=in_marketplace_from,d_hz_sip*G872,0)</f>
        <v/>
      </c>
      <c r="BA872" s="40">
        <f>d_rho_sip*(BA871+AZ871)</f>
        <v/>
      </c>
      <c r="BB872" s="14">
        <f>F872*in_sip_ticket*(BA872+0.5*AZ872)*in_sip_comm/12</f>
        <v/>
      </c>
      <c r="BC872" s="40">
        <f>BC871*(1-IF(B871&gt;=in_marketplace_from,d_hz_choti*G871,0))</f>
        <v/>
      </c>
      <c r="BD872" s="46">
        <f>BC872*IF(B872&gt;=in_marketplace_from,d_hz_choti*G872,0)</f>
        <v/>
      </c>
      <c r="BE872" s="14">
        <f>F872*SUMIFS(BD842:BD885,B842:B885,B872-in_choti_months)*in_choti_renew*in_choti_ticket</f>
        <v/>
      </c>
      <c r="BF872" s="40">
        <f>BF871*(1-IF(B871&gt;=in_marketplace_from,d_hz_nps*G871,0))</f>
        <v/>
      </c>
      <c r="BG872" s="14">
        <f>F872*BF872*IF(B872&gt;=in_marketplace_from,d_hz_nps*G872,0)*in_nps_ticket*in_nps_comm</f>
        <v/>
      </c>
      <c r="BH872" s="40">
        <f>BH871*(1-IF(B871&gt;=in_marketplace_from,d_hz_gold*G871,0))</f>
        <v/>
      </c>
      <c r="BI872" s="40">
        <f>BI871*d_rho_gold+BH872*IF(B872&gt;=in_marketplace_from,d_hz_gold*G872,0)</f>
        <v/>
      </c>
      <c r="BJ872" s="14">
        <f>F872*BI872*in_gold_ticket*in_gold_comm</f>
        <v/>
      </c>
      <c r="BK872" s="40">
        <f>BK871*(1-IF(B871&gt;=in_marketplace_from,d_hz_fd*G871,0))</f>
        <v/>
      </c>
      <c r="BL872" s="14">
        <f>F872*BK872*IF(B872&gt;=in_marketplace_from,d_hz_fd*G872,0)*in_fd_ticket*in_fd_comm</f>
        <v/>
      </c>
      <c r="BM872" s="40">
        <f>BM871*(1-IF(B871&gt;=in_marketplace_from,d_hz_recharge*G871,0))</f>
        <v/>
      </c>
      <c r="BN872" s="40">
        <f>BN871*d_rho_recharge+BM872*IF(B872&gt;=in_marketplace_from,d_hz_recharge*G872,0)</f>
        <v/>
      </c>
      <c r="BO872" s="14">
        <f>F872*BN872*in_recharge_ticket*in_recharge_comm/12</f>
        <v/>
      </c>
      <c r="BP872" s="40">
        <f>BP871*(1-IF(B871&gt;=in_marketplace_from,d_hz_bills*G871,0))</f>
        <v/>
      </c>
      <c r="BQ872" s="40">
        <f>BQ871*d_rho_bills+BP872*IF(B872&gt;=in_marketplace_from,d_hz_bills*G872,0)</f>
        <v/>
      </c>
      <c r="BR872" s="14">
        <f>F872*BQ872*in_bills_ticket*in_bills_comm/12</f>
        <v/>
      </c>
      <c r="BS872" s="40">
        <f>BS871*(1-IF(B871&gt;=in_marketplace_from,d_hz_loan_gold*G871,0))</f>
        <v/>
      </c>
      <c r="BT872" s="14">
        <f>F872*BS872*IF(B872&gt;=in_marketplace_from,d_hz_loan_gold*G872,0)*in_loan_gold_ticket*in_loan_gold_comm</f>
        <v/>
      </c>
      <c r="BU872" s="40">
        <f>BU871*(1-IF(B871&gt;=in_marketplace_from,d_hz_loan_cd*G871,0))</f>
        <v/>
      </c>
      <c r="BV872" s="14">
        <f>F872*BU872*IF(B872&gt;=in_marketplace_from,d_hz_loan_cd*G872,0)*in_loan_cd_ticket*in_loan_cd_comm</f>
        <v/>
      </c>
      <c r="BW872" s="40">
        <f>BW871*(1-IF(B871&gt;=in_marketplace_from,d_hz_loan_vehicle*G871,0))</f>
        <v/>
      </c>
      <c r="BX872" s="14">
        <f>F872*BW872*IF(B872&gt;=in_marketplace_from,d_hz_loan_vehicle*G872,0)*in_loan_vehicle_ticket*in_loan_vehicle_comm</f>
        <v/>
      </c>
      <c r="BY872" s="40">
        <f>BY871*(1-IF(B871&gt;=in_marketplace_from,d_hz_loan_home*G871,0)*BZ871)</f>
        <v/>
      </c>
      <c r="BZ872" s="11">
        <f>MIN(in_approval_cap,in_loan_home_approval*INDEX('Age profile'!$O$2:$O$61,B872)*(1+in_approval_growth)^(D872-1))</f>
        <v/>
      </c>
      <c r="CA872" s="14">
        <f>F872*BY872*IF(B872&gt;=in_marketplace_from,d_hz_loan_home*G872,0)*BZ872*in_loan_home_ticket*in_loan_home_comm</f>
        <v/>
      </c>
      <c r="CB872" s="40">
        <f>CB871*(1-IF(B871&gt;=in_marketplace_from,d_hz_loan_lap*G871,0)*CC871)</f>
        <v/>
      </c>
      <c r="CC872" s="11">
        <f>MIN(in_approval_cap,in_loan_lap_approval*INDEX('Age profile'!$O$2:$O$61,B872)*(1+in_approval_growth)^(D872-1))</f>
        <v/>
      </c>
      <c r="CD872" s="14">
        <f>F872*CB872*IF(B872&gt;=in_marketplace_from,d_hz_loan_lap*G872,0)*CC872*in_loan_lap_ticket*in_loan_lap_comm</f>
        <v/>
      </c>
      <c r="CE872" s="14">
        <f>AA872+AB872+AC872+AD872+AG872+AJ872+AM872+AP872+AS872+AU872+AX872+BB872+BE872+BG872+BJ872+BL872+BO872+BR872+BT872+BV872+BX872+CA872+CD872</f>
        <v/>
      </c>
    </row>
    <row r="873">
      <c r="A873" s="39" t="n">
        <v>17</v>
      </c>
      <c r="B873" s="39" t="n">
        <v>32</v>
      </c>
      <c r="C873" s="39">
        <f>A873+B873-1</f>
        <v/>
      </c>
      <c r="D873" s="39">
        <f>INT((C873-1)/12)+1</f>
        <v/>
      </c>
      <c r="E873" s="44">
        <f>INDEX(Monthly!$B$2:$B$61,A873)</f>
        <v/>
      </c>
      <c r="F873" s="44">
        <f>E873*INDEX('Age profile'!$B$2:$B$61,B873)</f>
        <v/>
      </c>
      <c r="G873" s="45">
        <f>MIN(in_takeup_cap,INDEX('Age profile'!$N$2:$N$61,B873)*(1+in_takeup_growth)^(D873-1))</f>
        <v/>
      </c>
      <c r="H873" s="11">
        <f>MIN(in_approval_cap,in_approved_first*INDEX('Age profile'!$O$2:$O$61,B873)*(1+in_approval_growth)^(D873-1))</f>
        <v/>
      </c>
      <c r="I873" s="45">
        <f>G873*MIN(in_takeup_cap,INDEX('Age profile'!$O$2:$O$61,B873)*(1+in_approval_growth)^(D873-1))</f>
        <v/>
      </c>
      <c r="J873" s="40">
        <f>(J872-L872)*F873/F872</f>
        <v/>
      </c>
      <c r="K873" s="40">
        <f>(K872-M872)*F873/F872+SUMIFS(O842:O872,B842:B872,B873-1-d_T)*F873</f>
        <v/>
      </c>
      <c r="L873" s="40">
        <f>IF(B873&gt;=in_marketplace_from,J873*d_hz*G873*in_eligible*H873,0)</f>
        <v/>
      </c>
      <c r="M873" s="40">
        <f>IF(B873&gt;=in_marketplace_from,K873*d_hz*G873*in_eligible*in_approved_repeat,0)</f>
        <v/>
      </c>
      <c r="N873" s="40">
        <f>L873+M873</f>
        <v/>
      </c>
      <c r="O873" s="46">
        <f>N873/F873</f>
        <v/>
      </c>
      <c r="P873" s="40">
        <f>F873-J873-K873</f>
        <v/>
      </c>
      <c r="Q873" s="40">
        <f>IF(B873&gt;=in_marketplace_from,(J873+K873)*d_hz*G873,0)</f>
        <v/>
      </c>
      <c r="R873" s="40">
        <f>SUMIFS(N842:N885,B842:B885,"&gt;="&amp;(B873-d_T),B842:B885,"&lt;="&amp;(B873-1))</f>
        <v/>
      </c>
      <c r="S873" s="46">
        <f>(1-d_u)*S872+IF(d_T&gt;in_topup_lag,SUMIFS(O842:O885,B842:B885,B873-in_topup_lag)-d_udrop*SUMIFS(O842:O885,B842:B885,B873-d_T),0)</f>
        <v/>
      </c>
      <c r="T873" s="40">
        <f>F873*d_u*S873</f>
        <v/>
      </c>
      <c r="U873" s="9">
        <f>L873*in_ticket+M873*d_rep_ticket</f>
        <v/>
      </c>
      <c r="V873" s="9">
        <f>U873+T873*d_topup_amt</f>
        <v/>
      </c>
      <c r="W873" s="40">
        <f>N873+T873*d_topup_ratio</f>
        <v/>
      </c>
      <c r="X873" s="40">
        <f>SUMIFS(W842:W885,B842:B885,B873-in_dpd_lag)*d_cured</f>
        <v/>
      </c>
      <c r="Y873" s="40">
        <f>SUMIFS(W842:W885,B842:B885,B873-in_rec_lag)*d_recd</f>
        <v/>
      </c>
      <c r="Z873" s="40">
        <f>IF(AND(B873&gt;=in_marketplace_from,B873&lt;in_marketplace_from+in_card_months),in_card_share/in_card_months*F873*I873,IF(AND(B873&gt;=in_marketplace_from+in_card_months,B873&lt;in_marketplace_from+2*in_card_months),in_card_share*d_card_rem/in_card_months*F873*MIN(in_takeup_cap,(1+in_takeup_growth)^(D873-1))*MIN(in_takeup_cap,(1+in_approval_growth)^(D873-1)),0))</f>
        <v/>
      </c>
      <c r="AA873" s="14">
        <f>V873*in_fee*(1-in_taken_back)</f>
        <v/>
      </c>
      <c r="AB873" s="14">
        <f>SUMIFS(W842:W885,B842:B885,B873-in_dpd_lag)*d_dpd</f>
        <v/>
      </c>
      <c r="AC873" s="14">
        <f>SUMIFS(W842:W885,B842:B885,B873-in_rec_lag)*d_rec</f>
        <v/>
      </c>
      <c r="AD873" s="14">
        <f>Z873*in_card_fee</f>
        <v/>
      </c>
      <c r="AE873" s="40">
        <f>AE872*(1-IF(B872&gt;=in_marketplace_from,d_hz_hlth_small*G872,0))</f>
        <v/>
      </c>
      <c r="AF873" s="46">
        <f>AE873*IF(B873&gt;=in_marketplace_from,d_hz_hlth_small*G873,0)</f>
        <v/>
      </c>
      <c r="AG873" s="14">
        <f>F873*AF873*in_hlth_small_ticket*in_hlth_small_comm*in_ins_partner_share+F873*in_hlth_small_ticket*in_hlth_small_renew_comm*in_ins_partner_share*(in_hlth_small_renew^1*SUMIFS(AF842:AF885,B842:B885,B873-12)+in_hlth_small_renew^2*SUMIFS(AF842:AF885,B842:B885,B873-24)+in_hlth_small_renew^3*SUMIFS(AF842:AF885,B842:B885,B873-36)+in_hlth_small_renew^4*SUMIFS(AF842:AF885,B842:B885,B873-48))</f>
        <v/>
      </c>
      <c r="AH873" s="40">
        <f>AH872*(1-IF(B872&gt;=in_marketplace_from,d_hz_hlth_family*G872,0))</f>
        <v/>
      </c>
      <c r="AI873" s="46">
        <f>AH873*IF(B873&gt;=in_marketplace_from,d_hz_hlth_family*G873,0)</f>
        <v/>
      </c>
      <c r="AJ873" s="14">
        <f>F873*AI873*in_hlth_family_ticket*in_hlth_family_comm*in_ins_partner_share+F873*in_hlth_family_ticket*in_hlth_family_renew_comm*in_ins_partner_share*(in_hlth_family_renew^1*SUMIFS(AI842:AI885,B842:B885,B873-12)+in_hlth_family_renew^2*SUMIFS(AI842:AI885,B842:B885,B873-24)+in_hlth_family_renew^3*SUMIFS(AI842:AI885,B842:B885,B873-36)+in_hlth_family_renew^4*SUMIFS(AI842:AI885,B842:B885,B873-48))</f>
        <v/>
      </c>
      <c r="AK873" s="40">
        <f>AK872*(1-IF(B872&gt;=in_marketplace_from,d_hz_life_term*G872,0))</f>
        <v/>
      </c>
      <c r="AL873" s="46">
        <f>AK873*IF(B873&gt;=in_marketplace_from,d_hz_life_term*G873,0)</f>
        <v/>
      </c>
      <c r="AM873" s="14">
        <f>F873*AL873*in_life_term_ticket*in_life_term_comm*in_ins_partner_share+F873*in_life_term_ticket*in_life_term_renew_comm*in_ins_partner_share*(in_life_term_renew^1*SUMIFS(AL842:AL885,B842:B885,B873-12)+in_life_term_renew^2*SUMIFS(AL842:AL885,B842:B885,B873-24)+in_life_term_renew^3*SUMIFS(AL842:AL885,B842:B885,B873-36)+in_life_term_renew^4*SUMIFS(AL842:AL885,B842:B885,B873-48))</f>
        <v/>
      </c>
      <c r="AN873" s="40">
        <f>AN872*(1-IF(B872&gt;=in_marketplace_from,d_hz_accident*G872,0))</f>
        <v/>
      </c>
      <c r="AO873" s="46">
        <f>AN873*IF(B873&gt;=in_marketplace_from,d_hz_accident*G873,0)</f>
        <v/>
      </c>
      <c r="AP873" s="14">
        <f>F873*AO873*in_accident_ticket*in_accident_comm*in_ins_partner_share+F873*in_accident_ticket*in_accident_renew_comm*in_ins_partner_share*(in_accident_renew^1*SUMIFS(AO842:AO885,B842:B885,B873-12)+in_accident_renew^2*SUMIFS(AO842:AO885,B842:B885,B873-24)+in_accident_renew^3*SUMIFS(AO842:AO885,B842:B885,B873-36)+in_accident_renew^4*SUMIFS(AO842:AO885,B842:B885,B873-48))</f>
        <v/>
      </c>
      <c r="AQ873" s="40">
        <f>AQ872*(1-IF(B872&gt;=in_marketplace_from,d_hz_two_wheeler*G872,0))</f>
        <v/>
      </c>
      <c r="AR873" s="46">
        <f>AQ873*IF(B873&gt;=in_marketplace_from,d_hz_two_wheeler*G873,0)</f>
        <v/>
      </c>
      <c r="AS873" s="14">
        <f>F873*AR873*in_two_wheeler_ticket*in_two_wheeler_comm*in_ins_partner_share+F873*in_two_wheeler_ticket*in_two_wheeler_comm*in_ins_partner_share*(in_two_wheeler_renew^1*SUMIFS(AR842:AR885,B842:B885,B873-12)+in_two_wheeler_renew^2*SUMIFS(AR842:AR885,B842:B885,B873-24)+in_two_wheeler_renew^3*SUMIFS(AR842:AR885,B842:B885,B873-36)+in_two_wheeler_renew^4*SUMIFS(AR842:AR885,B842:B885,B873-48))</f>
        <v/>
      </c>
      <c r="AT873" s="40">
        <f>AT872*(1-IF(B872&gt;=in_marketplace_from,d_hz_device*G872,0))</f>
        <v/>
      </c>
      <c r="AU873" s="14">
        <f>F873*AT873*IF(B873&gt;=in_marketplace_from,d_hz_device*G873,0)*in_device_ticket*in_device_comm*in_ins_partner_share</f>
        <v/>
      </c>
      <c r="AV873" s="40">
        <f>AV872*(1-IF(B872&gt;=in_marketplace_from,d_hz_shop*G872,0))</f>
        <v/>
      </c>
      <c r="AW873" s="46">
        <f>AV873*IF(B873&gt;=in_marketplace_from,d_hz_shop*G873,0)</f>
        <v/>
      </c>
      <c r="AX873" s="14">
        <f>F873*AW873*in_shop_ticket*in_shop_comm*in_ins_partner_share+F873*in_shop_ticket*in_shop_renew_comm*in_ins_partner_share*(in_shop_renew^1*SUMIFS(AW842:AW885,B842:B885,B873-12)+in_shop_renew^2*SUMIFS(AW842:AW885,B842:B885,B873-24)+in_shop_renew^3*SUMIFS(AW842:AW885,B842:B885,B873-36)+in_shop_renew^4*SUMIFS(AW842:AW885,B842:B885,B873-48))</f>
        <v/>
      </c>
      <c r="AY873" s="40">
        <f>AY872*(1-IF(B872&gt;=in_marketplace_from,d_hz_sip*G872,0))</f>
        <v/>
      </c>
      <c r="AZ873" s="40">
        <f>AZ872*d_rho_sip+AY873*IF(B873&gt;=in_marketplace_from,d_hz_sip*G873,0)</f>
        <v/>
      </c>
      <c r="BA873" s="40">
        <f>d_rho_sip*(BA872+AZ872)</f>
        <v/>
      </c>
      <c r="BB873" s="14">
        <f>F873*in_sip_ticket*(BA873+0.5*AZ873)*in_sip_comm/12</f>
        <v/>
      </c>
      <c r="BC873" s="40">
        <f>BC872*(1-IF(B872&gt;=in_marketplace_from,d_hz_choti*G872,0))</f>
        <v/>
      </c>
      <c r="BD873" s="46">
        <f>BC873*IF(B873&gt;=in_marketplace_from,d_hz_choti*G873,0)</f>
        <v/>
      </c>
      <c r="BE873" s="14">
        <f>F873*SUMIFS(BD842:BD885,B842:B885,B873-in_choti_months)*in_choti_renew*in_choti_ticket</f>
        <v/>
      </c>
      <c r="BF873" s="40">
        <f>BF872*(1-IF(B872&gt;=in_marketplace_from,d_hz_nps*G872,0))</f>
        <v/>
      </c>
      <c r="BG873" s="14">
        <f>F873*BF873*IF(B873&gt;=in_marketplace_from,d_hz_nps*G873,0)*in_nps_ticket*in_nps_comm</f>
        <v/>
      </c>
      <c r="BH873" s="40">
        <f>BH872*(1-IF(B872&gt;=in_marketplace_from,d_hz_gold*G872,0))</f>
        <v/>
      </c>
      <c r="BI873" s="40">
        <f>BI872*d_rho_gold+BH873*IF(B873&gt;=in_marketplace_from,d_hz_gold*G873,0)</f>
        <v/>
      </c>
      <c r="BJ873" s="14">
        <f>F873*BI873*in_gold_ticket*in_gold_comm</f>
        <v/>
      </c>
      <c r="BK873" s="40">
        <f>BK872*(1-IF(B872&gt;=in_marketplace_from,d_hz_fd*G872,0))</f>
        <v/>
      </c>
      <c r="BL873" s="14">
        <f>F873*BK873*IF(B873&gt;=in_marketplace_from,d_hz_fd*G873,0)*in_fd_ticket*in_fd_comm</f>
        <v/>
      </c>
      <c r="BM873" s="40">
        <f>BM872*(1-IF(B872&gt;=in_marketplace_from,d_hz_recharge*G872,0))</f>
        <v/>
      </c>
      <c r="BN873" s="40">
        <f>BN872*d_rho_recharge+BM873*IF(B873&gt;=in_marketplace_from,d_hz_recharge*G873,0)</f>
        <v/>
      </c>
      <c r="BO873" s="14">
        <f>F873*BN873*in_recharge_ticket*in_recharge_comm/12</f>
        <v/>
      </c>
      <c r="BP873" s="40">
        <f>BP872*(1-IF(B872&gt;=in_marketplace_from,d_hz_bills*G872,0))</f>
        <v/>
      </c>
      <c r="BQ873" s="40">
        <f>BQ872*d_rho_bills+BP873*IF(B873&gt;=in_marketplace_from,d_hz_bills*G873,0)</f>
        <v/>
      </c>
      <c r="BR873" s="14">
        <f>F873*BQ873*in_bills_ticket*in_bills_comm/12</f>
        <v/>
      </c>
      <c r="BS873" s="40">
        <f>BS872*(1-IF(B872&gt;=in_marketplace_from,d_hz_loan_gold*G872,0))</f>
        <v/>
      </c>
      <c r="BT873" s="14">
        <f>F873*BS873*IF(B873&gt;=in_marketplace_from,d_hz_loan_gold*G873,0)*in_loan_gold_ticket*in_loan_gold_comm</f>
        <v/>
      </c>
      <c r="BU873" s="40">
        <f>BU872*(1-IF(B872&gt;=in_marketplace_from,d_hz_loan_cd*G872,0))</f>
        <v/>
      </c>
      <c r="BV873" s="14">
        <f>F873*BU873*IF(B873&gt;=in_marketplace_from,d_hz_loan_cd*G873,0)*in_loan_cd_ticket*in_loan_cd_comm</f>
        <v/>
      </c>
      <c r="BW873" s="40">
        <f>BW872*(1-IF(B872&gt;=in_marketplace_from,d_hz_loan_vehicle*G872,0))</f>
        <v/>
      </c>
      <c r="BX873" s="14">
        <f>F873*BW873*IF(B873&gt;=in_marketplace_from,d_hz_loan_vehicle*G873,0)*in_loan_vehicle_ticket*in_loan_vehicle_comm</f>
        <v/>
      </c>
      <c r="BY873" s="40">
        <f>BY872*(1-IF(B872&gt;=in_marketplace_from,d_hz_loan_home*G872,0)*BZ872)</f>
        <v/>
      </c>
      <c r="BZ873" s="11">
        <f>MIN(in_approval_cap,in_loan_home_approval*INDEX('Age profile'!$O$2:$O$61,B873)*(1+in_approval_growth)^(D873-1))</f>
        <v/>
      </c>
      <c r="CA873" s="14">
        <f>F873*BY873*IF(B873&gt;=in_marketplace_from,d_hz_loan_home*G873,0)*BZ873*in_loan_home_ticket*in_loan_home_comm</f>
        <v/>
      </c>
      <c r="CB873" s="40">
        <f>CB872*(1-IF(B872&gt;=in_marketplace_from,d_hz_loan_lap*G872,0)*CC872)</f>
        <v/>
      </c>
      <c r="CC873" s="11">
        <f>MIN(in_approval_cap,in_loan_lap_approval*INDEX('Age profile'!$O$2:$O$61,B873)*(1+in_approval_growth)^(D873-1))</f>
        <v/>
      </c>
      <c r="CD873" s="14">
        <f>F873*CB873*IF(B873&gt;=in_marketplace_from,d_hz_loan_lap*G873,0)*CC873*in_loan_lap_ticket*in_loan_lap_comm</f>
        <v/>
      </c>
      <c r="CE873" s="14">
        <f>AA873+AB873+AC873+AD873+AG873+AJ873+AM873+AP873+AS873+AU873+AX873+BB873+BE873+BG873+BJ873+BL873+BO873+BR873+BT873+BV873+BX873+CA873+CD873</f>
        <v/>
      </c>
    </row>
    <row r="874">
      <c r="A874" s="39" t="n">
        <v>17</v>
      </c>
      <c r="B874" s="39" t="n">
        <v>33</v>
      </c>
      <c r="C874" s="39">
        <f>A874+B874-1</f>
        <v/>
      </c>
      <c r="D874" s="39">
        <f>INT((C874-1)/12)+1</f>
        <v/>
      </c>
      <c r="E874" s="44">
        <f>INDEX(Monthly!$B$2:$B$61,A874)</f>
        <v/>
      </c>
      <c r="F874" s="44">
        <f>E874*INDEX('Age profile'!$B$2:$B$61,B874)</f>
        <v/>
      </c>
      <c r="G874" s="45">
        <f>MIN(in_takeup_cap,INDEX('Age profile'!$N$2:$N$61,B874)*(1+in_takeup_growth)^(D874-1))</f>
        <v/>
      </c>
      <c r="H874" s="11">
        <f>MIN(in_approval_cap,in_approved_first*INDEX('Age profile'!$O$2:$O$61,B874)*(1+in_approval_growth)^(D874-1))</f>
        <v/>
      </c>
      <c r="I874" s="45">
        <f>G874*MIN(in_takeup_cap,INDEX('Age profile'!$O$2:$O$61,B874)*(1+in_approval_growth)^(D874-1))</f>
        <v/>
      </c>
      <c r="J874" s="40">
        <f>(J873-L873)*F874/F873</f>
        <v/>
      </c>
      <c r="K874" s="40">
        <f>(K873-M873)*F874/F873+SUMIFS(O842:O873,B842:B873,B874-1-d_T)*F874</f>
        <v/>
      </c>
      <c r="L874" s="40">
        <f>IF(B874&gt;=in_marketplace_from,J874*d_hz*G874*in_eligible*H874,0)</f>
        <v/>
      </c>
      <c r="M874" s="40">
        <f>IF(B874&gt;=in_marketplace_from,K874*d_hz*G874*in_eligible*in_approved_repeat,0)</f>
        <v/>
      </c>
      <c r="N874" s="40">
        <f>L874+M874</f>
        <v/>
      </c>
      <c r="O874" s="46">
        <f>N874/F874</f>
        <v/>
      </c>
      <c r="P874" s="40">
        <f>F874-J874-K874</f>
        <v/>
      </c>
      <c r="Q874" s="40">
        <f>IF(B874&gt;=in_marketplace_from,(J874+K874)*d_hz*G874,0)</f>
        <v/>
      </c>
      <c r="R874" s="40">
        <f>SUMIFS(N842:N885,B842:B885,"&gt;="&amp;(B874-d_T),B842:B885,"&lt;="&amp;(B874-1))</f>
        <v/>
      </c>
      <c r="S874" s="46">
        <f>(1-d_u)*S873+IF(d_T&gt;in_topup_lag,SUMIFS(O842:O885,B842:B885,B874-in_topup_lag)-d_udrop*SUMIFS(O842:O885,B842:B885,B874-d_T),0)</f>
        <v/>
      </c>
      <c r="T874" s="40">
        <f>F874*d_u*S874</f>
        <v/>
      </c>
      <c r="U874" s="9">
        <f>L874*in_ticket+M874*d_rep_ticket</f>
        <v/>
      </c>
      <c r="V874" s="9">
        <f>U874+T874*d_topup_amt</f>
        <v/>
      </c>
      <c r="W874" s="40">
        <f>N874+T874*d_topup_ratio</f>
        <v/>
      </c>
      <c r="X874" s="40">
        <f>SUMIFS(W842:W885,B842:B885,B874-in_dpd_lag)*d_cured</f>
        <v/>
      </c>
      <c r="Y874" s="40">
        <f>SUMIFS(W842:W885,B842:B885,B874-in_rec_lag)*d_recd</f>
        <v/>
      </c>
      <c r="Z874" s="40">
        <f>IF(AND(B874&gt;=in_marketplace_from,B874&lt;in_marketplace_from+in_card_months),in_card_share/in_card_months*F874*I874,IF(AND(B874&gt;=in_marketplace_from+in_card_months,B874&lt;in_marketplace_from+2*in_card_months),in_card_share*d_card_rem/in_card_months*F874*MIN(in_takeup_cap,(1+in_takeup_growth)^(D874-1))*MIN(in_takeup_cap,(1+in_approval_growth)^(D874-1)),0))</f>
        <v/>
      </c>
      <c r="AA874" s="14">
        <f>V874*in_fee*(1-in_taken_back)</f>
        <v/>
      </c>
      <c r="AB874" s="14">
        <f>SUMIFS(W842:W885,B842:B885,B874-in_dpd_lag)*d_dpd</f>
        <v/>
      </c>
      <c r="AC874" s="14">
        <f>SUMIFS(W842:W885,B842:B885,B874-in_rec_lag)*d_rec</f>
        <v/>
      </c>
      <c r="AD874" s="14">
        <f>Z874*in_card_fee</f>
        <v/>
      </c>
      <c r="AE874" s="40">
        <f>AE873*(1-IF(B873&gt;=in_marketplace_from,d_hz_hlth_small*G873,0))</f>
        <v/>
      </c>
      <c r="AF874" s="46">
        <f>AE874*IF(B874&gt;=in_marketplace_from,d_hz_hlth_small*G874,0)</f>
        <v/>
      </c>
      <c r="AG874" s="14">
        <f>F874*AF874*in_hlth_small_ticket*in_hlth_small_comm*in_ins_partner_share+F874*in_hlth_small_ticket*in_hlth_small_renew_comm*in_ins_partner_share*(in_hlth_small_renew^1*SUMIFS(AF842:AF885,B842:B885,B874-12)+in_hlth_small_renew^2*SUMIFS(AF842:AF885,B842:B885,B874-24)+in_hlth_small_renew^3*SUMIFS(AF842:AF885,B842:B885,B874-36)+in_hlth_small_renew^4*SUMIFS(AF842:AF885,B842:B885,B874-48))</f>
        <v/>
      </c>
      <c r="AH874" s="40">
        <f>AH873*(1-IF(B873&gt;=in_marketplace_from,d_hz_hlth_family*G873,0))</f>
        <v/>
      </c>
      <c r="AI874" s="46">
        <f>AH874*IF(B874&gt;=in_marketplace_from,d_hz_hlth_family*G874,0)</f>
        <v/>
      </c>
      <c r="AJ874" s="14">
        <f>F874*AI874*in_hlth_family_ticket*in_hlth_family_comm*in_ins_partner_share+F874*in_hlth_family_ticket*in_hlth_family_renew_comm*in_ins_partner_share*(in_hlth_family_renew^1*SUMIFS(AI842:AI885,B842:B885,B874-12)+in_hlth_family_renew^2*SUMIFS(AI842:AI885,B842:B885,B874-24)+in_hlth_family_renew^3*SUMIFS(AI842:AI885,B842:B885,B874-36)+in_hlth_family_renew^4*SUMIFS(AI842:AI885,B842:B885,B874-48))</f>
        <v/>
      </c>
      <c r="AK874" s="40">
        <f>AK873*(1-IF(B873&gt;=in_marketplace_from,d_hz_life_term*G873,0))</f>
        <v/>
      </c>
      <c r="AL874" s="46">
        <f>AK874*IF(B874&gt;=in_marketplace_from,d_hz_life_term*G874,0)</f>
        <v/>
      </c>
      <c r="AM874" s="14">
        <f>F874*AL874*in_life_term_ticket*in_life_term_comm*in_ins_partner_share+F874*in_life_term_ticket*in_life_term_renew_comm*in_ins_partner_share*(in_life_term_renew^1*SUMIFS(AL842:AL885,B842:B885,B874-12)+in_life_term_renew^2*SUMIFS(AL842:AL885,B842:B885,B874-24)+in_life_term_renew^3*SUMIFS(AL842:AL885,B842:B885,B874-36)+in_life_term_renew^4*SUMIFS(AL842:AL885,B842:B885,B874-48))</f>
        <v/>
      </c>
      <c r="AN874" s="40">
        <f>AN873*(1-IF(B873&gt;=in_marketplace_from,d_hz_accident*G873,0))</f>
        <v/>
      </c>
      <c r="AO874" s="46">
        <f>AN874*IF(B874&gt;=in_marketplace_from,d_hz_accident*G874,0)</f>
        <v/>
      </c>
      <c r="AP874" s="14">
        <f>F874*AO874*in_accident_ticket*in_accident_comm*in_ins_partner_share+F874*in_accident_ticket*in_accident_renew_comm*in_ins_partner_share*(in_accident_renew^1*SUMIFS(AO842:AO885,B842:B885,B874-12)+in_accident_renew^2*SUMIFS(AO842:AO885,B842:B885,B874-24)+in_accident_renew^3*SUMIFS(AO842:AO885,B842:B885,B874-36)+in_accident_renew^4*SUMIFS(AO842:AO885,B842:B885,B874-48))</f>
        <v/>
      </c>
      <c r="AQ874" s="40">
        <f>AQ873*(1-IF(B873&gt;=in_marketplace_from,d_hz_two_wheeler*G873,0))</f>
        <v/>
      </c>
      <c r="AR874" s="46">
        <f>AQ874*IF(B874&gt;=in_marketplace_from,d_hz_two_wheeler*G874,0)</f>
        <v/>
      </c>
      <c r="AS874" s="14">
        <f>F874*AR874*in_two_wheeler_ticket*in_two_wheeler_comm*in_ins_partner_share+F874*in_two_wheeler_ticket*in_two_wheeler_comm*in_ins_partner_share*(in_two_wheeler_renew^1*SUMIFS(AR842:AR885,B842:B885,B874-12)+in_two_wheeler_renew^2*SUMIFS(AR842:AR885,B842:B885,B874-24)+in_two_wheeler_renew^3*SUMIFS(AR842:AR885,B842:B885,B874-36)+in_two_wheeler_renew^4*SUMIFS(AR842:AR885,B842:B885,B874-48))</f>
        <v/>
      </c>
      <c r="AT874" s="40">
        <f>AT873*(1-IF(B873&gt;=in_marketplace_from,d_hz_device*G873,0))</f>
        <v/>
      </c>
      <c r="AU874" s="14">
        <f>F874*AT874*IF(B874&gt;=in_marketplace_from,d_hz_device*G874,0)*in_device_ticket*in_device_comm*in_ins_partner_share</f>
        <v/>
      </c>
      <c r="AV874" s="40">
        <f>AV873*(1-IF(B873&gt;=in_marketplace_from,d_hz_shop*G873,0))</f>
        <v/>
      </c>
      <c r="AW874" s="46">
        <f>AV874*IF(B874&gt;=in_marketplace_from,d_hz_shop*G874,0)</f>
        <v/>
      </c>
      <c r="AX874" s="14">
        <f>F874*AW874*in_shop_ticket*in_shop_comm*in_ins_partner_share+F874*in_shop_ticket*in_shop_renew_comm*in_ins_partner_share*(in_shop_renew^1*SUMIFS(AW842:AW885,B842:B885,B874-12)+in_shop_renew^2*SUMIFS(AW842:AW885,B842:B885,B874-24)+in_shop_renew^3*SUMIFS(AW842:AW885,B842:B885,B874-36)+in_shop_renew^4*SUMIFS(AW842:AW885,B842:B885,B874-48))</f>
        <v/>
      </c>
      <c r="AY874" s="40">
        <f>AY873*(1-IF(B873&gt;=in_marketplace_from,d_hz_sip*G873,0))</f>
        <v/>
      </c>
      <c r="AZ874" s="40">
        <f>AZ873*d_rho_sip+AY874*IF(B874&gt;=in_marketplace_from,d_hz_sip*G874,0)</f>
        <v/>
      </c>
      <c r="BA874" s="40">
        <f>d_rho_sip*(BA873+AZ873)</f>
        <v/>
      </c>
      <c r="BB874" s="14">
        <f>F874*in_sip_ticket*(BA874+0.5*AZ874)*in_sip_comm/12</f>
        <v/>
      </c>
      <c r="BC874" s="40">
        <f>BC873*(1-IF(B873&gt;=in_marketplace_from,d_hz_choti*G873,0))</f>
        <v/>
      </c>
      <c r="BD874" s="46">
        <f>BC874*IF(B874&gt;=in_marketplace_from,d_hz_choti*G874,0)</f>
        <v/>
      </c>
      <c r="BE874" s="14">
        <f>F874*SUMIFS(BD842:BD885,B842:B885,B874-in_choti_months)*in_choti_renew*in_choti_ticket</f>
        <v/>
      </c>
      <c r="BF874" s="40">
        <f>BF873*(1-IF(B873&gt;=in_marketplace_from,d_hz_nps*G873,0))</f>
        <v/>
      </c>
      <c r="BG874" s="14">
        <f>F874*BF874*IF(B874&gt;=in_marketplace_from,d_hz_nps*G874,0)*in_nps_ticket*in_nps_comm</f>
        <v/>
      </c>
      <c r="BH874" s="40">
        <f>BH873*(1-IF(B873&gt;=in_marketplace_from,d_hz_gold*G873,0))</f>
        <v/>
      </c>
      <c r="BI874" s="40">
        <f>BI873*d_rho_gold+BH874*IF(B874&gt;=in_marketplace_from,d_hz_gold*G874,0)</f>
        <v/>
      </c>
      <c r="BJ874" s="14">
        <f>F874*BI874*in_gold_ticket*in_gold_comm</f>
        <v/>
      </c>
      <c r="BK874" s="40">
        <f>BK873*(1-IF(B873&gt;=in_marketplace_from,d_hz_fd*G873,0))</f>
        <v/>
      </c>
      <c r="BL874" s="14">
        <f>F874*BK874*IF(B874&gt;=in_marketplace_from,d_hz_fd*G874,0)*in_fd_ticket*in_fd_comm</f>
        <v/>
      </c>
      <c r="BM874" s="40">
        <f>BM873*(1-IF(B873&gt;=in_marketplace_from,d_hz_recharge*G873,0))</f>
        <v/>
      </c>
      <c r="BN874" s="40">
        <f>BN873*d_rho_recharge+BM874*IF(B874&gt;=in_marketplace_from,d_hz_recharge*G874,0)</f>
        <v/>
      </c>
      <c r="BO874" s="14">
        <f>F874*BN874*in_recharge_ticket*in_recharge_comm/12</f>
        <v/>
      </c>
      <c r="BP874" s="40">
        <f>BP873*(1-IF(B873&gt;=in_marketplace_from,d_hz_bills*G873,0))</f>
        <v/>
      </c>
      <c r="BQ874" s="40">
        <f>BQ873*d_rho_bills+BP874*IF(B874&gt;=in_marketplace_from,d_hz_bills*G874,0)</f>
        <v/>
      </c>
      <c r="BR874" s="14">
        <f>F874*BQ874*in_bills_ticket*in_bills_comm/12</f>
        <v/>
      </c>
      <c r="BS874" s="40">
        <f>BS873*(1-IF(B873&gt;=in_marketplace_from,d_hz_loan_gold*G873,0))</f>
        <v/>
      </c>
      <c r="BT874" s="14">
        <f>F874*BS874*IF(B874&gt;=in_marketplace_from,d_hz_loan_gold*G874,0)*in_loan_gold_ticket*in_loan_gold_comm</f>
        <v/>
      </c>
      <c r="BU874" s="40">
        <f>BU873*(1-IF(B873&gt;=in_marketplace_from,d_hz_loan_cd*G873,0))</f>
        <v/>
      </c>
      <c r="BV874" s="14">
        <f>F874*BU874*IF(B874&gt;=in_marketplace_from,d_hz_loan_cd*G874,0)*in_loan_cd_ticket*in_loan_cd_comm</f>
        <v/>
      </c>
      <c r="BW874" s="40">
        <f>BW873*(1-IF(B873&gt;=in_marketplace_from,d_hz_loan_vehicle*G873,0))</f>
        <v/>
      </c>
      <c r="BX874" s="14">
        <f>F874*BW874*IF(B874&gt;=in_marketplace_from,d_hz_loan_vehicle*G874,0)*in_loan_vehicle_ticket*in_loan_vehicle_comm</f>
        <v/>
      </c>
      <c r="BY874" s="40">
        <f>BY873*(1-IF(B873&gt;=in_marketplace_from,d_hz_loan_home*G873,0)*BZ873)</f>
        <v/>
      </c>
      <c r="BZ874" s="11">
        <f>MIN(in_approval_cap,in_loan_home_approval*INDEX('Age profile'!$O$2:$O$61,B874)*(1+in_approval_growth)^(D874-1))</f>
        <v/>
      </c>
      <c r="CA874" s="14">
        <f>F874*BY874*IF(B874&gt;=in_marketplace_from,d_hz_loan_home*G874,0)*BZ874*in_loan_home_ticket*in_loan_home_comm</f>
        <v/>
      </c>
      <c r="CB874" s="40">
        <f>CB873*(1-IF(B873&gt;=in_marketplace_from,d_hz_loan_lap*G873,0)*CC873)</f>
        <v/>
      </c>
      <c r="CC874" s="11">
        <f>MIN(in_approval_cap,in_loan_lap_approval*INDEX('Age profile'!$O$2:$O$61,B874)*(1+in_approval_growth)^(D874-1))</f>
        <v/>
      </c>
      <c r="CD874" s="14">
        <f>F874*CB874*IF(B874&gt;=in_marketplace_from,d_hz_loan_lap*G874,0)*CC874*in_loan_lap_ticket*in_loan_lap_comm</f>
        <v/>
      </c>
      <c r="CE874" s="14">
        <f>AA874+AB874+AC874+AD874+AG874+AJ874+AM874+AP874+AS874+AU874+AX874+BB874+BE874+BG874+BJ874+BL874+BO874+BR874+BT874+BV874+BX874+CA874+CD874</f>
        <v/>
      </c>
    </row>
    <row r="875">
      <c r="A875" s="39" t="n">
        <v>17</v>
      </c>
      <c r="B875" s="39" t="n">
        <v>34</v>
      </c>
      <c r="C875" s="39">
        <f>A875+B875-1</f>
        <v/>
      </c>
      <c r="D875" s="39">
        <f>INT((C875-1)/12)+1</f>
        <v/>
      </c>
      <c r="E875" s="44">
        <f>INDEX(Monthly!$B$2:$B$61,A875)</f>
        <v/>
      </c>
      <c r="F875" s="44">
        <f>E875*INDEX('Age profile'!$B$2:$B$61,B875)</f>
        <v/>
      </c>
      <c r="G875" s="45">
        <f>MIN(in_takeup_cap,INDEX('Age profile'!$N$2:$N$61,B875)*(1+in_takeup_growth)^(D875-1))</f>
        <v/>
      </c>
      <c r="H875" s="11">
        <f>MIN(in_approval_cap,in_approved_first*INDEX('Age profile'!$O$2:$O$61,B875)*(1+in_approval_growth)^(D875-1))</f>
        <v/>
      </c>
      <c r="I875" s="45">
        <f>G875*MIN(in_takeup_cap,INDEX('Age profile'!$O$2:$O$61,B875)*(1+in_approval_growth)^(D875-1))</f>
        <v/>
      </c>
      <c r="J875" s="40">
        <f>(J874-L874)*F875/F874</f>
        <v/>
      </c>
      <c r="K875" s="40">
        <f>(K874-M874)*F875/F874+SUMIFS(O842:O874,B842:B874,B875-1-d_T)*F875</f>
        <v/>
      </c>
      <c r="L875" s="40">
        <f>IF(B875&gt;=in_marketplace_from,J875*d_hz*G875*in_eligible*H875,0)</f>
        <v/>
      </c>
      <c r="M875" s="40">
        <f>IF(B875&gt;=in_marketplace_from,K875*d_hz*G875*in_eligible*in_approved_repeat,0)</f>
        <v/>
      </c>
      <c r="N875" s="40">
        <f>L875+M875</f>
        <v/>
      </c>
      <c r="O875" s="46">
        <f>N875/F875</f>
        <v/>
      </c>
      <c r="P875" s="40">
        <f>F875-J875-K875</f>
        <v/>
      </c>
      <c r="Q875" s="40">
        <f>IF(B875&gt;=in_marketplace_from,(J875+K875)*d_hz*G875,0)</f>
        <v/>
      </c>
      <c r="R875" s="40">
        <f>SUMIFS(N842:N885,B842:B885,"&gt;="&amp;(B875-d_T),B842:B885,"&lt;="&amp;(B875-1))</f>
        <v/>
      </c>
      <c r="S875" s="46">
        <f>(1-d_u)*S874+IF(d_T&gt;in_topup_lag,SUMIFS(O842:O885,B842:B885,B875-in_topup_lag)-d_udrop*SUMIFS(O842:O885,B842:B885,B875-d_T),0)</f>
        <v/>
      </c>
      <c r="T875" s="40">
        <f>F875*d_u*S875</f>
        <v/>
      </c>
      <c r="U875" s="9">
        <f>L875*in_ticket+M875*d_rep_ticket</f>
        <v/>
      </c>
      <c r="V875" s="9">
        <f>U875+T875*d_topup_amt</f>
        <v/>
      </c>
      <c r="W875" s="40">
        <f>N875+T875*d_topup_ratio</f>
        <v/>
      </c>
      <c r="X875" s="40">
        <f>SUMIFS(W842:W885,B842:B885,B875-in_dpd_lag)*d_cured</f>
        <v/>
      </c>
      <c r="Y875" s="40">
        <f>SUMIFS(W842:W885,B842:B885,B875-in_rec_lag)*d_recd</f>
        <v/>
      </c>
      <c r="Z875" s="40">
        <f>IF(AND(B875&gt;=in_marketplace_from,B875&lt;in_marketplace_from+in_card_months),in_card_share/in_card_months*F875*I875,IF(AND(B875&gt;=in_marketplace_from+in_card_months,B875&lt;in_marketplace_from+2*in_card_months),in_card_share*d_card_rem/in_card_months*F875*MIN(in_takeup_cap,(1+in_takeup_growth)^(D875-1))*MIN(in_takeup_cap,(1+in_approval_growth)^(D875-1)),0))</f>
        <v/>
      </c>
      <c r="AA875" s="14">
        <f>V875*in_fee*(1-in_taken_back)</f>
        <v/>
      </c>
      <c r="AB875" s="14">
        <f>SUMIFS(W842:W885,B842:B885,B875-in_dpd_lag)*d_dpd</f>
        <v/>
      </c>
      <c r="AC875" s="14">
        <f>SUMIFS(W842:W885,B842:B885,B875-in_rec_lag)*d_rec</f>
        <v/>
      </c>
      <c r="AD875" s="14">
        <f>Z875*in_card_fee</f>
        <v/>
      </c>
      <c r="AE875" s="40">
        <f>AE874*(1-IF(B874&gt;=in_marketplace_from,d_hz_hlth_small*G874,0))</f>
        <v/>
      </c>
      <c r="AF875" s="46">
        <f>AE875*IF(B875&gt;=in_marketplace_from,d_hz_hlth_small*G875,0)</f>
        <v/>
      </c>
      <c r="AG875" s="14">
        <f>F875*AF875*in_hlth_small_ticket*in_hlth_small_comm*in_ins_partner_share+F875*in_hlth_small_ticket*in_hlth_small_renew_comm*in_ins_partner_share*(in_hlth_small_renew^1*SUMIFS(AF842:AF885,B842:B885,B875-12)+in_hlth_small_renew^2*SUMIFS(AF842:AF885,B842:B885,B875-24)+in_hlth_small_renew^3*SUMIFS(AF842:AF885,B842:B885,B875-36)+in_hlth_small_renew^4*SUMIFS(AF842:AF885,B842:B885,B875-48))</f>
        <v/>
      </c>
      <c r="AH875" s="40">
        <f>AH874*(1-IF(B874&gt;=in_marketplace_from,d_hz_hlth_family*G874,0))</f>
        <v/>
      </c>
      <c r="AI875" s="46">
        <f>AH875*IF(B875&gt;=in_marketplace_from,d_hz_hlth_family*G875,0)</f>
        <v/>
      </c>
      <c r="AJ875" s="14">
        <f>F875*AI875*in_hlth_family_ticket*in_hlth_family_comm*in_ins_partner_share+F875*in_hlth_family_ticket*in_hlth_family_renew_comm*in_ins_partner_share*(in_hlth_family_renew^1*SUMIFS(AI842:AI885,B842:B885,B875-12)+in_hlth_family_renew^2*SUMIFS(AI842:AI885,B842:B885,B875-24)+in_hlth_family_renew^3*SUMIFS(AI842:AI885,B842:B885,B875-36)+in_hlth_family_renew^4*SUMIFS(AI842:AI885,B842:B885,B875-48))</f>
        <v/>
      </c>
      <c r="AK875" s="40">
        <f>AK874*(1-IF(B874&gt;=in_marketplace_from,d_hz_life_term*G874,0))</f>
        <v/>
      </c>
      <c r="AL875" s="46">
        <f>AK875*IF(B875&gt;=in_marketplace_from,d_hz_life_term*G875,0)</f>
        <v/>
      </c>
      <c r="AM875" s="14">
        <f>F875*AL875*in_life_term_ticket*in_life_term_comm*in_ins_partner_share+F875*in_life_term_ticket*in_life_term_renew_comm*in_ins_partner_share*(in_life_term_renew^1*SUMIFS(AL842:AL885,B842:B885,B875-12)+in_life_term_renew^2*SUMIFS(AL842:AL885,B842:B885,B875-24)+in_life_term_renew^3*SUMIFS(AL842:AL885,B842:B885,B875-36)+in_life_term_renew^4*SUMIFS(AL842:AL885,B842:B885,B875-48))</f>
        <v/>
      </c>
      <c r="AN875" s="40">
        <f>AN874*(1-IF(B874&gt;=in_marketplace_from,d_hz_accident*G874,0))</f>
        <v/>
      </c>
      <c r="AO875" s="46">
        <f>AN875*IF(B875&gt;=in_marketplace_from,d_hz_accident*G875,0)</f>
        <v/>
      </c>
      <c r="AP875" s="14">
        <f>F875*AO875*in_accident_ticket*in_accident_comm*in_ins_partner_share+F875*in_accident_ticket*in_accident_renew_comm*in_ins_partner_share*(in_accident_renew^1*SUMIFS(AO842:AO885,B842:B885,B875-12)+in_accident_renew^2*SUMIFS(AO842:AO885,B842:B885,B875-24)+in_accident_renew^3*SUMIFS(AO842:AO885,B842:B885,B875-36)+in_accident_renew^4*SUMIFS(AO842:AO885,B842:B885,B875-48))</f>
        <v/>
      </c>
      <c r="AQ875" s="40">
        <f>AQ874*(1-IF(B874&gt;=in_marketplace_from,d_hz_two_wheeler*G874,0))</f>
        <v/>
      </c>
      <c r="AR875" s="46">
        <f>AQ875*IF(B875&gt;=in_marketplace_from,d_hz_two_wheeler*G875,0)</f>
        <v/>
      </c>
      <c r="AS875" s="14">
        <f>F875*AR875*in_two_wheeler_ticket*in_two_wheeler_comm*in_ins_partner_share+F875*in_two_wheeler_ticket*in_two_wheeler_comm*in_ins_partner_share*(in_two_wheeler_renew^1*SUMIFS(AR842:AR885,B842:B885,B875-12)+in_two_wheeler_renew^2*SUMIFS(AR842:AR885,B842:B885,B875-24)+in_two_wheeler_renew^3*SUMIFS(AR842:AR885,B842:B885,B875-36)+in_two_wheeler_renew^4*SUMIFS(AR842:AR885,B842:B885,B875-48))</f>
        <v/>
      </c>
      <c r="AT875" s="40">
        <f>AT874*(1-IF(B874&gt;=in_marketplace_from,d_hz_device*G874,0))</f>
        <v/>
      </c>
      <c r="AU875" s="14">
        <f>F875*AT875*IF(B875&gt;=in_marketplace_from,d_hz_device*G875,0)*in_device_ticket*in_device_comm*in_ins_partner_share</f>
        <v/>
      </c>
      <c r="AV875" s="40">
        <f>AV874*(1-IF(B874&gt;=in_marketplace_from,d_hz_shop*G874,0))</f>
        <v/>
      </c>
      <c r="AW875" s="46">
        <f>AV875*IF(B875&gt;=in_marketplace_from,d_hz_shop*G875,0)</f>
        <v/>
      </c>
      <c r="AX875" s="14">
        <f>F875*AW875*in_shop_ticket*in_shop_comm*in_ins_partner_share+F875*in_shop_ticket*in_shop_renew_comm*in_ins_partner_share*(in_shop_renew^1*SUMIFS(AW842:AW885,B842:B885,B875-12)+in_shop_renew^2*SUMIFS(AW842:AW885,B842:B885,B875-24)+in_shop_renew^3*SUMIFS(AW842:AW885,B842:B885,B875-36)+in_shop_renew^4*SUMIFS(AW842:AW885,B842:B885,B875-48))</f>
        <v/>
      </c>
      <c r="AY875" s="40">
        <f>AY874*(1-IF(B874&gt;=in_marketplace_from,d_hz_sip*G874,0))</f>
        <v/>
      </c>
      <c r="AZ875" s="40">
        <f>AZ874*d_rho_sip+AY875*IF(B875&gt;=in_marketplace_from,d_hz_sip*G875,0)</f>
        <v/>
      </c>
      <c r="BA875" s="40">
        <f>d_rho_sip*(BA874+AZ874)</f>
        <v/>
      </c>
      <c r="BB875" s="14">
        <f>F875*in_sip_ticket*(BA875+0.5*AZ875)*in_sip_comm/12</f>
        <v/>
      </c>
      <c r="BC875" s="40">
        <f>BC874*(1-IF(B874&gt;=in_marketplace_from,d_hz_choti*G874,0))</f>
        <v/>
      </c>
      <c r="BD875" s="46">
        <f>BC875*IF(B875&gt;=in_marketplace_from,d_hz_choti*G875,0)</f>
        <v/>
      </c>
      <c r="BE875" s="14">
        <f>F875*SUMIFS(BD842:BD885,B842:B885,B875-in_choti_months)*in_choti_renew*in_choti_ticket</f>
        <v/>
      </c>
      <c r="BF875" s="40">
        <f>BF874*(1-IF(B874&gt;=in_marketplace_from,d_hz_nps*G874,0))</f>
        <v/>
      </c>
      <c r="BG875" s="14">
        <f>F875*BF875*IF(B875&gt;=in_marketplace_from,d_hz_nps*G875,0)*in_nps_ticket*in_nps_comm</f>
        <v/>
      </c>
      <c r="BH875" s="40">
        <f>BH874*(1-IF(B874&gt;=in_marketplace_from,d_hz_gold*G874,0))</f>
        <v/>
      </c>
      <c r="BI875" s="40">
        <f>BI874*d_rho_gold+BH875*IF(B875&gt;=in_marketplace_from,d_hz_gold*G875,0)</f>
        <v/>
      </c>
      <c r="BJ875" s="14">
        <f>F875*BI875*in_gold_ticket*in_gold_comm</f>
        <v/>
      </c>
      <c r="BK875" s="40">
        <f>BK874*(1-IF(B874&gt;=in_marketplace_from,d_hz_fd*G874,0))</f>
        <v/>
      </c>
      <c r="BL875" s="14">
        <f>F875*BK875*IF(B875&gt;=in_marketplace_from,d_hz_fd*G875,0)*in_fd_ticket*in_fd_comm</f>
        <v/>
      </c>
      <c r="BM875" s="40">
        <f>BM874*(1-IF(B874&gt;=in_marketplace_from,d_hz_recharge*G874,0))</f>
        <v/>
      </c>
      <c r="BN875" s="40">
        <f>BN874*d_rho_recharge+BM875*IF(B875&gt;=in_marketplace_from,d_hz_recharge*G875,0)</f>
        <v/>
      </c>
      <c r="BO875" s="14">
        <f>F875*BN875*in_recharge_ticket*in_recharge_comm/12</f>
        <v/>
      </c>
      <c r="BP875" s="40">
        <f>BP874*(1-IF(B874&gt;=in_marketplace_from,d_hz_bills*G874,0))</f>
        <v/>
      </c>
      <c r="BQ875" s="40">
        <f>BQ874*d_rho_bills+BP875*IF(B875&gt;=in_marketplace_from,d_hz_bills*G875,0)</f>
        <v/>
      </c>
      <c r="BR875" s="14">
        <f>F875*BQ875*in_bills_ticket*in_bills_comm/12</f>
        <v/>
      </c>
      <c r="BS875" s="40">
        <f>BS874*(1-IF(B874&gt;=in_marketplace_from,d_hz_loan_gold*G874,0))</f>
        <v/>
      </c>
      <c r="BT875" s="14">
        <f>F875*BS875*IF(B875&gt;=in_marketplace_from,d_hz_loan_gold*G875,0)*in_loan_gold_ticket*in_loan_gold_comm</f>
        <v/>
      </c>
      <c r="BU875" s="40">
        <f>BU874*(1-IF(B874&gt;=in_marketplace_from,d_hz_loan_cd*G874,0))</f>
        <v/>
      </c>
      <c r="BV875" s="14">
        <f>F875*BU875*IF(B875&gt;=in_marketplace_from,d_hz_loan_cd*G875,0)*in_loan_cd_ticket*in_loan_cd_comm</f>
        <v/>
      </c>
      <c r="BW875" s="40">
        <f>BW874*(1-IF(B874&gt;=in_marketplace_from,d_hz_loan_vehicle*G874,0))</f>
        <v/>
      </c>
      <c r="BX875" s="14">
        <f>F875*BW875*IF(B875&gt;=in_marketplace_from,d_hz_loan_vehicle*G875,0)*in_loan_vehicle_ticket*in_loan_vehicle_comm</f>
        <v/>
      </c>
      <c r="BY875" s="40">
        <f>BY874*(1-IF(B874&gt;=in_marketplace_from,d_hz_loan_home*G874,0)*BZ874)</f>
        <v/>
      </c>
      <c r="BZ875" s="11">
        <f>MIN(in_approval_cap,in_loan_home_approval*INDEX('Age profile'!$O$2:$O$61,B875)*(1+in_approval_growth)^(D875-1))</f>
        <v/>
      </c>
      <c r="CA875" s="14">
        <f>F875*BY875*IF(B875&gt;=in_marketplace_from,d_hz_loan_home*G875,0)*BZ875*in_loan_home_ticket*in_loan_home_comm</f>
        <v/>
      </c>
      <c r="CB875" s="40">
        <f>CB874*(1-IF(B874&gt;=in_marketplace_from,d_hz_loan_lap*G874,0)*CC874)</f>
        <v/>
      </c>
      <c r="CC875" s="11">
        <f>MIN(in_approval_cap,in_loan_lap_approval*INDEX('Age profile'!$O$2:$O$61,B875)*(1+in_approval_growth)^(D875-1))</f>
        <v/>
      </c>
      <c r="CD875" s="14">
        <f>F875*CB875*IF(B875&gt;=in_marketplace_from,d_hz_loan_lap*G875,0)*CC875*in_loan_lap_ticket*in_loan_lap_comm</f>
        <v/>
      </c>
      <c r="CE875" s="14">
        <f>AA875+AB875+AC875+AD875+AG875+AJ875+AM875+AP875+AS875+AU875+AX875+BB875+BE875+BG875+BJ875+BL875+BO875+BR875+BT875+BV875+BX875+CA875+CD875</f>
        <v/>
      </c>
    </row>
    <row r="876">
      <c r="A876" s="39" t="n">
        <v>17</v>
      </c>
      <c r="B876" s="39" t="n">
        <v>35</v>
      </c>
      <c r="C876" s="39">
        <f>A876+B876-1</f>
        <v/>
      </c>
      <c r="D876" s="39">
        <f>INT((C876-1)/12)+1</f>
        <v/>
      </c>
      <c r="E876" s="44">
        <f>INDEX(Monthly!$B$2:$B$61,A876)</f>
        <v/>
      </c>
      <c r="F876" s="44">
        <f>E876*INDEX('Age profile'!$B$2:$B$61,B876)</f>
        <v/>
      </c>
      <c r="G876" s="45">
        <f>MIN(in_takeup_cap,INDEX('Age profile'!$N$2:$N$61,B876)*(1+in_takeup_growth)^(D876-1))</f>
        <v/>
      </c>
      <c r="H876" s="11">
        <f>MIN(in_approval_cap,in_approved_first*INDEX('Age profile'!$O$2:$O$61,B876)*(1+in_approval_growth)^(D876-1))</f>
        <v/>
      </c>
      <c r="I876" s="45">
        <f>G876*MIN(in_takeup_cap,INDEX('Age profile'!$O$2:$O$61,B876)*(1+in_approval_growth)^(D876-1))</f>
        <v/>
      </c>
      <c r="J876" s="40">
        <f>(J875-L875)*F876/F875</f>
        <v/>
      </c>
      <c r="K876" s="40">
        <f>(K875-M875)*F876/F875+SUMIFS(O842:O875,B842:B875,B876-1-d_T)*F876</f>
        <v/>
      </c>
      <c r="L876" s="40">
        <f>IF(B876&gt;=in_marketplace_from,J876*d_hz*G876*in_eligible*H876,0)</f>
        <v/>
      </c>
      <c r="M876" s="40">
        <f>IF(B876&gt;=in_marketplace_from,K876*d_hz*G876*in_eligible*in_approved_repeat,0)</f>
        <v/>
      </c>
      <c r="N876" s="40">
        <f>L876+M876</f>
        <v/>
      </c>
      <c r="O876" s="46">
        <f>N876/F876</f>
        <v/>
      </c>
      <c r="P876" s="40">
        <f>F876-J876-K876</f>
        <v/>
      </c>
      <c r="Q876" s="40">
        <f>IF(B876&gt;=in_marketplace_from,(J876+K876)*d_hz*G876,0)</f>
        <v/>
      </c>
      <c r="R876" s="40">
        <f>SUMIFS(N842:N885,B842:B885,"&gt;="&amp;(B876-d_T),B842:B885,"&lt;="&amp;(B876-1))</f>
        <v/>
      </c>
      <c r="S876" s="46">
        <f>(1-d_u)*S875+IF(d_T&gt;in_topup_lag,SUMIFS(O842:O885,B842:B885,B876-in_topup_lag)-d_udrop*SUMIFS(O842:O885,B842:B885,B876-d_T),0)</f>
        <v/>
      </c>
      <c r="T876" s="40">
        <f>F876*d_u*S876</f>
        <v/>
      </c>
      <c r="U876" s="9">
        <f>L876*in_ticket+M876*d_rep_ticket</f>
        <v/>
      </c>
      <c r="V876" s="9">
        <f>U876+T876*d_topup_amt</f>
        <v/>
      </c>
      <c r="W876" s="40">
        <f>N876+T876*d_topup_ratio</f>
        <v/>
      </c>
      <c r="X876" s="40">
        <f>SUMIFS(W842:W885,B842:B885,B876-in_dpd_lag)*d_cured</f>
        <v/>
      </c>
      <c r="Y876" s="40">
        <f>SUMIFS(W842:W885,B842:B885,B876-in_rec_lag)*d_recd</f>
        <v/>
      </c>
      <c r="Z876" s="40">
        <f>IF(AND(B876&gt;=in_marketplace_from,B876&lt;in_marketplace_from+in_card_months),in_card_share/in_card_months*F876*I876,IF(AND(B876&gt;=in_marketplace_from+in_card_months,B876&lt;in_marketplace_from+2*in_card_months),in_card_share*d_card_rem/in_card_months*F876*MIN(in_takeup_cap,(1+in_takeup_growth)^(D876-1))*MIN(in_takeup_cap,(1+in_approval_growth)^(D876-1)),0))</f>
        <v/>
      </c>
      <c r="AA876" s="14">
        <f>V876*in_fee*(1-in_taken_back)</f>
        <v/>
      </c>
      <c r="AB876" s="14">
        <f>SUMIFS(W842:W885,B842:B885,B876-in_dpd_lag)*d_dpd</f>
        <v/>
      </c>
      <c r="AC876" s="14">
        <f>SUMIFS(W842:W885,B842:B885,B876-in_rec_lag)*d_rec</f>
        <v/>
      </c>
      <c r="AD876" s="14">
        <f>Z876*in_card_fee</f>
        <v/>
      </c>
      <c r="AE876" s="40">
        <f>AE875*(1-IF(B875&gt;=in_marketplace_from,d_hz_hlth_small*G875,0))</f>
        <v/>
      </c>
      <c r="AF876" s="46">
        <f>AE876*IF(B876&gt;=in_marketplace_from,d_hz_hlth_small*G876,0)</f>
        <v/>
      </c>
      <c r="AG876" s="14">
        <f>F876*AF876*in_hlth_small_ticket*in_hlth_small_comm*in_ins_partner_share+F876*in_hlth_small_ticket*in_hlth_small_renew_comm*in_ins_partner_share*(in_hlth_small_renew^1*SUMIFS(AF842:AF885,B842:B885,B876-12)+in_hlth_small_renew^2*SUMIFS(AF842:AF885,B842:B885,B876-24)+in_hlth_small_renew^3*SUMIFS(AF842:AF885,B842:B885,B876-36)+in_hlth_small_renew^4*SUMIFS(AF842:AF885,B842:B885,B876-48))</f>
        <v/>
      </c>
      <c r="AH876" s="40">
        <f>AH875*(1-IF(B875&gt;=in_marketplace_from,d_hz_hlth_family*G875,0))</f>
        <v/>
      </c>
      <c r="AI876" s="46">
        <f>AH876*IF(B876&gt;=in_marketplace_from,d_hz_hlth_family*G876,0)</f>
        <v/>
      </c>
      <c r="AJ876" s="14">
        <f>F876*AI876*in_hlth_family_ticket*in_hlth_family_comm*in_ins_partner_share+F876*in_hlth_family_ticket*in_hlth_family_renew_comm*in_ins_partner_share*(in_hlth_family_renew^1*SUMIFS(AI842:AI885,B842:B885,B876-12)+in_hlth_family_renew^2*SUMIFS(AI842:AI885,B842:B885,B876-24)+in_hlth_family_renew^3*SUMIFS(AI842:AI885,B842:B885,B876-36)+in_hlth_family_renew^4*SUMIFS(AI842:AI885,B842:B885,B876-48))</f>
        <v/>
      </c>
      <c r="AK876" s="40">
        <f>AK875*(1-IF(B875&gt;=in_marketplace_from,d_hz_life_term*G875,0))</f>
        <v/>
      </c>
      <c r="AL876" s="46">
        <f>AK876*IF(B876&gt;=in_marketplace_from,d_hz_life_term*G876,0)</f>
        <v/>
      </c>
      <c r="AM876" s="14">
        <f>F876*AL876*in_life_term_ticket*in_life_term_comm*in_ins_partner_share+F876*in_life_term_ticket*in_life_term_renew_comm*in_ins_partner_share*(in_life_term_renew^1*SUMIFS(AL842:AL885,B842:B885,B876-12)+in_life_term_renew^2*SUMIFS(AL842:AL885,B842:B885,B876-24)+in_life_term_renew^3*SUMIFS(AL842:AL885,B842:B885,B876-36)+in_life_term_renew^4*SUMIFS(AL842:AL885,B842:B885,B876-48))</f>
        <v/>
      </c>
      <c r="AN876" s="40">
        <f>AN875*(1-IF(B875&gt;=in_marketplace_from,d_hz_accident*G875,0))</f>
        <v/>
      </c>
      <c r="AO876" s="46">
        <f>AN876*IF(B876&gt;=in_marketplace_from,d_hz_accident*G876,0)</f>
        <v/>
      </c>
      <c r="AP876" s="14">
        <f>F876*AO876*in_accident_ticket*in_accident_comm*in_ins_partner_share+F876*in_accident_ticket*in_accident_renew_comm*in_ins_partner_share*(in_accident_renew^1*SUMIFS(AO842:AO885,B842:B885,B876-12)+in_accident_renew^2*SUMIFS(AO842:AO885,B842:B885,B876-24)+in_accident_renew^3*SUMIFS(AO842:AO885,B842:B885,B876-36)+in_accident_renew^4*SUMIFS(AO842:AO885,B842:B885,B876-48))</f>
        <v/>
      </c>
      <c r="AQ876" s="40">
        <f>AQ875*(1-IF(B875&gt;=in_marketplace_from,d_hz_two_wheeler*G875,0))</f>
        <v/>
      </c>
      <c r="AR876" s="46">
        <f>AQ876*IF(B876&gt;=in_marketplace_from,d_hz_two_wheeler*G876,0)</f>
        <v/>
      </c>
      <c r="AS876" s="14">
        <f>F876*AR876*in_two_wheeler_ticket*in_two_wheeler_comm*in_ins_partner_share+F876*in_two_wheeler_ticket*in_two_wheeler_comm*in_ins_partner_share*(in_two_wheeler_renew^1*SUMIFS(AR842:AR885,B842:B885,B876-12)+in_two_wheeler_renew^2*SUMIFS(AR842:AR885,B842:B885,B876-24)+in_two_wheeler_renew^3*SUMIFS(AR842:AR885,B842:B885,B876-36)+in_two_wheeler_renew^4*SUMIFS(AR842:AR885,B842:B885,B876-48))</f>
        <v/>
      </c>
      <c r="AT876" s="40">
        <f>AT875*(1-IF(B875&gt;=in_marketplace_from,d_hz_device*G875,0))</f>
        <v/>
      </c>
      <c r="AU876" s="14">
        <f>F876*AT876*IF(B876&gt;=in_marketplace_from,d_hz_device*G876,0)*in_device_ticket*in_device_comm*in_ins_partner_share</f>
        <v/>
      </c>
      <c r="AV876" s="40">
        <f>AV875*(1-IF(B875&gt;=in_marketplace_from,d_hz_shop*G875,0))</f>
        <v/>
      </c>
      <c r="AW876" s="46">
        <f>AV876*IF(B876&gt;=in_marketplace_from,d_hz_shop*G876,0)</f>
        <v/>
      </c>
      <c r="AX876" s="14">
        <f>F876*AW876*in_shop_ticket*in_shop_comm*in_ins_partner_share+F876*in_shop_ticket*in_shop_renew_comm*in_ins_partner_share*(in_shop_renew^1*SUMIFS(AW842:AW885,B842:B885,B876-12)+in_shop_renew^2*SUMIFS(AW842:AW885,B842:B885,B876-24)+in_shop_renew^3*SUMIFS(AW842:AW885,B842:B885,B876-36)+in_shop_renew^4*SUMIFS(AW842:AW885,B842:B885,B876-48))</f>
        <v/>
      </c>
      <c r="AY876" s="40">
        <f>AY875*(1-IF(B875&gt;=in_marketplace_from,d_hz_sip*G875,0))</f>
        <v/>
      </c>
      <c r="AZ876" s="40">
        <f>AZ875*d_rho_sip+AY876*IF(B876&gt;=in_marketplace_from,d_hz_sip*G876,0)</f>
        <v/>
      </c>
      <c r="BA876" s="40">
        <f>d_rho_sip*(BA875+AZ875)</f>
        <v/>
      </c>
      <c r="BB876" s="14">
        <f>F876*in_sip_ticket*(BA876+0.5*AZ876)*in_sip_comm/12</f>
        <v/>
      </c>
      <c r="BC876" s="40">
        <f>BC875*(1-IF(B875&gt;=in_marketplace_from,d_hz_choti*G875,0))</f>
        <v/>
      </c>
      <c r="BD876" s="46">
        <f>BC876*IF(B876&gt;=in_marketplace_from,d_hz_choti*G876,0)</f>
        <v/>
      </c>
      <c r="BE876" s="14">
        <f>F876*SUMIFS(BD842:BD885,B842:B885,B876-in_choti_months)*in_choti_renew*in_choti_ticket</f>
        <v/>
      </c>
      <c r="BF876" s="40">
        <f>BF875*(1-IF(B875&gt;=in_marketplace_from,d_hz_nps*G875,0))</f>
        <v/>
      </c>
      <c r="BG876" s="14">
        <f>F876*BF876*IF(B876&gt;=in_marketplace_from,d_hz_nps*G876,0)*in_nps_ticket*in_nps_comm</f>
        <v/>
      </c>
      <c r="BH876" s="40">
        <f>BH875*(1-IF(B875&gt;=in_marketplace_from,d_hz_gold*G875,0))</f>
        <v/>
      </c>
      <c r="BI876" s="40">
        <f>BI875*d_rho_gold+BH876*IF(B876&gt;=in_marketplace_from,d_hz_gold*G876,0)</f>
        <v/>
      </c>
      <c r="BJ876" s="14">
        <f>F876*BI876*in_gold_ticket*in_gold_comm</f>
        <v/>
      </c>
      <c r="BK876" s="40">
        <f>BK875*(1-IF(B875&gt;=in_marketplace_from,d_hz_fd*G875,0))</f>
        <v/>
      </c>
      <c r="BL876" s="14">
        <f>F876*BK876*IF(B876&gt;=in_marketplace_from,d_hz_fd*G876,0)*in_fd_ticket*in_fd_comm</f>
        <v/>
      </c>
      <c r="BM876" s="40">
        <f>BM875*(1-IF(B875&gt;=in_marketplace_from,d_hz_recharge*G875,0))</f>
        <v/>
      </c>
      <c r="BN876" s="40">
        <f>BN875*d_rho_recharge+BM876*IF(B876&gt;=in_marketplace_from,d_hz_recharge*G876,0)</f>
        <v/>
      </c>
      <c r="BO876" s="14">
        <f>F876*BN876*in_recharge_ticket*in_recharge_comm/12</f>
        <v/>
      </c>
      <c r="BP876" s="40">
        <f>BP875*(1-IF(B875&gt;=in_marketplace_from,d_hz_bills*G875,0))</f>
        <v/>
      </c>
      <c r="BQ876" s="40">
        <f>BQ875*d_rho_bills+BP876*IF(B876&gt;=in_marketplace_from,d_hz_bills*G876,0)</f>
        <v/>
      </c>
      <c r="BR876" s="14">
        <f>F876*BQ876*in_bills_ticket*in_bills_comm/12</f>
        <v/>
      </c>
      <c r="BS876" s="40">
        <f>BS875*(1-IF(B875&gt;=in_marketplace_from,d_hz_loan_gold*G875,0))</f>
        <v/>
      </c>
      <c r="BT876" s="14">
        <f>F876*BS876*IF(B876&gt;=in_marketplace_from,d_hz_loan_gold*G876,0)*in_loan_gold_ticket*in_loan_gold_comm</f>
        <v/>
      </c>
      <c r="BU876" s="40">
        <f>BU875*(1-IF(B875&gt;=in_marketplace_from,d_hz_loan_cd*G875,0))</f>
        <v/>
      </c>
      <c r="BV876" s="14">
        <f>F876*BU876*IF(B876&gt;=in_marketplace_from,d_hz_loan_cd*G876,0)*in_loan_cd_ticket*in_loan_cd_comm</f>
        <v/>
      </c>
      <c r="BW876" s="40">
        <f>BW875*(1-IF(B875&gt;=in_marketplace_from,d_hz_loan_vehicle*G875,0))</f>
        <v/>
      </c>
      <c r="BX876" s="14">
        <f>F876*BW876*IF(B876&gt;=in_marketplace_from,d_hz_loan_vehicle*G876,0)*in_loan_vehicle_ticket*in_loan_vehicle_comm</f>
        <v/>
      </c>
      <c r="BY876" s="40">
        <f>BY875*(1-IF(B875&gt;=in_marketplace_from,d_hz_loan_home*G875,0)*BZ875)</f>
        <v/>
      </c>
      <c r="BZ876" s="11">
        <f>MIN(in_approval_cap,in_loan_home_approval*INDEX('Age profile'!$O$2:$O$61,B876)*(1+in_approval_growth)^(D876-1))</f>
        <v/>
      </c>
      <c r="CA876" s="14">
        <f>F876*BY876*IF(B876&gt;=in_marketplace_from,d_hz_loan_home*G876,0)*BZ876*in_loan_home_ticket*in_loan_home_comm</f>
        <v/>
      </c>
      <c r="CB876" s="40">
        <f>CB875*(1-IF(B875&gt;=in_marketplace_from,d_hz_loan_lap*G875,0)*CC875)</f>
        <v/>
      </c>
      <c r="CC876" s="11">
        <f>MIN(in_approval_cap,in_loan_lap_approval*INDEX('Age profile'!$O$2:$O$61,B876)*(1+in_approval_growth)^(D876-1))</f>
        <v/>
      </c>
      <c r="CD876" s="14">
        <f>F876*CB876*IF(B876&gt;=in_marketplace_from,d_hz_loan_lap*G876,0)*CC876*in_loan_lap_ticket*in_loan_lap_comm</f>
        <v/>
      </c>
      <c r="CE876" s="14">
        <f>AA876+AB876+AC876+AD876+AG876+AJ876+AM876+AP876+AS876+AU876+AX876+BB876+BE876+BG876+BJ876+BL876+BO876+BR876+BT876+BV876+BX876+CA876+CD876</f>
        <v/>
      </c>
    </row>
    <row r="877">
      <c r="A877" s="39" t="n">
        <v>17</v>
      </c>
      <c r="B877" s="39" t="n">
        <v>36</v>
      </c>
      <c r="C877" s="39">
        <f>A877+B877-1</f>
        <v/>
      </c>
      <c r="D877" s="39">
        <f>INT((C877-1)/12)+1</f>
        <v/>
      </c>
      <c r="E877" s="44">
        <f>INDEX(Monthly!$B$2:$B$61,A877)</f>
        <v/>
      </c>
      <c r="F877" s="44">
        <f>E877*INDEX('Age profile'!$B$2:$B$61,B877)</f>
        <v/>
      </c>
      <c r="G877" s="45">
        <f>MIN(in_takeup_cap,INDEX('Age profile'!$N$2:$N$61,B877)*(1+in_takeup_growth)^(D877-1))</f>
        <v/>
      </c>
      <c r="H877" s="11">
        <f>MIN(in_approval_cap,in_approved_first*INDEX('Age profile'!$O$2:$O$61,B877)*(1+in_approval_growth)^(D877-1))</f>
        <v/>
      </c>
      <c r="I877" s="45">
        <f>G877*MIN(in_takeup_cap,INDEX('Age profile'!$O$2:$O$61,B877)*(1+in_approval_growth)^(D877-1))</f>
        <v/>
      </c>
      <c r="J877" s="40">
        <f>(J876-L876)*F877/F876</f>
        <v/>
      </c>
      <c r="K877" s="40">
        <f>(K876-M876)*F877/F876+SUMIFS(O842:O876,B842:B876,B877-1-d_T)*F877</f>
        <v/>
      </c>
      <c r="L877" s="40">
        <f>IF(B877&gt;=in_marketplace_from,J877*d_hz*G877*in_eligible*H877,0)</f>
        <v/>
      </c>
      <c r="M877" s="40">
        <f>IF(B877&gt;=in_marketplace_from,K877*d_hz*G877*in_eligible*in_approved_repeat,0)</f>
        <v/>
      </c>
      <c r="N877" s="40">
        <f>L877+M877</f>
        <v/>
      </c>
      <c r="O877" s="46">
        <f>N877/F877</f>
        <v/>
      </c>
      <c r="P877" s="40">
        <f>F877-J877-K877</f>
        <v/>
      </c>
      <c r="Q877" s="40">
        <f>IF(B877&gt;=in_marketplace_from,(J877+K877)*d_hz*G877,0)</f>
        <v/>
      </c>
      <c r="R877" s="40">
        <f>SUMIFS(N842:N885,B842:B885,"&gt;="&amp;(B877-d_T),B842:B885,"&lt;="&amp;(B877-1))</f>
        <v/>
      </c>
      <c r="S877" s="46">
        <f>(1-d_u)*S876+IF(d_T&gt;in_topup_lag,SUMIFS(O842:O885,B842:B885,B877-in_topup_lag)-d_udrop*SUMIFS(O842:O885,B842:B885,B877-d_T),0)</f>
        <v/>
      </c>
      <c r="T877" s="40">
        <f>F877*d_u*S877</f>
        <v/>
      </c>
      <c r="U877" s="9">
        <f>L877*in_ticket+M877*d_rep_ticket</f>
        <v/>
      </c>
      <c r="V877" s="9">
        <f>U877+T877*d_topup_amt</f>
        <v/>
      </c>
      <c r="W877" s="40">
        <f>N877+T877*d_topup_ratio</f>
        <v/>
      </c>
      <c r="X877" s="40">
        <f>SUMIFS(W842:W885,B842:B885,B877-in_dpd_lag)*d_cured</f>
        <v/>
      </c>
      <c r="Y877" s="40">
        <f>SUMIFS(W842:W885,B842:B885,B877-in_rec_lag)*d_recd</f>
        <v/>
      </c>
      <c r="Z877" s="40">
        <f>IF(AND(B877&gt;=in_marketplace_from,B877&lt;in_marketplace_from+in_card_months),in_card_share/in_card_months*F877*I877,IF(AND(B877&gt;=in_marketplace_from+in_card_months,B877&lt;in_marketplace_from+2*in_card_months),in_card_share*d_card_rem/in_card_months*F877*MIN(in_takeup_cap,(1+in_takeup_growth)^(D877-1))*MIN(in_takeup_cap,(1+in_approval_growth)^(D877-1)),0))</f>
        <v/>
      </c>
      <c r="AA877" s="14">
        <f>V877*in_fee*(1-in_taken_back)</f>
        <v/>
      </c>
      <c r="AB877" s="14">
        <f>SUMIFS(W842:W885,B842:B885,B877-in_dpd_lag)*d_dpd</f>
        <v/>
      </c>
      <c r="AC877" s="14">
        <f>SUMIFS(W842:W885,B842:B885,B877-in_rec_lag)*d_rec</f>
        <v/>
      </c>
      <c r="AD877" s="14">
        <f>Z877*in_card_fee</f>
        <v/>
      </c>
      <c r="AE877" s="40">
        <f>AE876*(1-IF(B876&gt;=in_marketplace_from,d_hz_hlth_small*G876,0))</f>
        <v/>
      </c>
      <c r="AF877" s="46">
        <f>AE877*IF(B877&gt;=in_marketplace_from,d_hz_hlth_small*G877,0)</f>
        <v/>
      </c>
      <c r="AG877" s="14">
        <f>F877*AF877*in_hlth_small_ticket*in_hlth_small_comm*in_ins_partner_share+F877*in_hlth_small_ticket*in_hlth_small_renew_comm*in_ins_partner_share*(in_hlth_small_renew^1*SUMIFS(AF842:AF885,B842:B885,B877-12)+in_hlth_small_renew^2*SUMIFS(AF842:AF885,B842:B885,B877-24)+in_hlth_small_renew^3*SUMIFS(AF842:AF885,B842:B885,B877-36)+in_hlth_small_renew^4*SUMIFS(AF842:AF885,B842:B885,B877-48))</f>
        <v/>
      </c>
      <c r="AH877" s="40">
        <f>AH876*(1-IF(B876&gt;=in_marketplace_from,d_hz_hlth_family*G876,0))</f>
        <v/>
      </c>
      <c r="AI877" s="46">
        <f>AH877*IF(B877&gt;=in_marketplace_from,d_hz_hlth_family*G877,0)</f>
        <v/>
      </c>
      <c r="AJ877" s="14">
        <f>F877*AI877*in_hlth_family_ticket*in_hlth_family_comm*in_ins_partner_share+F877*in_hlth_family_ticket*in_hlth_family_renew_comm*in_ins_partner_share*(in_hlth_family_renew^1*SUMIFS(AI842:AI885,B842:B885,B877-12)+in_hlth_family_renew^2*SUMIFS(AI842:AI885,B842:B885,B877-24)+in_hlth_family_renew^3*SUMIFS(AI842:AI885,B842:B885,B877-36)+in_hlth_family_renew^4*SUMIFS(AI842:AI885,B842:B885,B877-48))</f>
        <v/>
      </c>
      <c r="AK877" s="40">
        <f>AK876*(1-IF(B876&gt;=in_marketplace_from,d_hz_life_term*G876,0))</f>
        <v/>
      </c>
      <c r="AL877" s="46">
        <f>AK877*IF(B877&gt;=in_marketplace_from,d_hz_life_term*G877,0)</f>
        <v/>
      </c>
      <c r="AM877" s="14">
        <f>F877*AL877*in_life_term_ticket*in_life_term_comm*in_ins_partner_share+F877*in_life_term_ticket*in_life_term_renew_comm*in_ins_partner_share*(in_life_term_renew^1*SUMIFS(AL842:AL885,B842:B885,B877-12)+in_life_term_renew^2*SUMIFS(AL842:AL885,B842:B885,B877-24)+in_life_term_renew^3*SUMIFS(AL842:AL885,B842:B885,B877-36)+in_life_term_renew^4*SUMIFS(AL842:AL885,B842:B885,B877-48))</f>
        <v/>
      </c>
      <c r="AN877" s="40">
        <f>AN876*(1-IF(B876&gt;=in_marketplace_from,d_hz_accident*G876,0))</f>
        <v/>
      </c>
      <c r="AO877" s="46">
        <f>AN877*IF(B877&gt;=in_marketplace_from,d_hz_accident*G877,0)</f>
        <v/>
      </c>
      <c r="AP877" s="14">
        <f>F877*AO877*in_accident_ticket*in_accident_comm*in_ins_partner_share+F877*in_accident_ticket*in_accident_renew_comm*in_ins_partner_share*(in_accident_renew^1*SUMIFS(AO842:AO885,B842:B885,B877-12)+in_accident_renew^2*SUMIFS(AO842:AO885,B842:B885,B877-24)+in_accident_renew^3*SUMIFS(AO842:AO885,B842:B885,B877-36)+in_accident_renew^4*SUMIFS(AO842:AO885,B842:B885,B877-48))</f>
        <v/>
      </c>
      <c r="AQ877" s="40">
        <f>AQ876*(1-IF(B876&gt;=in_marketplace_from,d_hz_two_wheeler*G876,0))</f>
        <v/>
      </c>
      <c r="AR877" s="46">
        <f>AQ877*IF(B877&gt;=in_marketplace_from,d_hz_two_wheeler*G877,0)</f>
        <v/>
      </c>
      <c r="AS877" s="14">
        <f>F877*AR877*in_two_wheeler_ticket*in_two_wheeler_comm*in_ins_partner_share+F877*in_two_wheeler_ticket*in_two_wheeler_comm*in_ins_partner_share*(in_two_wheeler_renew^1*SUMIFS(AR842:AR885,B842:B885,B877-12)+in_two_wheeler_renew^2*SUMIFS(AR842:AR885,B842:B885,B877-24)+in_two_wheeler_renew^3*SUMIFS(AR842:AR885,B842:B885,B877-36)+in_two_wheeler_renew^4*SUMIFS(AR842:AR885,B842:B885,B877-48))</f>
        <v/>
      </c>
      <c r="AT877" s="40">
        <f>AT876*(1-IF(B876&gt;=in_marketplace_from,d_hz_device*G876,0))</f>
        <v/>
      </c>
      <c r="AU877" s="14">
        <f>F877*AT877*IF(B877&gt;=in_marketplace_from,d_hz_device*G877,0)*in_device_ticket*in_device_comm*in_ins_partner_share</f>
        <v/>
      </c>
      <c r="AV877" s="40">
        <f>AV876*(1-IF(B876&gt;=in_marketplace_from,d_hz_shop*G876,0))</f>
        <v/>
      </c>
      <c r="AW877" s="46">
        <f>AV877*IF(B877&gt;=in_marketplace_from,d_hz_shop*G877,0)</f>
        <v/>
      </c>
      <c r="AX877" s="14">
        <f>F877*AW877*in_shop_ticket*in_shop_comm*in_ins_partner_share+F877*in_shop_ticket*in_shop_renew_comm*in_ins_partner_share*(in_shop_renew^1*SUMIFS(AW842:AW885,B842:B885,B877-12)+in_shop_renew^2*SUMIFS(AW842:AW885,B842:B885,B877-24)+in_shop_renew^3*SUMIFS(AW842:AW885,B842:B885,B877-36)+in_shop_renew^4*SUMIFS(AW842:AW885,B842:B885,B877-48))</f>
        <v/>
      </c>
      <c r="AY877" s="40">
        <f>AY876*(1-IF(B876&gt;=in_marketplace_from,d_hz_sip*G876,0))</f>
        <v/>
      </c>
      <c r="AZ877" s="40">
        <f>AZ876*d_rho_sip+AY877*IF(B877&gt;=in_marketplace_from,d_hz_sip*G877,0)</f>
        <v/>
      </c>
      <c r="BA877" s="40">
        <f>d_rho_sip*(BA876+AZ876)</f>
        <v/>
      </c>
      <c r="BB877" s="14">
        <f>F877*in_sip_ticket*(BA877+0.5*AZ877)*in_sip_comm/12</f>
        <v/>
      </c>
      <c r="BC877" s="40">
        <f>BC876*(1-IF(B876&gt;=in_marketplace_from,d_hz_choti*G876,0))</f>
        <v/>
      </c>
      <c r="BD877" s="46">
        <f>BC877*IF(B877&gt;=in_marketplace_from,d_hz_choti*G877,0)</f>
        <v/>
      </c>
      <c r="BE877" s="14">
        <f>F877*SUMIFS(BD842:BD885,B842:B885,B877-in_choti_months)*in_choti_renew*in_choti_ticket</f>
        <v/>
      </c>
      <c r="BF877" s="40">
        <f>BF876*(1-IF(B876&gt;=in_marketplace_from,d_hz_nps*G876,0))</f>
        <v/>
      </c>
      <c r="BG877" s="14">
        <f>F877*BF877*IF(B877&gt;=in_marketplace_from,d_hz_nps*G877,0)*in_nps_ticket*in_nps_comm</f>
        <v/>
      </c>
      <c r="BH877" s="40">
        <f>BH876*(1-IF(B876&gt;=in_marketplace_from,d_hz_gold*G876,0))</f>
        <v/>
      </c>
      <c r="BI877" s="40">
        <f>BI876*d_rho_gold+BH877*IF(B877&gt;=in_marketplace_from,d_hz_gold*G877,0)</f>
        <v/>
      </c>
      <c r="BJ877" s="14">
        <f>F877*BI877*in_gold_ticket*in_gold_comm</f>
        <v/>
      </c>
      <c r="BK877" s="40">
        <f>BK876*(1-IF(B876&gt;=in_marketplace_from,d_hz_fd*G876,0))</f>
        <v/>
      </c>
      <c r="BL877" s="14">
        <f>F877*BK877*IF(B877&gt;=in_marketplace_from,d_hz_fd*G877,0)*in_fd_ticket*in_fd_comm</f>
        <v/>
      </c>
      <c r="BM877" s="40">
        <f>BM876*(1-IF(B876&gt;=in_marketplace_from,d_hz_recharge*G876,0))</f>
        <v/>
      </c>
      <c r="BN877" s="40">
        <f>BN876*d_rho_recharge+BM877*IF(B877&gt;=in_marketplace_from,d_hz_recharge*G877,0)</f>
        <v/>
      </c>
      <c r="BO877" s="14">
        <f>F877*BN877*in_recharge_ticket*in_recharge_comm/12</f>
        <v/>
      </c>
      <c r="BP877" s="40">
        <f>BP876*(1-IF(B876&gt;=in_marketplace_from,d_hz_bills*G876,0))</f>
        <v/>
      </c>
      <c r="BQ877" s="40">
        <f>BQ876*d_rho_bills+BP877*IF(B877&gt;=in_marketplace_from,d_hz_bills*G877,0)</f>
        <v/>
      </c>
      <c r="BR877" s="14">
        <f>F877*BQ877*in_bills_ticket*in_bills_comm/12</f>
        <v/>
      </c>
      <c r="BS877" s="40">
        <f>BS876*(1-IF(B876&gt;=in_marketplace_from,d_hz_loan_gold*G876,0))</f>
        <v/>
      </c>
      <c r="BT877" s="14">
        <f>F877*BS877*IF(B877&gt;=in_marketplace_from,d_hz_loan_gold*G877,0)*in_loan_gold_ticket*in_loan_gold_comm</f>
        <v/>
      </c>
      <c r="BU877" s="40">
        <f>BU876*(1-IF(B876&gt;=in_marketplace_from,d_hz_loan_cd*G876,0))</f>
        <v/>
      </c>
      <c r="BV877" s="14">
        <f>F877*BU877*IF(B877&gt;=in_marketplace_from,d_hz_loan_cd*G877,0)*in_loan_cd_ticket*in_loan_cd_comm</f>
        <v/>
      </c>
      <c r="BW877" s="40">
        <f>BW876*(1-IF(B876&gt;=in_marketplace_from,d_hz_loan_vehicle*G876,0))</f>
        <v/>
      </c>
      <c r="BX877" s="14">
        <f>F877*BW877*IF(B877&gt;=in_marketplace_from,d_hz_loan_vehicle*G877,0)*in_loan_vehicle_ticket*in_loan_vehicle_comm</f>
        <v/>
      </c>
      <c r="BY877" s="40">
        <f>BY876*(1-IF(B876&gt;=in_marketplace_from,d_hz_loan_home*G876,0)*BZ876)</f>
        <v/>
      </c>
      <c r="BZ877" s="11">
        <f>MIN(in_approval_cap,in_loan_home_approval*INDEX('Age profile'!$O$2:$O$61,B877)*(1+in_approval_growth)^(D877-1))</f>
        <v/>
      </c>
      <c r="CA877" s="14">
        <f>F877*BY877*IF(B877&gt;=in_marketplace_from,d_hz_loan_home*G877,0)*BZ877*in_loan_home_ticket*in_loan_home_comm</f>
        <v/>
      </c>
      <c r="CB877" s="40">
        <f>CB876*(1-IF(B876&gt;=in_marketplace_from,d_hz_loan_lap*G876,0)*CC876)</f>
        <v/>
      </c>
      <c r="CC877" s="11">
        <f>MIN(in_approval_cap,in_loan_lap_approval*INDEX('Age profile'!$O$2:$O$61,B877)*(1+in_approval_growth)^(D877-1))</f>
        <v/>
      </c>
      <c r="CD877" s="14">
        <f>F877*CB877*IF(B877&gt;=in_marketplace_from,d_hz_loan_lap*G877,0)*CC877*in_loan_lap_ticket*in_loan_lap_comm</f>
        <v/>
      </c>
      <c r="CE877" s="14">
        <f>AA877+AB877+AC877+AD877+AG877+AJ877+AM877+AP877+AS877+AU877+AX877+BB877+BE877+BG877+BJ877+BL877+BO877+BR877+BT877+BV877+BX877+CA877+CD877</f>
        <v/>
      </c>
    </row>
    <row r="878">
      <c r="A878" s="39" t="n">
        <v>17</v>
      </c>
      <c r="B878" s="39" t="n">
        <v>37</v>
      </c>
      <c r="C878" s="39">
        <f>A878+B878-1</f>
        <v/>
      </c>
      <c r="D878" s="39">
        <f>INT((C878-1)/12)+1</f>
        <v/>
      </c>
      <c r="E878" s="44">
        <f>INDEX(Monthly!$B$2:$B$61,A878)</f>
        <v/>
      </c>
      <c r="F878" s="44">
        <f>E878*INDEX('Age profile'!$B$2:$B$61,B878)</f>
        <v/>
      </c>
      <c r="G878" s="45">
        <f>MIN(in_takeup_cap,INDEX('Age profile'!$N$2:$N$61,B878)*(1+in_takeup_growth)^(D878-1))</f>
        <v/>
      </c>
      <c r="H878" s="11">
        <f>MIN(in_approval_cap,in_approved_first*INDEX('Age profile'!$O$2:$O$61,B878)*(1+in_approval_growth)^(D878-1))</f>
        <v/>
      </c>
      <c r="I878" s="45">
        <f>G878*MIN(in_takeup_cap,INDEX('Age profile'!$O$2:$O$61,B878)*(1+in_approval_growth)^(D878-1))</f>
        <v/>
      </c>
      <c r="J878" s="40">
        <f>(J877-L877)*F878/F877</f>
        <v/>
      </c>
      <c r="K878" s="40">
        <f>(K877-M877)*F878/F877+SUMIFS(O842:O877,B842:B877,B878-1-d_T)*F878</f>
        <v/>
      </c>
      <c r="L878" s="40">
        <f>IF(B878&gt;=in_marketplace_from,J878*d_hz*G878*in_eligible*H878,0)</f>
        <v/>
      </c>
      <c r="M878" s="40">
        <f>IF(B878&gt;=in_marketplace_from,K878*d_hz*G878*in_eligible*in_approved_repeat,0)</f>
        <v/>
      </c>
      <c r="N878" s="40">
        <f>L878+M878</f>
        <v/>
      </c>
      <c r="O878" s="46">
        <f>N878/F878</f>
        <v/>
      </c>
      <c r="P878" s="40">
        <f>F878-J878-K878</f>
        <v/>
      </c>
      <c r="Q878" s="40">
        <f>IF(B878&gt;=in_marketplace_from,(J878+K878)*d_hz*G878,0)</f>
        <v/>
      </c>
      <c r="R878" s="40">
        <f>SUMIFS(N842:N885,B842:B885,"&gt;="&amp;(B878-d_T),B842:B885,"&lt;="&amp;(B878-1))</f>
        <v/>
      </c>
      <c r="S878" s="46">
        <f>(1-d_u)*S877+IF(d_T&gt;in_topup_lag,SUMIFS(O842:O885,B842:B885,B878-in_topup_lag)-d_udrop*SUMIFS(O842:O885,B842:B885,B878-d_T),0)</f>
        <v/>
      </c>
      <c r="T878" s="40">
        <f>F878*d_u*S878</f>
        <v/>
      </c>
      <c r="U878" s="9">
        <f>L878*in_ticket+M878*d_rep_ticket</f>
        <v/>
      </c>
      <c r="V878" s="9">
        <f>U878+T878*d_topup_amt</f>
        <v/>
      </c>
      <c r="W878" s="40">
        <f>N878+T878*d_topup_ratio</f>
        <v/>
      </c>
      <c r="X878" s="40">
        <f>SUMIFS(W842:W885,B842:B885,B878-in_dpd_lag)*d_cured</f>
        <v/>
      </c>
      <c r="Y878" s="40">
        <f>SUMIFS(W842:W885,B842:B885,B878-in_rec_lag)*d_recd</f>
        <v/>
      </c>
      <c r="Z878" s="40">
        <f>IF(AND(B878&gt;=in_marketplace_from,B878&lt;in_marketplace_from+in_card_months),in_card_share/in_card_months*F878*I878,IF(AND(B878&gt;=in_marketplace_from+in_card_months,B878&lt;in_marketplace_from+2*in_card_months),in_card_share*d_card_rem/in_card_months*F878*MIN(in_takeup_cap,(1+in_takeup_growth)^(D878-1))*MIN(in_takeup_cap,(1+in_approval_growth)^(D878-1)),0))</f>
        <v/>
      </c>
      <c r="AA878" s="14">
        <f>V878*in_fee*(1-in_taken_back)</f>
        <v/>
      </c>
      <c r="AB878" s="14">
        <f>SUMIFS(W842:W885,B842:B885,B878-in_dpd_lag)*d_dpd</f>
        <v/>
      </c>
      <c r="AC878" s="14">
        <f>SUMIFS(W842:W885,B842:B885,B878-in_rec_lag)*d_rec</f>
        <v/>
      </c>
      <c r="AD878" s="14">
        <f>Z878*in_card_fee</f>
        <v/>
      </c>
      <c r="AE878" s="40">
        <f>AE877*(1-IF(B877&gt;=in_marketplace_from,d_hz_hlth_small*G877,0))</f>
        <v/>
      </c>
      <c r="AF878" s="46">
        <f>AE878*IF(B878&gt;=in_marketplace_from,d_hz_hlth_small*G878,0)</f>
        <v/>
      </c>
      <c r="AG878" s="14">
        <f>F878*AF878*in_hlth_small_ticket*in_hlth_small_comm*in_ins_partner_share+F878*in_hlth_small_ticket*in_hlth_small_renew_comm*in_ins_partner_share*(in_hlth_small_renew^1*SUMIFS(AF842:AF885,B842:B885,B878-12)+in_hlth_small_renew^2*SUMIFS(AF842:AF885,B842:B885,B878-24)+in_hlth_small_renew^3*SUMIFS(AF842:AF885,B842:B885,B878-36)+in_hlth_small_renew^4*SUMIFS(AF842:AF885,B842:B885,B878-48))</f>
        <v/>
      </c>
      <c r="AH878" s="40">
        <f>AH877*(1-IF(B877&gt;=in_marketplace_from,d_hz_hlth_family*G877,0))</f>
        <v/>
      </c>
      <c r="AI878" s="46">
        <f>AH878*IF(B878&gt;=in_marketplace_from,d_hz_hlth_family*G878,0)</f>
        <v/>
      </c>
      <c r="AJ878" s="14">
        <f>F878*AI878*in_hlth_family_ticket*in_hlth_family_comm*in_ins_partner_share+F878*in_hlth_family_ticket*in_hlth_family_renew_comm*in_ins_partner_share*(in_hlth_family_renew^1*SUMIFS(AI842:AI885,B842:B885,B878-12)+in_hlth_family_renew^2*SUMIFS(AI842:AI885,B842:B885,B878-24)+in_hlth_family_renew^3*SUMIFS(AI842:AI885,B842:B885,B878-36)+in_hlth_family_renew^4*SUMIFS(AI842:AI885,B842:B885,B878-48))</f>
        <v/>
      </c>
      <c r="AK878" s="40">
        <f>AK877*(1-IF(B877&gt;=in_marketplace_from,d_hz_life_term*G877,0))</f>
        <v/>
      </c>
      <c r="AL878" s="46">
        <f>AK878*IF(B878&gt;=in_marketplace_from,d_hz_life_term*G878,0)</f>
        <v/>
      </c>
      <c r="AM878" s="14">
        <f>F878*AL878*in_life_term_ticket*in_life_term_comm*in_ins_partner_share+F878*in_life_term_ticket*in_life_term_renew_comm*in_ins_partner_share*(in_life_term_renew^1*SUMIFS(AL842:AL885,B842:B885,B878-12)+in_life_term_renew^2*SUMIFS(AL842:AL885,B842:B885,B878-24)+in_life_term_renew^3*SUMIFS(AL842:AL885,B842:B885,B878-36)+in_life_term_renew^4*SUMIFS(AL842:AL885,B842:B885,B878-48))</f>
        <v/>
      </c>
      <c r="AN878" s="40">
        <f>AN877*(1-IF(B877&gt;=in_marketplace_from,d_hz_accident*G877,0))</f>
        <v/>
      </c>
      <c r="AO878" s="46">
        <f>AN878*IF(B878&gt;=in_marketplace_from,d_hz_accident*G878,0)</f>
        <v/>
      </c>
      <c r="AP878" s="14">
        <f>F878*AO878*in_accident_ticket*in_accident_comm*in_ins_partner_share+F878*in_accident_ticket*in_accident_renew_comm*in_ins_partner_share*(in_accident_renew^1*SUMIFS(AO842:AO885,B842:B885,B878-12)+in_accident_renew^2*SUMIFS(AO842:AO885,B842:B885,B878-24)+in_accident_renew^3*SUMIFS(AO842:AO885,B842:B885,B878-36)+in_accident_renew^4*SUMIFS(AO842:AO885,B842:B885,B878-48))</f>
        <v/>
      </c>
      <c r="AQ878" s="40">
        <f>AQ877*(1-IF(B877&gt;=in_marketplace_from,d_hz_two_wheeler*G877,0))</f>
        <v/>
      </c>
      <c r="AR878" s="46">
        <f>AQ878*IF(B878&gt;=in_marketplace_from,d_hz_two_wheeler*G878,0)</f>
        <v/>
      </c>
      <c r="AS878" s="14">
        <f>F878*AR878*in_two_wheeler_ticket*in_two_wheeler_comm*in_ins_partner_share+F878*in_two_wheeler_ticket*in_two_wheeler_comm*in_ins_partner_share*(in_two_wheeler_renew^1*SUMIFS(AR842:AR885,B842:B885,B878-12)+in_two_wheeler_renew^2*SUMIFS(AR842:AR885,B842:B885,B878-24)+in_two_wheeler_renew^3*SUMIFS(AR842:AR885,B842:B885,B878-36)+in_two_wheeler_renew^4*SUMIFS(AR842:AR885,B842:B885,B878-48))</f>
        <v/>
      </c>
      <c r="AT878" s="40">
        <f>AT877*(1-IF(B877&gt;=in_marketplace_from,d_hz_device*G877,0))</f>
        <v/>
      </c>
      <c r="AU878" s="14">
        <f>F878*AT878*IF(B878&gt;=in_marketplace_from,d_hz_device*G878,0)*in_device_ticket*in_device_comm*in_ins_partner_share</f>
        <v/>
      </c>
      <c r="AV878" s="40">
        <f>AV877*(1-IF(B877&gt;=in_marketplace_from,d_hz_shop*G877,0))</f>
        <v/>
      </c>
      <c r="AW878" s="46">
        <f>AV878*IF(B878&gt;=in_marketplace_from,d_hz_shop*G878,0)</f>
        <v/>
      </c>
      <c r="AX878" s="14">
        <f>F878*AW878*in_shop_ticket*in_shop_comm*in_ins_partner_share+F878*in_shop_ticket*in_shop_renew_comm*in_ins_partner_share*(in_shop_renew^1*SUMIFS(AW842:AW885,B842:B885,B878-12)+in_shop_renew^2*SUMIFS(AW842:AW885,B842:B885,B878-24)+in_shop_renew^3*SUMIFS(AW842:AW885,B842:B885,B878-36)+in_shop_renew^4*SUMIFS(AW842:AW885,B842:B885,B878-48))</f>
        <v/>
      </c>
      <c r="AY878" s="40">
        <f>AY877*(1-IF(B877&gt;=in_marketplace_from,d_hz_sip*G877,0))</f>
        <v/>
      </c>
      <c r="AZ878" s="40">
        <f>AZ877*d_rho_sip+AY878*IF(B878&gt;=in_marketplace_from,d_hz_sip*G878,0)</f>
        <v/>
      </c>
      <c r="BA878" s="40">
        <f>d_rho_sip*(BA877+AZ877)</f>
        <v/>
      </c>
      <c r="BB878" s="14">
        <f>F878*in_sip_ticket*(BA878+0.5*AZ878)*in_sip_comm/12</f>
        <v/>
      </c>
      <c r="BC878" s="40">
        <f>BC877*(1-IF(B877&gt;=in_marketplace_from,d_hz_choti*G877,0))</f>
        <v/>
      </c>
      <c r="BD878" s="46">
        <f>BC878*IF(B878&gt;=in_marketplace_from,d_hz_choti*G878,0)</f>
        <v/>
      </c>
      <c r="BE878" s="14">
        <f>F878*SUMIFS(BD842:BD885,B842:B885,B878-in_choti_months)*in_choti_renew*in_choti_ticket</f>
        <v/>
      </c>
      <c r="BF878" s="40">
        <f>BF877*(1-IF(B877&gt;=in_marketplace_from,d_hz_nps*G877,0))</f>
        <v/>
      </c>
      <c r="BG878" s="14">
        <f>F878*BF878*IF(B878&gt;=in_marketplace_from,d_hz_nps*G878,0)*in_nps_ticket*in_nps_comm</f>
        <v/>
      </c>
      <c r="BH878" s="40">
        <f>BH877*(1-IF(B877&gt;=in_marketplace_from,d_hz_gold*G877,0))</f>
        <v/>
      </c>
      <c r="BI878" s="40">
        <f>BI877*d_rho_gold+BH878*IF(B878&gt;=in_marketplace_from,d_hz_gold*G878,0)</f>
        <v/>
      </c>
      <c r="BJ878" s="14">
        <f>F878*BI878*in_gold_ticket*in_gold_comm</f>
        <v/>
      </c>
      <c r="BK878" s="40">
        <f>BK877*(1-IF(B877&gt;=in_marketplace_from,d_hz_fd*G877,0))</f>
        <v/>
      </c>
      <c r="BL878" s="14">
        <f>F878*BK878*IF(B878&gt;=in_marketplace_from,d_hz_fd*G878,0)*in_fd_ticket*in_fd_comm</f>
        <v/>
      </c>
      <c r="BM878" s="40">
        <f>BM877*(1-IF(B877&gt;=in_marketplace_from,d_hz_recharge*G877,0))</f>
        <v/>
      </c>
      <c r="BN878" s="40">
        <f>BN877*d_rho_recharge+BM878*IF(B878&gt;=in_marketplace_from,d_hz_recharge*G878,0)</f>
        <v/>
      </c>
      <c r="BO878" s="14">
        <f>F878*BN878*in_recharge_ticket*in_recharge_comm/12</f>
        <v/>
      </c>
      <c r="BP878" s="40">
        <f>BP877*(1-IF(B877&gt;=in_marketplace_from,d_hz_bills*G877,0))</f>
        <v/>
      </c>
      <c r="BQ878" s="40">
        <f>BQ877*d_rho_bills+BP878*IF(B878&gt;=in_marketplace_from,d_hz_bills*G878,0)</f>
        <v/>
      </c>
      <c r="BR878" s="14">
        <f>F878*BQ878*in_bills_ticket*in_bills_comm/12</f>
        <v/>
      </c>
      <c r="BS878" s="40">
        <f>BS877*(1-IF(B877&gt;=in_marketplace_from,d_hz_loan_gold*G877,0))</f>
        <v/>
      </c>
      <c r="BT878" s="14">
        <f>F878*BS878*IF(B878&gt;=in_marketplace_from,d_hz_loan_gold*G878,0)*in_loan_gold_ticket*in_loan_gold_comm</f>
        <v/>
      </c>
      <c r="BU878" s="40">
        <f>BU877*(1-IF(B877&gt;=in_marketplace_from,d_hz_loan_cd*G877,0))</f>
        <v/>
      </c>
      <c r="BV878" s="14">
        <f>F878*BU878*IF(B878&gt;=in_marketplace_from,d_hz_loan_cd*G878,0)*in_loan_cd_ticket*in_loan_cd_comm</f>
        <v/>
      </c>
      <c r="BW878" s="40">
        <f>BW877*(1-IF(B877&gt;=in_marketplace_from,d_hz_loan_vehicle*G877,0))</f>
        <v/>
      </c>
      <c r="BX878" s="14">
        <f>F878*BW878*IF(B878&gt;=in_marketplace_from,d_hz_loan_vehicle*G878,0)*in_loan_vehicle_ticket*in_loan_vehicle_comm</f>
        <v/>
      </c>
      <c r="BY878" s="40">
        <f>BY877*(1-IF(B877&gt;=in_marketplace_from,d_hz_loan_home*G877,0)*BZ877)</f>
        <v/>
      </c>
      <c r="BZ878" s="11">
        <f>MIN(in_approval_cap,in_loan_home_approval*INDEX('Age profile'!$O$2:$O$61,B878)*(1+in_approval_growth)^(D878-1))</f>
        <v/>
      </c>
      <c r="CA878" s="14">
        <f>F878*BY878*IF(B878&gt;=in_marketplace_from,d_hz_loan_home*G878,0)*BZ878*in_loan_home_ticket*in_loan_home_comm</f>
        <v/>
      </c>
      <c r="CB878" s="40">
        <f>CB877*(1-IF(B877&gt;=in_marketplace_from,d_hz_loan_lap*G877,0)*CC877)</f>
        <v/>
      </c>
      <c r="CC878" s="11">
        <f>MIN(in_approval_cap,in_loan_lap_approval*INDEX('Age profile'!$O$2:$O$61,B878)*(1+in_approval_growth)^(D878-1))</f>
        <v/>
      </c>
      <c r="CD878" s="14">
        <f>F878*CB878*IF(B878&gt;=in_marketplace_from,d_hz_loan_lap*G878,0)*CC878*in_loan_lap_ticket*in_loan_lap_comm</f>
        <v/>
      </c>
      <c r="CE878" s="14">
        <f>AA878+AB878+AC878+AD878+AG878+AJ878+AM878+AP878+AS878+AU878+AX878+BB878+BE878+BG878+BJ878+BL878+BO878+BR878+BT878+BV878+BX878+CA878+CD878</f>
        <v/>
      </c>
    </row>
    <row r="879">
      <c r="A879" s="39" t="n">
        <v>17</v>
      </c>
      <c r="B879" s="39" t="n">
        <v>38</v>
      </c>
      <c r="C879" s="39">
        <f>A879+B879-1</f>
        <v/>
      </c>
      <c r="D879" s="39">
        <f>INT((C879-1)/12)+1</f>
        <v/>
      </c>
      <c r="E879" s="44">
        <f>INDEX(Monthly!$B$2:$B$61,A879)</f>
        <v/>
      </c>
      <c r="F879" s="44">
        <f>E879*INDEX('Age profile'!$B$2:$B$61,B879)</f>
        <v/>
      </c>
      <c r="G879" s="45">
        <f>MIN(in_takeup_cap,INDEX('Age profile'!$N$2:$N$61,B879)*(1+in_takeup_growth)^(D879-1))</f>
        <v/>
      </c>
      <c r="H879" s="11">
        <f>MIN(in_approval_cap,in_approved_first*INDEX('Age profile'!$O$2:$O$61,B879)*(1+in_approval_growth)^(D879-1))</f>
        <v/>
      </c>
      <c r="I879" s="45">
        <f>G879*MIN(in_takeup_cap,INDEX('Age profile'!$O$2:$O$61,B879)*(1+in_approval_growth)^(D879-1))</f>
        <v/>
      </c>
      <c r="J879" s="40">
        <f>(J878-L878)*F879/F878</f>
        <v/>
      </c>
      <c r="K879" s="40">
        <f>(K878-M878)*F879/F878+SUMIFS(O842:O878,B842:B878,B879-1-d_T)*F879</f>
        <v/>
      </c>
      <c r="L879" s="40">
        <f>IF(B879&gt;=in_marketplace_from,J879*d_hz*G879*in_eligible*H879,0)</f>
        <v/>
      </c>
      <c r="M879" s="40">
        <f>IF(B879&gt;=in_marketplace_from,K879*d_hz*G879*in_eligible*in_approved_repeat,0)</f>
        <v/>
      </c>
      <c r="N879" s="40">
        <f>L879+M879</f>
        <v/>
      </c>
      <c r="O879" s="46">
        <f>N879/F879</f>
        <v/>
      </c>
      <c r="P879" s="40">
        <f>F879-J879-K879</f>
        <v/>
      </c>
      <c r="Q879" s="40">
        <f>IF(B879&gt;=in_marketplace_from,(J879+K879)*d_hz*G879,0)</f>
        <v/>
      </c>
      <c r="R879" s="40">
        <f>SUMIFS(N842:N885,B842:B885,"&gt;="&amp;(B879-d_T),B842:B885,"&lt;="&amp;(B879-1))</f>
        <v/>
      </c>
      <c r="S879" s="46">
        <f>(1-d_u)*S878+IF(d_T&gt;in_topup_lag,SUMIFS(O842:O885,B842:B885,B879-in_topup_lag)-d_udrop*SUMIFS(O842:O885,B842:B885,B879-d_T),0)</f>
        <v/>
      </c>
      <c r="T879" s="40">
        <f>F879*d_u*S879</f>
        <v/>
      </c>
      <c r="U879" s="9">
        <f>L879*in_ticket+M879*d_rep_ticket</f>
        <v/>
      </c>
      <c r="V879" s="9">
        <f>U879+T879*d_topup_amt</f>
        <v/>
      </c>
      <c r="W879" s="40">
        <f>N879+T879*d_topup_ratio</f>
        <v/>
      </c>
      <c r="X879" s="40">
        <f>SUMIFS(W842:W885,B842:B885,B879-in_dpd_lag)*d_cured</f>
        <v/>
      </c>
      <c r="Y879" s="40">
        <f>SUMIFS(W842:W885,B842:B885,B879-in_rec_lag)*d_recd</f>
        <v/>
      </c>
      <c r="Z879" s="40">
        <f>IF(AND(B879&gt;=in_marketplace_from,B879&lt;in_marketplace_from+in_card_months),in_card_share/in_card_months*F879*I879,IF(AND(B879&gt;=in_marketplace_from+in_card_months,B879&lt;in_marketplace_from+2*in_card_months),in_card_share*d_card_rem/in_card_months*F879*MIN(in_takeup_cap,(1+in_takeup_growth)^(D879-1))*MIN(in_takeup_cap,(1+in_approval_growth)^(D879-1)),0))</f>
        <v/>
      </c>
      <c r="AA879" s="14">
        <f>V879*in_fee*(1-in_taken_back)</f>
        <v/>
      </c>
      <c r="AB879" s="14">
        <f>SUMIFS(W842:W885,B842:B885,B879-in_dpd_lag)*d_dpd</f>
        <v/>
      </c>
      <c r="AC879" s="14">
        <f>SUMIFS(W842:W885,B842:B885,B879-in_rec_lag)*d_rec</f>
        <v/>
      </c>
      <c r="AD879" s="14">
        <f>Z879*in_card_fee</f>
        <v/>
      </c>
      <c r="AE879" s="40">
        <f>AE878*(1-IF(B878&gt;=in_marketplace_from,d_hz_hlth_small*G878,0))</f>
        <v/>
      </c>
      <c r="AF879" s="46">
        <f>AE879*IF(B879&gt;=in_marketplace_from,d_hz_hlth_small*G879,0)</f>
        <v/>
      </c>
      <c r="AG879" s="14">
        <f>F879*AF879*in_hlth_small_ticket*in_hlth_small_comm*in_ins_partner_share+F879*in_hlth_small_ticket*in_hlth_small_renew_comm*in_ins_partner_share*(in_hlth_small_renew^1*SUMIFS(AF842:AF885,B842:B885,B879-12)+in_hlth_small_renew^2*SUMIFS(AF842:AF885,B842:B885,B879-24)+in_hlth_small_renew^3*SUMIFS(AF842:AF885,B842:B885,B879-36)+in_hlth_small_renew^4*SUMIFS(AF842:AF885,B842:B885,B879-48))</f>
        <v/>
      </c>
      <c r="AH879" s="40">
        <f>AH878*(1-IF(B878&gt;=in_marketplace_from,d_hz_hlth_family*G878,0))</f>
        <v/>
      </c>
      <c r="AI879" s="46">
        <f>AH879*IF(B879&gt;=in_marketplace_from,d_hz_hlth_family*G879,0)</f>
        <v/>
      </c>
      <c r="AJ879" s="14">
        <f>F879*AI879*in_hlth_family_ticket*in_hlth_family_comm*in_ins_partner_share+F879*in_hlth_family_ticket*in_hlth_family_renew_comm*in_ins_partner_share*(in_hlth_family_renew^1*SUMIFS(AI842:AI885,B842:B885,B879-12)+in_hlth_family_renew^2*SUMIFS(AI842:AI885,B842:B885,B879-24)+in_hlth_family_renew^3*SUMIFS(AI842:AI885,B842:B885,B879-36)+in_hlth_family_renew^4*SUMIFS(AI842:AI885,B842:B885,B879-48))</f>
        <v/>
      </c>
      <c r="AK879" s="40">
        <f>AK878*(1-IF(B878&gt;=in_marketplace_from,d_hz_life_term*G878,0))</f>
        <v/>
      </c>
      <c r="AL879" s="46">
        <f>AK879*IF(B879&gt;=in_marketplace_from,d_hz_life_term*G879,0)</f>
        <v/>
      </c>
      <c r="AM879" s="14">
        <f>F879*AL879*in_life_term_ticket*in_life_term_comm*in_ins_partner_share+F879*in_life_term_ticket*in_life_term_renew_comm*in_ins_partner_share*(in_life_term_renew^1*SUMIFS(AL842:AL885,B842:B885,B879-12)+in_life_term_renew^2*SUMIFS(AL842:AL885,B842:B885,B879-24)+in_life_term_renew^3*SUMIFS(AL842:AL885,B842:B885,B879-36)+in_life_term_renew^4*SUMIFS(AL842:AL885,B842:B885,B879-48))</f>
        <v/>
      </c>
      <c r="AN879" s="40">
        <f>AN878*(1-IF(B878&gt;=in_marketplace_from,d_hz_accident*G878,0))</f>
        <v/>
      </c>
      <c r="AO879" s="46">
        <f>AN879*IF(B879&gt;=in_marketplace_from,d_hz_accident*G879,0)</f>
        <v/>
      </c>
      <c r="AP879" s="14">
        <f>F879*AO879*in_accident_ticket*in_accident_comm*in_ins_partner_share+F879*in_accident_ticket*in_accident_renew_comm*in_ins_partner_share*(in_accident_renew^1*SUMIFS(AO842:AO885,B842:B885,B879-12)+in_accident_renew^2*SUMIFS(AO842:AO885,B842:B885,B879-24)+in_accident_renew^3*SUMIFS(AO842:AO885,B842:B885,B879-36)+in_accident_renew^4*SUMIFS(AO842:AO885,B842:B885,B879-48))</f>
        <v/>
      </c>
      <c r="AQ879" s="40">
        <f>AQ878*(1-IF(B878&gt;=in_marketplace_from,d_hz_two_wheeler*G878,0))</f>
        <v/>
      </c>
      <c r="AR879" s="46">
        <f>AQ879*IF(B879&gt;=in_marketplace_from,d_hz_two_wheeler*G879,0)</f>
        <v/>
      </c>
      <c r="AS879" s="14">
        <f>F879*AR879*in_two_wheeler_ticket*in_two_wheeler_comm*in_ins_partner_share+F879*in_two_wheeler_ticket*in_two_wheeler_comm*in_ins_partner_share*(in_two_wheeler_renew^1*SUMIFS(AR842:AR885,B842:B885,B879-12)+in_two_wheeler_renew^2*SUMIFS(AR842:AR885,B842:B885,B879-24)+in_two_wheeler_renew^3*SUMIFS(AR842:AR885,B842:B885,B879-36)+in_two_wheeler_renew^4*SUMIFS(AR842:AR885,B842:B885,B879-48))</f>
        <v/>
      </c>
      <c r="AT879" s="40">
        <f>AT878*(1-IF(B878&gt;=in_marketplace_from,d_hz_device*G878,0))</f>
        <v/>
      </c>
      <c r="AU879" s="14">
        <f>F879*AT879*IF(B879&gt;=in_marketplace_from,d_hz_device*G879,0)*in_device_ticket*in_device_comm*in_ins_partner_share</f>
        <v/>
      </c>
      <c r="AV879" s="40">
        <f>AV878*(1-IF(B878&gt;=in_marketplace_from,d_hz_shop*G878,0))</f>
        <v/>
      </c>
      <c r="AW879" s="46">
        <f>AV879*IF(B879&gt;=in_marketplace_from,d_hz_shop*G879,0)</f>
        <v/>
      </c>
      <c r="AX879" s="14">
        <f>F879*AW879*in_shop_ticket*in_shop_comm*in_ins_partner_share+F879*in_shop_ticket*in_shop_renew_comm*in_ins_partner_share*(in_shop_renew^1*SUMIFS(AW842:AW885,B842:B885,B879-12)+in_shop_renew^2*SUMIFS(AW842:AW885,B842:B885,B879-24)+in_shop_renew^3*SUMIFS(AW842:AW885,B842:B885,B879-36)+in_shop_renew^4*SUMIFS(AW842:AW885,B842:B885,B879-48))</f>
        <v/>
      </c>
      <c r="AY879" s="40">
        <f>AY878*(1-IF(B878&gt;=in_marketplace_from,d_hz_sip*G878,0))</f>
        <v/>
      </c>
      <c r="AZ879" s="40">
        <f>AZ878*d_rho_sip+AY879*IF(B879&gt;=in_marketplace_from,d_hz_sip*G879,0)</f>
        <v/>
      </c>
      <c r="BA879" s="40">
        <f>d_rho_sip*(BA878+AZ878)</f>
        <v/>
      </c>
      <c r="BB879" s="14">
        <f>F879*in_sip_ticket*(BA879+0.5*AZ879)*in_sip_comm/12</f>
        <v/>
      </c>
      <c r="BC879" s="40">
        <f>BC878*(1-IF(B878&gt;=in_marketplace_from,d_hz_choti*G878,0))</f>
        <v/>
      </c>
      <c r="BD879" s="46">
        <f>BC879*IF(B879&gt;=in_marketplace_from,d_hz_choti*G879,0)</f>
        <v/>
      </c>
      <c r="BE879" s="14">
        <f>F879*SUMIFS(BD842:BD885,B842:B885,B879-in_choti_months)*in_choti_renew*in_choti_ticket</f>
        <v/>
      </c>
      <c r="BF879" s="40">
        <f>BF878*(1-IF(B878&gt;=in_marketplace_from,d_hz_nps*G878,0))</f>
        <v/>
      </c>
      <c r="BG879" s="14">
        <f>F879*BF879*IF(B879&gt;=in_marketplace_from,d_hz_nps*G879,0)*in_nps_ticket*in_nps_comm</f>
        <v/>
      </c>
      <c r="BH879" s="40">
        <f>BH878*(1-IF(B878&gt;=in_marketplace_from,d_hz_gold*G878,0))</f>
        <v/>
      </c>
      <c r="BI879" s="40">
        <f>BI878*d_rho_gold+BH879*IF(B879&gt;=in_marketplace_from,d_hz_gold*G879,0)</f>
        <v/>
      </c>
      <c r="BJ879" s="14">
        <f>F879*BI879*in_gold_ticket*in_gold_comm</f>
        <v/>
      </c>
      <c r="BK879" s="40">
        <f>BK878*(1-IF(B878&gt;=in_marketplace_from,d_hz_fd*G878,0))</f>
        <v/>
      </c>
      <c r="BL879" s="14">
        <f>F879*BK879*IF(B879&gt;=in_marketplace_from,d_hz_fd*G879,0)*in_fd_ticket*in_fd_comm</f>
        <v/>
      </c>
      <c r="BM879" s="40">
        <f>BM878*(1-IF(B878&gt;=in_marketplace_from,d_hz_recharge*G878,0))</f>
        <v/>
      </c>
      <c r="BN879" s="40">
        <f>BN878*d_rho_recharge+BM879*IF(B879&gt;=in_marketplace_from,d_hz_recharge*G879,0)</f>
        <v/>
      </c>
      <c r="BO879" s="14">
        <f>F879*BN879*in_recharge_ticket*in_recharge_comm/12</f>
        <v/>
      </c>
      <c r="BP879" s="40">
        <f>BP878*(1-IF(B878&gt;=in_marketplace_from,d_hz_bills*G878,0))</f>
        <v/>
      </c>
      <c r="BQ879" s="40">
        <f>BQ878*d_rho_bills+BP879*IF(B879&gt;=in_marketplace_from,d_hz_bills*G879,0)</f>
        <v/>
      </c>
      <c r="BR879" s="14">
        <f>F879*BQ879*in_bills_ticket*in_bills_comm/12</f>
        <v/>
      </c>
      <c r="BS879" s="40">
        <f>BS878*(1-IF(B878&gt;=in_marketplace_from,d_hz_loan_gold*G878,0))</f>
        <v/>
      </c>
      <c r="BT879" s="14">
        <f>F879*BS879*IF(B879&gt;=in_marketplace_from,d_hz_loan_gold*G879,0)*in_loan_gold_ticket*in_loan_gold_comm</f>
        <v/>
      </c>
      <c r="BU879" s="40">
        <f>BU878*(1-IF(B878&gt;=in_marketplace_from,d_hz_loan_cd*G878,0))</f>
        <v/>
      </c>
      <c r="BV879" s="14">
        <f>F879*BU879*IF(B879&gt;=in_marketplace_from,d_hz_loan_cd*G879,0)*in_loan_cd_ticket*in_loan_cd_comm</f>
        <v/>
      </c>
      <c r="BW879" s="40">
        <f>BW878*(1-IF(B878&gt;=in_marketplace_from,d_hz_loan_vehicle*G878,0))</f>
        <v/>
      </c>
      <c r="BX879" s="14">
        <f>F879*BW879*IF(B879&gt;=in_marketplace_from,d_hz_loan_vehicle*G879,0)*in_loan_vehicle_ticket*in_loan_vehicle_comm</f>
        <v/>
      </c>
      <c r="BY879" s="40">
        <f>BY878*(1-IF(B878&gt;=in_marketplace_from,d_hz_loan_home*G878,0)*BZ878)</f>
        <v/>
      </c>
      <c r="BZ879" s="11">
        <f>MIN(in_approval_cap,in_loan_home_approval*INDEX('Age profile'!$O$2:$O$61,B879)*(1+in_approval_growth)^(D879-1))</f>
        <v/>
      </c>
      <c r="CA879" s="14">
        <f>F879*BY879*IF(B879&gt;=in_marketplace_from,d_hz_loan_home*G879,0)*BZ879*in_loan_home_ticket*in_loan_home_comm</f>
        <v/>
      </c>
      <c r="CB879" s="40">
        <f>CB878*(1-IF(B878&gt;=in_marketplace_from,d_hz_loan_lap*G878,0)*CC878)</f>
        <v/>
      </c>
      <c r="CC879" s="11">
        <f>MIN(in_approval_cap,in_loan_lap_approval*INDEX('Age profile'!$O$2:$O$61,B879)*(1+in_approval_growth)^(D879-1))</f>
        <v/>
      </c>
      <c r="CD879" s="14">
        <f>F879*CB879*IF(B879&gt;=in_marketplace_from,d_hz_loan_lap*G879,0)*CC879*in_loan_lap_ticket*in_loan_lap_comm</f>
        <v/>
      </c>
      <c r="CE879" s="14">
        <f>AA879+AB879+AC879+AD879+AG879+AJ879+AM879+AP879+AS879+AU879+AX879+BB879+BE879+BG879+BJ879+BL879+BO879+BR879+BT879+BV879+BX879+CA879+CD879</f>
        <v/>
      </c>
    </row>
    <row r="880">
      <c r="A880" s="39" t="n">
        <v>17</v>
      </c>
      <c r="B880" s="39" t="n">
        <v>39</v>
      </c>
      <c r="C880" s="39">
        <f>A880+B880-1</f>
        <v/>
      </c>
      <c r="D880" s="39">
        <f>INT((C880-1)/12)+1</f>
        <v/>
      </c>
      <c r="E880" s="44">
        <f>INDEX(Monthly!$B$2:$B$61,A880)</f>
        <v/>
      </c>
      <c r="F880" s="44">
        <f>E880*INDEX('Age profile'!$B$2:$B$61,B880)</f>
        <v/>
      </c>
      <c r="G880" s="45">
        <f>MIN(in_takeup_cap,INDEX('Age profile'!$N$2:$N$61,B880)*(1+in_takeup_growth)^(D880-1))</f>
        <v/>
      </c>
      <c r="H880" s="11">
        <f>MIN(in_approval_cap,in_approved_first*INDEX('Age profile'!$O$2:$O$61,B880)*(1+in_approval_growth)^(D880-1))</f>
        <v/>
      </c>
      <c r="I880" s="45">
        <f>G880*MIN(in_takeup_cap,INDEX('Age profile'!$O$2:$O$61,B880)*(1+in_approval_growth)^(D880-1))</f>
        <v/>
      </c>
      <c r="J880" s="40">
        <f>(J879-L879)*F880/F879</f>
        <v/>
      </c>
      <c r="K880" s="40">
        <f>(K879-M879)*F880/F879+SUMIFS(O842:O879,B842:B879,B880-1-d_T)*F880</f>
        <v/>
      </c>
      <c r="L880" s="40">
        <f>IF(B880&gt;=in_marketplace_from,J880*d_hz*G880*in_eligible*H880,0)</f>
        <v/>
      </c>
      <c r="M880" s="40">
        <f>IF(B880&gt;=in_marketplace_from,K880*d_hz*G880*in_eligible*in_approved_repeat,0)</f>
        <v/>
      </c>
      <c r="N880" s="40">
        <f>L880+M880</f>
        <v/>
      </c>
      <c r="O880" s="46">
        <f>N880/F880</f>
        <v/>
      </c>
      <c r="P880" s="40">
        <f>F880-J880-K880</f>
        <v/>
      </c>
      <c r="Q880" s="40">
        <f>IF(B880&gt;=in_marketplace_from,(J880+K880)*d_hz*G880,0)</f>
        <v/>
      </c>
      <c r="R880" s="40">
        <f>SUMIFS(N842:N885,B842:B885,"&gt;="&amp;(B880-d_T),B842:B885,"&lt;="&amp;(B880-1))</f>
        <v/>
      </c>
      <c r="S880" s="46">
        <f>(1-d_u)*S879+IF(d_T&gt;in_topup_lag,SUMIFS(O842:O885,B842:B885,B880-in_topup_lag)-d_udrop*SUMIFS(O842:O885,B842:B885,B880-d_T),0)</f>
        <v/>
      </c>
      <c r="T880" s="40">
        <f>F880*d_u*S880</f>
        <v/>
      </c>
      <c r="U880" s="9">
        <f>L880*in_ticket+M880*d_rep_ticket</f>
        <v/>
      </c>
      <c r="V880" s="9">
        <f>U880+T880*d_topup_amt</f>
        <v/>
      </c>
      <c r="W880" s="40">
        <f>N880+T880*d_topup_ratio</f>
        <v/>
      </c>
      <c r="X880" s="40">
        <f>SUMIFS(W842:W885,B842:B885,B880-in_dpd_lag)*d_cured</f>
        <v/>
      </c>
      <c r="Y880" s="40">
        <f>SUMIFS(W842:W885,B842:B885,B880-in_rec_lag)*d_recd</f>
        <v/>
      </c>
      <c r="Z880" s="40">
        <f>IF(AND(B880&gt;=in_marketplace_from,B880&lt;in_marketplace_from+in_card_months),in_card_share/in_card_months*F880*I880,IF(AND(B880&gt;=in_marketplace_from+in_card_months,B880&lt;in_marketplace_from+2*in_card_months),in_card_share*d_card_rem/in_card_months*F880*MIN(in_takeup_cap,(1+in_takeup_growth)^(D880-1))*MIN(in_takeup_cap,(1+in_approval_growth)^(D880-1)),0))</f>
        <v/>
      </c>
      <c r="AA880" s="14">
        <f>V880*in_fee*(1-in_taken_back)</f>
        <v/>
      </c>
      <c r="AB880" s="14">
        <f>SUMIFS(W842:W885,B842:B885,B880-in_dpd_lag)*d_dpd</f>
        <v/>
      </c>
      <c r="AC880" s="14">
        <f>SUMIFS(W842:W885,B842:B885,B880-in_rec_lag)*d_rec</f>
        <v/>
      </c>
      <c r="AD880" s="14">
        <f>Z880*in_card_fee</f>
        <v/>
      </c>
      <c r="AE880" s="40">
        <f>AE879*(1-IF(B879&gt;=in_marketplace_from,d_hz_hlth_small*G879,0))</f>
        <v/>
      </c>
      <c r="AF880" s="46">
        <f>AE880*IF(B880&gt;=in_marketplace_from,d_hz_hlth_small*G880,0)</f>
        <v/>
      </c>
      <c r="AG880" s="14">
        <f>F880*AF880*in_hlth_small_ticket*in_hlth_small_comm*in_ins_partner_share+F880*in_hlth_small_ticket*in_hlth_small_renew_comm*in_ins_partner_share*(in_hlth_small_renew^1*SUMIFS(AF842:AF885,B842:B885,B880-12)+in_hlth_small_renew^2*SUMIFS(AF842:AF885,B842:B885,B880-24)+in_hlth_small_renew^3*SUMIFS(AF842:AF885,B842:B885,B880-36)+in_hlth_small_renew^4*SUMIFS(AF842:AF885,B842:B885,B880-48))</f>
        <v/>
      </c>
      <c r="AH880" s="40">
        <f>AH879*(1-IF(B879&gt;=in_marketplace_from,d_hz_hlth_family*G879,0))</f>
        <v/>
      </c>
      <c r="AI880" s="46">
        <f>AH880*IF(B880&gt;=in_marketplace_from,d_hz_hlth_family*G880,0)</f>
        <v/>
      </c>
      <c r="AJ880" s="14">
        <f>F880*AI880*in_hlth_family_ticket*in_hlth_family_comm*in_ins_partner_share+F880*in_hlth_family_ticket*in_hlth_family_renew_comm*in_ins_partner_share*(in_hlth_family_renew^1*SUMIFS(AI842:AI885,B842:B885,B880-12)+in_hlth_family_renew^2*SUMIFS(AI842:AI885,B842:B885,B880-24)+in_hlth_family_renew^3*SUMIFS(AI842:AI885,B842:B885,B880-36)+in_hlth_family_renew^4*SUMIFS(AI842:AI885,B842:B885,B880-48))</f>
        <v/>
      </c>
      <c r="AK880" s="40">
        <f>AK879*(1-IF(B879&gt;=in_marketplace_from,d_hz_life_term*G879,0))</f>
        <v/>
      </c>
      <c r="AL880" s="46">
        <f>AK880*IF(B880&gt;=in_marketplace_from,d_hz_life_term*G880,0)</f>
        <v/>
      </c>
      <c r="AM880" s="14">
        <f>F880*AL880*in_life_term_ticket*in_life_term_comm*in_ins_partner_share+F880*in_life_term_ticket*in_life_term_renew_comm*in_ins_partner_share*(in_life_term_renew^1*SUMIFS(AL842:AL885,B842:B885,B880-12)+in_life_term_renew^2*SUMIFS(AL842:AL885,B842:B885,B880-24)+in_life_term_renew^3*SUMIFS(AL842:AL885,B842:B885,B880-36)+in_life_term_renew^4*SUMIFS(AL842:AL885,B842:B885,B880-48))</f>
        <v/>
      </c>
      <c r="AN880" s="40">
        <f>AN879*(1-IF(B879&gt;=in_marketplace_from,d_hz_accident*G879,0))</f>
        <v/>
      </c>
      <c r="AO880" s="46">
        <f>AN880*IF(B880&gt;=in_marketplace_from,d_hz_accident*G880,0)</f>
        <v/>
      </c>
      <c r="AP880" s="14">
        <f>F880*AO880*in_accident_ticket*in_accident_comm*in_ins_partner_share+F880*in_accident_ticket*in_accident_renew_comm*in_ins_partner_share*(in_accident_renew^1*SUMIFS(AO842:AO885,B842:B885,B880-12)+in_accident_renew^2*SUMIFS(AO842:AO885,B842:B885,B880-24)+in_accident_renew^3*SUMIFS(AO842:AO885,B842:B885,B880-36)+in_accident_renew^4*SUMIFS(AO842:AO885,B842:B885,B880-48))</f>
        <v/>
      </c>
      <c r="AQ880" s="40">
        <f>AQ879*(1-IF(B879&gt;=in_marketplace_from,d_hz_two_wheeler*G879,0))</f>
        <v/>
      </c>
      <c r="AR880" s="46">
        <f>AQ880*IF(B880&gt;=in_marketplace_from,d_hz_two_wheeler*G880,0)</f>
        <v/>
      </c>
      <c r="AS880" s="14">
        <f>F880*AR880*in_two_wheeler_ticket*in_two_wheeler_comm*in_ins_partner_share+F880*in_two_wheeler_ticket*in_two_wheeler_comm*in_ins_partner_share*(in_two_wheeler_renew^1*SUMIFS(AR842:AR885,B842:B885,B880-12)+in_two_wheeler_renew^2*SUMIFS(AR842:AR885,B842:B885,B880-24)+in_two_wheeler_renew^3*SUMIFS(AR842:AR885,B842:B885,B880-36)+in_two_wheeler_renew^4*SUMIFS(AR842:AR885,B842:B885,B880-48))</f>
        <v/>
      </c>
      <c r="AT880" s="40">
        <f>AT879*(1-IF(B879&gt;=in_marketplace_from,d_hz_device*G879,0))</f>
        <v/>
      </c>
      <c r="AU880" s="14">
        <f>F880*AT880*IF(B880&gt;=in_marketplace_from,d_hz_device*G880,0)*in_device_ticket*in_device_comm*in_ins_partner_share</f>
        <v/>
      </c>
      <c r="AV880" s="40">
        <f>AV879*(1-IF(B879&gt;=in_marketplace_from,d_hz_shop*G879,0))</f>
        <v/>
      </c>
      <c r="AW880" s="46">
        <f>AV880*IF(B880&gt;=in_marketplace_from,d_hz_shop*G880,0)</f>
        <v/>
      </c>
      <c r="AX880" s="14">
        <f>F880*AW880*in_shop_ticket*in_shop_comm*in_ins_partner_share+F880*in_shop_ticket*in_shop_renew_comm*in_ins_partner_share*(in_shop_renew^1*SUMIFS(AW842:AW885,B842:B885,B880-12)+in_shop_renew^2*SUMIFS(AW842:AW885,B842:B885,B880-24)+in_shop_renew^3*SUMIFS(AW842:AW885,B842:B885,B880-36)+in_shop_renew^4*SUMIFS(AW842:AW885,B842:B885,B880-48))</f>
        <v/>
      </c>
      <c r="AY880" s="40">
        <f>AY879*(1-IF(B879&gt;=in_marketplace_from,d_hz_sip*G879,0))</f>
        <v/>
      </c>
      <c r="AZ880" s="40">
        <f>AZ879*d_rho_sip+AY880*IF(B880&gt;=in_marketplace_from,d_hz_sip*G880,0)</f>
        <v/>
      </c>
      <c r="BA880" s="40">
        <f>d_rho_sip*(BA879+AZ879)</f>
        <v/>
      </c>
      <c r="BB880" s="14">
        <f>F880*in_sip_ticket*(BA880+0.5*AZ880)*in_sip_comm/12</f>
        <v/>
      </c>
      <c r="BC880" s="40">
        <f>BC879*(1-IF(B879&gt;=in_marketplace_from,d_hz_choti*G879,0))</f>
        <v/>
      </c>
      <c r="BD880" s="46">
        <f>BC880*IF(B880&gt;=in_marketplace_from,d_hz_choti*G880,0)</f>
        <v/>
      </c>
      <c r="BE880" s="14">
        <f>F880*SUMIFS(BD842:BD885,B842:B885,B880-in_choti_months)*in_choti_renew*in_choti_ticket</f>
        <v/>
      </c>
      <c r="BF880" s="40">
        <f>BF879*(1-IF(B879&gt;=in_marketplace_from,d_hz_nps*G879,0))</f>
        <v/>
      </c>
      <c r="BG880" s="14">
        <f>F880*BF880*IF(B880&gt;=in_marketplace_from,d_hz_nps*G880,0)*in_nps_ticket*in_nps_comm</f>
        <v/>
      </c>
      <c r="BH880" s="40">
        <f>BH879*(1-IF(B879&gt;=in_marketplace_from,d_hz_gold*G879,0))</f>
        <v/>
      </c>
      <c r="BI880" s="40">
        <f>BI879*d_rho_gold+BH880*IF(B880&gt;=in_marketplace_from,d_hz_gold*G880,0)</f>
        <v/>
      </c>
      <c r="BJ880" s="14">
        <f>F880*BI880*in_gold_ticket*in_gold_comm</f>
        <v/>
      </c>
      <c r="BK880" s="40">
        <f>BK879*(1-IF(B879&gt;=in_marketplace_from,d_hz_fd*G879,0))</f>
        <v/>
      </c>
      <c r="BL880" s="14">
        <f>F880*BK880*IF(B880&gt;=in_marketplace_from,d_hz_fd*G880,0)*in_fd_ticket*in_fd_comm</f>
        <v/>
      </c>
      <c r="BM880" s="40">
        <f>BM879*(1-IF(B879&gt;=in_marketplace_from,d_hz_recharge*G879,0))</f>
        <v/>
      </c>
      <c r="BN880" s="40">
        <f>BN879*d_rho_recharge+BM880*IF(B880&gt;=in_marketplace_from,d_hz_recharge*G880,0)</f>
        <v/>
      </c>
      <c r="BO880" s="14">
        <f>F880*BN880*in_recharge_ticket*in_recharge_comm/12</f>
        <v/>
      </c>
      <c r="BP880" s="40">
        <f>BP879*(1-IF(B879&gt;=in_marketplace_from,d_hz_bills*G879,0))</f>
        <v/>
      </c>
      <c r="BQ880" s="40">
        <f>BQ879*d_rho_bills+BP880*IF(B880&gt;=in_marketplace_from,d_hz_bills*G880,0)</f>
        <v/>
      </c>
      <c r="BR880" s="14">
        <f>F880*BQ880*in_bills_ticket*in_bills_comm/12</f>
        <v/>
      </c>
      <c r="BS880" s="40">
        <f>BS879*(1-IF(B879&gt;=in_marketplace_from,d_hz_loan_gold*G879,0))</f>
        <v/>
      </c>
      <c r="BT880" s="14">
        <f>F880*BS880*IF(B880&gt;=in_marketplace_from,d_hz_loan_gold*G880,0)*in_loan_gold_ticket*in_loan_gold_comm</f>
        <v/>
      </c>
      <c r="BU880" s="40">
        <f>BU879*(1-IF(B879&gt;=in_marketplace_from,d_hz_loan_cd*G879,0))</f>
        <v/>
      </c>
      <c r="BV880" s="14">
        <f>F880*BU880*IF(B880&gt;=in_marketplace_from,d_hz_loan_cd*G880,0)*in_loan_cd_ticket*in_loan_cd_comm</f>
        <v/>
      </c>
      <c r="BW880" s="40">
        <f>BW879*(1-IF(B879&gt;=in_marketplace_from,d_hz_loan_vehicle*G879,0))</f>
        <v/>
      </c>
      <c r="BX880" s="14">
        <f>F880*BW880*IF(B880&gt;=in_marketplace_from,d_hz_loan_vehicle*G880,0)*in_loan_vehicle_ticket*in_loan_vehicle_comm</f>
        <v/>
      </c>
      <c r="BY880" s="40">
        <f>BY879*(1-IF(B879&gt;=in_marketplace_from,d_hz_loan_home*G879,0)*BZ879)</f>
        <v/>
      </c>
      <c r="BZ880" s="11">
        <f>MIN(in_approval_cap,in_loan_home_approval*INDEX('Age profile'!$O$2:$O$61,B880)*(1+in_approval_growth)^(D880-1))</f>
        <v/>
      </c>
      <c r="CA880" s="14">
        <f>F880*BY880*IF(B880&gt;=in_marketplace_from,d_hz_loan_home*G880,0)*BZ880*in_loan_home_ticket*in_loan_home_comm</f>
        <v/>
      </c>
      <c r="CB880" s="40">
        <f>CB879*(1-IF(B879&gt;=in_marketplace_from,d_hz_loan_lap*G879,0)*CC879)</f>
        <v/>
      </c>
      <c r="CC880" s="11">
        <f>MIN(in_approval_cap,in_loan_lap_approval*INDEX('Age profile'!$O$2:$O$61,B880)*(1+in_approval_growth)^(D880-1))</f>
        <v/>
      </c>
      <c r="CD880" s="14">
        <f>F880*CB880*IF(B880&gt;=in_marketplace_from,d_hz_loan_lap*G880,0)*CC880*in_loan_lap_ticket*in_loan_lap_comm</f>
        <v/>
      </c>
      <c r="CE880" s="14">
        <f>AA880+AB880+AC880+AD880+AG880+AJ880+AM880+AP880+AS880+AU880+AX880+BB880+BE880+BG880+BJ880+BL880+BO880+BR880+BT880+BV880+BX880+CA880+CD880</f>
        <v/>
      </c>
    </row>
    <row r="881">
      <c r="A881" s="39" t="n">
        <v>17</v>
      </c>
      <c r="B881" s="39" t="n">
        <v>40</v>
      </c>
      <c r="C881" s="39">
        <f>A881+B881-1</f>
        <v/>
      </c>
      <c r="D881" s="39">
        <f>INT((C881-1)/12)+1</f>
        <v/>
      </c>
      <c r="E881" s="44">
        <f>INDEX(Monthly!$B$2:$B$61,A881)</f>
        <v/>
      </c>
      <c r="F881" s="44">
        <f>E881*INDEX('Age profile'!$B$2:$B$61,B881)</f>
        <v/>
      </c>
      <c r="G881" s="45">
        <f>MIN(in_takeup_cap,INDEX('Age profile'!$N$2:$N$61,B881)*(1+in_takeup_growth)^(D881-1))</f>
        <v/>
      </c>
      <c r="H881" s="11">
        <f>MIN(in_approval_cap,in_approved_first*INDEX('Age profile'!$O$2:$O$61,B881)*(1+in_approval_growth)^(D881-1))</f>
        <v/>
      </c>
      <c r="I881" s="45">
        <f>G881*MIN(in_takeup_cap,INDEX('Age profile'!$O$2:$O$61,B881)*(1+in_approval_growth)^(D881-1))</f>
        <v/>
      </c>
      <c r="J881" s="40">
        <f>(J880-L880)*F881/F880</f>
        <v/>
      </c>
      <c r="K881" s="40">
        <f>(K880-M880)*F881/F880+SUMIFS(O842:O880,B842:B880,B881-1-d_T)*F881</f>
        <v/>
      </c>
      <c r="L881" s="40">
        <f>IF(B881&gt;=in_marketplace_from,J881*d_hz*G881*in_eligible*H881,0)</f>
        <v/>
      </c>
      <c r="M881" s="40">
        <f>IF(B881&gt;=in_marketplace_from,K881*d_hz*G881*in_eligible*in_approved_repeat,0)</f>
        <v/>
      </c>
      <c r="N881" s="40">
        <f>L881+M881</f>
        <v/>
      </c>
      <c r="O881" s="46">
        <f>N881/F881</f>
        <v/>
      </c>
      <c r="P881" s="40">
        <f>F881-J881-K881</f>
        <v/>
      </c>
      <c r="Q881" s="40">
        <f>IF(B881&gt;=in_marketplace_from,(J881+K881)*d_hz*G881,0)</f>
        <v/>
      </c>
      <c r="R881" s="40">
        <f>SUMIFS(N842:N885,B842:B885,"&gt;="&amp;(B881-d_T),B842:B885,"&lt;="&amp;(B881-1))</f>
        <v/>
      </c>
      <c r="S881" s="46">
        <f>(1-d_u)*S880+IF(d_T&gt;in_topup_lag,SUMIFS(O842:O885,B842:B885,B881-in_topup_lag)-d_udrop*SUMIFS(O842:O885,B842:B885,B881-d_T),0)</f>
        <v/>
      </c>
      <c r="T881" s="40">
        <f>F881*d_u*S881</f>
        <v/>
      </c>
      <c r="U881" s="9">
        <f>L881*in_ticket+M881*d_rep_ticket</f>
        <v/>
      </c>
      <c r="V881" s="9">
        <f>U881+T881*d_topup_amt</f>
        <v/>
      </c>
      <c r="W881" s="40">
        <f>N881+T881*d_topup_ratio</f>
        <v/>
      </c>
      <c r="X881" s="40">
        <f>SUMIFS(W842:W885,B842:B885,B881-in_dpd_lag)*d_cured</f>
        <v/>
      </c>
      <c r="Y881" s="40">
        <f>SUMIFS(W842:W885,B842:B885,B881-in_rec_lag)*d_recd</f>
        <v/>
      </c>
      <c r="Z881" s="40">
        <f>IF(AND(B881&gt;=in_marketplace_from,B881&lt;in_marketplace_from+in_card_months),in_card_share/in_card_months*F881*I881,IF(AND(B881&gt;=in_marketplace_from+in_card_months,B881&lt;in_marketplace_from+2*in_card_months),in_card_share*d_card_rem/in_card_months*F881*MIN(in_takeup_cap,(1+in_takeup_growth)^(D881-1))*MIN(in_takeup_cap,(1+in_approval_growth)^(D881-1)),0))</f>
        <v/>
      </c>
      <c r="AA881" s="14">
        <f>V881*in_fee*(1-in_taken_back)</f>
        <v/>
      </c>
      <c r="AB881" s="14">
        <f>SUMIFS(W842:W885,B842:B885,B881-in_dpd_lag)*d_dpd</f>
        <v/>
      </c>
      <c r="AC881" s="14">
        <f>SUMIFS(W842:W885,B842:B885,B881-in_rec_lag)*d_rec</f>
        <v/>
      </c>
      <c r="AD881" s="14">
        <f>Z881*in_card_fee</f>
        <v/>
      </c>
      <c r="AE881" s="40">
        <f>AE880*(1-IF(B880&gt;=in_marketplace_from,d_hz_hlth_small*G880,0))</f>
        <v/>
      </c>
      <c r="AF881" s="46">
        <f>AE881*IF(B881&gt;=in_marketplace_from,d_hz_hlth_small*G881,0)</f>
        <v/>
      </c>
      <c r="AG881" s="14">
        <f>F881*AF881*in_hlth_small_ticket*in_hlth_small_comm*in_ins_partner_share+F881*in_hlth_small_ticket*in_hlth_small_renew_comm*in_ins_partner_share*(in_hlth_small_renew^1*SUMIFS(AF842:AF885,B842:B885,B881-12)+in_hlth_small_renew^2*SUMIFS(AF842:AF885,B842:B885,B881-24)+in_hlth_small_renew^3*SUMIFS(AF842:AF885,B842:B885,B881-36)+in_hlth_small_renew^4*SUMIFS(AF842:AF885,B842:B885,B881-48))</f>
        <v/>
      </c>
      <c r="AH881" s="40">
        <f>AH880*(1-IF(B880&gt;=in_marketplace_from,d_hz_hlth_family*G880,0))</f>
        <v/>
      </c>
      <c r="AI881" s="46">
        <f>AH881*IF(B881&gt;=in_marketplace_from,d_hz_hlth_family*G881,0)</f>
        <v/>
      </c>
      <c r="AJ881" s="14">
        <f>F881*AI881*in_hlth_family_ticket*in_hlth_family_comm*in_ins_partner_share+F881*in_hlth_family_ticket*in_hlth_family_renew_comm*in_ins_partner_share*(in_hlth_family_renew^1*SUMIFS(AI842:AI885,B842:B885,B881-12)+in_hlth_family_renew^2*SUMIFS(AI842:AI885,B842:B885,B881-24)+in_hlth_family_renew^3*SUMIFS(AI842:AI885,B842:B885,B881-36)+in_hlth_family_renew^4*SUMIFS(AI842:AI885,B842:B885,B881-48))</f>
        <v/>
      </c>
      <c r="AK881" s="40">
        <f>AK880*(1-IF(B880&gt;=in_marketplace_from,d_hz_life_term*G880,0))</f>
        <v/>
      </c>
      <c r="AL881" s="46">
        <f>AK881*IF(B881&gt;=in_marketplace_from,d_hz_life_term*G881,0)</f>
        <v/>
      </c>
      <c r="AM881" s="14">
        <f>F881*AL881*in_life_term_ticket*in_life_term_comm*in_ins_partner_share+F881*in_life_term_ticket*in_life_term_renew_comm*in_ins_partner_share*(in_life_term_renew^1*SUMIFS(AL842:AL885,B842:B885,B881-12)+in_life_term_renew^2*SUMIFS(AL842:AL885,B842:B885,B881-24)+in_life_term_renew^3*SUMIFS(AL842:AL885,B842:B885,B881-36)+in_life_term_renew^4*SUMIFS(AL842:AL885,B842:B885,B881-48))</f>
        <v/>
      </c>
      <c r="AN881" s="40">
        <f>AN880*(1-IF(B880&gt;=in_marketplace_from,d_hz_accident*G880,0))</f>
        <v/>
      </c>
      <c r="AO881" s="46">
        <f>AN881*IF(B881&gt;=in_marketplace_from,d_hz_accident*G881,0)</f>
        <v/>
      </c>
      <c r="AP881" s="14">
        <f>F881*AO881*in_accident_ticket*in_accident_comm*in_ins_partner_share+F881*in_accident_ticket*in_accident_renew_comm*in_ins_partner_share*(in_accident_renew^1*SUMIFS(AO842:AO885,B842:B885,B881-12)+in_accident_renew^2*SUMIFS(AO842:AO885,B842:B885,B881-24)+in_accident_renew^3*SUMIFS(AO842:AO885,B842:B885,B881-36)+in_accident_renew^4*SUMIFS(AO842:AO885,B842:B885,B881-48))</f>
        <v/>
      </c>
      <c r="AQ881" s="40">
        <f>AQ880*(1-IF(B880&gt;=in_marketplace_from,d_hz_two_wheeler*G880,0))</f>
        <v/>
      </c>
      <c r="AR881" s="46">
        <f>AQ881*IF(B881&gt;=in_marketplace_from,d_hz_two_wheeler*G881,0)</f>
        <v/>
      </c>
      <c r="AS881" s="14">
        <f>F881*AR881*in_two_wheeler_ticket*in_two_wheeler_comm*in_ins_partner_share+F881*in_two_wheeler_ticket*in_two_wheeler_comm*in_ins_partner_share*(in_two_wheeler_renew^1*SUMIFS(AR842:AR885,B842:B885,B881-12)+in_two_wheeler_renew^2*SUMIFS(AR842:AR885,B842:B885,B881-24)+in_two_wheeler_renew^3*SUMIFS(AR842:AR885,B842:B885,B881-36)+in_two_wheeler_renew^4*SUMIFS(AR842:AR885,B842:B885,B881-48))</f>
        <v/>
      </c>
      <c r="AT881" s="40">
        <f>AT880*(1-IF(B880&gt;=in_marketplace_from,d_hz_device*G880,0))</f>
        <v/>
      </c>
      <c r="AU881" s="14">
        <f>F881*AT881*IF(B881&gt;=in_marketplace_from,d_hz_device*G881,0)*in_device_ticket*in_device_comm*in_ins_partner_share</f>
        <v/>
      </c>
      <c r="AV881" s="40">
        <f>AV880*(1-IF(B880&gt;=in_marketplace_from,d_hz_shop*G880,0))</f>
        <v/>
      </c>
      <c r="AW881" s="46">
        <f>AV881*IF(B881&gt;=in_marketplace_from,d_hz_shop*G881,0)</f>
        <v/>
      </c>
      <c r="AX881" s="14">
        <f>F881*AW881*in_shop_ticket*in_shop_comm*in_ins_partner_share+F881*in_shop_ticket*in_shop_renew_comm*in_ins_partner_share*(in_shop_renew^1*SUMIFS(AW842:AW885,B842:B885,B881-12)+in_shop_renew^2*SUMIFS(AW842:AW885,B842:B885,B881-24)+in_shop_renew^3*SUMIFS(AW842:AW885,B842:B885,B881-36)+in_shop_renew^4*SUMIFS(AW842:AW885,B842:B885,B881-48))</f>
        <v/>
      </c>
      <c r="AY881" s="40">
        <f>AY880*(1-IF(B880&gt;=in_marketplace_from,d_hz_sip*G880,0))</f>
        <v/>
      </c>
      <c r="AZ881" s="40">
        <f>AZ880*d_rho_sip+AY881*IF(B881&gt;=in_marketplace_from,d_hz_sip*G881,0)</f>
        <v/>
      </c>
      <c r="BA881" s="40">
        <f>d_rho_sip*(BA880+AZ880)</f>
        <v/>
      </c>
      <c r="BB881" s="14">
        <f>F881*in_sip_ticket*(BA881+0.5*AZ881)*in_sip_comm/12</f>
        <v/>
      </c>
      <c r="BC881" s="40">
        <f>BC880*(1-IF(B880&gt;=in_marketplace_from,d_hz_choti*G880,0))</f>
        <v/>
      </c>
      <c r="BD881" s="46">
        <f>BC881*IF(B881&gt;=in_marketplace_from,d_hz_choti*G881,0)</f>
        <v/>
      </c>
      <c r="BE881" s="14">
        <f>F881*SUMIFS(BD842:BD885,B842:B885,B881-in_choti_months)*in_choti_renew*in_choti_ticket</f>
        <v/>
      </c>
      <c r="BF881" s="40">
        <f>BF880*(1-IF(B880&gt;=in_marketplace_from,d_hz_nps*G880,0))</f>
        <v/>
      </c>
      <c r="BG881" s="14">
        <f>F881*BF881*IF(B881&gt;=in_marketplace_from,d_hz_nps*G881,0)*in_nps_ticket*in_nps_comm</f>
        <v/>
      </c>
      <c r="BH881" s="40">
        <f>BH880*(1-IF(B880&gt;=in_marketplace_from,d_hz_gold*G880,0))</f>
        <v/>
      </c>
      <c r="BI881" s="40">
        <f>BI880*d_rho_gold+BH881*IF(B881&gt;=in_marketplace_from,d_hz_gold*G881,0)</f>
        <v/>
      </c>
      <c r="BJ881" s="14">
        <f>F881*BI881*in_gold_ticket*in_gold_comm</f>
        <v/>
      </c>
      <c r="BK881" s="40">
        <f>BK880*(1-IF(B880&gt;=in_marketplace_from,d_hz_fd*G880,0))</f>
        <v/>
      </c>
      <c r="BL881" s="14">
        <f>F881*BK881*IF(B881&gt;=in_marketplace_from,d_hz_fd*G881,0)*in_fd_ticket*in_fd_comm</f>
        <v/>
      </c>
      <c r="BM881" s="40">
        <f>BM880*(1-IF(B880&gt;=in_marketplace_from,d_hz_recharge*G880,0))</f>
        <v/>
      </c>
      <c r="BN881" s="40">
        <f>BN880*d_rho_recharge+BM881*IF(B881&gt;=in_marketplace_from,d_hz_recharge*G881,0)</f>
        <v/>
      </c>
      <c r="BO881" s="14">
        <f>F881*BN881*in_recharge_ticket*in_recharge_comm/12</f>
        <v/>
      </c>
      <c r="BP881" s="40">
        <f>BP880*(1-IF(B880&gt;=in_marketplace_from,d_hz_bills*G880,0))</f>
        <v/>
      </c>
      <c r="BQ881" s="40">
        <f>BQ880*d_rho_bills+BP881*IF(B881&gt;=in_marketplace_from,d_hz_bills*G881,0)</f>
        <v/>
      </c>
      <c r="BR881" s="14">
        <f>F881*BQ881*in_bills_ticket*in_bills_comm/12</f>
        <v/>
      </c>
      <c r="BS881" s="40">
        <f>BS880*(1-IF(B880&gt;=in_marketplace_from,d_hz_loan_gold*G880,0))</f>
        <v/>
      </c>
      <c r="BT881" s="14">
        <f>F881*BS881*IF(B881&gt;=in_marketplace_from,d_hz_loan_gold*G881,0)*in_loan_gold_ticket*in_loan_gold_comm</f>
        <v/>
      </c>
      <c r="BU881" s="40">
        <f>BU880*(1-IF(B880&gt;=in_marketplace_from,d_hz_loan_cd*G880,0))</f>
        <v/>
      </c>
      <c r="BV881" s="14">
        <f>F881*BU881*IF(B881&gt;=in_marketplace_from,d_hz_loan_cd*G881,0)*in_loan_cd_ticket*in_loan_cd_comm</f>
        <v/>
      </c>
      <c r="BW881" s="40">
        <f>BW880*(1-IF(B880&gt;=in_marketplace_from,d_hz_loan_vehicle*G880,0))</f>
        <v/>
      </c>
      <c r="BX881" s="14">
        <f>F881*BW881*IF(B881&gt;=in_marketplace_from,d_hz_loan_vehicle*G881,0)*in_loan_vehicle_ticket*in_loan_vehicle_comm</f>
        <v/>
      </c>
      <c r="BY881" s="40">
        <f>BY880*(1-IF(B880&gt;=in_marketplace_from,d_hz_loan_home*G880,0)*BZ880)</f>
        <v/>
      </c>
      <c r="BZ881" s="11">
        <f>MIN(in_approval_cap,in_loan_home_approval*INDEX('Age profile'!$O$2:$O$61,B881)*(1+in_approval_growth)^(D881-1))</f>
        <v/>
      </c>
      <c r="CA881" s="14">
        <f>F881*BY881*IF(B881&gt;=in_marketplace_from,d_hz_loan_home*G881,0)*BZ881*in_loan_home_ticket*in_loan_home_comm</f>
        <v/>
      </c>
      <c r="CB881" s="40">
        <f>CB880*(1-IF(B880&gt;=in_marketplace_from,d_hz_loan_lap*G880,0)*CC880)</f>
        <v/>
      </c>
      <c r="CC881" s="11">
        <f>MIN(in_approval_cap,in_loan_lap_approval*INDEX('Age profile'!$O$2:$O$61,B881)*(1+in_approval_growth)^(D881-1))</f>
        <v/>
      </c>
      <c r="CD881" s="14">
        <f>F881*CB881*IF(B881&gt;=in_marketplace_from,d_hz_loan_lap*G881,0)*CC881*in_loan_lap_ticket*in_loan_lap_comm</f>
        <v/>
      </c>
      <c r="CE881" s="14">
        <f>AA881+AB881+AC881+AD881+AG881+AJ881+AM881+AP881+AS881+AU881+AX881+BB881+BE881+BG881+BJ881+BL881+BO881+BR881+BT881+BV881+BX881+CA881+CD881</f>
        <v/>
      </c>
    </row>
    <row r="882">
      <c r="A882" s="39" t="n">
        <v>17</v>
      </c>
      <c r="B882" s="39" t="n">
        <v>41</v>
      </c>
      <c r="C882" s="39">
        <f>A882+B882-1</f>
        <v/>
      </c>
      <c r="D882" s="39">
        <f>INT((C882-1)/12)+1</f>
        <v/>
      </c>
      <c r="E882" s="44">
        <f>INDEX(Monthly!$B$2:$B$61,A882)</f>
        <v/>
      </c>
      <c r="F882" s="44">
        <f>E882*INDEX('Age profile'!$B$2:$B$61,B882)</f>
        <v/>
      </c>
      <c r="G882" s="45">
        <f>MIN(in_takeup_cap,INDEX('Age profile'!$N$2:$N$61,B882)*(1+in_takeup_growth)^(D882-1))</f>
        <v/>
      </c>
      <c r="H882" s="11">
        <f>MIN(in_approval_cap,in_approved_first*INDEX('Age profile'!$O$2:$O$61,B882)*(1+in_approval_growth)^(D882-1))</f>
        <v/>
      </c>
      <c r="I882" s="45">
        <f>G882*MIN(in_takeup_cap,INDEX('Age profile'!$O$2:$O$61,B882)*(1+in_approval_growth)^(D882-1))</f>
        <v/>
      </c>
      <c r="J882" s="40">
        <f>(J881-L881)*F882/F881</f>
        <v/>
      </c>
      <c r="K882" s="40">
        <f>(K881-M881)*F882/F881+SUMIFS(O842:O881,B842:B881,B882-1-d_T)*F882</f>
        <v/>
      </c>
      <c r="L882" s="40">
        <f>IF(B882&gt;=in_marketplace_from,J882*d_hz*G882*in_eligible*H882,0)</f>
        <v/>
      </c>
      <c r="M882" s="40">
        <f>IF(B882&gt;=in_marketplace_from,K882*d_hz*G882*in_eligible*in_approved_repeat,0)</f>
        <v/>
      </c>
      <c r="N882" s="40">
        <f>L882+M882</f>
        <v/>
      </c>
      <c r="O882" s="46">
        <f>N882/F882</f>
        <v/>
      </c>
      <c r="P882" s="40">
        <f>F882-J882-K882</f>
        <v/>
      </c>
      <c r="Q882" s="40">
        <f>IF(B882&gt;=in_marketplace_from,(J882+K882)*d_hz*G882,0)</f>
        <v/>
      </c>
      <c r="R882" s="40">
        <f>SUMIFS(N842:N885,B842:B885,"&gt;="&amp;(B882-d_T),B842:B885,"&lt;="&amp;(B882-1))</f>
        <v/>
      </c>
      <c r="S882" s="46">
        <f>(1-d_u)*S881+IF(d_T&gt;in_topup_lag,SUMIFS(O842:O885,B842:B885,B882-in_topup_lag)-d_udrop*SUMIFS(O842:O885,B842:B885,B882-d_T),0)</f>
        <v/>
      </c>
      <c r="T882" s="40">
        <f>F882*d_u*S882</f>
        <v/>
      </c>
      <c r="U882" s="9">
        <f>L882*in_ticket+M882*d_rep_ticket</f>
        <v/>
      </c>
      <c r="V882" s="9">
        <f>U882+T882*d_topup_amt</f>
        <v/>
      </c>
      <c r="W882" s="40">
        <f>N882+T882*d_topup_ratio</f>
        <v/>
      </c>
      <c r="X882" s="40">
        <f>SUMIFS(W842:W885,B842:B885,B882-in_dpd_lag)*d_cured</f>
        <v/>
      </c>
      <c r="Y882" s="40">
        <f>SUMIFS(W842:W885,B842:B885,B882-in_rec_lag)*d_recd</f>
        <v/>
      </c>
      <c r="Z882" s="40">
        <f>IF(AND(B882&gt;=in_marketplace_from,B882&lt;in_marketplace_from+in_card_months),in_card_share/in_card_months*F882*I882,IF(AND(B882&gt;=in_marketplace_from+in_card_months,B882&lt;in_marketplace_from+2*in_card_months),in_card_share*d_card_rem/in_card_months*F882*MIN(in_takeup_cap,(1+in_takeup_growth)^(D882-1))*MIN(in_takeup_cap,(1+in_approval_growth)^(D882-1)),0))</f>
        <v/>
      </c>
      <c r="AA882" s="14">
        <f>V882*in_fee*(1-in_taken_back)</f>
        <v/>
      </c>
      <c r="AB882" s="14">
        <f>SUMIFS(W842:W885,B842:B885,B882-in_dpd_lag)*d_dpd</f>
        <v/>
      </c>
      <c r="AC882" s="14">
        <f>SUMIFS(W842:W885,B842:B885,B882-in_rec_lag)*d_rec</f>
        <v/>
      </c>
      <c r="AD882" s="14">
        <f>Z882*in_card_fee</f>
        <v/>
      </c>
      <c r="AE882" s="40">
        <f>AE881*(1-IF(B881&gt;=in_marketplace_from,d_hz_hlth_small*G881,0))</f>
        <v/>
      </c>
      <c r="AF882" s="46">
        <f>AE882*IF(B882&gt;=in_marketplace_from,d_hz_hlth_small*G882,0)</f>
        <v/>
      </c>
      <c r="AG882" s="14">
        <f>F882*AF882*in_hlth_small_ticket*in_hlth_small_comm*in_ins_partner_share+F882*in_hlth_small_ticket*in_hlth_small_renew_comm*in_ins_partner_share*(in_hlth_small_renew^1*SUMIFS(AF842:AF885,B842:B885,B882-12)+in_hlth_small_renew^2*SUMIFS(AF842:AF885,B842:B885,B882-24)+in_hlth_small_renew^3*SUMIFS(AF842:AF885,B842:B885,B882-36)+in_hlth_small_renew^4*SUMIFS(AF842:AF885,B842:B885,B882-48))</f>
        <v/>
      </c>
      <c r="AH882" s="40">
        <f>AH881*(1-IF(B881&gt;=in_marketplace_from,d_hz_hlth_family*G881,0))</f>
        <v/>
      </c>
      <c r="AI882" s="46">
        <f>AH882*IF(B882&gt;=in_marketplace_from,d_hz_hlth_family*G882,0)</f>
        <v/>
      </c>
      <c r="AJ882" s="14">
        <f>F882*AI882*in_hlth_family_ticket*in_hlth_family_comm*in_ins_partner_share+F882*in_hlth_family_ticket*in_hlth_family_renew_comm*in_ins_partner_share*(in_hlth_family_renew^1*SUMIFS(AI842:AI885,B842:B885,B882-12)+in_hlth_family_renew^2*SUMIFS(AI842:AI885,B842:B885,B882-24)+in_hlth_family_renew^3*SUMIFS(AI842:AI885,B842:B885,B882-36)+in_hlth_family_renew^4*SUMIFS(AI842:AI885,B842:B885,B882-48))</f>
        <v/>
      </c>
      <c r="AK882" s="40">
        <f>AK881*(1-IF(B881&gt;=in_marketplace_from,d_hz_life_term*G881,0))</f>
        <v/>
      </c>
      <c r="AL882" s="46">
        <f>AK882*IF(B882&gt;=in_marketplace_from,d_hz_life_term*G882,0)</f>
        <v/>
      </c>
      <c r="AM882" s="14">
        <f>F882*AL882*in_life_term_ticket*in_life_term_comm*in_ins_partner_share+F882*in_life_term_ticket*in_life_term_renew_comm*in_ins_partner_share*(in_life_term_renew^1*SUMIFS(AL842:AL885,B842:B885,B882-12)+in_life_term_renew^2*SUMIFS(AL842:AL885,B842:B885,B882-24)+in_life_term_renew^3*SUMIFS(AL842:AL885,B842:B885,B882-36)+in_life_term_renew^4*SUMIFS(AL842:AL885,B842:B885,B882-48))</f>
        <v/>
      </c>
      <c r="AN882" s="40">
        <f>AN881*(1-IF(B881&gt;=in_marketplace_from,d_hz_accident*G881,0))</f>
        <v/>
      </c>
      <c r="AO882" s="46">
        <f>AN882*IF(B882&gt;=in_marketplace_from,d_hz_accident*G882,0)</f>
        <v/>
      </c>
      <c r="AP882" s="14">
        <f>F882*AO882*in_accident_ticket*in_accident_comm*in_ins_partner_share+F882*in_accident_ticket*in_accident_renew_comm*in_ins_partner_share*(in_accident_renew^1*SUMIFS(AO842:AO885,B842:B885,B882-12)+in_accident_renew^2*SUMIFS(AO842:AO885,B842:B885,B882-24)+in_accident_renew^3*SUMIFS(AO842:AO885,B842:B885,B882-36)+in_accident_renew^4*SUMIFS(AO842:AO885,B842:B885,B882-48))</f>
        <v/>
      </c>
      <c r="AQ882" s="40">
        <f>AQ881*(1-IF(B881&gt;=in_marketplace_from,d_hz_two_wheeler*G881,0))</f>
        <v/>
      </c>
      <c r="AR882" s="46">
        <f>AQ882*IF(B882&gt;=in_marketplace_from,d_hz_two_wheeler*G882,0)</f>
        <v/>
      </c>
      <c r="AS882" s="14">
        <f>F882*AR882*in_two_wheeler_ticket*in_two_wheeler_comm*in_ins_partner_share+F882*in_two_wheeler_ticket*in_two_wheeler_comm*in_ins_partner_share*(in_two_wheeler_renew^1*SUMIFS(AR842:AR885,B842:B885,B882-12)+in_two_wheeler_renew^2*SUMIFS(AR842:AR885,B842:B885,B882-24)+in_two_wheeler_renew^3*SUMIFS(AR842:AR885,B842:B885,B882-36)+in_two_wheeler_renew^4*SUMIFS(AR842:AR885,B842:B885,B882-48))</f>
        <v/>
      </c>
      <c r="AT882" s="40">
        <f>AT881*(1-IF(B881&gt;=in_marketplace_from,d_hz_device*G881,0))</f>
        <v/>
      </c>
      <c r="AU882" s="14">
        <f>F882*AT882*IF(B882&gt;=in_marketplace_from,d_hz_device*G882,0)*in_device_ticket*in_device_comm*in_ins_partner_share</f>
        <v/>
      </c>
      <c r="AV882" s="40">
        <f>AV881*(1-IF(B881&gt;=in_marketplace_from,d_hz_shop*G881,0))</f>
        <v/>
      </c>
      <c r="AW882" s="46">
        <f>AV882*IF(B882&gt;=in_marketplace_from,d_hz_shop*G882,0)</f>
        <v/>
      </c>
      <c r="AX882" s="14">
        <f>F882*AW882*in_shop_ticket*in_shop_comm*in_ins_partner_share+F882*in_shop_ticket*in_shop_renew_comm*in_ins_partner_share*(in_shop_renew^1*SUMIFS(AW842:AW885,B842:B885,B882-12)+in_shop_renew^2*SUMIFS(AW842:AW885,B842:B885,B882-24)+in_shop_renew^3*SUMIFS(AW842:AW885,B842:B885,B882-36)+in_shop_renew^4*SUMIFS(AW842:AW885,B842:B885,B882-48))</f>
        <v/>
      </c>
      <c r="AY882" s="40">
        <f>AY881*(1-IF(B881&gt;=in_marketplace_from,d_hz_sip*G881,0))</f>
        <v/>
      </c>
      <c r="AZ882" s="40">
        <f>AZ881*d_rho_sip+AY882*IF(B882&gt;=in_marketplace_from,d_hz_sip*G882,0)</f>
        <v/>
      </c>
      <c r="BA882" s="40">
        <f>d_rho_sip*(BA881+AZ881)</f>
        <v/>
      </c>
      <c r="BB882" s="14">
        <f>F882*in_sip_ticket*(BA882+0.5*AZ882)*in_sip_comm/12</f>
        <v/>
      </c>
      <c r="BC882" s="40">
        <f>BC881*(1-IF(B881&gt;=in_marketplace_from,d_hz_choti*G881,0))</f>
        <v/>
      </c>
      <c r="BD882" s="46">
        <f>BC882*IF(B882&gt;=in_marketplace_from,d_hz_choti*G882,0)</f>
        <v/>
      </c>
      <c r="BE882" s="14">
        <f>F882*SUMIFS(BD842:BD885,B842:B885,B882-in_choti_months)*in_choti_renew*in_choti_ticket</f>
        <v/>
      </c>
      <c r="BF882" s="40">
        <f>BF881*(1-IF(B881&gt;=in_marketplace_from,d_hz_nps*G881,0))</f>
        <v/>
      </c>
      <c r="BG882" s="14">
        <f>F882*BF882*IF(B882&gt;=in_marketplace_from,d_hz_nps*G882,0)*in_nps_ticket*in_nps_comm</f>
        <v/>
      </c>
      <c r="BH882" s="40">
        <f>BH881*(1-IF(B881&gt;=in_marketplace_from,d_hz_gold*G881,0))</f>
        <v/>
      </c>
      <c r="BI882" s="40">
        <f>BI881*d_rho_gold+BH882*IF(B882&gt;=in_marketplace_from,d_hz_gold*G882,0)</f>
        <v/>
      </c>
      <c r="BJ882" s="14">
        <f>F882*BI882*in_gold_ticket*in_gold_comm</f>
        <v/>
      </c>
      <c r="BK882" s="40">
        <f>BK881*(1-IF(B881&gt;=in_marketplace_from,d_hz_fd*G881,0))</f>
        <v/>
      </c>
      <c r="BL882" s="14">
        <f>F882*BK882*IF(B882&gt;=in_marketplace_from,d_hz_fd*G882,0)*in_fd_ticket*in_fd_comm</f>
        <v/>
      </c>
      <c r="BM882" s="40">
        <f>BM881*(1-IF(B881&gt;=in_marketplace_from,d_hz_recharge*G881,0))</f>
        <v/>
      </c>
      <c r="BN882" s="40">
        <f>BN881*d_rho_recharge+BM882*IF(B882&gt;=in_marketplace_from,d_hz_recharge*G882,0)</f>
        <v/>
      </c>
      <c r="BO882" s="14">
        <f>F882*BN882*in_recharge_ticket*in_recharge_comm/12</f>
        <v/>
      </c>
      <c r="BP882" s="40">
        <f>BP881*(1-IF(B881&gt;=in_marketplace_from,d_hz_bills*G881,0))</f>
        <v/>
      </c>
      <c r="BQ882" s="40">
        <f>BQ881*d_rho_bills+BP882*IF(B882&gt;=in_marketplace_from,d_hz_bills*G882,0)</f>
        <v/>
      </c>
      <c r="BR882" s="14">
        <f>F882*BQ882*in_bills_ticket*in_bills_comm/12</f>
        <v/>
      </c>
      <c r="BS882" s="40">
        <f>BS881*(1-IF(B881&gt;=in_marketplace_from,d_hz_loan_gold*G881,0))</f>
        <v/>
      </c>
      <c r="BT882" s="14">
        <f>F882*BS882*IF(B882&gt;=in_marketplace_from,d_hz_loan_gold*G882,0)*in_loan_gold_ticket*in_loan_gold_comm</f>
        <v/>
      </c>
      <c r="BU882" s="40">
        <f>BU881*(1-IF(B881&gt;=in_marketplace_from,d_hz_loan_cd*G881,0))</f>
        <v/>
      </c>
      <c r="BV882" s="14">
        <f>F882*BU882*IF(B882&gt;=in_marketplace_from,d_hz_loan_cd*G882,0)*in_loan_cd_ticket*in_loan_cd_comm</f>
        <v/>
      </c>
      <c r="BW882" s="40">
        <f>BW881*(1-IF(B881&gt;=in_marketplace_from,d_hz_loan_vehicle*G881,0))</f>
        <v/>
      </c>
      <c r="BX882" s="14">
        <f>F882*BW882*IF(B882&gt;=in_marketplace_from,d_hz_loan_vehicle*G882,0)*in_loan_vehicle_ticket*in_loan_vehicle_comm</f>
        <v/>
      </c>
      <c r="BY882" s="40">
        <f>BY881*(1-IF(B881&gt;=in_marketplace_from,d_hz_loan_home*G881,0)*BZ881)</f>
        <v/>
      </c>
      <c r="BZ882" s="11">
        <f>MIN(in_approval_cap,in_loan_home_approval*INDEX('Age profile'!$O$2:$O$61,B882)*(1+in_approval_growth)^(D882-1))</f>
        <v/>
      </c>
      <c r="CA882" s="14">
        <f>F882*BY882*IF(B882&gt;=in_marketplace_from,d_hz_loan_home*G882,0)*BZ882*in_loan_home_ticket*in_loan_home_comm</f>
        <v/>
      </c>
      <c r="CB882" s="40">
        <f>CB881*(1-IF(B881&gt;=in_marketplace_from,d_hz_loan_lap*G881,0)*CC881)</f>
        <v/>
      </c>
      <c r="CC882" s="11">
        <f>MIN(in_approval_cap,in_loan_lap_approval*INDEX('Age profile'!$O$2:$O$61,B882)*(1+in_approval_growth)^(D882-1))</f>
        <v/>
      </c>
      <c r="CD882" s="14">
        <f>F882*CB882*IF(B882&gt;=in_marketplace_from,d_hz_loan_lap*G882,0)*CC882*in_loan_lap_ticket*in_loan_lap_comm</f>
        <v/>
      </c>
      <c r="CE882" s="14">
        <f>AA882+AB882+AC882+AD882+AG882+AJ882+AM882+AP882+AS882+AU882+AX882+BB882+BE882+BG882+BJ882+BL882+BO882+BR882+BT882+BV882+BX882+CA882+CD882</f>
        <v/>
      </c>
    </row>
    <row r="883">
      <c r="A883" s="39" t="n">
        <v>17</v>
      </c>
      <c r="B883" s="39" t="n">
        <v>42</v>
      </c>
      <c r="C883" s="39">
        <f>A883+B883-1</f>
        <v/>
      </c>
      <c r="D883" s="39">
        <f>INT((C883-1)/12)+1</f>
        <v/>
      </c>
      <c r="E883" s="44">
        <f>INDEX(Monthly!$B$2:$B$61,A883)</f>
        <v/>
      </c>
      <c r="F883" s="44">
        <f>E883*INDEX('Age profile'!$B$2:$B$61,B883)</f>
        <v/>
      </c>
      <c r="G883" s="45">
        <f>MIN(in_takeup_cap,INDEX('Age profile'!$N$2:$N$61,B883)*(1+in_takeup_growth)^(D883-1))</f>
        <v/>
      </c>
      <c r="H883" s="11">
        <f>MIN(in_approval_cap,in_approved_first*INDEX('Age profile'!$O$2:$O$61,B883)*(1+in_approval_growth)^(D883-1))</f>
        <v/>
      </c>
      <c r="I883" s="45">
        <f>G883*MIN(in_takeup_cap,INDEX('Age profile'!$O$2:$O$61,B883)*(1+in_approval_growth)^(D883-1))</f>
        <v/>
      </c>
      <c r="J883" s="40">
        <f>(J882-L882)*F883/F882</f>
        <v/>
      </c>
      <c r="K883" s="40">
        <f>(K882-M882)*F883/F882+SUMIFS(O842:O882,B842:B882,B883-1-d_T)*F883</f>
        <v/>
      </c>
      <c r="L883" s="40">
        <f>IF(B883&gt;=in_marketplace_from,J883*d_hz*G883*in_eligible*H883,0)</f>
        <v/>
      </c>
      <c r="M883" s="40">
        <f>IF(B883&gt;=in_marketplace_from,K883*d_hz*G883*in_eligible*in_approved_repeat,0)</f>
        <v/>
      </c>
      <c r="N883" s="40">
        <f>L883+M883</f>
        <v/>
      </c>
      <c r="O883" s="46">
        <f>N883/F883</f>
        <v/>
      </c>
      <c r="P883" s="40">
        <f>F883-J883-K883</f>
        <v/>
      </c>
      <c r="Q883" s="40">
        <f>IF(B883&gt;=in_marketplace_from,(J883+K883)*d_hz*G883,0)</f>
        <v/>
      </c>
      <c r="R883" s="40">
        <f>SUMIFS(N842:N885,B842:B885,"&gt;="&amp;(B883-d_T),B842:B885,"&lt;="&amp;(B883-1))</f>
        <v/>
      </c>
      <c r="S883" s="46">
        <f>(1-d_u)*S882+IF(d_T&gt;in_topup_lag,SUMIFS(O842:O885,B842:B885,B883-in_topup_lag)-d_udrop*SUMIFS(O842:O885,B842:B885,B883-d_T),0)</f>
        <v/>
      </c>
      <c r="T883" s="40">
        <f>F883*d_u*S883</f>
        <v/>
      </c>
      <c r="U883" s="9">
        <f>L883*in_ticket+M883*d_rep_ticket</f>
        <v/>
      </c>
      <c r="V883" s="9">
        <f>U883+T883*d_topup_amt</f>
        <v/>
      </c>
      <c r="W883" s="40">
        <f>N883+T883*d_topup_ratio</f>
        <v/>
      </c>
      <c r="X883" s="40">
        <f>SUMIFS(W842:W885,B842:B885,B883-in_dpd_lag)*d_cured</f>
        <v/>
      </c>
      <c r="Y883" s="40">
        <f>SUMIFS(W842:W885,B842:B885,B883-in_rec_lag)*d_recd</f>
        <v/>
      </c>
      <c r="Z883" s="40">
        <f>IF(AND(B883&gt;=in_marketplace_from,B883&lt;in_marketplace_from+in_card_months),in_card_share/in_card_months*F883*I883,IF(AND(B883&gt;=in_marketplace_from+in_card_months,B883&lt;in_marketplace_from+2*in_card_months),in_card_share*d_card_rem/in_card_months*F883*MIN(in_takeup_cap,(1+in_takeup_growth)^(D883-1))*MIN(in_takeup_cap,(1+in_approval_growth)^(D883-1)),0))</f>
        <v/>
      </c>
      <c r="AA883" s="14">
        <f>V883*in_fee*(1-in_taken_back)</f>
        <v/>
      </c>
      <c r="AB883" s="14">
        <f>SUMIFS(W842:W885,B842:B885,B883-in_dpd_lag)*d_dpd</f>
        <v/>
      </c>
      <c r="AC883" s="14">
        <f>SUMIFS(W842:W885,B842:B885,B883-in_rec_lag)*d_rec</f>
        <v/>
      </c>
      <c r="AD883" s="14">
        <f>Z883*in_card_fee</f>
        <v/>
      </c>
      <c r="AE883" s="40">
        <f>AE882*(1-IF(B882&gt;=in_marketplace_from,d_hz_hlth_small*G882,0))</f>
        <v/>
      </c>
      <c r="AF883" s="46">
        <f>AE883*IF(B883&gt;=in_marketplace_from,d_hz_hlth_small*G883,0)</f>
        <v/>
      </c>
      <c r="AG883" s="14">
        <f>F883*AF883*in_hlth_small_ticket*in_hlth_small_comm*in_ins_partner_share+F883*in_hlth_small_ticket*in_hlth_small_renew_comm*in_ins_partner_share*(in_hlth_small_renew^1*SUMIFS(AF842:AF885,B842:B885,B883-12)+in_hlth_small_renew^2*SUMIFS(AF842:AF885,B842:B885,B883-24)+in_hlth_small_renew^3*SUMIFS(AF842:AF885,B842:B885,B883-36)+in_hlth_small_renew^4*SUMIFS(AF842:AF885,B842:B885,B883-48))</f>
        <v/>
      </c>
      <c r="AH883" s="40">
        <f>AH882*(1-IF(B882&gt;=in_marketplace_from,d_hz_hlth_family*G882,0))</f>
        <v/>
      </c>
      <c r="AI883" s="46">
        <f>AH883*IF(B883&gt;=in_marketplace_from,d_hz_hlth_family*G883,0)</f>
        <v/>
      </c>
      <c r="AJ883" s="14">
        <f>F883*AI883*in_hlth_family_ticket*in_hlth_family_comm*in_ins_partner_share+F883*in_hlth_family_ticket*in_hlth_family_renew_comm*in_ins_partner_share*(in_hlth_family_renew^1*SUMIFS(AI842:AI885,B842:B885,B883-12)+in_hlth_family_renew^2*SUMIFS(AI842:AI885,B842:B885,B883-24)+in_hlth_family_renew^3*SUMIFS(AI842:AI885,B842:B885,B883-36)+in_hlth_family_renew^4*SUMIFS(AI842:AI885,B842:B885,B883-48))</f>
        <v/>
      </c>
      <c r="AK883" s="40">
        <f>AK882*(1-IF(B882&gt;=in_marketplace_from,d_hz_life_term*G882,0))</f>
        <v/>
      </c>
      <c r="AL883" s="46">
        <f>AK883*IF(B883&gt;=in_marketplace_from,d_hz_life_term*G883,0)</f>
        <v/>
      </c>
      <c r="AM883" s="14">
        <f>F883*AL883*in_life_term_ticket*in_life_term_comm*in_ins_partner_share+F883*in_life_term_ticket*in_life_term_renew_comm*in_ins_partner_share*(in_life_term_renew^1*SUMIFS(AL842:AL885,B842:B885,B883-12)+in_life_term_renew^2*SUMIFS(AL842:AL885,B842:B885,B883-24)+in_life_term_renew^3*SUMIFS(AL842:AL885,B842:B885,B883-36)+in_life_term_renew^4*SUMIFS(AL842:AL885,B842:B885,B883-48))</f>
        <v/>
      </c>
      <c r="AN883" s="40">
        <f>AN882*(1-IF(B882&gt;=in_marketplace_from,d_hz_accident*G882,0))</f>
        <v/>
      </c>
      <c r="AO883" s="46">
        <f>AN883*IF(B883&gt;=in_marketplace_from,d_hz_accident*G883,0)</f>
        <v/>
      </c>
      <c r="AP883" s="14">
        <f>F883*AO883*in_accident_ticket*in_accident_comm*in_ins_partner_share+F883*in_accident_ticket*in_accident_renew_comm*in_ins_partner_share*(in_accident_renew^1*SUMIFS(AO842:AO885,B842:B885,B883-12)+in_accident_renew^2*SUMIFS(AO842:AO885,B842:B885,B883-24)+in_accident_renew^3*SUMIFS(AO842:AO885,B842:B885,B883-36)+in_accident_renew^4*SUMIFS(AO842:AO885,B842:B885,B883-48))</f>
        <v/>
      </c>
      <c r="AQ883" s="40">
        <f>AQ882*(1-IF(B882&gt;=in_marketplace_from,d_hz_two_wheeler*G882,0))</f>
        <v/>
      </c>
      <c r="AR883" s="46">
        <f>AQ883*IF(B883&gt;=in_marketplace_from,d_hz_two_wheeler*G883,0)</f>
        <v/>
      </c>
      <c r="AS883" s="14">
        <f>F883*AR883*in_two_wheeler_ticket*in_two_wheeler_comm*in_ins_partner_share+F883*in_two_wheeler_ticket*in_two_wheeler_comm*in_ins_partner_share*(in_two_wheeler_renew^1*SUMIFS(AR842:AR885,B842:B885,B883-12)+in_two_wheeler_renew^2*SUMIFS(AR842:AR885,B842:B885,B883-24)+in_two_wheeler_renew^3*SUMIFS(AR842:AR885,B842:B885,B883-36)+in_two_wheeler_renew^4*SUMIFS(AR842:AR885,B842:B885,B883-48))</f>
        <v/>
      </c>
      <c r="AT883" s="40">
        <f>AT882*(1-IF(B882&gt;=in_marketplace_from,d_hz_device*G882,0))</f>
        <v/>
      </c>
      <c r="AU883" s="14">
        <f>F883*AT883*IF(B883&gt;=in_marketplace_from,d_hz_device*G883,0)*in_device_ticket*in_device_comm*in_ins_partner_share</f>
        <v/>
      </c>
      <c r="AV883" s="40">
        <f>AV882*(1-IF(B882&gt;=in_marketplace_from,d_hz_shop*G882,0))</f>
        <v/>
      </c>
      <c r="AW883" s="46">
        <f>AV883*IF(B883&gt;=in_marketplace_from,d_hz_shop*G883,0)</f>
        <v/>
      </c>
      <c r="AX883" s="14">
        <f>F883*AW883*in_shop_ticket*in_shop_comm*in_ins_partner_share+F883*in_shop_ticket*in_shop_renew_comm*in_ins_partner_share*(in_shop_renew^1*SUMIFS(AW842:AW885,B842:B885,B883-12)+in_shop_renew^2*SUMIFS(AW842:AW885,B842:B885,B883-24)+in_shop_renew^3*SUMIFS(AW842:AW885,B842:B885,B883-36)+in_shop_renew^4*SUMIFS(AW842:AW885,B842:B885,B883-48))</f>
        <v/>
      </c>
      <c r="AY883" s="40">
        <f>AY882*(1-IF(B882&gt;=in_marketplace_from,d_hz_sip*G882,0))</f>
        <v/>
      </c>
      <c r="AZ883" s="40">
        <f>AZ882*d_rho_sip+AY883*IF(B883&gt;=in_marketplace_from,d_hz_sip*G883,0)</f>
        <v/>
      </c>
      <c r="BA883" s="40">
        <f>d_rho_sip*(BA882+AZ882)</f>
        <v/>
      </c>
      <c r="BB883" s="14">
        <f>F883*in_sip_ticket*(BA883+0.5*AZ883)*in_sip_comm/12</f>
        <v/>
      </c>
      <c r="BC883" s="40">
        <f>BC882*(1-IF(B882&gt;=in_marketplace_from,d_hz_choti*G882,0))</f>
        <v/>
      </c>
      <c r="BD883" s="46">
        <f>BC883*IF(B883&gt;=in_marketplace_from,d_hz_choti*G883,0)</f>
        <v/>
      </c>
      <c r="BE883" s="14">
        <f>F883*SUMIFS(BD842:BD885,B842:B885,B883-in_choti_months)*in_choti_renew*in_choti_ticket</f>
        <v/>
      </c>
      <c r="BF883" s="40">
        <f>BF882*(1-IF(B882&gt;=in_marketplace_from,d_hz_nps*G882,0))</f>
        <v/>
      </c>
      <c r="BG883" s="14">
        <f>F883*BF883*IF(B883&gt;=in_marketplace_from,d_hz_nps*G883,0)*in_nps_ticket*in_nps_comm</f>
        <v/>
      </c>
      <c r="BH883" s="40">
        <f>BH882*(1-IF(B882&gt;=in_marketplace_from,d_hz_gold*G882,0))</f>
        <v/>
      </c>
      <c r="BI883" s="40">
        <f>BI882*d_rho_gold+BH883*IF(B883&gt;=in_marketplace_from,d_hz_gold*G883,0)</f>
        <v/>
      </c>
      <c r="BJ883" s="14">
        <f>F883*BI883*in_gold_ticket*in_gold_comm</f>
        <v/>
      </c>
      <c r="BK883" s="40">
        <f>BK882*(1-IF(B882&gt;=in_marketplace_from,d_hz_fd*G882,0))</f>
        <v/>
      </c>
      <c r="BL883" s="14">
        <f>F883*BK883*IF(B883&gt;=in_marketplace_from,d_hz_fd*G883,0)*in_fd_ticket*in_fd_comm</f>
        <v/>
      </c>
      <c r="BM883" s="40">
        <f>BM882*(1-IF(B882&gt;=in_marketplace_from,d_hz_recharge*G882,0))</f>
        <v/>
      </c>
      <c r="BN883" s="40">
        <f>BN882*d_rho_recharge+BM883*IF(B883&gt;=in_marketplace_from,d_hz_recharge*G883,0)</f>
        <v/>
      </c>
      <c r="BO883" s="14">
        <f>F883*BN883*in_recharge_ticket*in_recharge_comm/12</f>
        <v/>
      </c>
      <c r="BP883" s="40">
        <f>BP882*(1-IF(B882&gt;=in_marketplace_from,d_hz_bills*G882,0))</f>
        <v/>
      </c>
      <c r="BQ883" s="40">
        <f>BQ882*d_rho_bills+BP883*IF(B883&gt;=in_marketplace_from,d_hz_bills*G883,0)</f>
        <v/>
      </c>
      <c r="BR883" s="14">
        <f>F883*BQ883*in_bills_ticket*in_bills_comm/12</f>
        <v/>
      </c>
      <c r="BS883" s="40">
        <f>BS882*(1-IF(B882&gt;=in_marketplace_from,d_hz_loan_gold*G882,0))</f>
        <v/>
      </c>
      <c r="BT883" s="14">
        <f>F883*BS883*IF(B883&gt;=in_marketplace_from,d_hz_loan_gold*G883,0)*in_loan_gold_ticket*in_loan_gold_comm</f>
        <v/>
      </c>
      <c r="BU883" s="40">
        <f>BU882*(1-IF(B882&gt;=in_marketplace_from,d_hz_loan_cd*G882,0))</f>
        <v/>
      </c>
      <c r="BV883" s="14">
        <f>F883*BU883*IF(B883&gt;=in_marketplace_from,d_hz_loan_cd*G883,0)*in_loan_cd_ticket*in_loan_cd_comm</f>
        <v/>
      </c>
      <c r="BW883" s="40">
        <f>BW882*(1-IF(B882&gt;=in_marketplace_from,d_hz_loan_vehicle*G882,0))</f>
        <v/>
      </c>
      <c r="BX883" s="14">
        <f>F883*BW883*IF(B883&gt;=in_marketplace_from,d_hz_loan_vehicle*G883,0)*in_loan_vehicle_ticket*in_loan_vehicle_comm</f>
        <v/>
      </c>
      <c r="BY883" s="40">
        <f>BY882*(1-IF(B882&gt;=in_marketplace_from,d_hz_loan_home*G882,0)*BZ882)</f>
        <v/>
      </c>
      <c r="BZ883" s="11">
        <f>MIN(in_approval_cap,in_loan_home_approval*INDEX('Age profile'!$O$2:$O$61,B883)*(1+in_approval_growth)^(D883-1))</f>
        <v/>
      </c>
      <c r="CA883" s="14">
        <f>F883*BY883*IF(B883&gt;=in_marketplace_from,d_hz_loan_home*G883,0)*BZ883*in_loan_home_ticket*in_loan_home_comm</f>
        <v/>
      </c>
      <c r="CB883" s="40">
        <f>CB882*(1-IF(B882&gt;=in_marketplace_from,d_hz_loan_lap*G882,0)*CC882)</f>
        <v/>
      </c>
      <c r="CC883" s="11">
        <f>MIN(in_approval_cap,in_loan_lap_approval*INDEX('Age profile'!$O$2:$O$61,B883)*(1+in_approval_growth)^(D883-1))</f>
        <v/>
      </c>
      <c r="CD883" s="14">
        <f>F883*CB883*IF(B883&gt;=in_marketplace_from,d_hz_loan_lap*G883,0)*CC883*in_loan_lap_ticket*in_loan_lap_comm</f>
        <v/>
      </c>
      <c r="CE883" s="14">
        <f>AA883+AB883+AC883+AD883+AG883+AJ883+AM883+AP883+AS883+AU883+AX883+BB883+BE883+BG883+BJ883+BL883+BO883+BR883+BT883+BV883+BX883+CA883+CD883</f>
        <v/>
      </c>
    </row>
    <row r="884">
      <c r="A884" s="39" t="n">
        <v>17</v>
      </c>
      <c r="B884" s="39" t="n">
        <v>43</v>
      </c>
      <c r="C884" s="39">
        <f>A884+B884-1</f>
        <v/>
      </c>
      <c r="D884" s="39">
        <f>INT((C884-1)/12)+1</f>
        <v/>
      </c>
      <c r="E884" s="44">
        <f>INDEX(Monthly!$B$2:$B$61,A884)</f>
        <v/>
      </c>
      <c r="F884" s="44">
        <f>E884*INDEX('Age profile'!$B$2:$B$61,B884)</f>
        <v/>
      </c>
      <c r="G884" s="45">
        <f>MIN(in_takeup_cap,INDEX('Age profile'!$N$2:$N$61,B884)*(1+in_takeup_growth)^(D884-1))</f>
        <v/>
      </c>
      <c r="H884" s="11">
        <f>MIN(in_approval_cap,in_approved_first*INDEX('Age profile'!$O$2:$O$61,B884)*(1+in_approval_growth)^(D884-1))</f>
        <v/>
      </c>
      <c r="I884" s="45">
        <f>G884*MIN(in_takeup_cap,INDEX('Age profile'!$O$2:$O$61,B884)*(1+in_approval_growth)^(D884-1))</f>
        <v/>
      </c>
      <c r="J884" s="40">
        <f>(J883-L883)*F884/F883</f>
        <v/>
      </c>
      <c r="K884" s="40">
        <f>(K883-M883)*F884/F883+SUMIFS(O842:O883,B842:B883,B884-1-d_T)*F884</f>
        <v/>
      </c>
      <c r="L884" s="40">
        <f>IF(B884&gt;=in_marketplace_from,J884*d_hz*G884*in_eligible*H884,0)</f>
        <v/>
      </c>
      <c r="M884" s="40">
        <f>IF(B884&gt;=in_marketplace_from,K884*d_hz*G884*in_eligible*in_approved_repeat,0)</f>
        <v/>
      </c>
      <c r="N884" s="40">
        <f>L884+M884</f>
        <v/>
      </c>
      <c r="O884" s="46">
        <f>N884/F884</f>
        <v/>
      </c>
      <c r="P884" s="40">
        <f>F884-J884-K884</f>
        <v/>
      </c>
      <c r="Q884" s="40">
        <f>IF(B884&gt;=in_marketplace_from,(J884+K884)*d_hz*G884,0)</f>
        <v/>
      </c>
      <c r="R884" s="40">
        <f>SUMIFS(N842:N885,B842:B885,"&gt;="&amp;(B884-d_T),B842:B885,"&lt;="&amp;(B884-1))</f>
        <v/>
      </c>
      <c r="S884" s="46">
        <f>(1-d_u)*S883+IF(d_T&gt;in_topup_lag,SUMIFS(O842:O885,B842:B885,B884-in_topup_lag)-d_udrop*SUMIFS(O842:O885,B842:B885,B884-d_T),0)</f>
        <v/>
      </c>
      <c r="T884" s="40">
        <f>F884*d_u*S884</f>
        <v/>
      </c>
      <c r="U884" s="9">
        <f>L884*in_ticket+M884*d_rep_ticket</f>
        <v/>
      </c>
      <c r="V884" s="9">
        <f>U884+T884*d_topup_amt</f>
        <v/>
      </c>
      <c r="W884" s="40">
        <f>N884+T884*d_topup_ratio</f>
        <v/>
      </c>
      <c r="X884" s="40">
        <f>SUMIFS(W842:W885,B842:B885,B884-in_dpd_lag)*d_cured</f>
        <v/>
      </c>
      <c r="Y884" s="40">
        <f>SUMIFS(W842:W885,B842:B885,B884-in_rec_lag)*d_recd</f>
        <v/>
      </c>
      <c r="Z884" s="40">
        <f>IF(AND(B884&gt;=in_marketplace_from,B884&lt;in_marketplace_from+in_card_months),in_card_share/in_card_months*F884*I884,IF(AND(B884&gt;=in_marketplace_from+in_card_months,B884&lt;in_marketplace_from+2*in_card_months),in_card_share*d_card_rem/in_card_months*F884*MIN(in_takeup_cap,(1+in_takeup_growth)^(D884-1))*MIN(in_takeup_cap,(1+in_approval_growth)^(D884-1)),0))</f>
        <v/>
      </c>
      <c r="AA884" s="14">
        <f>V884*in_fee*(1-in_taken_back)</f>
        <v/>
      </c>
      <c r="AB884" s="14">
        <f>SUMIFS(W842:W885,B842:B885,B884-in_dpd_lag)*d_dpd</f>
        <v/>
      </c>
      <c r="AC884" s="14">
        <f>SUMIFS(W842:W885,B842:B885,B884-in_rec_lag)*d_rec</f>
        <v/>
      </c>
      <c r="AD884" s="14">
        <f>Z884*in_card_fee</f>
        <v/>
      </c>
      <c r="AE884" s="40">
        <f>AE883*(1-IF(B883&gt;=in_marketplace_from,d_hz_hlth_small*G883,0))</f>
        <v/>
      </c>
      <c r="AF884" s="46">
        <f>AE884*IF(B884&gt;=in_marketplace_from,d_hz_hlth_small*G884,0)</f>
        <v/>
      </c>
      <c r="AG884" s="14">
        <f>F884*AF884*in_hlth_small_ticket*in_hlth_small_comm*in_ins_partner_share+F884*in_hlth_small_ticket*in_hlth_small_renew_comm*in_ins_partner_share*(in_hlth_small_renew^1*SUMIFS(AF842:AF885,B842:B885,B884-12)+in_hlth_small_renew^2*SUMIFS(AF842:AF885,B842:B885,B884-24)+in_hlth_small_renew^3*SUMIFS(AF842:AF885,B842:B885,B884-36)+in_hlth_small_renew^4*SUMIFS(AF842:AF885,B842:B885,B884-48))</f>
        <v/>
      </c>
      <c r="AH884" s="40">
        <f>AH883*(1-IF(B883&gt;=in_marketplace_from,d_hz_hlth_family*G883,0))</f>
        <v/>
      </c>
      <c r="AI884" s="46">
        <f>AH884*IF(B884&gt;=in_marketplace_from,d_hz_hlth_family*G884,0)</f>
        <v/>
      </c>
      <c r="AJ884" s="14">
        <f>F884*AI884*in_hlth_family_ticket*in_hlth_family_comm*in_ins_partner_share+F884*in_hlth_family_ticket*in_hlth_family_renew_comm*in_ins_partner_share*(in_hlth_family_renew^1*SUMIFS(AI842:AI885,B842:B885,B884-12)+in_hlth_family_renew^2*SUMIFS(AI842:AI885,B842:B885,B884-24)+in_hlth_family_renew^3*SUMIFS(AI842:AI885,B842:B885,B884-36)+in_hlth_family_renew^4*SUMIFS(AI842:AI885,B842:B885,B884-48))</f>
        <v/>
      </c>
      <c r="AK884" s="40">
        <f>AK883*(1-IF(B883&gt;=in_marketplace_from,d_hz_life_term*G883,0))</f>
        <v/>
      </c>
      <c r="AL884" s="46">
        <f>AK884*IF(B884&gt;=in_marketplace_from,d_hz_life_term*G884,0)</f>
        <v/>
      </c>
      <c r="AM884" s="14">
        <f>F884*AL884*in_life_term_ticket*in_life_term_comm*in_ins_partner_share+F884*in_life_term_ticket*in_life_term_renew_comm*in_ins_partner_share*(in_life_term_renew^1*SUMIFS(AL842:AL885,B842:B885,B884-12)+in_life_term_renew^2*SUMIFS(AL842:AL885,B842:B885,B884-24)+in_life_term_renew^3*SUMIFS(AL842:AL885,B842:B885,B884-36)+in_life_term_renew^4*SUMIFS(AL842:AL885,B842:B885,B884-48))</f>
        <v/>
      </c>
      <c r="AN884" s="40">
        <f>AN883*(1-IF(B883&gt;=in_marketplace_from,d_hz_accident*G883,0))</f>
        <v/>
      </c>
      <c r="AO884" s="46">
        <f>AN884*IF(B884&gt;=in_marketplace_from,d_hz_accident*G884,0)</f>
        <v/>
      </c>
      <c r="AP884" s="14">
        <f>F884*AO884*in_accident_ticket*in_accident_comm*in_ins_partner_share+F884*in_accident_ticket*in_accident_renew_comm*in_ins_partner_share*(in_accident_renew^1*SUMIFS(AO842:AO885,B842:B885,B884-12)+in_accident_renew^2*SUMIFS(AO842:AO885,B842:B885,B884-24)+in_accident_renew^3*SUMIFS(AO842:AO885,B842:B885,B884-36)+in_accident_renew^4*SUMIFS(AO842:AO885,B842:B885,B884-48))</f>
        <v/>
      </c>
      <c r="AQ884" s="40">
        <f>AQ883*(1-IF(B883&gt;=in_marketplace_from,d_hz_two_wheeler*G883,0))</f>
        <v/>
      </c>
      <c r="AR884" s="46">
        <f>AQ884*IF(B884&gt;=in_marketplace_from,d_hz_two_wheeler*G884,0)</f>
        <v/>
      </c>
      <c r="AS884" s="14">
        <f>F884*AR884*in_two_wheeler_ticket*in_two_wheeler_comm*in_ins_partner_share+F884*in_two_wheeler_ticket*in_two_wheeler_comm*in_ins_partner_share*(in_two_wheeler_renew^1*SUMIFS(AR842:AR885,B842:B885,B884-12)+in_two_wheeler_renew^2*SUMIFS(AR842:AR885,B842:B885,B884-24)+in_two_wheeler_renew^3*SUMIFS(AR842:AR885,B842:B885,B884-36)+in_two_wheeler_renew^4*SUMIFS(AR842:AR885,B842:B885,B884-48))</f>
        <v/>
      </c>
      <c r="AT884" s="40">
        <f>AT883*(1-IF(B883&gt;=in_marketplace_from,d_hz_device*G883,0))</f>
        <v/>
      </c>
      <c r="AU884" s="14">
        <f>F884*AT884*IF(B884&gt;=in_marketplace_from,d_hz_device*G884,0)*in_device_ticket*in_device_comm*in_ins_partner_share</f>
        <v/>
      </c>
      <c r="AV884" s="40">
        <f>AV883*(1-IF(B883&gt;=in_marketplace_from,d_hz_shop*G883,0))</f>
        <v/>
      </c>
      <c r="AW884" s="46">
        <f>AV884*IF(B884&gt;=in_marketplace_from,d_hz_shop*G884,0)</f>
        <v/>
      </c>
      <c r="AX884" s="14">
        <f>F884*AW884*in_shop_ticket*in_shop_comm*in_ins_partner_share+F884*in_shop_ticket*in_shop_renew_comm*in_ins_partner_share*(in_shop_renew^1*SUMIFS(AW842:AW885,B842:B885,B884-12)+in_shop_renew^2*SUMIFS(AW842:AW885,B842:B885,B884-24)+in_shop_renew^3*SUMIFS(AW842:AW885,B842:B885,B884-36)+in_shop_renew^4*SUMIFS(AW842:AW885,B842:B885,B884-48))</f>
        <v/>
      </c>
      <c r="AY884" s="40">
        <f>AY883*(1-IF(B883&gt;=in_marketplace_from,d_hz_sip*G883,0))</f>
        <v/>
      </c>
      <c r="AZ884" s="40">
        <f>AZ883*d_rho_sip+AY884*IF(B884&gt;=in_marketplace_from,d_hz_sip*G884,0)</f>
        <v/>
      </c>
      <c r="BA884" s="40">
        <f>d_rho_sip*(BA883+AZ883)</f>
        <v/>
      </c>
      <c r="BB884" s="14">
        <f>F884*in_sip_ticket*(BA884+0.5*AZ884)*in_sip_comm/12</f>
        <v/>
      </c>
      <c r="BC884" s="40">
        <f>BC883*(1-IF(B883&gt;=in_marketplace_from,d_hz_choti*G883,0))</f>
        <v/>
      </c>
      <c r="BD884" s="46">
        <f>BC884*IF(B884&gt;=in_marketplace_from,d_hz_choti*G884,0)</f>
        <v/>
      </c>
      <c r="BE884" s="14">
        <f>F884*SUMIFS(BD842:BD885,B842:B885,B884-in_choti_months)*in_choti_renew*in_choti_ticket</f>
        <v/>
      </c>
      <c r="BF884" s="40">
        <f>BF883*(1-IF(B883&gt;=in_marketplace_from,d_hz_nps*G883,0))</f>
        <v/>
      </c>
      <c r="BG884" s="14">
        <f>F884*BF884*IF(B884&gt;=in_marketplace_from,d_hz_nps*G884,0)*in_nps_ticket*in_nps_comm</f>
        <v/>
      </c>
      <c r="BH884" s="40">
        <f>BH883*(1-IF(B883&gt;=in_marketplace_from,d_hz_gold*G883,0))</f>
        <v/>
      </c>
      <c r="BI884" s="40">
        <f>BI883*d_rho_gold+BH884*IF(B884&gt;=in_marketplace_from,d_hz_gold*G884,0)</f>
        <v/>
      </c>
      <c r="BJ884" s="14">
        <f>F884*BI884*in_gold_ticket*in_gold_comm</f>
        <v/>
      </c>
      <c r="BK884" s="40">
        <f>BK883*(1-IF(B883&gt;=in_marketplace_from,d_hz_fd*G883,0))</f>
        <v/>
      </c>
      <c r="BL884" s="14">
        <f>F884*BK884*IF(B884&gt;=in_marketplace_from,d_hz_fd*G884,0)*in_fd_ticket*in_fd_comm</f>
        <v/>
      </c>
      <c r="BM884" s="40">
        <f>BM883*(1-IF(B883&gt;=in_marketplace_from,d_hz_recharge*G883,0))</f>
        <v/>
      </c>
      <c r="BN884" s="40">
        <f>BN883*d_rho_recharge+BM884*IF(B884&gt;=in_marketplace_from,d_hz_recharge*G884,0)</f>
        <v/>
      </c>
      <c r="BO884" s="14">
        <f>F884*BN884*in_recharge_ticket*in_recharge_comm/12</f>
        <v/>
      </c>
      <c r="BP884" s="40">
        <f>BP883*(1-IF(B883&gt;=in_marketplace_from,d_hz_bills*G883,0))</f>
        <v/>
      </c>
      <c r="BQ884" s="40">
        <f>BQ883*d_rho_bills+BP884*IF(B884&gt;=in_marketplace_from,d_hz_bills*G884,0)</f>
        <v/>
      </c>
      <c r="BR884" s="14">
        <f>F884*BQ884*in_bills_ticket*in_bills_comm/12</f>
        <v/>
      </c>
      <c r="BS884" s="40">
        <f>BS883*(1-IF(B883&gt;=in_marketplace_from,d_hz_loan_gold*G883,0))</f>
        <v/>
      </c>
      <c r="BT884" s="14">
        <f>F884*BS884*IF(B884&gt;=in_marketplace_from,d_hz_loan_gold*G884,0)*in_loan_gold_ticket*in_loan_gold_comm</f>
        <v/>
      </c>
      <c r="BU884" s="40">
        <f>BU883*(1-IF(B883&gt;=in_marketplace_from,d_hz_loan_cd*G883,0))</f>
        <v/>
      </c>
      <c r="BV884" s="14">
        <f>F884*BU884*IF(B884&gt;=in_marketplace_from,d_hz_loan_cd*G884,0)*in_loan_cd_ticket*in_loan_cd_comm</f>
        <v/>
      </c>
      <c r="BW884" s="40">
        <f>BW883*(1-IF(B883&gt;=in_marketplace_from,d_hz_loan_vehicle*G883,0))</f>
        <v/>
      </c>
      <c r="BX884" s="14">
        <f>F884*BW884*IF(B884&gt;=in_marketplace_from,d_hz_loan_vehicle*G884,0)*in_loan_vehicle_ticket*in_loan_vehicle_comm</f>
        <v/>
      </c>
      <c r="BY884" s="40">
        <f>BY883*(1-IF(B883&gt;=in_marketplace_from,d_hz_loan_home*G883,0)*BZ883)</f>
        <v/>
      </c>
      <c r="BZ884" s="11">
        <f>MIN(in_approval_cap,in_loan_home_approval*INDEX('Age profile'!$O$2:$O$61,B884)*(1+in_approval_growth)^(D884-1))</f>
        <v/>
      </c>
      <c r="CA884" s="14">
        <f>F884*BY884*IF(B884&gt;=in_marketplace_from,d_hz_loan_home*G884,0)*BZ884*in_loan_home_ticket*in_loan_home_comm</f>
        <v/>
      </c>
      <c r="CB884" s="40">
        <f>CB883*(1-IF(B883&gt;=in_marketplace_from,d_hz_loan_lap*G883,0)*CC883)</f>
        <v/>
      </c>
      <c r="CC884" s="11">
        <f>MIN(in_approval_cap,in_loan_lap_approval*INDEX('Age profile'!$O$2:$O$61,B884)*(1+in_approval_growth)^(D884-1))</f>
        <v/>
      </c>
      <c r="CD884" s="14">
        <f>F884*CB884*IF(B884&gt;=in_marketplace_from,d_hz_loan_lap*G884,0)*CC884*in_loan_lap_ticket*in_loan_lap_comm</f>
        <v/>
      </c>
      <c r="CE884" s="14">
        <f>AA884+AB884+AC884+AD884+AG884+AJ884+AM884+AP884+AS884+AU884+AX884+BB884+BE884+BG884+BJ884+BL884+BO884+BR884+BT884+BV884+BX884+CA884+CD884</f>
        <v/>
      </c>
    </row>
    <row r="885">
      <c r="A885" s="39" t="n">
        <v>17</v>
      </c>
      <c r="B885" s="39" t="n">
        <v>44</v>
      </c>
      <c r="C885" s="39">
        <f>A885+B885-1</f>
        <v/>
      </c>
      <c r="D885" s="39">
        <f>INT((C885-1)/12)+1</f>
        <v/>
      </c>
      <c r="E885" s="44">
        <f>INDEX(Monthly!$B$2:$B$61,A885)</f>
        <v/>
      </c>
      <c r="F885" s="44">
        <f>E885*INDEX('Age profile'!$B$2:$B$61,B885)</f>
        <v/>
      </c>
      <c r="G885" s="45">
        <f>MIN(in_takeup_cap,INDEX('Age profile'!$N$2:$N$61,B885)*(1+in_takeup_growth)^(D885-1))</f>
        <v/>
      </c>
      <c r="H885" s="11">
        <f>MIN(in_approval_cap,in_approved_first*INDEX('Age profile'!$O$2:$O$61,B885)*(1+in_approval_growth)^(D885-1))</f>
        <v/>
      </c>
      <c r="I885" s="45">
        <f>G885*MIN(in_takeup_cap,INDEX('Age profile'!$O$2:$O$61,B885)*(1+in_approval_growth)^(D885-1))</f>
        <v/>
      </c>
      <c r="J885" s="40">
        <f>(J884-L884)*F885/F884</f>
        <v/>
      </c>
      <c r="K885" s="40">
        <f>(K884-M884)*F885/F884+SUMIFS(O842:O884,B842:B884,B885-1-d_T)*F885</f>
        <v/>
      </c>
      <c r="L885" s="40">
        <f>IF(B885&gt;=in_marketplace_from,J885*d_hz*G885*in_eligible*H885,0)</f>
        <v/>
      </c>
      <c r="M885" s="40">
        <f>IF(B885&gt;=in_marketplace_from,K885*d_hz*G885*in_eligible*in_approved_repeat,0)</f>
        <v/>
      </c>
      <c r="N885" s="40">
        <f>L885+M885</f>
        <v/>
      </c>
      <c r="O885" s="46">
        <f>N885/F885</f>
        <v/>
      </c>
      <c r="P885" s="40">
        <f>F885-J885-K885</f>
        <v/>
      </c>
      <c r="Q885" s="40">
        <f>IF(B885&gt;=in_marketplace_from,(J885+K885)*d_hz*G885,0)</f>
        <v/>
      </c>
      <c r="R885" s="40">
        <f>SUMIFS(N842:N885,B842:B885,"&gt;="&amp;(B885-d_T),B842:B885,"&lt;="&amp;(B885-1))</f>
        <v/>
      </c>
      <c r="S885" s="46">
        <f>(1-d_u)*S884+IF(d_T&gt;in_topup_lag,SUMIFS(O842:O885,B842:B885,B885-in_topup_lag)-d_udrop*SUMIFS(O842:O885,B842:B885,B885-d_T),0)</f>
        <v/>
      </c>
      <c r="T885" s="40">
        <f>F885*d_u*S885</f>
        <v/>
      </c>
      <c r="U885" s="9">
        <f>L885*in_ticket+M885*d_rep_ticket</f>
        <v/>
      </c>
      <c r="V885" s="9">
        <f>U885+T885*d_topup_amt</f>
        <v/>
      </c>
      <c r="W885" s="40">
        <f>N885+T885*d_topup_ratio</f>
        <v/>
      </c>
      <c r="X885" s="40">
        <f>SUMIFS(W842:W885,B842:B885,B885-in_dpd_lag)*d_cured</f>
        <v/>
      </c>
      <c r="Y885" s="40">
        <f>SUMIFS(W842:W885,B842:B885,B885-in_rec_lag)*d_recd</f>
        <v/>
      </c>
      <c r="Z885" s="40">
        <f>IF(AND(B885&gt;=in_marketplace_from,B885&lt;in_marketplace_from+in_card_months),in_card_share/in_card_months*F885*I885,IF(AND(B885&gt;=in_marketplace_from+in_card_months,B885&lt;in_marketplace_from+2*in_card_months),in_card_share*d_card_rem/in_card_months*F885*MIN(in_takeup_cap,(1+in_takeup_growth)^(D885-1))*MIN(in_takeup_cap,(1+in_approval_growth)^(D885-1)),0))</f>
        <v/>
      </c>
      <c r="AA885" s="14">
        <f>V885*in_fee*(1-in_taken_back)</f>
        <v/>
      </c>
      <c r="AB885" s="14">
        <f>SUMIFS(W842:W885,B842:B885,B885-in_dpd_lag)*d_dpd</f>
        <v/>
      </c>
      <c r="AC885" s="14">
        <f>SUMIFS(W842:W885,B842:B885,B885-in_rec_lag)*d_rec</f>
        <v/>
      </c>
      <c r="AD885" s="14">
        <f>Z885*in_card_fee</f>
        <v/>
      </c>
      <c r="AE885" s="40">
        <f>AE884*(1-IF(B884&gt;=in_marketplace_from,d_hz_hlth_small*G884,0))</f>
        <v/>
      </c>
      <c r="AF885" s="46">
        <f>AE885*IF(B885&gt;=in_marketplace_from,d_hz_hlth_small*G885,0)</f>
        <v/>
      </c>
      <c r="AG885" s="14">
        <f>F885*AF885*in_hlth_small_ticket*in_hlth_small_comm*in_ins_partner_share+F885*in_hlth_small_ticket*in_hlth_small_renew_comm*in_ins_partner_share*(in_hlth_small_renew^1*SUMIFS(AF842:AF885,B842:B885,B885-12)+in_hlth_small_renew^2*SUMIFS(AF842:AF885,B842:B885,B885-24)+in_hlth_small_renew^3*SUMIFS(AF842:AF885,B842:B885,B885-36)+in_hlth_small_renew^4*SUMIFS(AF842:AF885,B842:B885,B885-48))</f>
        <v/>
      </c>
      <c r="AH885" s="40">
        <f>AH884*(1-IF(B884&gt;=in_marketplace_from,d_hz_hlth_family*G884,0))</f>
        <v/>
      </c>
      <c r="AI885" s="46">
        <f>AH885*IF(B885&gt;=in_marketplace_from,d_hz_hlth_family*G885,0)</f>
        <v/>
      </c>
      <c r="AJ885" s="14">
        <f>F885*AI885*in_hlth_family_ticket*in_hlth_family_comm*in_ins_partner_share+F885*in_hlth_family_ticket*in_hlth_family_renew_comm*in_ins_partner_share*(in_hlth_family_renew^1*SUMIFS(AI842:AI885,B842:B885,B885-12)+in_hlth_family_renew^2*SUMIFS(AI842:AI885,B842:B885,B885-24)+in_hlth_family_renew^3*SUMIFS(AI842:AI885,B842:B885,B885-36)+in_hlth_family_renew^4*SUMIFS(AI842:AI885,B842:B885,B885-48))</f>
        <v/>
      </c>
      <c r="AK885" s="40">
        <f>AK884*(1-IF(B884&gt;=in_marketplace_from,d_hz_life_term*G884,0))</f>
        <v/>
      </c>
      <c r="AL885" s="46">
        <f>AK885*IF(B885&gt;=in_marketplace_from,d_hz_life_term*G885,0)</f>
        <v/>
      </c>
      <c r="AM885" s="14">
        <f>F885*AL885*in_life_term_ticket*in_life_term_comm*in_ins_partner_share+F885*in_life_term_ticket*in_life_term_renew_comm*in_ins_partner_share*(in_life_term_renew^1*SUMIFS(AL842:AL885,B842:B885,B885-12)+in_life_term_renew^2*SUMIFS(AL842:AL885,B842:B885,B885-24)+in_life_term_renew^3*SUMIFS(AL842:AL885,B842:B885,B885-36)+in_life_term_renew^4*SUMIFS(AL842:AL885,B842:B885,B885-48))</f>
        <v/>
      </c>
      <c r="AN885" s="40">
        <f>AN884*(1-IF(B884&gt;=in_marketplace_from,d_hz_accident*G884,0))</f>
        <v/>
      </c>
      <c r="AO885" s="46">
        <f>AN885*IF(B885&gt;=in_marketplace_from,d_hz_accident*G885,0)</f>
        <v/>
      </c>
      <c r="AP885" s="14">
        <f>F885*AO885*in_accident_ticket*in_accident_comm*in_ins_partner_share+F885*in_accident_ticket*in_accident_renew_comm*in_ins_partner_share*(in_accident_renew^1*SUMIFS(AO842:AO885,B842:B885,B885-12)+in_accident_renew^2*SUMIFS(AO842:AO885,B842:B885,B885-24)+in_accident_renew^3*SUMIFS(AO842:AO885,B842:B885,B885-36)+in_accident_renew^4*SUMIFS(AO842:AO885,B842:B885,B885-48))</f>
        <v/>
      </c>
      <c r="AQ885" s="40">
        <f>AQ884*(1-IF(B884&gt;=in_marketplace_from,d_hz_two_wheeler*G884,0))</f>
        <v/>
      </c>
      <c r="AR885" s="46">
        <f>AQ885*IF(B885&gt;=in_marketplace_from,d_hz_two_wheeler*G885,0)</f>
        <v/>
      </c>
      <c r="AS885" s="14">
        <f>F885*AR885*in_two_wheeler_ticket*in_two_wheeler_comm*in_ins_partner_share+F885*in_two_wheeler_ticket*in_two_wheeler_comm*in_ins_partner_share*(in_two_wheeler_renew^1*SUMIFS(AR842:AR885,B842:B885,B885-12)+in_two_wheeler_renew^2*SUMIFS(AR842:AR885,B842:B885,B885-24)+in_two_wheeler_renew^3*SUMIFS(AR842:AR885,B842:B885,B885-36)+in_two_wheeler_renew^4*SUMIFS(AR842:AR885,B842:B885,B885-48))</f>
        <v/>
      </c>
      <c r="AT885" s="40">
        <f>AT884*(1-IF(B884&gt;=in_marketplace_from,d_hz_device*G884,0))</f>
        <v/>
      </c>
      <c r="AU885" s="14">
        <f>F885*AT885*IF(B885&gt;=in_marketplace_from,d_hz_device*G885,0)*in_device_ticket*in_device_comm*in_ins_partner_share</f>
        <v/>
      </c>
      <c r="AV885" s="40">
        <f>AV884*(1-IF(B884&gt;=in_marketplace_from,d_hz_shop*G884,0))</f>
        <v/>
      </c>
      <c r="AW885" s="46">
        <f>AV885*IF(B885&gt;=in_marketplace_from,d_hz_shop*G885,0)</f>
        <v/>
      </c>
      <c r="AX885" s="14">
        <f>F885*AW885*in_shop_ticket*in_shop_comm*in_ins_partner_share+F885*in_shop_ticket*in_shop_renew_comm*in_ins_partner_share*(in_shop_renew^1*SUMIFS(AW842:AW885,B842:B885,B885-12)+in_shop_renew^2*SUMIFS(AW842:AW885,B842:B885,B885-24)+in_shop_renew^3*SUMIFS(AW842:AW885,B842:B885,B885-36)+in_shop_renew^4*SUMIFS(AW842:AW885,B842:B885,B885-48))</f>
        <v/>
      </c>
      <c r="AY885" s="40">
        <f>AY884*(1-IF(B884&gt;=in_marketplace_from,d_hz_sip*G884,0))</f>
        <v/>
      </c>
      <c r="AZ885" s="40">
        <f>AZ884*d_rho_sip+AY885*IF(B885&gt;=in_marketplace_from,d_hz_sip*G885,0)</f>
        <v/>
      </c>
      <c r="BA885" s="40">
        <f>d_rho_sip*(BA884+AZ884)</f>
        <v/>
      </c>
      <c r="BB885" s="14">
        <f>F885*in_sip_ticket*(BA885+0.5*AZ885)*in_sip_comm/12</f>
        <v/>
      </c>
      <c r="BC885" s="40">
        <f>BC884*(1-IF(B884&gt;=in_marketplace_from,d_hz_choti*G884,0))</f>
        <v/>
      </c>
      <c r="BD885" s="46">
        <f>BC885*IF(B885&gt;=in_marketplace_from,d_hz_choti*G885,0)</f>
        <v/>
      </c>
      <c r="BE885" s="14">
        <f>F885*SUMIFS(BD842:BD885,B842:B885,B885-in_choti_months)*in_choti_renew*in_choti_ticket</f>
        <v/>
      </c>
      <c r="BF885" s="40">
        <f>BF884*(1-IF(B884&gt;=in_marketplace_from,d_hz_nps*G884,0))</f>
        <v/>
      </c>
      <c r="BG885" s="14">
        <f>F885*BF885*IF(B885&gt;=in_marketplace_from,d_hz_nps*G885,0)*in_nps_ticket*in_nps_comm</f>
        <v/>
      </c>
      <c r="BH885" s="40">
        <f>BH884*(1-IF(B884&gt;=in_marketplace_from,d_hz_gold*G884,0))</f>
        <v/>
      </c>
      <c r="BI885" s="40">
        <f>BI884*d_rho_gold+BH885*IF(B885&gt;=in_marketplace_from,d_hz_gold*G885,0)</f>
        <v/>
      </c>
      <c r="BJ885" s="14">
        <f>F885*BI885*in_gold_ticket*in_gold_comm</f>
        <v/>
      </c>
      <c r="BK885" s="40">
        <f>BK884*(1-IF(B884&gt;=in_marketplace_from,d_hz_fd*G884,0))</f>
        <v/>
      </c>
      <c r="BL885" s="14">
        <f>F885*BK885*IF(B885&gt;=in_marketplace_from,d_hz_fd*G885,0)*in_fd_ticket*in_fd_comm</f>
        <v/>
      </c>
      <c r="BM885" s="40">
        <f>BM884*(1-IF(B884&gt;=in_marketplace_from,d_hz_recharge*G884,0))</f>
        <v/>
      </c>
      <c r="BN885" s="40">
        <f>BN884*d_rho_recharge+BM885*IF(B885&gt;=in_marketplace_from,d_hz_recharge*G885,0)</f>
        <v/>
      </c>
      <c r="BO885" s="14">
        <f>F885*BN885*in_recharge_ticket*in_recharge_comm/12</f>
        <v/>
      </c>
      <c r="BP885" s="40">
        <f>BP884*(1-IF(B884&gt;=in_marketplace_from,d_hz_bills*G884,0))</f>
        <v/>
      </c>
      <c r="BQ885" s="40">
        <f>BQ884*d_rho_bills+BP885*IF(B885&gt;=in_marketplace_from,d_hz_bills*G885,0)</f>
        <v/>
      </c>
      <c r="BR885" s="14">
        <f>F885*BQ885*in_bills_ticket*in_bills_comm/12</f>
        <v/>
      </c>
      <c r="BS885" s="40">
        <f>BS884*(1-IF(B884&gt;=in_marketplace_from,d_hz_loan_gold*G884,0))</f>
        <v/>
      </c>
      <c r="BT885" s="14">
        <f>F885*BS885*IF(B885&gt;=in_marketplace_from,d_hz_loan_gold*G885,0)*in_loan_gold_ticket*in_loan_gold_comm</f>
        <v/>
      </c>
      <c r="BU885" s="40">
        <f>BU884*(1-IF(B884&gt;=in_marketplace_from,d_hz_loan_cd*G884,0))</f>
        <v/>
      </c>
      <c r="BV885" s="14">
        <f>F885*BU885*IF(B885&gt;=in_marketplace_from,d_hz_loan_cd*G885,0)*in_loan_cd_ticket*in_loan_cd_comm</f>
        <v/>
      </c>
      <c r="BW885" s="40">
        <f>BW884*(1-IF(B884&gt;=in_marketplace_from,d_hz_loan_vehicle*G884,0))</f>
        <v/>
      </c>
      <c r="BX885" s="14">
        <f>F885*BW885*IF(B885&gt;=in_marketplace_from,d_hz_loan_vehicle*G885,0)*in_loan_vehicle_ticket*in_loan_vehicle_comm</f>
        <v/>
      </c>
      <c r="BY885" s="40">
        <f>BY884*(1-IF(B884&gt;=in_marketplace_from,d_hz_loan_home*G884,0)*BZ884)</f>
        <v/>
      </c>
      <c r="BZ885" s="11">
        <f>MIN(in_approval_cap,in_loan_home_approval*INDEX('Age profile'!$O$2:$O$61,B885)*(1+in_approval_growth)^(D885-1))</f>
        <v/>
      </c>
      <c r="CA885" s="14">
        <f>F885*BY885*IF(B885&gt;=in_marketplace_from,d_hz_loan_home*G885,0)*BZ885*in_loan_home_ticket*in_loan_home_comm</f>
        <v/>
      </c>
      <c r="CB885" s="40">
        <f>CB884*(1-IF(B884&gt;=in_marketplace_from,d_hz_loan_lap*G884,0)*CC884)</f>
        <v/>
      </c>
      <c r="CC885" s="11">
        <f>MIN(in_approval_cap,in_loan_lap_approval*INDEX('Age profile'!$O$2:$O$61,B885)*(1+in_approval_growth)^(D885-1))</f>
        <v/>
      </c>
      <c r="CD885" s="14">
        <f>F885*CB885*IF(B885&gt;=in_marketplace_from,d_hz_loan_lap*G885,0)*CC885*in_loan_lap_ticket*in_loan_lap_comm</f>
        <v/>
      </c>
      <c r="CE885" s="14">
        <f>AA885+AB885+AC885+AD885+AG885+AJ885+AM885+AP885+AS885+AU885+AX885+BB885+BE885+BG885+BJ885+BL885+BO885+BR885+BT885+BV885+BX885+CA885+CD885</f>
        <v/>
      </c>
    </row>
    <row r="886">
      <c r="A886" s="39" t="n">
        <v>18</v>
      </c>
      <c r="B886" s="39" t="n">
        <v>1</v>
      </c>
      <c r="C886" s="39">
        <f>A886+B886-1</f>
        <v/>
      </c>
      <c r="D886" s="39">
        <f>INT((C886-1)/12)+1</f>
        <v/>
      </c>
      <c r="E886" s="44">
        <f>INDEX(Monthly!$B$2:$B$61,A886)</f>
        <v/>
      </c>
      <c r="F886" s="44">
        <f>E886*INDEX('Age profile'!$B$2:$B$61,B886)</f>
        <v/>
      </c>
      <c r="G886" s="45">
        <f>MIN(in_takeup_cap,INDEX('Age profile'!$N$2:$N$61,B886)*(1+in_takeup_growth)^(D886-1))</f>
        <v/>
      </c>
      <c r="H886" s="11">
        <f>MIN(in_approval_cap,in_approved_first*INDEX('Age profile'!$O$2:$O$61,B886)*(1+in_approval_growth)^(D886-1))</f>
        <v/>
      </c>
      <c r="I886" s="45">
        <f>G886*MIN(in_takeup_cap,INDEX('Age profile'!$O$2:$O$61,B886)*(1+in_approval_growth)^(D886-1))</f>
        <v/>
      </c>
      <c r="J886" s="40">
        <f>E886</f>
        <v/>
      </c>
      <c r="K886" s="40" t="n">
        <v>0</v>
      </c>
      <c r="L886" s="40">
        <f>IF(B886&gt;=in_marketplace_from,J886*d_hz*G886*in_eligible*H886,0)</f>
        <v/>
      </c>
      <c r="M886" s="40">
        <f>IF(B886&gt;=in_marketplace_from,K886*d_hz*G886*in_eligible*in_approved_repeat,0)</f>
        <v/>
      </c>
      <c r="N886" s="40">
        <f>L886+M886</f>
        <v/>
      </c>
      <c r="O886" s="46">
        <f>N886/F886</f>
        <v/>
      </c>
      <c r="P886" s="40">
        <f>F886-J886-K886</f>
        <v/>
      </c>
      <c r="Q886" s="40">
        <f>IF(B886&gt;=in_marketplace_from,(J886+K886)*d_hz*G886,0)</f>
        <v/>
      </c>
      <c r="R886" s="40">
        <f>SUMIFS(N886:N928,B886:B928,"&gt;="&amp;(B886-d_T),B886:B928,"&lt;="&amp;(B886-1))</f>
        <v/>
      </c>
      <c r="S886" s="46" t="n">
        <v>0</v>
      </c>
      <c r="T886" s="40">
        <f>F886*d_u*S886</f>
        <v/>
      </c>
      <c r="U886" s="9">
        <f>L886*in_ticket+M886*d_rep_ticket</f>
        <v/>
      </c>
      <c r="V886" s="9">
        <f>U886+T886*d_topup_amt</f>
        <v/>
      </c>
      <c r="W886" s="40">
        <f>N886+T886*d_topup_ratio</f>
        <v/>
      </c>
      <c r="X886" s="40">
        <f>SUMIFS(W886:W928,B886:B928,B886-in_dpd_lag)*d_cured</f>
        <v/>
      </c>
      <c r="Y886" s="40">
        <f>SUMIFS(W886:W928,B886:B928,B886-in_rec_lag)*d_recd</f>
        <v/>
      </c>
      <c r="Z886" s="40">
        <f>IF(AND(B886&gt;=in_marketplace_from,B886&lt;in_marketplace_from+in_card_months),in_card_share/in_card_months*F886*I886,IF(AND(B886&gt;=in_marketplace_from+in_card_months,B886&lt;in_marketplace_from+2*in_card_months),in_card_share*d_card_rem/in_card_months*F886*MIN(in_takeup_cap,(1+in_takeup_growth)^(D886-1))*MIN(in_takeup_cap,(1+in_approval_growth)^(D886-1)),0))</f>
        <v/>
      </c>
      <c r="AA886" s="14">
        <f>V886*in_fee*(1-in_taken_back)</f>
        <v/>
      </c>
      <c r="AB886" s="14">
        <f>SUMIFS(W886:W928,B886:B928,B886-in_dpd_lag)*d_dpd</f>
        <v/>
      </c>
      <c r="AC886" s="14">
        <f>SUMIFS(W886:W928,B886:B928,B886-in_rec_lag)*d_rec</f>
        <v/>
      </c>
      <c r="AD886" s="14">
        <f>Z886*in_card_fee</f>
        <v/>
      </c>
      <c r="AE886" s="40" t="n">
        <v>1</v>
      </c>
      <c r="AF886" s="46">
        <f>AE886*IF(B886&gt;=in_marketplace_from,d_hz_hlth_small*G886,0)</f>
        <v/>
      </c>
      <c r="AG886" s="14">
        <f>F886*AF886*in_hlth_small_ticket*in_hlth_small_comm*in_ins_partner_share+F886*in_hlth_small_ticket*in_hlth_small_renew_comm*in_ins_partner_share*(in_hlth_small_renew^1*SUMIFS(AF886:AF928,B886:B928,B886-12)+in_hlth_small_renew^2*SUMIFS(AF886:AF928,B886:B928,B886-24)+in_hlth_small_renew^3*SUMIFS(AF886:AF928,B886:B928,B886-36)+in_hlth_small_renew^4*SUMIFS(AF886:AF928,B886:B928,B886-48))</f>
        <v/>
      </c>
      <c r="AH886" s="40" t="n">
        <v>1</v>
      </c>
      <c r="AI886" s="46">
        <f>AH886*IF(B886&gt;=in_marketplace_from,d_hz_hlth_family*G886,0)</f>
        <v/>
      </c>
      <c r="AJ886" s="14">
        <f>F886*AI886*in_hlth_family_ticket*in_hlth_family_comm*in_ins_partner_share+F886*in_hlth_family_ticket*in_hlth_family_renew_comm*in_ins_partner_share*(in_hlth_family_renew^1*SUMIFS(AI886:AI928,B886:B928,B886-12)+in_hlth_family_renew^2*SUMIFS(AI886:AI928,B886:B928,B886-24)+in_hlth_family_renew^3*SUMIFS(AI886:AI928,B886:B928,B886-36)+in_hlth_family_renew^4*SUMIFS(AI886:AI928,B886:B928,B886-48))</f>
        <v/>
      </c>
      <c r="AK886" s="40" t="n">
        <v>1</v>
      </c>
      <c r="AL886" s="46">
        <f>AK886*IF(B886&gt;=in_marketplace_from,d_hz_life_term*G886,0)</f>
        <v/>
      </c>
      <c r="AM886" s="14">
        <f>F886*AL886*in_life_term_ticket*in_life_term_comm*in_ins_partner_share+F886*in_life_term_ticket*in_life_term_renew_comm*in_ins_partner_share*(in_life_term_renew^1*SUMIFS(AL886:AL928,B886:B928,B886-12)+in_life_term_renew^2*SUMIFS(AL886:AL928,B886:B928,B886-24)+in_life_term_renew^3*SUMIFS(AL886:AL928,B886:B928,B886-36)+in_life_term_renew^4*SUMIFS(AL886:AL928,B886:B928,B886-48))</f>
        <v/>
      </c>
      <c r="AN886" s="40" t="n">
        <v>1</v>
      </c>
      <c r="AO886" s="46">
        <f>AN886*IF(B886&gt;=in_marketplace_from,d_hz_accident*G886,0)</f>
        <v/>
      </c>
      <c r="AP886" s="14">
        <f>F886*AO886*in_accident_ticket*in_accident_comm*in_ins_partner_share+F886*in_accident_ticket*in_accident_renew_comm*in_ins_partner_share*(in_accident_renew^1*SUMIFS(AO886:AO928,B886:B928,B886-12)+in_accident_renew^2*SUMIFS(AO886:AO928,B886:B928,B886-24)+in_accident_renew^3*SUMIFS(AO886:AO928,B886:B928,B886-36)+in_accident_renew^4*SUMIFS(AO886:AO928,B886:B928,B886-48))</f>
        <v/>
      </c>
      <c r="AQ886" s="40" t="n">
        <v>1</v>
      </c>
      <c r="AR886" s="46">
        <f>AQ886*IF(B886&gt;=in_marketplace_from,d_hz_two_wheeler*G886,0)</f>
        <v/>
      </c>
      <c r="AS886" s="14">
        <f>F886*AR886*in_two_wheeler_ticket*in_two_wheeler_comm*in_ins_partner_share+F886*in_two_wheeler_ticket*in_two_wheeler_comm*in_ins_partner_share*(in_two_wheeler_renew^1*SUMIFS(AR886:AR928,B886:B928,B886-12)+in_two_wheeler_renew^2*SUMIFS(AR886:AR928,B886:B928,B886-24)+in_two_wheeler_renew^3*SUMIFS(AR886:AR928,B886:B928,B886-36)+in_two_wheeler_renew^4*SUMIFS(AR886:AR928,B886:B928,B886-48))</f>
        <v/>
      </c>
      <c r="AT886" s="40" t="n">
        <v>1</v>
      </c>
      <c r="AU886" s="14">
        <f>F886*AT886*IF(B886&gt;=in_marketplace_from,d_hz_device*G886,0)*in_device_ticket*in_device_comm*in_ins_partner_share</f>
        <v/>
      </c>
      <c r="AV886" s="40" t="n">
        <v>1</v>
      </c>
      <c r="AW886" s="46">
        <f>AV886*IF(B886&gt;=in_marketplace_from,d_hz_shop*G886,0)</f>
        <v/>
      </c>
      <c r="AX886" s="14">
        <f>F886*AW886*in_shop_ticket*in_shop_comm*in_ins_partner_share+F886*in_shop_ticket*in_shop_renew_comm*in_ins_partner_share*(in_shop_renew^1*SUMIFS(AW886:AW928,B886:B928,B886-12)+in_shop_renew^2*SUMIFS(AW886:AW928,B886:B928,B886-24)+in_shop_renew^3*SUMIFS(AW886:AW928,B886:B928,B886-36)+in_shop_renew^4*SUMIFS(AW886:AW928,B886:B928,B886-48))</f>
        <v/>
      </c>
      <c r="AY886" s="40" t="n">
        <v>1</v>
      </c>
      <c r="AZ886" s="40">
        <f>AY886*IF(B886&gt;=in_marketplace_from,d_hz_sip*G886,0)</f>
        <v/>
      </c>
      <c r="BA886" s="40" t="n">
        <v>0</v>
      </c>
      <c r="BB886" s="14">
        <f>F886*in_sip_ticket*(BA886+0.5*AZ886)*in_sip_comm/12</f>
        <v/>
      </c>
      <c r="BC886" s="40" t="n">
        <v>1</v>
      </c>
      <c r="BD886" s="46">
        <f>BC886*IF(B886&gt;=in_marketplace_from,d_hz_choti*G886,0)</f>
        <v/>
      </c>
      <c r="BE886" s="14">
        <f>F886*SUMIFS(BD886:BD928,B886:B928,B886-in_choti_months)*in_choti_renew*in_choti_ticket</f>
        <v/>
      </c>
      <c r="BF886" s="40" t="n">
        <v>1</v>
      </c>
      <c r="BG886" s="14">
        <f>F886*BF886*IF(B886&gt;=in_marketplace_from,d_hz_nps*G886,0)*in_nps_ticket*in_nps_comm</f>
        <v/>
      </c>
      <c r="BH886" s="40" t="n">
        <v>1</v>
      </c>
      <c r="BI886" s="40">
        <f>BH886*IF(B886&gt;=in_marketplace_from,d_hz_gold*G886,0)</f>
        <v/>
      </c>
      <c r="BJ886" s="14">
        <f>F886*BI886*in_gold_ticket*in_gold_comm</f>
        <v/>
      </c>
      <c r="BK886" s="40" t="n">
        <v>1</v>
      </c>
      <c r="BL886" s="14">
        <f>F886*BK886*IF(B886&gt;=in_marketplace_from,d_hz_fd*G886,0)*in_fd_ticket*in_fd_comm</f>
        <v/>
      </c>
      <c r="BM886" s="40" t="n">
        <v>1</v>
      </c>
      <c r="BN886" s="40">
        <f>BM886*IF(B886&gt;=in_marketplace_from,d_hz_recharge*G886,0)</f>
        <v/>
      </c>
      <c r="BO886" s="14">
        <f>F886*BN886*in_recharge_ticket*in_recharge_comm/12</f>
        <v/>
      </c>
      <c r="BP886" s="40" t="n">
        <v>1</v>
      </c>
      <c r="BQ886" s="40">
        <f>BP886*IF(B886&gt;=in_marketplace_from,d_hz_bills*G886,0)</f>
        <v/>
      </c>
      <c r="BR886" s="14">
        <f>F886*BQ886*in_bills_ticket*in_bills_comm/12</f>
        <v/>
      </c>
      <c r="BS886" s="40" t="n">
        <v>1</v>
      </c>
      <c r="BT886" s="14">
        <f>F886*BS886*IF(B886&gt;=in_marketplace_from,d_hz_loan_gold*G886,0)*in_loan_gold_ticket*in_loan_gold_comm</f>
        <v/>
      </c>
      <c r="BU886" s="40" t="n">
        <v>1</v>
      </c>
      <c r="BV886" s="14">
        <f>F886*BU886*IF(B886&gt;=in_marketplace_from,d_hz_loan_cd*G886,0)*in_loan_cd_ticket*in_loan_cd_comm</f>
        <v/>
      </c>
      <c r="BW886" s="40" t="n">
        <v>1</v>
      </c>
      <c r="BX886" s="14">
        <f>F886*BW886*IF(B886&gt;=in_marketplace_from,d_hz_loan_vehicle*G886,0)*in_loan_vehicle_ticket*in_loan_vehicle_comm</f>
        <v/>
      </c>
      <c r="BY886" s="40" t="n">
        <v>1</v>
      </c>
      <c r="BZ886" s="11">
        <f>MIN(in_approval_cap,in_loan_home_approval*INDEX('Age profile'!$O$2:$O$61,B886)*(1+in_approval_growth)^(D886-1))</f>
        <v/>
      </c>
      <c r="CA886" s="14">
        <f>F886*BY886*IF(B886&gt;=in_marketplace_from,d_hz_loan_home*G886,0)*BZ886*in_loan_home_ticket*in_loan_home_comm</f>
        <v/>
      </c>
      <c r="CB886" s="40" t="n">
        <v>1</v>
      </c>
      <c r="CC886" s="11">
        <f>MIN(in_approval_cap,in_loan_lap_approval*INDEX('Age profile'!$O$2:$O$61,B886)*(1+in_approval_growth)^(D886-1))</f>
        <v/>
      </c>
      <c r="CD886" s="14">
        <f>F886*CB886*IF(B886&gt;=in_marketplace_from,d_hz_loan_lap*G886,0)*CC886*in_loan_lap_ticket*in_loan_lap_comm</f>
        <v/>
      </c>
      <c r="CE886" s="14">
        <f>AA886+AB886+AC886+AD886+AG886+AJ886+AM886+AP886+AS886+AU886+AX886+BB886+BE886+BG886+BJ886+BL886+BO886+BR886+BT886+BV886+BX886+CA886+CD886</f>
        <v/>
      </c>
    </row>
    <row r="887">
      <c r="A887" s="39" t="n">
        <v>18</v>
      </c>
      <c r="B887" s="39" t="n">
        <v>2</v>
      </c>
      <c r="C887" s="39">
        <f>A887+B887-1</f>
        <v/>
      </c>
      <c r="D887" s="39">
        <f>INT((C887-1)/12)+1</f>
        <v/>
      </c>
      <c r="E887" s="44">
        <f>INDEX(Monthly!$B$2:$B$61,A887)</f>
        <v/>
      </c>
      <c r="F887" s="44">
        <f>E887*INDEX('Age profile'!$B$2:$B$61,B887)</f>
        <v/>
      </c>
      <c r="G887" s="45">
        <f>MIN(in_takeup_cap,INDEX('Age profile'!$N$2:$N$61,B887)*(1+in_takeup_growth)^(D887-1))</f>
        <v/>
      </c>
      <c r="H887" s="11">
        <f>MIN(in_approval_cap,in_approved_first*INDEX('Age profile'!$O$2:$O$61,B887)*(1+in_approval_growth)^(D887-1))</f>
        <v/>
      </c>
      <c r="I887" s="45">
        <f>G887*MIN(in_takeup_cap,INDEX('Age profile'!$O$2:$O$61,B887)*(1+in_approval_growth)^(D887-1))</f>
        <v/>
      </c>
      <c r="J887" s="40">
        <f>(J886-L886)*F887/F886</f>
        <v/>
      </c>
      <c r="K887" s="40">
        <f>(K886-M886)*F887/F886+SUMIFS(O886:O886,B886:B886,B887-1-d_T)*F887</f>
        <v/>
      </c>
      <c r="L887" s="40">
        <f>IF(B887&gt;=in_marketplace_from,J887*d_hz*G887*in_eligible*H887,0)</f>
        <v/>
      </c>
      <c r="M887" s="40">
        <f>IF(B887&gt;=in_marketplace_from,K887*d_hz*G887*in_eligible*in_approved_repeat,0)</f>
        <v/>
      </c>
      <c r="N887" s="40">
        <f>L887+M887</f>
        <v/>
      </c>
      <c r="O887" s="46">
        <f>N887/F887</f>
        <v/>
      </c>
      <c r="P887" s="40">
        <f>F887-J887-K887</f>
        <v/>
      </c>
      <c r="Q887" s="40">
        <f>IF(B887&gt;=in_marketplace_from,(J887+K887)*d_hz*G887,0)</f>
        <v/>
      </c>
      <c r="R887" s="40">
        <f>SUMIFS(N886:N928,B886:B928,"&gt;="&amp;(B887-d_T),B886:B928,"&lt;="&amp;(B887-1))</f>
        <v/>
      </c>
      <c r="S887" s="46">
        <f>(1-d_u)*S886+IF(d_T&gt;in_topup_lag,SUMIFS(O886:O928,B886:B928,B887-in_topup_lag)-d_udrop*SUMIFS(O886:O928,B886:B928,B887-d_T),0)</f>
        <v/>
      </c>
      <c r="T887" s="40">
        <f>F887*d_u*S887</f>
        <v/>
      </c>
      <c r="U887" s="9">
        <f>L887*in_ticket+M887*d_rep_ticket</f>
        <v/>
      </c>
      <c r="V887" s="9">
        <f>U887+T887*d_topup_amt</f>
        <v/>
      </c>
      <c r="W887" s="40">
        <f>N887+T887*d_topup_ratio</f>
        <v/>
      </c>
      <c r="X887" s="40">
        <f>SUMIFS(W886:W928,B886:B928,B887-in_dpd_lag)*d_cured</f>
        <v/>
      </c>
      <c r="Y887" s="40">
        <f>SUMIFS(W886:W928,B886:B928,B887-in_rec_lag)*d_recd</f>
        <v/>
      </c>
      <c r="Z887" s="40">
        <f>IF(AND(B887&gt;=in_marketplace_from,B887&lt;in_marketplace_from+in_card_months),in_card_share/in_card_months*F887*I887,IF(AND(B887&gt;=in_marketplace_from+in_card_months,B887&lt;in_marketplace_from+2*in_card_months),in_card_share*d_card_rem/in_card_months*F887*MIN(in_takeup_cap,(1+in_takeup_growth)^(D887-1))*MIN(in_takeup_cap,(1+in_approval_growth)^(D887-1)),0))</f>
        <v/>
      </c>
      <c r="AA887" s="14">
        <f>V887*in_fee*(1-in_taken_back)</f>
        <v/>
      </c>
      <c r="AB887" s="14">
        <f>SUMIFS(W886:W928,B886:B928,B887-in_dpd_lag)*d_dpd</f>
        <v/>
      </c>
      <c r="AC887" s="14">
        <f>SUMIFS(W886:W928,B886:B928,B887-in_rec_lag)*d_rec</f>
        <v/>
      </c>
      <c r="AD887" s="14">
        <f>Z887*in_card_fee</f>
        <v/>
      </c>
      <c r="AE887" s="40">
        <f>AE886*(1-IF(B886&gt;=in_marketplace_from,d_hz_hlth_small*G886,0))</f>
        <v/>
      </c>
      <c r="AF887" s="46">
        <f>AE887*IF(B887&gt;=in_marketplace_from,d_hz_hlth_small*G887,0)</f>
        <v/>
      </c>
      <c r="AG887" s="14">
        <f>F887*AF887*in_hlth_small_ticket*in_hlth_small_comm*in_ins_partner_share+F887*in_hlth_small_ticket*in_hlth_small_renew_comm*in_ins_partner_share*(in_hlth_small_renew^1*SUMIFS(AF886:AF928,B886:B928,B887-12)+in_hlth_small_renew^2*SUMIFS(AF886:AF928,B886:B928,B887-24)+in_hlth_small_renew^3*SUMIFS(AF886:AF928,B886:B928,B887-36)+in_hlth_small_renew^4*SUMIFS(AF886:AF928,B886:B928,B887-48))</f>
        <v/>
      </c>
      <c r="AH887" s="40">
        <f>AH886*(1-IF(B886&gt;=in_marketplace_from,d_hz_hlth_family*G886,0))</f>
        <v/>
      </c>
      <c r="AI887" s="46">
        <f>AH887*IF(B887&gt;=in_marketplace_from,d_hz_hlth_family*G887,0)</f>
        <v/>
      </c>
      <c r="AJ887" s="14">
        <f>F887*AI887*in_hlth_family_ticket*in_hlth_family_comm*in_ins_partner_share+F887*in_hlth_family_ticket*in_hlth_family_renew_comm*in_ins_partner_share*(in_hlth_family_renew^1*SUMIFS(AI886:AI928,B886:B928,B887-12)+in_hlth_family_renew^2*SUMIFS(AI886:AI928,B886:B928,B887-24)+in_hlth_family_renew^3*SUMIFS(AI886:AI928,B886:B928,B887-36)+in_hlth_family_renew^4*SUMIFS(AI886:AI928,B886:B928,B887-48))</f>
        <v/>
      </c>
      <c r="AK887" s="40">
        <f>AK886*(1-IF(B886&gt;=in_marketplace_from,d_hz_life_term*G886,0))</f>
        <v/>
      </c>
      <c r="AL887" s="46">
        <f>AK887*IF(B887&gt;=in_marketplace_from,d_hz_life_term*G887,0)</f>
        <v/>
      </c>
      <c r="AM887" s="14">
        <f>F887*AL887*in_life_term_ticket*in_life_term_comm*in_ins_partner_share+F887*in_life_term_ticket*in_life_term_renew_comm*in_ins_partner_share*(in_life_term_renew^1*SUMIFS(AL886:AL928,B886:B928,B887-12)+in_life_term_renew^2*SUMIFS(AL886:AL928,B886:B928,B887-24)+in_life_term_renew^3*SUMIFS(AL886:AL928,B886:B928,B887-36)+in_life_term_renew^4*SUMIFS(AL886:AL928,B886:B928,B887-48))</f>
        <v/>
      </c>
      <c r="AN887" s="40">
        <f>AN886*(1-IF(B886&gt;=in_marketplace_from,d_hz_accident*G886,0))</f>
        <v/>
      </c>
      <c r="AO887" s="46">
        <f>AN887*IF(B887&gt;=in_marketplace_from,d_hz_accident*G887,0)</f>
        <v/>
      </c>
      <c r="AP887" s="14">
        <f>F887*AO887*in_accident_ticket*in_accident_comm*in_ins_partner_share+F887*in_accident_ticket*in_accident_renew_comm*in_ins_partner_share*(in_accident_renew^1*SUMIFS(AO886:AO928,B886:B928,B887-12)+in_accident_renew^2*SUMIFS(AO886:AO928,B886:B928,B887-24)+in_accident_renew^3*SUMIFS(AO886:AO928,B886:B928,B887-36)+in_accident_renew^4*SUMIFS(AO886:AO928,B886:B928,B887-48))</f>
        <v/>
      </c>
      <c r="AQ887" s="40">
        <f>AQ886*(1-IF(B886&gt;=in_marketplace_from,d_hz_two_wheeler*G886,0))</f>
        <v/>
      </c>
      <c r="AR887" s="46">
        <f>AQ887*IF(B887&gt;=in_marketplace_from,d_hz_two_wheeler*G887,0)</f>
        <v/>
      </c>
      <c r="AS887" s="14">
        <f>F887*AR887*in_two_wheeler_ticket*in_two_wheeler_comm*in_ins_partner_share+F887*in_two_wheeler_ticket*in_two_wheeler_comm*in_ins_partner_share*(in_two_wheeler_renew^1*SUMIFS(AR886:AR928,B886:B928,B887-12)+in_two_wheeler_renew^2*SUMIFS(AR886:AR928,B886:B928,B887-24)+in_two_wheeler_renew^3*SUMIFS(AR886:AR928,B886:B928,B887-36)+in_two_wheeler_renew^4*SUMIFS(AR886:AR928,B886:B928,B887-48))</f>
        <v/>
      </c>
      <c r="AT887" s="40">
        <f>AT886*(1-IF(B886&gt;=in_marketplace_from,d_hz_device*G886,0))</f>
        <v/>
      </c>
      <c r="AU887" s="14">
        <f>F887*AT887*IF(B887&gt;=in_marketplace_from,d_hz_device*G887,0)*in_device_ticket*in_device_comm*in_ins_partner_share</f>
        <v/>
      </c>
      <c r="AV887" s="40">
        <f>AV886*(1-IF(B886&gt;=in_marketplace_from,d_hz_shop*G886,0))</f>
        <v/>
      </c>
      <c r="AW887" s="46">
        <f>AV887*IF(B887&gt;=in_marketplace_from,d_hz_shop*G887,0)</f>
        <v/>
      </c>
      <c r="AX887" s="14">
        <f>F887*AW887*in_shop_ticket*in_shop_comm*in_ins_partner_share+F887*in_shop_ticket*in_shop_renew_comm*in_ins_partner_share*(in_shop_renew^1*SUMIFS(AW886:AW928,B886:B928,B887-12)+in_shop_renew^2*SUMIFS(AW886:AW928,B886:B928,B887-24)+in_shop_renew^3*SUMIFS(AW886:AW928,B886:B928,B887-36)+in_shop_renew^4*SUMIFS(AW886:AW928,B886:B928,B887-48))</f>
        <v/>
      </c>
      <c r="AY887" s="40">
        <f>AY886*(1-IF(B886&gt;=in_marketplace_from,d_hz_sip*G886,0))</f>
        <v/>
      </c>
      <c r="AZ887" s="40">
        <f>AZ886*d_rho_sip+AY887*IF(B887&gt;=in_marketplace_from,d_hz_sip*G887,0)</f>
        <v/>
      </c>
      <c r="BA887" s="40">
        <f>d_rho_sip*(BA886+AZ886)</f>
        <v/>
      </c>
      <c r="BB887" s="14">
        <f>F887*in_sip_ticket*(BA887+0.5*AZ887)*in_sip_comm/12</f>
        <v/>
      </c>
      <c r="BC887" s="40">
        <f>BC886*(1-IF(B886&gt;=in_marketplace_from,d_hz_choti*G886,0))</f>
        <v/>
      </c>
      <c r="BD887" s="46">
        <f>BC887*IF(B887&gt;=in_marketplace_from,d_hz_choti*G887,0)</f>
        <v/>
      </c>
      <c r="BE887" s="14">
        <f>F887*SUMIFS(BD886:BD928,B886:B928,B887-in_choti_months)*in_choti_renew*in_choti_ticket</f>
        <v/>
      </c>
      <c r="BF887" s="40">
        <f>BF886*(1-IF(B886&gt;=in_marketplace_from,d_hz_nps*G886,0))</f>
        <v/>
      </c>
      <c r="BG887" s="14">
        <f>F887*BF887*IF(B887&gt;=in_marketplace_from,d_hz_nps*G887,0)*in_nps_ticket*in_nps_comm</f>
        <v/>
      </c>
      <c r="BH887" s="40">
        <f>BH886*(1-IF(B886&gt;=in_marketplace_from,d_hz_gold*G886,0))</f>
        <v/>
      </c>
      <c r="BI887" s="40">
        <f>BI886*d_rho_gold+BH887*IF(B887&gt;=in_marketplace_from,d_hz_gold*G887,0)</f>
        <v/>
      </c>
      <c r="BJ887" s="14">
        <f>F887*BI887*in_gold_ticket*in_gold_comm</f>
        <v/>
      </c>
      <c r="BK887" s="40">
        <f>BK886*(1-IF(B886&gt;=in_marketplace_from,d_hz_fd*G886,0))</f>
        <v/>
      </c>
      <c r="BL887" s="14">
        <f>F887*BK887*IF(B887&gt;=in_marketplace_from,d_hz_fd*G887,0)*in_fd_ticket*in_fd_comm</f>
        <v/>
      </c>
      <c r="BM887" s="40">
        <f>BM886*(1-IF(B886&gt;=in_marketplace_from,d_hz_recharge*G886,0))</f>
        <v/>
      </c>
      <c r="BN887" s="40">
        <f>BN886*d_rho_recharge+BM887*IF(B887&gt;=in_marketplace_from,d_hz_recharge*G887,0)</f>
        <v/>
      </c>
      <c r="BO887" s="14">
        <f>F887*BN887*in_recharge_ticket*in_recharge_comm/12</f>
        <v/>
      </c>
      <c r="BP887" s="40">
        <f>BP886*(1-IF(B886&gt;=in_marketplace_from,d_hz_bills*G886,0))</f>
        <v/>
      </c>
      <c r="BQ887" s="40">
        <f>BQ886*d_rho_bills+BP887*IF(B887&gt;=in_marketplace_from,d_hz_bills*G887,0)</f>
        <v/>
      </c>
      <c r="BR887" s="14">
        <f>F887*BQ887*in_bills_ticket*in_bills_comm/12</f>
        <v/>
      </c>
      <c r="BS887" s="40">
        <f>BS886*(1-IF(B886&gt;=in_marketplace_from,d_hz_loan_gold*G886,0))</f>
        <v/>
      </c>
      <c r="BT887" s="14">
        <f>F887*BS887*IF(B887&gt;=in_marketplace_from,d_hz_loan_gold*G887,0)*in_loan_gold_ticket*in_loan_gold_comm</f>
        <v/>
      </c>
      <c r="BU887" s="40">
        <f>BU886*(1-IF(B886&gt;=in_marketplace_from,d_hz_loan_cd*G886,0))</f>
        <v/>
      </c>
      <c r="BV887" s="14">
        <f>F887*BU887*IF(B887&gt;=in_marketplace_from,d_hz_loan_cd*G887,0)*in_loan_cd_ticket*in_loan_cd_comm</f>
        <v/>
      </c>
      <c r="BW887" s="40">
        <f>BW886*(1-IF(B886&gt;=in_marketplace_from,d_hz_loan_vehicle*G886,0))</f>
        <v/>
      </c>
      <c r="BX887" s="14">
        <f>F887*BW887*IF(B887&gt;=in_marketplace_from,d_hz_loan_vehicle*G887,0)*in_loan_vehicle_ticket*in_loan_vehicle_comm</f>
        <v/>
      </c>
      <c r="BY887" s="40">
        <f>BY886*(1-IF(B886&gt;=in_marketplace_from,d_hz_loan_home*G886,0)*BZ886)</f>
        <v/>
      </c>
      <c r="BZ887" s="11">
        <f>MIN(in_approval_cap,in_loan_home_approval*INDEX('Age profile'!$O$2:$O$61,B887)*(1+in_approval_growth)^(D887-1))</f>
        <v/>
      </c>
      <c r="CA887" s="14">
        <f>F887*BY887*IF(B887&gt;=in_marketplace_from,d_hz_loan_home*G887,0)*BZ887*in_loan_home_ticket*in_loan_home_comm</f>
        <v/>
      </c>
      <c r="CB887" s="40">
        <f>CB886*(1-IF(B886&gt;=in_marketplace_from,d_hz_loan_lap*G886,0)*CC886)</f>
        <v/>
      </c>
      <c r="CC887" s="11">
        <f>MIN(in_approval_cap,in_loan_lap_approval*INDEX('Age profile'!$O$2:$O$61,B887)*(1+in_approval_growth)^(D887-1))</f>
        <v/>
      </c>
      <c r="CD887" s="14">
        <f>F887*CB887*IF(B887&gt;=in_marketplace_from,d_hz_loan_lap*G887,0)*CC887*in_loan_lap_ticket*in_loan_lap_comm</f>
        <v/>
      </c>
      <c r="CE887" s="14">
        <f>AA887+AB887+AC887+AD887+AG887+AJ887+AM887+AP887+AS887+AU887+AX887+BB887+BE887+BG887+BJ887+BL887+BO887+BR887+BT887+BV887+BX887+CA887+CD887</f>
        <v/>
      </c>
    </row>
    <row r="888">
      <c r="A888" s="39" t="n">
        <v>18</v>
      </c>
      <c r="B888" s="39" t="n">
        <v>3</v>
      </c>
      <c r="C888" s="39">
        <f>A888+B888-1</f>
        <v/>
      </c>
      <c r="D888" s="39">
        <f>INT((C888-1)/12)+1</f>
        <v/>
      </c>
      <c r="E888" s="44">
        <f>INDEX(Monthly!$B$2:$B$61,A888)</f>
        <v/>
      </c>
      <c r="F888" s="44">
        <f>E888*INDEX('Age profile'!$B$2:$B$61,B888)</f>
        <v/>
      </c>
      <c r="G888" s="45">
        <f>MIN(in_takeup_cap,INDEX('Age profile'!$N$2:$N$61,B888)*(1+in_takeup_growth)^(D888-1))</f>
        <v/>
      </c>
      <c r="H888" s="11">
        <f>MIN(in_approval_cap,in_approved_first*INDEX('Age profile'!$O$2:$O$61,B888)*(1+in_approval_growth)^(D888-1))</f>
        <v/>
      </c>
      <c r="I888" s="45">
        <f>G888*MIN(in_takeup_cap,INDEX('Age profile'!$O$2:$O$61,B888)*(1+in_approval_growth)^(D888-1))</f>
        <v/>
      </c>
      <c r="J888" s="40">
        <f>(J887-L887)*F888/F887</f>
        <v/>
      </c>
      <c r="K888" s="40">
        <f>(K887-M887)*F888/F887+SUMIFS(O886:O887,B886:B887,B888-1-d_T)*F888</f>
        <v/>
      </c>
      <c r="L888" s="40">
        <f>IF(B888&gt;=in_marketplace_from,J888*d_hz*G888*in_eligible*H888,0)</f>
        <v/>
      </c>
      <c r="M888" s="40">
        <f>IF(B888&gt;=in_marketplace_from,K888*d_hz*G888*in_eligible*in_approved_repeat,0)</f>
        <v/>
      </c>
      <c r="N888" s="40">
        <f>L888+M888</f>
        <v/>
      </c>
      <c r="O888" s="46">
        <f>N888/F888</f>
        <v/>
      </c>
      <c r="P888" s="40">
        <f>F888-J888-K888</f>
        <v/>
      </c>
      <c r="Q888" s="40">
        <f>IF(B888&gt;=in_marketplace_from,(J888+K888)*d_hz*G888,0)</f>
        <v/>
      </c>
      <c r="R888" s="40">
        <f>SUMIFS(N886:N928,B886:B928,"&gt;="&amp;(B888-d_T),B886:B928,"&lt;="&amp;(B888-1))</f>
        <v/>
      </c>
      <c r="S888" s="46">
        <f>(1-d_u)*S887+IF(d_T&gt;in_topup_lag,SUMIFS(O886:O928,B886:B928,B888-in_topup_lag)-d_udrop*SUMIFS(O886:O928,B886:B928,B888-d_T),0)</f>
        <v/>
      </c>
      <c r="T888" s="40">
        <f>F888*d_u*S888</f>
        <v/>
      </c>
      <c r="U888" s="9">
        <f>L888*in_ticket+M888*d_rep_ticket</f>
        <v/>
      </c>
      <c r="V888" s="9">
        <f>U888+T888*d_topup_amt</f>
        <v/>
      </c>
      <c r="W888" s="40">
        <f>N888+T888*d_topup_ratio</f>
        <v/>
      </c>
      <c r="X888" s="40">
        <f>SUMIFS(W886:W928,B886:B928,B888-in_dpd_lag)*d_cured</f>
        <v/>
      </c>
      <c r="Y888" s="40">
        <f>SUMIFS(W886:W928,B886:B928,B888-in_rec_lag)*d_recd</f>
        <v/>
      </c>
      <c r="Z888" s="40">
        <f>IF(AND(B888&gt;=in_marketplace_from,B888&lt;in_marketplace_from+in_card_months),in_card_share/in_card_months*F888*I888,IF(AND(B888&gt;=in_marketplace_from+in_card_months,B888&lt;in_marketplace_from+2*in_card_months),in_card_share*d_card_rem/in_card_months*F888*MIN(in_takeup_cap,(1+in_takeup_growth)^(D888-1))*MIN(in_takeup_cap,(1+in_approval_growth)^(D888-1)),0))</f>
        <v/>
      </c>
      <c r="AA888" s="14">
        <f>V888*in_fee*(1-in_taken_back)</f>
        <v/>
      </c>
      <c r="AB888" s="14">
        <f>SUMIFS(W886:W928,B886:B928,B888-in_dpd_lag)*d_dpd</f>
        <v/>
      </c>
      <c r="AC888" s="14">
        <f>SUMIFS(W886:W928,B886:B928,B888-in_rec_lag)*d_rec</f>
        <v/>
      </c>
      <c r="AD888" s="14">
        <f>Z888*in_card_fee</f>
        <v/>
      </c>
      <c r="AE888" s="40">
        <f>AE887*(1-IF(B887&gt;=in_marketplace_from,d_hz_hlth_small*G887,0))</f>
        <v/>
      </c>
      <c r="AF888" s="46">
        <f>AE888*IF(B888&gt;=in_marketplace_from,d_hz_hlth_small*G888,0)</f>
        <v/>
      </c>
      <c r="AG888" s="14">
        <f>F888*AF888*in_hlth_small_ticket*in_hlth_small_comm*in_ins_partner_share+F888*in_hlth_small_ticket*in_hlth_small_renew_comm*in_ins_partner_share*(in_hlth_small_renew^1*SUMIFS(AF886:AF928,B886:B928,B888-12)+in_hlth_small_renew^2*SUMIFS(AF886:AF928,B886:B928,B888-24)+in_hlth_small_renew^3*SUMIFS(AF886:AF928,B886:B928,B888-36)+in_hlth_small_renew^4*SUMIFS(AF886:AF928,B886:B928,B888-48))</f>
        <v/>
      </c>
      <c r="AH888" s="40">
        <f>AH887*(1-IF(B887&gt;=in_marketplace_from,d_hz_hlth_family*G887,0))</f>
        <v/>
      </c>
      <c r="AI888" s="46">
        <f>AH888*IF(B888&gt;=in_marketplace_from,d_hz_hlth_family*G888,0)</f>
        <v/>
      </c>
      <c r="AJ888" s="14">
        <f>F888*AI888*in_hlth_family_ticket*in_hlth_family_comm*in_ins_partner_share+F888*in_hlth_family_ticket*in_hlth_family_renew_comm*in_ins_partner_share*(in_hlth_family_renew^1*SUMIFS(AI886:AI928,B886:B928,B888-12)+in_hlth_family_renew^2*SUMIFS(AI886:AI928,B886:B928,B888-24)+in_hlth_family_renew^3*SUMIFS(AI886:AI928,B886:B928,B888-36)+in_hlth_family_renew^4*SUMIFS(AI886:AI928,B886:B928,B888-48))</f>
        <v/>
      </c>
      <c r="AK888" s="40">
        <f>AK887*(1-IF(B887&gt;=in_marketplace_from,d_hz_life_term*G887,0))</f>
        <v/>
      </c>
      <c r="AL888" s="46">
        <f>AK888*IF(B888&gt;=in_marketplace_from,d_hz_life_term*G888,0)</f>
        <v/>
      </c>
      <c r="AM888" s="14">
        <f>F888*AL888*in_life_term_ticket*in_life_term_comm*in_ins_partner_share+F888*in_life_term_ticket*in_life_term_renew_comm*in_ins_partner_share*(in_life_term_renew^1*SUMIFS(AL886:AL928,B886:B928,B888-12)+in_life_term_renew^2*SUMIFS(AL886:AL928,B886:B928,B888-24)+in_life_term_renew^3*SUMIFS(AL886:AL928,B886:B928,B888-36)+in_life_term_renew^4*SUMIFS(AL886:AL928,B886:B928,B888-48))</f>
        <v/>
      </c>
      <c r="AN888" s="40">
        <f>AN887*(1-IF(B887&gt;=in_marketplace_from,d_hz_accident*G887,0))</f>
        <v/>
      </c>
      <c r="AO888" s="46">
        <f>AN888*IF(B888&gt;=in_marketplace_from,d_hz_accident*G888,0)</f>
        <v/>
      </c>
      <c r="AP888" s="14">
        <f>F888*AO888*in_accident_ticket*in_accident_comm*in_ins_partner_share+F888*in_accident_ticket*in_accident_renew_comm*in_ins_partner_share*(in_accident_renew^1*SUMIFS(AO886:AO928,B886:B928,B888-12)+in_accident_renew^2*SUMIFS(AO886:AO928,B886:B928,B888-24)+in_accident_renew^3*SUMIFS(AO886:AO928,B886:B928,B888-36)+in_accident_renew^4*SUMIFS(AO886:AO928,B886:B928,B888-48))</f>
        <v/>
      </c>
      <c r="AQ888" s="40">
        <f>AQ887*(1-IF(B887&gt;=in_marketplace_from,d_hz_two_wheeler*G887,0))</f>
        <v/>
      </c>
      <c r="AR888" s="46">
        <f>AQ888*IF(B888&gt;=in_marketplace_from,d_hz_two_wheeler*G888,0)</f>
        <v/>
      </c>
      <c r="AS888" s="14">
        <f>F888*AR888*in_two_wheeler_ticket*in_two_wheeler_comm*in_ins_partner_share+F888*in_two_wheeler_ticket*in_two_wheeler_comm*in_ins_partner_share*(in_two_wheeler_renew^1*SUMIFS(AR886:AR928,B886:B928,B888-12)+in_two_wheeler_renew^2*SUMIFS(AR886:AR928,B886:B928,B888-24)+in_two_wheeler_renew^3*SUMIFS(AR886:AR928,B886:B928,B888-36)+in_two_wheeler_renew^4*SUMIFS(AR886:AR928,B886:B928,B888-48))</f>
        <v/>
      </c>
      <c r="AT888" s="40">
        <f>AT887*(1-IF(B887&gt;=in_marketplace_from,d_hz_device*G887,0))</f>
        <v/>
      </c>
      <c r="AU888" s="14">
        <f>F888*AT888*IF(B888&gt;=in_marketplace_from,d_hz_device*G888,0)*in_device_ticket*in_device_comm*in_ins_partner_share</f>
        <v/>
      </c>
      <c r="AV888" s="40">
        <f>AV887*(1-IF(B887&gt;=in_marketplace_from,d_hz_shop*G887,0))</f>
        <v/>
      </c>
      <c r="AW888" s="46">
        <f>AV888*IF(B888&gt;=in_marketplace_from,d_hz_shop*G888,0)</f>
        <v/>
      </c>
      <c r="AX888" s="14">
        <f>F888*AW888*in_shop_ticket*in_shop_comm*in_ins_partner_share+F888*in_shop_ticket*in_shop_renew_comm*in_ins_partner_share*(in_shop_renew^1*SUMIFS(AW886:AW928,B886:B928,B888-12)+in_shop_renew^2*SUMIFS(AW886:AW928,B886:B928,B888-24)+in_shop_renew^3*SUMIFS(AW886:AW928,B886:B928,B888-36)+in_shop_renew^4*SUMIFS(AW886:AW928,B886:B928,B888-48))</f>
        <v/>
      </c>
      <c r="AY888" s="40">
        <f>AY887*(1-IF(B887&gt;=in_marketplace_from,d_hz_sip*G887,0))</f>
        <v/>
      </c>
      <c r="AZ888" s="40">
        <f>AZ887*d_rho_sip+AY888*IF(B888&gt;=in_marketplace_from,d_hz_sip*G888,0)</f>
        <v/>
      </c>
      <c r="BA888" s="40">
        <f>d_rho_sip*(BA887+AZ887)</f>
        <v/>
      </c>
      <c r="BB888" s="14">
        <f>F888*in_sip_ticket*(BA888+0.5*AZ888)*in_sip_comm/12</f>
        <v/>
      </c>
      <c r="BC888" s="40">
        <f>BC887*(1-IF(B887&gt;=in_marketplace_from,d_hz_choti*G887,0))</f>
        <v/>
      </c>
      <c r="BD888" s="46">
        <f>BC888*IF(B888&gt;=in_marketplace_from,d_hz_choti*G888,0)</f>
        <v/>
      </c>
      <c r="BE888" s="14">
        <f>F888*SUMIFS(BD886:BD928,B886:B928,B888-in_choti_months)*in_choti_renew*in_choti_ticket</f>
        <v/>
      </c>
      <c r="BF888" s="40">
        <f>BF887*(1-IF(B887&gt;=in_marketplace_from,d_hz_nps*G887,0))</f>
        <v/>
      </c>
      <c r="BG888" s="14">
        <f>F888*BF888*IF(B888&gt;=in_marketplace_from,d_hz_nps*G888,0)*in_nps_ticket*in_nps_comm</f>
        <v/>
      </c>
      <c r="BH888" s="40">
        <f>BH887*(1-IF(B887&gt;=in_marketplace_from,d_hz_gold*G887,0))</f>
        <v/>
      </c>
      <c r="BI888" s="40">
        <f>BI887*d_rho_gold+BH888*IF(B888&gt;=in_marketplace_from,d_hz_gold*G888,0)</f>
        <v/>
      </c>
      <c r="BJ888" s="14">
        <f>F888*BI888*in_gold_ticket*in_gold_comm</f>
        <v/>
      </c>
      <c r="BK888" s="40">
        <f>BK887*(1-IF(B887&gt;=in_marketplace_from,d_hz_fd*G887,0))</f>
        <v/>
      </c>
      <c r="BL888" s="14">
        <f>F888*BK888*IF(B888&gt;=in_marketplace_from,d_hz_fd*G888,0)*in_fd_ticket*in_fd_comm</f>
        <v/>
      </c>
      <c r="BM888" s="40">
        <f>BM887*(1-IF(B887&gt;=in_marketplace_from,d_hz_recharge*G887,0))</f>
        <v/>
      </c>
      <c r="BN888" s="40">
        <f>BN887*d_rho_recharge+BM888*IF(B888&gt;=in_marketplace_from,d_hz_recharge*G888,0)</f>
        <v/>
      </c>
      <c r="BO888" s="14">
        <f>F888*BN888*in_recharge_ticket*in_recharge_comm/12</f>
        <v/>
      </c>
      <c r="BP888" s="40">
        <f>BP887*(1-IF(B887&gt;=in_marketplace_from,d_hz_bills*G887,0))</f>
        <v/>
      </c>
      <c r="BQ888" s="40">
        <f>BQ887*d_rho_bills+BP888*IF(B888&gt;=in_marketplace_from,d_hz_bills*G888,0)</f>
        <v/>
      </c>
      <c r="BR888" s="14">
        <f>F888*BQ888*in_bills_ticket*in_bills_comm/12</f>
        <v/>
      </c>
      <c r="BS888" s="40">
        <f>BS887*(1-IF(B887&gt;=in_marketplace_from,d_hz_loan_gold*G887,0))</f>
        <v/>
      </c>
      <c r="BT888" s="14">
        <f>F888*BS888*IF(B888&gt;=in_marketplace_from,d_hz_loan_gold*G888,0)*in_loan_gold_ticket*in_loan_gold_comm</f>
        <v/>
      </c>
      <c r="BU888" s="40">
        <f>BU887*(1-IF(B887&gt;=in_marketplace_from,d_hz_loan_cd*G887,0))</f>
        <v/>
      </c>
      <c r="BV888" s="14">
        <f>F888*BU888*IF(B888&gt;=in_marketplace_from,d_hz_loan_cd*G888,0)*in_loan_cd_ticket*in_loan_cd_comm</f>
        <v/>
      </c>
      <c r="BW888" s="40">
        <f>BW887*(1-IF(B887&gt;=in_marketplace_from,d_hz_loan_vehicle*G887,0))</f>
        <v/>
      </c>
      <c r="BX888" s="14">
        <f>F888*BW888*IF(B888&gt;=in_marketplace_from,d_hz_loan_vehicle*G888,0)*in_loan_vehicle_ticket*in_loan_vehicle_comm</f>
        <v/>
      </c>
      <c r="BY888" s="40">
        <f>BY887*(1-IF(B887&gt;=in_marketplace_from,d_hz_loan_home*G887,0)*BZ887)</f>
        <v/>
      </c>
      <c r="BZ888" s="11">
        <f>MIN(in_approval_cap,in_loan_home_approval*INDEX('Age profile'!$O$2:$O$61,B888)*(1+in_approval_growth)^(D888-1))</f>
        <v/>
      </c>
      <c r="CA888" s="14">
        <f>F888*BY888*IF(B888&gt;=in_marketplace_from,d_hz_loan_home*G888,0)*BZ888*in_loan_home_ticket*in_loan_home_comm</f>
        <v/>
      </c>
      <c r="CB888" s="40">
        <f>CB887*(1-IF(B887&gt;=in_marketplace_from,d_hz_loan_lap*G887,0)*CC887)</f>
        <v/>
      </c>
      <c r="CC888" s="11">
        <f>MIN(in_approval_cap,in_loan_lap_approval*INDEX('Age profile'!$O$2:$O$61,B888)*(1+in_approval_growth)^(D888-1))</f>
        <v/>
      </c>
      <c r="CD888" s="14">
        <f>F888*CB888*IF(B888&gt;=in_marketplace_from,d_hz_loan_lap*G888,0)*CC888*in_loan_lap_ticket*in_loan_lap_comm</f>
        <v/>
      </c>
      <c r="CE888" s="14">
        <f>AA888+AB888+AC888+AD888+AG888+AJ888+AM888+AP888+AS888+AU888+AX888+BB888+BE888+BG888+BJ888+BL888+BO888+BR888+BT888+BV888+BX888+CA888+CD888</f>
        <v/>
      </c>
    </row>
    <row r="889">
      <c r="A889" s="39" t="n">
        <v>18</v>
      </c>
      <c r="B889" s="39" t="n">
        <v>4</v>
      </c>
      <c r="C889" s="39">
        <f>A889+B889-1</f>
        <v/>
      </c>
      <c r="D889" s="39">
        <f>INT((C889-1)/12)+1</f>
        <v/>
      </c>
      <c r="E889" s="44">
        <f>INDEX(Monthly!$B$2:$B$61,A889)</f>
        <v/>
      </c>
      <c r="F889" s="44">
        <f>E889*INDEX('Age profile'!$B$2:$B$61,B889)</f>
        <v/>
      </c>
      <c r="G889" s="45">
        <f>MIN(in_takeup_cap,INDEX('Age profile'!$N$2:$N$61,B889)*(1+in_takeup_growth)^(D889-1))</f>
        <v/>
      </c>
      <c r="H889" s="11">
        <f>MIN(in_approval_cap,in_approved_first*INDEX('Age profile'!$O$2:$O$61,B889)*(1+in_approval_growth)^(D889-1))</f>
        <v/>
      </c>
      <c r="I889" s="45">
        <f>G889*MIN(in_takeup_cap,INDEX('Age profile'!$O$2:$O$61,B889)*(1+in_approval_growth)^(D889-1))</f>
        <v/>
      </c>
      <c r="J889" s="40">
        <f>(J888-L888)*F889/F888</f>
        <v/>
      </c>
      <c r="K889" s="40">
        <f>(K888-M888)*F889/F888+SUMIFS(O886:O888,B886:B888,B889-1-d_T)*F889</f>
        <v/>
      </c>
      <c r="L889" s="40">
        <f>IF(B889&gt;=in_marketplace_from,J889*d_hz*G889*in_eligible*H889,0)</f>
        <v/>
      </c>
      <c r="M889" s="40">
        <f>IF(B889&gt;=in_marketplace_from,K889*d_hz*G889*in_eligible*in_approved_repeat,0)</f>
        <v/>
      </c>
      <c r="N889" s="40">
        <f>L889+M889</f>
        <v/>
      </c>
      <c r="O889" s="46">
        <f>N889/F889</f>
        <v/>
      </c>
      <c r="P889" s="40">
        <f>F889-J889-K889</f>
        <v/>
      </c>
      <c r="Q889" s="40">
        <f>IF(B889&gt;=in_marketplace_from,(J889+K889)*d_hz*G889,0)</f>
        <v/>
      </c>
      <c r="R889" s="40">
        <f>SUMIFS(N886:N928,B886:B928,"&gt;="&amp;(B889-d_T),B886:B928,"&lt;="&amp;(B889-1))</f>
        <v/>
      </c>
      <c r="S889" s="46">
        <f>(1-d_u)*S888+IF(d_T&gt;in_topup_lag,SUMIFS(O886:O928,B886:B928,B889-in_topup_lag)-d_udrop*SUMIFS(O886:O928,B886:B928,B889-d_T),0)</f>
        <v/>
      </c>
      <c r="T889" s="40">
        <f>F889*d_u*S889</f>
        <v/>
      </c>
      <c r="U889" s="9">
        <f>L889*in_ticket+M889*d_rep_ticket</f>
        <v/>
      </c>
      <c r="V889" s="9">
        <f>U889+T889*d_topup_amt</f>
        <v/>
      </c>
      <c r="W889" s="40">
        <f>N889+T889*d_topup_ratio</f>
        <v/>
      </c>
      <c r="X889" s="40">
        <f>SUMIFS(W886:W928,B886:B928,B889-in_dpd_lag)*d_cured</f>
        <v/>
      </c>
      <c r="Y889" s="40">
        <f>SUMIFS(W886:W928,B886:B928,B889-in_rec_lag)*d_recd</f>
        <v/>
      </c>
      <c r="Z889" s="40">
        <f>IF(AND(B889&gt;=in_marketplace_from,B889&lt;in_marketplace_from+in_card_months),in_card_share/in_card_months*F889*I889,IF(AND(B889&gt;=in_marketplace_from+in_card_months,B889&lt;in_marketplace_from+2*in_card_months),in_card_share*d_card_rem/in_card_months*F889*MIN(in_takeup_cap,(1+in_takeup_growth)^(D889-1))*MIN(in_takeup_cap,(1+in_approval_growth)^(D889-1)),0))</f>
        <v/>
      </c>
      <c r="AA889" s="14">
        <f>V889*in_fee*(1-in_taken_back)</f>
        <v/>
      </c>
      <c r="AB889" s="14">
        <f>SUMIFS(W886:W928,B886:B928,B889-in_dpd_lag)*d_dpd</f>
        <v/>
      </c>
      <c r="AC889" s="14">
        <f>SUMIFS(W886:W928,B886:B928,B889-in_rec_lag)*d_rec</f>
        <v/>
      </c>
      <c r="AD889" s="14">
        <f>Z889*in_card_fee</f>
        <v/>
      </c>
      <c r="AE889" s="40">
        <f>AE888*(1-IF(B888&gt;=in_marketplace_from,d_hz_hlth_small*G888,0))</f>
        <v/>
      </c>
      <c r="AF889" s="46">
        <f>AE889*IF(B889&gt;=in_marketplace_from,d_hz_hlth_small*G889,0)</f>
        <v/>
      </c>
      <c r="AG889" s="14">
        <f>F889*AF889*in_hlth_small_ticket*in_hlth_small_comm*in_ins_partner_share+F889*in_hlth_small_ticket*in_hlth_small_renew_comm*in_ins_partner_share*(in_hlth_small_renew^1*SUMIFS(AF886:AF928,B886:B928,B889-12)+in_hlth_small_renew^2*SUMIFS(AF886:AF928,B886:B928,B889-24)+in_hlth_small_renew^3*SUMIFS(AF886:AF928,B886:B928,B889-36)+in_hlth_small_renew^4*SUMIFS(AF886:AF928,B886:B928,B889-48))</f>
        <v/>
      </c>
      <c r="AH889" s="40">
        <f>AH888*(1-IF(B888&gt;=in_marketplace_from,d_hz_hlth_family*G888,0))</f>
        <v/>
      </c>
      <c r="AI889" s="46">
        <f>AH889*IF(B889&gt;=in_marketplace_from,d_hz_hlth_family*G889,0)</f>
        <v/>
      </c>
      <c r="AJ889" s="14">
        <f>F889*AI889*in_hlth_family_ticket*in_hlth_family_comm*in_ins_partner_share+F889*in_hlth_family_ticket*in_hlth_family_renew_comm*in_ins_partner_share*(in_hlth_family_renew^1*SUMIFS(AI886:AI928,B886:B928,B889-12)+in_hlth_family_renew^2*SUMIFS(AI886:AI928,B886:B928,B889-24)+in_hlth_family_renew^3*SUMIFS(AI886:AI928,B886:B928,B889-36)+in_hlth_family_renew^4*SUMIFS(AI886:AI928,B886:B928,B889-48))</f>
        <v/>
      </c>
      <c r="AK889" s="40">
        <f>AK888*(1-IF(B888&gt;=in_marketplace_from,d_hz_life_term*G888,0))</f>
        <v/>
      </c>
      <c r="AL889" s="46">
        <f>AK889*IF(B889&gt;=in_marketplace_from,d_hz_life_term*G889,0)</f>
        <v/>
      </c>
      <c r="AM889" s="14">
        <f>F889*AL889*in_life_term_ticket*in_life_term_comm*in_ins_partner_share+F889*in_life_term_ticket*in_life_term_renew_comm*in_ins_partner_share*(in_life_term_renew^1*SUMIFS(AL886:AL928,B886:B928,B889-12)+in_life_term_renew^2*SUMIFS(AL886:AL928,B886:B928,B889-24)+in_life_term_renew^3*SUMIFS(AL886:AL928,B886:B928,B889-36)+in_life_term_renew^4*SUMIFS(AL886:AL928,B886:B928,B889-48))</f>
        <v/>
      </c>
      <c r="AN889" s="40">
        <f>AN888*(1-IF(B888&gt;=in_marketplace_from,d_hz_accident*G888,0))</f>
        <v/>
      </c>
      <c r="AO889" s="46">
        <f>AN889*IF(B889&gt;=in_marketplace_from,d_hz_accident*G889,0)</f>
        <v/>
      </c>
      <c r="AP889" s="14">
        <f>F889*AO889*in_accident_ticket*in_accident_comm*in_ins_partner_share+F889*in_accident_ticket*in_accident_renew_comm*in_ins_partner_share*(in_accident_renew^1*SUMIFS(AO886:AO928,B886:B928,B889-12)+in_accident_renew^2*SUMIFS(AO886:AO928,B886:B928,B889-24)+in_accident_renew^3*SUMIFS(AO886:AO928,B886:B928,B889-36)+in_accident_renew^4*SUMIFS(AO886:AO928,B886:B928,B889-48))</f>
        <v/>
      </c>
      <c r="AQ889" s="40">
        <f>AQ888*(1-IF(B888&gt;=in_marketplace_from,d_hz_two_wheeler*G888,0))</f>
        <v/>
      </c>
      <c r="AR889" s="46">
        <f>AQ889*IF(B889&gt;=in_marketplace_from,d_hz_two_wheeler*G889,0)</f>
        <v/>
      </c>
      <c r="AS889" s="14">
        <f>F889*AR889*in_two_wheeler_ticket*in_two_wheeler_comm*in_ins_partner_share+F889*in_two_wheeler_ticket*in_two_wheeler_comm*in_ins_partner_share*(in_two_wheeler_renew^1*SUMIFS(AR886:AR928,B886:B928,B889-12)+in_two_wheeler_renew^2*SUMIFS(AR886:AR928,B886:B928,B889-24)+in_two_wheeler_renew^3*SUMIFS(AR886:AR928,B886:B928,B889-36)+in_two_wheeler_renew^4*SUMIFS(AR886:AR928,B886:B928,B889-48))</f>
        <v/>
      </c>
      <c r="AT889" s="40">
        <f>AT888*(1-IF(B888&gt;=in_marketplace_from,d_hz_device*G888,0))</f>
        <v/>
      </c>
      <c r="AU889" s="14">
        <f>F889*AT889*IF(B889&gt;=in_marketplace_from,d_hz_device*G889,0)*in_device_ticket*in_device_comm*in_ins_partner_share</f>
        <v/>
      </c>
      <c r="AV889" s="40">
        <f>AV888*(1-IF(B888&gt;=in_marketplace_from,d_hz_shop*G888,0))</f>
        <v/>
      </c>
      <c r="AW889" s="46">
        <f>AV889*IF(B889&gt;=in_marketplace_from,d_hz_shop*G889,0)</f>
        <v/>
      </c>
      <c r="AX889" s="14">
        <f>F889*AW889*in_shop_ticket*in_shop_comm*in_ins_partner_share+F889*in_shop_ticket*in_shop_renew_comm*in_ins_partner_share*(in_shop_renew^1*SUMIFS(AW886:AW928,B886:B928,B889-12)+in_shop_renew^2*SUMIFS(AW886:AW928,B886:B928,B889-24)+in_shop_renew^3*SUMIFS(AW886:AW928,B886:B928,B889-36)+in_shop_renew^4*SUMIFS(AW886:AW928,B886:B928,B889-48))</f>
        <v/>
      </c>
      <c r="AY889" s="40">
        <f>AY888*(1-IF(B888&gt;=in_marketplace_from,d_hz_sip*G888,0))</f>
        <v/>
      </c>
      <c r="AZ889" s="40">
        <f>AZ888*d_rho_sip+AY889*IF(B889&gt;=in_marketplace_from,d_hz_sip*G889,0)</f>
        <v/>
      </c>
      <c r="BA889" s="40">
        <f>d_rho_sip*(BA888+AZ888)</f>
        <v/>
      </c>
      <c r="BB889" s="14">
        <f>F889*in_sip_ticket*(BA889+0.5*AZ889)*in_sip_comm/12</f>
        <v/>
      </c>
      <c r="BC889" s="40">
        <f>BC888*(1-IF(B888&gt;=in_marketplace_from,d_hz_choti*G888,0))</f>
        <v/>
      </c>
      <c r="BD889" s="46">
        <f>BC889*IF(B889&gt;=in_marketplace_from,d_hz_choti*G889,0)</f>
        <v/>
      </c>
      <c r="BE889" s="14">
        <f>F889*SUMIFS(BD886:BD928,B886:B928,B889-in_choti_months)*in_choti_renew*in_choti_ticket</f>
        <v/>
      </c>
      <c r="BF889" s="40">
        <f>BF888*(1-IF(B888&gt;=in_marketplace_from,d_hz_nps*G888,0))</f>
        <v/>
      </c>
      <c r="BG889" s="14">
        <f>F889*BF889*IF(B889&gt;=in_marketplace_from,d_hz_nps*G889,0)*in_nps_ticket*in_nps_comm</f>
        <v/>
      </c>
      <c r="BH889" s="40">
        <f>BH888*(1-IF(B888&gt;=in_marketplace_from,d_hz_gold*G888,0))</f>
        <v/>
      </c>
      <c r="BI889" s="40">
        <f>BI888*d_rho_gold+BH889*IF(B889&gt;=in_marketplace_from,d_hz_gold*G889,0)</f>
        <v/>
      </c>
      <c r="BJ889" s="14">
        <f>F889*BI889*in_gold_ticket*in_gold_comm</f>
        <v/>
      </c>
      <c r="BK889" s="40">
        <f>BK888*(1-IF(B888&gt;=in_marketplace_from,d_hz_fd*G888,0))</f>
        <v/>
      </c>
      <c r="BL889" s="14">
        <f>F889*BK889*IF(B889&gt;=in_marketplace_from,d_hz_fd*G889,0)*in_fd_ticket*in_fd_comm</f>
        <v/>
      </c>
      <c r="BM889" s="40">
        <f>BM888*(1-IF(B888&gt;=in_marketplace_from,d_hz_recharge*G888,0))</f>
        <v/>
      </c>
      <c r="BN889" s="40">
        <f>BN888*d_rho_recharge+BM889*IF(B889&gt;=in_marketplace_from,d_hz_recharge*G889,0)</f>
        <v/>
      </c>
      <c r="BO889" s="14">
        <f>F889*BN889*in_recharge_ticket*in_recharge_comm/12</f>
        <v/>
      </c>
      <c r="BP889" s="40">
        <f>BP888*(1-IF(B888&gt;=in_marketplace_from,d_hz_bills*G888,0))</f>
        <v/>
      </c>
      <c r="BQ889" s="40">
        <f>BQ888*d_rho_bills+BP889*IF(B889&gt;=in_marketplace_from,d_hz_bills*G889,0)</f>
        <v/>
      </c>
      <c r="BR889" s="14">
        <f>F889*BQ889*in_bills_ticket*in_bills_comm/12</f>
        <v/>
      </c>
      <c r="BS889" s="40">
        <f>BS888*(1-IF(B888&gt;=in_marketplace_from,d_hz_loan_gold*G888,0))</f>
        <v/>
      </c>
      <c r="BT889" s="14">
        <f>F889*BS889*IF(B889&gt;=in_marketplace_from,d_hz_loan_gold*G889,0)*in_loan_gold_ticket*in_loan_gold_comm</f>
        <v/>
      </c>
      <c r="BU889" s="40">
        <f>BU888*(1-IF(B888&gt;=in_marketplace_from,d_hz_loan_cd*G888,0))</f>
        <v/>
      </c>
      <c r="BV889" s="14">
        <f>F889*BU889*IF(B889&gt;=in_marketplace_from,d_hz_loan_cd*G889,0)*in_loan_cd_ticket*in_loan_cd_comm</f>
        <v/>
      </c>
      <c r="BW889" s="40">
        <f>BW888*(1-IF(B888&gt;=in_marketplace_from,d_hz_loan_vehicle*G888,0))</f>
        <v/>
      </c>
      <c r="BX889" s="14">
        <f>F889*BW889*IF(B889&gt;=in_marketplace_from,d_hz_loan_vehicle*G889,0)*in_loan_vehicle_ticket*in_loan_vehicle_comm</f>
        <v/>
      </c>
      <c r="BY889" s="40">
        <f>BY888*(1-IF(B888&gt;=in_marketplace_from,d_hz_loan_home*G888,0)*BZ888)</f>
        <v/>
      </c>
      <c r="BZ889" s="11">
        <f>MIN(in_approval_cap,in_loan_home_approval*INDEX('Age profile'!$O$2:$O$61,B889)*(1+in_approval_growth)^(D889-1))</f>
        <v/>
      </c>
      <c r="CA889" s="14">
        <f>F889*BY889*IF(B889&gt;=in_marketplace_from,d_hz_loan_home*G889,0)*BZ889*in_loan_home_ticket*in_loan_home_comm</f>
        <v/>
      </c>
      <c r="CB889" s="40">
        <f>CB888*(1-IF(B888&gt;=in_marketplace_from,d_hz_loan_lap*G888,0)*CC888)</f>
        <v/>
      </c>
      <c r="CC889" s="11">
        <f>MIN(in_approval_cap,in_loan_lap_approval*INDEX('Age profile'!$O$2:$O$61,B889)*(1+in_approval_growth)^(D889-1))</f>
        <v/>
      </c>
      <c r="CD889" s="14">
        <f>F889*CB889*IF(B889&gt;=in_marketplace_from,d_hz_loan_lap*G889,0)*CC889*in_loan_lap_ticket*in_loan_lap_comm</f>
        <v/>
      </c>
      <c r="CE889" s="14">
        <f>AA889+AB889+AC889+AD889+AG889+AJ889+AM889+AP889+AS889+AU889+AX889+BB889+BE889+BG889+BJ889+BL889+BO889+BR889+BT889+BV889+BX889+CA889+CD889</f>
        <v/>
      </c>
    </row>
    <row r="890">
      <c r="A890" s="39" t="n">
        <v>18</v>
      </c>
      <c r="B890" s="39" t="n">
        <v>5</v>
      </c>
      <c r="C890" s="39">
        <f>A890+B890-1</f>
        <v/>
      </c>
      <c r="D890" s="39">
        <f>INT((C890-1)/12)+1</f>
        <v/>
      </c>
      <c r="E890" s="44">
        <f>INDEX(Monthly!$B$2:$B$61,A890)</f>
        <v/>
      </c>
      <c r="F890" s="44">
        <f>E890*INDEX('Age profile'!$B$2:$B$61,B890)</f>
        <v/>
      </c>
      <c r="G890" s="45">
        <f>MIN(in_takeup_cap,INDEX('Age profile'!$N$2:$N$61,B890)*(1+in_takeup_growth)^(D890-1))</f>
        <v/>
      </c>
      <c r="H890" s="11">
        <f>MIN(in_approval_cap,in_approved_first*INDEX('Age profile'!$O$2:$O$61,B890)*(1+in_approval_growth)^(D890-1))</f>
        <v/>
      </c>
      <c r="I890" s="45">
        <f>G890*MIN(in_takeup_cap,INDEX('Age profile'!$O$2:$O$61,B890)*(1+in_approval_growth)^(D890-1))</f>
        <v/>
      </c>
      <c r="J890" s="40">
        <f>(J889-L889)*F890/F889</f>
        <v/>
      </c>
      <c r="K890" s="40">
        <f>(K889-M889)*F890/F889+SUMIFS(O886:O889,B886:B889,B890-1-d_T)*F890</f>
        <v/>
      </c>
      <c r="L890" s="40">
        <f>IF(B890&gt;=in_marketplace_from,J890*d_hz*G890*in_eligible*H890,0)</f>
        <v/>
      </c>
      <c r="M890" s="40">
        <f>IF(B890&gt;=in_marketplace_from,K890*d_hz*G890*in_eligible*in_approved_repeat,0)</f>
        <v/>
      </c>
      <c r="N890" s="40">
        <f>L890+M890</f>
        <v/>
      </c>
      <c r="O890" s="46">
        <f>N890/F890</f>
        <v/>
      </c>
      <c r="P890" s="40">
        <f>F890-J890-K890</f>
        <v/>
      </c>
      <c r="Q890" s="40">
        <f>IF(B890&gt;=in_marketplace_from,(J890+K890)*d_hz*G890,0)</f>
        <v/>
      </c>
      <c r="R890" s="40">
        <f>SUMIFS(N886:N928,B886:B928,"&gt;="&amp;(B890-d_T),B886:B928,"&lt;="&amp;(B890-1))</f>
        <v/>
      </c>
      <c r="S890" s="46">
        <f>(1-d_u)*S889+IF(d_T&gt;in_topup_lag,SUMIFS(O886:O928,B886:B928,B890-in_topup_lag)-d_udrop*SUMIFS(O886:O928,B886:B928,B890-d_T),0)</f>
        <v/>
      </c>
      <c r="T890" s="40">
        <f>F890*d_u*S890</f>
        <v/>
      </c>
      <c r="U890" s="9">
        <f>L890*in_ticket+M890*d_rep_ticket</f>
        <v/>
      </c>
      <c r="V890" s="9">
        <f>U890+T890*d_topup_amt</f>
        <v/>
      </c>
      <c r="W890" s="40">
        <f>N890+T890*d_topup_ratio</f>
        <v/>
      </c>
      <c r="X890" s="40">
        <f>SUMIFS(W886:W928,B886:B928,B890-in_dpd_lag)*d_cured</f>
        <v/>
      </c>
      <c r="Y890" s="40">
        <f>SUMIFS(W886:W928,B886:B928,B890-in_rec_lag)*d_recd</f>
        <v/>
      </c>
      <c r="Z890" s="40">
        <f>IF(AND(B890&gt;=in_marketplace_from,B890&lt;in_marketplace_from+in_card_months),in_card_share/in_card_months*F890*I890,IF(AND(B890&gt;=in_marketplace_from+in_card_months,B890&lt;in_marketplace_from+2*in_card_months),in_card_share*d_card_rem/in_card_months*F890*MIN(in_takeup_cap,(1+in_takeup_growth)^(D890-1))*MIN(in_takeup_cap,(1+in_approval_growth)^(D890-1)),0))</f>
        <v/>
      </c>
      <c r="AA890" s="14">
        <f>V890*in_fee*(1-in_taken_back)</f>
        <v/>
      </c>
      <c r="AB890" s="14">
        <f>SUMIFS(W886:W928,B886:B928,B890-in_dpd_lag)*d_dpd</f>
        <v/>
      </c>
      <c r="AC890" s="14">
        <f>SUMIFS(W886:W928,B886:B928,B890-in_rec_lag)*d_rec</f>
        <v/>
      </c>
      <c r="AD890" s="14">
        <f>Z890*in_card_fee</f>
        <v/>
      </c>
      <c r="AE890" s="40">
        <f>AE889*(1-IF(B889&gt;=in_marketplace_from,d_hz_hlth_small*G889,0))</f>
        <v/>
      </c>
      <c r="AF890" s="46">
        <f>AE890*IF(B890&gt;=in_marketplace_from,d_hz_hlth_small*G890,0)</f>
        <v/>
      </c>
      <c r="AG890" s="14">
        <f>F890*AF890*in_hlth_small_ticket*in_hlth_small_comm*in_ins_partner_share+F890*in_hlth_small_ticket*in_hlth_small_renew_comm*in_ins_partner_share*(in_hlth_small_renew^1*SUMIFS(AF886:AF928,B886:B928,B890-12)+in_hlth_small_renew^2*SUMIFS(AF886:AF928,B886:B928,B890-24)+in_hlth_small_renew^3*SUMIFS(AF886:AF928,B886:B928,B890-36)+in_hlth_small_renew^4*SUMIFS(AF886:AF928,B886:B928,B890-48))</f>
        <v/>
      </c>
      <c r="AH890" s="40">
        <f>AH889*(1-IF(B889&gt;=in_marketplace_from,d_hz_hlth_family*G889,0))</f>
        <v/>
      </c>
      <c r="AI890" s="46">
        <f>AH890*IF(B890&gt;=in_marketplace_from,d_hz_hlth_family*G890,0)</f>
        <v/>
      </c>
      <c r="AJ890" s="14">
        <f>F890*AI890*in_hlth_family_ticket*in_hlth_family_comm*in_ins_partner_share+F890*in_hlth_family_ticket*in_hlth_family_renew_comm*in_ins_partner_share*(in_hlth_family_renew^1*SUMIFS(AI886:AI928,B886:B928,B890-12)+in_hlth_family_renew^2*SUMIFS(AI886:AI928,B886:B928,B890-24)+in_hlth_family_renew^3*SUMIFS(AI886:AI928,B886:B928,B890-36)+in_hlth_family_renew^4*SUMIFS(AI886:AI928,B886:B928,B890-48))</f>
        <v/>
      </c>
      <c r="AK890" s="40">
        <f>AK889*(1-IF(B889&gt;=in_marketplace_from,d_hz_life_term*G889,0))</f>
        <v/>
      </c>
      <c r="AL890" s="46">
        <f>AK890*IF(B890&gt;=in_marketplace_from,d_hz_life_term*G890,0)</f>
        <v/>
      </c>
      <c r="AM890" s="14">
        <f>F890*AL890*in_life_term_ticket*in_life_term_comm*in_ins_partner_share+F890*in_life_term_ticket*in_life_term_renew_comm*in_ins_partner_share*(in_life_term_renew^1*SUMIFS(AL886:AL928,B886:B928,B890-12)+in_life_term_renew^2*SUMIFS(AL886:AL928,B886:B928,B890-24)+in_life_term_renew^3*SUMIFS(AL886:AL928,B886:B928,B890-36)+in_life_term_renew^4*SUMIFS(AL886:AL928,B886:B928,B890-48))</f>
        <v/>
      </c>
      <c r="AN890" s="40">
        <f>AN889*(1-IF(B889&gt;=in_marketplace_from,d_hz_accident*G889,0))</f>
        <v/>
      </c>
      <c r="AO890" s="46">
        <f>AN890*IF(B890&gt;=in_marketplace_from,d_hz_accident*G890,0)</f>
        <v/>
      </c>
      <c r="AP890" s="14">
        <f>F890*AO890*in_accident_ticket*in_accident_comm*in_ins_partner_share+F890*in_accident_ticket*in_accident_renew_comm*in_ins_partner_share*(in_accident_renew^1*SUMIFS(AO886:AO928,B886:B928,B890-12)+in_accident_renew^2*SUMIFS(AO886:AO928,B886:B928,B890-24)+in_accident_renew^3*SUMIFS(AO886:AO928,B886:B928,B890-36)+in_accident_renew^4*SUMIFS(AO886:AO928,B886:B928,B890-48))</f>
        <v/>
      </c>
      <c r="AQ890" s="40">
        <f>AQ889*(1-IF(B889&gt;=in_marketplace_from,d_hz_two_wheeler*G889,0))</f>
        <v/>
      </c>
      <c r="AR890" s="46">
        <f>AQ890*IF(B890&gt;=in_marketplace_from,d_hz_two_wheeler*G890,0)</f>
        <v/>
      </c>
      <c r="AS890" s="14">
        <f>F890*AR890*in_two_wheeler_ticket*in_two_wheeler_comm*in_ins_partner_share+F890*in_two_wheeler_ticket*in_two_wheeler_comm*in_ins_partner_share*(in_two_wheeler_renew^1*SUMIFS(AR886:AR928,B886:B928,B890-12)+in_two_wheeler_renew^2*SUMIFS(AR886:AR928,B886:B928,B890-24)+in_two_wheeler_renew^3*SUMIFS(AR886:AR928,B886:B928,B890-36)+in_two_wheeler_renew^4*SUMIFS(AR886:AR928,B886:B928,B890-48))</f>
        <v/>
      </c>
      <c r="AT890" s="40">
        <f>AT889*(1-IF(B889&gt;=in_marketplace_from,d_hz_device*G889,0))</f>
        <v/>
      </c>
      <c r="AU890" s="14">
        <f>F890*AT890*IF(B890&gt;=in_marketplace_from,d_hz_device*G890,0)*in_device_ticket*in_device_comm*in_ins_partner_share</f>
        <v/>
      </c>
      <c r="AV890" s="40">
        <f>AV889*(1-IF(B889&gt;=in_marketplace_from,d_hz_shop*G889,0))</f>
        <v/>
      </c>
      <c r="AW890" s="46">
        <f>AV890*IF(B890&gt;=in_marketplace_from,d_hz_shop*G890,0)</f>
        <v/>
      </c>
      <c r="AX890" s="14">
        <f>F890*AW890*in_shop_ticket*in_shop_comm*in_ins_partner_share+F890*in_shop_ticket*in_shop_renew_comm*in_ins_partner_share*(in_shop_renew^1*SUMIFS(AW886:AW928,B886:B928,B890-12)+in_shop_renew^2*SUMIFS(AW886:AW928,B886:B928,B890-24)+in_shop_renew^3*SUMIFS(AW886:AW928,B886:B928,B890-36)+in_shop_renew^4*SUMIFS(AW886:AW928,B886:B928,B890-48))</f>
        <v/>
      </c>
      <c r="AY890" s="40">
        <f>AY889*(1-IF(B889&gt;=in_marketplace_from,d_hz_sip*G889,0))</f>
        <v/>
      </c>
      <c r="AZ890" s="40">
        <f>AZ889*d_rho_sip+AY890*IF(B890&gt;=in_marketplace_from,d_hz_sip*G890,0)</f>
        <v/>
      </c>
      <c r="BA890" s="40">
        <f>d_rho_sip*(BA889+AZ889)</f>
        <v/>
      </c>
      <c r="BB890" s="14">
        <f>F890*in_sip_ticket*(BA890+0.5*AZ890)*in_sip_comm/12</f>
        <v/>
      </c>
      <c r="BC890" s="40">
        <f>BC889*(1-IF(B889&gt;=in_marketplace_from,d_hz_choti*G889,0))</f>
        <v/>
      </c>
      <c r="BD890" s="46">
        <f>BC890*IF(B890&gt;=in_marketplace_from,d_hz_choti*G890,0)</f>
        <v/>
      </c>
      <c r="BE890" s="14">
        <f>F890*SUMIFS(BD886:BD928,B886:B928,B890-in_choti_months)*in_choti_renew*in_choti_ticket</f>
        <v/>
      </c>
      <c r="BF890" s="40">
        <f>BF889*(1-IF(B889&gt;=in_marketplace_from,d_hz_nps*G889,0))</f>
        <v/>
      </c>
      <c r="BG890" s="14">
        <f>F890*BF890*IF(B890&gt;=in_marketplace_from,d_hz_nps*G890,0)*in_nps_ticket*in_nps_comm</f>
        <v/>
      </c>
      <c r="BH890" s="40">
        <f>BH889*(1-IF(B889&gt;=in_marketplace_from,d_hz_gold*G889,0))</f>
        <v/>
      </c>
      <c r="BI890" s="40">
        <f>BI889*d_rho_gold+BH890*IF(B890&gt;=in_marketplace_from,d_hz_gold*G890,0)</f>
        <v/>
      </c>
      <c r="BJ890" s="14">
        <f>F890*BI890*in_gold_ticket*in_gold_comm</f>
        <v/>
      </c>
      <c r="BK890" s="40">
        <f>BK889*(1-IF(B889&gt;=in_marketplace_from,d_hz_fd*G889,0))</f>
        <v/>
      </c>
      <c r="BL890" s="14">
        <f>F890*BK890*IF(B890&gt;=in_marketplace_from,d_hz_fd*G890,0)*in_fd_ticket*in_fd_comm</f>
        <v/>
      </c>
      <c r="BM890" s="40">
        <f>BM889*(1-IF(B889&gt;=in_marketplace_from,d_hz_recharge*G889,0))</f>
        <v/>
      </c>
      <c r="BN890" s="40">
        <f>BN889*d_rho_recharge+BM890*IF(B890&gt;=in_marketplace_from,d_hz_recharge*G890,0)</f>
        <v/>
      </c>
      <c r="BO890" s="14">
        <f>F890*BN890*in_recharge_ticket*in_recharge_comm/12</f>
        <v/>
      </c>
      <c r="BP890" s="40">
        <f>BP889*(1-IF(B889&gt;=in_marketplace_from,d_hz_bills*G889,0))</f>
        <v/>
      </c>
      <c r="BQ890" s="40">
        <f>BQ889*d_rho_bills+BP890*IF(B890&gt;=in_marketplace_from,d_hz_bills*G890,0)</f>
        <v/>
      </c>
      <c r="BR890" s="14">
        <f>F890*BQ890*in_bills_ticket*in_bills_comm/12</f>
        <v/>
      </c>
      <c r="BS890" s="40">
        <f>BS889*(1-IF(B889&gt;=in_marketplace_from,d_hz_loan_gold*G889,0))</f>
        <v/>
      </c>
      <c r="BT890" s="14">
        <f>F890*BS890*IF(B890&gt;=in_marketplace_from,d_hz_loan_gold*G890,0)*in_loan_gold_ticket*in_loan_gold_comm</f>
        <v/>
      </c>
      <c r="BU890" s="40">
        <f>BU889*(1-IF(B889&gt;=in_marketplace_from,d_hz_loan_cd*G889,0))</f>
        <v/>
      </c>
      <c r="BV890" s="14">
        <f>F890*BU890*IF(B890&gt;=in_marketplace_from,d_hz_loan_cd*G890,0)*in_loan_cd_ticket*in_loan_cd_comm</f>
        <v/>
      </c>
      <c r="BW890" s="40">
        <f>BW889*(1-IF(B889&gt;=in_marketplace_from,d_hz_loan_vehicle*G889,0))</f>
        <v/>
      </c>
      <c r="BX890" s="14">
        <f>F890*BW890*IF(B890&gt;=in_marketplace_from,d_hz_loan_vehicle*G890,0)*in_loan_vehicle_ticket*in_loan_vehicle_comm</f>
        <v/>
      </c>
      <c r="BY890" s="40">
        <f>BY889*(1-IF(B889&gt;=in_marketplace_from,d_hz_loan_home*G889,0)*BZ889)</f>
        <v/>
      </c>
      <c r="BZ890" s="11">
        <f>MIN(in_approval_cap,in_loan_home_approval*INDEX('Age profile'!$O$2:$O$61,B890)*(1+in_approval_growth)^(D890-1))</f>
        <v/>
      </c>
      <c r="CA890" s="14">
        <f>F890*BY890*IF(B890&gt;=in_marketplace_from,d_hz_loan_home*G890,0)*BZ890*in_loan_home_ticket*in_loan_home_comm</f>
        <v/>
      </c>
      <c r="CB890" s="40">
        <f>CB889*(1-IF(B889&gt;=in_marketplace_from,d_hz_loan_lap*G889,0)*CC889)</f>
        <v/>
      </c>
      <c r="CC890" s="11">
        <f>MIN(in_approval_cap,in_loan_lap_approval*INDEX('Age profile'!$O$2:$O$61,B890)*(1+in_approval_growth)^(D890-1))</f>
        <v/>
      </c>
      <c r="CD890" s="14">
        <f>F890*CB890*IF(B890&gt;=in_marketplace_from,d_hz_loan_lap*G890,0)*CC890*in_loan_lap_ticket*in_loan_lap_comm</f>
        <v/>
      </c>
      <c r="CE890" s="14">
        <f>AA890+AB890+AC890+AD890+AG890+AJ890+AM890+AP890+AS890+AU890+AX890+BB890+BE890+BG890+BJ890+BL890+BO890+BR890+BT890+BV890+BX890+CA890+CD890</f>
        <v/>
      </c>
    </row>
    <row r="891">
      <c r="A891" s="39" t="n">
        <v>18</v>
      </c>
      <c r="B891" s="39" t="n">
        <v>6</v>
      </c>
      <c r="C891" s="39">
        <f>A891+B891-1</f>
        <v/>
      </c>
      <c r="D891" s="39">
        <f>INT((C891-1)/12)+1</f>
        <v/>
      </c>
      <c r="E891" s="44">
        <f>INDEX(Monthly!$B$2:$B$61,A891)</f>
        <v/>
      </c>
      <c r="F891" s="44">
        <f>E891*INDEX('Age profile'!$B$2:$B$61,B891)</f>
        <v/>
      </c>
      <c r="G891" s="45">
        <f>MIN(in_takeup_cap,INDEX('Age profile'!$N$2:$N$61,B891)*(1+in_takeup_growth)^(D891-1))</f>
        <v/>
      </c>
      <c r="H891" s="11">
        <f>MIN(in_approval_cap,in_approved_first*INDEX('Age profile'!$O$2:$O$61,B891)*(1+in_approval_growth)^(D891-1))</f>
        <v/>
      </c>
      <c r="I891" s="45">
        <f>G891*MIN(in_takeup_cap,INDEX('Age profile'!$O$2:$O$61,B891)*(1+in_approval_growth)^(D891-1))</f>
        <v/>
      </c>
      <c r="J891" s="40">
        <f>(J890-L890)*F891/F890</f>
        <v/>
      </c>
      <c r="K891" s="40">
        <f>(K890-M890)*F891/F890+SUMIFS(O886:O890,B886:B890,B891-1-d_T)*F891</f>
        <v/>
      </c>
      <c r="L891" s="40">
        <f>IF(B891&gt;=in_marketplace_from,J891*d_hz*G891*in_eligible*H891,0)</f>
        <v/>
      </c>
      <c r="M891" s="40">
        <f>IF(B891&gt;=in_marketplace_from,K891*d_hz*G891*in_eligible*in_approved_repeat,0)</f>
        <v/>
      </c>
      <c r="N891" s="40">
        <f>L891+M891</f>
        <v/>
      </c>
      <c r="O891" s="46">
        <f>N891/F891</f>
        <v/>
      </c>
      <c r="P891" s="40">
        <f>F891-J891-K891</f>
        <v/>
      </c>
      <c r="Q891" s="40">
        <f>IF(B891&gt;=in_marketplace_from,(J891+K891)*d_hz*G891,0)</f>
        <v/>
      </c>
      <c r="R891" s="40">
        <f>SUMIFS(N886:N928,B886:B928,"&gt;="&amp;(B891-d_T),B886:B928,"&lt;="&amp;(B891-1))</f>
        <v/>
      </c>
      <c r="S891" s="46">
        <f>(1-d_u)*S890+IF(d_T&gt;in_topup_lag,SUMIFS(O886:O928,B886:B928,B891-in_topup_lag)-d_udrop*SUMIFS(O886:O928,B886:B928,B891-d_T),0)</f>
        <v/>
      </c>
      <c r="T891" s="40">
        <f>F891*d_u*S891</f>
        <v/>
      </c>
      <c r="U891" s="9">
        <f>L891*in_ticket+M891*d_rep_ticket</f>
        <v/>
      </c>
      <c r="V891" s="9">
        <f>U891+T891*d_topup_amt</f>
        <v/>
      </c>
      <c r="W891" s="40">
        <f>N891+T891*d_topup_ratio</f>
        <v/>
      </c>
      <c r="X891" s="40">
        <f>SUMIFS(W886:W928,B886:B928,B891-in_dpd_lag)*d_cured</f>
        <v/>
      </c>
      <c r="Y891" s="40">
        <f>SUMIFS(W886:W928,B886:B928,B891-in_rec_lag)*d_recd</f>
        <v/>
      </c>
      <c r="Z891" s="40">
        <f>IF(AND(B891&gt;=in_marketplace_from,B891&lt;in_marketplace_from+in_card_months),in_card_share/in_card_months*F891*I891,IF(AND(B891&gt;=in_marketplace_from+in_card_months,B891&lt;in_marketplace_from+2*in_card_months),in_card_share*d_card_rem/in_card_months*F891*MIN(in_takeup_cap,(1+in_takeup_growth)^(D891-1))*MIN(in_takeup_cap,(1+in_approval_growth)^(D891-1)),0))</f>
        <v/>
      </c>
      <c r="AA891" s="14">
        <f>V891*in_fee*(1-in_taken_back)</f>
        <v/>
      </c>
      <c r="AB891" s="14">
        <f>SUMIFS(W886:W928,B886:B928,B891-in_dpd_lag)*d_dpd</f>
        <v/>
      </c>
      <c r="AC891" s="14">
        <f>SUMIFS(W886:W928,B886:B928,B891-in_rec_lag)*d_rec</f>
        <v/>
      </c>
      <c r="AD891" s="14">
        <f>Z891*in_card_fee</f>
        <v/>
      </c>
      <c r="AE891" s="40">
        <f>AE890*(1-IF(B890&gt;=in_marketplace_from,d_hz_hlth_small*G890,0))</f>
        <v/>
      </c>
      <c r="AF891" s="46">
        <f>AE891*IF(B891&gt;=in_marketplace_from,d_hz_hlth_small*G891,0)</f>
        <v/>
      </c>
      <c r="AG891" s="14">
        <f>F891*AF891*in_hlth_small_ticket*in_hlth_small_comm*in_ins_partner_share+F891*in_hlth_small_ticket*in_hlth_small_renew_comm*in_ins_partner_share*(in_hlth_small_renew^1*SUMIFS(AF886:AF928,B886:B928,B891-12)+in_hlth_small_renew^2*SUMIFS(AF886:AF928,B886:B928,B891-24)+in_hlth_small_renew^3*SUMIFS(AF886:AF928,B886:B928,B891-36)+in_hlth_small_renew^4*SUMIFS(AF886:AF928,B886:B928,B891-48))</f>
        <v/>
      </c>
      <c r="AH891" s="40">
        <f>AH890*(1-IF(B890&gt;=in_marketplace_from,d_hz_hlth_family*G890,0))</f>
        <v/>
      </c>
      <c r="AI891" s="46">
        <f>AH891*IF(B891&gt;=in_marketplace_from,d_hz_hlth_family*G891,0)</f>
        <v/>
      </c>
      <c r="AJ891" s="14">
        <f>F891*AI891*in_hlth_family_ticket*in_hlth_family_comm*in_ins_partner_share+F891*in_hlth_family_ticket*in_hlth_family_renew_comm*in_ins_partner_share*(in_hlth_family_renew^1*SUMIFS(AI886:AI928,B886:B928,B891-12)+in_hlth_family_renew^2*SUMIFS(AI886:AI928,B886:B928,B891-24)+in_hlth_family_renew^3*SUMIFS(AI886:AI928,B886:B928,B891-36)+in_hlth_family_renew^4*SUMIFS(AI886:AI928,B886:B928,B891-48))</f>
        <v/>
      </c>
      <c r="AK891" s="40">
        <f>AK890*(1-IF(B890&gt;=in_marketplace_from,d_hz_life_term*G890,0))</f>
        <v/>
      </c>
      <c r="AL891" s="46">
        <f>AK891*IF(B891&gt;=in_marketplace_from,d_hz_life_term*G891,0)</f>
        <v/>
      </c>
      <c r="AM891" s="14">
        <f>F891*AL891*in_life_term_ticket*in_life_term_comm*in_ins_partner_share+F891*in_life_term_ticket*in_life_term_renew_comm*in_ins_partner_share*(in_life_term_renew^1*SUMIFS(AL886:AL928,B886:B928,B891-12)+in_life_term_renew^2*SUMIFS(AL886:AL928,B886:B928,B891-24)+in_life_term_renew^3*SUMIFS(AL886:AL928,B886:B928,B891-36)+in_life_term_renew^4*SUMIFS(AL886:AL928,B886:B928,B891-48))</f>
        <v/>
      </c>
      <c r="AN891" s="40">
        <f>AN890*(1-IF(B890&gt;=in_marketplace_from,d_hz_accident*G890,0))</f>
        <v/>
      </c>
      <c r="AO891" s="46">
        <f>AN891*IF(B891&gt;=in_marketplace_from,d_hz_accident*G891,0)</f>
        <v/>
      </c>
      <c r="AP891" s="14">
        <f>F891*AO891*in_accident_ticket*in_accident_comm*in_ins_partner_share+F891*in_accident_ticket*in_accident_renew_comm*in_ins_partner_share*(in_accident_renew^1*SUMIFS(AO886:AO928,B886:B928,B891-12)+in_accident_renew^2*SUMIFS(AO886:AO928,B886:B928,B891-24)+in_accident_renew^3*SUMIFS(AO886:AO928,B886:B928,B891-36)+in_accident_renew^4*SUMIFS(AO886:AO928,B886:B928,B891-48))</f>
        <v/>
      </c>
      <c r="AQ891" s="40">
        <f>AQ890*(1-IF(B890&gt;=in_marketplace_from,d_hz_two_wheeler*G890,0))</f>
        <v/>
      </c>
      <c r="AR891" s="46">
        <f>AQ891*IF(B891&gt;=in_marketplace_from,d_hz_two_wheeler*G891,0)</f>
        <v/>
      </c>
      <c r="AS891" s="14">
        <f>F891*AR891*in_two_wheeler_ticket*in_two_wheeler_comm*in_ins_partner_share+F891*in_two_wheeler_ticket*in_two_wheeler_comm*in_ins_partner_share*(in_two_wheeler_renew^1*SUMIFS(AR886:AR928,B886:B928,B891-12)+in_two_wheeler_renew^2*SUMIFS(AR886:AR928,B886:B928,B891-24)+in_two_wheeler_renew^3*SUMIFS(AR886:AR928,B886:B928,B891-36)+in_two_wheeler_renew^4*SUMIFS(AR886:AR928,B886:B928,B891-48))</f>
        <v/>
      </c>
      <c r="AT891" s="40">
        <f>AT890*(1-IF(B890&gt;=in_marketplace_from,d_hz_device*G890,0))</f>
        <v/>
      </c>
      <c r="AU891" s="14">
        <f>F891*AT891*IF(B891&gt;=in_marketplace_from,d_hz_device*G891,0)*in_device_ticket*in_device_comm*in_ins_partner_share</f>
        <v/>
      </c>
      <c r="AV891" s="40">
        <f>AV890*(1-IF(B890&gt;=in_marketplace_from,d_hz_shop*G890,0))</f>
        <v/>
      </c>
      <c r="AW891" s="46">
        <f>AV891*IF(B891&gt;=in_marketplace_from,d_hz_shop*G891,0)</f>
        <v/>
      </c>
      <c r="AX891" s="14">
        <f>F891*AW891*in_shop_ticket*in_shop_comm*in_ins_partner_share+F891*in_shop_ticket*in_shop_renew_comm*in_ins_partner_share*(in_shop_renew^1*SUMIFS(AW886:AW928,B886:B928,B891-12)+in_shop_renew^2*SUMIFS(AW886:AW928,B886:B928,B891-24)+in_shop_renew^3*SUMIFS(AW886:AW928,B886:B928,B891-36)+in_shop_renew^4*SUMIFS(AW886:AW928,B886:B928,B891-48))</f>
        <v/>
      </c>
      <c r="AY891" s="40">
        <f>AY890*(1-IF(B890&gt;=in_marketplace_from,d_hz_sip*G890,0))</f>
        <v/>
      </c>
      <c r="AZ891" s="40">
        <f>AZ890*d_rho_sip+AY891*IF(B891&gt;=in_marketplace_from,d_hz_sip*G891,0)</f>
        <v/>
      </c>
      <c r="BA891" s="40">
        <f>d_rho_sip*(BA890+AZ890)</f>
        <v/>
      </c>
      <c r="BB891" s="14">
        <f>F891*in_sip_ticket*(BA891+0.5*AZ891)*in_sip_comm/12</f>
        <v/>
      </c>
      <c r="BC891" s="40">
        <f>BC890*(1-IF(B890&gt;=in_marketplace_from,d_hz_choti*G890,0))</f>
        <v/>
      </c>
      <c r="BD891" s="46">
        <f>BC891*IF(B891&gt;=in_marketplace_from,d_hz_choti*G891,0)</f>
        <v/>
      </c>
      <c r="BE891" s="14">
        <f>F891*SUMIFS(BD886:BD928,B886:B928,B891-in_choti_months)*in_choti_renew*in_choti_ticket</f>
        <v/>
      </c>
      <c r="BF891" s="40">
        <f>BF890*(1-IF(B890&gt;=in_marketplace_from,d_hz_nps*G890,0))</f>
        <v/>
      </c>
      <c r="BG891" s="14">
        <f>F891*BF891*IF(B891&gt;=in_marketplace_from,d_hz_nps*G891,0)*in_nps_ticket*in_nps_comm</f>
        <v/>
      </c>
      <c r="BH891" s="40">
        <f>BH890*(1-IF(B890&gt;=in_marketplace_from,d_hz_gold*G890,0))</f>
        <v/>
      </c>
      <c r="BI891" s="40">
        <f>BI890*d_rho_gold+BH891*IF(B891&gt;=in_marketplace_from,d_hz_gold*G891,0)</f>
        <v/>
      </c>
      <c r="BJ891" s="14">
        <f>F891*BI891*in_gold_ticket*in_gold_comm</f>
        <v/>
      </c>
      <c r="BK891" s="40">
        <f>BK890*(1-IF(B890&gt;=in_marketplace_from,d_hz_fd*G890,0))</f>
        <v/>
      </c>
      <c r="BL891" s="14">
        <f>F891*BK891*IF(B891&gt;=in_marketplace_from,d_hz_fd*G891,0)*in_fd_ticket*in_fd_comm</f>
        <v/>
      </c>
      <c r="BM891" s="40">
        <f>BM890*(1-IF(B890&gt;=in_marketplace_from,d_hz_recharge*G890,0))</f>
        <v/>
      </c>
      <c r="BN891" s="40">
        <f>BN890*d_rho_recharge+BM891*IF(B891&gt;=in_marketplace_from,d_hz_recharge*G891,0)</f>
        <v/>
      </c>
      <c r="BO891" s="14">
        <f>F891*BN891*in_recharge_ticket*in_recharge_comm/12</f>
        <v/>
      </c>
      <c r="BP891" s="40">
        <f>BP890*(1-IF(B890&gt;=in_marketplace_from,d_hz_bills*G890,0))</f>
        <v/>
      </c>
      <c r="BQ891" s="40">
        <f>BQ890*d_rho_bills+BP891*IF(B891&gt;=in_marketplace_from,d_hz_bills*G891,0)</f>
        <v/>
      </c>
      <c r="BR891" s="14">
        <f>F891*BQ891*in_bills_ticket*in_bills_comm/12</f>
        <v/>
      </c>
      <c r="BS891" s="40">
        <f>BS890*(1-IF(B890&gt;=in_marketplace_from,d_hz_loan_gold*G890,0))</f>
        <v/>
      </c>
      <c r="BT891" s="14">
        <f>F891*BS891*IF(B891&gt;=in_marketplace_from,d_hz_loan_gold*G891,0)*in_loan_gold_ticket*in_loan_gold_comm</f>
        <v/>
      </c>
      <c r="BU891" s="40">
        <f>BU890*(1-IF(B890&gt;=in_marketplace_from,d_hz_loan_cd*G890,0))</f>
        <v/>
      </c>
      <c r="BV891" s="14">
        <f>F891*BU891*IF(B891&gt;=in_marketplace_from,d_hz_loan_cd*G891,0)*in_loan_cd_ticket*in_loan_cd_comm</f>
        <v/>
      </c>
      <c r="BW891" s="40">
        <f>BW890*(1-IF(B890&gt;=in_marketplace_from,d_hz_loan_vehicle*G890,0))</f>
        <v/>
      </c>
      <c r="BX891" s="14">
        <f>F891*BW891*IF(B891&gt;=in_marketplace_from,d_hz_loan_vehicle*G891,0)*in_loan_vehicle_ticket*in_loan_vehicle_comm</f>
        <v/>
      </c>
      <c r="BY891" s="40">
        <f>BY890*(1-IF(B890&gt;=in_marketplace_from,d_hz_loan_home*G890,0)*BZ890)</f>
        <v/>
      </c>
      <c r="BZ891" s="11">
        <f>MIN(in_approval_cap,in_loan_home_approval*INDEX('Age profile'!$O$2:$O$61,B891)*(1+in_approval_growth)^(D891-1))</f>
        <v/>
      </c>
      <c r="CA891" s="14">
        <f>F891*BY891*IF(B891&gt;=in_marketplace_from,d_hz_loan_home*G891,0)*BZ891*in_loan_home_ticket*in_loan_home_comm</f>
        <v/>
      </c>
      <c r="CB891" s="40">
        <f>CB890*(1-IF(B890&gt;=in_marketplace_from,d_hz_loan_lap*G890,0)*CC890)</f>
        <v/>
      </c>
      <c r="CC891" s="11">
        <f>MIN(in_approval_cap,in_loan_lap_approval*INDEX('Age profile'!$O$2:$O$61,B891)*(1+in_approval_growth)^(D891-1))</f>
        <v/>
      </c>
      <c r="CD891" s="14">
        <f>F891*CB891*IF(B891&gt;=in_marketplace_from,d_hz_loan_lap*G891,0)*CC891*in_loan_lap_ticket*in_loan_lap_comm</f>
        <v/>
      </c>
      <c r="CE891" s="14">
        <f>AA891+AB891+AC891+AD891+AG891+AJ891+AM891+AP891+AS891+AU891+AX891+BB891+BE891+BG891+BJ891+BL891+BO891+BR891+BT891+BV891+BX891+CA891+CD891</f>
        <v/>
      </c>
    </row>
    <row r="892">
      <c r="A892" s="39" t="n">
        <v>18</v>
      </c>
      <c r="B892" s="39" t="n">
        <v>7</v>
      </c>
      <c r="C892" s="39">
        <f>A892+B892-1</f>
        <v/>
      </c>
      <c r="D892" s="39">
        <f>INT((C892-1)/12)+1</f>
        <v/>
      </c>
      <c r="E892" s="44">
        <f>INDEX(Monthly!$B$2:$B$61,A892)</f>
        <v/>
      </c>
      <c r="F892" s="44">
        <f>E892*INDEX('Age profile'!$B$2:$B$61,B892)</f>
        <v/>
      </c>
      <c r="G892" s="45">
        <f>MIN(in_takeup_cap,INDEX('Age profile'!$N$2:$N$61,B892)*(1+in_takeup_growth)^(D892-1))</f>
        <v/>
      </c>
      <c r="H892" s="11">
        <f>MIN(in_approval_cap,in_approved_first*INDEX('Age profile'!$O$2:$O$61,B892)*(1+in_approval_growth)^(D892-1))</f>
        <v/>
      </c>
      <c r="I892" s="45">
        <f>G892*MIN(in_takeup_cap,INDEX('Age profile'!$O$2:$O$61,B892)*(1+in_approval_growth)^(D892-1))</f>
        <v/>
      </c>
      <c r="J892" s="40">
        <f>(J891-L891)*F892/F891</f>
        <v/>
      </c>
      <c r="K892" s="40">
        <f>(K891-M891)*F892/F891+SUMIFS(O886:O891,B886:B891,B892-1-d_T)*F892</f>
        <v/>
      </c>
      <c r="L892" s="40">
        <f>IF(B892&gt;=in_marketplace_from,J892*d_hz*G892*in_eligible*H892,0)</f>
        <v/>
      </c>
      <c r="M892" s="40">
        <f>IF(B892&gt;=in_marketplace_from,K892*d_hz*G892*in_eligible*in_approved_repeat,0)</f>
        <v/>
      </c>
      <c r="N892" s="40">
        <f>L892+M892</f>
        <v/>
      </c>
      <c r="O892" s="46">
        <f>N892/F892</f>
        <v/>
      </c>
      <c r="P892" s="40">
        <f>F892-J892-K892</f>
        <v/>
      </c>
      <c r="Q892" s="40">
        <f>IF(B892&gt;=in_marketplace_from,(J892+K892)*d_hz*G892,0)</f>
        <v/>
      </c>
      <c r="R892" s="40">
        <f>SUMIFS(N886:N928,B886:B928,"&gt;="&amp;(B892-d_T),B886:B928,"&lt;="&amp;(B892-1))</f>
        <v/>
      </c>
      <c r="S892" s="46">
        <f>(1-d_u)*S891+IF(d_T&gt;in_topup_lag,SUMIFS(O886:O928,B886:B928,B892-in_topup_lag)-d_udrop*SUMIFS(O886:O928,B886:B928,B892-d_T),0)</f>
        <v/>
      </c>
      <c r="T892" s="40">
        <f>F892*d_u*S892</f>
        <v/>
      </c>
      <c r="U892" s="9">
        <f>L892*in_ticket+M892*d_rep_ticket</f>
        <v/>
      </c>
      <c r="V892" s="9">
        <f>U892+T892*d_topup_amt</f>
        <v/>
      </c>
      <c r="W892" s="40">
        <f>N892+T892*d_topup_ratio</f>
        <v/>
      </c>
      <c r="X892" s="40">
        <f>SUMIFS(W886:W928,B886:B928,B892-in_dpd_lag)*d_cured</f>
        <v/>
      </c>
      <c r="Y892" s="40">
        <f>SUMIFS(W886:W928,B886:B928,B892-in_rec_lag)*d_recd</f>
        <v/>
      </c>
      <c r="Z892" s="40">
        <f>IF(AND(B892&gt;=in_marketplace_from,B892&lt;in_marketplace_from+in_card_months),in_card_share/in_card_months*F892*I892,IF(AND(B892&gt;=in_marketplace_from+in_card_months,B892&lt;in_marketplace_from+2*in_card_months),in_card_share*d_card_rem/in_card_months*F892*MIN(in_takeup_cap,(1+in_takeup_growth)^(D892-1))*MIN(in_takeup_cap,(1+in_approval_growth)^(D892-1)),0))</f>
        <v/>
      </c>
      <c r="AA892" s="14">
        <f>V892*in_fee*(1-in_taken_back)</f>
        <v/>
      </c>
      <c r="AB892" s="14">
        <f>SUMIFS(W886:W928,B886:B928,B892-in_dpd_lag)*d_dpd</f>
        <v/>
      </c>
      <c r="AC892" s="14">
        <f>SUMIFS(W886:W928,B886:B928,B892-in_rec_lag)*d_rec</f>
        <v/>
      </c>
      <c r="AD892" s="14">
        <f>Z892*in_card_fee</f>
        <v/>
      </c>
      <c r="AE892" s="40">
        <f>AE891*(1-IF(B891&gt;=in_marketplace_from,d_hz_hlth_small*G891,0))</f>
        <v/>
      </c>
      <c r="AF892" s="46">
        <f>AE892*IF(B892&gt;=in_marketplace_from,d_hz_hlth_small*G892,0)</f>
        <v/>
      </c>
      <c r="AG892" s="14">
        <f>F892*AF892*in_hlth_small_ticket*in_hlth_small_comm*in_ins_partner_share+F892*in_hlth_small_ticket*in_hlth_small_renew_comm*in_ins_partner_share*(in_hlth_small_renew^1*SUMIFS(AF886:AF928,B886:B928,B892-12)+in_hlth_small_renew^2*SUMIFS(AF886:AF928,B886:B928,B892-24)+in_hlth_small_renew^3*SUMIFS(AF886:AF928,B886:B928,B892-36)+in_hlth_small_renew^4*SUMIFS(AF886:AF928,B886:B928,B892-48))</f>
        <v/>
      </c>
      <c r="AH892" s="40">
        <f>AH891*(1-IF(B891&gt;=in_marketplace_from,d_hz_hlth_family*G891,0))</f>
        <v/>
      </c>
      <c r="AI892" s="46">
        <f>AH892*IF(B892&gt;=in_marketplace_from,d_hz_hlth_family*G892,0)</f>
        <v/>
      </c>
      <c r="AJ892" s="14">
        <f>F892*AI892*in_hlth_family_ticket*in_hlth_family_comm*in_ins_partner_share+F892*in_hlth_family_ticket*in_hlth_family_renew_comm*in_ins_partner_share*(in_hlth_family_renew^1*SUMIFS(AI886:AI928,B886:B928,B892-12)+in_hlth_family_renew^2*SUMIFS(AI886:AI928,B886:B928,B892-24)+in_hlth_family_renew^3*SUMIFS(AI886:AI928,B886:B928,B892-36)+in_hlth_family_renew^4*SUMIFS(AI886:AI928,B886:B928,B892-48))</f>
        <v/>
      </c>
      <c r="AK892" s="40">
        <f>AK891*(1-IF(B891&gt;=in_marketplace_from,d_hz_life_term*G891,0))</f>
        <v/>
      </c>
      <c r="AL892" s="46">
        <f>AK892*IF(B892&gt;=in_marketplace_from,d_hz_life_term*G892,0)</f>
        <v/>
      </c>
      <c r="AM892" s="14">
        <f>F892*AL892*in_life_term_ticket*in_life_term_comm*in_ins_partner_share+F892*in_life_term_ticket*in_life_term_renew_comm*in_ins_partner_share*(in_life_term_renew^1*SUMIFS(AL886:AL928,B886:B928,B892-12)+in_life_term_renew^2*SUMIFS(AL886:AL928,B886:B928,B892-24)+in_life_term_renew^3*SUMIFS(AL886:AL928,B886:B928,B892-36)+in_life_term_renew^4*SUMIFS(AL886:AL928,B886:B928,B892-48))</f>
        <v/>
      </c>
      <c r="AN892" s="40">
        <f>AN891*(1-IF(B891&gt;=in_marketplace_from,d_hz_accident*G891,0))</f>
        <v/>
      </c>
      <c r="AO892" s="46">
        <f>AN892*IF(B892&gt;=in_marketplace_from,d_hz_accident*G892,0)</f>
        <v/>
      </c>
      <c r="AP892" s="14">
        <f>F892*AO892*in_accident_ticket*in_accident_comm*in_ins_partner_share+F892*in_accident_ticket*in_accident_renew_comm*in_ins_partner_share*(in_accident_renew^1*SUMIFS(AO886:AO928,B886:B928,B892-12)+in_accident_renew^2*SUMIFS(AO886:AO928,B886:B928,B892-24)+in_accident_renew^3*SUMIFS(AO886:AO928,B886:B928,B892-36)+in_accident_renew^4*SUMIFS(AO886:AO928,B886:B928,B892-48))</f>
        <v/>
      </c>
      <c r="AQ892" s="40">
        <f>AQ891*(1-IF(B891&gt;=in_marketplace_from,d_hz_two_wheeler*G891,0))</f>
        <v/>
      </c>
      <c r="AR892" s="46">
        <f>AQ892*IF(B892&gt;=in_marketplace_from,d_hz_two_wheeler*G892,0)</f>
        <v/>
      </c>
      <c r="AS892" s="14">
        <f>F892*AR892*in_two_wheeler_ticket*in_two_wheeler_comm*in_ins_partner_share+F892*in_two_wheeler_ticket*in_two_wheeler_comm*in_ins_partner_share*(in_two_wheeler_renew^1*SUMIFS(AR886:AR928,B886:B928,B892-12)+in_two_wheeler_renew^2*SUMIFS(AR886:AR928,B886:B928,B892-24)+in_two_wheeler_renew^3*SUMIFS(AR886:AR928,B886:B928,B892-36)+in_two_wheeler_renew^4*SUMIFS(AR886:AR928,B886:B928,B892-48))</f>
        <v/>
      </c>
      <c r="AT892" s="40">
        <f>AT891*(1-IF(B891&gt;=in_marketplace_from,d_hz_device*G891,0))</f>
        <v/>
      </c>
      <c r="AU892" s="14">
        <f>F892*AT892*IF(B892&gt;=in_marketplace_from,d_hz_device*G892,0)*in_device_ticket*in_device_comm*in_ins_partner_share</f>
        <v/>
      </c>
      <c r="AV892" s="40">
        <f>AV891*(1-IF(B891&gt;=in_marketplace_from,d_hz_shop*G891,0))</f>
        <v/>
      </c>
      <c r="AW892" s="46">
        <f>AV892*IF(B892&gt;=in_marketplace_from,d_hz_shop*G892,0)</f>
        <v/>
      </c>
      <c r="AX892" s="14">
        <f>F892*AW892*in_shop_ticket*in_shop_comm*in_ins_partner_share+F892*in_shop_ticket*in_shop_renew_comm*in_ins_partner_share*(in_shop_renew^1*SUMIFS(AW886:AW928,B886:B928,B892-12)+in_shop_renew^2*SUMIFS(AW886:AW928,B886:B928,B892-24)+in_shop_renew^3*SUMIFS(AW886:AW928,B886:B928,B892-36)+in_shop_renew^4*SUMIFS(AW886:AW928,B886:B928,B892-48))</f>
        <v/>
      </c>
      <c r="AY892" s="40">
        <f>AY891*(1-IF(B891&gt;=in_marketplace_from,d_hz_sip*G891,0))</f>
        <v/>
      </c>
      <c r="AZ892" s="40">
        <f>AZ891*d_rho_sip+AY892*IF(B892&gt;=in_marketplace_from,d_hz_sip*G892,0)</f>
        <v/>
      </c>
      <c r="BA892" s="40">
        <f>d_rho_sip*(BA891+AZ891)</f>
        <v/>
      </c>
      <c r="BB892" s="14">
        <f>F892*in_sip_ticket*(BA892+0.5*AZ892)*in_sip_comm/12</f>
        <v/>
      </c>
      <c r="BC892" s="40">
        <f>BC891*(1-IF(B891&gt;=in_marketplace_from,d_hz_choti*G891,0))</f>
        <v/>
      </c>
      <c r="BD892" s="46">
        <f>BC892*IF(B892&gt;=in_marketplace_from,d_hz_choti*G892,0)</f>
        <v/>
      </c>
      <c r="BE892" s="14">
        <f>F892*SUMIFS(BD886:BD928,B886:B928,B892-in_choti_months)*in_choti_renew*in_choti_ticket</f>
        <v/>
      </c>
      <c r="BF892" s="40">
        <f>BF891*(1-IF(B891&gt;=in_marketplace_from,d_hz_nps*G891,0))</f>
        <v/>
      </c>
      <c r="BG892" s="14">
        <f>F892*BF892*IF(B892&gt;=in_marketplace_from,d_hz_nps*G892,0)*in_nps_ticket*in_nps_comm</f>
        <v/>
      </c>
      <c r="BH892" s="40">
        <f>BH891*(1-IF(B891&gt;=in_marketplace_from,d_hz_gold*G891,0))</f>
        <v/>
      </c>
      <c r="BI892" s="40">
        <f>BI891*d_rho_gold+BH892*IF(B892&gt;=in_marketplace_from,d_hz_gold*G892,0)</f>
        <v/>
      </c>
      <c r="BJ892" s="14">
        <f>F892*BI892*in_gold_ticket*in_gold_comm</f>
        <v/>
      </c>
      <c r="BK892" s="40">
        <f>BK891*(1-IF(B891&gt;=in_marketplace_from,d_hz_fd*G891,0))</f>
        <v/>
      </c>
      <c r="BL892" s="14">
        <f>F892*BK892*IF(B892&gt;=in_marketplace_from,d_hz_fd*G892,0)*in_fd_ticket*in_fd_comm</f>
        <v/>
      </c>
      <c r="BM892" s="40">
        <f>BM891*(1-IF(B891&gt;=in_marketplace_from,d_hz_recharge*G891,0))</f>
        <v/>
      </c>
      <c r="BN892" s="40">
        <f>BN891*d_rho_recharge+BM892*IF(B892&gt;=in_marketplace_from,d_hz_recharge*G892,0)</f>
        <v/>
      </c>
      <c r="BO892" s="14">
        <f>F892*BN892*in_recharge_ticket*in_recharge_comm/12</f>
        <v/>
      </c>
      <c r="BP892" s="40">
        <f>BP891*(1-IF(B891&gt;=in_marketplace_from,d_hz_bills*G891,0))</f>
        <v/>
      </c>
      <c r="BQ892" s="40">
        <f>BQ891*d_rho_bills+BP892*IF(B892&gt;=in_marketplace_from,d_hz_bills*G892,0)</f>
        <v/>
      </c>
      <c r="BR892" s="14">
        <f>F892*BQ892*in_bills_ticket*in_bills_comm/12</f>
        <v/>
      </c>
      <c r="BS892" s="40">
        <f>BS891*(1-IF(B891&gt;=in_marketplace_from,d_hz_loan_gold*G891,0))</f>
        <v/>
      </c>
      <c r="BT892" s="14">
        <f>F892*BS892*IF(B892&gt;=in_marketplace_from,d_hz_loan_gold*G892,0)*in_loan_gold_ticket*in_loan_gold_comm</f>
        <v/>
      </c>
      <c r="BU892" s="40">
        <f>BU891*(1-IF(B891&gt;=in_marketplace_from,d_hz_loan_cd*G891,0))</f>
        <v/>
      </c>
      <c r="BV892" s="14">
        <f>F892*BU892*IF(B892&gt;=in_marketplace_from,d_hz_loan_cd*G892,0)*in_loan_cd_ticket*in_loan_cd_comm</f>
        <v/>
      </c>
      <c r="BW892" s="40">
        <f>BW891*(1-IF(B891&gt;=in_marketplace_from,d_hz_loan_vehicle*G891,0))</f>
        <v/>
      </c>
      <c r="BX892" s="14">
        <f>F892*BW892*IF(B892&gt;=in_marketplace_from,d_hz_loan_vehicle*G892,0)*in_loan_vehicle_ticket*in_loan_vehicle_comm</f>
        <v/>
      </c>
      <c r="BY892" s="40">
        <f>BY891*(1-IF(B891&gt;=in_marketplace_from,d_hz_loan_home*G891,0)*BZ891)</f>
        <v/>
      </c>
      <c r="BZ892" s="11">
        <f>MIN(in_approval_cap,in_loan_home_approval*INDEX('Age profile'!$O$2:$O$61,B892)*(1+in_approval_growth)^(D892-1))</f>
        <v/>
      </c>
      <c r="CA892" s="14">
        <f>F892*BY892*IF(B892&gt;=in_marketplace_from,d_hz_loan_home*G892,0)*BZ892*in_loan_home_ticket*in_loan_home_comm</f>
        <v/>
      </c>
      <c r="CB892" s="40">
        <f>CB891*(1-IF(B891&gt;=in_marketplace_from,d_hz_loan_lap*G891,0)*CC891)</f>
        <v/>
      </c>
      <c r="CC892" s="11">
        <f>MIN(in_approval_cap,in_loan_lap_approval*INDEX('Age profile'!$O$2:$O$61,B892)*(1+in_approval_growth)^(D892-1))</f>
        <v/>
      </c>
      <c r="CD892" s="14">
        <f>F892*CB892*IF(B892&gt;=in_marketplace_from,d_hz_loan_lap*G892,0)*CC892*in_loan_lap_ticket*in_loan_lap_comm</f>
        <v/>
      </c>
      <c r="CE892" s="14">
        <f>AA892+AB892+AC892+AD892+AG892+AJ892+AM892+AP892+AS892+AU892+AX892+BB892+BE892+BG892+BJ892+BL892+BO892+BR892+BT892+BV892+BX892+CA892+CD892</f>
        <v/>
      </c>
    </row>
    <row r="893">
      <c r="A893" s="39" t="n">
        <v>18</v>
      </c>
      <c r="B893" s="39" t="n">
        <v>8</v>
      </c>
      <c r="C893" s="39">
        <f>A893+B893-1</f>
        <v/>
      </c>
      <c r="D893" s="39">
        <f>INT((C893-1)/12)+1</f>
        <v/>
      </c>
      <c r="E893" s="44">
        <f>INDEX(Monthly!$B$2:$B$61,A893)</f>
        <v/>
      </c>
      <c r="F893" s="44">
        <f>E893*INDEX('Age profile'!$B$2:$B$61,B893)</f>
        <v/>
      </c>
      <c r="G893" s="45">
        <f>MIN(in_takeup_cap,INDEX('Age profile'!$N$2:$N$61,B893)*(1+in_takeup_growth)^(D893-1))</f>
        <v/>
      </c>
      <c r="H893" s="11">
        <f>MIN(in_approval_cap,in_approved_first*INDEX('Age profile'!$O$2:$O$61,B893)*(1+in_approval_growth)^(D893-1))</f>
        <v/>
      </c>
      <c r="I893" s="45">
        <f>G893*MIN(in_takeup_cap,INDEX('Age profile'!$O$2:$O$61,B893)*(1+in_approval_growth)^(D893-1))</f>
        <v/>
      </c>
      <c r="J893" s="40">
        <f>(J892-L892)*F893/F892</f>
        <v/>
      </c>
      <c r="K893" s="40">
        <f>(K892-M892)*F893/F892+SUMIFS(O886:O892,B886:B892,B893-1-d_T)*F893</f>
        <v/>
      </c>
      <c r="L893" s="40">
        <f>IF(B893&gt;=in_marketplace_from,J893*d_hz*G893*in_eligible*H893,0)</f>
        <v/>
      </c>
      <c r="M893" s="40">
        <f>IF(B893&gt;=in_marketplace_from,K893*d_hz*G893*in_eligible*in_approved_repeat,0)</f>
        <v/>
      </c>
      <c r="N893" s="40">
        <f>L893+M893</f>
        <v/>
      </c>
      <c r="O893" s="46">
        <f>N893/F893</f>
        <v/>
      </c>
      <c r="P893" s="40">
        <f>F893-J893-K893</f>
        <v/>
      </c>
      <c r="Q893" s="40">
        <f>IF(B893&gt;=in_marketplace_from,(J893+K893)*d_hz*G893,0)</f>
        <v/>
      </c>
      <c r="R893" s="40">
        <f>SUMIFS(N886:N928,B886:B928,"&gt;="&amp;(B893-d_T),B886:B928,"&lt;="&amp;(B893-1))</f>
        <v/>
      </c>
      <c r="S893" s="46">
        <f>(1-d_u)*S892+IF(d_T&gt;in_topup_lag,SUMIFS(O886:O928,B886:B928,B893-in_topup_lag)-d_udrop*SUMIFS(O886:O928,B886:B928,B893-d_T),0)</f>
        <v/>
      </c>
      <c r="T893" s="40">
        <f>F893*d_u*S893</f>
        <v/>
      </c>
      <c r="U893" s="9">
        <f>L893*in_ticket+M893*d_rep_ticket</f>
        <v/>
      </c>
      <c r="V893" s="9">
        <f>U893+T893*d_topup_amt</f>
        <v/>
      </c>
      <c r="W893" s="40">
        <f>N893+T893*d_topup_ratio</f>
        <v/>
      </c>
      <c r="X893" s="40">
        <f>SUMIFS(W886:W928,B886:B928,B893-in_dpd_lag)*d_cured</f>
        <v/>
      </c>
      <c r="Y893" s="40">
        <f>SUMIFS(W886:W928,B886:B928,B893-in_rec_lag)*d_recd</f>
        <v/>
      </c>
      <c r="Z893" s="40">
        <f>IF(AND(B893&gt;=in_marketplace_from,B893&lt;in_marketplace_from+in_card_months),in_card_share/in_card_months*F893*I893,IF(AND(B893&gt;=in_marketplace_from+in_card_months,B893&lt;in_marketplace_from+2*in_card_months),in_card_share*d_card_rem/in_card_months*F893*MIN(in_takeup_cap,(1+in_takeup_growth)^(D893-1))*MIN(in_takeup_cap,(1+in_approval_growth)^(D893-1)),0))</f>
        <v/>
      </c>
      <c r="AA893" s="14">
        <f>V893*in_fee*(1-in_taken_back)</f>
        <v/>
      </c>
      <c r="AB893" s="14">
        <f>SUMIFS(W886:W928,B886:B928,B893-in_dpd_lag)*d_dpd</f>
        <v/>
      </c>
      <c r="AC893" s="14">
        <f>SUMIFS(W886:W928,B886:B928,B893-in_rec_lag)*d_rec</f>
        <v/>
      </c>
      <c r="AD893" s="14">
        <f>Z893*in_card_fee</f>
        <v/>
      </c>
      <c r="AE893" s="40">
        <f>AE892*(1-IF(B892&gt;=in_marketplace_from,d_hz_hlth_small*G892,0))</f>
        <v/>
      </c>
      <c r="AF893" s="46">
        <f>AE893*IF(B893&gt;=in_marketplace_from,d_hz_hlth_small*G893,0)</f>
        <v/>
      </c>
      <c r="AG893" s="14">
        <f>F893*AF893*in_hlth_small_ticket*in_hlth_small_comm*in_ins_partner_share+F893*in_hlth_small_ticket*in_hlth_small_renew_comm*in_ins_partner_share*(in_hlth_small_renew^1*SUMIFS(AF886:AF928,B886:B928,B893-12)+in_hlth_small_renew^2*SUMIFS(AF886:AF928,B886:B928,B893-24)+in_hlth_small_renew^3*SUMIFS(AF886:AF928,B886:B928,B893-36)+in_hlth_small_renew^4*SUMIFS(AF886:AF928,B886:B928,B893-48))</f>
        <v/>
      </c>
      <c r="AH893" s="40">
        <f>AH892*(1-IF(B892&gt;=in_marketplace_from,d_hz_hlth_family*G892,0))</f>
        <v/>
      </c>
      <c r="AI893" s="46">
        <f>AH893*IF(B893&gt;=in_marketplace_from,d_hz_hlth_family*G893,0)</f>
        <v/>
      </c>
      <c r="AJ893" s="14">
        <f>F893*AI893*in_hlth_family_ticket*in_hlth_family_comm*in_ins_partner_share+F893*in_hlth_family_ticket*in_hlth_family_renew_comm*in_ins_partner_share*(in_hlth_family_renew^1*SUMIFS(AI886:AI928,B886:B928,B893-12)+in_hlth_family_renew^2*SUMIFS(AI886:AI928,B886:B928,B893-24)+in_hlth_family_renew^3*SUMIFS(AI886:AI928,B886:B928,B893-36)+in_hlth_family_renew^4*SUMIFS(AI886:AI928,B886:B928,B893-48))</f>
        <v/>
      </c>
      <c r="AK893" s="40">
        <f>AK892*(1-IF(B892&gt;=in_marketplace_from,d_hz_life_term*G892,0))</f>
        <v/>
      </c>
      <c r="AL893" s="46">
        <f>AK893*IF(B893&gt;=in_marketplace_from,d_hz_life_term*G893,0)</f>
        <v/>
      </c>
      <c r="AM893" s="14">
        <f>F893*AL893*in_life_term_ticket*in_life_term_comm*in_ins_partner_share+F893*in_life_term_ticket*in_life_term_renew_comm*in_ins_partner_share*(in_life_term_renew^1*SUMIFS(AL886:AL928,B886:B928,B893-12)+in_life_term_renew^2*SUMIFS(AL886:AL928,B886:B928,B893-24)+in_life_term_renew^3*SUMIFS(AL886:AL928,B886:B928,B893-36)+in_life_term_renew^4*SUMIFS(AL886:AL928,B886:B928,B893-48))</f>
        <v/>
      </c>
      <c r="AN893" s="40">
        <f>AN892*(1-IF(B892&gt;=in_marketplace_from,d_hz_accident*G892,0))</f>
        <v/>
      </c>
      <c r="AO893" s="46">
        <f>AN893*IF(B893&gt;=in_marketplace_from,d_hz_accident*G893,0)</f>
        <v/>
      </c>
      <c r="AP893" s="14">
        <f>F893*AO893*in_accident_ticket*in_accident_comm*in_ins_partner_share+F893*in_accident_ticket*in_accident_renew_comm*in_ins_partner_share*(in_accident_renew^1*SUMIFS(AO886:AO928,B886:B928,B893-12)+in_accident_renew^2*SUMIFS(AO886:AO928,B886:B928,B893-24)+in_accident_renew^3*SUMIFS(AO886:AO928,B886:B928,B893-36)+in_accident_renew^4*SUMIFS(AO886:AO928,B886:B928,B893-48))</f>
        <v/>
      </c>
      <c r="AQ893" s="40">
        <f>AQ892*(1-IF(B892&gt;=in_marketplace_from,d_hz_two_wheeler*G892,0))</f>
        <v/>
      </c>
      <c r="AR893" s="46">
        <f>AQ893*IF(B893&gt;=in_marketplace_from,d_hz_two_wheeler*G893,0)</f>
        <v/>
      </c>
      <c r="AS893" s="14">
        <f>F893*AR893*in_two_wheeler_ticket*in_two_wheeler_comm*in_ins_partner_share+F893*in_two_wheeler_ticket*in_two_wheeler_comm*in_ins_partner_share*(in_two_wheeler_renew^1*SUMIFS(AR886:AR928,B886:B928,B893-12)+in_two_wheeler_renew^2*SUMIFS(AR886:AR928,B886:B928,B893-24)+in_two_wheeler_renew^3*SUMIFS(AR886:AR928,B886:B928,B893-36)+in_two_wheeler_renew^4*SUMIFS(AR886:AR928,B886:B928,B893-48))</f>
        <v/>
      </c>
      <c r="AT893" s="40">
        <f>AT892*(1-IF(B892&gt;=in_marketplace_from,d_hz_device*G892,0))</f>
        <v/>
      </c>
      <c r="AU893" s="14">
        <f>F893*AT893*IF(B893&gt;=in_marketplace_from,d_hz_device*G893,0)*in_device_ticket*in_device_comm*in_ins_partner_share</f>
        <v/>
      </c>
      <c r="AV893" s="40">
        <f>AV892*(1-IF(B892&gt;=in_marketplace_from,d_hz_shop*G892,0))</f>
        <v/>
      </c>
      <c r="AW893" s="46">
        <f>AV893*IF(B893&gt;=in_marketplace_from,d_hz_shop*G893,0)</f>
        <v/>
      </c>
      <c r="AX893" s="14">
        <f>F893*AW893*in_shop_ticket*in_shop_comm*in_ins_partner_share+F893*in_shop_ticket*in_shop_renew_comm*in_ins_partner_share*(in_shop_renew^1*SUMIFS(AW886:AW928,B886:B928,B893-12)+in_shop_renew^2*SUMIFS(AW886:AW928,B886:B928,B893-24)+in_shop_renew^3*SUMIFS(AW886:AW928,B886:B928,B893-36)+in_shop_renew^4*SUMIFS(AW886:AW928,B886:B928,B893-48))</f>
        <v/>
      </c>
      <c r="AY893" s="40">
        <f>AY892*(1-IF(B892&gt;=in_marketplace_from,d_hz_sip*G892,0))</f>
        <v/>
      </c>
      <c r="AZ893" s="40">
        <f>AZ892*d_rho_sip+AY893*IF(B893&gt;=in_marketplace_from,d_hz_sip*G893,0)</f>
        <v/>
      </c>
      <c r="BA893" s="40">
        <f>d_rho_sip*(BA892+AZ892)</f>
        <v/>
      </c>
      <c r="BB893" s="14">
        <f>F893*in_sip_ticket*(BA893+0.5*AZ893)*in_sip_comm/12</f>
        <v/>
      </c>
      <c r="BC893" s="40">
        <f>BC892*(1-IF(B892&gt;=in_marketplace_from,d_hz_choti*G892,0))</f>
        <v/>
      </c>
      <c r="BD893" s="46">
        <f>BC893*IF(B893&gt;=in_marketplace_from,d_hz_choti*G893,0)</f>
        <v/>
      </c>
      <c r="BE893" s="14">
        <f>F893*SUMIFS(BD886:BD928,B886:B928,B893-in_choti_months)*in_choti_renew*in_choti_ticket</f>
        <v/>
      </c>
      <c r="BF893" s="40">
        <f>BF892*(1-IF(B892&gt;=in_marketplace_from,d_hz_nps*G892,0))</f>
        <v/>
      </c>
      <c r="BG893" s="14">
        <f>F893*BF893*IF(B893&gt;=in_marketplace_from,d_hz_nps*G893,0)*in_nps_ticket*in_nps_comm</f>
        <v/>
      </c>
      <c r="BH893" s="40">
        <f>BH892*(1-IF(B892&gt;=in_marketplace_from,d_hz_gold*G892,0))</f>
        <v/>
      </c>
      <c r="BI893" s="40">
        <f>BI892*d_rho_gold+BH893*IF(B893&gt;=in_marketplace_from,d_hz_gold*G893,0)</f>
        <v/>
      </c>
      <c r="BJ893" s="14">
        <f>F893*BI893*in_gold_ticket*in_gold_comm</f>
        <v/>
      </c>
      <c r="BK893" s="40">
        <f>BK892*(1-IF(B892&gt;=in_marketplace_from,d_hz_fd*G892,0))</f>
        <v/>
      </c>
      <c r="BL893" s="14">
        <f>F893*BK893*IF(B893&gt;=in_marketplace_from,d_hz_fd*G893,0)*in_fd_ticket*in_fd_comm</f>
        <v/>
      </c>
      <c r="BM893" s="40">
        <f>BM892*(1-IF(B892&gt;=in_marketplace_from,d_hz_recharge*G892,0))</f>
        <v/>
      </c>
      <c r="BN893" s="40">
        <f>BN892*d_rho_recharge+BM893*IF(B893&gt;=in_marketplace_from,d_hz_recharge*G893,0)</f>
        <v/>
      </c>
      <c r="BO893" s="14">
        <f>F893*BN893*in_recharge_ticket*in_recharge_comm/12</f>
        <v/>
      </c>
      <c r="BP893" s="40">
        <f>BP892*(1-IF(B892&gt;=in_marketplace_from,d_hz_bills*G892,0))</f>
        <v/>
      </c>
      <c r="BQ893" s="40">
        <f>BQ892*d_rho_bills+BP893*IF(B893&gt;=in_marketplace_from,d_hz_bills*G893,0)</f>
        <v/>
      </c>
      <c r="BR893" s="14">
        <f>F893*BQ893*in_bills_ticket*in_bills_comm/12</f>
        <v/>
      </c>
      <c r="BS893" s="40">
        <f>BS892*(1-IF(B892&gt;=in_marketplace_from,d_hz_loan_gold*G892,0))</f>
        <v/>
      </c>
      <c r="BT893" s="14">
        <f>F893*BS893*IF(B893&gt;=in_marketplace_from,d_hz_loan_gold*G893,0)*in_loan_gold_ticket*in_loan_gold_comm</f>
        <v/>
      </c>
      <c r="BU893" s="40">
        <f>BU892*(1-IF(B892&gt;=in_marketplace_from,d_hz_loan_cd*G892,0))</f>
        <v/>
      </c>
      <c r="BV893" s="14">
        <f>F893*BU893*IF(B893&gt;=in_marketplace_from,d_hz_loan_cd*G893,0)*in_loan_cd_ticket*in_loan_cd_comm</f>
        <v/>
      </c>
      <c r="BW893" s="40">
        <f>BW892*(1-IF(B892&gt;=in_marketplace_from,d_hz_loan_vehicle*G892,0))</f>
        <v/>
      </c>
      <c r="BX893" s="14">
        <f>F893*BW893*IF(B893&gt;=in_marketplace_from,d_hz_loan_vehicle*G893,0)*in_loan_vehicle_ticket*in_loan_vehicle_comm</f>
        <v/>
      </c>
      <c r="BY893" s="40">
        <f>BY892*(1-IF(B892&gt;=in_marketplace_from,d_hz_loan_home*G892,0)*BZ892)</f>
        <v/>
      </c>
      <c r="BZ893" s="11">
        <f>MIN(in_approval_cap,in_loan_home_approval*INDEX('Age profile'!$O$2:$O$61,B893)*(1+in_approval_growth)^(D893-1))</f>
        <v/>
      </c>
      <c r="CA893" s="14">
        <f>F893*BY893*IF(B893&gt;=in_marketplace_from,d_hz_loan_home*G893,0)*BZ893*in_loan_home_ticket*in_loan_home_comm</f>
        <v/>
      </c>
      <c r="CB893" s="40">
        <f>CB892*(1-IF(B892&gt;=in_marketplace_from,d_hz_loan_lap*G892,0)*CC892)</f>
        <v/>
      </c>
      <c r="CC893" s="11">
        <f>MIN(in_approval_cap,in_loan_lap_approval*INDEX('Age profile'!$O$2:$O$61,B893)*(1+in_approval_growth)^(D893-1))</f>
        <v/>
      </c>
      <c r="CD893" s="14">
        <f>F893*CB893*IF(B893&gt;=in_marketplace_from,d_hz_loan_lap*G893,0)*CC893*in_loan_lap_ticket*in_loan_lap_comm</f>
        <v/>
      </c>
      <c r="CE893" s="14">
        <f>AA893+AB893+AC893+AD893+AG893+AJ893+AM893+AP893+AS893+AU893+AX893+BB893+BE893+BG893+BJ893+BL893+BO893+BR893+BT893+BV893+BX893+CA893+CD893</f>
        <v/>
      </c>
    </row>
    <row r="894">
      <c r="A894" s="39" t="n">
        <v>18</v>
      </c>
      <c r="B894" s="39" t="n">
        <v>9</v>
      </c>
      <c r="C894" s="39">
        <f>A894+B894-1</f>
        <v/>
      </c>
      <c r="D894" s="39">
        <f>INT((C894-1)/12)+1</f>
        <v/>
      </c>
      <c r="E894" s="44">
        <f>INDEX(Monthly!$B$2:$B$61,A894)</f>
        <v/>
      </c>
      <c r="F894" s="44">
        <f>E894*INDEX('Age profile'!$B$2:$B$61,B894)</f>
        <v/>
      </c>
      <c r="G894" s="45">
        <f>MIN(in_takeup_cap,INDEX('Age profile'!$N$2:$N$61,B894)*(1+in_takeup_growth)^(D894-1))</f>
        <v/>
      </c>
      <c r="H894" s="11">
        <f>MIN(in_approval_cap,in_approved_first*INDEX('Age profile'!$O$2:$O$61,B894)*(1+in_approval_growth)^(D894-1))</f>
        <v/>
      </c>
      <c r="I894" s="45">
        <f>G894*MIN(in_takeup_cap,INDEX('Age profile'!$O$2:$O$61,B894)*(1+in_approval_growth)^(D894-1))</f>
        <v/>
      </c>
      <c r="J894" s="40">
        <f>(J893-L893)*F894/F893</f>
        <v/>
      </c>
      <c r="K894" s="40">
        <f>(K893-M893)*F894/F893+SUMIFS(O886:O893,B886:B893,B894-1-d_T)*F894</f>
        <v/>
      </c>
      <c r="L894" s="40">
        <f>IF(B894&gt;=in_marketplace_from,J894*d_hz*G894*in_eligible*H894,0)</f>
        <v/>
      </c>
      <c r="M894" s="40">
        <f>IF(B894&gt;=in_marketplace_from,K894*d_hz*G894*in_eligible*in_approved_repeat,0)</f>
        <v/>
      </c>
      <c r="N894" s="40">
        <f>L894+M894</f>
        <v/>
      </c>
      <c r="O894" s="46">
        <f>N894/F894</f>
        <v/>
      </c>
      <c r="P894" s="40">
        <f>F894-J894-K894</f>
        <v/>
      </c>
      <c r="Q894" s="40">
        <f>IF(B894&gt;=in_marketplace_from,(J894+K894)*d_hz*G894,0)</f>
        <v/>
      </c>
      <c r="R894" s="40">
        <f>SUMIFS(N886:N928,B886:B928,"&gt;="&amp;(B894-d_T),B886:B928,"&lt;="&amp;(B894-1))</f>
        <v/>
      </c>
      <c r="S894" s="46">
        <f>(1-d_u)*S893+IF(d_T&gt;in_topup_lag,SUMIFS(O886:O928,B886:B928,B894-in_topup_lag)-d_udrop*SUMIFS(O886:O928,B886:B928,B894-d_T),0)</f>
        <v/>
      </c>
      <c r="T894" s="40">
        <f>F894*d_u*S894</f>
        <v/>
      </c>
      <c r="U894" s="9">
        <f>L894*in_ticket+M894*d_rep_ticket</f>
        <v/>
      </c>
      <c r="V894" s="9">
        <f>U894+T894*d_topup_amt</f>
        <v/>
      </c>
      <c r="W894" s="40">
        <f>N894+T894*d_topup_ratio</f>
        <v/>
      </c>
      <c r="X894" s="40">
        <f>SUMIFS(W886:W928,B886:B928,B894-in_dpd_lag)*d_cured</f>
        <v/>
      </c>
      <c r="Y894" s="40">
        <f>SUMIFS(W886:W928,B886:B928,B894-in_rec_lag)*d_recd</f>
        <v/>
      </c>
      <c r="Z894" s="40">
        <f>IF(AND(B894&gt;=in_marketplace_from,B894&lt;in_marketplace_from+in_card_months),in_card_share/in_card_months*F894*I894,IF(AND(B894&gt;=in_marketplace_from+in_card_months,B894&lt;in_marketplace_from+2*in_card_months),in_card_share*d_card_rem/in_card_months*F894*MIN(in_takeup_cap,(1+in_takeup_growth)^(D894-1))*MIN(in_takeup_cap,(1+in_approval_growth)^(D894-1)),0))</f>
        <v/>
      </c>
      <c r="AA894" s="14">
        <f>V894*in_fee*(1-in_taken_back)</f>
        <v/>
      </c>
      <c r="AB894" s="14">
        <f>SUMIFS(W886:W928,B886:B928,B894-in_dpd_lag)*d_dpd</f>
        <v/>
      </c>
      <c r="AC894" s="14">
        <f>SUMIFS(W886:W928,B886:B928,B894-in_rec_lag)*d_rec</f>
        <v/>
      </c>
      <c r="AD894" s="14">
        <f>Z894*in_card_fee</f>
        <v/>
      </c>
      <c r="AE894" s="40">
        <f>AE893*(1-IF(B893&gt;=in_marketplace_from,d_hz_hlth_small*G893,0))</f>
        <v/>
      </c>
      <c r="AF894" s="46">
        <f>AE894*IF(B894&gt;=in_marketplace_from,d_hz_hlth_small*G894,0)</f>
        <v/>
      </c>
      <c r="AG894" s="14">
        <f>F894*AF894*in_hlth_small_ticket*in_hlth_small_comm*in_ins_partner_share+F894*in_hlth_small_ticket*in_hlth_small_renew_comm*in_ins_partner_share*(in_hlth_small_renew^1*SUMIFS(AF886:AF928,B886:B928,B894-12)+in_hlth_small_renew^2*SUMIFS(AF886:AF928,B886:B928,B894-24)+in_hlth_small_renew^3*SUMIFS(AF886:AF928,B886:B928,B894-36)+in_hlth_small_renew^4*SUMIFS(AF886:AF928,B886:B928,B894-48))</f>
        <v/>
      </c>
      <c r="AH894" s="40">
        <f>AH893*(1-IF(B893&gt;=in_marketplace_from,d_hz_hlth_family*G893,0))</f>
        <v/>
      </c>
      <c r="AI894" s="46">
        <f>AH894*IF(B894&gt;=in_marketplace_from,d_hz_hlth_family*G894,0)</f>
        <v/>
      </c>
      <c r="AJ894" s="14">
        <f>F894*AI894*in_hlth_family_ticket*in_hlth_family_comm*in_ins_partner_share+F894*in_hlth_family_ticket*in_hlth_family_renew_comm*in_ins_partner_share*(in_hlth_family_renew^1*SUMIFS(AI886:AI928,B886:B928,B894-12)+in_hlth_family_renew^2*SUMIFS(AI886:AI928,B886:B928,B894-24)+in_hlth_family_renew^3*SUMIFS(AI886:AI928,B886:B928,B894-36)+in_hlth_family_renew^4*SUMIFS(AI886:AI928,B886:B928,B894-48))</f>
        <v/>
      </c>
      <c r="AK894" s="40">
        <f>AK893*(1-IF(B893&gt;=in_marketplace_from,d_hz_life_term*G893,0))</f>
        <v/>
      </c>
      <c r="AL894" s="46">
        <f>AK894*IF(B894&gt;=in_marketplace_from,d_hz_life_term*G894,0)</f>
        <v/>
      </c>
      <c r="AM894" s="14">
        <f>F894*AL894*in_life_term_ticket*in_life_term_comm*in_ins_partner_share+F894*in_life_term_ticket*in_life_term_renew_comm*in_ins_partner_share*(in_life_term_renew^1*SUMIFS(AL886:AL928,B886:B928,B894-12)+in_life_term_renew^2*SUMIFS(AL886:AL928,B886:B928,B894-24)+in_life_term_renew^3*SUMIFS(AL886:AL928,B886:B928,B894-36)+in_life_term_renew^4*SUMIFS(AL886:AL928,B886:B928,B894-48))</f>
        <v/>
      </c>
      <c r="AN894" s="40">
        <f>AN893*(1-IF(B893&gt;=in_marketplace_from,d_hz_accident*G893,0))</f>
        <v/>
      </c>
      <c r="AO894" s="46">
        <f>AN894*IF(B894&gt;=in_marketplace_from,d_hz_accident*G894,0)</f>
        <v/>
      </c>
      <c r="AP894" s="14">
        <f>F894*AO894*in_accident_ticket*in_accident_comm*in_ins_partner_share+F894*in_accident_ticket*in_accident_renew_comm*in_ins_partner_share*(in_accident_renew^1*SUMIFS(AO886:AO928,B886:B928,B894-12)+in_accident_renew^2*SUMIFS(AO886:AO928,B886:B928,B894-24)+in_accident_renew^3*SUMIFS(AO886:AO928,B886:B928,B894-36)+in_accident_renew^4*SUMIFS(AO886:AO928,B886:B928,B894-48))</f>
        <v/>
      </c>
      <c r="AQ894" s="40">
        <f>AQ893*(1-IF(B893&gt;=in_marketplace_from,d_hz_two_wheeler*G893,0))</f>
        <v/>
      </c>
      <c r="AR894" s="46">
        <f>AQ894*IF(B894&gt;=in_marketplace_from,d_hz_two_wheeler*G894,0)</f>
        <v/>
      </c>
      <c r="AS894" s="14">
        <f>F894*AR894*in_two_wheeler_ticket*in_two_wheeler_comm*in_ins_partner_share+F894*in_two_wheeler_ticket*in_two_wheeler_comm*in_ins_partner_share*(in_two_wheeler_renew^1*SUMIFS(AR886:AR928,B886:B928,B894-12)+in_two_wheeler_renew^2*SUMIFS(AR886:AR928,B886:B928,B894-24)+in_two_wheeler_renew^3*SUMIFS(AR886:AR928,B886:B928,B894-36)+in_two_wheeler_renew^4*SUMIFS(AR886:AR928,B886:B928,B894-48))</f>
        <v/>
      </c>
      <c r="AT894" s="40">
        <f>AT893*(1-IF(B893&gt;=in_marketplace_from,d_hz_device*G893,0))</f>
        <v/>
      </c>
      <c r="AU894" s="14">
        <f>F894*AT894*IF(B894&gt;=in_marketplace_from,d_hz_device*G894,0)*in_device_ticket*in_device_comm*in_ins_partner_share</f>
        <v/>
      </c>
      <c r="AV894" s="40">
        <f>AV893*(1-IF(B893&gt;=in_marketplace_from,d_hz_shop*G893,0))</f>
        <v/>
      </c>
      <c r="AW894" s="46">
        <f>AV894*IF(B894&gt;=in_marketplace_from,d_hz_shop*G894,0)</f>
        <v/>
      </c>
      <c r="AX894" s="14">
        <f>F894*AW894*in_shop_ticket*in_shop_comm*in_ins_partner_share+F894*in_shop_ticket*in_shop_renew_comm*in_ins_partner_share*(in_shop_renew^1*SUMIFS(AW886:AW928,B886:B928,B894-12)+in_shop_renew^2*SUMIFS(AW886:AW928,B886:B928,B894-24)+in_shop_renew^3*SUMIFS(AW886:AW928,B886:B928,B894-36)+in_shop_renew^4*SUMIFS(AW886:AW928,B886:B928,B894-48))</f>
        <v/>
      </c>
      <c r="AY894" s="40">
        <f>AY893*(1-IF(B893&gt;=in_marketplace_from,d_hz_sip*G893,0))</f>
        <v/>
      </c>
      <c r="AZ894" s="40">
        <f>AZ893*d_rho_sip+AY894*IF(B894&gt;=in_marketplace_from,d_hz_sip*G894,0)</f>
        <v/>
      </c>
      <c r="BA894" s="40">
        <f>d_rho_sip*(BA893+AZ893)</f>
        <v/>
      </c>
      <c r="BB894" s="14">
        <f>F894*in_sip_ticket*(BA894+0.5*AZ894)*in_sip_comm/12</f>
        <v/>
      </c>
      <c r="BC894" s="40">
        <f>BC893*(1-IF(B893&gt;=in_marketplace_from,d_hz_choti*G893,0))</f>
        <v/>
      </c>
      <c r="BD894" s="46">
        <f>BC894*IF(B894&gt;=in_marketplace_from,d_hz_choti*G894,0)</f>
        <v/>
      </c>
      <c r="BE894" s="14">
        <f>F894*SUMIFS(BD886:BD928,B886:B928,B894-in_choti_months)*in_choti_renew*in_choti_ticket</f>
        <v/>
      </c>
      <c r="BF894" s="40">
        <f>BF893*(1-IF(B893&gt;=in_marketplace_from,d_hz_nps*G893,0))</f>
        <v/>
      </c>
      <c r="BG894" s="14">
        <f>F894*BF894*IF(B894&gt;=in_marketplace_from,d_hz_nps*G894,0)*in_nps_ticket*in_nps_comm</f>
        <v/>
      </c>
      <c r="BH894" s="40">
        <f>BH893*(1-IF(B893&gt;=in_marketplace_from,d_hz_gold*G893,0))</f>
        <v/>
      </c>
      <c r="BI894" s="40">
        <f>BI893*d_rho_gold+BH894*IF(B894&gt;=in_marketplace_from,d_hz_gold*G894,0)</f>
        <v/>
      </c>
      <c r="BJ894" s="14">
        <f>F894*BI894*in_gold_ticket*in_gold_comm</f>
        <v/>
      </c>
      <c r="BK894" s="40">
        <f>BK893*(1-IF(B893&gt;=in_marketplace_from,d_hz_fd*G893,0))</f>
        <v/>
      </c>
      <c r="BL894" s="14">
        <f>F894*BK894*IF(B894&gt;=in_marketplace_from,d_hz_fd*G894,0)*in_fd_ticket*in_fd_comm</f>
        <v/>
      </c>
      <c r="BM894" s="40">
        <f>BM893*(1-IF(B893&gt;=in_marketplace_from,d_hz_recharge*G893,0))</f>
        <v/>
      </c>
      <c r="BN894" s="40">
        <f>BN893*d_rho_recharge+BM894*IF(B894&gt;=in_marketplace_from,d_hz_recharge*G894,0)</f>
        <v/>
      </c>
      <c r="BO894" s="14">
        <f>F894*BN894*in_recharge_ticket*in_recharge_comm/12</f>
        <v/>
      </c>
      <c r="BP894" s="40">
        <f>BP893*(1-IF(B893&gt;=in_marketplace_from,d_hz_bills*G893,0))</f>
        <v/>
      </c>
      <c r="BQ894" s="40">
        <f>BQ893*d_rho_bills+BP894*IF(B894&gt;=in_marketplace_from,d_hz_bills*G894,0)</f>
        <v/>
      </c>
      <c r="BR894" s="14">
        <f>F894*BQ894*in_bills_ticket*in_bills_comm/12</f>
        <v/>
      </c>
      <c r="BS894" s="40">
        <f>BS893*(1-IF(B893&gt;=in_marketplace_from,d_hz_loan_gold*G893,0))</f>
        <v/>
      </c>
      <c r="BT894" s="14">
        <f>F894*BS894*IF(B894&gt;=in_marketplace_from,d_hz_loan_gold*G894,0)*in_loan_gold_ticket*in_loan_gold_comm</f>
        <v/>
      </c>
      <c r="BU894" s="40">
        <f>BU893*(1-IF(B893&gt;=in_marketplace_from,d_hz_loan_cd*G893,0))</f>
        <v/>
      </c>
      <c r="BV894" s="14">
        <f>F894*BU894*IF(B894&gt;=in_marketplace_from,d_hz_loan_cd*G894,0)*in_loan_cd_ticket*in_loan_cd_comm</f>
        <v/>
      </c>
      <c r="BW894" s="40">
        <f>BW893*(1-IF(B893&gt;=in_marketplace_from,d_hz_loan_vehicle*G893,0))</f>
        <v/>
      </c>
      <c r="BX894" s="14">
        <f>F894*BW894*IF(B894&gt;=in_marketplace_from,d_hz_loan_vehicle*G894,0)*in_loan_vehicle_ticket*in_loan_vehicle_comm</f>
        <v/>
      </c>
      <c r="BY894" s="40">
        <f>BY893*(1-IF(B893&gt;=in_marketplace_from,d_hz_loan_home*G893,0)*BZ893)</f>
        <v/>
      </c>
      <c r="BZ894" s="11">
        <f>MIN(in_approval_cap,in_loan_home_approval*INDEX('Age profile'!$O$2:$O$61,B894)*(1+in_approval_growth)^(D894-1))</f>
        <v/>
      </c>
      <c r="CA894" s="14">
        <f>F894*BY894*IF(B894&gt;=in_marketplace_from,d_hz_loan_home*G894,0)*BZ894*in_loan_home_ticket*in_loan_home_comm</f>
        <v/>
      </c>
      <c r="CB894" s="40">
        <f>CB893*(1-IF(B893&gt;=in_marketplace_from,d_hz_loan_lap*G893,0)*CC893)</f>
        <v/>
      </c>
      <c r="CC894" s="11">
        <f>MIN(in_approval_cap,in_loan_lap_approval*INDEX('Age profile'!$O$2:$O$61,B894)*(1+in_approval_growth)^(D894-1))</f>
        <v/>
      </c>
      <c r="CD894" s="14">
        <f>F894*CB894*IF(B894&gt;=in_marketplace_from,d_hz_loan_lap*G894,0)*CC894*in_loan_lap_ticket*in_loan_lap_comm</f>
        <v/>
      </c>
      <c r="CE894" s="14">
        <f>AA894+AB894+AC894+AD894+AG894+AJ894+AM894+AP894+AS894+AU894+AX894+BB894+BE894+BG894+BJ894+BL894+BO894+BR894+BT894+BV894+BX894+CA894+CD894</f>
        <v/>
      </c>
    </row>
    <row r="895">
      <c r="A895" s="39" t="n">
        <v>18</v>
      </c>
      <c r="B895" s="39" t="n">
        <v>10</v>
      </c>
      <c r="C895" s="39">
        <f>A895+B895-1</f>
        <v/>
      </c>
      <c r="D895" s="39">
        <f>INT((C895-1)/12)+1</f>
        <v/>
      </c>
      <c r="E895" s="44">
        <f>INDEX(Monthly!$B$2:$B$61,A895)</f>
        <v/>
      </c>
      <c r="F895" s="44">
        <f>E895*INDEX('Age profile'!$B$2:$B$61,B895)</f>
        <v/>
      </c>
      <c r="G895" s="45">
        <f>MIN(in_takeup_cap,INDEX('Age profile'!$N$2:$N$61,B895)*(1+in_takeup_growth)^(D895-1))</f>
        <v/>
      </c>
      <c r="H895" s="11">
        <f>MIN(in_approval_cap,in_approved_first*INDEX('Age profile'!$O$2:$O$61,B895)*(1+in_approval_growth)^(D895-1))</f>
        <v/>
      </c>
      <c r="I895" s="45">
        <f>G895*MIN(in_takeup_cap,INDEX('Age profile'!$O$2:$O$61,B895)*(1+in_approval_growth)^(D895-1))</f>
        <v/>
      </c>
      <c r="J895" s="40">
        <f>(J894-L894)*F895/F894</f>
        <v/>
      </c>
      <c r="K895" s="40">
        <f>(K894-M894)*F895/F894+SUMIFS(O886:O894,B886:B894,B895-1-d_T)*F895</f>
        <v/>
      </c>
      <c r="L895" s="40">
        <f>IF(B895&gt;=in_marketplace_from,J895*d_hz*G895*in_eligible*H895,0)</f>
        <v/>
      </c>
      <c r="M895" s="40">
        <f>IF(B895&gt;=in_marketplace_from,K895*d_hz*G895*in_eligible*in_approved_repeat,0)</f>
        <v/>
      </c>
      <c r="N895" s="40">
        <f>L895+M895</f>
        <v/>
      </c>
      <c r="O895" s="46">
        <f>N895/F895</f>
        <v/>
      </c>
      <c r="P895" s="40">
        <f>F895-J895-K895</f>
        <v/>
      </c>
      <c r="Q895" s="40">
        <f>IF(B895&gt;=in_marketplace_from,(J895+K895)*d_hz*G895,0)</f>
        <v/>
      </c>
      <c r="R895" s="40">
        <f>SUMIFS(N886:N928,B886:B928,"&gt;="&amp;(B895-d_T),B886:B928,"&lt;="&amp;(B895-1))</f>
        <v/>
      </c>
      <c r="S895" s="46">
        <f>(1-d_u)*S894+IF(d_T&gt;in_topup_lag,SUMIFS(O886:O928,B886:B928,B895-in_topup_lag)-d_udrop*SUMIFS(O886:O928,B886:B928,B895-d_T),0)</f>
        <v/>
      </c>
      <c r="T895" s="40">
        <f>F895*d_u*S895</f>
        <v/>
      </c>
      <c r="U895" s="9">
        <f>L895*in_ticket+M895*d_rep_ticket</f>
        <v/>
      </c>
      <c r="V895" s="9">
        <f>U895+T895*d_topup_amt</f>
        <v/>
      </c>
      <c r="W895" s="40">
        <f>N895+T895*d_topup_ratio</f>
        <v/>
      </c>
      <c r="X895" s="40">
        <f>SUMIFS(W886:W928,B886:B928,B895-in_dpd_lag)*d_cured</f>
        <v/>
      </c>
      <c r="Y895" s="40">
        <f>SUMIFS(W886:W928,B886:B928,B895-in_rec_lag)*d_recd</f>
        <v/>
      </c>
      <c r="Z895" s="40">
        <f>IF(AND(B895&gt;=in_marketplace_from,B895&lt;in_marketplace_from+in_card_months),in_card_share/in_card_months*F895*I895,IF(AND(B895&gt;=in_marketplace_from+in_card_months,B895&lt;in_marketplace_from+2*in_card_months),in_card_share*d_card_rem/in_card_months*F895*MIN(in_takeup_cap,(1+in_takeup_growth)^(D895-1))*MIN(in_takeup_cap,(1+in_approval_growth)^(D895-1)),0))</f>
        <v/>
      </c>
      <c r="AA895" s="14">
        <f>V895*in_fee*(1-in_taken_back)</f>
        <v/>
      </c>
      <c r="AB895" s="14">
        <f>SUMIFS(W886:W928,B886:B928,B895-in_dpd_lag)*d_dpd</f>
        <v/>
      </c>
      <c r="AC895" s="14">
        <f>SUMIFS(W886:W928,B886:B928,B895-in_rec_lag)*d_rec</f>
        <v/>
      </c>
      <c r="AD895" s="14">
        <f>Z895*in_card_fee</f>
        <v/>
      </c>
      <c r="AE895" s="40">
        <f>AE894*(1-IF(B894&gt;=in_marketplace_from,d_hz_hlth_small*G894,0))</f>
        <v/>
      </c>
      <c r="AF895" s="46">
        <f>AE895*IF(B895&gt;=in_marketplace_from,d_hz_hlth_small*G895,0)</f>
        <v/>
      </c>
      <c r="AG895" s="14">
        <f>F895*AF895*in_hlth_small_ticket*in_hlth_small_comm*in_ins_partner_share+F895*in_hlth_small_ticket*in_hlth_small_renew_comm*in_ins_partner_share*(in_hlth_small_renew^1*SUMIFS(AF886:AF928,B886:B928,B895-12)+in_hlth_small_renew^2*SUMIFS(AF886:AF928,B886:B928,B895-24)+in_hlth_small_renew^3*SUMIFS(AF886:AF928,B886:B928,B895-36)+in_hlth_small_renew^4*SUMIFS(AF886:AF928,B886:B928,B895-48))</f>
        <v/>
      </c>
      <c r="AH895" s="40">
        <f>AH894*(1-IF(B894&gt;=in_marketplace_from,d_hz_hlth_family*G894,0))</f>
        <v/>
      </c>
      <c r="AI895" s="46">
        <f>AH895*IF(B895&gt;=in_marketplace_from,d_hz_hlth_family*G895,0)</f>
        <v/>
      </c>
      <c r="AJ895" s="14">
        <f>F895*AI895*in_hlth_family_ticket*in_hlth_family_comm*in_ins_partner_share+F895*in_hlth_family_ticket*in_hlth_family_renew_comm*in_ins_partner_share*(in_hlth_family_renew^1*SUMIFS(AI886:AI928,B886:B928,B895-12)+in_hlth_family_renew^2*SUMIFS(AI886:AI928,B886:B928,B895-24)+in_hlth_family_renew^3*SUMIFS(AI886:AI928,B886:B928,B895-36)+in_hlth_family_renew^4*SUMIFS(AI886:AI928,B886:B928,B895-48))</f>
        <v/>
      </c>
      <c r="AK895" s="40">
        <f>AK894*(1-IF(B894&gt;=in_marketplace_from,d_hz_life_term*G894,0))</f>
        <v/>
      </c>
      <c r="AL895" s="46">
        <f>AK895*IF(B895&gt;=in_marketplace_from,d_hz_life_term*G895,0)</f>
        <v/>
      </c>
      <c r="AM895" s="14">
        <f>F895*AL895*in_life_term_ticket*in_life_term_comm*in_ins_partner_share+F895*in_life_term_ticket*in_life_term_renew_comm*in_ins_partner_share*(in_life_term_renew^1*SUMIFS(AL886:AL928,B886:B928,B895-12)+in_life_term_renew^2*SUMIFS(AL886:AL928,B886:B928,B895-24)+in_life_term_renew^3*SUMIFS(AL886:AL928,B886:B928,B895-36)+in_life_term_renew^4*SUMIFS(AL886:AL928,B886:B928,B895-48))</f>
        <v/>
      </c>
      <c r="AN895" s="40">
        <f>AN894*(1-IF(B894&gt;=in_marketplace_from,d_hz_accident*G894,0))</f>
        <v/>
      </c>
      <c r="AO895" s="46">
        <f>AN895*IF(B895&gt;=in_marketplace_from,d_hz_accident*G895,0)</f>
        <v/>
      </c>
      <c r="AP895" s="14">
        <f>F895*AO895*in_accident_ticket*in_accident_comm*in_ins_partner_share+F895*in_accident_ticket*in_accident_renew_comm*in_ins_partner_share*(in_accident_renew^1*SUMIFS(AO886:AO928,B886:B928,B895-12)+in_accident_renew^2*SUMIFS(AO886:AO928,B886:B928,B895-24)+in_accident_renew^3*SUMIFS(AO886:AO928,B886:B928,B895-36)+in_accident_renew^4*SUMIFS(AO886:AO928,B886:B928,B895-48))</f>
        <v/>
      </c>
      <c r="AQ895" s="40">
        <f>AQ894*(1-IF(B894&gt;=in_marketplace_from,d_hz_two_wheeler*G894,0))</f>
        <v/>
      </c>
      <c r="AR895" s="46">
        <f>AQ895*IF(B895&gt;=in_marketplace_from,d_hz_two_wheeler*G895,0)</f>
        <v/>
      </c>
      <c r="AS895" s="14">
        <f>F895*AR895*in_two_wheeler_ticket*in_two_wheeler_comm*in_ins_partner_share+F895*in_two_wheeler_ticket*in_two_wheeler_comm*in_ins_partner_share*(in_two_wheeler_renew^1*SUMIFS(AR886:AR928,B886:B928,B895-12)+in_two_wheeler_renew^2*SUMIFS(AR886:AR928,B886:B928,B895-24)+in_two_wheeler_renew^3*SUMIFS(AR886:AR928,B886:B928,B895-36)+in_two_wheeler_renew^4*SUMIFS(AR886:AR928,B886:B928,B895-48))</f>
        <v/>
      </c>
      <c r="AT895" s="40">
        <f>AT894*(1-IF(B894&gt;=in_marketplace_from,d_hz_device*G894,0))</f>
        <v/>
      </c>
      <c r="AU895" s="14">
        <f>F895*AT895*IF(B895&gt;=in_marketplace_from,d_hz_device*G895,0)*in_device_ticket*in_device_comm*in_ins_partner_share</f>
        <v/>
      </c>
      <c r="AV895" s="40">
        <f>AV894*(1-IF(B894&gt;=in_marketplace_from,d_hz_shop*G894,0))</f>
        <v/>
      </c>
      <c r="AW895" s="46">
        <f>AV895*IF(B895&gt;=in_marketplace_from,d_hz_shop*G895,0)</f>
        <v/>
      </c>
      <c r="AX895" s="14">
        <f>F895*AW895*in_shop_ticket*in_shop_comm*in_ins_partner_share+F895*in_shop_ticket*in_shop_renew_comm*in_ins_partner_share*(in_shop_renew^1*SUMIFS(AW886:AW928,B886:B928,B895-12)+in_shop_renew^2*SUMIFS(AW886:AW928,B886:B928,B895-24)+in_shop_renew^3*SUMIFS(AW886:AW928,B886:B928,B895-36)+in_shop_renew^4*SUMIFS(AW886:AW928,B886:B928,B895-48))</f>
        <v/>
      </c>
      <c r="AY895" s="40">
        <f>AY894*(1-IF(B894&gt;=in_marketplace_from,d_hz_sip*G894,0))</f>
        <v/>
      </c>
      <c r="AZ895" s="40">
        <f>AZ894*d_rho_sip+AY895*IF(B895&gt;=in_marketplace_from,d_hz_sip*G895,0)</f>
        <v/>
      </c>
      <c r="BA895" s="40">
        <f>d_rho_sip*(BA894+AZ894)</f>
        <v/>
      </c>
      <c r="BB895" s="14">
        <f>F895*in_sip_ticket*(BA895+0.5*AZ895)*in_sip_comm/12</f>
        <v/>
      </c>
      <c r="BC895" s="40">
        <f>BC894*(1-IF(B894&gt;=in_marketplace_from,d_hz_choti*G894,0))</f>
        <v/>
      </c>
      <c r="BD895" s="46">
        <f>BC895*IF(B895&gt;=in_marketplace_from,d_hz_choti*G895,0)</f>
        <v/>
      </c>
      <c r="BE895" s="14">
        <f>F895*SUMIFS(BD886:BD928,B886:B928,B895-in_choti_months)*in_choti_renew*in_choti_ticket</f>
        <v/>
      </c>
      <c r="BF895" s="40">
        <f>BF894*(1-IF(B894&gt;=in_marketplace_from,d_hz_nps*G894,0))</f>
        <v/>
      </c>
      <c r="BG895" s="14">
        <f>F895*BF895*IF(B895&gt;=in_marketplace_from,d_hz_nps*G895,0)*in_nps_ticket*in_nps_comm</f>
        <v/>
      </c>
      <c r="BH895" s="40">
        <f>BH894*(1-IF(B894&gt;=in_marketplace_from,d_hz_gold*G894,0))</f>
        <v/>
      </c>
      <c r="BI895" s="40">
        <f>BI894*d_rho_gold+BH895*IF(B895&gt;=in_marketplace_from,d_hz_gold*G895,0)</f>
        <v/>
      </c>
      <c r="BJ895" s="14">
        <f>F895*BI895*in_gold_ticket*in_gold_comm</f>
        <v/>
      </c>
      <c r="BK895" s="40">
        <f>BK894*(1-IF(B894&gt;=in_marketplace_from,d_hz_fd*G894,0))</f>
        <v/>
      </c>
      <c r="BL895" s="14">
        <f>F895*BK895*IF(B895&gt;=in_marketplace_from,d_hz_fd*G895,0)*in_fd_ticket*in_fd_comm</f>
        <v/>
      </c>
      <c r="BM895" s="40">
        <f>BM894*(1-IF(B894&gt;=in_marketplace_from,d_hz_recharge*G894,0))</f>
        <v/>
      </c>
      <c r="BN895" s="40">
        <f>BN894*d_rho_recharge+BM895*IF(B895&gt;=in_marketplace_from,d_hz_recharge*G895,0)</f>
        <v/>
      </c>
      <c r="BO895" s="14">
        <f>F895*BN895*in_recharge_ticket*in_recharge_comm/12</f>
        <v/>
      </c>
      <c r="BP895" s="40">
        <f>BP894*(1-IF(B894&gt;=in_marketplace_from,d_hz_bills*G894,0))</f>
        <v/>
      </c>
      <c r="BQ895" s="40">
        <f>BQ894*d_rho_bills+BP895*IF(B895&gt;=in_marketplace_from,d_hz_bills*G895,0)</f>
        <v/>
      </c>
      <c r="BR895" s="14">
        <f>F895*BQ895*in_bills_ticket*in_bills_comm/12</f>
        <v/>
      </c>
      <c r="BS895" s="40">
        <f>BS894*(1-IF(B894&gt;=in_marketplace_from,d_hz_loan_gold*G894,0))</f>
        <v/>
      </c>
      <c r="BT895" s="14">
        <f>F895*BS895*IF(B895&gt;=in_marketplace_from,d_hz_loan_gold*G895,0)*in_loan_gold_ticket*in_loan_gold_comm</f>
        <v/>
      </c>
      <c r="BU895" s="40">
        <f>BU894*(1-IF(B894&gt;=in_marketplace_from,d_hz_loan_cd*G894,0))</f>
        <v/>
      </c>
      <c r="BV895" s="14">
        <f>F895*BU895*IF(B895&gt;=in_marketplace_from,d_hz_loan_cd*G895,0)*in_loan_cd_ticket*in_loan_cd_comm</f>
        <v/>
      </c>
      <c r="BW895" s="40">
        <f>BW894*(1-IF(B894&gt;=in_marketplace_from,d_hz_loan_vehicle*G894,0))</f>
        <v/>
      </c>
      <c r="BX895" s="14">
        <f>F895*BW895*IF(B895&gt;=in_marketplace_from,d_hz_loan_vehicle*G895,0)*in_loan_vehicle_ticket*in_loan_vehicle_comm</f>
        <v/>
      </c>
      <c r="BY895" s="40">
        <f>BY894*(1-IF(B894&gt;=in_marketplace_from,d_hz_loan_home*G894,0)*BZ894)</f>
        <v/>
      </c>
      <c r="BZ895" s="11">
        <f>MIN(in_approval_cap,in_loan_home_approval*INDEX('Age profile'!$O$2:$O$61,B895)*(1+in_approval_growth)^(D895-1))</f>
        <v/>
      </c>
      <c r="CA895" s="14">
        <f>F895*BY895*IF(B895&gt;=in_marketplace_from,d_hz_loan_home*G895,0)*BZ895*in_loan_home_ticket*in_loan_home_comm</f>
        <v/>
      </c>
      <c r="CB895" s="40">
        <f>CB894*(1-IF(B894&gt;=in_marketplace_from,d_hz_loan_lap*G894,0)*CC894)</f>
        <v/>
      </c>
      <c r="CC895" s="11">
        <f>MIN(in_approval_cap,in_loan_lap_approval*INDEX('Age profile'!$O$2:$O$61,B895)*(1+in_approval_growth)^(D895-1))</f>
        <v/>
      </c>
      <c r="CD895" s="14">
        <f>F895*CB895*IF(B895&gt;=in_marketplace_from,d_hz_loan_lap*G895,0)*CC895*in_loan_lap_ticket*in_loan_lap_comm</f>
        <v/>
      </c>
      <c r="CE895" s="14">
        <f>AA895+AB895+AC895+AD895+AG895+AJ895+AM895+AP895+AS895+AU895+AX895+BB895+BE895+BG895+BJ895+BL895+BO895+BR895+BT895+BV895+BX895+CA895+CD895</f>
        <v/>
      </c>
    </row>
    <row r="896">
      <c r="A896" s="39" t="n">
        <v>18</v>
      </c>
      <c r="B896" s="39" t="n">
        <v>11</v>
      </c>
      <c r="C896" s="39">
        <f>A896+B896-1</f>
        <v/>
      </c>
      <c r="D896" s="39">
        <f>INT((C896-1)/12)+1</f>
        <v/>
      </c>
      <c r="E896" s="44">
        <f>INDEX(Monthly!$B$2:$B$61,A896)</f>
        <v/>
      </c>
      <c r="F896" s="44">
        <f>E896*INDEX('Age profile'!$B$2:$B$61,B896)</f>
        <v/>
      </c>
      <c r="G896" s="45">
        <f>MIN(in_takeup_cap,INDEX('Age profile'!$N$2:$N$61,B896)*(1+in_takeup_growth)^(D896-1))</f>
        <v/>
      </c>
      <c r="H896" s="11">
        <f>MIN(in_approval_cap,in_approved_first*INDEX('Age profile'!$O$2:$O$61,B896)*(1+in_approval_growth)^(D896-1))</f>
        <v/>
      </c>
      <c r="I896" s="45">
        <f>G896*MIN(in_takeup_cap,INDEX('Age profile'!$O$2:$O$61,B896)*(1+in_approval_growth)^(D896-1))</f>
        <v/>
      </c>
      <c r="J896" s="40">
        <f>(J895-L895)*F896/F895</f>
        <v/>
      </c>
      <c r="K896" s="40">
        <f>(K895-M895)*F896/F895+SUMIFS(O886:O895,B886:B895,B896-1-d_T)*F896</f>
        <v/>
      </c>
      <c r="L896" s="40">
        <f>IF(B896&gt;=in_marketplace_from,J896*d_hz*G896*in_eligible*H896,0)</f>
        <v/>
      </c>
      <c r="M896" s="40">
        <f>IF(B896&gt;=in_marketplace_from,K896*d_hz*G896*in_eligible*in_approved_repeat,0)</f>
        <v/>
      </c>
      <c r="N896" s="40">
        <f>L896+M896</f>
        <v/>
      </c>
      <c r="O896" s="46">
        <f>N896/F896</f>
        <v/>
      </c>
      <c r="P896" s="40">
        <f>F896-J896-K896</f>
        <v/>
      </c>
      <c r="Q896" s="40">
        <f>IF(B896&gt;=in_marketplace_from,(J896+K896)*d_hz*G896,0)</f>
        <v/>
      </c>
      <c r="R896" s="40">
        <f>SUMIFS(N886:N928,B886:B928,"&gt;="&amp;(B896-d_T),B886:B928,"&lt;="&amp;(B896-1))</f>
        <v/>
      </c>
      <c r="S896" s="46">
        <f>(1-d_u)*S895+IF(d_T&gt;in_topup_lag,SUMIFS(O886:O928,B886:B928,B896-in_topup_lag)-d_udrop*SUMIFS(O886:O928,B886:B928,B896-d_T),0)</f>
        <v/>
      </c>
      <c r="T896" s="40">
        <f>F896*d_u*S896</f>
        <v/>
      </c>
      <c r="U896" s="9">
        <f>L896*in_ticket+M896*d_rep_ticket</f>
        <v/>
      </c>
      <c r="V896" s="9">
        <f>U896+T896*d_topup_amt</f>
        <v/>
      </c>
      <c r="W896" s="40">
        <f>N896+T896*d_topup_ratio</f>
        <v/>
      </c>
      <c r="X896" s="40">
        <f>SUMIFS(W886:W928,B886:B928,B896-in_dpd_lag)*d_cured</f>
        <v/>
      </c>
      <c r="Y896" s="40">
        <f>SUMIFS(W886:W928,B886:B928,B896-in_rec_lag)*d_recd</f>
        <v/>
      </c>
      <c r="Z896" s="40">
        <f>IF(AND(B896&gt;=in_marketplace_from,B896&lt;in_marketplace_from+in_card_months),in_card_share/in_card_months*F896*I896,IF(AND(B896&gt;=in_marketplace_from+in_card_months,B896&lt;in_marketplace_from+2*in_card_months),in_card_share*d_card_rem/in_card_months*F896*MIN(in_takeup_cap,(1+in_takeup_growth)^(D896-1))*MIN(in_takeup_cap,(1+in_approval_growth)^(D896-1)),0))</f>
        <v/>
      </c>
      <c r="AA896" s="14">
        <f>V896*in_fee*(1-in_taken_back)</f>
        <v/>
      </c>
      <c r="AB896" s="14">
        <f>SUMIFS(W886:W928,B886:B928,B896-in_dpd_lag)*d_dpd</f>
        <v/>
      </c>
      <c r="AC896" s="14">
        <f>SUMIFS(W886:W928,B886:B928,B896-in_rec_lag)*d_rec</f>
        <v/>
      </c>
      <c r="AD896" s="14">
        <f>Z896*in_card_fee</f>
        <v/>
      </c>
      <c r="AE896" s="40">
        <f>AE895*(1-IF(B895&gt;=in_marketplace_from,d_hz_hlth_small*G895,0))</f>
        <v/>
      </c>
      <c r="AF896" s="46">
        <f>AE896*IF(B896&gt;=in_marketplace_from,d_hz_hlth_small*G896,0)</f>
        <v/>
      </c>
      <c r="AG896" s="14">
        <f>F896*AF896*in_hlth_small_ticket*in_hlth_small_comm*in_ins_partner_share+F896*in_hlth_small_ticket*in_hlth_small_renew_comm*in_ins_partner_share*(in_hlth_small_renew^1*SUMIFS(AF886:AF928,B886:B928,B896-12)+in_hlth_small_renew^2*SUMIFS(AF886:AF928,B886:B928,B896-24)+in_hlth_small_renew^3*SUMIFS(AF886:AF928,B886:B928,B896-36)+in_hlth_small_renew^4*SUMIFS(AF886:AF928,B886:B928,B896-48))</f>
        <v/>
      </c>
      <c r="AH896" s="40">
        <f>AH895*(1-IF(B895&gt;=in_marketplace_from,d_hz_hlth_family*G895,0))</f>
        <v/>
      </c>
      <c r="AI896" s="46">
        <f>AH896*IF(B896&gt;=in_marketplace_from,d_hz_hlth_family*G896,0)</f>
        <v/>
      </c>
      <c r="AJ896" s="14">
        <f>F896*AI896*in_hlth_family_ticket*in_hlth_family_comm*in_ins_partner_share+F896*in_hlth_family_ticket*in_hlth_family_renew_comm*in_ins_partner_share*(in_hlth_family_renew^1*SUMIFS(AI886:AI928,B886:B928,B896-12)+in_hlth_family_renew^2*SUMIFS(AI886:AI928,B886:B928,B896-24)+in_hlth_family_renew^3*SUMIFS(AI886:AI928,B886:B928,B896-36)+in_hlth_family_renew^4*SUMIFS(AI886:AI928,B886:B928,B896-48))</f>
        <v/>
      </c>
      <c r="AK896" s="40">
        <f>AK895*(1-IF(B895&gt;=in_marketplace_from,d_hz_life_term*G895,0))</f>
        <v/>
      </c>
      <c r="AL896" s="46">
        <f>AK896*IF(B896&gt;=in_marketplace_from,d_hz_life_term*G896,0)</f>
        <v/>
      </c>
      <c r="AM896" s="14">
        <f>F896*AL896*in_life_term_ticket*in_life_term_comm*in_ins_partner_share+F896*in_life_term_ticket*in_life_term_renew_comm*in_ins_partner_share*(in_life_term_renew^1*SUMIFS(AL886:AL928,B886:B928,B896-12)+in_life_term_renew^2*SUMIFS(AL886:AL928,B886:B928,B896-24)+in_life_term_renew^3*SUMIFS(AL886:AL928,B886:B928,B896-36)+in_life_term_renew^4*SUMIFS(AL886:AL928,B886:B928,B896-48))</f>
        <v/>
      </c>
      <c r="AN896" s="40">
        <f>AN895*(1-IF(B895&gt;=in_marketplace_from,d_hz_accident*G895,0))</f>
        <v/>
      </c>
      <c r="AO896" s="46">
        <f>AN896*IF(B896&gt;=in_marketplace_from,d_hz_accident*G896,0)</f>
        <v/>
      </c>
      <c r="AP896" s="14">
        <f>F896*AO896*in_accident_ticket*in_accident_comm*in_ins_partner_share+F896*in_accident_ticket*in_accident_renew_comm*in_ins_partner_share*(in_accident_renew^1*SUMIFS(AO886:AO928,B886:B928,B896-12)+in_accident_renew^2*SUMIFS(AO886:AO928,B886:B928,B896-24)+in_accident_renew^3*SUMIFS(AO886:AO928,B886:B928,B896-36)+in_accident_renew^4*SUMIFS(AO886:AO928,B886:B928,B896-48))</f>
        <v/>
      </c>
      <c r="AQ896" s="40">
        <f>AQ895*(1-IF(B895&gt;=in_marketplace_from,d_hz_two_wheeler*G895,0))</f>
        <v/>
      </c>
      <c r="AR896" s="46">
        <f>AQ896*IF(B896&gt;=in_marketplace_from,d_hz_two_wheeler*G896,0)</f>
        <v/>
      </c>
      <c r="AS896" s="14">
        <f>F896*AR896*in_two_wheeler_ticket*in_two_wheeler_comm*in_ins_partner_share+F896*in_two_wheeler_ticket*in_two_wheeler_comm*in_ins_partner_share*(in_two_wheeler_renew^1*SUMIFS(AR886:AR928,B886:B928,B896-12)+in_two_wheeler_renew^2*SUMIFS(AR886:AR928,B886:B928,B896-24)+in_two_wheeler_renew^3*SUMIFS(AR886:AR928,B886:B928,B896-36)+in_two_wheeler_renew^4*SUMIFS(AR886:AR928,B886:B928,B896-48))</f>
        <v/>
      </c>
      <c r="AT896" s="40">
        <f>AT895*(1-IF(B895&gt;=in_marketplace_from,d_hz_device*G895,0))</f>
        <v/>
      </c>
      <c r="AU896" s="14">
        <f>F896*AT896*IF(B896&gt;=in_marketplace_from,d_hz_device*G896,0)*in_device_ticket*in_device_comm*in_ins_partner_share</f>
        <v/>
      </c>
      <c r="AV896" s="40">
        <f>AV895*(1-IF(B895&gt;=in_marketplace_from,d_hz_shop*G895,0))</f>
        <v/>
      </c>
      <c r="AW896" s="46">
        <f>AV896*IF(B896&gt;=in_marketplace_from,d_hz_shop*G896,0)</f>
        <v/>
      </c>
      <c r="AX896" s="14">
        <f>F896*AW896*in_shop_ticket*in_shop_comm*in_ins_partner_share+F896*in_shop_ticket*in_shop_renew_comm*in_ins_partner_share*(in_shop_renew^1*SUMIFS(AW886:AW928,B886:B928,B896-12)+in_shop_renew^2*SUMIFS(AW886:AW928,B886:B928,B896-24)+in_shop_renew^3*SUMIFS(AW886:AW928,B886:B928,B896-36)+in_shop_renew^4*SUMIFS(AW886:AW928,B886:B928,B896-48))</f>
        <v/>
      </c>
      <c r="AY896" s="40">
        <f>AY895*(1-IF(B895&gt;=in_marketplace_from,d_hz_sip*G895,0))</f>
        <v/>
      </c>
      <c r="AZ896" s="40">
        <f>AZ895*d_rho_sip+AY896*IF(B896&gt;=in_marketplace_from,d_hz_sip*G896,0)</f>
        <v/>
      </c>
      <c r="BA896" s="40">
        <f>d_rho_sip*(BA895+AZ895)</f>
        <v/>
      </c>
      <c r="BB896" s="14">
        <f>F896*in_sip_ticket*(BA896+0.5*AZ896)*in_sip_comm/12</f>
        <v/>
      </c>
      <c r="BC896" s="40">
        <f>BC895*(1-IF(B895&gt;=in_marketplace_from,d_hz_choti*G895,0))</f>
        <v/>
      </c>
      <c r="BD896" s="46">
        <f>BC896*IF(B896&gt;=in_marketplace_from,d_hz_choti*G896,0)</f>
        <v/>
      </c>
      <c r="BE896" s="14">
        <f>F896*SUMIFS(BD886:BD928,B886:B928,B896-in_choti_months)*in_choti_renew*in_choti_ticket</f>
        <v/>
      </c>
      <c r="BF896" s="40">
        <f>BF895*(1-IF(B895&gt;=in_marketplace_from,d_hz_nps*G895,0))</f>
        <v/>
      </c>
      <c r="BG896" s="14">
        <f>F896*BF896*IF(B896&gt;=in_marketplace_from,d_hz_nps*G896,0)*in_nps_ticket*in_nps_comm</f>
        <v/>
      </c>
      <c r="BH896" s="40">
        <f>BH895*(1-IF(B895&gt;=in_marketplace_from,d_hz_gold*G895,0))</f>
        <v/>
      </c>
      <c r="BI896" s="40">
        <f>BI895*d_rho_gold+BH896*IF(B896&gt;=in_marketplace_from,d_hz_gold*G896,0)</f>
        <v/>
      </c>
      <c r="BJ896" s="14">
        <f>F896*BI896*in_gold_ticket*in_gold_comm</f>
        <v/>
      </c>
      <c r="BK896" s="40">
        <f>BK895*(1-IF(B895&gt;=in_marketplace_from,d_hz_fd*G895,0))</f>
        <v/>
      </c>
      <c r="BL896" s="14">
        <f>F896*BK896*IF(B896&gt;=in_marketplace_from,d_hz_fd*G896,0)*in_fd_ticket*in_fd_comm</f>
        <v/>
      </c>
      <c r="BM896" s="40">
        <f>BM895*(1-IF(B895&gt;=in_marketplace_from,d_hz_recharge*G895,0))</f>
        <v/>
      </c>
      <c r="BN896" s="40">
        <f>BN895*d_rho_recharge+BM896*IF(B896&gt;=in_marketplace_from,d_hz_recharge*G896,0)</f>
        <v/>
      </c>
      <c r="BO896" s="14">
        <f>F896*BN896*in_recharge_ticket*in_recharge_comm/12</f>
        <v/>
      </c>
      <c r="BP896" s="40">
        <f>BP895*(1-IF(B895&gt;=in_marketplace_from,d_hz_bills*G895,0))</f>
        <v/>
      </c>
      <c r="BQ896" s="40">
        <f>BQ895*d_rho_bills+BP896*IF(B896&gt;=in_marketplace_from,d_hz_bills*G896,0)</f>
        <v/>
      </c>
      <c r="BR896" s="14">
        <f>F896*BQ896*in_bills_ticket*in_bills_comm/12</f>
        <v/>
      </c>
      <c r="BS896" s="40">
        <f>BS895*(1-IF(B895&gt;=in_marketplace_from,d_hz_loan_gold*G895,0))</f>
        <v/>
      </c>
      <c r="BT896" s="14">
        <f>F896*BS896*IF(B896&gt;=in_marketplace_from,d_hz_loan_gold*G896,0)*in_loan_gold_ticket*in_loan_gold_comm</f>
        <v/>
      </c>
      <c r="BU896" s="40">
        <f>BU895*(1-IF(B895&gt;=in_marketplace_from,d_hz_loan_cd*G895,0))</f>
        <v/>
      </c>
      <c r="BV896" s="14">
        <f>F896*BU896*IF(B896&gt;=in_marketplace_from,d_hz_loan_cd*G896,0)*in_loan_cd_ticket*in_loan_cd_comm</f>
        <v/>
      </c>
      <c r="BW896" s="40">
        <f>BW895*(1-IF(B895&gt;=in_marketplace_from,d_hz_loan_vehicle*G895,0))</f>
        <v/>
      </c>
      <c r="BX896" s="14">
        <f>F896*BW896*IF(B896&gt;=in_marketplace_from,d_hz_loan_vehicle*G896,0)*in_loan_vehicle_ticket*in_loan_vehicle_comm</f>
        <v/>
      </c>
      <c r="BY896" s="40">
        <f>BY895*(1-IF(B895&gt;=in_marketplace_from,d_hz_loan_home*G895,0)*BZ895)</f>
        <v/>
      </c>
      <c r="BZ896" s="11">
        <f>MIN(in_approval_cap,in_loan_home_approval*INDEX('Age profile'!$O$2:$O$61,B896)*(1+in_approval_growth)^(D896-1))</f>
        <v/>
      </c>
      <c r="CA896" s="14">
        <f>F896*BY896*IF(B896&gt;=in_marketplace_from,d_hz_loan_home*G896,0)*BZ896*in_loan_home_ticket*in_loan_home_comm</f>
        <v/>
      </c>
      <c r="CB896" s="40">
        <f>CB895*(1-IF(B895&gt;=in_marketplace_from,d_hz_loan_lap*G895,0)*CC895)</f>
        <v/>
      </c>
      <c r="CC896" s="11">
        <f>MIN(in_approval_cap,in_loan_lap_approval*INDEX('Age profile'!$O$2:$O$61,B896)*(1+in_approval_growth)^(D896-1))</f>
        <v/>
      </c>
      <c r="CD896" s="14">
        <f>F896*CB896*IF(B896&gt;=in_marketplace_from,d_hz_loan_lap*G896,0)*CC896*in_loan_lap_ticket*in_loan_lap_comm</f>
        <v/>
      </c>
      <c r="CE896" s="14">
        <f>AA896+AB896+AC896+AD896+AG896+AJ896+AM896+AP896+AS896+AU896+AX896+BB896+BE896+BG896+BJ896+BL896+BO896+BR896+BT896+BV896+BX896+CA896+CD896</f>
        <v/>
      </c>
    </row>
    <row r="897">
      <c r="A897" s="39" t="n">
        <v>18</v>
      </c>
      <c r="B897" s="39" t="n">
        <v>12</v>
      </c>
      <c r="C897" s="39">
        <f>A897+B897-1</f>
        <v/>
      </c>
      <c r="D897" s="39">
        <f>INT((C897-1)/12)+1</f>
        <v/>
      </c>
      <c r="E897" s="44">
        <f>INDEX(Monthly!$B$2:$B$61,A897)</f>
        <v/>
      </c>
      <c r="F897" s="44">
        <f>E897*INDEX('Age profile'!$B$2:$B$61,B897)</f>
        <v/>
      </c>
      <c r="G897" s="45">
        <f>MIN(in_takeup_cap,INDEX('Age profile'!$N$2:$N$61,B897)*(1+in_takeup_growth)^(D897-1))</f>
        <v/>
      </c>
      <c r="H897" s="11">
        <f>MIN(in_approval_cap,in_approved_first*INDEX('Age profile'!$O$2:$O$61,B897)*(1+in_approval_growth)^(D897-1))</f>
        <v/>
      </c>
      <c r="I897" s="45">
        <f>G897*MIN(in_takeup_cap,INDEX('Age profile'!$O$2:$O$61,B897)*(1+in_approval_growth)^(D897-1))</f>
        <v/>
      </c>
      <c r="J897" s="40">
        <f>(J896-L896)*F897/F896</f>
        <v/>
      </c>
      <c r="K897" s="40">
        <f>(K896-M896)*F897/F896+SUMIFS(O886:O896,B886:B896,B897-1-d_T)*F897</f>
        <v/>
      </c>
      <c r="L897" s="40">
        <f>IF(B897&gt;=in_marketplace_from,J897*d_hz*G897*in_eligible*H897,0)</f>
        <v/>
      </c>
      <c r="M897" s="40">
        <f>IF(B897&gt;=in_marketplace_from,K897*d_hz*G897*in_eligible*in_approved_repeat,0)</f>
        <v/>
      </c>
      <c r="N897" s="40">
        <f>L897+M897</f>
        <v/>
      </c>
      <c r="O897" s="46">
        <f>N897/F897</f>
        <v/>
      </c>
      <c r="P897" s="40">
        <f>F897-J897-K897</f>
        <v/>
      </c>
      <c r="Q897" s="40">
        <f>IF(B897&gt;=in_marketplace_from,(J897+K897)*d_hz*G897,0)</f>
        <v/>
      </c>
      <c r="R897" s="40">
        <f>SUMIFS(N886:N928,B886:B928,"&gt;="&amp;(B897-d_T),B886:B928,"&lt;="&amp;(B897-1))</f>
        <v/>
      </c>
      <c r="S897" s="46">
        <f>(1-d_u)*S896+IF(d_T&gt;in_topup_lag,SUMIFS(O886:O928,B886:B928,B897-in_topup_lag)-d_udrop*SUMIFS(O886:O928,B886:B928,B897-d_T),0)</f>
        <v/>
      </c>
      <c r="T897" s="40">
        <f>F897*d_u*S897</f>
        <v/>
      </c>
      <c r="U897" s="9">
        <f>L897*in_ticket+M897*d_rep_ticket</f>
        <v/>
      </c>
      <c r="V897" s="9">
        <f>U897+T897*d_topup_amt</f>
        <v/>
      </c>
      <c r="W897" s="40">
        <f>N897+T897*d_topup_ratio</f>
        <v/>
      </c>
      <c r="X897" s="40">
        <f>SUMIFS(W886:W928,B886:B928,B897-in_dpd_lag)*d_cured</f>
        <v/>
      </c>
      <c r="Y897" s="40">
        <f>SUMIFS(W886:W928,B886:B928,B897-in_rec_lag)*d_recd</f>
        <v/>
      </c>
      <c r="Z897" s="40">
        <f>IF(AND(B897&gt;=in_marketplace_from,B897&lt;in_marketplace_from+in_card_months),in_card_share/in_card_months*F897*I897,IF(AND(B897&gt;=in_marketplace_from+in_card_months,B897&lt;in_marketplace_from+2*in_card_months),in_card_share*d_card_rem/in_card_months*F897*MIN(in_takeup_cap,(1+in_takeup_growth)^(D897-1))*MIN(in_takeup_cap,(1+in_approval_growth)^(D897-1)),0))</f>
        <v/>
      </c>
      <c r="AA897" s="14">
        <f>V897*in_fee*(1-in_taken_back)</f>
        <v/>
      </c>
      <c r="AB897" s="14">
        <f>SUMIFS(W886:W928,B886:B928,B897-in_dpd_lag)*d_dpd</f>
        <v/>
      </c>
      <c r="AC897" s="14">
        <f>SUMIFS(W886:W928,B886:B928,B897-in_rec_lag)*d_rec</f>
        <v/>
      </c>
      <c r="AD897" s="14">
        <f>Z897*in_card_fee</f>
        <v/>
      </c>
      <c r="AE897" s="40">
        <f>AE896*(1-IF(B896&gt;=in_marketplace_from,d_hz_hlth_small*G896,0))</f>
        <v/>
      </c>
      <c r="AF897" s="46">
        <f>AE897*IF(B897&gt;=in_marketplace_from,d_hz_hlth_small*G897,0)</f>
        <v/>
      </c>
      <c r="AG897" s="14">
        <f>F897*AF897*in_hlth_small_ticket*in_hlth_small_comm*in_ins_partner_share+F897*in_hlth_small_ticket*in_hlth_small_renew_comm*in_ins_partner_share*(in_hlth_small_renew^1*SUMIFS(AF886:AF928,B886:B928,B897-12)+in_hlth_small_renew^2*SUMIFS(AF886:AF928,B886:B928,B897-24)+in_hlth_small_renew^3*SUMIFS(AF886:AF928,B886:B928,B897-36)+in_hlth_small_renew^4*SUMIFS(AF886:AF928,B886:B928,B897-48))</f>
        <v/>
      </c>
      <c r="AH897" s="40">
        <f>AH896*(1-IF(B896&gt;=in_marketplace_from,d_hz_hlth_family*G896,0))</f>
        <v/>
      </c>
      <c r="AI897" s="46">
        <f>AH897*IF(B897&gt;=in_marketplace_from,d_hz_hlth_family*G897,0)</f>
        <v/>
      </c>
      <c r="AJ897" s="14">
        <f>F897*AI897*in_hlth_family_ticket*in_hlth_family_comm*in_ins_partner_share+F897*in_hlth_family_ticket*in_hlth_family_renew_comm*in_ins_partner_share*(in_hlth_family_renew^1*SUMIFS(AI886:AI928,B886:B928,B897-12)+in_hlth_family_renew^2*SUMIFS(AI886:AI928,B886:B928,B897-24)+in_hlth_family_renew^3*SUMIFS(AI886:AI928,B886:B928,B897-36)+in_hlth_family_renew^4*SUMIFS(AI886:AI928,B886:B928,B897-48))</f>
        <v/>
      </c>
      <c r="AK897" s="40">
        <f>AK896*(1-IF(B896&gt;=in_marketplace_from,d_hz_life_term*G896,0))</f>
        <v/>
      </c>
      <c r="AL897" s="46">
        <f>AK897*IF(B897&gt;=in_marketplace_from,d_hz_life_term*G897,0)</f>
        <v/>
      </c>
      <c r="AM897" s="14">
        <f>F897*AL897*in_life_term_ticket*in_life_term_comm*in_ins_partner_share+F897*in_life_term_ticket*in_life_term_renew_comm*in_ins_partner_share*(in_life_term_renew^1*SUMIFS(AL886:AL928,B886:B928,B897-12)+in_life_term_renew^2*SUMIFS(AL886:AL928,B886:B928,B897-24)+in_life_term_renew^3*SUMIFS(AL886:AL928,B886:B928,B897-36)+in_life_term_renew^4*SUMIFS(AL886:AL928,B886:B928,B897-48))</f>
        <v/>
      </c>
      <c r="AN897" s="40">
        <f>AN896*(1-IF(B896&gt;=in_marketplace_from,d_hz_accident*G896,0))</f>
        <v/>
      </c>
      <c r="AO897" s="46">
        <f>AN897*IF(B897&gt;=in_marketplace_from,d_hz_accident*G897,0)</f>
        <v/>
      </c>
      <c r="AP897" s="14">
        <f>F897*AO897*in_accident_ticket*in_accident_comm*in_ins_partner_share+F897*in_accident_ticket*in_accident_renew_comm*in_ins_partner_share*(in_accident_renew^1*SUMIFS(AO886:AO928,B886:B928,B897-12)+in_accident_renew^2*SUMIFS(AO886:AO928,B886:B928,B897-24)+in_accident_renew^3*SUMIFS(AO886:AO928,B886:B928,B897-36)+in_accident_renew^4*SUMIFS(AO886:AO928,B886:B928,B897-48))</f>
        <v/>
      </c>
      <c r="AQ897" s="40">
        <f>AQ896*(1-IF(B896&gt;=in_marketplace_from,d_hz_two_wheeler*G896,0))</f>
        <v/>
      </c>
      <c r="AR897" s="46">
        <f>AQ897*IF(B897&gt;=in_marketplace_from,d_hz_two_wheeler*G897,0)</f>
        <v/>
      </c>
      <c r="AS897" s="14">
        <f>F897*AR897*in_two_wheeler_ticket*in_two_wheeler_comm*in_ins_partner_share+F897*in_two_wheeler_ticket*in_two_wheeler_comm*in_ins_partner_share*(in_two_wheeler_renew^1*SUMIFS(AR886:AR928,B886:B928,B897-12)+in_two_wheeler_renew^2*SUMIFS(AR886:AR928,B886:B928,B897-24)+in_two_wheeler_renew^3*SUMIFS(AR886:AR928,B886:B928,B897-36)+in_two_wheeler_renew^4*SUMIFS(AR886:AR928,B886:B928,B897-48))</f>
        <v/>
      </c>
      <c r="AT897" s="40">
        <f>AT896*(1-IF(B896&gt;=in_marketplace_from,d_hz_device*G896,0))</f>
        <v/>
      </c>
      <c r="AU897" s="14">
        <f>F897*AT897*IF(B897&gt;=in_marketplace_from,d_hz_device*G897,0)*in_device_ticket*in_device_comm*in_ins_partner_share</f>
        <v/>
      </c>
      <c r="AV897" s="40">
        <f>AV896*(1-IF(B896&gt;=in_marketplace_from,d_hz_shop*G896,0))</f>
        <v/>
      </c>
      <c r="AW897" s="46">
        <f>AV897*IF(B897&gt;=in_marketplace_from,d_hz_shop*G897,0)</f>
        <v/>
      </c>
      <c r="AX897" s="14">
        <f>F897*AW897*in_shop_ticket*in_shop_comm*in_ins_partner_share+F897*in_shop_ticket*in_shop_renew_comm*in_ins_partner_share*(in_shop_renew^1*SUMIFS(AW886:AW928,B886:B928,B897-12)+in_shop_renew^2*SUMIFS(AW886:AW928,B886:B928,B897-24)+in_shop_renew^3*SUMIFS(AW886:AW928,B886:B928,B897-36)+in_shop_renew^4*SUMIFS(AW886:AW928,B886:B928,B897-48))</f>
        <v/>
      </c>
      <c r="AY897" s="40">
        <f>AY896*(1-IF(B896&gt;=in_marketplace_from,d_hz_sip*G896,0))</f>
        <v/>
      </c>
      <c r="AZ897" s="40">
        <f>AZ896*d_rho_sip+AY897*IF(B897&gt;=in_marketplace_from,d_hz_sip*G897,0)</f>
        <v/>
      </c>
      <c r="BA897" s="40">
        <f>d_rho_sip*(BA896+AZ896)</f>
        <v/>
      </c>
      <c r="BB897" s="14">
        <f>F897*in_sip_ticket*(BA897+0.5*AZ897)*in_sip_comm/12</f>
        <v/>
      </c>
      <c r="BC897" s="40">
        <f>BC896*(1-IF(B896&gt;=in_marketplace_from,d_hz_choti*G896,0))</f>
        <v/>
      </c>
      <c r="BD897" s="46">
        <f>BC897*IF(B897&gt;=in_marketplace_from,d_hz_choti*G897,0)</f>
        <v/>
      </c>
      <c r="BE897" s="14">
        <f>F897*SUMIFS(BD886:BD928,B886:B928,B897-in_choti_months)*in_choti_renew*in_choti_ticket</f>
        <v/>
      </c>
      <c r="BF897" s="40">
        <f>BF896*(1-IF(B896&gt;=in_marketplace_from,d_hz_nps*G896,0))</f>
        <v/>
      </c>
      <c r="BG897" s="14">
        <f>F897*BF897*IF(B897&gt;=in_marketplace_from,d_hz_nps*G897,0)*in_nps_ticket*in_nps_comm</f>
        <v/>
      </c>
      <c r="BH897" s="40">
        <f>BH896*(1-IF(B896&gt;=in_marketplace_from,d_hz_gold*G896,0))</f>
        <v/>
      </c>
      <c r="BI897" s="40">
        <f>BI896*d_rho_gold+BH897*IF(B897&gt;=in_marketplace_from,d_hz_gold*G897,0)</f>
        <v/>
      </c>
      <c r="BJ897" s="14">
        <f>F897*BI897*in_gold_ticket*in_gold_comm</f>
        <v/>
      </c>
      <c r="BK897" s="40">
        <f>BK896*(1-IF(B896&gt;=in_marketplace_from,d_hz_fd*G896,0))</f>
        <v/>
      </c>
      <c r="BL897" s="14">
        <f>F897*BK897*IF(B897&gt;=in_marketplace_from,d_hz_fd*G897,0)*in_fd_ticket*in_fd_comm</f>
        <v/>
      </c>
      <c r="BM897" s="40">
        <f>BM896*(1-IF(B896&gt;=in_marketplace_from,d_hz_recharge*G896,0))</f>
        <v/>
      </c>
      <c r="BN897" s="40">
        <f>BN896*d_rho_recharge+BM897*IF(B897&gt;=in_marketplace_from,d_hz_recharge*G897,0)</f>
        <v/>
      </c>
      <c r="BO897" s="14">
        <f>F897*BN897*in_recharge_ticket*in_recharge_comm/12</f>
        <v/>
      </c>
      <c r="BP897" s="40">
        <f>BP896*(1-IF(B896&gt;=in_marketplace_from,d_hz_bills*G896,0))</f>
        <v/>
      </c>
      <c r="BQ897" s="40">
        <f>BQ896*d_rho_bills+BP897*IF(B897&gt;=in_marketplace_from,d_hz_bills*G897,0)</f>
        <v/>
      </c>
      <c r="BR897" s="14">
        <f>F897*BQ897*in_bills_ticket*in_bills_comm/12</f>
        <v/>
      </c>
      <c r="BS897" s="40">
        <f>BS896*(1-IF(B896&gt;=in_marketplace_from,d_hz_loan_gold*G896,0))</f>
        <v/>
      </c>
      <c r="BT897" s="14">
        <f>F897*BS897*IF(B897&gt;=in_marketplace_from,d_hz_loan_gold*G897,0)*in_loan_gold_ticket*in_loan_gold_comm</f>
        <v/>
      </c>
      <c r="BU897" s="40">
        <f>BU896*(1-IF(B896&gt;=in_marketplace_from,d_hz_loan_cd*G896,0))</f>
        <v/>
      </c>
      <c r="BV897" s="14">
        <f>F897*BU897*IF(B897&gt;=in_marketplace_from,d_hz_loan_cd*G897,0)*in_loan_cd_ticket*in_loan_cd_comm</f>
        <v/>
      </c>
      <c r="BW897" s="40">
        <f>BW896*(1-IF(B896&gt;=in_marketplace_from,d_hz_loan_vehicle*G896,0))</f>
        <v/>
      </c>
      <c r="BX897" s="14">
        <f>F897*BW897*IF(B897&gt;=in_marketplace_from,d_hz_loan_vehicle*G897,0)*in_loan_vehicle_ticket*in_loan_vehicle_comm</f>
        <v/>
      </c>
      <c r="BY897" s="40">
        <f>BY896*(1-IF(B896&gt;=in_marketplace_from,d_hz_loan_home*G896,0)*BZ896)</f>
        <v/>
      </c>
      <c r="BZ897" s="11">
        <f>MIN(in_approval_cap,in_loan_home_approval*INDEX('Age profile'!$O$2:$O$61,B897)*(1+in_approval_growth)^(D897-1))</f>
        <v/>
      </c>
      <c r="CA897" s="14">
        <f>F897*BY897*IF(B897&gt;=in_marketplace_from,d_hz_loan_home*G897,0)*BZ897*in_loan_home_ticket*in_loan_home_comm</f>
        <v/>
      </c>
      <c r="CB897" s="40">
        <f>CB896*(1-IF(B896&gt;=in_marketplace_from,d_hz_loan_lap*G896,0)*CC896)</f>
        <v/>
      </c>
      <c r="CC897" s="11">
        <f>MIN(in_approval_cap,in_loan_lap_approval*INDEX('Age profile'!$O$2:$O$61,B897)*(1+in_approval_growth)^(D897-1))</f>
        <v/>
      </c>
      <c r="CD897" s="14">
        <f>F897*CB897*IF(B897&gt;=in_marketplace_from,d_hz_loan_lap*G897,0)*CC897*in_loan_lap_ticket*in_loan_lap_comm</f>
        <v/>
      </c>
      <c r="CE897" s="14">
        <f>AA897+AB897+AC897+AD897+AG897+AJ897+AM897+AP897+AS897+AU897+AX897+BB897+BE897+BG897+BJ897+BL897+BO897+BR897+BT897+BV897+BX897+CA897+CD897</f>
        <v/>
      </c>
    </row>
    <row r="898">
      <c r="A898" s="39" t="n">
        <v>18</v>
      </c>
      <c r="B898" s="39" t="n">
        <v>13</v>
      </c>
      <c r="C898" s="39">
        <f>A898+B898-1</f>
        <v/>
      </c>
      <c r="D898" s="39">
        <f>INT((C898-1)/12)+1</f>
        <v/>
      </c>
      <c r="E898" s="44">
        <f>INDEX(Monthly!$B$2:$B$61,A898)</f>
        <v/>
      </c>
      <c r="F898" s="44">
        <f>E898*INDEX('Age profile'!$B$2:$B$61,B898)</f>
        <v/>
      </c>
      <c r="G898" s="45">
        <f>MIN(in_takeup_cap,INDEX('Age profile'!$N$2:$N$61,B898)*(1+in_takeup_growth)^(D898-1))</f>
        <v/>
      </c>
      <c r="H898" s="11">
        <f>MIN(in_approval_cap,in_approved_first*INDEX('Age profile'!$O$2:$O$61,B898)*(1+in_approval_growth)^(D898-1))</f>
        <v/>
      </c>
      <c r="I898" s="45">
        <f>G898*MIN(in_takeup_cap,INDEX('Age profile'!$O$2:$O$61,B898)*(1+in_approval_growth)^(D898-1))</f>
        <v/>
      </c>
      <c r="J898" s="40">
        <f>(J897-L897)*F898/F897</f>
        <v/>
      </c>
      <c r="K898" s="40">
        <f>(K897-M897)*F898/F897+SUMIFS(O886:O897,B886:B897,B898-1-d_T)*F898</f>
        <v/>
      </c>
      <c r="L898" s="40">
        <f>IF(B898&gt;=in_marketplace_from,J898*d_hz*G898*in_eligible*H898,0)</f>
        <v/>
      </c>
      <c r="M898" s="40">
        <f>IF(B898&gt;=in_marketplace_from,K898*d_hz*G898*in_eligible*in_approved_repeat,0)</f>
        <v/>
      </c>
      <c r="N898" s="40">
        <f>L898+M898</f>
        <v/>
      </c>
      <c r="O898" s="46">
        <f>N898/F898</f>
        <v/>
      </c>
      <c r="P898" s="40">
        <f>F898-J898-K898</f>
        <v/>
      </c>
      <c r="Q898" s="40">
        <f>IF(B898&gt;=in_marketplace_from,(J898+K898)*d_hz*G898,0)</f>
        <v/>
      </c>
      <c r="R898" s="40">
        <f>SUMIFS(N886:N928,B886:B928,"&gt;="&amp;(B898-d_T),B886:B928,"&lt;="&amp;(B898-1))</f>
        <v/>
      </c>
      <c r="S898" s="46">
        <f>(1-d_u)*S897+IF(d_T&gt;in_topup_lag,SUMIFS(O886:O928,B886:B928,B898-in_topup_lag)-d_udrop*SUMIFS(O886:O928,B886:B928,B898-d_T),0)</f>
        <v/>
      </c>
      <c r="T898" s="40">
        <f>F898*d_u*S898</f>
        <v/>
      </c>
      <c r="U898" s="9">
        <f>L898*in_ticket+M898*d_rep_ticket</f>
        <v/>
      </c>
      <c r="V898" s="9">
        <f>U898+T898*d_topup_amt</f>
        <v/>
      </c>
      <c r="W898" s="40">
        <f>N898+T898*d_topup_ratio</f>
        <v/>
      </c>
      <c r="X898" s="40">
        <f>SUMIFS(W886:W928,B886:B928,B898-in_dpd_lag)*d_cured</f>
        <v/>
      </c>
      <c r="Y898" s="40">
        <f>SUMIFS(W886:W928,B886:B928,B898-in_rec_lag)*d_recd</f>
        <v/>
      </c>
      <c r="Z898" s="40">
        <f>IF(AND(B898&gt;=in_marketplace_from,B898&lt;in_marketplace_from+in_card_months),in_card_share/in_card_months*F898*I898,IF(AND(B898&gt;=in_marketplace_from+in_card_months,B898&lt;in_marketplace_from+2*in_card_months),in_card_share*d_card_rem/in_card_months*F898*MIN(in_takeup_cap,(1+in_takeup_growth)^(D898-1))*MIN(in_takeup_cap,(1+in_approval_growth)^(D898-1)),0))</f>
        <v/>
      </c>
      <c r="AA898" s="14">
        <f>V898*in_fee*(1-in_taken_back)</f>
        <v/>
      </c>
      <c r="AB898" s="14">
        <f>SUMIFS(W886:W928,B886:B928,B898-in_dpd_lag)*d_dpd</f>
        <v/>
      </c>
      <c r="AC898" s="14">
        <f>SUMIFS(W886:W928,B886:B928,B898-in_rec_lag)*d_rec</f>
        <v/>
      </c>
      <c r="AD898" s="14">
        <f>Z898*in_card_fee</f>
        <v/>
      </c>
      <c r="AE898" s="40">
        <f>AE897*(1-IF(B897&gt;=in_marketplace_from,d_hz_hlth_small*G897,0))</f>
        <v/>
      </c>
      <c r="AF898" s="46">
        <f>AE898*IF(B898&gt;=in_marketplace_from,d_hz_hlth_small*G898,0)</f>
        <v/>
      </c>
      <c r="AG898" s="14">
        <f>F898*AF898*in_hlth_small_ticket*in_hlth_small_comm*in_ins_partner_share+F898*in_hlth_small_ticket*in_hlth_small_renew_comm*in_ins_partner_share*(in_hlth_small_renew^1*SUMIFS(AF886:AF928,B886:B928,B898-12)+in_hlth_small_renew^2*SUMIFS(AF886:AF928,B886:B928,B898-24)+in_hlth_small_renew^3*SUMIFS(AF886:AF928,B886:B928,B898-36)+in_hlth_small_renew^4*SUMIFS(AF886:AF928,B886:B928,B898-48))</f>
        <v/>
      </c>
      <c r="AH898" s="40">
        <f>AH897*(1-IF(B897&gt;=in_marketplace_from,d_hz_hlth_family*G897,0))</f>
        <v/>
      </c>
      <c r="AI898" s="46">
        <f>AH898*IF(B898&gt;=in_marketplace_from,d_hz_hlth_family*G898,0)</f>
        <v/>
      </c>
      <c r="AJ898" s="14">
        <f>F898*AI898*in_hlth_family_ticket*in_hlth_family_comm*in_ins_partner_share+F898*in_hlth_family_ticket*in_hlth_family_renew_comm*in_ins_partner_share*(in_hlth_family_renew^1*SUMIFS(AI886:AI928,B886:B928,B898-12)+in_hlth_family_renew^2*SUMIFS(AI886:AI928,B886:B928,B898-24)+in_hlth_family_renew^3*SUMIFS(AI886:AI928,B886:B928,B898-36)+in_hlth_family_renew^4*SUMIFS(AI886:AI928,B886:B928,B898-48))</f>
        <v/>
      </c>
      <c r="AK898" s="40">
        <f>AK897*(1-IF(B897&gt;=in_marketplace_from,d_hz_life_term*G897,0))</f>
        <v/>
      </c>
      <c r="AL898" s="46">
        <f>AK898*IF(B898&gt;=in_marketplace_from,d_hz_life_term*G898,0)</f>
        <v/>
      </c>
      <c r="AM898" s="14">
        <f>F898*AL898*in_life_term_ticket*in_life_term_comm*in_ins_partner_share+F898*in_life_term_ticket*in_life_term_renew_comm*in_ins_partner_share*(in_life_term_renew^1*SUMIFS(AL886:AL928,B886:B928,B898-12)+in_life_term_renew^2*SUMIFS(AL886:AL928,B886:B928,B898-24)+in_life_term_renew^3*SUMIFS(AL886:AL928,B886:B928,B898-36)+in_life_term_renew^4*SUMIFS(AL886:AL928,B886:B928,B898-48))</f>
        <v/>
      </c>
      <c r="AN898" s="40">
        <f>AN897*(1-IF(B897&gt;=in_marketplace_from,d_hz_accident*G897,0))</f>
        <v/>
      </c>
      <c r="AO898" s="46">
        <f>AN898*IF(B898&gt;=in_marketplace_from,d_hz_accident*G898,0)</f>
        <v/>
      </c>
      <c r="AP898" s="14">
        <f>F898*AO898*in_accident_ticket*in_accident_comm*in_ins_partner_share+F898*in_accident_ticket*in_accident_renew_comm*in_ins_partner_share*(in_accident_renew^1*SUMIFS(AO886:AO928,B886:B928,B898-12)+in_accident_renew^2*SUMIFS(AO886:AO928,B886:B928,B898-24)+in_accident_renew^3*SUMIFS(AO886:AO928,B886:B928,B898-36)+in_accident_renew^4*SUMIFS(AO886:AO928,B886:B928,B898-48))</f>
        <v/>
      </c>
      <c r="AQ898" s="40">
        <f>AQ897*(1-IF(B897&gt;=in_marketplace_from,d_hz_two_wheeler*G897,0))</f>
        <v/>
      </c>
      <c r="AR898" s="46">
        <f>AQ898*IF(B898&gt;=in_marketplace_from,d_hz_two_wheeler*G898,0)</f>
        <v/>
      </c>
      <c r="AS898" s="14">
        <f>F898*AR898*in_two_wheeler_ticket*in_two_wheeler_comm*in_ins_partner_share+F898*in_two_wheeler_ticket*in_two_wheeler_comm*in_ins_partner_share*(in_two_wheeler_renew^1*SUMIFS(AR886:AR928,B886:B928,B898-12)+in_two_wheeler_renew^2*SUMIFS(AR886:AR928,B886:B928,B898-24)+in_two_wheeler_renew^3*SUMIFS(AR886:AR928,B886:B928,B898-36)+in_two_wheeler_renew^4*SUMIFS(AR886:AR928,B886:B928,B898-48))</f>
        <v/>
      </c>
      <c r="AT898" s="40">
        <f>AT897*(1-IF(B897&gt;=in_marketplace_from,d_hz_device*G897,0))</f>
        <v/>
      </c>
      <c r="AU898" s="14">
        <f>F898*AT898*IF(B898&gt;=in_marketplace_from,d_hz_device*G898,0)*in_device_ticket*in_device_comm*in_ins_partner_share</f>
        <v/>
      </c>
      <c r="AV898" s="40">
        <f>AV897*(1-IF(B897&gt;=in_marketplace_from,d_hz_shop*G897,0))</f>
        <v/>
      </c>
      <c r="AW898" s="46">
        <f>AV898*IF(B898&gt;=in_marketplace_from,d_hz_shop*G898,0)</f>
        <v/>
      </c>
      <c r="AX898" s="14">
        <f>F898*AW898*in_shop_ticket*in_shop_comm*in_ins_partner_share+F898*in_shop_ticket*in_shop_renew_comm*in_ins_partner_share*(in_shop_renew^1*SUMIFS(AW886:AW928,B886:B928,B898-12)+in_shop_renew^2*SUMIFS(AW886:AW928,B886:B928,B898-24)+in_shop_renew^3*SUMIFS(AW886:AW928,B886:B928,B898-36)+in_shop_renew^4*SUMIFS(AW886:AW928,B886:B928,B898-48))</f>
        <v/>
      </c>
      <c r="AY898" s="40">
        <f>AY897*(1-IF(B897&gt;=in_marketplace_from,d_hz_sip*G897,0))</f>
        <v/>
      </c>
      <c r="AZ898" s="40">
        <f>AZ897*d_rho_sip+AY898*IF(B898&gt;=in_marketplace_from,d_hz_sip*G898,0)</f>
        <v/>
      </c>
      <c r="BA898" s="40">
        <f>d_rho_sip*(BA897+AZ897)</f>
        <v/>
      </c>
      <c r="BB898" s="14">
        <f>F898*in_sip_ticket*(BA898+0.5*AZ898)*in_sip_comm/12</f>
        <v/>
      </c>
      <c r="BC898" s="40">
        <f>BC897*(1-IF(B897&gt;=in_marketplace_from,d_hz_choti*G897,0))</f>
        <v/>
      </c>
      <c r="BD898" s="46">
        <f>BC898*IF(B898&gt;=in_marketplace_from,d_hz_choti*G898,0)</f>
        <v/>
      </c>
      <c r="BE898" s="14">
        <f>F898*SUMIFS(BD886:BD928,B886:B928,B898-in_choti_months)*in_choti_renew*in_choti_ticket</f>
        <v/>
      </c>
      <c r="BF898" s="40">
        <f>BF897*(1-IF(B897&gt;=in_marketplace_from,d_hz_nps*G897,0))</f>
        <v/>
      </c>
      <c r="BG898" s="14">
        <f>F898*BF898*IF(B898&gt;=in_marketplace_from,d_hz_nps*G898,0)*in_nps_ticket*in_nps_comm</f>
        <v/>
      </c>
      <c r="BH898" s="40">
        <f>BH897*(1-IF(B897&gt;=in_marketplace_from,d_hz_gold*G897,0))</f>
        <v/>
      </c>
      <c r="BI898" s="40">
        <f>BI897*d_rho_gold+BH898*IF(B898&gt;=in_marketplace_from,d_hz_gold*G898,0)</f>
        <v/>
      </c>
      <c r="BJ898" s="14">
        <f>F898*BI898*in_gold_ticket*in_gold_comm</f>
        <v/>
      </c>
      <c r="BK898" s="40">
        <f>BK897*(1-IF(B897&gt;=in_marketplace_from,d_hz_fd*G897,0))</f>
        <v/>
      </c>
      <c r="BL898" s="14">
        <f>F898*BK898*IF(B898&gt;=in_marketplace_from,d_hz_fd*G898,0)*in_fd_ticket*in_fd_comm</f>
        <v/>
      </c>
      <c r="BM898" s="40">
        <f>BM897*(1-IF(B897&gt;=in_marketplace_from,d_hz_recharge*G897,0))</f>
        <v/>
      </c>
      <c r="BN898" s="40">
        <f>BN897*d_rho_recharge+BM898*IF(B898&gt;=in_marketplace_from,d_hz_recharge*G898,0)</f>
        <v/>
      </c>
      <c r="BO898" s="14">
        <f>F898*BN898*in_recharge_ticket*in_recharge_comm/12</f>
        <v/>
      </c>
      <c r="BP898" s="40">
        <f>BP897*(1-IF(B897&gt;=in_marketplace_from,d_hz_bills*G897,0))</f>
        <v/>
      </c>
      <c r="BQ898" s="40">
        <f>BQ897*d_rho_bills+BP898*IF(B898&gt;=in_marketplace_from,d_hz_bills*G898,0)</f>
        <v/>
      </c>
      <c r="BR898" s="14">
        <f>F898*BQ898*in_bills_ticket*in_bills_comm/12</f>
        <v/>
      </c>
      <c r="BS898" s="40">
        <f>BS897*(1-IF(B897&gt;=in_marketplace_from,d_hz_loan_gold*G897,0))</f>
        <v/>
      </c>
      <c r="BT898" s="14">
        <f>F898*BS898*IF(B898&gt;=in_marketplace_from,d_hz_loan_gold*G898,0)*in_loan_gold_ticket*in_loan_gold_comm</f>
        <v/>
      </c>
      <c r="BU898" s="40">
        <f>BU897*(1-IF(B897&gt;=in_marketplace_from,d_hz_loan_cd*G897,0))</f>
        <v/>
      </c>
      <c r="BV898" s="14">
        <f>F898*BU898*IF(B898&gt;=in_marketplace_from,d_hz_loan_cd*G898,0)*in_loan_cd_ticket*in_loan_cd_comm</f>
        <v/>
      </c>
      <c r="BW898" s="40">
        <f>BW897*(1-IF(B897&gt;=in_marketplace_from,d_hz_loan_vehicle*G897,0))</f>
        <v/>
      </c>
      <c r="BX898" s="14">
        <f>F898*BW898*IF(B898&gt;=in_marketplace_from,d_hz_loan_vehicle*G898,0)*in_loan_vehicle_ticket*in_loan_vehicle_comm</f>
        <v/>
      </c>
      <c r="BY898" s="40">
        <f>BY897*(1-IF(B897&gt;=in_marketplace_from,d_hz_loan_home*G897,0)*BZ897)</f>
        <v/>
      </c>
      <c r="BZ898" s="11">
        <f>MIN(in_approval_cap,in_loan_home_approval*INDEX('Age profile'!$O$2:$O$61,B898)*(1+in_approval_growth)^(D898-1))</f>
        <v/>
      </c>
      <c r="CA898" s="14">
        <f>F898*BY898*IF(B898&gt;=in_marketplace_from,d_hz_loan_home*G898,0)*BZ898*in_loan_home_ticket*in_loan_home_comm</f>
        <v/>
      </c>
      <c r="CB898" s="40">
        <f>CB897*(1-IF(B897&gt;=in_marketplace_from,d_hz_loan_lap*G897,0)*CC897)</f>
        <v/>
      </c>
      <c r="CC898" s="11">
        <f>MIN(in_approval_cap,in_loan_lap_approval*INDEX('Age profile'!$O$2:$O$61,B898)*(1+in_approval_growth)^(D898-1))</f>
        <v/>
      </c>
      <c r="CD898" s="14">
        <f>F898*CB898*IF(B898&gt;=in_marketplace_from,d_hz_loan_lap*G898,0)*CC898*in_loan_lap_ticket*in_loan_lap_comm</f>
        <v/>
      </c>
      <c r="CE898" s="14">
        <f>AA898+AB898+AC898+AD898+AG898+AJ898+AM898+AP898+AS898+AU898+AX898+BB898+BE898+BG898+BJ898+BL898+BO898+BR898+BT898+BV898+BX898+CA898+CD898</f>
        <v/>
      </c>
    </row>
    <row r="899">
      <c r="A899" s="39" t="n">
        <v>18</v>
      </c>
      <c r="B899" s="39" t="n">
        <v>14</v>
      </c>
      <c r="C899" s="39">
        <f>A899+B899-1</f>
        <v/>
      </c>
      <c r="D899" s="39">
        <f>INT((C899-1)/12)+1</f>
        <v/>
      </c>
      <c r="E899" s="44">
        <f>INDEX(Monthly!$B$2:$B$61,A899)</f>
        <v/>
      </c>
      <c r="F899" s="44">
        <f>E899*INDEX('Age profile'!$B$2:$B$61,B899)</f>
        <v/>
      </c>
      <c r="G899" s="45">
        <f>MIN(in_takeup_cap,INDEX('Age profile'!$N$2:$N$61,B899)*(1+in_takeup_growth)^(D899-1))</f>
        <v/>
      </c>
      <c r="H899" s="11">
        <f>MIN(in_approval_cap,in_approved_first*INDEX('Age profile'!$O$2:$O$61,B899)*(1+in_approval_growth)^(D899-1))</f>
        <v/>
      </c>
      <c r="I899" s="45">
        <f>G899*MIN(in_takeup_cap,INDEX('Age profile'!$O$2:$O$61,B899)*(1+in_approval_growth)^(D899-1))</f>
        <v/>
      </c>
      <c r="J899" s="40">
        <f>(J898-L898)*F899/F898</f>
        <v/>
      </c>
      <c r="K899" s="40">
        <f>(K898-M898)*F899/F898+SUMIFS(O886:O898,B886:B898,B899-1-d_T)*F899</f>
        <v/>
      </c>
      <c r="L899" s="40">
        <f>IF(B899&gt;=in_marketplace_from,J899*d_hz*G899*in_eligible*H899,0)</f>
        <v/>
      </c>
      <c r="M899" s="40">
        <f>IF(B899&gt;=in_marketplace_from,K899*d_hz*G899*in_eligible*in_approved_repeat,0)</f>
        <v/>
      </c>
      <c r="N899" s="40">
        <f>L899+M899</f>
        <v/>
      </c>
      <c r="O899" s="46">
        <f>N899/F899</f>
        <v/>
      </c>
      <c r="P899" s="40">
        <f>F899-J899-K899</f>
        <v/>
      </c>
      <c r="Q899" s="40">
        <f>IF(B899&gt;=in_marketplace_from,(J899+K899)*d_hz*G899,0)</f>
        <v/>
      </c>
      <c r="R899" s="40">
        <f>SUMIFS(N886:N928,B886:B928,"&gt;="&amp;(B899-d_T),B886:B928,"&lt;="&amp;(B899-1))</f>
        <v/>
      </c>
      <c r="S899" s="46">
        <f>(1-d_u)*S898+IF(d_T&gt;in_topup_lag,SUMIFS(O886:O928,B886:B928,B899-in_topup_lag)-d_udrop*SUMIFS(O886:O928,B886:B928,B899-d_T),0)</f>
        <v/>
      </c>
      <c r="T899" s="40">
        <f>F899*d_u*S899</f>
        <v/>
      </c>
      <c r="U899" s="9">
        <f>L899*in_ticket+M899*d_rep_ticket</f>
        <v/>
      </c>
      <c r="V899" s="9">
        <f>U899+T899*d_topup_amt</f>
        <v/>
      </c>
      <c r="W899" s="40">
        <f>N899+T899*d_topup_ratio</f>
        <v/>
      </c>
      <c r="X899" s="40">
        <f>SUMIFS(W886:W928,B886:B928,B899-in_dpd_lag)*d_cured</f>
        <v/>
      </c>
      <c r="Y899" s="40">
        <f>SUMIFS(W886:W928,B886:B928,B899-in_rec_lag)*d_recd</f>
        <v/>
      </c>
      <c r="Z899" s="40">
        <f>IF(AND(B899&gt;=in_marketplace_from,B899&lt;in_marketplace_from+in_card_months),in_card_share/in_card_months*F899*I899,IF(AND(B899&gt;=in_marketplace_from+in_card_months,B899&lt;in_marketplace_from+2*in_card_months),in_card_share*d_card_rem/in_card_months*F899*MIN(in_takeup_cap,(1+in_takeup_growth)^(D899-1))*MIN(in_takeup_cap,(1+in_approval_growth)^(D899-1)),0))</f>
        <v/>
      </c>
      <c r="AA899" s="14">
        <f>V899*in_fee*(1-in_taken_back)</f>
        <v/>
      </c>
      <c r="AB899" s="14">
        <f>SUMIFS(W886:W928,B886:B928,B899-in_dpd_lag)*d_dpd</f>
        <v/>
      </c>
      <c r="AC899" s="14">
        <f>SUMIFS(W886:W928,B886:B928,B899-in_rec_lag)*d_rec</f>
        <v/>
      </c>
      <c r="AD899" s="14">
        <f>Z899*in_card_fee</f>
        <v/>
      </c>
      <c r="AE899" s="40">
        <f>AE898*(1-IF(B898&gt;=in_marketplace_from,d_hz_hlth_small*G898,0))</f>
        <v/>
      </c>
      <c r="AF899" s="46">
        <f>AE899*IF(B899&gt;=in_marketplace_from,d_hz_hlth_small*G899,0)</f>
        <v/>
      </c>
      <c r="AG899" s="14">
        <f>F899*AF899*in_hlth_small_ticket*in_hlth_small_comm*in_ins_partner_share+F899*in_hlth_small_ticket*in_hlth_small_renew_comm*in_ins_partner_share*(in_hlth_small_renew^1*SUMIFS(AF886:AF928,B886:B928,B899-12)+in_hlth_small_renew^2*SUMIFS(AF886:AF928,B886:B928,B899-24)+in_hlth_small_renew^3*SUMIFS(AF886:AF928,B886:B928,B899-36)+in_hlth_small_renew^4*SUMIFS(AF886:AF928,B886:B928,B899-48))</f>
        <v/>
      </c>
      <c r="AH899" s="40">
        <f>AH898*(1-IF(B898&gt;=in_marketplace_from,d_hz_hlth_family*G898,0))</f>
        <v/>
      </c>
      <c r="AI899" s="46">
        <f>AH899*IF(B899&gt;=in_marketplace_from,d_hz_hlth_family*G899,0)</f>
        <v/>
      </c>
      <c r="AJ899" s="14">
        <f>F899*AI899*in_hlth_family_ticket*in_hlth_family_comm*in_ins_partner_share+F899*in_hlth_family_ticket*in_hlth_family_renew_comm*in_ins_partner_share*(in_hlth_family_renew^1*SUMIFS(AI886:AI928,B886:B928,B899-12)+in_hlth_family_renew^2*SUMIFS(AI886:AI928,B886:B928,B899-24)+in_hlth_family_renew^3*SUMIFS(AI886:AI928,B886:B928,B899-36)+in_hlth_family_renew^4*SUMIFS(AI886:AI928,B886:B928,B899-48))</f>
        <v/>
      </c>
      <c r="AK899" s="40">
        <f>AK898*(1-IF(B898&gt;=in_marketplace_from,d_hz_life_term*G898,0))</f>
        <v/>
      </c>
      <c r="AL899" s="46">
        <f>AK899*IF(B899&gt;=in_marketplace_from,d_hz_life_term*G899,0)</f>
        <v/>
      </c>
      <c r="AM899" s="14">
        <f>F899*AL899*in_life_term_ticket*in_life_term_comm*in_ins_partner_share+F899*in_life_term_ticket*in_life_term_renew_comm*in_ins_partner_share*(in_life_term_renew^1*SUMIFS(AL886:AL928,B886:B928,B899-12)+in_life_term_renew^2*SUMIFS(AL886:AL928,B886:B928,B899-24)+in_life_term_renew^3*SUMIFS(AL886:AL928,B886:B928,B899-36)+in_life_term_renew^4*SUMIFS(AL886:AL928,B886:B928,B899-48))</f>
        <v/>
      </c>
      <c r="AN899" s="40">
        <f>AN898*(1-IF(B898&gt;=in_marketplace_from,d_hz_accident*G898,0))</f>
        <v/>
      </c>
      <c r="AO899" s="46">
        <f>AN899*IF(B899&gt;=in_marketplace_from,d_hz_accident*G899,0)</f>
        <v/>
      </c>
      <c r="AP899" s="14">
        <f>F899*AO899*in_accident_ticket*in_accident_comm*in_ins_partner_share+F899*in_accident_ticket*in_accident_renew_comm*in_ins_partner_share*(in_accident_renew^1*SUMIFS(AO886:AO928,B886:B928,B899-12)+in_accident_renew^2*SUMIFS(AO886:AO928,B886:B928,B899-24)+in_accident_renew^3*SUMIFS(AO886:AO928,B886:B928,B899-36)+in_accident_renew^4*SUMIFS(AO886:AO928,B886:B928,B899-48))</f>
        <v/>
      </c>
      <c r="AQ899" s="40">
        <f>AQ898*(1-IF(B898&gt;=in_marketplace_from,d_hz_two_wheeler*G898,0))</f>
        <v/>
      </c>
      <c r="AR899" s="46">
        <f>AQ899*IF(B899&gt;=in_marketplace_from,d_hz_two_wheeler*G899,0)</f>
        <v/>
      </c>
      <c r="AS899" s="14">
        <f>F899*AR899*in_two_wheeler_ticket*in_two_wheeler_comm*in_ins_partner_share+F899*in_two_wheeler_ticket*in_two_wheeler_comm*in_ins_partner_share*(in_two_wheeler_renew^1*SUMIFS(AR886:AR928,B886:B928,B899-12)+in_two_wheeler_renew^2*SUMIFS(AR886:AR928,B886:B928,B899-24)+in_two_wheeler_renew^3*SUMIFS(AR886:AR928,B886:B928,B899-36)+in_two_wheeler_renew^4*SUMIFS(AR886:AR928,B886:B928,B899-48))</f>
        <v/>
      </c>
      <c r="AT899" s="40">
        <f>AT898*(1-IF(B898&gt;=in_marketplace_from,d_hz_device*G898,0))</f>
        <v/>
      </c>
      <c r="AU899" s="14">
        <f>F899*AT899*IF(B899&gt;=in_marketplace_from,d_hz_device*G899,0)*in_device_ticket*in_device_comm*in_ins_partner_share</f>
        <v/>
      </c>
      <c r="AV899" s="40">
        <f>AV898*(1-IF(B898&gt;=in_marketplace_from,d_hz_shop*G898,0))</f>
        <v/>
      </c>
      <c r="AW899" s="46">
        <f>AV899*IF(B899&gt;=in_marketplace_from,d_hz_shop*G899,0)</f>
        <v/>
      </c>
      <c r="AX899" s="14">
        <f>F899*AW899*in_shop_ticket*in_shop_comm*in_ins_partner_share+F899*in_shop_ticket*in_shop_renew_comm*in_ins_partner_share*(in_shop_renew^1*SUMIFS(AW886:AW928,B886:B928,B899-12)+in_shop_renew^2*SUMIFS(AW886:AW928,B886:B928,B899-24)+in_shop_renew^3*SUMIFS(AW886:AW928,B886:B928,B899-36)+in_shop_renew^4*SUMIFS(AW886:AW928,B886:B928,B899-48))</f>
        <v/>
      </c>
      <c r="AY899" s="40">
        <f>AY898*(1-IF(B898&gt;=in_marketplace_from,d_hz_sip*G898,0))</f>
        <v/>
      </c>
      <c r="AZ899" s="40">
        <f>AZ898*d_rho_sip+AY899*IF(B899&gt;=in_marketplace_from,d_hz_sip*G899,0)</f>
        <v/>
      </c>
      <c r="BA899" s="40">
        <f>d_rho_sip*(BA898+AZ898)</f>
        <v/>
      </c>
      <c r="BB899" s="14">
        <f>F899*in_sip_ticket*(BA899+0.5*AZ899)*in_sip_comm/12</f>
        <v/>
      </c>
      <c r="BC899" s="40">
        <f>BC898*(1-IF(B898&gt;=in_marketplace_from,d_hz_choti*G898,0))</f>
        <v/>
      </c>
      <c r="BD899" s="46">
        <f>BC899*IF(B899&gt;=in_marketplace_from,d_hz_choti*G899,0)</f>
        <v/>
      </c>
      <c r="BE899" s="14">
        <f>F899*SUMIFS(BD886:BD928,B886:B928,B899-in_choti_months)*in_choti_renew*in_choti_ticket</f>
        <v/>
      </c>
      <c r="BF899" s="40">
        <f>BF898*(1-IF(B898&gt;=in_marketplace_from,d_hz_nps*G898,0))</f>
        <v/>
      </c>
      <c r="BG899" s="14">
        <f>F899*BF899*IF(B899&gt;=in_marketplace_from,d_hz_nps*G899,0)*in_nps_ticket*in_nps_comm</f>
        <v/>
      </c>
      <c r="BH899" s="40">
        <f>BH898*(1-IF(B898&gt;=in_marketplace_from,d_hz_gold*G898,0))</f>
        <v/>
      </c>
      <c r="BI899" s="40">
        <f>BI898*d_rho_gold+BH899*IF(B899&gt;=in_marketplace_from,d_hz_gold*G899,0)</f>
        <v/>
      </c>
      <c r="BJ899" s="14">
        <f>F899*BI899*in_gold_ticket*in_gold_comm</f>
        <v/>
      </c>
      <c r="BK899" s="40">
        <f>BK898*(1-IF(B898&gt;=in_marketplace_from,d_hz_fd*G898,0))</f>
        <v/>
      </c>
      <c r="BL899" s="14">
        <f>F899*BK899*IF(B899&gt;=in_marketplace_from,d_hz_fd*G899,0)*in_fd_ticket*in_fd_comm</f>
        <v/>
      </c>
      <c r="BM899" s="40">
        <f>BM898*(1-IF(B898&gt;=in_marketplace_from,d_hz_recharge*G898,0))</f>
        <v/>
      </c>
      <c r="BN899" s="40">
        <f>BN898*d_rho_recharge+BM899*IF(B899&gt;=in_marketplace_from,d_hz_recharge*G899,0)</f>
        <v/>
      </c>
      <c r="BO899" s="14">
        <f>F899*BN899*in_recharge_ticket*in_recharge_comm/12</f>
        <v/>
      </c>
      <c r="BP899" s="40">
        <f>BP898*(1-IF(B898&gt;=in_marketplace_from,d_hz_bills*G898,0))</f>
        <v/>
      </c>
      <c r="BQ899" s="40">
        <f>BQ898*d_rho_bills+BP899*IF(B899&gt;=in_marketplace_from,d_hz_bills*G899,0)</f>
        <v/>
      </c>
      <c r="BR899" s="14">
        <f>F899*BQ899*in_bills_ticket*in_bills_comm/12</f>
        <v/>
      </c>
      <c r="BS899" s="40">
        <f>BS898*(1-IF(B898&gt;=in_marketplace_from,d_hz_loan_gold*G898,0))</f>
        <v/>
      </c>
      <c r="BT899" s="14">
        <f>F899*BS899*IF(B899&gt;=in_marketplace_from,d_hz_loan_gold*G899,0)*in_loan_gold_ticket*in_loan_gold_comm</f>
        <v/>
      </c>
      <c r="BU899" s="40">
        <f>BU898*(1-IF(B898&gt;=in_marketplace_from,d_hz_loan_cd*G898,0))</f>
        <v/>
      </c>
      <c r="BV899" s="14">
        <f>F899*BU899*IF(B899&gt;=in_marketplace_from,d_hz_loan_cd*G899,0)*in_loan_cd_ticket*in_loan_cd_comm</f>
        <v/>
      </c>
      <c r="BW899" s="40">
        <f>BW898*(1-IF(B898&gt;=in_marketplace_from,d_hz_loan_vehicle*G898,0))</f>
        <v/>
      </c>
      <c r="BX899" s="14">
        <f>F899*BW899*IF(B899&gt;=in_marketplace_from,d_hz_loan_vehicle*G899,0)*in_loan_vehicle_ticket*in_loan_vehicle_comm</f>
        <v/>
      </c>
      <c r="BY899" s="40">
        <f>BY898*(1-IF(B898&gt;=in_marketplace_from,d_hz_loan_home*G898,0)*BZ898)</f>
        <v/>
      </c>
      <c r="BZ899" s="11">
        <f>MIN(in_approval_cap,in_loan_home_approval*INDEX('Age profile'!$O$2:$O$61,B899)*(1+in_approval_growth)^(D899-1))</f>
        <v/>
      </c>
      <c r="CA899" s="14">
        <f>F899*BY899*IF(B899&gt;=in_marketplace_from,d_hz_loan_home*G899,0)*BZ899*in_loan_home_ticket*in_loan_home_comm</f>
        <v/>
      </c>
      <c r="CB899" s="40">
        <f>CB898*(1-IF(B898&gt;=in_marketplace_from,d_hz_loan_lap*G898,0)*CC898)</f>
        <v/>
      </c>
      <c r="CC899" s="11">
        <f>MIN(in_approval_cap,in_loan_lap_approval*INDEX('Age profile'!$O$2:$O$61,B899)*(1+in_approval_growth)^(D899-1))</f>
        <v/>
      </c>
      <c r="CD899" s="14">
        <f>F899*CB899*IF(B899&gt;=in_marketplace_from,d_hz_loan_lap*G899,0)*CC899*in_loan_lap_ticket*in_loan_lap_comm</f>
        <v/>
      </c>
      <c r="CE899" s="14">
        <f>AA899+AB899+AC899+AD899+AG899+AJ899+AM899+AP899+AS899+AU899+AX899+BB899+BE899+BG899+BJ899+BL899+BO899+BR899+BT899+BV899+BX899+CA899+CD899</f>
        <v/>
      </c>
    </row>
    <row r="900">
      <c r="A900" s="39" t="n">
        <v>18</v>
      </c>
      <c r="B900" s="39" t="n">
        <v>15</v>
      </c>
      <c r="C900" s="39">
        <f>A900+B900-1</f>
        <v/>
      </c>
      <c r="D900" s="39">
        <f>INT((C900-1)/12)+1</f>
        <v/>
      </c>
      <c r="E900" s="44">
        <f>INDEX(Monthly!$B$2:$B$61,A900)</f>
        <v/>
      </c>
      <c r="F900" s="44">
        <f>E900*INDEX('Age profile'!$B$2:$B$61,B900)</f>
        <v/>
      </c>
      <c r="G900" s="45">
        <f>MIN(in_takeup_cap,INDEX('Age profile'!$N$2:$N$61,B900)*(1+in_takeup_growth)^(D900-1))</f>
        <v/>
      </c>
      <c r="H900" s="11">
        <f>MIN(in_approval_cap,in_approved_first*INDEX('Age profile'!$O$2:$O$61,B900)*(1+in_approval_growth)^(D900-1))</f>
        <v/>
      </c>
      <c r="I900" s="45">
        <f>G900*MIN(in_takeup_cap,INDEX('Age profile'!$O$2:$O$61,B900)*(1+in_approval_growth)^(D900-1))</f>
        <v/>
      </c>
      <c r="J900" s="40">
        <f>(J899-L899)*F900/F899</f>
        <v/>
      </c>
      <c r="K900" s="40">
        <f>(K899-M899)*F900/F899+SUMIFS(O886:O899,B886:B899,B900-1-d_T)*F900</f>
        <v/>
      </c>
      <c r="L900" s="40">
        <f>IF(B900&gt;=in_marketplace_from,J900*d_hz*G900*in_eligible*H900,0)</f>
        <v/>
      </c>
      <c r="M900" s="40">
        <f>IF(B900&gt;=in_marketplace_from,K900*d_hz*G900*in_eligible*in_approved_repeat,0)</f>
        <v/>
      </c>
      <c r="N900" s="40">
        <f>L900+M900</f>
        <v/>
      </c>
      <c r="O900" s="46">
        <f>N900/F900</f>
        <v/>
      </c>
      <c r="P900" s="40">
        <f>F900-J900-K900</f>
        <v/>
      </c>
      <c r="Q900" s="40">
        <f>IF(B900&gt;=in_marketplace_from,(J900+K900)*d_hz*G900,0)</f>
        <v/>
      </c>
      <c r="R900" s="40">
        <f>SUMIFS(N886:N928,B886:B928,"&gt;="&amp;(B900-d_T),B886:B928,"&lt;="&amp;(B900-1))</f>
        <v/>
      </c>
      <c r="S900" s="46">
        <f>(1-d_u)*S899+IF(d_T&gt;in_topup_lag,SUMIFS(O886:O928,B886:B928,B900-in_topup_lag)-d_udrop*SUMIFS(O886:O928,B886:B928,B900-d_T),0)</f>
        <v/>
      </c>
      <c r="T900" s="40">
        <f>F900*d_u*S900</f>
        <v/>
      </c>
      <c r="U900" s="9">
        <f>L900*in_ticket+M900*d_rep_ticket</f>
        <v/>
      </c>
      <c r="V900" s="9">
        <f>U900+T900*d_topup_amt</f>
        <v/>
      </c>
      <c r="W900" s="40">
        <f>N900+T900*d_topup_ratio</f>
        <v/>
      </c>
      <c r="X900" s="40">
        <f>SUMIFS(W886:W928,B886:B928,B900-in_dpd_lag)*d_cured</f>
        <v/>
      </c>
      <c r="Y900" s="40">
        <f>SUMIFS(W886:W928,B886:B928,B900-in_rec_lag)*d_recd</f>
        <v/>
      </c>
      <c r="Z900" s="40">
        <f>IF(AND(B900&gt;=in_marketplace_from,B900&lt;in_marketplace_from+in_card_months),in_card_share/in_card_months*F900*I900,IF(AND(B900&gt;=in_marketplace_from+in_card_months,B900&lt;in_marketplace_from+2*in_card_months),in_card_share*d_card_rem/in_card_months*F900*MIN(in_takeup_cap,(1+in_takeup_growth)^(D900-1))*MIN(in_takeup_cap,(1+in_approval_growth)^(D900-1)),0))</f>
        <v/>
      </c>
      <c r="AA900" s="14">
        <f>V900*in_fee*(1-in_taken_back)</f>
        <v/>
      </c>
      <c r="AB900" s="14">
        <f>SUMIFS(W886:W928,B886:B928,B900-in_dpd_lag)*d_dpd</f>
        <v/>
      </c>
      <c r="AC900" s="14">
        <f>SUMIFS(W886:W928,B886:B928,B900-in_rec_lag)*d_rec</f>
        <v/>
      </c>
      <c r="AD900" s="14">
        <f>Z900*in_card_fee</f>
        <v/>
      </c>
      <c r="AE900" s="40">
        <f>AE899*(1-IF(B899&gt;=in_marketplace_from,d_hz_hlth_small*G899,0))</f>
        <v/>
      </c>
      <c r="AF900" s="46">
        <f>AE900*IF(B900&gt;=in_marketplace_from,d_hz_hlth_small*G900,0)</f>
        <v/>
      </c>
      <c r="AG900" s="14">
        <f>F900*AF900*in_hlth_small_ticket*in_hlth_small_comm*in_ins_partner_share+F900*in_hlth_small_ticket*in_hlth_small_renew_comm*in_ins_partner_share*(in_hlth_small_renew^1*SUMIFS(AF886:AF928,B886:B928,B900-12)+in_hlth_small_renew^2*SUMIFS(AF886:AF928,B886:B928,B900-24)+in_hlth_small_renew^3*SUMIFS(AF886:AF928,B886:B928,B900-36)+in_hlth_small_renew^4*SUMIFS(AF886:AF928,B886:B928,B900-48))</f>
        <v/>
      </c>
      <c r="AH900" s="40">
        <f>AH899*(1-IF(B899&gt;=in_marketplace_from,d_hz_hlth_family*G899,0))</f>
        <v/>
      </c>
      <c r="AI900" s="46">
        <f>AH900*IF(B900&gt;=in_marketplace_from,d_hz_hlth_family*G900,0)</f>
        <v/>
      </c>
      <c r="AJ900" s="14">
        <f>F900*AI900*in_hlth_family_ticket*in_hlth_family_comm*in_ins_partner_share+F900*in_hlth_family_ticket*in_hlth_family_renew_comm*in_ins_partner_share*(in_hlth_family_renew^1*SUMIFS(AI886:AI928,B886:B928,B900-12)+in_hlth_family_renew^2*SUMIFS(AI886:AI928,B886:B928,B900-24)+in_hlth_family_renew^3*SUMIFS(AI886:AI928,B886:B928,B900-36)+in_hlth_family_renew^4*SUMIFS(AI886:AI928,B886:B928,B900-48))</f>
        <v/>
      </c>
      <c r="AK900" s="40">
        <f>AK899*(1-IF(B899&gt;=in_marketplace_from,d_hz_life_term*G899,0))</f>
        <v/>
      </c>
      <c r="AL900" s="46">
        <f>AK900*IF(B900&gt;=in_marketplace_from,d_hz_life_term*G900,0)</f>
        <v/>
      </c>
      <c r="AM900" s="14">
        <f>F900*AL900*in_life_term_ticket*in_life_term_comm*in_ins_partner_share+F900*in_life_term_ticket*in_life_term_renew_comm*in_ins_partner_share*(in_life_term_renew^1*SUMIFS(AL886:AL928,B886:B928,B900-12)+in_life_term_renew^2*SUMIFS(AL886:AL928,B886:B928,B900-24)+in_life_term_renew^3*SUMIFS(AL886:AL928,B886:B928,B900-36)+in_life_term_renew^4*SUMIFS(AL886:AL928,B886:B928,B900-48))</f>
        <v/>
      </c>
      <c r="AN900" s="40">
        <f>AN899*(1-IF(B899&gt;=in_marketplace_from,d_hz_accident*G899,0))</f>
        <v/>
      </c>
      <c r="AO900" s="46">
        <f>AN900*IF(B900&gt;=in_marketplace_from,d_hz_accident*G900,0)</f>
        <v/>
      </c>
      <c r="AP900" s="14">
        <f>F900*AO900*in_accident_ticket*in_accident_comm*in_ins_partner_share+F900*in_accident_ticket*in_accident_renew_comm*in_ins_partner_share*(in_accident_renew^1*SUMIFS(AO886:AO928,B886:B928,B900-12)+in_accident_renew^2*SUMIFS(AO886:AO928,B886:B928,B900-24)+in_accident_renew^3*SUMIFS(AO886:AO928,B886:B928,B900-36)+in_accident_renew^4*SUMIFS(AO886:AO928,B886:B928,B900-48))</f>
        <v/>
      </c>
      <c r="AQ900" s="40">
        <f>AQ899*(1-IF(B899&gt;=in_marketplace_from,d_hz_two_wheeler*G899,0))</f>
        <v/>
      </c>
      <c r="AR900" s="46">
        <f>AQ900*IF(B900&gt;=in_marketplace_from,d_hz_two_wheeler*G900,0)</f>
        <v/>
      </c>
      <c r="AS900" s="14">
        <f>F900*AR900*in_two_wheeler_ticket*in_two_wheeler_comm*in_ins_partner_share+F900*in_two_wheeler_ticket*in_two_wheeler_comm*in_ins_partner_share*(in_two_wheeler_renew^1*SUMIFS(AR886:AR928,B886:B928,B900-12)+in_two_wheeler_renew^2*SUMIFS(AR886:AR928,B886:B928,B900-24)+in_two_wheeler_renew^3*SUMIFS(AR886:AR928,B886:B928,B900-36)+in_two_wheeler_renew^4*SUMIFS(AR886:AR928,B886:B928,B900-48))</f>
        <v/>
      </c>
      <c r="AT900" s="40">
        <f>AT899*(1-IF(B899&gt;=in_marketplace_from,d_hz_device*G899,0))</f>
        <v/>
      </c>
      <c r="AU900" s="14">
        <f>F900*AT900*IF(B900&gt;=in_marketplace_from,d_hz_device*G900,0)*in_device_ticket*in_device_comm*in_ins_partner_share</f>
        <v/>
      </c>
      <c r="AV900" s="40">
        <f>AV899*(1-IF(B899&gt;=in_marketplace_from,d_hz_shop*G899,0))</f>
        <v/>
      </c>
      <c r="AW900" s="46">
        <f>AV900*IF(B900&gt;=in_marketplace_from,d_hz_shop*G900,0)</f>
        <v/>
      </c>
      <c r="AX900" s="14">
        <f>F900*AW900*in_shop_ticket*in_shop_comm*in_ins_partner_share+F900*in_shop_ticket*in_shop_renew_comm*in_ins_partner_share*(in_shop_renew^1*SUMIFS(AW886:AW928,B886:B928,B900-12)+in_shop_renew^2*SUMIFS(AW886:AW928,B886:B928,B900-24)+in_shop_renew^3*SUMIFS(AW886:AW928,B886:B928,B900-36)+in_shop_renew^4*SUMIFS(AW886:AW928,B886:B928,B900-48))</f>
        <v/>
      </c>
      <c r="AY900" s="40">
        <f>AY899*(1-IF(B899&gt;=in_marketplace_from,d_hz_sip*G899,0))</f>
        <v/>
      </c>
      <c r="AZ900" s="40">
        <f>AZ899*d_rho_sip+AY900*IF(B900&gt;=in_marketplace_from,d_hz_sip*G900,0)</f>
        <v/>
      </c>
      <c r="BA900" s="40">
        <f>d_rho_sip*(BA899+AZ899)</f>
        <v/>
      </c>
      <c r="BB900" s="14">
        <f>F900*in_sip_ticket*(BA900+0.5*AZ900)*in_sip_comm/12</f>
        <v/>
      </c>
      <c r="BC900" s="40">
        <f>BC899*(1-IF(B899&gt;=in_marketplace_from,d_hz_choti*G899,0))</f>
        <v/>
      </c>
      <c r="BD900" s="46">
        <f>BC900*IF(B900&gt;=in_marketplace_from,d_hz_choti*G900,0)</f>
        <v/>
      </c>
      <c r="BE900" s="14">
        <f>F900*SUMIFS(BD886:BD928,B886:B928,B900-in_choti_months)*in_choti_renew*in_choti_ticket</f>
        <v/>
      </c>
      <c r="BF900" s="40">
        <f>BF899*(1-IF(B899&gt;=in_marketplace_from,d_hz_nps*G899,0))</f>
        <v/>
      </c>
      <c r="BG900" s="14">
        <f>F900*BF900*IF(B900&gt;=in_marketplace_from,d_hz_nps*G900,0)*in_nps_ticket*in_nps_comm</f>
        <v/>
      </c>
      <c r="BH900" s="40">
        <f>BH899*(1-IF(B899&gt;=in_marketplace_from,d_hz_gold*G899,0))</f>
        <v/>
      </c>
      <c r="BI900" s="40">
        <f>BI899*d_rho_gold+BH900*IF(B900&gt;=in_marketplace_from,d_hz_gold*G900,0)</f>
        <v/>
      </c>
      <c r="BJ900" s="14">
        <f>F900*BI900*in_gold_ticket*in_gold_comm</f>
        <v/>
      </c>
      <c r="BK900" s="40">
        <f>BK899*(1-IF(B899&gt;=in_marketplace_from,d_hz_fd*G899,0))</f>
        <v/>
      </c>
      <c r="BL900" s="14">
        <f>F900*BK900*IF(B900&gt;=in_marketplace_from,d_hz_fd*G900,0)*in_fd_ticket*in_fd_comm</f>
        <v/>
      </c>
      <c r="BM900" s="40">
        <f>BM899*(1-IF(B899&gt;=in_marketplace_from,d_hz_recharge*G899,0))</f>
        <v/>
      </c>
      <c r="BN900" s="40">
        <f>BN899*d_rho_recharge+BM900*IF(B900&gt;=in_marketplace_from,d_hz_recharge*G900,0)</f>
        <v/>
      </c>
      <c r="BO900" s="14">
        <f>F900*BN900*in_recharge_ticket*in_recharge_comm/12</f>
        <v/>
      </c>
      <c r="BP900" s="40">
        <f>BP899*(1-IF(B899&gt;=in_marketplace_from,d_hz_bills*G899,0))</f>
        <v/>
      </c>
      <c r="BQ900" s="40">
        <f>BQ899*d_rho_bills+BP900*IF(B900&gt;=in_marketplace_from,d_hz_bills*G900,0)</f>
        <v/>
      </c>
      <c r="BR900" s="14">
        <f>F900*BQ900*in_bills_ticket*in_bills_comm/12</f>
        <v/>
      </c>
      <c r="BS900" s="40">
        <f>BS899*(1-IF(B899&gt;=in_marketplace_from,d_hz_loan_gold*G899,0))</f>
        <v/>
      </c>
      <c r="BT900" s="14">
        <f>F900*BS900*IF(B900&gt;=in_marketplace_from,d_hz_loan_gold*G900,0)*in_loan_gold_ticket*in_loan_gold_comm</f>
        <v/>
      </c>
      <c r="BU900" s="40">
        <f>BU899*(1-IF(B899&gt;=in_marketplace_from,d_hz_loan_cd*G899,0))</f>
        <v/>
      </c>
      <c r="BV900" s="14">
        <f>F900*BU900*IF(B900&gt;=in_marketplace_from,d_hz_loan_cd*G900,0)*in_loan_cd_ticket*in_loan_cd_comm</f>
        <v/>
      </c>
      <c r="BW900" s="40">
        <f>BW899*(1-IF(B899&gt;=in_marketplace_from,d_hz_loan_vehicle*G899,0))</f>
        <v/>
      </c>
      <c r="BX900" s="14">
        <f>F900*BW900*IF(B900&gt;=in_marketplace_from,d_hz_loan_vehicle*G900,0)*in_loan_vehicle_ticket*in_loan_vehicle_comm</f>
        <v/>
      </c>
      <c r="BY900" s="40">
        <f>BY899*(1-IF(B899&gt;=in_marketplace_from,d_hz_loan_home*G899,0)*BZ899)</f>
        <v/>
      </c>
      <c r="BZ900" s="11">
        <f>MIN(in_approval_cap,in_loan_home_approval*INDEX('Age profile'!$O$2:$O$61,B900)*(1+in_approval_growth)^(D900-1))</f>
        <v/>
      </c>
      <c r="CA900" s="14">
        <f>F900*BY900*IF(B900&gt;=in_marketplace_from,d_hz_loan_home*G900,0)*BZ900*in_loan_home_ticket*in_loan_home_comm</f>
        <v/>
      </c>
      <c r="CB900" s="40">
        <f>CB899*(1-IF(B899&gt;=in_marketplace_from,d_hz_loan_lap*G899,0)*CC899)</f>
        <v/>
      </c>
      <c r="CC900" s="11">
        <f>MIN(in_approval_cap,in_loan_lap_approval*INDEX('Age profile'!$O$2:$O$61,B900)*(1+in_approval_growth)^(D900-1))</f>
        <v/>
      </c>
      <c r="CD900" s="14">
        <f>F900*CB900*IF(B900&gt;=in_marketplace_from,d_hz_loan_lap*G900,0)*CC900*in_loan_lap_ticket*in_loan_lap_comm</f>
        <v/>
      </c>
      <c r="CE900" s="14">
        <f>AA900+AB900+AC900+AD900+AG900+AJ900+AM900+AP900+AS900+AU900+AX900+BB900+BE900+BG900+BJ900+BL900+BO900+BR900+BT900+BV900+BX900+CA900+CD900</f>
        <v/>
      </c>
    </row>
    <row r="901">
      <c r="A901" s="39" t="n">
        <v>18</v>
      </c>
      <c r="B901" s="39" t="n">
        <v>16</v>
      </c>
      <c r="C901" s="39">
        <f>A901+B901-1</f>
        <v/>
      </c>
      <c r="D901" s="39">
        <f>INT((C901-1)/12)+1</f>
        <v/>
      </c>
      <c r="E901" s="44">
        <f>INDEX(Monthly!$B$2:$B$61,A901)</f>
        <v/>
      </c>
      <c r="F901" s="44">
        <f>E901*INDEX('Age profile'!$B$2:$B$61,B901)</f>
        <v/>
      </c>
      <c r="G901" s="45">
        <f>MIN(in_takeup_cap,INDEX('Age profile'!$N$2:$N$61,B901)*(1+in_takeup_growth)^(D901-1))</f>
        <v/>
      </c>
      <c r="H901" s="11">
        <f>MIN(in_approval_cap,in_approved_first*INDEX('Age profile'!$O$2:$O$61,B901)*(1+in_approval_growth)^(D901-1))</f>
        <v/>
      </c>
      <c r="I901" s="45">
        <f>G901*MIN(in_takeup_cap,INDEX('Age profile'!$O$2:$O$61,B901)*(1+in_approval_growth)^(D901-1))</f>
        <v/>
      </c>
      <c r="J901" s="40">
        <f>(J900-L900)*F901/F900</f>
        <v/>
      </c>
      <c r="K901" s="40">
        <f>(K900-M900)*F901/F900+SUMIFS(O886:O900,B886:B900,B901-1-d_T)*F901</f>
        <v/>
      </c>
      <c r="L901" s="40">
        <f>IF(B901&gt;=in_marketplace_from,J901*d_hz*G901*in_eligible*H901,0)</f>
        <v/>
      </c>
      <c r="M901" s="40">
        <f>IF(B901&gt;=in_marketplace_from,K901*d_hz*G901*in_eligible*in_approved_repeat,0)</f>
        <v/>
      </c>
      <c r="N901" s="40">
        <f>L901+M901</f>
        <v/>
      </c>
      <c r="O901" s="46">
        <f>N901/F901</f>
        <v/>
      </c>
      <c r="P901" s="40">
        <f>F901-J901-K901</f>
        <v/>
      </c>
      <c r="Q901" s="40">
        <f>IF(B901&gt;=in_marketplace_from,(J901+K901)*d_hz*G901,0)</f>
        <v/>
      </c>
      <c r="R901" s="40">
        <f>SUMIFS(N886:N928,B886:B928,"&gt;="&amp;(B901-d_T),B886:B928,"&lt;="&amp;(B901-1))</f>
        <v/>
      </c>
      <c r="S901" s="46">
        <f>(1-d_u)*S900+IF(d_T&gt;in_topup_lag,SUMIFS(O886:O928,B886:B928,B901-in_topup_lag)-d_udrop*SUMIFS(O886:O928,B886:B928,B901-d_T),0)</f>
        <v/>
      </c>
      <c r="T901" s="40">
        <f>F901*d_u*S901</f>
        <v/>
      </c>
      <c r="U901" s="9">
        <f>L901*in_ticket+M901*d_rep_ticket</f>
        <v/>
      </c>
      <c r="V901" s="9">
        <f>U901+T901*d_topup_amt</f>
        <v/>
      </c>
      <c r="W901" s="40">
        <f>N901+T901*d_topup_ratio</f>
        <v/>
      </c>
      <c r="X901" s="40">
        <f>SUMIFS(W886:W928,B886:B928,B901-in_dpd_lag)*d_cured</f>
        <v/>
      </c>
      <c r="Y901" s="40">
        <f>SUMIFS(W886:W928,B886:B928,B901-in_rec_lag)*d_recd</f>
        <v/>
      </c>
      <c r="Z901" s="40">
        <f>IF(AND(B901&gt;=in_marketplace_from,B901&lt;in_marketplace_from+in_card_months),in_card_share/in_card_months*F901*I901,IF(AND(B901&gt;=in_marketplace_from+in_card_months,B901&lt;in_marketplace_from+2*in_card_months),in_card_share*d_card_rem/in_card_months*F901*MIN(in_takeup_cap,(1+in_takeup_growth)^(D901-1))*MIN(in_takeup_cap,(1+in_approval_growth)^(D901-1)),0))</f>
        <v/>
      </c>
      <c r="AA901" s="14">
        <f>V901*in_fee*(1-in_taken_back)</f>
        <v/>
      </c>
      <c r="AB901" s="14">
        <f>SUMIFS(W886:W928,B886:B928,B901-in_dpd_lag)*d_dpd</f>
        <v/>
      </c>
      <c r="AC901" s="14">
        <f>SUMIFS(W886:W928,B886:B928,B901-in_rec_lag)*d_rec</f>
        <v/>
      </c>
      <c r="AD901" s="14">
        <f>Z901*in_card_fee</f>
        <v/>
      </c>
      <c r="AE901" s="40">
        <f>AE900*(1-IF(B900&gt;=in_marketplace_from,d_hz_hlth_small*G900,0))</f>
        <v/>
      </c>
      <c r="AF901" s="46">
        <f>AE901*IF(B901&gt;=in_marketplace_from,d_hz_hlth_small*G901,0)</f>
        <v/>
      </c>
      <c r="AG901" s="14">
        <f>F901*AF901*in_hlth_small_ticket*in_hlth_small_comm*in_ins_partner_share+F901*in_hlth_small_ticket*in_hlth_small_renew_comm*in_ins_partner_share*(in_hlth_small_renew^1*SUMIFS(AF886:AF928,B886:B928,B901-12)+in_hlth_small_renew^2*SUMIFS(AF886:AF928,B886:B928,B901-24)+in_hlth_small_renew^3*SUMIFS(AF886:AF928,B886:B928,B901-36)+in_hlth_small_renew^4*SUMIFS(AF886:AF928,B886:B928,B901-48))</f>
        <v/>
      </c>
      <c r="AH901" s="40">
        <f>AH900*(1-IF(B900&gt;=in_marketplace_from,d_hz_hlth_family*G900,0))</f>
        <v/>
      </c>
      <c r="AI901" s="46">
        <f>AH901*IF(B901&gt;=in_marketplace_from,d_hz_hlth_family*G901,0)</f>
        <v/>
      </c>
      <c r="AJ901" s="14">
        <f>F901*AI901*in_hlth_family_ticket*in_hlth_family_comm*in_ins_partner_share+F901*in_hlth_family_ticket*in_hlth_family_renew_comm*in_ins_partner_share*(in_hlth_family_renew^1*SUMIFS(AI886:AI928,B886:B928,B901-12)+in_hlth_family_renew^2*SUMIFS(AI886:AI928,B886:B928,B901-24)+in_hlth_family_renew^3*SUMIFS(AI886:AI928,B886:B928,B901-36)+in_hlth_family_renew^4*SUMIFS(AI886:AI928,B886:B928,B901-48))</f>
        <v/>
      </c>
      <c r="AK901" s="40">
        <f>AK900*(1-IF(B900&gt;=in_marketplace_from,d_hz_life_term*G900,0))</f>
        <v/>
      </c>
      <c r="AL901" s="46">
        <f>AK901*IF(B901&gt;=in_marketplace_from,d_hz_life_term*G901,0)</f>
        <v/>
      </c>
      <c r="AM901" s="14">
        <f>F901*AL901*in_life_term_ticket*in_life_term_comm*in_ins_partner_share+F901*in_life_term_ticket*in_life_term_renew_comm*in_ins_partner_share*(in_life_term_renew^1*SUMIFS(AL886:AL928,B886:B928,B901-12)+in_life_term_renew^2*SUMIFS(AL886:AL928,B886:B928,B901-24)+in_life_term_renew^3*SUMIFS(AL886:AL928,B886:B928,B901-36)+in_life_term_renew^4*SUMIFS(AL886:AL928,B886:B928,B901-48))</f>
        <v/>
      </c>
      <c r="AN901" s="40">
        <f>AN900*(1-IF(B900&gt;=in_marketplace_from,d_hz_accident*G900,0))</f>
        <v/>
      </c>
      <c r="AO901" s="46">
        <f>AN901*IF(B901&gt;=in_marketplace_from,d_hz_accident*G901,0)</f>
        <v/>
      </c>
      <c r="AP901" s="14">
        <f>F901*AO901*in_accident_ticket*in_accident_comm*in_ins_partner_share+F901*in_accident_ticket*in_accident_renew_comm*in_ins_partner_share*(in_accident_renew^1*SUMIFS(AO886:AO928,B886:B928,B901-12)+in_accident_renew^2*SUMIFS(AO886:AO928,B886:B928,B901-24)+in_accident_renew^3*SUMIFS(AO886:AO928,B886:B928,B901-36)+in_accident_renew^4*SUMIFS(AO886:AO928,B886:B928,B901-48))</f>
        <v/>
      </c>
      <c r="AQ901" s="40">
        <f>AQ900*(1-IF(B900&gt;=in_marketplace_from,d_hz_two_wheeler*G900,0))</f>
        <v/>
      </c>
      <c r="AR901" s="46">
        <f>AQ901*IF(B901&gt;=in_marketplace_from,d_hz_two_wheeler*G901,0)</f>
        <v/>
      </c>
      <c r="AS901" s="14">
        <f>F901*AR901*in_two_wheeler_ticket*in_two_wheeler_comm*in_ins_partner_share+F901*in_two_wheeler_ticket*in_two_wheeler_comm*in_ins_partner_share*(in_two_wheeler_renew^1*SUMIFS(AR886:AR928,B886:B928,B901-12)+in_two_wheeler_renew^2*SUMIFS(AR886:AR928,B886:B928,B901-24)+in_two_wheeler_renew^3*SUMIFS(AR886:AR928,B886:B928,B901-36)+in_two_wheeler_renew^4*SUMIFS(AR886:AR928,B886:B928,B901-48))</f>
        <v/>
      </c>
      <c r="AT901" s="40">
        <f>AT900*(1-IF(B900&gt;=in_marketplace_from,d_hz_device*G900,0))</f>
        <v/>
      </c>
      <c r="AU901" s="14">
        <f>F901*AT901*IF(B901&gt;=in_marketplace_from,d_hz_device*G901,0)*in_device_ticket*in_device_comm*in_ins_partner_share</f>
        <v/>
      </c>
      <c r="AV901" s="40">
        <f>AV900*(1-IF(B900&gt;=in_marketplace_from,d_hz_shop*G900,0))</f>
        <v/>
      </c>
      <c r="AW901" s="46">
        <f>AV901*IF(B901&gt;=in_marketplace_from,d_hz_shop*G901,0)</f>
        <v/>
      </c>
      <c r="AX901" s="14">
        <f>F901*AW901*in_shop_ticket*in_shop_comm*in_ins_partner_share+F901*in_shop_ticket*in_shop_renew_comm*in_ins_partner_share*(in_shop_renew^1*SUMIFS(AW886:AW928,B886:B928,B901-12)+in_shop_renew^2*SUMIFS(AW886:AW928,B886:B928,B901-24)+in_shop_renew^3*SUMIFS(AW886:AW928,B886:B928,B901-36)+in_shop_renew^4*SUMIFS(AW886:AW928,B886:B928,B901-48))</f>
        <v/>
      </c>
      <c r="AY901" s="40">
        <f>AY900*(1-IF(B900&gt;=in_marketplace_from,d_hz_sip*G900,0))</f>
        <v/>
      </c>
      <c r="AZ901" s="40">
        <f>AZ900*d_rho_sip+AY901*IF(B901&gt;=in_marketplace_from,d_hz_sip*G901,0)</f>
        <v/>
      </c>
      <c r="BA901" s="40">
        <f>d_rho_sip*(BA900+AZ900)</f>
        <v/>
      </c>
      <c r="BB901" s="14">
        <f>F901*in_sip_ticket*(BA901+0.5*AZ901)*in_sip_comm/12</f>
        <v/>
      </c>
      <c r="BC901" s="40">
        <f>BC900*(1-IF(B900&gt;=in_marketplace_from,d_hz_choti*G900,0))</f>
        <v/>
      </c>
      <c r="BD901" s="46">
        <f>BC901*IF(B901&gt;=in_marketplace_from,d_hz_choti*G901,0)</f>
        <v/>
      </c>
      <c r="BE901" s="14">
        <f>F901*SUMIFS(BD886:BD928,B886:B928,B901-in_choti_months)*in_choti_renew*in_choti_ticket</f>
        <v/>
      </c>
      <c r="BF901" s="40">
        <f>BF900*(1-IF(B900&gt;=in_marketplace_from,d_hz_nps*G900,0))</f>
        <v/>
      </c>
      <c r="BG901" s="14">
        <f>F901*BF901*IF(B901&gt;=in_marketplace_from,d_hz_nps*G901,0)*in_nps_ticket*in_nps_comm</f>
        <v/>
      </c>
      <c r="BH901" s="40">
        <f>BH900*(1-IF(B900&gt;=in_marketplace_from,d_hz_gold*G900,0))</f>
        <v/>
      </c>
      <c r="BI901" s="40">
        <f>BI900*d_rho_gold+BH901*IF(B901&gt;=in_marketplace_from,d_hz_gold*G901,0)</f>
        <v/>
      </c>
      <c r="BJ901" s="14">
        <f>F901*BI901*in_gold_ticket*in_gold_comm</f>
        <v/>
      </c>
      <c r="BK901" s="40">
        <f>BK900*(1-IF(B900&gt;=in_marketplace_from,d_hz_fd*G900,0))</f>
        <v/>
      </c>
      <c r="BL901" s="14">
        <f>F901*BK901*IF(B901&gt;=in_marketplace_from,d_hz_fd*G901,0)*in_fd_ticket*in_fd_comm</f>
        <v/>
      </c>
      <c r="BM901" s="40">
        <f>BM900*(1-IF(B900&gt;=in_marketplace_from,d_hz_recharge*G900,0))</f>
        <v/>
      </c>
      <c r="BN901" s="40">
        <f>BN900*d_rho_recharge+BM901*IF(B901&gt;=in_marketplace_from,d_hz_recharge*G901,0)</f>
        <v/>
      </c>
      <c r="BO901" s="14">
        <f>F901*BN901*in_recharge_ticket*in_recharge_comm/12</f>
        <v/>
      </c>
      <c r="BP901" s="40">
        <f>BP900*(1-IF(B900&gt;=in_marketplace_from,d_hz_bills*G900,0))</f>
        <v/>
      </c>
      <c r="BQ901" s="40">
        <f>BQ900*d_rho_bills+BP901*IF(B901&gt;=in_marketplace_from,d_hz_bills*G901,0)</f>
        <v/>
      </c>
      <c r="BR901" s="14">
        <f>F901*BQ901*in_bills_ticket*in_bills_comm/12</f>
        <v/>
      </c>
      <c r="BS901" s="40">
        <f>BS900*(1-IF(B900&gt;=in_marketplace_from,d_hz_loan_gold*G900,0))</f>
        <v/>
      </c>
      <c r="BT901" s="14">
        <f>F901*BS901*IF(B901&gt;=in_marketplace_from,d_hz_loan_gold*G901,0)*in_loan_gold_ticket*in_loan_gold_comm</f>
        <v/>
      </c>
      <c r="BU901" s="40">
        <f>BU900*(1-IF(B900&gt;=in_marketplace_from,d_hz_loan_cd*G900,0))</f>
        <v/>
      </c>
      <c r="BV901" s="14">
        <f>F901*BU901*IF(B901&gt;=in_marketplace_from,d_hz_loan_cd*G901,0)*in_loan_cd_ticket*in_loan_cd_comm</f>
        <v/>
      </c>
      <c r="BW901" s="40">
        <f>BW900*(1-IF(B900&gt;=in_marketplace_from,d_hz_loan_vehicle*G900,0))</f>
        <v/>
      </c>
      <c r="BX901" s="14">
        <f>F901*BW901*IF(B901&gt;=in_marketplace_from,d_hz_loan_vehicle*G901,0)*in_loan_vehicle_ticket*in_loan_vehicle_comm</f>
        <v/>
      </c>
      <c r="BY901" s="40">
        <f>BY900*(1-IF(B900&gt;=in_marketplace_from,d_hz_loan_home*G900,0)*BZ900)</f>
        <v/>
      </c>
      <c r="BZ901" s="11">
        <f>MIN(in_approval_cap,in_loan_home_approval*INDEX('Age profile'!$O$2:$O$61,B901)*(1+in_approval_growth)^(D901-1))</f>
        <v/>
      </c>
      <c r="CA901" s="14">
        <f>F901*BY901*IF(B901&gt;=in_marketplace_from,d_hz_loan_home*G901,0)*BZ901*in_loan_home_ticket*in_loan_home_comm</f>
        <v/>
      </c>
      <c r="CB901" s="40">
        <f>CB900*(1-IF(B900&gt;=in_marketplace_from,d_hz_loan_lap*G900,0)*CC900)</f>
        <v/>
      </c>
      <c r="CC901" s="11">
        <f>MIN(in_approval_cap,in_loan_lap_approval*INDEX('Age profile'!$O$2:$O$61,B901)*(1+in_approval_growth)^(D901-1))</f>
        <v/>
      </c>
      <c r="CD901" s="14">
        <f>F901*CB901*IF(B901&gt;=in_marketplace_from,d_hz_loan_lap*G901,0)*CC901*in_loan_lap_ticket*in_loan_lap_comm</f>
        <v/>
      </c>
      <c r="CE901" s="14">
        <f>AA901+AB901+AC901+AD901+AG901+AJ901+AM901+AP901+AS901+AU901+AX901+BB901+BE901+BG901+BJ901+BL901+BO901+BR901+BT901+BV901+BX901+CA901+CD901</f>
        <v/>
      </c>
    </row>
    <row r="902">
      <c r="A902" s="39" t="n">
        <v>18</v>
      </c>
      <c r="B902" s="39" t="n">
        <v>17</v>
      </c>
      <c r="C902" s="39">
        <f>A902+B902-1</f>
        <v/>
      </c>
      <c r="D902" s="39">
        <f>INT((C902-1)/12)+1</f>
        <v/>
      </c>
      <c r="E902" s="44">
        <f>INDEX(Monthly!$B$2:$B$61,A902)</f>
        <v/>
      </c>
      <c r="F902" s="44">
        <f>E902*INDEX('Age profile'!$B$2:$B$61,B902)</f>
        <v/>
      </c>
      <c r="G902" s="45">
        <f>MIN(in_takeup_cap,INDEX('Age profile'!$N$2:$N$61,B902)*(1+in_takeup_growth)^(D902-1))</f>
        <v/>
      </c>
      <c r="H902" s="11">
        <f>MIN(in_approval_cap,in_approved_first*INDEX('Age profile'!$O$2:$O$61,B902)*(1+in_approval_growth)^(D902-1))</f>
        <v/>
      </c>
      <c r="I902" s="45">
        <f>G902*MIN(in_takeup_cap,INDEX('Age profile'!$O$2:$O$61,B902)*(1+in_approval_growth)^(D902-1))</f>
        <v/>
      </c>
      <c r="J902" s="40">
        <f>(J901-L901)*F902/F901</f>
        <v/>
      </c>
      <c r="K902" s="40">
        <f>(K901-M901)*F902/F901+SUMIFS(O886:O901,B886:B901,B902-1-d_T)*F902</f>
        <v/>
      </c>
      <c r="L902" s="40">
        <f>IF(B902&gt;=in_marketplace_from,J902*d_hz*G902*in_eligible*H902,0)</f>
        <v/>
      </c>
      <c r="M902" s="40">
        <f>IF(B902&gt;=in_marketplace_from,K902*d_hz*G902*in_eligible*in_approved_repeat,0)</f>
        <v/>
      </c>
      <c r="N902" s="40">
        <f>L902+M902</f>
        <v/>
      </c>
      <c r="O902" s="46">
        <f>N902/F902</f>
        <v/>
      </c>
      <c r="P902" s="40">
        <f>F902-J902-K902</f>
        <v/>
      </c>
      <c r="Q902" s="40">
        <f>IF(B902&gt;=in_marketplace_from,(J902+K902)*d_hz*G902,0)</f>
        <v/>
      </c>
      <c r="R902" s="40">
        <f>SUMIFS(N886:N928,B886:B928,"&gt;="&amp;(B902-d_T),B886:B928,"&lt;="&amp;(B902-1))</f>
        <v/>
      </c>
      <c r="S902" s="46">
        <f>(1-d_u)*S901+IF(d_T&gt;in_topup_lag,SUMIFS(O886:O928,B886:B928,B902-in_topup_lag)-d_udrop*SUMIFS(O886:O928,B886:B928,B902-d_T),0)</f>
        <v/>
      </c>
      <c r="T902" s="40">
        <f>F902*d_u*S902</f>
        <v/>
      </c>
      <c r="U902" s="9">
        <f>L902*in_ticket+M902*d_rep_ticket</f>
        <v/>
      </c>
      <c r="V902" s="9">
        <f>U902+T902*d_topup_amt</f>
        <v/>
      </c>
      <c r="W902" s="40">
        <f>N902+T902*d_topup_ratio</f>
        <v/>
      </c>
      <c r="X902" s="40">
        <f>SUMIFS(W886:W928,B886:B928,B902-in_dpd_lag)*d_cured</f>
        <v/>
      </c>
      <c r="Y902" s="40">
        <f>SUMIFS(W886:W928,B886:B928,B902-in_rec_lag)*d_recd</f>
        <v/>
      </c>
      <c r="Z902" s="40">
        <f>IF(AND(B902&gt;=in_marketplace_from,B902&lt;in_marketplace_from+in_card_months),in_card_share/in_card_months*F902*I902,IF(AND(B902&gt;=in_marketplace_from+in_card_months,B902&lt;in_marketplace_from+2*in_card_months),in_card_share*d_card_rem/in_card_months*F902*MIN(in_takeup_cap,(1+in_takeup_growth)^(D902-1))*MIN(in_takeup_cap,(1+in_approval_growth)^(D902-1)),0))</f>
        <v/>
      </c>
      <c r="AA902" s="14">
        <f>V902*in_fee*(1-in_taken_back)</f>
        <v/>
      </c>
      <c r="AB902" s="14">
        <f>SUMIFS(W886:W928,B886:B928,B902-in_dpd_lag)*d_dpd</f>
        <v/>
      </c>
      <c r="AC902" s="14">
        <f>SUMIFS(W886:W928,B886:B928,B902-in_rec_lag)*d_rec</f>
        <v/>
      </c>
      <c r="AD902" s="14">
        <f>Z902*in_card_fee</f>
        <v/>
      </c>
      <c r="AE902" s="40">
        <f>AE901*(1-IF(B901&gt;=in_marketplace_from,d_hz_hlth_small*G901,0))</f>
        <v/>
      </c>
      <c r="AF902" s="46">
        <f>AE902*IF(B902&gt;=in_marketplace_from,d_hz_hlth_small*G902,0)</f>
        <v/>
      </c>
      <c r="AG902" s="14">
        <f>F902*AF902*in_hlth_small_ticket*in_hlth_small_comm*in_ins_partner_share+F902*in_hlth_small_ticket*in_hlth_small_renew_comm*in_ins_partner_share*(in_hlth_small_renew^1*SUMIFS(AF886:AF928,B886:B928,B902-12)+in_hlth_small_renew^2*SUMIFS(AF886:AF928,B886:B928,B902-24)+in_hlth_small_renew^3*SUMIFS(AF886:AF928,B886:B928,B902-36)+in_hlth_small_renew^4*SUMIFS(AF886:AF928,B886:B928,B902-48))</f>
        <v/>
      </c>
      <c r="AH902" s="40">
        <f>AH901*(1-IF(B901&gt;=in_marketplace_from,d_hz_hlth_family*G901,0))</f>
        <v/>
      </c>
      <c r="AI902" s="46">
        <f>AH902*IF(B902&gt;=in_marketplace_from,d_hz_hlth_family*G902,0)</f>
        <v/>
      </c>
      <c r="AJ902" s="14">
        <f>F902*AI902*in_hlth_family_ticket*in_hlth_family_comm*in_ins_partner_share+F902*in_hlth_family_ticket*in_hlth_family_renew_comm*in_ins_partner_share*(in_hlth_family_renew^1*SUMIFS(AI886:AI928,B886:B928,B902-12)+in_hlth_family_renew^2*SUMIFS(AI886:AI928,B886:B928,B902-24)+in_hlth_family_renew^3*SUMIFS(AI886:AI928,B886:B928,B902-36)+in_hlth_family_renew^4*SUMIFS(AI886:AI928,B886:B928,B902-48))</f>
        <v/>
      </c>
      <c r="AK902" s="40">
        <f>AK901*(1-IF(B901&gt;=in_marketplace_from,d_hz_life_term*G901,0))</f>
        <v/>
      </c>
      <c r="AL902" s="46">
        <f>AK902*IF(B902&gt;=in_marketplace_from,d_hz_life_term*G902,0)</f>
        <v/>
      </c>
      <c r="AM902" s="14">
        <f>F902*AL902*in_life_term_ticket*in_life_term_comm*in_ins_partner_share+F902*in_life_term_ticket*in_life_term_renew_comm*in_ins_partner_share*(in_life_term_renew^1*SUMIFS(AL886:AL928,B886:B928,B902-12)+in_life_term_renew^2*SUMIFS(AL886:AL928,B886:B928,B902-24)+in_life_term_renew^3*SUMIFS(AL886:AL928,B886:B928,B902-36)+in_life_term_renew^4*SUMIFS(AL886:AL928,B886:B928,B902-48))</f>
        <v/>
      </c>
      <c r="AN902" s="40">
        <f>AN901*(1-IF(B901&gt;=in_marketplace_from,d_hz_accident*G901,0))</f>
        <v/>
      </c>
      <c r="AO902" s="46">
        <f>AN902*IF(B902&gt;=in_marketplace_from,d_hz_accident*G902,0)</f>
        <v/>
      </c>
      <c r="AP902" s="14">
        <f>F902*AO902*in_accident_ticket*in_accident_comm*in_ins_partner_share+F902*in_accident_ticket*in_accident_renew_comm*in_ins_partner_share*(in_accident_renew^1*SUMIFS(AO886:AO928,B886:B928,B902-12)+in_accident_renew^2*SUMIFS(AO886:AO928,B886:B928,B902-24)+in_accident_renew^3*SUMIFS(AO886:AO928,B886:B928,B902-36)+in_accident_renew^4*SUMIFS(AO886:AO928,B886:B928,B902-48))</f>
        <v/>
      </c>
      <c r="AQ902" s="40">
        <f>AQ901*(1-IF(B901&gt;=in_marketplace_from,d_hz_two_wheeler*G901,0))</f>
        <v/>
      </c>
      <c r="AR902" s="46">
        <f>AQ902*IF(B902&gt;=in_marketplace_from,d_hz_two_wheeler*G902,0)</f>
        <v/>
      </c>
      <c r="AS902" s="14">
        <f>F902*AR902*in_two_wheeler_ticket*in_two_wheeler_comm*in_ins_partner_share+F902*in_two_wheeler_ticket*in_two_wheeler_comm*in_ins_partner_share*(in_two_wheeler_renew^1*SUMIFS(AR886:AR928,B886:B928,B902-12)+in_two_wheeler_renew^2*SUMIFS(AR886:AR928,B886:B928,B902-24)+in_two_wheeler_renew^3*SUMIFS(AR886:AR928,B886:B928,B902-36)+in_two_wheeler_renew^4*SUMIFS(AR886:AR928,B886:B928,B902-48))</f>
        <v/>
      </c>
      <c r="AT902" s="40">
        <f>AT901*(1-IF(B901&gt;=in_marketplace_from,d_hz_device*G901,0))</f>
        <v/>
      </c>
      <c r="AU902" s="14">
        <f>F902*AT902*IF(B902&gt;=in_marketplace_from,d_hz_device*G902,0)*in_device_ticket*in_device_comm*in_ins_partner_share</f>
        <v/>
      </c>
      <c r="AV902" s="40">
        <f>AV901*(1-IF(B901&gt;=in_marketplace_from,d_hz_shop*G901,0))</f>
        <v/>
      </c>
      <c r="AW902" s="46">
        <f>AV902*IF(B902&gt;=in_marketplace_from,d_hz_shop*G902,0)</f>
        <v/>
      </c>
      <c r="AX902" s="14">
        <f>F902*AW902*in_shop_ticket*in_shop_comm*in_ins_partner_share+F902*in_shop_ticket*in_shop_renew_comm*in_ins_partner_share*(in_shop_renew^1*SUMIFS(AW886:AW928,B886:B928,B902-12)+in_shop_renew^2*SUMIFS(AW886:AW928,B886:B928,B902-24)+in_shop_renew^3*SUMIFS(AW886:AW928,B886:B928,B902-36)+in_shop_renew^4*SUMIFS(AW886:AW928,B886:B928,B902-48))</f>
        <v/>
      </c>
      <c r="AY902" s="40">
        <f>AY901*(1-IF(B901&gt;=in_marketplace_from,d_hz_sip*G901,0))</f>
        <v/>
      </c>
      <c r="AZ902" s="40">
        <f>AZ901*d_rho_sip+AY902*IF(B902&gt;=in_marketplace_from,d_hz_sip*G902,0)</f>
        <v/>
      </c>
      <c r="BA902" s="40">
        <f>d_rho_sip*(BA901+AZ901)</f>
        <v/>
      </c>
      <c r="BB902" s="14">
        <f>F902*in_sip_ticket*(BA902+0.5*AZ902)*in_sip_comm/12</f>
        <v/>
      </c>
      <c r="BC902" s="40">
        <f>BC901*(1-IF(B901&gt;=in_marketplace_from,d_hz_choti*G901,0))</f>
        <v/>
      </c>
      <c r="BD902" s="46">
        <f>BC902*IF(B902&gt;=in_marketplace_from,d_hz_choti*G902,0)</f>
        <v/>
      </c>
      <c r="BE902" s="14">
        <f>F902*SUMIFS(BD886:BD928,B886:B928,B902-in_choti_months)*in_choti_renew*in_choti_ticket</f>
        <v/>
      </c>
      <c r="BF902" s="40">
        <f>BF901*(1-IF(B901&gt;=in_marketplace_from,d_hz_nps*G901,0))</f>
        <v/>
      </c>
      <c r="BG902" s="14">
        <f>F902*BF902*IF(B902&gt;=in_marketplace_from,d_hz_nps*G902,0)*in_nps_ticket*in_nps_comm</f>
        <v/>
      </c>
      <c r="BH902" s="40">
        <f>BH901*(1-IF(B901&gt;=in_marketplace_from,d_hz_gold*G901,0))</f>
        <v/>
      </c>
      <c r="BI902" s="40">
        <f>BI901*d_rho_gold+BH902*IF(B902&gt;=in_marketplace_from,d_hz_gold*G902,0)</f>
        <v/>
      </c>
      <c r="BJ902" s="14">
        <f>F902*BI902*in_gold_ticket*in_gold_comm</f>
        <v/>
      </c>
      <c r="BK902" s="40">
        <f>BK901*(1-IF(B901&gt;=in_marketplace_from,d_hz_fd*G901,0))</f>
        <v/>
      </c>
      <c r="BL902" s="14">
        <f>F902*BK902*IF(B902&gt;=in_marketplace_from,d_hz_fd*G902,0)*in_fd_ticket*in_fd_comm</f>
        <v/>
      </c>
      <c r="BM902" s="40">
        <f>BM901*(1-IF(B901&gt;=in_marketplace_from,d_hz_recharge*G901,0))</f>
        <v/>
      </c>
      <c r="BN902" s="40">
        <f>BN901*d_rho_recharge+BM902*IF(B902&gt;=in_marketplace_from,d_hz_recharge*G902,0)</f>
        <v/>
      </c>
      <c r="BO902" s="14">
        <f>F902*BN902*in_recharge_ticket*in_recharge_comm/12</f>
        <v/>
      </c>
      <c r="BP902" s="40">
        <f>BP901*(1-IF(B901&gt;=in_marketplace_from,d_hz_bills*G901,0))</f>
        <v/>
      </c>
      <c r="BQ902" s="40">
        <f>BQ901*d_rho_bills+BP902*IF(B902&gt;=in_marketplace_from,d_hz_bills*G902,0)</f>
        <v/>
      </c>
      <c r="BR902" s="14">
        <f>F902*BQ902*in_bills_ticket*in_bills_comm/12</f>
        <v/>
      </c>
      <c r="BS902" s="40">
        <f>BS901*(1-IF(B901&gt;=in_marketplace_from,d_hz_loan_gold*G901,0))</f>
        <v/>
      </c>
      <c r="BT902" s="14">
        <f>F902*BS902*IF(B902&gt;=in_marketplace_from,d_hz_loan_gold*G902,0)*in_loan_gold_ticket*in_loan_gold_comm</f>
        <v/>
      </c>
      <c r="BU902" s="40">
        <f>BU901*(1-IF(B901&gt;=in_marketplace_from,d_hz_loan_cd*G901,0))</f>
        <v/>
      </c>
      <c r="BV902" s="14">
        <f>F902*BU902*IF(B902&gt;=in_marketplace_from,d_hz_loan_cd*G902,0)*in_loan_cd_ticket*in_loan_cd_comm</f>
        <v/>
      </c>
      <c r="BW902" s="40">
        <f>BW901*(1-IF(B901&gt;=in_marketplace_from,d_hz_loan_vehicle*G901,0))</f>
        <v/>
      </c>
      <c r="BX902" s="14">
        <f>F902*BW902*IF(B902&gt;=in_marketplace_from,d_hz_loan_vehicle*G902,0)*in_loan_vehicle_ticket*in_loan_vehicle_comm</f>
        <v/>
      </c>
      <c r="BY902" s="40">
        <f>BY901*(1-IF(B901&gt;=in_marketplace_from,d_hz_loan_home*G901,0)*BZ901)</f>
        <v/>
      </c>
      <c r="BZ902" s="11">
        <f>MIN(in_approval_cap,in_loan_home_approval*INDEX('Age profile'!$O$2:$O$61,B902)*(1+in_approval_growth)^(D902-1))</f>
        <v/>
      </c>
      <c r="CA902" s="14">
        <f>F902*BY902*IF(B902&gt;=in_marketplace_from,d_hz_loan_home*G902,0)*BZ902*in_loan_home_ticket*in_loan_home_comm</f>
        <v/>
      </c>
      <c r="CB902" s="40">
        <f>CB901*(1-IF(B901&gt;=in_marketplace_from,d_hz_loan_lap*G901,0)*CC901)</f>
        <v/>
      </c>
      <c r="CC902" s="11">
        <f>MIN(in_approval_cap,in_loan_lap_approval*INDEX('Age profile'!$O$2:$O$61,B902)*(1+in_approval_growth)^(D902-1))</f>
        <v/>
      </c>
      <c r="CD902" s="14">
        <f>F902*CB902*IF(B902&gt;=in_marketplace_from,d_hz_loan_lap*G902,0)*CC902*in_loan_lap_ticket*in_loan_lap_comm</f>
        <v/>
      </c>
      <c r="CE902" s="14">
        <f>AA902+AB902+AC902+AD902+AG902+AJ902+AM902+AP902+AS902+AU902+AX902+BB902+BE902+BG902+BJ902+BL902+BO902+BR902+BT902+BV902+BX902+CA902+CD902</f>
        <v/>
      </c>
    </row>
    <row r="903">
      <c r="A903" s="39" t="n">
        <v>18</v>
      </c>
      <c r="B903" s="39" t="n">
        <v>18</v>
      </c>
      <c r="C903" s="39">
        <f>A903+B903-1</f>
        <v/>
      </c>
      <c r="D903" s="39">
        <f>INT((C903-1)/12)+1</f>
        <v/>
      </c>
      <c r="E903" s="44">
        <f>INDEX(Monthly!$B$2:$B$61,A903)</f>
        <v/>
      </c>
      <c r="F903" s="44">
        <f>E903*INDEX('Age profile'!$B$2:$B$61,B903)</f>
        <v/>
      </c>
      <c r="G903" s="45">
        <f>MIN(in_takeup_cap,INDEX('Age profile'!$N$2:$N$61,B903)*(1+in_takeup_growth)^(D903-1))</f>
        <v/>
      </c>
      <c r="H903" s="11">
        <f>MIN(in_approval_cap,in_approved_first*INDEX('Age profile'!$O$2:$O$61,B903)*(1+in_approval_growth)^(D903-1))</f>
        <v/>
      </c>
      <c r="I903" s="45">
        <f>G903*MIN(in_takeup_cap,INDEX('Age profile'!$O$2:$O$61,B903)*(1+in_approval_growth)^(D903-1))</f>
        <v/>
      </c>
      <c r="J903" s="40">
        <f>(J902-L902)*F903/F902</f>
        <v/>
      </c>
      <c r="K903" s="40">
        <f>(K902-M902)*F903/F902+SUMIFS(O886:O902,B886:B902,B903-1-d_T)*F903</f>
        <v/>
      </c>
      <c r="L903" s="40">
        <f>IF(B903&gt;=in_marketplace_from,J903*d_hz*G903*in_eligible*H903,0)</f>
        <v/>
      </c>
      <c r="M903" s="40">
        <f>IF(B903&gt;=in_marketplace_from,K903*d_hz*G903*in_eligible*in_approved_repeat,0)</f>
        <v/>
      </c>
      <c r="N903" s="40">
        <f>L903+M903</f>
        <v/>
      </c>
      <c r="O903" s="46">
        <f>N903/F903</f>
        <v/>
      </c>
      <c r="P903" s="40">
        <f>F903-J903-K903</f>
        <v/>
      </c>
      <c r="Q903" s="40">
        <f>IF(B903&gt;=in_marketplace_from,(J903+K903)*d_hz*G903,0)</f>
        <v/>
      </c>
      <c r="R903" s="40">
        <f>SUMIFS(N886:N928,B886:B928,"&gt;="&amp;(B903-d_T),B886:B928,"&lt;="&amp;(B903-1))</f>
        <v/>
      </c>
      <c r="S903" s="46">
        <f>(1-d_u)*S902+IF(d_T&gt;in_topup_lag,SUMIFS(O886:O928,B886:B928,B903-in_topup_lag)-d_udrop*SUMIFS(O886:O928,B886:B928,B903-d_T),0)</f>
        <v/>
      </c>
      <c r="T903" s="40">
        <f>F903*d_u*S903</f>
        <v/>
      </c>
      <c r="U903" s="9">
        <f>L903*in_ticket+M903*d_rep_ticket</f>
        <v/>
      </c>
      <c r="V903" s="9">
        <f>U903+T903*d_topup_amt</f>
        <v/>
      </c>
      <c r="W903" s="40">
        <f>N903+T903*d_topup_ratio</f>
        <v/>
      </c>
      <c r="X903" s="40">
        <f>SUMIFS(W886:W928,B886:B928,B903-in_dpd_lag)*d_cured</f>
        <v/>
      </c>
      <c r="Y903" s="40">
        <f>SUMIFS(W886:W928,B886:B928,B903-in_rec_lag)*d_recd</f>
        <v/>
      </c>
      <c r="Z903" s="40">
        <f>IF(AND(B903&gt;=in_marketplace_from,B903&lt;in_marketplace_from+in_card_months),in_card_share/in_card_months*F903*I903,IF(AND(B903&gt;=in_marketplace_from+in_card_months,B903&lt;in_marketplace_from+2*in_card_months),in_card_share*d_card_rem/in_card_months*F903*MIN(in_takeup_cap,(1+in_takeup_growth)^(D903-1))*MIN(in_takeup_cap,(1+in_approval_growth)^(D903-1)),0))</f>
        <v/>
      </c>
      <c r="AA903" s="14">
        <f>V903*in_fee*(1-in_taken_back)</f>
        <v/>
      </c>
      <c r="AB903" s="14">
        <f>SUMIFS(W886:W928,B886:B928,B903-in_dpd_lag)*d_dpd</f>
        <v/>
      </c>
      <c r="AC903" s="14">
        <f>SUMIFS(W886:W928,B886:B928,B903-in_rec_lag)*d_rec</f>
        <v/>
      </c>
      <c r="AD903" s="14">
        <f>Z903*in_card_fee</f>
        <v/>
      </c>
      <c r="AE903" s="40">
        <f>AE902*(1-IF(B902&gt;=in_marketplace_from,d_hz_hlth_small*G902,0))</f>
        <v/>
      </c>
      <c r="AF903" s="46">
        <f>AE903*IF(B903&gt;=in_marketplace_from,d_hz_hlth_small*G903,0)</f>
        <v/>
      </c>
      <c r="AG903" s="14">
        <f>F903*AF903*in_hlth_small_ticket*in_hlth_small_comm*in_ins_partner_share+F903*in_hlth_small_ticket*in_hlth_small_renew_comm*in_ins_partner_share*(in_hlth_small_renew^1*SUMIFS(AF886:AF928,B886:B928,B903-12)+in_hlth_small_renew^2*SUMIFS(AF886:AF928,B886:B928,B903-24)+in_hlth_small_renew^3*SUMIFS(AF886:AF928,B886:B928,B903-36)+in_hlth_small_renew^4*SUMIFS(AF886:AF928,B886:B928,B903-48))</f>
        <v/>
      </c>
      <c r="AH903" s="40">
        <f>AH902*(1-IF(B902&gt;=in_marketplace_from,d_hz_hlth_family*G902,0))</f>
        <v/>
      </c>
      <c r="AI903" s="46">
        <f>AH903*IF(B903&gt;=in_marketplace_from,d_hz_hlth_family*G903,0)</f>
        <v/>
      </c>
      <c r="AJ903" s="14">
        <f>F903*AI903*in_hlth_family_ticket*in_hlth_family_comm*in_ins_partner_share+F903*in_hlth_family_ticket*in_hlth_family_renew_comm*in_ins_partner_share*(in_hlth_family_renew^1*SUMIFS(AI886:AI928,B886:B928,B903-12)+in_hlth_family_renew^2*SUMIFS(AI886:AI928,B886:B928,B903-24)+in_hlth_family_renew^3*SUMIFS(AI886:AI928,B886:B928,B903-36)+in_hlth_family_renew^4*SUMIFS(AI886:AI928,B886:B928,B903-48))</f>
        <v/>
      </c>
      <c r="AK903" s="40">
        <f>AK902*(1-IF(B902&gt;=in_marketplace_from,d_hz_life_term*G902,0))</f>
        <v/>
      </c>
      <c r="AL903" s="46">
        <f>AK903*IF(B903&gt;=in_marketplace_from,d_hz_life_term*G903,0)</f>
        <v/>
      </c>
      <c r="AM903" s="14">
        <f>F903*AL903*in_life_term_ticket*in_life_term_comm*in_ins_partner_share+F903*in_life_term_ticket*in_life_term_renew_comm*in_ins_partner_share*(in_life_term_renew^1*SUMIFS(AL886:AL928,B886:B928,B903-12)+in_life_term_renew^2*SUMIFS(AL886:AL928,B886:B928,B903-24)+in_life_term_renew^3*SUMIFS(AL886:AL928,B886:B928,B903-36)+in_life_term_renew^4*SUMIFS(AL886:AL928,B886:B928,B903-48))</f>
        <v/>
      </c>
      <c r="AN903" s="40">
        <f>AN902*(1-IF(B902&gt;=in_marketplace_from,d_hz_accident*G902,0))</f>
        <v/>
      </c>
      <c r="AO903" s="46">
        <f>AN903*IF(B903&gt;=in_marketplace_from,d_hz_accident*G903,0)</f>
        <v/>
      </c>
      <c r="AP903" s="14">
        <f>F903*AO903*in_accident_ticket*in_accident_comm*in_ins_partner_share+F903*in_accident_ticket*in_accident_renew_comm*in_ins_partner_share*(in_accident_renew^1*SUMIFS(AO886:AO928,B886:B928,B903-12)+in_accident_renew^2*SUMIFS(AO886:AO928,B886:B928,B903-24)+in_accident_renew^3*SUMIFS(AO886:AO928,B886:B928,B903-36)+in_accident_renew^4*SUMIFS(AO886:AO928,B886:B928,B903-48))</f>
        <v/>
      </c>
      <c r="AQ903" s="40">
        <f>AQ902*(1-IF(B902&gt;=in_marketplace_from,d_hz_two_wheeler*G902,0))</f>
        <v/>
      </c>
      <c r="AR903" s="46">
        <f>AQ903*IF(B903&gt;=in_marketplace_from,d_hz_two_wheeler*G903,0)</f>
        <v/>
      </c>
      <c r="AS903" s="14">
        <f>F903*AR903*in_two_wheeler_ticket*in_two_wheeler_comm*in_ins_partner_share+F903*in_two_wheeler_ticket*in_two_wheeler_comm*in_ins_partner_share*(in_two_wheeler_renew^1*SUMIFS(AR886:AR928,B886:B928,B903-12)+in_two_wheeler_renew^2*SUMIFS(AR886:AR928,B886:B928,B903-24)+in_two_wheeler_renew^3*SUMIFS(AR886:AR928,B886:B928,B903-36)+in_two_wheeler_renew^4*SUMIFS(AR886:AR928,B886:B928,B903-48))</f>
        <v/>
      </c>
      <c r="AT903" s="40">
        <f>AT902*(1-IF(B902&gt;=in_marketplace_from,d_hz_device*G902,0))</f>
        <v/>
      </c>
      <c r="AU903" s="14">
        <f>F903*AT903*IF(B903&gt;=in_marketplace_from,d_hz_device*G903,0)*in_device_ticket*in_device_comm*in_ins_partner_share</f>
        <v/>
      </c>
      <c r="AV903" s="40">
        <f>AV902*(1-IF(B902&gt;=in_marketplace_from,d_hz_shop*G902,0))</f>
        <v/>
      </c>
      <c r="AW903" s="46">
        <f>AV903*IF(B903&gt;=in_marketplace_from,d_hz_shop*G903,0)</f>
        <v/>
      </c>
      <c r="AX903" s="14">
        <f>F903*AW903*in_shop_ticket*in_shop_comm*in_ins_partner_share+F903*in_shop_ticket*in_shop_renew_comm*in_ins_partner_share*(in_shop_renew^1*SUMIFS(AW886:AW928,B886:B928,B903-12)+in_shop_renew^2*SUMIFS(AW886:AW928,B886:B928,B903-24)+in_shop_renew^3*SUMIFS(AW886:AW928,B886:B928,B903-36)+in_shop_renew^4*SUMIFS(AW886:AW928,B886:B928,B903-48))</f>
        <v/>
      </c>
      <c r="AY903" s="40">
        <f>AY902*(1-IF(B902&gt;=in_marketplace_from,d_hz_sip*G902,0))</f>
        <v/>
      </c>
      <c r="AZ903" s="40">
        <f>AZ902*d_rho_sip+AY903*IF(B903&gt;=in_marketplace_from,d_hz_sip*G903,0)</f>
        <v/>
      </c>
      <c r="BA903" s="40">
        <f>d_rho_sip*(BA902+AZ902)</f>
        <v/>
      </c>
      <c r="BB903" s="14">
        <f>F903*in_sip_ticket*(BA903+0.5*AZ903)*in_sip_comm/12</f>
        <v/>
      </c>
      <c r="BC903" s="40">
        <f>BC902*(1-IF(B902&gt;=in_marketplace_from,d_hz_choti*G902,0))</f>
        <v/>
      </c>
      <c r="BD903" s="46">
        <f>BC903*IF(B903&gt;=in_marketplace_from,d_hz_choti*G903,0)</f>
        <v/>
      </c>
      <c r="BE903" s="14">
        <f>F903*SUMIFS(BD886:BD928,B886:B928,B903-in_choti_months)*in_choti_renew*in_choti_ticket</f>
        <v/>
      </c>
      <c r="BF903" s="40">
        <f>BF902*(1-IF(B902&gt;=in_marketplace_from,d_hz_nps*G902,0))</f>
        <v/>
      </c>
      <c r="BG903" s="14">
        <f>F903*BF903*IF(B903&gt;=in_marketplace_from,d_hz_nps*G903,0)*in_nps_ticket*in_nps_comm</f>
        <v/>
      </c>
      <c r="BH903" s="40">
        <f>BH902*(1-IF(B902&gt;=in_marketplace_from,d_hz_gold*G902,0))</f>
        <v/>
      </c>
      <c r="BI903" s="40">
        <f>BI902*d_rho_gold+BH903*IF(B903&gt;=in_marketplace_from,d_hz_gold*G903,0)</f>
        <v/>
      </c>
      <c r="BJ903" s="14">
        <f>F903*BI903*in_gold_ticket*in_gold_comm</f>
        <v/>
      </c>
      <c r="BK903" s="40">
        <f>BK902*(1-IF(B902&gt;=in_marketplace_from,d_hz_fd*G902,0))</f>
        <v/>
      </c>
      <c r="BL903" s="14">
        <f>F903*BK903*IF(B903&gt;=in_marketplace_from,d_hz_fd*G903,0)*in_fd_ticket*in_fd_comm</f>
        <v/>
      </c>
      <c r="BM903" s="40">
        <f>BM902*(1-IF(B902&gt;=in_marketplace_from,d_hz_recharge*G902,0))</f>
        <v/>
      </c>
      <c r="BN903" s="40">
        <f>BN902*d_rho_recharge+BM903*IF(B903&gt;=in_marketplace_from,d_hz_recharge*G903,0)</f>
        <v/>
      </c>
      <c r="BO903" s="14">
        <f>F903*BN903*in_recharge_ticket*in_recharge_comm/12</f>
        <v/>
      </c>
      <c r="BP903" s="40">
        <f>BP902*(1-IF(B902&gt;=in_marketplace_from,d_hz_bills*G902,0))</f>
        <v/>
      </c>
      <c r="BQ903" s="40">
        <f>BQ902*d_rho_bills+BP903*IF(B903&gt;=in_marketplace_from,d_hz_bills*G903,0)</f>
        <v/>
      </c>
      <c r="BR903" s="14">
        <f>F903*BQ903*in_bills_ticket*in_bills_comm/12</f>
        <v/>
      </c>
      <c r="BS903" s="40">
        <f>BS902*(1-IF(B902&gt;=in_marketplace_from,d_hz_loan_gold*G902,0))</f>
        <v/>
      </c>
      <c r="BT903" s="14">
        <f>F903*BS903*IF(B903&gt;=in_marketplace_from,d_hz_loan_gold*G903,0)*in_loan_gold_ticket*in_loan_gold_comm</f>
        <v/>
      </c>
      <c r="BU903" s="40">
        <f>BU902*(1-IF(B902&gt;=in_marketplace_from,d_hz_loan_cd*G902,0))</f>
        <v/>
      </c>
      <c r="BV903" s="14">
        <f>F903*BU903*IF(B903&gt;=in_marketplace_from,d_hz_loan_cd*G903,0)*in_loan_cd_ticket*in_loan_cd_comm</f>
        <v/>
      </c>
      <c r="BW903" s="40">
        <f>BW902*(1-IF(B902&gt;=in_marketplace_from,d_hz_loan_vehicle*G902,0))</f>
        <v/>
      </c>
      <c r="BX903" s="14">
        <f>F903*BW903*IF(B903&gt;=in_marketplace_from,d_hz_loan_vehicle*G903,0)*in_loan_vehicle_ticket*in_loan_vehicle_comm</f>
        <v/>
      </c>
      <c r="BY903" s="40">
        <f>BY902*(1-IF(B902&gt;=in_marketplace_from,d_hz_loan_home*G902,0)*BZ902)</f>
        <v/>
      </c>
      <c r="BZ903" s="11">
        <f>MIN(in_approval_cap,in_loan_home_approval*INDEX('Age profile'!$O$2:$O$61,B903)*(1+in_approval_growth)^(D903-1))</f>
        <v/>
      </c>
      <c r="CA903" s="14">
        <f>F903*BY903*IF(B903&gt;=in_marketplace_from,d_hz_loan_home*G903,0)*BZ903*in_loan_home_ticket*in_loan_home_comm</f>
        <v/>
      </c>
      <c r="CB903" s="40">
        <f>CB902*(1-IF(B902&gt;=in_marketplace_from,d_hz_loan_lap*G902,0)*CC902)</f>
        <v/>
      </c>
      <c r="CC903" s="11">
        <f>MIN(in_approval_cap,in_loan_lap_approval*INDEX('Age profile'!$O$2:$O$61,B903)*(1+in_approval_growth)^(D903-1))</f>
        <v/>
      </c>
      <c r="CD903" s="14">
        <f>F903*CB903*IF(B903&gt;=in_marketplace_from,d_hz_loan_lap*G903,0)*CC903*in_loan_lap_ticket*in_loan_lap_comm</f>
        <v/>
      </c>
      <c r="CE903" s="14">
        <f>AA903+AB903+AC903+AD903+AG903+AJ903+AM903+AP903+AS903+AU903+AX903+BB903+BE903+BG903+BJ903+BL903+BO903+BR903+BT903+BV903+BX903+CA903+CD903</f>
        <v/>
      </c>
    </row>
    <row r="904">
      <c r="A904" s="39" t="n">
        <v>18</v>
      </c>
      <c r="B904" s="39" t="n">
        <v>19</v>
      </c>
      <c r="C904" s="39">
        <f>A904+B904-1</f>
        <v/>
      </c>
      <c r="D904" s="39">
        <f>INT((C904-1)/12)+1</f>
        <v/>
      </c>
      <c r="E904" s="44">
        <f>INDEX(Monthly!$B$2:$B$61,A904)</f>
        <v/>
      </c>
      <c r="F904" s="44">
        <f>E904*INDEX('Age profile'!$B$2:$B$61,B904)</f>
        <v/>
      </c>
      <c r="G904" s="45">
        <f>MIN(in_takeup_cap,INDEX('Age profile'!$N$2:$N$61,B904)*(1+in_takeup_growth)^(D904-1))</f>
        <v/>
      </c>
      <c r="H904" s="11">
        <f>MIN(in_approval_cap,in_approved_first*INDEX('Age profile'!$O$2:$O$61,B904)*(1+in_approval_growth)^(D904-1))</f>
        <v/>
      </c>
      <c r="I904" s="45">
        <f>G904*MIN(in_takeup_cap,INDEX('Age profile'!$O$2:$O$61,B904)*(1+in_approval_growth)^(D904-1))</f>
        <v/>
      </c>
      <c r="J904" s="40">
        <f>(J903-L903)*F904/F903</f>
        <v/>
      </c>
      <c r="K904" s="40">
        <f>(K903-M903)*F904/F903+SUMIFS(O886:O903,B886:B903,B904-1-d_T)*F904</f>
        <v/>
      </c>
      <c r="L904" s="40">
        <f>IF(B904&gt;=in_marketplace_from,J904*d_hz*G904*in_eligible*H904,0)</f>
        <v/>
      </c>
      <c r="M904" s="40">
        <f>IF(B904&gt;=in_marketplace_from,K904*d_hz*G904*in_eligible*in_approved_repeat,0)</f>
        <v/>
      </c>
      <c r="N904" s="40">
        <f>L904+M904</f>
        <v/>
      </c>
      <c r="O904" s="46">
        <f>N904/F904</f>
        <v/>
      </c>
      <c r="P904" s="40">
        <f>F904-J904-K904</f>
        <v/>
      </c>
      <c r="Q904" s="40">
        <f>IF(B904&gt;=in_marketplace_from,(J904+K904)*d_hz*G904,0)</f>
        <v/>
      </c>
      <c r="R904" s="40">
        <f>SUMIFS(N886:N928,B886:B928,"&gt;="&amp;(B904-d_T),B886:B928,"&lt;="&amp;(B904-1))</f>
        <v/>
      </c>
      <c r="S904" s="46">
        <f>(1-d_u)*S903+IF(d_T&gt;in_topup_lag,SUMIFS(O886:O928,B886:B928,B904-in_topup_lag)-d_udrop*SUMIFS(O886:O928,B886:B928,B904-d_T),0)</f>
        <v/>
      </c>
      <c r="T904" s="40">
        <f>F904*d_u*S904</f>
        <v/>
      </c>
      <c r="U904" s="9">
        <f>L904*in_ticket+M904*d_rep_ticket</f>
        <v/>
      </c>
      <c r="V904" s="9">
        <f>U904+T904*d_topup_amt</f>
        <v/>
      </c>
      <c r="W904" s="40">
        <f>N904+T904*d_topup_ratio</f>
        <v/>
      </c>
      <c r="X904" s="40">
        <f>SUMIFS(W886:W928,B886:B928,B904-in_dpd_lag)*d_cured</f>
        <v/>
      </c>
      <c r="Y904" s="40">
        <f>SUMIFS(W886:W928,B886:B928,B904-in_rec_lag)*d_recd</f>
        <v/>
      </c>
      <c r="Z904" s="40">
        <f>IF(AND(B904&gt;=in_marketplace_from,B904&lt;in_marketplace_from+in_card_months),in_card_share/in_card_months*F904*I904,IF(AND(B904&gt;=in_marketplace_from+in_card_months,B904&lt;in_marketplace_from+2*in_card_months),in_card_share*d_card_rem/in_card_months*F904*MIN(in_takeup_cap,(1+in_takeup_growth)^(D904-1))*MIN(in_takeup_cap,(1+in_approval_growth)^(D904-1)),0))</f>
        <v/>
      </c>
      <c r="AA904" s="14">
        <f>V904*in_fee*(1-in_taken_back)</f>
        <v/>
      </c>
      <c r="AB904" s="14">
        <f>SUMIFS(W886:W928,B886:B928,B904-in_dpd_lag)*d_dpd</f>
        <v/>
      </c>
      <c r="AC904" s="14">
        <f>SUMIFS(W886:W928,B886:B928,B904-in_rec_lag)*d_rec</f>
        <v/>
      </c>
      <c r="AD904" s="14">
        <f>Z904*in_card_fee</f>
        <v/>
      </c>
      <c r="AE904" s="40">
        <f>AE903*(1-IF(B903&gt;=in_marketplace_from,d_hz_hlth_small*G903,0))</f>
        <v/>
      </c>
      <c r="AF904" s="46">
        <f>AE904*IF(B904&gt;=in_marketplace_from,d_hz_hlth_small*G904,0)</f>
        <v/>
      </c>
      <c r="AG904" s="14">
        <f>F904*AF904*in_hlth_small_ticket*in_hlth_small_comm*in_ins_partner_share+F904*in_hlth_small_ticket*in_hlth_small_renew_comm*in_ins_partner_share*(in_hlth_small_renew^1*SUMIFS(AF886:AF928,B886:B928,B904-12)+in_hlth_small_renew^2*SUMIFS(AF886:AF928,B886:B928,B904-24)+in_hlth_small_renew^3*SUMIFS(AF886:AF928,B886:B928,B904-36)+in_hlth_small_renew^4*SUMIFS(AF886:AF928,B886:B928,B904-48))</f>
        <v/>
      </c>
      <c r="AH904" s="40">
        <f>AH903*(1-IF(B903&gt;=in_marketplace_from,d_hz_hlth_family*G903,0))</f>
        <v/>
      </c>
      <c r="AI904" s="46">
        <f>AH904*IF(B904&gt;=in_marketplace_from,d_hz_hlth_family*G904,0)</f>
        <v/>
      </c>
      <c r="AJ904" s="14">
        <f>F904*AI904*in_hlth_family_ticket*in_hlth_family_comm*in_ins_partner_share+F904*in_hlth_family_ticket*in_hlth_family_renew_comm*in_ins_partner_share*(in_hlth_family_renew^1*SUMIFS(AI886:AI928,B886:B928,B904-12)+in_hlth_family_renew^2*SUMIFS(AI886:AI928,B886:B928,B904-24)+in_hlth_family_renew^3*SUMIFS(AI886:AI928,B886:B928,B904-36)+in_hlth_family_renew^4*SUMIFS(AI886:AI928,B886:B928,B904-48))</f>
        <v/>
      </c>
      <c r="AK904" s="40">
        <f>AK903*(1-IF(B903&gt;=in_marketplace_from,d_hz_life_term*G903,0))</f>
        <v/>
      </c>
      <c r="AL904" s="46">
        <f>AK904*IF(B904&gt;=in_marketplace_from,d_hz_life_term*G904,0)</f>
        <v/>
      </c>
      <c r="AM904" s="14">
        <f>F904*AL904*in_life_term_ticket*in_life_term_comm*in_ins_partner_share+F904*in_life_term_ticket*in_life_term_renew_comm*in_ins_partner_share*(in_life_term_renew^1*SUMIFS(AL886:AL928,B886:B928,B904-12)+in_life_term_renew^2*SUMIFS(AL886:AL928,B886:B928,B904-24)+in_life_term_renew^3*SUMIFS(AL886:AL928,B886:B928,B904-36)+in_life_term_renew^4*SUMIFS(AL886:AL928,B886:B928,B904-48))</f>
        <v/>
      </c>
      <c r="AN904" s="40">
        <f>AN903*(1-IF(B903&gt;=in_marketplace_from,d_hz_accident*G903,0))</f>
        <v/>
      </c>
      <c r="AO904" s="46">
        <f>AN904*IF(B904&gt;=in_marketplace_from,d_hz_accident*G904,0)</f>
        <v/>
      </c>
      <c r="AP904" s="14">
        <f>F904*AO904*in_accident_ticket*in_accident_comm*in_ins_partner_share+F904*in_accident_ticket*in_accident_renew_comm*in_ins_partner_share*(in_accident_renew^1*SUMIFS(AO886:AO928,B886:B928,B904-12)+in_accident_renew^2*SUMIFS(AO886:AO928,B886:B928,B904-24)+in_accident_renew^3*SUMIFS(AO886:AO928,B886:B928,B904-36)+in_accident_renew^4*SUMIFS(AO886:AO928,B886:B928,B904-48))</f>
        <v/>
      </c>
      <c r="AQ904" s="40">
        <f>AQ903*(1-IF(B903&gt;=in_marketplace_from,d_hz_two_wheeler*G903,0))</f>
        <v/>
      </c>
      <c r="AR904" s="46">
        <f>AQ904*IF(B904&gt;=in_marketplace_from,d_hz_two_wheeler*G904,0)</f>
        <v/>
      </c>
      <c r="AS904" s="14">
        <f>F904*AR904*in_two_wheeler_ticket*in_two_wheeler_comm*in_ins_partner_share+F904*in_two_wheeler_ticket*in_two_wheeler_comm*in_ins_partner_share*(in_two_wheeler_renew^1*SUMIFS(AR886:AR928,B886:B928,B904-12)+in_two_wheeler_renew^2*SUMIFS(AR886:AR928,B886:B928,B904-24)+in_two_wheeler_renew^3*SUMIFS(AR886:AR928,B886:B928,B904-36)+in_two_wheeler_renew^4*SUMIFS(AR886:AR928,B886:B928,B904-48))</f>
        <v/>
      </c>
      <c r="AT904" s="40">
        <f>AT903*(1-IF(B903&gt;=in_marketplace_from,d_hz_device*G903,0))</f>
        <v/>
      </c>
      <c r="AU904" s="14">
        <f>F904*AT904*IF(B904&gt;=in_marketplace_from,d_hz_device*G904,0)*in_device_ticket*in_device_comm*in_ins_partner_share</f>
        <v/>
      </c>
      <c r="AV904" s="40">
        <f>AV903*(1-IF(B903&gt;=in_marketplace_from,d_hz_shop*G903,0))</f>
        <v/>
      </c>
      <c r="AW904" s="46">
        <f>AV904*IF(B904&gt;=in_marketplace_from,d_hz_shop*G904,0)</f>
        <v/>
      </c>
      <c r="AX904" s="14">
        <f>F904*AW904*in_shop_ticket*in_shop_comm*in_ins_partner_share+F904*in_shop_ticket*in_shop_renew_comm*in_ins_partner_share*(in_shop_renew^1*SUMIFS(AW886:AW928,B886:B928,B904-12)+in_shop_renew^2*SUMIFS(AW886:AW928,B886:B928,B904-24)+in_shop_renew^3*SUMIFS(AW886:AW928,B886:B928,B904-36)+in_shop_renew^4*SUMIFS(AW886:AW928,B886:B928,B904-48))</f>
        <v/>
      </c>
      <c r="AY904" s="40">
        <f>AY903*(1-IF(B903&gt;=in_marketplace_from,d_hz_sip*G903,0))</f>
        <v/>
      </c>
      <c r="AZ904" s="40">
        <f>AZ903*d_rho_sip+AY904*IF(B904&gt;=in_marketplace_from,d_hz_sip*G904,0)</f>
        <v/>
      </c>
      <c r="BA904" s="40">
        <f>d_rho_sip*(BA903+AZ903)</f>
        <v/>
      </c>
      <c r="BB904" s="14">
        <f>F904*in_sip_ticket*(BA904+0.5*AZ904)*in_sip_comm/12</f>
        <v/>
      </c>
      <c r="BC904" s="40">
        <f>BC903*(1-IF(B903&gt;=in_marketplace_from,d_hz_choti*G903,0))</f>
        <v/>
      </c>
      <c r="BD904" s="46">
        <f>BC904*IF(B904&gt;=in_marketplace_from,d_hz_choti*G904,0)</f>
        <v/>
      </c>
      <c r="BE904" s="14">
        <f>F904*SUMIFS(BD886:BD928,B886:B928,B904-in_choti_months)*in_choti_renew*in_choti_ticket</f>
        <v/>
      </c>
      <c r="BF904" s="40">
        <f>BF903*(1-IF(B903&gt;=in_marketplace_from,d_hz_nps*G903,0))</f>
        <v/>
      </c>
      <c r="BG904" s="14">
        <f>F904*BF904*IF(B904&gt;=in_marketplace_from,d_hz_nps*G904,0)*in_nps_ticket*in_nps_comm</f>
        <v/>
      </c>
      <c r="BH904" s="40">
        <f>BH903*(1-IF(B903&gt;=in_marketplace_from,d_hz_gold*G903,0))</f>
        <v/>
      </c>
      <c r="BI904" s="40">
        <f>BI903*d_rho_gold+BH904*IF(B904&gt;=in_marketplace_from,d_hz_gold*G904,0)</f>
        <v/>
      </c>
      <c r="BJ904" s="14">
        <f>F904*BI904*in_gold_ticket*in_gold_comm</f>
        <v/>
      </c>
      <c r="BK904" s="40">
        <f>BK903*(1-IF(B903&gt;=in_marketplace_from,d_hz_fd*G903,0))</f>
        <v/>
      </c>
      <c r="BL904" s="14">
        <f>F904*BK904*IF(B904&gt;=in_marketplace_from,d_hz_fd*G904,0)*in_fd_ticket*in_fd_comm</f>
        <v/>
      </c>
      <c r="BM904" s="40">
        <f>BM903*(1-IF(B903&gt;=in_marketplace_from,d_hz_recharge*G903,0))</f>
        <v/>
      </c>
      <c r="BN904" s="40">
        <f>BN903*d_rho_recharge+BM904*IF(B904&gt;=in_marketplace_from,d_hz_recharge*G904,0)</f>
        <v/>
      </c>
      <c r="BO904" s="14">
        <f>F904*BN904*in_recharge_ticket*in_recharge_comm/12</f>
        <v/>
      </c>
      <c r="BP904" s="40">
        <f>BP903*(1-IF(B903&gt;=in_marketplace_from,d_hz_bills*G903,0))</f>
        <v/>
      </c>
      <c r="BQ904" s="40">
        <f>BQ903*d_rho_bills+BP904*IF(B904&gt;=in_marketplace_from,d_hz_bills*G904,0)</f>
        <v/>
      </c>
      <c r="BR904" s="14">
        <f>F904*BQ904*in_bills_ticket*in_bills_comm/12</f>
        <v/>
      </c>
      <c r="BS904" s="40">
        <f>BS903*(1-IF(B903&gt;=in_marketplace_from,d_hz_loan_gold*G903,0))</f>
        <v/>
      </c>
      <c r="BT904" s="14">
        <f>F904*BS904*IF(B904&gt;=in_marketplace_from,d_hz_loan_gold*G904,0)*in_loan_gold_ticket*in_loan_gold_comm</f>
        <v/>
      </c>
      <c r="BU904" s="40">
        <f>BU903*(1-IF(B903&gt;=in_marketplace_from,d_hz_loan_cd*G903,0))</f>
        <v/>
      </c>
      <c r="BV904" s="14">
        <f>F904*BU904*IF(B904&gt;=in_marketplace_from,d_hz_loan_cd*G904,0)*in_loan_cd_ticket*in_loan_cd_comm</f>
        <v/>
      </c>
      <c r="BW904" s="40">
        <f>BW903*(1-IF(B903&gt;=in_marketplace_from,d_hz_loan_vehicle*G903,0))</f>
        <v/>
      </c>
      <c r="BX904" s="14">
        <f>F904*BW904*IF(B904&gt;=in_marketplace_from,d_hz_loan_vehicle*G904,0)*in_loan_vehicle_ticket*in_loan_vehicle_comm</f>
        <v/>
      </c>
      <c r="BY904" s="40">
        <f>BY903*(1-IF(B903&gt;=in_marketplace_from,d_hz_loan_home*G903,0)*BZ903)</f>
        <v/>
      </c>
      <c r="BZ904" s="11">
        <f>MIN(in_approval_cap,in_loan_home_approval*INDEX('Age profile'!$O$2:$O$61,B904)*(1+in_approval_growth)^(D904-1))</f>
        <v/>
      </c>
      <c r="CA904" s="14">
        <f>F904*BY904*IF(B904&gt;=in_marketplace_from,d_hz_loan_home*G904,0)*BZ904*in_loan_home_ticket*in_loan_home_comm</f>
        <v/>
      </c>
      <c r="CB904" s="40">
        <f>CB903*(1-IF(B903&gt;=in_marketplace_from,d_hz_loan_lap*G903,0)*CC903)</f>
        <v/>
      </c>
      <c r="CC904" s="11">
        <f>MIN(in_approval_cap,in_loan_lap_approval*INDEX('Age profile'!$O$2:$O$61,B904)*(1+in_approval_growth)^(D904-1))</f>
        <v/>
      </c>
      <c r="CD904" s="14">
        <f>F904*CB904*IF(B904&gt;=in_marketplace_from,d_hz_loan_lap*G904,0)*CC904*in_loan_lap_ticket*in_loan_lap_comm</f>
        <v/>
      </c>
      <c r="CE904" s="14">
        <f>AA904+AB904+AC904+AD904+AG904+AJ904+AM904+AP904+AS904+AU904+AX904+BB904+BE904+BG904+BJ904+BL904+BO904+BR904+BT904+BV904+BX904+CA904+CD904</f>
        <v/>
      </c>
    </row>
    <row r="905">
      <c r="A905" s="39" t="n">
        <v>18</v>
      </c>
      <c r="B905" s="39" t="n">
        <v>20</v>
      </c>
      <c r="C905" s="39">
        <f>A905+B905-1</f>
        <v/>
      </c>
      <c r="D905" s="39">
        <f>INT((C905-1)/12)+1</f>
        <v/>
      </c>
      <c r="E905" s="44">
        <f>INDEX(Monthly!$B$2:$B$61,A905)</f>
        <v/>
      </c>
      <c r="F905" s="44">
        <f>E905*INDEX('Age profile'!$B$2:$B$61,B905)</f>
        <v/>
      </c>
      <c r="G905" s="45">
        <f>MIN(in_takeup_cap,INDEX('Age profile'!$N$2:$N$61,B905)*(1+in_takeup_growth)^(D905-1))</f>
        <v/>
      </c>
      <c r="H905" s="11">
        <f>MIN(in_approval_cap,in_approved_first*INDEX('Age profile'!$O$2:$O$61,B905)*(1+in_approval_growth)^(D905-1))</f>
        <v/>
      </c>
      <c r="I905" s="45">
        <f>G905*MIN(in_takeup_cap,INDEX('Age profile'!$O$2:$O$61,B905)*(1+in_approval_growth)^(D905-1))</f>
        <v/>
      </c>
      <c r="J905" s="40">
        <f>(J904-L904)*F905/F904</f>
        <v/>
      </c>
      <c r="K905" s="40">
        <f>(K904-M904)*F905/F904+SUMIFS(O886:O904,B886:B904,B905-1-d_T)*F905</f>
        <v/>
      </c>
      <c r="L905" s="40">
        <f>IF(B905&gt;=in_marketplace_from,J905*d_hz*G905*in_eligible*H905,0)</f>
        <v/>
      </c>
      <c r="M905" s="40">
        <f>IF(B905&gt;=in_marketplace_from,K905*d_hz*G905*in_eligible*in_approved_repeat,0)</f>
        <v/>
      </c>
      <c r="N905" s="40">
        <f>L905+M905</f>
        <v/>
      </c>
      <c r="O905" s="46">
        <f>N905/F905</f>
        <v/>
      </c>
      <c r="P905" s="40">
        <f>F905-J905-K905</f>
        <v/>
      </c>
      <c r="Q905" s="40">
        <f>IF(B905&gt;=in_marketplace_from,(J905+K905)*d_hz*G905,0)</f>
        <v/>
      </c>
      <c r="R905" s="40">
        <f>SUMIFS(N886:N928,B886:B928,"&gt;="&amp;(B905-d_T),B886:B928,"&lt;="&amp;(B905-1))</f>
        <v/>
      </c>
      <c r="S905" s="46">
        <f>(1-d_u)*S904+IF(d_T&gt;in_topup_lag,SUMIFS(O886:O928,B886:B928,B905-in_topup_lag)-d_udrop*SUMIFS(O886:O928,B886:B928,B905-d_T),0)</f>
        <v/>
      </c>
      <c r="T905" s="40">
        <f>F905*d_u*S905</f>
        <v/>
      </c>
      <c r="U905" s="9">
        <f>L905*in_ticket+M905*d_rep_ticket</f>
        <v/>
      </c>
      <c r="V905" s="9">
        <f>U905+T905*d_topup_amt</f>
        <v/>
      </c>
      <c r="W905" s="40">
        <f>N905+T905*d_topup_ratio</f>
        <v/>
      </c>
      <c r="X905" s="40">
        <f>SUMIFS(W886:W928,B886:B928,B905-in_dpd_lag)*d_cured</f>
        <v/>
      </c>
      <c r="Y905" s="40">
        <f>SUMIFS(W886:W928,B886:B928,B905-in_rec_lag)*d_recd</f>
        <v/>
      </c>
      <c r="Z905" s="40">
        <f>IF(AND(B905&gt;=in_marketplace_from,B905&lt;in_marketplace_from+in_card_months),in_card_share/in_card_months*F905*I905,IF(AND(B905&gt;=in_marketplace_from+in_card_months,B905&lt;in_marketplace_from+2*in_card_months),in_card_share*d_card_rem/in_card_months*F905*MIN(in_takeup_cap,(1+in_takeup_growth)^(D905-1))*MIN(in_takeup_cap,(1+in_approval_growth)^(D905-1)),0))</f>
        <v/>
      </c>
      <c r="AA905" s="14">
        <f>V905*in_fee*(1-in_taken_back)</f>
        <v/>
      </c>
      <c r="AB905" s="14">
        <f>SUMIFS(W886:W928,B886:B928,B905-in_dpd_lag)*d_dpd</f>
        <v/>
      </c>
      <c r="AC905" s="14">
        <f>SUMIFS(W886:W928,B886:B928,B905-in_rec_lag)*d_rec</f>
        <v/>
      </c>
      <c r="AD905" s="14">
        <f>Z905*in_card_fee</f>
        <v/>
      </c>
      <c r="AE905" s="40">
        <f>AE904*(1-IF(B904&gt;=in_marketplace_from,d_hz_hlth_small*G904,0))</f>
        <v/>
      </c>
      <c r="AF905" s="46">
        <f>AE905*IF(B905&gt;=in_marketplace_from,d_hz_hlth_small*G905,0)</f>
        <v/>
      </c>
      <c r="AG905" s="14">
        <f>F905*AF905*in_hlth_small_ticket*in_hlth_small_comm*in_ins_partner_share+F905*in_hlth_small_ticket*in_hlth_small_renew_comm*in_ins_partner_share*(in_hlth_small_renew^1*SUMIFS(AF886:AF928,B886:B928,B905-12)+in_hlth_small_renew^2*SUMIFS(AF886:AF928,B886:B928,B905-24)+in_hlth_small_renew^3*SUMIFS(AF886:AF928,B886:B928,B905-36)+in_hlth_small_renew^4*SUMIFS(AF886:AF928,B886:B928,B905-48))</f>
        <v/>
      </c>
      <c r="AH905" s="40">
        <f>AH904*(1-IF(B904&gt;=in_marketplace_from,d_hz_hlth_family*G904,0))</f>
        <v/>
      </c>
      <c r="AI905" s="46">
        <f>AH905*IF(B905&gt;=in_marketplace_from,d_hz_hlth_family*G905,0)</f>
        <v/>
      </c>
      <c r="AJ905" s="14">
        <f>F905*AI905*in_hlth_family_ticket*in_hlth_family_comm*in_ins_partner_share+F905*in_hlth_family_ticket*in_hlth_family_renew_comm*in_ins_partner_share*(in_hlth_family_renew^1*SUMIFS(AI886:AI928,B886:B928,B905-12)+in_hlth_family_renew^2*SUMIFS(AI886:AI928,B886:B928,B905-24)+in_hlth_family_renew^3*SUMIFS(AI886:AI928,B886:B928,B905-36)+in_hlth_family_renew^4*SUMIFS(AI886:AI928,B886:B928,B905-48))</f>
        <v/>
      </c>
      <c r="AK905" s="40">
        <f>AK904*(1-IF(B904&gt;=in_marketplace_from,d_hz_life_term*G904,0))</f>
        <v/>
      </c>
      <c r="AL905" s="46">
        <f>AK905*IF(B905&gt;=in_marketplace_from,d_hz_life_term*G905,0)</f>
        <v/>
      </c>
      <c r="AM905" s="14">
        <f>F905*AL905*in_life_term_ticket*in_life_term_comm*in_ins_partner_share+F905*in_life_term_ticket*in_life_term_renew_comm*in_ins_partner_share*(in_life_term_renew^1*SUMIFS(AL886:AL928,B886:B928,B905-12)+in_life_term_renew^2*SUMIFS(AL886:AL928,B886:B928,B905-24)+in_life_term_renew^3*SUMIFS(AL886:AL928,B886:B928,B905-36)+in_life_term_renew^4*SUMIFS(AL886:AL928,B886:B928,B905-48))</f>
        <v/>
      </c>
      <c r="AN905" s="40">
        <f>AN904*(1-IF(B904&gt;=in_marketplace_from,d_hz_accident*G904,0))</f>
        <v/>
      </c>
      <c r="AO905" s="46">
        <f>AN905*IF(B905&gt;=in_marketplace_from,d_hz_accident*G905,0)</f>
        <v/>
      </c>
      <c r="AP905" s="14">
        <f>F905*AO905*in_accident_ticket*in_accident_comm*in_ins_partner_share+F905*in_accident_ticket*in_accident_renew_comm*in_ins_partner_share*(in_accident_renew^1*SUMIFS(AO886:AO928,B886:B928,B905-12)+in_accident_renew^2*SUMIFS(AO886:AO928,B886:B928,B905-24)+in_accident_renew^3*SUMIFS(AO886:AO928,B886:B928,B905-36)+in_accident_renew^4*SUMIFS(AO886:AO928,B886:B928,B905-48))</f>
        <v/>
      </c>
      <c r="AQ905" s="40">
        <f>AQ904*(1-IF(B904&gt;=in_marketplace_from,d_hz_two_wheeler*G904,0))</f>
        <v/>
      </c>
      <c r="AR905" s="46">
        <f>AQ905*IF(B905&gt;=in_marketplace_from,d_hz_two_wheeler*G905,0)</f>
        <v/>
      </c>
      <c r="AS905" s="14">
        <f>F905*AR905*in_two_wheeler_ticket*in_two_wheeler_comm*in_ins_partner_share+F905*in_two_wheeler_ticket*in_two_wheeler_comm*in_ins_partner_share*(in_two_wheeler_renew^1*SUMIFS(AR886:AR928,B886:B928,B905-12)+in_two_wheeler_renew^2*SUMIFS(AR886:AR928,B886:B928,B905-24)+in_two_wheeler_renew^3*SUMIFS(AR886:AR928,B886:B928,B905-36)+in_two_wheeler_renew^4*SUMIFS(AR886:AR928,B886:B928,B905-48))</f>
        <v/>
      </c>
      <c r="AT905" s="40">
        <f>AT904*(1-IF(B904&gt;=in_marketplace_from,d_hz_device*G904,0))</f>
        <v/>
      </c>
      <c r="AU905" s="14">
        <f>F905*AT905*IF(B905&gt;=in_marketplace_from,d_hz_device*G905,0)*in_device_ticket*in_device_comm*in_ins_partner_share</f>
        <v/>
      </c>
      <c r="AV905" s="40">
        <f>AV904*(1-IF(B904&gt;=in_marketplace_from,d_hz_shop*G904,0))</f>
        <v/>
      </c>
      <c r="AW905" s="46">
        <f>AV905*IF(B905&gt;=in_marketplace_from,d_hz_shop*G905,0)</f>
        <v/>
      </c>
      <c r="AX905" s="14">
        <f>F905*AW905*in_shop_ticket*in_shop_comm*in_ins_partner_share+F905*in_shop_ticket*in_shop_renew_comm*in_ins_partner_share*(in_shop_renew^1*SUMIFS(AW886:AW928,B886:B928,B905-12)+in_shop_renew^2*SUMIFS(AW886:AW928,B886:B928,B905-24)+in_shop_renew^3*SUMIFS(AW886:AW928,B886:B928,B905-36)+in_shop_renew^4*SUMIFS(AW886:AW928,B886:B928,B905-48))</f>
        <v/>
      </c>
      <c r="AY905" s="40">
        <f>AY904*(1-IF(B904&gt;=in_marketplace_from,d_hz_sip*G904,0))</f>
        <v/>
      </c>
      <c r="AZ905" s="40">
        <f>AZ904*d_rho_sip+AY905*IF(B905&gt;=in_marketplace_from,d_hz_sip*G905,0)</f>
        <v/>
      </c>
      <c r="BA905" s="40">
        <f>d_rho_sip*(BA904+AZ904)</f>
        <v/>
      </c>
      <c r="BB905" s="14">
        <f>F905*in_sip_ticket*(BA905+0.5*AZ905)*in_sip_comm/12</f>
        <v/>
      </c>
      <c r="BC905" s="40">
        <f>BC904*(1-IF(B904&gt;=in_marketplace_from,d_hz_choti*G904,0))</f>
        <v/>
      </c>
      <c r="BD905" s="46">
        <f>BC905*IF(B905&gt;=in_marketplace_from,d_hz_choti*G905,0)</f>
        <v/>
      </c>
      <c r="BE905" s="14">
        <f>F905*SUMIFS(BD886:BD928,B886:B928,B905-in_choti_months)*in_choti_renew*in_choti_ticket</f>
        <v/>
      </c>
      <c r="BF905" s="40">
        <f>BF904*(1-IF(B904&gt;=in_marketplace_from,d_hz_nps*G904,0))</f>
        <v/>
      </c>
      <c r="BG905" s="14">
        <f>F905*BF905*IF(B905&gt;=in_marketplace_from,d_hz_nps*G905,0)*in_nps_ticket*in_nps_comm</f>
        <v/>
      </c>
      <c r="BH905" s="40">
        <f>BH904*(1-IF(B904&gt;=in_marketplace_from,d_hz_gold*G904,0))</f>
        <v/>
      </c>
      <c r="BI905" s="40">
        <f>BI904*d_rho_gold+BH905*IF(B905&gt;=in_marketplace_from,d_hz_gold*G905,0)</f>
        <v/>
      </c>
      <c r="BJ905" s="14">
        <f>F905*BI905*in_gold_ticket*in_gold_comm</f>
        <v/>
      </c>
      <c r="BK905" s="40">
        <f>BK904*(1-IF(B904&gt;=in_marketplace_from,d_hz_fd*G904,0))</f>
        <v/>
      </c>
      <c r="BL905" s="14">
        <f>F905*BK905*IF(B905&gt;=in_marketplace_from,d_hz_fd*G905,0)*in_fd_ticket*in_fd_comm</f>
        <v/>
      </c>
      <c r="BM905" s="40">
        <f>BM904*(1-IF(B904&gt;=in_marketplace_from,d_hz_recharge*G904,0))</f>
        <v/>
      </c>
      <c r="BN905" s="40">
        <f>BN904*d_rho_recharge+BM905*IF(B905&gt;=in_marketplace_from,d_hz_recharge*G905,0)</f>
        <v/>
      </c>
      <c r="BO905" s="14">
        <f>F905*BN905*in_recharge_ticket*in_recharge_comm/12</f>
        <v/>
      </c>
      <c r="BP905" s="40">
        <f>BP904*(1-IF(B904&gt;=in_marketplace_from,d_hz_bills*G904,0))</f>
        <v/>
      </c>
      <c r="BQ905" s="40">
        <f>BQ904*d_rho_bills+BP905*IF(B905&gt;=in_marketplace_from,d_hz_bills*G905,0)</f>
        <v/>
      </c>
      <c r="BR905" s="14">
        <f>F905*BQ905*in_bills_ticket*in_bills_comm/12</f>
        <v/>
      </c>
      <c r="BS905" s="40">
        <f>BS904*(1-IF(B904&gt;=in_marketplace_from,d_hz_loan_gold*G904,0))</f>
        <v/>
      </c>
      <c r="BT905" s="14">
        <f>F905*BS905*IF(B905&gt;=in_marketplace_from,d_hz_loan_gold*G905,0)*in_loan_gold_ticket*in_loan_gold_comm</f>
        <v/>
      </c>
      <c r="BU905" s="40">
        <f>BU904*(1-IF(B904&gt;=in_marketplace_from,d_hz_loan_cd*G904,0))</f>
        <v/>
      </c>
      <c r="BV905" s="14">
        <f>F905*BU905*IF(B905&gt;=in_marketplace_from,d_hz_loan_cd*G905,0)*in_loan_cd_ticket*in_loan_cd_comm</f>
        <v/>
      </c>
      <c r="BW905" s="40">
        <f>BW904*(1-IF(B904&gt;=in_marketplace_from,d_hz_loan_vehicle*G904,0))</f>
        <v/>
      </c>
      <c r="BX905" s="14">
        <f>F905*BW905*IF(B905&gt;=in_marketplace_from,d_hz_loan_vehicle*G905,0)*in_loan_vehicle_ticket*in_loan_vehicle_comm</f>
        <v/>
      </c>
      <c r="BY905" s="40">
        <f>BY904*(1-IF(B904&gt;=in_marketplace_from,d_hz_loan_home*G904,0)*BZ904)</f>
        <v/>
      </c>
      <c r="BZ905" s="11">
        <f>MIN(in_approval_cap,in_loan_home_approval*INDEX('Age profile'!$O$2:$O$61,B905)*(1+in_approval_growth)^(D905-1))</f>
        <v/>
      </c>
      <c r="CA905" s="14">
        <f>F905*BY905*IF(B905&gt;=in_marketplace_from,d_hz_loan_home*G905,0)*BZ905*in_loan_home_ticket*in_loan_home_comm</f>
        <v/>
      </c>
      <c r="CB905" s="40">
        <f>CB904*(1-IF(B904&gt;=in_marketplace_from,d_hz_loan_lap*G904,0)*CC904)</f>
        <v/>
      </c>
      <c r="CC905" s="11">
        <f>MIN(in_approval_cap,in_loan_lap_approval*INDEX('Age profile'!$O$2:$O$61,B905)*(1+in_approval_growth)^(D905-1))</f>
        <v/>
      </c>
      <c r="CD905" s="14">
        <f>F905*CB905*IF(B905&gt;=in_marketplace_from,d_hz_loan_lap*G905,0)*CC905*in_loan_lap_ticket*in_loan_lap_comm</f>
        <v/>
      </c>
      <c r="CE905" s="14">
        <f>AA905+AB905+AC905+AD905+AG905+AJ905+AM905+AP905+AS905+AU905+AX905+BB905+BE905+BG905+BJ905+BL905+BO905+BR905+BT905+BV905+BX905+CA905+CD905</f>
        <v/>
      </c>
    </row>
    <row r="906">
      <c r="A906" s="39" t="n">
        <v>18</v>
      </c>
      <c r="B906" s="39" t="n">
        <v>21</v>
      </c>
      <c r="C906" s="39">
        <f>A906+B906-1</f>
        <v/>
      </c>
      <c r="D906" s="39">
        <f>INT((C906-1)/12)+1</f>
        <v/>
      </c>
      <c r="E906" s="44">
        <f>INDEX(Monthly!$B$2:$B$61,A906)</f>
        <v/>
      </c>
      <c r="F906" s="44">
        <f>E906*INDEX('Age profile'!$B$2:$B$61,B906)</f>
        <v/>
      </c>
      <c r="G906" s="45">
        <f>MIN(in_takeup_cap,INDEX('Age profile'!$N$2:$N$61,B906)*(1+in_takeup_growth)^(D906-1))</f>
        <v/>
      </c>
      <c r="H906" s="11">
        <f>MIN(in_approval_cap,in_approved_first*INDEX('Age profile'!$O$2:$O$61,B906)*(1+in_approval_growth)^(D906-1))</f>
        <v/>
      </c>
      <c r="I906" s="45">
        <f>G906*MIN(in_takeup_cap,INDEX('Age profile'!$O$2:$O$61,B906)*(1+in_approval_growth)^(D906-1))</f>
        <v/>
      </c>
      <c r="J906" s="40">
        <f>(J905-L905)*F906/F905</f>
        <v/>
      </c>
      <c r="K906" s="40">
        <f>(K905-M905)*F906/F905+SUMIFS(O886:O905,B886:B905,B906-1-d_T)*F906</f>
        <v/>
      </c>
      <c r="L906" s="40">
        <f>IF(B906&gt;=in_marketplace_from,J906*d_hz*G906*in_eligible*H906,0)</f>
        <v/>
      </c>
      <c r="M906" s="40">
        <f>IF(B906&gt;=in_marketplace_from,K906*d_hz*G906*in_eligible*in_approved_repeat,0)</f>
        <v/>
      </c>
      <c r="N906" s="40">
        <f>L906+M906</f>
        <v/>
      </c>
      <c r="O906" s="46">
        <f>N906/F906</f>
        <v/>
      </c>
      <c r="P906" s="40">
        <f>F906-J906-K906</f>
        <v/>
      </c>
      <c r="Q906" s="40">
        <f>IF(B906&gt;=in_marketplace_from,(J906+K906)*d_hz*G906,0)</f>
        <v/>
      </c>
      <c r="R906" s="40">
        <f>SUMIFS(N886:N928,B886:B928,"&gt;="&amp;(B906-d_T),B886:B928,"&lt;="&amp;(B906-1))</f>
        <v/>
      </c>
      <c r="S906" s="46">
        <f>(1-d_u)*S905+IF(d_T&gt;in_topup_lag,SUMIFS(O886:O928,B886:B928,B906-in_topup_lag)-d_udrop*SUMIFS(O886:O928,B886:B928,B906-d_T),0)</f>
        <v/>
      </c>
      <c r="T906" s="40">
        <f>F906*d_u*S906</f>
        <v/>
      </c>
      <c r="U906" s="9">
        <f>L906*in_ticket+M906*d_rep_ticket</f>
        <v/>
      </c>
      <c r="V906" s="9">
        <f>U906+T906*d_topup_amt</f>
        <v/>
      </c>
      <c r="W906" s="40">
        <f>N906+T906*d_topup_ratio</f>
        <v/>
      </c>
      <c r="X906" s="40">
        <f>SUMIFS(W886:W928,B886:B928,B906-in_dpd_lag)*d_cured</f>
        <v/>
      </c>
      <c r="Y906" s="40">
        <f>SUMIFS(W886:W928,B886:B928,B906-in_rec_lag)*d_recd</f>
        <v/>
      </c>
      <c r="Z906" s="40">
        <f>IF(AND(B906&gt;=in_marketplace_from,B906&lt;in_marketplace_from+in_card_months),in_card_share/in_card_months*F906*I906,IF(AND(B906&gt;=in_marketplace_from+in_card_months,B906&lt;in_marketplace_from+2*in_card_months),in_card_share*d_card_rem/in_card_months*F906*MIN(in_takeup_cap,(1+in_takeup_growth)^(D906-1))*MIN(in_takeup_cap,(1+in_approval_growth)^(D906-1)),0))</f>
        <v/>
      </c>
      <c r="AA906" s="14">
        <f>V906*in_fee*(1-in_taken_back)</f>
        <v/>
      </c>
      <c r="AB906" s="14">
        <f>SUMIFS(W886:W928,B886:B928,B906-in_dpd_lag)*d_dpd</f>
        <v/>
      </c>
      <c r="AC906" s="14">
        <f>SUMIFS(W886:W928,B886:B928,B906-in_rec_lag)*d_rec</f>
        <v/>
      </c>
      <c r="AD906" s="14">
        <f>Z906*in_card_fee</f>
        <v/>
      </c>
      <c r="AE906" s="40">
        <f>AE905*(1-IF(B905&gt;=in_marketplace_from,d_hz_hlth_small*G905,0))</f>
        <v/>
      </c>
      <c r="AF906" s="46">
        <f>AE906*IF(B906&gt;=in_marketplace_from,d_hz_hlth_small*G906,0)</f>
        <v/>
      </c>
      <c r="AG906" s="14">
        <f>F906*AF906*in_hlth_small_ticket*in_hlth_small_comm*in_ins_partner_share+F906*in_hlth_small_ticket*in_hlth_small_renew_comm*in_ins_partner_share*(in_hlth_small_renew^1*SUMIFS(AF886:AF928,B886:B928,B906-12)+in_hlth_small_renew^2*SUMIFS(AF886:AF928,B886:B928,B906-24)+in_hlth_small_renew^3*SUMIFS(AF886:AF928,B886:B928,B906-36)+in_hlth_small_renew^4*SUMIFS(AF886:AF928,B886:B928,B906-48))</f>
        <v/>
      </c>
      <c r="AH906" s="40">
        <f>AH905*(1-IF(B905&gt;=in_marketplace_from,d_hz_hlth_family*G905,0))</f>
        <v/>
      </c>
      <c r="AI906" s="46">
        <f>AH906*IF(B906&gt;=in_marketplace_from,d_hz_hlth_family*G906,0)</f>
        <v/>
      </c>
      <c r="AJ906" s="14">
        <f>F906*AI906*in_hlth_family_ticket*in_hlth_family_comm*in_ins_partner_share+F906*in_hlth_family_ticket*in_hlth_family_renew_comm*in_ins_partner_share*(in_hlth_family_renew^1*SUMIFS(AI886:AI928,B886:B928,B906-12)+in_hlth_family_renew^2*SUMIFS(AI886:AI928,B886:B928,B906-24)+in_hlth_family_renew^3*SUMIFS(AI886:AI928,B886:B928,B906-36)+in_hlth_family_renew^4*SUMIFS(AI886:AI928,B886:B928,B906-48))</f>
        <v/>
      </c>
      <c r="AK906" s="40">
        <f>AK905*(1-IF(B905&gt;=in_marketplace_from,d_hz_life_term*G905,0))</f>
        <v/>
      </c>
      <c r="AL906" s="46">
        <f>AK906*IF(B906&gt;=in_marketplace_from,d_hz_life_term*G906,0)</f>
        <v/>
      </c>
      <c r="AM906" s="14">
        <f>F906*AL906*in_life_term_ticket*in_life_term_comm*in_ins_partner_share+F906*in_life_term_ticket*in_life_term_renew_comm*in_ins_partner_share*(in_life_term_renew^1*SUMIFS(AL886:AL928,B886:B928,B906-12)+in_life_term_renew^2*SUMIFS(AL886:AL928,B886:B928,B906-24)+in_life_term_renew^3*SUMIFS(AL886:AL928,B886:B928,B906-36)+in_life_term_renew^4*SUMIFS(AL886:AL928,B886:B928,B906-48))</f>
        <v/>
      </c>
      <c r="AN906" s="40">
        <f>AN905*(1-IF(B905&gt;=in_marketplace_from,d_hz_accident*G905,0))</f>
        <v/>
      </c>
      <c r="AO906" s="46">
        <f>AN906*IF(B906&gt;=in_marketplace_from,d_hz_accident*G906,0)</f>
        <v/>
      </c>
      <c r="AP906" s="14">
        <f>F906*AO906*in_accident_ticket*in_accident_comm*in_ins_partner_share+F906*in_accident_ticket*in_accident_renew_comm*in_ins_partner_share*(in_accident_renew^1*SUMIFS(AO886:AO928,B886:B928,B906-12)+in_accident_renew^2*SUMIFS(AO886:AO928,B886:B928,B906-24)+in_accident_renew^3*SUMIFS(AO886:AO928,B886:B928,B906-36)+in_accident_renew^4*SUMIFS(AO886:AO928,B886:B928,B906-48))</f>
        <v/>
      </c>
      <c r="AQ906" s="40">
        <f>AQ905*(1-IF(B905&gt;=in_marketplace_from,d_hz_two_wheeler*G905,0))</f>
        <v/>
      </c>
      <c r="AR906" s="46">
        <f>AQ906*IF(B906&gt;=in_marketplace_from,d_hz_two_wheeler*G906,0)</f>
        <v/>
      </c>
      <c r="AS906" s="14">
        <f>F906*AR906*in_two_wheeler_ticket*in_two_wheeler_comm*in_ins_partner_share+F906*in_two_wheeler_ticket*in_two_wheeler_comm*in_ins_partner_share*(in_two_wheeler_renew^1*SUMIFS(AR886:AR928,B886:B928,B906-12)+in_two_wheeler_renew^2*SUMIFS(AR886:AR928,B886:B928,B906-24)+in_two_wheeler_renew^3*SUMIFS(AR886:AR928,B886:B928,B906-36)+in_two_wheeler_renew^4*SUMIFS(AR886:AR928,B886:B928,B906-48))</f>
        <v/>
      </c>
      <c r="AT906" s="40">
        <f>AT905*(1-IF(B905&gt;=in_marketplace_from,d_hz_device*G905,0))</f>
        <v/>
      </c>
      <c r="AU906" s="14">
        <f>F906*AT906*IF(B906&gt;=in_marketplace_from,d_hz_device*G906,0)*in_device_ticket*in_device_comm*in_ins_partner_share</f>
        <v/>
      </c>
      <c r="AV906" s="40">
        <f>AV905*(1-IF(B905&gt;=in_marketplace_from,d_hz_shop*G905,0))</f>
        <v/>
      </c>
      <c r="AW906" s="46">
        <f>AV906*IF(B906&gt;=in_marketplace_from,d_hz_shop*G906,0)</f>
        <v/>
      </c>
      <c r="AX906" s="14">
        <f>F906*AW906*in_shop_ticket*in_shop_comm*in_ins_partner_share+F906*in_shop_ticket*in_shop_renew_comm*in_ins_partner_share*(in_shop_renew^1*SUMIFS(AW886:AW928,B886:B928,B906-12)+in_shop_renew^2*SUMIFS(AW886:AW928,B886:B928,B906-24)+in_shop_renew^3*SUMIFS(AW886:AW928,B886:B928,B906-36)+in_shop_renew^4*SUMIFS(AW886:AW928,B886:B928,B906-48))</f>
        <v/>
      </c>
      <c r="AY906" s="40">
        <f>AY905*(1-IF(B905&gt;=in_marketplace_from,d_hz_sip*G905,0))</f>
        <v/>
      </c>
      <c r="AZ906" s="40">
        <f>AZ905*d_rho_sip+AY906*IF(B906&gt;=in_marketplace_from,d_hz_sip*G906,0)</f>
        <v/>
      </c>
      <c r="BA906" s="40">
        <f>d_rho_sip*(BA905+AZ905)</f>
        <v/>
      </c>
      <c r="BB906" s="14">
        <f>F906*in_sip_ticket*(BA906+0.5*AZ906)*in_sip_comm/12</f>
        <v/>
      </c>
      <c r="BC906" s="40">
        <f>BC905*(1-IF(B905&gt;=in_marketplace_from,d_hz_choti*G905,0))</f>
        <v/>
      </c>
      <c r="BD906" s="46">
        <f>BC906*IF(B906&gt;=in_marketplace_from,d_hz_choti*G906,0)</f>
        <v/>
      </c>
      <c r="BE906" s="14">
        <f>F906*SUMIFS(BD886:BD928,B886:B928,B906-in_choti_months)*in_choti_renew*in_choti_ticket</f>
        <v/>
      </c>
      <c r="BF906" s="40">
        <f>BF905*(1-IF(B905&gt;=in_marketplace_from,d_hz_nps*G905,0))</f>
        <v/>
      </c>
      <c r="BG906" s="14">
        <f>F906*BF906*IF(B906&gt;=in_marketplace_from,d_hz_nps*G906,0)*in_nps_ticket*in_nps_comm</f>
        <v/>
      </c>
      <c r="BH906" s="40">
        <f>BH905*(1-IF(B905&gt;=in_marketplace_from,d_hz_gold*G905,0))</f>
        <v/>
      </c>
      <c r="BI906" s="40">
        <f>BI905*d_rho_gold+BH906*IF(B906&gt;=in_marketplace_from,d_hz_gold*G906,0)</f>
        <v/>
      </c>
      <c r="BJ906" s="14">
        <f>F906*BI906*in_gold_ticket*in_gold_comm</f>
        <v/>
      </c>
      <c r="BK906" s="40">
        <f>BK905*(1-IF(B905&gt;=in_marketplace_from,d_hz_fd*G905,0))</f>
        <v/>
      </c>
      <c r="BL906" s="14">
        <f>F906*BK906*IF(B906&gt;=in_marketplace_from,d_hz_fd*G906,0)*in_fd_ticket*in_fd_comm</f>
        <v/>
      </c>
      <c r="BM906" s="40">
        <f>BM905*(1-IF(B905&gt;=in_marketplace_from,d_hz_recharge*G905,0))</f>
        <v/>
      </c>
      <c r="BN906" s="40">
        <f>BN905*d_rho_recharge+BM906*IF(B906&gt;=in_marketplace_from,d_hz_recharge*G906,0)</f>
        <v/>
      </c>
      <c r="BO906" s="14">
        <f>F906*BN906*in_recharge_ticket*in_recharge_comm/12</f>
        <v/>
      </c>
      <c r="BP906" s="40">
        <f>BP905*(1-IF(B905&gt;=in_marketplace_from,d_hz_bills*G905,0))</f>
        <v/>
      </c>
      <c r="BQ906" s="40">
        <f>BQ905*d_rho_bills+BP906*IF(B906&gt;=in_marketplace_from,d_hz_bills*G906,0)</f>
        <v/>
      </c>
      <c r="BR906" s="14">
        <f>F906*BQ906*in_bills_ticket*in_bills_comm/12</f>
        <v/>
      </c>
      <c r="BS906" s="40">
        <f>BS905*(1-IF(B905&gt;=in_marketplace_from,d_hz_loan_gold*G905,0))</f>
        <v/>
      </c>
      <c r="BT906" s="14">
        <f>F906*BS906*IF(B906&gt;=in_marketplace_from,d_hz_loan_gold*G906,0)*in_loan_gold_ticket*in_loan_gold_comm</f>
        <v/>
      </c>
      <c r="BU906" s="40">
        <f>BU905*(1-IF(B905&gt;=in_marketplace_from,d_hz_loan_cd*G905,0))</f>
        <v/>
      </c>
      <c r="BV906" s="14">
        <f>F906*BU906*IF(B906&gt;=in_marketplace_from,d_hz_loan_cd*G906,0)*in_loan_cd_ticket*in_loan_cd_comm</f>
        <v/>
      </c>
      <c r="BW906" s="40">
        <f>BW905*(1-IF(B905&gt;=in_marketplace_from,d_hz_loan_vehicle*G905,0))</f>
        <v/>
      </c>
      <c r="BX906" s="14">
        <f>F906*BW906*IF(B906&gt;=in_marketplace_from,d_hz_loan_vehicle*G906,0)*in_loan_vehicle_ticket*in_loan_vehicle_comm</f>
        <v/>
      </c>
      <c r="BY906" s="40">
        <f>BY905*(1-IF(B905&gt;=in_marketplace_from,d_hz_loan_home*G905,0)*BZ905)</f>
        <v/>
      </c>
      <c r="BZ906" s="11">
        <f>MIN(in_approval_cap,in_loan_home_approval*INDEX('Age profile'!$O$2:$O$61,B906)*(1+in_approval_growth)^(D906-1))</f>
        <v/>
      </c>
      <c r="CA906" s="14">
        <f>F906*BY906*IF(B906&gt;=in_marketplace_from,d_hz_loan_home*G906,0)*BZ906*in_loan_home_ticket*in_loan_home_comm</f>
        <v/>
      </c>
      <c r="CB906" s="40">
        <f>CB905*(1-IF(B905&gt;=in_marketplace_from,d_hz_loan_lap*G905,0)*CC905)</f>
        <v/>
      </c>
      <c r="CC906" s="11">
        <f>MIN(in_approval_cap,in_loan_lap_approval*INDEX('Age profile'!$O$2:$O$61,B906)*(1+in_approval_growth)^(D906-1))</f>
        <v/>
      </c>
      <c r="CD906" s="14">
        <f>F906*CB906*IF(B906&gt;=in_marketplace_from,d_hz_loan_lap*G906,0)*CC906*in_loan_lap_ticket*in_loan_lap_comm</f>
        <v/>
      </c>
      <c r="CE906" s="14">
        <f>AA906+AB906+AC906+AD906+AG906+AJ906+AM906+AP906+AS906+AU906+AX906+BB906+BE906+BG906+BJ906+BL906+BO906+BR906+BT906+BV906+BX906+CA906+CD906</f>
        <v/>
      </c>
    </row>
    <row r="907">
      <c r="A907" s="39" t="n">
        <v>18</v>
      </c>
      <c r="B907" s="39" t="n">
        <v>22</v>
      </c>
      <c r="C907" s="39">
        <f>A907+B907-1</f>
        <v/>
      </c>
      <c r="D907" s="39">
        <f>INT((C907-1)/12)+1</f>
        <v/>
      </c>
      <c r="E907" s="44">
        <f>INDEX(Monthly!$B$2:$B$61,A907)</f>
        <v/>
      </c>
      <c r="F907" s="44">
        <f>E907*INDEX('Age profile'!$B$2:$B$61,B907)</f>
        <v/>
      </c>
      <c r="G907" s="45">
        <f>MIN(in_takeup_cap,INDEX('Age profile'!$N$2:$N$61,B907)*(1+in_takeup_growth)^(D907-1))</f>
        <v/>
      </c>
      <c r="H907" s="11">
        <f>MIN(in_approval_cap,in_approved_first*INDEX('Age profile'!$O$2:$O$61,B907)*(1+in_approval_growth)^(D907-1))</f>
        <v/>
      </c>
      <c r="I907" s="45">
        <f>G907*MIN(in_takeup_cap,INDEX('Age profile'!$O$2:$O$61,B907)*(1+in_approval_growth)^(D907-1))</f>
        <v/>
      </c>
      <c r="J907" s="40">
        <f>(J906-L906)*F907/F906</f>
        <v/>
      </c>
      <c r="K907" s="40">
        <f>(K906-M906)*F907/F906+SUMIFS(O886:O906,B886:B906,B907-1-d_T)*F907</f>
        <v/>
      </c>
      <c r="L907" s="40">
        <f>IF(B907&gt;=in_marketplace_from,J907*d_hz*G907*in_eligible*H907,0)</f>
        <v/>
      </c>
      <c r="M907" s="40">
        <f>IF(B907&gt;=in_marketplace_from,K907*d_hz*G907*in_eligible*in_approved_repeat,0)</f>
        <v/>
      </c>
      <c r="N907" s="40">
        <f>L907+M907</f>
        <v/>
      </c>
      <c r="O907" s="46">
        <f>N907/F907</f>
        <v/>
      </c>
      <c r="P907" s="40">
        <f>F907-J907-K907</f>
        <v/>
      </c>
      <c r="Q907" s="40">
        <f>IF(B907&gt;=in_marketplace_from,(J907+K907)*d_hz*G907,0)</f>
        <v/>
      </c>
      <c r="R907" s="40">
        <f>SUMIFS(N886:N928,B886:B928,"&gt;="&amp;(B907-d_T),B886:B928,"&lt;="&amp;(B907-1))</f>
        <v/>
      </c>
      <c r="S907" s="46">
        <f>(1-d_u)*S906+IF(d_T&gt;in_topup_lag,SUMIFS(O886:O928,B886:B928,B907-in_topup_lag)-d_udrop*SUMIFS(O886:O928,B886:B928,B907-d_T),0)</f>
        <v/>
      </c>
      <c r="T907" s="40">
        <f>F907*d_u*S907</f>
        <v/>
      </c>
      <c r="U907" s="9">
        <f>L907*in_ticket+M907*d_rep_ticket</f>
        <v/>
      </c>
      <c r="V907" s="9">
        <f>U907+T907*d_topup_amt</f>
        <v/>
      </c>
      <c r="W907" s="40">
        <f>N907+T907*d_topup_ratio</f>
        <v/>
      </c>
      <c r="X907" s="40">
        <f>SUMIFS(W886:W928,B886:B928,B907-in_dpd_lag)*d_cured</f>
        <v/>
      </c>
      <c r="Y907" s="40">
        <f>SUMIFS(W886:W928,B886:B928,B907-in_rec_lag)*d_recd</f>
        <v/>
      </c>
      <c r="Z907" s="40">
        <f>IF(AND(B907&gt;=in_marketplace_from,B907&lt;in_marketplace_from+in_card_months),in_card_share/in_card_months*F907*I907,IF(AND(B907&gt;=in_marketplace_from+in_card_months,B907&lt;in_marketplace_from+2*in_card_months),in_card_share*d_card_rem/in_card_months*F907*MIN(in_takeup_cap,(1+in_takeup_growth)^(D907-1))*MIN(in_takeup_cap,(1+in_approval_growth)^(D907-1)),0))</f>
        <v/>
      </c>
      <c r="AA907" s="14">
        <f>V907*in_fee*(1-in_taken_back)</f>
        <v/>
      </c>
      <c r="AB907" s="14">
        <f>SUMIFS(W886:W928,B886:B928,B907-in_dpd_lag)*d_dpd</f>
        <v/>
      </c>
      <c r="AC907" s="14">
        <f>SUMIFS(W886:W928,B886:B928,B907-in_rec_lag)*d_rec</f>
        <v/>
      </c>
      <c r="AD907" s="14">
        <f>Z907*in_card_fee</f>
        <v/>
      </c>
      <c r="AE907" s="40">
        <f>AE906*(1-IF(B906&gt;=in_marketplace_from,d_hz_hlth_small*G906,0))</f>
        <v/>
      </c>
      <c r="AF907" s="46">
        <f>AE907*IF(B907&gt;=in_marketplace_from,d_hz_hlth_small*G907,0)</f>
        <v/>
      </c>
      <c r="AG907" s="14">
        <f>F907*AF907*in_hlth_small_ticket*in_hlth_small_comm*in_ins_partner_share+F907*in_hlth_small_ticket*in_hlth_small_renew_comm*in_ins_partner_share*(in_hlth_small_renew^1*SUMIFS(AF886:AF928,B886:B928,B907-12)+in_hlth_small_renew^2*SUMIFS(AF886:AF928,B886:B928,B907-24)+in_hlth_small_renew^3*SUMIFS(AF886:AF928,B886:B928,B907-36)+in_hlth_small_renew^4*SUMIFS(AF886:AF928,B886:B928,B907-48))</f>
        <v/>
      </c>
      <c r="AH907" s="40">
        <f>AH906*(1-IF(B906&gt;=in_marketplace_from,d_hz_hlth_family*G906,0))</f>
        <v/>
      </c>
      <c r="AI907" s="46">
        <f>AH907*IF(B907&gt;=in_marketplace_from,d_hz_hlth_family*G907,0)</f>
        <v/>
      </c>
      <c r="AJ907" s="14">
        <f>F907*AI907*in_hlth_family_ticket*in_hlth_family_comm*in_ins_partner_share+F907*in_hlth_family_ticket*in_hlth_family_renew_comm*in_ins_partner_share*(in_hlth_family_renew^1*SUMIFS(AI886:AI928,B886:B928,B907-12)+in_hlth_family_renew^2*SUMIFS(AI886:AI928,B886:B928,B907-24)+in_hlth_family_renew^3*SUMIFS(AI886:AI928,B886:B928,B907-36)+in_hlth_family_renew^4*SUMIFS(AI886:AI928,B886:B928,B907-48))</f>
        <v/>
      </c>
      <c r="AK907" s="40">
        <f>AK906*(1-IF(B906&gt;=in_marketplace_from,d_hz_life_term*G906,0))</f>
        <v/>
      </c>
      <c r="AL907" s="46">
        <f>AK907*IF(B907&gt;=in_marketplace_from,d_hz_life_term*G907,0)</f>
        <v/>
      </c>
      <c r="AM907" s="14">
        <f>F907*AL907*in_life_term_ticket*in_life_term_comm*in_ins_partner_share+F907*in_life_term_ticket*in_life_term_renew_comm*in_ins_partner_share*(in_life_term_renew^1*SUMIFS(AL886:AL928,B886:B928,B907-12)+in_life_term_renew^2*SUMIFS(AL886:AL928,B886:B928,B907-24)+in_life_term_renew^3*SUMIFS(AL886:AL928,B886:B928,B907-36)+in_life_term_renew^4*SUMIFS(AL886:AL928,B886:B928,B907-48))</f>
        <v/>
      </c>
      <c r="AN907" s="40">
        <f>AN906*(1-IF(B906&gt;=in_marketplace_from,d_hz_accident*G906,0))</f>
        <v/>
      </c>
      <c r="AO907" s="46">
        <f>AN907*IF(B907&gt;=in_marketplace_from,d_hz_accident*G907,0)</f>
        <v/>
      </c>
      <c r="AP907" s="14">
        <f>F907*AO907*in_accident_ticket*in_accident_comm*in_ins_partner_share+F907*in_accident_ticket*in_accident_renew_comm*in_ins_partner_share*(in_accident_renew^1*SUMIFS(AO886:AO928,B886:B928,B907-12)+in_accident_renew^2*SUMIFS(AO886:AO928,B886:B928,B907-24)+in_accident_renew^3*SUMIFS(AO886:AO928,B886:B928,B907-36)+in_accident_renew^4*SUMIFS(AO886:AO928,B886:B928,B907-48))</f>
        <v/>
      </c>
      <c r="AQ907" s="40">
        <f>AQ906*(1-IF(B906&gt;=in_marketplace_from,d_hz_two_wheeler*G906,0))</f>
        <v/>
      </c>
      <c r="AR907" s="46">
        <f>AQ907*IF(B907&gt;=in_marketplace_from,d_hz_two_wheeler*G907,0)</f>
        <v/>
      </c>
      <c r="AS907" s="14">
        <f>F907*AR907*in_two_wheeler_ticket*in_two_wheeler_comm*in_ins_partner_share+F907*in_two_wheeler_ticket*in_two_wheeler_comm*in_ins_partner_share*(in_two_wheeler_renew^1*SUMIFS(AR886:AR928,B886:B928,B907-12)+in_two_wheeler_renew^2*SUMIFS(AR886:AR928,B886:B928,B907-24)+in_two_wheeler_renew^3*SUMIFS(AR886:AR928,B886:B928,B907-36)+in_two_wheeler_renew^4*SUMIFS(AR886:AR928,B886:B928,B907-48))</f>
        <v/>
      </c>
      <c r="AT907" s="40">
        <f>AT906*(1-IF(B906&gt;=in_marketplace_from,d_hz_device*G906,0))</f>
        <v/>
      </c>
      <c r="AU907" s="14">
        <f>F907*AT907*IF(B907&gt;=in_marketplace_from,d_hz_device*G907,0)*in_device_ticket*in_device_comm*in_ins_partner_share</f>
        <v/>
      </c>
      <c r="AV907" s="40">
        <f>AV906*(1-IF(B906&gt;=in_marketplace_from,d_hz_shop*G906,0))</f>
        <v/>
      </c>
      <c r="AW907" s="46">
        <f>AV907*IF(B907&gt;=in_marketplace_from,d_hz_shop*G907,0)</f>
        <v/>
      </c>
      <c r="AX907" s="14">
        <f>F907*AW907*in_shop_ticket*in_shop_comm*in_ins_partner_share+F907*in_shop_ticket*in_shop_renew_comm*in_ins_partner_share*(in_shop_renew^1*SUMIFS(AW886:AW928,B886:B928,B907-12)+in_shop_renew^2*SUMIFS(AW886:AW928,B886:B928,B907-24)+in_shop_renew^3*SUMIFS(AW886:AW928,B886:B928,B907-36)+in_shop_renew^4*SUMIFS(AW886:AW928,B886:B928,B907-48))</f>
        <v/>
      </c>
      <c r="AY907" s="40">
        <f>AY906*(1-IF(B906&gt;=in_marketplace_from,d_hz_sip*G906,0))</f>
        <v/>
      </c>
      <c r="AZ907" s="40">
        <f>AZ906*d_rho_sip+AY907*IF(B907&gt;=in_marketplace_from,d_hz_sip*G907,0)</f>
        <v/>
      </c>
      <c r="BA907" s="40">
        <f>d_rho_sip*(BA906+AZ906)</f>
        <v/>
      </c>
      <c r="BB907" s="14">
        <f>F907*in_sip_ticket*(BA907+0.5*AZ907)*in_sip_comm/12</f>
        <v/>
      </c>
      <c r="BC907" s="40">
        <f>BC906*(1-IF(B906&gt;=in_marketplace_from,d_hz_choti*G906,0))</f>
        <v/>
      </c>
      <c r="BD907" s="46">
        <f>BC907*IF(B907&gt;=in_marketplace_from,d_hz_choti*G907,0)</f>
        <v/>
      </c>
      <c r="BE907" s="14">
        <f>F907*SUMIFS(BD886:BD928,B886:B928,B907-in_choti_months)*in_choti_renew*in_choti_ticket</f>
        <v/>
      </c>
      <c r="BF907" s="40">
        <f>BF906*(1-IF(B906&gt;=in_marketplace_from,d_hz_nps*G906,0))</f>
        <v/>
      </c>
      <c r="BG907" s="14">
        <f>F907*BF907*IF(B907&gt;=in_marketplace_from,d_hz_nps*G907,0)*in_nps_ticket*in_nps_comm</f>
        <v/>
      </c>
      <c r="BH907" s="40">
        <f>BH906*(1-IF(B906&gt;=in_marketplace_from,d_hz_gold*G906,0))</f>
        <v/>
      </c>
      <c r="BI907" s="40">
        <f>BI906*d_rho_gold+BH907*IF(B907&gt;=in_marketplace_from,d_hz_gold*G907,0)</f>
        <v/>
      </c>
      <c r="BJ907" s="14">
        <f>F907*BI907*in_gold_ticket*in_gold_comm</f>
        <v/>
      </c>
      <c r="BK907" s="40">
        <f>BK906*(1-IF(B906&gt;=in_marketplace_from,d_hz_fd*G906,0))</f>
        <v/>
      </c>
      <c r="BL907" s="14">
        <f>F907*BK907*IF(B907&gt;=in_marketplace_from,d_hz_fd*G907,0)*in_fd_ticket*in_fd_comm</f>
        <v/>
      </c>
      <c r="BM907" s="40">
        <f>BM906*(1-IF(B906&gt;=in_marketplace_from,d_hz_recharge*G906,0))</f>
        <v/>
      </c>
      <c r="BN907" s="40">
        <f>BN906*d_rho_recharge+BM907*IF(B907&gt;=in_marketplace_from,d_hz_recharge*G907,0)</f>
        <v/>
      </c>
      <c r="BO907" s="14">
        <f>F907*BN907*in_recharge_ticket*in_recharge_comm/12</f>
        <v/>
      </c>
      <c r="BP907" s="40">
        <f>BP906*(1-IF(B906&gt;=in_marketplace_from,d_hz_bills*G906,0))</f>
        <v/>
      </c>
      <c r="BQ907" s="40">
        <f>BQ906*d_rho_bills+BP907*IF(B907&gt;=in_marketplace_from,d_hz_bills*G907,0)</f>
        <v/>
      </c>
      <c r="BR907" s="14">
        <f>F907*BQ907*in_bills_ticket*in_bills_comm/12</f>
        <v/>
      </c>
      <c r="BS907" s="40">
        <f>BS906*(1-IF(B906&gt;=in_marketplace_from,d_hz_loan_gold*G906,0))</f>
        <v/>
      </c>
      <c r="BT907" s="14">
        <f>F907*BS907*IF(B907&gt;=in_marketplace_from,d_hz_loan_gold*G907,0)*in_loan_gold_ticket*in_loan_gold_comm</f>
        <v/>
      </c>
      <c r="BU907" s="40">
        <f>BU906*(1-IF(B906&gt;=in_marketplace_from,d_hz_loan_cd*G906,0))</f>
        <v/>
      </c>
      <c r="BV907" s="14">
        <f>F907*BU907*IF(B907&gt;=in_marketplace_from,d_hz_loan_cd*G907,0)*in_loan_cd_ticket*in_loan_cd_comm</f>
        <v/>
      </c>
      <c r="BW907" s="40">
        <f>BW906*(1-IF(B906&gt;=in_marketplace_from,d_hz_loan_vehicle*G906,0))</f>
        <v/>
      </c>
      <c r="BX907" s="14">
        <f>F907*BW907*IF(B907&gt;=in_marketplace_from,d_hz_loan_vehicle*G907,0)*in_loan_vehicle_ticket*in_loan_vehicle_comm</f>
        <v/>
      </c>
      <c r="BY907" s="40">
        <f>BY906*(1-IF(B906&gt;=in_marketplace_from,d_hz_loan_home*G906,0)*BZ906)</f>
        <v/>
      </c>
      <c r="BZ907" s="11">
        <f>MIN(in_approval_cap,in_loan_home_approval*INDEX('Age profile'!$O$2:$O$61,B907)*(1+in_approval_growth)^(D907-1))</f>
        <v/>
      </c>
      <c r="CA907" s="14">
        <f>F907*BY907*IF(B907&gt;=in_marketplace_from,d_hz_loan_home*G907,0)*BZ907*in_loan_home_ticket*in_loan_home_comm</f>
        <v/>
      </c>
      <c r="CB907" s="40">
        <f>CB906*(1-IF(B906&gt;=in_marketplace_from,d_hz_loan_lap*G906,0)*CC906)</f>
        <v/>
      </c>
      <c r="CC907" s="11">
        <f>MIN(in_approval_cap,in_loan_lap_approval*INDEX('Age profile'!$O$2:$O$61,B907)*(1+in_approval_growth)^(D907-1))</f>
        <v/>
      </c>
      <c r="CD907" s="14">
        <f>F907*CB907*IF(B907&gt;=in_marketplace_from,d_hz_loan_lap*G907,0)*CC907*in_loan_lap_ticket*in_loan_lap_comm</f>
        <v/>
      </c>
      <c r="CE907" s="14">
        <f>AA907+AB907+AC907+AD907+AG907+AJ907+AM907+AP907+AS907+AU907+AX907+BB907+BE907+BG907+BJ907+BL907+BO907+BR907+BT907+BV907+BX907+CA907+CD907</f>
        <v/>
      </c>
    </row>
    <row r="908">
      <c r="A908" s="39" t="n">
        <v>18</v>
      </c>
      <c r="B908" s="39" t="n">
        <v>23</v>
      </c>
      <c r="C908" s="39">
        <f>A908+B908-1</f>
        <v/>
      </c>
      <c r="D908" s="39">
        <f>INT((C908-1)/12)+1</f>
        <v/>
      </c>
      <c r="E908" s="44">
        <f>INDEX(Monthly!$B$2:$B$61,A908)</f>
        <v/>
      </c>
      <c r="F908" s="44">
        <f>E908*INDEX('Age profile'!$B$2:$B$61,B908)</f>
        <v/>
      </c>
      <c r="G908" s="45">
        <f>MIN(in_takeup_cap,INDEX('Age profile'!$N$2:$N$61,B908)*(1+in_takeup_growth)^(D908-1))</f>
        <v/>
      </c>
      <c r="H908" s="11">
        <f>MIN(in_approval_cap,in_approved_first*INDEX('Age profile'!$O$2:$O$61,B908)*(1+in_approval_growth)^(D908-1))</f>
        <v/>
      </c>
      <c r="I908" s="45">
        <f>G908*MIN(in_takeup_cap,INDEX('Age profile'!$O$2:$O$61,B908)*(1+in_approval_growth)^(D908-1))</f>
        <v/>
      </c>
      <c r="J908" s="40">
        <f>(J907-L907)*F908/F907</f>
        <v/>
      </c>
      <c r="K908" s="40">
        <f>(K907-M907)*F908/F907+SUMIFS(O886:O907,B886:B907,B908-1-d_T)*F908</f>
        <v/>
      </c>
      <c r="L908" s="40">
        <f>IF(B908&gt;=in_marketplace_from,J908*d_hz*G908*in_eligible*H908,0)</f>
        <v/>
      </c>
      <c r="M908" s="40">
        <f>IF(B908&gt;=in_marketplace_from,K908*d_hz*G908*in_eligible*in_approved_repeat,0)</f>
        <v/>
      </c>
      <c r="N908" s="40">
        <f>L908+M908</f>
        <v/>
      </c>
      <c r="O908" s="46">
        <f>N908/F908</f>
        <v/>
      </c>
      <c r="P908" s="40">
        <f>F908-J908-K908</f>
        <v/>
      </c>
      <c r="Q908" s="40">
        <f>IF(B908&gt;=in_marketplace_from,(J908+K908)*d_hz*G908,0)</f>
        <v/>
      </c>
      <c r="R908" s="40">
        <f>SUMIFS(N886:N928,B886:B928,"&gt;="&amp;(B908-d_T),B886:B928,"&lt;="&amp;(B908-1))</f>
        <v/>
      </c>
      <c r="S908" s="46">
        <f>(1-d_u)*S907+IF(d_T&gt;in_topup_lag,SUMIFS(O886:O928,B886:B928,B908-in_topup_lag)-d_udrop*SUMIFS(O886:O928,B886:B928,B908-d_T),0)</f>
        <v/>
      </c>
      <c r="T908" s="40">
        <f>F908*d_u*S908</f>
        <v/>
      </c>
      <c r="U908" s="9">
        <f>L908*in_ticket+M908*d_rep_ticket</f>
        <v/>
      </c>
      <c r="V908" s="9">
        <f>U908+T908*d_topup_amt</f>
        <v/>
      </c>
      <c r="W908" s="40">
        <f>N908+T908*d_topup_ratio</f>
        <v/>
      </c>
      <c r="X908" s="40">
        <f>SUMIFS(W886:W928,B886:B928,B908-in_dpd_lag)*d_cured</f>
        <v/>
      </c>
      <c r="Y908" s="40">
        <f>SUMIFS(W886:W928,B886:B928,B908-in_rec_lag)*d_recd</f>
        <v/>
      </c>
      <c r="Z908" s="40">
        <f>IF(AND(B908&gt;=in_marketplace_from,B908&lt;in_marketplace_from+in_card_months),in_card_share/in_card_months*F908*I908,IF(AND(B908&gt;=in_marketplace_from+in_card_months,B908&lt;in_marketplace_from+2*in_card_months),in_card_share*d_card_rem/in_card_months*F908*MIN(in_takeup_cap,(1+in_takeup_growth)^(D908-1))*MIN(in_takeup_cap,(1+in_approval_growth)^(D908-1)),0))</f>
        <v/>
      </c>
      <c r="AA908" s="14">
        <f>V908*in_fee*(1-in_taken_back)</f>
        <v/>
      </c>
      <c r="AB908" s="14">
        <f>SUMIFS(W886:W928,B886:B928,B908-in_dpd_lag)*d_dpd</f>
        <v/>
      </c>
      <c r="AC908" s="14">
        <f>SUMIFS(W886:W928,B886:B928,B908-in_rec_lag)*d_rec</f>
        <v/>
      </c>
      <c r="AD908" s="14">
        <f>Z908*in_card_fee</f>
        <v/>
      </c>
      <c r="AE908" s="40">
        <f>AE907*(1-IF(B907&gt;=in_marketplace_from,d_hz_hlth_small*G907,0))</f>
        <v/>
      </c>
      <c r="AF908" s="46">
        <f>AE908*IF(B908&gt;=in_marketplace_from,d_hz_hlth_small*G908,0)</f>
        <v/>
      </c>
      <c r="AG908" s="14">
        <f>F908*AF908*in_hlth_small_ticket*in_hlth_small_comm*in_ins_partner_share+F908*in_hlth_small_ticket*in_hlth_small_renew_comm*in_ins_partner_share*(in_hlth_small_renew^1*SUMIFS(AF886:AF928,B886:B928,B908-12)+in_hlth_small_renew^2*SUMIFS(AF886:AF928,B886:B928,B908-24)+in_hlth_small_renew^3*SUMIFS(AF886:AF928,B886:B928,B908-36)+in_hlth_small_renew^4*SUMIFS(AF886:AF928,B886:B928,B908-48))</f>
        <v/>
      </c>
      <c r="AH908" s="40">
        <f>AH907*(1-IF(B907&gt;=in_marketplace_from,d_hz_hlth_family*G907,0))</f>
        <v/>
      </c>
      <c r="AI908" s="46">
        <f>AH908*IF(B908&gt;=in_marketplace_from,d_hz_hlth_family*G908,0)</f>
        <v/>
      </c>
      <c r="AJ908" s="14">
        <f>F908*AI908*in_hlth_family_ticket*in_hlth_family_comm*in_ins_partner_share+F908*in_hlth_family_ticket*in_hlth_family_renew_comm*in_ins_partner_share*(in_hlth_family_renew^1*SUMIFS(AI886:AI928,B886:B928,B908-12)+in_hlth_family_renew^2*SUMIFS(AI886:AI928,B886:B928,B908-24)+in_hlth_family_renew^3*SUMIFS(AI886:AI928,B886:B928,B908-36)+in_hlth_family_renew^4*SUMIFS(AI886:AI928,B886:B928,B908-48))</f>
        <v/>
      </c>
      <c r="AK908" s="40">
        <f>AK907*(1-IF(B907&gt;=in_marketplace_from,d_hz_life_term*G907,0))</f>
        <v/>
      </c>
      <c r="AL908" s="46">
        <f>AK908*IF(B908&gt;=in_marketplace_from,d_hz_life_term*G908,0)</f>
        <v/>
      </c>
      <c r="AM908" s="14">
        <f>F908*AL908*in_life_term_ticket*in_life_term_comm*in_ins_partner_share+F908*in_life_term_ticket*in_life_term_renew_comm*in_ins_partner_share*(in_life_term_renew^1*SUMIFS(AL886:AL928,B886:B928,B908-12)+in_life_term_renew^2*SUMIFS(AL886:AL928,B886:B928,B908-24)+in_life_term_renew^3*SUMIFS(AL886:AL928,B886:B928,B908-36)+in_life_term_renew^4*SUMIFS(AL886:AL928,B886:B928,B908-48))</f>
        <v/>
      </c>
      <c r="AN908" s="40">
        <f>AN907*(1-IF(B907&gt;=in_marketplace_from,d_hz_accident*G907,0))</f>
        <v/>
      </c>
      <c r="AO908" s="46">
        <f>AN908*IF(B908&gt;=in_marketplace_from,d_hz_accident*G908,0)</f>
        <v/>
      </c>
      <c r="AP908" s="14">
        <f>F908*AO908*in_accident_ticket*in_accident_comm*in_ins_partner_share+F908*in_accident_ticket*in_accident_renew_comm*in_ins_partner_share*(in_accident_renew^1*SUMIFS(AO886:AO928,B886:B928,B908-12)+in_accident_renew^2*SUMIFS(AO886:AO928,B886:B928,B908-24)+in_accident_renew^3*SUMIFS(AO886:AO928,B886:B928,B908-36)+in_accident_renew^4*SUMIFS(AO886:AO928,B886:B928,B908-48))</f>
        <v/>
      </c>
      <c r="AQ908" s="40">
        <f>AQ907*(1-IF(B907&gt;=in_marketplace_from,d_hz_two_wheeler*G907,0))</f>
        <v/>
      </c>
      <c r="AR908" s="46">
        <f>AQ908*IF(B908&gt;=in_marketplace_from,d_hz_two_wheeler*G908,0)</f>
        <v/>
      </c>
      <c r="AS908" s="14">
        <f>F908*AR908*in_two_wheeler_ticket*in_two_wheeler_comm*in_ins_partner_share+F908*in_two_wheeler_ticket*in_two_wheeler_comm*in_ins_partner_share*(in_two_wheeler_renew^1*SUMIFS(AR886:AR928,B886:B928,B908-12)+in_two_wheeler_renew^2*SUMIFS(AR886:AR928,B886:B928,B908-24)+in_two_wheeler_renew^3*SUMIFS(AR886:AR928,B886:B928,B908-36)+in_two_wheeler_renew^4*SUMIFS(AR886:AR928,B886:B928,B908-48))</f>
        <v/>
      </c>
      <c r="AT908" s="40">
        <f>AT907*(1-IF(B907&gt;=in_marketplace_from,d_hz_device*G907,0))</f>
        <v/>
      </c>
      <c r="AU908" s="14">
        <f>F908*AT908*IF(B908&gt;=in_marketplace_from,d_hz_device*G908,0)*in_device_ticket*in_device_comm*in_ins_partner_share</f>
        <v/>
      </c>
      <c r="AV908" s="40">
        <f>AV907*(1-IF(B907&gt;=in_marketplace_from,d_hz_shop*G907,0))</f>
        <v/>
      </c>
      <c r="AW908" s="46">
        <f>AV908*IF(B908&gt;=in_marketplace_from,d_hz_shop*G908,0)</f>
        <v/>
      </c>
      <c r="AX908" s="14">
        <f>F908*AW908*in_shop_ticket*in_shop_comm*in_ins_partner_share+F908*in_shop_ticket*in_shop_renew_comm*in_ins_partner_share*(in_shop_renew^1*SUMIFS(AW886:AW928,B886:B928,B908-12)+in_shop_renew^2*SUMIFS(AW886:AW928,B886:B928,B908-24)+in_shop_renew^3*SUMIFS(AW886:AW928,B886:B928,B908-36)+in_shop_renew^4*SUMIFS(AW886:AW928,B886:B928,B908-48))</f>
        <v/>
      </c>
      <c r="AY908" s="40">
        <f>AY907*(1-IF(B907&gt;=in_marketplace_from,d_hz_sip*G907,0))</f>
        <v/>
      </c>
      <c r="AZ908" s="40">
        <f>AZ907*d_rho_sip+AY908*IF(B908&gt;=in_marketplace_from,d_hz_sip*G908,0)</f>
        <v/>
      </c>
      <c r="BA908" s="40">
        <f>d_rho_sip*(BA907+AZ907)</f>
        <v/>
      </c>
      <c r="BB908" s="14">
        <f>F908*in_sip_ticket*(BA908+0.5*AZ908)*in_sip_comm/12</f>
        <v/>
      </c>
      <c r="BC908" s="40">
        <f>BC907*(1-IF(B907&gt;=in_marketplace_from,d_hz_choti*G907,0))</f>
        <v/>
      </c>
      <c r="BD908" s="46">
        <f>BC908*IF(B908&gt;=in_marketplace_from,d_hz_choti*G908,0)</f>
        <v/>
      </c>
      <c r="BE908" s="14">
        <f>F908*SUMIFS(BD886:BD928,B886:B928,B908-in_choti_months)*in_choti_renew*in_choti_ticket</f>
        <v/>
      </c>
      <c r="BF908" s="40">
        <f>BF907*(1-IF(B907&gt;=in_marketplace_from,d_hz_nps*G907,0))</f>
        <v/>
      </c>
      <c r="BG908" s="14">
        <f>F908*BF908*IF(B908&gt;=in_marketplace_from,d_hz_nps*G908,0)*in_nps_ticket*in_nps_comm</f>
        <v/>
      </c>
      <c r="BH908" s="40">
        <f>BH907*(1-IF(B907&gt;=in_marketplace_from,d_hz_gold*G907,0))</f>
        <v/>
      </c>
      <c r="BI908" s="40">
        <f>BI907*d_rho_gold+BH908*IF(B908&gt;=in_marketplace_from,d_hz_gold*G908,0)</f>
        <v/>
      </c>
      <c r="BJ908" s="14">
        <f>F908*BI908*in_gold_ticket*in_gold_comm</f>
        <v/>
      </c>
      <c r="BK908" s="40">
        <f>BK907*(1-IF(B907&gt;=in_marketplace_from,d_hz_fd*G907,0))</f>
        <v/>
      </c>
      <c r="BL908" s="14">
        <f>F908*BK908*IF(B908&gt;=in_marketplace_from,d_hz_fd*G908,0)*in_fd_ticket*in_fd_comm</f>
        <v/>
      </c>
      <c r="BM908" s="40">
        <f>BM907*(1-IF(B907&gt;=in_marketplace_from,d_hz_recharge*G907,0))</f>
        <v/>
      </c>
      <c r="BN908" s="40">
        <f>BN907*d_rho_recharge+BM908*IF(B908&gt;=in_marketplace_from,d_hz_recharge*G908,0)</f>
        <v/>
      </c>
      <c r="BO908" s="14">
        <f>F908*BN908*in_recharge_ticket*in_recharge_comm/12</f>
        <v/>
      </c>
      <c r="BP908" s="40">
        <f>BP907*(1-IF(B907&gt;=in_marketplace_from,d_hz_bills*G907,0))</f>
        <v/>
      </c>
      <c r="BQ908" s="40">
        <f>BQ907*d_rho_bills+BP908*IF(B908&gt;=in_marketplace_from,d_hz_bills*G908,0)</f>
        <v/>
      </c>
      <c r="BR908" s="14">
        <f>F908*BQ908*in_bills_ticket*in_bills_comm/12</f>
        <v/>
      </c>
      <c r="BS908" s="40">
        <f>BS907*(1-IF(B907&gt;=in_marketplace_from,d_hz_loan_gold*G907,0))</f>
        <v/>
      </c>
      <c r="BT908" s="14">
        <f>F908*BS908*IF(B908&gt;=in_marketplace_from,d_hz_loan_gold*G908,0)*in_loan_gold_ticket*in_loan_gold_comm</f>
        <v/>
      </c>
      <c r="BU908" s="40">
        <f>BU907*(1-IF(B907&gt;=in_marketplace_from,d_hz_loan_cd*G907,0))</f>
        <v/>
      </c>
      <c r="BV908" s="14">
        <f>F908*BU908*IF(B908&gt;=in_marketplace_from,d_hz_loan_cd*G908,0)*in_loan_cd_ticket*in_loan_cd_comm</f>
        <v/>
      </c>
      <c r="BW908" s="40">
        <f>BW907*(1-IF(B907&gt;=in_marketplace_from,d_hz_loan_vehicle*G907,0))</f>
        <v/>
      </c>
      <c r="BX908" s="14">
        <f>F908*BW908*IF(B908&gt;=in_marketplace_from,d_hz_loan_vehicle*G908,0)*in_loan_vehicle_ticket*in_loan_vehicle_comm</f>
        <v/>
      </c>
      <c r="BY908" s="40">
        <f>BY907*(1-IF(B907&gt;=in_marketplace_from,d_hz_loan_home*G907,0)*BZ907)</f>
        <v/>
      </c>
      <c r="BZ908" s="11">
        <f>MIN(in_approval_cap,in_loan_home_approval*INDEX('Age profile'!$O$2:$O$61,B908)*(1+in_approval_growth)^(D908-1))</f>
        <v/>
      </c>
      <c r="CA908" s="14">
        <f>F908*BY908*IF(B908&gt;=in_marketplace_from,d_hz_loan_home*G908,0)*BZ908*in_loan_home_ticket*in_loan_home_comm</f>
        <v/>
      </c>
      <c r="CB908" s="40">
        <f>CB907*(1-IF(B907&gt;=in_marketplace_from,d_hz_loan_lap*G907,0)*CC907)</f>
        <v/>
      </c>
      <c r="CC908" s="11">
        <f>MIN(in_approval_cap,in_loan_lap_approval*INDEX('Age profile'!$O$2:$O$61,B908)*(1+in_approval_growth)^(D908-1))</f>
        <v/>
      </c>
      <c r="CD908" s="14">
        <f>F908*CB908*IF(B908&gt;=in_marketplace_from,d_hz_loan_lap*G908,0)*CC908*in_loan_lap_ticket*in_loan_lap_comm</f>
        <v/>
      </c>
      <c r="CE908" s="14">
        <f>AA908+AB908+AC908+AD908+AG908+AJ908+AM908+AP908+AS908+AU908+AX908+BB908+BE908+BG908+BJ908+BL908+BO908+BR908+BT908+BV908+BX908+CA908+CD908</f>
        <v/>
      </c>
    </row>
    <row r="909">
      <c r="A909" s="39" t="n">
        <v>18</v>
      </c>
      <c r="B909" s="39" t="n">
        <v>24</v>
      </c>
      <c r="C909" s="39">
        <f>A909+B909-1</f>
        <v/>
      </c>
      <c r="D909" s="39">
        <f>INT((C909-1)/12)+1</f>
        <v/>
      </c>
      <c r="E909" s="44">
        <f>INDEX(Monthly!$B$2:$B$61,A909)</f>
        <v/>
      </c>
      <c r="F909" s="44">
        <f>E909*INDEX('Age profile'!$B$2:$B$61,B909)</f>
        <v/>
      </c>
      <c r="G909" s="45">
        <f>MIN(in_takeup_cap,INDEX('Age profile'!$N$2:$N$61,B909)*(1+in_takeup_growth)^(D909-1))</f>
        <v/>
      </c>
      <c r="H909" s="11">
        <f>MIN(in_approval_cap,in_approved_first*INDEX('Age profile'!$O$2:$O$61,B909)*(1+in_approval_growth)^(D909-1))</f>
        <v/>
      </c>
      <c r="I909" s="45">
        <f>G909*MIN(in_takeup_cap,INDEX('Age profile'!$O$2:$O$61,B909)*(1+in_approval_growth)^(D909-1))</f>
        <v/>
      </c>
      <c r="J909" s="40">
        <f>(J908-L908)*F909/F908</f>
        <v/>
      </c>
      <c r="K909" s="40">
        <f>(K908-M908)*F909/F908+SUMIFS(O886:O908,B886:B908,B909-1-d_T)*F909</f>
        <v/>
      </c>
      <c r="L909" s="40">
        <f>IF(B909&gt;=in_marketplace_from,J909*d_hz*G909*in_eligible*H909,0)</f>
        <v/>
      </c>
      <c r="M909" s="40">
        <f>IF(B909&gt;=in_marketplace_from,K909*d_hz*G909*in_eligible*in_approved_repeat,0)</f>
        <v/>
      </c>
      <c r="N909" s="40">
        <f>L909+M909</f>
        <v/>
      </c>
      <c r="O909" s="46">
        <f>N909/F909</f>
        <v/>
      </c>
      <c r="P909" s="40">
        <f>F909-J909-K909</f>
        <v/>
      </c>
      <c r="Q909" s="40">
        <f>IF(B909&gt;=in_marketplace_from,(J909+K909)*d_hz*G909,0)</f>
        <v/>
      </c>
      <c r="R909" s="40">
        <f>SUMIFS(N886:N928,B886:B928,"&gt;="&amp;(B909-d_T),B886:B928,"&lt;="&amp;(B909-1))</f>
        <v/>
      </c>
      <c r="S909" s="46">
        <f>(1-d_u)*S908+IF(d_T&gt;in_topup_lag,SUMIFS(O886:O928,B886:B928,B909-in_topup_lag)-d_udrop*SUMIFS(O886:O928,B886:B928,B909-d_T),0)</f>
        <v/>
      </c>
      <c r="T909" s="40">
        <f>F909*d_u*S909</f>
        <v/>
      </c>
      <c r="U909" s="9">
        <f>L909*in_ticket+M909*d_rep_ticket</f>
        <v/>
      </c>
      <c r="V909" s="9">
        <f>U909+T909*d_topup_amt</f>
        <v/>
      </c>
      <c r="W909" s="40">
        <f>N909+T909*d_topup_ratio</f>
        <v/>
      </c>
      <c r="X909" s="40">
        <f>SUMIFS(W886:W928,B886:B928,B909-in_dpd_lag)*d_cured</f>
        <v/>
      </c>
      <c r="Y909" s="40">
        <f>SUMIFS(W886:W928,B886:B928,B909-in_rec_lag)*d_recd</f>
        <v/>
      </c>
      <c r="Z909" s="40">
        <f>IF(AND(B909&gt;=in_marketplace_from,B909&lt;in_marketplace_from+in_card_months),in_card_share/in_card_months*F909*I909,IF(AND(B909&gt;=in_marketplace_from+in_card_months,B909&lt;in_marketplace_from+2*in_card_months),in_card_share*d_card_rem/in_card_months*F909*MIN(in_takeup_cap,(1+in_takeup_growth)^(D909-1))*MIN(in_takeup_cap,(1+in_approval_growth)^(D909-1)),0))</f>
        <v/>
      </c>
      <c r="AA909" s="14">
        <f>V909*in_fee*(1-in_taken_back)</f>
        <v/>
      </c>
      <c r="AB909" s="14">
        <f>SUMIFS(W886:W928,B886:B928,B909-in_dpd_lag)*d_dpd</f>
        <v/>
      </c>
      <c r="AC909" s="14">
        <f>SUMIFS(W886:W928,B886:B928,B909-in_rec_lag)*d_rec</f>
        <v/>
      </c>
      <c r="AD909" s="14">
        <f>Z909*in_card_fee</f>
        <v/>
      </c>
      <c r="AE909" s="40">
        <f>AE908*(1-IF(B908&gt;=in_marketplace_from,d_hz_hlth_small*G908,0))</f>
        <v/>
      </c>
      <c r="AF909" s="46">
        <f>AE909*IF(B909&gt;=in_marketplace_from,d_hz_hlth_small*G909,0)</f>
        <v/>
      </c>
      <c r="AG909" s="14">
        <f>F909*AF909*in_hlth_small_ticket*in_hlth_small_comm*in_ins_partner_share+F909*in_hlth_small_ticket*in_hlth_small_renew_comm*in_ins_partner_share*(in_hlth_small_renew^1*SUMIFS(AF886:AF928,B886:B928,B909-12)+in_hlth_small_renew^2*SUMIFS(AF886:AF928,B886:B928,B909-24)+in_hlth_small_renew^3*SUMIFS(AF886:AF928,B886:B928,B909-36)+in_hlth_small_renew^4*SUMIFS(AF886:AF928,B886:B928,B909-48))</f>
        <v/>
      </c>
      <c r="AH909" s="40">
        <f>AH908*(1-IF(B908&gt;=in_marketplace_from,d_hz_hlth_family*G908,0))</f>
        <v/>
      </c>
      <c r="AI909" s="46">
        <f>AH909*IF(B909&gt;=in_marketplace_from,d_hz_hlth_family*G909,0)</f>
        <v/>
      </c>
      <c r="AJ909" s="14">
        <f>F909*AI909*in_hlth_family_ticket*in_hlth_family_comm*in_ins_partner_share+F909*in_hlth_family_ticket*in_hlth_family_renew_comm*in_ins_partner_share*(in_hlth_family_renew^1*SUMIFS(AI886:AI928,B886:B928,B909-12)+in_hlth_family_renew^2*SUMIFS(AI886:AI928,B886:B928,B909-24)+in_hlth_family_renew^3*SUMIFS(AI886:AI928,B886:B928,B909-36)+in_hlth_family_renew^4*SUMIFS(AI886:AI928,B886:B928,B909-48))</f>
        <v/>
      </c>
      <c r="AK909" s="40">
        <f>AK908*(1-IF(B908&gt;=in_marketplace_from,d_hz_life_term*G908,0))</f>
        <v/>
      </c>
      <c r="AL909" s="46">
        <f>AK909*IF(B909&gt;=in_marketplace_from,d_hz_life_term*G909,0)</f>
        <v/>
      </c>
      <c r="AM909" s="14">
        <f>F909*AL909*in_life_term_ticket*in_life_term_comm*in_ins_partner_share+F909*in_life_term_ticket*in_life_term_renew_comm*in_ins_partner_share*(in_life_term_renew^1*SUMIFS(AL886:AL928,B886:B928,B909-12)+in_life_term_renew^2*SUMIFS(AL886:AL928,B886:B928,B909-24)+in_life_term_renew^3*SUMIFS(AL886:AL928,B886:B928,B909-36)+in_life_term_renew^4*SUMIFS(AL886:AL928,B886:B928,B909-48))</f>
        <v/>
      </c>
      <c r="AN909" s="40">
        <f>AN908*(1-IF(B908&gt;=in_marketplace_from,d_hz_accident*G908,0))</f>
        <v/>
      </c>
      <c r="AO909" s="46">
        <f>AN909*IF(B909&gt;=in_marketplace_from,d_hz_accident*G909,0)</f>
        <v/>
      </c>
      <c r="AP909" s="14">
        <f>F909*AO909*in_accident_ticket*in_accident_comm*in_ins_partner_share+F909*in_accident_ticket*in_accident_renew_comm*in_ins_partner_share*(in_accident_renew^1*SUMIFS(AO886:AO928,B886:B928,B909-12)+in_accident_renew^2*SUMIFS(AO886:AO928,B886:B928,B909-24)+in_accident_renew^3*SUMIFS(AO886:AO928,B886:B928,B909-36)+in_accident_renew^4*SUMIFS(AO886:AO928,B886:B928,B909-48))</f>
        <v/>
      </c>
      <c r="AQ909" s="40">
        <f>AQ908*(1-IF(B908&gt;=in_marketplace_from,d_hz_two_wheeler*G908,0))</f>
        <v/>
      </c>
      <c r="AR909" s="46">
        <f>AQ909*IF(B909&gt;=in_marketplace_from,d_hz_two_wheeler*G909,0)</f>
        <v/>
      </c>
      <c r="AS909" s="14">
        <f>F909*AR909*in_two_wheeler_ticket*in_two_wheeler_comm*in_ins_partner_share+F909*in_two_wheeler_ticket*in_two_wheeler_comm*in_ins_partner_share*(in_two_wheeler_renew^1*SUMIFS(AR886:AR928,B886:B928,B909-12)+in_two_wheeler_renew^2*SUMIFS(AR886:AR928,B886:B928,B909-24)+in_two_wheeler_renew^3*SUMIFS(AR886:AR928,B886:B928,B909-36)+in_two_wheeler_renew^4*SUMIFS(AR886:AR928,B886:B928,B909-48))</f>
        <v/>
      </c>
      <c r="AT909" s="40">
        <f>AT908*(1-IF(B908&gt;=in_marketplace_from,d_hz_device*G908,0))</f>
        <v/>
      </c>
      <c r="AU909" s="14">
        <f>F909*AT909*IF(B909&gt;=in_marketplace_from,d_hz_device*G909,0)*in_device_ticket*in_device_comm*in_ins_partner_share</f>
        <v/>
      </c>
      <c r="AV909" s="40">
        <f>AV908*(1-IF(B908&gt;=in_marketplace_from,d_hz_shop*G908,0))</f>
        <v/>
      </c>
      <c r="AW909" s="46">
        <f>AV909*IF(B909&gt;=in_marketplace_from,d_hz_shop*G909,0)</f>
        <v/>
      </c>
      <c r="AX909" s="14">
        <f>F909*AW909*in_shop_ticket*in_shop_comm*in_ins_partner_share+F909*in_shop_ticket*in_shop_renew_comm*in_ins_partner_share*(in_shop_renew^1*SUMIFS(AW886:AW928,B886:B928,B909-12)+in_shop_renew^2*SUMIFS(AW886:AW928,B886:B928,B909-24)+in_shop_renew^3*SUMIFS(AW886:AW928,B886:B928,B909-36)+in_shop_renew^4*SUMIFS(AW886:AW928,B886:B928,B909-48))</f>
        <v/>
      </c>
      <c r="AY909" s="40">
        <f>AY908*(1-IF(B908&gt;=in_marketplace_from,d_hz_sip*G908,0))</f>
        <v/>
      </c>
      <c r="AZ909" s="40">
        <f>AZ908*d_rho_sip+AY909*IF(B909&gt;=in_marketplace_from,d_hz_sip*G909,0)</f>
        <v/>
      </c>
      <c r="BA909" s="40">
        <f>d_rho_sip*(BA908+AZ908)</f>
        <v/>
      </c>
      <c r="BB909" s="14">
        <f>F909*in_sip_ticket*(BA909+0.5*AZ909)*in_sip_comm/12</f>
        <v/>
      </c>
      <c r="BC909" s="40">
        <f>BC908*(1-IF(B908&gt;=in_marketplace_from,d_hz_choti*G908,0))</f>
        <v/>
      </c>
      <c r="BD909" s="46">
        <f>BC909*IF(B909&gt;=in_marketplace_from,d_hz_choti*G909,0)</f>
        <v/>
      </c>
      <c r="BE909" s="14">
        <f>F909*SUMIFS(BD886:BD928,B886:B928,B909-in_choti_months)*in_choti_renew*in_choti_ticket</f>
        <v/>
      </c>
      <c r="BF909" s="40">
        <f>BF908*(1-IF(B908&gt;=in_marketplace_from,d_hz_nps*G908,0))</f>
        <v/>
      </c>
      <c r="BG909" s="14">
        <f>F909*BF909*IF(B909&gt;=in_marketplace_from,d_hz_nps*G909,0)*in_nps_ticket*in_nps_comm</f>
        <v/>
      </c>
      <c r="BH909" s="40">
        <f>BH908*(1-IF(B908&gt;=in_marketplace_from,d_hz_gold*G908,0))</f>
        <v/>
      </c>
      <c r="BI909" s="40">
        <f>BI908*d_rho_gold+BH909*IF(B909&gt;=in_marketplace_from,d_hz_gold*G909,0)</f>
        <v/>
      </c>
      <c r="BJ909" s="14">
        <f>F909*BI909*in_gold_ticket*in_gold_comm</f>
        <v/>
      </c>
      <c r="BK909" s="40">
        <f>BK908*(1-IF(B908&gt;=in_marketplace_from,d_hz_fd*G908,0))</f>
        <v/>
      </c>
      <c r="BL909" s="14">
        <f>F909*BK909*IF(B909&gt;=in_marketplace_from,d_hz_fd*G909,0)*in_fd_ticket*in_fd_comm</f>
        <v/>
      </c>
      <c r="BM909" s="40">
        <f>BM908*(1-IF(B908&gt;=in_marketplace_from,d_hz_recharge*G908,0))</f>
        <v/>
      </c>
      <c r="BN909" s="40">
        <f>BN908*d_rho_recharge+BM909*IF(B909&gt;=in_marketplace_from,d_hz_recharge*G909,0)</f>
        <v/>
      </c>
      <c r="BO909" s="14">
        <f>F909*BN909*in_recharge_ticket*in_recharge_comm/12</f>
        <v/>
      </c>
      <c r="BP909" s="40">
        <f>BP908*(1-IF(B908&gt;=in_marketplace_from,d_hz_bills*G908,0))</f>
        <v/>
      </c>
      <c r="BQ909" s="40">
        <f>BQ908*d_rho_bills+BP909*IF(B909&gt;=in_marketplace_from,d_hz_bills*G909,0)</f>
        <v/>
      </c>
      <c r="BR909" s="14">
        <f>F909*BQ909*in_bills_ticket*in_bills_comm/12</f>
        <v/>
      </c>
      <c r="BS909" s="40">
        <f>BS908*(1-IF(B908&gt;=in_marketplace_from,d_hz_loan_gold*G908,0))</f>
        <v/>
      </c>
      <c r="BT909" s="14">
        <f>F909*BS909*IF(B909&gt;=in_marketplace_from,d_hz_loan_gold*G909,0)*in_loan_gold_ticket*in_loan_gold_comm</f>
        <v/>
      </c>
      <c r="BU909" s="40">
        <f>BU908*(1-IF(B908&gt;=in_marketplace_from,d_hz_loan_cd*G908,0))</f>
        <v/>
      </c>
      <c r="BV909" s="14">
        <f>F909*BU909*IF(B909&gt;=in_marketplace_from,d_hz_loan_cd*G909,0)*in_loan_cd_ticket*in_loan_cd_comm</f>
        <v/>
      </c>
      <c r="BW909" s="40">
        <f>BW908*(1-IF(B908&gt;=in_marketplace_from,d_hz_loan_vehicle*G908,0))</f>
        <v/>
      </c>
      <c r="BX909" s="14">
        <f>F909*BW909*IF(B909&gt;=in_marketplace_from,d_hz_loan_vehicle*G909,0)*in_loan_vehicle_ticket*in_loan_vehicle_comm</f>
        <v/>
      </c>
      <c r="BY909" s="40">
        <f>BY908*(1-IF(B908&gt;=in_marketplace_from,d_hz_loan_home*G908,0)*BZ908)</f>
        <v/>
      </c>
      <c r="BZ909" s="11">
        <f>MIN(in_approval_cap,in_loan_home_approval*INDEX('Age profile'!$O$2:$O$61,B909)*(1+in_approval_growth)^(D909-1))</f>
        <v/>
      </c>
      <c r="CA909" s="14">
        <f>F909*BY909*IF(B909&gt;=in_marketplace_from,d_hz_loan_home*G909,0)*BZ909*in_loan_home_ticket*in_loan_home_comm</f>
        <v/>
      </c>
      <c r="CB909" s="40">
        <f>CB908*(1-IF(B908&gt;=in_marketplace_from,d_hz_loan_lap*G908,0)*CC908)</f>
        <v/>
      </c>
      <c r="CC909" s="11">
        <f>MIN(in_approval_cap,in_loan_lap_approval*INDEX('Age profile'!$O$2:$O$61,B909)*(1+in_approval_growth)^(D909-1))</f>
        <v/>
      </c>
      <c r="CD909" s="14">
        <f>F909*CB909*IF(B909&gt;=in_marketplace_from,d_hz_loan_lap*G909,0)*CC909*in_loan_lap_ticket*in_loan_lap_comm</f>
        <v/>
      </c>
      <c r="CE909" s="14">
        <f>AA909+AB909+AC909+AD909+AG909+AJ909+AM909+AP909+AS909+AU909+AX909+BB909+BE909+BG909+BJ909+BL909+BO909+BR909+BT909+BV909+BX909+CA909+CD909</f>
        <v/>
      </c>
    </row>
    <row r="910">
      <c r="A910" s="39" t="n">
        <v>18</v>
      </c>
      <c r="B910" s="39" t="n">
        <v>25</v>
      </c>
      <c r="C910" s="39">
        <f>A910+B910-1</f>
        <v/>
      </c>
      <c r="D910" s="39">
        <f>INT((C910-1)/12)+1</f>
        <v/>
      </c>
      <c r="E910" s="44">
        <f>INDEX(Monthly!$B$2:$B$61,A910)</f>
        <v/>
      </c>
      <c r="F910" s="44">
        <f>E910*INDEX('Age profile'!$B$2:$B$61,B910)</f>
        <v/>
      </c>
      <c r="G910" s="45">
        <f>MIN(in_takeup_cap,INDEX('Age profile'!$N$2:$N$61,B910)*(1+in_takeup_growth)^(D910-1))</f>
        <v/>
      </c>
      <c r="H910" s="11">
        <f>MIN(in_approval_cap,in_approved_first*INDEX('Age profile'!$O$2:$O$61,B910)*(1+in_approval_growth)^(D910-1))</f>
        <v/>
      </c>
      <c r="I910" s="45">
        <f>G910*MIN(in_takeup_cap,INDEX('Age profile'!$O$2:$O$61,B910)*(1+in_approval_growth)^(D910-1))</f>
        <v/>
      </c>
      <c r="J910" s="40">
        <f>(J909-L909)*F910/F909</f>
        <v/>
      </c>
      <c r="K910" s="40">
        <f>(K909-M909)*F910/F909+SUMIFS(O886:O909,B886:B909,B910-1-d_T)*F910</f>
        <v/>
      </c>
      <c r="L910" s="40">
        <f>IF(B910&gt;=in_marketplace_from,J910*d_hz*G910*in_eligible*H910,0)</f>
        <v/>
      </c>
      <c r="M910" s="40">
        <f>IF(B910&gt;=in_marketplace_from,K910*d_hz*G910*in_eligible*in_approved_repeat,0)</f>
        <v/>
      </c>
      <c r="N910" s="40">
        <f>L910+M910</f>
        <v/>
      </c>
      <c r="O910" s="46">
        <f>N910/F910</f>
        <v/>
      </c>
      <c r="P910" s="40">
        <f>F910-J910-K910</f>
        <v/>
      </c>
      <c r="Q910" s="40">
        <f>IF(B910&gt;=in_marketplace_from,(J910+K910)*d_hz*G910,0)</f>
        <v/>
      </c>
      <c r="R910" s="40">
        <f>SUMIFS(N886:N928,B886:B928,"&gt;="&amp;(B910-d_T),B886:B928,"&lt;="&amp;(B910-1))</f>
        <v/>
      </c>
      <c r="S910" s="46">
        <f>(1-d_u)*S909+IF(d_T&gt;in_topup_lag,SUMIFS(O886:O928,B886:B928,B910-in_topup_lag)-d_udrop*SUMIFS(O886:O928,B886:B928,B910-d_T),0)</f>
        <v/>
      </c>
      <c r="T910" s="40">
        <f>F910*d_u*S910</f>
        <v/>
      </c>
      <c r="U910" s="9">
        <f>L910*in_ticket+M910*d_rep_ticket</f>
        <v/>
      </c>
      <c r="V910" s="9">
        <f>U910+T910*d_topup_amt</f>
        <v/>
      </c>
      <c r="W910" s="40">
        <f>N910+T910*d_topup_ratio</f>
        <v/>
      </c>
      <c r="X910" s="40">
        <f>SUMIFS(W886:W928,B886:B928,B910-in_dpd_lag)*d_cured</f>
        <v/>
      </c>
      <c r="Y910" s="40">
        <f>SUMIFS(W886:W928,B886:B928,B910-in_rec_lag)*d_recd</f>
        <v/>
      </c>
      <c r="Z910" s="40">
        <f>IF(AND(B910&gt;=in_marketplace_from,B910&lt;in_marketplace_from+in_card_months),in_card_share/in_card_months*F910*I910,IF(AND(B910&gt;=in_marketplace_from+in_card_months,B910&lt;in_marketplace_from+2*in_card_months),in_card_share*d_card_rem/in_card_months*F910*MIN(in_takeup_cap,(1+in_takeup_growth)^(D910-1))*MIN(in_takeup_cap,(1+in_approval_growth)^(D910-1)),0))</f>
        <v/>
      </c>
      <c r="AA910" s="14">
        <f>V910*in_fee*(1-in_taken_back)</f>
        <v/>
      </c>
      <c r="AB910" s="14">
        <f>SUMIFS(W886:W928,B886:B928,B910-in_dpd_lag)*d_dpd</f>
        <v/>
      </c>
      <c r="AC910" s="14">
        <f>SUMIFS(W886:W928,B886:B928,B910-in_rec_lag)*d_rec</f>
        <v/>
      </c>
      <c r="AD910" s="14">
        <f>Z910*in_card_fee</f>
        <v/>
      </c>
      <c r="AE910" s="40">
        <f>AE909*(1-IF(B909&gt;=in_marketplace_from,d_hz_hlth_small*G909,0))</f>
        <v/>
      </c>
      <c r="AF910" s="46">
        <f>AE910*IF(B910&gt;=in_marketplace_from,d_hz_hlth_small*G910,0)</f>
        <v/>
      </c>
      <c r="AG910" s="14">
        <f>F910*AF910*in_hlth_small_ticket*in_hlth_small_comm*in_ins_partner_share+F910*in_hlth_small_ticket*in_hlth_small_renew_comm*in_ins_partner_share*(in_hlth_small_renew^1*SUMIFS(AF886:AF928,B886:B928,B910-12)+in_hlth_small_renew^2*SUMIFS(AF886:AF928,B886:B928,B910-24)+in_hlth_small_renew^3*SUMIFS(AF886:AF928,B886:B928,B910-36)+in_hlth_small_renew^4*SUMIFS(AF886:AF928,B886:B928,B910-48))</f>
        <v/>
      </c>
      <c r="AH910" s="40">
        <f>AH909*(1-IF(B909&gt;=in_marketplace_from,d_hz_hlth_family*G909,0))</f>
        <v/>
      </c>
      <c r="AI910" s="46">
        <f>AH910*IF(B910&gt;=in_marketplace_from,d_hz_hlth_family*G910,0)</f>
        <v/>
      </c>
      <c r="AJ910" s="14">
        <f>F910*AI910*in_hlth_family_ticket*in_hlth_family_comm*in_ins_partner_share+F910*in_hlth_family_ticket*in_hlth_family_renew_comm*in_ins_partner_share*(in_hlth_family_renew^1*SUMIFS(AI886:AI928,B886:B928,B910-12)+in_hlth_family_renew^2*SUMIFS(AI886:AI928,B886:B928,B910-24)+in_hlth_family_renew^3*SUMIFS(AI886:AI928,B886:B928,B910-36)+in_hlth_family_renew^4*SUMIFS(AI886:AI928,B886:B928,B910-48))</f>
        <v/>
      </c>
      <c r="AK910" s="40">
        <f>AK909*(1-IF(B909&gt;=in_marketplace_from,d_hz_life_term*G909,0))</f>
        <v/>
      </c>
      <c r="AL910" s="46">
        <f>AK910*IF(B910&gt;=in_marketplace_from,d_hz_life_term*G910,0)</f>
        <v/>
      </c>
      <c r="AM910" s="14">
        <f>F910*AL910*in_life_term_ticket*in_life_term_comm*in_ins_partner_share+F910*in_life_term_ticket*in_life_term_renew_comm*in_ins_partner_share*(in_life_term_renew^1*SUMIFS(AL886:AL928,B886:B928,B910-12)+in_life_term_renew^2*SUMIFS(AL886:AL928,B886:B928,B910-24)+in_life_term_renew^3*SUMIFS(AL886:AL928,B886:B928,B910-36)+in_life_term_renew^4*SUMIFS(AL886:AL928,B886:B928,B910-48))</f>
        <v/>
      </c>
      <c r="AN910" s="40">
        <f>AN909*(1-IF(B909&gt;=in_marketplace_from,d_hz_accident*G909,0))</f>
        <v/>
      </c>
      <c r="AO910" s="46">
        <f>AN910*IF(B910&gt;=in_marketplace_from,d_hz_accident*G910,0)</f>
        <v/>
      </c>
      <c r="AP910" s="14">
        <f>F910*AO910*in_accident_ticket*in_accident_comm*in_ins_partner_share+F910*in_accident_ticket*in_accident_renew_comm*in_ins_partner_share*(in_accident_renew^1*SUMIFS(AO886:AO928,B886:B928,B910-12)+in_accident_renew^2*SUMIFS(AO886:AO928,B886:B928,B910-24)+in_accident_renew^3*SUMIFS(AO886:AO928,B886:B928,B910-36)+in_accident_renew^4*SUMIFS(AO886:AO928,B886:B928,B910-48))</f>
        <v/>
      </c>
      <c r="AQ910" s="40">
        <f>AQ909*(1-IF(B909&gt;=in_marketplace_from,d_hz_two_wheeler*G909,0))</f>
        <v/>
      </c>
      <c r="AR910" s="46">
        <f>AQ910*IF(B910&gt;=in_marketplace_from,d_hz_two_wheeler*G910,0)</f>
        <v/>
      </c>
      <c r="AS910" s="14">
        <f>F910*AR910*in_two_wheeler_ticket*in_two_wheeler_comm*in_ins_partner_share+F910*in_two_wheeler_ticket*in_two_wheeler_comm*in_ins_partner_share*(in_two_wheeler_renew^1*SUMIFS(AR886:AR928,B886:B928,B910-12)+in_two_wheeler_renew^2*SUMIFS(AR886:AR928,B886:B928,B910-24)+in_two_wheeler_renew^3*SUMIFS(AR886:AR928,B886:B928,B910-36)+in_two_wheeler_renew^4*SUMIFS(AR886:AR928,B886:B928,B910-48))</f>
        <v/>
      </c>
      <c r="AT910" s="40">
        <f>AT909*(1-IF(B909&gt;=in_marketplace_from,d_hz_device*G909,0))</f>
        <v/>
      </c>
      <c r="AU910" s="14">
        <f>F910*AT910*IF(B910&gt;=in_marketplace_from,d_hz_device*G910,0)*in_device_ticket*in_device_comm*in_ins_partner_share</f>
        <v/>
      </c>
      <c r="AV910" s="40">
        <f>AV909*(1-IF(B909&gt;=in_marketplace_from,d_hz_shop*G909,0))</f>
        <v/>
      </c>
      <c r="AW910" s="46">
        <f>AV910*IF(B910&gt;=in_marketplace_from,d_hz_shop*G910,0)</f>
        <v/>
      </c>
      <c r="AX910" s="14">
        <f>F910*AW910*in_shop_ticket*in_shop_comm*in_ins_partner_share+F910*in_shop_ticket*in_shop_renew_comm*in_ins_partner_share*(in_shop_renew^1*SUMIFS(AW886:AW928,B886:B928,B910-12)+in_shop_renew^2*SUMIFS(AW886:AW928,B886:B928,B910-24)+in_shop_renew^3*SUMIFS(AW886:AW928,B886:B928,B910-36)+in_shop_renew^4*SUMIFS(AW886:AW928,B886:B928,B910-48))</f>
        <v/>
      </c>
      <c r="AY910" s="40">
        <f>AY909*(1-IF(B909&gt;=in_marketplace_from,d_hz_sip*G909,0))</f>
        <v/>
      </c>
      <c r="AZ910" s="40">
        <f>AZ909*d_rho_sip+AY910*IF(B910&gt;=in_marketplace_from,d_hz_sip*G910,0)</f>
        <v/>
      </c>
      <c r="BA910" s="40">
        <f>d_rho_sip*(BA909+AZ909)</f>
        <v/>
      </c>
      <c r="BB910" s="14">
        <f>F910*in_sip_ticket*(BA910+0.5*AZ910)*in_sip_comm/12</f>
        <v/>
      </c>
      <c r="BC910" s="40">
        <f>BC909*(1-IF(B909&gt;=in_marketplace_from,d_hz_choti*G909,0))</f>
        <v/>
      </c>
      <c r="BD910" s="46">
        <f>BC910*IF(B910&gt;=in_marketplace_from,d_hz_choti*G910,0)</f>
        <v/>
      </c>
      <c r="BE910" s="14">
        <f>F910*SUMIFS(BD886:BD928,B886:B928,B910-in_choti_months)*in_choti_renew*in_choti_ticket</f>
        <v/>
      </c>
      <c r="BF910" s="40">
        <f>BF909*(1-IF(B909&gt;=in_marketplace_from,d_hz_nps*G909,0))</f>
        <v/>
      </c>
      <c r="BG910" s="14">
        <f>F910*BF910*IF(B910&gt;=in_marketplace_from,d_hz_nps*G910,0)*in_nps_ticket*in_nps_comm</f>
        <v/>
      </c>
      <c r="BH910" s="40">
        <f>BH909*(1-IF(B909&gt;=in_marketplace_from,d_hz_gold*G909,0))</f>
        <v/>
      </c>
      <c r="BI910" s="40">
        <f>BI909*d_rho_gold+BH910*IF(B910&gt;=in_marketplace_from,d_hz_gold*G910,0)</f>
        <v/>
      </c>
      <c r="BJ910" s="14">
        <f>F910*BI910*in_gold_ticket*in_gold_comm</f>
        <v/>
      </c>
      <c r="BK910" s="40">
        <f>BK909*(1-IF(B909&gt;=in_marketplace_from,d_hz_fd*G909,0))</f>
        <v/>
      </c>
      <c r="BL910" s="14">
        <f>F910*BK910*IF(B910&gt;=in_marketplace_from,d_hz_fd*G910,0)*in_fd_ticket*in_fd_comm</f>
        <v/>
      </c>
      <c r="BM910" s="40">
        <f>BM909*(1-IF(B909&gt;=in_marketplace_from,d_hz_recharge*G909,0))</f>
        <v/>
      </c>
      <c r="BN910" s="40">
        <f>BN909*d_rho_recharge+BM910*IF(B910&gt;=in_marketplace_from,d_hz_recharge*G910,0)</f>
        <v/>
      </c>
      <c r="BO910" s="14">
        <f>F910*BN910*in_recharge_ticket*in_recharge_comm/12</f>
        <v/>
      </c>
      <c r="BP910" s="40">
        <f>BP909*(1-IF(B909&gt;=in_marketplace_from,d_hz_bills*G909,0))</f>
        <v/>
      </c>
      <c r="BQ910" s="40">
        <f>BQ909*d_rho_bills+BP910*IF(B910&gt;=in_marketplace_from,d_hz_bills*G910,0)</f>
        <v/>
      </c>
      <c r="BR910" s="14">
        <f>F910*BQ910*in_bills_ticket*in_bills_comm/12</f>
        <v/>
      </c>
      <c r="BS910" s="40">
        <f>BS909*(1-IF(B909&gt;=in_marketplace_from,d_hz_loan_gold*G909,0))</f>
        <v/>
      </c>
      <c r="BT910" s="14">
        <f>F910*BS910*IF(B910&gt;=in_marketplace_from,d_hz_loan_gold*G910,0)*in_loan_gold_ticket*in_loan_gold_comm</f>
        <v/>
      </c>
      <c r="BU910" s="40">
        <f>BU909*(1-IF(B909&gt;=in_marketplace_from,d_hz_loan_cd*G909,0))</f>
        <v/>
      </c>
      <c r="BV910" s="14">
        <f>F910*BU910*IF(B910&gt;=in_marketplace_from,d_hz_loan_cd*G910,0)*in_loan_cd_ticket*in_loan_cd_comm</f>
        <v/>
      </c>
      <c r="BW910" s="40">
        <f>BW909*(1-IF(B909&gt;=in_marketplace_from,d_hz_loan_vehicle*G909,0))</f>
        <v/>
      </c>
      <c r="BX910" s="14">
        <f>F910*BW910*IF(B910&gt;=in_marketplace_from,d_hz_loan_vehicle*G910,0)*in_loan_vehicle_ticket*in_loan_vehicle_comm</f>
        <v/>
      </c>
      <c r="BY910" s="40">
        <f>BY909*(1-IF(B909&gt;=in_marketplace_from,d_hz_loan_home*G909,0)*BZ909)</f>
        <v/>
      </c>
      <c r="BZ910" s="11">
        <f>MIN(in_approval_cap,in_loan_home_approval*INDEX('Age profile'!$O$2:$O$61,B910)*(1+in_approval_growth)^(D910-1))</f>
        <v/>
      </c>
      <c r="CA910" s="14">
        <f>F910*BY910*IF(B910&gt;=in_marketplace_from,d_hz_loan_home*G910,0)*BZ910*in_loan_home_ticket*in_loan_home_comm</f>
        <v/>
      </c>
      <c r="CB910" s="40">
        <f>CB909*(1-IF(B909&gt;=in_marketplace_from,d_hz_loan_lap*G909,0)*CC909)</f>
        <v/>
      </c>
      <c r="CC910" s="11">
        <f>MIN(in_approval_cap,in_loan_lap_approval*INDEX('Age profile'!$O$2:$O$61,B910)*(1+in_approval_growth)^(D910-1))</f>
        <v/>
      </c>
      <c r="CD910" s="14">
        <f>F910*CB910*IF(B910&gt;=in_marketplace_from,d_hz_loan_lap*G910,0)*CC910*in_loan_lap_ticket*in_loan_lap_comm</f>
        <v/>
      </c>
      <c r="CE910" s="14">
        <f>AA910+AB910+AC910+AD910+AG910+AJ910+AM910+AP910+AS910+AU910+AX910+BB910+BE910+BG910+BJ910+BL910+BO910+BR910+BT910+BV910+BX910+CA910+CD910</f>
        <v/>
      </c>
    </row>
    <row r="911">
      <c r="A911" s="39" t="n">
        <v>18</v>
      </c>
      <c r="B911" s="39" t="n">
        <v>26</v>
      </c>
      <c r="C911" s="39">
        <f>A911+B911-1</f>
        <v/>
      </c>
      <c r="D911" s="39">
        <f>INT((C911-1)/12)+1</f>
        <v/>
      </c>
      <c r="E911" s="44">
        <f>INDEX(Monthly!$B$2:$B$61,A911)</f>
        <v/>
      </c>
      <c r="F911" s="44">
        <f>E911*INDEX('Age profile'!$B$2:$B$61,B911)</f>
        <v/>
      </c>
      <c r="G911" s="45">
        <f>MIN(in_takeup_cap,INDEX('Age profile'!$N$2:$N$61,B911)*(1+in_takeup_growth)^(D911-1))</f>
        <v/>
      </c>
      <c r="H911" s="11">
        <f>MIN(in_approval_cap,in_approved_first*INDEX('Age profile'!$O$2:$O$61,B911)*(1+in_approval_growth)^(D911-1))</f>
        <v/>
      </c>
      <c r="I911" s="45">
        <f>G911*MIN(in_takeup_cap,INDEX('Age profile'!$O$2:$O$61,B911)*(1+in_approval_growth)^(D911-1))</f>
        <v/>
      </c>
      <c r="J911" s="40">
        <f>(J910-L910)*F911/F910</f>
        <v/>
      </c>
      <c r="K911" s="40">
        <f>(K910-M910)*F911/F910+SUMIFS(O886:O910,B886:B910,B911-1-d_T)*F911</f>
        <v/>
      </c>
      <c r="L911" s="40">
        <f>IF(B911&gt;=in_marketplace_from,J911*d_hz*G911*in_eligible*H911,0)</f>
        <v/>
      </c>
      <c r="M911" s="40">
        <f>IF(B911&gt;=in_marketplace_from,K911*d_hz*G911*in_eligible*in_approved_repeat,0)</f>
        <v/>
      </c>
      <c r="N911" s="40">
        <f>L911+M911</f>
        <v/>
      </c>
      <c r="O911" s="46">
        <f>N911/F911</f>
        <v/>
      </c>
      <c r="P911" s="40">
        <f>F911-J911-K911</f>
        <v/>
      </c>
      <c r="Q911" s="40">
        <f>IF(B911&gt;=in_marketplace_from,(J911+K911)*d_hz*G911,0)</f>
        <v/>
      </c>
      <c r="R911" s="40">
        <f>SUMIFS(N886:N928,B886:B928,"&gt;="&amp;(B911-d_T),B886:B928,"&lt;="&amp;(B911-1))</f>
        <v/>
      </c>
      <c r="S911" s="46">
        <f>(1-d_u)*S910+IF(d_T&gt;in_topup_lag,SUMIFS(O886:O928,B886:B928,B911-in_topup_lag)-d_udrop*SUMIFS(O886:O928,B886:B928,B911-d_T),0)</f>
        <v/>
      </c>
      <c r="T911" s="40">
        <f>F911*d_u*S911</f>
        <v/>
      </c>
      <c r="U911" s="9">
        <f>L911*in_ticket+M911*d_rep_ticket</f>
        <v/>
      </c>
      <c r="V911" s="9">
        <f>U911+T911*d_topup_amt</f>
        <v/>
      </c>
      <c r="W911" s="40">
        <f>N911+T911*d_topup_ratio</f>
        <v/>
      </c>
      <c r="X911" s="40">
        <f>SUMIFS(W886:W928,B886:B928,B911-in_dpd_lag)*d_cured</f>
        <v/>
      </c>
      <c r="Y911" s="40">
        <f>SUMIFS(W886:W928,B886:B928,B911-in_rec_lag)*d_recd</f>
        <v/>
      </c>
      <c r="Z911" s="40">
        <f>IF(AND(B911&gt;=in_marketplace_from,B911&lt;in_marketplace_from+in_card_months),in_card_share/in_card_months*F911*I911,IF(AND(B911&gt;=in_marketplace_from+in_card_months,B911&lt;in_marketplace_from+2*in_card_months),in_card_share*d_card_rem/in_card_months*F911*MIN(in_takeup_cap,(1+in_takeup_growth)^(D911-1))*MIN(in_takeup_cap,(1+in_approval_growth)^(D911-1)),0))</f>
        <v/>
      </c>
      <c r="AA911" s="14">
        <f>V911*in_fee*(1-in_taken_back)</f>
        <v/>
      </c>
      <c r="AB911" s="14">
        <f>SUMIFS(W886:W928,B886:B928,B911-in_dpd_lag)*d_dpd</f>
        <v/>
      </c>
      <c r="AC911" s="14">
        <f>SUMIFS(W886:W928,B886:B928,B911-in_rec_lag)*d_rec</f>
        <v/>
      </c>
      <c r="AD911" s="14">
        <f>Z911*in_card_fee</f>
        <v/>
      </c>
      <c r="AE911" s="40">
        <f>AE910*(1-IF(B910&gt;=in_marketplace_from,d_hz_hlth_small*G910,0))</f>
        <v/>
      </c>
      <c r="AF911" s="46">
        <f>AE911*IF(B911&gt;=in_marketplace_from,d_hz_hlth_small*G911,0)</f>
        <v/>
      </c>
      <c r="AG911" s="14">
        <f>F911*AF911*in_hlth_small_ticket*in_hlth_small_comm*in_ins_partner_share+F911*in_hlth_small_ticket*in_hlth_small_renew_comm*in_ins_partner_share*(in_hlth_small_renew^1*SUMIFS(AF886:AF928,B886:B928,B911-12)+in_hlth_small_renew^2*SUMIFS(AF886:AF928,B886:B928,B911-24)+in_hlth_small_renew^3*SUMIFS(AF886:AF928,B886:B928,B911-36)+in_hlth_small_renew^4*SUMIFS(AF886:AF928,B886:B928,B911-48))</f>
        <v/>
      </c>
      <c r="AH911" s="40">
        <f>AH910*(1-IF(B910&gt;=in_marketplace_from,d_hz_hlth_family*G910,0))</f>
        <v/>
      </c>
      <c r="AI911" s="46">
        <f>AH911*IF(B911&gt;=in_marketplace_from,d_hz_hlth_family*G911,0)</f>
        <v/>
      </c>
      <c r="AJ911" s="14">
        <f>F911*AI911*in_hlth_family_ticket*in_hlth_family_comm*in_ins_partner_share+F911*in_hlth_family_ticket*in_hlth_family_renew_comm*in_ins_partner_share*(in_hlth_family_renew^1*SUMIFS(AI886:AI928,B886:B928,B911-12)+in_hlth_family_renew^2*SUMIFS(AI886:AI928,B886:B928,B911-24)+in_hlth_family_renew^3*SUMIFS(AI886:AI928,B886:B928,B911-36)+in_hlth_family_renew^4*SUMIFS(AI886:AI928,B886:B928,B911-48))</f>
        <v/>
      </c>
      <c r="AK911" s="40">
        <f>AK910*(1-IF(B910&gt;=in_marketplace_from,d_hz_life_term*G910,0))</f>
        <v/>
      </c>
      <c r="AL911" s="46">
        <f>AK911*IF(B911&gt;=in_marketplace_from,d_hz_life_term*G911,0)</f>
        <v/>
      </c>
      <c r="AM911" s="14">
        <f>F911*AL911*in_life_term_ticket*in_life_term_comm*in_ins_partner_share+F911*in_life_term_ticket*in_life_term_renew_comm*in_ins_partner_share*(in_life_term_renew^1*SUMIFS(AL886:AL928,B886:B928,B911-12)+in_life_term_renew^2*SUMIFS(AL886:AL928,B886:B928,B911-24)+in_life_term_renew^3*SUMIFS(AL886:AL928,B886:B928,B911-36)+in_life_term_renew^4*SUMIFS(AL886:AL928,B886:B928,B911-48))</f>
        <v/>
      </c>
      <c r="AN911" s="40">
        <f>AN910*(1-IF(B910&gt;=in_marketplace_from,d_hz_accident*G910,0))</f>
        <v/>
      </c>
      <c r="AO911" s="46">
        <f>AN911*IF(B911&gt;=in_marketplace_from,d_hz_accident*G911,0)</f>
        <v/>
      </c>
      <c r="AP911" s="14">
        <f>F911*AO911*in_accident_ticket*in_accident_comm*in_ins_partner_share+F911*in_accident_ticket*in_accident_renew_comm*in_ins_partner_share*(in_accident_renew^1*SUMIFS(AO886:AO928,B886:B928,B911-12)+in_accident_renew^2*SUMIFS(AO886:AO928,B886:B928,B911-24)+in_accident_renew^3*SUMIFS(AO886:AO928,B886:B928,B911-36)+in_accident_renew^4*SUMIFS(AO886:AO928,B886:B928,B911-48))</f>
        <v/>
      </c>
      <c r="AQ911" s="40">
        <f>AQ910*(1-IF(B910&gt;=in_marketplace_from,d_hz_two_wheeler*G910,0))</f>
        <v/>
      </c>
      <c r="AR911" s="46">
        <f>AQ911*IF(B911&gt;=in_marketplace_from,d_hz_two_wheeler*G911,0)</f>
        <v/>
      </c>
      <c r="AS911" s="14">
        <f>F911*AR911*in_two_wheeler_ticket*in_two_wheeler_comm*in_ins_partner_share+F911*in_two_wheeler_ticket*in_two_wheeler_comm*in_ins_partner_share*(in_two_wheeler_renew^1*SUMIFS(AR886:AR928,B886:B928,B911-12)+in_two_wheeler_renew^2*SUMIFS(AR886:AR928,B886:B928,B911-24)+in_two_wheeler_renew^3*SUMIFS(AR886:AR928,B886:B928,B911-36)+in_two_wheeler_renew^4*SUMIFS(AR886:AR928,B886:B928,B911-48))</f>
        <v/>
      </c>
      <c r="AT911" s="40">
        <f>AT910*(1-IF(B910&gt;=in_marketplace_from,d_hz_device*G910,0))</f>
        <v/>
      </c>
      <c r="AU911" s="14">
        <f>F911*AT911*IF(B911&gt;=in_marketplace_from,d_hz_device*G911,0)*in_device_ticket*in_device_comm*in_ins_partner_share</f>
        <v/>
      </c>
      <c r="AV911" s="40">
        <f>AV910*(1-IF(B910&gt;=in_marketplace_from,d_hz_shop*G910,0))</f>
        <v/>
      </c>
      <c r="AW911" s="46">
        <f>AV911*IF(B911&gt;=in_marketplace_from,d_hz_shop*G911,0)</f>
        <v/>
      </c>
      <c r="AX911" s="14">
        <f>F911*AW911*in_shop_ticket*in_shop_comm*in_ins_partner_share+F911*in_shop_ticket*in_shop_renew_comm*in_ins_partner_share*(in_shop_renew^1*SUMIFS(AW886:AW928,B886:B928,B911-12)+in_shop_renew^2*SUMIFS(AW886:AW928,B886:B928,B911-24)+in_shop_renew^3*SUMIFS(AW886:AW928,B886:B928,B911-36)+in_shop_renew^4*SUMIFS(AW886:AW928,B886:B928,B911-48))</f>
        <v/>
      </c>
      <c r="AY911" s="40">
        <f>AY910*(1-IF(B910&gt;=in_marketplace_from,d_hz_sip*G910,0))</f>
        <v/>
      </c>
      <c r="AZ911" s="40">
        <f>AZ910*d_rho_sip+AY911*IF(B911&gt;=in_marketplace_from,d_hz_sip*G911,0)</f>
        <v/>
      </c>
      <c r="BA911" s="40">
        <f>d_rho_sip*(BA910+AZ910)</f>
        <v/>
      </c>
      <c r="BB911" s="14">
        <f>F911*in_sip_ticket*(BA911+0.5*AZ911)*in_sip_comm/12</f>
        <v/>
      </c>
      <c r="BC911" s="40">
        <f>BC910*(1-IF(B910&gt;=in_marketplace_from,d_hz_choti*G910,0))</f>
        <v/>
      </c>
      <c r="BD911" s="46">
        <f>BC911*IF(B911&gt;=in_marketplace_from,d_hz_choti*G911,0)</f>
        <v/>
      </c>
      <c r="BE911" s="14">
        <f>F911*SUMIFS(BD886:BD928,B886:B928,B911-in_choti_months)*in_choti_renew*in_choti_ticket</f>
        <v/>
      </c>
      <c r="BF911" s="40">
        <f>BF910*(1-IF(B910&gt;=in_marketplace_from,d_hz_nps*G910,0))</f>
        <v/>
      </c>
      <c r="BG911" s="14">
        <f>F911*BF911*IF(B911&gt;=in_marketplace_from,d_hz_nps*G911,0)*in_nps_ticket*in_nps_comm</f>
        <v/>
      </c>
      <c r="BH911" s="40">
        <f>BH910*(1-IF(B910&gt;=in_marketplace_from,d_hz_gold*G910,0))</f>
        <v/>
      </c>
      <c r="BI911" s="40">
        <f>BI910*d_rho_gold+BH911*IF(B911&gt;=in_marketplace_from,d_hz_gold*G911,0)</f>
        <v/>
      </c>
      <c r="BJ911" s="14">
        <f>F911*BI911*in_gold_ticket*in_gold_comm</f>
        <v/>
      </c>
      <c r="BK911" s="40">
        <f>BK910*(1-IF(B910&gt;=in_marketplace_from,d_hz_fd*G910,0))</f>
        <v/>
      </c>
      <c r="BL911" s="14">
        <f>F911*BK911*IF(B911&gt;=in_marketplace_from,d_hz_fd*G911,0)*in_fd_ticket*in_fd_comm</f>
        <v/>
      </c>
      <c r="BM911" s="40">
        <f>BM910*(1-IF(B910&gt;=in_marketplace_from,d_hz_recharge*G910,0))</f>
        <v/>
      </c>
      <c r="BN911" s="40">
        <f>BN910*d_rho_recharge+BM911*IF(B911&gt;=in_marketplace_from,d_hz_recharge*G911,0)</f>
        <v/>
      </c>
      <c r="BO911" s="14">
        <f>F911*BN911*in_recharge_ticket*in_recharge_comm/12</f>
        <v/>
      </c>
      <c r="BP911" s="40">
        <f>BP910*(1-IF(B910&gt;=in_marketplace_from,d_hz_bills*G910,0))</f>
        <v/>
      </c>
      <c r="BQ911" s="40">
        <f>BQ910*d_rho_bills+BP911*IF(B911&gt;=in_marketplace_from,d_hz_bills*G911,0)</f>
        <v/>
      </c>
      <c r="BR911" s="14">
        <f>F911*BQ911*in_bills_ticket*in_bills_comm/12</f>
        <v/>
      </c>
      <c r="BS911" s="40">
        <f>BS910*(1-IF(B910&gt;=in_marketplace_from,d_hz_loan_gold*G910,0))</f>
        <v/>
      </c>
      <c r="BT911" s="14">
        <f>F911*BS911*IF(B911&gt;=in_marketplace_from,d_hz_loan_gold*G911,0)*in_loan_gold_ticket*in_loan_gold_comm</f>
        <v/>
      </c>
      <c r="BU911" s="40">
        <f>BU910*(1-IF(B910&gt;=in_marketplace_from,d_hz_loan_cd*G910,0))</f>
        <v/>
      </c>
      <c r="BV911" s="14">
        <f>F911*BU911*IF(B911&gt;=in_marketplace_from,d_hz_loan_cd*G911,0)*in_loan_cd_ticket*in_loan_cd_comm</f>
        <v/>
      </c>
      <c r="BW911" s="40">
        <f>BW910*(1-IF(B910&gt;=in_marketplace_from,d_hz_loan_vehicle*G910,0))</f>
        <v/>
      </c>
      <c r="BX911" s="14">
        <f>F911*BW911*IF(B911&gt;=in_marketplace_from,d_hz_loan_vehicle*G911,0)*in_loan_vehicle_ticket*in_loan_vehicle_comm</f>
        <v/>
      </c>
      <c r="BY911" s="40">
        <f>BY910*(1-IF(B910&gt;=in_marketplace_from,d_hz_loan_home*G910,0)*BZ910)</f>
        <v/>
      </c>
      <c r="BZ911" s="11">
        <f>MIN(in_approval_cap,in_loan_home_approval*INDEX('Age profile'!$O$2:$O$61,B911)*(1+in_approval_growth)^(D911-1))</f>
        <v/>
      </c>
      <c r="CA911" s="14">
        <f>F911*BY911*IF(B911&gt;=in_marketplace_from,d_hz_loan_home*G911,0)*BZ911*in_loan_home_ticket*in_loan_home_comm</f>
        <v/>
      </c>
      <c r="CB911" s="40">
        <f>CB910*(1-IF(B910&gt;=in_marketplace_from,d_hz_loan_lap*G910,0)*CC910)</f>
        <v/>
      </c>
      <c r="CC911" s="11">
        <f>MIN(in_approval_cap,in_loan_lap_approval*INDEX('Age profile'!$O$2:$O$61,B911)*(1+in_approval_growth)^(D911-1))</f>
        <v/>
      </c>
      <c r="CD911" s="14">
        <f>F911*CB911*IF(B911&gt;=in_marketplace_from,d_hz_loan_lap*G911,0)*CC911*in_loan_lap_ticket*in_loan_lap_comm</f>
        <v/>
      </c>
      <c r="CE911" s="14">
        <f>AA911+AB911+AC911+AD911+AG911+AJ911+AM911+AP911+AS911+AU911+AX911+BB911+BE911+BG911+BJ911+BL911+BO911+BR911+BT911+BV911+BX911+CA911+CD911</f>
        <v/>
      </c>
    </row>
    <row r="912">
      <c r="A912" s="39" t="n">
        <v>18</v>
      </c>
      <c r="B912" s="39" t="n">
        <v>27</v>
      </c>
      <c r="C912" s="39">
        <f>A912+B912-1</f>
        <v/>
      </c>
      <c r="D912" s="39">
        <f>INT((C912-1)/12)+1</f>
        <v/>
      </c>
      <c r="E912" s="44">
        <f>INDEX(Monthly!$B$2:$B$61,A912)</f>
        <v/>
      </c>
      <c r="F912" s="44">
        <f>E912*INDEX('Age profile'!$B$2:$B$61,B912)</f>
        <v/>
      </c>
      <c r="G912" s="45">
        <f>MIN(in_takeup_cap,INDEX('Age profile'!$N$2:$N$61,B912)*(1+in_takeup_growth)^(D912-1))</f>
        <v/>
      </c>
      <c r="H912" s="11">
        <f>MIN(in_approval_cap,in_approved_first*INDEX('Age profile'!$O$2:$O$61,B912)*(1+in_approval_growth)^(D912-1))</f>
        <v/>
      </c>
      <c r="I912" s="45">
        <f>G912*MIN(in_takeup_cap,INDEX('Age profile'!$O$2:$O$61,B912)*(1+in_approval_growth)^(D912-1))</f>
        <v/>
      </c>
      <c r="J912" s="40">
        <f>(J911-L911)*F912/F911</f>
        <v/>
      </c>
      <c r="K912" s="40">
        <f>(K911-M911)*F912/F911+SUMIFS(O886:O911,B886:B911,B912-1-d_T)*F912</f>
        <v/>
      </c>
      <c r="L912" s="40">
        <f>IF(B912&gt;=in_marketplace_from,J912*d_hz*G912*in_eligible*H912,0)</f>
        <v/>
      </c>
      <c r="M912" s="40">
        <f>IF(B912&gt;=in_marketplace_from,K912*d_hz*G912*in_eligible*in_approved_repeat,0)</f>
        <v/>
      </c>
      <c r="N912" s="40">
        <f>L912+M912</f>
        <v/>
      </c>
      <c r="O912" s="46">
        <f>N912/F912</f>
        <v/>
      </c>
      <c r="P912" s="40">
        <f>F912-J912-K912</f>
        <v/>
      </c>
      <c r="Q912" s="40">
        <f>IF(B912&gt;=in_marketplace_from,(J912+K912)*d_hz*G912,0)</f>
        <v/>
      </c>
      <c r="R912" s="40">
        <f>SUMIFS(N886:N928,B886:B928,"&gt;="&amp;(B912-d_T),B886:B928,"&lt;="&amp;(B912-1))</f>
        <v/>
      </c>
      <c r="S912" s="46">
        <f>(1-d_u)*S911+IF(d_T&gt;in_topup_lag,SUMIFS(O886:O928,B886:B928,B912-in_topup_lag)-d_udrop*SUMIFS(O886:O928,B886:B928,B912-d_T),0)</f>
        <v/>
      </c>
      <c r="T912" s="40">
        <f>F912*d_u*S912</f>
        <v/>
      </c>
      <c r="U912" s="9">
        <f>L912*in_ticket+M912*d_rep_ticket</f>
        <v/>
      </c>
      <c r="V912" s="9">
        <f>U912+T912*d_topup_amt</f>
        <v/>
      </c>
      <c r="W912" s="40">
        <f>N912+T912*d_topup_ratio</f>
        <v/>
      </c>
      <c r="X912" s="40">
        <f>SUMIFS(W886:W928,B886:B928,B912-in_dpd_lag)*d_cured</f>
        <v/>
      </c>
      <c r="Y912" s="40">
        <f>SUMIFS(W886:W928,B886:B928,B912-in_rec_lag)*d_recd</f>
        <v/>
      </c>
      <c r="Z912" s="40">
        <f>IF(AND(B912&gt;=in_marketplace_from,B912&lt;in_marketplace_from+in_card_months),in_card_share/in_card_months*F912*I912,IF(AND(B912&gt;=in_marketplace_from+in_card_months,B912&lt;in_marketplace_from+2*in_card_months),in_card_share*d_card_rem/in_card_months*F912*MIN(in_takeup_cap,(1+in_takeup_growth)^(D912-1))*MIN(in_takeup_cap,(1+in_approval_growth)^(D912-1)),0))</f>
        <v/>
      </c>
      <c r="AA912" s="14">
        <f>V912*in_fee*(1-in_taken_back)</f>
        <v/>
      </c>
      <c r="AB912" s="14">
        <f>SUMIFS(W886:W928,B886:B928,B912-in_dpd_lag)*d_dpd</f>
        <v/>
      </c>
      <c r="AC912" s="14">
        <f>SUMIFS(W886:W928,B886:B928,B912-in_rec_lag)*d_rec</f>
        <v/>
      </c>
      <c r="AD912" s="14">
        <f>Z912*in_card_fee</f>
        <v/>
      </c>
      <c r="AE912" s="40">
        <f>AE911*(1-IF(B911&gt;=in_marketplace_from,d_hz_hlth_small*G911,0))</f>
        <v/>
      </c>
      <c r="AF912" s="46">
        <f>AE912*IF(B912&gt;=in_marketplace_from,d_hz_hlth_small*G912,0)</f>
        <v/>
      </c>
      <c r="AG912" s="14">
        <f>F912*AF912*in_hlth_small_ticket*in_hlth_small_comm*in_ins_partner_share+F912*in_hlth_small_ticket*in_hlth_small_renew_comm*in_ins_partner_share*(in_hlth_small_renew^1*SUMIFS(AF886:AF928,B886:B928,B912-12)+in_hlth_small_renew^2*SUMIFS(AF886:AF928,B886:B928,B912-24)+in_hlth_small_renew^3*SUMIFS(AF886:AF928,B886:B928,B912-36)+in_hlth_small_renew^4*SUMIFS(AF886:AF928,B886:B928,B912-48))</f>
        <v/>
      </c>
      <c r="AH912" s="40">
        <f>AH911*(1-IF(B911&gt;=in_marketplace_from,d_hz_hlth_family*G911,0))</f>
        <v/>
      </c>
      <c r="AI912" s="46">
        <f>AH912*IF(B912&gt;=in_marketplace_from,d_hz_hlth_family*G912,0)</f>
        <v/>
      </c>
      <c r="AJ912" s="14">
        <f>F912*AI912*in_hlth_family_ticket*in_hlth_family_comm*in_ins_partner_share+F912*in_hlth_family_ticket*in_hlth_family_renew_comm*in_ins_partner_share*(in_hlth_family_renew^1*SUMIFS(AI886:AI928,B886:B928,B912-12)+in_hlth_family_renew^2*SUMIFS(AI886:AI928,B886:B928,B912-24)+in_hlth_family_renew^3*SUMIFS(AI886:AI928,B886:B928,B912-36)+in_hlth_family_renew^4*SUMIFS(AI886:AI928,B886:B928,B912-48))</f>
        <v/>
      </c>
      <c r="AK912" s="40">
        <f>AK911*(1-IF(B911&gt;=in_marketplace_from,d_hz_life_term*G911,0))</f>
        <v/>
      </c>
      <c r="AL912" s="46">
        <f>AK912*IF(B912&gt;=in_marketplace_from,d_hz_life_term*G912,0)</f>
        <v/>
      </c>
      <c r="AM912" s="14">
        <f>F912*AL912*in_life_term_ticket*in_life_term_comm*in_ins_partner_share+F912*in_life_term_ticket*in_life_term_renew_comm*in_ins_partner_share*(in_life_term_renew^1*SUMIFS(AL886:AL928,B886:B928,B912-12)+in_life_term_renew^2*SUMIFS(AL886:AL928,B886:B928,B912-24)+in_life_term_renew^3*SUMIFS(AL886:AL928,B886:B928,B912-36)+in_life_term_renew^4*SUMIFS(AL886:AL928,B886:B928,B912-48))</f>
        <v/>
      </c>
      <c r="AN912" s="40">
        <f>AN911*(1-IF(B911&gt;=in_marketplace_from,d_hz_accident*G911,0))</f>
        <v/>
      </c>
      <c r="AO912" s="46">
        <f>AN912*IF(B912&gt;=in_marketplace_from,d_hz_accident*G912,0)</f>
        <v/>
      </c>
      <c r="AP912" s="14">
        <f>F912*AO912*in_accident_ticket*in_accident_comm*in_ins_partner_share+F912*in_accident_ticket*in_accident_renew_comm*in_ins_partner_share*(in_accident_renew^1*SUMIFS(AO886:AO928,B886:B928,B912-12)+in_accident_renew^2*SUMIFS(AO886:AO928,B886:B928,B912-24)+in_accident_renew^3*SUMIFS(AO886:AO928,B886:B928,B912-36)+in_accident_renew^4*SUMIFS(AO886:AO928,B886:B928,B912-48))</f>
        <v/>
      </c>
      <c r="AQ912" s="40">
        <f>AQ911*(1-IF(B911&gt;=in_marketplace_from,d_hz_two_wheeler*G911,0))</f>
        <v/>
      </c>
      <c r="AR912" s="46">
        <f>AQ912*IF(B912&gt;=in_marketplace_from,d_hz_two_wheeler*G912,0)</f>
        <v/>
      </c>
      <c r="AS912" s="14">
        <f>F912*AR912*in_two_wheeler_ticket*in_two_wheeler_comm*in_ins_partner_share+F912*in_two_wheeler_ticket*in_two_wheeler_comm*in_ins_partner_share*(in_two_wheeler_renew^1*SUMIFS(AR886:AR928,B886:B928,B912-12)+in_two_wheeler_renew^2*SUMIFS(AR886:AR928,B886:B928,B912-24)+in_two_wheeler_renew^3*SUMIFS(AR886:AR928,B886:B928,B912-36)+in_two_wheeler_renew^4*SUMIFS(AR886:AR928,B886:B928,B912-48))</f>
        <v/>
      </c>
      <c r="AT912" s="40">
        <f>AT911*(1-IF(B911&gt;=in_marketplace_from,d_hz_device*G911,0))</f>
        <v/>
      </c>
      <c r="AU912" s="14">
        <f>F912*AT912*IF(B912&gt;=in_marketplace_from,d_hz_device*G912,0)*in_device_ticket*in_device_comm*in_ins_partner_share</f>
        <v/>
      </c>
      <c r="AV912" s="40">
        <f>AV911*(1-IF(B911&gt;=in_marketplace_from,d_hz_shop*G911,0))</f>
        <v/>
      </c>
      <c r="AW912" s="46">
        <f>AV912*IF(B912&gt;=in_marketplace_from,d_hz_shop*G912,0)</f>
        <v/>
      </c>
      <c r="AX912" s="14">
        <f>F912*AW912*in_shop_ticket*in_shop_comm*in_ins_partner_share+F912*in_shop_ticket*in_shop_renew_comm*in_ins_partner_share*(in_shop_renew^1*SUMIFS(AW886:AW928,B886:B928,B912-12)+in_shop_renew^2*SUMIFS(AW886:AW928,B886:B928,B912-24)+in_shop_renew^3*SUMIFS(AW886:AW928,B886:B928,B912-36)+in_shop_renew^4*SUMIFS(AW886:AW928,B886:B928,B912-48))</f>
        <v/>
      </c>
      <c r="AY912" s="40">
        <f>AY911*(1-IF(B911&gt;=in_marketplace_from,d_hz_sip*G911,0))</f>
        <v/>
      </c>
      <c r="AZ912" s="40">
        <f>AZ911*d_rho_sip+AY912*IF(B912&gt;=in_marketplace_from,d_hz_sip*G912,0)</f>
        <v/>
      </c>
      <c r="BA912" s="40">
        <f>d_rho_sip*(BA911+AZ911)</f>
        <v/>
      </c>
      <c r="BB912" s="14">
        <f>F912*in_sip_ticket*(BA912+0.5*AZ912)*in_sip_comm/12</f>
        <v/>
      </c>
      <c r="BC912" s="40">
        <f>BC911*(1-IF(B911&gt;=in_marketplace_from,d_hz_choti*G911,0))</f>
        <v/>
      </c>
      <c r="BD912" s="46">
        <f>BC912*IF(B912&gt;=in_marketplace_from,d_hz_choti*G912,0)</f>
        <v/>
      </c>
      <c r="BE912" s="14">
        <f>F912*SUMIFS(BD886:BD928,B886:B928,B912-in_choti_months)*in_choti_renew*in_choti_ticket</f>
        <v/>
      </c>
      <c r="BF912" s="40">
        <f>BF911*(1-IF(B911&gt;=in_marketplace_from,d_hz_nps*G911,0))</f>
        <v/>
      </c>
      <c r="BG912" s="14">
        <f>F912*BF912*IF(B912&gt;=in_marketplace_from,d_hz_nps*G912,0)*in_nps_ticket*in_nps_comm</f>
        <v/>
      </c>
      <c r="BH912" s="40">
        <f>BH911*(1-IF(B911&gt;=in_marketplace_from,d_hz_gold*G911,0))</f>
        <v/>
      </c>
      <c r="BI912" s="40">
        <f>BI911*d_rho_gold+BH912*IF(B912&gt;=in_marketplace_from,d_hz_gold*G912,0)</f>
        <v/>
      </c>
      <c r="BJ912" s="14">
        <f>F912*BI912*in_gold_ticket*in_gold_comm</f>
        <v/>
      </c>
      <c r="BK912" s="40">
        <f>BK911*(1-IF(B911&gt;=in_marketplace_from,d_hz_fd*G911,0))</f>
        <v/>
      </c>
      <c r="BL912" s="14">
        <f>F912*BK912*IF(B912&gt;=in_marketplace_from,d_hz_fd*G912,0)*in_fd_ticket*in_fd_comm</f>
        <v/>
      </c>
      <c r="BM912" s="40">
        <f>BM911*(1-IF(B911&gt;=in_marketplace_from,d_hz_recharge*G911,0))</f>
        <v/>
      </c>
      <c r="BN912" s="40">
        <f>BN911*d_rho_recharge+BM912*IF(B912&gt;=in_marketplace_from,d_hz_recharge*G912,0)</f>
        <v/>
      </c>
      <c r="BO912" s="14">
        <f>F912*BN912*in_recharge_ticket*in_recharge_comm/12</f>
        <v/>
      </c>
      <c r="BP912" s="40">
        <f>BP911*(1-IF(B911&gt;=in_marketplace_from,d_hz_bills*G911,0))</f>
        <v/>
      </c>
      <c r="BQ912" s="40">
        <f>BQ911*d_rho_bills+BP912*IF(B912&gt;=in_marketplace_from,d_hz_bills*G912,0)</f>
        <v/>
      </c>
      <c r="BR912" s="14">
        <f>F912*BQ912*in_bills_ticket*in_bills_comm/12</f>
        <v/>
      </c>
      <c r="BS912" s="40">
        <f>BS911*(1-IF(B911&gt;=in_marketplace_from,d_hz_loan_gold*G911,0))</f>
        <v/>
      </c>
      <c r="BT912" s="14">
        <f>F912*BS912*IF(B912&gt;=in_marketplace_from,d_hz_loan_gold*G912,0)*in_loan_gold_ticket*in_loan_gold_comm</f>
        <v/>
      </c>
      <c r="BU912" s="40">
        <f>BU911*(1-IF(B911&gt;=in_marketplace_from,d_hz_loan_cd*G911,0))</f>
        <v/>
      </c>
      <c r="BV912" s="14">
        <f>F912*BU912*IF(B912&gt;=in_marketplace_from,d_hz_loan_cd*G912,0)*in_loan_cd_ticket*in_loan_cd_comm</f>
        <v/>
      </c>
      <c r="BW912" s="40">
        <f>BW911*(1-IF(B911&gt;=in_marketplace_from,d_hz_loan_vehicle*G911,0))</f>
        <v/>
      </c>
      <c r="BX912" s="14">
        <f>F912*BW912*IF(B912&gt;=in_marketplace_from,d_hz_loan_vehicle*G912,0)*in_loan_vehicle_ticket*in_loan_vehicle_comm</f>
        <v/>
      </c>
      <c r="BY912" s="40">
        <f>BY911*(1-IF(B911&gt;=in_marketplace_from,d_hz_loan_home*G911,0)*BZ911)</f>
        <v/>
      </c>
      <c r="BZ912" s="11">
        <f>MIN(in_approval_cap,in_loan_home_approval*INDEX('Age profile'!$O$2:$O$61,B912)*(1+in_approval_growth)^(D912-1))</f>
        <v/>
      </c>
      <c r="CA912" s="14">
        <f>F912*BY912*IF(B912&gt;=in_marketplace_from,d_hz_loan_home*G912,0)*BZ912*in_loan_home_ticket*in_loan_home_comm</f>
        <v/>
      </c>
      <c r="CB912" s="40">
        <f>CB911*(1-IF(B911&gt;=in_marketplace_from,d_hz_loan_lap*G911,0)*CC911)</f>
        <v/>
      </c>
      <c r="CC912" s="11">
        <f>MIN(in_approval_cap,in_loan_lap_approval*INDEX('Age profile'!$O$2:$O$61,B912)*(1+in_approval_growth)^(D912-1))</f>
        <v/>
      </c>
      <c r="CD912" s="14">
        <f>F912*CB912*IF(B912&gt;=in_marketplace_from,d_hz_loan_lap*G912,0)*CC912*in_loan_lap_ticket*in_loan_lap_comm</f>
        <v/>
      </c>
      <c r="CE912" s="14">
        <f>AA912+AB912+AC912+AD912+AG912+AJ912+AM912+AP912+AS912+AU912+AX912+BB912+BE912+BG912+BJ912+BL912+BO912+BR912+BT912+BV912+BX912+CA912+CD912</f>
        <v/>
      </c>
    </row>
    <row r="913">
      <c r="A913" s="39" t="n">
        <v>18</v>
      </c>
      <c r="B913" s="39" t="n">
        <v>28</v>
      </c>
      <c r="C913" s="39">
        <f>A913+B913-1</f>
        <v/>
      </c>
      <c r="D913" s="39">
        <f>INT((C913-1)/12)+1</f>
        <v/>
      </c>
      <c r="E913" s="44">
        <f>INDEX(Monthly!$B$2:$B$61,A913)</f>
        <v/>
      </c>
      <c r="F913" s="44">
        <f>E913*INDEX('Age profile'!$B$2:$B$61,B913)</f>
        <v/>
      </c>
      <c r="G913" s="45">
        <f>MIN(in_takeup_cap,INDEX('Age profile'!$N$2:$N$61,B913)*(1+in_takeup_growth)^(D913-1))</f>
        <v/>
      </c>
      <c r="H913" s="11">
        <f>MIN(in_approval_cap,in_approved_first*INDEX('Age profile'!$O$2:$O$61,B913)*(1+in_approval_growth)^(D913-1))</f>
        <v/>
      </c>
      <c r="I913" s="45">
        <f>G913*MIN(in_takeup_cap,INDEX('Age profile'!$O$2:$O$61,B913)*(1+in_approval_growth)^(D913-1))</f>
        <v/>
      </c>
      <c r="J913" s="40">
        <f>(J912-L912)*F913/F912</f>
        <v/>
      </c>
      <c r="K913" s="40">
        <f>(K912-M912)*F913/F912+SUMIFS(O886:O912,B886:B912,B913-1-d_T)*F913</f>
        <v/>
      </c>
      <c r="L913" s="40">
        <f>IF(B913&gt;=in_marketplace_from,J913*d_hz*G913*in_eligible*H913,0)</f>
        <v/>
      </c>
      <c r="M913" s="40">
        <f>IF(B913&gt;=in_marketplace_from,K913*d_hz*G913*in_eligible*in_approved_repeat,0)</f>
        <v/>
      </c>
      <c r="N913" s="40">
        <f>L913+M913</f>
        <v/>
      </c>
      <c r="O913" s="46">
        <f>N913/F913</f>
        <v/>
      </c>
      <c r="P913" s="40">
        <f>F913-J913-K913</f>
        <v/>
      </c>
      <c r="Q913" s="40">
        <f>IF(B913&gt;=in_marketplace_from,(J913+K913)*d_hz*G913,0)</f>
        <v/>
      </c>
      <c r="R913" s="40">
        <f>SUMIFS(N886:N928,B886:B928,"&gt;="&amp;(B913-d_T),B886:B928,"&lt;="&amp;(B913-1))</f>
        <v/>
      </c>
      <c r="S913" s="46">
        <f>(1-d_u)*S912+IF(d_T&gt;in_topup_lag,SUMIFS(O886:O928,B886:B928,B913-in_topup_lag)-d_udrop*SUMIFS(O886:O928,B886:B928,B913-d_T),0)</f>
        <v/>
      </c>
      <c r="T913" s="40">
        <f>F913*d_u*S913</f>
        <v/>
      </c>
      <c r="U913" s="9">
        <f>L913*in_ticket+M913*d_rep_ticket</f>
        <v/>
      </c>
      <c r="V913" s="9">
        <f>U913+T913*d_topup_amt</f>
        <v/>
      </c>
      <c r="W913" s="40">
        <f>N913+T913*d_topup_ratio</f>
        <v/>
      </c>
      <c r="X913" s="40">
        <f>SUMIFS(W886:W928,B886:B928,B913-in_dpd_lag)*d_cured</f>
        <v/>
      </c>
      <c r="Y913" s="40">
        <f>SUMIFS(W886:W928,B886:B928,B913-in_rec_lag)*d_recd</f>
        <v/>
      </c>
      <c r="Z913" s="40">
        <f>IF(AND(B913&gt;=in_marketplace_from,B913&lt;in_marketplace_from+in_card_months),in_card_share/in_card_months*F913*I913,IF(AND(B913&gt;=in_marketplace_from+in_card_months,B913&lt;in_marketplace_from+2*in_card_months),in_card_share*d_card_rem/in_card_months*F913*MIN(in_takeup_cap,(1+in_takeup_growth)^(D913-1))*MIN(in_takeup_cap,(1+in_approval_growth)^(D913-1)),0))</f>
        <v/>
      </c>
      <c r="AA913" s="14">
        <f>V913*in_fee*(1-in_taken_back)</f>
        <v/>
      </c>
      <c r="AB913" s="14">
        <f>SUMIFS(W886:W928,B886:B928,B913-in_dpd_lag)*d_dpd</f>
        <v/>
      </c>
      <c r="AC913" s="14">
        <f>SUMIFS(W886:W928,B886:B928,B913-in_rec_lag)*d_rec</f>
        <v/>
      </c>
      <c r="AD913" s="14">
        <f>Z913*in_card_fee</f>
        <v/>
      </c>
      <c r="AE913" s="40">
        <f>AE912*(1-IF(B912&gt;=in_marketplace_from,d_hz_hlth_small*G912,0))</f>
        <v/>
      </c>
      <c r="AF913" s="46">
        <f>AE913*IF(B913&gt;=in_marketplace_from,d_hz_hlth_small*G913,0)</f>
        <v/>
      </c>
      <c r="AG913" s="14">
        <f>F913*AF913*in_hlth_small_ticket*in_hlth_small_comm*in_ins_partner_share+F913*in_hlth_small_ticket*in_hlth_small_renew_comm*in_ins_partner_share*(in_hlth_small_renew^1*SUMIFS(AF886:AF928,B886:B928,B913-12)+in_hlth_small_renew^2*SUMIFS(AF886:AF928,B886:B928,B913-24)+in_hlth_small_renew^3*SUMIFS(AF886:AF928,B886:B928,B913-36)+in_hlth_small_renew^4*SUMIFS(AF886:AF928,B886:B928,B913-48))</f>
        <v/>
      </c>
      <c r="AH913" s="40">
        <f>AH912*(1-IF(B912&gt;=in_marketplace_from,d_hz_hlth_family*G912,0))</f>
        <v/>
      </c>
      <c r="AI913" s="46">
        <f>AH913*IF(B913&gt;=in_marketplace_from,d_hz_hlth_family*G913,0)</f>
        <v/>
      </c>
      <c r="AJ913" s="14">
        <f>F913*AI913*in_hlth_family_ticket*in_hlth_family_comm*in_ins_partner_share+F913*in_hlth_family_ticket*in_hlth_family_renew_comm*in_ins_partner_share*(in_hlth_family_renew^1*SUMIFS(AI886:AI928,B886:B928,B913-12)+in_hlth_family_renew^2*SUMIFS(AI886:AI928,B886:B928,B913-24)+in_hlth_family_renew^3*SUMIFS(AI886:AI928,B886:B928,B913-36)+in_hlth_family_renew^4*SUMIFS(AI886:AI928,B886:B928,B913-48))</f>
        <v/>
      </c>
      <c r="AK913" s="40">
        <f>AK912*(1-IF(B912&gt;=in_marketplace_from,d_hz_life_term*G912,0))</f>
        <v/>
      </c>
      <c r="AL913" s="46">
        <f>AK913*IF(B913&gt;=in_marketplace_from,d_hz_life_term*G913,0)</f>
        <v/>
      </c>
      <c r="AM913" s="14">
        <f>F913*AL913*in_life_term_ticket*in_life_term_comm*in_ins_partner_share+F913*in_life_term_ticket*in_life_term_renew_comm*in_ins_partner_share*(in_life_term_renew^1*SUMIFS(AL886:AL928,B886:B928,B913-12)+in_life_term_renew^2*SUMIFS(AL886:AL928,B886:B928,B913-24)+in_life_term_renew^3*SUMIFS(AL886:AL928,B886:B928,B913-36)+in_life_term_renew^4*SUMIFS(AL886:AL928,B886:B928,B913-48))</f>
        <v/>
      </c>
      <c r="AN913" s="40">
        <f>AN912*(1-IF(B912&gt;=in_marketplace_from,d_hz_accident*G912,0))</f>
        <v/>
      </c>
      <c r="AO913" s="46">
        <f>AN913*IF(B913&gt;=in_marketplace_from,d_hz_accident*G913,0)</f>
        <v/>
      </c>
      <c r="AP913" s="14">
        <f>F913*AO913*in_accident_ticket*in_accident_comm*in_ins_partner_share+F913*in_accident_ticket*in_accident_renew_comm*in_ins_partner_share*(in_accident_renew^1*SUMIFS(AO886:AO928,B886:B928,B913-12)+in_accident_renew^2*SUMIFS(AO886:AO928,B886:B928,B913-24)+in_accident_renew^3*SUMIFS(AO886:AO928,B886:B928,B913-36)+in_accident_renew^4*SUMIFS(AO886:AO928,B886:B928,B913-48))</f>
        <v/>
      </c>
      <c r="AQ913" s="40">
        <f>AQ912*(1-IF(B912&gt;=in_marketplace_from,d_hz_two_wheeler*G912,0))</f>
        <v/>
      </c>
      <c r="AR913" s="46">
        <f>AQ913*IF(B913&gt;=in_marketplace_from,d_hz_two_wheeler*G913,0)</f>
        <v/>
      </c>
      <c r="AS913" s="14">
        <f>F913*AR913*in_two_wheeler_ticket*in_two_wheeler_comm*in_ins_partner_share+F913*in_two_wheeler_ticket*in_two_wheeler_comm*in_ins_partner_share*(in_two_wheeler_renew^1*SUMIFS(AR886:AR928,B886:B928,B913-12)+in_two_wheeler_renew^2*SUMIFS(AR886:AR928,B886:B928,B913-24)+in_two_wheeler_renew^3*SUMIFS(AR886:AR928,B886:B928,B913-36)+in_two_wheeler_renew^4*SUMIFS(AR886:AR928,B886:B928,B913-48))</f>
        <v/>
      </c>
      <c r="AT913" s="40">
        <f>AT912*(1-IF(B912&gt;=in_marketplace_from,d_hz_device*G912,0))</f>
        <v/>
      </c>
      <c r="AU913" s="14">
        <f>F913*AT913*IF(B913&gt;=in_marketplace_from,d_hz_device*G913,0)*in_device_ticket*in_device_comm*in_ins_partner_share</f>
        <v/>
      </c>
      <c r="AV913" s="40">
        <f>AV912*(1-IF(B912&gt;=in_marketplace_from,d_hz_shop*G912,0))</f>
        <v/>
      </c>
      <c r="AW913" s="46">
        <f>AV913*IF(B913&gt;=in_marketplace_from,d_hz_shop*G913,0)</f>
        <v/>
      </c>
      <c r="AX913" s="14">
        <f>F913*AW913*in_shop_ticket*in_shop_comm*in_ins_partner_share+F913*in_shop_ticket*in_shop_renew_comm*in_ins_partner_share*(in_shop_renew^1*SUMIFS(AW886:AW928,B886:B928,B913-12)+in_shop_renew^2*SUMIFS(AW886:AW928,B886:B928,B913-24)+in_shop_renew^3*SUMIFS(AW886:AW928,B886:B928,B913-36)+in_shop_renew^4*SUMIFS(AW886:AW928,B886:B928,B913-48))</f>
        <v/>
      </c>
      <c r="AY913" s="40">
        <f>AY912*(1-IF(B912&gt;=in_marketplace_from,d_hz_sip*G912,0))</f>
        <v/>
      </c>
      <c r="AZ913" s="40">
        <f>AZ912*d_rho_sip+AY913*IF(B913&gt;=in_marketplace_from,d_hz_sip*G913,0)</f>
        <v/>
      </c>
      <c r="BA913" s="40">
        <f>d_rho_sip*(BA912+AZ912)</f>
        <v/>
      </c>
      <c r="BB913" s="14">
        <f>F913*in_sip_ticket*(BA913+0.5*AZ913)*in_sip_comm/12</f>
        <v/>
      </c>
      <c r="BC913" s="40">
        <f>BC912*(1-IF(B912&gt;=in_marketplace_from,d_hz_choti*G912,0))</f>
        <v/>
      </c>
      <c r="BD913" s="46">
        <f>BC913*IF(B913&gt;=in_marketplace_from,d_hz_choti*G913,0)</f>
        <v/>
      </c>
      <c r="BE913" s="14">
        <f>F913*SUMIFS(BD886:BD928,B886:B928,B913-in_choti_months)*in_choti_renew*in_choti_ticket</f>
        <v/>
      </c>
      <c r="BF913" s="40">
        <f>BF912*(1-IF(B912&gt;=in_marketplace_from,d_hz_nps*G912,0))</f>
        <v/>
      </c>
      <c r="BG913" s="14">
        <f>F913*BF913*IF(B913&gt;=in_marketplace_from,d_hz_nps*G913,0)*in_nps_ticket*in_nps_comm</f>
        <v/>
      </c>
      <c r="BH913" s="40">
        <f>BH912*(1-IF(B912&gt;=in_marketplace_from,d_hz_gold*G912,0))</f>
        <v/>
      </c>
      <c r="BI913" s="40">
        <f>BI912*d_rho_gold+BH913*IF(B913&gt;=in_marketplace_from,d_hz_gold*G913,0)</f>
        <v/>
      </c>
      <c r="BJ913" s="14">
        <f>F913*BI913*in_gold_ticket*in_gold_comm</f>
        <v/>
      </c>
      <c r="BK913" s="40">
        <f>BK912*(1-IF(B912&gt;=in_marketplace_from,d_hz_fd*G912,0))</f>
        <v/>
      </c>
      <c r="BL913" s="14">
        <f>F913*BK913*IF(B913&gt;=in_marketplace_from,d_hz_fd*G913,0)*in_fd_ticket*in_fd_comm</f>
        <v/>
      </c>
      <c r="BM913" s="40">
        <f>BM912*(1-IF(B912&gt;=in_marketplace_from,d_hz_recharge*G912,0))</f>
        <v/>
      </c>
      <c r="BN913" s="40">
        <f>BN912*d_rho_recharge+BM913*IF(B913&gt;=in_marketplace_from,d_hz_recharge*G913,0)</f>
        <v/>
      </c>
      <c r="BO913" s="14">
        <f>F913*BN913*in_recharge_ticket*in_recharge_comm/12</f>
        <v/>
      </c>
      <c r="BP913" s="40">
        <f>BP912*(1-IF(B912&gt;=in_marketplace_from,d_hz_bills*G912,0))</f>
        <v/>
      </c>
      <c r="BQ913" s="40">
        <f>BQ912*d_rho_bills+BP913*IF(B913&gt;=in_marketplace_from,d_hz_bills*G913,0)</f>
        <v/>
      </c>
      <c r="BR913" s="14">
        <f>F913*BQ913*in_bills_ticket*in_bills_comm/12</f>
        <v/>
      </c>
      <c r="BS913" s="40">
        <f>BS912*(1-IF(B912&gt;=in_marketplace_from,d_hz_loan_gold*G912,0))</f>
        <v/>
      </c>
      <c r="BT913" s="14">
        <f>F913*BS913*IF(B913&gt;=in_marketplace_from,d_hz_loan_gold*G913,0)*in_loan_gold_ticket*in_loan_gold_comm</f>
        <v/>
      </c>
      <c r="BU913" s="40">
        <f>BU912*(1-IF(B912&gt;=in_marketplace_from,d_hz_loan_cd*G912,0))</f>
        <v/>
      </c>
      <c r="BV913" s="14">
        <f>F913*BU913*IF(B913&gt;=in_marketplace_from,d_hz_loan_cd*G913,0)*in_loan_cd_ticket*in_loan_cd_comm</f>
        <v/>
      </c>
      <c r="BW913" s="40">
        <f>BW912*(1-IF(B912&gt;=in_marketplace_from,d_hz_loan_vehicle*G912,0))</f>
        <v/>
      </c>
      <c r="BX913" s="14">
        <f>F913*BW913*IF(B913&gt;=in_marketplace_from,d_hz_loan_vehicle*G913,0)*in_loan_vehicle_ticket*in_loan_vehicle_comm</f>
        <v/>
      </c>
      <c r="BY913" s="40">
        <f>BY912*(1-IF(B912&gt;=in_marketplace_from,d_hz_loan_home*G912,0)*BZ912)</f>
        <v/>
      </c>
      <c r="BZ913" s="11">
        <f>MIN(in_approval_cap,in_loan_home_approval*INDEX('Age profile'!$O$2:$O$61,B913)*(1+in_approval_growth)^(D913-1))</f>
        <v/>
      </c>
      <c r="CA913" s="14">
        <f>F913*BY913*IF(B913&gt;=in_marketplace_from,d_hz_loan_home*G913,0)*BZ913*in_loan_home_ticket*in_loan_home_comm</f>
        <v/>
      </c>
      <c r="CB913" s="40">
        <f>CB912*(1-IF(B912&gt;=in_marketplace_from,d_hz_loan_lap*G912,0)*CC912)</f>
        <v/>
      </c>
      <c r="CC913" s="11">
        <f>MIN(in_approval_cap,in_loan_lap_approval*INDEX('Age profile'!$O$2:$O$61,B913)*(1+in_approval_growth)^(D913-1))</f>
        <v/>
      </c>
      <c r="CD913" s="14">
        <f>F913*CB913*IF(B913&gt;=in_marketplace_from,d_hz_loan_lap*G913,0)*CC913*in_loan_lap_ticket*in_loan_lap_comm</f>
        <v/>
      </c>
      <c r="CE913" s="14">
        <f>AA913+AB913+AC913+AD913+AG913+AJ913+AM913+AP913+AS913+AU913+AX913+BB913+BE913+BG913+BJ913+BL913+BO913+BR913+BT913+BV913+BX913+CA913+CD913</f>
        <v/>
      </c>
    </row>
    <row r="914">
      <c r="A914" s="39" t="n">
        <v>18</v>
      </c>
      <c r="B914" s="39" t="n">
        <v>29</v>
      </c>
      <c r="C914" s="39">
        <f>A914+B914-1</f>
        <v/>
      </c>
      <c r="D914" s="39">
        <f>INT((C914-1)/12)+1</f>
        <v/>
      </c>
      <c r="E914" s="44">
        <f>INDEX(Monthly!$B$2:$B$61,A914)</f>
        <v/>
      </c>
      <c r="F914" s="44">
        <f>E914*INDEX('Age profile'!$B$2:$B$61,B914)</f>
        <v/>
      </c>
      <c r="G914" s="45">
        <f>MIN(in_takeup_cap,INDEX('Age profile'!$N$2:$N$61,B914)*(1+in_takeup_growth)^(D914-1))</f>
        <v/>
      </c>
      <c r="H914" s="11">
        <f>MIN(in_approval_cap,in_approved_first*INDEX('Age profile'!$O$2:$O$61,B914)*(1+in_approval_growth)^(D914-1))</f>
        <v/>
      </c>
      <c r="I914" s="45">
        <f>G914*MIN(in_takeup_cap,INDEX('Age profile'!$O$2:$O$61,B914)*(1+in_approval_growth)^(D914-1))</f>
        <v/>
      </c>
      <c r="J914" s="40">
        <f>(J913-L913)*F914/F913</f>
        <v/>
      </c>
      <c r="K914" s="40">
        <f>(K913-M913)*F914/F913+SUMIFS(O886:O913,B886:B913,B914-1-d_T)*F914</f>
        <v/>
      </c>
      <c r="L914" s="40">
        <f>IF(B914&gt;=in_marketplace_from,J914*d_hz*G914*in_eligible*H914,0)</f>
        <v/>
      </c>
      <c r="M914" s="40">
        <f>IF(B914&gt;=in_marketplace_from,K914*d_hz*G914*in_eligible*in_approved_repeat,0)</f>
        <v/>
      </c>
      <c r="N914" s="40">
        <f>L914+M914</f>
        <v/>
      </c>
      <c r="O914" s="46">
        <f>N914/F914</f>
        <v/>
      </c>
      <c r="P914" s="40">
        <f>F914-J914-K914</f>
        <v/>
      </c>
      <c r="Q914" s="40">
        <f>IF(B914&gt;=in_marketplace_from,(J914+K914)*d_hz*G914,0)</f>
        <v/>
      </c>
      <c r="R914" s="40">
        <f>SUMIFS(N886:N928,B886:B928,"&gt;="&amp;(B914-d_T),B886:B928,"&lt;="&amp;(B914-1))</f>
        <v/>
      </c>
      <c r="S914" s="46">
        <f>(1-d_u)*S913+IF(d_T&gt;in_topup_lag,SUMIFS(O886:O928,B886:B928,B914-in_topup_lag)-d_udrop*SUMIFS(O886:O928,B886:B928,B914-d_T),0)</f>
        <v/>
      </c>
      <c r="T914" s="40">
        <f>F914*d_u*S914</f>
        <v/>
      </c>
      <c r="U914" s="9">
        <f>L914*in_ticket+M914*d_rep_ticket</f>
        <v/>
      </c>
      <c r="V914" s="9">
        <f>U914+T914*d_topup_amt</f>
        <v/>
      </c>
      <c r="W914" s="40">
        <f>N914+T914*d_topup_ratio</f>
        <v/>
      </c>
      <c r="X914" s="40">
        <f>SUMIFS(W886:W928,B886:B928,B914-in_dpd_lag)*d_cured</f>
        <v/>
      </c>
      <c r="Y914" s="40">
        <f>SUMIFS(W886:W928,B886:B928,B914-in_rec_lag)*d_recd</f>
        <v/>
      </c>
      <c r="Z914" s="40">
        <f>IF(AND(B914&gt;=in_marketplace_from,B914&lt;in_marketplace_from+in_card_months),in_card_share/in_card_months*F914*I914,IF(AND(B914&gt;=in_marketplace_from+in_card_months,B914&lt;in_marketplace_from+2*in_card_months),in_card_share*d_card_rem/in_card_months*F914*MIN(in_takeup_cap,(1+in_takeup_growth)^(D914-1))*MIN(in_takeup_cap,(1+in_approval_growth)^(D914-1)),0))</f>
        <v/>
      </c>
      <c r="AA914" s="14">
        <f>V914*in_fee*(1-in_taken_back)</f>
        <v/>
      </c>
      <c r="AB914" s="14">
        <f>SUMIFS(W886:W928,B886:B928,B914-in_dpd_lag)*d_dpd</f>
        <v/>
      </c>
      <c r="AC914" s="14">
        <f>SUMIFS(W886:W928,B886:B928,B914-in_rec_lag)*d_rec</f>
        <v/>
      </c>
      <c r="AD914" s="14">
        <f>Z914*in_card_fee</f>
        <v/>
      </c>
      <c r="AE914" s="40">
        <f>AE913*(1-IF(B913&gt;=in_marketplace_from,d_hz_hlth_small*G913,0))</f>
        <v/>
      </c>
      <c r="AF914" s="46">
        <f>AE914*IF(B914&gt;=in_marketplace_from,d_hz_hlth_small*G914,0)</f>
        <v/>
      </c>
      <c r="AG914" s="14">
        <f>F914*AF914*in_hlth_small_ticket*in_hlth_small_comm*in_ins_partner_share+F914*in_hlth_small_ticket*in_hlth_small_renew_comm*in_ins_partner_share*(in_hlth_small_renew^1*SUMIFS(AF886:AF928,B886:B928,B914-12)+in_hlth_small_renew^2*SUMIFS(AF886:AF928,B886:B928,B914-24)+in_hlth_small_renew^3*SUMIFS(AF886:AF928,B886:B928,B914-36)+in_hlth_small_renew^4*SUMIFS(AF886:AF928,B886:B928,B914-48))</f>
        <v/>
      </c>
      <c r="AH914" s="40">
        <f>AH913*(1-IF(B913&gt;=in_marketplace_from,d_hz_hlth_family*G913,0))</f>
        <v/>
      </c>
      <c r="AI914" s="46">
        <f>AH914*IF(B914&gt;=in_marketplace_from,d_hz_hlth_family*G914,0)</f>
        <v/>
      </c>
      <c r="AJ914" s="14">
        <f>F914*AI914*in_hlth_family_ticket*in_hlth_family_comm*in_ins_partner_share+F914*in_hlth_family_ticket*in_hlth_family_renew_comm*in_ins_partner_share*(in_hlth_family_renew^1*SUMIFS(AI886:AI928,B886:B928,B914-12)+in_hlth_family_renew^2*SUMIFS(AI886:AI928,B886:B928,B914-24)+in_hlth_family_renew^3*SUMIFS(AI886:AI928,B886:B928,B914-36)+in_hlth_family_renew^4*SUMIFS(AI886:AI928,B886:B928,B914-48))</f>
        <v/>
      </c>
      <c r="AK914" s="40">
        <f>AK913*(1-IF(B913&gt;=in_marketplace_from,d_hz_life_term*G913,0))</f>
        <v/>
      </c>
      <c r="AL914" s="46">
        <f>AK914*IF(B914&gt;=in_marketplace_from,d_hz_life_term*G914,0)</f>
        <v/>
      </c>
      <c r="AM914" s="14">
        <f>F914*AL914*in_life_term_ticket*in_life_term_comm*in_ins_partner_share+F914*in_life_term_ticket*in_life_term_renew_comm*in_ins_partner_share*(in_life_term_renew^1*SUMIFS(AL886:AL928,B886:B928,B914-12)+in_life_term_renew^2*SUMIFS(AL886:AL928,B886:B928,B914-24)+in_life_term_renew^3*SUMIFS(AL886:AL928,B886:B928,B914-36)+in_life_term_renew^4*SUMIFS(AL886:AL928,B886:B928,B914-48))</f>
        <v/>
      </c>
      <c r="AN914" s="40">
        <f>AN913*(1-IF(B913&gt;=in_marketplace_from,d_hz_accident*G913,0))</f>
        <v/>
      </c>
      <c r="AO914" s="46">
        <f>AN914*IF(B914&gt;=in_marketplace_from,d_hz_accident*G914,0)</f>
        <v/>
      </c>
      <c r="AP914" s="14">
        <f>F914*AO914*in_accident_ticket*in_accident_comm*in_ins_partner_share+F914*in_accident_ticket*in_accident_renew_comm*in_ins_partner_share*(in_accident_renew^1*SUMIFS(AO886:AO928,B886:B928,B914-12)+in_accident_renew^2*SUMIFS(AO886:AO928,B886:B928,B914-24)+in_accident_renew^3*SUMIFS(AO886:AO928,B886:B928,B914-36)+in_accident_renew^4*SUMIFS(AO886:AO928,B886:B928,B914-48))</f>
        <v/>
      </c>
      <c r="AQ914" s="40">
        <f>AQ913*(1-IF(B913&gt;=in_marketplace_from,d_hz_two_wheeler*G913,0))</f>
        <v/>
      </c>
      <c r="AR914" s="46">
        <f>AQ914*IF(B914&gt;=in_marketplace_from,d_hz_two_wheeler*G914,0)</f>
        <v/>
      </c>
      <c r="AS914" s="14">
        <f>F914*AR914*in_two_wheeler_ticket*in_two_wheeler_comm*in_ins_partner_share+F914*in_two_wheeler_ticket*in_two_wheeler_comm*in_ins_partner_share*(in_two_wheeler_renew^1*SUMIFS(AR886:AR928,B886:B928,B914-12)+in_two_wheeler_renew^2*SUMIFS(AR886:AR928,B886:B928,B914-24)+in_two_wheeler_renew^3*SUMIFS(AR886:AR928,B886:B928,B914-36)+in_two_wheeler_renew^4*SUMIFS(AR886:AR928,B886:B928,B914-48))</f>
        <v/>
      </c>
      <c r="AT914" s="40">
        <f>AT913*(1-IF(B913&gt;=in_marketplace_from,d_hz_device*G913,0))</f>
        <v/>
      </c>
      <c r="AU914" s="14">
        <f>F914*AT914*IF(B914&gt;=in_marketplace_from,d_hz_device*G914,0)*in_device_ticket*in_device_comm*in_ins_partner_share</f>
        <v/>
      </c>
      <c r="AV914" s="40">
        <f>AV913*(1-IF(B913&gt;=in_marketplace_from,d_hz_shop*G913,0))</f>
        <v/>
      </c>
      <c r="AW914" s="46">
        <f>AV914*IF(B914&gt;=in_marketplace_from,d_hz_shop*G914,0)</f>
        <v/>
      </c>
      <c r="AX914" s="14">
        <f>F914*AW914*in_shop_ticket*in_shop_comm*in_ins_partner_share+F914*in_shop_ticket*in_shop_renew_comm*in_ins_partner_share*(in_shop_renew^1*SUMIFS(AW886:AW928,B886:B928,B914-12)+in_shop_renew^2*SUMIFS(AW886:AW928,B886:B928,B914-24)+in_shop_renew^3*SUMIFS(AW886:AW928,B886:B928,B914-36)+in_shop_renew^4*SUMIFS(AW886:AW928,B886:B928,B914-48))</f>
        <v/>
      </c>
      <c r="AY914" s="40">
        <f>AY913*(1-IF(B913&gt;=in_marketplace_from,d_hz_sip*G913,0))</f>
        <v/>
      </c>
      <c r="AZ914" s="40">
        <f>AZ913*d_rho_sip+AY914*IF(B914&gt;=in_marketplace_from,d_hz_sip*G914,0)</f>
        <v/>
      </c>
      <c r="BA914" s="40">
        <f>d_rho_sip*(BA913+AZ913)</f>
        <v/>
      </c>
      <c r="BB914" s="14">
        <f>F914*in_sip_ticket*(BA914+0.5*AZ914)*in_sip_comm/12</f>
        <v/>
      </c>
      <c r="BC914" s="40">
        <f>BC913*(1-IF(B913&gt;=in_marketplace_from,d_hz_choti*G913,0))</f>
        <v/>
      </c>
      <c r="BD914" s="46">
        <f>BC914*IF(B914&gt;=in_marketplace_from,d_hz_choti*G914,0)</f>
        <v/>
      </c>
      <c r="BE914" s="14">
        <f>F914*SUMIFS(BD886:BD928,B886:B928,B914-in_choti_months)*in_choti_renew*in_choti_ticket</f>
        <v/>
      </c>
      <c r="BF914" s="40">
        <f>BF913*(1-IF(B913&gt;=in_marketplace_from,d_hz_nps*G913,0))</f>
        <v/>
      </c>
      <c r="BG914" s="14">
        <f>F914*BF914*IF(B914&gt;=in_marketplace_from,d_hz_nps*G914,0)*in_nps_ticket*in_nps_comm</f>
        <v/>
      </c>
      <c r="BH914" s="40">
        <f>BH913*(1-IF(B913&gt;=in_marketplace_from,d_hz_gold*G913,0))</f>
        <v/>
      </c>
      <c r="BI914" s="40">
        <f>BI913*d_rho_gold+BH914*IF(B914&gt;=in_marketplace_from,d_hz_gold*G914,0)</f>
        <v/>
      </c>
      <c r="BJ914" s="14">
        <f>F914*BI914*in_gold_ticket*in_gold_comm</f>
        <v/>
      </c>
      <c r="BK914" s="40">
        <f>BK913*(1-IF(B913&gt;=in_marketplace_from,d_hz_fd*G913,0))</f>
        <v/>
      </c>
      <c r="BL914" s="14">
        <f>F914*BK914*IF(B914&gt;=in_marketplace_from,d_hz_fd*G914,0)*in_fd_ticket*in_fd_comm</f>
        <v/>
      </c>
      <c r="BM914" s="40">
        <f>BM913*(1-IF(B913&gt;=in_marketplace_from,d_hz_recharge*G913,0))</f>
        <v/>
      </c>
      <c r="BN914" s="40">
        <f>BN913*d_rho_recharge+BM914*IF(B914&gt;=in_marketplace_from,d_hz_recharge*G914,0)</f>
        <v/>
      </c>
      <c r="BO914" s="14">
        <f>F914*BN914*in_recharge_ticket*in_recharge_comm/12</f>
        <v/>
      </c>
      <c r="BP914" s="40">
        <f>BP913*(1-IF(B913&gt;=in_marketplace_from,d_hz_bills*G913,0))</f>
        <v/>
      </c>
      <c r="BQ914" s="40">
        <f>BQ913*d_rho_bills+BP914*IF(B914&gt;=in_marketplace_from,d_hz_bills*G914,0)</f>
        <v/>
      </c>
      <c r="BR914" s="14">
        <f>F914*BQ914*in_bills_ticket*in_bills_comm/12</f>
        <v/>
      </c>
      <c r="BS914" s="40">
        <f>BS913*(1-IF(B913&gt;=in_marketplace_from,d_hz_loan_gold*G913,0))</f>
        <v/>
      </c>
      <c r="BT914" s="14">
        <f>F914*BS914*IF(B914&gt;=in_marketplace_from,d_hz_loan_gold*G914,0)*in_loan_gold_ticket*in_loan_gold_comm</f>
        <v/>
      </c>
      <c r="BU914" s="40">
        <f>BU913*(1-IF(B913&gt;=in_marketplace_from,d_hz_loan_cd*G913,0))</f>
        <v/>
      </c>
      <c r="BV914" s="14">
        <f>F914*BU914*IF(B914&gt;=in_marketplace_from,d_hz_loan_cd*G914,0)*in_loan_cd_ticket*in_loan_cd_comm</f>
        <v/>
      </c>
      <c r="BW914" s="40">
        <f>BW913*(1-IF(B913&gt;=in_marketplace_from,d_hz_loan_vehicle*G913,0))</f>
        <v/>
      </c>
      <c r="BX914" s="14">
        <f>F914*BW914*IF(B914&gt;=in_marketplace_from,d_hz_loan_vehicle*G914,0)*in_loan_vehicle_ticket*in_loan_vehicle_comm</f>
        <v/>
      </c>
      <c r="BY914" s="40">
        <f>BY913*(1-IF(B913&gt;=in_marketplace_from,d_hz_loan_home*G913,0)*BZ913)</f>
        <v/>
      </c>
      <c r="BZ914" s="11">
        <f>MIN(in_approval_cap,in_loan_home_approval*INDEX('Age profile'!$O$2:$O$61,B914)*(1+in_approval_growth)^(D914-1))</f>
        <v/>
      </c>
      <c r="CA914" s="14">
        <f>F914*BY914*IF(B914&gt;=in_marketplace_from,d_hz_loan_home*G914,0)*BZ914*in_loan_home_ticket*in_loan_home_comm</f>
        <v/>
      </c>
      <c r="CB914" s="40">
        <f>CB913*(1-IF(B913&gt;=in_marketplace_from,d_hz_loan_lap*G913,0)*CC913)</f>
        <v/>
      </c>
      <c r="CC914" s="11">
        <f>MIN(in_approval_cap,in_loan_lap_approval*INDEX('Age profile'!$O$2:$O$61,B914)*(1+in_approval_growth)^(D914-1))</f>
        <v/>
      </c>
      <c r="CD914" s="14">
        <f>F914*CB914*IF(B914&gt;=in_marketplace_from,d_hz_loan_lap*G914,0)*CC914*in_loan_lap_ticket*in_loan_lap_comm</f>
        <v/>
      </c>
      <c r="CE914" s="14">
        <f>AA914+AB914+AC914+AD914+AG914+AJ914+AM914+AP914+AS914+AU914+AX914+BB914+BE914+BG914+BJ914+BL914+BO914+BR914+BT914+BV914+BX914+CA914+CD914</f>
        <v/>
      </c>
    </row>
    <row r="915">
      <c r="A915" s="39" t="n">
        <v>18</v>
      </c>
      <c r="B915" s="39" t="n">
        <v>30</v>
      </c>
      <c r="C915" s="39">
        <f>A915+B915-1</f>
        <v/>
      </c>
      <c r="D915" s="39">
        <f>INT((C915-1)/12)+1</f>
        <v/>
      </c>
      <c r="E915" s="44">
        <f>INDEX(Monthly!$B$2:$B$61,A915)</f>
        <v/>
      </c>
      <c r="F915" s="44">
        <f>E915*INDEX('Age profile'!$B$2:$B$61,B915)</f>
        <v/>
      </c>
      <c r="G915" s="45">
        <f>MIN(in_takeup_cap,INDEX('Age profile'!$N$2:$N$61,B915)*(1+in_takeup_growth)^(D915-1))</f>
        <v/>
      </c>
      <c r="H915" s="11">
        <f>MIN(in_approval_cap,in_approved_first*INDEX('Age profile'!$O$2:$O$61,B915)*(1+in_approval_growth)^(D915-1))</f>
        <v/>
      </c>
      <c r="I915" s="45">
        <f>G915*MIN(in_takeup_cap,INDEX('Age profile'!$O$2:$O$61,B915)*(1+in_approval_growth)^(D915-1))</f>
        <v/>
      </c>
      <c r="J915" s="40">
        <f>(J914-L914)*F915/F914</f>
        <v/>
      </c>
      <c r="K915" s="40">
        <f>(K914-M914)*F915/F914+SUMIFS(O886:O914,B886:B914,B915-1-d_T)*F915</f>
        <v/>
      </c>
      <c r="L915" s="40">
        <f>IF(B915&gt;=in_marketplace_from,J915*d_hz*G915*in_eligible*H915,0)</f>
        <v/>
      </c>
      <c r="M915" s="40">
        <f>IF(B915&gt;=in_marketplace_from,K915*d_hz*G915*in_eligible*in_approved_repeat,0)</f>
        <v/>
      </c>
      <c r="N915" s="40">
        <f>L915+M915</f>
        <v/>
      </c>
      <c r="O915" s="46">
        <f>N915/F915</f>
        <v/>
      </c>
      <c r="P915" s="40">
        <f>F915-J915-K915</f>
        <v/>
      </c>
      <c r="Q915" s="40">
        <f>IF(B915&gt;=in_marketplace_from,(J915+K915)*d_hz*G915,0)</f>
        <v/>
      </c>
      <c r="R915" s="40">
        <f>SUMIFS(N886:N928,B886:B928,"&gt;="&amp;(B915-d_T),B886:B928,"&lt;="&amp;(B915-1))</f>
        <v/>
      </c>
      <c r="S915" s="46">
        <f>(1-d_u)*S914+IF(d_T&gt;in_topup_lag,SUMIFS(O886:O928,B886:B928,B915-in_topup_lag)-d_udrop*SUMIFS(O886:O928,B886:B928,B915-d_T),0)</f>
        <v/>
      </c>
      <c r="T915" s="40">
        <f>F915*d_u*S915</f>
        <v/>
      </c>
      <c r="U915" s="9">
        <f>L915*in_ticket+M915*d_rep_ticket</f>
        <v/>
      </c>
      <c r="V915" s="9">
        <f>U915+T915*d_topup_amt</f>
        <v/>
      </c>
      <c r="W915" s="40">
        <f>N915+T915*d_topup_ratio</f>
        <v/>
      </c>
      <c r="X915" s="40">
        <f>SUMIFS(W886:W928,B886:B928,B915-in_dpd_lag)*d_cured</f>
        <v/>
      </c>
      <c r="Y915" s="40">
        <f>SUMIFS(W886:W928,B886:B928,B915-in_rec_lag)*d_recd</f>
        <v/>
      </c>
      <c r="Z915" s="40">
        <f>IF(AND(B915&gt;=in_marketplace_from,B915&lt;in_marketplace_from+in_card_months),in_card_share/in_card_months*F915*I915,IF(AND(B915&gt;=in_marketplace_from+in_card_months,B915&lt;in_marketplace_from+2*in_card_months),in_card_share*d_card_rem/in_card_months*F915*MIN(in_takeup_cap,(1+in_takeup_growth)^(D915-1))*MIN(in_takeup_cap,(1+in_approval_growth)^(D915-1)),0))</f>
        <v/>
      </c>
      <c r="AA915" s="14">
        <f>V915*in_fee*(1-in_taken_back)</f>
        <v/>
      </c>
      <c r="AB915" s="14">
        <f>SUMIFS(W886:W928,B886:B928,B915-in_dpd_lag)*d_dpd</f>
        <v/>
      </c>
      <c r="AC915" s="14">
        <f>SUMIFS(W886:W928,B886:B928,B915-in_rec_lag)*d_rec</f>
        <v/>
      </c>
      <c r="AD915" s="14">
        <f>Z915*in_card_fee</f>
        <v/>
      </c>
      <c r="AE915" s="40">
        <f>AE914*(1-IF(B914&gt;=in_marketplace_from,d_hz_hlth_small*G914,0))</f>
        <v/>
      </c>
      <c r="AF915" s="46">
        <f>AE915*IF(B915&gt;=in_marketplace_from,d_hz_hlth_small*G915,0)</f>
        <v/>
      </c>
      <c r="AG915" s="14">
        <f>F915*AF915*in_hlth_small_ticket*in_hlth_small_comm*in_ins_partner_share+F915*in_hlth_small_ticket*in_hlth_small_renew_comm*in_ins_partner_share*(in_hlth_small_renew^1*SUMIFS(AF886:AF928,B886:B928,B915-12)+in_hlth_small_renew^2*SUMIFS(AF886:AF928,B886:B928,B915-24)+in_hlth_small_renew^3*SUMIFS(AF886:AF928,B886:B928,B915-36)+in_hlth_small_renew^4*SUMIFS(AF886:AF928,B886:B928,B915-48))</f>
        <v/>
      </c>
      <c r="AH915" s="40">
        <f>AH914*(1-IF(B914&gt;=in_marketplace_from,d_hz_hlth_family*G914,0))</f>
        <v/>
      </c>
      <c r="AI915" s="46">
        <f>AH915*IF(B915&gt;=in_marketplace_from,d_hz_hlth_family*G915,0)</f>
        <v/>
      </c>
      <c r="AJ915" s="14">
        <f>F915*AI915*in_hlth_family_ticket*in_hlth_family_comm*in_ins_partner_share+F915*in_hlth_family_ticket*in_hlth_family_renew_comm*in_ins_partner_share*(in_hlth_family_renew^1*SUMIFS(AI886:AI928,B886:B928,B915-12)+in_hlth_family_renew^2*SUMIFS(AI886:AI928,B886:B928,B915-24)+in_hlth_family_renew^3*SUMIFS(AI886:AI928,B886:B928,B915-36)+in_hlth_family_renew^4*SUMIFS(AI886:AI928,B886:B928,B915-48))</f>
        <v/>
      </c>
      <c r="AK915" s="40">
        <f>AK914*(1-IF(B914&gt;=in_marketplace_from,d_hz_life_term*G914,0))</f>
        <v/>
      </c>
      <c r="AL915" s="46">
        <f>AK915*IF(B915&gt;=in_marketplace_from,d_hz_life_term*G915,0)</f>
        <v/>
      </c>
      <c r="AM915" s="14">
        <f>F915*AL915*in_life_term_ticket*in_life_term_comm*in_ins_partner_share+F915*in_life_term_ticket*in_life_term_renew_comm*in_ins_partner_share*(in_life_term_renew^1*SUMIFS(AL886:AL928,B886:B928,B915-12)+in_life_term_renew^2*SUMIFS(AL886:AL928,B886:B928,B915-24)+in_life_term_renew^3*SUMIFS(AL886:AL928,B886:B928,B915-36)+in_life_term_renew^4*SUMIFS(AL886:AL928,B886:B928,B915-48))</f>
        <v/>
      </c>
      <c r="AN915" s="40">
        <f>AN914*(1-IF(B914&gt;=in_marketplace_from,d_hz_accident*G914,0))</f>
        <v/>
      </c>
      <c r="AO915" s="46">
        <f>AN915*IF(B915&gt;=in_marketplace_from,d_hz_accident*G915,0)</f>
        <v/>
      </c>
      <c r="AP915" s="14">
        <f>F915*AO915*in_accident_ticket*in_accident_comm*in_ins_partner_share+F915*in_accident_ticket*in_accident_renew_comm*in_ins_partner_share*(in_accident_renew^1*SUMIFS(AO886:AO928,B886:B928,B915-12)+in_accident_renew^2*SUMIFS(AO886:AO928,B886:B928,B915-24)+in_accident_renew^3*SUMIFS(AO886:AO928,B886:B928,B915-36)+in_accident_renew^4*SUMIFS(AO886:AO928,B886:B928,B915-48))</f>
        <v/>
      </c>
      <c r="AQ915" s="40">
        <f>AQ914*(1-IF(B914&gt;=in_marketplace_from,d_hz_two_wheeler*G914,0))</f>
        <v/>
      </c>
      <c r="AR915" s="46">
        <f>AQ915*IF(B915&gt;=in_marketplace_from,d_hz_two_wheeler*G915,0)</f>
        <v/>
      </c>
      <c r="AS915" s="14">
        <f>F915*AR915*in_two_wheeler_ticket*in_two_wheeler_comm*in_ins_partner_share+F915*in_two_wheeler_ticket*in_two_wheeler_comm*in_ins_partner_share*(in_two_wheeler_renew^1*SUMIFS(AR886:AR928,B886:B928,B915-12)+in_two_wheeler_renew^2*SUMIFS(AR886:AR928,B886:B928,B915-24)+in_two_wheeler_renew^3*SUMIFS(AR886:AR928,B886:B928,B915-36)+in_two_wheeler_renew^4*SUMIFS(AR886:AR928,B886:B928,B915-48))</f>
        <v/>
      </c>
      <c r="AT915" s="40">
        <f>AT914*(1-IF(B914&gt;=in_marketplace_from,d_hz_device*G914,0))</f>
        <v/>
      </c>
      <c r="AU915" s="14">
        <f>F915*AT915*IF(B915&gt;=in_marketplace_from,d_hz_device*G915,0)*in_device_ticket*in_device_comm*in_ins_partner_share</f>
        <v/>
      </c>
      <c r="AV915" s="40">
        <f>AV914*(1-IF(B914&gt;=in_marketplace_from,d_hz_shop*G914,0))</f>
        <v/>
      </c>
      <c r="AW915" s="46">
        <f>AV915*IF(B915&gt;=in_marketplace_from,d_hz_shop*G915,0)</f>
        <v/>
      </c>
      <c r="AX915" s="14">
        <f>F915*AW915*in_shop_ticket*in_shop_comm*in_ins_partner_share+F915*in_shop_ticket*in_shop_renew_comm*in_ins_partner_share*(in_shop_renew^1*SUMIFS(AW886:AW928,B886:B928,B915-12)+in_shop_renew^2*SUMIFS(AW886:AW928,B886:B928,B915-24)+in_shop_renew^3*SUMIFS(AW886:AW928,B886:B928,B915-36)+in_shop_renew^4*SUMIFS(AW886:AW928,B886:B928,B915-48))</f>
        <v/>
      </c>
      <c r="AY915" s="40">
        <f>AY914*(1-IF(B914&gt;=in_marketplace_from,d_hz_sip*G914,0))</f>
        <v/>
      </c>
      <c r="AZ915" s="40">
        <f>AZ914*d_rho_sip+AY915*IF(B915&gt;=in_marketplace_from,d_hz_sip*G915,0)</f>
        <v/>
      </c>
      <c r="BA915" s="40">
        <f>d_rho_sip*(BA914+AZ914)</f>
        <v/>
      </c>
      <c r="BB915" s="14">
        <f>F915*in_sip_ticket*(BA915+0.5*AZ915)*in_sip_comm/12</f>
        <v/>
      </c>
      <c r="BC915" s="40">
        <f>BC914*(1-IF(B914&gt;=in_marketplace_from,d_hz_choti*G914,0))</f>
        <v/>
      </c>
      <c r="BD915" s="46">
        <f>BC915*IF(B915&gt;=in_marketplace_from,d_hz_choti*G915,0)</f>
        <v/>
      </c>
      <c r="BE915" s="14">
        <f>F915*SUMIFS(BD886:BD928,B886:B928,B915-in_choti_months)*in_choti_renew*in_choti_ticket</f>
        <v/>
      </c>
      <c r="BF915" s="40">
        <f>BF914*(1-IF(B914&gt;=in_marketplace_from,d_hz_nps*G914,0))</f>
        <v/>
      </c>
      <c r="BG915" s="14">
        <f>F915*BF915*IF(B915&gt;=in_marketplace_from,d_hz_nps*G915,0)*in_nps_ticket*in_nps_comm</f>
        <v/>
      </c>
      <c r="BH915" s="40">
        <f>BH914*(1-IF(B914&gt;=in_marketplace_from,d_hz_gold*G914,0))</f>
        <v/>
      </c>
      <c r="BI915" s="40">
        <f>BI914*d_rho_gold+BH915*IF(B915&gt;=in_marketplace_from,d_hz_gold*G915,0)</f>
        <v/>
      </c>
      <c r="BJ915" s="14">
        <f>F915*BI915*in_gold_ticket*in_gold_comm</f>
        <v/>
      </c>
      <c r="BK915" s="40">
        <f>BK914*(1-IF(B914&gt;=in_marketplace_from,d_hz_fd*G914,0))</f>
        <v/>
      </c>
      <c r="BL915" s="14">
        <f>F915*BK915*IF(B915&gt;=in_marketplace_from,d_hz_fd*G915,0)*in_fd_ticket*in_fd_comm</f>
        <v/>
      </c>
      <c r="BM915" s="40">
        <f>BM914*(1-IF(B914&gt;=in_marketplace_from,d_hz_recharge*G914,0))</f>
        <v/>
      </c>
      <c r="BN915" s="40">
        <f>BN914*d_rho_recharge+BM915*IF(B915&gt;=in_marketplace_from,d_hz_recharge*G915,0)</f>
        <v/>
      </c>
      <c r="BO915" s="14">
        <f>F915*BN915*in_recharge_ticket*in_recharge_comm/12</f>
        <v/>
      </c>
      <c r="BP915" s="40">
        <f>BP914*(1-IF(B914&gt;=in_marketplace_from,d_hz_bills*G914,0))</f>
        <v/>
      </c>
      <c r="BQ915" s="40">
        <f>BQ914*d_rho_bills+BP915*IF(B915&gt;=in_marketplace_from,d_hz_bills*G915,0)</f>
        <v/>
      </c>
      <c r="BR915" s="14">
        <f>F915*BQ915*in_bills_ticket*in_bills_comm/12</f>
        <v/>
      </c>
      <c r="BS915" s="40">
        <f>BS914*(1-IF(B914&gt;=in_marketplace_from,d_hz_loan_gold*G914,0))</f>
        <v/>
      </c>
      <c r="BT915" s="14">
        <f>F915*BS915*IF(B915&gt;=in_marketplace_from,d_hz_loan_gold*G915,0)*in_loan_gold_ticket*in_loan_gold_comm</f>
        <v/>
      </c>
      <c r="BU915" s="40">
        <f>BU914*(1-IF(B914&gt;=in_marketplace_from,d_hz_loan_cd*G914,0))</f>
        <v/>
      </c>
      <c r="BV915" s="14">
        <f>F915*BU915*IF(B915&gt;=in_marketplace_from,d_hz_loan_cd*G915,0)*in_loan_cd_ticket*in_loan_cd_comm</f>
        <v/>
      </c>
      <c r="BW915" s="40">
        <f>BW914*(1-IF(B914&gt;=in_marketplace_from,d_hz_loan_vehicle*G914,0))</f>
        <v/>
      </c>
      <c r="BX915" s="14">
        <f>F915*BW915*IF(B915&gt;=in_marketplace_from,d_hz_loan_vehicle*G915,0)*in_loan_vehicle_ticket*in_loan_vehicle_comm</f>
        <v/>
      </c>
      <c r="BY915" s="40">
        <f>BY914*(1-IF(B914&gt;=in_marketplace_from,d_hz_loan_home*G914,0)*BZ914)</f>
        <v/>
      </c>
      <c r="BZ915" s="11">
        <f>MIN(in_approval_cap,in_loan_home_approval*INDEX('Age profile'!$O$2:$O$61,B915)*(1+in_approval_growth)^(D915-1))</f>
        <v/>
      </c>
      <c r="CA915" s="14">
        <f>F915*BY915*IF(B915&gt;=in_marketplace_from,d_hz_loan_home*G915,0)*BZ915*in_loan_home_ticket*in_loan_home_comm</f>
        <v/>
      </c>
      <c r="CB915" s="40">
        <f>CB914*(1-IF(B914&gt;=in_marketplace_from,d_hz_loan_lap*G914,0)*CC914)</f>
        <v/>
      </c>
      <c r="CC915" s="11">
        <f>MIN(in_approval_cap,in_loan_lap_approval*INDEX('Age profile'!$O$2:$O$61,B915)*(1+in_approval_growth)^(D915-1))</f>
        <v/>
      </c>
      <c r="CD915" s="14">
        <f>F915*CB915*IF(B915&gt;=in_marketplace_from,d_hz_loan_lap*G915,0)*CC915*in_loan_lap_ticket*in_loan_lap_comm</f>
        <v/>
      </c>
      <c r="CE915" s="14">
        <f>AA915+AB915+AC915+AD915+AG915+AJ915+AM915+AP915+AS915+AU915+AX915+BB915+BE915+BG915+BJ915+BL915+BO915+BR915+BT915+BV915+BX915+CA915+CD915</f>
        <v/>
      </c>
    </row>
    <row r="916">
      <c r="A916" s="39" t="n">
        <v>18</v>
      </c>
      <c r="B916" s="39" t="n">
        <v>31</v>
      </c>
      <c r="C916" s="39">
        <f>A916+B916-1</f>
        <v/>
      </c>
      <c r="D916" s="39">
        <f>INT((C916-1)/12)+1</f>
        <v/>
      </c>
      <c r="E916" s="44">
        <f>INDEX(Monthly!$B$2:$B$61,A916)</f>
        <v/>
      </c>
      <c r="F916" s="44">
        <f>E916*INDEX('Age profile'!$B$2:$B$61,B916)</f>
        <v/>
      </c>
      <c r="G916" s="45">
        <f>MIN(in_takeup_cap,INDEX('Age profile'!$N$2:$N$61,B916)*(1+in_takeup_growth)^(D916-1))</f>
        <v/>
      </c>
      <c r="H916" s="11">
        <f>MIN(in_approval_cap,in_approved_first*INDEX('Age profile'!$O$2:$O$61,B916)*(1+in_approval_growth)^(D916-1))</f>
        <v/>
      </c>
      <c r="I916" s="45">
        <f>G916*MIN(in_takeup_cap,INDEX('Age profile'!$O$2:$O$61,B916)*(1+in_approval_growth)^(D916-1))</f>
        <v/>
      </c>
      <c r="J916" s="40">
        <f>(J915-L915)*F916/F915</f>
        <v/>
      </c>
      <c r="K916" s="40">
        <f>(K915-M915)*F916/F915+SUMIFS(O886:O915,B886:B915,B916-1-d_T)*F916</f>
        <v/>
      </c>
      <c r="L916" s="40">
        <f>IF(B916&gt;=in_marketplace_from,J916*d_hz*G916*in_eligible*H916,0)</f>
        <v/>
      </c>
      <c r="M916" s="40">
        <f>IF(B916&gt;=in_marketplace_from,K916*d_hz*G916*in_eligible*in_approved_repeat,0)</f>
        <v/>
      </c>
      <c r="N916" s="40">
        <f>L916+M916</f>
        <v/>
      </c>
      <c r="O916" s="46">
        <f>N916/F916</f>
        <v/>
      </c>
      <c r="P916" s="40">
        <f>F916-J916-K916</f>
        <v/>
      </c>
      <c r="Q916" s="40">
        <f>IF(B916&gt;=in_marketplace_from,(J916+K916)*d_hz*G916,0)</f>
        <v/>
      </c>
      <c r="R916" s="40">
        <f>SUMIFS(N886:N928,B886:B928,"&gt;="&amp;(B916-d_T),B886:B928,"&lt;="&amp;(B916-1))</f>
        <v/>
      </c>
      <c r="S916" s="46">
        <f>(1-d_u)*S915+IF(d_T&gt;in_topup_lag,SUMIFS(O886:O928,B886:B928,B916-in_topup_lag)-d_udrop*SUMIFS(O886:O928,B886:B928,B916-d_T),0)</f>
        <v/>
      </c>
      <c r="T916" s="40">
        <f>F916*d_u*S916</f>
        <v/>
      </c>
      <c r="U916" s="9">
        <f>L916*in_ticket+M916*d_rep_ticket</f>
        <v/>
      </c>
      <c r="V916" s="9">
        <f>U916+T916*d_topup_amt</f>
        <v/>
      </c>
      <c r="W916" s="40">
        <f>N916+T916*d_topup_ratio</f>
        <v/>
      </c>
      <c r="X916" s="40">
        <f>SUMIFS(W886:W928,B886:B928,B916-in_dpd_lag)*d_cured</f>
        <v/>
      </c>
      <c r="Y916" s="40">
        <f>SUMIFS(W886:W928,B886:B928,B916-in_rec_lag)*d_recd</f>
        <v/>
      </c>
      <c r="Z916" s="40">
        <f>IF(AND(B916&gt;=in_marketplace_from,B916&lt;in_marketplace_from+in_card_months),in_card_share/in_card_months*F916*I916,IF(AND(B916&gt;=in_marketplace_from+in_card_months,B916&lt;in_marketplace_from+2*in_card_months),in_card_share*d_card_rem/in_card_months*F916*MIN(in_takeup_cap,(1+in_takeup_growth)^(D916-1))*MIN(in_takeup_cap,(1+in_approval_growth)^(D916-1)),0))</f>
        <v/>
      </c>
      <c r="AA916" s="14">
        <f>V916*in_fee*(1-in_taken_back)</f>
        <v/>
      </c>
      <c r="AB916" s="14">
        <f>SUMIFS(W886:W928,B886:B928,B916-in_dpd_lag)*d_dpd</f>
        <v/>
      </c>
      <c r="AC916" s="14">
        <f>SUMIFS(W886:W928,B886:B928,B916-in_rec_lag)*d_rec</f>
        <v/>
      </c>
      <c r="AD916" s="14">
        <f>Z916*in_card_fee</f>
        <v/>
      </c>
      <c r="AE916" s="40">
        <f>AE915*(1-IF(B915&gt;=in_marketplace_from,d_hz_hlth_small*G915,0))</f>
        <v/>
      </c>
      <c r="AF916" s="46">
        <f>AE916*IF(B916&gt;=in_marketplace_from,d_hz_hlth_small*G916,0)</f>
        <v/>
      </c>
      <c r="AG916" s="14">
        <f>F916*AF916*in_hlth_small_ticket*in_hlth_small_comm*in_ins_partner_share+F916*in_hlth_small_ticket*in_hlth_small_renew_comm*in_ins_partner_share*(in_hlth_small_renew^1*SUMIFS(AF886:AF928,B886:B928,B916-12)+in_hlth_small_renew^2*SUMIFS(AF886:AF928,B886:B928,B916-24)+in_hlth_small_renew^3*SUMIFS(AF886:AF928,B886:B928,B916-36)+in_hlth_small_renew^4*SUMIFS(AF886:AF928,B886:B928,B916-48))</f>
        <v/>
      </c>
      <c r="AH916" s="40">
        <f>AH915*(1-IF(B915&gt;=in_marketplace_from,d_hz_hlth_family*G915,0))</f>
        <v/>
      </c>
      <c r="AI916" s="46">
        <f>AH916*IF(B916&gt;=in_marketplace_from,d_hz_hlth_family*G916,0)</f>
        <v/>
      </c>
      <c r="AJ916" s="14">
        <f>F916*AI916*in_hlth_family_ticket*in_hlth_family_comm*in_ins_partner_share+F916*in_hlth_family_ticket*in_hlth_family_renew_comm*in_ins_partner_share*(in_hlth_family_renew^1*SUMIFS(AI886:AI928,B886:B928,B916-12)+in_hlth_family_renew^2*SUMIFS(AI886:AI928,B886:B928,B916-24)+in_hlth_family_renew^3*SUMIFS(AI886:AI928,B886:B928,B916-36)+in_hlth_family_renew^4*SUMIFS(AI886:AI928,B886:B928,B916-48))</f>
        <v/>
      </c>
      <c r="AK916" s="40">
        <f>AK915*(1-IF(B915&gt;=in_marketplace_from,d_hz_life_term*G915,0))</f>
        <v/>
      </c>
      <c r="AL916" s="46">
        <f>AK916*IF(B916&gt;=in_marketplace_from,d_hz_life_term*G916,0)</f>
        <v/>
      </c>
      <c r="AM916" s="14">
        <f>F916*AL916*in_life_term_ticket*in_life_term_comm*in_ins_partner_share+F916*in_life_term_ticket*in_life_term_renew_comm*in_ins_partner_share*(in_life_term_renew^1*SUMIFS(AL886:AL928,B886:B928,B916-12)+in_life_term_renew^2*SUMIFS(AL886:AL928,B886:B928,B916-24)+in_life_term_renew^3*SUMIFS(AL886:AL928,B886:B928,B916-36)+in_life_term_renew^4*SUMIFS(AL886:AL928,B886:B928,B916-48))</f>
        <v/>
      </c>
      <c r="AN916" s="40">
        <f>AN915*(1-IF(B915&gt;=in_marketplace_from,d_hz_accident*G915,0))</f>
        <v/>
      </c>
      <c r="AO916" s="46">
        <f>AN916*IF(B916&gt;=in_marketplace_from,d_hz_accident*G916,0)</f>
        <v/>
      </c>
      <c r="AP916" s="14">
        <f>F916*AO916*in_accident_ticket*in_accident_comm*in_ins_partner_share+F916*in_accident_ticket*in_accident_renew_comm*in_ins_partner_share*(in_accident_renew^1*SUMIFS(AO886:AO928,B886:B928,B916-12)+in_accident_renew^2*SUMIFS(AO886:AO928,B886:B928,B916-24)+in_accident_renew^3*SUMIFS(AO886:AO928,B886:B928,B916-36)+in_accident_renew^4*SUMIFS(AO886:AO928,B886:B928,B916-48))</f>
        <v/>
      </c>
      <c r="AQ916" s="40">
        <f>AQ915*(1-IF(B915&gt;=in_marketplace_from,d_hz_two_wheeler*G915,0))</f>
        <v/>
      </c>
      <c r="AR916" s="46">
        <f>AQ916*IF(B916&gt;=in_marketplace_from,d_hz_two_wheeler*G916,0)</f>
        <v/>
      </c>
      <c r="AS916" s="14">
        <f>F916*AR916*in_two_wheeler_ticket*in_two_wheeler_comm*in_ins_partner_share+F916*in_two_wheeler_ticket*in_two_wheeler_comm*in_ins_partner_share*(in_two_wheeler_renew^1*SUMIFS(AR886:AR928,B886:B928,B916-12)+in_two_wheeler_renew^2*SUMIFS(AR886:AR928,B886:B928,B916-24)+in_two_wheeler_renew^3*SUMIFS(AR886:AR928,B886:B928,B916-36)+in_two_wheeler_renew^4*SUMIFS(AR886:AR928,B886:B928,B916-48))</f>
        <v/>
      </c>
      <c r="AT916" s="40">
        <f>AT915*(1-IF(B915&gt;=in_marketplace_from,d_hz_device*G915,0))</f>
        <v/>
      </c>
      <c r="AU916" s="14">
        <f>F916*AT916*IF(B916&gt;=in_marketplace_from,d_hz_device*G916,0)*in_device_ticket*in_device_comm*in_ins_partner_share</f>
        <v/>
      </c>
      <c r="AV916" s="40">
        <f>AV915*(1-IF(B915&gt;=in_marketplace_from,d_hz_shop*G915,0))</f>
        <v/>
      </c>
      <c r="AW916" s="46">
        <f>AV916*IF(B916&gt;=in_marketplace_from,d_hz_shop*G916,0)</f>
        <v/>
      </c>
      <c r="AX916" s="14">
        <f>F916*AW916*in_shop_ticket*in_shop_comm*in_ins_partner_share+F916*in_shop_ticket*in_shop_renew_comm*in_ins_partner_share*(in_shop_renew^1*SUMIFS(AW886:AW928,B886:B928,B916-12)+in_shop_renew^2*SUMIFS(AW886:AW928,B886:B928,B916-24)+in_shop_renew^3*SUMIFS(AW886:AW928,B886:B928,B916-36)+in_shop_renew^4*SUMIFS(AW886:AW928,B886:B928,B916-48))</f>
        <v/>
      </c>
      <c r="AY916" s="40">
        <f>AY915*(1-IF(B915&gt;=in_marketplace_from,d_hz_sip*G915,0))</f>
        <v/>
      </c>
      <c r="AZ916" s="40">
        <f>AZ915*d_rho_sip+AY916*IF(B916&gt;=in_marketplace_from,d_hz_sip*G916,0)</f>
        <v/>
      </c>
      <c r="BA916" s="40">
        <f>d_rho_sip*(BA915+AZ915)</f>
        <v/>
      </c>
      <c r="BB916" s="14">
        <f>F916*in_sip_ticket*(BA916+0.5*AZ916)*in_sip_comm/12</f>
        <v/>
      </c>
      <c r="BC916" s="40">
        <f>BC915*(1-IF(B915&gt;=in_marketplace_from,d_hz_choti*G915,0))</f>
        <v/>
      </c>
      <c r="BD916" s="46">
        <f>BC916*IF(B916&gt;=in_marketplace_from,d_hz_choti*G916,0)</f>
        <v/>
      </c>
      <c r="BE916" s="14">
        <f>F916*SUMIFS(BD886:BD928,B886:B928,B916-in_choti_months)*in_choti_renew*in_choti_ticket</f>
        <v/>
      </c>
      <c r="BF916" s="40">
        <f>BF915*(1-IF(B915&gt;=in_marketplace_from,d_hz_nps*G915,0))</f>
        <v/>
      </c>
      <c r="BG916" s="14">
        <f>F916*BF916*IF(B916&gt;=in_marketplace_from,d_hz_nps*G916,0)*in_nps_ticket*in_nps_comm</f>
        <v/>
      </c>
      <c r="BH916" s="40">
        <f>BH915*(1-IF(B915&gt;=in_marketplace_from,d_hz_gold*G915,0))</f>
        <v/>
      </c>
      <c r="BI916" s="40">
        <f>BI915*d_rho_gold+BH916*IF(B916&gt;=in_marketplace_from,d_hz_gold*G916,0)</f>
        <v/>
      </c>
      <c r="BJ916" s="14">
        <f>F916*BI916*in_gold_ticket*in_gold_comm</f>
        <v/>
      </c>
      <c r="BK916" s="40">
        <f>BK915*(1-IF(B915&gt;=in_marketplace_from,d_hz_fd*G915,0))</f>
        <v/>
      </c>
      <c r="BL916" s="14">
        <f>F916*BK916*IF(B916&gt;=in_marketplace_from,d_hz_fd*G916,0)*in_fd_ticket*in_fd_comm</f>
        <v/>
      </c>
      <c r="BM916" s="40">
        <f>BM915*(1-IF(B915&gt;=in_marketplace_from,d_hz_recharge*G915,0))</f>
        <v/>
      </c>
      <c r="BN916" s="40">
        <f>BN915*d_rho_recharge+BM916*IF(B916&gt;=in_marketplace_from,d_hz_recharge*G916,0)</f>
        <v/>
      </c>
      <c r="BO916" s="14">
        <f>F916*BN916*in_recharge_ticket*in_recharge_comm/12</f>
        <v/>
      </c>
      <c r="BP916" s="40">
        <f>BP915*(1-IF(B915&gt;=in_marketplace_from,d_hz_bills*G915,0))</f>
        <v/>
      </c>
      <c r="BQ916" s="40">
        <f>BQ915*d_rho_bills+BP916*IF(B916&gt;=in_marketplace_from,d_hz_bills*G916,0)</f>
        <v/>
      </c>
      <c r="BR916" s="14">
        <f>F916*BQ916*in_bills_ticket*in_bills_comm/12</f>
        <v/>
      </c>
      <c r="BS916" s="40">
        <f>BS915*(1-IF(B915&gt;=in_marketplace_from,d_hz_loan_gold*G915,0))</f>
        <v/>
      </c>
      <c r="BT916" s="14">
        <f>F916*BS916*IF(B916&gt;=in_marketplace_from,d_hz_loan_gold*G916,0)*in_loan_gold_ticket*in_loan_gold_comm</f>
        <v/>
      </c>
      <c r="BU916" s="40">
        <f>BU915*(1-IF(B915&gt;=in_marketplace_from,d_hz_loan_cd*G915,0))</f>
        <v/>
      </c>
      <c r="BV916" s="14">
        <f>F916*BU916*IF(B916&gt;=in_marketplace_from,d_hz_loan_cd*G916,0)*in_loan_cd_ticket*in_loan_cd_comm</f>
        <v/>
      </c>
      <c r="BW916" s="40">
        <f>BW915*(1-IF(B915&gt;=in_marketplace_from,d_hz_loan_vehicle*G915,0))</f>
        <v/>
      </c>
      <c r="BX916" s="14">
        <f>F916*BW916*IF(B916&gt;=in_marketplace_from,d_hz_loan_vehicle*G916,0)*in_loan_vehicle_ticket*in_loan_vehicle_comm</f>
        <v/>
      </c>
      <c r="BY916" s="40">
        <f>BY915*(1-IF(B915&gt;=in_marketplace_from,d_hz_loan_home*G915,0)*BZ915)</f>
        <v/>
      </c>
      <c r="BZ916" s="11">
        <f>MIN(in_approval_cap,in_loan_home_approval*INDEX('Age profile'!$O$2:$O$61,B916)*(1+in_approval_growth)^(D916-1))</f>
        <v/>
      </c>
      <c r="CA916" s="14">
        <f>F916*BY916*IF(B916&gt;=in_marketplace_from,d_hz_loan_home*G916,0)*BZ916*in_loan_home_ticket*in_loan_home_comm</f>
        <v/>
      </c>
      <c r="CB916" s="40">
        <f>CB915*(1-IF(B915&gt;=in_marketplace_from,d_hz_loan_lap*G915,0)*CC915)</f>
        <v/>
      </c>
      <c r="CC916" s="11">
        <f>MIN(in_approval_cap,in_loan_lap_approval*INDEX('Age profile'!$O$2:$O$61,B916)*(1+in_approval_growth)^(D916-1))</f>
        <v/>
      </c>
      <c r="CD916" s="14">
        <f>F916*CB916*IF(B916&gt;=in_marketplace_from,d_hz_loan_lap*G916,0)*CC916*in_loan_lap_ticket*in_loan_lap_comm</f>
        <v/>
      </c>
      <c r="CE916" s="14">
        <f>AA916+AB916+AC916+AD916+AG916+AJ916+AM916+AP916+AS916+AU916+AX916+BB916+BE916+BG916+BJ916+BL916+BO916+BR916+BT916+BV916+BX916+CA916+CD916</f>
        <v/>
      </c>
    </row>
    <row r="917">
      <c r="A917" s="39" t="n">
        <v>18</v>
      </c>
      <c r="B917" s="39" t="n">
        <v>32</v>
      </c>
      <c r="C917" s="39">
        <f>A917+B917-1</f>
        <v/>
      </c>
      <c r="D917" s="39">
        <f>INT((C917-1)/12)+1</f>
        <v/>
      </c>
      <c r="E917" s="44">
        <f>INDEX(Monthly!$B$2:$B$61,A917)</f>
        <v/>
      </c>
      <c r="F917" s="44">
        <f>E917*INDEX('Age profile'!$B$2:$B$61,B917)</f>
        <v/>
      </c>
      <c r="G917" s="45">
        <f>MIN(in_takeup_cap,INDEX('Age profile'!$N$2:$N$61,B917)*(1+in_takeup_growth)^(D917-1))</f>
        <v/>
      </c>
      <c r="H917" s="11">
        <f>MIN(in_approval_cap,in_approved_first*INDEX('Age profile'!$O$2:$O$61,B917)*(1+in_approval_growth)^(D917-1))</f>
        <v/>
      </c>
      <c r="I917" s="45">
        <f>G917*MIN(in_takeup_cap,INDEX('Age profile'!$O$2:$O$61,B917)*(1+in_approval_growth)^(D917-1))</f>
        <v/>
      </c>
      <c r="J917" s="40">
        <f>(J916-L916)*F917/F916</f>
        <v/>
      </c>
      <c r="K917" s="40">
        <f>(K916-M916)*F917/F916+SUMIFS(O886:O916,B886:B916,B917-1-d_T)*F917</f>
        <v/>
      </c>
      <c r="L917" s="40">
        <f>IF(B917&gt;=in_marketplace_from,J917*d_hz*G917*in_eligible*H917,0)</f>
        <v/>
      </c>
      <c r="M917" s="40">
        <f>IF(B917&gt;=in_marketplace_from,K917*d_hz*G917*in_eligible*in_approved_repeat,0)</f>
        <v/>
      </c>
      <c r="N917" s="40">
        <f>L917+M917</f>
        <v/>
      </c>
      <c r="O917" s="46">
        <f>N917/F917</f>
        <v/>
      </c>
      <c r="P917" s="40">
        <f>F917-J917-K917</f>
        <v/>
      </c>
      <c r="Q917" s="40">
        <f>IF(B917&gt;=in_marketplace_from,(J917+K917)*d_hz*G917,0)</f>
        <v/>
      </c>
      <c r="R917" s="40">
        <f>SUMIFS(N886:N928,B886:B928,"&gt;="&amp;(B917-d_T),B886:B928,"&lt;="&amp;(B917-1))</f>
        <v/>
      </c>
      <c r="S917" s="46">
        <f>(1-d_u)*S916+IF(d_T&gt;in_topup_lag,SUMIFS(O886:O928,B886:B928,B917-in_topup_lag)-d_udrop*SUMIFS(O886:O928,B886:B928,B917-d_T),0)</f>
        <v/>
      </c>
      <c r="T917" s="40">
        <f>F917*d_u*S917</f>
        <v/>
      </c>
      <c r="U917" s="9">
        <f>L917*in_ticket+M917*d_rep_ticket</f>
        <v/>
      </c>
      <c r="V917" s="9">
        <f>U917+T917*d_topup_amt</f>
        <v/>
      </c>
      <c r="W917" s="40">
        <f>N917+T917*d_topup_ratio</f>
        <v/>
      </c>
      <c r="X917" s="40">
        <f>SUMIFS(W886:W928,B886:B928,B917-in_dpd_lag)*d_cured</f>
        <v/>
      </c>
      <c r="Y917" s="40">
        <f>SUMIFS(W886:W928,B886:B928,B917-in_rec_lag)*d_recd</f>
        <v/>
      </c>
      <c r="Z917" s="40">
        <f>IF(AND(B917&gt;=in_marketplace_from,B917&lt;in_marketplace_from+in_card_months),in_card_share/in_card_months*F917*I917,IF(AND(B917&gt;=in_marketplace_from+in_card_months,B917&lt;in_marketplace_from+2*in_card_months),in_card_share*d_card_rem/in_card_months*F917*MIN(in_takeup_cap,(1+in_takeup_growth)^(D917-1))*MIN(in_takeup_cap,(1+in_approval_growth)^(D917-1)),0))</f>
        <v/>
      </c>
      <c r="AA917" s="14">
        <f>V917*in_fee*(1-in_taken_back)</f>
        <v/>
      </c>
      <c r="AB917" s="14">
        <f>SUMIFS(W886:W928,B886:B928,B917-in_dpd_lag)*d_dpd</f>
        <v/>
      </c>
      <c r="AC917" s="14">
        <f>SUMIFS(W886:W928,B886:B928,B917-in_rec_lag)*d_rec</f>
        <v/>
      </c>
      <c r="AD917" s="14">
        <f>Z917*in_card_fee</f>
        <v/>
      </c>
      <c r="AE917" s="40">
        <f>AE916*(1-IF(B916&gt;=in_marketplace_from,d_hz_hlth_small*G916,0))</f>
        <v/>
      </c>
      <c r="AF917" s="46">
        <f>AE917*IF(B917&gt;=in_marketplace_from,d_hz_hlth_small*G917,0)</f>
        <v/>
      </c>
      <c r="AG917" s="14">
        <f>F917*AF917*in_hlth_small_ticket*in_hlth_small_comm*in_ins_partner_share+F917*in_hlth_small_ticket*in_hlth_small_renew_comm*in_ins_partner_share*(in_hlth_small_renew^1*SUMIFS(AF886:AF928,B886:B928,B917-12)+in_hlth_small_renew^2*SUMIFS(AF886:AF928,B886:B928,B917-24)+in_hlth_small_renew^3*SUMIFS(AF886:AF928,B886:B928,B917-36)+in_hlth_small_renew^4*SUMIFS(AF886:AF928,B886:B928,B917-48))</f>
        <v/>
      </c>
      <c r="AH917" s="40">
        <f>AH916*(1-IF(B916&gt;=in_marketplace_from,d_hz_hlth_family*G916,0))</f>
        <v/>
      </c>
      <c r="AI917" s="46">
        <f>AH917*IF(B917&gt;=in_marketplace_from,d_hz_hlth_family*G917,0)</f>
        <v/>
      </c>
      <c r="AJ917" s="14">
        <f>F917*AI917*in_hlth_family_ticket*in_hlth_family_comm*in_ins_partner_share+F917*in_hlth_family_ticket*in_hlth_family_renew_comm*in_ins_partner_share*(in_hlth_family_renew^1*SUMIFS(AI886:AI928,B886:B928,B917-12)+in_hlth_family_renew^2*SUMIFS(AI886:AI928,B886:B928,B917-24)+in_hlth_family_renew^3*SUMIFS(AI886:AI928,B886:B928,B917-36)+in_hlth_family_renew^4*SUMIFS(AI886:AI928,B886:B928,B917-48))</f>
        <v/>
      </c>
      <c r="AK917" s="40">
        <f>AK916*(1-IF(B916&gt;=in_marketplace_from,d_hz_life_term*G916,0))</f>
        <v/>
      </c>
      <c r="AL917" s="46">
        <f>AK917*IF(B917&gt;=in_marketplace_from,d_hz_life_term*G917,0)</f>
        <v/>
      </c>
      <c r="AM917" s="14">
        <f>F917*AL917*in_life_term_ticket*in_life_term_comm*in_ins_partner_share+F917*in_life_term_ticket*in_life_term_renew_comm*in_ins_partner_share*(in_life_term_renew^1*SUMIFS(AL886:AL928,B886:B928,B917-12)+in_life_term_renew^2*SUMIFS(AL886:AL928,B886:B928,B917-24)+in_life_term_renew^3*SUMIFS(AL886:AL928,B886:B928,B917-36)+in_life_term_renew^4*SUMIFS(AL886:AL928,B886:B928,B917-48))</f>
        <v/>
      </c>
      <c r="AN917" s="40">
        <f>AN916*(1-IF(B916&gt;=in_marketplace_from,d_hz_accident*G916,0))</f>
        <v/>
      </c>
      <c r="AO917" s="46">
        <f>AN917*IF(B917&gt;=in_marketplace_from,d_hz_accident*G917,0)</f>
        <v/>
      </c>
      <c r="AP917" s="14">
        <f>F917*AO917*in_accident_ticket*in_accident_comm*in_ins_partner_share+F917*in_accident_ticket*in_accident_renew_comm*in_ins_partner_share*(in_accident_renew^1*SUMIFS(AO886:AO928,B886:B928,B917-12)+in_accident_renew^2*SUMIFS(AO886:AO928,B886:B928,B917-24)+in_accident_renew^3*SUMIFS(AO886:AO928,B886:B928,B917-36)+in_accident_renew^4*SUMIFS(AO886:AO928,B886:B928,B917-48))</f>
        <v/>
      </c>
      <c r="AQ917" s="40">
        <f>AQ916*(1-IF(B916&gt;=in_marketplace_from,d_hz_two_wheeler*G916,0))</f>
        <v/>
      </c>
      <c r="AR917" s="46">
        <f>AQ917*IF(B917&gt;=in_marketplace_from,d_hz_two_wheeler*G917,0)</f>
        <v/>
      </c>
      <c r="AS917" s="14">
        <f>F917*AR917*in_two_wheeler_ticket*in_two_wheeler_comm*in_ins_partner_share+F917*in_two_wheeler_ticket*in_two_wheeler_comm*in_ins_partner_share*(in_two_wheeler_renew^1*SUMIFS(AR886:AR928,B886:B928,B917-12)+in_two_wheeler_renew^2*SUMIFS(AR886:AR928,B886:B928,B917-24)+in_two_wheeler_renew^3*SUMIFS(AR886:AR928,B886:B928,B917-36)+in_two_wheeler_renew^4*SUMIFS(AR886:AR928,B886:B928,B917-48))</f>
        <v/>
      </c>
      <c r="AT917" s="40">
        <f>AT916*(1-IF(B916&gt;=in_marketplace_from,d_hz_device*G916,0))</f>
        <v/>
      </c>
      <c r="AU917" s="14">
        <f>F917*AT917*IF(B917&gt;=in_marketplace_from,d_hz_device*G917,0)*in_device_ticket*in_device_comm*in_ins_partner_share</f>
        <v/>
      </c>
      <c r="AV917" s="40">
        <f>AV916*(1-IF(B916&gt;=in_marketplace_from,d_hz_shop*G916,0))</f>
        <v/>
      </c>
      <c r="AW917" s="46">
        <f>AV917*IF(B917&gt;=in_marketplace_from,d_hz_shop*G917,0)</f>
        <v/>
      </c>
      <c r="AX917" s="14">
        <f>F917*AW917*in_shop_ticket*in_shop_comm*in_ins_partner_share+F917*in_shop_ticket*in_shop_renew_comm*in_ins_partner_share*(in_shop_renew^1*SUMIFS(AW886:AW928,B886:B928,B917-12)+in_shop_renew^2*SUMIFS(AW886:AW928,B886:B928,B917-24)+in_shop_renew^3*SUMIFS(AW886:AW928,B886:B928,B917-36)+in_shop_renew^4*SUMIFS(AW886:AW928,B886:B928,B917-48))</f>
        <v/>
      </c>
      <c r="AY917" s="40">
        <f>AY916*(1-IF(B916&gt;=in_marketplace_from,d_hz_sip*G916,0))</f>
        <v/>
      </c>
      <c r="AZ917" s="40">
        <f>AZ916*d_rho_sip+AY917*IF(B917&gt;=in_marketplace_from,d_hz_sip*G917,0)</f>
        <v/>
      </c>
      <c r="BA917" s="40">
        <f>d_rho_sip*(BA916+AZ916)</f>
        <v/>
      </c>
      <c r="BB917" s="14">
        <f>F917*in_sip_ticket*(BA917+0.5*AZ917)*in_sip_comm/12</f>
        <v/>
      </c>
      <c r="BC917" s="40">
        <f>BC916*(1-IF(B916&gt;=in_marketplace_from,d_hz_choti*G916,0))</f>
        <v/>
      </c>
      <c r="BD917" s="46">
        <f>BC917*IF(B917&gt;=in_marketplace_from,d_hz_choti*G917,0)</f>
        <v/>
      </c>
      <c r="BE917" s="14">
        <f>F917*SUMIFS(BD886:BD928,B886:B928,B917-in_choti_months)*in_choti_renew*in_choti_ticket</f>
        <v/>
      </c>
      <c r="BF917" s="40">
        <f>BF916*(1-IF(B916&gt;=in_marketplace_from,d_hz_nps*G916,0))</f>
        <v/>
      </c>
      <c r="BG917" s="14">
        <f>F917*BF917*IF(B917&gt;=in_marketplace_from,d_hz_nps*G917,0)*in_nps_ticket*in_nps_comm</f>
        <v/>
      </c>
      <c r="BH917" s="40">
        <f>BH916*(1-IF(B916&gt;=in_marketplace_from,d_hz_gold*G916,0))</f>
        <v/>
      </c>
      <c r="BI917" s="40">
        <f>BI916*d_rho_gold+BH917*IF(B917&gt;=in_marketplace_from,d_hz_gold*G917,0)</f>
        <v/>
      </c>
      <c r="BJ917" s="14">
        <f>F917*BI917*in_gold_ticket*in_gold_comm</f>
        <v/>
      </c>
      <c r="BK917" s="40">
        <f>BK916*(1-IF(B916&gt;=in_marketplace_from,d_hz_fd*G916,0))</f>
        <v/>
      </c>
      <c r="BL917" s="14">
        <f>F917*BK917*IF(B917&gt;=in_marketplace_from,d_hz_fd*G917,0)*in_fd_ticket*in_fd_comm</f>
        <v/>
      </c>
      <c r="BM917" s="40">
        <f>BM916*(1-IF(B916&gt;=in_marketplace_from,d_hz_recharge*G916,0))</f>
        <v/>
      </c>
      <c r="BN917" s="40">
        <f>BN916*d_rho_recharge+BM917*IF(B917&gt;=in_marketplace_from,d_hz_recharge*G917,0)</f>
        <v/>
      </c>
      <c r="BO917" s="14">
        <f>F917*BN917*in_recharge_ticket*in_recharge_comm/12</f>
        <v/>
      </c>
      <c r="BP917" s="40">
        <f>BP916*(1-IF(B916&gt;=in_marketplace_from,d_hz_bills*G916,0))</f>
        <v/>
      </c>
      <c r="BQ917" s="40">
        <f>BQ916*d_rho_bills+BP917*IF(B917&gt;=in_marketplace_from,d_hz_bills*G917,0)</f>
        <v/>
      </c>
      <c r="BR917" s="14">
        <f>F917*BQ917*in_bills_ticket*in_bills_comm/12</f>
        <v/>
      </c>
      <c r="BS917" s="40">
        <f>BS916*(1-IF(B916&gt;=in_marketplace_from,d_hz_loan_gold*G916,0))</f>
        <v/>
      </c>
      <c r="BT917" s="14">
        <f>F917*BS917*IF(B917&gt;=in_marketplace_from,d_hz_loan_gold*G917,0)*in_loan_gold_ticket*in_loan_gold_comm</f>
        <v/>
      </c>
      <c r="BU917" s="40">
        <f>BU916*(1-IF(B916&gt;=in_marketplace_from,d_hz_loan_cd*G916,0))</f>
        <v/>
      </c>
      <c r="BV917" s="14">
        <f>F917*BU917*IF(B917&gt;=in_marketplace_from,d_hz_loan_cd*G917,0)*in_loan_cd_ticket*in_loan_cd_comm</f>
        <v/>
      </c>
      <c r="BW917" s="40">
        <f>BW916*(1-IF(B916&gt;=in_marketplace_from,d_hz_loan_vehicle*G916,0))</f>
        <v/>
      </c>
      <c r="BX917" s="14">
        <f>F917*BW917*IF(B917&gt;=in_marketplace_from,d_hz_loan_vehicle*G917,0)*in_loan_vehicle_ticket*in_loan_vehicle_comm</f>
        <v/>
      </c>
      <c r="BY917" s="40">
        <f>BY916*(1-IF(B916&gt;=in_marketplace_from,d_hz_loan_home*G916,0)*BZ916)</f>
        <v/>
      </c>
      <c r="BZ917" s="11">
        <f>MIN(in_approval_cap,in_loan_home_approval*INDEX('Age profile'!$O$2:$O$61,B917)*(1+in_approval_growth)^(D917-1))</f>
        <v/>
      </c>
      <c r="CA917" s="14">
        <f>F917*BY917*IF(B917&gt;=in_marketplace_from,d_hz_loan_home*G917,0)*BZ917*in_loan_home_ticket*in_loan_home_comm</f>
        <v/>
      </c>
      <c r="CB917" s="40">
        <f>CB916*(1-IF(B916&gt;=in_marketplace_from,d_hz_loan_lap*G916,0)*CC916)</f>
        <v/>
      </c>
      <c r="CC917" s="11">
        <f>MIN(in_approval_cap,in_loan_lap_approval*INDEX('Age profile'!$O$2:$O$61,B917)*(1+in_approval_growth)^(D917-1))</f>
        <v/>
      </c>
      <c r="CD917" s="14">
        <f>F917*CB917*IF(B917&gt;=in_marketplace_from,d_hz_loan_lap*G917,0)*CC917*in_loan_lap_ticket*in_loan_lap_comm</f>
        <v/>
      </c>
      <c r="CE917" s="14">
        <f>AA917+AB917+AC917+AD917+AG917+AJ917+AM917+AP917+AS917+AU917+AX917+BB917+BE917+BG917+BJ917+BL917+BO917+BR917+BT917+BV917+BX917+CA917+CD917</f>
        <v/>
      </c>
    </row>
    <row r="918">
      <c r="A918" s="39" t="n">
        <v>18</v>
      </c>
      <c r="B918" s="39" t="n">
        <v>33</v>
      </c>
      <c r="C918" s="39">
        <f>A918+B918-1</f>
        <v/>
      </c>
      <c r="D918" s="39">
        <f>INT((C918-1)/12)+1</f>
        <v/>
      </c>
      <c r="E918" s="44">
        <f>INDEX(Monthly!$B$2:$B$61,A918)</f>
        <v/>
      </c>
      <c r="F918" s="44">
        <f>E918*INDEX('Age profile'!$B$2:$B$61,B918)</f>
        <v/>
      </c>
      <c r="G918" s="45">
        <f>MIN(in_takeup_cap,INDEX('Age profile'!$N$2:$N$61,B918)*(1+in_takeup_growth)^(D918-1))</f>
        <v/>
      </c>
      <c r="H918" s="11">
        <f>MIN(in_approval_cap,in_approved_first*INDEX('Age profile'!$O$2:$O$61,B918)*(1+in_approval_growth)^(D918-1))</f>
        <v/>
      </c>
      <c r="I918" s="45">
        <f>G918*MIN(in_takeup_cap,INDEX('Age profile'!$O$2:$O$61,B918)*(1+in_approval_growth)^(D918-1))</f>
        <v/>
      </c>
      <c r="J918" s="40">
        <f>(J917-L917)*F918/F917</f>
        <v/>
      </c>
      <c r="K918" s="40">
        <f>(K917-M917)*F918/F917+SUMIFS(O886:O917,B886:B917,B918-1-d_T)*F918</f>
        <v/>
      </c>
      <c r="L918" s="40">
        <f>IF(B918&gt;=in_marketplace_from,J918*d_hz*G918*in_eligible*H918,0)</f>
        <v/>
      </c>
      <c r="M918" s="40">
        <f>IF(B918&gt;=in_marketplace_from,K918*d_hz*G918*in_eligible*in_approved_repeat,0)</f>
        <v/>
      </c>
      <c r="N918" s="40">
        <f>L918+M918</f>
        <v/>
      </c>
      <c r="O918" s="46">
        <f>N918/F918</f>
        <v/>
      </c>
      <c r="P918" s="40">
        <f>F918-J918-K918</f>
        <v/>
      </c>
      <c r="Q918" s="40">
        <f>IF(B918&gt;=in_marketplace_from,(J918+K918)*d_hz*G918,0)</f>
        <v/>
      </c>
      <c r="R918" s="40">
        <f>SUMIFS(N886:N928,B886:B928,"&gt;="&amp;(B918-d_T),B886:B928,"&lt;="&amp;(B918-1))</f>
        <v/>
      </c>
      <c r="S918" s="46">
        <f>(1-d_u)*S917+IF(d_T&gt;in_topup_lag,SUMIFS(O886:O928,B886:B928,B918-in_topup_lag)-d_udrop*SUMIFS(O886:O928,B886:B928,B918-d_T),0)</f>
        <v/>
      </c>
      <c r="T918" s="40">
        <f>F918*d_u*S918</f>
        <v/>
      </c>
      <c r="U918" s="9">
        <f>L918*in_ticket+M918*d_rep_ticket</f>
        <v/>
      </c>
      <c r="V918" s="9">
        <f>U918+T918*d_topup_amt</f>
        <v/>
      </c>
      <c r="W918" s="40">
        <f>N918+T918*d_topup_ratio</f>
        <v/>
      </c>
      <c r="X918" s="40">
        <f>SUMIFS(W886:W928,B886:B928,B918-in_dpd_lag)*d_cured</f>
        <v/>
      </c>
      <c r="Y918" s="40">
        <f>SUMIFS(W886:W928,B886:B928,B918-in_rec_lag)*d_recd</f>
        <v/>
      </c>
      <c r="Z918" s="40">
        <f>IF(AND(B918&gt;=in_marketplace_from,B918&lt;in_marketplace_from+in_card_months),in_card_share/in_card_months*F918*I918,IF(AND(B918&gt;=in_marketplace_from+in_card_months,B918&lt;in_marketplace_from+2*in_card_months),in_card_share*d_card_rem/in_card_months*F918*MIN(in_takeup_cap,(1+in_takeup_growth)^(D918-1))*MIN(in_takeup_cap,(1+in_approval_growth)^(D918-1)),0))</f>
        <v/>
      </c>
      <c r="AA918" s="14">
        <f>V918*in_fee*(1-in_taken_back)</f>
        <v/>
      </c>
      <c r="AB918" s="14">
        <f>SUMIFS(W886:W928,B886:B928,B918-in_dpd_lag)*d_dpd</f>
        <v/>
      </c>
      <c r="AC918" s="14">
        <f>SUMIFS(W886:W928,B886:B928,B918-in_rec_lag)*d_rec</f>
        <v/>
      </c>
      <c r="AD918" s="14">
        <f>Z918*in_card_fee</f>
        <v/>
      </c>
      <c r="AE918" s="40">
        <f>AE917*(1-IF(B917&gt;=in_marketplace_from,d_hz_hlth_small*G917,0))</f>
        <v/>
      </c>
      <c r="AF918" s="46">
        <f>AE918*IF(B918&gt;=in_marketplace_from,d_hz_hlth_small*G918,0)</f>
        <v/>
      </c>
      <c r="AG918" s="14">
        <f>F918*AF918*in_hlth_small_ticket*in_hlth_small_comm*in_ins_partner_share+F918*in_hlth_small_ticket*in_hlth_small_renew_comm*in_ins_partner_share*(in_hlth_small_renew^1*SUMIFS(AF886:AF928,B886:B928,B918-12)+in_hlth_small_renew^2*SUMIFS(AF886:AF928,B886:B928,B918-24)+in_hlth_small_renew^3*SUMIFS(AF886:AF928,B886:B928,B918-36)+in_hlth_small_renew^4*SUMIFS(AF886:AF928,B886:B928,B918-48))</f>
        <v/>
      </c>
      <c r="AH918" s="40">
        <f>AH917*(1-IF(B917&gt;=in_marketplace_from,d_hz_hlth_family*G917,0))</f>
        <v/>
      </c>
      <c r="AI918" s="46">
        <f>AH918*IF(B918&gt;=in_marketplace_from,d_hz_hlth_family*G918,0)</f>
        <v/>
      </c>
      <c r="AJ918" s="14">
        <f>F918*AI918*in_hlth_family_ticket*in_hlth_family_comm*in_ins_partner_share+F918*in_hlth_family_ticket*in_hlth_family_renew_comm*in_ins_partner_share*(in_hlth_family_renew^1*SUMIFS(AI886:AI928,B886:B928,B918-12)+in_hlth_family_renew^2*SUMIFS(AI886:AI928,B886:B928,B918-24)+in_hlth_family_renew^3*SUMIFS(AI886:AI928,B886:B928,B918-36)+in_hlth_family_renew^4*SUMIFS(AI886:AI928,B886:B928,B918-48))</f>
        <v/>
      </c>
      <c r="AK918" s="40">
        <f>AK917*(1-IF(B917&gt;=in_marketplace_from,d_hz_life_term*G917,0))</f>
        <v/>
      </c>
      <c r="AL918" s="46">
        <f>AK918*IF(B918&gt;=in_marketplace_from,d_hz_life_term*G918,0)</f>
        <v/>
      </c>
      <c r="AM918" s="14">
        <f>F918*AL918*in_life_term_ticket*in_life_term_comm*in_ins_partner_share+F918*in_life_term_ticket*in_life_term_renew_comm*in_ins_partner_share*(in_life_term_renew^1*SUMIFS(AL886:AL928,B886:B928,B918-12)+in_life_term_renew^2*SUMIFS(AL886:AL928,B886:B928,B918-24)+in_life_term_renew^3*SUMIFS(AL886:AL928,B886:B928,B918-36)+in_life_term_renew^4*SUMIFS(AL886:AL928,B886:B928,B918-48))</f>
        <v/>
      </c>
      <c r="AN918" s="40">
        <f>AN917*(1-IF(B917&gt;=in_marketplace_from,d_hz_accident*G917,0))</f>
        <v/>
      </c>
      <c r="AO918" s="46">
        <f>AN918*IF(B918&gt;=in_marketplace_from,d_hz_accident*G918,0)</f>
        <v/>
      </c>
      <c r="AP918" s="14">
        <f>F918*AO918*in_accident_ticket*in_accident_comm*in_ins_partner_share+F918*in_accident_ticket*in_accident_renew_comm*in_ins_partner_share*(in_accident_renew^1*SUMIFS(AO886:AO928,B886:B928,B918-12)+in_accident_renew^2*SUMIFS(AO886:AO928,B886:B928,B918-24)+in_accident_renew^3*SUMIFS(AO886:AO928,B886:B928,B918-36)+in_accident_renew^4*SUMIFS(AO886:AO928,B886:B928,B918-48))</f>
        <v/>
      </c>
      <c r="AQ918" s="40">
        <f>AQ917*(1-IF(B917&gt;=in_marketplace_from,d_hz_two_wheeler*G917,0))</f>
        <v/>
      </c>
      <c r="AR918" s="46">
        <f>AQ918*IF(B918&gt;=in_marketplace_from,d_hz_two_wheeler*G918,0)</f>
        <v/>
      </c>
      <c r="AS918" s="14">
        <f>F918*AR918*in_two_wheeler_ticket*in_two_wheeler_comm*in_ins_partner_share+F918*in_two_wheeler_ticket*in_two_wheeler_comm*in_ins_partner_share*(in_two_wheeler_renew^1*SUMIFS(AR886:AR928,B886:B928,B918-12)+in_two_wheeler_renew^2*SUMIFS(AR886:AR928,B886:B928,B918-24)+in_two_wheeler_renew^3*SUMIFS(AR886:AR928,B886:B928,B918-36)+in_two_wheeler_renew^4*SUMIFS(AR886:AR928,B886:B928,B918-48))</f>
        <v/>
      </c>
      <c r="AT918" s="40">
        <f>AT917*(1-IF(B917&gt;=in_marketplace_from,d_hz_device*G917,0))</f>
        <v/>
      </c>
      <c r="AU918" s="14">
        <f>F918*AT918*IF(B918&gt;=in_marketplace_from,d_hz_device*G918,0)*in_device_ticket*in_device_comm*in_ins_partner_share</f>
        <v/>
      </c>
      <c r="AV918" s="40">
        <f>AV917*(1-IF(B917&gt;=in_marketplace_from,d_hz_shop*G917,0))</f>
        <v/>
      </c>
      <c r="AW918" s="46">
        <f>AV918*IF(B918&gt;=in_marketplace_from,d_hz_shop*G918,0)</f>
        <v/>
      </c>
      <c r="AX918" s="14">
        <f>F918*AW918*in_shop_ticket*in_shop_comm*in_ins_partner_share+F918*in_shop_ticket*in_shop_renew_comm*in_ins_partner_share*(in_shop_renew^1*SUMIFS(AW886:AW928,B886:B928,B918-12)+in_shop_renew^2*SUMIFS(AW886:AW928,B886:B928,B918-24)+in_shop_renew^3*SUMIFS(AW886:AW928,B886:B928,B918-36)+in_shop_renew^4*SUMIFS(AW886:AW928,B886:B928,B918-48))</f>
        <v/>
      </c>
      <c r="AY918" s="40">
        <f>AY917*(1-IF(B917&gt;=in_marketplace_from,d_hz_sip*G917,0))</f>
        <v/>
      </c>
      <c r="AZ918" s="40">
        <f>AZ917*d_rho_sip+AY918*IF(B918&gt;=in_marketplace_from,d_hz_sip*G918,0)</f>
        <v/>
      </c>
      <c r="BA918" s="40">
        <f>d_rho_sip*(BA917+AZ917)</f>
        <v/>
      </c>
      <c r="BB918" s="14">
        <f>F918*in_sip_ticket*(BA918+0.5*AZ918)*in_sip_comm/12</f>
        <v/>
      </c>
      <c r="BC918" s="40">
        <f>BC917*(1-IF(B917&gt;=in_marketplace_from,d_hz_choti*G917,0))</f>
        <v/>
      </c>
      <c r="BD918" s="46">
        <f>BC918*IF(B918&gt;=in_marketplace_from,d_hz_choti*G918,0)</f>
        <v/>
      </c>
      <c r="BE918" s="14">
        <f>F918*SUMIFS(BD886:BD928,B886:B928,B918-in_choti_months)*in_choti_renew*in_choti_ticket</f>
        <v/>
      </c>
      <c r="BF918" s="40">
        <f>BF917*(1-IF(B917&gt;=in_marketplace_from,d_hz_nps*G917,0))</f>
        <v/>
      </c>
      <c r="BG918" s="14">
        <f>F918*BF918*IF(B918&gt;=in_marketplace_from,d_hz_nps*G918,0)*in_nps_ticket*in_nps_comm</f>
        <v/>
      </c>
      <c r="BH918" s="40">
        <f>BH917*(1-IF(B917&gt;=in_marketplace_from,d_hz_gold*G917,0))</f>
        <v/>
      </c>
      <c r="BI918" s="40">
        <f>BI917*d_rho_gold+BH918*IF(B918&gt;=in_marketplace_from,d_hz_gold*G918,0)</f>
        <v/>
      </c>
      <c r="BJ918" s="14">
        <f>F918*BI918*in_gold_ticket*in_gold_comm</f>
        <v/>
      </c>
      <c r="BK918" s="40">
        <f>BK917*(1-IF(B917&gt;=in_marketplace_from,d_hz_fd*G917,0))</f>
        <v/>
      </c>
      <c r="BL918" s="14">
        <f>F918*BK918*IF(B918&gt;=in_marketplace_from,d_hz_fd*G918,0)*in_fd_ticket*in_fd_comm</f>
        <v/>
      </c>
      <c r="BM918" s="40">
        <f>BM917*(1-IF(B917&gt;=in_marketplace_from,d_hz_recharge*G917,0))</f>
        <v/>
      </c>
      <c r="BN918" s="40">
        <f>BN917*d_rho_recharge+BM918*IF(B918&gt;=in_marketplace_from,d_hz_recharge*G918,0)</f>
        <v/>
      </c>
      <c r="BO918" s="14">
        <f>F918*BN918*in_recharge_ticket*in_recharge_comm/12</f>
        <v/>
      </c>
      <c r="BP918" s="40">
        <f>BP917*(1-IF(B917&gt;=in_marketplace_from,d_hz_bills*G917,0))</f>
        <v/>
      </c>
      <c r="BQ918" s="40">
        <f>BQ917*d_rho_bills+BP918*IF(B918&gt;=in_marketplace_from,d_hz_bills*G918,0)</f>
        <v/>
      </c>
      <c r="BR918" s="14">
        <f>F918*BQ918*in_bills_ticket*in_bills_comm/12</f>
        <v/>
      </c>
      <c r="BS918" s="40">
        <f>BS917*(1-IF(B917&gt;=in_marketplace_from,d_hz_loan_gold*G917,0))</f>
        <v/>
      </c>
      <c r="BT918" s="14">
        <f>F918*BS918*IF(B918&gt;=in_marketplace_from,d_hz_loan_gold*G918,0)*in_loan_gold_ticket*in_loan_gold_comm</f>
        <v/>
      </c>
      <c r="BU918" s="40">
        <f>BU917*(1-IF(B917&gt;=in_marketplace_from,d_hz_loan_cd*G917,0))</f>
        <v/>
      </c>
      <c r="BV918" s="14">
        <f>F918*BU918*IF(B918&gt;=in_marketplace_from,d_hz_loan_cd*G918,0)*in_loan_cd_ticket*in_loan_cd_comm</f>
        <v/>
      </c>
      <c r="BW918" s="40">
        <f>BW917*(1-IF(B917&gt;=in_marketplace_from,d_hz_loan_vehicle*G917,0))</f>
        <v/>
      </c>
      <c r="BX918" s="14">
        <f>F918*BW918*IF(B918&gt;=in_marketplace_from,d_hz_loan_vehicle*G918,0)*in_loan_vehicle_ticket*in_loan_vehicle_comm</f>
        <v/>
      </c>
      <c r="BY918" s="40">
        <f>BY917*(1-IF(B917&gt;=in_marketplace_from,d_hz_loan_home*G917,0)*BZ917)</f>
        <v/>
      </c>
      <c r="BZ918" s="11">
        <f>MIN(in_approval_cap,in_loan_home_approval*INDEX('Age profile'!$O$2:$O$61,B918)*(1+in_approval_growth)^(D918-1))</f>
        <v/>
      </c>
      <c r="CA918" s="14">
        <f>F918*BY918*IF(B918&gt;=in_marketplace_from,d_hz_loan_home*G918,0)*BZ918*in_loan_home_ticket*in_loan_home_comm</f>
        <v/>
      </c>
      <c r="CB918" s="40">
        <f>CB917*(1-IF(B917&gt;=in_marketplace_from,d_hz_loan_lap*G917,0)*CC917)</f>
        <v/>
      </c>
      <c r="CC918" s="11">
        <f>MIN(in_approval_cap,in_loan_lap_approval*INDEX('Age profile'!$O$2:$O$61,B918)*(1+in_approval_growth)^(D918-1))</f>
        <v/>
      </c>
      <c r="CD918" s="14">
        <f>F918*CB918*IF(B918&gt;=in_marketplace_from,d_hz_loan_lap*G918,0)*CC918*in_loan_lap_ticket*in_loan_lap_comm</f>
        <v/>
      </c>
      <c r="CE918" s="14">
        <f>AA918+AB918+AC918+AD918+AG918+AJ918+AM918+AP918+AS918+AU918+AX918+BB918+BE918+BG918+BJ918+BL918+BO918+BR918+BT918+BV918+BX918+CA918+CD918</f>
        <v/>
      </c>
    </row>
    <row r="919">
      <c r="A919" s="39" t="n">
        <v>18</v>
      </c>
      <c r="B919" s="39" t="n">
        <v>34</v>
      </c>
      <c r="C919" s="39">
        <f>A919+B919-1</f>
        <v/>
      </c>
      <c r="D919" s="39">
        <f>INT((C919-1)/12)+1</f>
        <v/>
      </c>
      <c r="E919" s="44">
        <f>INDEX(Monthly!$B$2:$B$61,A919)</f>
        <v/>
      </c>
      <c r="F919" s="44">
        <f>E919*INDEX('Age profile'!$B$2:$B$61,B919)</f>
        <v/>
      </c>
      <c r="G919" s="45">
        <f>MIN(in_takeup_cap,INDEX('Age profile'!$N$2:$N$61,B919)*(1+in_takeup_growth)^(D919-1))</f>
        <v/>
      </c>
      <c r="H919" s="11">
        <f>MIN(in_approval_cap,in_approved_first*INDEX('Age profile'!$O$2:$O$61,B919)*(1+in_approval_growth)^(D919-1))</f>
        <v/>
      </c>
      <c r="I919" s="45">
        <f>G919*MIN(in_takeup_cap,INDEX('Age profile'!$O$2:$O$61,B919)*(1+in_approval_growth)^(D919-1))</f>
        <v/>
      </c>
      <c r="J919" s="40">
        <f>(J918-L918)*F919/F918</f>
        <v/>
      </c>
      <c r="K919" s="40">
        <f>(K918-M918)*F919/F918+SUMIFS(O886:O918,B886:B918,B919-1-d_T)*F919</f>
        <v/>
      </c>
      <c r="L919" s="40">
        <f>IF(B919&gt;=in_marketplace_from,J919*d_hz*G919*in_eligible*H919,0)</f>
        <v/>
      </c>
      <c r="M919" s="40">
        <f>IF(B919&gt;=in_marketplace_from,K919*d_hz*G919*in_eligible*in_approved_repeat,0)</f>
        <v/>
      </c>
      <c r="N919" s="40">
        <f>L919+M919</f>
        <v/>
      </c>
      <c r="O919" s="46">
        <f>N919/F919</f>
        <v/>
      </c>
      <c r="P919" s="40">
        <f>F919-J919-K919</f>
        <v/>
      </c>
      <c r="Q919" s="40">
        <f>IF(B919&gt;=in_marketplace_from,(J919+K919)*d_hz*G919,0)</f>
        <v/>
      </c>
      <c r="R919" s="40">
        <f>SUMIFS(N886:N928,B886:B928,"&gt;="&amp;(B919-d_T),B886:B928,"&lt;="&amp;(B919-1))</f>
        <v/>
      </c>
      <c r="S919" s="46">
        <f>(1-d_u)*S918+IF(d_T&gt;in_topup_lag,SUMIFS(O886:O928,B886:B928,B919-in_topup_lag)-d_udrop*SUMIFS(O886:O928,B886:B928,B919-d_T),0)</f>
        <v/>
      </c>
      <c r="T919" s="40">
        <f>F919*d_u*S919</f>
        <v/>
      </c>
      <c r="U919" s="9">
        <f>L919*in_ticket+M919*d_rep_ticket</f>
        <v/>
      </c>
      <c r="V919" s="9">
        <f>U919+T919*d_topup_amt</f>
        <v/>
      </c>
      <c r="W919" s="40">
        <f>N919+T919*d_topup_ratio</f>
        <v/>
      </c>
      <c r="X919" s="40">
        <f>SUMIFS(W886:W928,B886:B928,B919-in_dpd_lag)*d_cured</f>
        <v/>
      </c>
      <c r="Y919" s="40">
        <f>SUMIFS(W886:W928,B886:B928,B919-in_rec_lag)*d_recd</f>
        <v/>
      </c>
      <c r="Z919" s="40">
        <f>IF(AND(B919&gt;=in_marketplace_from,B919&lt;in_marketplace_from+in_card_months),in_card_share/in_card_months*F919*I919,IF(AND(B919&gt;=in_marketplace_from+in_card_months,B919&lt;in_marketplace_from+2*in_card_months),in_card_share*d_card_rem/in_card_months*F919*MIN(in_takeup_cap,(1+in_takeup_growth)^(D919-1))*MIN(in_takeup_cap,(1+in_approval_growth)^(D919-1)),0))</f>
        <v/>
      </c>
      <c r="AA919" s="14">
        <f>V919*in_fee*(1-in_taken_back)</f>
        <v/>
      </c>
      <c r="AB919" s="14">
        <f>SUMIFS(W886:W928,B886:B928,B919-in_dpd_lag)*d_dpd</f>
        <v/>
      </c>
      <c r="AC919" s="14">
        <f>SUMIFS(W886:W928,B886:B928,B919-in_rec_lag)*d_rec</f>
        <v/>
      </c>
      <c r="AD919" s="14">
        <f>Z919*in_card_fee</f>
        <v/>
      </c>
      <c r="AE919" s="40">
        <f>AE918*(1-IF(B918&gt;=in_marketplace_from,d_hz_hlth_small*G918,0))</f>
        <v/>
      </c>
      <c r="AF919" s="46">
        <f>AE919*IF(B919&gt;=in_marketplace_from,d_hz_hlth_small*G919,0)</f>
        <v/>
      </c>
      <c r="AG919" s="14">
        <f>F919*AF919*in_hlth_small_ticket*in_hlth_small_comm*in_ins_partner_share+F919*in_hlth_small_ticket*in_hlth_small_renew_comm*in_ins_partner_share*(in_hlth_small_renew^1*SUMIFS(AF886:AF928,B886:B928,B919-12)+in_hlth_small_renew^2*SUMIFS(AF886:AF928,B886:B928,B919-24)+in_hlth_small_renew^3*SUMIFS(AF886:AF928,B886:B928,B919-36)+in_hlth_small_renew^4*SUMIFS(AF886:AF928,B886:B928,B919-48))</f>
        <v/>
      </c>
      <c r="AH919" s="40">
        <f>AH918*(1-IF(B918&gt;=in_marketplace_from,d_hz_hlth_family*G918,0))</f>
        <v/>
      </c>
      <c r="AI919" s="46">
        <f>AH919*IF(B919&gt;=in_marketplace_from,d_hz_hlth_family*G919,0)</f>
        <v/>
      </c>
      <c r="AJ919" s="14">
        <f>F919*AI919*in_hlth_family_ticket*in_hlth_family_comm*in_ins_partner_share+F919*in_hlth_family_ticket*in_hlth_family_renew_comm*in_ins_partner_share*(in_hlth_family_renew^1*SUMIFS(AI886:AI928,B886:B928,B919-12)+in_hlth_family_renew^2*SUMIFS(AI886:AI928,B886:B928,B919-24)+in_hlth_family_renew^3*SUMIFS(AI886:AI928,B886:B928,B919-36)+in_hlth_family_renew^4*SUMIFS(AI886:AI928,B886:B928,B919-48))</f>
        <v/>
      </c>
      <c r="AK919" s="40">
        <f>AK918*(1-IF(B918&gt;=in_marketplace_from,d_hz_life_term*G918,0))</f>
        <v/>
      </c>
      <c r="AL919" s="46">
        <f>AK919*IF(B919&gt;=in_marketplace_from,d_hz_life_term*G919,0)</f>
        <v/>
      </c>
      <c r="AM919" s="14">
        <f>F919*AL919*in_life_term_ticket*in_life_term_comm*in_ins_partner_share+F919*in_life_term_ticket*in_life_term_renew_comm*in_ins_partner_share*(in_life_term_renew^1*SUMIFS(AL886:AL928,B886:B928,B919-12)+in_life_term_renew^2*SUMIFS(AL886:AL928,B886:B928,B919-24)+in_life_term_renew^3*SUMIFS(AL886:AL928,B886:B928,B919-36)+in_life_term_renew^4*SUMIFS(AL886:AL928,B886:B928,B919-48))</f>
        <v/>
      </c>
      <c r="AN919" s="40">
        <f>AN918*(1-IF(B918&gt;=in_marketplace_from,d_hz_accident*G918,0))</f>
        <v/>
      </c>
      <c r="AO919" s="46">
        <f>AN919*IF(B919&gt;=in_marketplace_from,d_hz_accident*G919,0)</f>
        <v/>
      </c>
      <c r="AP919" s="14">
        <f>F919*AO919*in_accident_ticket*in_accident_comm*in_ins_partner_share+F919*in_accident_ticket*in_accident_renew_comm*in_ins_partner_share*(in_accident_renew^1*SUMIFS(AO886:AO928,B886:B928,B919-12)+in_accident_renew^2*SUMIFS(AO886:AO928,B886:B928,B919-24)+in_accident_renew^3*SUMIFS(AO886:AO928,B886:B928,B919-36)+in_accident_renew^4*SUMIFS(AO886:AO928,B886:B928,B919-48))</f>
        <v/>
      </c>
      <c r="AQ919" s="40">
        <f>AQ918*(1-IF(B918&gt;=in_marketplace_from,d_hz_two_wheeler*G918,0))</f>
        <v/>
      </c>
      <c r="AR919" s="46">
        <f>AQ919*IF(B919&gt;=in_marketplace_from,d_hz_two_wheeler*G919,0)</f>
        <v/>
      </c>
      <c r="AS919" s="14">
        <f>F919*AR919*in_two_wheeler_ticket*in_two_wheeler_comm*in_ins_partner_share+F919*in_two_wheeler_ticket*in_two_wheeler_comm*in_ins_partner_share*(in_two_wheeler_renew^1*SUMIFS(AR886:AR928,B886:B928,B919-12)+in_two_wheeler_renew^2*SUMIFS(AR886:AR928,B886:B928,B919-24)+in_two_wheeler_renew^3*SUMIFS(AR886:AR928,B886:B928,B919-36)+in_two_wheeler_renew^4*SUMIFS(AR886:AR928,B886:B928,B919-48))</f>
        <v/>
      </c>
      <c r="AT919" s="40">
        <f>AT918*(1-IF(B918&gt;=in_marketplace_from,d_hz_device*G918,0))</f>
        <v/>
      </c>
      <c r="AU919" s="14">
        <f>F919*AT919*IF(B919&gt;=in_marketplace_from,d_hz_device*G919,0)*in_device_ticket*in_device_comm*in_ins_partner_share</f>
        <v/>
      </c>
      <c r="AV919" s="40">
        <f>AV918*(1-IF(B918&gt;=in_marketplace_from,d_hz_shop*G918,0))</f>
        <v/>
      </c>
      <c r="AW919" s="46">
        <f>AV919*IF(B919&gt;=in_marketplace_from,d_hz_shop*G919,0)</f>
        <v/>
      </c>
      <c r="AX919" s="14">
        <f>F919*AW919*in_shop_ticket*in_shop_comm*in_ins_partner_share+F919*in_shop_ticket*in_shop_renew_comm*in_ins_partner_share*(in_shop_renew^1*SUMIFS(AW886:AW928,B886:B928,B919-12)+in_shop_renew^2*SUMIFS(AW886:AW928,B886:B928,B919-24)+in_shop_renew^3*SUMIFS(AW886:AW928,B886:B928,B919-36)+in_shop_renew^4*SUMIFS(AW886:AW928,B886:B928,B919-48))</f>
        <v/>
      </c>
      <c r="AY919" s="40">
        <f>AY918*(1-IF(B918&gt;=in_marketplace_from,d_hz_sip*G918,0))</f>
        <v/>
      </c>
      <c r="AZ919" s="40">
        <f>AZ918*d_rho_sip+AY919*IF(B919&gt;=in_marketplace_from,d_hz_sip*G919,0)</f>
        <v/>
      </c>
      <c r="BA919" s="40">
        <f>d_rho_sip*(BA918+AZ918)</f>
        <v/>
      </c>
      <c r="BB919" s="14">
        <f>F919*in_sip_ticket*(BA919+0.5*AZ919)*in_sip_comm/12</f>
        <v/>
      </c>
      <c r="BC919" s="40">
        <f>BC918*(1-IF(B918&gt;=in_marketplace_from,d_hz_choti*G918,0))</f>
        <v/>
      </c>
      <c r="BD919" s="46">
        <f>BC919*IF(B919&gt;=in_marketplace_from,d_hz_choti*G919,0)</f>
        <v/>
      </c>
      <c r="BE919" s="14">
        <f>F919*SUMIFS(BD886:BD928,B886:B928,B919-in_choti_months)*in_choti_renew*in_choti_ticket</f>
        <v/>
      </c>
      <c r="BF919" s="40">
        <f>BF918*(1-IF(B918&gt;=in_marketplace_from,d_hz_nps*G918,0))</f>
        <v/>
      </c>
      <c r="BG919" s="14">
        <f>F919*BF919*IF(B919&gt;=in_marketplace_from,d_hz_nps*G919,0)*in_nps_ticket*in_nps_comm</f>
        <v/>
      </c>
      <c r="BH919" s="40">
        <f>BH918*(1-IF(B918&gt;=in_marketplace_from,d_hz_gold*G918,0))</f>
        <v/>
      </c>
      <c r="BI919" s="40">
        <f>BI918*d_rho_gold+BH919*IF(B919&gt;=in_marketplace_from,d_hz_gold*G919,0)</f>
        <v/>
      </c>
      <c r="BJ919" s="14">
        <f>F919*BI919*in_gold_ticket*in_gold_comm</f>
        <v/>
      </c>
      <c r="BK919" s="40">
        <f>BK918*(1-IF(B918&gt;=in_marketplace_from,d_hz_fd*G918,0))</f>
        <v/>
      </c>
      <c r="BL919" s="14">
        <f>F919*BK919*IF(B919&gt;=in_marketplace_from,d_hz_fd*G919,0)*in_fd_ticket*in_fd_comm</f>
        <v/>
      </c>
      <c r="BM919" s="40">
        <f>BM918*(1-IF(B918&gt;=in_marketplace_from,d_hz_recharge*G918,0))</f>
        <v/>
      </c>
      <c r="BN919" s="40">
        <f>BN918*d_rho_recharge+BM919*IF(B919&gt;=in_marketplace_from,d_hz_recharge*G919,0)</f>
        <v/>
      </c>
      <c r="BO919" s="14">
        <f>F919*BN919*in_recharge_ticket*in_recharge_comm/12</f>
        <v/>
      </c>
      <c r="BP919" s="40">
        <f>BP918*(1-IF(B918&gt;=in_marketplace_from,d_hz_bills*G918,0))</f>
        <v/>
      </c>
      <c r="BQ919" s="40">
        <f>BQ918*d_rho_bills+BP919*IF(B919&gt;=in_marketplace_from,d_hz_bills*G919,0)</f>
        <v/>
      </c>
      <c r="BR919" s="14">
        <f>F919*BQ919*in_bills_ticket*in_bills_comm/12</f>
        <v/>
      </c>
      <c r="BS919" s="40">
        <f>BS918*(1-IF(B918&gt;=in_marketplace_from,d_hz_loan_gold*G918,0))</f>
        <v/>
      </c>
      <c r="BT919" s="14">
        <f>F919*BS919*IF(B919&gt;=in_marketplace_from,d_hz_loan_gold*G919,0)*in_loan_gold_ticket*in_loan_gold_comm</f>
        <v/>
      </c>
      <c r="BU919" s="40">
        <f>BU918*(1-IF(B918&gt;=in_marketplace_from,d_hz_loan_cd*G918,0))</f>
        <v/>
      </c>
      <c r="BV919" s="14">
        <f>F919*BU919*IF(B919&gt;=in_marketplace_from,d_hz_loan_cd*G919,0)*in_loan_cd_ticket*in_loan_cd_comm</f>
        <v/>
      </c>
      <c r="BW919" s="40">
        <f>BW918*(1-IF(B918&gt;=in_marketplace_from,d_hz_loan_vehicle*G918,0))</f>
        <v/>
      </c>
      <c r="BX919" s="14">
        <f>F919*BW919*IF(B919&gt;=in_marketplace_from,d_hz_loan_vehicle*G919,0)*in_loan_vehicle_ticket*in_loan_vehicle_comm</f>
        <v/>
      </c>
      <c r="BY919" s="40">
        <f>BY918*(1-IF(B918&gt;=in_marketplace_from,d_hz_loan_home*G918,0)*BZ918)</f>
        <v/>
      </c>
      <c r="BZ919" s="11">
        <f>MIN(in_approval_cap,in_loan_home_approval*INDEX('Age profile'!$O$2:$O$61,B919)*(1+in_approval_growth)^(D919-1))</f>
        <v/>
      </c>
      <c r="CA919" s="14">
        <f>F919*BY919*IF(B919&gt;=in_marketplace_from,d_hz_loan_home*G919,0)*BZ919*in_loan_home_ticket*in_loan_home_comm</f>
        <v/>
      </c>
      <c r="CB919" s="40">
        <f>CB918*(1-IF(B918&gt;=in_marketplace_from,d_hz_loan_lap*G918,0)*CC918)</f>
        <v/>
      </c>
      <c r="CC919" s="11">
        <f>MIN(in_approval_cap,in_loan_lap_approval*INDEX('Age profile'!$O$2:$O$61,B919)*(1+in_approval_growth)^(D919-1))</f>
        <v/>
      </c>
      <c r="CD919" s="14">
        <f>F919*CB919*IF(B919&gt;=in_marketplace_from,d_hz_loan_lap*G919,0)*CC919*in_loan_lap_ticket*in_loan_lap_comm</f>
        <v/>
      </c>
      <c r="CE919" s="14">
        <f>AA919+AB919+AC919+AD919+AG919+AJ919+AM919+AP919+AS919+AU919+AX919+BB919+BE919+BG919+BJ919+BL919+BO919+BR919+BT919+BV919+BX919+CA919+CD919</f>
        <v/>
      </c>
    </row>
    <row r="920">
      <c r="A920" s="39" t="n">
        <v>18</v>
      </c>
      <c r="B920" s="39" t="n">
        <v>35</v>
      </c>
      <c r="C920" s="39">
        <f>A920+B920-1</f>
        <v/>
      </c>
      <c r="D920" s="39">
        <f>INT((C920-1)/12)+1</f>
        <v/>
      </c>
      <c r="E920" s="44">
        <f>INDEX(Monthly!$B$2:$B$61,A920)</f>
        <v/>
      </c>
      <c r="F920" s="44">
        <f>E920*INDEX('Age profile'!$B$2:$B$61,B920)</f>
        <v/>
      </c>
      <c r="G920" s="45">
        <f>MIN(in_takeup_cap,INDEX('Age profile'!$N$2:$N$61,B920)*(1+in_takeup_growth)^(D920-1))</f>
        <v/>
      </c>
      <c r="H920" s="11">
        <f>MIN(in_approval_cap,in_approved_first*INDEX('Age profile'!$O$2:$O$61,B920)*(1+in_approval_growth)^(D920-1))</f>
        <v/>
      </c>
      <c r="I920" s="45">
        <f>G920*MIN(in_takeup_cap,INDEX('Age profile'!$O$2:$O$61,B920)*(1+in_approval_growth)^(D920-1))</f>
        <v/>
      </c>
      <c r="J920" s="40">
        <f>(J919-L919)*F920/F919</f>
        <v/>
      </c>
      <c r="K920" s="40">
        <f>(K919-M919)*F920/F919+SUMIFS(O886:O919,B886:B919,B920-1-d_T)*F920</f>
        <v/>
      </c>
      <c r="L920" s="40">
        <f>IF(B920&gt;=in_marketplace_from,J920*d_hz*G920*in_eligible*H920,0)</f>
        <v/>
      </c>
      <c r="M920" s="40">
        <f>IF(B920&gt;=in_marketplace_from,K920*d_hz*G920*in_eligible*in_approved_repeat,0)</f>
        <v/>
      </c>
      <c r="N920" s="40">
        <f>L920+M920</f>
        <v/>
      </c>
      <c r="O920" s="46">
        <f>N920/F920</f>
        <v/>
      </c>
      <c r="P920" s="40">
        <f>F920-J920-K920</f>
        <v/>
      </c>
      <c r="Q920" s="40">
        <f>IF(B920&gt;=in_marketplace_from,(J920+K920)*d_hz*G920,0)</f>
        <v/>
      </c>
      <c r="R920" s="40">
        <f>SUMIFS(N886:N928,B886:B928,"&gt;="&amp;(B920-d_T),B886:B928,"&lt;="&amp;(B920-1))</f>
        <v/>
      </c>
      <c r="S920" s="46">
        <f>(1-d_u)*S919+IF(d_T&gt;in_topup_lag,SUMIFS(O886:O928,B886:B928,B920-in_topup_lag)-d_udrop*SUMIFS(O886:O928,B886:B928,B920-d_T),0)</f>
        <v/>
      </c>
      <c r="T920" s="40">
        <f>F920*d_u*S920</f>
        <v/>
      </c>
      <c r="U920" s="9">
        <f>L920*in_ticket+M920*d_rep_ticket</f>
        <v/>
      </c>
      <c r="V920" s="9">
        <f>U920+T920*d_topup_amt</f>
        <v/>
      </c>
      <c r="W920" s="40">
        <f>N920+T920*d_topup_ratio</f>
        <v/>
      </c>
      <c r="X920" s="40">
        <f>SUMIFS(W886:W928,B886:B928,B920-in_dpd_lag)*d_cured</f>
        <v/>
      </c>
      <c r="Y920" s="40">
        <f>SUMIFS(W886:W928,B886:B928,B920-in_rec_lag)*d_recd</f>
        <v/>
      </c>
      <c r="Z920" s="40">
        <f>IF(AND(B920&gt;=in_marketplace_from,B920&lt;in_marketplace_from+in_card_months),in_card_share/in_card_months*F920*I920,IF(AND(B920&gt;=in_marketplace_from+in_card_months,B920&lt;in_marketplace_from+2*in_card_months),in_card_share*d_card_rem/in_card_months*F920*MIN(in_takeup_cap,(1+in_takeup_growth)^(D920-1))*MIN(in_takeup_cap,(1+in_approval_growth)^(D920-1)),0))</f>
        <v/>
      </c>
      <c r="AA920" s="14">
        <f>V920*in_fee*(1-in_taken_back)</f>
        <v/>
      </c>
      <c r="AB920" s="14">
        <f>SUMIFS(W886:W928,B886:B928,B920-in_dpd_lag)*d_dpd</f>
        <v/>
      </c>
      <c r="AC920" s="14">
        <f>SUMIFS(W886:W928,B886:B928,B920-in_rec_lag)*d_rec</f>
        <v/>
      </c>
      <c r="AD920" s="14">
        <f>Z920*in_card_fee</f>
        <v/>
      </c>
      <c r="AE920" s="40">
        <f>AE919*(1-IF(B919&gt;=in_marketplace_from,d_hz_hlth_small*G919,0))</f>
        <v/>
      </c>
      <c r="AF920" s="46">
        <f>AE920*IF(B920&gt;=in_marketplace_from,d_hz_hlth_small*G920,0)</f>
        <v/>
      </c>
      <c r="AG920" s="14">
        <f>F920*AF920*in_hlth_small_ticket*in_hlth_small_comm*in_ins_partner_share+F920*in_hlth_small_ticket*in_hlth_small_renew_comm*in_ins_partner_share*(in_hlth_small_renew^1*SUMIFS(AF886:AF928,B886:B928,B920-12)+in_hlth_small_renew^2*SUMIFS(AF886:AF928,B886:B928,B920-24)+in_hlth_small_renew^3*SUMIFS(AF886:AF928,B886:B928,B920-36)+in_hlth_small_renew^4*SUMIFS(AF886:AF928,B886:B928,B920-48))</f>
        <v/>
      </c>
      <c r="AH920" s="40">
        <f>AH919*(1-IF(B919&gt;=in_marketplace_from,d_hz_hlth_family*G919,0))</f>
        <v/>
      </c>
      <c r="AI920" s="46">
        <f>AH920*IF(B920&gt;=in_marketplace_from,d_hz_hlth_family*G920,0)</f>
        <v/>
      </c>
      <c r="AJ920" s="14">
        <f>F920*AI920*in_hlth_family_ticket*in_hlth_family_comm*in_ins_partner_share+F920*in_hlth_family_ticket*in_hlth_family_renew_comm*in_ins_partner_share*(in_hlth_family_renew^1*SUMIFS(AI886:AI928,B886:B928,B920-12)+in_hlth_family_renew^2*SUMIFS(AI886:AI928,B886:B928,B920-24)+in_hlth_family_renew^3*SUMIFS(AI886:AI928,B886:B928,B920-36)+in_hlth_family_renew^4*SUMIFS(AI886:AI928,B886:B928,B920-48))</f>
        <v/>
      </c>
      <c r="AK920" s="40">
        <f>AK919*(1-IF(B919&gt;=in_marketplace_from,d_hz_life_term*G919,0))</f>
        <v/>
      </c>
      <c r="AL920" s="46">
        <f>AK920*IF(B920&gt;=in_marketplace_from,d_hz_life_term*G920,0)</f>
        <v/>
      </c>
      <c r="AM920" s="14">
        <f>F920*AL920*in_life_term_ticket*in_life_term_comm*in_ins_partner_share+F920*in_life_term_ticket*in_life_term_renew_comm*in_ins_partner_share*(in_life_term_renew^1*SUMIFS(AL886:AL928,B886:B928,B920-12)+in_life_term_renew^2*SUMIFS(AL886:AL928,B886:B928,B920-24)+in_life_term_renew^3*SUMIFS(AL886:AL928,B886:B928,B920-36)+in_life_term_renew^4*SUMIFS(AL886:AL928,B886:B928,B920-48))</f>
        <v/>
      </c>
      <c r="AN920" s="40">
        <f>AN919*(1-IF(B919&gt;=in_marketplace_from,d_hz_accident*G919,0))</f>
        <v/>
      </c>
      <c r="AO920" s="46">
        <f>AN920*IF(B920&gt;=in_marketplace_from,d_hz_accident*G920,0)</f>
        <v/>
      </c>
      <c r="AP920" s="14">
        <f>F920*AO920*in_accident_ticket*in_accident_comm*in_ins_partner_share+F920*in_accident_ticket*in_accident_renew_comm*in_ins_partner_share*(in_accident_renew^1*SUMIFS(AO886:AO928,B886:B928,B920-12)+in_accident_renew^2*SUMIFS(AO886:AO928,B886:B928,B920-24)+in_accident_renew^3*SUMIFS(AO886:AO928,B886:B928,B920-36)+in_accident_renew^4*SUMIFS(AO886:AO928,B886:B928,B920-48))</f>
        <v/>
      </c>
      <c r="AQ920" s="40">
        <f>AQ919*(1-IF(B919&gt;=in_marketplace_from,d_hz_two_wheeler*G919,0))</f>
        <v/>
      </c>
      <c r="AR920" s="46">
        <f>AQ920*IF(B920&gt;=in_marketplace_from,d_hz_two_wheeler*G920,0)</f>
        <v/>
      </c>
      <c r="AS920" s="14">
        <f>F920*AR920*in_two_wheeler_ticket*in_two_wheeler_comm*in_ins_partner_share+F920*in_two_wheeler_ticket*in_two_wheeler_comm*in_ins_partner_share*(in_two_wheeler_renew^1*SUMIFS(AR886:AR928,B886:B928,B920-12)+in_two_wheeler_renew^2*SUMIFS(AR886:AR928,B886:B928,B920-24)+in_two_wheeler_renew^3*SUMIFS(AR886:AR928,B886:B928,B920-36)+in_two_wheeler_renew^4*SUMIFS(AR886:AR928,B886:B928,B920-48))</f>
        <v/>
      </c>
      <c r="AT920" s="40">
        <f>AT919*(1-IF(B919&gt;=in_marketplace_from,d_hz_device*G919,0))</f>
        <v/>
      </c>
      <c r="AU920" s="14">
        <f>F920*AT920*IF(B920&gt;=in_marketplace_from,d_hz_device*G920,0)*in_device_ticket*in_device_comm*in_ins_partner_share</f>
        <v/>
      </c>
      <c r="AV920" s="40">
        <f>AV919*(1-IF(B919&gt;=in_marketplace_from,d_hz_shop*G919,0))</f>
        <v/>
      </c>
      <c r="AW920" s="46">
        <f>AV920*IF(B920&gt;=in_marketplace_from,d_hz_shop*G920,0)</f>
        <v/>
      </c>
      <c r="AX920" s="14">
        <f>F920*AW920*in_shop_ticket*in_shop_comm*in_ins_partner_share+F920*in_shop_ticket*in_shop_renew_comm*in_ins_partner_share*(in_shop_renew^1*SUMIFS(AW886:AW928,B886:B928,B920-12)+in_shop_renew^2*SUMIFS(AW886:AW928,B886:B928,B920-24)+in_shop_renew^3*SUMIFS(AW886:AW928,B886:B928,B920-36)+in_shop_renew^4*SUMIFS(AW886:AW928,B886:B928,B920-48))</f>
        <v/>
      </c>
      <c r="AY920" s="40">
        <f>AY919*(1-IF(B919&gt;=in_marketplace_from,d_hz_sip*G919,0))</f>
        <v/>
      </c>
      <c r="AZ920" s="40">
        <f>AZ919*d_rho_sip+AY920*IF(B920&gt;=in_marketplace_from,d_hz_sip*G920,0)</f>
        <v/>
      </c>
      <c r="BA920" s="40">
        <f>d_rho_sip*(BA919+AZ919)</f>
        <v/>
      </c>
      <c r="BB920" s="14">
        <f>F920*in_sip_ticket*(BA920+0.5*AZ920)*in_sip_comm/12</f>
        <v/>
      </c>
      <c r="BC920" s="40">
        <f>BC919*(1-IF(B919&gt;=in_marketplace_from,d_hz_choti*G919,0))</f>
        <v/>
      </c>
      <c r="BD920" s="46">
        <f>BC920*IF(B920&gt;=in_marketplace_from,d_hz_choti*G920,0)</f>
        <v/>
      </c>
      <c r="BE920" s="14">
        <f>F920*SUMIFS(BD886:BD928,B886:B928,B920-in_choti_months)*in_choti_renew*in_choti_ticket</f>
        <v/>
      </c>
      <c r="BF920" s="40">
        <f>BF919*(1-IF(B919&gt;=in_marketplace_from,d_hz_nps*G919,0))</f>
        <v/>
      </c>
      <c r="BG920" s="14">
        <f>F920*BF920*IF(B920&gt;=in_marketplace_from,d_hz_nps*G920,0)*in_nps_ticket*in_nps_comm</f>
        <v/>
      </c>
      <c r="BH920" s="40">
        <f>BH919*(1-IF(B919&gt;=in_marketplace_from,d_hz_gold*G919,0))</f>
        <v/>
      </c>
      <c r="BI920" s="40">
        <f>BI919*d_rho_gold+BH920*IF(B920&gt;=in_marketplace_from,d_hz_gold*G920,0)</f>
        <v/>
      </c>
      <c r="BJ920" s="14">
        <f>F920*BI920*in_gold_ticket*in_gold_comm</f>
        <v/>
      </c>
      <c r="BK920" s="40">
        <f>BK919*(1-IF(B919&gt;=in_marketplace_from,d_hz_fd*G919,0))</f>
        <v/>
      </c>
      <c r="BL920" s="14">
        <f>F920*BK920*IF(B920&gt;=in_marketplace_from,d_hz_fd*G920,0)*in_fd_ticket*in_fd_comm</f>
        <v/>
      </c>
      <c r="BM920" s="40">
        <f>BM919*(1-IF(B919&gt;=in_marketplace_from,d_hz_recharge*G919,0))</f>
        <v/>
      </c>
      <c r="BN920" s="40">
        <f>BN919*d_rho_recharge+BM920*IF(B920&gt;=in_marketplace_from,d_hz_recharge*G920,0)</f>
        <v/>
      </c>
      <c r="BO920" s="14">
        <f>F920*BN920*in_recharge_ticket*in_recharge_comm/12</f>
        <v/>
      </c>
      <c r="BP920" s="40">
        <f>BP919*(1-IF(B919&gt;=in_marketplace_from,d_hz_bills*G919,0))</f>
        <v/>
      </c>
      <c r="BQ920" s="40">
        <f>BQ919*d_rho_bills+BP920*IF(B920&gt;=in_marketplace_from,d_hz_bills*G920,0)</f>
        <v/>
      </c>
      <c r="BR920" s="14">
        <f>F920*BQ920*in_bills_ticket*in_bills_comm/12</f>
        <v/>
      </c>
      <c r="BS920" s="40">
        <f>BS919*(1-IF(B919&gt;=in_marketplace_from,d_hz_loan_gold*G919,0))</f>
        <v/>
      </c>
      <c r="BT920" s="14">
        <f>F920*BS920*IF(B920&gt;=in_marketplace_from,d_hz_loan_gold*G920,0)*in_loan_gold_ticket*in_loan_gold_comm</f>
        <v/>
      </c>
      <c r="BU920" s="40">
        <f>BU919*(1-IF(B919&gt;=in_marketplace_from,d_hz_loan_cd*G919,0))</f>
        <v/>
      </c>
      <c r="BV920" s="14">
        <f>F920*BU920*IF(B920&gt;=in_marketplace_from,d_hz_loan_cd*G920,0)*in_loan_cd_ticket*in_loan_cd_comm</f>
        <v/>
      </c>
      <c r="BW920" s="40">
        <f>BW919*(1-IF(B919&gt;=in_marketplace_from,d_hz_loan_vehicle*G919,0))</f>
        <v/>
      </c>
      <c r="BX920" s="14">
        <f>F920*BW920*IF(B920&gt;=in_marketplace_from,d_hz_loan_vehicle*G920,0)*in_loan_vehicle_ticket*in_loan_vehicle_comm</f>
        <v/>
      </c>
      <c r="BY920" s="40">
        <f>BY919*(1-IF(B919&gt;=in_marketplace_from,d_hz_loan_home*G919,0)*BZ919)</f>
        <v/>
      </c>
      <c r="BZ920" s="11">
        <f>MIN(in_approval_cap,in_loan_home_approval*INDEX('Age profile'!$O$2:$O$61,B920)*(1+in_approval_growth)^(D920-1))</f>
        <v/>
      </c>
      <c r="CA920" s="14">
        <f>F920*BY920*IF(B920&gt;=in_marketplace_from,d_hz_loan_home*G920,0)*BZ920*in_loan_home_ticket*in_loan_home_comm</f>
        <v/>
      </c>
      <c r="CB920" s="40">
        <f>CB919*(1-IF(B919&gt;=in_marketplace_from,d_hz_loan_lap*G919,0)*CC919)</f>
        <v/>
      </c>
      <c r="CC920" s="11">
        <f>MIN(in_approval_cap,in_loan_lap_approval*INDEX('Age profile'!$O$2:$O$61,B920)*(1+in_approval_growth)^(D920-1))</f>
        <v/>
      </c>
      <c r="CD920" s="14">
        <f>F920*CB920*IF(B920&gt;=in_marketplace_from,d_hz_loan_lap*G920,0)*CC920*in_loan_lap_ticket*in_loan_lap_comm</f>
        <v/>
      </c>
      <c r="CE920" s="14">
        <f>AA920+AB920+AC920+AD920+AG920+AJ920+AM920+AP920+AS920+AU920+AX920+BB920+BE920+BG920+BJ920+BL920+BO920+BR920+BT920+BV920+BX920+CA920+CD920</f>
        <v/>
      </c>
    </row>
    <row r="921">
      <c r="A921" s="39" t="n">
        <v>18</v>
      </c>
      <c r="B921" s="39" t="n">
        <v>36</v>
      </c>
      <c r="C921" s="39">
        <f>A921+B921-1</f>
        <v/>
      </c>
      <c r="D921" s="39">
        <f>INT((C921-1)/12)+1</f>
        <v/>
      </c>
      <c r="E921" s="44">
        <f>INDEX(Monthly!$B$2:$B$61,A921)</f>
        <v/>
      </c>
      <c r="F921" s="44">
        <f>E921*INDEX('Age profile'!$B$2:$B$61,B921)</f>
        <v/>
      </c>
      <c r="G921" s="45">
        <f>MIN(in_takeup_cap,INDEX('Age profile'!$N$2:$N$61,B921)*(1+in_takeup_growth)^(D921-1))</f>
        <v/>
      </c>
      <c r="H921" s="11">
        <f>MIN(in_approval_cap,in_approved_first*INDEX('Age profile'!$O$2:$O$61,B921)*(1+in_approval_growth)^(D921-1))</f>
        <v/>
      </c>
      <c r="I921" s="45">
        <f>G921*MIN(in_takeup_cap,INDEX('Age profile'!$O$2:$O$61,B921)*(1+in_approval_growth)^(D921-1))</f>
        <v/>
      </c>
      <c r="J921" s="40">
        <f>(J920-L920)*F921/F920</f>
        <v/>
      </c>
      <c r="K921" s="40">
        <f>(K920-M920)*F921/F920+SUMIFS(O886:O920,B886:B920,B921-1-d_T)*F921</f>
        <v/>
      </c>
      <c r="L921" s="40">
        <f>IF(B921&gt;=in_marketplace_from,J921*d_hz*G921*in_eligible*H921,0)</f>
        <v/>
      </c>
      <c r="M921" s="40">
        <f>IF(B921&gt;=in_marketplace_from,K921*d_hz*G921*in_eligible*in_approved_repeat,0)</f>
        <v/>
      </c>
      <c r="N921" s="40">
        <f>L921+M921</f>
        <v/>
      </c>
      <c r="O921" s="46">
        <f>N921/F921</f>
        <v/>
      </c>
      <c r="P921" s="40">
        <f>F921-J921-K921</f>
        <v/>
      </c>
      <c r="Q921" s="40">
        <f>IF(B921&gt;=in_marketplace_from,(J921+K921)*d_hz*G921,0)</f>
        <v/>
      </c>
      <c r="R921" s="40">
        <f>SUMIFS(N886:N928,B886:B928,"&gt;="&amp;(B921-d_T),B886:B928,"&lt;="&amp;(B921-1))</f>
        <v/>
      </c>
      <c r="S921" s="46">
        <f>(1-d_u)*S920+IF(d_T&gt;in_topup_lag,SUMIFS(O886:O928,B886:B928,B921-in_topup_lag)-d_udrop*SUMIFS(O886:O928,B886:B928,B921-d_T),0)</f>
        <v/>
      </c>
      <c r="T921" s="40">
        <f>F921*d_u*S921</f>
        <v/>
      </c>
      <c r="U921" s="9">
        <f>L921*in_ticket+M921*d_rep_ticket</f>
        <v/>
      </c>
      <c r="V921" s="9">
        <f>U921+T921*d_topup_amt</f>
        <v/>
      </c>
      <c r="W921" s="40">
        <f>N921+T921*d_topup_ratio</f>
        <v/>
      </c>
      <c r="X921" s="40">
        <f>SUMIFS(W886:W928,B886:B928,B921-in_dpd_lag)*d_cured</f>
        <v/>
      </c>
      <c r="Y921" s="40">
        <f>SUMIFS(W886:W928,B886:B928,B921-in_rec_lag)*d_recd</f>
        <v/>
      </c>
      <c r="Z921" s="40">
        <f>IF(AND(B921&gt;=in_marketplace_from,B921&lt;in_marketplace_from+in_card_months),in_card_share/in_card_months*F921*I921,IF(AND(B921&gt;=in_marketplace_from+in_card_months,B921&lt;in_marketplace_from+2*in_card_months),in_card_share*d_card_rem/in_card_months*F921*MIN(in_takeup_cap,(1+in_takeup_growth)^(D921-1))*MIN(in_takeup_cap,(1+in_approval_growth)^(D921-1)),0))</f>
        <v/>
      </c>
      <c r="AA921" s="14">
        <f>V921*in_fee*(1-in_taken_back)</f>
        <v/>
      </c>
      <c r="AB921" s="14">
        <f>SUMIFS(W886:W928,B886:B928,B921-in_dpd_lag)*d_dpd</f>
        <v/>
      </c>
      <c r="AC921" s="14">
        <f>SUMIFS(W886:W928,B886:B928,B921-in_rec_lag)*d_rec</f>
        <v/>
      </c>
      <c r="AD921" s="14">
        <f>Z921*in_card_fee</f>
        <v/>
      </c>
      <c r="AE921" s="40">
        <f>AE920*(1-IF(B920&gt;=in_marketplace_from,d_hz_hlth_small*G920,0))</f>
        <v/>
      </c>
      <c r="AF921" s="46">
        <f>AE921*IF(B921&gt;=in_marketplace_from,d_hz_hlth_small*G921,0)</f>
        <v/>
      </c>
      <c r="AG921" s="14">
        <f>F921*AF921*in_hlth_small_ticket*in_hlth_small_comm*in_ins_partner_share+F921*in_hlth_small_ticket*in_hlth_small_renew_comm*in_ins_partner_share*(in_hlth_small_renew^1*SUMIFS(AF886:AF928,B886:B928,B921-12)+in_hlth_small_renew^2*SUMIFS(AF886:AF928,B886:B928,B921-24)+in_hlth_small_renew^3*SUMIFS(AF886:AF928,B886:B928,B921-36)+in_hlth_small_renew^4*SUMIFS(AF886:AF928,B886:B928,B921-48))</f>
        <v/>
      </c>
      <c r="AH921" s="40">
        <f>AH920*(1-IF(B920&gt;=in_marketplace_from,d_hz_hlth_family*G920,0))</f>
        <v/>
      </c>
      <c r="AI921" s="46">
        <f>AH921*IF(B921&gt;=in_marketplace_from,d_hz_hlth_family*G921,0)</f>
        <v/>
      </c>
      <c r="AJ921" s="14">
        <f>F921*AI921*in_hlth_family_ticket*in_hlth_family_comm*in_ins_partner_share+F921*in_hlth_family_ticket*in_hlth_family_renew_comm*in_ins_partner_share*(in_hlth_family_renew^1*SUMIFS(AI886:AI928,B886:B928,B921-12)+in_hlth_family_renew^2*SUMIFS(AI886:AI928,B886:B928,B921-24)+in_hlth_family_renew^3*SUMIFS(AI886:AI928,B886:B928,B921-36)+in_hlth_family_renew^4*SUMIFS(AI886:AI928,B886:B928,B921-48))</f>
        <v/>
      </c>
      <c r="AK921" s="40">
        <f>AK920*(1-IF(B920&gt;=in_marketplace_from,d_hz_life_term*G920,0))</f>
        <v/>
      </c>
      <c r="AL921" s="46">
        <f>AK921*IF(B921&gt;=in_marketplace_from,d_hz_life_term*G921,0)</f>
        <v/>
      </c>
      <c r="AM921" s="14">
        <f>F921*AL921*in_life_term_ticket*in_life_term_comm*in_ins_partner_share+F921*in_life_term_ticket*in_life_term_renew_comm*in_ins_partner_share*(in_life_term_renew^1*SUMIFS(AL886:AL928,B886:B928,B921-12)+in_life_term_renew^2*SUMIFS(AL886:AL928,B886:B928,B921-24)+in_life_term_renew^3*SUMIFS(AL886:AL928,B886:B928,B921-36)+in_life_term_renew^4*SUMIFS(AL886:AL928,B886:B928,B921-48))</f>
        <v/>
      </c>
      <c r="AN921" s="40">
        <f>AN920*(1-IF(B920&gt;=in_marketplace_from,d_hz_accident*G920,0))</f>
        <v/>
      </c>
      <c r="AO921" s="46">
        <f>AN921*IF(B921&gt;=in_marketplace_from,d_hz_accident*G921,0)</f>
        <v/>
      </c>
      <c r="AP921" s="14">
        <f>F921*AO921*in_accident_ticket*in_accident_comm*in_ins_partner_share+F921*in_accident_ticket*in_accident_renew_comm*in_ins_partner_share*(in_accident_renew^1*SUMIFS(AO886:AO928,B886:B928,B921-12)+in_accident_renew^2*SUMIFS(AO886:AO928,B886:B928,B921-24)+in_accident_renew^3*SUMIFS(AO886:AO928,B886:B928,B921-36)+in_accident_renew^4*SUMIFS(AO886:AO928,B886:B928,B921-48))</f>
        <v/>
      </c>
      <c r="AQ921" s="40">
        <f>AQ920*(1-IF(B920&gt;=in_marketplace_from,d_hz_two_wheeler*G920,0))</f>
        <v/>
      </c>
      <c r="AR921" s="46">
        <f>AQ921*IF(B921&gt;=in_marketplace_from,d_hz_two_wheeler*G921,0)</f>
        <v/>
      </c>
      <c r="AS921" s="14">
        <f>F921*AR921*in_two_wheeler_ticket*in_two_wheeler_comm*in_ins_partner_share+F921*in_two_wheeler_ticket*in_two_wheeler_comm*in_ins_partner_share*(in_two_wheeler_renew^1*SUMIFS(AR886:AR928,B886:B928,B921-12)+in_two_wheeler_renew^2*SUMIFS(AR886:AR928,B886:B928,B921-24)+in_two_wheeler_renew^3*SUMIFS(AR886:AR928,B886:B928,B921-36)+in_two_wheeler_renew^4*SUMIFS(AR886:AR928,B886:B928,B921-48))</f>
        <v/>
      </c>
      <c r="AT921" s="40">
        <f>AT920*(1-IF(B920&gt;=in_marketplace_from,d_hz_device*G920,0))</f>
        <v/>
      </c>
      <c r="AU921" s="14">
        <f>F921*AT921*IF(B921&gt;=in_marketplace_from,d_hz_device*G921,0)*in_device_ticket*in_device_comm*in_ins_partner_share</f>
        <v/>
      </c>
      <c r="AV921" s="40">
        <f>AV920*(1-IF(B920&gt;=in_marketplace_from,d_hz_shop*G920,0))</f>
        <v/>
      </c>
      <c r="AW921" s="46">
        <f>AV921*IF(B921&gt;=in_marketplace_from,d_hz_shop*G921,0)</f>
        <v/>
      </c>
      <c r="AX921" s="14">
        <f>F921*AW921*in_shop_ticket*in_shop_comm*in_ins_partner_share+F921*in_shop_ticket*in_shop_renew_comm*in_ins_partner_share*(in_shop_renew^1*SUMIFS(AW886:AW928,B886:B928,B921-12)+in_shop_renew^2*SUMIFS(AW886:AW928,B886:B928,B921-24)+in_shop_renew^3*SUMIFS(AW886:AW928,B886:B928,B921-36)+in_shop_renew^4*SUMIFS(AW886:AW928,B886:B928,B921-48))</f>
        <v/>
      </c>
      <c r="AY921" s="40">
        <f>AY920*(1-IF(B920&gt;=in_marketplace_from,d_hz_sip*G920,0))</f>
        <v/>
      </c>
      <c r="AZ921" s="40">
        <f>AZ920*d_rho_sip+AY921*IF(B921&gt;=in_marketplace_from,d_hz_sip*G921,0)</f>
        <v/>
      </c>
      <c r="BA921" s="40">
        <f>d_rho_sip*(BA920+AZ920)</f>
        <v/>
      </c>
      <c r="BB921" s="14">
        <f>F921*in_sip_ticket*(BA921+0.5*AZ921)*in_sip_comm/12</f>
        <v/>
      </c>
      <c r="BC921" s="40">
        <f>BC920*(1-IF(B920&gt;=in_marketplace_from,d_hz_choti*G920,0))</f>
        <v/>
      </c>
      <c r="BD921" s="46">
        <f>BC921*IF(B921&gt;=in_marketplace_from,d_hz_choti*G921,0)</f>
        <v/>
      </c>
      <c r="BE921" s="14">
        <f>F921*SUMIFS(BD886:BD928,B886:B928,B921-in_choti_months)*in_choti_renew*in_choti_ticket</f>
        <v/>
      </c>
      <c r="BF921" s="40">
        <f>BF920*(1-IF(B920&gt;=in_marketplace_from,d_hz_nps*G920,0))</f>
        <v/>
      </c>
      <c r="BG921" s="14">
        <f>F921*BF921*IF(B921&gt;=in_marketplace_from,d_hz_nps*G921,0)*in_nps_ticket*in_nps_comm</f>
        <v/>
      </c>
      <c r="BH921" s="40">
        <f>BH920*(1-IF(B920&gt;=in_marketplace_from,d_hz_gold*G920,0))</f>
        <v/>
      </c>
      <c r="BI921" s="40">
        <f>BI920*d_rho_gold+BH921*IF(B921&gt;=in_marketplace_from,d_hz_gold*G921,0)</f>
        <v/>
      </c>
      <c r="BJ921" s="14">
        <f>F921*BI921*in_gold_ticket*in_gold_comm</f>
        <v/>
      </c>
      <c r="BK921" s="40">
        <f>BK920*(1-IF(B920&gt;=in_marketplace_from,d_hz_fd*G920,0))</f>
        <v/>
      </c>
      <c r="BL921" s="14">
        <f>F921*BK921*IF(B921&gt;=in_marketplace_from,d_hz_fd*G921,0)*in_fd_ticket*in_fd_comm</f>
        <v/>
      </c>
      <c r="BM921" s="40">
        <f>BM920*(1-IF(B920&gt;=in_marketplace_from,d_hz_recharge*G920,0))</f>
        <v/>
      </c>
      <c r="BN921" s="40">
        <f>BN920*d_rho_recharge+BM921*IF(B921&gt;=in_marketplace_from,d_hz_recharge*G921,0)</f>
        <v/>
      </c>
      <c r="BO921" s="14">
        <f>F921*BN921*in_recharge_ticket*in_recharge_comm/12</f>
        <v/>
      </c>
      <c r="BP921" s="40">
        <f>BP920*(1-IF(B920&gt;=in_marketplace_from,d_hz_bills*G920,0))</f>
        <v/>
      </c>
      <c r="BQ921" s="40">
        <f>BQ920*d_rho_bills+BP921*IF(B921&gt;=in_marketplace_from,d_hz_bills*G921,0)</f>
        <v/>
      </c>
      <c r="BR921" s="14">
        <f>F921*BQ921*in_bills_ticket*in_bills_comm/12</f>
        <v/>
      </c>
      <c r="BS921" s="40">
        <f>BS920*(1-IF(B920&gt;=in_marketplace_from,d_hz_loan_gold*G920,0))</f>
        <v/>
      </c>
      <c r="BT921" s="14">
        <f>F921*BS921*IF(B921&gt;=in_marketplace_from,d_hz_loan_gold*G921,0)*in_loan_gold_ticket*in_loan_gold_comm</f>
        <v/>
      </c>
      <c r="BU921" s="40">
        <f>BU920*(1-IF(B920&gt;=in_marketplace_from,d_hz_loan_cd*G920,0))</f>
        <v/>
      </c>
      <c r="BV921" s="14">
        <f>F921*BU921*IF(B921&gt;=in_marketplace_from,d_hz_loan_cd*G921,0)*in_loan_cd_ticket*in_loan_cd_comm</f>
        <v/>
      </c>
      <c r="BW921" s="40">
        <f>BW920*(1-IF(B920&gt;=in_marketplace_from,d_hz_loan_vehicle*G920,0))</f>
        <v/>
      </c>
      <c r="BX921" s="14">
        <f>F921*BW921*IF(B921&gt;=in_marketplace_from,d_hz_loan_vehicle*G921,0)*in_loan_vehicle_ticket*in_loan_vehicle_comm</f>
        <v/>
      </c>
      <c r="BY921" s="40">
        <f>BY920*(1-IF(B920&gt;=in_marketplace_from,d_hz_loan_home*G920,0)*BZ920)</f>
        <v/>
      </c>
      <c r="BZ921" s="11">
        <f>MIN(in_approval_cap,in_loan_home_approval*INDEX('Age profile'!$O$2:$O$61,B921)*(1+in_approval_growth)^(D921-1))</f>
        <v/>
      </c>
      <c r="CA921" s="14">
        <f>F921*BY921*IF(B921&gt;=in_marketplace_from,d_hz_loan_home*G921,0)*BZ921*in_loan_home_ticket*in_loan_home_comm</f>
        <v/>
      </c>
      <c r="CB921" s="40">
        <f>CB920*(1-IF(B920&gt;=in_marketplace_from,d_hz_loan_lap*G920,0)*CC920)</f>
        <v/>
      </c>
      <c r="CC921" s="11">
        <f>MIN(in_approval_cap,in_loan_lap_approval*INDEX('Age profile'!$O$2:$O$61,B921)*(1+in_approval_growth)^(D921-1))</f>
        <v/>
      </c>
      <c r="CD921" s="14">
        <f>F921*CB921*IF(B921&gt;=in_marketplace_from,d_hz_loan_lap*G921,0)*CC921*in_loan_lap_ticket*in_loan_lap_comm</f>
        <v/>
      </c>
      <c r="CE921" s="14">
        <f>AA921+AB921+AC921+AD921+AG921+AJ921+AM921+AP921+AS921+AU921+AX921+BB921+BE921+BG921+BJ921+BL921+BO921+BR921+BT921+BV921+BX921+CA921+CD921</f>
        <v/>
      </c>
    </row>
    <row r="922">
      <c r="A922" s="39" t="n">
        <v>18</v>
      </c>
      <c r="B922" s="39" t="n">
        <v>37</v>
      </c>
      <c r="C922" s="39">
        <f>A922+B922-1</f>
        <v/>
      </c>
      <c r="D922" s="39">
        <f>INT((C922-1)/12)+1</f>
        <v/>
      </c>
      <c r="E922" s="44">
        <f>INDEX(Monthly!$B$2:$B$61,A922)</f>
        <v/>
      </c>
      <c r="F922" s="44">
        <f>E922*INDEX('Age profile'!$B$2:$B$61,B922)</f>
        <v/>
      </c>
      <c r="G922" s="45">
        <f>MIN(in_takeup_cap,INDEX('Age profile'!$N$2:$N$61,B922)*(1+in_takeup_growth)^(D922-1))</f>
        <v/>
      </c>
      <c r="H922" s="11">
        <f>MIN(in_approval_cap,in_approved_first*INDEX('Age profile'!$O$2:$O$61,B922)*(1+in_approval_growth)^(D922-1))</f>
        <v/>
      </c>
      <c r="I922" s="45">
        <f>G922*MIN(in_takeup_cap,INDEX('Age profile'!$O$2:$O$61,B922)*(1+in_approval_growth)^(D922-1))</f>
        <v/>
      </c>
      <c r="J922" s="40">
        <f>(J921-L921)*F922/F921</f>
        <v/>
      </c>
      <c r="K922" s="40">
        <f>(K921-M921)*F922/F921+SUMIFS(O886:O921,B886:B921,B922-1-d_T)*F922</f>
        <v/>
      </c>
      <c r="L922" s="40">
        <f>IF(B922&gt;=in_marketplace_from,J922*d_hz*G922*in_eligible*H922,0)</f>
        <v/>
      </c>
      <c r="M922" s="40">
        <f>IF(B922&gt;=in_marketplace_from,K922*d_hz*G922*in_eligible*in_approved_repeat,0)</f>
        <v/>
      </c>
      <c r="N922" s="40">
        <f>L922+M922</f>
        <v/>
      </c>
      <c r="O922" s="46">
        <f>N922/F922</f>
        <v/>
      </c>
      <c r="P922" s="40">
        <f>F922-J922-K922</f>
        <v/>
      </c>
      <c r="Q922" s="40">
        <f>IF(B922&gt;=in_marketplace_from,(J922+K922)*d_hz*G922,0)</f>
        <v/>
      </c>
      <c r="R922" s="40">
        <f>SUMIFS(N886:N928,B886:B928,"&gt;="&amp;(B922-d_T),B886:B928,"&lt;="&amp;(B922-1))</f>
        <v/>
      </c>
      <c r="S922" s="46">
        <f>(1-d_u)*S921+IF(d_T&gt;in_topup_lag,SUMIFS(O886:O928,B886:B928,B922-in_topup_lag)-d_udrop*SUMIFS(O886:O928,B886:B928,B922-d_T),0)</f>
        <v/>
      </c>
      <c r="T922" s="40">
        <f>F922*d_u*S922</f>
        <v/>
      </c>
      <c r="U922" s="9">
        <f>L922*in_ticket+M922*d_rep_ticket</f>
        <v/>
      </c>
      <c r="V922" s="9">
        <f>U922+T922*d_topup_amt</f>
        <v/>
      </c>
      <c r="W922" s="40">
        <f>N922+T922*d_topup_ratio</f>
        <v/>
      </c>
      <c r="X922" s="40">
        <f>SUMIFS(W886:W928,B886:B928,B922-in_dpd_lag)*d_cured</f>
        <v/>
      </c>
      <c r="Y922" s="40">
        <f>SUMIFS(W886:W928,B886:B928,B922-in_rec_lag)*d_recd</f>
        <v/>
      </c>
      <c r="Z922" s="40">
        <f>IF(AND(B922&gt;=in_marketplace_from,B922&lt;in_marketplace_from+in_card_months),in_card_share/in_card_months*F922*I922,IF(AND(B922&gt;=in_marketplace_from+in_card_months,B922&lt;in_marketplace_from+2*in_card_months),in_card_share*d_card_rem/in_card_months*F922*MIN(in_takeup_cap,(1+in_takeup_growth)^(D922-1))*MIN(in_takeup_cap,(1+in_approval_growth)^(D922-1)),0))</f>
        <v/>
      </c>
      <c r="AA922" s="14">
        <f>V922*in_fee*(1-in_taken_back)</f>
        <v/>
      </c>
      <c r="AB922" s="14">
        <f>SUMIFS(W886:W928,B886:B928,B922-in_dpd_lag)*d_dpd</f>
        <v/>
      </c>
      <c r="AC922" s="14">
        <f>SUMIFS(W886:W928,B886:B928,B922-in_rec_lag)*d_rec</f>
        <v/>
      </c>
      <c r="AD922" s="14">
        <f>Z922*in_card_fee</f>
        <v/>
      </c>
      <c r="AE922" s="40">
        <f>AE921*(1-IF(B921&gt;=in_marketplace_from,d_hz_hlth_small*G921,0))</f>
        <v/>
      </c>
      <c r="AF922" s="46">
        <f>AE922*IF(B922&gt;=in_marketplace_from,d_hz_hlth_small*G922,0)</f>
        <v/>
      </c>
      <c r="AG922" s="14">
        <f>F922*AF922*in_hlth_small_ticket*in_hlth_small_comm*in_ins_partner_share+F922*in_hlth_small_ticket*in_hlth_small_renew_comm*in_ins_partner_share*(in_hlth_small_renew^1*SUMIFS(AF886:AF928,B886:B928,B922-12)+in_hlth_small_renew^2*SUMIFS(AF886:AF928,B886:B928,B922-24)+in_hlth_small_renew^3*SUMIFS(AF886:AF928,B886:B928,B922-36)+in_hlth_small_renew^4*SUMIFS(AF886:AF928,B886:B928,B922-48))</f>
        <v/>
      </c>
      <c r="AH922" s="40">
        <f>AH921*(1-IF(B921&gt;=in_marketplace_from,d_hz_hlth_family*G921,0))</f>
        <v/>
      </c>
      <c r="AI922" s="46">
        <f>AH922*IF(B922&gt;=in_marketplace_from,d_hz_hlth_family*G922,0)</f>
        <v/>
      </c>
      <c r="AJ922" s="14">
        <f>F922*AI922*in_hlth_family_ticket*in_hlth_family_comm*in_ins_partner_share+F922*in_hlth_family_ticket*in_hlth_family_renew_comm*in_ins_partner_share*(in_hlth_family_renew^1*SUMIFS(AI886:AI928,B886:B928,B922-12)+in_hlth_family_renew^2*SUMIFS(AI886:AI928,B886:B928,B922-24)+in_hlth_family_renew^3*SUMIFS(AI886:AI928,B886:B928,B922-36)+in_hlth_family_renew^4*SUMIFS(AI886:AI928,B886:B928,B922-48))</f>
        <v/>
      </c>
      <c r="AK922" s="40">
        <f>AK921*(1-IF(B921&gt;=in_marketplace_from,d_hz_life_term*G921,0))</f>
        <v/>
      </c>
      <c r="AL922" s="46">
        <f>AK922*IF(B922&gt;=in_marketplace_from,d_hz_life_term*G922,0)</f>
        <v/>
      </c>
      <c r="AM922" s="14">
        <f>F922*AL922*in_life_term_ticket*in_life_term_comm*in_ins_partner_share+F922*in_life_term_ticket*in_life_term_renew_comm*in_ins_partner_share*(in_life_term_renew^1*SUMIFS(AL886:AL928,B886:B928,B922-12)+in_life_term_renew^2*SUMIFS(AL886:AL928,B886:B928,B922-24)+in_life_term_renew^3*SUMIFS(AL886:AL928,B886:B928,B922-36)+in_life_term_renew^4*SUMIFS(AL886:AL928,B886:B928,B922-48))</f>
        <v/>
      </c>
      <c r="AN922" s="40">
        <f>AN921*(1-IF(B921&gt;=in_marketplace_from,d_hz_accident*G921,0))</f>
        <v/>
      </c>
      <c r="AO922" s="46">
        <f>AN922*IF(B922&gt;=in_marketplace_from,d_hz_accident*G922,0)</f>
        <v/>
      </c>
      <c r="AP922" s="14">
        <f>F922*AO922*in_accident_ticket*in_accident_comm*in_ins_partner_share+F922*in_accident_ticket*in_accident_renew_comm*in_ins_partner_share*(in_accident_renew^1*SUMIFS(AO886:AO928,B886:B928,B922-12)+in_accident_renew^2*SUMIFS(AO886:AO928,B886:B928,B922-24)+in_accident_renew^3*SUMIFS(AO886:AO928,B886:B928,B922-36)+in_accident_renew^4*SUMIFS(AO886:AO928,B886:B928,B922-48))</f>
        <v/>
      </c>
      <c r="AQ922" s="40">
        <f>AQ921*(1-IF(B921&gt;=in_marketplace_from,d_hz_two_wheeler*G921,0))</f>
        <v/>
      </c>
      <c r="AR922" s="46">
        <f>AQ922*IF(B922&gt;=in_marketplace_from,d_hz_two_wheeler*G922,0)</f>
        <v/>
      </c>
      <c r="AS922" s="14">
        <f>F922*AR922*in_two_wheeler_ticket*in_two_wheeler_comm*in_ins_partner_share+F922*in_two_wheeler_ticket*in_two_wheeler_comm*in_ins_partner_share*(in_two_wheeler_renew^1*SUMIFS(AR886:AR928,B886:B928,B922-12)+in_two_wheeler_renew^2*SUMIFS(AR886:AR928,B886:B928,B922-24)+in_two_wheeler_renew^3*SUMIFS(AR886:AR928,B886:B928,B922-36)+in_two_wheeler_renew^4*SUMIFS(AR886:AR928,B886:B928,B922-48))</f>
        <v/>
      </c>
      <c r="AT922" s="40">
        <f>AT921*(1-IF(B921&gt;=in_marketplace_from,d_hz_device*G921,0))</f>
        <v/>
      </c>
      <c r="AU922" s="14">
        <f>F922*AT922*IF(B922&gt;=in_marketplace_from,d_hz_device*G922,0)*in_device_ticket*in_device_comm*in_ins_partner_share</f>
        <v/>
      </c>
      <c r="AV922" s="40">
        <f>AV921*(1-IF(B921&gt;=in_marketplace_from,d_hz_shop*G921,0))</f>
        <v/>
      </c>
      <c r="AW922" s="46">
        <f>AV922*IF(B922&gt;=in_marketplace_from,d_hz_shop*G922,0)</f>
        <v/>
      </c>
      <c r="AX922" s="14">
        <f>F922*AW922*in_shop_ticket*in_shop_comm*in_ins_partner_share+F922*in_shop_ticket*in_shop_renew_comm*in_ins_partner_share*(in_shop_renew^1*SUMIFS(AW886:AW928,B886:B928,B922-12)+in_shop_renew^2*SUMIFS(AW886:AW928,B886:B928,B922-24)+in_shop_renew^3*SUMIFS(AW886:AW928,B886:B928,B922-36)+in_shop_renew^4*SUMIFS(AW886:AW928,B886:B928,B922-48))</f>
        <v/>
      </c>
      <c r="AY922" s="40">
        <f>AY921*(1-IF(B921&gt;=in_marketplace_from,d_hz_sip*G921,0))</f>
        <v/>
      </c>
      <c r="AZ922" s="40">
        <f>AZ921*d_rho_sip+AY922*IF(B922&gt;=in_marketplace_from,d_hz_sip*G922,0)</f>
        <v/>
      </c>
      <c r="BA922" s="40">
        <f>d_rho_sip*(BA921+AZ921)</f>
        <v/>
      </c>
      <c r="BB922" s="14">
        <f>F922*in_sip_ticket*(BA922+0.5*AZ922)*in_sip_comm/12</f>
        <v/>
      </c>
      <c r="BC922" s="40">
        <f>BC921*(1-IF(B921&gt;=in_marketplace_from,d_hz_choti*G921,0))</f>
        <v/>
      </c>
      <c r="BD922" s="46">
        <f>BC922*IF(B922&gt;=in_marketplace_from,d_hz_choti*G922,0)</f>
        <v/>
      </c>
      <c r="BE922" s="14">
        <f>F922*SUMIFS(BD886:BD928,B886:B928,B922-in_choti_months)*in_choti_renew*in_choti_ticket</f>
        <v/>
      </c>
      <c r="BF922" s="40">
        <f>BF921*(1-IF(B921&gt;=in_marketplace_from,d_hz_nps*G921,0))</f>
        <v/>
      </c>
      <c r="BG922" s="14">
        <f>F922*BF922*IF(B922&gt;=in_marketplace_from,d_hz_nps*G922,0)*in_nps_ticket*in_nps_comm</f>
        <v/>
      </c>
      <c r="BH922" s="40">
        <f>BH921*(1-IF(B921&gt;=in_marketplace_from,d_hz_gold*G921,0))</f>
        <v/>
      </c>
      <c r="BI922" s="40">
        <f>BI921*d_rho_gold+BH922*IF(B922&gt;=in_marketplace_from,d_hz_gold*G922,0)</f>
        <v/>
      </c>
      <c r="BJ922" s="14">
        <f>F922*BI922*in_gold_ticket*in_gold_comm</f>
        <v/>
      </c>
      <c r="BK922" s="40">
        <f>BK921*(1-IF(B921&gt;=in_marketplace_from,d_hz_fd*G921,0))</f>
        <v/>
      </c>
      <c r="BL922" s="14">
        <f>F922*BK922*IF(B922&gt;=in_marketplace_from,d_hz_fd*G922,0)*in_fd_ticket*in_fd_comm</f>
        <v/>
      </c>
      <c r="BM922" s="40">
        <f>BM921*(1-IF(B921&gt;=in_marketplace_from,d_hz_recharge*G921,0))</f>
        <v/>
      </c>
      <c r="BN922" s="40">
        <f>BN921*d_rho_recharge+BM922*IF(B922&gt;=in_marketplace_from,d_hz_recharge*G922,0)</f>
        <v/>
      </c>
      <c r="BO922" s="14">
        <f>F922*BN922*in_recharge_ticket*in_recharge_comm/12</f>
        <v/>
      </c>
      <c r="BP922" s="40">
        <f>BP921*(1-IF(B921&gt;=in_marketplace_from,d_hz_bills*G921,0))</f>
        <v/>
      </c>
      <c r="BQ922" s="40">
        <f>BQ921*d_rho_bills+BP922*IF(B922&gt;=in_marketplace_from,d_hz_bills*G922,0)</f>
        <v/>
      </c>
      <c r="BR922" s="14">
        <f>F922*BQ922*in_bills_ticket*in_bills_comm/12</f>
        <v/>
      </c>
      <c r="BS922" s="40">
        <f>BS921*(1-IF(B921&gt;=in_marketplace_from,d_hz_loan_gold*G921,0))</f>
        <v/>
      </c>
      <c r="BT922" s="14">
        <f>F922*BS922*IF(B922&gt;=in_marketplace_from,d_hz_loan_gold*G922,0)*in_loan_gold_ticket*in_loan_gold_comm</f>
        <v/>
      </c>
      <c r="BU922" s="40">
        <f>BU921*(1-IF(B921&gt;=in_marketplace_from,d_hz_loan_cd*G921,0))</f>
        <v/>
      </c>
      <c r="BV922" s="14">
        <f>F922*BU922*IF(B922&gt;=in_marketplace_from,d_hz_loan_cd*G922,0)*in_loan_cd_ticket*in_loan_cd_comm</f>
        <v/>
      </c>
      <c r="BW922" s="40">
        <f>BW921*(1-IF(B921&gt;=in_marketplace_from,d_hz_loan_vehicle*G921,0))</f>
        <v/>
      </c>
      <c r="BX922" s="14">
        <f>F922*BW922*IF(B922&gt;=in_marketplace_from,d_hz_loan_vehicle*G922,0)*in_loan_vehicle_ticket*in_loan_vehicle_comm</f>
        <v/>
      </c>
      <c r="BY922" s="40">
        <f>BY921*(1-IF(B921&gt;=in_marketplace_from,d_hz_loan_home*G921,0)*BZ921)</f>
        <v/>
      </c>
      <c r="BZ922" s="11">
        <f>MIN(in_approval_cap,in_loan_home_approval*INDEX('Age profile'!$O$2:$O$61,B922)*(1+in_approval_growth)^(D922-1))</f>
        <v/>
      </c>
      <c r="CA922" s="14">
        <f>F922*BY922*IF(B922&gt;=in_marketplace_from,d_hz_loan_home*G922,0)*BZ922*in_loan_home_ticket*in_loan_home_comm</f>
        <v/>
      </c>
      <c r="CB922" s="40">
        <f>CB921*(1-IF(B921&gt;=in_marketplace_from,d_hz_loan_lap*G921,0)*CC921)</f>
        <v/>
      </c>
      <c r="CC922" s="11">
        <f>MIN(in_approval_cap,in_loan_lap_approval*INDEX('Age profile'!$O$2:$O$61,B922)*(1+in_approval_growth)^(D922-1))</f>
        <v/>
      </c>
      <c r="CD922" s="14">
        <f>F922*CB922*IF(B922&gt;=in_marketplace_from,d_hz_loan_lap*G922,0)*CC922*in_loan_lap_ticket*in_loan_lap_comm</f>
        <v/>
      </c>
      <c r="CE922" s="14">
        <f>AA922+AB922+AC922+AD922+AG922+AJ922+AM922+AP922+AS922+AU922+AX922+BB922+BE922+BG922+BJ922+BL922+BO922+BR922+BT922+BV922+BX922+CA922+CD922</f>
        <v/>
      </c>
    </row>
    <row r="923">
      <c r="A923" s="39" t="n">
        <v>18</v>
      </c>
      <c r="B923" s="39" t="n">
        <v>38</v>
      </c>
      <c r="C923" s="39">
        <f>A923+B923-1</f>
        <v/>
      </c>
      <c r="D923" s="39">
        <f>INT((C923-1)/12)+1</f>
        <v/>
      </c>
      <c r="E923" s="44">
        <f>INDEX(Monthly!$B$2:$B$61,A923)</f>
        <v/>
      </c>
      <c r="F923" s="44">
        <f>E923*INDEX('Age profile'!$B$2:$B$61,B923)</f>
        <v/>
      </c>
      <c r="G923" s="45">
        <f>MIN(in_takeup_cap,INDEX('Age profile'!$N$2:$N$61,B923)*(1+in_takeup_growth)^(D923-1))</f>
        <v/>
      </c>
      <c r="H923" s="11">
        <f>MIN(in_approval_cap,in_approved_first*INDEX('Age profile'!$O$2:$O$61,B923)*(1+in_approval_growth)^(D923-1))</f>
        <v/>
      </c>
      <c r="I923" s="45">
        <f>G923*MIN(in_takeup_cap,INDEX('Age profile'!$O$2:$O$61,B923)*(1+in_approval_growth)^(D923-1))</f>
        <v/>
      </c>
      <c r="J923" s="40">
        <f>(J922-L922)*F923/F922</f>
        <v/>
      </c>
      <c r="K923" s="40">
        <f>(K922-M922)*F923/F922+SUMIFS(O886:O922,B886:B922,B923-1-d_T)*F923</f>
        <v/>
      </c>
      <c r="L923" s="40">
        <f>IF(B923&gt;=in_marketplace_from,J923*d_hz*G923*in_eligible*H923,0)</f>
        <v/>
      </c>
      <c r="M923" s="40">
        <f>IF(B923&gt;=in_marketplace_from,K923*d_hz*G923*in_eligible*in_approved_repeat,0)</f>
        <v/>
      </c>
      <c r="N923" s="40">
        <f>L923+M923</f>
        <v/>
      </c>
      <c r="O923" s="46">
        <f>N923/F923</f>
        <v/>
      </c>
      <c r="P923" s="40">
        <f>F923-J923-K923</f>
        <v/>
      </c>
      <c r="Q923" s="40">
        <f>IF(B923&gt;=in_marketplace_from,(J923+K923)*d_hz*G923,0)</f>
        <v/>
      </c>
      <c r="R923" s="40">
        <f>SUMIFS(N886:N928,B886:B928,"&gt;="&amp;(B923-d_T),B886:B928,"&lt;="&amp;(B923-1))</f>
        <v/>
      </c>
      <c r="S923" s="46">
        <f>(1-d_u)*S922+IF(d_T&gt;in_topup_lag,SUMIFS(O886:O928,B886:B928,B923-in_topup_lag)-d_udrop*SUMIFS(O886:O928,B886:B928,B923-d_T),0)</f>
        <v/>
      </c>
      <c r="T923" s="40">
        <f>F923*d_u*S923</f>
        <v/>
      </c>
      <c r="U923" s="9">
        <f>L923*in_ticket+M923*d_rep_ticket</f>
        <v/>
      </c>
      <c r="V923" s="9">
        <f>U923+T923*d_topup_amt</f>
        <v/>
      </c>
      <c r="W923" s="40">
        <f>N923+T923*d_topup_ratio</f>
        <v/>
      </c>
      <c r="X923" s="40">
        <f>SUMIFS(W886:W928,B886:B928,B923-in_dpd_lag)*d_cured</f>
        <v/>
      </c>
      <c r="Y923" s="40">
        <f>SUMIFS(W886:W928,B886:B928,B923-in_rec_lag)*d_recd</f>
        <v/>
      </c>
      <c r="Z923" s="40">
        <f>IF(AND(B923&gt;=in_marketplace_from,B923&lt;in_marketplace_from+in_card_months),in_card_share/in_card_months*F923*I923,IF(AND(B923&gt;=in_marketplace_from+in_card_months,B923&lt;in_marketplace_from+2*in_card_months),in_card_share*d_card_rem/in_card_months*F923*MIN(in_takeup_cap,(1+in_takeup_growth)^(D923-1))*MIN(in_takeup_cap,(1+in_approval_growth)^(D923-1)),0))</f>
        <v/>
      </c>
      <c r="AA923" s="14">
        <f>V923*in_fee*(1-in_taken_back)</f>
        <v/>
      </c>
      <c r="AB923" s="14">
        <f>SUMIFS(W886:W928,B886:B928,B923-in_dpd_lag)*d_dpd</f>
        <v/>
      </c>
      <c r="AC923" s="14">
        <f>SUMIFS(W886:W928,B886:B928,B923-in_rec_lag)*d_rec</f>
        <v/>
      </c>
      <c r="AD923" s="14">
        <f>Z923*in_card_fee</f>
        <v/>
      </c>
      <c r="AE923" s="40">
        <f>AE922*(1-IF(B922&gt;=in_marketplace_from,d_hz_hlth_small*G922,0))</f>
        <v/>
      </c>
      <c r="AF923" s="46">
        <f>AE923*IF(B923&gt;=in_marketplace_from,d_hz_hlth_small*G923,0)</f>
        <v/>
      </c>
      <c r="AG923" s="14">
        <f>F923*AF923*in_hlth_small_ticket*in_hlth_small_comm*in_ins_partner_share+F923*in_hlth_small_ticket*in_hlth_small_renew_comm*in_ins_partner_share*(in_hlth_small_renew^1*SUMIFS(AF886:AF928,B886:B928,B923-12)+in_hlth_small_renew^2*SUMIFS(AF886:AF928,B886:B928,B923-24)+in_hlth_small_renew^3*SUMIFS(AF886:AF928,B886:B928,B923-36)+in_hlth_small_renew^4*SUMIFS(AF886:AF928,B886:B928,B923-48))</f>
        <v/>
      </c>
      <c r="AH923" s="40">
        <f>AH922*(1-IF(B922&gt;=in_marketplace_from,d_hz_hlth_family*G922,0))</f>
        <v/>
      </c>
      <c r="AI923" s="46">
        <f>AH923*IF(B923&gt;=in_marketplace_from,d_hz_hlth_family*G923,0)</f>
        <v/>
      </c>
      <c r="AJ923" s="14">
        <f>F923*AI923*in_hlth_family_ticket*in_hlth_family_comm*in_ins_partner_share+F923*in_hlth_family_ticket*in_hlth_family_renew_comm*in_ins_partner_share*(in_hlth_family_renew^1*SUMIFS(AI886:AI928,B886:B928,B923-12)+in_hlth_family_renew^2*SUMIFS(AI886:AI928,B886:B928,B923-24)+in_hlth_family_renew^3*SUMIFS(AI886:AI928,B886:B928,B923-36)+in_hlth_family_renew^4*SUMIFS(AI886:AI928,B886:B928,B923-48))</f>
        <v/>
      </c>
      <c r="AK923" s="40">
        <f>AK922*(1-IF(B922&gt;=in_marketplace_from,d_hz_life_term*G922,0))</f>
        <v/>
      </c>
      <c r="AL923" s="46">
        <f>AK923*IF(B923&gt;=in_marketplace_from,d_hz_life_term*G923,0)</f>
        <v/>
      </c>
      <c r="AM923" s="14">
        <f>F923*AL923*in_life_term_ticket*in_life_term_comm*in_ins_partner_share+F923*in_life_term_ticket*in_life_term_renew_comm*in_ins_partner_share*(in_life_term_renew^1*SUMIFS(AL886:AL928,B886:B928,B923-12)+in_life_term_renew^2*SUMIFS(AL886:AL928,B886:B928,B923-24)+in_life_term_renew^3*SUMIFS(AL886:AL928,B886:B928,B923-36)+in_life_term_renew^4*SUMIFS(AL886:AL928,B886:B928,B923-48))</f>
        <v/>
      </c>
      <c r="AN923" s="40">
        <f>AN922*(1-IF(B922&gt;=in_marketplace_from,d_hz_accident*G922,0))</f>
        <v/>
      </c>
      <c r="AO923" s="46">
        <f>AN923*IF(B923&gt;=in_marketplace_from,d_hz_accident*G923,0)</f>
        <v/>
      </c>
      <c r="AP923" s="14">
        <f>F923*AO923*in_accident_ticket*in_accident_comm*in_ins_partner_share+F923*in_accident_ticket*in_accident_renew_comm*in_ins_partner_share*(in_accident_renew^1*SUMIFS(AO886:AO928,B886:B928,B923-12)+in_accident_renew^2*SUMIFS(AO886:AO928,B886:B928,B923-24)+in_accident_renew^3*SUMIFS(AO886:AO928,B886:B928,B923-36)+in_accident_renew^4*SUMIFS(AO886:AO928,B886:B928,B923-48))</f>
        <v/>
      </c>
      <c r="AQ923" s="40">
        <f>AQ922*(1-IF(B922&gt;=in_marketplace_from,d_hz_two_wheeler*G922,0))</f>
        <v/>
      </c>
      <c r="AR923" s="46">
        <f>AQ923*IF(B923&gt;=in_marketplace_from,d_hz_two_wheeler*G923,0)</f>
        <v/>
      </c>
      <c r="AS923" s="14">
        <f>F923*AR923*in_two_wheeler_ticket*in_two_wheeler_comm*in_ins_partner_share+F923*in_two_wheeler_ticket*in_two_wheeler_comm*in_ins_partner_share*(in_two_wheeler_renew^1*SUMIFS(AR886:AR928,B886:B928,B923-12)+in_two_wheeler_renew^2*SUMIFS(AR886:AR928,B886:B928,B923-24)+in_two_wheeler_renew^3*SUMIFS(AR886:AR928,B886:B928,B923-36)+in_two_wheeler_renew^4*SUMIFS(AR886:AR928,B886:B928,B923-48))</f>
        <v/>
      </c>
      <c r="AT923" s="40">
        <f>AT922*(1-IF(B922&gt;=in_marketplace_from,d_hz_device*G922,0))</f>
        <v/>
      </c>
      <c r="AU923" s="14">
        <f>F923*AT923*IF(B923&gt;=in_marketplace_from,d_hz_device*G923,0)*in_device_ticket*in_device_comm*in_ins_partner_share</f>
        <v/>
      </c>
      <c r="AV923" s="40">
        <f>AV922*(1-IF(B922&gt;=in_marketplace_from,d_hz_shop*G922,0))</f>
        <v/>
      </c>
      <c r="AW923" s="46">
        <f>AV923*IF(B923&gt;=in_marketplace_from,d_hz_shop*G923,0)</f>
        <v/>
      </c>
      <c r="AX923" s="14">
        <f>F923*AW923*in_shop_ticket*in_shop_comm*in_ins_partner_share+F923*in_shop_ticket*in_shop_renew_comm*in_ins_partner_share*(in_shop_renew^1*SUMIFS(AW886:AW928,B886:B928,B923-12)+in_shop_renew^2*SUMIFS(AW886:AW928,B886:B928,B923-24)+in_shop_renew^3*SUMIFS(AW886:AW928,B886:B928,B923-36)+in_shop_renew^4*SUMIFS(AW886:AW928,B886:B928,B923-48))</f>
        <v/>
      </c>
      <c r="AY923" s="40">
        <f>AY922*(1-IF(B922&gt;=in_marketplace_from,d_hz_sip*G922,0))</f>
        <v/>
      </c>
      <c r="AZ923" s="40">
        <f>AZ922*d_rho_sip+AY923*IF(B923&gt;=in_marketplace_from,d_hz_sip*G923,0)</f>
        <v/>
      </c>
      <c r="BA923" s="40">
        <f>d_rho_sip*(BA922+AZ922)</f>
        <v/>
      </c>
      <c r="BB923" s="14">
        <f>F923*in_sip_ticket*(BA923+0.5*AZ923)*in_sip_comm/12</f>
        <v/>
      </c>
      <c r="BC923" s="40">
        <f>BC922*(1-IF(B922&gt;=in_marketplace_from,d_hz_choti*G922,0))</f>
        <v/>
      </c>
      <c r="BD923" s="46">
        <f>BC923*IF(B923&gt;=in_marketplace_from,d_hz_choti*G923,0)</f>
        <v/>
      </c>
      <c r="BE923" s="14">
        <f>F923*SUMIFS(BD886:BD928,B886:B928,B923-in_choti_months)*in_choti_renew*in_choti_ticket</f>
        <v/>
      </c>
      <c r="BF923" s="40">
        <f>BF922*(1-IF(B922&gt;=in_marketplace_from,d_hz_nps*G922,0))</f>
        <v/>
      </c>
      <c r="BG923" s="14">
        <f>F923*BF923*IF(B923&gt;=in_marketplace_from,d_hz_nps*G923,0)*in_nps_ticket*in_nps_comm</f>
        <v/>
      </c>
      <c r="BH923" s="40">
        <f>BH922*(1-IF(B922&gt;=in_marketplace_from,d_hz_gold*G922,0))</f>
        <v/>
      </c>
      <c r="BI923" s="40">
        <f>BI922*d_rho_gold+BH923*IF(B923&gt;=in_marketplace_from,d_hz_gold*G923,0)</f>
        <v/>
      </c>
      <c r="BJ923" s="14">
        <f>F923*BI923*in_gold_ticket*in_gold_comm</f>
        <v/>
      </c>
      <c r="BK923" s="40">
        <f>BK922*(1-IF(B922&gt;=in_marketplace_from,d_hz_fd*G922,0))</f>
        <v/>
      </c>
      <c r="BL923" s="14">
        <f>F923*BK923*IF(B923&gt;=in_marketplace_from,d_hz_fd*G923,0)*in_fd_ticket*in_fd_comm</f>
        <v/>
      </c>
      <c r="BM923" s="40">
        <f>BM922*(1-IF(B922&gt;=in_marketplace_from,d_hz_recharge*G922,0))</f>
        <v/>
      </c>
      <c r="BN923" s="40">
        <f>BN922*d_rho_recharge+BM923*IF(B923&gt;=in_marketplace_from,d_hz_recharge*G923,0)</f>
        <v/>
      </c>
      <c r="BO923" s="14">
        <f>F923*BN923*in_recharge_ticket*in_recharge_comm/12</f>
        <v/>
      </c>
      <c r="BP923" s="40">
        <f>BP922*(1-IF(B922&gt;=in_marketplace_from,d_hz_bills*G922,0))</f>
        <v/>
      </c>
      <c r="BQ923" s="40">
        <f>BQ922*d_rho_bills+BP923*IF(B923&gt;=in_marketplace_from,d_hz_bills*G923,0)</f>
        <v/>
      </c>
      <c r="BR923" s="14">
        <f>F923*BQ923*in_bills_ticket*in_bills_comm/12</f>
        <v/>
      </c>
      <c r="BS923" s="40">
        <f>BS922*(1-IF(B922&gt;=in_marketplace_from,d_hz_loan_gold*G922,0))</f>
        <v/>
      </c>
      <c r="BT923" s="14">
        <f>F923*BS923*IF(B923&gt;=in_marketplace_from,d_hz_loan_gold*G923,0)*in_loan_gold_ticket*in_loan_gold_comm</f>
        <v/>
      </c>
      <c r="BU923" s="40">
        <f>BU922*(1-IF(B922&gt;=in_marketplace_from,d_hz_loan_cd*G922,0))</f>
        <v/>
      </c>
      <c r="BV923" s="14">
        <f>F923*BU923*IF(B923&gt;=in_marketplace_from,d_hz_loan_cd*G923,0)*in_loan_cd_ticket*in_loan_cd_comm</f>
        <v/>
      </c>
      <c r="BW923" s="40">
        <f>BW922*(1-IF(B922&gt;=in_marketplace_from,d_hz_loan_vehicle*G922,0))</f>
        <v/>
      </c>
      <c r="BX923" s="14">
        <f>F923*BW923*IF(B923&gt;=in_marketplace_from,d_hz_loan_vehicle*G923,0)*in_loan_vehicle_ticket*in_loan_vehicle_comm</f>
        <v/>
      </c>
      <c r="BY923" s="40">
        <f>BY922*(1-IF(B922&gt;=in_marketplace_from,d_hz_loan_home*G922,0)*BZ922)</f>
        <v/>
      </c>
      <c r="BZ923" s="11">
        <f>MIN(in_approval_cap,in_loan_home_approval*INDEX('Age profile'!$O$2:$O$61,B923)*(1+in_approval_growth)^(D923-1))</f>
        <v/>
      </c>
      <c r="CA923" s="14">
        <f>F923*BY923*IF(B923&gt;=in_marketplace_from,d_hz_loan_home*G923,0)*BZ923*in_loan_home_ticket*in_loan_home_comm</f>
        <v/>
      </c>
      <c r="CB923" s="40">
        <f>CB922*(1-IF(B922&gt;=in_marketplace_from,d_hz_loan_lap*G922,0)*CC922)</f>
        <v/>
      </c>
      <c r="CC923" s="11">
        <f>MIN(in_approval_cap,in_loan_lap_approval*INDEX('Age profile'!$O$2:$O$61,B923)*(1+in_approval_growth)^(D923-1))</f>
        <v/>
      </c>
      <c r="CD923" s="14">
        <f>F923*CB923*IF(B923&gt;=in_marketplace_from,d_hz_loan_lap*G923,0)*CC923*in_loan_lap_ticket*in_loan_lap_comm</f>
        <v/>
      </c>
      <c r="CE923" s="14">
        <f>AA923+AB923+AC923+AD923+AG923+AJ923+AM923+AP923+AS923+AU923+AX923+BB923+BE923+BG923+BJ923+BL923+BO923+BR923+BT923+BV923+BX923+CA923+CD923</f>
        <v/>
      </c>
    </row>
    <row r="924">
      <c r="A924" s="39" t="n">
        <v>18</v>
      </c>
      <c r="B924" s="39" t="n">
        <v>39</v>
      </c>
      <c r="C924" s="39">
        <f>A924+B924-1</f>
        <v/>
      </c>
      <c r="D924" s="39">
        <f>INT((C924-1)/12)+1</f>
        <v/>
      </c>
      <c r="E924" s="44">
        <f>INDEX(Monthly!$B$2:$B$61,A924)</f>
        <v/>
      </c>
      <c r="F924" s="44">
        <f>E924*INDEX('Age profile'!$B$2:$B$61,B924)</f>
        <v/>
      </c>
      <c r="G924" s="45">
        <f>MIN(in_takeup_cap,INDEX('Age profile'!$N$2:$N$61,B924)*(1+in_takeup_growth)^(D924-1))</f>
        <v/>
      </c>
      <c r="H924" s="11">
        <f>MIN(in_approval_cap,in_approved_first*INDEX('Age profile'!$O$2:$O$61,B924)*(1+in_approval_growth)^(D924-1))</f>
        <v/>
      </c>
      <c r="I924" s="45">
        <f>G924*MIN(in_takeup_cap,INDEX('Age profile'!$O$2:$O$61,B924)*(1+in_approval_growth)^(D924-1))</f>
        <v/>
      </c>
      <c r="J924" s="40">
        <f>(J923-L923)*F924/F923</f>
        <v/>
      </c>
      <c r="K924" s="40">
        <f>(K923-M923)*F924/F923+SUMIFS(O886:O923,B886:B923,B924-1-d_T)*F924</f>
        <v/>
      </c>
      <c r="L924" s="40">
        <f>IF(B924&gt;=in_marketplace_from,J924*d_hz*G924*in_eligible*H924,0)</f>
        <v/>
      </c>
      <c r="M924" s="40">
        <f>IF(B924&gt;=in_marketplace_from,K924*d_hz*G924*in_eligible*in_approved_repeat,0)</f>
        <v/>
      </c>
      <c r="N924" s="40">
        <f>L924+M924</f>
        <v/>
      </c>
      <c r="O924" s="46">
        <f>N924/F924</f>
        <v/>
      </c>
      <c r="P924" s="40">
        <f>F924-J924-K924</f>
        <v/>
      </c>
      <c r="Q924" s="40">
        <f>IF(B924&gt;=in_marketplace_from,(J924+K924)*d_hz*G924,0)</f>
        <v/>
      </c>
      <c r="R924" s="40">
        <f>SUMIFS(N886:N928,B886:B928,"&gt;="&amp;(B924-d_T),B886:B928,"&lt;="&amp;(B924-1))</f>
        <v/>
      </c>
      <c r="S924" s="46">
        <f>(1-d_u)*S923+IF(d_T&gt;in_topup_lag,SUMIFS(O886:O928,B886:B928,B924-in_topup_lag)-d_udrop*SUMIFS(O886:O928,B886:B928,B924-d_T),0)</f>
        <v/>
      </c>
      <c r="T924" s="40">
        <f>F924*d_u*S924</f>
        <v/>
      </c>
      <c r="U924" s="9">
        <f>L924*in_ticket+M924*d_rep_ticket</f>
        <v/>
      </c>
      <c r="V924" s="9">
        <f>U924+T924*d_topup_amt</f>
        <v/>
      </c>
      <c r="W924" s="40">
        <f>N924+T924*d_topup_ratio</f>
        <v/>
      </c>
      <c r="X924" s="40">
        <f>SUMIFS(W886:W928,B886:B928,B924-in_dpd_lag)*d_cured</f>
        <v/>
      </c>
      <c r="Y924" s="40">
        <f>SUMIFS(W886:W928,B886:B928,B924-in_rec_lag)*d_recd</f>
        <v/>
      </c>
      <c r="Z924" s="40">
        <f>IF(AND(B924&gt;=in_marketplace_from,B924&lt;in_marketplace_from+in_card_months),in_card_share/in_card_months*F924*I924,IF(AND(B924&gt;=in_marketplace_from+in_card_months,B924&lt;in_marketplace_from+2*in_card_months),in_card_share*d_card_rem/in_card_months*F924*MIN(in_takeup_cap,(1+in_takeup_growth)^(D924-1))*MIN(in_takeup_cap,(1+in_approval_growth)^(D924-1)),0))</f>
        <v/>
      </c>
      <c r="AA924" s="14">
        <f>V924*in_fee*(1-in_taken_back)</f>
        <v/>
      </c>
      <c r="AB924" s="14">
        <f>SUMIFS(W886:W928,B886:B928,B924-in_dpd_lag)*d_dpd</f>
        <v/>
      </c>
      <c r="AC924" s="14">
        <f>SUMIFS(W886:W928,B886:B928,B924-in_rec_lag)*d_rec</f>
        <v/>
      </c>
      <c r="AD924" s="14">
        <f>Z924*in_card_fee</f>
        <v/>
      </c>
      <c r="AE924" s="40">
        <f>AE923*(1-IF(B923&gt;=in_marketplace_from,d_hz_hlth_small*G923,0))</f>
        <v/>
      </c>
      <c r="AF924" s="46">
        <f>AE924*IF(B924&gt;=in_marketplace_from,d_hz_hlth_small*G924,0)</f>
        <v/>
      </c>
      <c r="AG924" s="14">
        <f>F924*AF924*in_hlth_small_ticket*in_hlth_small_comm*in_ins_partner_share+F924*in_hlth_small_ticket*in_hlth_small_renew_comm*in_ins_partner_share*(in_hlth_small_renew^1*SUMIFS(AF886:AF928,B886:B928,B924-12)+in_hlth_small_renew^2*SUMIFS(AF886:AF928,B886:B928,B924-24)+in_hlth_small_renew^3*SUMIFS(AF886:AF928,B886:B928,B924-36)+in_hlth_small_renew^4*SUMIFS(AF886:AF928,B886:B928,B924-48))</f>
        <v/>
      </c>
      <c r="AH924" s="40">
        <f>AH923*(1-IF(B923&gt;=in_marketplace_from,d_hz_hlth_family*G923,0))</f>
        <v/>
      </c>
      <c r="AI924" s="46">
        <f>AH924*IF(B924&gt;=in_marketplace_from,d_hz_hlth_family*G924,0)</f>
        <v/>
      </c>
      <c r="AJ924" s="14">
        <f>F924*AI924*in_hlth_family_ticket*in_hlth_family_comm*in_ins_partner_share+F924*in_hlth_family_ticket*in_hlth_family_renew_comm*in_ins_partner_share*(in_hlth_family_renew^1*SUMIFS(AI886:AI928,B886:B928,B924-12)+in_hlth_family_renew^2*SUMIFS(AI886:AI928,B886:B928,B924-24)+in_hlth_family_renew^3*SUMIFS(AI886:AI928,B886:B928,B924-36)+in_hlth_family_renew^4*SUMIFS(AI886:AI928,B886:B928,B924-48))</f>
        <v/>
      </c>
      <c r="AK924" s="40">
        <f>AK923*(1-IF(B923&gt;=in_marketplace_from,d_hz_life_term*G923,0))</f>
        <v/>
      </c>
      <c r="AL924" s="46">
        <f>AK924*IF(B924&gt;=in_marketplace_from,d_hz_life_term*G924,0)</f>
        <v/>
      </c>
      <c r="AM924" s="14">
        <f>F924*AL924*in_life_term_ticket*in_life_term_comm*in_ins_partner_share+F924*in_life_term_ticket*in_life_term_renew_comm*in_ins_partner_share*(in_life_term_renew^1*SUMIFS(AL886:AL928,B886:B928,B924-12)+in_life_term_renew^2*SUMIFS(AL886:AL928,B886:B928,B924-24)+in_life_term_renew^3*SUMIFS(AL886:AL928,B886:B928,B924-36)+in_life_term_renew^4*SUMIFS(AL886:AL928,B886:B928,B924-48))</f>
        <v/>
      </c>
      <c r="AN924" s="40">
        <f>AN923*(1-IF(B923&gt;=in_marketplace_from,d_hz_accident*G923,0))</f>
        <v/>
      </c>
      <c r="AO924" s="46">
        <f>AN924*IF(B924&gt;=in_marketplace_from,d_hz_accident*G924,0)</f>
        <v/>
      </c>
      <c r="AP924" s="14">
        <f>F924*AO924*in_accident_ticket*in_accident_comm*in_ins_partner_share+F924*in_accident_ticket*in_accident_renew_comm*in_ins_partner_share*(in_accident_renew^1*SUMIFS(AO886:AO928,B886:B928,B924-12)+in_accident_renew^2*SUMIFS(AO886:AO928,B886:B928,B924-24)+in_accident_renew^3*SUMIFS(AO886:AO928,B886:B928,B924-36)+in_accident_renew^4*SUMIFS(AO886:AO928,B886:B928,B924-48))</f>
        <v/>
      </c>
      <c r="AQ924" s="40">
        <f>AQ923*(1-IF(B923&gt;=in_marketplace_from,d_hz_two_wheeler*G923,0))</f>
        <v/>
      </c>
      <c r="AR924" s="46">
        <f>AQ924*IF(B924&gt;=in_marketplace_from,d_hz_two_wheeler*G924,0)</f>
        <v/>
      </c>
      <c r="AS924" s="14">
        <f>F924*AR924*in_two_wheeler_ticket*in_two_wheeler_comm*in_ins_partner_share+F924*in_two_wheeler_ticket*in_two_wheeler_comm*in_ins_partner_share*(in_two_wheeler_renew^1*SUMIFS(AR886:AR928,B886:B928,B924-12)+in_two_wheeler_renew^2*SUMIFS(AR886:AR928,B886:B928,B924-24)+in_two_wheeler_renew^3*SUMIFS(AR886:AR928,B886:B928,B924-36)+in_two_wheeler_renew^4*SUMIFS(AR886:AR928,B886:B928,B924-48))</f>
        <v/>
      </c>
      <c r="AT924" s="40">
        <f>AT923*(1-IF(B923&gt;=in_marketplace_from,d_hz_device*G923,0))</f>
        <v/>
      </c>
      <c r="AU924" s="14">
        <f>F924*AT924*IF(B924&gt;=in_marketplace_from,d_hz_device*G924,0)*in_device_ticket*in_device_comm*in_ins_partner_share</f>
        <v/>
      </c>
      <c r="AV924" s="40">
        <f>AV923*(1-IF(B923&gt;=in_marketplace_from,d_hz_shop*G923,0))</f>
        <v/>
      </c>
      <c r="AW924" s="46">
        <f>AV924*IF(B924&gt;=in_marketplace_from,d_hz_shop*G924,0)</f>
        <v/>
      </c>
      <c r="AX924" s="14">
        <f>F924*AW924*in_shop_ticket*in_shop_comm*in_ins_partner_share+F924*in_shop_ticket*in_shop_renew_comm*in_ins_partner_share*(in_shop_renew^1*SUMIFS(AW886:AW928,B886:B928,B924-12)+in_shop_renew^2*SUMIFS(AW886:AW928,B886:B928,B924-24)+in_shop_renew^3*SUMIFS(AW886:AW928,B886:B928,B924-36)+in_shop_renew^4*SUMIFS(AW886:AW928,B886:B928,B924-48))</f>
        <v/>
      </c>
      <c r="AY924" s="40">
        <f>AY923*(1-IF(B923&gt;=in_marketplace_from,d_hz_sip*G923,0))</f>
        <v/>
      </c>
      <c r="AZ924" s="40">
        <f>AZ923*d_rho_sip+AY924*IF(B924&gt;=in_marketplace_from,d_hz_sip*G924,0)</f>
        <v/>
      </c>
      <c r="BA924" s="40">
        <f>d_rho_sip*(BA923+AZ923)</f>
        <v/>
      </c>
      <c r="BB924" s="14">
        <f>F924*in_sip_ticket*(BA924+0.5*AZ924)*in_sip_comm/12</f>
        <v/>
      </c>
      <c r="BC924" s="40">
        <f>BC923*(1-IF(B923&gt;=in_marketplace_from,d_hz_choti*G923,0))</f>
        <v/>
      </c>
      <c r="BD924" s="46">
        <f>BC924*IF(B924&gt;=in_marketplace_from,d_hz_choti*G924,0)</f>
        <v/>
      </c>
      <c r="BE924" s="14">
        <f>F924*SUMIFS(BD886:BD928,B886:B928,B924-in_choti_months)*in_choti_renew*in_choti_ticket</f>
        <v/>
      </c>
      <c r="BF924" s="40">
        <f>BF923*(1-IF(B923&gt;=in_marketplace_from,d_hz_nps*G923,0))</f>
        <v/>
      </c>
      <c r="BG924" s="14">
        <f>F924*BF924*IF(B924&gt;=in_marketplace_from,d_hz_nps*G924,0)*in_nps_ticket*in_nps_comm</f>
        <v/>
      </c>
      <c r="BH924" s="40">
        <f>BH923*(1-IF(B923&gt;=in_marketplace_from,d_hz_gold*G923,0))</f>
        <v/>
      </c>
      <c r="BI924" s="40">
        <f>BI923*d_rho_gold+BH924*IF(B924&gt;=in_marketplace_from,d_hz_gold*G924,0)</f>
        <v/>
      </c>
      <c r="BJ924" s="14">
        <f>F924*BI924*in_gold_ticket*in_gold_comm</f>
        <v/>
      </c>
      <c r="BK924" s="40">
        <f>BK923*(1-IF(B923&gt;=in_marketplace_from,d_hz_fd*G923,0))</f>
        <v/>
      </c>
      <c r="BL924" s="14">
        <f>F924*BK924*IF(B924&gt;=in_marketplace_from,d_hz_fd*G924,0)*in_fd_ticket*in_fd_comm</f>
        <v/>
      </c>
      <c r="BM924" s="40">
        <f>BM923*(1-IF(B923&gt;=in_marketplace_from,d_hz_recharge*G923,0))</f>
        <v/>
      </c>
      <c r="BN924" s="40">
        <f>BN923*d_rho_recharge+BM924*IF(B924&gt;=in_marketplace_from,d_hz_recharge*G924,0)</f>
        <v/>
      </c>
      <c r="BO924" s="14">
        <f>F924*BN924*in_recharge_ticket*in_recharge_comm/12</f>
        <v/>
      </c>
      <c r="BP924" s="40">
        <f>BP923*(1-IF(B923&gt;=in_marketplace_from,d_hz_bills*G923,0))</f>
        <v/>
      </c>
      <c r="BQ924" s="40">
        <f>BQ923*d_rho_bills+BP924*IF(B924&gt;=in_marketplace_from,d_hz_bills*G924,0)</f>
        <v/>
      </c>
      <c r="BR924" s="14">
        <f>F924*BQ924*in_bills_ticket*in_bills_comm/12</f>
        <v/>
      </c>
      <c r="BS924" s="40">
        <f>BS923*(1-IF(B923&gt;=in_marketplace_from,d_hz_loan_gold*G923,0))</f>
        <v/>
      </c>
      <c r="BT924" s="14">
        <f>F924*BS924*IF(B924&gt;=in_marketplace_from,d_hz_loan_gold*G924,0)*in_loan_gold_ticket*in_loan_gold_comm</f>
        <v/>
      </c>
      <c r="BU924" s="40">
        <f>BU923*(1-IF(B923&gt;=in_marketplace_from,d_hz_loan_cd*G923,0))</f>
        <v/>
      </c>
      <c r="BV924" s="14">
        <f>F924*BU924*IF(B924&gt;=in_marketplace_from,d_hz_loan_cd*G924,0)*in_loan_cd_ticket*in_loan_cd_comm</f>
        <v/>
      </c>
      <c r="BW924" s="40">
        <f>BW923*(1-IF(B923&gt;=in_marketplace_from,d_hz_loan_vehicle*G923,0))</f>
        <v/>
      </c>
      <c r="BX924" s="14">
        <f>F924*BW924*IF(B924&gt;=in_marketplace_from,d_hz_loan_vehicle*G924,0)*in_loan_vehicle_ticket*in_loan_vehicle_comm</f>
        <v/>
      </c>
      <c r="BY924" s="40">
        <f>BY923*(1-IF(B923&gt;=in_marketplace_from,d_hz_loan_home*G923,0)*BZ923)</f>
        <v/>
      </c>
      <c r="BZ924" s="11">
        <f>MIN(in_approval_cap,in_loan_home_approval*INDEX('Age profile'!$O$2:$O$61,B924)*(1+in_approval_growth)^(D924-1))</f>
        <v/>
      </c>
      <c r="CA924" s="14">
        <f>F924*BY924*IF(B924&gt;=in_marketplace_from,d_hz_loan_home*G924,0)*BZ924*in_loan_home_ticket*in_loan_home_comm</f>
        <v/>
      </c>
      <c r="CB924" s="40">
        <f>CB923*(1-IF(B923&gt;=in_marketplace_from,d_hz_loan_lap*G923,0)*CC923)</f>
        <v/>
      </c>
      <c r="CC924" s="11">
        <f>MIN(in_approval_cap,in_loan_lap_approval*INDEX('Age profile'!$O$2:$O$61,B924)*(1+in_approval_growth)^(D924-1))</f>
        <v/>
      </c>
      <c r="CD924" s="14">
        <f>F924*CB924*IF(B924&gt;=in_marketplace_from,d_hz_loan_lap*G924,0)*CC924*in_loan_lap_ticket*in_loan_lap_comm</f>
        <v/>
      </c>
      <c r="CE924" s="14">
        <f>AA924+AB924+AC924+AD924+AG924+AJ924+AM924+AP924+AS924+AU924+AX924+BB924+BE924+BG924+BJ924+BL924+BO924+BR924+BT924+BV924+BX924+CA924+CD924</f>
        <v/>
      </c>
    </row>
    <row r="925">
      <c r="A925" s="39" t="n">
        <v>18</v>
      </c>
      <c r="B925" s="39" t="n">
        <v>40</v>
      </c>
      <c r="C925" s="39">
        <f>A925+B925-1</f>
        <v/>
      </c>
      <c r="D925" s="39">
        <f>INT((C925-1)/12)+1</f>
        <v/>
      </c>
      <c r="E925" s="44">
        <f>INDEX(Monthly!$B$2:$B$61,A925)</f>
        <v/>
      </c>
      <c r="F925" s="44">
        <f>E925*INDEX('Age profile'!$B$2:$B$61,B925)</f>
        <v/>
      </c>
      <c r="G925" s="45">
        <f>MIN(in_takeup_cap,INDEX('Age profile'!$N$2:$N$61,B925)*(1+in_takeup_growth)^(D925-1))</f>
        <v/>
      </c>
      <c r="H925" s="11">
        <f>MIN(in_approval_cap,in_approved_first*INDEX('Age profile'!$O$2:$O$61,B925)*(1+in_approval_growth)^(D925-1))</f>
        <v/>
      </c>
      <c r="I925" s="45">
        <f>G925*MIN(in_takeup_cap,INDEX('Age profile'!$O$2:$O$61,B925)*(1+in_approval_growth)^(D925-1))</f>
        <v/>
      </c>
      <c r="J925" s="40">
        <f>(J924-L924)*F925/F924</f>
        <v/>
      </c>
      <c r="K925" s="40">
        <f>(K924-M924)*F925/F924+SUMIFS(O886:O924,B886:B924,B925-1-d_T)*F925</f>
        <v/>
      </c>
      <c r="L925" s="40">
        <f>IF(B925&gt;=in_marketplace_from,J925*d_hz*G925*in_eligible*H925,0)</f>
        <v/>
      </c>
      <c r="M925" s="40">
        <f>IF(B925&gt;=in_marketplace_from,K925*d_hz*G925*in_eligible*in_approved_repeat,0)</f>
        <v/>
      </c>
      <c r="N925" s="40">
        <f>L925+M925</f>
        <v/>
      </c>
      <c r="O925" s="46">
        <f>N925/F925</f>
        <v/>
      </c>
      <c r="P925" s="40">
        <f>F925-J925-K925</f>
        <v/>
      </c>
      <c r="Q925" s="40">
        <f>IF(B925&gt;=in_marketplace_from,(J925+K925)*d_hz*G925,0)</f>
        <v/>
      </c>
      <c r="R925" s="40">
        <f>SUMIFS(N886:N928,B886:B928,"&gt;="&amp;(B925-d_T),B886:B928,"&lt;="&amp;(B925-1))</f>
        <v/>
      </c>
      <c r="S925" s="46">
        <f>(1-d_u)*S924+IF(d_T&gt;in_topup_lag,SUMIFS(O886:O928,B886:B928,B925-in_topup_lag)-d_udrop*SUMIFS(O886:O928,B886:B928,B925-d_T),0)</f>
        <v/>
      </c>
      <c r="T925" s="40">
        <f>F925*d_u*S925</f>
        <v/>
      </c>
      <c r="U925" s="9">
        <f>L925*in_ticket+M925*d_rep_ticket</f>
        <v/>
      </c>
      <c r="V925" s="9">
        <f>U925+T925*d_topup_amt</f>
        <v/>
      </c>
      <c r="W925" s="40">
        <f>N925+T925*d_topup_ratio</f>
        <v/>
      </c>
      <c r="X925" s="40">
        <f>SUMIFS(W886:W928,B886:B928,B925-in_dpd_lag)*d_cured</f>
        <v/>
      </c>
      <c r="Y925" s="40">
        <f>SUMIFS(W886:W928,B886:B928,B925-in_rec_lag)*d_recd</f>
        <v/>
      </c>
      <c r="Z925" s="40">
        <f>IF(AND(B925&gt;=in_marketplace_from,B925&lt;in_marketplace_from+in_card_months),in_card_share/in_card_months*F925*I925,IF(AND(B925&gt;=in_marketplace_from+in_card_months,B925&lt;in_marketplace_from+2*in_card_months),in_card_share*d_card_rem/in_card_months*F925*MIN(in_takeup_cap,(1+in_takeup_growth)^(D925-1))*MIN(in_takeup_cap,(1+in_approval_growth)^(D925-1)),0))</f>
        <v/>
      </c>
      <c r="AA925" s="14">
        <f>V925*in_fee*(1-in_taken_back)</f>
        <v/>
      </c>
      <c r="AB925" s="14">
        <f>SUMIFS(W886:W928,B886:B928,B925-in_dpd_lag)*d_dpd</f>
        <v/>
      </c>
      <c r="AC925" s="14">
        <f>SUMIFS(W886:W928,B886:B928,B925-in_rec_lag)*d_rec</f>
        <v/>
      </c>
      <c r="AD925" s="14">
        <f>Z925*in_card_fee</f>
        <v/>
      </c>
      <c r="AE925" s="40">
        <f>AE924*(1-IF(B924&gt;=in_marketplace_from,d_hz_hlth_small*G924,0))</f>
        <v/>
      </c>
      <c r="AF925" s="46">
        <f>AE925*IF(B925&gt;=in_marketplace_from,d_hz_hlth_small*G925,0)</f>
        <v/>
      </c>
      <c r="AG925" s="14">
        <f>F925*AF925*in_hlth_small_ticket*in_hlth_small_comm*in_ins_partner_share+F925*in_hlth_small_ticket*in_hlth_small_renew_comm*in_ins_partner_share*(in_hlth_small_renew^1*SUMIFS(AF886:AF928,B886:B928,B925-12)+in_hlth_small_renew^2*SUMIFS(AF886:AF928,B886:B928,B925-24)+in_hlth_small_renew^3*SUMIFS(AF886:AF928,B886:B928,B925-36)+in_hlth_small_renew^4*SUMIFS(AF886:AF928,B886:B928,B925-48))</f>
        <v/>
      </c>
      <c r="AH925" s="40">
        <f>AH924*(1-IF(B924&gt;=in_marketplace_from,d_hz_hlth_family*G924,0))</f>
        <v/>
      </c>
      <c r="AI925" s="46">
        <f>AH925*IF(B925&gt;=in_marketplace_from,d_hz_hlth_family*G925,0)</f>
        <v/>
      </c>
      <c r="AJ925" s="14">
        <f>F925*AI925*in_hlth_family_ticket*in_hlth_family_comm*in_ins_partner_share+F925*in_hlth_family_ticket*in_hlth_family_renew_comm*in_ins_partner_share*(in_hlth_family_renew^1*SUMIFS(AI886:AI928,B886:B928,B925-12)+in_hlth_family_renew^2*SUMIFS(AI886:AI928,B886:B928,B925-24)+in_hlth_family_renew^3*SUMIFS(AI886:AI928,B886:B928,B925-36)+in_hlth_family_renew^4*SUMIFS(AI886:AI928,B886:B928,B925-48))</f>
        <v/>
      </c>
      <c r="AK925" s="40">
        <f>AK924*(1-IF(B924&gt;=in_marketplace_from,d_hz_life_term*G924,0))</f>
        <v/>
      </c>
      <c r="AL925" s="46">
        <f>AK925*IF(B925&gt;=in_marketplace_from,d_hz_life_term*G925,0)</f>
        <v/>
      </c>
      <c r="AM925" s="14">
        <f>F925*AL925*in_life_term_ticket*in_life_term_comm*in_ins_partner_share+F925*in_life_term_ticket*in_life_term_renew_comm*in_ins_partner_share*(in_life_term_renew^1*SUMIFS(AL886:AL928,B886:B928,B925-12)+in_life_term_renew^2*SUMIFS(AL886:AL928,B886:B928,B925-24)+in_life_term_renew^3*SUMIFS(AL886:AL928,B886:B928,B925-36)+in_life_term_renew^4*SUMIFS(AL886:AL928,B886:B928,B925-48))</f>
        <v/>
      </c>
      <c r="AN925" s="40">
        <f>AN924*(1-IF(B924&gt;=in_marketplace_from,d_hz_accident*G924,0))</f>
        <v/>
      </c>
      <c r="AO925" s="46">
        <f>AN925*IF(B925&gt;=in_marketplace_from,d_hz_accident*G925,0)</f>
        <v/>
      </c>
      <c r="AP925" s="14">
        <f>F925*AO925*in_accident_ticket*in_accident_comm*in_ins_partner_share+F925*in_accident_ticket*in_accident_renew_comm*in_ins_partner_share*(in_accident_renew^1*SUMIFS(AO886:AO928,B886:B928,B925-12)+in_accident_renew^2*SUMIFS(AO886:AO928,B886:B928,B925-24)+in_accident_renew^3*SUMIFS(AO886:AO928,B886:B928,B925-36)+in_accident_renew^4*SUMIFS(AO886:AO928,B886:B928,B925-48))</f>
        <v/>
      </c>
      <c r="AQ925" s="40">
        <f>AQ924*(1-IF(B924&gt;=in_marketplace_from,d_hz_two_wheeler*G924,0))</f>
        <v/>
      </c>
      <c r="AR925" s="46">
        <f>AQ925*IF(B925&gt;=in_marketplace_from,d_hz_two_wheeler*G925,0)</f>
        <v/>
      </c>
      <c r="AS925" s="14">
        <f>F925*AR925*in_two_wheeler_ticket*in_two_wheeler_comm*in_ins_partner_share+F925*in_two_wheeler_ticket*in_two_wheeler_comm*in_ins_partner_share*(in_two_wheeler_renew^1*SUMIFS(AR886:AR928,B886:B928,B925-12)+in_two_wheeler_renew^2*SUMIFS(AR886:AR928,B886:B928,B925-24)+in_two_wheeler_renew^3*SUMIFS(AR886:AR928,B886:B928,B925-36)+in_two_wheeler_renew^4*SUMIFS(AR886:AR928,B886:B928,B925-48))</f>
        <v/>
      </c>
      <c r="AT925" s="40">
        <f>AT924*(1-IF(B924&gt;=in_marketplace_from,d_hz_device*G924,0))</f>
        <v/>
      </c>
      <c r="AU925" s="14">
        <f>F925*AT925*IF(B925&gt;=in_marketplace_from,d_hz_device*G925,0)*in_device_ticket*in_device_comm*in_ins_partner_share</f>
        <v/>
      </c>
      <c r="AV925" s="40">
        <f>AV924*(1-IF(B924&gt;=in_marketplace_from,d_hz_shop*G924,0))</f>
        <v/>
      </c>
      <c r="AW925" s="46">
        <f>AV925*IF(B925&gt;=in_marketplace_from,d_hz_shop*G925,0)</f>
        <v/>
      </c>
      <c r="AX925" s="14">
        <f>F925*AW925*in_shop_ticket*in_shop_comm*in_ins_partner_share+F925*in_shop_ticket*in_shop_renew_comm*in_ins_partner_share*(in_shop_renew^1*SUMIFS(AW886:AW928,B886:B928,B925-12)+in_shop_renew^2*SUMIFS(AW886:AW928,B886:B928,B925-24)+in_shop_renew^3*SUMIFS(AW886:AW928,B886:B928,B925-36)+in_shop_renew^4*SUMIFS(AW886:AW928,B886:B928,B925-48))</f>
        <v/>
      </c>
      <c r="AY925" s="40">
        <f>AY924*(1-IF(B924&gt;=in_marketplace_from,d_hz_sip*G924,0))</f>
        <v/>
      </c>
      <c r="AZ925" s="40">
        <f>AZ924*d_rho_sip+AY925*IF(B925&gt;=in_marketplace_from,d_hz_sip*G925,0)</f>
        <v/>
      </c>
      <c r="BA925" s="40">
        <f>d_rho_sip*(BA924+AZ924)</f>
        <v/>
      </c>
      <c r="BB925" s="14">
        <f>F925*in_sip_ticket*(BA925+0.5*AZ925)*in_sip_comm/12</f>
        <v/>
      </c>
      <c r="BC925" s="40">
        <f>BC924*(1-IF(B924&gt;=in_marketplace_from,d_hz_choti*G924,0))</f>
        <v/>
      </c>
      <c r="BD925" s="46">
        <f>BC925*IF(B925&gt;=in_marketplace_from,d_hz_choti*G925,0)</f>
        <v/>
      </c>
      <c r="BE925" s="14">
        <f>F925*SUMIFS(BD886:BD928,B886:B928,B925-in_choti_months)*in_choti_renew*in_choti_ticket</f>
        <v/>
      </c>
      <c r="BF925" s="40">
        <f>BF924*(1-IF(B924&gt;=in_marketplace_from,d_hz_nps*G924,0))</f>
        <v/>
      </c>
      <c r="BG925" s="14">
        <f>F925*BF925*IF(B925&gt;=in_marketplace_from,d_hz_nps*G925,0)*in_nps_ticket*in_nps_comm</f>
        <v/>
      </c>
      <c r="BH925" s="40">
        <f>BH924*(1-IF(B924&gt;=in_marketplace_from,d_hz_gold*G924,0))</f>
        <v/>
      </c>
      <c r="BI925" s="40">
        <f>BI924*d_rho_gold+BH925*IF(B925&gt;=in_marketplace_from,d_hz_gold*G925,0)</f>
        <v/>
      </c>
      <c r="BJ925" s="14">
        <f>F925*BI925*in_gold_ticket*in_gold_comm</f>
        <v/>
      </c>
      <c r="BK925" s="40">
        <f>BK924*(1-IF(B924&gt;=in_marketplace_from,d_hz_fd*G924,0))</f>
        <v/>
      </c>
      <c r="BL925" s="14">
        <f>F925*BK925*IF(B925&gt;=in_marketplace_from,d_hz_fd*G925,0)*in_fd_ticket*in_fd_comm</f>
        <v/>
      </c>
      <c r="BM925" s="40">
        <f>BM924*(1-IF(B924&gt;=in_marketplace_from,d_hz_recharge*G924,0))</f>
        <v/>
      </c>
      <c r="BN925" s="40">
        <f>BN924*d_rho_recharge+BM925*IF(B925&gt;=in_marketplace_from,d_hz_recharge*G925,0)</f>
        <v/>
      </c>
      <c r="BO925" s="14">
        <f>F925*BN925*in_recharge_ticket*in_recharge_comm/12</f>
        <v/>
      </c>
      <c r="BP925" s="40">
        <f>BP924*(1-IF(B924&gt;=in_marketplace_from,d_hz_bills*G924,0))</f>
        <v/>
      </c>
      <c r="BQ925" s="40">
        <f>BQ924*d_rho_bills+BP925*IF(B925&gt;=in_marketplace_from,d_hz_bills*G925,0)</f>
        <v/>
      </c>
      <c r="BR925" s="14">
        <f>F925*BQ925*in_bills_ticket*in_bills_comm/12</f>
        <v/>
      </c>
      <c r="BS925" s="40">
        <f>BS924*(1-IF(B924&gt;=in_marketplace_from,d_hz_loan_gold*G924,0))</f>
        <v/>
      </c>
      <c r="BT925" s="14">
        <f>F925*BS925*IF(B925&gt;=in_marketplace_from,d_hz_loan_gold*G925,0)*in_loan_gold_ticket*in_loan_gold_comm</f>
        <v/>
      </c>
      <c r="BU925" s="40">
        <f>BU924*(1-IF(B924&gt;=in_marketplace_from,d_hz_loan_cd*G924,0))</f>
        <v/>
      </c>
      <c r="BV925" s="14">
        <f>F925*BU925*IF(B925&gt;=in_marketplace_from,d_hz_loan_cd*G925,0)*in_loan_cd_ticket*in_loan_cd_comm</f>
        <v/>
      </c>
      <c r="BW925" s="40">
        <f>BW924*(1-IF(B924&gt;=in_marketplace_from,d_hz_loan_vehicle*G924,0))</f>
        <v/>
      </c>
      <c r="BX925" s="14">
        <f>F925*BW925*IF(B925&gt;=in_marketplace_from,d_hz_loan_vehicle*G925,0)*in_loan_vehicle_ticket*in_loan_vehicle_comm</f>
        <v/>
      </c>
      <c r="BY925" s="40">
        <f>BY924*(1-IF(B924&gt;=in_marketplace_from,d_hz_loan_home*G924,0)*BZ924)</f>
        <v/>
      </c>
      <c r="BZ925" s="11">
        <f>MIN(in_approval_cap,in_loan_home_approval*INDEX('Age profile'!$O$2:$O$61,B925)*(1+in_approval_growth)^(D925-1))</f>
        <v/>
      </c>
      <c r="CA925" s="14">
        <f>F925*BY925*IF(B925&gt;=in_marketplace_from,d_hz_loan_home*G925,0)*BZ925*in_loan_home_ticket*in_loan_home_comm</f>
        <v/>
      </c>
      <c r="CB925" s="40">
        <f>CB924*(1-IF(B924&gt;=in_marketplace_from,d_hz_loan_lap*G924,0)*CC924)</f>
        <v/>
      </c>
      <c r="CC925" s="11">
        <f>MIN(in_approval_cap,in_loan_lap_approval*INDEX('Age profile'!$O$2:$O$61,B925)*(1+in_approval_growth)^(D925-1))</f>
        <v/>
      </c>
      <c r="CD925" s="14">
        <f>F925*CB925*IF(B925&gt;=in_marketplace_from,d_hz_loan_lap*G925,0)*CC925*in_loan_lap_ticket*in_loan_lap_comm</f>
        <v/>
      </c>
      <c r="CE925" s="14">
        <f>AA925+AB925+AC925+AD925+AG925+AJ925+AM925+AP925+AS925+AU925+AX925+BB925+BE925+BG925+BJ925+BL925+BO925+BR925+BT925+BV925+BX925+CA925+CD925</f>
        <v/>
      </c>
    </row>
    <row r="926">
      <c r="A926" s="39" t="n">
        <v>18</v>
      </c>
      <c r="B926" s="39" t="n">
        <v>41</v>
      </c>
      <c r="C926" s="39">
        <f>A926+B926-1</f>
        <v/>
      </c>
      <c r="D926" s="39">
        <f>INT((C926-1)/12)+1</f>
        <v/>
      </c>
      <c r="E926" s="44">
        <f>INDEX(Monthly!$B$2:$B$61,A926)</f>
        <v/>
      </c>
      <c r="F926" s="44">
        <f>E926*INDEX('Age profile'!$B$2:$B$61,B926)</f>
        <v/>
      </c>
      <c r="G926" s="45">
        <f>MIN(in_takeup_cap,INDEX('Age profile'!$N$2:$N$61,B926)*(1+in_takeup_growth)^(D926-1))</f>
        <v/>
      </c>
      <c r="H926" s="11">
        <f>MIN(in_approval_cap,in_approved_first*INDEX('Age profile'!$O$2:$O$61,B926)*(1+in_approval_growth)^(D926-1))</f>
        <v/>
      </c>
      <c r="I926" s="45">
        <f>G926*MIN(in_takeup_cap,INDEX('Age profile'!$O$2:$O$61,B926)*(1+in_approval_growth)^(D926-1))</f>
        <v/>
      </c>
      <c r="J926" s="40">
        <f>(J925-L925)*F926/F925</f>
        <v/>
      </c>
      <c r="K926" s="40">
        <f>(K925-M925)*F926/F925+SUMIFS(O886:O925,B886:B925,B926-1-d_T)*F926</f>
        <v/>
      </c>
      <c r="L926" s="40">
        <f>IF(B926&gt;=in_marketplace_from,J926*d_hz*G926*in_eligible*H926,0)</f>
        <v/>
      </c>
      <c r="M926" s="40">
        <f>IF(B926&gt;=in_marketplace_from,K926*d_hz*G926*in_eligible*in_approved_repeat,0)</f>
        <v/>
      </c>
      <c r="N926" s="40">
        <f>L926+M926</f>
        <v/>
      </c>
      <c r="O926" s="46">
        <f>N926/F926</f>
        <v/>
      </c>
      <c r="P926" s="40">
        <f>F926-J926-K926</f>
        <v/>
      </c>
      <c r="Q926" s="40">
        <f>IF(B926&gt;=in_marketplace_from,(J926+K926)*d_hz*G926,0)</f>
        <v/>
      </c>
      <c r="R926" s="40">
        <f>SUMIFS(N886:N928,B886:B928,"&gt;="&amp;(B926-d_T),B886:B928,"&lt;="&amp;(B926-1))</f>
        <v/>
      </c>
      <c r="S926" s="46">
        <f>(1-d_u)*S925+IF(d_T&gt;in_topup_lag,SUMIFS(O886:O928,B886:B928,B926-in_topup_lag)-d_udrop*SUMIFS(O886:O928,B886:B928,B926-d_T),0)</f>
        <v/>
      </c>
      <c r="T926" s="40">
        <f>F926*d_u*S926</f>
        <v/>
      </c>
      <c r="U926" s="9">
        <f>L926*in_ticket+M926*d_rep_ticket</f>
        <v/>
      </c>
      <c r="V926" s="9">
        <f>U926+T926*d_topup_amt</f>
        <v/>
      </c>
      <c r="W926" s="40">
        <f>N926+T926*d_topup_ratio</f>
        <v/>
      </c>
      <c r="X926" s="40">
        <f>SUMIFS(W886:W928,B886:B928,B926-in_dpd_lag)*d_cured</f>
        <v/>
      </c>
      <c r="Y926" s="40">
        <f>SUMIFS(W886:W928,B886:B928,B926-in_rec_lag)*d_recd</f>
        <v/>
      </c>
      <c r="Z926" s="40">
        <f>IF(AND(B926&gt;=in_marketplace_from,B926&lt;in_marketplace_from+in_card_months),in_card_share/in_card_months*F926*I926,IF(AND(B926&gt;=in_marketplace_from+in_card_months,B926&lt;in_marketplace_from+2*in_card_months),in_card_share*d_card_rem/in_card_months*F926*MIN(in_takeup_cap,(1+in_takeup_growth)^(D926-1))*MIN(in_takeup_cap,(1+in_approval_growth)^(D926-1)),0))</f>
        <v/>
      </c>
      <c r="AA926" s="14">
        <f>V926*in_fee*(1-in_taken_back)</f>
        <v/>
      </c>
      <c r="AB926" s="14">
        <f>SUMIFS(W886:W928,B886:B928,B926-in_dpd_lag)*d_dpd</f>
        <v/>
      </c>
      <c r="AC926" s="14">
        <f>SUMIFS(W886:W928,B886:B928,B926-in_rec_lag)*d_rec</f>
        <v/>
      </c>
      <c r="AD926" s="14">
        <f>Z926*in_card_fee</f>
        <v/>
      </c>
      <c r="AE926" s="40">
        <f>AE925*(1-IF(B925&gt;=in_marketplace_from,d_hz_hlth_small*G925,0))</f>
        <v/>
      </c>
      <c r="AF926" s="46">
        <f>AE926*IF(B926&gt;=in_marketplace_from,d_hz_hlth_small*G926,0)</f>
        <v/>
      </c>
      <c r="AG926" s="14">
        <f>F926*AF926*in_hlth_small_ticket*in_hlth_small_comm*in_ins_partner_share+F926*in_hlth_small_ticket*in_hlth_small_renew_comm*in_ins_partner_share*(in_hlth_small_renew^1*SUMIFS(AF886:AF928,B886:B928,B926-12)+in_hlth_small_renew^2*SUMIFS(AF886:AF928,B886:B928,B926-24)+in_hlth_small_renew^3*SUMIFS(AF886:AF928,B886:B928,B926-36)+in_hlth_small_renew^4*SUMIFS(AF886:AF928,B886:B928,B926-48))</f>
        <v/>
      </c>
      <c r="AH926" s="40">
        <f>AH925*(1-IF(B925&gt;=in_marketplace_from,d_hz_hlth_family*G925,0))</f>
        <v/>
      </c>
      <c r="AI926" s="46">
        <f>AH926*IF(B926&gt;=in_marketplace_from,d_hz_hlth_family*G926,0)</f>
        <v/>
      </c>
      <c r="AJ926" s="14">
        <f>F926*AI926*in_hlth_family_ticket*in_hlth_family_comm*in_ins_partner_share+F926*in_hlth_family_ticket*in_hlth_family_renew_comm*in_ins_partner_share*(in_hlth_family_renew^1*SUMIFS(AI886:AI928,B886:B928,B926-12)+in_hlth_family_renew^2*SUMIFS(AI886:AI928,B886:B928,B926-24)+in_hlth_family_renew^3*SUMIFS(AI886:AI928,B886:B928,B926-36)+in_hlth_family_renew^4*SUMIFS(AI886:AI928,B886:B928,B926-48))</f>
        <v/>
      </c>
      <c r="AK926" s="40">
        <f>AK925*(1-IF(B925&gt;=in_marketplace_from,d_hz_life_term*G925,0))</f>
        <v/>
      </c>
      <c r="AL926" s="46">
        <f>AK926*IF(B926&gt;=in_marketplace_from,d_hz_life_term*G926,0)</f>
        <v/>
      </c>
      <c r="AM926" s="14">
        <f>F926*AL926*in_life_term_ticket*in_life_term_comm*in_ins_partner_share+F926*in_life_term_ticket*in_life_term_renew_comm*in_ins_partner_share*(in_life_term_renew^1*SUMIFS(AL886:AL928,B886:B928,B926-12)+in_life_term_renew^2*SUMIFS(AL886:AL928,B886:B928,B926-24)+in_life_term_renew^3*SUMIFS(AL886:AL928,B886:B928,B926-36)+in_life_term_renew^4*SUMIFS(AL886:AL928,B886:B928,B926-48))</f>
        <v/>
      </c>
      <c r="AN926" s="40">
        <f>AN925*(1-IF(B925&gt;=in_marketplace_from,d_hz_accident*G925,0))</f>
        <v/>
      </c>
      <c r="AO926" s="46">
        <f>AN926*IF(B926&gt;=in_marketplace_from,d_hz_accident*G926,0)</f>
        <v/>
      </c>
      <c r="AP926" s="14">
        <f>F926*AO926*in_accident_ticket*in_accident_comm*in_ins_partner_share+F926*in_accident_ticket*in_accident_renew_comm*in_ins_partner_share*(in_accident_renew^1*SUMIFS(AO886:AO928,B886:B928,B926-12)+in_accident_renew^2*SUMIFS(AO886:AO928,B886:B928,B926-24)+in_accident_renew^3*SUMIFS(AO886:AO928,B886:B928,B926-36)+in_accident_renew^4*SUMIFS(AO886:AO928,B886:B928,B926-48))</f>
        <v/>
      </c>
      <c r="AQ926" s="40">
        <f>AQ925*(1-IF(B925&gt;=in_marketplace_from,d_hz_two_wheeler*G925,0))</f>
        <v/>
      </c>
      <c r="AR926" s="46">
        <f>AQ926*IF(B926&gt;=in_marketplace_from,d_hz_two_wheeler*G926,0)</f>
        <v/>
      </c>
      <c r="AS926" s="14">
        <f>F926*AR926*in_two_wheeler_ticket*in_two_wheeler_comm*in_ins_partner_share+F926*in_two_wheeler_ticket*in_two_wheeler_comm*in_ins_partner_share*(in_two_wheeler_renew^1*SUMIFS(AR886:AR928,B886:B928,B926-12)+in_two_wheeler_renew^2*SUMIFS(AR886:AR928,B886:B928,B926-24)+in_two_wheeler_renew^3*SUMIFS(AR886:AR928,B886:B928,B926-36)+in_two_wheeler_renew^4*SUMIFS(AR886:AR928,B886:B928,B926-48))</f>
        <v/>
      </c>
      <c r="AT926" s="40">
        <f>AT925*(1-IF(B925&gt;=in_marketplace_from,d_hz_device*G925,0))</f>
        <v/>
      </c>
      <c r="AU926" s="14">
        <f>F926*AT926*IF(B926&gt;=in_marketplace_from,d_hz_device*G926,0)*in_device_ticket*in_device_comm*in_ins_partner_share</f>
        <v/>
      </c>
      <c r="AV926" s="40">
        <f>AV925*(1-IF(B925&gt;=in_marketplace_from,d_hz_shop*G925,0))</f>
        <v/>
      </c>
      <c r="AW926" s="46">
        <f>AV926*IF(B926&gt;=in_marketplace_from,d_hz_shop*G926,0)</f>
        <v/>
      </c>
      <c r="AX926" s="14">
        <f>F926*AW926*in_shop_ticket*in_shop_comm*in_ins_partner_share+F926*in_shop_ticket*in_shop_renew_comm*in_ins_partner_share*(in_shop_renew^1*SUMIFS(AW886:AW928,B886:B928,B926-12)+in_shop_renew^2*SUMIFS(AW886:AW928,B886:B928,B926-24)+in_shop_renew^3*SUMIFS(AW886:AW928,B886:B928,B926-36)+in_shop_renew^4*SUMIFS(AW886:AW928,B886:B928,B926-48))</f>
        <v/>
      </c>
      <c r="AY926" s="40">
        <f>AY925*(1-IF(B925&gt;=in_marketplace_from,d_hz_sip*G925,0))</f>
        <v/>
      </c>
      <c r="AZ926" s="40">
        <f>AZ925*d_rho_sip+AY926*IF(B926&gt;=in_marketplace_from,d_hz_sip*G926,0)</f>
        <v/>
      </c>
      <c r="BA926" s="40">
        <f>d_rho_sip*(BA925+AZ925)</f>
        <v/>
      </c>
      <c r="BB926" s="14">
        <f>F926*in_sip_ticket*(BA926+0.5*AZ926)*in_sip_comm/12</f>
        <v/>
      </c>
      <c r="BC926" s="40">
        <f>BC925*(1-IF(B925&gt;=in_marketplace_from,d_hz_choti*G925,0))</f>
        <v/>
      </c>
      <c r="BD926" s="46">
        <f>BC926*IF(B926&gt;=in_marketplace_from,d_hz_choti*G926,0)</f>
        <v/>
      </c>
      <c r="BE926" s="14">
        <f>F926*SUMIFS(BD886:BD928,B886:B928,B926-in_choti_months)*in_choti_renew*in_choti_ticket</f>
        <v/>
      </c>
      <c r="BF926" s="40">
        <f>BF925*(1-IF(B925&gt;=in_marketplace_from,d_hz_nps*G925,0))</f>
        <v/>
      </c>
      <c r="BG926" s="14">
        <f>F926*BF926*IF(B926&gt;=in_marketplace_from,d_hz_nps*G926,0)*in_nps_ticket*in_nps_comm</f>
        <v/>
      </c>
      <c r="BH926" s="40">
        <f>BH925*(1-IF(B925&gt;=in_marketplace_from,d_hz_gold*G925,0))</f>
        <v/>
      </c>
      <c r="BI926" s="40">
        <f>BI925*d_rho_gold+BH926*IF(B926&gt;=in_marketplace_from,d_hz_gold*G926,0)</f>
        <v/>
      </c>
      <c r="BJ926" s="14">
        <f>F926*BI926*in_gold_ticket*in_gold_comm</f>
        <v/>
      </c>
      <c r="BK926" s="40">
        <f>BK925*(1-IF(B925&gt;=in_marketplace_from,d_hz_fd*G925,0))</f>
        <v/>
      </c>
      <c r="BL926" s="14">
        <f>F926*BK926*IF(B926&gt;=in_marketplace_from,d_hz_fd*G926,0)*in_fd_ticket*in_fd_comm</f>
        <v/>
      </c>
      <c r="BM926" s="40">
        <f>BM925*(1-IF(B925&gt;=in_marketplace_from,d_hz_recharge*G925,0))</f>
        <v/>
      </c>
      <c r="BN926" s="40">
        <f>BN925*d_rho_recharge+BM926*IF(B926&gt;=in_marketplace_from,d_hz_recharge*G926,0)</f>
        <v/>
      </c>
      <c r="BO926" s="14">
        <f>F926*BN926*in_recharge_ticket*in_recharge_comm/12</f>
        <v/>
      </c>
      <c r="BP926" s="40">
        <f>BP925*(1-IF(B925&gt;=in_marketplace_from,d_hz_bills*G925,0))</f>
        <v/>
      </c>
      <c r="BQ926" s="40">
        <f>BQ925*d_rho_bills+BP926*IF(B926&gt;=in_marketplace_from,d_hz_bills*G926,0)</f>
        <v/>
      </c>
      <c r="BR926" s="14">
        <f>F926*BQ926*in_bills_ticket*in_bills_comm/12</f>
        <v/>
      </c>
      <c r="BS926" s="40">
        <f>BS925*(1-IF(B925&gt;=in_marketplace_from,d_hz_loan_gold*G925,0))</f>
        <v/>
      </c>
      <c r="BT926" s="14">
        <f>F926*BS926*IF(B926&gt;=in_marketplace_from,d_hz_loan_gold*G926,0)*in_loan_gold_ticket*in_loan_gold_comm</f>
        <v/>
      </c>
      <c r="BU926" s="40">
        <f>BU925*(1-IF(B925&gt;=in_marketplace_from,d_hz_loan_cd*G925,0))</f>
        <v/>
      </c>
      <c r="BV926" s="14">
        <f>F926*BU926*IF(B926&gt;=in_marketplace_from,d_hz_loan_cd*G926,0)*in_loan_cd_ticket*in_loan_cd_comm</f>
        <v/>
      </c>
      <c r="BW926" s="40">
        <f>BW925*(1-IF(B925&gt;=in_marketplace_from,d_hz_loan_vehicle*G925,0))</f>
        <v/>
      </c>
      <c r="BX926" s="14">
        <f>F926*BW926*IF(B926&gt;=in_marketplace_from,d_hz_loan_vehicle*G926,0)*in_loan_vehicle_ticket*in_loan_vehicle_comm</f>
        <v/>
      </c>
      <c r="BY926" s="40">
        <f>BY925*(1-IF(B925&gt;=in_marketplace_from,d_hz_loan_home*G925,0)*BZ925)</f>
        <v/>
      </c>
      <c r="BZ926" s="11">
        <f>MIN(in_approval_cap,in_loan_home_approval*INDEX('Age profile'!$O$2:$O$61,B926)*(1+in_approval_growth)^(D926-1))</f>
        <v/>
      </c>
      <c r="CA926" s="14">
        <f>F926*BY926*IF(B926&gt;=in_marketplace_from,d_hz_loan_home*G926,0)*BZ926*in_loan_home_ticket*in_loan_home_comm</f>
        <v/>
      </c>
      <c r="CB926" s="40">
        <f>CB925*(1-IF(B925&gt;=in_marketplace_from,d_hz_loan_lap*G925,0)*CC925)</f>
        <v/>
      </c>
      <c r="CC926" s="11">
        <f>MIN(in_approval_cap,in_loan_lap_approval*INDEX('Age profile'!$O$2:$O$61,B926)*(1+in_approval_growth)^(D926-1))</f>
        <v/>
      </c>
      <c r="CD926" s="14">
        <f>F926*CB926*IF(B926&gt;=in_marketplace_from,d_hz_loan_lap*G926,0)*CC926*in_loan_lap_ticket*in_loan_lap_comm</f>
        <v/>
      </c>
      <c r="CE926" s="14">
        <f>AA926+AB926+AC926+AD926+AG926+AJ926+AM926+AP926+AS926+AU926+AX926+BB926+BE926+BG926+BJ926+BL926+BO926+BR926+BT926+BV926+BX926+CA926+CD926</f>
        <v/>
      </c>
    </row>
    <row r="927">
      <c r="A927" s="39" t="n">
        <v>18</v>
      </c>
      <c r="B927" s="39" t="n">
        <v>42</v>
      </c>
      <c r="C927" s="39">
        <f>A927+B927-1</f>
        <v/>
      </c>
      <c r="D927" s="39">
        <f>INT((C927-1)/12)+1</f>
        <v/>
      </c>
      <c r="E927" s="44">
        <f>INDEX(Monthly!$B$2:$B$61,A927)</f>
        <v/>
      </c>
      <c r="F927" s="44">
        <f>E927*INDEX('Age profile'!$B$2:$B$61,B927)</f>
        <v/>
      </c>
      <c r="G927" s="45">
        <f>MIN(in_takeup_cap,INDEX('Age profile'!$N$2:$N$61,B927)*(1+in_takeup_growth)^(D927-1))</f>
        <v/>
      </c>
      <c r="H927" s="11">
        <f>MIN(in_approval_cap,in_approved_first*INDEX('Age profile'!$O$2:$O$61,B927)*(1+in_approval_growth)^(D927-1))</f>
        <v/>
      </c>
      <c r="I927" s="45">
        <f>G927*MIN(in_takeup_cap,INDEX('Age profile'!$O$2:$O$61,B927)*(1+in_approval_growth)^(D927-1))</f>
        <v/>
      </c>
      <c r="J927" s="40">
        <f>(J926-L926)*F927/F926</f>
        <v/>
      </c>
      <c r="K927" s="40">
        <f>(K926-M926)*F927/F926+SUMIFS(O886:O926,B886:B926,B927-1-d_T)*F927</f>
        <v/>
      </c>
      <c r="L927" s="40">
        <f>IF(B927&gt;=in_marketplace_from,J927*d_hz*G927*in_eligible*H927,0)</f>
        <v/>
      </c>
      <c r="M927" s="40">
        <f>IF(B927&gt;=in_marketplace_from,K927*d_hz*G927*in_eligible*in_approved_repeat,0)</f>
        <v/>
      </c>
      <c r="N927" s="40">
        <f>L927+M927</f>
        <v/>
      </c>
      <c r="O927" s="46">
        <f>N927/F927</f>
        <v/>
      </c>
      <c r="P927" s="40">
        <f>F927-J927-K927</f>
        <v/>
      </c>
      <c r="Q927" s="40">
        <f>IF(B927&gt;=in_marketplace_from,(J927+K927)*d_hz*G927,0)</f>
        <v/>
      </c>
      <c r="R927" s="40">
        <f>SUMIFS(N886:N928,B886:B928,"&gt;="&amp;(B927-d_T),B886:B928,"&lt;="&amp;(B927-1))</f>
        <v/>
      </c>
      <c r="S927" s="46">
        <f>(1-d_u)*S926+IF(d_T&gt;in_topup_lag,SUMIFS(O886:O928,B886:B928,B927-in_topup_lag)-d_udrop*SUMIFS(O886:O928,B886:B928,B927-d_T),0)</f>
        <v/>
      </c>
      <c r="T927" s="40">
        <f>F927*d_u*S927</f>
        <v/>
      </c>
      <c r="U927" s="9">
        <f>L927*in_ticket+M927*d_rep_ticket</f>
        <v/>
      </c>
      <c r="V927" s="9">
        <f>U927+T927*d_topup_amt</f>
        <v/>
      </c>
      <c r="W927" s="40">
        <f>N927+T927*d_topup_ratio</f>
        <v/>
      </c>
      <c r="X927" s="40">
        <f>SUMIFS(W886:W928,B886:B928,B927-in_dpd_lag)*d_cured</f>
        <v/>
      </c>
      <c r="Y927" s="40">
        <f>SUMIFS(W886:W928,B886:B928,B927-in_rec_lag)*d_recd</f>
        <v/>
      </c>
      <c r="Z927" s="40">
        <f>IF(AND(B927&gt;=in_marketplace_from,B927&lt;in_marketplace_from+in_card_months),in_card_share/in_card_months*F927*I927,IF(AND(B927&gt;=in_marketplace_from+in_card_months,B927&lt;in_marketplace_from+2*in_card_months),in_card_share*d_card_rem/in_card_months*F927*MIN(in_takeup_cap,(1+in_takeup_growth)^(D927-1))*MIN(in_takeup_cap,(1+in_approval_growth)^(D927-1)),0))</f>
        <v/>
      </c>
      <c r="AA927" s="14">
        <f>V927*in_fee*(1-in_taken_back)</f>
        <v/>
      </c>
      <c r="AB927" s="14">
        <f>SUMIFS(W886:W928,B886:B928,B927-in_dpd_lag)*d_dpd</f>
        <v/>
      </c>
      <c r="AC927" s="14">
        <f>SUMIFS(W886:W928,B886:B928,B927-in_rec_lag)*d_rec</f>
        <v/>
      </c>
      <c r="AD927" s="14">
        <f>Z927*in_card_fee</f>
        <v/>
      </c>
      <c r="AE927" s="40">
        <f>AE926*(1-IF(B926&gt;=in_marketplace_from,d_hz_hlth_small*G926,0))</f>
        <v/>
      </c>
      <c r="AF927" s="46">
        <f>AE927*IF(B927&gt;=in_marketplace_from,d_hz_hlth_small*G927,0)</f>
        <v/>
      </c>
      <c r="AG927" s="14">
        <f>F927*AF927*in_hlth_small_ticket*in_hlth_small_comm*in_ins_partner_share+F927*in_hlth_small_ticket*in_hlth_small_renew_comm*in_ins_partner_share*(in_hlth_small_renew^1*SUMIFS(AF886:AF928,B886:B928,B927-12)+in_hlth_small_renew^2*SUMIFS(AF886:AF928,B886:B928,B927-24)+in_hlth_small_renew^3*SUMIFS(AF886:AF928,B886:B928,B927-36)+in_hlth_small_renew^4*SUMIFS(AF886:AF928,B886:B928,B927-48))</f>
        <v/>
      </c>
      <c r="AH927" s="40">
        <f>AH926*(1-IF(B926&gt;=in_marketplace_from,d_hz_hlth_family*G926,0))</f>
        <v/>
      </c>
      <c r="AI927" s="46">
        <f>AH927*IF(B927&gt;=in_marketplace_from,d_hz_hlth_family*G927,0)</f>
        <v/>
      </c>
      <c r="AJ927" s="14">
        <f>F927*AI927*in_hlth_family_ticket*in_hlth_family_comm*in_ins_partner_share+F927*in_hlth_family_ticket*in_hlth_family_renew_comm*in_ins_partner_share*(in_hlth_family_renew^1*SUMIFS(AI886:AI928,B886:B928,B927-12)+in_hlth_family_renew^2*SUMIFS(AI886:AI928,B886:B928,B927-24)+in_hlth_family_renew^3*SUMIFS(AI886:AI928,B886:B928,B927-36)+in_hlth_family_renew^4*SUMIFS(AI886:AI928,B886:B928,B927-48))</f>
        <v/>
      </c>
      <c r="AK927" s="40">
        <f>AK926*(1-IF(B926&gt;=in_marketplace_from,d_hz_life_term*G926,0))</f>
        <v/>
      </c>
      <c r="AL927" s="46">
        <f>AK927*IF(B927&gt;=in_marketplace_from,d_hz_life_term*G927,0)</f>
        <v/>
      </c>
      <c r="AM927" s="14">
        <f>F927*AL927*in_life_term_ticket*in_life_term_comm*in_ins_partner_share+F927*in_life_term_ticket*in_life_term_renew_comm*in_ins_partner_share*(in_life_term_renew^1*SUMIFS(AL886:AL928,B886:B928,B927-12)+in_life_term_renew^2*SUMIFS(AL886:AL928,B886:B928,B927-24)+in_life_term_renew^3*SUMIFS(AL886:AL928,B886:B928,B927-36)+in_life_term_renew^4*SUMIFS(AL886:AL928,B886:B928,B927-48))</f>
        <v/>
      </c>
      <c r="AN927" s="40">
        <f>AN926*(1-IF(B926&gt;=in_marketplace_from,d_hz_accident*G926,0))</f>
        <v/>
      </c>
      <c r="AO927" s="46">
        <f>AN927*IF(B927&gt;=in_marketplace_from,d_hz_accident*G927,0)</f>
        <v/>
      </c>
      <c r="AP927" s="14">
        <f>F927*AO927*in_accident_ticket*in_accident_comm*in_ins_partner_share+F927*in_accident_ticket*in_accident_renew_comm*in_ins_partner_share*(in_accident_renew^1*SUMIFS(AO886:AO928,B886:B928,B927-12)+in_accident_renew^2*SUMIFS(AO886:AO928,B886:B928,B927-24)+in_accident_renew^3*SUMIFS(AO886:AO928,B886:B928,B927-36)+in_accident_renew^4*SUMIFS(AO886:AO928,B886:B928,B927-48))</f>
        <v/>
      </c>
      <c r="AQ927" s="40">
        <f>AQ926*(1-IF(B926&gt;=in_marketplace_from,d_hz_two_wheeler*G926,0))</f>
        <v/>
      </c>
      <c r="AR927" s="46">
        <f>AQ927*IF(B927&gt;=in_marketplace_from,d_hz_two_wheeler*G927,0)</f>
        <v/>
      </c>
      <c r="AS927" s="14">
        <f>F927*AR927*in_two_wheeler_ticket*in_two_wheeler_comm*in_ins_partner_share+F927*in_two_wheeler_ticket*in_two_wheeler_comm*in_ins_partner_share*(in_two_wheeler_renew^1*SUMIFS(AR886:AR928,B886:B928,B927-12)+in_two_wheeler_renew^2*SUMIFS(AR886:AR928,B886:B928,B927-24)+in_two_wheeler_renew^3*SUMIFS(AR886:AR928,B886:B928,B927-36)+in_two_wheeler_renew^4*SUMIFS(AR886:AR928,B886:B928,B927-48))</f>
        <v/>
      </c>
      <c r="AT927" s="40">
        <f>AT926*(1-IF(B926&gt;=in_marketplace_from,d_hz_device*G926,0))</f>
        <v/>
      </c>
      <c r="AU927" s="14">
        <f>F927*AT927*IF(B927&gt;=in_marketplace_from,d_hz_device*G927,0)*in_device_ticket*in_device_comm*in_ins_partner_share</f>
        <v/>
      </c>
      <c r="AV927" s="40">
        <f>AV926*(1-IF(B926&gt;=in_marketplace_from,d_hz_shop*G926,0))</f>
        <v/>
      </c>
      <c r="AW927" s="46">
        <f>AV927*IF(B927&gt;=in_marketplace_from,d_hz_shop*G927,0)</f>
        <v/>
      </c>
      <c r="AX927" s="14">
        <f>F927*AW927*in_shop_ticket*in_shop_comm*in_ins_partner_share+F927*in_shop_ticket*in_shop_renew_comm*in_ins_partner_share*(in_shop_renew^1*SUMIFS(AW886:AW928,B886:B928,B927-12)+in_shop_renew^2*SUMIFS(AW886:AW928,B886:B928,B927-24)+in_shop_renew^3*SUMIFS(AW886:AW928,B886:B928,B927-36)+in_shop_renew^4*SUMIFS(AW886:AW928,B886:B928,B927-48))</f>
        <v/>
      </c>
      <c r="AY927" s="40">
        <f>AY926*(1-IF(B926&gt;=in_marketplace_from,d_hz_sip*G926,0))</f>
        <v/>
      </c>
      <c r="AZ927" s="40">
        <f>AZ926*d_rho_sip+AY927*IF(B927&gt;=in_marketplace_from,d_hz_sip*G927,0)</f>
        <v/>
      </c>
      <c r="BA927" s="40">
        <f>d_rho_sip*(BA926+AZ926)</f>
        <v/>
      </c>
      <c r="BB927" s="14">
        <f>F927*in_sip_ticket*(BA927+0.5*AZ927)*in_sip_comm/12</f>
        <v/>
      </c>
      <c r="BC927" s="40">
        <f>BC926*(1-IF(B926&gt;=in_marketplace_from,d_hz_choti*G926,0))</f>
        <v/>
      </c>
      <c r="BD927" s="46">
        <f>BC927*IF(B927&gt;=in_marketplace_from,d_hz_choti*G927,0)</f>
        <v/>
      </c>
      <c r="BE927" s="14">
        <f>F927*SUMIFS(BD886:BD928,B886:B928,B927-in_choti_months)*in_choti_renew*in_choti_ticket</f>
        <v/>
      </c>
      <c r="BF927" s="40">
        <f>BF926*(1-IF(B926&gt;=in_marketplace_from,d_hz_nps*G926,0))</f>
        <v/>
      </c>
      <c r="BG927" s="14">
        <f>F927*BF927*IF(B927&gt;=in_marketplace_from,d_hz_nps*G927,0)*in_nps_ticket*in_nps_comm</f>
        <v/>
      </c>
      <c r="BH927" s="40">
        <f>BH926*(1-IF(B926&gt;=in_marketplace_from,d_hz_gold*G926,0))</f>
        <v/>
      </c>
      <c r="BI927" s="40">
        <f>BI926*d_rho_gold+BH927*IF(B927&gt;=in_marketplace_from,d_hz_gold*G927,0)</f>
        <v/>
      </c>
      <c r="BJ927" s="14">
        <f>F927*BI927*in_gold_ticket*in_gold_comm</f>
        <v/>
      </c>
      <c r="BK927" s="40">
        <f>BK926*(1-IF(B926&gt;=in_marketplace_from,d_hz_fd*G926,0))</f>
        <v/>
      </c>
      <c r="BL927" s="14">
        <f>F927*BK927*IF(B927&gt;=in_marketplace_from,d_hz_fd*G927,0)*in_fd_ticket*in_fd_comm</f>
        <v/>
      </c>
      <c r="BM927" s="40">
        <f>BM926*(1-IF(B926&gt;=in_marketplace_from,d_hz_recharge*G926,0))</f>
        <v/>
      </c>
      <c r="BN927" s="40">
        <f>BN926*d_rho_recharge+BM927*IF(B927&gt;=in_marketplace_from,d_hz_recharge*G927,0)</f>
        <v/>
      </c>
      <c r="BO927" s="14">
        <f>F927*BN927*in_recharge_ticket*in_recharge_comm/12</f>
        <v/>
      </c>
      <c r="BP927" s="40">
        <f>BP926*(1-IF(B926&gt;=in_marketplace_from,d_hz_bills*G926,0))</f>
        <v/>
      </c>
      <c r="BQ927" s="40">
        <f>BQ926*d_rho_bills+BP927*IF(B927&gt;=in_marketplace_from,d_hz_bills*G927,0)</f>
        <v/>
      </c>
      <c r="BR927" s="14">
        <f>F927*BQ927*in_bills_ticket*in_bills_comm/12</f>
        <v/>
      </c>
      <c r="BS927" s="40">
        <f>BS926*(1-IF(B926&gt;=in_marketplace_from,d_hz_loan_gold*G926,0))</f>
        <v/>
      </c>
      <c r="BT927" s="14">
        <f>F927*BS927*IF(B927&gt;=in_marketplace_from,d_hz_loan_gold*G927,0)*in_loan_gold_ticket*in_loan_gold_comm</f>
        <v/>
      </c>
      <c r="BU927" s="40">
        <f>BU926*(1-IF(B926&gt;=in_marketplace_from,d_hz_loan_cd*G926,0))</f>
        <v/>
      </c>
      <c r="BV927" s="14">
        <f>F927*BU927*IF(B927&gt;=in_marketplace_from,d_hz_loan_cd*G927,0)*in_loan_cd_ticket*in_loan_cd_comm</f>
        <v/>
      </c>
      <c r="BW927" s="40">
        <f>BW926*(1-IF(B926&gt;=in_marketplace_from,d_hz_loan_vehicle*G926,0))</f>
        <v/>
      </c>
      <c r="BX927" s="14">
        <f>F927*BW927*IF(B927&gt;=in_marketplace_from,d_hz_loan_vehicle*G927,0)*in_loan_vehicle_ticket*in_loan_vehicle_comm</f>
        <v/>
      </c>
      <c r="BY927" s="40">
        <f>BY926*(1-IF(B926&gt;=in_marketplace_from,d_hz_loan_home*G926,0)*BZ926)</f>
        <v/>
      </c>
      <c r="BZ927" s="11">
        <f>MIN(in_approval_cap,in_loan_home_approval*INDEX('Age profile'!$O$2:$O$61,B927)*(1+in_approval_growth)^(D927-1))</f>
        <v/>
      </c>
      <c r="CA927" s="14">
        <f>F927*BY927*IF(B927&gt;=in_marketplace_from,d_hz_loan_home*G927,0)*BZ927*in_loan_home_ticket*in_loan_home_comm</f>
        <v/>
      </c>
      <c r="CB927" s="40">
        <f>CB926*(1-IF(B926&gt;=in_marketplace_from,d_hz_loan_lap*G926,0)*CC926)</f>
        <v/>
      </c>
      <c r="CC927" s="11">
        <f>MIN(in_approval_cap,in_loan_lap_approval*INDEX('Age profile'!$O$2:$O$61,B927)*(1+in_approval_growth)^(D927-1))</f>
        <v/>
      </c>
      <c r="CD927" s="14">
        <f>F927*CB927*IF(B927&gt;=in_marketplace_from,d_hz_loan_lap*G927,0)*CC927*in_loan_lap_ticket*in_loan_lap_comm</f>
        <v/>
      </c>
      <c r="CE927" s="14">
        <f>AA927+AB927+AC927+AD927+AG927+AJ927+AM927+AP927+AS927+AU927+AX927+BB927+BE927+BG927+BJ927+BL927+BO927+BR927+BT927+BV927+BX927+CA927+CD927</f>
        <v/>
      </c>
    </row>
    <row r="928">
      <c r="A928" s="39" t="n">
        <v>18</v>
      </c>
      <c r="B928" s="39" t="n">
        <v>43</v>
      </c>
      <c r="C928" s="39">
        <f>A928+B928-1</f>
        <v/>
      </c>
      <c r="D928" s="39">
        <f>INT((C928-1)/12)+1</f>
        <v/>
      </c>
      <c r="E928" s="44">
        <f>INDEX(Monthly!$B$2:$B$61,A928)</f>
        <v/>
      </c>
      <c r="F928" s="44">
        <f>E928*INDEX('Age profile'!$B$2:$B$61,B928)</f>
        <v/>
      </c>
      <c r="G928" s="45">
        <f>MIN(in_takeup_cap,INDEX('Age profile'!$N$2:$N$61,B928)*(1+in_takeup_growth)^(D928-1))</f>
        <v/>
      </c>
      <c r="H928" s="11">
        <f>MIN(in_approval_cap,in_approved_first*INDEX('Age profile'!$O$2:$O$61,B928)*(1+in_approval_growth)^(D928-1))</f>
        <v/>
      </c>
      <c r="I928" s="45">
        <f>G928*MIN(in_takeup_cap,INDEX('Age profile'!$O$2:$O$61,B928)*(1+in_approval_growth)^(D928-1))</f>
        <v/>
      </c>
      <c r="J928" s="40">
        <f>(J927-L927)*F928/F927</f>
        <v/>
      </c>
      <c r="K928" s="40">
        <f>(K927-M927)*F928/F927+SUMIFS(O886:O927,B886:B927,B928-1-d_T)*F928</f>
        <v/>
      </c>
      <c r="L928" s="40">
        <f>IF(B928&gt;=in_marketplace_from,J928*d_hz*G928*in_eligible*H928,0)</f>
        <v/>
      </c>
      <c r="M928" s="40">
        <f>IF(B928&gt;=in_marketplace_from,K928*d_hz*G928*in_eligible*in_approved_repeat,0)</f>
        <v/>
      </c>
      <c r="N928" s="40">
        <f>L928+M928</f>
        <v/>
      </c>
      <c r="O928" s="46">
        <f>N928/F928</f>
        <v/>
      </c>
      <c r="P928" s="40">
        <f>F928-J928-K928</f>
        <v/>
      </c>
      <c r="Q928" s="40">
        <f>IF(B928&gt;=in_marketplace_from,(J928+K928)*d_hz*G928,0)</f>
        <v/>
      </c>
      <c r="R928" s="40">
        <f>SUMIFS(N886:N928,B886:B928,"&gt;="&amp;(B928-d_T),B886:B928,"&lt;="&amp;(B928-1))</f>
        <v/>
      </c>
      <c r="S928" s="46">
        <f>(1-d_u)*S927+IF(d_T&gt;in_topup_lag,SUMIFS(O886:O928,B886:B928,B928-in_topup_lag)-d_udrop*SUMIFS(O886:O928,B886:B928,B928-d_T),0)</f>
        <v/>
      </c>
      <c r="T928" s="40">
        <f>F928*d_u*S928</f>
        <v/>
      </c>
      <c r="U928" s="9">
        <f>L928*in_ticket+M928*d_rep_ticket</f>
        <v/>
      </c>
      <c r="V928" s="9">
        <f>U928+T928*d_topup_amt</f>
        <v/>
      </c>
      <c r="W928" s="40">
        <f>N928+T928*d_topup_ratio</f>
        <v/>
      </c>
      <c r="X928" s="40">
        <f>SUMIFS(W886:W928,B886:B928,B928-in_dpd_lag)*d_cured</f>
        <v/>
      </c>
      <c r="Y928" s="40">
        <f>SUMIFS(W886:W928,B886:B928,B928-in_rec_lag)*d_recd</f>
        <v/>
      </c>
      <c r="Z928" s="40">
        <f>IF(AND(B928&gt;=in_marketplace_from,B928&lt;in_marketplace_from+in_card_months),in_card_share/in_card_months*F928*I928,IF(AND(B928&gt;=in_marketplace_from+in_card_months,B928&lt;in_marketplace_from+2*in_card_months),in_card_share*d_card_rem/in_card_months*F928*MIN(in_takeup_cap,(1+in_takeup_growth)^(D928-1))*MIN(in_takeup_cap,(1+in_approval_growth)^(D928-1)),0))</f>
        <v/>
      </c>
      <c r="AA928" s="14">
        <f>V928*in_fee*(1-in_taken_back)</f>
        <v/>
      </c>
      <c r="AB928" s="14">
        <f>SUMIFS(W886:W928,B886:B928,B928-in_dpd_lag)*d_dpd</f>
        <v/>
      </c>
      <c r="AC928" s="14">
        <f>SUMIFS(W886:W928,B886:B928,B928-in_rec_lag)*d_rec</f>
        <v/>
      </c>
      <c r="AD928" s="14">
        <f>Z928*in_card_fee</f>
        <v/>
      </c>
      <c r="AE928" s="40">
        <f>AE927*(1-IF(B927&gt;=in_marketplace_from,d_hz_hlth_small*G927,0))</f>
        <v/>
      </c>
      <c r="AF928" s="46">
        <f>AE928*IF(B928&gt;=in_marketplace_from,d_hz_hlth_small*G928,0)</f>
        <v/>
      </c>
      <c r="AG928" s="14">
        <f>F928*AF928*in_hlth_small_ticket*in_hlth_small_comm*in_ins_partner_share+F928*in_hlth_small_ticket*in_hlth_small_renew_comm*in_ins_partner_share*(in_hlth_small_renew^1*SUMIFS(AF886:AF928,B886:B928,B928-12)+in_hlth_small_renew^2*SUMIFS(AF886:AF928,B886:B928,B928-24)+in_hlth_small_renew^3*SUMIFS(AF886:AF928,B886:B928,B928-36)+in_hlth_small_renew^4*SUMIFS(AF886:AF928,B886:B928,B928-48))</f>
        <v/>
      </c>
      <c r="AH928" s="40">
        <f>AH927*(1-IF(B927&gt;=in_marketplace_from,d_hz_hlth_family*G927,0))</f>
        <v/>
      </c>
      <c r="AI928" s="46">
        <f>AH928*IF(B928&gt;=in_marketplace_from,d_hz_hlth_family*G928,0)</f>
        <v/>
      </c>
      <c r="AJ928" s="14">
        <f>F928*AI928*in_hlth_family_ticket*in_hlth_family_comm*in_ins_partner_share+F928*in_hlth_family_ticket*in_hlth_family_renew_comm*in_ins_partner_share*(in_hlth_family_renew^1*SUMIFS(AI886:AI928,B886:B928,B928-12)+in_hlth_family_renew^2*SUMIFS(AI886:AI928,B886:B928,B928-24)+in_hlth_family_renew^3*SUMIFS(AI886:AI928,B886:B928,B928-36)+in_hlth_family_renew^4*SUMIFS(AI886:AI928,B886:B928,B928-48))</f>
        <v/>
      </c>
      <c r="AK928" s="40">
        <f>AK927*(1-IF(B927&gt;=in_marketplace_from,d_hz_life_term*G927,0))</f>
        <v/>
      </c>
      <c r="AL928" s="46">
        <f>AK928*IF(B928&gt;=in_marketplace_from,d_hz_life_term*G928,0)</f>
        <v/>
      </c>
      <c r="AM928" s="14">
        <f>F928*AL928*in_life_term_ticket*in_life_term_comm*in_ins_partner_share+F928*in_life_term_ticket*in_life_term_renew_comm*in_ins_partner_share*(in_life_term_renew^1*SUMIFS(AL886:AL928,B886:B928,B928-12)+in_life_term_renew^2*SUMIFS(AL886:AL928,B886:B928,B928-24)+in_life_term_renew^3*SUMIFS(AL886:AL928,B886:B928,B928-36)+in_life_term_renew^4*SUMIFS(AL886:AL928,B886:B928,B928-48))</f>
        <v/>
      </c>
      <c r="AN928" s="40">
        <f>AN927*(1-IF(B927&gt;=in_marketplace_from,d_hz_accident*G927,0))</f>
        <v/>
      </c>
      <c r="AO928" s="46">
        <f>AN928*IF(B928&gt;=in_marketplace_from,d_hz_accident*G928,0)</f>
        <v/>
      </c>
      <c r="AP928" s="14">
        <f>F928*AO928*in_accident_ticket*in_accident_comm*in_ins_partner_share+F928*in_accident_ticket*in_accident_renew_comm*in_ins_partner_share*(in_accident_renew^1*SUMIFS(AO886:AO928,B886:B928,B928-12)+in_accident_renew^2*SUMIFS(AO886:AO928,B886:B928,B928-24)+in_accident_renew^3*SUMIFS(AO886:AO928,B886:B928,B928-36)+in_accident_renew^4*SUMIFS(AO886:AO928,B886:B928,B928-48))</f>
        <v/>
      </c>
      <c r="AQ928" s="40">
        <f>AQ927*(1-IF(B927&gt;=in_marketplace_from,d_hz_two_wheeler*G927,0))</f>
        <v/>
      </c>
      <c r="AR928" s="46">
        <f>AQ928*IF(B928&gt;=in_marketplace_from,d_hz_two_wheeler*G928,0)</f>
        <v/>
      </c>
      <c r="AS928" s="14">
        <f>F928*AR928*in_two_wheeler_ticket*in_two_wheeler_comm*in_ins_partner_share+F928*in_two_wheeler_ticket*in_two_wheeler_comm*in_ins_partner_share*(in_two_wheeler_renew^1*SUMIFS(AR886:AR928,B886:B928,B928-12)+in_two_wheeler_renew^2*SUMIFS(AR886:AR928,B886:B928,B928-24)+in_two_wheeler_renew^3*SUMIFS(AR886:AR928,B886:B928,B928-36)+in_two_wheeler_renew^4*SUMIFS(AR886:AR928,B886:B928,B928-48))</f>
        <v/>
      </c>
      <c r="AT928" s="40">
        <f>AT927*(1-IF(B927&gt;=in_marketplace_from,d_hz_device*G927,0))</f>
        <v/>
      </c>
      <c r="AU928" s="14">
        <f>F928*AT928*IF(B928&gt;=in_marketplace_from,d_hz_device*G928,0)*in_device_ticket*in_device_comm*in_ins_partner_share</f>
        <v/>
      </c>
      <c r="AV928" s="40">
        <f>AV927*(1-IF(B927&gt;=in_marketplace_from,d_hz_shop*G927,0))</f>
        <v/>
      </c>
      <c r="AW928" s="46">
        <f>AV928*IF(B928&gt;=in_marketplace_from,d_hz_shop*G928,0)</f>
        <v/>
      </c>
      <c r="AX928" s="14">
        <f>F928*AW928*in_shop_ticket*in_shop_comm*in_ins_partner_share+F928*in_shop_ticket*in_shop_renew_comm*in_ins_partner_share*(in_shop_renew^1*SUMIFS(AW886:AW928,B886:B928,B928-12)+in_shop_renew^2*SUMIFS(AW886:AW928,B886:B928,B928-24)+in_shop_renew^3*SUMIFS(AW886:AW928,B886:B928,B928-36)+in_shop_renew^4*SUMIFS(AW886:AW928,B886:B928,B928-48))</f>
        <v/>
      </c>
      <c r="AY928" s="40">
        <f>AY927*(1-IF(B927&gt;=in_marketplace_from,d_hz_sip*G927,0))</f>
        <v/>
      </c>
      <c r="AZ928" s="40">
        <f>AZ927*d_rho_sip+AY928*IF(B928&gt;=in_marketplace_from,d_hz_sip*G928,0)</f>
        <v/>
      </c>
      <c r="BA928" s="40">
        <f>d_rho_sip*(BA927+AZ927)</f>
        <v/>
      </c>
      <c r="BB928" s="14">
        <f>F928*in_sip_ticket*(BA928+0.5*AZ928)*in_sip_comm/12</f>
        <v/>
      </c>
      <c r="BC928" s="40">
        <f>BC927*(1-IF(B927&gt;=in_marketplace_from,d_hz_choti*G927,0))</f>
        <v/>
      </c>
      <c r="BD928" s="46">
        <f>BC928*IF(B928&gt;=in_marketplace_from,d_hz_choti*G928,0)</f>
        <v/>
      </c>
      <c r="BE928" s="14">
        <f>F928*SUMIFS(BD886:BD928,B886:B928,B928-in_choti_months)*in_choti_renew*in_choti_ticket</f>
        <v/>
      </c>
      <c r="BF928" s="40">
        <f>BF927*(1-IF(B927&gt;=in_marketplace_from,d_hz_nps*G927,0))</f>
        <v/>
      </c>
      <c r="BG928" s="14">
        <f>F928*BF928*IF(B928&gt;=in_marketplace_from,d_hz_nps*G928,0)*in_nps_ticket*in_nps_comm</f>
        <v/>
      </c>
      <c r="BH928" s="40">
        <f>BH927*(1-IF(B927&gt;=in_marketplace_from,d_hz_gold*G927,0))</f>
        <v/>
      </c>
      <c r="BI928" s="40">
        <f>BI927*d_rho_gold+BH928*IF(B928&gt;=in_marketplace_from,d_hz_gold*G928,0)</f>
        <v/>
      </c>
      <c r="BJ928" s="14">
        <f>F928*BI928*in_gold_ticket*in_gold_comm</f>
        <v/>
      </c>
      <c r="BK928" s="40">
        <f>BK927*(1-IF(B927&gt;=in_marketplace_from,d_hz_fd*G927,0))</f>
        <v/>
      </c>
      <c r="BL928" s="14">
        <f>F928*BK928*IF(B928&gt;=in_marketplace_from,d_hz_fd*G928,0)*in_fd_ticket*in_fd_comm</f>
        <v/>
      </c>
      <c r="BM928" s="40">
        <f>BM927*(1-IF(B927&gt;=in_marketplace_from,d_hz_recharge*G927,0))</f>
        <v/>
      </c>
      <c r="BN928" s="40">
        <f>BN927*d_rho_recharge+BM928*IF(B928&gt;=in_marketplace_from,d_hz_recharge*G928,0)</f>
        <v/>
      </c>
      <c r="BO928" s="14">
        <f>F928*BN928*in_recharge_ticket*in_recharge_comm/12</f>
        <v/>
      </c>
      <c r="BP928" s="40">
        <f>BP927*(1-IF(B927&gt;=in_marketplace_from,d_hz_bills*G927,0))</f>
        <v/>
      </c>
      <c r="BQ928" s="40">
        <f>BQ927*d_rho_bills+BP928*IF(B928&gt;=in_marketplace_from,d_hz_bills*G928,0)</f>
        <v/>
      </c>
      <c r="BR928" s="14">
        <f>F928*BQ928*in_bills_ticket*in_bills_comm/12</f>
        <v/>
      </c>
      <c r="BS928" s="40">
        <f>BS927*(1-IF(B927&gt;=in_marketplace_from,d_hz_loan_gold*G927,0))</f>
        <v/>
      </c>
      <c r="BT928" s="14">
        <f>F928*BS928*IF(B928&gt;=in_marketplace_from,d_hz_loan_gold*G928,0)*in_loan_gold_ticket*in_loan_gold_comm</f>
        <v/>
      </c>
      <c r="BU928" s="40">
        <f>BU927*(1-IF(B927&gt;=in_marketplace_from,d_hz_loan_cd*G927,0))</f>
        <v/>
      </c>
      <c r="BV928" s="14">
        <f>F928*BU928*IF(B928&gt;=in_marketplace_from,d_hz_loan_cd*G928,0)*in_loan_cd_ticket*in_loan_cd_comm</f>
        <v/>
      </c>
      <c r="BW928" s="40">
        <f>BW927*(1-IF(B927&gt;=in_marketplace_from,d_hz_loan_vehicle*G927,0))</f>
        <v/>
      </c>
      <c r="BX928" s="14">
        <f>F928*BW928*IF(B928&gt;=in_marketplace_from,d_hz_loan_vehicle*G928,0)*in_loan_vehicle_ticket*in_loan_vehicle_comm</f>
        <v/>
      </c>
      <c r="BY928" s="40">
        <f>BY927*(1-IF(B927&gt;=in_marketplace_from,d_hz_loan_home*G927,0)*BZ927)</f>
        <v/>
      </c>
      <c r="BZ928" s="11">
        <f>MIN(in_approval_cap,in_loan_home_approval*INDEX('Age profile'!$O$2:$O$61,B928)*(1+in_approval_growth)^(D928-1))</f>
        <v/>
      </c>
      <c r="CA928" s="14">
        <f>F928*BY928*IF(B928&gt;=in_marketplace_from,d_hz_loan_home*G928,0)*BZ928*in_loan_home_ticket*in_loan_home_comm</f>
        <v/>
      </c>
      <c r="CB928" s="40">
        <f>CB927*(1-IF(B927&gt;=in_marketplace_from,d_hz_loan_lap*G927,0)*CC927)</f>
        <v/>
      </c>
      <c r="CC928" s="11">
        <f>MIN(in_approval_cap,in_loan_lap_approval*INDEX('Age profile'!$O$2:$O$61,B928)*(1+in_approval_growth)^(D928-1))</f>
        <v/>
      </c>
      <c r="CD928" s="14">
        <f>F928*CB928*IF(B928&gt;=in_marketplace_from,d_hz_loan_lap*G928,0)*CC928*in_loan_lap_ticket*in_loan_lap_comm</f>
        <v/>
      </c>
      <c r="CE928" s="14">
        <f>AA928+AB928+AC928+AD928+AG928+AJ928+AM928+AP928+AS928+AU928+AX928+BB928+BE928+BG928+BJ928+BL928+BO928+BR928+BT928+BV928+BX928+CA928+CD928</f>
        <v/>
      </c>
    </row>
    <row r="929">
      <c r="A929" s="39" t="n">
        <v>19</v>
      </c>
      <c r="B929" s="39" t="n">
        <v>1</v>
      </c>
      <c r="C929" s="39">
        <f>A929+B929-1</f>
        <v/>
      </c>
      <c r="D929" s="39">
        <f>INT((C929-1)/12)+1</f>
        <v/>
      </c>
      <c r="E929" s="44">
        <f>INDEX(Monthly!$B$2:$B$61,A929)</f>
        <v/>
      </c>
      <c r="F929" s="44">
        <f>E929*INDEX('Age profile'!$B$2:$B$61,B929)</f>
        <v/>
      </c>
      <c r="G929" s="45">
        <f>MIN(in_takeup_cap,INDEX('Age profile'!$N$2:$N$61,B929)*(1+in_takeup_growth)^(D929-1))</f>
        <v/>
      </c>
      <c r="H929" s="11">
        <f>MIN(in_approval_cap,in_approved_first*INDEX('Age profile'!$O$2:$O$61,B929)*(1+in_approval_growth)^(D929-1))</f>
        <v/>
      </c>
      <c r="I929" s="45">
        <f>G929*MIN(in_takeup_cap,INDEX('Age profile'!$O$2:$O$61,B929)*(1+in_approval_growth)^(D929-1))</f>
        <v/>
      </c>
      <c r="J929" s="40">
        <f>E929</f>
        <v/>
      </c>
      <c r="K929" s="40" t="n">
        <v>0</v>
      </c>
      <c r="L929" s="40">
        <f>IF(B929&gt;=in_marketplace_from,J929*d_hz*G929*in_eligible*H929,0)</f>
        <v/>
      </c>
      <c r="M929" s="40">
        <f>IF(B929&gt;=in_marketplace_from,K929*d_hz*G929*in_eligible*in_approved_repeat,0)</f>
        <v/>
      </c>
      <c r="N929" s="40">
        <f>L929+M929</f>
        <v/>
      </c>
      <c r="O929" s="46">
        <f>N929/F929</f>
        <v/>
      </c>
      <c r="P929" s="40">
        <f>F929-J929-K929</f>
        <v/>
      </c>
      <c r="Q929" s="40">
        <f>IF(B929&gt;=in_marketplace_from,(J929+K929)*d_hz*G929,0)</f>
        <v/>
      </c>
      <c r="R929" s="40">
        <f>SUMIFS(N929:N970,B929:B970,"&gt;="&amp;(B929-d_T),B929:B970,"&lt;="&amp;(B929-1))</f>
        <v/>
      </c>
      <c r="S929" s="46" t="n">
        <v>0</v>
      </c>
      <c r="T929" s="40">
        <f>F929*d_u*S929</f>
        <v/>
      </c>
      <c r="U929" s="9">
        <f>L929*in_ticket+M929*d_rep_ticket</f>
        <v/>
      </c>
      <c r="V929" s="9">
        <f>U929+T929*d_topup_amt</f>
        <v/>
      </c>
      <c r="W929" s="40">
        <f>N929+T929*d_topup_ratio</f>
        <v/>
      </c>
      <c r="X929" s="40">
        <f>SUMIFS(W929:W970,B929:B970,B929-in_dpd_lag)*d_cured</f>
        <v/>
      </c>
      <c r="Y929" s="40">
        <f>SUMIFS(W929:W970,B929:B970,B929-in_rec_lag)*d_recd</f>
        <v/>
      </c>
      <c r="Z929" s="40">
        <f>IF(AND(B929&gt;=in_marketplace_from,B929&lt;in_marketplace_from+in_card_months),in_card_share/in_card_months*F929*I929,IF(AND(B929&gt;=in_marketplace_from+in_card_months,B929&lt;in_marketplace_from+2*in_card_months),in_card_share*d_card_rem/in_card_months*F929*MIN(in_takeup_cap,(1+in_takeup_growth)^(D929-1))*MIN(in_takeup_cap,(1+in_approval_growth)^(D929-1)),0))</f>
        <v/>
      </c>
      <c r="AA929" s="14">
        <f>V929*in_fee*(1-in_taken_back)</f>
        <v/>
      </c>
      <c r="AB929" s="14">
        <f>SUMIFS(W929:W970,B929:B970,B929-in_dpd_lag)*d_dpd</f>
        <v/>
      </c>
      <c r="AC929" s="14">
        <f>SUMIFS(W929:W970,B929:B970,B929-in_rec_lag)*d_rec</f>
        <v/>
      </c>
      <c r="AD929" s="14">
        <f>Z929*in_card_fee</f>
        <v/>
      </c>
      <c r="AE929" s="40" t="n">
        <v>1</v>
      </c>
      <c r="AF929" s="46">
        <f>AE929*IF(B929&gt;=in_marketplace_from,d_hz_hlth_small*G929,0)</f>
        <v/>
      </c>
      <c r="AG929" s="14">
        <f>F929*AF929*in_hlth_small_ticket*in_hlth_small_comm*in_ins_partner_share+F929*in_hlth_small_ticket*in_hlth_small_renew_comm*in_ins_partner_share*(in_hlth_small_renew^1*SUMIFS(AF929:AF970,B929:B970,B929-12)+in_hlth_small_renew^2*SUMIFS(AF929:AF970,B929:B970,B929-24)+in_hlth_small_renew^3*SUMIFS(AF929:AF970,B929:B970,B929-36)+in_hlth_small_renew^4*SUMIFS(AF929:AF970,B929:B970,B929-48))</f>
        <v/>
      </c>
      <c r="AH929" s="40" t="n">
        <v>1</v>
      </c>
      <c r="AI929" s="46">
        <f>AH929*IF(B929&gt;=in_marketplace_from,d_hz_hlth_family*G929,0)</f>
        <v/>
      </c>
      <c r="AJ929" s="14">
        <f>F929*AI929*in_hlth_family_ticket*in_hlth_family_comm*in_ins_partner_share+F929*in_hlth_family_ticket*in_hlth_family_renew_comm*in_ins_partner_share*(in_hlth_family_renew^1*SUMIFS(AI929:AI970,B929:B970,B929-12)+in_hlth_family_renew^2*SUMIFS(AI929:AI970,B929:B970,B929-24)+in_hlth_family_renew^3*SUMIFS(AI929:AI970,B929:B970,B929-36)+in_hlth_family_renew^4*SUMIFS(AI929:AI970,B929:B970,B929-48))</f>
        <v/>
      </c>
      <c r="AK929" s="40" t="n">
        <v>1</v>
      </c>
      <c r="AL929" s="46">
        <f>AK929*IF(B929&gt;=in_marketplace_from,d_hz_life_term*G929,0)</f>
        <v/>
      </c>
      <c r="AM929" s="14">
        <f>F929*AL929*in_life_term_ticket*in_life_term_comm*in_ins_partner_share+F929*in_life_term_ticket*in_life_term_renew_comm*in_ins_partner_share*(in_life_term_renew^1*SUMIFS(AL929:AL970,B929:B970,B929-12)+in_life_term_renew^2*SUMIFS(AL929:AL970,B929:B970,B929-24)+in_life_term_renew^3*SUMIFS(AL929:AL970,B929:B970,B929-36)+in_life_term_renew^4*SUMIFS(AL929:AL970,B929:B970,B929-48))</f>
        <v/>
      </c>
      <c r="AN929" s="40" t="n">
        <v>1</v>
      </c>
      <c r="AO929" s="46">
        <f>AN929*IF(B929&gt;=in_marketplace_from,d_hz_accident*G929,0)</f>
        <v/>
      </c>
      <c r="AP929" s="14">
        <f>F929*AO929*in_accident_ticket*in_accident_comm*in_ins_partner_share+F929*in_accident_ticket*in_accident_renew_comm*in_ins_partner_share*(in_accident_renew^1*SUMIFS(AO929:AO970,B929:B970,B929-12)+in_accident_renew^2*SUMIFS(AO929:AO970,B929:B970,B929-24)+in_accident_renew^3*SUMIFS(AO929:AO970,B929:B970,B929-36)+in_accident_renew^4*SUMIFS(AO929:AO970,B929:B970,B929-48))</f>
        <v/>
      </c>
      <c r="AQ929" s="40" t="n">
        <v>1</v>
      </c>
      <c r="AR929" s="46">
        <f>AQ929*IF(B929&gt;=in_marketplace_from,d_hz_two_wheeler*G929,0)</f>
        <v/>
      </c>
      <c r="AS929" s="14">
        <f>F929*AR929*in_two_wheeler_ticket*in_two_wheeler_comm*in_ins_partner_share+F929*in_two_wheeler_ticket*in_two_wheeler_comm*in_ins_partner_share*(in_two_wheeler_renew^1*SUMIFS(AR929:AR970,B929:B970,B929-12)+in_two_wheeler_renew^2*SUMIFS(AR929:AR970,B929:B970,B929-24)+in_two_wheeler_renew^3*SUMIFS(AR929:AR970,B929:B970,B929-36)+in_two_wheeler_renew^4*SUMIFS(AR929:AR970,B929:B970,B929-48))</f>
        <v/>
      </c>
      <c r="AT929" s="40" t="n">
        <v>1</v>
      </c>
      <c r="AU929" s="14">
        <f>F929*AT929*IF(B929&gt;=in_marketplace_from,d_hz_device*G929,0)*in_device_ticket*in_device_comm*in_ins_partner_share</f>
        <v/>
      </c>
      <c r="AV929" s="40" t="n">
        <v>1</v>
      </c>
      <c r="AW929" s="46">
        <f>AV929*IF(B929&gt;=in_marketplace_from,d_hz_shop*G929,0)</f>
        <v/>
      </c>
      <c r="AX929" s="14">
        <f>F929*AW929*in_shop_ticket*in_shop_comm*in_ins_partner_share+F929*in_shop_ticket*in_shop_renew_comm*in_ins_partner_share*(in_shop_renew^1*SUMIFS(AW929:AW970,B929:B970,B929-12)+in_shop_renew^2*SUMIFS(AW929:AW970,B929:B970,B929-24)+in_shop_renew^3*SUMIFS(AW929:AW970,B929:B970,B929-36)+in_shop_renew^4*SUMIFS(AW929:AW970,B929:B970,B929-48))</f>
        <v/>
      </c>
      <c r="AY929" s="40" t="n">
        <v>1</v>
      </c>
      <c r="AZ929" s="40">
        <f>AY929*IF(B929&gt;=in_marketplace_from,d_hz_sip*G929,0)</f>
        <v/>
      </c>
      <c r="BA929" s="40" t="n">
        <v>0</v>
      </c>
      <c r="BB929" s="14">
        <f>F929*in_sip_ticket*(BA929+0.5*AZ929)*in_sip_comm/12</f>
        <v/>
      </c>
      <c r="BC929" s="40" t="n">
        <v>1</v>
      </c>
      <c r="BD929" s="46">
        <f>BC929*IF(B929&gt;=in_marketplace_from,d_hz_choti*G929,0)</f>
        <v/>
      </c>
      <c r="BE929" s="14">
        <f>F929*SUMIFS(BD929:BD970,B929:B970,B929-in_choti_months)*in_choti_renew*in_choti_ticket</f>
        <v/>
      </c>
      <c r="BF929" s="40" t="n">
        <v>1</v>
      </c>
      <c r="BG929" s="14">
        <f>F929*BF929*IF(B929&gt;=in_marketplace_from,d_hz_nps*G929,0)*in_nps_ticket*in_nps_comm</f>
        <v/>
      </c>
      <c r="BH929" s="40" t="n">
        <v>1</v>
      </c>
      <c r="BI929" s="40">
        <f>BH929*IF(B929&gt;=in_marketplace_from,d_hz_gold*G929,0)</f>
        <v/>
      </c>
      <c r="BJ929" s="14">
        <f>F929*BI929*in_gold_ticket*in_gold_comm</f>
        <v/>
      </c>
      <c r="BK929" s="40" t="n">
        <v>1</v>
      </c>
      <c r="BL929" s="14">
        <f>F929*BK929*IF(B929&gt;=in_marketplace_from,d_hz_fd*G929,0)*in_fd_ticket*in_fd_comm</f>
        <v/>
      </c>
      <c r="BM929" s="40" t="n">
        <v>1</v>
      </c>
      <c r="BN929" s="40">
        <f>BM929*IF(B929&gt;=in_marketplace_from,d_hz_recharge*G929,0)</f>
        <v/>
      </c>
      <c r="BO929" s="14">
        <f>F929*BN929*in_recharge_ticket*in_recharge_comm/12</f>
        <v/>
      </c>
      <c r="BP929" s="40" t="n">
        <v>1</v>
      </c>
      <c r="BQ929" s="40">
        <f>BP929*IF(B929&gt;=in_marketplace_from,d_hz_bills*G929,0)</f>
        <v/>
      </c>
      <c r="BR929" s="14">
        <f>F929*BQ929*in_bills_ticket*in_bills_comm/12</f>
        <v/>
      </c>
      <c r="BS929" s="40" t="n">
        <v>1</v>
      </c>
      <c r="BT929" s="14">
        <f>F929*BS929*IF(B929&gt;=in_marketplace_from,d_hz_loan_gold*G929,0)*in_loan_gold_ticket*in_loan_gold_comm</f>
        <v/>
      </c>
      <c r="BU929" s="40" t="n">
        <v>1</v>
      </c>
      <c r="BV929" s="14">
        <f>F929*BU929*IF(B929&gt;=in_marketplace_from,d_hz_loan_cd*G929,0)*in_loan_cd_ticket*in_loan_cd_comm</f>
        <v/>
      </c>
      <c r="BW929" s="40" t="n">
        <v>1</v>
      </c>
      <c r="BX929" s="14">
        <f>F929*BW929*IF(B929&gt;=in_marketplace_from,d_hz_loan_vehicle*G929,0)*in_loan_vehicle_ticket*in_loan_vehicle_comm</f>
        <v/>
      </c>
      <c r="BY929" s="40" t="n">
        <v>1</v>
      </c>
      <c r="BZ929" s="11">
        <f>MIN(in_approval_cap,in_loan_home_approval*INDEX('Age profile'!$O$2:$O$61,B929)*(1+in_approval_growth)^(D929-1))</f>
        <v/>
      </c>
      <c r="CA929" s="14">
        <f>F929*BY929*IF(B929&gt;=in_marketplace_from,d_hz_loan_home*G929,0)*BZ929*in_loan_home_ticket*in_loan_home_comm</f>
        <v/>
      </c>
      <c r="CB929" s="40" t="n">
        <v>1</v>
      </c>
      <c r="CC929" s="11">
        <f>MIN(in_approval_cap,in_loan_lap_approval*INDEX('Age profile'!$O$2:$O$61,B929)*(1+in_approval_growth)^(D929-1))</f>
        <v/>
      </c>
      <c r="CD929" s="14">
        <f>F929*CB929*IF(B929&gt;=in_marketplace_from,d_hz_loan_lap*G929,0)*CC929*in_loan_lap_ticket*in_loan_lap_comm</f>
        <v/>
      </c>
      <c r="CE929" s="14">
        <f>AA929+AB929+AC929+AD929+AG929+AJ929+AM929+AP929+AS929+AU929+AX929+BB929+BE929+BG929+BJ929+BL929+BO929+BR929+BT929+BV929+BX929+CA929+CD929</f>
        <v/>
      </c>
    </row>
    <row r="930">
      <c r="A930" s="39" t="n">
        <v>19</v>
      </c>
      <c r="B930" s="39" t="n">
        <v>2</v>
      </c>
      <c r="C930" s="39">
        <f>A930+B930-1</f>
        <v/>
      </c>
      <c r="D930" s="39">
        <f>INT((C930-1)/12)+1</f>
        <v/>
      </c>
      <c r="E930" s="44">
        <f>INDEX(Monthly!$B$2:$B$61,A930)</f>
        <v/>
      </c>
      <c r="F930" s="44">
        <f>E930*INDEX('Age profile'!$B$2:$B$61,B930)</f>
        <v/>
      </c>
      <c r="G930" s="45">
        <f>MIN(in_takeup_cap,INDEX('Age profile'!$N$2:$N$61,B930)*(1+in_takeup_growth)^(D930-1))</f>
        <v/>
      </c>
      <c r="H930" s="11">
        <f>MIN(in_approval_cap,in_approved_first*INDEX('Age profile'!$O$2:$O$61,B930)*(1+in_approval_growth)^(D930-1))</f>
        <v/>
      </c>
      <c r="I930" s="45">
        <f>G930*MIN(in_takeup_cap,INDEX('Age profile'!$O$2:$O$61,B930)*(1+in_approval_growth)^(D930-1))</f>
        <v/>
      </c>
      <c r="J930" s="40">
        <f>(J929-L929)*F930/F929</f>
        <v/>
      </c>
      <c r="K930" s="40">
        <f>(K929-M929)*F930/F929+SUMIFS(O929:O929,B929:B929,B930-1-d_T)*F930</f>
        <v/>
      </c>
      <c r="L930" s="40">
        <f>IF(B930&gt;=in_marketplace_from,J930*d_hz*G930*in_eligible*H930,0)</f>
        <v/>
      </c>
      <c r="M930" s="40">
        <f>IF(B930&gt;=in_marketplace_from,K930*d_hz*G930*in_eligible*in_approved_repeat,0)</f>
        <v/>
      </c>
      <c r="N930" s="40">
        <f>L930+M930</f>
        <v/>
      </c>
      <c r="O930" s="46">
        <f>N930/F930</f>
        <v/>
      </c>
      <c r="P930" s="40">
        <f>F930-J930-K930</f>
        <v/>
      </c>
      <c r="Q930" s="40">
        <f>IF(B930&gt;=in_marketplace_from,(J930+K930)*d_hz*G930,0)</f>
        <v/>
      </c>
      <c r="R930" s="40">
        <f>SUMIFS(N929:N970,B929:B970,"&gt;="&amp;(B930-d_T),B929:B970,"&lt;="&amp;(B930-1))</f>
        <v/>
      </c>
      <c r="S930" s="46">
        <f>(1-d_u)*S929+IF(d_T&gt;in_topup_lag,SUMIFS(O929:O970,B929:B970,B930-in_topup_lag)-d_udrop*SUMIFS(O929:O970,B929:B970,B930-d_T),0)</f>
        <v/>
      </c>
      <c r="T930" s="40">
        <f>F930*d_u*S930</f>
        <v/>
      </c>
      <c r="U930" s="9">
        <f>L930*in_ticket+M930*d_rep_ticket</f>
        <v/>
      </c>
      <c r="V930" s="9">
        <f>U930+T930*d_topup_amt</f>
        <v/>
      </c>
      <c r="W930" s="40">
        <f>N930+T930*d_topup_ratio</f>
        <v/>
      </c>
      <c r="X930" s="40">
        <f>SUMIFS(W929:W970,B929:B970,B930-in_dpd_lag)*d_cured</f>
        <v/>
      </c>
      <c r="Y930" s="40">
        <f>SUMIFS(W929:W970,B929:B970,B930-in_rec_lag)*d_recd</f>
        <v/>
      </c>
      <c r="Z930" s="40">
        <f>IF(AND(B930&gt;=in_marketplace_from,B930&lt;in_marketplace_from+in_card_months),in_card_share/in_card_months*F930*I930,IF(AND(B930&gt;=in_marketplace_from+in_card_months,B930&lt;in_marketplace_from+2*in_card_months),in_card_share*d_card_rem/in_card_months*F930*MIN(in_takeup_cap,(1+in_takeup_growth)^(D930-1))*MIN(in_takeup_cap,(1+in_approval_growth)^(D930-1)),0))</f>
        <v/>
      </c>
      <c r="AA930" s="14">
        <f>V930*in_fee*(1-in_taken_back)</f>
        <v/>
      </c>
      <c r="AB930" s="14">
        <f>SUMIFS(W929:W970,B929:B970,B930-in_dpd_lag)*d_dpd</f>
        <v/>
      </c>
      <c r="AC930" s="14">
        <f>SUMIFS(W929:W970,B929:B970,B930-in_rec_lag)*d_rec</f>
        <v/>
      </c>
      <c r="AD930" s="14">
        <f>Z930*in_card_fee</f>
        <v/>
      </c>
      <c r="AE930" s="40">
        <f>AE929*(1-IF(B929&gt;=in_marketplace_from,d_hz_hlth_small*G929,0))</f>
        <v/>
      </c>
      <c r="AF930" s="46">
        <f>AE930*IF(B930&gt;=in_marketplace_from,d_hz_hlth_small*G930,0)</f>
        <v/>
      </c>
      <c r="AG930" s="14">
        <f>F930*AF930*in_hlth_small_ticket*in_hlth_small_comm*in_ins_partner_share+F930*in_hlth_small_ticket*in_hlth_small_renew_comm*in_ins_partner_share*(in_hlth_small_renew^1*SUMIFS(AF929:AF970,B929:B970,B930-12)+in_hlth_small_renew^2*SUMIFS(AF929:AF970,B929:B970,B930-24)+in_hlth_small_renew^3*SUMIFS(AF929:AF970,B929:B970,B930-36)+in_hlth_small_renew^4*SUMIFS(AF929:AF970,B929:B970,B930-48))</f>
        <v/>
      </c>
      <c r="AH930" s="40">
        <f>AH929*(1-IF(B929&gt;=in_marketplace_from,d_hz_hlth_family*G929,0))</f>
        <v/>
      </c>
      <c r="AI930" s="46">
        <f>AH930*IF(B930&gt;=in_marketplace_from,d_hz_hlth_family*G930,0)</f>
        <v/>
      </c>
      <c r="AJ930" s="14">
        <f>F930*AI930*in_hlth_family_ticket*in_hlth_family_comm*in_ins_partner_share+F930*in_hlth_family_ticket*in_hlth_family_renew_comm*in_ins_partner_share*(in_hlth_family_renew^1*SUMIFS(AI929:AI970,B929:B970,B930-12)+in_hlth_family_renew^2*SUMIFS(AI929:AI970,B929:B970,B930-24)+in_hlth_family_renew^3*SUMIFS(AI929:AI970,B929:B970,B930-36)+in_hlth_family_renew^4*SUMIFS(AI929:AI970,B929:B970,B930-48))</f>
        <v/>
      </c>
      <c r="AK930" s="40">
        <f>AK929*(1-IF(B929&gt;=in_marketplace_from,d_hz_life_term*G929,0))</f>
        <v/>
      </c>
      <c r="AL930" s="46">
        <f>AK930*IF(B930&gt;=in_marketplace_from,d_hz_life_term*G930,0)</f>
        <v/>
      </c>
      <c r="AM930" s="14">
        <f>F930*AL930*in_life_term_ticket*in_life_term_comm*in_ins_partner_share+F930*in_life_term_ticket*in_life_term_renew_comm*in_ins_partner_share*(in_life_term_renew^1*SUMIFS(AL929:AL970,B929:B970,B930-12)+in_life_term_renew^2*SUMIFS(AL929:AL970,B929:B970,B930-24)+in_life_term_renew^3*SUMIFS(AL929:AL970,B929:B970,B930-36)+in_life_term_renew^4*SUMIFS(AL929:AL970,B929:B970,B930-48))</f>
        <v/>
      </c>
      <c r="AN930" s="40">
        <f>AN929*(1-IF(B929&gt;=in_marketplace_from,d_hz_accident*G929,0))</f>
        <v/>
      </c>
      <c r="AO930" s="46">
        <f>AN930*IF(B930&gt;=in_marketplace_from,d_hz_accident*G930,0)</f>
        <v/>
      </c>
      <c r="AP930" s="14">
        <f>F930*AO930*in_accident_ticket*in_accident_comm*in_ins_partner_share+F930*in_accident_ticket*in_accident_renew_comm*in_ins_partner_share*(in_accident_renew^1*SUMIFS(AO929:AO970,B929:B970,B930-12)+in_accident_renew^2*SUMIFS(AO929:AO970,B929:B970,B930-24)+in_accident_renew^3*SUMIFS(AO929:AO970,B929:B970,B930-36)+in_accident_renew^4*SUMIFS(AO929:AO970,B929:B970,B930-48))</f>
        <v/>
      </c>
      <c r="AQ930" s="40">
        <f>AQ929*(1-IF(B929&gt;=in_marketplace_from,d_hz_two_wheeler*G929,0))</f>
        <v/>
      </c>
      <c r="AR930" s="46">
        <f>AQ930*IF(B930&gt;=in_marketplace_from,d_hz_two_wheeler*G930,0)</f>
        <v/>
      </c>
      <c r="AS930" s="14">
        <f>F930*AR930*in_two_wheeler_ticket*in_two_wheeler_comm*in_ins_partner_share+F930*in_two_wheeler_ticket*in_two_wheeler_comm*in_ins_partner_share*(in_two_wheeler_renew^1*SUMIFS(AR929:AR970,B929:B970,B930-12)+in_two_wheeler_renew^2*SUMIFS(AR929:AR970,B929:B970,B930-24)+in_two_wheeler_renew^3*SUMIFS(AR929:AR970,B929:B970,B930-36)+in_two_wheeler_renew^4*SUMIFS(AR929:AR970,B929:B970,B930-48))</f>
        <v/>
      </c>
      <c r="AT930" s="40">
        <f>AT929*(1-IF(B929&gt;=in_marketplace_from,d_hz_device*G929,0))</f>
        <v/>
      </c>
      <c r="AU930" s="14">
        <f>F930*AT930*IF(B930&gt;=in_marketplace_from,d_hz_device*G930,0)*in_device_ticket*in_device_comm*in_ins_partner_share</f>
        <v/>
      </c>
      <c r="AV930" s="40">
        <f>AV929*(1-IF(B929&gt;=in_marketplace_from,d_hz_shop*G929,0))</f>
        <v/>
      </c>
      <c r="AW930" s="46">
        <f>AV930*IF(B930&gt;=in_marketplace_from,d_hz_shop*G930,0)</f>
        <v/>
      </c>
      <c r="AX930" s="14">
        <f>F930*AW930*in_shop_ticket*in_shop_comm*in_ins_partner_share+F930*in_shop_ticket*in_shop_renew_comm*in_ins_partner_share*(in_shop_renew^1*SUMIFS(AW929:AW970,B929:B970,B930-12)+in_shop_renew^2*SUMIFS(AW929:AW970,B929:B970,B930-24)+in_shop_renew^3*SUMIFS(AW929:AW970,B929:B970,B930-36)+in_shop_renew^4*SUMIFS(AW929:AW970,B929:B970,B930-48))</f>
        <v/>
      </c>
      <c r="AY930" s="40">
        <f>AY929*(1-IF(B929&gt;=in_marketplace_from,d_hz_sip*G929,0))</f>
        <v/>
      </c>
      <c r="AZ930" s="40">
        <f>AZ929*d_rho_sip+AY930*IF(B930&gt;=in_marketplace_from,d_hz_sip*G930,0)</f>
        <v/>
      </c>
      <c r="BA930" s="40">
        <f>d_rho_sip*(BA929+AZ929)</f>
        <v/>
      </c>
      <c r="BB930" s="14">
        <f>F930*in_sip_ticket*(BA930+0.5*AZ930)*in_sip_comm/12</f>
        <v/>
      </c>
      <c r="BC930" s="40">
        <f>BC929*(1-IF(B929&gt;=in_marketplace_from,d_hz_choti*G929,0))</f>
        <v/>
      </c>
      <c r="BD930" s="46">
        <f>BC930*IF(B930&gt;=in_marketplace_from,d_hz_choti*G930,0)</f>
        <v/>
      </c>
      <c r="BE930" s="14">
        <f>F930*SUMIFS(BD929:BD970,B929:B970,B930-in_choti_months)*in_choti_renew*in_choti_ticket</f>
        <v/>
      </c>
      <c r="BF930" s="40">
        <f>BF929*(1-IF(B929&gt;=in_marketplace_from,d_hz_nps*G929,0))</f>
        <v/>
      </c>
      <c r="BG930" s="14">
        <f>F930*BF930*IF(B930&gt;=in_marketplace_from,d_hz_nps*G930,0)*in_nps_ticket*in_nps_comm</f>
        <v/>
      </c>
      <c r="BH930" s="40">
        <f>BH929*(1-IF(B929&gt;=in_marketplace_from,d_hz_gold*G929,0))</f>
        <v/>
      </c>
      <c r="BI930" s="40">
        <f>BI929*d_rho_gold+BH930*IF(B930&gt;=in_marketplace_from,d_hz_gold*G930,0)</f>
        <v/>
      </c>
      <c r="BJ930" s="14">
        <f>F930*BI930*in_gold_ticket*in_gold_comm</f>
        <v/>
      </c>
      <c r="BK930" s="40">
        <f>BK929*(1-IF(B929&gt;=in_marketplace_from,d_hz_fd*G929,0))</f>
        <v/>
      </c>
      <c r="BL930" s="14">
        <f>F930*BK930*IF(B930&gt;=in_marketplace_from,d_hz_fd*G930,0)*in_fd_ticket*in_fd_comm</f>
        <v/>
      </c>
      <c r="BM930" s="40">
        <f>BM929*(1-IF(B929&gt;=in_marketplace_from,d_hz_recharge*G929,0))</f>
        <v/>
      </c>
      <c r="BN930" s="40">
        <f>BN929*d_rho_recharge+BM930*IF(B930&gt;=in_marketplace_from,d_hz_recharge*G930,0)</f>
        <v/>
      </c>
      <c r="BO930" s="14">
        <f>F930*BN930*in_recharge_ticket*in_recharge_comm/12</f>
        <v/>
      </c>
      <c r="BP930" s="40">
        <f>BP929*(1-IF(B929&gt;=in_marketplace_from,d_hz_bills*G929,0))</f>
        <v/>
      </c>
      <c r="BQ930" s="40">
        <f>BQ929*d_rho_bills+BP930*IF(B930&gt;=in_marketplace_from,d_hz_bills*G930,0)</f>
        <v/>
      </c>
      <c r="BR930" s="14">
        <f>F930*BQ930*in_bills_ticket*in_bills_comm/12</f>
        <v/>
      </c>
      <c r="BS930" s="40">
        <f>BS929*(1-IF(B929&gt;=in_marketplace_from,d_hz_loan_gold*G929,0))</f>
        <v/>
      </c>
      <c r="BT930" s="14">
        <f>F930*BS930*IF(B930&gt;=in_marketplace_from,d_hz_loan_gold*G930,0)*in_loan_gold_ticket*in_loan_gold_comm</f>
        <v/>
      </c>
      <c r="BU930" s="40">
        <f>BU929*(1-IF(B929&gt;=in_marketplace_from,d_hz_loan_cd*G929,0))</f>
        <v/>
      </c>
      <c r="BV930" s="14">
        <f>F930*BU930*IF(B930&gt;=in_marketplace_from,d_hz_loan_cd*G930,0)*in_loan_cd_ticket*in_loan_cd_comm</f>
        <v/>
      </c>
      <c r="BW930" s="40">
        <f>BW929*(1-IF(B929&gt;=in_marketplace_from,d_hz_loan_vehicle*G929,0))</f>
        <v/>
      </c>
      <c r="BX930" s="14">
        <f>F930*BW930*IF(B930&gt;=in_marketplace_from,d_hz_loan_vehicle*G930,0)*in_loan_vehicle_ticket*in_loan_vehicle_comm</f>
        <v/>
      </c>
      <c r="BY930" s="40">
        <f>BY929*(1-IF(B929&gt;=in_marketplace_from,d_hz_loan_home*G929,0)*BZ929)</f>
        <v/>
      </c>
      <c r="BZ930" s="11">
        <f>MIN(in_approval_cap,in_loan_home_approval*INDEX('Age profile'!$O$2:$O$61,B930)*(1+in_approval_growth)^(D930-1))</f>
        <v/>
      </c>
      <c r="CA930" s="14">
        <f>F930*BY930*IF(B930&gt;=in_marketplace_from,d_hz_loan_home*G930,0)*BZ930*in_loan_home_ticket*in_loan_home_comm</f>
        <v/>
      </c>
      <c r="CB930" s="40">
        <f>CB929*(1-IF(B929&gt;=in_marketplace_from,d_hz_loan_lap*G929,0)*CC929)</f>
        <v/>
      </c>
      <c r="CC930" s="11">
        <f>MIN(in_approval_cap,in_loan_lap_approval*INDEX('Age profile'!$O$2:$O$61,B930)*(1+in_approval_growth)^(D930-1))</f>
        <v/>
      </c>
      <c r="CD930" s="14">
        <f>F930*CB930*IF(B930&gt;=in_marketplace_from,d_hz_loan_lap*G930,0)*CC930*in_loan_lap_ticket*in_loan_lap_comm</f>
        <v/>
      </c>
      <c r="CE930" s="14">
        <f>AA930+AB930+AC930+AD930+AG930+AJ930+AM930+AP930+AS930+AU930+AX930+BB930+BE930+BG930+BJ930+BL930+BO930+BR930+BT930+BV930+BX930+CA930+CD930</f>
        <v/>
      </c>
    </row>
    <row r="931">
      <c r="A931" s="39" t="n">
        <v>19</v>
      </c>
      <c r="B931" s="39" t="n">
        <v>3</v>
      </c>
      <c r="C931" s="39">
        <f>A931+B931-1</f>
        <v/>
      </c>
      <c r="D931" s="39">
        <f>INT((C931-1)/12)+1</f>
        <v/>
      </c>
      <c r="E931" s="44">
        <f>INDEX(Monthly!$B$2:$B$61,A931)</f>
        <v/>
      </c>
      <c r="F931" s="44">
        <f>E931*INDEX('Age profile'!$B$2:$B$61,B931)</f>
        <v/>
      </c>
      <c r="G931" s="45">
        <f>MIN(in_takeup_cap,INDEX('Age profile'!$N$2:$N$61,B931)*(1+in_takeup_growth)^(D931-1))</f>
        <v/>
      </c>
      <c r="H931" s="11">
        <f>MIN(in_approval_cap,in_approved_first*INDEX('Age profile'!$O$2:$O$61,B931)*(1+in_approval_growth)^(D931-1))</f>
        <v/>
      </c>
      <c r="I931" s="45">
        <f>G931*MIN(in_takeup_cap,INDEX('Age profile'!$O$2:$O$61,B931)*(1+in_approval_growth)^(D931-1))</f>
        <v/>
      </c>
      <c r="J931" s="40">
        <f>(J930-L930)*F931/F930</f>
        <v/>
      </c>
      <c r="K931" s="40">
        <f>(K930-M930)*F931/F930+SUMIFS(O929:O930,B929:B930,B931-1-d_T)*F931</f>
        <v/>
      </c>
      <c r="L931" s="40">
        <f>IF(B931&gt;=in_marketplace_from,J931*d_hz*G931*in_eligible*H931,0)</f>
        <v/>
      </c>
      <c r="M931" s="40">
        <f>IF(B931&gt;=in_marketplace_from,K931*d_hz*G931*in_eligible*in_approved_repeat,0)</f>
        <v/>
      </c>
      <c r="N931" s="40">
        <f>L931+M931</f>
        <v/>
      </c>
      <c r="O931" s="46">
        <f>N931/F931</f>
        <v/>
      </c>
      <c r="P931" s="40">
        <f>F931-J931-K931</f>
        <v/>
      </c>
      <c r="Q931" s="40">
        <f>IF(B931&gt;=in_marketplace_from,(J931+K931)*d_hz*G931,0)</f>
        <v/>
      </c>
      <c r="R931" s="40">
        <f>SUMIFS(N929:N970,B929:B970,"&gt;="&amp;(B931-d_T),B929:B970,"&lt;="&amp;(B931-1))</f>
        <v/>
      </c>
      <c r="S931" s="46">
        <f>(1-d_u)*S930+IF(d_T&gt;in_topup_lag,SUMIFS(O929:O970,B929:B970,B931-in_topup_lag)-d_udrop*SUMIFS(O929:O970,B929:B970,B931-d_T),0)</f>
        <v/>
      </c>
      <c r="T931" s="40">
        <f>F931*d_u*S931</f>
        <v/>
      </c>
      <c r="U931" s="9">
        <f>L931*in_ticket+M931*d_rep_ticket</f>
        <v/>
      </c>
      <c r="V931" s="9">
        <f>U931+T931*d_topup_amt</f>
        <v/>
      </c>
      <c r="W931" s="40">
        <f>N931+T931*d_topup_ratio</f>
        <v/>
      </c>
      <c r="X931" s="40">
        <f>SUMIFS(W929:W970,B929:B970,B931-in_dpd_lag)*d_cured</f>
        <v/>
      </c>
      <c r="Y931" s="40">
        <f>SUMIFS(W929:W970,B929:B970,B931-in_rec_lag)*d_recd</f>
        <v/>
      </c>
      <c r="Z931" s="40">
        <f>IF(AND(B931&gt;=in_marketplace_from,B931&lt;in_marketplace_from+in_card_months),in_card_share/in_card_months*F931*I931,IF(AND(B931&gt;=in_marketplace_from+in_card_months,B931&lt;in_marketplace_from+2*in_card_months),in_card_share*d_card_rem/in_card_months*F931*MIN(in_takeup_cap,(1+in_takeup_growth)^(D931-1))*MIN(in_takeup_cap,(1+in_approval_growth)^(D931-1)),0))</f>
        <v/>
      </c>
      <c r="AA931" s="14">
        <f>V931*in_fee*(1-in_taken_back)</f>
        <v/>
      </c>
      <c r="AB931" s="14">
        <f>SUMIFS(W929:W970,B929:B970,B931-in_dpd_lag)*d_dpd</f>
        <v/>
      </c>
      <c r="AC931" s="14">
        <f>SUMIFS(W929:W970,B929:B970,B931-in_rec_lag)*d_rec</f>
        <v/>
      </c>
      <c r="AD931" s="14">
        <f>Z931*in_card_fee</f>
        <v/>
      </c>
      <c r="AE931" s="40">
        <f>AE930*(1-IF(B930&gt;=in_marketplace_from,d_hz_hlth_small*G930,0))</f>
        <v/>
      </c>
      <c r="AF931" s="46">
        <f>AE931*IF(B931&gt;=in_marketplace_from,d_hz_hlth_small*G931,0)</f>
        <v/>
      </c>
      <c r="AG931" s="14">
        <f>F931*AF931*in_hlth_small_ticket*in_hlth_small_comm*in_ins_partner_share+F931*in_hlth_small_ticket*in_hlth_small_renew_comm*in_ins_partner_share*(in_hlth_small_renew^1*SUMIFS(AF929:AF970,B929:B970,B931-12)+in_hlth_small_renew^2*SUMIFS(AF929:AF970,B929:B970,B931-24)+in_hlth_small_renew^3*SUMIFS(AF929:AF970,B929:B970,B931-36)+in_hlth_small_renew^4*SUMIFS(AF929:AF970,B929:B970,B931-48))</f>
        <v/>
      </c>
      <c r="AH931" s="40">
        <f>AH930*(1-IF(B930&gt;=in_marketplace_from,d_hz_hlth_family*G930,0))</f>
        <v/>
      </c>
      <c r="AI931" s="46">
        <f>AH931*IF(B931&gt;=in_marketplace_from,d_hz_hlth_family*G931,0)</f>
        <v/>
      </c>
      <c r="AJ931" s="14">
        <f>F931*AI931*in_hlth_family_ticket*in_hlth_family_comm*in_ins_partner_share+F931*in_hlth_family_ticket*in_hlth_family_renew_comm*in_ins_partner_share*(in_hlth_family_renew^1*SUMIFS(AI929:AI970,B929:B970,B931-12)+in_hlth_family_renew^2*SUMIFS(AI929:AI970,B929:B970,B931-24)+in_hlth_family_renew^3*SUMIFS(AI929:AI970,B929:B970,B931-36)+in_hlth_family_renew^4*SUMIFS(AI929:AI970,B929:B970,B931-48))</f>
        <v/>
      </c>
      <c r="AK931" s="40">
        <f>AK930*(1-IF(B930&gt;=in_marketplace_from,d_hz_life_term*G930,0))</f>
        <v/>
      </c>
      <c r="AL931" s="46">
        <f>AK931*IF(B931&gt;=in_marketplace_from,d_hz_life_term*G931,0)</f>
        <v/>
      </c>
      <c r="AM931" s="14">
        <f>F931*AL931*in_life_term_ticket*in_life_term_comm*in_ins_partner_share+F931*in_life_term_ticket*in_life_term_renew_comm*in_ins_partner_share*(in_life_term_renew^1*SUMIFS(AL929:AL970,B929:B970,B931-12)+in_life_term_renew^2*SUMIFS(AL929:AL970,B929:B970,B931-24)+in_life_term_renew^3*SUMIFS(AL929:AL970,B929:B970,B931-36)+in_life_term_renew^4*SUMIFS(AL929:AL970,B929:B970,B931-48))</f>
        <v/>
      </c>
      <c r="AN931" s="40">
        <f>AN930*(1-IF(B930&gt;=in_marketplace_from,d_hz_accident*G930,0))</f>
        <v/>
      </c>
      <c r="AO931" s="46">
        <f>AN931*IF(B931&gt;=in_marketplace_from,d_hz_accident*G931,0)</f>
        <v/>
      </c>
      <c r="AP931" s="14">
        <f>F931*AO931*in_accident_ticket*in_accident_comm*in_ins_partner_share+F931*in_accident_ticket*in_accident_renew_comm*in_ins_partner_share*(in_accident_renew^1*SUMIFS(AO929:AO970,B929:B970,B931-12)+in_accident_renew^2*SUMIFS(AO929:AO970,B929:B970,B931-24)+in_accident_renew^3*SUMIFS(AO929:AO970,B929:B970,B931-36)+in_accident_renew^4*SUMIFS(AO929:AO970,B929:B970,B931-48))</f>
        <v/>
      </c>
      <c r="AQ931" s="40">
        <f>AQ930*(1-IF(B930&gt;=in_marketplace_from,d_hz_two_wheeler*G930,0))</f>
        <v/>
      </c>
      <c r="AR931" s="46">
        <f>AQ931*IF(B931&gt;=in_marketplace_from,d_hz_two_wheeler*G931,0)</f>
        <v/>
      </c>
      <c r="AS931" s="14">
        <f>F931*AR931*in_two_wheeler_ticket*in_two_wheeler_comm*in_ins_partner_share+F931*in_two_wheeler_ticket*in_two_wheeler_comm*in_ins_partner_share*(in_two_wheeler_renew^1*SUMIFS(AR929:AR970,B929:B970,B931-12)+in_two_wheeler_renew^2*SUMIFS(AR929:AR970,B929:B970,B931-24)+in_two_wheeler_renew^3*SUMIFS(AR929:AR970,B929:B970,B931-36)+in_two_wheeler_renew^4*SUMIFS(AR929:AR970,B929:B970,B931-48))</f>
        <v/>
      </c>
      <c r="AT931" s="40">
        <f>AT930*(1-IF(B930&gt;=in_marketplace_from,d_hz_device*G930,0))</f>
        <v/>
      </c>
      <c r="AU931" s="14">
        <f>F931*AT931*IF(B931&gt;=in_marketplace_from,d_hz_device*G931,0)*in_device_ticket*in_device_comm*in_ins_partner_share</f>
        <v/>
      </c>
      <c r="AV931" s="40">
        <f>AV930*(1-IF(B930&gt;=in_marketplace_from,d_hz_shop*G930,0))</f>
        <v/>
      </c>
      <c r="AW931" s="46">
        <f>AV931*IF(B931&gt;=in_marketplace_from,d_hz_shop*G931,0)</f>
        <v/>
      </c>
      <c r="AX931" s="14">
        <f>F931*AW931*in_shop_ticket*in_shop_comm*in_ins_partner_share+F931*in_shop_ticket*in_shop_renew_comm*in_ins_partner_share*(in_shop_renew^1*SUMIFS(AW929:AW970,B929:B970,B931-12)+in_shop_renew^2*SUMIFS(AW929:AW970,B929:B970,B931-24)+in_shop_renew^3*SUMIFS(AW929:AW970,B929:B970,B931-36)+in_shop_renew^4*SUMIFS(AW929:AW970,B929:B970,B931-48))</f>
        <v/>
      </c>
      <c r="AY931" s="40">
        <f>AY930*(1-IF(B930&gt;=in_marketplace_from,d_hz_sip*G930,0))</f>
        <v/>
      </c>
      <c r="AZ931" s="40">
        <f>AZ930*d_rho_sip+AY931*IF(B931&gt;=in_marketplace_from,d_hz_sip*G931,0)</f>
        <v/>
      </c>
      <c r="BA931" s="40">
        <f>d_rho_sip*(BA930+AZ930)</f>
        <v/>
      </c>
      <c r="BB931" s="14">
        <f>F931*in_sip_ticket*(BA931+0.5*AZ931)*in_sip_comm/12</f>
        <v/>
      </c>
      <c r="BC931" s="40">
        <f>BC930*(1-IF(B930&gt;=in_marketplace_from,d_hz_choti*G930,0))</f>
        <v/>
      </c>
      <c r="BD931" s="46">
        <f>BC931*IF(B931&gt;=in_marketplace_from,d_hz_choti*G931,0)</f>
        <v/>
      </c>
      <c r="BE931" s="14">
        <f>F931*SUMIFS(BD929:BD970,B929:B970,B931-in_choti_months)*in_choti_renew*in_choti_ticket</f>
        <v/>
      </c>
      <c r="BF931" s="40">
        <f>BF930*(1-IF(B930&gt;=in_marketplace_from,d_hz_nps*G930,0))</f>
        <v/>
      </c>
      <c r="BG931" s="14">
        <f>F931*BF931*IF(B931&gt;=in_marketplace_from,d_hz_nps*G931,0)*in_nps_ticket*in_nps_comm</f>
        <v/>
      </c>
      <c r="BH931" s="40">
        <f>BH930*(1-IF(B930&gt;=in_marketplace_from,d_hz_gold*G930,0))</f>
        <v/>
      </c>
      <c r="BI931" s="40">
        <f>BI930*d_rho_gold+BH931*IF(B931&gt;=in_marketplace_from,d_hz_gold*G931,0)</f>
        <v/>
      </c>
      <c r="BJ931" s="14">
        <f>F931*BI931*in_gold_ticket*in_gold_comm</f>
        <v/>
      </c>
      <c r="BK931" s="40">
        <f>BK930*(1-IF(B930&gt;=in_marketplace_from,d_hz_fd*G930,0))</f>
        <v/>
      </c>
      <c r="BL931" s="14">
        <f>F931*BK931*IF(B931&gt;=in_marketplace_from,d_hz_fd*G931,0)*in_fd_ticket*in_fd_comm</f>
        <v/>
      </c>
      <c r="BM931" s="40">
        <f>BM930*(1-IF(B930&gt;=in_marketplace_from,d_hz_recharge*G930,0))</f>
        <v/>
      </c>
      <c r="BN931" s="40">
        <f>BN930*d_rho_recharge+BM931*IF(B931&gt;=in_marketplace_from,d_hz_recharge*G931,0)</f>
        <v/>
      </c>
      <c r="BO931" s="14">
        <f>F931*BN931*in_recharge_ticket*in_recharge_comm/12</f>
        <v/>
      </c>
      <c r="BP931" s="40">
        <f>BP930*(1-IF(B930&gt;=in_marketplace_from,d_hz_bills*G930,0))</f>
        <v/>
      </c>
      <c r="BQ931" s="40">
        <f>BQ930*d_rho_bills+BP931*IF(B931&gt;=in_marketplace_from,d_hz_bills*G931,0)</f>
        <v/>
      </c>
      <c r="BR931" s="14">
        <f>F931*BQ931*in_bills_ticket*in_bills_comm/12</f>
        <v/>
      </c>
      <c r="BS931" s="40">
        <f>BS930*(1-IF(B930&gt;=in_marketplace_from,d_hz_loan_gold*G930,0))</f>
        <v/>
      </c>
      <c r="BT931" s="14">
        <f>F931*BS931*IF(B931&gt;=in_marketplace_from,d_hz_loan_gold*G931,0)*in_loan_gold_ticket*in_loan_gold_comm</f>
        <v/>
      </c>
      <c r="BU931" s="40">
        <f>BU930*(1-IF(B930&gt;=in_marketplace_from,d_hz_loan_cd*G930,0))</f>
        <v/>
      </c>
      <c r="BV931" s="14">
        <f>F931*BU931*IF(B931&gt;=in_marketplace_from,d_hz_loan_cd*G931,0)*in_loan_cd_ticket*in_loan_cd_comm</f>
        <v/>
      </c>
      <c r="BW931" s="40">
        <f>BW930*(1-IF(B930&gt;=in_marketplace_from,d_hz_loan_vehicle*G930,0))</f>
        <v/>
      </c>
      <c r="BX931" s="14">
        <f>F931*BW931*IF(B931&gt;=in_marketplace_from,d_hz_loan_vehicle*G931,0)*in_loan_vehicle_ticket*in_loan_vehicle_comm</f>
        <v/>
      </c>
      <c r="BY931" s="40">
        <f>BY930*(1-IF(B930&gt;=in_marketplace_from,d_hz_loan_home*G930,0)*BZ930)</f>
        <v/>
      </c>
      <c r="BZ931" s="11">
        <f>MIN(in_approval_cap,in_loan_home_approval*INDEX('Age profile'!$O$2:$O$61,B931)*(1+in_approval_growth)^(D931-1))</f>
        <v/>
      </c>
      <c r="CA931" s="14">
        <f>F931*BY931*IF(B931&gt;=in_marketplace_from,d_hz_loan_home*G931,0)*BZ931*in_loan_home_ticket*in_loan_home_comm</f>
        <v/>
      </c>
      <c r="CB931" s="40">
        <f>CB930*(1-IF(B930&gt;=in_marketplace_from,d_hz_loan_lap*G930,0)*CC930)</f>
        <v/>
      </c>
      <c r="CC931" s="11">
        <f>MIN(in_approval_cap,in_loan_lap_approval*INDEX('Age profile'!$O$2:$O$61,B931)*(1+in_approval_growth)^(D931-1))</f>
        <v/>
      </c>
      <c r="CD931" s="14">
        <f>F931*CB931*IF(B931&gt;=in_marketplace_from,d_hz_loan_lap*G931,0)*CC931*in_loan_lap_ticket*in_loan_lap_comm</f>
        <v/>
      </c>
      <c r="CE931" s="14">
        <f>AA931+AB931+AC931+AD931+AG931+AJ931+AM931+AP931+AS931+AU931+AX931+BB931+BE931+BG931+BJ931+BL931+BO931+BR931+BT931+BV931+BX931+CA931+CD931</f>
        <v/>
      </c>
    </row>
    <row r="932">
      <c r="A932" s="39" t="n">
        <v>19</v>
      </c>
      <c r="B932" s="39" t="n">
        <v>4</v>
      </c>
      <c r="C932" s="39">
        <f>A932+B932-1</f>
        <v/>
      </c>
      <c r="D932" s="39">
        <f>INT((C932-1)/12)+1</f>
        <v/>
      </c>
      <c r="E932" s="44">
        <f>INDEX(Monthly!$B$2:$B$61,A932)</f>
        <v/>
      </c>
      <c r="F932" s="44">
        <f>E932*INDEX('Age profile'!$B$2:$B$61,B932)</f>
        <v/>
      </c>
      <c r="G932" s="45">
        <f>MIN(in_takeup_cap,INDEX('Age profile'!$N$2:$N$61,B932)*(1+in_takeup_growth)^(D932-1))</f>
        <v/>
      </c>
      <c r="H932" s="11">
        <f>MIN(in_approval_cap,in_approved_first*INDEX('Age profile'!$O$2:$O$61,B932)*(1+in_approval_growth)^(D932-1))</f>
        <v/>
      </c>
      <c r="I932" s="45">
        <f>G932*MIN(in_takeup_cap,INDEX('Age profile'!$O$2:$O$61,B932)*(1+in_approval_growth)^(D932-1))</f>
        <v/>
      </c>
      <c r="J932" s="40">
        <f>(J931-L931)*F932/F931</f>
        <v/>
      </c>
      <c r="K932" s="40">
        <f>(K931-M931)*F932/F931+SUMIFS(O929:O931,B929:B931,B932-1-d_T)*F932</f>
        <v/>
      </c>
      <c r="L932" s="40">
        <f>IF(B932&gt;=in_marketplace_from,J932*d_hz*G932*in_eligible*H932,0)</f>
        <v/>
      </c>
      <c r="M932" s="40">
        <f>IF(B932&gt;=in_marketplace_from,K932*d_hz*G932*in_eligible*in_approved_repeat,0)</f>
        <v/>
      </c>
      <c r="N932" s="40">
        <f>L932+M932</f>
        <v/>
      </c>
      <c r="O932" s="46">
        <f>N932/F932</f>
        <v/>
      </c>
      <c r="P932" s="40">
        <f>F932-J932-K932</f>
        <v/>
      </c>
      <c r="Q932" s="40">
        <f>IF(B932&gt;=in_marketplace_from,(J932+K932)*d_hz*G932,0)</f>
        <v/>
      </c>
      <c r="R932" s="40">
        <f>SUMIFS(N929:N970,B929:B970,"&gt;="&amp;(B932-d_T),B929:B970,"&lt;="&amp;(B932-1))</f>
        <v/>
      </c>
      <c r="S932" s="46">
        <f>(1-d_u)*S931+IF(d_T&gt;in_topup_lag,SUMIFS(O929:O970,B929:B970,B932-in_topup_lag)-d_udrop*SUMIFS(O929:O970,B929:B970,B932-d_T),0)</f>
        <v/>
      </c>
      <c r="T932" s="40">
        <f>F932*d_u*S932</f>
        <v/>
      </c>
      <c r="U932" s="9">
        <f>L932*in_ticket+M932*d_rep_ticket</f>
        <v/>
      </c>
      <c r="V932" s="9">
        <f>U932+T932*d_topup_amt</f>
        <v/>
      </c>
      <c r="W932" s="40">
        <f>N932+T932*d_topup_ratio</f>
        <v/>
      </c>
      <c r="X932" s="40">
        <f>SUMIFS(W929:W970,B929:B970,B932-in_dpd_lag)*d_cured</f>
        <v/>
      </c>
      <c r="Y932" s="40">
        <f>SUMIFS(W929:W970,B929:B970,B932-in_rec_lag)*d_recd</f>
        <v/>
      </c>
      <c r="Z932" s="40">
        <f>IF(AND(B932&gt;=in_marketplace_from,B932&lt;in_marketplace_from+in_card_months),in_card_share/in_card_months*F932*I932,IF(AND(B932&gt;=in_marketplace_from+in_card_months,B932&lt;in_marketplace_from+2*in_card_months),in_card_share*d_card_rem/in_card_months*F932*MIN(in_takeup_cap,(1+in_takeup_growth)^(D932-1))*MIN(in_takeup_cap,(1+in_approval_growth)^(D932-1)),0))</f>
        <v/>
      </c>
      <c r="AA932" s="14">
        <f>V932*in_fee*(1-in_taken_back)</f>
        <v/>
      </c>
      <c r="AB932" s="14">
        <f>SUMIFS(W929:W970,B929:B970,B932-in_dpd_lag)*d_dpd</f>
        <v/>
      </c>
      <c r="AC932" s="14">
        <f>SUMIFS(W929:W970,B929:B970,B932-in_rec_lag)*d_rec</f>
        <v/>
      </c>
      <c r="AD932" s="14">
        <f>Z932*in_card_fee</f>
        <v/>
      </c>
      <c r="AE932" s="40">
        <f>AE931*(1-IF(B931&gt;=in_marketplace_from,d_hz_hlth_small*G931,0))</f>
        <v/>
      </c>
      <c r="AF932" s="46">
        <f>AE932*IF(B932&gt;=in_marketplace_from,d_hz_hlth_small*G932,0)</f>
        <v/>
      </c>
      <c r="AG932" s="14">
        <f>F932*AF932*in_hlth_small_ticket*in_hlth_small_comm*in_ins_partner_share+F932*in_hlth_small_ticket*in_hlth_small_renew_comm*in_ins_partner_share*(in_hlth_small_renew^1*SUMIFS(AF929:AF970,B929:B970,B932-12)+in_hlth_small_renew^2*SUMIFS(AF929:AF970,B929:B970,B932-24)+in_hlth_small_renew^3*SUMIFS(AF929:AF970,B929:B970,B932-36)+in_hlth_small_renew^4*SUMIFS(AF929:AF970,B929:B970,B932-48))</f>
        <v/>
      </c>
      <c r="AH932" s="40">
        <f>AH931*(1-IF(B931&gt;=in_marketplace_from,d_hz_hlth_family*G931,0))</f>
        <v/>
      </c>
      <c r="AI932" s="46">
        <f>AH932*IF(B932&gt;=in_marketplace_from,d_hz_hlth_family*G932,0)</f>
        <v/>
      </c>
      <c r="AJ932" s="14">
        <f>F932*AI932*in_hlth_family_ticket*in_hlth_family_comm*in_ins_partner_share+F932*in_hlth_family_ticket*in_hlth_family_renew_comm*in_ins_partner_share*(in_hlth_family_renew^1*SUMIFS(AI929:AI970,B929:B970,B932-12)+in_hlth_family_renew^2*SUMIFS(AI929:AI970,B929:B970,B932-24)+in_hlth_family_renew^3*SUMIFS(AI929:AI970,B929:B970,B932-36)+in_hlth_family_renew^4*SUMIFS(AI929:AI970,B929:B970,B932-48))</f>
        <v/>
      </c>
      <c r="AK932" s="40">
        <f>AK931*(1-IF(B931&gt;=in_marketplace_from,d_hz_life_term*G931,0))</f>
        <v/>
      </c>
      <c r="AL932" s="46">
        <f>AK932*IF(B932&gt;=in_marketplace_from,d_hz_life_term*G932,0)</f>
        <v/>
      </c>
      <c r="AM932" s="14">
        <f>F932*AL932*in_life_term_ticket*in_life_term_comm*in_ins_partner_share+F932*in_life_term_ticket*in_life_term_renew_comm*in_ins_partner_share*(in_life_term_renew^1*SUMIFS(AL929:AL970,B929:B970,B932-12)+in_life_term_renew^2*SUMIFS(AL929:AL970,B929:B970,B932-24)+in_life_term_renew^3*SUMIFS(AL929:AL970,B929:B970,B932-36)+in_life_term_renew^4*SUMIFS(AL929:AL970,B929:B970,B932-48))</f>
        <v/>
      </c>
      <c r="AN932" s="40">
        <f>AN931*(1-IF(B931&gt;=in_marketplace_from,d_hz_accident*G931,0))</f>
        <v/>
      </c>
      <c r="AO932" s="46">
        <f>AN932*IF(B932&gt;=in_marketplace_from,d_hz_accident*G932,0)</f>
        <v/>
      </c>
      <c r="AP932" s="14">
        <f>F932*AO932*in_accident_ticket*in_accident_comm*in_ins_partner_share+F932*in_accident_ticket*in_accident_renew_comm*in_ins_partner_share*(in_accident_renew^1*SUMIFS(AO929:AO970,B929:B970,B932-12)+in_accident_renew^2*SUMIFS(AO929:AO970,B929:B970,B932-24)+in_accident_renew^3*SUMIFS(AO929:AO970,B929:B970,B932-36)+in_accident_renew^4*SUMIFS(AO929:AO970,B929:B970,B932-48))</f>
        <v/>
      </c>
      <c r="AQ932" s="40">
        <f>AQ931*(1-IF(B931&gt;=in_marketplace_from,d_hz_two_wheeler*G931,0))</f>
        <v/>
      </c>
      <c r="AR932" s="46">
        <f>AQ932*IF(B932&gt;=in_marketplace_from,d_hz_two_wheeler*G932,0)</f>
        <v/>
      </c>
      <c r="AS932" s="14">
        <f>F932*AR932*in_two_wheeler_ticket*in_two_wheeler_comm*in_ins_partner_share+F932*in_two_wheeler_ticket*in_two_wheeler_comm*in_ins_partner_share*(in_two_wheeler_renew^1*SUMIFS(AR929:AR970,B929:B970,B932-12)+in_two_wheeler_renew^2*SUMIFS(AR929:AR970,B929:B970,B932-24)+in_two_wheeler_renew^3*SUMIFS(AR929:AR970,B929:B970,B932-36)+in_two_wheeler_renew^4*SUMIFS(AR929:AR970,B929:B970,B932-48))</f>
        <v/>
      </c>
      <c r="AT932" s="40">
        <f>AT931*(1-IF(B931&gt;=in_marketplace_from,d_hz_device*G931,0))</f>
        <v/>
      </c>
      <c r="AU932" s="14">
        <f>F932*AT932*IF(B932&gt;=in_marketplace_from,d_hz_device*G932,0)*in_device_ticket*in_device_comm*in_ins_partner_share</f>
        <v/>
      </c>
      <c r="AV932" s="40">
        <f>AV931*(1-IF(B931&gt;=in_marketplace_from,d_hz_shop*G931,0))</f>
        <v/>
      </c>
      <c r="AW932" s="46">
        <f>AV932*IF(B932&gt;=in_marketplace_from,d_hz_shop*G932,0)</f>
        <v/>
      </c>
      <c r="AX932" s="14">
        <f>F932*AW932*in_shop_ticket*in_shop_comm*in_ins_partner_share+F932*in_shop_ticket*in_shop_renew_comm*in_ins_partner_share*(in_shop_renew^1*SUMIFS(AW929:AW970,B929:B970,B932-12)+in_shop_renew^2*SUMIFS(AW929:AW970,B929:B970,B932-24)+in_shop_renew^3*SUMIFS(AW929:AW970,B929:B970,B932-36)+in_shop_renew^4*SUMIFS(AW929:AW970,B929:B970,B932-48))</f>
        <v/>
      </c>
      <c r="AY932" s="40">
        <f>AY931*(1-IF(B931&gt;=in_marketplace_from,d_hz_sip*G931,0))</f>
        <v/>
      </c>
      <c r="AZ932" s="40">
        <f>AZ931*d_rho_sip+AY932*IF(B932&gt;=in_marketplace_from,d_hz_sip*G932,0)</f>
        <v/>
      </c>
      <c r="BA932" s="40">
        <f>d_rho_sip*(BA931+AZ931)</f>
        <v/>
      </c>
      <c r="BB932" s="14">
        <f>F932*in_sip_ticket*(BA932+0.5*AZ932)*in_sip_comm/12</f>
        <v/>
      </c>
      <c r="BC932" s="40">
        <f>BC931*(1-IF(B931&gt;=in_marketplace_from,d_hz_choti*G931,0))</f>
        <v/>
      </c>
      <c r="BD932" s="46">
        <f>BC932*IF(B932&gt;=in_marketplace_from,d_hz_choti*G932,0)</f>
        <v/>
      </c>
      <c r="BE932" s="14">
        <f>F932*SUMIFS(BD929:BD970,B929:B970,B932-in_choti_months)*in_choti_renew*in_choti_ticket</f>
        <v/>
      </c>
      <c r="BF932" s="40">
        <f>BF931*(1-IF(B931&gt;=in_marketplace_from,d_hz_nps*G931,0))</f>
        <v/>
      </c>
      <c r="BG932" s="14">
        <f>F932*BF932*IF(B932&gt;=in_marketplace_from,d_hz_nps*G932,0)*in_nps_ticket*in_nps_comm</f>
        <v/>
      </c>
      <c r="BH932" s="40">
        <f>BH931*(1-IF(B931&gt;=in_marketplace_from,d_hz_gold*G931,0))</f>
        <v/>
      </c>
      <c r="BI932" s="40">
        <f>BI931*d_rho_gold+BH932*IF(B932&gt;=in_marketplace_from,d_hz_gold*G932,0)</f>
        <v/>
      </c>
      <c r="BJ932" s="14">
        <f>F932*BI932*in_gold_ticket*in_gold_comm</f>
        <v/>
      </c>
      <c r="BK932" s="40">
        <f>BK931*(1-IF(B931&gt;=in_marketplace_from,d_hz_fd*G931,0))</f>
        <v/>
      </c>
      <c r="BL932" s="14">
        <f>F932*BK932*IF(B932&gt;=in_marketplace_from,d_hz_fd*G932,0)*in_fd_ticket*in_fd_comm</f>
        <v/>
      </c>
      <c r="BM932" s="40">
        <f>BM931*(1-IF(B931&gt;=in_marketplace_from,d_hz_recharge*G931,0))</f>
        <v/>
      </c>
      <c r="BN932" s="40">
        <f>BN931*d_rho_recharge+BM932*IF(B932&gt;=in_marketplace_from,d_hz_recharge*G932,0)</f>
        <v/>
      </c>
      <c r="BO932" s="14">
        <f>F932*BN932*in_recharge_ticket*in_recharge_comm/12</f>
        <v/>
      </c>
      <c r="BP932" s="40">
        <f>BP931*(1-IF(B931&gt;=in_marketplace_from,d_hz_bills*G931,0))</f>
        <v/>
      </c>
      <c r="BQ932" s="40">
        <f>BQ931*d_rho_bills+BP932*IF(B932&gt;=in_marketplace_from,d_hz_bills*G932,0)</f>
        <v/>
      </c>
      <c r="BR932" s="14">
        <f>F932*BQ932*in_bills_ticket*in_bills_comm/12</f>
        <v/>
      </c>
      <c r="BS932" s="40">
        <f>BS931*(1-IF(B931&gt;=in_marketplace_from,d_hz_loan_gold*G931,0))</f>
        <v/>
      </c>
      <c r="BT932" s="14">
        <f>F932*BS932*IF(B932&gt;=in_marketplace_from,d_hz_loan_gold*G932,0)*in_loan_gold_ticket*in_loan_gold_comm</f>
        <v/>
      </c>
      <c r="BU932" s="40">
        <f>BU931*(1-IF(B931&gt;=in_marketplace_from,d_hz_loan_cd*G931,0))</f>
        <v/>
      </c>
      <c r="BV932" s="14">
        <f>F932*BU932*IF(B932&gt;=in_marketplace_from,d_hz_loan_cd*G932,0)*in_loan_cd_ticket*in_loan_cd_comm</f>
        <v/>
      </c>
      <c r="BW932" s="40">
        <f>BW931*(1-IF(B931&gt;=in_marketplace_from,d_hz_loan_vehicle*G931,0))</f>
        <v/>
      </c>
      <c r="BX932" s="14">
        <f>F932*BW932*IF(B932&gt;=in_marketplace_from,d_hz_loan_vehicle*G932,0)*in_loan_vehicle_ticket*in_loan_vehicle_comm</f>
        <v/>
      </c>
      <c r="BY932" s="40">
        <f>BY931*(1-IF(B931&gt;=in_marketplace_from,d_hz_loan_home*G931,0)*BZ931)</f>
        <v/>
      </c>
      <c r="BZ932" s="11">
        <f>MIN(in_approval_cap,in_loan_home_approval*INDEX('Age profile'!$O$2:$O$61,B932)*(1+in_approval_growth)^(D932-1))</f>
        <v/>
      </c>
      <c r="CA932" s="14">
        <f>F932*BY932*IF(B932&gt;=in_marketplace_from,d_hz_loan_home*G932,0)*BZ932*in_loan_home_ticket*in_loan_home_comm</f>
        <v/>
      </c>
      <c r="CB932" s="40">
        <f>CB931*(1-IF(B931&gt;=in_marketplace_from,d_hz_loan_lap*G931,0)*CC931)</f>
        <v/>
      </c>
      <c r="CC932" s="11">
        <f>MIN(in_approval_cap,in_loan_lap_approval*INDEX('Age profile'!$O$2:$O$61,B932)*(1+in_approval_growth)^(D932-1))</f>
        <v/>
      </c>
      <c r="CD932" s="14">
        <f>F932*CB932*IF(B932&gt;=in_marketplace_from,d_hz_loan_lap*G932,0)*CC932*in_loan_lap_ticket*in_loan_lap_comm</f>
        <v/>
      </c>
      <c r="CE932" s="14">
        <f>AA932+AB932+AC932+AD932+AG932+AJ932+AM932+AP932+AS932+AU932+AX932+BB932+BE932+BG932+BJ932+BL932+BO932+BR932+BT932+BV932+BX932+CA932+CD932</f>
        <v/>
      </c>
    </row>
    <row r="933">
      <c r="A933" s="39" t="n">
        <v>19</v>
      </c>
      <c r="B933" s="39" t="n">
        <v>5</v>
      </c>
      <c r="C933" s="39">
        <f>A933+B933-1</f>
        <v/>
      </c>
      <c r="D933" s="39">
        <f>INT((C933-1)/12)+1</f>
        <v/>
      </c>
      <c r="E933" s="44">
        <f>INDEX(Monthly!$B$2:$B$61,A933)</f>
        <v/>
      </c>
      <c r="F933" s="44">
        <f>E933*INDEX('Age profile'!$B$2:$B$61,B933)</f>
        <v/>
      </c>
      <c r="G933" s="45">
        <f>MIN(in_takeup_cap,INDEX('Age profile'!$N$2:$N$61,B933)*(1+in_takeup_growth)^(D933-1))</f>
        <v/>
      </c>
      <c r="H933" s="11">
        <f>MIN(in_approval_cap,in_approved_first*INDEX('Age profile'!$O$2:$O$61,B933)*(1+in_approval_growth)^(D933-1))</f>
        <v/>
      </c>
      <c r="I933" s="45">
        <f>G933*MIN(in_takeup_cap,INDEX('Age profile'!$O$2:$O$61,B933)*(1+in_approval_growth)^(D933-1))</f>
        <v/>
      </c>
      <c r="J933" s="40">
        <f>(J932-L932)*F933/F932</f>
        <v/>
      </c>
      <c r="K933" s="40">
        <f>(K932-M932)*F933/F932+SUMIFS(O929:O932,B929:B932,B933-1-d_T)*F933</f>
        <v/>
      </c>
      <c r="L933" s="40">
        <f>IF(B933&gt;=in_marketplace_from,J933*d_hz*G933*in_eligible*H933,0)</f>
        <v/>
      </c>
      <c r="M933" s="40">
        <f>IF(B933&gt;=in_marketplace_from,K933*d_hz*G933*in_eligible*in_approved_repeat,0)</f>
        <v/>
      </c>
      <c r="N933" s="40">
        <f>L933+M933</f>
        <v/>
      </c>
      <c r="O933" s="46">
        <f>N933/F933</f>
        <v/>
      </c>
      <c r="P933" s="40">
        <f>F933-J933-K933</f>
        <v/>
      </c>
      <c r="Q933" s="40">
        <f>IF(B933&gt;=in_marketplace_from,(J933+K933)*d_hz*G933,0)</f>
        <v/>
      </c>
      <c r="R933" s="40">
        <f>SUMIFS(N929:N970,B929:B970,"&gt;="&amp;(B933-d_T),B929:B970,"&lt;="&amp;(B933-1))</f>
        <v/>
      </c>
      <c r="S933" s="46">
        <f>(1-d_u)*S932+IF(d_T&gt;in_topup_lag,SUMIFS(O929:O970,B929:B970,B933-in_topup_lag)-d_udrop*SUMIFS(O929:O970,B929:B970,B933-d_T),0)</f>
        <v/>
      </c>
      <c r="T933" s="40">
        <f>F933*d_u*S933</f>
        <v/>
      </c>
      <c r="U933" s="9">
        <f>L933*in_ticket+M933*d_rep_ticket</f>
        <v/>
      </c>
      <c r="V933" s="9">
        <f>U933+T933*d_topup_amt</f>
        <v/>
      </c>
      <c r="W933" s="40">
        <f>N933+T933*d_topup_ratio</f>
        <v/>
      </c>
      <c r="X933" s="40">
        <f>SUMIFS(W929:W970,B929:B970,B933-in_dpd_lag)*d_cured</f>
        <v/>
      </c>
      <c r="Y933" s="40">
        <f>SUMIFS(W929:W970,B929:B970,B933-in_rec_lag)*d_recd</f>
        <v/>
      </c>
      <c r="Z933" s="40">
        <f>IF(AND(B933&gt;=in_marketplace_from,B933&lt;in_marketplace_from+in_card_months),in_card_share/in_card_months*F933*I933,IF(AND(B933&gt;=in_marketplace_from+in_card_months,B933&lt;in_marketplace_from+2*in_card_months),in_card_share*d_card_rem/in_card_months*F933*MIN(in_takeup_cap,(1+in_takeup_growth)^(D933-1))*MIN(in_takeup_cap,(1+in_approval_growth)^(D933-1)),0))</f>
        <v/>
      </c>
      <c r="AA933" s="14">
        <f>V933*in_fee*(1-in_taken_back)</f>
        <v/>
      </c>
      <c r="AB933" s="14">
        <f>SUMIFS(W929:W970,B929:B970,B933-in_dpd_lag)*d_dpd</f>
        <v/>
      </c>
      <c r="AC933" s="14">
        <f>SUMIFS(W929:W970,B929:B970,B933-in_rec_lag)*d_rec</f>
        <v/>
      </c>
      <c r="AD933" s="14">
        <f>Z933*in_card_fee</f>
        <v/>
      </c>
      <c r="AE933" s="40">
        <f>AE932*(1-IF(B932&gt;=in_marketplace_from,d_hz_hlth_small*G932,0))</f>
        <v/>
      </c>
      <c r="AF933" s="46">
        <f>AE933*IF(B933&gt;=in_marketplace_from,d_hz_hlth_small*G933,0)</f>
        <v/>
      </c>
      <c r="AG933" s="14">
        <f>F933*AF933*in_hlth_small_ticket*in_hlth_small_comm*in_ins_partner_share+F933*in_hlth_small_ticket*in_hlth_small_renew_comm*in_ins_partner_share*(in_hlth_small_renew^1*SUMIFS(AF929:AF970,B929:B970,B933-12)+in_hlth_small_renew^2*SUMIFS(AF929:AF970,B929:B970,B933-24)+in_hlth_small_renew^3*SUMIFS(AF929:AF970,B929:B970,B933-36)+in_hlth_small_renew^4*SUMIFS(AF929:AF970,B929:B970,B933-48))</f>
        <v/>
      </c>
      <c r="AH933" s="40">
        <f>AH932*(1-IF(B932&gt;=in_marketplace_from,d_hz_hlth_family*G932,0))</f>
        <v/>
      </c>
      <c r="AI933" s="46">
        <f>AH933*IF(B933&gt;=in_marketplace_from,d_hz_hlth_family*G933,0)</f>
        <v/>
      </c>
      <c r="AJ933" s="14">
        <f>F933*AI933*in_hlth_family_ticket*in_hlth_family_comm*in_ins_partner_share+F933*in_hlth_family_ticket*in_hlth_family_renew_comm*in_ins_partner_share*(in_hlth_family_renew^1*SUMIFS(AI929:AI970,B929:B970,B933-12)+in_hlth_family_renew^2*SUMIFS(AI929:AI970,B929:B970,B933-24)+in_hlth_family_renew^3*SUMIFS(AI929:AI970,B929:B970,B933-36)+in_hlth_family_renew^4*SUMIFS(AI929:AI970,B929:B970,B933-48))</f>
        <v/>
      </c>
      <c r="AK933" s="40">
        <f>AK932*(1-IF(B932&gt;=in_marketplace_from,d_hz_life_term*G932,0))</f>
        <v/>
      </c>
      <c r="AL933" s="46">
        <f>AK933*IF(B933&gt;=in_marketplace_from,d_hz_life_term*G933,0)</f>
        <v/>
      </c>
      <c r="AM933" s="14">
        <f>F933*AL933*in_life_term_ticket*in_life_term_comm*in_ins_partner_share+F933*in_life_term_ticket*in_life_term_renew_comm*in_ins_partner_share*(in_life_term_renew^1*SUMIFS(AL929:AL970,B929:B970,B933-12)+in_life_term_renew^2*SUMIFS(AL929:AL970,B929:B970,B933-24)+in_life_term_renew^3*SUMIFS(AL929:AL970,B929:B970,B933-36)+in_life_term_renew^4*SUMIFS(AL929:AL970,B929:B970,B933-48))</f>
        <v/>
      </c>
      <c r="AN933" s="40">
        <f>AN932*(1-IF(B932&gt;=in_marketplace_from,d_hz_accident*G932,0))</f>
        <v/>
      </c>
      <c r="AO933" s="46">
        <f>AN933*IF(B933&gt;=in_marketplace_from,d_hz_accident*G933,0)</f>
        <v/>
      </c>
      <c r="AP933" s="14">
        <f>F933*AO933*in_accident_ticket*in_accident_comm*in_ins_partner_share+F933*in_accident_ticket*in_accident_renew_comm*in_ins_partner_share*(in_accident_renew^1*SUMIFS(AO929:AO970,B929:B970,B933-12)+in_accident_renew^2*SUMIFS(AO929:AO970,B929:B970,B933-24)+in_accident_renew^3*SUMIFS(AO929:AO970,B929:B970,B933-36)+in_accident_renew^4*SUMIFS(AO929:AO970,B929:B970,B933-48))</f>
        <v/>
      </c>
      <c r="AQ933" s="40">
        <f>AQ932*(1-IF(B932&gt;=in_marketplace_from,d_hz_two_wheeler*G932,0))</f>
        <v/>
      </c>
      <c r="AR933" s="46">
        <f>AQ933*IF(B933&gt;=in_marketplace_from,d_hz_two_wheeler*G933,0)</f>
        <v/>
      </c>
      <c r="AS933" s="14">
        <f>F933*AR933*in_two_wheeler_ticket*in_two_wheeler_comm*in_ins_partner_share+F933*in_two_wheeler_ticket*in_two_wheeler_comm*in_ins_partner_share*(in_two_wheeler_renew^1*SUMIFS(AR929:AR970,B929:B970,B933-12)+in_two_wheeler_renew^2*SUMIFS(AR929:AR970,B929:B970,B933-24)+in_two_wheeler_renew^3*SUMIFS(AR929:AR970,B929:B970,B933-36)+in_two_wheeler_renew^4*SUMIFS(AR929:AR970,B929:B970,B933-48))</f>
        <v/>
      </c>
      <c r="AT933" s="40">
        <f>AT932*(1-IF(B932&gt;=in_marketplace_from,d_hz_device*G932,0))</f>
        <v/>
      </c>
      <c r="AU933" s="14">
        <f>F933*AT933*IF(B933&gt;=in_marketplace_from,d_hz_device*G933,0)*in_device_ticket*in_device_comm*in_ins_partner_share</f>
        <v/>
      </c>
      <c r="AV933" s="40">
        <f>AV932*(1-IF(B932&gt;=in_marketplace_from,d_hz_shop*G932,0))</f>
        <v/>
      </c>
      <c r="AW933" s="46">
        <f>AV933*IF(B933&gt;=in_marketplace_from,d_hz_shop*G933,0)</f>
        <v/>
      </c>
      <c r="AX933" s="14">
        <f>F933*AW933*in_shop_ticket*in_shop_comm*in_ins_partner_share+F933*in_shop_ticket*in_shop_renew_comm*in_ins_partner_share*(in_shop_renew^1*SUMIFS(AW929:AW970,B929:B970,B933-12)+in_shop_renew^2*SUMIFS(AW929:AW970,B929:B970,B933-24)+in_shop_renew^3*SUMIFS(AW929:AW970,B929:B970,B933-36)+in_shop_renew^4*SUMIFS(AW929:AW970,B929:B970,B933-48))</f>
        <v/>
      </c>
      <c r="AY933" s="40">
        <f>AY932*(1-IF(B932&gt;=in_marketplace_from,d_hz_sip*G932,0))</f>
        <v/>
      </c>
      <c r="AZ933" s="40">
        <f>AZ932*d_rho_sip+AY933*IF(B933&gt;=in_marketplace_from,d_hz_sip*G933,0)</f>
        <v/>
      </c>
      <c r="BA933" s="40">
        <f>d_rho_sip*(BA932+AZ932)</f>
        <v/>
      </c>
      <c r="BB933" s="14">
        <f>F933*in_sip_ticket*(BA933+0.5*AZ933)*in_sip_comm/12</f>
        <v/>
      </c>
      <c r="BC933" s="40">
        <f>BC932*(1-IF(B932&gt;=in_marketplace_from,d_hz_choti*G932,0))</f>
        <v/>
      </c>
      <c r="BD933" s="46">
        <f>BC933*IF(B933&gt;=in_marketplace_from,d_hz_choti*G933,0)</f>
        <v/>
      </c>
      <c r="BE933" s="14">
        <f>F933*SUMIFS(BD929:BD970,B929:B970,B933-in_choti_months)*in_choti_renew*in_choti_ticket</f>
        <v/>
      </c>
      <c r="BF933" s="40">
        <f>BF932*(1-IF(B932&gt;=in_marketplace_from,d_hz_nps*G932,0))</f>
        <v/>
      </c>
      <c r="BG933" s="14">
        <f>F933*BF933*IF(B933&gt;=in_marketplace_from,d_hz_nps*G933,0)*in_nps_ticket*in_nps_comm</f>
        <v/>
      </c>
      <c r="BH933" s="40">
        <f>BH932*(1-IF(B932&gt;=in_marketplace_from,d_hz_gold*G932,0))</f>
        <v/>
      </c>
      <c r="BI933" s="40">
        <f>BI932*d_rho_gold+BH933*IF(B933&gt;=in_marketplace_from,d_hz_gold*G933,0)</f>
        <v/>
      </c>
      <c r="BJ933" s="14">
        <f>F933*BI933*in_gold_ticket*in_gold_comm</f>
        <v/>
      </c>
      <c r="BK933" s="40">
        <f>BK932*(1-IF(B932&gt;=in_marketplace_from,d_hz_fd*G932,0))</f>
        <v/>
      </c>
      <c r="BL933" s="14">
        <f>F933*BK933*IF(B933&gt;=in_marketplace_from,d_hz_fd*G933,0)*in_fd_ticket*in_fd_comm</f>
        <v/>
      </c>
      <c r="BM933" s="40">
        <f>BM932*(1-IF(B932&gt;=in_marketplace_from,d_hz_recharge*G932,0))</f>
        <v/>
      </c>
      <c r="BN933" s="40">
        <f>BN932*d_rho_recharge+BM933*IF(B933&gt;=in_marketplace_from,d_hz_recharge*G933,0)</f>
        <v/>
      </c>
      <c r="BO933" s="14">
        <f>F933*BN933*in_recharge_ticket*in_recharge_comm/12</f>
        <v/>
      </c>
      <c r="BP933" s="40">
        <f>BP932*(1-IF(B932&gt;=in_marketplace_from,d_hz_bills*G932,0))</f>
        <v/>
      </c>
      <c r="BQ933" s="40">
        <f>BQ932*d_rho_bills+BP933*IF(B933&gt;=in_marketplace_from,d_hz_bills*G933,0)</f>
        <v/>
      </c>
      <c r="BR933" s="14">
        <f>F933*BQ933*in_bills_ticket*in_bills_comm/12</f>
        <v/>
      </c>
      <c r="BS933" s="40">
        <f>BS932*(1-IF(B932&gt;=in_marketplace_from,d_hz_loan_gold*G932,0))</f>
        <v/>
      </c>
      <c r="BT933" s="14">
        <f>F933*BS933*IF(B933&gt;=in_marketplace_from,d_hz_loan_gold*G933,0)*in_loan_gold_ticket*in_loan_gold_comm</f>
        <v/>
      </c>
      <c r="BU933" s="40">
        <f>BU932*(1-IF(B932&gt;=in_marketplace_from,d_hz_loan_cd*G932,0))</f>
        <v/>
      </c>
      <c r="BV933" s="14">
        <f>F933*BU933*IF(B933&gt;=in_marketplace_from,d_hz_loan_cd*G933,0)*in_loan_cd_ticket*in_loan_cd_comm</f>
        <v/>
      </c>
      <c r="BW933" s="40">
        <f>BW932*(1-IF(B932&gt;=in_marketplace_from,d_hz_loan_vehicle*G932,0))</f>
        <v/>
      </c>
      <c r="BX933" s="14">
        <f>F933*BW933*IF(B933&gt;=in_marketplace_from,d_hz_loan_vehicle*G933,0)*in_loan_vehicle_ticket*in_loan_vehicle_comm</f>
        <v/>
      </c>
      <c r="BY933" s="40">
        <f>BY932*(1-IF(B932&gt;=in_marketplace_from,d_hz_loan_home*G932,0)*BZ932)</f>
        <v/>
      </c>
      <c r="BZ933" s="11">
        <f>MIN(in_approval_cap,in_loan_home_approval*INDEX('Age profile'!$O$2:$O$61,B933)*(1+in_approval_growth)^(D933-1))</f>
        <v/>
      </c>
      <c r="CA933" s="14">
        <f>F933*BY933*IF(B933&gt;=in_marketplace_from,d_hz_loan_home*G933,0)*BZ933*in_loan_home_ticket*in_loan_home_comm</f>
        <v/>
      </c>
      <c r="CB933" s="40">
        <f>CB932*(1-IF(B932&gt;=in_marketplace_from,d_hz_loan_lap*G932,0)*CC932)</f>
        <v/>
      </c>
      <c r="CC933" s="11">
        <f>MIN(in_approval_cap,in_loan_lap_approval*INDEX('Age profile'!$O$2:$O$61,B933)*(1+in_approval_growth)^(D933-1))</f>
        <v/>
      </c>
      <c r="CD933" s="14">
        <f>F933*CB933*IF(B933&gt;=in_marketplace_from,d_hz_loan_lap*G933,0)*CC933*in_loan_lap_ticket*in_loan_lap_comm</f>
        <v/>
      </c>
      <c r="CE933" s="14">
        <f>AA933+AB933+AC933+AD933+AG933+AJ933+AM933+AP933+AS933+AU933+AX933+BB933+BE933+BG933+BJ933+BL933+BO933+BR933+BT933+BV933+BX933+CA933+CD933</f>
        <v/>
      </c>
    </row>
    <row r="934">
      <c r="A934" s="39" t="n">
        <v>19</v>
      </c>
      <c r="B934" s="39" t="n">
        <v>6</v>
      </c>
      <c r="C934" s="39">
        <f>A934+B934-1</f>
        <v/>
      </c>
      <c r="D934" s="39">
        <f>INT((C934-1)/12)+1</f>
        <v/>
      </c>
      <c r="E934" s="44">
        <f>INDEX(Monthly!$B$2:$B$61,A934)</f>
        <v/>
      </c>
      <c r="F934" s="44">
        <f>E934*INDEX('Age profile'!$B$2:$B$61,B934)</f>
        <v/>
      </c>
      <c r="G934" s="45">
        <f>MIN(in_takeup_cap,INDEX('Age profile'!$N$2:$N$61,B934)*(1+in_takeup_growth)^(D934-1))</f>
        <v/>
      </c>
      <c r="H934" s="11">
        <f>MIN(in_approval_cap,in_approved_first*INDEX('Age profile'!$O$2:$O$61,B934)*(1+in_approval_growth)^(D934-1))</f>
        <v/>
      </c>
      <c r="I934" s="45">
        <f>G934*MIN(in_takeup_cap,INDEX('Age profile'!$O$2:$O$61,B934)*(1+in_approval_growth)^(D934-1))</f>
        <v/>
      </c>
      <c r="J934" s="40">
        <f>(J933-L933)*F934/F933</f>
        <v/>
      </c>
      <c r="K934" s="40">
        <f>(K933-M933)*F934/F933+SUMIFS(O929:O933,B929:B933,B934-1-d_T)*F934</f>
        <v/>
      </c>
      <c r="L934" s="40">
        <f>IF(B934&gt;=in_marketplace_from,J934*d_hz*G934*in_eligible*H934,0)</f>
        <v/>
      </c>
      <c r="M934" s="40">
        <f>IF(B934&gt;=in_marketplace_from,K934*d_hz*G934*in_eligible*in_approved_repeat,0)</f>
        <v/>
      </c>
      <c r="N934" s="40">
        <f>L934+M934</f>
        <v/>
      </c>
      <c r="O934" s="46">
        <f>N934/F934</f>
        <v/>
      </c>
      <c r="P934" s="40">
        <f>F934-J934-K934</f>
        <v/>
      </c>
      <c r="Q934" s="40">
        <f>IF(B934&gt;=in_marketplace_from,(J934+K934)*d_hz*G934,0)</f>
        <v/>
      </c>
      <c r="R934" s="40">
        <f>SUMIFS(N929:N970,B929:B970,"&gt;="&amp;(B934-d_T),B929:B970,"&lt;="&amp;(B934-1))</f>
        <v/>
      </c>
      <c r="S934" s="46">
        <f>(1-d_u)*S933+IF(d_T&gt;in_topup_lag,SUMIFS(O929:O970,B929:B970,B934-in_topup_lag)-d_udrop*SUMIFS(O929:O970,B929:B970,B934-d_T),0)</f>
        <v/>
      </c>
      <c r="T934" s="40">
        <f>F934*d_u*S934</f>
        <v/>
      </c>
      <c r="U934" s="9">
        <f>L934*in_ticket+M934*d_rep_ticket</f>
        <v/>
      </c>
      <c r="V934" s="9">
        <f>U934+T934*d_topup_amt</f>
        <v/>
      </c>
      <c r="W934" s="40">
        <f>N934+T934*d_topup_ratio</f>
        <v/>
      </c>
      <c r="X934" s="40">
        <f>SUMIFS(W929:W970,B929:B970,B934-in_dpd_lag)*d_cured</f>
        <v/>
      </c>
      <c r="Y934" s="40">
        <f>SUMIFS(W929:W970,B929:B970,B934-in_rec_lag)*d_recd</f>
        <v/>
      </c>
      <c r="Z934" s="40">
        <f>IF(AND(B934&gt;=in_marketplace_from,B934&lt;in_marketplace_from+in_card_months),in_card_share/in_card_months*F934*I934,IF(AND(B934&gt;=in_marketplace_from+in_card_months,B934&lt;in_marketplace_from+2*in_card_months),in_card_share*d_card_rem/in_card_months*F934*MIN(in_takeup_cap,(1+in_takeup_growth)^(D934-1))*MIN(in_takeup_cap,(1+in_approval_growth)^(D934-1)),0))</f>
        <v/>
      </c>
      <c r="AA934" s="14">
        <f>V934*in_fee*(1-in_taken_back)</f>
        <v/>
      </c>
      <c r="AB934" s="14">
        <f>SUMIFS(W929:W970,B929:B970,B934-in_dpd_lag)*d_dpd</f>
        <v/>
      </c>
      <c r="AC934" s="14">
        <f>SUMIFS(W929:W970,B929:B970,B934-in_rec_lag)*d_rec</f>
        <v/>
      </c>
      <c r="AD934" s="14">
        <f>Z934*in_card_fee</f>
        <v/>
      </c>
      <c r="AE934" s="40">
        <f>AE933*(1-IF(B933&gt;=in_marketplace_from,d_hz_hlth_small*G933,0))</f>
        <v/>
      </c>
      <c r="AF934" s="46">
        <f>AE934*IF(B934&gt;=in_marketplace_from,d_hz_hlth_small*G934,0)</f>
        <v/>
      </c>
      <c r="AG934" s="14">
        <f>F934*AF934*in_hlth_small_ticket*in_hlth_small_comm*in_ins_partner_share+F934*in_hlth_small_ticket*in_hlth_small_renew_comm*in_ins_partner_share*(in_hlth_small_renew^1*SUMIFS(AF929:AF970,B929:B970,B934-12)+in_hlth_small_renew^2*SUMIFS(AF929:AF970,B929:B970,B934-24)+in_hlth_small_renew^3*SUMIFS(AF929:AF970,B929:B970,B934-36)+in_hlth_small_renew^4*SUMIFS(AF929:AF970,B929:B970,B934-48))</f>
        <v/>
      </c>
      <c r="AH934" s="40">
        <f>AH933*(1-IF(B933&gt;=in_marketplace_from,d_hz_hlth_family*G933,0))</f>
        <v/>
      </c>
      <c r="AI934" s="46">
        <f>AH934*IF(B934&gt;=in_marketplace_from,d_hz_hlth_family*G934,0)</f>
        <v/>
      </c>
      <c r="AJ934" s="14">
        <f>F934*AI934*in_hlth_family_ticket*in_hlth_family_comm*in_ins_partner_share+F934*in_hlth_family_ticket*in_hlth_family_renew_comm*in_ins_partner_share*(in_hlth_family_renew^1*SUMIFS(AI929:AI970,B929:B970,B934-12)+in_hlth_family_renew^2*SUMIFS(AI929:AI970,B929:B970,B934-24)+in_hlth_family_renew^3*SUMIFS(AI929:AI970,B929:B970,B934-36)+in_hlth_family_renew^4*SUMIFS(AI929:AI970,B929:B970,B934-48))</f>
        <v/>
      </c>
      <c r="AK934" s="40">
        <f>AK933*(1-IF(B933&gt;=in_marketplace_from,d_hz_life_term*G933,0))</f>
        <v/>
      </c>
      <c r="AL934" s="46">
        <f>AK934*IF(B934&gt;=in_marketplace_from,d_hz_life_term*G934,0)</f>
        <v/>
      </c>
      <c r="AM934" s="14">
        <f>F934*AL934*in_life_term_ticket*in_life_term_comm*in_ins_partner_share+F934*in_life_term_ticket*in_life_term_renew_comm*in_ins_partner_share*(in_life_term_renew^1*SUMIFS(AL929:AL970,B929:B970,B934-12)+in_life_term_renew^2*SUMIFS(AL929:AL970,B929:B970,B934-24)+in_life_term_renew^3*SUMIFS(AL929:AL970,B929:B970,B934-36)+in_life_term_renew^4*SUMIFS(AL929:AL970,B929:B970,B934-48))</f>
        <v/>
      </c>
      <c r="AN934" s="40">
        <f>AN933*(1-IF(B933&gt;=in_marketplace_from,d_hz_accident*G933,0))</f>
        <v/>
      </c>
      <c r="AO934" s="46">
        <f>AN934*IF(B934&gt;=in_marketplace_from,d_hz_accident*G934,0)</f>
        <v/>
      </c>
      <c r="AP934" s="14">
        <f>F934*AO934*in_accident_ticket*in_accident_comm*in_ins_partner_share+F934*in_accident_ticket*in_accident_renew_comm*in_ins_partner_share*(in_accident_renew^1*SUMIFS(AO929:AO970,B929:B970,B934-12)+in_accident_renew^2*SUMIFS(AO929:AO970,B929:B970,B934-24)+in_accident_renew^3*SUMIFS(AO929:AO970,B929:B970,B934-36)+in_accident_renew^4*SUMIFS(AO929:AO970,B929:B970,B934-48))</f>
        <v/>
      </c>
      <c r="AQ934" s="40">
        <f>AQ933*(1-IF(B933&gt;=in_marketplace_from,d_hz_two_wheeler*G933,0))</f>
        <v/>
      </c>
      <c r="AR934" s="46">
        <f>AQ934*IF(B934&gt;=in_marketplace_from,d_hz_two_wheeler*G934,0)</f>
        <v/>
      </c>
      <c r="AS934" s="14">
        <f>F934*AR934*in_two_wheeler_ticket*in_two_wheeler_comm*in_ins_partner_share+F934*in_two_wheeler_ticket*in_two_wheeler_comm*in_ins_partner_share*(in_two_wheeler_renew^1*SUMIFS(AR929:AR970,B929:B970,B934-12)+in_two_wheeler_renew^2*SUMIFS(AR929:AR970,B929:B970,B934-24)+in_two_wheeler_renew^3*SUMIFS(AR929:AR970,B929:B970,B934-36)+in_two_wheeler_renew^4*SUMIFS(AR929:AR970,B929:B970,B934-48))</f>
        <v/>
      </c>
      <c r="AT934" s="40">
        <f>AT933*(1-IF(B933&gt;=in_marketplace_from,d_hz_device*G933,0))</f>
        <v/>
      </c>
      <c r="AU934" s="14">
        <f>F934*AT934*IF(B934&gt;=in_marketplace_from,d_hz_device*G934,0)*in_device_ticket*in_device_comm*in_ins_partner_share</f>
        <v/>
      </c>
      <c r="AV934" s="40">
        <f>AV933*(1-IF(B933&gt;=in_marketplace_from,d_hz_shop*G933,0))</f>
        <v/>
      </c>
      <c r="AW934" s="46">
        <f>AV934*IF(B934&gt;=in_marketplace_from,d_hz_shop*G934,0)</f>
        <v/>
      </c>
      <c r="AX934" s="14">
        <f>F934*AW934*in_shop_ticket*in_shop_comm*in_ins_partner_share+F934*in_shop_ticket*in_shop_renew_comm*in_ins_partner_share*(in_shop_renew^1*SUMIFS(AW929:AW970,B929:B970,B934-12)+in_shop_renew^2*SUMIFS(AW929:AW970,B929:B970,B934-24)+in_shop_renew^3*SUMIFS(AW929:AW970,B929:B970,B934-36)+in_shop_renew^4*SUMIFS(AW929:AW970,B929:B970,B934-48))</f>
        <v/>
      </c>
      <c r="AY934" s="40">
        <f>AY933*(1-IF(B933&gt;=in_marketplace_from,d_hz_sip*G933,0))</f>
        <v/>
      </c>
      <c r="AZ934" s="40">
        <f>AZ933*d_rho_sip+AY934*IF(B934&gt;=in_marketplace_from,d_hz_sip*G934,0)</f>
        <v/>
      </c>
      <c r="BA934" s="40">
        <f>d_rho_sip*(BA933+AZ933)</f>
        <v/>
      </c>
      <c r="BB934" s="14">
        <f>F934*in_sip_ticket*(BA934+0.5*AZ934)*in_sip_comm/12</f>
        <v/>
      </c>
      <c r="BC934" s="40">
        <f>BC933*(1-IF(B933&gt;=in_marketplace_from,d_hz_choti*G933,0))</f>
        <v/>
      </c>
      <c r="BD934" s="46">
        <f>BC934*IF(B934&gt;=in_marketplace_from,d_hz_choti*G934,0)</f>
        <v/>
      </c>
      <c r="BE934" s="14">
        <f>F934*SUMIFS(BD929:BD970,B929:B970,B934-in_choti_months)*in_choti_renew*in_choti_ticket</f>
        <v/>
      </c>
      <c r="BF934" s="40">
        <f>BF933*(1-IF(B933&gt;=in_marketplace_from,d_hz_nps*G933,0))</f>
        <v/>
      </c>
      <c r="BG934" s="14">
        <f>F934*BF934*IF(B934&gt;=in_marketplace_from,d_hz_nps*G934,0)*in_nps_ticket*in_nps_comm</f>
        <v/>
      </c>
      <c r="BH934" s="40">
        <f>BH933*(1-IF(B933&gt;=in_marketplace_from,d_hz_gold*G933,0))</f>
        <v/>
      </c>
      <c r="BI934" s="40">
        <f>BI933*d_rho_gold+BH934*IF(B934&gt;=in_marketplace_from,d_hz_gold*G934,0)</f>
        <v/>
      </c>
      <c r="BJ934" s="14">
        <f>F934*BI934*in_gold_ticket*in_gold_comm</f>
        <v/>
      </c>
      <c r="BK934" s="40">
        <f>BK933*(1-IF(B933&gt;=in_marketplace_from,d_hz_fd*G933,0))</f>
        <v/>
      </c>
      <c r="BL934" s="14">
        <f>F934*BK934*IF(B934&gt;=in_marketplace_from,d_hz_fd*G934,0)*in_fd_ticket*in_fd_comm</f>
        <v/>
      </c>
      <c r="BM934" s="40">
        <f>BM933*(1-IF(B933&gt;=in_marketplace_from,d_hz_recharge*G933,0))</f>
        <v/>
      </c>
      <c r="BN934" s="40">
        <f>BN933*d_rho_recharge+BM934*IF(B934&gt;=in_marketplace_from,d_hz_recharge*G934,0)</f>
        <v/>
      </c>
      <c r="BO934" s="14">
        <f>F934*BN934*in_recharge_ticket*in_recharge_comm/12</f>
        <v/>
      </c>
      <c r="BP934" s="40">
        <f>BP933*(1-IF(B933&gt;=in_marketplace_from,d_hz_bills*G933,0))</f>
        <v/>
      </c>
      <c r="BQ934" s="40">
        <f>BQ933*d_rho_bills+BP934*IF(B934&gt;=in_marketplace_from,d_hz_bills*G934,0)</f>
        <v/>
      </c>
      <c r="BR934" s="14">
        <f>F934*BQ934*in_bills_ticket*in_bills_comm/12</f>
        <v/>
      </c>
      <c r="BS934" s="40">
        <f>BS933*(1-IF(B933&gt;=in_marketplace_from,d_hz_loan_gold*G933,0))</f>
        <v/>
      </c>
      <c r="BT934" s="14">
        <f>F934*BS934*IF(B934&gt;=in_marketplace_from,d_hz_loan_gold*G934,0)*in_loan_gold_ticket*in_loan_gold_comm</f>
        <v/>
      </c>
      <c r="BU934" s="40">
        <f>BU933*(1-IF(B933&gt;=in_marketplace_from,d_hz_loan_cd*G933,0))</f>
        <v/>
      </c>
      <c r="BV934" s="14">
        <f>F934*BU934*IF(B934&gt;=in_marketplace_from,d_hz_loan_cd*G934,0)*in_loan_cd_ticket*in_loan_cd_comm</f>
        <v/>
      </c>
      <c r="BW934" s="40">
        <f>BW933*(1-IF(B933&gt;=in_marketplace_from,d_hz_loan_vehicle*G933,0))</f>
        <v/>
      </c>
      <c r="BX934" s="14">
        <f>F934*BW934*IF(B934&gt;=in_marketplace_from,d_hz_loan_vehicle*G934,0)*in_loan_vehicle_ticket*in_loan_vehicle_comm</f>
        <v/>
      </c>
      <c r="BY934" s="40">
        <f>BY933*(1-IF(B933&gt;=in_marketplace_from,d_hz_loan_home*G933,0)*BZ933)</f>
        <v/>
      </c>
      <c r="BZ934" s="11">
        <f>MIN(in_approval_cap,in_loan_home_approval*INDEX('Age profile'!$O$2:$O$61,B934)*(1+in_approval_growth)^(D934-1))</f>
        <v/>
      </c>
      <c r="CA934" s="14">
        <f>F934*BY934*IF(B934&gt;=in_marketplace_from,d_hz_loan_home*G934,0)*BZ934*in_loan_home_ticket*in_loan_home_comm</f>
        <v/>
      </c>
      <c r="CB934" s="40">
        <f>CB933*(1-IF(B933&gt;=in_marketplace_from,d_hz_loan_lap*G933,0)*CC933)</f>
        <v/>
      </c>
      <c r="CC934" s="11">
        <f>MIN(in_approval_cap,in_loan_lap_approval*INDEX('Age profile'!$O$2:$O$61,B934)*(1+in_approval_growth)^(D934-1))</f>
        <v/>
      </c>
      <c r="CD934" s="14">
        <f>F934*CB934*IF(B934&gt;=in_marketplace_from,d_hz_loan_lap*G934,0)*CC934*in_loan_lap_ticket*in_loan_lap_comm</f>
        <v/>
      </c>
      <c r="CE934" s="14">
        <f>AA934+AB934+AC934+AD934+AG934+AJ934+AM934+AP934+AS934+AU934+AX934+BB934+BE934+BG934+BJ934+BL934+BO934+BR934+BT934+BV934+BX934+CA934+CD934</f>
        <v/>
      </c>
    </row>
    <row r="935">
      <c r="A935" s="39" t="n">
        <v>19</v>
      </c>
      <c r="B935" s="39" t="n">
        <v>7</v>
      </c>
      <c r="C935" s="39">
        <f>A935+B935-1</f>
        <v/>
      </c>
      <c r="D935" s="39">
        <f>INT((C935-1)/12)+1</f>
        <v/>
      </c>
      <c r="E935" s="44">
        <f>INDEX(Monthly!$B$2:$B$61,A935)</f>
        <v/>
      </c>
      <c r="F935" s="44">
        <f>E935*INDEX('Age profile'!$B$2:$B$61,B935)</f>
        <v/>
      </c>
      <c r="G935" s="45">
        <f>MIN(in_takeup_cap,INDEX('Age profile'!$N$2:$N$61,B935)*(1+in_takeup_growth)^(D935-1))</f>
        <v/>
      </c>
      <c r="H935" s="11">
        <f>MIN(in_approval_cap,in_approved_first*INDEX('Age profile'!$O$2:$O$61,B935)*(1+in_approval_growth)^(D935-1))</f>
        <v/>
      </c>
      <c r="I935" s="45">
        <f>G935*MIN(in_takeup_cap,INDEX('Age profile'!$O$2:$O$61,B935)*(1+in_approval_growth)^(D935-1))</f>
        <v/>
      </c>
      <c r="J935" s="40">
        <f>(J934-L934)*F935/F934</f>
        <v/>
      </c>
      <c r="K935" s="40">
        <f>(K934-M934)*F935/F934+SUMIFS(O929:O934,B929:B934,B935-1-d_T)*F935</f>
        <v/>
      </c>
      <c r="L935" s="40">
        <f>IF(B935&gt;=in_marketplace_from,J935*d_hz*G935*in_eligible*H935,0)</f>
        <v/>
      </c>
      <c r="M935" s="40">
        <f>IF(B935&gt;=in_marketplace_from,K935*d_hz*G935*in_eligible*in_approved_repeat,0)</f>
        <v/>
      </c>
      <c r="N935" s="40">
        <f>L935+M935</f>
        <v/>
      </c>
      <c r="O935" s="46">
        <f>N935/F935</f>
        <v/>
      </c>
      <c r="P935" s="40">
        <f>F935-J935-K935</f>
        <v/>
      </c>
      <c r="Q935" s="40">
        <f>IF(B935&gt;=in_marketplace_from,(J935+K935)*d_hz*G935,0)</f>
        <v/>
      </c>
      <c r="R935" s="40">
        <f>SUMIFS(N929:N970,B929:B970,"&gt;="&amp;(B935-d_T),B929:B970,"&lt;="&amp;(B935-1))</f>
        <v/>
      </c>
      <c r="S935" s="46">
        <f>(1-d_u)*S934+IF(d_T&gt;in_topup_lag,SUMIFS(O929:O970,B929:B970,B935-in_topup_lag)-d_udrop*SUMIFS(O929:O970,B929:B970,B935-d_T),0)</f>
        <v/>
      </c>
      <c r="T935" s="40">
        <f>F935*d_u*S935</f>
        <v/>
      </c>
      <c r="U935" s="9">
        <f>L935*in_ticket+M935*d_rep_ticket</f>
        <v/>
      </c>
      <c r="V935" s="9">
        <f>U935+T935*d_topup_amt</f>
        <v/>
      </c>
      <c r="W935" s="40">
        <f>N935+T935*d_topup_ratio</f>
        <v/>
      </c>
      <c r="X935" s="40">
        <f>SUMIFS(W929:W970,B929:B970,B935-in_dpd_lag)*d_cured</f>
        <v/>
      </c>
      <c r="Y935" s="40">
        <f>SUMIFS(W929:W970,B929:B970,B935-in_rec_lag)*d_recd</f>
        <v/>
      </c>
      <c r="Z935" s="40">
        <f>IF(AND(B935&gt;=in_marketplace_from,B935&lt;in_marketplace_from+in_card_months),in_card_share/in_card_months*F935*I935,IF(AND(B935&gt;=in_marketplace_from+in_card_months,B935&lt;in_marketplace_from+2*in_card_months),in_card_share*d_card_rem/in_card_months*F935*MIN(in_takeup_cap,(1+in_takeup_growth)^(D935-1))*MIN(in_takeup_cap,(1+in_approval_growth)^(D935-1)),0))</f>
        <v/>
      </c>
      <c r="AA935" s="14">
        <f>V935*in_fee*(1-in_taken_back)</f>
        <v/>
      </c>
      <c r="AB935" s="14">
        <f>SUMIFS(W929:W970,B929:B970,B935-in_dpd_lag)*d_dpd</f>
        <v/>
      </c>
      <c r="AC935" s="14">
        <f>SUMIFS(W929:W970,B929:B970,B935-in_rec_lag)*d_rec</f>
        <v/>
      </c>
      <c r="AD935" s="14">
        <f>Z935*in_card_fee</f>
        <v/>
      </c>
      <c r="AE935" s="40">
        <f>AE934*(1-IF(B934&gt;=in_marketplace_from,d_hz_hlth_small*G934,0))</f>
        <v/>
      </c>
      <c r="AF935" s="46">
        <f>AE935*IF(B935&gt;=in_marketplace_from,d_hz_hlth_small*G935,0)</f>
        <v/>
      </c>
      <c r="AG935" s="14">
        <f>F935*AF935*in_hlth_small_ticket*in_hlth_small_comm*in_ins_partner_share+F935*in_hlth_small_ticket*in_hlth_small_renew_comm*in_ins_partner_share*(in_hlth_small_renew^1*SUMIFS(AF929:AF970,B929:B970,B935-12)+in_hlth_small_renew^2*SUMIFS(AF929:AF970,B929:B970,B935-24)+in_hlth_small_renew^3*SUMIFS(AF929:AF970,B929:B970,B935-36)+in_hlth_small_renew^4*SUMIFS(AF929:AF970,B929:B970,B935-48))</f>
        <v/>
      </c>
      <c r="AH935" s="40">
        <f>AH934*(1-IF(B934&gt;=in_marketplace_from,d_hz_hlth_family*G934,0))</f>
        <v/>
      </c>
      <c r="AI935" s="46">
        <f>AH935*IF(B935&gt;=in_marketplace_from,d_hz_hlth_family*G935,0)</f>
        <v/>
      </c>
      <c r="AJ935" s="14">
        <f>F935*AI935*in_hlth_family_ticket*in_hlth_family_comm*in_ins_partner_share+F935*in_hlth_family_ticket*in_hlth_family_renew_comm*in_ins_partner_share*(in_hlth_family_renew^1*SUMIFS(AI929:AI970,B929:B970,B935-12)+in_hlth_family_renew^2*SUMIFS(AI929:AI970,B929:B970,B935-24)+in_hlth_family_renew^3*SUMIFS(AI929:AI970,B929:B970,B935-36)+in_hlth_family_renew^4*SUMIFS(AI929:AI970,B929:B970,B935-48))</f>
        <v/>
      </c>
      <c r="AK935" s="40">
        <f>AK934*(1-IF(B934&gt;=in_marketplace_from,d_hz_life_term*G934,0))</f>
        <v/>
      </c>
      <c r="AL935" s="46">
        <f>AK935*IF(B935&gt;=in_marketplace_from,d_hz_life_term*G935,0)</f>
        <v/>
      </c>
      <c r="AM935" s="14">
        <f>F935*AL935*in_life_term_ticket*in_life_term_comm*in_ins_partner_share+F935*in_life_term_ticket*in_life_term_renew_comm*in_ins_partner_share*(in_life_term_renew^1*SUMIFS(AL929:AL970,B929:B970,B935-12)+in_life_term_renew^2*SUMIFS(AL929:AL970,B929:B970,B935-24)+in_life_term_renew^3*SUMIFS(AL929:AL970,B929:B970,B935-36)+in_life_term_renew^4*SUMIFS(AL929:AL970,B929:B970,B935-48))</f>
        <v/>
      </c>
      <c r="AN935" s="40">
        <f>AN934*(1-IF(B934&gt;=in_marketplace_from,d_hz_accident*G934,0))</f>
        <v/>
      </c>
      <c r="AO935" s="46">
        <f>AN935*IF(B935&gt;=in_marketplace_from,d_hz_accident*G935,0)</f>
        <v/>
      </c>
      <c r="AP935" s="14">
        <f>F935*AO935*in_accident_ticket*in_accident_comm*in_ins_partner_share+F935*in_accident_ticket*in_accident_renew_comm*in_ins_partner_share*(in_accident_renew^1*SUMIFS(AO929:AO970,B929:B970,B935-12)+in_accident_renew^2*SUMIFS(AO929:AO970,B929:B970,B935-24)+in_accident_renew^3*SUMIFS(AO929:AO970,B929:B970,B935-36)+in_accident_renew^4*SUMIFS(AO929:AO970,B929:B970,B935-48))</f>
        <v/>
      </c>
      <c r="AQ935" s="40">
        <f>AQ934*(1-IF(B934&gt;=in_marketplace_from,d_hz_two_wheeler*G934,0))</f>
        <v/>
      </c>
      <c r="AR935" s="46">
        <f>AQ935*IF(B935&gt;=in_marketplace_from,d_hz_two_wheeler*G935,0)</f>
        <v/>
      </c>
      <c r="AS935" s="14">
        <f>F935*AR935*in_two_wheeler_ticket*in_two_wheeler_comm*in_ins_partner_share+F935*in_two_wheeler_ticket*in_two_wheeler_comm*in_ins_partner_share*(in_two_wheeler_renew^1*SUMIFS(AR929:AR970,B929:B970,B935-12)+in_two_wheeler_renew^2*SUMIFS(AR929:AR970,B929:B970,B935-24)+in_two_wheeler_renew^3*SUMIFS(AR929:AR970,B929:B970,B935-36)+in_two_wheeler_renew^4*SUMIFS(AR929:AR970,B929:B970,B935-48))</f>
        <v/>
      </c>
      <c r="AT935" s="40">
        <f>AT934*(1-IF(B934&gt;=in_marketplace_from,d_hz_device*G934,0))</f>
        <v/>
      </c>
      <c r="AU935" s="14">
        <f>F935*AT935*IF(B935&gt;=in_marketplace_from,d_hz_device*G935,0)*in_device_ticket*in_device_comm*in_ins_partner_share</f>
        <v/>
      </c>
      <c r="AV935" s="40">
        <f>AV934*(1-IF(B934&gt;=in_marketplace_from,d_hz_shop*G934,0))</f>
        <v/>
      </c>
      <c r="AW935" s="46">
        <f>AV935*IF(B935&gt;=in_marketplace_from,d_hz_shop*G935,0)</f>
        <v/>
      </c>
      <c r="AX935" s="14">
        <f>F935*AW935*in_shop_ticket*in_shop_comm*in_ins_partner_share+F935*in_shop_ticket*in_shop_renew_comm*in_ins_partner_share*(in_shop_renew^1*SUMIFS(AW929:AW970,B929:B970,B935-12)+in_shop_renew^2*SUMIFS(AW929:AW970,B929:B970,B935-24)+in_shop_renew^3*SUMIFS(AW929:AW970,B929:B970,B935-36)+in_shop_renew^4*SUMIFS(AW929:AW970,B929:B970,B935-48))</f>
        <v/>
      </c>
      <c r="AY935" s="40">
        <f>AY934*(1-IF(B934&gt;=in_marketplace_from,d_hz_sip*G934,0))</f>
        <v/>
      </c>
      <c r="AZ935" s="40">
        <f>AZ934*d_rho_sip+AY935*IF(B935&gt;=in_marketplace_from,d_hz_sip*G935,0)</f>
        <v/>
      </c>
      <c r="BA935" s="40">
        <f>d_rho_sip*(BA934+AZ934)</f>
        <v/>
      </c>
      <c r="BB935" s="14">
        <f>F935*in_sip_ticket*(BA935+0.5*AZ935)*in_sip_comm/12</f>
        <v/>
      </c>
      <c r="BC935" s="40">
        <f>BC934*(1-IF(B934&gt;=in_marketplace_from,d_hz_choti*G934,0))</f>
        <v/>
      </c>
      <c r="BD935" s="46">
        <f>BC935*IF(B935&gt;=in_marketplace_from,d_hz_choti*G935,0)</f>
        <v/>
      </c>
      <c r="BE935" s="14">
        <f>F935*SUMIFS(BD929:BD970,B929:B970,B935-in_choti_months)*in_choti_renew*in_choti_ticket</f>
        <v/>
      </c>
      <c r="BF935" s="40">
        <f>BF934*(1-IF(B934&gt;=in_marketplace_from,d_hz_nps*G934,0))</f>
        <v/>
      </c>
      <c r="BG935" s="14">
        <f>F935*BF935*IF(B935&gt;=in_marketplace_from,d_hz_nps*G935,0)*in_nps_ticket*in_nps_comm</f>
        <v/>
      </c>
      <c r="BH935" s="40">
        <f>BH934*(1-IF(B934&gt;=in_marketplace_from,d_hz_gold*G934,0))</f>
        <v/>
      </c>
      <c r="BI935" s="40">
        <f>BI934*d_rho_gold+BH935*IF(B935&gt;=in_marketplace_from,d_hz_gold*G935,0)</f>
        <v/>
      </c>
      <c r="BJ935" s="14">
        <f>F935*BI935*in_gold_ticket*in_gold_comm</f>
        <v/>
      </c>
      <c r="BK935" s="40">
        <f>BK934*(1-IF(B934&gt;=in_marketplace_from,d_hz_fd*G934,0))</f>
        <v/>
      </c>
      <c r="BL935" s="14">
        <f>F935*BK935*IF(B935&gt;=in_marketplace_from,d_hz_fd*G935,0)*in_fd_ticket*in_fd_comm</f>
        <v/>
      </c>
      <c r="BM935" s="40">
        <f>BM934*(1-IF(B934&gt;=in_marketplace_from,d_hz_recharge*G934,0))</f>
        <v/>
      </c>
      <c r="BN935" s="40">
        <f>BN934*d_rho_recharge+BM935*IF(B935&gt;=in_marketplace_from,d_hz_recharge*G935,0)</f>
        <v/>
      </c>
      <c r="BO935" s="14">
        <f>F935*BN935*in_recharge_ticket*in_recharge_comm/12</f>
        <v/>
      </c>
      <c r="BP935" s="40">
        <f>BP934*(1-IF(B934&gt;=in_marketplace_from,d_hz_bills*G934,0))</f>
        <v/>
      </c>
      <c r="BQ935" s="40">
        <f>BQ934*d_rho_bills+BP935*IF(B935&gt;=in_marketplace_from,d_hz_bills*G935,0)</f>
        <v/>
      </c>
      <c r="BR935" s="14">
        <f>F935*BQ935*in_bills_ticket*in_bills_comm/12</f>
        <v/>
      </c>
      <c r="BS935" s="40">
        <f>BS934*(1-IF(B934&gt;=in_marketplace_from,d_hz_loan_gold*G934,0))</f>
        <v/>
      </c>
      <c r="BT935" s="14">
        <f>F935*BS935*IF(B935&gt;=in_marketplace_from,d_hz_loan_gold*G935,0)*in_loan_gold_ticket*in_loan_gold_comm</f>
        <v/>
      </c>
      <c r="BU935" s="40">
        <f>BU934*(1-IF(B934&gt;=in_marketplace_from,d_hz_loan_cd*G934,0))</f>
        <v/>
      </c>
      <c r="BV935" s="14">
        <f>F935*BU935*IF(B935&gt;=in_marketplace_from,d_hz_loan_cd*G935,0)*in_loan_cd_ticket*in_loan_cd_comm</f>
        <v/>
      </c>
      <c r="BW935" s="40">
        <f>BW934*(1-IF(B934&gt;=in_marketplace_from,d_hz_loan_vehicle*G934,0))</f>
        <v/>
      </c>
      <c r="BX935" s="14">
        <f>F935*BW935*IF(B935&gt;=in_marketplace_from,d_hz_loan_vehicle*G935,0)*in_loan_vehicle_ticket*in_loan_vehicle_comm</f>
        <v/>
      </c>
      <c r="BY935" s="40">
        <f>BY934*(1-IF(B934&gt;=in_marketplace_from,d_hz_loan_home*G934,0)*BZ934)</f>
        <v/>
      </c>
      <c r="BZ935" s="11">
        <f>MIN(in_approval_cap,in_loan_home_approval*INDEX('Age profile'!$O$2:$O$61,B935)*(1+in_approval_growth)^(D935-1))</f>
        <v/>
      </c>
      <c r="CA935" s="14">
        <f>F935*BY935*IF(B935&gt;=in_marketplace_from,d_hz_loan_home*G935,0)*BZ935*in_loan_home_ticket*in_loan_home_comm</f>
        <v/>
      </c>
      <c r="CB935" s="40">
        <f>CB934*(1-IF(B934&gt;=in_marketplace_from,d_hz_loan_lap*G934,0)*CC934)</f>
        <v/>
      </c>
      <c r="CC935" s="11">
        <f>MIN(in_approval_cap,in_loan_lap_approval*INDEX('Age profile'!$O$2:$O$61,B935)*(1+in_approval_growth)^(D935-1))</f>
        <v/>
      </c>
      <c r="CD935" s="14">
        <f>F935*CB935*IF(B935&gt;=in_marketplace_from,d_hz_loan_lap*G935,0)*CC935*in_loan_lap_ticket*in_loan_lap_comm</f>
        <v/>
      </c>
      <c r="CE935" s="14">
        <f>AA935+AB935+AC935+AD935+AG935+AJ935+AM935+AP935+AS935+AU935+AX935+BB935+BE935+BG935+BJ935+BL935+BO935+BR935+BT935+BV935+BX935+CA935+CD935</f>
        <v/>
      </c>
    </row>
    <row r="936">
      <c r="A936" s="39" t="n">
        <v>19</v>
      </c>
      <c r="B936" s="39" t="n">
        <v>8</v>
      </c>
      <c r="C936" s="39">
        <f>A936+B936-1</f>
        <v/>
      </c>
      <c r="D936" s="39">
        <f>INT((C936-1)/12)+1</f>
        <v/>
      </c>
      <c r="E936" s="44">
        <f>INDEX(Monthly!$B$2:$B$61,A936)</f>
        <v/>
      </c>
      <c r="F936" s="44">
        <f>E936*INDEX('Age profile'!$B$2:$B$61,B936)</f>
        <v/>
      </c>
      <c r="G936" s="45">
        <f>MIN(in_takeup_cap,INDEX('Age profile'!$N$2:$N$61,B936)*(1+in_takeup_growth)^(D936-1))</f>
        <v/>
      </c>
      <c r="H936" s="11">
        <f>MIN(in_approval_cap,in_approved_first*INDEX('Age profile'!$O$2:$O$61,B936)*(1+in_approval_growth)^(D936-1))</f>
        <v/>
      </c>
      <c r="I936" s="45">
        <f>G936*MIN(in_takeup_cap,INDEX('Age profile'!$O$2:$O$61,B936)*(1+in_approval_growth)^(D936-1))</f>
        <v/>
      </c>
      <c r="J936" s="40">
        <f>(J935-L935)*F936/F935</f>
        <v/>
      </c>
      <c r="K936" s="40">
        <f>(K935-M935)*F936/F935+SUMIFS(O929:O935,B929:B935,B936-1-d_T)*F936</f>
        <v/>
      </c>
      <c r="L936" s="40">
        <f>IF(B936&gt;=in_marketplace_from,J936*d_hz*G936*in_eligible*H936,0)</f>
        <v/>
      </c>
      <c r="M936" s="40">
        <f>IF(B936&gt;=in_marketplace_from,K936*d_hz*G936*in_eligible*in_approved_repeat,0)</f>
        <v/>
      </c>
      <c r="N936" s="40">
        <f>L936+M936</f>
        <v/>
      </c>
      <c r="O936" s="46">
        <f>N936/F936</f>
        <v/>
      </c>
      <c r="P936" s="40">
        <f>F936-J936-K936</f>
        <v/>
      </c>
      <c r="Q936" s="40">
        <f>IF(B936&gt;=in_marketplace_from,(J936+K936)*d_hz*G936,0)</f>
        <v/>
      </c>
      <c r="R936" s="40">
        <f>SUMIFS(N929:N970,B929:B970,"&gt;="&amp;(B936-d_T),B929:B970,"&lt;="&amp;(B936-1))</f>
        <v/>
      </c>
      <c r="S936" s="46">
        <f>(1-d_u)*S935+IF(d_T&gt;in_topup_lag,SUMIFS(O929:O970,B929:B970,B936-in_topup_lag)-d_udrop*SUMIFS(O929:O970,B929:B970,B936-d_T),0)</f>
        <v/>
      </c>
      <c r="T936" s="40">
        <f>F936*d_u*S936</f>
        <v/>
      </c>
      <c r="U936" s="9">
        <f>L936*in_ticket+M936*d_rep_ticket</f>
        <v/>
      </c>
      <c r="V936" s="9">
        <f>U936+T936*d_topup_amt</f>
        <v/>
      </c>
      <c r="W936" s="40">
        <f>N936+T936*d_topup_ratio</f>
        <v/>
      </c>
      <c r="X936" s="40">
        <f>SUMIFS(W929:W970,B929:B970,B936-in_dpd_lag)*d_cured</f>
        <v/>
      </c>
      <c r="Y936" s="40">
        <f>SUMIFS(W929:W970,B929:B970,B936-in_rec_lag)*d_recd</f>
        <v/>
      </c>
      <c r="Z936" s="40">
        <f>IF(AND(B936&gt;=in_marketplace_from,B936&lt;in_marketplace_from+in_card_months),in_card_share/in_card_months*F936*I936,IF(AND(B936&gt;=in_marketplace_from+in_card_months,B936&lt;in_marketplace_from+2*in_card_months),in_card_share*d_card_rem/in_card_months*F936*MIN(in_takeup_cap,(1+in_takeup_growth)^(D936-1))*MIN(in_takeup_cap,(1+in_approval_growth)^(D936-1)),0))</f>
        <v/>
      </c>
      <c r="AA936" s="14">
        <f>V936*in_fee*(1-in_taken_back)</f>
        <v/>
      </c>
      <c r="AB936" s="14">
        <f>SUMIFS(W929:W970,B929:B970,B936-in_dpd_lag)*d_dpd</f>
        <v/>
      </c>
      <c r="AC936" s="14">
        <f>SUMIFS(W929:W970,B929:B970,B936-in_rec_lag)*d_rec</f>
        <v/>
      </c>
      <c r="AD936" s="14">
        <f>Z936*in_card_fee</f>
        <v/>
      </c>
      <c r="AE936" s="40">
        <f>AE935*(1-IF(B935&gt;=in_marketplace_from,d_hz_hlth_small*G935,0))</f>
        <v/>
      </c>
      <c r="AF936" s="46">
        <f>AE936*IF(B936&gt;=in_marketplace_from,d_hz_hlth_small*G936,0)</f>
        <v/>
      </c>
      <c r="AG936" s="14">
        <f>F936*AF936*in_hlth_small_ticket*in_hlth_small_comm*in_ins_partner_share+F936*in_hlth_small_ticket*in_hlth_small_renew_comm*in_ins_partner_share*(in_hlth_small_renew^1*SUMIFS(AF929:AF970,B929:B970,B936-12)+in_hlth_small_renew^2*SUMIFS(AF929:AF970,B929:B970,B936-24)+in_hlth_small_renew^3*SUMIFS(AF929:AF970,B929:B970,B936-36)+in_hlth_small_renew^4*SUMIFS(AF929:AF970,B929:B970,B936-48))</f>
        <v/>
      </c>
      <c r="AH936" s="40">
        <f>AH935*(1-IF(B935&gt;=in_marketplace_from,d_hz_hlth_family*G935,0))</f>
        <v/>
      </c>
      <c r="AI936" s="46">
        <f>AH936*IF(B936&gt;=in_marketplace_from,d_hz_hlth_family*G936,0)</f>
        <v/>
      </c>
      <c r="AJ936" s="14">
        <f>F936*AI936*in_hlth_family_ticket*in_hlth_family_comm*in_ins_partner_share+F936*in_hlth_family_ticket*in_hlth_family_renew_comm*in_ins_partner_share*(in_hlth_family_renew^1*SUMIFS(AI929:AI970,B929:B970,B936-12)+in_hlth_family_renew^2*SUMIFS(AI929:AI970,B929:B970,B936-24)+in_hlth_family_renew^3*SUMIFS(AI929:AI970,B929:B970,B936-36)+in_hlth_family_renew^4*SUMIFS(AI929:AI970,B929:B970,B936-48))</f>
        <v/>
      </c>
      <c r="AK936" s="40">
        <f>AK935*(1-IF(B935&gt;=in_marketplace_from,d_hz_life_term*G935,0))</f>
        <v/>
      </c>
      <c r="AL936" s="46">
        <f>AK936*IF(B936&gt;=in_marketplace_from,d_hz_life_term*G936,0)</f>
        <v/>
      </c>
      <c r="AM936" s="14">
        <f>F936*AL936*in_life_term_ticket*in_life_term_comm*in_ins_partner_share+F936*in_life_term_ticket*in_life_term_renew_comm*in_ins_partner_share*(in_life_term_renew^1*SUMIFS(AL929:AL970,B929:B970,B936-12)+in_life_term_renew^2*SUMIFS(AL929:AL970,B929:B970,B936-24)+in_life_term_renew^3*SUMIFS(AL929:AL970,B929:B970,B936-36)+in_life_term_renew^4*SUMIFS(AL929:AL970,B929:B970,B936-48))</f>
        <v/>
      </c>
      <c r="AN936" s="40">
        <f>AN935*(1-IF(B935&gt;=in_marketplace_from,d_hz_accident*G935,0))</f>
        <v/>
      </c>
      <c r="AO936" s="46">
        <f>AN936*IF(B936&gt;=in_marketplace_from,d_hz_accident*G936,0)</f>
        <v/>
      </c>
      <c r="AP936" s="14">
        <f>F936*AO936*in_accident_ticket*in_accident_comm*in_ins_partner_share+F936*in_accident_ticket*in_accident_renew_comm*in_ins_partner_share*(in_accident_renew^1*SUMIFS(AO929:AO970,B929:B970,B936-12)+in_accident_renew^2*SUMIFS(AO929:AO970,B929:B970,B936-24)+in_accident_renew^3*SUMIFS(AO929:AO970,B929:B970,B936-36)+in_accident_renew^4*SUMIFS(AO929:AO970,B929:B970,B936-48))</f>
        <v/>
      </c>
      <c r="AQ936" s="40">
        <f>AQ935*(1-IF(B935&gt;=in_marketplace_from,d_hz_two_wheeler*G935,0))</f>
        <v/>
      </c>
      <c r="AR936" s="46">
        <f>AQ936*IF(B936&gt;=in_marketplace_from,d_hz_two_wheeler*G936,0)</f>
        <v/>
      </c>
      <c r="AS936" s="14">
        <f>F936*AR936*in_two_wheeler_ticket*in_two_wheeler_comm*in_ins_partner_share+F936*in_two_wheeler_ticket*in_two_wheeler_comm*in_ins_partner_share*(in_two_wheeler_renew^1*SUMIFS(AR929:AR970,B929:B970,B936-12)+in_two_wheeler_renew^2*SUMIFS(AR929:AR970,B929:B970,B936-24)+in_two_wheeler_renew^3*SUMIFS(AR929:AR970,B929:B970,B936-36)+in_two_wheeler_renew^4*SUMIFS(AR929:AR970,B929:B970,B936-48))</f>
        <v/>
      </c>
      <c r="AT936" s="40">
        <f>AT935*(1-IF(B935&gt;=in_marketplace_from,d_hz_device*G935,0))</f>
        <v/>
      </c>
      <c r="AU936" s="14">
        <f>F936*AT936*IF(B936&gt;=in_marketplace_from,d_hz_device*G936,0)*in_device_ticket*in_device_comm*in_ins_partner_share</f>
        <v/>
      </c>
      <c r="AV936" s="40">
        <f>AV935*(1-IF(B935&gt;=in_marketplace_from,d_hz_shop*G935,0))</f>
        <v/>
      </c>
      <c r="AW936" s="46">
        <f>AV936*IF(B936&gt;=in_marketplace_from,d_hz_shop*G936,0)</f>
        <v/>
      </c>
      <c r="AX936" s="14">
        <f>F936*AW936*in_shop_ticket*in_shop_comm*in_ins_partner_share+F936*in_shop_ticket*in_shop_renew_comm*in_ins_partner_share*(in_shop_renew^1*SUMIFS(AW929:AW970,B929:B970,B936-12)+in_shop_renew^2*SUMIFS(AW929:AW970,B929:B970,B936-24)+in_shop_renew^3*SUMIFS(AW929:AW970,B929:B970,B936-36)+in_shop_renew^4*SUMIFS(AW929:AW970,B929:B970,B936-48))</f>
        <v/>
      </c>
      <c r="AY936" s="40">
        <f>AY935*(1-IF(B935&gt;=in_marketplace_from,d_hz_sip*G935,0))</f>
        <v/>
      </c>
      <c r="AZ936" s="40">
        <f>AZ935*d_rho_sip+AY936*IF(B936&gt;=in_marketplace_from,d_hz_sip*G936,0)</f>
        <v/>
      </c>
      <c r="BA936" s="40">
        <f>d_rho_sip*(BA935+AZ935)</f>
        <v/>
      </c>
      <c r="BB936" s="14">
        <f>F936*in_sip_ticket*(BA936+0.5*AZ936)*in_sip_comm/12</f>
        <v/>
      </c>
      <c r="BC936" s="40">
        <f>BC935*(1-IF(B935&gt;=in_marketplace_from,d_hz_choti*G935,0))</f>
        <v/>
      </c>
      <c r="BD936" s="46">
        <f>BC936*IF(B936&gt;=in_marketplace_from,d_hz_choti*G936,0)</f>
        <v/>
      </c>
      <c r="BE936" s="14">
        <f>F936*SUMIFS(BD929:BD970,B929:B970,B936-in_choti_months)*in_choti_renew*in_choti_ticket</f>
        <v/>
      </c>
      <c r="BF936" s="40">
        <f>BF935*(1-IF(B935&gt;=in_marketplace_from,d_hz_nps*G935,0))</f>
        <v/>
      </c>
      <c r="BG936" s="14">
        <f>F936*BF936*IF(B936&gt;=in_marketplace_from,d_hz_nps*G936,0)*in_nps_ticket*in_nps_comm</f>
        <v/>
      </c>
      <c r="BH936" s="40">
        <f>BH935*(1-IF(B935&gt;=in_marketplace_from,d_hz_gold*G935,0))</f>
        <v/>
      </c>
      <c r="BI936" s="40">
        <f>BI935*d_rho_gold+BH936*IF(B936&gt;=in_marketplace_from,d_hz_gold*G936,0)</f>
        <v/>
      </c>
      <c r="BJ936" s="14">
        <f>F936*BI936*in_gold_ticket*in_gold_comm</f>
        <v/>
      </c>
      <c r="BK936" s="40">
        <f>BK935*(1-IF(B935&gt;=in_marketplace_from,d_hz_fd*G935,0))</f>
        <v/>
      </c>
      <c r="BL936" s="14">
        <f>F936*BK936*IF(B936&gt;=in_marketplace_from,d_hz_fd*G936,0)*in_fd_ticket*in_fd_comm</f>
        <v/>
      </c>
      <c r="BM936" s="40">
        <f>BM935*(1-IF(B935&gt;=in_marketplace_from,d_hz_recharge*G935,0))</f>
        <v/>
      </c>
      <c r="BN936" s="40">
        <f>BN935*d_rho_recharge+BM936*IF(B936&gt;=in_marketplace_from,d_hz_recharge*G936,0)</f>
        <v/>
      </c>
      <c r="BO936" s="14">
        <f>F936*BN936*in_recharge_ticket*in_recharge_comm/12</f>
        <v/>
      </c>
      <c r="BP936" s="40">
        <f>BP935*(1-IF(B935&gt;=in_marketplace_from,d_hz_bills*G935,0))</f>
        <v/>
      </c>
      <c r="BQ936" s="40">
        <f>BQ935*d_rho_bills+BP936*IF(B936&gt;=in_marketplace_from,d_hz_bills*G936,0)</f>
        <v/>
      </c>
      <c r="BR936" s="14">
        <f>F936*BQ936*in_bills_ticket*in_bills_comm/12</f>
        <v/>
      </c>
      <c r="BS936" s="40">
        <f>BS935*(1-IF(B935&gt;=in_marketplace_from,d_hz_loan_gold*G935,0))</f>
        <v/>
      </c>
      <c r="BT936" s="14">
        <f>F936*BS936*IF(B936&gt;=in_marketplace_from,d_hz_loan_gold*G936,0)*in_loan_gold_ticket*in_loan_gold_comm</f>
        <v/>
      </c>
      <c r="BU936" s="40">
        <f>BU935*(1-IF(B935&gt;=in_marketplace_from,d_hz_loan_cd*G935,0))</f>
        <v/>
      </c>
      <c r="BV936" s="14">
        <f>F936*BU936*IF(B936&gt;=in_marketplace_from,d_hz_loan_cd*G936,0)*in_loan_cd_ticket*in_loan_cd_comm</f>
        <v/>
      </c>
      <c r="BW936" s="40">
        <f>BW935*(1-IF(B935&gt;=in_marketplace_from,d_hz_loan_vehicle*G935,0))</f>
        <v/>
      </c>
      <c r="BX936" s="14">
        <f>F936*BW936*IF(B936&gt;=in_marketplace_from,d_hz_loan_vehicle*G936,0)*in_loan_vehicle_ticket*in_loan_vehicle_comm</f>
        <v/>
      </c>
      <c r="BY936" s="40">
        <f>BY935*(1-IF(B935&gt;=in_marketplace_from,d_hz_loan_home*G935,0)*BZ935)</f>
        <v/>
      </c>
      <c r="BZ936" s="11">
        <f>MIN(in_approval_cap,in_loan_home_approval*INDEX('Age profile'!$O$2:$O$61,B936)*(1+in_approval_growth)^(D936-1))</f>
        <v/>
      </c>
      <c r="CA936" s="14">
        <f>F936*BY936*IF(B936&gt;=in_marketplace_from,d_hz_loan_home*G936,0)*BZ936*in_loan_home_ticket*in_loan_home_comm</f>
        <v/>
      </c>
      <c r="CB936" s="40">
        <f>CB935*(1-IF(B935&gt;=in_marketplace_from,d_hz_loan_lap*G935,0)*CC935)</f>
        <v/>
      </c>
      <c r="CC936" s="11">
        <f>MIN(in_approval_cap,in_loan_lap_approval*INDEX('Age profile'!$O$2:$O$61,B936)*(1+in_approval_growth)^(D936-1))</f>
        <v/>
      </c>
      <c r="CD936" s="14">
        <f>F936*CB936*IF(B936&gt;=in_marketplace_from,d_hz_loan_lap*G936,0)*CC936*in_loan_lap_ticket*in_loan_lap_comm</f>
        <v/>
      </c>
      <c r="CE936" s="14">
        <f>AA936+AB936+AC936+AD936+AG936+AJ936+AM936+AP936+AS936+AU936+AX936+BB936+BE936+BG936+BJ936+BL936+BO936+BR936+BT936+BV936+BX936+CA936+CD936</f>
        <v/>
      </c>
    </row>
    <row r="937">
      <c r="A937" s="39" t="n">
        <v>19</v>
      </c>
      <c r="B937" s="39" t="n">
        <v>9</v>
      </c>
      <c r="C937" s="39">
        <f>A937+B937-1</f>
        <v/>
      </c>
      <c r="D937" s="39">
        <f>INT((C937-1)/12)+1</f>
        <v/>
      </c>
      <c r="E937" s="44">
        <f>INDEX(Monthly!$B$2:$B$61,A937)</f>
        <v/>
      </c>
      <c r="F937" s="44">
        <f>E937*INDEX('Age profile'!$B$2:$B$61,B937)</f>
        <v/>
      </c>
      <c r="G937" s="45">
        <f>MIN(in_takeup_cap,INDEX('Age profile'!$N$2:$N$61,B937)*(1+in_takeup_growth)^(D937-1))</f>
        <v/>
      </c>
      <c r="H937" s="11">
        <f>MIN(in_approval_cap,in_approved_first*INDEX('Age profile'!$O$2:$O$61,B937)*(1+in_approval_growth)^(D937-1))</f>
        <v/>
      </c>
      <c r="I937" s="45">
        <f>G937*MIN(in_takeup_cap,INDEX('Age profile'!$O$2:$O$61,B937)*(1+in_approval_growth)^(D937-1))</f>
        <v/>
      </c>
      <c r="J937" s="40">
        <f>(J936-L936)*F937/F936</f>
        <v/>
      </c>
      <c r="K937" s="40">
        <f>(K936-M936)*F937/F936+SUMIFS(O929:O936,B929:B936,B937-1-d_T)*F937</f>
        <v/>
      </c>
      <c r="L937" s="40">
        <f>IF(B937&gt;=in_marketplace_from,J937*d_hz*G937*in_eligible*H937,0)</f>
        <v/>
      </c>
      <c r="M937" s="40">
        <f>IF(B937&gt;=in_marketplace_from,K937*d_hz*G937*in_eligible*in_approved_repeat,0)</f>
        <v/>
      </c>
      <c r="N937" s="40">
        <f>L937+M937</f>
        <v/>
      </c>
      <c r="O937" s="46">
        <f>N937/F937</f>
        <v/>
      </c>
      <c r="P937" s="40">
        <f>F937-J937-K937</f>
        <v/>
      </c>
      <c r="Q937" s="40">
        <f>IF(B937&gt;=in_marketplace_from,(J937+K937)*d_hz*G937,0)</f>
        <v/>
      </c>
      <c r="R937" s="40">
        <f>SUMIFS(N929:N970,B929:B970,"&gt;="&amp;(B937-d_T),B929:B970,"&lt;="&amp;(B937-1))</f>
        <v/>
      </c>
      <c r="S937" s="46">
        <f>(1-d_u)*S936+IF(d_T&gt;in_topup_lag,SUMIFS(O929:O970,B929:B970,B937-in_topup_lag)-d_udrop*SUMIFS(O929:O970,B929:B970,B937-d_T),0)</f>
        <v/>
      </c>
      <c r="T937" s="40">
        <f>F937*d_u*S937</f>
        <v/>
      </c>
      <c r="U937" s="9">
        <f>L937*in_ticket+M937*d_rep_ticket</f>
        <v/>
      </c>
      <c r="V937" s="9">
        <f>U937+T937*d_topup_amt</f>
        <v/>
      </c>
      <c r="W937" s="40">
        <f>N937+T937*d_topup_ratio</f>
        <v/>
      </c>
      <c r="X937" s="40">
        <f>SUMIFS(W929:W970,B929:B970,B937-in_dpd_lag)*d_cured</f>
        <v/>
      </c>
      <c r="Y937" s="40">
        <f>SUMIFS(W929:W970,B929:B970,B937-in_rec_lag)*d_recd</f>
        <v/>
      </c>
      <c r="Z937" s="40">
        <f>IF(AND(B937&gt;=in_marketplace_from,B937&lt;in_marketplace_from+in_card_months),in_card_share/in_card_months*F937*I937,IF(AND(B937&gt;=in_marketplace_from+in_card_months,B937&lt;in_marketplace_from+2*in_card_months),in_card_share*d_card_rem/in_card_months*F937*MIN(in_takeup_cap,(1+in_takeup_growth)^(D937-1))*MIN(in_takeup_cap,(1+in_approval_growth)^(D937-1)),0))</f>
        <v/>
      </c>
      <c r="AA937" s="14">
        <f>V937*in_fee*(1-in_taken_back)</f>
        <v/>
      </c>
      <c r="AB937" s="14">
        <f>SUMIFS(W929:W970,B929:B970,B937-in_dpd_lag)*d_dpd</f>
        <v/>
      </c>
      <c r="AC937" s="14">
        <f>SUMIFS(W929:W970,B929:B970,B937-in_rec_lag)*d_rec</f>
        <v/>
      </c>
      <c r="AD937" s="14">
        <f>Z937*in_card_fee</f>
        <v/>
      </c>
      <c r="AE937" s="40">
        <f>AE936*(1-IF(B936&gt;=in_marketplace_from,d_hz_hlth_small*G936,0))</f>
        <v/>
      </c>
      <c r="AF937" s="46">
        <f>AE937*IF(B937&gt;=in_marketplace_from,d_hz_hlth_small*G937,0)</f>
        <v/>
      </c>
      <c r="AG937" s="14">
        <f>F937*AF937*in_hlth_small_ticket*in_hlth_small_comm*in_ins_partner_share+F937*in_hlth_small_ticket*in_hlth_small_renew_comm*in_ins_partner_share*(in_hlth_small_renew^1*SUMIFS(AF929:AF970,B929:B970,B937-12)+in_hlth_small_renew^2*SUMIFS(AF929:AF970,B929:B970,B937-24)+in_hlth_small_renew^3*SUMIFS(AF929:AF970,B929:B970,B937-36)+in_hlth_small_renew^4*SUMIFS(AF929:AF970,B929:B970,B937-48))</f>
        <v/>
      </c>
      <c r="AH937" s="40">
        <f>AH936*(1-IF(B936&gt;=in_marketplace_from,d_hz_hlth_family*G936,0))</f>
        <v/>
      </c>
      <c r="AI937" s="46">
        <f>AH937*IF(B937&gt;=in_marketplace_from,d_hz_hlth_family*G937,0)</f>
        <v/>
      </c>
      <c r="AJ937" s="14">
        <f>F937*AI937*in_hlth_family_ticket*in_hlth_family_comm*in_ins_partner_share+F937*in_hlth_family_ticket*in_hlth_family_renew_comm*in_ins_partner_share*(in_hlth_family_renew^1*SUMIFS(AI929:AI970,B929:B970,B937-12)+in_hlth_family_renew^2*SUMIFS(AI929:AI970,B929:B970,B937-24)+in_hlth_family_renew^3*SUMIFS(AI929:AI970,B929:B970,B937-36)+in_hlth_family_renew^4*SUMIFS(AI929:AI970,B929:B970,B937-48))</f>
        <v/>
      </c>
      <c r="AK937" s="40">
        <f>AK936*(1-IF(B936&gt;=in_marketplace_from,d_hz_life_term*G936,0))</f>
        <v/>
      </c>
      <c r="AL937" s="46">
        <f>AK937*IF(B937&gt;=in_marketplace_from,d_hz_life_term*G937,0)</f>
        <v/>
      </c>
      <c r="AM937" s="14">
        <f>F937*AL937*in_life_term_ticket*in_life_term_comm*in_ins_partner_share+F937*in_life_term_ticket*in_life_term_renew_comm*in_ins_partner_share*(in_life_term_renew^1*SUMIFS(AL929:AL970,B929:B970,B937-12)+in_life_term_renew^2*SUMIFS(AL929:AL970,B929:B970,B937-24)+in_life_term_renew^3*SUMIFS(AL929:AL970,B929:B970,B937-36)+in_life_term_renew^4*SUMIFS(AL929:AL970,B929:B970,B937-48))</f>
        <v/>
      </c>
      <c r="AN937" s="40">
        <f>AN936*(1-IF(B936&gt;=in_marketplace_from,d_hz_accident*G936,0))</f>
        <v/>
      </c>
      <c r="AO937" s="46">
        <f>AN937*IF(B937&gt;=in_marketplace_from,d_hz_accident*G937,0)</f>
        <v/>
      </c>
      <c r="AP937" s="14">
        <f>F937*AO937*in_accident_ticket*in_accident_comm*in_ins_partner_share+F937*in_accident_ticket*in_accident_renew_comm*in_ins_partner_share*(in_accident_renew^1*SUMIFS(AO929:AO970,B929:B970,B937-12)+in_accident_renew^2*SUMIFS(AO929:AO970,B929:B970,B937-24)+in_accident_renew^3*SUMIFS(AO929:AO970,B929:B970,B937-36)+in_accident_renew^4*SUMIFS(AO929:AO970,B929:B970,B937-48))</f>
        <v/>
      </c>
      <c r="AQ937" s="40">
        <f>AQ936*(1-IF(B936&gt;=in_marketplace_from,d_hz_two_wheeler*G936,0))</f>
        <v/>
      </c>
      <c r="AR937" s="46">
        <f>AQ937*IF(B937&gt;=in_marketplace_from,d_hz_two_wheeler*G937,0)</f>
        <v/>
      </c>
      <c r="AS937" s="14">
        <f>F937*AR937*in_two_wheeler_ticket*in_two_wheeler_comm*in_ins_partner_share+F937*in_two_wheeler_ticket*in_two_wheeler_comm*in_ins_partner_share*(in_two_wheeler_renew^1*SUMIFS(AR929:AR970,B929:B970,B937-12)+in_two_wheeler_renew^2*SUMIFS(AR929:AR970,B929:B970,B937-24)+in_two_wheeler_renew^3*SUMIFS(AR929:AR970,B929:B970,B937-36)+in_two_wheeler_renew^4*SUMIFS(AR929:AR970,B929:B970,B937-48))</f>
        <v/>
      </c>
      <c r="AT937" s="40">
        <f>AT936*(1-IF(B936&gt;=in_marketplace_from,d_hz_device*G936,0))</f>
        <v/>
      </c>
      <c r="AU937" s="14">
        <f>F937*AT937*IF(B937&gt;=in_marketplace_from,d_hz_device*G937,0)*in_device_ticket*in_device_comm*in_ins_partner_share</f>
        <v/>
      </c>
      <c r="AV937" s="40">
        <f>AV936*(1-IF(B936&gt;=in_marketplace_from,d_hz_shop*G936,0))</f>
        <v/>
      </c>
      <c r="AW937" s="46">
        <f>AV937*IF(B937&gt;=in_marketplace_from,d_hz_shop*G937,0)</f>
        <v/>
      </c>
      <c r="AX937" s="14">
        <f>F937*AW937*in_shop_ticket*in_shop_comm*in_ins_partner_share+F937*in_shop_ticket*in_shop_renew_comm*in_ins_partner_share*(in_shop_renew^1*SUMIFS(AW929:AW970,B929:B970,B937-12)+in_shop_renew^2*SUMIFS(AW929:AW970,B929:B970,B937-24)+in_shop_renew^3*SUMIFS(AW929:AW970,B929:B970,B937-36)+in_shop_renew^4*SUMIFS(AW929:AW970,B929:B970,B937-48))</f>
        <v/>
      </c>
      <c r="AY937" s="40">
        <f>AY936*(1-IF(B936&gt;=in_marketplace_from,d_hz_sip*G936,0))</f>
        <v/>
      </c>
      <c r="AZ937" s="40">
        <f>AZ936*d_rho_sip+AY937*IF(B937&gt;=in_marketplace_from,d_hz_sip*G937,0)</f>
        <v/>
      </c>
      <c r="BA937" s="40">
        <f>d_rho_sip*(BA936+AZ936)</f>
        <v/>
      </c>
      <c r="BB937" s="14">
        <f>F937*in_sip_ticket*(BA937+0.5*AZ937)*in_sip_comm/12</f>
        <v/>
      </c>
      <c r="BC937" s="40">
        <f>BC936*(1-IF(B936&gt;=in_marketplace_from,d_hz_choti*G936,0))</f>
        <v/>
      </c>
      <c r="BD937" s="46">
        <f>BC937*IF(B937&gt;=in_marketplace_from,d_hz_choti*G937,0)</f>
        <v/>
      </c>
      <c r="BE937" s="14">
        <f>F937*SUMIFS(BD929:BD970,B929:B970,B937-in_choti_months)*in_choti_renew*in_choti_ticket</f>
        <v/>
      </c>
      <c r="BF937" s="40">
        <f>BF936*(1-IF(B936&gt;=in_marketplace_from,d_hz_nps*G936,0))</f>
        <v/>
      </c>
      <c r="BG937" s="14">
        <f>F937*BF937*IF(B937&gt;=in_marketplace_from,d_hz_nps*G937,0)*in_nps_ticket*in_nps_comm</f>
        <v/>
      </c>
      <c r="BH937" s="40">
        <f>BH936*(1-IF(B936&gt;=in_marketplace_from,d_hz_gold*G936,0))</f>
        <v/>
      </c>
      <c r="BI937" s="40">
        <f>BI936*d_rho_gold+BH937*IF(B937&gt;=in_marketplace_from,d_hz_gold*G937,0)</f>
        <v/>
      </c>
      <c r="BJ937" s="14">
        <f>F937*BI937*in_gold_ticket*in_gold_comm</f>
        <v/>
      </c>
      <c r="BK937" s="40">
        <f>BK936*(1-IF(B936&gt;=in_marketplace_from,d_hz_fd*G936,0))</f>
        <v/>
      </c>
      <c r="BL937" s="14">
        <f>F937*BK937*IF(B937&gt;=in_marketplace_from,d_hz_fd*G937,0)*in_fd_ticket*in_fd_comm</f>
        <v/>
      </c>
      <c r="BM937" s="40">
        <f>BM936*(1-IF(B936&gt;=in_marketplace_from,d_hz_recharge*G936,0))</f>
        <v/>
      </c>
      <c r="BN937" s="40">
        <f>BN936*d_rho_recharge+BM937*IF(B937&gt;=in_marketplace_from,d_hz_recharge*G937,0)</f>
        <v/>
      </c>
      <c r="BO937" s="14">
        <f>F937*BN937*in_recharge_ticket*in_recharge_comm/12</f>
        <v/>
      </c>
      <c r="BP937" s="40">
        <f>BP936*(1-IF(B936&gt;=in_marketplace_from,d_hz_bills*G936,0))</f>
        <v/>
      </c>
      <c r="BQ937" s="40">
        <f>BQ936*d_rho_bills+BP937*IF(B937&gt;=in_marketplace_from,d_hz_bills*G937,0)</f>
        <v/>
      </c>
      <c r="BR937" s="14">
        <f>F937*BQ937*in_bills_ticket*in_bills_comm/12</f>
        <v/>
      </c>
      <c r="BS937" s="40">
        <f>BS936*(1-IF(B936&gt;=in_marketplace_from,d_hz_loan_gold*G936,0))</f>
        <v/>
      </c>
      <c r="BT937" s="14">
        <f>F937*BS937*IF(B937&gt;=in_marketplace_from,d_hz_loan_gold*G937,0)*in_loan_gold_ticket*in_loan_gold_comm</f>
        <v/>
      </c>
      <c r="BU937" s="40">
        <f>BU936*(1-IF(B936&gt;=in_marketplace_from,d_hz_loan_cd*G936,0))</f>
        <v/>
      </c>
      <c r="BV937" s="14">
        <f>F937*BU937*IF(B937&gt;=in_marketplace_from,d_hz_loan_cd*G937,0)*in_loan_cd_ticket*in_loan_cd_comm</f>
        <v/>
      </c>
      <c r="BW937" s="40">
        <f>BW936*(1-IF(B936&gt;=in_marketplace_from,d_hz_loan_vehicle*G936,0))</f>
        <v/>
      </c>
      <c r="BX937" s="14">
        <f>F937*BW937*IF(B937&gt;=in_marketplace_from,d_hz_loan_vehicle*G937,0)*in_loan_vehicle_ticket*in_loan_vehicle_comm</f>
        <v/>
      </c>
      <c r="BY937" s="40">
        <f>BY936*(1-IF(B936&gt;=in_marketplace_from,d_hz_loan_home*G936,0)*BZ936)</f>
        <v/>
      </c>
      <c r="BZ937" s="11">
        <f>MIN(in_approval_cap,in_loan_home_approval*INDEX('Age profile'!$O$2:$O$61,B937)*(1+in_approval_growth)^(D937-1))</f>
        <v/>
      </c>
      <c r="CA937" s="14">
        <f>F937*BY937*IF(B937&gt;=in_marketplace_from,d_hz_loan_home*G937,0)*BZ937*in_loan_home_ticket*in_loan_home_comm</f>
        <v/>
      </c>
      <c r="CB937" s="40">
        <f>CB936*(1-IF(B936&gt;=in_marketplace_from,d_hz_loan_lap*G936,0)*CC936)</f>
        <v/>
      </c>
      <c r="CC937" s="11">
        <f>MIN(in_approval_cap,in_loan_lap_approval*INDEX('Age profile'!$O$2:$O$61,B937)*(1+in_approval_growth)^(D937-1))</f>
        <v/>
      </c>
      <c r="CD937" s="14">
        <f>F937*CB937*IF(B937&gt;=in_marketplace_from,d_hz_loan_lap*G937,0)*CC937*in_loan_lap_ticket*in_loan_lap_comm</f>
        <v/>
      </c>
      <c r="CE937" s="14">
        <f>AA937+AB937+AC937+AD937+AG937+AJ937+AM937+AP937+AS937+AU937+AX937+BB937+BE937+BG937+BJ937+BL937+BO937+BR937+BT937+BV937+BX937+CA937+CD937</f>
        <v/>
      </c>
    </row>
    <row r="938">
      <c r="A938" s="39" t="n">
        <v>19</v>
      </c>
      <c r="B938" s="39" t="n">
        <v>10</v>
      </c>
      <c r="C938" s="39">
        <f>A938+B938-1</f>
        <v/>
      </c>
      <c r="D938" s="39">
        <f>INT((C938-1)/12)+1</f>
        <v/>
      </c>
      <c r="E938" s="44">
        <f>INDEX(Monthly!$B$2:$B$61,A938)</f>
        <v/>
      </c>
      <c r="F938" s="44">
        <f>E938*INDEX('Age profile'!$B$2:$B$61,B938)</f>
        <v/>
      </c>
      <c r="G938" s="45">
        <f>MIN(in_takeup_cap,INDEX('Age profile'!$N$2:$N$61,B938)*(1+in_takeup_growth)^(D938-1))</f>
        <v/>
      </c>
      <c r="H938" s="11">
        <f>MIN(in_approval_cap,in_approved_first*INDEX('Age profile'!$O$2:$O$61,B938)*(1+in_approval_growth)^(D938-1))</f>
        <v/>
      </c>
      <c r="I938" s="45">
        <f>G938*MIN(in_takeup_cap,INDEX('Age profile'!$O$2:$O$61,B938)*(1+in_approval_growth)^(D938-1))</f>
        <v/>
      </c>
      <c r="J938" s="40">
        <f>(J937-L937)*F938/F937</f>
        <v/>
      </c>
      <c r="K938" s="40">
        <f>(K937-M937)*F938/F937+SUMIFS(O929:O937,B929:B937,B938-1-d_T)*F938</f>
        <v/>
      </c>
      <c r="L938" s="40">
        <f>IF(B938&gt;=in_marketplace_from,J938*d_hz*G938*in_eligible*H938,0)</f>
        <v/>
      </c>
      <c r="M938" s="40">
        <f>IF(B938&gt;=in_marketplace_from,K938*d_hz*G938*in_eligible*in_approved_repeat,0)</f>
        <v/>
      </c>
      <c r="N938" s="40">
        <f>L938+M938</f>
        <v/>
      </c>
      <c r="O938" s="46">
        <f>N938/F938</f>
        <v/>
      </c>
      <c r="P938" s="40">
        <f>F938-J938-K938</f>
        <v/>
      </c>
      <c r="Q938" s="40">
        <f>IF(B938&gt;=in_marketplace_from,(J938+K938)*d_hz*G938,0)</f>
        <v/>
      </c>
      <c r="R938" s="40">
        <f>SUMIFS(N929:N970,B929:B970,"&gt;="&amp;(B938-d_T),B929:B970,"&lt;="&amp;(B938-1))</f>
        <v/>
      </c>
      <c r="S938" s="46">
        <f>(1-d_u)*S937+IF(d_T&gt;in_topup_lag,SUMIFS(O929:O970,B929:B970,B938-in_topup_lag)-d_udrop*SUMIFS(O929:O970,B929:B970,B938-d_T),0)</f>
        <v/>
      </c>
      <c r="T938" s="40">
        <f>F938*d_u*S938</f>
        <v/>
      </c>
      <c r="U938" s="9">
        <f>L938*in_ticket+M938*d_rep_ticket</f>
        <v/>
      </c>
      <c r="V938" s="9">
        <f>U938+T938*d_topup_amt</f>
        <v/>
      </c>
      <c r="W938" s="40">
        <f>N938+T938*d_topup_ratio</f>
        <v/>
      </c>
      <c r="X938" s="40">
        <f>SUMIFS(W929:W970,B929:B970,B938-in_dpd_lag)*d_cured</f>
        <v/>
      </c>
      <c r="Y938" s="40">
        <f>SUMIFS(W929:W970,B929:B970,B938-in_rec_lag)*d_recd</f>
        <v/>
      </c>
      <c r="Z938" s="40">
        <f>IF(AND(B938&gt;=in_marketplace_from,B938&lt;in_marketplace_from+in_card_months),in_card_share/in_card_months*F938*I938,IF(AND(B938&gt;=in_marketplace_from+in_card_months,B938&lt;in_marketplace_from+2*in_card_months),in_card_share*d_card_rem/in_card_months*F938*MIN(in_takeup_cap,(1+in_takeup_growth)^(D938-1))*MIN(in_takeup_cap,(1+in_approval_growth)^(D938-1)),0))</f>
        <v/>
      </c>
      <c r="AA938" s="14">
        <f>V938*in_fee*(1-in_taken_back)</f>
        <v/>
      </c>
      <c r="AB938" s="14">
        <f>SUMIFS(W929:W970,B929:B970,B938-in_dpd_lag)*d_dpd</f>
        <v/>
      </c>
      <c r="AC938" s="14">
        <f>SUMIFS(W929:W970,B929:B970,B938-in_rec_lag)*d_rec</f>
        <v/>
      </c>
      <c r="AD938" s="14">
        <f>Z938*in_card_fee</f>
        <v/>
      </c>
      <c r="AE938" s="40">
        <f>AE937*(1-IF(B937&gt;=in_marketplace_from,d_hz_hlth_small*G937,0))</f>
        <v/>
      </c>
      <c r="AF938" s="46">
        <f>AE938*IF(B938&gt;=in_marketplace_from,d_hz_hlth_small*G938,0)</f>
        <v/>
      </c>
      <c r="AG938" s="14">
        <f>F938*AF938*in_hlth_small_ticket*in_hlth_small_comm*in_ins_partner_share+F938*in_hlth_small_ticket*in_hlth_small_renew_comm*in_ins_partner_share*(in_hlth_small_renew^1*SUMIFS(AF929:AF970,B929:B970,B938-12)+in_hlth_small_renew^2*SUMIFS(AF929:AF970,B929:B970,B938-24)+in_hlth_small_renew^3*SUMIFS(AF929:AF970,B929:B970,B938-36)+in_hlth_small_renew^4*SUMIFS(AF929:AF970,B929:B970,B938-48))</f>
        <v/>
      </c>
      <c r="AH938" s="40">
        <f>AH937*(1-IF(B937&gt;=in_marketplace_from,d_hz_hlth_family*G937,0))</f>
        <v/>
      </c>
      <c r="AI938" s="46">
        <f>AH938*IF(B938&gt;=in_marketplace_from,d_hz_hlth_family*G938,0)</f>
        <v/>
      </c>
      <c r="AJ938" s="14">
        <f>F938*AI938*in_hlth_family_ticket*in_hlth_family_comm*in_ins_partner_share+F938*in_hlth_family_ticket*in_hlth_family_renew_comm*in_ins_partner_share*(in_hlth_family_renew^1*SUMIFS(AI929:AI970,B929:B970,B938-12)+in_hlth_family_renew^2*SUMIFS(AI929:AI970,B929:B970,B938-24)+in_hlth_family_renew^3*SUMIFS(AI929:AI970,B929:B970,B938-36)+in_hlth_family_renew^4*SUMIFS(AI929:AI970,B929:B970,B938-48))</f>
        <v/>
      </c>
      <c r="AK938" s="40">
        <f>AK937*(1-IF(B937&gt;=in_marketplace_from,d_hz_life_term*G937,0))</f>
        <v/>
      </c>
      <c r="AL938" s="46">
        <f>AK938*IF(B938&gt;=in_marketplace_from,d_hz_life_term*G938,0)</f>
        <v/>
      </c>
      <c r="AM938" s="14">
        <f>F938*AL938*in_life_term_ticket*in_life_term_comm*in_ins_partner_share+F938*in_life_term_ticket*in_life_term_renew_comm*in_ins_partner_share*(in_life_term_renew^1*SUMIFS(AL929:AL970,B929:B970,B938-12)+in_life_term_renew^2*SUMIFS(AL929:AL970,B929:B970,B938-24)+in_life_term_renew^3*SUMIFS(AL929:AL970,B929:B970,B938-36)+in_life_term_renew^4*SUMIFS(AL929:AL970,B929:B970,B938-48))</f>
        <v/>
      </c>
      <c r="AN938" s="40">
        <f>AN937*(1-IF(B937&gt;=in_marketplace_from,d_hz_accident*G937,0))</f>
        <v/>
      </c>
      <c r="AO938" s="46">
        <f>AN938*IF(B938&gt;=in_marketplace_from,d_hz_accident*G938,0)</f>
        <v/>
      </c>
      <c r="AP938" s="14">
        <f>F938*AO938*in_accident_ticket*in_accident_comm*in_ins_partner_share+F938*in_accident_ticket*in_accident_renew_comm*in_ins_partner_share*(in_accident_renew^1*SUMIFS(AO929:AO970,B929:B970,B938-12)+in_accident_renew^2*SUMIFS(AO929:AO970,B929:B970,B938-24)+in_accident_renew^3*SUMIFS(AO929:AO970,B929:B970,B938-36)+in_accident_renew^4*SUMIFS(AO929:AO970,B929:B970,B938-48))</f>
        <v/>
      </c>
      <c r="AQ938" s="40">
        <f>AQ937*(1-IF(B937&gt;=in_marketplace_from,d_hz_two_wheeler*G937,0))</f>
        <v/>
      </c>
      <c r="AR938" s="46">
        <f>AQ938*IF(B938&gt;=in_marketplace_from,d_hz_two_wheeler*G938,0)</f>
        <v/>
      </c>
      <c r="AS938" s="14">
        <f>F938*AR938*in_two_wheeler_ticket*in_two_wheeler_comm*in_ins_partner_share+F938*in_two_wheeler_ticket*in_two_wheeler_comm*in_ins_partner_share*(in_two_wheeler_renew^1*SUMIFS(AR929:AR970,B929:B970,B938-12)+in_two_wheeler_renew^2*SUMIFS(AR929:AR970,B929:B970,B938-24)+in_two_wheeler_renew^3*SUMIFS(AR929:AR970,B929:B970,B938-36)+in_two_wheeler_renew^4*SUMIFS(AR929:AR970,B929:B970,B938-48))</f>
        <v/>
      </c>
      <c r="AT938" s="40">
        <f>AT937*(1-IF(B937&gt;=in_marketplace_from,d_hz_device*G937,0))</f>
        <v/>
      </c>
      <c r="AU938" s="14">
        <f>F938*AT938*IF(B938&gt;=in_marketplace_from,d_hz_device*G938,0)*in_device_ticket*in_device_comm*in_ins_partner_share</f>
        <v/>
      </c>
      <c r="AV938" s="40">
        <f>AV937*(1-IF(B937&gt;=in_marketplace_from,d_hz_shop*G937,0))</f>
        <v/>
      </c>
      <c r="AW938" s="46">
        <f>AV938*IF(B938&gt;=in_marketplace_from,d_hz_shop*G938,0)</f>
        <v/>
      </c>
      <c r="AX938" s="14">
        <f>F938*AW938*in_shop_ticket*in_shop_comm*in_ins_partner_share+F938*in_shop_ticket*in_shop_renew_comm*in_ins_partner_share*(in_shop_renew^1*SUMIFS(AW929:AW970,B929:B970,B938-12)+in_shop_renew^2*SUMIFS(AW929:AW970,B929:B970,B938-24)+in_shop_renew^3*SUMIFS(AW929:AW970,B929:B970,B938-36)+in_shop_renew^4*SUMIFS(AW929:AW970,B929:B970,B938-48))</f>
        <v/>
      </c>
      <c r="AY938" s="40">
        <f>AY937*(1-IF(B937&gt;=in_marketplace_from,d_hz_sip*G937,0))</f>
        <v/>
      </c>
      <c r="AZ938" s="40">
        <f>AZ937*d_rho_sip+AY938*IF(B938&gt;=in_marketplace_from,d_hz_sip*G938,0)</f>
        <v/>
      </c>
      <c r="BA938" s="40">
        <f>d_rho_sip*(BA937+AZ937)</f>
        <v/>
      </c>
      <c r="BB938" s="14">
        <f>F938*in_sip_ticket*(BA938+0.5*AZ938)*in_sip_comm/12</f>
        <v/>
      </c>
      <c r="BC938" s="40">
        <f>BC937*(1-IF(B937&gt;=in_marketplace_from,d_hz_choti*G937,0))</f>
        <v/>
      </c>
      <c r="BD938" s="46">
        <f>BC938*IF(B938&gt;=in_marketplace_from,d_hz_choti*G938,0)</f>
        <v/>
      </c>
      <c r="BE938" s="14">
        <f>F938*SUMIFS(BD929:BD970,B929:B970,B938-in_choti_months)*in_choti_renew*in_choti_ticket</f>
        <v/>
      </c>
      <c r="BF938" s="40">
        <f>BF937*(1-IF(B937&gt;=in_marketplace_from,d_hz_nps*G937,0))</f>
        <v/>
      </c>
      <c r="BG938" s="14">
        <f>F938*BF938*IF(B938&gt;=in_marketplace_from,d_hz_nps*G938,0)*in_nps_ticket*in_nps_comm</f>
        <v/>
      </c>
      <c r="BH938" s="40">
        <f>BH937*(1-IF(B937&gt;=in_marketplace_from,d_hz_gold*G937,0))</f>
        <v/>
      </c>
      <c r="BI938" s="40">
        <f>BI937*d_rho_gold+BH938*IF(B938&gt;=in_marketplace_from,d_hz_gold*G938,0)</f>
        <v/>
      </c>
      <c r="BJ938" s="14">
        <f>F938*BI938*in_gold_ticket*in_gold_comm</f>
        <v/>
      </c>
      <c r="BK938" s="40">
        <f>BK937*(1-IF(B937&gt;=in_marketplace_from,d_hz_fd*G937,0))</f>
        <v/>
      </c>
      <c r="BL938" s="14">
        <f>F938*BK938*IF(B938&gt;=in_marketplace_from,d_hz_fd*G938,0)*in_fd_ticket*in_fd_comm</f>
        <v/>
      </c>
      <c r="BM938" s="40">
        <f>BM937*(1-IF(B937&gt;=in_marketplace_from,d_hz_recharge*G937,0))</f>
        <v/>
      </c>
      <c r="BN938" s="40">
        <f>BN937*d_rho_recharge+BM938*IF(B938&gt;=in_marketplace_from,d_hz_recharge*G938,0)</f>
        <v/>
      </c>
      <c r="BO938" s="14">
        <f>F938*BN938*in_recharge_ticket*in_recharge_comm/12</f>
        <v/>
      </c>
      <c r="BP938" s="40">
        <f>BP937*(1-IF(B937&gt;=in_marketplace_from,d_hz_bills*G937,0))</f>
        <v/>
      </c>
      <c r="BQ938" s="40">
        <f>BQ937*d_rho_bills+BP938*IF(B938&gt;=in_marketplace_from,d_hz_bills*G938,0)</f>
        <v/>
      </c>
      <c r="BR938" s="14">
        <f>F938*BQ938*in_bills_ticket*in_bills_comm/12</f>
        <v/>
      </c>
      <c r="BS938" s="40">
        <f>BS937*(1-IF(B937&gt;=in_marketplace_from,d_hz_loan_gold*G937,0))</f>
        <v/>
      </c>
      <c r="BT938" s="14">
        <f>F938*BS938*IF(B938&gt;=in_marketplace_from,d_hz_loan_gold*G938,0)*in_loan_gold_ticket*in_loan_gold_comm</f>
        <v/>
      </c>
      <c r="BU938" s="40">
        <f>BU937*(1-IF(B937&gt;=in_marketplace_from,d_hz_loan_cd*G937,0))</f>
        <v/>
      </c>
      <c r="BV938" s="14">
        <f>F938*BU938*IF(B938&gt;=in_marketplace_from,d_hz_loan_cd*G938,0)*in_loan_cd_ticket*in_loan_cd_comm</f>
        <v/>
      </c>
      <c r="BW938" s="40">
        <f>BW937*(1-IF(B937&gt;=in_marketplace_from,d_hz_loan_vehicle*G937,0))</f>
        <v/>
      </c>
      <c r="BX938" s="14">
        <f>F938*BW938*IF(B938&gt;=in_marketplace_from,d_hz_loan_vehicle*G938,0)*in_loan_vehicle_ticket*in_loan_vehicle_comm</f>
        <v/>
      </c>
      <c r="BY938" s="40">
        <f>BY937*(1-IF(B937&gt;=in_marketplace_from,d_hz_loan_home*G937,0)*BZ937)</f>
        <v/>
      </c>
      <c r="BZ938" s="11">
        <f>MIN(in_approval_cap,in_loan_home_approval*INDEX('Age profile'!$O$2:$O$61,B938)*(1+in_approval_growth)^(D938-1))</f>
        <v/>
      </c>
      <c r="CA938" s="14">
        <f>F938*BY938*IF(B938&gt;=in_marketplace_from,d_hz_loan_home*G938,0)*BZ938*in_loan_home_ticket*in_loan_home_comm</f>
        <v/>
      </c>
      <c r="CB938" s="40">
        <f>CB937*(1-IF(B937&gt;=in_marketplace_from,d_hz_loan_lap*G937,0)*CC937)</f>
        <v/>
      </c>
      <c r="CC938" s="11">
        <f>MIN(in_approval_cap,in_loan_lap_approval*INDEX('Age profile'!$O$2:$O$61,B938)*(1+in_approval_growth)^(D938-1))</f>
        <v/>
      </c>
      <c r="CD938" s="14">
        <f>F938*CB938*IF(B938&gt;=in_marketplace_from,d_hz_loan_lap*G938,0)*CC938*in_loan_lap_ticket*in_loan_lap_comm</f>
        <v/>
      </c>
      <c r="CE938" s="14">
        <f>AA938+AB938+AC938+AD938+AG938+AJ938+AM938+AP938+AS938+AU938+AX938+BB938+BE938+BG938+BJ938+BL938+BO938+BR938+BT938+BV938+BX938+CA938+CD938</f>
        <v/>
      </c>
    </row>
    <row r="939">
      <c r="A939" s="39" t="n">
        <v>19</v>
      </c>
      <c r="B939" s="39" t="n">
        <v>11</v>
      </c>
      <c r="C939" s="39">
        <f>A939+B939-1</f>
        <v/>
      </c>
      <c r="D939" s="39">
        <f>INT((C939-1)/12)+1</f>
        <v/>
      </c>
      <c r="E939" s="44">
        <f>INDEX(Monthly!$B$2:$B$61,A939)</f>
        <v/>
      </c>
      <c r="F939" s="44">
        <f>E939*INDEX('Age profile'!$B$2:$B$61,B939)</f>
        <v/>
      </c>
      <c r="G939" s="45">
        <f>MIN(in_takeup_cap,INDEX('Age profile'!$N$2:$N$61,B939)*(1+in_takeup_growth)^(D939-1))</f>
        <v/>
      </c>
      <c r="H939" s="11">
        <f>MIN(in_approval_cap,in_approved_first*INDEX('Age profile'!$O$2:$O$61,B939)*(1+in_approval_growth)^(D939-1))</f>
        <v/>
      </c>
      <c r="I939" s="45">
        <f>G939*MIN(in_takeup_cap,INDEX('Age profile'!$O$2:$O$61,B939)*(1+in_approval_growth)^(D939-1))</f>
        <v/>
      </c>
      <c r="J939" s="40">
        <f>(J938-L938)*F939/F938</f>
        <v/>
      </c>
      <c r="K939" s="40">
        <f>(K938-M938)*F939/F938+SUMIFS(O929:O938,B929:B938,B939-1-d_T)*F939</f>
        <v/>
      </c>
      <c r="L939" s="40">
        <f>IF(B939&gt;=in_marketplace_from,J939*d_hz*G939*in_eligible*H939,0)</f>
        <v/>
      </c>
      <c r="M939" s="40">
        <f>IF(B939&gt;=in_marketplace_from,K939*d_hz*G939*in_eligible*in_approved_repeat,0)</f>
        <v/>
      </c>
      <c r="N939" s="40">
        <f>L939+M939</f>
        <v/>
      </c>
      <c r="O939" s="46">
        <f>N939/F939</f>
        <v/>
      </c>
      <c r="P939" s="40">
        <f>F939-J939-K939</f>
        <v/>
      </c>
      <c r="Q939" s="40">
        <f>IF(B939&gt;=in_marketplace_from,(J939+K939)*d_hz*G939,0)</f>
        <v/>
      </c>
      <c r="R939" s="40">
        <f>SUMIFS(N929:N970,B929:B970,"&gt;="&amp;(B939-d_T),B929:B970,"&lt;="&amp;(B939-1))</f>
        <v/>
      </c>
      <c r="S939" s="46">
        <f>(1-d_u)*S938+IF(d_T&gt;in_topup_lag,SUMIFS(O929:O970,B929:B970,B939-in_topup_lag)-d_udrop*SUMIFS(O929:O970,B929:B970,B939-d_T),0)</f>
        <v/>
      </c>
      <c r="T939" s="40">
        <f>F939*d_u*S939</f>
        <v/>
      </c>
      <c r="U939" s="9">
        <f>L939*in_ticket+M939*d_rep_ticket</f>
        <v/>
      </c>
      <c r="V939" s="9">
        <f>U939+T939*d_topup_amt</f>
        <v/>
      </c>
      <c r="W939" s="40">
        <f>N939+T939*d_topup_ratio</f>
        <v/>
      </c>
      <c r="X939" s="40">
        <f>SUMIFS(W929:W970,B929:B970,B939-in_dpd_lag)*d_cured</f>
        <v/>
      </c>
      <c r="Y939" s="40">
        <f>SUMIFS(W929:W970,B929:B970,B939-in_rec_lag)*d_recd</f>
        <v/>
      </c>
      <c r="Z939" s="40">
        <f>IF(AND(B939&gt;=in_marketplace_from,B939&lt;in_marketplace_from+in_card_months),in_card_share/in_card_months*F939*I939,IF(AND(B939&gt;=in_marketplace_from+in_card_months,B939&lt;in_marketplace_from+2*in_card_months),in_card_share*d_card_rem/in_card_months*F939*MIN(in_takeup_cap,(1+in_takeup_growth)^(D939-1))*MIN(in_takeup_cap,(1+in_approval_growth)^(D939-1)),0))</f>
        <v/>
      </c>
      <c r="AA939" s="14">
        <f>V939*in_fee*(1-in_taken_back)</f>
        <v/>
      </c>
      <c r="AB939" s="14">
        <f>SUMIFS(W929:W970,B929:B970,B939-in_dpd_lag)*d_dpd</f>
        <v/>
      </c>
      <c r="AC939" s="14">
        <f>SUMIFS(W929:W970,B929:B970,B939-in_rec_lag)*d_rec</f>
        <v/>
      </c>
      <c r="AD939" s="14">
        <f>Z939*in_card_fee</f>
        <v/>
      </c>
      <c r="AE939" s="40">
        <f>AE938*(1-IF(B938&gt;=in_marketplace_from,d_hz_hlth_small*G938,0))</f>
        <v/>
      </c>
      <c r="AF939" s="46">
        <f>AE939*IF(B939&gt;=in_marketplace_from,d_hz_hlth_small*G939,0)</f>
        <v/>
      </c>
      <c r="AG939" s="14">
        <f>F939*AF939*in_hlth_small_ticket*in_hlth_small_comm*in_ins_partner_share+F939*in_hlth_small_ticket*in_hlth_small_renew_comm*in_ins_partner_share*(in_hlth_small_renew^1*SUMIFS(AF929:AF970,B929:B970,B939-12)+in_hlth_small_renew^2*SUMIFS(AF929:AF970,B929:B970,B939-24)+in_hlth_small_renew^3*SUMIFS(AF929:AF970,B929:B970,B939-36)+in_hlth_small_renew^4*SUMIFS(AF929:AF970,B929:B970,B939-48))</f>
        <v/>
      </c>
      <c r="AH939" s="40">
        <f>AH938*(1-IF(B938&gt;=in_marketplace_from,d_hz_hlth_family*G938,0))</f>
        <v/>
      </c>
      <c r="AI939" s="46">
        <f>AH939*IF(B939&gt;=in_marketplace_from,d_hz_hlth_family*G939,0)</f>
        <v/>
      </c>
      <c r="AJ939" s="14">
        <f>F939*AI939*in_hlth_family_ticket*in_hlth_family_comm*in_ins_partner_share+F939*in_hlth_family_ticket*in_hlth_family_renew_comm*in_ins_partner_share*(in_hlth_family_renew^1*SUMIFS(AI929:AI970,B929:B970,B939-12)+in_hlth_family_renew^2*SUMIFS(AI929:AI970,B929:B970,B939-24)+in_hlth_family_renew^3*SUMIFS(AI929:AI970,B929:B970,B939-36)+in_hlth_family_renew^4*SUMIFS(AI929:AI970,B929:B970,B939-48))</f>
        <v/>
      </c>
      <c r="AK939" s="40">
        <f>AK938*(1-IF(B938&gt;=in_marketplace_from,d_hz_life_term*G938,0))</f>
        <v/>
      </c>
      <c r="AL939" s="46">
        <f>AK939*IF(B939&gt;=in_marketplace_from,d_hz_life_term*G939,0)</f>
        <v/>
      </c>
      <c r="AM939" s="14">
        <f>F939*AL939*in_life_term_ticket*in_life_term_comm*in_ins_partner_share+F939*in_life_term_ticket*in_life_term_renew_comm*in_ins_partner_share*(in_life_term_renew^1*SUMIFS(AL929:AL970,B929:B970,B939-12)+in_life_term_renew^2*SUMIFS(AL929:AL970,B929:B970,B939-24)+in_life_term_renew^3*SUMIFS(AL929:AL970,B929:B970,B939-36)+in_life_term_renew^4*SUMIFS(AL929:AL970,B929:B970,B939-48))</f>
        <v/>
      </c>
      <c r="AN939" s="40">
        <f>AN938*(1-IF(B938&gt;=in_marketplace_from,d_hz_accident*G938,0))</f>
        <v/>
      </c>
      <c r="AO939" s="46">
        <f>AN939*IF(B939&gt;=in_marketplace_from,d_hz_accident*G939,0)</f>
        <v/>
      </c>
      <c r="AP939" s="14">
        <f>F939*AO939*in_accident_ticket*in_accident_comm*in_ins_partner_share+F939*in_accident_ticket*in_accident_renew_comm*in_ins_partner_share*(in_accident_renew^1*SUMIFS(AO929:AO970,B929:B970,B939-12)+in_accident_renew^2*SUMIFS(AO929:AO970,B929:B970,B939-24)+in_accident_renew^3*SUMIFS(AO929:AO970,B929:B970,B939-36)+in_accident_renew^4*SUMIFS(AO929:AO970,B929:B970,B939-48))</f>
        <v/>
      </c>
      <c r="AQ939" s="40">
        <f>AQ938*(1-IF(B938&gt;=in_marketplace_from,d_hz_two_wheeler*G938,0))</f>
        <v/>
      </c>
      <c r="AR939" s="46">
        <f>AQ939*IF(B939&gt;=in_marketplace_from,d_hz_two_wheeler*G939,0)</f>
        <v/>
      </c>
      <c r="AS939" s="14">
        <f>F939*AR939*in_two_wheeler_ticket*in_two_wheeler_comm*in_ins_partner_share+F939*in_two_wheeler_ticket*in_two_wheeler_comm*in_ins_partner_share*(in_two_wheeler_renew^1*SUMIFS(AR929:AR970,B929:B970,B939-12)+in_two_wheeler_renew^2*SUMIFS(AR929:AR970,B929:B970,B939-24)+in_two_wheeler_renew^3*SUMIFS(AR929:AR970,B929:B970,B939-36)+in_two_wheeler_renew^4*SUMIFS(AR929:AR970,B929:B970,B939-48))</f>
        <v/>
      </c>
      <c r="AT939" s="40">
        <f>AT938*(1-IF(B938&gt;=in_marketplace_from,d_hz_device*G938,0))</f>
        <v/>
      </c>
      <c r="AU939" s="14">
        <f>F939*AT939*IF(B939&gt;=in_marketplace_from,d_hz_device*G939,0)*in_device_ticket*in_device_comm*in_ins_partner_share</f>
        <v/>
      </c>
      <c r="AV939" s="40">
        <f>AV938*(1-IF(B938&gt;=in_marketplace_from,d_hz_shop*G938,0))</f>
        <v/>
      </c>
      <c r="AW939" s="46">
        <f>AV939*IF(B939&gt;=in_marketplace_from,d_hz_shop*G939,0)</f>
        <v/>
      </c>
      <c r="AX939" s="14">
        <f>F939*AW939*in_shop_ticket*in_shop_comm*in_ins_partner_share+F939*in_shop_ticket*in_shop_renew_comm*in_ins_partner_share*(in_shop_renew^1*SUMIFS(AW929:AW970,B929:B970,B939-12)+in_shop_renew^2*SUMIFS(AW929:AW970,B929:B970,B939-24)+in_shop_renew^3*SUMIFS(AW929:AW970,B929:B970,B939-36)+in_shop_renew^4*SUMIFS(AW929:AW970,B929:B970,B939-48))</f>
        <v/>
      </c>
      <c r="AY939" s="40">
        <f>AY938*(1-IF(B938&gt;=in_marketplace_from,d_hz_sip*G938,0))</f>
        <v/>
      </c>
      <c r="AZ939" s="40">
        <f>AZ938*d_rho_sip+AY939*IF(B939&gt;=in_marketplace_from,d_hz_sip*G939,0)</f>
        <v/>
      </c>
      <c r="BA939" s="40">
        <f>d_rho_sip*(BA938+AZ938)</f>
        <v/>
      </c>
      <c r="BB939" s="14">
        <f>F939*in_sip_ticket*(BA939+0.5*AZ939)*in_sip_comm/12</f>
        <v/>
      </c>
      <c r="BC939" s="40">
        <f>BC938*(1-IF(B938&gt;=in_marketplace_from,d_hz_choti*G938,0))</f>
        <v/>
      </c>
      <c r="BD939" s="46">
        <f>BC939*IF(B939&gt;=in_marketplace_from,d_hz_choti*G939,0)</f>
        <v/>
      </c>
      <c r="BE939" s="14">
        <f>F939*SUMIFS(BD929:BD970,B929:B970,B939-in_choti_months)*in_choti_renew*in_choti_ticket</f>
        <v/>
      </c>
      <c r="BF939" s="40">
        <f>BF938*(1-IF(B938&gt;=in_marketplace_from,d_hz_nps*G938,0))</f>
        <v/>
      </c>
      <c r="BG939" s="14">
        <f>F939*BF939*IF(B939&gt;=in_marketplace_from,d_hz_nps*G939,0)*in_nps_ticket*in_nps_comm</f>
        <v/>
      </c>
      <c r="BH939" s="40">
        <f>BH938*(1-IF(B938&gt;=in_marketplace_from,d_hz_gold*G938,0))</f>
        <v/>
      </c>
      <c r="BI939" s="40">
        <f>BI938*d_rho_gold+BH939*IF(B939&gt;=in_marketplace_from,d_hz_gold*G939,0)</f>
        <v/>
      </c>
      <c r="BJ939" s="14">
        <f>F939*BI939*in_gold_ticket*in_gold_comm</f>
        <v/>
      </c>
      <c r="BK939" s="40">
        <f>BK938*(1-IF(B938&gt;=in_marketplace_from,d_hz_fd*G938,0))</f>
        <v/>
      </c>
      <c r="BL939" s="14">
        <f>F939*BK939*IF(B939&gt;=in_marketplace_from,d_hz_fd*G939,0)*in_fd_ticket*in_fd_comm</f>
        <v/>
      </c>
      <c r="BM939" s="40">
        <f>BM938*(1-IF(B938&gt;=in_marketplace_from,d_hz_recharge*G938,0))</f>
        <v/>
      </c>
      <c r="BN939" s="40">
        <f>BN938*d_rho_recharge+BM939*IF(B939&gt;=in_marketplace_from,d_hz_recharge*G939,0)</f>
        <v/>
      </c>
      <c r="BO939" s="14">
        <f>F939*BN939*in_recharge_ticket*in_recharge_comm/12</f>
        <v/>
      </c>
      <c r="BP939" s="40">
        <f>BP938*(1-IF(B938&gt;=in_marketplace_from,d_hz_bills*G938,0))</f>
        <v/>
      </c>
      <c r="BQ939" s="40">
        <f>BQ938*d_rho_bills+BP939*IF(B939&gt;=in_marketplace_from,d_hz_bills*G939,0)</f>
        <v/>
      </c>
      <c r="BR939" s="14">
        <f>F939*BQ939*in_bills_ticket*in_bills_comm/12</f>
        <v/>
      </c>
      <c r="BS939" s="40">
        <f>BS938*(1-IF(B938&gt;=in_marketplace_from,d_hz_loan_gold*G938,0))</f>
        <v/>
      </c>
      <c r="BT939" s="14">
        <f>F939*BS939*IF(B939&gt;=in_marketplace_from,d_hz_loan_gold*G939,0)*in_loan_gold_ticket*in_loan_gold_comm</f>
        <v/>
      </c>
      <c r="BU939" s="40">
        <f>BU938*(1-IF(B938&gt;=in_marketplace_from,d_hz_loan_cd*G938,0))</f>
        <v/>
      </c>
      <c r="BV939" s="14">
        <f>F939*BU939*IF(B939&gt;=in_marketplace_from,d_hz_loan_cd*G939,0)*in_loan_cd_ticket*in_loan_cd_comm</f>
        <v/>
      </c>
      <c r="BW939" s="40">
        <f>BW938*(1-IF(B938&gt;=in_marketplace_from,d_hz_loan_vehicle*G938,0))</f>
        <v/>
      </c>
      <c r="BX939" s="14">
        <f>F939*BW939*IF(B939&gt;=in_marketplace_from,d_hz_loan_vehicle*G939,0)*in_loan_vehicle_ticket*in_loan_vehicle_comm</f>
        <v/>
      </c>
      <c r="BY939" s="40">
        <f>BY938*(1-IF(B938&gt;=in_marketplace_from,d_hz_loan_home*G938,0)*BZ938)</f>
        <v/>
      </c>
      <c r="BZ939" s="11">
        <f>MIN(in_approval_cap,in_loan_home_approval*INDEX('Age profile'!$O$2:$O$61,B939)*(1+in_approval_growth)^(D939-1))</f>
        <v/>
      </c>
      <c r="CA939" s="14">
        <f>F939*BY939*IF(B939&gt;=in_marketplace_from,d_hz_loan_home*G939,0)*BZ939*in_loan_home_ticket*in_loan_home_comm</f>
        <v/>
      </c>
      <c r="CB939" s="40">
        <f>CB938*(1-IF(B938&gt;=in_marketplace_from,d_hz_loan_lap*G938,0)*CC938)</f>
        <v/>
      </c>
      <c r="CC939" s="11">
        <f>MIN(in_approval_cap,in_loan_lap_approval*INDEX('Age profile'!$O$2:$O$61,B939)*(1+in_approval_growth)^(D939-1))</f>
        <v/>
      </c>
      <c r="CD939" s="14">
        <f>F939*CB939*IF(B939&gt;=in_marketplace_from,d_hz_loan_lap*G939,0)*CC939*in_loan_lap_ticket*in_loan_lap_comm</f>
        <v/>
      </c>
      <c r="CE939" s="14">
        <f>AA939+AB939+AC939+AD939+AG939+AJ939+AM939+AP939+AS939+AU939+AX939+BB939+BE939+BG939+BJ939+BL939+BO939+BR939+BT939+BV939+BX939+CA939+CD939</f>
        <v/>
      </c>
    </row>
    <row r="940">
      <c r="A940" s="39" t="n">
        <v>19</v>
      </c>
      <c r="B940" s="39" t="n">
        <v>12</v>
      </c>
      <c r="C940" s="39">
        <f>A940+B940-1</f>
        <v/>
      </c>
      <c r="D940" s="39">
        <f>INT((C940-1)/12)+1</f>
        <v/>
      </c>
      <c r="E940" s="44">
        <f>INDEX(Monthly!$B$2:$B$61,A940)</f>
        <v/>
      </c>
      <c r="F940" s="44">
        <f>E940*INDEX('Age profile'!$B$2:$B$61,B940)</f>
        <v/>
      </c>
      <c r="G940" s="45">
        <f>MIN(in_takeup_cap,INDEX('Age profile'!$N$2:$N$61,B940)*(1+in_takeup_growth)^(D940-1))</f>
        <v/>
      </c>
      <c r="H940" s="11">
        <f>MIN(in_approval_cap,in_approved_first*INDEX('Age profile'!$O$2:$O$61,B940)*(1+in_approval_growth)^(D940-1))</f>
        <v/>
      </c>
      <c r="I940" s="45">
        <f>G940*MIN(in_takeup_cap,INDEX('Age profile'!$O$2:$O$61,B940)*(1+in_approval_growth)^(D940-1))</f>
        <v/>
      </c>
      <c r="J940" s="40">
        <f>(J939-L939)*F940/F939</f>
        <v/>
      </c>
      <c r="K940" s="40">
        <f>(K939-M939)*F940/F939+SUMIFS(O929:O939,B929:B939,B940-1-d_T)*F940</f>
        <v/>
      </c>
      <c r="L940" s="40">
        <f>IF(B940&gt;=in_marketplace_from,J940*d_hz*G940*in_eligible*H940,0)</f>
        <v/>
      </c>
      <c r="M940" s="40">
        <f>IF(B940&gt;=in_marketplace_from,K940*d_hz*G940*in_eligible*in_approved_repeat,0)</f>
        <v/>
      </c>
      <c r="N940" s="40">
        <f>L940+M940</f>
        <v/>
      </c>
      <c r="O940" s="46">
        <f>N940/F940</f>
        <v/>
      </c>
      <c r="P940" s="40">
        <f>F940-J940-K940</f>
        <v/>
      </c>
      <c r="Q940" s="40">
        <f>IF(B940&gt;=in_marketplace_from,(J940+K940)*d_hz*G940,0)</f>
        <v/>
      </c>
      <c r="R940" s="40">
        <f>SUMIFS(N929:N970,B929:B970,"&gt;="&amp;(B940-d_T),B929:B970,"&lt;="&amp;(B940-1))</f>
        <v/>
      </c>
      <c r="S940" s="46">
        <f>(1-d_u)*S939+IF(d_T&gt;in_topup_lag,SUMIFS(O929:O970,B929:B970,B940-in_topup_lag)-d_udrop*SUMIFS(O929:O970,B929:B970,B940-d_T),0)</f>
        <v/>
      </c>
      <c r="T940" s="40">
        <f>F940*d_u*S940</f>
        <v/>
      </c>
      <c r="U940" s="9">
        <f>L940*in_ticket+M940*d_rep_ticket</f>
        <v/>
      </c>
      <c r="V940" s="9">
        <f>U940+T940*d_topup_amt</f>
        <v/>
      </c>
      <c r="W940" s="40">
        <f>N940+T940*d_topup_ratio</f>
        <v/>
      </c>
      <c r="X940" s="40">
        <f>SUMIFS(W929:W970,B929:B970,B940-in_dpd_lag)*d_cured</f>
        <v/>
      </c>
      <c r="Y940" s="40">
        <f>SUMIFS(W929:W970,B929:B970,B940-in_rec_lag)*d_recd</f>
        <v/>
      </c>
      <c r="Z940" s="40">
        <f>IF(AND(B940&gt;=in_marketplace_from,B940&lt;in_marketplace_from+in_card_months),in_card_share/in_card_months*F940*I940,IF(AND(B940&gt;=in_marketplace_from+in_card_months,B940&lt;in_marketplace_from+2*in_card_months),in_card_share*d_card_rem/in_card_months*F940*MIN(in_takeup_cap,(1+in_takeup_growth)^(D940-1))*MIN(in_takeup_cap,(1+in_approval_growth)^(D940-1)),0))</f>
        <v/>
      </c>
      <c r="AA940" s="14">
        <f>V940*in_fee*(1-in_taken_back)</f>
        <v/>
      </c>
      <c r="AB940" s="14">
        <f>SUMIFS(W929:W970,B929:B970,B940-in_dpd_lag)*d_dpd</f>
        <v/>
      </c>
      <c r="AC940" s="14">
        <f>SUMIFS(W929:W970,B929:B970,B940-in_rec_lag)*d_rec</f>
        <v/>
      </c>
      <c r="AD940" s="14">
        <f>Z940*in_card_fee</f>
        <v/>
      </c>
      <c r="AE940" s="40">
        <f>AE939*(1-IF(B939&gt;=in_marketplace_from,d_hz_hlth_small*G939,0))</f>
        <v/>
      </c>
      <c r="AF940" s="46">
        <f>AE940*IF(B940&gt;=in_marketplace_from,d_hz_hlth_small*G940,0)</f>
        <v/>
      </c>
      <c r="AG940" s="14">
        <f>F940*AF940*in_hlth_small_ticket*in_hlth_small_comm*in_ins_partner_share+F940*in_hlth_small_ticket*in_hlth_small_renew_comm*in_ins_partner_share*(in_hlth_small_renew^1*SUMIFS(AF929:AF970,B929:B970,B940-12)+in_hlth_small_renew^2*SUMIFS(AF929:AF970,B929:B970,B940-24)+in_hlth_small_renew^3*SUMIFS(AF929:AF970,B929:B970,B940-36)+in_hlth_small_renew^4*SUMIFS(AF929:AF970,B929:B970,B940-48))</f>
        <v/>
      </c>
      <c r="AH940" s="40">
        <f>AH939*(1-IF(B939&gt;=in_marketplace_from,d_hz_hlth_family*G939,0))</f>
        <v/>
      </c>
      <c r="AI940" s="46">
        <f>AH940*IF(B940&gt;=in_marketplace_from,d_hz_hlth_family*G940,0)</f>
        <v/>
      </c>
      <c r="AJ940" s="14">
        <f>F940*AI940*in_hlth_family_ticket*in_hlth_family_comm*in_ins_partner_share+F940*in_hlth_family_ticket*in_hlth_family_renew_comm*in_ins_partner_share*(in_hlth_family_renew^1*SUMIFS(AI929:AI970,B929:B970,B940-12)+in_hlth_family_renew^2*SUMIFS(AI929:AI970,B929:B970,B940-24)+in_hlth_family_renew^3*SUMIFS(AI929:AI970,B929:B970,B940-36)+in_hlth_family_renew^4*SUMIFS(AI929:AI970,B929:B970,B940-48))</f>
        <v/>
      </c>
      <c r="AK940" s="40">
        <f>AK939*(1-IF(B939&gt;=in_marketplace_from,d_hz_life_term*G939,0))</f>
        <v/>
      </c>
      <c r="AL940" s="46">
        <f>AK940*IF(B940&gt;=in_marketplace_from,d_hz_life_term*G940,0)</f>
        <v/>
      </c>
      <c r="AM940" s="14">
        <f>F940*AL940*in_life_term_ticket*in_life_term_comm*in_ins_partner_share+F940*in_life_term_ticket*in_life_term_renew_comm*in_ins_partner_share*(in_life_term_renew^1*SUMIFS(AL929:AL970,B929:B970,B940-12)+in_life_term_renew^2*SUMIFS(AL929:AL970,B929:B970,B940-24)+in_life_term_renew^3*SUMIFS(AL929:AL970,B929:B970,B940-36)+in_life_term_renew^4*SUMIFS(AL929:AL970,B929:B970,B940-48))</f>
        <v/>
      </c>
      <c r="AN940" s="40">
        <f>AN939*(1-IF(B939&gt;=in_marketplace_from,d_hz_accident*G939,0))</f>
        <v/>
      </c>
      <c r="AO940" s="46">
        <f>AN940*IF(B940&gt;=in_marketplace_from,d_hz_accident*G940,0)</f>
        <v/>
      </c>
      <c r="AP940" s="14">
        <f>F940*AO940*in_accident_ticket*in_accident_comm*in_ins_partner_share+F940*in_accident_ticket*in_accident_renew_comm*in_ins_partner_share*(in_accident_renew^1*SUMIFS(AO929:AO970,B929:B970,B940-12)+in_accident_renew^2*SUMIFS(AO929:AO970,B929:B970,B940-24)+in_accident_renew^3*SUMIFS(AO929:AO970,B929:B970,B940-36)+in_accident_renew^4*SUMIFS(AO929:AO970,B929:B970,B940-48))</f>
        <v/>
      </c>
      <c r="AQ940" s="40">
        <f>AQ939*(1-IF(B939&gt;=in_marketplace_from,d_hz_two_wheeler*G939,0))</f>
        <v/>
      </c>
      <c r="AR940" s="46">
        <f>AQ940*IF(B940&gt;=in_marketplace_from,d_hz_two_wheeler*G940,0)</f>
        <v/>
      </c>
      <c r="AS940" s="14">
        <f>F940*AR940*in_two_wheeler_ticket*in_two_wheeler_comm*in_ins_partner_share+F940*in_two_wheeler_ticket*in_two_wheeler_comm*in_ins_partner_share*(in_two_wheeler_renew^1*SUMIFS(AR929:AR970,B929:B970,B940-12)+in_two_wheeler_renew^2*SUMIFS(AR929:AR970,B929:B970,B940-24)+in_two_wheeler_renew^3*SUMIFS(AR929:AR970,B929:B970,B940-36)+in_two_wheeler_renew^4*SUMIFS(AR929:AR970,B929:B970,B940-48))</f>
        <v/>
      </c>
      <c r="AT940" s="40">
        <f>AT939*(1-IF(B939&gt;=in_marketplace_from,d_hz_device*G939,0))</f>
        <v/>
      </c>
      <c r="AU940" s="14">
        <f>F940*AT940*IF(B940&gt;=in_marketplace_from,d_hz_device*G940,0)*in_device_ticket*in_device_comm*in_ins_partner_share</f>
        <v/>
      </c>
      <c r="AV940" s="40">
        <f>AV939*(1-IF(B939&gt;=in_marketplace_from,d_hz_shop*G939,0))</f>
        <v/>
      </c>
      <c r="AW940" s="46">
        <f>AV940*IF(B940&gt;=in_marketplace_from,d_hz_shop*G940,0)</f>
        <v/>
      </c>
      <c r="AX940" s="14">
        <f>F940*AW940*in_shop_ticket*in_shop_comm*in_ins_partner_share+F940*in_shop_ticket*in_shop_renew_comm*in_ins_partner_share*(in_shop_renew^1*SUMIFS(AW929:AW970,B929:B970,B940-12)+in_shop_renew^2*SUMIFS(AW929:AW970,B929:B970,B940-24)+in_shop_renew^3*SUMIFS(AW929:AW970,B929:B970,B940-36)+in_shop_renew^4*SUMIFS(AW929:AW970,B929:B970,B940-48))</f>
        <v/>
      </c>
      <c r="AY940" s="40">
        <f>AY939*(1-IF(B939&gt;=in_marketplace_from,d_hz_sip*G939,0))</f>
        <v/>
      </c>
      <c r="AZ940" s="40">
        <f>AZ939*d_rho_sip+AY940*IF(B940&gt;=in_marketplace_from,d_hz_sip*G940,0)</f>
        <v/>
      </c>
      <c r="BA940" s="40">
        <f>d_rho_sip*(BA939+AZ939)</f>
        <v/>
      </c>
      <c r="BB940" s="14">
        <f>F940*in_sip_ticket*(BA940+0.5*AZ940)*in_sip_comm/12</f>
        <v/>
      </c>
      <c r="BC940" s="40">
        <f>BC939*(1-IF(B939&gt;=in_marketplace_from,d_hz_choti*G939,0))</f>
        <v/>
      </c>
      <c r="BD940" s="46">
        <f>BC940*IF(B940&gt;=in_marketplace_from,d_hz_choti*G940,0)</f>
        <v/>
      </c>
      <c r="BE940" s="14">
        <f>F940*SUMIFS(BD929:BD970,B929:B970,B940-in_choti_months)*in_choti_renew*in_choti_ticket</f>
        <v/>
      </c>
      <c r="BF940" s="40">
        <f>BF939*(1-IF(B939&gt;=in_marketplace_from,d_hz_nps*G939,0))</f>
        <v/>
      </c>
      <c r="BG940" s="14">
        <f>F940*BF940*IF(B940&gt;=in_marketplace_from,d_hz_nps*G940,0)*in_nps_ticket*in_nps_comm</f>
        <v/>
      </c>
      <c r="BH940" s="40">
        <f>BH939*(1-IF(B939&gt;=in_marketplace_from,d_hz_gold*G939,0))</f>
        <v/>
      </c>
      <c r="BI940" s="40">
        <f>BI939*d_rho_gold+BH940*IF(B940&gt;=in_marketplace_from,d_hz_gold*G940,0)</f>
        <v/>
      </c>
      <c r="BJ940" s="14">
        <f>F940*BI940*in_gold_ticket*in_gold_comm</f>
        <v/>
      </c>
      <c r="BK940" s="40">
        <f>BK939*(1-IF(B939&gt;=in_marketplace_from,d_hz_fd*G939,0))</f>
        <v/>
      </c>
      <c r="BL940" s="14">
        <f>F940*BK940*IF(B940&gt;=in_marketplace_from,d_hz_fd*G940,0)*in_fd_ticket*in_fd_comm</f>
        <v/>
      </c>
      <c r="BM940" s="40">
        <f>BM939*(1-IF(B939&gt;=in_marketplace_from,d_hz_recharge*G939,0))</f>
        <v/>
      </c>
      <c r="BN940" s="40">
        <f>BN939*d_rho_recharge+BM940*IF(B940&gt;=in_marketplace_from,d_hz_recharge*G940,0)</f>
        <v/>
      </c>
      <c r="BO940" s="14">
        <f>F940*BN940*in_recharge_ticket*in_recharge_comm/12</f>
        <v/>
      </c>
      <c r="BP940" s="40">
        <f>BP939*(1-IF(B939&gt;=in_marketplace_from,d_hz_bills*G939,0))</f>
        <v/>
      </c>
      <c r="BQ940" s="40">
        <f>BQ939*d_rho_bills+BP940*IF(B940&gt;=in_marketplace_from,d_hz_bills*G940,0)</f>
        <v/>
      </c>
      <c r="BR940" s="14">
        <f>F940*BQ940*in_bills_ticket*in_bills_comm/12</f>
        <v/>
      </c>
      <c r="BS940" s="40">
        <f>BS939*(1-IF(B939&gt;=in_marketplace_from,d_hz_loan_gold*G939,0))</f>
        <v/>
      </c>
      <c r="BT940" s="14">
        <f>F940*BS940*IF(B940&gt;=in_marketplace_from,d_hz_loan_gold*G940,0)*in_loan_gold_ticket*in_loan_gold_comm</f>
        <v/>
      </c>
      <c r="BU940" s="40">
        <f>BU939*(1-IF(B939&gt;=in_marketplace_from,d_hz_loan_cd*G939,0))</f>
        <v/>
      </c>
      <c r="BV940" s="14">
        <f>F940*BU940*IF(B940&gt;=in_marketplace_from,d_hz_loan_cd*G940,0)*in_loan_cd_ticket*in_loan_cd_comm</f>
        <v/>
      </c>
      <c r="BW940" s="40">
        <f>BW939*(1-IF(B939&gt;=in_marketplace_from,d_hz_loan_vehicle*G939,0))</f>
        <v/>
      </c>
      <c r="BX940" s="14">
        <f>F940*BW940*IF(B940&gt;=in_marketplace_from,d_hz_loan_vehicle*G940,0)*in_loan_vehicle_ticket*in_loan_vehicle_comm</f>
        <v/>
      </c>
      <c r="BY940" s="40">
        <f>BY939*(1-IF(B939&gt;=in_marketplace_from,d_hz_loan_home*G939,0)*BZ939)</f>
        <v/>
      </c>
      <c r="BZ940" s="11">
        <f>MIN(in_approval_cap,in_loan_home_approval*INDEX('Age profile'!$O$2:$O$61,B940)*(1+in_approval_growth)^(D940-1))</f>
        <v/>
      </c>
      <c r="CA940" s="14">
        <f>F940*BY940*IF(B940&gt;=in_marketplace_from,d_hz_loan_home*G940,0)*BZ940*in_loan_home_ticket*in_loan_home_comm</f>
        <v/>
      </c>
      <c r="CB940" s="40">
        <f>CB939*(1-IF(B939&gt;=in_marketplace_from,d_hz_loan_lap*G939,0)*CC939)</f>
        <v/>
      </c>
      <c r="CC940" s="11">
        <f>MIN(in_approval_cap,in_loan_lap_approval*INDEX('Age profile'!$O$2:$O$61,B940)*(1+in_approval_growth)^(D940-1))</f>
        <v/>
      </c>
      <c r="CD940" s="14">
        <f>F940*CB940*IF(B940&gt;=in_marketplace_from,d_hz_loan_lap*G940,0)*CC940*in_loan_lap_ticket*in_loan_lap_comm</f>
        <v/>
      </c>
      <c r="CE940" s="14">
        <f>AA940+AB940+AC940+AD940+AG940+AJ940+AM940+AP940+AS940+AU940+AX940+BB940+BE940+BG940+BJ940+BL940+BO940+BR940+BT940+BV940+BX940+CA940+CD940</f>
        <v/>
      </c>
    </row>
    <row r="941">
      <c r="A941" s="39" t="n">
        <v>19</v>
      </c>
      <c r="B941" s="39" t="n">
        <v>13</v>
      </c>
      <c r="C941" s="39">
        <f>A941+B941-1</f>
        <v/>
      </c>
      <c r="D941" s="39">
        <f>INT((C941-1)/12)+1</f>
        <v/>
      </c>
      <c r="E941" s="44">
        <f>INDEX(Monthly!$B$2:$B$61,A941)</f>
        <v/>
      </c>
      <c r="F941" s="44">
        <f>E941*INDEX('Age profile'!$B$2:$B$61,B941)</f>
        <v/>
      </c>
      <c r="G941" s="45">
        <f>MIN(in_takeup_cap,INDEX('Age profile'!$N$2:$N$61,B941)*(1+in_takeup_growth)^(D941-1))</f>
        <v/>
      </c>
      <c r="H941" s="11">
        <f>MIN(in_approval_cap,in_approved_first*INDEX('Age profile'!$O$2:$O$61,B941)*(1+in_approval_growth)^(D941-1))</f>
        <v/>
      </c>
      <c r="I941" s="45">
        <f>G941*MIN(in_takeup_cap,INDEX('Age profile'!$O$2:$O$61,B941)*(1+in_approval_growth)^(D941-1))</f>
        <v/>
      </c>
      <c r="J941" s="40">
        <f>(J940-L940)*F941/F940</f>
        <v/>
      </c>
      <c r="K941" s="40">
        <f>(K940-M940)*F941/F940+SUMIFS(O929:O940,B929:B940,B941-1-d_T)*F941</f>
        <v/>
      </c>
      <c r="L941" s="40">
        <f>IF(B941&gt;=in_marketplace_from,J941*d_hz*G941*in_eligible*H941,0)</f>
        <v/>
      </c>
      <c r="M941" s="40">
        <f>IF(B941&gt;=in_marketplace_from,K941*d_hz*G941*in_eligible*in_approved_repeat,0)</f>
        <v/>
      </c>
      <c r="N941" s="40">
        <f>L941+M941</f>
        <v/>
      </c>
      <c r="O941" s="46">
        <f>N941/F941</f>
        <v/>
      </c>
      <c r="P941" s="40">
        <f>F941-J941-K941</f>
        <v/>
      </c>
      <c r="Q941" s="40">
        <f>IF(B941&gt;=in_marketplace_from,(J941+K941)*d_hz*G941,0)</f>
        <v/>
      </c>
      <c r="R941" s="40">
        <f>SUMIFS(N929:N970,B929:B970,"&gt;="&amp;(B941-d_T),B929:B970,"&lt;="&amp;(B941-1))</f>
        <v/>
      </c>
      <c r="S941" s="46">
        <f>(1-d_u)*S940+IF(d_T&gt;in_topup_lag,SUMIFS(O929:O970,B929:B970,B941-in_topup_lag)-d_udrop*SUMIFS(O929:O970,B929:B970,B941-d_T),0)</f>
        <v/>
      </c>
      <c r="T941" s="40">
        <f>F941*d_u*S941</f>
        <v/>
      </c>
      <c r="U941" s="9">
        <f>L941*in_ticket+M941*d_rep_ticket</f>
        <v/>
      </c>
      <c r="V941" s="9">
        <f>U941+T941*d_topup_amt</f>
        <v/>
      </c>
      <c r="W941" s="40">
        <f>N941+T941*d_topup_ratio</f>
        <v/>
      </c>
      <c r="X941" s="40">
        <f>SUMIFS(W929:W970,B929:B970,B941-in_dpd_lag)*d_cured</f>
        <v/>
      </c>
      <c r="Y941" s="40">
        <f>SUMIFS(W929:W970,B929:B970,B941-in_rec_lag)*d_recd</f>
        <v/>
      </c>
      <c r="Z941" s="40">
        <f>IF(AND(B941&gt;=in_marketplace_from,B941&lt;in_marketplace_from+in_card_months),in_card_share/in_card_months*F941*I941,IF(AND(B941&gt;=in_marketplace_from+in_card_months,B941&lt;in_marketplace_from+2*in_card_months),in_card_share*d_card_rem/in_card_months*F941*MIN(in_takeup_cap,(1+in_takeup_growth)^(D941-1))*MIN(in_takeup_cap,(1+in_approval_growth)^(D941-1)),0))</f>
        <v/>
      </c>
      <c r="AA941" s="14">
        <f>V941*in_fee*(1-in_taken_back)</f>
        <v/>
      </c>
      <c r="AB941" s="14">
        <f>SUMIFS(W929:W970,B929:B970,B941-in_dpd_lag)*d_dpd</f>
        <v/>
      </c>
      <c r="AC941" s="14">
        <f>SUMIFS(W929:W970,B929:B970,B941-in_rec_lag)*d_rec</f>
        <v/>
      </c>
      <c r="AD941" s="14">
        <f>Z941*in_card_fee</f>
        <v/>
      </c>
      <c r="AE941" s="40">
        <f>AE940*(1-IF(B940&gt;=in_marketplace_from,d_hz_hlth_small*G940,0))</f>
        <v/>
      </c>
      <c r="AF941" s="46">
        <f>AE941*IF(B941&gt;=in_marketplace_from,d_hz_hlth_small*G941,0)</f>
        <v/>
      </c>
      <c r="AG941" s="14">
        <f>F941*AF941*in_hlth_small_ticket*in_hlth_small_comm*in_ins_partner_share+F941*in_hlth_small_ticket*in_hlth_small_renew_comm*in_ins_partner_share*(in_hlth_small_renew^1*SUMIFS(AF929:AF970,B929:B970,B941-12)+in_hlth_small_renew^2*SUMIFS(AF929:AF970,B929:B970,B941-24)+in_hlth_small_renew^3*SUMIFS(AF929:AF970,B929:B970,B941-36)+in_hlth_small_renew^4*SUMIFS(AF929:AF970,B929:B970,B941-48))</f>
        <v/>
      </c>
      <c r="AH941" s="40">
        <f>AH940*(1-IF(B940&gt;=in_marketplace_from,d_hz_hlth_family*G940,0))</f>
        <v/>
      </c>
      <c r="AI941" s="46">
        <f>AH941*IF(B941&gt;=in_marketplace_from,d_hz_hlth_family*G941,0)</f>
        <v/>
      </c>
      <c r="AJ941" s="14">
        <f>F941*AI941*in_hlth_family_ticket*in_hlth_family_comm*in_ins_partner_share+F941*in_hlth_family_ticket*in_hlth_family_renew_comm*in_ins_partner_share*(in_hlth_family_renew^1*SUMIFS(AI929:AI970,B929:B970,B941-12)+in_hlth_family_renew^2*SUMIFS(AI929:AI970,B929:B970,B941-24)+in_hlth_family_renew^3*SUMIFS(AI929:AI970,B929:B970,B941-36)+in_hlth_family_renew^4*SUMIFS(AI929:AI970,B929:B970,B941-48))</f>
        <v/>
      </c>
      <c r="AK941" s="40">
        <f>AK940*(1-IF(B940&gt;=in_marketplace_from,d_hz_life_term*G940,0))</f>
        <v/>
      </c>
      <c r="AL941" s="46">
        <f>AK941*IF(B941&gt;=in_marketplace_from,d_hz_life_term*G941,0)</f>
        <v/>
      </c>
      <c r="AM941" s="14">
        <f>F941*AL941*in_life_term_ticket*in_life_term_comm*in_ins_partner_share+F941*in_life_term_ticket*in_life_term_renew_comm*in_ins_partner_share*(in_life_term_renew^1*SUMIFS(AL929:AL970,B929:B970,B941-12)+in_life_term_renew^2*SUMIFS(AL929:AL970,B929:B970,B941-24)+in_life_term_renew^3*SUMIFS(AL929:AL970,B929:B970,B941-36)+in_life_term_renew^4*SUMIFS(AL929:AL970,B929:B970,B941-48))</f>
        <v/>
      </c>
      <c r="AN941" s="40">
        <f>AN940*(1-IF(B940&gt;=in_marketplace_from,d_hz_accident*G940,0))</f>
        <v/>
      </c>
      <c r="AO941" s="46">
        <f>AN941*IF(B941&gt;=in_marketplace_from,d_hz_accident*G941,0)</f>
        <v/>
      </c>
      <c r="AP941" s="14">
        <f>F941*AO941*in_accident_ticket*in_accident_comm*in_ins_partner_share+F941*in_accident_ticket*in_accident_renew_comm*in_ins_partner_share*(in_accident_renew^1*SUMIFS(AO929:AO970,B929:B970,B941-12)+in_accident_renew^2*SUMIFS(AO929:AO970,B929:B970,B941-24)+in_accident_renew^3*SUMIFS(AO929:AO970,B929:B970,B941-36)+in_accident_renew^4*SUMIFS(AO929:AO970,B929:B970,B941-48))</f>
        <v/>
      </c>
      <c r="AQ941" s="40">
        <f>AQ940*(1-IF(B940&gt;=in_marketplace_from,d_hz_two_wheeler*G940,0))</f>
        <v/>
      </c>
      <c r="AR941" s="46">
        <f>AQ941*IF(B941&gt;=in_marketplace_from,d_hz_two_wheeler*G941,0)</f>
        <v/>
      </c>
      <c r="AS941" s="14">
        <f>F941*AR941*in_two_wheeler_ticket*in_two_wheeler_comm*in_ins_partner_share+F941*in_two_wheeler_ticket*in_two_wheeler_comm*in_ins_partner_share*(in_two_wheeler_renew^1*SUMIFS(AR929:AR970,B929:B970,B941-12)+in_two_wheeler_renew^2*SUMIFS(AR929:AR970,B929:B970,B941-24)+in_two_wheeler_renew^3*SUMIFS(AR929:AR970,B929:B970,B941-36)+in_two_wheeler_renew^4*SUMIFS(AR929:AR970,B929:B970,B941-48))</f>
        <v/>
      </c>
      <c r="AT941" s="40">
        <f>AT940*(1-IF(B940&gt;=in_marketplace_from,d_hz_device*G940,0))</f>
        <v/>
      </c>
      <c r="AU941" s="14">
        <f>F941*AT941*IF(B941&gt;=in_marketplace_from,d_hz_device*G941,0)*in_device_ticket*in_device_comm*in_ins_partner_share</f>
        <v/>
      </c>
      <c r="AV941" s="40">
        <f>AV940*(1-IF(B940&gt;=in_marketplace_from,d_hz_shop*G940,0))</f>
        <v/>
      </c>
      <c r="AW941" s="46">
        <f>AV941*IF(B941&gt;=in_marketplace_from,d_hz_shop*G941,0)</f>
        <v/>
      </c>
      <c r="AX941" s="14">
        <f>F941*AW941*in_shop_ticket*in_shop_comm*in_ins_partner_share+F941*in_shop_ticket*in_shop_renew_comm*in_ins_partner_share*(in_shop_renew^1*SUMIFS(AW929:AW970,B929:B970,B941-12)+in_shop_renew^2*SUMIFS(AW929:AW970,B929:B970,B941-24)+in_shop_renew^3*SUMIFS(AW929:AW970,B929:B970,B941-36)+in_shop_renew^4*SUMIFS(AW929:AW970,B929:B970,B941-48))</f>
        <v/>
      </c>
      <c r="AY941" s="40">
        <f>AY940*(1-IF(B940&gt;=in_marketplace_from,d_hz_sip*G940,0))</f>
        <v/>
      </c>
      <c r="AZ941" s="40">
        <f>AZ940*d_rho_sip+AY941*IF(B941&gt;=in_marketplace_from,d_hz_sip*G941,0)</f>
        <v/>
      </c>
      <c r="BA941" s="40">
        <f>d_rho_sip*(BA940+AZ940)</f>
        <v/>
      </c>
      <c r="BB941" s="14">
        <f>F941*in_sip_ticket*(BA941+0.5*AZ941)*in_sip_comm/12</f>
        <v/>
      </c>
      <c r="BC941" s="40">
        <f>BC940*(1-IF(B940&gt;=in_marketplace_from,d_hz_choti*G940,0))</f>
        <v/>
      </c>
      <c r="BD941" s="46">
        <f>BC941*IF(B941&gt;=in_marketplace_from,d_hz_choti*G941,0)</f>
        <v/>
      </c>
      <c r="BE941" s="14">
        <f>F941*SUMIFS(BD929:BD970,B929:B970,B941-in_choti_months)*in_choti_renew*in_choti_ticket</f>
        <v/>
      </c>
      <c r="BF941" s="40">
        <f>BF940*(1-IF(B940&gt;=in_marketplace_from,d_hz_nps*G940,0))</f>
        <v/>
      </c>
      <c r="BG941" s="14">
        <f>F941*BF941*IF(B941&gt;=in_marketplace_from,d_hz_nps*G941,0)*in_nps_ticket*in_nps_comm</f>
        <v/>
      </c>
      <c r="BH941" s="40">
        <f>BH940*(1-IF(B940&gt;=in_marketplace_from,d_hz_gold*G940,0))</f>
        <v/>
      </c>
      <c r="BI941" s="40">
        <f>BI940*d_rho_gold+BH941*IF(B941&gt;=in_marketplace_from,d_hz_gold*G941,0)</f>
        <v/>
      </c>
      <c r="BJ941" s="14">
        <f>F941*BI941*in_gold_ticket*in_gold_comm</f>
        <v/>
      </c>
      <c r="BK941" s="40">
        <f>BK940*(1-IF(B940&gt;=in_marketplace_from,d_hz_fd*G940,0))</f>
        <v/>
      </c>
      <c r="BL941" s="14">
        <f>F941*BK941*IF(B941&gt;=in_marketplace_from,d_hz_fd*G941,0)*in_fd_ticket*in_fd_comm</f>
        <v/>
      </c>
      <c r="BM941" s="40">
        <f>BM940*(1-IF(B940&gt;=in_marketplace_from,d_hz_recharge*G940,0))</f>
        <v/>
      </c>
      <c r="BN941" s="40">
        <f>BN940*d_rho_recharge+BM941*IF(B941&gt;=in_marketplace_from,d_hz_recharge*G941,0)</f>
        <v/>
      </c>
      <c r="BO941" s="14">
        <f>F941*BN941*in_recharge_ticket*in_recharge_comm/12</f>
        <v/>
      </c>
      <c r="BP941" s="40">
        <f>BP940*(1-IF(B940&gt;=in_marketplace_from,d_hz_bills*G940,0))</f>
        <v/>
      </c>
      <c r="BQ941" s="40">
        <f>BQ940*d_rho_bills+BP941*IF(B941&gt;=in_marketplace_from,d_hz_bills*G941,0)</f>
        <v/>
      </c>
      <c r="BR941" s="14">
        <f>F941*BQ941*in_bills_ticket*in_bills_comm/12</f>
        <v/>
      </c>
      <c r="BS941" s="40">
        <f>BS940*(1-IF(B940&gt;=in_marketplace_from,d_hz_loan_gold*G940,0))</f>
        <v/>
      </c>
      <c r="BT941" s="14">
        <f>F941*BS941*IF(B941&gt;=in_marketplace_from,d_hz_loan_gold*G941,0)*in_loan_gold_ticket*in_loan_gold_comm</f>
        <v/>
      </c>
      <c r="BU941" s="40">
        <f>BU940*(1-IF(B940&gt;=in_marketplace_from,d_hz_loan_cd*G940,0))</f>
        <v/>
      </c>
      <c r="BV941" s="14">
        <f>F941*BU941*IF(B941&gt;=in_marketplace_from,d_hz_loan_cd*G941,0)*in_loan_cd_ticket*in_loan_cd_comm</f>
        <v/>
      </c>
      <c r="BW941" s="40">
        <f>BW940*(1-IF(B940&gt;=in_marketplace_from,d_hz_loan_vehicle*G940,0))</f>
        <v/>
      </c>
      <c r="BX941" s="14">
        <f>F941*BW941*IF(B941&gt;=in_marketplace_from,d_hz_loan_vehicle*G941,0)*in_loan_vehicle_ticket*in_loan_vehicle_comm</f>
        <v/>
      </c>
      <c r="BY941" s="40">
        <f>BY940*(1-IF(B940&gt;=in_marketplace_from,d_hz_loan_home*G940,0)*BZ940)</f>
        <v/>
      </c>
      <c r="BZ941" s="11">
        <f>MIN(in_approval_cap,in_loan_home_approval*INDEX('Age profile'!$O$2:$O$61,B941)*(1+in_approval_growth)^(D941-1))</f>
        <v/>
      </c>
      <c r="CA941" s="14">
        <f>F941*BY941*IF(B941&gt;=in_marketplace_from,d_hz_loan_home*G941,0)*BZ941*in_loan_home_ticket*in_loan_home_comm</f>
        <v/>
      </c>
      <c r="CB941" s="40">
        <f>CB940*(1-IF(B940&gt;=in_marketplace_from,d_hz_loan_lap*G940,0)*CC940)</f>
        <v/>
      </c>
      <c r="CC941" s="11">
        <f>MIN(in_approval_cap,in_loan_lap_approval*INDEX('Age profile'!$O$2:$O$61,B941)*(1+in_approval_growth)^(D941-1))</f>
        <v/>
      </c>
      <c r="CD941" s="14">
        <f>F941*CB941*IF(B941&gt;=in_marketplace_from,d_hz_loan_lap*G941,0)*CC941*in_loan_lap_ticket*in_loan_lap_comm</f>
        <v/>
      </c>
      <c r="CE941" s="14">
        <f>AA941+AB941+AC941+AD941+AG941+AJ941+AM941+AP941+AS941+AU941+AX941+BB941+BE941+BG941+BJ941+BL941+BO941+BR941+BT941+BV941+BX941+CA941+CD941</f>
        <v/>
      </c>
    </row>
    <row r="942">
      <c r="A942" s="39" t="n">
        <v>19</v>
      </c>
      <c r="B942" s="39" t="n">
        <v>14</v>
      </c>
      <c r="C942" s="39">
        <f>A942+B942-1</f>
        <v/>
      </c>
      <c r="D942" s="39">
        <f>INT((C942-1)/12)+1</f>
        <v/>
      </c>
      <c r="E942" s="44">
        <f>INDEX(Monthly!$B$2:$B$61,A942)</f>
        <v/>
      </c>
      <c r="F942" s="44">
        <f>E942*INDEX('Age profile'!$B$2:$B$61,B942)</f>
        <v/>
      </c>
      <c r="G942" s="45">
        <f>MIN(in_takeup_cap,INDEX('Age profile'!$N$2:$N$61,B942)*(1+in_takeup_growth)^(D942-1))</f>
        <v/>
      </c>
      <c r="H942" s="11">
        <f>MIN(in_approval_cap,in_approved_first*INDEX('Age profile'!$O$2:$O$61,B942)*(1+in_approval_growth)^(D942-1))</f>
        <v/>
      </c>
      <c r="I942" s="45">
        <f>G942*MIN(in_takeup_cap,INDEX('Age profile'!$O$2:$O$61,B942)*(1+in_approval_growth)^(D942-1))</f>
        <v/>
      </c>
      <c r="J942" s="40">
        <f>(J941-L941)*F942/F941</f>
        <v/>
      </c>
      <c r="K942" s="40">
        <f>(K941-M941)*F942/F941+SUMIFS(O929:O941,B929:B941,B942-1-d_T)*F942</f>
        <v/>
      </c>
      <c r="L942" s="40">
        <f>IF(B942&gt;=in_marketplace_from,J942*d_hz*G942*in_eligible*H942,0)</f>
        <v/>
      </c>
      <c r="M942" s="40">
        <f>IF(B942&gt;=in_marketplace_from,K942*d_hz*G942*in_eligible*in_approved_repeat,0)</f>
        <v/>
      </c>
      <c r="N942" s="40">
        <f>L942+M942</f>
        <v/>
      </c>
      <c r="O942" s="46">
        <f>N942/F942</f>
        <v/>
      </c>
      <c r="P942" s="40">
        <f>F942-J942-K942</f>
        <v/>
      </c>
      <c r="Q942" s="40">
        <f>IF(B942&gt;=in_marketplace_from,(J942+K942)*d_hz*G942,0)</f>
        <v/>
      </c>
      <c r="R942" s="40">
        <f>SUMIFS(N929:N970,B929:B970,"&gt;="&amp;(B942-d_T),B929:B970,"&lt;="&amp;(B942-1))</f>
        <v/>
      </c>
      <c r="S942" s="46">
        <f>(1-d_u)*S941+IF(d_T&gt;in_topup_lag,SUMIFS(O929:O970,B929:B970,B942-in_topup_lag)-d_udrop*SUMIFS(O929:O970,B929:B970,B942-d_T),0)</f>
        <v/>
      </c>
      <c r="T942" s="40">
        <f>F942*d_u*S942</f>
        <v/>
      </c>
      <c r="U942" s="9">
        <f>L942*in_ticket+M942*d_rep_ticket</f>
        <v/>
      </c>
      <c r="V942" s="9">
        <f>U942+T942*d_topup_amt</f>
        <v/>
      </c>
      <c r="W942" s="40">
        <f>N942+T942*d_topup_ratio</f>
        <v/>
      </c>
      <c r="X942" s="40">
        <f>SUMIFS(W929:W970,B929:B970,B942-in_dpd_lag)*d_cured</f>
        <v/>
      </c>
      <c r="Y942" s="40">
        <f>SUMIFS(W929:W970,B929:B970,B942-in_rec_lag)*d_recd</f>
        <v/>
      </c>
      <c r="Z942" s="40">
        <f>IF(AND(B942&gt;=in_marketplace_from,B942&lt;in_marketplace_from+in_card_months),in_card_share/in_card_months*F942*I942,IF(AND(B942&gt;=in_marketplace_from+in_card_months,B942&lt;in_marketplace_from+2*in_card_months),in_card_share*d_card_rem/in_card_months*F942*MIN(in_takeup_cap,(1+in_takeup_growth)^(D942-1))*MIN(in_takeup_cap,(1+in_approval_growth)^(D942-1)),0))</f>
        <v/>
      </c>
      <c r="AA942" s="14">
        <f>V942*in_fee*(1-in_taken_back)</f>
        <v/>
      </c>
      <c r="AB942" s="14">
        <f>SUMIFS(W929:W970,B929:B970,B942-in_dpd_lag)*d_dpd</f>
        <v/>
      </c>
      <c r="AC942" s="14">
        <f>SUMIFS(W929:W970,B929:B970,B942-in_rec_lag)*d_rec</f>
        <v/>
      </c>
      <c r="AD942" s="14">
        <f>Z942*in_card_fee</f>
        <v/>
      </c>
      <c r="AE942" s="40">
        <f>AE941*(1-IF(B941&gt;=in_marketplace_from,d_hz_hlth_small*G941,0))</f>
        <v/>
      </c>
      <c r="AF942" s="46">
        <f>AE942*IF(B942&gt;=in_marketplace_from,d_hz_hlth_small*G942,0)</f>
        <v/>
      </c>
      <c r="AG942" s="14">
        <f>F942*AF942*in_hlth_small_ticket*in_hlth_small_comm*in_ins_partner_share+F942*in_hlth_small_ticket*in_hlth_small_renew_comm*in_ins_partner_share*(in_hlth_small_renew^1*SUMIFS(AF929:AF970,B929:B970,B942-12)+in_hlth_small_renew^2*SUMIFS(AF929:AF970,B929:B970,B942-24)+in_hlth_small_renew^3*SUMIFS(AF929:AF970,B929:B970,B942-36)+in_hlth_small_renew^4*SUMIFS(AF929:AF970,B929:B970,B942-48))</f>
        <v/>
      </c>
      <c r="AH942" s="40">
        <f>AH941*(1-IF(B941&gt;=in_marketplace_from,d_hz_hlth_family*G941,0))</f>
        <v/>
      </c>
      <c r="AI942" s="46">
        <f>AH942*IF(B942&gt;=in_marketplace_from,d_hz_hlth_family*G942,0)</f>
        <v/>
      </c>
      <c r="AJ942" s="14">
        <f>F942*AI942*in_hlth_family_ticket*in_hlth_family_comm*in_ins_partner_share+F942*in_hlth_family_ticket*in_hlth_family_renew_comm*in_ins_partner_share*(in_hlth_family_renew^1*SUMIFS(AI929:AI970,B929:B970,B942-12)+in_hlth_family_renew^2*SUMIFS(AI929:AI970,B929:B970,B942-24)+in_hlth_family_renew^3*SUMIFS(AI929:AI970,B929:B970,B942-36)+in_hlth_family_renew^4*SUMIFS(AI929:AI970,B929:B970,B942-48))</f>
        <v/>
      </c>
      <c r="AK942" s="40">
        <f>AK941*(1-IF(B941&gt;=in_marketplace_from,d_hz_life_term*G941,0))</f>
        <v/>
      </c>
      <c r="AL942" s="46">
        <f>AK942*IF(B942&gt;=in_marketplace_from,d_hz_life_term*G942,0)</f>
        <v/>
      </c>
      <c r="AM942" s="14">
        <f>F942*AL942*in_life_term_ticket*in_life_term_comm*in_ins_partner_share+F942*in_life_term_ticket*in_life_term_renew_comm*in_ins_partner_share*(in_life_term_renew^1*SUMIFS(AL929:AL970,B929:B970,B942-12)+in_life_term_renew^2*SUMIFS(AL929:AL970,B929:B970,B942-24)+in_life_term_renew^3*SUMIFS(AL929:AL970,B929:B970,B942-36)+in_life_term_renew^4*SUMIFS(AL929:AL970,B929:B970,B942-48))</f>
        <v/>
      </c>
      <c r="AN942" s="40">
        <f>AN941*(1-IF(B941&gt;=in_marketplace_from,d_hz_accident*G941,0))</f>
        <v/>
      </c>
      <c r="AO942" s="46">
        <f>AN942*IF(B942&gt;=in_marketplace_from,d_hz_accident*G942,0)</f>
        <v/>
      </c>
      <c r="AP942" s="14">
        <f>F942*AO942*in_accident_ticket*in_accident_comm*in_ins_partner_share+F942*in_accident_ticket*in_accident_renew_comm*in_ins_partner_share*(in_accident_renew^1*SUMIFS(AO929:AO970,B929:B970,B942-12)+in_accident_renew^2*SUMIFS(AO929:AO970,B929:B970,B942-24)+in_accident_renew^3*SUMIFS(AO929:AO970,B929:B970,B942-36)+in_accident_renew^4*SUMIFS(AO929:AO970,B929:B970,B942-48))</f>
        <v/>
      </c>
      <c r="AQ942" s="40">
        <f>AQ941*(1-IF(B941&gt;=in_marketplace_from,d_hz_two_wheeler*G941,0))</f>
        <v/>
      </c>
      <c r="AR942" s="46">
        <f>AQ942*IF(B942&gt;=in_marketplace_from,d_hz_two_wheeler*G942,0)</f>
        <v/>
      </c>
      <c r="AS942" s="14">
        <f>F942*AR942*in_two_wheeler_ticket*in_two_wheeler_comm*in_ins_partner_share+F942*in_two_wheeler_ticket*in_two_wheeler_comm*in_ins_partner_share*(in_two_wheeler_renew^1*SUMIFS(AR929:AR970,B929:B970,B942-12)+in_two_wheeler_renew^2*SUMIFS(AR929:AR970,B929:B970,B942-24)+in_two_wheeler_renew^3*SUMIFS(AR929:AR970,B929:B970,B942-36)+in_two_wheeler_renew^4*SUMIFS(AR929:AR970,B929:B970,B942-48))</f>
        <v/>
      </c>
      <c r="AT942" s="40">
        <f>AT941*(1-IF(B941&gt;=in_marketplace_from,d_hz_device*G941,0))</f>
        <v/>
      </c>
      <c r="AU942" s="14">
        <f>F942*AT942*IF(B942&gt;=in_marketplace_from,d_hz_device*G942,0)*in_device_ticket*in_device_comm*in_ins_partner_share</f>
        <v/>
      </c>
      <c r="AV942" s="40">
        <f>AV941*(1-IF(B941&gt;=in_marketplace_from,d_hz_shop*G941,0))</f>
        <v/>
      </c>
      <c r="AW942" s="46">
        <f>AV942*IF(B942&gt;=in_marketplace_from,d_hz_shop*G942,0)</f>
        <v/>
      </c>
      <c r="AX942" s="14">
        <f>F942*AW942*in_shop_ticket*in_shop_comm*in_ins_partner_share+F942*in_shop_ticket*in_shop_renew_comm*in_ins_partner_share*(in_shop_renew^1*SUMIFS(AW929:AW970,B929:B970,B942-12)+in_shop_renew^2*SUMIFS(AW929:AW970,B929:B970,B942-24)+in_shop_renew^3*SUMIFS(AW929:AW970,B929:B970,B942-36)+in_shop_renew^4*SUMIFS(AW929:AW970,B929:B970,B942-48))</f>
        <v/>
      </c>
      <c r="AY942" s="40">
        <f>AY941*(1-IF(B941&gt;=in_marketplace_from,d_hz_sip*G941,0))</f>
        <v/>
      </c>
      <c r="AZ942" s="40">
        <f>AZ941*d_rho_sip+AY942*IF(B942&gt;=in_marketplace_from,d_hz_sip*G942,0)</f>
        <v/>
      </c>
      <c r="BA942" s="40">
        <f>d_rho_sip*(BA941+AZ941)</f>
        <v/>
      </c>
      <c r="BB942" s="14">
        <f>F942*in_sip_ticket*(BA942+0.5*AZ942)*in_sip_comm/12</f>
        <v/>
      </c>
      <c r="BC942" s="40">
        <f>BC941*(1-IF(B941&gt;=in_marketplace_from,d_hz_choti*G941,0))</f>
        <v/>
      </c>
      <c r="BD942" s="46">
        <f>BC942*IF(B942&gt;=in_marketplace_from,d_hz_choti*G942,0)</f>
        <v/>
      </c>
      <c r="BE942" s="14">
        <f>F942*SUMIFS(BD929:BD970,B929:B970,B942-in_choti_months)*in_choti_renew*in_choti_ticket</f>
        <v/>
      </c>
      <c r="BF942" s="40">
        <f>BF941*(1-IF(B941&gt;=in_marketplace_from,d_hz_nps*G941,0))</f>
        <v/>
      </c>
      <c r="BG942" s="14">
        <f>F942*BF942*IF(B942&gt;=in_marketplace_from,d_hz_nps*G942,0)*in_nps_ticket*in_nps_comm</f>
        <v/>
      </c>
      <c r="BH942" s="40">
        <f>BH941*(1-IF(B941&gt;=in_marketplace_from,d_hz_gold*G941,0))</f>
        <v/>
      </c>
      <c r="BI942" s="40">
        <f>BI941*d_rho_gold+BH942*IF(B942&gt;=in_marketplace_from,d_hz_gold*G942,0)</f>
        <v/>
      </c>
      <c r="BJ942" s="14">
        <f>F942*BI942*in_gold_ticket*in_gold_comm</f>
        <v/>
      </c>
      <c r="BK942" s="40">
        <f>BK941*(1-IF(B941&gt;=in_marketplace_from,d_hz_fd*G941,0))</f>
        <v/>
      </c>
      <c r="BL942" s="14">
        <f>F942*BK942*IF(B942&gt;=in_marketplace_from,d_hz_fd*G942,0)*in_fd_ticket*in_fd_comm</f>
        <v/>
      </c>
      <c r="BM942" s="40">
        <f>BM941*(1-IF(B941&gt;=in_marketplace_from,d_hz_recharge*G941,0))</f>
        <v/>
      </c>
      <c r="BN942" s="40">
        <f>BN941*d_rho_recharge+BM942*IF(B942&gt;=in_marketplace_from,d_hz_recharge*G942,0)</f>
        <v/>
      </c>
      <c r="BO942" s="14">
        <f>F942*BN942*in_recharge_ticket*in_recharge_comm/12</f>
        <v/>
      </c>
      <c r="BP942" s="40">
        <f>BP941*(1-IF(B941&gt;=in_marketplace_from,d_hz_bills*G941,0))</f>
        <v/>
      </c>
      <c r="BQ942" s="40">
        <f>BQ941*d_rho_bills+BP942*IF(B942&gt;=in_marketplace_from,d_hz_bills*G942,0)</f>
        <v/>
      </c>
      <c r="BR942" s="14">
        <f>F942*BQ942*in_bills_ticket*in_bills_comm/12</f>
        <v/>
      </c>
      <c r="BS942" s="40">
        <f>BS941*(1-IF(B941&gt;=in_marketplace_from,d_hz_loan_gold*G941,0))</f>
        <v/>
      </c>
      <c r="BT942" s="14">
        <f>F942*BS942*IF(B942&gt;=in_marketplace_from,d_hz_loan_gold*G942,0)*in_loan_gold_ticket*in_loan_gold_comm</f>
        <v/>
      </c>
      <c r="BU942" s="40">
        <f>BU941*(1-IF(B941&gt;=in_marketplace_from,d_hz_loan_cd*G941,0))</f>
        <v/>
      </c>
      <c r="BV942" s="14">
        <f>F942*BU942*IF(B942&gt;=in_marketplace_from,d_hz_loan_cd*G942,0)*in_loan_cd_ticket*in_loan_cd_comm</f>
        <v/>
      </c>
      <c r="BW942" s="40">
        <f>BW941*(1-IF(B941&gt;=in_marketplace_from,d_hz_loan_vehicle*G941,0))</f>
        <v/>
      </c>
      <c r="BX942" s="14">
        <f>F942*BW942*IF(B942&gt;=in_marketplace_from,d_hz_loan_vehicle*G942,0)*in_loan_vehicle_ticket*in_loan_vehicle_comm</f>
        <v/>
      </c>
      <c r="BY942" s="40">
        <f>BY941*(1-IF(B941&gt;=in_marketplace_from,d_hz_loan_home*G941,0)*BZ941)</f>
        <v/>
      </c>
      <c r="BZ942" s="11">
        <f>MIN(in_approval_cap,in_loan_home_approval*INDEX('Age profile'!$O$2:$O$61,B942)*(1+in_approval_growth)^(D942-1))</f>
        <v/>
      </c>
      <c r="CA942" s="14">
        <f>F942*BY942*IF(B942&gt;=in_marketplace_from,d_hz_loan_home*G942,0)*BZ942*in_loan_home_ticket*in_loan_home_comm</f>
        <v/>
      </c>
      <c r="CB942" s="40">
        <f>CB941*(1-IF(B941&gt;=in_marketplace_from,d_hz_loan_lap*G941,0)*CC941)</f>
        <v/>
      </c>
      <c r="CC942" s="11">
        <f>MIN(in_approval_cap,in_loan_lap_approval*INDEX('Age profile'!$O$2:$O$61,B942)*(1+in_approval_growth)^(D942-1))</f>
        <v/>
      </c>
      <c r="CD942" s="14">
        <f>F942*CB942*IF(B942&gt;=in_marketplace_from,d_hz_loan_lap*G942,0)*CC942*in_loan_lap_ticket*in_loan_lap_comm</f>
        <v/>
      </c>
      <c r="CE942" s="14">
        <f>AA942+AB942+AC942+AD942+AG942+AJ942+AM942+AP942+AS942+AU942+AX942+BB942+BE942+BG942+BJ942+BL942+BO942+BR942+BT942+BV942+BX942+CA942+CD942</f>
        <v/>
      </c>
    </row>
    <row r="943">
      <c r="A943" s="39" t="n">
        <v>19</v>
      </c>
      <c r="B943" s="39" t="n">
        <v>15</v>
      </c>
      <c r="C943" s="39">
        <f>A943+B943-1</f>
        <v/>
      </c>
      <c r="D943" s="39">
        <f>INT((C943-1)/12)+1</f>
        <v/>
      </c>
      <c r="E943" s="44">
        <f>INDEX(Monthly!$B$2:$B$61,A943)</f>
        <v/>
      </c>
      <c r="F943" s="44">
        <f>E943*INDEX('Age profile'!$B$2:$B$61,B943)</f>
        <v/>
      </c>
      <c r="G943" s="45">
        <f>MIN(in_takeup_cap,INDEX('Age profile'!$N$2:$N$61,B943)*(1+in_takeup_growth)^(D943-1))</f>
        <v/>
      </c>
      <c r="H943" s="11">
        <f>MIN(in_approval_cap,in_approved_first*INDEX('Age profile'!$O$2:$O$61,B943)*(1+in_approval_growth)^(D943-1))</f>
        <v/>
      </c>
      <c r="I943" s="45">
        <f>G943*MIN(in_takeup_cap,INDEX('Age profile'!$O$2:$O$61,B943)*(1+in_approval_growth)^(D943-1))</f>
        <v/>
      </c>
      <c r="J943" s="40">
        <f>(J942-L942)*F943/F942</f>
        <v/>
      </c>
      <c r="K943" s="40">
        <f>(K942-M942)*F943/F942+SUMIFS(O929:O942,B929:B942,B943-1-d_T)*F943</f>
        <v/>
      </c>
      <c r="L943" s="40">
        <f>IF(B943&gt;=in_marketplace_from,J943*d_hz*G943*in_eligible*H943,0)</f>
        <v/>
      </c>
      <c r="M943" s="40">
        <f>IF(B943&gt;=in_marketplace_from,K943*d_hz*G943*in_eligible*in_approved_repeat,0)</f>
        <v/>
      </c>
      <c r="N943" s="40">
        <f>L943+M943</f>
        <v/>
      </c>
      <c r="O943" s="46">
        <f>N943/F943</f>
        <v/>
      </c>
      <c r="P943" s="40">
        <f>F943-J943-K943</f>
        <v/>
      </c>
      <c r="Q943" s="40">
        <f>IF(B943&gt;=in_marketplace_from,(J943+K943)*d_hz*G943,0)</f>
        <v/>
      </c>
      <c r="R943" s="40">
        <f>SUMIFS(N929:N970,B929:B970,"&gt;="&amp;(B943-d_T),B929:B970,"&lt;="&amp;(B943-1))</f>
        <v/>
      </c>
      <c r="S943" s="46">
        <f>(1-d_u)*S942+IF(d_T&gt;in_topup_lag,SUMIFS(O929:O970,B929:B970,B943-in_topup_lag)-d_udrop*SUMIFS(O929:O970,B929:B970,B943-d_T),0)</f>
        <v/>
      </c>
      <c r="T943" s="40">
        <f>F943*d_u*S943</f>
        <v/>
      </c>
      <c r="U943" s="9">
        <f>L943*in_ticket+M943*d_rep_ticket</f>
        <v/>
      </c>
      <c r="V943" s="9">
        <f>U943+T943*d_topup_amt</f>
        <v/>
      </c>
      <c r="W943" s="40">
        <f>N943+T943*d_topup_ratio</f>
        <v/>
      </c>
      <c r="X943" s="40">
        <f>SUMIFS(W929:W970,B929:B970,B943-in_dpd_lag)*d_cured</f>
        <v/>
      </c>
      <c r="Y943" s="40">
        <f>SUMIFS(W929:W970,B929:B970,B943-in_rec_lag)*d_recd</f>
        <v/>
      </c>
      <c r="Z943" s="40">
        <f>IF(AND(B943&gt;=in_marketplace_from,B943&lt;in_marketplace_from+in_card_months),in_card_share/in_card_months*F943*I943,IF(AND(B943&gt;=in_marketplace_from+in_card_months,B943&lt;in_marketplace_from+2*in_card_months),in_card_share*d_card_rem/in_card_months*F943*MIN(in_takeup_cap,(1+in_takeup_growth)^(D943-1))*MIN(in_takeup_cap,(1+in_approval_growth)^(D943-1)),0))</f>
        <v/>
      </c>
      <c r="AA943" s="14">
        <f>V943*in_fee*(1-in_taken_back)</f>
        <v/>
      </c>
      <c r="AB943" s="14">
        <f>SUMIFS(W929:W970,B929:B970,B943-in_dpd_lag)*d_dpd</f>
        <v/>
      </c>
      <c r="AC943" s="14">
        <f>SUMIFS(W929:W970,B929:B970,B943-in_rec_lag)*d_rec</f>
        <v/>
      </c>
      <c r="AD943" s="14">
        <f>Z943*in_card_fee</f>
        <v/>
      </c>
      <c r="AE943" s="40">
        <f>AE942*(1-IF(B942&gt;=in_marketplace_from,d_hz_hlth_small*G942,0))</f>
        <v/>
      </c>
      <c r="AF943" s="46">
        <f>AE943*IF(B943&gt;=in_marketplace_from,d_hz_hlth_small*G943,0)</f>
        <v/>
      </c>
      <c r="AG943" s="14">
        <f>F943*AF943*in_hlth_small_ticket*in_hlth_small_comm*in_ins_partner_share+F943*in_hlth_small_ticket*in_hlth_small_renew_comm*in_ins_partner_share*(in_hlth_small_renew^1*SUMIFS(AF929:AF970,B929:B970,B943-12)+in_hlth_small_renew^2*SUMIFS(AF929:AF970,B929:B970,B943-24)+in_hlth_small_renew^3*SUMIFS(AF929:AF970,B929:B970,B943-36)+in_hlth_small_renew^4*SUMIFS(AF929:AF970,B929:B970,B943-48))</f>
        <v/>
      </c>
      <c r="AH943" s="40">
        <f>AH942*(1-IF(B942&gt;=in_marketplace_from,d_hz_hlth_family*G942,0))</f>
        <v/>
      </c>
      <c r="AI943" s="46">
        <f>AH943*IF(B943&gt;=in_marketplace_from,d_hz_hlth_family*G943,0)</f>
        <v/>
      </c>
      <c r="AJ943" s="14">
        <f>F943*AI943*in_hlth_family_ticket*in_hlth_family_comm*in_ins_partner_share+F943*in_hlth_family_ticket*in_hlth_family_renew_comm*in_ins_partner_share*(in_hlth_family_renew^1*SUMIFS(AI929:AI970,B929:B970,B943-12)+in_hlth_family_renew^2*SUMIFS(AI929:AI970,B929:B970,B943-24)+in_hlth_family_renew^3*SUMIFS(AI929:AI970,B929:B970,B943-36)+in_hlth_family_renew^4*SUMIFS(AI929:AI970,B929:B970,B943-48))</f>
        <v/>
      </c>
      <c r="AK943" s="40">
        <f>AK942*(1-IF(B942&gt;=in_marketplace_from,d_hz_life_term*G942,0))</f>
        <v/>
      </c>
      <c r="AL943" s="46">
        <f>AK943*IF(B943&gt;=in_marketplace_from,d_hz_life_term*G943,0)</f>
        <v/>
      </c>
      <c r="AM943" s="14">
        <f>F943*AL943*in_life_term_ticket*in_life_term_comm*in_ins_partner_share+F943*in_life_term_ticket*in_life_term_renew_comm*in_ins_partner_share*(in_life_term_renew^1*SUMIFS(AL929:AL970,B929:B970,B943-12)+in_life_term_renew^2*SUMIFS(AL929:AL970,B929:B970,B943-24)+in_life_term_renew^3*SUMIFS(AL929:AL970,B929:B970,B943-36)+in_life_term_renew^4*SUMIFS(AL929:AL970,B929:B970,B943-48))</f>
        <v/>
      </c>
      <c r="AN943" s="40">
        <f>AN942*(1-IF(B942&gt;=in_marketplace_from,d_hz_accident*G942,0))</f>
        <v/>
      </c>
      <c r="AO943" s="46">
        <f>AN943*IF(B943&gt;=in_marketplace_from,d_hz_accident*G943,0)</f>
        <v/>
      </c>
      <c r="AP943" s="14">
        <f>F943*AO943*in_accident_ticket*in_accident_comm*in_ins_partner_share+F943*in_accident_ticket*in_accident_renew_comm*in_ins_partner_share*(in_accident_renew^1*SUMIFS(AO929:AO970,B929:B970,B943-12)+in_accident_renew^2*SUMIFS(AO929:AO970,B929:B970,B943-24)+in_accident_renew^3*SUMIFS(AO929:AO970,B929:B970,B943-36)+in_accident_renew^4*SUMIFS(AO929:AO970,B929:B970,B943-48))</f>
        <v/>
      </c>
      <c r="AQ943" s="40">
        <f>AQ942*(1-IF(B942&gt;=in_marketplace_from,d_hz_two_wheeler*G942,0))</f>
        <v/>
      </c>
      <c r="AR943" s="46">
        <f>AQ943*IF(B943&gt;=in_marketplace_from,d_hz_two_wheeler*G943,0)</f>
        <v/>
      </c>
      <c r="AS943" s="14">
        <f>F943*AR943*in_two_wheeler_ticket*in_two_wheeler_comm*in_ins_partner_share+F943*in_two_wheeler_ticket*in_two_wheeler_comm*in_ins_partner_share*(in_two_wheeler_renew^1*SUMIFS(AR929:AR970,B929:B970,B943-12)+in_two_wheeler_renew^2*SUMIFS(AR929:AR970,B929:B970,B943-24)+in_two_wheeler_renew^3*SUMIFS(AR929:AR970,B929:B970,B943-36)+in_two_wheeler_renew^4*SUMIFS(AR929:AR970,B929:B970,B943-48))</f>
        <v/>
      </c>
      <c r="AT943" s="40">
        <f>AT942*(1-IF(B942&gt;=in_marketplace_from,d_hz_device*G942,0))</f>
        <v/>
      </c>
      <c r="AU943" s="14">
        <f>F943*AT943*IF(B943&gt;=in_marketplace_from,d_hz_device*G943,0)*in_device_ticket*in_device_comm*in_ins_partner_share</f>
        <v/>
      </c>
      <c r="AV943" s="40">
        <f>AV942*(1-IF(B942&gt;=in_marketplace_from,d_hz_shop*G942,0))</f>
        <v/>
      </c>
      <c r="AW943" s="46">
        <f>AV943*IF(B943&gt;=in_marketplace_from,d_hz_shop*G943,0)</f>
        <v/>
      </c>
      <c r="AX943" s="14">
        <f>F943*AW943*in_shop_ticket*in_shop_comm*in_ins_partner_share+F943*in_shop_ticket*in_shop_renew_comm*in_ins_partner_share*(in_shop_renew^1*SUMIFS(AW929:AW970,B929:B970,B943-12)+in_shop_renew^2*SUMIFS(AW929:AW970,B929:B970,B943-24)+in_shop_renew^3*SUMIFS(AW929:AW970,B929:B970,B943-36)+in_shop_renew^4*SUMIFS(AW929:AW970,B929:B970,B943-48))</f>
        <v/>
      </c>
      <c r="AY943" s="40">
        <f>AY942*(1-IF(B942&gt;=in_marketplace_from,d_hz_sip*G942,0))</f>
        <v/>
      </c>
      <c r="AZ943" s="40">
        <f>AZ942*d_rho_sip+AY943*IF(B943&gt;=in_marketplace_from,d_hz_sip*G943,0)</f>
        <v/>
      </c>
      <c r="BA943" s="40">
        <f>d_rho_sip*(BA942+AZ942)</f>
        <v/>
      </c>
      <c r="BB943" s="14">
        <f>F943*in_sip_ticket*(BA943+0.5*AZ943)*in_sip_comm/12</f>
        <v/>
      </c>
      <c r="BC943" s="40">
        <f>BC942*(1-IF(B942&gt;=in_marketplace_from,d_hz_choti*G942,0))</f>
        <v/>
      </c>
      <c r="BD943" s="46">
        <f>BC943*IF(B943&gt;=in_marketplace_from,d_hz_choti*G943,0)</f>
        <v/>
      </c>
      <c r="BE943" s="14">
        <f>F943*SUMIFS(BD929:BD970,B929:B970,B943-in_choti_months)*in_choti_renew*in_choti_ticket</f>
        <v/>
      </c>
      <c r="BF943" s="40">
        <f>BF942*(1-IF(B942&gt;=in_marketplace_from,d_hz_nps*G942,0))</f>
        <v/>
      </c>
      <c r="BG943" s="14">
        <f>F943*BF943*IF(B943&gt;=in_marketplace_from,d_hz_nps*G943,0)*in_nps_ticket*in_nps_comm</f>
        <v/>
      </c>
      <c r="BH943" s="40">
        <f>BH942*(1-IF(B942&gt;=in_marketplace_from,d_hz_gold*G942,0))</f>
        <v/>
      </c>
      <c r="BI943" s="40">
        <f>BI942*d_rho_gold+BH943*IF(B943&gt;=in_marketplace_from,d_hz_gold*G943,0)</f>
        <v/>
      </c>
      <c r="BJ943" s="14">
        <f>F943*BI943*in_gold_ticket*in_gold_comm</f>
        <v/>
      </c>
      <c r="BK943" s="40">
        <f>BK942*(1-IF(B942&gt;=in_marketplace_from,d_hz_fd*G942,0))</f>
        <v/>
      </c>
      <c r="BL943" s="14">
        <f>F943*BK943*IF(B943&gt;=in_marketplace_from,d_hz_fd*G943,0)*in_fd_ticket*in_fd_comm</f>
        <v/>
      </c>
      <c r="BM943" s="40">
        <f>BM942*(1-IF(B942&gt;=in_marketplace_from,d_hz_recharge*G942,0))</f>
        <v/>
      </c>
      <c r="BN943" s="40">
        <f>BN942*d_rho_recharge+BM943*IF(B943&gt;=in_marketplace_from,d_hz_recharge*G943,0)</f>
        <v/>
      </c>
      <c r="BO943" s="14">
        <f>F943*BN943*in_recharge_ticket*in_recharge_comm/12</f>
        <v/>
      </c>
      <c r="BP943" s="40">
        <f>BP942*(1-IF(B942&gt;=in_marketplace_from,d_hz_bills*G942,0))</f>
        <v/>
      </c>
      <c r="BQ943" s="40">
        <f>BQ942*d_rho_bills+BP943*IF(B943&gt;=in_marketplace_from,d_hz_bills*G943,0)</f>
        <v/>
      </c>
      <c r="BR943" s="14">
        <f>F943*BQ943*in_bills_ticket*in_bills_comm/12</f>
        <v/>
      </c>
      <c r="BS943" s="40">
        <f>BS942*(1-IF(B942&gt;=in_marketplace_from,d_hz_loan_gold*G942,0))</f>
        <v/>
      </c>
      <c r="BT943" s="14">
        <f>F943*BS943*IF(B943&gt;=in_marketplace_from,d_hz_loan_gold*G943,0)*in_loan_gold_ticket*in_loan_gold_comm</f>
        <v/>
      </c>
      <c r="BU943" s="40">
        <f>BU942*(1-IF(B942&gt;=in_marketplace_from,d_hz_loan_cd*G942,0))</f>
        <v/>
      </c>
      <c r="BV943" s="14">
        <f>F943*BU943*IF(B943&gt;=in_marketplace_from,d_hz_loan_cd*G943,0)*in_loan_cd_ticket*in_loan_cd_comm</f>
        <v/>
      </c>
      <c r="BW943" s="40">
        <f>BW942*(1-IF(B942&gt;=in_marketplace_from,d_hz_loan_vehicle*G942,0))</f>
        <v/>
      </c>
      <c r="BX943" s="14">
        <f>F943*BW943*IF(B943&gt;=in_marketplace_from,d_hz_loan_vehicle*G943,0)*in_loan_vehicle_ticket*in_loan_vehicle_comm</f>
        <v/>
      </c>
      <c r="BY943" s="40">
        <f>BY942*(1-IF(B942&gt;=in_marketplace_from,d_hz_loan_home*G942,0)*BZ942)</f>
        <v/>
      </c>
      <c r="BZ943" s="11">
        <f>MIN(in_approval_cap,in_loan_home_approval*INDEX('Age profile'!$O$2:$O$61,B943)*(1+in_approval_growth)^(D943-1))</f>
        <v/>
      </c>
      <c r="CA943" s="14">
        <f>F943*BY943*IF(B943&gt;=in_marketplace_from,d_hz_loan_home*G943,0)*BZ943*in_loan_home_ticket*in_loan_home_comm</f>
        <v/>
      </c>
      <c r="CB943" s="40">
        <f>CB942*(1-IF(B942&gt;=in_marketplace_from,d_hz_loan_lap*G942,0)*CC942)</f>
        <v/>
      </c>
      <c r="CC943" s="11">
        <f>MIN(in_approval_cap,in_loan_lap_approval*INDEX('Age profile'!$O$2:$O$61,B943)*(1+in_approval_growth)^(D943-1))</f>
        <v/>
      </c>
      <c r="CD943" s="14">
        <f>F943*CB943*IF(B943&gt;=in_marketplace_from,d_hz_loan_lap*G943,0)*CC943*in_loan_lap_ticket*in_loan_lap_comm</f>
        <v/>
      </c>
      <c r="CE943" s="14">
        <f>AA943+AB943+AC943+AD943+AG943+AJ943+AM943+AP943+AS943+AU943+AX943+BB943+BE943+BG943+BJ943+BL943+BO943+BR943+BT943+BV943+BX943+CA943+CD943</f>
        <v/>
      </c>
    </row>
    <row r="944">
      <c r="A944" s="39" t="n">
        <v>19</v>
      </c>
      <c r="B944" s="39" t="n">
        <v>16</v>
      </c>
      <c r="C944" s="39">
        <f>A944+B944-1</f>
        <v/>
      </c>
      <c r="D944" s="39">
        <f>INT((C944-1)/12)+1</f>
        <v/>
      </c>
      <c r="E944" s="44">
        <f>INDEX(Monthly!$B$2:$B$61,A944)</f>
        <v/>
      </c>
      <c r="F944" s="44">
        <f>E944*INDEX('Age profile'!$B$2:$B$61,B944)</f>
        <v/>
      </c>
      <c r="G944" s="45">
        <f>MIN(in_takeup_cap,INDEX('Age profile'!$N$2:$N$61,B944)*(1+in_takeup_growth)^(D944-1))</f>
        <v/>
      </c>
      <c r="H944" s="11">
        <f>MIN(in_approval_cap,in_approved_first*INDEX('Age profile'!$O$2:$O$61,B944)*(1+in_approval_growth)^(D944-1))</f>
        <v/>
      </c>
      <c r="I944" s="45">
        <f>G944*MIN(in_takeup_cap,INDEX('Age profile'!$O$2:$O$61,B944)*(1+in_approval_growth)^(D944-1))</f>
        <v/>
      </c>
      <c r="J944" s="40">
        <f>(J943-L943)*F944/F943</f>
        <v/>
      </c>
      <c r="K944" s="40">
        <f>(K943-M943)*F944/F943+SUMIFS(O929:O943,B929:B943,B944-1-d_T)*F944</f>
        <v/>
      </c>
      <c r="L944" s="40">
        <f>IF(B944&gt;=in_marketplace_from,J944*d_hz*G944*in_eligible*H944,0)</f>
        <v/>
      </c>
      <c r="M944" s="40">
        <f>IF(B944&gt;=in_marketplace_from,K944*d_hz*G944*in_eligible*in_approved_repeat,0)</f>
        <v/>
      </c>
      <c r="N944" s="40">
        <f>L944+M944</f>
        <v/>
      </c>
      <c r="O944" s="46">
        <f>N944/F944</f>
        <v/>
      </c>
      <c r="P944" s="40">
        <f>F944-J944-K944</f>
        <v/>
      </c>
      <c r="Q944" s="40">
        <f>IF(B944&gt;=in_marketplace_from,(J944+K944)*d_hz*G944,0)</f>
        <v/>
      </c>
      <c r="R944" s="40">
        <f>SUMIFS(N929:N970,B929:B970,"&gt;="&amp;(B944-d_T),B929:B970,"&lt;="&amp;(B944-1))</f>
        <v/>
      </c>
      <c r="S944" s="46">
        <f>(1-d_u)*S943+IF(d_T&gt;in_topup_lag,SUMIFS(O929:O970,B929:B970,B944-in_topup_lag)-d_udrop*SUMIFS(O929:O970,B929:B970,B944-d_T),0)</f>
        <v/>
      </c>
      <c r="T944" s="40">
        <f>F944*d_u*S944</f>
        <v/>
      </c>
      <c r="U944" s="9">
        <f>L944*in_ticket+M944*d_rep_ticket</f>
        <v/>
      </c>
      <c r="V944" s="9">
        <f>U944+T944*d_topup_amt</f>
        <v/>
      </c>
      <c r="W944" s="40">
        <f>N944+T944*d_topup_ratio</f>
        <v/>
      </c>
      <c r="X944" s="40">
        <f>SUMIFS(W929:W970,B929:B970,B944-in_dpd_lag)*d_cured</f>
        <v/>
      </c>
      <c r="Y944" s="40">
        <f>SUMIFS(W929:W970,B929:B970,B944-in_rec_lag)*d_recd</f>
        <v/>
      </c>
      <c r="Z944" s="40">
        <f>IF(AND(B944&gt;=in_marketplace_from,B944&lt;in_marketplace_from+in_card_months),in_card_share/in_card_months*F944*I944,IF(AND(B944&gt;=in_marketplace_from+in_card_months,B944&lt;in_marketplace_from+2*in_card_months),in_card_share*d_card_rem/in_card_months*F944*MIN(in_takeup_cap,(1+in_takeup_growth)^(D944-1))*MIN(in_takeup_cap,(1+in_approval_growth)^(D944-1)),0))</f>
        <v/>
      </c>
      <c r="AA944" s="14">
        <f>V944*in_fee*(1-in_taken_back)</f>
        <v/>
      </c>
      <c r="AB944" s="14">
        <f>SUMIFS(W929:W970,B929:B970,B944-in_dpd_lag)*d_dpd</f>
        <v/>
      </c>
      <c r="AC944" s="14">
        <f>SUMIFS(W929:W970,B929:B970,B944-in_rec_lag)*d_rec</f>
        <v/>
      </c>
      <c r="AD944" s="14">
        <f>Z944*in_card_fee</f>
        <v/>
      </c>
      <c r="AE944" s="40">
        <f>AE943*(1-IF(B943&gt;=in_marketplace_from,d_hz_hlth_small*G943,0))</f>
        <v/>
      </c>
      <c r="AF944" s="46">
        <f>AE944*IF(B944&gt;=in_marketplace_from,d_hz_hlth_small*G944,0)</f>
        <v/>
      </c>
      <c r="AG944" s="14">
        <f>F944*AF944*in_hlth_small_ticket*in_hlth_small_comm*in_ins_partner_share+F944*in_hlth_small_ticket*in_hlth_small_renew_comm*in_ins_partner_share*(in_hlth_small_renew^1*SUMIFS(AF929:AF970,B929:B970,B944-12)+in_hlth_small_renew^2*SUMIFS(AF929:AF970,B929:B970,B944-24)+in_hlth_small_renew^3*SUMIFS(AF929:AF970,B929:B970,B944-36)+in_hlth_small_renew^4*SUMIFS(AF929:AF970,B929:B970,B944-48))</f>
        <v/>
      </c>
      <c r="AH944" s="40">
        <f>AH943*(1-IF(B943&gt;=in_marketplace_from,d_hz_hlth_family*G943,0))</f>
        <v/>
      </c>
      <c r="AI944" s="46">
        <f>AH944*IF(B944&gt;=in_marketplace_from,d_hz_hlth_family*G944,0)</f>
        <v/>
      </c>
      <c r="AJ944" s="14">
        <f>F944*AI944*in_hlth_family_ticket*in_hlth_family_comm*in_ins_partner_share+F944*in_hlth_family_ticket*in_hlth_family_renew_comm*in_ins_partner_share*(in_hlth_family_renew^1*SUMIFS(AI929:AI970,B929:B970,B944-12)+in_hlth_family_renew^2*SUMIFS(AI929:AI970,B929:B970,B944-24)+in_hlth_family_renew^3*SUMIFS(AI929:AI970,B929:B970,B944-36)+in_hlth_family_renew^4*SUMIFS(AI929:AI970,B929:B970,B944-48))</f>
        <v/>
      </c>
      <c r="AK944" s="40">
        <f>AK943*(1-IF(B943&gt;=in_marketplace_from,d_hz_life_term*G943,0))</f>
        <v/>
      </c>
      <c r="AL944" s="46">
        <f>AK944*IF(B944&gt;=in_marketplace_from,d_hz_life_term*G944,0)</f>
        <v/>
      </c>
      <c r="AM944" s="14">
        <f>F944*AL944*in_life_term_ticket*in_life_term_comm*in_ins_partner_share+F944*in_life_term_ticket*in_life_term_renew_comm*in_ins_partner_share*(in_life_term_renew^1*SUMIFS(AL929:AL970,B929:B970,B944-12)+in_life_term_renew^2*SUMIFS(AL929:AL970,B929:B970,B944-24)+in_life_term_renew^3*SUMIFS(AL929:AL970,B929:B970,B944-36)+in_life_term_renew^4*SUMIFS(AL929:AL970,B929:B970,B944-48))</f>
        <v/>
      </c>
      <c r="AN944" s="40">
        <f>AN943*(1-IF(B943&gt;=in_marketplace_from,d_hz_accident*G943,0))</f>
        <v/>
      </c>
      <c r="AO944" s="46">
        <f>AN944*IF(B944&gt;=in_marketplace_from,d_hz_accident*G944,0)</f>
        <v/>
      </c>
      <c r="AP944" s="14">
        <f>F944*AO944*in_accident_ticket*in_accident_comm*in_ins_partner_share+F944*in_accident_ticket*in_accident_renew_comm*in_ins_partner_share*(in_accident_renew^1*SUMIFS(AO929:AO970,B929:B970,B944-12)+in_accident_renew^2*SUMIFS(AO929:AO970,B929:B970,B944-24)+in_accident_renew^3*SUMIFS(AO929:AO970,B929:B970,B944-36)+in_accident_renew^4*SUMIFS(AO929:AO970,B929:B970,B944-48))</f>
        <v/>
      </c>
      <c r="AQ944" s="40">
        <f>AQ943*(1-IF(B943&gt;=in_marketplace_from,d_hz_two_wheeler*G943,0))</f>
        <v/>
      </c>
      <c r="AR944" s="46">
        <f>AQ944*IF(B944&gt;=in_marketplace_from,d_hz_two_wheeler*G944,0)</f>
        <v/>
      </c>
      <c r="AS944" s="14">
        <f>F944*AR944*in_two_wheeler_ticket*in_two_wheeler_comm*in_ins_partner_share+F944*in_two_wheeler_ticket*in_two_wheeler_comm*in_ins_partner_share*(in_two_wheeler_renew^1*SUMIFS(AR929:AR970,B929:B970,B944-12)+in_two_wheeler_renew^2*SUMIFS(AR929:AR970,B929:B970,B944-24)+in_two_wheeler_renew^3*SUMIFS(AR929:AR970,B929:B970,B944-36)+in_two_wheeler_renew^4*SUMIFS(AR929:AR970,B929:B970,B944-48))</f>
        <v/>
      </c>
      <c r="AT944" s="40">
        <f>AT943*(1-IF(B943&gt;=in_marketplace_from,d_hz_device*G943,0))</f>
        <v/>
      </c>
      <c r="AU944" s="14">
        <f>F944*AT944*IF(B944&gt;=in_marketplace_from,d_hz_device*G944,0)*in_device_ticket*in_device_comm*in_ins_partner_share</f>
        <v/>
      </c>
      <c r="AV944" s="40">
        <f>AV943*(1-IF(B943&gt;=in_marketplace_from,d_hz_shop*G943,0))</f>
        <v/>
      </c>
      <c r="AW944" s="46">
        <f>AV944*IF(B944&gt;=in_marketplace_from,d_hz_shop*G944,0)</f>
        <v/>
      </c>
      <c r="AX944" s="14">
        <f>F944*AW944*in_shop_ticket*in_shop_comm*in_ins_partner_share+F944*in_shop_ticket*in_shop_renew_comm*in_ins_partner_share*(in_shop_renew^1*SUMIFS(AW929:AW970,B929:B970,B944-12)+in_shop_renew^2*SUMIFS(AW929:AW970,B929:B970,B944-24)+in_shop_renew^3*SUMIFS(AW929:AW970,B929:B970,B944-36)+in_shop_renew^4*SUMIFS(AW929:AW970,B929:B970,B944-48))</f>
        <v/>
      </c>
      <c r="AY944" s="40">
        <f>AY943*(1-IF(B943&gt;=in_marketplace_from,d_hz_sip*G943,0))</f>
        <v/>
      </c>
      <c r="AZ944" s="40">
        <f>AZ943*d_rho_sip+AY944*IF(B944&gt;=in_marketplace_from,d_hz_sip*G944,0)</f>
        <v/>
      </c>
      <c r="BA944" s="40">
        <f>d_rho_sip*(BA943+AZ943)</f>
        <v/>
      </c>
      <c r="BB944" s="14">
        <f>F944*in_sip_ticket*(BA944+0.5*AZ944)*in_sip_comm/12</f>
        <v/>
      </c>
      <c r="BC944" s="40">
        <f>BC943*(1-IF(B943&gt;=in_marketplace_from,d_hz_choti*G943,0))</f>
        <v/>
      </c>
      <c r="BD944" s="46">
        <f>BC944*IF(B944&gt;=in_marketplace_from,d_hz_choti*G944,0)</f>
        <v/>
      </c>
      <c r="BE944" s="14">
        <f>F944*SUMIFS(BD929:BD970,B929:B970,B944-in_choti_months)*in_choti_renew*in_choti_ticket</f>
        <v/>
      </c>
      <c r="BF944" s="40">
        <f>BF943*(1-IF(B943&gt;=in_marketplace_from,d_hz_nps*G943,0))</f>
        <v/>
      </c>
      <c r="BG944" s="14">
        <f>F944*BF944*IF(B944&gt;=in_marketplace_from,d_hz_nps*G944,0)*in_nps_ticket*in_nps_comm</f>
        <v/>
      </c>
      <c r="BH944" s="40">
        <f>BH943*(1-IF(B943&gt;=in_marketplace_from,d_hz_gold*G943,0))</f>
        <v/>
      </c>
      <c r="BI944" s="40">
        <f>BI943*d_rho_gold+BH944*IF(B944&gt;=in_marketplace_from,d_hz_gold*G944,0)</f>
        <v/>
      </c>
      <c r="BJ944" s="14">
        <f>F944*BI944*in_gold_ticket*in_gold_comm</f>
        <v/>
      </c>
      <c r="BK944" s="40">
        <f>BK943*(1-IF(B943&gt;=in_marketplace_from,d_hz_fd*G943,0))</f>
        <v/>
      </c>
      <c r="BL944" s="14">
        <f>F944*BK944*IF(B944&gt;=in_marketplace_from,d_hz_fd*G944,0)*in_fd_ticket*in_fd_comm</f>
        <v/>
      </c>
      <c r="BM944" s="40">
        <f>BM943*(1-IF(B943&gt;=in_marketplace_from,d_hz_recharge*G943,0))</f>
        <v/>
      </c>
      <c r="BN944" s="40">
        <f>BN943*d_rho_recharge+BM944*IF(B944&gt;=in_marketplace_from,d_hz_recharge*G944,0)</f>
        <v/>
      </c>
      <c r="BO944" s="14">
        <f>F944*BN944*in_recharge_ticket*in_recharge_comm/12</f>
        <v/>
      </c>
      <c r="BP944" s="40">
        <f>BP943*(1-IF(B943&gt;=in_marketplace_from,d_hz_bills*G943,0))</f>
        <v/>
      </c>
      <c r="BQ944" s="40">
        <f>BQ943*d_rho_bills+BP944*IF(B944&gt;=in_marketplace_from,d_hz_bills*G944,0)</f>
        <v/>
      </c>
      <c r="BR944" s="14">
        <f>F944*BQ944*in_bills_ticket*in_bills_comm/12</f>
        <v/>
      </c>
      <c r="BS944" s="40">
        <f>BS943*(1-IF(B943&gt;=in_marketplace_from,d_hz_loan_gold*G943,0))</f>
        <v/>
      </c>
      <c r="BT944" s="14">
        <f>F944*BS944*IF(B944&gt;=in_marketplace_from,d_hz_loan_gold*G944,0)*in_loan_gold_ticket*in_loan_gold_comm</f>
        <v/>
      </c>
      <c r="BU944" s="40">
        <f>BU943*(1-IF(B943&gt;=in_marketplace_from,d_hz_loan_cd*G943,0))</f>
        <v/>
      </c>
      <c r="BV944" s="14">
        <f>F944*BU944*IF(B944&gt;=in_marketplace_from,d_hz_loan_cd*G944,0)*in_loan_cd_ticket*in_loan_cd_comm</f>
        <v/>
      </c>
      <c r="BW944" s="40">
        <f>BW943*(1-IF(B943&gt;=in_marketplace_from,d_hz_loan_vehicle*G943,0))</f>
        <v/>
      </c>
      <c r="BX944" s="14">
        <f>F944*BW944*IF(B944&gt;=in_marketplace_from,d_hz_loan_vehicle*G944,0)*in_loan_vehicle_ticket*in_loan_vehicle_comm</f>
        <v/>
      </c>
      <c r="BY944" s="40">
        <f>BY943*(1-IF(B943&gt;=in_marketplace_from,d_hz_loan_home*G943,0)*BZ943)</f>
        <v/>
      </c>
      <c r="BZ944" s="11">
        <f>MIN(in_approval_cap,in_loan_home_approval*INDEX('Age profile'!$O$2:$O$61,B944)*(1+in_approval_growth)^(D944-1))</f>
        <v/>
      </c>
      <c r="CA944" s="14">
        <f>F944*BY944*IF(B944&gt;=in_marketplace_from,d_hz_loan_home*G944,0)*BZ944*in_loan_home_ticket*in_loan_home_comm</f>
        <v/>
      </c>
      <c r="CB944" s="40">
        <f>CB943*(1-IF(B943&gt;=in_marketplace_from,d_hz_loan_lap*G943,0)*CC943)</f>
        <v/>
      </c>
      <c r="CC944" s="11">
        <f>MIN(in_approval_cap,in_loan_lap_approval*INDEX('Age profile'!$O$2:$O$61,B944)*(1+in_approval_growth)^(D944-1))</f>
        <v/>
      </c>
      <c r="CD944" s="14">
        <f>F944*CB944*IF(B944&gt;=in_marketplace_from,d_hz_loan_lap*G944,0)*CC944*in_loan_lap_ticket*in_loan_lap_comm</f>
        <v/>
      </c>
      <c r="CE944" s="14">
        <f>AA944+AB944+AC944+AD944+AG944+AJ944+AM944+AP944+AS944+AU944+AX944+BB944+BE944+BG944+BJ944+BL944+BO944+BR944+BT944+BV944+BX944+CA944+CD944</f>
        <v/>
      </c>
    </row>
    <row r="945">
      <c r="A945" s="39" t="n">
        <v>19</v>
      </c>
      <c r="B945" s="39" t="n">
        <v>17</v>
      </c>
      <c r="C945" s="39">
        <f>A945+B945-1</f>
        <v/>
      </c>
      <c r="D945" s="39">
        <f>INT((C945-1)/12)+1</f>
        <v/>
      </c>
      <c r="E945" s="44">
        <f>INDEX(Monthly!$B$2:$B$61,A945)</f>
        <v/>
      </c>
      <c r="F945" s="44">
        <f>E945*INDEX('Age profile'!$B$2:$B$61,B945)</f>
        <v/>
      </c>
      <c r="G945" s="45">
        <f>MIN(in_takeup_cap,INDEX('Age profile'!$N$2:$N$61,B945)*(1+in_takeup_growth)^(D945-1))</f>
        <v/>
      </c>
      <c r="H945" s="11">
        <f>MIN(in_approval_cap,in_approved_first*INDEX('Age profile'!$O$2:$O$61,B945)*(1+in_approval_growth)^(D945-1))</f>
        <v/>
      </c>
      <c r="I945" s="45">
        <f>G945*MIN(in_takeup_cap,INDEX('Age profile'!$O$2:$O$61,B945)*(1+in_approval_growth)^(D945-1))</f>
        <v/>
      </c>
      <c r="J945" s="40">
        <f>(J944-L944)*F945/F944</f>
        <v/>
      </c>
      <c r="K945" s="40">
        <f>(K944-M944)*F945/F944+SUMIFS(O929:O944,B929:B944,B945-1-d_T)*F945</f>
        <v/>
      </c>
      <c r="L945" s="40">
        <f>IF(B945&gt;=in_marketplace_from,J945*d_hz*G945*in_eligible*H945,0)</f>
        <v/>
      </c>
      <c r="M945" s="40">
        <f>IF(B945&gt;=in_marketplace_from,K945*d_hz*G945*in_eligible*in_approved_repeat,0)</f>
        <v/>
      </c>
      <c r="N945" s="40">
        <f>L945+M945</f>
        <v/>
      </c>
      <c r="O945" s="46">
        <f>N945/F945</f>
        <v/>
      </c>
      <c r="P945" s="40">
        <f>F945-J945-K945</f>
        <v/>
      </c>
      <c r="Q945" s="40">
        <f>IF(B945&gt;=in_marketplace_from,(J945+K945)*d_hz*G945,0)</f>
        <v/>
      </c>
      <c r="R945" s="40">
        <f>SUMIFS(N929:N970,B929:B970,"&gt;="&amp;(B945-d_T),B929:B970,"&lt;="&amp;(B945-1))</f>
        <v/>
      </c>
      <c r="S945" s="46">
        <f>(1-d_u)*S944+IF(d_T&gt;in_topup_lag,SUMIFS(O929:O970,B929:B970,B945-in_topup_lag)-d_udrop*SUMIFS(O929:O970,B929:B970,B945-d_T),0)</f>
        <v/>
      </c>
      <c r="T945" s="40">
        <f>F945*d_u*S945</f>
        <v/>
      </c>
      <c r="U945" s="9">
        <f>L945*in_ticket+M945*d_rep_ticket</f>
        <v/>
      </c>
      <c r="V945" s="9">
        <f>U945+T945*d_topup_amt</f>
        <v/>
      </c>
      <c r="W945" s="40">
        <f>N945+T945*d_topup_ratio</f>
        <v/>
      </c>
      <c r="X945" s="40">
        <f>SUMIFS(W929:W970,B929:B970,B945-in_dpd_lag)*d_cured</f>
        <v/>
      </c>
      <c r="Y945" s="40">
        <f>SUMIFS(W929:W970,B929:B970,B945-in_rec_lag)*d_recd</f>
        <v/>
      </c>
      <c r="Z945" s="40">
        <f>IF(AND(B945&gt;=in_marketplace_from,B945&lt;in_marketplace_from+in_card_months),in_card_share/in_card_months*F945*I945,IF(AND(B945&gt;=in_marketplace_from+in_card_months,B945&lt;in_marketplace_from+2*in_card_months),in_card_share*d_card_rem/in_card_months*F945*MIN(in_takeup_cap,(1+in_takeup_growth)^(D945-1))*MIN(in_takeup_cap,(1+in_approval_growth)^(D945-1)),0))</f>
        <v/>
      </c>
      <c r="AA945" s="14">
        <f>V945*in_fee*(1-in_taken_back)</f>
        <v/>
      </c>
      <c r="AB945" s="14">
        <f>SUMIFS(W929:W970,B929:B970,B945-in_dpd_lag)*d_dpd</f>
        <v/>
      </c>
      <c r="AC945" s="14">
        <f>SUMIFS(W929:W970,B929:B970,B945-in_rec_lag)*d_rec</f>
        <v/>
      </c>
      <c r="AD945" s="14">
        <f>Z945*in_card_fee</f>
        <v/>
      </c>
      <c r="AE945" s="40">
        <f>AE944*(1-IF(B944&gt;=in_marketplace_from,d_hz_hlth_small*G944,0))</f>
        <v/>
      </c>
      <c r="AF945" s="46">
        <f>AE945*IF(B945&gt;=in_marketplace_from,d_hz_hlth_small*G945,0)</f>
        <v/>
      </c>
      <c r="AG945" s="14">
        <f>F945*AF945*in_hlth_small_ticket*in_hlth_small_comm*in_ins_partner_share+F945*in_hlth_small_ticket*in_hlth_small_renew_comm*in_ins_partner_share*(in_hlth_small_renew^1*SUMIFS(AF929:AF970,B929:B970,B945-12)+in_hlth_small_renew^2*SUMIFS(AF929:AF970,B929:B970,B945-24)+in_hlth_small_renew^3*SUMIFS(AF929:AF970,B929:B970,B945-36)+in_hlth_small_renew^4*SUMIFS(AF929:AF970,B929:B970,B945-48))</f>
        <v/>
      </c>
      <c r="AH945" s="40">
        <f>AH944*(1-IF(B944&gt;=in_marketplace_from,d_hz_hlth_family*G944,0))</f>
        <v/>
      </c>
      <c r="AI945" s="46">
        <f>AH945*IF(B945&gt;=in_marketplace_from,d_hz_hlth_family*G945,0)</f>
        <v/>
      </c>
      <c r="AJ945" s="14">
        <f>F945*AI945*in_hlth_family_ticket*in_hlth_family_comm*in_ins_partner_share+F945*in_hlth_family_ticket*in_hlth_family_renew_comm*in_ins_partner_share*(in_hlth_family_renew^1*SUMIFS(AI929:AI970,B929:B970,B945-12)+in_hlth_family_renew^2*SUMIFS(AI929:AI970,B929:B970,B945-24)+in_hlth_family_renew^3*SUMIFS(AI929:AI970,B929:B970,B945-36)+in_hlth_family_renew^4*SUMIFS(AI929:AI970,B929:B970,B945-48))</f>
        <v/>
      </c>
      <c r="AK945" s="40">
        <f>AK944*(1-IF(B944&gt;=in_marketplace_from,d_hz_life_term*G944,0))</f>
        <v/>
      </c>
      <c r="AL945" s="46">
        <f>AK945*IF(B945&gt;=in_marketplace_from,d_hz_life_term*G945,0)</f>
        <v/>
      </c>
      <c r="AM945" s="14">
        <f>F945*AL945*in_life_term_ticket*in_life_term_comm*in_ins_partner_share+F945*in_life_term_ticket*in_life_term_renew_comm*in_ins_partner_share*(in_life_term_renew^1*SUMIFS(AL929:AL970,B929:B970,B945-12)+in_life_term_renew^2*SUMIFS(AL929:AL970,B929:B970,B945-24)+in_life_term_renew^3*SUMIFS(AL929:AL970,B929:B970,B945-36)+in_life_term_renew^4*SUMIFS(AL929:AL970,B929:B970,B945-48))</f>
        <v/>
      </c>
      <c r="AN945" s="40">
        <f>AN944*(1-IF(B944&gt;=in_marketplace_from,d_hz_accident*G944,0))</f>
        <v/>
      </c>
      <c r="AO945" s="46">
        <f>AN945*IF(B945&gt;=in_marketplace_from,d_hz_accident*G945,0)</f>
        <v/>
      </c>
      <c r="AP945" s="14">
        <f>F945*AO945*in_accident_ticket*in_accident_comm*in_ins_partner_share+F945*in_accident_ticket*in_accident_renew_comm*in_ins_partner_share*(in_accident_renew^1*SUMIFS(AO929:AO970,B929:B970,B945-12)+in_accident_renew^2*SUMIFS(AO929:AO970,B929:B970,B945-24)+in_accident_renew^3*SUMIFS(AO929:AO970,B929:B970,B945-36)+in_accident_renew^4*SUMIFS(AO929:AO970,B929:B970,B945-48))</f>
        <v/>
      </c>
      <c r="AQ945" s="40">
        <f>AQ944*(1-IF(B944&gt;=in_marketplace_from,d_hz_two_wheeler*G944,0))</f>
        <v/>
      </c>
      <c r="AR945" s="46">
        <f>AQ945*IF(B945&gt;=in_marketplace_from,d_hz_two_wheeler*G945,0)</f>
        <v/>
      </c>
      <c r="AS945" s="14">
        <f>F945*AR945*in_two_wheeler_ticket*in_two_wheeler_comm*in_ins_partner_share+F945*in_two_wheeler_ticket*in_two_wheeler_comm*in_ins_partner_share*(in_two_wheeler_renew^1*SUMIFS(AR929:AR970,B929:B970,B945-12)+in_two_wheeler_renew^2*SUMIFS(AR929:AR970,B929:B970,B945-24)+in_two_wheeler_renew^3*SUMIFS(AR929:AR970,B929:B970,B945-36)+in_two_wheeler_renew^4*SUMIFS(AR929:AR970,B929:B970,B945-48))</f>
        <v/>
      </c>
      <c r="AT945" s="40">
        <f>AT944*(1-IF(B944&gt;=in_marketplace_from,d_hz_device*G944,0))</f>
        <v/>
      </c>
      <c r="AU945" s="14">
        <f>F945*AT945*IF(B945&gt;=in_marketplace_from,d_hz_device*G945,0)*in_device_ticket*in_device_comm*in_ins_partner_share</f>
        <v/>
      </c>
      <c r="AV945" s="40">
        <f>AV944*(1-IF(B944&gt;=in_marketplace_from,d_hz_shop*G944,0))</f>
        <v/>
      </c>
      <c r="AW945" s="46">
        <f>AV945*IF(B945&gt;=in_marketplace_from,d_hz_shop*G945,0)</f>
        <v/>
      </c>
      <c r="AX945" s="14">
        <f>F945*AW945*in_shop_ticket*in_shop_comm*in_ins_partner_share+F945*in_shop_ticket*in_shop_renew_comm*in_ins_partner_share*(in_shop_renew^1*SUMIFS(AW929:AW970,B929:B970,B945-12)+in_shop_renew^2*SUMIFS(AW929:AW970,B929:B970,B945-24)+in_shop_renew^3*SUMIFS(AW929:AW970,B929:B970,B945-36)+in_shop_renew^4*SUMIFS(AW929:AW970,B929:B970,B945-48))</f>
        <v/>
      </c>
      <c r="AY945" s="40">
        <f>AY944*(1-IF(B944&gt;=in_marketplace_from,d_hz_sip*G944,0))</f>
        <v/>
      </c>
      <c r="AZ945" s="40">
        <f>AZ944*d_rho_sip+AY945*IF(B945&gt;=in_marketplace_from,d_hz_sip*G945,0)</f>
        <v/>
      </c>
      <c r="BA945" s="40">
        <f>d_rho_sip*(BA944+AZ944)</f>
        <v/>
      </c>
      <c r="BB945" s="14">
        <f>F945*in_sip_ticket*(BA945+0.5*AZ945)*in_sip_comm/12</f>
        <v/>
      </c>
      <c r="BC945" s="40">
        <f>BC944*(1-IF(B944&gt;=in_marketplace_from,d_hz_choti*G944,0))</f>
        <v/>
      </c>
      <c r="BD945" s="46">
        <f>BC945*IF(B945&gt;=in_marketplace_from,d_hz_choti*G945,0)</f>
        <v/>
      </c>
      <c r="BE945" s="14">
        <f>F945*SUMIFS(BD929:BD970,B929:B970,B945-in_choti_months)*in_choti_renew*in_choti_ticket</f>
        <v/>
      </c>
      <c r="BF945" s="40">
        <f>BF944*(1-IF(B944&gt;=in_marketplace_from,d_hz_nps*G944,0))</f>
        <v/>
      </c>
      <c r="BG945" s="14">
        <f>F945*BF945*IF(B945&gt;=in_marketplace_from,d_hz_nps*G945,0)*in_nps_ticket*in_nps_comm</f>
        <v/>
      </c>
      <c r="BH945" s="40">
        <f>BH944*(1-IF(B944&gt;=in_marketplace_from,d_hz_gold*G944,0))</f>
        <v/>
      </c>
      <c r="BI945" s="40">
        <f>BI944*d_rho_gold+BH945*IF(B945&gt;=in_marketplace_from,d_hz_gold*G945,0)</f>
        <v/>
      </c>
      <c r="BJ945" s="14">
        <f>F945*BI945*in_gold_ticket*in_gold_comm</f>
        <v/>
      </c>
      <c r="BK945" s="40">
        <f>BK944*(1-IF(B944&gt;=in_marketplace_from,d_hz_fd*G944,0))</f>
        <v/>
      </c>
      <c r="BL945" s="14">
        <f>F945*BK945*IF(B945&gt;=in_marketplace_from,d_hz_fd*G945,0)*in_fd_ticket*in_fd_comm</f>
        <v/>
      </c>
      <c r="BM945" s="40">
        <f>BM944*(1-IF(B944&gt;=in_marketplace_from,d_hz_recharge*G944,0))</f>
        <v/>
      </c>
      <c r="BN945" s="40">
        <f>BN944*d_rho_recharge+BM945*IF(B945&gt;=in_marketplace_from,d_hz_recharge*G945,0)</f>
        <v/>
      </c>
      <c r="BO945" s="14">
        <f>F945*BN945*in_recharge_ticket*in_recharge_comm/12</f>
        <v/>
      </c>
      <c r="BP945" s="40">
        <f>BP944*(1-IF(B944&gt;=in_marketplace_from,d_hz_bills*G944,0))</f>
        <v/>
      </c>
      <c r="BQ945" s="40">
        <f>BQ944*d_rho_bills+BP945*IF(B945&gt;=in_marketplace_from,d_hz_bills*G945,0)</f>
        <v/>
      </c>
      <c r="BR945" s="14">
        <f>F945*BQ945*in_bills_ticket*in_bills_comm/12</f>
        <v/>
      </c>
      <c r="BS945" s="40">
        <f>BS944*(1-IF(B944&gt;=in_marketplace_from,d_hz_loan_gold*G944,0))</f>
        <v/>
      </c>
      <c r="BT945" s="14">
        <f>F945*BS945*IF(B945&gt;=in_marketplace_from,d_hz_loan_gold*G945,0)*in_loan_gold_ticket*in_loan_gold_comm</f>
        <v/>
      </c>
      <c r="BU945" s="40">
        <f>BU944*(1-IF(B944&gt;=in_marketplace_from,d_hz_loan_cd*G944,0))</f>
        <v/>
      </c>
      <c r="BV945" s="14">
        <f>F945*BU945*IF(B945&gt;=in_marketplace_from,d_hz_loan_cd*G945,0)*in_loan_cd_ticket*in_loan_cd_comm</f>
        <v/>
      </c>
      <c r="BW945" s="40">
        <f>BW944*(1-IF(B944&gt;=in_marketplace_from,d_hz_loan_vehicle*G944,0))</f>
        <v/>
      </c>
      <c r="BX945" s="14">
        <f>F945*BW945*IF(B945&gt;=in_marketplace_from,d_hz_loan_vehicle*G945,0)*in_loan_vehicle_ticket*in_loan_vehicle_comm</f>
        <v/>
      </c>
      <c r="BY945" s="40">
        <f>BY944*(1-IF(B944&gt;=in_marketplace_from,d_hz_loan_home*G944,0)*BZ944)</f>
        <v/>
      </c>
      <c r="BZ945" s="11">
        <f>MIN(in_approval_cap,in_loan_home_approval*INDEX('Age profile'!$O$2:$O$61,B945)*(1+in_approval_growth)^(D945-1))</f>
        <v/>
      </c>
      <c r="CA945" s="14">
        <f>F945*BY945*IF(B945&gt;=in_marketplace_from,d_hz_loan_home*G945,0)*BZ945*in_loan_home_ticket*in_loan_home_comm</f>
        <v/>
      </c>
      <c r="CB945" s="40">
        <f>CB944*(1-IF(B944&gt;=in_marketplace_from,d_hz_loan_lap*G944,0)*CC944)</f>
        <v/>
      </c>
      <c r="CC945" s="11">
        <f>MIN(in_approval_cap,in_loan_lap_approval*INDEX('Age profile'!$O$2:$O$61,B945)*(1+in_approval_growth)^(D945-1))</f>
        <v/>
      </c>
      <c r="CD945" s="14">
        <f>F945*CB945*IF(B945&gt;=in_marketplace_from,d_hz_loan_lap*G945,0)*CC945*in_loan_lap_ticket*in_loan_lap_comm</f>
        <v/>
      </c>
      <c r="CE945" s="14">
        <f>AA945+AB945+AC945+AD945+AG945+AJ945+AM945+AP945+AS945+AU945+AX945+BB945+BE945+BG945+BJ945+BL945+BO945+BR945+BT945+BV945+BX945+CA945+CD945</f>
        <v/>
      </c>
    </row>
    <row r="946">
      <c r="A946" s="39" t="n">
        <v>19</v>
      </c>
      <c r="B946" s="39" t="n">
        <v>18</v>
      </c>
      <c r="C946" s="39">
        <f>A946+B946-1</f>
        <v/>
      </c>
      <c r="D946" s="39">
        <f>INT((C946-1)/12)+1</f>
        <v/>
      </c>
      <c r="E946" s="44">
        <f>INDEX(Monthly!$B$2:$B$61,A946)</f>
        <v/>
      </c>
      <c r="F946" s="44">
        <f>E946*INDEX('Age profile'!$B$2:$B$61,B946)</f>
        <v/>
      </c>
      <c r="G946" s="45">
        <f>MIN(in_takeup_cap,INDEX('Age profile'!$N$2:$N$61,B946)*(1+in_takeup_growth)^(D946-1))</f>
        <v/>
      </c>
      <c r="H946" s="11">
        <f>MIN(in_approval_cap,in_approved_first*INDEX('Age profile'!$O$2:$O$61,B946)*(1+in_approval_growth)^(D946-1))</f>
        <v/>
      </c>
      <c r="I946" s="45">
        <f>G946*MIN(in_takeup_cap,INDEX('Age profile'!$O$2:$O$61,B946)*(1+in_approval_growth)^(D946-1))</f>
        <v/>
      </c>
      <c r="J946" s="40">
        <f>(J945-L945)*F946/F945</f>
        <v/>
      </c>
      <c r="K946" s="40">
        <f>(K945-M945)*F946/F945+SUMIFS(O929:O945,B929:B945,B946-1-d_T)*F946</f>
        <v/>
      </c>
      <c r="L946" s="40">
        <f>IF(B946&gt;=in_marketplace_from,J946*d_hz*G946*in_eligible*H946,0)</f>
        <v/>
      </c>
      <c r="M946" s="40">
        <f>IF(B946&gt;=in_marketplace_from,K946*d_hz*G946*in_eligible*in_approved_repeat,0)</f>
        <v/>
      </c>
      <c r="N946" s="40">
        <f>L946+M946</f>
        <v/>
      </c>
      <c r="O946" s="46">
        <f>N946/F946</f>
        <v/>
      </c>
      <c r="P946" s="40">
        <f>F946-J946-K946</f>
        <v/>
      </c>
      <c r="Q946" s="40">
        <f>IF(B946&gt;=in_marketplace_from,(J946+K946)*d_hz*G946,0)</f>
        <v/>
      </c>
      <c r="R946" s="40">
        <f>SUMIFS(N929:N970,B929:B970,"&gt;="&amp;(B946-d_T),B929:B970,"&lt;="&amp;(B946-1))</f>
        <v/>
      </c>
      <c r="S946" s="46">
        <f>(1-d_u)*S945+IF(d_T&gt;in_topup_lag,SUMIFS(O929:O970,B929:B970,B946-in_topup_lag)-d_udrop*SUMIFS(O929:O970,B929:B970,B946-d_T),0)</f>
        <v/>
      </c>
      <c r="T946" s="40">
        <f>F946*d_u*S946</f>
        <v/>
      </c>
      <c r="U946" s="9">
        <f>L946*in_ticket+M946*d_rep_ticket</f>
        <v/>
      </c>
      <c r="V946" s="9">
        <f>U946+T946*d_topup_amt</f>
        <v/>
      </c>
      <c r="W946" s="40">
        <f>N946+T946*d_topup_ratio</f>
        <v/>
      </c>
      <c r="X946" s="40">
        <f>SUMIFS(W929:W970,B929:B970,B946-in_dpd_lag)*d_cured</f>
        <v/>
      </c>
      <c r="Y946" s="40">
        <f>SUMIFS(W929:W970,B929:B970,B946-in_rec_lag)*d_recd</f>
        <v/>
      </c>
      <c r="Z946" s="40">
        <f>IF(AND(B946&gt;=in_marketplace_from,B946&lt;in_marketplace_from+in_card_months),in_card_share/in_card_months*F946*I946,IF(AND(B946&gt;=in_marketplace_from+in_card_months,B946&lt;in_marketplace_from+2*in_card_months),in_card_share*d_card_rem/in_card_months*F946*MIN(in_takeup_cap,(1+in_takeup_growth)^(D946-1))*MIN(in_takeup_cap,(1+in_approval_growth)^(D946-1)),0))</f>
        <v/>
      </c>
      <c r="AA946" s="14">
        <f>V946*in_fee*(1-in_taken_back)</f>
        <v/>
      </c>
      <c r="AB946" s="14">
        <f>SUMIFS(W929:W970,B929:B970,B946-in_dpd_lag)*d_dpd</f>
        <v/>
      </c>
      <c r="AC946" s="14">
        <f>SUMIFS(W929:W970,B929:B970,B946-in_rec_lag)*d_rec</f>
        <v/>
      </c>
      <c r="AD946" s="14">
        <f>Z946*in_card_fee</f>
        <v/>
      </c>
      <c r="AE946" s="40">
        <f>AE945*(1-IF(B945&gt;=in_marketplace_from,d_hz_hlth_small*G945,0))</f>
        <v/>
      </c>
      <c r="AF946" s="46">
        <f>AE946*IF(B946&gt;=in_marketplace_from,d_hz_hlth_small*G946,0)</f>
        <v/>
      </c>
      <c r="AG946" s="14">
        <f>F946*AF946*in_hlth_small_ticket*in_hlth_small_comm*in_ins_partner_share+F946*in_hlth_small_ticket*in_hlth_small_renew_comm*in_ins_partner_share*(in_hlth_small_renew^1*SUMIFS(AF929:AF970,B929:B970,B946-12)+in_hlth_small_renew^2*SUMIFS(AF929:AF970,B929:B970,B946-24)+in_hlth_small_renew^3*SUMIFS(AF929:AF970,B929:B970,B946-36)+in_hlth_small_renew^4*SUMIFS(AF929:AF970,B929:B970,B946-48))</f>
        <v/>
      </c>
      <c r="AH946" s="40">
        <f>AH945*(1-IF(B945&gt;=in_marketplace_from,d_hz_hlth_family*G945,0))</f>
        <v/>
      </c>
      <c r="AI946" s="46">
        <f>AH946*IF(B946&gt;=in_marketplace_from,d_hz_hlth_family*G946,0)</f>
        <v/>
      </c>
      <c r="AJ946" s="14">
        <f>F946*AI946*in_hlth_family_ticket*in_hlth_family_comm*in_ins_partner_share+F946*in_hlth_family_ticket*in_hlth_family_renew_comm*in_ins_partner_share*(in_hlth_family_renew^1*SUMIFS(AI929:AI970,B929:B970,B946-12)+in_hlth_family_renew^2*SUMIFS(AI929:AI970,B929:B970,B946-24)+in_hlth_family_renew^3*SUMIFS(AI929:AI970,B929:B970,B946-36)+in_hlth_family_renew^4*SUMIFS(AI929:AI970,B929:B970,B946-48))</f>
        <v/>
      </c>
      <c r="AK946" s="40">
        <f>AK945*(1-IF(B945&gt;=in_marketplace_from,d_hz_life_term*G945,0))</f>
        <v/>
      </c>
      <c r="AL946" s="46">
        <f>AK946*IF(B946&gt;=in_marketplace_from,d_hz_life_term*G946,0)</f>
        <v/>
      </c>
      <c r="AM946" s="14">
        <f>F946*AL946*in_life_term_ticket*in_life_term_comm*in_ins_partner_share+F946*in_life_term_ticket*in_life_term_renew_comm*in_ins_partner_share*(in_life_term_renew^1*SUMIFS(AL929:AL970,B929:B970,B946-12)+in_life_term_renew^2*SUMIFS(AL929:AL970,B929:B970,B946-24)+in_life_term_renew^3*SUMIFS(AL929:AL970,B929:B970,B946-36)+in_life_term_renew^4*SUMIFS(AL929:AL970,B929:B970,B946-48))</f>
        <v/>
      </c>
      <c r="AN946" s="40">
        <f>AN945*(1-IF(B945&gt;=in_marketplace_from,d_hz_accident*G945,0))</f>
        <v/>
      </c>
      <c r="AO946" s="46">
        <f>AN946*IF(B946&gt;=in_marketplace_from,d_hz_accident*G946,0)</f>
        <v/>
      </c>
      <c r="AP946" s="14">
        <f>F946*AO946*in_accident_ticket*in_accident_comm*in_ins_partner_share+F946*in_accident_ticket*in_accident_renew_comm*in_ins_partner_share*(in_accident_renew^1*SUMIFS(AO929:AO970,B929:B970,B946-12)+in_accident_renew^2*SUMIFS(AO929:AO970,B929:B970,B946-24)+in_accident_renew^3*SUMIFS(AO929:AO970,B929:B970,B946-36)+in_accident_renew^4*SUMIFS(AO929:AO970,B929:B970,B946-48))</f>
        <v/>
      </c>
      <c r="AQ946" s="40">
        <f>AQ945*(1-IF(B945&gt;=in_marketplace_from,d_hz_two_wheeler*G945,0))</f>
        <v/>
      </c>
      <c r="AR946" s="46">
        <f>AQ946*IF(B946&gt;=in_marketplace_from,d_hz_two_wheeler*G946,0)</f>
        <v/>
      </c>
      <c r="AS946" s="14">
        <f>F946*AR946*in_two_wheeler_ticket*in_two_wheeler_comm*in_ins_partner_share+F946*in_two_wheeler_ticket*in_two_wheeler_comm*in_ins_partner_share*(in_two_wheeler_renew^1*SUMIFS(AR929:AR970,B929:B970,B946-12)+in_two_wheeler_renew^2*SUMIFS(AR929:AR970,B929:B970,B946-24)+in_two_wheeler_renew^3*SUMIFS(AR929:AR970,B929:B970,B946-36)+in_two_wheeler_renew^4*SUMIFS(AR929:AR970,B929:B970,B946-48))</f>
        <v/>
      </c>
      <c r="AT946" s="40">
        <f>AT945*(1-IF(B945&gt;=in_marketplace_from,d_hz_device*G945,0))</f>
        <v/>
      </c>
      <c r="AU946" s="14">
        <f>F946*AT946*IF(B946&gt;=in_marketplace_from,d_hz_device*G946,0)*in_device_ticket*in_device_comm*in_ins_partner_share</f>
        <v/>
      </c>
      <c r="AV946" s="40">
        <f>AV945*(1-IF(B945&gt;=in_marketplace_from,d_hz_shop*G945,0))</f>
        <v/>
      </c>
      <c r="AW946" s="46">
        <f>AV946*IF(B946&gt;=in_marketplace_from,d_hz_shop*G946,0)</f>
        <v/>
      </c>
      <c r="AX946" s="14">
        <f>F946*AW946*in_shop_ticket*in_shop_comm*in_ins_partner_share+F946*in_shop_ticket*in_shop_renew_comm*in_ins_partner_share*(in_shop_renew^1*SUMIFS(AW929:AW970,B929:B970,B946-12)+in_shop_renew^2*SUMIFS(AW929:AW970,B929:B970,B946-24)+in_shop_renew^3*SUMIFS(AW929:AW970,B929:B970,B946-36)+in_shop_renew^4*SUMIFS(AW929:AW970,B929:B970,B946-48))</f>
        <v/>
      </c>
      <c r="AY946" s="40">
        <f>AY945*(1-IF(B945&gt;=in_marketplace_from,d_hz_sip*G945,0))</f>
        <v/>
      </c>
      <c r="AZ946" s="40">
        <f>AZ945*d_rho_sip+AY946*IF(B946&gt;=in_marketplace_from,d_hz_sip*G946,0)</f>
        <v/>
      </c>
      <c r="BA946" s="40">
        <f>d_rho_sip*(BA945+AZ945)</f>
        <v/>
      </c>
      <c r="BB946" s="14">
        <f>F946*in_sip_ticket*(BA946+0.5*AZ946)*in_sip_comm/12</f>
        <v/>
      </c>
      <c r="BC946" s="40">
        <f>BC945*(1-IF(B945&gt;=in_marketplace_from,d_hz_choti*G945,0))</f>
        <v/>
      </c>
      <c r="BD946" s="46">
        <f>BC946*IF(B946&gt;=in_marketplace_from,d_hz_choti*G946,0)</f>
        <v/>
      </c>
      <c r="BE946" s="14">
        <f>F946*SUMIFS(BD929:BD970,B929:B970,B946-in_choti_months)*in_choti_renew*in_choti_ticket</f>
        <v/>
      </c>
      <c r="BF946" s="40">
        <f>BF945*(1-IF(B945&gt;=in_marketplace_from,d_hz_nps*G945,0))</f>
        <v/>
      </c>
      <c r="BG946" s="14">
        <f>F946*BF946*IF(B946&gt;=in_marketplace_from,d_hz_nps*G946,0)*in_nps_ticket*in_nps_comm</f>
        <v/>
      </c>
      <c r="BH946" s="40">
        <f>BH945*(1-IF(B945&gt;=in_marketplace_from,d_hz_gold*G945,0))</f>
        <v/>
      </c>
      <c r="BI946" s="40">
        <f>BI945*d_rho_gold+BH946*IF(B946&gt;=in_marketplace_from,d_hz_gold*G946,0)</f>
        <v/>
      </c>
      <c r="BJ946" s="14">
        <f>F946*BI946*in_gold_ticket*in_gold_comm</f>
        <v/>
      </c>
      <c r="BK946" s="40">
        <f>BK945*(1-IF(B945&gt;=in_marketplace_from,d_hz_fd*G945,0))</f>
        <v/>
      </c>
      <c r="BL946" s="14">
        <f>F946*BK946*IF(B946&gt;=in_marketplace_from,d_hz_fd*G946,0)*in_fd_ticket*in_fd_comm</f>
        <v/>
      </c>
      <c r="BM946" s="40">
        <f>BM945*(1-IF(B945&gt;=in_marketplace_from,d_hz_recharge*G945,0))</f>
        <v/>
      </c>
      <c r="BN946" s="40">
        <f>BN945*d_rho_recharge+BM946*IF(B946&gt;=in_marketplace_from,d_hz_recharge*G946,0)</f>
        <v/>
      </c>
      <c r="BO946" s="14">
        <f>F946*BN946*in_recharge_ticket*in_recharge_comm/12</f>
        <v/>
      </c>
      <c r="BP946" s="40">
        <f>BP945*(1-IF(B945&gt;=in_marketplace_from,d_hz_bills*G945,0))</f>
        <v/>
      </c>
      <c r="BQ946" s="40">
        <f>BQ945*d_rho_bills+BP946*IF(B946&gt;=in_marketplace_from,d_hz_bills*G946,0)</f>
        <v/>
      </c>
      <c r="BR946" s="14">
        <f>F946*BQ946*in_bills_ticket*in_bills_comm/12</f>
        <v/>
      </c>
      <c r="BS946" s="40">
        <f>BS945*(1-IF(B945&gt;=in_marketplace_from,d_hz_loan_gold*G945,0))</f>
        <v/>
      </c>
      <c r="BT946" s="14">
        <f>F946*BS946*IF(B946&gt;=in_marketplace_from,d_hz_loan_gold*G946,0)*in_loan_gold_ticket*in_loan_gold_comm</f>
        <v/>
      </c>
      <c r="BU946" s="40">
        <f>BU945*(1-IF(B945&gt;=in_marketplace_from,d_hz_loan_cd*G945,0))</f>
        <v/>
      </c>
      <c r="BV946" s="14">
        <f>F946*BU946*IF(B946&gt;=in_marketplace_from,d_hz_loan_cd*G946,0)*in_loan_cd_ticket*in_loan_cd_comm</f>
        <v/>
      </c>
      <c r="BW946" s="40">
        <f>BW945*(1-IF(B945&gt;=in_marketplace_from,d_hz_loan_vehicle*G945,0))</f>
        <v/>
      </c>
      <c r="BX946" s="14">
        <f>F946*BW946*IF(B946&gt;=in_marketplace_from,d_hz_loan_vehicle*G946,0)*in_loan_vehicle_ticket*in_loan_vehicle_comm</f>
        <v/>
      </c>
      <c r="BY946" s="40">
        <f>BY945*(1-IF(B945&gt;=in_marketplace_from,d_hz_loan_home*G945,0)*BZ945)</f>
        <v/>
      </c>
      <c r="BZ946" s="11">
        <f>MIN(in_approval_cap,in_loan_home_approval*INDEX('Age profile'!$O$2:$O$61,B946)*(1+in_approval_growth)^(D946-1))</f>
        <v/>
      </c>
      <c r="CA946" s="14">
        <f>F946*BY946*IF(B946&gt;=in_marketplace_from,d_hz_loan_home*G946,0)*BZ946*in_loan_home_ticket*in_loan_home_comm</f>
        <v/>
      </c>
      <c r="CB946" s="40">
        <f>CB945*(1-IF(B945&gt;=in_marketplace_from,d_hz_loan_lap*G945,0)*CC945)</f>
        <v/>
      </c>
      <c r="CC946" s="11">
        <f>MIN(in_approval_cap,in_loan_lap_approval*INDEX('Age profile'!$O$2:$O$61,B946)*(1+in_approval_growth)^(D946-1))</f>
        <v/>
      </c>
      <c r="CD946" s="14">
        <f>F946*CB946*IF(B946&gt;=in_marketplace_from,d_hz_loan_lap*G946,0)*CC946*in_loan_lap_ticket*in_loan_lap_comm</f>
        <v/>
      </c>
      <c r="CE946" s="14">
        <f>AA946+AB946+AC946+AD946+AG946+AJ946+AM946+AP946+AS946+AU946+AX946+BB946+BE946+BG946+BJ946+BL946+BO946+BR946+BT946+BV946+BX946+CA946+CD946</f>
        <v/>
      </c>
    </row>
    <row r="947">
      <c r="A947" s="39" t="n">
        <v>19</v>
      </c>
      <c r="B947" s="39" t="n">
        <v>19</v>
      </c>
      <c r="C947" s="39">
        <f>A947+B947-1</f>
        <v/>
      </c>
      <c r="D947" s="39">
        <f>INT((C947-1)/12)+1</f>
        <v/>
      </c>
      <c r="E947" s="44">
        <f>INDEX(Monthly!$B$2:$B$61,A947)</f>
        <v/>
      </c>
      <c r="F947" s="44">
        <f>E947*INDEX('Age profile'!$B$2:$B$61,B947)</f>
        <v/>
      </c>
      <c r="G947" s="45">
        <f>MIN(in_takeup_cap,INDEX('Age profile'!$N$2:$N$61,B947)*(1+in_takeup_growth)^(D947-1))</f>
        <v/>
      </c>
      <c r="H947" s="11">
        <f>MIN(in_approval_cap,in_approved_first*INDEX('Age profile'!$O$2:$O$61,B947)*(1+in_approval_growth)^(D947-1))</f>
        <v/>
      </c>
      <c r="I947" s="45">
        <f>G947*MIN(in_takeup_cap,INDEX('Age profile'!$O$2:$O$61,B947)*(1+in_approval_growth)^(D947-1))</f>
        <v/>
      </c>
      <c r="J947" s="40">
        <f>(J946-L946)*F947/F946</f>
        <v/>
      </c>
      <c r="K947" s="40">
        <f>(K946-M946)*F947/F946+SUMIFS(O929:O946,B929:B946,B947-1-d_T)*F947</f>
        <v/>
      </c>
      <c r="L947" s="40">
        <f>IF(B947&gt;=in_marketplace_from,J947*d_hz*G947*in_eligible*H947,0)</f>
        <v/>
      </c>
      <c r="M947" s="40">
        <f>IF(B947&gt;=in_marketplace_from,K947*d_hz*G947*in_eligible*in_approved_repeat,0)</f>
        <v/>
      </c>
      <c r="N947" s="40">
        <f>L947+M947</f>
        <v/>
      </c>
      <c r="O947" s="46">
        <f>N947/F947</f>
        <v/>
      </c>
      <c r="P947" s="40">
        <f>F947-J947-K947</f>
        <v/>
      </c>
      <c r="Q947" s="40">
        <f>IF(B947&gt;=in_marketplace_from,(J947+K947)*d_hz*G947,0)</f>
        <v/>
      </c>
      <c r="R947" s="40">
        <f>SUMIFS(N929:N970,B929:B970,"&gt;="&amp;(B947-d_T),B929:B970,"&lt;="&amp;(B947-1))</f>
        <v/>
      </c>
      <c r="S947" s="46">
        <f>(1-d_u)*S946+IF(d_T&gt;in_topup_lag,SUMIFS(O929:O970,B929:B970,B947-in_topup_lag)-d_udrop*SUMIFS(O929:O970,B929:B970,B947-d_T),0)</f>
        <v/>
      </c>
      <c r="T947" s="40">
        <f>F947*d_u*S947</f>
        <v/>
      </c>
      <c r="U947" s="9">
        <f>L947*in_ticket+M947*d_rep_ticket</f>
        <v/>
      </c>
      <c r="V947" s="9">
        <f>U947+T947*d_topup_amt</f>
        <v/>
      </c>
      <c r="W947" s="40">
        <f>N947+T947*d_topup_ratio</f>
        <v/>
      </c>
      <c r="X947" s="40">
        <f>SUMIFS(W929:W970,B929:B970,B947-in_dpd_lag)*d_cured</f>
        <v/>
      </c>
      <c r="Y947" s="40">
        <f>SUMIFS(W929:W970,B929:B970,B947-in_rec_lag)*d_recd</f>
        <v/>
      </c>
      <c r="Z947" s="40">
        <f>IF(AND(B947&gt;=in_marketplace_from,B947&lt;in_marketplace_from+in_card_months),in_card_share/in_card_months*F947*I947,IF(AND(B947&gt;=in_marketplace_from+in_card_months,B947&lt;in_marketplace_from+2*in_card_months),in_card_share*d_card_rem/in_card_months*F947*MIN(in_takeup_cap,(1+in_takeup_growth)^(D947-1))*MIN(in_takeup_cap,(1+in_approval_growth)^(D947-1)),0))</f>
        <v/>
      </c>
      <c r="AA947" s="14">
        <f>V947*in_fee*(1-in_taken_back)</f>
        <v/>
      </c>
      <c r="AB947" s="14">
        <f>SUMIFS(W929:W970,B929:B970,B947-in_dpd_lag)*d_dpd</f>
        <v/>
      </c>
      <c r="AC947" s="14">
        <f>SUMIFS(W929:W970,B929:B970,B947-in_rec_lag)*d_rec</f>
        <v/>
      </c>
      <c r="AD947" s="14">
        <f>Z947*in_card_fee</f>
        <v/>
      </c>
      <c r="AE947" s="40">
        <f>AE946*(1-IF(B946&gt;=in_marketplace_from,d_hz_hlth_small*G946,0))</f>
        <v/>
      </c>
      <c r="AF947" s="46">
        <f>AE947*IF(B947&gt;=in_marketplace_from,d_hz_hlth_small*G947,0)</f>
        <v/>
      </c>
      <c r="AG947" s="14">
        <f>F947*AF947*in_hlth_small_ticket*in_hlth_small_comm*in_ins_partner_share+F947*in_hlth_small_ticket*in_hlth_small_renew_comm*in_ins_partner_share*(in_hlth_small_renew^1*SUMIFS(AF929:AF970,B929:B970,B947-12)+in_hlth_small_renew^2*SUMIFS(AF929:AF970,B929:B970,B947-24)+in_hlth_small_renew^3*SUMIFS(AF929:AF970,B929:B970,B947-36)+in_hlth_small_renew^4*SUMIFS(AF929:AF970,B929:B970,B947-48))</f>
        <v/>
      </c>
      <c r="AH947" s="40">
        <f>AH946*(1-IF(B946&gt;=in_marketplace_from,d_hz_hlth_family*G946,0))</f>
        <v/>
      </c>
      <c r="AI947" s="46">
        <f>AH947*IF(B947&gt;=in_marketplace_from,d_hz_hlth_family*G947,0)</f>
        <v/>
      </c>
      <c r="AJ947" s="14">
        <f>F947*AI947*in_hlth_family_ticket*in_hlth_family_comm*in_ins_partner_share+F947*in_hlth_family_ticket*in_hlth_family_renew_comm*in_ins_partner_share*(in_hlth_family_renew^1*SUMIFS(AI929:AI970,B929:B970,B947-12)+in_hlth_family_renew^2*SUMIFS(AI929:AI970,B929:B970,B947-24)+in_hlth_family_renew^3*SUMIFS(AI929:AI970,B929:B970,B947-36)+in_hlth_family_renew^4*SUMIFS(AI929:AI970,B929:B970,B947-48))</f>
        <v/>
      </c>
      <c r="AK947" s="40">
        <f>AK946*(1-IF(B946&gt;=in_marketplace_from,d_hz_life_term*G946,0))</f>
        <v/>
      </c>
      <c r="AL947" s="46">
        <f>AK947*IF(B947&gt;=in_marketplace_from,d_hz_life_term*G947,0)</f>
        <v/>
      </c>
      <c r="AM947" s="14">
        <f>F947*AL947*in_life_term_ticket*in_life_term_comm*in_ins_partner_share+F947*in_life_term_ticket*in_life_term_renew_comm*in_ins_partner_share*(in_life_term_renew^1*SUMIFS(AL929:AL970,B929:B970,B947-12)+in_life_term_renew^2*SUMIFS(AL929:AL970,B929:B970,B947-24)+in_life_term_renew^3*SUMIFS(AL929:AL970,B929:B970,B947-36)+in_life_term_renew^4*SUMIFS(AL929:AL970,B929:B970,B947-48))</f>
        <v/>
      </c>
      <c r="AN947" s="40">
        <f>AN946*(1-IF(B946&gt;=in_marketplace_from,d_hz_accident*G946,0))</f>
        <v/>
      </c>
      <c r="AO947" s="46">
        <f>AN947*IF(B947&gt;=in_marketplace_from,d_hz_accident*G947,0)</f>
        <v/>
      </c>
      <c r="AP947" s="14">
        <f>F947*AO947*in_accident_ticket*in_accident_comm*in_ins_partner_share+F947*in_accident_ticket*in_accident_renew_comm*in_ins_partner_share*(in_accident_renew^1*SUMIFS(AO929:AO970,B929:B970,B947-12)+in_accident_renew^2*SUMIFS(AO929:AO970,B929:B970,B947-24)+in_accident_renew^3*SUMIFS(AO929:AO970,B929:B970,B947-36)+in_accident_renew^4*SUMIFS(AO929:AO970,B929:B970,B947-48))</f>
        <v/>
      </c>
      <c r="AQ947" s="40">
        <f>AQ946*(1-IF(B946&gt;=in_marketplace_from,d_hz_two_wheeler*G946,0))</f>
        <v/>
      </c>
      <c r="AR947" s="46">
        <f>AQ947*IF(B947&gt;=in_marketplace_from,d_hz_two_wheeler*G947,0)</f>
        <v/>
      </c>
      <c r="AS947" s="14">
        <f>F947*AR947*in_two_wheeler_ticket*in_two_wheeler_comm*in_ins_partner_share+F947*in_two_wheeler_ticket*in_two_wheeler_comm*in_ins_partner_share*(in_two_wheeler_renew^1*SUMIFS(AR929:AR970,B929:B970,B947-12)+in_two_wheeler_renew^2*SUMIFS(AR929:AR970,B929:B970,B947-24)+in_two_wheeler_renew^3*SUMIFS(AR929:AR970,B929:B970,B947-36)+in_two_wheeler_renew^4*SUMIFS(AR929:AR970,B929:B970,B947-48))</f>
        <v/>
      </c>
      <c r="AT947" s="40">
        <f>AT946*(1-IF(B946&gt;=in_marketplace_from,d_hz_device*G946,0))</f>
        <v/>
      </c>
      <c r="AU947" s="14">
        <f>F947*AT947*IF(B947&gt;=in_marketplace_from,d_hz_device*G947,0)*in_device_ticket*in_device_comm*in_ins_partner_share</f>
        <v/>
      </c>
      <c r="AV947" s="40">
        <f>AV946*(1-IF(B946&gt;=in_marketplace_from,d_hz_shop*G946,0))</f>
        <v/>
      </c>
      <c r="AW947" s="46">
        <f>AV947*IF(B947&gt;=in_marketplace_from,d_hz_shop*G947,0)</f>
        <v/>
      </c>
      <c r="AX947" s="14">
        <f>F947*AW947*in_shop_ticket*in_shop_comm*in_ins_partner_share+F947*in_shop_ticket*in_shop_renew_comm*in_ins_partner_share*(in_shop_renew^1*SUMIFS(AW929:AW970,B929:B970,B947-12)+in_shop_renew^2*SUMIFS(AW929:AW970,B929:B970,B947-24)+in_shop_renew^3*SUMIFS(AW929:AW970,B929:B970,B947-36)+in_shop_renew^4*SUMIFS(AW929:AW970,B929:B970,B947-48))</f>
        <v/>
      </c>
      <c r="AY947" s="40">
        <f>AY946*(1-IF(B946&gt;=in_marketplace_from,d_hz_sip*G946,0))</f>
        <v/>
      </c>
      <c r="AZ947" s="40">
        <f>AZ946*d_rho_sip+AY947*IF(B947&gt;=in_marketplace_from,d_hz_sip*G947,0)</f>
        <v/>
      </c>
      <c r="BA947" s="40">
        <f>d_rho_sip*(BA946+AZ946)</f>
        <v/>
      </c>
      <c r="BB947" s="14">
        <f>F947*in_sip_ticket*(BA947+0.5*AZ947)*in_sip_comm/12</f>
        <v/>
      </c>
      <c r="BC947" s="40">
        <f>BC946*(1-IF(B946&gt;=in_marketplace_from,d_hz_choti*G946,0))</f>
        <v/>
      </c>
      <c r="BD947" s="46">
        <f>BC947*IF(B947&gt;=in_marketplace_from,d_hz_choti*G947,0)</f>
        <v/>
      </c>
      <c r="BE947" s="14">
        <f>F947*SUMIFS(BD929:BD970,B929:B970,B947-in_choti_months)*in_choti_renew*in_choti_ticket</f>
        <v/>
      </c>
      <c r="BF947" s="40">
        <f>BF946*(1-IF(B946&gt;=in_marketplace_from,d_hz_nps*G946,0))</f>
        <v/>
      </c>
      <c r="BG947" s="14">
        <f>F947*BF947*IF(B947&gt;=in_marketplace_from,d_hz_nps*G947,0)*in_nps_ticket*in_nps_comm</f>
        <v/>
      </c>
      <c r="BH947" s="40">
        <f>BH946*(1-IF(B946&gt;=in_marketplace_from,d_hz_gold*G946,0))</f>
        <v/>
      </c>
      <c r="BI947" s="40">
        <f>BI946*d_rho_gold+BH947*IF(B947&gt;=in_marketplace_from,d_hz_gold*G947,0)</f>
        <v/>
      </c>
      <c r="BJ947" s="14">
        <f>F947*BI947*in_gold_ticket*in_gold_comm</f>
        <v/>
      </c>
      <c r="BK947" s="40">
        <f>BK946*(1-IF(B946&gt;=in_marketplace_from,d_hz_fd*G946,0))</f>
        <v/>
      </c>
      <c r="BL947" s="14">
        <f>F947*BK947*IF(B947&gt;=in_marketplace_from,d_hz_fd*G947,0)*in_fd_ticket*in_fd_comm</f>
        <v/>
      </c>
      <c r="BM947" s="40">
        <f>BM946*(1-IF(B946&gt;=in_marketplace_from,d_hz_recharge*G946,0))</f>
        <v/>
      </c>
      <c r="BN947" s="40">
        <f>BN946*d_rho_recharge+BM947*IF(B947&gt;=in_marketplace_from,d_hz_recharge*G947,0)</f>
        <v/>
      </c>
      <c r="BO947" s="14">
        <f>F947*BN947*in_recharge_ticket*in_recharge_comm/12</f>
        <v/>
      </c>
      <c r="BP947" s="40">
        <f>BP946*(1-IF(B946&gt;=in_marketplace_from,d_hz_bills*G946,0))</f>
        <v/>
      </c>
      <c r="BQ947" s="40">
        <f>BQ946*d_rho_bills+BP947*IF(B947&gt;=in_marketplace_from,d_hz_bills*G947,0)</f>
        <v/>
      </c>
      <c r="BR947" s="14">
        <f>F947*BQ947*in_bills_ticket*in_bills_comm/12</f>
        <v/>
      </c>
      <c r="BS947" s="40">
        <f>BS946*(1-IF(B946&gt;=in_marketplace_from,d_hz_loan_gold*G946,0))</f>
        <v/>
      </c>
      <c r="BT947" s="14">
        <f>F947*BS947*IF(B947&gt;=in_marketplace_from,d_hz_loan_gold*G947,0)*in_loan_gold_ticket*in_loan_gold_comm</f>
        <v/>
      </c>
      <c r="BU947" s="40">
        <f>BU946*(1-IF(B946&gt;=in_marketplace_from,d_hz_loan_cd*G946,0))</f>
        <v/>
      </c>
      <c r="BV947" s="14">
        <f>F947*BU947*IF(B947&gt;=in_marketplace_from,d_hz_loan_cd*G947,0)*in_loan_cd_ticket*in_loan_cd_comm</f>
        <v/>
      </c>
      <c r="BW947" s="40">
        <f>BW946*(1-IF(B946&gt;=in_marketplace_from,d_hz_loan_vehicle*G946,0))</f>
        <v/>
      </c>
      <c r="BX947" s="14">
        <f>F947*BW947*IF(B947&gt;=in_marketplace_from,d_hz_loan_vehicle*G947,0)*in_loan_vehicle_ticket*in_loan_vehicle_comm</f>
        <v/>
      </c>
      <c r="BY947" s="40">
        <f>BY946*(1-IF(B946&gt;=in_marketplace_from,d_hz_loan_home*G946,0)*BZ946)</f>
        <v/>
      </c>
      <c r="BZ947" s="11">
        <f>MIN(in_approval_cap,in_loan_home_approval*INDEX('Age profile'!$O$2:$O$61,B947)*(1+in_approval_growth)^(D947-1))</f>
        <v/>
      </c>
      <c r="CA947" s="14">
        <f>F947*BY947*IF(B947&gt;=in_marketplace_from,d_hz_loan_home*G947,0)*BZ947*in_loan_home_ticket*in_loan_home_comm</f>
        <v/>
      </c>
      <c r="CB947" s="40">
        <f>CB946*(1-IF(B946&gt;=in_marketplace_from,d_hz_loan_lap*G946,0)*CC946)</f>
        <v/>
      </c>
      <c r="CC947" s="11">
        <f>MIN(in_approval_cap,in_loan_lap_approval*INDEX('Age profile'!$O$2:$O$61,B947)*(1+in_approval_growth)^(D947-1))</f>
        <v/>
      </c>
      <c r="CD947" s="14">
        <f>F947*CB947*IF(B947&gt;=in_marketplace_from,d_hz_loan_lap*G947,0)*CC947*in_loan_lap_ticket*in_loan_lap_comm</f>
        <v/>
      </c>
      <c r="CE947" s="14">
        <f>AA947+AB947+AC947+AD947+AG947+AJ947+AM947+AP947+AS947+AU947+AX947+BB947+BE947+BG947+BJ947+BL947+BO947+BR947+BT947+BV947+BX947+CA947+CD947</f>
        <v/>
      </c>
    </row>
    <row r="948">
      <c r="A948" s="39" t="n">
        <v>19</v>
      </c>
      <c r="B948" s="39" t="n">
        <v>20</v>
      </c>
      <c r="C948" s="39">
        <f>A948+B948-1</f>
        <v/>
      </c>
      <c r="D948" s="39">
        <f>INT((C948-1)/12)+1</f>
        <v/>
      </c>
      <c r="E948" s="44">
        <f>INDEX(Monthly!$B$2:$B$61,A948)</f>
        <v/>
      </c>
      <c r="F948" s="44">
        <f>E948*INDEX('Age profile'!$B$2:$B$61,B948)</f>
        <v/>
      </c>
      <c r="G948" s="45">
        <f>MIN(in_takeup_cap,INDEX('Age profile'!$N$2:$N$61,B948)*(1+in_takeup_growth)^(D948-1))</f>
        <v/>
      </c>
      <c r="H948" s="11">
        <f>MIN(in_approval_cap,in_approved_first*INDEX('Age profile'!$O$2:$O$61,B948)*(1+in_approval_growth)^(D948-1))</f>
        <v/>
      </c>
      <c r="I948" s="45">
        <f>G948*MIN(in_takeup_cap,INDEX('Age profile'!$O$2:$O$61,B948)*(1+in_approval_growth)^(D948-1))</f>
        <v/>
      </c>
      <c r="J948" s="40">
        <f>(J947-L947)*F948/F947</f>
        <v/>
      </c>
      <c r="K948" s="40">
        <f>(K947-M947)*F948/F947+SUMIFS(O929:O947,B929:B947,B948-1-d_T)*F948</f>
        <v/>
      </c>
      <c r="L948" s="40">
        <f>IF(B948&gt;=in_marketplace_from,J948*d_hz*G948*in_eligible*H948,0)</f>
        <v/>
      </c>
      <c r="M948" s="40">
        <f>IF(B948&gt;=in_marketplace_from,K948*d_hz*G948*in_eligible*in_approved_repeat,0)</f>
        <v/>
      </c>
      <c r="N948" s="40">
        <f>L948+M948</f>
        <v/>
      </c>
      <c r="O948" s="46">
        <f>N948/F948</f>
        <v/>
      </c>
      <c r="P948" s="40">
        <f>F948-J948-K948</f>
        <v/>
      </c>
      <c r="Q948" s="40">
        <f>IF(B948&gt;=in_marketplace_from,(J948+K948)*d_hz*G948,0)</f>
        <v/>
      </c>
      <c r="R948" s="40">
        <f>SUMIFS(N929:N970,B929:B970,"&gt;="&amp;(B948-d_T),B929:B970,"&lt;="&amp;(B948-1))</f>
        <v/>
      </c>
      <c r="S948" s="46">
        <f>(1-d_u)*S947+IF(d_T&gt;in_topup_lag,SUMIFS(O929:O970,B929:B970,B948-in_topup_lag)-d_udrop*SUMIFS(O929:O970,B929:B970,B948-d_T),0)</f>
        <v/>
      </c>
      <c r="T948" s="40">
        <f>F948*d_u*S948</f>
        <v/>
      </c>
      <c r="U948" s="9">
        <f>L948*in_ticket+M948*d_rep_ticket</f>
        <v/>
      </c>
      <c r="V948" s="9">
        <f>U948+T948*d_topup_amt</f>
        <v/>
      </c>
      <c r="W948" s="40">
        <f>N948+T948*d_topup_ratio</f>
        <v/>
      </c>
      <c r="X948" s="40">
        <f>SUMIFS(W929:W970,B929:B970,B948-in_dpd_lag)*d_cured</f>
        <v/>
      </c>
      <c r="Y948" s="40">
        <f>SUMIFS(W929:W970,B929:B970,B948-in_rec_lag)*d_recd</f>
        <v/>
      </c>
      <c r="Z948" s="40">
        <f>IF(AND(B948&gt;=in_marketplace_from,B948&lt;in_marketplace_from+in_card_months),in_card_share/in_card_months*F948*I948,IF(AND(B948&gt;=in_marketplace_from+in_card_months,B948&lt;in_marketplace_from+2*in_card_months),in_card_share*d_card_rem/in_card_months*F948*MIN(in_takeup_cap,(1+in_takeup_growth)^(D948-1))*MIN(in_takeup_cap,(1+in_approval_growth)^(D948-1)),0))</f>
        <v/>
      </c>
      <c r="AA948" s="14">
        <f>V948*in_fee*(1-in_taken_back)</f>
        <v/>
      </c>
      <c r="AB948" s="14">
        <f>SUMIFS(W929:W970,B929:B970,B948-in_dpd_lag)*d_dpd</f>
        <v/>
      </c>
      <c r="AC948" s="14">
        <f>SUMIFS(W929:W970,B929:B970,B948-in_rec_lag)*d_rec</f>
        <v/>
      </c>
      <c r="AD948" s="14">
        <f>Z948*in_card_fee</f>
        <v/>
      </c>
      <c r="AE948" s="40">
        <f>AE947*(1-IF(B947&gt;=in_marketplace_from,d_hz_hlth_small*G947,0))</f>
        <v/>
      </c>
      <c r="AF948" s="46">
        <f>AE948*IF(B948&gt;=in_marketplace_from,d_hz_hlth_small*G948,0)</f>
        <v/>
      </c>
      <c r="AG948" s="14">
        <f>F948*AF948*in_hlth_small_ticket*in_hlth_small_comm*in_ins_partner_share+F948*in_hlth_small_ticket*in_hlth_small_renew_comm*in_ins_partner_share*(in_hlth_small_renew^1*SUMIFS(AF929:AF970,B929:B970,B948-12)+in_hlth_small_renew^2*SUMIFS(AF929:AF970,B929:B970,B948-24)+in_hlth_small_renew^3*SUMIFS(AF929:AF970,B929:B970,B948-36)+in_hlth_small_renew^4*SUMIFS(AF929:AF970,B929:B970,B948-48))</f>
        <v/>
      </c>
      <c r="AH948" s="40">
        <f>AH947*(1-IF(B947&gt;=in_marketplace_from,d_hz_hlth_family*G947,0))</f>
        <v/>
      </c>
      <c r="AI948" s="46">
        <f>AH948*IF(B948&gt;=in_marketplace_from,d_hz_hlth_family*G948,0)</f>
        <v/>
      </c>
      <c r="AJ948" s="14">
        <f>F948*AI948*in_hlth_family_ticket*in_hlth_family_comm*in_ins_partner_share+F948*in_hlth_family_ticket*in_hlth_family_renew_comm*in_ins_partner_share*(in_hlth_family_renew^1*SUMIFS(AI929:AI970,B929:B970,B948-12)+in_hlth_family_renew^2*SUMIFS(AI929:AI970,B929:B970,B948-24)+in_hlth_family_renew^3*SUMIFS(AI929:AI970,B929:B970,B948-36)+in_hlth_family_renew^4*SUMIFS(AI929:AI970,B929:B970,B948-48))</f>
        <v/>
      </c>
      <c r="AK948" s="40">
        <f>AK947*(1-IF(B947&gt;=in_marketplace_from,d_hz_life_term*G947,0))</f>
        <v/>
      </c>
      <c r="AL948" s="46">
        <f>AK948*IF(B948&gt;=in_marketplace_from,d_hz_life_term*G948,0)</f>
        <v/>
      </c>
      <c r="AM948" s="14">
        <f>F948*AL948*in_life_term_ticket*in_life_term_comm*in_ins_partner_share+F948*in_life_term_ticket*in_life_term_renew_comm*in_ins_partner_share*(in_life_term_renew^1*SUMIFS(AL929:AL970,B929:B970,B948-12)+in_life_term_renew^2*SUMIFS(AL929:AL970,B929:B970,B948-24)+in_life_term_renew^3*SUMIFS(AL929:AL970,B929:B970,B948-36)+in_life_term_renew^4*SUMIFS(AL929:AL970,B929:B970,B948-48))</f>
        <v/>
      </c>
      <c r="AN948" s="40">
        <f>AN947*(1-IF(B947&gt;=in_marketplace_from,d_hz_accident*G947,0))</f>
        <v/>
      </c>
      <c r="AO948" s="46">
        <f>AN948*IF(B948&gt;=in_marketplace_from,d_hz_accident*G948,0)</f>
        <v/>
      </c>
      <c r="AP948" s="14">
        <f>F948*AO948*in_accident_ticket*in_accident_comm*in_ins_partner_share+F948*in_accident_ticket*in_accident_renew_comm*in_ins_partner_share*(in_accident_renew^1*SUMIFS(AO929:AO970,B929:B970,B948-12)+in_accident_renew^2*SUMIFS(AO929:AO970,B929:B970,B948-24)+in_accident_renew^3*SUMIFS(AO929:AO970,B929:B970,B948-36)+in_accident_renew^4*SUMIFS(AO929:AO970,B929:B970,B948-48))</f>
        <v/>
      </c>
      <c r="AQ948" s="40">
        <f>AQ947*(1-IF(B947&gt;=in_marketplace_from,d_hz_two_wheeler*G947,0))</f>
        <v/>
      </c>
      <c r="AR948" s="46">
        <f>AQ948*IF(B948&gt;=in_marketplace_from,d_hz_two_wheeler*G948,0)</f>
        <v/>
      </c>
      <c r="AS948" s="14">
        <f>F948*AR948*in_two_wheeler_ticket*in_two_wheeler_comm*in_ins_partner_share+F948*in_two_wheeler_ticket*in_two_wheeler_comm*in_ins_partner_share*(in_two_wheeler_renew^1*SUMIFS(AR929:AR970,B929:B970,B948-12)+in_two_wheeler_renew^2*SUMIFS(AR929:AR970,B929:B970,B948-24)+in_two_wheeler_renew^3*SUMIFS(AR929:AR970,B929:B970,B948-36)+in_two_wheeler_renew^4*SUMIFS(AR929:AR970,B929:B970,B948-48))</f>
        <v/>
      </c>
      <c r="AT948" s="40">
        <f>AT947*(1-IF(B947&gt;=in_marketplace_from,d_hz_device*G947,0))</f>
        <v/>
      </c>
      <c r="AU948" s="14">
        <f>F948*AT948*IF(B948&gt;=in_marketplace_from,d_hz_device*G948,0)*in_device_ticket*in_device_comm*in_ins_partner_share</f>
        <v/>
      </c>
      <c r="AV948" s="40">
        <f>AV947*(1-IF(B947&gt;=in_marketplace_from,d_hz_shop*G947,0))</f>
        <v/>
      </c>
      <c r="AW948" s="46">
        <f>AV948*IF(B948&gt;=in_marketplace_from,d_hz_shop*G948,0)</f>
        <v/>
      </c>
      <c r="AX948" s="14">
        <f>F948*AW948*in_shop_ticket*in_shop_comm*in_ins_partner_share+F948*in_shop_ticket*in_shop_renew_comm*in_ins_partner_share*(in_shop_renew^1*SUMIFS(AW929:AW970,B929:B970,B948-12)+in_shop_renew^2*SUMIFS(AW929:AW970,B929:B970,B948-24)+in_shop_renew^3*SUMIFS(AW929:AW970,B929:B970,B948-36)+in_shop_renew^4*SUMIFS(AW929:AW970,B929:B970,B948-48))</f>
        <v/>
      </c>
      <c r="AY948" s="40">
        <f>AY947*(1-IF(B947&gt;=in_marketplace_from,d_hz_sip*G947,0))</f>
        <v/>
      </c>
      <c r="AZ948" s="40">
        <f>AZ947*d_rho_sip+AY948*IF(B948&gt;=in_marketplace_from,d_hz_sip*G948,0)</f>
        <v/>
      </c>
      <c r="BA948" s="40">
        <f>d_rho_sip*(BA947+AZ947)</f>
        <v/>
      </c>
      <c r="BB948" s="14">
        <f>F948*in_sip_ticket*(BA948+0.5*AZ948)*in_sip_comm/12</f>
        <v/>
      </c>
      <c r="BC948" s="40">
        <f>BC947*(1-IF(B947&gt;=in_marketplace_from,d_hz_choti*G947,0))</f>
        <v/>
      </c>
      <c r="BD948" s="46">
        <f>BC948*IF(B948&gt;=in_marketplace_from,d_hz_choti*G948,0)</f>
        <v/>
      </c>
      <c r="BE948" s="14">
        <f>F948*SUMIFS(BD929:BD970,B929:B970,B948-in_choti_months)*in_choti_renew*in_choti_ticket</f>
        <v/>
      </c>
      <c r="BF948" s="40">
        <f>BF947*(1-IF(B947&gt;=in_marketplace_from,d_hz_nps*G947,0))</f>
        <v/>
      </c>
      <c r="BG948" s="14">
        <f>F948*BF948*IF(B948&gt;=in_marketplace_from,d_hz_nps*G948,0)*in_nps_ticket*in_nps_comm</f>
        <v/>
      </c>
      <c r="BH948" s="40">
        <f>BH947*(1-IF(B947&gt;=in_marketplace_from,d_hz_gold*G947,0))</f>
        <v/>
      </c>
      <c r="BI948" s="40">
        <f>BI947*d_rho_gold+BH948*IF(B948&gt;=in_marketplace_from,d_hz_gold*G948,0)</f>
        <v/>
      </c>
      <c r="BJ948" s="14">
        <f>F948*BI948*in_gold_ticket*in_gold_comm</f>
        <v/>
      </c>
      <c r="BK948" s="40">
        <f>BK947*(1-IF(B947&gt;=in_marketplace_from,d_hz_fd*G947,0))</f>
        <v/>
      </c>
      <c r="BL948" s="14">
        <f>F948*BK948*IF(B948&gt;=in_marketplace_from,d_hz_fd*G948,0)*in_fd_ticket*in_fd_comm</f>
        <v/>
      </c>
      <c r="BM948" s="40">
        <f>BM947*(1-IF(B947&gt;=in_marketplace_from,d_hz_recharge*G947,0))</f>
        <v/>
      </c>
      <c r="BN948" s="40">
        <f>BN947*d_rho_recharge+BM948*IF(B948&gt;=in_marketplace_from,d_hz_recharge*G948,0)</f>
        <v/>
      </c>
      <c r="BO948" s="14">
        <f>F948*BN948*in_recharge_ticket*in_recharge_comm/12</f>
        <v/>
      </c>
      <c r="BP948" s="40">
        <f>BP947*(1-IF(B947&gt;=in_marketplace_from,d_hz_bills*G947,0))</f>
        <v/>
      </c>
      <c r="BQ948" s="40">
        <f>BQ947*d_rho_bills+BP948*IF(B948&gt;=in_marketplace_from,d_hz_bills*G948,0)</f>
        <v/>
      </c>
      <c r="BR948" s="14">
        <f>F948*BQ948*in_bills_ticket*in_bills_comm/12</f>
        <v/>
      </c>
      <c r="BS948" s="40">
        <f>BS947*(1-IF(B947&gt;=in_marketplace_from,d_hz_loan_gold*G947,0))</f>
        <v/>
      </c>
      <c r="BT948" s="14">
        <f>F948*BS948*IF(B948&gt;=in_marketplace_from,d_hz_loan_gold*G948,0)*in_loan_gold_ticket*in_loan_gold_comm</f>
        <v/>
      </c>
      <c r="BU948" s="40">
        <f>BU947*(1-IF(B947&gt;=in_marketplace_from,d_hz_loan_cd*G947,0))</f>
        <v/>
      </c>
      <c r="BV948" s="14">
        <f>F948*BU948*IF(B948&gt;=in_marketplace_from,d_hz_loan_cd*G948,0)*in_loan_cd_ticket*in_loan_cd_comm</f>
        <v/>
      </c>
      <c r="BW948" s="40">
        <f>BW947*(1-IF(B947&gt;=in_marketplace_from,d_hz_loan_vehicle*G947,0))</f>
        <v/>
      </c>
      <c r="BX948" s="14">
        <f>F948*BW948*IF(B948&gt;=in_marketplace_from,d_hz_loan_vehicle*G948,0)*in_loan_vehicle_ticket*in_loan_vehicle_comm</f>
        <v/>
      </c>
      <c r="BY948" s="40">
        <f>BY947*(1-IF(B947&gt;=in_marketplace_from,d_hz_loan_home*G947,0)*BZ947)</f>
        <v/>
      </c>
      <c r="BZ948" s="11">
        <f>MIN(in_approval_cap,in_loan_home_approval*INDEX('Age profile'!$O$2:$O$61,B948)*(1+in_approval_growth)^(D948-1))</f>
        <v/>
      </c>
      <c r="CA948" s="14">
        <f>F948*BY948*IF(B948&gt;=in_marketplace_from,d_hz_loan_home*G948,0)*BZ948*in_loan_home_ticket*in_loan_home_comm</f>
        <v/>
      </c>
      <c r="CB948" s="40">
        <f>CB947*(1-IF(B947&gt;=in_marketplace_from,d_hz_loan_lap*G947,0)*CC947)</f>
        <v/>
      </c>
      <c r="CC948" s="11">
        <f>MIN(in_approval_cap,in_loan_lap_approval*INDEX('Age profile'!$O$2:$O$61,B948)*(1+in_approval_growth)^(D948-1))</f>
        <v/>
      </c>
      <c r="CD948" s="14">
        <f>F948*CB948*IF(B948&gt;=in_marketplace_from,d_hz_loan_lap*G948,0)*CC948*in_loan_lap_ticket*in_loan_lap_comm</f>
        <v/>
      </c>
      <c r="CE948" s="14">
        <f>AA948+AB948+AC948+AD948+AG948+AJ948+AM948+AP948+AS948+AU948+AX948+BB948+BE948+BG948+BJ948+BL948+BO948+BR948+BT948+BV948+BX948+CA948+CD948</f>
        <v/>
      </c>
    </row>
    <row r="949">
      <c r="A949" s="39" t="n">
        <v>19</v>
      </c>
      <c r="B949" s="39" t="n">
        <v>21</v>
      </c>
      <c r="C949" s="39">
        <f>A949+B949-1</f>
        <v/>
      </c>
      <c r="D949" s="39">
        <f>INT((C949-1)/12)+1</f>
        <v/>
      </c>
      <c r="E949" s="44">
        <f>INDEX(Monthly!$B$2:$B$61,A949)</f>
        <v/>
      </c>
      <c r="F949" s="44">
        <f>E949*INDEX('Age profile'!$B$2:$B$61,B949)</f>
        <v/>
      </c>
      <c r="G949" s="45">
        <f>MIN(in_takeup_cap,INDEX('Age profile'!$N$2:$N$61,B949)*(1+in_takeup_growth)^(D949-1))</f>
        <v/>
      </c>
      <c r="H949" s="11">
        <f>MIN(in_approval_cap,in_approved_first*INDEX('Age profile'!$O$2:$O$61,B949)*(1+in_approval_growth)^(D949-1))</f>
        <v/>
      </c>
      <c r="I949" s="45">
        <f>G949*MIN(in_takeup_cap,INDEX('Age profile'!$O$2:$O$61,B949)*(1+in_approval_growth)^(D949-1))</f>
        <v/>
      </c>
      <c r="J949" s="40">
        <f>(J948-L948)*F949/F948</f>
        <v/>
      </c>
      <c r="K949" s="40">
        <f>(K948-M948)*F949/F948+SUMIFS(O929:O948,B929:B948,B949-1-d_T)*F949</f>
        <v/>
      </c>
      <c r="L949" s="40">
        <f>IF(B949&gt;=in_marketplace_from,J949*d_hz*G949*in_eligible*H949,0)</f>
        <v/>
      </c>
      <c r="M949" s="40">
        <f>IF(B949&gt;=in_marketplace_from,K949*d_hz*G949*in_eligible*in_approved_repeat,0)</f>
        <v/>
      </c>
      <c r="N949" s="40">
        <f>L949+M949</f>
        <v/>
      </c>
      <c r="O949" s="46">
        <f>N949/F949</f>
        <v/>
      </c>
      <c r="P949" s="40">
        <f>F949-J949-K949</f>
        <v/>
      </c>
      <c r="Q949" s="40">
        <f>IF(B949&gt;=in_marketplace_from,(J949+K949)*d_hz*G949,0)</f>
        <v/>
      </c>
      <c r="R949" s="40">
        <f>SUMIFS(N929:N970,B929:B970,"&gt;="&amp;(B949-d_T),B929:B970,"&lt;="&amp;(B949-1))</f>
        <v/>
      </c>
      <c r="S949" s="46">
        <f>(1-d_u)*S948+IF(d_T&gt;in_topup_lag,SUMIFS(O929:O970,B929:B970,B949-in_topup_lag)-d_udrop*SUMIFS(O929:O970,B929:B970,B949-d_T),0)</f>
        <v/>
      </c>
      <c r="T949" s="40">
        <f>F949*d_u*S949</f>
        <v/>
      </c>
      <c r="U949" s="9">
        <f>L949*in_ticket+M949*d_rep_ticket</f>
        <v/>
      </c>
      <c r="V949" s="9">
        <f>U949+T949*d_topup_amt</f>
        <v/>
      </c>
      <c r="W949" s="40">
        <f>N949+T949*d_topup_ratio</f>
        <v/>
      </c>
      <c r="X949" s="40">
        <f>SUMIFS(W929:W970,B929:B970,B949-in_dpd_lag)*d_cured</f>
        <v/>
      </c>
      <c r="Y949" s="40">
        <f>SUMIFS(W929:W970,B929:B970,B949-in_rec_lag)*d_recd</f>
        <v/>
      </c>
      <c r="Z949" s="40">
        <f>IF(AND(B949&gt;=in_marketplace_from,B949&lt;in_marketplace_from+in_card_months),in_card_share/in_card_months*F949*I949,IF(AND(B949&gt;=in_marketplace_from+in_card_months,B949&lt;in_marketplace_from+2*in_card_months),in_card_share*d_card_rem/in_card_months*F949*MIN(in_takeup_cap,(1+in_takeup_growth)^(D949-1))*MIN(in_takeup_cap,(1+in_approval_growth)^(D949-1)),0))</f>
        <v/>
      </c>
      <c r="AA949" s="14">
        <f>V949*in_fee*(1-in_taken_back)</f>
        <v/>
      </c>
      <c r="AB949" s="14">
        <f>SUMIFS(W929:W970,B929:B970,B949-in_dpd_lag)*d_dpd</f>
        <v/>
      </c>
      <c r="AC949" s="14">
        <f>SUMIFS(W929:W970,B929:B970,B949-in_rec_lag)*d_rec</f>
        <v/>
      </c>
      <c r="AD949" s="14">
        <f>Z949*in_card_fee</f>
        <v/>
      </c>
      <c r="AE949" s="40">
        <f>AE948*(1-IF(B948&gt;=in_marketplace_from,d_hz_hlth_small*G948,0))</f>
        <v/>
      </c>
      <c r="AF949" s="46">
        <f>AE949*IF(B949&gt;=in_marketplace_from,d_hz_hlth_small*G949,0)</f>
        <v/>
      </c>
      <c r="AG949" s="14">
        <f>F949*AF949*in_hlth_small_ticket*in_hlth_small_comm*in_ins_partner_share+F949*in_hlth_small_ticket*in_hlth_small_renew_comm*in_ins_partner_share*(in_hlth_small_renew^1*SUMIFS(AF929:AF970,B929:B970,B949-12)+in_hlth_small_renew^2*SUMIFS(AF929:AF970,B929:B970,B949-24)+in_hlth_small_renew^3*SUMIFS(AF929:AF970,B929:B970,B949-36)+in_hlth_small_renew^4*SUMIFS(AF929:AF970,B929:B970,B949-48))</f>
        <v/>
      </c>
      <c r="AH949" s="40">
        <f>AH948*(1-IF(B948&gt;=in_marketplace_from,d_hz_hlth_family*G948,0))</f>
        <v/>
      </c>
      <c r="AI949" s="46">
        <f>AH949*IF(B949&gt;=in_marketplace_from,d_hz_hlth_family*G949,0)</f>
        <v/>
      </c>
      <c r="AJ949" s="14">
        <f>F949*AI949*in_hlth_family_ticket*in_hlth_family_comm*in_ins_partner_share+F949*in_hlth_family_ticket*in_hlth_family_renew_comm*in_ins_partner_share*(in_hlth_family_renew^1*SUMIFS(AI929:AI970,B929:B970,B949-12)+in_hlth_family_renew^2*SUMIFS(AI929:AI970,B929:B970,B949-24)+in_hlth_family_renew^3*SUMIFS(AI929:AI970,B929:B970,B949-36)+in_hlth_family_renew^4*SUMIFS(AI929:AI970,B929:B970,B949-48))</f>
        <v/>
      </c>
      <c r="AK949" s="40">
        <f>AK948*(1-IF(B948&gt;=in_marketplace_from,d_hz_life_term*G948,0))</f>
        <v/>
      </c>
      <c r="AL949" s="46">
        <f>AK949*IF(B949&gt;=in_marketplace_from,d_hz_life_term*G949,0)</f>
        <v/>
      </c>
      <c r="AM949" s="14">
        <f>F949*AL949*in_life_term_ticket*in_life_term_comm*in_ins_partner_share+F949*in_life_term_ticket*in_life_term_renew_comm*in_ins_partner_share*(in_life_term_renew^1*SUMIFS(AL929:AL970,B929:B970,B949-12)+in_life_term_renew^2*SUMIFS(AL929:AL970,B929:B970,B949-24)+in_life_term_renew^3*SUMIFS(AL929:AL970,B929:B970,B949-36)+in_life_term_renew^4*SUMIFS(AL929:AL970,B929:B970,B949-48))</f>
        <v/>
      </c>
      <c r="AN949" s="40">
        <f>AN948*(1-IF(B948&gt;=in_marketplace_from,d_hz_accident*G948,0))</f>
        <v/>
      </c>
      <c r="AO949" s="46">
        <f>AN949*IF(B949&gt;=in_marketplace_from,d_hz_accident*G949,0)</f>
        <v/>
      </c>
      <c r="AP949" s="14">
        <f>F949*AO949*in_accident_ticket*in_accident_comm*in_ins_partner_share+F949*in_accident_ticket*in_accident_renew_comm*in_ins_partner_share*(in_accident_renew^1*SUMIFS(AO929:AO970,B929:B970,B949-12)+in_accident_renew^2*SUMIFS(AO929:AO970,B929:B970,B949-24)+in_accident_renew^3*SUMIFS(AO929:AO970,B929:B970,B949-36)+in_accident_renew^4*SUMIFS(AO929:AO970,B929:B970,B949-48))</f>
        <v/>
      </c>
      <c r="AQ949" s="40">
        <f>AQ948*(1-IF(B948&gt;=in_marketplace_from,d_hz_two_wheeler*G948,0))</f>
        <v/>
      </c>
      <c r="AR949" s="46">
        <f>AQ949*IF(B949&gt;=in_marketplace_from,d_hz_two_wheeler*G949,0)</f>
        <v/>
      </c>
      <c r="AS949" s="14">
        <f>F949*AR949*in_two_wheeler_ticket*in_two_wheeler_comm*in_ins_partner_share+F949*in_two_wheeler_ticket*in_two_wheeler_comm*in_ins_partner_share*(in_two_wheeler_renew^1*SUMIFS(AR929:AR970,B929:B970,B949-12)+in_two_wheeler_renew^2*SUMIFS(AR929:AR970,B929:B970,B949-24)+in_two_wheeler_renew^3*SUMIFS(AR929:AR970,B929:B970,B949-36)+in_two_wheeler_renew^4*SUMIFS(AR929:AR970,B929:B970,B949-48))</f>
        <v/>
      </c>
      <c r="AT949" s="40">
        <f>AT948*(1-IF(B948&gt;=in_marketplace_from,d_hz_device*G948,0))</f>
        <v/>
      </c>
      <c r="AU949" s="14">
        <f>F949*AT949*IF(B949&gt;=in_marketplace_from,d_hz_device*G949,0)*in_device_ticket*in_device_comm*in_ins_partner_share</f>
        <v/>
      </c>
      <c r="AV949" s="40">
        <f>AV948*(1-IF(B948&gt;=in_marketplace_from,d_hz_shop*G948,0))</f>
        <v/>
      </c>
      <c r="AW949" s="46">
        <f>AV949*IF(B949&gt;=in_marketplace_from,d_hz_shop*G949,0)</f>
        <v/>
      </c>
      <c r="AX949" s="14">
        <f>F949*AW949*in_shop_ticket*in_shop_comm*in_ins_partner_share+F949*in_shop_ticket*in_shop_renew_comm*in_ins_partner_share*(in_shop_renew^1*SUMIFS(AW929:AW970,B929:B970,B949-12)+in_shop_renew^2*SUMIFS(AW929:AW970,B929:B970,B949-24)+in_shop_renew^3*SUMIFS(AW929:AW970,B929:B970,B949-36)+in_shop_renew^4*SUMIFS(AW929:AW970,B929:B970,B949-48))</f>
        <v/>
      </c>
      <c r="AY949" s="40">
        <f>AY948*(1-IF(B948&gt;=in_marketplace_from,d_hz_sip*G948,0))</f>
        <v/>
      </c>
      <c r="AZ949" s="40">
        <f>AZ948*d_rho_sip+AY949*IF(B949&gt;=in_marketplace_from,d_hz_sip*G949,0)</f>
        <v/>
      </c>
      <c r="BA949" s="40">
        <f>d_rho_sip*(BA948+AZ948)</f>
        <v/>
      </c>
      <c r="BB949" s="14">
        <f>F949*in_sip_ticket*(BA949+0.5*AZ949)*in_sip_comm/12</f>
        <v/>
      </c>
      <c r="BC949" s="40">
        <f>BC948*(1-IF(B948&gt;=in_marketplace_from,d_hz_choti*G948,0))</f>
        <v/>
      </c>
      <c r="BD949" s="46">
        <f>BC949*IF(B949&gt;=in_marketplace_from,d_hz_choti*G949,0)</f>
        <v/>
      </c>
      <c r="BE949" s="14">
        <f>F949*SUMIFS(BD929:BD970,B929:B970,B949-in_choti_months)*in_choti_renew*in_choti_ticket</f>
        <v/>
      </c>
      <c r="BF949" s="40">
        <f>BF948*(1-IF(B948&gt;=in_marketplace_from,d_hz_nps*G948,0))</f>
        <v/>
      </c>
      <c r="BG949" s="14">
        <f>F949*BF949*IF(B949&gt;=in_marketplace_from,d_hz_nps*G949,0)*in_nps_ticket*in_nps_comm</f>
        <v/>
      </c>
      <c r="BH949" s="40">
        <f>BH948*(1-IF(B948&gt;=in_marketplace_from,d_hz_gold*G948,0))</f>
        <v/>
      </c>
      <c r="BI949" s="40">
        <f>BI948*d_rho_gold+BH949*IF(B949&gt;=in_marketplace_from,d_hz_gold*G949,0)</f>
        <v/>
      </c>
      <c r="BJ949" s="14">
        <f>F949*BI949*in_gold_ticket*in_gold_comm</f>
        <v/>
      </c>
      <c r="BK949" s="40">
        <f>BK948*(1-IF(B948&gt;=in_marketplace_from,d_hz_fd*G948,0))</f>
        <v/>
      </c>
      <c r="BL949" s="14">
        <f>F949*BK949*IF(B949&gt;=in_marketplace_from,d_hz_fd*G949,0)*in_fd_ticket*in_fd_comm</f>
        <v/>
      </c>
      <c r="BM949" s="40">
        <f>BM948*(1-IF(B948&gt;=in_marketplace_from,d_hz_recharge*G948,0))</f>
        <v/>
      </c>
      <c r="BN949" s="40">
        <f>BN948*d_rho_recharge+BM949*IF(B949&gt;=in_marketplace_from,d_hz_recharge*G949,0)</f>
        <v/>
      </c>
      <c r="BO949" s="14">
        <f>F949*BN949*in_recharge_ticket*in_recharge_comm/12</f>
        <v/>
      </c>
      <c r="BP949" s="40">
        <f>BP948*(1-IF(B948&gt;=in_marketplace_from,d_hz_bills*G948,0))</f>
        <v/>
      </c>
      <c r="BQ949" s="40">
        <f>BQ948*d_rho_bills+BP949*IF(B949&gt;=in_marketplace_from,d_hz_bills*G949,0)</f>
        <v/>
      </c>
      <c r="BR949" s="14">
        <f>F949*BQ949*in_bills_ticket*in_bills_comm/12</f>
        <v/>
      </c>
      <c r="BS949" s="40">
        <f>BS948*(1-IF(B948&gt;=in_marketplace_from,d_hz_loan_gold*G948,0))</f>
        <v/>
      </c>
      <c r="BT949" s="14">
        <f>F949*BS949*IF(B949&gt;=in_marketplace_from,d_hz_loan_gold*G949,0)*in_loan_gold_ticket*in_loan_gold_comm</f>
        <v/>
      </c>
      <c r="BU949" s="40">
        <f>BU948*(1-IF(B948&gt;=in_marketplace_from,d_hz_loan_cd*G948,0))</f>
        <v/>
      </c>
      <c r="BV949" s="14">
        <f>F949*BU949*IF(B949&gt;=in_marketplace_from,d_hz_loan_cd*G949,0)*in_loan_cd_ticket*in_loan_cd_comm</f>
        <v/>
      </c>
      <c r="BW949" s="40">
        <f>BW948*(1-IF(B948&gt;=in_marketplace_from,d_hz_loan_vehicle*G948,0))</f>
        <v/>
      </c>
      <c r="BX949" s="14">
        <f>F949*BW949*IF(B949&gt;=in_marketplace_from,d_hz_loan_vehicle*G949,0)*in_loan_vehicle_ticket*in_loan_vehicle_comm</f>
        <v/>
      </c>
      <c r="BY949" s="40">
        <f>BY948*(1-IF(B948&gt;=in_marketplace_from,d_hz_loan_home*G948,0)*BZ948)</f>
        <v/>
      </c>
      <c r="BZ949" s="11">
        <f>MIN(in_approval_cap,in_loan_home_approval*INDEX('Age profile'!$O$2:$O$61,B949)*(1+in_approval_growth)^(D949-1))</f>
        <v/>
      </c>
      <c r="CA949" s="14">
        <f>F949*BY949*IF(B949&gt;=in_marketplace_from,d_hz_loan_home*G949,0)*BZ949*in_loan_home_ticket*in_loan_home_comm</f>
        <v/>
      </c>
      <c r="CB949" s="40">
        <f>CB948*(1-IF(B948&gt;=in_marketplace_from,d_hz_loan_lap*G948,0)*CC948)</f>
        <v/>
      </c>
      <c r="CC949" s="11">
        <f>MIN(in_approval_cap,in_loan_lap_approval*INDEX('Age profile'!$O$2:$O$61,B949)*(1+in_approval_growth)^(D949-1))</f>
        <v/>
      </c>
      <c r="CD949" s="14">
        <f>F949*CB949*IF(B949&gt;=in_marketplace_from,d_hz_loan_lap*G949,0)*CC949*in_loan_lap_ticket*in_loan_lap_comm</f>
        <v/>
      </c>
      <c r="CE949" s="14">
        <f>AA949+AB949+AC949+AD949+AG949+AJ949+AM949+AP949+AS949+AU949+AX949+BB949+BE949+BG949+BJ949+BL949+BO949+BR949+BT949+BV949+BX949+CA949+CD949</f>
        <v/>
      </c>
    </row>
    <row r="950">
      <c r="A950" s="39" t="n">
        <v>19</v>
      </c>
      <c r="B950" s="39" t="n">
        <v>22</v>
      </c>
      <c r="C950" s="39">
        <f>A950+B950-1</f>
        <v/>
      </c>
      <c r="D950" s="39">
        <f>INT((C950-1)/12)+1</f>
        <v/>
      </c>
      <c r="E950" s="44">
        <f>INDEX(Monthly!$B$2:$B$61,A950)</f>
        <v/>
      </c>
      <c r="F950" s="44">
        <f>E950*INDEX('Age profile'!$B$2:$B$61,B950)</f>
        <v/>
      </c>
      <c r="G950" s="45">
        <f>MIN(in_takeup_cap,INDEX('Age profile'!$N$2:$N$61,B950)*(1+in_takeup_growth)^(D950-1))</f>
        <v/>
      </c>
      <c r="H950" s="11">
        <f>MIN(in_approval_cap,in_approved_first*INDEX('Age profile'!$O$2:$O$61,B950)*(1+in_approval_growth)^(D950-1))</f>
        <v/>
      </c>
      <c r="I950" s="45">
        <f>G950*MIN(in_takeup_cap,INDEX('Age profile'!$O$2:$O$61,B950)*(1+in_approval_growth)^(D950-1))</f>
        <v/>
      </c>
      <c r="J950" s="40">
        <f>(J949-L949)*F950/F949</f>
        <v/>
      </c>
      <c r="K950" s="40">
        <f>(K949-M949)*F950/F949+SUMIFS(O929:O949,B929:B949,B950-1-d_T)*F950</f>
        <v/>
      </c>
      <c r="L950" s="40">
        <f>IF(B950&gt;=in_marketplace_from,J950*d_hz*G950*in_eligible*H950,0)</f>
        <v/>
      </c>
      <c r="M950" s="40">
        <f>IF(B950&gt;=in_marketplace_from,K950*d_hz*G950*in_eligible*in_approved_repeat,0)</f>
        <v/>
      </c>
      <c r="N950" s="40">
        <f>L950+M950</f>
        <v/>
      </c>
      <c r="O950" s="46">
        <f>N950/F950</f>
        <v/>
      </c>
      <c r="P950" s="40">
        <f>F950-J950-K950</f>
        <v/>
      </c>
      <c r="Q950" s="40">
        <f>IF(B950&gt;=in_marketplace_from,(J950+K950)*d_hz*G950,0)</f>
        <v/>
      </c>
      <c r="R950" s="40">
        <f>SUMIFS(N929:N970,B929:B970,"&gt;="&amp;(B950-d_T),B929:B970,"&lt;="&amp;(B950-1))</f>
        <v/>
      </c>
      <c r="S950" s="46">
        <f>(1-d_u)*S949+IF(d_T&gt;in_topup_lag,SUMIFS(O929:O970,B929:B970,B950-in_topup_lag)-d_udrop*SUMIFS(O929:O970,B929:B970,B950-d_T),0)</f>
        <v/>
      </c>
      <c r="T950" s="40">
        <f>F950*d_u*S950</f>
        <v/>
      </c>
      <c r="U950" s="9">
        <f>L950*in_ticket+M950*d_rep_ticket</f>
        <v/>
      </c>
      <c r="V950" s="9">
        <f>U950+T950*d_topup_amt</f>
        <v/>
      </c>
      <c r="W950" s="40">
        <f>N950+T950*d_topup_ratio</f>
        <v/>
      </c>
      <c r="X950" s="40">
        <f>SUMIFS(W929:W970,B929:B970,B950-in_dpd_lag)*d_cured</f>
        <v/>
      </c>
      <c r="Y950" s="40">
        <f>SUMIFS(W929:W970,B929:B970,B950-in_rec_lag)*d_recd</f>
        <v/>
      </c>
      <c r="Z950" s="40">
        <f>IF(AND(B950&gt;=in_marketplace_from,B950&lt;in_marketplace_from+in_card_months),in_card_share/in_card_months*F950*I950,IF(AND(B950&gt;=in_marketplace_from+in_card_months,B950&lt;in_marketplace_from+2*in_card_months),in_card_share*d_card_rem/in_card_months*F950*MIN(in_takeup_cap,(1+in_takeup_growth)^(D950-1))*MIN(in_takeup_cap,(1+in_approval_growth)^(D950-1)),0))</f>
        <v/>
      </c>
      <c r="AA950" s="14">
        <f>V950*in_fee*(1-in_taken_back)</f>
        <v/>
      </c>
      <c r="AB950" s="14">
        <f>SUMIFS(W929:W970,B929:B970,B950-in_dpd_lag)*d_dpd</f>
        <v/>
      </c>
      <c r="AC950" s="14">
        <f>SUMIFS(W929:W970,B929:B970,B950-in_rec_lag)*d_rec</f>
        <v/>
      </c>
      <c r="AD950" s="14">
        <f>Z950*in_card_fee</f>
        <v/>
      </c>
      <c r="AE950" s="40">
        <f>AE949*(1-IF(B949&gt;=in_marketplace_from,d_hz_hlth_small*G949,0))</f>
        <v/>
      </c>
      <c r="AF950" s="46">
        <f>AE950*IF(B950&gt;=in_marketplace_from,d_hz_hlth_small*G950,0)</f>
        <v/>
      </c>
      <c r="AG950" s="14">
        <f>F950*AF950*in_hlth_small_ticket*in_hlth_small_comm*in_ins_partner_share+F950*in_hlth_small_ticket*in_hlth_small_renew_comm*in_ins_partner_share*(in_hlth_small_renew^1*SUMIFS(AF929:AF970,B929:B970,B950-12)+in_hlth_small_renew^2*SUMIFS(AF929:AF970,B929:B970,B950-24)+in_hlth_small_renew^3*SUMIFS(AF929:AF970,B929:B970,B950-36)+in_hlth_small_renew^4*SUMIFS(AF929:AF970,B929:B970,B950-48))</f>
        <v/>
      </c>
      <c r="AH950" s="40">
        <f>AH949*(1-IF(B949&gt;=in_marketplace_from,d_hz_hlth_family*G949,0))</f>
        <v/>
      </c>
      <c r="AI950" s="46">
        <f>AH950*IF(B950&gt;=in_marketplace_from,d_hz_hlth_family*G950,0)</f>
        <v/>
      </c>
      <c r="AJ950" s="14">
        <f>F950*AI950*in_hlth_family_ticket*in_hlth_family_comm*in_ins_partner_share+F950*in_hlth_family_ticket*in_hlth_family_renew_comm*in_ins_partner_share*(in_hlth_family_renew^1*SUMIFS(AI929:AI970,B929:B970,B950-12)+in_hlth_family_renew^2*SUMIFS(AI929:AI970,B929:B970,B950-24)+in_hlth_family_renew^3*SUMIFS(AI929:AI970,B929:B970,B950-36)+in_hlth_family_renew^4*SUMIFS(AI929:AI970,B929:B970,B950-48))</f>
        <v/>
      </c>
      <c r="AK950" s="40">
        <f>AK949*(1-IF(B949&gt;=in_marketplace_from,d_hz_life_term*G949,0))</f>
        <v/>
      </c>
      <c r="AL950" s="46">
        <f>AK950*IF(B950&gt;=in_marketplace_from,d_hz_life_term*G950,0)</f>
        <v/>
      </c>
      <c r="AM950" s="14">
        <f>F950*AL950*in_life_term_ticket*in_life_term_comm*in_ins_partner_share+F950*in_life_term_ticket*in_life_term_renew_comm*in_ins_partner_share*(in_life_term_renew^1*SUMIFS(AL929:AL970,B929:B970,B950-12)+in_life_term_renew^2*SUMIFS(AL929:AL970,B929:B970,B950-24)+in_life_term_renew^3*SUMIFS(AL929:AL970,B929:B970,B950-36)+in_life_term_renew^4*SUMIFS(AL929:AL970,B929:B970,B950-48))</f>
        <v/>
      </c>
      <c r="AN950" s="40">
        <f>AN949*(1-IF(B949&gt;=in_marketplace_from,d_hz_accident*G949,0))</f>
        <v/>
      </c>
      <c r="AO950" s="46">
        <f>AN950*IF(B950&gt;=in_marketplace_from,d_hz_accident*G950,0)</f>
        <v/>
      </c>
      <c r="AP950" s="14">
        <f>F950*AO950*in_accident_ticket*in_accident_comm*in_ins_partner_share+F950*in_accident_ticket*in_accident_renew_comm*in_ins_partner_share*(in_accident_renew^1*SUMIFS(AO929:AO970,B929:B970,B950-12)+in_accident_renew^2*SUMIFS(AO929:AO970,B929:B970,B950-24)+in_accident_renew^3*SUMIFS(AO929:AO970,B929:B970,B950-36)+in_accident_renew^4*SUMIFS(AO929:AO970,B929:B970,B950-48))</f>
        <v/>
      </c>
      <c r="AQ950" s="40">
        <f>AQ949*(1-IF(B949&gt;=in_marketplace_from,d_hz_two_wheeler*G949,0))</f>
        <v/>
      </c>
      <c r="AR950" s="46">
        <f>AQ950*IF(B950&gt;=in_marketplace_from,d_hz_two_wheeler*G950,0)</f>
        <v/>
      </c>
      <c r="AS950" s="14">
        <f>F950*AR950*in_two_wheeler_ticket*in_two_wheeler_comm*in_ins_partner_share+F950*in_two_wheeler_ticket*in_two_wheeler_comm*in_ins_partner_share*(in_two_wheeler_renew^1*SUMIFS(AR929:AR970,B929:B970,B950-12)+in_two_wheeler_renew^2*SUMIFS(AR929:AR970,B929:B970,B950-24)+in_two_wheeler_renew^3*SUMIFS(AR929:AR970,B929:B970,B950-36)+in_two_wheeler_renew^4*SUMIFS(AR929:AR970,B929:B970,B950-48))</f>
        <v/>
      </c>
      <c r="AT950" s="40">
        <f>AT949*(1-IF(B949&gt;=in_marketplace_from,d_hz_device*G949,0))</f>
        <v/>
      </c>
      <c r="AU950" s="14">
        <f>F950*AT950*IF(B950&gt;=in_marketplace_from,d_hz_device*G950,0)*in_device_ticket*in_device_comm*in_ins_partner_share</f>
        <v/>
      </c>
      <c r="AV950" s="40">
        <f>AV949*(1-IF(B949&gt;=in_marketplace_from,d_hz_shop*G949,0))</f>
        <v/>
      </c>
      <c r="AW950" s="46">
        <f>AV950*IF(B950&gt;=in_marketplace_from,d_hz_shop*G950,0)</f>
        <v/>
      </c>
      <c r="AX950" s="14">
        <f>F950*AW950*in_shop_ticket*in_shop_comm*in_ins_partner_share+F950*in_shop_ticket*in_shop_renew_comm*in_ins_partner_share*(in_shop_renew^1*SUMIFS(AW929:AW970,B929:B970,B950-12)+in_shop_renew^2*SUMIFS(AW929:AW970,B929:B970,B950-24)+in_shop_renew^3*SUMIFS(AW929:AW970,B929:B970,B950-36)+in_shop_renew^4*SUMIFS(AW929:AW970,B929:B970,B950-48))</f>
        <v/>
      </c>
      <c r="AY950" s="40">
        <f>AY949*(1-IF(B949&gt;=in_marketplace_from,d_hz_sip*G949,0))</f>
        <v/>
      </c>
      <c r="AZ950" s="40">
        <f>AZ949*d_rho_sip+AY950*IF(B950&gt;=in_marketplace_from,d_hz_sip*G950,0)</f>
        <v/>
      </c>
      <c r="BA950" s="40">
        <f>d_rho_sip*(BA949+AZ949)</f>
        <v/>
      </c>
      <c r="BB950" s="14">
        <f>F950*in_sip_ticket*(BA950+0.5*AZ950)*in_sip_comm/12</f>
        <v/>
      </c>
      <c r="BC950" s="40">
        <f>BC949*(1-IF(B949&gt;=in_marketplace_from,d_hz_choti*G949,0))</f>
        <v/>
      </c>
      <c r="BD950" s="46">
        <f>BC950*IF(B950&gt;=in_marketplace_from,d_hz_choti*G950,0)</f>
        <v/>
      </c>
      <c r="BE950" s="14">
        <f>F950*SUMIFS(BD929:BD970,B929:B970,B950-in_choti_months)*in_choti_renew*in_choti_ticket</f>
        <v/>
      </c>
      <c r="BF950" s="40">
        <f>BF949*(1-IF(B949&gt;=in_marketplace_from,d_hz_nps*G949,0))</f>
        <v/>
      </c>
      <c r="BG950" s="14">
        <f>F950*BF950*IF(B950&gt;=in_marketplace_from,d_hz_nps*G950,0)*in_nps_ticket*in_nps_comm</f>
        <v/>
      </c>
      <c r="BH950" s="40">
        <f>BH949*(1-IF(B949&gt;=in_marketplace_from,d_hz_gold*G949,0))</f>
        <v/>
      </c>
      <c r="BI950" s="40">
        <f>BI949*d_rho_gold+BH950*IF(B950&gt;=in_marketplace_from,d_hz_gold*G950,0)</f>
        <v/>
      </c>
      <c r="BJ950" s="14">
        <f>F950*BI950*in_gold_ticket*in_gold_comm</f>
        <v/>
      </c>
      <c r="BK950" s="40">
        <f>BK949*(1-IF(B949&gt;=in_marketplace_from,d_hz_fd*G949,0))</f>
        <v/>
      </c>
      <c r="BL950" s="14">
        <f>F950*BK950*IF(B950&gt;=in_marketplace_from,d_hz_fd*G950,0)*in_fd_ticket*in_fd_comm</f>
        <v/>
      </c>
      <c r="BM950" s="40">
        <f>BM949*(1-IF(B949&gt;=in_marketplace_from,d_hz_recharge*G949,0))</f>
        <v/>
      </c>
      <c r="BN950" s="40">
        <f>BN949*d_rho_recharge+BM950*IF(B950&gt;=in_marketplace_from,d_hz_recharge*G950,0)</f>
        <v/>
      </c>
      <c r="BO950" s="14">
        <f>F950*BN950*in_recharge_ticket*in_recharge_comm/12</f>
        <v/>
      </c>
      <c r="BP950" s="40">
        <f>BP949*(1-IF(B949&gt;=in_marketplace_from,d_hz_bills*G949,0))</f>
        <v/>
      </c>
      <c r="BQ950" s="40">
        <f>BQ949*d_rho_bills+BP950*IF(B950&gt;=in_marketplace_from,d_hz_bills*G950,0)</f>
        <v/>
      </c>
      <c r="BR950" s="14">
        <f>F950*BQ950*in_bills_ticket*in_bills_comm/12</f>
        <v/>
      </c>
      <c r="BS950" s="40">
        <f>BS949*(1-IF(B949&gt;=in_marketplace_from,d_hz_loan_gold*G949,0))</f>
        <v/>
      </c>
      <c r="BT950" s="14">
        <f>F950*BS950*IF(B950&gt;=in_marketplace_from,d_hz_loan_gold*G950,0)*in_loan_gold_ticket*in_loan_gold_comm</f>
        <v/>
      </c>
      <c r="BU950" s="40">
        <f>BU949*(1-IF(B949&gt;=in_marketplace_from,d_hz_loan_cd*G949,0))</f>
        <v/>
      </c>
      <c r="BV950" s="14">
        <f>F950*BU950*IF(B950&gt;=in_marketplace_from,d_hz_loan_cd*G950,0)*in_loan_cd_ticket*in_loan_cd_comm</f>
        <v/>
      </c>
      <c r="BW950" s="40">
        <f>BW949*(1-IF(B949&gt;=in_marketplace_from,d_hz_loan_vehicle*G949,0))</f>
        <v/>
      </c>
      <c r="BX950" s="14">
        <f>F950*BW950*IF(B950&gt;=in_marketplace_from,d_hz_loan_vehicle*G950,0)*in_loan_vehicle_ticket*in_loan_vehicle_comm</f>
        <v/>
      </c>
      <c r="BY950" s="40">
        <f>BY949*(1-IF(B949&gt;=in_marketplace_from,d_hz_loan_home*G949,0)*BZ949)</f>
        <v/>
      </c>
      <c r="BZ950" s="11">
        <f>MIN(in_approval_cap,in_loan_home_approval*INDEX('Age profile'!$O$2:$O$61,B950)*(1+in_approval_growth)^(D950-1))</f>
        <v/>
      </c>
      <c r="CA950" s="14">
        <f>F950*BY950*IF(B950&gt;=in_marketplace_from,d_hz_loan_home*G950,0)*BZ950*in_loan_home_ticket*in_loan_home_comm</f>
        <v/>
      </c>
      <c r="CB950" s="40">
        <f>CB949*(1-IF(B949&gt;=in_marketplace_from,d_hz_loan_lap*G949,0)*CC949)</f>
        <v/>
      </c>
      <c r="CC950" s="11">
        <f>MIN(in_approval_cap,in_loan_lap_approval*INDEX('Age profile'!$O$2:$O$61,B950)*(1+in_approval_growth)^(D950-1))</f>
        <v/>
      </c>
      <c r="CD950" s="14">
        <f>F950*CB950*IF(B950&gt;=in_marketplace_from,d_hz_loan_lap*G950,0)*CC950*in_loan_lap_ticket*in_loan_lap_comm</f>
        <v/>
      </c>
      <c r="CE950" s="14">
        <f>AA950+AB950+AC950+AD950+AG950+AJ950+AM950+AP950+AS950+AU950+AX950+BB950+BE950+BG950+BJ950+BL950+BO950+BR950+BT950+BV950+BX950+CA950+CD950</f>
        <v/>
      </c>
    </row>
    <row r="951">
      <c r="A951" s="39" t="n">
        <v>19</v>
      </c>
      <c r="B951" s="39" t="n">
        <v>23</v>
      </c>
      <c r="C951" s="39">
        <f>A951+B951-1</f>
        <v/>
      </c>
      <c r="D951" s="39">
        <f>INT((C951-1)/12)+1</f>
        <v/>
      </c>
      <c r="E951" s="44">
        <f>INDEX(Monthly!$B$2:$B$61,A951)</f>
        <v/>
      </c>
      <c r="F951" s="44">
        <f>E951*INDEX('Age profile'!$B$2:$B$61,B951)</f>
        <v/>
      </c>
      <c r="G951" s="45">
        <f>MIN(in_takeup_cap,INDEX('Age profile'!$N$2:$N$61,B951)*(1+in_takeup_growth)^(D951-1))</f>
        <v/>
      </c>
      <c r="H951" s="11">
        <f>MIN(in_approval_cap,in_approved_first*INDEX('Age profile'!$O$2:$O$61,B951)*(1+in_approval_growth)^(D951-1))</f>
        <v/>
      </c>
      <c r="I951" s="45">
        <f>G951*MIN(in_takeup_cap,INDEX('Age profile'!$O$2:$O$61,B951)*(1+in_approval_growth)^(D951-1))</f>
        <v/>
      </c>
      <c r="J951" s="40">
        <f>(J950-L950)*F951/F950</f>
        <v/>
      </c>
      <c r="K951" s="40">
        <f>(K950-M950)*F951/F950+SUMIFS(O929:O950,B929:B950,B951-1-d_T)*F951</f>
        <v/>
      </c>
      <c r="L951" s="40">
        <f>IF(B951&gt;=in_marketplace_from,J951*d_hz*G951*in_eligible*H951,0)</f>
        <v/>
      </c>
      <c r="M951" s="40">
        <f>IF(B951&gt;=in_marketplace_from,K951*d_hz*G951*in_eligible*in_approved_repeat,0)</f>
        <v/>
      </c>
      <c r="N951" s="40">
        <f>L951+M951</f>
        <v/>
      </c>
      <c r="O951" s="46">
        <f>N951/F951</f>
        <v/>
      </c>
      <c r="P951" s="40">
        <f>F951-J951-K951</f>
        <v/>
      </c>
      <c r="Q951" s="40">
        <f>IF(B951&gt;=in_marketplace_from,(J951+K951)*d_hz*G951,0)</f>
        <v/>
      </c>
      <c r="R951" s="40">
        <f>SUMIFS(N929:N970,B929:B970,"&gt;="&amp;(B951-d_T),B929:B970,"&lt;="&amp;(B951-1))</f>
        <v/>
      </c>
      <c r="S951" s="46">
        <f>(1-d_u)*S950+IF(d_T&gt;in_topup_lag,SUMIFS(O929:O970,B929:B970,B951-in_topup_lag)-d_udrop*SUMIFS(O929:O970,B929:B970,B951-d_T),0)</f>
        <v/>
      </c>
      <c r="T951" s="40">
        <f>F951*d_u*S951</f>
        <v/>
      </c>
      <c r="U951" s="9">
        <f>L951*in_ticket+M951*d_rep_ticket</f>
        <v/>
      </c>
      <c r="V951" s="9">
        <f>U951+T951*d_topup_amt</f>
        <v/>
      </c>
      <c r="W951" s="40">
        <f>N951+T951*d_topup_ratio</f>
        <v/>
      </c>
      <c r="X951" s="40">
        <f>SUMIFS(W929:W970,B929:B970,B951-in_dpd_lag)*d_cured</f>
        <v/>
      </c>
      <c r="Y951" s="40">
        <f>SUMIFS(W929:W970,B929:B970,B951-in_rec_lag)*d_recd</f>
        <v/>
      </c>
      <c r="Z951" s="40">
        <f>IF(AND(B951&gt;=in_marketplace_from,B951&lt;in_marketplace_from+in_card_months),in_card_share/in_card_months*F951*I951,IF(AND(B951&gt;=in_marketplace_from+in_card_months,B951&lt;in_marketplace_from+2*in_card_months),in_card_share*d_card_rem/in_card_months*F951*MIN(in_takeup_cap,(1+in_takeup_growth)^(D951-1))*MIN(in_takeup_cap,(1+in_approval_growth)^(D951-1)),0))</f>
        <v/>
      </c>
      <c r="AA951" s="14">
        <f>V951*in_fee*(1-in_taken_back)</f>
        <v/>
      </c>
      <c r="AB951" s="14">
        <f>SUMIFS(W929:W970,B929:B970,B951-in_dpd_lag)*d_dpd</f>
        <v/>
      </c>
      <c r="AC951" s="14">
        <f>SUMIFS(W929:W970,B929:B970,B951-in_rec_lag)*d_rec</f>
        <v/>
      </c>
      <c r="AD951" s="14">
        <f>Z951*in_card_fee</f>
        <v/>
      </c>
      <c r="AE951" s="40">
        <f>AE950*(1-IF(B950&gt;=in_marketplace_from,d_hz_hlth_small*G950,0))</f>
        <v/>
      </c>
      <c r="AF951" s="46">
        <f>AE951*IF(B951&gt;=in_marketplace_from,d_hz_hlth_small*G951,0)</f>
        <v/>
      </c>
      <c r="AG951" s="14">
        <f>F951*AF951*in_hlth_small_ticket*in_hlth_small_comm*in_ins_partner_share+F951*in_hlth_small_ticket*in_hlth_small_renew_comm*in_ins_partner_share*(in_hlth_small_renew^1*SUMIFS(AF929:AF970,B929:B970,B951-12)+in_hlth_small_renew^2*SUMIFS(AF929:AF970,B929:B970,B951-24)+in_hlth_small_renew^3*SUMIFS(AF929:AF970,B929:B970,B951-36)+in_hlth_small_renew^4*SUMIFS(AF929:AF970,B929:B970,B951-48))</f>
        <v/>
      </c>
      <c r="AH951" s="40">
        <f>AH950*(1-IF(B950&gt;=in_marketplace_from,d_hz_hlth_family*G950,0))</f>
        <v/>
      </c>
      <c r="AI951" s="46">
        <f>AH951*IF(B951&gt;=in_marketplace_from,d_hz_hlth_family*G951,0)</f>
        <v/>
      </c>
      <c r="AJ951" s="14">
        <f>F951*AI951*in_hlth_family_ticket*in_hlth_family_comm*in_ins_partner_share+F951*in_hlth_family_ticket*in_hlth_family_renew_comm*in_ins_partner_share*(in_hlth_family_renew^1*SUMIFS(AI929:AI970,B929:B970,B951-12)+in_hlth_family_renew^2*SUMIFS(AI929:AI970,B929:B970,B951-24)+in_hlth_family_renew^3*SUMIFS(AI929:AI970,B929:B970,B951-36)+in_hlth_family_renew^4*SUMIFS(AI929:AI970,B929:B970,B951-48))</f>
        <v/>
      </c>
      <c r="AK951" s="40">
        <f>AK950*(1-IF(B950&gt;=in_marketplace_from,d_hz_life_term*G950,0))</f>
        <v/>
      </c>
      <c r="AL951" s="46">
        <f>AK951*IF(B951&gt;=in_marketplace_from,d_hz_life_term*G951,0)</f>
        <v/>
      </c>
      <c r="AM951" s="14">
        <f>F951*AL951*in_life_term_ticket*in_life_term_comm*in_ins_partner_share+F951*in_life_term_ticket*in_life_term_renew_comm*in_ins_partner_share*(in_life_term_renew^1*SUMIFS(AL929:AL970,B929:B970,B951-12)+in_life_term_renew^2*SUMIFS(AL929:AL970,B929:B970,B951-24)+in_life_term_renew^3*SUMIFS(AL929:AL970,B929:B970,B951-36)+in_life_term_renew^4*SUMIFS(AL929:AL970,B929:B970,B951-48))</f>
        <v/>
      </c>
      <c r="AN951" s="40">
        <f>AN950*(1-IF(B950&gt;=in_marketplace_from,d_hz_accident*G950,0))</f>
        <v/>
      </c>
      <c r="AO951" s="46">
        <f>AN951*IF(B951&gt;=in_marketplace_from,d_hz_accident*G951,0)</f>
        <v/>
      </c>
      <c r="AP951" s="14">
        <f>F951*AO951*in_accident_ticket*in_accident_comm*in_ins_partner_share+F951*in_accident_ticket*in_accident_renew_comm*in_ins_partner_share*(in_accident_renew^1*SUMIFS(AO929:AO970,B929:B970,B951-12)+in_accident_renew^2*SUMIFS(AO929:AO970,B929:B970,B951-24)+in_accident_renew^3*SUMIFS(AO929:AO970,B929:B970,B951-36)+in_accident_renew^4*SUMIFS(AO929:AO970,B929:B970,B951-48))</f>
        <v/>
      </c>
      <c r="AQ951" s="40">
        <f>AQ950*(1-IF(B950&gt;=in_marketplace_from,d_hz_two_wheeler*G950,0))</f>
        <v/>
      </c>
      <c r="AR951" s="46">
        <f>AQ951*IF(B951&gt;=in_marketplace_from,d_hz_two_wheeler*G951,0)</f>
        <v/>
      </c>
      <c r="AS951" s="14">
        <f>F951*AR951*in_two_wheeler_ticket*in_two_wheeler_comm*in_ins_partner_share+F951*in_two_wheeler_ticket*in_two_wheeler_comm*in_ins_partner_share*(in_two_wheeler_renew^1*SUMIFS(AR929:AR970,B929:B970,B951-12)+in_two_wheeler_renew^2*SUMIFS(AR929:AR970,B929:B970,B951-24)+in_two_wheeler_renew^3*SUMIFS(AR929:AR970,B929:B970,B951-36)+in_two_wheeler_renew^4*SUMIFS(AR929:AR970,B929:B970,B951-48))</f>
        <v/>
      </c>
      <c r="AT951" s="40">
        <f>AT950*(1-IF(B950&gt;=in_marketplace_from,d_hz_device*G950,0))</f>
        <v/>
      </c>
      <c r="AU951" s="14">
        <f>F951*AT951*IF(B951&gt;=in_marketplace_from,d_hz_device*G951,0)*in_device_ticket*in_device_comm*in_ins_partner_share</f>
        <v/>
      </c>
      <c r="AV951" s="40">
        <f>AV950*(1-IF(B950&gt;=in_marketplace_from,d_hz_shop*G950,0))</f>
        <v/>
      </c>
      <c r="AW951" s="46">
        <f>AV951*IF(B951&gt;=in_marketplace_from,d_hz_shop*G951,0)</f>
        <v/>
      </c>
      <c r="AX951" s="14">
        <f>F951*AW951*in_shop_ticket*in_shop_comm*in_ins_partner_share+F951*in_shop_ticket*in_shop_renew_comm*in_ins_partner_share*(in_shop_renew^1*SUMIFS(AW929:AW970,B929:B970,B951-12)+in_shop_renew^2*SUMIFS(AW929:AW970,B929:B970,B951-24)+in_shop_renew^3*SUMIFS(AW929:AW970,B929:B970,B951-36)+in_shop_renew^4*SUMIFS(AW929:AW970,B929:B970,B951-48))</f>
        <v/>
      </c>
      <c r="AY951" s="40">
        <f>AY950*(1-IF(B950&gt;=in_marketplace_from,d_hz_sip*G950,0))</f>
        <v/>
      </c>
      <c r="AZ951" s="40">
        <f>AZ950*d_rho_sip+AY951*IF(B951&gt;=in_marketplace_from,d_hz_sip*G951,0)</f>
        <v/>
      </c>
      <c r="BA951" s="40">
        <f>d_rho_sip*(BA950+AZ950)</f>
        <v/>
      </c>
      <c r="BB951" s="14">
        <f>F951*in_sip_ticket*(BA951+0.5*AZ951)*in_sip_comm/12</f>
        <v/>
      </c>
      <c r="BC951" s="40">
        <f>BC950*(1-IF(B950&gt;=in_marketplace_from,d_hz_choti*G950,0))</f>
        <v/>
      </c>
      <c r="BD951" s="46">
        <f>BC951*IF(B951&gt;=in_marketplace_from,d_hz_choti*G951,0)</f>
        <v/>
      </c>
      <c r="BE951" s="14">
        <f>F951*SUMIFS(BD929:BD970,B929:B970,B951-in_choti_months)*in_choti_renew*in_choti_ticket</f>
        <v/>
      </c>
      <c r="BF951" s="40">
        <f>BF950*(1-IF(B950&gt;=in_marketplace_from,d_hz_nps*G950,0))</f>
        <v/>
      </c>
      <c r="BG951" s="14">
        <f>F951*BF951*IF(B951&gt;=in_marketplace_from,d_hz_nps*G951,0)*in_nps_ticket*in_nps_comm</f>
        <v/>
      </c>
      <c r="BH951" s="40">
        <f>BH950*(1-IF(B950&gt;=in_marketplace_from,d_hz_gold*G950,0))</f>
        <v/>
      </c>
      <c r="BI951" s="40">
        <f>BI950*d_rho_gold+BH951*IF(B951&gt;=in_marketplace_from,d_hz_gold*G951,0)</f>
        <v/>
      </c>
      <c r="BJ951" s="14">
        <f>F951*BI951*in_gold_ticket*in_gold_comm</f>
        <v/>
      </c>
      <c r="BK951" s="40">
        <f>BK950*(1-IF(B950&gt;=in_marketplace_from,d_hz_fd*G950,0))</f>
        <v/>
      </c>
      <c r="BL951" s="14">
        <f>F951*BK951*IF(B951&gt;=in_marketplace_from,d_hz_fd*G951,0)*in_fd_ticket*in_fd_comm</f>
        <v/>
      </c>
      <c r="BM951" s="40">
        <f>BM950*(1-IF(B950&gt;=in_marketplace_from,d_hz_recharge*G950,0))</f>
        <v/>
      </c>
      <c r="BN951" s="40">
        <f>BN950*d_rho_recharge+BM951*IF(B951&gt;=in_marketplace_from,d_hz_recharge*G951,0)</f>
        <v/>
      </c>
      <c r="BO951" s="14">
        <f>F951*BN951*in_recharge_ticket*in_recharge_comm/12</f>
        <v/>
      </c>
      <c r="BP951" s="40">
        <f>BP950*(1-IF(B950&gt;=in_marketplace_from,d_hz_bills*G950,0))</f>
        <v/>
      </c>
      <c r="BQ951" s="40">
        <f>BQ950*d_rho_bills+BP951*IF(B951&gt;=in_marketplace_from,d_hz_bills*G951,0)</f>
        <v/>
      </c>
      <c r="BR951" s="14">
        <f>F951*BQ951*in_bills_ticket*in_bills_comm/12</f>
        <v/>
      </c>
      <c r="BS951" s="40">
        <f>BS950*(1-IF(B950&gt;=in_marketplace_from,d_hz_loan_gold*G950,0))</f>
        <v/>
      </c>
      <c r="BT951" s="14">
        <f>F951*BS951*IF(B951&gt;=in_marketplace_from,d_hz_loan_gold*G951,0)*in_loan_gold_ticket*in_loan_gold_comm</f>
        <v/>
      </c>
      <c r="BU951" s="40">
        <f>BU950*(1-IF(B950&gt;=in_marketplace_from,d_hz_loan_cd*G950,0))</f>
        <v/>
      </c>
      <c r="BV951" s="14">
        <f>F951*BU951*IF(B951&gt;=in_marketplace_from,d_hz_loan_cd*G951,0)*in_loan_cd_ticket*in_loan_cd_comm</f>
        <v/>
      </c>
      <c r="BW951" s="40">
        <f>BW950*(1-IF(B950&gt;=in_marketplace_from,d_hz_loan_vehicle*G950,0))</f>
        <v/>
      </c>
      <c r="BX951" s="14">
        <f>F951*BW951*IF(B951&gt;=in_marketplace_from,d_hz_loan_vehicle*G951,0)*in_loan_vehicle_ticket*in_loan_vehicle_comm</f>
        <v/>
      </c>
      <c r="BY951" s="40">
        <f>BY950*(1-IF(B950&gt;=in_marketplace_from,d_hz_loan_home*G950,0)*BZ950)</f>
        <v/>
      </c>
      <c r="BZ951" s="11">
        <f>MIN(in_approval_cap,in_loan_home_approval*INDEX('Age profile'!$O$2:$O$61,B951)*(1+in_approval_growth)^(D951-1))</f>
        <v/>
      </c>
      <c r="CA951" s="14">
        <f>F951*BY951*IF(B951&gt;=in_marketplace_from,d_hz_loan_home*G951,0)*BZ951*in_loan_home_ticket*in_loan_home_comm</f>
        <v/>
      </c>
      <c r="CB951" s="40">
        <f>CB950*(1-IF(B950&gt;=in_marketplace_from,d_hz_loan_lap*G950,0)*CC950)</f>
        <v/>
      </c>
      <c r="CC951" s="11">
        <f>MIN(in_approval_cap,in_loan_lap_approval*INDEX('Age profile'!$O$2:$O$61,B951)*(1+in_approval_growth)^(D951-1))</f>
        <v/>
      </c>
      <c r="CD951" s="14">
        <f>F951*CB951*IF(B951&gt;=in_marketplace_from,d_hz_loan_lap*G951,0)*CC951*in_loan_lap_ticket*in_loan_lap_comm</f>
        <v/>
      </c>
      <c r="CE951" s="14">
        <f>AA951+AB951+AC951+AD951+AG951+AJ951+AM951+AP951+AS951+AU951+AX951+BB951+BE951+BG951+BJ951+BL951+BO951+BR951+BT951+BV951+BX951+CA951+CD951</f>
        <v/>
      </c>
    </row>
    <row r="952">
      <c r="A952" s="39" t="n">
        <v>19</v>
      </c>
      <c r="B952" s="39" t="n">
        <v>24</v>
      </c>
      <c r="C952" s="39">
        <f>A952+B952-1</f>
        <v/>
      </c>
      <c r="D952" s="39">
        <f>INT((C952-1)/12)+1</f>
        <v/>
      </c>
      <c r="E952" s="44">
        <f>INDEX(Monthly!$B$2:$B$61,A952)</f>
        <v/>
      </c>
      <c r="F952" s="44">
        <f>E952*INDEX('Age profile'!$B$2:$B$61,B952)</f>
        <v/>
      </c>
      <c r="G952" s="45">
        <f>MIN(in_takeup_cap,INDEX('Age profile'!$N$2:$N$61,B952)*(1+in_takeup_growth)^(D952-1))</f>
        <v/>
      </c>
      <c r="H952" s="11">
        <f>MIN(in_approval_cap,in_approved_first*INDEX('Age profile'!$O$2:$O$61,B952)*(1+in_approval_growth)^(D952-1))</f>
        <v/>
      </c>
      <c r="I952" s="45">
        <f>G952*MIN(in_takeup_cap,INDEX('Age profile'!$O$2:$O$61,B952)*(1+in_approval_growth)^(D952-1))</f>
        <v/>
      </c>
      <c r="J952" s="40">
        <f>(J951-L951)*F952/F951</f>
        <v/>
      </c>
      <c r="K952" s="40">
        <f>(K951-M951)*F952/F951+SUMIFS(O929:O951,B929:B951,B952-1-d_T)*F952</f>
        <v/>
      </c>
      <c r="L952" s="40">
        <f>IF(B952&gt;=in_marketplace_from,J952*d_hz*G952*in_eligible*H952,0)</f>
        <v/>
      </c>
      <c r="M952" s="40">
        <f>IF(B952&gt;=in_marketplace_from,K952*d_hz*G952*in_eligible*in_approved_repeat,0)</f>
        <v/>
      </c>
      <c r="N952" s="40">
        <f>L952+M952</f>
        <v/>
      </c>
      <c r="O952" s="46">
        <f>N952/F952</f>
        <v/>
      </c>
      <c r="P952" s="40">
        <f>F952-J952-K952</f>
        <v/>
      </c>
      <c r="Q952" s="40">
        <f>IF(B952&gt;=in_marketplace_from,(J952+K952)*d_hz*G952,0)</f>
        <v/>
      </c>
      <c r="R952" s="40">
        <f>SUMIFS(N929:N970,B929:B970,"&gt;="&amp;(B952-d_T),B929:B970,"&lt;="&amp;(B952-1))</f>
        <v/>
      </c>
      <c r="S952" s="46">
        <f>(1-d_u)*S951+IF(d_T&gt;in_topup_lag,SUMIFS(O929:O970,B929:B970,B952-in_topup_lag)-d_udrop*SUMIFS(O929:O970,B929:B970,B952-d_T),0)</f>
        <v/>
      </c>
      <c r="T952" s="40">
        <f>F952*d_u*S952</f>
        <v/>
      </c>
      <c r="U952" s="9">
        <f>L952*in_ticket+M952*d_rep_ticket</f>
        <v/>
      </c>
      <c r="V952" s="9">
        <f>U952+T952*d_topup_amt</f>
        <v/>
      </c>
      <c r="W952" s="40">
        <f>N952+T952*d_topup_ratio</f>
        <v/>
      </c>
      <c r="X952" s="40">
        <f>SUMIFS(W929:W970,B929:B970,B952-in_dpd_lag)*d_cured</f>
        <v/>
      </c>
      <c r="Y952" s="40">
        <f>SUMIFS(W929:W970,B929:B970,B952-in_rec_lag)*d_recd</f>
        <v/>
      </c>
      <c r="Z952" s="40">
        <f>IF(AND(B952&gt;=in_marketplace_from,B952&lt;in_marketplace_from+in_card_months),in_card_share/in_card_months*F952*I952,IF(AND(B952&gt;=in_marketplace_from+in_card_months,B952&lt;in_marketplace_from+2*in_card_months),in_card_share*d_card_rem/in_card_months*F952*MIN(in_takeup_cap,(1+in_takeup_growth)^(D952-1))*MIN(in_takeup_cap,(1+in_approval_growth)^(D952-1)),0))</f>
        <v/>
      </c>
      <c r="AA952" s="14">
        <f>V952*in_fee*(1-in_taken_back)</f>
        <v/>
      </c>
      <c r="AB952" s="14">
        <f>SUMIFS(W929:W970,B929:B970,B952-in_dpd_lag)*d_dpd</f>
        <v/>
      </c>
      <c r="AC952" s="14">
        <f>SUMIFS(W929:W970,B929:B970,B952-in_rec_lag)*d_rec</f>
        <v/>
      </c>
      <c r="AD952" s="14">
        <f>Z952*in_card_fee</f>
        <v/>
      </c>
      <c r="AE952" s="40">
        <f>AE951*(1-IF(B951&gt;=in_marketplace_from,d_hz_hlth_small*G951,0))</f>
        <v/>
      </c>
      <c r="AF952" s="46">
        <f>AE952*IF(B952&gt;=in_marketplace_from,d_hz_hlth_small*G952,0)</f>
        <v/>
      </c>
      <c r="AG952" s="14">
        <f>F952*AF952*in_hlth_small_ticket*in_hlth_small_comm*in_ins_partner_share+F952*in_hlth_small_ticket*in_hlth_small_renew_comm*in_ins_partner_share*(in_hlth_small_renew^1*SUMIFS(AF929:AF970,B929:B970,B952-12)+in_hlth_small_renew^2*SUMIFS(AF929:AF970,B929:B970,B952-24)+in_hlth_small_renew^3*SUMIFS(AF929:AF970,B929:B970,B952-36)+in_hlth_small_renew^4*SUMIFS(AF929:AF970,B929:B970,B952-48))</f>
        <v/>
      </c>
      <c r="AH952" s="40">
        <f>AH951*(1-IF(B951&gt;=in_marketplace_from,d_hz_hlth_family*G951,0))</f>
        <v/>
      </c>
      <c r="AI952" s="46">
        <f>AH952*IF(B952&gt;=in_marketplace_from,d_hz_hlth_family*G952,0)</f>
        <v/>
      </c>
      <c r="AJ952" s="14">
        <f>F952*AI952*in_hlth_family_ticket*in_hlth_family_comm*in_ins_partner_share+F952*in_hlth_family_ticket*in_hlth_family_renew_comm*in_ins_partner_share*(in_hlth_family_renew^1*SUMIFS(AI929:AI970,B929:B970,B952-12)+in_hlth_family_renew^2*SUMIFS(AI929:AI970,B929:B970,B952-24)+in_hlth_family_renew^3*SUMIFS(AI929:AI970,B929:B970,B952-36)+in_hlth_family_renew^4*SUMIFS(AI929:AI970,B929:B970,B952-48))</f>
        <v/>
      </c>
      <c r="AK952" s="40">
        <f>AK951*(1-IF(B951&gt;=in_marketplace_from,d_hz_life_term*G951,0))</f>
        <v/>
      </c>
      <c r="AL952" s="46">
        <f>AK952*IF(B952&gt;=in_marketplace_from,d_hz_life_term*G952,0)</f>
        <v/>
      </c>
      <c r="AM952" s="14">
        <f>F952*AL952*in_life_term_ticket*in_life_term_comm*in_ins_partner_share+F952*in_life_term_ticket*in_life_term_renew_comm*in_ins_partner_share*(in_life_term_renew^1*SUMIFS(AL929:AL970,B929:B970,B952-12)+in_life_term_renew^2*SUMIFS(AL929:AL970,B929:B970,B952-24)+in_life_term_renew^3*SUMIFS(AL929:AL970,B929:B970,B952-36)+in_life_term_renew^4*SUMIFS(AL929:AL970,B929:B970,B952-48))</f>
        <v/>
      </c>
      <c r="AN952" s="40">
        <f>AN951*(1-IF(B951&gt;=in_marketplace_from,d_hz_accident*G951,0))</f>
        <v/>
      </c>
      <c r="AO952" s="46">
        <f>AN952*IF(B952&gt;=in_marketplace_from,d_hz_accident*G952,0)</f>
        <v/>
      </c>
      <c r="AP952" s="14">
        <f>F952*AO952*in_accident_ticket*in_accident_comm*in_ins_partner_share+F952*in_accident_ticket*in_accident_renew_comm*in_ins_partner_share*(in_accident_renew^1*SUMIFS(AO929:AO970,B929:B970,B952-12)+in_accident_renew^2*SUMIFS(AO929:AO970,B929:B970,B952-24)+in_accident_renew^3*SUMIFS(AO929:AO970,B929:B970,B952-36)+in_accident_renew^4*SUMIFS(AO929:AO970,B929:B970,B952-48))</f>
        <v/>
      </c>
      <c r="AQ952" s="40">
        <f>AQ951*(1-IF(B951&gt;=in_marketplace_from,d_hz_two_wheeler*G951,0))</f>
        <v/>
      </c>
      <c r="AR952" s="46">
        <f>AQ952*IF(B952&gt;=in_marketplace_from,d_hz_two_wheeler*G952,0)</f>
        <v/>
      </c>
      <c r="AS952" s="14">
        <f>F952*AR952*in_two_wheeler_ticket*in_two_wheeler_comm*in_ins_partner_share+F952*in_two_wheeler_ticket*in_two_wheeler_comm*in_ins_partner_share*(in_two_wheeler_renew^1*SUMIFS(AR929:AR970,B929:B970,B952-12)+in_two_wheeler_renew^2*SUMIFS(AR929:AR970,B929:B970,B952-24)+in_two_wheeler_renew^3*SUMIFS(AR929:AR970,B929:B970,B952-36)+in_two_wheeler_renew^4*SUMIFS(AR929:AR970,B929:B970,B952-48))</f>
        <v/>
      </c>
      <c r="AT952" s="40">
        <f>AT951*(1-IF(B951&gt;=in_marketplace_from,d_hz_device*G951,0))</f>
        <v/>
      </c>
      <c r="AU952" s="14">
        <f>F952*AT952*IF(B952&gt;=in_marketplace_from,d_hz_device*G952,0)*in_device_ticket*in_device_comm*in_ins_partner_share</f>
        <v/>
      </c>
      <c r="AV952" s="40">
        <f>AV951*(1-IF(B951&gt;=in_marketplace_from,d_hz_shop*G951,0))</f>
        <v/>
      </c>
      <c r="AW952" s="46">
        <f>AV952*IF(B952&gt;=in_marketplace_from,d_hz_shop*G952,0)</f>
        <v/>
      </c>
      <c r="AX952" s="14">
        <f>F952*AW952*in_shop_ticket*in_shop_comm*in_ins_partner_share+F952*in_shop_ticket*in_shop_renew_comm*in_ins_partner_share*(in_shop_renew^1*SUMIFS(AW929:AW970,B929:B970,B952-12)+in_shop_renew^2*SUMIFS(AW929:AW970,B929:B970,B952-24)+in_shop_renew^3*SUMIFS(AW929:AW970,B929:B970,B952-36)+in_shop_renew^4*SUMIFS(AW929:AW970,B929:B970,B952-48))</f>
        <v/>
      </c>
      <c r="AY952" s="40">
        <f>AY951*(1-IF(B951&gt;=in_marketplace_from,d_hz_sip*G951,0))</f>
        <v/>
      </c>
      <c r="AZ952" s="40">
        <f>AZ951*d_rho_sip+AY952*IF(B952&gt;=in_marketplace_from,d_hz_sip*G952,0)</f>
        <v/>
      </c>
      <c r="BA952" s="40">
        <f>d_rho_sip*(BA951+AZ951)</f>
        <v/>
      </c>
      <c r="BB952" s="14">
        <f>F952*in_sip_ticket*(BA952+0.5*AZ952)*in_sip_comm/12</f>
        <v/>
      </c>
      <c r="BC952" s="40">
        <f>BC951*(1-IF(B951&gt;=in_marketplace_from,d_hz_choti*G951,0))</f>
        <v/>
      </c>
      <c r="BD952" s="46">
        <f>BC952*IF(B952&gt;=in_marketplace_from,d_hz_choti*G952,0)</f>
        <v/>
      </c>
      <c r="BE952" s="14">
        <f>F952*SUMIFS(BD929:BD970,B929:B970,B952-in_choti_months)*in_choti_renew*in_choti_ticket</f>
        <v/>
      </c>
      <c r="BF952" s="40">
        <f>BF951*(1-IF(B951&gt;=in_marketplace_from,d_hz_nps*G951,0))</f>
        <v/>
      </c>
      <c r="BG952" s="14">
        <f>F952*BF952*IF(B952&gt;=in_marketplace_from,d_hz_nps*G952,0)*in_nps_ticket*in_nps_comm</f>
        <v/>
      </c>
      <c r="BH952" s="40">
        <f>BH951*(1-IF(B951&gt;=in_marketplace_from,d_hz_gold*G951,0))</f>
        <v/>
      </c>
      <c r="BI952" s="40">
        <f>BI951*d_rho_gold+BH952*IF(B952&gt;=in_marketplace_from,d_hz_gold*G952,0)</f>
        <v/>
      </c>
      <c r="BJ952" s="14">
        <f>F952*BI952*in_gold_ticket*in_gold_comm</f>
        <v/>
      </c>
      <c r="BK952" s="40">
        <f>BK951*(1-IF(B951&gt;=in_marketplace_from,d_hz_fd*G951,0))</f>
        <v/>
      </c>
      <c r="BL952" s="14">
        <f>F952*BK952*IF(B952&gt;=in_marketplace_from,d_hz_fd*G952,0)*in_fd_ticket*in_fd_comm</f>
        <v/>
      </c>
      <c r="BM952" s="40">
        <f>BM951*(1-IF(B951&gt;=in_marketplace_from,d_hz_recharge*G951,0))</f>
        <v/>
      </c>
      <c r="BN952" s="40">
        <f>BN951*d_rho_recharge+BM952*IF(B952&gt;=in_marketplace_from,d_hz_recharge*G952,0)</f>
        <v/>
      </c>
      <c r="BO952" s="14">
        <f>F952*BN952*in_recharge_ticket*in_recharge_comm/12</f>
        <v/>
      </c>
      <c r="BP952" s="40">
        <f>BP951*(1-IF(B951&gt;=in_marketplace_from,d_hz_bills*G951,0))</f>
        <v/>
      </c>
      <c r="BQ952" s="40">
        <f>BQ951*d_rho_bills+BP952*IF(B952&gt;=in_marketplace_from,d_hz_bills*G952,0)</f>
        <v/>
      </c>
      <c r="BR952" s="14">
        <f>F952*BQ952*in_bills_ticket*in_bills_comm/12</f>
        <v/>
      </c>
      <c r="BS952" s="40">
        <f>BS951*(1-IF(B951&gt;=in_marketplace_from,d_hz_loan_gold*G951,0))</f>
        <v/>
      </c>
      <c r="BT952" s="14">
        <f>F952*BS952*IF(B952&gt;=in_marketplace_from,d_hz_loan_gold*G952,0)*in_loan_gold_ticket*in_loan_gold_comm</f>
        <v/>
      </c>
      <c r="BU952" s="40">
        <f>BU951*(1-IF(B951&gt;=in_marketplace_from,d_hz_loan_cd*G951,0))</f>
        <v/>
      </c>
      <c r="BV952" s="14">
        <f>F952*BU952*IF(B952&gt;=in_marketplace_from,d_hz_loan_cd*G952,0)*in_loan_cd_ticket*in_loan_cd_comm</f>
        <v/>
      </c>
      <c r="BW952" s="40">
        <f>BW951*(1-IF(B951&gt;=in_marketplace_from,d_hz_loan_vehicle*G951,0))</f>
        <v/>
      </c>
      <c r="BX952" s="14">
        <f>F952*BW952*IF(B952&gt;=in_marketplace_from,d_hz_loan_vehicle*G952,0)*in_loan_vehicle_ticket*in_loan_vehicle_comm</f>
        <v/>
      </c>
      <c r="BY952" s="40">
        <f>BY951*(1-IF(B951&gt;=in_marketplace_from,d_hz_loan_home*G951,0)*BZ951)</f>
        <v/>
      </c>
      <c r="BZ952" s="11">
        <f>MIN(in_approval_cap,in_loan_home_approval*INDEX('Age profile'!$O$2:$O$61,B952)*(1+in_approval_growth)^(D952-1))</f>
        <v/>
      </c>
      <c r="CA952" s="14">
        <f>F952*BY952*IF(B952&gt;=in_marketplace_from,d_hz_loan_home*G952,0)*BZ952*in_loan_home_ticket*in_loan_home_comm</f>
        <v/>
      </c>
      <c r="CB952" s="40">
        <f>CB951*(1-IF(B951&gt;=in_marketplace_from,d_hz_loan_lap*G951,0)*CC951)</f>
        <v/>
      </c>
      <c r="CC952" s="11">
        <f>MIN(in_approval_cap,in_loan_lap_approval*INDEX('Age profile'!$O$2:$O$61,B952)*(1+in_approval_growth)^(D952-1))</f>
        <v/>
      </c>
      <c r="CD952" s="14">
        <f>F952*CB952*IF(B952&gt;=in_marketplace_from,d_hz_loan_lap*G952,0)*CC952*in_loan_lap_ticket*in_loan_lap_comm</f>
        <v/>
      </c>
      <c r="CE952" s="14">
        <f>AA952+AB952+AC952+AD952+AG952+AJ952+AM952+AP952+AS952+AU952+AX952+BB952+BE952+BG952+BJ952+BL952+BO952+BR952+BT952+BV952+BX952+CA952+CD952</f>
        <v/>
      </c>
    </row>
    <row r="953">
      <c r="A953" s="39" t="n">
        <v>19</v>
      </c>
      <c r="B953" s="39" t="n">
        <v>25</v>
      </c>
      <c r="C953" s="39">
        <f>A953+B953-1</f>
        <v/>
      </c>
      <c r="D953" s="39">
        <f>INT((C953-1)/12)+1</f>
        <v/>
      </c>
      <c r="E953" s="44">
        <f>INDEX(Monthly!$B$2:$B$61,A953)</f>
        <v/>
      </c>
      <c r="F953" s="44">
        <f>E953*INDEX('Age profile'!$B$2:$B$61,B953)</f>
        <v/>
      </c>
      <c r="G953" s="45">
        <f>MIN(in_takeup_cap,INDEX('Age profile'!$N$2:$N$61,B953)*(1+in_takeup_growth)^(D953-1))</f>
        <v/>
      </c>
      <c r="H953" s="11">
        <f>MIN(in_approval_cap,in_approved_first*INDEX('Age profile'!$O$2:$O$61,B953)*(1+in_approval_growth)^(D953-1))</f>
        <v/>
      </c>
      <c r="I953" s="45">
        <f>G953*MIN(in_takeup_cap,INDEX('Age profile'!$O$2:$O$61,B953)*(1+in_approval_growth)^(D953-1))</f>
        <v/>
      </c>
      <c r="J953" s="40">
        <f>(J952-L952)*F953/F952</f>
        <v/>
      </c>
      <c r="K953" s="40">
        <f>(K952-M952)*F953/F952+SUMIFS(O929:O952,B929:B952,B953-1-d_T)*F953</f>
        <v/>
      </c>
      <c r="L953" s="40">
        <f>IF(B953&gt;=in_marketplace_from,J953*d_hz*G953*in_eligible*H953,0)</f>
        <v/>
      </c>
      <c r="M953" s="40">
        <f>IF(B953&gt;=in_marketplace_from,K953*d_hz*G953*in_eligible*in_approved_repeat,0)</f>
        <v/>
      </c>
      <c r="N953" s="40">
        <f>L953+M953</f>
        <v/>
      </c>
      <c r="O953" s="46">
        <f>N953/F953</f>
        <v/>
      </c>
      <c r="P953" s="40">
        <f>F953-J953-K953</f>
        <v/>
      </c>
      <c r="Q953" s="40">
        <f>IF(B953&gt;=in_marketplace_from,(J953+K953)*d_hz*G953,0)</f>
        <v/>
      </c>
      <c r="R953" s="40">
        <f>SUMIFS(N929:N970,B929:B970,"&gt;="&amp;(B953-d_T),B929:B970,"&lt;="&amp;(B953-1))</f>
        <v/>
      </c>
      <c r="S953" s="46">
        <f>(1-d_u)*S952+IF(d_T&gt;in_topup_lag,SUMIFS(O929:O970,B929:B970,B953-in_topup_lag)-d_udrop*SUMIFS(O929:O970,B929:B970,B953-d_T),0)</f>
        <v/>
      </c>
      <c r="T953" s="40">
        <f>F953*d_u*S953</f>
        <v/>
      </c>
      <c r="U953" s="9">
        <f>L953*in_ticket+M953*d_rep_ticket</f>
        <v/>
      </c>
      <c r="V953" s="9">
        <f>U953+T953*d_topup_amt</f>
        <v/>
      </c>
      <c r="W953" s="40">
        <f>N953+T953*d_topup_ratio</f>
        <v/>
      </c>
      <c r="X953" s="40">
        <f>SUMIFS(W929:W970,B929:B970,B953-in_dpd_lag)*d_cured</f>
        <v/>
      </c>
      <c r="Y953" s="40">
        <f>SUMIFS(W929:W970,B929:B970,B953-in_rec_lag)*d_recd</f>
        <v/>
      </c>
      <c r="Z953" s="40">
        <f>IF(AND(B953&gt;=in_marketplace_from,B953&lt;in_marketplace_from+in_card_months),in_card_share/in_card_months*F953*I953,IF(AND(B953&gt;=in_marketplace_from+in_card_months,B953&lt;in_marketplace_from+2*in_card_months),in_card_share*d_card_rem/in_card_months*F953*MIN(in_takeup_cap,(1+in_takeup_growth)^(D953-1))*MIN(in_takeup_cap,(1+in_approval_growth)^(D953-1)),0))</f>
        <v/>
      </c>
      <c r="AA953" s="14">
        <f>V953*in_fee*(1-in_taken_back)</f>
        <v/>
      </c>
      <c r="AB953" s="14">
        <f>SUMIFS(W929:W970,B929:B970,B953-in_dpd_lag)*d_dpd</f>
        <v/>
      </c>
      <c r="AC953" s="14">
        <f>SUMIFS(W929:W970,B929:B970,B953-in_rec_lag)*d_rec</f>
        <v/>
      </c>
      <c r="AD953" s="14">
        <f>Z953*in_card_fee</f>
        <v/>
      </c>
      <c r="AE953" s="40">
        <f>AE952*(1-IF(B952&gt;=in_marketplace_from,d_hz_hlth_small*G952,0))</f>
        <v/>
      </c>
      <c r="AF953" s="46">
        <f>AE953*IF(B953&gt;=in_marketplace_from,d_hz_hlth_small*G953,0)</f>
        <v/>
      </c>
      <c r="AG953" s="14">
        <f>F953*AF953*in_hlth_small_ticket*in_hlth_small_comm*in_ins_partner_share+F953*in_hlth_small_ticket*in_hlth_small_renew_comm*in_ins_partner_share*(in_hlth_small_renew^1*SUMIFS(AF929:AF970,B929:B970,B953-12)+in_hlth_small_renew^2*SUMIFS(AF929:AF970,B929:B970,B953-24)+in_hlth_small_renew^3*SUMIFS(AF929:AF970,B929:B970,B953-36)+in_hlth_small_renew^4*SUMIFS(AF929:AF970,B929:B970,B953-48))</f>
        <v/>
      </c>
      <c r="AH953" s="40">
        <f>AH952*(1-IF(B952&gt;=in_marketplace_from,d_hz_hlth_family*G952,0))</f>
        <v/>
      </c>
      <c r="AI953" s="46">
        <f>AH953*IF(B953&gt;=in_marketplace_from,d_hz_hlth_family*G953,0)</f>
        <v/>
      </c>
      <c r="AJ953" s="14">
        <f>F953*AI953*in_hlth_family_ticket*in_hlth_family_comm*in_ins_partner_share+F953*in_hlth_family_ticket*in_hlth_family_renew_comm*in_ins_partner_share*(in_hlth_family_renew^1*SUMIFS(AI929:AI970,B929:B970,B953-12)+in_hlth_family_renew^2*SUMIFS(AI929:AI970,B929:B970,B953-24)+in_hlth_family_renew^3*SUMIFS(AI929:AI970,B929:B970,B953-36)+in_hlth_family_renew^4*SUMIFS(AI929:AI970,B929:B970,B953-48))</f>
        <v/>
      </c>
      <c r="AK953" s="40">
        <f>AK952*(1-IF(B952&gt;=in_marketplace_from,d_hz_life_term*G952,0))</f>
        <v/>
      </c>
      <c r="AL953" s="46">
        <f>AK953*IF(B953&gt;=in_marketplace_from,d_hz_life_term*G953,0)</f>
        <v/>
      </c>
      <c r="AM953" s="14">
        <f>F953*AL953*in_life_term_ticket*in_life_term_comm*in_ins_partner_share+F953*in_life_term_ticket*in_life_term_renew_comm*in_ins_partner_share*(in_life_term_renew^1*SUMIFS(AL929:AL970,B929:B970,B953-12)+in_life_term_renew^2*SUMIFS(AL929:AL970,B929:B970,B953-24)+in_life_term_renew^3*SUMIFS(AL929:AL970,B929:B970,B953-36)+in_life_term_renew^4*SUMIFS(AL929:AL970,B929:B970,B953-48))</f>
        <v/>
      </c>
      <c r="AN953" s="40">
        <f>AN952*(1-IF(B952&gt;=in_marketplace_from,d_hz_accident*G952,0))</f>
        <v/>
      </c>
      <c r="AO953" s="46">
        <f>AN953*IF(B953&gt;=in_marketplace_from,d_hz_accident*G953,0)</f>
        <v/>
      </c>
      <c r="AP953" s="14">
        <f>F953*AO953*in_accident_ticket*in_accident_comm*in_ins_partner_share+F953*in_accident_ticket*in_accident_renew_comm*in_ins_partner_share*(in_accident_renew^1*SUMIFS(AO929:AO970,B929:B970,B953-12)+in_accident_renew^2*SUMIFS(AO929:AO970,B929:B970,B953-24)+in_accident_renew^3*SUMIFS(AO929:AO970,B929:B970,B953-36)+in_accident_renew^4*SUMIFS(AO929:AO970,B929:B970,B953-48))</f>
        <v/>
      </c>
      <c r="AQ953" s="40">
        <f>AQ952*(1-IF(B952&gt;=in_marketplace_from,d_hz_two_wheeler*G952,0))</f>
        <v/>
      </c>
      <c r="AR953" s="46">
        <f>AQ953*IF(B953&gt;=in_marketplace_from,d_hz_two_wheeler*G953,0)</f>
        <v/>
      </c>
      <c r="AS953" s="14">
        <f>F953*AR953*in_two_wheeler_ticket*in_two_wheeler_comm*in_ins_partner_share+F953*in_two_wheeler_ticket*in_two_wheeler_comm*in_ins_partner_share*(in_two_wheeler_renew^1*SUMIFS(AR929:AR970,B929:B970,B953-12)+in_two_wheeler_renew^2*SUMIFS(AR929:AR970,B929:B970,B953-24)+in_two_wheeler_renew^3*SUMIFS(AR929:AR970,B929:B970,B953-36)+in_two_wheeler_renew^4*SUMIFS(AR929:AR970,B929:B970,B953-48))</f>
        <v/>
      </c>
      <c r="AT953" s="40">
        <f>AT952*(1-IF(B952&gt;=in_marketplace_from,d_hz_device*G952,0))</f>
        <v/>
      </c>
      <c r="AU953" s="14">
        <f>F953*AT953*IF(B953&gt;=in_marketplace_from,d_hz_device*G953,0)*in_device_ticket*in_device_comm*in_ins_partner_share</f>
        <v/>
      </c>
      <c r="AV953" s="40">
        <f>AV952*(1-IF(B952&gt;=in_marketplace_from,d_hz_shop*G952,0))</f>
        <v/>
      </c>
      <c r="AW953" s="46">
        <f>AV953*IF(B953&gt;=in_marketplace_from,d_hz_shop*G953,0)</f>
        <v/>
      </c>
      <c r="AX953" s="14">
        <f>F953*AW953*in_shop_ticket*in_shop_comm*in_ins_partner_share+F953*in_shop_ticket*in_shop_renew_comm*in_ins_partner_share*(in_shop_renew^1*SUMIFS(AW929:AW970,B929:B970,B953-12)+in_shop_renew^2*SUMIFS(AW929:AW970,B929:B970,B953-24)+in_shop_renew^3*SUMIFS(AW929:AW970,B929:B970,B953-36)+in_shop_renew^4*SUMIFS(AW929:AW970,B929:B970,B953-48))</f>
        <v/>
      </c>
      <c r="AY953" s="40">
        <f>AY952*(1-IF(B952&gt;=in_marketplace_from,d_hz_sip*G952,0))</f>
        <v/>
      </c>
      <c r="AZ953" s="40">
        <f>AZ952*d_rho_sip+AY953*IF(B953&gt;=in_marketplace_from,d_hz_sip*G953,0)</f>
        <v/>
      </c>
      <c r="BA953" s="40">
        <f>d_rho_sip*(BA952+AZ952)</f>
        <v/>
      </c>
      <c r="BB953" s="14">
        <f>F953*in_sip_ticket*(BA953+0.5*AZ953)*in_sip_comm/12</f>
        <v/>
      </c>
      <c r="BC953" s="40">
        <f>BC952*(1-IF(B952&gt;=in_marketplace_from,d_hz_choti*G952,0))</f>
        <v/>
      </c>
      <c r="BD953" s="46">
        <f>BC953*IF(B953&gt;=in_marketplace_from,d_hz_choti*G953,0)</f>
        <v/>
      </c>
      <c r="BE953" s="14">
        <f>F953*SUMIFS(BD929:BD970,B929:B970,B953-in_choti_months)*in_choti_renew*in_choti_ticket</f>
        <v/>
      </c>
      <c r="BF953" s="40">
        <f>BF952*(1-IF(B952&gt;=in_marketplace_from,d_hz_nps*G952,0))</f>
        <v/>
      </c>
      <c r="BG953" s="14">
        <f>F953*BF953*IF(B953&gt;=in_marketplace_from,d_hz_nps*G953,0)*in_nps_ticket*in_nps_comm</f>
        <v/>
      </c>
      <c r="BH953" s="40">
        <f>BH952*(1-IF(B952&gt;=in_marketplace_from,d_hz_gold*G952,0))</f>
        <v/>
      </c>
      <c r="BI953" s="40">
        <f>BI952*d_rho_gold+BH953*IF(B953&gt;=in_marketplace_from,d_hz_gold*G953,0)</f>
        <v/>
      </c>
      <c r="BJ953" s="14">
        <f>F953*BI953*in_gold_ticket*in_gold_comm</f>
        <v/>
      </c>
      <c r="BK953" s="40">
        <f>BK952*(1-IF(B952&gt;=in_marketplace_from,d_hz_fd*G952,0))</f>
        <v/>
      </c>
      <c r="BL953" s="14">
        <f>F953*BK953*IF(B953&gt;=in_marketplace_from,d_hz_fd*G953,0)*in_fd_ticket*in_fd_comm</f>
        <v/>
      </c>
      <c r="BM953" s="40">
        <f>BM952*(1-IF(B952&gt;=in_marketplace_from,d_hz_recharge*G952,0))</f>
        <v/>
      </c>
      <c r="BN953" s="40">
        <f>BN952*d_rho_recharge+BM953*IF(B953&gt;=in_marketplace_from,d_hz_recharge*G953,0)</f>
        <v/>
      </c>
      <c r="BO953" s="14">
        <f>F953*BN953*in_recharge_ticket*in_recharge_comm/12</f>
        <v/>
      </c>
      <c r="BP953" s="40">
        <f>BP952*(1-IF(B952&gt;=in_marketplace_from,d_hz_bills*G952,0))</f>
        <v/>
      </c>
      <c r="BQ953" s="40">
        <f>BQ952*d_rho_bills+BP953*IF(B953&gt;=in_marketplace_from,d_hz_bills*G953,0)</f>
        <v/>
      </c>
      <c r="BR953" s="14">
        <f>F953*BQ953*in_bills_ticket*in_bills_comm/12</f>
        <v/>
      </c>
      <c r="BS953" s="40">
        <f>BS952*(1-IF(B952&gt;=in_marketplace_from,d_hz_loan_gold*G952,0))</f>
        <v/>
      </c>
      <c r="BT953" s="14">
        <f>F953*BS953*IF(B953&gt;=in_marketplace_from,d_hz_loan_gold*G953,0)*in_loan_gold_ticket*in_loan_gold_comm</f>
        <v/>
      </c>
      <c r="BU953" s="40">
        <f>BU952*(1-IF(B952&gt;=in_marketplace_from,d_hz_loan_cd*G952,0))</f>
        <v/>
      </c>
      <c r="BV953" s="14">
        <f>F953*BU953*IF(B953&gt;=in_marketplace_from,d_hz_loan_cd*G953,0)*in_loan_cd_ticket*in_loan_cd_comm</f>
        <v/>
      </c>
      <c r="BW953" s="40">
        <f>BW952*(1-IF(B952&gt;=in_marketplace_from,d_hz_loan_vehicle*G952,0))</f>
        <v/>
      </c>
      <c r="BX953" s="14">
        <f>F953*BW953*IF(B953&gt;=in_marketplace_from,d_hz_loan_vehicle*G953,0)*in_loan_vehicle_ticket*in_loan_vehicle_comm</f>
        <v/>
      </c>
      <c r="BY953" s="40">
        <f>BY952*(1-IF(B952&gt;=in_marketplace_from,d_hz_loan_home*G952,0)*BZ952)</f>
        <v/>
      </c>
      <c r="BZ953" s="11">
        <f>MIN(in_approval_cap,in_loan_home_approval*INDEX('Age profile'!$O$2:$O$61,B953)*(1+in_approval_growth)^(D953-1))</f>
        <v/>
      </c>
      <c r="CA953" s="14">
        <f>F953*BY953*IF(B953&gt;=in_marketplace_from,d_hz_loan_home*G953,0)*BZ953*in_loan_home_ticket*in_loan_home_comm</f>
        <v/>
      </c>
      <c r="CB953" s="40">
        <f>CB952*(1-IF(B952&gt;=in_marketplace_from,d_hz_loan_lap*G952,0)*CC952)</f>
        <v/>
      </c>
      <c r="CC953" s="11">
        <f>MIN(in_approval_cap,in_loan_lap_approval*INDEX('Age profile'!$O$2:$O$61,B953)*(1+in_approval_growth)^(D953-1))</f>
        <v/>
      </c>
      <c r="CD953" s="14">
        <f>F953*CB953*IF(B953&gt;=in_marketplace_from,d_hz_loan_lap*G953,0)*CC953*in_loan_lap_ticket*in_loan_lap_comm</f>
        <v/>
      </c>
      <c r="CE953" s="14">
        <f>AA953+AB953+AC953+AD953+AG953+AJ953+AM953+AP953+AS953+AU953+AX953+BB953+BE953+BG953+BJ953+BL953+BO953+BR953+BT953+BV953+BX953+CA953+CD953</f>
        <v/>
      </c>
    </row>
    <row r="954">
      <c r="A954" s="39" t="n">
        <v>19</v>
      </c>
      <c r="B954" s="39" t="n">
        <v>26</v>
      </c>
      <c r="C954" s="39">
        <f>A954+B954-1</f>
        <v/>
      </c>
      <c r="D954" s="39">
        <f>INT((C954-1)/12)+1</f>
        <v/>
      </c>
      <c r="E954" s="44">
        <f>INDEX(Monthly!$B$2:$B$61,A954)</f>
        <v/>
      </c>
      <c r="F954" s="44">
        <f>E954*INDEX('Age profile'!$B$2:$B$61,B954)</f>
        <v/>
      </c>
      <c r="G954" s="45">
        <f>MIN(in_takeup_cap,INDEX('Age profile'!$N$2:$N$61,B954)*(1+in_takeup_growth)^(D954-1))</f>
        <v/>
      </c>
      <c r="H954" s="11">
        <f>MIN(in_approval_cap,in_approved_first*INDEX('Age profile'!$O$2:$O$61,B954)*(1+in_approval_growth)^(D954-1))</f>
        <v/>
      </c>
      <c r="I954" s="45">
        <f>G954*MIN(in_takeup_cap,INDEX('Age profile'!$O$2:$O$61,B954)*(1+in_approval_growth)^(D954-1))</f>
        <v/>
      </c>
      <c r="J954" s="40">
        <f>(J953-L953)*F954/F953</f>
        <v/>
      </c>
      <c r="K954" s="40">
        <f>(K953-M953)*F954/F953+SUMIFS(O929:O953,B929:B953,B954-1-d_T)*F954</f>
        <v/>
      </c>
      <c r="L954" s="40">
        <f>IF(B954&gt;=in_marketplace_from,J954*d_hz*G954*in_eligible*H954,0)</f>
        <v/>
      </c>
      <c r="M954" s="40">
        <f>IF(B954&gt;=in_marketplace_from,K954*d_hz*G954*in_eligible*in_approved_repeat,0)</f>
        <v/>
      </c>
      <c r="N954" s="40">
        <f>L954+M954</f>
        <v/>
      </c>
      <c r="O954" s="46">
        <f>N954/F954</f>
        <v/>
      </c>
      <c r="P954" s="40">
        <f>F954-J954-K954</f>
        <v/>
      </c>
      <c r="Q954" s="40">
        <f>IF(B954&gt;=in_marketplace_from,(J954+K954)*d_hz*G954,0)</f>
        <v/>
      </c>
      <c r="R954" s="40">
        <f>SUMIFS(N929:N970,B929:B970,"&gt;="&amp;(B954-d_T),B929:B970,"&lt;="&amp;(B954-1))</f>
        <v/>
      </c>
      <c r="S954" s="46">
        <f>(1-d_u)*S953+IF(d_T&gt;in_topup_lag,SUMIFS(O929:O970,B929:B970,B954-in_topup_lag)-d_udrop*SUMIFS(O929:O970,B929:B970,B954-d_T),0)</f>
        <v/>
      </c>
      <c r="T954" s="40">
        <f>F954*d_u*S954</f>
        <v/>
      </c>
      <c r="U954" s="9">
        <f>L954*in_ticket+M954*d_rep_ticket</f>
        <v/>
      </c>
      <c r="V954" s="9">
        <f>U954+T954*d_topup_amt</f>
        <v/>
      </c>
      <c r="W954" s="40">
        <f>N954+T954*d_topup_ratio</f>
        <v/>
      </c>
      <c r="X954" s="40">
        <f>SUMIFS(W929:W970,B929:B970,B954-in_dpd_lag)*d_cured</f>
        <v/>
      </c>
      <c r="Y954" s="40">
        <f>SUMIFS(W929:W970,B929:B970,B954-in_rec_lag)*d_recd</f>
        <v/>
      </c>
      <c r="Z954" s="40">
        <f>IF(AND(B954&gt;=in_marketplace_from,B954&lt;in_marketplace_from+in_card_months),in_card_share/in_card_months*F954*I954,IF(AND(B954&gt;=in_marketplace_from+in_card_months,B954&lt;in_marketplace_from+2*in_card_months),in_card_share*d_card_rem/in_card_months*F954*MIN(in_takeup_cap,(1+in_takeup_growth)^(D954-1))*MIN(in_takeup_cap,(1+in_approval_growth)^(D954-1)),0))</f>
        <v/>
      </c>
      <c r="AA954" s="14">
        <f>V954*in_fee*(1-in_taken_back)</f>
        <v/>
      </c>
      <c r="AB954" s="14">
        <f>SUMIFS(W929:W970,B929:B970,B954-in_dpd_lag)*d_dpd</f>
        <v/>
      </c>
      <c r="AC954" s="14">
        <f>SUMIFS(W929:W970,B929:B970,B954-in_rec_lag)*d_rec</f>
        <v/>
      </c>
      <c r="AD954" s="14">
        <f>Z954*in_card_fee</f>
        <v/>
      </c>
      <c r="AE954" s="40">
        <f>AE953*(1-IF(B953&gt;=in_marketplace_from,d_hz_hlth_small*G953,0))</f>
        <v/>
      </c>
      <c r="AF954" s="46">
        <f>AE954*IF(B954&gt;=in_marketplace_from,d_hz_hlth_small*G954,0)</f>
        <v/>
      </c>
      <c r="AG954" s="14">
        <f>F954*AF954*in_hlth_small_ticket*in_hlth_small_comm*in_ins_partner_share+F954*in_hlth_small_ticket*in_hlth_small_renew_comm*in_ins_partner_share*(in_hlth_small_renew^1*SUMIFS(AF929:AF970,B929:B970,B954-12)+in_hlth_small_renew^2*SUMIFS(AF929:AF970,B929:B970,B954-24)+in_hlth_small_renew^3*SUMIFS(AF929:AF970,B929:B970,B954-36)+in_hlth_small_renew^4*SUMIFS(AF929:AF970,B929:B970,B954-48))</f>
        <v/>
      </c>
      <c r="AH954" s="40">
        <f>AH953*(1-IF(B953&gt;=in_marketplace_from,d_hz_hlth_family*G953,0))</f>
        <v/>
      </c>
      <c r="AI954" s="46">
        <f>AH954*IF(B954&gt;=in_marketplace_from,d_hz_hlth_family*G954,0)</f>
        <v/>
      </c>
      <c r="AJ954" s="14">
        <f>F954*AI954*in_hlth_family_ticket*in_hlth_family_comm*in_ins_partner_share+F954*in_hlth_family_ticket*in_hlth_family_renew_comm*in_ins_partner_share*(in_hlth_family_renew^1*SUMIFS(AI929:AI970,B929:B970,B954-12)+in_hlth_family_renew^2*SUMIFS(AI929:AI970,B929:B970,B954-24)+in_hlth_family_renew^3*SUMIFS(AI929:AI970,B929:B970,B954-36)+in_hlth_family_renew^4*SUMIFS(AI929:AI970,B929:B970,B954-48))</f>
        <v/>
      </c>
      <c r="AK954" s="40">
        <f>AK953*(1-IF(B953&gt;=in_marketplace_from,d_hz_life_term*G953,0))</f>
        <v/>
      </c>
      <c r="AL954" s="46">
        <f>AK954*IF(B954&gt;=in_marketplace_from,d_hz_life_term*G954,0)</f>
        <v/>
      </c>
      <c r="AM954" s="14">
        <f>F954*AL954*in_life_term_ticket*in_life_term_comm*in_ins_partner_share+F954*in_life_term_ticket*in_life_term_renew_comm*in_ins_partner_share*(in_life_term_renew^1*SUMIFS(AL929:AL970,B929:B970,B954-12)+in_life_term_renew^2*SUMIFS(AL929:AL970,B929:B970,B954-24)+in_life_term_renew^3*SUMIFS(AL929:AL970,B929:B970,B954-36)+in_life_term_renew^4*SUMIFS(AL929:AL970,B929:B970,B954-48))</f>
        <v/>
      </c>
      <c r="AN954" s="40">
        <f>AN953*(1-IF(B953&gt;=in_marketplace_from,d_hz_accident*G953,0))</f>
        <v/>
      </c>
      <c r="AO954" s="46">
        <f>AN954*IF(B954&gt;=in_marketplace_from,d_hz_accident*G954,0)</f>
        <v/>
      </c>
      <c r="AP954" s="14">
        <f>F954*AO954*in_accident_ticket*in_accident_comm*in_ins_partner_share+F954*in_accident_ticket*in_accident_renew_comm*in_ins_partner_share*(in_accident_renew^1*SUMIFS(AO929:AO970,B929:B970,B954-12)+in_accident_renew^2*SUMIFS(AO929:AO970,B929:B970,B954-24)+in_accident_renew^3*SUMIFS(AO929:AO970,B929:B970,B954-36)+in_accident_renew^4*SUMIFS(AO929:AO970,B929:B970,B954-48))</f>
        <v/>
      </c>
      <c r="AQ954" s="40">
        <f>AQ953*(1-IF(B953&gt;=in_marketplace_from,d_hz_two_wheeler*G953,0))</f>
        <v/>
      </c>
      <c r="AR954" s="46">
        <f>AQ954*IF(B954&gt;=in_marketplace_from,d_hz_two_wheeler*G954,0)</f>
        <v/>
      </c>
      <c r="AS954" s="14">
        <f>F954*AR954*in_two_wheeler_ticket*in_two_wheeler_comm*in_ins_partner_share+F954*in_two_wheeler_ticket*in_two_wheeler_comm*in_ins_partner_share*(in_two_wheeler_renew^1*SUMIFS(AR929:AR970,B929:B970,B954-12)+in_two_wheeler_renew^2*SUMIFS(AR929:AR970,B929:B970,B954-24)+in_two_wheeler_renew^3*SUMIFS(AR929:AR970,B929:B970,B954-36)+in_two_wheeler_renew^4*SUMIFS(AR929:AR970,B929:B970,B954-48))</f>
        <v/>
      </c>
      <c r="AT954" s="40">
        <f>AT953*(1-IF(B953&gt;=in_marketplace_from,d_hz_device*G953,0))</f>
        <v/>
      </c>
      <c r="AU954" s="14">
        <f>F954*AT954*IF(B954&gt;=in_marketplace_from,d_hz_device*G954,0)*in_device_ticket*in_device_comm*in_ins_partner_share</f>
        <v/>
      </c>
      <c r="AV954" s="40">
        <f>AV953*(1-IF(B953&gt;=in_marketplace_from,d_hz_shop*G953,0))</f>
        <v/>
      </c>
      <c r="AW954" s="46">
        <f>AV954*IF(B954&gt;=in_marketplace_from,d_hz_shop*G954,0)</f>
        <v/>
      </c>
      <c r="AX954" s="14">
        <f>F954*AW954*in_shop_ticket*in_shop_comm*in_ins_partner_share+F954*in_shop_ticket*in_shop_renew_comm*in_ins_partner_share*(in_shop_renew^1*SUMIFS(AW929:AW970,B929:B970,B954-12)+in_shop_renew^2*SUMIFS(AW929:AW970,B929:B970,B954-24)+in_shop_renew^3*SUMIFS(AW929:AW970,B929:B970,B954-36)+in_shop_renew^4*SUMIFS(AW929:AW970,B929:B970,B954-48))</f>
        <v/>
      </c>
      <c r="AY954" s="40">
        <f>AY953*(1-IF(B953&gt;=in_marketplace_from,d_hz_sip*G953,0))</f>
        <v/>
      </c>
      <c r="AZ954" s="40">
        <f>AZ953*d_rho_sip+AY954*IF(B954&gt;=in_marketplace_from,d_hz_sip*G954,0)</f>
        <v/>
      </c>
      <c r="BA954" s="40">
        <f>d_rho_sip*(BA953+AZ953)</f>
        <v/>
      </c>
      <c r="BB954" s="14">
        <f>F954*in_sip_ticket*(BA954+0.5*AZ954)*in_sip_comm/12</f>
        <v/>
      </c>
      <c r="BC954" s="40">
        <f>BC953*(1-IF(B953&gt;=in_marketplace_from,d_hz_choti*G953,0))</f>
        <v/>
      </c>
      <c r="BD954" s="46">
        <f>BC954*IF(B954&gt;=in_marketplace_from,d_hz_choti*G954,0)</f>
        <v/>
      </c>
      <c r="BE954" s="14">
        <f>F954*SUMIFS(BD929:BD970,B929:B970,B954-in_choti_months)*in_choti_renew*in_choti_ticket</f>
        <v/>
      </c>
      <c r="BF954" s="40">
        <f>BF953*(1-IF(B953&gt;=in_marketplace_from,d_hz_nps*G953,0))</f>
        <v/>
      </c>
      <c r="BG954" s="14">
        <f>F954*BF954*IF(B954&gt;=in_marketplace_from,d_hz_nps*G954,0)*in_nps_ticket*in_nps_comm</f>
        <v/>
      </c>
      <c r="BH954" s="40">
        <f>BH953*(1-IF(B953&gt;=in_marketplace_from,d_hz_gold*G953,0))</f>
        <v/>
      </c>
      <c r="BI954" s="40">
        <f>BI953*d_rho_gold+BH954*IF(B954&gt;=in_marketplace_from,d_hz_gold*G954,0)</f>
        <v/>
      </c>
      <c r="BJ954" s="14">
        <f>F954*BI954*in_gold_ticket*in_gold_comm</f>
        <v/>
      </c>
      <c r="BK954" s="40">
        <f>BK953*(1-IF(B953&gt;=in_marketplace_from,d_hz_fd*G953,0))</f>
        <v/>
      </c>
      <c r="BL954" s="14">
        <f>F954*BK954*IF(B954&gt;=in_marketplace_from,d_hz_fd*G954,0)*in_fd_ticket*in_fd_comm</f>
        <v/>
      </c>
      <c r="BM954" s="40">
        <f>BM953*(1-IF(B953&gt;=in_marketplace_from,d_hz_recharge*G953,0))</f>
        <v/>
      </c>
      <c r="BN954" s="40">
        <f>BN953*d_rho_recharge+BM954*IF(B954&gt;=in_marketplace_from,d_hz_recharge*G954,0)</f>
        <v/>
      </c>
      <c r="BO954" s="14">
        <f>F954*BN954*in_recharge_ticket*in_recharge_comm/12</f>
        <v/>
      </c>
      <c r="BP954" s="40">
        <f>BP953*(1-IF(B953&gt;=in_marketplace_from,d_hz_bills*G953,0))</f>
        <v/>
      </c>
      <c r="BQ954" s="40">
        <f>BQ953*d_rho_bills+BP954*IF(B954&gt;=in_marketplace_from,d_hz_bills*G954,0)</f>
        <v/>
      </c>
      <c r="BR954" s="14">
        <f>F954*BQ954*in_bills_ticket*in_bills_comm/12</f>
        <v/>
      </c>
      <c r="BS954" s="40">
        <f>BS953*(1-IF(B953&gt;=in_marketplace_from,d_hz_loan_gold*G953,0))</f>
        <v/>
      </c>
      <c r="BT954" s="14">
        <f>F954*BS954*IF(B954&gt;=in_marketplace_from,d_hz_loan_gold*G954,0)*in_loan_gold_ticket*in_loan_gold_comm</f>
        <v/>
      </c>
      <c r="BU954" s="40">
        <f>BU953*(1-IF(B953&gt;=in_marketplace_from,d_hz_loan_cd*G953,0))</f>
        <v/>
      </c>
      <c r="BV954" s="14">
        <f>F954*BU954*IF(B954&gt;=in_marketplace_from,d_hz_loan_cd*G954,0)*in_loan_cd_ticket*in_loan_cd_comm</f>
        <v/>
      </c>
      <c r="BW954" s="40">
        <f>BW953*(1-IF(B953&gt;=in_marketplace_from,d_hz_loan_vehicle*G953,0))</f>
        <v/>
      </c>
      <c r="BX954" s="14">
        <f>F954*BW954*IF(B954&gt;=in_marketplace_from,d_hz_loan_vehicle*G954,0)*in_loan_vehicle_ticket*in_loan_vehicle_comm</f>
        <v/>
      </c>
      <c r="BY954" s="40">
        <f>BY953*(1-IF(B953&gt;=in_marketplace_from,d_hz_loan_home*G953,0)*BZ953)</f>
        <v/>
      </c>
      <c r="BZ954" s="11">
        <f>MIN(in_approval_cap,in_loan_home_approval*INDEX('Age profile'!$O$2:$O$61,B954)*(1+in_approval_growth)^(D954-1))</f>
        <v/>
      </c>
      <c r="CA954" s="14">
        <f>F954*BY954*IF(B954&gt;=in_marketplace_from,d_hz_loan_home*G954,0)*BZ954*in_loan_home_ticket*in_loan_home_comm</f>
        <v/>
      </c>
      <c r="CB954" s="40">
        <f>CB953*(1-IF(B953&gt;=in_marketplace_from,d_hz_loan_lap*G953,0)*CC953)</f>
        <v/>
      </c>
      <c r="CC954" s="11">
        <f>MIN(in_approval_cap,in_loan_lap_approval*INDEX('Age profile'!$O$2:$O$61,B954)*(1+in_approval_growth)^(D954-1))</f>
        <v/>
      </c>
      <c r="CD954" s="14">
        <f>F954*CB954*IF(B954&gt;=in_marketplace_from,d_hz_loan_lap*G954,0)*CC954*in_loan_lap_ticket*in_loan_lap_comm</f>
        <v/>
      </c>
      <c r="CE954" s="14">
        <f>AA954+AB954+AC954+AD954+AG954+AJ954+AM954+AP954+AS954+AU954+AX954+BB954+BE954+BG954+BJ954+BL954+BO954+BR954+BT954+BV954+BX954+CA954+CD954</f>
        <v/>
      </c>
    </row>
    <row r="955">
      <c r="A955" s="39" t="n">
        <v>19</v>
      </c>
      <c r="B955" s="39" t="n">
        <v>27</v>
      </c>
      <c r="C955" s="39">
        <f>A955+B955-1</f>
        <v/>
      </c>
      <c r="D955" s="39">
        <f>INT((C955-1)/12)+1</f>
        <v/>
      </c>
      <c r="E955" s="44">
        <f>INDEX(Monthly!$B$2:$B$61,A955)</f>
        <v/>
      </c>
      <c r="F955" s="44">
        <f>E955*INDEX('Age profile'!$B$2:$B$61,B955)</f>
        <v/>
      </c>
      <c r="G955" s="45">
        <f>MIN(in_takeup_cap,INDEX('Age profile'!$N$2:$N$61,B955)*(1+in_takeup_growth)^(D955-1))</f>
        <v/>
      </c>
      <c r="H955" s="11">
        <f>MIN(in_approval_cap,in_approved_first*INDEX('Age profile'!$O$2:$O$61,B955)*(1+in_approval_growth)^(D955-1))</f>
        <v/>
      </c>
      <c r="I955" s="45">
        <f>G955*MIN(in_takeup_cap,INDEX('Age profile'!$O$2:$O$61,B955)*(1+in_approval_growth)^(D955-1))</f>
        <v/>
      </c>
      <c r="J955" s="40">
        <f>(J954-L954)*F955/F954</f>
        <v/>
      </c>
      <c r="K955" s="40">
        <f>(K954-M954)*F955/F954+SUMIFS(O929:O954,B929:B954,B955-1-d_T)*F955</f>
        <v/>
      </c>
      <c r="L955" s="40">
        <f>IF(B955&gt;=in_marketplace_from,J955*d_hz*G955*in_eligible*H955,0)</f>
        <v/>
      </c>
      <c r="M955" s="40">
        <f>IF(B955&gt;=in_marketplace_from,K955*d_hz*G955*in_eligible*in_approved_repeat,0)</f>
        <v/>
      </c>
      <c r="N955" s="40">
        <f>L955+M955</f>
        <v/>
      </c>
      <c r="O955" s="46">
        <f>N955/F955</f>
        <v/>
      </c>
      <c r="P955" s="40">
        <f>F955-J955-K955</f>
        <v/>
      </c>
      <c r="Q955" s="40">
        <f>IF(B955&gt;=in_marketplace_from,(J955+K955)*d_hz*G955,0)</f>
        <v/>
      </c>
      <c r="R955" s="40">
        <f>SUMIFS(N929:N970,B929:B970,"&gt;="&amp;(B955-d_T),B929:B970,"&lt;="&amp;(B955-1))</f>
        <v/>
      </c>
      <c r="S955" s="46">
        <f>(1-d_u)*S954+IF(d_T&gt;in_topup_lag,SUMIFS(O929:O970,B929:B970,B955-in_topup_lag)-d_udrop*SUMIFS(O929:O970,B929:B970,B955-d_T),0)</f>
        <v/>
      </c>
      <c r="T955" s="40">
        <f>F955*d_u*S955</f>
        <v/>
      </c>
      <c r="U955" s="9">
        <f>L955*in_ticket+M955*d_rep_ticket</f>
        <v/>
      </c>
      <c r="V955" s="9">
        <f>U955+T955*d_topup_amt</f>
        <v/>
      </c>
      <c r="W955" s="40">
        <f>N955+T955*d_topup_ratio</f>
        <v/>
      </c>
      <c r="X955" s="40">
        <f>SUMIFS(W929:W970,B929:B970,B955-in_dpd_lag)*d_cured</f>
        <v/>
      </c>
      <c r="Y955" s="40">
        <f>SUMIFS(W929:W970,B929:B970,B955-in_rec_lag)*d_recd</f>
        <v/>
      </c>
      <c r="Z955" s="40">
        <f>IF(AND(B955&gt;=in_marketplace_from,B955&lt;in_marketplace_from+in_card_months),in_card_share/in_card_months*F955*I955,IF(AND(B955&gt;=in_marketplace_from+in_card_months,B955&lt;in_marketplace_from+2*in_card_months),in_card_share*d_card_rem/in_card_months*F955*MIN(in_takeup_cap,(1+in_takeup_growth)^(D955-1))*MIN(in_takeup_cap,(1+in_approval_growth)^(D955-1)),0))</f>
        <v/>
      </c>
      <c r="AA955" s="14">
        <f>V955*in_fee*(1-in_taken_back)</f>
        <v/>
      </c>
      <c r="AB955" s="14">
        <f>SUMIFS(W929:W970,B929:B970,B955-in_dpd_lag)*d_dpd</f>
        <v/>
      </c>
      <c r="AC955" s="14">
        <f>SUMIFS(W929:W970,B929:B970,B955-in_rec_lag)*d_rec</f>
        <v/>
      </c>
      <c r="AD955" s="14">
        <f>Z955*in_card_fee</f>
        <v/>
      </c>
      <c r="AE955" s="40">
        <f>AE954*(1-IF(B954&gt;=in_marketplace_from,d_hz_hlth_small*G954,0))</f>
        <v/>
      </c>
      <c r="AF955" s="46">
        <f>AE955*IF(B955&gt;=in_marketplace_from,d_hz_hlth_small*G955,0)</f>
        <v/>
      </c>
      <c r="AG955" s="14">
        <f>F955*AF955*in_hlth_small_ticket*in_hlth_small_comm*in_ins_partner_share+F955*in_hlth_small_ticket*in_hlth_small_renew_comm*in_ins_partner_share*(in_hlth_small_renew^1*SUMIFS(AF929:AF970,B929:B970,B955-12)+in_hlth_small_renew^2*SUMIFS(AF929:AF970,B929:B970,B955-24)+in_hlth_small_renew^3*SUMIFS(AF929:AF970,B929:B970,B955-36)+in_hlth_small_renew^4*SUMIFS(AF929:AF970,B929:B970,B955-48))</f>
        <v/>
      </c>
      <c r="AH955" s="40">
        <f>AH954*(1-IF(B954&gt;=in_marketplace_from,d_hz_hlth_family*G954,0))</f>
        <v/>
      </c>
      <c r="AI955" s="46">
        <f>AH955*IF(B955&gt;=in_marketplace_from,d_hz_hlth_family*G955,0)</f>
        <v/>
      </c>
      <c r="AJ955" s="14">
        <f>F955*AI955*in_hlth_family_ticket*in_hlth_family_comm*in_ins_partner_share+F955*in_hlth_family_ticket*in_hlth_family_renew_comm*in_ins_partner_share*(in_hlth_family_renew^1*SUMIFS(AI929:AI970,B929:B970,B955-12)+in_hlth_family_renew^2*SUMIFS(AI929:AI970,B929:B970,B955-24)+in_hlth_family_renew^3*SUMIFS(AI929:AI970,B929:B970,B955-36)+in_hlth_family_renew^4*SUMIFS(AI929:AI970,B929:B970,B955-48))</f>
        <v/>
      </c>
      <c r="AK955" s="40">
        <f>AK954*(1-IF(B954&gt;=in_marketplace_from,d_hz_life_term*G954,0))</f>
        <v/>
      </c>
      <c r="AL955" s="46">
        <f>AK955*IF(B955&gt;=in_marketplace_from,d_hz_life_term*G955,0)</f>
        <v/>
      </c>
      <c r="AM955" s="14">
        <f>F955*AL955*in_life_term_ticket*in_life_term_comm*in_ins_partner_share+F955*in_life_term_ticket*in_life_term_renew_comm*in_ins_partner_share*(in_life_term_renew^1*SUMIFS(AL929:AL970,B929:B970,B955-12)+in_life_term_renew^2*SUMIFS(AL929:AL970,B929:B970,B955-24)+in_life_term_renew^3*SUMIFS(AL929:AL970,B929:B970,B955-36)+in_life_term_renew^4*SUMIFS(AL929:AL970,B929:B970,B955-48))</f>
        <v/>
      </c>
      <c r="AN955" s="40">
        <f>AN954*(1-IF(B954&gt;=in_marketplace_from,d_hz_accident*G954,0))</f>
        <v/>
      </c>
      <c r="AO955" s="46">
        <f>AN955*IF(B955&gt;=in_marketplace_from,d_hz_accident*G955,0)</f>
        <v/>
      </c>
      <c r="AP955" s="14">
        <f>F955*AO955*in_accident_ticket*in_accident_comm*in_ins_partner_share+F955*in_accident_ticket*in_accident_renew_comm*in_ins_partner_share*(in_accident_renew^1*SUMIFS(AO929:AO970,B929:B970,B955-12)+in_accident_renew^2*SUMIFS(AO929:AO970,B929:B970,B955-24)+in_accident_renew^3*SUMIFS(AO929:AO970,B929:B970,B955-36)+in_accident_renew^4*SUMIFS(AO929:AO970,B929:B970,B955-48))</f>
        <v/>
      </c>
      <c r="AQ955" s="40">
        <f>AQ954*(1-IF(B954&gt;=in_marketplace_from,d_hz_two_wheeler*G954,0))</f>
        <v/>
      </c>
      <c r="AR955" s="46">
        <f>AQ955*IF(B955&gt;=in_marketplace_from,d_hz_two_wheeler*G955,0)</f>
        <v/>
      </c>
      <c r="AS955" s="14">
        <f>F955*AR955*in_two_wheeler_ticket*in_two_wheeler_comm*in_ins_partner_share+F955*in_two_wheeler_ticket*in_two_wheeler_comm*in_ins_partner_share*(in_two_wheeler_renew^1*SUMIFS(AR929:AR970,B929:B970,B955-12)+in_two_wheeler_renew^2*SUMIFS(AR929:AR970,B929:B970,B955-24)+in_two_wheeler_renew^3*SUMIFS(AR929:AR970,B929:B970,B955-36)+in_two_wheeler_renew^4*SUMIFS(AR929:AR970,B929:B970,B955-48))</f>
        <v/>
      </c>
      <c r="AT955" s="40">
        <f>AT954*(1-IF(B954&gt;=in_marketplace_from,d_hz_device*G954,0))</f>
        <v/>
      </c>
      <c r="AU955" s="14">
        <f>F955*AT955*IF(B955&gt;=in_marketplace_from,d_hz_device*G955,0)*in_device_ticket*in_device_comm*in_ins_partner_share</f>
        <v/>
      </c>
      <c r="AV955" s="40">
        <f>AV954*(1-IF(B954&gt;=in_marketplace_from,d_hz_shop*G954,0))</f>
        <v/>
      </c>
      <c r="AW955" s="46">
        <f>AV955*IF(B955&gt;=in_marketplace_from,d_hz_shop*G955,0)</f>
        <v/>
      </c>
      <c r="AX955" s="14">
        <f>F955*AW955*in_shop_ticket*in_shop_comm*in_ins_partner_share+F955*in_shop_ticket*in_shop_renew_comm*in_ins_partner_share*(in_shop_renew^1*SUMIFS(AW929:AW970,B929:B970,B955-12)+in_shop_renew^2*SUMIFS(AW929:AW970,B929:B970,B955-24)+in_shop_renew^3*SUMIFS(AW929:AW970,B929:B970,B955-36)+in_shop_renew^4*SUMIFS(AW929:AW970,B929:B970,B955-48))</f>
        <v/>
      </c>
      <c r="AY955" s="40">
        <f>AY954*(1-IF(B954&gt;=in_marketplace_from,d_hz_sip*G954,0))</f>
        <v/>
      </c>
      <c r="AZ955" s="40">
        <f>AZ954*d_rho_sip+AY955*IF(B955&gt;=in_marketplace_from,d_hz_sip*G955,0)</f>
        <v/>
      </c>
      <c r="BA955" s="40">
        <f>d_rho_sip*(BA954+AZ954)</f>
        <v/>
      </c>
      <c r="BB955" s="14">
        <f>F955*in_sip_ticket*(BA955+0.5*AZ955)*in_sip_comm/12</f>
        <v/>
      </c>
      <c r="BC955" s="40">
        <f>BC954*(1-IF(B954&gt;=in_marketplace_from,d_hz_choti*G954,0))</f>
        <v/>
      </c>
      <c r="BD955" s="46">
        <f>BC955*IF(B955&gt;=in_marketplace_from,d_hz_choti*G955,0)</f>
        <v/>
      </c>
      <c r="BE955" s="14">
        <f>F955*SUMIFS(BD929:BD970,B929:B970,B955-in_choti_months)*in_choti_renew*in_choti_ticket</f>
        <v/>
      </c>
      <c r="BF955" s="40">
        <f>BF954*(1-IF(B954&gt;=in_marketplace_from,d_hz_nps*G954,0))</f>
        <v/>
      </c>
      <c r="BG955" s="14">
        <f>F955*BF955*IF(B955&gt;=in_marketplace_from,d_hz_nps*G955,0)*in_nps_ticket*in_nps_comm</f>
        <v/>
      </c>
      <c r="BH955" s="40">
        <f>BH954*(1-IF(B954&gt;=in_marketplace_from,d_hz_gold*G954,0))</f>
        <v/>
      </c>
      <c r="BI955" s="40">
        <f>BI954*d_rho_gold+BH955*IF(B955&gt;=in_marketplace_from,d_hz_gold*G955,0)</f>
        <v/>
      </c>
      <c r="BJ955" s="14">
        <f>F955*BI955*in_gold_ticket*in_gold_comm</f>
        <v/>
      </c>
      <c r="BK955" s="40">
        <f>BK954*(1-IF(B954&gt;=in_marketplace_from,d_hz_fd*G954,0))</f>
        <v/>
      </c>
      <c r="BL955" s="14">
        <f>F955*BK955*IF(B955&gt;=in_marketplace_from,d_hz_fd*G955,0)*in_fd_ticket*in_fd_comm</f>
        <v/>
      </c>
      <c r="BM955" s="40">
        <f>BM954*(1-IF(B954&gt;=in_marketplace_from,d_hz_recharge*G954,0))</f>
        <v/>
      </c>
      <c r="BN955" s="40">
        <f>BN954*d_rho_recharge+BM955*IF(B955&gt;=in_marketplace_from,d_hz_recharge*G955,0)</f>
        <v/>
      </c>
      <c r="BO955" s="14">
        <f>F955*BN955*in_recharge_ticket*in_recharge_comm/12</f>
        <v/>
      </c>
      <c r="BP955" s="40">
        <f>BP954*(1-IF(B954&gt;=in_marketplace_from,d_hz_bills*G954,0))</f>
        <v/>
      </c>
      <c r="BQ955" s="40">
        <f>BQ954*d_rho_bills+BP955*IF(B955&gt;=in_marketplace_from,d_hz_bills*G955,0)</f>
        <v/>
      </c>
      <c r="BR955" s="14">
        <f>F955*BQ955*in_bills_ticket*in_bills_comm/12</f>
        <v/>
      </c>
      <c r="BS955" s="40">
        <f>BS954*(1-IF(B954&gt;=in_marketplace_from,d_hz_loan_gold*G954,0))</f>
        <v/>
      </c>
      <c r="BT955" s="14">
        <f>F955*BS955*IF(B955&gt;=in_marketplace_from,d_hz_loan_gold*G955,0)*in_loan_gold_ticket*in_loan_gold_comm</f>
        <v/>
      </c>
      <c r="BU955" s="40">
        <f>BU954*(1-IF(B954&gt;=in_marketplace_from,d_hz_loan_cd*G954,0))</f>
        <v/>
      </c>
      <c r="BV955" s="14">
        <f>F955*BU955*IF(B955&gt;=in_marketplace_from,d_hz_loan_cd*G955,0)*in_loan_cd_ticket*in_loan_cd_comm</f>
        <v/>
      </c>
      <c r="BW955" s="40">
        <f>BW954*(1-IF(B954&gt;=in_marketplace_from,d_hz_loan_vehicle*G954,0))</f>
        <v/>
      </c>
      <c r="BX955" s="14">
        <f>F955*BW955*IF(B955&gt;=in_marketplace_from,d_hz_loan_vehicle*G955,0)*in_loan_vehicle_ticket*in_loan_vehicle_comm</f>
        <v/>
      </c>
      <c r="BY955" s="40">
        <f>BY954*(1-IF(B954&gt;=in_marketplace_from,d_hz_loan_home*G954,0)*BZ954)</f>
        <v/>
      </c>
      <c r="BZ955" s="11">
        <f>MIN(in_approval_cap,in_loan_home_approval*INDEX('Age profile'!$O$2:$O$61,B955)*(1+in_approval_growth)^(D955-1))</f>
        <v/>
      </c>
      <c r="CA955" s="14">
        <f>F955*BY955*IF(B955&gt;=in_marketplace_from,d_hz_loan_home*G955,0)*BZ955*in_loan_home_ticket*in_loan_home_comm</f>
        <v/>
      </c>
      <c r="CB955" s="40">
        <f>CB954*(1-IF(B954&gt;=in_marketplace_from,d_hz_loan_lap*G954,0)*CC954)</f>
        <v/>
      </c>
      <c r="CC955" s="11">
        <f>MIN(in_approval_cap,in_loan_lap_approval*INDEX('Age profile'!$O$2:$O$61,B955)*(1+in_approval_growth)^(D955-1))</f>
        <v/>
      </c>
      <c r="CD955" s="14">
        <f>F955*CB955*IF(B955&gt;=in_marketplace_from,d_hz_loan_lap*G955,0)*CC955*in_loan_lap_ticket*in_loan_lap_comm</f>
        <v/>
      </c>
      <c r="CE955" s="14">
        <f>AA955+AB955+AC955+AD955+AG955+AJ955+AM955+AP955+AS955+AU955+AX955+BB955+BE955+BG955+BJ955+BL955+BO955+BR955+BT955+BV955+BX955+CA955+CD955</f>
        <v/>
      </c>
    </row>
    <row r="956">
      <c r="A956" s="39" t="n">
        <v>19</v>
      </c>
      <c r="B956" s="39" t="n">
        <v>28</v>
      </c>
      <c r="C956" s="39">
        <f>A956+B956-1</f>
        <v/>
      </c>
      <c r="D956" s="39">
        <f>INT((C956-1)/12)+1</f>
        <v/>
      </c>
      <c r="E956" s="44">
        <f>INDEX(Monthly!$B$2:$B$61,A956)</f>
        <v/>
      </c>
      <c r="F956" s="44">
        <f>E956*INDEX('Age profile'!$B$2:$B$61,B956)</f>
        <v/>
      </c>
      <c r="G956" s="45">
        <f>MIN(in_takeup_cap,INDEX('Age profile'!$N$2:$N$61,B956)*(1+in_takeup_growth)^(D956-1))</f>
        <v/>
      </c>
      <c r="H956" s="11">
        <f>MIN(in_approval_cap,in_approved_first*INDEX('Age profile'!$O$2:$O$61,B956)*(1+in_approval_growth)^(D956-1))</f>
        <v/>
      </c>
      <c r="I956" s="45">
        <f>G956*MIN(in_takeup_cap,INDEX('Age profile'!$O$2:$O$61,B956)*(1+in_approval_growth)^(D956-1))</f>
        <v/>
      </c>
      <c r="J956" s="40">
        <f>(J955-L955)*F956/F955</f>
        <v/>
      </c>
      <c r="K956" s="40">
        <f>(K955-M955)*F956/F955+SUMIFS(O929:O955,B929:B955,B956-1-d_T)*F956</f>
        <v/>
      </c>
      <c r="L956" s="40">
        <f>IF(B956&gt;=in_marketplace_from,J956*d_hz*G956*in_eligible*H956,0)</f>
        <v/>
      </c>
      <c r="M956" s="40">
        <f>IF(B956&gt;=in_marketplace_from,K956*d_hz*G956*in_eligible*in_approved_repeat,0)</f>
        <v/>
      </c>
      <c r="N956" s="40">
        <f>L956+M956</f>
        <v/>
      </c>
      <c r="O956" s="46">
        <f>N956/F956</f>
        <v/>
      </c>
      <c r="P956" s="40">
        <f>F956-J956-K956</f>
        <v/>
      </c>
      <c r="Q956" s="40">
        <f>IF(B956&gt;=in_marketplace_from,(J956+K956)*d_hz*G956,0)</f>
        <v/>
      </c>
      <c r="R956" s="40">
        <f>SUMIFS(N929:N970,B929:B970,"&gt;="&amp;(B956-d_T),B929:B970,"&lt;="&amp;(B956-1))</f>
        <v/>
      </c>
      <c r="S956" s="46">
        <f>(1-d_u)*S955+IF(d_T&gt;in_topup_lag,SUMIFS(O929:O970,B929:B970,B956-in_topup_lag)-d_udrop*SUMIFS(O929:O970,B929:B970,B956-d_T),0)</f>
        <v/>
      </c>
      <c r="T956" s="40">
        <f>F956*d_u*S956</f>
        <v/>
      </c>
      <c r="U956" s="9">
        <f>L956*in_ticket+M956*d_rep_ticket</f>
        <v/>
      </c>
      <c r="V956" s="9">
        <f>U956+T956*d_topup_amt</f>
        <v/>
      </c>
      <c r="W956" s="40">
        <f>N956+T956*d_topup_ratio</f>
        <v/>
      </c>
      <c r="X956" s="40">
        <f>SUMIFS(W929:W970,B929:B970,B956-in_dpd_lag)*d_cured</f>
        <v/>
      </c>
      <c r="Y956" s="40">
        <f>SUMIFS(W929:W970,B929:B970,B956-in_rec_lag)*d_recd</f>
        <v/>
      </c>
      <c r="Z956" s="40">
        <f>IF(AND(B956&gt;=in_marketplace_from,B956&lt;in_marketplace_from+in_card_months),in_card_share/in_card_months*F956*I956,IF(AND(B956&gt;=in_marketplace_from+in_card_months,B956&lt;in_marketplace_from+2*in_card_months),in_card_share*d_card_rem/in_card_months*F956*MIN(in_takeup_cap,(1+in_takeup_growth)^(D956-1))*MIN(in_takeup_cap,(1+in_approval_growth)^(D956-1)),0))</f>
        <v/>
      </c>
      <c r="AA956" s="14">
        <f>V956*in_fee*(1-in_taken_back)</f>
        <v/>
      </c>
      <c r="AB956" s="14">
        <f>SUMIFS(W929:W970,B929:B970,B956-in_dpd_lag)*d_dpd</f>
        <v/>
      </c>
      <c r="AC956" s="14">
        <f>SUMIFS(W929:W970,B929:B970,B956-in_rec_lag)*d_rec</f>
        <v/>
      </c>
      <c r="AD956" s="14">
        <f>Z956*in_card_fee</f>
        <v/>
      </c>
      <c r="AE956" s="40">
        <f>AE955*(1-IF(B955&gt;=in_marketplace_from,d_hz_hlth_small*G955,0))</f>
        <v/>
      </c>
      <c r="AF956" s="46">
        <f>AE956*IF(B956&gt;=in_marketplace_from,d_hz_hlth_small*G956,0)</f>
        <v/>
      </c>
      <c r="AG956" s="14">
        <f>F956*AF956*in_hlth_small_ticket*in_hlth_small_comm*in_ins_partner_share+F956*in_hlth_small_ticket*in_hlth_small_renew_comm*in_ins_partner_share*(in_hlth_small_renew^1*SUMIFS(AF929:AF970,B929:B970,B956-12)+in_hlth_small_renew^2*SUMIFS(AF929:AF970,B929:B970,B956-24)+in_hlth_small_renew^3*SUMIFS(AF929:AF970,B929:B970,B956-36)+in_hlth_small_renew^4*SUMIFS(AF929:AF970,B929:B970,B956-48))</f>
        <v/>
      </c>
      <c r="AH956" s="40">
        <f>AH955*(1-IF(B955&gt;=in_marketplace_from,d_hz_hlth_family*G955,0))</f>
        <v/>
      </c>
      <c r="AI956" s="46">
        <f>AH956*IF(B956&gt;=in_marketplace_from,d_hz_hlth_family*G956,0)</f>
        <v/>
      </c>
      <c r="AJ956" s="14">
        <f>F956*AI956*in_hlth_family_ticket*in_hlth_family_comm*in_ins_partner_share+F956*in_hlth_family_ticket*in_hlth_family_renew_comm*in_ins_partner_share*(in_hlth_family_renew^1*SUMIFS(AI929:AI970,B929:B970,B956-12)+in_hlth_family_renew^2*SUMIFS(AI929:AI970,B929:B970,B956-24)+in_hlth_family_renew^3*SUMIFS(AI929:AI970,B929:B970,B956-36)+in_hlth_family_renew^4*SUMIFS(AI929:AI970,B929:B970,B956-48))</f>
        <v/>
      </c>
      <c r="AK956" s="40">
        <f>AK955*(1-IF(B955&gt;=in_marketplace_from,d_hz_life_term*G955,0))</f>
        <v/>
      </c>
      <c r="AL956" s="46">
        <f>AK956*IF(B956&gt;=in_marketplace_from,d_hz_life_term*G956,0)</f>
        <v/>
      </c>
      <c r="AM956" s="14">
        <f>F956*AL956*in_life_term_ticket*in_life_term_comm*in_ins_partner_share+F956*in_life_term_ticket*in_life_term_renew_comm*in_ins_partner_share*(in_life_term_renew^1*SUMIFS(AL929:AL970,B929:B970,B956-12)+in_life_term_renew^2*SUMIFS(AL929:AL970,B929:B970,B956-24)+in_life_term_renew^3*SUMIFS(AL929:AL970,B929:B970,B956-36)+in_life_term_renew^4*SUMIFS(AL929:AL970,B929:B970,B956-48))</f>
        <v/>
      </c>
      <c r="AN956" s="40">
        <f>AN955*(1-IF(B955&gt;=in_marketplace_from,d_hz_accident*G955,0))</f>
        <v/>
      </c>
      <c r="AO956" s="46">
        <f>AN956*IF(B956&gt;=in_marketplace_from,d_hz_accident*G956,0)</f>
        <v/>
      </c>
      <c r="AP956" s="14">
        <f>F956*AO956*in_accident_ticket*in_accident_comm*in_ins_partner_share+F956*in_accident_ticket*in_accident_renew_comm*in_ins_partner_share*(in_accident_renew^1*SUMIFS(AO929:AO970,B929:B970,B956-12)+in_accident_renew^2*SUMIFS(AO929:AO970,B929:B970,B956-24)+in_accident_renew^3*SUMIFS(AO929:AO970,B929:B970,B956-36)+in_accident_renew^4*SUMIFS(AO929:AO970,B929:B970,B956-48))</f>
        <v/>
      </c>
      <c r="AQ956" s="40">
        <f>AQ955*(1-IF(B955&gt;=in_marketplace_from,d_hz_two_wheeler*G955,0))</f>
        <v/>
      </c>
      <c r="AR956" s="46">
        <f>AQ956*IF(B956&gt;=in_marketplace_from,d_hz_two_wheeler*G956,0)</f>
        <v/>
      </c>
      <c r="AS956" s="14">
        <f>F956*AR956*in_two_wheeler_ticket*in_two_wheeler_comm*in_ins_partner_share+F956*in_two_wheeler_ticket*in_two_wheeler_comm*in_ins_partner_share*(in_two_wheeler_renew^1*SUMIFS(AR929:AR970,B929:B970,B956-12)+in_two_wheeler_renew^2*SUMIFS(AR929:AR970,B929:B970,B956-24)+in_two_wheeler_renew^3*SUMIFS(AR929:AR970,B929:B970,B956-36)+in_two_wheeler_renew^4*SUMIFS(AR929:AR970,B929:B970,B956-48))</f>
        <v/>
      </c>
      <c r="AT956" s="40">
        <f>AT955*(1-IF(B955&gt;=in_marketplace_from,d_hz_device*G955,0))</f>
        <v/>
      </c>
      <c r="AU956" s="14">
        <f>F956*AT956*IF(B956&gt;=in_marketplace_from,d_hz_device*G956,0)*in_device_ticket*in_device_comm*in_ins_partner_share</f>
        <v/>
      </c>
      <c r="AV956" s="40">
        <f>AV955*(1-IF(B955&gt;=in_marketplace_from,d_hz_shop*G955,0))</f>
        <v/>
      </c>
      <c r="AW956" s="46">
        <f>AV956*IF(B956&gt;=in_marketplace_from,d_hz_shop*G956,0)</f>
        <v/>
      </c>
      <c r="AX956" s="14">
        <f>F956*AW956*in_shop_ticket*in_shop_comm*in_ins_partner_share+F956*in_shop_ticket*in_shop_renew_comm*in_ins_partner_share*(in_shop_renew^1*SUMIFS(AW929:AW970,B929:B970,B956-12)+in_shop_renew^2*SUMIFS(AW929:AW970,B929:B970,B956-24)+in_shop_renew^3*SUMIFS(AW929:AW970,B929:B970,B956-36)+in_shop_renew^4*SUMIFS(AW929:AW970,B929:B970,B956-48))</f>
        <v/>
      </c>
      <c r="AY956" s="40">
        <f>AY955*(1-IF(B955&gt;=in_marketplace_from,d_hz_sip*G955,0))</f>
        <v/>
      </c>
      <c r="AZ956" s="40">
        <f>AZ955*d_rho_sip+AY956*IF(B956&gt;=in_marketplace_from,d_hz_sip*G956,0)</f>
        <v/>
      </c>
      <c r="BA956" s="40">
        <f>d_rho_sip*(BA955+AZ955)</f>
        <v/>
      </c>
      <c r="BB956" s="14">
        <f>F956*in_sip_ticket*(BA956+0.5*AZ956)*in_sip_comm/12</f>
        <v/>
      </c>
      <c r="BC956" s="40">
        <f>BC955*(1-IF(B955&gt;=in_marketplace_from,d_hz_choti*G955,0))</f>
        <v/>
      </c>
      <c r="BD956" s="46">
        <f>BC956*IF(B956&gt;=in_marketplace_from,d_hz_choti*G956,0)</f>
        <v/>
      </c>
      <c r="BE956" s="14">
        <f>F956*SUMIFS(BD929:BD970,B929:B970,B956-in_choti_months)*in_choti_renew*in_choti_ticket</f>
        <v/>
      </c>
      <c r="BF956" s="40">
        <f>BF955*(1-IF(B955&gt;=in_marketplace_from,d_hz_nps*G955,0))</f>
        <v/>
      </c>
      <c r="BG956" s="14">
        <f>F956*BF956*IF(B956&gt;=in_marketplace_from,d_hz_nps*G956,0)*in_nps_ticket*in_nps_comm</f>
        <v/>
      </c>
      <c r="BH956" s="40">
        <f>BH955*(1-IF(B955&gt;=in_marketplace_from,d_hz_gold*G955,0))</f>
        <v/>
      </c>
      <c r="BI956" s="40">
        <f>BI955*d_rho_gold+BH956*IF(B956&gt;=in_marketplace_from,d_hz_gold*G956,0)</f>
        <v/>
      </c>
      <c r="BJ956" s="14">
        <f>F956*BI956*in_gold_ticket*in_gold_comm</f>
        <v/>
      </c>
      <c r="BK956" s="40">
        <f>BK955*(1-IF(B955&gt;=in_marketplace_from,d_hz_fd*G955,0))</f>
        <v/>
      </c>
      <c r="BL956" s="14">
        <f>F956*BK956*IF(B956&gt;=in_marketplace_from,d_hz_fd*G956,0)*in_fd_ticket*in_fd_comm</f>
        <v/>
      </c>
      <c r="BM956" s="40">
        <f>BM955*(1-IF(B955&gt;=in_marketplace_from,d_hz_recharge*G955,0))</f>
        <v/>
      </c>
      <c r="BN956" s="40">
        <f>BN955*d_rho_recharge+BM956*IF(B956&gt;=in_marketplace_from,d_hz_recharge*G956,0)</f>
        <v/>
      </c>
      <c r="BO956" s="14">
        <f>F956*BN956*in_recharge_ticket*in_recharge_comm/12</f>
        <v/>
      </c>
      <c r="BP956" s="40">
        <f>BP955*(1-IF(B955&gt;=in_marketplace_from,d_hz_bills*G955,0))</f>
        <v/>
      </c>
      <c r="BQ956" s="40">
        <f>BQ955*d_rho_bills+BP956*IF(B956&gt;=in_marketplace_from,d_hz_bills*G956,0)</f>
        <v/>
      </c>
      <c r="BR956" s="14">
        <f>F956*BQ956*in_bills_ticket*in_bills_comm/12</f>
        <v/>
      </c>
      <c r="BS956" s="40">
        <f>BS955*(1-IF(B955&gt;=in_marketplace_from,d_hz_loan_gold*G955,0))</f>
        <v/>
      </c>
      <c r="BT956" s="14">
        <f>F956*BS956*IF(B956&gt;=in_marketplace_from,d_hz_loan_gold*G956,0)*in_loan_gold_ticket*in_loan_gold_comm</f>
        <v/>
      </c>
      <c r="BU956" s="40">
        <f>BU955*(1-IF(B955&gt;=in_marketplace_from,d_hz_loan_cd*G955,0))</f>
        <v/>
      </c>
      <c r="BV956" s="14">
        <f>F956*BU956*IF(B956&gt;=in_marketplace_from,d_hz_loan_cd*G956,0)*in_loan_cd_ticket*in_loan_cd_comm</f>
        <v/>
      </c>
      <c r="BW956" s="40">
        <f>BW955*(1-IF(B955&gt;=in_marketplace_from,d_hz_loan_vehicle*G955,0))</f>
        <v/>
      </c>
      <c r="BX956" s="14">
        <f>F956*BW956*IF(B956&gt;=in_marketplace_from,d_hz_loan_vehicle*G956,0)*in_loan_vehicle_ticket*in_loan_vehicle_comm</f>
        <v/>
      </c>
      <c r="BY956" s="40">
        <f>BY955*(1-IF(B955&gt;=in_marketplace_from,d_hz_loan_home*G955,0)*BZ955)</f>
        <v/>
      </c>
      <c r="BZ956" s="11">
        <f>MIN(in_approval_cap,in_loan_home_approval*INDEX('Age profile'!$O$2:$O$61,B956)*(1+in_approval_growth)^(D956-1))</f>
        <v/>
      </c>
      <c r="CA956" s="14">
        <f>F956*BY956*IF(B956&gt;=in_marketplace_from,d_hz_loan_home*G956,0)*BZ956*in_loan_home_ticket*in_loan_home_comm</f>
        <v/>
      </c>
      <c r="CB956" s="40">
        <f>CB955*(1-IF(B955&gt;=in_marketplace_from,d_hz_loan_lap*G955,0)*CC955)</f>
        <v/>
      </c>
      <c r="CC956" s="11">
        <f>MIN(in_approval_cap,in_loan_lap_approval*INDEX('Age profile'!$O$2:$O$61,B956)*(1+in_approval_growth)^(D956-1))</f>
        <v/>
      </c>
      <c r="CD956" s="14">
        <f>F956*CB956*IF(B956&gt;=in_marketplace_from,d_hz_loan_lap*G956,0)*CC956*in_loan_lap_ticket*in_loan_lap_comm</f>
        <v/>
      </c>
      <c r="CE956" s="14">
        <f>AA956+AB956+AC956+AD956+AG956+AJ956+AM956+AP956+AS956+AU956+AX956+BB956+BE956+BG956+BJ956+BL956+BO956+BR956+BT956+BV956+BX956+CA956+CD956</f>
        <v/>
      </c>
    </row>
    <row r="957">
      <c r="A957" s="39" t="n">
        <v>19</v>
      </c>
      <c r="B957" s="39" t="n">
        <v>29</v>
      </c>
      <c r="C957" s="39">
        <f>A957+B957-1</f>
        <v/>
      </c>
      <c r="D957" s="39">
        <f>INT((C957-1)/12)+1</f>
        <v/>
      </c>
      <c r="E957" s="44">
        <f>INDEX(Monthly!$B$2:$B$61,A957)</f>
        <v/>
      </c>
      <c r="F957" s="44">
        <f>E957*INDEX('Age profile'!$B$2:$B$61,B957)</f>
        <v/>
      </c>
      <c r="G957" s="45">
        <f>MIN(in_takeup_cap,INDEX('Age profile'!$N$2:$N$61,B957)*(1+in_takeup_growth)^(D957-1))</f>
        <v/>
      </c>
      <c r="H957" s="11">
        <f>MIN(in_approval_cap,in_approved_first*INDEX('Age profile'!$O$2:$O$61,B957)*(1+in_approval_growth)^(D957-1))</f>
        <v/>
      </c>
      <c r="I957" s="45">
        <f>G957*MIN(in_takeup_cap,INDEX('Age profile'!$O$2:$O$61,B957)*(1+in_approval_growth)^(D957-1))</f>
        <v/>
      </c>
      <c r="J957" s="40">
        <f>(J956-L956)*F957/F956</f>
        <v/>
      </c>
      <c r="K957" s="40">
        <f>(K956-M956)*F957/F956+SUMIFS(O929:O956,B929:B956,B957-1-d_T)*F957</f>
        <v/>
      </c>
      <c r="L957" s="40">
        <f>IF(B957&gt;=in_marketplace_from,J957*d_hz*G957*in_eligible*H957,0)</f>
        <v/>
      </c>
      <c r="M957" s="40">
        <f>IF(B957&gt;=in_marketplace_from,K957*d_hz*G957*in_eligible*in_approved_repeat,0)</f>
        <v/>
      </c>
      <c r="N957" s="40">
        <f>L957+M957</f>
        <v/>
      </c>
      <c r="O957" s="46">
        <f>N957/F957</f>
        <v/>
      </c>
      <c r="P957" s="40">
        <f>F957-J957-K957</f>
        <v/>
      </c>
      <c r="Q957" s="40">
        <f>IF(B957&gt;=in_marketplace_from,(J957+K957)*d_hz*G957,0)</f>
        <v/>
      </c>
      <c r="R957" s="40">
        <f>SUMIFS(N929:N970,B929:B970,"&gt;="&amp;(B957-d_T),B929:B970,"&lt;="&amp;(B957-1))</f>
        <v/>
      </c>
      <c r="S957" s="46">
        <f>(1-d_u)*S956+IF(d_T&gt;in_topup_lag,SUMIFS(O929:O970,B929:B970,B957-in_topup_lag)-d_udrop*SUMIFS(O929:O970,B929:B970,B957-d_T),0)</f>
        <v/>
      </c>
      <c r="T957" s="40">
        <f>F957*d_u*S957</f>
        <v/>
      </c>
      <c r="U957" s="9">
        <f>L957*in_ticket+M957*d_rep_ticket</f>
        <v/>
      </c>
      <c r="V957" s="9">
        <f>U957+T957*d_topup_amt</f>
        <v/>
      </c>
      <c r="W957" s="40">
        <f>N957+T957*d_topup_ratio</f>
        <v/>
      </c>
      <c r="X957" s="40">
        <f>SUMIFS(W929:W970,B929:B970,B957-in_dpd_lag)*d_cured</f>
        <v/>
      </c>
      <c r="Y957" s="40">
        <f>SUMIFS(W929:W970,B929:B970,B957-in_rec_lag)*d_recd</f>
        <v/>
      </c>
      <c r="Z957" s="40">
        <f>IF(AND(B957&gt;=in_marketplace_from,B957&lt;in_marketplace_from+in_card_months),in_card_share/in_card_months*F957*I957,IF(AND(B957&gt;=in_marketplace_from+in_card_months,B957&lt;in_marketplace_from+2*in_card_months),in_card_share*d_card_rem/in_card_months*F957*MIN(in_takeup_cap,(1+in_takeup_growth)^(D957-1))*MIN(in_takeup_cap,(1+in_approval_growth)^(D957-1)),0))</f>
        <v/>
      </c>
      <c r="AA957" s="14">
        <f>V957*in_fee*(1-in_taken_back)</f>
        <v/>
      </c>
      <c r="AB957" s="14">
        <f>SUMIFS(W929:W970,B929:B970,B957-in_dpd_lag)*d_dpd</f>
        <v/>
      </c>
      <c r="AC957" s="14">
        <f>SUMIFS(W929:W970,B929:B970,B957-in_rec_lag)*d_rec</f>
        <v/>
      </c>
      <c r="AD957" s="14">
        <f>Z957*in_card_fee</f>
        <v/>
      </c>
      <c r="AE957" s="40">
        <f>AE956*(1-IF(B956&gt;=in_marketplace_from,d_hz_hlth_small*G956,0))</f>
        <v/>
      </c>
      <c r="AF957" s="46">
        <f>AE957*IF(B957&gt;=in_marketplace_from,d_hz_hlth_small*G957,0)</f>
        <v/>
      </c>
      <c r="AG957" s="14">
        <f>F957*AF957*in_hlth_small_ticket*in_hlth_small_comm*in_ins_partner_share+F957*in_hlth_small_ticket*in_hlth_small_renew_comm*in_ins_partner_share*(in_hlth_small_renew^1*SUMIFS(AF929:AF970,B929:B970,B957-12)+in_hlth_small_renew^2*SUMIFS(AF929:AF970,B929:B970,B957-24)+in_hlth_small_renew^3*SUMIFS(AF929:AF970,B929:B970,B957-36)+in_hlth_small_renew^4*SUMIFS(AF929:AF970,B929:B970,B957-48))</f>
        <v/>
      </c>
      <c r="AH957" s="40">
        <f>AH956*(1-IF(B956&gt;=in_marketplace_from,d_hz_hlth_family*G956,0))</f>
        <v/>
      </c>
      <c r="AI957" s="46">
        <f>AH957*IF(B957&gt;=in_marketplace_from,d_hz_hlth_family*G957,0)</f>
        <v/>
      </c>
      <c r="AJ957" s="14">
        <f>F957*AI957*in_hlth_family_ticket*in_hlth_family_comm*in_ins_partner_share+F957*in_hlth_family_ticket*in_hlth_family_renew_comm*in_ins_partner_share*(in_hlth_family_renew^1*SUMIFS(AI929:AI970,B929:B970,B957-12)+in_hlth_family_renew^2*SUMIFS(AI929:AI970,B929:B970,B957-24)+in_hlth_family_renew^3*SUMIFS(AI929:AI970,B929:B970,B957-36)+in_hlth_family_renew^4*SUMIFS(AI929:AI970,B929:B970,B957-48))</f>
        <v/>
      </c>
      <c r="AK957" s="40">
        <f>AK956*(1-IF(B956&gt;=in_marketplace_from,d_hz_life_term*G956,0))</f>
        <v/>
      </c>
      <c r="AL957" s="46">
        <f>AK957*IF(B957&gt;=in_marketplace_from,d_hz_life_term*G957,0)</f>
        <v/>
      </c>
      <c r="AM957" s="14">
        <f>F957*AL957*in_life_term_ticket*in_life_term_comm*in_ins_partner_share+F957*in_life_term_ticket*in_life_term_renew_comm*in_ins_partner_share*(in_life_term_renew^1*SUMIFS(AL929:AL970,B929:B970,B957-12)+in_life_term_renew^2*SUMIFS(AL929:AL970,B929:B970,B957-24)+in_life_term_renew^3*SUMIFS(AL929:AL970,B929:B970,B957-36)+in_life_term_renew^4*SUMIFS(AL929:AL970,B929:B970,B957-48))</f>
        <v/>
      </c>
      <c r="AN957" s="40">
        <f>AN956*(1-IF(B956&gt;=in_marketplace_from,d_hz_accident*G956,0))</f>
        <v/>
      </c>
      <c r="AO957" s="46">
        <f>AN957*IF(B957&gt;=in_marketplace_from,d_hz_accident*G957,0)</f>
        <v/>
      </c>
      <c r="AP957" s="14">
        <f>F957*AO957*in_accident_ticket*in_accident_comm*in_ins_partner_share+F957*in_accident_ticket*in_accident_renew_comm*in_ins_partner_share*(in_accident_renew^1*SUMIFS(AO929:AO970,B929:B970,B957-12)+in_accident_renew^2*SUMIFS(AO929:AO970,B929:B970,B957-24)+in_accident_renew^3*SUMIFS(AO929:AO970,B929:B970,B957-36)+in_accident_renew^4*SUMIFS(AO929:AO970,B929:B970,B957-48))</f>
        <v/>
      </c>
      <c r="AQ957" s="40">
        <f>AQ956*(1-IF(B956&gt;=in_marketplace_from,d_hz_two_wheeler*G956,0))</f>
        <v/>
      </c>
      <c r="AR957" s="46">
        <f>AQ957*IF(B957&gt;=in_marketplace_from,d_hz_two_wheeler*G957,0)</f>
        <v/>
      </c>
      <c r="AS957" s="14">
        <f>F957*AR957*in_two_wheeler_ticket*in_two_wheeler_comm*in_ins_partner_share+F957*in_two_wheeler_ticket*in_two_wheeler_comm*in_ins_partner_share*(in_two_wheeler_renew^1*SUMIFS(AR929:AR970,B929:B970,B957-12)+in_two_wheeler_renew^2*SUMIFS(AR929:AR970,B929:B970,B957-24)+in_two_wheeler_renew^3*SUMIFS(AR929:AR970,B929:B970,B957-36)+in_two_wheeler_renew^4*SUMIFS(AR929:AR970,B929:B970,B957-48))</f>
        <v/>
      </c>
      <c r="AT957" s="40">
        <f>AT956*(1-IF(B956&gt;=in_marketplace_from,d_hz_device*G956,0))</f>
        <v/>
      </c>
      <c r="AU957" s="14">
        <f>F957*AT957*IF(B957&gt;=in_marketplace_from,d_hz_device*G957,0)*in_device_ticket*in_device_comm*in_ins_partner_share</f>
        <v/>
      </c>
      <c r="AV957" s="40">
        <f>AV956*(1-IF(B956&gt;=in_marketplace_from,d_hz_shop*G956,0))</f>
        <v/>
      </c>
      <c r="AW957" s="46">
        <f>AV957*IF(B957&gt;=in_marketplace_from,d_hz_shop*G957,0)</f>
        <v/>
      </c>
      <c r="AX957" s="14">
        <f>F957*AW957*in_shop_ticket*in_shop_comm*in_ins_partner_share+F957*in_shop_ticket*in_shop_renew_comm*in_ins_partner_share*(in_shop_renew^1*SUMIFS(AW929:AW970,B929:B970,B957-12)+in_shop_renew^2*SUMIFS(AW929:AW970,B929:B970,B957-24)+in_shop_renew^3*SUMIFS(AW929:AW970,B929:B970,B957-36)+in_shop_renew^4*SUMIFS(AW929:AW970,B929:B970,B957-48))</f>
        <v/>
      </c>
      <c r="AY957" s="40">
        <f>AY956*(1-IF(B956&gt;=in_marketplace_from,d_hz_sip*G956,0))</f>
        <v/>
      </c>
      <c r="AZ957" s="40">
        <f>AZ956*d_rho_sip+AY957*IF(B957&gt;=in_marketplace_from,d_hz_sip*G957,0)</f>
        <v/>
      </c>
      <c r="BA957" s="40">
        <f>d_rho_sip*(BA956+AZ956)</f>
        <v/>
      </c>
      <c r="BB957" s="14">
        <f>F957*in_sip_ticket*(BA957+0.5*AZ957)*in_sip_comm/12</f>
        <v/>
      </c>
      <c r="BC957" s="40">
        <f>BC956*(1-IF(B956&gt;=in_marketplace_from,d_hz_choti*G956,0))</f>
        <v/>
      </c>
      <c r="BD957" s="46">
        <f>BC957*IF(B957&gt;=in_marketplace_from,d_hz_choti*G957,0)</f>
        <v/>
      </c>
      <c r="BE957" s="14">
        <f>F957*SUMIFS(BD929:BD970,B929:B970,B957-in_choti_months)*in_choti_renew*in_choti_ticket</f>
        <v/>
      </c>
      <c r="BF957" s="40">
        <f>BF956*(1-IF(B956&gt;=in_marketplace_from,d_hz_nps*G956,0))</f>
        <v/>
      </c>
      <c r="BG957" s="14">
        <f>F957*BF957*IF(B957&gt;=in_marketplace_from,d_hz_nps*G957,0)*in_nps_ticket*in_nps_comm</f>
        <v/>
      </c>
      <c r="BH957" s="40">
        <f>BH956*(1-IF(B956&gt;=in_marketplace_from,d_hz_gold*G956,0))</f>
        <v/>
      </c>
      <c r="BI957" s="40">
        <f>BI956*d_rho_gold+BH957*IF(B957&gt;=in_marketplace_from,d_hz_gold*G957,0)</f>
        <v/>
      </c>
      <c r="BJ957" s="14">
        <f>F957*BI957*in_gold_ticket*in_gold_comm</f>
        <v/>
      </c>
      <c r="BK957" s="40">
        <f>BK956*(1-IF(B956&gt;=in_marketplace_from,d_hz_fd*G956,0))</f>
        <v/>
      </c>
      <c r="BL957" s="14">
        <f>F957*BK957*IF(B957&gt;=in_marketplace_from,d_hz_fd*G957,0)*in_fd_ticket*in_fd_comm</f>
        <v/>
      </c>
      <c r="BM957" s="40">
        <f>BM956*(1-IF(B956&gt;=in_marketplace_from,d_hz_recharge*G956,0))</f>
        <v/>
      </c>
      <c r="BN957" s="40">
        <f>BN956*d_rho_recharge+BM957*IF(B957&gt;=in_marketplace_from,d_hz_recharge*G957,0)</f>
        <v/>
      </c>
      <c r="BO957" s="14">
        <f>F957*BN957*in_recharge_ticket*in_recharge_comm/12</f>
        <v/>
      </c>
      <c r="BP957" s="40">
        <f>BP956*(1-IF(B956&gt;=in_marketplace_from,d_hz_bills*G956,0))</f>
        <v/>
      </c>
      <c r="BQ957" s="40">
        <f>BQ956*d_rho_bills+BP957*IF(B957&gt;=in_marketplace_from,d_hz_bills*G957,0)</f>
        <v/>
      </c>
      <c r="BR957" s="14">
        <f>F957*BQ957*in_bills_ticket*in_bills_comm/12</f>
        <v/>
      </c>
      <c r="BS957" s="40">
        <f>BS956*(1-IF(B956&gt;=in_marketplace_from,d_hz_loan_gold*G956,0))</f>
        <v/>
      </c>
      <c r="BT957" s="14">
        <f>F957*BS957*IF(B957&gt;=in_marketplace_from,d_hz_loan_gold*G957,0)*in_loan_gold_ticket*in_loan_gold_comm</f>
        <v/>
      </c>
      <c r="BU957" s="40">
        <f>BU956*(1-IF(B956&gt;=in_marketplace_from,d_hz_loan_cd*G956,0))</f>
        <v/>
      </c>
      <c r="BV957" s="14">
        <f>F957*BU957*IF(B957&gt;=in_marketplace_from,d_hz_loan_cd*G957,0)*in_loan_cd_ticket*in_loan_cd_comm</f>
        <v/>
      </c>
      <c r="BW957" s="40">
        <f>BW956*(1-IF(B956&gt;=in_marketplace_from,d_hz_loan_vehicle*G956,0))</f>
        <v/>
      </c>
      <c r="BX957" s="14">
        <f>F957*BW957*IF(B957&gt;=in_marketplace_from,d_hz_loan_vehicle*G957,0)*in_loan_vehicle_ticket*in_loan_vehicle_comm</f>
        <v/>
      </c>
      <c r="BY957" s="40">
        <f>BY956*(1-IF(B956&gt;=in_marketplace_from,d_hz_loan_home*G956,0)*BZ956)</f>
        <v/>
      </c>
      <c r="BZ957" s="11">
        <f>MIN(in_approval_cap,in_loan_home_approval*INDEX('Age profile'!$O$2:$O$61,B957)*(1+in_approval_growth)^(D957-1))</f>
        <v/>
      </c>
      <c r="CA957" s="14">
        <f>F957*BY957*IF(B957&gt;=in_marketplace_from,d_hz_loan_home*G957,0)*BZ957*in_loan_home_ticket*in_loan_home_comm</f>
        <v/>
      </c>
      <c r="CB957" s="40">
        <f>CB956*(1-IF(B956&gt;=in_marketplace_from,d_hz_loan_lap*G956,0)*CC956)</f>
        <v/>
      </c>
      <c r="CC957" s="11">
        <f>MIN(in_approval_cap,in_loan_lap_approval*INDEX('Age profile'!$O$2:$O$61,B957)*(1+in_approval_growth)^(D957-1))</f>
        <v/>
      </c>
      <c r="CD957" s="14">
        <f>F957*CB957*IF(B957&gt;=in_marketplace_from,d_hz_loan_lap*G957,0)*CC957*in_loan_lap_ticket*in_loan_lap_comm</f>
        <v/>
      </c>
      <c r="CE957" s="14">
        <f>AA957+AB957+AC957+AD957+AG957+AJ957+AM957+AP957+AS957+AU957+AX957+BB957+BE957+BG957+BJ957+BL957+BO957+BR957+BT957+BV957+BX957+CA957+CD957</f>
        <v/>
      </c>
    </row>
    <row r="958">
      <c r="A958" s="39" t="n">
        <v>19</v>
      </c>
      <c r="B958" s="39" t="n">
        <v>30</v>
      </c>
      <c r="C958" s="39">
        <f>A958+B958-1</f>
        <v/>
      </c>
      <c r="D958" s="39">
        <f>INT((C958-1)/12)+1</f>
        <v/>
      </c>
      <c r="E958" s="44">
        <f>INDEX(Monthly!$B$2:$B$61,A958)</f>
        <v/>
      </c>
      <c r="F958" s="44">
        <f>E958*INDEX('Age profile'!$B$2:$B$61,B958)</f>
        <v/>
      </c>
      <c r="G958" s="45">
        <f>MIN(in_takeup_cap,INDEX('Age profile'!$N$2:$N$61,B958)*(1+in_takeup_growth)^(D958-1))</f>
        <v/>
      </c>
      <c r="H958" s="11">
        <f>MIN(in_approval_cap,in_approved_first*INDEX('Age profile'!$O$2:$O$61,B958)*(1+in_approval_growth)^(D958-1))</f>
        <v/>
      </c>
      <c r="I958" s="45">
        <f>G958*MIN(in_takeup_cap,INDEX('Age profile'!$O$2:$O$61,B958)*(1+in_approval_growth)^(D958-1))</f>
        <v/>
      </c>
      <c r="J958" s="40">
        <f>(J957-L957)*F958/F957</f>
        <v/>
      </c>
      <c r="K958" s="40">
        <f>(K957-M957)*F958/F957+SUMIFS(O929:O957,B929:B957,B958-1-d_T)*F958</f>
        <v/>
      </c>
      <c r="L958" s="40">
        <f>IF(B958&gt;=in_marketplace_from,J958*d_hz*G958*in_eligible*H958,0)</f>
        <v/>
      </c>
      <c r="M958" s="40">
        <f>IF(B958&gt;=in_marketplace_from,K958*d_hz*G958*in_eligible*in_approved_repeat,0)</f>
        <v/>
      </c>
      <c r="N958" s="40">
        <f>L958+M958</f>
        <v/>
      </c>
      <c r="O958" s="46">
        <f>N958/F958</f>
        <v/>
      </c>
      <c r="P958" s="40">
        <f>F958-J958-K958</f>
        <v/>
      </c>
      <c r="Q958" s="40">
        <f>IF(B958&gt;=in_marketplace_from,(J958+K958)*d_hz*G958,0)</f>
        <v/>
      </c>
      <c r="R958" s="40">
        <f>SUMIFS(N929:N970,B929:B970,"&gt;="&amp;(B958-d_T),B929:B970,"&lt;="&amp;(B958-1))</f>
        <v/>
      </c>
      <c r="S958" s="46">
        <f>(1-d_u)*S957+IF(d_T&gt;in_topup_lag,SUMIFS(O929:O970,B929:B970,B958-in_topup_lag)-d_udrop*SUMIFS(O929:O970,B929:B970,B958-d_T),0)</f>
        <v/>
      </c>
      <c r="T958" s="40">
        <f>F958*d_u*S958</f>
        <v/>
      </c>
      <c r="U958" s="9">
        <f>L958*in_ticket+M958*d_rep_ticket</f>
        <v/>
      </c>
      <c r="V958" s="9">
        <f>U958+T958*d_topup_amt</f>
        <v/>
      </c>
      <c r="W958" s="40">
        <f>N958+T958*d_topup_ratio</f>
        <v/>
      </c>
      <c r="X958" s="40">
        <f>SUMIFS(W929:W970,B929:B970,B958-in_dpd_lag)*d_cured</f>
        <v/>
      </c>
      <c r="Y958" s="40">
        <f>SUMIFS(W929:W970,B929:B970,B958-in_rec_lag)*d_recd</f>
        <v/>
      </c>
      <c r="Z958" s="40">
        <f>IF(AND(B958&gt;=in_marketplace_from,B958&lt;in_marketplace_from+in_card_months),in_card_share/in_card_months*F958*I958,IF(AND(B958&gt;=in_marketplace_from+in_card_months,B958&lt;in_marketplace_from+2*in_card_months),in_card_share*d_card_rem/in_card_months*F958*MIN(in_takeup_cap,(1+in_takeup_growth)^(D958-1))*MIN(in_takeup_cap,(1+in_approval_growth)^(D958-1)),0))</f>
        <v/>
      </c>
      <c r="AA958" s="14">
        <f>V958*in_fee*(1-in_taken_back)</f>
        <v/>
      </c>
      <c r="AB958" s="14">
        <f>SUMIFS(W929:W970,B929:B970,B958-in_dpd_lag)*d_dpd</f>
        <v/>
      </c>
      <c r="AC958" s="14">
        <f>SUMIFS(W929:W970,B929:B970,B958-in_rec_lag)*d_rec</f>
        <v/>
      </c>
      <c r="AD958" s="14">
        <f>Z958*in_card_fee</f>
        <v/>
      </c>
      <c r="AE958" s="40">
        <f>AE957*(1-IF(B957&gt;=in_marketplace_from,d_hz_hlth_small*G957,0))</f>
        <v/>
      </c>
      <c r="AF958" s="46">
        <f>AE958*IF(B958&gt;=in_marketplace_from,d_hz_hlth_small*G958,0)</f>
        <v/>
      </c>
      <c r="AG958" s="14">
        <f>F958*AF958*in_hlth_small_ticket*in_hlth_small_comm*in_ins_partner_share+F958*in_hlth_small_ticket*in_hlth_small_renew_comm*in_ins_partner_share*(in_hlth_small_renew^1*SUMIFS(AF929:AF970,B929:B970,B958-12)+in_hlth_small_renew^2*SUMIFS(AF929:AF970,B929:B970,B958-24)+in_hlth_small_renew^3*SUMIFS(AF929:AF970,B929:B970,B958-36)+in_hlth_small_renew^4*SUMIFS(AF929:AF970,B929:B970,B958-48))</f>
        <v/>
      </c>
      <c r="AH958" s="40">
        <f>AH957*(1-IF(B957&gt;=in_marketplace_from,d_hz_hlth_family*G957,0))</f>
        <v/>
      </c>
      <c r="AI958" s="46">
        <f>AH958*IF(B958&gt;=in_marketplace_from,d_hz_hlth_family*G958,0)</f>
        <v/>
      </c>
      <c r="AJ958" s="14">
        <f>F958*AI958*in_hlth_family_ticket*in_hlth_family_comm*in_ins_partner_share+F958*in_hlth_family_ticket*in_hlth_family_renew_comm*in_ins_partner_share*(in_hlth_family_renew^1*SUMIFS(AI929:AI970,B929:B970,B958-12)+in_hlth_family_renew^2*SUMIFS(AI929:AI970,B929:B970,B958-24)+in_hlth_family_renew^3*SUMIFS(AI929:AI970,B929:B970,B958-36)+in_hlth_family_renew^4*SUMIFS(AI929:AI970,B929:B970,B958-48))</f>
        <v/>
      </c>
      <c r="AK958" s="40">
        <f>AK957*(1-IF(B957&gt;=in_marketplace_from,d_hz_life_term*G957,0))</f>
        <v/>
      </c>
      <c r="AL958" s="46">
        <f>AK958*IF(B958&gt;=in_marketplace_from,d_hz_life_term*G958,0)</f>
        <v/>
      </c>
      <c r="AM958" s="14">
        <f>F958*AL958*in_life_term_ticket*in_life_term_comm*in_ins_partner_share+F958*in_life_term_ticket*in_life_term_renew_comm*in_ins_partner_share*(in_life_term_renew^1*SUMIFS(AL929:AL970,B929:B970,B958-12)+in_life_term_renew^2*SUMIFS(AL929:AL970,B929:B970,B958-24)+in_life_term_renew^3*SUMIFS(AL929:AL970,B929:B970,B958-36)+in_life_term_renew^4*SUMIFS(AL929:AL970,B929:B970,B958-48))</f>
        <v/>
      </c>
      <c r="AN958" s="40">
        <f>AN957*(1-IF(B957&gt;=in_marketplace_from,d_hz_accident*G957,0))</f>
        <v/>
      </c>
      <c r="AO958" s="46">
        <f>AN958*IF(B958&gt;=in_marketplace_from,d_hz_accident*G958,0)</f>
        <v/>
      </c>
      <c r="AP958" s="14">
        <f>F958*AO958*in_accident_ticket*in_accident_comm*in_ins_partner_share+F958*in_accident_ticket*in_accident_renew_comm*in_ins_partner_share*(in_accident_renew^1*SUMIFS(AO929:AO970,B929:B970,B958-12)+in_accident_renew^2*SUMIFS(AO929:AO970,B929:B970,B958-24)+in_accident_renew^3*SUMIFS(AO929:AO970,B929:B970,B958-36)+in_accident_renew^4*SUMIFS(AO929:AO970,B929:B970,B958-48))</f>
        <v/>
      </c>
      <c r="AQ958" s="40">
        <f>AQ957*(1-IF(B957&gt;=in_marketplace_from,d_hz_two_wheeler*G957,0))</f>
        <v/>
      </c>
      <c r="AR958" s="46">
        <f>AQ958*IF(B958&gt;=in_marketplace_from,d_hz_two_wheeler*G958,0)</f>
        <v/>
      </c>
      <c r="AS958" s="14">
        <f>F958*AR958*in_two_wheeler_ticket*in_two_wheeler_comm*in_ins_partner_share+F958*in_two_wheeler_ticket*in_two_wheeler_comm*in_ins_partner_share*(in_two_wheeler_renew^1*SUMIFS(AR929:AR970,B929:B970,B958-12)+in_two_wheeler_renew^2*SUMIFS(AR929:AR970,B929:B970,B958-24)+in_two_wheeler_renew^3*SUMIFS(AR929:AR970,B929:B970,B958-36)+in_two_wheeler_renew^4*SUMIFS(AR929:AR970,B929:B970,B958-48))</f>
        <v/>
      </c>
      <c r="AT958" s="40">
        <f>AT957*(1-IF(B957&gt;=in_marketplace_from,d_hz_device*G957,0))</f>
        <v/>
      </c>
      <c r="AU958" s="14">
        <f>F958*AT958*IF(B958&gt;=in_marketplace_from,d_hz_device*G958,0)*in_device_ticket*in_device_comm*in_ins_partner_share</f>
        <v/>
      </c>
      <c r="AV958" s="40">
        <f>AV957*(1-IF(B957&gt;=in_marketplace_from,d_hz_shop*G957,0))</f>
        <v/>
      </c>
      <c r="AW958" s="46">
        <f>AV958*IF(B958&gt;=in_marketplace_from,d_hz_shop*G958,0)</f>
        <v/>
      </c>
      <c r="AX958" s="14">
        <f>F958*AW958*in_shop_ticket*in_shop_comm*in_ins_partner_share+F958*in_shop_ticket*in_shop_renew_comm*in_ins_partner_share*(in_shop_renew^1*SUMIFS(AW929:AW970,B929:B970,B958-12)+in_shop_renew^2*SUMIFS(AW929:AW970,B929:B970,B958-24)+in_shop_renew^3*SUMIFS(AW929:AW970,B929:B970,B958-36)+in_shop_renew^4*SUMIFS(AW929:AW970,B929:B970,B958-48))</f>
        <v/>
      </c>
      <c r="AY958" s="40">
        <f>AY957*(1-IF(B957&gt;=in_marketplace_from,d_hz_sip*G957,0))</f>
        <v/>
      </c>
      <c r="AZ958" s="40">
        <f>AZ957*d_rho_sip+AY958*IF(B958&gt;=in_marketplace_from,d_hz_sip*G958,0)</f>
        <v/>
      </c>
      <c r="BA958" s="40">
        <f>d_rho_sip*(BA957+AZ957)</f>
        <v/>
      </c>
      <c r="BB958" s="14">
        <f>F958*in_sip_ticket*(BA958+0.5*AZ958)*in_sip_comm/12</f>
        <v/>
      </c>
      <c r="BC958" s="40">
        <f>BC957*(1-IF(B957&gt;=in_marketplace_from,d_hz_choti*G957,0))</f>
        <v/>
      </c>
      <c r="BD958" s="46">
        <f>BC958*IF(B958&gt;=in_marketplace_from,d_hz_choti*G958,0)</f>
        <v/>
      </c>
      <c r="BE958" s="14">
        <f>F958*SUMIFS(BD929:BD970,B929:B970,B958-in_choti_months)*in_choti_renew*in_choti_ticket</f>
        <v/>
      </c>
      <c r="BF958" s="40">
        <f>BF957*(1-IF(B957&gt;=in_marketplace_from,d_hz_nps*G957,0))</f>
        <v/>
      </c>
      <c r="BG958" s="14">
        <f>F958*BF958*IF(B958&gt;=in_marketplace_from,d_hz_nps*G958,0)*in_nps_ticket*in_nps_comm</f>
        <v/>
      </c>
      <c r="BH958" s="40">
        <f>BH957*(1-IF(B957&gt;=in_marketplace_from,d_hz_gold*G957,0))</f>
        <v/>
      </c>
      <c r="BI958" s="40">
        <f>BI957*d_rho_gold+BH958*IF(B958&gt;=in_marketplace_from,d_hz_gold*G958,0)</f>
        <v/>
      </c>
      <c r="BJ958" s="14">
        <f>F958*BI958*in_gold_ticket*in_gold_comm</f>
        <v/>
      </c>
      <c r="BK958" s="40">
        <f>BK957*(1-IF(B957&gt;=in_marketplace_from,d_hz_fd*G957,0))</f>
        <v/>
      </c>
      <c r="BL958" s="14">
        <f>F958*BK958*IF(B958&gt;=in_marketplace_from,d_hz_fd*G958,0)*in_fd_ticket*in_fd_comm</f>
        <v/>
      </c>
      <c r="BM958" s="40">
        <f>BM957*(1-IF(B957&gt;=in_marketplace_from,d_hz_recharge*G957,0))</f>
        <v/>
      </c>
      <c r="BN958" s="40">
        <f>BN957*d_rho_recharge+BM958*IF(B958&gt;=in_marketplace_from,d_hz_recharge*G958,0)</f>
        <v/>
      </c>
      <c r="BO958" s="14">
        <f>F958*BN958*in_recharge_ticket*in_recharge_comm/12</f>
        <v/>
      </c>
      <c r="BP958" s="40">
        <f>BP957*(1-IF(B957&gt;=in_marketplace_from,d_hz_bills*G957,0))</f>
        <v/>
      </c>
      <c r="BQ958" s="40">
        <f>BQ957*d_rho_bills+BP958*IF(B958&gt;=in_marketplace_from,d_hz_bills*G958,0)</f>
        <v/>
      </c>
      <c r="BR958" s="14">
        <f>F958*BQ958*in_bills_ticket*in_bills_comm/12</f>
        <v/>
      </c>
      <c r="BS958" s="40">
        <f>BS957*(1-IF(B957&gt;=in_marketplace_from,d_hz_loan_gold*G957,0))</f>
        <v/>
      </c>
      <c r="BT958" s="14">
        <f>F958*BS958*IF(B958&gt;=in_marketplace_from,d_hz_loan_gold*G958,0)*in_loan_gold_ticket*in_loan_gold_comm</f>
        <v/>
      </c>
      <c r="BU958" s="40">
        <f>BU957*(1-IF(B957&gt;=in_marketplace_from,d_hz_loan_cd*G957,0))</f>
        <v/>
      </c>
      <c r="BV958" s="14">
        <f>F958*BU958*IF(B958&gt;=in_marketplace_from,d_hz_loan_cd*G958,0)*in_loan_cd_ticket*in_loan_cd_comm</f>
        <v/>
      </c>
      <c r="BW958" s="40">
        <f>BW957*(1-IF(B957&gt;=in_marketplace_from,d_hz_loan_vehicle*G957,0))</f>
        <v/>
      </c>
      <c r="BX958" s="14">
        <f>F958*BW958*IF(B958&gt;=in_marketplace_from,d_hz_loan_vehicle*G958,0)*in_loan_vehicle_ticket*in_loan_vehicle_comm</f>
        <v/>
      </c>
      <c r="BY958" s="40">
        <f>BY957*(1-IF(B957&gt;=in_marketplace_from,d_hz_loan_home*G957,0)*BZ957)</f>
        <v/>
      </c>
      <c r="BZ958" s="11">
        <f>MIN(in_approval_cap,in_loan_home_approval*INDEX('Age profile'!$O$2:$O$61,B958)*(1+in_approval_growth)^(D958-1))</f>
        <v/>
      </c>
      <c r="CA958" s="14">
        <f>F958*BY958*IF(B958&gt;=in_marketplace_from,d_hz_loan_home*G958,0)*BZ958*in_loan_home_ticket*in_loan_home_comm</f>
        <v/>
      </c>
      <c r="CB958" s="40">
        <f>CB957*(1-IF(B957&gt;=in_marketplace_from,d_hz_loan_lap*G957,0)*CC957)</f>
        <v/>
      </c>
      <c r="CC958" s="11">
        <f>MIN(in_approval_cap,in_loan_lap_approval*INDEX('Age profile'!$O$2:$O$61,B958)*(1+in_approval_growth)^(D958-1))</f>
        <v/>
      </c>
      <c r="CD958" s="14">
        <f>F958*CB958*IF(B958&gt;=in_marketplace_from,d_hz_loan_lap*G958,0)*CC958*in_loan_lap_ticket*in_loan_lap_comm</f>
        <v/>
      </c>
      <c r="CE958" s="14">
        <f>AA958+AB958+AC958+AD958+AG958+AJ958+AM958+AP958+AS958+AU958+AX958+BB958+BE958+BG958+BJ958+BL958+BO958+BR958+BT958+BV958+BX958+CA958+CD958</f>
        <v/>
      </c>
    </row>
    <row r="959">
      <c r="A959" s="39" t="n">
        <v>19</v>
      </c>
      <c r="B959" s="39" t="n">
        <v>31</v>
      </c>
      <c r="C959" s="39">
        <f>A959+B959-1</f>
        <v/>
      </c>
      <c r="D959" s="39">
        <f>INT((C959-1)/12)+1</f>
        <v/>
      </c>
      <c r="E959" s="44">
        <f>INDEX(Monthly!$B$2:$B$61,A959)</f>
        <v/>
      </c>
      <c r="F959" s="44">
        <f>E959*INDEX('Age profile'!$B$2:$B$61,B959)</f>
        <v/>
      </c>
      <c r="G959" s="45">
        <f>MIN(in_takeup_cap,INDEX('Age profile'!$N$2:$N$61,B959)*(1+in_takeup_growth)^(D959-1))</f>
        <v/>
      </c>
      <c r="H959" s="11">
        <f>MIN(in_approval_cap,in_approved_first*INDEX('Age profile'!$O$2:$O$61,B959)*(1+in_approval_growth)^(D959-1))</f>
        <v/>
      </c>
      <c r="I959" s="45">
        <f>G959*MIN(in_takeup_cap,INDEX('Age profile'!$O$2:$O$61,B959)*(1+in_approval_growth)^(D959-1))</f>
        <v/>
      </c>
      <c r="J959" s="40">
        <f>(J958-L958)*F959/F958</f>
        <v/>
      </c>
      <c r="K959" s="40">
        <f>(K958-M958)*F959/F958+SUMIFS(O929:O958,B929:B958,B959-1-d_T)*F959</f>
        <v/>
      </c>
      <c r="L959" s="40">
        <f>IF(B959&gt;=in_marketplace_from,J959*d_hz*G959*in_eligible*H959,0)</f>
        <v/>
      </c>
      <c r="M959" s="40">
        <f>IF(B959&gt;=in_marketplace_from,K959*d_hz*G959*in_eligible*in_approved_repeat,0)</f>
        <v/>
      </c>
      <c r="N959" s="40">
        <f>L959+M959</f>
        <v/>
      </c>
      <c r="O959" s="46">
        <f>N959/F959</f>
        <v/>
      </c>
      <c r="P959" s="40">
        <f>F959-J959-K959</f>
        <v/>
      </c>
      <c r="Q959" s="40">
        <f>IF(B959&gt;=in_marketplace_from,(J959+K959)*d_hz*G959,0)</f>
        <v/>
      </c>
      <c r="R959" s="40">
        <f>SUMIFS(N929:N970,B929:B970,"&gt;="&amp;(B959-d_T),B929:B970,"&lt;="&amp;(B959-1))</f>
        <v/>
      </c>
      <c r="S959" s="46">
        <f>(1-d_u)*S958+IF(d_T&gt;in_topup_lag,SUMIFS(O929:O970,B929:B970,B959-in_topup_lag)-d_udrop*SUMIFS(O929:O970,B929:B970,B959-d_T),0)</f>
        <v/>
      </c>
      <c r="T959" s="40">
        <f>F959*d_u*S959</f>
        <v/>
      </c>
      <c r="U959" s="9">
        <f>L959*in_ticket+M959*d_rep_ticket</f>
        <v/>
      </c>
      <c r="V959" s="9">
        <f>U959+T959*d_topup_amt</f>
        <v/>
      </c>
      <c r="W959" s="40">
        <f>N959+T959*d_topup_ratio</f>
        <v/>
      </c>
      <c r="X959" s="40">
        <f>SUMIFS(W929:W970,B929:B970,B959-in_dpd_lag)*d_cured</f>
        <v/>
      </c>
      <c r="Y959" s="40">
        <f>SUMIFS(W929:W970,B929:B970,B959-in_rec_lag)*d_recd</f>
        <v/>
      </c>
      <c r="Z959" s="40">
        <f>IF(AND(B959&gt;=in_marketplace_from,B959&lt;in_marketplace_from+in_card_months),in_card_share/in_card_months*F959*I959,IF(AND(B959&gt;=in_marketplace_from+in_card_months,B959&lt;in_marketplace_from+2*in_card_months),in_card_share*d_card_rem/in_card_months*F959*MIN(in_takeup_cap,(1+in_takeup_growth)^(D959-1))*MIN(in_takeup_cap,(1+in_approval_growth)^(D959-1)),0))</f>
        <v/>
      </c>
      <c r="AA959" s="14">
        <f>V959*in_fee*(1-in_taken_back)</f>
        <v/>
      </c>
      <c r="AB959" s="14">
        <f>SUMIFS(W929:W970,B929:B970,B959-in_dpd_lag)*d_dpd</f>
        <v/>
      </c>
      <c r="AC959" s="14">
        <f>SUMIFS(W929:W970,B929:B970,B959-in_rec_lag)*d_rec</f>
        <v/>
      </c>
      <c r="AD959" s="14">
        <f>Z959*in_card_fee</f>
        <v/>
      </c>
      <c r="AE959" s="40">
        <f>AE958*(1-IF(B958&gt;=in_marketplace_from,d_hz_hlth_small*G958,0))</f>
        <v/>
      </c>
      <c r="AF959" s="46">
        <f>AE959*IF(B959&gt;=in_marketplace_from,d_hz_hlth_small*G959,0)</f>
        <v/>
      </c>
      <c r="AG959" s="14">
        <f>F959*AF959*in_hlth_small_ticket*in_hlth_small_comm*in_ins_partner_share+F959*in_hlth_small_ticket*in_hlth_small_renew_comm*in_ins_partner_share*(in_hlth_small_renew^1*SUMIFS(AF929:AF970,B929:B970,B959-12)+in_hlth_small_renew^2*SUMIFS(AF929:AF970,B929:B970,B959-24)+in_hlth_small_renew^3*SUMIFS(AF929:AF970,B929:B970,B959-36)+in_hlth_small_renew^4*SUMIFS(AF929:AF970,B929:B970,B959-48))</f>
        <v/>
      </c>
      <c r="AH959" s="40">
        <f>AH958*(1-IF(B958&gt;=in_marketplace_from,d_hz_hlth_family*G958,0))</f>
        <v/>
      </c>
      <c r="AI959" s="46">
        <f>AH959*IF(B959&gt;=in_marketplace_from,d_hz_hlth_family*G959,0)</f>
        <v/>
      </c>
      <c r="AJ959" s="14">
        <f>F959*AI959*in_hlth_family_ticket*in_hlth_family_comm*in_ins_partner_share+F959*in_hlth_family_ticket*in_hlth_family_renew_comm*in_ins_partner_share*(in_hlth_family_renew^1*SUMIFS(AI929:AI970,B929:B970,B959-12)+in_hlth_family_renew^2*SUMIFS(AI929:AI970,B929:B970,B959-24)+in_hlth_family_renew^3*SUMIFS(AI929:AI970,B929:B970,B959-36)+in_hlth_family_renew^4*SUMIFS(AI929:AI970,B929:B970,B959-48))</f>
        <v/>
      </c>
      <c r="AK959" s="40">
        <f>AK958*(1-IF(B958&gt;=in_marketplace_from,d_hz_life_term*G958,0))</f>
        <v/>
      </c>
      <c r="AL959" s="46">
        <f>AK959*IF(B959&gt;=in_marketplace_from,d_hz_life_term*G959,0)</f>
        <v/>
      </c>
      <c r="AM959" s="14">
        <f>F959*AL959*in_life_term_ticket*in_life_term_comm*in_ins_partner_share+F959*in_life_term_ticket*in_life_term_renew_comm*in_ins_partner_share*(in_life_term_renew^1*SUMIFS(AL929:AL970,B929:B970,B959-12)+in_life_term_renew^2*SUMIFS(AL929:AL970,B929:B970,B959-24)+in_life_term_renew^3*SUMIFS(AL929:AL970,B929:B970,B959-36)+in_life_term_renew^4*SUMIFS(AL929:AL970,B929:B970,B959-48))</f>
        <v/>
      </c>
      <c r="AN959" s="40">
        <f>AN958*(1-IF(B958&gt;=in_marketplace_from,d_hz_accident*G958,0))</f>
        <v/>
      </c>
      <c r="AO959" s="46">
        <f>AN959*IF(B959&gt;=in_marketplace_from,d_hz_accident*G959,0)</f>
        <v/>
      </c>
      <c r="AP959" s="14">
        <f>F959*AO959*in_accident_ticket*in_accident_comm*in_ins_partner_share+F959*in_accident_ticket*in_accident_renew_comm*in_ins_partner_share*(in_accident_renew^1*SUMIFS(AO929:AO970,B929:B970,B959-12)+in_accident_renew^2*SUMIFS(AO929:AO970,B929:B970,B959-24)+in_accident_renew^3*SUMIFS(AO929:AO970,B929:B970,B959-36)+in_accident_renew^4*SUMIFS(AO929:AO970,B929:B970,B959-48))</f>
        <v/>
      </c>
      <c r="AQ959" s="40">
        <f>AQ958*(1-IF(B958&gt;=in_marketplace_from,d_hz_two_wheeler*G958,0))</f>
        <v/>
      </c>
      <c r="AR959" s="46">
        <f>AQ959*IF(B959&gt;=in_marketplace_from,d_hz_two_wheeler*G959,0)</f>
        <v/>
      </c>
      <c r="AS959" s="14">
        <f>F959*AR959*in_two_wheeler_ticket*in_two_wheeler_comm*in_ins_partner_share+F959*in_two_wheeler_ticket*in_two_wheeler_comm*in_ins_partner_share*(in_two_wheeler_renew^1*SUMIFS(AR929:AR970,B929:B970,B959-12)+in_two_wheeler_renew^2*SUMIFS(AR929:AR970,B929:B970,B959-24)+in_two_wheeler_renew^3*SUMIFS(AR929:AR970,B929:B970,B959-36)+in_two_wheeler_renew^4*SUMIFS(AR929:AR970,B929:B970,B959-48))</f>
        <v/>
      </c>
      <c r="AT959" s="40">
        <f>AT958*(1-IF(B958&gt;=in_marketplace_from,d_hz_device*G958,0))</f>
        <v/>
      </c>
      <c r="AU959" s="14">
        <f>F959*AT959*IF(B959&gt;=in_marketplace_from,d_hz_device*G959,0)*in_device_ticket*in_device_comm*in_ins_partner_share</f>
        <v/>
      </c>
      <c r="AV959" s="40">
        <f>AV958*(1-IF(B958&gt;=in_marketplace_from,d_hz_shop*G958,0))</f>
        <v/>
      </c>
      <c r="AW959" s="46">
        <f>AV959*IF(B959&gt;=in_marketplace_from,d_hz_shop*G959,0)</f>
        <v/>
      </c>
      <c r="AX959" s="14">
        <f>F959*AW959*in_shop_ticket*in_shop_comm*in_ins_partner_share+F959*in_shop_ticket*in_shop_renew_comm*in_ins_partner_share*(in_shop_renew^1*SUMIFS(AW929:AW970,B929:B970,B959-12)+in_shop_renew^2*SUMIFS(AW929:AW970,B929:B970,B959-24)+in_shop_renew^3*SUMIFS(AW929:AW970,B929:B970,B959-36)+in_shop_renew^4*SUMIFS(AW929:AW970,B929:B970,B959-48))</f>
        <v/>
      </c>
      <c r="AY959" s="40">
        <f>AY958*(1-IF(B958&gt;=in_marketplace_from,d_hz_sip*G958,0))</f>
        <v/>
      </c>
      <c r="AZ959" s="40">
        <f>AZ958*d_rho_sip+AY959*IF(B959&gt;=in_marketplace_from,d_hz_sip*G959,0)</f>
        <v/>
      </c>
      <c r="BA959" s="40">
        <f>d_rho_sip*(BA958+AZ958)</f>
        <v/>
      </c>
      <c r="BB959" s="14">
        <f>F959*in_sip_ticket*(BA959+0.5*AZ959)*in_sip_comm/12</f>
        <v/>
      </c>
      <c r="BC959" s="40">
        <f>BC958*(1-IF(B958&gt;=in_marketplace_from,d_hz_choti*G958,0))</f>
        <v/>
      </c>
      <c r="BD959" s="46">
        <f>BC959*IF(B959&gt;=in_marketplace_from,d_hz_choti*G959,0)</f>
        <v/>
      </c>
      <c r="BE959" s="14">
        <f>F959*SUMIFS(BD929:BD970,B929:B970,B959-in_choti_months)*in_choti_renew*in_choti_ticket</f>
        <v/>
      </c>
      <c r="BF959" s="40">
        <f>BF958*(1-IF(B958&gt;=in_marketplace_from,d_hz_nps*G958,0))</f>
        <v/>
      </c>
      <c r="BG959" s="14">
        <f>F959*BF959*IF(B959&gt;=in_marketplace_from,d_hz_nps*G959,0)*in_nps_ticket*in_nps_comm</f>
        <v/>
      </c>
      <c r="BH959" s="40">
        <f>BH958*(1-IF(B958&gt;=in_marketplace_from,d_hz_gold*G958,0))</f>
        <v/>
      </c>
      <c r="BI959" s="40">
        <f>BI958*d_rho_gold+BH959*IF(B959&gt;=in_marketplace_from,d_hz_gold*G959,0)</f>
        <v/>
      </c>
      <c r="BJ959" s="14">
        <f>F959*BI959*in_gold_ticket*in_gold_comm</f>
        <v/>
      </c>
      <c r="BK959" s="40">
        <f>BK958*(1-IF(B958&gt;=in_marketplace_from,d_hz_fd*G958,0))</f>
        <v/>
      </c>
      <c r="BL959" s="14">
        <f>F959*BK959*IF(B959&gt;=in_marketplace_from,d_hz_fd*G959,0)*in_fd_ticket*in_fd_comm</f>
        <v/>
      </c>
      <c r="BM959" s="40">
        <f>BM958*(1-IF(B958&gt;=in_marketplace_from,d_hz_recharge*G958,0))</f>
        <v/>
      </c>
      <c r="BN959" s="40">
        <f>BN958*d_rho_recharge+BM959*IF(B959&gt;=in_marketplace_from,d_hz_recharge*G959,0)</f>
        <v/>
      </c>
      <c r="BO959" s="14">
        <f>F959*BN959*in_recharge_ticket*in_recharge_comm/12</f>
        <v/>
      </c>
      <c r="BP959" s="40">
        <f>BP958*(1-IF(B958&gt;=in_marketplace_from,d_hz_bills*G958,0))</f>
        <v/>
      </c>
      <c r="BQ959" s="40">
        <f>BQ958*d_rho_bills+BP959*IF(B959&gt;=in_marketplace_from,d_hz_bills*G959,0)</f>
        <v/>
      </c>
      <c r="BR959" s="14">
        <f>F959*BQ959*in_bills_ticket*in_bills_comm/12</f>
        <v/>
      </c>
      <c r="BS959" s="40">
        <f>BS958*(1-IF(B958&gt;=in_marketplace_from,d_hz_loan_gold*G958,0))</f>
        <v/>
      </c>
      <c r="BT959" s="14">
        <f>F959*BS959*IF(B959&gt;=in_marketplace_from,d_hz_loan_gold*G959,0)*in_loan_gold_ticket*in_loan_gold_comm</f>
        <v/>
      </c>
      <c r="BU959" s="40">
        <f>BU958*(1-IF(B958&gt;=in_marketplace_from,d_hz_loan_cd*G958,0))</f>
        <v/>
      </c>
      <c r="BV959" s="14">
        <f>F959*BU959*IF(B959&gt;=in_marketplace_from,d_hz_loan_cd*G959,0)*in_loan_cd_ticket*in_loan_cd_comm</f>
        <v/>
      </c>
      <c r="BW959" s="40">
        <f>BW958*(1-IF(B958&gt;=in_marketplace_from,d_hz_loan_vehicle*G958,0))</f>
        <v/>
      </c>
      <c r="BX959" s="14">
        <f>F959*BW959*IF(B959&gt;=in_marketplace_from,d_hz_loan_vehicle*G959,0)*in_loan_vehicle_ticket*in_loan_vehicle_comm</f>
        <v/>
      </c>
      <c r="BY959" s="40">
        <f>BY958*(1-IF(B958&gt;=in_marketplace_from,d_hz_loan_home*G958,0)*BZ958)</f>
        <v/>
      </c>
      <c r="BZ959" s="11">
        <f>MIN(in_approval_cap,in_loan_home_approval*INDEX('Age profile'!$O$2:$O$61,B959)*(1+in_approval_growth)^(D959-1))</f>
        <v/>
      </c>
      <c r="CA959" s="14">
        <f>F959*BY959*IF(B959&gt;=in_marketplace_from,d_hz_loan_home*G959,0)*BZ959*in_loan_home_ticket*in_loan_home_comm</f>
        <v/>
      </c>
      <c r="CB959" s="40">
        <f>CB958*(1-IF(B958&gt;=in_marketplace_from,d_hz_loan_lap*G958,0)*CC958)</f>
        <v/>
      </c>
      <c r="CC959" s="11">
        <f>MIN(in_approval_cap,in_loan_lap_approval*INDEX('Age profile'!$O$2:$O$61,B959)*(1+in_approval_growth)^(D959-1))</f>
        <v/>
      </c>
      <c r="CD959" s="14">
        <f>F959*CB959*IF(B959&gt;=in_marketplace_from,d_hz_loan_lap*G959,0)*CC959*in_loan_lap_ticket*in_loan_lap_comm</f>
        <v/>
      </c>
      <c r="CE959" s="14">
        <f>AA959+AB959+AC959+AD959+AG959+AJ959+AM959+AP959+AS959+AU959+AX959+BB959+BE959+BG959+BJ959+BL959+BO959+BR959+BT959+BV959+BX959+CA959+CD959</f>
        <v/>
      </c>
    </row>
    <row r="960">
      <c r="A960" s="39" t="n">
        <v>19</v>
      </c>
      <c r="B960" s="39" t="n">
        <v>32</v>
      </c>
      <c r="C960" s="39">
        <f>A960+B960-1</f>
        <v/>
      </c>
      <c r="D960" s="39">
        <f>INT((C960-1)/12)+1</f>
        <v/>
      </c>
      <c r="E960" s="44">
        <f>INDEX(Monthly!$B$2:$B$61,A960)</f>
        <v/>
      </c>
      <c r="F960" s="44">
        <f>E960*INDEX('Age profile'!$B$2:$B$61,B960)</f>
        <v/>
      </c>
      <c r="G960" s="45">
        <f>MIN(in_takeup_cap,INDEX('Age profile'!$N$2:$N$61,B960)*(1+in_takeup_growth)^(D960-1))</f>
        <v/>
      </c>
      <c r="H960" s="11">
        <f>MIN(in_approval_cap,in_approved_first*INDEX('Age profile'!$O$2:$O$61,B960)*(1+in_approval_growth)^(D960-1))</f>
        <v/>
      </c>
      <c r="I960" s="45">
        <f>G960*MIN(in_takeup_cap,INDEX('Age profile'!$O$2:$O$61,B960)*(1+in_approval_growth)^(D960-1))</f>
        <v/>
      </c>
      <c r="J960" s="40">
        <f>(J959-L959)*F960/F959</f>
        <v/>
      </c>
      <c r="K960" s="40">
        <f>(K959-M959)*F960/F959+SUMIFS(O929:O959,B929:B959,B960-1-d_T)*F960</f>
        <v/>
      </c>
      <c r="L960" s="40">
        <f>IF(B960&gt;=in_marketplace_from,J960*d_hz*G960*in_eligible*H960,0)</f>
        <v/>
      </c>
      <c r="M960" s="40">
        <f>IF(B960&gt;=in_marketplace_from,K960*d_hz*G960*in_eligible*in_approved_repeat,0)</f>
        <v/>
      </c>
      <c r="N960" s="40">
        <f>L960+M960</f>
        <v/>
      </c>
      <c r="O960" s="46">
        <f>N960/F960</f>
        <v/>
      </c>
      <c r="P960" s="40">
        <f>F960-J960-K960</f>
        <v/>
      </c>
      <c r="Q960" s="40">
        <f>IF(B960&gt;=in_marketplace_from,(J960+K960)*d_hz*G960,0)</f>
        <v/>
      </c>
      <c r="R960" s="40">
        <f>SUMIFS(N929:N970,B929:B970,"&gt;="&amp;(B960-d_T),B929:B970,"&lt;="&amp;(B960-1))</f>
        <v/>
      </c>
      <c r="S960" s="46">
        <f>(1-d_u)*S959+IF(d_T&gt;in_topup_lag,SUMIFS(O929:O970,B929:B970,B960-in_topup_lag)-d_udrop*SUMIFS(O929:O970,B929:B970,B960-d_T),0)</f>
        <v/>
      </c>
      <c r="T960" s="40">
        <f>F960*d_u*S960</f>
        <v/>
      </c>
      <c r="U960" s="9">
        <f>L960*in_ticket+M960*d_rep_ticket</f>
        <v/>
      </c>
      <c r="V960" s="9">
        <f>U960+T960*d_topup_amt</f>
        <v/>
      </c>
      <c r="W960" s="40">
        <f>N960+T960*d_topup_ratio</f>
        <v/>
      </c>
      <c r="X960" s="40">
        <f>SUMIFS(W929:W970,B929:B970,B960-in_dpd_lag)*d_cured</f>
        <v/>
      </c>
      <c r="Y960" s="40">
        <f>SUMIFS(W929:W970,B929:B970,B960-in_rec_lag)*d_recd</f>
        <v/>
      </c>
      <c r="Z960" s="40">
        <f>IF(AND(B960&gt;=in_marketplace_from,B960&lt;in_marketplace_from+in_card_months),in_card_share/in_card_months*F960*I960,IF(AND(B960&gt;=in_marketplace_from+in_card_months,B960&lt;in_marketplace_from+2*in_card_months),in_card_share*d_card_rem/in_card_months*F960*MIN(in_takeup_cap,(1+in_takeup_growth)^(D960-1))*MIN(in_takeup_cap,(1+in_approval_growth)^(D960-1)),0))</f>
        <v/>
      </c>
      <c r="AA960" s="14">
        <f>V960*in_fee*(1-in_taken_back)</f>
        <v/>
      </c>
      <c r="AB960" s="14">
        <f>SUMIFS(W929:W970,B929:B970,B960-in_dpd_lag)*d_dpd</f>
        <v/>
      </c>
      <c r="AC960" s="14">
        <f>SUMIFS(W929:W970,B929:B970,B960-in_rec_lag)*d_rec</f>
        <v/>
      </c>
      <c r="AD960" s="14">
        <f>Z960*in_card_fee</f>
        <v/>
      </c>
      <c r="AE960" s="40">
        <f>AE959*(1-IF(B959&gt;=in_marketplace_from,d_hz_hlth_small*G959,0))</f>
        <v/>
      </c>
      <c r="AF960" s="46">
        <f>AE960*IF(B960&gt;=in_marketplace_from,d_hz_hlth_small*G960,0)</f>
        <v/>
      </c>
      <c r="AG960" s="14">
        <f>F960*AF960*in_hlth_small_ticket*in_hlth_small_comm*in_ins_partner_share+F960*in_hlth_small_ticket*in_hlth_small_renew_comm*in_ins_partner_share*(in_hlth_small_renew^1*SUMIFS(AF929:AF970,B929:B970,B960-12)+in_hlth_small_renew^2*SUMIFS(AF929:AF970,B929:B970,B960-24)+in_hlth_small_renew^3*SUMIFS(AF929:AF970,B929:B970,B960-36)+in_hlth_small_renew^4*SUMIFS(AF929:AF970,B929:B970,B960-48))</f>
        <v/>
      </c>
      <c r="AH960" s="40">
        <f>AH959*(1-IF(B959&gt;=in_marketplace_from,d_hz_hlth_family*G959,0))</f>
        <v/>
      </c>
      <c r="AI960" s="46">
        <f>AH960*IF(B960&gt;=in_marketplace_from,d_hz_hlth_family*G960,0)</f>
        <v/>
      </c>
      <c r="AJ960" s="14">
        <f>F960*AI960*in_hlth_family_ticket*in_hlth_family_comm*in_ins_partner_share+F960*in_hlth_family_ticket*in_hlth_family_renew_comm*in_ins_partner_share*(in_hlth_family_renew^1*SUMIFS(AI929:AI970,B929:B970,B960-12)+in_hlth_family_renew^2*SUMIFS(AI929:AI970,B929:B970,B960-24)+in_hlth_family_renew^3*SUMIFS(AI929:AI970,B929:B970,B960-36)+in_hlth_family_renew^4*SUMIFS(AI929:AI970,B929:B970,B960-48))</f>
        <v/>
      </c>
      <c r="AK960" s="40">
        <f>AK959*(1-IF(B959&gt;=in_marketplace_from,d_hz_life_term*G959,0))</f>
        <v/>
      </c>
      <c r="AL960" s="46">
        <f>AK960*IF(B960&gt;=in_marketplace_from,d_hz_life_term*G960,0)</f>
        <v/>
      </c>
      <c r="AM960" s="14">
        <f>F960*AL960*in_life_term_ticket*in_life_term_comm*in_ins_partner_share+F960*in_life_term_ticket*in_life_term_renew_comm*in_ins_partner_share*(in_life_term_renew^1*SUMIFS(AL929:AL970,B929:B970,B960-12)+in_life_term_renew^2*SUMIFS(AL929:AL970,B929:B970,B960-24)+in_life_term_renew^3*SUMIFS(AL929:AL970,B929:B970,B960-36)+in_life_term_renew^4*SUMIFS(AL929:AL970,B929:B970,B960-48))</f>
        <v/>
      </c>
      <c r="AN960" s="40">
        <f>AN959*(1-IF(B959&gt;=in_marketplace_from,d_hz_accident*G959,0))</f>
        <v/>
      </c>
      <c r="AO960" s="46">
        <f>AN960*IF(B960&gt;=in_marketplace_from,d_hz_accident*G960,0)</f>
        <v/>
      </c>
      <c r="AP960" s="14">
        <f>F960*AO960*in_accident_ticket*in_accident_comm*in_ins_partner_share+F960*in_accident_ticket*in_accident_renew_comm*in_ins_partner_share*(in_accident_renew^1*SUMIFS(AO929:AO970,B929:B970,B960-12)+in_accident_renew^2*SUMIFS(AO929:AO970,B929:B970,B960-24)+in_accident_renew^3*SUMIFS(AO929:AO970,B929:B970,B960-36)+in_accident_renew^4*SUMIFS(AO929:AO970,B929:B970,B960-48))</f>
        <v/>
      </c>
      <c r="AQ960" s="40">
        <f>AQ959*(1-IF(B959&gt;=in_marketplace_from,d_hz_two_wheeler*G959,0))</f>
        <v/>
      </c>
      <c r="AR960" s="46">
        <f>AQ960*IF(B960&gt;=in_marketplace_from,d_hz_two_wheeler*G960,0)</f>
        <v/>
      </c>
      <c r="AS960" s="14">
        <f>F960*AR960*in_two_wheeler_ticket*in_two_wheeler_comm*in_ins_partner_share+F960*in_two_wheeler_ticket*in_two_wheeler_comm*in_ins_partner_share*(in_two_wheeler_renew^1*SUMIFS(AR929:AR970,B929:B970,B960-12)+in_two_wheeler_renew^2*SUMIFS(AR929:AR970,B929:B970,B960-24)+in_two_wheeler_renew^3*SUMIFS(AR929:AR970,B929:B970,B960-36)+in_two_wheeler_renew^4*SUMIFS(AR929:AR970,B929:B970,B960-48))</f>
        <v/>
      </c>
      <c r="AT960" s="40">
        <f>AT959*(1-IF(B959&gt;=in_marketplace_from,d_hz_device*G959,0))</f>
        <v/>
      </c>
      <c r="AU960" s="14">
        <f>F960*AT960*IF(B960&gt;=in_marketplace_from,d_hz_device*G960,0)*in_device_ticket*in_device_comm*in_ins_partner_share</f>
        <v/>
      </c>
      <c r="AV960" s="40">
        <f>AV959*(1-IF(B959&gt;=in_marketplace_from,d_hz_shop*G959,0))</f>
        <v/>
      </c>
      <c r="AW960" s="46">
        <f>AV960*IF(B960&gt;=in_marketplace_from,d_hz_shop*G960,0)</f>
        <v/>
      </c>
      <c r="AX960" s="14">
        <f>F960*AW960*in_shop_ticket*in_shop_comm*in_ins_partner_share+F960*in_shop_ticket*in_shop_renew_comm*in_ins_partner_share*(in_shop_renew^1*SUMIFS(AW929:AW970,B929:B970,B960-12)+in_shop_renew^2*SUMIFS(AW929:AW970,B929:B970,B960-24)+in_shop_renew^3*SUMIFS(AW929:AW970,B929:B970,B960-36)+in_shop_renew^4*SUMIFS(AW929:AW970,B929:B970,B960-48))</f>
        <v/>
      </c>
      <c r="AY960" s="40">
        <f>AY959*(1-IF(B959&gt;=in_marketplace_from,d_hz_sip*G959,0))</f>
        <v/>
      </c>
      <c r="AZ960" s="40">
        <f>AZ959*d_rho_sip+AY960*IF(B960&gt;=in_marketplace_from,d_hz_sip*G960,0)</f>
        <v/>
      </c>
      <c r="BA960" s="40">
        <f>d_rho_sip*(BA959+AZ959)</f>
        <v/>
      </c>
      <c r="BB960" s="14">
        <f>F960*in_sip_ticket*(BA960+0.5*AZ960)*in_sip_comm/12</f>
        <v/>
      </c>
      <c r="BC960" s="40">
        <f>BC959*(1-IF(B959&gt;=in_marketplace_from,d_hz_choti*G959,0))</f>
        <v/>
      </c>
      <c r="BD960" s="46">
        <f>BC960*IF(B960&gt;=in_marketplace_from,d_hz_choti*G960,0)</f>
        <v/>
      </c>
      <c r="BE960" s="14">
        <f>F960*SUMIFS(BD929:BD970,B929:B970,B960-in_choti_months)*in_choti_renew*in_choti_ticket</f>
        <v/>
      </c>
      <c r="BF960" s="40">
        <f>BF959*(1-IF(B959&gt;=in_marketplace_from,d_hz_nps*G959,0))</f>
        <v/>
      </c>
      <c r="BG960" s="14">
        <f>F960*BF960*IF(B960&gt;=in_marketplace_from,d_hz_nps*G960,0)*in_nps_ticket*in_nps_comm</f>
        <v/>
      </c>
      <c r="BH960" s="40">
        <f>BH959*(1-IF(B959&gt;=in_marketplace_from,d_hz_gold*G959,0))</f>
        <v/>
      </c>
      <c r="BI960" s="40">
        <f>BI959*d_rho_gold+BH960*IF(B960&gt;=in_marketplace_from,d_hz_gold*G960,0)</f>
        <v/>
      </c>
      <c r="BJ960" s="14">
        <f>F960*BI960*in_gold_ticket*in_gold_comm</f>
        <v/>
      </c>
      <c r="BK960" s="40">
        <f>BK959*(1-IF(B959&gt;=in_marketplace_from,d_hz_fd*G959,0))</f>
        <v/>
      </c>
      <c r="BL960" s="14">
        <f>F960*BK960*IF(B960&gt;=in_marketplace_from,d_hz_fd*G960,0)*in_fd_ticket*in_fd_comm</f>
        <v/>
      </c>
      <c r="BM960" s="40">
        <f>BM959*(1-IF(B959&gt;=in_marketplace_from,d_hz_recharge*G959,0))</f>
        <v/>
      </c>
      <c r="BN960" s="40">
        <f>BN959*d_rho_recharge+BM960*IF(B960&gt;=in_marketplace_from,d_hz_recharge*G960,0)</f>
        <v/>
      </c>
      <c r="BO960" s="14">
        <f>F960*BN960*in_recharge_ticket*in_recharge_comm/12</f>
        <v/>
      </c>
      <c r="BP960" s="40">
        <f>BP959*(1-IF(B959&gt;=in_marketplace_from,d_hz_bills*G959,0))</f>
        <v/>
      </c>
      <c r="BQ960" s="40">
        <f>BQ959*d_rho_bills+BP960*IF(B960&gt;=in_marketplace_from,d_hz_bills*G960,0)</f>
        <v/>
      </c>
      <c r="BR960" s="14">
        <f>F960*BQ960*in_bills_ticket*in_bills_comm/12</f>
        <v/>
      </c>
      <c r="BS960" s="40">
        <f>BS959*(1-IF(B959&gt;=in_marketplace_from,d_hz_loan_gold*G959,0))</f>
        <v/>
      </c>
      <c r="BT960" s="14">
        <f>F960*BS960*IF(B960&gt;=in_marketplace_from,d_hz_loan_gold*G960,0)*in_loan_gold_ticket*in_loan_gold_comm</f>
        <v/>
      </c>
      <c r="BU960" s="40">
        <f>BU959*(1-IF(B959&gt;=in_marketplace_from,d_hz_loan_cd*G959,0))</f>
        <v/>
      </c>
      <c r="BV960" s="14">
        <f>F960*BU960*IF(B960&gt;=in_marketplace_from,d_hz_loan_cd*G960,0)*in_loan_cd_ticket*in_loan_cd_comm</f>
        <v/>
      </c>
      <c r="BW960" s="40">
        <f>BW959*(1-IF(B959&gt;=in_marketplace_from,d_hz_loan_vehicle*G959,0))</f>
        <v/>
      </c>
      <c r="BX960" s="14">
        <f>F960*BW960*IF(B960&gt;=in_marketplace_from,d_hz_loan_vehicle*G960,0)*in_loan_vehicle_ticket*in_loan_vehicle_comm</f>
        <v/>
      </c>
      <c r="BY960" s="40">
        <f>BY959*(1-IF(B959&gt;=in_marketplace_from,d_hz_loan_home*G959,0)*BZ959)</f>
        <v/>
      </c>
      <c r="BZ960" s="11">
        <f>MIN(in_approval_cap,in_loan_home_approval*INDEX('Age profile'!$O$2:$O$61,B960)*(1+in_approval_growth)^(D960-1))</f>
        <v/>
      </c>
      <c r="CA960" s="14">
        <f>F960*BY960*IF(B960&gt;=in_marketplace_from,d_hz_loan_home*G960,0)*BZ960*in_loan_home_ticket*in_loan_home_comm</f>
        <v/>
      </c>
      <c r="CB960" s="40">
        <f>CB959*(1-IF(B959&gt;=in_marketplace_from,d_hz_loan_lap*G959,0)*CC959)</f>
        <v/>
      </c>
      <c r="CC960" s="11">
        <f>MIN(in_approval_cap,in_loan_lap_approval*INDEX('Age profile'!$O$2:$O$61,B960)*(1+in_approval_growth)^(D960-1))</f>
        <v/>
      </c>
      <c r="CD960" s="14">
        <f>F960*CB960*IF(B960&gt;=in_marketplace_from,d_hz_loan_lap*G960,0)*CC960*in_loan_lap_ticket*in_loan_lap_comm</f>
        <v/>
      </c>
      <c r="CE960" s="14">
        <f>AA960+AB960+AC960+AD960+AG960+AJ960+AM960+AP960+AS960+AU960+AX960+BB960+BE960+BG960+BJ960+BL960+BO960+BR960+BT960+BV960+BX960+CA960+CD960</f>
        <v/>
      </c>
    </row>
    <row r="961">
      <c r="A961" s="39" t="n">
        <v>19</v>
      </c>
      <c r="B961" s="39" t="n">
        <v>33</v>
      </c>
      <c r="C961" s="39">
        <f>A961+B961-1</f>
        <v/>
      </c>
      <c r="D961" s="39">
        <f>INT((C961-1)/12)+1</f>
        <v/>
      </c>
      <c r="E961" s="44">
        <f>INDEX(Monthly!$B$2:$B$61,A961)</f>
        <v/>
      </c>
      <c r="F961" s="44">
        <f>E961*INDEX('Age profile'!$B$2:$B$61,B961)</f>
        <v/>
      </c>
      <c r="G961" s="45">
        <f>MIN(in_takeup_cap,INDEX('Age profile'!$N$2:$N$61,B961)*(1+in_takeup_growth)^(D961-1))</f>
        <v/>
      </c>
      <c r="H961" s="11">
        <f>MIN(in_approval_cap,in_approved_first*INDEX('Age profile'!$O$2:$O$61,B961)*(1+in_approval_growth)^(D961-1))</f>
        <v/>
      </c>
      <c r="I961" s="45">
        <f>G961*MIN(in_takeup_cap,INDEX('Age profile'!$O$2:$O$61,B961)*(1+in_approval_growth)^(D961-1))</f>
        <v/>
      </c>
      <c r="J961" s="40">
        <f>(J960-L960)*F961/F960</f>
        <v/>
      </c>
      <c r="K961" s="40">
        <f>(K960-M960)*F961/F960+SUMIFS(O929:O960,B929:B960,B961-1-d_T)*F961</f>
        <v/>
      </c>
      <c r="L961" s="40">
        <f>IF(B961&gt;=in_marketplace_from,J961*d_hz*G961*in_eligible*H961,0)</f>
        <v/>
      </c>
      <c r="M961" s="40">
        <f>IF(B961&gt;=in_marketplace_from,K961*d_hz*G961*in_eligible*in_approved_repeat,0)</f>
        <v/>
      </c>
      <c r="N961" s="40">
        <f>L961+M961</f>
        <v/>
      </c>
      <c r="O961" s="46">
        <f>N961/F961</f>
        <v/>
      </c>
      <c r="P961" s="40">
        <f>F961-J961-K961</f>
        <v/>
      </c>
      <c r="Q961" s="40">
        <f>IF(B961&gt;=in_marketplace_from,(J961+K961)*d_hz*G961,0)</f>
        <v/>
      </c>
      <c r="R961" s="40">
        <f>SUMIFS(N929:N970,B929:B970,"&gt;="&amp;(B961-d_T),B929:B970,"&lt;="&amp;(B961-1))</f>
        <v/>
      </c>
      <c r="S961" s="46">
        <f>(1-d_u)*S960+IF(d_T&gt;in_topup_lag,SUMIFS(O929:O970,B929:B970,B961-in_topup_lag)-d_udrop*SUMIFS(O929:O970,B929:B970,B961-d_T),0)</f>
        <v/>
      </c>
      <c r="T961" s="40">
        <f>F961*d_u*S961</f>
        <v/>
      </c>
      <c r="U961" s="9">
        <f>L961*in_ticket+M961*d_rep_ticket</f>
        <v/>
      </c>
      <c r="V961" s="9">
        <f>U961+T961*d_topup_amt</f>
        <v/>
      </c>
      <c r="W961" s="40">
        <f>N961+T961*d_topup_ratio</f>
        <v/>
      </c>
      <c r="X961" s="40">
        <f>SUMIFS(W929:W970,B929:B970,B961-in_dpd_lag)*d_cured</f>
        <v/>
      </c>
      <c r="Y961" s="40">
        <f>SUMIFS(W929:W970,B929:B970,B961-in_rec_lag)*d_recd</f>
        <v/>
      </c>
      <c r="Z961" s="40">
        <f>IF(AND(B961&gt;=in_marketplace_from,B961&lt;in_marketplace_from+in_card_months),in_card_share/in_card_months*F961*I961,IF(AND(B961&gt;=in_marketplace_from+in_card_months,B961&lt;in_marketplace_from+2*in_card_months),in_card_share*d_card_rem/in_card_months*F961*MIN(in_takeup_cap,(1+in_takeup_growth)^(D961-1))*MIN(in_takeup_cap,(1+in_approval_growth)^(D961-1)),0))</f>
        <v/>
      </c>
      <c r="AA961" s="14">
        <f>V961*in_fee*(1-in_taken_back)</f>
        <v/>
      </c>
      <c r="AB961" s="14">
        <f>SUMIFS(W929:W970,B929:B970,B961-in_dpd_lag)*d_dpd</f>
        <v/>
      </c>
      <c r="AC961" s="14">
        <f>SUMIFS(W929:W970,B929:B970,B961-in_rec_lag)*d_rec</f>
        <v/>
      </c>
      <c r="AD961" s="14">
        <f>Z961*in_card_fee</f>
        <v/>
      </c>
      <c r="AE961" s="40">
        <f>AE960*(1-IF(B960&gt;=in_marketplace_from,d_hz_hlth_small*G960,0))</f>
        <v/>
      </c>
      <c r="AF961" s="46">
        <f>AE961*IF(B961&gt;=in_marketplace_from,d_hz_hlth_small*G961,0)</f>
        <v/>
      </c>
      <c r="AG961" s="14">
        <f>F961*AF961*in_hlth_small_ticket*in_hlth_small_comm*in_ins_partner_share+F961*in_hlth_small_ticket*in_hlth_small_renew_comm*in_ins_partner_share*(in_hlth_small_renew^1*SUMIFS(AF929:AF970,B929:B970,B961-12)+in_hlth_small_renew^2*SUMIFS(AF929:AF970,B929:B970,B961-24)+in_hlth_small_renew^3*SUMIFS(AF929:AF970,B929:B970,B961-36)+in_hlth_small_renew^4*SUMIFS(AF929:AF970,B929:B970,B961-48))</f>
        <v/>
      </c>
      <c r="AH961" s="40">
        <f>AH960*(1-IF(B960&gt;=in_marketplace_from,d_hz_hlth_family*G960,0))</f>
        <v/>
      </c>
      <c r="AI961" s="46">
        <f>AH961*IF(B961&gt;=in_marketplace_from,d_hz_hlth_family*G961,0)</f>
        <v/>
      </c>
      <c r="AJ961" s="14">
        <f>F961*AI961*in_hlth_family_ticket*in_hlth_family_comm*in_ins_partner_share+F961*in_hlth_family_ticket*in_hlth_family_renew_comm*in_ins_partner_share*(in_hlth_family_renew^1*SUMIFS(AI929:AI970,B929:B970,B961-12)+in_hlth_family_renew^2*SUMIFS(AI929:AI970,B929:B970,B961-24)+in_hlth_family_renew^3*SUMIFS(AI929:AI970,B929:B970,B961-36)+in_hlth_family_renew^4*SUMIFS(AI929:AI970,B929:B970,B961-48))</f>
        <v/>
      </c>
      <c r="AK961" s="40">
        <f>AK960*(1-IF(B960&gt;=in_marketplace_from,d_hz_life_term*G960,0))</f>
        <v/>
      </c>
      <c r="AL961" s="46">
        <f>AK961*IF(B961&gt;=in_marketplace_from,d_hz_life_term*G961,0)</f>
        <v/>
      </c>
      <c r="AM961" s="14">
        <f>F961*AL961*in_life_term_ticket*in_life_term_comm*in_ins_partner_share+F961*in_life_term_ticket*in_life_term_renew_comm*in_ins_partner_share*(in_life_term_renew^1*SUMIFS(AL929:AL970,B929:B970,B961-12)+in_life_term_renew^2*SUMIFS(AL929:AL970,B929:B970,B961-24)+in_life_term_renew^3*SUMIFS(AL929:AL970,B929:B970,B961-36)+in_life_term_renew^4*SUMIFS(AL929:AL970,B929:B970,B961-48))</f>
        <v/>
      </c>
      <c r="AN961" s="40">
        <f>AN960*(1-IF(B960&gt;=in_marketplace_from,d_hz_accident*G960,0))</f>
        <v/>
      </c>
      <c r="AO961" s="46">
        <f>AN961*IF(B961&gt;=in_marketplace_from,d_hz_accident*G961,0)</f>
        <v/>
      </c>
      <c r="AP961" s="14">
        <f>F961*AO961*in_accident_ticket*in_accident_comm*in_ins_partner_share+F961*in_accident_ticket*in_accident_renew_comm*in_ins_partner_share*(in_accident_renew^1*SUMIFS(AO929:AO970,B929:B970,B961-12)+in_accident_renew^2*SUMIFS(AO929:AO970,B929:B970,B961-24)+in_accident_renew^3*SUMIFS(AO929:AO970,B929:B970,B961-36)+in_accident_renew^4*SUMIFS(AO929:AO970,B929:B970,B961-48))</f>
        <v/>
      </c>
      <c r="AQ961" s="40">
        <f>AQ960*(1-IF(B960&gt;=in_marketplace_from,d_hz_two_wheeler*G960,0))</f>
        <v/>
      </c>
      <c r="AR961" s="46">
        <f>AQ961*IF(B961&gt;=in_marketplace_from,d_hz_two_wheeler*G961,0)</f>
        <v/>
      </c>
      <c r="AS961" s="14">
        <f>F961*AR961*in_two_wheeler_ticket*in_two_wheeler_comm*in_ins_partner_share+F961*in_two_wheeler_ticket*in_two_wheeler_comm*in_ins_partner_share*(in_two_wheeler_renew^1*SUMIFS(AR929:AR970,B929:B970,B961-12)+in_two_wheeler_renew^2*SUMIFS(AR929:AR970,B929:B970,B961-24)+in_two_wheeler_renew^3*SUMIFS(AR929:AR970,B929:B970,B961-36)+in_two_wheeler_renew^4*SUMIFS(AR929:AR970,B929:B970,B961-48))</f>
        <v/>
      </c>
      <c r="AT961" s="40">
        <f>AT960*(1-IF(B960&gt;=in_marketplace_from,d_hz_device*G960,0))</f>
        <v/>
      </c>
      <c r="AU961" s="14">
        <f>F961*AT961*IF(B961&gt;=in_marketplace_from,d_hz_device*G961,0)*in_device_ticket*in_device_comm*in_ins_partner_share</f>
        <v/>
      </c>
      <c r="AV961" s="40">
        <f>AV960*(1-IF(B960&gt;=in_marketplace_from,d_hz_shop*G960,0))</f>
        <v/>
      </c>
      <c r="AW961" s="46">
        <f>AV961*IF(B961&gt;=in_marketplace_from,d_hz_shop*G961,0)</f>
        <v/>
      </c>
      <c r="AX961" s="14">
        <f>F961*AW961*in_shop_ticket*in_shop_comm*in_ins_partner_share+F961*in_shop_ticket*in_shop_renew_comm*in_ins_partner_share*(in_shop_renew^1*SUMIFS(AW929:AW970,B929:B970,B961-12)+in_shop_renew^2*SUMIFS(AW929:AW970,B929:B970,B961-24)+in_shop_renew^3*SUMIFS(AW929:AW970,B929:B970,B961-36)+in_shop_renew^4*SUMIFS(AW929:AW970,B929:B970,B961-48))</f>
        <v/>
      </c>
      <c r="AY961" s="40">
        <f>AY960*(1-IF(B960&gt;=in_marketplace_from,d_hz_sip*G960,0))</f>
        <v/>
      </c>
      <c r="AZ961" s="40">
        <f>AZ960*d_rho_sip+AY961*IF(B961&gt;=in_marketplace_from,d_hz_sip*G961,0)</f>
        <v/>
      </c>
      <c r="BA961" s="40">
        <f>d_rho_sip*(BA960+AZ960)</f>
        <v/>
      </c>
      <c r="BB961" s="14">
        <f>F961*in_sip_ticket*(BA961+0.5*AZ961)*in_sip_comm/12</f>
        <v/>
      </c>
      <c r="BC961" s="40">
        <f>BC960*(1-IF(B960&gt;=in_marketplace_from,d_hz_choti*G960,0))</f>
        <v/>
      </c>
      <c r="BD961" s="46">
        <f>BC961*IF(B961&gt;=in_marketplace_from,d_hz_choti*G961,0)</f>
        <v/>
      </c>
      <c r="BE961" s="14">
        <f>F961*SUMIFS(BD929:BD970,B929:B970,B961-in_choti_months)*in_choti_renew*in_choti_ticket</f>
        <v/>
      </c>
      <c r="BF961" s="40">
        <f>BF960*(1-IF(B960&gt;=in_marketplace_from,d_hz_nps*G960,0))</f>
        <v/>
      </c>
      <c r="BG961" s="14">
        <f>F961*BF961*IF(B961&gt;=in_marketplace_from,d_hz_nps*G961,0)*in_nps_ticket*in_nps_comm</f>
        <v/>
      </c>
      <c r="BH961" s="40">
        <f>BH960*(1-IF(B960&gt;=in_marketplace_from,d_hz_gold*G960,0))</f>
        <v/>
      </c>
      <c r="BI961" s="40">
        <f>BI960*d_rho_gold+BH961*IF(B961&gt;=in_marketplace_from,d_hz_gold*G961,0)</f>
        <v/>
      </c>
      <c r="BJ961" s="14">
        <f>F961*BI961*in_gold_ticket*in_gold_comm</f>
        <v/>
      </c>
      <c r="BK961" s="40">
        <f>BK960*(1-IF(B960&gt;=in_marketplace_from,d_hz_fd*G960,0))</f>
        <v/>
      </c>
      <c r="BL961" s="14">
        <f>F961*BK961*IF(B961&gt;=in_marketplace_from,d_hz_fd*G961,0)*in_fd_ticket*in_fd_comm</f>
        <v/>
      </c>
      <c r="BM961" s="40">
        <f>BM960*(1-IF(B960&gt;=in_marketplace_from,d_hz_recharge*G960,0))</f>
        <v/>
      </c>
      <c r="BN961" s="40">
        <f>BN960*d_rho_recharge+BM961*IF(B961&gt;=in_marketplace_from,d_hz_recharge*G961,0)</f>
        <v/>
      </c>
      <c r="BO961" s="14">
        <f>F961*BN961*in_recharge_ticket*in_recharge_comm/12</f>
        <v/>
      </c>
      <c r="BP961" s="40">
        <f>BP960*(1-IF(B960&gt;=in_marketplace_from,d_hz_bills*G960,0))</f>
        <v/>
      </c>
      <c r="BQ961" s="40">
        <f>BQ960*d_rho_bills+BP961*IF(B961&gt;=in_marketplace_from,d_hz_bills*G961,0)</f>
        <v/>
      </c>
      <c r="BR961" s="14">
        <f>F961*BQ961*in_bills_ticket*in_bills_comm/12</f>
        <v/>
      </c>
      <c r="BS961" s="40">
        <f>BS960*(1-IF(B960&gt;=in_marketplace_from,d_hz_loan_gold*G960,0))</f>
        <v/>
      </c>
      <c r="BT961" s="14">
        <f>F961*BS961*IF(B961&gt;=in_marketplace_from,d_hz_loan_gold*G961,0)*in_loan_gold_ticket*in_loan_gold_comm</f>
        <v/>
      </c>
      <c r="BU961" s="40">
        <f>BU960*(1-IF(B960&gt;=in_marketplace_from,d_hz_loan_cd*G960,0))</f>
        <v/>
      </c>
      <c r="BV961" s="14">
        <f>F961*BU961*IF(B961&gt;=in_marketplace_from,d_hz_loan_cd*G961,0)*in_loan_cd_ticket*in_loan_cd_comm</f>
        <v/>
      </c>
      <c r="BW961" s="40">
        <f>BW960*(1-IF(B960&gt;=in_marketplace_from,d_hz_loan_vehicle*G960,0))</f>
        <v/>
      </c>
      <c r="BX961" s="14">
        <f>F961*BW961*IF(B961&gt;=in_marketplace_from,d_hz_loan_vehicle*G961,0)*in_loan_vehicle_ticket*in_loan_vehicle_comm</f>
        <v/>
      </c>
      <c r="BY961" s="40">
        <f>BY960*(1-IF(B960&gt;=in_marketplace_from,d_hz_loan_home*G960,0)*BZ960)</f>
        <v/>
      </c>
      <c r="BZ961" s="11">
        <f>MIN(in_approval_cap,in_loan_home_approval*INDEX('Age profile'!$O$2:$O$61,B961)*(1+in_approval_growth)^(D961-1))</f>
        <v/>
      </c>
      <c r="CA961" s="14">
        <f>F961*BY961*IF(B961&gt;=in_marketplace_from,d_hz_loan_home*G961,0)*BZ961*in_loan_home_ticket*in_loan_home_comm</f>
        <v/>
      </c>
      <c r="CB961" s="40">
        <f>CB960*(1-IF(B960&gt;=in_marketplace_from,d_hz_loan_lap*G960,0)*CC960)</f>
        <v/>
      </c>
      <c r="CC961" s="11">
        <f>MIN(in_approval_cap,in_loan_lap_approval*INDEX('Age profile'!$O$2:$O$61,B961)*(1+in_approval_growth)^(D961-1))</f>
        <v/>
      </c>
      <c r="CD961" s="14">
        <f>F961*CB961*IF(B961&gt;=in_marketplace_from,d_hz_loan_lap*G961,0)*CC961*in_loan_lap_ticket*in_loan_lap_comm</f>
        <v/>
      </c>
      <c r="CE961" s="14">
        <f>AA961+AB961+AC961+AD961+AG961+AJ961+AM961+AP961+AS961+AU961+AX961+BB961+BE961+BG961+BJ961+BL961+BO961+BR961+BT961+BV961+BX961+CA961+CD961</f>
        <v/>
      </c>
    </row>
    <row r="962">
      <c r="A962" s="39" t="n">
        <v>19</v>
      </c>
      <c r="B962" s="39" t="n">
        <v>34</v>
      </c>
      <c r="C962" s="39">
        <f>A962+B962-1</f>
        <v/>
      </c>
      <c r="D962" s="39">
        <f>INT((C962-1)/12)+1</f>
        <v/>
      </c>
      <c r="E962" s="44">
        <f>INDEX(Monthly!$B$2:$B$61,A962)</f>
        <v/>
      </c>
      <c r="F962" s="44">
        <f>E962*INDEX('Age profile'!$B$2:$B$61,B962)</f>
        <v/>
      </c>
      <c r="G962" s="45">
        <f>MIN(in_takeup_cap,INDEX('Age profile'!$N$2:$N$61,B962)*(1+in_takeup_growth)^(D962-1))</f>
        <v/>
      </c>
      <c r="H962" s="11">
        <f>MIN(in_approval_cap,in_approved_first*INDEX('Age profile'!$O$2:$O$61,B962)*(1+in_approval_growth)^(D962-1))</f>
        <v/>
      </c>
      <c r="I962" s="45">
        <f>G962*MIN(in_takeup_cap,INDEX('Age profile'!$O$2:$O$61,B962)*(1+in_approval_growth)^(D962-1))</f>
        <v/>
      </c>
      <c r="J962" s="40">
        <f>(J961-L961)*F962/F961</f>
        <v/>
      </c>
      <c r="K962" s="40">
        <f>(K961-M961)*F962/F961+SUMIFS(O929:O961,B929:B961,B962-1-d_T)*F962</f>
        <v/>
      </c>
      <c r="L962" s="40">
        <f>IF(B962&gt;=in_marketplace_from,J962*d_hz*G962*in_eligible*H962,0)</f>
        <v/>
      </c>
      <c r="M962" s="40">
        <f>IF(B962&gt;=in_marketplace_from,K962*d_hz*G962*in_eligible*in_approved_repeat,0)</f>
        <v/>
      </c>
      <c r="N962" s="40">
        <f>L962+M962</f>
        <v/>
      </c>
      <c r="O962" s="46">
        <f>N962/F962</f>
        <v/>
      </c>
      <c r="P962" s="40">
        <f>F962-J962-K962</f>
        <v/>
      </c>
      <c r="Q962" s="40">
        <f>IF(B962&gt;=in_marketplace_from,(J962+K962)*d_hz*G962,0)</f>
        <v/>
      </c>
      <c r="R962" s="40">
        <f>SUMIFS(N929:N970,B929:B970,"&gt;="&amp;(B962-d_T),B929:B970,"&lt;="&amp;(B962-1))</f>
        <v/>
      </c>
      <c r="S962" s="46">
        <f>(1-d_u)*S961+IF(d_T&gt;in_topup_lag,SUMIFS(O929:O970,B929:B970,B962-in_topup_lag)-d_udrop*SUMIFS(O929:O970,B929:B970,B962-d_T),0)</f>
        <v/>
      </c>
      <c r="T962" s="40">
        <f>F962*d_u*S962</f>
        <v/>
      </c>
      <c r="U962" s="9">
        <f>L962*in_ticket+M962*d_rep_ticket</f>
        <v/>
      </c>
      <c r="V962" s="9">
        <f>U962+T962*d_topup_amt</f>
        <v/>
      </c>
      <c r="W962" s="40">
        <f>N962+T962*d_topup_ratio</f>
        <v/>
      </c>
      <c r="X962" s="40">
        <f>SUMIFS(W929:W970,B929:B970,B962-in_dpd_lag)*d_cured</f>
        <v/>
      </c>
      <c r="Y962" s="40">
        <f>SUMIFS(W929:W970,B929:B970,B962-in_rec_lag)*d_recd</f>
        <v/>
      </c>
      <c r="Z962" s="40">
        <f>IF(AND(B962&gt;=in_marketplace_from,B962&lt;in_marketplace_from+in_card_months),in_card_share/in_card_months*F962*I962,IF(AND(B962&gt;=in_marketplace_from+in_card_months,B962&lt;in_marketplace_from+2*in_card_months),in_card_share*d_card_rem/in_card_months*F962*MIN(in_takeup_cap,(1+in_takeup_growth)^(D962-1))*MIN(in_takeup_cap,(1+in_approval_growth)^(D962-1)),0))</f>
        <v/>
      </c>
      <c r="AA962" s="14">
        <f>V962*in_fee*(1-in_taken_back)</f>
        <v/>
      </c>
      <c r="AB962" s="14">
        <f>SUMIFS(W929:W970,B929:B970,B962-in_dpd_lag)*d_dpd</f>
        <v/>
      </c>
      <c r="AC962" s="14">
        <f>SUMIFS(W929:W970,B929:B970,B962-in_rec_lag)*d_rec</f>
        <v/>
      </c>
      <c r="AD962" s="14">
        <f>Z962*in_card_fee</f>
        <v/>
      </c>
      <c r="AE962" s="40">
        <f>AE961*(1-IF(B961&gt;=in_marketplace_from,d_hz_hlth_small*G961,0))</f>
        <v/>
      </c>
      <c r="AF962" s="46">
        <f>AE962*IF(B962&gt;=in_marketplace_from,d_hz_hlth_small*G962,0)</f>
        <v/>
      </c>
      <c r="AG962" s="14">
        <f>F962*AF962*in_hlth_small_ticket*in_hlth_small_comm*in_ins_partner_share+F962*in_hlth_small_ticket*in_hlth_small_renew_comm*in_ins_partner_share*(in_hlth_small_renew^1*SUMIFS(AF929:AF970,B929:B970,B962-12)+in_hlth_small_renew^2*SUMIFS(AF929:AF970,B929:B970,B962-24)+in_hlth_small_renew^3*SUMIFS(AF929:AF970,B929:B970,B962-36)+in_hlth_small_renew^4*SUMIFS(AF929:AF970,B929:B970,B962-48))</f>
        <v/>
      </c>
      <c r="AH962" s="40">
        <f>AH961*(1-IF(B961&gt;=in_marketplace_from,d_hz_hlth_family*G961,0))</f>
        <v/>
      </c>
      <c r="AI962" s="46">
        <f>AH962*IF(B962&gt;=in_marketplace_from,d_hz_hlth_family*G962,0)</f>
        <v/>
      </c>
      <c r="AJ962" s="14">
        <f>F962*AI962*in_hlth_family_ticket*in_hlth_family_comm*in_ins_partner_share+F962*in_hlth_family_ticket*in_hlth_family_renew_comm*in_ins_partner_share*(in_hlth_family_renew^1*SUMIFS(AI929:AI970,B929:B970,B962-12)+in_hlth_family_renew^2*SUMIFS(AI929:AI970,B929:B970,B962-24)+in_hlth_family_renew^3*SUMIFS(AI929:AI970,B929:B970,B962-36)+in_hlth_family_renew^4*SUMIFS(AI929:AI970,B929:B970,B962-48))</f>
        <v/>
      </c>
      <c r="AK962" s="40">
        <f>AK961*(1-IF(B961&gt;=in_marketplace_from,d_hz_life_term*G961,0))</f>
        <v/>
      </c>
      <c r="AL962" s="46">
        <f>AK962*IF(B962&gt;=in_marketplace_from,d_hz_life_term*G962,0)</f>
        <v/>
      </c>
      <c r="AM962" s="14">
        <f>F962*AL962*in_life_term_ticket*in_life_term_comm*in_ins_partner_share+F962*in_life_term_ticket*in_life_term_renew_comm*in_ins_partner_share*(in_life_term_renew^1*SUMIFS(AL929:AL970,B929:B970,B962-12)+in_life_term_renew^2*SUMIFS(AL929:AL970,B929:B970,B962-24)+in_life_term_renew^3*SUMIFS(AL929:AL970,B929:B970,B962-36)+in_life_term_renew^4*SUMIFS(AL929:AL970,B929:B970,B962-48))</f>
        <v/>
      </c>
      <c r="AN962" s="40">
        <f>AN961*(1-IF(B961&gt;=in_marketplace_from,d_hz_accident*G961,0))</f>
        <v/>
      </c>
      <c r="AO962" s="46">
        <f>AN962*IF(B962&gt;=in_marketplace_from,d_hz_accident*G962,0)</f>
        <v/>
      </c>
      <c r="AP962" s="14">
        <f>F962*AO962*in_accident_ticket*in_accident_comm*in_ins_partner_share+F962*in_accident_ticket*in_accident_renew_comm*in_ins_partner_share*(in_accident_renew^1*SUMIFS(AO929:AO970,B929:B970,B962-12)+in_accident_renew^2*SUMIFS(AO929:AO970,B929:B970,B962-24)+in_accident_renew^3*SUMIFS(AO929:AO970,B929:B970,B962-36)+in_accident_renew^4*SUMIFS(AO929:AO970,B929:B970,B962-48))</f>
        <v/>
      </c>
      <c r="AQ962" s="40">
        <f>AQ961*(1-IF(B961&gt;=in_marketplace_from,d_hz_two_wheeler*G961,0))</f>
        <v/>
      </c>
      <c r="AR962" s="46">
        <f>AQ962*IF(B962&gt;=in_marketplace_from,d_hz_two_wheeler*G962,0)</f>
        <v/>
      </c>
      <c r="AS962" s="14">
        <f>F962*AR962*in_two_wheeler_ticket*in_two_wheeler_comm*in_ins_partner_share+F962*in_two_wheeler_ticket*in_two_wheeler_comm*in_ins_partner_share*(in_two_wheeler_renew^1*SUMIFS(AR929:AR970,B929:B970,B962-12)+in_two_wheeler_renew^2*SUMIFS(AR929:AR970,B929:B970,B962-24)+in_two_wheeler_renew^3*SUMIFS(AR929:AR970,B929:B970,B962-36)+in_two_wheeler_renew^4*SUMIFS(AR929:AR970,B929:B970,B962-48))</f>
        <v/>
      </c>
      <c r="AT962" s="40">
        <f>AT961*(1-IF(B961&gt;=in_marketplace_from,d_hz_device*G961,0))</f>
        <v/>
      </c>
      <c r="AU962" s="14">
        <f>F962*AT962*IF(B962&gt;=in_marketplace_from,d_hz_device*G962,0)*in_device_ticket*in_device_comm*in_ins_partner_share</f>
        <v/>
      </c>
      <c r="AV962" s="40">
        <f>AV961*(1-IF(B961&gt;=in_marketplace_from,d_hz_shop*G961,0))</f>
        <v/>
      </c>
      <c r="AW962" s="46">
        <f>AV962*IF(B962&gt;=in_marketplace_from,d_hz_shop*G962,0)</f>
        <v/>
      </c>
      <c r="AX962" s="14">
        <f>F962*AW962*in_shop_ticket*in_shop_comm*in_ins_partner_share+F962*in_shop_ticket*in_shop_renew_comm*in_ins_partner_share*(in_shop_renew^1*SUMIFS(AW929:AW970,B929:B970,B962-12)+in_shop_renew^2*SUMIFS(AW929:AW970,B929:B970,B962-24)+in_shop_renew^3*SUMIFS(AW929:AW970,B929:B970,B962-36)+in_shop_renew^4*SUMIFS(AW929:AW970,B929:B970,B962-48))</f>
        <v/>
      </c>
      <c r="AY962" s="40">
        <f>AY961*(1-IF(B961&gt;=in_marketplace_from,d_hz_sip*G961,0))</f>
        <v/>
      </c>
      <c r="AZ962" s="40">
        <f>AZ961*d_rho_sip+AY962*IF(B962&gt;=in_marketplace_from,d_hz_sip*G962,0)</f>
        <v/>
      </c>
      <c r="BA962" s="40">
        <f>d_rho_sip*(BA961+AZ961)</f>
        <v/>
      </c>
      <c r="BB962" s="14">
        <f>F962*in_sip_ticket*(BA962+0.5*AZ962)*in_sip_comm/12</f>
        <v/>
      </c>
      <c r="BC962" s="40">
        <f>BC961*(1-IF(B961&gt;=in_marketplace_from,d_hz_choti*G961,0))</f>
        <v/>
      </c>
      <c r="BD962" s="46">
        <f>BC962*IF(B962&gt;=in_marketplace_from,d_hz_choti*G962,0)</f>
        <v/>
      </c>
      <c r="BE962" s="14">
        <f>F962*SUMIFS(BD929:BD970,B929:B970,B962-in_choti_months)*in_choti_renew*in_choti_ticket</f>
        <v/>
      </c>
      <c r="BF962" s="40">
        <f>BF961*(1-IF(B961&gt;=in_marketplace_from,d_hz_nps*G961,0))</f>
        <v/>
      </c>
      <c r="BG962" s="14">
        <f>F962*BF962*IF(B962&gt;=in_marketplace_from,d_hz_nps*G962,0)*in_nps_ticket*in_nps_comm</f>
        <v/>
      </c>
      <c r="BH962" s="40">
        <f>BH961*(1-IF(B961&gt;=in_marketplace_from,d_hz_gold*G961,0))</f>
        <v/>
      </c>
      <c r="BI962" s="40">
        <f>BI961*d_rho_gold+BH962*IF(B962&gt;=in_marketplace_from,d_hz_gold*G962,0)</f>
        <v/>
      </c>
      <c r="BJ962" s="14">
        <f>F962*BI962*in_gold_ticket*in_gold_comm</f>
        <v/>
      </c>
      <c r="BK962" s="40">
        <f>BK961*(1-IF(B961&gt;=in_marketplace_from,d_hz_fd*G961,0))</f>
        <v/>
      </c>
      <c r="BL962" s="14">
        <f>F962*BK962*IF(B962&gt;=in_marketplace_from,d_hz_fd*G962,0)*in_fd_ticket*in_fd_comm</f>
        <v/>
      </c>
      <c r="BM962" s="40">
        <f>BM961*(1-IF(B961&gt;=in_marketplace_from,d_hz_recharge*G961,0))</f>
        <v/>
      </c>
      <c r="BN962" s="40">
        <f>BN961*d_rho_recharge+BM962*IF(B962&gt;=in_marketplace_from,d_hz_recharge*G962,0)</f>
        <v/>
      </c>
      <c r="BO962" s="14">
        <f>F962*BN962*in_recharge_ticket*in_recharge_comm/12</f>
        <v/>
      </c>
      <c r="BP962" s="40">
        <f>BP961*(1-IF(B961&gt;=in_marketplace_from,d_hz_bills*G961,0))</f>
        <v/>
      </c>
      <c r="BQ962" s="40">
        <f>BQ961*d_rho_bills+BP962*IF(B962&gt;=in_marketplace_from,d_hz_bills*G962,0)</f>
        <v/>
      </c>
      <c r="BR962" s="14">
        <f>F962*BQ962*in_bills_ticket*in_bills_comm/12</f>
        <v/>
      </c>
      <c r="BS962" s="40">
        <f>BS961*(1-IF(B961&gt;=in_marketplace_from,d_hz_loan_gold*G961,0))</f>
        <v/>
      </c>
      <c r="BT962" s="14">
        <f>F962*BS962*IF(B962&gt;=in_marketplace_from,d_hz_loan_gold*G962,0)*in_loan_gold_ticket*in_loan_gold_comm</f>
        <v/>
      </c>
      <c r="BU962" s="40">
        <f>BU961*(1-IF(B961&gt;=in_marketplace_from,d_hz_loan_cd*G961,0))</f>
        <v/>
      </c>
      <c r="BV962" s="14">
        <f>F962*BU962*IF(B962&gt;=in_marketplace_from,d_hz_loan_cd*G962,0)*in_loan_cd_ticket*in_loan_cd_comm</f>
        <v/>
      </c>
      <c r="BW962" s="40">
        <f>BW961*(1-IF(B961&gt;=in_marketplace_from,d_hz_loan_vehicle*G961,0))</f>
        <v/>
      </c>
      <c r="BX962" s="14">
        <f>F962*BW962*IF(B962&gt;=in_marketplace_from,d_hz_loan_vehicle*G962,0)*in_loan_vehicle_ticket*in_loan_vehicle_comm</f>
        <v/>
      </c>
      <c r="BY962" s="40">
        <f>BY961*(1-IF(B961&gt;=in_marketplace_from,d_hz_loan_home*G961,0)*BZ961)</f>
        <v/>
      </c>
      <c r="BZ962" s="11">
        <f>MIN(in_approval_cap,in_loan_home_approval*INDEX('Age profile'!$O$2:$O$61,B962)*(1+in_approval_growth)^(D962-1))</f>
        <v/>
      </c>
      <c r="CA962" s="14">
        <f>F962*BY962*IF(B962&gt;=in_marketplace_from,d_hz_loan_home*G962,0)*BZ962*in_loan_home_ticket*in_loan_home_comm</f>
        <v/>
      </c>
      <c r="CB962" s="40">
        <f>CB961*(1-IF(B961&gt;=in_marketplace_from,d_hz_loan_lap*G961,0)*CC961)</f>
        <v/>
      </c>
      <c r="CC962" s="11">
        <f>MIN(in_approval_cap,in_loan_lap_approval*INDEX('Age profile'!$O$2:$O$61,B962)*(1+in_approval_growth)^(D962-1))</f>
        <v/>
      </c>
      <c r="CD962" s="14">
        <f>F962*CB962*IF(B962&gt;=in_marketplace_from,d_hz_loan_lap*G962,0)*CC962*in_loan_lap_ticket*in_loan_lap_comm</f>
        <v/>
      </c>
      <c r="CE962" s="14">
        <f>AA962+AB962+AC962+AD962+AG962+AJ962+AM962+AP962+AS962+AU962+AX962+BB962+BE962+BG962+BJ962+BL962+BO962+BR962+BT962+BV962+BX962+CA962+CD962</f>
        <v/>
      </c>
    </row>
    <row r="963">
      <c r="A963" s="39" t="n">
        <v>19</v>
      </c>
      <c r="B963" s="39" t="n">
        <v>35</v>
      </c>
      <c r="C963" s="39">
        <f>A963+B963-1</f>
        <v/>
      </c>
      <c r="D963" s="39">
        <f>INT((C963-1)/12)+1</f>
        <v/>
      </c>
      <c r="E963" s="44">
        <f>INDEX(Monthly!$B$2:$B$61,A963)</f>
        <v/>
      </c>
      <c r="F963" s="44">
        <f>E963*INDEX('Age profile'!$B$2:$B$61,B963)</f>
        <v/>
      </c>
      <c r="G963" s="45">
        <f>MIN(in_takeup_cap,INDEX('Age profile'!$N$2:$N$61,B963)*(1+in_takeup_growth)^(D963-1))</f>
        <v/>
      </c>
      <c r="H963" s="11">
        <f>MIN(in_approval_cap,in_approved_first*INDEX('Age profile'!$O$2:$O$61,B963)*(1+in_approval_growth)^(D963-1))</f>
        <v/>
      </c>
      <c r="I963" s="45">
        <f>G963*MIN(in_takeup_cap,INDEX('Age profile'!$O$2:$O$61,B963)*(1+in_approval_growth)^(D963-1))</f>
        <v/>
      </c>
      <c r="J963" s="40">
        <f>(J962-L962)*F963/F962</f>
        <v/>
      </c>
      <c r="K963" s="40">
        <f>(K962-M962)*F963/F962+SUMIFS(O929:O962,B929:B962,B963-1-d_T)*F963</f>
        <v/>
      </c>
      <c r="L963" s="40">
        <f>IF(B963&gt;=in_marketplace_from,J963*d_hz*G963*in_eligible*H963,0)</f>
        <v/>
      </c>
      <c r="M963" s="40">
        <f>IF(B963&gt;=in_marketplace_from,K963*d_hz*G963*in_eligible*in_approved_repeat,0)</f>
        <v/>
      </c>
      <c r="N963" s="40">
        <f>L963+M963</f>
        <v/>
      </c>
      <c r="O963" s="46">
        <f>N963/F963</f>
        <v/>
      </c>
      <c r="P963" s="40">
        <f>F963-J963-K963</f>
        <v/>
      </c>
      <c r="Q963" s="40">
        <f>IF(B963&gt;=in_marketplace_from,(J963+K963)*d_hz*G963,0)</f>
        <v/>
      </c>
      <c r="R963" s="40">
        <f>SUMIFS(N929:N970,B929:B970,"&gt;="&amp;(B963-d_T),B929:B970,"&lt;="&amp;(B963-1))</f>
        <v/>
      </c>
      <c r="S963" s="46">
        <f>(1-d_u)*S962+IF(d_T&gt;in_topup_lag,SUMIFS(O929:O970,B929:B970,B963-in_topup_lag)-d_udrop*SUMIFS(O929:O970,B929:B970,B963-d_T),0)</f>
        <v/>
      </c>
      <c r="T963" s="40">
        <f>F963*d_u*S963</f>
        <v/>
      </c>
      <c r="U963" s="9">
        <f>L963*in_ticket+M963*d_rep_ticket</f>
        <v/>
      </c>
      <c r="V963" s="9">
        <f>U963+T963*d_topup_amt</f>
        <v/>
      </c>
      <c r="W963" s="40">
        <f>N963+T963*d_topup_ratio</f>
        <v/>
      </c>
      <c r="X963" s="40">
        <f>SUMIFS(W929:W970,B929:B970,B963-in_dpd_lag)*d_cured</f>
        <v/>
      </c>
      <c r="Y963" s="40">
        <f>SUMIFS(W929:W970,B929:B970,B963-in_rec_lag)*d_recd</f>
        <v/>
      </c>
      <c r="Z963" s="40">
        <f>IF(AND(B963&gt;=in_marketplace_from,B963&lt;in_marketplace_from+in_card_months),in_card_share/in_card_months*F963*I963,IF(AND(B963&gt;=in_marketplace_from+in_card_months,B963&lt;in_marketplace_from+2*in_card_months),in_card_share*d_card_rem/in_card_months*F963*MIN(in_takeup_cap,(1+in_takeup_growth)^(D963-1))*MIN(in_takeup_cap,(1+in_approval_growth)^(D963-1)),0))</f>
        <v/>
      </c>
      <c r="AA963" s="14">
        <f>V963*in_fee*(1-in_taken_back)</f>
        <v/>
      </c>
      <c r="AB963" s="14">
        <f>SUMIFS(W929:W970,B929:B970,B963-in_dpd_lag)*d_dpd</f>
        <v/>
      </c>
      <c r="AC963" s="14">
        <f>SUMIFS(W929:W970,B929:B970,B963-in_rec_lag)*d_rec</f>
        <v/>
      </c>
      <c r="AD963" s="14">
        <f>Z963*in_card_fee</f>
        <v/>
      </c>
      <c r="AE963" s="40">
        <f>AE962*(1-IF(B962&gt;=in_marketplace_from,d_hz_hlth_small*G962,0))</f>
        <v/>
      </c>
      <c r="AF963" s="46">
        <f>AE963*IF(B963&gt;=in_marketplace_from,d_hz_hlth_small*G963,0)</f>
        <v/>
      </c>
      <c r="AG963" s="14">
        <f>F963*AF963*in_hlth_small_ticket*in_hlth_small_comm*in_ins_partner_share+F963*in_hlth_small_ticket*in_hlth_small_renew_comm*in_ins_partner_share*(in_hlth_small_renew^1*SUMIFS(AF929:AF970,B929:B970,B963-12)+in_hlth_small_renew^2*SUMIFS(AF929:AF970,B929:B970,B963-24)+in_hlth_small_renew^3*SUMIFS(AF929:AF970,B929:B970,B963-36)+in_hlth_small_renew^4*SUMIFS(AF929:AF970,B929:B970,B963-48))</f>
        <v/>
      </c>
      <c r="AH963" s="40">
        <f>AH962*(1-IF(B962&gt;=in_marketplace_from,d_hz_hlth_family*G962,0))</f>
        <v/>
      </c>
      <c r="AI963" s="46">
        <f>AH963*IF(B963&gt;=in_marketplace_from,d_hz_hlth_family*G963,0)</f>
        <v/>
      </c>
      <c r="AJ963" s="14">
        <f>F963*AI963*in_hlth_family_ticket*in_hlth_family_comm*in_ins_partner_share+F963*in_hlth_family_ticket*in_hlth_family_renew_comm*in_ins_partner_share*(in_hlth_family_renew^1*SUMIFS(AI929:AI970,B929:B970,B963-12)+in_hlth_family_renew^2*SUMIFS(AI929:AI970,B929:B970,B963-24)+in_hlth_family_renew^3*SUMIFS(AI929:AI970,B929:B970,B963-36)+in_hlth_family_renew^4*SUMIFS(AI929:AI970,B929:B970,B963-48))</f>
        <v/>
      </c>
      <c r="AK963" s="40">
        <f>AK962*(1-IF(B962&gt;=in_marketplace_from,d_hz_life_term*G962,0))</f>
        <v/>
      </c>
      <c r="AL963" s="46">
        <f>AK963*IF(B963&gt;=in_marketplace_from,d_hz_life_term*G963,0)</f>
        <v/>
      </c>
      <c r="AM963" s="14">
        <f>F963*AL963*in_life_term_ticket*in_life_term_comm*in_ins_partner_share+F963*in_life_term_ticket*in_life_term_renew_comm*in_ins_partner_share*(in_life_term_renew^1*SUMIFS(AL929:AL970,B929:B970,B963-12)+in_life_term_renew^2*SUMIFS(AL929:AL970,B929:B970,B963-24)+in_life_term_renew^3*SUMIFS(AL929:AL970,B929:B970,B963-36)+in_life_term_renew^4*SUMIFS(AL929:AL970,B929:B970,B963-48))</f>
        <v/>
      </c>
      <c r="AN963" s="40">
        <f>AN962*(1-IF(B962&gt;=in_marketplace_from,d_hz_accident*G962,0))</f>
        <v/>
      </c>
      <c r="AO963" s="46">
        <f>AN963*IF(B963&gt;=in_marketplace_from,d_hz_accident*G963,0)</f>
        <v/>
      </c>
      <c r="AP963" s="14">
        <f>F963*AO963*in_accident_ticket*in_accident_comm*in_ins_partner_share+F963*in_accident_ticket*in_accident_renew_comm*in_ins_partner_share*(in_accident_renew^1*SUMIFS(AO929:AO970,B929:B970,B963-12)+in_accident_renew^2*SUMIFS(AO929:AO970,B929:B970,B963-24)+in_accident_renew^3*SUMIFS(AO929:AO970,B929:B970,B963-36)+in_accident_renew^4*SUMIFS(AO929:AO970,B929:B970,B963-48))</f>
        <v/>
      </c>
      <c r="AQ963" s="40">
        <f>AQ962*(1-IF(B962&gt;=in_marketplace_from,d_hz_two_wheeler*G962,0))</f>
        <v/>
      </c>
      <c r="AR963" s="46">
        <f>AQ963*IF(B963&gt;=in_marketplace_from,d_hz_two_wheeler*G963,0)</f>
        <v/>
      </c>
      <c r="AS963" s="14">
        <f>F963*AR963*in_two_wheeler_ticket*in_two_wheeler_comm*in_ins_partner_share+F963*in_two_wheeler_ticket*in_two_wheeler_comm*in_ins_partner_share*(in_two_wheeler_renew^1*SUMIFS(AR929:AR970,B929:B970,B963-12)+in_two_wheeler_renew^2*SUMIFS(AR929:AR970,B929:B970,B963-24)+in_two_wheeler_renew^3*SUMIFS(AR929:AR970,B929:B970,B963-36)+in_two_wheeler_renew^4*SUMIFS(AR929:AR970,B929:B970,B963-48))</f>
        <v/>
      </c>
      <c r="AT963" s="40">
        <f>AT962*(1-IF(B962&gt;=in_marketplace_from,d_hz_device*G962,0))</f>
        <v/>
      </c>
      <c r="AU963" s="14">
        <f>F963*AT963*IF(B963&gt;=in_marketplace_from,d_hz_device*G963,0)*in_device_ticket*in_device_comm*in_ins_partner_share</f>
        <v/>
      </c>
      <c r="AV963" s="40">
        <f>AV962*(1-IF(B962&gt;=in_marketplace_from,d_hz_shop*G962,0))</f>
        <v/>
      </c>
      <c r="AW963" s="46">
        <f>AV963*IF(B963&gt;=in_marketplace_from,d_hz_shop*G963,0)</f>
        <v/>
      </c>
      <c r="AX963" s="14">
        <f>F963*AW963*in_shop_ticket*in_shop_comm*in_ins_partner_share+F963*in_shop_ticket*in_shop_renew_comm*in_ins_partner_share*(in_shop_renew^1*SUMIFS(AW929:AW970,B929:B970,B963-12)+in_shop_renew^2*SUMIFS(AW929:AW970,B929:B970,B963-24)+in_shop_renew^3*SUMIFS(AW929:AW970,B929:B970,B963-36)+in_shop_renew^4*SUMIFS(AW929:AW970,B929:B970,B963-48))</f>
        <v/>
      </c>
      <c r="AY963" s="40">
        <f>AY962*(1-IF(B962&gt;=in_marketplace_from,d_hz_sip*G962,0))</f>
        <v/>
      </c>
      <c r="AZ963" s="40">
        <f>AZ962*d_rho_sip+AY963*IF(B963&gt;=in_marketplace_from,d_hz_sip*G963,0)</f>
        <v/>
      </c>
      <c r="BA963" s="40">
        <f>d_rho_sip*(BA962+AZ962)</f>
        <v/>
      </c>
      <c r="BB963" s="14">
        <f>F963*in_sip_ticket*(BA963+0.5*AZ963)*in_sip_comm/12</f>
        <v/>
      </c>
      <c r="BC963" s="40">
        <f>BC962*(1-IF(B962&gt;=in_marketplace_from,d_hz_choti*G962,0))</f>
        <v/>
      </c>
      <c r="BD963" s="46">
        <f>BC963*IF(B963&gt;=in_marketplace_from,d_hz_choti*G963,0)</f>
        <v/>
      </c>
      <c r="BE963" s="14">
        <f>F963*SUMIFS(BD929:BD970,B929:B970,B963-in_choti_months)*in_choti_renew*in_choti_ticket</f>
        <v/>
      </c>
      <c r="BF963" s="40">
        <f>BF962*(1-IF(B962&gt;=in_marketplace_from,d_hz_nps*G962,0))</f>
        <v/>
      </c>
      <c r="BG963" s="14">
        <f>F963*BF963*IF(B963&gt;=in_marketplace_from,d_hz_nps*G963,0)*in_nps_ticket*in_nps_comm</f>
        <v/>
      </c>
      <c r="BH963" s="40">
        <f>BH962*(1-IF(B962&gt;=in_marketplace_from,d_hz_gold*G962,0))</f>
        <v/>
      </c>
      <c r="BI963" s="40">
        <f>BI962*d_rho_gold+BH963*IF(B963&gt;=in_marketplace_from,d_hz_gold*G963,0)</f>
        <v/>
      </c>
      <c r="BJ963" s="14">
        <f>F963*BI963*in_gold_ticket*in_gold_comm</f>
        <v/>
      </c>
      <c r="BK963" s="40">
        <f>BK962*(1-IF(B962&gt;=in_marketplace_from,d_hz_fd*G962,0))</f>
        <v/>
      </c>
      <c r="BL963" s="14">
        <f>F963*BK963*IF(B963&gt;=in_marketplace_from,d_hz_fd*G963,0)*in_fd_ticket*in_fd_comm</f>
        <v/>
      </c>
      <c r="BM963" s="40">
        <f>BM962*(1-IF(B962&gt;=in_marketplace_from,d_hz_recharge*G962,0))</f>
        <v/>
      </c>
      <c r="BN963" s="40">
        <f>BN962*d_rho_recharge+BM963*IF(B963&gt;=in_marketplace_from,d_hz_recharge*G963,0)</f>
        <v/>
      </c>
      <c r="BO963" s="14">
        <f>F963*BN963*in_recharge_ticket*in_recharge_comm/12</f>
        <v/>
      </c>
      <c r="BP963" s="40">
        <f>BP962*(1-IF(B962&gt;=in_marketplace_from,d_hz_bills*G962,0))</f>
        <v/>
      </c>
      <c r="BQ963" s="40">
        <f>BQ962*d_rho_bills+BP963*IF(B963&gt;=in_marketplace_from,d_hz_bills*G963,0)</f>
        <v/>
      </c>
      <c r="BR963" s="14">
        <f>F963*BQ963*in_bills_ticket*in_bills_comm/12</f>
        <v/>
      </c>
      <c r="BS963" s="40">
        <f>BS962*(1-IF(B962&gt;=in_marketplace_from,d_hz_loan_gold*G962,0))</f>
        <v/>
      </c>
      <c r="BT963" s="14">
        <f>F963*BS963*IF(B963&gt;=in_marketplace_from,d_hz_loan_gold*G963,0)*in_loan_gold_ticket*in_loan_gold_comm</f>
        <v/>
      </c>
      <c r="BU963" s="40">
        <f>BU962*(1-IF(B962&gt;=in_marketplace_from,d_hz_loan_cd*G962,0))</f>
        <v/>
      </c>
      <c r="BV963" s="14">
        <f>F963*BU963*IF(B963&gt;=in_marketplace_from,d_hz_loan_cd*G963,0)*in_loan_cd_ticket*in_loan_cd_comm</f>
        <v/>
      </c>
      <c r="BW963" s="40">
        <f>BW962*(1-IF(B962&gt;=in_marketplace_from,d_hz_loan_vehicle*G962,0))</f>
        <v/>
      </c>
      <c r="BX963" s="14">
        <f>F963*BW963*IF(B963&gt;=in_marketplace_from,d_hz_loan_vehicle*G963,0)*in_loan_vehicle_ticket*in_loan_vehicle_comm</f>
        <v/>
      </c>
      <c r="BY963" s="40">
        <f>BY962*(1-IF(B962&gt;=in_marketplace_from,d_hz_loan_home*G962,0)*BZ962)</f>
        <v/>
      </c>
      <c r="BZ963" s="11">
        <f>MIN(in_approval_cap,in_loan_home_approval*INDEX('Age profile'!$O$2:$O$61,B963)*(1+in_approval_growth)^(D963-1))</f>
        <v/>
      </c>
      <c r="CA963" s="14">
        <f>F963*BY963*IF(B963&gt;=in_marketplace_from,d_hz_loan_home*G963,0)*BZ963*in_loan_home_ticket*in_loan_home_comm</f>
        <v/>
      </c>
      <c r="CB963" s="40">
        <f>CB962*(1-IF(B962&gt;=in_marketplace_from,d_hz_loan_lap*G962,0)*CC962)</f>
        <v/>
      </c>
      <c r="CC963" s="11">
        <f>MIN(in_approval_cap,in_loan_lap_approval*INDEX('Age profile'!$O$2:$O$61,B963)*(1+in_approval_growth)^(D963-1))</f>
        <v/>
      </c>
      <c r="CD963" s="14">
        <f>F963*CB963*IF(B963&gt;=in_marketplace_from,d_hz_loan_lap*G963,0)*CC963*in_loan_lap_ticket*in_loan_lap_comm</f>
        <v/>
      </c>
      <c r="CE963" s="14">
        <f>AA963+AB963+AC963+AD963+AG963+AJ963+AM963+AP963+AS963+AU963+AX963+BB963+BE963+BG963+BJ963+BL963+BO963+BR963+BT963+BV963+BX963+CA963+CD963</f>
        <v/>
      </c>
    </row>
    <row r="964">
      <c r="A964" s="39" t="n">
        <v>19</v>
      </c>
      <c r="B964" s="39" t="n">
        <v>36</v>
      </c>
      <c r="C964" s="39">
        <f>A964+B964-1</f>
        <v/>
      </c>
      <c r="D964" s="39">
        <f>INT((C964-1)/12)+1</f>
        <v/>
      </c>
      <c r="E964" s="44">
        <f>INDEX(Monthly!$B$2:$B$61,A964)</f>
        <v/>
      </c>
      <c r="F964" s="44">
        <f>E964*INDEX('Age profile'!$B$2:$B$61,B964)</f>
        <v/>
      </c>
      <c r="G964" s="45">
        <f>MIN(in_takeup_cap,INDEX('Age profile'!$N$2:$N$61,B964)*(1+in_takeup_growth)^(D964-1))</f>
        <v/>
      </c>
      <c r="H964" s="11">
        <f>MIN(in_approval_cap,in_approved_first*INDEX('Age profile'!$O$2:$O$61,B964)*(1+in_approval_growth)^(D964-1))</f>
        <v/>
      </c>
      <c r="I964" s="45">
        <f>G964*MIN(in_takeup_cap,INDEX('Age profile'!$O$2:$O$61,B964)*(1+in_approval_growth)^(D964-1))</f>
        <v/>
      </c>
      <c r="J964" s="40">
        <f>(J963-L963)*F964/F963</f>
        <v/>
      </c>
      <c r="K964" s="40">
        <f>(K963-M963)*F964/F963+SUMIFS(O929:O963,B929:B963,B964-1-d_T)*F964</f>
        <v/>
      </c>
      <c r="L964" s="40">
        <f>IF(B964&gt;=in_marketplace_from,J964*d_hz*G964*in_eligible*H964,0)</f>
        <v/>
      </c>
      <c r="M964" s="40">
        <f>IF(B964&gt;=in_marketplace_from,K964*d_hz*G964*in_eligible*in_approved_repeat,0)</f>
        <v/>
      </c>
      <c r="N964" s="40">
        <f>L964+M964</f>
        <v/>
      </c>
      <c r="O964" s="46">
        <f>N964/F964</f>
        <v/>
      </c>
      <c r="P964" s="40">
        <f>F964-J964-K964</f>
        <v/>
      </c>
      <c r="Q964" s="40">
        <f>IF(B964&gt;=in_marketplace_from,(J964+K964)*d_hz*G964,0)</f>
        <v/>
      </c>
      <c r="R964" s="40">
        <f>SUMIFS(N929:N970,B929:B970,"&gt;="&amp;(B964-d_T),B929:B970,"&lt;="&amp;(B964-1))</f>
        <v/>
      </c>
      <c r="S964" s="46">
        <f>(1-d_u)*S963+IF(d_T&gt;in_topup_lag,SUMIFS(O929:O970,B929:B970,B964-in_topup_lag)-d_udrop*SUMIFS(O929:O970,B929:B970,B964-d_T),0)</f>
        <v/>
      </c>
      <c r="T964" s="40">
        <f>F964*d_u*S964</f>
        <v/>
      </c>
      <c r="U964" s="9">
        <f>L964*in_ticket+M964*d_rep_ticket</f>
        <v/>
      </c>
      <c r="V964" s="9">
        <f>U964+T964*d_topup_amt</f>
        <v/>
      </c>
      <c r="W964" s="40">
        <f>N964+T964*d_topup_ratio</f>
        <v/>
      </c>
      <c r="X964" s="40">
        <f>SUMIFS(W929:W970,B929:B970,B964-in_dpd_lag)*d_cured</f>
        <v/>
      </c>
      <c r="Y964" s="40">
        <f>SUMIFS(W929:W970,B929:B970,B964-in_rec_lag)*d_recd</f>
        <v/>
      </c>
      <c r="Z964" s="40">
        <f>IF(AND(B964&gt;=in_marketplace_from,B964&lt;in_marketplace_from+in_card_months),in_card_share/in_card_months*F964*I964,IF(AND(B964&gt;=in_marketplace_from+in_card_months,B964&lt;in_marketplace_from+2*in_card_months),in_card_share*d_card_rem/in_card_months*F964*MIN(in_takeup_cap,(1+in_takeup_growth)^(D964-1))*MIN(in_takeup_cap,(1+in_approval_growth)^(D964-1)),0))</f>
        <v/>
      </c>
      <c r="AA964" s="14">
        <f>V964*in_fee*(1-in_taken_back)</f>
        <v/>
      </c>
      <c r="AB964" s="14">
        <f>SUMIFS(W929:W970,B929:B970,B964-in_dpd_lag)*d_dpd</f>
        <v/>
      </c>
      <c r="AC964" s="14">
        <f>SUMIFS(W929:W970,B929:B970,B964-in_rec_lag)*d_rec</f>
        <v/>
      </c>
      <c r="AD964" s="14">
        <f>Z964*in_card_fee</f>
        <v/>
      </c>
      <c r="AE964" s="40">
        <f>AE963*(1-IF(B963&gt;=in_marketplace_from,d_hz_hlth_small*G963,0))</f>
        <v/>
      </c>
      <c r="AF964" s="46">
        <f>AE964*IF(B964&gt;=in_marketplace_from,d_hz_hlth_small*G964,0)</f>
        <v/>
      </c>
      <c r="AG964" s="14">
        <f>F964*AF964*in_hlth_small_ticket*in_hlth_small_comm*in_ins_partner_share+F964*in_hlth_small_ticket*in_hlth_small_renew_comm*in_ins_partner_share*(in_hlth_small_renew^1*SUMIFS(AF929:AF970,B929:B970,B964-12)+in_hlth_small_renew^2*SUMIFS(AF929:AF970,B929:B970,B964-24)+in_hlth_small_renew^3*SUMIFS(AF929:AF970,B929:B970,B964-36)+in_hlth_small_renew^4*SUMIFS(AF929:AF970,B929:B970,B964-48))</f>
        <v/>
      </c>
      <c r="AH964" s="40">
        <f>AH963*(1-IF(B963&gt;=in_marketplace_from,d_hz_hlth_family*G963,0))</f>
        <v/>
      </c>
      <c r="AI964" s="46">
        <f>AH964*IF(B964&gt;=in_marketplace_from,d_hz_hlth_family*G964,0)</f>
        <v/>
      </c>
      <c r="AJ964" s="14">
        <f>F964*AI964*in_hlth_family_ticket*in_hlth_family_comm*in_ins_partner_share+F964*in_hlth_family_ticket*in_hlth_family_renew_comm*in_ins_partner_share*(in_hlth_family_renew^1*SUMIFS(AI929:AI970,B929:B970,B964-12)+in_hlth_family_renew^2*SUMIFS(AI929:AI970,B929:B970,B964-24)+in_hlth_family_renew^3*SUMIFS(AI929:AI970,B929:B970,B964-36)+in_hlth_family_renew^4*SUMIFS(AI929:AI970,B929:B970,B964-48))</f>
        <v/>
      </c>
      <c r="AK964" s="40">
        <f>AK963*(1-IF(B963&gt;=in_marketplace_from,d_hz_life_term*G963,0))</f>
        <v/>
      </c>
      <c r="AL964" s="46">
        <f>AK964*IF(B964&gt;=in_marketplace_from,d_hz_life_term*G964,0)</f>
        <v/>
      </c>
      <c r="AM964" s="14">
        <f>F964*AL964*in_life_term_ticket*in_life_term_comm*in_ins_partner_share+F964*in_life_term_ticket*in_life_term_renew_comm*in_ins_partner_share*(in_life_term_renew^1*SUMIFS(AL929:AL970,B929:B970,B964-12)+in_life_term_renew^2*SUMIFS(AL929:AL970,B929:B970,B964-24)+in_life_term_renew^3*SUMIFS(AL929:AL970,B929:B970,B964-36)+in_life_term_renew^4*SUMIFS(AL929:AL970,B929:B970,B964-48))</f>
        <v/>
      </c>
      <c r="AN964" s="40">
        <f>AN963*(1-IF(B963&gt;=in_marketplace_from,d_hz_accident*G963,0))</f>
        <v/>
      </c>
      <c r="AO964" s="46">
        <f>AN964*IF(B964&gt;=in_marketplace_from,d_hz_accident*G964,0)</f>
        <v/>
      </c>
      <c r="AP964" s="14">
        <f>F964*AO964*in_accident_ticket*in_accident_comm*in_ins_partner_share+F964*in_accident_ticket*in_accident_renew_comm*in_ins_partner_share*(in_accident_renew^1*SUMIFS(AO929:AO970,B929:B970,B964-12)+in_accident_renew^2*SUMIFS(AO929:AO970,B929:B970,B964-24)+in_accident_renew^3*SUMIFS(AO929:AO970,B929:B970,B964-36)+in_accident_renew^4*SUMIFS(AO929:AO970,B929:B970,B964-48))</f>
        <v/>
      </c>
      <c r="AQ964" s="40">
        <f>AQ963*(1-IF(B963&gt;=in_marketplace_from,d_hz_two_wheeler*G963,0))</f>
        <v/>
      </c>
      <c r="AR964" s="46">
        <f>AQ964*IF(B964&gt;=in_marketplace_from,d_hz_two_wheeler*G964,0)</f>
        <v/>
      </c>
      <c r="AS964" s="14">
        <f>F964*AR964*in_two_wheeler_ticket*in_two_wheeler_comm*in_ins_partner_share+F964*in_two_wheeler_ticket*in_two_wheeler_comm*in_ins_partner_share*(in_two_wheeler_renew^1*SUMIFS(AR929:AR970,B929:B970,B964-12)+in_two_wheeler_renew^2*SUMIFS(AR929:AR970,B929:B970,B964-24)+in_two_wheeler_renew^3*SUMIFS(AR929:AR970,B929:B970,B964-36)+in_two_wheeler_renew^4*SUMIFS(AR929:AR970,B929:B970,B964-48))</f>
        <v/>
      </c>
      <c r="AT964" s="40">
        <f>AT963*(1-IF(B963&gt;=in_marketplace_from,d_hz_device*G963,0))</f>
        <v/>
      </c>
      <c r="AU964" s="14">
        <f>F964*AT964*IF(B964&gt;=in_marketplace_from,d_hz_device*G964,0)*in_device_ticket*in_device_comm*in_ins_partner_share</f>
        <v/>
      </c>
      <c r="AV964" s="40">
        <f>AV963*(1-IF(B963&gt;=in_marketplace_from,d_hz_shop*G963,0))</f>
        <v/>
      </c>
      <c r="AW964" s="46">
        <f>AV964*IF(B964&gt;=in_marketplace_from,d_hz_shop*G964,0)</f>
        <v/>
      </c>
      <c r="AX964" s="14">
        <f>F964*AW964*in_shop_ticket*in_shop_comm*in_ins_partner_share+F964*in_shop_ticket*in_shop_renew_comm*in_ins_partner_share*(in_shop_renew^1*SUMIFS(AW929:AW970,B929:B970,B964-12)+in_shop_renew^2*SUMIFS(AW929:AW970,B929:B970,B964-24)+in_shop_renew^3*SUMIFS(AW929:AW970,B929:B970,B964-36)+in_shop_renew^4*SUMIFS(AW929:AW970,B929:B970,B964-48))</f>
        <v/>
      </c>
      <c r="AY964" s="40">
        <f>AY963*(1-IF(B963&gt;=in_marketplace_from,d_hz_sip*G963,0))</f>
        <v/>
      </c>
      <c r="AZ964" s="40">
        <f>AZ963*d_rho_sip+AY964*IF(B964&gt;=in_marketplace_from,d_hz_sip*G964,0)</f>
        <v/>
      </c>
      <c r="BA964" s="40">
        <f>d_rho_sip*(BA963+AZ963)</f>
        <v/>
      </c>
      <c r="BB964" s="14">
        <f>F964*in_sip_ticket*(BA964+0.5*AZ964)*in_sip_comm/12</f>
        <v/>
      </c>
      <c r="BC964" s="40">
        <f>BC963*(1-IF(B963&gt;=in_marketplace_from,d_hz_choti*G963,0))</f>
        <v/>
      </c>
      <c r="BD964" s="46">
        <f>BC964*IF(B964&gt;=in_marketplace_from,d_hz_choti*G964,0)</f>
        <v/>
      </c>
      <c r="BE964" s="14">
        <f>F964*SUMIFS(BD929:BD970,B929:B970,B964-in_choti_months)*in_choti_renew*in_choti_ticket</f>
        <v/>
      </c>
      <c r="BF964" s="40">
        <f>BF963*(1-IF(B963&gt;=in_marketplace_from,d_hz_nps*G963,0))</f>
        <v/>
      </c>
      <c r="BG964" s="14">
        <f>F964*BF964*IF(B964&gt;=in_marketplace_from,d_hz_nps*G964,0)*in_nps_ticket*in_nps_comm</f>
        <v/>
      </c>
      <c r="BH964" s="40">
        <f>BH963*(1-IF(B963&gt;=in_marketplace_from,d_hz_gold*G963,0))</f>
        <v/>
      </c>
      <c r="BI964" s="40">
        <f>BI963*d_rho_gold+BH964*IF(B964&gt;=in_marketplace_from,d_hz_gold*G964,0)</f>
        <v/>
      </c>
      <c r="BJ964" s="14">
        <f>F964*BI964*in_gold_ticket*in_gold_comm</f>
        <v/>
      </c>
      <c r="BK964" s="40">
        <f>BK963*(1-IF(B963&gt;=in_marketplace_from,d_hz_fd*G963,0))</f>
        <v/>
      </c>
      <c r="BL964" s="14">
        <f>F964*BK964*IF(B964&gt;=in_marketplace_from,d_hz_fd*G964,0)*in_fd_ticket*in_fd_comm</f>
        <v/>
      </c>
      <c r="BM964" s="40">
        <f>BM963*(1-IF(B963&gt;=in_marketplace_from,d_hz_recharge*G963,0))</f>
        <v/>
      </c>
      <c r="BN964" s="40">
        <f>BN963*d_rho_recharge+BM964*IF(B964&gt;=in_marketplace_from,d_hz_recharge*G964,0)</f>
        <v/>
      </c>
      <c r="BO964" s="14">
        <f>F964*BN964*in_recharge_ticket*in_recharge_comm/12</f>
        <v/>
      </c>
      <c r="BP964" s="40">
        <f>BP963*(1-IF(B963&gt;=in_marketplace_from,d_hz_bills*G963,0))</f>
        <v/>
      </c>
      <c r="BQ964" s="40">
        <f>BQ963*d_rho_bills+BP964*IF(B964&gt;=in_marketplace_from,d_hz_bills*G964,0)</f>
        <v/>
      </c>
      <c r="BR964" s="14">
        <f>F964*BQ964*in_bills_ticket*in_bills_comm/12</f>
        <v/>
      </c>
      <c r="BS964" s="40">
        <f>BS963*(1-IF(B963&gt;=in_marketplace_from,d_hz_loan_gold*G963,0))</f>
        <v/>
      </c>
      <c r="BT964" s="14">
        <f>F964*BS964*IF(B964&gt;=in_marketplace_from,d_hz_loan_gold*G964,0)*in_loan_gold_ticket*in_loan_gold_comm</f>
        <v/>
      </c>
      <c r="BU964" s="40">
        <f>BU963*(1-IF(B963&gt;=in_marketplace_from,d_hz_loan_cd*G963,0))</f>
        <v/>
      </c>
      <c r="BV964" s="14">
        <f>F964*BU964*IF(B964&gt;=in_marketplace_from,d_hz_loan_cd*G964,0)*in_loan_cd_ticket*in_loan_cd_comm</f>
        <v/>
      </c>
      <c r="BW964" s="40">
        <f>BW963*(1-IF(B963&gt;=in_marketplace_from,d_hz_loan_vehicle*G963,0))</f>
        <v/>
      </c>
      <c r="BX964" s="14">
        <f>F964*BW964*IF(B964&gt;=in_marketplace_from,d_hz_loan_vehicle*G964,0)*in_loan_vehicle_ticket*in_loan_vehicle_comm</f>
        <v/>
      </c>
      <c r="BY964" s="40">
        <f>BY963*(1-IF(B963&gt;=in_marketplace_from,d_hz_loan_home*G963,0)*BZ963)</f>
        <v/>
      </c>
      <c r="BZ964" s="11">
        <f>MIN(in_approval_cap,in_loan_home_approval*INDEX('Age profile'!$O$2:$O$61,B964)*(1+in_approval_growth)^(D964-1))</f>
        <v/>
      </c>
      <c r="CA964" s="14">
        <f>F964*BY964*IF(B964&gt;=in_marketplace_from,d_hz_loan_home*G964,0)*BZ964*in_loan_home_ticket*in_loan_home_comm</f>
        <v/>
      </c>
      <c r="CB964" s="40">
        <f>CB963*(1-IF(B963&gt;=in_marketplace_from,d_hz_loan_lap*G963,0)*CC963)</f>
        <v/>
      </c>
      <c r="CC964" s="11">
        <f>MIN(in_approval_cap,in_loan_lap_approval*INDEX('Age profile'!$O$2:$O$61,B964)*(1+in_approval_growth)^(D964-1))</f>
        <v/>
      </c>
      <c r="CD964" s="14">
        <f>F964*CB964*IF(B964&gt;=in_marketplace_from,d_hz_loan_lap*G964,0)*CC964*in_loan_lap_ticket*in_loan_lap_comm</f>
        <v/>
      </c>
      <c r="CE964" s="14">
        <f>AA964+AB964+AC964+AD964+AG964+AJ964+AM964+AP964+AS964+AU964+AX964+BB964+BE964+BG964+BJ964+BL964+BO964+BR964+BT964+BV964+BX964+CA964+CD964</f>
        <v/>
      </c>
    </row>
    <row r="965">
      <c r="A965" s="39" t="n">
        <v>19</v>
      </c>
      <c r="B965" s="39" t="n">
        <v>37</v>
      </c>
      <c r="C965" s="39">
        <f>A965+B965-1</f>
        <v/>
      </c>
      <c r="D965" s="39">
        <f>INT((C965-1)/12)+1</f>
        <v/>
      </c>
      <c r="E965" s="44">
        <f>INDEX(Monthly!$B$2:$B$61,A965)</f>
        <v/>
      </c>
      <c r="F965" s="44">
        <f>E965*INDEX('Age profile'!$B$2:$B$61,B965)</f>
        <v/>
      </c>
      <c r="G965" s="45">
        <f>MIN(in_takeup_cap,INDEX('Age profile'!$N$2:$N$61,B965)*(1+in_takeup_growth)^(D965-1))</f>
        <v/>
      </c>
      <c r="H965" s="11">
        <f>MIN(in_approval_cap,in_approved_first*INDEX('Age profile'!$O$2:$O$61,B965)*(1+in_approval_growth)^(D965-1))</f>
        <v/>
      </c>
      <c r="I965" s="45">
        <f>G965*MIN(in_takeup_cap,INDEX('Age profile'!$O$2:$O$61,B965)*(1+in_approval_growth)^(D965-1))</f>
        <v/>
      </c>
      <c r="J965" s="40">
        <f>(J964-L964)*F965/F964</f>
        <v/>
      </c>
      <c r="K965" s="40">
        <f>(K964-M964)*F965/F964+SUMIFS(O929:O964,B929:B964,B965-1-d_T)*F965</f>
        <v/>
      </c>
      <c r="L965" s="40">
        <f>IF(B965&gt;=in_marketplace_from,J965*d_hz*G965*in_eligible*H965,0)</f>
        <v/>
      </c>
      <c r="M965" s="40">
        <f>IF(B965&gt;=in_marketplace_from,K965*d_hz*G965*in_eligible*in_approved_repeat,0)</f>
        <v/>
      </c>
      <c r="N965" s="40">
        <f>L965+M965</f>
        <v/>
      </c>
      <c r="O965" s="46">
        <f>N965/F965</f>
        <v/>
      </c>
      <c r="P965" s="40">
        <f>F965-J965-K965</f>
        <v/>
      </c>
      <c r="Q965" s="40">
        <f>IF(B965&gt;=in_marketplace_from,(J965+K965)*d_hz*G965,0)</f>
        <v/>
      </c>
      <c r="R965" s="40">
        <f>SUMIFS(N929:N970,B929:B970,"&gt;="&amp;(B965-d_T),B929:B970,"&lt;="&amp;(B965-1))</f>
        <v/>
      </c>
      <c r="S965" s="46">
        <f>(1-d_u)*S964+IF(d_T&gt;in_topup_lag,SUMIFS(O929:O970,B929:B970,B965-in_topup_lag)-d_udrop*SUMIFS(O929:O970,B929:B970,B965-d_T),0)</f>
        <v/>
      </c>
      <c r="T965" s="40">
        <f>F965*d_u*S965</f>
        <v/>
      </c>
      <c r="U965" s="9">
        <f>L965*in_ticket+M965*d_rep_ticket</f>
        <v/>
      </c>
      <c r="V965" s="9">
        <f>U965+T965*d_topup_amt</f>
        <v/>
      </c>
      <c r="W965" s="40">
        <f>N965+T965*d_topup_ratio</f>
        <v/>
      </c>
      <c r="X965" s="40">
        <f>SUMIFS(W929:W970,B929:B970,B965-in_dpd_lag)*d_cured</f>
        <v/>
      </c>
      <c r="Y965" s="40">
        <f>SUMIFS(W929:W970,B929:B970,B965-in_rec_lag)*d_recd</f>
        <v/>
      </c>
      <c r="Z965" s="40">
        <f>IF(AND(B965&gt;=in_marketplace_from,B965&lt;in_marketplace_from+in_card_months),in_card_share/in_card_months*F965*I965,IF(AND(B965&gt;=in_marketplace_from+in_card_months,B965&lt;in_marketplace_from+2*in_card_months),in_card_share*d_card_rem/in_card_months*F965*MIN(in_takeup_cap,(1+in_takeup_growth)^(D965-1))*MIN(in_takeup_cap,(1+in_approval_growth)^(D965-1)),0))</f>
        <v/>
      </c>
      <c r="AA965" s="14">
        <f>V965*in_fee*(1-in_taken_back)</f>
        <v/>
      </c>
      <c r="AB965" s="14">
        <f>SUMIFS(W929:W970,B929:B970,B965-in_dpd_lag)*d_dpd</f>
        <v/>
      </c>
      <c r="AC965" s="14">
        <f>SUMIFS(W929:W970,B929:B970,B965-in_rec_lag)*d_rec</f>
        <v/>
      </c>
      <c r="AD965" s="14">
        <f>Z965*in_card_fee</f>
        <v/>
      </c>
      <c r="AE965" s="40">
        <f>AE964*(1-IF(B964&gt;=in_marketplace_from,d_hz_hlth_small*G964,0))</f>
        <v/>
      </c>
      <c r="AF965" s="46">
        <f>AE965*IF(B965&gt;=in_marketplace_from,d_hz_hlth_small*G965,0)</f>
        <v/>
      </c>
      <c r="AG965" s="14">
        <f>F965*AF965*in_hlth_small_ticket*in_hlth_small_comm*in_ins_partner_share+F965*in_hlth_small_ticket*in_hlth_small_renew_comm*in_ins_partner_share*(in_hlth_small_renew^1*SUMIFS(AF929:AF970,B929:B970,B965-12)+in_hlth_small_renew^2*SUMIFS(AF929:AF970,B929:B970,B965-24)+in_hlth_small_renew^3*SUMIFS(AF929:AF970,B929:B970,B965-36)+in_hlth_small_renew^4*SUMIFS(AF929:AF970,B929:B970,B965-48))</f>
        <v/>
      </c>
      <c r="AH965" s="40">
        <f>AH964*(1-IF(B964&gt;=in_marketplace_from,d_hz_hlth_family*G964,0))</f>
        <v/>
      </c>
      <c r="AI965" s="46">
        <f>AH965*IF(B965&gt;=in_marketplace_from,d_hz_hlth_family*G965,0)</f>
        <v/>
      </c>
      <c r="AJ965" s="14">
        <f>F965*AI965*in_hlth_family_ticket*in_hlth_family_comm*in_ins_partner_share+F965*in_hlth_family_ticket*in_hlth_family_renew_comm*in_ins_partner_share*(in_hlth_family_renew^1*SUMIFS(AI929:AI970,B929:B970,B965-12)+in_hlth_family_renew^2*SUMIFS(AI929:AI970,B929:B970,B965-24)+in_hlth_family_renew^3*SUMIFS(AI929:AI970,B929:B970,B965-36)+in_hlth_family_renew^4*SUMIFS(AI929:AI970,B929:B970,B965-48))</f>
        <v/>
      </c>
      <c r="AK965" s="40">
        <f>AK964*(1-IF(B964&gt;=in_marketplace_from,d_hz_life_term*G964,0))</f>
        <v/>
      </c>
      <c r="AL965" s="46">
        <f>AK965*IF(B965&gt;=in_marketplace_from,d_hz_life_term*G965,0)</f>
        <v/>
      </c>
      <c r="AM965" s="14">
        <f>F965*AL965*in_life_term_ticket*in_life_term_comm*in_ins_partner_share+F965*in_life_term_ticket*in_life_term_renew_comm*in_ins_partner_share*(in_life_term_renew^1*SUMIFS(AL929:AL970,B929:B970,B965-12)+in_life_term_renew^2*SUMIFS(AL929:AL970,B929:B970,B965-24)+in_life_term_renew^3*SUMIFS(AL929:AL970,B929:B970,B965-36)+in_life_term_renew^4*SUMIFS(AL929:AL970,B929:B970,B965-48))</f>
        <v/>
      </c>
      <c r="AN965" s="40">
        <f>AN964*(1-IF(B964&gt;=in_marketplace_from,d_hz_accident*G964,0))</f>
        <v/>
      </c>
      <c r="AO965" s="46">
        <f>AN965*IF(B965&gt;=in_marketplace_from,d_hz_accident*G965,0)</f>
        <v/>
      </c>
      <c r="AP965" s="14">
        <f>F965*AO965*in_accident_ticket*in_accident_comm*in_ins_partner_share+F965*in_accident_ticket*in_accident_renew_comm*in_ins_partner_share*(in_accident_renew^1*SUMIFS(AO929:AO970,B929:B970,B965-12)+in_accident_renew^2*SUMIFS(AO929:AO970,B929:B970,B965-24)+in_accident_renew^3*SUMIFS(AO929:AO970,B929:B970,B965-36)+in_accident_renew^4*SUMIFS(AO929:AO970,B929:B970,B965-48))</f>
        <v/>
      </c>
      <c r="AQ965" s="40">
        <f>AQ964*(1-IF(B964&gt;=in_marketplace_from,d_hz_two_wheeler*G964,0))</f>
        <v/>
      </c>
      <c r="AR965" s="46">
        <f>AQ965*IF(B965&gt;=in_marketplace_from,d_hz_two_wheeler*G965,0)</f>
        <v/>
      </c>
      <c r="AS965" s="14">
        <f>F965*AR965*in_two_wheeler_ticket*in_two_wheeler_comm*in_ins_partner_share+F965*in_two_wheeler_ticket*in_two_wheeler_comm*in_ins_partner_share*(in_two_wheeler_renew^1*SUMIFS(AR929:AR970,B929:B970,B965-12)+in_two_wheeler_renew^2*SUMIFS(AR929:AR970,B929:B970,B965-24)+in_two_wheeler_renew^3*SUMIFS(AR929:AR970,B929:B970,B965-36)+in_two_wheeler_renew^4*SUMIFS(AR929:AR970,B929:B970,B965-48))</f>
        <v/>
      </c>
      <c r="AT965" s="40">
        <f>AT964*(1-IF(B964&gt;=in_marketplace_from,d_hz_device*G964,0))</f>
        <v/>
      </c>
      <c r="AU965" s="14">
        <f>F965*AT965*IF(B965&gt;=in_marketplace_from,d_hz_device*G965,0)*in_device_ticket*in_device_comm*in_ins_partner_share</f>
        <v/>
      </c>
      <c r="AV965" s="40">
        <f>AV964*(1-IF(B964&gt;=in_marketplace_from,d_hz_shop*G964,0))</f>
        <v/>
      </c>
      <c r="AW965" s="46">
        <f>AV965*IF(B965&gt;=in_marketplace_from,d_hz_shop*G965,0)</f>
        <v/>
      </c>
      <c r="AX965" s="14">
        <f>F965*AW965*in_shop_ticket*in_shop_comm*in_ins_partner_share+F965*in_shop_ticket*in_shop_renew_comm*in_ins_partner_share*(in_shop_renew^1*SUMIFS(AW929:AW970,B929:B970,B965-12)+in_shop_renew^2*SUMIFS(AW929:AW970,B929:B970,B965-24)+in_shop_renew^3*SUMIFS(AW929:AW970,B929:B970,B965-36)+in_shop_renew^4*SUMIFS(AW929:AW970,B929:B970,B965-48))</f>
        <v/>
      </c>
      <c r="AY965" s="40">
        <f>AY964*(1-IF(B964&gt;=in_marketplace_from,d_hz_sip*G964,0))</f>
        <v/>
      </c>
      <c r="AZ965" s="40">
        <f>AZ964*d_rho_sip+AY965*IF(B965&gt;=in_marketplace_from,d_hz_sip*G965,0)</f>
        <v/>
      </c>
      <c r="BA965" s="40">
        <f>d_rho_sip*(BA964+AZ964)</f>
        <v/>
      </c>
      <c r="BB965" s="14">
        <f>F965*in_sip_ticket*(BA965+0.5*AZ965)*in_sip_comm/12</f>
        <v/>
      </c>
      <c r="BC965" s="40">
        <f>BC964*(1-IF(B964&gt;=in_marketplace_from,d_hz_choti*G964,0))</f>
        <v/>
      </c>
      <c r="BD965" s="46">
        <f>BC965*IF(B965&gt;=in_marketplace_from,d_hz_choti*G965,0)</f>
        <v/>
      </c>
      <c r="BE965" s="14">
        <f>F965*SUMIFS(BD929:BD970,B929:B970,B965-in_choti_months)*in_choti_renew*in_choti_ticket</f>
        <v/>
      </c>
      <c r="BF965" s="40">
        <f>BF964*(1-IF(B964&gt;=in_marketplace_from,d_hz_nps*G964,0))</f>
        <v/>
      </c>
      <c r="BG965" s="14">
        <f>F965*BF965*IF(B965&gt;=in_marketplace_from,d_hz_nps*G965,0)*in_nps_ticket*in_nps_comm</f>
        <v/>
      </c>
      <c r="BH965" s="40">
        <f>BH964*(1-IF(B964&gt;=in_marketplace_from,d_hz_gold*G964,0))</f>
        <v/>
      </c>
      <c r="BI965" s="40">
        <f>BI964*d_rho_gold+BH965*IF(B965&gt;=in_marketplace_from,d_hz_gold*G965,0)</f>
        <v/>
      </c>
      <c r="BJ965" s="14">
        <f>F965*BI965*in_gold_ticket*in_gold_comm</f>
        <v/>
      </c>
      <c r="BK965" s="40">
        <f>BK964*(1-IF(B964&gt;=in_marketplace_from,d_hz_fd*G964,0))</f>
        <v/>
      </c>
      <c r="BL965" s="14">
        <f>F965*BK965*IF(B965&gt;=in_marketplace_from,d_hz_fd*G965,0)*in_fd_ticket*in_fd_comm</f>
        <v/>
      </c>
      <c r="BM965" s="40">
        <f>BM964*(1-IF(B964&gt;=in_marketplace_from,d_hz_recharge*G964,0))</f>
        <v/>
      </c>
      <c r="BN965" s="40">
        <f>BN964*d_rho_recharge+BM965*IF(B965&gt;=in_marketplace_from,d_hz_recharge*G965,0)</f>
        <v/>
      </c>
      <c r="BO965" s="14">
        <f>F965*BN965*in_recharge_ticket*in_recharge_comm/12</f>
        <v/>
      </c>
      <c r="BP965" s="40">
        <f>BP964*(1-IF(B964&gt;=in_marketplace_from,d_hz_bills*G964,0))</f>
        <v/>
      </c>
      <c r="BQ965" s="40">
        <f>BQ964*d_rho_bills+BP965*IF(B965&gt;=in_marketplace_from,d_hz_bills*G965,0)</f>
        <v/>
      </c>
      <c r="BR965" s="14">
        <f>F965*BQ965*in_bills_ticket*in_bills_comm/12</f>
        <v/>
      </c>
      <c r="BS965" s="40">
        <f>BS964*(1-IF(B964&gt;=in_marketplace_from,d_hz_loan_gold*G964,0))</f>
        <v/>
      </c>
      <c r="BT965" s="14">
        <f>F965*BS965*IF(B965&gt;=in_marketplace_from,d_hz_loan_gold*G965,0)*in_loan_gold_ticket*in_loan_gold_comm</f>
        <v/>
      </c>
      <c r="BU965" s="40">
        <f>BU964*(1-IF(B964&gt;=in_marketplace_from,d_hz_loan_cd*G964,0))</f>
        <v/>
      </c>
      <c r="BV965" s="14">
        <f>F965*BU965*IF(B965&gt;=in_marketplace_from,d_hz_loan_cd*G965,0)*in_loan_cd_ticket*in_loan_cd_comm</f>
        <v/>
      </c>
      <c r="BW965" s="40">
        <f>BW964*(1-IF(B964&gt;=in_marketplace_from,d_hz_loan_vehicle*G964,0))</f>
        <v/>
      </c>
      <c r="BX965" s="14">
        <f>F965*BW965*IF(B965&gt;=in_marketplace_from,d_hz_loan_vehicle*G965,0)*in_loan_vehicle_ticket*in_loan_vehicle_comm</f>
        <v/>
      </c>
      <c r="BY965" s="40">
        <f>BY964*(1-IF(B964&gt;=in_marketplace_from,d_hz_loan_home*G964,0)*BZ964)</f>
        <v/>
      </c>
      <c r="BZ965" s="11">
        <f>MIN(in_approval_cap,in_loan_home_approval*INDEX('Age profile'!$O$2:$O$61,B965)*(1+in_approval_growth)^(D965-1))</f>
        <v/>
      </c>
      <c r="CA965" s="14">
        <f>F965*BY965*IF(B965&gt;=in_marketplace_from,d_hz_loan_home*G965,0)*BZ965*in_loan_home_ticket*in_loan_home_comm</f>
        <v/>
      </c>
      <c r="CB965" s="40">
        <f>CB964*(1-IF(B964&gt;=in_marketplace_from,d_hz_loan_lap*G964,0)*CC964)</f>
        <v/>
      </c>
      <c r="CC965" s="11">
        <f>MIN(in_approval_cap,in_loan_lap_approval*INDEX('Age profile'!$O$2:$O$61,B965)*(1+in_approval_growth)^(D965-1))</f>
        <v/>
      </c>
      <c r="CD965" s="14">
        <f>F965*CB965*IF(B965&gt;=in_marketplace_from,d_hz_loan_lap*G965,0)*CC965*in_loan_lap_ticket*in_loan_lap_comm</f>
        <v/>
      </c>
      <c r="CE965" s="14">
        <f>AA965+AB965+AC965+AD965+AG965+AJ965+AM965+AP965+AS965+AU965+AX965+BB965+BE965+BG965+BJ965+BL965+BO965+BR965+BT965+BV965+BX965+CA965+CD965</f>
        <v/>
      </c>
    </row>
    <row r="966">
      <c r="A966" s="39" t="n">
        <v>19</v>
      </c>
      <c r="B966" s="39" t="n">
        <v>38</v>
      </c>
      <c r="C966" s="39">
        <f>A966+B966-1</f>
        <v/>
      </c>
      <c r="D966" s="39">
        <f>INT((C966-1)/12)+1</f>
        <v/>
      </c>
      <c r="E966" s="44">
        <f>INDEX(Monthly!$B$2:$B$61,A966)</f>
        <v/>
      </c>
      <c r="F966" s="44">
        <f>E966*INDEX('Age profile'!$B$2:$B$61,B966)</f>
        <v/>
      </c>
      <c r="G966" s="45">
        <f>MIN(in_takeup_cap,INDEX('Age profile'!$N$2:$N$61,B966)*(1+in_takeup_growth)^(D966-1))</f>
        <v/>
      </c>
      <c r="H966" s="11">
        <f>MIN(in_approval_cap,in_approved_first*INDEX('Age profile'!$O$2:$O$61,B966)*(1+in_approval_growth)^(D966-1))</f>
        <v/>
      </c>
      <c r="I966" s="45">
        <f>G966*MIN(in_takeup_cap,INDEX('Age profile'!$O$2:$O$61,B966)*(1+in_approval_growth)^(D966-1))</f>
        <v/>
      </c>
      <c r="J966" s="40">
        <f>(J965-L965)*F966/F965</f>
        <v/>
      </c>
      <c r="K966" s="40">
        <f>(K965-M965)*F966/F965+SUMIFS(O929:O965,B929:B965,B966-1-d_T)*F966</f>
        <v/>
      </c>
      <c r="L966" s="40">
        <f>IF(B966&gt;=in_marketplace_from,J966*d_hz*G966*in_eligible*H966,0)</f>
        <v/>
      </c>
      <c r="M966" s="40">
        <f>IF(B966&gt;=in_marketplace_from,K966*d_hz*G966*in_eligible*in_approved_repeat,0)</f>
        <v/>
      </c>
      <c r="N966" s="40">
        <f>L966+M966</f>
        <v/>
      </c>
      <c r="O966" s="46">
        <f>N966/F966</f>
        <v/>
      </c>
      <c r="P966" s="40">
        <f>F966-J966-K966</f>
        <v/>
      </c>
      <c r="Q966" s="40">
        <f>IF(B966&gt;=in_marketplace_from,(J966+K966)*d_hz*G966,0)</f>
        <v/>
      </c>
      <c r="R966" s="40">
        <f>SUMIFS(N929:N970,B929:B970,"&gt;="&amp;(B966-d_T),B929:B970,"&lt;="&amp;(B966-1))</f>
        <v/>
      </c>
      <c r="S966" s="46">
        <f>(1-d_u)*S965+IF(d_T&gt;in_topup_lag,SUMIFS(O929:O970,B929:B970,B966-in_topup_lag)-d_udrop*SUMIFS(O929:O970,B929:B970,B966-d_T),0)</f>
        <v/>
      </c>
      <c r="T966" s="40">
        <f>F966*d_u*S966</f>
        <v/>
      </c>
      <c r="U966" s="9">
        <f>L966*in_ticket+M966*d_rep_ticket</f>
        <v/>
      </c>
      <c r="V966" s="9">
        <f>U966+T966*d_topup_amt</f>
        <v/>
      </c>
      <c r="W966" s="40">
        <f>N966+T966*d_topup_ratio</f>
        <v/>
      </c>
      <c r="X966" s="40">
        <f>SUMIFS(W929:W970,B929:B970,B966-in_dpd_lag)*d_cured</f>
        <v/>
      </c>
      <c r="Y966" s="40">
        <f>SUMIFS(W929:W970,B929:B970,B966-in_rec_lag)*d_recd</f>
        <v/>
      </c>
      <c r="Z966" s="40">
        <f>IF(AND(B966&gt;=in_marketplace_from,B966&lt;in_marketplace_from+in_card_months),in_card_share/in_card_months*F966*I966,IF(AND(B966&gt;=in_marketplace_from+in_card_months,B966&lt;in_marketplace_from+2*in_card_months),in_card_share*d_card_rem/in_card_months*F966*MIN(in_takeup_cap,(1+in_takeup_growth)^(D966-1))*MIN(in_takeup_cap,(1+in_approval_growth)^(D966-1)),0))</f>
        <v/>
      </c>
      <c r="AA966" s="14">
        <f>V966*in_fee*(1-in_taken_back)</f>
        <v/>
      </c>
      <c r="AB966" s="14">
        <f>SUMIFS(W929:W970,B929:B970,B966-in_dpd_lag)*d_dpd</f>
        <v/>
      </c>
      <c r="AC966" s="14">
        <f>SUMIFS(W929:W970,B929:B970,B966-in_rec_lag)*d_rec</f>
        <v/>
      </c>
      <c r="AD966" s="14">
        <f>Z966*in_card_fee</f>
        <v/>
      </c>
      <c r="AE966" s="40">
        <f>AE965*(1-IF(B965&gt;=in_marketplace_from,d_hz_hlth_small*G965,0))</f>
        <v/>
      </c>
      <c r="AF966" s="46">
        <f>AE966*IF(B966&gt;=in_marketplace_from,d_hz_hlth_small*G966,0)</f>
        <v/>
      </c>
      <c r="AG966" s="14">
        <f>F966*AF966*in_hlth_small_ticket*in_hlth_small_comm*in_ins_partner_share+F966*in_hlth_small_ticket*in_hlth_small_renew_comm*in_ins_partner_share*(in_hlth_small_renew^1*SUMIFS(AF929:AF970,B929:B970,B966-12)+in_hlth_small_renew^2*SUMIFS(AF929:AF970,B929:B970,B966-24)+in_hlth_small_renew^3*SUMIFS(AF929:AF970,B929:B970,B966-36)+in_hlth_small_renew^4*SUMIFS(AF929:AF970,B929:B970,B966-48))</f>
        <v/>
      </c>
      <c r="AH966" s="40">
        <f>AH965*(1-IF(B965&gt;=in_marketplace_from,d_hz_hlth_family*G965,0))</f>
        <v/>
      </c>
      <c r="AI966" s="46">
        <f>AH966*IF(B966&gt;=in_marketplace_from,d_hz_hlth_family*G966,0)</f>
        <v/>
      </c>
      <c r="AJ966" s="14">
        <f>F966*AI966*in_hlth_family_ticket*in_hlth_family_comm*in_ins_partner_share+F966*in_hlth_family_ticket*in_hlth_family_renew_comm*in_ins_partner_share*(in_hlth_family_renew^1*SUMIFS(AI929:AI970,B929:B970,B966-12)+in_hlth_family_renew^2*SUMIFS(AI929:AI970,B929:B970,B966-24)+in_hlth_family_renew^3*SUMIFS(AI929:AI970,B929:B970,B966-36)+in_hlth_family_renew^4*SUMIFS(AI929:AI970,B929:B970,B966-48))</f>
        <v/>
      </c>
      <c r="AK966" s="40">
        <f>AK965*(1-IF(B965&gt;=in_marketplace_from,d_hz_life_term*G965,0))</f>
        <v/>
      </c>
      <c r="AL966" s="46">
        <f>AK966*IF(B966&gt;=in_marketplace_from,d_hz_life_term*G966,0)</f>
        <v/>
      </c>
      <c r="AM966" s="14">
        <f>F966*AL966*in_life_term_ticket*in_life_term_comm*in_ins_partner_share+F966*in_life_term_ticket*in_life_term_renew_comm*in_ins_partner_share*(in_life_term_renew^1*SUMIFS(AL929:AL970,B929:B970,B966-12)+in_life_term_renew^2*SUMIFS(AL929:AL970,B929:B970,B966-24)+in_life_term_renew^3*SUMIFS(AL929:AL970,B929:B970,B966-36)+in_life_term_renew^4*SUMIFS(AL929:AL970,B929:B970,B966-48))</f>
        <v/>
      </c>
      <c r="AN966" s="40">
        <f>AN965*(1-IF(B965&gt;=in_marketplace_from,d_hz_accident*G965,0))</f>
        <v/>
      </c>
      <c r="AO966" s="46">
        <f>AN966*IF(B966&gt;=in_marketplace_from,d_hz_accident*G966,0)</f>
        <v/>
      </c>
      <c r="AP966" s="14">
        <f>F966*AO966*in_accident_ticket*in_accident_comm*in_ins_partner_share+F966*in_accident_ticket*in_accident_renew_comm*in_ins_partner_share*(in_accident_renew^1*SUMIFS(AO929:AO970,B929:B970,B966-12)+in_accident_renew^2*SUMIFS(AO929:AO970,B929:B970,B966-24)+in_accident_renew^3*SUMIFS(AO929:AO970,B929:B970,B966-36)+in_accident_renew^4*SUMIFS(AO929:AO970,B929:B970,B966-48))</f>
        <v/>
      </c>
      <c r="AQ966" s="40">
        <f>AQ965*(1-IF(B965&gt;=in_marketplace_from,d_hz_two_wheeler*G965,0))</f>
        <v/>
      </c>
      <c r="AR966" s="46">
        <f>AQ966*IF(B966&gt;=in_marketplace_from,d_hz_two_wheeler*G966,0)</f>
        <v/>
      </c>
      <c r="AS966" s="14">
        <f>F966*AR966*in_two_wheeler_ticket*in_two_wheeler_comm*in_ins_partner_share+F966*in_two_wheeler_ticket*in_two_wheeler_comm*in_ins_partner_share*(in_two_wheeler_renew^1*SUMIFS(AR929:AR970,B929:B970,B966-12)+in_two_wheeler_renew^2*SUMIFS(AR929:AR970,B929:B970,B966-24)+in_two_wheeler_renew^3*SUMIFS(AR929:AR970,B929:B970,B966-36)+in_two_wheeler_renew^4*SUMIFS(AR929:AR970,B929:B970,B966-48))</f>
        <v/>
      </c>
      <c r="AT966" s="40">
        <f>AT965*(1-IF(B965&gt;=in_marketplace_from,d_hz_device*G965,0))</f>
        <v/>
      </c>
      <c r="AU966" s="14">
        <f>F966*AT966*IF(B966&gt;=in_marketplace_from,d_hz_device*G966,0)*in_device_ticket*in_device_comm*in_ins_partner_share</f>
        <v/>
      </c>
      <c r="AV966" s="40">
        <f>AV965*(1-IF(B965&gt;=in_marketplace_from,d_hz_shop*G965,0))</f>
        <v/>
      </c>
      <c r="AW966" s="46">
        <f>AV966*IF(B966&gt;=in_marketplace_from,d_hz_shop*G966,0)</f>
        <v/>
      </c>
      <c r="AX966" s="14">
        <f>F966*AW966*in_shop_ticket*in_shop_comm*in_ins_partner_share+F966*in_shop_ticket*in_shop_renew_comm*in_ins_partner_share*(in_shop_renew^1*SUMIFS(AW929:AW970,B929:B970,B966-12)+in_shop_renew^2*SUMIFS(AW929:AW970,B929:B970,B966-24)+in_shop_renew^3*SUMIFS(AW929:AW970,B929:B970,B966-36)+in_shop_renew^4*SUMIFS(AW929:AW970,B929:B970,B966-48))</f>
        <v/>
      </c>
      <c r="AY966" s="40">
        <f>AY965*(1-IF(B965&gt;=in_marketplace_from,d_hz_sip*G965,0))</f>
        <v/>
      </c>
      <c r="AZ966" s="40">
        <f>AZ965*d_rho_sip+AY966*IF(B966&gt;=in_marketplace_from,d_hz_sip*G966,0)</f>
        <v/>
      </c>
      <c r="BA966" s="40">
        <f>d_rho_sip*(BA965+AZ965)</f>
        <v/>
      </c>
      <c r="BB966" s="14">
        <f>F966*in_sip_ticket*(BA966+0.5*AZ966)*in_sip_comm/12</f>
        <v/>
      </c>
      <c r="BC966" s="40">
        <f>BC965*(1-IF(B965&gt;=in_marketplace_from,d_hz_choti*G965,0))</f>
        <v/>
      </c>
      <c r="BD966" s="46">
        <f>BC966*IF(B966&gt;=in_marketplace_from,d_hz_choti*G966,0)</f>
        <v/>
      </c>
      <c r="BE966" s="14">
        <f>F966*SUMIFS(BD929:BD970,B929:B970,B966-in_choti_months)*in_choti_renew*in_choti_ticket</f>
        <v/>
      </c>
      <c r="BF966" s="40">
        <f>BF965*(1-IF(B965&gt;=in_marketplace_from,d_hz_nps*G965,0))</f>
        <v/>
      </c>
      <c r="BG966" s="14">
        <f>F966*BF966*IF(B966&gt;=in_marketplace_from,d_hz_nps*G966,0)*in_nps_ticket*in_nps_comm</f>
        <v/>
      </c>
      <c r="BH966" s="40">
        <f>BH965*(1-IF(B965&gt;=in_marketplace_from,d_hz_gold*G965,0))</f>
        <v/>
      </c>
      <c r="BI966" s="40">
        <f>BI965*d_rho_gold+BH966*IF(B966&gt;=in_marketplace_from,d_hz_gold*G966,0)</f>
        <v/>
      </c>
      <c r="BJ966" s="14">
        <f>F966*BI966*in_gold_ticket*in_gold_comm</f>
        <v/>
      </c>
      <c r="BK966" s="40">
        <f>BK965*(1-IF(B965&gt;=in_marketplace_from,d_hz_fd*G965,0))</f>
        <v/>
      </c>
      <c r="BL966" s="14">
        <f>F966*BK966*IF(B966&gt;=in_marketplace_from,d_hz_fd*G966,0)*in_fd_ticket*in_fd_comm</f>
        <v/>
      </c>
      <c r="BM966" s="40">
        <f>BM965*(1-IF(B965&gt;=in_marketplace_from,d_hz_recharge*G965,0))</f>
        <v/>
      </c>
      <c r="BN966" s="40">
        <f>BN965*d_rho_recharge+BM966*IF(B966&gt;=in_marketplace_from,d_hz_recharge*G966,0)</f>
        <v/>
      </c>
      <c r="BO966" s="14">
        <f>F966*BN966*in_recharge_ticket*in_recharge_comm/12</f>
        <v/>
      </c>
      <c r="BP966" s="40">
        <f>BP965*(1-IF(B965&gt;=in_marketplace_from,d_hz_bills*G965,0))</f>
        <v/>
      </c>
      <c r="BQ966" s="40">
        <f>BQ965*d_rho_bills+BP966*IF(B966&gt;=in_marketplace_from,d_hz_bills*G966,0)</f>
        <v/>
      </c>
      <c r="BR966" s="14">
        <f>F966*BQ966*in_bills_ticket*in_bills_comm/12</f>
        <v/>
      </c>
      <c r="BS966" s="40">
        <f>BS965*(1-IF(B965&gt;=in_marketplace_from,d_hz_loan_gold*G965,0))</f>
        <v/>
      </c>
      <c r="BT966" s="14">
        <f>F966*BS966*IF(B966&gt;=in_marketplace_from,d_hz_loan_gold*G966,0)*in_loan_gold_ticket*in_loan_gold_comm</f>
        <v/>
      </c>
      <c r="BU966" s="40">
        <f>BU965*(1-IF(B965&gt;=in_marketplace_from,d_hz_loan_cd*G965,0))</f>
        <v/>
      </c>
      <c r="BV966" s="14">
        <f>F966*BU966*IF(B966&gt;=in_marketplace_from,d_hz_loan_cd*G966,0)*in_loan_cd_ticket*in_loan_cd_comm</f>
        <v/>
      </c>
      <c r="BW966" s="40">
        <f>BW965*(1-IF(B965&gt;=in_marketplace_from,d_hz_loan_vehicle*G965,0))</f>
        <v/>
      </c>
      <c r="BX966" s="14">
        <f>F966*BW966*IF(B966&gt;=in_marketplace_from,d_hz_loan_vehicle*G966,0)*in_loan_vehicle_ticket*in_loan_vehicle_comm</f>
        <v/>
      </c>
      <c r="BY966" s="40">
        <f>BY965*(1-IF(B965&gt;=in_marketplace_from,d_hz_loan_home*G965,0)*BZ965)</f>
        <v/>
      </c>
      <c r="BZ966" s="11">
        <f>MIN(in_approval_cap,in_loan_home_approval*INDEX('Age profile'!$O$2:$O$61,B966)*(1+in_approval_growth)^(D966-1))</f>
        <v/>
      </c>
      <c r="CA966" s="14">
        <f>F966*BY966*IF(B966&gt;=in_marketplace_from,d_hz_loan_home*G966,0)*BZ966*in_loan_home_ticket*in_loan_home_comm</f>
        <v/>
      </c>
      <c r="CB966" s="40">
        <f>CB965*(1-IF(B965&gt;=in_marketplace_from,d_hz_loan_lap*G965,0)*CC965)</f>
        <v/>
      </c>
      <c r="CC966" s="11">
        <f>MIN(in_approval_cap,in_loan_lap_approval*INDEX('Age profile'!$O$2:$O$61,B966)*(1+in_approval_growth)^(D966-1))</f>
        <v/>
      </c>
      <c r="CD966" s="14">
        <f>F966*CB966*IF(B966&gt;=in_marketplace_from,d_hz_loan_lap*G966,0)*CC966*in_loan_lap_ticket*in_loan_lap_comm</f>
        <v/>
      </c>
      <c r="CE966" s="14">
        <f>AA966+AB966+AC966+AD966+AG966+AJ966+AM966+AP966+AS966+AU966+AX966+BB966+BE966+BG966+BJ966+BL966+BO966+BR966+BT966+BV966+BX966+CA966+CD966</f>
        <v/>
      </c>
    </row>
    <row r="967">
      <c r="A967" s="39" t="n">
        <v>19</v>
      </c>
      <c r="B967" s="39" t="n">
        <v>39</v>
      </c>
      <c r="C967" s="39">
        <f>A967+B967-1</f>
        <v/>
      </c>
      <c r="D967" s="39">
        <f>INT((C967-1)/12)+1</f>
        <v/>
      </c>
      <c r="E967" s="44">
        <f>INDEX(Monthly!$B$2:$B$61,A967)</f>
        <v/>
      </c>
      <c r="F967" s="44">
        <f>E967*INDEX('Age profile'!$B$2:$B$61,B967)</f>
        <v/>
      </c>
      <c r="G967" s="45">
        <f>MIN(in_takeup_cap,INDEX('Age profile'!$N$2:$N$61,B967)*(1+in_takeup_growth)^(D967-1))</f>
        <v/>
      </c>
      <c r="H967" s="11">
        <f>MIN(in_approval_cap,in_approved_first*INDEX('Age profile'!$O$2:$O$61,B967)*(1+in_approval_growth)^(D967-1))</f>
        <v/>
      </c>
      <c r="I967" s="45">
        <f>G967*MIN(in_takeup_cap,INDEX('Age profile'!$O$2:$O$61,B967)*(1+in_approval_growth)^(D967-1))</f>
        <v/>
      </c>
      <c r="J967" s="40">
        <f>(J966-L966)*F967/F966</f>
        <v/>
      </c>
      <c r="K967" s="40">
        <f>(K966-M966)*F967/F966+SUMIFS(O929:O966,B929:B966,B967-1-d_T)*F967</f>
        <v/>
      </c>
      <c r="L967" s="40">
        <f>IF(B967&gt;=in_marketplace_from,J967*d_hz*G967*in_eligible*H967,0)</f>
        <v/>
      </c>
      <c r="M967" s="40">
        <f>IF(B967&gt;=in_marketplace_from,K967*d_hz*G967*in_eligible*in_approved_repeat,0)</f>
        <v/>
      </c>
      <c r="N967" s="40">
        <f>L967+M967</f>
        <v/>
      </c>
      <c r="O967" s="46">
        <f>N967/F967</f>
        <v/>
      </c>
      <c r="P967" s="40">
        <f>F967-J967-K967</f>
        <v/>
      </c>
      <c r="Q967" s="40">
        <f>IF(B967&gt;=in_marketplace_from,(J967+K967)*d_hz*G967,0)</f>
        <v/>
      </c>
      <c r="R967" s="40">
        <f>SUMIFS(N929:N970,B929:B970,"&gt;="&amp;(B967-d_T),B929:B970,"&lt;="&amp;(B967-1))</f>
        <v/>
      </c>
      <c r="S967" s="46">
        <f>(1-d_u)*S966+IF(d_T&gt;in_topup_lag,SUMIFS(O929:O970,B929:B970,B967-in_topup_lag)-d_udrop*SUMIFS(O929:O970,B929:B970,B967-d_T),0)</f>
        <v/>
      </c>
      <c r="T967" s="40">
        <f>F967*d_u*S967</f>
        <v/>
      </c>
      <c r="U967" s="9">
        <f>L967*in_ticket+M967*d_rep_ticket</f>
        <v/>
      </c>
      <c r="V967" s="9">
        <f>U967+T967*d_topup_amt</f>
        <v/>
      </c>
      <c r="W967" s="40">
        <f>N967+T967*d_topup_ratio</f>
        <v/>
      </c>
      <c r="X967" s="40">
        <f>SUMIFS(W929:W970,B929:B970,B967-in_dpd_lag)*d_cured</f>
        <v/>
      </c>
      <c r="Y967" s="40">
        <f>SUMIFS(W929:W970,B929:B970,B967-in_rec_lag)*d_recd</f>
        <v/>
      </c>
      <c r="Z967" s="40">
        <f>IF(AND(B967&gt;=in_marketplace_from,B967&lt;in_marketplace_from+in_card_months),in_card_share/in_card_months*F967*I967,IF(AND(B967&gt;=in_marketplace_from+in_card_months,B967&lt;in_marketplace_from+2*in_card_months),in_card_share*d_card_rem/in_card_months*F967*MIN(in_takeup_cap,(1+in_takeup_growth)^(D967-1))*MIN(in_takeup_cap,(1+in_approval_growth)^(D967-1)),0))</f>
        <v/>
      </c>
      <c r="AA967" s="14">
        <f>V967*in_fee*(1-in_taken_back)</f>
        <v/>
      </c>
      <c r="AB967" s="14">
        <f>SUMIFS(W929:W970,B929:B970,B967-in_dpd_lag)*d_dpd</f>
        <v/>
      </c>
      <c r="AC967" s="14">
        <f>SUMIFS(W929:W970,B929:B970,B967-in_rec_lag)*d_rec</f>
        <v/>
      </c>
      <c r="AD967" s="14">
        <f>Z967*in_card_fee</f>
        <v/>
      </c>
      <c r="AE967" s="40">
        <f>AE966*(1-IF(B966&gt;=in_marketplace_from,d_hz_hlth_small*G966,0))</f>
        <v/>
      </c>
      <c r="AF967" s="46">
        <f>AE967*IF(B967&gt;=in_marketplace_from,d_hz_hlth_small*G967,0)</f>
        <v/>
      </c>
      <c r="AG967" s="14">
        <f>F967*AF967*in_hlth_small_ticket*in_hlth_small_comm*in_ins_partner_share+F967*in_hlth_small_ticket*in_hlth_small_renew_comm*in_ins_partner_share*(in_hlth_small_renew^1*SUMIFS(AF929:AF970,B929:B970,B967-12)+in_hlth_small_renew^2*SUMIFS(AF929:AF970,B929:B970,B967-24)+in_hlth_small_renew^3*SUMIFS(AF929:AF970,B929:B970,B967-36)+in_hlth_small_renew^4*SUMIFS(AF929:AF970,B929:B970,B967-48))</f>
        <v/>
      </c>
      <c r="AH967" s="40">
        <f>AH966*(1-IF(B966&gt;=in_marketplace_from,d_hz_hlth_family*G966,0))</f>
        <v/>
      </c>
      <c r="AI967" s="46">
        <f>AH967*IF(B967&gt;=in_marketplace_from,d_hz_hlth_family*G967,0)</f>
        <v/>
      </c>
      <c r="AJ967" s="14">
        <f>F967*AI967*in_hlth_family_ticket*in_hlth_family_comm*in_ins_partner_share+F967*in_hlth_family_ticket*in_hlth_family_renew_comm*in_ins_partner_share*(in_hlth_family_renew^1*SUMIFS(AI929:AI970,B929:B970,B967-12)+in_hlth_family_renew^2*SUMIFS(AI929:AI970,B929:B970,B967-24)+in_hlth_family_renew^3*SUMIFS(AI929:AI970,B929:B970,B967-36)+in_hlth_family_renew^4*SUMIFS(AI929:AI970,B929:B970,B967-48))</f>
        <v/>
      </c>
      <c r="AK967" s="40">
        <f>AK966*(1-IF(B966&gt;=in_marketplace_from,d_hz_life_term*G966,0))</f>
        <v/>
      </c>
      <c r="AL967" s="46">
        <f>AK967*IF(B967&gt;=in_marketplace_from,d_hz_life_term*G967,0)</f>
        <v/>
      </c>
      <c r="AM967" s="14">
        <f>F967*AL967*in_life_term_ticket*in_life_term_comm*in_ins_partner_share+F967*in_life_term_ticket*in_life_term_renew_comm*in_ins_partner_share*(in_life_term_renew^1*SUMIFS(AL929:AL970,B929:B970,B967-12)+in_life_term_renew^2*SUMIFS(AL929:AL970,B929:B970,B967-24)+in_life_term_renew^3*SUMIFS(AL929:AL970,B929:B970,B967-36)+in_life_term_renew^4*SUMIFS(AL929:AL970,B929:B970,B967-48))</f>
        <v/>
      </c>
      <c r="AN967" s="40">
        <f>AN966*(1-IF(B966&gt;=in_marketplace_from,d_hz_accident*G966,0))</f>
        <v/>
      </c>
      <c r="AO967" s="46">
        <f>AN967*IF(B967&gt;=in_marketplace_from,d_hz_accident*G967,0)</f>
        <v/>
      </c>
      <c r="AP967" s="14">
        <f>F967*AO967*in_accident_ticket*in_accident_comm*in_ins_partner_share+F967*in_accident_ticket*in_accident_renew_comm*in_ins_partner_share*(in_accident_renew^1*SUMIFS(AO929:AO970,B929:B970,B967-12)+in_accident_renew^2*SUMIFS(AO929:AO970,B929:B970,B967-24)+in_accident_renew^3*SUMIFS(AO929:AO970,B929:B970,B967-36)+in_accident_renew^4*SUMIFS(AO929:AO970,B929:B970,B967-48))</f>
        <v/>
      </c>
      <c r="AQ967" s="40">
        <f>AQ966*(1-IF(B966&gt;=in_marketplace_from,d_hz_two_wheeler*G966,0))</f>
        <v/>
      </c>
      <c r="AR967" s="46">
        <f>AQ967*IF(B967&gt;=in_marketplace_from,d_hz_two_wheeler*G967,0)</f>
        <v/>
      </c>
      <c r="AS967" s="14">
        <f>F967*AR967*in_two_wheeler_ticket*in_two_wheeler_comm*in_ins_partner_share+F967*in_two_wheeler_ticket*in_two_wheeler_comm*in_ins_partner_share*(in_two_wheeler_renew^1*SUMIFS(AR929:AR970,B929:B970,B967-12)+in_two_wheeler_renew^2*SUMIFS(AR929:AR970,B929:B970,B967-24)+in_two_wheeler_renew^3*SUMIFS(AR929:AR970,B929:B970,B967-36)+in_two_wheeler_renew^4*SUMIFS(AR929:AR970,B929:B970,B967-48))</f>
        <v/>
      </c>
      <c r="AT967" s="40">
        <f>AT966*(1-IF(B966&gt;=in_marketplace_from,d_hz_device*G966,0))</f>
        <v/>
      </c>
      <c r="AU967" s="14">
        <f>F967*AT967*IF(B967&gt;=in_marketplace_from,d_hz_device*G967,0)*in_device_ticket*in_device_comm*in_ins_partner_share</f>
        <v/>
      </c>
      <c r="AV967" s="40">
        <f>AV966*(1-IF(B966&gt;=in_marketplace_from,d_hz_shop*G966,0))</f>
        <v/>
      </c>
      <c r="AW967" s="46">
        <f>AV967*IF(B967&gt;=in_marketplace_from,d_hz_shop*G967,0)</f>
        <v/>
      </c>
      <c r="AX967" s="14">
        <f>F967*AW967*in_shop_ticket*in_shop_comm*in_ins_partner_share+F967*in_shop_ticket*in_shop_renew_comm*in_ins_partner_share*(in_shop_renew^1*SUMIFS(AW929:AW970,B929:B970,B967-12)+in_shop_renew^2*SUMIFS(AW929:AW970,B929:B970,B967-24)+in_shop_renew^3*SUMIFS(AW929:AW970,B929:B970,B967-36)+in_shop_renew^4*SUMIFS(AW929:AW970,B929:B970,B967-48))</f>
        <v/>
      </c>
      <c r="AY967" s="40">
        <f>AY966*(1-IF(B966&gt;=in_marketplace_from,d_hz_sip*G966,0))</f>
        <v/>
      </c>
      <c r="AZ967" s="40">
        <f>AZ966*d_rho_sip+AY967*IF(B967&gt;=in_marketplace_from,d_hz_sip*G967,0)</f>
        <v/>
      </c>
      <c r="BA967" s="40">
        <f>d_rho_sip*(BA966+AZ966)</f>
        <v/>
      </c>
      <c r="BB967" s="14">
        <f>F967*in_sip_ticket*(BA967+0.5*AZ967)*in_sip_comm/12</f>
        <v/>
      </c>
      <c r="BC967" s="40">
        <f>BC966*(1-IF(B966&gt;=in_marketplace_from,d_hz_choti*G966,0))</f>
        <v/>
      </c>
      <c r="BD967" s="46">
        <f>BC967*IF(B967&gt;=in_marketplace_from,d_hz_choti*G967,0)</f>
        <v/>
      </c>
      <c r="BE967" s="14">
        <f>F967*SUMIFS(BD929:BD970,B929:B970,B967-in_choti_months)*in_choti_renew*in_choti_ticket</f>
        <v/>
      </c>
      <c r="BF967" s="40">
        <f>BF966*(1-IF(B966&gt;=in_marketplace_from,d_hz_nps*G966,0))</f>
        <v/>
      </c>
      <c r="BG967" s="14">
        <f>F967*BF967*IF(B967&gt;=in_marketplace_from,d_hz_nps*G967,0)*in_nps_ticket*in_nps_comm</f>
        <v/>
      </c>
      <c r="BH967" s="40">
        <f>BH966*(1-IF(B966&gt;=in_marketplace_from,d_hz_gold*G966,0))</f>
        <v/>
      </c>
      <c r="BI967" s="40">
        <f>BI966*d_rho_gold+BH967*IF(B967&gt;=in_marketplace_from,d_hz_gold*G967,0)</f>
        <v/>
      </c>
      <c r="BJ967" s="14">
        <f>F967*BI967*in_gold_ticket*in_gold_comm</f>
        <v/>
      </c>
      <c r="BK967" s="40">
        <f>BK966*(1-IF(B966&gt;=in_marketplace_from,d_hz_fd*G966,0))</f>
        <v/>
      </c>
      <c r="BL967" s="14">
        <f>F967*BK967*IF(B967&gt;=in_marketplace_from,d_hz_fd*G967,0)*in_fd_ticket*in_fd_comm</f>
        <v/>
      </c>
      <c r="BM967" s="40">
        <f>BM966*(1-IF(B966&gt;=in_marketplace_from,d_hz_recharge*G966,0))</f>
        <v/>
      </c>
      <c r="BN967" s="40">
        <f>BN966*d_rho_recharge+BM967*IF(B967&gt;=in_marketplace_from,d_hz_recharge*G967,0)</f>
        <v/>
      </c>
      <c r="BO967" s="14">
        <f>F967*BN967*in_recharge_ticket*in_recharge_comm/12</f>
        <v/>
      </c>
      <c r="BP967" s="40">
        <f>BP966*(1-IF(B966&gt;=in_marketplace_from,d_hz_bills*G966,0))</f>
        <v/>
      </c>
      <c r="BQ967" s="40">
        <f>BQ966*d_rho_bills+BP967*IF(B967&gt;=in_marketplace_from,d_hz_bills*G967,0)</f>
        <v/>
      </c>
      <c r="BR967" s="14">
        <f>F967*BQ967*in_bills_ticket*in_bills_comm/12</f>
        <v/>
      </c>
      <c r="BS967" s="40">
        <f>BS966*(1-IF(B966&gt;=in_marketplace_from,d_hz_loan_gold*G966,0))</f>
        <v/>
      </c>
      <c r="BT967" s="14">
        <f>F967*BS967*IF(B967&gt;=in_marketplace_from,d_hz_loan_gold*G967,0)*in_loan_gold_ticket*in_loan_gold_comm</f>
        <v/>
      </c>
      <c r="BU967" s="40">
        <f>BU966*(1-IF(B966&gt;=in_marketplace_from,d_hz_loan_cd*G966,0))</f>
        <v/>
      </c>
      <c r="BV967" s="14">
        <f>F967*BU967*IF(B967&gt;=in_marketplace_from,d_hz_loan_cd*G967,0)*in_loan_cd_ticket*in_loan_cd_comm</f>
        <v/>
      </c>
      <c r="BW967" s="40">
        <f>BW966*(1-IF(B966&gt;=in_marketplace_from,d_hz_loan_vehicle*G966,0))</f>
        <v/>
      </c>
      <c r="BX967" s="14">
        <f>F967*BW967*IF(B967&gt;=in_marketplace_from,d_hz_loan_vehicle*G967,0)*in_loan_vehicle_ticket*in_loan_vehicle_comm</f>
        <v/>
      </c>
      <c r="BY967" s="40">
        <f>BY966*(1-IF(B966&gt;=in_marketplace_from,d_hz_loan_home*G966,0)*BZ966)</f>
        <v/>
      </c>
      <c r="BZ967" s="11">
        <f>MIN(in_approval_cap,in_loan_home_approval*INDEX('Age profile'!$O$2:$O$61,B967)*(1+in_approval_growth)^(D967-1))</f>
        <v/>
      </c>
      <c r="CA967" s="14">
        <f>F967*BY967*IF(B967&gt;=in_marketplace_from,d_hz_loan_home*G967,0)*BZ967*in_loan_home_ticket*in_loan_home_comm</f>
        <v/>
      </c>
      <c r="CB967" s="40">
        <f>CB966*(1-IF(B966&gt;=in_marketplace_from,d_hz_loan_lap*G966,0)*CC966)</f>
        <v/>
      </c>
      <c r="CC967" s="11">
        <f>MIN(in_approval_cap,in_loan_lap_approval*INDEX('Age profile'!$O$2:$O$61,B967)*(1+in_approval_growth)^(D967-1))</f>
        <v/>
      </c>
      <c r="CD967" s="14">
        <f>F967*CB967*IF(B967&gt;=in_marketplace_from,d_hz_loan_lap*G967,0)*CC967*in_loan_lap_ticket*in_loan_lap_comm</f>
        <v/>
      </c>
      <c r="CE967" s="14">
        <f>AA967+AB967+AC967+AD967+AG967+AJ967+AM967+AP967+AS967+AU967+AX967+BB967+BE967+BG967+BJ967+BL967+BO967+BR967+BT967+BV967+BX967+CA967+CD967</f>
        <v/>
      </c>
    </row>
    <row r="968">
      <c r="A968" s="39" t="n">
        <v>19</v>
      </c>
      <c r="B968" s="39" t="n">
        <v>40</v>
      </c>
      <c r="C968" s="39">
        <f>A968+B968-1</f>
        <v/>
      </c>
      <c r="D968" s="39">
        <f>INT((C968-1)/12)+1</f>
        <v/>
      </c>
      <c r="E968" s="44">
        <f>INDEX(Monthly!$B$2:$B$61,A968)</f>
        <v/>
      </c>
      <c r="F968" s="44">
        <f>E968*INDEX('Age profile'!$B$2:$B$61,B968)</f>
        <v/>
      </c>
      <c r="G968" s="45">
        <f>MIN(in_takeup_cap,INDEX('Age profile'!$N$2:$N$61,B968)*(1+in_takeup_growth)^(D968-1))</f>
        <v/>
      </c>
      <c r="H968" s="11">
        <f>MIN(in_approval_cap,in_approved_first*INDEX('Age profile'!$O$2:$O$61,B968)*(1+in_approval_growth)^(D968-1))</f>
        <v/>
      </c>
      <c r="I968" s="45">
        <f>G968*MIN(in_takeup_cap,INDEX('Age profile'!$O$2:$O$61,B968)*(1+in_approval_growth)^(D968-1))</f>
        <v/>
      </c>
      <c r="J968" s="40">
        <f>(J967-L967)*F968/F967</f>
        <v/>
      </c>
      <c r="K968" s="40">
        <f>(K967-M967)*F968/F967+SUMIFS(O929:O967,B929:B967,B968-1-d_T)*F968</f>
        <v/>
      </c>
      <c r="L968" s="40">
        <f>IF(B968&gt;=in_marketplace_from,J968*d_hz*G968*in_eligible*H968,0)</f>
        <v/>
      </c>
      <c r="M968" s="40">
        <f>IF(B968&gt;=in_marketplace_from,K968*d_hz*G968*in_eligible*in_approved_repeat,0)</f>
        <v/>
      </c>
      <c r="N968" s="40">
        <f>L968+M968</f>
        <v/>
      </c>
      <c r="O968" s="46">
        <f>N968/F968</f>
        <v/>
      </c>
      <c r="P968" s="40">
        <f>F968-J968-K968</f>
        <v/>
      </c>
      <c r="Q968" s="40">
        <f>IF(B968&gt;=in_marketplace_from,(J968+K968)*d_hz*G968,0)</f>
        <v/>
      </c>
      <c r="R968" s="40">
        <f>SUMIFS(N929:N970,B929:B970,"&gt;="&amp;(B968-d_T),B929:B970,"&lt;="&amp;(B968-1))</f>
        <v/>
      </c>
      <c r="S968" s="46">
        <f>(1-d_u)*S967+IF(d_T&gt;in_topup_lag,SUMIFS(O929:O970,B929:B970,B968-in_topup_lag)-d_udrop*SUMIFS(O929:O970,B929:B970,B968-d_T),0)</f>
        <v/>
      </c>
      <c r="T968" s="40">
        <f>F968*d_u*S968</f>
        <v/>
      </c>
      <c r="U968" s="9">
        <f>L968*in_ticket+M968*d_rep_ticket</f>
        <v/>
      </c>
      <c r="V968" s="9">
        <f>U968+T968*d_topup_amt</f>
        <v/>
      </c>
      <c r="W968" s="40">
        <f>N968+T968*d_topup_ratio</f>
        <v/>
      </c>
      <c r="X968" s="40">
        <f>SUMIFS(W929:W970,B929:B970,B968-in_dpd_lag)*d_cured</f>
        <v/>
      </c>
      <c r="Y968" s="40">
        <f>SUMIFS(W929:W970,B929:B970,B968-in_rec_lag)*d_recd</f>
        <v/>
      </c>
      <c r="Z968" s="40">
        <f>IF(AND(B968&gt;=in_marketplace_from,B968&lt;in_marketplace_from+in_card_months),in_card_share/in_card_months*F968*I968,IF(AND(B968&gt;=in_marketplace_from+in_card_months,B968&lt;in_marketplace_from+2*in_card_months),in_card_share*d_card_rem/in_card_months*F968*MIN(in_takeup_cap,(1+in_takeup_growth)^(D968-1))*MIN(in_takeup_cap,(1+in_approval_growth)^(D968-1)),0))</f>
        <v/>
      </c>
      <c r="AA968" s="14">
        <f>V968*in_fee*(1-in_taken_back)</f>
        <v/>
      </c>
      <c r="AB968" s="14">
        <f>SUMIFS(W929:W970,B929:B970,B968-in_dpd_lag)*d_dpd</f>
        <v/>
      </c>
      <c r="AC968" s="14">
        <f>SUMIFS(W929:W970,B929:B970,B968-in_rec_lag)*d_rec</f>
        <v/>
      </c>
      <c r="AD968" s="14">
        <f>Z968*in_card_fee</f>
        <v/>
      </c>
      <c r="AE968" s="40">
        <f>AE967*(1-IF(B967&gt;=in_marketplace_from,d_hz_hlth_small*G967,0))</f>
        <v/>
      </c>
      <c r="AF968" s="46">
        <f>AE968*IF(B968&gt;=in_marketplace_from,d_hz_hlth_small*G968,0)</f>
        <v/>
      </c>
      <c r="AG968" s="14">
        <f>F968*AF968*in_hlth_small_ticket*in_hlth_small_comm*in_ins_partner_share+F968*in_hlth_small_ticket*in_hlth_small_renew_comm*in_ins_partner_share*(in_hlth_small_renew^1*SUMIFS(AF929:AF970,B929:B970,B968-12)+in_hlth_small_renew^2*SUMIFS(AF929:AF970,B929:B970,B968-24)+in_hlth_small_renew^3*SUMIFS(AF929:AF970,B929:B970,B968-36)+in_hlth_small_renew^4*SUMIFS(AF929:AF970,B929:B970,B968-48))</f>
        <v/>
      </c>
      <c r="AH968" s="40">
        <f>AH967*(1-IF(B967&gt;=in_marketplace_from,d_hz_hlth_family*G967,0))</f>
        <v/>
      </c>
      <c r="AI968" s="46">
        <f>AH968*IF(B968&gt;=in_marketplace_from,d_hz_hlth_family*G968,0)</f>
        <v/>
      </c>
      <c r="AJ968" s="14">
        <f>F968*AI968*in_hlth_family_ticket*in_hlth_family_comm*in_ins_partner_share+F968*in_hlth_family_ticket*in_hlth_family_renew_comm*in_ins_partner_share*(in_hlth_family_renew^1*SUMIFS(AI929:AI970,B929:B970,B968-12)+in_hlth_family_renew^2*SUMIFS(AI929:AI970,B929:B970,B968-24)+in_hlth_family_renew^3*SUMIFS(AI929:AI970,B929:B970,B968-36)+in_hlth_family_renew^4*SUMIFS(AI929:AI970,B929:B970,B968-48))</f>
        <v/>
      </c>
      <c r="AK968" s="40">
        <f>AK967*(1-IF(B967&gt;=in_marketplace_from,d_hz_life_term*G967,0))</f>
        <v/>
      </c>
      <c r="AL968" s="46">
        <f>AK968*IF(B968&gt;=in_marketplace_from,d_hz_life_term*G968,0)</f>
        <v/>
      </c>
      <c r="AM968" s="14">
        <f>F968*AL968*in_life_term_ticket*in_life_term_comm*in_ins_partner_share+F968*in_life_term_ticket*in_life_term_renew_comm*in_ins_partner_share*(in_life_term_renew^1*SUMIFS(AL929:AL970,B929:B970,B968-12)+in_life_term_renew^2*SUMIFS(AL929:AL970,B929:B970,B968-24)+in_life_term_renew^3*SUMIFS(AL929:AL970,B929:B970,B968-36)+in_life_term_renew^4*SUMIFS(AL929:AL970,B929:B970,B968-48))</f>
        <v/>
      </c>
      <c r="AN968" s="40">
        <f>AN967*(1-IF(B967&gt;=in_marketplace_from,d_hz_accident*G967,0))</f>
        <v/>
      </c>
      <c r="AO968" s="46">
        <f>AN968*IF(B968&gt;=in_marketplace_from,d_hz_accident*G968,0)</f>
        <v/>
      </c>
      <c r="AP968" s="14">
        <f>F968*AO968*in_accident_ticket*in_accident_comm*in_ins_partner_share+F968*in_accident_ticket*in_accident_renew_comm*in_ins_partner_share*(in_accident_renew^1*SUMIFS(AO929:AO970,B929:B970,B968-12)+in_accident_renew^2*SUMIFS(AO929:AO970,B929:B970,B968-24)+in_accident_renew^3*SUMIFS(AO929:AO970,B929:B970,B968-36)+in_accident_renew^4*SUMIFS(AO929:AO970,B929:B970,B968-48))</f>
        <v/>
      </c>
      <c r="AQ968" s="40">
        <f>AQ967*(1-IF(B967&gt;=in_marketplace_from,d_hz_two_wheeler*G967,0))</f>
        <v/>
      </c>
      <c r="AR968" s="46">
        <f>AQ968*IF(B968&gt;=in_marketplace_from,d_hz_two_wheeler*G968,0)</f>
        <v/>
      </c>
      <c r="AS968" s="14">
        <f>F968*AR968*in_two_wheeler_ticket*in_two_wheeler_comm*in_ins_partner_share+F968*in_two_wheeler_ticket*in_two_wheeler_comm*in_ins_partner_share*(in_two_wheeler_renew^1*SUMIFS(AR929:AR970,B929:B970,B968-12)+in_two_wheeler_renew^2*SUMIFS(AR929:AR970,B929:B970,B968-24)+in_two_wheeler_renew^3*SUMIFS(AR929:AR970,B929:B970,B968-36)+in_two_wheeler_renew^4*SUMIFS(AR929:AR970,B929:B970,B968-48))</f>
        <v/>
      </c>
      <c r="AT968" s="40">
        <f>AT967*(1-IF(B967&gt;=in_marketplace_from,d_hz_device*G967,0))</f>
        <v/>
      </c>
      <c r="AU968" s="14">
        <f>F968*AT968*IF(B968&gt;=in_marketplace_from,d_hz_device*G968,0)*in_device_ticket*in_device_comm*in_ins_partner_share</f>
        <v/>
      </c>
      <c r="AV968" s="40">
        <f>AV967*(1-IF(B967&gt;=in_marketplace_from,d_hz_shop*G967,0))</f>
        <v/>
      </c>
      <c r="AW968" s="46">
        <f>AV968*IF(B968&gt;=in_marketplace_from,d_hz_shop*G968,0)</f>
        <v/>
      </c>
      <c r="AX968" s="14">
        <f>F968*AW968*in_shop_ticket*in_shop_comm*in_ins_partner_share+F968*in_shop_ticket*in_shop_renew_comm*in_ins_partner_share*(in_shop_renew^1*SUMIFS(AW929:AW970,B929:B970,B968-12)+in_shop_renew^2*SUMIFS(AW929:AW970,B929:B970,B968-24)+in_shop_renew^3*SUMIFS(AW929:AW970,B929:B970,B968-36)+in_shop_renew^4*SUMIFS(AW929:AW970,B929:B970,B968-48))</f>
        <v/>
      </c>
      <c r="AY968" s="40">
        <f>AY967*(1-IF(B967&gt;=in_marketplace_from,d_hz_sip*G967,0))</f>
        <v/>
      </c>
      <c r="AZ968" s="40">
        <f>AZ967*d_rho_sip+AY968*IF(B968&gt;=in_marketplace_from,d_hz_sip*G968,0)</f>
        <v/>
      </c>
      <c r="BA968" s="40">
        <f>d_rho_sip*(BA967+AZ967)</f>
        <v/>
      </c>
      <c r="BB968" s="14">
        <f>F968*in_sip_ticket*(BA968+0.5*AZ968)*in_sip_comm/12</f>
        <v/>
      </c>
      <c r="BC968" s="40">
        <f>BC967*(1-IF(B967&gt;=in_marketplace_from,d_hz_choti*G967,0))</f>
        <v/>
      </c>
      <c r="BD968" s="46">
        <f>BC968*IF(B968&gt;=in_marketplace_from,d_hz_choti*G968,0)</f>
        <v/>
      </c>
      <c r="BE968" s="14">
        <f>F968*SUMIFS(BD929:BD970,B929:B970,B968-in_choti_months)*in_choti_renew*in_choti_ticket</f>
        <v/>
      </c>
      <c r="BF968" s="40">
        <f>BF967*(1-IF(B967&gt;=in_marketplace_from,d_hz_nps*G967,0))</f>
        <v/>
      </c>
      <c r="BG968" s="14">
        <f>F968*BF968*IF(B968&gt;=in_marketplace_from,d_hz_nps*G968,0)*in_nps_ticket*in_nps_comm</f>
        <v/>
      </c>
      <c r="BH968" s="40">
        <f>BH967*(1-IF(B967&gt;=in_marketplace_from,d_hz_gold*G967,0))</f>
        <v/>
      </c>
      <c r="BI968" s="40">
        <f>BI967*d_rho_gold+BH968*IF(B968&gt;=in_marketplace_from,d_hz_gold*G968,0)</f>
        <v/>
      </c>
      <c r="BJ968" s="14">
        <f>F968*BI968*in_gold_ticket*in_gold_comm</f>
        <v/>
      </c>
      <c r="BK968" s="40">
        <f>BK967*(1-IF(B967&gt;=in_marketplace_from,d_hz_fd*G967,0))</f>
        <v/>
      </c>
      <c r="BL968" s="14">
        <f>F968*BK968*IF(B968&gt;=in_marketplace_from,d_hz_fd*G968,0)*in_fd_ticket*in_fd_comm</f>
        <v/>
      </c>
      <c r="BM968" s="40">
        <f>BM967*(1-IF(B967&gt;=in_marketplace_from,d_hz_recharge*G967,0))</f>
        <v/>
      </c>
      <c r="BN968" s="40">
        <f>BN967*d_rho_recharge+BM968*IF(B968&gt;=in_marketplace_from,d_hz_recharge*G968,0)</f>
        <v/>
      </c>
      <c r="BO968" s="14">
        <f>F968*BN968*in_recharge_ticket*in_recharge_comm/12</f>
        <v/>
      </c>
      <c r="BP968" s="40">
        <f>BP967*(1-IF(B967&gt;=in_marketplace_from,d_hz_bills*G967,0))</f>
        <v/>
      </c>
      <c r="BQ968" s="40">
        <f>BQ967*d_rho_bills+BP968*IF(B968&gt;=in_marketplace_from,d_hz_bills*G968,0)</f>
        <v/>
      </c>
      <c r="BR968" s="14">
        <f>F968*BQ968*in_bills_ticket*in_bills_comm/12</f>
        <v/>
      </c>
      <c r="BS968" s="40">
        <f>BS967*(1-IF(B967&gt;=in_marketplace_from,d_hz_loan_gold*G967,0))</f>
        <v/>
      </c>
      <c r="BT968" s="14">
        <f>F968*BS968*IF(B968&gt;=in_marketplace_from,d_hz_loan_gold*G968,0)*in_loan_gold_ticket*in_loan_gold_comm</f>
        <v/>
      </c>
      <c r="BU968" s="40">
        <f>BU967*(1-IF(B967&gt;=in_marketplace_from,d_hz_loan_cd*G967,0))</f>
        <v/>
      </c>
      <c r="BV968" s="14">
        <f>F968*BU968*IF(B968&gt;=in_marketplace_from,d_hz_loan_cd*G968,0)*in_loan_cd_ticket*in_loan_cd_comm</f>
        <v/>
      </c>
      <c r="BW968" s="40">
        <f>BW967*(1-IF(B967&gt;=in_marketplace_from,d_hz_loan_vehicle*G967,0))</f>
        <v/>
      </c>
      <c r="BX968" s="14">
        <f>F968*BW968*IF(B968&gt;=in_marketplace_from,d_hz_loan_vehicle*G968,0)*in_loan_vehicle_ticket*in_loan_vehicle_comm</f>
        <v/>
      </c>
      <c r="BY968" s="40">
        <f>BY967*(1-IF(B967&gt;=in_marketplace_from,d_hz_loan_home*G967,0)*BZ967)</f>
        <v/>
      </c>
      <c r="BZ968" s="11">
        <f>MIN(in_approval_cap,in_loan_home_approval*INDEX('Age profile'!$O$2:$O$61,B968)*(1+in_approval_growth)^(D968-1))</f>
        <v/>
      </c>
      <c r="CA968" s="14">
        <f>F968*BY968*IF(B968&gt;=in_marketplace_from,d_hz_loan_home*G968,0)*BZ968*in_loan_home_ticket*in_loan_home_comm</f>
        <v/>
      </c>
      <c r="CB968" s="40">
        <f>CB967*(1-IF(B967&gt;=in_marketplace_from,d_hz_loan_lap*G967,0)*CC967)</f>
        <v/>
      </c>
      <c r="CC968" s="11">
        <f>MIN(in_approval_cap,in_loan_lap_approval*INDEX('Age profile'!$O$2:$O$61,B968)*(1+in_approval_growth)^(D968-1))</f>
        <v/>
      </c>
      <c r="CD968" s="14">
        <f>F968*CB968*IF(B968&gt;=in_marketplace_from,d_hz_loan_lap*G968,0)*CC968*in_loan_lap_ticket*in_loan_lap_comm</f>
        <v/>
      </c>
      <c r="CE968" s="14">
        <f>AA968+AB968+AC968+AD968+AG968+AJ968+AM968+AP968+AS968+AU968+AX968+BB968+BE968+BG968+BJ968+BL968+BO968+BR968+BT968+BV968+BX968+CA968+CD968</f>
        <v/>
      </c>
    </row>
    <row r="969">
      <c r="A969" s="39" t="n">
        <v>19</v>
      </c>
      <c r="B969" s="39" t="n">
        <v>41</v>
      </c>
      <c r="C969" s="39">
        <f>A969+B969-1</f>
        <v/>
      </c>
      <c r="D969" s="39">
        <f>INT((C969-1)/12)+1</f>
        <v/>
      </c>
      <c r="E969" s="44">
        <f>INDEX(Monthly!$B$2:$B$61,A969)</f>
        <v/>
      </c>
      <c r="F969" s="44">
        <f>E969*INDEX('Age profile'!$B$2:$B$61,B969)</f>
        <v/>
      </c>
      <c r="G969" s="45">
        <f>MIN(in_takeup_cap,INDEX('Age profile'!$N$2:$N$61,B969)*(1+in_takeup_growth)^(D969-1))</f>
        <v/>
      </c>
      <c r="H969" s="11">
        <f>MIN(in_approval_cap,in_approved_first*INDEX('Age profile'!$O$2:$O$61,B969)*(1+in_approval_growth)^(D969-1))</f>
        <v/>
      </c>
      <c r="I969" s="45">
        <f>G969*MIN(in_takeup_cap,INDEX('Age profile'!$O$2:$O$61,B969)*(1+in_approval_growth)^(D969-1))</f>
        <v/>
      </c>
      <c r="J969" s="40">
        <f>(J968-L968)*F969/F968</f>
        <v/>
      </c>
      <c r="K969" s="40">
        <f>(K968-M968)*F969/F968+SUMIFS(O929:O968,B929:B968,B969-1-d_T)*F969</f>
        <v/>
      </c>
      <c r="L969" s="40">
        <f>IF(B969&gt;=in_marketplace_from,J969*d_hz*G969*in_eligible*H969,0)</f>
        <v/>
      </c>
      <c r="M969" s="40">
        <f>IF(B969&gt;=in_marketplace_from,K969*d_hz*G969*in_eligible*in_approved_repeat,0)</f>
        <v/>
      </c>
      <c r="N969" s="40">
        <f>L969+M969</f>
        <v/>
      </c>
      <c r="O969" s="46">
        <f>N969/F969</f>
        <v/>
      </c>
      <c r="P969" s="40">
        <f>F969-J969-K969</f>
        <v/>
      </c>
      <c r="Q969" s="40">
        <f>IF(B969&gt;=in_marketplace_from,(J969+K969)*d_hz*G969,0)</f>
        <v/>
      </c>
      <c r="R969" s="40">
        <f>SUMIFS(N929:N970,B929:B970,"&gt;="&amp;(B969-d_T),B929:B970,"&lt;="&amp;(B969-1))</f>
        <v/>
      </c>
      <c r="S969" s="46">
        <f>(1-d_u)*S968+IF(d_T&gt;in_topup_lag,SUMIFS(O929:O970,B929:B970,B969-in_topup_lag)-d_udrop*SUMIFS(O929:O970,B929:B970,B969-d_T),0)</f>
        <v/>
      </c>
      <c r="T969" s="40">
        <f>F969*d_u*S969</f>
        <v/>
      </c>
      <c r="U969" s="9">
        <f>L969*in_ticket+M969*d_rep_ticket</f>
        <v/>
      </c>
      <c r="V969" s="9">
        <f>U969+T969*d_topup_amt</f>
        <v/>
      </c>
      <c r="W969" s="40">
        <f>N969+T969*d_topup_ratio</f>
        <v/>
      </c>
      <c r="X969" s="40">
        <f>SUMIFS(W929:W970,B929:B970,B969-in_dpd_lag)*d_cured</f>
        <v/>
      </c>
      <c r="Y969" s="40">
        <f>SUMIFS(W929:W970,B929:B970,B969-in_rec_lag)*d_recd</f>
        <v/>
      </c>
      <c r="Z969" s="40">
        <f>IF(AND(B969&gt;=in_marketplace_from,B969&lt;in_marketplace_from+in_card_months),in_card_share/in_card_months*F969*I969,IF(AND(B969&gt;=in_marketplace_from+in_card_months,B969&lt;in_marketplace_from+2*in_card_months),in_card_share*d_card_rem/in_card_months*F969*MIN(in_takeup_cap,(1+in_takeup_growth)^(D969-1))*MIN(in_takeup_cap,(1+in_approval_growth)^(D969-1)),0))</f>
        <v/>
      </c>
      <c r="AA969" s="14">
        <f>V969*in_fee*(1-in_taken_back)</f>
        <v/>
      </c>
      <c r="AB969" s="14">
        <f>SUMIFS(W929:W970,B929:B970,B969-in_dpd_lag)*d_dpd</f>
        <v/>
      </c>
      <c r="AC969" s="14">
        <f>SUMIFS(W929:W970,B929:B970,B969-in_rec_lag)*d_rec</f>
        <v/>
      </c>
      <c r="AD969" s="14">
        <f>Z969*in_card_fee</f>
        <v/>
      </c>
      <c r="AE969" s="40">
        <f>AE968*(1-IF(B968&gt;=in_marketplace_from,d_hz_hlth_small*G968,0))</f>
        <v/>
      </c>
      <c r="AF969" s="46">
        <f>AE969*IF(B969&gt;=in_marketplace_from,d_hz_hlth_small*G969,0)</f>
        <v/>
      </c>
      <c r="AG969" s="14">
        <f>F969*AF969*in_hlth_small_ticket*in_hlth_small_comm*in_ins_partner_share+F969*in_hlth_small_ticket*in_hlth_small_renew_comm*in_ins_partner_share*(in_hlth_small_renew^1*SUMIFS(AF929:AF970,B929:B970,B969-12)+in_hlth_small_renew^2*SUMIFS(AF929:AF970,B929:B970,B969-24)+in_hlth_small_renew^3*SUMIFS(AF929:AF970,B929:B970,B969-36)+in_hlth_small_renew^4*SUMIFS(AF929:AF970,B929:B970,B969-48))</f>
        <v/>
      </c>
      <c r="AH969" s="40">
        <f>AH968*(1-IF(B968&gt;=in_marketplace_from,d_hz_hlth_family*G968,0))</f>
        <v/>
      </c>
      <c r="AI969" s="46">
        <f>AH969*IF(B969&gt;=in_marketplace_from,d_hz_hlth_family*G969,0)</f>
        <v/>
      </c>
      <c r="AJ969" s="14">
        <f>F969*AI969*in_hlth_family_ticket*in_hlth_family_comm*in_ins_partner_share+F969*in_hlth_family_ticket*in_hlth_family_renew_comm*in_ins_partner_share*(in_hlth_family_renew^1*SUMIFS(AI929:AI970,B929:B970,B969-12)+in_hlth_family_renew^2*SUMIFS(AI929:AI970,B929:B970,B969-24)+in_hlth_family_renew^3*SUMIFS(AI929:AI970,B929:B970,B969-36)+in_hlth_family_renew^4*SUMIFS(AI929:AI970,B929:B970,B969-48))</f>
        <v/>
      </c>
      <c r="AK969" s="40">
        <f>AK968*(1-IF(B968&gt;=in_marketplace_from,d_hz_life_term*G968,0))</f>
        <v/>
      </c>
      <c r="AL969" s="46">
        <f>AK969*IF(B969&gt;=in_marketplace_from,d_hz_life_term*G969,0)</f>
        <v/>
      </c>
      <c r="AM969" s="14">
        <f>F969*AL969*in_life_term_ticket*in_life_term_comm*in_ins_partner_share+F969*in_life_term_ticket*in_life_term_renew_comm*in_ins_partner_share*(in_life_term_renew^1*SUMIFS(AL929:AL970,B929:B970,B969-12)+in_life_term_renew^2*SUMIFS(AL929:AL970,B929:B970,B969-24)+in_life_term_renew^3*SUMIFS(AL929:AL970,B929:B970,B969-36)+in_life_term_renew^4*SUMIFS(AL929:AL970,B929:B970,B969-48))</f>
        <v/>
      </c>
      <c r="AN969" s="40">
        <f>AN968*(1-IF(B968&gt;=in_marketplace_from,d_hz_accident*G968,0))</f>
        <v/>
      </c>
      <c r="AO969" s="46">
        <f>AN969*IF(B969&gt;=in_marketplace_from,d_hz_accident*G969,0)</f>
        <v/>
      </c>
      <c r="AP969" s="14">
        <f>F969*AO969*in_accident_ticket*in_accident_comm*in_ins_partner_share+F969*in_accident_ticket*in_accident_renew_comm*in_ins_partner_share*(in_accident_renew^1*SUMIFS(AO929:AO970,B929:B970,B969-12)+in_accident_renew^2*SUMIFS(AO929:AO970,B929:B970,B969-24)+in_accident_renew^3*SUMIFS(AO929:AO970,B929:B970,B969-36)+in_accident_renew^4*SUMIFS(AO929:AO970,B929:B970,B969-48))</f>
        <v/>
      </c>
      <c r="AQ969" s="40">
        <f>AQ968*(1-IF(B968&gt;=in_marketplace_from,d_hz_two_wheeler*G968,0))</f>
        <v/>
      </c>
      <c r="AR969" s="46">
        <f>AQ969*IF(B969&gt;=in_marketplace_from,d_hz_two_wheeler*G969,0)</f>
        <v/>
      </c>
      <c r="AS969" s="14">
        <f>F969*AR969*in_two_wheeler_ticket*in_two_wheeler_comm*in_ins_partner_share+F969*in_two_wheeler_ticket*in_two_wheeler_comm*in_ins_partner_share*(in_two_wheeler_renew^1*SUMIFS(AR929:AR970,B929:B970,B969-12)+in_two_wheeler_renew^2*SUMIFS(AR929:AR970,B929:B970,B969-24)+in_two_wheeler_renew^3*SUMIFS(AR929:AR970,B929:B970,B969-36)+in_two_wheeler_renew^4*SUMIFS(AR929:AR970,B929:B970,B969-48))</f>
        <v/>
      </c>
      <c r="AT969" s="40">
        <f>AT968*(1-IF(B968&gt;=in_marketplace_from,d_hz_device*G968,0))</f>
        <v/>
      </c>
      <c r="AU969" s="14">
        <f>F969*AT969*IF(B969&gt;=in_marketplace_from,d_hz_device*G969,0)*in_device_ticket*in_device_comm*in_ins_partner_share</f>
        <v/>
      </c>
      <c r="AV969" s="40">
        <f>AV968*(1-IF(B968&gt;=in_marketplace_from,d_hz_shop*G968,0))</f>
        <v/>
      </c>
      <c r="AW969" s="46">
        <f>AV969*IF(B969&gt;=in_marketplace_from,d_hz_shop*G969,0)</f>
        <v/>
      </c>
      <c r="AX969" s="14">
        <f>F969*AW969*in_shop_ticket*in_shop_comm*in_ins_partner_share+F969*in_shop_ticket*in_shop_renew_comm*in_ins_partner_share*(in_shop_renew^1*SUMIFS(AW929:AW970,B929:B970,B969-12)+in_shop_renew^2*SUMIFS(AW929:AW970,B929:B970,B969-24)+in_shop_renew^3*SUMIFS(AW929:AW970,B929:B970,B969-36)+in_shop_renew^4*SUMIFS(AW929:AW970,B929:B970,B969-48))</f>
        <v/>
      </c>
      <c r="AY969" s="40">
        <f>AY968*(1-IF(B968&gt;=in_marketplace_from,d_hz_sip*G968,0))</f>
        <v/>
      </c>
      <c r="AZ969" s="40">
        <f>AZ968*d_rho_sip+AY969*IF(B969&gt;=in_marketplace_from,d_hz_sip*G969,0)</f>
        <v/>
      </c>
      <c r="BA969" s="40">
        <f>d_rho_sip*(BA968+AZ968)</f>
        <v/>
      </c>
      <c r="BB969" s="14">
        <f>F969*in_sip_ticket*(BA969+0.5*AZ969)*in_sip_comm/12</f>
        <v/>
      </c>
      <c r="BC969" s="40">
        <f>BC968*(1-IF(B968&gt;=in_marketplace_from,d_hz_choti*G968,0))</f>
        <v/>
      </c>
      <c r="BD969" s="46">
        <f>BC969*IF(B969&gt;=in_marketplace_from,d_hz_choti*G969,0)</f>
        <v/>
      </c>
      <c r="BE969" s="14">
        <f>F969*SUMIFS(BD929:BD970,B929:B970,B969-in_choti_months)*in_choti_renew*in_choti_ticket</f>
        <v/>
      </c>
      <c r="BF969" s="40">
        <f>BF968*(1-IF(B968&gt;=in_marketplace_from,d_hz_nps*G968,0))</f>
        <v/>
      </c>
      <c r="BG969" s="14">
        <f>F969*BF969*IF(B969&gt;=in_marketplace_from,d_hz_nps*G969,0)*in_nps_ticket*in_nps_comm</f>
        <v/>
      </c>
      <c r="BH969" s="40">
        <f>BH968*(1-IF(B968&gt;=in_marketplace_from,d_hz_gold*G968,0))</f>
        <v/>
      </c>
      <c r="BI969" s="40">
        <f>BI968*d_rho_gold+BH969*IF(B969&gt;=in_marketplace_from,d_hz_gold*G969,0)</f>
        <v/>
      </c>
      <c r="BJ969" s="14">
        <f>F969*BI969*in_gold_ticket*in_gold_comm</f>
        <v/>
      </c>
      <c r="BK969" s="40">
        <f>BK968*(1-IF(B968&gt;=in_marketplace_from,d_hz_fd*G968,0))</f>
        <v/>
      </c>
      <c r="BL969" s="14">
        <f>F969*BK969*IF(B969&gt;=in_marketplace_from,d_hz_fd*G969,0)*in_fd_ticket*in_fd_comm</f>
        <v/>
      </c>
      <c r="BM969" s="40">
        <f>BM968*(1-IF(B968&gt;=in_marketplace_from,d_hz_recharge*G968,0))</f>
        <v/>
      </c>
      <c r="BN969" s="40">
        <f>BN968*d_rho_recharge+BM969*IF(B969&gt;=in_marketplace_from,d_hz_recharge*G969,0)</f>
        <v/>
      </c>
      <c r="BO969" s="14">
        <f>F969*BN969*in_recharge_ticket*in_recharge_comm/12</f>
        <v/>
      </c>
      <c r="BP969" s="40">
        <f>BP968*(1-IF(B968&gt;=in_marketplace_from,d_hz_bills*G968,0))</f>
        <v/>
      </c>
      <c r="BQ969" s="40">
        <f>BQ968*d_rho_bills+BP969*IF(B969&gt;=in_marketplace_from,d_hz_bills*G969,0)</f>
        <v/>
      </c>
      <c r="BR969" s="14">
        <f>F969*BQ969*in_bills_ticket*in_bills_comm/12</f>
        <v/>
      </c>
      <c r="BS969" s="40">
        <f>BS968*(1-IF(B968&gt;=in_marketplace_from,d_hz_loan_gold*G968,0))</f>
        <v/>
      </c>
      <c r="BT969" s="14">
        <f>F969*BS969*IF(B969&gt;=in_marketplace_from,d_hz_loan_gold*G969,0)*in_loan_gold_ticket*in_loan_gold_comm</f>
        <v/>
      </c>
      <c r="BU969" s="40">
        <f>BU968*(1-IF(B968&gt;=in_marketplace_from,d_hz_loan_cd*G968,0))</f>
        <v/>
      </c>
      <c r="BV969" s="14">
        <f>F969*BU969*IF(B969&gt;=in_marketplace_from,d_hz_loan_cd*G969,0)*in_loan_cd_ticket*in_loan_cd_comm</f>
        <v/>
      </c>
      <c r="BW969" s="40">
        <f>BW968*(1-IF(B968&gt;=in_marketplace_from,d_hz_loan_vehicle*G968,0))</f>
        <v/>
      </c>
      <c r="BX969" s="14">
        <f>F969*BW969*IF(B969&gt;=in_marketplace_from,d_hz_loan_vehicle*G969,0)*in_loan_vehicle_ticket*in_loan_vehicle_comm</f>
        <v/>
      </c>
      <c r="BY969" s="40">
        <f>BY968*(1-IF(B968&gt;=in_marketplace_from,d_hz_loan_home*G968,0)*BZ968)</f>
        <v/>
      </c>
      <c r="BZ969" s="11">
        <f>MIN(in_approval_cap,in_loan_home_approval*INDEX('Age profile'!$O$2:$O$61,B969)*(1+in_approval_growth)^(D969-1))</f>
        <v/>
      </c>
      <c r="CA969" s="14">
        <f>F969*BY969*IF(B969&gt;=in_marketplace_from,d_hz_loan_home*G969,0)*BZ969*in_loan_home_ticket*in_loan_home_comm</f>
        <v/>
      </c>
      <c r="CB969" s="40">
        <f>CB968*(1-IF(B968&gt;=in_marketplace_from,d_hz_loan_lap*G968,0)*CC968)</f>
        <v/>
      </c>
      <c r="CC969" s="11">
        <f>MIN(in_approval_cap,in_loan_lap_approval*INDEX('Age profile'!$O$2:$O$61,B969)*(1+in_approval_growth)^(D969-1))</f>
        <v/>
      </c>
      <c r="CD969" s="14">
        <f>F969*CB969*IF(B969&gt;=in_marketplace_from,d_hz_loan_lap*G969,0)*CC969*in_loan_lap_ticket*in_loan_lap_comm</f>
        <v/>
      </c>
      <c r="CE969" s="14">
        <f>AA969+AB969+AC969+AD969+AG969+AJ969+AM969+AP969+AS969+AU969+AX969+BB969+BE969+BG969+BJ969+BL969+BO969+BR969+BT969+BV969+BX969+CA969+CD969</f>
        <v/>
      </c>
    </row>
    <row r="970">
      <c r="A970" s="39" t="n">
        <v>19</v>
      </c>
      <c r="B970" s="39" t="n">
        <v>42</v>
      </c>
      <c r="C970" s="39">
        <f>A970+B970-1</f>
        <v/>
      </c>
      <c r="D970" s="39">
        <f>INT((C970-1)/12)+1</f>
        <v/>
      </c>
      <c r="E970" s="44">
        <f>INDEX(Monthly!$B$2:$B$61,A970)</f>
        <v/>
      </c>
      <c r="F970" s="44">
        <f>E970*INDEX('Age profile'!$B$2:$B$61,B970)</f>
        <v/>
      </c>
      <c r="G970" s="45">
        <f>MIN(in_takeup_cap,INDEX('Age profile'!$N$2:$N$61,B970)*(1+in_takeup_growth)^(D970-1))</f>
        <v/>
      </c>
      <c r="H970" s="11">
        <f>MIN(in_approval_cap,in_approved_first*INDEX('Age profile'!$O$2:$O$61,B970)*(1+in_approval_growth)^(D970-1))</f>
        <v/>
      </c>
      <c r="I970" s="45">
        <f>G970*MIN(in_takeup_cap,INDEX('Age profile'!$O$2:$O$61,B970)*(1+in_approval_growth)^(D970-1))</f>
        <v/>
      </c>
      <c r="J970" s="40">
        <f>(J969-L969)*F970/F969</f>
        <v/>
      </c>
      <c r="K970" s="40">
        <f>(K969-M969)*F970/F969+SUMIFS(O929:O969,B929:B969,B970-1-d_T)*F970</f>
        <v/>
      </c>
      <c r="L970" s="40">
        <f>IF(B970&gt;=in_marketplace_from,J970*d_hz*G970*in_eligible*H970,0)</f>
        <v/>
      </c>
      <c r="M970" s="40">
        <f>IF(B970&gt;=in_marketplace_from,K970*d_hz*G970*in_eligible*in_approved_repeat,0)</f>
        <v/>
      </c>
      <c r="N970" s="40">
        <f>L970+M970</f>
        <v/>
      </c>
      <c r="O970" s="46">
        <f>N970/F970</f>
        <v/>
      </c>
      <c r="P970" s="40">
        <f>F970-J970-K970</f>
        <v/>
      </c>
      <c r="Q970" s="40">
        <f>IF(B970&gt;=in_marketplace_from,(J970+K970)*d_hz*G970,0)</f>
        <v/>
      </c>
      <c r="R970" s="40">
        <f>SUMIFS(N929:N970,B929:B970,"&gt;="&amp;(B970-d_T),B929:B970,"&lt;="&amp;(B970-1))</f>
        <v/>
      </c>
      <c r="S970" s="46">
        <f>(1-d_u)*S969+IF(d_T&gt;in_topup_lag,SUMIFS(O929:O970,B929:B970,B970-in_topup_lag)-d_udrop*SUMIFS(O929:O970,B929:B970,B970-d_T),0)</f>
        <v/>
      </c>
      <c r="T970" s="40">
        <f>F970*d_u*S970</f>
        <v/>
      </c>
      <c r="U970" s="9">
        <f>L970*in_ticket+M970*d_rep_ticket</f>
        <v/>
      </c>
      <c r="V970" s="9">
        <f>U970+T970*d_topup_amt</f>
        <v/>
      </c>
      <c r="W970" s="40">
        <f>N970+T970*d_topup_ratio</f>
        <v/>
      </c>
      <c r="X970" s="40">
        <f>SUMIFS(W929:W970,B929:B970,B970-in_dpd_lag)*d_cured</f>
        <v/>
      </c>
      <c r="Y970" s="40">
        <f>SUMIFS(W929:W970,B929:B970,B970-in_rec_lag)*d_recd</f>
        <v/>
      </c>
      <c r="Z970" s="40">
        <f>IF(AND(B970&gt;=in_marketplace_from,B970&lt;in_marketplace_from+in_card_months),in_card_share/in_card_months*F970*I970,IF(AND(B970&gt;=in_marketplace_from+in_card_months,B970&lt;in_marketplace_from+2*in_card_months),in_card_share*d_card_rem/in_card_months*F970*MIN(in_takeup_cap,(1+in_takeup_growth)^(D970-1))*MIN(in_takeup_cap,(1+in_approval_growth)^(D970-1)),0))</f>
        <v/>
      </c>
      <c r="AA970" s="14">
        <f>V970*in_fee*(1-in_taken_back)</f>
        <v/>
      </c>
      <c r="AB970" s="14">
        <f>SUMIFS(W929:W970,B929:B970,B970-in_dpd_lag)*d_dpd</f>
        <v/>
      </c>
      <c r="AC970" s="14">
        <f>SUMIFS(W929:W970,B929:B970,B970-in_rec_lag)*d_rec</f>
        <v/>
      </c>
      <c r="AD970" s="14">
        <f>Z970*in_card_fee</f>
        <v/>
      </c>
      <c r="AE970" s="40">
        <f>AE969*(1-IF(B969&gt;=in_marketplace_from,d_hz_hlth_small*G969,0))</f>
        <v/>
      </c>
      <c r="AF970" s="46">
        <f>AE970*IF(B970&gt;=in_marketplace_from,d_hz_hlth_small*G970,0)</f>
        <v/>
      </c>
      <c r="AG970" s="14">
        <f>F970*AF970*in_hlth_small_ticket*in_hlth_small_comm*in_ins_partner_share+F970*in_hlth_small_ticket*in_hlth_small_renew_comm*in_ins_partner_share*(in_hlth_small_renew^1*SUMIFS(AF929:AF970,B929:B970,B970-12)+in_hlth_small_renew^2*SUMIFS(AF929:AF970,B929:B970,B970-24)+in_hlth_small_renew^3*SUMIFS(AF929:AF970,B929:B970,B970-36)+in_hlth_small_renew^4*SUMIFS(AF929:AF970,B929:B970,B970-48))</f>
        <v/>
      </c>
      <c r="AH970" s="40">
        <f>AH969*(1-IF(B969&gt;=in_marketplace_from,d_hz_hlth_family*G969,0))</f>
        <v/>
      </c>
      <c r="AI970" s="46">
        <f>AH970*IF(B970&gt;=in_marketplace_from,d_hz_hlth_family*G970,0)</f>
        <v/>
      </c>
      <c r="AJ970" s="14">
        <f>F970*AI970*in_hlth_family_ticket*in_hlth_family_comm*in_ins_partner_share+F970*in_hlth_family_ticket*in_hlth_family_renew_comm*in_ins_partner_share*(in_hlth_family_renew^1*SUMIFS(AI929:AI970,B929:B970,B970-12)+in_hlth_family_renew^2*SUMIFS(AI929:AI970,B929:B970,B970-24)+in_hlth_family_renew^3*SUMIFS(AI929:AI970,B929:B970,B970-36)+in_hlth_family_renew^4*SUMIFS(AI929:AI970,B929:B970,B970-48))</f>
        <v/>
      </c>
      <c r="AK970" s="40">
        <f>AK969*(1-IF(B969&gt;=in_marketplace_from,d_hz_life_term*G969,0))</f>
        <v/>
      </c>
      <c r="AL970" s="46">
        <f>AK970*IF(B970&gt;=in_marketplace_from,d_hz_life_term*G970,0)</f>
        <v/>
      </c>
      <c r="AM970" s="14">
        <f>F970*AL970*in_life_term_ticket*in_life_term_comm*in_ins_partner_share+F970*in_life_term_ticket*in_life_term_renew_comm*in_ins_partner_share*(in_life_term_renew^1*SUMIFS(AL929:AL970,B929:B970,B970-12)+in_life_term_renew^2*SUMIFS(AL929:AL970,B929:B970,B970-24)+in_life_term_renew^3*SUMIFS(AL929:AL970,B929:B970,B970-36)+in_life_term_renew^4*SUMIFS(AL929:AL970,B929:B970,B970-48))</f>
        <v/>
      </c>
      <c r="AN970" s="40">
        <f>AN969*(1-IF(B969&gt;=in_marketplace_from,d_hz_accident*G969,0))</f>
        <v/>
      </c>
      <c r="AO970" s="46">
        <f>AN970*IF(B970&gt;=in_marketplace_from,d_hz_accident*G970,0)</f>
        <v/>
      </c>
      <c r="AP970" s="14">
        <f>F970*AO970*in_accident_ticket*in_accident_comm*in_ins_partner_share+F970*in_accident_ticket*in_accident_renew_comm*in_ins_partner_share*(in_accident_renew^1*SUMIFS(AO929:AO970,B929:B970,B970-12)+in_accident_renew^2*SUMIFS(AO929:AO970,B929:B970,B970-24)+in_accident_renew^3*SUMIFS(AO929:AO970,B929:B970,B970-36)+in_accident_renew^4*SUMIFS(AO929:AO970,B929:B970,B970-48))</f>
        <v/>
      </c>
      <c r="AQ970" s="40">
        <f>AQ969*(1-IF(B969&gt;=in_marketplace_from,d_hz_two_wheeler*G969,0))</f>
        <v/>
      </c>
      <c r="AR970" s="46">
        <f>AQ970*IF(B970&gt;=in_marketplace_from,d_hz_two_wheeler*G970,0)</f>
        <v/>
      </c>
      <c r="AS970" s="14">
        <f>F970*AR970*in_two_wheeler_ticket*in_two_wheeler_comm*in_ins_partner_share+F970*in_two_wheeler_ticket*in_two_wheeler_comm*in_ins_partner_share*(in_two_wheeler_renew^1*SUMIFS(AR929:AR970,B929:B970,B970-12)+in_two_wheeler_renew^2*SUMIFS(AR929:AR970,B929:B970,B970-24)+in_two_wheeler_renew^3*SUMIFS(AR929:AR970,B929:B970,B970-36)+in_two_wheeler_renew^4*SUMIFS(AR929:AR970,B929:B970,B970-48))</f>
        <v/>
      </c>
      <c r="AT970" s="40">
        <f>AT969*(1-IF(B969&gt;=in_marketplace_from,d_hz_device*G969,0))</f>
        <v/>
      </c>
      <c r="AU970" s="14">
        <f>F970*AT970*IF(B970&gt;=in_marketplace_from,d_hz_device*G970,0)*in_device_ticket*in_device_comm*in_ins_partner_share</f>
        <v/>
      </c>
      <c r="AV970" s="40">
        <f>AV969*(1-IF(B969&gt;=in_marketplace_from,d_hz_shop*G969,0))</f>
        <v/>
      </c>
      <c r="AW970" s="46">
        <f>AV970*IF(B970&gt;=in_marketplace_from,d_hz_shop*G970,0)</f>
        <v/>
      </c>
      <c r="AX970" s="14">
        <f>F970*AW970*in_shop_ticket*in_shop_comm*in_ins_partner_share+F970*in_shop_ticket*in_shop_renew_comm*in_ins_partner_share*(in_shop_renew^1*SUMIFS(AW929:AW970,B929:B970,B970-12)+in_shop_renew^2*SUMIFS(AW929:AW970,B929:B970,B970-24)+in_shop_renew^3*SUMIFS(AW929:AW970,B929:B970,B970-36)+in_shop_renew^4*SUMIFS(AW929:AW970,B929:B970,B970-48))</f>
        <v/>
      </c>
      <c r="AY970" s="40">
        <f>AY969*(1-IF(B969&gt;=in_marketplace_from,d_hz_sip*G969,0))</f>
        <v/>
      </c>
      <c r="AZ970" s="40">
        <f>AZ969*d_rho_sip+AY970*IF(B970&gt;=in_marketplace_from,d_hz_sip*G970,0)</f>
        <v/>
      </c>
      <c r="BA970" s="40">
        <f>d_rho_sip*(BA969+AZ969)</f>
        <v/>
      </c>
      <c r="BB970" s="14">
        <f>F970*in_sip_ticket*(BA970+0.5*AZ970)*in_sip_comm/12</f>
        <v/>
      </c>
      <c r="BC970" s="40">
        <f>BC969*(1-IF(B969&gt;=in_marketplace_from,d_hz_choti*G969,0))</f>
        <v/>
      </c>
      <c r="BD970" s="46">
        <f>BC970*IF(B970&gt;=in_marketplace_from,d_hz_choti*G970,0)</f>
        <v/>
      </c>
      <c r="BE970" s="14">
        <f>F970*SUMIFS(BD929:BD970,B929:B970,B970-in_choti_months)*in_choti_renew*in_choti_ticket</f>
        <v/>
      </c>
      <c r="BF970" s="40">
        <f>BF969*(1-IF(B969&gt;=in_marketplace_from,d_hz_nps*G969,0))</f>
        <v/>
      </c>
      <c r="BG970" s="14">
        <f>F970*BF970*IF(B970&gt;=in_marketplace_from,d_hz_nps*G970,0)*in_nps_ticket*in_nps_comm</f>
        <v/>
      </c>
      <c r="BH970" s="40">
        <f>BH969*(1-IF(B969&gt;=in_marketplace_from,d_hz_gold*G969,0))</f>
        <v/>
      </c>
      <c r="BI970" s="40">
        <f>BI969*d_rho_gold+BH970*IF(B970&gt;=in_marketplace_from,d_hz_gold*G970,0)</f>
        <v/>
      </c>
      <c r="BJ970" s="14">
        <f>F970*BI970*in_gold_ticket*in_gold_comm</f>
        <v/>
      </c>
      <c r="BK970" s="40">
        <f>BK969*(1-IF(B969&gt;=in_marketplace_from,d_hz_fd*G969,0))</f>
        <v/>
      </c>
      <c r="BL970" s="14">
        <f>F970*BK970*IF(B970&gt;=in_marketplace_from,d_hz_fd*G970,0)*in_fd_ticket*in_fd_comm</f>
        <v/>
      </c>
      <c r="BM970" s="40">
        <f>BM969*(1-IF(B969&gt;=in_marketplace_from,d_hz_recharge*G969,0))</f>
        <v/>
      </c>
      <c r="BN970" s="40">
        <f>BN969*d_rho_recharge+BM970*IF(B970&gt;=in_marketplace_from,d_hz_recharge*G970,0)</f>
        <v/>
      </c>
      <c r="BO970" s="14">
        <f>F970*BN970*in_recharge_ticket*in_recharge_comm/12</f>
        <v/>
      </c>
      <c r="BP970" s="40">
        <f>BP969*(1-IF(B969&gt;=in_marketplace_from,d_hz_bills*G969,0))</f>
        <v/>
      </c>
      <c r="BQ970" s="40">
        <f>BQ969*d_rho_bills+BP970*IF(B970&gt;=in_marketplace_from,d_hz_bills*G970,0)</f>
        <v/>
      </c>
      <c r="BR970" s="14">
        <f>F970*BQ970*in_bills_ticket*in_bills_comm/12</f>
        <v/>
      </c>
      <c r="BS970" s="40">
        <f>BS969*(1-IF(B969&gt;=in_marketplace_from,d_hz_loan_gold*G969,0))</f>
        <v/>
      </c>
      <c r="BT970" s="14">
        <f>F970*BS970*IF(B970&gt;=in_marketplace_from,d_hz_loan_gold*G970,0)*in_loan_gold_ticket*in_loan_gold_comm</f>
        <v/>
      </c>
      <c r="BU970" s="40">
        <f>BU969*(1-IF(B969&gt;=in_marketplace_from,d_hz_loan_cd*G969,0))</f>
        <v/>
      </c>
      <c r="BV970" s="14">
        <f>F970*BU970*IF(B970&gt;=in_marketplace_from,d_hz_loan_cd*G970,0)*in_loan_cd_ticket*in_loan_cd_comm</f>
        <v/>
      </c>
      <c r="BW970" s="40">
        <f>BW969*(1-IF(B969&gt;=in_marketplace_from,d_hz_loan_vehicle*G969,0))</f>
        <v/>
      </c>
      <c r="BX970" s="14">
        <f>F970*BW970*IF(B970&gt;=in_marketplace_from,d_hz_loan_vehicle*G970,0)*in_loan_vehicle_ticket*in_loan_vehicle_comm</f>
        <v/>
      </c>
      <c r="BY970" s="40">
        <f>BY969*(1-IF(B969&gt;=in_marketplace_from,d_hz_loan_home*G969,0)*BZ969)</f>
        <v/>
      </c>
      <c r="BZ970" s="11">
        <f>MIN(in_approval_cap,in_loan_home_approval*INDEX('Age profile'!$O$2:$O$61,B970)*(1+in_approval_growth)^(D970-1))</f>
        <v/>
      </c>
      <c r="CA970" s="14">
        <f>F970*BY970*IF(B970&gt;=in_marketplace_from,d_hz_loan_home*G970,0)*BZ970*in_loan_home_ticket*in_loan_home_comm</f>
        <v/>
      </c>
      <c r="CB970" s="40">
        <f>CB969*(1-IF(B969&gt;=in_marketplace_from,d_hz_loan_lap*G969,0)*CC969)</f>
        <v/>
      </c>
      <c r="CC970" s="11">
        <f>MIN(in_approval_cap,in_loan_lap_approval*INDEX('Age profile'!$O$2:$O$61,B970)*(1+in_approval_growth)^(D970-1))</f>
        <v/>
      </c>
      <c r="CD970" s="14">
        <f>F970*CB970*IF(B970&gt;=in_marketplace_from,d_hz_loan_lap*G970,0)*CC970*in_loan_lap_ticket*in_loan_lap_comm</f>
        <v/>
      </c>
      <c r="CE970" s="14">
        <f>AA970+AB970+AC970+AD970+AG970+AJ970+AM970+AP970+AS970+AU970+AX970+BB970+BE970+BG970+BJ970+BL970+BO970+BR970+BT970+BV970+BX970+CA970+CD970</f>
        <v/>
      </c>
    </row>
    <row r="971">
      <c r="A971" s="39" t="n">
        <v>20</v>
      </c>
      <c r="B971" s="39" t="n">
        <v>1</v>
      </c>
      <c r="C971" s="39">
        <f>A971+B971-1</f>
        <v/>
      </c>
      <c r="D971" s="39">
        <f>INT((C971-1)/12)+1</f>
        <v/>
      </c>
      <c r="E971" s="44">
        <f>INDEX(Monthly!$B$2:$B$61,A971)</f>
        <v/>
      </c>
      <c r="F971" s="44">
        <f>E971*INDEX('Age profile'!$B$2:$B$61,B971)</f>
        <v/>
      </c>
      <c r="G971" s="45">
        <f>MIN(in_takeup_cap,INDEX('Age profile'!$N$2:$N$61,B971)*(1+in_takeup_growth)^(D971-1))</f>
        <v/>
      </c>
      <c r="H971" s="11">
        <f>MIN(in_approval_cap,in_approved_first*INDEX('Age profile'!$O$2:$O$61,B971)*(1+in_approval_growth)^(D971-1))</f>
        <v/>
      </c>
      <c r="I971" s="45">
        <f>G971*MIN(in_takeup_cap,INDEX('Age profile'!$O$2:$O$61,B971)*(1+in_approval_growth)^(D971-1))</f>
        <v/>
      </c>
      <c r="J971" s="40">
        <f>E971</f>
        <v/>
      </c>
      <c r="K971" s="40" t="n">
        <v>0</v>
      </c>
      <c r="L971" s="40">
        <f>IF(B971&gt;=in_marketplace_from,J971*d_hz*G971*in_eligible*H971,0)</f>
        <v/>
      </c>
      <c r="M971" s="40">
        <f>IF(B971&gt;=in_marketplace_from,K971*d_hz*G971*in_eligible*in_approved_repeat,0)</f>
        <v/>
      </c>
      <c r="N971" s="40">
        <f>L971+M971</f>
        <v/>
      </c>
      <c r="O971" s="46">
        <f>N971/F971</f>
        <v/>
      </c>
      <c r="P971" s="40">
        <f>F971-J971-K971</f>
        <v/>
      </c>
      <c r="Q971" s="40">
        <f>IF(B971&gt;=in_marketplace_from,(J971+K971)*d_hz*G971,0)</f>
        <v/>
      </c>
      <c r="R971" s="40">
        <f>SUMIFS(N971:N1011,B971:B1011,"&gt;="&amp;(B971-d_T),B971:B1011,"&lt;="&amp;(B971-1))</f>
        <v/>
      </c>
      <c r="S971" s="46" t="n">
        <v>0</v>
      </c>
      <c r="T971" s="40">
        <f>F971*d_u*S971</f>
        <v/>
      </c>
      <c r="U971" s="9">
        <f>L971*in_ticket+M971*d_rep_ticket</f>
        <v/>
      </c>
      <c r="V971" s="9">
        <f>U971+T971*d_topup_amt</f>
        <v/>
      </c>
      <c r="W971" s="40">
        <f>N971+T971*d_topup_ratio</f>
        <v/>
      </c>
      <c r="X971" s="40">
        <f>SUMIFS(W971:W1011,B971:B1011,B971-in_dpd_lag)*d_cured</f>
        <v/>
      </c>
      <c r="Y971" s="40">
        <f>SUMIFS(W971:W1011,B971:B1011,B971-in_rec_lag)*d_recd</f>
        <v/>
      </c>
      <c r="Z971" s="40">
        <f>IF(AND(B971&gt;=in_marketplace_from,B971&lt;in_marketplace_from+in_card_months),in_card_share/in_card_months*F971*I971,IF(AND(B971&gt;=in_marketplace_from+in_card_months,B971&lt;in_marketplace_from+2*in_card_months),in_card_share*d_card_rem/in_card_months*F971*MIN(in_takeup_cap,(1+in_takeup_growth)^(D971-1))*MIN(in_takeup_cap,(1+in_approval_growth)^(D971-1)),0))</f>
        <v/>
      </c>
      <c r="AA971" s="14">
        <f>V971*in_fee*(1-in_taken_back)</f>
        <v/>
      </c>
      <c r="AB971" s="14">
        <f>SUMIFS(W971:W1011,B971:B1011,B971-in_dpd_lag)*d_dpd</f>
        <v/>
      </c>
      <c r="AC971" s="14">
        <f>SUMIFS(W971:W1011,B971:B1011,B971-in_rec_lag)*d_rec</f>
        <v/>
      </c>
      <c r="AD971" s="14">
        <f>Z971*in_card_fee</f>
        <v/>
      </c>
      <c r="AE971" s="40" t="n">
        <v>1</v>
      </c>
      <c r="AF971" s="46">
        <f>AE971*IF(B971&gt;=in_marketplace_from,d_hz_hlth_small*G971,0)</f>
        <v/>
      </c>
      <c r="AG971" s="14">
        <f>F971*AF971*in_hlth_small_ticket*in_hlth_small_comm*in_ins_partner_share+F971*in_hlth_small_ticket*in_hlth_small_renew_comm*in_ins_partner_share*(in_hlth_small_renew^1*SUMIFS(AF971:AF1011,B971:B1011,B971-12)+in_hlth_small_renew^2*SUMIFS(AF971:AF1011,B971:B1011,B971-24)+in_hlth_small_renew^3*SUMIFS(AF971:AF1011,B971:B1011,B971-36)+in_hlth_small_renew^4*SUMIFS(AF971:AF1011,B971:B1011,B971-48))</f>
        <v/>
      </c>
      <c r="AH971" s="40" t="n">
        <v>1</v>
      </c>
      <c r="AI971" s="46">
        <f>AH971*IF(B971&gt;=in_marketplace_from,d_hz_hlth_family*G971,0)</f>
        <v/>
      </c>
      <c r="AJ971" s="14">
        <f>F971*AI971*in_hlth_family_ticket*in_hlth_family_comm*in_ins_partner_share+F971*in_hlth_family_ticket*in_hlth_family_renew_comm*in_ins_partner_share*(in_hlth_family_renew^1*SUMIFS(AI971:AI1011,B971:B1011,B971-12)+in_hlth_family_renew^2*SUMIFS(AI971:AI1011,B971:B1011,B971-24)+in_hlth_family_renew^3*SUMIFS(AI971:AI1011,B971:B1011,B971-36)+in_hlth_family_renew^4*SUMIFS(AI971:AI1011,B971:B1011,B971-48))</f>
        <v/>
      </c>
      <c r="AK971" s="40" t="n">
        <v>1</v>
      </c>
      <c r="AL971" s="46">
        <f>AK971*IF(B971&gt;=in_marketplace_from,d_hz_life_term*G971,0)</f>
        <v/>
      </c>
      <c r="AM971" s="14">
        <f>F971*AL971*in_life_term_ticket*in_life_term_comm*in_ins_partner_share+F971*in_life_term_ticket*in_life_term_renew_comm*in_ins_partner_share*(in_life_term_renew^1*SUMIFS(AL971:AL1011,B971:B1011,B971-12)+in_life_term_renew^2*SUMIFS(AL971:AL1011,B971:B1011,B971-24)+in_life_term_renew^3*SUMIFS(AL971:AL1011,B971:B1011,B971-36)+in_life_term_renew^4*SUMIFS(AL971:AL1011,B971:B1011,B971-48))</f>
        <v/>
      </c>
      <c r="AN971" s="40" t="n">
        <v>1</v>
      </c>
      <c r="AO971" s="46">
        <f>AN971*IF(B971&gt;=in_marketplace_from,d_hz_accident*G971,0)</f>
        <v/>
      </c>
      <c r="AP971" s="14">
        <f>F971*AO971*in_accident_ticket*in_accident_comm*in_ins_partner_share+F971*in_accident_ticket*in_accident_renew_comm*in_ins_partner_share*(in_accident_renew^1*SUMIFS(AO971:AO1011,B971:B1011,B971-12)+in_accident_renew^2*SUMIFS(AO971:AO1011,B971:B1011,B971-24)+in_accident_renew^3*SUMIFS(AO971:AO1011,B971:B1011,B971-36)+in_accident_renew^4*SUMIFS(AO971:AO1011,B971:B1011,B971-48))</f>
        <v/>
      </c>
      <c r="AQ971" s="40" t="n">
        <v>1</v>
      </c>
      <c r="AR971" s="46">
        <f>AQ971*IF(B971&gt;=in_marketplace_from,d_hz_two_wheeler*G971,0)</f>
        <v/>
      </c>
      <c r="AS971" s="14">
        <f>F971*AR971*in_two_wheeler_ticket*in_two_wheeler_comm*in_ins_partner_share+F971*in_two_wheeler_ticket*in_two_wheeler_comm*in_ins_partner_share*(in_two_wheeler_renew^1*SUMIFS(AR971:AR1011,B971:B1011,B971-12)+in_two_wheeler_renew^2*SUMIFS(AR971:AR1011,B971:B1011,B971-24)+in_two_wheeler_renew^3*SUMIFS(AR971:AR1011,B971:B1011,B971-36)+in_two_wheeler_renew^4*SUMIFS(AR971:AR1011,B971:B1011,B971-48))</f>
        <v/>
      </c>
      <c r="AT971" s="40" t="n">
        <v>1</v>
      </c>
      <c r="AU971" s="14">
        <f>F971*AT971*IF(B971&gt;=in_marketplace_from,d_hz_device*G971,0)*in_device_ticket*in_device_comm*in_ins_partner_share</f>
        <v/>
      </c>
      <c r="AV971" s="40" t="n">
        <v>1</v>
      </c>
      <c r="AW971" s="46">
        <f>AV971*IF(B971&gt;=in_marketplace_from,d_hz_shop*G971,0)</f>
        <v/>
      </c>
      <c r="AX971" s="14">
        <f>F971*AW971*in_shop_ticket*in_shop_comm*in_ins_partner_share+F971*in_shop_ticket*in_shop_renew_comm*in_ins_partner_share*(in_shop_renew^1*SUMIFS(AW971:AW1011,B971:B1011,B971-12)+in_shop_renew^2*SUMIFS(AW971:AW1011,B971:B1011,B971-24)+in_shop_renew^3*SUMIFS(AW971:AW1011,B971:B1011,B971-36)+in_shop_renew^4*SUMIFS(AW971:AW1011,B971:B1011,B971-48))</f>
        <v/>
      </c>
      <c r="AY971" s="40" t="n">
        <v>1</v>
      </c>
      <c r="AZ971" s="40">
        <f>AY971*IF(B971&gt;=in_marketplace_from,d_hz_sip*G971,0)</f>
        <v/>
      </c>
      <c r="BA971" s="40" t="n">
        <v>0</v>
      </c>
      <c r="BB971" s="14">
        <f>F971*in_sip_ticket*(BA971+0.5*AZ971)*in_sip_comm/12</f>
        <v/>
      </c>
      <c r="BC971" s="40" t="n">
        <v>1</v>
      </c>
      <c r="BD971" s="46">
        <f>BC971*IF(B971&gt;=in_marketplace_from,d_hz_choti*G971,0)</f>
        <v/>
      </c>
      <c r="BE971" s="14">
        <f>F971*SUMIFS(BD971:BD1011,B971:B1011,B971-in_choti_months)*in_choti_renew*in_choti_ticket</f>
        <v/>
      </c>
      <c r="BF971" s="40" t="n">
        <v>1</v>
      </c>
      <c r="BG971" s="14">
        <f>F971*BF971*IF(B971&gt;=in_marketplace_from,d_hz_nps*G971,0)*in_nps_ticket*in_nps_comm</f>
        <v/>
      </c>
      <c r="BH971" s="40" t="n">
        <v>1</v>
      </c>
      <c r="BI971" s="40">
        <f>BH971*IF(B971&gt;=in_marketplace_from,d_hz_gold*G971,0)</f>
        <v/>
      </c>
      <c r="BJ971" s="14">
        <f>F971*BI971*in_gold_ticket*in_gold_comm</f>
        <v/>
      </c>
      <c r="BK971" s="40" t="n">
        <v>1</v>
      </c>
      <c r="BL971" s="14">
        <f>F971*BK971*IF(B971&gt;=in_marketplace_from,d_hz_fd*G971,0)*in_fd_ticket*in_fd_comm</f>
        <v/>
      </c>
      <c r="BM971" s="40" t="n">
        <v>1</v>
      </c>
      <c r="BN971" s="40">
        <f>BM971*IF(B971&gt;=in_marketplace_from,d_hz_recharge*G971,0)</f>
        <v/>
      </c>
      <c r="BO971" s="14">
        <f>F971*BN971*in_recharge_ticket*in_recharge_comm/12</f>
        <v/>
      </c>
      <c r="BP971" s="40" t="n">
        <v>1</v>
      </c>
      <c r="BQ971" s="40">
        <f>BP971*IF(B971&gt;=in_marketplace_from,d_hz_bills*G971,0)</f>
        <v/>
      </c>
      <c r="BR971" s="14">
        <f>F971*BQ971*in_bills_ticket*in_bills_comm/12</f>
        <v/>
      </c>
      <c r="BS971" s="40" t="n">
        <v>1</v>
      </c>
      <c r="BT971" s="14">
        <f>F971*BS971*IF(B971&gt;=in_marketplace_from,d_hz_loan_gold*G971,0)*in_loan_gold_ticket*in_loan_gold_comm</f>
        <v/>
      </c>
      <c r="BU971" s="40" t="n">
        <v>1</v>
      </c>
      <c r="BV971" s="14">
        <f>F971*BU971*IF(B971&gt;=in_marketplace_from,d_hz_loan_cd*G971,0)*in_loan_cd_ticket*in_loan_cd_comm</f>
        <v/>
      </c>
      <c r="BW971" s="40" t="n">
        <v>1</v>
      </c>
      <c r="BX971" s="14">
        <f>F971*BW971*IF(B971&gt;=in_marketplace_from,d_hz_loan_vehicle*G971,0)*in_loan_vehicle_ticket*in_loan_vehicle_comm</f>
        <v/>
      </c>
      <c r="BY971" s="40" t="n">
        <v>1</v>
      </c>
      <c r="BZ971" s="11">
        <f>MIN(in_approval_cap,in_loan_home_approval*INDEX('Age profile'!$O$2:$O$61,B971)*(1+in_approval_growth)^(D971-1))</f>
        <v/>
      </c>
      <c r="CA971" s="14">
        <f>F971*BY971*IF(B971&gt;=in_marketplace_from,d_hz_loan_home*G971,0)*BZ971*in_loan_home_ticket*in_loan_home_comm</f>
        <v/>
      </c>
      <c r="CB971" s="40" t="n">
        <v>1</v>
      </c>
      <c r="CC971" s="11">
        <f>MIN(in_approval_cap,in_loan_lap_approval*INDEX('Age profile'!$O$2:$O$61,B971)*(1+in_approval_growth)^(D971-1))</f>
        <v/>
      </c>
      <c r="CD971" s="14">
        <f>F971*CB971*IF(B971&gt;=in_marketplace_from,d_hz_loan_lap*G971,0)*CC971*in_loan_lap_ticket*in_loan_lap_comm</f>
        <v/>
      </c>
      <c r="CE971" s="14">
        <f>AA971+AB971+AC971+AD971+AG971+AJ971+AM971+AP971+AS971+AU971+AX971+BB971+BE971+BG971+BJ971+BL971+BO971+BR971+BT971+BV971+BX971+CA971+CD971</f>
        <v/>
      </c>
    </row>
    <row r="972">
      <c r="A972" s="39" t="n">
        <v>20</v>
      </c>
      <c r="B972" s="39" t="n">
        <v>2</v>
      </c>
      <c r="C972" s="39">
        <f>A972+B972-1</f>
        <v/>
      </c>
      <c r="D972" s="39">
        <f>INT((C972-1)/12)+1</f>
        <v/>
      </c>
      <c r="E972" s="44">
        <f>INDEX(Monthly!$B$2:$B$61,A972)</f>
        <v/>
      </c>
      <c r="F972" s="44">
        <f>E972*INDEX('Age profile'!$B$2:$B$61,B972)</f>
        <v/>
      </c>
      <c r="G972" s="45">
        <f>MIN(in_takeup_cap,INDEX('Age profile'!$N$2:$N$61,B972)*(1+in_takeup_growth)^(D972-1))</f>
        <v/>
      </c>
      <c r="H972" s="11">
        <f>MIN(in_approval_cap,in_approved_first*INDEX('Age profile'!$O$2:$O$61,B972)*(1+in_approval_growth)^(D972-1))</f>
        <v/>
      </c>
      <c r="I972" s="45">
        <f>G972*MIN(in_takeup_cap,INDEX('Age profile'!$O$2:$O$61,B972)*(1+in_approval_growth)^(D972-1))</f>
        <v/>
      </c>
      <c r="J972" s="40">
        <f>(J971-L971)*F972/F971</f>
        <v/>
      </c>
      <c r="K972" s="40">
        <f>(K971-M971)*F972/F971+SUMIFS(O971:O971,B971:B971,B972-1-d_T)*F972</f>
        <v/>
      </c>
      <c r="L972" s="40">
        <f>IF(B972&gt;=in_marketplace_from,J972*d_hz*G972*in_eligible*H972,0)</f>
        <v/>
      </c>
      <c r="M972" s="40">
        <f>IF(B972&gt;=in_marketplace_from,K972*d_hz*G972*in_eligible*in_approved_repeat,0)</f>
        <v/>
      </c>
      <c r="N972" s="40">
        <f>L972+M972</f>
        <v/>
      </c>
      <c r="O972" s="46">
        <f>N972/F972</f>
        <v/>
      </c>
      <c r="P972" s="40">
        <f>F972-J972-K972</f>
        <v/>
      </c>
      <c r="Q972" s="40">
        <f>IF(B972&gt;=in_marketplace_from,(J972+K972)*d_hz*G972,0)</f>
        <v/>
      </c>
      <c r="R972" s="40">
        <f>SUMIFS(N971:N1011,B971:B1011,"&gt;="&amp;(B972-d_T),B971:B1011,"&lt;="&amp;(B972-1))</f>
        <v/>
      </c>
      <c r="S972" s="46">
        <f>(1-d_u)*S971+IF(d_T&gt;in_topup_lag,SUMIFS(O971:O1011,B971:B1011,B972-in_topup_lag)-d_udrop*SUMIFS(O971:O1011,B971:B1011,B972-d_T),0)</f>
        <v/>
      </c>
      <c r="T972" s="40">
        <f>F972*d_u*S972</f>
        <v/>
      </c>
      <c r="U972" s="9">
        <f>L972*in_ticket+M972*d_rep_ticket</f>
        <v/>
      </c>
      <c r="V972" s="9">
        <f>U972+T972*d_topup_amt</f>
        <v/>
      </c>
      <c r="W972" s="40">
        <f>N972+T972*d_topup_ratio</f>
        <v/>
      </c>
      <c r="X972" s="40">
        <f>SUMIFS(W971:W1011,B971:B1011,B972-in_dpd_lag)*d_cured</f>
        <v/>
      </c>
      <c r="Y972" s="40">
        <f>SUMIFS(W971:W1011,B971:B1011,B972-in_rec_lag)*d_recd</f>
        <v/>
      </c>
      <c r="Z972" s="40">
        <f>IF(AND(B972&gt;=in_marketplace_from,B972&lt;in_marketplace_from+in_card_months),in_card_share/in_card_months*F972*I972,IF(AND(B972&gt;=in_marketplace_from+in_card_months,B972&lt;in_marketplace_from+2*in_card_months),in_card_share*d_card_rem/in_card_months*F972*MIN(in_takeup_cap,(1+in_takeup_growth)^(D972-1))*MIN(in_takeup_cap,(1+in_approval_growth)^(D972-1)),0))</f>
        <v/>
      </c>
      <c r="AA972" s="14">
        <f>V972*in_fee*(1-in_taken_back)</f>
        <v/>
      </c>
      <c r="AB972" s="14">
        <f>SUMIFS(W971:W1011,B971:B1011,B972-in_dpd_lag)*d_dpd</f>
        <v/>
      </c>
      <c r="AC972" s="14">
        <f>SUMIFS(W971:W1011,B971:B1011,B972-in_rec_lag)*d_rec</f>
        <v/>
      </c>
      <c r="AD972" s="14">
        <f>Z972*in_card_fee</f>
        <v/>
      </c>
      <c r="AE972" s="40">
        <f>AE971*(1-IF(B971&gt;=in_marketplace_from,d_hz_hlth_small*G971,0))</f>
        <v/>
      </c>
      <c r="AF972" s="46">
        <f>AE972*IF(B972&gt;=in_marketplace_from,d_hz_hlth_small*G972,0)</f>
        <v/>
      </c>
      <c r="AG972" s="14">
        <f>F972*AF972*in_hlth_small_ticket*in_hlth_small_comm*in_ins_partner_share+F972*in_hlth_small_ticket*in_hlth_small_renew_comm*in_ins_partner_share*(in_hlth_small_renew^1*SUMIFS(AF971:AF1011,B971:B1011,B972-12)+in_hlth_small_renew^2*SUMIFS(AF971:AF1011,B971:B1011,B972-24)+in_hlth_small_renew^3*SUMIFS(AF971:AF1011,B971:B1011,B972-36)+in_hlth_small_renew^4*SUMIFS(AF971:AF1011,B971:B1011,B972-48))</f>
        <v/>
      </c>
      <c r="AH972" s="40">
        <f>AH971*(1-IF(B971&gt;=in_marketplace_from,d_hz_hlth_family*G971,0))</f>
        <v/>
      </c>
      <c r="AI972" s="46">
        <f>AH972*IF(B972&gt;=in_marketplace_from,d_hz_hlth_family*G972,0)</f>
        <v/>
      </c>
      <c r="AJ972" s="14">
        <f>F972*AI972*in_hlth_family_ticket*in_hlth_family_comm*in_ins_partner_share+F972*in_hlth_family_ticket*in_hlth_family_renew_comm*in_ins_partner_share*(in_hlth_family_renew^1*SUMIFS(AI971:AI1011,B971:B1011,B972-12)+in_hlth_family_renew^2*SUMIFS(AI971:AI1011,B971:B1011,B972-24)+in_hlth_family_renew^3*SUMIFS(AI971:AI1011,B971:B1011,B972-36)+in_hlth_family_renew^4*SUMIFS(AI971:AI1011,B971:B1011,B972-48))</f>
        <v/>
      </c>
      <c r="AK972" s="40">
        <f>AK971*(1-IF(B971&gt;=in_marketplace_from,d_hz_life_term*G971,0))</f>
        <v/>
      </c>
      <c r="AL972" s="46">
        <f>AK972*IF(B972&gt;=in_marketplace_from,d_hz_life_term*G972,0)</f>
        <v/>
      </c>
      <c r="AM972" s="14">
        <f>F972*AL972*in_life_term_ticket*in_life_term_comm*in_ins_partner_share+F972*in_life_term_ticket*in_life_term_renew_comm*in_ins_partner_share*(in_life_term_renew^1*SUMIFS(AL971:AL1011,B971:B1011,B972-12)+in_life_term_renew^2*SUMIFS(AL971:AL1011,B971:B1011,B972-24)+in_life_term_renew^3*SUMIFS(AL971:AL1011,B971:B1011,B972-36)+in_life_term_renew^4*SUMIFS(AL971:AL1011,B971:B1011,B972-48))</f>
        <v/>
      </c>
      <c r="AN972" s="40">
        <f>AN971*(1-IF(B971&gt;=in_marketplace_from,d_hz_accident*G971,0))</f>
        <v/>
      </c>
      <c r="AO972" s="46">
        <f>AN972*IF(B972&gt;=in_marketplace_from,d_hz_accident*G972,0)</f>
        <v/>
      </c>
      <c r="AP972" s="14">
        <f>F972*AO972*in_accident_ticket*in_accident_comm*in_ins_partner_share+F972*in_accident_ticket*in_accident_renew_comm*in_ins_partner_share*(in_accident_renew^1*SUMIFS(AO971:AO1011,B971:B1011,B972-12)+in_accident_renew^2*SUMIFS(AO971:AO1011,B971:B1011,B972-24)+in_accident_renew^3*SUMIFS(AO971:AO1011,B971:B1011,B972-36)+in_accident_renew^4*SUMIFS(AO971:AO1011,B971:B1011,B972-48))</f>
        <v/>
      </c>
      <c r="AQ972" s="40">
        <f>AQ971*(1-IF(B971&gt;=in_marketplace_from,d_hz_two_wheeler*G971,0))</f>
        <v/>
      </c>
      <c r="AR972" s="46">
        <f>AQ972*IF(B972&gt;=in_marketplace_from,d_hz_two_wheeler*G972,0)</f>
        <v/>
      </c>
      <c r="AS972" s="14">
        <f>F972*AR972*in_two_wheeler_ticket*in_two_wheeler_comm*in_ins_partner_share+F972*in_two_wheeler_ticket*in_two_wheeler_comm*in_ins_partner_share*(in_two_wheeler_renew^1*SUMIFS(AR971:AR1011,B971:B1011,B972-12)+in_two_wheeler_renew^2*SUMIFS(AR971:AR1011,B971:B1011,B972-24)+in_two_wheeler_renew^3*SUMIFS(AR971:AR1011,B971:B1011,B972-36)+in_two_wheeler_renew^4*SUMIFS(AR971:AR1011,B971:B1011,B972-48))</f>
        <v/>
      </c>
      <c r="AT972" s="40">
        <f>AT971*(1-IF(B971&gt;=in_marketplace_from,d_hz_device*G971,0))</f>
        <v/>
      </c>
      <c r="AU972" s="14">
        <f>F972*AT972*IF(B972&gt;=in_marketplace_from,d_hz_device*G972,0)*in_device_ticket*in_device_comm*in_ins_partner_share</f>
        <v/>
      </c>
      <c r="AV972" s="40">
        <f>AV971*(1-IF(B971&gt;=in_marketplace_from,d_hz_shop*G971,0))</f>
        <v/>
      </c>
      <c r="AW972" s="46">
        <f>AV972*IF(B972&gt;=in_marketplace_from,d_hz_shop*G972,0)</f>
        <v/>
      </c>
      <c r="AX972" s="14">
        <f>F972*AW972*in_shop_ticket*in_shop_comm*in_ins_partner_share+F972*in_shop_ticket*in_shop_renew_comm*in_ins_partner_share*(in_shop_renew^1*SUMIFS(AW971:AW1011,B971:B1011,B972-12)+in_shop_renew^2*SUMIFS(AW971:AW1011,B971:B1011,B972-24)+in_shop_renew^3*SUMIFS(AW971:AW1011,B971:B1011,B972-36)+in_shop_renew^4*SUMIFS(AW971:AW1011,B971:B1011,B972-48))</f>
        <v/>
      </c>
      <c r="AY972" s="40">
        <f>AY971*(1-IF(B971&gt;=in_marketplace_from,d_hz_sip*G971,0))</f>
        <v/>
      </c>
      <c r="AZ972" s="40">
        <f>AZ971*d_rho_sip+AY972*IF(B972&gt;=in_marketplace_from,d_hz_sip*G972,0)</f>
        <v/>
      </c>
      <c r="BA972" s="40">
        <f>d_rho_sip*(BA971+AZ971)</f>
        <v/>
      </c>
      <c r="BB972" s="14">
        <f>F972*in_sip_ticket*(BA972+0.5*AZ972)*in_sip_comm/12</f>
        <v/>
      </c>
      <c r="BC972" s="40">
        <f>BC971*(1-IF(B971&gt;=in_marketplace_from,d_hz_choti*G971,0))</f>
        <v/>
      </c>
      <c r="BD972" s="46">
        <f>BC972*IF(B972&gt;=in_marketplace_from,d_hz_choti*G972,0)</f>
        <v/>
      </c>
      <c r="BE972" s="14">
        <f>F972*SUMIFS(BD971:BD1011,B971:B1011,B972-in_choti_months)*in_choti_renew*in_choti_ticket</f>
        <v/>
      </c>
      <c r="BF972" s="40">
        <f>BF971*(1-IF(B971&gt;=in_marketplace_from,d_hz_nps*G971,0))</f>
        <v/>
      </c>
      <c r="BG972" s="14">
        <f>F972*BF972*IF(B972&gt;=in_marketplace_from,d_hz_nps*G972,0)*in_nps_ticket*in_nps_comm</f>
        <v/>
      </c>
      <c r="BH972" s="40">
        <f>BH971*(1-IF(B971&gt;=in_marketplace_from,d_hz_gold*G971,0))</f>
        <v/>
      </c>
      <c r="BI972" s="40">
        <f>BI971*d_rho_gold+BH972*IF(B972&gt;=in_marketplace_from,d_hz_gold*G972,0)</f>
        <v/>
      </c>
      <c r="BJ972" s="14">
        <f>F972*BI972*in_gold_ticket*in_gold_comm</f>
        <v/>
      </c>
      <c r="BK972" s="40">
        <f>BK971*(1-IF(B971&gt;=in_marketplace_from,d_hz_fd*G971,0))</f>
        <v/>
      </c>
      <c r="BL972" s="14">
        <f>F972*BK972*IF(B972&gt;=in_marketplace_from,d_hz_fd*G972,0)*in_fd_ticket*in_fd_comm</f>
        <v/>
      </c>
      <c r="BM972" s="40">
        <f>BM971*(1-IF(B971&gt;=in_marketplace_from,d_hz_recharge*G971,0))</f>
        <v/>
      </c>
      <c r="BN972" s="40">
        <f>BN971*d_rho_recharge+BM972*IF(B972&gt;=in_marketplace_from,d_hz_recharge*G972,0)</f>
        <v/>
      </c>
      <c r="BO972" s="14">
        <f>F972*BN972*in_recharge_ticket*in_recharge_comm/12</f>
        <v/>
      </c>
      <c r="BP972" s="40">
        <f>BP971*(1-IF(B971&gt;=in_marketplace_from,d_hz_bills*G971,0))</f>
        <v/>
      </c>
      <c r="BQ972" s="40">
        <f>BQ971*d_rho_bills+BP972*IF(B972&gt;=in_marketplace_from,d_hz_bills*G972,0)</f>
        <v/>
      </c>
      <c r="BR972" s="14">
        <f>F972*BQ972*in_bills_ticket*in_bills_comm/12</f>
        <v/>
      </c>
      <c r="BS972" s="40">
        <f>BS971*(1-IF(B971&gt;=in_marketplace_from,d_hz_loan_gold*G971,0))</f>
        <v/>
      </c>
      <c r="BT972" s="14">
        <f>F972*BS972*IF(B972&gt;=in_marketplace_from,d_hz_loan_gold*G972,0)*in_loan_gold_ticket*in_loan_gold_comm</f>
        <v/>
      </c>
      <c r="BU972" s="40">
        <f>BU971*(1-IF(B971&gt;=in_marketplace_from,d_hz_loan_cd*G971,0))</f>
        <v/>
      </c>
      <c r="BV972" s="14">
        <f>F972*BU972*IF(B972&gt;=in_marketplace_from,d_hz_loan_cd*G972,0)*in_loan_cd_ticket*in_loan_cd_comm</f>
        <v/>
      </c>
      <c r="BW972" s="40">
        <f>BW971*(1-IF(B971&gt;=in_marketplace_from,d_hz_loan_vehicle*G971,0))</f>
        <v/>
      </c>
      <c r="BX972" s="14">
        <f>F972*BW972*IF(B972&gt;=in_marketplace_from,d_hz_loan_vehicle*G972,0)*in_loan_vehicle_ticket*in_loan_vehicle_comm</f>
        <v/>
      </c>
      <c r="BY972" s="40">
        <f>BY971*(1-IF(B971&gt;=in_marketplace_from,d_hz_loan_home*G971,0)*BZ971)</f>
        <v/>
      </c>
      <c r="BZ972" s="11">
        <f>MIN(in_approval_cap,in_loan_home_approval*INDEX('Age profile'!$O$2:$O$61,B972)*(1+in_approval_growth)^(D972-1))</f>
        <v/>
      </c>
      <c r="CA972" s="14">
        <f>F972*BY972*IF(B972&gt;=in_marketplace_from,d_hz_loan_home*G972,0)*BZ972*in_loan_home_ticket*in_loan_home_comm</f>
        <v/>
      </c>
      <c r="CB972" s="40">
        <f>CB971*(1-IF(B971&gt;=in_marketplace_from,d_hz_loan_lap*G971,0)*CC971)</f>
        <v/>
      </c>
      <c r="CC972" s="11">
        <f>MIN(in_approval_cap,in_loan_lap_approval*INDEX('Age profile'!$O$2:$O$61,B972)*(1+in_approval_growth)^(D972-1))</f>
        <v/>
      </c>
      <c r="CD972" s="14">
        <f>F972*CB972*IF(B972&gt;=in_marketplace_from,d_hz_loan_lap*G972,0)*CC972*in_loan_lap_ticket*in_loan_lap_comm</f>
        <v/>
      </c>
      <c r="CE972" s="14">
        <f>AA972+AB972+AC972+AD972+AG972+AJ972+AM972+AP972+AS972+AU972+AX972+BB972+BE972+BG972+BJ972+BL972+BO972+BR972+BT972+BV972+BX972+CA972+CD972</f>
        <v/>
      </c>
    </row>
    <row r="973">
      <c r="A973" s="39" t="n">
        <v>20</v>
      </c>
      <c r="B973" s="39" t="n">
        <v>3</v>
      </c>
      <c r="C973" s="39">
        <f>A973+B973-1</f>
        <v/>
      </c>
      <c r="D973" s="39">
        <f>INT((C973-1)/12)+1</f>
        <v/>
      </c>
      <c r="E973" s="44">
        <f>INDEX(Monthly!$B$2:$B$61,A973)</f>
        <v/>
      </c>
      <c r="F973" s="44">
        <f>E973*INDEX('Age profile'!$B$2:$B$61,B973)</f>
        <v/>
      </c>
      <c r="G973" s="45">
        <f>MIN(in_takeup_cap,INDEX('Age profile'!$N$2:$N$61,B973)*(1+in_takeup_growth)^(D973-1))</f>
        <v/>
      </c>
      <c r="H973" s="11">
        <f>MIN(in_approval_cap,in_approved_first*INDEX('Age profile'!$O$2:$O$61,B973)*(1+in_approval_growth)^(D973-1))</f>
        <v/>
      </c>
      <c r="I973" s="45">
        <f>G973*MIN(in_takeup_cap,INDEX('Age profile'!$O$2:$O$61,B973)*(1+in_approval_growth)^(D973-1))</f>
        <v/>
      </c>
      <c r="J973" s="40">
        <f>(J972-L972)*F973/F972</f>
        <v/>
      </c>
      <c r="K973" s="40">
        <f>(K972-M972)*F973/F972+SUMIFS(O971:O972,B971:B972,B973-1-d_T)*F973</f>
        <v/>
      </c>
      <c r="L973" s="40">
        <f>IF(B973&gt;=in_marketplace_from,J973*d_hz*G973*in_eligible*H973,0)</f>
        <v/>
      </c>
      <c r="M973" s="40">
        <f>IF(B973&gt;=in_marketplace_from,K973*d_hz*G973*in_eligible*in_approved_repeat,0)</f>
        <v/>
      </c>
      <c r="N973" s="40">
        <f>L973+M973</f>
        <v/>
      </c>
      <c r="O973" s="46">
        <f>N973/F973</f>
        <v/>
      </c>
      <c r="P973" s="40">
        <f>F973-J973-K973</f>
        <v/>
      </c>
      <c r="Q973" s="40">
        <f>IF(B973&gt;=in_marketplace_from,(J973+K973)*d_hz*G973,0)</f>
        <v/>
      </c>
      <c r="R973" s="40">
        <f>SUMIFS(N971:N1011,B971:B1011,"&gt;="&amp;(B973-d_T),B971:B1011,"&lt;="&amp;(B973-1))</f>
        <v/>
      </c>
      <c r="S973" s="46">
        <f>(1-d_u)*S972+IF(d_T&gt;in_topup_lag,SUMIFS(O971:O1011,B971:B1011,B973-in_topup_lag)-d_udrop*SUMIFS(O971:O1011,B971:B1011,B973-d_T),0)</f>
        <v/>
      </c>
      <c r="T973" s="40">
        <f>F973*d_u*S973</f>
        <v/>
      </c>
      <c r="U973" s="9">
        <f>L973*in_ticket+M973*d_rep_ticket</f>
        <v/>
      </c>
      <c r="V973" s="9">
        <f>U973+T973*d_topup_amt</f>
        <v/>
      </c>
      <c r="W973" s="40">
        <f>N973+T973*d_topup_ratio</f>
        <v/>
      </c>
      <c r="X973" s="40">
        <f>SUMIFS(W971:W1011,B971:B1011,B973-in_dpd_lag)*d_cured</f>
        <v/>
      </c>
      <c r="Y973" s="40">
        <f>SUMIFS(W971:W1011,B971:B1011,B973-in_rec_lag)*d_recd</f>
        <v/>
      </c>
      <c r="Z973" s="40">
        <f>IF(AND(B973&gt;=in_marketplace_from,B973&lt;in_marketplace_from+in_card_months),in_card_share/in_card_months*F973*I973,IF(AND(B973&gt;=in_marketplace_from+in_card_months,B973&lt;in_marketplace_from+2*in_card_months),in_card_share*d_card_rem/in_card_months*F973*MIN(in_takeup_cap,(1+in_takeup_growth)^(D973-1))*MIN(in_takeup_cap,(1+in_approval_growth)^(D973-1)),0))</f>
        <v/>
      </c>
      <c r="AA973" s="14">
        <f>V973*in_fee*(1-in_taken_back)</f>
        <v/>
      </c>
      <c r="AB973" s="14">
        <f>SUMIFS(W971:W1011,B971:B1011,B973-in_dpd_lag)*d_dpd</f>
        <v/>
      </c>
      <c r="AC973" s="14">
        <f>SUMIFS(W971:W1011,B971:B1011,B973-in_rec_lag)*d_rec</f>
        <v/>
      </c>
      <c r="AD973" s="14">
        <f>Z973*in_card_fee</f>
        <v/>
      </c>
      <c r="AE973" s="40">
        <f>AE972*(1-IF(B972&gt;=in_marketplace_from,d_hz_hlth_small*G972,0))</f>
        <v/>
      </c>
      <c r="AF973" s="46">
        <f>AE973*IF(B973&gt;=in_marketplace_from,d_hz_hlth_small*G973,0)</f>
        <v/>
      </c>
      <c r="AG973" s="14">
        <f>F973*AF973*in_hlth_small_ticket*in_hlth_small_comm*in_ins_partner_share+F973*in_hlth_small_ticket*in_hlth_small_renew_comm*in_ins_partner_share*(in_hlth_small_renew^1*SUMIFS(AF971:AF1011,B971:B1011,B973-12)+in_hlth_small_renew^2*SUMIFS(AF971:AF1011,B971:B1011,B973-24)+in_hlth_small_renew^3*SUMIFS(AF971:AF1011,B971:B1011,B973-36)+in_hlth_small_renew^4*SUMIFS(AF971:AF1011,B971:B1011,B973-48))</f>
        <v/>
      </c>
      <c r="AH973" s="40">
        <f>AH972*(1-IF(B972&gt;=in_marketplace_from,d_hz_hlth_family*G972,0))</f>
        <v/>
      </c>
      <c r="AI973" s="46">
        <f>AH973*IF(B973&gt;=in_marketplace_from,d_hz_hlth_family*G973,0)</f>
        <v/>
      </c>
      <c r="AJ973" s="14">
        <f>F973*AI973*in_hlth_family_ticket*in_hlth_family_comm*in_ins_partner_share+F973*in_hlth_family_ticket*in_hlth_family_renew_comm*in_ins_partner_share*(in_hlth_family_renew^1*SUMIFS(AI971:AI1011,B971:B1011,B973-12)+in_hlth_family_renew^2*SUMIFS(AI971:AI1011,B971:B1011,B973-24)+in_hlth_family_renew^3*SUMIFS(AI971:AI1011,B971:B1011,B973-36)+in_hlth_family_renew^4*SUMIFS(AI971:AI1011,B971:B1011,B973-48))</f>
        <v/>
      </c>
      <c r="AK973" s="40">
        <f>AK972*(1-IF(B972&gt;=in_marketplace_from,d_hz_life_term*G972,0))</f>
        <v/>
      </c>
      <c r="AL973" s="46">
        <f>AK973*IF(B973&gt;=in_marketplace_from,d_hz_life_term*G973,0)</f>
        <v/>
      </c>
      <c r="AM973" s="14">
        <f>F973*AL973*in_life_term_ticket*in_life_term_comm*in_ins_partner_share+F973*in_life_term_ticket*in_life_term_renew_comm*in_ins_partner_share*(in_life_term_renew^1*SUMIFS(AL971:AL1011,B971:B1011,B973-12)+in_life_term_renew^2*SUMIFS(AL971:AL1011,B971:B1011,B973-24)+in_life_term_renew^3*SUMIFS(AL971:AL1011,B971:B1011,B973-36)+in_life_term_renew^4*SUMIFS(AL971:AL1011,B971:B1011,B973-48))</f>
        <v/>
      </c>
      <c r="AN973" s="40">
        <f>AN972*(1-IF(B972&gt;=in_marketplace_from,d_hz_accident*G972,0))</f>
        <v/>
      </c>
      <c r="AO973" s="46">
        <f>AN973*IF(B973&gt;=in_marketplace_from,d_hz_accident*G973,0)</f>
        <v/>
      </c>
      <c r="AP973" s="14">
        <f>F973*AO973*in_accident_ticket*in_accident_comm*in_ins_partner_share+F973*in_accident_ticket*in_accident_renew_comm*in_ins_partner_share*(in_accident_renew^1*SUMIFS(AO971:AO1011,B971:B1011,B973-12)+in_accident_renew^2*SUMIFS(AO971:AO1011,B971:B1011,B973-24)+in_accident_renew^3*SUMIFS(AO971:AO1011,B971:B1011,B973-36)+in_accident_renew^4*SUMIFS(AO971:AO1011,B971:B1011,B973-48))</f>
        <v/>
      </c>
      <c r="AQ973" s="40">
        <f>AQ972*(1-IF(B972&gt;=in_marketplace_from,d_hz_two_wheeler*G972,0))</f>
        <v/>
      </c>
      <c r="AR973" s="46">
        <f>AQ973*IF(B973&gt;=in_marketplace_from,d_hz_two_wheeler*G973,0)</f>
        <v/>
      </c>
      <c r="AS973" s="14">
        <f>F973*AR973*in_two_wheeler_ticket*in_two_wheeler_comm*in_ins_partner_share+F973*in_two_wheeler_ticket*in_two_wheeler_comm*in_ins_partner_share*(in_two_wheeler_renew^1*SUMIFS(AR971:AR1011,B971:B1011,B973-12)+in_two_wheeler_renew^2*SUMIFS(AR971:AR1011,B971:B1011,B973-24)+in_two_wheeler_renew^3*SUMIFS(AR971:AR1011,B971:B1011,B973-36)+in_two_wheeler_renew^4*SUMIFS(AR971:AR1011,B971:B1011,B973-48))</f>
        <v/>
      </c>
      <c r="AT973" s="40">
        <f>AT972*(1-IF(B972&gt;=in_marketplace_from,d_hz_device*G972,0))</f>
        <v/>
      </c>
      <c r="AU973" s="14">
        <f>F973*AT973*IF(B973&gt;=in_marketplace_from,d_hz_device*G973,0)*in_device_ticket*in_device_comm*in_ins_partner_share</f>
        <v/>
      </c>
      <c r="AV973" s="40">
        <f>AV972*(1-IF(B972&gt;=in_marketplace_from,d_hz_shop*G972,0))</f>
        <v/>
      </c>
      <c r="AW973" s="46">
        <f>AV973*IF(B973&gt;=in_marketplace_from,d_hz_shop*G973,0)</f>
        <v/>
      </c>
      <c r="AX973" s="14">
        <f>F973*AW973*in_shop_ticket*in_shop_comm*in_ins_partner_share+F973*in_shop_ticket*in_shop_renew_comm*in_ins_partner_share*(in_shop_renew^1*SUMIFS(AW971:AW1011,B971:B1011,B973-12)+in_shop_renew^2*SUMIFS(AW971:AW1011,B971:B1011,B973-24)+in_shop_renew^3*SUMIFS(AW971:AW1011,B971:B1011,B973-36)+in_shop_renew^4*SUMIFS(AW971:AW1011,B971:B1011,B973-48))</f>
        <v/>
      </c>
      <c r="AY973" s="40">
        <f>AY972*(1-IF(B972&gt;=in_marketplace_from,d_hz_sip*G972,0))</f>
        <v/>
      </c>
      <c r="AZ973" s="40">
        <f>AZ972*d_rho_sip+AY973*IF(B973&gt;=in_marketplace_from,d_hz_sip*G973,0)</f>
        <v/>
      </c>
      <c r="BA973" s="40">
        <f>d_rho_sip*(BA972+AZ972)</f>
        <v/>
      </c>
      <c r="BB973" s="14">
        <f>F973*in_sip_ticket*(BA973+0.5*AZ973)*in_sip_comm/12</f>
        <v/>
      </c>
      <c r="BC973" s="40">
        <f>BC972*(1-IF(B972&gt;=in_marketplace_from,d_hz_choti*G972,0))</f>
        <v/>
      </c>
      <c r="BD973" s="46">
        <f>BC973*IF(B973&gt;=in_marketplace_from,d_hz_choti*G973,0)</f>
        <v/>
      </c>
      <c r="BE973" s="14">
        <f>F973*SUMIFS(BD971:BD1011,B971:B1011,B973-in_choti_months)*in_choti_renew*in_choti_ticket</f>
        <v/>
      </c>
      <c r="BF973" s="40">
        <f>BF972*(1-IF(B972&gt;=in_marketplace_from,d_hz_nps*G972,0))</f>
        <v/>
      </c>
      <c r="BG973" s="14">
        <f>F973*BF973*IF(B973&gt;=in_marketplace_from,d_hz_nps*G973,0)*in_nps_ticket*in_nps_comm</f>
        <v/>
      </c>
      <c r="BH973" s="40">
        <f>BH972*(1-IF(B972&gt;=in_marketplace_from,d_hz_gold*G972,0))</f>
        <v/>
      </c>
      <c r="BI973" s="40">
        <f>BI972*d_rho_gold+BH973*IF(B973&gt;=in_marketplace_from,d_hz_gold*G973,0)</f>
        <v/>
      </c>
      <c r="BJ973" s="14">
        <f>F973*BI973*in_gold_ticket*in_gold_comm</f>
        <v/>
      </c>
      <c r="BK973" s="40">
        <f>BK972*(1-IF(B972&gt;=in_marketplace_from,d_hz_fd*G972,0))</f>
        <v/>
      </c>
      <c r="BL973" s="14">
        <f>F973*BK973*IF(B973&gt;=in_marketplace_from,d_hz_fd*G973,0)*in_fd_ticket*in_fd_comm</f>
        <v/>
      </c>
      <c r="BM973" s="40">
        <f>BM972*(1-IF(B972&gt;=in_marketplace_from,d_hz_recharge*G972,0))</f>
        <v/>
      </c>
      <c r="BN973" s="40">
        <f>BN972*d_rho_recharge+BM973*IF(B973&gt;=in_marketplace_from,d_hz_recharge*G973,0)</f>
        <v/>
      </c>
      <c r="BO973" s="14">
        <f>F973*BN973*in_recharge_ticket*in_recharge_comm/12</f>
        <v/>
      </c>
      <c r="BP973" s="40">
        <f>BP972*(1-IF(B972&gt;=in_marketplace_from,d_hz_bills*G972,0))</f>
        <v/>
      </c>
      <c r="BQ973" s="40">
        <f>BQ972*d_rho_bills+BP973*IF(B973&gt;=in_marketplace_from,d_hz_bills*G973,0)</f>
        <v/>
      </c>
      <c r="BR973" s="14">
        <f>F973*BQ973*in_bills_ticket*in_bills_comm/12</f>
        <v/>
      </c>
      <c r="BS973" s="40">
        <f>BS972*(1-IF(B972&gt;=in_marketplace_from,d_hz_loan_gold*G972,0))</f>
        <v/>
      </c>
      <c r="BT973" s="14">
        <f>F973*BS973*IF(B973&gt;=in_marketplace_from,d_hz_loan_gold*G973,0)*in_loan_gold_ticket*in_loan_gold_comm</f>
        <v/>
      </c>
      <c r="BU973" s="40">
        <f>BU972*(1-IF(B972&gt;=in_marketplace_from,d_hz_loan_cd*G972,0))</f>
        <v/>
      </c>
      <c r="BV973" s="14">
        <f>F973*BU973*IF(B973&gt;=in_marketplace_from,d_hz_loan_cd*G973,0)*in_loan_cd_ticket*in_loan_cd_comm</f>
        <v/>
      </c>
      <c r="BW973" s="40">
        <f>BW972*(1-IF(B972&gt;=in_marketplace_from,d_hz_loan_vehicle*G972,0))</f>
        <v/>
      </c>
      <c r="BX973" s="14">
        <f>F973*BW973*IF(B973&gt;=in_marketplace_from,d_hz_loan_vehicle*G973,0)*in_loan_vehicle_ticket*in_loan_vehicle_comm</f>
        <v/>
      </c>
      <c r="BY973" s="40">
        <f>BY972*(1-IF(B972&gt;=in_marketplace_from,d_hz_loan_home*G972,0)*BZ972)</f>
        <v/>
      </c>
      <c r="BZ973" s="11">
        <f>MIN(in_approval_cap,in_loan_home_approval*INDEX('Age profile'!$O$2:$O$61,B973)*(1+in_approval_growth)^(D973-1))</f>
        <v/>
      </c>
      <c r="CA973" s="14">
        <f>F973*BY973*IF(B973&gt;=in_marketplace_from,d_hz_loan_home*G973,0)*BZ973*in_loan_home_ticket*in_loan_home_comm</f>
        <v/>
      </c>
      <c r="CB973" s="40">
        <f>CB972*(1-IF(B972&gt;=in_marketplace_from,d_hz_loan_lap*G972,0)*CC972)</f>
        <v/>
      </c>
      <c r="CC973" s="11">
        <f>MIN(in_approval_cap,in_loan_lap_approval*INDEX('Age profile'!$O$2:$O$61,B973)*(1+in_approval_growth)^(D973-1))</f>
        <v/>
      </c>
      <c r="CD973" s="14">
        <f>F973*CB973*IF(B973&gt;=in_marketplace_from,d_hz_loan_lap*G973,0)*CC973*in_loan_lap_ticket*in_loan_lap_comm</f>
        <v/>
      </c>
      <c r="CE973" s="14">
        <f>AA973+AB973+AC973+AD973+AG973+AJ973+AM973+AP973+AS973+AU973+AX973+BB973+BE973+BG973+BJ973+BL973+BO973+BR973+BT973+BV973+BX973+CA973+CD973</f>
        <v/>
      </c>
    </row>
    <row r="974">
      <c r="A974" s="39" t="n">
        <v>20</v>
      </c>
      <c r="B974" s="39" t="n">
        <v>4</v>
      </c>
      <c r="C974" s="39">
        <f>A974+B974-1</f>
        <v/>
      </c>
      <c r="D974" s="39">
        <f>INT((C974-1)/12)+1</f>
        <v/>
      </c>
      <c r="E974" s="44">
        <f>INDEX(Monthly!$B$2:$B$61,A974)</f>
        <v/>
      </c>
      <c r="F974" s="44">
        <f>E974*INDEX('Age profile'!$B$2:$B$61,B974)</f>
        <v/>
      </c>
      <c r="G974" s="45">
        <f>MIN(in_takeup_cap,INDEX('Age profile'!$N$2:$N$61,B974)*(1+in_takeup_growth)^(D974-1))</f>
        <v/>
      </c>
      <c r="H974" s="11">
        <f>MIN(in_approval_cap,in_approved_first*INDEX('Age profile'!$O$2:$O$61,B974)*(1+in_approval_growth)^(D974-1))</f>
        <v/>
      </c>
      <c r="I974" s="45">
        <f>G974*MIN(in_takeup_cap,INDEX('Age profile'!$O$2:$O$61,B974)*(1+in_approval_growth)^(D974-1))</f>
        <v/>
      </c>
      <c r="J974" s="40">
        <f>(J973-L973)*F974/F973</f>
        <v/>
      </c>
      <c r="K974" s="40">
        <f>(K973-M973)*F974/F973+SUMIFS(O971:O973,B971:B973,B974-1-d_T)*F974</f>
        <v/>
      </c>
      <c r="L974" s="40">
        <f>IF(B974&gt;=in_marketplace_from,J974*d_hz*G974*in_eligible*H974,0)</f>
        <v/>
      </c>
      <c r="M974" s="40">
        <f>IF(B974&gt;=in_marketplace_from,K974*d_hz*G974*in_eligible*in_approved_repeat,0)</f>
        <v/>
      </c>
      <c r="N974" s="40">
        <f>L974+M974</f>
        <v/>
      </c>
      <c r="O974" s="46">
        <f>N974/F974</f>
        <v/>
      </c>
      <c r="P974" s="40">
        <f>F974-J974-K974</f>
        <v/>
      </c>
      <c r="Q974" s="40">
        <f>IF(B974&gt;=in_marketplace_from,(J974+K974)*d_hz*G974,0)</f>
        <v/>
      </c>
      <c r="R974" s="40">
        <f>SUMIFS(N971:N1011,B971:B1011,"&gt;="&amp;(B974-d_T),B971:B1011,"&lt;="&amp;(B974-1))</f>
        <v/>
      </c>
      <c r="S974" s="46">
        <f>(1-d_u)*S973+IF(d_T&gt;in_topup_lag,SUMIFS(O971:O1011,B971:B1011,B974-in_topup_lag)-d_udrop*SUMIFS(O971:O1011,B971:B1011,B974-d_T),0)</f>
        <v/>
      </c>
      <c r="T974" s="40">
        <f>F974*d_u*S974</f>
        <v/>
      </c>
      <c r="U974" s="9">
        <f>L974*in_ticket+M974*d_rep_ticket</f>
        <v/>
      </c>
      <c r="V974" s="9">
        <f>U974+T974*d_topup_amt</f>
        <v/>
      </c>
      <c r="W974" s="40">
        <f>N974+T974*d_topup_ratio</f>
        <v/>
      </c>
      <c r="X974" s="40">
        <f>SUMIFS(W971:W1011,B971:B1011,B974-in_dpd_lag)*d_cured</f>
        <v/>
      </c>
      <c r="Y974" s="40">
        <f>SUMIFS(W971:W1011,B971:B1011,B974-in_rec_lag)*d_recd</f>
        <v/>
      </c>
      <c r="Z974" s="40">
        <f>IF(AND(B974&gt;=in_marketplace_from,B974&lt;in_marketplace_from+in_card_months),in_card_share/in_card_months*F974*I974,IF(AND(B974&gt;=in_marketplace_from+in_card_months,B974&lt;in_marketplace_from+2*in_card_months),in_card_share*d_card_rem/in_card_months*F974*MIN(in_takeup_cap,(1+in_takeup_growth)^(D974-1))*MIN(in_takeup_cap,(1+in_approval_growth)^(D974-1)),0))</f>
        <v/>
      </c>
      <c r="AA974" s="14">
        <f>V974*in_fee*(1-in_taken_back)</f>
        <v/>
      </c>
      <c r="AB974" s="14">
        <f>SUMIFS(W971:W1011,B971:B1011,B974-in_dpd_lag)*d_dpd</f>
        <v/>
      </c>
      <c r="AC974" s="14">
        <f>SUMIFS(W971:W1011,B971:B1011,B974-in_rec_lag)*d_rec</f>
        <v/>
      </c>
      <c r="AD974" s="14">
        <f>Z974*in_card_fee</f>
        <v/>
      </c>
      <c r="AE974" s="40">
        <f>AE973*(1-IF(B973&gt;=in_marketplace_from,d_hz_hlth_small*G973,0))</f>
        <v/>
      </c>
      <c r="AF974" s="46">
        <f>AE974*IF(B974&gt;=in_marketplace_from,d_hz_hlth_small*G974,0)</f>
        <v/>
      </c>
      <c r="AG974" s="14">
        <f>F974*AF974*in_hlth_small_ticket*in_hlth_small_comm*in_ins_partner_share+F974*in_hlth_small_ticket*in_hlth_small_renew_comm*in_ins_partner_share*(in_hlth_small_renew^1*SUMIFS(AF971:AF1011,B971:B1011,B974-12)+in_hlth_small_renew^2*SUMIFS(AF971:AF1011,B971:B1011,B974-24)+in_hlth_small_renew^3*SUMIFS(AF971:AF1011,B971:B1011,B974-36)+in_hlth_small_renew^4*SUMIFS(AF971:AF1011,B971:B1011,B974-48))</f>
        <v/>
      </c>
      <c r="AH974" s="40">
        <f>AH973*(1-IF(B973&gt;=in_marketplace_from,d_hz_hlth_family*G973,0))</f>
        <v/>
      </c>
      <c r="AI974" s="46">
        <f>AH974*IF(B974&gt;=in_marketplace_from,d_hz_hlth_family*G974,0)</f>
        <v/>
      </c>
      <c r="AJ974" s="14">
        <f>F974*AI974*in_hlth_family_ticket*in_hlth_family_comm*in_ins_partner_share+F974*in_hlth_family_ticket*in_hlth_family_renew_comm*in_ins_partner_share*(in_hlth_family_renew^1*SUMIFS(AI971:AI1011,B971:B1011,B974-12)+in_hlth_family_renew^2*SUMIFS(AI971:AI1011,B971:B1011,B974-24)+in_hlth_family_renew^3*SUMIFS(AI971:AI1011,B971:B1011,B974-36)+in_hlth_family_renew^4*SUMIFS(AI971:AI1011,B971:B1011,B974-48))</f>
        <v/>
      </c>
      <c r="AK974" s="40">
        <f>AK973*(1-IF(B973&gt;=in_marketplace_from,d_hz_life_term*G973,0))</f>
        <v/>
      </c>
      <c r="AL974" s="46">
        <f>AK974*IF(B974&gt;=in_marketplace_from,d_hz_life_term*G974,0)</f>
        <v/>
      </c>
      <c r="AM974" s="14">
        <f>F974*AL974*in_life_term_ticket*in_life_term_comm*in_ins_partner_share+F974*in_life_term_ticket*in_life_term_renew_comm*in_ins_partner_share*(in_life_term_renew^1*SUMIFS(AL971:AL1011,B971:B1011,B974-12)+in_life_term_renew^2*SUMIFS(AL971:AL1011,B971:B1011,B974-24)+in_life_term_renew^3*SUMIFS(AL971:AL1011,B971:B1011,B974-36)+in_life_term_renew^4*SUMIFS(AL971:AL1011,B971:B1011,B974-48))</f>
        <v/>
      </c>
      <c r="AN974" s="40">
        <f>AN973*(1-IF(B973&gt;=in_marketplace_from,d_hz_accident*G973,0))</f>
        <v/>
      </c>
      <c r="AO974" s="46">
        <f>AN974*IF(B974&gt;=in_marketplace_from,d_hz_accident*G974,0)</f>
        <v/>
      </c>
      <c r="AP974" s="14">
        <f>F974*AO974*in_accident_ticket*in_accident_comm*in_ins_partner_share+F974*in_accident_ticket*in_accident_renew_comm*in_ins_partner_share*(in_accident_renew^1*SUMIFS(AO971:AO1011,B971:B1011,B974-12)+in_accident_renew^2*SUMIFS(AO971:AO1011,B971:B1011,B974-24)+in_accident_renew^3*SUMIFS(AO971:AO1011,B971:B1011,B974-36)+in_accident_renew^4*SUMIFS(AO971:AO1011,B971:B1011,B974-48))</f>
        <v/>
      </c>
      <c r="AQ974" s="40">
        <f>AQ973*(1-IF(B973&gt;=in_marketplace_from,d_hz_two_wheeler*G973,0))</f>
        <v/>
      </c>
      <c r="AR974" s="46">
        <f>AQ974*IF(B974&gt;=in_marketplace_from,d_hz_two_wheeler*G974,0)</f>
        <v/>
      </c>
      <c r="AS974" s="14">
        <f>F974*AR974*in_two_wheeler_ticket*in_two_wheeler_comm*in_ins_partner_share+F974*in_two_wheeler_ticket*in_two_wheeler_comm*in_ins_partner_share*(in_two_wheeler_renew^1*SUMIFS(AR971:AR1011,B971:B1011,B974-12)+in_two_wheeler_renew^2*SUMIFS(AR971:AR1011,B971:B1011,B974-24)+in_two_wheeler_renew^3*SUMIFS(AR971:AR1011,B971:B1011,B974-36)+in_two_wheeler_renew^4*SUMIFS(AR971:AR1011,B971:B1011,B974-48))</f>
        <v/>
      </c>
      <c r="AT974" s="40">
        <f>AT973*(1-IF(B973&gt;=in_marketplace_from,d_hz_device*G973,0))</f>
        <v/>
      </c>
      <c r="AU974" s="14">
        <f>F974*AT974*IF(B974&gt;=in_marketplace_from,d_hz_device*G974,0)*in_device_ticket*in_device_comm*in_ins_partner_share</f>
        <v/>
      </c>
      <c r="AV974" s="40">
        <f>AV973*(1-IF(B973&gt;=in_marketplace_from,d_hz_shop*G973,0))</f>
        <v/>
      </c>
      <c r="AW974" s="46">
        <f>AV974*IF(B974&gt;=in_marketplace_from,d_hz_shop*G974,0)</f>
        <v/>
      </c>
      <c r="AX974" s="14">
        <f>F974*AW974*in_shop_ticket*in_shop_comm*in_ins_partner_share+F974*in_shop_ticket*in_shop_renew_comm*in_ins_partner_share*(in_shop_renew^1*SUMIFS(AW971:AW1011,B971:B1011,B974-12)+in_shop_renew^2*SUMIFS(AW971:AW1011,B971:B1011,B974-24)+in_shop_renew^3*SUMIFS(AW971:AW1011,B971:B1011,B974-36)+in_shop_renew^4*SUMIFS(AW971:AW1011,B971:B1011,B974-48))</f>
        <v/>
      </c>
      <c r="AY974" s="40">
        <f>AY973*(1-IF(B973&gt;=in_marketplace_from,d_hz_sip*G973,0))</f>
        <v/>
      </c>
      <c r="AZ974" s="40">
        <f>AZ973*d_rho_sip+AY974*IF(B974&gt;=in_marketplace_from,d_hz_sip*G974,0)</f>
        <v/>
      </c>
      <c r="BA974" s="40">
        <f>d_rho_sip*(BA973+AZ973)</f>
        <v/>
      </c>
      <c r="BB974" s="14">
        <f>F974*in_sip_ticket*(BA974+0.5*AZ974)*in_sip_comm/12</f>
        <v/>
      </c>
      <c r="BC974" s="40">
        <f>BC973*(1-IF(B973&gt;=in_marketplace_from,d_hz_choti*G973,0))</f>
        <v/>
      </c>
      <c r="BD974" s="46">
        <f>BC974*IF(B974&gt;=in_marketplace_from,d_hz_choti*G974,0)</f>
        <v/>
      </c>
      <c r="BE974" s="14">
        <f>F974*SUMIFS(BD971:BD1011,B971:B1011,B974-in_choti_months)*in_choti_renew*in_choti_ticket</f>
        <v/>
      </c>
      <c r="BF974" s="40">
        <f>BF973*(1-IF(B973&gt;=in_marketplace_from,d_hz_nps*G973,0))</f>
        <v/>
      </c>
      <c r="BG974" s="14">
        <f>F974*BF974*IF(B974&gt;=in_marketplace_from,d_hz_nps*G974,0)*in_nps_ticket*in_nps_comm</f>
        <v/>
      </c>
      <c r="BH974" s="40">
        <f>BH973*(1-IF(B973&gt;=in_marketplace_from,d_hz_gold*G973,0))</f>
        <v/>
      </c>
      <c r="BI974" s="40">
        <f>BI973*d_rho_gold+BH974*IF(B974&gt;=in_marketplace_from,d_hz_gold*G974,0)</f>
        <v/>
      </c>
      <c r="BJ974" s="14">
        <f>F974*BI974*in_gold_ticket*in_gold_comm</f>
        <v/>
      </c>
      <c r="BK974" s="40">
        <f>BK973*(1-IF(B973&gt;=in_marketplace_from,d_hz_fd*G973,0))</f>
        <v/>
      </c>
      <c r="BL974" s="14">
        <f>F974*BK974*IF(B974&gt;=in_marketplace_from,d_hz_fd*G974,0)*in_fd_ticket*in_fd_comm</f>
        <v/>
      </c>
      <c r="BM974" s="40">
        <f>BM973*(1-IF(B973&gt;=in_marketplace_from,d_hz_recharge*G973,0))</f>
        <v/>
      </c>
      <c r="BN974" s="40">
        <f>BN973*d_rho_recharge+BM974*IF(B974&gt;=in_marketplace_from,d_hz_recharge*G974,0)</f>
        <v/>
      </c>
      <c r="BO974" s="14">
        <f>F974*BN974*in_recharge_ticket*in_recharge_comm/12</f>
        <v/>
      </c>
      <c r="BP974" s="40">
        <f>BP973*(1-IF(B973&gt;=in_marketplace_from,d_hz_bills*G973,0))</f>
        <v/>
      </c>
      <c r="BQ974" s="40">
        <f>BQ973*d_rho_bills+BP974*IF(B974&gt;=in_marketplace_from,d_hz_bills*G974,0)</f>
        <v/>
      </c>
      <c r="BR974" s="14">
        <f>F974*BQ974*in_bills_ticket*in_bills_comm/12</f>
        <v/>
      </c>
      <c r="BS974" s="40">
        <f>BS973*(1-IF(B973&gt;=in_marketplace_from,d_hz_loan_gold*G973,0))</f>
        <v/>
      </c>
      <c r="BT974" s="14">
        <f>F974*BS974*IF(B974&gt;=in_marketplace_from,d_hz_loan_gold*G974,0)*in_loan_gold_ticket*in_loan_gold_comm</f>
        <v/>
      </c>
      <c r="BU974" s="40">
        <f>BU973*(1-IF(B973&gt;=in_marketplace_from,d_hz_loan_cd*G973,0))</f>
        <v/>
      </c>
      <c r="BV974" s="14">
        <f>F974*BU974*IF(B974&gt;=in_marketplace_from,d_hz_loan_cd*G974,0)*in_loan_cd_ticket*in_loan_cd_comm</f>
        <v/>
      </c>
      <c r="BW974" s="40">
        <f>BW973*(1-IF(B973&gt;=in_marketplace_from,d_hz_loan_vehicle*G973,0))</f>
        <v/>
      </c>
      <c r="BX974" s="14">
        <f>F974*BW974*IF(B974&gt;=in_marketplace_from,d_hz_loan_vehicle*G974,0)*in_loan_vehicle_ticket*in_loan_vehicle_comm</f>
        <v/>
      </c>
      <c r="BY974" s="40">
        <f>BY973*(1-IF(B973&gt;=in_marketplace_from,d_hz_loan_home*G973,0)*BZ973)</f>
        <v/>
      </c>
      <c r="BZ974" s="11">
        <f>MIN(in_approval_cap,in_loan_home_approval*INDEX('Age profile'!$O$2:$O$61,B974)*(1+in_approval_growth)^(D974-1))</f>
        <v/>
      </c>
      <c r="CA974" s="14">
        <f>F974*BY974*IF(B974&gt;=in_marketplace_from,d_hz_loan_home*G974,0)*BZ974*in_loan_home_ticket*in_loan_home_comm</f>
        <v/>
      </c>
      <c r="CB974" s="40">
        <f>CB973*(1-IF(B973&gt;=in_marketplace_from,d_hz_loan_lap*G973,0)*CC973)</f>
        <v/>
      </c>
      <c r="CC974" s="11">
        <f>MIN(in_approval_cap,in_loan_lap_approval*INDEX('Age profile'!$O$2:$O$61,B974)*(1+in_approval_growth)^(D974-1))</f>
        <v/>
      </c>
      <c r="CD974" s="14">
        <f>F974*CB974*IF(B974&gt;=in_marketplace_from,d_hz_loan_lap*G974,0)*CC974*in_loan_lap_ticket*in_loan_lap_comm</f>
        <v/>
      </c>
      <c r="CE974" s="14">
        <f>AA974+AB974+AC974+AD974+AG974+AJ974+AM974+AP974+AS974+AU974+AX974+BB974+BE974+BG974+BJ974+BL974+BO974+BR974+BT974+BV974+BX974+CA974+CD974</f>
        <v/>
      </c>
    </row>
    <row r="975">
      <c r="A975" s="39" t="n">
        <v>20</v>
      </c>
      <c r="B975" s="39" t="n">
        <v>5</v>
      </c>
      <c r="C975" s="39">
        <f>A975+B975-1</f>
        <v/>
      </c>
      <c r="D975" s="39">
        <f>INT((C975-1)/12)+1</f>
        <v/>
      </c>
      <c r="E975" s="44">
        <f>INDEX(Monthly!$B$2:$B$61,A975)</f>
        <v/>
      </c>
      <c r="F975" s="44">
        <f>E975*INDEX('Age profile'!$B$2:$B$61,B975)</f>
        <v/>
      </c>
      <c r="G975" s="45">
        <f>MIN(in_takeup_cap,INDEX('Age profile'!$N$2:$N$61,B975)*(1+in_takeup_growth)^(D975-1))</f>
        <v/>
      </c>
      <c r="H975" s="11">
        <f>MIN(in_approval_cap,in_approved_first*INDEX('Age profile'!$O$2:$O$61,B975)*(1+in_approval_growth)^(D975-1))</f>
        <v/>
      </c>
      <c r="I975" s="45">
        <f>G975*MIN(in_takeup_cap,INDEX('Age profile'!$O$2:$O$61,B975)*(1+in_approval_growth)^(D975-1))</f>
        <v/>
      </c>
      <c r="J975" s="40">
        <f>(J974-L974)*F975/F974</f>
        <v/>
      </c>
      <c r="K975" s="40">
        <f>(K974-M974)*F975/F974+SUMIFS(O971:O974,B971:B974,B975-1-d_T)*F975</f>
        <v/>
      </c>
      <c r="L975" s="40">
        <f>IF(B975&gt;=in_marketplace_from,J975*d_hz*G975*in_eligible*H975,0)</f>
        <v/>
      </c>
      <c r="M975" s="40">
        <f>IF(B975&gt;=in_marketplace_from,K975*d_hz*G975*in_eligible*in_approved_repeat,0)</f>
        <v/>
      </c>
      <c r="N975" s="40">
        <f>L975+M975</f>
        <v/>
      </c>
      <c r="O975" s="46">
        <f>N975/F975</f>
        <v/>
      </c>
      <c r="P975" s="40">
        <f>F975-J975-K975</f>
        <v/>
      </c>
      <c r="Q975" s="40">
        <f>IF(B975&gt;=in_marketplace_from,(J975+K975)*d_hz*G975,0)</f>
        <v/>
      </c>
      <c r="R975" s="40">
        <f>SUMIFS(N971:N1011,B971:B1011,"&gt;="&amp;(B975-d_T),B971:B1011,"&lt;="&amp;(B975-1))</f>
        <v/>
      </c>
      <c r="S975" s="46">
        <f>(1-d_u)*S974+IF(d_T&gt;in_topup_lag,SUMIFS(O971:O1011,B971:B1011,B975-in_topup_lag)-d_udrop*SUMIFS(O971:O1011,B971:B1011,B975-d_T),0)</f>
        <v/>
      </c>
      <c r="T975" s="40">
        <f>F975*d_u*S975</f>
        <v/>
      </c>
      <c r="U975" s="9">
        <f>L975*in_ticket+M975*d_rep_ticket</f>
        <v/>
      </c>
      <c r="V975" s="9">
        <f>U975+T975*d_topup_amt</f>
        <v/>
      </c>
      <c r="W975" s="40">
        <f>N975+T975*d_topup_ratio</f>
        <v/>
      </c>
      <c r="X975" s="40">
        <f>SUMIFS(W971:W1011,B971:B1011,B975-in_dpd_lag)*d_cured</f>
        <v/>
      </c>
      <c r="Y975" s="40">
        <f>SUMIFS(W971:W1011,B971:B1011,B975-in_rec_lag)*d_recd</f>
        <v/>
      </c>
      <c r="Z975" s="40">
        <f>IF(AND(B975&gt;=in_marketplace_from,B975&lt;in_marketplace_from+in_card_months),in_card_share/in_card_months*F975*I975,IF(AND(B975&gt;=in_marketplace_from+in_card_months,B975&lt;in_marketplace_from+2*in_card_months),in_card_share*d_card_rem/in_card_months*F975*MIN(in_takeup_cap,(1+in_takeup_growth)^(D975-1))*MIN(in_takeup_cap,(1+in_approval_growth)^(D975-1)),0))</f>
        <v/>
      </c>
      <c r="AA975" s="14">
        <f>V975*in_fee*(1-in_taken_back)</f>
        <v/>
      </c>
      <c r="AB975" s="14">
        <f>SUMIFS(W971:W1011,B971:B1011,B975-in_dpd_lag)*d_dpd</f>
        <v/>
      </c>
      <c r="AC975" s="14">
        <f>SUMIFS(W971:W1011,B971:B1011,B975-in_rec_lag)*d_rec</f>
        <v/>
      </c>
      <c r="AD975" s="14">
        <f>Z975*in_card_fee</f>
        <v/>
      </c>
      <c r="AE975" s="40">
        <f>AE974*(1-IF(B974&gt;=in_marketplace_from,d_hz_hlth_small*G974,0))</f>
        <v/>
      </c>
      <c r="AF975" s="46">
        <f>AE975*IF(B975&gt;=in_marketplace_from,d_hz_hlth_small*G975,0)</f>
        <v/>
      </c>
      <c r="AG975" s="14">
        <f>F975*AF975*in_hlth_small_ticket*in_hlth_small_comm*in_ins_partner_share+F975*in_hlth_small_ticket*in_hlth_small_renew_comm*in_ins_partner_share*(in_hlth_small_renew^1*SUMIFS(AF971:AF1011,B971:B1011,B975-12)+in_hlth_small_renew^2*SUMIFS(AF971:AF1011,B971:B1011,B975-24)+in_hlth_small_renew^3*SUMIFS(AF971:AF1011,B971:B1011,B975-36)+in_hlth_small_renew^4*SUMIFS(AF971:AF1011,B971:B1011,B975-48))</f>
        <v/>
      </c>
      <c r="AH975" s="40">
        <f>AH974*(1-IF(B974&gt;=in_marketplace_from,d_hz_hlth_family*G974,0))</f>
        <v/>
      </c>
      <c r="AI975" s="46">
        <f>AH975*IF(B975&gt;=in_marketplace_from,d_hz_hlth_family*G975,0)</f>
        <v/>
      </c>
      <c r="AJ975" s="14">
        <f>F975*AI975*in_hlth_family_ticket*in_hlth_family_comm*in_ins_partner_share+F975*in_hlth_family_ticket*in_hlth_family_renew_comm*in_ins_partner_share*(in_hlth_family_renew^1*SUMIFS(AI971:AI1011,B971:B1011,B975-12)+in_hlth_family_renew^2*SUMIFS(AI971:AI1011,B971:B1011,B975-24)+in_hlth_family_renew^3*SUMIFS(AI971:AI1011,B971:B1011,B975-36)+in_hlth_family_renew^4*SUMIFS(AI971:AI1011,B971:B1011,B975-48))</f>
        <v/>
      </c>
      <c r="AK975" s="40">
        <f>AK974*(1-IF(B974&gt;=in_marketplace_from,d_hz_life_term*G974,0))</f>
        <v/>
      </c>
      <c r="AL975" s="46">
        <f>AK975*IF(B975&gt;=in_marketplace_from,d_hz_life_term*G975,0)</f>
        <v/>
      </c>
      <c r="AM975" s="14">
        <f>F975*AL975*in_life_term_ticket*in_life_term_comm*in_ins_partner_share+F975*in_life_term_ticket*in_life_term_renew_comm*in_ins_partner_share*(in_life_term_renew^1*SUMIFS(AL971:AL1011,B971:B1011,B975-12)+in_life_term_renew^2*SUMIFS(AL971:AL1011,B971:B1011,B975-24)+in_life_term_renew^3*SUMIFS(AL971:AL1011,B971:B1011,B975-36)+in_life_term_renew^4*SUMIFS(AL971:AL1011,B971:B1011,B975-48))</f>
        <v/>
      </c>
      <c r="AN975" s="40">
        <f>AN974*(1-IF(B974&gt;=in_marketplace_from,d_hz_accident*G974,0))</f>
        <v/>
      </c>
      <c r="AO975" s="46">
        <f>AN975*IF(B975&gt;=in_marketplace_from,d_hz_accident*G975,0)</f>
        <v/>
      </c>
      <c r="AP975" s="14">
        <f>F975*AO975*in_accident_ticket*in_accident_comm*in_ins_partner_share+F975*in_accident_ticket*in_accident_renew_comm*in_ins_partner_share*(in_accident_renew^1*SUMIFS(AO971:AO1011,B971:B1011,B975-12)+in_accident_renew^2*SUMIFS(AO971:AO1011,B971:B1011,B975-24)+in_accident_renew^3*SUMIFS(AO971:AO1011,B971:B1011,B975-36)+in_accident_renew^4*SUMIFS(AO971:AO1011,B971:B1011,B975-48))</f>
        <v/>
      </c>
      <c r="AQ975" s="40">
        <f>AQ974*(1-IF(B974&gt;=in_marketplace_from,d_hz_two_wheeler*G974,0))</f>
        <v/>
      </c>
      <c r="AR975" s="46">
        <f>AQ975*IF(B975&gt;=in_marketplace_from,d_hz_two_wheeler*G975,0)</f>
        <v/>
      </c>
      <c r="AS975" s="14">
        <f>F975*AR975*in_two_wheeler_ticket*in_two_wheeler_comm*in_ins_partner_share+F975*in_two_wheeler_ticket*in_two_wheeler_comm*in_ins_partner_share*(in_two_wheeler_renew^1*SUMIFS(AR971:AR1011,B971:B1011,B975-12)+in_two_wheeler_renew^2*SUMIFS(AR971:AR1011,B971:B1011,B975-24)+in_two_wheeler_renew^3*SUMIFS(AR971:AR1011,B971:B1011,B975-36)+in_two_wheeler_renew^4*SUMIFS(AR971:AR1011,B971:B1011,B975-48))</f>
        <v/>
      </c>
      <c r="AT975" s="40">
        <f>AT974*(1-IF(B974&gt;=in_marketplace_from,d_hz_device*G974,0))</f>
        <v/>
      </c>
      <c r="AU975" s="14">
        <f>F975*AT975*IF(B975&gt;=in_marketplace_from,d_hz_device*G975,0)*in_device_ticket*in_device_comm*in_ins_partner_share</f>
        <v/>
      </c>
      <c r="AV975" s="40">
        <f>AV974*(1-IF(B974&gt;=in_marketplace_from,d_hz_shop*G974,0))</f>
        <v/>
      </c>
      <c r="AW975" s="46">
        <f>AV975*IF(B975&gt;=in_marketplace_from,d_hz_shop*G975,0)</f>
        <v/>
      </c>
      <c r="AX975" s="14">
        <f>F975*AW975*in_shop_ticket*in_shop_comm*in_ins_partner_share+F975*in_shop_ticket*in_shop_renew_comm*in_ins_partner_share*(in_shop_renew^1*SUMIFS(AW971:AW1011,B971:B1011,B975-12)+in_shop_renew^2*SUMIFS(AW971:AW1011,B971:B1011,B975-24)+in_shop_renew^3*SUMIFS(AW971:AW1011,B971:B1011,B975-36)+in_shop_renew^4*SUMIFS(AW971:AW1011,B971:B1011,B975-48))</f>
        <v/>
      </c>
      <c r="AY975" s="40">
        <f>AY974*(1-IF(B974&gt;=in_marketplace_from,d_hz_sip*G974,0))</f>
        <v/>
      </c>
      <c r="AZ975" s="40">
        <f>AZ974*d_rho_sip+AY975*IF(B975&gt;=in_marketplace_from,d_hz_sip*G975,0)</f>
        <v/>
      </c>
      <c r="BA975" s="40">
        <f>d_rho_sip*(BA974+AZ974)</f>
        <v/>
      </c>
      <c r="BB975" s="14">
        <f>F975*in_sip_ticket*(BA975+0.5*AZ975)*in_sip_comm/12</f>
        <v/>
      </c>
      <c r="BC975" s="40">
        <f>BC974*(1-IF(B974&gt;=in_marketplace_from,d_hz_choti*G974,0))</f>
        <v/>
      </c>
      <c r="BD975" s="46">
        <f>BC975*IF(B975&gt;=in_marketplace_from,d_hz_choti*G975,0)</f>
        <v/>
      </c>
      <c r="BE975" s="14">
        <f>F975*SUMIFS(BD971:BD1011,B971:B1011,B975-in_choti_months)*in_choti_renew*in_choti_ticket</f>
        <v/>
      </c>
      <c r="BF975" s="40">
        <f>BF974*(1-IF(B974&gt;=in_marketplace_from,d_hz_nps*G974,0))</f>
        <v/>
      </c>
      <c r="BG975" s="14">
        <f>F975*BF975*IF(B975&gt;=in_marketplace_from,d_hz_nps*G975,0)*in_nps_ticket*in_nps_comm</f>
        <v/>
      </c>
      <c r="BH975" s="40">
        <f>BH974*(1-IF(B974&gt;=in_marketplace_from,d_hz_gold*G974,0))</f>
        <v/>
      </c>
      <c r="BI975" s="40">
        <f>BI974*d_rho_gold+BH975*IF(B975&gt;=in_marketplace_from,d_hz_gold*G975,0)</f>
        <v/>
      </c>
      <c r="BJ975" s="14">
        <f>F975*BI975*in_gold_ticket*in_gold_comm</f>
        <v/>
      </c>
      <c r="BK975" s="40">
        <f>BK974*(1-IF(B974&gt;=in_marketplace_from,d_hz_fd*G974,0))</f>
        <v/>
      </c>
      <c r="BL975" s="14">
        <f>F975*BK975*IF(B975&gt;=in_marketplace_from,d_hz_fd*G975,0)*in_fd_ticket*in_fd_comm</f>
        <v/>
      </c>
      <c r="BM975" s="40">
        <f>BM974*(1-IF(B974&gt;=in_marketplace_from,d_hz_recharge*G974,0))</f>
        <v/>
      </c>
      <c r="BN975" s="40">
        <f>BN974*d_rho_recharge+BM975*IF(B975&gt;=in_marketplace_from,d_hz_recharge*G975,0)</f>
        <v/>
      </c>
      <c r="BO975" s="14">
        <f>F975*BN975*in_recharge_ticket*in_recharge_comm/12</f>
        <v/>
      </c>
      <c r="BP975" s="40">
        <f>BP974*(1-IF(B974&gt;=in_marketplace_from,d_hz_bills*G974,0))</f>
        <v/>
      </c>
      <c r="BQ975" s="40">
        <f>BQ974*d_rho_bills+BP975*IF(B975&gt;=in_marketplace_from,d_hz_bills*G975,0)</f>
        <v/>
      </c>
      <c r="BR975" s="14">
        <f>F975*BQ975*in_bills_ticket*in_bills_comm/12</f>
        <v/>
      </c>
      <c r="BS975" s="40">
        <f>BS974*(1-IF(B974&gt;=in_marketplace_from,d_hz_loan_gold*G974,0))</f>
        <v/>
      </c>
      <c r="BT975" s="14">
        <f>F975*BS975*IF(B975&gt;=in_marketplace_from,d_hz_loan_gold*G975,0)*in_loan_gold_ticket*in_loan_gold_comm</f>
        <v/>
      </c>
      <c r="BU975" s="40">
        <f>BU974*(1-IF(B974&gt;=in_marketplace_from,d_hz_loan_cd*G974,0))</f>
        <v/>
      </c>
      <c r="BV975" s="14">
        <f>F975*BU975*IF(B975&gt;=in_marketplace_from,d_hz_loan_cd*G975,0)*in_loan_cd_ticket*in_loan_cd_comm</f>
        <v/>
      </c>
      <c r="BW975" s="40">
        <f>BW974*(1-IF(B974&gt;=in_marketplace_from,d_hz_loan_vehicle*G974,0))</f>
        <v/>
      </c>
      <c r="BX975" s="14">
        <f>F975*BW975*IF(B975&gt;=in_marketplace_from,d_hz_loan_vehicle*G975,0)*in_loan_vehicle_ticket*in_loan_vehicle_comm</f>
        <v/>
      </c>
      <c r="BY975" s="40">
        <f>BY974*(1-IF(B974&gt;=in_marketplace_from,d_hz_loan_home*G974,0)*BZ974)</f>
        <v/>
      </c>
      <c r="BZ975" s="11">
        <f>MIN(in_approval_cap,in_loan_home_approval*INDEX('Age profile'!$O$2:$O$61,B975)*(1+in_approval_growth)^(D975-1))</f>
        <v/>
      </c>
      <c r="CA975" s="14">
        <f>F975*BY975*IF(B975&gt;=in_marketplace_from,d_hz_loan_home*G975,0)*BZ975*in_loan_home_ticket*in_loan_home_comm</f>
        <v/>
      </c>
      <c r="CB975" s="40">
        <f>CB974*(1-IF(B974&gt;=in_marketplace_from,d_hz_loan_lap*G974,0)*CC974)</f>
        <v/>
      </c>
      <c r="CC975" s="11">
        <f>MIN(in_approval_cap,in_loan_lap_approval*INDEX('Age profile'!$O$2:$O$61,B975)*(1+in_approval_growth)^(D975-1))</f>
        <v/>
      </c>
      <c r="CD975" s="14">
        <f>F975*CB975*IF(B975&gt;=in_marketplace_from,d_hz_loan_lap*G975,0)*CC975*in_loan_lap_ticket*in_loan_lap_comm</f>
        <v/>
      </c>
      <c r="CE975" s="14">
        <f>AA975+AB975+AC975+AD975+AG975+AJ975+AM975+AP975+AS975+AU975+AX975+BB975+BE975+BG975+BJ975+BL975+BO975+BR975+BT975+BV975+BX975+CA975+CD975</f>
        <v/>
      </c>
    </row>
    <row r="976">
      <c r="A976" s="39" t="n">
        <v>20</v>
      </c>
      <c r="B976" s="39" t="n">
        <v>6</v>
      </c>
      <c r="C976" s="39">
        <f>A976+B976-1</f>
        <v/>
      </c>
      <c r="D976" s="39">
        <f>INT((C976-1)/12)+1</f>
        <v/>
      </c>
      <c r="E976" s="44">
        <f>INDEX(Monthly!$B$2:$B$61,A976)</f>
        <v/>
      </c>
      <c r="F976" s="44">
        <f>E976*INDEX('Age profile'!$B$2:$B$61,B976)</f>
        <v/>
      </c>
      <c r="G976" s="45">
        <f>MIN(in_takeup_cap,INDEX('Age profile'!$N$2:$N$61,B976)*(1+in_takeup_growth)^(D976-1))</f>
        <v/>
      </c>
      <c r="H976" s="11">
        <f>MIN(in_approval_cap,in_approved_first*INDEX('Age profile'!$O$2:$O$61,B976)*(1+in_approval_growth)^(D976-1))</f>
        <v/>
      </c>
      <c r="I976" s="45">
        <f>G976*MIN(in_takeup_cap,INDEX('Age profile'!$O$2:$O$61,B976)*(1+in_approval_growth)^(D976-1))</f>
        <v/>
      </c>
      <c r="J976" s="40">
        <f>(J975-L975)*F976/F975</f>
        <v/>
      </c>
      <c r="K976" s="40">
        <f>(K975-M975)*F976/F975+SUMIFS(O971:O975,B971:B975,B976-1-d_T)*F976</f>
        <v/>
      </c>
      <c r="L976" s="40">
        <f>IF(B976&gt;=in_marketplace_from,J976*d_hz*G976*in_eligible*H976,0)</f>
        <v/>
      </c>
      <c r="M976" s="40">
        <f>IF(B976&gt;=in_marketplace_from,K976*d_hz*G976*in_eligible*in_approved_repeat,0)</f>
        <v/>
      </c>
      <c r="N976" s="40">
        <f>L976+M976</f>
        <v/>
      </c>
      <c r="O976" s="46">
        <f>N976/F976</f>
        <v/>
      </c>
      <c r="P976" s="40">
        <f>F976-J976-K976</f>
        <v/>
      </c>
      <c r="Q976" s="40">
        <f>IF(B976&gt;=in_marketplace_from,(J976+K976)*d_hz*G976,0)</f>
        <v/>
      </c>
      <c r="R976" s="40">
        <f>SUMIFS(N971:N1011,B971:B1011,"&gt;="&amp;(B976-d_T),B971:B1011,"&lt;="&amp;(B976-1))</f>
        <v/>
      </c>
      <c r="S976" s="46">
        <f>(1-d_u)*S975+IF(d_T&gt;in_topup_lag,SUMIFS(O971:O1011,B971:B1011,B976-in_topup_lag)-d_udrop*SUMIFS(O971:O1011,B971:B1011,B976-d_T),0)</f>
        <v/>
      </c>
      <c r="T976" s="40">
        <f>F976*d_u*S976</f>
        <v/>
      </c>
      <c r="U976" s="9">
        <f>L976*in_ticket+M976*d_rep_ticket</f>
        <v/>
      </c>
      <c r="V976" s="9">
        <f>U976+T976*d_topup_amt</f>
        <v/>
      </c>
      <c r="W976" s="40">
        <f>N976+T976*d_topup_ratio</f>
        <v/>
      </c>
      <c r="X976" s="40">
        <f>SUMIFS(W971:W1011,B971:B1011,B976-in_dpd_lag)*d_cured</f>
        <v/>
      </c>
      <c r="Y976" s="40">
        <f>SUMIFS(W971:W1011,B971:B1011,B976-in_rec_lag)*d_recd</f>
        <v/>
      </c>
      <c r="Z976" s="40">
        <f>IF(AND(B976&gt;=in_marketplace_from,B976&lt;in_marketplace_from+in_card_months),in_card_share/in_card_months*F976*I976,IF(AND(B976&gt;=in_marketplace_from+in_card_months,B976&lt;in_marketplace_from+2*in_card_months),in_card_share*d_card_rem/in_card_months*F976*MIN(in_takeup_cap,(1+in_takeup_growth)^(D976-1))*MIN(in_takeup_cap,(1+in_approval_growth)^(D976-1)),0))</f>
        <v/>
      </c>
      <c r="AA976" s="14">
        <f>V976*in_fee*(1-in_taken_back)</f>
        <v/>
      </c>
      <c r="AB976" s="14">
        <f>SUMIFS(W971:W1011,B971:B1011,B976-in_dpd_lag)*d_dpd</f>
        <v/>
      </c>
      <c r="AC976" s="14">
        <f>SUMIFS(W971:W1011,B971:B1011,B976-in_rec_lag)*d_rec</f>
        <v/>
      </c>
      <c r="AD976" s="14">
        <f>Z976*in_card_fee</f>
        <v/>
      </c>
      <c r="AE976" s="40">
        <f>AE975*(1-IF(B975&gt;=in_marketplace_from,d_hz_hlth_small*G975,0))</f>
        <v/>
      </c>
      <c r="AF976" s="46">
        <f>AE976*IF(B976&gt;=in_marketplace_from,d_hz_hlth_small*G976,0)</f>
        <v/>
      </c>
      <c r="AG976" s="14">
        <f>F976*AF976*in_hlth_small_ticket*in_hlth_small_comm*in_ins_partner_share+F976*in_hlth_small_ticket*in_hlth_small_renew_comm*in_ins_partner_share*(in_hlth_small_renew^1*SUMIFS(AF971:AF1011,B971:B1011,B976-12)+in_hlth_small_renew^2*SUMIFS(AF971:AF1011,B971:B1011,B976-24)+in_hlth_small_renew^3*SUMIFS(AF971:AF1011,B971:B1011,B976-36)+in_hlth_small_renew^4*SUMIFS(AF971:AF1011,B971:B1011,B976-48))</f>
        <v/>
      </c>
      <c r="AH976" s="40">
        <f>AH975*(1-IF(B975&gt;=in_marketplace_from,d_hz_hlth_family*G975,0))</f>
        <v/>
      </c>
      <c r="AI976" s="46">
        <f>AH976*IF(B976&gt;=in_marketplace_from,d_hz_hlth_family*G976,0)</f>
        <v/>
      </c>
      <c r="AJ976" s="14">
        <f>F976*AI976*in_hlth_family_ticket*in_hlth_family_comm*in_ins_partner_share+F976*in_hlth_family_ticket*in_hlth_family_renew_comm*in_ins_partner_share*(in_hlth_family_renew^1*SUMIFS(AI971:AI1011,B971:B1011,B976-12)+in_hlth_family_renew^2*SUMIFS(AI971:AI1011,B971:B1011,B976-24)+in_hlth_family_renew^3*SUMIFS(AI971:AI1011,B971:B1011,B976-36)+in_hlth_family_renew^4*SUMIFS(AI971:AI1011,B971:B1011,B976-48))</f>
        <v/>
      </c>
      <c r="AK976" s="40">
        <f>AK975*(1-IF(B975&gt;=in_marketplace_from,d_hz_life_term*G975,0))</f>
        <v/>
      </c>
      <c r="AL976" s="46">
        <f>AK976*IF(B976&gt;=in_marketplace_from,d_hz_life_term*G976,0)</f>
        <v/>
      </c>
      <c r="AM976" s="14">
        <f>F976*AL976*in_life_term_ticket*in_life_term_comm*in_ins_partner_share+F976*in_life_term_ticket*in_life_term_renew_comm*in_ins_partner_share*(in_life_term_renew^1*SUMIFS(AL971:AL1011,B971:B1011,B976-12)+in_life_term_renew^2*SUMIFS(AL971:AL1011,B971:B1011,B976-24)+in_life_term_renew^3*SUMIFS(AL971:AL1011,B971:B1011,B976-36)+in_life_term_renew^4*SUMIFS(AL971:AL1011,B971:B1011,B976-48))</f>
        <v/>
      </c>
      <c r="AN976" s="40">
        <f>AN975*(1-IF(B975&gt;=in_marketplace_from,d_hz_accident*G975,0))</f>
        <v/>
      </c>
      <c r="AO976" s="46">
        <f>AN976*IF(B976&gt;=in_marketplace_from,d_hz_accident*G976,0)</f>
        <v/>
      </c>
      <c r="AP976" s="14">
        <f>F976*AO976*in_accident_ticket*in_accident_comm*in_ins_partner_share+F976*in_accident_ticket*in_accident_renew_comm*in_ins_partner_share*(in_accident_renew^1*SUMIFS(AO971:AO1011,B971:B1011,B976-12)+in_accident_renew^2*SUMIFS(AO971:AO1011,B971:B1011,B976-24)+in_accident_renew^3*SUMIFS(AO971:AO1011,B971:B1011,B976-36)+in_accident_renew^4*SUMIFS(AO971:AO1011,B971:B1011,B976-48))</f>
        <v/>
      </c>
      <c r="AQ976" s="40">
        <f>AQ975*(1-IF(B975&gt;=in_marketplace_from,d_hz_two_wheeler*G975,0))</f>
        <v/>
      </c>
      <c r="AR976" s="46">
        <f>AQ976*IF(B976&gt;=in_marketplace_from,d_hz_two_wheeler*G976,0)</f>
        <v/>
      </c>
      <c r="AS976" s="14">
        <f>F976*AR976*in_two_wheeler_ticket*in_two_wheeler_comm*in_ins_partner_share+F976*in_two_wheeler_ticket*in_two_wheeler_comm*in_ins_partner_share*(in_two_wheeler_renew^1*SUMIFS(AR971:AR1011,B971:B1011,B976-12)+in_two_wheeler_renew^2*SUMIFS(AR971:AR1011,B971:B1011,B976-24)+in_two_wheeler_renew^3*SUMIFS(AR971:AR1011,B971:B1011,B976-36)+in_two_wheeler_renew^4*SUMIFS(AR971:AR1011,B971:B1011,B976-48))</f>
        <v/>
      </c>
      <c r="AT976" s="40">
        <f>AT975*(1-IF(B975&gt;=in_marketplace_from,d_hz_device*G975,0))</f>
        <v/>
      </c>
      <c r="AU976" s="14">
        <f>F976*AT976*IF(B976&gt;=in_marketplace_from,d_hz_device*G976,0)*in_device_ticket*in_device_comm*in_ins_partner_share</f>
        <v/>
      </c>
      <c r="AV976" s="40">
        <f>AV975*(1-IF(B975&gt;=in_marketplace_from,d_hz_shop*G975,0))</f>
        <v/>
      </c>
      <c r="AW976" s="46">
        <f>AV976*IF(B976&gt;=in_marketplace_from,d_hz_shop*G976,0)</f>
        <v/>
      </c>
      <c r="AX976" s="14">
        <f>F976*AW976*in_shop_ticket*in_shop_comm*in_ins_partner_share+F976*in_shop_ticket*in_shop_renew_comm*in_ins_partner_share*(in_shop_renew^1*SUMIFS(AW971:AW1011,B971:B1011,B976-12)+in_shop_renew^2*SUMIFS(AW971:AW1011,B971:B1011,B976-24)+in_shop_renew^3*SUMIFS(AW971:AW1011,B971:B1011,B976-36)+in_shop_renew^4*SUMIFS(AW971:AW1011,B971:B1011,B976-48))</f>
        <v/>
      </c>
      <c r="AY976" s="40">
        <f>AY975*(1-IF(B975&gt;=in_marketplace_from,d_hz_sip*G975,0))</f>
        <v/>
      </c>
      <c r="AZ976" s="40">
        <f>AZ975*d_rho_sip+AY976*IF(B976&gt;=in_marketplace_from,d_hz_sip*G976,0)</f>
        <v/>
      </c>
      <c r="BA976" s="40">
        <f>d_rho_sip*(BA975+AZ975)</f>
        <v/>
      </c>
      <c r="BB976" s="14">
        <f>F976*in_sip_ticket*(BA976+0.5*AZ976)*in_sip_comm/12</f>
        <v/>
      </c>
      <c r="BC976" s="40">
        <f>BC975*(1-IF(B975&gt;=in_marketplace_from,d_hz_choti*G975,0))</f>
        <v/>
      </c>
      <c r="BD976" s="46">
        <f>BC976*IF(B976&gt;=in_marketplace_from,d_hz_choti*G976,0)</f>
        <v/>
      </c>
      <c r="BE976" s="14">
        <f>F976*SUMIFS(BD971:BD1011,B971:B1011,B976-in_choti_months)*in_choti_renew*in_choti_ticket</f>
        <v/>
      </c>
      <c r="BF976" s="40">
        <f>BF975*(1-IF(B975&gt;=in_marketplace_from,d_hz_nps*G975,0))</f>
        <v/>
      </c>
      <c r="BG976" s="14">
        <f>F976*BF976*IF(B976&gt;=in_marketplace_from,d_hz_nps*G976,0)*in_nps_ticket*in_nps_comm</f>
        <v/>
      </c>
      <c r="BH976" s="40">
        <f>BH975*(1-IF(B975&gt;=in_marketplace_from,d_hz_gold*G975,0))</f>
        <v/>
      </c>
      <c r="BI976" s="40">
        <f>BI975*d_rho_gold+BH976*IF(B976&gt;=in_marketplace_from,d_hz_gold*G976,0)</f>
        <v/>
      </c>
      <c r="BJ976" s="14">
        <f>F976*BI976*in_gold_ticket*in_gold_comm</f>
        <v/>
      </c>
      <c r="BK976" s="40">
        <f>BK975*(1-IF(B975&gt;=in_marketplace_from,d_hz_fd*G975,0))</f>
        <v/>
      </c>
      <c r="BL976" s="14">
        <f>F976*BK976*IF(B976&gt;=in_marketplace_from,d_hz_fd*G976,0)*in_fd_ticket*in_fd_comm</f>
        <v/>
      </c>
      <c r="BM976" s="40">
        <f>BM975*(1-IF(B975&gt;=in_marketplace_from,d_hz_recharge*G975,0))</f>
        <v/>
      </c>
      <c r="BN976" s="40">
        <f>BN975*d_rho_recharge+BM976*IF(B976&gt;=in_marketplace_from,d_hz_recharge*G976,0)</f>
        <v/>
      </c>
      <c r="BO976" s="14">
        <f>F976*BN976*in_recharge_ticket*in_recharge_comm/12</f>
        <v/>
      </c>
      <c r="BP976" s="40">
        <f>BP975*(1-IF(B975&gt;=in_marketplace_from,d_hz_bills*G975,0))</f>
        <v/>
      </c>
      <c r="BQ976" s="40">
        <f>BQ975*d_rho_bills+BP976*IF(B976&gt;=in_marketplace_from,d_hz_bills*G976,0)</f>
        <v/>
      </c>
      <c r="BR976" s="14">
        <f>F976*BQ976*in_bills_ticket*in_bills_comm/12</f>
        <v/>
      </c>
      <c r="BS976" s="40">
        <f>BS975*(1-IF(B975&gt;=in_marketplace_from,d_hz_loan_gold*G975,0))</f>
        <v/>
      </c>
      <c r="BT976" s="14">
        <f>F976*BS976*IF(B976&gt;=in_marketplace_from,d_hz_loan_gold*G976,0)*in_loan_gold_ticket*in_loan_gold_comm</f>
        <v/>
      </c>
      <c r="BU976" s="40">
        <f>BU975*(1-IF(B975&gt;=in_marketplace_from,d_hz_loan_cd*G975,0))</f>
        <v/>
      </c>
      <c r="BV976" s="14">
        <f>F976*BU976*IF(B976&gt;=in_marketplace_from,d_hz_loan_cd*G976,0)*in_loan_cd_ticket*in_loan_cd_comm</f>
        <v/>
      </c>
      <c r="BW976" s="40">
        <f>BW975*(1-IF(B975&gt;=in_marketplace_from,d_hz_loan_vehicle*G975,0))</f>
        <v/>
      </c>
      <c r="BX976" s="14">
        <f>F976*BW976*IF(B976&gt;=in_marketplace_from,d_hz_loan_vehicle*G976,0)*in_loan_vehicle_ticket*in_loan_vehicle_comm</f>
        <v/>
      </c>
      <c r="BY976" s="40">
        <f>BY975*(1-IF(B975&gt;=in_marketplace_from,d_hz_loan_home*G975,0)*BZ975)</f>
        <v/>
      </c>
      <c r="BZ976" s="11">
        <f>MIN(in_approval_cap,in_loan_home_approval*INDEX('Age profile'!$O$2:$O$61,B976)*(1+in_approval_growth)^(D976-1))</f>
        <v/>
      </c>
      <c r="CA976" s="14">
        <f>F976*BY976*IF(B976&gt;=in_marketplace_from,d_hz_loan_home*G976,0)*BZ976*in_loan_home_ticket*in_loan_home_comm</f>
        <v/>
      </c>
      <c r="CB976" s="40">
        <f>CB975*(1-IF(B975&gt;=in_marketplace_from,d_hz_loan_lap*G975,0)*CC975)</f>
        <v/>
      </c>
      <c r="CC976" s="11">
        <f>MIN(in_approval_cap,in_loan_lap_approval*INDEX('Age profile'!$O$2:$O$61,B976)*(1+in_approval_growth)^(D976-1))</f>
        <v/>
      </c>
      <c r="CD976" s="14">
        <f>F976*CB976*IF(B976&gt;=in_marketplace_from,d_hz_loan_lap*G976,0)*CC976*in_loan_lap_ticket*in_loan_lap_comm</f>
        <v/>
      </c>
      <c r="CE976" s="14">
        <f>AA976+AB976+AC976+AD976+AG976+AJ976+AM976+AP976+AS976+AU976+AX976+BB976+BE976+BG976+BJ976+BL976+BO976+BR976+BT976+BV976+BX976+CA976+CD976</f>
        <v/>
      </c>
    </row>
    <row r="977">
      <c r="A977" s="39" t="n">
        <v>20</v>
      </c>
      <c r="B977" s="39" t="n">
        <v>7</v>
      </c>
      <c r="C977" s="39">
        <f>A977+B977-1</f>
        <v/>
      </c>
      <c r="D977" s="39">
        <f>INT((C977-1)/12)+1</f>
        <v/>
      </c>
      <c r="E977" s="44">
        <f>INDEX(Monthly!$B$2:$B$61,A977)</f>
        <v/>
      </c>
      <c r="F977" s="44">
        <f>E977*INDEX('Age profile'!$B$2:$B$61,B977)</f>
        <v/>
      </c>
      <c r="G977" s="45">
        <f>MIN(in_takeup_cap,INDEX('Age profile'!$N$2:$N$61,B977)*(1+in_takeup_growth)^(D977-1))</f>
        <v/>
      </c>
      <c r="H977" s="11">
        <f>MIN(in_approval_cap,in_approved_first*INDEX('Age profile'!$O$2:$O$61,B977)*(1+in_approval_growth)^(D977-1))</f>
        <v/>
      </c>
      <c r="I977" s="45">
        <f>G977*MIN(in_takeup_cap,INDEX('Age profile'!$O$2:$O$61,B977)*(1+in_approval_growth)^(D977-1))</f>
        <v/>
      </c>
      <c r="J977" s="40">
        <f>(J976-L976)*F977/F976</f>
        <v/>
      </c>
      <c r="K977" s="40">
        <f>(K976-M976)*F977/F976+SUMIFS(O971:O976,B971:B976,B977-1-d_T)*F977</f>
        <v/>
      </c>
      <c r="L977" s="40">
        <f>IF(B977&gt;=in_marketplace_from,J977*d_hz*G977*in_eligible*H977,0)</f>
        <v/>
      </c>
      <c r="M977" s="40">
        <f>IF(B977&gt;=in_marketplace_from,K977*d_hz*G977*in_eligible*in_approved_repeat,0)</f>
        <v/>
      </c>
      <c r="N977" s="40">
        <f>L977+M977</f>
        <v/>
      </c>
      <c r="O977" s="46">
        <f>N977/F977</f>
        <v/>
      </c>
      <c r="P977" s="40">
        <f>F977-J977-K977</f>
        <v/>
      </c>
      <c r="Q977" s="40">
        <f>IF(B977&gt;=in_marketplace_from,(J977+K977)*d_hz*G977,0)</f>
        <v/>
      </c>
      <c r="R977" s="40">
        <f>SUMIFS(N971:N1011,B971:B1011,"&gt;="&amp;(B977-d_T),B971:B1011,"&lt;="&amp;(B977-1))</f>
        <v/>
      </c>
      <c r="S977" s="46">
        <f>(1-d_u)*S976+IF(d_T&gt;in_topup_lag,SUMIFS(O971:O1011,B971:B1011,B977-in_topup_lag)-d_udrop*SUMIFS(O971:O1011,B971:B1011,B977-d_T),0)</f>
        <v/>
      </c>
      <c r="T977" s="40">
        <f>F977*d_u*S977</f>
        <v/>
      </c>
      <c r="U977" s="9">
        <f>L977*in_ticket+M977*d_rep_ticket</f>
        <v/>
      </c>
      <c r="V977" s="9">
        <f>U977+T977*d_topup_amt</f>
        <v/>
      </c>
      <c r="W977" s="40">
        <f>N977+T977*d_topup_ratio</f>
        <v/>
      </c>
      <c r="X977" s="40">
        <f>SUMIFS(W971:W1011,B971:B1011,B977-in_dpd_lag)*d_cured</f>
        <v/>
      </c>
      <c r="Y977" s="40">
        <f>SUMIFS(W971:W1011,B971:B1011,B977-in_rec_lag)*d_recd</f>
        <v/>
      </c>
      <c r="Z977" s="40">
        <f>IF(AND(B977&gt;=in_marketplace_from,B977&lt;in_marketplace_from+in_card_months),in_card_share/in_card_months*F977*I977,IF(AND(B977&gt;=in_marketplace_from+in_card_months,B977&lt;in_marketplace_from+2*in_card_months),in_card_share*d_card_rem/in_card_months*F977*MIN(in_takeup_cap,(1+in_takeup_growth)^(D977-1))*MIN(in_takeup_cap,(1+in_approval_growth)^(D977-1)),0))</f>
        <v/>
      </c>
      <c r="AA977" s="14">
        <f>V977*in_fee*(1-in_taken_back)</f>
        <v/>
      </c>
      <c r="AB977" s="14">
        <f>SUMIFS(W971:W1011,B971:B1011,B977-in_dpd_lag)*d_dpd</f>
        <v/>
      </c>
      <c r="AC977" s="14">
        <f>SUMIFS(W971:W1011,B971:B1011,B977-in_rec_lag)*d_rec</f>
        <v/>
      </c>
      <c r="AD977" s="14">
        <f>Z977*in_card_fee</f>
        <v/>
      </c>
      <c r="AE977" s="40">
        <f>AE976*(1-IF(B976&gt;=in_marketplace_from,d_hz_hlth_small*G976,0))</f>
        <v/>
      </c>
      <c r="AF977" s="46">
        <f>AE977*IF(B977&gt;=in_marketplace_from,d_hz_hlth_small*G977,0)</f>
        <v/>
      </c>
      <c r="AG977" s="14">
        <f>F977*AF977*in_hlth_small_ticket*in_hlth_small_comm*in_ins_partner_share+F977*in_hlth_small_ticket*in_hlth_small_renew_comm*in_ins_partner_share*(in_hlth_small_renew^1*SUMIFS(AF971:AF1011,B971:B1011,B977-12)+in_hlth_small_renew^2*SUMIFS(AF971:AF1011,B971:B1011,B977-24)+in_hlth_small_renew^3*SUMIFS(AF971:AF1011,B971:B1011,B977-36)+in_hlth_small_renew^4*SUMIFS(AF971:AF1011,B971:B1011,B977-48))</f>
        <v/>
      </c>
      <c r="AH977" s="40">
        <f>AH976*(1-IF(B976&gt;=in_marketplace_from,d_hz_hlth_family*G976,0))</f>
        <v/>
      </c>
      <c r="AI977" s="46">
        <f>AH977*IF(B977&gt;=in_marketplace_from,d_hz_hlth_family*G977,0)</f>
        <v/>
      </c>
      <c r="AJ977" s="14">
        <f>F977*AI977*in_hlth_family_ticket*in_hlth_family_comm*in_ins_partner_share+F977*in_hlth_family_ticket*in_hlth_family_renew_comm*in_ins_partner_share*(in_hlth_family_renew^1*SUMIFS(AI971:AI1011,B971:B1011,B977-12)+in_hlth_family_renew^2*SUMIFS(AI971:AI1011,B971:B1011,B977-24)+in_hlth_family_renew^3*SUMIFS(AI971:AI1011,B971:B1011,B977-36)+in_hlth_family_renew^4*SUMIFS(AI971:AI1011,B971:B1011,B977-48))</f>
        <v/>
      </c>
      <c r="AK977" s="40">
        <f>AK976*(1-IF(B976&gt;=in_marketplace_from,d_hz_life_term*G976,0))</f>
        <v/>
      </c>
      <c r="AL977" s="46">
        <f>AK977*IF(B977&gt;=in_marketplace_from,d_hz_life_term*G977,0)</f>
        <v/>
      </c>
      <c r="AM977" s="14">
        <f>F977*AL977*in_life_term_ticket*in_life_term_comm*in_ins_partner_share+F977*in_life_term_ticket*in_life_term_renew_comm*in_ins_partner_share*(in_life_term_renew^1*SUMIFS(AL971:AL1011,B971:B1011,B977-12)+in_life_term_renew^2*SUMIFS(AL971:AL1011,B971:B1011,B977-24)+in_life_term_renew^3*SUMIFS(AL971:AL1011,B971:B1011,B977-36)+in_life_term_renew^4*SUMIFS(AL971:AL1011,B971:B1011,B977-48))</f>
        <v/>
      </c>
      <c r="AN977" s="40">
        <f>AN976*(1-IF(B976&gt;=in_marketplace_from,d_hz_accident*G976,0))</f>
        <v/>
      </c>
      <c r="AO977" s="46">
        <f>AN977*IF(B977&gt;=in_marketplace_from,d_hz_accident*G977,0)</f>
        <v/>
      </c>
      <c r="AP977" s="14">
        <f>F977*AO977*in_accident_ticket*in_accident_comm*in_ins_partner_share+F977*in_accident_ticket*in_accident_renew_comm*in_ins_partner_share*(in_accident_renew^1*SUMIFS(AO971:AO1011,B971:B1011,B977-12)+in_accident_renew^2*SUMIFS(AO971:AO1011,B971:B1011,B977-24)+in_accident_renew^3*SUMIFS(AO971:AO1011,B971:B1011,B977-36)+in_accident_renew^4*SUMIFS(AO971:AO1011,B971:B1011,B977-48))</f>
        <v/>
      </c>
      <c r="AQ977" s="40">
        <f>AQ976*(1-IF(B976&gt;=in_marketplace_from,d_hz_two_wheeler*G976,0))</f>
        <v/>
      </c>
      <c r="AR977" s="46">
        <f>AQ977*IF(B977&gt;=in_marketplace_from,d_hz_two_wheeler*G977,0)</f>
        <v/>
      </c>
      <c r="AS977" s="14">
        <f>F977*AR977*in_two_wheeler_ticket*in_two_wheeler_comm*in_ins_partner_share+F977*in_two_wheeler_ticket*in_two_wheeler_comm*in_ins_partner_share*(in_two_wheeler_renew^1*SUMIFS(AR971:AR1011,B971:B1011,B977-12)+in_two_wheeler_renew^2*SUMIFS(AR971:AR1011,B971:B1011,B977-24)+in_two_wheeler_renew^3*SUMIFS(AR971:AR1011,B971:B1011,B977-36)+in_two_wheeler_renew^4*SUMIFS(AR971:AR1011,B971:B1011,B977-48))</f>
        <v/>
      </c>
      <c r="AT977" s="40">
        <f>AT976*(1-IF(B976&gt;=in_marketplace_from,d_hz_device*G976,0))</f>
        <v/>
      </c>
      <c r="AU977" s="14">
        <f>F977*AT977*IF(B977&gt;=in_marketplace_from,d_hz_device*G977,0)*in_device_ticket*in_device_comm*in_ins_partner_share</f>
        <v/>
      </c>
      <c r="AV977" s="40">
        <f>AV976*(1-IF(B976&gt;=in_marketplace_from,d_hz_shop*G976,0))</f>
        <v/>
      </c>
      <c r="AW977" s="46">
        <f>AV977*IF(B977&gt;=in_marketplace_from,d_hz_shop*G977,0)</f>
        <v/>
      </c>
      <c r="AX977" s="14">
        <f>F977*AW977*in_shop_ticket*in_shop_comm*in_ins_partner_share+F977*in_shop_ticket*in_shop_renew_comm*in_ins_partner_share*(in_shop_renew^1*SUMIFS(AW971:AW1011,B971:B1011,B977-12)+in_shop_renew^2*SUMIFS(AW971:AW1011,B971:B1011,B977-24)+in_shop_renew^3*SUMIFS(AW971:AW1011,B971:B1011,B977-36)+in_shop_renew^4*SUMIFS(AW971:AW1011,B971:B1011,B977-48))</f>
        <v/>
      </c>
      <c r="AY977" s="40">
        <f>AY976*(1-IF(B976&gt;=in_marketplace_from,d_hz_sip*G976,0))</f>
        <v/>
      </c>
      <c r="AZ977" s="40">
        <f>AZ976*d_rho_sip+AY977*IF(B977&gt;=in_marketplace_from,d_hz_sip*G977,0)</f>
        <v/>
      </c>
      <c r="BA977" s="40">
        <f>d_rho_sip*(BA976+AZ976)</f>
        <v/>
      </c>
      <c r="BB977" s="14">
        <f>F977*in_sip_ticket*(BA977+0.5*AZ977)*in_sip_comm/12</f>
        <v/>
      </c>
      <c r="BC977" s="40">
        <f>BC976*(1-IF(B976&gt;=in_marketplace_from,d_hz_choti*G976,0))</f>
        <v/>
      </c>
      <c r="BD977" s="46">
        <f>BC977*IF(B977&gt;=in_marketplace_from,d_hz_choti*G977,0)</f>
        <v/>
      </c>
      <c r="BE977" s="14">
        <f>F977*SUMIFS(BD971:BD1011,B971:B1011,B977-in_choti_months)*in_choti_renew*in_choti_ticket</f>
        <v/>
      </c>
      <c r="BF977" s="40">
        <f>BF976*(1-IF(B976&gt;=in_marketplace_from,d_hz_nps*G976,0))</f>
        <v/>
      </c>
      <c r="BG977" s="14">
        <f>F977*BF977*IF(B977&gt;=in_marketplace_from,d_hz_nps*G977,0)*in_nps_ticket*in_nps_comm</f>
        <v/>
      </c>
      <c r="BH977" s="40">
        <f>BH976*(1-IF(B976&gt;=in_marketplace_from,d_hz_gold*G976,0))</f>
        <v/>
      </c>
      <c r="BI977" s="40">
        <f>BI976*d_rho_gold+BH977*IF(B977&gt;=in_marketplace_from,d_hz_gold*G977,0)</f>
        <v/>
      </c>
      <c r="BJ977" s="14">
        <f>F977*BI977*in_gold_ticket*in_gold_comm</f>
        <v/>
      </c>
      <c r="BK977" s="40">
        <f>BK976*(1-IF(B976&gt;=in_marketplace_from,d_hz_fd*G976,0))</f>
        <v/>
      </c>
      <c r="BL977" s="14">
        <f>F977*BK977*IF(B977&gt;=in_marketplace_from,d_hz_fd*G977,0)*in_fd_ticket*in_fd_comm</f>
        <v/>
      </c>
      <c r="BM977" s="40">
        <f>BM976*(1-IF(B976&gt;=in_marketplace_from,d_hz_recharge*G976,0))</f>
        <v/>
      </c>
      <c r="BN977" s="40">
        <f>BN976*d_rho_recharge+BM977*IF(B977&gt;=in_marketplace_from,d_hz_recharge*G977,0)</f>
        <v/>
      </c>
      <c r="BO977" s="14">
        <f>F977*BN977*in_recharge_ticket*in_recharge_comm/12</f>
        <v/>
      </c>
      <c r="BP977" s="40">
        <f>BP976*(1-IF(B976&gt;=in_marketplace_from,d_hz_bills*G976,0))</f>
        <v/>
      </c>
      <c r="BQ977" s="40">
        <f>BQ976*d_rho_bills+BP977*IF(B977&gt;=in_marketplace_from,d_hz_bills*G977,0)</f>
        <v/>
      </c>
      <c r="BR977" s="14">
        <f>F977*BQ977*in_bills_ticket*in_bills_comm/12</f>
        <v/>
      </c>
      <c r="BS977" s="40">
        <f>BS976*(1-IF(B976&gt;=in_marketplace_from,d_hz_loan_gold*G976,0))</f>
        <v/>
      </c>
      <c r="BT977" s="14">
        <f>F977*BS977*IF(B977&gt;=in_marketplace_from,d_hz_loan_gold*G977,0)*in_loan_gold_ticket*in_loan_gold_comm</f>
        <v/>
      </c>
      <c r="BU977" s="40">
        <f>BU976*(1-IF(B976&gt;=in_marketplace_from,d_hz_loan_cd*G976,0))</f>
        <v/>
      </c>
      <c r="BV977" s="14">
        <f>F977*BU977*IF(B977&gt;=in_marketplace_from,d_hz_loan_cd*G977,0)*in_loan_cd_ticket*in_loan_cd_comm</f>
        <v/>
      </c>
      <c r="BW977" s="40">
        <f>BW976*(1-IF(B976&gt;=in_marketplace_from,d_hz_loan_vehicle*G976,0))</f>
        <v/>
      </c>
      <c r="BX977" s="14">
        <f>F977*BW977*IF(B977&gt;=in_marketplace_from,d_hz_loan_vehicle*G977,0)*in_loan_vehicle_ticket*in_loan_vehicle_comm</f>
        <v/>
      </c>
      <c r="BY977" s="40">
        <f>BY976*(1-IF(B976&gt;=in_marketplace_from,d_hz_loan_home*G976,0)*BZ976)</f>
        <v/>
      </c>
      <c r="BZ977" s="11">
        <f>MIN(in_approval_cap,in_loan_home_approval*INDEX('Age profile'!$O$2:$O$61,B977)*(1+in_approval_growth)^(D977-1))</f>
        <v/>
      </c>
      <c r="CA977" s="14">
        <f>F977*BY977*IF(B977&gt;=in_marketplace_from,d_hz_loan_home*G977,0)*BZ977*in_loan_home_ticket*in_loan_home_comm</f>
        <v/>
      </c>
      <c r="CB977" s="40">
        <f>CB976*(1-IF(B976&gt;=in_marketplace_from,d_hz_loan_lap*G976,0)*CC976)</f>
        <v/>
      </c>
      <c r="CC977" s="11">
        <f>MIN(in_approval_cap,in_loan_lap_approval*INDEX('Age profile'!$O$2:$O$61,B977)*(1+in_approval_growth)^(D977-1))</f>
        <v/>
      </c>
      <c r="CD977" s="14">
        <f>F977*CB977*IF(B977&gt;=in_marketplace_from,d_hz_loan_lap*G977,0)*CC977*in_loan_lap_ticket*in_loan_lap_comm</f>
        <v/>
      </c>
      <c r="CE977" s="14">
        <f>AA977+AB977+AC977+AD977+AG977+AJ977+AM977+AP977+AS977+AU977+AX977+BB977+BE977+BG977+BJ977+BL977+BO977+BR977+BT977+BV977+BX977+CA977+CD977</f>
        <v/>
      </c>
    </row>
    <row r="978">
      <c r="A978" s="39" t="n">
        <v>20</v>
      </c>
      <c r="B978" s="39" t="n">
        <v>8</v>
      </c>
      <c r="C978" s="39">
        <f>A978+B978-1</f>
        <v/>
      </c>
      <c r="D978" s="39">
        <f>INT((C978-1)/12)+1</f>
        <v/>
      </c>
      <c r="E978" s="44">
        <f>INDEX(Monthly!$B$2:$B$61,A978)</f>
        <v/>
      </c>
      <c r="F978" s="44">
        <f>E978*INDEX('Age profile'!$B$2:$B$61,B978)</f>
        <v/>
      </c>
      <c r="G978" s="45">
        <f>MIN(in_takeup_cap,INDEX('Age profile'!$N$2:$N$61,B978)*(1+in_takeup_growth)^(D978-1))</f>
        <v/>
      </c>
      <c r="H978" s="11">
        <f>MIN(in_approval_cap,in_approved_first*INDEX('Age profile'!$O$2:$O$61,B978)*(1+in_approval_growth)^(D978-1))</f>
        <v/>
      </c>
      <c r="I978" s="45">
        <f>G978*MIN(in_takeup_cap,INDEX('Age profile'!$O$2:$O$61,B978)*(1+in_approval_growth)^(D978-1))</f>
        <v/>
      </c>
      <c r="J978" s="40">
        <f>(J977-L977)*F978/F977</f>
        <v/>
      </c>
      <c r="K978" s="40">
        <f>(K977-M977)*F978/F977+SUMIFS(O971:O977,B971:B977,B978-1-d_T)*F978</f>
        <v/>
      </c>
      <c r="L978" s="40">
        <f>IF(B978&gt;=in_marketplace_from,J978*d_hz*G978*in_eligible*H978,0)</f>
        <v/>
      </c>
      <c r="M978" s="40">
        <f>IF(B978&gt;=in_marketplace_from,K978*d_hz*G978*in_eligible*in_approved_repeat,0)</f>
        <v/>
      </c>
      <c r="N978" s="40">
        <f>L978+M978</f>
        <v/>
      </c>
      <c r="O978" s="46">
        <f>N978/F978</f>
        <v/>
      </c>
      <c r="P978" s="40">
        <f>F978-J978-K978</f>
        <v/>
      </c>
      <c r="Q978" s="40">
        <f>IF(B978&gt;=in_marketplace_from,(J978+K978)*d_hz*G978,0)</f>
        <v/>
      </c>
      <c r="R978" s="40">
        <f>SUMIFS(N971:N1011,B971:B1011,"&gt;="&amp;(B978-d_T),B971:B1011,"&lt;="&amp;(B978-1))</f>
        <v/>
      </c>
      <c r="S978" s="46">
        <f>(1-d_u)*S977+IF(d_T&gt;in_topup_lag,SUMIFS(O971:O1011,B971:B1011,B978-in_topup_lag)-d_udrop*SUMIFS(O971:O1011,B971:B1011,B978-d_T),0)</f>
        <v/>
      </c>
      <c r="T978" s="40">
        <f>F978*d_u*S978</f>
        <v/>
      </c>
      <c r="U978" s="9">
        <f>L978*in_ticket+M978*d_rep_ticket</f>
        <v/>
      </c>
      <c r="V978" s="9">
        <f>U978+T978*d_topup_amt</f>
        <v/>
      </c>
      <c r="W978" s="40">
        <f>N978+T978*d_topup_ratio</f>
        <v/>
      </c>
      <c r="X978" s="40">
        <f>SUMIFS(W971:W1011,B971:B1011,B978-in_dpd_lag)*d_cured</f>
        <v/>
      </c>
      <c r="Y978" s="40">
        <f>SUMIFS(W971:W1011,B971:B1011,B978-in_rec_lag)*d_recd</f>
        <v/>
      </c>
      <c r="Z978" s="40">
        <f>IF(AND(B978&gt;=in_marketplace_from,B978&lt;in_marketplace_from+in_card_months),in_card_share/in_card_months*F978*I978,IF(AND(B978&gt;=in_marketplace_from+in_card_months,B978&lt;in_marketplace_from+2*in_card_months),in_card_share*d_card_rem/in_card_months*F978*MIN(in_takeup_cap,(1+in_takeup_growth)^(D978-1))*MIN(in_takeup_cap,(1+in_approval_growth)^(D978-1)),0))</f>
        <v/>
      </c>
      <c r="AA978" s="14">
        <f>V978*in_fee*(1-in_taken_back)</f>
        <v/>
      </c>
      <c r="AB978" s="14">
        <f>SUMIFS(W971:W1011,B971:B1011,B978-in_dpd_lag)*d_dpd</f>
        <v/>
      </c>
      <c r="AC978" s="14">
        <f>SUMIFS(W971:W1011,B971:B1011,B978-in_rec_lag)*d_rec</f>
        <v/>
      </c>
      <c r="AD978" s="14">
        <f>Z978*in_card_fee</f>
        <v/>
      </c>
      <c r="AE978" s="40">
        <f>AE977*(1-IF(B977&gt;=in_marketplace_from,d_hz_hlth_small*G977,0))</f>
        <v/>
      </c>
      <c r="AF978" s="46">
        <f>AE978*IF(B978&gt;=in_marketplace_from,d_hz_hlth_small*G978,0)</f>
        <v/>
      </c>
      <c r="AG978" s="14">
        <f>F978*AF978*in_hlth_small_ticket*in_hlth_small_comm*in_ins_partner_share+F978*in_hlth_small_ticket*in_hlth_small_renew_comm*in_ins_partner_share*(in_hlth_small_renew^1*SUMIFS(AF971:AF1011,B971:B1011,B978-12)+in_hlth_small_renew^2*SUMIFS(AF971:AF1011,B971:B1011,B978-24)+in_hlth_small_renew^3*SUMIFS(AF971:AF1011,B971:B1011,B978-36)+in_hlth_small_renew^4*SUMIFS(AF971:AF1011,B971:B1011,B978-48))</f>
        <v/>
      </c>
      <c r="AH978" s="40">
        <f>AH977*(1-IF(B977&gt;=in_marketplace_from,d_hz_hlth_family*G977,0))</f>
        <v/>
      </c>
      <c r="AI978" s="46">
        <f>AH978*IF(B978&gt;=in_marketplace_from,d_hz_hlth_family*G978,0)</f>
        <v/>
      </c>
      <c r="AJ978" s="14">
        <f>F978*AI978*in_hlth_family_ticket*in_hlth_family_comm*in_ins_partner_share+F978*in_hlth_family_ticket*in_hlth_family_renew_comm*in_ins_partner_share*(in_hlth_family_renew^1*SUMIFS(AI971:AI1011,B971:B1011,B978-12)+in_hlth_family_renew^2*SUMIFS(AI971:AI1011,B971:B1011,B978-24)+in_hlth_family_renew^3*SUMIFS(AI971:AI1011,B971:B1011,B978-36)+in_hlth_family_renew^4*SUMIFS(AI971:AI1011,B971:B1011,B978-48))</f>
        <v/>
      </c>
      <c r="AK978" s="40">
        <f>AK977*(1-IF(B977&gt;=in_marketplace_from,d_hz_life_term*G977,0))</f>
        <v/>
      </c>
      <c r="AL978" s="46">
        <f>AK978*IF(B978&gt;=in_marketplace_from,d_hz_life_term*G978,0)</f>
        <v/>
      </c>
      <c r="AM978" s="14">
        <f>F978*AL978*in_life_term_ticket*in_life_term_comm*in_ins_partner_share+F978*in_life_term_ticket*in_life_term_renew_comm*in_ins_partner_share*(in_life_term_renew^1*SUMIFS(AL971:AL1011,B971:B1011,B978-12)+in_life_term_renew^2*SUMIFS(AL971:AL1011,B971:B1011,B978-24)+in_life_term_renew^3*SUMIFS(AL971:AL1011,B971:B1011,B978-36)+in_life_term_renew^4*SUMIFS(AL971:AL1011,B971:B1011,B978-48))</f>
        <v/>
      </c>
      <c r="AN978" s="40">
        <f>AN977*(1-IF(B977&gt;=in_marketplace_from,d_hz_accident*G977,0))</f>
        <v/>
      </c>
      <c r="AO978" s="46">
        <f>AN978*IF(B978&gt;=in_marketplace_from,d_hz_accident*G978,0)</f>
        <v/>
      </c>
      <c r="AP978" s="14">
        <f>F978*AO978*in_accident_ticket*in_accident_comm*in_ins_partner_share+F978*in_accident_ticket*in_accident_renew_comm*in_ins_partner_share*(in_accident_renew^1*SUMIFS(AO971:AO1011,B971:B1011,B978-12)+in_accident_renew^2*SUMIFS(AO971:AO1011,B971:B1011,B978-24)+in_accident_renew^3*SUMIFS(AO971:AO1011,B971:B1011,B978-36)+in_accident_renew^4*SUMIFS(AO971:AO1011,B971:B1011,B978-48))</f>
        <v/>
      </c>
      <c r="AQ978" s="40">
        <f>AQ977*(1-IF(B977&gt;=in_marketplace_from,d_hz_two_wheeler*G977,0))</f>
        <v/>
      </c>
      <c r="AR978" s="46">
        <f>AQ978*IF(B978&gt;=in_marketplace_from,d_hz_two_wheeler*G978,0)</f>
        <v/>
      </c>
      <c r="AS978" s="14">
        <f>F978*AR978*in_two_wheeler_ticket*in_two_wheeler_comm*in_ins_partner_share+F978*in_two_wheeler_ticket*in_two_wheeler_comm*in_ins_partner_share*(in_two_wheeler_renew^1*SUMIFS(AR971:AR1011,B971:B1011,B978-12)+in_two_wheeler_renew^2*SUMIFS(AR971:AR1011,B971:B1011,B978-24)+in_two_wheeler_renew^3*SUMIFS(AR971:AR1011,B971:B1011,B978-36)+in_two_wheeler_renew^4*SUMIFS(AR971:AR1011,B971:B1011,B978-48))</f>
        <v/>
      </c>
      <c r="AT978" s="40">
        <f>AT977*(1-IF(B977&gt;=in_marketplace_from,d_hz_device*G977,0))</f>
        <v/>
      </c>
      <c r="AU978" s="14">
        <f>F978*AT978*IF(B978&gt;=in_marketplace_from,d_hz_device*G978,0)*in_device_ticket*in_device_comm*in_ins_partner_share</f>
        <v/>
      </c>
      <c r="AV978" s="40">
        <f>AV977*(1-IF(B977&gt;=in_marketplace_from,d_hz_shop*G977,0))</f>
        <v/>
      </c>
      <c r="AW978" s="46">
        <f>AV978*IF(B978&gt;=in_marketplace_from,d_hz_shop*G978,0)</f>
        <v/>
      </c>
      <c r="AX978" s="14">
        <f>F978*AW978*in_shop_ticket*in_shop_comm*in_ins_partner_share+F978*in_shop_ticket*in_shop_renew_comm*in_ins_partner_share*(in_shop_renew^1*SUMIFS(AW971:AW1011,B971:B1011,B978-12)+in_shop_renew^2*SUMIFS(AW971:AW1011,B971:B1011,B978-24)+in_shop_renew^3*SUMIFS(AW971:AW1011,B971:B1011,B978-36)+in_shop_renew^4*SUMIFS(AW971:AW1011,B971:B1011,B978-48))</f>
        <v/>
      </c>
      <c r="AY978" s="40">
        <f>AY977*(1-IF(B977&gt;=in_marketplace_from,d_hz_sip*G977,0))</f>
        <v/>
      </c>
      <c r="AZ978" s="40">
        <f>AZ977*d_rho_sip+AY978*IF(B978&gt;=in_marketplace_from,d_hz_sip*G978,0)</f>
        <v/>
      </c>
      <c r="BA978" s="40">
        <f>d_rho_sip*(BA977+AZ977)</f>
        <v/>
      </c>
      <c r="BB978" s="14">
        <f>F978*in_sip_ticket*(BA978+0.5*AZ978)*in_sip_comm/12</f>
        <v/>
      </c>
      <c r="BC978" s="40">
        <f>BC977*(1-IF(B977&gt;=in_marketplace_from,d_hz_choti*G977,0))</f>
        <v/>
      </c>
      <c r="BD978" s="46">
        <f>BC978*IF(B978&gt;=in_marketplace_from,d_hz_choti*G978,0)</f>
        <v/>
      </c>
      <c r="BE978" s="14">
        <f>F978*SUMIFS(BD971:BD1011,B971:B1011,B978-in_choti_months)*in_choti_renew*in_choti_ticket</f>
        <v/>
      </c>
      <c r="BF978" s="40">
        <f>BF977*(1-IF(B977&gt;=in_marketplace_from,d_hz_nps*G977,0))</f>
        <v/>
      </c>
      <c r="BG978" s="14">
        <f>F978*BF978*IF(B978&gt;=in_marketplace_from,d_hz_nps*G978,0)*in_nps_ticket*in_nps_comm</f>
        <v/>
      </c>
      <c r="BH978" s="40">
        <f>BH977*(1-IF(B977&gt;=in_marketplace_from,d_hz_gold*G977,0))</f>
        <v/>
      </c>
      <c r="BI978" s="40">
        <f>BI977*d_rho_gold+BH978*IF(B978&gt;=in_marketplace_from,d_hz_gold*G978,0)</f>
        <v/>
      </c>
      <c r="BJ978" s="14">
        <f>F978*BI978*in_gold_ticket*in_gold_comm</f>
        <v/>
      </c>
      <c r="BK978" s="40">
        <f>BK977*(1-IF(B977&gt;=in_marketplace_from,d_hz_fd*G977,0))</f>
        <v/>
      </c>
      <c r="BL978" s="14">
        <f>F978*BK978*IF(B978&gt;=in_marketplace_from,d_hz_fd*G978,0)*in_fd_ticket*in_fd_comm</f>
        <v/>
      </c>
      <c r="BM978" s="40">
        <f>BM977*(1-IF(B977&gt;=in_marketplace_from,d_hz_recharge*G977,0))</f>
        <v/>
      </c>
      <c r="BN978" s="40">
        <f>BN977*d_rho_recharge+BM978*IF(B978&gt;=in_marketplace_from,d_hz_recharge*G978,0)</f>
        <v/>
      </c>
      <c r="BO978" s="14">
        <f>F978*BN978*in_recharge_ticket*in_recharge_comm/12</f>
        <v/>
      </c>
      <c r="BP978" s="40">
        <f>BP977*(1-IF(B977&gt;=in_marketplace_from,d_hz_bills*G977,0))</f>
        <v/>
      </c>
      <c r="BQ978" s="40">
        <f>BQ977*d_rho_bills+BP978*IF(B978&gt;=in_marketplace_from,d_hz_bills*G978,0)</f>
        <v/>
      </c>
      <c r="BR978" s="14">
        <f>F978*BQ978*in_bills_ticket*in_bills_comm/12</f>
        <v/>
      </c>
      <c r="BS978" s="40">
        <f>BS977*(1-IF(B977&gt;=in_marketplace_from,d_hz_loan_gold*G977,0))</f>
        <v/>
      </c>
      <c r="BT978" s="14">
        <f>F978*BS978*IF(B978&gt;=in_marketplace_from,d_hz_loan_gold*G978,0)*in_loan_gold_ticket*in_loan_gold_comm</f>
        <v/>
      </c>
      <c r="BU978" s="40">
        <f>BU977*(1-IF(B977&gt;=in_marketplace_from,d_hz_loan_cd*G977,0))</f>
        <v/>
      </c>
      <c r="BV978" s="14">
        <f>F978*BU978*IF(B978&gt;=in_marketplace_from,d_hz_loan_cd*G978,0)*in_loan_cd_ticket*in_loan_cd_comm</f>
        <v/>
      </c>
      <c r="BW978" s="40">
        <f>BW977*(1-IF(B977&gt;=in_marketplace_from,d_hz_loan_vehicle*G977,0))</f>
        <v/>
      </c>
      <c r="BX978" s="14">
        <f>F978*BW978*IF(B978&gt;=in_marketplace_from,d_hz_loan_vehicle*G978,0)*in_loan_vehicle_ticket*in_loan_vehicle_comm</f>
        <v/>
      </c>
      <c r="BY978" s="40">
        <f>BY977*(1-IF(B977&gt;=in_marketplace_from,d_hz_loan_home*G977,0)*BZ977)</f>
        <v/>
      </c>
      <c r="BZ978" s="11">
        <f>MIN(in_approval_cap,in_loan_home_approval*INDEX('Age profile'!$O$2:$O$61,B978)*(1+in_approval_growth)^(D978-1))</f>
        <v/>
      </c>
      <c r="CA978" s="14">
        <f>F978*BY978*IF(B978&gt;=in_marketplace_from,d_hz_loan_home*G978,0)*BZ978*in_loan_home_ticket*in_loan_home_comm</f>
        <v/>
      </c>
      <c r="CB978" s="40">
        <f>CB977*(1-IF(B977&gt;=in_marketplace_from,d_hz_loan_lap*G977,0)*CC977)</f>
        <v/>
      </c>
      <c r="CC978" s="11">
        <f>MIN(in_approval_cap,in_loan_lap_approval*INDEX('Age profile'!$O$2:$O$61,B978)*(1+in_approval_growth)^(D978-1))</f>
        <v/>
      </c>
      <c r="CD978" s="14">
        <f>F978*CB978*IF(B978&gt;=in_marketplace_from,d_hz_loan_lap*G978,0)*CC978*in_loan_lap_ticket*in_loan_lap_comm</f>
        <v/>
      </c>
      <c r="CE978" s="14">
        <f>AA978+AB978+AC978+AD978+AG978+AJ978+AM978+AP978+AS978+AU978+AX978+BB978+BE978+BG978+BJ978+BL978+BO978+BR978+BT978+BV978+BX978+CA978+CD978</f>
        <v/>
      </c>
    </row>
    <row r="979">
      <c r="A979" s="39" t="n">
        <v>20</v>
      </c>
      <c r="B979" s="39" t="n">
        <v>9</v>
      </c>
      <c r="C979" s="39">
        <f>A979+B979-1</f>
        <v/>
      </c>
      <c r="D979" s="39">
        <f>INT((C979-1)/12)+1</f>
        <v/>
      </c>
      <c r="E979" s="44">
        <f>INDEX(Monthly!$B$2:$B$61,A979)</f>
        <v/>
      </c>
      <c r="F979" s="44">
        <f>E979*INDEX('Age profile'!$B$2:$B$61,B979)</f>
        <v/>
      </c>
      <c r="G979" s="45">
        <f>MIN(in_takeup_cap,INDEX('Age profile'!$N$2:$N$61,B979)*(1+in_takeup_growth)^(D979-1))</f>
        <v/>
      </c>
      <c r="H979" s="11">
        <f>MIN(in_approval_cap,in_approved_first*INDEX('Age profile'!$O$2:$O$61,B979)*(1+in_approval_growth)^(D979-1))</f>
        <v/>
      </c>
      <c r="I979" s="45">
        <f>G979*MIN(in_takeup_cap,INDEX('Age profile'!$O$2:$O$61,B979)*(1+in_approval_growth)^(D979-1))</f>
        <v/>
      </c>
      <c r="J979" s="40">
        <f>(J978-L978)*F979/F978</f>
        <v/>
      </c>
      <c r="K979" s="40">
        <f>(K978-M978)*F979/F978+SUMIFS(O971:O978,B971:B978,B979-1-d_T)*F979</f>
        <v/>
      </c>
      <c r="L979" s="40">
        <f>IF(B979&gt;=in_marketplace_from,J979*d_hz*G979*in_eligible*H979,0)</f>
        <v/>
      </c>
      <c r="M979" s="40">
        <f>IF(B979&gt;=in_marketplace_from,K979*d_hz*G979*in_eligible*in_approved_repeat,0)</f>
        <v/>
      </c>
      <c r="N979" s="40">
        <f>L979+M979</f>
        <v/>
      </c>
      <c r="O979" s="46">
        <f>N979/F979</f>
        <v/>
      </c>
      <c r="P979" s="40">
        <f>F979-J979-K979</f>
        <v/>
      </c>
      <c r="Q979" s="40">
        <f>IF(B979&gt;=in_marketplace_from,(J979+K979)*d_hz*G979,0)</f>
        <v/>
      </c>
      <c r="R979" s="40">
        <f>SUMIFS(N971:N1011,B971:B1011,"&gt;="&amp;(B979-d_T),B971:B1011,"&lt;="&amp;(B979-1))</f>
        <v/>
      </c>
      <c r="S979" s="46">
        <f>(1-d_u)*S978+IF(d_T&gt;in_topup_lag,SUMIFS(O971:O1011,B971:B1011,B979-in_topup_lag)-d_udrop*SUMIFS(O971:O1011,B971:B1011,B979-d_T),0)</f>
        <v/>
      </c>
      <c r="T979" s="40">
        <f>F979*d_u*S979</f>
        <v/>
      </c>
      <c r="U979" s="9">
        <f>L979*in_ticket+M979*d_rep_ticket</f>
        <v/>
      </c>
      <c r="V979" s="9">
        <f>U979+T979*d_topup_amt</f>
        <v/>
      </c>
      <c r="W979" s="40">
        <f>N979+T979*d_topup_ratio</f>
        <v/>
      </c>
      <c r="X979" s="40">
        <f>SUMIFS(W971:W1011,B971:B1011,B979-in_dpd_lag)*d_cured</f>
        <v/>
      </c>
      <c r="Y979" s="40">
        <f>SUMIFS(W971:W1011,B971:B1011,B979-in_rec_lag)*d_recd</f>
        <v/>
      </c>
      <c r="Z979" s="40">
        <f>IF(AND(B979&gt;=in_marketplace_from,B979&lt;in_marketplace_from+in_card_months),in_card_share/in_card_months*F979*I979,IF(AND(B979&gt;=in_marketplace_from+in_card_months,B979&lt;in_marketplace_from+2*in_card_months),in_card_share*d_card_rem/in_card_months*F979*MIN(in_takeup_cap,(1+in_takeup_growth)^(D979-1))*MIN(in_takeup_cap,(1+in_approval_growth)^(D979-1)),0))</f>
        <v/>
      </c>
      <c r="AA979" s="14">
        <f>V979*in_fee*(1-in_taken_back)</f>
        <v/>
      </c>
      <c r="AB979" s="14">
        <f>SUMIFS(W971:W1011,B971:B1011,B979-in_dpd_lag)*d_dpd</f>
        <v/>
      </c>
      <c r="AC979" s="14">
        <f>SUMIFS(W971:W1011,B971:B1011,B979-in_rec_lag)*d_rec</f>
        <v/>
      </c>
      <c r="AD979" s="14">
        <f>Z979*in_card_fee</f>
        <v/>
      </c>
      <c r="AE979" s="40">
        <f>AE978*(1-IF(B978&gt;=in_marketplace_from,d_hz_hlth_small*G978,0))</f>
        <v/>
      </c>
      <c r="AF979" s="46">
        <f>AE979*IF(B979&gt;=in_marketplace_from,d_hz_hlth_small*G979,0)</f>
        <v/>
      </c>
      <c r="AG979" s="14">
        <f>F979*AF979*in_hlth_small_ticket*in_hlth_small_comm*in_ins_partner_share+F979*in_hlth_small_ticket*in_hlth_small_renew_comm*in_ins_partner_share*(in_hlth_small_renew^1*SUMIFS(AF971:AF1011,B971:B1011,B979-12)+in_hlth_small_renew^2*SUMIFS(AF971:AF1011,B971:B1011,B979-24)+in_hlth_small_renew^3*SUMIFS(AF971:AF1011,B971:B1011,B979-36)+in_hlth_small_renew^4*SUMIFS(AF971:AF1011,B971:B1011,B979-48))</f>
        <v/>
      </c>
      <c r="AH979" s="40">
        <f>AH978*(1-IF(B978&gt;=in_marketplace_from,d_hz_hlth_family*G978,0))</f>
        <v/>
      </c>
      <c r="AI979" s="46">
        <f>AH979*IF(B979&gt;=in_marketplace_from,d_hz_hlth_family*G979,0)</f>
        <v/>
      </c>
      <c r="AJ979" s="14">
        <f>F979*AI979*in_hlth_family_ticket*in_hlth_family_comm*in_ins_partner_share+F979*in_hlth_family_ticket*in_hlth_family_renew_comm*in_ins_partner_share*(in_hlth_family_renew^1*SUMIFS(AI971:AI1011,B971:B1011,B979-12)+in_hlth_family_renew^2*SUMIFS(AI971:AI1011,B971:B1011,B979-24)+in_hlth_family_renew^3*SUMIFS(AI971:AI1011,B971:B1011,B979-36)+in_hlth_family_renew^4*SUMIFS(AI971:AI1011,B971:B1011,B979-48))</f>
        <v/>
      </c>
      <c r="AK979" s="40">
        <f>AK978*(1-IF(B978&gt;=in_marketplace_from,d_hz_life_term*G978,0))</f>
        <v/>
      </c>
      <c r="AL979" s="46">
        <f>AK979*IF(B979&gt;=in_marketplace_from,d_hz_life_term*G979,0)</f>
        <v/>
      </c>
      <c r="AM979" s="14">
        <f>F979*AL979*in_life_term_ticket*in_life_term_comm*in_ins_partner_share+F979*in_life_term_ticket*in_life_term_renew_comm*in_ins_partner_share*(in_life_term_renew^1*SUMIFS(AL971:AL1011,B971:B1011,B979-12)+in_life_term_renew^2*SUMIFS(AL971:AL1011,B971:B1011,B979-24)+in_life_term_renew^3*SUMIFS(AL971:AL1011,B971:B1011,B979-36)+in_life_term_renew^4*SUMIFS(AL971:AL1011,B971:B1011,B979-48))</f>
        <v/>
      </c>
      <c r="AN979" s="40">
        <f>AN978*(1-IF(B978&gt;=in_marketplace_from,d_hz_accident*G978,0))</f>
        <v/>
      </c>
      <c r="AO979" s="46">
        <f>AN979*IF(B979&gt;=in_marketplace_from,d_hz_accident*G979,0)</f>
        <v/>
      </c>
      <c r="AP979" s="14">
        <f>F979*AO979*in_accident_ticket*in_accident_comm*in_ins_partner_share+F979*in_accident_ticket*in_accident_renew_comm*in_ins_partner_share*(in_accident_renew^1*SUMIFS(AO971:AO1011,B971:B1011,B979-12)+in_accident_renew^2*SUMIFS(AO971:AO1011,B971:B1011,B979-24)+in_accident_renew^3*SUMIFS(AO971:AO1011,B971:B1011,B979-36)+in_accident_renew^4*SUMIFS(AO971:AO1011,B971:B1011,B979-48))</f>
        <v/>
      </c>
      <c r="AQ979" s="40">
        <f>AQ978*(1-IF(B978&gt;=in_marketplace_from,d_hz_two_wheeler*G978,0))</f>
        <v/>
      </c>
      <c r="AR979" s="46">
        <f>AQ979*IF(B979&gt;=in_marketplace_from,d_hz_two_wheeler*G979,0)</f>
        <v/>
      </c>
      <c r="AS979" s="14">
        <f>F979*AR979*in_two_wheeler_ticket*in_two_wheeler_comm*in_ins_partner_share+F979*in_two_wheeler_ticket*in_two_wheeler_comm*in_ins_partner_share*(in_two_wheeler_renew^1*SUMIFS(AR971:AR1011,B971:B1011,B979-12)+in_two_wheeler_renew^2*SUMIFS(AR971:AR1011,B971:B1011,B979-24)+in_two_wheeler_renew^3*SUMIFS(AR971:AR1011,B971:B1011,B979-36)+in_two_wheeler_renew^4*SUMIFS(AR971:AR1011,B971:B1011,B979-48))</f>
        <v/>
      </c>
      <c r="AT979" s="40">
        <f>AT978*(1-IF(B978&gt;=in_marketplace_from,d_hz_device*G978,0))</f>
        <v/>
      </c>
      <c r="AU979" s="14">
        <f>F979*AT979*IF(B979&gt;=in_marketplace_from,d_hz_device*G979,0)*in_device_ticket*in_device_comm*in_ins_partner_share</f>
        <v/>
      </c>
      <c r="AV979" s="40">
        <f>AV978*(1-IF(B978&gt;=in_marketplace_from,d_hz_shop*G978,0))</f>
        <v/>
      </c>
      <c r="AW979" s="46">
        <f>AV979*IF(B979&gt;=in_marketplace_from,d_hz_shop*G979,0)</f>
        <v/>
      </c>
      <c r="AX979" s="14">
        <f>F979*AW979*in_shop_ticket*in_shop_comm*in_ins_partner_share+F979*in_shop_ticket*in_shop_renew_comm*in_ins_partner_share*(in_shop_renew^1*SUMIFS(AW971:AW1011,B971:B1011,B979-12)+in_shop_renew^2*SUMIFS(AW971:AW1011,B971:B1011,B979-24)+in_shop_renew^3*SUMIFS(AW971:AW1011,B971:B1011,B979-36)+in_shop_renew^4*SUMIFS(AW971:AW1011,B971:B1011,B979-48))</f>
        <v/>
      </c>
      <c r="AY979" s="40">
        <f>AY978*(1-IF(B978&gt;=in_marketplace_from,d_hz_sip*G978,0))</f>
        <v/>
      </c>
      <c r="AZ979" s="40">
        <f>AZ978*d_rho_sip+AY979*IF(B979&gt;=in_marketplace_from,d_hz_sip*G979,0)</f>
        <v/>
      </c>
      <c r="BA979" s="40">
        <f>d_rho_sip*(BA978+AZ978)</f>
        <v/>
      </c>
      <c r="BB979" s="14">
        <f>F979*in_sip_ticket*(BA979+0.5*AZ979)*in_sip_comm/12</f>
        <v/>
      </c>
      <c r="BC979" s="40">
        <f>BC978*(1-IF(B978&gt;=in_marketplace_from,d_hz_choti*G978,0))</f>
        <v/>
      </c>
      <c r="BD979" s="46">
        <f>BC979*IF(B979&gt;=in_marketplace_from,d_hz_choti*G979,0)</f>
        <v/>
      </c>
      <c r="BE979" s="14">
        <f>F979*SUMIFS(BD971:BD1011,B971:B1011,B979-in_choti_months)*in_choti_renew*in_choti_ticket</f>
        <v/>
      </c>
      <c r="BF979" s="40">
        <f>BF978*(1-IF(B978&gt;=in_marketplace_from,d_hz_nps*G978,0))</f>
        <v/>
      </c>
      <c r="BG979" s="14">
        <f>F979*BF979*IF(B979&gt;=in_marketplace_from,d_hz_nps*G979,0)*in_nps_ticket*in_nps_comm</f>
        <v/>
      </c>
      <c r="BH979" s="40">
        <f>BH978*(1-IF(B978&gt;=in_marketplace_from,d_hz_gold*G978,0))</f>
        <v/>
      </c>
      <c r="BI979" s="40">
        <f>BI978*d_rho_gold+BH979*IF(B979&gt;=in_marketplace_from,d_hz_gold*G979,0)</f>
        <v/>
      </c>
      <c r="BJ979" s="14">
        <f>F979*BI979*in_gold_ticket*in_gold_comm</f>
        <v/>
      </c>
      <c r="BK979" s="40">
        <f>BK978*(1-IF(B978&gt;=in_marketplace_from,d_hz_fd*G978,0))</f>
        <v/>
      </c>
      <c r="BL979" s="14">
        <f>F979*BK979*IF(B979&gt;=in_marketplace_from,d_hz_fd*G979,0)*in_fd_ticket*in_fd_comm</f>
        <v/>
      </c>
      <c r="BM979" s="40">
        <f>BM978*(1-IF(B978&gt;=in_marketplace_from,d_hz_recharge*G978,0))</f>
        <v/>
      </c>
      <c r="BN979" s="40">
        <f>BN978*d_rho_recharge+BM979*IF(B979&gt;=in_marketplace_from,d_hz_recharge*G979,0)</f>
        <v/>
      </c>
      <c r="BO979" s="14">
        <f>F979*BN979*in_recharge_ticket*in_recharge_comm/12</f>
        <v/>
      </c>
      <c r="BP979" s="40">
        <f>BP978*(1-IF(B978&gt;=in_marketplace_from,d_hz_bills*G978,0))</f>
        <v/>
      </c>
      <c r="BQ979" s="40">
        <f>BQ978*d_rho_bills+BP979*IF(B979&gt;=in_marketplace_from,d_hz_bills*G979,0)</f>
        <v/>
      </c>
      <c r="BR979" s="14">
        <f>F979*BQ979*in_bills_ticket*in_bills_comm/12</f>
        <v/>
      </c>
      <c r="BS979" s="40">
        <f>BS978*(1-IF(B978&gt;=in_marketplace_from,d_hz_loan_gold*G978,0))</f>
        <v/>
      </c>
      <c r="BT979" s="14">
        <f>F979*BS979*IF(B979&gt;=in_marketplace_from,d_hz_loan_gold*G979,0)*in_loan_gold_ticket*in_loan_gold_comm</f>
        <v/>
      </c>
      <c r="BU979" s="40">
        <f>BU978*(1-IF(B978&gt;=in_marketplace_from,d_hz_loan_cd*G978,0))</f>
        <v/>
      </c>
      <c r="BV979" s="14">
        <f>F979*BU979*IF(B979&gt;=in_marketplace_from,d_hz_loan_cd*G979,0)*in_loan_cd_ticket*in_loan_cd_comm</f>
        <v/>
      </c>
      <c r="BW979" s="40">
        <f>BW978*(1-IF(B978&gt;=in_marketplace_from,d_hz_loan_vehicle*G978,0))</f>
        <v/>
      </c>
      <c r="BX979" s="14">
        <f>F979*BW979*IF(B979&gt;=in_marketplace_from,d_hz_loan_vehicle*G979,0)*in_loan_vehicle_ticket*in_loan_vehicle_comm</f>
        <v/>
      </c>
      <c r="BY979" s="40">
        <f>BY978*(1-IF(B978&gt;=in_marketplace_from,d_hz_loan_home*G978,0)*BZ978)</f>
        <v/>
      </c>
      <c r="BZ979" s="11">
        <f>MIN(in_approval_cap,in_loan_home_approval*INDEX('Age profile'!$O$2:$O$61,B979)*(1+in_approval_growth)^(D979-1))</f>
        <v/>
      </c>
      <c r="CA979" s="14">
        <f>F979*BY979*IF(B979&gt;=in_marketplace_from,d_hz_loan_home*G979,0)*BZ979*in_loan_home_ticket*in_loan_home_comm</f>
        <v/>
      </c>
      <c r="CB979" s="40">
        <f>CB978*(1-IF(B978&gt;=in_marketplace_from,d_hz_loan_lap*G978,0)*CC978)</f>
        <v/>
      </c>
      <c r="CC979" s="11">
        <f>MIN(in_approval_cap,in_loan_lap_approval*INDEX('Age profile'!$O$2:$O$61,B979)*(1+in_approval_growth)^(D979-1))</f>
        <v/>
      </c>
      <c r="CD979" s="14">
        <f>F979*CB979*IF(B979&gt;=in_marketplace_from,d_hz_loan_lap*G979,0)*CC979*in_loan_lap_ticket*in_loan_lap_comm</f>
        <v/>
      </c>
      <c r="CE979" s="14">
        <f>AA979+AB979+AC979+AD979+AG979+AJ979+AM979+AP979+AS979+AU979+AX979+BB979+BE979+BG979+BJ979+BL979+BO979+BR979+BT979+BV979+BX979+CA979+CD979</f>
        <v/>
      </c>
    </row>
    <row r="980">
      <c r="A980" s="39" t="n">
        <v>20</v>
      </c>
      <c r="B980" s="39" t="n">
        <v>10</v>
      </c>
      <c r="C980" s="39">
        <f>A980+B980-1</f>
        <v/>
      </c>
      <c r="D980" s="39">
        <f>INT((C980-1)/12)+1</f>
        <v/>
      </c>
      <c r="E980" s="44">
        <f>INDEX(Monthly!$B$2:$B$61,A980)</f>
        <v/>
      </c>
      <c r="F980" s="44">
        <f>E980*INDEX('Age profile'!$B$2:$B$61,B980)</f>
        <v/>
      </c>
      <c r="G980" s="45">
        <f>MIN(in_takeup_cap,INDEX('Age profile'!$N$2:$N$61,B980)*(1+in_takeup_growth)^(D980-1))</f>
        <v/>
      </c>
      <c r="H980" s="11">
        <f>MIN(in_approval_cap,in_approved_first*INDEX('Age profile'!$O$2:$O$61,B980)*(1+in_approval_growth)^(D980-1))</f>
        <v/>
      </c>
      <c r="I980" s="45">
        <f>G980*MIN(in_takeup_cap,INDEX('Age profile'!$O$2:$O$61,B980)*(1+in_approval_growth)^(D980-1))</f>
        <v/>
      </c>
      <c r="J980" s="40">
        <f>(J979-L979)*F980/F979</f>
        <v/>
      </c>
      <c r="K980" s="40">
        <f>(K979-M979)*F980/F979+SUMIFS(O971:O979,B971:B979,B980-1-d_T)*F980</f>
        <v/>
      </c>
      <c r="L980" s="40">
        <f>IF(B980&gt;=in_marketplace_from,J980*d_hz*G980*in_eligible*H980,0)</f>
        <v/>
      </c>
      <c r="M980" s="40">
        <f>IF(B980&gt;=in_marketplace_from,K980*d_hz*G980*in_eligible*in_approved_repeat,0)</f>
        <v/>
      </c>
      <c r="N980" s="40">
        <f>L980+M980</f>
        <v/>
      </c>
      <c r="O980" s="46">
        <f>N980/F980</f>
        <v/>
      </c>
      <c r="P980" s="40">
        <f>F980-J980-K980</f>
        <v/>
      </c>
      <c r="Q980" s="40">
        <f>IF(B980&gt;=in_marketplace_from,(J980+K980)*d_hz*G980,0)</f>
        <v/>
      </c>
      <c r="R980" s="40">
        <f>SUMIFS(N971:N1011,B971:B1011,"&gt;="&amp;(B980-d_T),B971:B1011,"&lt;="&amp;(B980-1))</f>
        <v/>
      </c>
      <c r="S980" s="46">
        <f>(1-d_u)*S979+IF(d_T&gt;in_topup_lag,SUMIFS(O971:O1011,B971:B1011,B980-in_topup_lag)-d_udrop*SUMIFS(O971:O1011,B971:B1011,B980-d_T),0)</f>
        <v/>
      </c>
      <c r="T980" s="40">
        <f>F980*d_u*S980</f>
        <v/>
      </c>
      <c r="U980" s="9">
        <f>L980*in_ticket+M980*d_rep_ticket</f>
        <v/>
      </c>
      <c r="V980" s="9">
        <f>U980+T980*d_topup_amt</f>
        <v/>
      </c>
      <c r="W980" s="40">
        <f>N980+T980*d_topup_ratio</f>
        <v/>
      </c>
      <c r="X980" s="40">
        <f>SUMIFS(W971:W1011,B971:B1011,B980-in_dpd_lag)*d_cured</f>
        <v/>
      </c>
      <c r="Y980" s="40">
        <f>SUMIFS(W971:W1011,B971:B1011,B980-in_rec_lag)*d_recd</f>
        <v/>
      </c>
      <c r="Z980" s="40">
        <f>IF(AND(B980&gt;=in_marketplace_from,B980&lt;in_marketplace_from+in_card_months),in_card_share/in_card_months*F980*I980,IF(AND(B980&gt;=in_marketplace_from+in_card_months,B980&lt;in_marketplace_from+2*in_card_months),in_card_share*d_card_rem/in_card_months*F980*MIN(in_takeup_cap,(1+in_takeup_growth)^(D980-1))*MIN(in_takeup_cap,(1+in_approval_growth)^(D980-1)),0))</f>
        <v/>
      </c>
      <c r="AA980" s="14">
        <f>V980*in_fee*(1-in_taken_back)</f>
        <v/>
      </c>
      <c r="AB980" s="14">
        <f>SUMIFS(W971:W1011,B971:B1011,B980-in_dpd_lag)*d_dpd</f>
        <v/>
      </c>
      <c r="AC980" s="14">
        <f>SUMIFS(W971:W1011,B971:B1011,B980-in_rec_lag)*d_rec</f>
        <v/>
      </c>
      <c r="AD980" s="14">
        <f>Z980*in_card_fee</f>
        <v/>
      </c>
      <c r="AE980" s="40">
        <f>AE979*(1-IF(B979&gt;=in_marketplace_from,d_hz_hlth_small*G979,0))</f>
        <v/>
      </c>
      <c r="AF980" s="46">
        <f>AE980*IF(B980&gt;=in_marketplace_from,d_hz_hlth_small*G980,0)</f>
        <v/>
      </c>
      <c r="AG980" s="14">
        <f>F980*AF980*in_hlth_small_ticket*in_hlth_small_comm*in_ins_partner_share+F980*in_hlth_small_ticket*in_hlth_small_renew_comm*in_ins_partner_share*(in_hlth_small_renew^1*SUMIFS(AF971:AF1011,B971:B1011,B980-12)+in_hlth_small_renew^2*SUMIFS(AF971:AF1011,B971:B1011,B980-24)+in_hlth_small_renew^3*SUMIFS(AF971:AF1011,B971:B1011,B980-36)+in_hlth_small_renew^4*SUMIFS(AF971:AF1011,B971:B1011,B980-48))</f>
        <v/>
      </c>
      <c r="AH980" s="40">
        <f>AH979*(1-IF(B979&gt;=in_marketplace_from,d_hz_hlth_family*G979,0))</f>
        <v/>
      </c>
      <c r="AI980" s="46">
        <f>AH980*IF(B980&gt;=in_marketplace_from,d_hz_hlth_family*G980,0)</f>
        <v/>
      </c>
      <c r="AJ980" s="14">
        <f>F980*AI980*in_hlth_family_ticket*in_hlth_family_comm*in_ins_partner_share+F980*in_hlth_family_ticket*in_hlth_family_renew_comm*in_ins_partner_share*(in_hlth_family_renew^1*SUMIFS(AI971:AI1011,B971:B1011,B980-12)+in_hlth_family_renew^2*SUMIFS(AI971:AI1011,B971:B1011,B980-24)+in_hlth_family_renew^3*SUMIFS(AI971:AI1011,B971:B1011,B980-36)+in_hlth_family_renew^4*SUMIFS(AI971:AI1011,B971:B1011,B980-48))</f>
        <v/>
      </c>
      <c r="AK980" s="40">
        <f>AK979*(1-IF(B979&gt;=in_marketplace_from,d_hz_life_term*G979,0))</f>
        <v/>
      </c>
      <c r="AL980" s="46">
        <f>AK980*IF(B980&gt;=in_marketplace_from,d_hz_life_term*G980,0)</f>
        <v/>
      </c>
      <c r="AM980" s="14">
        <f>F980*AL980*in_life_term_ticket*in_life_term_comm*in_ins_partner_share+F980*in_life_term_ticket*in_life_term_renew_comm*in_ins_partner_share*(in_life_term_renew^1*SUMIFS(AL971:AL1011,B971:B1011,B980-12)+in_life_term_renew^2*SUMIFS(AL971:AL1011,B971:B1011,B980-24)+in_life_term_renew^3*SUMIFS(AL971:AL1011,B971:B1011,B980-36)+in_life_term_renew^4*SUMIFS(AL971:AL1011,B971:B1011,B980-48))</f>
        <v/>
      </c>
      <c r="AN980" s="40">
        <f>AN979*(1-IF(B979&gt;=in_marketplace_from,d_hz_accident*G979,0))</f>
        <v/>
      </c>
      <c r="AO980" s="46">
        <f>AN980*IF(B980&gt;=in_marketplace_from,d_hz_accident*G980,0)</f>
        <v/>
      </c>
      <c r="AP980" s="14">
        <f>F980*AO980*in_accident_ticket*in_accident_comm*in_ins_partner_share+F980*in_accident_ticket*in_accident_renew_comm*in_ins_partner_share*(in_accident_renew^1*SUMIFS(AO971:AO1011,B971:B1011,B980-12)+in_accident_renew^2*SUMIFS(AO971:AO1011,B971:B1011,B980-24)+in_accident_renew^3*SUMIFS(AO971:AO1011,B971:B1011,B980-36)+in_accident_renew^4*SUMIFS(AO971:AO1011,B971:B1011,B980-48))</f>
        <v/>
      </c>
      <c r="AQ980" s="40">
        <f>AQ979*(1-IF(B979&gt;=in_marketplace_from,d_hz_two_wheeler*G979,0))</f>
        <v/>
      </c>
      <c r="AR980" s="46">
        <f>AQ980*IF(B980&gt;=in_marketplace_from,d_hz_two_wheeler*G980,0)</f>
        <v/>
      </c>
      <c r="AS980" s="14">
        <f>F980*AR980*in_two_wheeler_ticket*in_two_wheeler_comm*in_ins_partner_share+F980*in_two_wheeler_ticket*in_two_wheeler_comm*in_ins_partner_share*(in_two_wheeler_renew^1*SUMIFS(AR971:AR1011,B971:B1011,B980-12)+in_two_wheeler_renew^2*SUMIFS(AR971:AR1011,B971:B1011,B980-24)+in_two_wheeler_renew^3*SUMIFS(AR971:AR1011,B971:B1011,B980-36)+in_two_wheeler_renew^4*SUMIFS(AR971:AR1011,B971:B1011,B980-48))</f>
        <v/>
      </c>
      <c r="AT980" s="40">
        <f>AT979*(1-IF(B979&gt;=in_marketplace_from,d_hz_device*G979,0))</f>
        <v/>
      </c>
      <c r="AU980" s="14">
        <f>F980*AT980*IF(B980&gt;=in_marketplace_from,d_hz_device*G980,0)*in_device_ticket*in_device_comm*in_ins_partner_share</f>
        <v/>
      </c>
      <c r="AV980" s="40">
        <f>AV979*(1-IF(B979&gt;=in_marketplace_from,d_hz_shop*G979,0))</f>
        <v/>
      </c>
      <c r="AW980" s="46">
        <f>AV980*IF(B980&gt;=in_marketplace_from,d_hz_shop*G980,0)</f>
        <v/>
      </c>
      <c r="AX980" s="14">
        <f>F980*AW980*in_shop_ticket*in_shop_comm*in_ins_partner_share+F980*in_shop_ticket*in_shop_renew_comm*in_ins_partner_share*(in_shop_renew^1*SUMIFS(AW971:AW1011,B971:B1011,B980-12)+in_shop_renew^2*SUMIFS(AW971:AW1011,B971:B1011,B980-24)+in_shop_renew^3*SUMIFS(AW971:AW1011,B971:B1011,B980-36)+in_shop_renew^4*SUMIFS(AW971:AW1011,B971:B1011,B980-48))</f>
        <v/>
      </c>
      <c r="AY980" s="40">
        <f>AY979*(1-IF(B979&gt;=in_marketplace_from,d_hz_sip*G979,0))</f>
        <v/>
      </c>
      <c r="AZ980" s="40">
        <f>AZ979*d_rho_sip+AY980*IF(B980&gt;=in_marketplace_from,d_hz_sip*G980,0)</f>
        <v/>
      </c>
      <c r="BA980" s="40">
        <f>d_rho_sip*(BA979+AZ979)</f>
        <v/>
      </c>
      <c r="BB980" s="14">
        <f>F980*in_sip_ticket*(BA980+0.5*AZ980)*in_sip_comm/12</f>
        <v/>
      </c>
      <c r="BC980" s="40">
        <f>BC979*(1-IF(B979&gt;=in_marketplace_from,d_hz_choti*G979,0))</f>
        <v/>
      </c>
      <c r="BD980" s="46">
        <f>BC980*IF(B980&gt;=in_marketplace_from,d_hz_choti*G980,0)</f>
        <v/>
      </c>
      <c r="BE980" s="14">
        <f>F980*SUMIFS(BD971:BD1011,B971:B1011,B980-in_choti_months)*in_choti_renew*in_choti_ticket</f>
        <v/>
      </c>
      <c r="BF980" s="40">
        <f>BF979*(1-IF(B979&gt;=in_marketplace_from,d_hz_nps*G979,0))</f>
        <v/>
      </c>
      <c r="BG980" s="14">
        <f>F980*BF980*IF(B980&gt;=in_marketplace_from,d_hz_nps*G980,0)*in_nps_ticket*in_nps_comm</f>
        <v/>
      </c>
      <c r="BH980" s="40">
        <f>BH979*(1-IF(B979&gt;=in_marketplace_from,d_hz_gold*G979,0))</f>
        <v/>
      </c>
      <c r="BI980" s="40">
        <f>BI979*d_rho_gold+BH980*IF(B980&gt;=in_marketplace_from,d_hz_gold*G980,0)</f>
        <v/>
      </c>
      <c r="BJ980" s="14">
        <f>F980*BI980*in_gold_ticket*in_gold_comm</f>
        <v/>
      </c>
      <c r="BK980" s="40">
        <f>BK979*(1-IF(B979&gt;=in_marketplace_from,d_hz_fd*G979,0))</f>
        <v/>
      </c>
      <c r="BL980" s="14">
        <f>F980*BK980*IF(B980&gt;=in_marketplace_from,d_hz_fd*G980,0)*in_fd_ticket*in_fd_comm</f>
        <v/>
      </c>
      <c r="BM980" s="40">
        <f>BM979*(1-IF(B979&gt;=in_marketplace_from,d_hz_recharge*G979,0))</f>
        <v/>
      </c>
      <c r="BN980" s="40">
        <f>BN979*d_rho_recharge+BM980*IF(B980&gt;=in_marketplace_from,d_hz_recharge*G980,0)</f>
        <v/>
      </c>
      <c r="BO980" s="14">
        <f>F980*BN980*in_recharge_ticket*in_recharge_comm/12</f>
        <v/>
      </c>
      <c r="BP980" s="40">
        <f>BP979*(1-IF(B979&gt;=in_marketplace_from,d_hz_bills*G979,0))</f>
        <v/>
      </c>
      <c r="BQ980" s="40">
        <f>BQ979*d_rho_bills+BP980*IF(B980&gt;=in_marketplace_from,d_hz_bills*G980,0)</f>
        <v/>
      </c>
      <c r="BR980" s="14">
        <f>F980*BQ980*in_bills_ticket*in_bills_comm/12</f>
        <v/>
      </c>
      <c r="BS980" s="40">
        <f>BS979*(1-IF(B979&gt;=in_marketplace_from,d_hz_loan_gold*G979,0))</f>
        <v/>
      </c>
      <c r="BT980" s="14">
        <f>F980*BS980*IF(B980&gt;=in_marketplace_from,d_hz_loan_gold*G980,0)*in_loan_gold_ticket*in_loan_gold_comm</f>
        <v/>
      </c>
      <c r="BU980" s="40">
        <f>BU979*(1-IF(B979&gt;=in_marketplace_from,d_hz_loan_cd*G979,0))</f>
        <v/>
      </c>
      <c r="BV980" s="14">
        <f>F980*BU980*IF(B980&gt;=in_marketplace_from,d_hz_loan_cd*G980,0)*in_loan_cd_ticket*in_loan_cd_comm</f>
        <v/>
      </c>
      <c r="BW980" s="40">
        <f>BW979*(1-IF(B979&gt;=in_marketplace_from,d_hz_loan_vehicle*G979,0))</f>
        <v/>
      </c>
      <c r="BX980" s="14">
        <f>F980*BW980*IF(B980&gt;=in_marketplace_from,d_hz_loan_vehicle*G980,0)*in_loan_vehicle_ticket*in_loan_vehicle_comm</f>
        <v/>
      </c>
      <c r="BY980" s="40">
        <f>BY979*(1-IF(B979&gt;=in_marketplace_from,d_hz_loan_home*G979,0)*BZ979)</f>
        <v/>
      </c>
      <c r="BZ980" s="11">
        <f>MIN(in_approval_cap,in_loan_home_approval*INDEX('Age profile'!$O$2:$O$61,B980)*(1+in_approval_growth)^(D980-1))</f>
        <v/>
      </c>
      <c r="CA980" s="14">
        <f>F980*BY980*IF(B980&gt;=in_marketplace_from,d_hz_loan_home*G980,0)*BZ980*in_loan_home_ticket*in_loan_home_comm</f>
        <v/>
      </c>
      <c r="CB980" s="40">
        <f>CB979*(1-IF(B979&gt;=in_marketplace_from,d_hz_loan_lap*G979,0)*CC979)</f>
        <v/>
      </c>
      <c r="CC980" s="11">
        <f>MIN(in_approval_cap,in_loan_lap_approval*INDEX('Age profile'!$O$2:$O$61,B980)*(1+in_approval_growth)^(D980-1))</f>
        <v/>
      </c>
      <c r="CD980" s="14">
        <f>F980*CB980*IF(B980&gt;=in_marketplace_from,d_hz_loan_lap*G980,0)*CC980*in_loan_lap_ticket*in_loan_lap_comm</f>
        <v/>
      </c>
      <c r="CE980" s="14">
        <f>AA980+AB980+AC980+AD980+AG980+AJ980+AM980+AP980+AS980+AU980+AX980+BB980+BE980+BG980+BJ980+BL980+BO980+BR980+BT980+BV980+BX980+CA980+CD980</f>
        <v/>
      </c>
    </row>
    <row r="981">
      <c r="A981" s="39" t="n">
        <v>20</v>
      </c>
      <c r="B981" s="39" t="n">
        <v>11</v>
      </c>
      <c r="C981" s="39">
        <f>A981+B981-1</f>
        <v/>
      </c>
      <c r="D981" s="39">
        <f>INT((C981-1)/12)+1</f>
        <v/>
      </c>
      <c r="E981" s="44">
        <f>INDEX(Monthly!$B$2:$B$61,A981)</f>
        <v/>
      </c>
      <c r="F981" s="44">
        <f>E981*INDEX('Age profile'!$B$2:$B$61,B981)</f>
        <v/>
      </c>
      <c r="G981" s="45">
        <f>MIN(in_takeup_cap,INDEX('Age profile'!$N$2:$N$61,B981)*(1+in_takeup_growth)^(D981-1))</f>
        <v/>
      </c>
      <c r="H981" s="11">
        <f>MIN(in_approval_cap,in_approved_first*INDEX('Age profile'!$O$2:$O$61,B981)*(1+in_approval_growth)^(D981-1))</f>
        <v/>
      </c>
      <c r="I981" s="45">
        <f>G981*MIN(in_takeup_cap,INDEX('Age profile'!$O$2:$O$61,B981)*(1+in_approval_growth)^(D981-1))</f>
        <v/>
      </c>
      <c r="J981" s="40">
        <f>(J980-L980)*F981/F980</f>
        <v/>
      </c>
      <c r="K981" s="40">
        <f>(K980-M980)*F981/F980+SUMIFS(O971:O980,B971:B980,B981-1-d_T)*F981</f>
        <v/>
      </c>
      <c r="L981" s="40">
        <f>IF(B981&gt;=in_marketplace_from,J981*d_hz*G981*in_eligible*H981,0)</f>
        <v/>
      </c>
      <c r="M981" s="40">
        <f>IF(B981&gt;=in_marketplace_from,K981*d_hz*G981*in_eligible*in_approved_repeat,0)</f>
        <v/>
      </c>
      <c r="N981" s="40">
        <f>L981+M981</f>
        <v/>
      </c>
      <c r="O981" s="46">
        <f>N981/F981</f>
        <v/>
      </c>
      <c r="P981" s="40">
        <f>F981-J981-K981</f>
        <v/>
      </c>
      <c r="Q981" s="40">
        <f>IF(B981&gt;=in_marketplace_from,(J981+K981)*d_hz*G981,0)</f>
        <v/>
      </c>
      <c r="R981" s="40">
        <f>SUMIFS(N971:N1011,B971:B1011,"&gt;="&amp;(B981-d_T),B971:B1011,"&lt;="&amp;(B981-1))</f>
        <v/>
      </c>
      <c r="S981" s="46">
        <f>(1-d_u)*S980+IF(d_T&gt;in_topup_lag,SUMIFS(O971:O1011,B971:B1011,B981-in_topup_lag)-d_udrop*SUMIFS(O971:O1011,B971:B1011,B981-d_T),0)</f>
        <v/>
      </c>
      <c r="T981" s="40">
        <f>F981*d_u*S981</f>
        <v/>
      </c>
      <c r="U981" s="9">
        <f>L981*in_ticket+M981*d_rep_ticket</f>
        <v/>
      </c>
      <c r="V981" s="9">
        <f>U981+T981*d_topup_amt</f>
        <v/>
      </c>
      <c r="W981" s="40">
        <f>N981+T981*d_topup_ratio</f>
        <v/>
      </c>
      <c r="X981" s="40">
        <f>SUMIFS(W971:W1011,B971:B1011,B981-in_dpd_lag)*d_cured</f>
        <v/>
      </c>
      <c r="Y981" s="40">
        <f>SUMIFS(W971:W1011,B971:B1011,B981-in_rec_lag)*d_recd</f>
        <v/>
      </c>
      <c r="Z981" s="40">
        <f>IF(AND(B981&gt;=in_marketplace_from,B981&lt;in_marketplace_from+in_card_months),in_card_share/in_card_months*F981*I981,IF(AND(B981&gt;=in_marketplace_from+in_card_months,B981&lt;in_marketplace_from+2*in_card_months),in_card_share*d_card_rem/in_card_months*F981*MIN(in_takeup_cap,(1+in_takeup_growth)^(D981-1))*MIN(in_takeup_cap,(1+in_approval_growth)^(D981-1)),0))</f>
        <v/>
      </c>
      <c r="AA981" s="14">
        <f>V981*in_fee*(1-in_taken_back)</f>
        <v/>
      </c>
      <c r="AB981" s="14">
        <f>SUMIFS(W971:W1011,B971:B1011,B981-in_dpd_lag)*d_dpd</f>
        <v/>
      </c>
      <c r="AC981" s="14">
        <f>SUMIFS(W971:W1011,B971:B1011,B981-in_rec_lag)*d_rec</f>
        <v/>
      </c>
      <c r="AD981" s="14">
        <f>Z981*in_card_fee</f>
        <v/>
      </c>
      <c r="AE981" s="40">
        <f>AE980*(1-IF(B980&gt;=in_marketplace_from,d_hz_hlth_small*G980,0))</f>
        <v/>
      </c>
      <c r="AF981" s="46">
        <f>AE981*IF(B981&gt;=in_marketplace_from,d_hz_hlth_small*G981,0)</f>
        <v/>
      </c>
      <c r="AG981" s="14">
        <f>F981*AF981*in_hlth_small_ticket*in_hlth_small_comm*in_ins_partner_share+F981*in_hlth_small_ticket*in_hlth_small_renew_comm*in_ins_partner_share*(in_hlth_small_renew^1*SUMIFS(AF971:AF1011,B971:B1011,B981-12)+in_hlth_small_renew^2*SUMIFS(AF971:AF1011,B971:B1011,B981-24)+in_hlth_small_renew^3*SUMIFS(AF971:AF1011,B971:B1011,B981-36)+in_hlth_small_renew^4*SUMIFS(AF971:AF1011,B971:B1011,B981-48))</f>
        <v/>
      </c>
      <c r="AH981" s="40">
        <f>AH980*(1-IF(B980&gt;=in_marketplace_from,d_hz_hlth_family*G980,0))</f>
        <v/>
      </c>
      <c r="AI981" s="46">
        <f>AH981*IF(B981&gt;=in_marketplace_from,d_hz_hlth_family*G981,0)</f>
        <v/>
      </c>
      <c r="AJ981" s="14">
        <f>F981*AI981*in_hlth_family_ticket*in_hlth_family_comm*in_ins_partner_share+F981*in_hlth_family_ticket*in_hlth_family_renew_comm*in_ins_partner_share*(in_hlth_family_renew^1*SUMIFS(AI971:AI1011,B971:B1011,B981-12)+in_hlth_family_renew^2*SUMIFS(AI971:AI1011,B971:B1011,B981-24)+in_hlth_family_renew^3*SUMIFS(AI971:AI1011,B971:B1011,B981-36)+in_hlth_family_renew^4*SUMIFS(AI971:AI1011,B971:B1011,B981-48))</f>
        <v/>
      </c>
      <c r="AK981" s="40">
        <f>AK980*(1-IF(B980&gt;=in_marketplace_from,d_hz_life_term*G980,0))</f>
        <v/>
      </c>
      <c r="AL981" s="46">
        <f>AK981*IF(B981&gt;=in_marketplace_from,d_hz_life_term*G981,0)</f>
        <v/>
      </c>
      <c r="AM981" s="14">
        <f>F981*AL981*in_life_term_ticket*in_life_term_comm*in_ins_partner_share+F981*in_life_term_ticket*in_life_term_renew_comm*in_ins_partner_share*(in_life_term_renew^1*SUMIFS(AL971:AL1011,B971:B1011,B981-12)+in_life_term_renew^2*SUMIFS(AL971:AL1011,B971:B1011,B981-24)+in_life_term_renew^3*SUMIFS(AL971:AL1011,B971:B1011,B981-36)+in_life_term_renew^4*SUMIFS(AL971:AL1011,B971:B1011,B981-48))</f>
        <v/>
      </c>
      <c r="AN981" s="40">
        <f>AN980*(1-IF(B980&gt;=in_marketplace_from,d_hz_accident*G980,0))</f>
        <v/>
      </c>
      <c r="AO981" s="46">
        <f>AN981*IF(B981&gt;=in_marketplace_from,d_hz_accident*G981,0)</f>
        <v/>
      </c>
      <c r="AP981" s="14">
        <f>F981*AO981*in_accident_ticket*in_accident_comm*in_ins_partner_share+F981*in_accident_ticket*in_accident_renew_comm*in_ins_partner_share*(in_accident_renew^1*SUMIFS(AO971:AO1011,B971:B1011,B981-12)+in_accident_renew^2*SUMIFS(AO971:AO1011,B971:B1011,B981-24)+in_accident_renew^3*SUMIFS(AO971:AO1011,B971:B1011,B981-36)+in_accident_renew^4*SUMIFS(AO971:AO1011,B971:B1011,B981-48))</f>
        <v/>
      </c>
      <c r="AQ981" s="40">
        <f>AQ980*(1-IF(B980&gt;=in_marketplace_from,d_hz_two_wheeler*G980,0))</f>
        <v/>
      </c>
      <c r="AR981" s="46">
        <f>AQ981*IF(B981&gt;=in_marketplace_from,d_hz_two_wheeler*G981,0)</f>
        <v/>
      </c>
      <c r="AS981" s="14">
        <f>F981*AR981*in_two_wheeler_ticket*in_two_wheeler_comm*in_ins_partner_share+F981*in_two_wheeler_ticket*in_two_wheeler_comm*in_ins_partner_share*(in_two_wheeler_renew^1*SUMIFS(AR971:AR1011,B971:B1011,B981-12)+in_two_wheeler_renew^2*SUMIFS(AR971:AR1011,B971:B1011,B981-24)+in_two_wheeler_renew^3*SUMIFS(AR971:AR1011,B971:B1011,B981-36)+in_two_wheeler_renew^4*SUMIFS(AR971:AR1011,B971:B1011,B981-48))</f>
        <v/>
      </c>
      <c r="AT981" s="40">
        <f>AT980*(1-IF(B980&gt;=in_marketplace_from,d_hz_device*G980,0))</f>
        <v/>
      </c>
      <c r="AU981" s="14">
        <f>F981*AT981*IF(B981&gt;=in_marketplace_from,d_hz_device*G981,0)*in_device_ticket*in_device_comm*in_ins_partner_share</f>
        <v/>
      </c>
      <c r="AV981" s="40">
        <f>AV980*(1-IF(B980&gt;=in_marketplace_from,d_hz_shop*G980,0))</f>
        <v/>
      </c>
      <c r="AW981" s="46">
        <f>AV981*IF(B981&gt;=in_marketplace_from,d_hz_shop*G981,0)</f>
        <v/>
      </c>
      <c r="AX981" s="14">
        <f>F981*AW981*in_shop_ticket*in_shop_comm*in_ins_partner_share+F981*in_shop_ticket*in_shop_renew_comm*in_ins_partner_share*(in_shop_renew^1*SUMIFS(AW971:AW1011,B971:B1011,B981-12)+in_shop_renew^2*SUMIFS(AW971:AW1011,B971:B1011,B981-24)+in_shop_renew^3*SUMIFS(AW971:AW1011,B971:B1011,B981-36)+in_shop_renew^4*SUMIFS(AW971:AW1011,B971:B1011,B981-48))</f>
        <v/>
      </c>
      <c r="AY981" s="40">
        <f>AY980*(1-IF(B980&gt;=in_marketplace_from,d_hz_sip*G980,0))</f>
        <v/>
      </c>
      <c r="AZ981" s="40">
        <f>AZ980*d_rho_sip+AY981*IF(B981&gt;=in_marketplace_from,d_hz_sip*G981,0)</f>
        <v/>
      </c>
      <c r="BA981" s="40">
        <f>d_rho_sip*(BA980+AZ980)</f>
        <v/>
      </c>
      <c r="BB981" s="14">
        <f>F981*in_sip_ticket*(BA981+0.5*AZ981)*in_sip_comm/12</f>
        <v/>
      </c>
      <c r="BC981" s="40">
        <f>BC980*(1-IF(B980&gt;=in_marketplace_from,d_hz_choti*G980,0))</f>
        <v/>
      </c>
      <c r="BD981" s="46">
        <f>BC981*IF(B981&gt;=in_marketplace_from,d_hz_choti*G981,0)</f>
        <v/>
      </c>
      <c r="BE981" s="14">
        <f>F981*SUMIFS(BD971:BD1011,B971:B1011,B981-in_choti_months)*in_choti_renew*in_choti_ticket</f>
        <v/>
      </c>
      <c r="BF981" s="40">
        <f>BF980*(1-IF(B980&gt;=in_marketplace_from,d_hz_nps*G980,0))</f>
        <v/>
      </c>
      <c r="BG981" s="14">
        <f>F981*BF981*IF(B981&gt;=in_marketplace_from,d_hz_nps*G981,0)*in_nps_ticket*in_nps_comm</f>
        <v/>
      </c>
      <c r="BH981" s="40">
        <f>BH980*(1-IF(B980&gt;=in_marketplace_from,d_hz_gold*G980,0))</f>
        <v/>
      </c>
      <c r="BI981" s="40">
        <f>BI980*d_rho_gold+BH981*IF(B981&gt;=in_marketplace_from,d_hz_gold*G981,0)</f>
        <v/>
      </c>
      <c r="BJ981" s="14">
        <f>F981*BI981*in_gold_ticket*in_gold_comm</f>
        <v/>
      </c>
      <c r="BK981" s="40">
        <f>BK980*(1-IF(B980&gt;=in_marketplace_from,d_hz_fd*G980,0))</f>
        <v/>
      </c>
      <c r="BL981" s="14">
        <f>F981*BK981*IF(B981&gt;=in_marketplace_from,d_hz_fd*G981,0)*in_fd_ticket*in_fd_comm</f>
        <v/>
      </c>
      <c r="BM981" s="40">
        <f>BM980*(1-IF(B980&gt;=in_marketplace_from,d_hz_recharge*G980,0))</f>
        <v/>
      </c>
      <c r="BN981" s="40">
        <f>BN980*d_rho_recharge+BM981*IF(B981&gt;=in_marketplace_from,d_hz_recharge*G981,0)</f>
        <v/>
      </c>
      <c r="BO981" s="14">
        <f>F981*BN981*in_recharge_ticket*in_recharge_comm/12</f>
        <v/>
      </c>
      <c r="BP981" s="40">
        <f>BP980*(1-IF(B980&gt;=in_marketplace_from,d_hz_bills*G980,0))</f>
        <v/>
      </c>
      <c r="BQ981" s="40">
        <f>BQ980*d_rho_bills+BP981*IF(B981&gt;=in_marketplace_from,d_hz_bills*G981,0)</f>
        <v/>
      </c>
      <c r="BR981" s="14">
        <f>F981*BQ981*in_bills_ticket*in_bills_comm/12</f>
        <v/>
      </c>
      <c r="BS981" s="40">
        <f>BS980*(1-IF(B980&gt;=in_marketplace_from,d_hz_loan_gold*G980,0))</f>
        <v/>
      </c>
      <c r="BT981" s="14">
        <f>F981*BS981*IF(B981&gt;=in_marketplace_from,d_hz_loan_gold*G981,0)*in_loan_gold_ticket*in_loan_gold_comm</f>
        <v/>
      </c>
      <c r="BU981" s="40">
        <f>BU980*(1-IF(B980&gt;=in_marketplace_from,d_hz_loan_cd*G980,0))</f>
        <v/>
      </c>
      <c r="BV981" s="14">
        <f>F981*BU981*IF(B981&gt;=in_marketplace_from,d_hz_loan_cd*G981,0)*in_loan_cd_ticket*in_loan_cd_comm</f>
        <v/>
      </c>
      <c r="BW981" s="40">
        <f>BW980*(1-IF(B980&gt;=in_marketplace_from,d_hz_loan_vehicle*G980,0))</f>
        <v/>
      </c>
      <c r="BX981" s="14">
        <f>F981*BW981*IF(B981&gt;=in_marketplace_from,d_hz_loan_vehicle*G981,0)*in_loan_vehicle_ticket*in_loan_vehicle_comm</f>
        <v/>
      </c>
      <c r="BY981" s="40">
        <f>BY980*(1-IF(B980&gt;=in_marketplace_from,d_hz_loan_home*G980,0)*BZ980)</f>
        <v/>
      </c>
      <c r="BZ981" s="11">
        <f>MIN(in_approval_cap,in_loan_home_approval*INDEX('Age profile'!$O$2:$O$61,B981)*(1+in_approval_growth)^(D981-1))</f>
        <v/>
      </c>
      <c r="CA981" s="14">
        <f>F981*BY981*IF(B981&gt;=in_marketplace_from,d_hz_loan_home*G981,0)*BZ981*in_loan_home_ticket*in_loan_home_comm</f>
        <v/>
      </c>
      <c r="CB981" s="40">
        <f>CB980*(1-IF(B980&gt;=in_marketplace_from,d_hz_loan_lap*G980,0)*CC980)</f>
        <v/>
      </c>
      <c r="CC981" s="11">
        <f>MIN(in_approval_cap,in_loan_lap_approval*INDEX('Age profile'!$O$2:$O$61,B981)*(1+in_approval_growth)^(D981-1))</f>
        <v/>
      </c>
      <c r="CD981" s="14">
        <f>F981*CB981*IF(B981&gt;=in_marketplace_from,d_hz_loan_lap*G981,0)*CC981*in_loan_lap_ticket*in_loan_lap_comm</f>
        <v/>
      </c>
      <c r="CE981" s="14">
        <f>AA981+AB981+AC981+AD981+AG981+AJ981+AM981+AP981+AS981+AU981+AX981+BB981+BE981+BG981+BJ981+BL981+BO981+BR981+BT981+BV981+BX981+CA981+CD981</f>
        <v/>
      </c>
    </row>
    <row r="982">
      <c r="A982" s="39" t="n">
        <v>20</v>
      </c>
      <c r="B982" s="39" t="n">
        <v>12</v>
      </c>
      <c r="C982" s="39">
        <f>A982+B982-1</f>
        <v/>
      </c>
      <c r="D982" s="39">
        <f>INT((C982-1)/12)+1</f>
        <v/>
      </c>
      <c r="E982" s="44">
        <f>INDEX(Monthly!$B$2:$B$61,A982)</f>
        <v/>
      </c>
      <c r="F982" s="44">
        <f>E982*INDEX('Age profile'!$B$2:$B$61,B982)</f>
        <v/>
      </c>
      <c r="G982" s="45">
        <f>MIN(in_takeup_cap,INDEX('Age profile'!$N$2:$N$61,B982)*(1+in_takeup_growth)^(D982-1))</f>
        <v/>
      </c>
      <c r="H982" s="11">
        <f>MIN(in_approval_cap,in_approved_first*INDEX('Age profile'!$O$2:$O$61,B982)*(1+in_approval_growth)^(D982-1))</f>
        <v/>
      </c>
      <c r="I982" s="45">
        <f>G982*MIN(in_takeup_cap,INDEX('Age profile'!$O$2:$O$61,B982)*(1+in_approval_growth)^(D982-1))</f>
        <v/>
      </c>
      <c r="J982" s="40">
        <f>(J981-L981)*F982/F981</f>
        <v/>
      </c>
      <c r="K982" s="40">
        <f>(K981-M981)*F982/F981+SUMIFS(O971:O981,B971:B981,B982-1-d_T)*F982</f>
        <v/>
      </c>
      <c r="L982" s="40">
        <f>IF(B982&gt;=in_marketplace_from,J982*d_hz*G982*in_eligible*H982,0)</f>
        <v/>
      </c>
      <c r="M982" s="40">
        <f>IF(B982&gt;=in_marketplace_from,K982*d_hz*G982*in_eligible*in_approved_repeat,0)</f>
        <v/>
      </c>
      <c r="N982" s="40">
        <f>L982+M982</f>
        <v/>
      </c>
      <c r="O982" s="46">
        <f>N982/F982</f>
        <v/>
      </c>
      <c r="P982" s="40">
        <f>F982-J982-K982</f>
        <v/>
      </c>
      <c r="Q982" s="40">
        <f>IF(B982&gt;=in_marketplace_from,(J982+K982)*d_hz*G982,0)</f>
        <v/>
      </c>
      <c r="R982" s="40">
        <f>SUMIFS(N971:N1011,B971:B1011,"&gt;="&amp;(B982-d_T),B971:B1011,"&lt;="&amp;(B982-1))</f>
        <v/>
      </c>
      <c r="S982" s="46">
        <f>(1-d_u)*S981+IF(d_T&gt;in_topup_lag,SUMIFS(O971:O1011,B971:B1011,B982-in_topup_lag)-d_udrop*SUMIFS(O971:O1011,B971:B1011,B982-d_T),0)</f>
        <v/>
      </c>
      <c r="T982" s="40">
        <f>F982*d_u*S982</f>
        <v/>
      </c>
      <c r="U982" s="9">
        <f>L982*in_ticket+M982*d_rep_ticket</f>
        <v/>
      </c>
      <c r="V982" s="9">
        <f>U982+T982*d_topup_amt</f>
        <v/>
      </c>
      <c r="W982" s="40">
        <f>N982+T982*d_topup_ratio</f>
        <v/>
      </c>
      <c r="X982" s="40">
        <f>SUMIFS(W971:W1011,B971:B1011,B982-in_dpd_lag)*d_cured</f>
        <v/>
      </c>
      <c r="Y982" s="40">
        <f>SUMIFS(W971:W1011,B971:B1011,B982-in_rec_lag)*d_recd</f>
        <v/>
      </c>
      <c r="Z982" s="40">
        <f>IF(AND(B982&gt;=in_marketplace_from,B982&lt;in_marketplace_from+in_card_months),in_card_share/in_card_months*F982*I982,IF(AND(B982&gt;=in_marketplace_from+in_card_months,B982&lt;in_marketplace_from+2*in_card_months),in_card_share*d_card_rem/in_card_months*F982*MIN(in_takeup_cap,(1+in_takeup_growth)^(D982-1))*MIN(in_takeup_cap,(1+in_approval_growth)^(D982-1)),0))</f>
        <v/>
      </c>
      <c r="AA982" s="14">
        <f>V982*in_fee*(1-in_taken_back)</f>
        <v/>
      </c>
      <c r="AB982" s="14">
        <f>SUMIFS(W971:W1011,B971:B1011,B982-in_dpd_lag)*d_dpd</f>
        <v/>
      </c>
      <c r="AC982" s="14">
        <f>SUMIFS(W971:W1011,B971:B1011,B982-in_rec_lag)*d_rec</f>
        <v/>
      </c>
      <c r="AD982" s="14">
        <f>Z982*in_card_fee</f>
        <v/>
      </c>
      <c r="AE982" s="40">
        <f>AE981*(1-IF(B981&gt;=in_marketplace_from,d_hz_hlth_small*G981,0))</f>
        <v/>
      </c>
      <c r="AF982" s="46">
        <f>AE982*IF(B982&gt;=in_marketplace_from,d_hz_hlth_small*G982,0)</f>
        <v/>
      </c>
      <c r="AG982" s="14">
        <f>F982*AF982*in_hlth_small_ticket*in_hlth_small_comm*in_ins_partner_share+F982*in_hlth_small_ticket*in_hlth_small_renew_comm*in_ins_partner_share*(in_hlth_small_renew^1*SUMIFS(AF971:AF1011,B971:B1011,B982-12)+in_hlth_small_renew^2*SUMIFS(AF971:AF1011,B971:B1011,B982-24)+in_hlth_small_renew^3*SUMIFS(AF971:AF1011,B971:B1011,B982-36)+in_hlth_small_renew^4*SUMIFS(AF971:AF1011,B971:B1011,B982-48))</f>
        <v/>
      </c>
      <c r="AH982" s="40">
        <f>AH981*(1-IF(B981&gt;=in_marketplace_from,d_hz_hlth_family*G981,0))</f>
        <v/>
      </c>
      <c r="AI982" s="46">
        <f>AH982*IF(B982&gt;=in_marketplace_from,d_hz_hlth_family*G982,0)</f>
        <v/>
      </c>
      <c r="AJ982" s="14">
        <f>F982*AI982*in_hlth_family_ticket*in_hlth_family_comm*in_ins_partner_share+F982*in_hlth_family_ticket*in_hlth_family_renew_comm*in_ins_partner_share*(in_hlth_family_renew^1*SUMIFS(AI971:AI1011,B971:B1011,B982-12)+in_hlth_family_renew^2*SUMIFS(AI971:AI1011,B971:B1011,B982-24)+in_hlth_family_renew^3*SUMIFS(AI971:AI1011,B971:B1011,B982-36)+in_hlth_family_renew^4*SUMIFS(AI971:AI1011,B971:B1011,B982-48))</f>
        <v/>
      </c>
      <c r="AK982" s="40">
        <f>AK981*(1-IF(B981&gt;=in_marketplace_from,d_hz_life_term*G981,0))</f>
        <v/>
      </c>
      <c r="AL982" s="46">
        <f>AK982*IF(B982&gt;=in_marketplace_from,d_hz_life_term*G982,0)</f>
        <v/>
      </c>
      <c r="AM982" s="14">
        <f>F982*AL982*in_life_term_ticket*in_life_term_comm*in_ins_partner_share+F982*in_life_term_ticket*in_life_term_renew_comm*in_ins_partner_share*(in_life_term_renew^1*SUMIFS(AL971:AL1011,B971:B1011,B982-12)+in_life_term_renew^2*SUMIFS(AL971:AL1011,B971:B1011,B982-24)+in_life_term_renew^3*SUMIFS(AL971:AL1011,B971:B1011,B982-36)+in_life_term_renew^4*SUMIFS(AL971:AL1011,B971:B1011,B982-48))</f>
        <v/>
      </c>
      <c r="AN982" s="40">
        <f>AN981*(1-IF(B981&gt;=in_marketplace_from,d_hz_accident*G981,0))</f>
        <v/>
      </c>
      <c r="AO982" s="46">
        <f>AN982*IF(B982&gt;=in_marketplace_from,d_hz_accident*G982,0)</f>
        <v/>
      </c>
      <c r="AP982" s="14">
        <f>F982*AO982*in_accident_ticket*in_accident_comm*in_ins_partner_share+F982*in_accident_ticket*in_accident_renew_comm*in_ins_partner_share*(in_accident_renew^1*SUMIFS(AO971:AO1011,B971:B1011,B982-12)+in_accident_renew^2*SUMIFS(AO971:AO1011,B971:B1011,B982-24)+in_accident_renew^3*SUMIFS(AO971:AO1011,B971:B1011,B982-36)+in_accident_renew^4*SUMIFS(AO971:AO1011,B971:B1011,B982-48))</f>
        <v/>
      </c>
      <c r="AQ982" s="40">
        <f>AQ981*(1-IF(B981&gt;=in_marketplace_from,d_hz_two_wheeler*G981,0))</f>
        <v/>
      </c>
      <c r="AR982" s="46">
        <f>AQ982*IF(B982&gt;=in_marketplace_from,d_hz_two_wheeler*G982,0)</f>
        <v/>
      </c>
      <c r="AS982" s="14">
        <f>F982*AR982*in_two_wheeler_ticket*in_two_wheeler_comm*in_ins_partner_share+F982*in_two_wheeler_ticket*in_two_wheeler_comm*in_ins_partner_share*(in_two_wheeler_renew^1*SUMIFS(AR971:AR1011,B971:B1011,B982-12)+in_two_wheeler_renew^2*SUMIFS(AR971:AR1011,B971:B1011,B982-24)+in_two_wheeler_renew^3*SUMIFS(AR971:AR1011,B971:B1011,B982-36)+in_two_wheeler_renew^4*SUMIFS(AR971:AR1011,B971:B1011,B982-48))</f>
        <v/>
      </c>
      <c r="AT982" s="40">
        <f>AT981*(1-IF(B981&gt;=in_marketplace_from,d_hz_device*G981,0))</f>
        <v/>
      </c>
      <c r="AU982" s="14">
        <f>F982*AT982*IF(B982&gt;=in_marketplace_from,d_hz_device*G982,0)*in_device_ticket*in_device_comm*in_ins_partner_share</f>
        <v/>
      </c>
      <c r="AV982" s="40">
        <f>AV981*(1-IF(B981&gt;=in_marketplace_from,d_hz_shop*G981,0))</f>
        <v/>
      </c>
      <c r="AW982" s="46">
        <f>AV982*IF(B982&gt;=in_marketplace_from,d_hz_shop*G982,0)</f>
        <v/>
      </c>
      <c r="AX982" s="14">
        <f>F982*AW982*in_shop_ticket*in_shop_comm*in_ins_partner_share+F982*in_shop_ticket*in_shop_renew_comm*in_ins_partner_share*(in_shop_renew^1*SUMIFS(AW971:AW1011,B971:B1011,B982-12)+in_shop_renew^2*SUMIFS(AW971:AW1011,B971:B1011,B982-24)+in_shop_renew^3*SUMIFS(AW971:AW1011,B971:B1011,B982-36)+in_shop_renew^4*SUMIFS(AW971:AW1011,B971:B1011,B982-48))</f>
        <v/>
      </c>
      <c r="AY982" s="40">
        <f>AY981*(1-IF(B981&gt;=in_marketplace_from,d_hz_sip*G981,0))</f>
        <v/>
      </c>
      <c r="AZ982" s="40">
        <f>AZ981*d_rho_sip+AY982*IF(B982&gt;=in_marketplace_from,d_hz_sip*G982,0)</f>
        <v/>
      </c>
      <c r="BA982" s="40">
        <f>d_rho_sip*(BA981+AZ981)</f>
        <v/>
      </c>
      <c r="BB982" s="14">
        <f>F982*in_sip_ticket*(BA982+0.5*AZ982)*in_sip_comm/12</f>
        <v/>
      </c>
      <c r="BC982" s="40">
        <f>BC981*(1-IF(B981&gt;=in_marketplace_from,d_hz_choti*G981,0))</f>
        <v/>
      </c>
      <c r="BD982" s="46">
        <f>BC982*IF(B982&gt;=in_marketplace_from,d_hz_choti*G982,0)</f>
        <v/>
      </c>
      <c r="BE982" s="14">
        <f>F982*SUMIFS(BD971:BD1011,B971:B1011,B982-in_choti_months)*in_choti_renew*in_choti_ticket</f>
        <v/>
      </c>
      <c r="BF982" s="40">
        <f>BF981*(1-IF(B981&gt;=in_marketplace_from,d_hz_nps*G981,0))</f>
        <v/>
      </c>
      <c r="BG982" s="14">
        <f>F982*BF982*IF(B982&gt;=in_marketplace_from,d_hz_nps*G982,0)*in_nps_ticket*in_nps_comm</f>
        <v/>
      </c>
      <c r="BH982" s="40">
        <f>BH981*(1-IF(B981&gt;=in_marketplace_from,d_hz_gold*G981,0))</f>
        <v/>
      </c>
      <c r="BI982" s="40">
        <f>BI981*d_rho_gold+BH982*IF(B982&gt;=in_marketplace_from,d_hz_gold*G982,0)</f>
        <v/>
      </c>
      <c r="BJ982" s="14">
        <f>F982*BI982*in_gold_ticket*in_gold_comm</f>
        <v/>
      </c>
      <c r="BK982" s="40">
        <f>BK981*(1-IF(B981&gt;=in_marketplace_from,d_hz_fd*G981,0))</f>
        <v/>
      </c>
      <c r="BL982" s="14">
        <f>F982*BK982*IF(B982&gt;=in_marketplace_from,d_hz_fd*G982,0)*in_fd_ticket*in_fd_comm</f>
        <v/>
      </c>
      <c r="BM982" s="40">
        <f>BM981*(1-IF(B981&gt;=in_marketplace_from,d_hz_recharge*G981,0))</f>
        <v/>
      </c>
      <c r="BN982" s="40">
        <f>BN981*d_rho_recharge+BM982*IF(B982&gt;=in_marketplace_from,d_hz_recharge*G982,0)</f>
        <v/>
      </c>
      <c r="BO982" s="14">
        <f>F982*BN982*in_recharge_ticket*in_recharge_comm/12</f>
        <v/>
      </c>
      <c r="BP982" s="40">
        <f>BP981*(1-IF(B981&gt;=in_marketplace_from,d_hz_bills*G981,0))</f>
        <v/>
      </c>
      <c r="BQ982" s="40">
        <f>BQ981*d_rho_bills+BP982*IF(B982&gt;=in_marketplace_from,d_hz_bills*G982,0)</f>
        <v/>
      </c>
      <c r="BR982" s="14">
        <f>F982*BQ982*in_bills_ticket*in_bills_comm/12</f>
        <v/>
      </c>
      <c r="BS982" s="40">
        <f>BS981*(1-IF(B981&gt;=in_marketplace_from,d_hz_loan_gold*G981,0))</f>
        <v/>
      </c>
      <c r="BT982" s="14">
        <f>F982*BS982*IF(B982&gt;=in_marketplace_from,d_hz_loan_gold*G982,0)*in_loan_gold_ticket*in_loan_gold_comm</f>
        <v/>
      </c>
      <c r="BU982" s="40">
        <f>BU981*(1-IF(B981&gt;=in_marketplace_from,d_hz_loan_cd*G981,0))</f>
        <v/>
      </c>
      <c r="BV982" s="14">
        <f>F982*BU982*IF(B982&gt;=in_marketplace_from,d_hz_loan_cd*G982,0)*in_loan_cd_ticket*in_loan_cd_comm</f>
        <v/>
      </c>
      <c r="BW982" s="40">
        <f>BW981*(1-IF(B981&gt;=in_marketplace_from,d_hz_loan_vehicle*G981,0))</f>
        <v/>
      </c>
      <c r="BX982" s="14">
        <f>F982*BW982*IF(B982&gt;=in_marketplace_from,d_hz_loan_vehicle*G982,0)*in_loan_vehicle_ticket*in_loan_vehicle_comm</f>
        <v/>
      </c>
      <c r="BY982" s="40">
        <f>BY981*(1-IF(B981&gt;=in_marketplace_from,d_hz_loan_home*G981,0)*BZ981)</f>
        <v/>
      </c>
      <c r="BZ982" s="11">
        <f>MIN(in_approval_cap,in_loan_home_approval*INDEX('Age profile'!$O$2:$O$61,B982)*(1+in_approval_growth)^(D982-1))</f>
        <v/>
      </c>
      <c r="CA982" s="14">
        <f>F982*BY982*IF(B982&gt;=in_marketplace_from,d_hz_loan_home*G982,0)*BZ982*in_loan_home_ticket*in_loan_home_comm</f>
        <v/>
      </c>
      <c r="CB982" s="40">
        <f>CB981*(1-IF(B981&gt;=in_marketplace_from,d_hz_loan_lap*G981,0)*CC981)</f>
        <v/>
      </c>
      <c r="CC982" s="11">
        <f>MIN(in_approval_cap,in_loan_lap_approval*INDEX('Age profile'!$O$2:$O$61,B982)*(1+in_approval_growth)^(D982-1))</f>
        <v/>
      </c>
      <c r="CD982" s="14">
        <f>F982*CB982*IF(B982&gt;=in_marketplace_from,d_hz_loan_lap*G982,0)*CC982*in_loan_lap_ticket*in_loan_lap_comm</f>
        <v/>
      </c>
      <c r="CE982" s="14">
        <f>AA982+AB982+AC982+AD982+AG982+AJ982+AM982+AP982+AS982+AU982+AX982+BB982+BE982+BG982+BJ982+BL982+BO982+BR982+BT982+BV982+BX982+CA982+CD982</f>
        <v/>
      </c>
    </row>
    <row r="983">
      <c r="A983" s="39" t="n">
        <v>20</v>
      </c>
      <c r="B983" s="39" t="n">
        <v>13</v>
      </c>
      <c r="C983" s="39">
        <f>A983+B983-1</f>
        <v/>
      </c>
      <c r="D983" s="39">
        <f>INT((C983-1)/12)+1</f>
        <v/>
      </c>
      <c r="E983" s="44">
        <f>INDEX(Monthly!$B$2:$B$61,A983)</f>
        <v/>
      </c>
      <c r="F983" s="44">
        <f>E983*INDEX('Age profile'!$B$2:$B$61,B983)</f>
        <v/>
      </c>
      <c r="G983" s="45">
        <f>MIN(in_takeup_cap,INDEX('Age profile'!$N$2:$N$61,B983)*(1+in_takeup_growth)^(D983-1))</f>
        <v/>
      </c>
      <c r="H983" s="11">
        <f>MIN(in_approval_cap,in_approved_first*INDEX('Age profile'!$O$2:$O$61,B983)*(1+in_approval_growth)^(D983-1))</f>
        <v/>
      </c>
      <c r="I983" s="45">
        <f>G983*MIN(in_takeup_cap,INDEX('Age profile'!$O$2:$O$61,B983)*(1+in_approval_growth)^(D983-1))</f>
        <v/>
      </c>
      <c r="J983" s="40">
        <f>(J982-L982)*F983/F982</f>
        <v/>
      </c>
      <c r="K983" s="40">
        <f>(K982-M982)*F983/F982+SUMIFS(O971:O982,B971:B982,B983-1-d_T)*F983</f>
        <v/>
      </c>
      <c r="L983" s="40">
        <f>IF(B983&gt;=in_marketplace_from,J983*d_hz*G983*in_eligible*H983,0)</f>
        <v/>
      </c>
      <c r="M983" s="40">
        <f>IF(B983&gt;=in_marketplace_from,K983*d_hz*G983*in_eligible*in_approved_repeat,0)</f>
        <v/>
      </c>
      <c r="N983" s="40">
        <f>L983+M983</f>
        <v/>
      </c>
      <c r="O983" s="46">
        <f>N983/F983</f>
        <v/>
      </c>
      <c r="P983" s="40">
        <f>F983-J983-K983</f>
        <v/>
      </c>
      <c r="Q983" s="40">
        <f>IF(B983&gt;=in_marketplace_from,(J983+K983)*d_hz*G983,0)</f>
        <v/>
      </c>
      <c r="R983" s="40">
        <f>SUMIFS(N971:N1011,B971:B1011,"&gt;="&amp;(B983-d_T),B971:B1011,"&lt;="&amp;(B983-1))</f>
        <v/>
      </c>
      <c r="S983" s="46">
        <f>(1-d_u)*S982+IF(d_T&gt;in_topup_lag,SUMIFS(O971:O1011,B971:B1011,B983-in_topup_lag)-d_udrop*SUMIFS(O971:O1011,B971:B1011,B983-d_T),0)</f>
        <v/>
      </c>
      <c r="T983" s="40">
        <f>F983*d_u*S983</f>
        <v/>
      </c>
      <c r="U983" s="9">
        <f>L983*in_ticket+M983*d_rep_ticket</f>
        <v/>
      </c>
      <c r="V983" s="9">
        <f>U983+T983*d_topup_amt</f>
        <v/>
      </c>
      <c r="W983" s="40">
        <f>N983+T983*d_topup_ratio</f>
        <v/>
      </c>
      <c r="X983" s="40">
        <f>SUMIFS(W971:W1011,B971:B1011,B983-in_dpd_lag)*d_cured</f>
        <v/>
      </c>
      <c r="Y983" s="40">
        <f>SUMIFS(W971:W1011,B971:B1011,B983-in_rec_lag)*d_recd</f>
        <v/>
      </c>
      <c r="Z983" s="40">
        <f>IF(AND(B983&gt;=in_marketplace_from,B983&lt;in_marketplace_from+in_card_months),in_card_share/in_card_months*F983*I983,IF(AND(B983&gt;=in_marketplace_from+in_card_months,B983&lt;in_marketplace_from+2*in_card_months),in_card_share*d_card_rem/in_card_months*F983*MIN(in_takeup_cap,(1+in_takeup_growth)^(D983-1))*MIN(in_takeup_cap,(1+in_approval_growth)^(D983-1)),0))</f>
        <v/>
      </c>
      <c r="AA983" s="14">
        <f>V983*in_fee*(1-in_taken_back)</f>
        <v/>
      </c>
      <c r="AB983" s="14">
        <f>SUMIFS(W971:W1011,B971:B1011,B983-in_dpd_lag)*d_dpd</f>
        <v/>
      </c>
      <c r="AC983" s="14">
        <f>SUMIFS(W971:W1011,B971:B1011,B983-in_rec_lag)*d_rec</f>
        <v/>
      </c>
      <c r="AD983" s="14">
        <f>Z983*in_card_fee</f>
        <v/>
      </c>
      <c r="AE983" s="40">
        <f>AE982*(1-IF(B982&gt;=in_marketplace_from,d_hz_hlth_small*G982,0))</f>
        <v/>
      </c>
      <c r="AF983" s="46">
        <f>AE983*IF(B983&gt;=in_marketplace_from,d_hz_hlth_small*G983,0)</f>
        <v/>
      </c>
      <c r="AG983" s="14">
        <f>F983*AF983*in_hlth_small_ticket*in_hlth_small_comm*in_ins_partner_share+F983*in_hlth_small_ticket*in_hlth_small_renew_comm*in_ins_partner_share*(in_hlth_small_renew^1*SUMIFS(AF971:AF1011,B971:B1011,B983-12)+in_hlth_small_renew^2*SUMIFS(AF971:AF1011,B971:B1011,B983-24)+in_hlth_small_renew^3*SUMIFS(AF971:AF1011,B971:B1011,B983-36)+in_hlth_small_renew^4*SUMIFS(AF971:AF1011,B971:B1011,B983-48))</f>
        <v/>
      </c>
      <c r="AH983" s="40">
        <f>AH982*(1-IF(B982&gt;=in_marketplace_from,d_hz_hlth_family*G982,0))</f>
        <v/>
      </c>
      <c r="AI983" s="46">
        <f>AH983*IF(B983&gt;=in_marketplace_from,d_hz_hlth_family*G983,0)</f>
        <v/>
      </c>
      <c r="AJ983" s="14">
        <f>F983*AI983*in_hlth_family_ticket*in_hlth_family_comm*in_ins_partner_share+F983*in_hlth_family_ticket*in_hlth_family_renew_comm*in_ins_partner_share*(in_hlth_family_renew^1*SUMIFS(AI971:AI1011,B971:B1011,B983-12)+in_hlth_family_renew^2*SUMIFS(AI971:AI1011,B971:B1011,B983-24)+in_hlth_family_renew^3*SUMIFS(AI971:AI1011,B971:B1011,B983-36)+in_hlth_family_renew^4*SUMIFS(AI971:AI1011,B971:B1011,B983-48))</f>
        <v/>
      </c>
      <c r="AK983" s="40">
        <f>AK982*(1-IF(B982&gt;=in_marketplace_from,d_hz_life_term*G982,0))</f>
        <v/>
      </c>
      <c r="AL983" s="46">
        <f>AK983*IF(B983&gt;=in_marketplace_from,d_hz_life_term*G983,0)</f>
        <v/>
      </c>
      <c r="AM983" s="14">
        <f>F983*AL983*in_life_term_ticket*in_life_term_comm*in_ins_partner_share+F983*in_life_term_ticket*in_life_term_renew_comm*in_ins_partner_share*(in_life_term_renew^1*SUMIFS(AL971:AL1011,B971:B1011,B983-12)+in_life_term_renew^2*SUMIFS(AL971:AL1011,B971:B1011,B983-24)+in_life_term_renew^3*SUMIFS(AL971:AL1011,B971:B1011,B983-36)+in_life_term_renew^4*SUMIFS(AL971:AL1011,B971:B1011,B983-48))</f>
        <v/>
      </c>
      <c r="AN983" s="40">
        <f>AN982*(1-IF(B982&gt;=in_marketplace_from,d_hz_accident*G982,0))</f>
        <v/>
      </c>
      <c r="AO983" s="46">
        <f>AN983*IF(B983&gt;=in_marketplace_from,d_hz_accident*G983,0)</f>
        <v/>
      </c>
      <c r="AP983" s="14">
        <f>F983*AO983*in_accident_ticket*in_accident_comm*in_ins_partner_share+F983*in_accident_ticket*in_accident_renew_comm*in_ins_partner_share*(in_accident_renew^1*SUMIFS(AO971:AO1011,B971:B1011,B983-12)+in_accident_renew^2*SUMIFS(AO971:AO1011,B971:B1011,B983-24)+in_accident_renew^3*SUMIFS(AO971:AO1011,B971:B1011,B983-36)+in_accident_renew^4*SUMIFS(AO971:AO1011,B971:B1011,B983-48))</f>
        <v/>
      </c>
      <c r="AQ983" s="40">
        <f>AQ982*(1-IF(B982&gt;=in_marketplace_from,d_hz_two_wheeler*G982,0))</f>
        <v/>
      </c>
      <c r="AR983" s="46">
        <f>AQ983*IF(B983&gt;=in_marketplace_from,d_hz_two_wheeler*G983,0)</f>
        <v/>
      </c>
      <c r="AS983" s="14">
        <f>F983*AR983*in_two_wheeler_ticket*in_two_wheeler_comm*in_ins_partner_share+F983*in_two_wheeler_ticket*in_two_wheeler_comm*in_ins_partner_share*(in_two_wheeler_renew^1*SUMIFS(AR971:AR1011,B971:B1011,B983-12)+in_two_wheeler_renew^2*SUMIFS(AR971:AR1011,B971:B1011,B983-24)+in_two_wheeler_renew^3*SUMIFS(AR971:AR1011,B971:B1011,B983-36)+in_two_wheeler_renew^4*SUMIFS(AR971:AR1011,B971:B1011,B983-48))</f>
        <v/>
      </c>
      <c r="AT983" s="40">
        <f>AT982*(1-IF(B982&gt;=in_marketplace_from,d_hz_device*G982,0))</f>
        <v/>
      </c>
      <c r="AU983" s="14">
        <f>F983*AT983*IF(B983&gt;=in_marketplace_from,d_hz_device*G983,0)*in_device_ticket*in_device_comm*in_ins_partner_share</f>
        <v/>
      </c>
      <c r="AV983" s="40">
        <f>AV982*(1-IF(B982&gt;=in_marketplace_from,d_hz_shop*G982,0))</f>
        <v/>
      </c>
      <c r="AW983" s="46">
        <f>AV983*IF(B983&gt;=in_marketplace_from,d_hz_shop*G983,0)</f>
        <v/>
      </c>
      <c r="AX983" s="14">
        <f>F983*AW983*in_shop_ticket*in_shop_comm*in_ins_partner_share+F983*in_shop_ticket*in_shop_renew_comm*in_ins_partner_share*(in_shop_renew^1*SUMIFS(AW971:AW1011,B971:B1011,B983-12)+in_shop_renew^2*SUMIFS(AW971:AW1011,B971:B1011,B983-24)+in_shop_renew^3*SUMIFS(AW971:AW1011,B971:B1011,B983-36)+in_shop_renew^4*SUMIFS(AW971:AW1011,B971:B1011,B983-48))</f>
        <v/>
      </c>
      <c r="AY983" s="40">
        <f>AY982*(1-IF(B982&gt;=in_marketplace_from,d_hz_sip*G982,0))</f>
        <v/>
      </c>
      <c r="AZ983" s="40">
        <f>AZ982*d_rho_sip+AY983*IF(B983&gt;=in_marketplace_from,d_hz_sip*G983,0)</f>
        <v/>
      </c>
      <c r="BA983" s="40">
        <f>d_rho_sip*(BA982+AZ982)</f>
        <v/>
      </c>
      <c r="BB983" s="14">
        <f>F983*in_sip_ticket*(BA983+0.5*AZ983)*in_sip_comm/12</f>
        <v/>
      </c>
      <c r="BC983" s="40">
        <f>BC982*(1-IF(B982&gt;=in_marketplace_from,d_hz_choti*G982,0))</f>
        <v/>
      </c>
      <c r="BD983" s="46">
        <f>BC983*IF(B983&gt;=in_marketplace_from,d_hz_choti*G983,0)</f>
        <v/>
      </c>
      <c r="BE983" s="14">
        <f>F983*SUMIFS(BD971:BD1011,B971:B1011,B983-in_choti_months)*in_choti_renew*in_choti_ticket</f>
        <v/>
      </c>
      <c r="BF983" s="40">
        <f>BF982*(1-IF(B982&gt;=in_marketplace_from,d_hz_nps*G982,0))</f>
        <v/>
      </c>
      <c r="BG983" s="14">
        <f>F983*BF983*IF(B983&gt;=in_marketplace_from,d_hz_nps*G983,0)*in_nps_ticket*in_nps_comm</f>
        <v/>
      </c>
      <c r="BH983" s="40">
        <f>BH982*(1-IF(B982&gt;=in_marketplace_from,d_hz_gold*G982,0))</f>
        <v/>
      </c>
      <c r="BI983" s="40">
        <f>BI982*d_rho_gold+BH983*IF(B983&gt;=in_marketplace_from,d_hz_gold*G983,0)</f>
        <v/>
      </c>
      <c r="BJ983" s="14">
        <f>F983*BI983*in_gold_ticket*in_gold_comm</f>
        <v/>
      </c>
      <c r="BK983" s="40">
        <f>BK982*(1-IF(B982&gt;=in_marketplace_from,d_hz_fd*G982,0))</f>
        <v/>
      </c>
      <c r="BL983" s="14">
        <f>F983*BK983*IF(B983&gt;=in_marketplace_from,d_hz_fd*G983,0)*in_fd_ticket*in_fd_comm</f>
        <v/>
      </c>
      <c r="BM983" s="40">
        <f>BM982*(1-IF(B982&gt;=in_marketplace_from,d_hz_recharge*G982,0))</f>
        <v/>
      </c>
      <c r="BN983" s="40">
        <f>BN982*d_rho_recharge+BM983*IF(B983&gt;=in_marketplace_from,d_hz_recharge*G983,0)</f>
        <v/>
      </c>
      <c r="BO983" s="14">
        <f>F983*BN983*in_recharge_ticket*in_recharge_comm/12</f>
        <v/>
      </c>
      <c r="BP983" s="40">
        <f>BP982*(1-IF(B982&gt;=in_marketplace_from,d_hz_bills*G982,0))</f>
        <v/>
      </c>
      <c r="BQ983" s="40">
        <f>BQ982*d_rho_bills+BP983*IF(B983&gt;=in_marketplace_from,d_hz_bills*G983,0)</f>
        <v/>
      </c>
      <c r="BR983" s="14">
        <f>F983*BQ983*in_bills_ticket*in_bills_comm/12</f>
        <v/>
      </c>
      <c r="BS983" s="40">
        <f>BS982*(1-IF(B982&gt;=in_marketplace_from,d_hz_loan_gold*G982,0))</f>
        <v/>
      </c>
      <c r="BT983" s="14">
        <f>F983*BS983*IF(B983&gt;=in_marketplace_from,d_hz_loan_gold*G983,0)*in_loan_gold_ticket*in_loan_gold_comm</f>
        <v/>
      </c>
      <c r="BU983" s="40">
        <f>BU982*(1-IF(B982&gt;=in_marketplace_from,d_hz_loan_cd*G982,0))</f>
        <v/>
      </c>
      <c r="BV983" s="14">
        <f>F983*BU983*IF(B983&gt;=in_marketplace_from,d_hz_loan_cd*G983,0)*in_loan_cd_ticket*in_loan_cd_comm</f>
        <v/>
      </c>
      <c r="BW983" s="40">
        <f>BW982*(1-IF(B982&gt;=in_marketplace_from,d_hz_loan_vehicle*G982,0))</f>
        <v/>
      </c>
      <c r="BX983" s="14">
        <f>F983*BW983*IF(B983&gt;=in_marketplace_from,d_hz_loan_vehicle*G983,0)*in_loan_vehicle_ticket*in_loan_vehicle_comm</f>
        <v/>
      </c>
      <c r="BY983" s="40">
        <f>BY982*(1-IF(B982&gt;=in_marketplace_from,d_hz_loan_home*G982,0)*BZ982)</f>
        <v/>
      </c>
      <c r="BZ983" s="11">
        <f>MIN(in_approval_cap,in_loan_home_approval*INDEX('Age profile'!$O$2:$O$61,B983)*(1+in_approval_growth)^(D983-1))</f>
        <v/>
      </c>
      <c r="CA983" s="14">
        <f>F983*BY983*IF(B983&gt;=in_marketplace_from,d_hz_loan_home*G983,0)*BZ983*in_loan_home_ticket*in_loan_home_comm</f>
        <v/>
      </c>
      <c r="CB983" s="40">
        <f>CB982*(1-IF(B982&gt;=in_marketplace_from,d_hz_loan_lap*G982,0)*CC982)</f>
        <v/>
      </c>
      <c r="CC983" s="11">
        <f>MIN(in_approval_cap,in_loan_lap_approval*INDEX('Age profile'!$O$2:$O$61,B983)*(1+in_approval_growth)^(D983-1))</f>
        <v/>
      </c>
      <c r="CD983" s="14">
        <f>F983*CB983*IF(B983&gt;=in_marketplace_from,d_hz_loan_lap*G983,0)*CC983*in_loan_lap_ticket*in_loan_lap_comm</f>
        <v/>
      </c>
      <c r="CE983" s="14">
        <f>AA983+AB983+AC983+AD983+AG983+AJ983+AM983+AP983+AS983+AU983+AX983+BB983+BE983+BG983+BJ983+BL983+BO983+BR983+BT983+BV983+BX983+CA983+CD983</f>
        <v/>
      </c>
    </row>
    <row r="984">
      <c r="A984" s="39" t="n">
        <v>20</v>
      </c>
      <c r="B984" s="39" t="n">
        <v>14</v>
      </c>
      <c r="C984" s="39">
        <f>A984+B984-1</f>
        <v/>
      </c>
      <c r="D984" s="39">
        <f>INT((C984-1)/12)+1</f>
        <v/>
      </c>
      <c r="E984" s="44">
        <f>INDEX(Monthly!$B$2:$B$61,A984)</f>
        <v/>
      </c>
      <c r="F984" s="44">
        <f>E984*INDEX('Age profile'!$B$2:$B$61,B984)</f>
        <v/>
      </c>
      <c r="G984" s="45">
        <f>MIN(in_takeup_cap,INDEX('Age profile'!$N$2:$N$61,B984)*(1+in_takeup_growth)^(D984-1))</f>
        <v/>
      </c>
      <c r="H984" s="11">
        <f>MIN(in_approval_cap,in_approved_first*INDEX('Age profile'!$O$2:$O$61,B984)*(1+in_approval_growth)^(D984-1))</f>
        <v/>
      </c>
      <c r="I984" s="45">
        <f>G984*MIN(in_takeup_cap,INDEX('Age profile'!$O$2:$O$61,B984)*(1+in_approval_growth)^(D984-1))</f>
        <v/>
      </c>
      <c r="J984" s="40">
        <f>(J983-L983)*F984/F983</f>
        <v/>
      </c>
      <c r="K984" s="40">
        <f>(K983-M983)*F984/F983+SUMIFS(O971:O983,B971:B983,B984-1-d_T)*F984</f>
        <v/>
      </c>
      <c r="L984" s="40">
        <f>IF(B984&gt;=in_marketplace_from,J984*d_hz*G984*in_eligible*H984,0)</f>
        <v/>
      </c>
      <c r="M984" s="40">
        <f>IF(B984&gt;=in_marketplace_from,K984*d_hz*G984*in_eligible*in_approved_repeat,0)</f>
        <v/>
      </c>
      <c r="N984" s="40">
        <f>L984+M984</f>
        <v/>
      </c>
      <c r="O984" s="46">
        <f>N984/F984</f>
        <v/>
      </c>
      <c r="P984" s="40">
        <f>F984-J984-K984</f>
        <v/>
      </c>
      <c r="Q984" s="40">
        <f>IF(B984&gt;=in_marketplace_from,(J984+K984)*d_hz*G984,0)</f>
        <v/>
      </c>
      <c r="R984" s="40">
        <f>SUMIFS(N971:N1011,B971:B1011,"&gt;="&amp;(B984-d_T),B971:B1011,"&lt;="&amp;(B984-1))</f>
        <v/>
      </c>
      <c r="S984" s="46">
        <f>(1-d_u)*S983+IF(d_T&gt;in_topup_lag,SUMIFS(O971:O1011,B971:B1011,B984-in_topup_lag)-d_udrop*SUMIFS(O971:O1011,B971:B1011,B984-d_T),0)</f>
        <v/>
      </c>
      <c r="T984" s="40">
        <f>F984*d_u*S984</f>
        <v/>
      </c>
      <c r="U984" s="9">
        <f>L984*in_ticket+M984*d_rep_ticket</f>
        <v/>
      </c>
      <c r="V984" s="9">
        <f>U984+T984*d_topup_amt</f>
        <v/>
      </c>
      <c r="W984" s="40">
        <f>N984+T984*d_topup_ratio</f>
        <v/>
      </c>
      <c r="X984" s="40">
        <f>SUMIFS(W971:W1011,B971:B1011,B984-in_dpd_lag)*d_cured</f>
        <v/>
      </c>
      <c r="Y984" s="40">
        <f>SUMIFS(W971:W1011,B971:B1011,B984-in_rec_lag)*d_recd</f>
        <v/>
      </c>
      <c r="Z984" s="40">
        <f>IF(AND(B984&gt;=in_marketplace_from,B984&lt;in_marketplace_from+in_card_months),in_card_share/in_card_months*F984*I984,IF(AND(B984&gt;=in_marketplace_from+in_card_months,B984&lt;in_marketplace_from+2*in_card_months),in_card_share*d_card_rem/in_card_months*F984*MIN(in_takeup_cap,(1+in_takeup_growth)^(D984-1))*MIN(in_takeup_cap,(1+in_approval_growth)^(D984-1)),0))</f>
        <v/>
      </c>
      <c r="AA984" s="14">
        <f>V984*in_fee*(1-in_taken_back)</f>
        <v/>
      </c>
      <c r="AB984" s="14">
        <f>SUMIFS(W971:W1011,B971:B1011,B984-in_dpd_lag)*d_dpd</f>
        <v/>
      </c>
      <c r="AC984" s="14">
        <f>SUMIFS(W971:W1011,B971:B1011,B984-in_rec_lag)*d_rec</f>
        <v/>
      </c>
      <c r="AD984" s="14">
        <f>Z984*in_card_fee</f>
        <v/>
      </c>
      <c r="AE984" s="40">
        <f>AE983*(1-IF(B983&gt;=in_marketplace_from,d_hz_hlth_small*G983,0))</f>
        <v/>
      </c>
      <c r="AF984" s="46">
        <f>AE984*IF(B984&gt;=in_marketplace_from,d_hz_hlth_small*G984,0)</f>
        <v/>
      </c>
      <c r="AG984" s="14">
        <f>F984*AF984*in_hlth_small_ticket*in_hlth_small_comm*in_ins_partner_share+F984*in_hlth_small_ticket*in_hlth_small_renew_comm*in_ins_partner_share*(in_hlth_small_renew^1*SUMIFS(AF971:AF1011,B971:B1011,B984-12)+in_hlth_small_renew^2*SUMIFS(AF971:AF1011,B971:B1011,B984-24)+in_hlth_small_renew^3*SUMIFS(AF971:AF1011,B971:B1011,B984-36)+in_hlth_small_renew^4*SUMIFS(AF971:AF1011,B971:B1011,B984-48))</f>
        <v/>
      </c>
      <c r="AH984" s="40">
        <f>AH983*(1-IF(B983&gt;=in_marketplace_from,d_hz_hlth_family*G983,0))</f>
        <v/>
      </c>
      <c r="AI984" s="46">
        <f>AH984*IF(B984&gt;=in_marketplace_from,d_hz_hlth_family*G984,0)</f>
        <v/>
      </c>
      <c r="AJ984" s="14">
        <f>F984*AI984*in_hlth_family_ticket*in_hlth_family_comm*in_ins_partner_share+F984*in_hlth_family_ticket*in_hlth_family_renew_comm*in_ins_partner_share*(in_hlth_family_renew^1*SUMIFS(AI971:AI1011,B971:B1011,B984-12)+in_hlth_family_renew^2*SUMIFS(AI971:AI1011,B971:B1011,B984-24)+in_hlth_family_renew^3*SUMIFS(AI971:AI1011,B971:B1011,B984-36)+in_hlth_family_renew^4*SUMIFS(AI971:AI1011,B971:B1011,B984-48))</f>
        <v/>
      </c>
      <c r="AK984" s="40">
        <f>AK983*(1-IF(B983&gt;=in_marketplace_from,d_hz_life_term*G983,0))</f>
        <v/>
      </c>
      <c r="AL984" s="46">
        <f>AK984*IF(B984&gt;=in_marketplace_from,d_hz_life_term*G984,0)</f>
        <v/>
      </c>
      <c r="AM984" s="14">
        <f>F984*AL984*in_life_term_ticket*in_life_term_comm*in_ins_partner_share+F984*in_life_term_ticket*in_life_term_renew_comm*in_ins_partner_share*(in_life_term_renew^1*SUMIFS(AL971:AL1011,B971:B1011,B984-12)+in_life_term_renew^2*SUMIFS(AL971:AL1011,B971:B1011,B984-24)+in_life_term_renew^3*SUMIFS(AL971:AL1011,B971:B1011,B984-36)+in_life_term_renew^4*SUMIFS(AL971:AL1011,B971:B1011,B984-48))</f>
        <v/>
      </c>
      <c r="AN984" s="40">
        <f>AN983*(1-IF(B983&gt;=in_marketplace_from,d_hz_accident*G983,0))</f>
        <v/>
      </c>
      <c r="AO984" s="46">
        <f>AN984*IF(B984&gt;=in_marketplace_from,d_hz_accident*G984,0)</f>
        <v/>
      </c>
      <c r="AP984" s="14">
        <f>F984*AO984*in_accident_ticket*in_accident_comm*in_ins_partner_share+F984*in_accident_ticket*in_accident_renew_comm*in_ins_partner_share*(in_accident_renew^1*SUMIFS(AO971:AO1011,B971:B1011,B984-12)+in_accident_renew^2*SUMIFS(AO971:AO1011,B971:B1011,B984-24)+in_accident_renew^3*SUMIFS(AO971:AO1011,B971:B1011,B984-36)+in_accident_renew^4*SUMIFS(AO971:AO1011,B971:B1011,B984-48))</f>
        <v/>
      </c>
      <c r="AQ984" s="40">
        <f>AQ983*(1-IF(B983&gt;=in_marketplace_from,d_hz_two_wheeler*G983,0))</f>
        <v/>
      </c>
      <c r="AR984" s="46">
        <f>AQ984*IF(B984&gt;=in_marketplace_from,d_hz_two_wheeler*G984,0)</f>
        <v/>
      </c>
      <c r="AS984" s="14">
        <f>F984*AR984*in_two_wheeler_ticket*in_two_wheeler_comm*in_ins_partner_share+F984*in_two_wheeler_ticket*in_two_wheeler_comm*in_ins_partner_share*(in_two_wheeler_renew^1*SUMIFS(AR971:AR1011,B971:B1011,B984-12)+in_two_wheeler_renew^2*SUMIFS(AR971:AR1011,B971:B1011,B984-24)+in_two_wheeler_renew^3*SUMIFS(AR971:AR1011,B971:B1011,B984-36)+in_two_wheeler_renew^4*SUMIFS(AR971:AR1011,B971:B1011,B984-48))</f>
        <v/>
      </c>
      <c r="AT984" s="40">
        <f>AT983*(1-IF(B983&gt;=in_marketplace_from,d_hz_device*G983,0))</f>
        <v/>
      </c>
      <c r="AU984" s="14">
        <f>F984*AT984*IF(B984&gt;=in_marketplace_from,d_hz_device*G984,0)*in_device_ticket*in_device_comm*in_ins_partner_share</f>
        <v/>
      </c>
      <c r="AV984" s="40">
        <f>AV983*(1-IF(B983&gt;=in_marketplace_from,d_hz_shop*G983,0))</f>
        <v/>
      </c>
      <c r="AW984" s="46">
        <f>AV984*IF(B984&gt;=in_marketplace_from,d_hz_shop*G984,0)</f>
        <v/>
      </c>
      <c r="AX984" s="14">
        <f>F984*AW984*in_shop_ticket*in_shop_comm*in_ins_partner_share+F984*in_shop_ticket*in_shop_renew_comm*in_ins_partner_share*(in_shop_renew^1*SUMIFS(AW971:AW1011,B971:B1011,B984-12)+in_shop_renew^2*SUMIFS(AW971:AW1011,B971:B1011,B984-24)+in_shop_renew^3*SUMIFS(AW971:AW1011,B971:B1011,B984-36)+in_shop_renew^4*SUMIFS(AW971:AW1011,B971:B1011,B984-48))</f>
        <v/>
      </c>
      <c r="AY984" s="40">
        <f>AY983*(1-IF(B983&gt;=in_marketplace_from,d_hz_sip*G983,0))</f>
        <v/>
      </c>
      <c r="AZ984" s="40">
        <f>AZ983*d_rho_sip+AY984*IF(B984&gt;=in_marketplace_from,d_hz_sip*G984,0)</f>
        <v/>
      </c>
      <c r="BA984" s="40">
        <f>d_rho_sip*(BA983+AZ983)</f>
        <v/>
      </c>
      <c r="BB984" s="14">
        <f>F984*in_sip_ticket*(BA984+0.5*AZ984)*in_sip_comm/12</f>
        <v/>
      </c>
      <c r="BC984" s="40">
        <f>BC983*(1-IF(B983&gt;=in_marketplace_from,d_hz_choti*G983,0))</f>
        <v/>
      </c>
      <c r="BD984" s="46">
        <f>BC984*IF(B984&gt;=in_marketplace_from,d_hz_choti*G984,0)</f>
        <v/>
      </c>
      <c r="BE984" s="14">
        <f>F984*SUMIFS(BD971:BD1011,B971:B1011,B984-in_choti_months)*in_choti_renew*in_choti_ticket</f>
        <v/>
      </c>
      <c r="BF984" s="40">
        <f>BF983*(1-IF(B983&gt;=in_marketplace_from,d_hz_nps*G983,0))</f>
        <v/>
      </c>
      <c r="BG984" s="14">
        <f>F984*BF984*IF(B984&gt;=in_marketplace_from,d_hz_nps*G984,0)*in_nps_ticket*in_nps_comm</f>
        <v/>
      </c>
      <c r="BH984" s="40">
        <f>BH983*(1-IF(B983&gt;=in_marketplace_from,d_hz_gold*G983,0))</f>
        <v/>
      </c>
      <c r="BI984" s="40">
        <f>BI983*d_rho_gold+BH984*IF(B984&gt;=in_marketplace_from,d_hz_gold*G984,0)</f>
        <v/>
      </c>
      <c r="BJ984" s="14">
        <f>F984*BI984*in_gold_ticket*in_gold_comm</f>
        <v/>
      </c>
      <c r="BK984" s="40">
        <f>BK983*(1-IF(B983&gt;=in_marketplace_from,d_hz_fd*G983,0))</f>
        <v/>
      </c>
      <c r="BL984" s="14">
        <f>F984*BK984*IF(B984&gt;=in_marketplace_from,d_hz_fd*G984,0)*in_fd_ticket*in_fd_comm</f>
        <v/>
      </c>
      <c r="BM984" s="40">
        <f>BM983*(1-IF(B983&gt;=in_marketplace_from,d_hz_recharge*G983,0))</f>
        <v/>
      </c>
      <c r="BN984" s="40">
        <f>BN983*d_rho_recharge+BM984*IF(B984&gt;=in_marketplace_from,d_hz_recharge*G984,0)</f>
        <v/>
      </c>
      <c r="BO984" s="14">
        <f>F984*BN984*in_recharge_ticket*in_recharge_comm/12</f>
        <v/>
      </c>
      <c r="BP984" s="40">
        <f>BP983*(1-IF(B983&gt;=in_marketplace_from,d_hz_bills*G983,0))</f>
        <v/>
      </c>
      <c r="BQ984" s="40">
        <f>BQ983*d_rho_bills+BP984*IF(B984&gt;=in_marketplace_from,d_hz_bills*G984,0)</f>
        <v/>
      </c>
      <c r="BR984" s="14">
        <f>F984*BQ984*in_bills_ticket*in_bills_comm/12</f>
        <v/>
      </c>
      <c r="BS984" s="40">
        <f>BS983*(1-IF(B983&gt;=in_marketplace_from,d_hz_loan_gold*G983,0))</f>
        <v/>
      </c>
      <c r="BT984" s="14">
        <f>F984*BS984*IF(B984&gt;=in_marketplace_from,d_hz_loan_gold*G984,0)*in_loan_gold_ticket*in_loan_gold_comm</f>
        <v/>
      </c>
      <c r="BU984" s="40">
        <f>BU983*(1-IF(B983&gt;=in_marketplace_from,d_hz_loan_cd*G983,0))</f>
        <v/>
      </c>
      <c r="BV984" s="14">
        <f>F984*BU984*IF(B984&gt;=in_marketplace_from,d_hz_loan_cd*G984,0)*in_loan_cd_ticket*in_loan_cd_comm</f>
        <v/>
      </c>
      <c r="BW984" s="40">
        <f>BW983*(1-IF(B983&gt;=in_marketplace_from,d_hz_loan_vehicle*G983,0))</f>
        <v/>
      </c>
      <c r="BX984" s="14">
        <f>F984*BW984*IF(B984&gt;=in_marketplace_from,d_hz_loan_vehicle*G984,0)*in_loan_vehicle_ticket*in_loan_vehicle_comm</f>
        <v/>
      </c>
      <c r="BY984" s="40">
        <f>BY983*(1-IF(B983&gt;=in_marketplace_from,d_hz_loan_home*G983,0)*BZ983)</f>
        <v/>
      </c>
      <c r="BZ984" s="11">
        <f>MIN(in_approval_cap,in_loan_home_approval*INDEX('Age profile'!$O$2:$O$61,B984)*(1+in_approval_growth)^(D984-1))</f>
        <v/>
      </c>
      <c r="CA984" s="14">
        <f>F984*BY984*IF(B984&gt;=in_marketplace_from,d_hz_loan_home*G984,0)*BZ984*in_loan_home_ticket*in_loan_home_comm</f>
        <v/>
      </c>
      <c r="CB984" s="40">
        <f>CB983*(1-IF(B983&gt;=in_marketplace_from,d_hz_loan_lap*G983,0)*CC983)</f>
        <v/>
      </c>
      <c r="CC984" s="11">
        <f>MIN(in_approval_cap,in_loan_lap_approval*INDEX('Age profile'!$O$2:$O$61,B984)*(1+in_approval_growth)^(D984-1))</f>
        <v/>
      </c>
      <c r="CD984" s="14">
        <f>F984*CB984*IF(B984&gt;=in_marketplace_from,d_hz_loan_lap*G984,0)*CC984*in_loan_lap_ticket*in_loan_lap_comm</f>
        <v/>
      </c>
      <c r="CE984" s="14">
        <f>AA984+AB984+AC984+AD984+AG984+AJ984+AM984+AP984+AS984+AU984+AX984+BB984+BE984+BG984+BJ984+BL984+BO984+BR984+BT984+BV984+BX984+CA984+CD984</f>
        <v/>
      </c>
    </row>
    <row r="985">
      <c r="A985" s="39" t="n">
        <v>20</v>
      </c>
      <c r="B985" s="39" t="n">
        <v>15</v>
      </c>
      <c r="C985" s="39">
        <f>A985+B985-1</f>
        <v/>
      </c>
      <c r="D985" s="39">
        <f>INT((C985-1)/12)+1</f>
        <v/>
      </c>
      <c r="E985" s="44">
        <f>INDEX(Monthly!$B$2:$B$61,A985)</f>
        <v/>
      </c>
      <c r="F985" s="44">
        <f>E985*INDEX('Age profile'!$B$2:$B$61,B985)</f>
        <v/>
      </c>
      <c r="G985" s="45">
        <f>MIN(in_takeup_cap,INDEX('Age profile'!$N$2:$N$61,B985)*(1+in_takeup_growth)^(D985-1))</f>
        <v/>
      </c>
      <c r="H985" s="11">
        <f>MIN(in_approval_cap,in_approved_first*INDEX('Age profile'!$O$2:$O$61,B985)*(1+in_approval_growth)^(D985-1))</f>
        <v/>
      </c>
      <c r="I985" s="45">
        <f>G985*MIN(in_takeup_cap,INDEX('Age profile'!$O$2:$O$61,B985)*(1+in_approval_growth)^(D985-1))</f>
        <v/>
      </c>
      <c r="J985" s="40">
        <f>(J984-L984)*F985/F984</f>
        <v/>
      </c>
      <c r="K985" s="40">
        <f>(K984-M984)*F985/F984+SUMIFS(O971:O984,B971:B984,B985-1-d_T)*F985</f>
        <v/>
      </c>
      <c r="L985" s="40">
        <f>IF(B985&gt;=in_marketplace_from,J985*d_hz*G985*in_eligible*H985,0)</f>
        <v/>
      </c>
      <c r="M985" s="40">
        <f>IF(B985&gt;=in_marketplace_from,K985*d_hz*G985*in_eligible*in_approved_repeat,0)</f>
        <v/>
      </c>
      <c r="N985" s="40">
        <f>L985+M985</f>
        <v/>
      </c>
      <c r="O985" s="46">
        <f>N985/F985</f>
        <v/>
      </c>
      <c r="P985" s="40">
        <f>F985-J985-K985</f>
        <v/>
      </c>
      <c r="Q985" s="40">
        <f>IF(B985&gt;=in_marketplace_from,(J985+K985)*d_hz*G985,0)</f>
        <v/>
      </c>
      <c r="R985" s="40">
        <f>SUMIFS(N971:N1011,B971:B1011,"&gt;="&amp;(B985-d_T),B971:B1011,"&lt;="&amp;(B985-1))</f>
        <v/>
      </c>
      <c r="S985" s="46">
        <f>(1-d_u)*S984+IF(d_T&gt;in_topup_lag,SUMIFS(O971:O1011,B971:B1011,B985-in_topup_lag)-d_udrop*SUMIFS(O971:O1011,B971:B1011,B985-d_T),0)</f>
        <v/>
      </c>
      <c r="T985" s="40">
        <f>F985*d_u*S985</f>
        <v/>
      </c>
      <c r="U985" s="9">
        <f>L985*in_ticket+M985*d_rep_ticket</f>
        <v/>
      </c>
      <c r="V985" s="9">
        <f>U985+T985*d_topup_amt</f>
        <v/>
      </c>
      <c r="W985" s="40">
        <f>N985+T985*d_topup_ratio</f>
        <v/>
      </c>
      <c r="X985" s="40">
        <f>SUMIFS(W971:W1011,B971:B1011,B985-in_dpd_lag)*d_cured</f>
        <v/>
      </c>
      <c r="Y985" s="40">
        <f>SUMIFS(W971:W1011,B971:B1011,B985-in_rec_lag)*d_recd</f>
        <v/>
      </c>
      <c r="Z985" s="40">
        <f>IF(AND(B985&gt;=in_marketplace_from,B985&lt;in_marketplace_from+in_card_months),in_card_share/in_card_months*F985*I985,IF(AND(B985&gt;=in_marketplace_from+in_card_months,B985&lt;in_marketplace_from+2*in_card_months),in_card_share*d_card_rem/in_card_months*F985*MIN(in_takeup_cap,(1+in_takeup_growth)^(D985-1))*MIN(in_takeup_cap,(1+in_approval_growth)^(D985-1)),0))</f>
        <v/>
      </c>
      <c r="AA985" s="14">
        <f>V985*in_fee*(1-in_taken_back)</f>
        <v/>
      </c>
      <c r="AB985" s="14">
        <f>SUMIFS(W971:W1011,B971:B1011,B985-in_dpd_lag)*d_dpd</f>
        <v/>
      </c>
      <c r="AC985" s="14">
        <f>SUMIFS(W971:W1011,B971:B1011,B985-in_rec_lag)*d_rec</f>
        <v/>
      </c>
      <c r="AD985" s="14">
        <f>Z985*in_card_fee</f>
        <v/>
      </c>
      <c r="AE985" s="40">
        <f>AE984*(1-IF(B984&gt;=in_marketplace_from,d_hz_hlth_small*G984,0))</f>
        <v/>
      </c>
      <c r="AF985" s="46">
        <f>AE985*IF(B985&gt;=in_marketplace_from,d_hz_hlth_small*G985,0)</f>
        <v/>
      </c>
      <c r="AG985" s="14">
        <f>F985*AF985*in_hlth_small_ticket*in_hlth_small_comm*in_ins_partner_share+F985*in_hlth_small_ticket*in_hlth_small_renew_comm*in_ins_partner_share*(in_hlth_small_renew^1*SUMIFS(AF971:AF1011,B971:B1011,B985-12)+in_hlth_small_renew^2*SUMIFS(AF971:AF1011,B971:B1011,B985-24)+in_hlth_small_renew^3*SUMIFS(AF971:AF1011,B971:B1011,B985-36)+in_hlth_small_renew^4*SUMIFS(AF971:AF1011,B971:B1011,B985-48))</f>
        <v/>
      </c>
      <c r="AH985" s="40">
        <f>AH984*(1-IF(B984&gt;=in_marketplace_from,d_hz_hlth_family*G984,0))</f>
        <v/>
      </c>
      <c r="AI985" s="46">
        <f>AH985*IF(B985&gt;=in_marketplace_from,d_hz_hlth_family*G985,0)</f>
        <v/>
      </c>
      <c r="AJ985" s="14">
        <f>F985*AI985*in_hlth_family_ticket*in_hlth_family_comm*in_ins_partner_share+F985*in_hlth_family_ticket*in_hlth_family_renew_comm*in_ins_partner_share*(in_hlth_family_renew^1*SUMIFS(AI971:AI1011,B971:B1011,B985-12)+in_hlth_family_renew^2*SUMIFS(AI971:AI1011,B971:B1011,B985-24)+in_hlth_family_renew^3*SUMIFS(AI971:AI1011,B971:B1011,B985-36)+in_hlth_family_renew^4*SUMIFS(AI971:AI1011,B971:B1011,B985-48))</f>
        <v/>
      </c>
      <c r="AK985" s="40">
        <f>AK984*(1-IF(B984&gt;=in_marketplace_from,d_hz_life_term*G984,0))</f>
        <v/>
      </c>
      <c r="AL985" s="46">
        <f>AK985*IF(B985&gt;=in_marketplace_from,d_hz_life_term*G985,0)</f>
        <v/>
      </c>
      <c r="AM985" s="14">
        <f>F985*AL985*in_life_term_ticket*in_life_term_comm*in_ins_partner_share+F985*in_life_term_ticket*in_life_term_renew_comm*in_ins_partner_share*(in_life_term_renew^1*SUMIFS(AL971:AL1011,B971:B1011,B985-12)+in_life_term_renew^2*SUMIFS(AL971:AL1011,B971:B1011,B985-24)+in_life_term_renew^3*SUMIFS(AL971:AL1011,B971:B1011,B985-36)+in_life_term_renew^4*SUMIFS(AL971:AL1011,B971:B1011,B985-48))</f>
        <v/>
      </c>
      <c r="AN985" s="40">
        <f>AN984*(1-IF(B984&gt;=in_marketplace_from,d_hz_accident*G984,0))</f>
        <v/>
      </c>
      <c r="AO985" s="46">
        <f>AN985*IF(B985&gt;=in_marketplace_from,d_hz_accident*G985,0)</f>
        <v/>
      </c>
      <c r="AP985" s="14">
        <f>F985*AO985*in_accident_ticket*in_accident_comm*in_ins_partner_share+F985*in_accident_ticket*in_accident_renew_comm*in_ins_partner_share*(in_accident_renew^1*SUMIFS(AO971:AO1011,B971:B1011,B985-12)+in_accident_renew^2*SUMIFS(AO971:AO1011,B971:B1011,B985-24)+in_accident_renew^3*SUMIFS(AO971:AO1011,B971:B1011,B985-36)+in_accident_renew^4*SUMIFS(AO971:AO1011,B971:B1011,B985-48))</f>
        <v/>
      </c>
      <c r="AQ985" s="40">
        <f>AQ984*(1-IF(B984&gt;=in_marketplace_from,d_hz_two_wheeler*G984,0))</f>
        <v/>
      </c>
      <c r="AR985" s="46">
        <f>AQ985*IF(B985&gt;=in_marketplace_from,d_hz_two_wheeler*G985,0)</f>
        <v/>
      </c>
      <c r="AS985" s="14">
        <f>F985*AR985*in_two_wheeler_ticket*in_two_wheeler_comm*in_ins_partner_share+F985*in_two_wheeler_ticket*in_two_wheeler_comm*in_ins_partner_share*(in_two_wheeler_renew^1*SUMIFS(AR971:AR1011,B971:B1011,B985-12)+in_two_wheeler_renew^2*SUMIFS(AR971:AR1011,B971:B1011,B985-24)+in_two_wheeler_renew^3*SUMIFS(AR971:AR1011,B971:B1011,B985-36)+in_two_wheeler_renew^4*SUMIFS(AR971:AR1011,B971:B1011,B985-48))</f>
        <v/>
      </c>
      <c r="AT985" s="40">
        <f>AT984*(1-IF(B984&gt;=in_marketplace_from,d_hz_device*G984,0))</f>
        <v/>
      </c>
      <c r="AU985" s="14">
        <f>F985*AT985*IF(B985&gt;=in_marketplace_from,d_hz_device*G985,0)*in_device_ticket*in_device_comm*in_ins_partner_share</f>
        <v/>
      </c>
      <c r="AV985" s="40">
        <f>AV984*(1-IF(B984&gt;=in_marketplace_from,d_hz_shop*G984,0))</f>
        <v/>
      </c>
      <c r="AW985" s="46">
        <f>AV985*IF(B985&gt;=in_marketplace_from,d_hz_shop*G985,0)</f>
        <v/>
      </c>
      <c r="AX985" s="14">
        <f>F985*AW985*in_shop_ticket*in_shop_comm*in_ins_partner_share+F985*in_shop_ticket*in_shop_renew_comm*in_ins_partner_share*(in_shop_renew^1*SUMIFS(AW971:AW1011,B971:B1011,B985-12)+in_shop_renew^2*SUMIFS(AW971:AW1011,B971:B1011,B985-24)+in_shop_renew^3*SUMIFS(AW971:AW1011,B971:B1011,B985-36)+in_shop_renew^4*SUMIFS(AW971:AW1011,B971:B1011,B985-48))</f>
        <v/>
      </c>
      <c r="AY985" s="40">
        <f>AY984*(1-IF(B984&gt;=in_marketplace_from,d_hz_sip*G984,0))</f>
        <v/>
      </c>
      <c r="AZ985" s="40">
        <f>AZ984*d_rho_sip+AY985*IF(B985&gt;=in_marketplace_from,d_hz_sip*G985,0)</f>
        <v/>
      </c>
      <c r="BA985" s="40">
        <f>d_rho_sip*(BA984+AZ984)</f>
        <v/>
      </c>
      <c r="BB985" s="14">
        <f>F985*in_sip_ticket*(BA985+0.5*AZ985)*in_sip_comm/12</f>
        <v/>
      </c>
      <c r="BC985" s="40">
        <f>BC984*(1-IF(B984&gt;=in_marketplace_from,d_hz_choti*G984,0))</f>
        <v/>
      </c>
      <c r="BD985" s="46">
        <f>BC985*IF(B985&gt;=in_marketplace_from,d_hz_choti*G985,0)</f>
        <v/>
      </c>
      <c r="BE985" s="14">
        <f>F985*SUMIFS(BD971:BD1011,B971:B1011,B985-in_choti_months)*in_choti_renew*in_choti_ticket</f>
        <v/>
      </c>
      <c r="BF985" s="40">
        <f>BF984*(1-IF(B984&gt;=in_marketplace_from,d_hz_nps*G984,0))</f>
        <v/>
      </c>
      <c r="BG985" s="14">
        <f>F985*BF985*IF(B985&gt;=in_marketplace_from,d_hz_nps*G985,0)*in_nps_ticket*in_nps_comm</f>
        <v/>
      </c>
      <c r="BH985" s="40">
        <f>BH984*(1-IF(B984&gt;=in_marketplace_from,d_hz_gold*G984,0))</f>
        <v/>
      </c>
      <c r="BI985" s="40">
        <f>BI984*d_rho_gold+BH985*IF(B985&gt;=in_marketplace_from,d_hz_gold*G985,0)</f>
        <v/>
      </c>
      <c r="BJ985" s="14">
        <f>F985*BI985*in_gold_ticket*in_gold_comm</f>
        <v/>
      </c>
      <c r="BK985" s="40">
        <f>BK984*(1-IF(B984&gt;=in_marketplace_from,d_hz_fd*G984,0))</f>
        <v/>
      </c>
      <c r="BL985" s="14">
        <f>F985*BK985*IF(B985&gt;=in_marketplace_from,d_hz_fd*G985,0)*in_fd_ticket*in_fd_comm</f>
        <v/>
      </c>
      <c r="BM985" s="40">
        <f>BM984*(1-IF(B984&gt;=in_marketplace_from,d_hz_recharge*G984,0))</f>
        <v/>
      </c>
      <c r="BN985" s="40">
        <f>BN984*d_rho_recharge+BM985*IF(B985&gt;=in_marketplace_from,d_hz_recharge*G985,0)</f>
        <v/>
      </c>
      <c r="BO985" s="14">
        <f>F985*BN985*in_recharge_ticket*in_recharge_comm/12</f>
        <v/>
      </c>
      <c r="BP985" s="40">
        <f>BP984*(1-IF(B984&gt;=in_marketplace_from,d_hz_bills*G984,0))</f>
        <v/>
      </c>
      <c r="BQ985" s="40">
        <f>BQ984*d_rho_bills+BP985*IF(B985&gt;=in_marketplace_from,d_hz_bills*G985,0)</f>
        <v/>
      </c>
      <c r="BR985" s="14">
        <f>F985*BQ985*in_bills_ticket*in_bills_comm/12</f>
        <v/>
      </c>
      <c r="BS985" s="40">
        <f>BS984*(1-IF(B984&gt;=in_marketplace_from,d_hz_loan_gold*G984,0))</f>
        <v/>
      </c>
      <c r="BT985" s="14">
        <f>F985*BS985*IF(B985&gt;=in_marketplace_from,d_hz_loan_gold*G985,0)*in_loan_gold_ticket*in_loan_gold_comm</f>
        <v/>
      </c>
      <c r="BU985" s="40">
        <f>BU984*(1-IF(B984&gt;=in_marketplace_from,d_hz_loan_cd*G984,0))</f>
        <v/>
      </c>
      <c r="BV985" s="14">
        <f>F985*BU985*IF(B985&gt;=in_marketplace_from,d_hz_loan_cd*G985,0)*in_loan_cd_ticket*in_loan_cd_comm</f>
        <v/>
      </c>
      <c r="BW985" s="40">
        <f>BW984*(1-IF(B984&gt;=in_marketplace_from,d_hz_loan_vehicle*G984,0))</f>
        <v/>
      </c>
      <c r="BX985" s="14">
        <f>F985*BW985*IF(B985&gt;=in_marketplace_from,d_hz_loan_vehicle*G985,0)*in_loan_vehicle_ticket*in_loan_vehicle_comm</f>
        <v/>
      </c>
      <c r="BY985" s="40">
        <f>BY984*(1-IF(B984&gt;=in_marketplace_from,d_hz_loan_home*G984,0)*BZ984)</f>
        <v/>
      </c>
      <c r="BZ985" s="11">
        <f>MIN(in_approval_cap,in_loan_home_approval*INDEX('Age profile'!$O$2:$O$61,B985)*(1+in_approval_growth)^(D985-1))</f>
        <v/>
      </c>
      <c r="CA985" s="14">
        <f>F985*BY985*IF(B985&gt;=in_marketplace_from,d_hz_loan_home*G985,0)*BZ985*in_loan_home_ticket*in_loan_home_comm</f>
        <v/>
      </c>
      <c r="CB985" s="40">
        <f>CB984*(1-IF(B984&gt;=in_marketplace_from,d_hz_loan_lap*G984,0)*CC984)</f>
        <v/>
      </c>
      <c r="CC985" s="11">
        <f>MIN(in_approval_cap,in_loan_lap_approval*INDEX('Age profile'!$O$2:$O$61,B985)*(1+in_approval_growth)^(D985-1))</f>
        <v/>
      </c>
      <c r="CD985" s="14">
        <f>F985*CB985*IF(B985&gt;=in_marketplace_from,d_hz_loan_lap*G985,0)*CC985*in_loan_lap_ticket*in_loan_lap_comm</f>
        <v/>
      </c>
      <c r="CE985" s="14">
        <f>AA985+AB985+AC985+AD985+AG985+AJ985+AM985+AP985+AS985+AU985+AX985+BB985+BE985+BG985+BJ985+BL985+BO985+BR985+BT985+BV985+BX985+CA985+CD985</f>
        <v/>
      </c>
    </row>
    <row r="986">
      <c r="A986" s="39" t="n">
        <v>20</v>
      </c>
      <c r="B986" s="39" t="n">
        <v>16</v>
      </c>
      <c r="C986" s="39">
        <f>A986+B986-1</f>
        <v/>
      </c>
      <c r="D986" s="39">
        <f>INT((C986-1)/12)+1</f>
        <v/>
      </c>
      <c r="E986" s="44">
        <f>INDEX(Monthly!$B$2:$B$61,A986)</f>
        <v/>
      </c>
      <c r="F986" s="44">
        <f>E986*INDEX('Age profile'!$B$2:$B$61,B986)</f>
        <v/>
      </c>
      <c r="G986" s="45">
        <f>MIN(in_takeup_cap,INDEX('Age profile'!$N$2:$N$61,B986)*(1+in_takeup_growth)^(D986-1))</f>
        <v/>
      </c>
      <c r="H986" s="11">
        <f>MIN(in_approval_cap,in_approved_first*INDEX('Age profile'!$O$2:$O$61,B986)*(1+in_approval_growth)^(D986-1))</f>
        <v/>
      </c>
      <c r="I986" s="45">
        <f>G986*MIN(in_takeup_cap,INDEX('Age profile'!$O$2:$O$61,B986)*(1+in_approval_growth)^(D986-1))</f>
        <v/>
      </c>
      <c r="J986" s="40">
        <f>(J985-L985)*F986/F985</f>
        <v/>
      </c>
      <c r="K986" s="40">
        <f>(K985-M985)*F986/F985+SUMIFS(O971:O985,B971:B985,B986-1-d_T)*F986</f>
        <v/>
      </c>
      <c r="L986" s="40">
        <f>IF(B986&gt;=in_marketplace_from,J986*d_hz*G986*in_eligible*H986,0)</f>
        <v/>
      </c>
      <c r="M986" s="40">
        <f>IF(B986&gt;=in_marketplace_from,K986*d_hz*G986*in_eligible*in_approved_repeat,0)</f>
        <v/>
      </c>
      <c r="N986" s="40">
        <f>L986+M986</f>
        <v/>
      </c>
      <c r="O986" s="46">
        <f>N986/F986</f>
        <v/>
      </c>
      <c r="P986" s="40">
        <f>F986-J986-K986</f>
        <v/>
      </c>
      <c r="Q986" s="40">
        <f>IF(B986&gt;=in_marketplace_from,(J986+K986)*d_hz*G986,0)</f>
        <v/>
      </c>
      <c r="R986" s="40">
        <f>SUMIFS(N971:N1011,B971:B1011,"&gt;="&amp;(B986-d_T),B971:B1011,"&lt;="&amp;(B986-1))</f>
        <v/>
      </c>
      <c r="S986" s="46">
        <f>(1-d_u)*S985+IF(d_T&gt;in_topup_lag,SUMIFS(O971:O1011,B971:B1011,B986-in_topup_lag)-d_udrop*SUMIFS(O971:O1011,B971:B1011,B986-d_T),0)</f>
        <v/>
      </c>
      <c r="T986" s="40">
        <f>F986*d_u*S986</f>
        <v/>
      </c>
      <c r="U986" s="9">
        <f>L986*in_ticket+M986*d_rep_ticket</f>
        <v/>
      </c>
      <c r="V986" s="9">
        <f>U986+T986*d_topup_amt</f>
        <v/>
      </c>
      <c r="W986" s="40">
        <f>N986+T986*d_topup_ratio</f>
        <v/>
      </c>
      <c r="X986" s="40">
        <f>SUMIFS(W971:W1011,B971:B1011,B986-in_dpd_lag)*d_cured</f>
        <v/>
      </c>
      <c r="Y986" s="40">
        <f>SUMIFS(W971:W1011,B971:B1011,B986-in_rec_lag)*d_recd</f>
        <v/>
      </c>
      <c r="Z986" s="40">
        <f>IF(AND(B986&gt;=in_marketplace_from,B986&lt;in_marketplace_from+in_card_months),in_card_share/in_card_months*F986*I986,IF(AND(B986&gt;=in_marketplace_from+in_card_months,B986&lt;in_marketplace_from+2*in_card_months),in_card_share*d_card_rem/in_card_months*F986*MIN(in_takeup_cap,(1+in_takeup_growth)^(D986-1))*MIN(in_takeup_cap,(1+in_approval_growth)^(D986-1)),0))</f>
        <v/>
      </c>
      <c r="AA986" s="14">
        <f>V986*in_fee*(1-in_taken_back)</f>
        <v/>
      </c>
      <c r="AB986" s="14">
        <f>SUMIFS(W971:W1011,B971:B1011,B986-in_dpd_lag)*d_dpd</f>
        <v/>
      </c>
      <c r="AC986" s="14">
        <f>SUMIFS(W971:W1011,B971:B1011,B986-in_rec_lag)*d_rec</f>
        <v/>
      </c>
      <c r="AD986" s="14">
        <f>Z986*in_card_fee</f>
        <v/>
      </c>
      <c r="AE986" s="40">
        <f>AE985*(1-IF(B985&gt;=in_marketplace_from,d_hz_hlth_small*G985,0))</f>
        <v/>
      </c>
      <c r="AF986" s="46">
        <f>AE986*IF(B986&gt;=in_marketplace_from,d_hz_hlth_small*G986,0)</f>
        <v/>
      </c>
      <c r="AG986" s="14">
        <f>F986*AF986*in_hlth_small_ticket*in_hlth_small_comm*in_ins_partner_share+F986*in_hlth_small_ticket*in_hlth_small_renew_comm*in_ins_partner_share*(in_hlth_small_renew^1*SUMIFS(AF971:AF1011,B971:B1011,B986-12)+in_hlth_small_renew^2*SUMIFS(AF971:AF1011,B971:B1011,B986-24)+in_hlth_small_renew^3*SUMIFS(AF971:AF1011,B971:B1011,B986-36)+in_hlth_small_renew^4*SUMIFS(AF971:AF1011,B971:B1011,B986-48))</f>
        <v/>
      </c>
      <c r="AH986" s="40">
        <f>AH985*(1-IF(B985&gt;=in_marketplace_from,d_hz_hlth_family*G985,0))</f>
        <v/>
      </c>
      <c r="AI986" s="46">
        <f>AH986*IF(B986&gt;=in_marketplace_from,d_hz_hlth_family*G986,0)</f>
        <v/>
      </c>
      <c r="AJ986" s="14">
        <f>F986*AI986*in_hlth_family_ticket*in_hlth_family_comm*in_ins_partner_share+F986*in_hlth_family_ticket*in_hlth_family_renew_comm*in_ins_partner_share*(in_hlth_family_renew^1*SUMIFS(AI971:AI1011,B971:B1011,B986-12)+in_hlth_family_renew^2*SUMIFS(AI971:AI1011,B971:B1011,B986-24)+in_hlth_family_renew^3*SUMIFS(AI971:AI1011,B971:B1011,B986-36)+in_hlth_family_renew^4*SUMIFS(AI971:AI1011,B971:B1011,B986-48))</f>
        <v/>
      </c>
      <c r="AK986" s="40">
        <f>AK985*(1-IF(B985&gt;=in_marketplace_from,d_hz_life_term*G985,0))</f>
        <v/>
      </c>
      <c r="AL986" s="46">
        <f>AK986*IF(B986&gt;=in_marketplace_from,d_hz_life_term*G986,0)</f>
        <v/>
      </c>
      <c r="AM986" s="14">
        <f>F986*AL986*in_life_term_ticket*in_life_term_comm*in_ins_partner_share+F986*in_life_term_ticket*in_life_term_renew_comm*in_ins_partner_share*(in_life_term_renew^1*SUMIFS(AL971:AL1011,B971:B1011,B986-12)+in_life_term_renew^2*SUMIFS(AL971:AL1011,B971:B1011,B986-24)+in_life_term_renew^3*SUMIFS(AL971:AL1011,B971:B1011,B986-36)+in_life_term_renew^4*SUMIFS(AL971:AL1011,B971:B1011,B986-48))</f>
        <v/>
      </c>
      <c r="AN986" s="40">
        <f>AN985*(1-IF(B985&gt;=in_marketplace_from,d_hz_accident*G985,0))</f>
        <v/>
      </c>
      <c r="AO986" s="46">
        <f>AN986*IF(B986&gt;=in_marketplace_from,d_hz_accident*G986,0)</f>
        <v/>
      </c>
      <c r="AP986" s="14">
        <f>F986*AO986*in_accident_ticket*in_accident_comm*in_ins_partner_share+F986*in_accident_ticket*in_accident_renew_comm*in_ins_partner_share*(in_accident_renew^1*SUMIFS(AO971:AO1011,B971:B1011,B986-12)+in_accident_renew^2*SUMIFS(AO971:AO1011,B971:B1011,B986-24)+in_accident_renew^3*SUMIFS(AO971:AO1011,B971:B1011,B986-36)+in_accident_renew^4*SUMIFS(AO971:AO1011,B971:B1011,B986-48))</f>
        <v/>
      </c>
      <c r="AQ986" s="40">
        <f>AQ985*(1-IF(B985&gt;=in_marketplace_from,d_hz_two_wheeler*G985,0))</f>
        <v/>
      </c>
      <c r="AR986" s="46">
        <f>AQ986*IF(B986&gt;=in_marketplace_from,d_hz_two_wheeler*G986,0)</f>
        <v/>
      </c>
      <c r="AS986" s="14">
        <f>F986*AR986*in_two_wheeler_ticket*in_two_wheeler_comm*in_ins_partner_share+F986*in_two_wheeler_ticket*in_two_wheeler_comm*in_ins_partner_share*(in_two_wheeler_renew^1*SUMIFS(AR971:AR1011,B971:B1011,B986-12)+in_two_wheeler_renew^2*SUMIFS(AR971:AR1011,B971:B1011,B986-24)+in_two_wheeler_renew^3*SUMIFS(AR971:AR1011,B971:B1011,B986-36)+in_two_wheeler_renew^4*SUMIFS(AR971:AR1011,B971:B1011,B986-48))</f>
        <v/>
      </c>
      <c r="AT986" s="40">
        <f>AT985*(1-IF(B985&gt;=in_marketplace_from,d_hz_device*G985,0))</f>
        <v/>
      </c>
      <c r="AU986" s="14">
        <f>F986*AT986*IF(B986&gt;=in_marketplace_from,d_hz_device*G986,0)*in_device_ticket*in_device_comm*in_ins_partner_share</f>
        <v/>
      </c>
      <c r="AV986" s="40">
        <f>AV985*(1-IF(B985&gt;=in_marketplace_from,d_hz_shop*G985,0))</f>
        <v/>
      </c>
      <c r="AW986" s="46">
        <f>AV986*IF(B986&gt;=in_marketplace_from,d_hz_shop*G986,0)</f>
        <v/>
      </c>
      <c r="AX986" s="14">
        <f>F986*AW986*in_shop_ticket*in_shop_comm*in_ins_partner_share+F986*in_shop_ticket*in_shop_renew_comm*in_ins_partner_share*(in_shop_renew^1*SUMIFS(AW971:AW1011,B971:B1011,B986-12)+in_shop_renew^2*SUMIFS(AW971:AW1011,B971:B1011,B986-24)+in_shop_renew^3*SUMIFS(AW971:AW1011,B971:B1011,B986-36)+in_shop_renew^4*SUMIFS(AW971:AW1011,B971:B1011,B986-48))</f>
        <v/>
      </c>
      <c r="AY986" s="40">
        <f>AY985*(1-IF(B985&gt;=in_marketplace_from,d_hz_sip*G985,0))</f>
        <v/>
      </c>
      <c r="AZ986" s="40">
        <f>AZ985*d_rho_sip+AY986*IF(B986&gt;=in_marketplace_from,d_hz_sip*G986,0)</f>
        <v/>
      </c>
      <c r="BA986" s="40">
        <f>d_rho_sip*(BA985+AZ985)</f>
        <v/>
      </c>
      <c r="BB986" s="14">
        <f>F986*in_sip_ticket*(BA986+0.5*AZ986)*in_sip_comm/12</f>
        <v/>
      </c>
      <c r="BC986" s="40">
        <f>BC985*(1-IF(B985&gt;=in_marketplace_from,d_hz_choti*G985,0))</f>
        <v/>
      </c>
      <c r="BD986" s="46">
        <f>BC986*IF(B986&gt;=in_marketplace_from,d_hz_choti*G986,0)</f>
        <v/>
      </c>
      <c r="BE986" s="14">
        <f>F986*SUMIFS(BD971:BD1011,B971:B1011,B986-in_choti_months)*in_choti_renew*in_choti_ticket</f>
        <v/>
      </c>
      <c r="BF986" s="40">
        <f>BF985*(1-IF(B985&gt;=in_marketplace_from,d_hz_nps*G985,0))</f>
        <v/>
      </c>
      <c r="BG986" s="14">
        <f>F986*BF986*IF(B986&gt;=in_marketplace_from,d_hz_nps*G986,0)*in_nps_ticket*in_nps_comm</f>
        <v/>
      </c>
      <c r="BH986" s="40">
        <f>BH985*(1-IF(B985&gt;=in_marketplace_from,d_hz_gold*G985,0))</f>
        <v/>
      </c>
      <c r="BI986" s="40">
        <f>BI985*d_rho_gold+BH986*IF(B986&gt;=in_marketplace_from,d_hz_gold*G986,0)</f>
        <v/>
      </c>
      <c r="BJ986" s="14">
        <f>F986*BI986*in_gold_ticket*in_gold_comm</f>
        <v/>
      </c>
      <c r="BK986" s="40">
        <f>BK985*(1-IF(B985&gt;=in_marketplace_from,d_hz_fd*G985,0))</f>
        <v/>
      </c>
      <c r="BL986" s="14">
        <f>F986*BK986*IF(B986&gt;=in_marketplace_from,d_hz_fd*G986,0)*in_fd_ticket*in_fd_comm</f>
        <v/>
      </c>
      <c r="BM986" s="40">
        <f>BM985*(1-IF(B985&gt;=in_marketplace_from,d_hz_recharge*G985,0))</f>
        <v/>
      </c>
      <c r="BN986" s="40">
        <f>BN985*d_rho_recharge+BM986*IF(B986&gt;=in_marketplace_from,d_hz_recharge*G986,0)</f>
        <v/>
      </c>
      <c r="BO986" s="14">
        <f>F986*BN986*in_recharge_ticket*in_recharge_comm/12</f>
        <v/>
      </c>
      <c r="BP986" s="40">
        <f>BP985*(1-IF(B985&gt;=in_marketplace_from,d_hz_bills*G985,0))</f>
        <v/>
      </c>
      <c r="BQ986" s="40">
        <f>BQ985*d_rho_bills+BP986*IF(B986&gt;=in_marketplace_from,d_hz_bills*G986,0)</f>
        <v/>
      </c>
      <c r="BR986" s="14">
        <f>F986*BQ986*in_bills_ticket*in_bills_comm/12</f>
        <v/>
      </c>
      <c r="BS986" s="40">
        <f>BS985*(1-IF(B985&gt;=in_marketplace_from,d_hz_loan_gold*G985,0))</f>
        <v/>
      </c>
      <c r="BT986" s="14">
        <f>F986*BS986*IF(B986&gt;=in_marketplace_from,d_hz_loan_gold*G986,0)*in_loan_gold_ticket*in_loan_gold_comm</f>
        <v/>
      </c>
      <c r="BU986" s="40">
        <f>BU985*(1-IF(B985&gt;=in_marketplace_from,d_hz_loan_cd*G985,0))</f>
        <v/>
      </c>
      <c r="BV986" s="14">
        <f>F986*BU986*IF(B986&gt;=in_marketplace_from,d_hz_loan_cd*G986,0)*in_loan_cd_ticket*in_loan_cd_comm</f>
        <v/>
      </c>
      <c r="BW986" s="40">
        <f>BW985*(1-IF(B985&gt;=in_marketplace_from,d_hz_loan_vehicle*G985,0))</f>
        <v/>
      </c>
      <c r="BX986" s="14">
        <f>F986*BW986*IF(B986&gt;=in_marketplace_from,d_hz_loan_vehicle*G986,0)*in_loan_vehicle_ticket*in_loan_vehicle_comm</f>
        <v/>
      </c>
      <c r="BY986" s="40">
        <f>BY985*(1-IF(B985&gt;=in_marketplace_from,d_hz_loan_home*G985,0)*BZ985)</f>
        <v/>
      </c>
      <c r="BZ986" s="11">
        <f>MIN(in_approval_cap,in_loan_home_approval*INDEX('Age profile'!$O$2:$O$61,B986)*(1+in_approval_growth)^(D986-1))</f>
        <v/>
      </c>
      <c r="CA986" s="14">
        <f>F986*BY986*IF(B986&gt;=in_marketplace_from,d_hz_loan_home*G986,0)*BZ986*in_loan_home_ticket*in_loan_home_comm</f>
        <v/>
      </c>
      <c r="CB986" s="40">
        <f>CB985*(1-IF(B985&gt;=in_marketplace_from,d_hz_loan_lap*G985,0)*CC985)</f>
        <v/>
      </c>
      <c r="CC986" s="11">
        <f>MIN(in_approval_cap,in_loan_lap_approval*INDEX('Age profile'!$O$2:$O$61,B986)*(1+in_approval_growth)^(D986-1))</f>
        <v/>
      </c>
      <c r="CD986" s="14">
        <f>F986*CB986*IF(B986&gt;=in_marketplace_from,d_hz_loan_lap*G986,0)*CC986*in_loan_lap_ticket*in_loan_lap_comm</f>
        <v/>
      </c>
      <c r="CE986" s="14">
        <f>AA986+AB986+AC986+AD986+AG986+AJ986+AM986+AP986+AS986+AU986+AX986+BB986+BE986+BG986+BJ986+BL986+BO986+BR986+BT986+BV986+BX986+CA986+CD986</f>
        <v/>
      </c>
    </row>
    <row r="987">
      <c r="A987" s="39" t="n">
        <v>20</v>
      </c>
      <c r="B987" s="39" t="n">
        <v>17</v>
      </c>
      <c r="C987" s="39">
        <f>A987+B987-1</f>
        <v/>
      </c>
      <c r="D987" s="39">
        <f>INT((C987-1)/12)+1</f>
        <v/>
      </c>
      <c r="E987" s="44">
        <f>INDEX(Monthly!$B$2:$B$61,A987)</f>
        <v/>
      </c>
      <c r="F987" s="44">
        <f>E987*INDEX('Age profile'!$B$2:$B$61,B987)</f>
        <v/>
      </c>
      <c r="G987" s="45">
        <f>MIN(in_takeup_cap,INDEX('Age profile'!$N$2:$N$61,B987)*(1+in_takeup_growth)^(D987-1))</f>
        <v/>
      </c>
      <c r="H987" s="11">
        <f>MIN(in_approval_cap,in_approved_first*INDEX('Age profile'!$O$2:$O$61,B987)*(1+in_approval_growth)^(D987-1))</f>
        <v/>
      </c>
      <c r="I987" s="45">
        <f>G987*MIN(in_takeup_cap,INDEX('Age profile'!$O$2:$O$61,B987)*(1+in_approval_growth)^(D987-1))</f>
        <v/>
      </c>
      <c r="J987" s="40">
        <f>(J986-L986)*F987/F986</f>
        <v/>
      </c>
      <c r="K987" s="40">
        <f>(K986-M986)*F987/F986+SUMIFS(O971:O986,B971:B986,B987-1-d_T)*F987</f>
        <v/>
      </c>
      <c r="L987" s="40">
        <f>IF(B987&gt;=in_marketplace_from,J987*d_hz*G987*in_eligible*H987,0)</f>
        <v/>
      </c>
      <c r="M987" s="40">
        <f>IF(B987&gt;=in_marketplace_from,K987*d_hz*G987*in_eligible*in_approved_repeat,0)</f>
        <v/>
      </c>
      <c r="N987" s="40">
        <f>L987+M987</f>
        <v/>
      </c>
      <c r="O987" s="46">
        <f>N987/F987</f>
        <v/>
      </c>
      <c r="P987" s="40">
        <f>F987-J987-K987</f>
        <v/>
      </c>
      <c r="Q987" s="40">
        <f>IF(B987&gt;=in_marketplace_from,(J987+K987)*d_hz*G987,0)</f>
        <v/>
      </c>
      <c r="R987" s="40">
        <f>SUMIFS(N971:N1011,B971:B1011,"&gt;="&amp;(B987-d_T),B971:B1011,"&lt;="&amp;(B987-1))</f>
        <v/>
      </c>
      <c r="S987" s="46">
        <f>(1-d_u)*S986+IF(d_T&gt;in_topup_lag,SUMIFS(O971:O1011,B971:B1011,B987-in_topup_lag)-d_udrop*SUMIFS(O971:O1011,B971:B1011,B987-d_T),0)</f>
        <v/>
      </c>
      <c r="T987" s="40">
        <f>F987*d_u*S987</f>
        <v/>
      </c>
      <c r="U987" s="9">
        <f>L987*in_ticket+M987*d_rep_ticket</f>
        <v/>
      </c>
      <c r="V987" s="9">
        <f>U987+T987*d_topup_amt</f>
        <v/>
      </c>
      <c r="W987" s="40">
        <f>N987+T987*d_topup_ratio</f>
        <v/>
      </c>
      <c r="X987" s="40">
        <f>SUMIFS(W971:W1011,B971:B1011,B987-in_dpd_lag)*d_cured</f>
        <v/>
      </c>
      <c r="Y987" s="40">
        <f>SUMIFS(W971:W1011,B971:B1011,B987-in_rec_lag)*d_recd</f>
        <v/>
      </c>
      <c r="Z987" s="40">
        <f>IF(AND(B987&gt;=in_marketplace_from,B987&lt;in_marketplace_from+in_card_months),in_card_share/in_card_months*F987*I987,IF(AND(B987&gt;=in_marketplace_from+in_card_months,B987&lt;in_marketplace_from+2*in_card_months),in_card_share*d_card_rem/in_card_months*F987*MIN(in_takeup_cap,(1+in_takeup_growth)^(D987-1))*MIN(in_takeup_cap,(1+in_approval_growth)^(D987-1)),0))</f>
        <v/>
      </c>
      <c r="AA987" s="14">
        <f>V987*in_fee*(1-in_taken_back)</f>
        <v/>
      </c>
      <c r="AB987" s="14">
        <f>SUMIFS(W971:W1011,B971:B1011,B987-in_dpd_lag)*d_dpd</f>
        <v/>
      </c>
      <c r="AC987" s="14">
        <f>SUMIFS(W971:W1011,B971:B1011,B987-in_rec_lag)*d_rec</f>
        <v/>
      </c>
      <c r="AD987" s="14">
        <f>Z987*in_card_fee</f>
        <v/>
      </c>
      <c r="AE987" s="40">
        <f>AE986*(1-IF(B986&gt;=in_marketplace_from,d_hz_hlth_small*G986,0))</f>
        <v/>
      </c>
      <c r="AF987" s="46">
        <f>AE987*IF(B987&gt;=in_marketplace_from,d_hz_hlth_small*G987,0)</f>
        <v/>
      </c>
      <c r="AG987" s="14">
        <f>F987*AF987*in_hlth_small_ticket*in_hlth_small_comm*in_ins_partner_share+F987*in_hlth_small_ticket*in_hlth_small_renew_comm*in_ins_partner_share*(in_hlth_small_renew^1*SUMIFS(AF971:AF1011,B971:B1011,B987-12)+in_hlth_small_renew^2*SUMIFS(AF971:AF1011,B971:B1011,B987-24)+in_hlth_small_renew^3*SUMIFS(AF971:AF1011,B971:B1011,B987-36)+in_hlth_small_renew^4*SUMIFS(AF971:AF1011,B971:B1011,B987-48))</f>
        <v/>
      </c>
      <c r="AH987" s="40">
        <f>AH986*(1-IF(B986&gt;=in_marketplace_from,d_hz_hlth_family*G986,0))</f>
        <v/>
      </c>
      <c r="AI987" s="46">
        <f>AH987*IF(B987&gt;=in_marketplace_from,d_hz_hlth_family*G987,0)</f>
        <v/>
      </c>
      <c r="AJ987" s="14">
        <f>F987*AI987*in_hlth_family_ticket*in_hlth_family_comm*in_ins_partner_share+F987*in_hlth_family_ticket*in_hlth_family_renew_comm*in_ins_partner_share*(in_hlth_family_renew^1*SUMIFS(AI971:AI1011,B971:B1011,B987-12)+in_hlth_family_renew^2*SUMIFS(AI971:AI1011,B971:B1011,B987-24)+in_hlth_family_renew^3*SUMIFS(AI971:AI1011,B971:B1011,B987-36)+in_hlth_family_renew^4*SUMIFS(AI971:AI1011,B971:B1011,B987-48))</f>
        <v/>
      </c>
      <c r="AK987" s="40">
        <f>AK986*(1-IF(B986&gt;=in_marketplace_from,d_hz_life_term*G986,0))</f>
        <v/>
      </c>
      <c r="AL987" s="46">
        <f>AK987*IF(B987&gt;=in_marketplace_from,d_hz_life_term*G987,0)</f>
        <v/>
      </c>
      <c r="AM987" s="14">
        <f>F987*AL987*in_life_term_ticket*in_life_term_comm*in_ins_partner_share+F987*in_life_term_ticket*in_life_term_renew_comm*in_ins_partner_share*(in_life_term_renew^1*SUMIFS(AL971:AL1011,B971:B1011,B987-12)+in_life_term_renew^2*SUMIFS(AL971:AL1011,B971:B1011,B987-24)+in_life_term_renew^3*SUMIFS(AL971:AL1011,B971:B1011,B987-36)+in_life_term_renew^4*SUMIFS(AL971:AL1011,B971:B1011,B987-48))</f>
        <v/>
      </c>
      <c r="AN987" s="40">
        <f>AN986*(1-IF(B986&gt;=in_marketplace_from,d_hz_accident*G986,0))</f>
        <v/>
      </c>
      <c r="AO987" s="46">
        <f>AN987*IF(B987&gt;=in_marketplace_from,d_hz_accident*G987,0)</f>
        <v/>
      </c>
      <c r="AP987" s="14">
        <f>F987*AO987*in_accident_ticket*in_accident_comm*in_ins_partner_share+F987*in_accident_ticket*in_accident_renew_comm*in_ins_partner_share*(in_accident_renew^1*SUMIFS(AO971:AO1011,B971:B1011,B987-12)+in_accident_renew^2*SUMIFS(AO971:AO1011,B971:B1011,B987-24)+in_accident_renew^3*SUMIFS(AO971:AO1011,B971:B1011,B987-36)+in_accident_renew^4*SUMIFS(AO971:AO1011,B971:B1011,B987-48))</f>
        <v/>
      </c>
      <c r="AQ987" s="40">
        <f>AQ986*(1-IF(B986&gt;=in_marketplace_from,d_hz_two_wheeler*G986,0))</f>
        <v/>
      </c>
      <c r="AR987" s="46">
        <f>AQ987*IF(B987&gt;=in_marketplace_from,d_hz_two_wheeler*G987,0)</f>
        <v/>
      </c>
      <c r="AS987" s="14">
        <f>F987*AR987*in_two_wheeler_ticket*in_two_wheeler_comm*in_ins_partner_share+F987*in_two_wheeler_ticket*in_two_wheeler_comm*in_ins_partner_share*(in_two_wheeler_renew^1*SUMIFS(AR971:AR1011,B971:B1011,B987-12)+in_two_wheeler_renew^2*SUMIFS(AR971:AR1011,B971:B1011,B987-24)+in_two_wheeler_renew^3*SUMIFS(AR971:AR1011,B971:B1011,B987-36)+in_two_wheeler_renew^4*SUMIFS(AR971:AR1011,B971:B1011,B987-48))</f>
        <v/>
      </c>
      <c r="AT987" s="40">
        <f>AT986*(1-IF(B986&gt;=in_marketplace_from,d_hz_device*G986,0))</f>
        <v/>
      </c>
      <c r="AU987" s="14">
        <f>F987*AT987*IF(B987&gt;=in_marketplace_from,d_hz_device*G987,0)*in_device_ticket*in_device_comm*in_ins_partner_share</f>
        <v/>
      </c>
      <c r="AV987" s="40">
        <f>AV986*(1-IF(B986&gt;=in_marketplace_from,d_hz_shop*G986,0))</f>
        <v/>
      </c>
      <c r="AW987" s="46">
        <f>AV987*IF(B987&gt;=in_marketplace_from,d_hz_shop*G987,0)</f>
        <v/>
      </c>
      <c r="AX987" s="14">
        <f>F987*AW987*in_shop_ticket*in_shop_comm*in_ins_partner_share+F987*in_shop_ticket*in_shop_renew_comm*in_ins_partner_share*(in_shop_renew^1*SUMIFS(AW971:AW1011,B971:B1011,B987-12)+in_shop_renew^2*SUMIFS(AW971:AW1011,B971:B1011,B987-24)+in_shop_renew^3*SUMIFS(AW971:AW1011,B971:B1011,B987-36)+in_shop_renew^4*SUMIFS(AW971:AW1011,B971:B1011,B987-48))</f>
        <v/>
      </c>
      <c r="AY987" s="40">
        <f>AY986*(1-IF(B986&gt;=in_marketplace_from,d_hz_sip*G986,0))</f>
        <v/>
      </c>
      <c r="AZ987" s="40">
        <f>AZ986*d_rho_sip+AY987*IF(B987&gt;=in_marketplace_from,d_hz_sip*G987,0)</f>
        <v/>
      </c>
      <c r="BA987" s="40">
        <f>d_rho_sip*(BA986+AZ986)</f>
        <v/>
      </c>
      <c r="BB987" s="14">
        <f>F987*in_sip_ticket*(BA987+0.5*AZ987)*in_sip_comm/12</f>
        <v/>
      </c>
      <c r="BC987" s="40">
        <f>BC986*(1-IF(B986&gt;=in_marketplace_from,d_hz_choti*G986,0))</f>
        <v/>
      </c>
      <c r="BD987" s="46">
        <f>BC987*IF(B987&gt;=in_marketplace_from,d_hz_choti*G987,0)</f>
        <v/>
      </c>
      <c r="BE987" s="14">
        <f>F987*SUMIFS(BD971:BD1011,B971:B1011,B987-in_choti_months)*in_choti_renew*in_choti_ticket</f>
        <v/>
      </c>
      <c r="BF987" s="40">
        <f>BF986*(1-IF(B986&gt;=in_marketplace_from,d_hz_nps*G986,0))</f>
        <v/>
      </c>
      <c r="BG987" s="14">
        <f>F987*BF987*IF(B987&gt;=in_marketplace_from,d_hz_nps*G987,0)*in_nps_ticket*in_nps_comm</f>
        <v/>
      </c>
      <c r="BH987" s="40">
        <f>BH986*(1-IF(B986&gt;=in_marketplace_from,d_hz_gold*G986,0))</f>
        <v/>
      </c>
      <c r="BI987" s="40">
        <f>BI986*d_rho_gold+BH987*IF(B987&gt;=in_marketplace_from,d_hz_gold*G987,0)</f>
        <v/>
      </c>
      <c r="BJ987" s="14">
        <f>F987*BI987*in_gold_ticket*in_gold_comm</f>
        <v/>
      </c>
      <c r="BK987" s="40">
        <f>BK986*(1-IF(B986&gt;=in_marketplace_from,d_hz_fd*G986,0))</f>
        <v/>
      </c>
      <c r="BL987" s="14">
        <f>F987*BK987*IF(B987&gt;=in_marketplace_from,d_hz_fd*G987,0)*in_fd_ticket*in_fd_comm</f>
        <v/>
      </c>
      <c r="BM987" s="40">
        <f>BM986*(1-IF(B986&gt;=in_marketplace_from,d_hz_recharge*G986,0))</f>
        <v/>
      </c>
      <c r="BN987" s="40">
        <f>BN986*d_rho_recharge+BM987*IF(B987&gt;=in_marketplace_from,d_hz_recharge*G987,0)</f>
        <v/>
      </c>
      <c r="BO987" s="14">
        <f>F987*BN987*in_recharge_ticket*in_recharge_comm/12</f>
        <v/>
      </c>
      <c r="BP987" s="40">
        <f>BP986*(1-IF(B986&gt;=in_marketplace_from,d_hz_bills*G986,0))</f>
        <v/>
      </c>
      <c r="BQ987" s="40">
        <f>BQ986*d_rho_bills+BP987*IF(B987&gt;=in_marketplace_from,d_hz_bills*G987,0)</f>
        <v/>
      </c>
      <c r="BR987" s="14">
        <f>F987*BQ987*in_bills_ticket*in_bills_comm/12</f>
        <v/>
      </c>
      <c r="BS987" s="40">
        <f>BS986*(1-IF(B986&gt;=in_marketplace_from,d_hz_loan_gold*G986,0))</f>
        <v/>
      </c>
      <c r="BT987" s="14">
        <f>F987*BS987*IF(B987&gt;=in_marketplace_from,d_hz_loan_gold*G987,0)*in_loan_gold_ticket*in_loan_gold_comm</f>
        <v/>
      </c>
      <c r="BU987" s="40">
        <f>BU986*(1-IF(B986&gt;=in_marketplace_from,d_hz_loan_cd*G986,0))</f>
        <v/>
      </c>
      <c r="BV987" s="14">
        <f>F987*BU987*IF(B987&gt;=in_marketplace_from,d_hz_loan_cd*G987,0)*in_loan_cd_ticket*in_loan_cd_comm</f>
        <v/>
      </c>
      <c r="BW987" s="40">
        <f>BW986*(1-IF(B986&gt;=in_marketplace_from,d_hz_loan_vehicle*G986,0))</f>
        <v/>
      </c>
      <c r="BX987" s="14">
        <f>F987*BW987*IF(B987&gt;=in_marketplace_from,d_hz_loan_vehicle*G987,0)*in_loan_vehicle_ticket*in_loan_vehicle_comm</f>
        <v/>
      </c>
      <c r="BY987" s="40">
        <f>BY986*(1-IF(B986&gt;=in_marketplace_from,d_hz_loan_home*G986,0)*BZ986)</f>
        <v/>
      </c>
      <c r="BZ987" s="11">
        <f>MIN(in_approval_cap,in_loan_home_approval*INDEX('Age profile'!$O$2:$O$61,B987)*(1+in_approval_growth)^(D987-1))</f>
        <v/>
      </c>
      <c r="CA987" s="14">
        <f>F987*BY987*IF(B987&gt;=in_marketplace_from,d_hz_loan_home*G987,0)*BZ987*in_loan_home_ticket*in_loan_home_comm</f>
        <v/>
      </c>
      <c r="CB987" s="40">
        <f>CB986*(1-IF(B986&gt;=in_marketplace_from,d_hz_loan_lap*G986,0)*CC986)</f>
        <v/>
      </c>
      <c r="CC987" s="11">
        <f>MIN(in_approval_cap,in_loan_lap_approval*INDEX('Age profile'!$O$2:$O$61,B987)*(1+in_approval_growth)^(D987-1))</f>
        <v/>
      </c>
      <c r="CD987" s="14">
        <f>F987*CB987*IF(B987&gt;=in_marketplace_from,d_hz_loan_lap*G987,0)*CC987*in_loan_lap_ticket*in_loan_lap_comm</f>
        <v/>
      </c>
      <c r="CE987" s="14">
        <f>AA987+AB987+AC987+AD987+AG987+AJ987+AM987+AP987+AS987+AU987+AX987+BB987+BE987+BG987+BJ987+BL987+BO987+BR987+BT987+BV987+BX987+CA987+CD987</f>
        <v/>
      </c>
    </row>
    <row r="988">
      <c r="A988" s="39" t="n">
        <v>20</v>
      </c>
      <c r="B988" s="39" t="n">
        <v>18</v>
      </c>
      <c r="C988" s="39">
        <f>A988+B988-1</f>
        <v/>
      </c>
      <c r="D988" s="39">
        <f>INT((C988-1)/12)+1</f>
        <v/>
      </c>
      <c r="E988" s="44">
        <f>INDEX(Monthly!$B$2:$B$61,A988)</f>
        <v/>
      </c>
      <c r="F988" s="44">
        <f>E988*INDEX('Age profile'!$B$2:$B$61,B988)</f>
        <v/>
      </c>
      <c r="G988" s="45">
        <f>MIN(in_takeup_cap,INDEX('Age profile'!$N$2:$N$61,B988)*(1+in_takeup_growth)^(D988-1))</f>
        <v/>
      </c>
      <c r="H988" s="11">
        <f>MIN(in_approval_cap,in_approved_first*INDEX('Age profile'!$O$2:$O$61,B988)*(1+in_approval_growth)^(D988-1))</f>
        <v/>
      </c>
      <c r="I988" s="45">
        <f>G988*MIN(in_takeup_cap,INDEX('Age profile'!$O$2:$O$61,B988)*(1+in_approval_growth)^(D988-1))</f>
        <v/>
      </c>
      <c r="J988" s="40">
        <f>(J987-L987)*F988/F987</f>
        <v/>
      </c>
      <c r="K988" s="40">
        <f>(K987-M987)*F988/F987+SUMIFS(O971:O987,B971:B987,B988-1-d_T)*F988</f>
        <v/>
      </c>
      <c r="L988" s="40">
        <f>IF(B988&gt;=in_marketplace_from,J988*d_hz*G988*in_eligible*H988,0)</f>
        <v/>
      </c>
      <c r="M988" s="40">
        <f>IF(B988&gt;=in_marketplace_from,K988*d_hz*G988*in_eligible*in_approved_repeat,0)</f>
        <v/>
      </c>
      <c r="N988" s="40">
        <f>L988+M988</f>
        <v/>
      </c>
      <c r="O988" s="46">
        <f>N988/F988</f>
        <v/>
      </c>
      <c r="P988" s="40">
        <f>F988-J988-K988</f>
        <v/>
      </c>
      <c r="Q988" s="40">
        <f>IF(B988&gt;=in_marketplace_from,(J988+K988)*d_hz*G988,0)</f>
        <v/>
      </c>
      <c r="R988" s="40">
        <f>SUMIFS(N971:N1011,B971:B1011,"&gt;="&amp;(B988-d_T),B971:B1011,"&lt;="&amp;(B988-1))</f>
        <v/>
      </c>
      <c r="S988" s="46">
        <f>(1-d_u)*S987+IF(d_T&gt;in_topup_lag,SUMIFS(O971:O1011,B971:B1011,B988-in_topup_lag)-d_udrop*SUMIFS(O971:O1011,B971:B1011,B988-d_T),0)</f>
        <v/>
      </c>
      <c r="T988" s="40">
        <f>F988*d_u*S988</f>
        <v/>
      </c>
      <c r="U988" s="9">
        <f>L988*in_ticket+M988*d_rep_ticket</f>
        <v/>
      </c>
      <c r="V988" s="9">
        <f>U988+T988*d_topup_amt</f>
        <v/>
      </c>
      <c r="W988" s="40">
        <f>N988+T988*d_topup_ratio</f>
        <v/>
      </c>
      <c r="X988" s="40">
        <f>SUMIFS(W971:W1011,B971:B1011,B988-in_dpd_lag)*d_cured</f>
        <v/>
      </c>
      <c r="Y988" s="40">
        <f>SUMIFS(W971:W1011,B971:B1011,B988-in_rec_lag)*d_recd</f>
        <v/>
      </c>
      <c r="Z988" s="40">
        <f>IF(AND(B988&gt;=in_marketplace_from,B988&lt;in_marketplace_from+in_card_months),in_card_share/in_card_months*F988*I988,IF(AND(B988&gt;=in_marketplace_from+in_card_months,B988&lt;in_marketplace_from+2*in_card_months),in_card_share*d_card_rem/in_card_months*F988*MIN(in_takeup_cap,(1+in_takeup_growth)^(D988-1))*MIN(in_takeup_cap,(1+in_approval_growth)^(D988-1)),0))</f>
        <v/>
      </c>
      <c r="AA988" s="14">
        <f>V988*in_fee*(1-in_taken_back)</f>
        <v/>
      </c>
      <c r="AB988" s="14">
        <f>SUMIFS(W971:W1011,B971:B1011,B988-in_dpd_lag)*d_dpd</f>
        <v/>
      </c>
      <c r="AC988" s="14">
        <f>SUMIFS(W971:W1011,B971:B1011,B988-in_rec_lag)*d_rec</f>
        <v/>
      </c>
      <c r="AD988" s="14">
        <f>Z988*in_card_fee</f>
        <v/>
      </c>
      <c r="AE988" s="40">
        <f>AE987*(1-IF(B987&gt;=in_marketplace_from,d_hz_hlth_small*G987,0))</f>
        <v/>
      </c>
      <c r="AF988" s="46">
        <f>AE988*IF(B988&gt;=in_marketplace_from,d_hz_hlth_small*G988,0)</f>
        <v/>
      </c>
      <c r="AG988" s="14">
        <f>F988*AF988*in_hlth_small_ticket*in_hlth_small_comm*in_ins_partner_share+F988*in_hlth_small_ticket*in_hlth_small_renew_comm*in_ins_partner_share*(in_hlth_small_renew^1*SUMIFS(AF971:AF1011,B971:B1011,B988-12)+in_hlth_small_renew^2*SUMIFS(AF971:AF1011,B971:B1011,B988-24)+in_hlth_small_renew^3*SUMIFS(AF971:AF1011,B971:B1011,B988-36)+in_hlth_small_renew^4*SUMIFS(AF971:AF1011,B971:B1011,B988-48))</f>
        <v/>
      </c>
      <c r="AH988" s="40">
        <f>AH987*(1-IF(B987&gt;=in_marketplace_from,d_hz_hlth_family*G987,0))</f>
        <v/>
      </c>
      <c r="AI988" s="46">
        <f>AH988*IF(B988&gt;=in_marketplace_from,d_hz_hlth_family*G988,0)</f>
        <v/>
      </c>
      <c r="AJ988" s="14">
        <f>F988*AI988*in_hlth_family_ticket*in_hlth_family_comm*in_ins_partner_share+F988*in_hlth_family_ticket*in_hlth_family_renew_comm*in_ins_partner_share*(in_hlth_family_renew^1*SUMIFS(AI971:AI1011,B971:B1011,B988-12)+in_hlth_family_renew^2*SUMIFS(AI971:AI1011,B971:B1011,B988-24)+in_hlth_family_renew^3*SUMIFS(AI971:AI1011,B971:B1011,B988-36)+in_hlth_family_renew^4*SUMIFS(AI971:AI1011,B971:B1011,B988-48))</f>
        <v/>
      </c>
      <c r="AK988" s="40">
        <f>AK987*(1-IF(B987&gt;=in_marketplace_from,d_hz_life_term*G987,0))</f>
        <v/>
      </c>
      <c r="AL988" s="46">
        <f>AK988*IF(B988&gt;=in_marketplace_from,d_hz_life_term*G988,0)</f>
        <v/>
      </c>
      <c r="AM988" s="14">
        <f>F988*AL988*in_life_term_ticket*in_life_term_comm*in_ins_partner_share+F988*in_life_term_ticket*in_life_term_renew_comm*in_ins_partner_share*(in_life_term_renew^1*SUMIFS(AL971:AL1011,B971:B1011,B988-12)+in_life_term_renew^2*SUMIFS(AL971:AL1011,B971:B1011,B988-24)+in_life_term_renew^3*SUMIFS(AL971:AL1011,B971:B1011,B988-36)+in_life_term_renew^4*SUMIFS(AL971:AL1011,B971:B1011,B988-48))</f>
        <v/>
      </c>
      <c r="AN988" s="40">
        <f>AN987*(1-IF(B987&gt;=in_marketplace_from,d_hz_accident*G987,0))</f>
        <v/>
      </c>
      <c r="AO988" s="46">
        <f>AN988*IF(B988&gt;=in_marketplace_from,d_hz_accident*G988,0)</f>
        <v/>
      </c>
      <c r="AP988" s="14">
        <f>F988*AO988*in_accident_ticket*in_accident_comm*in_ins_partner_share+F988*in_accident_ticket*in_accident_renew_comm*in_ins_partner_share*(in_accident_renew^1*SUMIFS(AO971:AO1011,B971:B1011,B988-12)+in_accident_renew^2*SUMIFS(AO971:AO1011,B971:B1011,B988-24)+in_accident_renew^3*SUMIFS(AO971:AO1011,B971:B1011,B988-36)+in_accident_renew^4*SUMIFS(AO971:AO1011,B971:B1011,B988-48))</f>
        <v/>
      </c>
      <c r="AQ988" s="40">
        <f>AQ987*(1-IF(B987&gt;=in_marketplace_from,d_hz_two_wheeler*G987,0))</f>
        <v/>
      </c>
      <c r="AR988" s="46">
        <f>AQ988*IF(B988&gt;=in_marketplace_from,d_hz_two_wheeler*G988,0)</f>
        <v/>
      </c>
      <c r="AS988" s="14">
        <f>F988*AR988*in_two_wheeler_ticket*in_two_wheeler_comm*in_ins_partner_share+F988*in_two_wheeler_ticket*in_two_wheeler_comm*in_ins_partner_share*(in_two_wheeler_renew^1*SUMIFS(AR971:AR1011,B971:B1011,B988-12)+in_two_wheeler_renew^2*SUMIFS(AR971:AR1011,B971:B1011,B988-24)+in_two_wheeler_renew^3*SUMIFS(AR971:AR1011,B971:B1011,B988-36)+in_two_wheeler_renew^4*SUMIFS(AR971:AR1011,B971:B1011,B988-48))</f>
        <v/>
      </c>
      <c r="AT988" s="40">
        <f>AT987*(1-IF(B987&gt;=in_marketplace_from,d_hz_device*G987,0))</f>
        <v/>
      </c>
      <c r="AU988" s="14">
        <f>F988*AT988*IF(B988&gt;=in_marketplace_from,d_hz_device*G988,0)*in_device_ticket*in_device_comm*in_ins_partner_share</f>
        <v/>
      </c>
      <c r="AV988" s="40">
        <f>AV987*(1-IF(B987&gt;=in_marketplace_from,d_hz_shop*G987,0))</f>
        <v/>
      </c>
      <c r="AW988" s="46">
        <f>AV988*IF(B988&gt;=in_marketplace_from,d_hz_shop*G988,0)</f>
        <v/>
      </c>
      <c r="AX988" s="14">
        <f>F988*AW988*in_shop_ticket*in_shop_comm*in_ins_partner_share+F988*in_shop_ticket*in_shop_renew_comm*in_ins_partner_share*(in_shop_renew^1*SUMIFS(AW971:AW1011,B971:B1011,B988-12)+in_shop_renew^2*SUMIFS(AW971:AW1011,B971:B1011,B988-24)+in_shop_renew^3*SUMIFS(AW971:AW1011,B971:B1011,B988-36)+in_shop_renew^4*SUMIFS(AW971:AW1011,B971:B1011,B988-48))</f>
        <v/>
      </c>
      <c r="AY988" s="40">
        <f>AY987*(1-IF(B987&gt;=in_marketplace_from,d_hz_sip*G987,0))</f>
        <v/>
      </c>
      <c r="AZ988" s="40">
        <f>AZ987*d_rho_sip+AY988*IF(B988&gt;=in_marketplace_from,d_hz_sip*G988,0)</f>
        <v/>
      </c>
      <c r="BA988" s="40">
        <f>d_rho_sip*(BA987+AZ987)</f>
        <v/>
      </c>
      <c r="BB988" s="14">
        <f>F988*in_sip_ticket*(BA988+0.5*AZ988)*in_sip_comm/12</f>
        <v/>
      </c>
      <c r="BC988" s="40">
        <f>BC987*(1-IF(B987&gt;=in_marketplace_from,d_hz_choti*G987,0))</f>
        <v/>
      </c>
      <c r="BD988" s="46">
        <f>BC988*IF(B988&gt;=in_marketplace_from,d_hz_choti*G988,0)</f>
        <v/>
      </c>
      <c r="BE988" s="14">
        <f>F988*SUMIFS(BD971:BD1011,B971:B1011,B988-in_choti_months)*in_choti_renew*in_choti_ticket</f>
        <v/>
      </c>
      <c r="BF988" s="40">
        <f>BF987*(1-IF(B987&gt;=in_marketplace_from,d_hz_nps*G987,0))</f>
        <v/>
      </c>
      <c r="BG988" s="14">
        <f>F988*BF988*IF(B988&gt;=in_marketplace_from,d_hz_nps*G988,0)*in_nps_ticket*in_nps_comm</f>
        <v/>
      </c>
      <c r="BH988" s="40">
        <f>BH987*(1-IF(B987&gt;=in_marketplace_from,d_hz_gold*G987,0))</f>
        <v/>
      </c>
      <c r="BI988" s="40">
        <f>BI987*d_rho_gold+BH988*IF(B988&gt;=in_marketplace_from,d_hz_gold*G988,0)</f>
        <v/>
      </c>
      <c r="BJ988" s="14">
        <f>F988*BI988*in_gold_ticket*in_gold_comm</f>
        <v/>
      </c>
      <c r="BK988" s="40">
        <f>BK987*(1-IF(B987&gt;=in_marketplace_from,d_hz_fd*G987,0))</f>
        <v/>
      </c>
      <c r="BL988" s="14">
        <f>F988*BK988*IF(B988&gt;=in_marketplace_from,d_hz_fd*G988,0)*in_fd_ticket*in_fd_comm</f>
        <v/>
      </c>
      <c r="BM988" s="40">
        <f>BM987*(1-IF(B987&gt;=in_marketplace_from,d_hz_recharge*G987,0))</f>
        <v/>
      </c>
      <c r="BN988" s="40">
        <f>BN987*d_rho_recharge+BM988*IF(B988&gt;=in_marketplace_from,d_hz_recharge*G988,0)</f>
        <v/>
      </c>
      <c r="BO988" s="14">
        <f>F988*BN988*in_recharge_ticket*in_recharge_comm/12</f>
        <v/>
      </c>
      <c r="BP988" s="40">
        <f>BP987*(1-IF(B987&gt;=in_marketplace_from,d_hz_bills*G987,0))</f>
        <v/>
      </c>
      <c r="BQ988" s="40">
        <f>BQ987*d_rho_bills+BP988*IF(B988&gt;=in_marketplace_from,d_hz_bills*G988,0)</f>
        <v/>
      </c>
      <c r="BR988" s="14">
        <f>F988*BQ988*in_bills_ticket*in_bills_comm/12</f>
        <v/>
      </c>
      <c r="BS988" s="40">
        <f>BS987*(1-IF(B987&gt;=in_marketplace_from,d_hz_loan_gold*G987,0))</f>
        <v/>
      </c>
      <c r="BT988" s="14">
        <f>F988*BS988*IF(B988&gt;=in_marketplace_from,d_hz_loan_gold*G988,0)*in_loan_gold_ticket*in_loan_gold_comm</f>
        <v/>
      </c>
      <c r="BU988" s="40">
        <f>BU987*(1-IF(B987&gt;=in_marketplace_from,d_hz_loan_cd*G987,0))</f>
        <v/>
      </c>
      <c r="BV988" s="14">
        <f>F988*BU988*IF(B988&gt;=in_marketplace_from,d_hz_loan_cd*G988,0)*in_loan_cd_ticket*in_loan_cd_comm</f>
        <v/>
      </c>
      <c r="BW988" s="40">
        <f>BW987*(1-IF(B987&gt;=in_marketplace_from,d_hz_loan_vehicle*G987,0))</f>
        <v/>
      </c>
      <c r="BX988" s="14">
        <f>F988*BW988*IF(B988&gt;=in_marketplace_from,d_hz_loan_vehicle*G988,0)*in_loan_vehicle_ticket*in_loan_vehicle_comm</f>
        <v/>
      </c>
      <c r="BY988" s="40">
        <f>BY987*(1-IF(B987&gt;=in_marketplace_from,d_hz_loan_home*G987,0)*BZ987)</f>
        <v/>
      </c>
      <c r="BZ988" s="11">
        <f>MIN(in_approval_cap,in_loan_home_approval*INDEX('Age profile'!$O$2:$O$61,B988)*(1+in_approval_growth)^(D988-1))</f>
        <v/>
      </c>
      <c r="CA988" s="14">
        <f>F988*BY988*IF(B988&gt;=in_marketplace_from,d_hz_loan_home*G988,0)*BZ988*in_loan_home_ticket*in_loan_home_comm</f>
        <v/>
      </c>
      <c r="CB988" s="40">
        <f>CB987*(1-IF(B987&gt;=in_marketplace_from,d_hz_loan_lap*G987,0)*CC987)</f>
        <v/>
      </c>
      <c r="CC988" s="11">
        <f>MIN(in_approval_cap,in_loan_lap_approval*INDEX('Age profile'!$O$2:$O$61,B988)*(1+in_approval_growth)^(D988-1))</f>
        <v/>
      </c>
      <c r="CD988" s="14">
        <f>F988*CB988*IF(B988&gt;=in_marketplace_from,d_hz_loan_lap*G988,0)*CC988*in_loan_lap_ticket*in_loan_lap_comm</f>
        <v/>
      </c>
      <c r="CE988" s="14">
        <f>AA988+AB988+AC988+AD988+AG988+AJ988+AM988+AP988+AS988+AU988+AX988+BB988+BE988+BG988+BJ988+BL988+BO988+BR988+BT988+BV988+BX988+CA988+CD988</f>
        <v/>
      </c>
    </row>
    <row r="989">
      <c r="A989" s="39" t="n">
        <v>20</v>
      </c>
      <c r="B989" s="39" t="n">
        <v>19</v>
      </c>
      <c r="C989" s="39">
        <f>A989+B989-1</f>
        <v/>
      </c>
      <c r="D989" s="39">
        <f>INT((C989-1)/12)+1</f>
        <v/>
      </c>
      <c r="E989" s="44">
        <f>INDEX(Monthly!$B$2:$B$61,A989)</f>
        <v/>
      </c>
      <c r="F989" s="44">
        <f>E989*INDEX('Age profile'!$B$2:$B$61,B989)</f>
        <v/>
      </c>
      <c r="G989" s="45">
        <f>MIN(in_takeup_cap,INDEX('Age profile'!$N$2:$N$61,B989)*(1+in_takeup_growth)^(D989-1))</f>
        <v/>
      </c>
      <c r="H989" s="11">
        <f>MIN(in_approval_cap,in_approved_first*INDEX('Age profile'!$O$2:$O$61,B989)*(1+in_approval_growth)^(D989-1))</f>
        <v/>
      </c>
      <c r="I989" s="45">
        <f>G989*MIN(in_takeup_cap,INDEX('Age profile'!$O$2:$O$61,B989)*(1+in_approval_growth)^(D989-1))</f>
        <v/>
      </c>
      <c r="J989" s="40">
        <f>(J988-L988)*F989/F988</f>
        <v/>
      </c>
      <c r="K989" s="40">
        <f>(K988-M988)*F989/F988+SUMIFS(O971:O988,B971:B988,B989-1-d_T)*F989</f>
        <v/>
      </c>
      <c r="L989" s="40">
        <f>IF(B989&gt;=in_marketplace_from,J989*d_hz*G989*in_eligible*H989,0)</f>
        <v/>
      </c>
      <c r="M989" s="40">
        <f>IF(B989&gt;=in_marketplace_from,K989*d_hz*G989*in_eligible*in_approved_repeat,0)</f>
        <v/>
      </c>
      <c r="N989" s="40">
        <f>L989+M989</f>
        <v/>
      </c>
      <c r="O989" s="46">
        <f>N989/F989</f>
        <v/>
      </c>
      <c r="P989" s="40">
        <f>F989-J989-K989</f>
        <v/>
      </c>
      <c r="Q989" s="40">
        <f>IF(B989&gt;=in_marketplace_from,(J989+K989)*d_hz*G989,0)</f>
        <v/>
      </c>
      <c r="R989" s="40">
        <f>SUMIFS(N971:N1011,B971:B1011,"&gt;="&amp;(B989-d_T),B971:B1011,"&lt;="&amp;(B989-1))</f>
        <v/>
      </c>
      <c r="S989" s="46">
        <f>(1-d_u)*S988+IF(d_T&gt;in_topup_lag,SUMIFS(O971:O1011,B971:B1011,B989-in_topup_lag)-d_udrop*SUMIFS(O971:O1011,B971:B1011,B989-d_T),0)</f>
        <v/>
      </c>
      <c r="T989" s="40">
        <f>F989*d_u*S989</f>
        <v/>
      </c>
      <c r="U989" s="9">
        <f>L989*in_ticket+M989*d_rep_ticket</f>
        <v/>
      </c>
      <c r="V989" s="9">
        <f>U989+T989*d_topup_amt</f>
        <v/>
      </c>
      <c r="W989" s="40">
        <f>N989+T989*d_topup_ratio</f>
        <v/>
      </c>
      <c r="X989" s="40">
        <f>SUMIFS(W971:W1011,B971:B1011,B989-in_dpd_lag)*d_cured</f>
        <v/>
      </c>
      <c r="Y989" s="40">
        <f>SUMIFS(W971:W1011,B971:B1011,B989-in_rec_lag)*d_recd</f>
        <v/>
      </c>
      <c r="Z989" s="40">
        <f>IF(AND(B989&gt;=in_marketplace_from,B989&lt;in_marketplace_from+in_card_months),in_card_share/in_card_months*F989*I989,IF(AND(B989&gt;=in_marketplace_from+in_card_months,B989&lt;in_marketplace_from+2*in_card_months),in_card_share*d_card_rem/in_card_months*F989*MIN(in_takeup_cap,(1+in_takeup_growth)^(D989-1))*MIN(in_takeup_cap,(1+in_approval_growth)^(D989-1)),0))</f>
        <v/>
      </c>
      <c r="AA989" s="14">
        <f>V989*in_fee*(1-in_taken_back)</f>
        <v/>
      </c>
      <c r="AB989" s="14">
        <f>SUMIFS(W971:W1011,B971:B1011,B989-in_dpd_lag)*d_dpd</f>
        <v/>
      </c>
      <c r="AC989" s="14">
        <f>SUMIFS(W971:W1011,B971:B1011,B989-in_rec_lag)*d_rec</f>
        <v/>
      </c>
      <c r="AD989" s="14">
        <f>Z989*in_card_fee</f>
        <v/>
      </c>
      <c r="AE989" s="40">
        <f>AE988*(1-IF(B988&gt;=in_marketplace_from,d_hz_hlth_small*G988,0))</f>
        <v/>
      </c>
      <c r="AF989" s="46">
        <f>AE989*IF(B989&gt;=in_marketplace_from,d_hz_hlth_small*G989,0)</f>
        <v/>
      </c>
      <c r="AG989" s="14">
        <f>F989*AF989*in_hlth_small_ticket*in_hlth_small_comm*in_ins_partner_share+F989*in_hlth_small_ticket*in_hlth_small_renew_comm*in_ins_partner_share*(in_hlth_small_renew^1*SUMIFS(AF971:AF1011,B971:B1011,B989-12)+in_hlth_small_renew^2*SUMIFS(AF971:AF1011,B971:B1011,B989-24)+in_hlth_small_renew^3*SUMIFS(AF971:AF1011,B971:B1011,B989-36)+in_hlth_small_renew^4*SUMIFS(AF971:AF1011,B971:B1011,B989-48))</f>
        <v/>
      </c>
      <c r="AH989" s="40">
        <f>AH988*(1-IF(B988&gt;=in_marketplace_from,d_hz_hlth_family*G988,0))</f>
        <v/>
      </c>
      <c r="AI989" s="46">
        <f>AH989*IF(B989&gt;=in_marketplace_from,d_hz_hlth_family*G989,0)</f>
        <v/>
      </c>
      <c r="AJ989" s="14">
        <f>F989*AI989*in_hlth_family_ticket*in_hlth_family_comm*in_ins_partner_share+F989*in_hlth_family_ticket*in_hlth_family_renew_comm*in_ins_partner_share*(in_hlth_family_renew^1*SUMIFS(AI971:AI1011,B971:B1011,B989-12)+in_hlth_family_renew^2*SUMIFS(AI971:AI1011,B971:B1011,B989-24)+in_hlth_family_renew^3*SUMIFS(AI971:AI1011,B971:B1011,B989-36)+in_hlth_family_renew^4*SUMIFS(AI971:AI1011,B971:B1011,B989-48))</f>
        <v/>
      </c>
      <c r="AK989" s="40">
        <f>AK988*(1-IF(B988&gt;=in_marketplace_from,d_hz_life_term*G988,0))</f>
        <v/>
      </c>
      <c r="AL989" s="46">
        <f>AK989*IF(B989&gt;=in_marketplace_from,d_hz_life_term*G989,0)</f>
        <v/>
      </c>
      <c r="AM989" s="14">
        <f>F989*AL989*in_life_term_ticket*in_life_term_comm*in_ins_partner_share+F989*in_life_term_ticket*in_life_term_renew_comm*in_ins_partner_share*(in_life_term_renew^1*SUMIFS(AL971:AL1011,B971:B1011,B989-12)+in_life_term_renew^2*SUMIFS(AL971:AL1011,B971:B1011,B989-24)+in_life_term_renew^3*SUMIFS(AL971:AL1011,B971:B1011,B989-36)+in_life_term_renew^4*SUMIFS(AL971:AL1011,B971:B1011,B989-48))</f>
        <v/>
      </c>
      <c r="AN989" s="40">
        <f>AN988*(1-IF(B988&gt;=in_marketplace_from,d_hz_accident*G988,0))</f>
        <v/>
      </c>
      <c r="AO989" s="46">
        <f>AN989*IF(B989&gt;=in_marketplace_from,d_hz_accident*G989,0)</f>
        <v/>
      </c>
      <c r="AP989" s="14">
        <f>F989*AO989*in_accident_ticket*in_accident_comm*in_ins_partner_share+F989*in_accident_ticket*in_accident_renew_comm*in_ins_partner_share*(in_accident_renew^1*SUMIFS(AO971:AO1011,B971:B1011,B989-12)+in_accident_renew^2*SUMIFS(AO971:AO1011,B971:B1011,B989-24)+in_accident_renew^3*SUMIFS(AO971:AO1011,B971:B1011,B989-36)+in_accident_renew^4*SUMIFS(AO971:AO1011,B971:B1011,B989-48))</f>
        <v/>
      </c>
      <c r="AQ989" s="40">
        <f>AQ988*(1-IF(B988&gt;=in_marketplace_from,d_hz_two_wheeler*G988,0))</f>
        <v/>
      </c>
      <c r="AR989" s="46">
        <f>AQ989*IF(B989&gt;=in_marketplace_from,d_hz_two_wheeler*G989,0)</f>
        <v/>
      </c>
      <c r="AS989" s="14">
        <f>F989*AR989*in_two_wheeler_ticket*in_two_wheeler_comm*in_ins_partner_share+F989*in_two_wheeler_ticket*in_two_wheeler_comm*in_ins_partner_share*(in_two_wheeler_renew^1*SUMIFS(AR971:AR1011,B971:B1011,B989-12)+in_two_wheeler_renew^2*SUMIFS(AR971:AR1011,B971:B1011,B989-24)+in_two_wheeler_renew^3*SUMIFS(AR971:AR1011,B971:B1011,B989-36)+in_two_wheeler_renew^4*SUMIFS(AR971:AR1011,B971:B1011,B989-48))</f>
        <v/>
      </c>
      <c r="AT989" s="40">
        <f>AT988*(1-IF(B988&gt;=in_marketplace_from,d_hz_device*G988,0))</f>
        <v/>
      </c>
      <c r="AU989" s="14">
        <f>F989*AT989*IF(B989&gt;=in_marketplace_from,d_hz_device*G989,0)*in_device_ticket*in_device_comm*in_ins_partner_share</f>
        <v/>
      </c>
      <c r="AV989" s="40">
        <f>AV988*(1-IF(B988&gt;=in_marketplace_from,d_hz_shop*G988,0))</f>
        <v/>
      </c>
      <c r="AW989" s="46">
        <f>AV989*IF(B989&gt;=in_marketplace_from,d_hz_shop*G989,0)</f>
        <v/>
      </c>
      <c r="AX989" s="14">
        <f>F989*AW989*in_shop_ticket*in_shop_comm*in_ins_partner_share+F989*in_shop_ticket*in_shop_renew_comm*in_ins_partner_share*(in_shop_renew^1*SUMIFS(AW971:AW1011,B971:B1011,B989-12)+in_shop_renew^2*SUMIFS(AW971:AW1011,B971:B1011,B989-24)+in_shop_renew^3*SUMIFS(AW971:AW1011,B971:B1011,B989-36)+in_shop_renew^4*SUMIFS(AW971:AW1011,B971:B1011,B989-48))</f>
        <v/>
      </c>
      <c r="AY989" s="40">
        <f>AY988*(1-IF(B988&gt;=in_marketplace_from,d_hz_sip*G988,0))</f>
        <v/>
      </c>
      <c r="AZ989" s="40">
        <f>AZ988*d_rho_sip+AY989*IF(B989&gt;=in_marketplace_from,d_hz_sip*G989,0)</f>
        <v/>
      </c>
      <c r="BA989" s="40">
        <f>d_rho_sip*(BA988+AZ988)</f>
        <v/>
      </c>
      <c r="BB989" s="14">
        <f>F989*in_sip_ticket*(BA989+0.5*AZ989)*in_sip_comm/12</f>
        <v/>
      </c>
      <c r="BC989" s="40">
        <f>BC988*(1-IF(B988&gt;=in_marketplace_from,d_hz_choti*G988,0))</f>
        <v/>
      </c>
      <c r="BD989" s="46">
        <f>BC989*IF(B989&gt;=in_marketplace_from,d_hz_choti*G989,0)</f>
        <v/>
      </c>
      <c r="BE989" s="14">
        <f>F989*SUMIFS(BD971:BD1011,B971:B1011,B989-in_choti_months)*in_choti_renew*in_choti_ticket</f>
        <v/>
      </c>
      <c r="BF989" s="40">
        <f>BF988*(1-IF(B988&gt;=in_marketplace_from,d_hz_nps*G988,0))</f>
        <v/>
      </c>
      <c r="BG989" s="14">
        <f>F989*BF989*IF(B989&gt;=in_marketplace_from,d_hz_nps*G989,0)*in_nps_ticket*in_nps_comm</f>
        <v/>
      </c>
      <c r="BH989" s="40">
        <f>BH988*(1-IF(B988&gt;=in_marketplace_from,d_hz_gold*G988,0))</f>
        <v/>
      </c>
      <c r="BI989" s="40">
        <f>BI988*d_rho_gold+BH989*IF(B989&gt;=in_marketplace_from,d_hz_gold*G989,0)</f>
        <v/>
      </c>
      <c r="BJ989" s="14">
        <f>F989*BI989*in_gold_ticket*in_gold_comm</f>
        <v/>
      </c>
      <c r="BK989" s="40">
        <f>BK988*(1-IF(B988&gt;=in_marketplace_from,d_hz_fd*G988,0))</f>
        <v/>
      </c>
      <c r="BL989" s="14">
        <f>F989*BK989*IF(B989&gt;=in_marketplace_from,d_hz_fd*G989,0)*in_fd_ticket*in_fd_comm</f>
        <v/>
      </c>
      <c r="BM989" s="40">
        <f>BM988*(1-IF(B988&gt;=in_marketplace_from,d_hz_recharge*G988,0))</f>
        <v/>
      </c>
      <c r="BN989" s="40">
        <f>BN988*d_rho_recharge+BM989*IF(B989&gt;=in_marketplace_from,d_hz_recharge*G989,0)</f>
        <v/>
      </c>
      <c r="BO989" s="14">
        <f>F989*BN989*in_recharge_ticket*in_recharge_comm/12</f>
        <v/>
      </c>
      <c r="BP989" s="40">
        <f>BP988*(1-IF(B988&gt;=in_marketplace_from,d_hz_bills*G988,0))</f>
        <v/>
      </c>
      <c r="BQ989" s="40">
        <f>BQ988*d_rho_bills+BP989*IF(B989&gt;=in_marketplace_from,d_hz_bills*G989,0)</f>
        <v/>
      </c>
      <c r="BR989" s="14">
        <f>F989*BQ989*in_bills_ticket*in_bills_comm/12</f>
        <v/>
      </c>
      <c r="BS989" s="40">
        <f>BS988*(1-IF(B988&gt;=in_marketplace_from,d_hz_loan_gold*G988,0))</f>
        <v/>
      </c>
      <c r="BT989" s="14">
        <f>F989*BS989*IF(B989&gt;=in_marketplace_from,d_hz_loan_gold*G989,0)*in_loan_gold_ticket*in_loan_gold_comm</f>
        <v/>
      </c>
      <c r="BU989" s="40">
        <f>BU988*(1-IF(B988&gt;=in_marketplace_from,d_hz_loan_cd*G988,0))</f>
        <v/>
      </c>
      <c r="BV989" s="14">
        <f>F989*BU989*IF(B989&gt;=in_marketplace_from,d_hz_loan_cd*G989,0)*in_loan_cd_ticket*in_loan_cd_comm</f>
        <v/>
      </c>
      <c r="BW989" s="40">
        <f>BW988*(1-IF(B988&gt;=in_marketplace_from,d_hz_loan_vehicle*G988,0))</f>
        <v/>
      </c>
      <c r="BX989" s="14">
        <f>F989*BW989*IF(B989&gt;=in_marketplace_from,d_hz_loan_vehicle*G989,0)*in_loan_vehicle_ticket*in_loan_vehicle_comm</f>
        <v/>
      </c>
      <c r="BY989" s="40">
        <f>BY988*(1-IF(B988&gt;=in_marketplace_from,d_hz_loan_home*G988,0)*BZ988)</f>
        <v/>
      </c>
      <c r="BZ989" s="11">
        <f>MIN(in_approval_cap,in_loan_home_approval*INDEX('Age profile'!$O$2:$O$61,B989)*(1+in_approval_growth)^(D989-1))</f>
        <v/>
      </c>
      <c r="CA989" s="14">
        <f>F989*BY989*IF(B989&gt;=in_marketplace_from,d_hz_loan_home*G989,0)*BZ989*in_loan_home_ticket*in_loan_home_comm</f>
        <v/>
      </c>
      <c r="CB989" s="40">
        <f>CB988*(1-IF(B988&gt;=in_marketplace_from,d_hz_loan_lap*G988,0)*CC988)</f>
        <v/>
      </c>
      <c r="CC989" s="11">
        <f>MIN(in_approval_cap,in_loan_lap_approval*INDEX('Age profile'!$O$2:$O$61,B989)*(1+in_approval_growth)^(D989-1))</f>
        <v/>
      </c>
      <c r="CD989" s="14">
        <f>F989*CB989*IF(B989&gt;=in_marketplace_from,d_hz_loan_lap*G989,0)*CC989*in_loan_lap_ticket*in_loan_lap_comm</f>
        <v/>
      </c>
      <c r="CE989" s="14">
        <f>AA989+AB989+AC989+AD989+AG989+AJ989+AM989+AP989+AS989+AU989+AX989+BB989+BE989+BG989+BJ989+BL989+BO989+BR989+BT989+BV989+BX989+CA989+CD989</f>
        <v/>
      </c>
    </row>
    <row r="990">
      <c r="A990" s="39" t="n">
        <v>20</v>
      </c>
      <c r="B990" s="39" t="n">
        <v>20</v>
      </c>
      <c r="C990" s="39">
        <f>A990+B990-1</f>
        <v/>
      </c>
      <c r="D990" s="39">
        <f>INT((C990-1)/12)+1</f>
        <v/>
      </c>
      <c r="E990" s="44">
        <f>INDEX(Monthly!$B$2:$B$61,A990)</f>
        <v/>
      </c>
      <c r="F990" s="44">
        <f>E990*INDEX('Age profile'!$B$2:$B$61,B990)</f>
        <v/>
      </c>
      <c r="G990" s="45">
        <f>MIN(in_takeup_cap,INDEX('Age profile'!$N$2:$N$61,B990)*(1+in_takeup_growth)^(D990-1))</f>
        <v/>
      </c>
      <c r="H990" s="11">
        <f>MIN(in_approval_cap,in_approved_first*INDEX('Age profile'!$O$2:$O$61,B990)*(1+in_approval_growth)^(D990-1))</f>
        <v/>
      </c>
      <c r="I990" s="45">
        <f>G990*MIN(in_takeup_cap,INDEX('Age profile'!$O$2:$O$61,B990)*(1+in_approval_growth)^(D990-1))</f>
        <v/>
      </c>
      <c r="J990" s="40">
        <f>(J989-L989)*F990/F989</f>
        <v/>
      </c>
      <c r="K990" s="40">
        <f>(K989-M989)*F990/F989+SUMIFS(O971:O989,B971:B989,B990-1-d_T)*F990</f>
        <v/>
      </c>
      <c r="L990" s="40">
        <f>IF(B990&gt;=in_marketplace_from,J990*d_hz*G990*in_eligible*H990,0)</f>
        <v/>
      </c>
      <c r="M990" s="40">
        <f>IF(B990&gt;=in_marketplace_from,K990*d_hz*G990*in_eligible*in_approved_repeat,0)</f>
        <v/>
      </c>
      <c r="N990" s="40">
        <f>L990+M990</f>
        <v/>
      </c>
      <c r="O990" s="46">
        <f>N990/F990</f>
        <v/>
      </c>
      <c r="P990" s="40">
        <f>F990-J990-K990</f>
        <v/>
      </c>
      <c r="Q990" s="40">
        <f>IF(B990&gt;=in_marketplace_from,(J990+K990)*d_hz*G990,0)</f>
        <v/>
      </c>
      <c r="R990" s="40">
        <f>SUMIFS(N971:N1011,B971:B1011,"&gt;="&amp;(B990-d_T),B971:B1011,"&lt;="&amp;(B990-1))</f>
        <v/>
      </c>
      <c r="S990" s="46">
        <f>(1-d_u)*S989+IF(d_T&gt;in_topup_lag,SUMIFS(O971:O1011,B971:B1011,B990-in_topup_lag)-d_udrop*SUMIFS(O971:O1011,B971:B1011,B990-d_T),0)</f>
        <v/>
      </c>
      <c r="T990" s="40">
        <f>F990*d_u*S990</f>
        <v/>
      </c>
      <c r="U990" s="9">
        <f>L990*in_ticket+M990*d_rep_ticket</f>
        <v/>
      </c>
      <c r="V990" s="9">
        <f>U990+T990*d_topup_amt</f>
        <v/>
      </c>
      <c r="W990" s="40">
        <f>N990+T990*d_topup_ratio</f>
        <v/>
      </c>
      <c r="X990" s="40">
        <f>SUMIFS(W971:W1011,B971:B1011,B990-in_dpd_lag)*d_cured</f>
        <v/>
      </c>
      <c r="Y990" s="40">
        <f>SUMIFS(W971:W1011,B971:B1011,B990-in_rec_lag)*d_recd</f>
        <v/>
      </c>
      <c r="Z990" s="40">
        <f>IF(AND(B990&gt;=in_marketplace_from,B990&lt;in_marketplace_from+in_card_months),in_card_share/in_card_months*F990*I990,IF(AND(B990&gt;=in_marketplace_from+in_card_months,B990&lt;in_marketplace_from+2*in_card_months),in_card_share*d_card_rem/in_card_months*F990*MIN(in_takeup_cap,(1+in_takeup_growth)^(D990-1))*MIN(in_takeup_cap,(1+in_approval_growth)^(D990-1)),0))</f>
        <v/>
      </c>
      <c r="AA990" s="14">
        <f>V990*in_fee*(1-in_taken_back)</f>
        <v/>
      </c>
      <c r="AB990" s="14">
        <f>SUMIFS(W971:W1011,B971:B1011,B990-in_dpd_lag)*d_dpd</f>
        <v/>
      </c>
      <c r="AC990" s="14">
        <f>SUMIFS(W971:W1011,B971:B1011,B990-in_rec_lag)*d_rec</f>
        <v/>
      </c>
      <c r="AD990" s="14">
        <f>Z990*in_card_fee</f>
        <v/>
      </c>
      <c r="AE990" s="40">
        <f>AE989*(1-IF(B989&gt;=in_marketplace_from,d_hz_hlth_small*G989,0))</f>
        <v/>
      </c>
      <c r="AF990" s="46">
        <f>AE990*IF(B990&gt;=in_marketplace_from,d_hz_hlth_small*G990,0)</f>
        <v/>
      </c>
      <c r="AG990" s="14">
        <f>F990*AF990*in_hlth_small_ticket*in_hlth_small_comm*in_ins_partner_share+F990*in_hlth_small_ticket*in_hlth_small_renew_comm*in_ins_partner_share*(in_hlth_small_renew^1*SUMIFS(AF971:AF1011,B971:B1011,B990-12)+in_hlth_small_renew^2*SUMIFS(AF971:AF1011,B971:B1011,B990-24)+in_hlth_small_renew^3*SUMIFS(AF971:AF1011,B971:B1011,B990-36)+in_hlth_small_renew^4*SUMIFS(AF971:AF1011,B971:B1011,B990-48))</f>
        <v/>
      </c>
      <c r="AH990" s="40">
        <f>AH989*(1-IF(B989&gt;=in_marketplace_from,d_hz_hlth_family*G989,0))</f>
        <v/>
      </c>
      <c r="AI990" s="46">
        <f>AH990*IF(B990&gt;=in_marketplace_from,d_hz_hlth_family*G990,0)</f>
        <v/>
      </c>
      <c r="AJ990" s="14">
        <f>F990*AI990*in_hlth_family_ticket*in_hlth_family_comm*in_ins_partner_share+F990*in_hlth_family_ticket*in_hlth_family_renew_comm*in_ins_partner_share*(in_hlth_family_renew^1*SUMIFS(AI971:AI1011,B971:B1011,B990-12)+in_hlth_family_renew^2*SUMIFS(AI971:AI1011,B971:B1011,B990-24)+in_hlth_family_renew^3*SUMIFS(AI971:AI1011,B971:B1011,B990-36)+in_hlth_family_renew^4*SUMIFS(AI971:AI1011,B971:B1011,B990-48))</f>
        <v/>
      </c>
      <c r="AK990" s="40">
        <f>AK989*(1-IF(B989&gt;=in_marketplace_from,d_hz_life_term*G989,0))</f>
        <v/>
      </c>
      <c r="AL990" s="46">
        <f>AK990*IF(B990&gt;=in_marketplace_from,d_hz_life_term*G990,0)</f>
        <v/>
      </c>
      <c r="AM990" s="14">
        <f>F990*AL990*in_life_term_ticket*in_life_term_comm*in_ins_partner_share+F990*in_life_term_ticket*in_life_term_renew_comm*in_ins_partner_share*(in_life_term_renew^1*SUMIFS(AL971:AL1011,B971:B1011,B990-12)+in_life_term_renew^2*SUMIFS(AL971:AL1011,B971:B1011,B990-24)+in_life_term_renew^3*SUMIFS(AL971:AL1011,B971:B1011,B990-36)+in_life_term_renew^4*SUMIFS(AL971:AL1011,B971:B1011,B990-48))</f>
        <v/>
      </c>
      <c r="AN990" s="40">
        <f>AN989*(1-IF(B989&gt;=in_marketplace_from,d_hz_accident*G989,0))</f>
        <v/>
      </c>
      <c r="AO990" s="46">
        <f>AN990*IF(B990&gt;=in_marketplace_from,d_hz_accident*G990,0)</f>
        <v/>
      </c>
      <c r="AP990" s="14">
        <f>F990*AO990*in_accident_ticket*in_accident_comm*in_ins_partner_share+F990*in_accident_ticket*in_accident_renew_comm*in_ins_partner_share*(in_accident_renew^1*SUMIFS(AO971:AO1011,B971:B1011,B990-12)+in_accident_renew^2*SUMIFS(AO971:AO1011,B971:B1011,B990-24)+in_accident_renew^3*SUMIFS(AO971:AO1011,B971:B1011,B990-36)+in_accident_renew^4*SUMIFS(AO971:AO1011,B971:B1011,B990-48))</f>
        <v/>
      </c>
      <c r="AQ990" s="40">
        <f>AQ989*(1-IF(B989&gt;=in_marketplace_from,d_hz_two_wheeler*G989,0))</f>
        <v/>
      </c>
      <c r="AR990" s="46">
        <f>AQ990*IF(B990&gt;=in_marketplace_from,d_hz_two_wheeler*G990,0)</f>
        <v/>
      </c>
      <c r="AS990" s="14">
        <f>F990*AR990*in_two_wheeler_ticket*in_two_wheeler_comm*in_ins_partner_share+F990*in_two_wheeler_ticket*in_two_wheeler_comm*in_ins_partner_share*(in_two_wheeler_renew^1*SUMIFS(AR971:AR1011,B971:B1011,B990-12)+in_two_wheeler_renew^2*SUMIFS(AR971:AR1011,B971:B1011,B990-24)+in_two_wheeler_renew^3*SUMIFS(AR971:AR1011,B971:B1011,B990-36)+in_two_wheeler_renew^4*SUMIFS(AR971:AR1011,B971:B1011,B990-48))</f>
        <v/>
      </c>
      <c r="AT990" s="40">
        <f>AT989*(1-IF(B989&gt;=in_marketplace_from,d_hz_device*G989,0))</f>
        <v/>
      </c>
      <c r="AU990" s="14">
        <f>F990*AT990*IF(B990&gt;=in_marketplace_from,d_hz_device*G990,0)*in_device_ticket*in_device_comm*in_ins_partner_share</f>
        <v/>
      </c>
      <c r="AV990" s="40">
        <f>AV989*(1-IF(B989&gt;=in_marketplace_from,d_hz_shop*G989,0))</f>
        <v/>
      </c>
      <c r="AW990" s="46">
        <f>AV990*IF(B990&gt;=in_marketplace_from,d_hz_shop*G990,0)</f>
        <v/>
      </c>
      <c r="AX990" s="14">
        <f>F990*AW990*in_shop_ticket*in_shop_comm*in_ins_partner_share+F990*in_shop_ticket*in_shop_renew_comm*in_ins_partner_share*(in_shop_renew^1*SUMIFS(AW971:AW1011,B971:B1011,B990-12)+in_shop_renew^2*SUMIFS(AW971:AW1011,B971:B1011,B990-24)+in_shop_renew^3*SUMIFS(AW971:AW1011,B971:B1011,B990-36)+in_shop_renew^4*SUMIFS(AW971:AW1011,B971:B1011,B990-48))</f>
        <v/>
      </c>
      <c r="AY990" s="40">
        <f>AY989*(1-IF(B989&gt;=in_marketplace_from,d_hz_sip*G989,0))</f>
        <v/>
      </c>
      <c r="AZ990" s="40">
        <f>AZ989*d_rho_sip+AY990*IF(B990&gt;=in_marketplace_from,d_hz_sip*G990,0)</f>
        <v/>
      </c>
      <c r="BA990" s="40">
        <f>d_rho_sip*(BA989+AZ989)</f>
        <v/>
      </c>
      <c r="BB990" s="14">
        <f>F990*in_sip_ticket*(BA990+0.5*AZ990)*in_sip_comm/12</f>
        <v/>
      </c>
      <c r="BC990" s="40">
        <f>BC989*(1-IF(B989&gt;=in_marketplace_from,d_hz_choti*G989,0))</f>
        <v/>
      </c>
      <c r="BD990" s="46">
        <f>BC990*IF(B990&gt;=in_marketplace_from,d_hz_choti*G990,0)</f>
        <v/>
      </c>
      <c r="BE990" s="14">
        <f>F990*SUMIFS(BD971:BD1011,B971:B1011,B990-in_choti_months)*in_choti_renew*in_choti_ticket</f>
        <v/>
      </c>
      <c r="BF990" s="40">
        <f>BF989*(1-IF(B989&gt;=in_marketplace_from,d_hz_nps*G989,0))</f>
        <v/>
      </c>
      <c r="BG990" s="14">
        <f>F990*BF990*IF(B990&gt;=in_marketplace_from,d_hz_nps*G990,0)*in_nps_ticket*in_nps_comm</f>
        <v/>
      </c>
      <c r="BH990" s="40">
        <f>BH989*(1-IF(B989&gt;=in_marketplace_from,d_hz_gold*G989,0))</f>
        <v/>
      </c>
      <c r="BI990" s="40">
        <f>BI989*d_rho_gold+BH990*IF(B990&gt;=in_marketplace_from,d_hz_gold*G990,0)</f>
        <v/>
      </c>
      <c r="BJ990" s="14">
        <f>F990*BI990*in_gold_ticket*in_gold_comm</f>
        <v/>
      </c>
      <c r="BK990" s="40">
        <f>BK989*(1-IF(B989&gt;=in_marketplace_from,d_hz_fd*G989,0))</f>
        <v/>
      </c>
      <c r="BL990" s="14">
        <f>F990*BK990*IF(B990&gt;=in_marketplace_from,d_hz_fd*G990,0)*in_fd_ticket*in_fd_comm</f>
        <v/>
      </c>
      <c r="BM990" s="40">
        <f>BM989*(1-IF(B989&gt;=in_marketplace_from,d_hz_recharge*G989,0))</f>
        <v/>
      </c>
      <c r="BN990" s="40">
        <f>BN989*d_rho_recharge+BM990*IF(B990&gt;=in_marketplace_from,d_hz_recharge*G990,0)</f>
        <v/>
      </c>
      <c r="BO990" s="14">
        <f>F990*BN990*in_recharge_ticket*in_recharge_comm/12</f>
        <v/>
      </c>
      <c r="BP990" s="40">
        <f>BP989*(1-IF(B989&gt;=in_marketplace_from,d_hz_bills*G989,0))</f>
        <v/>
      </c>
      <c r="BQ990" s="40">
        <f>BQ989*d_rho_bills+BP990*IF(B990&gt;=in_marketplace_from,d_hz_bills*G990,0)</f>
        <v/>
      </c>
      <c r="BR990" s="14">
        <f>F990*BQ990*in_bills_ticket*in_bills_comm/12</f>
        <v/>
      </c>
      <c r="BS990" s="40">
        <f>BS989*(1-IF(B989&gt;=in_marketplace_from,d_hz_loan_gold*G989,0))</f>
        <v/>
      </c>
      <c r="BT990" s="14">
        <f>F990*BS990*IF(B990&gt;=in_marketplace_from,d_hz_loan_gold*G990,0)*in_loan_gold_ticket*in_loan_gold_comm</f>
        <v/>
      </c>
      <c r="BU990" s="40">
        <f>BU989*(1-IF(B989&gt;=in_marketplace_from,d_hz_loan_cd*G989,0))</f>
        <v/>
      </c>
      <c r="BV990" s="14">
        <f>F990*BU990*IF(B990&gt;=in_marketplace_from,d_hz_loan_cd*G990,0)*in_loan_cd_ticket*in_loan_cd_comm</f>
        <v/>
      </c>
      <c r="BW990" s="40">
        <f>BW989*(1-IF(B989&gt;=in_marketplace_from,d_hz_loan_vehicle*G989,0))</f>
        <v/>
      </c>
      <c r="BX990" s="14">
        <f>F990*BW990*IF(B990&gt;=in_marketplace_from,d_hz_loan_vehicle*G990,0)*in_loan_vehicle_ticket*in_loan_vehicle_comm</f>
        <v/>
      </c>
      <c r="BY990" s="40">
        <f>BY989*(1-IF(B989&gt;=in_marketplace_from,d_hz_loan_home*G989,0)*BZ989)</f>
        <v/>
      </c>
      <c r="BZ990" s="11">
        <f>MIN(in_approval_cap,in_loan_home_approval*INDEX('Age profile'!$O$2:$O$61,B990)*(1+in_approval_growth)^(D990-1))</f>
        <v/>
      </c>
      <c r="CA990" s="14">
        <f>F990*BY990*IF(B990&gt;=in_marketplace_from,d_hz_loan_home*G990,0)*BZ990*in_loan_home_ticket*in_loan_home_comm</f>
        <v/>
      </c>
      <c r="CB990" s="40">
        <f>CB989*(1-IF(B989&gt;=in_marketplace_from,d_hz_loan_lap*G989,0)*CC989)</f>
        <v/>
      </c>
      <c r="CC990" s="11">
        <f>MIN(in_approval_cap,in_loan_lap_approval*INDEX('Age profile'!$O$2:$O$61,B990)*(1+in_approval_growth)^(D990-1))</f>
        <v/>
      </c>
      <c r="CD990" s="14">
        <f>F990*CB990*IF(B990&gt;=in_marketplace_from,d_hz_loan_lap*G990,0)*CC990*in_loan_lap_ticket*in_loan_lap_comm</f>
        <v/>
      </c>
      <c r="CE990" s="14">
        <f>AA990+AB990+AC990+AD990+AG990+AJ990+AM990+AP990+AS990+AU990+AX990+BB990+BE990+BG990+BJ990+BL990+BO990+BR990+BT990+BV990+BX990+CA990+CD990</f>
        <v/>
      </c>
    </row>
    <row r="991">
      <c r="A991" s="39" t="n">
        <v>20</v>
      </c>
      <c r="B991" s="39" t="n">
        <v>21</v>
      </c>
      <c r="C991" s="39">
        <f>A991+B991-1</f>
        <v/>
      </c>
      <c r="D991" s="39">
        <f>INT((C991-1)/12)+1</f>
        <v/>
      </c>
      <c r="E991" s="44">
        <f>INDEX(Monthly!$B$2:$B$61,A991)</f>
        <v/>
      </c>
      <c r="F991" s="44">
        <f>E991*INDEX('Age profile'!$B$2:$B$61,B991)</f>
        <v/>
      </c>
      <c r="G991" s="45">
        <f>MIN(in_takeup_cap,INDEX('Age profile'!$N$2:$N$61,B991)*(1+in_takeup_growth)^(D991-1))</f>
        <v/>
      </c>
      <c r="H991" s="11">
        <f>MIN(in_approval_cap,in_approved_first*INDEX('Age profile'!$O$2:$O$61,B991)*(1+in_approval_growth)^(D991-1))</f>
        <v/>
      </c>
      <c r="I991" s="45">
        <f>G991*MIN(in_takeup_cap,INDEX('Age profile'!$O$2:$O$61,B991)*(1+in_approval_growth)^(D991-1))</f>
        <v/>
      </c>
      <c r="J991" s="40">
        <f>(J990-L990)*F991/F990</f>
        <v/>
      </c>
      <c r="K991" s="40">
        <f>(K990-M990)*F991/F990+SUMIFS(O971:O990,B971:B990,B991-1-d_T)*F991</f>
        <v/>
      </c>
      <c r="L991" s="40">
        <f>IF(B991&gt;=in_marketplace_from,J991*d_hz*G991*in_eligible*H991,0)</f>
        <v/>
      </c>
      <c r="M991" s="40">
        <f>IF(B991&gt;=in_marketplace_from,K991*d_hz*G991*in_eligible*in_approved_repeat,0)</f>
        <v/>
      </c>
      <c r="N991" s="40">
        <f>L991+M991</f>
        <v/>
      </c>
      <c r="O991" s="46">
        <f>N991/F991</f>
        <v/>
      </c>
      <c r="P991" s="40">
        <f>F991-J991-K991</f>
        <v/>
      </c>
      <c r="Q991" s="40">
        <f>IF(B991&gt;=in_marketplace_from,(J991+K991)*d_hz*G991,0)</f>
        <v/>
      </c>
      <c r="R991" s="40">
        <f>SUMIFS(N971:N1011,B971:B1011,"&gt;="&amp;(B991-d_T),B971:B1011,"&lt;="&amp;(B991-1))</f>
        <v/>
      </c>
      <c r="S991" s="46">
        <f>(1-d_u)*S990+IF(d_T&gt;in_topup_lag,SUMIFS(O971:O1011,B971:B1011,B991-in_topup_lag)-d_udrop*SUMIFS(O971:O1011,B971:B1011,B991-d_T),0)</f>
        <v/>
      </c>
      <c r="T991" s="40">
        <f>F991*d_u*S991</f>
        <v/>
      </c>
      <c r="U991" s="9">
        <f>L991*in_ticket+M991*d_rep_ticket</f>
        <v/>
      </c>
      <c r="V991" s="9">
        <f>U991+T991*d_topup_amt</f>
        <v/>
      </c>
      <c r="W991" s="40">
        <f>N991+T991*d_topup_ratio</f>
        <v/>
      </c>
      <c r="X991" s="40">
        <f>SUMIFS(W971:W1011,B971:B1011,B991-in_dpd_lag)*d_cured</f>
        <v/>
      </c>
      <c r="Y991" s="40">
        <f>SUMIFS(W971:W1011,B971:B1011,B991-in_rec_lag)*d_recd</f>
        <v/>
      </c>
      <c r="Z991" s="40">
        <f>IF(AND(B991&gt;=in_marketplace_from,B991&lt;in_marketplace_from+in_card_months),in_card_share/in_card_months*F991*I991,IF(AND(B991&gt;=in_marketplace_from+in_card_months,B991&lt;in_marketplace_from+2*in_card_months),in_card_share*d_card_rem/in_card_months*F991*MIN(in_takeup_cap,(1+in_takeup_growth)^(D991-1))*MIN(in_takeup_cap,(1+in_approval_growth)^(D991-1)),0))</f>
        <v/>
      </c>
      <c r="AA991" s="14">
        <f>V991*in_fee*(1-in_taken_back)</f>
        <v/>
      </c>
      <c r="AB991" s="14">
        <f>SUMIFS(W971:W1011,B971:B1011,B991-in_dpd_lag)*d_dpd</f>
        <v/>
      </c>
      <c r="AC991" s="14">
        <f>SUMIFS(W971:W1011,B971:B1011,B991-in_rec_lag)*d_rec</f>
        <v/>
      </c>
      <c r="AD991" s="14">
        <f>Z991*in_card_fee</f>
        <v/>
      </c>
      <c r="AE991" s="40">
        <f>AE990*(1-IF(B990&gt;=in_marketplace_from,d_hz_hlth_small*G990,0))</f>
        <v/>
      </c>
      <c r="AF991" s="46">
        <f>AE991*IF(B991&gt;=in_marketplace_from,d_hz_hlth_small*G991,0)</f>
        <v/>
      </c>
      <c r="AG991" s="14">
        <f>F991*AF991*in_hlth_small_ticket*in_hlth_small_comm*in_ins_partner_share+F991*in_hlth_small_ticket*in_hlth_small_renew_comm*in_ins_partner_share*(in_hlth_small_renew^1*SUMIFS(AF971:AF1011,B971:B1011,B991-12)+in_hlth_small_renew^2*SUMIFS(AF971:AF1011,B971:B1011,B991-24)+in_hlth_small_renew^3*SUMIFS(AF971:AF1011,B971:B1011,B991-36)+in_hlth_small_renew^4*SUMIFS(AF971:AF1011,B971:B1011,B991-48))</f>
        <v/>
      </c>
      <c r="AH991" s="40">
        <f>AH990*(1-IF(B990&gt;=in_marketplace_from,d_hz_hlth_family*G990,0))</f>
        <v/>
      </c>
      <c r="AI991" s="46">
        <f>AH991*IF(B991&gt;=in_marketplace_from,d_hz_hlth_family*G991,0)</f>
        <v/>
      </c>
      <c r="AJ991" s="14">
        <f>F991*AI991*in_hlth_family_ticket*in_hlth_family_comm*in_ins_partner_share+F991*in_hlth_family_ticket*in_hlth_family_renew_comm*in_ins_partner_share*(in_hlth_family_renew^1*SUMIFS(AI971:AI1011,B971:B1011,B991-12)+in_hlth_family_renew^2*SUMIFS(AI971:AI1011,B971:B1011,B991-24)+in_hlth_family_renew^3*SUMIFS(AI971:AI1011,B971:B1011,B991-36)+in_hlth_family_renew^4*SUMIFS(AI971:AI1011,B971:B1011,B991-48))</f>
        <v/>
      </c>
      <c r="AK991" s="40">
        <f>AK990*(1-IF(B990&gt;=in_marketplace_from,d_hz_life_term*G990,0))</f>
        <v/>
      </c>
      <c r="AL991" s="46">
        <f>AK991*IF(B991&gt;=in_marketplace_from,d_hz_life_term*G991,0)</f>
        <v/>
      </c>
      <c r="AM991" s="14">
        <f>F991*AL991*in_life_term_ticket*in_life_term_comm*in_ins_partner_share+F991*in_life_term_ticket*in_life_term_renew_comm*in_ins_partner_share*(in_life_term_renew^1*SUMIFS(AL971:AL1011,B971:B1011,B991-12)+in_life_term_renew^2*SUMIFS(AL971:AL1011,B971:B1011,B991-24)+in_life_term_renew^3*SUMIFS(AL971:AL1011,B971:B1011,B991-36)+in_life_term_renew^4*SUMIFS(AL971:AL1011,B971:B1011,B991-48))</f>
        <v/>
      </c>
      <c r="AN991" s="40">
        <f>AN990*(1-IF(B990&gt;=in_marketplace_from,d_hz_accident*G990,0))</f>
        <v/>
      </c>
      <c r="AO991" s="46">
        <f>AN991*IF(B991&gt;=in_marketplace_from,d_hz_accident*G991,0)</f>
        <v/>
      </c>
      <c r="AP991" s="14">
        <f>F991*AO991*in_accident_ticket*in_accident_comm*in_ins_partner_share+F991*in_accident_ticket*in_accident_renew_comm*in_ins_partner_share*(in_accident_renew^1*SUMIFS(AO971:AO1011,B971:B1011,B991-12)+in_accident_renew^2*SUMIFS(AO971:AO1011,B971:B1011,B991-24)+in_accident_renew^3*SUMIFS(AO971:AO1011,B971:B1011,B991-36)+in_accident_renew^4*SUMIFS(AO971:AO1011,B971:B1011,B991-48))</f>
        <v/>
      </c>
      <c r="AQ991" s="40">
        <f>AQ990*(1-IF(B990&gt;=in_marketplace_from,d_hz_two_wheeler*G990,0))</f>
        <v/>
      </c>
      <c r="AR991" s="46">
        <f>AQ991*IF(B991&gt;=in_marketplace_from,d_hz_two_wheeler*G991,0)</f>
        <v/>
      </c>
      <c r="AS991" s="14">
        <f>F991*AR991*in_two_wheeler_ticket*in_two_wheeler_comm*in_ins_partner_share+F991*in_two_wheeler_ticket*in_two_wheeler_comm*in_ins_partner_share*(in_two_wheeler_renew^1*SUMIFS(AR971:AR1011,B971:B1011,B991-12)+in_two_wheeler_renew^2*SUMIFS(AR971:AR1011,B971:B1011,B991-24)+in_two_wheeler_renew^3*SUMIFS(AR971:AR1011,B971:B1011,B991-36)+in_two_wheeler_renew^4*SUMIFS(AR971:AR1011,B971:B1011,B991-48))</f>
        <v/>
      </c>
      <c r="AT991" s="40">
        <f>AT990*(1-IF(B990&gt;=in_marketplace_from,d_hz_device*G990,0))</f>
        <v/>
      </c>
      <c r="AU991" s="14">
        <f>F991*AT991*IF(B991&gt;=in_marketplace_from,d_hz_device*G991,0)*in_device_ticket*in_device_comm*in_ins_partner_share</f>
        <v/>
      </c>
      <c r="AV991" s="40">
        <f>AV990*(1-IF(B990&gt;=in_marketplace_from,d_hz_shop*G990,0))</f>
        <v/>
      </c>
      <c r="AW991" s="46">
        <f>AV991*IF(B991&gt;=in_marketplace_from,d_hz_shop*G991,0)</f>
        <v/>
      </c>
      <c r="AX991" s="14">
        <f>F991*AW991*in_shop_ticket*in_shop_comm*in_ins_partner_share+F991*in_shop_ticket*in_shop_renew_comm*in_ins_partner_share*(in_shop_renew^1*SUMIFS(AW971:AW1011,B971:B1011,B991-12)+in_shop_renew^2*SUMIFS(AW971:AW1011,B971:B1011,B991-24)+in_shop_renew^3*SUMIFS(AW971:AW1011,B971:B1011,B991-36)+in_shop_renew^4*SUMIFS(AW971:AW1011,B971:B1011,B991-48))</f>
        <v/>
      </c>
      <c r="AY991" s="40">
        <f>AY990*(1-IF(B990&gt;=in_marketplace_from,d_hz_sip*G990,0))</f>
        <v/>
      </c>
      <c r="AZ991" s="40">
        <f>AZ990*d_rho_sip+AY991*IF(B991&gt;=in_marketplace_from,d_hz_sip*G991,0)</f>
        <v/>
      </c>
      <c r="BA991" s="40">
        <f>d_rho_sip*(BA990+AZ990)</f>
        <v/>
      </c>
      <c r="BB991" s="14">
        <f>F991*in_sip_ticket*(BA991+0.5*AZ991)*in_sip_comm/12</f>
        <v/>
      </c>
      <c r="BC991" s="40">
        <f>BC990*(1-IF(B990&gt;=in_marketplace_from,d_hz_choti*G990,0))</f>
        <v/>
      </c>
      <c r="BD991" s="46">
        <f>BC991*IF(B991&gt;=in_marketplace_from,d_hz_choti*G991,0)</f>
        <v/>
      </c>
      <c r="BE991" s="14">
        <f>F991*SUMIFS(BD971:BD1011,B971:B1011,B991-in_choti_months)*in_choti_renew*in_choti_ticket</f>
        <v/>
      </c>
      <c r="BF991" s="40">
        <f>BF990*(1-IF(B990&gt;=in_marketplace_from,d_hz_nps*G990,0))</f>
        <v/>
      </c>
      <c r="BG991" s="14">
        <f>F991*BF991*IF(B991&gt;=in_marketplace_from,d_hz_nps*G991,0)*in_nps_ticket*in_nps_comm</f>
        <v/>
      </c>
      <c r="BH991" s="40">
        <f>BH990*(1-IF(B990&gt;=in_marketplace_from,d_hz_gold*G990,0))</f>
        <v/>
      </c>
      <c r="BI991" s="40">
        <f>BI990*d_rho_gold+BH991*IF(B991&gt;=in_marketplace_from,d_hz_gold*G991,0)</f>
        <v/>
      </c>
      <c r="BJ991" s="14">
        <f>F991*BI991*in_gold_ticket*in_gold_comm</f>
        <v/>
      </c>
      <c r="BK991" s="40">
        <f>BK990*(1-IF(B990&gt;=in_marketplace_from,d_hz_fd*G990,0))</f>
        <v/>
      </c>
      <c r="BL991" s="14">
        <f>F991*BK991*IF(B991&gt;=in_marketplace_from,d_hz_fd*G991,0)*in_fd_ticket*in_fd_comm</f>
        <v/>
      </c>
      <c r="BM991" s="40">
        <f>BM990*(1-IF(B990&gt;=in_marketplace_from,d_hz_recharge*G990,0))</f>
        <v/>
      </c>
      <c r="BN991" s="40">
        <f>BN990*d_rho_recharge+BM991*IF(B991&gt;=in_marketplace_from,d_hz_recharge*G991,0)</f>
        <v/>
      </c>
      <c r="BO991" s="14">
        <f>F991*BN991*in_recharge_ticket*in_recharge_comm/12</f>
        <v/>
      </c>
      <c r="BP991" s="40">
        <f>BP990*(1-IF(B990&gt;=in_marketplace_from,d_hz_bills*G990,0))</f>
        <v/>
      </c>
      <c r="BQ991" s="40">
        <f>BQ990*d_rho_bills+BP991*IF(B991&gt;=in_marketplace_from,d_hz_bills*G991,0)</f>
        <v/>
      </c>
      <c r="BR991" s="14">
        <f>F991*BQ991*in_bills_ticket*in_bills_comm/12</f>
        <v/>
      </c>
      <c r="BS991" s="40">
        <f>BS990*(1-IF(B990&gt;=in_marketplace_from,d_hz_loan_gold*G990,0))</f>
        <v/>
      </c>
      <c r="BT991" s="14">
        <f>F991*BS991*IF(B991&gt;=in_marketplace_from,d_hz_loan_gold*G991,0)*in_loan_gold_ticket*in_loan_gold_comm</f>
        <v/>
      </c>
      <c r="BU991" s="40">
        <f>BU990*(1-IF(B990&gt;=in_marketplace_from,d_hz_loan_cd*G990,0))</f>
        <v/>
      </c>
      <c r="BV991" s="14">
        <f>F991*BU991*IF(B991&gt;=in_marketplace_from,d_hz_loan_cd*G991,0)*in_loan_cd_ticket*in_loan_cd_comm</f>
        <v/>
      </c>
      <c r="BW991" s="40">
        <f>BW990*(1-IF(B990&gt;=in_marketplace_from,d_hz_loan_vehicle*G990,0))</f>
        <v/>
      </c>
      <c r="BX991" s="14">
        <f>F991*BW991*IF(B991&gt;=in_marketplace_from,d_hz_loan_vehicle*G991,0)*in_loan_vehicle_ticket*in_loan_vehicle_comm</f>
        <v/>
      </c>
      <c r="BY991" s="40">
        <f>BY990*(1-IF(B990&gt;=in_marketplace_from,d_hz_loan_home*G990,0)*BZ990)</f>
        <v/>
      </c>
      <c r="BZ991" s="11">
        <f>MIN(in_approval_cap,in_loan_home_approval*INDEX('Age profile'!$O$2:$O$61,B991)*(1+in_approval_growth)^(D991-1))</f>
        <v/>
      </c>
      <c r="CA991" s="14">
        <f>F991*BY991*IF(B991&gt;=in_marketplace_from,d_hz_loan_home*G991,0)*BZ991*in_loan_home_ticket*in_loan_home_comm</f>
        <v/>
      </c>
      <c r="CB991" s="40">
        <f>CB990*(1-IF(B990&gt;=in_marketplace_from,d_hz_loan_lap*G990,0)*CC990)</f>
        <v/>
      </c>
      <c r="CC991" s="11">
        <f>MIN(in_approval_cap,in_loan_lap_approval*INDEX('Age profile'!$O$2:$O$61,B991)*(1+in_approval_growth)^(D991-1))</f>
        <v/>
      </c>
      <c r="CD991" s="14">
        <f>F991*CB991*IF(B991&gt;=in_marketplace_from,d_hz_loan_lap*G991,0)*CC991*in_loan_lap_ticket*in_loan_lap_comm</f>
        <v/>
      </c>
      <c r="CE991" s="14">
        <f>AA991+AB991+AC991+AD991+AG991+AJ991+AM991+AP991+AS991+AU991+AX991+BB991+BE991+BG991+BJ991+BL991+BO991+BR991+BT991+BV991+BX991+CA991+CD991</f>
        <v/>
      </c>
    </row>
    <row r="992">
      <c r="A992" s="39" t="n">
        <v>20</v>
      </c>
      <c r="B992" s="39" t="n">
        <v>22</v>
      </c>
      <c r="C992" s="39">
        <f>A992+B992-1</f>
        <v/>
      </c>
      <c r="D992" s="39">
        <f>INT((C992-1)/12)+1</f>
        <v/>
      </c>
      <c r="E992" s="44">
        <f>INDEX(Monthly!$B$2:$B$61,A992)</f>
        <v/>
      </c>
      <c r="F992" s="44">
        <f>E992*INDEX('Age profile'!$B$2:$B$61,B992)</f>
        <v/>
      </c>
      <c r="G992" s="45">
        <f>MIN(in_takeup_cap,INDEX('Age profile'!$N$2:$N$61,B992)*(1+in_takeup_growth)^(D992-1))</f>
        <v/>
      </c>
      <c r="H992" s="11">
        <f>MIN(in_approval_cap,in_approved_first*INDEX('Age profile'!$O$2:$O$61,B992)*(1+in_approval_growth)^(D992-1))</f>
        <v/>
      </c>
      <c r="I992" s="45">
        <f>G992*MIN(in_takeup_cap,INDEX('Age profile'!$O$2:$O$61,B992)*(1+in_approval_growth)^(D992-1))</f>
        <v/>
      </c>
      <c r="J992" s="40">
        <f>(J991-L991)*F992/F991</f>
        <v/>
      </c>
      <c r="K992" s="40">
        <f>(K991-M991)*F992/F991+SUMIFS(O971:O991,B971:B991,B992-1-d_T)*F992</f>
        <v/>
      </c>
      <c r="L992" s="40">
        <f>IF(B992&gt;=in_marketplace_from,J992*d_hz*G992*in_eligible*H992,0)</f>
        <v/>
      </c>
      <c r="M992" s="40">
        <f>IF(B992&gt;=in_marketplace_from,K992*d_hz*G992*in_eligible*in_approved_repeat,0)</f>
        <v/>
      </c>
      <c r="N992" s="40">
        <f>L992+M992</f>
        <v/>
      </c>
      <c r="O992" s="46">
        <f>N992/F992</f>
        <v/>
      </c>
      <c r="P992" s="40">
        <f>F992-J992-K992</f>
        <v/>
      </c>
      <c r="Q992" s="40">
        <f>IF(B992&gt;=in_marketplace_from,(J992+K992)*d_hz*G992,0)</f>
        <v/>
      </c>
      <c r="R992" s="40">
        <f>SUMIFS(N971:N1011,B971:B1011,"&gt;="&amp;(B992-d_T),B971:B1011,"&lt;="&amp;(B992-1))</f>
        <v/>
      </c>
      <c r="S992" s="46">
        <f>(1-d_u)*S991+IF(d_T&gt;in_topup_lag,SUMIFS(O971:O1011,B971:B1011,B992-in_topup_lag)-d_udrop*SUMIFS(O971:O1011,B971:B1011,B992-d_T),0)</f>
        <v/>
      </c>
      <c r="T992" s="40">
        <f>F992*d_u*S992</f>
        <v/>
      </c>
      <c r="U992" s="9">
        <f>L992*in_ticket+M992*d_rep_ticket</f>
        <v/>
      </c>
      <c r="V992" s="9">
        <f>U992+T992*d_topup_amt</f>
        <v/>
      </c>
      <c r="W992" s="40">
        <f>N992+T992*d_topup_ratio</f>
        <v/>
      </c>
      <c r="X992" s="40">
        <f>SUMIFS(W971:W1011,B971:B1011,B992-in_dpd_lag)*d_cured</f>
        <v/>
      </c>
      <c r="Y992" s="40">
        <f>SUMIFS(W971:W1011,B971:B1011,B992-in_rec_lag)*d_recd</f>
        <v/>
      </c>
      <c r="Z992" s="40">
        <f>IF(AND(B992&gt;=in_marketplace_from,B992&lt;in_marketplace_from+in_card_months),in_card_share/in_card_months*F992*I992,IF(AND(B992&gt;=in_marketplace_from+in_card_months,B992&lt;in_marketplace_from+2*in_card_months),in_card_share*d_card_rem/in_card_months*F992*MIN(in_takeup_cap,(1+in_takeup_growth)^(D992-1))*MIN(in_takeup_cap,(1+in_approval_growth)^(D992-1)),0))</f>
        <v/>
      </c>
      <c r="AA992" s="14">
        <f>V992*in_fee*(1-in_taken_back)</f>
        <v/>
      </c>
      <c r="AB992" s="14">
        <f>SUMIFS(W971:W1011,B971:B1011,B992-in_dpd_lag)*d_dpd</f>
        <v/>
      </c>
      <c r="AC992" s="14">
        <f>SUMIFS(W971:W1011,B971:B1011,B992-in_rec_lag)*d_rec</f>
        <v/>
      </c>
      <c r="AD992" s="14">
        <f>Z992*in_card_fee</f>
        <v/>
      </c>
      <c r="AE992" s="40">
        <f>AE991*(1-IF(B991&gt;=in_marketplace_from,d_hz_hlth_small*G991,0))</f>
        <v/>
      </c>
      <c r="AF992" s="46">
        <f>AE992*IF(B992&gt;=in_marketplace_from,d_hz_hlth_small*G992,0)</f>
        <v/>
      </c>
      <c r="AG992" s="14">
        <f>F992*AF992*in_hlth_small_ticket*in_hlth_small_comm*in_ins_partner_share+F992*in_hlth_small_ticket*in_hlth_small_renew_comm*in_ins_partner_share*(in_hlth_small_renew^1*SUMIFS(AF971:AF1011,B971:B1011,B992-12)+in_hlth_small_renew^2*SUMIFS(AF971:AF1011,B971:B1011,B992-24)+in_hlth_small_renew^3*SUMIFS(AF971:AF1011,B971:B1011,B992-36)+in_hlth_small_renew^4*SUMIFS(AF971:AF1011,B971:B1011,B992-48))</f>
        <v/>
      </c>
      <c r="AH992" s="40">
        <f>AH991*(1-IF(B991&gt;=in_marketplace_from,d_hz_hlth_family*G991,0))</f>
        <v/>
      </c>
      <c r="AI992" s="46">
        <f>AH992*IF(B992&gt;=in_marketplace_from,d_hz_hlth_family*G992,0)</f>
        <v/>
      </c>
      <c r="AJ992" s="14">
        <f>F992*AI992*in_hlth_family_ticket*in_hlth_family_comm*in_ins_partner_share+F992*in_hlth_family_ticket*in_hlth_family_renew_comm*in_ins_partner_share*(in_hlth_family_renew^1*SUMIFS(AI971:AI1011,B971:B1011,B992-12)+in_hlth_family_renew^2*SUMIFS(AI971:AI1011,B971:B1011,B992-24)+in_hlth_family_renew^3*SUMIFS(AI971:AI1011,B971:B1011,B992-36)+in_hlth_family_renew^4*SUMIFS(AI971:AI1011,B971:B1011,B992-48))</f>
        <v/>
      </c>
      <c r="AK992" s="40">
        <f>AK991*(1-IF(B991&gt;=in_marketplace_from,d_hz_life_term*G991,0))</f>
        <v/>
      </c>
      <c r="AL992" s="46">
        <f>AK992*IF(B992&gt;=in_marketplace_from,d_hz_life_term*G992,0)</f>
        <v/>
      </c>
      <c r="AM992" s="14">
        <f>F992*AL992*in_life_term_ticket*in_life_term_comm*in_ins_partner_share+F992*in_life_term_ticket*in_life_term_renew_comm*in_ins_partner_share*(in_life_term_renew^1*SUMIFS(AL971:AL1011,B971:B1011,B992-12)+in_life_term_renew^2*SUMIFS(AL971:AL1011,B971:B1011,B992-24)+in_life_term_renew^3*SUMIFS(AL971:AL1011,B971:B1011,B992-36)+in_life_term_renew^4*SUMIFS(AL971:AL1011,B971:B1011,B992-48))</f>
        <v/>
      </c>
      <c r="AN992" s="40">
        <f>AN991*(1-IF(B991&gt;=in_marketplace_from,d_hz_accident*G991,0))</f>
        <v/>
      </c>
      <c r="AO992" s="46">
        <f>AN992*IF(B992&gt;=in_marketplace_from,d_hz_accident*G992,0)</f>
        <v/>
      </c>
      <c r="AP992" s="14">
        <f>F992*AO992*in_accident_ticket*in_accident_comm*in_ins_partner_share+F992*in_accident_ticket*in_accident_renew_comm*in_ins_partner_share*(in_accident_renew^1*SUMIFS(AO971:AO1011,B971:B1011,B992-12)+in_accident_renew^2*SUMIFS(AO971:AO1011,B971:B1011,B992-24)+in_accident_renew^3*SUMIFS(AO971:AO1011,B971:B1011,B992-36)+in_accident_renew^4*SUMIFS(AO971:AO1011,B971:B1011,B992-48))</f>
        <v/>
      </c>
      <c r="AQ992" s="40">
        <f>AQ991*(1-IF(B991&gt;=in_marketplace_from,d_hz_two_wheeler*G991,0))</f>
        <v/>
      </c>
      <c r="AR992" s="46">
        <f>AQ992*IF(B992&gt;=in_marketplace_from,d_hz_two_wheeler*G992,0)</f>
        <v/>
      </c>
      <c r="AS992" s="14">
        <f>F992*AR992*in_two_wheeler_ticket*in_two_wheeler_comm*in_ins_partner_share+F992*in_two_wheeler_ticket*in_two_wheeler_comm*in_ins_partner_share*(in_two_wheeler_renew^1*SUMIFS(AR971:AR1011,B971:B1011,B992-12)+in_two_wheeler_renew^2*SUMIFS(AR971:AR1011,B971:B1011,B992-24)+in_two_wheeler_renew^3*SUMIFS(AR971:AR1011,B971:B1011,B992-36)+in_two_wheeler_renew^4*SUMIFS(AR971:AR1011,B971:B1011,B992-48))</f>
        <v/>
      </c>
      <c r="AT992" s="40">
        <f>AT991*(1-IF(B991&gt;=in_marketplace_from,d_hz_device*G991,0))</f>
        <v/>
      </c>
      <c r="AU992" s="14">
        <f>F992*AT992*IF(B992&gt;=in_marketplace_from,d_hz_device*G992,0)*in_device_ticket*in_device_comm*in_ins_partner_share</f>
        <v/>
      </c>
      <c r="AV992" s="40">
        <f>AV991*(1-IF(B991&gt;=in_marketplace_from,d_hz_shop*G991,0))</f>
        <v/>
      </c>
      <c r="AW992" s="46">
        <f>AV992*IF(B992&gt;=in_marketplace_from,d_hz_shop*G992,0)</f>
        <v/>
      </c>
      <c r="AX992" s="14">
        <f>F992*AW992*in_shop_ticket*in_shop_comm*in_ins_partner_share+F992*in_shop_ticket*in_shop_renew_comm*in_ins_partner_share*(in_shop_renew^1*SUMIFS(AW971:AW1011,B971:B1011,B992-12)+in_shop_renew^2*SUMIFS(AW971:AW1011,B971:B1011,B992-24)+in_shop_renew^3*SUMIFS(AW971:AW1011,B971:B1011,B992-36)+in_shop_renew^4*SUMIFS(AW971:AW1011,B971:B1011,B992-48))</f>
        <v/>
      </c>
      <c r="AY992" s="40">
        <f>AY991*(1-IF(B991&gt;=in_marketplace_from,d_hz_sip*G991,0))</f>
        <v/>
      </c>
      <c r="AZ992" s="40">
        <f>AZ991*d_rho_sip+AY992*IF(B992&gt;=in_marketplace_from,d_hz_sip*G992,0)</f>
        <v/>
      </c>
      <c r="BA992" s="40">
        <f>d_rho_sip*(BA991+AZ991)</f>
        <v/>
      </c>
      <c r="BB992" s="14">
        <f>F992*in_sip_ticket*(BA992+0.5*AZ992)*in_sip_comm/12</f>
        <v/>
      </c>
      <c r="BC992" s="40">
        <f>BC991*(1-IF(B991&gt;=in_marketplace_from,d_hz_choti*G991,0))</f>
        <v/>
      </c>
      <c r="BD992" s="46">
        <f>BC992*IF(B992&gt;=in_marketplace_from,d_hz_choti*G992,0)</f>
        <v/>
      </c>
      <c r="BE992" s="14">
        <f>F992*SUMIFS(BD971:BD1011,B971:B1011,B992-in_choti_months)*in_choti_renew*in_choti_ticket</f>
        <v/>
      </c>
      <c r="BF992" s="40">
        <f>BF991*(1-IF(B991&gt;=in_marketplace_from,d_hz_nps*G991,0))</f>
        <v/>
      </c>
      <c r="BG992" s="14">
        <f>F992*BF992*IF(B992&gt;=in_marketplace_from,d_hz_nps*G992,0)*in_nps_ticket*in_nps_comm</f>
        <v/>
      </c>
      <c r="BH992" s="40">
        <f>BH991*(1-IF(B991&gt;=in_marketplace_from,d_hz_gold*G991,0))</f>
        <v/>
      </c>
      <c r="BI992" s="40">
        <f>BI991*d_rho_gold+BH992*IF(B992&gt;=in_marketplace_from,d_hz_gold*G992,0)</f>
        <v/>
      </c>
      <c r="BJ992" s="14">
        <f>F992*BI992*in_gold_ticket*in_gold_comm</f>
        <v/>
      </c>
      <c r="BK992" s="40">
        <f>BK991*(1-IF(B991&gt;=in_marketplace_from,d_hz_fd*G991,0))</f>
        <v/>
      </c>
      <c r="BL992" s="14">
        <f>F992*BK992*IF(B992&gt;=in_marketplace_from,d_hz_fd*G992,0)*in_fd_ticket*in_fd_comm</f>
        <v/>
      </c>
      <c r="BM992" s="40">
        <f>BM991*(1-IF(B991&gt;=in_marketplace_from,d_hz_recharge*G991,0))</f>
        <v/>
      </c>
      <c r="BN992" s="40">
        <f>BN991*d_rho_recharge+BM992*IF(B992&gt;=in_marketplace_from,d_hz_recharge*G992,0)</f>
        <v/>
      </c>
      <c r="BO992" s="14">
        <f>F992*BN992*in_recharge_ticket*in_recharge_comm/12</f>
        <v/>
      </c>
      <c r="BP992" s="40">
        <f>BP991*(1-IF(B991&gt;=in_marketplace_from,d_hz_bills*G991,0))</f>
        <v/>
      </c>
      <c r="BQ992" s="40">
        <f>BQ991*d_rho_bills+BP992*IF(B992&gt;=in_marketplace_from,d_hz_bills*G992,0)</f>
        <v/>
      </c>
      <c r="BR992" s="14">
        <f>F992*BQ992*in_bills_ticket*in_bills_comm/12</f>
        <v/>
      </c>
      <c r="BS992" s="40">
        <f>BS991*(1-IF(B991&gt;=in_marketplace_from,d_hz_loan_gold*G991,0))</f>
        <v/>
      </c>
      <c r="BT992" s="14">
        <f>F992*BS992*IF(B992&gt;=in_marketplace_from,d_hz_loan_gold*G992,0)*in_loan_gold_ticket*in_loan_gold_comm</f>
        <v/>
      </c>
      <c r="BU992" s="40">
        <f>BU991*(1-IF(B991&gt;=in_marketplace_from,d_hz_loan_cd*G991,0))</f>
        <v/>
      </c>
      <c r="BV992" s="14">
        <f>F992*BU992*IF(B992&gt;=in_marketplace_from,d_hz_loan_cd*G992,0)*in_loan_cd_ticket*in_loan_cd_comm</f>
        <v/>
      </c>
      <c r="BW992" s="40">
        <f>BW991*(1-IF(B991&gt;=in_marketplace_from,d_hz_loan_vehicle*G991,0))</f>
        <v/>
      </c>
      <c r="BX992" s="14">
        <f>F992*BW992*IF(B992&gt;=in_marketplace_from,d_hz_loan_vehicle*G992,0)*in_loan_vehicle_ticket*in_loan_vehicle_comm</f>
        <v/>
      </c>
      <c r="BY992" s="40">
        <f>BY991*(1-IF(B991&gt;=in_marketplace_from,d_hz_loan_home*G991,0)*BZ991)</f>
        <v/>
      </c>
      <c r="BZ992" s="11">
        <f>MIN(in_approval_cap,in_loan_home_approval*INDEX('Age profile'!$O$2:$O$61,B992)*(1+in_approval_growth)^(D992-1))</f>
        <v/>
      </c>
      <c r="CA992" s="14">
        <f>F992*BY992*IF(B992&gt;=in_marketplace_from,d_hz_loan_home*G992,0)*BZ992*in_loan_home_ticket*in_loan_home_comm</f>
        <v/>
      </c>
      <c r="CB992" s="40">
        <f>CB991*(1-IF(B991&gt;=in_marketplace_from,d_hz_loan_lap*G991,0)*CC991)</f>
        <v/>
      </c>
      <c r="CC992" s="11">
        <f>MIN(in_approval_cap,in_loan_lap_approval*INDEX('Age profile'!$O$2:$O$61,B992)*(1+in_approval_growth)^(D992-1))</f>
        <v/>
      </c>
      <c r="CD992" s="14">
        <f>F992*CB992*IF(B992&gt;=in_marketplace_from,d_hz_loan_lap*G992,0)*CC992*in_loan_lap_ticket*in_loan_lap_comm</f>
        <v/>
      </c>
      <c r="CE992" s="14">
        <f>AA992+AB992+AC992+AD992+AG992+AJ992+AM992+AP992+AS992+AU992+AX992+BB992+BE992+BG992+BJ992+BL992+BO992+BR992+BT992+BV992+BX992+CA992+CD992</f>
        <v/>
      </c>
    </row>
    <row r="993">
      <c r="A993" s="39" t="n">
        <v>20</v>
      </c>
      <c r="B993" s="39" t="n">
        <v>23</v>
      </c>
      <c r="C993" s="39">
        <f>A993+B993-1</f>
        <v/>
      </c>
      <c r="D993" s="39">
        <f>INT((C993-1)/12)+1</f>
        <v/>
      </c>
      <c r="E993" s="44">
        <f>INDEX(Monthly!$B$2:$B$61,A993)</f>
        <v/>
      </c>
      <c r="F993" s="44">
        <f>E993*INDEX('Age profile'!$B$2:$B$61,B993)</f>
        <v/>
      </c>
      <c r="G993" s="45">
        <f>MIN(in_takeup_cap,INDEX('Age profile'!$N$2:$N$61,B993)*(1+in_takeup_growth)^(D993-1))</f>
        <v/>
      </c>
      <c r="H993" s="11">
        <f>MIN(in_approval_cap,in_approved_first*INDEX('Age profile'!$O$2:$O$61,B993)*(1+in_approval_growth)^(D993-1))</f>
        <v/>
      </c>
      <c r="I993" s="45">
        <f>G993*MIN(in_takeup_cap,INDEX('Age profile'!$O$2:$O$61,B993)*(1+in_approval_growth)^(D993-1))</f>
        <v/>
      </c>
      <c r="J993" s="40">
        <f>(J992-L992)*F993/F992</f>
        <v/>
      </c>
      <c r="K993" s="40">
        <f>(K992-M992)*F993/F992+SUMIFS(O971:O992,B971:B992,B993-1-d_T)*F993</f>
        <v/>
      </c>
      <c r="L993" s="40">
        <f>IF(B993&gt;=in_marketplace_from,J993*d_hz*G993*in_eligible*H993,0)</f>
        <v/>
      </c>
      <c r="M993" s="40">
        <f>IF(B993&gt;=in_marketplace_from,K993*d_hz*G993*in_eligible*in_approved_repeat,0)</f>
        <v/>
      </c>
      <c r="N993" s="40">
        <f>L993+M993</f>
        <v/>
      </c>
      <c r="O993" s="46">
        <f>N993/F993</f>
        <v/>
      </c>
      <c r="P993" s="40">
        <f>F993-J993-K993</f>
        <v/>
      </c>
      <c r="Q993" s="40">
        <f>IF(B993&gt;=in_marketplace_from,(J993+K993)*d_hz*G993,0)</f>
        <v/>
      </c>
      <c r="R993" s="40">
        <f>SUMIFS(N971:N1011,B971:B1011,"&gt;="&amp;(B993-d_T),B971:B1011,"&lt;="&amp;(B993-1))</f>
        <v/>
      </c>
      <c r="S993" s="46">
        <f>(1-d_u)*S992+IF(d_T&gt;in_topup_lag,SUMIFS(O971:O1011,B971:B1011,B993-in_topup_lag)-d_udrop*SUMIFS(O971:O1011,B971:B1011,B993-d_T),0)</f>
        <v/>
      </c>
      <c r="T993" s="40">
        <f>F993*d_u*S993</f>
        <v/>
      </c>
      <c r="U993" s="9">
        <f>L993*in_ticket+M993*d_rep_ticket</f>
        <v/>
      </c>
      <c r="V993" s="9">
        <f>U993+T993*d_topup_amt</f>
        <v/>
      </c>
      <c r="W993" s="40">
        <f>N993+T993*d_topup_ratio</f>
        <v/>
      </c>
      <c r="X993" s="40">
        <f>SUMIFS(W971:W1011,B971:B1011,B993-in_dpd_lag)*d_cured</f>
        <v/>
      </c>
      <c r="Y993" s="40">
        <f>SUMIFS(W971:W1011,B971:B1011,B993-in_rec_lag)*d_recd</f>
        <v/>
      </c>
      <c r="Z993" s="40">
        <f>IF(AND(B993&gt;=in_marketplace_from,B993&lt;in_marketplace_from+in_card_months),in_card_share/in_card_months*F993*I993,IF(AND(B993&gt;=in_marketplace_from+in_card_months,B993&lt;in_marketplace_from+2*in_card_months),in_card_share*d_card_rem/in_card_months*F993*MIN(in_takeup_cap,(1+in_takeup_growth)^(D993-1))*MIN(in_takeup_cap,(1+in_approval_growth)^(D993-1)),0))</f>
        <v/>
      </c>
      <c r="AA993" s="14">
        <f>V993*in_fee*(1-in_taken_back)</f>
        <v/>
      </c>
      <c r="AB993" s="14">
        <f>SUMIFS(W971:W1011,B971:B1011,B993-in_dpd_lag)*d_dpd</f>
        <v/>
      </c>
      <c r="AC993" s="14">
        <f>SUMIFS(W971:W1011,B971:B1011,B993-in_rec_lag)*d_rec</f>
        <v/>
      </c>
      <c r="AD993" s="14">
        <f>Z993*in_card_fee</f>
        <v/>
      </c>
      <c r="AE993" s="40">
        <f>AE992*(1-IF(B992&gt;=in_marketplace_from,d_hz_hlth_small*G992,0))</f>
        <v/>
      </c>
      <c r="AF993" s="46">
        <f>AE993*IF(B993&gt;=in_marketplace_from,d_hz_hlth_small*G993,0)</f>
        <v/>
      </c>
      <c r="AG993" s="14">
        <f>F993*AF993*in_hlth_small_ticket*in_hlth_small_comm*in_ins_partner_share+F993*in_hlth_small_ticket*in_hlth_small_renew_comm*in_ins_partner_share*(in_hlth_small_renew^1*SUMIFS(AF971:AF1011,B971:B1011,B993-12)+in_hlth_small_renew^2*SUMIFS(AF971:AF1011,B971:B1011,B993-24)+in_hlth_small_renew^3*SUMIFS(AF971:AF1011,B971:B1011,B993-36)+in_hlth_small_renew^4*SUMIFS(AF971:AF1011,B971:B1011,B993-48))</f>
        <v/>
      </c>
      <c r="AH993" s="40">
        <f>AH992*(1-IF(B992&gt;=in_marketplace_from,d_hz_hlth_family*G992,0))</f>
        <v/>
      </c>
      <c r="AI993" s="46">
        <f>AH993*IF(B993&gt;=in_marketplace_from,d_hz_hlth_family*G993,0)</f>
        <v/>
      </c>
      <c r="AJ993" s="14">
        <f>F993*AI993*in_hlth_family_ticket*in_hlth_family_comm*in_ins_partner_share+F993*in_hlth_family_ticket*in_hlth_family_renew_comm*in_ins_partner_share*(in_hlth_family_renew^1*SUMIFS(AI971:AI1011,B971:B1011,B993-12)+in_hlth_family_renew^2*SUMIFS(AI971:AI1011,B971:B1011,B993-24)+in_hlth_family_renew^3*SUMIFS(AI971:AI1011,B971:B1011,B993-36)+in_hlth_family_renew^4*SUMIFS(AI971:AI1011,B971:B1011,B993-48))</f>
        <v/>
      </c>
      <c r="AK993" s="40">
        <f>AK992*(1-IF(B992&gt;=in_marketplace_from,d_hz_life_term*G992,0))</f>
        <v/>
      </c>
      <c r="AL993" s="46">
        <f>AK993*IF(B993&gt;=in_marketplace_from,d_hz_life_term*G993,0)</f>
        <v/>
      </c>
      <c r="AM993" s="14">
        <f>F993*AL993*in_life_term_ticket*in_life_term_comm*in_ins_partner_share+F993*in_life_term_ticket*in_life_term_renew_comm*in_ins_partner_share*(in_life_term_renew^1*SUMIFS(AL971:AL1011,B971:B1011,B993-12)+in_life_term_renew^2*SUMIFS(AL971:AL1011,B971:B1011,B993-24)+in_life_term_renew^3*SUMIFS(AL971:AL1011,B971:B1011,B993-36)+in_life_term_renew^4*SUMIFS(AL971:AL1011,B971:B1011,B993-48))</f>
        <v/>
      </c>
      <c r="AN993" s="40">
        <f>AN992*(1-IF(B992&gt;=in_marketplace_from,d_hz_accident*G992,0))</f>
        <v/>
      </c>
      <c r="AO993" s="46">
        <f>AN993*IF(B993&gt;=in_marketplace_from,d_hz_accident*G993,0)</f>
        <v/>
      </c>
      <c r="AP993" s="14">
        <f>F993*AO993*in_accident_ticket*in_accident_comm*in_ins_partner_share+F993*in_accident_ticket*in_accident_renew_comm*in_ins_partner_share*(in_accident_renew^1*SUMIFS(AO971:AO1011,B971:B1011,B993-12)+in_accident_renew^2*SUMIFS(AO971:AO1011,B971:B1011,B993-24)+in_accident_renew^3*SUMIFS(AO971:AO1011,B971:B1011,B993-36)+in_accident_renew^4*SUMIFS(AO971:AO1011,B971:B1011,B993-48))</f>
        <v/>
      </c>
      <c r="AQ993" s="40">
        <f>AQ992*(1-IF(B992&gt;=in_marketplace_from,d_hz_two_wheeler*G992,0))</f>
        <v/>
      </c>
      <c r="AR993" s="46">
        <f>AQ993*IF(B993&gt;=in_marketplace_from,d_hz_two_wheeler*G993,0)</f>
        <v/>
      </c>
      <c r="AS993" s="14">
        <f>F993*AR993*in_two_wheeler_ticket*in_two_wheeler_comm*in_ins_partner_share+F993*in_two_wheeler_ticket*in_two_wheeler_comm*in_ins_partner_share*(in_two_wheeler_renew^1*SUMIFS(AR971:AR1011,B971:B1011,B993-12)+in_two_wheeler_renew^2*SUMIFS(AR971:AR1011,B971:B1011,B993-24)+in_two_wheeler_renew^3*SUMIFS(AR971:AR1011,B971:B1011,B993-36)+in_two_wheeler_renew^4*SUMIFS(AR971:AR1011,B971:B1011,B993-48))</f>
        <v/>
      </c>
      <c r="AT993" s="40">
        <f>AT992*(1-IF(B992&gt;=in_marketplace_from,d_hz_device*G992,0))</f>
        <v/>
      </c>
      <c r="AU993" s="14">
        <f>F993*AT993*IF(B993&gt;=in_marketplace_from,d_hz_device*G993,0)*in_device_ticket*in_device_comm*in_ins_partner_share</f>
        <v/>
      </c>
      <c r="AV993" s="40">
        <f>AV992*(1-IF(B992&gt;=in_marketplace_from,d_hz_shop*G992,0))</f>
        <v/>
      </c>
      <c r="AW993" s="46">
        <f>AV993*IF(B993&gt;=in_marketplace_from,d_hz_shop*G993,0)</f>
        <v/>
      </c>
      <c r="AX993" s="14">
        <f>F993*AW993*in_shop_ticket*in_shop_comm*in_ins_partner_share+F993*in_shop_ticket*in_shop_renew_comm*in_ins_partner_share*(in_shop_renew^1*SUMIFS(AW971:AW1011,B971:B1011,B993-12)+in_shop_renew^2*SUMIFS(AW971:AW1011,B971:B1011,B993-24)+in_shop_renew^3*SUMIFS(AW971:AW1011,B971:B1011,B993-36)+in_shop_renew^4*SUMIFS(AW971:AW1011,B971:B1011,B993-48))</f>
        <v/>
      </c>
      <c r="AY993" s="40">
        <f>AY992*(1-IF(B992&gt;=in_marketplace_from,d_hz_sip*G992,0))</f>
        <v/>
      </c>
      <c r="AZ993" s="40">
        <f>AZ992*d_rho_sip+AY993*IF(B993&gt;=in_marketplace_from,d_hz_sip*G993,0)</f>
        <v/>
      </c>
      <c r="BA993" s="40">
        <f>d_rho_sip*(BA992+AZ992)</f>
        <v/>
      </c>
      <c r="BB993" s="14">
        <f>F993*in_sip_ticket*(BA993+0.5*AZ993)*in_sip_comm/12</f>
        <v/>
      </c>
      <c r="BC993" s="40">
        <f>BC992*(1-IF(B992&gt;=in_marketplace_from,d_hz_choti*G992,0))</f>
        <v/>
      </c>
      <c r="BD993" s="46">
        <f>BC993*IF(B993&gt;=in_marketplace_from,d_hz_choti*G993,0)</f>
        <v/>
      </c>
      <c r="BE993" s="14">
        <f>F993*SUMIFS(BD971:BD1011,B971:B1011,B993-in_choti_months)*in_choti_renew*in_choti_ticket</f>
        <v/>
      </c>
      <c r="BF993" s="40">
        <f>BF992*(1-IF(B992&gt;=in_marketplace_from,d_hz_nps*G992,0))</f>
        <v/>
      </c>
      <c r="BG993" s="14">
        <f>F993*BF993*IF(B993&gt;=in_marketplace_from,d_hz_nps*G993,0)*in_nps_ticket*in_nps_comm</f>
        <v/>
      </c>
      <c r="BH993" s="40">
        <f>BH992*(1-IF(B992&gt;=in_marketplace_from,d_hz_gold*G992,0))</f>
        <v/>
      </c>
      <c r="BI993" s="40">
        <f>BI992*d_rho_gold+BH993*IF(B993&gt;=in_marketplace_from,d_hz_gold*G993,0)</f>
        <v/>
      </c>
      <c r="BJ993" s="14">
        <f>F993*BI993*in_gold_ticket*in_gold_comm</f>
        <v/>
      </c>
      <c r="BK993" s="40">
        <f>BK992*(1-IF(B992&gt;=in_marketplace_from,d_hz_fd*G992,0))</f>
        <v/>
      </c>
      <c r="BL993" s="14">
        <f>F993*BK993*IF(B993&gt;=in_marketplace_from,d_hz_fd*G993,0)*in_fd_ticket*in_fd_comm</f>
        <v/>
      </c>
      <c r="BM993" s="40">
        <f>BM992*(1-IF(B992&gt;=in_marketplace_from,d_hz_recharge*G992,0))</f>
        <v/>
      </c>
      <c r="BN993" s="40">
        <f>BN992*d_rho_recharge+BM993*IF(B993&gt;=in_marketplace_from,d_hz_recharge*G993,0)</f>
        <v/>
      </c>
      <c r="BO993" s="14">
        <f>F993*BN993*in_recharge_ticket*in_recharge_comm/12</f>
        <v/>
      </c>
      <c r="BP993" s="40">
        <f>BP992*(1-IF(B992&gt;=in_marketplace_from,d_hz_bills*G992,0))</f>
        <v/>
      </c>
      <c r="BQ993" s="40">
        <f>BQ992*d_rho_bills+BP993*IF(B993&gt;=in_marketplace_from,d_hz_bills*G993,0)</f>
        <v/>
      </c>
      <c r="BR993" s="14">
        <f>F993*BQ993*in_bills_ticket*in_bills_comm/12</f>
        <v/>
      </c>
      <c r="BS993" s="40">
        <f>BS992*(1-IF(B992&gt;=in_marketplace_from,d_hz_loan_gold*G992,0))</f>
        <v/>
      </c>
      <c r="BT993" s="14">
        <f>F993*BS993*IF(B993&gt;=in_marketplace_from,d_hz_loan_gold*G993,0)*in_loan_gold_ticket*in_loan_gold_comm</f>
        <v/>
      </c>
      <c r="BU993" s="40">
        <f>BU992*(1-IF(B992&gt;=in_marketplace_from,d_hz_loan_cd*G992,0))</f>
        <v/>
      </c>
      <c r="BV993" s="14">
        <f>F993*BU993*IF(B993&gt;=in_marketplace_from,d_hz_loan_cd*G993,0)*in_loan_cd_ticket*in_loan_cd_comm</f>
        <v/>
      </c>
      <c r="BW993" s="40">
        <f>BW992*(1-IF(B992&gt;=in_marketplace_from,d_hz_loan_vehicle*G992,0))</f>
        <v/>
      </c>
      <c r="BX993" s="14">
        <f>F993*BW993*IF(B993&gt;=in_marketplace_from,d_hz_loan_vehicle*G993,0)*in_loan_vehicle_ticket*in_loan_vehicle_comm</f>
        <v/>
      </c>
      <c r="BY993" s="40">
        <f>BY992*(1-IF(B992&gt;=in_marketplace_from,d_hz_loan_home*G992,0)*BZ992)</f>
        <v/>
      </c>
      <c r="BZ993" s="11">
        <f>MIN(in_approval_cap,in_loan_home_approval*INDEX('Age profile'!$O$2:$O$61,B993)*(1+in_approval_growth)^(D993-1))</f>
        <v/>
      </c>
      <c r="CA993" s="14">
        <f>F993*BY993*IF(B993&gt;=in_marketplace_from,d_hz_loan_home*G993,0)*BZ993*in_loan_home_ticket*in_loan_home_comm</f>
        <v/>
      </c>
      <c r="CB993" s="40">
        <f>CB992*(1-IF(B992&gt;=in_marketplace_from,d_hz_loan_lap*G992,0)*CC992)</f>
        <v/>
      </c>
      <c r="CC993" s="11">
        <f>MIN(in_approval_cap,in_loan_lap_approval*INDEX('Age profile'!$O$2:$O$61,B993)*(1+in_approval_growth)^(D993-1))</f>
        <v/>
      </c>
      <c r="CD993" s="14">
        <f>F993*CB993*IF(B993&gt;=in_marketplace_from,d_hz_loan_lap*G993,0)*CC993*in_loan_lap_ticket*in_loan_lap_comm</f>
        <v/>
      </c>
      <c r="CE993" s="14">
        <f>AA993+AB993+AC993+AD993+AG993+AJ993+AM993+AP993+AS993+AU993+AX993+BB993+BE993+BG993+BJ993+BL993+BO993+BR993+BT993+BV993+BX993+CA993+CD993</f>
        <v/>
      </c>
    </row>
    <row r="994">
      <c r="A994" s="39" t="n">
        <v>20</v>
      </c>
      <c r="B994" s="39" t="n">
        <v>24</v>
      </c>
      <c r="C994" s="39">
        <f>A994+B994-1</f>
        <v/>
      </c>
      <c r="D994" s="39">
        <f>INT((C994-1)/12)+1</f>
        <v/>
      </c>
      <c r="E994" s="44">
        <f>INDEX(Monthly!$B$2:$B$61,A994)</f>
        <v/>
      </c>
      <c r="F994" s="44">
        <f>E994*INDEX('Age profile'!$B$2:$B$61,B994)</f>
        <v/>
      </c>
      <c r="G994" s="45">
        <f>MIN(in_takeup_cap,INDEX('Age profile'!$N$2:$N$61,B994)*(1+in_takeup_growth)^(D994-1))</f>
        <v/>
      </c>
      <c r="H994" s="11">
        <f>MIN(in_approval_cap,in_approved_first*INDEX('Age profile'!$O$2:$O$61,B994)*(1+in_approval_growth)^(D994-1))</f>
        <v/>
      </c>
      <c r="I994" s="45">
        <f>G994*MIN(in_takeup_cap,INDEX('Age profile'!$O$2:$O$61,B994)*(1+in_approval_growth)^(D994-1))</f>
        <v/>
      </c>
      <c r="J994" s="40">
        <f>(J993-L993)*F994/F993</f>
        <v/>
      </c>
      <c r="K994" s="40">
        <f>(K993-M993)*F994/F993+SUMIFS(O971:O993,B971:B993,B994-1-d_T)*F994</f>
        <v/>
      </c>
      <c r="L994" s="40">
        <f>IF(B994&gt;=in_marketplace_from,J994*d_hz*G994*in_eligible*H994,0)</f>
        <v/>
      </c>
      <c r="M994" s="40">
        <f>IF(B994&gt;=in_marketplace_from,K994*d_hz*G994*in_eligible*in_approved_repeat,0)</f>
        <v/>
      </c>
      <c r="N994" s="40">
        <f>L994+M994</f>
        <v/>
      </c>
      <c r="O994" s="46">
        <f>N994/F994</f>
        <v/>
      </c>
      <c r="P994" s="40">
        <f>F994-J994-K994</f>
        <v/>
      </c>
      <c r="Q994" s="40">
        <f>IF(B994&gt;=in_marketplace_from,(J994+K994)*d_hz*G994,0)</f>
        <v/>
      </c>
      <c r="R994" s="40">
        <f>SUMIFS(N971:N1011,B971:B1011,"&gt;="&amp;(B994-d_T),B971:B1011,"&lt;="&amp;(B994-1))</f>
        <v/>
      </c>
      <c r="S994" s="46">
        <f>(1-d_u)*S993+IF(d_T&gt;in_topup_lag,SUMIFS(O971:O1011,B971:B1011,B994-in_topup_lag)-d_udrop*SUMIFS(O971:O1011,B971:B1011,B994-d_T),0)</f>
        <v/>
      </c>
      <c r="T994" s="40">
        <f>F994*d_u*S994</f>
        <v/>
      </c>
      <c r="U994" s="9">
        <f>L994*in_ticket+M994*d_rep_ticket</f>
        <v/>
      </c>
      <c r="V994" s="9">
        <f>U994+T994*d_topup_amt</f>
        <v/>
      </c>
      <c r="W994" s="40">
        <f>N994+T994*d_topup_ratio</f>
        <v/>
      </c>
      <c r="X994" s="40">
        <f>SUMIFS(W971:W1011,B971:B1011,B994-in_dpd_lag)*d_cured</f>
        <v/>
      </c>
      <c r="Y994" s="40">
        <f>SUMIFS(W971:W1011,B971:B1011,B994-in_rec_lag)*d_recd</f>
        <v/>
      </c>
      <c r="Z994" s="40">
        <f>IF(AND(B994&gt;=in_marketplace_from,B994&lt;in_marketplace_from+in_card_months),in_card_share/in_card_months*F994*I994,IF(AND(B994&gt;=in_marketplace_from+in_card_months,B994&lt;in_marketplace_from+2*in_card_months),in_card_share*d_card_rem/in_card_months*F994*MIN(in_takeup_cap,(1+in_takeup_growth)^(D994-1))*MIN(in_takeup_cap,(1+in_approval_growth)^(D994-1)),0))</f>
        <v/>
      </c>
      <c r="AA994" s="14">
        <f>V994*in_fee*(1-in_taken_back)</f>
        <v/>
      </c>
      <c r="AB994" s="14">
        <f>SUMIFS(W971:W1011,B971:B1011,B994-in_dpd_lag)*d_dpd</f>
        <v/>
      </c>
      <c r="AC994" s="14">
        <f>SUMIFS(W971:W1011,B971:B1011,B994-in_rec_lag)*d_rec</f>
        <v/>
      </c>
      <c r="AD994" s="14">
        <f>Z994*in_card_fee</f>
        <v/>
      </c>
      <c r="AE994" s="40">
        <f>AE993*(1-IF(B993&gt;=in_marketplace_from,d_hz_hlth_small*G993,0))</f>
        <v/>
      </c>
      <c r="AF994" s="46">
        <f>AE994*IF(B994&gt;=in_marketplace_from,d_hz_hlth_small*G994,0)</f>
        <v/>
      </c>
      <c r="AG994" s="14">
        <f>F994*AF994*in_hlth_small_ticket*in_hlth_small_comm*in_ins_partner_share+F994*in_hlth_small_ticket*in_hlth_small_renew_comm*in_ins_partner_share*(in_hlth_small_renew^1*SUMIFS(AF971:AF1011,B971:B1011,B994-12)+in_hlth_small_renew^2*SUMIFS(AF971:AF1011,B971:B1011,B994-24)+in_hlth_small_renew^3*SUMIFS(AF971:AF1011,B971:B1011,B994-36)+in_hlth_small_renew^4*SUMIFS(AF971:AF1011,B971:B1011,B994-48))</f>
        <v/>
      </c>
      <c r="AH994" s="40">
        <f>AH993*(1-IF(B993&gt;=in_marketplace_from,d_hz_hlth_family*G993,0))</f>
        <v/>
      </c>
      <c r="AI994" s="46">
        <f>AH994*IF(B994&gt;=in_marketplace_from,d_hz_hlth_family*G994,0)</f>
        <v/>
      </c>
      <c r="AJ994" s="14">
        <f>F994*AI994*in_hlth_family_ticket*in_hlth_family_comm*in_ins_partner_share+F994*in_hlth_family_ticket*in_hlth_family_renew_comm*in_ins_partner_share*(in_hlth_family_renew^1*SUMIFS(AI971:AI1011,B971:B1011,B994-12)+in_hlth_family_renew^2*SUMIFS(AI971:AI1011,B971:B1011,B994-24)+in_hlth_family_renew^3*SUMIFS(AI971:AI1011,B971:B1011,B994-36)+in_hlth_family_renew^4*SUMIFS(AI971:AI1011,B971:B1011,B994-48))</f>
        <v/>
      </c>
      <c r="AK994" s="40">
        <f>AK993*(1-IF(B993&gt;=in_marketplace_from,d_hz_life_term*G993,0))</f>
        <v/>
      </c>
      <c r="AL994" s="46">
        <f>AK994*IF(B994&gt;=in_marketplace_from,d_hz_life_term*G994,0)</f>
        <v/>
      </c>
      <c r="AM994" s="14">
        <f>F994*AL994*in_life_term_ticket*in_life_term_comm*in_ins_partner_share+F994*in_life_term_ticket*in_life_term_renew_comm*in_ins_partner_share*(in_life_term_renew^1*SUMIFS(AL971:AL1011,B971:B1011,B994-12)+in_life_term_renew^2*SUMIFS(AL971:AL1011,B971:B1011,B994-24)+in_life_term_renew^3*SUMIFS(AL971:AL1011,B971:B1011,B994-36)+in_life_term_renew^4*SUMIFS(AL971:AL1011,B971:B1011,B994-48))</f>
        <v/>
      </c>
      <c r="AN994" s="40">
        <f>AN993*(1-IF(B993&gt;=in_marketplace_from,d_hz_accident*G993,0))</f>
        <v/>
      </c>
      <c r="AO994" s="46">
        <f>AN994*IF(B994&gt;=in_marketplace_from,d_hz_accident*G994,0)</f>
        <v/>
      </c>
      <c r="AP994" s="14">
        <f>F994*AO994*in_accident_ticket*in_accident_comm*in_ins_partner_share+F994*in_accident_ticket*in_accident_renew_comm*in_ins_partner_share*(in_accident_renew^1*SUMIFS(AO971:AO1011,B971:B1011,B994-12)+in_accident_renew^2*SUMIFS(AO971:AO1011,B971:B1011,B994-24)+in_accident_renew^3*SUMIFS(AO971:AO1011,B971:B1011,B994-36)+in_accident_renew^4*SUMIFS(AO971:AO1011,B971:B1011,B994-48))</f>
        <v/>
      </c>
      <c r="AQ994" s="40">
        <f>AQ993*(1-IF(B993&gt;=in_marketplace_from,d_hz_two_wheeler*G993,0))</f>
        <v/>
      </c>
      <c r="AR994" s="46">
        <f>AQ994*IF(B994&gt;=in_marketplace_from,d_hz_two_wheeler*G994,0)</f>
        <v/>
      </c>
      <c r="AS994" s="14">
        <f>F994*AR994*in_two_wheeler_ticket*in_two_wheeler_comm*in_ins_partner_share+F994*in_two_wheeler_ticket*in_two_wheeler_comm*in_ins_partner_share*(in_two_wheeler_renew^1*SUMIFS(AR971:AR1011,B971:B1011,B994-12)+in_two_wheeler_renew^2*SUMIFS(AR971:AR1011,B971:B1011,B994-24)+in_two_wheeler_renew^3*SUMIFS(AR971:AR1011,B971:B1011,B994-36)+in_two_wheeler_renew^4*SUMIFS(AR971:AR1011,B971:B1011,B994-48))</f>
        <v/>
      </c>
      <c r="AT994" s="40">
        <f>AT993*(1-IF(B993&gt;=in_marketplace_from,d_hz_device*G993,0))</f>
        <v/>
      </c>
      <c r="AU994" s="14">
        <f>F994*AT994*IF(B994&gt;=in_marketplace_from,d_hz_device*G994,0)*in_device_ticket*in_device_comm*in_ins_partner_share</f>
        <v/>
      </c>
      <c r="AV994" s="40">
        <f>AV993*(1-IF(B993&gt;=in_marketplace_from,d_hz_shop*G993,0))</f>
        <v/>
      </c>
      <c r="AW994" s="46">
        <f>AV994*IF(B994&gt;=in_marketplace_from,d_hz_shop*G994,0)</f>
        <v/>
      </c>
      <c r="AX994" s="14">
        <f>F994*AW994*in_shop_ticket*in_shop_comm*in_ins_partner_share+F994*in_shop_ticket*in_shop_renew_comm*in_ins_partner_share*(in_shop_renew^1*SUMIFS(AW971:AW1011,B971:B1011,B994-12)+in_shop_renew^2*SUMIFS(AW971:AW1011,B971:B1011,B994-24)+in_shop_renew^3*SUMIFS(AW971:AW1011,B971:B1011,B994-36)+in_shop_renew^4*SUMIFS(AW971:AW1011,B971:B1011,B994-48))</f>
        <v/>
      </c>
      <c r="AY994" s="40">
        <f>AY993*(1-IF(B993&gt;=in_marketplace_from,d_hz_sip*G993,0))</f>
        <v/>
      </c>
      <c r="AZ994" s="40">
        <f>AZ993*d_rho_sip+AY994*IF(B994&gt;=in_marketplace_from,d_hz_sip*G994,0)</f>
        <v/>
      </c>
      <c r="BA994" s="40">
        <f>d_rho_sip*(BA993+AZ993)</f>
        <v/>
      </c>
      <c r="BB994" s="14">
        <f>F994*in_sip_ticket*(BA994+0.5*AZ994)*in_sip_comm/12</f>
        <v/>
      </c>
      <c r="BC994" s="40">
        <f>BC993*(1-IF(B993&gt;=in_marketplace_from,d_hz_choti*G993,0))</f>
        <v/>
      </c>
      <c r="BD994" s="46">
        <f>BC994*IF(B994&gt;=in_marketplace_from,d_hz_choti*G994,0)</f>
        <v/>
      </c>
      <c r="BE994" s="14">
        <f>F994*SUMIFS(BD971:BD1011,B971:B1011,B994-in_choti_months)*in_choti_renew*in_choti_ticket</f>
        <v/>
      </c>
      <c r="BF994" s="40">
        <f>BF993*(1-IF(B993&gt;=in_marketplace_from,d_hz_nps*G993,0))</f>
        <v/>
      </c>
      <c r="BG994" s="14">
        <f>F994*BF994*IF(B994&gt;=in_marketplace_from,d_hz_nps*G994,0)*in_nps_ticket*in_nps_comm</f>
        <v/>
      </c>
      <c r="BH994" s="40">
        <f>BH993*(1-IF(B993&gt;=in_marketplace_from,d_hz_gold*G993,0))</f>
        <v/>
      </c>
      <c r="BI994" s="40">
        <f>BI993*d_rho_gold+BH994*IF(B994&gt;=in_marketplace_from,d_hz_gold*G994,0)</f>
        <v/>
      </c>
      <c r="BJ994" s="14">
        <f>F994*BI994*in_gold_ticket*in_gold_comm</f>
        <v/>
      </c>
      <c r="BK994" s="40">
        <f>BK993*(1-IF(B993&gt;=in_marketplace_from,d_hz_fd*G993,0))</f>
        <v/>
      </c>
      <c r="BL994" s="14">
        <f>F994*BK994*IF(B994&gt;=in_marketplace_from,d_hz_fd*G994,0)*in_fd_ticket*in_fd_comm</f>
        <v/>
      </c>
      <c r="BM994" s="40">
        <f>BM993*(1-IF(B993&gt;=in_marketplace_from,d_hz_recharge*G993,0))</f>
        <v/>
      </c>
      <c r="BN994" s="40">
        <f>BN993*d_rho_recharge+BM994*IF(B994&gt;=in_marketplace_from,d_hz_recharge*G994,0)</f>
        <v/>
      </c>
      <c r="BO994" s="14">
        <f>F994*BN994*in_recharge_ticket*in_recharge_comm/12</f>
        <v/>
      </c>
      <c r="BP994" s="40">
        <f>BP993*(1-IF(B993&gt;=in_marketplace_from,d_hz_bills*G993,0))</f>
        <v/>
      </c>
      <c r="BQ994" s="40">
        <f>BQ993*d_rho_bills+BP994*IF(B994&gt;=in_marketplace_from,d_hz_bills*G994,0)</f>
        <v/>
      </c>
      <c r="BR994" s="14">
        <f>F994*BQ994*in_bills_ticket*in_bills_comm/12</f>
        <v/>
      </c>
      <c r="BS994" s="40">
        <f>BS993*(1-IF(B993&gt;=in_marketplace_from,d_hz_loan_gold*G993,0))</f>
        <v/>
      </c>
      <c r="BT994" s="14">
        <f>F994*BS994*IF(B994&gt;=in_marketplace_from,d_hz_loan_gold*G994,0)*in_loan_gold_ticket*in_loan_gold_comm</f>
        <v/>
      </c>
      <c r="BU994" s="40">
        <f>BU993*(1-IF(B993&gt;=in_marketplace_from,d_hz_loan_cd*G993,0))</f>
        <v/>
      </c>
      <c r="BV994" s="14">
        <f>F994*BU994*IF(B994&gt;=in_marketplace_from,d_hz_loan_cd*G994,0)*in_loan_cd_ticket*in_loan_cd_comm</f>
        <v/>
      </c>
      <c r="BW994" s="40">
        <f>BW993*(1-IF(B993&gt;=in_marketplace_from,d_hz_loan_vehicle*G993,0))</f>
        <v/>
      </c>
      <c r="BX994" s="14">
        <f>F994*BW994*IF(B994&gt;=in_marketplace_from,d_hz_loan_vehicle*G994,0)*in_loan_vehicle_ticket*in_loan_vehicle_comm</f>
        <v/>
      </c>
      <c r="BY994" s="40">
        <f>BY993*(1-IF(B993&gt;=in_marketplace_from,d_hz_loan_home*G993,0)*BZ993)</f>
        <v/>
      </c>
      <c r="BZ994" s="11">
        <f>MIN(in_approval_cap,in_loan_home_approval*INDEX('Age profile'!$O$2:$O$61,B994)*(1+in_approval_growth)^(D994-1))</f>
        <v/>
      </c>
      <c r="CA994" s="14">
        <f>F994*BY994*IF(B994&gt;=in_marketplace_from,d_hz_loan_home*G994,0)*BZ994*in_loan_home_ticket*in_loan_home_comm</f>
        <v/>
      </c>
      <c r="CB994" s="40">
        <f>CB993*(1-IF(B993&gt;=in_marketplace_from,d_hz_loan_lap*G993,0)*CC993)</f>
        <v/>
      </c>
      <c r="CC994" s="11">
        <f>MIN(in_approval_cap,in_loan_lap_approval*INDEX('Age profile'!$O$2:$O$61,B994)*(1+in_approval_growth)^(D994-1))</f>
        <v/>
      </c>
      <c r="CD994" s="14">
        <f>F994*CB994*IF(B994&gt;=in_marketplace_from,d_hz_loan_lap*G994,0)*CC994*in_loan_lap_ticket*in_loan_lap_comm</f>
        <v/>
      </c>
      <c r="CE994" s="14">
        <f>AA994+AB994+AC994+AD994+AG994+AJ994+AM994+AP994+AS994+AU994+AX994+BB994+BE994+BG994+BJ994+BL994+BO994+BR994+BT994+BV994+BX994+CA994+CD994</f>
        <v/>
      </c>
    </row>
    <row r="995">
      <c r="A995" s="39" t="n">
        <v>20</v>
      </c>
      <c r="B995" s="39" t="n">
        <v>25</v>
      </c>
      <c r="C995" s="39">
        <f>A995+B995-1</f>
        <v/>
      </c>
      <c r="D995" s="39">
        <f>INT((C995-1)/12)+1</f>
        <v/>
      </c>
      <c r="E995" s="44">
        <f>INDEX(Monthly!$B$2:$B$61,A995)</f>
        <v/>
      </c>
      <c r="F995" s="44">
        <f>E995*INDEX('Age profile'!$B$2:$B$61,B995)</f>
        <v/>
      </c>
      <c r="G995" s="45">
        <f>MIN(in_takeup_cap,INDEX('Age profile'!$N$2:$N$61,B995)*(1+in_takeup_growth)^(D995-1))</f>
        <v/>
      </c>
      <c r="H995" s="11">
        <f>MIN(in_approval_cap,in_approved_first*INDEX('Age profile'!$O$2:$O$61,B995)*(1+in_approval_growth)^(D995-1))</f>
        <v/>
      </c>
      <c r="I995" s="45">
        <f>G995*MIN(in_takeup_cap,INDEX('Age profile'!$O$2:$O$61,B995)*(1+in_approval_growth)^(D995-1))</f>
        <v/>
      </c>
      <c r="J995" s="40">
        <f>(J994-L994)*F995/F994</f>
        <v/>
      </c>
      <c r="K995" s="40">
        <f>(K994-M994)*F995/F994+SUMIFS(O971:O994,B971:B994,B995-1-d_T)*F995</f>
        <v/>
      </c>
      <c r="L995" s="40">
        <f>IF(B995&gt;=in_marketplace_from,J995*d_hz*G995*in_eligible*H995,0)</f>
        <v/>
      </c>
      <c r="M995" s="40">
        <f>IF(B995&gt;=in_marketplace_from,K995*d_hz*G995*in_eligible*in_approved_repeat,0)</f>
        <v/>
      </c>
      <c r="N995" s="40">
        <f>L995+M995</f>
        <v/>
      </c>
      <c r="O995" s="46">
        <f>N995/F995</f>
        <v/>
      </c>
      <c r="P995" s="40">
        <f>F995-J995-K995</f>
        <v/>
      </c>
      <c r="Q995" s="40">
        <f>IF(B995&gt;=in_marketplace_from,(J995+K995)*d_hz*G995,0)</f>
        <v/>
      </c>
      <c r="R995" s="40">
        <f>SUMIFS(N971:N1011,B971:B1011,"&gt;="&amp;(B995-d_T),B971:B1011,"&lt;="&amp;(B995-1))</f>
        <v/>
      </c>
      <c r="S995" s="46">
        <f>(1-d_u)*S994+IF(d_T&gt;in_topup_lag,SUMIFS(O971:O1011,B971:B1011,B995-in_topup_lag)-d_udrop*SUMIFS(O971:O1011,B971:B1011,B995-d_T),0)</f>
        <v/>
      </c>
      <c r="T995" s="40">
        <f>F995*d_u*S995</f>
        <v/>
      </c>
      <c r="U995" s="9">
        <f>L995*in_ticket+M995*d_rep_ticket</f>
        <v/>
      </c>
      <c r="V995" s="9">
        <f>U995+T995*d_topup_amt</f>
        <v/>
      </c>
      <c r="W995" s="40">
        <f>N995+T995*d_topup_ratio</f>
        <v/>
      </c>
      <c r="X995" s="40">
        <f>SUMIFS(W971:W1011,B971:B1011,B995-in_dpd_lag)*d_cured</f>
        <v/>
      </c>
      <c r="Y995" s="40">
        <f>SUMIFS(W971:W1011,B971:B1011,B995-in_rec_lag)*d_recd</f>
        <v/>
      </c>
      <c r="Z995" s="40">
        <f>IF(AND(B995&gt;=in_marketplace_from,B995&lt;in_marketplace_from+in_card_months),in_card_share/in_card_months*F995*I995,IF(AND(B995&gt;=in_marketplace_from+in_card_months,B995&lt;in_marketplace_from+2*in_card_months),in_card_share*d_card_rem/in_card_months*F995*MIN(in_takeup_cap,(1+in_takeup_growth)^(D995-1))*MIN(in_takeup_cap,(1+in_approval_growth)^(D995-1)),0))</f>
        <v/>
      </c>
      <c r="AA995" s="14">
        <f>V995*in_fee*(1-in_taken_back)</f>
        <v/>
      </c>
      <c r="AB995" s="14">
        <f>SUMIFS(W971:W1011,B971:B1011,B995-in_dpd_lag)*d_dpd</f>
        <v/>
      </c>
      <c r="AC995" s="14">
        <f>SUMIFS(W971:W1011,B971:B1011,B995-in_rec_lag)*d_rec</f>
        <v/>
      </c>
      <c r="AD995" s="14">
        <f>Z995*in_card_fee</f>
        <v/>
      </c>
      <c r="AE995" s="40">
        <f>AE994*(1-IF(B994&gt;=in_marketplace_from,d_hz_hlth_small*G994,0))</f>
        <v/>
      </c>
      <c r="AF995" s="46">
        <f>AE995*IF(B995&gt;=in_marketplace_from,d_hz_hlth_small*G995,0)</f>
        <v/>
      </c>
      <c r="AG995" s="14">
        <f>F995*AF995*in_hlth_small_ticket*in_hlth_small_comm*in_ins_partner_share+F995*in_hlth_small_ticket*in_hlth_small_renew_comm*in_ins_partner_share*(in_hlth_small_renew^1*SUMIFS(AF971:AF1011,B971:B1011,B995-12)+in_hlth_small_renew^2*SUMIFS(AF971:AF1011,B971:B1011,B995-24)+in_hlth_small_renew^3*SUMIFS(AF971:AF1011,B971:B1011,B995-36)+in_hlth_small_renew^4*SUMIFS(AF971:AF1011,B971:B1011,B995-48))</f>
        <v/>
      </c>
      <c r="AH995" s="40">
        <f>AH994*(1-IF(B994&gt;=in_marketplace_from,d_hz_hlth_family*G994,0))</f>
        <v/>
      </c>
      <c r="AI995" s="46">
        <f>AH995*IF(B995&gt;=in_marketplace_from,d_hz_hlth_family*G995,0)</f>
        <v/>
      </c>
      <c r="AJ995" s="14">
        <f>F995*AI995*in_hlth_family_ticket*in_hlth_family_comm*in_ins_partner_share+F995*in_hlth_family_ticket*in_hlth_family_renew_comm*in_ins_partner_share*(in_hlth_family_renew^1*SUMIFS(AI971:AI1011,B971:B1011,B995-12)+in_hlth_family_renew^2*SUMIFS(AI971:AI1011,B971:B1011,B995-24)+in_hlth_family_renew^3*SUMIFS(AI971:AI1011,B971:B1011,B995-36)+in_hlth_family_renew^4*SUMIFS(AI971:AI1011,B971:B1011,B995-48))</f>
        <v/>
      </c>
      <c r="AK995" s="40">
        <f>AK994*(1-IF(B994&gt;=in_marketplace_from,d_hz_life_term*G994,0))</f>
        <v/>
      </c>
      <c r="AL995" s="46">
        <f>AK995*IF(B995&gt;=in_marketplace_from,d_hz_life_term*G995,0)</f>
        <v/>
      </c>
      <c r="AM995" s="14">
        <f>F995*AL995*in_life_term_ticket*in_life_term_comm*in_ins_partner_share+F995*in_life_term_ticket*in_life_term_renew_comm*in_ins_partner_share*(in_life_term_renew^1*SUMIFS(AL971:AL1011,B971:B1011,B995-12)+in_life_term_renew^2*SUMIFS(AL971:AL1011,B971:B1011,B995-24)+in_life_term_renew^3*SUMIFS(AL971:AL1011,B971:B1011,B995-36)+in_life_term_renew^4*SUMIFS(AL971:AL1011,B971:B1011,B995-48))</f>
        <v/>
      </c>
      <c r="AN995" s="40">
        <f>AN994*(1-IF(B994&gt;=in_marketplace_from,d_hz_accident*G994,0))</f>
        <v/>
      </c>
      <c r="AO995" s="46">
        <f>AN995*IF(B995&gt;=in_marketplace_from,d_hz_accident*G995,0)</f>
        <v/>
      </c>
      <c r="AP995" s="14">
        <f>F995*AO995*in_accident_ticket*in_accident_comm*in_ins_partner_share+F995*in_accident_ticket*in_accident_renew_comm*in_ins_partner_share*(in_accident_renew^1*SUMIFS(AO971:AO1011,B971:B1011,B995-12)+in_accident_renew^2*SUMIFS(AO971:AO1011,B971:B1011,B995-24)+in_accident_renew^3*SUMIFS(AO971:AO1011,B971:B1011,B995-36)+in_accident_renew^4*SUMIFS(AO971:AO1011,B971:B1011,B995-48))</f>
        <v/>
      </c>
      <c r="AQ995" s="40">
        <f>AQ994*(1-IF(B994&gt;=in_marketplace_from,d_hz_two_wheeler*G994,0))</f>
        <v/>
      </c>
      <c r="AR995" s="46">
        <f>AQ995*IF(B995&gt;=in_marketplace_from,d_hz_two_wheeler*G995,0)</f>
        <v/>
      </c>
      <c r="AS995" s="14">
        <f>F995*AR995*in_two_wheeler_ticket*in_two_wheeler_comm*in_ins_partner_share+F995*in_two_wheeler_ticket*in_two_wheeler_comm*in_ins_partner_share*(in_two_wheeler_renew^1*SUMIFS(AR971:AR1011,B971:B1011,B995-12)+in_two_wheeler_renew^2*SUMIFS(AR971:AR1011,B971:B1011,B995-24)+in_two_wheeler_renew^3*SUMIFS(AR971:AR1011,B971:B1011,B995-36)+in_two_wheeler_renew^4*SUMIFS(AR971:AR1011,B971:B1011,B995-48))</f>
        <v/>
      </c>
      <c r="AT995" s="40">
        <f>AT994*(1-IF(B994&gt;=in_marketplace_from,d_hz_device*G994,0))</f>
        <v/>
      </c>
      <c r="AU995" s="14">
        <f>F995*AT995*IF(B995&gt;=in_marketplace_from,d_hz_device*G995,0)*in_device_ticket*in_device_comm*in_ins_partner_share</f>
        <v/>
      </c>
      <c r="AV995" s="40">
        <f>AV994*(1-IF(B994&gt;=in_marketplace_from,d_hz_shop*G994,0))</f>
        <v/>
      </c>
      <c r="AW995" s="46">
        <f>AV995*IF(B995&gt;=in_marketplace_from,d_hz_shop*G995,0)</f>
        <v/>
      </c>
      <c r="AX995" s="14">
        <f>F995*AW995*in_shop_ticket*in_shop_comm*in_ins_partner_share+F995*in_shop_ticket*in_shop_renew_comm*in_ins_partner_share*(in_shop_renew^1*SUMIFS(AW971:AW1011,B971:B1011,B995-12)+in_shop_renew^2*SUMIFS(AW971:AW1011,B971:B1011,B995-24)+in_shop_renew^3*SUMIFS(AW971:AW1011,B971:B1011,B995-36)+in_shop_renew^4*SUMIFS(AW971:AW1011,B971:B1011,B995-48))</f>
        <v/>
      </c>
      <c r="AY995" s="40">
        <f>AY994*(1-IF(B994&gt;=in_marketplace_from,d_hz_sip*G994,0))</f>
        <v/>
      </c>
      <c r="AZ995" s="40">
        <f>AZ994*d_rho_sip+AY995*IF(B995&gt;=in_marketplace_from,d_hz_sip*G995,0)</f>
        <v/>
      </c>
      <c r="BA995" s="40">
        <f>d_rho_sip*(BA994+AZ994)</f>
        <v/>
      </c>
      <c r="BB995" s="14">
        <f>F995*in_sip_ticket*(BA995+0.5*AZ995)*in_sip_comm/12</f>
        <v/>
      </c>
      <c r="BC995" s="40">
        <f>BC994*(1-IF(B994&gt;=in_marketplace_from,d_hz_choti*G994,0))</f>
        <v/>
      </c>
      <c r="BD995" s="46">
        <f>BC995*IF(B995&gt;=in_marketplace_from,d_hz_choti*G995,0)</f>
        <v/>
      </c>
      <c r="BE995" s="14">
        <f>F995*SUMIFS(BD971:BD1011,B971:B1011,B995-in_choti_months)*in_choti_renew*in_choti_ticket</f>
        <v/>
      </c>
      <c r="BF995" s="40">
        <f>BF994*(1-IF(B994&gt;=in_marketplace_from,d_hz_nps*G994,0))</f>
        <v/>
      </c>
      <c r="BG995" s="14">
        <f>F995*BF995*IF(B995&gt;=in_marketplace_from,d_hz_nps*G995,0)*in_nps_ticket*in_nps_comm</f>
        <v/>
      </c>
      <c r="BH995" s="40">
        <f>BH994*(1-IF(B994&gt;=in_marketplace_from,d_hz_gold*G994,0))</f>
        <v/>
      </c>
      <c r="BI995" s="40">
        <f>BI994*d_rho_gold+BH995*IF(B995&gt;=in_marketplace_from,d_hz_gold*G995,0)</f>
        <v/>
      </c>
      <c r="BJ995" s="14">
        <f>F995*BI995*in_gold_ticket*in_gold_comm</f>
        <v/>
      </c>
      <c r="BK995" s="40">
        <f>BK994*(1-IF(B994&gt;=in_marketplace_from,d_hz_fd*G994,0))</f>
        <v/>
      </c>
      <c r="BL995" s="14">
        <f>F995*BK995*IF(B995&gt;=in_marketplace_from,d_hz_fd*G995,0)*in_fd_ticket*in_fd_comm</f>
        <v/>
      </c>
      <c r="BM995" s="40">
        <f>BM994*(1-IF(B994&gt;=in_marketplace_from,d_hz_recharge*G994,0))</f>
        <v/>
      </c>
      <c r="BN995" s="40">
        <f>BN994*d_rho_recharge+BM995*IF(B995&gt;=in_marketplace_from,d_hz_recharge*G995,0)</f>
        <v/>
      </c>
      <c r="BO995" s="14">
        <f>F995*BN995*in_recharge_ticket*in_recharge_comm/12</f>
        <v/>
      </c>
      <c r="BP995" s="40">
        <f>BP994*(1-IF(B994&gt;=in_marketplace_from,d_hz_bills*G994,0))</f>
        <v/>
      </c>
      <c r="BQ995" s="40">
        <f>BQ994*d_rho_bills+BP995*IF(B995&gt;=in_marketplace_from,d_hz_bills*G995,0)</f>
        <v/>
      </c>
      <c r="BR995" s="14">
        <f>F995*BQ995*in_bills_ticket*in_bills_comm/12</f>
        <v/>
      </c>
      <c r="BS995" s="40">
        <f>BS994*(1-IF(B994&gt;=in_marketplace_from,d_hz_loan_gold*G994,0))</f>
        <v/>
      </c>
      <c r="BT995" s="14">
        <f>F995*BS995*IF(B995&gt;=in_marketplace_from,d_hz_loan_gold*G995,0)*in_loan_gold_ticket*in_loan_gold_comm</f>
        <v/>
      </c>
      <c r="BU995" s="40">
        <f>BU994*(1-IF(B994&gt;=in_marketplace_from,d_hz_loan_cd*G994,0))</f>
        <v/>
      </c>
      <c r="BV995" s="14">
        <f>F995*BU995*IF(B995&gt;=in_marketplace_from,d_hz_loan_cd*G995,0)*in_loan_cd_ticket*in_loan_cd_comm</f>
        <v/>
      </c>
      <c r="BW995" s="40">
        <f>BW994*(1-IF(B994&gt;=in_marketplace_from,d_hz_loan_vehicle*G994,0))</f>
        <v/>
      </c>
      <c r="BX995" s="14">
        <f>F995*BW995*IF(B995&gt;=in_marketplace_from,d_hz_loan_vehicle*G995,0)*in_loan_vehicle_ticket*in_loan_vehicle_comm</f>
        <v/>
      </c>
      <c r="BY995" s="40">
        <f>BY994*(1-IF(B994&gt;=in_marketplace_from,d_hz_loan_home*G994,0)*BZ994)</f>
        <v/>
      </c>
      <c r="BZ995" s="11">
        <f>MIN(in_approval_cap,in_loan_home_approval*INDEX('Age profile'!$O$2:$O$61,B995)*(1+in_approval_growth)^(D995-1))</f>
        <v/>
      </c>
      <c r="CA995" s="14">
        <f>F995*BY995*IF(B995&gt;=in_marketplace_from,d_hz_loan_home*G995,0)*BZ995*in_loan_home_ticket*in_loan_home_comm</f>
        <v/>
      </c>
      <c r="CB995" s="40">
        <f>CB994*(1-IF(B994&gt;=in_marketplace_from,d_hz_loan_lap*G994,0)*CC994)</f>
        <v/>
      </c>
      <c r="CC995" s="11">
        <f>MIN(in_approval_cap,in_loan_lap_approval*INDEX('Age profile'!$O$2:$O$61,B995)*(1+in_approval_growth)^(D995-1))</f>
        <v/>
      </c>
      <c r="CD995" s="14">
        <f>F995*CB995*IF(B995&gt;=in_marketplace_from,d_hz_loan_lap*G995,0)*CC995*in_loan_lap_ticket*in_loan_lap_comm</f>
        <v/>
      </c>
      <c r="CE995" s="14">
        <f>AA995+AB995+AC995+AD995+AG995+AJ995+AM995+AP995+AS995+AU995+AX995+BB995+BE995+BG995+BJ995+BL995+BO995+BR995+BT995+BV995+BX995+CA995+CD995</f>
        <v/>
      </c>
    </row>
    <row r="996">
      <c r="A996" s="39" t="n">
        <v>20</v>
      </c>
      <c r="B996" s="39" t="n">
        <v>26</v>
      </c>
      <c r="C996" s="39">
        <f>A996+B996-1</f>
        <v/>
      </c>
      <c r="D996" s="39">
        <f>INT((C996-1)/12)+1</f>
        <v/>
      </c>
      <c r="E996" s="44">
        <f>INDEX(Monthly!$B$2:$B$61,A996)</f>
        <v/>
      </c>
      <c r="F996" s="44">
        <f>E996*INDEX('Age profile'!$B$2:$B$61,B996)</f>
        <v/>
      </c>
      <c r="G996" s="45">
        <f>MIN(in_takeup_cap,INDEX('Age profile'!$N$2:$N$61,B996)*(1+in_takeup_growth)^(D996-1))</f>
        <v/>
      </c>
      <c r="H996" s="11">
        <f>MIN(in_approval_cap,in_approved_first*INDEX('Age profile'!$O$2:$O$61,B996)*(1+in_approval_growth)^(D996-1))</f>
        <v/>
      </c>
      <c r="I996" s="45">
        <f>G996*MIN(in_takeup_cap,INDEX('Age profile'!$O$2:$O$61,B996)*(1+in_approval_growth)^(D996-1))</f>
        <v/>
      </c>
      <c r="J996" s="40">
        <f>(J995-L995)*F996/F995</f>
        <v/>
      </c>
      <c r="K996" s="40">
        <f>(K995-M995)*F996/F995+SUMIFS(O971:O995,B971:B995,B996-1-d_T)*F996</f>
        <v/>
      </c>
      <c r="L996" s="40">
        <f>IF(B996&gt;=in_marketplace_from,J996*d_hz*G996*in_eligible*H996,0)</f>
        <v/>
      </c>
      <c r="M996" s="40">
        <f>IF(B996&gt;=in_marketplace_from,K996*d_hz*G996*in_eligible*in_approved_repeat,0)</f>
        <v/>
      </c>
      <c r="N996" s="40">
        <f>L996+M996</f>
        <v/>
      </c>
      <c r="O996" s="46">
        <f>N996/F996</f>
        <v/>
      </c>
      <c r="P996" s="40">
        <f>F996-J996-K996</f>
        <v/>
      </c>
      <c r="Q996" s="40">
        <f>IF(B996&gt;=in_marketplace_from,(J996+K996)*d_hz*G996,0)</f>
        <v/>
      </c>
      <c r="R996" s="40">
        <f>SUMIFS(N971:N1011,B971:B1011,"&gt;="&amp;(B996-d_T),B971:B1011,"&lt;="&amp;(B996-1))</f>
        <v/>
      </c>
      <c r="S996" s="46">
        <f>(1-d_u)*S995+IF(d_T&gt;in_topup_lag,SUMIFS(O971:O1011,B971:B1011,B996-in_topup_lag)-d_udrop*SUMIFS(O971:O1011,B971:B1011,B996-d_T),0)</f>
        <v/>
      </c>
      <c r="T996" s="40">
        <f>F996*d_u*S996</f>
        <v/>
      </c>
      <c r="U996" s="9">
        <f>L996*in_ticket+M996*d_rep_ticket</f>
        <v/>
      </c>
      <c r="V996" s="9">
        <f>U996+T996*d_topup_amt</f>
        <v/>
      </c>
      <c r="W996" s="40">
        <f>N996+T996*d_topup_ratio</f>
        <v/>
      </c>
      <c r="X996" s="40">
        <f>SUMIFS(W971:W1011,B971:B1011,B996-in_dpd_lag)*d_cured</f>
        <v/>
      </c>
      <c r="Y996" s="40">
        <f>SUMIFS(W971:W1011,B971:B1011,B996-in_rec_lag)*d_recd</f>
        <v/>
      </c>
      <c r="Z996" s="40">
        <f>IF(AND(B996&gt;=in_marketplace_from,B996&lt;in_marketplace_from+in_card_months),in_card_share/in_card_months*F996*I996,IF(AND(B996&gt;=in_marketplace_from+in_card_months,B996&lt;in_marketplace_from+2*in_card_months),in_card_share*d_card_rem/in_card_months*F996*MIN(in_takeup_cap,(1+in_takeup_growth)^(D996-1))*MIN(in_takeup_cap,(1+in_approval_growth)^(D996-1)),0))</f>
        <v/>
      </c>
      <c r="AA996" s="14">
        <f>V996*in_fee*(1-in_taken_back)</f>
        <v/>
      </c>
      <c r="AB996" s="14">
        <f>SUMIFS(W971:W1011,B971:B1011,B996-in_dpd_lag)*d_dpd</f>
        <v/>
      </c>
      <c r="AC996" s="14">
        <f>SUMIFS(W971:W1011,B971:B1011,B996-in_rec_lag)*d_rec</f>
        <v/>
      </c>
      <c r="AD996" s="14">
        <f>Z996*in_card_fee</f>
        <v/>
      </c>
      <c r="AE996" s="40">
        <f>AE995*(1-IF(B995&gt;=in_marketplace_from,d_hz_hlth_small*G995,0))</f>
        <v/>
      </c>
      <c r="AF996" s="46">
        <f>AE996*IF(B996&gt;=in_marketplace_from,d_hz_hlth_small*G996,0)</f>
        <v/>
      </c>
      <c r="AG996" s="14">
        <f>F996*AF996*in_hlth_small_ticket*in_hlth_small_comm*in_ins_partner_share+F996*in_hlth_small_ticket*in_hlth_small_renew_comm*in_ins_partner_share*(in_hlth_small_renew^1*SUMIFS(AF971:AF1011,B971:B1011,B996-12)+in_hlth_small_renew^2*SUMIFS(AF971:AF1011,B971:B1011,B996-24)+in_hlth_small_renew^3*SUMIFS(AF971:AF1011,B971:B1011,B996-36)+in_hlth_small_renew^4*SUMIFS(AF971:AF1011,B971:B1011,B996-48))</f>
        <v/>
      </c>
      <c r="AH996" s="40">
        <f>AH995*(1-IF(B995&gt;=in_marketplace_from,d_hz_hlth_family*G995,0))</f>
        <v/>
      </c>
      <c r="AI996" s="46">
        <f>AH996*IF(B996&gt;=in_marketplace_from,d_hz_hlth_family*G996,0)</f>
        <v/>
      </c>
      <c r="AJ996" s="14">
        <f>F996*AI996*in_hlth_family_ticket*in_hlth_family_comm*in_ins_partner_share+F996*in_hlth_family_ticket*in_hlth_family_renew_comm*in_ins_partner_share*(in_hlth_family_renew^1*SUMIFS(AI971:AI1011,B971:B1011,B996-12)+in_hlth_family_renew^2*SUMIFS(AI971:AI1011,B971:B1011,B996-24)+in_hlth_family_renew^3*SUMIFS(AI971:AI1011,B971:B1011,B996-36)+in_hlth_family_renew^4*SUMIFS(AI971:AI1011,B971:B1011,B996-48))</f>
        <v/>
      </c>
      <c r="AK996" s="40">
        <f>AK995*(1-IF(B995&gt;=in_marketplace_from,d_hz_life_term*G995,0))</f>
        <v/>
      </c>
      <c r="AL996" s="46">
        <f>AK996*IF(B996&gt;=in_marketplace_from,d_hz_life_term*G996,0)</f>
        <v/>
      </c>
      <c r="AM996" s="14">
        <f>F996*AL996*in_life_term_ticket*in_life_term_comm*in_ins_partner_share+F996*in_life_term_ticket*in_life_term_renew_comm*in_ins_partner_share*(in_life_term_renew^1*SUMIFS(AL971:AL1011,B971:B1011,B996-12)+in_life_term_renew^2*SUMIFS(AL971:AL1011,B971:B1011,B996-24)+in_life_term_renew^3*SUMIFS(AL971:AL1011,B971:B1011,B996-36)+in_life_term_renew^4*SUMIFS(AL971:AL1011,B971:B1011,B996-48))</f>
        <v/>
      </c>
      <c r="AN996" s="40">
        <f>AN995*(1-IF(B995&gt;=in_marketplace_from,d_hz_accident*G995,0))</f>
        <v/>
      </c>
      <c r="AO996" s="46">
        <f>AN996*IF(B996&gt;=in_marketplace_from,d_hz_accident*G996,0)</f>
        <v/>
      </c>
      <c r="AP996" s="14">
        <f>F996*AO996*in_accident_ticket*in_accident_comm*in_ins_partner_share+F996*in_accident_ticket*in_accident_renew_comm*in_ins_partner_share*(in_accident_renew^1*SUMIFS(AO971:AO1011,B971:B1011,B996-12)+in_accident_renew^2*SUMIFS(AO971:AO1011,B971:B1011,B996-24)+in_accident_renew^3*SUMIFS(AO971:AO1011,B971:B1011,B996-36)+in_accident_renew^4*SUMIFS(AO971:AO1011,B971:B1011,B996-48))</f>
        <v/>
      </c>
      <c r="AQ996" s="40">
        <f>AQ995*(1-IF(B995&gt;=in_marketplace_from,d_hz_two_wheeler*G995,0))</f>
        <v/>
      </c>
      <c r="AR996" s="46">
        <f>AQ996*IF(B996&gt;=in_marketplace_from,d_hz_two_wheeler*G996,0)</f>
        <v/>
      </c>
      <c r="AS996" s="14">
        <f>F996*AR996*in_two_wheeler_ticket*in_two_wheeler_comm*in_ins_partner_share+F996*in_two_wheeler_ticket*in_two_wheeler_comm*in_ins_partner_share*(in_two_wheeler_renew^1*SUMIFS(AR971:AR1011,B971:B1011,B996-12)+in_two_wheeler_renew^2*SUMIFS(AR971:AR1011,B971:B1011,B996-24)+in_two_wheeler_renew^3*SUMIFS(AR971:AR1011,B971:B1011,B996-36)+in_two_wheeler_renew^4*SUMIFS(AR971:AR1011,B971:B1011,B996-48))</f>
        <v/>
      </c>
      <c r="AT996" s="40">
        <f>AT995*(1-IF(B995&gt;=in_marketplace_from,d_hz_device*G995,0))</f>
        <v/>
      </c>
      <c r="AU996" s="14">
        <f>F996*AT996*IF(B996&gt;=in_marketplace_from,d_hz_device*G996,0)*in_device_ticket*in_device_comm*in_ins_partner_share</f>
        <v/>
      </c>
      <c r="AV996" s="40">
        <f>AV995*(1-IF(B995&gt;=in_marketplace_from,d_hz_shop*G995,0))</f>
        <v/>
      </c>
      <c r="AW996" s="46">
        <f>AV996*IF(B996&gt;=in_marketplace_from,d_hz_shop*G996,0)</f>
        <v/>
      </c>
      <c r="AX996" s="14">
        <f>F996*AW996*in_shop_ticket*in_shop_comm*in_ins_partner_share+F996*in_shop_ticket*in_shop_renew_comm*in_ins_partner_share*(in_shop_renew^1*SUMIFS(AW971:AW1011,B971:B1011,B996-12)+in_shop_renew^2*SUMIFS(AW971:AW1011,B971:B1011,B996-24)+in_shop_renew^3*SUMIFS(AW971:AW1011,B971:B1011,B996-36)+in_shop_renew^4*SUMIFS(AW971:AW1011,B971:B1011,B996-48))</f>
        <v/>
      </c>
      <c r="AY996" s="40">
        <f>AY995*(1-IF(B995&gt;=in_marketplace_from,d_hz_sip*G995,0))</f>
        <v/>
      </c>
      <c r="AZ996" s="40">
        <f>AZ995*d_rho_sip+AY996*IF(B996&gt;=in_marketplace_from,d_hz_sip*G996,0)</f>
        <v/>
      </c>
      <c r="BA996" s="40">
        <f>d_rho_sip*(BA995+AZ995)</f>
        <v/>
      </c>
      <c r="BB996" s="14">
        <f>F996*in_sip_ticket*(BA996+0.5*AZ996)*in_sip_comm/12</f>
        <v/>
      </c>
      <c r="BC996" s="40">
        <f>BC995*(1-IF(B995&gt;=in_marketplace_from,d_hz_choti*G995,0))</f>
        <v/>
      </c>
      <c r="BD996" s="46">
        <f>BC996*IF(B996&gt;=in_marketplace_from,d_hz_choti*G996,0)</f>
        <v/>
      </c>
      <c r="BE996" s="14">
        <f>F996*SUMIFS(BD971:BD1011,B971:B1011,B996-in_choti_months)*in_choti_renew*in_choti_ticket</f>
        <v/>
      </c>
      <c r="BF996" s="40">
        <f>BF995*(1-IF(B995&gt;=in_marketplace_from,d_hz_nps*G995,0))</f>
        <v/>
      </c>
      <c r="BG996" s="14">
        <f>F996*BF996*IF(B996&gt;=in_marketplace_from,d_hz_nps*G996,0)*in_nps_ticket*in_nps_comm</f>
        <v/>
      </c>
      <c r="BH996" s="40">
        <f>BH995*(1-IF(B995&gt;=in_marketplace_from,d_hz_gold*G995,0))</f>
        <v/>
      </c>
      <c r="BI996" s="40">
        <f>BI995*d_rho_gold+BH996*IF(B996&gt;=in_marketplace_from,d_hz_gold*G996,0)</f>
        <v/>
      </c>
      <c r="BJ996" s="14">
        <f>F996*BI996*in_gold_ticket*in_gold_comm</f>
        <v/>
      </c>
      <c r="BK996" s="40">
        <f>BK995*(1-IF(B995&gt;=in_marketplace_from,d_hz_fd*G995,0))</f>
        <v/>
      </c>
      <c r="BL996" s="14">
        <f>F996*BK996*IF(B996&gt;=in_marketplace_from,d_hz_fd*G996,0)*in_fd_ticket*in_fd_comm</f>
        <v/>
      </c>
      <c r="BM996" s="40">
        <f>BM995*(1-IF(B995&gt;=in_marketplace_from,d_hz_recharge*G995,0))</f>
        <v/>
      </c>
      <c r="BN996" s="40">
        <f>BN995*d_rho_recharge+BM996*IF(B996&gt;=in_marketplace_from,d_hz_recharge*G996,0)</f>
        <v/>
      </c>
      <c r="BO996" s="14">
        <f>F996*BN996*in_recharge_ticket*in_recharge_comm/12</f>
        <v/>
      </c>
      <c r="BP996" s="40">
        <f>BP995*(1-IF(B995&gt;=in_marketplace_from,d_hz_bills*G995,0))</f>
        <v/>
      </c>
      <c r="BQ996" s="40">
        <f>BQ995*d_rho_bills+BP996*IF(B996&gt;=in_marketplace_from,d_hz_bills*G996,0)</f>
        <v/>
      </c>
      <c r="BR996" s="14">
        <f>F996*BQ996*in_bills_ticket*in_bills_comm/12</f>
        <v/>
      </c>
      <c r="BS996" s="40">
        <f>BS995*(1-IF(B995&gt;=in_marketplace_from,d_hz_loan_gold*G995,0))</f>
        <v/>
      </c>
      <c r="BT996" s="14">
        <f>F996*BS996*IF(B996&gt;=in_marketplace_from,d_hz_loan_gold*G996,0)*in_loan_gold_ticket*in_loan_gold_comm</f>
        <v/>
      </c>
      <c r="BU996" s="40">
        <f>BU995*(1-IF(B995&gt;=in_marketplace_from,d_hz_loan_cd*G995,0))</f>
        <v/>
      </c>
      <c r="BV996" s="14">
        <f>F996*BU996*IF(B996&gt;=in_marketplace_from,d_hz_loan_cd*G996,0)*in_loan_cd_ticket*in_loan_cd_comm</f>
        <v/>
      </c>
      <c r="BW996" s="40">
        <f>BW995*(1-IF(B995&gt;=in_marketplace_from,d_hz_loan_vehicle*G995,0))</f>
        <v/>
      </c>
      <c r="BX996" s="14">
        <f>F996*BW996*IF(B996&gt;=in_marketplace_from,d_hz_loan_vehicle*G996,0)*in_loan_vehicle_ticket*in_loan_vehicle_comm</f>
        <v/>
      </c>
      <c r="BY996" s="40">
        <f>BY995*(1-IF(B995&gt;=in_marketplace_from,d_hz_loan_home*G995,0)*BZ995)</f>
        <v/>
      </c>
      <c r="BZ996" s="11">
        <f>MIN(in_approval_cap,in_loan_home_approval*INDEX('Age profile'!$O$2:$O$61,B996)*(1+in_approval_growth)^(D996-1))</f>
        <v/>
      </c>
      <c r="CA996" s="14">
        <f>F996*BY996*IF(B996&gt;=in_marketplace_from,d_hz_loan_home*G996,0)*BZ996*in_loan_home_ticket*in_loan_home_comm</f>
        <v/>
      </c>
      <c r="CB996" s="40">
        <f>CB995*(1-IF(B995&gt;=in_marketplace_from,d_hz_loan_lap*G995,0)*CC995)</f>
        <v/>
      </c>
      <c r="CC996" s="11">
        <f>MIN(in_approval_cap,in_loan_lap_approval*INDEX('Age profile'!$O$2:$O$61,B996)*(1+in_approval_growth)^(D996-1))</f>
        <v/>
      </c>
      <c r="CD996" s="14">
        <f>F996*CB996*IF(B996&gt;=in_marketplace_from,d_hz_loan_lap*G996,0)*CC996*in_loan_lap_ticket*in_loan_lap_comm</f>
        <v/>
      </c>
      <c r="CE996" s="14">
        <f>AA996+AB996+AC996+AD996+AG996+AJ996+AM996+AP996+AS996+AU996+AX996+BB996+BE996+BG996+BJ996+BL996+BO996+BR996+BT996+BV996+BX996+CA996+CD996</f>
        <v/>
      </c>
    </row>
    <row r="997">
      <c r="A997" s="39" t="n">
        <v>20</v>
      </c>
      <c r="B997" s="39" t="n">
        <v>27</v>
      </c>
      <c r="C997" s="39">
        <f>A997+B997-1</f>
        <v/>
      </c>
      <c r="D997" s="39">
        <f>INT((C997-1)/12)+1</f>
        <v/>
      </c>
      <c r="E997" s="44">
        <f>INDEX(Monthly!$B$2:$B$61,A997)</f>
        <v/>
      </c>
      <c r="F997" s="44">
        <f>E997*INDEX('Age profile'!$B$2:$B$61,B997)</f>
        <v/>
      </c>
      <c r="G997" s="45">
        <f>MIN(in_takeup_cap,INDEX('Age profile'!$N$2:$N$61,B997)*(1+in_takeup_growth)^(D997-1))</f>
        <v/>
      </c>
      <c r="H997" s="11">
        <f>MIN(in_approval_cap,in_approved_first*INDEX('Age profile'!$O$2:$O$61,B997)*(1+in_approval_growth)^(D997-1))</f>
        <v/>
      </c>
      <c r="I997" s="45">
        <f>G997*MIN(in_takeup_cap,INDEX('Age profile'!$O$2:$O$61,B997)*(1+in_approval_growth)^(D997-1))</f>
        <v/>
      </c>
      <c r="J997" s="40">
        <f>(J996-L996)*F997/F996</f>
        <v/>
      </c>
      <c r="K997" s="40">
        <f>(K996-M996)*F997/F996+SUMIFS(O971:O996,B971:B996,B997-1-d_T)*F997</f>
        <v/>
      </c>
      <c r="L997" s="40">
        <f>IF(B997&gt;=in_marketplace_from,J997*d_hz*G997*in_eligible*H997,0)</f>
        <v/>
      </c>
      <c r="M997" s="40">
        <f>IF(B997&gt;=in_marketplace_from,K997*d_hz*G997*in_eligible*in_approved_repeat,0)</f>
        <v/>
      </c>
      <c r="N997" s="40">
        <f>L997+M997</f>
        <v/>
      </c>
      <c r="O997" s="46">
        <f>N997/F997</f>
        <v/>
      </c>
      <c r="P997" s="40">
        <f>F997-J997-K997</f>
        <v/>
      </c>
      <c r="Q997" s="40">
        <f>IF(B997&gt;=in_marketplace_from,(J997+K997)*d_hz*G997,0)</f>
        <v/>
      </c>
      <c r="R997" s="40">
        <f>SUMIFS(N971:N1011,B971:B1011,"&gt;="&amp;(B997-d_T),B971:B1011,"&lt;="&amp;(B997-1))</f>
        <v/>
      </c>
      <c r="S997" s="46">
        <f>(1-d_u)*S996+IF(d_T&gt;in_topup_lag,SUMIFS(O971:O1011,B971:B1011,B997-in_topup_lag)-d_udrop*SUMIFS(O971:O1011,B971:B1011,B997-d_T),0)</f>
        <v/>
      </c>
      <c r="T997" s="40">
        <f>F997*d_u*S997</f>
        <v/>
      </c>
      <c r="U997" s="9">
        <f>L997*in_ticket+M997*d_rep_ticket</f>
        <v/>
      </c>
      <c r="V997" s="9">
        <f>U997+T997*d_topup_amt</f>
        <v/>
      </c>
      <c r="W997" s="40">
        <f>N997+T997*d_topup_ratio</f>
        <v/>
      </c>
      <c r="X997" s="40">
        <f>SUMIFS(W971:W1011,B971:B1011,B997-in_dpd_lag)*d_cured</f>
        <v/>
      </c>
      <c r="Y997" s="40">
        <f>SUMIFS(W971:W1011,B971:B1011,B997-in_rec_lag)*d_recd</f>
        <v/>
      </c>
      <c r="Z997" s="40">
        <f>IF(AND(B997&gt;=in_marketplace_from,B997&lt;in_marketplace_from+in_card_months),in_card_share/in_card_months*F997*I997,IF(AND(B997&gt;=in_marketplace_from+in_card_months,B997&lt;in_marketplace_from+2*in_card_months),in_card_share*d_card_rem/in_card_months*F997*MIN(in_takeup_cap,(1+in_takeup_growth)^(D997-1))*MIN(in_takeup_cap,(1+in_approval_growth)^(D997-1)),0))</f>
        <v/>
      </c>
      <c r="AA997" s="14">
        <f>V997*in_fee*(1-in_taken_back)</f>
        <v/>
      </c>
      <c r="AB997" s="14">
        <f>SUMIFS(W971:W1011,B971:B1011,B997-in_dpd_lag)*d_dpd</f>
        <v/>
      </c>
      <c r="AC997" s="14">
        <f>SUMIFS(W971:W1011,B971:B1011,B997-in_rec_lag)*d_rec</f>
        <v/>
      </c>
      <c r="AD997" s="14">
        <f>Z997*in_card_fee</f>
        <v/>
      </c>
      <c r="AE997" s="40">
        <f>AE996*(1-IF(B996&gt;=in_marketplace_from,d_hz_hlth_small*G996,0))</f>
        <v/>
      </c>
      <c r="AF997" s="46">
        <f>AE997*IF(B997&gt;=in_marketplace_from,d_hz_hlth_small*G997,0)</f>
        <v/>
      </c>
      <c r="AG997" s="14">
        <f>F997*AF997*in_hlth_small_ticket*in_hlth_small_comm*in_ins_partner_share+F997*in_hlth_small_ticket*in_hlth_small_renew_comm*in_ins_partner_share*(in_hlth_small_renew^1*SUMIFS(AF971:AF1011,B971:B1011,B997-12)+in_hlth_small_renew^2*SUMIFS(AF971:AF1011,B971:B1011,B997-24)+in_hlth_small_renew^3*SUMIFS(AF971:AF1011,B971:B1011,B997-36)+in_hlth_small_renew^4*SUMIFS(AF971:AF1011,B971:B1011,B997-48))</f>
        <v/>
      </c>
      <c r="AH997" s="40">
        <f>AH996*(1-IF(B996&gt;=in_marketplace_from,d_hz_hlth_family*G996,0))</f>
        <v/>
      </c>
      <c r="AI997" s="46">
        <f>AH997*IF(B997&gt;=in_marketplace_from,d_hz_hlth_family*G997,0)</f>
        <v/>
      </c>
      <c r="AJ997" s="14">
        <f>F997*AI997*in_hlth_family_ticket*in_hlth_family_comm*in_ins_partner_share+F997*in_hlth_family_ticket*in_hlth_family_renew_comm*in_ins_partner_share*(in_hlth_family_renew^1*SUMIFS(AI971:AI1011,B971:B1011,B997-12)+in_hlth_family_renew^2*SUMIFS(AI971:AI1011,B971:B1011,B997-24)+in_hlth_family_renew^3*SUMIFS(AI971:AI1011,B971:B1011,B997-36)+in_hlth_family_renew^4*SUMIFS(AI971:AI1011,B971:B1011,B997-48))</f>
        <v/>
      </c>
      <c r="AK997" s="40">
        <f>AK996*(1-IF(B996&gt;=in_marketplace_from,d_hz_life_term*G996,0))</f>
        <v/>
      </c>
      <c r="AL997" s="46">
        <f>AK997*IF(B997&gt;=in_marketplace_from,d_hz_life_term*G997,0)</f>
        <v/>
      </c>
      <c r="AM997" s="14">
        <f>F997*AL997*in_life_term_ticket*in_life_term_comm*in_ins_partner_share+F997*in_life_term_ticket*in_life_term_renew_comm*in_ins_partner_share*(in_life_term_renew^1*SUMIFS(AL971:AL1011,B971:B1011,B997-12)+in_life_term_renew^2*SUMIFS(AL971:AL1011,B971:B1011,B997-24)+in_life_term_renew^3*SUMIFS(AL971:AL1011,B971:B1011,B997-36)+in_life_term_renew^4*SUMIFS(AL971:AL1011,B971:B1011,B997-48))</f>
        <v/>
      </c>
      <c r="AN997" s="40">
        <f>AN996*(1-IF(B996&gt;=in_marketplace_from,d_hz_accident*G996,0))</f>
        <v/>
      </c>
      <c r="AO997" s="46">
        <f>AN997*IF(B997&gt;=in_marketplace_from,d_hz_accident*G997,0)</f>
        <v/>
      </c>
      <c r="AP997" s="14">
        <f>F997*AO997*in_accident_ticket*in_accident_comm*in_ins_partner_share+F997*in_accident_ticket*in_accident_renew_comm*in_ins_partner_share*(in_accident_renew^1*SUMIFS(AO971:AO1011,B971:B1011,B997-12)+in_accident_renew^2*SUMIFS(AO971:AO1011,B971:B1011,B997-24)+in_accident_renew^3*SUMIFS(AO971:AO1011,B971:B1011,B997-36)+in_accident_renew^4*SUMIFS(AO971:AO1011,B971:B1011,B997-48))</f>
        <v/>
      </c>
      <c r="AQ997" s="40">
        <f>AQ996*(1-IF(B996&gt;=in_marketplace_from,d_hz_two_wheeler*G996,0))</f>
        <v/>
      </c>
      <c r="AR997" s="46">
        <f>AQ997*IF(B997&gt;=in_marketplace_from,d_hz_two_wheeler*G997,0)</f>
        <v/>
      </c>
      <c r="AS997" s="14">
        <f>F997*AR997*in_two_wheeler_ticket*in_two_wheeler_comm*in_ins_partner_share+F997*in_two_wheeler_ticket*in_two_wheeler_comm*in_ins_partner_share*(in_two_wheeler_renew^1*SUMIFS(AR971:AR1011,B971:B1011,B997-12)+in_two_wheeler_renew^2*SUMIFS(AR971:AR1011,B971:B1011,B997-24)+in_two_wheeler_renew^3*SUMIFS(AR971:AR1011,B971:B1011,B997-36)+in_two_wheeler_renew^4*SUMIFS(AR971:AR1011,B971:B1011,B997-48))</f>
        <v/>
      </c>
      <c r="AT997" s="40">
        <f>AT996*(1-IF(B996&gt;=in_marketplace_from,d_hz_device*G996,0))</f>
        <v/>
      </c>
      <c r="AU997" s="14">
        <f>F997*AT997*IF(B997&gt;=in_marketplace_from,d_hz_device*G997,0)*in_device_ticket*in_device_comm*in_ins_partner_share</f>
        <v/>
      </c>
      <c r="AV997" s="40">
        <f>AV996*(1-IF(B996&gt;=in_marketplace_from,d_hz_shop*G996,0))</f>
        <v/>
      </c>
      <c r="AW997" s="46">
        <f>AV997*IF(B997&gt;=in_marketplace_from,d_hz_shop*G997,0)</f>
        <v/>
      </c>
      <c r="AX997" s="14">
        <f>F997*AW997*in_shop_ticket*in_shop_comm*in_ins_partner_share+F997*in_shop_ticket*in_shop_renew_comm*in_ins_partner_share*(in_shop_renew^1*SUMIFS(AW971:AW1011,B971:B1011,B997-12)+in_shop_renew^2*SUMIFS(AW971:AW1011,B971:B1011,B997-24)+in_shop_renew^3*SUMIFS(AW971:AW1011,B971:B1011,B997-36)+in_shop_renew^4*SUMIFS(AW971:AW1011,B971:B1011,B997-48))</f>
        <v/>
      </c>
      <c r="AY997" s="40">
        <f>AY996*(1-IF(B996&gt;=in_marketplace_from,d_hz_sip*G996,0))</f>
        <v/>
      </c>
      <c r="AZ997" s="40">
        <f>AZ996*d_rho_sip+AY997*IF(B997&gt;=in_marketplace_from,d_hz_sip*G997,0)</f>
        <v/>
      </c>
      <c r="BA997" s="40">
        <f>d_rho_sip*(BA996+AZ996)</f>
        <v/>
      </c>
      <c r="BB997" s="14">
        <f>F997*in_sip_ticket*(BA997+0.5*AZ997)*in_sip_comm/12</f>
        <v/>
      </c>
      <c r="BC997" s="40">
        <f>BC996*(1-IF(B996&gt;=in_marketplace_from,d_hz_choti*G996,0))</f>
        <v/>
      </c>
      <c r="BD997" s="46">
        <f>BC997*IF(B997&gt;=in_marketplace_from,d_hz_choti*G997,0)</f>
        <v/>
      </c>
      <c r="BE997" s="14">
        <f>F997*SUMIFS(BD971:BD1011,B971:B1011,B997-in_choti_months)*in_choti_renew*in_choti_ticket</f>
        <v/>
      </c>
      <c r="BF997" s="40">
        <f>BF996*(1-IF(B996&gt;=in_marketplace_from,d_hz_nps*G996,0))</f>
        <v/>
      </c>
      <c r="BG997" s="14">
        <f>F997*BF997*IF(B997&gt;=in_marketplace_from,d_hz_nps*G997,0)*in_nps_ticket*in_nps_comm</f>
        <v/>
      </c>
      <c r="BH997" s="40">
        <f>BH996*(1-IF(B996&gt;=in_marketplace_from,d_hz_gold*G996,0))</f>
        <v/>
      </c>
      <c r="BI997" s="40">
        <f>BI996*d_rho_gold+BH997*IF(B997&gt;=in_marketplace_from,d_hz_gold*G997,0)</f>
        <v/>
      </c>
      <c r="BJ997" s="14">
        <f>F997*BI997*in_gold_ticket*in_gold_comm</f>
        <v/>
      </c>
      <c r="BK997" s="40">
        <f>BK996*(1-IF(B996&gt;=in_marketplace_from,d_hz_fd*G996,0))</f>
        <v/>
      </c>
      <c r="BL997" s="14">
        <f>F997*BK997*IF(B997&gt;=in_marketplace_from,d_hz_fd*G997,0)*in_fd_ticket*in_fd_comm</f>
        <v/>
      </c>
      <c r="BM997" s="40">
        <f>BM996*(1-IF(B996&gt;=in_marketplace_from,d_hz_recharge*G996,0))</f>
        <v/>
      </c>
      <c r="BN997" s="40">
        <f>BN996*d_rho_recharge+BM997*IF(B997&gt;=in_marketplace_from,d_hz_recharge*G997,0)</f>
        <v/>
      </c>
      <c r="BO997" s="14">
        <f>F997*BN997*in_recharge_ticket*in_recharge_comm/12</f>
        <v/>
      </c>
      <c r="BP997" s="40">
        <f>BP996*(1-IF(B996&gt;=in_marketplace_from,d_hz_bills*G996,0))</f>
        <v/>
      </c>
      <c r="BQ997" s="40">
        <f>BQ996*d_rho_bills+BP997*IF(B997&gt;=in_marketplace_from,d_hz_bills*G997,0)</f>
        <v/>
      </c>
      <c r="BR997" s="14">
        <f>F997*BQ997*in_bills_ticket*in_bills_comm/12</f>
        <v/>
      </c>
      <c r="BS997" s="40">
        <f>BS996*(1-IF(B996&gt;=in_marketplace_from,d_hz_loan_gold*G996,0))</f>
        <v/>
      </c>
      <c r="BT997" s="14">
        <f>F997*BS997*IF(B997&gt;=in_marketplace_from,d_hz_loan_gold*G997,0)*in_loan_gold_ticket*in_loan_gold_comm</f>
        <v/>
      </c>
      <c r="BU997" s="40">
        <f>BU996*(1-IF(B996&gt;=in_marketplace_from,d_hz_loan_cd*G996,0))</f>
        <v/>
      </c>
      <c r="BV997" s="14">
        <f>F997*BU997*IF(B997&gt;=in_marketplace_from,d_hz_loan_cd*G997,0)*in_loan_cd_ticket*in_loan_cd_comm</f>
        <v/>
      </c>
      <c r="BW997" s="40">
        <f>BW996*(1-IF(B996&gt;=in_marketplace_from,d_hz_loan_vehicle*G996,0))</f>
        <v/>
      </c>
      <c r="BX997" s="14">
        <f>F997*BW997*IF(B997&gt;=in_marketplace_from,d_hz_loan_vehicle*G997,0)*in_loan_vehicle_ticket*in_loan_vehicle_comm</f>
        <v/>
      </c>
      <c r="BY997" s="40">
        <f>BY996*(1-IF(B996&gt;=in_marketplace_from,d_hz_loan_home*G996,0)*BZ996)</f>
        <v/>
      </c>
      <c r="BZ997" s="11">
        <f>MIN(in_approval_cap,in_loan_home_approval*INDEX('Age profile'!$O$2:$O$61,B997)*(1+in_approval_growth)^(D997-1))</f>
        <v/>
      </c>
      <c r="CA997" s="14">
        <f>F997*BY997*IF(B997&gt;=in_marketplace_from,d_hz_loan_home*G997,0)*BZ997*in_loan_home_ticket*in_loan_home_comm</f>
        <v/>
      </c>
      <c r="CB997" s="40">
        <f>CB996*(1-IF(B996&gt;=in_marketplace_from,d_hz_loan_lap*G996,0)*CC996)</f>
        <v/>
      </c>
      <c r="CC997" s="11">
        <f>MIN(in_approval_cap,in_loan_lap_approval*INDEX('Age profile'!$O$2:$O$61,B997)*(1+in_approval_growth)^(D997-1))</f>
        <v/>
      </c>
      <c r="CD997" s="14">
        <f>F997*CB997*IF(B997&gt;=in_marketplace_from,d_hz_loan_lap*G997,0)*CC997*in_loan_lap_ticket*in_loan_lap_comm</f>
        <v/>
      </c>
      <c r="CE997" s="14">
        <f>AA997+AB997+AC997+AD997+AG997+AJ997+AM997+AP997+AS997+AU997+AX997+BB997+BE997+BG997+BJ997+BL997+BO997+BR997+BT997+BV997+BX997+CA997+CD997</f>
        <v/>
      </c>
    </row>
    <row r="998">
      <c r="A998" s="39" t="n">
        <v>20</v>
      </c>
      <c r="B998" s="39" t="n">
        <v>28</v>
      </c>
      <c r="C998" s="39">
        <f>A998+B998-1</f>
        <v/>
      </c>
      <c r="D998" s="39">
        <f>INT((C998-1)/12)+1</f>
        <v/>
      </c>
      <c r="E998" s="44">
        <f>INDEX(Monthly!$B$2:$B$61,A998)</f>
        <v/>
      </c>
      <c r="F998" s="44">
        <f>E998*INDEX('Age profile'!$B$2:$B$61,B998)</f>
        <v/>
      </c>
      <c r="G998" s="45">
        <f>MIN(in_takeup_cap,INDEX('Age profile'!$N$2:$N$61,B998)*(1+in_takeup_growth)^(D998-1))</f>
        <v/>
      </c>
      <c r="H998" s="11">
        <f>MIN(in_approval_cap,in_approved_first*INDEX('Age profile'!$O$2:$O$61,B998)*(1+in_approval_growth)^(D998-1))</f>
        <v/>
      </c>
      <c r="I998" s="45">
        <f>G998*MIN(in_takeup_cap,INDEX('Age profile'!$O$2:$O$61,B998)*(1+in_approval_growth)^(D998-1))</f>
        <v/>
      </c>
      <c r="J998" s="40">
        <f>(J997-L997)*F998/F997</f>
        <v/>
      </c>
      <c r="K998" s="40">
        <f>(K997-M997)*F998/F997+SUMIFS(O971:O997,B971:B997,B998-1-d_T)*F998</f>
        <v/>
      </c>
      <c r="L998" s="40">
        <f>IF(B998&gt;=in_marketplace_from,J998*d_hz*G998*in_eligible*H998,0)</f>
        <v/>
      </c>
      <c r="M998" s="40">
        <f>IF(B998&gt;=in_marketplace_from,K998*d_hz*G998*in_eligible*in_approved_repeat,0)</f>
        <v/>
      </c>
      <c r="N998" s="40">
        <f>L998+M998</f>
        <v/>
      </c>
      <c r="O998" s="46">
        <f>N998/F998</f>
        <v/>
      </c>
      <c r="P998" s="40">
        <f>F998-J998-K998</f>
        <v/>
      </c>
      <c r="Q998" s="40">
        <f>IF(B998&gt;=in_marketplace_from,(J998+K998)*d_hz*G998,0)</f>
        <v/>
      </c>
      <c r="R998" s="40">
        <f>SUMIFS(N971:N1011,B971:B1011,"&gt;="&amp;(B998-d_T),B971:B1011,"&lt;="&amp;(B998-1))</f>
        <v/>
      </c>
      <c r="S998" s="46">
        <f>(1-d_u)*S997+IF(d_T&gt;in_topup_lag,SUMIFS(O971:O1011,B971:B1011,B998-in_topup_lag)-d_udrop*SUMIFS(O971:O1011,B971:B1011,B998-d_T),0)</f>
        <v/>
      </c>
      <c r="T998" s="40">
        <f>F998*d_u*S998</f>
        <v/>
      </c>
      <c r="U998" s="9">
        <f>L998*in_ticket+M998*d_rep_ticket</f>
        <v/>
      </c>
      <c r="V998" s="9">
        <f>U998+T998*d_topup_amt</f>
        <v/>
      </c>
      <c r="W998" s="40">
        <f>N998+T998*d_topup_ratio</f>
        <v/>
      </c>
      <c r="X998" s="40">
        <f>SUMIFS(W971:W1011,B971:B1011,B998-in_dpd_lag)*d_cured</f>
        <v/>
      </c>
      <c r="Y998" s="40">
        <f>SUMIFS(W971:W1011,B971:B1011,B998-in_rec_lag)*d_recd</f>
        <v/>
      </c>
      <c r="Z998" s="40">
        <f>IF(AND(B998&gt;=in_marketplace_from,B998&lt;in_marketplace_from+in_card_months),in_card_share/in_card_months*F998*I998,IF(AND(B998&gt;=in_marketplace_from+in_card_months,B998&lt;in_marketplace_from+2*in_card_months),in_card_share*d_card_rem/in_card_months*F998*MIN(in_takeup_cap,(1+in_takeup_growth)^(D998-1))*MIN(in_takeup_cap,(1+in_approval_growth)^(D998-1)),0))</f>
        <v/>
      </c>
      <c r="AA998" s="14">
        <f>V998*in_fee*(1-in_taken_back)</f>
        <v/>
      </c>
      <c r="AB998" s="14">
        <f>SUMIFS(W971:W1011,B971:B1011,B998-in_dpd_lag)*d_dpd</f>
        <v/>
      </c>
      <c r="AC998" s="14">
        <f>SUMIFS(W971:W1011,B971:B1011,B998-in_rec_lag)*d_rec</f>
        <v/>
      </c>
      <c r="AD998" s="14">
        <f>Z998*in_card_fee</f>
        <v/>
      </c>
      <c r="AE998" s="40">
        <f>AE997*(1-IF(B997&gt;=in_marketplace_from,d_hz_hlth_small*G997,0))</f>
        <v/>
      </c>
      <c r="AF998" s="46">
        <f>AE998*IF(B998&gt;=in_marketplace_from,d_hz_hlth_small*G998,0)</f>
        <v/>
      </c>
      <c r="AG998" s="14">
        <f>F998*AF998*in_hlth_small_ticket*in_hlth_small_comm*in_ins_partner_share+F998*in_hlth_small_ticket*in_hlth_small_renew_comm*in_ins_partner_share*(in_hlth_small_renew^1*SUMIFS(AF971:AF1011,B971:B1011,B998-12)+in_hlth_small_renew^2*SUMIFS(AF971:AF1011,B971:B1011,B998-24)+in_hlth_small_renew^3*SUMIFS(AF971:AF1011,B971:B1011,B998-36)+in_hlth_small_renew^4*SUMIFS(AF971:AF1011,B971:B1011,B998-48))</f>
        <v/>
      </c>
      <c r="AH998" s="40">
        <f>AH997*(1-IF(B997&gt;=in_marketplace_from,d_hz_hlth_family*G997,0))</f>
        <v/>
      </c>
      <c r="AI998" s="46">
        <f>AH998*IF(B998&gt;=in_marketplace_from,d_hz_hlth_family*G998,0)</f>
        <v/>
      </c>
      <c r="AJ998" s="14">
        <f>F998*AI998*in_hlth_family_ticket*in_hlth_family_comm*in_ins_partner_share+F998*in_hlth_family_ticket*in_hlth_family_renew_comm*in_ins_partner_share*(in_hlth_family_renew^1*SUMIFS(AI971:AI1011,B971:B1011,B998-12)+in_hlth_family_renew^2*SUMIFS(AI971:AI1011,B971:B1011,B998-24)+in_hlth_family_renew^3*SUMIFS(AI971:AI1011,B971:B1011,B998-36)+in_hlth_family_renew^4*SUMIFS(AI971:AI1011,B971:B1011,B998-48))</f>
        <v/>
      </c>
      <c r="AK998" s="40">
        <f>AK997*(1-IF(B997&gt;=in_marketplace_from,d_hz_life_term*G997,0))</f>
        <v/>
      </c>
      <c r="AL998" s="46">
        <f>AK998*IF(B998&gt;=in_marketplace_from,d_hz_life_term*G998,0)</f>
        <v/>
      </c>
      <c r="AM998" s="14">
        <f>F998*AL998*in_life_term_ticket*in_life_term_comm*in_ins_partner_share+F998*in_life_term_ticket*in_life_term_renew_comm*in_ins_partner_share*(in_life_term_renew^1*SUMIFS(AL971:AL1011,B971:B1011,B998-12)+in_life_term_renew^2*SUMIFS(AL971:AL1011,B971:B1011,B998-24)+in_life_term_renew^3*SUMIFS(AL971:AL1011,B971:B1011,B998-36)+in_life_term_renew^4*SUMIFS(AL971:AL1011,B971:B1011,B998-48))</f>
        <v/>
      </c>
      <c r="AN998" s="40">
        <f>AN997*(1-IF(B997&gt;=in_marketplace_from,d_hz_accident*G997,0))</f>
        <v/>
      </c>
      <c r="AO998" s="46">
        <f>AN998*IF(B998&gt;=in_marketplace_from,d_hz_accident*G998,0)</f>
        <v/>
      </c>
      <c r="AP998" s="14">
        <f>F998*AO998*in_accident_ticket*in_accident_comm*in_ins_partner_share+F998*in_accident_ticket*in_accident_renew_comm*in_ins_partner_share*(in_accident_renew^1*SUMIFS(AO971:AO1011,B971:B1011,B998-12)+in_accident_renew^2*SUMIFS(AO971:AO1011,B971:B1011,B998-24)+in_accident_renew^3*SUMIFS(AO971:AO1011,B971:B1011,B998-36)+in_accident_renew^4*SUMIFS(AO971:AO1011,B971:B1011,B998-48))</f>
        <v/>
      </c>
      <c r="AQ998" s="40">
        <f>AQ997*(1-IF(B997&gt;=in_marketplace_from,d_hz_two_wheeler*G997,0))</f>
        <v/>
      </c>
      <c r="AR998" s="46">
        <f>AQ998*IF(B998&gt;=in_marketplace_from,d_hz_two_wheeler*G998,0)</f>
        <v/>
      </c>
      <c r="AS998" s="14">
        <f>F998*AR998*in_two_wheeler_ticket*in_two_wheeler_comm*in_ins_partner_share+F998*in_two_wheeler_ticket*in_two_wheeler_comm*in_ins_partner_share*(in_two_wheeler_renew^1*SUMIFS(AR971:AR1011,B971:B1011,B998-12)+in_two_wheeler_renew^2*SUMIFS(AR971:AR1011,B971:B1011,B998-24)+in_two_wheeler_renew^3*SUMIFS(AR971:AR1011,B971:B1011,B998-36)+in_two_wheeler_renew^4*SUMIFS(AR971:AR1011,B971:B1011,B998-48))</f>
        <v/>
      </c>
      <c r="AT998" s="40">
        <f>AT997*(1-IF(B997&gt;=in_marketplace_from,d_hz_device*G997,0))</f>
        <v/>
      </c>
      <c r="AU998" s="14">
        <f>F998*AT998*IF(B998&gt;=in_marketplace_from,d_hz_device*G998,0)*in_device_ticket*in_device_comm*in_ins_partner_share</f>
        <v/>
      </c>
      <c r="AV998" s="40">
        <f>AV997*(1-IF(B997&gt;=in_marketplace_from,d_hz_shop*G997,0))</f>
        <v/>
      </c>
      <c r="AW998" s="46">
        <f>AV998*IF(B998&gt;=in_marketplace_from,d_hz_shop*G998,0)</f>
        <v/>
      </c>
      <c r="AX998" s="14">
        <f>F998*AW998*in_shop_ticket*in_shop_comm*in_ins_partner_share+F998*in_shop_ticket*in_shop_renew_comm*in_ins_partner_share*(in_shop_renew^1*SUMIFS(AW971:AW1011,B971:B1011,B998-12)+in_shop_renew^2*SUMIFS(AW971:AW1011,B971:B1011,B998-24)+in_shop_renew^3*SUMIFS(AW971:AW1011,B971:B1011,B998-36)+in_shop_renew^4*SUMIFS(AW971:AW1011,B971:B1011,B998-48))</f>
        <v/>
      </c>
      <c r="AY998" s="40">
        <f>AY997*(1-IF(B997&gt;=in_marketplace_from,d_hz_sip*G997,0))</f>
        <v/>
      </c>
      <c r="AZ998" s="40">
        <f>AZ997*d_rho_sip+AY998*IF(B998&gt;=in_marketplace_from,d_hz_sip*G998,0)</f>
        <v/>
      </c>
      <c r="BA998" s="40">
        <f>d_rho_sip*(BA997+AZ997)</f>
        <v/>
      </c>
      <c r="BB998" s="14">
        <f>F998*in_sip_ticket*(BA998+0.5*AZ998)*in_sip_comm/12</f>
        <v/>
      </c>
      <c r="BC998" s="40">
        <f>BC997*(1-IF(B997&gt;=in_marketplace_from,d_hz_choti*G997,0))</f>
        <v/>
      </c>
      <c r="BD998" s="46">
        <f>BC998*IF(B998&gt;=in_marketplace_from,d_hz_choti*G998,0)</f>
        <v/>
      </c>
      <c r="BE998" s="14">
        <f>F998*SUMIFS(BD971:BD1011,B971:B1011,B998-in_choti_months)*in_choti_renew*in_choti_ticket</f>
        <v/>
      </c>
      <c r="BF998" s="40">
        <f>BF997*(1-IF(B997&gt;=in_marketplace_from,d_hz_nps*G997,0))</f>
        <v/>
      </c>
      <c r="BG998" s="14">
        <f>F998*BF998*IF(B998&gt;=in_marketplace_from,d_hz_nps*G998,0)*in_nps_ticket*in_nps_comm</f>
        <v/>
      </c>
      <c r="BH998" s="40">
        <f>BH997*(1-IF(B997&gt;=in_marketplace_from,d_hz_gold*G997,0))</f>
        <v/>
      </c>
      <c r="BI998" s="40">
        <f>BI997*d_rho_gold+BH998*IF(B998&gt;=in_marketplace_from,d_hz_gold*G998,0)</f>
        <v/>
      </c>
      <c r="BJ998" s="14">
        <f>F998*BI998*in_gold_ticket*in_gold_comm</f>
        <v/>
      </c>
      <c r="BK998" s="40">
        <f>BK997*(1-IF(B997&gt;=in_marketplace_from,d_hz_fd*G997,0))</f>
        <v/>
      </c>
      <c r="BL998" s="14">
        <f>F998*BK998*IF(B998&gt;=in_marketplace_from,d_hz_fd*G998,0)*in_fd_ticket*in_fd_comm</f>
        <v/>
      </c>
      <c r="BM998" s="40">
        <f>BM997*(1-IF(B997&gt;=in_marketplace_from,d_hz_recharge*G997,0))</f>
        <v/>
      </c>
      <c r="BN998" s="40">
        <f>BN997*d_rho_recharge+BM998*IF(B998&gt;=in_marketplace_from,d_hz_recharge*G998,0)</f>
        <v/>
      </c>
      <c r="BO998" s="14">
        <f>F998*BN998*in_recharge_ticket*in_recharge_comm/12</f>
        <v/>
      </c>
      <c r="BP998" s="40">
        <f>BP997*(1-IF(B997&gt;=in_marketplace_from,d_hz_bills*G997,0))</f>
        <v/>
      </c>
      <c r="BQ998" s="40">
        <f>BQ997*d_rho_bills+BP998*IF(B998&gt;=in_marketplace_from,d_hz_bills*G998,0)</f>
        <v/>
      </c>
      <c r="BR998" s="14">
        <f>F998*BQ998*in_bills_ticket*in_bills_comm/12</f>
        <v/>
      </c>
      <c r="BS998" s="40">
        <f>BS997*(1-IF(B997&gt;=in_marketplace_from,d_hz_loan_gold*G997,0))</f>
        <v/>
      </c>
      <c r="BT998" s="14">
        <f>F998*BS998*IF(B998&gt;=in_marketplace_from,d_hz_loan_gold*G998,0)*in_loan_gold_ticket*in_loan_gold_comm</f>
        <v/>
      </c>
      <c r="BU998" s="40">
        <f>BU997*(1-IF(B997&gt;=in_marketplace_from,d_hz_loan_cd*G997,0))</f>
        <v/>
      </c>
      <c r="BV998" s="14">
        <f>F998*BU998*IF(B998&gt;=in_marketplace_from,d_hz_loan_cd*G998,0)*in_loan_cd_ticket*in_loan_cd_comm</f>
        <v/>
      </c>
      <c r="BW998" s="40">
        <f>BW997*(1-IF(B997&gt;=in_marketplace_from,d_hz_loan_vehicle*G997,0))</f>
        <v/>
      </c>
      <c r="BX998" s="14">
        <f>F998*BW998*IF(B998&gt;=in_marketplace_from,d_hz_loan_vehicle*G998,0)*in_loan_vehicle_ticket*in_loan_vehicle_comm</f>
        <v/>
      </c>
      <c r="BY998" s="40">
        <f>BY997*(1-IF(B997&gt;=in_marketplace_from,d_hz_loan_home*G997,0)*BZ997)</f>
        <v/>
      </c>
      <c r="BZ998" s="11">
        <f>MIN(in_approval_cap,in_loan_home_approval*INDEX('Age profile'!$O$2:$O$61,B998)*(1+in_approval_growth)^(D998-1))</f>
        <v/>
      </c>
      <c r="CA998" s="14">
        <f>F998*BY998*IF(B998&gt;=in_marketplace_from,d_hz_loan_home*G998,0)*BZ998*in_loan_home_ticket*in_loan_home_comm</f>
        <v/>
      </c>
      <c r="CB998" s="40">
        <f>CB997*(1-IF(B997&gt;=in_marketplace_from,d_hz_loan_lap*G997,0)*CC997)</f>
        <v/>
      </c>
      <c r="CC998" s="11">
        <f>MIN(in_approval_cap,in_loan_lap_approval*INDEX('Age profile'!$O$2:$O$61,B998)*(1+in_approval_growth)^(D998-1))</f>
        <v/>
      </c>
      <c r="CD998" s="14">
        <f>F998*CB998*IF(B998&gt;=in_marketplace_from,d_hz_loan_lap*G998,0)*CC998*in_loan_lap_ticket*in_loan_lap_comm</f>
        <v/>
      </c>
      <c r="CE998" s="14">
        <f>AA998+AB998+AC998+AD998+AG998+AJ998+AM998+AP998+AS998+AU998+AX998+BB998+BE998+BG998+BJ998+BL998+BO998+BR998+BT998+BV998+BX998+CA998+CD998</f>
        <v/>
      </c>
    </row>
    <row r="999">
      <c r="A999" s="39" t="n">
        <v>20</v>
      </c>
      <c r="B999" s="39" t="n">
        <v>29</v>
      </c>
      <c r="C999" s="39">
        <f>A999+B999-1</f>
        <v/>
      </c>
      <c r="D999" s="39">
        <f>INT((C999-1)/12)+1</f>
        <v/>
      </c>
      <c r="E999" s="44">
        <f>INDEX(Monthly!$B$2:$B$61,A999)</f>
        <v/>
      </c>
      <c r="F999" s="44">
        <f>E999*INDEX('Age profile'!$B$2:$B$61,B999)</f>
        <v/>
      </c>
      <c r="G999" s="45">
        <f>MIN(in_takeup_cap,INDEX('Age profile'!$N$2:$N$61,B999)*(1+in_takeup_growth)^(D999-1))</f>
        <v/>
      </c>
      <c r="H999" s="11">
        <f>MIN(in_approval_cap,in_approved_first*INDEX('Age profile'!$O$2:$O$61,B999)*(1+in_approval_growth)^(D999-1))</f>
        <v/>
      </c>
      <c r="I999" s="45">
        <f>G999*MIN(in_takeup_cap,INDEX('Age profile'!$O$2:$O$61,B999)*(1+in_approval_growth)^(D999-1))</f>
        <v/>
      </c>
      <c r="J999" s="40">
        <f>(J998-L998)*F999/F998</f>
        <v/>
      </c>
      <c r="K999" s="40">
        <f>(K998-M998)*F999/F998+SUMIFS(O971:O998,B971:B998,B999-1-d_T)*F999</f>
        <v/>
      </c>
      <c r="L999" s="40">
        <f>IF(B999&gt;=in_marketplace_from,J999*d_hz*G999*in_eligible*H999,0)</f>
        <v/>
      </c>
      <c r="M999" s="40">
        <f>IF(B999&gt;=in_marketplace_from,K999*d_hz*G999*in_eligible*in_approved_repeat,0)</f>
        <v/>
      </c>
      <c r="N999" s="40">
        <f>L999+M999</f>
        <v/>
      </c>
      <c r="O999" s="46">
        <f>N999/F999</f>
        <v/>
      </c>
      <c r="P999" s="40">
        <f>F999-J999-K999</f>
        <v/>
      </c>
      <c r="Q999" s="40">
        <f>IF(B999&gt;=in_marketplace_from,(J999+K999)*d_hz*G999,0)</f>
        <v/>
      </c>
      <c r="R999" s="40">
        <f>SUMIFS(N971:N1011,B971:B1011,"&gt;="&amp;(B999-d_T),B971:B1011,"&lt;="&amp;(B999-1))</f>
        <v/>
      </c>
      <c r="S999" s="46">
        <f>(1-d_u)*S998+IF(d_T&gt;in_topup_lag,SUMIFS(O971:O1011,B971:B1011,B999-in_topup_lag)-d_udrop*SUMIFS(O971:O1011,B971:B1011,B999-d_T),0)</f>
        <v/>
      </c>
      <c r="T999" s="40">
        <f>F999*d_u*S999</f>
        <v/>
      </c>
      <c r="U999" s="9">
        <f>L999*in_ticket+M999*d_rep_ticket</f>
        <v/>
      </c>
      <c r="V999" s="9">
        <f>U999+T999*d_topup_amt</f>
        <v/>
      </c>
      <c r="W999" s="40">
        <f>N999+T999*d_topup_ratio</f>
        <v/>
      </c>
      <c r="X999" s="40">
        <f>SUMIFS(W971:W1011,B971:B1011,B999-in_dpd_lag)*d_cured</f>
        <v/>
      </c>
      <c r="Y999" s="40">
        <f>SUMIFS(W971:W1011,B971:B1011,B999-in_rec_lag)*d_recd</f>
        <v/>
      </c>
      <c r="Z999" s="40">
        <f>IF(AND(B999&gt;=in_marketplace_from,B999&lt;in_marketplace_from+in_card_months),in_card_share/in_card_months*F999*I999,IF(AND(B999&gt;=in_marketplace_from+in_card_months,B999&lt;in_marketplace_from+2*in_card_months),in_card_share*d_card_rem/in_card_months*F999*MIN(in_takeup_cap,(1+in_takeup_growth)^(D999-1))*MIN(in_takeup_cap,(1+in_approval_growth)^(D999-1)),0))</f>
        <v/>
      </c>
      <c r="AA999" s="14">
        <f>V999*in_fee*(1-in_taken_back)</f>
        <v/>
      </c>
      <c r="AB999" s="14">
        <f>SUMIFS(W971:W1011,B971:B1011,B999-in_dpd_lag)*d_dpd</f>
        <v/>
      </c>
      <c r="AC999" s="14">
        <f>SUMIFS(W971:W1011,B971:B1011,B999-in_rec_lag)*d_rec</f>
        <v/>
      </c>
      <c r="AD999" s="14">
        <f>Z999*in_card_fee</f>
        <v/>
      </c>
      <c r="AE999" s="40">
        <f>AE998*(1-IF(B998&gt;=in_marketplace_from,d_hz_hlth_small*G998,0))</f>
        <v/>
      </c>
      <c r="AF999" s="46">
        <f>AE999*IF(B999&gt;=in_marketplace_from,d_hz_hlth_small*G999,0)</f>
        <v/>
      </c>
      <c r="AG999" s="14">
        <f>F999*AF999*in_hlth_small_ticket*in_hlth_small_comm*in_ins_partner_share+F999*in_hlth_small_ticket*in_hlth_small_renew_comm*in_ins_partner_share*(in_hlth_small_renew^1*SUMIFS(AF971:AF1011,B971:B1011,B999-12)+in_hlth_small_renew^2*SUMIFS(AF971:AF1011,B971:B1011,B999-24)+in_hlth_small_renew^3*SUMIFS(AF971:AF1011,B971:B1011,B999-36)+in_hlth_small_renew^4*SUMIFS(AF971:AF1011,B971:B1011,B999-48))</f>
        <v/>
      </c>
      <c r="AH999" s="40">
        <f>AH998*(1-IF(B998&gt;=in_marketplace_from,d_hz_hlth_family*G998,0))</f>
        <v/>
      </c>
      <c r="AI999" s="46">
        <f>AH999*IF(B999&gt;=in_marketplace_from,d_hz_hlth_family*G999,0)</f>
        <v/>
      </c>
      <c r="AJ999" s="14">
        <f>F999*AI999*in_hlth_family_ticket*in_hlth_family_comm*in_ins_partner_share+F999*in_hlth_family_ticket*in_hlth_family_renew_comm*in_ins_partner_share*(in_hlth_family_renew^1*SUMIFS(AI971:AI1011,B971:B1011,B999-12)+in_hlth_family_renew^2*SUMIFS(AI971:AI1011,B971:B1011,B999-24)+in_hlth_family_renew^3*SUMIFS(AI971:AI1011,B971:B1011,B999-36)+in_hlth_family_renew^4*SUMIFS(AI971:AI1011,B971:B1011,B999-48))</f>
        <v/>
      </c>
      <c r="AK999" s="40">
        <f>AK998*(1-IF(B998&gt;=in_marketplace_from,d_hz_life_term*G998,0))</f>
        <v/>
      </c>
      <c r="AL999" s="46">
        <f>AK999*IF(B999&gt;=in_marketplace_from,d_hz_life_term*G999,0)</f>
        <v/>
      </c>
      <c r="AM999" s="14">
        <f>F999*AL999*in_life_term_ticket*in_life_term_comm*in_ins_partner_share+F999*in_life_term_ticket*in_life_term_renew_comm*in_ins_partner_share*(in_life_term_renew^1*SUMIFS(AL971:AL1011,B971:B1011,B999-12)+in_life_term_renew^2*SUMIFS(AL971:AL1011,B971:B1011,B999-24)+in_life_term_renew^3*SUMIFS(AL971:AL1011,B971:B1011,B999-36)+in_life_term_renew^4*SUMIFS(AL971:AL1011,B971:B1011,B999-48))</f>
        <v/>
      </c>
      <c r="AN999" s="40">
        <f>AN998*(1-IF(B998&gt;=in_marketplace_from,d_hz_accident*G998,0))</f>
        <v/>
      </c>
      <c r="AO999" s="46">
        <f>AN999*IF(B999&gt;=in_marketplace_from,d_hz_accident*G999,0)</f>
        <v/>
      </c>
      <c r="AP999" s="14">
        <f>F999*AO999*in_accident_ticket*in_accident_comm*in_ins_partner_share+F999*in_accident_ticket*in_accident_renew_comm*in_ins_partner_share*(in_accident_renew^1*SUMIFS(AO971:AO1011,B971:B1011,B999-12)+in_accident_renew^2*SUMIFS(AO971:AO1011,B971:B1011,B999-24)+in_accident_renew^3*SUMIFS(AO971:AO1011,B971:B1011,B999-36)+in_accident_renew^4*SUMIFS(AO971:AO1011,B971:B1011,B999-48))</f>
        <v/>
      </c>
      <c r="AQ999" s="40">
        <f>AQ998*(1-IF(B998&gt;=in_marketplace_from,d_hz_two_wheeler*G998,0))</f>
        <v/>
      </c>
      <c r="AR999" s="46">
        <f>AQ999*IF(B999&gt;=in_marketplace_from,d_hz_two_wheeler*G999,0)</f>
        <v/>
      </c>
      <c r="AS999" s="14">
        <f>F999*AR999*in_two_wheeler_ticket*in_two_wheeler_comm*in_ins_partner_share+F999*in_two_wheeler_ticket*in_two_wheeler_comm*in_ins_partner_share*(in_two_wheeler_renew^1*SUMIFS(AR971:AR1011,B971:B1011,B999-12)+in_two_wheeler_renew^2*SUMIFS(AR971:AR1011,B971:B1011,B999-24)+in_two_wheeler_renew^3*SUMIFS(AR971:AR1011,B971:B1011,B999-36)+in_two_wheeler_renew^4*SUMIFS(AR971:AR1011,B971:B1011,B999-48))</f>
        <v/>
      </c>
      <c r="AT999" s="40">
        <f>AT998*(1-IF(B998&gt;=in_marketplace_from,d_hz_device*G998,0))</f>
        <v/>
      </c>
      <c r="AU999" s="14">
        <f>F999*AT999*IF(B999&gt;=in_marketplace_from,d_hz_device*G999,0)*in_device_ticket*in_device_comm*in_ins_partner_share</f>
        <v/>
      </c>
      <c r="AV999" s="40">
        <f>AV998*(1-IF(B998&gt;=in_marketplace_from,d_hz_shop*G998,0))</f>
        <v/>
      </c>
      <c r="AW999" s="46">
        <f>AV999*IF(B999&gt;=in_marketplace_from,d_hz_shop*G999,0)</f>
        <v/>
      </c>
      <c r="AX999" s="14">
        <f>F999*AW999*in_shop_ticket*in_shop_comm*in_ins_partner_share+F999*in_shop_ticket*in_shop_renew_comm*in_ins_partner_share*(in_shop_renew^1*SUMIFS(AW971:AW1011,B971:B1011,B999-12)+in_shop_renew^2*SUMIFS(AW971:AW1011,B971:B1011,B999-24)+in_shop_renew^3*SUMIFS(AW971:AW1011,B971:B1011,B999-36)+in_shop_renew^4*SUMIFS(AW971:AW1011,B971:B1011,B999-48))</f>
        <v/>
      </c>
      <c r="AY999" s="40">
        <f>AY998*(1-IF(B998&gt;=in_marketplace_from,d_hz_sip*G998,0))</f>
        <v/>
      </c>
      <c r="AZ999" s="40">
        <f>AZ998*d_rho_sip+AY999*IF(B999&gt;=in_marketplace_from,d_hz_sip*G999,0)</f>
        <v/>
      </c>
      <c r="BA999" s="40">
        <f>d_rho_sip*(BA998+AZ998)</f>
        <v/>
      </c>
      <c r="BB999" s="14">
        <f>F999*in_sip_ticket*(BA999+0.5*AZ999)*in_sip_comm/12</f>
        <v/>
      </c>
      <c r="BC999" s="40">
        <f>BC998*(1-IF(B998&gt;=in_marketplace_from,d_hz_choti*G998,0))</f>
        <v/>
      </c>
      <c r="BD999" s="46">
        <f>BC999*IF(B999&gt;=in_marketplace_from,d_hz_choti*G999,0)</f>
        <v/>
      </c>
      <c r="BE999" s="14">
        <f>F999*SUMIFS(BD971:BD1011,B971:B1011,B999-in_choti_months)*in_choti_renew*in_choti_ticket</f>
        <v/>
      </c>
      <c r="BF999" s="40">
        <f>BF998*(1-IF(B998&gt;=in_marketplace_from,d_hz_nps*G998,0))</f>
        <v/>
      </c>
      <c r="BG999" s="14">
        <f>F999*BF999*IF(B999&gt;=in_marketplace_from,d_hz_nps*G999,0)*in_nps_ticket*in_nps_comm</f>
        <v/>
      </c>
      <c r="BH999" s="40">
        <f>BH998*(1-IF(B998&gt;=in_marketplace_from,d_hz_gold*G998,0))</f>
        <v/>
      </c>
      <c r="BI999" s="40">
        <f>BI998*d_rho_gold+BH999*IF(B999&gt;=in_marketplace_from,d_hz_gold*G999,0)</f>
        <v/>
      </c>
      <c r="BJ999" s="14">
        <f>F999*BI999*in_gold_ticket*in_gold_comm</f>
        <v/>
      </c>
      <c r="BK999" s="40">
        <f>BK998*(1-IF(B998&gt;=in_marketplace_from,d_hz_fd*G998,0))</f>
        <v/>
      </c>
      <c r="BL999" s="14">
        <f>F999*BK999*IF(B999&gt;=in_marketplace_from,d_hz_fd*G999,0)*in_fd_ticket*in_fd_comm</f>
        <v/>
      </c>
      <c r="BM999" s="40">
        <f>BM998*(1-IF(B998&gt;=in_marketplace_from,d_hz_recharge*G998,0))</f>
        <v/>
      </c>
      <c r="BN999" s="40">
        <f>BN998*d_rho_recharge+BM999*IF(B999&gt;=in_marketplace_from,d_hz_recharge*G999,0)</f>
        <v/>
      </c>
      <c r="BO999" s="14">
        <f>F999*BN999*in_recharge_ticket*in_recharge_comm/12</f>
        <v/>
      </c>
      <c r="BP999" s="40">
        <f>BP998*(1-IF(B998&gt;=in_marketplace_from,d_hz_bills*G998,0))</f>
        <v/>
      </c>
      <c r="BQ999" s="40">
        <f>BQ998*d_rho_bills+BP999*IF(B999&gt;=in_marketplace_from,d_hz_bills*G999,0)</f>
        <v/>
      </c>
      <c r="BR999" s="14">
        <f>F999*BQ999*in_bills_ticket*in_bills_comm/12</f>
        <v/>
      </c>
      <c r="BS999" s="40">
        <f>BS998*(1-IF(B998&gt;=in_marketplace_from,d_hz_loan_gold*G998,0))</f>
        <v/>
      </c>
      <c r="BT999" s="14">
        <f>F999*BS999*IF(B999&gt;=in_marketplace_from,d_hz_loan_gold*G999,0)*in_loan_gold_ticket*in_loan_gold_comm</f>
        <v/>
      </c>
      <c r="BU999" s="40">
        <f>BU998*(1-IF(B998&gt;=in_marketplace_from,d_hz_loan_cd*G998,0))</f>
        <v/>
      </c>
      <c r="BV999" s="14">
        <f>F999*BU999*IF(B999&gt;=in_marketplace_from,d_hz_loan_cd*G999,0)*in_loan_cd_ticket*in_loan_cd_comm</f>
        <v/>
      </c>
      <c r="BW999" s="40">
        <f>BW998*(1-IF(B998&gt;=in_marketplace_from,d_hz_loan_vehicle*G998,0))</f>
        <v/>
      </c>
      <c r="BX999" s="14">
        <f>F999*BW999*IF(B999&gt;=in_marketplace_from,d_hz_loan_vehicle*G999,0)*in_loan_vehicle_ticket*in_loan_vehicle_comm</f>
        <v/>
      </c>
      <c r="BY999" s="40">
        <f>BY998*(1-IF(B998&gt;=in_marketplace_from,d_hz_loan_home*G998,0)*BZ998)</f>
        <v/>
      </c>
      <c r="BZ999" s="11">
        <f>MIN(in_approval_cap,in_loan_home_approval*INDEX('Age profile'!$O$2:$O$61,B999)*(1+in_approval_growth)^(D999-1))</f>
        <v/>
      </c>
      <c r="CA999" s="14">
        <f>F999*BY999*IF(B999&gt;=in_marketplace_from,d_hz_loan_home*G999,0)*BZ999*in_loan_home_ticket*in_loan_home_comm</f>
        <v/>
      </c>
      <c r="CB999" s="40">
        <f>CB998*(1-IF(B998&gt;=in_marketplace_from,d_hz_loan_lap*G998,0)*CC998)</f>
        <v/>
      </c>
      <c r="CC999" s="11">
        <f>MIN(in_approval_cap,in_loan_lap_approval*INDEX('Age profile'!$O$2:$O$61,B999)*(1+in_approval_growth)^(D999-1))</f>
        <v/>
      </c>
      <c r="CD999" s="14">
        <f>F999*CB999*IF(B999&gt;=in_marketplace_from,d_hz_loan_lap*G999,0)*CC999*in_loan_lap_ticket*in_loan_lap_comm</f>
        <v/>
      </c>
      <c r="CE999" s="14">
        <f>AA999+AB999+AC999+AD999+AG999+AJ999+AM999+AP999+AS999+AU999+AX999+BB999+BE999+BG999+BJ999+BL999+BO999+BR999+BT999+BV999+BX999+CA999+CD999</f>
        <v/>
      </c>
    </row>
    <row r="1000">
      <c r="A1000" s="39" t="n">
        <v>20</v>
      </c>
      <c r="B1000" s="39" t="n">
        <v>30</v>
      </c>
      <c r="C1000" s="39">
        <f>A1000+B1000-1</f>
        <v/>
      </c>
      <c r="D1000" s="39">
        <f>INT((C1000-1)/12)+1</f>
        <v/>
      </c>
      <c r="E1000" s="44">
        <f>INDEX(Monthly!$B$2:$B$61,A1000)</f>
        <v/>
      </c>
      <c r="F1000" s="44">
        <f>E1000*INDEX('Age profile'!$B$2:$B$61,B1000)</f>
        <v/>
      </c>
      <c r="G1000" s="45">
        <f>MIN(in_takeup_cap,INDEX('Age profile'!$N$2:$N$61,B1000)*(1+in_takeup_growth)^(D1000-1))</f>
        <v/>
      </c>
      <c r="H1000" s="11">
        <f>MIN(in_approval_cap,in_approved_first*INDEX('Age profile'!$O$2:$O$61,B1000)*(1+in_approval_growth)^(D1000-1))</f>
        <v/>
      </c>
      <c r="I1000" s="45">
        <f>G1000*MIN(in_takeup_cap,INDEX('Age profile'!$O$2:$O$61,B1000)*(1+in_approval_growth)^(D1000-1))</f>
        <v/>
      </c>
      <c r="J1000" s="40">
        <f>(J999-L999)*F1000/F999</f>
        <v/>
      </c>
      <c r="K1000" s="40">
        <f>(K999-M999)*F1000/F999+SUMIFS(O971:O999,B971:B999,B1000-1-d_T)*F1000</f>
        <v/>
      </c>
      <c r="L1000" s="40">
        <f>IF(B1000&gt;=in_marketplace_from,J1000*d_hz*G1000*in_eligible*H1000,0)</f>
        <v/>
      </c>
      <c r="M1000" s="40">
        <f>IF(B1000&gt;=in_marketplace_from,K1000*d_hz*G1000*in_eligible*in_approved_repeat,0)</f>
        <v/>
      </c>
      <c r="N1000" s="40">
        <f>L1000+M1000</f>
        <v/>
      </c>
      <c r="O1000" s="46">
        <f>N1000/F1000</f>
        <v/>
      </c>
      <c r="P1000" s="40">
        <f>F1000-J1000-K1000</f>
        <v/>
      </c>
      <c r="Q1000" s="40">
        <f>IF(B1000&gt;=in_marketplace_from,(J1000+K1000)*d_hz*G1000,0)</f>
        <v/>
      </c>
      <c r="R1000" s="40">
        <f>SUMIFS(N971:N1011,B971:B1011,"&gt;="&amp;(B1000-d_T),B971:B1011,"&lt;="&amp;(B1000-1))</f>
        <v/>
      </c>
      <c r="S1000" s="46">
        <f>(1-d_u)*S999+IF(d_T&gt;in_topup_lag,SUMIFS(O971:O1011,B971:B1011,B1000-in_topup_lag)-d_udrop*SUMIFS(O971:O1011,B971:B1011,B1000-d_T),0)</f>
        <v/>
      </c>
      <c r="T1000" s="40">
        <f>F1000*d_u*S1000</f>
        <v/>
      </c>
      <c r="U1000" s="9">
        <f>L1000*in_ticket+M1000*d_rep_ticket</f>
        <v/>
      </c>
      <c r="V1000" s="9">
        <f>U1000+T1000*d_topup_amt</f>
        <v/>
      </c>
      <c r="W1000" s="40">
        <f>N1000+T1000*d_topup_ratio</f>
        <v/>
      </c>
      <c r="X1000" s="40">
        <f>SUMIFS(W971:W1011,B971:B1011,B1000-in_dpd_lag)*d_cured</f>
        <v/>
      </c>
      <c r="Y1000" s="40">
        <f>SUMIFS(W971:W1011,B971:B1011,B1000-in_rec_lag)*d_recd</f>
        <v/>
      </c>
      <c r="Z1000" s="40">
        <f>IF(AND(B1000&gt;=in_marketplace_from,B1000&lt;in_marketplace_from+in_card_months),in_card_share/in_card_months*F1000*I1000,IF(AND(B1000&gt;=in_marketplace_from+in_card_months,B1000&lt;in_marketplace_from+2*in_card_months),in_card_share*d_card_rem/in_card_months*F1000*MIN(in_takeup_cap,(1+in_takeup_growth)^(D1000-1))*MIN(in_takeup_cap,(1+in_approval_growth)^(D1000-1)),0))</f>
        <v/>
      </c>
      <c r="AA1000" s="14">
        <f>V1000*in_fee*(1-in_taken_back)</f>
        <v/>
      </c>
      <c r="AB1000" s="14">
        <f>SUMIFS(W971:W1011,B971:B1011,B1000-in_dpd_lag)*d_dpd</f>
        <v/>
      </c>
      <c r="AC1000" s="14">
        <f>SUMIFS(W971:W1011,B971:B1011,B1000-in_rec_lag)*d_rec</f>
        <v/>
      </c>
      <c r="AD1000" s="14">
        <f>Z1000*in_card_fee</f>
        <v/>
      </c>
      <c r="AE1000" s="40">
        <f>AE999*(1-IF(B999&gt;=in_marketplace_from,d_hz_hlth_small*G999,0))</f>
        <v/>
      </c>
      <c r="AF1000" s="46">
        <f>AE1000*IF(B1000&gt;=in_marketplace_from,d_hz_hlth_small*G1000,0)</f>
        <v/>
      </c>
      <c r="AG1000" s="14">
        <f>F1000*AF1000*in_hlth_small_ticket*in_hlth_small_comm*in_ins_partner_share+F1000*in_hlth_small_ticket*in_hlth_small_renew_comm*in_ins_partner_share*(in_hlth_small_renew^1*SUMIFS(AF971:AF1011,B971:B1011,B1000-12)+in_hlth_small_renew^2*SUMIFS(AF971:AF1011,B971:B1011,B1000-24)+in_hlth_small_renew^3*SUMIFS(AF971:AF1011,B971:B1011,B1000-36)+in_hlth_small_renew^4*SUMIFS(AF971:AF1011,B971:B1011,B1000-48))</f>
        <v/>
      </c>
      <c r="AH1000" s="40">
        <f>AH999*(1-IF(B999&gt;=in_marketplace_from,d_hz_hlth_family*G999,0))</f>
        <v/>
      </c>
      <c r="AI1000" s="46">
        <f>AH1000*IF(B1000&gt;=in_marketplace_from,d_hz_hlth_family*G1000,0)</f>
        <v/>
      </c>
      <c r="AJ1000" s="14">
        <f>F1000*AI1000*in_hlth_family_ticket*in_hlth_family_comm*in_ins_partner_share+F1000*in_hlth_family_ticket*in_hlth_family_renew_comm*in_ins_partner_share*(in_hlth_family_renew^1*SUMIFS(AI971:AI1011,B971:B1011,B1000-12)+in_hlth_family_renew^2*SUMIFS(AI971:AI1011,B971:B1011,B1000-24)+in_hlth_family_renew^3*SUMIFS(AI971:AI1011,B971:B1011,B1000-36)+in_hlth_family_renew^4*SUMIFS(AI971:AI1011,B971:B1011,B1000-48))</f>
        <v/>
      </c>
      <c r="AK1000" s="40">
        <f>AK999*(1-IF(B999&gt;=in_marketplace_from,d_hz_life_term*G999,0))</f>
        <v/>
      </c>
      <c r="AL1000" s="46">
        <f>AK1000*IF(B1000&gt;=in_marketplace_from,d_hz_life_term*G1000,0)</f>
        <v/>
      </c>
      <c r="AM1000" s="14">
        <f>F1000*AL1000*in_life_term_ticket*in_life_term_comm*in_ins_partner_share+F1000*in_life_term_ticket*in_life_term_renew_comm*in_ins_partner_share*(in_life_term_renew^1*SUMIFS(AL971:AL1011,B971:B1011,B1000-12)+in_life_term_renew^2*SUMIFS(AL971:AL1011,B971:B1011,B1000-24)+in_life_term_renew^3*SUMIFS(AL971:AL1011,B971:B1011,B1000-36)+in_life_term_renew^4*SUMIFS(AL971:AL1011,B971:B1011,B1000-48))</f>
        <v/>
      </c>
      <c r="AN1000" s="40">
        <f>AN999*(1-IF(B999&gt;=in_marketplace_from,d_hz_accident*G999,0))</f>
        <v/>
      </c>
      <c r="AO1000" s="46">
        <f>AN1000*IF(B1000&gt;=in_marketplace_from,d_hz_accident*G1000,0)</f>
        <v/>
      </c>
      <c r="AP1000" s="14">
        <f>F1000*AO1000*in_accident_ticket*in_accident_comm*in_ins_partner_share+F1000*in_accident_ticket*in_accident_renew_comm*in_ins_partner_share*(in_accident_renew^1*SUMIFS(AO971:AO1011,B971:B1011,B1000-12)+in_accident_renew^2*SUMIFS(AO971:AO1011,B971:B1011,B1000-24)+in_accident_renew^3*SUMIFS(AO971:AO1011,B971:B1011,B1000-36)+in_accident_renew^4*SUMIFS(AO971:AO1011,B971:B1011,B1000-48))</f>
        <v/>
      </c>
      <c r="AQ1000" s="40">
        <f>AQ999*(1-IF(B999&gt;=in_marketplace_from,d_hz_two_wheeler*G999,0))</f>
        <v/>
      </c>
      <c r="AR1000" s="46">
        <f>AQ1000*IF(B1000&gt;=in_marketplace_from,d_hz_two_wheeler*G1000,0)</f>
        <v/>
      </c>
      <c r="AS1000" s="14">
        <f>F1000*AR1000*in_two_wheeler_ticket*in_two_wheeler_comm*in_ins_partner_share+F1000*in_two_wheeler_ticket*in_two_wheeler_comm*in_ins_partner_share*(in_two_wheeler_renew^1*SUMIFS(AR971:AR1011,B971:B1011,B1000-12)+in_two_wheeler_renew^2*SUMIFS(AR971:AR1011,B971:B1011,B1000-24)+in_two_wheeler_renew^3*SUMIFS(AR971:AR1011,B971:B1011,B1000-36)+in_two_wheeler_renew^4*SUMIFS(AR971:AR1011,B971:B1011,B1000-48))</f>
        <v/>
      </c>
      <c r="AT1000" s="40">
        <f>AT999*(1-IF(B999&gt;=in_marketplace_from,d_hz_device*G999,0))</f>
        <v/>
      </c>
      <c r="AU1000" s="14">
        <f>F1000*AT1000*IF(B1000&gt;=in_marketplace_from,d_hz_device*G1000,0)*in_device_ticket*in_device_comm*in_ins_partner_share</f>
        <v/>
      </c>
      <c r="AV1000" s="40">
        <f>AV999*(1-IF(B999&gt;=in_marketplace_from,d_hz_shop*G999,0))</f>
        <v/>
      </c>
      <c r="AW1000" s="46">
        <f>AV1000*IF(B1000&gt;=in_marketplace_from,d_hz_shop*G1000,0)</f>
        <v/>
      </c>
      <c r="AX1000" s="14">
        <f>F1000*AW1000*in_shop_ticket*in_shop_comm*in_ins_partner_share+F1000*in_shop_ticket*in_shop_renew_comm*in_ins_partner_share*(in_shop_renew^1*SUMIFS(AW971:AW1011,B971:B1011,B1000-12)+in_shop_renew^2*SUMIFS(AW971:AW1011,B971:B1011,B1000-24)+in_shop_renew^3*SUMIFS(AW971:AW1011,B971:B1011,B1000-36)+in_shop_renew^4*SUMIFS(AW971:AW1011,B971:B1011,B1000-48))</f>
        <v/>
      </c>
      <c r="AY1000" s="40">
        <f>AY999*(1-IF(B999&gt;=in_marketplace_from,d_hz_sip*G999,0))</f>
        <v/>
      </c>
      <c r="AZ1000" s="40">
        <f>AZ999*d_rho_sip+AY1000*IF(B1000&gt;=in_marketplace_from,d_hz_sip*G1000,0)</f>
        <v/>
      </c>
      <c r="BA1000" s="40">
        <f>d_rho_sip*(BA999+AZ999)</f>
        <v/>
      </c>
      <c r="BB1000" s="14">
        <f>F1000*in_sip_ticket*(BA1000+0.5*AZ1000)*in_sip_comm/12</f>
        <v/>
      </c>
      <c r="BC1000" s="40">
        <f>BC999*(1-IF(B999&gt;=in_marketplace_from,d_hz_choti*G999,0))</f>
        <v/>
      </c>
      <c r="BD1000" s="46">
        <f>BC1000*IF(B1000&gt;=in_marketplace_from,d_hz_choti*G1000,0)</f>
        <v/>
      </c>
      <c r="BE1000" s="14">
        <f>F1000*SUMIFS(BD971:BD1011,B971:B1011,B1000-in_choti_months)*in_choti_renew*in_choti_ticket</f>
        <v/>
      </c>
      <c r="BF1000" s="40">
        <f>BF999*(1-IF(B999&gt;=in_marketplace_from,d_hz_nps*G999,0))</f>
        <v/>
      </c>
      <c r="BG1000" s="14">
        <f>F1000*BF1000*IF(B1000&gt;=in_marketplace_from,d_hz_nps*G1000,0)*in_nps_ticket*in_nps_comm</f>
        <v/>
      </c>
      <c r="BH1000" s="40">
        <f>BH999*(1-IF(B999&gt;=in_marketplace_from,d_hz_gold*G999,0))</f>
        <v/>
      </c>
      <c r="BI1000" s="40">
        <f>BI999*d_rho_gold+BH1000*IF(B1000&gt;=in_marketplace_from,d_hz_gold*G1000,0)</f>
        <v/>
      </c>
      <c r="BJ1000" s="14">
        <f>F1000*BI1000*in_gold_ticket*in_gold_comm</f>
        <v/>
      </c>
      <c r="BK1000" s="40">
        <f>BK999*(1-IF(B999&gt;=in_marketplace_from,d_hz_fd*G999,0))</f>
        <v/>
      </c>
      <c r="BL1000" s="14">
        <f>F1000*BK1000*IF(B1000&gt;=in_marketplace_from,d_hz_fd*G1000,0)*in_fd_ticket*in_fd_comm</f>
        <v/>
      </c>
      <c r="BM1000" s="40">
        <f>BM999*(1-IF(B999&gt;=in_marketplace_from,d_hz_recharge*G999,0))</f>
        <v/>
      </c>
      <c r="BN1000" s="40">
        <f>BN999*d_rho_recharge+BM1000*IF(B1000&gt;=in_marketplace_from,d_hz_recharge*G1000,0)</f>
        <v/>
      </c>
      <c r="BO1000" s="14">
        <f>F1000*BN1000*in_recharge_ticket*in_recharge_comm/12</f>
        <v/>
      </c>
      <c r="BP1000" s="40">
        <f>BP999*(1-IF(B999&gt;=in_marketplace_from,d_hz_bills*G999,0))</f>
        <v/>
      </c>
      <c r="BQ1000" s="40">
        <f>BQ999*d_rho_bills+BP1000*IF(B1000&gt;=in_marketplace_from,d_hz_bills*G1000,0)</f>
        <v/>
      </c>
      <c r="BR1000" s="14">
        <f>F1000*BQ1000*in_bills_ticket*in_bills_comm/12</f>
        <v/>
      </c>
      <c r="BS1000" s="40">
        <f>BS999*(1-IF(B999&gt;=in_marketplace_from,d_hz_loan_gold*G999,0))</f>
        <v/>
      </c>
      <c r="BT1000" s="14">
        <f>F1000*BS1000*IF(B1000&gt;=in_marketplace_from,d_hz_loan_gold*G1000,0)*in_loan_gold_ticket*in_loan_gold_comm</f>
        <v/>
      </c>
      <c r="BU1000" s="40">
        <f>BU999*(1-IF(B999&gt;=in_marketplace_from,d_hz_loan_cd*G999,0))</f>
        <v/>
      </c>
      <c r="BV1000" s="14">
        <f>F1000*BU1000*IF(B1000&gt;=in_marketplace_from,d_hz_loan_cd*G1000,0)*in_loan_cd_ticket*in_loan_cd_comm</f>
        <v/>
      </c>
      <c r="BW1000" s="40">
        <f>BW999*(1-IF(B999&gt;=in_marketplace_from,d_hz_loan_vehicle*G999,0))</f>
        <v/>
      </c>
      <c r="BX1000" s="14">
        <f>F1000*BW1000*IF(B1000&gt;=in_marketplace_from,d_hz_loan_vehicle*G1000,0)*in_loan_vehicle_ticket*in_loan_vehicle_comm</f>
        <v/>
      </c>
      <c r="BY1000" s="40">
        <f>BY999*(1-IF(B999&gt;=in_marketplace_from,d_hz_loan_home*G999,0)*BZ999)</f>
        <v/>
      </c>
      <c r="BZ1000" s="11">
        <f>MIN(in_approval_cap,in_loan_home_approval*INDEX('Age profile'!$O$2:$O$61,B1000)*(1+in_approval_growth)^(D1000-1))</f>
        <v/>
      </c>
      <c r="CA1000" s="14">
        <f>F1000*BY1000*IF(B1000&gt;=in_marketplace_from,d_hz_loan_home*G1000,0)*BZ1000*in_loan_home_ticket*in_loan_home_comm</f>
        <v/>
      </c>
      <c r="CB1000" s="40">
        <f>CB999*(1-IF(B999&gt;=in_marketplace_from,d_hz_loan_lap*G999,0)*CC999)</f>
        <v/>
      </c>
      <c r="CC1000" s="11">
        <f>MIN(in_approval_cap,in_loan_lap_approval*INDEX('Age profile'!$O$2:$O$61,B1000)*(1+in_approval_growth)^(D1000-1))</f>
        <v/>
      </c>
      <c r="CD1000" s="14">
        <f>F1000*CB1000*IF(B1000&gt;=in_marketplace_from,d_hz_loan_lap*G1000,0)*CC1000*in_loan_lap_ticket*in_loan_lap_comm</f>
        <v/>
      </c>
      <c r="CE1000" s="14">
        <f>AA1000+AB1000+AC1000+AD1000+AG1000+AJ1000+AM1000+AP1000+AS1000+AU1000+AX1000+BB1000+BE1000+BG1000+BJ1000+BL1000+BO1000+BR1000+BT1000+BV1000+BX1000+CA1000+CD1000</f>
        <v/>
      </c>
    </row>
    <row r="1001">
      <c r="A1001" s="39" t="n">
        <v>20</v>
      </c>
      <c r="B1001" s="39" t="n">
        <v>31</v>
      </c>
      <c r="C1001" s="39">
        <f>A1001+B1001-1</f>
        <v/>
      </c>
      <c r="D1001" s="39">
        <f>INT((C1001-1)/12)+1</f>
        <v/>
      </c>
      <c r="E1001" s="44">
        <f>INDEX(Monthly!$B$2:$B$61,A1001)</f>
        <v/>
      </c>
      <c r="F1001" s="44">
        <f>E1001*INDEX('Age profile'!$B$2:$B$61,B1001)</f>
        <v/>
      </c>
      <c r="G1001" s="45">
        <f>MIN(in_takeup_cap,INDEX('Age profile'!$N$2:$N$61,B1001)*(1+in_takeup_growth)^(D1001-1))</f>
        <v/>
      </c>
      <c r="H1001" s="11">
        <f>MIN(in_approval_cap,in_approved_first*INDEX('Age profile'!$O$2:$O$61,B1001)*(1+in_approval_growth)^(D1001-1))</f>
        <v/>
      </c>
      <c r="I1001" s="45">
        <f>G1001*MIN(in_takeup_cap,INDEX('Age profile'!$O$2:$O$61,B1001)*(1+in_approval_growth)^(D1001-1))</f>
        <v/>
      </c>
      <c r="J1001" s="40">
        <f>(J1000-L1000)*F1001/F1000</f>
        <v/>
      </c>
      <c r="K1001" s="40">
        <f>(K1000-M1000)*F1001/F1000+SUMIFS(O971:O1000,B971:B1000,B1001-1-d_T)*F1001</f>
        <v/>
      </c>
      <c r="L1001" s="40">
        <f>IF(B1001&gt;=in_marketplace_from,J1001*d_hz*G1001*in_eligible*H1001,0)</f>
        <v/>
      </c>
      <c r="M1001" s="40">
        <f>IF(B1001&gt;=in_marketplace_from,K1001*d_hz*G1001*in_eligible*in_approved_repeat,0)</f>
        <v/>
      </c>
      <c r="N1001" s="40">
        <f>L1001+M1001</f>
        <v/>
      </c>
      <c r="O1001" s="46">
        <f>N1001/F1001</f>
        <v/>
      </c>
      <c r="P1001" s="40">
        <f>F1001-J1001-K1001</f>
        <v/>
      </c>
      <c r="Q1001" s="40">
        <f>IF(B1001&gt;=in_marketplace_from,(J1001+K1001)*d_hz*G1001,0)</f>
        <v/>
      </c>
      <c r="R1001" s="40">
        <f>SUMIFS(N971:N1011,B971:B1011,"&gt;="&amp;(B1001-d_T),B971:B1011,"&lt;="&amp;(B1001-1))</f>
        <v/>
      </c>
      <c r="S1001" s="46">
        <f>(1-d_u)*S1000+IF(d_T&gt;in_topup_lag,SUMIFS(O971:O1011,B971:B1011,B1001-in_topup_lag)-d_udrop*SUMIFS(O971:O1011,B971:B1011,B1001-d_T),0)</f>
        <v/>
      </c>
      <c r="T1001" s="40">
        <f>F1001*d_u*S1001</f>
        <v/>
      </c>
      <c r="U1001" s="9">
        <f>L1001*in_ticket+M1001*d_rep_ticket</f>
        <v/>
      </c>
      <c r="V1001" s="9">
        <f>U1001+T1001*d_topup_amt</f>
        <v/>
      </c>
      <c r="W1001" s="40">
        <f>N1001+T1001*d_topup_ratio</f>
        <v/>
      </c>
      <c r="X1001" s="40">
        <f>SUMIFS(W971:W1011,B971:B1011,B1001-in_dpd_lag)*d_cured</f>
        <v/>
      </c>
      <c r="Y1001" s="40">
        <f>SUMIFS(W971:W1011,B971:B1011,B1001-in_rec_lag)*d_recd</f>
        <v/>
      </c>
      <c r="Z1001" s="40">
        <f>IF(AND(B1001&gt;=in_marketplace_from,B1001&lt;in_marketplace_from+in_card_months),in_card_share/in_card_months*F1001*I1001,IF(AND(B1001&gt;=in_marketplace_from+in_card_months,B1001&lt;in_marketplace_from+2*in_card_months),in_card_share*d_card_rem/in_card_months*F1001*MIN(in_takeup_cap,(1+in_takeup_growth)^(D1001-1))*MIN(in_takeup_cap,(1+in_approval_growth)^(D1001-1)),0))</f>
        <v/>
      </c>
      <c r="AA1001" s="14">
        <f>V1001*in_fee*(1-in_taken_back)</f>
        <v/>
      </c>
      <c r="AB1001" s="14">
        <f>SUMIFS(W971:W1011,B971:B1011,B1001-in_dpd_lag)*d_dpd</f>
        <v/>
      </c>
      <c r="AC1001" s="14">
        <f>SUMIFS(W971:W1011,B971:B1011,B1001-in_rec_lag)*d_rec</f>
        <v/>
      </c>
      <c r="AD1001" s="14">
        <f>Z1001*in_card_fee</f>
        <v/>
      </c>
      <c r="AE1001" s="40">
        <f>AE1000*(1-IF(B1000&gt;=in_marketplace_from,d_hz_hlth_small*G1000,0))</f>
        <v/>
      </c>
      <c r="AF1001" s="46">
        <f>AE1001*IF(B1001&gt;=in_marketplace_from,d_hz_hlth_small*G1001,0)</f>
        <v/>
      </c>
      <c r="AG1001" s="14">
        <f>F1001*AF1001*in_hlth_small_ticket*in_hlth_small_comm*in_ins_partner_share+F1001*in_hlth_small_ticket*in_hlth_small_renew_comm*in_ins_partner_share*(in_hlth_small_renew^1*SUMIFS(AF971:AF1011,B971:B1011,B1001-12)+in_hlth_small_renew^2*SUMIFS(AF971:AF1011,B971:B1011,B1001-24)+in_hlth_small_renew^3*SUMIFS(AF971:AF1011,B971:B1011,B1001-36)+in_hlth_small_renew^4*SUMIFS(AF971:AF1011,B971:B1011,B1001-48))</f>
        <v/>
      </c>
      <c r="AH1001" s="40">
        <f>AH1000*(1-IF(B1000&gt;=in_marketplace_from,d_hz_hlth_family*G1000,0))</f>
        <v/>
      </c>
      <c r="AI1001" s="46">
        <f>AH1001*IF(B1001&gt;=in_marketplace_from,d_hz_hlth_family*G1001,0)</f>
        <v/>
      </c>
      <c r="AJ1001" s="14">
        <f>F1001*AI1001*in_hlth_family_ticket*in_hlth_family_comm*in_ins_partner_share+F1001*in_hlth_family_ticket*in_hlth_family_renew_comm*in_ins_partner_share*(in_hlth_family_renew^1*SUMIFS(AI971:AI1011,B971:B1011,B1001-12)+in_hlth_family_renew^2*SUMIFS(AI971:AI1011,B971:B1011,B1001-24)+in_hlth_family_renew^3*SUMIFS(AI971:AI1011,B971:B1011,B1001-36)+in_hlth_family_renew^4*SUMIFS(AI971:AI1011,B971:B1011,B1001-48))</f>
        <v/>
      </c>
      <c r="AK1001" s="40">
        <f>AK1000*(1-IF(B1000&gt;=in_marketplace_from,d_hz_life_term*G1000,0))</f>
        <v/>
      </c>
      <c r="AL1001" s="46">
        <f>AK1001*IF(B1001&gt;=in_marketplace_from,d_hz_life_term*G1001,0)</f>
        <v/>
      </c>
      <c r="AM1001" s="14">
        <f>F1001*AL1001*in_life_term_ticket*in_life_term_comm*in_ins_partner_share+F1001*in_life_term_ticket*in_life_term_renew_comm*in_ins_partner_share*(in_life_term_renew^1*SUMIFS(AL971:AL1011,B971:B1011,B1001-12)+in_life_term_renew^2*SUMIFS(AL971:AL1011,B971:B1011,B1001-24)+in_life_term_renew^3*SUMIFS(AL971:AL1011,B971:B1011,B1001-36)+in_life_term_renew^4*SUMIFS(AL971:AL1011,B971:B1011,B1001-48))</f>
        <v/>
      </c>
      <c r="AN1001" s="40">
        <f>AN1000*(1-IF(B1000&gt;=in_marketplace_from,d_hz_accident*G1000,0))</f>
        <v/>
      </c>
      <c r="AO1001" s="46">
        <f>AN1001*IF(B1001&gt;=in_marketplace_from,d_hz_accident*G1001,0)</f>
        <v/>
      </c>
      <c r="AP1001" s="14">
        <f>F1001*AO1001*in_accident_ticket*in_accident_comm*in_ins_partner_share+F1001*in_accident_ticket*in_accident_renew_comm*in_ins_partner_share*(in_accident_renew^1*SUMIFS(AO971:AO1011,B971:B1011,B1001-12)+in_accident_renew^2*SUMIFS(AO971:AO1011,B971:B1011,B1001-24)+in_accident_renew^3*SUMIFS(AO971:AO1011,B971:B1011,B1001-36)+in_accident_renew^4*SUMIFS(AO971:AO1011,B971:B1011,B1001-48))</f>
        <v/>
      </c>
      <c r="AQ1001" s="40">
        <f>AQ1000*(1-IF(B1000&gt;=in_marketplace_from,d_hz_two_wheeler*G1000,0))</f>
        <v/>
      </c>
      <c r="AR1001" s="46">
        <f>AQ1001*IF(B1001&gt;=in_marketplace_from,d_hz_two_wheeler*G1001,0)</f>
        <v/>
      </c>
      <c r="AS1001" s="14">
        <f>F1001*AR1001*in_two_wheeler_ticket*in_two_wheeler_comm*in_ins_partner_share+F1001*in_two_wheeler_ticket*in_two_wheeler_comm*in_ins_partner_share*(in_two_wheeler_renew^1*SUMIFS(AR971:AR1011,B971:B1011,B1001-12)+in_two_wheeler_renew^2*SUMIFS(AR971:AR1011,B971:B1011,B1001-24)+in_two_wheeler_renew^3*SUMIFS(AR971:AR1011,B971:B1011,B1001-36)+in_two_wheeler_renew^4*SUMIFS(AR971:AR1011,B971:B1011,B1001-48))</f>
        <v/>
      </c>
      <c r="AT1001" s="40">
        <f>AT1000*(1-IF(B1000&gt;=in_marketplace_from,d_hz_device*G1000,0))</f>
        <v/>
      </c>
      <c r="AU1001" s="14">
        <f>F1001*AT1001*IF(B1001&gt;=in_marketplace_from,d_hz_device*G1001,0)*in_device_ticket*in_device_comm*in_ins_partner_share</f>
        <v/>
      </c>
      <c r="AV1001" s="40">
        <f>AV1000*(1-IF(B1000&gt;=in_marketplace_from,d_hz_shop*G1000,0))</f>
        <v/>
      </c>
      <c r="AW1001" s="46">
        <f>AV1001*IF(B1001&gt;=in_marketplace_from,d_hz_shop*G1001,0)</f>
        <v/>
      </c>
      <c r="AX1001" s="14">
        <f>F1001*AW1001*in_shop_ticket*in_shop_comm*in_ins_partner_share+F1001*in_shop_ticket*in_shop_renew_comm*in_ins_partner_share*(in_shop_renew^1*SUMIFS(AW971:AW1011,B971:B1011,B1001-12)+in_shop_renew^2*SUMIFS(AW971:AW1011,B971:B1011,B1001-24)+in_shop_renew^3*SUMIFS(AW971:AW1011,B971:B1011,B1001-36)+in_shop_renew^4*SUMIFS(AW971:AW1011,B971:B1011,B1001-48))</f>
        <v/>
      </c>
      <c r="AY1001" s="40">
        <f>AY1000*(1-IF(B1000&gt;=in_marketplace_from,d_hz_sip*G1000,0))</f>
        <v/>
      </c>
      <c r="AZ1001" s="40">
        <f>AZ1000*d_rho_sip+AY1001*IF(B1001&gt;=in_marketplace_from,d_hz_sip*G1001,0)</f>
        <v/>
      </c>
      <c r="BA1001" s="40">
        <f>d_rho_sip*(BA1000+AZ1000)</f>
        <v/>
      </c>
      <c r="BB1001" s="14">
        <f>F1001*in_sip_ticket*(BA1001+0.5*AZ1001)*in_sip_comm/12</f>
        <v/>
      </c>
      <c r="BC1001" s="40">
        <f>BC1000*(1-IF(B1000&gt;=in_marketplace_from,d_hz_choti*G1000,0))</f>
        <v/>
      </c>
      <c r="BD1001" s="46">
        <f>BC1001*IF(B1001&gt;=in_marketplace_from,d_hz_choti*G1001,0)</f>
        <v/>
      </c>
      <c r="BE1001" s="14">
        <f>F1001*SUMIFS(BD971:BD1011,B971:B1011,B1001-in_choti_months)*in_choti_renew*in_choti_ticket</f>
        <v/>
      </c>
      <c r="BF1001" s="40">
        <f>BF1000*(1-IF(B1000&gt;=in_marketplace_from,d_hz_nps*G1000,0))</f>
        <v/>
      </c>
      <c r="BG1001" s="14">
        <f>F1001*BF1001*IF(B1001&gt;=in_marketplace_from,d_hz_nps*G1001,0)*in_nps_ticket*in_nps_comm</f>
        <v/>
      </c>
      <c r="BH1001" s="40">
        <f>BH1000*(1-IF(B1000&gt;=in_marketplace_from,d_hz_gold*G1000,0))</f>
        <v/>
      </c>
      <c r="BI1001" s="40">
        <f>BI1000*d_rho_gold+BH1001*IF(B1001&gt;=in_marketplace_from,d_hz_gold*G1001,0)</f>
        <v/>
      </c>
      <c r="BJ1001" s="14">
        <f>F1001*BI1001*in_gold_ticket*in_gold_comm</f>
        <v/>
      </c>
      <c r="BK1001" s="40">
        <f>BK1000*(1-IF(B1000&gt;=in_marketplace_from,d_hz_fd*G1000,0))</f>
        <v/>
      </c>
      <c r="BL1001" s="14">
        <f>F1001*BK1001*IF(B1001&gt;=in_marketplace_from,d_hz_fd*G1001,0)*in_fd_ticket*in_fd_comm</f>
        <v/>
      </c>
      <c r="BM1001" s="40">
        <f>BM1000*(1-IF(B1000&gt;=in_marketplace_from,d_hz_recharge*G1000,0))</f>
        <v/>
      </c>
      <c r="BN1001" s="40">
        <f>BN1000*d_rho_recharge+BM1001*IF(B1001&gt;=in_marketplace_from,d_hz_recharge*G1001,0)</f>
        <v/>
      </c>
      <c r="BO1001" s="14">
        <f>F1001*BN1001*in_recharge_ticket*in_recharge_comm/12</f>
        <v/>
      </c>
      <c r="BP1001" s="40">
        <f>BP1000*(1-IF(B1000&gt;=in_marketplace_from,d_hz_bills*G1000,0))</f>
        <v/>
      </c>
      <c r="BQ1001" s="40">
        <f>BQ1000*d_rho_bills+BP1001*IF(B1001&gt;=in_marketplace_from,d_hz_bills*G1001,0)</f>
        <v/>
      </c>
      <c r="BR1001" s="14">
        <f>F1001*BQ1001*in_bills_ticket*in_bills_comm/12</f>
        <v/>
      </c>
      <c r="BS1001" s="40">
        <f>BS1000*(1-IF(B1000&gt;=in_marketplace_from,d_hz_loan_gold*G1000,0))</f>
        <v/>
      </c>
      <c r="BT1001" s="14">
        <f>F1001*BS1001*IF(B1001&gt;=in_marketplace_from,d_hz_loan_gold*G1001,0)*in_loan_gold_ticket*in_loan_gold_comm</f>
        <v/>
      </c>
      <c r="BU1001" s="40">
        <f>BU1000*(1-IF(B1000&gt;=in_marketplace_from,d_hz_loan_cd*G1000,0))</f>
        <v/>
      </c>
      <c r="BV1001" s="14">
        <f>F1001*BU1001*IF(B1001&gt;=in_marketplace_from,d_hz_loan_cd*G1001,0)*in_loan_cd_ticket*in_loan_cd_comm</f>
        <v/>
      </c>
      <c r="BW1001" s="40">
        <f>BW1000*(1-IF(B1000&gt;=in_marketplace_from,d_hz_loan_vehicle*G1000,0))</f>
        <v/>
      </c>
      <c r="BX1001" s="14">
        <f>F1001*BW1001*IF(B1001&gt;=in_marketplace_from,d_hz_loan_vehicle*G1001,0)*in_loan_vehicle_ticket*in_loan_vehicle_comm</f>
        <v/>
      </c>
      <c r="BY1001" s="40">
        <f>BY1000*(1-IF(B1000&gt;=in_marketplace_from,d_hz_loan_home*G1000,0)*BZ1000)</f>
        <v/>
      </c>
      <c r="BZ1001" s="11">
        <f>MIN(in_approval_cap,in_loan_home_approval*INDEX('Age profile'!$O$2:$O$61,B1001)*(1+in_approval_growth)^(D1001-1))</f>
        <v/>
      </c>
      <c r="CA1001" s="14">
        <f>F1001*BY1001*IF(B1001&gt;=in_marketplace_from,d_hz_loan_home*G1001,0)*BZ1001*in_loan_home_ticket*in_loan_home_comm</f>
        <v/>
      </c>
      <c r="CB1001" s="40">
        <f>CB1000*(1-IF(B1000&gt;=in_marketplace_from,d_hz_loan_lap*G1000,0)*CC1000)</f>
        <v/>
      </c>
      <c r="CC1001" s="11">
        <f>MIN(in_approval_cap,in_loan_lap_approval*INDEX('Age profile'!$O$2:$O$61,B1001)*(1+in_approval_growth)^(D1001-1))</f>
        <v/>
      </c>
      <c r="CD1001" s="14">
        <f>F1001*CB1001*IF(B1001&gt;=in_marketplace_from,d_hz_loan_lap*G1001,0)*CC1001*in_loan_lap_ticket*in_loan_lap_comm</f>
        <v/>
      </c>
      <c r="CE1001" s="14">
        <f>AA1001+AB1001+AC1001+AD1001+AG1001+AJ1001+AM1001+AP1001+AS1001+AU1001+AX1001+BB1001+BE1001+BG1001+BJ1001+BL1001+BO1001+BR1001+BT1001+BV1001+BX1001+CA1001+CD1001</f>
        <v/>
      </c>
    </row>
    <row r="1002">
      <c r="A1002" s="39" t="n">
        <v>20</v>
      </c>
      <c r="B1002" s="39" t="n">
        <v>32</v>
      </c>
      <c r="C1002" s="39">
        <f>A1002+B1002-1</f>
        <v/>
      </c>
      <c r="D1002" s="39">
        <f>INT((C1002-1)/12)+1</f>
        <v/>
      </c>
      <c r="E1002" s="44">
        <f>INDEX(Monthly!$B$2:$B$61,A1002)</f>
        <v/>
      </c>
      <c r="F1002" s="44">
        <f>E1002*INDEX('Age profile'!$B$2:$B$61,B1002)</f>
        <v/>
      </c>
      <c r="G1002" s="45">
        <f>MIN(in_takeup_cap,INDEX('Age profile'!$N$2:$N$61,B1002)*(1+in_takeup_growth)^(D1002-1))</f>
        <v/>
      </c>
      <c r="H1002" s="11">
        <f>MIN(in_approval_cap,in_approved_first*INDEX('Age profile'!$O$2:$O$61,B1002)*(1+in_approval_growth)^(D1002-1))</f>
        <v/>
      </c>
      <c r="I1002" s="45">
        <f>G1002*MIN(in_takeup_cap,INDEX('Age profile'!$O$2:$O$61,B1002)*(1+in_approval_growth)^(D1002-1))</f>
        <v/>
      </c>
      <c r="J1002" s="40">
        <f>(J1001-L1001)*F1002/F1001</f>
        <v/>
      </c>
      <c r="K1002" s="40">
        <f>(K1001-M1001)*F1002/F1001+SUMIFS(O971:O1001,B971:B1001,B1002-1-d_T)*F1002</f>
        <v/>
      </c>
      <c r="L1002" s="40">
        <f>IF(B1002&gt;=in_marketplace_from,J1002*d_hz*G1002*in_eligible*H1002,0)</f>
        <v/>
      </c>
      <c r="M1002" s="40">
        <f>IF(B1002&gt;=in_marketplace_from,K1002*d_hz*G1002*in_eligible*in_approved_repeat,0)</f>
        <v/>
      </c>
      <c r="N1002" s="40">
        <f>L1002+M1002</f>
        <v/>
      </c>
      <c r="O1002" s="46">
        <f>N1002/F1002</f>
        <v/>
      </c>
      <c r="P1002" s="40">
        <f>F1002-J1002-K1002</f>
        <v/>
      </c>
      <c r="Q1002" s="40">
        <f>IF(B1002&gt;=in_marketplace_from,(J1002+K1002)*d_hz*G1002,0)</f>
        <v/>
      </c>
      <c r="R1002" s="40">
        <f>SUMIFS(N971:N1011,B971:B1011,"&gt;="&amp;(B1002-d_T),B971:B1011,"&lt;="&amp;(B1002-1))</f>
        <v/>
      </c>
      <c r="S1002" s="46">
        <f>(1-d_u)*S1001+IF(d_T&gt;in_topup_lag,SUMIFS(O971:O1011,B971:B1011,B1002-in_topup_lag)-d_udrop*SUMIFS(O971:O1011,B971:B1011,B1002-d_T),0)</f>
        <v/>
      </c>
      <c r="T1002" s="40">
        <f>F1002*d_u*S1002</f>
        <v/>
      </c>
      <c r="U1002" s="9">
        <f>L1002*in_ticket+M1002*d_rep_ticket</f>
        <v/>
      </c>
      <c r="V1002" s="9">
        <f>U1002+T1002*d_topup_amt</f>
        <v/>
      </c>
      <c r="W1002" s="40">
        <f>N1002+T1002*d_topup_ratio</f>
        <v/>
      </c>
      <c r="X1002" s="40">
        <f>SUMIFS(W971:W1011,B971:B1011,B1002-in_dpd_lag)*d_cured</f>
        <v/>
      </c>
      <c r="Y1002" s="40">
        <f>SUMIFS(W971:W1011,B971:B1011,B1002-in_rec_lag)*d_recd</f>
        <v/>
      </c>
      <c r="Z1002" s="40">
        <f>IF(AND(B1002&gt;=in_marketplace_from,B1002&lt;in_marketplace_from+in_card_months),in_card_share/in_card_months*F1002*I1002,IF(AND(B1002&gt;=in_marketplace_from+in_card_months,B1002&lt;in_marketplace_from+2*in_card_months),in_card_share*d_card_rem/in_card_months*F1002*MIN(in_takeup_cap,(1+in_takeup_growth)^(D1002-1))*MIN(in_takeup_cap,(1+in_approval_growth)^(D1002-1)),0))</f>
        <v/>
      </c>
      <c r="AA1002" s="14">
        <f>V1002*in_fee*(1-in_taken_back)</f>
        <v/>
      </c>
      <c r="AB1002" s="14">
        <f>SUMIFS(W971:W1011,B971:B1011,B1002-in_dpd_lag)*d_dpd</f>
        <v/>
      </c>
      <c r="AC1002" s="14">
        <f>SUMIFS(W971:W1011,B971:B1011,B1002-in_rec_lag)*d_rec</f>
        <v/>
      </c>
      <c r="AD1002" s="14">
        <f>Z1002*in_card_fee</f>
        <v/>
      </c>
      <c r="AE1002" s="40">
        <f>AE1001*(1-IF(B1001&gt;=in_marketplace_from,d_hz_hlth_small*G1001,0))</f>
        <v/>
      </c>
      <c r="AF1002" s="46">
        <f>AE1002*IF(B1002&gt;=in_marketplace_from,d_hz_hlth_small*G1002,0)</f>
        <v/>
      </c>
      <c r="AG1002" s="14">
        <f>F1002*AF1002*in_hlth_small_ticket*in_hlth_small_comm*in_ins_partner_share+F1002*in_hlth_small_ticket*in_hlth_small_renew_comm*in_ins_partner_share*(in_hlth_small_renew^1*SUMIFS(AF971:AF1011,B971:B1011,B1002-12)+in_hlth_small_renew^2*SUMIFS(AF971:AF1011,B971:B1011,B1002-24)+in_hlth_small_renew^3*SUMIFS(AF971:AF1011,B971:B1011,B1002-36)+in_hlth_small_renew^4*SUMIFS(AF971:AF1011,B971:B1011,B1002-48))</f>
        <v/>
      </c>
      <c r="AH1002" s="40">
        <f>AH1001*(1-IF(B1001&gt;=in_marketplace_from,d_hz_hlth_family*G1001,0))</f>
        <v/>
      </c>
      <c r="AI1002" s="46">
        <f>AH1002*IF(B1002&gt;=in_marketplace_from,d_hz_hlth_family*G1002,0)</f>
        <v/>
      </c>
      <c r="AJ1002" s="14">
        <f>F1002*AI1002*in_hlth_family_ticket*in_hlth_family_comm*in_ins_partner_share+F1002*in_hlth_family_ticket*in_hlth_family_renew_comm*in_ins_partner_share*(in_hlth_family_renew^1*SUMIFS(AI971:AI1011,B971:B1011,B1002-12)+in_hlth_family_renew^2*SUMIFS(AI971:AI1011,B971:B1011,B1002-24)+in_hlth_family_renew^3*SUMIFS(AI971:AI1011,B971:B1011,B1002-36)+in_hlth_family_renew^4*SUMIFS(AI971:AI1011,B971:B1011,B1002-48))</f>
        <v/>
      </c>
      <c r="AK1002" s="40">
        <f>AK1001*(1-IF(B1001&gt;=in_marketplace_from,d_hz_life_term*G1001,0))</f>
        <v/>
      </c>
      <c r="AL1002" s="46">
        <f>AK1002*IF(B1002&gt;=in_marketplace_from,d_hz_life_term*G1002,0)</f>
        <v/>
      </c>
      <c r="AM1002" s="14">
        <f>F1002*AL1002*in_life_term_ticket*in_life_term_comm*in_ins_partner_share+F1002*in_life_term_ticket*in_life_term_renew_comm*in_ins_partner_share*(in_life_term_renew^1*SUMIFS(AL971:AL1011,B971:B1011,B1002-12)+in_life_term_renew^2*SUMIFS(AL971:AL1011,B971:B1011,B1002-24)+in_life_term_renew^3*SUMIFS(AL971:AL1011,B971:B1011,B1002-36)+in_life_term_renew^4*SUMIFS(AL971:AL1011,B971:B1011,B1002-48))</f>
        <v/>
      </c>
      <c r="AN1002" s="40">
        <f>AN1001*(1-IF(B1001&gt;=in_marketplace_from,d_hz_accident*G1001,0))</f>
        <v/>
      </c>
      <c r="AO1002" s="46">
        <f>AN1002*IF(B1002&gt;=in_marketplace_from,d_hz_accident*G1002,0)</f>
        <v/>
      </c>
      <c r="AP1002" s="14">
        <f>F1002*AO1002*in_accident_ticket*in_accident_comm*in_ins_partner_share+F1002*in_accident_ticket*in_accident_renew_comm*in_ins_partner_share*(in_accident_renew^1*SUMIFS(AO971:AO1011,B971:B1011,B1002-12)+in_accident_renew^2*SUMIFS(AO971:AO1011,B971:B1011,B1002-24)+in_accident_renew^3*SUMIFS(AO971:AO1011,B971:B1011,B1002-36)+in_accident_renew^4*SUMIFS(AO971:AO1011,B971:B1011,B1002-48))</f>
        <v/>
      </c>
      <c r="AQ1002" s="40">
        <f>AQ1001*(1-IF(B1001&gt;=in_marketplace_from,d_hz_two_wheeler*G1001,0))</f>
        <v/>
      </c>
      <c r="AR1002" s="46">
        <f>AQ1002*IF(B1002&gt;=in_marketplace_from,d_hz_two_wheeler*G1002,0)</f>
        <v/>
      </c>
      <c r="AS1002" s="14">
        <f>F1002*AR1002*in_two_wheeler_ticket*in_two_wheeler_comm*in_ins_partner_share+F1002*in_two_wheeler_ticket*in_two_wheeler_comm*in_ins_partner_share*(in_two_wheeler_renew^1*SUMIFS(AR971:AR1011,B971:B1011,B1002-12)+in_two_wheeler_renew^2*SUMIFS(AR971:AR1011,B971:B1011,B1002-24)+in_two_wheeler_renew^3*SUMIFS(AR971:AR1011,B971:B1011,B1002-36)+in_two_wheeler_renew^4*SUMIFS(AR971:AR1011,B971:B1011,B1002-48))</f>
        <v/>
      </c>
      <c r="AT1002" s="40">
        <f>AT1001*(1-IF(B1001&gt;=in_marketplace_from,d_hz_device*G1001,0))</f>
        <v/>
      </c>
      <c r="AU1002" s="14">
        <f>F1002*AT1002*IF(B1002&gt;=in_marketplace_from,d_hz_device*G1002,0)*in_device_ticket*in_device_comm*in_ins_partner_share</f>
        <v/>
      </c>
      <c r="AV1002" s="40">
        <f>AV1001*(1-IF(B1001&gt;=in_marketplace_from,d_hz_shop*G1001,0))</f>
        <v/>
      </c>
      <c r="AW1002" s="46">
        <f>AV1002*IF(B1002&gt;=in_marketplace_from,d_hz_shop*G1002,0)</f>
        <v/>
      </c>
      <c r="AX1002" s="14">
        <f>F1002*AW1002*in_shop_ticket*in_shop_comm*in_ins_partner_share+F1002*in_shop_ticket*in_shop_renew_comm*in_ins_partner_share*(in_shop_renew^1*SUMIFS(AW971:AW1011,B971:B1011,B1002-12)+in_shop_renew^2*SUMIFS(AW971:AW1011,B971:B1011,B1002-24)+in_shop_renew^3*SUMIFS(AW971:AW1011,B971:B1011,B1002-36)+in_shop_renew^4*SUMIFS(AW971:AW1011,B971:B1011,B1002-48))</f>
        <v/>
      </c>
      <c r="AY1002" s="40">
        <f>AY1001*(1-IF(B1001&gt;=in_marketplace_from,d_hz_sip*G1001,0))</f>
        <v/>
      </c>
      <c r="AZ1002" s="40">
        <f>AZ1001*d_rho_sip+AY1002*IF(B1002&gt;=in_marketplace_from,d_hz_sip*G1002,0)</f>
        <v/>
      </c>
      <c r="BA1002" s="40">
        <f>d_rho_sip*(BA1001+AZ1001)</f>
        <v/>
      </c>
      <c r="BB1002" s="14">
        <f>F1002*in_sip_ticket*(BA1002+0.5*AZ1002)*in_sip_comm/12</f>
        <v/>
      </c>
      <c r="BC1002" s="40">
        <f>BC1001*(1-IF(B1001&gt;=in_marketplace_from,d_hz_choti*G1001,0))</f>
        <v/>
      </c>
      <c r="BD1002" s="46">
        <f>BC1002*IF(B1002&gt;=in_marketplace_from,d_hz_choti*G1002,0)</f>
        <v/>
      </c>
      <c r="BE1002" s="14">
        <f>F1002*SUMIFS(BD971:BD1011,B971:B1011,B1002-in_choti_months)*in_choti_renew*in_choti_ticket</f>
        <v/>
      </c>
      <c r="BF1002" s="40">
        <f>BF1001*(1-IF(B1001&gt;=in_marketplace_from,d_hz_nps*G1001,0))</f>
        <v/>
      </c>
      <c r="BG1002" s="14">
        <f>F1002*BF1002*IF(B1002&gt;=in_marketplace_from,d_hz_nps*G1002,0)*in_nps_ticket*in_nps_comm</f>
        <v/>
      </c>
      <c r="BH1002" s="40">
        <f>BH1001*(1-IF(B1001&gt;=in_marketplace_from,d_hz_gold*G1001,0))</f>
        <v/>
      </c>
      <c r="BI1002" s="40">
        <f>BI1001*d_rho_gold+BH1002*IF(B1002&gt;=in_marketplace_from,d_hz_gold*G1002,0)</f>
        <v/>
      </c>
      <c r="BJ1002" s="14">
        <f>F1002*BI1002*in_gold_ticket*in_gold_comm</f>
        <v/>
      </c>
      <c r="BK1002" s="40">
        <f>BK1001*(1-IF(B1001&gt;=in_marketplace_from,d_hz_fd*G1001,0))</f>
        <v/>
      </c>
      <c r="BL1002" s="14">
        <f>F1002*BK1002*IF(B1002&gt;=in_marketplace_from,d_hz_fd*G1002,0)*in_fd_ticket*in_fd_comm</f>
        <v/>
      </c>
      <c r="BM1002" s="40">
        <f>BM1001*(1-IF(B1001&gt;=in_marketplace_from,d_hz_recharge*G1001,0))</f>
        <v/>
      </c>
      <c r="BN1002" s="40">
        <f>BN1001*d_rho_recharge+BM1002*IF(B1002&gt;=in_marketplace_from,d_hz_recharge*G1002,0)</f>
        <v/>
      </c>
      <c r="BO1002" s="14">
        <f>F1002*BN1002*in_recharge_ticket*in_recharge_comm/12</f>
        <v/>
      </c>
      <c r="BP1002" s="40">
        <f>BP1001*(1-IF(B1001&gt;=in_marketplace_from,d_hz_bills*G1001,0))</f>
        <v/>
      </c>
      <c r="BQ1002" s="40">
        <f>BQ1001*d_rho_bills+BP1002*IF(B1002&gt;=in_marketplace_from,d_hz_bills*G1002,0)</f>
        <v/>
      </c>
      <c r="BR1002" s="14">
        <f>F1002*BQ1002*in_bills_ticket*in_bills_comm/12</f>
        <v/>
      </c>
      <c r="BS1002" s="40">
        <f>BS1001*(1-IF(B1001&gt;=in_marketplace_from,d_hz_loan_gold*G1001,0))</f>
        <v/>
      </c>
      <c r="BT1002" s="14">
        <f>F1002*BS1002*IF(B1002&gt;=in_marketplace_from,d_hz_loan_gold*G1002,0)*in_loan_gold_ticket*in_loan_gold_comm</f>
        <v/>
      </c>
      <c r="BU1002" s="40">
        <f>BU1001*(1-IF(B1001&gt;=in_marketplace_from,d_hz_loan_cd*G1001,0))</f>
        <v/>
      </c>
      <c r="BV1002" s="14">
        <f>F1002*BU1002*IF(B1002&gt;=in_marketplace_from,d_hz_loan_cd*G1002,0)*in_loan_cd_ticket*in_loan_cd_comm</f>
        <v/>
      </c>
      <c r="BW1002" s="40">
        <f>BW1001*(1-IF(B1001&gt;=in_marketplace_from,d_hz_loan_vehicle*G1001,0))</f>
        <v/>
      </c>
      <c r="BX1002" s="14">
        <f>F1002*BW1002*IF(B1002&gt;=in_marketplace_from,d_hz_loan_vehicle*G1002,0)*in_loan_vehicle_ticket*in_loan_vehicle_comm</f>
        <v/>
      </c>
      <c r="BY1002" s="40">
        <f>BY1001*(1-IF(B1001&gt;=in_marketplace_from,d_hz_loan_home*G1001,0)*BZ1001)</f>
        <v/>
      </c>
      <c r="BZ1002" s="11">
        <f>MIN(in_approval_cap,in_loan_home_approval*INDEX('Age profile'!$O$2:$O$61,B1002)*(1+in_approval_growth)^(D1002-1))</f>
        <v/>
      </c>
      <c r="CA1002" s="14">
        <f>F1002*BY1002*IF(B1002&gt;=in_marketplace_from,d_hz_loan_home*G1002,0)*BZ1002*in_loan_home_ticket*in_loan_home_comm</f>
        <v/>
      </c>
      <c r="CB1002" s="40">
        <f>CB1001*(1-IF(B1001&gt;=in_marketplace_from,d_hz_loan_lap*G1001,0)*CC1001)</f>
        <v/>
      </c>
      <c r="CC1002" s="11">
        <f>MIN(in_approval_cap,in_loan_lap_approval*INDEX('Age profile'!$O$2:$O$61,B1002)*(1+in_approval_growth)^(D1002-1))</f>
        <v/>
      </c>
      <c r="CD1002" s="14">
        <f>F1002*CB1002*IF(B1002&gt;=in_marketplace_from,d_hz_loan_lap*G1002,0)*CC1002*in_loan_lap_ticket*in_loan_lap_comm</f>
        <v/>
      </c>
      <c r="CE1002" s="14">
        <f>AA1002+AB1002+AC1002+AD1002+AG1002+AJ1002+AM1002+AP1002+AS1002+AU1002+AX1002+BB1002+BE1002+BG1002+BJ1002+BL1002+BO1002+BR1002+BT1002+BV1002+BX1002+CA1002+CD1002</f>
        <v/>
      </c>
    </row>
    <row r="1003">
      <c r="A1003" s="39" t="n">
        <v>20</v>
      </c>
      <c r="B1003" s="39" t="n">
        <v>33</v>
      </c>
      <c r="C1003" s="39">
        <f>A1003+B1003-1</f>
        <v/>
      </c>
      <c r="D1003" s="39">
        <f>INT((C1003-1)/12)+1</f>
        <v/>
      </c>
      <c r="E1003" s="44">
        <f>INDEX(Monthly!$B$2:$B$61,A1003)</f>
        <v/>
      </c>
      <c r="F1003" s="44">
        <f>E1003*INDEX('Age profile'!$B$2:$B$61,B1003)</f>
        <v/>
      </c>
      <c r="G1003" s="45">
        <f>MIN(in_takeup_cap,INDEX('Age profile'!$N$2:$N$61,B1003)*(1+in_takeup_growth)^(D1003-1))</f>
        <v/>
      </c>
      <c r="H1003" s="11">
        <f>MIN(in_approval_cap,in_approved_first*INDEX('Age profile'!$O$2:$O$61,B1003)*(1+in_approval_growth)^(D1003-1))</f>
        <v/>
      </c>
      <c r="I1003" s="45">
        <f>G1003*MIN(in_takeup_cap,INDEX('Age profile'!$O$2:$O$61,B1003)*(1+in_approval_growth)^(D1003-1))</f>
        <v/>
      </c>
      <c r="J1003" s="40">
        <f>(J1002-L1002)*F1003/F1002</f>
        <v/>
      </c>
      <c r="K1003" s="40">
        <f>(K1002-M1002)*F1003/F1002+SUMIFS(O971:O1002,B971:B1002,B1003-1-d_T)*F1003</f>
        <v/>
      </c>
      <c r="L1003" s="40">
        <f>IF(B1003&gt;=in_marketplace_from,J1003*d_hz*G1003*in_eligible*H1003,0)</f>
        <v/>
      </c>
      <c r="M1003" s="40">
        <f>IF(B1003&gt;=in_marketplace_from,K1003*d_hz*G1003*in_eligible*in_approved_repeat,0)</f>
        <v/>
      </c>
      <c r="N1003" s="40">
        <f>L1003+M1003</f>
        <v/>
      </c>
      <c r="O1003" s="46">
        <f>N1003/F1003</f>
        <v/>
      </c>
      <c r="P1003" s="40">
        <f>F1003-J1003-K1003</f>
        <v/>
      </c>
      <c r="Q1003" s="40">
        <f>IF(B1003&gt;=in_marketplace_from,(J1003+K1003)*d_hz*G1003,0)</f>
        <v/>
      </c>
      <c r="R1003" s="40">
        <f>SUMIFS(N971:N1011,B971:B1011,"&gt;="&amp;(B1003-d_T),B971:B1011,"&lt;="&amp;(B1003-1))</f>
        <v/>
      </c>
      <c r="S1003" s="46">
        <f>(1-d_u)*S1002+IF(d_T&gt;in_topup_lag,SUMIFS(O971:O1011,B971:B1011,B1003-in_topup_lag)-d_udrop*SUMIFS(O971:O1011,B971:B1011,B1003-d_T),0)</f>
        <v/>
      </c>
      <c r="T1003" s="40">
        <f>F1003*d_u*S1003</f>
        <v/>
      </c>
      <c r="U1003" s="9">
        <f>L1003*in_ticket+M1003*d_rep_ticket</f>
        <v/>
      </c>
      <c r="V1003" s="9">
        <f>U1003+T1003*d_topup_amt</f>
        <v/>
      </c>
      <c r="W1003" s="40">
        <f>N1003+T1003*d_topup_ratio</f>
        <v/>
      </c>
      <c r="X1003" s="40">
        <f>SUMIFS(W971:W1011,B971:B1011,B1003-in_dpd_lag)*d_cured</f>
        <v/>
      </c>
      <c r="Y1003" s="40">
        <f>SUMIFS(W971:W1011,B971:B1011,B1003-in_rec_lag)*d_recd</f>
        <v/>
      </c>
      <c r="Z1003" s="40">
        <f>IF(AND(B1003&gt;=in_marketplace_from,B1003&lt;in_marketplace_from+in_card_months),in_card_share/in_card_months*F1003*I1003,IF(AND(B1003&gt;=in_marketplace_from+in_card_months,B1003&lt;in_marketplace_from+2*in_card_months),in_card_share*d_card_rem/in_card_months*F1003*MIN(in_takeup_cap,(1+in_takeup_growth)^(D1003-1))*MIN(in_takeup_cap,(1+in_approval_growth)^(D1003-1)),0))</f>
        <v/>
      </c>
      <c r="AA1003" s="14">
        <f>V1003*in_fee*(1-in_taken_back)</f>
        <v/>
      </c>
      <c r="AB1003" s="14">
        <f>SUMIFS(W971:W1011,B971:B1011,B1003-in_dpd_lag)*d_dpd</f>
        <v/>
      </c>
      <c r="AC1003" s="14">
        <f>SUMIFS(W971:W1011,B971:B1011,B1003-in_rec_lag)*d_rec</f>
        <v/>
      </c>
      <c r="AD1003" s="14">
        <f>Z1003*in_card_fee</f>
        <v/>
      </c>
      <c r="AE1003" s="40">
        <f>AE1002*(1-IF(B1002&gt;=in_marketplace_from,d_hz_hlth_small*G1002,0))</f>
        <v/>
      </c>
      <c r="AF1003" s="46">
        <f>AE1003*IF(B1003&gt;=in_marketplace_from,d_hz_hlth_small*G1003,0)</f>
        <v/>
      </c>
      <c r="AG1003" s="14">
        <f>F1003*AF1003*in_hlth_small_ticket*in_hlth_small_comm*in_ins_partner_share+F1003*in_hlth_small_ticket*in_hlth_small_renew_comm*in_ins_partner_share*(in_hlth_small_renew^1*SUMIFS(AF971:AF1011,B971:B1011,B1003-12)+in_hlth_small_renew^2*SUMIFS(AF971:AF1011,B971:B1011,B1003-24)+in_hlth_small_renew^3*SUMIFS(AF971:AF1011,B971:B1011,B1003-36)+in_hlth_small_renew^4*SUMIFS(AF971:AF1011,B971:B1011,B1003-48))</f>
        <v/>
      </c>
      <c r="AH1003" s="40">
        <f>AH1002*(1-IF(B1002&gt;=in_marketplace_from,d_hz_hlth_family*G1002,0))</f>
        <v/>
      </c>
      <c r="AI1003" s="46">
        <f>AH1003*IF(B1003&gt;=in_marketplace_from,d_hz_hlth_family*G1003,0)</f>
        <v/>
      </c>
      <c r="AJ1003" s="14">
        <f>F1003*AI1003*in_hlth_family_ticket*in_hlth_family_comm*in_ins_partner_share+F1003*in_hlth_family_ticket*in_hlth_family_renew_comm*in_ins_partner_share*(in_hlth_family_renew^1*SUMIFS(AI971:AI1011,B971:B1011,B1003-12)+in_hlth_family_renew^2*SUMIFS(AI971:AI1011,B971:B1011,B1003-24)+in_hlth_family_renew^3*SUMIFS(AI971:AI1011,B971:B1011,B1003-36)+in_hlth_family_renew^4*SUMIFS(AI971:AI1011,B971:B1011,B1003-48))</f>
        <v/>
      </c>
      <c r="AK1003" s="40">
        <f>AK1002*(1-IF(B1002&gt;=in_marketplace_from,d_hz_life_term*G1002,0))</f>
        <v/>
      </c>
      <c r="AL1003" s="46">
        <f>AK1003*IF(B1003&gt;=in_marketplace_from,d_hz_life_term*G1003,0)</f>
        <v/>
      </c>
      <c r="AM1003" s="14">
        <f>F1003*AL1003*in_life_term_ticket*in_life_term_comm*in_ins_partner_share+F1003*in_life_term_ticket*in_life_term_renew_comm*in_ins_partner_share*(in_life_term_renew^1*SUMIFS(AL971:AL1011,B971:B1011,B1003-12)+in_life_term_renew^2*SUMIFS(AL971:AL1011,B971:B1011,B1003-24)+in_life_term_renew^3*SUMIFS(AL971:AL1011,B971:B1011,B1003-36)+in_life_term_renew^4*SUMIFS(AL971:AL1011,B971:B1011,B1003-48))</f>
        <v/>
      </c>
      <c r="AN1003" s="40">
        <f>AN1002*(1-IF(B1002&gt;=in_marketplace_from,d_hz_accident*G1002,0))</f>
        <v/>
      </c>
      <c r="AO1003" s="46">
        <f>AN1003*IF(B1003&gt;=in_marketplace_from,d_hz_accident*G1003,0)</f>
        <v/>
      </c>
      <c r="AP1003" s="14">
        <f>F1003*AO1003*in_accident_ticket*in_accident_comm*in_ins_partner_share+F1003*in_accident_ticket*in_accident_renew_comm*in_ins_partner_share*(in_accident_renew^1*SUMIFS(AO971:AO1011,B971:B1011,B1003-12)+in_accident_renew^2*SUMIFS(AO971:AO1011,B971:B1011,B1003-24)+in_accident_renew^3*SUMIFS(AO971:AO1011,B971:B1011,B1003-36)+in_accident_renew^4*SUMIFS(AO971:AO1011,B971:B1011,B1003-48))</f>
        <v/>
      </c>
      <c r="AQ1003" s="40">
        <f>AQ1002*(1-IF(B1002&gt;=in_marketplace_from,d_hz_two_wheeler*G1002,0))</f>
        <v/>
      </c>
      <c r="AR1003" s="46">
        <f>AQ1003*IF(B1003&gt;=in_marketplace_from,d_hz_two_wheeler*G1003,0)</f>
        <v/>
      </c>
      <c r="AS1003" s="14">
        <f>F1003*AR1003*in_two_wheeler_ticket*in_two_wheeler_comm*in_ins_partner_share+F1003*in_two_wheeler_ticket*in_two_wheeler_comm*in_ins_partner_share*(in_two_wheeler_renew^1*SUMIFS(AR971:AR1011,B971:B1011,B1003-12)+in_two_wheeler_renew^2*SUMIFS(AR971:AR1011,B971:B1011,B1003-24)+in_two_wheeler_renew^3*SUMIFS(AR971:AR1011,B971:B1011,B1003-36)+in_two_wheeler_renew^4*SUMIFS(AR971:AR1011,B971:B1011,B1003-48))</f>
        <v/>
      </c>
      <c r="AT1003" s="40">
        <f>AT1002*(1-IF(B1002&gt;=in_marketplace_from,d_hz_device*G1002,0))</f>
        <v/>
      </c>
      <c r="AU1003" s="14">
        <f>F1003*AT1003*IF(B1003&gt;=in_marketplace_from,d_hz_device*G1003,0)*in_device_ticket*in_device_comm*in_ins_partner_share</f>
        <v/>
      </c>
      <c r="AV1003" s="40">
        <f>AV1002*(1-IF(B1002&gt;=in_marketplace_from,d_hz_shop*G1002,0))</f>
        <v/>
      </c>
      <c r="AW1003" s="46">
        <f>AV1003*IF(B1003&gt;=in_marketplace_from,d_hz_shop*G1003,0)</f>
        <v/>
      </c>
      <c r="AX1003" s="14">
        <f>F1003*AW1003*in_shop_ticket*in_shop_comm*in_ins_partner_share+F1003*in_shop_ticket*in_shop_renew_comm*in_ins_partner_share*(in_shop_renew^1*SUMIFS(AW971:AW1011,B971:B1011,B1003-12)+in_shop_renew^2*SUMIFS(AW971:AW1011,B971:B1011,B1003-24)+in_shop_renew^3*SUMIFS(AW971:AW1011,B971:B1011,B1003-36)+in_shop_renew^4*SUMIFS(AW971:AW1011,B971:B1011,B1003-48))</f>
        <v/>
      </c>
      <c r="AY1003" s="40">
        <f>AY1002*(1-IF(B1002&gt;=in_marketplace_from,d_hz_sip*G1002,0))</f>
        <v/>
      </c>
      <c r="AZ1003" s="40">
        <f>AZ1002*d_rho_sip+AY1003*IF(B1003&gt;=in_marketplace_from,d_hz_sip*G1003,0)</f>
        <v/>
      </c>
      <c r="BA1003" s="40">
        <f>d_rho_sip*(BA1002+AZ1002)</f>
        <v/>
      </c>
      <c r="BB1003" s="14">
        <f>F1003*in_sip_ticket*(BA1003+0.5*AZ1003)*in_sip_comm/12</f>
        <v/>
      </c>
      <c r="BC1003" s="40">
        <f>BC1002*(1-IF(B1002&gt;=in_marketplace_from,d_hz_choti*G1002,0))</f>
        <v/>
      </c>
      <c r="BD1003" s="46">
        <f>BC1003*IF(B1003&gt;=in_marketplace_from,d_hz_choti*G1003,0)</f>
        <v/>
      </c>
      <c r="BE1003" s="14">
        <f>F1003*SUMIFS(BD971:BD1011,B971:B1011,B1003-in_choti_months)*in_choti_renew*in_choti_ticket</f>
        <v/>
      </c>
      <c r="BF1003" s="40">
        <f>BF1002*(1-IF(B1002&gt;=in_marketplace_from,d_hz_nps*G1002,0))</f>
        <v/>
      </c>
      <c r="BG1003" s="14">
        <f>F1003*BF1003*IF(B1003&gt;=in_marketplace_from,d_hz_nps*G1003,0)*in_nps_ticket*in_nps_comm</f>
        <v/>
      </c>
      <c r="BH1003" s="40">
        <f>BH1002*(1-IF(B1002&gt;=in_marketplace_from,d_hz_gold*G1002,0))</f>
        <v/>
      </c>
      <c r="BI1003" s="40">
        <f>BI1002*d_rho_gold+BH1003*IF(B1003&gt;=in_marketplace_from,d_hz_gold*G1003,0)</f>
        <v/>
      </c>
      <c r="BJ1003" s="14">
        <f>F1003*BI1003*in_gold_ticket*in_gold_comm</f>
        <v/>
      </c>
      <c r="BK1003" s="40">
        <f>BK1002*(1-IF(B1002&gt;=in_marketplace_from,d_hz_fd*G1002,0))</f>
        <v/>
      </c>
      <c r="BL1003" s="14">
        <f>F1003*BK1003*IF(B1003&gt;=in_marketplace_from,d_hz_fd*G1003,0)*in_fd_ticket*in_fd_comm</f>
        <v/>
      </c>
      <c r="BM1003" s="40">
        <f>BM1002*(1-IF(B1002&gt;=in_marketplace_from,d_hz_recharge*G1002,0))</f>
        <v/>
      </c>
      <c r="BN1003" s="40">
        <f>BN1002*d_rho_recharge+BM1003*IF(B1003&gt;=in_marketplace_from,d_hz_recharge*G1003,0)</f>
        <v/>
      </c>
      <c r="BO1003" s="14">
        <f>F1003*BN1003*in_recharge_ticket*in_recharge_comm/12</f>
        <v/>
      </c>
      <c r="BP1003" s="40">
        <f>BP1002*(1-IF(B1002&gt;=in_marketplace_from,d_hz_bills*G1002,0))</f>
        <v/>
      </c>
      <c r="BQ1003" s="40">
        <f>BQ1002*d_rho_bills+BP1003*IF(B1003&gt;=in_marketplace_from,d_hz_bills*G1003,0)</f>
        <v/>
      </c>
      <c r="BR1003" s="14">
        <f>F1003*BQ1003*in_bills_ticket*in_bills_comm/12</f>
        <v/>
      </c>
      <c r="BS1003" s="40">
        <f>BS1002*(1-IF(B1002&gt;=in_marketplace_from,d_hz_loan_gold*G1002,0))</f>
        <v/>
      </c>
      <c r="BT1003" s="14">
        <f>F1003*BS1003*IF(B1003&gt;=in_marketplace_from,d_hz_loan_gold*G1003,0)*in_loan_gold_ticket*in_loan_gold_comm</f>
        <v/>
      </c>
      <c r="BU1003" s="40">
        <f>BU1002*(1-IF(B1002&gt;=in_marketplace_from,d_hz_loan_cd*G1002,0))</f>
        <v/>
      </c>
      <c r="BV1003" s="14">
        <f>F1003*BU1003*IF(B1003&gt;=in_marketplace_from,d_hz_loan_cd*G1003,0)*in_loan_cd_ticket*in_loan_cd_comm</f>
        <v/>
      </c>
      <c r="BW1003" s="40">
        <f>BW1002*(1-IF(B1002&gt;=in_marketplace_from,d_hz_loan_vehicle*G1002,0))</f>
        <v/>
      </c>
      <c r="BX1003" s="14">
        <f>F1003*BW1003*IF(B1003&gt;=in_marketplace_from,d_hz_loan_vehicle*G1003,0)*in_loan_vehicle_ticket*in_loan_vehicle_comm</f>
        <v/>
      </c>
      <c r="BY1003" s="40">
        <f>BY1002*(1-IF(B1002&gt;=in_marketplace_from,d_hz_loan_home*G1002,0)*BZ1002)</f>
        <v/>
      </c>
      <c r="BZ1003" s="11">
        <f>MIN(in_approval_cap,in_loan_home_approval*INDEX('Age profile'!$O$2:$O$61,B1003)*(1+in_approval_growth)^(D1003-1))</f>
        <v/>
      </c>
      <c r="CA1003" s="14">
        <f>F1003*BY1003*IF(B1003&gt;=in_marketplace_from,d_hz_loan_home*G1003,0)*BZ1003*in_loan_home_ticket*in_loan_home_comm</f>
        <v/>
      </c>
      <c r="CB1003" s="40">
        <f>CB1002*(1-IF(B1002&gt;=in_marketplace_from,d_hz_loan_lap*G1002,0)*CC1002)</f>
        <v/>
      </c>
      <c r="CC1003" s="11">
        <f>MIN(in_approval_cap,in_loan_lap_approval*INDEX('Age profile'!$O$2:$O$61,B1003)*(1+in_approval_growth)^(D1003-1))</f>
        <v/>
      </c>
      <c r="CD1003" s="14">
        <f>F1003*CB1003*IF(B1003&gt;=in_marketplace_from,d_hz_loan_lap*G1003,0)*CC1003*in_loan_lap_ticket*in_loan_lap_comm</f>
        <v/>
      </c>
      <c r="CE1003" s="14">
        <f>AA1003+AB1003+AC1003+AD1003+AG1003+AJ1003+AM1003+AP1003+AS1003+AU1003+AX1003+BB1003+BE1003+BG1003+BJ1003+BL1003+BO1003+BR1003+BT1003+BV1003+BX1003+CA1003+CD1003</f>
        <v/>
      </c>
    </row>
    <row r="1004">
      <c r="A1004" s="39" t="n">
        <v>20</v>
      </c>
      <c r="B1004" s="39" t="n">
        <v>34</v>
      </c>
      <c r="C1004" s="39">
        <f>A1004+B1004-1</f>
        <v/>
      </c>
      <c r="D1004" s="39">
        <f>INT((C1004-1)/12)+1</f>
        <v/>
      </c>
      <c r="E1004" s="44">
        <f>INDEX(Monthly!$B$2:$B$61,A1004)</f>
        <v/>
      </c>
      <c r="F1004" s="44">
        <f>E1004*INDEX('Age profile'!$B$2:$B$61,B1004)</f>
        <v/>
      </c>
      <c r="G1004" s="45">
        <f>MIN(in_takeup_cap,INDEX('Age profile'!$N$2:$N$61,B1004)*(1+in_takeup_growth)^(D1004-1))</f>
        <v/>
      </c>
      <c r="H1004" s="11">
        <f>MIN(in_approval_cap,in_approved_first*INDEX('Age profile'!$O$2:$O$61,B1004)*(1+in_approval_growth)^(D1004-1))</f>
        <v/>
      </c>
      <c r="I1004" s="45">
        <f>G1004*MIN(in_takeup_cap,INDEX('Age profile'!$O$2:$O$61,B1004)*(1+in_approval_growth)^(D1004-1))</f>
        <v/>
      </c>
      <c r="J1004" s="40">
        <f>(J1003-L1003)*F1004/F1003</f>
        <v/>
      </c>
      <c r="K1004" s="40">
        <f>(K1003-M1003)*F1004/F1003+SUMIFS(O971:O1003,B971:B1003,B1004-1-d_T)*F1004</f>
        <v/>
      </c>
      <c r="L1004" s="40">
        <f>IF(B1004&gt;=in_marketplace_from,J1004*d_hz*G1004*in_eligible*H1004,0)</f>
        <v/>
      </c>
      <c r="M1004" s="40">
        <f>IF(B1004&gt;=in_marketplace_from,K1004*d_hz*G1004*in_eligible*in_approved_repeat,0)</f>
        <v/>
      </c>
      <c r="N1004" s="40">
        <f>L1004+M1004</f>
        <v/>
      </c>
      <c r="O1004" s="46">
        <f>N1004/F1004</f>
        <v/>
      </c>
      <c r="P1004" s="40">
        <f>F1004-J1004-K1004</f>
        <v/>
      </c>
      <c r="Q1004" s="40">
        <f>IF(B1004&gt;=in_marketplace_from,(J1004+K1004)*d_hz*G1004,0)</f>
        <v/>
      </c>
      <c r="R1004" s="40">
        <f>SUMIFS(N971:N1011,B971:B1011,"&gt;="&amp;(B1004-d_T),B971:B1011,"&lt;="&amp;(B1004-1))</f>
        <v/>
      </c>
      <c r="S1004" s="46">
        <f>(1-d_u)*S1003+IF(d_T&gt;in_topup_lag,SUMIFS(O971:O1011,B971:B1011,B1004-in_topup_lag)-d_udrop*SUMIFS(O971:O1011,B971:B1011,B1004-d_T),0)</f>
        <v/>
      </c>
      <c r="T1004" s="40">
        <f>F1004*d_u*S1004</f>
        <v/>
      </c>
      <c r="U1004" s="9">
        <f>L1004*in_ticket+M1004*d_rep_ticket</f>
        <v/>
      </c>
      <c r="V1004" s="9">
        <f>U1004+T1004*d_topup_amt</f>
        <v/>
      </c>
      <c r="W1004" s="40">
        <f>N1004+T1004*d_topup_ratio</f>
        <v/>
      </c>
      <c r="X1004" s="40">
        <f>SUMIFS(W971:W1011,B971:B1011,B1004-in_dpd_lag)*d_cured</f>
        <v/>
      </c>
      <c r="Y1004" s="40">
        <f>SUMIFS(W971:W1011,B971:B1011,B1004-in_rec_lag)*d_recd</f>
        <v/>
      </c>
      <c r="Z1004" s="40">
        <f>IF(AND(B1004&gt;=in_marketplace_from,B1004&lt;in_marketplace_from+in_card_months),in_card_share/in_card_months*F1004*I1004,IF(AND(B1004&gt;=in_marketplace_from+in_card_months,B1004&lt;in_marketplace_from+2*in_card_months),in_card_share*d_card_rem/in_card_months*F1004*MIN(in_takeup_cap,(1+in_takeup_growth)^(D1004-1))*MIN(in_takeup_cap,(1+in_approval_growth)^(D1004-1)),0))</f>
        <v/>
      </c>
      <c r="AA1004" s="14">
        <f>V1004*in_fee*(1-in_taken_back)</f>
        <v/>
      </c>
      <c r="AB1004" s="14">
        <f>SUMIFS(W971:W1011,B971:B1011,B1004-in_dpd_lag)*d_dpd</f>
        <v/>
      </c>
      <c r="AC1004" s="14">
        <f>SUMIFS(W971:W1011,B971:B1011,B1004-in_rec_lag)*d_rec</f>
        <v/>
      </c>
      <c r="AD1004" s="14">
        <f>Z1004*in_card_fee</f>
        <v/>
      </c>
      <c r="AE1004" s="40">
        <f>AE1003*(1-IF(B1003&gt;=in_marketplace_from,d_hz_hlth_small*G1003,0))</f>
        <v/>
      </c>
      <c r="AF1004" s="46">
        <f>AE1004*IF(B1004&gt;=in_marketplace_from,d_hz_hlth_small*G1004,0)</f>
        <v/>
      </c>
      <c r="AG1004" s="14">
        <f>F1004*AF1004*in_hlth_small_ticket*in_hlth_small_comm*in_ins_partner_share+F1004*in_hlth_small_ticket*in_hlth_small_renew_comm*in_ins_partner_share*(in_hlth_small_renew^1*SUMIFS(AF971:AF1011,B971:B1011,B1004-12)+in_hlth_small_renew^2*SUMIFS(AF971:AF1011,B971:B1011,B1004-24)+in_hlth_small_renew^3*SUMIFS(AF971:AF1011,B971:B1011,B1004-36)+in_hlth_small_renew^4*SUMIFS(AF971:AF1011,B971:B1011,B1004-48))</f>
        <v/>
      </c>
      <c r="AH1004" s="40">
        <f>AH1003*(1-IF(B1003&gt;=in_marketplace_from,d_hz_hlth_family*G1003,0))</f>
        <v/>
      </c>
      <c r="AI1004" s="46">
        <f>AH1004*IF(B1004&gt;=in_marketplace_from,d_hz_hlth_family*G1004,0)</f>
        <v/>
      </c>
      <c r="AJ1004" s="14">
        <f>F1004*AI1004*in_hlth_family_ticket*in_hlth_family_comm*in_ins_partner_share+F1004*in_hlth_family_ticket*in_hlth_family_renew_comm*in_ins_partner_share*(in_hlth_family_renew^1*SUMIFS(AI971:AI1011,B971:B1011,B1004-12)+in_hlth_family_renew^2*SUMIFS(AI971:AI1011,B971:B1011,B1004-24)+in_hlth_family_renew^3*SUMIFS(AI971:AI1011,B971:B1011,B1004-36)+in_hlth_family_renew^4*SUMIFS(AI971:AI1011,B971:B1011,B1004-48))</f>
        <v/>
      </c>
      <c r="AK1004" s="40">
        <f>AK1003*(1-IF(B1003&gt;=in_marketplace_from,d_hz_life_term*G1003,0))</f>
        <v/>
      </c>
      <c r="AL1004" s="46">
        <f>AK1004*IF(B1004&gt;=in_marketplace_from,d_hz_life_term*G1004,0)</f>
        <v/>
      </c>
      <c r="AM1004" s="14">
        <f>F1004*AL1004*in_life_term_ticket*in_life_term_comm*in_ins_partner_share+F1004*in_life_term_ticket*in_life_term_renew_comm*in_ins_partner_share*(in_life_term_renew^1*SUMIFS(AL971:AL1011,B971:B1011,B1004-12)+in_life_term_renew^2*SUMIFS(AL971:AL1011,B971:B1011,B1004-24)+in_life_term_renew^3*SUMIFS(AL971:AL1011,B971:B1011,B1004-36)+in_life_term_renew^4*SUMIFS(AL971:AL1011,B971:B1011,B1004-48))</f>
        <v/>
      </c>
      <c r="AN1004" s="40">
        <f>AN1003*(1-IF(B1003&gt;=in_marketplace_from,d_hz_accident*G1003,0))</f>
        <v/>
      </c>
      <c r="AO1004" s="46">
        <f>AN1004*IF(B1004&gt;=in_marketplace_from,d_hz_accident*G1004,0)</f>
        <v/>
      </c>
      <c r="AP1004" s="14">
        <f>F1004*AO1004*in_accident_ticket*in_accident_comm*in_ins_partner_share+F1004*in_accident_ticket*in_accident_renew_comm*in_ins_partner_share*(in_accident_renew^1*SUMIFS(AO971:AO1011,B971:B1011,B1004-12)+in_accident_renew^2*SUMIFS(AO971:AO1011,B971:B1011,B1004-24)+in_accident_renew^3*SUMIFS(AO971:AO1011,B971:B1011,B1004-36)+in_accident_renew^4*SUMIFS(AO971:AO1011,B971:B1011,B1004-48))</f>
        <v/>
      </c>
      <c r="AQ1004" s="40">
        <f>AQ1003*(1-IF(B1003&gt;=in_marketplace_from,d_hz_two_wheeler*G1003,0))</f>
        <v/>
      </c>
      <c r="AR1004" s="46">
        <f>AQ1004*IF(B1004&gt;=in_marketplace_from,d_hz_two_wheeler*G1004,0)</f>
        <v/>
      </c>
      <c r="AS1004" s="14">
        <f>F1004*AR1004*in_two_wheeler_ticket*in_two_wheeler_comm*in_ins_partner_share+F1004*in_two_wheeler_ticket*in_two_wheeler_comm*in_ins_partner_share*(in_two_wheeler_renew^1*SUMIFS(AR971:AR1011,B971:B1011,B1004-12)+in_two_wheeler_renew^2*SUMIFS(AR971:AR1011,B971:B1011,B1004-24)+in_two_wheeler_renew^3*SUMIFS(AR971:AR1011,B971:B1011,B1004-36)+in_two_wheeler_renew^4*SUMIFS(AR971:AR1011,B971:B1011,B1004-48))</f>
        <v/>
      </c>
      <c r="AT1004" s="40">
        <f>AT1003*(1-IF(B1003&gt;=in_marketplace_from,d_hz_device*G1003,0))</f>
        <v/>
      </c>
      <c r="AU1004" s="14">
        <f>F1004*AT1004*IF(B1004&gt;=in_marketplace_from,d_hz_device*G1004,0)*in_device_ticket*in_device_comm*in_ins_partner_share</f>
        <v/>
      </c>
      <c r="AV1004" s="40">
        <f>AV1003*(1-IF(B1003&gt;=in_marketplace_from,d_hz_shop*G1003,0))</f>
        <v/>
      </c>
      <c r="AW1004" s="46">
        <f>AV1004*IF(B1004&gt;=in_marketplace_from,d_hz_shop*G1004,0)</f>
        <v/>
      </c>
      <c r="AX1004" s="14">
        <f>F1004*AW1004*in_shop_ticket*in_shop_comm*in_ins_partner_share+F1004*in_shop_ticket*in_shop_renew_comm*in_ins_partner_share*(in_shop_renew^1*SUMIFS(AW971:AW1011,B971:B1011,B1004-12)+in_shop_renew^2*SUMIFS(AW971:AW1011,B971:B1011,B1004-24)+in_shop_renew^3*SUMIFS(AW971:AW1011,B971:B1011,B1004-36)+in_shop_renew^4*SUMIFS(AW971:AW1011,B971:B1011,B1004-48))</f>
        <v/>
      </c>
      <c r="AY1004" s="40">
        <f>AY1003*(1-IF(B1003&gt;=in_marketplace_from,d_hz_sip*G1003,0))</f>
        <v/>
      </c>
      <c r="AZ1004" s="40">
        <f>AZ1003*d_rho_sip+AY1004*IF(B1004&gt;=in_marketplace_from,d_hz_sip*G1004,0)</f>
        <v/>
      </c>
      <c r="BA1004" s="40">
        <f>d_rho_sip*(BA1003+AZ1003)</f>
        <v/>
      </c>
      <c r="BB1004" s="14">
        <f>F1004*in_sip_ticket*(BA1004+0.5*AZ1004)*in_sip_comm/12</f>
        <v/>
      </c>
      <c r="BC1004" s="40">
        <f>BC1003*(1-IF(B1003&gt;=in_marketplace_from,d_hz_choti*G1003,0))</f>
        <v/>
      </c>
      <c r="BD1004" s="46">
        <f>BC1004*IF(B1004&gt;=in_marketplace_from,d_hz_choti*G1004,0)</f>
        <v/>
      </c>
      <c r="BE1004" s="14">
        <f>F1004*SUMIFS(BD971:BD1011,B971:B1011,B1004-in_choti_months)*in_choti_renew*in_choti_ticket</f>
        <v/>
      </c>
      <c r="BF1004" s="40">
        <f>BF1003*(1-IF(B1003&gt;=in_marketplace_from,d_hz_nps*G1003,0))</f>
        <v/>
      </c>
      <c r="BG1004" s="14">
        <f>F1004*BF1004*IF(B1004&gt;=in_marketplace_from,d_hz_nps*G1004,0)*in_nps_ticket*in_nps_comm</f>
        <v/>
      </c>
      <c r="BH1004" s="40">
        <f>BH1003*(1-IF(B1003&gt;=in_marketplace_from,d_hz_gold*G1003,0))</f>
        <v/>
      </c>
      <c r="BI1004" s="40">
        <f>BI1003*d_rho_gold+BH1004*IF(B1004&gt;=in_marketplace_from,d_hz_gold*G1004,0)</f>
        <v/>
      </c>
      <c r="BJ1004" s="14">
        <f>F1004*BI1004*in_gold_ticket*in_gold_comm</f>
        <v/>
      </c>
      <c r="BK1004" s="40">
        <f>BK1003*(1-IF(B1003&gt;=in_marketplace_from,d_hz_fd*G1003,0))</f>
        <v/>
      </c>
      <c r="BL1004" s="14">
        <f>F1004*BK1004*IF(B1004&gt;=in_marketplace_from,d_hz_fd*G1004,0)*in_fd_ticket*in_fd_comm</f>
        <v/>
      </c>
      <c r="BM1004" s="40">
        <f>BM1003*(1-IF(B1003&gt;=in_marketplace_from,d_hz_recharge*G1003,0))</f>
        <v/>
      </c>
      <c r="BN1004" s="40">
        <f>BN1003*d_rho_recharge+BM1004*IF(B1004&gt;=in_marketplace_from,d_hz_recharge*G1004,0)</f>
        <v/>
      </c>
      <c r="BO1004" s="14">
        <f>F1004*BN1004*in_recharge_ticket*in_recharge_comm/12</f>
        <v/>
      </c>
      <c r="BP1004" s="40">
        <f>BP1003*(1-IF(B1003&gt;=in_marketplace_from,d_hz_bills*G1003,0))</f>
        <v/>
      </c>
      <c r="BQ1004" s="40">
        <f>BQ1003*d_rho_bills+BP1004*IF(B1004&gt;=in_marketplace_from,d_hz_bills*G1004,0)</f>
        <v/>
      </c>
      <c r="BR1004" s="14">
        <f>F1004*BQ1004*in_bills_ticket*in_bills_comm/12</f>
        <v/>
      </c>
      <c r="BS1004" s="40">
        <f>BS1003*(1-IF(B1003&gt;=in_marketplace_from,d_hz_loan_gold*G1003,0))</f>
        <v/>
      </c>
      <c r="BT1004" s="14">
        <f>F1004*BS1004*IF(B1004&gt;=in_marketplace_from,d_hz_loan_gold*G1004,0)*in_loan_gold_ticket*in_loan_gold_comm</f>
        <v/>
      </c>
      <c r="BU1004" s="40">
        <f>BU1003*(1-IF(B1003&gt;=in_marketplace_from,d_hz_loan_cd*G1003,0))</f>
        <v/>
      </c>
      <c r="BV1004" s="14">
        <f>F1004*BU1004*IF(B1004&gt;=in_marketplace_from,d_hz_loan_cd*G1004,0)*in_loan_cd_ticket*in_loan_cd_comm</f>
        <v/>
      </c>
      <c r="BW1004" s="40">
        <f>BW1003*(1-IF(B1003&gt;=in_marketplace_from,d_hz_loan_vehicle*G1003,0))</f>
        <v/>
      </c>
      <c r="BX1004" s="14">
        <f>F1004*BW1004*IF(B1004&gt;=in_marketplace_from,d_hz_loan_vehicle*G1004,0)*in_loan_vehicle_ticket*in_loan_vehicle_comm</f>
        <v/>
      </c>
      <c r="BY1004" s="40">
        <f>BY1003*(1-IF(B1003&gt;=in_marketplace_from,d_hz_loan_home*G1003,0)*BZ1003)</f>
        <v/>
      </c>
      <c r="BZ1004" s="11">
        <f>MIN(in_approval_cap,in_loan_home_approval*INDEX('Age profile'!$O$2:$O$61,B1004)*(1+in_approval_growth)^(D1004-1))</f>
        <v/>
      </c>
      <c r="CA1004" s="14">
        <f>F1004*BY1004*IF(B1004&gt;=in_marketplace_from,d_hz_loan_home*G1004,0)*BZ1004*in_loan_home_ticket*in_loan_home_comm</f>
        <v/>
      </c>
      <c r="CB1004" s="40">
        <f>CB1003*(1-IF(B1003&gt;=in_marketplace_from,d_hz_loan_lap*G1003,0)*CC1003)</f>
        <v/>
      </c>
      <c r="CC1004" s="11">
        <f>MIN(in_approval_cap,in_loan_lap_approval*INDEX('Age profile'!$O$2:$O$61,B1004)*(1+in_approval_growth)^(D1004-1))</f>
        <v/>
      </c>
      <c r="CD1004" s="14">
        <f>F1004*CB1004*IF(B1004&gt;=in_marketplace_from,d_hz_loan_lap*G1004,0)*CC1004*in_loan_lap_ticket*in_loan_lap_comm</f>
        <v/>
      </c>
      <c r="CE1004" s="14">
        <f>AA1004+AB1004+AC1004+AD1004+AG1004+AJ1004+AM1004+AP1004+AS1004+AU1004+AX1004+BB1004+BE1004+BG1004+BJ1004+BL1004+BO1004+BR1004+BT1004+BV1004+BX1004+CA1004+CD1004</f>
        <v/>
      </c>
    </row>
    <row r="1005">
      <c r="A1005" s="39" t="n">
        <v>20</v>
      </c>
      <c r="B1005" s="39" t="n">
        <v>35</v>
      </c>
      <c r="C1005" s="39">
        <f>A1005+B1005-1</f>
        <v/>
      </c>
      <c r="D1005" s="39">
        <f>INT((C1005-1)/12)+1</f>
        <v/>
      </c>
      <c r="E1005" s="44">
        <f>INDEX(Monthly!$B$2:$B$61,A1005)</f>
        <v/>
      </c>
      <c r="F1005" s="44">
        <f>E1005*INDEX('Age profile'!$B$2:$B$61,B1005)</f>
        <v/>
      </c>
      <c r="G1005" s="45">
        <f>MIN(in_takeup_cap,INDEX('Age profile'!$N$2:$N$61,B1005)*(1+in_takeup_growth)^(D1005-1))</f>
        <v/>
      </c>
      <c r="H1005" s="11">
        <f>MIN(in_approval_cap,in_approved_first*INDEX('Age profile'!$O$2:$O$61,B1005)*(1+in_approval_growth)^(D1005-1))</f>
        <v/>
      </c>
      <c r="I1005" s="45">
        <f>G1005*MIN(in_takeup_cap,INDEX('Age profile'!$O$2:$O$61,B1005)*(1+in_approval_growth)^(D1005-1))</f>
        <v/>
      </c>
      <c r="J1005" s="40">
        <f>(J1004-L1004)*F1005/F1004</f>
        <v/>
      </c>
      <c r="K1005" s="40">
        <f>(K1004-M1004)*F1005/F1004+SUMIFS(O971:O1004,B971:B1004,B1005-1-d_T)*F1005</f>
        <v/>
      </c>
      <c r="L1005" s="40">
        <f>IF(B1005&gt;=in_marketplace_from,J1005*d_hz*G1005*in_eligible*H1005,0)</f>
        <v/>
      </c>
      <c r="M1005" s="40">
        <f>IF(B1005&gt;=in_marketplace_from,K1005*d_hz*G1005*in_eligible*in_approved_repeat,0)</f>
        <v/>
      </c>
      <c r="N1005" s="40">
        <f>L1005+M1005</f>
        <v/>
      </c>
      <c r="O1005" s="46">
        <f>N1005/F1005</f>
        <v/>
      </c>
      <c r="P1005" s="40">
        <f>F1005-J1005-K1005</f>
        <v/>
      </c>
      <c r="Q1005" s="40">
        <f>IF(B1005&gt;=in_marketplace_from,(J1005+K1005)*d_hz*G1005,0)</f>
        <v/>
      </c>
      <c r="R1005" s="40">
        <f>SUMIFS(N971:N1011,B971:B1011,"&gt;="&amp;(B1005-d_T),B971:B1011,"&lt;="&amp;(B1005-1))</f>
        <v/>
      </c>
      <c r="S1005" s="46">
        <f>(1-d_u)*S1004+IF(d_T&gt;in_topup_lag,SUMIFS(O971:O1011,B971:B1011,B1005-in_topup_lag)-d_udrop*SUMIFS(O971:O1011,B971:B1011,B1005-d_T),0)</f>
        <v/>
      </c>
      <c r="T1005" s="40">
        <f>F1005*d_u*S1005</f>
        <v/>
      </c>
      <c r="U1005" s="9">
        <f>L1005*in_ticket+M1005*d_rep_ticket</f>
        <v/>
      </c>
      <c r="V1005" s="9">
        <f>U1005+T1005*d_topup_amt</f>
        <v/>
      </c>
      <c r="W1005" s="40">
        <f>N1005+T1005*d_topup_ratio</f>
        <v/>
      </c>
      <c r="X1005" s="40">
        <f>SUMIFS(W971:W1011,B971:B1011,B1005-in_dpd_lag)*d_cured</f>
        <v/>
      </c>
      <c r="Y1005" s="40">
        <f>SUMIFS(W971:W1011,B971:B1011,B1005-in_rec_lag)*d_recd</f>
        <v/>
      </c>
      <c r="Z1005" s="40">
        <f>IF(AND(B1005&gt;=in_marketplace_from,B1005&lt;in_marketplace_from+in_card_months),in_card_share/in_card_months*F1005*I1005,IF(AND(B1005&gt;=in_marketplace_from+in_card_months,B1005&lt;in_marketplace_from+2*in_card_months),in_card_share*d_card_rem/in_card_months*F1005*MIN(in_takeup_cap,(1+in_takeup_growth)^(D1005-1))*MIN(in_takeup_cap,(1+in_approval_growth)^(D1005-1)),0))</f>
        <v/>
      </c>
      <c r="AA1005" s="14">
        <f>V1005*in_fee*(1-in_taken_back)</f>
        <v/>
      </c>
      <c r="AB1005" s="14">
        <f>SUMIFS(W971:W1011,B971:B1011,B1005-in_dpd_lag)*d_dpd</f>
        <v/>
      </c>
      <c r="AC1005" s="14">
        <f>SUMIFS(W971:W1011,B971:B1011,B1005-in_rec_lag)*d_rec</f>
        <v/>
      </c>
      <c r="AD1005" s="14">
        <f>Z1005*in_card_fee</f>
        <v/>
      </c>
      <c r="AE1005" s="40">
        <f>AE1004*(1-IF(B1004&gt;=in_marketplace_from,d_hz_hlth_small*G1004,0))</f>
        <v/>
      </c>
      <c r="AF1005" s="46">
        <f>AE1005*IF(B1005&gt;=in_marketplace_from,d_hz_hlth_small*G1005,0)</f>
        <v/>
      </c>
      <c r="AG1005" s="14">
        <f>F1005*AF1005*in_hlth_small_ticket*in_hlth_small_comm*in_ins_partner_share+F1005*in_hlth_small_ticket*in_hlth_small_renew_comm*in_ins_partner_share*(in_hlth_small_renew^1*SUMIFS(AF971:AF1011,B971:B1011,B1005-12)+in_hlth_small_renew^2*SUMIFS(AF971:AF1011,B971:B1011,B1005-24)+in_hlth_small_renew^3*SUMIFS(AF971:AF1011,B971:B1011,B1005-36)+in_hlth_small_renew^4*SUMIFS(AF971:AF1011,B971:B1011,B1005-48))</f>
        <v/>
      </c>
      <c r="AH1005" s="40">
        <f>AH1004*(1-IF(B1004&gt;=in_marketplace_from,d_hz_hlth_family*G1004,0))</f>
        <v/>
      </c>
      <c r="AI1005" s="46">
        <f>AH1005*IF(B1005&gt;=in_marketplace_from,d_hz_hlth_family*G1005,0)</f>
        <v/>
      </c>
      <c r="AJ1005" s="14">
        <f>F1005*AI1005*in_hlth_family_ticket*in_hlth_family_comm*in_ins_partner_share+F1005*in_hlth_family_ticket*in_hlth_family_renew_comm*in_ins_partner_share*(in_hlth_family_renew^1*SUMIFS(AI971:AI1011,B971:B1011,B1005-12)+in_hlth_family_renew^2*SUMIFS(AI971:AI1011,B971:B1011,B1005-24)+in_hlth_family_renew^3*SUMIFS(AI971:AI1011,B971:B1011,B1005-36)+in_hlth_family_renew^4*SUMIFS(AI971:AI1011,B971:B1011,B1005-48))</f>
        <v/>
      </c>
      <c r="AK1005" s="40">
        <f>AK1004*(1-IF(B1004&gt;=in_marketplace_from,d_hz_life_term*G1004,0))</f>
        <v/>
      </c>
      <c r="AL1005" s="46">
        <f>AK1005*IF(B1005&gt;=in_marketplace_from,d_hz_life_term*G1005,0)</f>
        <v/>
      </c>
      <c r="AM1005" s="14">
        <f>F1005*AL1005*in_life_term_ticket*in_life_term_comm*in_ins_partner_share+F1005*in_life_term_ticket*in_life_term_renew_comm*in_ins_partner_share*(in_life_term_renew^1*SUMIFS(AL971:AL1011,B971:B1011,B1005-12)+in_life_term_renew^2*SUMIFS(AL971:AL1011,B971:B1011,B1005-24)+in_life_term_renew^3*SUMIFS(AL971:AL1011,B971:B1011,B1005-36)+in_life_term_renew^4*SUMIFS(AL971:AL1011,B971:B1011,B1005-48))</f>
        <v/>
      </c>
      <c r="AN1005" s="40">
        <f>AN1004*(1-IF(B1004&gt;=in_marketplace_from,d_hz_accident*G1004,0))</f>
        <v/>
      </c>
      <c r="AO1005" s="46">
        <f>AN1005*IF(B1005&gt;=in_marketplace_from,d_hz_accident*G1005,0)</f>
        <v/>
      </c>
      <c r="AP1005" s="14">
        <f>F1005*AO1005*in_accident_ticket*in_accident_comm*in_ins_partner_share+F1005*in_accident_ticket*in_accident_renew_comm*in_ins_partner_share*(in_accident_renew^1*SUMIFS(AO971:AO1011,B971:B1011,B1005-12)+in_accident_renew^2*SUMIFS(AO971:AO1011,B971:B1011,B1005-24)+in_accident_renew^3*SUMIFS(AO971:AO1011,B971:B1011,B1005-36)+in_accident_renew^4*SUMIFS(AO971:AO1011,B971:B1011,B1005-48))</f>
        <v/>
      </c>
      <c r="AQ1005" s="40">
        <f>AQ1004*(1-IF(B1004&gt;=in_marketplace_from,d_hz_two_wheeler*G1004,0))</f>
        <v/>
      </c>
      <c r="AR1005" s="46">
        <f>AQ1005*IF(B1005&gt;=in_marketplace_from,d_hz_two_wheeler*G1005,0)</f>
        <v/>
      </c>
      <c r="AS1005" s="14">
        <f>F1005*AR1005*in_two_wheeler_ticket*in_two_wheeler_comm*in_ins_partner_share+F1005*in_two_wheeler_ticket*in_two_wheeler_comm*in_ins_partner_share*(in_two_wheeler_renew^1*SUMIFS(AR971:AR1011,B971:B1011,B1005-12)+in_two_wheeler_renew^2*SUMIFS(AR971:AR1011,B971:B1011,B1005-24)+in_two_wheeler_renew^3*SUMIFS(AR971:AR1011,B971:B1011,B1005-36)+in_two_wheeler_renew^4*SUMIFS(AR971:AR1011,B971:B1011,B1005-48))</f>
        <v/>
      </c>
      <c r="AT1005" s="40">
        <f>AT1004*(1-IF(B1004&gt;=in_marketplace_from,d_hz_device*G1004,0))</f>
        <v/>
      </c>
      <c r="AU1005" s="14">
        <f>F1005*AT1005*IF(B1005&gt;=in_marketplace_from,d_hz_device*G1005,0)*in_device_ticket*in_device_comm*in_ins_partner_share</f>
        <v/>
      </c>
      <c r="AV1005" s="40">
        <f>AV1004*(1-IF(B1004&gt;=in_marketplace_from,d_hz_shop*G1004,0))</f>
        <v/>
      </c>
      <c r="AW1005" s="46">
        <f>AV1005*IF(B1005&gt;=in_marketplace_from,d_hz_shop*G1005,0)</f>
        <v/>
      </c>
      <c r="AX1005" s="14">
        <f>F1005*AW1005*in_shop_ticket*in_shop_comm*in_ins_partner_share+F1005*in_shop_ticket*in_shop_renew_comm*in_ins_partner_share*(in_shop_renew^1*SUMIFS(AW971:AW1011,B971:B1011,B1005-12)+in_shop_renew^2*SUMIFS(AW971:AW1011,B971:B1011,B1005-24)+in_shop_renew^3*SUMIFS(AW971:AW1011,B971:B1011,B1005-36)+in_shop_renew^4*SUMIFS(AW971:AW1011,B971:B1011,B1005-48))</f>
        <v/>
      </c>
      <c r="AY1005" s="40">
        <f>AY1004*(1-IF(B1004&gt;=in_marketplace_from,d_hz_sip*G1004,0))</f>
        <v/>
      </c>
      <c r="AZ1005" s="40">
        <f>AZ1004*d_rho_sip+AY1005*IF(B1005&gt;=in_marketplace_from,d_hz_sip*G1005,0)</f>
        <v/>
      </c>
      <c r="BA1005" s="40">
        <f>d_rho_sip*(BA1004+AZ1004)</f>
        <v/>
      </c>
      <c r="BB1005" s="14">
        <f>F1005*in_sip_ticket*(BA1005+0.5*AZ1005)*in_sip_comm/12</f>
        <v/>
      </c>
      <c r="BC1005" s="40">
        <f>BC1004*(1-IF(B1004&gt;=in_marketplace_from,d_hz_choti*G1004,0))</f>
        <v/>
      </c>
      <c r="BD1005" s="46">
        <f>BC1005*IF(B1005&gt;=in_marketplace_from,d_hz_choti*G1005,0)</f>
        <v/>
      </c>
      <c r="BE1005" s="14">
        <f>F1005*SUMIFS(BD971:BD1011,B971:B1011,B1005-in_choti_months)*in_choti_renew*in_choti_ticket</f>
        <v/>
      </c>
      <c r="BF1005" s="40">
        <f>BF1004*(1-IF(B1004&gt;=in_marketplace_from,d_hz_nps*G1004,0))</f>
        <v/>
      </c>
      <c r="BG1005" s="14">
        <f>F1005*BF1005*IF(B1005&gt;=in_marketplace_from,d_hz_nps*G1005,0)*in_nps_ticket*in_nps_comm</f>
        <v/>
      </c>
      <c r="BH1005" s="40">
        <f>BH1004*(1-IF(B1004&gt;=in_marketplace_from,d_hz_gold*G1004,0))</f>
        <v/>
      </c>
      <c r="BI1005" s="40">
        <f>BI1004*d_rho_gold+BH1005*IF(B1005&gt;=in_marketplace_from,d_hz_gold*G1005,0)</f>
        <v/>
      </c>
      <c r="BJ1005" s="14">
        <f>F1005*BI1005*in_gold_ticket*in_gold_comm</f>
        <v/>
      </c>
      <c r="BK1005" s="40">
        <f>BK1004*(1-IF(B1004&gt;=in_marketplace_from,d_hz_fd*G1004,0))</f>
        <v/>
      </c>
      <c r="BL1005" s="14">
        <f>F1005*BK1005*IF(B1005&gt;=in_marketplace_from,d_hz_fd*G1005,0)*in_fd_ticket*in_fd_comm</f>
        <v/>
      </c>
      <c r="BM1005" s="40">
        <f>BM1004*(1-IF(B1004&gt;=in_marketplace_from,d_hz_recharge*G1004,0))</f>
        <v/>
      </c>
      <c r="BN1005" s="40">
        <f>BN1004*d_rho_recharge+BM1005*IF(B1005&gt;=in_marketplace_from,d_hz_recharge*G1005,0)</f>
        <v/>
      </c>
      <c r="BO1005" s="14">
        <f>F1005*BN1005*in_recharge_ticket*in_recharge_comm/12</f>
        <v/>
      </c>
      <c r="BP1005" s="40">
        <f>BP1004*(1-IF(B1004&gt;=in_marketplace_from,d_hz_bills*G1004,0))</f>
        <v/>
      </c>
      <c r="BQ1005" s="40">
        <f>BQ1004*d_rho_bills+BP1005*IF(B1005&gt;=in_marketplace_from,d_hz_bills*G1005,0)</f>
        <v/>
      </c>
      <c r="BR1005" s="14">
        <f>F1005*BQ1005*in_bills_ticket*in_bills_comm/12</f>
        <v/>
      </c>
      <c r="BS1005" s="40">
        <f>BS1004*(1-IF(B1004&gt;=in_marketplace_from,d_hz_loan_gold*G1004,0))</f>
        <v/>
      </c>
      <c r="BT1005" s="14">
        <f>F1005*BS1005*IF(B1005&gt;=in_marketplace_from,d_hz_loan_gold*G1005,0)*in_loan_gold_ticket*in_loan_gold_comm</f>
        <v/>
      </c>
      <c r="BU1005" s="40">
        <f>BU1004*(1-IF(B1004&gt;=in_marketplace_from,d_hz_loan_cd*G1004,0))</f>
        <v/>
      </c>
      <c r="BV1005" s="14">
        <f>F1005*BU1005*IF(B1005&gt;=in_marketplace_from,d_hz_loan_cd*G1005,0)*in_loan_cd_ticket*in_loan_cd_comm</f>
        <v/>
      </c>
      <c r="BW1005" s="40">
        <f>BW1004*(1-IF(B1004&gt;=in_marketplace_from,d_hz_loan_vehicle*G1004,0))</f>
        <v/>
      </c>
      <c r="BX1005" s="14">
        <f>F1005*BW1005*IF(B1005&gt;=in_marketplace_from,d_hz_loan_vehicle*G1005,0)*in_loan_vehicle_ticket*in_loan_vehicle_comm</f>
        <v/>
      </c>
      <c r="BY1005" s="40">
        <f>BY1004*(1-IF(B1004&gt;=in_marketplace_from,d_hz_loan_home*G1004,0)*BZ1004)</f>
        <v/>
      </c>
      <c r="BZ1005" s="11">
        <f>MIN(in_approval_cap,in_loan_home_approval*INDEX('Age profile'!$O$2:$O$61,B1005)*(1+in_approval_growth)^(D1005-1))</f>
        <v/>
      </c>
      <c r="CA1005" s="14">
        <f>F1005*BY1005*IF(B1005&gt;=in_marketplace_from,d_hz_loan_home*G1005,0)*BZ1005*in_loan_home_ticket*in_loan_home_comm</f>
        <v/>
      </c>
      <c r="CB1005" s="40">
        <f>CB1004*(1-IF(B1004&gt;=in_marketplace_from,d_hz_loan_lap*G1004,0)*CC1004)</f>
        <v/>
      </c>
      <c r="CC1005" s="11">
        <f>MIN(in_approval_cap,in_loan_lap_approval*INDEX('Age profile'!$O$2:$O$61,B1005)*(1+in_approval_growth)^(D1005-1))</f>
        <v/>
      </c>
      <c r="CD1005" s="14">
        <f>F1005*CB1005*IF(B1005&gt;=in_marketplace_from,d_hz_loan_lap*G1005,0)*CC1005*in_loan_lap_ticket*in_loan_lap_comm</f>
        <v/>
      </c>
      <c r="CE1005" s="14">
        <f>AA1005+AB1005+AC1005+AD1005+AG1005+AJ1005+AM1005+AP1005+AS1005+AU1005+AX1005+BB1005+BE1005+BG1005+BJ1005+BL1005+BO1005+BR1005+BT1005+BV1005+BX1005+CA1005+CD1005</f>
        <v/>
      </c>
    </row>
    <row r="1006">
      <c r="A1006" s="39" t="n">
        <v>20</v>
      </c>
      <c r="B1006" s="39" t="n">
        <v>36</v>
      </c>
      <c r="C1006" s="39">
        <f>A1006+B1006-1</f>
        <v/>
      </c>
      <c r="D1006" s="39">
        <f>INT((C1006-1)/12)+1</f>
        <v/>
      </c>
      <c r="E1006" s="44">
        <f>INDEX(Monthly!$B$2:$B$61,A1006)</f>
        <v/>
      </c>
      <c r="F1006" s="44">
        <f>E1006*INDEX('Age profile'!$B$2:$B$61,B1006)</f>
        <v/>
      </c>
      <c r="G1006" s="45">
        <f>MIN(in_takeup_cap,INDEX('Age profile'!$N$2:$N$61,B1006)*(1+in_takeup_growth)^(D1006-1))</f>
        <v/>
      </c>
      <c r="H1006" s="11">
        <f>MIN(in_approval_cap,in_approved_first*INDEX('Age profile'!$O$2:$O$61,B1006)*(1+in_approval_growth)^(D1006-1))</f>
        <v/>
      </c>
      <c r="I1006" s="45">
        <f>G1006*MIN(in_takeup_cap,INDEX('Age profile'!$O$2:$O$61,B1006)*(1+in_approval_growth)^(D1006-1))</f>
        <v/>
      </c>
      <c r="J1006" s="40">
        <f>(J1005-L1005)*F1006/F1005</f>
        <v/>
      </c>
      <c r="K1006" s="40">
        <f>(K1005-M1005)*F1006/F1005+SUMIFS(O971:O1005,B971:B1005,B1006-1-d_T)*F1006</f>
        <v/>
      </c>
      <c r="L1006" s="40">
        <f>IF(B1006&gt;=in_marketplace_from,J1006*d_hz*G1006*in_eligible*H1006,0)</f>
        <v/>
      </c>
      <c r="M1006" s="40">
        <f>IF(B1006&gt;=in_marketplace_from,K1006*d_hz*G1006*in_eligible*in_approved_repeat,0)</f>
        <v/>
      </c>
      <c r="N1006" s="40">
        <f>L1006+M1006</f>
        <v/>
      </c>
      <c r="O1006" s="46">
        <f>N1006/F1006</f>
        <v/>
      </c>
      <c r="P1006" s="40">
        <f>F1006-J1006-K1006</f>
        <v/>
      </c>
      <c r="Q1006" s="40">
        <f>IF(B1006&gt;=in_marketplace_from,(J1006+K1006)*d_hz*G1006,0)</f>
        <v/>
      </c>
      <c r="R1006" s="40">
        <f>SUMIFS(N971:N1011,B971:B1011,"&gt;="&amp;(B1006-d_T),B971:B1011,"&lt;="&amp;(B1006-1))</f>
        <v/>
      </c>
      <c r="S1006" s="46">
        <f>(1-d_u)*S1005+IF(d_T&gt;in_topup_lag,SUMIFS(O971:O1011,B971:B1011,B1006-in_topup_lag)-d_udrop*SUMIFS(O971:O1011,B971:B1011,B1006-d_T),0)</f>
        <v/>
      </c>
      <c r="T1006" s="40">
        <f>F1006*d_u*S1006</f>
        <v/>
      </c>
      <c r="U1006" s="9">
        <f>L1006*in_ticket+M1006*d_rep_ticket</f>
        <v/>
      </c>
      <c r="V1006" s="9">
        <f>U1006+T1006*d_topup_amt</f>
        <v/>
      </c>
      <c r="W1006" s="40">
        <f>N1006+T1006*d_topup_ratio</f>
        <v/>
      </c>
      <c r="X1006" s="40">
        <f>SUMIFS(W971:W1011,B971:B1011,B1006-in_dpd_lag)*d_cured</f>
        <v/>
      </c>
      <c r="Y1006" s="40">
        <f>SUMIFS(W971:W1011,B971:B1011,B1006-in_rec_lag)*d_recd</f>
        <v/>
      </c>
      <c r="Z1006" s="40">
        <f>IF(AND(B1006&gt;=in_marketplace_from,B1006&lt;in_marketplace_from+in_card_months),in_card_share/in_card_months*F1006*I1006,IF(AND(B1006&gt;=in_marketplace_from+in_card_months,B1006&lt;in_marketplace_from+2*in_card_months),in_card_share*d_card_rem/in_card_months*F1006*MIN(in_takeup_cap,(1+in_takeup_growth)^(D1006-1))*MIN(in_takeup_cap,(1+in_approval_growth)^(D1006-1)),0))</f>
        <v/>
      </c>
      <c r="AA1006" s="14">
        <f>V1006*in_fee*(1-in_taken_back)</f>
        <v/>
      </c>
      <c r="AB1006" s="14">
        <f>SUMIFS(W971:W1011,B971:B1011,B1006-in_dpd_lag)*d_dpd</f>
        <v/>
      </c>
      <c r="AC1006" s="14">
        <f>SUMIFS(W971:W1011,B971:B1011,B1006-in_rec_lag)*d_rec</f>
        <v/>
      </c>
      <c r="AD1006" s="14">
        <f>Z1006*in_card_fee</f>
        <v/>
      </c>
      <c r="AE1006" s="40">
        <f>AE1005*(1-IF(B1005&gt;=in_marketplace_from,d_hz_hlth_small*G1005,0))</f>
        <v/>
      </c>
      <c r="AF1006" s="46">
        <f>AE1006*IF(B1006&gt;=in_marketplace_from,d_hz_hlth_small*G1006,0)</f>
        <v/>
      </c>
      <c r="AG1006" s="14">
        <f>F1006*AF1006*in_hlth_small_ticket*in_hlth_small_comm*in_ins_partner_share+F1006*in_hlth_small_ticket*in_hlth_small_renew_comm*in_ins_partner_share*(in_hlth_small_renew^1*SUMIFS(AF971:AF1011,B971:B1011,B1006-12)+in_hlth_small_renew^2*SUMIFS(AF971:AF1011,B971:B1011,B1006-24)+in_hlth_small_renew^3*SUMIFS(AF971:AF1011,B971:B1011,B1006-36)+in_hlth_small_renew^4*SUMIFS(AF971:AF1011,B971:B1011,B1006-48))</f>
        <v/>
      </c>
      <c r="AH1006" s="40">
        <f>AH1005*(1-IF(B1005&gt;=in_marketplace_from,d_hz_hlth_family*G1005,0))</f>
        <v/>
      </c>
      <c r="AI1006" s="46">
        <f>AH1006*IF(B1006&gt;=in_marketplace_from,d_hz_hlth_family*G1006,0)</f>
        <v/>
      </c>
      <c r="AJ1006" s="14">
        <f>F1006*AI1006*in_hlth_family_ticket*in_hlth_family_comm*in_ins_partner_share+F1006*in_hlth_family_ticket*in_hlth_family_renew_comm*in_ins_partner_share*(in_hlth_family_renew^1*SUMIFS(AI971:AI1011,B971:B1011,B1006-12)+in_hlth_family_renew^2*SUMIFS(AI971:AI1011,B971:B1011,B1006-24)+in_hlth_family_renew^3*SUMIFS(AI971:AI1011,B971:B1011,B1006-36)+in_hlth_family_renew^4*SUMIFS(AI971:AI1011,B971:B1011,B1006-48))</f>
        <v/>
      </c>
      <c r="AK1006" s="40">
        <f>AK1005*(1-IF(B1005&gt;=in_marketplace_from,d_hz_life_term*G1005,0))</f>
        <v/>
      </c>
      <c r="AL1006" s="46">
        <f>AK1006*IF(B1006&gt;=in_marketplace_from,d_hz_life_term*G1006,0)</f>
        <v/>
      </c>
      <c r="AM1006" s="14">
        <f>F1006*AL1006*in_life_term_ticket*in_life_term_comm*in_ins_partner_share+F1006*in_life_term_ticket*in_life_term_renew_comm*in_ins_partner_share*(in_life_term_renew^1*SUMIFS(AL971:AL1011,B971:B1011,B1006-12)+in_life_term_renew^2*SUMIFS(AL971:AL1011,B971:B1011,B1006-24)+in_life_term_renew^3*SUMIFS(AL971:AL1011,B971:B1011,B1006-36)+in_life_term_renew^4*SUMIFS(AL971:AL1011,B971:B1011,B1006-48))</f>
        <v/>
      </c>
      <c r="AN1006" s="40">
        <f>AN1005*(1-IF(B1005&gt;=in_marketplace_from,d_hz_accident*G1005,0))</f>
        <v/>
      </c>
      <c r="AO1006" s="46">
        <f>AN1006*IF(B1006&gt;=in_marketplace_from,d_hz_accident*G1006,0)</f>
        <v/>
      </c>
      <c r="AP1006" s="14">
        <f>F1006*AO1006*in_accident_ticket*in_accident_comm*in_ins_partner_share+F1006*in_accident_ticket*in_accident_renew_comm*in_ins_partner_share*(in_accident_renew^1*SUMIFS(AO971:AO1011,B971:B1011,B1006-12)+in_accident_renew^2*SUMIFS(AO971:AO1011,B971:B1011,B1006-24)+in_accident_renew^3*SUMIFS(AO971:AO1011,B971:B1011,B1006-36)+in_accident_renew^4*SUMIFS(AO971:AO1011,B971:B1011,B1006-48))</f>
        <v/>
      </c>
      <c r="AQ1006" s="40">
        <f>AQ1005*(1-IF(B1005&gt;=in_marketplace_from,d_hz_two_wheeler*G1005,0))</f>
        <v/>
      </c>
      <c r="AR1006" s="46">
        <f>AQ1006*IF(B1006&gt;=in_marketplace_from,d_hz_two_wheeler*G1006,0)</f>
        <v/>
      </c>
      <c r="AS1006" s="14">
        <f>F1006*AR1006*in_two_wheeler_ticket*in_two_wheeler_comm*in_ins_partner_share+F1006*in_two_wheeler_ticket*in_two_wheeler_comm*in_ins_partner_share*(in_two_wheeler_renew^1*SUMIFS(AR971:AR1011,B971:B1011,B1006-12)+in_two_wheeler_renew^2*SUMIFS(AR971:AR1011,B971:B1011,B1006-24)+in_two_wheeler_renew^3*SUMIFS(AR971:AR1011,B971:B1011,B1006-36)+in_two_wheeler_renew^4*SUMIFS(AR971:AR1011,B971:B1011,B1006-48))</f>
        <v/>
      </c>
      <c r="AT1006" s="40">
        <f>AT1005*(1-IF(B1005&gt;=in_marketplace_from,d_hz_device*G1005,0))</f>
        <v/>
      </c>
      <c r="AU1006" s="14">
        <f>F1006*AT1006*IF(B1006&gt;=in_marketplace_from,d_hz_device*G1006,0)*in_device_ticket*in_device_comm*in_ins_partner_share</f>
        <v/>
      </c>
      <c r="AV1006" s="40">
        <f>AV1005*(1-IF(B1005&gt;=in_marketplace_from,d_hz_shop*G1005,0))</f>
        <v/>
      </c>
      <c r="AW1006" s="46">
        <f>AV1006*IF(B1006&gt;=in_marketplace_from,d_hz_shop*G1006,0)</f>
        <v/>
      </c>
      <c r="AX1006" s="14">
        <f>F1006*AW1006*in_shop_ticket*in_shop_comm*in_ins_partner_share+F1006*in_shop_ticket*in_shop_renew_comm*in_ins_partner_share*(in_shop_renew^1*SUMIFS(AW971:AW1011,B971:B1011,B1006-12)+in_shop_renew^2*SUMIFS(AW971:AW1011,B971:B1011,B1006-24)+in_shop_renew^3*SUMIFS(AW971:AW1011,B971:B1011,B1006-36)+in_shop_renew^4*SUMIFS(AW971:AW1011,B971:B1011,B1006-48))</f>
        <v/>
      </c>
      <c r="AY1006" s="40">
        <f>AY1005*(1-IF(B1005&gt;=in_marketplace_from,d_hz_sip*G1005,0))</f>
        <v/>
      </c>
      <c r="AZ1006" s="40">
        <f>AZ1005*d_rho_sip+AY1006*IF(B1006&gt;=in_marketplace_from,d_hz_sip*G1006,0)</f>
        <v/>
      </c>
      <c r="BA1006" s="40">
        <f>d_rho_sip*(BA1005+AZ1005)</f>
        <v/>
      </c>
      <c r="BB1006" s="14">
        <f>F1006*in_sip_ticket*(BA1006+0.5*AZ1006)*in_sip_comm/12</f>
        <v/>
      </c>
      <c r="BC1006" s="40">
        <f>BC1005*(1-IF(B1005&gt;=in_marketplace_from,d_hz_choti*G1005,0))</f>
        <v/>
      </c>
      <c r="BD1006" s="46">
        <f>BC1006*IF(B1006&gt;=in_marketplace_from,d_hz_choti*G1006,0)</f>
        <v/>
      </c>
      <c r="BE1006" s="14">
        <f>F1006*SUMIFS(BD971:BD1011,B971:B1011,B1006-in_choti_months)*in_choti_renew*in_choti_ticket</f>
        <v/>
      </c>
      <c r="BF1006" s="40">
        <f>BF1005*(1-IF(B1005&gt;=in_marketplace_from,d_hz_nps*G1005,0))</f>
        <v/>
      </c>
      <c r="BG1006" s="14">
        <f>F1006*BF1006*IF(B1006&gt;=in_marketplace_from,d_hz_nps*G1006,0)*in_nps_ticket*in_nps_comm</f>
        <v/>
      </c>
      <c r="BH1006" s="40">
        <f>BH1005*(1-IF(B1005&gt;=in_marketplace_from,d_hz_gold*G1005,0))</f>
        <v/>
      </c>
      <c r="BI1006" s="40">
        <f>BI1005*d_rho_gold+BH1006*IF(B1006&gt;=in_marketplace_from,d_hz_gold*G1006,0)</f>
        <v/>
      </c>
      <c r="BJ1006" s="14">
        <f>F1006*BI1006*in_gold_ticket*in_gold_comm</f>
        <v/>
      </c>
      <c r="BK1006" s="40">
        <f>BK1005*(1-IF(B1005&gt;=in_marketplace_from,d_hz_fd*G1005,0))</f>
        <v/>
      </c>
      <c r="BL1006" s="14">
        <f>F1006*BK1006*IF(B1006&gt;=in_marketplace_from,d_hz_fd*G1006,0)*in_fd_ticket*in_fd_comm</f>
        <v/>
      </c>
      <c r="BM1006" s="40">
        <f>BM1005*(1-IF(B1005&gt;=in_marketplace_from,d_hz_recharge*G1005,0))</f>
        <v/>
      </c>
      <c r="BN1006" s="40">
        <f>BN1005*d_rho_recharge+BM1006*IF(B1006&gt;=in_marketplace_from,d_hz_recharge*G1006,0)</f>
        <v/>
      </c>
      <c r="BO1006" s="14">
        <f>F1006*BN1006*in_recharge_ticket*in_recharge_comm/12</f>
        <v/>
      </c>
      <c r="BP1006" s="40">
        <f>BP1005*(1-IF(B1005&gt;=in_marketplace_from,d_hz_bills*G1005,0))</f>
        <v/>
      </c>
      <c r="BQ1006" s="40">
        <f>BQ1005*d_rho_bills+BP1006*IF(B1006&gt;=in_marketplace_from,d_hz_bills*G1006,0)</f>
        <v/>
      </c>
      <c r="BR1006" s="14">
        <f>F1006*BQ1006*in_bills_ticket*in_bills_comm/12</f>
        <v/>
      </c>
      <c r="BS1006" s="40">
        <f>BS1005*(1-IF(B1005&gt;=in_marketplace_from,d_hz_loan_gold*G1005,0))</f>
        <v/>
      </c>
      <c r="BT1006" s="14">
        <f>F1006*BS1006*IF(B1006&gt;=in_marketplace_from,d_hz_loan_gold*G1006,0)*in_loan_gold_ticket*in_loan_gold_comm</f>
        <v/>
      </c>
      <c r="BU1006" s="40">
        <f>BU1005*(1-IF(B1005&gt;=in_marketplace_from,d_hz_loan_cd*G1005,0))</f>
        <v/>
      </c>
      <c r="BV1006" s="14">
        <f>F1006*BU1006*IF(B1006&gt;=in_marketplace_from,d_hz_loan_cd*G1006,0)*in_loan_cd_ticket*in_loan_cd_comm</f>
        <v/>
      </c>
      <c r="BW1006" s="40">
        <f>BW1005*(1-IF(B1005&gt;=in_marketplace_from,d_hz_loan_vehicle*G1005,0))</f>
        <v/>
      </c>
      <c r="BX1006" s="14">
        <f>F1006*BW1006*IF(B1006&gt;=in_marketplace_from,d_hz_loan_vehicle*G1006,0)*in_loan_vehicle_ticket*in_loan_vehicle_comm</f>
        <v/>
      </c>
      <c r="BY1006" s="40">
        <f>BY1005*(1-IF(B1005&gt;=in_marketplace_from,d_hz_loan_home*G1005,0)*BZ1005)</f>
        <v/>
      </c>
      <c r="BZ1006" s="11">
        <f>MIN(in_approval_cap,in_loan_home_approval*INDEX('Age profile'!$O$2:$O$61,B1006)*(1+in_approval_growth)^(D1006-1))</f>
        <v/>
      </c>
      <c r="CA1006" s="14">
        <f>F1006*BY1006*IF(B1006&gt;=in_marketplace_from,d_hz_loan_home*G1006,0)*BZ1006*in_loan_home_ticket*in_loan_home_comm</f>
        <v/>
      </c>
      <c r="CB1006" s="40">
        <f>CB1005*(1-IF(B1005&gt;=in_marketplace_from,d_hz_loan_lap*G1005,0)*CC1005)</f>
        <v/>
      </c>
      <c r="CC1006" s="11">
        <f>MIN(in_approval_cap,in_loan_lap_approval*INDEX('Age profile'!$O$2:$O$61,B1006)*(1+in_approval_growth)^(D1006-1))</f>
        <v/>
      </c>
      <c r="CD1006" s="14">
        <f>F1006*CB1006*IF(B1006&gt;=in_marketplace_from,d_hz_loan_lap*G1006,0)*CC1006*in_loan_lap_ticket*in_loan_lap_comm</f>
        <v/>
      </c>
      <c r="CE1006" s="14">
        <f>AA1006+AB1006+AC1006+AD1006+AG1006+AJ1006+AM1006+AP1006+AS1006+AU1006+AX1006+BB1006+BE1006+BG1006+BJ1006+BL1006+BO1006+BR1006+BT1006+BV1006+BX1006+CA1006+CD1006</f>
        <v/>
      </c>
    </row>
    <row r="1007">
      <c r="A1007" s="39" t="n">
        <v>20</v>
      </c>
      <c r="B1007" s="39" t="n">
        <v>37</v>
      </c>
      <c r="C1007" s="39">
        <f>A1007+B1007-1</f>
        <v/>
      </c>
      <c r="D1007" s="39">
        <f>INT((C1007-1)/12)+1</f>
        <v/>
      </c>
      <c r="E1007" s="44">
        <f>INDEX(Monthly!$B$2:$B$61,A1007)</f>
        <v/>
      </c>
      <c r="F1007" s="44">
        <f>E1007*INDEX('Age profile'!$B$2:$B$61,B1007)</f>
        <v/>
      </c>
      <c r="G1007" s="45">
        <f>MIN(in_takeup_cap,INDEX('Age profile'!$N$2:$N$61,B1007)*(1+in_takeup_growth)^(D1007-1))</f>
        <v/>
      </c>
      <c r="H1007" s="11">
        <f>MIN(in_approval_cap,in_approved_first*INDEX('Age profile'!$O$2:$O$61,B1007)*(1+in_approval_growth)^(D1007-1))</f>
        <v/>
      </c>
      <c r="I1007" s="45">
        <f>G1007*MIN(in_takeup_cap,INDEX('Age profile'!$O$2:$O$61,B1007)*(1+in_approval_growth)^(D1007-1))</f>
        <v/>
      </c>
      <c r="J1007" s="40">
        <f>(J1006-L1006)*F1007/F1006</f>
        <v/>
      </c>
      <c r="K1007" s="40">
        <f>(K1006-M1006)*F1007/F1006+SUMIFS(O971:O1006,B971:B1006,B1007-1-d_T)*F1007</f>
        <v/>
      </c>
      <c r="L1007" s="40">
        <f>IF(B1007&gt;=in_marketplace_from,J1007*d_hz*G1007*in_eligible*H1007,0)</f>
        <v/>
      </c>
      <c r="M1007" s="40">
        <f>IF(B1007&gt;=in_marketplace_from,K1007*d_hz*G1007*in_eligible*in_approved_repeat,0)</f>
        <v/>
      </c>
      <c r="N1007" s="40">
        <f>L1007+M1007</f>
        <v/>
      </c>
      <c r="O1007" s="46">
        <f>N1007/F1007</f>
        <v/>
      </c>
      <c r="P1007" s="40">
        <f>F1007-J1007-K1007</f>
        <v/>
      </c>
      <c r="Q1007" s="40">
        <f>IF(B1007&gt;=in_marketplace_from,(J1007+K1007)*d_hz*G1007,0)</f>
        <v/>
      </c>
      <c r="R1007" s="40">
        <f>SUMIFS(N971:N1011,B971:B1011,"&gt;="&amp;(B1007-d_T),B971:B1011,"&lt;="&amp;(B1007-1))</f>
        <v/>
      </c>
      <c r="S1007" s="46">
        <f>(1-d_u)*S1006+IF(d_T&gt;in_topup_lag,SUMIFS(O971:O1011,B971:B1011,B1007-in_topup_lag)-d_udrop*SUMIFS(O971:O1011,B971:B1011,B1007-d_T),0)</f>
        <v/>
      </c>
      <c r="T1007" s="40">
        <f>F1007*d_u*S1007</f>
        <v/>
      </c>
      <c r="U1007" s="9">
        <f>L1007*in_ticket+M1007*d_rep_ticket</f>
        <v/>
      </c>
      <c r="V1007" s="9">
        <f>U1007+T1007*d_topup_amt</f>
        <v/>
      </c>
      <c r="W1007" s="40">
        <f>N1007+T1007*d_topup_ratio</f>
        <v/>
      </c>
      <c r="X1007" s="40">
        <f>SUMIFS(W971:W1011,B971:B1011,B1007-in_dpd_lag)*d_cured</f>
        <v/>
      </c>
      <c r="Y1007" s="40">
        <f>SUMIFS(W971:W1011,B971:B1011,B1007-in_rec_lag)*d_recd</f>
        <v/>
      </c>
      <c r="Z1007" s="40">
        <f>IF(AND(B1007&gt;=in_marketplace_from,B1007&lt;in_marketplace_from+in_card_months),in_card_share/in_card_months*F1007*I1007,IF(AND(B1007&gt;=in_marketplace_from+in_card_months,B1007&lt;in_marketplace_from+2*in_card_months),in_card_share*d_card_rem/in_card_months*F1007*MIN(in_takeup_cap,(1+in_takeup_growth)^(D1007-1))*MIN(in_takeup_cap,(1+in_approval_growth)^(D1007-1)),0))</f>
        <v/>
      </c>
      <c r="AA1007" s="14">
        <f>V1007*in_fee*(1-in_taken_back)</f>
        <v/>
      </c>
      <c r="AB1007" s="14">
        <f>SUMIFS(W971:W1011,B971:B1011,B1007-in_dpd_lag)*d_dpd</f>
        <v/>
      </c>
      <c r="AC1007" s="14">
        <f>SUMIFS(W971:W1011,B971:B1011,B1007-in_rec_lag)*d_rec</f>
        <v/>
      </c>
      <c r="AD1007" s="14">
        <f>Z1007*in_card_fee</f>
        <v/>
      </c>
      <c r="AE1007" s="40">
        <f>AE1006*(1-IF(B1006&gt;=in_marketplace_from,d_hz_hlth_small*G1006,0))</f>
        <v/>
      </c>
      <c r="AF1007" s="46">
        <f>AE1007*IF(B1007&gt;=in_marketplace_from,d_hz_hlth_small*G1007,0)</f>
        <v/>
      </c>
      <c r="AG1007" s="14">
        <f>F1007*AF1007*in_hlth_small_ticket*in_hlth_small_comm*in_ins_partner_share+F1007*in_hlth_small_ticket*in_hlth_small_renew_comm*in_ins_partner_share*(in_hlth_small_renew^1*SUMIFS(AF971:AF1011,B971:B1011,B1007-12)+in_hlth_small_renew^2*SUMIFS(AF971:AF1011,B971:B1011,B1007-24)+in_hlth_small_renew^3*SUMIFS(AF971:AF1011,B971:B1011,B1007-36)+in_hlth_small_renew^4*SUMIFS(AF971:AF1011,B971:B1011,B1007-48))</f>
        <v/>
      </c>
      <c r="AH1007" s="40">
        <f>AH1006*(1-IF(B1006&gt;=in_marketplace_from,d_hz_hlth_family*G1006,0))</f>
        <v/>
      </c>
      <c r="AI1007" s="46">
        <f>AH1007*IF(B1007&gt;=in_marketplace_from,d_hz_hlth_family*G1007,0)</f>
        <v/>
      </c>
      <c r="AJ1007" s="14">
        <f>F1007*AI1007*in_hlth_family_ticket*in_hlth_family_comm*in_ins_partner_share+F1007*in_hlth_family_ticket*in_hlth_family_renew_comm*in_ins_partner_share*(in_hlth_family_renew^1*SUMIFS(AI971:AI1011,B971:B1011,B1007-12)+in_hlth_family_renew^2*SUMIFS(AI971:AI1011,B971:B1011,B1007-24)+in_hlth_family_renew^3*SUMIFS(AI971:AI1011,B971:B1011,B1007-36)+in_hlth_family_renew^4*SUMIFS(AI971:AI1011,B971:B1011,B1007-48))</f>
        <v/>
      </c>
      <c r="AK1007" s="40">
        <f>AK1006*(1-IF(B1006&gt;=in_marketplace_from,d_hz_life_term*G1006,0))</f>
        <v/>
      </c>
      <c r="AL1007" s="46">
        <f>AK1007*IF(B1007&gt;=in_marketplace_from,d_hz_life_term*G1007,0)</f>
        <v/>
      </c>
      <c r="AM1007" s="14">
        <f>F1007*AL1007*in_life_term_ticket*in_life_term_comm*in_ins_partner_share+F1007*in_life_term_ticket*in_life_term_renew_comm*in_ins_partner_share*(in_life_term_renew^1*SUMIFS(AL971:AL1011,B971:B1011,B1007-12)+in_life_term_renew^2*SUMIFS(AL971:AL1011,B971:B1011,B1007-24)+in_life_term_renew^3*SUMIFS(AL971:AL1011,B971:B1011,B1007-36)+in_life_term_renew^4*SUMIFS(AL971:AL1011,B971:B1011,B1007-48))</f>
        <v/>
      </c>
      <c r="AN1007" s="40">
        <f>AN1006*(1-IF(B1006&gt;=in_marketplace_from,d_hz_accident*G1006,0))</f>
        <v/>
      </c>
      <c r="AO1007" s="46">
        <f>AN1007*IF(B1007&gt;=in_marketplace_from,d_hz_accident*G1007,0)</f>
        <v/>
      </c>
      <c r="AP1007" s="14">
        <f>F1007*AO1007*in_accident_ticket*in_accident_comm*in_ins_partner_share+F1007*in_accident_ticket*in_accident_renew_comm*in_ins_partner_share*(in_accident_renew^1*SUMIFS(AO971:AO1011,B971:B1011,B1007-12)+in_accident_renew^2*SUMIFS(AO971:AO1011,B971:B1011,B1007-24)+in_accident_renew^3*SUMIFS(AO971:AO1011,B971:B1011,B1007-36)+in_accident_renew^4*SUMIFS(AO971:AO1011,B971:B1011,B1007-48))</f>
        <v/>
      </c>
      <c r="AQ1007" s="40">
        <f>AQ1006*(1-IF(B1006&gt;=in_marketplace_from,d_hz_two_wheeler*G1006,0))</f>
        <v/>
      </c>
      <c r="AR1007" s="46">
        <f>AQ1007*IF(B1007&gt;=in_marketplace_from,d_hz_two_wheeler*G1007,0)</f>
        <v/>
      </c>
      <c r="AS1007" s="14">
        <f>F1007*AR1007*in_two_wheeler_ticket*in_two_wheeler_comm*in_ins_partner_share+F1007*in_two_wheeler_ticket*in_two_wheeler_comm*in_ins_partner_share*(in_two_wheeler_renew^1*SUMIFS(AR971:AR1011,B971:B1011,B1007-12)+in_two_wheeler_renew^2*SUMIFS(AR971:AR1011,B971:B1011,B1007-24)+in_two_wheeler_renew^3*SUMIFS(AR971:AR1011,B971:B1011,B1007-36)+in_two_wheeler_renew^4*SUMIFS(AR971:AR1011,B971:B1011,B1007-48))</f>
        <v/>
      </c>
      <c r="AT1007" s="40">
        <f>AT1006*(1-IF(B1006&gt;=in_marketplace_from,d_hz_device*G1006,0))</f>
        <v/>
      </c>
      <c r="AU1007" s="14">
        <f>F1007*AT1007*IF(B1007&gt;=in_marketplace_from,d_hz_device*G1007,0)*in_device_ticket*in_device_comm*in_ins_partner_share</f>
        <v/>
      </c>
      <c r="AV1007" s="40">
        <f>AV1006*(1-IF(B1006&gt;=in_marketplace_from,d_hz_shop*G1006,0))</f>
        <v/>
      </c>
      <c r="AW1007" s="46">
        <f>AV1007*IF(B1007&gt;=in_marketplace_from,d_hz_shop*G1007,0)</f>
        <v/>
      </c>
      <c r="AX1007" s="14">
        <f>F1007*AW1007*in_shop_ticket*in_shop_comm*in_ins_partner_share+F1007*in_shop_ticket*in_shop_renew_comm*in_ins_partner_share*(in_shop_renew^1*SUMIFS(AW971:AW1011,B971:B1011,B1007-12)+in_shop_renew^2*SUMIFS(AW971:AW1011,B971:B1011,B1007-24)+in_shop_renew^3*SUMIFS(AW971:AW1011,B971:B1011,B1007-36)+in_shop_renew^4*SUMIFS(AW971:AW1011,B971:B1011,B1007-48))</f>
        <v/>
      </c>
      <c r="AY1007" s="40">
        <f>AY1006*(1-IF(B1006&gt;=in_marketplace_from,d_hz_sip*G1006,0))</f>
        <v/>
      </c>
      <c r="AZ1007" s="40">
        <f>AZ1006*d_rho_sip+AY1007*IF(B1007&gt;=in_marketplace_from,d_hz_sip*G1007,0)</f>
        <v/>
      </c>
      <c r="BA1007" s="40">
        <f>d_rho_sip*(BA1006+AZ1006)</f>
        <v/>
      </c>
      <c r="BB1007" s="14">
        <f>F1007*in_sip_ticket*(BA1007+0.5*AZ1007)*in_sip_comm/12</f>
        <v/>
      </c>
      <c r="BC1007" s="40">
        <f>BC1006*(1-IF(B1006&gt;=in_marketplace_from,d_hz_choti*G1006,0))</f>
        <v/>
      </c>
      <c r="BD1007" s="46">
        <f>BC1007*IF(B1007&gt;=in_marketplace_from,d_hz_choti*G1007,0)</f>
        <v/>
      </c>
      <c r="BE1007" s="14">
        <f>F1007*SUMIFS(BD971:BD1011,B971:B1011,B1007-in_choti_months)*in_choti_renew*in_choti_ticket</f>
        <v/>
      </c>
      <c r="BF1007" s="40">
        <f>BF1006*(1-IF(B1006&gt;=in_marketplace_from,d_hz_nps*G1006,0))</f>
        <v/>
      </c>
      <c r="BG1007" s="14">
        <f>F1007*BF1007*IF(B1007&gt;=in_marketplace_from,d_hz_nps*G1007,0)*in_nps_ticket*in_nps_comm</f>
        <v/>
      </c>
      <c r="BH1007" s="40">
        <f>BH1006*(1-IF(B1006&gt;=in_marketplace_from,d_hz_gold*G1006,0))</f>
        <v/>
      </c>
      <c r="BI1007" s="40">
        <f>BI1006*d_rho_gold+BH1007*IF(B1007&gt;=in_marketplace_from,d_hz_gold*G1007,0)</f>
        <v/>
      </c>
      <c r="BJ1007" s="14">
        <f>F1007*BI1007*in_gold_ticket*in_gold_comm</f>
        <v/>
      </c>
      <c r="BK1007" s="40">
        <f>BK1006*(1-IF(B1006&gt;=in_marketplace_from,d_hz_fd*G1006,0))</f>
        <v/>
      </c>
      <c r="BL1007" s="14">
        <f>F1007*BK1007*IF(B1007&gt;=in_marketplace_from,d_hz_fd*G1007,0)*in_fd_ticket*in_fd_comm</f>
        <v/>
      </c>
      <c r="BM1007" s="40">
        <f>BM1006*(1-IF(B1006&gt;=in_marketplace_from,d_hz_recharge*G1006,0))</f>
        <v/>
      </c>
      <c r="BN1007" s="40">
        <f>BN1006*d_rho_recharge+BM1007*IF(B1007&gt;=in_marketplace_from,d_hz_recharge*G1007,0)</f>
        <v/>
      </c>
      <c r="BO1007" s="14">
        <f>F1007*BN1007*in_recharge_ticket*in_recharge_comm/12</f>
        <v/>
      </c>
      <c r="BP1007" s="40">
        <f>BP1006*(1-IF(B1006&gt;=in_marketplace_from,d_hz_bills*G1006,0))</f>
        <v/>
      </c>
      <c r="BQ1007" s="40">
        <f>BQ1006*d_rho_bills+BP1007*IF(B1007&gt;=in_marketplace_from,d_hz_bills*G1007,0)</f>
        <v/>
      </c>
      <c r="BR1007" s="14">
        <f>F1007*BQ1007*in_bills_ticket*in_bills_comm/12</f>
        <v/>
      </c>
      <c r="BS1007" s="40">
        <f>BS1006*(1-IF(B1006&gt;=in_marketplace_from,d_hz_loan_gold*G1006,0))</f>
        <v/>
      </c>
      <c r="BT1007" s="14">
        <f>F1007*BS1007*IF(B1007&gt;=in_marketplace_from,d_hz_loan_gold*G1007,0)*in_loan_gold_ticket*in_loan_gold_comm</f>
        <v/>
      </c>
      <c r="BU1007" s="40">
        <f>BU1006*(1-IF(B1006&gt;=in_marketplace_from,d_hz_loan_cd*G1006,0))</f>
        <v/>
      </c>
      <c r="BV1007" s="14">
        <f>F1007*BU1007*IF(B1007&gt;=in_marketplace_from,d_hz_loan_cd*G1007,0)*in_loan_cd_ticket*in_loan_cd_comm</f>
        <v/>
      </c>
      <c r="BW1007" s="40">
        <f>BW1006*(1-IF(B1006&gt;=in_marketplace_from,d_hz_loan_vehicle*G1006,0))</f>
        <v/>
      </c>
      <c r="BX1007" s="14">
        <f>F1007*BW1007*IF(B1007&gt;=in_marketplace_from,d_hz_loan_vehicle*G1007,0)*in_loan_vehicle_ticket*in_loan_vehicle_comm</f>
        <v/>
      </c>
      <c r="BY1007" s="40">
        <f>BY1006*(1-IF(B1006&gt;=in_marketplace_from,d_hz_loan_home*G1006,0)*BZ1006)</f>
        <v/>
      </c>
      <c r="BZ1007" s="11">
        <f>MIN(in_approval_cap,in_loan_home_approval*INDEX('Age profile'!$O$2:$O$61,B1007)*(1+in_approval_growth)^(D1007-1))</f>
        <v/>
      </c>
      <c r="CA1007" s="14">
        <f>F1007*BY1007*IF(B1007&gt;=in_marketplace_from,d_hz_loan_home*G1007,0)*BZ1007*in_loan_home_ticket*in_loan_home_comm</f>
        <v/>
      </c>
      <c r="CB1007" s="40">
        <f>CB1006*(1-IF(B1006&gt;=in_marketplace_from,d_hz_loan_lap*G1006,0)*CC1006)</f>
        <v/>
      </c>
      <c r="CC1007" s="11">
        <f>MIN(in_approval_cap,in_loan_lap_approval*INDEX('Age profile'!$O$2:$O$61,B1007)*(1+in_approval_growth)^(D1007-1))</f>
        <v/>
      </c>
      <c r="CD1007" s="14">
        <f>F1007*CB1007*IF(B1007&gt;=in_marketplace_from,d_hz_loan_lap*G1007,0)*CC1007*in_loan_lap_ticket*in_loan_lap_comm</f>
        <v/>
      </c>
      <c r="CE1007" s="14">
        <f>AA1007+AB1007+AC1007+AD1007+AG1007+AJ1007+AM1007+AP1007+AS1007+AU1007+AX1007+BB1007+BE1007+BG1007+BJ1007+BL1007+BO1007+BR1007+BT1007+BV1007+BX1007+CA1007+CD1007</f>
        <v/>
      </c>
    </row>
    <row r="1008">
      <c r="A1008" s="39" t="n">
        <v>20</v>
      </c>
      <c r="B1008" s="39" t="n">
        <v>38</v>
      </c>
      <c r="C1008" s="39">
        <f>A1008+B1008-1</f>
        <v/>
      </c>
      <c r="D1008" s="39">
        <f>INT((C1008-1)/12)+1</f>
        <v/>
      </c>
      <c r="E1008" s="44">
        <f>INDEX(Monthly!$B$2:$B$61,A1008)</f>
        <v/>
      </c>
      <c r="F1008" s="44">
        <f>E1008*INDEX('Age profile'!$B$2:$B$61,B1008)</f>
        <v/>
      </c>
      <c r="G1008" s="45">
        <f>MIN(in_takeup_cap,INDEX('Age profile'!$N$2:$N$61,B1008)*(1+in_takeup_growth)^(D1008-1))</f>
        <v/>
      </c>
      <c r="H1008" s="11">
        <f>MIN(in_approval_cap,in_approved_first*INDEX('Age profile'!$O$2:$O$61,B1008)*(1+in_approval_growth)^(D1008-1))</f>
        <v/>
      </c>
      <c r="I1008" s="45">
        <f>G1008*MIN(in_takeup_cap,INDEX('Age profile'!$O$2:$O$61,B1008)*(1+in_approval_growth)^(D1008-1))</f>
        <v/>
      </c>
      <c r="J1008" s="40">
        <f>(J1007-L1007)*F1008/F1007</f>
        <v/>
      </c>
      <c r="K1008" s="40">
        <f>(K1007-M1007)*F1008/F1007+SUMIFS(O971:O1007,B971:B1007,B1008-1-d_T)*F1008</f>
        <v/>
      </c>
      <c r="L1008" s="40">
        <f>IF(B1008&gt;=in_marketplace_from,J1008*d_hz*G1008*in_eligible*H1008,0)</f>
        <v/>
      </c>
      <c r="M1008" s="40">
        <f>IF(B1008&gt;=in_marketplace_from,K1008*d_hz*G1008*in_eligible*in_approved_repeat,0)</f>
        <v/>
      </c>
      <c r="N1008" s="40">
        <f>L1008+M1008</f>
        <v/>
      </c>
      <c r="O1008" s="46">
        <f>N1008/F1008</f>
        <v/>
      </c>
      <c r="P1008" s="40">
        <f>F1008-J1008-K1008</f>
        <v/>
      </c>
      <c r="Q1008" s="40">
        <f>IF(B1008&gt;=in_marketplace_from,(J1008+K1008)*d_hz*G1008,0)</f>
        <v/>
      </c>
      <c r="R1008" s="40">
        <f>SUMIFS(N971:N1011,B971:B1011,"&gt;="&amp;(B1008-d_T),B971:B1011,"&lt;="&amp;(B1008-1))</f>
        <v/>
      </c>
      <c r="S1008" s="46">
        <f>(1-d_u)*S1007+IF(d_T&gt;in_topup_lag,SUMIFS(O971:O1011,B971:B1011,B1008-in_topup_lag)-d_udrop*SUMIFS(O971:O1011,B971:B1011,B1008-d_T),0)</f>
        <v/>
      </c>
      <c r="T1008" s="40">
        <f>F1008*d_u*S1008</f>
        <v/>
      </c>
      <c r="U1008" s="9">
        <f>L1008*in_ticket+M1008*d_rep_ticket</f>
        <v/>
      </c>
      <c r="V1008" s="9">
        <f>U1008+T1008*d_topup_amt</f>
        <v/>
      </c>
      <c r="W1008" s="40">
        <f>N1008+T1008*d_topup_ratio</f>
        <v/>
      </c>
      <c r="X1008" s="40">
        <f>SUMIFS(W971:W1011,B971:B1011,B1008-in_dpd_lag)*d_cured</f>
        <v/>
      </c>
      <c r="Y1008" s="40">
        <f>SUMIFS(W971:W1011,B971:B1011,B1008-in_rec_lag)*d_recd</f>
        <v/>
      </c>
      <c r="Z1008" s="40">
        <f>IF(AND(B1008&gt;=in_marketplace_from,B1008&lt;in_marketplace_from+in_card_months),in_card_share/in_card_months*F1008*I1008,IF(AND(B1008&gt;=in_marketplace_from+in_card_months,B1008&lt;in_marketplace_from+2*in_card_months),in_card_share*d_card_rem/in_card_months*F1008*MIN(in_takeup_cap,(1+in_takeup_growth)^(D1008-1))*MIN(in_takeup_cap,(1+in_approval_growth)^(D1008-1)),0))</f>
        <v/>
      </c>
      <c r="AA1008" s="14">
        <f>V1008*in_fee*(1-in_taken_back)</f>
        <v/>
      </c>
      <c r="AB1008" s="14">
        <f>SUMIFS(W971:W1011,B971:B1011,B1008-in_dpd_lag)*d_dpd</f>
        <v/>
      </c>
      <c r="AC1008" s="14">
        <f>SUMIFS(W971:W1011,B971:B1011,B1008-in_rec_lag)*d_rec</f>
        <v/>
      </c>
      <c r="AD1008" s="14">
        <f>Z1008*in_card_fee</f>
        <v/>
      </c>
      <c r="AE1008" s="40">
        <f>AE1007*(1-IF(B1007&gt;=in_marketplace_from,d_hz_hlth_small*G1007,0))</f>
        <v/>
      </c>
      <c r="AF1008" s="46">
        <f>AE1008*IF(B1008&gt;=in_marketplace_from,d_hz_hlth_small*G1008,0)</f>
        <v/>
      </c>
      <c r="AG1008" s="14">
        <f>F1008*AF1008*in_hlth_small_ticket*in_hlth_small_comm*in_ins_partner_share+F1008*in_hlth_small_ticket*in_hlth_small_renew_comm*in_ins_partner_share*(in_hlth_small_renew^1*SUMIFS(AF971:AF1011,B971:B1011,B1008-12)+in_hlth_small_renew^2*SUMIFS(AF971:AF1011,B971:B1011,B1008-24)+in_hlth_small_renew^3*SUMIFS(AF971:AF1011,B971:B1011,B1008-36)+in_hlth_small_renew^4*SUMIFS(AF971:AF1011,B971:B1011,B1008-48))</f>
        <v/>
      </c>
      <c r="AH1008" s="40">
        <f>AH1007*(1-IF(B1007&gt;=in_marketplace_from,d_hz_hlth_family*G1007,0))</f>
        <v/>
      </c>
      <c r="AI1008" s="46">
        <f>AH1008*IF(B1008&gt;=in_marketplace_from,d_hz_hlth_family*G1008,0)</f>
        <v/>
      </c>
      <c r="AJ1008" s="14">
        <f>F1008*AI1008*in_hlth_family_ticket*in_hlth_family_comm*in_ins_partner_share+F1008*in_hlth_family_ticket*in_hlth_family_renew_comm*in_ins_partner_share*(in_hlth_family_renew^1*SUMIFS(AI971:AI1011,B971:B1011,B1008-12)+in_hlth_family_renew^2*SUMIFS(AI971:AI1011,B971:B1011,B1008-24)+in_hlth_family_renew^3*SUMIFS(AI971:AI1011,B971:B1011,B1008-36)+in_hlth_family_renew^4*SUMIFS(AI971:AI1011,B971:B1011,B1008-48))</f>
        <v/>
      </c>
      <c r="AK1008" s="40">
        <f>AK1007*(1-IF(B1007&gt;=in_marketplace_from,d_hz_life_term*G1007,0))</f>
        <v/>
      </c>
      <c r="AL1008" s="46">
        <f>AK1008*IF(B1008&gt;=in_marketplace_from,d_hz_life_term*G1008,0)</f>
        <v/>
      </c>
      <c r="AM1008" s="14">
        <f>F1008*AL1008*in_life_term_ticket*in_life_term_comm*in_ins_partner_share+F1008*in_life_term_ticket*in_life_term_renew_comm*in_ins_partner_share*(in_life_term_renew^1*SUMIFS(AL971:AL1011,B971:B1011,B1008-12)+in_life_term_renew^2*SUMIFS(AL971:AL1011,B971:B1011,B1008-24)+in_life_term_renew^3*SUMIFS(AL971:AL1011,B971:B1011,B1008-36)+in_life_term_renew^4*SUMIFS(AL971:AL1011,B971:B1011,B1008-48))</f>
        <v/>
      </c>
      <c r="AN1008" s="40">
        <f>AN1007*(1-IF(B1007&gt;=in_marketplace_from,d_hz_accident*G1007,0))</f>
        <v/>
      </c>
      <c r="AO1008" s="46">
        <f>AN1008*IF(B1008&gt;=in_marketplace_from,d_hz_accident*G1008,0)</f>
        <v/>
      </c>
      <c r="AP1008" s="14">
        <f>F1008*AO1008*in_accident_ticket*in_accident_comm*in_ins_partner_share+F1008*in_accident_ticket*in_accident_renew_comm*in_ins_partner_share*(in_accident_renew^1*SUMIFS(AO971:AO1011,B971:B1011,B1008-12)+in_accident_renew^2*SUMIFS(AO971:AO1011,B971:B1011,B1008-24)+in_accident_renew^3*SUMIFS(AO971:AO1011,B971:B1011,B1008-36)+in_accident_renew^4*SUMIFS(AO971:AO1011,B971:B1011,B1008-48))</f>
        <v/>
      </c>
      <c r="AQ1008" s="40">
        <f>AQ1007*(1-IF(B1007&gt;=in_marketplace_from,d_hz_two_wheeler*G1007,0))</f>
        <v/>
      </c>
      <c r="AR1008" s="46">
        <f>AQ1008*IF(B1008&gt;=in_marketplace_from,d_hz_two_wheeler*G1008,0)</f>
        <v/>
      </c>
      <c r="AS1008" s="14">
        <f>F1008*AR1008*in_two_wheeler_ticket*in_two_wheeler_comm*in_ins_partner_share+F1008*in_two_wheeler_ticket*in_two_wheeler_comm*in_ins_partner_share*(in_two_wheeler_renew^1*SUMIFS(AR971:AR1011,B971:B1011,B1008-12)+in_two_wheeler_renew^2*SUMIFS(AR971:AR1011,B971:B1011,B1008-24)+in_two_wheeler_renew^3*SUMIFS(AR971:AR1011,B971:B1011,B1008-36)+in_two_wheeler_renew^4*SUMIFS(AR971:AR1011,B971:B1011,B1008-48))</f>
        <v/>
      </c>
      <c r="AT1008" s="40">
        <f>AT1007*(1-IF(B1007&gt;=in_marketplace_from,d_hz_device*G1007,0))</f>
        <v/>
      </c>
      <c r="AU1008" s="14">
        <f>F1008*AT1008*IF(B1008&gt;=in_marketplace_from,d_hz_device*G1008,0)*in_device_ticket*in_device_comm*in_ins_partner_share</f>
        <v/>
      </c>
      <c r="AV1008" s="40">
        <f>AV1007*(1-IF(B1007&gt;=in_marketplace_from,d_hz_shop*G1007,0))</f>
        <v/>
      </c>
      <c r="AW1008" s="46">
        <f>AV1008*IF(B1008&gt;=in_marketplace_from,d_hz_shop*G1008,0)</f>
        <v/>
      </c>
      <c r="AX1008" s="14">
        <f>F1008*AW1008*in_shop_ticket*in_shop_comm*in_ins_partner_share+F1008*in_shop_ticket*in_shop_renew_comm*in_ins_partner_share*(in_shop_renew^1*SUMIFS(AW971:AW1011,B971:B1011,B1008-12)+in_shop_renew^2*SUMIFS(AW971:AW1011,B971:B1011,B1008-24)+in_shop_renew^3*SUMIFS(AW971:AW1011,B971:B1011,B1008-36)+in_shop_renew^4*SUMIFS(AW971:AW1011,B971:B1011,B1008-48))</f>
        <v/>
      </c>
      <c r="AY1008" s="40">
        <f>AY1007*(1-IF(B1007&gt;=in_marketplace_from,d_hz_sip*G1007,0))</f>
        <v/>
      </c>
      <c r="AZ1008" s="40">
        <f>AZ1007*d_rho_sip+AY1008*IF(B1008&gt;=in_marketplace_from,d_hz_sip*G1008,0)</f>
        <v/>
      </c>
      <c r="BA1008" s="40">
        <f>d_rho_sip*(BA1007+AZ1007)</f>
        <v/>
      </c>
      <c r="BB1008" s="14">
        <f>F1008*in_sip_ticket*(BA1008+0.5*AZ1008)*in_sip_comm/12</f>
        <v/>
      </c>
      <c r="BC1008" s="40">
        <f>BC1007*(1-IF(B1007&gt;=in_marketplace_from,d_hz_choti*G1007,0))</f>
        <v/>
      </c>
      <c r="BD1008" s="46">
        <f>BC1008*IF(B1008&gt;=in_marketplace_from,d_hz_choti*G1008,0)</f>
        <v/>
      </c>
      <c r="BE1008" s="14">
        <f>F1008*SUMIFS(BD971:BD1011,B971:B1011,B1008-in_choti_months)*in_choti_renew*in_choti_ticket</f>
        <v/>
      </c>
      <c r="BF1008" s="40">
        <f>BF1007*(1-IF(B1007&gt;=in_marketplace_from,d_hz_nps*G1007,0))</f>
        <v/>
      </c>
      <c r="BG1008" s="14">
        <f>F1008*BF1008*IF(B1008&gt;=in_marketplace_from,d_hz_nps*G1008,0)*in_nps_ticket*in_nps_comm</f>
        <v/>
      </c>
      <c r="BH1008" s="40">
        <f>BH1007*(1-IF(B1007&gt;=in_marketplace_from,d_hz_gold*G1007,0))</f>
        <v/>
      </c>
      <c r="BI1008" s="40">
        <f>BI1007*d_rho_gold+BH1008*IF(B1008&gt;=in_marketplace_from,d_hz_gold*G1008,0)</f>
        <v/>
      </c>
      <c r="BJ1008" s="14">
        <f>F1008*BI1008*in_gold_ticket*in_gold_comm</f>
        <v/>
      </c>
      <c r="BK1008" s="40">
        <f>BK1007*(1-IF(B1007&gt;=in_marketplace_from,d_hz_fd*G1007,0))</f>
        <v/>
      </c>
      <c r="BL1008" s="14">
        <f>F1008*BK1008*IF(B1008&gt;=in_marketplace_from,d_hz_fd*G1008,0)*in_fd_ticket*in_fd_comm</f>
        <v/>
      </c>
      <c r="BM1008" s="40">
        <f>BM1007*(1-IF(B1007&gt;=in_marketplace_from,d_hz_recharge*G1007,0))</f>
        <v/>
      </c>
      <c r="BN1008" s="40">
        <f>BN1007*d_rho_recharge+BM1008*IF(B1008&gt;=in_marketplace_from,d_hz_recharge*G1008,0)</f>
        <v/>
      </c>
      <c r="BO1008" s="14">
        <f>F1008*BN1008*in_recharge_ticket*in_recharge_comm/12</f>
        <v/>
      </c>
      <c r="BP1008" s="40">
        <f>BP1007*(1-IF(B1007&gt;=in_marketplace_from,d_hz_bills*G1007,0))</f>
        <v/>
      </c>
      <c r="BQ1008" s="40">
        <f>BQ1007*d_rho_bills+BP1008*IF(B1008&gt;=in_marketplace_from,d_hz_bills*G1008,0)</f>
        <v/>
      </c>
      <c r="BR1008" s="14">
        <f>F1008*BQ1008*in_bills_ticket*in_bills_comm/12</f>
        <v/>
      </c>
      <c r="BS1008" s="40">
        <f>BS1007*(1-IF(B1007&gt;=in_marketplace_from,d_hz_loan_gold*G1007,0))</f>
        <v/>
      </c>
      <c r="BT1008" s="14">
        <f>F1008*BS1008*IF(B1008&gt;=in_marketplace_from,d_hz_loan_gold*G1008,0)*in_loan_gold_ticket*in_loan_gold_comm</f>
        <v/>
      </c>
      <c r="BU1008" s="40">
        <f>BU1007*(1-IF(B1007&gt;=in_marketplace_from,d_hz_loan_cd*G1007,0))</f>
        <v/>
      </c>
      <c r="BV1008" s="14">
        <f>F1008*BU1008*IF(B1008&gt;=in_marketplace_from,d_hz_loan_cd*G1008,0)*in_loan_cd_ticket*in_loan_cd_comm</f>
        <v/>
      </c>
      <c r="BW1008" s="40">
        <f>BW1007*(1-IF(B1007&gt;=in_marketplace_from,d_hz_loan_vehicle*G1007,0))</f>
        <v/>
      </c>
      <c r="BX1008" s="14">
        <f>F1008*BW1008*IF(B1008&gt;=in_marketplace_from,d_hz_loan_vehicle*G1008,0)*in_loan_vehicle_ticket*in_loan_vehicle_comm</f>
        <v/>
      </c>
      <c r="BY1008" s="40">
        <f>BY1007*(1-IF(B1007&gt;=in_marketplace_from,d_hz_loan_home*G1007,0)*BZ1007)</f>
        <v/>
      </c>
      <c r="BZ1008" s="11">
        <f>MIN(in_approval_cap,in_loan_home_approval*INDEX('Age profile'!$O$2:$O$61,B1008)*(1+in_approval_growth)^(D1008-1))</f>
        <v/>
      </c>
      <c r="CA1008" s="14">
        <f>F1008*BY1008*IF(B1008&gt;=in_marketplace_from,d_hz_loan_home*G1008,0)*BZ1008*in_loan_home_ticket*in_loan_home_comm</f>
        <v/>
      </c>
      <c r="CB1008" s="40">
        <f>CB1007*(1-IF(B1007&gt;=in_marketplace_from,d_hz_loan_lap*G1007,0)*CC1007)</f>
        <v/>
      </c>
      <c r="CC1008" s="11">
        <f>MIN(in_approval_cap,in_loan_lap_approval*INDEX('Age profile'!$O$2:$O$61,B1008)*(1+in_approval_growth)^(D1008-1))</f>
        <v/>
      </c>
      <c r="CD1008" s="14">
        <f>F1008*CB1008*IF(B1008&gt;=in_marketplace_from,d_hz_loan_lap*G1008,0)*CC1008*in_loan_lap_ticket*in_loan_lap_comm</f>
        <v/>
      </c>
      <c r="CE1008" s="14">
        <f>AA1008+AB1008+AC1008+AD1008+AG1008+AJ1008+AM1008+AP1008+AS1008+AU1008+AX1008+BB1008+BE1008+BG1008+BJ1008+BL1008+BO1008+BR1008+BT1008+BV1008+BX1008+CA1008+CD1008</f>
        <v/>
      </c>
    </row>
    <row r="1009">
      <c r="A1009" s="39" t="n">
        <v>20</v>
      </c>
      <c r="B1009" s="39" t="n">
        <v>39</v>
      </c>
      <c r="C1009" s="39">
        <f>A1009+B1009-1</f>
        <v/>
      </c>
      <c r="D1009" s="39">
        <f>INT((C1009-1)/12)+1</f>
        <v/>
      </c>
      <c r="E1009" s="44">
        <f>INDEX(Monthly!$B$2:$B$61,A1009)</f>
        <v/>
      </c>
      <c r="F1009" s="44">
        <f>E1009*INDEX('Age profile'!$B$2:$B$61,B1009)</f>
        <v/>
      </c>
      <c r="G1009" s="45">
        <f>MIN(in_takeup_cap,INDEX('Age profile'!$N$2:$N$61,B1009)*(1+in_takeup_growth)^(D1009-1))</f>
        <v/>
      </c>
      <c r="H1009" s="11">
        <f>MIN(in_approval_cap,in_approved_first*INDEX('Age profile'!$O$2:$O$61,B1009)*(1+in_approval_growth)^(D1009-1))</f>
        <v/>
      </c>
      <c r="I1009" s="45">
        <f>G1009*MIN(in_takeup_cap,INDEX('Age profile'!$O$2:$O$61,B1009)*(1+in_approval_growth)^(D1009-1))</f>
        <v/>
      </c>
      <c r="J1009" s="40">
        <f>(J1008-L1008)*F1009/F1008</f>
        <v/>
      </c>
      <c r="K1009" s="40">
        <f>(K1008-M1008)*F1009/F1008+SUMIFS(O971:O1008,B971:B1008,B1009-1-d_T)*F1009</f>
        <v/>
      </c>
      <c r="L1009" s="40">
        <f>IF(B1009&gt;=in_marketplace_from,J1009*d_hz*G1009*in_eligible*H1009,0)</f>
        <v/>
      </c>
      <c r="M1009" s="40">
        <f>IF(B1009&gt;=in_marketplace_from,K1009*d_hz*G1009*in_eligible*in_approved_repeat,0)</f>
        <v/>
      </c>
      <c r="N1009" s="40">
        <f>L1009+M1009</f>
        <v/>
      </c>
      <c r="O1009" s="46">
        <f>N1009/F1009</f>
        <v/>
      </c>
      <c r="P1009" s="40">
        <f>F1009-J1009-K1009</f>
        <v/>
      </c>
      <c r="Q1009" s="40">
        <f>IF(B1009&gt;=in_marketplace_from,(J1009+K1009)*d_hz*G1009,0)</f>
        <v/>
      </c>
      <c r="R1009" s="40">
        <f>SUMIFS(N971:N1011,B971:B1011,"&gt;="&amp;(B1009-d_T),B971:B1011,"&lt;="&amp;(B1009-1))</f>
        <v/>
      </c>
      <c r="S1009" s="46">
        <f>(1-d_u)*S1008+IF(d_T&gt;in_topup_lag,SUMIFS(O971:O1011,B971:B1011,B1009-in_topup_lag)-d_udrop*SUMIFS(O971:O1011,B971:B1011,B1009-d_T),0)</f>
        <v/>
      </c>
      <c r="T1009" s="40">
        <f>F1009*d_u*S1009</f>
        <v/>
      </c>
      <c r="U1009" s="9">
        <f>L1009*in_ticket+M1009*d_rep_ticket</f>
        <v/>
      </c>
      <c r="V1009" s="9">
        <f>U1009+T1009*d_topup_amt</f>
        <v/>
      </c>
      <c r="W1009" s="40">
        <f>N1009+T1009*d_topup_ratio</f>
        <v/>
      </c>
      <c r="X1009" s="40">
        <f>SUMIFS(W971:W1011,B971:B1011,B1009-in_dpd_lag)*d_cured</f>
        <v/>
      </c>
      <c r="Y1009" s="40">
        <f>SUMIFS(W971:W1011,B971:B1011,B1009-in_rec_lag)*d_recd</f>
        <v/>
      </c>
      <c r="Z1009" s="40">
        <f>IF(AND(B1009&gt;=in_marketplace_from,B1009&lt;in_marketplace_from+in_card_months),in_card_share/in_card_months*F1009*I1009,IF(AND(B1009&gt;=in_marketplace_from+in_card_months,B1009&lt;in_marketplace_from+2*in_card_months),in_card_share*d_card_rem/in_card_months*F1009*MIN(in_takeup_cap,(1+in_takeup_growth)^(D1009-1))*MIN(in_takeup_cap,(1+in_approval_growth)^(D1009-1)),0))</f>
        <v/>
      </c>
      <c r="AA1009" s="14">
        <f>V1009*in_fee*(1-in_taken_back)</f>
        <v/>
      </c>
      <c r="AB1009" s="14">
        <f>SUMIFS(W971:W1011,B971:B1011,B1009-in_dpd_lag)*d_dpd</f>
        <v/>
      </c>
      <c r="AC1009" s="14">
        <f>SUMIFS(W971:W1011,B971:B1011,B1009-in_rec_lag)*d_rec</f>
        <v/>
      </c>
      <c r="AD1009" s="14">
        <f>Z1009*in_card_fee</f>
        <v/>
      </c>
      <c r="AE1009" s="40">
        <f>AE1008*(1-IF(B1008&gt;=in_marketplace_from,d_hz_hlth_small*G1008,0))</f>
        <v/>
      </c>
      <c r="AF1009" s="46">
        <f>AE1009*IF(B1009&gt;=in_marketplace_from,d_hz_hlth_small*G1009,0)</f>
        <v/>
      </c>
      <c r="AG1009" s="14">
        <f>F1009*AF1009*in_hlth_small_ticket*in_hlth_small_comm*in_ins_partner_share+F1009*in_hlth_small_ticket*in_hlth_small_renew_comm*in_ins_partner_share*(in_hlth_small_renew^1*SUMIFS(AF971:AF1011,B971:B1011,B1009-12)+in_hlth_small_renew^2*SUMIFS(AF971:AF1011,B971:B1011,B1009-24)+in_hlth_small_renew^3*SUMIFS(AF971:AF1011,B971:B1011,B1009-36)+in_hlth_small_renew^4*SUMIFS(AF971:AF1011,B971:B1011,B1009-48))</f>
        <v/>
      </c>
      <c r="AH1009" s="40">
        <f>AH1008*(1-IF(B1008&gt;=in_marketplace_from,d_hz_hlth_family*G1008,0))</f>
        <v/>
      </c>
      <c r="AI1009" s="46">
        <f>AH1009*IF(B1009&gt;=in_marketplace_from,d_hz_hlth_family*G1009,0)</f>
        <v/>
      </c>
      <c r="AJ1009" s="14">
        <f>F1009*AI1009*in_hlth_family_ticket*in_hlth_family_comm*in_ins_partner_share+F1009*in_hlth_family_ticket*in_hlth_family_renew_comm*in_ins_partner_share*(in_hlth_family_renew^1*SUMIFS(AI971:AI1011,B971:B1011,B1009-12)+in_hlth_family_renew^2*SUMIFS(AI971:AI1011,B971:B1011,B1009-24)+in_hlth_family_renew^3*SUMIFS(AI971:AI1011,B971:B1011,B1009-36)+in_hlth_family_renew^4*SUMIFS(AI971:AI1011,B971:B1011,B1009-48))</f>
        <v/>
      </c>
      <c r="AK1009" s="40">
        <f>AK1008*(1-IF(B1008&gt;=in_marketplace_from,d_hz_life_term*G1008,0))</f>
        <v/>
      </c>
      <c r="AL1009" s="46">
        <f>AK1009*IF(B1009&gt;=in_marketplace_from,d_hz_life_term*G1009,0)</f>
        <v/>
      </c>
      <c r="AM1009" s="14">
        <f>F1009*AL1009*in_life_term_ticket*in_life_term_comm*in_ins_partner_share+F1009*in_life_term_ticket*in_life_term_renew_comm*in_ins_partner_share*(in_life_term_renew^1*SUMIFS(AL971:AL1011,B971:B1011,B1009-12)+in_life_term_renew^2*SUMIFS(AL971:AL1011,B971:B1011,B1009-24)+in_life_term_renew^3*SUMIFS(AL971:AL1011,B971:B1011,B1009-36)+in_life_term_renew^4*SUMIFS(AL971:AL1011,B971:B1011,B1009-48))</f>
        <v/>
      </c>
      <c r="AN1009" s="40">
        <f>AN1008*(1-IF(B1008&gt;=in_marketplace_from,d_hz_accident*G1008,0))</f>
        <v/>
      </c>
      <c r="AO1009" s="46">
        <f>AN1009*IF(B1009&gt;=in_marketplace_from,d_hz_accident*G1009,0)</f>
        <v/>
      </c>
      <c r="AP1009" s="14">
        <f>F1009*AO1009*in_accident_ticket*in_accident_comm*in_ins_partner_share+F1009*in_accident_ticket*in_accident_renew_comm*in_ins_partner_share*(in_accident_renew^1*SUMIFS(AO971:AO1011,B971:B1011,B1009-12)+in_accident_renew^2*SUMIFS(AO971:AO1011,B971:B1011,B1009-24)+in_accident_renew^3*SUMIFS(AO971:AO1011,B971:B1011,B1009-36)+in_accident_renew^4*SUMIFS(AO971:AO1011,B971:B1011,B1009-48))</f>
        <v/>
      </c>
      <c r="AQ1009" s="40">
        <f>AQ1008*(1-IF(B1008&gt;=in_marketplace_from,d_hz_two_wheeler*G1008,0))</f>
        <v/>
      </c>
      <c r="AR1009" s="46">
        <f>AQ1009*IF(B1009&gt;=in_marketplace_from,d_hz_two_wheeler*G1009,0)</f>
        <v/>
      </c>
      <c r="AS1009" s="14">
        <f>F1009*AR1009*in_two_wheeler_ticket*in_two_wheeler_comm*in_ins_partner_share+F1009*in_two_wheeler_ticket*in_two_wheeler_comm*in_ins_partner_share*(in_two_wheeler_renew^1*SUMIFS(AR971:AR1011,B971:B1011,B1009-12)+in_two_wheeler_renew^2*SUMIFS(AR971:AR1011,B971:B1011,B1009-24)+in_two_wheeler_renew^3*SUMIFS(AR971:AR1011,B971:B1011,B1009-36)+in_two_wheeler_renew^4*SUMIFS(AR971:AR1011,B971:B1011,B1009-48))</f>
        <v/>
      </c>
      <c r="AT1009" s="40">
        <f>AT1008*(1-IF(B1008&gt;=in_marketplace_from,d_hz_device*G1008,0))</f>
        <v/>
      </c>
      <c r="AU1009" s="14">
        <f>F1009*AT1009*IF(B1009&gt;=in_marketplace_from,d_hz_device*G1009,0)*in_device_ticket*in_device_comm*in_ins_partner_share</f>
        <v/>
      </c>
      <c r="AV1009" s="40">
        <f>AV1008*(1-IF(B1008&gt;=in_marketplace_from,d_hz_shop*G1008,0))</f>
        <v/>
      </c>
      <c r="AW1009" s="46">
        <f>AV1009*IF(B1009&gt;=in_marketplace_from,d_hz_shop*G1009,0)</f>
        <v/>
      </c>
      <c r="AX1009" s="14">
        <f>F1009*AW1009*in_shop_ticket*in_shop_comm*in_ins_partner_share+F1009*in_shop_ticket*in_shop_renew_comm*in_ins_partner_share*(in_shop_renew^1*SUMIFS(AW971:AW1011,B971:B1011,B1009-12)+in_shop_renew^2*SUMIFS(AW971:AW1011,B971:B1011,B1009-24)+in_shop_renew^3*SUMIFS(AW971:AW1011,B971:B1011,B1009-36)+in_shop_renew^4*SUMIFS(AW971:AW1011,B971:B1011,B1009-48))</f>
        <v/>
      </c>
      <c r="AY1009" s="40">
        <f>AY1008*(1-IF(B1008&gt;=in_marketplace_from,d_hz_sip*G1008,0))</f>
        <v/>
      </c>
      <c r="AZ1009" s="40">
        <f>AZ1008*d_rho_sip+AY1009*IF(B1009&gt;=in_marketplace_from,d_hz_sip*G1009,0)</f>
        <v/>
      </c>
      <c r="BA1009" s="40">
        <f>d_rho_sip*(BA1008+AZ1008)</f>
        <v/>
      </c>
      <c r="BB1009" s="14">
        <f>F1009*in_sip_ticket*(BA1009+0.5*AZ1009)*in_sip_comm/12</f>
        <v/>
      </c>
      <c r="BC1009" s="40">
        <f>BC1008*(1-IF(B1008&gt;=in_marketplace_from,d_hz_choti*G1008,0))</f>
        <v/>
      </c>
      <c r="BD1009" s="46">
        <f>BC1009*IF(B1009&gt;=in_marketplace_from,d_hz_choti*G1009,0)</f>
        <v/>
      </c>
      <c r="BE1009" s="14">
        <f>F1009*SUMIFS(BD971:BD1011,B971:B1011,B1009-in_choti_months)*in_choti_renew*in_choti_ticket</f>
        <v/>
      </c>
      <c r="BF1009" s="40">
        <f>BF1008*(1-IF(B1008&gt;=in_marketplace_from,d_hz_nps*G1008,0))</f>
        <v/>
      </c>
      <c r="BG1009" s="14">
        <f>F1009*BF1009*IF(B1009&gt;=in_marketplace_from,d_hz_nps*G1009,0)*in_nps_ticket*in_nps_comm</f>
        <v/>
      </c>
      <c r="BH1009" s="40">
        <f>BH1008*(1-IF(B1008&gt;=in_marketplace_from,d_hz_gold*G1008,0))</f>
        <v/>
      </c>
      <c r="BI1009" s="40">
        <f>BI1008*d_rho_gold+BH1009*IF(B1009&gt;=in_marketplace_from,d_hz_gold*G1009,0)</f>
        <v/>
      </c>
      <c r="BJ1009" s="14">
        <f>F1009*BI1009*in_gold_ticket*in_gold_comm</f>
        <v/>
      </c>
      <c r="BK1009" s="40">
        <f>BK1008*(1-IF(B1008&gt;=in_marketplace_from,d_hz_fd*G1008,0))</f>
        <v/>
      </c>
      <c r="BL1009" s="14">
        <f>F1009*BK1009*IF(B1009&gt;=in_marketplace_from,d_hz_fd*G1009,0)*in_fd_ticket*in_fd_comm</f>
        <v/>
      </c>
      <c r="BM1009" s="40">
        <f>BM1008*(1-IF(B1008&gt;=in_marketplace_from,d_hz_recharge*G1008,0))</f>
        <v/>
      </c>
      <c r="BN1009" s="40">
        <f>BN1008*d_rho_recharge+BM1009*IF(B1009&gt;=in_marketplace_from,d_hz_recharge*G1009,0)</f>
        <v/>
      </c>
      <c r="BO1009" s="14">
        <f>F1009*BN1009*in_recharge_ticket*in_recharge_comm/12</f>
        <v/>
      </c>
      <c r="BP1009" s="40">
        <f>BP1008*(1-IF(B1008&gt;=in_marketplace_from,d_hz_bills*G1008,0))</f>
        <v/>
      </c>
      <c r="BQ1009" s="40">
        <f>BQ1008*d_rho_bills+BP1009*IF(B1009&gt;=in_marketplace_from,d_hz_bills*G1009,0)</f>
        <v/>
      </c>
      <c r="BR1009" s="14">
        <f>F1009*BQ1009*in_bills_ticket*in_bills_comm/12</f>
        <v/>
      </c>
      <c r="BS1009" s="40">
        <f>BS1008*(1-IF(B1008&gt;=in_marketplace_from,d_hz_loan_gold*G1008,0))</f>
        <v/>
      </c>
      <c r="BT1009" s="14">
        <f>F1009*BS1009*IF(B1009&gt;=in_marketplace_from,d_hz_loan_gold*G1009,0)*in_loan_gold_ticket*in_loan_gold_comm</f>
        <v/>
      </c>
      <c r="BU1009" s="40">
        <f>BU1008*(1-IF(B1008&gt;=in_marketplace_from,d_hz_loan_cd*G1008,0))</f>
        <v/>
      </c>
      <c r="BV1009" s="14">
        <f>F1009*BU1009*IF(B1009&gt;=in_marketplace_from,d_hz_loan_cd*G1009,0)*in_loan_cd_ticket*in_loan_cd_comm</f>
        <v/>
      </c>
      <c r="BW1009" s="40">
        <f>BW1008*(1-IF(B1008&gt;=in_marketplace_from,d_hz_loan_vehicle*G1008,0))</f>
        <v/>
      </c>
      <c r="BX1009" s="14">
        <f>F1009*BW1009*IF(B1009&gt;=in_marketplace_from,d_hz_loan_vehicle*G1009,0)*in_loan_vehicle_ticket*in_loan_vehicle_comm</f>
        <v/>
      </c>
      <c r="BY1009" s="40">
        <f>BY1008*(1-IF(B1008&gt;=in_marketplace_from,d_hz_loan_home*G1008,0)*BZ1008)</f>
        <v/>
      </c>
      <c r="BZ1009" s="11">
        <f>MIN(in_approval_cap,in_loan_home_approval*INDEX('Age profile'!$O$2:$O$61,B1009)*(1+in_approval_growth)^(D1009-1))</f>
        <v/>
      </c>
      <c r="CA1009" s="14">
        <f>F1009*BY1009*IF(B1009&gt;=in_marketplace_from,d_hz_loan_home*G1009,0)*BZ1009*in_loan_home_ticket*in_loan_home_comm</f>
        <v/>
      </c>
      <c r="CB1009" s="40">
        <f>CB1008*(1-IF(B1008&gt;=in_marketplace_from,d_hz_loan_lap*G1008,0)*CC1008)</f>
        <v/>
      </c>
      <c r="CC1009" s="11">
        <f>MIN(in_approval_cap,in_loan_lap_approval*INDEX('Age profile'!$O$2:$O$61,B1009)*(1+in_approval_growth)^(D1009-1))</f>
        <v/>
      </c>
      <c r="CD1009" s="14">
        <f>F1009*CB1009*IF(B1009&gt;=in_marketplace_from,d_hz_loan_lap*G1009,0)*CC1009*in_loan_lap_ticket*in_loan_lap_comm</f>
        <v/>
      </c>
      <c r="CE1009" s="14">
        <f>AA1009+AB1009+AC1009+AD1009+AG1009+AJ1009+AM1009+AP1009+AS1009+AU1009+AX1009+BB1009+BE1009+BG1009+BJ1009+BL1009+BO1009+BR1009+BT1009+BV1009+BX1009+CA1009+CD1009</f>
        <v/>
      </c>
    </row>
    <row r="1010">
      <c r="A1010" s="39" t="n">
        <v>20</v>
      </c>
      <c r="B1010" s="39" t="n">
        <v>40</v>
      </c>
      <c r="C1010" s="39">
        <f>A1010+B1010-1</f>
        <v/>
      </c>
      <c r="D1010" s="39">
        <f>INT((C1010-1)/12)+1</f>
        <v/>
      </c>
      <c r="E1010" s="44">
        <f>INDEX(Monthly!$B$2:$B$61,A1010)</f>
        <v/>
      </c>
      <c r="F1010" s="44">
        <f>E1010*INDEX('Age profile'!$B$2:$B$61,B1010)</f>
        <v/>
      </c>
      <c r="G1010" s="45">
        <f>MIN(in_takeup_cap,INDEX('Age profile'!$N$2:$N$61,B1010)*(1+in_takeup_growth)^(D1010-1))</f>
        <v/>
      </c>
      <c r="H1010" s="11">
        <f>MIN(in_approval_cap,in_approved_first*INDEX('Age profile'!$O$2:$O$61,B1010)*(1+in_approval_growth)^(D1010-1))</f>
        <v/>
      </c>
      <c r="I1010" s="45">
        <f>G1010*MIN(in_takeup_cap,INDEX('Age profile'!$O$2:$O$61,B1010)*(1+in_approval_growth)^(D1010-1))</f>
        <v/>
      </c>
      <c r="J1010" s="40">
        <f>(J1009-L1009)*F1010/F1009</f>
        <v/>
      </c>
      <c r="K1010" s="40">
        <f>(K1009-M1009)*F1010/F1009+SUMIFS(O971:O1009,B971:B1009,B1010-1-d_T)*F1010</f>
        <v/>
      </c>
      <c r="L1010" s="40">
        <f>IF(B1010&gt;=in_marketplace_from,J1010*d_hz*G1010*in_eligible*H1010,0)</f>
        <v/>
      </c>
      <c r="M1010" s="40">
        <f>IF(B1010&gt;=in_marketplace_from,K1010*d_hz*G1010*in_eligible*in_approved_repeat,0)</f>
        <v/>
      </c>
      <c r="N1010" s="40">
        <f>L1010+M1010</f>
        <v/>
      </c>
      <c r="O1010" s="46">
        <f>N1010/F1010</f>
        <v/>
      </c>
      <c r="P1010" s="40">
        <f>F1010-J1010-K1010</f>
        <v/>
      </c>
      <c r="Q1010" s="40">
        <f>IF(B1010&gt;=in_marketplace_from,(J1010+K1010)*d_hz*G1010,0)</f>
        <v/>
      </c>
      <c r="R1010" s="40">
        <f>SUMIFS(N971:N1011,B971:B1011,"&gt;="&amp;(B1010-d_T),B971:B1011,"&lt;="&amp;(B1010-1))</f>
        <v/>
      </c>
      <c r="S1010" s="46">
        <f>(1-d_u)*S1009+IF(d_T&gt;in_topup_lag,SUMIFS(O971:O1011,B971:B1011,B1010-in_topup_lag)-d_udrop*SUMIFS(O971:O1011,B971:B1011,B1010-d_T),0)</f>
        <v/>
      </c>
      <c r="T1010" s="40">
        <f>F1010*d_u*S1010</f>
        <v/>
      </c>
      <c r="U1010" s="9">
        <f>L1010*in_ticket+M1010*d_rep_ticket</f>
        <v/>
      </c>
      <c r="V1010" s="9">
        <f>U1010+T1010*d_topup_amt</f>
        <v/>
      </c>
      <c r="W1010" s="40">
        <f>N1010+T1010*d_topup_ratio</f>
        <v/>
      </c>
      <c r="X1010" s="40">
        <f>SUMIFS(W971:W1011,B971:B1011,B1010-in_dpd_lag)*d_cured</f>
        <v/>
      </c>
      <c r="Y1010" s="40">
        <f>SUMIFS(W971:W1011,B971:B1011,B1010-in_rec_lag)*d_recd</f>
        <v/>
      </c>
      <c r="Z1010" s="40">
        <f>IF(AND(B1010&gt;=in_marketplace_from,B1010&lt;in_marketplace_from+in_card_months),in_card_share/in_card_months*F1010*I1010,IF(AND(B1010&gt;=in_marketplace_from+in_card_months,B1010&lt;in_marketplace_from+2*in_card_months),in_card_share*d_card_rem/in_card_months*F1010*MIN(in_takeup_cap,(1+in_takeup_growth)^(D1010-1))*MIN(in_takeup_cap,(1+in_approval_growth)^(D1010-1)),0))</f>
        <v/>
      </c>
      <c r="AA1010" s="14">
        <f>V1010*in_fee*(1-in_taken_back)</f>
        <v/>
      </c>
      <c r="AB1010" s="14">
        <f>SUMIFS(W971:W1011,B971:B1011,B1010-in_dpd_lag)*d_dpd</f>
        <v/>
      </c>
      <c r="AC1010" s="14">
        <f>SUMIFS(W971:W1011,B971:B1011,B1010-in_rec_lag)*d_rec</f>
        <v/>
      </c>
      <c r="AD1010" s="14">
        <f>Z1010*in_card_fee</f>
        <v/>
      </c>
      <c r="AE1010" s="40">
        <f>AE1009*(1-IF(B1009&gt;=in_marketplace_from,d_hz_hlth_small*G1009,0))</f>
        <v/>
      </c>
      <c r="AF1010" s="46">
        <f>AE1010*IF(B1010&gt;=in_marketplace_from,d_hz_hlth_small*G1010,0)</f>
        <v/>
      </c>
      <c r="AG1010" s="14">
        <f>F1010*AF1010*in_hlth_small_ticket*in_hlth_small_comm*in_ins_partner_share+F1010*in_hlth_small_ticket*in_hlth_small_renew_comm*in_ins_partner_share*(in_hlth_small_renew^1*SUMIFS(AF971:AF1011,B971:B1011,B1010-12)+in_hlth_small_renew^2*SUMIFS(AF971:AF1011,B971:B1011,B1010-24)+in_hlth_small_renew^3*SUMIFS(AF971:AF1011,B971:B1011,B1010-36)+in_hlth_small_renew^4*SUMIFS(AF971:AF1011,B971:B1011,B1010-48))</f>
        <v/>
      </c>
      <c r="AH1010" s="40">
        <f>AH1009*(1-IF(B1009&gt;=in_marketplace_from,d_hz_hlth_family*G1009,0))</f>
        <v/>
      </c>
      <c r="AI1010" s="46">
        <f>AH1010*IF(B1010&gt;=in_marketplace_from,d_hz_hlth_family*G1010,0)</f>
        <v/>
      </c>
      <c r="AJ1010" s="14">
        <f>F1010*AI1010*in_hlth_family_ticket*in_hlth_family_comm*in_ins_partner_share+F1010*in_hlth_family_ticket*in_hlth_family_renew_comm*in_ins_partner_share*(in_hlth_family_renew^1*SUMIFS(AI971:AI1011,B971:B1011,B1010-12)+in_hlth_family_renew^2*SUMIFS(AI971:AI1011,B971:B1011,B1010-24)+in_hlth_family_renew^3*SUMIFS(AI971:AI1011,B971:B1011,B1010-36)+in_hlth_family_renew^4*SUMIFS(AI971:AI1011,B971:B1011,B1010-48))</f>
        <v/>
      </c>
      <c r="AK1010" s="40">
        <f>AK1009*(1-IF(B1009&gt;=in_marketplace_from,d_hz_life_term*G1009,0))</f>
        <v/>
      </c>
      <c r="AL1010" s="46">
        <f>AK1010*IF(B1010&gt;=in_marketplace_from,d_hz_life_term*G1010,0)</f>
        <v/>
      </c>
      <c r="AM1010" s="14">
        <f>F1010*AL1010*in_life_term_ticket*in_life_term_comm*in_ins_partner_share+F1010*in_life_term_ticket*in_life_term_renew_comm*in_ins_partner_share*(in_life_term_renew^1*SUMIFS(AL971:AL1011,B971:B1011,B1010-12)+in_life_term_renew^2*SUMIFS(AL971:AL1011,B971:B1011,B1010-24)+in_life_term_renew^3*SUMIFS(AL971:AL1011,B971:B1011,B1010-36)+in_life_term_renew^4*SUMIFS(AL971:AL1011,B971:B1011,B1010-48))</f>
        <v/>
      </c>
      <c r="AN1010" s="40">
        <f>AN1009*(1-IF(B1009&gt;=in_marketplace_from,d_hz_accident*G1009,0))</f>
        <v/>
      </c>
      <c r="AO1010" s="46">
        <f>AN1010*IF(B1010&gt;=in_marketplace_from,d_hz_accident*G1010,0)</f>
        <v/>
      </c>
      <c r="AP1010" s="14">
        <f>F1010*AO1010*in_accident_ticket*in_accident_comm*in_ins_partner_share+F1010*in_accident_ticket*in_accident_renew_comm*in_ins_partner_share*(in_accident_renew^1*SUMIFS(AO971:AO1011,B971:B1011,B1010-12)+in_accident_renew^2*SUMIFS(AO971:AO1011,B971:B1011,B1010-24)+in_accident_renew^3*SUMIFS(AO971:AO1011,B971:B1011,B1010-36)+in_accident_renew^4*SUMIFS(AO971:AO1011,B971:B1011,B1010-48))</f>
        <v/>
      </c>
      <c r="AQ1010" s="40">
        <f>AQ1009*(1-IF(B1009&gt;=in_marketplace_from,d_hz_two_wheeler*G1009,0))</f>
        <v/>
      </c>
      <c r="AR1010" s="46">
        <f>AQ1010*IF(B1010&gt;=in_marketplace_from,d_hz_two_wheeler*G1010,0)</f>
        <v/>
      </c>
      <c r="AS1010" s="14">
        <f>F1010*AR1010*in_two_wheeler_ticket*in_two_wheeler_comm*in_ins_partner_share+F1010*in_two_wheeler_ticket*in_two_wheeler_comm*in_ins_partner_share*(in_two_wheeler_renew^1*SUMIFS(AR971:AR1011,B971:B1011,B1010-12)+in_two_wheeler_renew^2*SUMIFS(AR971:AR1011,B971:B1011,B1010-24)+in_two_wheeler_renew^3*SUMIFS(AR971:AR1011,B971:B1011,B1010-36)+in_two_wheeler_renew^4*SUMIFS(AR971:AR1011,B971:B1011,B1010-48))</f>
        <v/>
      </c>
      <c r="AT1010" s="40">
        <f>AT1009*(1-IF(B1009&gt;=in_marketplace_from,d_hz_device*G1009,0))</f>
        <v/>
      </c>
      <c r="AU1010" s="14">
        <f>F1010*AT1010*IF(B1010&gt;=in_marketplace_from,d_hz_device*G1010,0)*in_device_ticket*in_device_comm*in_ins_partner_share</f>
        <v/>
      </c>
      <c r="AV1010" s="40">
        <f>AV1009*(1-IF(B1009&gt;=in_marketplace_from,d_hz_shop*G1009,0))</f>
        <v/>
      </c>
      <c r="AW1010" s="46">
        <f>AV1010*IF(B1010&gt;=in_marketplace_from,d_hz_shop*G1010,0)</f>
        <v/>
      </c>
      <c r="AX1010" s="14">
        <f>F1010*AW1010*in_shop_ticket*in_shop_comm*in_ins_partner_share+F1010*in_shop_ticket*in_shop_renew_comm*in_ins_partner_share*(in_shop_renew^1*SUMIFS(AW971:AW1011,B971:B1011,B1010-12)+in_shop_renew^2*SUMIFS(AW971:AW1011,B971:B1011,B1010-24)+in_shop_renew^3*SUMIFS(AW971:AW1011,B971:B1011,B1010-36)+in_shop_renew^4*SUMIFS(AW971:AW1011,B971:B1011,B1010-48))</f>
        <v/>
      </c>
      <c r="AY1010" s="40">
        <f>AY1009*(1-IF(B1009&gt;=in_marketplace_from,d_hz_sip*G1009,0))</f>
        <v/>
      </c>
      <c r="AZ1010" s="40">
        <f>AZ1009*d_rho_sip+AY1010*IF(B1010&gt;=in_marketplace_from,d_hz_sip*G1010,0)</f>
        <v/>
      </c>
      <c r="BA1010" s="40">
        <f>d_rho_sip*(BA1009+AZ1009)</f>
        <v/>
      </c>
      <c r="BB1010" s="14">
        <f>F1010*in_sip_ticket*(BA1010+0.5*AZ1010)*in_sip_comm/12</f>
        <v/>
      </c>
      <c r="BC1010" s="40">
        <f>BC1009*(1-IF(B1009&gt;=in_marketplace_from,d_hz_choti*G1009,0))</f>
        <v/>
      </c>
      <c r="BD1010" s="46">
        <f>BC1010*IF(B1010&gt;=in_marketplace_from,d_hz_choti*G1010,0)</f>
        <v/>
      </c>
      <c r="BE1010" s="14">
        <f>F1010*SUMIFS(BD971:BD1011,B971:B1011,B1010-in_choti_months)*in_choti_renew*in_choti_ticket</f>
        <v/>
      </c>
      <c r="BF1010" s="40">
        <f>BF1009*(1-IF(B1009&gt;=in_marketplace_from,d_hz_nps*G1009,0))</f>
        <v/>
      </c>
      <c r="BG1010" s="14">
        <f>F1010*BF1010*IF(B1010&gt;=in_marketplace_from,d_hz_nps*G1010,0)*in_nps_ticket*in_nps_comm</f>
        <v/>
      </c>
      <c r="BH1010" s="40">
        <f>BH1009*(1-IF(B1009&gt;=in_marketplace_from,d_hz_gold*G1009,0))</f>
        <v/>
      </c>
      <c r="BI1010" s="40">
        <f>BI1009*d_rho_gold+BH1010*IF(B1010&gt;=in_marketplace_from,d_hz_gold*G1010,0)</f>
        <v/>
      </c>
      <c r="BJ1010" s="14">
        <f>F1010*BI1010*in_gold_ticket*in_gold_comm</f>
        <v/>
      </c>
      <c r="BK1010" s="40">
        <f>BK1009*(1-IF(B1009&gt;=in_marketplace_from,d_hz_fd*G1009,0))</f>
        <v/>
      </c>
      <c r="BL1010" s="14">
        <f>F1010*BK1010*IF(B1010&gt;=in_marketplace_from,d_hz_fd*G1010,0)*in_fd_ticket*in_fd_comm</f>
        <v/>
      </c>
      <c r="BM1010" s="40">
        <f>BM1009*(1-IF(B1009&gt;=in_marketplace_from,d_hz_recharge*G1009,0))</f>
        <v/>
      </c>
      <c r="BN1010" s="40">
        <f>BN1009*d_rho_recharge+BM1010*IF(B1010&gt;=in_marketplace_from,d_hz_recharge*G1010,0)</f>
        <v/>
      </c>
      <c r="BO1010" s="14">
        <f>F1010*BN1010*in_recharge_ticket*in_recharge_comm/12</f>
        <v/>
      </c>
      <c r="BP1010" s="40">
        <f>BP1009*(1-IF(B1009&gt;=in_marketplace_from,d_hz_bills*G1009,0))</f>
        <v/>
      </c>
      <c r="BQ1010" s="40">
        <f>BQ1009*d_rho_bills+BP1010*IF(B1010&gt;=in_marketplace_from,d_hz_bills*G1010,0)</f>
        <v/>
      </c>
      <c r="BR1010" s="14">
        <f>F1010*BQ1010*in_bills_ticket*in_bills_comm/12</f>
        <v/>
      </c>
      <c r="BS1010" s="40">
        <f>BS1009*(1-IF(B1009&gt;=in_marketplace_from,d_hz_loan_gold*G1009,0))</f>
        <v/>
      </c>
      <c r="BT1010" s="14">
        <f>F1010*BS1010*IF(B1010&gt;=in_marketplace_from,d_hz_loan_gold*G1010,0)*in_loan_gold_ticket*in_loan_gold_comm</f>
        <v/>
      </c>
      <c r="BU1010" s="40">
        <f>BU1009*(1-IF(B1009&gt;=in_marketplace_from,d_hz_loan_cd*G1009,0))</f>
        <v/>
      </c>
      <c r="BV1010" s="14">
        <f>F1010*BU1010*IF(B1010&gt;=in_marketplace_from,d_hz_loan_cd*G1010,0)*in_loan_cd_ticket*in_loan_cd_comm</f>
        <v/>
      </c>
      <c r="BW1010" s="40">
        <f>BW1009*(1-IF(B1009&gt;=in_marketplace_from,d_hz_loan_vehicle*G1009,0))</f>
        <v/>
      </c>
      <c r="BX1010" s="14">
        <f>F1010*BW1010*IF(B1010&gt;=in_marketplace_from,d_hz_loan_vehicle*G1010,0)*in_loan_vehicle_ticket*in_loan_vehicle_comm</f>
        <v/>
      </c>
      <c r="BY1010" s="40">
        <f>BY1009*(1-IF(B1009&gt;=in_marketplace_from,d_hz_loan_home*G1009,0)*BZ1009)</f>
        <v/>
      </c>
      <c r="BZ1010" s="11">
        <f>MIN(in_approval_cap,in_loan_home_approval*INDEX('Age profile'!$O$2:$O$61,B1010)*(1+in_approval_growth)^(D1010-1))</f>
        <v/>
      </c>
      <c r="CA1010" s="14">
        <f>F1010*BY1010*IF(B1010&gt;=in_marketplace_from,d_hz_loan_home*G1010,0)*BZ1010*in_loan_home_ticket*in_loan_home_comm</f>
        <v/>
      </c>
      <c r="CB1010" s="40">
        <f>CB1009*(1-IF(B1009&gt;=in_marketplace_from,d_hz_loan_lap*G1009,0)*CC1009)</f>
        <v/>
      </c>
      <c r="CC1010" s="11">
        <f>MIN(in_approval_cap,in_loan_lap_approval*INDEX('Age profile'!$O$2:$O$61,B1010)*(1+in_approval_growth)^(D1010-1))</f>
        <v/>
      </c>
      <c r="CD1010" s="14">
        <f>F1010*CB1010*IF(B1010&gt;=in_marketplace_from,d_hz_loan_lap*G1010,0)*CC1010*in_loan_lap_ticket*in_loan_lap_comm</f>
        <v/>
      </c>
      <c r="CE1010" s="14">
        <f>AA1010+AB1010+AC1010+AD1010+AG1010+AJ1010+AM1010+AP1010+AS1010+AU1010+AX1010+BB1010+BE1010+BG1010+BJ1010+BL1010+BO1010+BR1010+BT1010+BV1010+BX1010+CA1010+CD1010</f>
        <v/>
      </c>
    </row>
    <row r="1011">
      <c r="A1011" s="39" t="n">
        <v>20</v>
      </c>
      <c r="B1011" s="39" t="n">
        <v>41</v>
      </c>
      <c r="C1011" s="39">
        <f>A1011+B1011-1</f>
        <v/>
      </c>
      <c r="D1011" s="39">
        <f>INT((C1011-1)/12)+1</f>
        <v/>
      </c>
      <c r="E1011" s="44">
        <f>INDEX(Monthly!$B$2:$B$61,A1011)</f>
        <v/>
      </c>
      <c r="F1011" s="44">
        <f>E1011*INDEX('Age profile'!$B$2:$B$61,B1011)</f>
        <v/>
      </c>
      <c r="G1011" s="45">
        <f>MIN(in_takeup_cap,INDEX('Age profile'!$N$2:$N$61,B1011)*(1+in_takeup_growth)^(D1011-1))</f>
        <v/>
      </c>
      <c r="H1011" s="11">
        <f>MIN(in_approval_cap,in_approved_first*INDEX('Age profile'!$O$2:$O$61,B1011)*(1+in_approval_growth)^(D1011-1))</f>
        <v/>
      </c>
      <c r="I1011" s="45">
        <f>G1011*MIN(in_takeup_cap,INDEX('Age profile'!$O$2:$O$61,B1011)*(1+in_approval_growth)^(D1011-1))</f>
        <v/>
      </c>
      <c r="J1011" s="40">
        <f>(J1010-L1010)*F1011/F1010</f>
        <v/>
      </c>
      <c r="K1011" s="40">
        <f>(K1010-M1010)*F1011/F1010+SUMIFS(O971:O1010,B971:B1010,B1011-1-d_T)*F1011</f>
        <v/>
      </c>
      <c r="L1011" s="40">
        <f>IF(B1011&gt;=in_marketplace_from,J1011*d_hz*G1011*in_eligible*H1011,0)</f>
        <v/>
      </c>
      <c r="M1011" s="40">
        <f>IF(B1011&gt;=in_marketplace_from,K1011*d_hz*G1011*in_eligible*in_approved_repeat,0)</f>
        <v/>
      </c>
      <c r="N1011" s="40">
        <f>L1011+M1011</f>
        <v/>
      </c>
      <c r="O1011" s="46">
        <f>N1011/F1011</f>
        <v/>
      </c>
      <c r="P1011" s="40">
        <f>F1011-J1011-K1011</f>
        <v/>
      </c>
      <c r="Q1011" s="40">
        <f>IF(B1011&gt;=in_marketplace_from,(J1011+K1011)*d_hz*G1011,0)</f>
        <v/>
      </c>
      <c r="R1011" s="40">
        <f>SUMIFS(N971:N1011,B971:B1011,"&gt;="&amp;(B1011-d_T),B971:B1011,"&lt;="&amp;(B1011-1))</f>
        <v/>
      </c>
      <c r="S1011" s="46">
        <f>(1-d_u)*S1010+IF(d_T&gt;in_topup_lag,SUMIFS(O971:O1011,B971:B1011,B1011-in_topup_lag)-d_udrop*SUMIFS(O971:O1011,B971:B1011,B1011-d_T),0)</f>
        <v/>
      </c>
      <c r="T1011" s="40">
        <f>F1011*d_u*S1011</f>
        <v/>
      </c>
      <c r="U1011" s="9">
        <f>L1011*in_ticket+M1011*d_rep_ticket</f>
        <v/>
      </c>
      <c r="V1011" s="9">
        <f>U1011+T1011*d_topup_amt</f>
        <v/>
      </c>
      <c r="W1011" s="40">
        <f>N1011+T1011*d_topup_ratio</f>
        <v/>
      </c>
      <c r="X1011" s="40">
        <f>SUMIFS(W971:W1011,B971:B1011,B1011-in_dpd_lag)*d_cured</f>
        <v/>
      </c>
      <c r="Y1011" s="40">
        <f>SUMIFS(W971:W1011,B971:B1011,B1011-in_rec_lag)*d_recd</f>
        <v/>
      </c>
      <c r="Z1011" s="40">
        <f>IF(AND(B1011&gt;=in_marketplace_from,B1011&lt;in_marketplace_from+in_card_months),in_card_share/in_card_months*F1011*I1011,IF(AND(B1011&gt;=in_marketplace_from+in_card_months,B1011&lt;in_marketplace_from+2*in_card_months),in_card_share*d_card_rem/in_card_months*F1011*MIN(in_takeup_cap,(1+in_takeup_growth)^(D1011-1))*MIN(in_takeup_cap,(1+in_approval_growth)^(D1011-1)),0))</f>
        <v/>
      </c>
      <c r="AA1011" s="14">
        <f>V1011*in_fee*(1-in_taken_back)</f>
        <v/>
      </c>
      <c r="AB1011" s="14">
        <f>SUMIFS(W971:W1011,B971:B1011,B1011-in_dpd_lag)*d_dpd</f>
        <v/>
      </c>
      <c r="AC1011" s="14">
        <f>SUMIFS(W971:W1011,B971:B1011,B1011-in_rec_lag)*d_rec</f>
        <v/>
      </c>
      <c r="AD1011" s="14">
        <f>Z1011*in_card_fee</f>
        <v/>
      </c>
      <c r="AE1011" s="40">
        <f>AE1010*(1-IF(B1010&gt;=in_marketplace_from,d_hz_hlth_small*G1010,0))</f>
        <v/>
      </c>
      <c r="AF1011" s="46">
        <f>AE1011*IF(B1011&gt;=in_marketplace_from,d_hz_hlth_small*G1011,0)</f>
        <v/>
      </c>
      <c r="AG1011" s="14">
        <f>F1011*AF1011*in_hlth_small_ticket*in_hlth_small_comm*in_ins_partner_share+F1011*in_hlth_small_ticket*in_hlth_small_renew_comm*in_ins_partner_share*(in_hlth_small_renew^1*SUMIFS(AF971:AF1011,B971:B1011,B1011-12)+in_hlth_small_renew^2*SUMIFS(AF971:AF1011,B971:B1011,B1011-24)+in_hlth_small_renew^3*SUMIFS(AF971:AF1011,B971:B1011,B1011-36)+in_hlth_small_renew^4*SUMIFS(AF971:AF1011,B971:B1011,B1011-48))</f>
        <v/>
      </c>
      <c r="AH1011" s="40">
        <f>AH1010*(1-IF(B1010&gt;=in_marketplace_from,d_hz_hlth_family*G1010,0))</f>
        <v/>
      </c>
      <c r="AI1011" s="46">
        <f>AH1011*IF(B1011&gt;=in_marketplace_from,d_hz_hlth_family*G1011,0)</f>
        <v/>
      </c>
      <c r="AJ1011" s="14">
        <f>F1011*AI1011*in_hlth_family_ticket*in_hlth_family_comm*in_ins_partner_share+F1011*in_hlth_family_ticket*in_hlth_family_renew_comm*in_ins_partner_share*(in_hlth_family_renew^1*SUMIFS(AI971:AI1011,B971:B1011,B1011-12)+in_hlth_family_renew^2*SUMIFS(AI971:AI1011,B971:B1011,B1011-24)+in_hlth_family_renew^3*SUMIFS(AI971:AI1011,B971:B1011,B1011-36)+in_hlth_family_renew^4*SUMIFS(AI971:AI1011,B971:B1011,B1011-48))</f>
        <v/>
      </c>
      <c r="AK1011" s="40">
        <f>AK1010*(1-IF(B1010&gt;=in_marketplace_from,d_hz_life_term*G1010,0))</f>
        <v/>
      </c>
      <c r="AL1011" s="46">
        <f>AK1011*IF(B1011&gt;=in_marketplace_from,d_hz_life_term*G1011,0)</f>
        <v/>
      </c>
      <c r="AM1011" s="14">
        <f>F1011*AL1011*in_life_term_ticket*in_life_term_comm*in_ins_partner_share+F1011*in_life_term_ticket*in_life_term_renew_comm*in_ins_partner_share*(in_life_term_renew^1*SUMIFS(AL971:AL1011,B971:B1011,B1011-12)+in_life_term_renew^2*SUMIFS(AL971:AL1011,B971:B1011,B1011-24)+in_life_term_renew^3*SUMIFS(AL971:AL1011,B971:B1011,B1011-36)+in_life_term_renew^4*SUMIFS(AL971:AL1011,B971:B1011,B1011-48))</f>
        <v/>
      </c>
      <c r="AN1011" s="40">
        <f>AN1010*(1-IF(B1010&gt;=in_marketplace_from,d_hz_accident*G1010,0))</f>
        <v/>
      </c>
      <c r="AO1011" s="46">
        <f>AN1011*IF(B1011&gt;=in_marketplace_from,d_hz_accident*G1011,0)</f>
        <v/>
      </c>
      <c r="AP1011" s="14">
        <f>F1011*AO1011*in_accident_ticket*in_accident_comm*in_ins_partner_share+F1011*in_accident_ticket*in_accident_renew_comm*in_ins_partner_share*(in_accident_renew^1*SUMIFS(AO971:AO1011,B971:B1011,B1011-12)+in_accident_renew^2*SUMIFS(AO971:AO1011,B971:B1011,B1011-24)+in_accident_renew^3*SUMIFS(AO971:AO1011,B971:B1011,B1011-36)+in_accident_renew^4*SUMIFS(AO971:AO1011,B971:B1011,B1011-48))</f>
        <v/>
      </c>
      <c r="AQ1011" s="40">
        <f>AQ1010*(1-IF(B1010&gt;=in_marketplace_from,d_hz_two_wheeler*G1010,0))</f>
        <v/>
      </c>
      <c r="AR1011" s="46">
        <f>AQ1011*IF(B1011&gt;=in_marketplace_from,d_hz_two_wheeler*G1011,0)</f>
        <v/>
      </c>
      <c r="AS1011" s="14">
        <f>F1011*AR1011*in_two_wheeler_ticket*in_two_wheeler_comm*in_ins_partner_share+F1011*in_two_wheeler_ticket*in_two_wheeler_comm*in_ins_partner_share*(in_two_wheeler_renew^1*SUMIFS(AR971:AR1011,B971:B1011,B1011-12)+in_two_wheeler_renew^2*SUMIFS(AR971:AR1011,B971:B1011,B1011-24)+in_two_wheeler_renew^3*SUMIFS(AR971:AR1011,B971:B1011,B1011-36)+in_two_wheeler_renew^4*SUMIFS(AR971:AR1011,B971:B1011,B1011-48))</f>
        <v/>
      </c>
      <c r="AT1011" s="40">
        <f>AT1010*(1-IF(B1010&gt;=in_marketplace_from,d_hz_device*G1010,0))</f>
        <v/>
      </c>
      <c r="AU1011" s="14">
        <f>F1011*AT1011*IF(B1011&gt;=in_marketplace_from,d_hz_device*G1011,0)*in_device_ticket*in_device_comm*in_ins_partner_share</f>
        <v/>
      </c>
      <c r="AV1011" s="40">
        <f>AV1010*(1-IF(B1010&gt;=in_marketplace_from,d_hz_shop*G1010,0))</f>
        <v/>
      </c>
      <c r="AW1011" s="46">
        <f>AV1011*IF(B1011&gt;=in_marketplace_from,d_hz_shop*G1011,0)</f>
        <v/>
      </c>
      <c r="AX1011" s="14">
        <f>F1011*AW1011*in_shop_ticket*in_shop_comm*in_ins_partner_share+F1011*in_shop_ticket*in_shop_renew_comm*in_ins_partner_share*(in_shop_renew^1*SUMIFS(AW971:AW1011,B971:B1011,B1011-12)+in_shop_renew^2*SUMIFS(AW971:AW1011,B971:B1011,B1011-24)+in_shop_renew^3*SUMIFS(AW971:AW1011,B971:B1011,B1011-36)+in_shop_renew^4*SUMIFS(AW971:AW1011,B971:B1011,B1011-48))</f>
        <v/>
      </c>
      <c r="AY1011" s="40">
        <f>AY1010*(1-IF(B1010&gt;=in_marketplace_from,d_hz_sip*G1010,0))</f>
        <v/>
      </c>
      <c r="AZ1011" s="40">
        <f>AZ1010*d_rho_sip+AY1011*IF(B1011&gt;=in_marketplace_from,d_hz_sip*G1011,0)</f>
        <v/>
      </c>
      <c r="BA1011" s="40">
        <f>d_rho_sip*(BA1010+AZ1010)</f>
        <v/>
      </c>
      <c r="BB1011" s="14">
        <f>F1011*in_sip_ticket*(BA1011+0.5*AZ1011)*in_sip_comm/12</f>
        <v/>
      </c>
      <c r="BC1011" s="40">
        <f>BC1010*(1-IF(B1010&gt;=in_marketplace_from,d_hz_choti*G1010,0))</f>
        <v/>
      </c>
      <c r="BD1011" s="46">
        <f>BC1011*IF(B1011&gt;=in_marketplace_from,d_hz_choti*G1011,0)</f>
        <v/>
      </c>
      <c r="BE1011" s="14">
        <f>F1011*SUMIFS(BD971:BD1011,B971:B1011,B1011-in_choti_months)*in_choti_renew*in_choti_ticket</f>
        <v/>
      </c>
      <c r="BF1011" s="40">
        <f>BF1010*(1-IF(B1010&gt;=in_marketplace_from,d_hz_nps*G1010,0))</f>
        <v/>
      </c>
      <c r="BG1011" s="14">
        <f>F1011*BF1011*IF(B1011&gt;=in_marketplace_from,d_hz_nps*G1011,0)*in_nps_ticket*in_nps_comm</f>
        <v/>
      </c>
      <c r="BH1011" s="40">
        <f>BH1010*(1-IF(B1010&gt;=in_marketplace_from,d_hz_gold*G1010,0))</f>
        <v/>
      </c>
      <c r="BI1011" s="40">
        <f>BI1010*d_rho_gold+BH1011*IF(B1011&gt;=in_marketplace_from,d_hz_gold*G1011,0)</f>
        <v/>
      </c>
      <c r="BJ1011" s="14">
        <f>F1011*BI1011*in_gold_ticket*in_gold_comm</f>
        <v/>
      </c>
      <c r="BK1011" s="40">
        <f>BK1010*(1-IF(B1010&gt;=in_marketplace_from,d_hz_fd*G1010,0))</f>
        <v/>
      </c>
      <c r="BL1011" s="14">
        <f>F1011*BK1011*IF(B1011&gt;=in_marketplace_from,d_hz_fd*G1011,0)*in_fd_ticket*in_fd_comm</f>
        <v/>
      </c>
      <c r="BM1011" s="40">
        <f>BM1010*(1-IF(B1010&gt;=in_marketplace_from,d_hz_recharge*G1010,0))</f>
        <v/>
      </c>
      <c r="BN1011" s="40">
        <f>BN1010*d_rho_recharge+BM1011*IF(B1011&gt;=in_marketplace_from,d_hz_recharge*G1011,0)</f>
        <v/>
      </c>
      <c r="BO1011" s="14">
        <f>F1011*BN1011*in_recharge_ticket*in_recharge_comm/12</f>
        <v/>
      </c>
      <c r="BP1011" s="40">
        <f>BP1010*(1-IF(B1010&gt;=in_marketplace_from,d_hz_bills*G1010,0))</f>
        <v/>
      </c>
      <c r="BQ1011" s="40">
        <f>BQ1010*d_rho_bills+BP1011*IF(B1011&gt;=in_marketplace_from,d_hz_bills*G1011,0)</f>
        <v/>
      </c>
      <c r="BR1011" s="14">
        <f>F1011*BQ1011*in_bills_ticket*in_bills_comm/12</f>
        <v/>
      </c>
      <c r="BS1011" s="40">
        <f>BS1010*(1-IF(B1010&gt;=in_marketplace_from,d_hz_loan_gold*G1010,0))</f>
        <v/>
      </c>
      <c r="BT1011" s="14">
        <f>F1011*BS1011*IF(B1011&gt;=in_marketplace_from,d_hz_loan_gold*G1011,0)*in_loan_gold_ticket*in_loan_gold_comm</f>
        <v/>
      </c>
      <c r="BU1011" s="40">
        <f>BU1010*(1-IF(B1010&gt;=in_marketplace_from,d_hz_loan_cd*G1010,0))</f>
        <v/>
      </c>
      <c r="BV1011" s="14">
        <f>F1011*BU1011*IF(B1011&gt;=in_marketplace_from,d_hz_loan_cd*G1011,0)*in_loan_cd_ticket*in_loan_cd_comm</f>
        <v/>
      </c>
      <c r="BW1011" s="40">
        <f>BW1010*(1-IF(B1010&gt;=in_marketplace_from,d_hz_loan_vehicle*G1010,0))</f>
        <v/>
      </c>
      <c r="BX1011" s="14">
        <f>F1011*BW1011*IF(B1011&gt;=in_marketplace_from,d_hz_loan_vehicle*G1011,0)*in_loan_vehicle_ticket*in_loan_vehicle_comm</f>
        <v/>
      </c>
      <c r="BY1011" s="40">
        <f>BY1010*(1-IF(B1010&gt;=in_marketplace_from,d_hz_loan_home*G1010,0)*BZ1010)</f>
        <v/>
      </c>
      <c r="BZ1011" s="11">
        <f>MIN(in_approval_cap,in_loan_home_approval*INDEX('Age profile'!$O$2:$O$61,B1011)*(1+in_approval_growth)^(D1011-1))</f>
        <v/>
      </c>
      <c r="CA1011" s="14">
        <f>F1011*BY1011*IF(B1011&gt;=in_marketplace_from,d_hz_loan_home*G1011,0)*BZ1011*in_loan_home_ticket*in_loan_home_comm</f>
        <v/>
      </c>
      <c r="CB1011" s="40">
        <f>CB1010*(1-IF(B1010&gt;=in_marketplace_from,d_hz_loan_lap*G1010,0)*CC1010)</f>
        <v/>
      </c>
      <c r="CC1011" s="11">
        <f>MIN(in_approval_cap,in_loan_lap_approval*INDEX('Age profile'!$O$2:$O$61,B1011)*(1+in_approval_growth)^(D1011-1))</f>
        <v/>
      </c>
      <c r="CD1011" s="14">
        <f>F1011*CB1011*IF(B1011&gt;=in_marketplace_from,d_hz_loan_lap*G1011,0)*CC1011*in_loan_lap_ticket*in_loan_lap_comm</f>
        <v/>
      </c>
      <c r="CE1011" s="14">
        <f>AA1011+AB1011+AC1011+AD1011+AG1011+AJ1011+AM1011+AP1011+AS1011+AU1011+AX1011+BB1011+BE1011+BG1011+BJ1011+BL1011+BO1011+BR1011+BT1011+BV1011+BX1011+CA1011+CD1011</f>
        <v/>
      </c>
    </row>
    <row r="1012">
      <c r="A1012" s="39" t="n">
        <v>21</v>
      </c>
      <c r="B1012" s="39" t="n">
        <v>1</v>
      </c>
      <c r="C1012" s="39">
        <f>A1012+B1012-1</f>
        <v/>
      </c>
      <c r="D1012" s="39">
        <f>INT((C1012-1)/12)+1</f>
        <v/>
      </c>
      <c r="E1012" s="44">
        <f>INDEX(Monthly!$B$2:$B$61,A1012)</f>
        <v/>
      </c>
      <c r="F1012" s="44">
        <f>E1012*INDEX('Age profile'!$B$2:$B$61,B1012)</f>
        <v/>
      </c>
      <c r="G1012" s="45">
        <f>MIN(in_takeup_cap,INDEX('Age profile'!$N$2:$N$61,B1012)*(1+in_takeup_growth)^(D1012-1))</f>
        <v/>
      </c>
      <c r="H1012" s="11">
        <f>MIN(in_approval_cap,in_approved_first*INDEX('Age profile'!$O$2:$O$61,B1012)*(1+in_approval_growth)^(D1012-1))</f>
        <v/>
      </c>
      <c r="I1012" s="45">
        <f>G1012*MIN(in_takeup_cap,INDEX('Age profile'!$O$2:$O$61,B1012)*(1+in_approval_growth)^(D1012-1))</f>
        <v/>
      </c>
      <c r="J1012" s="40">
        <f>E1012</f>
        <v/>
      </c>
      <c r="K1012" s="40" t="n">
        <v>0</v>
      </c>
      <c r="L1012" s="40">
        <f>IF(B1012&gt;=in_marketplace_from,J1012*d_hz*G1012*in_eligible*H1012,0)</f>
        <v/>
      </c>
      <c r="M1012" s="40">
        <f>IF(B1012&gt;=in_marketplace_from,K1012*d_hz*G1012*in_eligible*in_approved_repeat,0)</f>
        <v/>
      </c>
      <c r="N1012" s="40">
        <f>L1012+M1012</f>
        <v/>
      </c>
      <c r="O1012" s="46">
        <f>N1012/F1012</f>
        <v/>
      </c>
      <c r="P1012" s="40">
        <f>F1012-J1012-K1012</f>
        <v/>
      </c>
      <c r="Q1012" s="40">
        <f>IF(B1012&gt;=in_marketplace_from,(J1012+K1012)*d_hz*G1012,0)</f>
        <v/>
      </c>
      <c r="R1012" s="40">
        <f>SUMIFS(N1012:N1051,B1012:B1051,"&gt;="&amp;(B1012-d_T),B1012:B1051,"&lt;="&amp;(B1012-1))</f>
        <v/>
      </c>
      <c r="S1012" s="46" t="n">
        <v>0</v>
      </c>
      <c r="T1012" s="40">
        <f>F1012*d_u*S1012</f>
        <v/>
      </c>
      <c r="U1012" s="9">
        <f>L1012*in_ticket+M1012*d_rep_ticket</f>
        <v/>
      </c>
      <c r="V1012" s="9">
        <f>U1012+T1012*d_topup_amt</f>
        <v/>
      </c>
      <c r="W1012" s="40">
        <f>N1012+T1012*d_topup_ratio</f>
        <v/>
      </c>
      <c r="X1012" s="40">
        <f>SUMIFS(W1012:W1051,B1012:B1051,B1012-in_dpd_lag)*d_cured</f>
        <v/>
      </c>
      <c r="Y1012" s="40">
        <f>SUMIFS(W1012:W1051,B1012:B1051,B1012-in_rec_lag)*d_recd</f>
        <v/>
      </c>
      <c r="Z1012" s="40">
        <f>IF(AND(B1012&gt;=in_marketplace_from,B1012&lt;in_marketplace_from+in_card_months),in_card_share/in_card_months*F1012*I1012,IF(AND(B1012&gt;=in_marketplace_from+in_card_months,B1012&lt;in_marketplace_from+2*in_card_months),in_card_share*d_card_rem/in_card_months*F1012*MIN(in_takeup_cap,(1+in_takeup_growth)^(D1012-1))*MIN(in_takeup_cap,(1+in_approval_growth)^(D1012-1)),0))</f>
        <v/>
      </c>
      <c r="AA1012" s="14">
        <f>V1012*in_fee*(1-in_taken_back)</f>
        <v/>
      </c>
      <c r="AB1012" s="14">
        <f>SUMIFS(W1012:W1051,B1012:B1051,B1012-in_dpd_lag)*d_dpd</f>
        <v/>
      </c>
      <c r="AC1012" s="14">
        <f>SUMIFS(W1012:W1051,B1012:B1051,B1012-in_rec_lag)*d_rec</f>
        <v/>
      </c>
      <c r="AD1012" s="14">
        <f>Z1012*in_card_fee</f>
        <v/>
      </c>
      <c r="AE1012" s="40" t="n">
        <v>1</v>
      </c>
      <c r="AF1012" s="46">
        <f>AE1012*IF(B1012&gt;=in_marketplace_from,d_hz_hlth_small*G1012,0)</f>
        <v/>
      </c>
      <c r="AG1012" s="14">
        <f>F1012*AF1012*in_hlth_small_ticket*in_hlth_small_comm*in_ins_partner_share+F1012*in_hlth_small_ticket*in_hlth_small_renew_comm*in_ins_partner_share*(in_hlth_small_renew^1*SUMIFS(AF1012:AF1051,B1012:B1051,B1012-12)+in_hlth_small_renew^2*SUMIFS(AF1012:AF1051,B1012:B1051,B1012-24)+in_hlth_small_renew^3*SUMIFS(AF1012:AF1051,B1012:B1051,B1012-36)+in_hlth_small_renew^4*SUMIFS(AF1012:AF1051,B1012:B1051,B1012-48))</f>
        <v/>
      </c>
      <c r="AH1012" s="40" t="n">
        <v>1</v>
      </c>
      <c r="AI1012" s="46">
        <f>AH1012*IF(B1012&gt;=in_marketplace_from,d_hz_hlth_family*G1012,0)</f>
        <v/>
      </c>
      <c r="AJ1012" s="14">
        <f>F1012*AI1012*in_hlth_family_ticket*in_hlth_family_comm*in_ins_partner_share+F1012*in_hlth_family_ticket*in_hlth_family_renew_comm*in_ins_partner_share*(in_hlth_family_renew^1*SUMIFS(AI1012:AI1051,B1012:B1051,B1012-12)+in_hlth_family_renew^2*SUMIFS(AI1012:AI1051,B1012:B1051,B1012-24)+in_hlth_family_renew^3*SUMIFS(AI1012:AI1051,B1012:B1051,B1012-36)+in_hlth_family_renew^4*SUMIFS(AI1012:AI1051,B1012:B1051,B1012-48))</f>
        <v/>
      </c>
      <c r="AK1012" s="40" t="n">
        <v>1</v>
      </c>
      <c r="AL1012" s="46">
        <f>AK1012*IF(B1012&gt;=in_marketplace_from,d_hz_life_term*G1012,0)</f>
        <v/>
      </c>
      <c r="AM1012" s="14">
        <f>F1012*AL1012*in_life_term_ticket*in_life_term_comm*in_ins_partner_share+F1012*in_life_term_ticket*in_life_term_renew_comm*in_ins_partner_share*(in_life_term_renew^1*SUMIFS(AL1012:AL1051,B1012:B1051,B1012-12)+in_life_term_renew^2*SUMIFS(AL1012:AL1051,B1012:B1051,B1012-24)+in_life_term_renew^3*SUMIFS(AL1012:AL1051,B1012:B1051,B1012-36)+in_life_term_renew^4*SUMIFS(AL1012:AL1051,B1012:B1051,B1012-48))</f>
        <v/>
      </c>
      <c r="AN1012" s="40" t="n">
        <v>1</v>
      </c>
      <c r="AO1012" s="46">
        <f>AN1012*IF(B1012&gt;=in_marketplace_from,d_hz_accident*G1012,0)</f>
        <v/>
      </c>
      <c r="AP1012" s="14">
        <f>F1012*AO1012*in_accident_ticket*in_accident_comm*in_ins_partner_share+F1012*in_accident_ticket*in_accident_renew_comm*in_ins_partner_share*(in_accident_renew^1*SUMIFS(AO1012:AO1051,B1012:B1051,B1012-12)+in_accident_renew^2*SUMIFS(AO1012:AO1051,B1012:B1051,B1012-24)+in_accident_renew^3*SUMIFS(AO1012:AO1051,B1012:B1051,B1012-36)+in_accident_renew^4*SUMIFS(AO1012:AO1051,B1012:B1051,B1012-48))</f>
        <v/>
      </c>
      <c r="AQ1012" s="40" t="n">
        <v>1</v>
      </c>
      <c r="AR1012" s="46">
        <f>AQ1012*IF(B1012&gt;=in_marketplace_from,d_hz_two_wheeler*G1012,0)</f>
        <v/>
      </c>
      <c r="AS1012" s="14">
        <f>F1012*AR1012*in_two_wheeler_ticket*in_two_wheeler_comm*in_ins_partner_share+F1012*in_two_wheeler_ticket*in_two_wheeler_comm*in_ins_partner_share*(in_two_wheeler_renew^1*SUMIFS(AR1012:AR1051,B1012:B1051,B1012-12)+in_two_wheeler_renew^2*SUMIFS(AR1012:AR1051,B1012:B1051,B1012-24)+in_two_wheeler_renew^3*SUMIFS(AR1012:AR1051,B1012:B1051,B1012-36)+in_two_wheeler_renew^4*SUMIFS(AR1012:AR1051,B1012:B1051,B1012-48))</f>
        <v/>
      </c>
      <c r="AT1012" s="40" t="n">
        <v>1</v>
      </c>
      <c r="AU1012" s="14">
        <f>F1012*AT1012*IF(B1012&gt;=in_marketplace_from,d_hz_device*G1012,0)*in_device_ticket*in_device_comm*in_ins_partner_share</f>
        <v/>
      </c>
      <c r="AV1012" s="40" t="n">
        <v>1</v>
      </c>
      <c r="AW1012" s="46">
        <f>AV1012*IF(B1012&gt;=in_marketplace_from,d_hz_shop*G1012,0)</f>
        <v/>
      </c>
      <c r="AX1012" s="14">
        <f>F1012*AW1012*in_shop_ticket*in_shop_comm*in_ins_partner_share+F1012*in_shop_ticket*in_shop_renew_comm*in_ins_partner_share*(in_shop_renew^1*SUMIFS(AW1012:AW1051,B1012:B1051,B1012-12)+in_shop_renew^2*SUMIFS(AW1012:AW1051,B1012:B1051,B1012-24)+in_shop_renew^3*SUMIFS(AW1012:AW1051,B1012:B1051,B1012-36)+in_shop_renew^4*SUMIFS(AW1012:AW1051,B1012:B1051,B1012-48))</f>
        <v/>
      </c>
      <c r="AY1012" s="40" t="n">
        <v>1</v>
      </c>
      <c r="AZ1012" s="40">
        <f>AY1012*IF(B1012&gt;=in_marketplace_from,d_hz_sip*G1012,0)</f>
        <v/>
      </c>
      <c r="BA1012" s="40" t="n">
        <v>0</v>
      </c>
      <c r="BB1012" s="14">
        <f>F1012*in_sip_ticket*(BA1012+0.5*AZ1012)*in_sip_comm/12</f>
        <v/>
      </c>
      <c r="BC1012" s="40" t="n">
        <v>1</v>
      </c>
      <c r="BD1012" s="46">
        <f>BC1012*IF(B1012&gt;=in_marketplace_from,d_hz_choti*G1012,0)</f>
        <v/>
      </c>
      <c r="BE1012" s="14">
        <f>F1012*SUMIFS(BD1012:BD1051,B1012:B1051,B1012-in_choti_months)*in_choti_renew*in_choti_ticket</f>
        <v/>
      </c>
      <c r="BF1012" s="40" t="n">
        <v>1</v>
      </c>
      <c r="BG1012" s="14">
        <f>F1012*BF1012*IF(B1012&gt;=in_marketplace_from,d_hz_nps*G1012,0)*in_nps_ticket*in_nps_comm</f>
        <v/>
      </c>
      <c r="BH1012" s="40" t="n">
        <v>1</v>
      </c>
      <c r="BI1012" s="40">
        <f>BH1012*IF(B1012&gt;=in_marketplace_from,d_hz_gold*G1012,0)</f>
        <v/>
      </c>
      <c r="BJ1012" s="14">
        <f>F1012*BI1012*in_gold_ticket*in_gold_comm</f>
        <v/>
      </c>
      <c r="BK1012" s="40" t="n">
        <v>1</v>
      </c>
      <c r="BL1012" s="14">
        <f>F1012*BK1012*IF(B1012&gt;=in_marketplace_from,d_hz_fd*G1012,0)*in_fd_ticket*in_fd_comm</f>
        <v/>
      </c>
      <c r="BM1012" s="40" t="n">
        <v>1</v>
      </c>
      <c r="BN1012" s="40">
        <f>BM1012*IF(B1012&gt;=in_marketplace_from,d_hz_recharge*G1012,0)</f>
        <v/>
      </c>
      <c r="BO1012" s="14">
        <f>F1012*BN1012*in_recharge_ticket*in_recharge_comm/12</f>
        <v/>
      </c>
      <c r="BP1012" s="40" t="n">
        <v>1</v>
      </c>
      <c r="BQ1012" s="40">
        <f>BP1012*IF(B1012&gt;=in_marketplace_from,d_hz_bills*G1012,0)</f>
        <v/>
      </c>
      <c r="BR1012" s="14">
        <f>F1012*BQ1012*in_bills_ticket*in_bills_comm/12</f>
        <v/>
      </c>
      <c r="BS1012" s="40" t="n">
        <v>1</v>
      </c>
      <c r="BT1012" s="14">
        <f>F1012*BS1012*IF(B1012&gt;=in_marketplace_from,d_hz_loan_gold*G1012,0)*in_loan_gold_ticket*in_loan_gold_comm</f>
        <v/>
      </c>
      <c r="BU1012" s="40" t="n">
        <v>1</v>
      </c>
      <c r="BV1012" s="14">
        <f>F1012*BU1012*IF(B1012&gt;=in_marketplace_from,d_hz_loan_cd*G1012,0)*in_loan_cd_ticket*in_loan_cd_comm</f>
        <v/>
      </c>
      <c r="BW1012" s="40" t="n">
        <v>1</v>
      </c>
      <c r="BX1012" s="14">
        <f>F1012*BW1012*IF(B1012&gt;=in_marketplace_from,d_hz_loan_vehicle*G1012,0)*in_loan_vehicle_ticket*in_loan_vehicle_comm</f>
        <v/>
      </c>
      <c r="BY1012" s="40" t="n">
        <v>1</v>
      </c>
      <c r="BZ1012" s="11">
        <f>MIN(in_approval_cap,in_loan_home_approval*INDEX('Age profile'!$O$2:$O$61,B1012)*(1+in_approval_growth)^(D1012-1))</f>
        <v/>
      </c>
      <c r="CA1012" s="14">
        <f>F1012*BY1012*IF(B1012&gt;=in_marketplace_from,d_hz_loan_home*G1012,0)*BZ1012*in_loan_home_ticket*in_loan_home_comm</f>
        <v/>
      </c>
      <c r="CB1012" s="40" t="n">
        <v>1</v>
      </c>
      <c r="CC1012" s="11">
        <f>MIN(in_approval_cap,in_loan_lap_approval*INDEX('Age profile'!$O$2:$O$61,B1012)*(1+in_approval_growth)^(D1012-1))</f>
        <v/>
      </c>
      <c r="CD1012" s="14">
        <f>F1012*CB1012*IF(B1012&gt;=in_marketplace_from,d_hz_loan_lap*G1012,0)*CC1012*in_loan_lap_ticket*in_loan_lap_comm</f>
        <v/>
      </c>
      <c r="CE1012" s="14">
        <f>AA1012+AB1012+AC1012+AD1012+AG1012+AJ1012+AM1012+AP1012+AS1012+AU1012+AX1012+BB1012+BE1012+BG1012+BJ1012+BL1012+BO1012+BR1012+BT1012+BV1012+BX1012+CA1012+CD1012</f>
        <v/>
      </c>
    </row>
    <row r="1013">
      <c r="A1013" s="39" t="n">
        <v>21</v>
      </c>
      <c r="B1013" s="39" t="n">
        <v>2</v>
      </c>
      <c r="C1013" s="39">
        <f>A1013+B1013-1</f>
        <v/>
      </c>
      <c r="D1013" s="39">
        <f>INT((C1013-1)/12)+1</f>
        <v/>
      </c>
      <c r="E1013" s="44">
        <f>INDEX(Monthly!$B$2:$B$61,A1013)</f>
        <v/>
      </c>
      <c r="F1013" s="44">
        <f>E1013*INDEX('Age profile'!$B$2:$B$61,B1013)</f>
        <v/>
      </c>
      <c r="G1013" s="45">
        <f>MIN(in_takeup_cap,INDEX('Age profile'!$N$2:$N$61,B1013)*(1+in_takeup_growth)^(D1013-1))</f>
        <v/>
      </c>
      <c r="H1013" s="11">
        <f>MIN(in_approval_cap,in_approved_first*INDEX('Age profile'!$O$2:$O$61,B1013)*(1+in_approval_growth)^(D1013-1))</f>
        <v/>
      </c>
      <c r="I1013" s="45">
        <f>G1013*MIN(in_takeup_cap,INDEX('Age profile'!$O$2:$O$61,B1013)*(1+in_approval_growth)^(D1013-1))</f>
        <v/>
      </c>
      <c r="J1013" s="40">
        <f>(J1012-L1012)*F1013/F1012</f>
        <v/>
      </c>
      <c r="K1013" s="40">
        <f>(K1012-M1012)*F1013/F1012+SUMIFS(O1012:O1012,B1012:B1012,B1013-1-d_T)*F1013</f>
        <v/>
      </c>
      <c r="L1013" s="40">
        <f>IF(B1013&gt;=in_marketplace_from,J1013*d_hz*G1013*in_eligible*H1013,0)</f>
        <v/>
      </c>
      <c r="M1013" s="40">
        <f>IF(B1013&gt;=in_marketplace_from,K1013*d_hz*G1013*in_eligible*in_approved_repeat,0)</f>
        <v/>
      </c>
      <c r="N1013" s="40">
        <f>L1013+M1013</f>
        <v/>
      </c>
      <c r="O1013" s="46">
        <f>N1013/F1013</f>
        <v/>
      </c>
      <c r="P1013" s="40">
        <f>F1013-J1013-K1013</f>
        <v/>
      </c>
      <c r="Q1013" s="40">
        <f>IF(B1013&gt;=in_marketplace_from,(J1013+K1013)*d_hz*G1013,0)</f>
        <v/>
      </c>
      <c r="R1013" s="40">
        <f>SUMIFS(N1012:N1051,B1012:B1051,"&gt;="&amp;(B1013-d_T),B1012:B1051,"&lt;="&amp;(B1013-1))</f>
        <v/>
      </c>
      <c r="S1013" s="46">
        <f>(1-d_u)*S1012+IF(d_T&gt;in_topup_lag,SUMIFS(O1012:O1051,B1012:B1051,B1013-in_topup_lag)-d_udrop*SUMIFS(O1012:O1051,B1012:B1051,B1013-d_T),0)</f>
        <v/>
      </c>
      <c r="T1013" s="40">
        <f>F1013*d_u*S1013</f>
        <v/>
      </c>
      <c r="U1013" s="9">
        <f>L1013*in_ticket+M1013*d_rep_ticket</f>
        <v/>
      </c>
      <c r="V1013" s="9">
        <f>U1013+T1013*d_topup_amt</f>
        <v/>
      </c>
      <c r="W1013" s="40">
        <f>N1013+T1013*d_topup_ratio</f>
        <v/>
      </c>
      <c r="X1013" s="40">
        <f>SUMIFS(W1012:W1051,B1012:B1051,B1013-in_dpd_lag)*d_cured</f>
        <v/>
      </c>
      <c r="Y1013" s="40">
        <f>SUMIFS(W1012:W1051,B1012:B1051,B1013-in_rec_lag)*d_recd</f>
        <v/>
      </c>
      <c r="Z1013" s="40">
        <f>IF(AND(B1013&gt;=in_marketplace_from,B1013&lt;in_marketplace_from+in_card_months),in_card_share/in_card_months*F1013*I1013,IF(AND(B1013&gt;=in_marketplace_from+in_card_months,B1013&lt;in_marketplace_from+2*in_card_months),in_card_share*d_card_rem/in_card_months*F1013*MIN(in_takeup_cap,(1+in_takeup_growth)^(D1013-1))*MIN(in_takeup_cap,(1+in_approval_growth)^(D1013-1)),0))</f>
        <v/>
      </c>
      <c r="AA1013" s="14">
        <f>V1013*in_fee*(1-in_taken_back)</f>
        <v/>
      </c>
      <c r="AB1013" s="14">
        <f>SUMIFS(W1012:W1051,B1012:B1051,B1013-in_dpd_lag)*d_dpd</f>
        <v/>
      </c>
      <c r="AC1013" s="14">
        <f>SUMIFS(W1012:W1051,B1012:B1051,B1013-in_rec_lag)*d_rec</f>
        <v/>
      </c>
      <c r="AD1013" s="14">
        <f>Z1013*in_card_fee</f>
        <v/>
      </c>
      <c r="AE1013" s="40">
        <f>AE1012*(1-IF(B1012&gt;=in_marketplace_from,d_hz_hlth_small*G1012,0))</f>
        <v/>
      </c>
      <c r="AF1013" s="46">
        <f>AE1013*IF(B1013&gt;=in_marketplace_from,d_hz_hlth_small*G1013,0)</f>
        <v/>
      </c>
      <c r="AG1013" s="14">
        <f>F1013*AF1013*in_hlth_small_ticket*in_hlth_small_comm*in_ins_partner_share+F1013*in_hlth_small_ticket*in_hlth_small_renew_comm*in_ins_partner_share*(in_hlth_small_renew^1*SUMIFS(AF1012:AF1051,B1012:B1051,B1013-12)+in_hlth_small_renew^2*SUMIFS(AF1012:AF1051,B1012:B1051,B1013-24)+in_hlth_small_renew^3*SUMIFS(AF1012:AF1051,B1012:B1051,B1013-36)+in_hlth_small_renew^4*SUMIFS(AF1012:AF1051,B1012:B1051,B1013-48))</f>
        <v/>
      </c>
      <c r="AH1013" s="40">
        <f>AH1012*(1-IF(B1012&gt;=in_marketplace_from,d_hz_hlth_family*G1012,0))</f>
        <v/>
      </c>
      <c r="AI1013" s="46">
        <f>AH1013*IF(B1013&gt;=in_marketplace_from,d_hz_hlth_family*G1013,0)</f>
        <v/>
      </c>
      <c r="AJ1013" s="14">
        <f>F1013*AI1013*in_hlth_family_ticket*in_hlth_family_comm*in_ins_partner_share+F1013*in_hlth_family_ticket*in_hlth_family_renew_comm*in_ins_partner_share*(in_hlth_family_renew^1*SUMIFS(AI1012:AI1051,B1012:B1051,B1013-12)+in_hlth_family_renew^2*SUMIFS(AI1012:AI1051,B1012:B1051,B1013-24)+in_hlth_family_renew^3*SUMIFS(AI1012:AI1051,B1012:B1051,B1013-36)+in_hlth_family_renew^4*SUMIFS(AI1012:AI1051,B1012:B1051,B1013-48))</f>
        <v/>
      </c>
      <c r="AK1013" s="40">
        <f>AK1012*(1-IF(B1012&gt;=in_marketplace_from,d_hz_life_term*G1012,0))</f>
        <v/>
      </c>
      <c r="AL1013" s="46">
        <f>AK1013*IF(B1013&gt;=in_marketplace_from,d_hz_life_term*G1013,0)</f>
        <v/>
      </c>
      <c r="AM1013" s="14">
        <f>F1013*AL1013*in_life_term_ticket*in_life_term_comm*in_ins_partner_share+F1013*in_life_term_ticket*in_life_term_renew_comm*in_ins_partner_share*(in_life_term_renew^1*SUMIFS(AL1012:AL1051,B1012:B1051,B1013-12)+in_life_term_renew^2*SUMIFS(AL1012:AL1051,B1012:B1051,B1013-24)+in_life_term_renew^3*SUMIFS(AL1012:AL1051,B1012:B1051,B1013-36)+in_life_term_renew^4*SUMIFS(AL1012:AL1051,B1012:B1051,B1013-48))</f>
        <v/>
      </c>
      <c r="AN1013" s="40">
        <f>AN1012*(1-IF(B1012&gt;=in_marketplace_from,d_hz_accident*G1012,0))</f>
        <v/>
      </c>
      <c r="AO1013" s="46">
        <f>AN1013*IF(B1013&gt;=in_marketplace_from,d_hz_accident*G1013,0)</f>
        <v/>
      </c>
      <c r="AP1013" s="14">
        <f>F1013*AO1013*in_accident_ticket*in_accident_comm*in_ins_partner_share+F1013*in_accident_ticket*in_accident_renew_comm*in_ins_partner_share*(in_accident_renew^1*SUMIFS(AO1012:AO1051,B1012:B1051,B1013-12)+in_accident_renew^2*SUMIFS(AO1012:AO1051,B1012:B1051,B1013-24)+in_accident_renew^3*SUMIFS(AO1012:AO1051,B1012:B1051,B1013-36)+in_accident_renew^4*SUMIFS(AO1012:AO1051,B1012:B1051,B1013-48))</f>
        <v/>
      </c>
      <c r="AQ1013" s="40">
        <f>AQ1012*(1-IF(B1012&gt;=in_marketplace_from,d_hz_two_wheeler*G1012,0))</f>
        <v/>
      </c>
      <c r="AR1013" s="46">
        <f>AQ1013*IF(B1013&gt;=in_marketplace_from,d_hz_two_wheeler*G1013,0)</f>
        <v/>
      </c>
      <c r="AS1013" s="14">
        <f>F1013*AR1013*in_two_wheeler_ticket*in_two_wheeler_comm*in_ins_partner_share+F1013*in_two_wheeler_ticket*in_two_wheeler_comm*in_ins_partner_share*(in_two_wheeler_renew^1*SUMIFS(AR1012:AR1051,B1012:B1051,B1013-12)+in_two_wheeler_renew^2*SUMIFS(AR1012:AR1051,B1012:B1051,B1013-24)+in_two_wheeler_renew^3*SUMIFS(AR1012:AR1051,B1012:B1051,B1013-36)+in_two_wheeler_renew^4*SUMIFS(AR1012:AR1051,B1012:B1051,B1013-48))</f>
        <v/>
      </c>
      <c r="AT1013" s="40">
        <f>AT1012*(1-IF(B1012&gt;=in_marketplace_from,d_hz_device*G1012,0))</f>
        <v/>
      </c>
      <c r="AU1013" s="14">
        <f>F1013*AT1013*IF(B1013&gt;=in_marketplace_from,d_hz_device*G1013,0)*in_device_ticket*in_device_comm*in_ins_partner_share</f>
        <v/>
      </c>
      <c r="AV1013" s="40">
        <f>AV1012*(1-IF(B1012&gt;=in_marketplace_from,d_hz_shop*G1012,0))</f>
        <v/>
      </c>
      <c r="AW1013" s="46">
        <f>AV1013*IF(B1013&gt;=in_marketplace_from,d_hz_shop*G1013,0)</f>
        <v/>
      </c>
      <c r="AX1013" s="14">
        <f>F1013*AW1013*in_shop_ticket*in_shop_comm*in_ins_partner_share+F1013*in_shop_ticket*in_shop_renew_comm*in_ins_partner_share*(in_shop_renew^1*SUMIFS(AW1012:AW1051,B1012:B1051,B1013-12)+in_shop_renew^2*SUMIFS(AW1012:AW1051,B1012:B1051,B1013-24)+in_shop_renew^3*SUMIFS(AW1012:AW1051,B1012:B1051,B1013-36)+in_shop_renew^4*SUMIFS(AW1012:AW1051,B1012:B1051,B1013-48))</f>
        <v/>
      </c>
      <c r="AY1013" s="40">
        <f>AY1012*(1-IF(B1012&gt;=in_marketplace_from,d_hz_sip*G1012,0))</f>
        <v/>
      </c>
      <c r="AZ1013" s="40">
        <f>AZ1012*d_rho_sip+AY1013*IF(B1013&gt;=in_marketplace_from,d_hz_sip*G1013,0)</f>
        <v/>
      </c>
      <c r="BA1013" s="40">
        <f>d_rho_sip*(BA1012+AZ1012)</f>
        <v/>
      </c>
      <c r="BB1013" s="14">
        <f>F1013*in_sip_ticket*(BA1013+0.5*AZ1013)*in_sip_comm/12</f>
        <v/>
      </c>
      <c r="BC1013" s="40">
        <f>BC1012*(1-IF(B1012&gt;=in_marketplace_from,d_hz_choti*G1012,0))</f>
        <v/>
      </c>
      <c r="BD1013" s="46">
        <f>BC1013*IF(B1013&gt;=in_marketplace_from,d_hz_choti*G1013,0)</f>
        <v/>
      </c>
      <c r="BE1013" s="14">
        <f>F1013*SUMIFS(BD1012:BD1051,B1012:B1051,B1013-in_choti_months)*in_choti_renew*in_choti_ticket</f>
        <v/>
      </c>
      <c r="BF1013" s="40">
        <f>BF1012*(1-IF(B1012&gt;=in_marketplace_from,d_hz_nps*G1012,0))</f>
        <v/>
      </c>
      <c r="BG1013" s="14">
        <f>F1013*BF1013*IF(B1013&gt;=in_marketplace_from,d_hz_nps*G1013,0)*in_nps_ticket*in_nps_comm</f>
        <v/>
      </c>
      <c r="BH1013" s="40">
        <f>BH1012*(1-IF(B1012&gt;=in_marketplace_from,d_hz_gold*G1012,0))</f>
        <v/>
      </c>
      <c r="BI1013" s="40">
        <f>BI1012*d_rho_gold+BH1013*IF(B1013&gt;=in_marketplace_from,d_hz_gold*G1013,0)</f>
        <v/>
      </c>
      <c r="BJ1013" s="14">
        <f>F1013*BI1013*in_gold_ticket*in_gold_comm</f>
        <v/>
      </c>
      <c r="BK1013" s="40">
        <f>BK1012*(1-IF(B1012&gt;=in_marketplace_from,d_hz_fd*G1012,0))</f>
        <v/>
      </c>
      <c r="BL1013" s="14">
        <f>F1013*BK1013*IF(B1013&gt;=in_marketplace_from,d_hz_fd*G1013,0)*in_fd_ticket*in_fd_comm</f>
        <v/>
      </c>
      <c r="BM1013" s="40">
        <f>BM1012*(1-IF(B1012&gt;=in_marketplace_from,d_hz_recharge*G1012,0))</f>
        <v/>
      </c>
      <c r="BN1013" s="40">
        <f>BN1012*d_rho_recharge+BM1013*IF(B1013&gt;=in_marketplace_from,d_hz_recharge*G1013,0)</f>
        <v/>
      </c>
      <c r="BO1013" s="14">
        <f>F1013*BN1013*in_recharge_ticket*in_recharge_comm/12</f>
        <v/>
      </c>
      <c r="BP1013" s="40">
        <f>BP1012*(1-IF(B1012&gt;=in_marketplace_from,d_hz_bills*G1012,0))</f>
        <v/>
      </c>
      <c r="BQ1013" s="40">
        <f>BQ1012*d_rho_bills+BP1013*IF(B1013&gt;=in_marketplace_from,d_hz_bills*G1013,0)</f>
        <v/>
      </c>
      <c r="BR1013" s="14">
        <f>F1013*BQ1013*in_bills_ticket*in_bills_comm/12</f>
        <v/>
      </c>
      <c r="BS1013" s="40">
        <f>BS1012*(1-IF(B1012&gt;=in_marketplace_from,d_hz_loan_gold*G1012,0))</f>
        <v/>
      </c>
      <c r="BT1013" s="14">
        <f>F1013*BS1013*IF(B1013&gt;=in_marketplace_from,d_hz_loan_gold*G1013,0)*in_loan_gold_ticket*in_loan_gold_comm</f>
        <v/>
      </c>
      <c r="BU1013" s="40">
        <f>BU1012*(1-IF(B1012&gt;=in_marketplace_from,d_hz_loan_cd*G1012,0))</f>
        <v/>
      </c>
      <c r="BV1013" s="14">
        <f>F1013*BU1013*IF(B1013&gt;=in_marketplace_from,d_hz_loan_cd*G1013,0)*in_loan_cd_ticket*in_loan_cd_comm</f>
        <v/>
      </c>
      <c r="BW1013" s="40">
        <f>BW1012*(1-IF(B1012&gt;=in_marketplace_from,d_hz_loan_vehicle*G1012,0))</f>
        <v/>
      </c>
      <c r="BX1013" s="14">
        <f>F1013*BW1013*IF(B1013&gt;=in_marketplace_from,d_hz_loan_vehicle*G1013,0)*in_loan_vehicle_ticket*in_loan_vehicle_comm</f>
        <v/>
      </c>
      <c r="BY1013" s="40">
        <f>BY1012*(1-IF(B1012&gt;=in_marketplace_from,d_hz_loan_home*G1012,0)*BZ1012)</f>
        <v/>
      </c>
      <c r="BZ1013" s="11">
        <f>MIN(in_approval_cap,in_loan_home_approval*INDEX('Age profile'!$O$2:$O$61,B1013)*(1+in_approval_growth)^(D1013-1))</f>
        <v/>
      </c>
      <c r="CA1013" s="14">
        <f>F1013*BY1013*IF(B1013&gt;=in_marketplace_from,d_hz_loan_home*G1013,0)*BZ1013*in_loan_home_ticket*in_loan_home_comm</f>
        <v/>
      </c>
      <c r="CB1013" s="40">
        <f>CB1012*(1-IF(B1012&gt;=in_marketplace_from,d_hz_loan_lap*G1012,0)*CC1012)</f>
        <v/>
      </c>
      <c r="CC1013" s="11">
        <f>MIN(in_approval_cap,in_loan_lap_approval*INDEX('Age profile'!$O$2:$O$61,B1013)*(1+in_approval_growth)^(D1013-1))</f>
        <v/>
      </c>
      <c r="CD1013" s="14">
        <f>F1013*CB1013*IF(B1013&gt;=in_marketplace_from,d_hz_loan_lap*G1013,0)*CC1013*in_loan_lap_ticket*in_loan_lap_comm</f>
        <v/>
      </c>
      <c r="CE1013" s="14">
        <f>AA1013+AB1013+AC1013+AD1013+AG1013+AJ1013+AM1013+AP1013+AS1013+AU1013+AX1013+BB1013+BE1013+BG1013+BJ1013+BL1013+BO1013+BR1013+BT1013+BV1013+BX1013+CA1013+CD1013</f>
        <v/>
      </c>
    </row>
    <row r="1014">
      <c r="A1014" s="39" t="n">
        <v>21</v>
      </c>
      <c r="B1014" s="39" t="n">
        <v>3</v>
      </c>
      <c r="C1014" s="39">
        <f>A1014+B1014-1</f>
        <v/>
      </c>
      <c r="D1014" s="39">
        <f>INT((C1014-1)/12)+1</f>
        <v/>
      </c>
      <c r="E1014" s="44">
        <f>INDEX(Monthly!$B$2:$B$61,A1014)</f>
        <v/>
      </c>
      <c r="F1014" s="44">
        <f>E1014*INDEX('Age profile'!$B$2:$B$61,B1014)</f>
        <v/>
      </c>
      <c r="G1014" s="45">
        <f>MIN(in_takeup_cap,INDEX('Age profile'!$N$2:$N$61,B1014)*(1+in_takeup_growth)^(D1014-1))</f>
        <v/>
      </c>
      <c r="H1014" s="11">
        <f>MIN(in_approval_cap,in_approved_first*INDEX('Age profile'!$O$2:$O$61,B1014)*(1+in_approval_growth)^(D1014-1))</f>
        <v/>
      </c>
      <c r="I1014" s="45">
        <f>G1014*MIN(in_takeup_cap,INDEX('Age profile'!$O$2:$O$61,B1014)*(1+in_approval_growth)^(D1014-1))</f>
        <v/>
      </c>
      <c r="J1014" s="40">
        <f>(J1013-L1013)*F1014/F1013</f>
        <v/>
      </c>
      <c r="K1014" s="40">
        <f>(K1013-M1013)*F1014/F1013+SUMIFS(O1012:O1013,B1012:B1013,B1014-1-d_T)*F1014</f>
        <v/>
      </c>
      <c r="L1014" s="40">
        <f>IF(B1014&gt;=in_marketplace_from,J1014*d_hz*G1014*in_eligible*H1014,0)</f>
        <v/>
      </c>
      <c r="M1014" s="40">
        <f>IF(B1014&gt;=in_marketplace_from,K1014*d_hz*G1014*in_eligible*in_approved_repeat,0)</f>
        <v/>
      </c>
      <c r="N1014" s="40">
        <f>L1014+M1014</f>
        <v/>
      </c>
      <c r="O1014" s="46">
        <f>N1014/F1014</f>
        <v/>
      </c>
      <c r="P1014" s="40">
        <f>F1014-J1014-K1014</f>
        <v/>
      </c>
      <c r="Q1014" s="40">
        <f>IF(B1014&gt;=in_marketplace_from,(J1014+K1014)*d_hz*G1014,0)</f>
        <v/>
      </c>
      <c r="R1014" s="40">
        <f>SUMIFS(N1012:N1051,B1012:B1051,"&gt;="&amp;(B1014-d_T),B1012:B1051,"&lt;="&amp;(B1014-1))</f>
        <v/>
      </c>
      <c r="S1014" s="46">
        <f>(1-d_u)*S1013+IF(d_T&gt;in_topup_lag,SUMIFS(O1012:O1051,B1012:B1051,B1014-in_topup_lag)-d_udrop*SUMIFS(O1012:O1051,B1012:B1051,B1014-d_T),0)</f>
        <v/>
      </c>
      <c r="T1014" s="40">
        <f>F1014*d_u*S1014</f>
        <v/>
      </c>
      <c r="U1014" s="9">
        <f>L1014*in_ticket+M1014*d_rep_ticket</f>
        <v/>
      </c>
      <c r="V1014" s="9">
        <f>U1014+T1014*d_topup_amt</f>
        <v/>
      </c>
      <c r="W1014" s="40">
        <f>N1014+T1014*d_topup_ratio</f>
        <v/>
      </c>
      <c r="X1014" s="40">
        <f>SUMIFS(W1012:W1051,B1012:B1051,B1014-in_dpd_lag)*d_cured</f>
        <v/>
      </c>
      <c r="Y1014" s="40">
        <f>SUMIFS(W1012:W1051,B1012:B1051,B1014-in_rec_lag)*d_recd</f>
        <v/>
      </c>
      <c r="Z1014" s="40">
        <f>IF(AND(B1014&gt;=in_marketplace_from,B1014&lt;in_marketplace_from+in_card_months),in_card_share/in_card_months*F1014*I1014,IF(AND(B1014&gt;=in_marketplace_from+in_card_months,B1014&lt;in_marketplace_from+2*in_card_months),in_card_share*d_card_rem/in_card_months*F1014*MIN(in_takeup_cap,(1+in_takeup_growth)^(D1014-1))*MIN(in_takeup_cap,(1+in_approval_growth)^(D1014-1)),0))</f>
        <v/>
      </c>
      <c r="AA1014" s="14">
        <f>V1014*in_fee*(1-in_taken_back)</f>
        <v/>
      </c>
      <c r="AB1014" s="14">
        <f>SUMIFS(W1012:W1051,B1012:B1051,B1014-in_dpd_lag)*d_dpd</f>
        <v/>
      </c>
      <c r="AC1014" s="14">
        <f>SUMIFS(W1012:W1051,B1012:B1051,B1014-in_rec_lag)*d_rec</f>
        <v/>
      </c>
      <c r="AD1014" s="14">
        <f>Z1014*in_card_fee</f>
        <v/>
      </c>
      <c r="AE1014" s="40">
        <f>AE1013*(1-IF(B1013&gt;=in_marketplace_from,d_hz_hlth_small*G1013,0))</f>
        <v/>
      </c>
      <c r="AF1014" s="46">
        <f>AE1014*IF(B1014&gt;=in_marketplace_from,d_hz_hlth_small*G1014,0)</f>
        <v/>
      </c>
      <c r="AG1014" s="14">
        <f>F1014*AF1014*in_hlth_small_ticket*in_hlth_small_comm*in_ins_partner_share+F1014*in_hlth_small_ticket*in_hlth_small_renew_comm*in_ins_partner_share*(in_hlth_small_renew^1*SUMIFS(AF1012:AF1051,B1012:B1051,B1014-12)+in_hlth_small_renew^2*SUMIFS(AF1012:AF1051,B1012:B1051,B1014-24)+in_hlth_small_renew^3*SUMIFS(AF1012:AF1051,B1012:B1051,B1014-36)+in_hlth_small_renew^4*SUMIFS(AF1012:AF1051,B1012:B1051,B1014-48))</f>
        <v/>
      </c>
      <c r="AH1014" s="40">
        <f>AH1013*(1-IF(B1013&gt;=in_marketplace_from,d_hz_hlth_family*G1013,0))</f>
        <v/>
      </c>
      <c r="AI1014" s="46">
        <f>AH1014*IF(B1014&gt;=in_marketplace_from,d_hz_hlth_family*G1014,0)</f>
        <v/>
      </c>
      <c r="AJ1014" s="14">
        <f>F1014*AI1014*in_hlth_family_ticket*in_hlth_family_comm*in_ins_partner_share+F1014*in_hlth_family_ticket*in_hlth_family_renew_comm*in_ins_partner_share*(in_hlth_family_renew^1*SUMIFS(AI1012:AI1051,B1012:B1051,B1014-12)+in_hlth_family_renew^2*SUMIFS(AI1012:AI1051,B1012:B1051,B1014-24)+in_hlth_family_renew^3*SUMIFS(AI1012:AI1051,B1012:B1051,B1014-36)+in_hlth_family_renew^4*SUMIFS(AI1012:AI1051,B1012:B1051,B1014-48))</f>
        <v/>
      </c>
      <c r="AK1014" s="40">
        <f>AK1013*(1-IF(B1013&gt;=in_marketplace_from,d_hz_life_term*G1013,0))</f>
        <v/>
      </c>
      <c r="AL1014" s="46">
        <f>AK1014*IF(B1014&gt;=in_marketplace_from,d_hz_life_term*G1014,0)</f>
        <v/>
      </c>
      <c r="AM1014" s="14">
        <f>F1014*AL1014*in_life_term_ticket*in_life_term_comm*in_ins_partner_share+F1014*in_life_term_ticket*in_life_term_renew_comm*in_ins_partner_share*(in_life_term_renew^1*SUMIFS(AL1012:AL1051,B1012:B1051,B1014-12)+in_life_term_renew^2*SUMIFS(AL1012:AL1051,B1012:B1051,B1014-24)+in_life_term_renew^3*SUMIFS(AL1012:AL1051,B1012:B1051,B1014-36)+in_life_term_renew^4*SUMIFS(AL1012:AL1051,B1012:B1051,B1014-48))</f>
        <v/>
      </c>
      <c r="AN1014" s="40">
        <f>AN1013*(1-IF(B1013&gt;=in_marketplace_from,d_hz_accident*G1013,0))</f>
        <v/>
      </c>
      <c r="AO1014" s="46">
        <f>AN1014*IF(B1014&gt;=in_marketplace_from,d_hz_accident*G1014,0)</f>
        <v/>
      </c>
      <c r="AP1014" s="14">
        <f>F1014*AO1014*in_accident_ticket*in_accident_comm*in_ins_partner_share+F1014*in_accident_ticket*in_accident_renew_comm*in_ins_partner_share*(in_accident_renew^1*SUMIFS(AO1012:AO1051,B1012:B1051,B1014-12)+in_accident_renew^2*SUMIFS(AO1012:AO1051,B1012:B1051,B1014-24)+in_accident_renew^3*SUMIFS(AO1012:AO1051,B1012:B1051,B1014-36)+in_accident_renew^4*SUMIFS(AO1012:AO1051,B1012:B1051,B1014-48))</f>
        <v/>
      </c>
      <c r="AQ1014" s="40">
        <f>AQ1013*(1-IF(B1013&gt;=in_marketplace_from,d_hz_two_wheeler*G1013,0))</f>
        <v/>
      </c>
      <c r="AR1014" s="46">
        <f>AQ1014*IF(B1014&gt;=in_marketplace_from,d_hz_two_wheeler*G1014,0)</f>
        <v/>
      </c>
      <c r="AS1014" s="14">
        <f>F1014*AR1014*in_two_wheeler_ticket*in_two_wheeler_comm*in_ins_partner_share+F1014*in_two_wheeler_ticket*in_two_wheeler_comm*in_ins_partner_share*(in_two_wheeler_renew^1*SUMIFS(AR1012:AR1051,B1012:B1051,B1014-12)+in_two_wheeler_renew^2*SUMIFS(AR1012:AR1051,B1012:B1051,B1014-24)+in_two_wheeler_renew^3*SUMIFS(AR1012:AR1051,B1012:B1051,B1014-36)+in_two_wheeler_renew^4*SUMIFS(AR1012:AR1051,B1012:B1051,B1014-48))</f>
        <v/>
      </c>
      <c r="AT1014" s="40">
        <f>AT1013*(1-IF(B1013&gt;=in_marketplace_from,d_hz_device*G1013,0))</f>
        <v/>
      </c>
      <c r="AU1014" s="14">
        <f>F1014*AT1014*IF(B1014&gt;=in_marketplace_from,d_hz_device*G1014,0)*in_device_ticket*in_device_comm*in_ins_partner_share</f>
        <v/>
      </c>
      <c r="AV1014" s="40">
        <f>AV1013*(1-IF(B1013&gt;=in_marketplace_from,d_hz_shop*G1013,0))</f>
        <v/>
      </c>
      <c r="AW1014" s="46">
        <f>AV1014*IF(B1014&gt;=in_marketplace_from,d_hz_shop*G1014,0)</f>
        <v/>
      </c>
      <c r="AX1014" s="14">
        <f>F1014*AW1014*in_shop_ticket*in_shop_comm*in_ins_partner_share+F1014*in_shop_ticket*in_shop_renew_comm*in_ins_partner_share*(in_shop_renew^1*SUMIFS(AW1012:AW1051,B1012:B1051,B1014-12)+in_shop_renew^2*SUMIFS(AW1012:AW1051,B1012:B1051,B1014-24)+in_shop_renew^3*SUMIFS(AW1012:AW1051,B1012:B1051,B1014-36)+in_shop_renew^4*SUMIFS(AW1012:AW1051,B1012:B1051,B1014-48))</f>
        <v/>
      </c>
      <c r="AY1014" s="40">
        <f>AY1013*(1-IF(B1013&gt;=in_marketplace_from,d_hz_sip*G1013,0))</f>
        <v/>
      </c>
      <c r="AZ1014" s="40">
        <f>AZ1013*d_rho_sip+AY1014*IF(B1014&gt;=in_marketplace_from,d_hz_sip*G1014,0)</f>
        <v/>
      </c>
      <c r="BA1014" s="40">
        <f>d_rho_sip*(BA1013+AZ1013)</f>
        <v/>
      </c>
      <c r="BB1014" s="14">
        <f>F1014*in_sip_ticket*(BA1014+0.5*AZ1014)*in_sip_comm/12</f>
        <v/>
      </c>
      <c r="BC1014" s="40">
        <f>BC1013*(1-IF(B1013&gt;=in_marketplace_from,d_hz_choti*G1013,0))</f>
        <v/>
      </c>
      <c r="BD1014" s="46">
        <f>BC1014*IF(B1014&gt;=in_marketplace_from,d_hz_choti*G1014,0)</f>
        <v/>
      </c>
      <c r="BE1014" s="14">
        <f>F1014*SUMIFS(BD1012:BD1051,B1012:B1051,B1014-in_choti_months)*in_choti_renew*in_choti_ticket</f>
        <v/>
      </c>
      <c r="BF1014" s="40">
        <f>BF1013*(1-IF(B1013&gt;=in_marketplace_from,d_hz_nps*G1013,0))</f>
        <v/>
      </c>
      <c r="BG1014" s="14">
        <f>F1014*BF1014*IF(B1014&gt;=in_marketplace_from,d_hz_nps*G1014,0)*in_nps_ticket*in_nps_comm</f>
        <v/>
      </c>
      <c r="BH1014" s="40">
        <f>BH1013*(1-IF(B1013&gt;=in_marketplace_from,d_hz_gold*G1013,0))</f>
        <v/>
      </c>
      <c r="BI1014" s="40">
        <f>BI1013*d_rho_gold+BH1014*IF(B1014&gt;=in_marketplace_from,d_hz_gold*G1014,0)</f>
        <v/>
      </c>
      <c r="BJ1014" s="14">
        <f>F1014*BI1014*in_gold_ticket*in_gold_comm</f>
        <v/>
      </c>
      <c r="BK1014" s="40">
        <f>BK1013*(1-IF(B1013&gt;=in_marketplace_from,d_hz_fd*G1013,0))</f>
        <v/>
      </c>
      <c r="BL1014" s="14">
        <f>F1014*BK1014*IF(B1014&gt;=in_marketplace_from,d_hz_fd*G1014,0)*in_fd_ticket*in_fd_comm</f>
        <v/>
      </c>
      <c r="BM1014" s="40">
        <f>BM1013*(1-IF(B1013&gt;=in_marketplace_from,d_hz_recharge*G1013,0))</f>
        <v/>
      </c>
      <c r="BN1014" s="40">
        <f>BN1013*d_rho_recharge+BM1014*IF(B1014&gt;=in_marketplace_from,d_hz_recharge*G1014,0)</f>
        <v/>
      </c>
      <c r="BO1014" s="14">
        <f>F1014*BN1014*in_recharge_ticket*in_recharge_comm/12</f>
        <v/>
      </c>
      <c r="BP1014" s="40">
        <f>BP1013*(1-IF(B1013&gt;=in_marketplace_from,d_hz_bills*G1013,0))</f>
        <v/>
      </c>
      <c r="BQ1014" s="40">
        <f>BQ1013*d_rho_bills+BP1014*IF(B1014&gt;=in_marketplace_from,d_hz_bills*G1014,0)</f>
        <v/>
      </c>
      <c r="BR1014" s="14">
        <f>F1014*BQ1014*in_bills_ticket*in_bills_comm/12</f>
        <v/>
      </c>
      <c r="BS1014" s="40">
        <f>BS1013*(1-IF(B1013&gt;=in_marketplace_from,d_hz_loan_gold*G1013,0))</f>
        <v/>
      </c>
      <c r="BT1014" s="14">
        <f>F1014*BS1014*IF(B1014&gt;=in_marketplace_from,d_hz_loan_gold*G1014,0)*in_loan_gold_ticket*in_loan_gold_comm</f>
        <v/>
      </c>
      <c r="BU1014" s="40">
        <f>BU1013*(1-IF(B1013&gt;=in_marketplace_from,d_hz_loan_cd*G1013,0))</f>
        <v/>
      </c>
      <c r="BV1014" s="14">
        <f>F1014*BU1014*IF(B1014&gt;=in_marketplace_from,d_hz_loan_cd*G1014,0)*in_loan_cd_ticket*in_loan_cd_comm</f>
        <v/>
      </c>
      <c r="BW1014" s="40">
        <f>BW1013*(1-IF(B1013&gt;=in_marketplace_from,d_hz_loan_vehicle*G1013,0))</f>
        <v/>
      </c>
      <c r="BX1014" s="14">
        <f>F1014*BW1014*IF(B1014&gt;=in_marketplace_from,d_hz_loan_vehicle*G1014,0)*in_loan_vehicle_ticket*in_loan_vehicle_comm</f>
        <v/>
      </c>
      <c r="BY1014" s="40">
        <f>BY1013*(1-IF(B1013&gt;=in_marketplace_from,d_hz_loan_home*G1013,0)*BZ1013)</f>
        <v/>
      </c>
      <c r="BZ1014" s="11">
        <f>MIN(in_approval_cap,in_loan_home_approval*INDEX('Age profile'!$O$2:$O$61,B1014)*(1+in_approval_growth)^(D1014-1))</f>
        <v/>
      </c>
      <c r="CA1014" s="14">
        <f>F1014*BY1014*IF(B1014&gt;=in_marketplace_from,d_hz_loan_home*G1014,0)*BZ1014*in_loan_home_ticket*in_loan_home_comm</f>
        <v/>
      </c>
      <c r="CB1014" s="40">
        <f>CB1013*(1-IF(B1013&gt;=in_marketplace_from,d_hz_loan_lap*G1013,0)*CC1013)</f>
        <v/>
      </c>
      <c r="CC1014" s="11">
        <f>MIN(in_approval_cap,in_loan_lap_approval*INDEX('Age profile'!$O$2:$O$61,B1014)*(1+in_approval_growth)^(D1014-1))</f>
        <v/>
      </c>
      <c r="CD1014" s="14">
        <f>F1014*CB1014*IF(B1014&gt;=in_marketplace_from,d_hz_loan_lap*G1014,0)*CC1014*in_loan_lap_ticket*in_loan_lap_comm</f>
        <v/>
      </c>
      <c r="CE1014" s="14">
        <f>AA1014+AB1014+AC1014+AD1014+AG1014+AJ1014+AM1014+AP1014+AS1014+AU1014+AX1014+BB1014+BE1014+BG1014+BJ1014+BL1014+BO1014+BR1014+BT1014+BV1014+BX1014+CA1014+CD1014</f>
        <v/>
      </c>
    </row>
    <row r="1015">
      <c r="A1015" s="39" t="n">
        <v>21</v>
      </c>
      <c r="B1015" s="39" t="n">
        <v>4</v>
      </c>
      <c r="C1015" s="39">
        <f>A1015+B1015-1</f>
        <v/>
      </c>
      <c r="D1015" s="39">
        <f>INT((C1015-1)/12)+1</f>
        <v/>
      </c>
      <c r="E1015" s="44">
        <f>INDEX(Monthly!$B$2:$B$61,A1015)</f>
        <v/>
      </c>
      <c r="F1015" s="44">
        <f>E1015*INDEX('Age profile'!$B$2:$B$61,B1015)</f>
        <v/>
      </c>
      <c r="G1015" s="45">
        <f>MIN(in_takeup_cap,INDEX('Age profile'!$N$2:$N$61,B1015)*(1+in_takeup_growth)^(D1015-1))</f>
        <v/>
      </c>
      <c r="H1015" s="11">
        <f>MIN(in_approval_cap,in_approved_first*INDEX('Age profile'!$O$2:$O$61,B1015)*(1+in_approval_growth)^(D1015-1))</f>
        <v/>
      </c>
      <c r="I1015" s="45">
        <f>G1015*MIN(in_takeup_cap,INDEX('Age profile'!$O$2:$O$61,B1015)*(1+in_approval_growth)^(D1015-1))</f>
        <v/>
      </c>
      <c r="J1015" s="40">
        <f>(J1014-L1014)*F1015/F1014</f>
        <v/>
      </c>
      <c r="K1015" s="40">
        <f>(K1014-M1014)*F1015/F1014+SUMIFS(O1012:O1014,B1012:B1014,B1015-1-d_T)*F1015</f>
        <v/>
      </c>
      <c r="L1015" s="40">
        <f>IF(B1015&gt;=in_marketplace_from,J1015*d_hz*G1015*in_eligible*H1015,0)</f>
        <v/>
      </c>
      <c r="M1015" s="40">
        <f>IF(B1015&gt;=in_marketplace_from,K1015*d_hz*G1015*in_eligible*in_approved_repeat,0)</f>
        <v/>
      </c>
      <c r="N1015" s="40">
        <f>L1015+M1015</f>
        <v/>
      </c>
      <c r="O1015" s="46">
        <f>N1015/F1015</f>
        <v/>
      </c>
      <c r="P1015" s="40">
        <f>F1015-J1015-K1015</f>
        <v/>
      </c>
      <c r="Q1015" s="40">
        <f>IF(B1015&gt;=in_marketplace_from,(J1015+K1015)*d_hz*G1015,0)</f>
        <v/>
      </c>
      <c r="R1015" s="40">
        <f>SUMIFS(N1012:N1051,B1012:B1051,"&gt;="&amp;(B1015-d_T),B1012:B1051,"&lt;="&amp;(B1015-1))</f>
        <v/>
      </c>
      <c r="S1015" s="46">
        <f>(1-d_u)*S1014+IF(d_T&gt;in_topup_lag,SUMIFS(O1012:O1051,B1012:B1051,B1015-in_topup_lag)-d_udrop*SUMIFS(O1012:O1051,B1012:B1051,B1015-d_T),0)</f>
        <v/>
      </c>
      <c r="T1015" s="40">
        <f>F1015*d_u*S1015</f>
        <v/>
      </c>
      <c r="U1015" s="9">
        <f>L1015*in_ticket+M1015*d_rep_ticket</f>
        <v/>
      </c>
      <c r="V1015" s="9">
        <f>U1015+T1015*d_topup_amt</f>
        <v/>
      </c>
      <c r="W1015" s="40">
        <f>N1015+T1015*d_topup_ratio</f>
        <v/>
      </c>
      <c r="X1015" s="40">
        <f>SUMIFS(W1012:W1051,B1012:B1051,B1015-in_dpd_lag)*d_cured</f>
        <v/>
      </c>
      <c r="Y1015" s="40">
        <f>SUMIFS(W1012:W1051,B1012:B1051,B1015-in_rec_lag)*d_recd</f>
        <v/>
      </c>
      <c r="Z1015" s="40">
        <f>IF(AND(B1015&gt;=in_marketplace_from,B1015&lt;in_marketplace_from+in_card_months),in_card_share/in_card_months*F1015*I1015,IF(AND(B1015&gt;=in_marketplace_from+in_card_months,B1015&lt;in_marketplace_from+2*in_card_months),in_card_share*d_card_rem/in_card_months*F1015*MIN(in_takeup_cap,(1+in_takeup_growth)^(D1015-1))*MIN(in_takeup_cap,(1+in_approval_growth)^(D1015-1)),0))</f>
        <v/>
      </c>
      <c r="AA1015" s="14">
        <f>V1015*in_fee*(1-in_taken_back)</f>
        <v/>
      </c>
      <c r="AB1015" s="14">
        <f>SUMIFS(W1012:W1051,B1012:B1051,B1015-in_dpd_lag)*d_dpd</f>
        <v/>
      </c>
      <c r="AC1015" s="14">
        <f>SUMIFS(W1012:W1051,B1012:B1051,B1015-in_rec_lag)*d_rec</f>
        <v/>
      </c>
      <c r="AD1015" s="14">
        <f>Z1015*in_card_fee</f>
        <v/>
      </c>
      <c r="AE1015" s="40">
        <f>AE1014*(1-IF(B1014&gt;=in_marketplace_from,d_hz_hlth_small*G1014,0))</f>
        <v/>
      </c>
      <c r="AF1015" s="46">
        <f>AE1015*IF(B1015&gt;=in_marketplace_from,d_hz_hlth_small*G1015,0)</f>
        <v/>
      </c>
      <c r="AG1015" s="14">
        <f>F1015*AF1015*in_hlth_small_ticket*in_hlth_small_comm*in_ins_partner_share+F1015*in_hlth_small_ticket*in_hlth_small_renew_comm*in_ins_partner_share*(in_hlth_small_renew^1*SUMIFS(AF1012:AF1051,B1012:B1051,B1015-12)+in_hlth_small_renew^2*SUMIFS(AF1012:AF1051,B1012:B1051,B1015-24)+in_hlth_small_renew^3*SUMIFS(AF1012:AF1051,B1012:B1051,B1015-36)+in_hlth_small_renew^4*SUMIFS(AF1012:AF1051,B1012:B1051,B1015-48))</f>
        <v/>
      </c>
      <c r="AH1015" s="40">
        <f>AH1014*(1-IF(B1014&gt;=in_marketplace_from,d_hz_hlth_family*G1014,0))</f>
        <v/>
      </c>
      <c r="AI1015" s="46">
        <f>AH1015*IF(B1015&gt;=in_marketplace_from,d_hz_hlth_family*G1015,0)</f>
        <v/>
      </c>
      <c r="AJ1015" s="14">
        <f>F1015*AI1015*in_hlth_family_ticket*in_hlth_family_comm*in_ins_partner_share+F1015*in_hlth_family_ticket*in_hlth_family_renew_comm*in_ins_partner_share*(in_hlth_family_renew^1*SUMIFS(AI1012:AI1051,B1012:B1051,B1015-12)+in_hlth_family_renew^2*SUMIFS(AI1012:AI1051,B1012:B1051,B1015-24)+in_hlth_family_renew^3*SUMIFS(AI1012:AI1051,B1012:B1051,B1015-36)+in_hlth_family_renew^4*SUMIFS(AI1012:AI1051,B1012:B1051,B1015-48))</f>
        <v/>
      </c>
      <c r="AK1015" s="40">
        <f>AK1014*(1-IF(B1014&gt;=in_marketplace_from,d_hz_life_term*G1014,0))</f>
        <v/>
      </c>
      <c r="AL1015" s="46">
        <f>AK1015*IF(B1015&gt;=in_marketplace_from,d_hz_life_term*G1015,0)</f>
        <v/>
      </c>
      <c r="AM1015" s="14">
        <f>F1015*AL1015*in_life_term_ticket*in_life_term_comm*in_ins_partner_share+F1015*in_life_term_ticket*in_life_term_renew_comm*in_ins_partner_share*(in_life_term_renew^1*SUMIFS(AL1012:AL1051,B1012:B1051,B1015-12)+in_life_term_renew^2*SUMIFS(AL1012:AL1051,B1012:B1051,B1015-24)+in_life_term_renew^3*SUMIFS(AL1012:AL1051,B1012:B1051,B1015-36)+in_life_term_renew^4*SUMIFS(AL1012:AL1051,B1012:B1051,B1015-48))</f>
        <v/>
      </c>
      <c r="AN1015" s="40">
        <f>AN1014*(1-IF(B1014&gt;=in_marketplace_from,d_hz_accident*G1014,0))</f>
        <v/>
      </c>
      <c r="AO1015" s="46">
        <f>AN1015*IF(B1015&gt;=in_marketplace_from,d_hz_accident*G1015,0)</f>
        <v/>
      </c>
      <c r="AP1015" s="14">
        <f>F1015*AO1015*in_accident_ticket*in_accident_comm*in_ins_partner_share+F1015*in_accident_ticket*in_accident_renew_comm*in_ins_partner_share*(in_accident_renew^1*SUMIFS(AO1012:AO1051,B1012:B1051,B1015-12)+in_accident_renew^2*SUMIFS(AO1012:AO1051,B1012:B1051,B1015-24)+in_accident_renew^3*SUMIFS(AO1012:AO1051,B1012:B1051,B1015-36)+in_accident_renew^4*SUMIFS(AO1012:AO1051,B1012:B1051,B1015-48))</f>
        <v/>
      </c>
      <c r="AQ1015" s="40">
        <f>AQ1014*(1-IF(B1014&gt;=in_marketplace_from,d_hz_two_wheeler*G1014,0))</f>
        <v/>
      </c>
      <c r="AR1015" s="46">
        <f>AQ1015*IF(B1015&gt;=in_marketplace_from,d_hz_two_wheeler*G1015,0)</f>
        <v/>
      </c>
      <c r="AS1015" s="14">
        <f>F1015*AR1015*in_two_wheeler_ticket*in_two_wheeler_comm*in_ins_partner_share+F1015*in_two_wheeler_ticket*in_two_wheeler_comm*in_ins_partner_share*(in_two_wheeler_renew^1*SUMIFS(AR1012:AR1051,B1012:B1051,B1015-12)+in_two_wheeler_renew^2*SUMIFS(AR1012:AR1051,B1012:B1051,B1015-24)+in_two_wheeler_renew^3*SUMIFS(AR1012:AR1051,B1012:B1051,B1015-36)+in_two_wheeler_renew^4*SUMIFS(AR1012:AR1051,B1012:B1051,B1015-48))</f>
        <v/>
      </c>
      <c r="AT1015" s="40">
        <f>AT1014*(1-IF(B1014&gt;=in_marketplace_from,d_hz_device*G1014,0))</f>
        <v/>
      </c>
      <c r="AU1015" s="14">
        <f>F1015*AT1015*IF(B1015&gt;=in_marketplace_from,d_hz_device*G1015,0)*in_device_ticket*in_device_comm*in_ins_partner_share</f>
        <v/>
      </c>
      <c r="AV1015" s="40">
        <f>AV1014*(1-IF(B1014&gt;=in_marketplace_from,d_hz_shop*G1014,0))</f>
        <v/>
      </c>
      <c r="AW1015" s="46">
        <f>AV1015*IF(B1015&gt;=in_marketplace_from,d_hz_shop*G1015,0)</f>
        <v/>
      </c>
      <c r="AX1015" s="14">
        <f>F1015*AW1015*in_shop_ticket*in_shop_comm*in_ins_partner_share+F1015*in_shop_ticket*in_shop_renew_comm*in_ins_partner_share*(in_shop_renew^1*SUMIFS(AW1012:AW1051,B1012:B1051,B1015-12)+in_shop_renew^2*SUMIFS(AW1012:AW1051,B1012:B1051,B1015-24)+in_shop_renew^3*SUMIFS(AW1012:AW1051,B1012:B1051,B1015-36)+in_shop_renew^4*SUMIFS(AW1012:AW1051,B1012:B1051,B1015-48))</f>
        <v/>
      </c>
      <c r="AY1015" s="40">
        <f>AY1014*(1-IF(B1014&gt;=in_marketplace_from,d_hz_sip*G1014,0))</f>
        <v/>
      </c>
      <c r="AZ1015" s="40">
        <f>AZ1014*d_rho_sip+AY1015*IF(B1015&gt;=in_marketplace_from,d_hz_sip*G1015,0)</f>
        <v/>
      </c>
      <c r="BA1015" s="40">
        <f>d_rho_sip*(BA1014+AZ1014)</f>
        <v/>
      </c>
      <c r="BB1015" s="14">
        <f>F1015*in_sip_ticket*(BA1015+0.5*AZ1015)*in_sip_comm/12</f>
        <v/>
      </c>
      <c r="BC1015" s="40">
        <f>BC1014*(1-IF(B1014&gt;=in_marketplace_from,d_hz_choti*G1014,0))</f>
        <v/>
      </c>
      <c r="BD1015" s="46">
        <f>BC1015*IF(B1015&gt;=in_marketplace_from,d_hz_choti*G1015,0)</f>
        <v/>
      </c>
      <c r="BE1015" s="14">
        <f>F1015*SUMIFS(BD1012:BD1051,B1012:B1051,B1015-in_choti_months)*in_choti_renew*in_choti_ticket</f>
        <v/>
      </c>
      <c r="BF1015" s="40">
        <f>BF1014*(1-IF(B1014&gt;=in_marketplace_from,d_hz_nps*G1014,0))</f>
        <v/>
      </c>
      <c r="BG1015" s="14">
        <f>F1015*BF1015*IF(B1015&gt;=in_marketplace_from,d_hz_nps*G1015,0)*in_nps_ticket*in_nps_comm</f>
        <v/>
      </c>
      <c r="BH1015" s="40">
        <f>BH1014*(1-IF(B1014&gt;=in_marketplace_from,d_hz_gold*G1014,0))</f>
        <v/>
      </c>
      <c r="BI1015" s="40">
        <f>BI1014*d_rho_gold+BH1015*IF(B1015&gt;=in_marketplace_from,d_hz_gold*G1015,0)</f>
        <v/>
      </c>
      <c r="BJ1015" s="14">
        <f>F1015*BI1015*in_gold_ticket*in_gold_comm</f>
        <v/>
      </c>
      <c r="BK1015" s="40">
        <f>BK1014*(1-IF(B1014&gt;=in_marketplace_from,d_hz_fd*G1014,0))</f>
        <v/>
      </c>
      <c r="BL1015" s="14">
        <f>F1015*BK1015*IF(B1015&gt;=in_marketplace_from,d_hz_fd*G1015,0)*in_fd_ticket*in_fd_comm</f>
        <v/>
      </c>
      <c r="BM1015" s="40">
        <f>BM1014*(1-IF(B1014&gt;=in_marketplace_from,d_hz_recharge*G1014,0))</f>
        <v/>
      </c>
      <c r="BN1015" s="40">
        <f>BN1014*d_rho_recharge+BM1015*IF(B1015&gt;=in_marketplace_from,d_hz_recharge*G1015,0)</f>
        <v/>
      </c>
      <c r="BO1015" s="14">
        <f>F1015*BN1015*in_recharge_ticket*in_recharge_comm/12</f>
        <v/>
      </c>
      <c r="BP1015" s="40">
        <f>BP1014*(1-IF(B1014&gt;=in_marketplace_from,d_hz_bills*G1014,0))</f>
        <v/>
      </c>
      <c r="BQ1015" s="40">
        <f>BQ1014*d_rho_bills+BP1015*IF(B1015&gt;=in_marketplace_from,d_hz_bills*G1015,0)</f>
        <v/>
      </c>
      <c r="BR1015" s="14">
        <f>F1015*BQ1015*in_bills_ticket*in_bills_comm/12</f>
        <v/>
      </c>
      <c r="BS1015" s="40">
        <f>BS1014*(1-IF(B1014&gt;=in_marketplace_from,d_hz_loan_gold*G1014,0))</f>
        <v/>
      </c>
      <c r="BT1015" s="14">
        <f>F1015*BS1015*IF(B1015&gt;=in_marketplace_from,d_hz_loan_gold*G1015,0)*in_loan_gold_ticket*in_loan_gold_comm</f>
        <v/>
      </c>
      <c r="BU1015" s="40">
        <f>BU1014*(1-IF(B1014&gt;=in_marketplace_from,d_hz_loan_cd*G1014,0))</f>
        <v/>
      </c>
      <c r="BV1015" s="14">
        <f>F1015*BU1015*IF(B1015&gt;=in_marketplace_from,d_hz_loan_cd*G1015,0)*in_loan_cd_ticket*in_loan_cd_comm</f>
        <v/>
      </c>
      <c r="BW1015" s="40">
        <f>BW1014*(1-IF(B1014&gt;=in_marketplace_from,d_hz_loan_vehicle*G1014,0))</f>
        <v/>
      </c>
      <c r="BX1015" s="14">
        <f>F1015*BW1015*IF(B1015&gt;=in_marketplace_from,d_hz_loan_vehicle*G1015,0)*in_loan_vehicle_ticket*in_loan_vehicle_comm</f>
        <v/>
      </c>
      <c r="BY1015" s="40">
        <f>BY1014*(1-IF(B1014&gt;=in_marketplace_from,d_hz_loan_home*G1014,0)*BZ1014)</f>
        <v/>
      </c>
      <c r="BZ1015" s="11">
        <f>MIN(in_approval_cap,in_loan_home_approval*INDEX('Age profile'!$O$2:$O$61,B1015)*(1+in_approval_growth)^(D1015-1))</f>
        <v/>
      </c>
      <c r="CA1015" s="14">
        <f>F1015*BY1015*IF(B1015&gt;=in_marketplace_from,d_hz_loan_home*G1015,0)*BZ1015*in_loan_home_ticket*in_loan_home_comm</f>
        <v/>
      </c>
      <c r="CB1015" s="40">
        <f>CB1014*(1-IF(B1014&gt;=in_marketplace_from,d_hz_loan_lap*G1014,0)*CC1014)</f>
        <v/>
      </c>
      <c r="CC1015" s="11">
        <f>MIN(in_approval_cap,in_loan_lap_approval*INDEX('Age profile'!$O$2:$O$61,B1015)*(1+in_approval_growth)^(D1015-1))</f>
        <v/>
      </c>
      <c r="CD1015" s="14">
        <f>F1015*CB1015*IF(B1015&gt;=in_marketplace_from,d_hz_loan_lap*G1015,0)*CC1015*in_loan_lap_ticket*in_loan_lap_comm</f>
        <v/>
      </c>
      <c r="CE1015" s="14">
        <f>AA1015+AB1015+AC1015+AD1015+AG1015+AJ1015+AM1015+AP1015+AS1015+AU1015+AX1015+BB1015+BE1015+BG1015+BJ1015+BL1015+BO1015+BR1015+BT1015+BV1015+BX1015+CA1015+CD1015</f>
        <v/>
      </c>
    </row>
    <row r="1016">
      <c r="A1016" s="39" t="n">
        <v>21</v>
      </c>
      <c r="B1016" s="39" t="n">
        <v>5</v>
      </c>
      <c r="C1016" s="39">
        <f>A1016+B1016-1</f>
        <v/>
      </c>
      <c r="D1016" s="39">
        <f>INT((C1016-1)/12)+1</f>
        <v/>
      </c>
      <c r="E1016" s="44">
        <f>INDEX(Monthly!$B$2:$B$61,A1016)</f>
        <v/>
      </c>
      <c r="F1016" s="44">
        <f>E1016*INDEX('Age profile'!$B$2:$B$61,B1016)</f>
        <v/>
      </c>
      <c r="G1016" s="45">
        <f>MIN(in_takeup_cap,INDEX('Age profile'!$N$2:$N$61,B1016)*(1+in_takeup_growth)^(D1016-1))</f>
        <v/>
      </c>
      <c r="H1016" s="11">
        <f>MIN(in_approval_cap,in_approved_first*INDEX('Age profile'!$O$2:$O$61,B1016)*(1+in_approval_growth)^(D1016-1))</f>
        <v/>
      </c>
      <c r="I1016" s="45">
        <f>G1016*MIN(in_takeup_cap,INDEX('Age profile'!$O$2:$O$61,B1016)*(1+in_approval_growth)^(D1016-1))</f>
        <v/>
      </c>
      <c r="J1016" s="40">
        <f>(J1015-L1015)*F1016/F1015</f>
        <v/>
      </c>
      <c r="K1016" s="40">
        <f>(K1015-M1015)*F1016/F1015+SUMIFS(O1012:O1015,B1012:B1015,B1016-1-d_T)*F1016</f>
        <v/>
      </c>
      <c r="L1016" s="40">
        <f>IF(B1016&gt;=in_marketplace_from,J1016*d_hz*G1016*in_eligible*H1016,0)</f>
        <v/>
      </c>
      <c r="M1016" s="40">
        <f>IF(B1016&gt;=in_marketplace_from,K1016*d_hz*G1016*in_eligible*in_approved_repeat,0)</f>
        <v/>
      </c>
      <c r="N1016" s="40">
        <f>L1016+M1016</f>
        <v/>
      </c>
      <c r="O1016" s="46">
        <f>N1016/F1016</f>
        <v/>
      </c>
      <c r="P1016" s="40">
        <f>F1016-J1016-K1016</f>
        <v/>
      </c>
      <c r="Q1016" s="40">
        <f>IF(B1016&gt;=in_marketplace_from,(J1016+K1016)*d_hz*G1016,0)</f>
        <v/>
      </c>
      <c r="R1016" s="40">
        <f>SUMIFS(N1012:N1051,B1012:B1051,"&gt;="&amp;(B1016-d_T),B1012:B1051,"&lt;="&amp;(B1016-1))</f>
        <v/>
      </c>
      <c r="S1016" s="46">
        <f>(1-d_u)*S1015+IF(d_T&gt;in_topup_lag,SUMIFS(O1012:O1051,B1012:B1051,B1016-in_topup_lag)-d_udrop*SUMIFS(O1012:O1051,B1012:B1051,B1016-d_T),0)</f>
        <v/>
      </c>
      <c r="T1016" s="40">
        <f>F1016*d_u*S1016</f>
        <v/>
      </c>
      <c r="U1016" s="9">
        <f>L1016*in_ticket+M1016*d_rep_ticket</f>
        <v/>
      </c>
      <c r="V1016" s="9">
        <f>U1016+T1016*d_topup_amt</f>
        <v/>
      </c>
      <c r="W1016" s="40">
        <f>N1016+T1016*d_topup_ratio</f>
        <v/>
      </c>
      <c r="X1016" s="40">
        <f>SUMIFS(W1012:W1051,B1012:B1051,B1016-in_dpd_lag)*d_cured</f>
        <v/>
      </c>
      <c r="Y1016" s="40">
        <f>SUMIFS(W1012:W1051,B1012:B1051,B1016-in_rec_lag)*d_recd</f>
        <v/>
      </c>
      <c r="Z1016" s="40">
        <f>IF(AND(B1016&gt;=in_marketplace_from,B1016&lt;in_marketplace_from+in_card_months),in_card_share/in_card_months*F1016*I1016,IF(AND(B1016&gt;=in_marketplace_from+in_card_months,B1016&lt;in_marketplace_from+2*in_card_months),in_card_share*d_card_rem/in_card_months*F1016*MIN(in_takeup_cap,(1+in_takeup_growth)^(D1016-1))*MIN(in_takeup_cap,(1+in_approval_growth)^(D1016-1)),0))</f>
        <v/>
      </c>
      <c r="AA1016" s="14">
        <f>V1016*in_fee*(1-in_taken_back)</f>
        <v/>
      </c>
      <c r="AB1016" s="14">
        <f>SUMIFS(W1012:W1051,B1012:B1051,B1016-in_dpd_lag)*d_dpd</f>
        <v/>
      </c>
      <c r="AC1016" s="14">
        <f>SUMIFS(W1012:W1051,B1012:B1051,B1016-in_rec_lag)*d_rec</f>
        <v/>
      </c>
      <c r="AD1016" s="14">
        <f>Z1016*in_card_fee</f>
        <v/>
      </c>
      <c r="AE1016" s="40">
        <f>AE1015*(1-IF(B1015&gt;=in_marketplace_from,d_hz_hlth_small*G1015,0))</f>
        <v/>
      </c>
      <c r="AF1016" s="46">
        <f>AE1016*IF(B1016&gt;=in_marketplace_from,d_hz_hlth_small*G1016,0)</f>
        <v/>
      </c>
      <c r="AG1016" s="14">
        <f>F1016*AF1016*in_hlth_small_ticket*in_hlth_small_comm*in_ins_partner_share+F1016*in_hlth_small_ticket*in_hlth_small_renew_comm*in_ins_partner_share*(in_hlth_small_renew^1*SUMIFS(AF1012:AF1051,B1012:B1051,B1016-12)+in_hlth_small_renew^2*SUMIFS(AF1012:AF1051,B1012:B1051,B1016-24)+in_hlth_small_renew^3*SUMIFS(AF1012:AF1051,B1012:B1051,B1016-36)+in_hlth_small_renew^4*SUMIFS(AF1012:AF1051,B1012:B1051,B1016-48))</f>
        <v/>
      </c>
      <c r="AH1016" s="40">
        <f>AH1015*(1-IF(B1015&gt;=in_marketplace_from,d_hz_hlth_family*G1015,0))</f>
        <v/>
      </c>
      <c r="AI1016" s="46">
        <f>AH1016*IF(B1016&gt;=in_marketplace_from,d_hz_hlth_family*G1016,0)</f>
        <v/>
      </c>
      <c r="AJ1016" s="14">
        <f>F1016*AI1016*in_hlth_family_ticket*in_hlth_family_comm*in_ins_partner_share+F1016*in_hlth_family_ticket*in_hlth_family_renew_comm*in_ins_partner_share*(in_hlth_family_renew^1*SUMIFS(AI1012:AI1051,B1012:B1051,B1016-12)+in_hlth_family_renew^2*SUMIFS(AI1012:AI1051,B1012:B1051,B1016-24)+in_hlth_family_renew^3*SUMIFS(AI1012:AI1051,B1012:B1051,B1016-36)+in_hlth_family_renew^4*SUMIFS(AI1012:AI1051,B1012:B1051,B1016-48))</f>
        <v/>
      </c>
      <c r="AK1016" s="40">
        <f>AK1015*(1-IF(B1015&gt;=in_marketplace_from,d_hz_life_term*G1015,0))</f>
        <v/>
      </c>
      <c r="AL1016" s="46">
        <f>AK1016*IF(B1016&gt;=in_marketplace_from,d_hz_life_term*G1016,0)</f>
        <v/>
      </c>
      <c r="AM1016" s="14">
        <f>F1016*AL1016*in_life_term_ticket*in_life_term_comm*in_ins_partner_share+F1016*in_life_term_ticket*in_life_term_renew_comm*in_ins_partner_share*(in_life_term_renew^1*SUMIFS(AL1012:AL1051,B1012:B1051,B1016-12)+in_life_term_renew^2*SUMIFS(AL1012:AL1051,B1012:B1051,B1016-24)+in_life_term_renew^3*SUMIFS(AL1012:AL1051,B1012:B1051,B1016-36)+in_life_term_renew^4*SUMIFS(AL1012:AL1051,B1012:B1051,B1016-48))</f>
        <v/>
      </c>
      <c r="AN1016" s="40">
        <f>AN1015*(1-IF(B1015&gt;=in_marketplace_from,d_hz_accident*G1015,0))</f>
        <v/>
      </c>
      <c r="AO1016" s="46">
        <f>AN1016*IF(B1016&gt;=in_marketplace_from,d_hz_accident*G1016,0)</f>
        <v/>
      </c>
      <c r="AP1016" s="14">
        <f>F1016*AO1016*in_accident_ticket*in_accident_comm*in_ins_partner_share+F1016*in_accident_ticket*in_accident_renew_comm*in_ins_partner_share*(in_accident_renew^1*SUMIFS(AO1012:AO1051,B1012:B1051,B1016-12)+in_accident_renew^2*SUMIFS(AO1012:AO1051,B1012:B1051,B1016-24)+in_accident_renew^3*SUMIFS(AO1012:AO1051,B1012:B1051,B1016-36)+in_accident_renew^4*SUMIFS(AO1012:AO1051,B1012:B1051,B1016-48))</f>
        <v/>
      </c>
      <c r="AQ1016" s="40">
        <f>AQ1015*(1-IF(B1015&gt;=in_marketplace_from,d_hz_two_wheeler*G1015,0))</f>
        <v/>
      </c>
      <c r="AR1016" s="46">
        <f>AQ1016*IF(B1016&gt;=in_marketplace_from,d_hz_two_wheeler*G1016,0)</f>
        <v/>
      </c>
      <c r="AS1016" s="14">
        <f>F1016*AR1016*in_two_wheeler_ticket*in_two_wheeler_comm*in_ins_partner_share+F1016*in_two_wheeler_ticket*in_two_wheeler_comm*in_ins_partner_share*(in_two_wheeler_renew^1*SUMIFS(AR1012:AR1051,B1012:B1051,B1016-12)+in_two_wheeler_renew^2*SUMIFS(AR1012:AR1051,B1012:B1051,B1016-24)+in_two_wheeler_renew^3*SUMIFS(AR1012:AR1051,B1012:B1051,B1016-36)+in_two_wheeler_renew^4*SUMIFS(AR1012:AR1051,B1012:B1051,B1016-48))</f>
        <v/>
      </c>
      <c r="AT1016" s="40">
        <f>AT1015*(1-IF(B1015&gt;=in_marketplace_from,d_hz_device*G1015,0))</f>
        <v/>
      </c>
      <c r="AU1016" s="14">
        <f>F1016*AT1016*IF(B1016&gt;=in_marketplace_from,d_hz_device*G1016,0)*in_device_ticket*in_device_comm*in_ins_partner_share</f>
        <v/>
      </c>
      <c r="AV1016" s="40">
        <f>AV1015*(1-IF(B1015&gt;=in_marketplace_from,d_hz_shop*G1015,0))</f>
        <v/>
      </c>
      <c r="AW1016" s="46">
        <f>AV1016*IF(B1016&gt;=in_marketplace_from,d_hz_shop*G1016,0)</f>
        <v/>
      </c>
      <c r="AX1016" s="14">
        <f>F1016*AW1016*in_shop_ticket*in_shop_comm*in_ins_partner_share+F1016*in_shop_ticket*in_shop_renew_comm*in_ins_partner_share*(in_shop_renew^1*SUMIFS(AW1012:AW1051,B1012:B1051,B1016-12)+in_shop_renew^2*SUMIFS(AW1012:AW1051,B1012:B1051,B1016-24)+in_shop_renew^3*SUMIFS(AW1012:AW1051,B1012:B1051,B1016-36)+in_shop_renew^4*SUMIFS(AW1012:AW1051,B1012:B1051,B1016-48))</f>
        <v/>
      </c>
      <c r="AY1016" s="40">
        <f>AY1015*(1-IF(B1015&gt;=in_marketplace_from,d_hz_sip*G1015,0))</f>
        <v/>
      </c>
      <c r="AZ1016" s="40">
        <f>AZ1015*d_rho_sip+AY1016*IF(B1016&gt;=in_marketplace_from,d_hz_sip*G1016,0)</f>
        <v/>
      </c>
      <c r="BA1016" s="40">
        <f>d_rho_sip*(BA1015+AZ1015)</f>
        <v/>
      </c>
      <c r="BB1016" s="14">
        <f>F1016*in_sip_ticket*(BA1016+0.5*AZ1016)*in_sip_comm/12</f>
        <v/>
      </c>
      <c r="BC1016" s="40">
        <f>BC1015*(1-IF(B1015&gt;=in_marketplace_from,d_hz_choti*G1015,0))</f>
        <v/>
      </c>
      <c r="BD1016" s="46">
        <f>BC1016*IF(B1016&gt;=in_marketplace_from,d_hz_choti*G1016,0)</f>
        <v/>
      </c>
      <c r="BE1016" s="14">
        <f>F1016*SUMIFS(BD1012:BD1051,B1012:B1051,B1016-in_choti_months)*in_choti_renew*in_choti_ticket</f>
        <v/>
      </c>
      <c r="BF1016" s="40">
        <f>BF1015*(1-IF(B1015&gt;=in_marketplace_from,d_hz_nps*G1015,0))</f>
        <v/>
      </c>
      <c r="BG1016" s="14">
        <f>F1016*BF1016*IF(B1016&gt;=in_marketplace_from,d_hz_nps*G1016,0)*in_nps_ticket*in_nps_comm</f>
        <v/>
      </c>
      <c r="BH1016" s="40">
        <f>BH1015*(1-IF(B1015&gt;=in_marketplace_from,d_hz_gold*G1015,0))</f>
        <v/>
      </c>
      <c r="BI1016" s="40">
        <f>BI1015*d_rho_gold+BH1016*IF(B1016&gt;=in_marketplace_from,d_hz_gold*G1016,0)</f>
        <v/>
      </c>
      <c r="BJ1016" s="14">
        <f>F1016*BI1016*in_gold_ticket*in_gold_comm</f>
        <v/>
      </c>
      <c r="BK1016" s="40">
        <f>BK1015*(1-IF(B1015&gt;=in_marketplace_from,d_hz_fd*G1015,0))</f>
        <v/>
      </c>
      <c r="BL1016" s="14">
        <f>F1016*BK1016*IF(B1016&gt;=in_marketplace_from,d_hz_fd*G1016,0)*in_fd_ticket*in_fd_comm</f>
        <v/>
      </c>
      <c r="BM1016" s="40">
        <f>BM1015*(1-IF(B1015&gt;=in_marketplace_from,d_hz_recharge*G1015,0))</f>
        <v/>
      </c>
      <c r="BN1016" s="40">
        <f>BN1015*d_rho_recharge+BM1016*IF(B1016&gt;=in_marketplace_from,d_hz_recharge*G1016,0)</f>
        <v/>
      </c>
      <c r="BO1016" s="14">
        <f>F1016*BN1016*in_recharge_ticket*in_recharge_comm/12</f>
        <v/>
      </c>
      <c r="BP1016" s="40">
        <f>BP1015*(1-IF(B1015&gt;=in_marketplace_from,d_hz_bills*G1015,0))</f>
        <v/>
      </c>
      <c r="BQ1016" s="40">
        <f>BQ1015*d_rho_bills+BP1016*IF(B1016&gt;=in_marketplace_from,d_hz_bills*G1016,0)</f>
        <v/>
      </c>
      <c r="BR1016" s="14">
        <f>F1016*BQ1016*in_bills_ticket*in_bills_comm/12</f>
        <v/>
      </c>
      <c r="BS1016" s="40">
        <f>BS1015*(1-IF(B1015&gt;=in_marketplace_from,d_hz_loan_gold*G1015,0))</f>
        <v/>
      </c>
      <c r="BT1016" s="14">
        <f>F1016*BS1016*IF(B1016&gt;=in_marketplace_from,d_hz_loan_gold*G1016,0)*in_loan_gold_ticket*in_loan_gold_comm</f>
        <v/>
      </c>
      <c r="BU1016" s="40">
        <f>BU1015*(1-IF(B1015&gt;=in_marketplace_from,d_hz_loan_cd*G1015,0))</f>
        <v/>
      </c>
      <c r="BV1016" s="14">
        <f>F1016*BU1016*IF(B1016&gt;=in_marketplace_from,d_hz_loan_cd*G1016,0)*in_loan_cd_ticket*in_loan_cd_comm</f>
        <v/>
      </c>
      <c r="BW1016" s="40">
        <f>BW1015*(1-IF(B1015&gt;=in_marketplace_from,d_hz_loan_vehicle*G1015,0))</f>
        <v/>
      </c>
      <c r="BX1016" s="14">
        <f>F1016*BW1016*IF(B1016&gt;=in_marketplace_from,d_hz_loan_vehicle*G1016,0)*in_loan_vehicle_ticket*in_loan_vehicle_comm</f>
        <v/>
      </c>
      <c r="BY1016" s="40">
        <f>BY1015*(1-IF(B1015&gt;=in_marketplace_from,d_hz_loan_home*G1015,0)*BZ1015)</f>
        <v/>
      </c>
      <c r="BZ1016" s="11">
        <f>MIN(in_approval_cap,in_loan_home_approval*INDEX('Age profile'!$O$2:$O$61,B1016)*(1+in_approval_growth)^(D1016-1))</f>
        <v/>
      </c>
      <c r="CA1016" s="14">
        <f>F1016*BY1016*IF(B1016&gt;=in_marketplace_from,d_hz_loan_home*G1016,0)*BZ1016*in_loan_home_ticket*in_loan_home_comm</f>
        <v/>
      </c>
      <c r="CB1016" s="40">
        <f>CB1015*(1-IF(B1015&gt;=in_marketplace_from,d_hz_loan_lap*G1015,0)*CC1015)</f>
        <v/>
      </c>
      <c r="CC1016" s="11">
        <f>MIN(in_approval_cap,in_loan_lap_approval*INDEX('Age profile'!$O$2:$O$61,B1016)*(1+in_approval_growth)^(D1016-1))</f>
        <v/>
      </c>
      <c r="CD1016" s="14">
        <f>F1016*CB1016*IF(B1016&gt;=in_marketplace_from,d_hz_loan_lap*G1016,0)*CC1016*in_loan_lap_ticket*in_loan_lap_comm</f>
        <v/>
      </c>
      <c r="CE1016" s="14">
        <f>AA1016+AB1016+AC1016+AD1016+AG1016+AJ1016+AM1016+AP1016+AS1016+AU1016+AX1016+BB1016+BE1016+BG1016+BJ1016+BL1016+BO1016+BR1016+BT1016+BV1016+BX1016+CA1016+CD1016</f>
        <v/>
      </c>
    </row>
    <row r="1017">
      <c r="A1017" s="39" t="n">
        <v>21</v>
      </c>
      <c r="B1017" s="39" t="n">
        <v>6</v>
      </c>
      <c r="C1017" s="39">
        <f>A1017+B1017-1</f>
        <v/>
      </c>
      <c r="D1017" s="39">
        <f>INT((C1017-1)/12)+1</f>
        <v/>
      </c>
      <c r="E1017" s="44">
        <f>INDEX(Monthly!$B$2:$B$61,A1017)</f>
        <v/>
      </c>
      <c r="F1017" s="44">
        <f>E1017*INDEX('Age profile'!$B$2:$B$61,B1017)</f>
        <v/>
      </c>
      <c r="G1017" s="45">
        <f>MIN(in_takeup_cap,INDEX('Age profile'!$N$2:$N$61,B1017)*(1+in_takeup_growth)^(D1017-1))</f>
        <v/>
      </c>
      <c r="H1017" s="11">
        <f>MIN(in_approval_cap,in_approved_first*INDEX('Age profile'!$O$2:$O$61,B1017)*(1+in_approval_growth)^(D1017-1))</f>
        <v/>
      </c>
      <c r="I1017" s="45">
        <f>G1017*MIN(in_takeup_cap,INDEX('Age profile'!$O$2:$O$61,B1017)*(1+in_approval_growth)^(D1017-1))</f>
        <v/>
      </c>
      <c r="J1017" s="40">
        <f>(J1016-L1016)*F1017/F1016</f>
        <v/>
      </c>
      <c r="K1017" s="40">
        <f>(K1016-M1016)*F1017/F1016+SUMIFS(O1012:O1016,B1012:B1016,B1017-1-d_T)*F1017</f>
        <v/>
      </c>
      <c r="L1017" s="40">
        <f>IF(B1017&gt;=in_marketplace_from,J1017*d_hz*G1017*in_eligible*H1017,0)</f>
        <v/>
      </c>
      <c r="M1017" s="40">
        <f>IF(B1017&gt;=in_marketplace_from,K1017*d_hz*G1017*in_eligible*in_approved_repeat,0)</f>
        <v/>
      </c>
      <c r="N1017" s="40">
        <f>L1017+M1017</f>
        <v/>
      </c>
      <c r="O1017" s="46">
        <f>N1017/F1017</f>
        <v/>
      </c>
      <c r="P1017" s="40">
        <f>F1017-J1017-K1017</f>
        <v/>
      </c>
      <c r="Q1017" s="40">
        <f>IF(B1017&gt;=in_marketplace_from,(J1017+K1017)*d_hz*G1017,0)</f>
        <v/>
      </c>
      <c r="R1017" s="40">
        <f>SUMIFS(N1012:N1051,B1012:B1051,"&gt;="&amp;(B1017-d_T),B1012:B1051,"&lt;="&amp;(B1017-1))</f>
        <v/>
      </c>
      <c r="S1017" s="46">
        <f>(1-d_u)*S1016+IF(d_T&gt;in_topup_lag,SUMIFS(O1012:O1051,B1012:B1051,B1017-in_topup_lag)-d_udrop*SUMIFS(O1012:O1051,B1012:B1051,B1017-d_T),0)</f>
        <v/>
      </c>
      <c r="T1017" s="40">
        <f>F1017*d_u*S1017</f>
        <v/>
      </c>
      <c r="U1017" s="9">
        <f>L1017*in_ticket+M1017*d_rep_ticket</f>
        <v/>
      </c>
      <c r="V1017" s="9">
        <f>U1017+T1017*d_topup_amt</f>
        <v/>
      </c>
      <c r="W1017" s="40">
        <f>N1017+T1017*d_topup_ratio</f>
        <v/>
      </c>
      <c r="X1017" s="40">
        <f>SUMIFS(W1012:W1051,B1012:B1051,B1017-in_dpd_lag)*d_cured</f>
        <v/>
      </c>
      <c r="Y1017" s="40">
        <f>SUMIFS(W1012:W1051,B1012:B1051,B1017-in_rec_lag)*d_recd</f>
        <v/>
      </c>
      <c r="Z1017" s="40">
        <f>IF(AND(B1017&gt;=in_marketplace_from,B1017&lt;in_marketplace_from+in_card_months),in_card_share/in_card_months*F1017*I1017,IF(AND(B1017&gt;=in_marketplace_from+in_card_months,B1017&lt;in_marketplace_from+2*in_card_months),in_card_share*d_card_rem/in_card_months*F1017*MIN(in_takeup_cap,(1+in_takeup_growth)^(D1017-1))*MIN(in_takeup_cap,(1+in_approval_growth)^(D1017-1)),0))</f>
        <v/>
      </c>
      <c r="AA1017" s="14">
        <f>V1017*in_fee*(1-in_taken_back)</f>
        <v/>
      </c>
      <c r="AB1017" s="14">
        <f>SUMIFS(W1012:W1051,B1012:B1051,B1017-in_dpd_lag)*d_dpd</f>
        <v/>
      </c>
      <c r="AC1017" s="14">
        <f>SUMIFS(W1012:W1051,B1012:B1051,B1017-in_rec_lag)*d_rec</f>
        <v/>
      </c>
      <c r="AD1017" s="14">
        <f>Z1017*in_card_fee</f>
        <v/>
      </c>
      <c r="AE1017" s="40">
        <f>AE1016*(1-IF(B1016&gt;=in_marketplace_from,d_hz_hlth_small*G1016,0))</f>
        <v/>
      </c>
      <c r="AF1017" s="46">
        <f>AE1017*IF(B1017&gt;=in_marketplace_from,d_hz_hlth_small*G1017,0)</f>
        <v/>
      </c>
      <c r="AG1017" s="14">
        <f>F1017*AF1017*in_hlth_small_ticket*in_hlth_small_comm*in_ins_partner_share+F1017*in_hlth_small_ticket*in_hlth_small_renew_comm*in_ins_partner_share*(in_hlth_small_renew^1*SUMIFS(AF1012:AF1051,B1012:B1051,B1017-12)+in_hlth_small_renew^2*SUMIFS(AF1012:AF1051,B1012:B1051,B1017-24)+in_hlth_small_renew^3*SUMIFS(AF1012:AF1051,B1012:B1051,B1017-36)+in_hlth_small_renew^4*SUMIFS(AF1012:AF1051,B1012:B1051,B1017-48))</f>
        <v/>
      </c>
      <c r="AH1017" s="40">
        <f>AH1016*(1-IF(B1016&gt;=in_marketplace_from,d_hz_hlth_family*G1016,0))</f>
        <v/>
      </c>
      <c r="AI1017" s="46">
        <f>AH1017*IF(B1017&gt;=in_marketplace_from,d_hz_hlth_family*G1017,0)</f>
        <v/>
      </c>
      <c r="AJ1017" s="14">
        <f>F1017*AI1017*in_hlth_family_ticket*in_hlth_family_comm*in_ins_partner_share+F1017*in_hlth_family_ticket*in_hlth_family_renew_comm*in_ins_partner_share*(in_hlth_family_renew^1*SUMIFS(AI1012:AI1051,B1012:B1051,B1017-12)+in_hlth_family_renew^2*SUMIFS(AI1012:AI1051,B1012:B1051,B1017-24)+in_hlth_family_renew^3*SUMIFS(AI1012:AI1051,B1012:B1051,B1017-36)+in_hlth_family_renew^4*SUMIFS(AI1012:AI1051,B1012:B1051,B1017-48))</f>
        <v/>
      </c>
      <c r="AK1017" s="40">
        <f>AK1016*(1-IF(B1016&gt;=in_marketplace_from,d_hz_life_term*G1016,0))</f>
        <v/>
      </c>
      <c r="AL1017" s="46">
        <f>AK1017*IF(B1017&gt;=in_marketplace_from,d_hz_life_term*G1017,0)</f>
        <v/>
      </c>
      <c r="AM1017" s="14">
        <f>F1017*AL1017*in_life_term_ticket*in_life_term_comm*in_ins_partner_share+F1017*in_life_term_ticket*in_life_term_renew_comm*in_ins_partner_share*(in_life_term_renew^1*SUMIFS(AL1012:AL1051,B1012:B1051,B1017-12)+in_life_term_renew^2*SUMIFS(AL1012:AL1051,B1012:B1051,B1017-24)+in_life_term_renew^3*SUMIFS(AL1012:AL1051,B1012:B1051,B1017-36)+in_life_term_renew^4*SUMIFS(AL1012:AL1051,B1012:B1051,B1017-48))</f>
        <v/>
      </c>
      <c r="AN1017" s="40">
        <f>AN1016*(1-IF(B1016&gt;=in_marketplace_from,d_hz_accident*G1016,0))</f>
        <v/>
      </c>
      <c r="AO1017" s="46">
        <f>AN1017*IF(B1017&gt;=in_marketplace_from,d_hz_accident*G1017,0)</f>
        <v/>
      </c>
      <c r="AP1017" s="14">
        <f>F1017*AO1017*in_accident_ticket*in_accident_comm*in_ins_partner_share+F1017*in_accident_ticket*in_accident_renew_comm*in_ins_partner_share*(in_accident_renew^1*SUMIFS(AO1012:AO1051,B1012:B1051,B1017-12)+in_accident_renew^2*SUMIFS(AO1012:AO1051,B1012:B1051,B1017-24)+in_accident_renew^3*SUMIFS(AO1012:AO1051,B1012:B1051,B1017-36)+in_accident_renew^4*SUMIFS(AO1012:AO1051,B1012:B1051,B1017-48))</f>
        <v/>
      </c>
      <c r="AQ1017" s="40">
        <f>AQ1016*(1-IF(B1016&gt;=in_marketplace_from,d_hz_two_wheeler*G1016,0))</f>
        <v/>
      </c>
      <c r="AR1017" s="46">
        <f>AQ1017*IF(B1017&gt;=in_marketplace_from,d_hz_two_wheeler*G1017,0)</f>
        <v/>
      </c>
      <c r="AS1017" s="14">
        <f>F1017*AR1017*in_two_wheeler_ticket*in_two_wheeler_comm*in_ins_partner_share+F1017*in_two_wheeler_ticket*in_two_wheeler_comm*in_ins_partner_share*(in_two_wheeler_renew^1*SUMIFS(AR1012:AR1051,B1012:B1051,B1017-12)+in_two_wheeler_renew^2*SUMIFS(AR1012:AR1051,B1012:B1051,B1017-24)+in_two_wheeler_renew^3*SUMIFS(AR1012:AR1051,B1012:B1051,B1017-36)+in_two_wheeler_renew^4*SUMIFS(AR1012:AR1051,B1012:B1051,B1017-48))</f>
        <v/>
      </c>
      <c r="AT1017" s="40">
        <f>AT1016*(1-IF(B1016&gt;=in_marketplace_from,d_hz_device*G1016,0))</f>
        <v/>
      </c>
      <c r="AU1017" s="14">
        <f>F1017*AT1017*IF(B1017&gt;=in_marketplace_from,d_hz_device*G1017,0)*in_device_ticket*in_device_comm*in_ins_partner_share</f>
        <v/>
      </c>
      <c r="AV1017" s="40">
        <f>AV1016*(1-IF(B1016&gt;=in_marketplace_from,d_hz_shop*G1016,0))</f>
        <v/>
      </c>
      <c r="AW1017" s="46">
        <f>AV1017*IF(B1017&gt;=in_marketplace_from,d_hz_shop*G1017,0)</f>
        <v/>
      </c>
      <c r="AX1017" s="14">
        <f>F1017*AW1017*in_shop_ticket*in_shop_comm*in_ins_partner_share+F1017*in_shop_ticket*in_shop_renew_comm*in_ins_partner_share*(in_shop_renew^1*SUMIFS(AW1012:AW1051,B1012:B1051,B1017-12)+in_shop_renew^2*SUMIFS(AW1012:AW1051,B1012:B1051,B1017-24)+in_shop_renew^3*SUMIFS(AW1012:AW1051,B1012:B1051,B1017-36)+in_shop_renew^4*SUMIFS(AW1012:AW1051,B1012:B1051,B1017-48))</f>
        <v/>
      </c>
      <c r="AY1017" s="40">
        <f>AY1016*(1-IF(B1016&gt;=in_marketplace_from,d_hz_sip*G1016,0))</f>
        <v/>
      </c>
      <c r="AZ1017" s="40">
        <f>AZ1016*d_rho_sip+AY1017*IF(B1017&gt;=in_marketplace_from,d_hz_sip*G1017,0)</f>
        <v/>
      </c>
      <c r="BA1017" s="40">
        <f>d_rho_sip*(BA1016+AZ1016)</f>
        <v/>
      </c>
      <c r="BB1017" s="14">
        <f>F1017*in_sip_ticket*(BA1017+0.5*AZ1017)*in_sip_comm/12</f>
        <v/>
      </c>
      <c r="BC1017" s="40">
        <f>BC1016*(1-IF(B1016&gt;=in_marketplace_from,d_hz_choti*G1016,0))</f>
        <v/>
      </c>
      <c r="BD1017" s="46">
        <f>BC1017*IF(B1017&gt;=in_marketplace_from,d_hz_choti*G1017,0)</f>
        <v/>
      </c>
      <c r="BE1017" s="14">
        <f>F1017*SUMIFS(BD1012:BD1051,B1012:B1051,B1017-in_choti_months)*in_choti_renew*in_choti_ticket</f>
        <v/>
      </c>
      <c r="BF1017" s="40">
        <f>BF1016*(1-IF(B1016&gt;=in_marketplace_from,d_hz_nps*G1016,0))</f>
        <v/>
      </c>
      <c r="BG1017" s="14">
        <f>F1017*BF1017*IF(B1017&gt;=in_marketplace_from,d_hz_nps*G1017,0)*in_nps_ticket*in_nps_comm</f>
        <v/>
      </c>
      <c r="BH1017" s="40">
        <f>BH1016*(1-IF(B1016&gt;=in_marketplace_from,d_hz_gold*G1016,0))</f>
        <v/>
      </c>
      <c r="BI1017" s="40">
        <f>BI1016*d_rho_gold+BH1017*IF(B1017&gt;=in_marketplace_from,d_hz_gold*G1017,0)</f>
        <v/>
      </c>
      <c r="BJ1017" s="14">
        <f>F1017*BI1017*in_gold_ticket*in_gold_comm</f>
        <v/>
      </c>
      <c r="BK1017" s="40">
        <f>BK1016*(1-IF(B1016&gt;=in_marketplace_from,d_hz_fd*G1016,0))</f>
        <v/>
      </c>
      <c r="BL1017" s="14">
        <f>F1017*BK1017*IF(B1017&gt;=in_marketplace_from,d_hz_fd*G1017,0)*in_fd_ticket*in_fd_comm</f>
        <v/>
      </c>
      <c r="BM1017" s="40">
        <f>BM1016*(1-IF(B1016&gt;=in_marketplace_from,d_hz_recharge*G1016,0))</f>
        <v/>
      </c>
      <c r="BN1017" s="40">
        <f>BN1016*d_rho_recharge+BM1017*IF(B1017&gt;=in_marketplace_from,d_hz_recharge*G1017,0)</f>
        <v/>
      </c>
      <c r="BO1017" s="14">
        <f>F1017*BN1017*in_recharge_ticket*in_recharge_comm/12</f>
        <v/>
      </c>
      <c r="BP1017" s="40">
        <f>BP1016*(1-IF(B1016&gt;=in_marketplace_from,d_hz_bills*G1016,0))</f>
        <v/>
      </c>
      <c r="BQ1017" s="40">
        <f>BQ1016*d_rho_bills+BP1017*IF(B1017&gt;=in_marketplace_from,d_hz_bills*G1017,0)</f>
        <v/>
      </c>
      <c r="BR1017" s="14">
        <f>F1017*BQ1017*in_bills_ticket*in_bills_comm/12</f>
        <v/>
      </c>
      <c r="BS1017" s="40">
        <f>BS1016*(1-IF(B1016&gt;=in_marketplace_from,d_hz_loan_gold*G1016,0))</f>
        <v/>
      </c>
      <c r="BT1017" s="14">
        <f>F1017*BS1017*IF(B1017&gt;=in_marketplace_from,d_hz_loan_gold*G1017,0)*in_loan_gold_ticket*in_loan_gold_comm</f>
        <v/>
      </c>
      <c r="BU1017" s="40">
        <f>BU1016*(1-IF(B1016&gt;=in_marketplace_from,d_hz_loan_cd*G1016,0))</f>
        <v/>
      </c>
      <c r="BV1017" s="14">
        <f>F1017*BU1017*IF(B1017&gt;=in_marketplace_from,d_hz_loan_cd*G1017,0)*in_loan_cd_ticket*in_loan_cd_comm</f>
        <v/>
      </c>
      <c r="BW1017" s="40">
        <f>BW1016*(1-IF(B1016&gt;=in_marketplace_from,d_hz_loan_vehicle*G1016,0))</f>
        <v/>
      </c>
      <c r="BX1017" s="14">
        <f>F1017*BW1017*IF(B1017&gt;=in_marketplace_from,d_hz_loan_vehicle*G1017,0)*in_loan_vehicle_ticket*in_loan_vehicle_comm</f>
        <v/>
      </c>
      <c r="BY1017" s="40">
        <f>BY1016*(1-IF(B1016&gt;=in_marketplace_from,d_hz_loan_home*G1016,0)*BZ1016)</f>
        <v/>
      </c>
      <c r="BZ1017" s="11">
        <f>MIN(in_approval_cap,in_loan_home_approval*INDEX('Age profile'!$O$2:$O$61,B1017)*(1+in_approval_growth)^(D1017-1))</f>
        <v/>
      </c>
      <c r="CA1017" s="14">
        <f>F1017*BY1017*IF(B1017&gt;=in_marketplace_from,d_hz_loan_home*G1017,0)*BZ1017*in_loan_home_ticket*in_loan_home_comm</f>
        <v/>
      </c>
      <c r="CB1017" s="40">
        <f>CB1016*(1-IF(B1016&gt;=in_marketplace_from,d_hz_loan_lap*G1016,0)*CC1016)</f>
        <v/>
      </c>
      <c r="CC1017" s="11">
        <f>MIN(in_approval_cap,in_loan_lap_approval*INDEX('Age profile'!$O$2:$O$61,B1017)*(1+in_approval_growth)^(D1017-1))</f>
        <v/>
      </c>
      <c r="CD1017" s="14">
        <f>F1017*CB1017*IF(B1017&gt;=in_marketplace_from,d_hz_loan_lap*G1017,0)*CC1017*in_loan_lap_ticket*in_loan_lap_comm</f>
        <v/>
      </c>
      <c r="CE1017" s="14">
        <f>AA1017+AB1017+AC1017+AD1017+AG1017+AJ1017+AM1017+AP1017+AS1017+AU1017+AX1017+BB1017+BE1017+BG1017+BJ1017+BL1017+BO1017+BR1017+BT1017+BV1017+BX1017+CA1017+CD1017</f>
        <v/>
      </c>
    </row>
    <row r="1018">
      <c r="A1018" s="39" t="n">
        <v>21</v>
      </c>
      <c r="B1018" s="39" t="n">
        <v>7</v>
      </c>
      <c r="C1018" s="39">
        <f>A1018+B1018-1</f>
        <v/>
      </c>
      <c r="D1018" s="39">
        <f>INT((C1018-1)/12)+1</f>
        <v/>
      </c>
      <c r="E1018" s="44">
        <f>INDEX(Monthly!$B$2:$B$61,A1018)</f>
        <v/>
      </c>
      <c r="F1018" s="44">
        <f>E1018*INDEX('Age profile'!$B$2:$B$61,B1018)</f>
        <v/>
      </c>
      <c r="G1018" s="45">
        <f>MIN(in_takeup_cap,INDEX('Age profile'!$N$2:$N$61,B1018)*(1+in_takeup_growth)^(D1018-1))</f>
        <v/>
      </c>
      <c r="H1018" s="11">
        <f>MIN(in_approval_cap,in_approved_first*INDEX('Age profile'!$O$2:$O$61,B1018)*(1+in_approval_growth)^(D1018-1))</f>
        <v/>
      </c>
      <c r="I1018" s="45">
        <f>G1018*MIN(in_takeup_cap,INDEX('Age profile'!$O$2:$O$61,B1018)*(1+in_approval_growth)^(D1018-1))</f>
        <v/>
      </c>
      <c r="J1018" s="40">
        <f>(J1017-L1017)*F1018/F1017</f>
        <v/>
      </c>
      <c r="K1018" s="40">
        <f>(K1017-M1017)*F1018/F1017+SUMIFS(O1012:O1017,B1012:B1017,B1018-1-d_T)*F1018</f>
        <v/>
      </c>
      <c r="L1018" s="40">
        <f>IF(B1018&gt;=in_marketplace_from,J1018*d_hz*G1018*in_eligible*H1018,0)</f>
        <v/>
      </c>
      <c r="M1018" s="40">
        <f>IF(B1018&gt;=in_marketplace_from,K1018*d_hz*G1018*in_eligible*in_approved_repeat,0)</f>
        <v/>
      </c>
      <c r="N1018" s="40">
        <f>L1018+M1018</f>
        <v/>
      </c>
      <c r="O1018" s="46">
        <f>N1018/F1018</f>
        <v/>
      </c>
      <c r="P1018" s="40">
        <f>F1018-J1018-K1018</f>
        <v/>
      </c>
      <c r="Q1018" s="40">
        <f>IF(B1018&gt;=in_marketplace_from,(J1018+K1018)*d_hz*G1018,0)</f>
        <v/>
      </c>
      <c r="R1018" s="40">
        <f>SUMIFS(N1012:N1051,B1012:B1051,"&gt;="&amp;(B1018-d_T),B1012:B1051,"&lt;="&amp;(B1018-1))</f>
        <v/>
      </c>
      <c r="S1018" s="46">
        <f>(1-d_u)*S1017+IF(d_T&gt;in_topup_lag,SUMIFS(O1012:O1051,B1012:B1051,B1018-in_topup_lag)-d_udrop*SUMIFS(O1012:O1051,B1012:B1051,B1018-d_T),0)</f>
        <v/>
      </c>
      <c r="T1018" s="40">
        <f>F1018*d_u*S1018</f>
        <v/>
      </c>
      <c r="U1018" s="9">
        <f>L1018*in_ticket+M1018*d_rep_ticket</f>
        <v/>
      </c>
      <c r="V1018" s="9">
        <f>U1018+T1018*d_topup_amt</f>
        <v/>
      </c>
      <c r="W1018" s="40">
        <f>N1018+T1018*d_topup_ratio</f>
        <v/>
      </c>
      <c r="X1018" s="40">
        <f>SUMIFS(W1012:W1051,B1012:B1051,B1018-in_dpd_lag)*d_cured</f>
        <v/>
      </c>
      <c r="Y1018" s="40">
        <f>SUMIFS(W1012:W1051,B1012:B1051,B1018-in_rec_lag)*d_recd</f>
        <v/>
      </c>
      <c r="Z1018" s="40">
        <f>IF(AND(B1018&gt;=in_marketplace_from,B1018&lt;in_marketplace_from+in_card_months),in_card_share/in_card_months*F1018*I1018,IF(AND(B1018&gt;=in_marketplace_from+in_card_months,B1018&lt;in_marketplace_from+2*in_card_months),in_card_share*d_card_rem/in_card_months*F1018*MIN(in_takeup_cap,(1+in_takeup_growth)^(D1018-1))*MIN(in_takeup_cap,(1+in_approval_growth)^(D1018-1)),0))</f>
        <v/>
      </c>
      <c r="AA1018" s="14">
        <f>V1018*in_fee*(1-in_taken_back)</f>
        <v/>
      </c>
      <c r="AB1018" s="14">
        <f>SUMIFS(W1012:W1051,B1012:B1051,B1018-in_dpd_lag)*d_dpd</f>
        <v/>
      </c>
      <c r="AC1018" s="14">
        <f>SUMIFS(W1012:W1051,B1012:B1051,B1018-in_rec_lag)*d_rec</f>
        <v/>
      </c>
      <c r="AD1018" s="14">
        <f>Z1018*in_card_fee</f>
        <v/>
      </c>
      <c r="AE1018" s="40">
        <f>AE1017*(1-IF(B1017&gt;=in_marketplace_from,d_hz_hlth_small*G1017,0))</f>
        <v/>
      </c>
      <c r="AF1018" s="46">
        <f>AE1018*IF(B1018&gt;=in_marketplace_from,d_hz_hlth_small*G1018,0)</f>
        <v/>
      </c>
      <c r="AG1018" s="14">
        <f>F1018*AF1018*in_hlth_small_ticket*in_hlth_small_comm*in_ins_partner_share+F1018*in_hlth_small_ticket*in_hlth_small_renew_comm*in_ins_partner_share*(in_hlth_small_renew^1*SUMIFS(AF1012:AF1051,B1012:B1051,B1018-12)+in_hlth_small_renew^2*SUMIFS(AF1012:AF1051,B1012:B1051,B1018-24)+in_hlth_small_renew^3*SUMIFS(AF1012:AF1051,B1012:B1051,B1018-36)+in_hlth_small_renew^4*SUMIFS(AF1012:AF1051,B1012:B1051,B1018-48))</f>
        <v/>
      </c>
      <c r="AH1018" s="40">
        <f>AH1017*(1-IF(B1017&gt;=in_marketplace_from,d_hz_hlth_family*G1017,0))</f>
        <v/>
      </c>
      <c r="AI1018" s="46">
        <f>AH1018*IF(B1018&gt;=in_marketplace_from,d_hz_hlth_family*G1018,0)</f>
        <v/>
      </c>
      <c r="AJ1018" s="14">
        <f>F1018*AI1018*in_hlth_family_ticket*in_hlth_family_comm*in_ins_partner_share+F1018*in_hlth_family_ticket*in_hlth_family_renew_comm*in_ins_partner_share*(in_hlth_family_renew^1*SUMIFS(AI1012:AI1051,B1012:B1051,B1018-12)+in_hlth_family_renew^2*SUMIFS(AI1012:AI1051,B1012:B1051,B1018-24)+in_hlth_family_renew^3*SUMIFS(AI1012:AI1051,B1012:B1051,B1018-36)+in_hlth_family_renew^4*SUMIFS(AI1012:AI1051,B1012:B1051,B1018-48))</f>
        <v/>
      </c>
      <c r="AK1018" s="40">
        <f>AK1017*(1-IF(B1017&gt;=in_marketplace_from,d_hz_life_term*G1017,0))</f>
        <v/>
      </c>
      <c r="AL1018" s="46">
        <f>AK1018*IF(B1018&gt;=in_marketplace_from,d_hz_life_term*G1018,0)</f>
        <v/>
      </c>
      <c r="AM1018" s="14">
        <f>F1018*AL1018*in_life_term_ticket*in_life_term_comm*in_ins_partner_share+F1018*in_life_term_ticket*in_life_term_renew_comm*in_ins_partner_share*(in_life_term_renew^1*SUMIFS(AL1012:AL1051,B1012:B1051,B1018-12)+in_life_term_renew^2*SUMIFS(AL1012:AL1051,B1012:B1051,B1018-24)+in_life_term_renew^3*SUMIFS(AL1012:AL1051,B1012:B1051,B1018-36)+in_life_term_renew^4*SUMIFS(AL1012:AL1051,B1012:B1051,B1018-48))</f>
        <v/>
      </c>
      <c r="AN1018" s="40">
        <f>AN1017*(1-IF(B1017&gt;=in_marketplace_from,d_hz_accident*G1017,0))</f>
        <v/>
      </c>
      <c r="AO1018" s="46">
        <f>AN1018*IF(B1018&gt;=in_marketplace_from,d_hz_accident*G1018,0)</f>
        <v/>
      </c>
      <c r="AP1018" s="14">
        <f>F1018*AO1018*in_accident_ticket*in_accident_comm*in_ins_partner_share+F1018*in_accident_ticket*in_accident_renew_comm*in_ins_partner_share*(in_accident_renew^1*SUMIFS(AO1012:AO1051,B1012:B1051,B1018-12)+in_accident_renew^2*SUMIFS(AO1012:AO1051,B1012:B1051,B1018-24)+in_accident_renew^3*SUMIFS(AO1012:AO1051,B1012:B1051,B1018-36)+in_accident_renew^4*SUMIFS(AO1012:AO1051,B1012:B1051,B1018-48))</f>
        <v/>
      </c>
      <c r="AQ1018" s="40">
        <f>AQ1017*(1-IF(B1017&gt;=in_marketplace_from,d_hz_two_wheeler*G1017,0))</f>
        <v/>
      </c>
      <c r="AR1018" s="46">
        <f>AQ1018*IF(B1018&gt;=in_marketplace_from,d_hz_two_wheeler*G1018,0)</f>
        <v/>
      </c>
      <c r="AS1018" s="14">
        <f>F1018*AR1018*in_two_wheeler_ticket*in_two_wheeler_comm*in_ins_partner_share+F1018*in_two_wheeler_ticket*in_two_wheeler_comm*in_ins_partner_share*(in_two_wheeler_renew^1*SUMIFS(AR1012:AR1051,B1012:B1051,B1018-12)+in_two_wheeler_renew^2*SUMIFS(AR1012:AR1051,B1012:B1051,B1018-24)+in_two_wheeler_renew^3*SUMIFS(AR1012:AR1051,B1012:B1051,B1018-36)+in_two_wheeler_renew^4*SUMIFS(AR1012:AR1051,B1012:B1051,B1018-48))</f>
        <v/>
      </c>
      <c r="AT1018" s="40">
        <f>AT1017*(1-IF(B1017&gt;=in_marketplace_from,d_hz_device*G1017,0))</f>
        <v/>
      </c>
      <c r="AU1018" s="14">
        <f>F1018*AT1018*IF(B1018&gt;=in_marketplace_from,d_hz_device*G1018,0)*in_device_ticket*in_device_comm*in_ins_partner_share</f>
        <v/>
      </c>
      <c r="AV1018" s="40">
        <f>AV1017*(1-IF(B1017&gt;=in_marketplace_from,d_hz_shop*G1017,0))</f>
        <v/>
      </c>
      <c r="AW1018" s="46">
        <f>AV1018*IF(B1018&gt;=in_marketplace_from,d_hz_shop*G1018,0)</f>
        <v/>
      </c>
      <c r="AX1018" s="14">
        <f>F1018*AW1018*in_shop_ticket*in_shop_comm*in_ins_partner_share+F1018*in_shop_ticket*in_shop_renew_comm*in_ins_partner_share*(in_shop_renew^1*SUMIFS(AW1012:AW1051,B1012:B1051,B1018-12)+in_shop_renew^2*SUMIFS(AW1012:AW1051,B1012:B1051,B1018-24)+in_shop_renew^3*SUMIFS(AW1012:AW1051,B1012:B1051,B1018-36)+in_shop_renew^4*SUMIFS(AW1012:AW1051,B1012:B1051,B1018-48))</f>
        <v/>
      </c>
      <c r="AY1018" s="40">
        <f>AY1017*(1-IF(B1017&gt;=in_marketplace_from,d_hz_sip*G1017,0))</f>
        <v/>
      </c>
      <c r="AZ1018" s="40">
        <f>AZ1017*d_rho_sip+AY1018*IF(B1018&gt;=in_marketplace_from,d_hz_sip*G1018,0)</f>
        <v/>
      </c>
      <c r="BA1018" s="40">
        <f>d_rho_sip*(BA1017+AZ1017)</f>
        <v/>
      </c>
      <c r="BB1018" s="14">
        <f>F1018*in_sip_ticket*(BA1018+0.5*AZ1018)*in_sip_comm/12</f>
        <v/>
      </c>
      <c r="BC1018" s="40">
        <f>BC1017*(1-IF(B1017&gt;=in_marketplace_from,d_hz_choti*G1017,0))</f>
        <v/>
      </c>
      <c r="BD1018" s="46">
        <f>BC1018*IF(B1018&gt;=in_marketplace_from,d_hz_choti*G1018,0)</f>
        <v/>
      </c>
      <c r="BE1018" s="14">
        <f>F1018*SUMIFS(BD1012:BD1051,B1012:B1051,B1018-in_choti_months)*in_choti_renew*in_choti_ticket</f>
        <v/>
      </c>
      <c r="BF1018" s="40">
        <f>BF1017*(1-IF(B1017&gt;=in_marketplace_from,d_hz_nps*G1017,0))</f>
        <v/>
      </c>
      <c r="BG1018" s="14">
        <f>F1018*BF1018*IF(B1018&gt;=in_marketplace_from,d_hz_nps*G1018,0)*in_nps_ticket*in_nps_comm</f>
        <v/>
      </c>
      <c r="BH1018" s="40">
        <f>BH1017*(1-IF(B1017&gt;=in_marketplace_from,d_hz_gold*G1017,0))</f>
        <v/>
      </c>
      <c r="BI1018" s="40">
        <f>BI1017*d_rho_gold+BH1018*IF(B1018&gt;=in_marketplace_from,d_hz_gold*G1018,0)</f>
        <v/>
      </c>
      <c r="BJ1018" s="14">
        <f>F1018*BI1018*in_gold_ticket*in_gold_comm</f>
        <v/>
      </c>
      <c r="BK1018" s="40">
        <f>BK1017*(1-IF(B1017&gt;=in_marketplace_from,d_hz_fd*G1017,0))</f>
        <v/>
      </c>
      <c r="BL1018" s="14">
        <f>F1018*BK1018*IF(B1018&gt;=in_marketplace_from,d_hz_fd*G1018,0)*in_fd_ticket*in_fd_comm</f>
        <v/>
      </c>
      <c r="BM1018" s="40">
        <f>BM1017*(1-IF(B1017&gt;=in_marketplace_from,d_hz_recharge*G1017,0))</f>
        <v/>
      </c>
      <c r="BN1018" s="40">
        <f>BN1017*d_rho_recharge+BM1018*IF(B1018&gt;=in_marketplace_from,d_hz_recharge*G1018,0)</f>
        <v/>
      </c>
      <c r="BO1018" s="14">
        <f>F1018*BN1018*in_recharge_ticket*in_recharge_comm/12</f>
        <v/>
      </c>
      <c r="BP1018" s="40">
        <f>BP1017*(1-IF(B1017&gt;=in_marketplace_from,d_hz_bills*G1017,0))</f>
        <v/>
      </c>
      <c r="BQ1018" s="40">
        <f>BQ1017*d_rho_bills+BP1018*IF(B1018&gt;=in_marketplace_from,d_hz_bills*G1018,0)</f>
        <v/>
      </c>
      <c r="BR1018" s="14">
        <f>F1018*BQ1018*in_bills_ticket*in_bills_comm/12</f>
        <v/>
      </c>
      <c r="BS1018" s="40">
        <f>BS1017*(1-IF(B1017&gt;=in_marketplace_from,d_hz_loan_gold*G1017,0))</f>
        <v/>
      </c>
      <c r="BT1018" s="14">
        <f>F1018*BS1018*IF(B1018&gt;=in_marketplace_from,d_hz_loan_gold*G1018,0)*in_loan_gold_ticket*in_loan_gold_comm</f>
        <v/>
      </c>
      <c r="BU1018" s="40">
        <f>BU1017*(1-IF(B1017&gt;=in_marketplace_from,d_hz_loan_cd*G1017,0))</f>
        <v/>
      </c>
      <c r="BV1018" s="14">
        <f>F1018*BU1018*IF(B1018&gt;=in_marketplace_from,d_hz_loan_cd*G1018,0)*in_loan_cd_ticket*in_loan_cd_comm</f>
        <v/>
      </c>
      <c r="BW1018" s="40">
        <f>BW1017*(1-IF(B1017&gt;=in_marketplace_from,d_hz_loan_vehicle*G1017,0))</f>
        <v/>
      </c>
      <c r="BX1018" s="14">
        <f>F1018*BW1018*IF(B1018&gt;=in_marketplace_from,d_hz_loan_vehicle*G1018,0)*in_loan_vehicle_ticket*in_loan_vehicle_comm</f>
        <v/>
      </c>
      <c r="BY1018" s="40">
        <f>BY1017*(1-IF(B1017&gt;=in_marketplace_from,d_hz_loan_home*G1017,0)*BZ1017)</f>
        <v/>
      </c>
      <c r="BZ1018" s="11">
        <f>MIN(in_approval_cap,in_loan_home_approval*INDEX('Age profile'!$O$2:$O$61,B1018)*(1+in_approval_growth)^(D1018-1))</f>
        <v/>
      </c>
      <c r="CA1018" s="14">
        <f>F1018*BY1018*IF(B1018&gt;=in_marketplace_from,d_hz_loan_home*G1018,0)*BZ1018*in_loan_home_ticket*in_loan_home_comm</f>
        <v/>
      </c>
      <c r="CB1018" s="40">
        <f>CB1017*(1-IF(B1017&gt;=in_marketplace_from,d_hz_loan_lap*G1017,0)*CC1017)</f>
        <v/>
      </c>
      <c r="CC1018" s="11">
        <f>MIN(in_approval_cap,in_loan_lap_approval*INDEX('Age profile'!$O$2:$O$61,B1018)*(1+in_approval_growth)^(D1018-1))</f>
        <v/>
      </c>
      <c r="CD1018" s="14">
        <f>F1018*CB1018*IF(B1018&gt;=in_marketplace_from,d_hz_loan_lap*G1018,0)*CC1018*in_loan_lap_ticket*in_loan_lap_comm</f>
        <v/>
      </c>
      <c r="CE1018" s="14">
        <f>AA1018+AB1018+AC1018+AD1018+AG1018+AJ1018+AM1018+AP1018+AS1018+AU1018+AX1018+BB1018+BE1018+BG1018+BJ1018+BL1018+BO1018+BR1018+BT1018+BV1018+BX1018+CA1018+CD1018</f>
        <v/>
      </c>
    </row>
    <row r="1019">
      <c r="A1019" s="39" t="n">
        <v>21</v>
      </c>
      <c r="B1019" s="39" t="n">
        <v>8</v>
      </c>
      <c r="C1019" s="39">
        <f>A1019+B1019-1</f>
        <v/>
      </c>
      <c r="D1019" s="39">
        <f>INT((C1019-1)/12)+1</f>
        <v/>
      </c>
      <c r="E1019" s="44">
        <f>INDEX(Monthly!$B$2:$B$61,A1019)</f>
        <v/>
      </c>
      <c r="F1019" s="44">
        <f>E1019*INDEX('Age profile'!$B$2:$B$61,B1019)</f>
        <v/>
      </c>
      <c r="G1019" s="45">
        <f>MIN(in_takeup_cap,INDEX('Age profile'!$N$2:$N$61,B1019)*(1+in_takeup_growth)^(D1019-1))</f>
        <v/>
      </c>
      <c r="H1019" s="11">
        <f>MIN(in_approval_cap,in_approved_first*INDEX('Age profile'!$O$2:$O$61,B1019)*(1+in_approval_growth)^(D1019-1))</f>
        <v/>
      </c>
      <c r="I1019" s="45">
        <f>G1019*MIN(in_takeup_cap,INDEX('Age profile'!$O$2:$O$61,B1019)*(1+in_approval_growth)^(D1019-1))</f>
        <v/>
      </c>
      <c r="J1019" s="40">
        <f>(J1018-L1018)*F1019/F1018</f>
        <v/>
      </c>
      <c r="K1019" s="40">
        <f>(K1018-M1018)*F1019/F1018+SUMIFS(O1012:O1018,B1012:B1018,B1019-1-d_T)*F1019</f>
        <v/>
      </c>
      <c r="L1019" s="40">
        <f>IF(B1019&gt;=in_marketplace_from,J1019*d_hz*G1019*in_eligible*H1019,0)</f>
        <v/>
      </c>
      <c r="M1019" s="40">
        <f>IF(B1019&gt;=in_marketplace_from,K1019*d_hz*G1019*in_eligible*in_approved_repeat,0)</f>
        <v/>
      </c>
      <c r="N1019" s="40">
        <f>L1019+M1019</f>
        <v/>
      </c>
      <c r="O1019" s="46">
        <f>N1019/F1019</f>
        <v/>
      </c>
      <c r="P1019" s="40">
        <f>F1019-J1019-K1019</f>
        <v/>
      </c>
      <c r="Q1019" s="40">
        <f>IF(B1019&gt;=in_marketplace_from,(J1019+K1019)*d_hz*G1019,0)</f>
        <v/>
      </c>
      <c r="R1019" s="40">
        <f>SUMIFS(N1012:N1051,B1012:B1051,"&gt;="&amp;(B1019-d_T),B1012:B1051,"&lt;="&amp;(B1019-1))</f>
        <v/>
      </c>
      <c r="S1019" s="46">
        <f>(1-d_u)*S1018+IF(d_T&gt;in_topup_lag,SUMIFS(O1012:O1051,B1012:B1051,B1019-in_topup_lag)-d_udrop*SUMIFS(O1012:O1051,B1012:B1051,B1019-d_T),0)</f>
        <v/>
      </c>
      <c r="T1019" s="40">
        <f>F1019*d_u*S1019</f>
        <v/>
      </c>
      <c r="U1019" s="9">
        <f>L1019*in_ticket+M1019*d_rep_ticket</f>
        <v/>
      </c>
      <c r="V1019" s="9">
        <f>U1019+T1019*d_topup_amt</f>
        <v/>
      </c>
      <c r="W1019" s="40">
        <f>N1019+T1019*d_topup_ratio</f>
        <v/>
      </c>
      <c r="X1019" s="40">
        <f>SUMIFS(W1012:W1051,B1012:B1051,B1019-in_dpd_lag)*d_cured</f>
        <v/>
      </c>
      <c r="Y1019" s="40">
        <f>SUMIFS(W1012:W1051,B1012:B1051,B1019-in_rec_lag)*d_recd</f>
        <v/>
      </c>
      <c r="Z1019" s="40">
        <f>IF(AND(B1019&gt;=in_marketplace_from,B1019&lt;in_marketplace_from+in_card_months),in_card_share/in_card_months*F1019*I1019,IF(AND(B1019&gt;=in_marketplace_from+in_card_months,B1019&lt;in_marketplace_from+2*in_card_months),in_card_share*d_card_rem/in_card_months*F1019*MIN(in_takeup_cap,(1+in_takeup_growth)^(D1019-1))*MIN(in_takeup_cap,(1+in_approval_growth)^(D1019-1)),0))</f>
        <v/>
      </c>
      <c r="AA1019" s="14">
        <f>V1019*in_fee*(1-in_taken_back)</f>
        <v/>
      </c>
      <c r="AB1019" s="14">
        <f>SUMIFS(W1012:W1051,B1012:B1051,B1019-in_dpd_lag)*d_dpd</f>
        <v/>
      </c>
      <c r="AC1019" s="14">
        <f>SUMIFS(W1012:W1051,B1012:B1051,B1019-in_rec_lag)*d_rec</f>
        <v/>
      </c>
      <c r="AD1019" s="14">
        <f>Z1019*in_card_fee</f>
        <v/>
      </c>
      <c r="AE1019" s="40">
        <f>AE1018*(1-IF(B1018&gt;=in_marketplace_from,d_hz_hlth_small*G1018,0))</f>
        <v/>
      </c>
      <c r="AF1019" s="46">
        <f>AE1019*IF(B1019&gt;=in_marketplace_from,d_hz_hlth_small*G1019,0)</f>
        <v/>
      </c>
      <c r="AG1019" s="14">
        <f>F1019*AF1019*in_hlth_small_ticket*in_hlth_small_comm*in_ins_partner_share+F1019*in_hlth_small_ticket*in_hlth_small_renew_comm*in_ins_partner_share*(in_hlth_small_renew^1*SUMIFS(AF1012:AF1051,B1012:B1051,B1019-12)+in_hlth_small_renew^2*SUMIFS(AF1012:AF1051,B1012:B1051,B1019-24)+in_hlth_small_renew^3*SUMIFS(AF1012:AF1051,B1012:B1051,B1019-36)+in_hlth_small_renew^4*SUMIFS(AF1012:AF1051,B1012:B1051,B1019-48))</f>
        <v/>
      </c>
      <c r="AH1019" s="40">
        <f>AH1018*(1-IF(B1018&gt;=in_marketplace_from,d_hz_hlth_family*G1018,0))</f>
        <v/>
      </c>
      <c r="AI1019" s="46">
        <f>AH1019*IF(B1019&gt;=in_marketplace_from,d_hz_hlth_family*G1019,0)</f>
        <v/>
      </c>
      <c r="AJ1019" s="14">
        <f>F1019*AI1019*in_hlth_family_ticket*in_hlth_family_comm*in_ins_partner_share+F1019*in_hlth_family_ticket*in_hlth_family_renew_comm*in_ins_partner_share*(in_hlth_family_renew^1*SUMIFS(AI1012:AI1051,B1012:B1051,B1019-12)+in_hlth_family_renew^2*SUMIFS(AI1012:AI1051,B1012:B1051,B1019-24)+in_hlth_family_renew^3*SUMIFS(AI1012:AI1051,B1012:B1051,B1019-36)+in_hlth_family_renew^4*SUMIFS(AI1012:AI1051,B1012:B1051,B1019-48))</f>
        <v/>
      </c>
      <c r="AK1019" s="40">
        <f>AK1018*(1-IF(B1018&gt;=in_marketplace_from,d_hz_life_term*G1018,0))</f>
        <v/>
      </c>
      <c r="AL1019" s="46">
        <f>AK1019*IF(B1019&gt;=in_marketplace_from,d_hz_life_term*G1019,0)</f>
        <v/>
      </c>
      <c r="AM1019" s="14">
        <f>F1019*AL1019*in_life_term_ticket*in_life_term_comm*in_ins_partner_share+F1019*in_life_term_ticket*in_life_term_renew_comm*in_ins_partner_share*(in_life_term_renew^1*SUMIFS(AL1012:AL1051,B1012:B1051,B1019-12)+in_life_term_renew^2*SUMIFS(AL1012:AL1051,B1012:B1051,B1019-24)+in_life_term_renew^3*SUMIFS(AL1012:AL1051,B1012:B1051,B1019-36)+in_life_term_renew^4*SUMIFS(AL1012:AL1051,B1012:B1051,B1019-48))</f>
        <v/>
      </c>
      <c r="AN1019" s="40">
        <f>AN1018*(1-IF(B1018&gt;=in_marketplace_from,d_hz_accident*G1018,0))</f>
        <v/>
      </c>
      <c r="AO1019" s="46">
        <f>AN1019*IF(B1019&gt;=in_marketplace_from,d_hz_accident*G1019,0)</f>
        <v/>
      </c>
      <c r="AP1019" s="14">
        <f>F1019*AO1019*in_accident_ticket*in_accident_comm*in_ins_partner_share+F1019*in_accident_ticket*in_accident_renew_comm*in_ins_partner_share*(in_accident_renew^1*SUMIFS(AO1012:AO1051,B1012:B1051,B1019-12)+in_accident_renew^2*SUMIFS(AO1012:AO1051,B1012:B1051,B1019-24)+in_accident_renew^3*SUMIFS(AO1012:AO1051,B1012:B1051,B1019-36)+in_accident_renew^4*SUMIFS(AO1012:AO1051,B1012:B1051,B1019-48))</f>
        <v/>
      </c>
      <c r="AQ1019" s="40">
        <f>AQ1018*(1-IF(B1018&gt;=in_marketplace_from,d_hz_two_wheeler*G1018,0))</f>
        <v/>
      </c>
      <c r="AR1019" s="46">
        <f>AQ1019*IF(B1019&gt;=in_marketplace_from,d_hz_two_wheeler*G1019,0)</f>
        <v/>
      </c>
      <c r="AS1019" s="14">
        <f>F1019*AR1019*in_two_wheeler_ticket*in_two_wheeler_comm*in_ins_partner_share+F1019*in_two_wheeler_ticket*in_two_wheeler_comm*in_ins_partner_share*(in_two_wheeler_renew^1*SUMIFS(AR1012:AR1051,B1012:B1051,B1019-12)+in_two_wheeler_renew^2*SUMIFS(AR1012:AR1051,B1012:B1051,B1019-24)+in_two_wheeler_renew^3*SUMIFS(AR1012:AR1051,B1012:B1051,B1019-36)+in_two_wheeler_renew^4*SUMIFS(AR1012:AR1051,B1012:B1051,B1019-48))</f>
        <v/>
      </c>
      <c r="AT1019" s="40">
        <f>AT1018*(1-IF(B1018&gt;=in_marketplace_from,d_hz_device*G1018,0))</f>
        <v/>
      </c>
      <c r="AU1019" s="14">
        <f>F1019*AT1019*IF(B1019&gt;=in_marketplace_from,d_hz_device*G1019,0)*in_device_ticket*in_device_comm*in_ins_partner_share</f>
        <v/>
      </c>
      <c r="AV1019" s="40">
        <f>AV1018*(1-IF(B1018&gt;=in_marketplace_from,d_hz_shop*G1018,0))</f>
        <v/>
      </c>
      <c r="AW1019" s="46">
        <f>AV1019*IF(B1019&gt;=in_marketplace_from,d_hz_shop*G1019,0)</f>
        <v/>
      </c>
      <c r="AX1019" s="14">
        <f>F1019*AW1019*in_shop_ticket*in_shop_comm*in_ins_partner_share+F1019*in_shop_ticket*in_shop_renew_comm*in_ins_partner_share*(in_shop_renew^1*SUMIFS(AW1012:AW1051,B1012:B1051,B1019-12)+in_shop_renew^2*SUMIFS(AW1012:AW1051,B1012:B1051,B1019-24)+in_shop_renew^3*SUMIFS(AW1012:AW1051,B1012:B1051,B1019-36)+in_shop_renew^4*SUMIFS(AW1012:AW1051,B1012:B1051,B1019-48))</f>
        <v/>
      </c>
      <c r="AY1019" s="40">
        <f>AY1018*(1-IF(B1018&gt;=in_marketplace_from,d_hz_sip*G1018,0))</f>
        <v/>
      </c>
      <c r="AZ1019" s="40">
        <f>AZ1018*d_rho_sip+AY1019*IF(B1019&gt;=in_marketplace_from,d_hz_sip*G1019,0)</f>
        <v/>
      </c>
      <c r="BA1019" s="40">
        <f>d_rho_sip*(BA1018+AZ1018)</f>
        <v/>
      </c>
      <c r="BB1019" s="14">
        <f>F1019*in_sip_ticket*(BA1019+0.5*AZ1019)*in_sip_comm/12</f>
        <v/>
      </c>
      <c r="BC1019" s="40">
        <f>BC1018*(1-IF(B1018&gt;=in_marketplace_from,d_hz_choti*G1018,0))</f>
        <v/>
      </c>
      <c r="BD1019" s="46">
        <f>BC1019*IF(B1019&gt;=in_marketplace_from,d_hz_choti*G1019,0)</f>
        <v/>
      </c>
      <c r="BE1019" s="14">
        <f>F1019*SUMIFS(BD1012:BD1051,B1012:B1051,B1019-in_choti_months)*in_choti_renew*in_choti_ticket</f>
        <v/>
      </c>
      <c r="BF1019" s="40">
        <f>BF1018*(1-IF(B1018&gt;=in_marketplace_from,d_hz_nps*G1018,0))</f>
        <v/>
      </c>
      <c r="BG1019" s="14">
        <f>F1019*BF1019*IF(B1019&gt;=in_marketplace_from,d_hz_nps*G1019,0)*in_nps_ticket*in_nps_comm</f>
        <v/>
      </c>
      <c r="BH1019" s="40">
        <f>BH1018*(1-IF(B1018&gt;=in_marketplace_from,d_hz_gold*G1018,0))</f>
        <v/>
      </c>
      <c r="BI1019" s="40">
        <f>BI1018*d_rho_gold+BH1019*IF(B1019&gt;=in_marketplace_from,d_hz_gold*G1019,0)</f>
        <v/>
      </c>
      <c r="BJ1019" s="14">
        <f>F1019*BI1019*in_gold_ticket*in_gold_comm</f>
        <v/>
      </c>
      <c r="BK1019" s="40">
        <f>BK1018*(1-IF(B1018&gt;=in_marketplace_from,d_hz_fd*G1018,0))</f>
        <v/>
      </c>
      <c r="BL1019" s="14">
        <f>F1019*BK1019*IF(B1019&gt;=in_marketplace_from,d_hz_fd*G1019,0)*in_fd_ticket*in_fd_comm</f>
        <v/>
      </c>
      <c r="BM1019" s="40">
        <f>BM1018*(1-IF(B1018&gt;=in_marketplace_from,d_hz_recharge*G1018,0))</f>
        <v/>
      </c>
      <c r="BN1019" s="40">
        <f>BN1018*d_rho_recharge+BM1019*IF(B1019&gt;=in_marketplace_from,d_hz_recharge*G1019,0)</f>
        <v/>
      </c>
      <c r="BO1019" s="14">
        <f>F1019*BN1019*in_recharge_ticket*in_recharge_comm/12</f>
        <v/>
      </c>
      <c r="BP1019" s="40">
        <f>BP1018*(1-IF(B1018&gt;=in_marketplace_from,d_hz_bills*G1018,0))</f>
        <v/>
      </c>
      <c r="BQ1019" s="40">
        <f>BQ1018*d_rho_bills+BP1019*IF(B1019&gt;=in_marketplace_from,d_hz_bills*G1019,0)</f>
        <v/>
      </c>
      <c r="BR1019" s="14">
        <f>F1019*BQ1019*in_bills_ticket*in_bills_comm/12</f>
        <v/>
      </c>
      <c r="BS1019" s="40">
        <f>BS1018*(1-IF(B1018&gt;=in_marketplace_from,d_hz_loan_gold*G1018,0))</f>
        <v/>
      </c>
      <c r="BT1019" s="14">
        <f>F1019*BS1019*IF(B1019&gt;=in_marketplace_from,d_hz_loan_gold*G1019,0)*in_loan_gold_ticket*in_loan_gold_comm</f>
        <v/>
      </c>
      <c r="BU1019" s="40">
        <f>BU1018*(1-IF(B1018&gt;=in_marketplace_from,d_hz_loan_cd*G1018,0))</f>
        <v/>
      </c>
      <c r="BV1019" s="14">
        <f>F1019*BU1019*IF(B1019&gt;=in_marketplace_from,d_hz_loan_cd*G1019,0)*in_loan_cd_ticket*in_loan_cd_comm</f>
        <v/>
      </c>
      <c r="BW1019" s="40">
        <f>BW1018*(1-IF(B1018&gt;=in_marketplace_from,d_hz_loan_vehicle*G1018,0))</f>
        <v/>
      </c>
      <c r="BX1019" s="14">
        <f>F1019*BW1019*IF(B1019&gt;=in_marketplace_from,d_hz_loan_vehicle*G1019,0)*in_loan_vehicle_ticket*in_loan_vehicle_comm</f>
        <v/>
      </c>
      <c r="BY1019" s="40">
        <f>BY1018*(1-IF(B1018&gt;=in_marketplace_from,d_hz_loan_home*G1018,0)*BZ1018)</f>
        <v/>
      </c>
      <c r="BZ1019" s="11">
        <f>MIN(in_approval_cap,in_loan_home_approval*INDEX('Age profile'!$O$2:$O$61,B1019)*(1+in_approval_growth)^(D1019-1))</f>
        <v/>
      </c>
      <c r="CA1019" s="14">
        <f>F1019*BY1019*IF(B1019&gt;=in_marketplace_from,d_hz_loan_home*G1019,0)*BZ1019*in_loan_home_ticket*in_loan_home_comm</f>
        <v/>
      </c>
      <c r="CB1019" s="40">
        <f>CB1018*(1-IF(B1018&gt;=in_marketplace_from,d_hz_loan_lap*G1018,0)*CC1018)</f>
        <v/>
      </c>
      <c r="CC1019" s="11">
        <f>MIN(in_approval_cap,in_loan_lap_approval*INDEX('Age profile'!$O$2:$O$61,B1019)*(1+in_approval_growth)^(D1019-1))</f>
        <v/>
      </c>
      <c r="CD1019" s="14">
        <f>F1019*CB1019*IF(B1019&gt;=in_marketplace_from,d_hz_loan_lap*G1019,0)*CC1019*in_loan_lap_ticket*in_loan_lap_comm</f>
        <v/>
      </c>
      <c r="CE1019" s="14">
        <f>AA1019+AB1019+AC1019+AD1019+AG1019+AJ1019+AM1019+AP1019+AS1019+AU1019+AX1019+BB1019+BE1019+BG1019+BJ1019+BL1019+BO1019+BR1019+BT1019+BV1019+BX1019+CA1019+CD1019</f>
        <v/>
      </c>
    </row>
    <row r="1020">
      <c r="A1020" s="39" t="n">
        <v>21</v>
      </c>
      <c r="B1020" s="39" t="n">
        <v>9</v>
      </c>
      <c r="C1020" s="39">
        <f>A1020+B1020-1</f>
        <v/>
      </c>
      <c r="D1020" s="39">
        <f>INT((C1020-1)/12)+1</f>
        <v/>
      </c>
      <c r="E1020" s="44">
        <f>INDEX(Monthly!$B$2:$B$61,A1020)</f>
        <v/>
      </c>
      <c r="F1020" s="44">
        <f>E1020*INDEX('Age profile'!$B$2:$B$61,B1020)</f>
        <v/>
      </c>
      <c r="G1020" s="45">
        <f>MIN(in_takeup_cap,INDEX('Age profile'!$N$2:$N$61,B1020)*(1+in_takeup_growth)^(D1020-1))</f>
        <v/>
      </c>
      <c r="H1020" s="11">
        <f>MIN(in_approval_cap,in_approved_first*INDEX('Age profile'!$O$2:$O$61,B1020)*(1+in_approval_growth)^(D1020-1))</f>
        <v/>
      </c>
      <c r="I1020" s="45">
        <f>G1020*MIN(in_takeup_cap,INDEX('Age profile'!$O$2:$O$61,B1020)*(1+in_approval_growth)^(D1020-1))</f>
        <v/>
      </c>
      <c r="J1020" s="40">
        <f>(J1019-L1019)*F1020/F1019</f>
        <v/>
      </c>
      <c r="K1020" s="40">
        <f>(K1019-M1019)*F1020/F1019+SUMIFS(O1012:O1019,B1012:B1019,B1020-1-d_T)*F1020</f>
        <v/>
      </c>
      <c r="L1020" s="40">
        <f>IF(B1020&gt;=in_marketplace_from,J1020*d_hz*G1020*in_eligible*H1020,0)</f>
        <v/>
      </c>
      <c r="M1020" s="40">
        <f>IF(B1020&gt;=in_marketplace_from,K1020*d_hz*G1020*in_eligible*in_approved_repeat,0)</f>
        <v/>
      </c>
      <c r="N1020" s="40">
        <f>L1020+M1020</f>
        <v/>
      </c>
      <c r="O1020" s="46">
        <f>N1020/F1020</f>
        <v/>
      </c>
      <c r="P1020" s="40">
        <f>F1020-J1020-K1020</f>
        <v/>
      </c>
      <c r="Q1020" s="40">
        <f>IF(B1020&gt;=in_marketplace_from,(J1020+K1020)*d_hz*G1020,0)</f>
        <v/>
      </c>
      <c r="R1020" s="40">
        <f>SUMIFS(N1012:N1051,B1012:B1051,"&gt;="&amp;(B1020-d_T),B1012:B1051,"&lt;="&amp;(B1020-1))</f>
        <v/>
      </c>
      <c r="S1020" s="46">
        <f>(1-d_u)*S1019+IF(d_T&gt;in_topup_lag,SUMIFS(O1012:O1051,B1012:B1051,B1020-in_topup_lag)-d_udrop*SUMIFS(O1012:O1051,B1012:B1051,B1020-d_T),0)</f>
        <v/>
      </c>
      <c r="T1020" s="40">
        <f>F1020*d_u*S1020</f>
        <v/>
      </c>
      <c r="U1020" s="9">
        <f>L1020*in_ticket+M1020*d_rep_ticket</f>
        <v/>
      </c>
      <c r="V1020" s="9">
        <f>U1020+T1020*d_topup_amt</f>
        <v/>
      </c>
      <c r="W1020" s="40">
        <f>N1020+T1020*d_topup_ratio</f>
        <v/>
      </c>
      <c r="X1020" s="40">
        <f>SUMIFS(W1012:W1051,B1012:B1051,B1020-in_dpd_lag)*d_cured</f>
        <v/>
      </c>
      <c r="Y1020" s="40">
        <f>SUMIFS(W1012:W1051,B1012:B1051,B1020-in_rec_lag)*d_recd</f>
        <v/>
      </c>
      <c r="Z1020" s="40">
        <f>IF(AND(B1020&gt;=in_marketplace_from,B1020&lt;in_marketplace_from+in_card_months),in_card_share/in_card_months*F1020*I1020,IF(AND(B1020&gt;=in_marketplace_from+in_card_months,B1020&lt;in_marketplace_from+2*in_card_months),in_card_share*d_card_rem/in_card_months*F1020*MIN(in_takeup_cap,(1+in_takeup_growth)^(D1020-1))*MIN(in_takeup_cap,(1+in_approval_growth)^(D1020-1)),0))</f>
        <v/>
      </c>
      <c r="AA1020" s="14">
        <f>V1020*in_fee*(1-in_taken_back)</f>
        <v/>
      </c>
      <c r="AB1020" s="14">
        <f>SUMIFS(W1012:W1051,B1012:B1051,B1020-in_dpd_lag)*d_dpd</f>
        <v/>
      </c>
      <c r="AC1020" s="14">
        <f>SUMIFS(W1012:W1051,B1012:B1051,B1020-in_rec_lag)*d_rec</f>
        <v/>
      </c>
      <c r="AD1020" s="14">
        <f>Z1020*in_card_fee</f>
        <v/>
      </c>
      <c r="AE1020" s="40">
        <f>AE1019*(1-IF(B1019&gt;=in_marketplace_from,d_hz_hlth_small*G1019,0))</f>
        <v/>
      </c>
      <c r="AF1020" s="46">
        <f>AE1020*IF(B1020&gt;=in_marketplace_from,d_hz_hlth_small*G1020,0)</f>
        <v/>
      </c>
      <c r="AG1020" s="14">
        <f>F1020*AF1020*in_hlth_small_ticket*in_hlth_small_comm*in_ins_partner_share+F1020*in_hlth_small_ticket*in_hlth_small_renew_comm*in_ins_partner_share*(in_hlth_small_renew^1*SUMIFS(AF1012:AF1051,B1012:B1051,B1020-12)+in_hlth_small_renew^2*SUMIFS(AF1012:AF1051,B1012:B1051,B1020-24)+in_hlth_small_renew^3*SUMIFS(AF1012:AF1051,B1012:B1051,B1020-36)+in_hlth_small_renew^4*SUMIFS(AF1012:AF1051,B1012:B1051,B1020-48))</f>
        <v/>
      </c>
      <c r="AH1020" s="40">
        <f>AH1019*(1-IF(B1019&gt;=in_marketplace_from,d_hz_hlth_family*G1019,0))</f>
        <v/>
      </c>
      <c r="AI1020" s="46">
        <f>AH1020*IF(B1020&gt;=in_marketplace_from,d_hz_hlth_family*G1020,0)</f>
        <v/>
      </c>
      <c r="AJ1020" s="14">
        <f>F1020*AI1020*in_hlth_family_ticket*in_hlth_family_comm*in_ins_partner_share+F1020*in_hlth_family_ticket*in_hlth_family_renew_comm*in_ins_partner_share*(in_hlth_family_renew^1*SUMIFS(AI1012:AI1051,B1012:B1051,B1020-12)+in_hlth_family_renew^2*SUMIFS(AI1012:AI1051,B1012:B1051,B1020-24)+in_hlth_family_renew^3*SUMIFS(AI1012:AI1051,B1012:B1051,B1020-36)+in_hlth_family_renew^4*SUMIFS(AI1012:AI1051,B1012:B1051,B1020-48))</f>
        <v/>
      </c>
      <c r="AK1020" s="40">
        <f>AK1019*(1-IF(B1019&gt;=in_marketplace_from,d_hz_life_term*G1019,0))</f>
        <v/>
      </c>
      <c r="AL1020" s="46">
        <f>AK1020*IF(B1020&gt;=in_marketplace_from,d_hz_life_term*G1020,0)</f>
        <v/>
      </c>
      <c r="AM1020" s="14">
        <f>F1020*AL1020*in_life_term_ticket*in_life_term_comm*in_ins_partner_share+F1020*in_life_term_ticket*in_life_term_renew_comm*in_ins_partner_share*(in_life_term_renew^1*SUMIFS(AL1012:AL1051,B1012:B1051,B1020-12)+in_life_term_renew^2*SUMIFS(AL1012:AL1051,B1012:B1051,B1020-24)+in_life_term_renew^3*SUMIFS(AL1012:AL1051,B1012:B1051,B1020-36)+in_life_term_renew^4*SUMIFS(AL1012:AL1051,B1012:B1051,B1020-48))</f>
        <v/>
      </c>
      <c r="AN1020" s="40">
        <f>AN1019*(1-IF(B1019&gt;=in_marketplace_from,d_hz_accident*G1019,0))</f>
        <v/>
      </c>
      <c r="AO1020" s="46">
        <f>AN1020*IF(B1020&gt;=in_marketplace_from,d_hz_accident*G1020,0)</f>
        <v/>
      </c>
      <c r="AP1020" s="14">
        <f>F1020*AO1020*in_accident_ticket*in_accident_comm*in_ins_partner_share+F1020*in_accident_ticket*in_accident_renew_comm*in_ins_partner_share*(in_accident_renew^1*SUMIFS(AO1012:AO1051,B1012:B1051,B1020-12)+in_accident_renew^2*SUMIFS(AO1012:AO1051,B1012:B1051,B1020-24)+in_accident_renew^3*SUMIFS(AO1012:AO1051,B1012:B1051,B1020-36)+in_accident_renew^4*SUMIFS(AO1012:AO1051,B1012:B1051,B1020-48))</f>
        <v/>
      </c>
      <c r="AQ1020" s="40">
        <f>AQ1019*(1-IF(B1019&gt;=in_marketplace_from,d_hz_two_wheeler*G1019,0))</f>
        <v/>
      </c>
      <c r="AR1020" s="46">
        <f>AQ1020*IF(B1020&gt;=in_marketplace_from,d_hz_two_wheeler*G1020,0)</f>
        <v/>
      </c>
      <c r="AS1020" s="14">
        <f>F1020*AR1020*in_two_wheeler_ticket*in_two_wheeler_comm*in_ins_partner_share+F1020*in_two_wheeler_ticket*in_two_wheeler_comm*in_ins_partner_share*(in_two_wheeler_renew^1*SUMIFS(AR1012:AR1051,B1012:B1051,B1020-12)+in_two_wheeler_renew^2*SUMIFS(AR1012:AR1051,B1012:B1051,B1020-24)+in_two_wheeler_renew^3*SUMIFS(AR1012:AR1051,B1012:B1051,B1020-36)+in_two_wheeler_renew^4*SUMIFS(AR1012:AR1051,B1012:B1051,B1020-48))</f>
        <v/>
      </c>
      <c r="AT1020" s="40">
        <f>AT1019*(1-IF(B1019&gt;=in_marketplace_from,d_hz_device*G1019,0))</f>
        <v/>
      </c>
      <c r="AU1020" s="14">
        <f>F1020*AT1020*IF(B1020&gt;=in_marketplace_from,d_hz_device*G1020,0)*in_device_ticket*in_device_comm*in_ins_partner_share</f>
        <v/>
      </c>
      <c r="AV1020" s="40">
        <f>AV1019*(1-IF(B1019&gt;=in_marketplace_from,d_hz_shop*G1019,0))</f>
        <v/>
      </c>
      <c r="AW1020" s="46">
        <f>AV1020*IF(B1020&gt;=in_marketplace_from,d_hz_shop*G1020,0)</f>
        <v/>
      </c>
      <c r="AX1020" s="14">
        <f>F1020*AW1020*in_shop_ticket*in_shop_comm*in_ins_partner_share+F1020*in_shop_ticket*in_shop_renew_comm*in_ins_partner_share*(in_shop_renew^1*SUMIFS(AW1012:AW1051,B1012:B1051,B1020-12)+in_shop_renew^2*SUMIFS(AW1012:AW1051,B1012:B1051,B1020-24)+in_shop_renew^3*SUMIFS(AW1012:AW1051,B1012:B1051,B1020-36)+in_shop_renew^4*SUMIFS(AW1012:AW1051,B1012:B1051,B1020-48))</f>
        <v/>
      </c>
      <c r="AY1020" s="40">
        <f>AY1019*(1-IF(B1019&gt;=in_marketplace_from,d_hz_sip*G1019,0))</f>
        <v/>
      </c>
      <c r="AZ1020" s="40">
        <f>AZ1019*d_rho_sip+AY1020*IF(B1020&gt;=in_marketplace_from,d_hz_sip*G1020,0)</f>
        <v/>
      </c>
      <c r="BA1020" s="40">
        <f>d_rho_sip*(BA1019+AZ1019)</f>
        <v/>
      </c>
      <c r="BB1020" s="14">
        <f>F1020*in_sip_ticket*(BA1020+0.5*AZ1020)*in_sip_comm/12</f>
        <v/>
      </c>
      <c r="BC1020" s="40">
        <f>BC1019*(1-IF(B1019&gt;=in_marketplace_from,d_hz_choti*G1019,0))</f>
        <v/>
      </c>
      <c r="BD1020" s="46">
        <f>BC1020*IF(B1020&gt;=in_marketplace_from,d_hz_choti*G1020,0)</f>
        <v/>
      </c>
      <c r="BE1020" s="14">
        <f>F1020*SUMIFS(BD1012:BD1051,B1012:B1051,B1020-in_choti_months)*in_choti_renew*in_choti_ticket</f>
        <v/>
      </c>
      <c r="BF1020" s="40">
        <f>BF1019*(1-IF(B1019&gt;=in_marketplace_from,d_hz_nps*G1019,0))</f>
        <v/>
      </c>
      <c r="BG1020" s="14">
        <f>F1020*BF1020*IF(B1020&gt;=in_marketplace_from,d_hz_nps*G1020,0)*in_nps_ticket*in_nps_comm</f>
        <v/>
      </c>
      <c r="BH1020" s="40">
        <f>BH1019*(1-IF(B1019&gt;=in_marketplace_from,d_hz_gold*G1019,0))</f>
        <v/>
      </c>
      <c r="BI1020" s="40">
        <f>BI1019*d_rho_gold+BH1020*IF(B1020&gt;=in_marketplace_from,d_hz_gold*G1020,0)</f>
        <v/>
      </c>
      <c r="BJ1020" s="14">
        <f>F1020*BI1020*in_gold_ticket*in_gold_comm</f>
        <v/>
      </c>
      <c r="BK1020" s="40">
        <f>BK1019*(1-IF(B1019&gt;=in_marketplace_from,d_hz_fd*G1019,0))</f>
        <v/>
      </c>
      <c r="BL1020" s="14">
        <f>F1020*BK1020*IF(B1020&gt;=in_marketplace_from,d_hz_fd*G1020,0)*in_fd_ticket*in_fd_comm</f>
        <v/>
      </c>
      <c r="BM1020" s="40">
        <f>BM1019*(1-IF(B1019&gt;=in_marketplace_from,d_hz_recharge*G1019,0))</f>
        <v/>
      </c>
      <c r="BN1020" s="40">
        <f>BN1019*d_rho_recharge+BM1020*IF(B1020&gt;=in_marketplace_from,d_hz_recharge*G1020,0)</f>
        <v/>
      </c>
      <c r="BO1020" s="14">
        <f>F1020*BN1020*in_recharge_ticket*in_recharge_comm/12</f>
        <v/>
      </c>
      <c r="BP1020" s="40">
        <f>BP1019*(1-IF(B1019&gt;=in_marketplace_from,d_hz_bills*G1019,0))</f>
        <v/>
      </c>
      <c r="BQ1020" s="40">
        <f>BQ1019*d_rho_bills+BP1020*IF(B1020&gt;=in_marketplace_from,d_hz_bills*G1020,0)</f>
        <v/>
      </c>
      <c r="BR1020" s="14">
        <f>F1020*BQ1020*in_bills_ticket*in_bills_comm/12</f>
        <v/>
      </c>
      <c r="BS1020" s="40">
        <f>BS1019*(1-IF(B1019&gt;=in_marketplace_from,d_hz_loan_gold*G1019,0))</f>
        <v/>
      </c>
      <c r="BT1020" s="14">
        <f>F1020*BS1020*IF(B1020&gt;=in_marketplace_from,d_hz_loan_gold*G1020,0)*in_loan_gold_ticket*in_loan_gold_comm</f>
        <v/>
      </c>
      <c r="BU1020" s="40">
        <f>BU1019*(1-IF(B1019&gt;=in_marketplace_from,d_hz_loan_cd*G1019,0))</f>
        <v/>
      </c>
      <c r="BV1020" s="14">
        <f>F1020*BU1020*IF(B1020&gt;=in_marketplace_from,d_hz_loan_cd*G1020,0)*in_loan_cd_ticket*in_loan_cd_comm</f>
        <v/>
      </c>
      <c r="BW1020" s="40">
        <f>BW1019*(1-IF(B1019&gt;=in_marketplace_from,d_hz_loan_vehicle*G1019,0))</f>
        <v/>
      </c>
      <c r="BX1020" s="14">
        <f>F1020*BW1020*IF(B1020&gt;=in_marketplace_from,d_hz_loan_vehicle*G1020,0)*in_loan_vehicle_ticket*in_loan_vehicle_comm</f>
        <v/>
      </c>
      <c r="BY1020" s="40">
        <f>BY1019*(1-IF(B1019&gt;=in_marketplace_from,d_hz_loan_home*G1019,0)*BZ1019)</f>
        <v/>
      </c>
      <c r="BZ1020" s="11">
        <f>MIN(in_approval_cap,in_loan_home_approval*INDEX('Age profile'!$O$2:$O$61,B1020)*(1+in_approval_growth)^(D1020-1))</f>
        <v/>
      </c>
      <c r="CA1020" s="14">
        <f>F1020*BY1020*IF(B1020&gt;=in_marketplace_from,d_hz_loan_home*G1020,0)*BZ1020*in_loan_home_ticket*in_loan_home_comm</f>
        <v/>
      </c>
      <c r="CB1020" s="40">
        <f>CB1019*(1-IF(B1019&gt;=in_marketplace_from,d_hz_loan_lap*G1019,0)*CC1019)</f>
        <v/>
      </c>
      <c r="CC1020" s="11">
        <f>MIN(in_approval_cap,in_loan_lap_approval*INDEX('Age profile'!$O$2:$O$61,B1020)*(1+in_approval_growth)^(D1020-1))</f>
        <v/>
      </c>
      <c r="CD1020" s="14">
        <f>F1020*CB1020*IF(B1020&gt;=in_marketplace_from,d_hz_loan_lap*G1020,0)*CC1020*in_loan_lap_ticket*in_loan_lap_comm</f>
        <v/>
      </c>
      <c r="CE1020" s="14">
        <f>AA1020+AB1020+AC1020+AD1020+AG1020+AJ1020+AM1020+AP1020+AS1020+AU1020+AX1020+BB1020+BE1020+BG1020+BJ1020+BL1020+BO1020+BR1020+BT1020+BV1020+BX1020+CA1020+CD1020</f>
        <v/>
      </c>
    </row>
    <row r="1021">
      <c r="A1021" s="39" t="n">
        <v>21</v>
      </c>
      <c r="B1021" s="39" t="n">
        <v>10</v>
      </c>
      <c r="C1021" s="39">
        <f>A1021+B1021-1</f>
        <v/>
      </c>
      <c r="D1021" s="39">
        <f>INT((C1021-1)/12)+1</f>
        <v/>
      </c>
      <c r="E1021" s="44">
        <f>INDEX(Monthly!$B$2:$B$61,A1021)</f>
        <v/>
      </c>
      <c r="F1021" s="44">
        <f>E1021*INDEX('Age profile'!$B$2:$B$61,B1021)</f>
        <v/>
      </c>
      <c r="G1021" s="45">
        <f>MIN(in_takeup_cap,INDEX('Age profile'!$N$2:$N$61,B1021)*(1+in_takeup_growth)^(D1021-1))</f>
        <v/>
      </c>
      <c r="H1021" s="11">
        <f>MIN(in_approval_cap,in_approved_first*INDEX('Age profile'!$O$2:$O$61,B1021)*(1+in_approval_growth)^(D1021-1))</f>
        <v/>
      </c>
      <c r="I1021" s="45">
        <f>G1021*MIN(in_takeup_cap,INDEX('Age profile'!$O$2:$O$61,B1021)*(1+in_approval_growth)^(D1021-1))</f>
        <v/>
      </c>
      <c r="J1021" s="40">
        <f>(J1020-L1020)*F1021/F1020</f>
        <v/>
      </c>
      <c r="K1021" s="40">
        <f>(K1020-M1020)*F1021/F1020+SUMIFS(O1012:O1020,B1012:B1020,B1021-1-d_T)*F1021</f>
        <v/>
      </c>
      <c r="L1021" s="40">
        <f>IF(B1021&gt;=in_marketplace_from,J1021*d_hz*G1021*in_eligible*H1021,0)</f>
        <v/>
      </c>
      <c r="M1021" s="40">
        <f>IF(B1021&gt;=in_marketplace_from,K1021*d_hz*G1021*in_eligible*in_approved_repeat,0)</f>
        <v/>
      </c>
      <c r="N1021" s="40">
        <f>L1021+M1021</f>
        <v/>
      </c>
      <c r="O1021" s="46">
        <f>N1021/F1021</f>
        <v/>
      </c>
      <c r="P1021" s="40">
        <f>F1021-J1021-K1021</f>
        <v/>
      </c>
      <c r="Q1021" s="40">
        <f>IF(B1021&gt;=in_marketplace_from,(J1021+K1021)*d_hz*G1021,0)</f>
        <v/>
      </c>
      <c r="R1021" s="40">
        <f>SUMIFS(N1012:N1051,B1012:B1051,"&gt;="&amp;(B1021-d_T),B1012:B1051,"&lt;="&amp;(B1021-1))</f>
        <v/>
      </c>
      <c r="S1021" s="46">
        <f>(1-d_u)*S1020+IF(d_T&gt;in_topup_lag,SUMIFS(O1012:O1051,B1012:B1051,B1021-in_topup_lag)-d_udrop*SUMIFS(O1012:O1051,B1012:B1051,B1021-d_T),0)</f>
        <v/>
      </c>
      <c r="T1021" s="40">
        <f>F1021*d_u*S1021</f>
        <v/>
      </c>
      <c r="U1021" s="9">
        <f>L1021*in_ticket+M1021*d_rep_ticket</f>
        <v/>
      </c>
      <c r="V1021" s="9">
        <f>U1021+T1021*d_topup_amt</f>
        <v/>
      </c>
      <c r="W1021" s="40">
        <f>N1021+T1021*d_topup_ratio</f>
        <v/>
      </c>
      <c r="X1021" s="40">
        <f>SUMIFS(W1012:W1051,B1012:B1051,B1021-in_dpd_lag)*d_cured</f>
        <v/>
      </c>
      <c r="Y1021" s="40">
        <f>SUMIFS(W1012:W1051,B1012:B1051,B1021-in_rec_lag)*d_recd</f>
        <v/>
      </c>
      <c r="Z1021" s="40">
        <f>IF(AND(B1021&gt;=in_marketplace_from,B1021&lt;in_marketplace_from+in_card_months),in_card_share/in_card_months*F1021*I1021,IF(AND(B1021&gt;=in_marketplace_from+in_card_months,B1021&lt;in_marketplace_from+2*in_card_months),in_card_share*d_card_rem/in_card_months*F1021*MIN(in_takeup_cap,(1+in_takeup_growth)^(D1021-1))*MIN(in_takeup_cap,(1+in_approval_growth)^(D1021-1)),0))</f>
        <v/>
      </c>
      <c r="AA1021" s="14">
        <f>V1021*in_fee*(1-in_taken_back)</f>
        <v/>
      </c>
      <c r="AB1021" s="14">
        <f>SUMIFS(W1012:W1051,B1012:B1051,B1021-in_dpd_lag)*d_dpd</f>
        <v/>
      </c>
      <c r="AC1021" s="14">
        <f>SUMIFS(W1012:W1051,B1012:B1051,B1021-in_rec_lag)*d_rec</f>
        <v/>
      </c>
      <c r="AD1021" s="14">
        <f>Z1021*in_card_fee</f>
        <v/>
      </c>
      <c r="AE1021" s="40">
        <f>AE1020*(1-IF(B1020&gt;=in_marketplace_from,d_hz_hlth_small*G1020,0))</f>
        <v/>
      </c>
      <c r="AF1021" s="46">
        <f>AE1021*IF(B1021&gt;=in_marketplace_from,d_hz_hlth_small*G1021,0)</f>
        <v/>
      </c>
      <c r="AG1021" s="14">
        <f>F1021*AF1021*in_hlth_small_ticket*in_hlth_small_comm*in_ins_partner_share+F1021*in_hlth_small_ticket*in_hlth_small_renew_comm*in_ins_partner_share*(in_hlth_small_renew^1*SUMIFS(AF1012:AF1051,B1012:B1051,B1021-12)+in_hlth_small_renew^2*SUMIFS(AF1012:AF1051,B1012:B1051,B1021-24)+in_hlth_small_renew^3*SUMIFS(AF1012:AF1051,B1012:B1051,B1021-36)+in_hlth_small_renew^4*SUMIFS(AF1012:AF1051,B1012:B1051,B1021-48))</f>
        <v/>
      </c>
      <c r="AH1021" s="40">
        <f>AH1020*(1-IF(B1020&gt;=in_marketplace_from,d_hz_hlth_family*G1020,0))</f>
        <v/>
      </c>
      <c r="AI1021" s="46">
        <f>AH1021*IF(B1021&gt;=in_marketplace_from,d_hz_hlth_family*G1021,0)</f>
        <v/>
      </c>
      <c r="AJ1021" s="14">
        <f>F1021*AI1021*in_hlth_family_ticket*in_hlth_family_comm*in_ins_partner_share+F1021*in_hlth_family_ticket*in_hlth_family_renew_comm*in_ins_partner_share*(in_hlth_family_renew^1*SUMIFS(AI1012:AI1051,B1012:B1051,B1021-12)+in_hlth_family_renew^2*SUMIFS(AI1012:AI1051,B1012:B1051,B1021-24)+in_hlth_family_renew^3*SUMIFS(AI1012:AI1051,B1012:B1051,B1021-36)+in_hlth_family_renew^4*SUMIFS(AI1012:AI1051,B1012:B1051,B1021-48))</f>
        <v/>
      </c>
      <c r="AK1021" s="40">
        <f>AK1020*(1-IF(B1020&gt;=in_marketplace_from,d_hz_life_term*G1020,0))</f>
        <v/>
      </c>
      <c r="AL1021" s="46">
        <f>AK1021*IF(B1021&gt;=in_marketplace_from,d_hz_life_term*G1021,0)</f>
        <v/>
      </c>
      <c r="AM1021" s="14">
        <f>F1021*AL1021*in_life_term_ticket*in_life_term_comm*in_ins_partner_share+F1021*in_life_term_ticket*in_life_term_renew_comm*in_ins_partner_share*(in_life_term_renew^1*SUMIFS(AL1012:AL1051,B1012:B1051,B1021-12)+in_life_term_renew^2*SUMIFS(AL1012:AL1051,B1012:B1051,B1021-24)+in_life_term_renew^3*SUMIFS(AL1012:AL1051,B1012:B1051,B1021-36)+in_life_term_renew^4*SUMIFS(AL1012:AL1051,B1012:B1051,B1021-48))</f>
        <v/>
      </c>
      <c r="AN1021" s="40">
        <f>AN1020*(1-IF(B1020&gt;=in_marketplace_from,d_hz_accident*G1020,0))</f>
        <v/>
      </c>
      <c r="AO1021" s="46">
        <f>AN1021*IF(B1021&gt;=in_marketplace_from,d_hz_accident*G1021,0)</f>
        <v/>
      </c>
      <c r="AP1021" s="14">
        <f>F1021*AO1021*in_accident_ticket*in_accident_comm*in_ins_partner_share+F1021*in_accident_ticket*in_accident_renew_comm*in_ins_partner_share*(in_accident_renew^1*SUMIFS(AO1012:AO1051,B1012:B1051,B1021-12)+in_accident_renew^2*SUMIFS(AO1012:AO1051,B1012:B1051,B1021-24)+in_accident_renew^3*SUMIFS(AO1012:AO1051,B1012:B1051,B1021-36)+in_accident_renew^4*SUMIFS(AO1012:AO1051,B1012:B1051,B1021-48))</f>
        <v/>
      </c>
      <c r="AQ1021" s="40">
        <f>AQ1020*(1-IF(B1020&gt;=in_marketplace_from,d_hz_two_wheeler*G1020,0))</f>
        <v/>
      </c>
      <c r="AR1021" s="46">
        <f>AQ1021*IF(B1021&gt;=in_marketplace_from,d_hz_two_wheeler*G1021,0)</f>
        <v/>
      </c>
      <c r="AS1021" s="14">
        <f>F1021*AR1021*in_two_wheeler_ticket*in_two_wheeler_comm*in_ins_partner_share+F1021*in_two_wheeler_ticket*in_two_wheeler_comm*in_ins_partner_share*(in_two_wheeler_renew^1*SUMIFS(AR1012:AR1051,B1012:B1051,B1021-12)+in_two_wheeler_renew^2*SUMIFS(AR1012:AR1051,B1012:B1051,B1021-24)+in_two_wheeler_renew^3*SUMIFS(AR1012:AR1051,B1012:B1051,B1021-36)+in_two_wheeler_renew^4*SUMIFS(AR1012:AR1051,B1012:B1051,B1021-48))</f>
        <v/>
      </c>
      <c r="AT1021" s="40">
        <f>AT1020*(1-IF(B1020&gt;=in_marketplace_from,d_hz_device*G1020,0))</f>
        <v/>
      </c>
      <c r="AU1021" s="14">
        <f>F1021*AT1021*IF(B1021&gt;=in_marketplace_from,d_hz_device*G1021,0)*in_device_ticket*in_device_comm*in_ins_partner_share</f>
        <v/>
      </c>
      <c r="AV1021" s="40">
        <f>AV1020*(1-IF(B1020&gt;=in_marketplace_from,d_hz_shop*G1020,0))</f>
        <v/>
      </c>
      <c r="AW1021" s="46">
        <f>AV1021*IF(B1021&gt;=in_marketplace_from,d_hz_shop*G1021,0)</f>
        <v/>
      </c>
      <c r="AX1021" s="14">
        <f>F1021*AW1021*in_shop_ticket*in_shop_comm*in_ins_partner_share+F1021*in_shop_ticket*in_shop_renew_comm*in_ins_partner_share*(in_shop_renew^1*SUMIFS(AW1012:AW1051,B1012:B1051,B1021-12)+in_shop_renew^2*SUMIFS(AW1012:AW1051,B1012:B1051,B1021-24)+in_shop_renew^3*SUMIFS(AW1012:AW1051,B1012:B1051,B1021-36)+in_shop_renew^4*SUMIFS(AW1012:AW1051,B1012:B1051,B1021-48))</f>
        <v/>
      </c>
      <c r="AY1021" s="40">
        <f>AY1020*(1-IF(B1020&gt;=in_marketplace_from,d_hz_sip*G1020,0))</f>
        <v/>
      </c>
      <c r="AZ1021" s="40">
        <f>AZ1020*d_rho_sip+AY1021*IF(B1021&gt;=in_marketplace_from,d_hz_sip*G1021,0)</f>
        <v/>
      </c>
      <c r="BA1021" s="40">
        <f>d_rho_sip*(BA1020+AZ1020)</f>
        <v/>
      </c>
      <c r="BB1021" s="14">
        <f>F1021*in_sip_ticket*(BA1021+0.5*AZ1021)*in_sip_comm/12</f>
        <v/>
      </c>
      <c r="BC1021" s="40">
        <f>BC1020*(1-IF(B1020&gt;=in_marketplace_from,d_hz_choti*G1020,0))</f>
        <v/>
      </c>
      <c r="BD1021" s="46">
        <f>BC1021*IF(B1021&gt;=in_marketplace_from,d_hz_choti*G1021,0)</f>
        <v/>
      </c>
      <c r="BE1021" s="14">
        <f>F1021*SUMIFS(BD1012:BD1051,B1012:B1051,B1021-in_choti_months)*in_choti_renew*in_choti_ticket</f>
        <v/>
      </c>
      <c r="BF1021" s="40">
        <f>BF1020*(1-IF(B1020&gt;=in_marketplace_from,d_hz_nps*G1020,0))</f>
        <v/>
      </c>
      <c r="BG1021" s="14">
        <f>F1021*BF1021*IF(B1021&gt;=in_marketplace_from,d_hz_nps*G1021,0)*in_nps_ticket*in_nps_comm</f>
        <v/>
      </c>
      <c r="BH1021" s="40">
        <f>BH1020*(1-IF(B1020&gt;=in_marketplace_from,d_hz_gold*G1020,0))</f>
        <v/>
      </c>
      <c r="BI1021" s="40">
        <f>BI1020*d_rho_gold+BH1021*IF(B1021&gt;=in_marketplace_from,d_hz_gold*G1021,0)</f>
        <v/>
      </c>
      <c r="BJ1021" s="14">
        <f>F1021*BI1021*in_gold_ticket*in_gold_comm</f>
        <v/>
      </c>
      <c r="BK1021" s="40">
        <f>BK1020*(1-IF(B1020&gt;=in_marketplace_from,d_hz_fd*G1020,0))</f>
        <v/>
      </c>
      <c r="BL1021" s="14">
        <f>F1021*BK1021*IF(B1021&gt;=in_marketplace_from,d_hz_fd*G1021,0)*in_fd_ticket*in_fd_comm</f>
        <v/>
      </c>
      <c r="BM1021" s="40">
        <f>BM1020*(1-IF(B1020&gt;=in_marketplace_from,d_hz_recharge*G1020,0))</f>
        <v/>
      </c>
      <c r="BN1021" s="40">
        <f>BN1020*d_rho_recharge+BM1021*IF(B1021&gt;=in_marketplace_from,d_hz_recharge*G1021,0)</f>
        <v/>
      </c>
      <c r="BO1021" s="14">
        <f>F1021*BN1021*in_recharge_ticket*in_recharge_comm/12</f>
        <v/>
      </c>
      <c r="BP1021" s="40">
        <f>BP1020*(1-IF(B1020&gt;=in_marketplace_from,d_hz_bills*G1020,0))</f>
        <v/>
      </c>
      <c r="BQ1021" s="40">
        <f>BQ1020*d_rho_bills+BP1021*IF(B1021&gt;=in_marketplace_from,d_hz_bills*G1021,0)</f>
        <v/>
      </c>
      <c r="BR1021" s="14">
        <f>F1021*BQ1021*in_bills_ticket*in_bills_comm/12</f>
        <v/>
      </c>
      <c r="BS1021" s="40">
        <f>BS1020*(1-IF(B1020&gt;=in_marketplace_from,d_hz_loan_gold*G1020,0))</f>
        <v/>
      </c>
      <c r="BT1021" s="14">
        <f>F1021*BS1021*IF(B1021&gt;=in_marketplace_from,d_hz_loan_gold*G1021,0)*in_loan_gold_ticket*in_loan_gold_comm</f>
        <v/>
      </c>
      <c r="BU1021" s="40">
        <f>BU1020*(1-IF(B1020&gt;=in_marketplace_from,d_hz_loan_cd*G1020,0))</f>
        <v/>
      </c>
      <c r="BV1021" s="14">
        <f>F1021*BU1021*IF(B1021&gt;=in_marketplace_from,d_hz_loan_cd*G1021,0)*in_loan_cd_ticket*in_loan_cd_comm</f>
        <v/>
      </c>
      <c r="BW1021" s="40">
        <f>BW1020*(1-IF(B1020&gt;=in_marketplace_from,d_hz_loan_vehicle*G1020,0))</f>
        <v/>
      </c>
      <c r="BX1021" s="14">
        <f>F1021*BW1021*IF(B1021&gt;=in_marketplace_from,d_hz_loan_vehicle*G1021,0)*in_loan_vehicle_ticket*in_loan_vehicle_comm</f>
        <v/>
      </c>
      <c r="BY1021" s="40">
        <f>BY1020*(1-IF(B1020&gt;=in_marketplace_from,d_hz_loan_home*G1020,0)*BZ1020)</f>
        <v/>
      </c>
      <c r="BZ1021" s="11">
        <f>MIN(in_approval_cap,in_loan_home_approval*INDEX('Age profile'!$O$2:$O$61,B1021)*(1+in_approval_growth)^(D1021-1))</f>
        <v/>
      </c>
      <c r="CA1021" s="14">
        <f>F1021*BY1021*IF(B1021&gt;=in_marketplace_from,d_hz_loan_home*G1021,0)*BZ1021*in_loan_home_ticket*in_loan_home_comm</f>
        <v/>
      </c>
      <c r="CB1021" s="40">
        <f>CB1020*(1-IF(B1020&gt;=in_marketplace_from,d_hz_loan_lap*G1020,0)*CC1020)</f>
        <v/>
      </c>
      <c r="CC1021" s="11">
        <f>MIN(in_approval_cap,in_loan_lap_approval*INDEX('Age profile'!$O$2:$O$61,B1021)*(1+in_approval_growth)^(D1021-1))</f>
        <v/>
      </c>
      <c r="CD1021" s="14">
        <f>F1021*CB1021*IF(B1021&gt;=in_marketplace_from,d_hz_loan_lap*G1021,0)*CC1021*in_loan_lap_ticket*in_loan_lap_comm</f>
        <v/>
      </c>
      <c r="CE1021" s="14">
        <f>AA1021+AB1021+AC1021+AD1021+AG1021+AJ1021+AM1021+AP1021+AS1021+AU1021+AX1021+BB1021+BE1021+BG1021+BJ1021+BL1021+BO1021+BR1021+BT1021+BV1021+BX1021+CA1021+CD1021</f>
        <v/>
      </c>
    </row>
    <row r="1022">
      <c r="A1022" s="39" t="n">
        <v>21</v>
      </c>
      <c r="B1022" s="39" t="n">
        <v>11</v>
      </c>
      <c r="C1022" s="39">
        <f>A1022+B1022-1</f>
        <v/>
      </c>
      <c r="D1022" s="39">
        <f>INT((C1022-1)/12)+1</f>
        <v/>
      </c>
      <c r="E1022" s="44">
        <f>INDEX(Monthly!$B$2:$B$61,A1022)</f>
        <v/>
      </c>
      <c r="F1022" s="44">
        <f>E1022*INDEX('Age profile'!$B$2:$B$61,B1022)</f>
        <v/>
      </c>
      <c r="G1022" s="45">
        <f>MIN(in_takeup_cap,INDEX('Age profile'!$N$2:$N$61,B1022)*(1+in_takeup_growth)^(D1022-1))</f>
        <v/>
      </c>
      <c r="H1022" s="11">
        <f>MIN(in_approval_cap,in_approved_first*INDEX('Age profile'!$O$2:$O$61,B1022)*(1+in_approval_growth)^(D1022-1))</f>
        <v/>
      </c>
      <c r="I1022" s="45">
        <f>G1022*MIN(in_takeup_cap,INDEX('Age profile'!$O$2:$O$61,B1022)*(1+in_approval_growth)^(D1022-1))</f>
        <v/>
      </c>
      <c r="J1022" s="40">
        <f>(J1021-L1021)*F1022/F1021</f>
        <v/>
      </c>
      <c r="K1022" s="40">
        <f>(K1021-M1021)*F1022/F1021+SUMIFS(O1012:O1021,B1012:B1021,B1022-1-d_T)*F1022</f>
        <v/>
      </c>
      <c r="L1022" s="40">
        <f>IF(B1022&gt;=in_marketplace_from,J1022*d_hz*G1022*in_eligible*H1022,0)</f>
        <v/>
      </c>
      <c r="M1022" s="40">
        <f>IF(B1022&gt;=in_marketplace_from,K1022*d_hz*G1022*in_eligible*in_approved_repeat,0)</f>
        <v/>
      </c>
      <c r="N1022" s="40">
        <f>L1022+M1022</f>
        <v/>
      </c>
      <c r="O1022" s="46">
        <f>N1022/F1022</f>
        <v/>
      </c>
      <c r="P1022" s="40">
        <f>F1022-J1022-K1022</f>
        <v/>
      </c>
      <c r="Q1022" s="40">
        <f>IF(B1022&gt;=in_marketplace_from,(J1022+K1022)*d_hz*G1022,0)</f>
        <v/>
      </c>
      <c r="R1022" s="40">
        <f>SUMIFS(N1012:N1051,B1012:B1051,"&gt;="&amp;(B1022-d_T),B1012:B1051,"&lt;="&amp;(B1022-1))</f>
        <v/>
      </c>
      <c r="S1022" s="46">
        <f>(1-d_u)*S1021+IF(d_T&gt;in_topup_lag,SUMIFS(O1012:O1051,B1012:B1051,B1022-in_topup_lag)-d_udrop*SUMIFS(O1012:O1051,B1012:B1051,B1022-d_T),0)</f>
        <v/>
      </c>
      <c r="T1022" s="40">
        <f>F1022*d_u*S1022</f>
        <v/>
      </c>
      <c r="U1022" s="9">
        <f>L1022*in_ticket+M1022*d_rep_ticket</f>
        <v/>
      </c>
      <c r="V1022" s="9">
        <f>U1022+T1022*d_topup_amt</f>
        <v/>
      </c>
      <c r="W1022" s="40">
        <f>N1022+T1022*d_topup_ratio</f>
        <v/>
      </c>
      <c r="X1022" s="40">
        <f>SUMIFS(W1012:W1051,B1012:B1051,B1022-in_dpd_lag)*d_cured</f>
        <v/>
      </c>
      <c r="Y1022" s="40">
        <f>SUMIFS(W1012:W1051,B1012:B1051,B1022-in_rec_lag)*d_recd</f>
        <v/>
      </c>
      <c r="Z1022" s="40">
        <f>IF(AND(B1022&gt;=in_marketplace_from,B1022&lt;in_marketplace_from+in_card_months),in_card_share/in_card_months*F1022*I1022,IF(AND(B1022&gt;=in_marketplace_from+in_card_months,B1022&lt;in_marketplace_from+2*in_card_months),in_card_share*d_card_rem/in_card_months*F1022*MIN(in_takeup_cap,(1+in_takeup_growth)^(D1022-1))*MIN(in_takeup_cap,(1+in_approval_growth)^(D1022-1)),0))</f>
        <v/>
      </c>
      <c r="AA1022" s="14">
        <f>V1022*in_fee*(1-in_taken_back)</f>
        <v/>
      </c>
      <c r="AB1022" s="14">
        <f>SUMIFS(W1012:W1051,B1012:B1051,B1022-in_dpd_lag)*d_dpd</f>
        <v/>
      </c>
      <c r="AC1022" s="14">
        <f>SUMIFS(W1012:W1051,B1012:B1051,B1022-in_rec_lag)*d_rec</f>
        <v/>
      </c>
      <c r="AD1022" s="14">
        <f>Z1022*in_card_fee</f>
        <v/>
      </c>
      <c r="AE1022" s="40">
        <f>AE1021*(1-IF(B1021&gt;=in_marketplace_from,d_hz_hlth_small*G1021,0))</f>
        <v/>
      </c>
      <c r="AF1022" s="46">
        <f>AE1022*IF(B1022&gt;=in_marketplace_from,d_hz_hlth_small*G1022,0)</f>
        <v/>
      </c>
      <c r="AG1022" s="14">
        <f>F1022*AF1022*in_hlth_small_ticket*in_hlth_small_comm*in_ins_partner_share+F1022*in_hlth_small_ticket*in_hlth_small_renew_comm*in_ins_partner_share*(in_hlth_small_renew^1*SUMIFS(AF1012:AF1051,B1012:B1051,B1022-12)+in_hlth_small_renew^2*SUMIFS(AF1012:AF1051,B1012:B1051,B1022-24)+in_hlth_small_renew^3*SUMIFS(AF1012:AF1051,B1012:B1051,B1022-36)+in_hlth_small_renew^4*SUMIFS(AF1012:AF1051,B1012:B1051,B1022-48))</f>
        <v/>
      </c>
      <c r="AH1022" s="40">
        <f>AH1021*(1-IF(B1021&gt;=in_marketplace_from,d_hz_hlth_family*G1021,0))</f>
        <v/>
      </c>
      <c r="AI1022" s="46">
        <f>AH1022*IF(B1022&gt;=in_marketplace_from,d_hz_hlth_family*G1022,0)</f>
        <v/>
      </c>
      <c r="AJ1022" s="14">
        <f>F1022*AI1022*in_hlth_family_ticket*in_hlth_family_comm*in_ins_partner_share+F1022*in_hlth_family_ticket*in_hlth_family_renew_comm*in_ins_partner_share*(in_hlth_family_renew^1*SUMIFS(AI1012:AI1051,B1012:B1051,B1022-12)+in_hlth_family_renew^2*SUMIFS(AI1012:AI1051,B1012:B1051,B1022-24)+in_hlth_family_renew^3*SUMIFS(AI1012:AI1051,B1012:B1051,B1022-36)+in_hlth_family_renew^4*SUMIFS(AI1012:AI1051,B1012:B1051,B1022-48))</f>
        <v/>
      </c>
      <c r="AK1022" s="40">
        <f>AK1021*(1-IF(B1021&gt;=in_marketplace_from,d_hz_life_term*G1021,0))</f>
        <v/>
      </c>
      <c r="AL1022" s="46">
        <f>AK1022*IF(B1022&gt;=in_marketplace_from,d_hz_life_term*G1022,0)</f>
        <v/>
      </c>
      <c r="AM1022" s="14">
        <f>F1022*AL1022*in_life_term_ticket*in_life_term_comm*in_ins_partner_share+F1022*in_life_term_ticket*in_life_term_renew_comm*in_ins_partner_share*(in_life_term_renew^1*SUMIFS(AL1012:AL1051,B1012:B1051,B1022-12)+in_life_term_renew^2*SUMIFS(AL1012:AL1051,B1012:B1051,B1022-24)+in_life_term_renew^3*SUMIFS(AL1012:AL1051,B1012:B1051,B1022-36)+in_life_term_renew^4*SUMIFS(AL1012:AL1051,B1012:B1051,B1022-48))</f>
        <v/>
      </c>
      <c r="AN1022" s="40">
        <f>AN1021*(1-IF(B1021&gt;=in_marketplace_from,d_hz_accident*G1021,0))</f>
        <v/>
      </c>
      <c r="AO1022" s="46">
        <f>AN1022*IF(B1022&gt;=in_marketplace_from,d_hz_accident*G1022,0)</f>
        <v/>
      </c>
      <c r="AP1022" s="14">
        <f>F1022*AO1022*in_accident_ticket*in_accident_comm*in_ins_partner_share+F1022*in_accident_ticket*in_accident_renew_comm*in_ins_partner_share*(in_accident_renew^1*SUMIFS(AO1012:AO1051,B1012:B1051,B1022-12)+in_accident_renew^2*SUMIFS(AO1012:AO1051,B1012:B1051,B1022-24)+in_accident_renew^3*SUMIFS(AO1012:AO1051,B1012:B1051,B1022-36)+in_accident_renew^4*SUMIFS(AO1012:AO1051,B1012:B1051,B1022-48))</f>
        <v/>
      </c>
      <c r="AQ1022" s="40">
        <f>AQ1021*(1-IF(B1021&gt;=in_marketplace_from,d_hz_two_wheeler*G1021,0))</f>
        <v/>
      </c>
      <c r="AR1022" s="46">
        <f>AQ1022*IF(B1022&gt;=in_marketplace_from,d_hz_two_wheeler*G1022,0)</f>
        <v/>
      </c>
      <c r="AS1022" s="14">
        <f>F1022*AR1022*in_two_wheeler_ticket*in_two_wheeler_comm*in_ins_partner_share+F1022*in_two_wheeler_ticket*in_two_wheeler_comm*in_ins_partner_share*(in_two_wheeler_renew^1*SUMIFS(AR1012:AR1051,B1012:B1051,B1022-12)+in_two_wheeler_renew^2*SUMIFS(AR1012:AR1051,B1012:B1051,B1022-24)+in_two_wheeler_renew^3*SUMIFS(AR1012:AR1051,B1012:B1051,B1022-36)+in_two_wheeler_renew^4*SUMIFS(AR1012:AR1051,B1012:B1051,B1022-48))</f>
        <v/>
      </c>
      <c r="AT1022" s="40">
        <f>AT1021*(1-IF(B1021&gt;=in_marketplace_from,d_hz_device*G1021,0))</f>
        <v/>
      </c>
      <c r="AU1022" s="14">
        <f>F1022*AT1022*IF(B1022&gt;=in_marketplace_from,d_hz_device*G1022,0)*in_device_ticket*in_device_comm*in_ins_partner_share</f>
        <v/>
      </c>
      <c r="AV1022" s="40">
        <f>AV1021*(1-IF(B1021&gt;=in_marketplace_from,d_hz_shop*G1021,0))</f>
        <v/>
      </c>
      <c r="AW1022" s="46">
        <f>AV1022*IF(B1022&gt;=in_marketplace_from,d_hz_shop*G1022,0)</f>
        <v/>
      </c>
      <c r="AX1022" s="14">
        <f>F1022*AW1022*in_shop_ticket*in_shop_comm*in_ins_partner_share+F1022*in_shop_ticket*in_shop_renew_comm*in_ins_partner_share*(in_shop_renew^1*SUMIFS(AW1012:AW1051,B1012:B1051,B1022-12)+in_shop_renew^2*SUMIFS(AW1012:AW1051,B1012:B1051,B1022-24)+in_shop_renew^3*SUMIFS(AW1012:AW1051,B1012:B1051,B1022-36)+in_shop_renew^4*SUMIFS(AW1012:AW1051,B1012:B1051,B1022-48))</f>
        <v/>
      </c>
      <c r="AY1022" s="40">
        <f>AY1021*(1-IF(B1021&gt;=in_marketplace_from,d_hz_sip*G1021,0))</f>
        <v/>
      </c>
      <c r="AZ1022" s="40">
        <f>AZ1021*d_rho_sip+AY1022*IF(B1022&gt;=in_marketplace_from,d_hz_sip*G1022,0)</f>
        <v/>
      </c>
      <c r="BA1022" s="40">
        <f>d_rho_sip*(BA1021+AZ1021)</f>
        <v/>
      </c>
      <c r="BB1022" s="14">
        <f>F1022*in_sip_ticket*(BA1022+0.5*AZ1022)*in_sip_comm/12</f>
        <v/>
      </c>
      <c r="BC1022" s="40">
        <f>BC1021*(1-IF(B1021&gt;=in_marketplace_from,d_hz_choti*G1021,0))</f>
        <v/>
      </c>
      <c r="BD1022" s="46">
        <f>BC1022*IF(B1022&gt;=in_marketplace_from,d_hz_choti*G1022,0)</f>
        <v/>
      </c>
      <c r="BE1022" s="14">
        <f>F1022*SUMIFS(BD1012:BD1051,B1012:B1051,B1022-in_choti_months)*in_choti_renew*in_choti_ticket</f>
        <v/>
      </c>
      <c r="BF1022" s="40">
        <f>BF1021*(1-IF(B1021&gt;=in_marketplace_from,d_hz_nps*G1021,0))</f>
        <v/>
      </c>
      <c r="BG1022" s="14">
        <f>F1022*BF1022*IF(B1022&gt;=in_marketplace_from,d_hz_nps*G1022,0)*in_nps_ticket*in_nps_comm</f>
        <v/>
      </c>
      <c r="BH1022" s="40">
        <f>BH1021*(1-IF(B1021&gt;=in_marketplace_from,d_hz_gold*G1021,0))</f>
        <v/>
      </c>
      <c r="BI1022" s="40">
        <f>BI1021*d_rho_gold+BH1022*IF(B1022&gt;=in_marketplace_from,d_hz_gold*G1022,0)</f>
        <v/>
      </c>
      <c r="BJ1022" s="14">
        <f>F1022*BI1022*in_gold_ticket*in_gold_comm</f>
        <v/>
      </c>
      <c r="BK1022" s="40">
        <f>BK1021*(1-IF(B1021&gt;=in_marketplace_from,d_hz_fd*G1021,0))</f>
        <v/>
      </c>
      <c r="BL1022" s="14">
        <f>F1022*BK1022*IF(B1022&gt;=in_marketplace_from,d_hz_fd*G1022,0)*in_fd_ticket*in_fd_comm</f>
        <v/>
      </c>
      <c r="BM1022" s="40">
        <f>BM1021*(1-IF(B1021&gt;=in_marketplace_from,d_hz_recharge*G1021,0))</f>
        <v/>
      </c>
      <c r="BN1022" s="40">
        <f>BN1021*d_rho_recharge+BM1022*IF(B1022&gt;=in_marketplace_from,d_hz_recharge*G1022,0)</f>
        <v/>
      </c>
      <c r="BO1022" s="14">
        <f>F1022*BN1022*in_recharge_ticket*in_recharge_comm/12</f>
        <v/>
      </c>
      <c r="BP1022" s="40">
        <f>BP1021*(1-IF(B1021&gt;=in_marketplace_from,d_hz_bills*G1021,0))</f>
        <v/>
      </c>
      <c r="BQ1022" s="40">
        <f>BQ1021*d_rho_bills+BP1022*IF(B1022&gt;=in_marketplace_from,d_hz_bills*G1022,0)</f>
        <v/>
      </c>
      <c r="BR1022" s="14">
        <f>F1022*BQ1022*in_bills_ticket*in_bills_comm/12</f>
        <v/>
      </c>
      <c r="BS1022" s="40">
        <f>BS1021*(1-IF(B1021&gt;=in_marketplace_from,d_hz_loan_gold*G1021,0))</f>
        <v/>
      </c>
      <c r="BT1022" s="14">
        <f>F1022*BS1022*IF(B1022&gt;=in_marketplace_from,d_hz_loan_gold*G1022,0)*in_loan_gold_ticket*in_loan_gold_comm</f>
        <v/>
      </c>
      <c r="BU1022" s="40">
        <f>BU1021*(1-IF(B1021&gt;=in_marketplace_from,d_hz_loan_cd*G1021,0))</f>
        <v/>
      </c>
      <c r="BV1022" s="14">
        <f>F1022*BU1022*IF(B1022&gt;=in_marketplace_from,d_hz_loan_cd*G1022,0)*in_loan_cd_ticket*in_loan_cd_comm</f>
        <v/>
      </c>
      <c r="BW1022" s="40">
        <f>BW1021*(1-IF(B1021&gt;=in_marketplace_from,d_hz_loan_vehicle*G1021,0))</f>
        <v/>
      </c>
      <c r="BX1022" s="14">
        <f>F1022*BW1022*IF(B1022&gt;=in_marketplace_from,d_hz_loan_vehicle*G1022,0)*in_loan_vehicle_ticket*in_loan_vehicle_comm</f>
        <v/>
      </c>
      <c r="BY1022" s="40">
        <f>BY1021*(1-IF(B1021&gt;=in_marketplace_from,d_hz_loan_home*G1021,0)*BZ1021)</f>
        <v/>
      </c>
      <c r="BZ1022" s="11">
        <f>MIN(in_approval_cap,in_loan_home_approval*INDEX('Age profile'!$O$2:$O$61,B1022)*(1+in_approval_growth)^(D1022-1))</f>
        <v/>
      </c>
      <c r="CA1022" s="14">
        <f>F1022*BY1022*IF(B1022&gt;=in_marketplace_from,d_hz_loan_home*G1022,0)*BZ1022*in_loan_home_ticket*in_loan_home_comm</f>
        <v/>
      </c>
      <c r="CB1022" s="40">
        <f>CB1021*(1-IF(B1021&gt;=in_marketplace_from,d_hz_loan_lap*G1021,0)*CC1021)</f>
        <v/>
      </c>
      <c r="CC1022" s="11">
        <f>MIN(in_approval_cap,in_loan_lap_approval*INDEX('Age profile'!$O$2:$O$61,B1022)*(1+in_approval_growth)^(D1022-1))</f>
        <v/>
      </c>
      <c r="CD1022" s="14">
        <f>F1022*CB1022*IF(B1022&gt;=in_marketplace_from,d_hz_loan_lap*G1022,0)*CC1022*in_loan_lap_ticket*in_loan_lap_comm</f>
        <v/>
      </c>
      <c r="CE1022" s="14">
        <f>AA1022+AB1022+AC1022+AD1022+AG1022+AJ1022+AM1022+AP1022+AS1022+AU1022+AX1022+BB1022+BE1022+BG1022+BJ1022+BL1022+BO1022+BR1022+BT1022+BV1022+BX1022+CA1022+CD1022</f>
        <v/>
      </c>
    </row>
    <row r="1023">
      <c r="A1023" s="39" t="n">
        <v>21</v>
      </c>
      <c r="B1023" s="39" t="n">
        <v>12</v>
      </c>
      <c r="C1023" s="39">
        <f>A1023+B1023-1</f>
        <v/>
      </c>
      <c r="D1023" s="39">
        <f>INT((C1023-1)/12)+1</f>
        <v/>
      </c>
      <c r="E1023" s="44">
        <f>INDEX(Monthly!$B$2:$B$61,A1023)</f>
        <v/>
      </c>
      <c r="F1023" s="44">
        <f>E1023*INDEX('Age profile'!$B$2:$B$61,B1023)</f>
        <v/>
      </c>
      <c r="G1023" s="45">
        <f>MIN(in_takeup_cap,INDEX('Age profile'!$N$2:$N$61,B1023)*(1+in_takeup_growth)^(D1023-1))</f>
        <v/>
      </c>
      <c r="H1023" s="11">
        <f>MIN(in_approval_cap,in_approved_first*INDEX('Age profile'!$O$2:$O$61,B1023)*(1+in_approval_growth)^(D1023-1))</f>
        <v/>
      </c>
      <c r="I1023" s="45">
        <f>G1023*MIN(in_takeup_cap,INDEX('Age profile'!$O$2:$O$61,B1023)*(1+in_approval_growth)^(D1023-1))</f>
        <v/>
      </c>
      <c r="J1023" s="40">
        <f>(J1022-L1022)*F1023/F1022</f>
        <v/>
      </c>
      <c r="K1023" s="40">
        <f>(K1022-M1022)*F1023/F1022+SUMIFS(O1012:O1022,B1012:B1022,B1023-1-d_T)*F1023</f>
        <v/>
      </c>
      <c r="L1023" s="40">
        <f>IF(B1023&gt;=in_marketplace_from,J1023*d_hz*G1023*in_eligible*H1023,0)</f>
        <v/>
      </c>
      <c r="M1023" s="40">
        <f>IF(B1023&gt;=in_marketplace_from,K1023*d_hz*G1023*in_eligible*in_approved_repeat,0)</f>
        <v/>
      </c>
      <c r="N1023" s="40">
        <f>L1023+M1023</f>
        <v/>
      </c>
      <c r="O1023" s="46">
        <f>N1023/F1023</f>
        <v/>
      </c>
      <c r="P1023" s="40">
        <f>F1023-J1023-K1023</f>
        <v/>
      </c>
      <c r="Q1023" s="40">
        <f>IF(B1023&gt;=in_marketplace_from,(J1023+K1023)*d_hz*G1023,0)</f>
        <v/>
      </c>
      <c r="R1023" s="40">
        <f>SUMIFS(N1012:N1051,B1012:B1051,"&gt;="&amp;(B1023-d_T),B1012:B1051,"&lt;="&amp;(B1023-1))</f>
        <v/>
      </c>
      <c r="S1023" s="46">
        <f>(1-d_u)*S1022+IF(d_T&gt;in_topup_lag,SUMIFS(O1012:O1051,B1012:B1051,B1023-in_topup_lag)-d_udrop*SUMIFS(O1012:O1051,B1012:B1051,B1023-d_T),0)</f>
        <v/>
      </c>
      <c r="T1023" s="40">
        <f>F1023*d_u*S1023</f>
        <v/>
      </c>
      <c r="U1023" s="9">
        <f>L1023*in_ticket+M1023*d_rep_ticket</f>
        <v/>
      </c>
      <c r="V1023" s="9">
        <f>U1023+T1023*d_topup_amt</f>
        <v/>
      </c>
      <c r="W1023" s="40">
        <f>N1023+T1023*d_topup_ratio</f>
        <v/>
      </c>
      <c r="X1023" s="40">
        <f>SUMIFS(W1012:W1051,B1012:B1051,B1023-in_dpd_lag)*d_cured</f>
        <v/>
      </c>
      <c r="Y1023" s="40">
        <f>SUMIFS(W1012:W1051,B1012:B1051,B1023-in_rec_lag)*d_recd</f>
        <v/>
      </c>
      <c r="Z1023" s="40">
        <f>IF(AND(B1023&gt;=in_marketplace_from,B1023&lt;in_marketplace_from+in_card_months),in_card_share/in_card_months*F1023*I1023,IF(AND(B1023&gt;=in_marketplace_from+in_card_months,B1023&lt;in_marketplace_from+2*in_card_months),in_card_share*d_card_rem/in_card_months*F1023*MIN(in_takeup_cap,(1+in_takeup_growth)^(D1023-1))*MIN(in_takeup_cap,(1+in_approval_growth)^(D1023-1)),0))</f>
        <v/>
      </c>
      <c r="AA1023" s="14">
        <f>V1023*in_fee*(1-in_taken_back)</f>
        <v/>
      </c>
      <c r="AB1023" s="14">
        <f>SUMIFS(W1012:W1051,B1012:B1051,B1023-in_dpd_lag)*d_dpd</f>
        <v/>
      </c>
      <c r="AC1023" s="14">
        <f>SUMIFS(W1012:W1051,B1012:B1051,B1023-in_rec_lag)*d_rec</f>
        <v/>
      </c>
      <c r="AD1023" s="14">
        <f>Z1023*in_card_fee</f>
        <v/>
      </c>
      <c r="AE1023" s="40">
        <f>AE1022*(1-IF(B1022&gt;=in_marketplace_from,d_hz_hlth_small*G1022,0))</f>
        <v/>
      </c>
      <c r="AF1023" s="46">
        <f>AE1023*IF(B1023&gt;=in_marketplace_from,d_hz_hlth_small*G1023,0)</f>
        <v/>
      </c>
      <c r="AG1023" s="14">
        <f>F1023*AF1023*in_hlth_small_ticket*in_hlth_small_comm*in_ins_partner_share+F1023*in_hlth_small_ticket*in_hlth_small_renew_comm*in_ins_partner_share*(in_hlth_small_renew^1*SUMIFS(AF1012:AF1051,B1012:B1051,B1023-12)+in_hlth_small_renew^2*SUMIFS(AF1012:AF1051,B1012:B1051,B1023-24)+in_hlth_small_renew^3*SUMIFS(AF1012:AF1051,B1012:B1051,B1023-36)+in_hlth_small_renew^4*SUMIFS(AF1012:AF1051,B1012:B1051,B1023-48))</f>
        <v/>
      </c>
      <c r="AH1023" s="40">
        <f>AH1022*(1-IF(B1022&gt;=in_marketplace_from,d_hz_hlth_family*G1022,0))</f>
        <v/>
      </c>
      <c r="AI1023" s="46">
        <f>AH1023*IF(B1023&gt;=in_marketplace_from,d_hz_hlth_family*G1023,0)</f>
        <v/>
      </c>
      <c r="AJ1023" s="14">
        <f>F1023*AI1023*in_hlth_family_ticket*in_hlth_family_comm*in_ins_partner_share+F1023*in_hlth_family_ticket*in_hlth_family_renew_comm*in_ins_partner_share*(in_hlth_family_renew^1*SUMIFS(AI1012:AI1051,B1012:B1051,B1023-12)+in_hlth_family_renew^2*SUMIFS(AI1012:AI1051,B1012:B1051,B1023-24)+in_hlth_family_renew^3*SUMIFS(AI1012:AI1051,B1012:B1051,B1023-36)+in_hlth_family_renew^4*SUMIFS(AI1012:AI1051,B1012:B1051,B1023-48))</f>
        <v/>
      </c>
      <c r="AK1023" s="40">
        <f>AK1022*(1-IF(B1022&gt;=in_marketplace_from,d_hz_life_term*G1022,0))</f>
        <v/>
      </c>
      <c r="AL1023" s="46">
        <f>AK1023*IF(B1023&gt;=in_marketplace_from,d_hz_life_term*G1023,0)</f>
        <v/>
      </c>
      <c r="AM1023" s="14">
        <f>F1023*AL1023*in_life_term_ticket*in_life_term_comm*in_ins_partner_share+F1023*in_life_term_ticket*in_life_term_renew_comm*in_ins_partner_share*(in_life_term_renew^1*SUMIFS(AL1012:AL1051,B1012:B1051,B1023-12)+in_life_term_renew^2*SUMIFS(AL1012:AL1051,B1012:B1051,B1023-24)+in_life_term_renew^3*SUMIFS(AL1012:AL1051,B1012:B1051,B1023-36)+in_life_term_renew^4*SUMIFS(AL1012:AL1051,B1012:B1051,B1023-48))</f>
        <v/>
      </c>
      <c r="AN1023" s="40">
        <f>AN1022*(1-IF(B1022&gt;=in_marketplace_from,d_hz_accident*G1022,0))</f>
        <v/>
      </c>
      <c r="AO1023" s="46">
        <f>AN1023*IF(B1023&gt;=in_marketplace_from,d_hz_accident*G1023,0)</f>
        <v/>
      </c>
      <c r="AP1023" s="14">
        <f>F1023*AO1023*in_accident_ticket*in_accident_comm*in_ins_partner_share+F1023*in_accident_ticket*in_accident_renew_comm*in_ins_partner_share*(in_accident_renew^1*SUMIFS(AO1012:AO1051,B1012:B1051,B1023-12)+in_accident_renew^2*SUMIFS(AO1012:AO1051,B1012:B1051,B1023-24)+in_accident_renew^3*SUMIFS(AO1012:AO1051,B1012:B1051,B1023-36)+in_accident_renew^4*SUMIFS(AO1012:AO1051,B1012:B1051,B1023-48))</f>
        <v/>
      </c>
      <c r="AQ1023" s="40">
        <f>AQ1022*(1-IF(B1022&gt;=in_marketplace_from,d_hz_two_wheeler*G1022,0))</f>
        <v/>
      </c>
      <c r="AR1023" s="46">
        <f>AQ1023*IF(B1023&gt;=in_marketplace_from,d_hz_two_wheeler*G1023,0)</f>
        <v/>
      </c>
      <c r="AS1023" s="14">
        <f>F1023*AR1023*in_two_wheeler_ticket*in_two_wheeler_comm*in_ins_partner_share+F1023*in_two_wheeler_ticket*in_two_wheeler_comm*in_ins_partner_share*(in_two_wheeler_renew^1*SUMIFS(AR1012:AR1051,B1012:B1051,B1023-12)+in_two_wheeler_renew^2*SUMIFS(AR1012:AR1051,B1012:B1051,B1023-24)+in_two_wheeler_renew^3*SUMIFS(AR1012:AR1051,B1012:B1051,B1023-36)+in_two_wheeler_renew^4*SUMIFS(AR1012:AR1051,B1012:B1051,B1023-48))</f>
        <v/>
      </c>
      <c r="AT1023" s="40">
        <f>AT1022*(1-IF(B1022&gt;=in_marketplace_from,d_hz_device*G1022,0))</f>
        <v/>
      </c>
      <c r="AU1023" s="14">
        <f>F1023*AT1023*IF(B1023&gt;=in_marketplace_from,d_hz_device*G1023,0)*in_device_ticket*in_device_comm*in_ins_partner_share</f>
        <v/>
      </c>
      <c r="AV1023" s="40">
        <f>AV1022*(1-IF(B1022&gt;=in_marketplace_from,d_hz_shop*G1022,0))</f>
        <v/>
      </c>
      <c r="AW1023" s="46">
        <f>AV1023*IF(B1023&gt;=in_marketplace_from,d_hz_shop*G1023,0)</f>
        <v/>
      </c>
      <c r="AX1023" s="14">
        <f>F1023*AW1023*in_shop_ticket*in_shop_comm*in_ins_partner_share+F1023*in_shop_ticket*in_shop_renew_comm*in_ins_partner_share*(in_shop_renew^1*SUMIFS(AW1012:AW1051,B1012:B1051,B1023-12)+in_shop_renew^2*SUMIFS(AW1012:AW1051,B1012:B1051,B1023-24)+in_shop_renew^3*SUMIFS(AW1012:AW1051,B1012:B1051,B1023-36)+in_shop_renew^4*SUMIFS(AW1012:AW1051,B1012:B1051,B1023-48))</f>
        <v/>
      </c>
      <c r="AY1023" s="40">
        <f>AY1022*(1-IF(B1022&gt;=in_marketplace_from,d_hz_sip*G1022,0))</f>
        <v/>
      </c>
      <c r="AZ1023" s="40">
        <f>AZ1022*d_rho_sip+AY1023*IF(B1023&gt;=in_marketplace_from,d_hz_sip*G1023,0)</f>
        <v/>
      </c>
      <c r="BA1023" s="40">
        <f>d_rho_sip*(BA1022+AZ1022)</f>
        <v/>
      </c>
      <c r="BB1023" s="14">
        <f>F1023*in_sip_ticket*(BA1023+0.5*AZ1023)*in_sip_comm/12</f>
        <v/>
      </c>
      <c r="BC1023" s="40">
        <f>BC1022*(1-IF(B1022&gt;=in_marketplace_from,d_hz_choti*G1022,0))</f>
        <v/>
      </c>
      <c r="BD1023" s="46">
        <f>BC1023*IF(B1023&gt;=in_marketplace_from,d_hz_choti*G1023,0)</f>
        <v/>
      </c>
      <c r="BE1023" s="14">
        <f>F1023*SUMIFS(BD1012:BD1051,B1012:B1051,B1023-in_choti_months)*in_choti_renew*in_choti_ticket</f>
        <v/>
      </c>
      <c r="BF1023" s="40">
        <f>BF1022*(1-IF(B1022&gt;=in_marketplace_from,d_hz_nps*G1022,0))</f>
        <v/>
      </c>
      <c r="BG1023" s="14">
        <f>F1023*BF1023*IF(B1023&gt;=in_marketplace_from,d_hz_nps*G1023,0)*in_nps_ticket*in_nps_comm</f>
        <v/>
      </c>
      <c r="BH1023" s="40">
        <f>BH1022*(1-IF(B1022&gt;=in_marketplace_from,d_hz_gold*G1022,0))</f>
        <v/>
      </c>
      <c r="BI1023" s="40">
        <f>BI1022*d_rho_gold+BH1023*IF(B1023&gt;=in_marketplace_from,d_hz_gold*G1023,0)</f>
        <v/>
      </c>
      <c r="BJ1023" s="14">
        <f>F1023*BI1023*in_gold_ticket*in_gold_comm</f>
        <v/>
      </c>
      <c r="BK1023" s="40">
        <f>BK1022*(1-IF(B1022&gt;=in_marketplace_from,d_hz_fd*G1022,0))</f>
        <v/>
      </c>
      <c r="BL1023" s="14">
        <f>F1023*BK1023*IF(B1023&gt;=in_marketplace_from,d_hz_fd*G1023,0)*in_fd_ticket*in_fd_comm</f>
        <v/>
      </c>
      <c r="BM1023" s="40">
        <f>BM1022*(1-IF(B1022&gt;=in_marketplace_from,d_hz_recharge*G1022,0))</f>
        <v/>
      </c>
      <c r="BN1023" s="40">
        <f>BN1022*d_rho_recharge+BM1023*IF(B1023&gt;=in_marketplace_from,d_hz_recharge*G1023,0)</f>
        <v/>
      </c>
      <c r="BO1023" s="14">
        <f>F1023*BN1023*in_recharge_ticket*in_recharge_comm/12</f>
        <v/>
      </c>
      <c r="BP1023" s="40">
        <f>BP1022*(1-IF(B1022&gt;=in_marketplace_from,d_hz_bills*G1022,0))</f>
        <v/>
      </c>
      <c r="BQ1023" s="40">
        <f>BQ1022*d_rho_bills+BP1023*IF(B1023&gt;=in_marketplace_from,d_hz_bills*G1023,0)</f>
        <v/>
      </c>
      <c r="BR1023" s="14">
        <f>F1023*BQ1023*in_bills_ticket*in_bills_comm/12</f>
        <v/>
      </c>
      <c r="BS1023" s="40">
        <f>BS1022*(1-IF(B1022&gt;=in_marketplace_from,d_hz_loan_gold*G1022,0))</f>
        <v/>
      </c>
      <c r="BT1023" s="14">
        <f>F1023*BS1023*IF(B1023&gt;=in_marketplace_from,d_hz_loan_gold*G1023,0)*in_loan_gold_ticket*in_loan_gold_comm</f>
        <v/>
      </c>
      <c r="BU1023" s="40">
        <f>BU1022*(1-IF(B1022&gt;=in_marketplace_from,d_hz_loan_cd*G1022,0))</f>
        <v/>
      </c>
      <c r="BV1023" s="14">
        <f>F1023*BU1023*IF(B1023&gt;=in_marketplace_from,d_hz_loan_cd*G1023,0)*in_loan_cd_ticket*in_loan_cd_comm</f>
        <v/>
      </c>
      <c r="BW1023" s="40">
        <f>BW1022*(1-IF(B1022&gt;=in_marketplace_from,d_hz_loan_vehicle*G1022,0))</f>
        <v/>
      </c>
      <c r="BX1023" s="14">
        <f>F1023*BW1023*IF(B1023&gt;=in_marketplace_from,d_hz_loan_vehicle*G1023,0)*in_loan_vehicle_ticket*in_loan_vehicle_comm</f>
        <v/>
      </c>
      <c r="BY1023" s="40">
        <f>BY1022*(1-IF(B1022&gt;=in_marketplace_from,d_hz_loan_home*G1022,0)*BZ1022)</f>
        <v/>
      </c>
      <c r="BZ1023" s="11">
        <f>MIN(in_approval_cap,in_loan_home_approval*INDEX('Age profile'!$O$2:$O$61,B1023)*(1+in_approval_growth)^(D1023-1))</f>
        <v/>
      </c>
      <c r="CA1023" s="14">
        <f>F1023*BY1023*IF(B1023&gt;=in_marketplace_from,d_hz_loan_home*G1023,0)*BZ1023*in_loan_home_ticket*in_loan_home_comm</f>
        <v/>
      </c>
      <c r="CB1023" s="40">
        <f>CB1022*(1-IF(B1022&gt;=in_marketplace_from,d_hz_loan_lap*G1022,0)*CC1022)</f>
        <v/>
      </c>
      <c r="CC1023" s="11">
        <f>MIN(in_approval_cap,in_loan_lap_approval*INDEX('Age profile'!$O$2:$O$61,B1023)*(1+in_approval_growth)^(D1023-1))</f>
        <v/>
      </c>
      <c r="CD1023" s="14">
        <f>F1023*CB1023*IF(B1023&gt;=in_marketplace_from,d_hz_loan_lap*G1023,0)*CC1023*in_loan_lap_ticket*in_loan_lap_comm</f>
        <v/>
      </c>
      <c r="CE1023" s="14">
        <f>AA1023+AB1023+AC1023+AD1023+AG1023+AJ1023+AM1023+AP1023+AS1023+AU1023+AX1023+BB1023+BE1023+BG1023+BJ1023+BL1023+BO1023+BR1023+BT1023+BV1023+BX1023+CA1023+CD1023</f>
        <v/>
      </c>
    </row>
    <row r="1024">
      <c r="A1024" s="39" t="n">
        <v>21</v>
      </c>
      <c r="B1024" s="39" t="n">
        <v>13</v>
      </c>
      <c r="C1024" s="39">
        <f>A1024+B1024-1</f>
        <v/>
      </c>
      <c r="D1024" s="39">
        <f>INT((C1024-1)/12)+1</f>
        <v/>
      </c>
      <c r="E1024" s="44">
        <f>INDEX(Monthly!$B$2:$B$61,A1024)</f>
        <v/>
      </c>
      <c r="F1024" s="44">
        <f>E1024*INDEX('Age profile'!$B$2:$B$61,B1024)</f>
        <v/>
      </c>
      <c r="G1024" s="45">
        <f>MIN(in_takeup_cap,INDEX('Age profile'!$N$2:$N$61,B1024)*(1+in_takeup_growth)^(D1024-1))</f>
        <v/>
      </c>
      <c r="H1024" s="11">
        <f>MIN(in_approval_cap,in_approved_first*INDEX('Age profile'!$O$2:$O$61,B1024)*(1+in_approval_growth)^(D1024-1))</f>
        <v/>
      </c>
      <c r="I1024" s="45">
        <f>G1024*MIN(in_takeup_cap,INDEX('Age profile'!$O$2:$O$61,B1024)*(1+in_approval_growth)^(D1024-1))</f>
        <v/>
      </c>
      <c r="J1024" s="40">
        <f>(J1023-L1023)*F1024/F1023</f>
        <v/>
      </c>
      <c r="K1024" s="40">
        <f>(K1023-M1023)*F1024/F1023+SUMIFS(O1012:O1023,B1012:B1023,B1024-1-d_T)*F1024</f>
        <v/>
      </c>
      <c r="L1024" s="40">
        <f>IF(B1024&gt;=in_marketplace_from,J1024*d_hz*G1024*in_eligible*H1024,0)</f>
        <v/>
      </c>
      <c r="M1024" s="40">
        <f>IF(B1024&gt;=in_marketplace_from,K1024*d_hz*G1024*in_eligible*in_approved_repeat,0)</f>
        <v/>
      </c>
      <c r="N1024" s="40">
        <f>L1024+M1024</f>
        <v/>
      </c>
      <c r="O1024" s="46">
        <f>N1024/F1024</f>
        <v/>
      </c>
      <c r="P1024" s="40">
        <f>F1024-J1024-K1024</f>
        <v/>
      </c>
      <c r="Q1024" s="40">
        <f>IF(B1024&gt;=in_marketplace_from,(J1024+K1024)*d_hz*G1024,0)</f>
        <v/>
      </c>
      <c r="R1024" s="40">
        <f>SUMIFS(N1012:N1051,B1012:B1051,"&gt;="&amp;(B1024-d_T),B1012:B1051,"&lt;="&amp;(B1024-1))</f>
        <v/>
      </c>
      <c r="S1024" s="46">
        <f>(1-d_u)*S1023+IF(d_T&gt;in_topup_lag,SUMIFS(O1012:O1051,B1012:B1051,B1024-in_topup_lag)-d_udrop*SUMIFS(O1012:O1051,B1012:B1051,B1024-d_T),0)</f>
        <v/>
      </c>
      <c r="T1024" s="40">
        <f>F1024*d_u*S1024</f>
        <v/>
      </c>
      <c r="U1024" s="9">
        <f>L1024*in_ticket+M1024*d_rep_ticket</f>
        <v/>
      </c>
      <c r="V1024" s="9">
        <f>U1024+T1024*d_topup_amt</f>
        <v/>
      </c>
      <c r="W1024" s="40">
        <f>N1024+T1024*d_topup_ratio</f>
        <v/>
      </c>
      <c r="X1024" s="40">
        <f>SUMIFS(W1012:W1051,B1012:B1051,B1024-in_dpd_lag)*d_cured</f>
        <v/>
      </c>
      <c r="Y1024" s="40">
        <f>SUMIFS(W1012:W1051,B1012:B1051,B1024-in_rec_lag)*d_recd</f>
        <v/>
      </c>
      <c r="Z1024" s="40">
        <f>IF(AND(B1024&gt;=in_marketplace_from,B1024&lt;in_marketplace_from+in_card_months),in_card_share/in_card_months*F1024*I1024,IF(AND(B1024&gt;=in_marketplace_from+in_card_months,B1024&lt;in_marketplace_from+2*in_card_months),in_card_share*d_card_rem/in_card_months*F1024*MIN(in_takeup_cap,(1+in_takeup_growth)^(D1024-1))*MIN(in_takeup_cap,(1+in_approval_growth)^(D1024-1)),0))</f>
        <v/>
      </c>
      <c r="AA1024" s="14">
        <f>V1024*in_fee*(1-in_taken_back)</f>
        <v/>
      </c>
      <c r="AB1024" s="14">
        <f>SUMIFS(W1012:W1051,B1012:B1051,B1024-in_dpd_lag)*d_dpd</f>
        <v/>
      </c>
      <c r="AC1024" s="14">
        <f>SUMIFS(W1012:W1051,B1012:B1051,B1024-in_rec_lag)*d_rec</f>
        <v/>
      </c>
      <c r="AD1024" s="14">
        <f>Z1024*in_card_fee</f>
        <v/>
      </c>
      <c r="AE1024" s="40">
        <f>AE1023*(1-IF(B1023&gt;=in_marketplace_from,d_hz_hlth_small*G1023,0))</f>
        <v/>
      </c>
      <c r="AF1024" s="46">
        <f>AE1024*IF(B1024&gt;=in_marketplace_from,d_hz_hlth_small*G1024,0)</f>
        <v/>
      </c>
      <c r="AG1024" s="14">
        <f>F1024*AF1024*in_hlth_small_ticket*in_hlth_small_comm*in_ins_partner_share+F1024*in_hlth_small_ticket*in_hlth_small_renew_comm*in_ins_partner_share*(in_hlth_small_renew^1*SUMIFS(AF1012:AF1051,B1012:B1051,B1024-12)+in_hlth_small_renew^2*SUMIFS(AF1012:AF1051,B1012:B1051,B1024-24)+in_hlth_small_renew^3*SUMIFS(AF1012:AF1051,B1012:B1051,B1024-36)+in_hlth_small_renew^4*SUMIFS(AF1012:AF1051,B1012:B1051,B1024-48))</f>
        <v/>
      </c>
      <c r="AH1024" s="40">
        <f>AH1023*(1-IF(B1023&gt;=in_marketplace_from,d_hz_hlth_family*G1023,0))</f>
        <v/>
      </c>
      <c r="AI1024" s="46">
        <f>AH1024*IF(B1024&gt;=in_marketplace_from,d_hz_hlth_family*G1024,0)</f>
        <v/>
      </c>
      <c r="AJ1024" s="14">
        <f>F1024*AI1024*in_hlth_family_ticket*in_hlth_family_comm*in_ins_partner_share+F1024*in_hlth_family_ticket*in_hlth_family_renew_comm*in_ins_partner_share*(in_hlth_family_renew^1*SUMIFS(AI1012:AI1051,B1012:B1051,B1024-12)+in_hlth_family_renew^2*SUMIFS(AI1012:AI1051,B1012:B1051,B1024-24)+in_hlth_family_renew^3*SUMIFS(AI1012:AI1051,B1012:B1051,B1024-36)+in_hlth_family_renew^4*SUMIFS(AI1012:AI1051,B1012:B1051,B1024-48))</f>
        <v/>
      </c>
      <c r="AK1024" s="40">
        <f>AK1023*(1-IF(B1023&gt;=in_marketplace_from,d_hz_life_term*G1023,0))</f>
        <v/>
      </c>
      <c r="AL1024" s="46">
        <f>AK1024*IF(B1024&gt;=in_marketplace_from,d_hz_life_term*G1024,0)</f>
        <v/>
      </c>
      <c r="AM1024" s="14">
        <f>F1024*AL1024*in_life_term_ticket*in_life_term_comm*in_ins_partner_share+F1024*in_life_term_ticket*in_life_term_renew_comm*in_ins_partner_share*(in_life_term_renew^1*SUMIFS(AL1012:AL1051,B1012:B1051,B1024-12)+in_life_term_renew^2*SUMIFS(AL1012:AL1051,B1012:B1051,B1024-24)+in_life_term_renew^3*SUMIFS(AL1012:AL1051,B1012:B1051,B1024-36)+in_life_term_renew^4*SUMIFS(AL1012:AL1051,B1012:B1051,B1024-48))</f>
        <v/>
      </c>
      <c r="AN1024" s="40">
        <f>AN1023*(1-IF(B1023&gt;=in_marketplace_from,d_hz_accident*G1023,0))</f>
        <v/>
      </c>
      <c r="AO1024" s="46">
        <f>AN1024*IF(B1024&gt;=in_marketplace_from,d_hz_accident*G1024,0)</f>
        <v/>
      </c>
      <c r="AP1024" s="14">
        <f>F1024*AO1024*in_accident_ticket*in_accident_comm*in_ins_partner_share+F1024*in_accident_ticket*in_accident_renew_comm*in_ins_partner_share*(in_accident_renew^1*SUMIFS(AO1012:AO1051,B1012:B1051,B1024-12)+in_accident_renew^2*SUMIFS(AO1012:AO1051,B1012:B1051,B1024-24)+in_accident_renew^3*SUMIFS(AO1012:AO1051,B1012:B1051,B1024-36)+in_accident_renew^4*SUMIFS(AO1012:AO1051,B1012:B1051,B1024-48))</f>
        <v/>
      </c>
      <c r="AQ1024" s="40">
        <f>AQ1023*(1-IF(B1023&gt;=in_marketplace_from,d_hz_two_wheeler*G1023,0))</f>
        <v/>
      </c>
      <c r="AR1024" s="46">
        <f>AQ1024*IF(B1024&gt;=in_marketplace_from,d_hz_two_wheeler*G1024,0)</f>
        <v/>
      </c>
      <c r="AS1024" s="14">
        <f>F1024*AR1024*in_two_wheeler_ticket*in_two_wheeler_comm*in_ins_partner_share+F1024*in_two_wheeler_ticket*in_two_wheeler_comm*in_ins_partner_share*(in_two_wheeler_renew^1*SUMIFS(AR1012:AR1051,B1012:B1051,B1024-12)+in_two_wheeler_renew^2*SUMIFS(AR1012:AR1051,B1012:B1051,B1024-24)+in_two_wheeler_renew^3*SUMIFS(AR1012:AR1051,B1012:B1051,B1024-36)+in_two_wheeler_renew^4*SUMIFS(AR1012:AR1051,B1012:B1051,B1024-48))</f>
        <v/>
      </c>
      <c r="AT1024" s="40">
        <f>AT1023*(1-IF(B1023&gt;=in_marketplace_from,d_hz_device*G1023,0))</f>
        <v/>
      </c>
      <c r="AU1024" s="14">
        <f>F1024*AT1024*IF(B1024&gt;=in_marketplace_from,d_hz_device*G1024,0)*in_device_ticket*in_device_comm*in_ins_partner_share</f>
        <v/>
      </c>
      <c r="AV1024" s="40">
        <f>AV1023*(1-IF(B1023&gt;=in_marketplace_from,d_hz_shop*G1023,0))</f>
        <v/>
      </c>
      <c r="AW1024" s="46">
        <f>AV1024*IF(B1024&gt;=in_marketplace_from,d_hz_shop*G1024,0)</f>
        <v/>
      </c>
      <c r="AX1024" s="14">
        <f>F1024*AW1024*in_shop_ticket*in_shop_comm*in_ins_partner_share+F1024*in_shop_ticket*in_shop_renew_comm*in_ins_partner_share*(in_shop_renew^1*SUMIFS(AW1012:AW1051,B1012:B1051,B1024-12)+in_shop_renew^2*SUMIFS(AW1012:AW1051,B1012:B1051,B1024-24)+in_shop_renew^3*SUMIFS(AW1012:AW1051,B1012:B1051,B1024-36)+in_shop_renew^4*SUMIFS(AW1012:AW1051,B1012:B1051,B1024-48))</f>
        <v/>
      </c>
      <c r="AY1024" s="40">
        <f>AY1023*(1-IF(B1023&gt;=in_marketplace_from,d_hz_sip*G1023,0))</f>
        <v/>
      </c>
      <c r="AZ1024" s="40">
        <f>AZ1023*d_rho_sip+AY1024*IF(B1024&gt;=in_marketplace_from,d_hz_sip*G1024,0)</f>
        <v/>
      </c>
      <c r="BA1024" s="40">
        <f>d_rho_sip*(BA1023+AZ1023)</f>
        <v/>
      </c>
      <c r="BB1024" s="14">
        <f>F1024*in_sip_ticket*(BA1024+0.5*AZ1024)*in_sip_comm/12</f>
        <v/>
      </c>
      <c r="BC1024" s="40">
        <f>BC1023*(1-IF(B1023&gt;=in_marketplace_from,d_hz_choti*G1023,0))</f>
        <v/>
      </c>
      <c r="BD1024" s="46">
        <f>BC1024*IF(B1024&gt;=in_marketplace_from,d_hz_choti*G1024,0)</f>
        <v/>
      </c>
      <c r="BE1024" s="14">
        <f>F1024*SUMIFS(BD1012:BD1051,B1012:B1051,B1024-in_choti_months)*in_choti_renew*in_choti_ticket</f>
        <v/>
      </c>
      <c r="BF1024" s="40">
        <f>BF1023*(1-IF(B1023&gt;=in_marketplace_from,d_hz_nps*G1023,0))</f>
        <v/>
      </c>
      <c r="BG1024" s="14">
        <f>F1024*BF1024*IF(B1024&gt;=in_marketplace_from,d_hz_nps*G1024,0)*in_nps_ticket*in_nps_comm</f>
        <v/>
      </c>
      <c r="BH1024" s="40">
        <f>BH1023*(1-IF(B1023&gt;=in_marketplace_from,d_hz_gold*G1023,0))</f>
        <v/>
      </c>
      <c r="BI1024" s="40">
        <f>BI1023*d_rho_gold+BH1024*IF(B1024&gt;=in_marketplace_from,d_hz_gold*G1024,0)</f>
        <v/>
      </c>
      <c r="BJ1024" s="14">
        <f>F1024*BI1024*in_gold_ticket*in_gold_comm</f>
        <v/>
      </c>
      <c r="BK1024" s="40">
        <f>BK1023*(1-IF(B1023&gt;=in_marketplace_from,d_hz_fd*G1023,0))</f>
        <v/>
      </c>
      <c r="BL1024" s="14">
        <f>F1024*BK1024*IF(B1024&gt;=in_marketplace_from,d_hz_fd*G1024,0)*in_fd_ticket*in_fd_comm</f>
        <v/>
      </c>
      <c r="BM1024" s="40">
        <f>BM1023*(1-IF(B1023&gt;=in_marketplace_from,d_hz_recharge*G1023,0))</f>
        <v/>
      </c>
      <c r="BN1024" s="40">
        <f>BN1023*d_rho_recharge+BM1024*IF(B1024&gt;=in_marketplace_from,d_hz_recharge*G1024,0)</f>
        <v/>
      </c>
      <c r="BO1024" s="14">
        <f>F1024*BN1024*in_recharge_ticket*in_recharge_comm/12</f>
        <v/>
      </c>
      <c r="BP1024" s="40">
        <f>BP1023*(1-IF(B1023&gt;=in_marketplace_from,d_hz_bills*G1023,0))</f>
        <v/>
      </c>
      <c r="BQ1024" s="40">
        <f>BQ1023*d_rho_bills+BP1024*IF(B1024&gt;=in_marketplace_from,d_hz_bills*G1024,0)</f>
        <v/>
      </c>
      <c r="BR1024" s="14">
        <f>F1024*BQ1024*in_bills_ticket*in_bills_comm/12</f>
        <v/>
      </c>
      <c r="BS1024" s="40">
        <f>BS1023*(1-IF(B1023&gt;=in_marketplace_from,d_hz_loan_gold*G1023,0))</f>
        <v/>
      </c>
      <c r="BT1024" s="14">
        <f>F1024*BS1024*IF(B1024&gt;=in_marketplace_from,d_hz_loan_gold*G1024,0)*in_loan_gold_ticket*in_loan_gold_comm</f>
        <v/>
      </c>
      <c r="BU1024" s="40">
        <f>BU1023*(1-IF(B1023&gt;=in_marketplace_from,d_hz_loan_cd*G1023,0))</f>
        <v/>
      </c>
      <c r="BV1024" s="14">
        <f>F1024*BU1024*IF(B1024&gt;=in_marketplace_from,d_hz_loan_cd*G1024,0)*in_loan_cd_ticket*in_loan_cd_comm</f>
        <v/>
      </c>
      <c r="BW1024" s="40">
        <f>BW1023*(1-IF(B1023&gt;=in_marketplace_from,d_hz_loan_vehicle*G1023,0))</f>
        <v/>
      </c>
      <c r="BX1024" s="14">
        <f>F1024*BW1024*IF(B1024&gt;=in_marketplace_from,d_hz_loan_vehicle*G1024,0)*in_loan_vehicle_ticket*in_loan_vehicle_comm</f>
        <v/>
      </c>
      <c r="BY1024" s="40">
        <f>BY1023*(1-IF(B1023&gt;=in_marketplace_from,d_hz_loan_home*G1023,0)*BZ1023)</f>
        <v/>
      </c>
      <c r="BZ1024" s="11">
        <f>MIN(in_approval_cap,in_loan_home_approval*INDEX('Age profile'!$O$2:$O$61,B1024)*(1+in_approval_growth)^(D1024-1))</f>
        <v/>
      </c>
      <c r="CA1024" s="14">
        <f>F1024*BY1024*IF(B1024&gt;=in_marketplace_from,d_hz_loan_home*G1024,0)*BZ1024*in_loan_home_ticket*in_loan_home_comm</f>
        <v/>
      </c>
      <c r="CB1024" s="40">
        <f>CB1023*(1-IF(B1023&gt;=in_marketplace_from,d_hz_loan_lap*G1023,0)*CC1023)</f>
        <v/>
      </c>
      <c r="CC1024" s="11">
        <f>MIN(in_approval_cap,in_loan_lap_approval*INDEX('Age profile'!$O$2:$O$61,B1024)*(1+in_approval_growth)^(D1024-1))</f>
        <v/>
      </c>
      <c r="CD1024" s="14">
        <f>F1024*CB1024*IF(B1024&gt;=in_marketplace_from,d_hz_loan_lap*G1024,0)*CC1024*in_loan_lap_ticket*in_loan_lap_comm</f>
        <v/>
      </c>
      <c r="CE1024" s="14">
        <f>AA1024+AB1024+AC1024+AD1024+AG1024+AJ1024+AM1024+AP1024+AS1024+AU1024+AX1024+BB1024+BE1024+BG1024+BJ1024+BL1024+BO1024+BR1024+BT1024+BV1024+BX1024+CA1024+CD1024</f>
        <v/>
      </c>
    </row>
    <row r="1025">
      <c r="A1025" s="39" t="n">
        <v>21</v>
      </c>
      <c r="B1025" s="39" t="n">
        <v>14</v>
      </c>
      <c r="C1025" s="39">
        <f>A1025+B1025-1</f>
        <v/>
      </c>
      <c r="D1025" s="39">
        <f>INT((C1025-1)/12)+1</f>
        <v/>
      </c>
      <c r="E1025" s="44">
        <f>INDEX(Monthly!$B$2:$B$61,A1025)</f>
        <v/>
      </c>
      <c r="F1025" s="44">
        <f>E1025*INDEX('Age profile'!$B$2:$B$61,B1025)</f>
        <v/>
      </c>
      <c r="G1025" s="45">
        <f>MIN(in_takeup_cap,INDEX('Age profile'!$N$2:$N$61,B1025)*(1+in_takeup_growth)^(D1025-1))</f>
        <v/>
      </c>
      <c r="H1025" s="11">
        <f>MIN(in_approval_cap,in_approved_first*INDEX('Age profile'!$O$2:$O$61,B1025)*(1+in_approval_growth)^(D1025-1))</f>
        <v/>
      </c>
      <c r="I1025" s="45">
        <f>G1025*MIN(in_takeup_cap,INDEX('Age profile'!$O$2:$O$61,B1025)*(1+in_approval_growth)^(D1025-1))</f>
        <v/>
      </c>
      <c r="J1025" s="40">
        <f>(J1024-L1024)*F1025/F1024</f>
        <v/>
      </c>
      <c r="K1025" s="40">
        <f>(K1024-M1024)*F1025/F1024+SUMIFS(O1012:O1024,B1012:B1024,B1025-1-d_T)*F1025</f>
        <v/>
      </c>
      <c r="L1025" s="40">
        <f>IF(B1025&gt;=in_marketplace_from,J1025*d_hz*G1025*in_eligible*H1025,0)</f>
        <v/>
      </c>
      <c r="M1025" s="40">
        <f>IF(B1025&gt;=in_marketplace_from,K1025*d_hz*G1025*in_eligible*in_approved_repeat,0)</f>
        <v/>
      </c>
      <c r="N1025" s="40">
        <f>L1025+M1025</f>
        <v/>
      </c>
      <c r="O1025" s="46">
        <f>N1025/F1025</f>
        <v/>
      </c>
      <c r="P1025" s="40">
        <f>F1025-J1025-K1025</f>
        <v/>
      </c>
      <c r="Q1025" s="40">
        <f>IF(B1025&gt;=in_marketplace_from,(J1025+K1025)*d_hz*G1025,0)</f>
        <v/>
      </c>
      <c r="R1025" s="40">
        <f>SUMIFS(N1012:N1051,B1012:B1051,"&gt;="&amp;(B1025-d_T),B1012:B1051,"&lt;="&amp;(B1025-1))</f>
        <v/>
      </c>
      <c r="S1025" s="46">
        <f>(1-d_u)*S1024+IF(d_T&gt;in_topup_lag,SUMIFS(O1012:O1051,B1012:B1051,B1025-in_topup_lag)-d_udrop*SUMIFS(O1012:O1051,B1012:B1051,B1025-d_T),0)</f>
        <v/>
      </c>
      <c r="T1025" s="40">
        <f>F1025*d_u*S1025</f>
        <v/>
      </c>
      <c r="U1025" s="9">
        <f>L1025*in_ticket+M1025*d_rep_ticket</f>
        <v/>
      </c>
      <c r="V1025" s="9">
        <f>U1025+T1025*d_topup_amt</f>
        <v/>
      </c>
      <c r="W1025" s="40">
        <f>N1025+T1025*d_topup_ratio</f>
        <v/>
      </c>
      <c r="X1025" s="40">
        <f>SUMIFS(W1012:W1051,B1012:B1051,B1025-in_dpd_lag)*d_cured</f>
        <v/>
      </c>
      <c r="Y1025" s="40">
        <f>SUMIFS(W1012:W1051,B1012:B1051,B1025-in_rec_lag)*d_recd</f>
        <v/>
      </c>
      <c r="Z1025" s="40">
        <f>IF(AND(B1025&gt;=in_marketplace_from,B1025&lt;in_marketplace_from+in_card_months),in_card_share/in_card_months*F1025*I1025,IF(AND(B1025&gt;=in_marketplace_from+in_card_months,B1025&lt;in_marketplace_from+2*in_card_months),in_card_share*d_card_rem/in_card_months*F1025*MIN(in_takeup_cap,(1+in_takeup_growth)^(D1025-1))*MIN(in_takeup_cap,(1+in_approval_growth)^(D1025-1)),0))</f>
        <v/>
      </c>
      <c r="AA1025" s="14">
        <f>V1025*in_fee*(1-in_taken_back)</f>
        <v/>
      </c>
      <c r="AB1025" s="14">
        <f>SUMIFS(W1012:W1051,B1012:B1051,B1025-in_dpd_lag)*d_dpd</f>
        <v/>
      </c>
      <c r="AC1025" s="14">
        <f>SUMIFS(W1012:W1051,B1012:B1051,B1025-in_rec_lag)*d_rec</f>
        <v/>
      </c>
      <c r="AD1025" s="14">
        <f>Z1025*in_card_fee</f>
        <v/>
      </c>
      <c r="AE1025" s="40">
        <f>AE1024*(1-IF(B1024&gt;=in_marketplace_from,d_hz_hlth_small*G1024,0))</f>
        <v/>
      </c>
      <c r="AF1025" s="46">
        <f>AE1025*IF(B1025&gt;=in_marketplace_from,d_hz_hlth_small*G1025,0)</f>
        <v/>
      </c>
      <c r="AG1025" s="14">
        <f>F1025*AF1025*in_hlth_small_ticket*in_hlth_small_comm*in_ins_partner_share+F1025*in_hlth_small_ticket*in_hlth_small_renew_comm*in_ins_partner_share*(in_hlth_small_renew^1*SUMIFS(AF1012:AF1051,B1012:B1051,B1025-12)+in_hlth_small_renew^2*SUMIFS(AF1012:AF1051,B1012:B1051,B1025-24)+in_hlth_small_renew^3*SUMIFS(AF1012:AF1051,B1012:B1051,B1025-36)+in_hlth_small_renew^4*SUMIFS(AF1012:AF1051,B1012:B1051,B1025-48))</f>
        <v/>
      </c>
      <c r="AH1025" s="40">
        <f>AH1024*(1-IF(B1024&gt;=in_marketplace_from,d_hz_hlth_family*G1024,0))</f>
        <v/>
      </c>
      <c r="AI1025" s="46">
        <f>AH1025*IF(B1025&gt;=in_marketplace_from,d_hz_hlth_family*G1025,0)</f>
        <v/>
      </c>
      <c r="AJ1025" s="14">
        <f>F1025*AI1025*in_hlth_family_ticket*in_hlth_family_comm*in_ins_partner_share+F1025*in_hlth_family_ticket*in_hlth_family_renew_comm*in_ins_partner_share*(in_hlth_family_renew^1*SUMIFS(AI1012:AI1051,B1012:B1051,B1025-12)+in_hlth_family_renew^2*SUMIFS(AI1012:AI1051,B1012:B1051,B1025-24)+in_hlth_family_renew^3*SUMIFS(AI1012:AI1051,B1012:B1051,B1025-36)+in_hlth_family_renew^4*SUMIFS(AI1012:AI1051,B1012:B1051,B1025-48))</f>
        <v/>
      </c>
      <c r="AK1025" s="40">
        <f>AK1024*(1-IF(B1024&gt;=in_marketplace_from,d_hz_life_term*G1024,0))</f>
        <v/>
      </c>
      <c r="AL1025" s="46">
        <f>AK1025*IF(B1025&gt;=in_marketplace_from,d_hz_life_term*G1025,0)</f>
        <v/>
      </c>
      <c r="AM1025" s="14">
        <f>F1025*AL1025*in_life_term_ticket*in_life_term_comm*in_ins_partner_share+F1025*in_life_term_ticket*in_life_term_renew_comm*in_ins_partner_share*(in_life_term_renew^1*SUMIFS(AL1012:AL1051,B1012:B1051,B1025-12)+in_life_term_renew^2*SUMIFS(AL1012:AL1051,B1012:B1051,B1025-24)+in_life_term_renew^3*SUMIFS(AL1012:AL1051,B1012:B1051,B1025-36)+in_life_term_renew^4*SUMIFS(AL1012:AL1051,B1012:B1051,B1025-48))</f>
        <v/>
      </c>
      <c r="AN1025" s="40">
        <f>AN1024*(1-IF(B1024&gt;=in_marketplace_from,d_hz_accident*G1024,0))</f>
        <v/>
      </c>
      <c r="AO1025" s="46">
        <f>AN1025*IF(B1025&gt;=in_marketplace_from,d_hz_accident*G1025,0)</f>
        <v/>
      </c>
      <c r="AP1025" s="14">
        <f>F1025*AO1025*in_accident_ticket*in_accident_comm*in_ins_partner_share+F1025*in_accident_ticket*in_accident_renew_comm*in_ins_partner_share*(in_accident_renew^1*SUMIFS(AO1012:AO1051,B1012:B1051,B1025-12)+in_accident_renew^2*SUMIFS(AO1012:AO1051,B1012:B1051,B1025-24)+in_accident_renew^3*SUMIFS(AO1012:AO1051,B1012:B1051,B1025-36)+in_accident_renew^4*SUMIFS(AO1012:AO1051,B1012:B1051,B1025-48))</f>
        <v/>
      </c>
      <c r="AQ1025" s="40">
        <f>AQ1024*(1-IF(B1024&gt;=in_marketplace_from,d_hz_two_wheeler*G1024,0))</f>
        <v/>
      </c>
      <c r="AR1025" s="46">
        <f>AQ1025*IF(B1025&gt;=in_marketplace_from,d_hz_two_wheeler*G1025,0)</f>
        <v/>
      </c>
      <c r="AS1025" s="14">
        <f>F1025*AR1025*in_two_wheeler_ticket*in_two_wheeler_comm*in_ins_partner_share+F1025*in_two_wheeler_ticket*in_two_wheeler_comm*in_ins_partner_share*(in_two_wheeler_renew^1*SUMIFS(AR1012:AR1051,B1012:B1051,B1025-12)+in_two_wheeler_renew^2*SUMIFS(AR1012:AR1051,B1012:B1051,B1025-24)+in_two_wheeler_renew^3*SUMIFS(AR1012:AR1051,B1012:B1051,B1025-36)+in_two_wheeler_renew^4*SUMIFS(AR1012:AR1051,B1012:B1051,B1025-48))</f>
        <v/>
      </c>
      <c r="AT1025" s="40">
        <f>AT1024*(1-IF(B1024&gt;=in_marketplace_from,d_hz_device*G1024,0))</f>
        <v/>
      </c>
      <c r="AU1025" s="14">
        <f>F1025*AT1025*IF(B1025&gt;=in_marketplace_from,d_hz_device*G1025,0)*in_device_ticket*in_device_comm*in_ins_partner_share</f>
        <v/>
      </c>
      <c r="AV1025" s="40">
        <f>AV1024*(1-IF(B1024&gt;=in_marketplace_from,d_hz_shop*G1024,0))</f>
        <v/>
      </c>
      <c r="AW1025" s="46">
        <f>AV1025*IF(B1025&gt;=in_marketplace_from,d_hz_shop*G1025,0)</f>
        <v/>
      </c>
      <c r="AX1025" s="14">
        <f>F1025*AW1025*in_shop_ticket*in_shop_comm*in_ins_partner_share+F1025*in_shop_ticket*in_shop_renew_comm*in_ins_partner_share*(in_shop_renew^1*SUMIFS(AW1012:AW1051,B1012:B1051,B1025-12)+in_shop_renew^2*SUMIFS(AW1012:AW1051,B1012:B1051,B1025-24)+in_shop_renew^3*SUMIFS(AW1012:AW1051,B1012:B1051,B1025-36)+in_shop_renew^4*SUMIFS(AW1012:AW1051,B1012:B1051,B1025-48))</f>
        <v/>
      </c>
      <c r="AY1025" s="40">
        <f>AY1024*(1-IF(B1024&gt;=in_marketplace_from,d_hz_sip*G1024,0))</f>
        <v/>
      </c>
      <c r="AZ1025" s="40">
        <f>AZ1024*d_rho_sip+AY1025*IF(B1025&gt;=in_marketplace_from,d_hz_sip*G1025,0)</f>
        <v/>
      </c>
      <c r="BA1025" s="40">
        <f>d_rho_sip*(BA1024+AZ1024)</f>
        <v/>
      </c>
      <c r="BB1025" s="14">
        <f>F1025*in_sip_ticket*(BA1025+0.5*AZ1025)*in_sip_comm/12</f>
        <v/>
      </c>
      <c r="BC1025" s="40">
        <f>BC1024*(1-IF(B1024&gt;=in_marketplace_from,d_hz_choti*G1024,0))</f>
        <v/>
      </c>
      <c r="BD1025" s="46">
        <f>BC1025*IF(B1025&gt;=in_marketplace_from,d_hz_choti*G1025,0)</f>
        <v/>
      </c>
      <c r="BE1025" s="14">
        <f>F1025*SUMIFS(BD1012:BD1051,B1012:B1051,B1025-in_choti_months)*in_choti_renew*in_choti_ticket</f>
        <v/>
      </c>
      <c r="BF1025" s="40">
        <f>BF1024*(1-IF(B1024&gt;=in_marketplace_from,d_hz_nps*G1024,0))</f>
        <v/>
      </c>
      <c r="BG1025" s="14">
        <f>F1025*BF1025*IF(B1025&gt;=in_marketplace_from,d_hz_nps*G1025,0)*in_nps_ticket*in_nps_comm</f>
        <v/>
      </c>
      <c r="BH1025" s="40">
        <f>BH1024*(1-IF(B1024&gt;=in_marketplace_from,d_hz_gold*G1024,0))</f>
        <v/>
      </c>
      <c r="BI1025" s="40">
        <f>BI1024*d_rho_gold+BH1025*IF(B1025&gt;=in_marketplace_from,d_hz_gold*G1025,0)</f>
        <v/>
      </c>
      <c r="BJ1025" s="14">
        <f>F1025*BI1025*in_gold_ticket*in_gold_comm</f>
        <v/>
      </c>
      <c r="BK1025" s="40">
        <f>BK1024*(1-IF(B1024&gt;=in_marketplace_from,d_hz_fd*G1024,0))</f>
        <v/>
      </c>
      <c r="BL1025" s="14">
        <f>F1025*BK1025*IF(B1025&gt;=in_marketplace_from,d_hz_fd*G1025,0)*in_fd_ticket*in_fd_comm</f>
        <v/>
      </c>
      <c r="BM1025" s="40">
        <f>BM1024*(1-IF(B1024&gt;=in_marketplace_from,d_hz_recharge*G1024,0))</f>
        <v/>
      </c>
      <c r="BN1025" s="40">
        <f>BN1024*d_rho_recharge+BM1025*IF(B1025&gt;=in_marketplace_from,d_hz_recharge*G1025,0)</f>
        <v/>
      </c>
      <c r="BO1025" s="14">
        <f>F1025*BN1025*in_recharge_ticket*in_recharge_comm/12</f>
        <v/>
      </c>
      <c r="BP1025" s="40">
        <f>BP1024*(1-IF(B1024&gt;=in_marketplace_from,d_hz_bills*G1024,0))</f>
        <v/>
      </c>
      <c r="BQ1025" s="40">
        <f>BQ1024*d_rho_bills+BP1025*IF(B1025&gt;=in_marketplace_from,d_hz_bills*G1025,0)</f>
        <v/>
      </c>
      <c r="BR1025" s="14">
        <f>F1025*BQ1025*in_bills_ticket*in_bills_comm/12</f>
        <v/>
      </c>
      <c r="BS1025" s="40">
        <f>BS1024*(1-IF(B1024&gt;=in_marketplace_from,d_hz_loan_gold*G1024,0))</f>
        <v/>
      </c>
      <c r="BT1025" s="14">
        <f>F1025*BS1025*IF(B1025&gt;=in_marketplace_from,d_hz_loan_gold*G1025,0)*in_loan_gold_ticket*in_loan_gold_comm</f>
        <v/>
      </c>
      <c r="BU1025" s="40">
        <f>BU1024*(1-IF(B1024&gt;=in_marketplace_from,d_hz_loan_cd*G1024,0))</f>
        <v/>
      </c>
      <c r="BV1025" s="14">
        <f>F1025*BU1025*IF(B1025&gt;=in_marketplace_from,d_hz_loan_cd*G1025,0)*in_loan_cd_ticket*in_loan_cd_comm</f>
        <v/>
      </c>
      <c r="BW1025" s="40">
        <f>BW1024*(1-IF(B1024&gt;=in_marketplace_from,d_hz_loan_vehicle*G1024,0))</f>
        <v/>
      </c>
      <c r="BX1025" s="14">
        <f>F1025*BW1025*IF(B1025&gt;=in_marketplace_from,d_hz_loan_vehicle*G1025,0)*in_loan_vehicle_ticket*in_loan_vehicle_comm</f>
        <v/>
      </c>
      <c r="BY1025" s="40">
        <f>BY1024*(1-IF(B1024&gt;=in_marketplace_from,d_hz_loan_home*G1024,0)*BZ1024)</f>
        <v/>
      </c>
      <c r="BZ1025" s="11">
        <f>MIN(in_approval_cap,in_loan_home_approval*INDEX('Age profile'!$O$2:$O$61,B1025)*(1+in_approval_growth)^(D1025-1))</f>
        <v/>
      </c>
      <c r="CA1025" s="14">
        <f>F1025*BY1025*IF(B1025&gt;=in_marketplace_from,d_hz_loan_home*G1025,0)*BZ1025*in_loan_home_ticket*in_loan_home_comm</f>
        <v/>
      </c>
      <c r="CB1025" s="40">
        <f>CB1024*(1-IF(B1024&gt;=in_marketplace_from,d_hz_loan_lap*G1024,0)*CC1024)</f>
        <v/>
      </c>
      <c r="CC1025" s="11">
        <f>MIN(in_approval_cap,in_loan_lap_approval*INDEX('Age profile'!$O$2:$O$61,B1025)*(1+in_approval_growth)^(D1025-1))</f>
        <v/>
      </c>
      <c r="CD1025" s="14">
        <f>F1025*CB1025*IF(B1025&gt;=in_marketplace_from,d_hz_loan_lap*G1025,0)*CC1025*in_loan_lap_ticket*in_loan_lap_comm</f>
        <v/>
      </c>
      <c r="CE1025" s="14">
        <f>AA1025+AB1025+AC1025+AD1025+AG1025+AJ1025+AM1025+AP1025+AS1025+AU1025+AX1025+BB1025+BE1025+BG1025+BJ1025+BL1025+BO1025+BR1025+BT1025+BV1025+BX1025+CA1025+CD1025</f>
        <v/>
      </c>
    </row>
    <row r="1026">
      <c r="A1026" s="39" t="n">
        <v>21</v>
      </c>
      <c r="B1026" s="39" t="n">
        <v>15</v>
      </c>
      <c r="C1026" s="39">
        <f>A1026+B1026-1</f>
        <v/>
      </c>
      <c r="D1026" s="39">
        <f>INT((C1026-1)/12)+1</f>
        <v/>
      </c>
      <c r="E1026" s="44">
        <f>INDEX(Monthly!$B$2:$B$61,A1026)</f>
        <v/>
      </c>
      <c r="F1026" s="44">
        <f>E1026*INDEX('Age profile'!$B$2:$B$61,B1026)</f>
        <v/>
      </c>
      <c r="G1026" s="45">
        <f>MIN(in_takeup_cap,INDEX('Age profile'!$N$2:$N$61,B1026)*(1+in_takeup_growth)^(D1026-1))</f>
        <v/>
      </c>
      <c r="H1026" s="11">
        <f>MIN(in_approval_cap,in_approved_first*INDEX('Age profile'!$O$2:$O$61,B1026)*(1+in_approval_growth)^(D1026-1))</f>
        <v/>
      </c>
      <c r="I1026" s="45">
        <f>G1026*MIN(in_takeup_cap,INDEX('Age profile'!$O$2:$O$61,B1026)*(1+in_approval_growth)^(D1026-1))</f>
        <v/>
      </c>
      <c r="J1026" s="40">
        <f>(J1025-L1025)*F1026/F1025</f>
        <v/>
      </c>
      <c r="K1026" s="40">
        <f>(K1025-M1025)*F1026/F1025+SUMIFS(O1012:O1025,B1012:B1025,B1026-1-d_T)*F1026</f>
        <v/>
      </c>
      <c r="L1026" s="40">
        <f>IF(B1026&gt;=in_marketplace_from,J1026*d_hz*G1026*in_eligible*H1026,0)</f>
        <v/>
      </c>
      <c r="M1026" s="40">
        <f>IF(B1026&gt;=in_marketplace_from,K1026*d_hz*G1026*in_eligible*in_approved_repeat,0)</f>
        <v/>
      </c>
      <c r="N1026" s="40">
        <f>L1026+M1026</f>
        <v/>
      </c>
      <c r="O1026" s="46">
        <f>N1026/F1026</f>
        <v/>
      </c>
      <c r="P1026" s="40">
        <f>F1026-J1026-K1026</f>
        <v/>
      </c>
      <c r="Q1026" s="40">
        <f>IF(B1026&gt;=in_marketplace_from,(J1026+K1026)*d_hz*G1026,0)</f>
        <v/>
      </c>
      <c r="R1026" s="40">
        <f>SUMIFS(N1012:N1051,B1012:B1051,"&gt;="&amp;(B1026-d_T),B1012:B1051,"&lt;="&amp;(B1026-1))</f>
        <v/>
      </c>
      <c r="S1026" s="46">
        <f>(1-d_u)*S1025+IF(d_T&gt;in_topup_lag,SUMIFS(O1012:O1051,B1012:B1051,B1026-in_topup_lag)-d_udrop*SUMIFS(O1012:O1051,B1012:B1051,B1026-d_T),0)</f>
        <v/>
      </c>
      <c r="T1026" s="40">
        <f>F1026*d_u*S1026</f>
        <v/>
      </c>
      <c r="U1026" s="9">
        <f>L1026*in_ticket+M1026*d_rep_ticket</f>
        <v/>
      </c>
      <c r="V1026" s="9">
        <f>U1026+T1026*d_topup_amt</f>
        <v/>
      </c>
      <c r="W1026" s="40">
        <f>N1026+T1026*d_topup_ratio</f>
        <v/>
      </c>
      <c r="X1026" s="40">
        <f>SUMIFS(W1012:W1051,B1012:B1051,B1026-in_dpd_lag)*d_cured</f>
        <v/>
      </c>
      <c r="Y1026" s="40">
        <f>SUMIFS(W1012:W1051,B1012:B1051,B1026-in_rec_lag)*d_recd</f>
        <v/>
      </c>
      <c r="Z1026" s="40">
        <f>IF(AND(B1026&gt;=in_marketplace_from,B1026&lt;in_marketplace_from+in_card_months),in_card_share/in_card_months*F1026*I1026,IF(AND(B1026&gt;=in_marketplace_from+in_card_months,B1026&lt;in_marketplace_from+2*in_card_months),in_card_share*d_card_rem/in_card_months*F1026*MIN(in_takeup_cap,(1+in_takeup_growth)^(D1026-1))*MIN(in_takeup_cap,(1+in_approval_growth)^(D1026-1)),0))</f>
        <v/>
      </c>
      <c r="AA1026" s="14">
        <f>V1026*in_fee*(1-in_taken_back)</f>
        <v/>
      </c>
      <c r="AB1026" s="14">
        <f>SUMIFS(W1012:W1051,B1012:B1051,B1026-in_dpd_lag)*d_dpd</f>
        <v/>
      </c>
      <c r="AC1026" s="14">
        <f>SUMIFS(W1012:W1051,B1012:B1051,B1026-in_rec_lag)*d_rec</f>
        <v/>
      </c>
      <c r="AD1026" s="14">
        <f>Z1026*in_card_fee</f>
        <v/>
      </c>
      <c r="AE1026" s="40">
        <f>AE1025*(1-IF(B1025&gt;=in_marketplace_from,d_hz_hlth_small*G1025,0))</f>
        <v/>
      </c>
      <c r="AF1026" s="46">
        <f>AE1026*IF(B1026&gt;=in_marketplace_from,d_hz_hlth_small*G1026,0)</f>
        <v/>
      </c>
      <c r="AG1026" s="14">
        <f>F1026*AF1026*in_hlth_small_ticket*in_hlth_small_comm*in_ins_partner_share+F1026*in_hlth_small_ticket*in_hlth_small_renew_comm*in_ins_partner_share*(in_hlth_small_renew^1*SUMIFS(AF1012:AF1051,B1012:B1051,B1026-12)+in_hlth_small_renew^2*SUMIFS(AF1012:AF1051,B1012:B1051,B1026-24)+in_hlth_small_renew^3*SUMIFS(AF1012:AF1051,B1012:B1051,B1026-36)+in_hlth_small_renew^4*SUMIFS(AF1012:AF1051,B1012:B1051,B1026-48))</f>
        <v/>
      </c>
      <c r="AH1026" s="40">
        <f>AH1025*(1-IF(B1025&gt;=in_marketplace_from,d_hz_hlth_family*G1025,0))</f>
        <v/>
      </c>
      <c r="AI1026" s="46">
        <f>AH1026*IF(B1026&gt;=in_marketplace_from,d_hz_hlth_family*G1026,0)</f>
        <v/>
      </c>
      <c r="AJ1026" s="14">
        <f>F1026*AI1026*in_hlth_family_ticket*in_hlth_family_comm*in_ins_partner_share+F1026*in_hlth_family_ticket*in_hlth_family_renew_comm*in_ins_partner_share*(in_hlth_family_renew^1*SUMIFS(AI1012:AI1051,B1012:B1051,B1026-12)+in_hlth_family_renew^2*SUMIFS(AI1012:AI1051,B1012:B1051,B1026-24)+in_hlth_family_renew^3*SUMIFS(AI1012:AI1051,B1012:B1051,B1026-36)+in_hlth_family_renew^4*SUMIFS(AI1012:AI1051,B1012:B1051,B1026-48))</f>
        <v/>
      </c>
      <c r="AK1026" s="40">
        <f>AK1025*(1-IF(B1025&gt;=in_marketplace_from,d_hz_life_term*G1025,0))</f>
        <v/>
      </c>
      <c r="AL1026" s="46">
        <f>AK1026*IF(B1026&gt;=in_marketplace_from,d_hz_life_term*G1026,0)</f>
        <v/>
      </c>
      <c r="AM1026" s="14">
        <f>F1026*AL1026*in_life_term_ticket*in_life_term_comm*in_ins_partner_share+F1026*in_life_term_ticket*in_life_term_renew_comm*in_ins_partner_share*(in_life_term_renew^1*SUMIFS(AL1012:AL1051,B1012:B1051,B1026-12)+in_life_term_renew^2*SUMIFS(AL1012:AL1051,B1012:B1051,B1026-24)+in_life_term_renew^3*SUMIFS(AL1012:AL1051,B1012:B1051,B1026-36)+in_life_term_renew^4*SUMIFS(AL1012:AL1051,B1012:B1051,B1026-48))</f>
        <v/>
      </c>
      <c r="AN1026" s="40">
        <f>AN1025*(1-IF(B1025&gt;=in_marketplace_from,d_hz_accident*G1025,0))</f>
        <v/>
      </c>
      <c r="AO1026" s="46">
        <f>AN1026*IF(B1026&gt;=in_marketplace_from,d_hz_accident*G1026,0)</f>
        <v/>
      </c>
      <c r="AP1026" s="14">
        <f>F1026*AO1026*in_accident_ticket*in_accident_comm*in_ins_partner_share+F1026*in_accident_ticket*in_accident_renew_comm*in_ins_partner_share*(in_accident_renew^1*SUMIFS(AO1012:AO1051,B1012:B1051,B1026-12)+in_accident_renew^2*SUMIFS(AO1012:AO1051,B1012:B1051,B1026-24)+in_accident_renew^3*SUMIFS(AO1012:AO1051,B1012:B1051,B1026-36)+in_accident_renew^4*SUMIFS(AO1012:AO1051,B1012:B1051,B1026-48))</f>
        <v/>
      </c>
      <c r="AQ1026" s="40">
        <f>AQ1025*(1-IF(B1025&gt;=in_marketplace_from,d_hz_two_wheeler*G1025,0))</f>
        <v/>
      </c>
      <c r="AR1026" s="46">
        <f>AQ1026*IF(B1026&gt;=in_marketplace_from,d_hz_two_wheeler*G1026,0)</f>
        <v/>
      </c>
      <c r="AS1026" s="14">
        <f>F1026*AR1026*in_two_wheeler_ticket*in_two_wheeler_comm*in_ins_partner_share+F1026*in_two_wheeler_ticket*in_two_wheeler_comm*in_ins_partner_share*(in_two_wheeler_renew^1*SUMIFS(AR1012:AR1051,B1012:B1051,B1026-12)+in_two_wheeler_renew^2*SUMIFS(AR1012:AR1051,B1012:B1051,B1026-24)+in_two_wheeler_renew^3*SUMIFS(AR1012:AR1051,B1012:B1051,B1026-36)+in_two_wheeler_renew^4*SUMIFS(AR1012:AR1051,B1012:B1051,B1026-48))</f>
        <v/>
      </c>
      <c r="AT1026" s="40">
        <f>AT1025*(1-IF(B1025&gt;=in_marketplace_from,d_hz_device*G1025,0))</f>
        <v/>
      </c>
      <c r="AU1026" s="14">
        <f>F1026*AT1026*IF(B1026&gt;=in_marketplace_from,d_hz_device*G1026,0)*in_device_ticket*in_device_comm*in_ins_partner_share</f>
        <v/>
      </c>
      <c r="AV1026" s="40">
        <f>AV1025*(1-IF(B1025&gt;=in_marketplace_from,d_hz_shop*G1025,0))</f>
        <v/>
      </c>
      <c r="AW1026" s="46">
        <f>AV1026*IF(B1026&gt;=in_marketplace_from,d_hz_shop*G1026,0)</f>
        <v/>
      </c>
      <c r="AX1026" s="14">
        <f>F1026*AW1026*in_shop_ticket*in_shop_comm*in_ins_partner_share+F1026*in_shop_ticket*in_shop_renew_comm*in_ins_partner_share*(in_shop_renew^1*SUMIFS(AW1012:AW1051,B1012:B1051,B1026-12)+in_shop_renew^2*SUMIFS(AW1012:AW1051,B1012:B1051,B1026-24)+in_shop_renew^3*SUMIFS(AW1012:AW1051,B1012:B1051,B1026-36)+in_shop_renew^4*SUMIFS(AW1012:AW1051,B1012:B1051,B1026-48))</f>
        <v/>
      </c>
      <c r="AY1026" s="40">
        <f>AY1025*(1-IF(B1025&gt;=in_marketplace_from,d_hz_sip*G1025,0))</f>
        <v/>
      </c>
      <c r="AZ1026" s="40">
        <f>AZ1025*d_rho_sip+AY1026*IF(B1026&gt;=in_marketplace_from,d_hz_sip*G1026,0)</f>
        <v/>
      </c>
      <c r="BA1026" s="40">
        <f>d_rho_sip*(BA1025+AZ1025)</f>
        <v/>
      </c>
      <c r="BB1026" s="14">
        <f>F1026*in_sip_ticket*(BA1026+0.5*AZ1026)*in_sip_comm/12</f>
        <v/>
      </c>
      <c r="BC1026" s="40">
        <f>BC1025*(1-IF(B1025&gt;=in_marketplace_from,d_hz_choti*G1025,0))</f>
        <v/>
      </c>
      <c r="BD1026" s="46">
        <f>BC1026*IF(B1026&gt;=in_marketplace_from,d_hz_choti*G1026,0)</f>
        <v/>
      </c>
      <c r="BE1026" s="14">
        <f>F1026*SUMIFS(BD1012:BD1051,B1012:B1051,B1026-in_choti_months)*in_choti_renew*in_choti_ticket</f>
        <v/>
      </c>
      <c r="BF1026" s="40">
        <f>BF1025*(1-IF(B1025&gt;=in_marketplace_from,d_hz_nps*G1025,0))</f>
        <v/>
      </c>
      <c r="BG1026" s="14">
        <f>F1026*BF1026*IF(B1026&gt;=in_marketplace_from,d_hz_nps*G1026,0)*in_nps_ticket*in_nps_comm</f>
        <v/>
      </c>
      <c r="BH1026" s="40">
        <f>BH1025*(1-IF(B1025&gt;=in_marketplace_from,d_hz_gold*G1025,0))</f>
        <v/>
      </c>
      <c r="BI1026" s="40">
        <f>BI1025*d_rho_gold+BH1026*IF(B1026&gt;=in_marketplace_from,d_hz_gold*G1026,0)</f>
        <v/>
      </c>
      <c r="BJ1026" s="14">
        <f>F1026*BI1026*in_gold_ticket*in_gold_comm</f>
        <v/>
      </c>
      <c r="BK1026" s="40">
        <f>BK1025*(1-IF(B1025&gt;=in_marketplace_from,d_hz_fd*G1025,0))</f>
        <v/>
      </c>
      <c r="BL1026" s="14">
        <f>F1026*BK1026*IF(B1026&gt;=in_marketplace_from,d_hz_fd*G1026,0)*in_fd_ticket*in_fd_comm</f>
        <v/>
      </c>
      <c r="BM1026" s="40">
        <f>BM1025*(1-IF(B1025&gt;=in_marketplace_from,d_hz_recharge*G1025,0))</f>
        <v/>
      </c>
      <c r="BN1026" s="40">
        <f>BN1025*d_rho_recharge+BM1026*IF(B1026&gt;=in_marketplace_from,d_hz_recharge*G1026,0)</f>
        <v/>
      </c>
      <c r="BO1026" s="14">
        <f>F1026*BN1026*in_recharge_ticket*in_recharge_comm/12</f>
        <v/>
      </c>
      <c r="BP1026" s="40">
        <f>BP1025*(1-IF(B1025&gt;=in_marketplace_from,d_hz_bills*G1025,0))</f>
        <v/>
      </c>
      <c r="BQ1026" s="40">
        <f>BQ1025*d_rho_bills+BP1026*IF(B1026&gt;=in_marketplace_from,d_hz_bills*G1026,0)</f>
        <v/>
      </c>
      <c r="BR1026" s="14">
        <f>F1026*BQ1026*in_bills_ticket*in_bills_comm/12</f>
        <v/>
      </c>
      <c r="BS1026" s="40">
        <f>BS1025*(1-IF(B1025&gt;=in_marketplace_from,d_hz_loan_gold*G1025,0))</f>
        <v/>
      </c>
      <c r="BT1026" s="14">
        <f>F1026*BS1026*IF(B1026&gt;=in_marketplace_from,d_hz_loan_gold*G1026,0)*in_loan_gold_ticket*in_loan_gold_comm</f>
        <v/>
      </c>
      <c r="BU1026" s="40">
        <f>BU1025*(1-IF(B1025&gt;=in_marketplace_from,d_hz_loan_cd*G1025,0))</f>
        <v/>
      </c>
      <c r="BV1026" s="14">
        <f>F1026*BU1026*IF(B1026&gt;=in_marketplace_from,d_hz_loan_cd*G1026,0)*in_loan_cd_ticket*in_loan_cd_comm</f>
        <v/>
      </c>
      <c r="BW1026" s="40">
        <f>BW1025*(1-IF(B1025&gt;=in_marketplace_from,d_hz_loan_vehicle*G1025,0))</f>
        <v/>
      </c>
      <c r="BX1026" s="14">
        <f>F1026*BW1026*IF(B1026&gt;=in_marketplace_from,d_hz_loan_vehicle*G1026,0)*in_loan_vehicle_ticket*in_loan_vehicle_comm</f>
        <v/>
      </c>
      <c r="BY1026" s="40">
        <f>BY1025*(1-IF(B1025&gt;=in_marketplace_from,d_hz_loan_home*G1025,0)*BZ1025)</f>
        <v/>
      </c>
      <c r="BZ1026" s="11">
        <f>MIN(in_approval_cap,in_loan_home_approval*INDEX('Age profile'!$O$2:$O$61,B1026)*(1+in_approval_growth)^(D1026-1))</f>
        <v/>
      </c>
      <c r="CA1026" s="14">
        <f>F1026*BY1026*IF(B1026&gt;=in_marketplace_from,d_hz_loan_home*G1026,0)*BZ1026*in_loan_home_ticket*in_loan_home_comm</f>
        <v/>
      </c>
      <c r="CB1026" s="40">
        <f>CB1025*(1-IF(B1025&gt;=in_marketplace_from,d_hz_loan_lap*G1025,0)*CC1025)</f>
        <v/>
      </c>
      <c r="CC1026" s="11">
        <f>MIN(in_approval_cap,in_loan_lap_approval*INDEX('Age profile'!$O$2:$O$61,B1026)*(1+in_approval_growth)^(D1026-1))</f>
        <v/>
      </c>
      <c r="CD1026" s="14">
        <f>F1026*CB1026*IF(B1026&gt;=in_marketplace_from,d_hz_loan_lap*G1026,0)*CC1026*in_loan_lap_ticket*in_loan_lap_comm</f>
        <v/>
      </c>
      <c r="CE1026" s="14">
        <f>AA1026+AB1026+AC1026+AD1026+AG1026+AJ1026+AM1026+AP1026+AS1026+AU1026+AX1026+BB1026+BE1026+BG1026+BJ1026+BL1026+BO1026+BR1026+BT1026+BV1026+BX1026+CA1026+CD1026</f>
        <v/>
      </c>
    </row>
    <row r="1027">
      <c r="A1027" s="39" t="n">
        <v>21</v>
      </c>
      <c r="B1027" s="39" t="n">
        <v>16</v>
      </c>
      <c r="C1027" s="39">
        <f>A1027+B1027-1</f>
        <v/>
      </c>
      <c r="D1027" s="39">
        <f>INT((C1027-1)/12)+1</f>
        <v/>
      </c>
      <c r="E1027" s="44">
        <f>INDEX(Monthly!$B$2:$B$61,A1027)</f>
        <v/>
      </c>
      <c r="F1027" s="44">
        <f>E1027*INDEX('Age profile'!$B$2:$B$61,B1027)</f>
        <v/>
      </c>
      <c r="G1027" s="45">
        <f>MIN(in_takeup_cap,INDEX('Age profile'!$N$2:$N$61,B1027)*(1+in_takeup_growth)^(D1027-1))</f>
        <v/>
      </c>
      <c r="H1027" s="11">
        <f>MIN(in_approval_cap,in_approved_first*INDEX('Age profile'!$O$2:$O$61,B1027)*(1+in_approval_growth)^(D1027-1))</f>
        <v/>
      </c>
      <c r="I1027" s="45">
        <f>G1027*MIN(in_takeup_cap,INDEX('Age profile'!$O$2:$O$61,B1027)*(1+in_approval_growth)^(D1027-1))</f>
        <v/>
      </c>
      <c r="J1027" s="40">
        <f>(J1026-L1026)*F1027/F1026</f>
        <v/>
      </c>
      <c r="K1027" s="40">
        <f>(K1026-M1026)*F1027/F1026+SUMIFS(O1012:O1026,B1012:B1026,B1027-1-d_T)*F1027</f>
        <v/>
      </c>
      <c r="L1027" s="40">
        <f>IF(B1027&gt;=in_marketplace_from,J1027*d_hz*G1027*in_eligible*H1027,0)</f>
        <v/>
      </c>
      <c r="M1027" s="40">
        <f>IF(B1027&gt;=in_marketplace_from,K1027*d_hz*G1027*in_eligible*in_approved_repeat,0)</f>
        <v/>
      </c>
      <c r="N1027" s="40">
        <f>L1027+M1027</f>
        <v/>
      </c>
      <c r="O1027" s="46">
        <f>N1027/F1027</f>
        <v/>
      </c>
      <c r="P1027" s="40">
        <f>F1027-J1027-K1027</f>
        <v/>
      </c>
      <c r="Q1027" s="40">
        <f>IF(B1027&gt;=in_marketplace_from,(J1027+K1027)*d_hz*G1027,0)</f>
        <v/>
      </c>
      <c r="R1027" s="40">
        <f>SUMIFS(N1012:N1051,B1012:B1051,"&gt;="&amp;(B1027-d_T),B1012:B1051,"&lt;="&amp;(B1027-1))</f>
        <v/>
      </c>
      <c r="S1027" s="46">
        <f>(1-d_u)*S1026+IF(d_T&gt;in_topup_lag,SUMIFS(O1012:O1051,B1012:B1051,B1027-in_topup_lag)-d_udrop*SUMIFS(O1012:O1051,B1012:B1051,B1027-d_T),0)</f>
        <v/>
      </c>
      <c r="T1027" s="40">
        <f>F1027*d_u*S1027</f>
        <v/>
      </c>
      <c r="U1027" s="9">
        <f>L1027*in_ticket+M1027*d_rep_ticket</f>
        <v/>
      </c>
      <c r="V1027" s="9">
        <f>U1027+T1027*d_topup_amt</f>
        <v/>
      </c>
      <c r="W1027" s="40">
        <f>N1027+T1027*d_topup_ratio</f>
        <v/>
      </c>
      <c r="X1027" s="40">
        <f>SUMIFS(W1012:W1051,B1012:B1051,B1027-in_dpd_lag)*d_cured</f>
        <v/>
      </c>
      <c r="Y1027" s="40">
        <f>SUMIFS(W1012:W1051,B1012:B1051,B1027-in_rec_lag)*d_recd</f>
        <v/>
      </c>
      <c r="Z1027" s="40">
        <f>IF(AND(B1027&gt;=in_marketplace_from,B1027&lt;in_marketplace_from+in_card_months),in_card_share/in_card_months*F1027*I1027,IF(AND(B1027&gt;=in_marketplace_from+in_card_months,B1027&lt;in_marketplace_from+2*in_card_months),in_card_share*d_card_rem/in_card_months*F1027*MIN(in_takeup_cap,(1+in_takeup_growth)^(D1027-1))*MIN(in_takeup_cap,(1+in_approval_growth)^(D1027-1)),0))</f>
        <v/>
      </c>
      <c r="AA1027" s="14">
        <f>V1027*in_fee*(1-in_taken_back)</f>
        <v/>
      </c>
      <c r="AB1027" s="14">
        <f>SUMIFS(W1012:W1051,B1012:B1051,B1027-in_dpd_lag)*d_dpd</f>
        <v/>
      </c>
      <c r="AC1027" s="14">
        <f>SUMIFS(W1012:W1051,B1012:B1051,B1027-in_rec_lag)*d_rec</f>
        <v/>
      </c>
      <c r="AD1027" s="14">
        <f>Z1027*in_card_fee</f>
        <v/>
      </c>
      <c r="AE1027" s="40">
        <f>AE1026*(1-IF(B1026&gt;=in_marketplace_from,d_hz_hlth_small*G1026,0))</f>
        <v/>
      </c>
      <c r="AF1027" s="46">
        <f>AE1027*IF(B1027&gt;=in_marketplace_from,d_hz_hlth_small*G1027,0)</f>
        <v/>
      </c>
      <c r="AG1027" s="14">
        <f>F1027*AF1027*in_hlth_small_ticket*in_hlth_small_comm*in_ins_partner_share+F1027*in_hlth_small_ticket*in_hlth_small_renew_comm*in_ins_partner_share*(in_hlth_small_renew^1*SUMIFS(AF1012:AF1051,B1012:B1051,B1027-12)+in_hlth_small_renew^2*SUMIFS(AF1012:AF1051,B1012:B1051,B1027-24)+in_hlth_small_renew^3*SUMIFS(AF1012:AF1051,B1012:B1051,B1027-36)+in_hlth_small_renew^4*SUMIFS(AF1012:AF1051,B1012:B1051,B1027-48))</f>
        <v/>
      </c>
      <c r="AH1027" s="40">
        <f>AH1026*(1-IF(B1026&gt;=in_marketplace_from,d_hz_hlth_family*G1026,0))</f>
        <v/>
      </c>
      <c r="AI1027" s="46">
        <f>AH1027*IF(B1027&gt;=in_marketplace_from,d_hz_hlth_family*G1027,0)</f>
        <v/>
      </c>
      <c r="AJ1027" s="14">
        <f>F1027*AI1027*in_hlth_family_ticket*in_hlth_family_comm*in_ins_partner_share+F1027*in_hlth_family_ticket*in_hlth_family_renew_comm*in_ins_partner_share*(in_hlth_family_renew^1*SUMIFS(AI1012:AI1051,B1012:B1051,B1027-12)+in_hlth_family_renew^2*SUMIFS(AI1012:AI1051,B1012:B1051,B1027-24)+in_hlth_family_renew^3*SUMIFS(AI1012:AI1051,B1012:B1051,B1027-36)+in_hlth_family_renew^4*SUMIFS(AI1012:AI1051,B1012:B1051,B1027-48))</f>
        <v/>
      </c>
      <c r="AK1027" s="40">
        <f>AK1026*(1-IF(B1026&gt;=in_marketplace_from,d_hz_life_term*G1026,0))</f>
        <v/>
      </c>
      <c r="AL1027" s="46">
        <f>AK1027*IF(B1027&gt;=in_marketplace_from,d_hz_life_term*G1027,0)</f>
        <v/>
      </c>
      <c r="AM1027" s="14">
        <f>F1027*AL1027*in_life_term_ticket*in_life_term_comm*in_ins_partner_share+F1027*in_life_term_ticket*in_life_term_renew_comm*in_ins_partner_share*(in_life_term_renew^1*SUMIFS(AL1012:AL1051,B1012:B1051,B1027-12)+in_life_term_renew^2*SUMIFS(AL1012:AL1051,B1012:B1051,B1027-24)+in_life_term_renew^3*SUMIFS(AL1012:AL1051,B1012:B1051,B1027-36)+in_life_term_renew^4*SUMIFS(AL1012:AL1051,B1012:B1051,B1027-48))</f>
        <v/>
      </c>
      <c r="AN1027" s="40">
        <f>AN1026*(1-IF(B1026&gt;=in_marketplace_from,d_hz_accident*G1026,0))</f>
        <v/>
      </c>
      <c r="AO1027" s="46">
        <f>AN1027*IF(B1027&gt;=in_marketplace_from,d_hz_accident*G1027,0)</f>
        <v/>
      </c>
      <c r="AP1027" s="14">
        <f>F1027*AO1027*in_accident_ticket*in_accident_comm*in_ins_partner_share+F1027*in_accident_ticket*in_accident_renew_comm*in_ins_partner_share*(in_accident_renew^1*SUMIFS(AO1012:AO1051,B1012:B1051,B1027-12)+in_accident_renew^2*SUMIFS(AO1012:AO1051,B1012:B1051,B1027-24)+in_accident_renew^3*SUMIFS(AO1012:AO1051,B1012:B1051,B1027-36)+in_accident_renew^4*SUMIFS(AO1012:AO1051,B1012:B1051,B1027-48))</f>
        <v/>
      </c>
      <c r="AQ1027" s="40">
        <f>AQ1026*(1-IF(B1026&gt;=in_marketplace_from,d_hz_two_wheeler*G1026,0))</f>
        <v/>
      </c>
      <c r="AR1027" s="46">
        <f>AQ1027*IF(B1027&gt;=in_marketplace_from,d_hz_two_wheeler*G1027,0)</f>
        <v/>
      </c>
      <c r="AS1027" s="14">
        <f>F1027*AR1027*in_two_wheeler_ticket*in_two_wheeler_comm*in_ins_partner_share+F1027*in_two_wheeler_ticket*in_two_wheeler_comm*in_ins_partner_share*(in_two_wheeler_renew^1*SUMIFS(AR1012:AR1051,B1012:B1051,B1027-12)+in_two_wheeler_renew^2*SUMIFS(AR1012:AR1051,B1012:B1051,B1027-24)+in_two_wheeler_renew^3*SUMIFS(AR1012:AR1051,B1012:B1051,B1027-36)+in_two_wheeler_renew^4*SUMIFS(AR1012:AR1051,B1012:B1051,B1027-48))</f>
        <v/>
      </c>
      <c r="AT1027" s="40">
        <f>AT1026*(1-IF(B1026&gt;=in_marketplace_from,d_hz_device*G1026,0))</f>
        <v/>
      </c>
      <c r="AU1027" s="14">
        <f>F1027*AT1027*IF(B1027&gt;=in_marketplace_from,d_hz_device*G1027,0)*in_device_ticket*in_device_comm*in_ins_partner_share</f>
        <v/>
      </c>
      <c r="AV1027" s="40">
        <f>AV1026*(1-IF(B1026&gt;=in_marketplace_from,d_hz_shop*G1026,0))</f>
        <v/>
      </c>
      <c r="AW1027" s="46">
        <f>AV1027*IF(B1027&gt;=in_marketplace_from,d_hz_shop*G1027,0)</f>
        <v/>
      </c>
      <c r="AX1027" s="14">
        <f>F1027*AW1027*in_shop_ticket*in_shop_comm*in_ins_partner_share+F1027*in_shop_ticket*in_shop_renew_comm*in_ins_partner_share*(in_shop_renew^1*SUMIFS(AW1012:AW1051,B1012:B1051,B1027-12)+in_shop_renew^2*SUMIFS(AW1012:AW1051,B1012:B1051,B1027-24)+in_shop_renew^3*SUMIFS(AW1012:AW1051,B1012:B1051,B1027-36)+in_shop_renew^4*SUMIFS(AW1012:AW1051,B1012:B1051,B1027-48))</f>
        <v/>
      </c>
      <c r="AY1027" s="40">
        <f>AY1026*(1-IF(B1026&gt;=in_marketplace_from,d_hz_sip*G1026,0))</f>
        <v/>
      </c>
      <c r="AZ1027" s="40">
        <f>AZ1026*d_rho_sip+AY1027*IF(B1027&gt;=in_marketplace_from,d_hz_sip*G1027,0)</f>
        <v/>
      </c>
      <c r="BA1027" s="40">
        <f>d_rho_sip*(BA1026+AZ1026)</f>
        <v/>
      </c>
      <c r="BB1027" s="14">
        <f>F1027*in_sip_ticket*(BA1027+0.5*AZ1027)*in_sip_comm/12</f>
        <v/>
      </c>
      <c r="BC1027" s="40">
        <f>BC1026*(1-IF(B1026&gt;=in_marketplace_from,d_hz_choti*G1026,0))</f>
        <v/>
      </c>
      <c r="BD1027" s="46">
        <f>BC1027*IF(B1027&gt;=in_marketplace_from,d_hz_choti*G1027,0)</f>
        <v/>
      </c>
      <c r="BE1027" s="14">
        <f>F1027*SUMIFS(BD1012:BD1051,B1012:B1051,B1027-in_choti_months)*in_choti_renew*in_choti_ticket</f>
        <v/>
      </c>
      <c r="BF1027" s="40">
        <f>BF1026*(1-IF(B1026&gt;=in_marketplace_from,d_hz_nps*G1026,0))</f>
        <v/>
      </c>
      <c r="BG1027" s="14">
        <f>F1027*BF1027*IF(B1027&gt;=in_marketplace_from,d_hz_nps*G1027,0)*in_nps_ticket*in_nps_comm</f>
        <v/>
      </c>
      <c r="BH1027" s="40">
        <f>BH1026*(1-IF(B1026&gt;=in_marketplace_from,d_hz_gold*G1026,0))</f>
        <v/>
      </c>
      <c r="BI1027" s="40">
        <f>BI1026*d_rho_gold+BH1027*IF(B1027&gt;=in_marketplace_from,d_hz_gold*G1027,0)</f>
        <v/>
      </c>
      <c r="BJ1027" s="14">
        <f>F1027*BI1027*in_gold_ticket*in_gold_comm</f>
        <v/>
      </c>
      <c r="BK1027" s="40">
        <f>BK1026*(1-IF(B1026&gt;=in_marketplace_from,d_hz_fd*G1026,0))</f>
        <v/>
      </c>
      <c r="BL1027" s="14">
        <f>F1027*BK1027*IF(B1027&gt;=in_marketplace_from,d_hz_fd*G1027,0)*in_fd_ticket*in_fd_comm</f>
        <v/>
      </c>
      <c r="BM1027" s="40">
        <f>BM1026*(1-IF(B1026&gt;=in_marketplace_from,d_hz_recharge*G1026,0))</f>
        <v/>
      </c>
      <c r="BN1027" s="40">
        <f>BN1026*d_rho_recharge+BM1027*IF(B1027&gt;=in_marketplace_from,d_hz_recharge*G1027,0)</f>
        <v/>
      </c>
      <c r="BO1027" s="14">
        <f>F1027*BN1027*in_recharge_ticket*in_recharge_comm/12</f>
        <v/>
      </c>
      <c r="BP1027" s="40">
        <f>BP1026*(1-IF(B1026&gt;=in_marketplace_from,d_hz_bills*G1026,0))</f>
        <v/>
      </c>
      <c r="BQ1027" s="40">
        <f>BQ1026*d_rho_bills+BP1027*IF(B1027&gt;=in_marketplace_from,d_hz_bills*G1027,0)</f>
        <v/>
      </c>
      <c r="BR1027" s="14">
        <f>F1027*BQ1027*in_bills_ticket*in_bills_comm/12</f>
        <v/>
      </c>
      <c r="BS1027" s="40">
        <f>BS1026*(1-IF(B1026&gt;=in_marketplace_from,d_hz_loan_gold*G1026,0))</f>
        <v/>
      </c>
      <c r="BT1027" s="14">
        <f>F1027*BS1027*IF(B1027&gt;=in_marketplace_from,d_hz_loan_gold*G1027,0)*in_loan_gold_ticket*in_loan_gold_comm</f>
        <v/>
      </c>
      <c r="BU1027" s="40">
        <f>BU1026*(1-IF(B1026&gt;=in_marketplace_from,d_hz_loan_cd*G1026,0))</f>
        <v/>
      </c>
      <c r="BV1027" s="14">
        <f>F1027*BU1027*IF(B1027&gt;=in_marketplace_from,d_hz_loan_cd*G1027,0)*in_loan_cd_ticket*in_loan_cd_comm</f>
        <v/>
      </c>
      <c r="BW1027" s="40">
        <f>BW1026*(1-IF(B1026&gt;=in_marketplace_from,d_hz_loan_vehicle*G1026,0))</f>
        <v/>
      </c>
      <c r="BX1027" s="14">
        <f>F1027*BW1027*IF(B1027&gt;=in_marketplace_from,d_hz_loan_vehicle*G1027,0)*in_loan_vehicle_ticket*in_loan_vehicle_comm</f>
        <v/>
      </c>
      <c r="BY1027" s="40">
        <f>BY1026*(1-IF(B1026&gt;=in_marketplace_from,d_hz_loan_home*G1026,0)*BZ1026)</f>
        <v/>
      </c>
      <c r="BZ1027" s="11">
        <f>MIN(in_approval_cap,in_loan_home_approval*INDEX('Age profile'!$O$2:$O$61,B1027)*(1+in_approval_growth)^(D1027-1))</f>
        <v/>
      </c>
      <c r="CA1027" s="14">
        <f>F1027*BY1027*IF(B1027&gt;=in_marketplace_from,d_hz_loan_home*G1027,0)*BZ1027*in_loan_home_ticket*in_loan_home_comm</f>
        <v/>
      </c>
      <c r="CB1027" s="40">
        <f>CB1026*(1-IF(B1026&gt;=in_marketplace_from,d_hz_loan_lap*G1026,0)*CC1026)</f>
        <v/>
      </c>
      <c r="CC1027" s="11">
        <f>MIN(in_approval_cap,in_loan_lap_approval*INDEX('Age profile'!$O$2:$O$61,B1027)*(1+in_approval_growth)^(D1027-1))</f>
        <v/>
      </c>
      <c r="CD1027" s="14">
        <f>F1027*CB1027*IF(B1027&gt;=in_marketplace_from,d_hz_loan_lap*G1027,0)*CC1027*in_loan_lap_ticket*in_loan_lap_comm</f>
        <v/>
      </c>
      <c r="CE1027" s="14">
        <f>AA1027+AB1027+AC1027+AD1027+AG1027+AJ1027+AM1027+AP1027+AS1027+AU1027+AX1027+BB1027+BE1027+BG1027+BJ1027+BL1027+BO1027+BR1027+BT1027+BV1027+BX1027+CA1027+CD1027</f>
        <v/>
      </c>
    </row>
    <row r="1028">
      <c r="A1028" s="39" t="n">
        <v>21</v>
      </c>
      <c r="B1028" s="39" t="n">
        <v>17</v>
      </c>
      <c r="C1028" s="39">
        <f>A1028+B1028-1</f>
        <v/>
      </c>
      <c r="D1028" s="39">
        <f>INT((C1028-1)/12)+1</f>
        <v/>
      </c>
      <c r="E1028" s="44">
        <f>INDEX(Monthly!$B$2:$B$61,A1028)</f>
        <v/>
      </c>
      <c r="F1028" s="44">
        <f>E1028*INDEX('Age profile'!$B$2:$B$61,B1028)</f>
        <v/>
      </c>
      <c r="G1028" s="45">
        <f>MIN(in_takeup_cap,INDEX('Age profile'!$N$2:$N$61,B1028)*(1+in_takeup_growth)^(D1028-1))</f>
        <v/>
      </c>
      <c r="H1028" s="11">
        <f>MIN(in_approval_cap,in_approved_first*INDEX('Age profile'!$O$2:$O$61,B1028)*(1+in_approval_growth)^(D1028-1))</f>
        <v/>
      </c>
      <c r="I1028" s="45">
        <f>G1028*MIN(in_takeup_cap,INDEX('Age profile'!$O$2:$O$61,B1028)*(1+in_approval_growth)^(D1028-1))</f>
        <v/>
      </c>
      <c r="J1028" s="40">
        <f>(J1027-L1027)*F1028/F1027</f>
        <v/>
      </c>
      <c r="K1028" s="40">
        <f>(K1027-M1027)*F1028/F1027+SUMIFS(O1012:O1027,B1012:B1027,B1028-1-d_T)*F1028</f>
        <v/>
      </c>
      <c r="L1028" s="40">
        <f>IF(B1028&gt;=in_marketplace_from,J1028*d_hz*G1028*in_eligible*H1028,0)</f>
        <v/>
      </c>
      <c r="M1028" s="40">
        <f>IF(B1028&gt;=in_marketplace_from,K1028*d_hz*G1028*in_eligible*in_approved_repeat,0)</f>
        <v/>
      </c>
      <c r="N1028" s="40">
        <f>L1028+M1028</f>
        <v/>
      </c>
      <c r="O1028" s="46">
        <f>N1028/F1028</f>
        <v/>
      </c>
      <c r="P1028" s="40">
        <f>F1028-J1028-K1028</f>
        <v/>
      </c>
      <c r="Q1028" s="40">
        <f>IF(B1028&gt;=in_marketplace_from,(J1028+K1028)*d_hz*G1028,0)</f>
        <v/>
      </c>
      <c r="R1028" s="40">
        <f>SUMIFS(N1012:N1051,B1012:B1051,"&gt;="&amp;(B1028-d_T),B1012:B1051,"&lt;="&amp;(B1028-1))</f>
        <v/>
      </c>
      <c r="S1028" s="46">
        <f>(1-d_u)*S1027+IF(d_T&gt;in_topup_lag,SUMIFS(O1012:O1051,B1012:B1051,B1028-in_topup_lag)-d_udrop*SUMIFS(O1012:O1051,B1012:B1051,B1028-d_T),0)</f>
        <v/>
      </c>
      <c r="T1028" s="40">
        <f>F1028*d_u*S1028</f>
        <v/>
      </c>
      <c r="U1028" s="9">
        <f>L1028*in_ticket+M1028*d_rep_ticket</f>
        <v/>
      </c>
      <c r="V1028" s="9">
        <f>U1028+T1028*d_topup_amt</f>
        <v/>
      </c>
      <c r="W1028" s="40">
        <f>N1028+T1028*d_topup_ratio</f>
        <v/>
      </c>
      <c r="X1028" s="40">
        <f>SUMIFS(W1012:W1051,B1012:B1051,B1028-in_dpd_lag)*d_cured</f>
        <v/>
      </c>
      <c r="Y1028" s="40">
        <f>SUMIFS(W1012:W1051,B1012:B1051,B1028-in_rec_lag)*d_recd</f>
        <v/>
      </c>
      <c r="Z1028" s="40">
        <f>IF(AND(B1028&gt;=in_marketplace_from,B1028&lt;in_marketplace_from+in_card_months),in_card_share/in_card_months*F1028*I1028,IF(AND(B1028&gt;=in_marketplace_from+in_card_months,B1028&lt;in_marketplace_from+2*in_card_months),in_card_share*d_card_rem/in_card_months*F1028*MIN(in_takeup_cap,(1+in_takeup_growth)^(D1028-1))*MIN(in_takeup_cap,(1+in_approval_growth)^(D1028-1)),0))</f>
        <v/>
      </c>
      <c r="AA1028" s="14">
        <f>V1028*in_fee*(1-in_taken_back)</f>
        <v/>
      </c>
      <c r="AB1028" s="14">
        <f>SUMIFS(W1012:W1051,B1012:B1051,B1028-in_dpd_lag)*d_dpd</f>
        <v/>
      </c>
      <c r="AC1028" s="14">
        <f>SUMIFS(W1012:W1051,B1012:B1051,B1028-in_rec_lag)*d_rec</f>
        <v/>
      </c>
      <c r="AD1028" s="14">
        <f>Z1028*in_card_fee</f>
        <v/>
      </c>
      <c r="AE1028" s="40">
        <f>AE1027*(1-IF(B1027&gt;=in_marketplace_from,d_hz_hlth_small*G1027,0))</f>
        <v/>
      </c>
      <c r="AF1028" s="46">
        <f>AE1028*IF(B1028&gt;=in_marketplace_from,d_hz_hlth_small*G1028,0)</f>
        <v/>
      </c>
      <c r="AG1028" s="14">
        <f>F1028*AF1028*in_hlth_small_ticket*in_hlth_small_comm*in_ins_partner_share+F1028*in_hlth_small_ticket*in_hlth_small_renew_comm*in_ins_partner_share*(in_hlth_small_renew^1*SUMIFS(AF1012:AF1051,B1012:B1051,B1028-12)+in_hlth_small_renew^2*SUMIFS(AF1012:AF1051,B1012:B1051,B1028-24)+in_hlth_small_renew^3*SUMIFS(AF1012:AF1051,B1012:B1051,B1028-36)+in_hlth_small_renew^4*SUMIFS(AF1012:AF1051,B1012:B1051,B1028-48))</f>
        <v/>
      </c>
      <c r="AH1028" s="40">
        <f>AH1027*(1-IF(B1027&gt;=in_marketplace_from,d_hz_hlth_family*G1027,0))</f>
        <v/>
      </c>
      <c r="AI1028" s="46">
        <f>AH1028*IF(B1028&gt;=in_marketplace_from,d_hz_hlth_family*G1028,0)</f>
        <v/>
      </c>
      <c r="AJ1028" s="14">
        <f>F1028*AI1028*in_hlth_family_ticket*in_hlth_family_comm*in_ins_partner_share+F1028*in_hlth_family_ticket*in_hlth_family_renew_comm*in_ins_partner_share*(in_hlth_family_renew^1*SUMIFS(AI1012:AI1051,B1012:B1051,B1028-12)+in_hlth_family_renew^2*SUMIFS(AI1012:AI1051,B1012:B1051,B1028-24)+in_hlth_family_renew^3*SUMIFS(AI1012:AI1051,B1012:B1051,B1028-36)+in_hlth_family_renew^4*SUMIFS(AI1012:AI1051,B1012:B1051,B1028-48))</f>
        <v/>
      </c>
      <c r="AK1028" s="40">
        <f>AK1027*(1-IF(B1027&gt;=in_marketplace_from,d_hz_life_term*G1027,0))</f>
        <v/>
      </c>
      <c r="AL1028" s="46">
        <f>AK1028*IF(B1028&gt;=in_marketplace_from,d_hz_life_term*G1028,0)</f>
        <v/>
      </c>
      <c r="AM1028" s="14">
        <f>F1028*AL1028*in_life_term_ticket*in_life_term_comm*in_ins_partner_share+F1028*in_life_term_ticket*in_life_term_renew_comm*in_ins_partner_share*(in_life_term_renew^1*SUMIFS(AL1012:AL1051,B1012:B1051,B1028-12)+in_life_term_renew^2*SUMIFS(AL1012:AL1051,B1012:B1051,B1028-24)+in_life_term_renew^3*SUMIFS(AL1012:AL1051,B1012:B1051,B1028-36)+in_life_term_renew^4*SUMIFS(AL1012:AL1051,B1012:B1051,B1028-48))</f>
        <v/>
      </c>
      <c r="AN1028" s="40">
        <f>AN1027*(1-IF(B1027&gt;=in_marketplace_from,d_hz_accident*G1027,0))</f>
        <v/>
      </c>
      <c r="AO1028" s="46">
        <f>AN1028*IF(B1028&gt;=in_marketplace_from,d_hz_accident*G1028,0)</f>
        <v/>
      </c>
      <c r="AP1028" s="14">
        <f>F1028*AO1028*in_accident_ticket*in_accident_comm*in_ins_partner_share+F1028*in_accident_ticket*in_accident_renew_comm*in_ins_partner_share*(in_accident_renew^1*SUMIFS(AO1012:AO1051,B1012:B1051,B1028-12)+in_accident_renew^2*SUMIFS(AO1012:AO1051,B1012:B1051,B1028-24)+in_accident_renew^3*SUMIFS(AO1012:AO1051,B1012:B1051,B1028-36)+in_accident_renew^4*SUMIFS(AO1012:AO1051,B1012:B1051,B1028-48))</f>
        <v/>
      </c>
      <c r="AQ1028" s="40">
        <f>AQ1027*(1-IF(B1027&gt;=in_marketplace_from,d_hz_two_wheeler*G1027,0))</f>
        <v/>
      </c>
      <c r="AR1028" s="46">
        <f>AQ1028*IF(B1028&gt;=in_marketplace_from,d_hz_two_wheeler*G1028,0)</f>
        <v/>
      </c>
      <c r="AS1028" s="14">
        <f>F1028*AR1028*in_two_wheeler_ticket*in_two_wheeler_comm*in_ins_partner_share+F1028*in_two_wheeler_ticket*in_two_wheeler_comm*in_ins_partner_share*(in_two_wheeler_renew^1*SUMIFS(AR1012:AR1051,B1012:B1051,B1028-12)+in_two_wheeler_renew^2*SUMIFS(AR1012:AR1051,B1012:B1051,B1028-24)+in_two_wheeler_renew^3*SUMIFS(AR1012:AR1051,B1012:B1051,B1028-36)+in_two_wheeler_renew^4*SUMIFS(AR1012:AR1051,B1012:B1051,B1028-48))</f>
        <v/>
      </c>
      <c r="AT1028" s="40">
        <f>AT1027*(1-IF(B1027&gt;=in_marketplace_from,d_hz_device*G1027,0))</f>
        <v/>
      </c>
      <c r="AU1028" s="14">
        <f>F1028*AT1028*IF(B1028&gt;=in_marketplace_from,d_hz_device*G1028,0)*in_device_ticket*in_device_comm*in_ins_partner_share</f>
        <v/>
      </c>
      <c r="AV1028" s="40">
        <f>AV1027*(1-IF(B1027&gt;=in_marketplace_from,d_hz_shop*G1027,0))</f>
        <v/>
      </c>
      <c r="AW1028" s="46">
        <f>AV1028*IF(B1028&gt;=in_marketplace_from,d_hz_shop*G1028,0)</f>
        <v/>
      </c>
      <c r="AX1028" s="14">
        <f>F1028*AW1028*in_shop_ticket*in_shop_comm*in_ins_partner_share+F1028*in_shop_ticket*in_shop_renew_comm*in_ins_partner_share*(in_shop_renew^1*SUMIFS(AW1012:AW1051,B1012:B1051,B1028-12)+in_shop_renew^2*SUMIFS(AW1012:AW1051,B1012:B1051,B1028-24)+in_shop_renew^3*SUMIFS(AW1012:AW1051,B1012:B1051,B1028-36)+in_shop_renew^4*SUMIFS(AW1012:AW1051,B1012:B1051,B1028-48))</f>
        <v/>
      </c>
      <c r="AY1028" s="40">
        <f>AY1027*(1-IF(B1027&gt;=in_marketplace_from,d_hz_sip*G1027,0))</f>
        <v/>
      </c>
      <c r="AZ1028" s="40">
        <f>AZ1027*d_rho_sip+AY1028*IF(B1028&gt;=in_marketplace_from,d_hz_sip*G1028,0)</f>
        <v/>
      </c>
      <c r="BA1028" s="40">
        <f>d_rho_sip*(BA1027+AZ1027)</f>
        <v/>
      </c>
      <c r="BB1028" s="14">
        <f>F1028*in_sip_ticket*(BA1028+0.5*AZ1028)*in_sip_comm/12</f>
        <v/>
      </c>
      <c r="BC1028" s="40">
        <f>BC1027*(1-IF(B1027&gt;=in_marketplace_from,d_hz_choti*G1027,0))</f>
        <v/>
      </c>
      <c r="BD1028" s="46">
        <f>BC1028*IF(B1028&gt;=in_marketplace_from,d_hz_choti*G1028,0)</f>
        <v/>
      </c>
      <c r="BE1028" s="14">
        <f>F1028*SUMIFS(BD1012:BD1051,B1012:B1051,B1028-in_choti_months)*in_choti_renew*in_choti_ticket</f>
        <v/>
      </c>
      <c r="BF1028" s="40">
        <f>BF1027*(1-IF(B1027&gt;=in_marketplace_from,d_hz_nps*G1027,0))</f>
        <v/>
      </c>
      <c r="BG1028" s="14">
        <f>F1028*BF1028*IF(B1028&gt;=in_marketplace_from,d_hz_nps*G1028,0)*in_nps_ticket*in_nps_comm</f>
        <v/>
      </c>
      <c r="BH1028" s="40">
        <f>BH1027*(1-IF(B1027&gt;=in_marketplace_from,d_hz_gold*G1027,0))</f>
        <v/>
      </c>
      <c r="BI1028" s="40">
        <f>BI1027*d_rho_gold+BH1028*IF(B1028&gt;=in_marketplace_from,d_hz_gold*G1028,0)</f>
        <v/>
      </c>
      <c r="BJ1028" s="14">
        <f>F1028*BI1028*in_gold_ticket*in_gold_comm</f>
        <v/>
      </c>
      <c r="BK1028" s="40">
        <f>BK1027*(1-IF(B1027&gt;=in_marketplace_from,d_hz_fd*G1027,0))</f>
        <v/>
      </c>
      <c r="BL1028" s="14">
        <f>F1028*BK1028*IF(B1028&gt;=in_marketplace_from,d_hz_fd*G1028,0)*in_fd_ticket*in_fd_comm</f>
        <v/>
      </c>
      <c r="BM1028" s="40">
        <f>BM1027*(1-IF(B1027&gt;=in_marketplace_from,d_hz_recharge*G1027,0))</f>
        <v/>
      </c>
      <c r="BN1028" s="40">
        <f>BN1027*d_rho_recharge+BM1028*IF(B1028&gt;=in_marketplace_from,d_hz_recharge*G1028,0)</f>
        <v/>
      </c>
      <c r="BO1028" s="14">
        <f>F1028*BN1028*in_recharge_ticket*in_recharge_comm/12</f>
        <v/>
      </c>
      <c r="BP1028" s="40">
        <f>BP1027*(1-IF(B1027&gt;=in_marketplace_from,d_hz_bills*G1027,0))</f>
        <v/>
      </c>
      <c r="BQ1028" s="40">
        <f>BQ1027*d_rho_bills+BP1028*IF(B1028&gt;=in_marketplace_from,d_hz_bills*G1028,0)</f>
        <v/>
      </c>
      <c r="BR1028" s="14">
        <f>F1028*BQ1028*in_bills_ticket*in_bills_comm/12</f>
        <v/>
      </c>
      <c r="BS1028" s="40">
        <f>BS1027*(1-IF(B1027&gt;=in_marketplace_from,d_hz_loan_gold*G1027,0))</f>
        <v/>
      </c>
      <c r="BT1028" s="14">
        <f>F1028*BS1028*IF(B1028&gt;=in_marketplace_from,d_hz_loan_gold*G1028,0)*in_loan_gold_ticket*in_loan_gold_comm</f>
        <v/>
      </c>
      <c r="BU1028" s="40">
        <f>BU1027*(1-IF(B1027&gt;=in_marketplace_from,d_hz_loan_cd*G1027,0))</f>
        <v/>
      </c>
      <c r="BV1028" s="14">
        <f>F1028*BU1028*IF(B1028&gt;=in_marketplace_from,d_hz_loan_cd*G1028,0)*in_loan_cd_ticket*in_loan_cd_comm</f>
        <v/>
      </c>
      <c r="BW1028" s="40">
        <f>BW1027*(1-IF(B1027&gt;=in_marketplace_from,d_hz_loan_vehicle*G1027,0))</f>
        <v/>
      </c>
      <c r="BX1028" s="14">
        <f>F1028*BW1028*IF(B1028&gt;=in_marketplace_from,d_hz_loan_vehicle*G1028,0)*in_loan_vehicle_ticket*in_loan_vehicle_comm</f>
        <v/>
      </c>
      <c r="BY1028" s="40">
        <f>BY1027*(1-IF(B1027&gt;=in_marketplace_from,d_hz_loan_home*G1027,0)*BZ1027)</f>
        <v/>
      </c>
      <c r="BZ1028" s="11">
        <f>MIN(in_approval_cap,in_loan_home_approval*INDEX('Age profile'!$O$2:$O$61,B1028)*(1+in_approval_growth)^(D1028-1))</f>
        <v/>
      </c>
      <c r="CA1028" s="14">
        <f>F1028*BY1028*IF(B1028&gt;=in_marketplace_from,d_hz_loan_home*G1028,0)*BZ1028*in_loan_home_ticket*in_loan_home_comm</f>
        <v/>
      </c>
      <c r="CB1028" s="40">
        <f>CB1027*(1-IF(B1027&gt;=in_marketplace_from,d_hz_loan_lap*G1027,0)*CC1027)</f>
        <v/>
      </c>
      <c r="CC1028" s="11">
        <f>MIN(in_approval_cap,in_loan_lap_approval*INDEX('Age profile'!$O$2:$O$61,B1028)*(1+in_approval_growth)^(D1028-1))</f>
        <v/>
      </c>
      <c r="CD1028" s="14">
        <f>F1028*CB1028*IF(B1028&gt;=in_marketplace_from,d_hz_loan_lap*G1028,0)*CC1028*in_loan_lap_ticket*in_loan_lap_comm</f>
        <v/>
      </c>
      <c r="CE1028" s="14">
        <f>AA1028+AB1028+AC1028+AD1028+AG1028+AJ1028+AM1028+AP1028+AS1028+AU1028+AX1028+BB1028+BE1028+BG1028+BJ1028+BL1028+BO1028+BR1028+BT1028+BV1028+BX1028+CA1028+CD1028</f>
        <v/>
      </c>
    </row>
    <row r="1029">
      <c r="A1029" s="39" t="n">
        <v>21</v>
      </c>
      <c r="B1029" s="39" t="n">
        <v>18</v>
      </c>
      <c r="C1029" s="39">
        <f>A1029+B1029-1</f>
        <v/>
      </c>
      <c r="D1029" s="39">
        <f>INT((C1029-1)/12)+1</f>
        <v/>
      </c>
      <c r="E1029" s="44">
        <f>INDEX(Monthly!$B$2:$B$61,A1029)</f>
        <v/>
      </c>
      <c r="F1029" s="44">
        <f>E1029*INDEX('Age profile'!$B$2:$B$61,B1029)</f>
        <v/>
      </c>
      <c r="G1029" s="45">
        <f>MIN(in_takeup_cap,INDEX('Age profile'!$N$2:$N$61,B1029)*(1+in_takeup_growth)^(D1029-1))</f>
        <v/>
      </c>
      <c r="H1029" s="11">
        <f>MIN(in_approval_cap,in_approved_first*INDEX('Age profile'!$O$2:$O$61,B1029)*(1+in_approval_growth)^(D1029-1))</f>
        <v/>
      </c>
      <c r="I1029" s="45">
        <f>G1029*MIN(in_takeup_cap,INDEX('Age profile'!$O$2:$O$61,B1029)*(1+in_approval_growth)^(D1029-1))</f>
        <v/>
      </c>
      <c r="J1029" s="40">
        <f>(J1028-L1028)*F1029/F1028</f>
        <v/>
      </c>
      <c r="K1029" s="40">
        <f>(K1028-M1028)*F1029/F1028+SUMIFS(O1012:O1028,B1012:B1028,B1029-1-d_T)*F1029</f>
        <v/>
      </c>
      <c r="L1029" s="40">
        <f>IF(B1029&gt;=in_marketplace_from,J1029*d_hz*G1029*in_eligible*H1029,0)</f>
        <v/>
      </c>
      <c r="M1029" s="40">
        <f>IF(B1029&gt;=in_marketplace_from,K1029*d_hz*G1029*in_eligible*in_approved_repeat,0)</f>
        <v/>
      </c>
      <c r="N1029" s="40">
        <f>L1029+M1029</f>
        <v/>
      </c>
      <c r="O1029" s="46">
        <f>N1029/F1029</f>
        <v/>
      </c>
      <c r="P1029" s="40">
        <f>F1029-J1029-K1029</f>
        <v/>
      </c>
      <c r="Q1029" s="40">
        <f>IF(B1029&gt;=in_marketplace_from,(J1029+K1029)*d_hz*G1029,0)</f>
        <v/>
      </c>
      <c r="R1029" s="40">
        <f>SUMIFS(N1012:N1051,B1012:B1051,"&gt;="&amp;(B1029-d_T),B1012:B1051,"&lt;="&amp;(B1029-1))</f>
        <v/>
      </c>
      <c r="S1029" s="46">
        <f>(1-d_u)*S1028+IF(d_T&gt;in_topup_lag,SUMIFS(O1012:O1051,B1012:B1051,B1029-in_topup_lag)-d_udrop*SUMIFS(O1012:O1051,B1012:B1051,B1029-d_T),0)</f>
        <v/>
      </c>
      <c r="T1029" s="40">
        <f>F1029*d_u*S1029</f>
        <v/>
      </c>
      <c r="U1029" s="9">
        <f>L1029*in_ticket+M1029*d_rep_ticket</f>
        <v/>
      </c>
      <c r="V1029" s="9">
        <f>U1029+T1029*d_topup_amt</f>
        <v/>
      </c>
      <c r="W1029" s="40">
        <f>N1029+T1029*d_topup_ratio</f>
        <v/>
      </c>
      <c r="X1029" s="40">
        <f>SUMIFS(W1012:W1051,B1012:B1051,B1029-in_dpd_lag)*d_cured</f>
        <v/>
      </c>
      <c r="Y1029" s="40">
        <f>SUMIFS(W1012:W1051,B1012:B1051,B1029-in_rec_lag)*d_recd</f>
        <v/>
      </c>
      <c r="Z1029" s="40">
        <f>IF(AND(B1029&gt;=in_marketplace_from,B1029&lt;in_marketplace_from+in_card_months),in_card_share/in_card_months*F1029*I1029,IF(AND(B1029&gt;=in_marketplace_from+in_card_months,B1029&lt;in_marketplace_from+2*in_card_months),in_card_share*d_card_rem/in_card_months*F1029*MIN(in_takeup_cap,(1+in_takeup_growth)^(D1029-1))*MIN(in_takeup_cap,(1+in_approval_growth)^(D1029-1)),0))</f>
        <v/>
      </c>
      <c r="AA1029" s="14">
        <f>V1029*in_fee*(1-in_taken_back)</f>
        <v/>
      </c>
      <c r="AB1029" s="14">
        <f>SUMIFS(W1012:W1051,B1012:B1051,B1029-in_dpd_lag)*d_dpd</f>
        <v/>
      </c>
      <c r="AC1029" s="14">
        <f>SUMIFS(W1012:W1051,B1012:B1051,B1029-in_rec_lag)*d_rec</f>
        <v/>
      </c>
      <c r="AD1029" s="14">
        <f>Z1029*in_card_fee</f>
        <v/>
      </c>
      <c r="AE1029" s="40">
        <f>AE1028*(1-IF(B1028&gt;=in_marketplace_from,d_hz_hlth_small*G1028,0))</f>
        <v/>
      </c>
      <c r="AF1029" s="46">
        <f>AE1029*IF(B1029&gt;=in_marketplace_from,d_hz_hlth_small*G1029,0)</f>
        <v/>
      </c>
      <c r="AG1029" s="14">
        <f>F1029*AF1029*in_hlth_small_ticket*in_hlth_small_comm*in_ins_partner_share+F1029*in_hlth_small_ticket*in_hlth_small_renew_comm*in_ins_partner_share*(in_hlth_small_renew^1*SUMIFS(AF1012:AF1051,B1012:B1051,B1029-12)+in_hlth_small_renew^2*SUMIFS(AF1012:AF1051,B1012:B1051,B1029-24)+in_hlth_small_renew^3*SUMIFS(AF1012:AF1051,B1012:B1051,B1029-36)+in_hlth_small_renew^4*SUMIFS(AF1012:AF1051,B1012:B1051,B1029-48))</f>
        <v/>
      </c>
      <c r="AH1029" s="40">
        <f>AH1028*(1-IF(B1028&gt;=in_marketplace_from,d_hz_hlth_family*G1028,0))</f>
        <v/>
      </c>
      <c r="AI1029" s="46">
        <f>AH1029*IF(B1029&gt;=in_marketplace_from,d_hz_hlth_family*G1029,0)</f>
        <v/>
      </c>
      <c r="AJ1029" s="14">
        <f>F1029*AI1029*in_hlth_family_ticket*in_hlth_family_comm*in_ins_partner_share+F1029*in_hlth_family_ticket*in_hlth_family_renew_comm*in_ins_partner_share*(in_hlth_family_renew^1*SUMIFS(AI1012:AI1051,B1012:B1051,B1029-12)+in_hlth_family_renew^2*SUMIFS(AI1012:AI1051,B1012:B1051,B1029-24)+in_hlth_family_renew^3*SUMIFS(AI1012:AI1051,B1012:B1051,B1029-36)+in_hlth_family_renew^4*SUMIFS(AI1012:AI1051,B1012:B1051,B1029-48))</f>
        <v/>
      </c>
      <c r="AK1029" s="40">
        <f>AK1028*(1-IF(B1028&gt;=in_marketplace_from,d_hz_life_term*G1028,0))</f>
        <v/>
      </c>
      <c r="AL1029" s="46">
        <f>AK1029*IF(B1029&gt;=in_marketplace_from,d_hz_life_term*G1029,0)</f>
        <v/>
      </c>
      <c r="AM1029" s="14">
        <f>F1029*AL1029*in_life_term_ticket*in_life_term_comm*in_ins_partner_share+F1029*in_life_term_ticket*in_life_term_renew_comm*in_ins_partner_share*(in_life_term_renew^1*SUMIFS(AL1012:AL1051,B1012:B1051,B1029-12)+in_life_term_renew^2*SUMIFS(AL1012:AL1051,B1012:B1051,B1029-24)+in_life_term_renew^3*SUMIFS(AL1012:AL1051,B1012:B1051,B1029-36)+in_life_term_renew^4*SUMIFS(AL1012:AL1051,B1012:B1051,B1029-48))</f>
        <v/>
      </c>
      <c r="AN1029" s="40">
        <f>AN1028*(1-IF(B1028&gt;=in_marketplace_from,d_hz_accident*G1028,0))</f>
        <v/>
      </c>
      <c r="AO1029" s="46">
        <f>AN1029*IF(B1029&gt;=in_marketplace_from,d_hz_accident*G1029,0)</f>
        <v/>
      </c>
      <c r="AP1029" s="14">
        <f>F1029*AO1029*in_accident_ticket*in_accident_comm*in_ins_partner_share+F1029*in_accident_ticket*in_accident_renew_comm*in_ins_partner_share*(in_accident_renew^1*SUMIFS(AO1012:AO1051,B1012:B1051,B1029-12)+in_accident_renew^2*SUMIFS(AO1012:AO1051,B1012:B1051,B1029-24)+in_accident_renew^3*SUMIFS(AO1012:AO1051,B1012:B1051,B1029-36)+in_accident_renew^4*SUMIFS(AO1012:AO1051,B1012:B1051,B1029-48))</f>
        <v/>
      </c>
      <c r="AQ1029" s="40">
        <f>AQ1028*(1-IF(B1028&gt;=in_marketplace_from,d_hz_two_wheeler*G1028,0))</f>
        <v/>
      </c>
      <c r="AR1029" s="46">
        <f>AQ1029*IF(B1029&gt;=in_marketplace_from,d_hz_two_wheeler*G1029,0)</f>
        <v/>
      </c>
      <c r="AS1029" s="14">
        <f>F1029*AR1029*in_two_wheeler_ticket*in_two_wheeler_comm*in_ins_partner_share+F1029*in_two_wheeler_ticket*in_two_wheeler_comm*in_ins_partner_share*(in_two_wheeler_renew^1*SUMIFS(AR1012:AR1051,B1012:B1051,B1029-12)+in_two_wheeler_renew^2*SUMIFS(AR1012:AR1051,B1012:B1051,B1029-24)+in_two_wheeler_renew^3*SUMIFS(AR1012:AR1051,B1012:B1051,B1029-36)+in_two_wheeler_renew^4*SUMIFS(AR1012:AR1051,B1012:B1051,B1029-48))</f>
        <v/>
      </c>
      <c r="AT1029" s="40">
        <f>AT1028*(1-IF(B1028&gt;=in_marketplace_from,d_hz_device*G1028,0))</f>
        <v/>
      </c>
      <c r="AU1029" s="14">
        <f>F1029*AT1029*IF(B1029&gt;=in_marketplace_from,d_hz_device*G1029,0)*in_device_ticket*in_device_comm*in_ins_partner_share</f>
        <v/>
      </c>
      <c r="AV1029" s="40">
        <f>AV1028*(1-IF(B1028&gt;=in_marketplace_from,d_hz_shop*G1028,0))</f>
        <v/>
      </c>
      <c r="AW1029" s="46">
        <f>AV1029*IF(B1029&gt;=in_marketplace_from,d_hz_shop*G1029,0)</f>
        <v/>
      </c>
      <c r="AX1029" s="14">
        <f>F1029*AW1029*in_shop_ticket*in_shop_comm*in_ins_partner_share+F1029*in_shop_ticket*in_shop_renew_comm*in_ins_partner_share*(in_shop_renew^1*SUMIFS(AW1012:AW1051,B1012:B1051,B1029-12)+in_shop_renew^2*SUMIFS(AW1012:AW1051,B1012:B1051,B1029-24)+in_shop_renew^3*SUMIFS(AW1012:AW1051,B1012:B1051,B1029-36)+in_shop_renew^4*SUMIFS(AW1012:AW1051,B1012:B1051,B1029-48))</f>
        <v/>
      </c>
      <c r="AY1029" s="40">
        <f>AY1028*(1-IF(B1028&gt;=in_marketplace_from,d_hz_sip*G1028,0))</f>
        <v/>
      </c>
      <c r="AZ1029" s="40">
        <f>AZ1028*d_rho_sip+AY1029*IF(B1029&gt;=in_marketplace_from,d_hz_sip*G1029,0)</f>
        <v/>
      </c>
      <c r="BA1029" s="40">
        <f>d_rho_sip*(BA1028+AZ1028)</f>
        <v/>
      </c>
      <c r="BB1029" s="14">
        <f>F1029*in_sip_ticket*(BA1029+0.5*AZ1029)*in_sip_comm/12</f>
        <v/>
      </c>
      <c r="BC1029" s="40">
        <f>BC1028*(1-IF(B1028&gt;=in_marketplace_from,d_hz_choti*G1028,0))</f>
        <v/>
      </c>
      <c r="BD1029" s="46">
        <f>BC1029*IF(B1029&gt;=in_marketplace_from,d_hz_choti*G1029,0)</f>
        <v/>
      </c>
      <c r="BE1029" s="14">
        <f>F1029*SUMIFS(BD1012:BD1051,B1012:B1051,B1029-in_choti_months)*in_choti_renew*in_choti_ticket</f>
        <v/>
      </c>
      <c r="BF1029" s="40">
        <f>BF1028*(1-IF(B1028&gt;=in_marketplace_from,d_hz_nps*G1028,0))</f>
        <v/>
      </c>
      <c r="BG1029" s="14">
        <f>F1029*BF1029*IF(B1029&gt;=in_marketplace_from,d_hz_nps*G1029,0)*in_nps_ticket*in_nps_comm</f>
        <v/>
      </c>
      <c r="BH1029" s="40">
        <f>BH1028*(1-IF(B1028&gt;=in_marketplace_from,d_hz_gold*G1028,0))</f>
        <v/>
      </c>
      <c r="BI1029" s="40">
        <f>BI1028*d_rho_gold+BH1029*IF(B1029&gt;=in_marketplace_from,d_hz_gold*G1029,0)</f>
        <v/>
      </c>
      <c r="BJ1029" s="14">
        <f>F1029*BI1029*in_gold_ticket*in_gold_comm</f>
        <v/>
      </c>
      <c r="BK1029" s="40">
        <f>BK1028*(1-IF(B1028&gt;=in_marketplace_from,d_hz_fd*G1028,0))</f>
        <v/>
      </c>
      <c r="BL1029" s="14">
        <f>F1029*BK1029*IF(B1029&gt;=in_marketplace_from,d_hz_fd*G1029,0)*in_fd_ticket*in_fd_comm</f>
        <v/>
      </c>
      <c r="BM1029" s="40">
        <f>BM1028*(1-IF(B1028&gt;=in_marketplace_from,d_hz_recharge*G1028,0))</f>
        <v/>
      </c>
      <c r="BN1029" s="40">
        <f>BN1028*d_rho_recharge+BM1029*IF(B1029&gt;=in_marketplace_from,d_hz_recharge*G1029,0)</f>
        <v/>
      </c>
      <c r="BO1029" s="14">
        <f>F1029*BN1029*in_recharge_ticket*in_recharge_comm/12</f>
        <v/>
      </c>
      <c r="BP1029" s="40">
        <f>BP1028*(1-IF(B1028&gt;=in_marketplace_from,d_hz_bills*G1028,0))</f>
        <v/>
      </c>
      <c r="BQ1029" s="40">
        <f>BQ1028*d_rho_bills+BP1029*IF(B1029&gt;=in_marketplace_from,d_hz_bills*G1029,0)</f>
        <v/>
      </c>
      <c r="BR1029" s="14">
        <f>F1029*BQ1029*in_bills_ticket*in_bills_comm/12</f>
        <v/>
      </c>
      <c r="BS1029" s="40">
        <f>BS1028*(1-IF(B1028&gt;=in_marketplace_from,d_hz_loan_gold*G1028,0))</f>
        <v/>
      </c>
      <c r="BT1029" s="14">
        <f>F1029*BS1029*IF(B1029&gt;=in_marketplace_from,d_hz_loan_gold*G1029,0)*in_loan_gold_ticket*in_loan_gold_comm</f>
        <v/>
      </c>
      <c r="BU1029" s="40">
        <f>BU1028*(1-IF(B1028&gt;=in_marketplace_from,d_hz_loan_cd*G1028,0))</f>
        <v/>
      </c>
      <c r="BV1029" s="14">
        <f>F1029*BU1029*IF(B1029&gt;=in_marketplace_from,d_hz_loan_cd*G1029,0)*in_loan_cd_ticket*in_loan_cd_comm</f>
        <v/>
      </c>
      <c r="BW1029" s="40">
        <f>BW1028*(1-IF(B1028&gt;=in_marketplace_from,d_hz_loan_vehicle*G1028,0))</f>
        <v/>
      </c>
      <c r="BX1029" s="14">
        <f>F1029*BW1029*IF(B1029&gt;=in_marketplace_from,d_hz_loan_vehicle*G1029,0)*in_loan_vehicle_ticket*in_loan_vehicle_comm</f>
        <v/>
      </c>
      <c r="BY1029" s="40">
        <f>BY1028*(1-IF(B1028&gt;=in_marketplace_from,d_hz_loan_home*G1028,0)*BZ1028)</f>
        <v/>
      </c>
      <c r="BZ1029" s="11">
        <f>MIN(in_approval_cap,in_loan_home_approval*INDEX('Age profile'!$O$2:$O$61,B1029)*(1+in_approval_growth)^(D1029-1))</f>
        <v/>
      </c>
      <c r="CA1029" s="14">
        <f>F1029*BY1029*IF(B1029&gt;=in_marketplace_from,d_hz_loan_home*G1029,0)*BZ1029*in_loan_home_ticket*in_loan_home_comm</f>
        <v/>
      </c>
      <c r="CB1029" s="40">
        <f>CB1028*(1-IF(B1028&gt;=in_marketplace_from,d_hz_loan_lap*G1028,0)*CC1028)</f>
        <v/>
      </c>
      <c r="CC1029" s="11">
        <f>MIN(in_approval_cap,in_loan_lap_approval*INDEX('Age profile'!$O$2:$O$61,B1029)*(1+in_approval_growth)^(D1029-1))</f>
        <v/>
      </c>
      <c r="CD1029" s="14">
        <f>F1029*CB1029*IF(B1029&gt;=in_marketplace_from,d_hz_loan_lap*G1029,0)*CC1029*in_loan_lap_ticket*in_loan_lap_comm</f>
        <v/>
      </c>
      <c r="CE1029" s="14">
        <f>AA1029+AB1029+AC1029+AD1029+AG1029+AJ1029+AM1029+AP1029+AS1029+AU1029+AX1029+BB1029+BE1029+BG1029+BJ1029+BL1029+BO1029+BR1029+BT1029+BV1029+BX1029+CA1029+CD1029</f>
        <v/>
      </c>
    </row>
    <row r="1030">
      <c r="A1030" s="39" t="n">
        <v>21</v>
      </c>
      <c r="B1030" s="39" t="n">
        <v>19</v>
      </c>
      <c r="C1030" s="39">
        <f>A1030+B1030-1</f>
        <v/>
      </c>
      <c r="D1030" s="39">
        <f>INT((C1030-1)/12)+1</f>
        <v/>
      </c>
      <c r="E1030" s="44">
        <f>INDEX(Monthly!$B$2:$B$61,A1030)</f>
        <v/>
      </c>
      <c r="F1030" s="44">
        <f>E1030*INDEX('Age profile'!$B$2:$B$61,B1030)</f>
        <v/>
      </c>
      <c r="G1030" s="45">
        <f>MIN(in_takeup_cap,INDEX('Age profile'!$N$2:$N$61,B1030)*(1+in_takeup_growth)^(D1030-1))</f>
        <v/>
      </c>
      <c r="H1030" s="11">
        <f>MIN(in_approval_cap,in_approved_first*INDEX('Age profile'!$O$2:$O$61,B1030)*(1+in_approval_growth)^(D1030-1))</f>
        <v/>
      </c>
      <c r="I1030" s="45">
        <f>G1030*MIN(in_takeup_cap,INDEX('Age profile'!$O$2:$O$61,B1030)*(1+in_approval_growth)^(D1030-1))</f>
        <v/>
      </c>
      <c r="J1030" s="40">
        <f>(J1029-L1029)*F1030/F1029</f>
        <v/>
      </c>
      <c r="K1030" s="40">
        <f>(K1029-M1029)*F1030/F1029+SUMIFS(O1012:O1029,B1012:B1029,B1030-1-d_T)*F1030</f>
        <v/>
      </c>
      <c r="L1030" s="40">
        <f>IF(B1030&gt;=in_marketplace_from,J1030*d_hz*G1030*in_eligible*H1030,0)</f>
        <v/>
      </c>
      <c r="M1030" s="40">
        <f>IF(B1030&gt;=in_marketplace_from,K1030*d_hz*G1030*in_eligible*in_approved_repeat,0)</f>
        <v/>
      </c>
      <c r="N1030" s="40">
        <f>L1030+M1030</f>
        <v/>
      </c>
      <c r="O1030" s="46">
        <f>N1030/F1030</f>
        <v/>
      </c>
      <c r="P1030" s="40">
        <f>F1030-J1030-K1030</f>
        <v/>
      </c>
      <c r="Q1030" s="40">
        <f>IF(B1030&gt;=in_marketplace_from,(J1030+K1030)*d_hz*G1030,0)</f>
        <v/>
      </c>
      <c r="R1030" s="40">
        <f>SUMIFS(N1012:N1051,B1012:B1051,"&gt;="&amp;(B1030-d_T),B1012:B1051,"&lt;="&amp;(B1030-1))</f>
        <v/>
      </c>
      <c r="S1030" s="46">
        <f>(1-d_u)*S1029+IF(d_T&gt;in_topup_lag,SUMIFS(O1012:O1051,B1012:B1051,B1030-in_topup_lag)-d_udrop*SUMIFS(O1012:O1051,B1012:B1051,B1030-d_T),0)</f>
        <v/>
      </c>
      <c r="T1030" s="40">
        <f>F1030*d_u*S1030</f>
        <v/>
      </c>
      <c r="U1030" s="9">
        <f>L1030*in_ticket+M1030*d_rep_ticket</f>
        <v/>
      </c>
      <c r="V1030" s="9">
        <f>U1030+T1030*d_topup_amt</f>
        <v/>
      </c>
      <c r="W1030" s="40">
        <f>N1030+T1030*d_topup_ratio</f>
        <v/>
      </c>
      <c r="X1030" s="40">
        <f>SUMIFS(W1012:W1051,B1012:B1051,B1030-in_dpd_lag)*d_cured</f>
        <v/>
      </c>
      <c r="Y1030" s="40">
        <f>SUMIFS(W1012:W1051,B1012:B1051,B1030-in_rec_lag)*d_recd</f>
        <v/>
      </c>
      <c r="Z1030" s="40">
        <f>IF(AND(B1030&gt;=in_marketplace_from,B1030&lt;in_marketplace_from+in_card_months),in_card_share/in_card_months*F1030*I1030,IF(AND(B1030&gt;=in_marketplace_from+in_card_months,B1030&lt;in_marketplace_from+2*in_card_months),in_card_share*d_card_rem/in_card_months*F1030*MIN(in_takeup_cap,(1+in_takeup_growth)^(D1030-1))*MIN(in_takeup_cap,(1+in_approval_growth)^(D1030-1)),0))</f>
        <v/>
      </c>
      <c r="AA1030" s="14">
        <f>V1030*in_fee*(1-in_taken_back)</f>
        <v/>
      </c>
      <c r="AB1030" s="14">
        <f>SUMIFS(W1012:W1051,B1012:B1051,B1030-in_dpd_lag)*d_dpd</f>
        <v/>
      </c>
      <c r="AC1030" s="14">
        <f>SUMIFS(W1012:W1051,B1012:B1051,B1030-in_rec_lag)*d_rec</f>
        <v/>
      </c>
      <c r="AD1030" s="14">
        <f>Z1030*in_card_fee</f>
        <v/>
      </c>
      <c r="AE1030" s="40">
        <f>AE1029*(1-IF(B1029&gt;=in_marketplace_from,d_hz_hlth_small*G1029,0))</f>
        <v/>
      </c>
      <c r="AF1030" s="46">
        <f>AE1030*IF(B1030&gt;=in_marketplace_from,d_hz_hlth_small*G1030,0)</f>
        <v/>
      </c>
      <c r="AG1030" s="14">
        <f>F1030*AF1030*in_hlth_small_ticket*in_hlth_small_comm*in_ins_partner_share+F1030*in_hlth_small_ticket*in_hlth_small_renew_comm*in_ins_partner_share*(in_hlth_small_renew^1*SUMIFS(AF1012:AF1051,B1012:B1051,B1030-12)+in_hlth_small_renew^2*SUMIFS(AF1012:AF1051,B1012:B1051,B1030-24)+in_hlth_small_renew^3*SUMIFS(AF1012:AF1051,B1012:B1051,B1030-36)+in_hlth_small_renew^4*SUMIFS(AF1012:AF1051,B1012:B1051,B1030-48))</f>
        <v/>
      </c>
      <c r="AH1030" s="40">
        <f>AH1029*(1-IF(B1029&gt;=in_marketplace_from,d_hz_hlth_family*G1029,0))</f>
        <v/>
      </c>
      <c r="AI1030" s="46">
        <f>AH1030*IF(B1030&gt;=in_marketplace_from,d_hz_hlth_family*G1030,0)</f>
        <v/>
      </c>
      <c r="AJ1030" s="14">
        <f>F1030*AI1030*in_hlth_family_ticket*in_hlth_family_comm*in_ins_partner_share+F1030*in_hlth_family_ticket*in_hlth_family_renew_comm*in_ins_partner_share*(in_hlth_family_renew^1*SUMIFS(AI1012:AI1051,B1012:B1051,B1030-12)+in_hlth_family_renew^2*SUMIFS(AI1012:AI1051,B1012:B1051,B1030-24)+in_hlth_family_renew^3*SUMIFS(AI1012:AI1051,B1012:B1051,B1030-36)+in_hlth_family_renew^4*SUMIFS(AI1012:AI1051,B1012:B1051,B1030-48))</f>
        <v/>
      </c>
      <c r="AK1030" s="40">
        <f>AK1029*(1-IF(B1029&gt;=in_marketplace_from,d_hz_life_term*G1029,0))</f>
        <v/>
      </c>
      <c r="AL1030" s="46">
        <f>AK1030*IF(B1030&gt;=in_marketplace_from,d_hz_life_term*G1030,0)</f>
        <v/>
      </c>
      <c r="AM1030" s="14">
        <f>F1030*AL1030*in_life_term_ticket*in_life_term_comm*in_ins_partner_share+F1030*in_life_term_ticket*in_life_term_renew_comm*in_ins_partner_share*(in_life_term_renew^1*SUMIFS(AL1012:AL1051,B1012:B1051,B1030-12)+in_life_term_renew^2*SUMIFS(AL1012:AL1051,B1012:B1051,B1030-24)+in_life_term_renew^3*SUMIFS(AL1012:AL1051,B1012:B1051,B1030-36)+in_life_term_renew^4*SUMIFS(AL1012:AL1051,B1012:B1051,B1030-48))</f>
        <v/>
      </c>
      <c r="AN1030" s="40">
        <f>AN1029*(1-IF(B1029&gt;=in_marketplace_from,d_hz_accident*G1029,0))</f>
        <v/>
      </c>
      <c r="AO1030" s="46">
        <f>AN1030*IF(B1030&gt;=in_marketplace_from,d_hz_accident*G1030,0)</f>
        <v/>
      </c>
      <c r="AP1030" s="14">
        <f>F1030*AO1030*in_accident_ticket*in_accident_comm*in_ins_partner_share+F1030*in_accident_ticket*in_accident_renew_comm*in_ins_partner_share*(in_accident_renew^1*SUMIFS(AO1012:AO1051,B1012:B1051,B1030-12)+in_accident_renew^2*SUMIFS(AO1012:AO1051,B1012:B1051,B1030-24)+in_accident_renew^3*SUMIFS(AO1012:AO1051,B1012:B1051,B1030-36)+in_accident_renew^4*SUMIFS(AO1012:AO1051,B1012:B1051,B1030-48))</f>
        <v/>
      </c>
      <c r="AQ1030" s="40">
        <f>AQ1029*(1-IF(B1029&gt;=in_marketplace_from,d_hz_two_wheeler*G1029,0))</f>
        <v/>
      </c>
      <c r="AR1030" s="46">
        <f>AQ1030*IF(B1030&gt;=in_marketplace_from,d_hz_two_wheeler*G1030,0)</f>
        <v/>
      </c>
      <c r="AS1030" s="14">
        <f>F1030*AR1030*in_two_wheeler_ticket*in_two_wheeler_comm*in_ins_partner_share+F1030*in_two_wheeler_ticket*in_two_wheeler_comm*in_ins_partner_share*(in_two_wheeler_renew^1*SUMIFS(AR1012:AR1051,B1012:B1051,B1030-12)+in_two_wheeler_renew^2*SUMIFS(AR1012:AR1051,B1012:B1051,B1030-24)+in_two_wheeler_renew^3*SUMIFS(AR1012:AR1051,B1012:B1051,B1030-36)+in_two_wheeler_renew^4*SUMIFS(AR1012:AR1051,B1012:B1051,B1030-48))</f>
        <v/>
      </c>
      <c r="AT1030" s="40">
        <f>AT1029*(1-IF(B1029&gt;=in_marketplace_from,d_hz_device*G1029,0))</f>
        <v/>
      </c>
      <c r="AU1030" s="14">
        <f>F1030*AT1030*IF(B1030&gt;=in_marketplace_from,d_hz_device*G1030,0)*in_device_ticket*in_device_comm*in_ins_partner_share</f>
        <v/>
      </c>
      <c r="AV1030" s="40">
        <f>AV1029*(1-IF(B1029&gt;=in_marketplace_from,d_hz_shop*G1029,0))</f>
        <v/>
      </c>
      <c r="AW1030" s="46">
        <f>AV1030*IF(B1030&gt;=in_marketplace_from,d_hz_shop*G1030,0)</f>
        <v/>
      </c>
      <c r="AX1030" s="14">
        <f>F1030*AW1030*in_shop_ticket*in_shop_comm*in_ins_partner_share+F1030*in_shop_ticket*in_shop_renew_comm*in_ins_partner_share*(in_shop_renew^1*SUMIFS(AW1012:AW1051,B1012:B1051,B1030-12)+in_shop_renew^2*SUMIFS(AW1012:AW1051,B1012:B1051,B1030-24)+in_shop_renew^3*SUMIFS(AW1012:AW1051,B1012:B1051,B1030-36)+in_shop_renew^4*SUMIFS(AW1012:AW1051,B1012:B1051,B1030-48))</f>
        <v/>
      </c>
      <c r="AY1030" s="40">
        <f>AY1029*(1-IF(B1029&gt;=in_marketplace_from,d_hz_sip*G1029,0))</f>
        <v/>
      </c>
      <c r="AZ1030" s="40">
        <f>AZ1029*d_rho_sip+AY1030*IF(B1030&gt;=in_marketplace_from,d_hz_sip*G1030,0)</f>
        <v/>
      </c>
      <c r="BA1030" s="40">
        <f>d_rho_sip*(BA1029+AZ1029)</f>
        <v/>
      </c>
      <c r="BB1030" s="14">
        <f>F1030*in_sip_ticket*(BA1030+0.5*AZ1030)*in_sip_comm/12</f>
        <v/>
      </c>
      <c r="BC1030" s="40">
        <f>BC1029*(1-IF(B1029&gt;=in_marketplace_from,d_hz_choti*G1029,0))</f>
        <v/>
      </c>
      <c r="BD1030" s="46">
        <f>BC1030*IF(B1030&gt;=in_marketplace_from,d_hz_choti*G1030,0)</f>
        <v/>
      </c>
      <c r="BE1030" s="14">
        <f>F1030*SUMIFS(BD1012:BD1051,B1012:B1051,B1030-in_choti_months)*in_choti_renew*in_choti_ticket</f>
        <v/>
      </c>
      <c r="BF1030" s="40">
        <f>BF1029*(1-IF(B1029&gt;=in_marketplace_from,d_hz_nps*G1029,0))</f>
        <v/>
      </c>
      <c r="BG1030" s="14">
        <f>F1030*BF1030*IF(B1030&gt;=in_marketplace_from,d_hz_nps*G1030,0)*in_nps_ticket*in_nps_comm</f>
        <v/>
      </c>
      <c r="BH1030" s="40">
        <f>BH1029*(1-IF(B1029&gt;=in_marketplace_from,d_hz_gold*G1029,0))</f>
        <v/>
      </c>
      <c r="BI1030" s="40">
        <f>BI1029*d_rho_gold+BH1030*IF(B1030&gt;=in_marketplace_from,d_hz_gold*G1030,0)</f>
        <v/>
      </c>
      <c r="BJ1030" s="14">
        <f>F1030*BI1030*in_gold_ticket*in_gold_comm</f>
        <v/>
      </c>
      <c r="BK1030" s="40">
        <f>BK1029*(1-IF(B1029&gt;=in_marketplace_from,d_hz_fd*G1029,0))</f>
        <v/>
      </c>
      <c r="BL1030" s="14">
        <f>F1030*BK1030*IF(B1030&gt;=in_marketplace_from,d_hz_fd*G1030,0)*in_fd_ticket*in_fd_comm</f>
        <v/>
      </c>
      <c r="BM1030" s="40">
        <f>BM1029*(1-IF(B1029&gt;=in_marketplace_from,d_hz_recharge*G1029,0))</f>
        <v/>
      </c>
      <c r="BN1030" s="40">
        <f>BN1029*d_rho_recharge+BM1030*IF(B1030&gt;=in_marketplace_from,d_hz_recharge*G1030,0)</f>
        <v/>
      </c>
      <c r="BO1030" s="14">
        <f>F1030*BN1030*in_recharge_ticket*in_recharge_comm/12</f>
        <v/>
      </c>
      <c r="BP1030" s="40">
        <f>BP1029*(1-IF(B1029&gt;=in_marketplace_from,d_hz_bills*G1029,0))</f>
        <v/>
      </c>
      <c r="BQ1030" s="40">
        <f>BQ1029*d_rho_bills+BP1030*IF(B1030&gt;=in_marketplace_from,d_hz_bills*G1030,0)</f>
        <v/>
      </c>
      <c r="BR1030" s="14">
        <f>F1030*BQ1030*in_bills_ticket*in_bills_comm/12</f>
        <v/>
      </c>
      <c r="BS1030" s="40">
        <f>BS1029*(1-IF(B1029&gt;=in_marketplace_from,d_hz_loan_gold*G1029,0))</f>
        <v/>
      </c>
      <c r="BT1030" s="14">
        <f>F1030*BS1030*IF(B1030&gt;=in_marketplace_from,d_hz_loan_gold*G1030,0)*in_loan_gold_ticket*in_loan_gold_comm</f>
        <v/>
      </c>
      <c r="BU1030" s="40">
        <f>BU1029*(1-IF(B1029&gt;=in_marketplace_from,d_hz_loan_cd*G1029,0))</f>
        <v/>
      </c>
      <c r="BV1030" s="14">
        <f>F1030*BU1030*IF(B1030&gt;=in_marketplace_from,d_hz_loan_cd*G1030,0)*in_loan_cd_ticket*in_loan_cd_comm</f>
        <v/>
      </c>
      <c r="BW1030" s="40">
        <f>BW1029*(1-IF(B1029&gt;=in_marketplace_from,d_hz_loan_vehicle*G1029,0))</f>
        <v/>
      </c>
      <c r="BX1030" s="14">
        <f>F1030*BW1030*IF(B1030&gt;=in_marketplace_from,d_hz_loan_vehicle*G1030,0)*in_loan_vehicle_ticket*in_loan_vehicle_comm</f>
        <v/>
      </c>
      <c r="BY1030" s="40">
        <f>BY1029*(1-IF(B1029&gt;=in_marketplace_from,d_hz_loan_home*G1029,0)*BZ1029)</f>
        <v/>
      </c>
      <c r="BZ1030" s="11">
        <f>MIN(in_approval_cap,in_loan_home_approval*INDEX('Age profile'!$O$2:$O$61,B1030)*(1+in_approval_growth)^(D1030-1))</f>
        <v/>
      </c>
      <c r="CA1030" s="14">
        <f>F1030*BY1030*IF(B1030&gt;=in_marketplace_from,d_hz_loan_home*G1030,0)*BZ1030*in_loan_home_ticket*in_loan_home_comm</f>
        <v/>
      </c>
      <c r="CB1030" s="40">
        <f>CB1029*(1-IF(B1029&gt;=in_marketplace_from,d_hz_loan_lap*G1029,0)*CC1029)</f>
        <v/>
      </c>
      <c r="CC1030" s="11">
        <f>MIN(in_approval_cap,in_loan_lap_approval*INDEX('Age profile'!$O$2:$O$61,B1030)*(1+in_approval_growth)^(D1030-1))</f>
        <v/>
      </c>
      <c r="CD1030" s="14">
        <f>F1030*CB1030*IF(B1030&gt;=in_marketplace_from,d_hz_loan_lap*G1030,0)*CC1030*in_loan_lap_ticket*in_loan_lap_comm</f>
        <v/>
      </c>
      <c r="CE1030" s="14">
        <f>AA1030+AB1030+AC1030+AD1030+AG1030+AJ1030+AM1030+AP1030+AS1030+AU1030+AX1030+BB1030+BE1030+BG1030+BJ1030+BL1030+BO1030+BR1030+BT1030+BV1030+BX1030+CA1030+CD1030</f>
        <v/>
      </c>
    </row>
    <row r="1031">
      <c r="A1031" s="39" t="n">
        <v>21</v>
      </c>
      <c r="B1031" s="39" t="n">
        <v>20</v>
      </c>
      <c r="C1031" s="39">
        <f>A1031+B1031-1</f>
        <v/>
      </c>
      <c r="D1031" s="39">
        <f>INT((C1031-1)/12)+1</f>
        <v/>
      </c>
      <c r="E1031" s="44">
        <f>INDEX(Monthly!$B$2:$B$61,A1031)</f>
        <v/>
      </c>
      <c r="F1031" s="44">
        <f>E1031*INDEX('Age profile'!$B$2:$B$61,B1031)</f>
        <v/>
      </c>
      <c r="G1031" s="45">
        <f>MIN(in_takeup_cap,INDEX('Age profile'!$N$2:$N$61,B1031)*(1+in_takeup_growth)^(D1031-1))</f>
        <v/>
      </c>
      <c r="H1031" s="11">
        <f>MIN(in_approval_cap,in_approved_first*INDEX('Age profile'!$O$2:$O$61,B1031)*(1+in_approval_growth)^(D1031-1))</f>
        <v/>
      </c>
      <c r="I1031" s="45">
        <f>G1031*MIN(in_takeup_cap,INDEX('Age profile'!$O$2:$O$61,B1031)*(1+in_approval_growth)^(D1031-1))</f>
        <v/>
      </c>
      <c r="J1031" s="40">
        <f>(J1030-L1030)*F1031/F1030</f>
        <v/>
      </c>
      <c r="K1031" s="40">
        <f>(K1030-M1030)*F1031/F1030+SUMIFS(O1012:O1030,B1012:B1030,B1031-1-d_T)*F1031</f>
        <v/>
      </c>
      <c r="L1031" s="40">
        <f>IF(B1031&gt;=in_marketplace_from,J1031*d_hz*G1031*in_eligible*H1031,0)</f>
        <v/>
      </c>
      <c r="M1031" s="40">
        <f>IF(B1031&gt;=in_marketplace_from,K1031*d_hz*G1031*in_eligible*in_approved_repeat,0)</f>
        <v/>
      </c>
      <c r="N1031" s="40">
        <f>L1031+M1031</f>
        <v/>
      </c>
      <c r="O1031" s="46">
        <f>N1031/F1031</f>
        <v/>
      </c>
      <c r="P1031" s="40">
        <f>F1031-J1031-K1031</f>
        <v/>
      </c>
      <c r="Q1031" s="40">
        <f>IF(B1031&gt;=in_marketplace_from,(J1031+K1031)*d_hz*G1031,0)</f>
        <v/>
      </c>
      <c r="R1031" s="40">
        <f>SUMIFS(N1012:N1051,B1012:B1051,"&gt;="&amp;(B1031-d_T),B1012:B1051,"&lt;="&amp;(B1031-1))</f>
        <v/>
      </c>
      <c r="S1031" s="46">
        <f>(1-d_u)*S1030+IF(d_T&gt;in_topup_lag,SUMIFS(O1012:O1051,B1012:B1051,B1031-in_topup_lag)-d_udrop*SUMIFS(O1012:O1051,B1012:B1051,B1031-d_T),0)</f>
        <v/>
      </c>
      <c r="T1031" s="40">
        <f>F1031*d_u*S1031</f>
        <v/>
      </c>
      <c r="U1031" s="9">
        <f>L1031*in_ticket+M1031*d_rep_ticket</f>
        <v/>
      </c>
      <c r="V1031" s="9">
        <f>U1031+T1031*d_topup_amt</f>
        <v/>
      </c>
      <c r="W1031" s="40">
        <f>N1031+T1031*d_topup_ratio</f>
        <v/>
      </c>
      <c r="X1031" s="40">
        <f>SUMIFS(W1012:W1051,B1012:B1051,B1031-in_dpd_lag)*d_cured</f>
        <v/>
      </c>
      <c r="Y1031" s="40">
        <f>SUMIFS(W1012:W1051,B1012:B1051,B1031-in_rec_lag)*d_recd</f>
        <v/>
      </c>
      <c r="Z1031" s="40">
        <f>IF(AND(B1031&gt;=in_marketplace_from,B1031&lt;in_marketplace_from+in_card_months),in_card_share/in_card_months*F1031*I1031,IF(AND(B1031&gt;=in_marketplace_from+in_card_months,B1031&lt;in_marketplace_from+2*in_card_months),in_card_share*d_card_rem/in_card_months*F1031*MIN(in_takeup_cap,(1+in_takeup_growth)^(D1031-1))*MIN(in_takeup_cap,(1+in_approval_growth)^(D1031-1)),0))</f>
        <v/>
      </c>
      <c r="AA1031" s="14">
        <f>V1031*in_fee*(1-in_taken_back)</f>
        <v/>
      </c>
      <c r="AB1031" s="14">
        <f>SUMIFS(W1012:W1051,B1012:B1051,B1031-in_dpd_lag)*d_dpd</f>
        <v/>
      </c>
      <c r="AC1031" s="14">
        <f>SUMIFS(W1012:W1051,B1012:B1051,B1031-in_rec_lag)*d_rec</f>
        <v/>
      </c>
      <c r="AD1031" s="14">
        <f>Z1031*in_card_fee</f>
        <v/>
      </c>
      <c r="AE1031" s="40">
        <f>AE1030*(1-IF(B1030&gt;=in_marketplace_from,d_hz_hlth_small*G1030,0))</f>
        <v/>
      </c>
      <c r="AF1031" s="46">
        <f>AE1031*IF(B1031&gt;=in_marketplace_from,d_hz_hlth_small*G1031,0)</f>
        <v/>
      </c>
      <c r="AG1031" s="14">
        <f>F1031*AF1031*in_hlth_small_ticket*in_hlth_small_comm*in_ins_partner_share+F1031*in_hlth_small_ticket*in_hlth_small_renew_comm*in_ins_partner_share*(in_hlth_small_renew^1*SUMIFS(AF1012:AF1051,B1012:B1051,B1031-12)+in_hlth_small_renew^2*SUMIFS(AF1012:AF1051,B1012:B1051,B1031-24)+in_hlth_small_renew^3*SUMIFS(AF1012:AF1051,B1012:B1051,B1031-36)+in_hlth_small_renew^4*SUMIFS(AF1012:AF1051,B1012:B1051,B1031-48))</f>
        <v/>
      </c>
      <c r="AH1031" s="40">
        <f>AH1030*(1-IF(B1030&gt;=in_marketplace_from,d_hz_hlth_family*G1030,0))</f>
        <v/>
      </c>
      <c r="AI1031" s="46">
        <f>AH1031*IF(B1031&gt;=in_marketplace_from,d_hz_hlth_family*G1031,0)</f>
        <v/>
      </c>
      <c r="AJ1031" s="14">
        <f>F1031*AI1031*in_hlth_family_ticket*in_hlth_family_comm*in_ins_partner_share+F1031*in_hlth_family_ticket*in_hlth_family_renew_comm*in_ins_partner_share*(in_hlth_family_renew^1*SUMIFS(AI1012:AI1051,B1012:B1051,B1031-12)+in_hlth_family_renew^2*SUMIFS(AI1012:AI1051,B1012:B1051,B1031-24)+in_hlth_family_renew^3*SUMIFS(AI1012:AI1051,B1012:B1051,B1031-36)+in_hlth_family_renew^4*SUMIFS(AI1012:AI1051,B1012:B1051,B1031-48))</f>
        <v/>
      </c>
      <c r="AK1031" s="40">
        <f>AK1030*(1-IF(B1030&gt;=in_marketplace_from,d_hz_life_term*G1030,0))</f>
        <v/>
      </c>
      <c r="AL1031" s="46">
        <f>AK1031*IF(B1031&gt;=in_marketplace_from,d_hz_life_term*G1031,0)</f>
        <v/>
      </c>
      <c r="AM1031" s="14">
        <f>F1031*AL1031*in_life_term_ticket*in_life_term_comm*in_ins_partner_share+F1031*in_life_term_ticket*in_life_term_renew_comm*in_ins_partner_share*(in_life_term_renew^1*SUMIFS(AL1012:AL1051,B1012:B1051,B1031-12)+in_life_term_renew^2*SUMIFS(AL1012:AL1051,B1012:B1051,B1031-24)+in_life_term_renew^3*SUMIFS(AL1012:AL1051,B1012:B1051,B1031-36)+in_life_term_renew^4*SUMIFS(AL1012:AL1051,B1012:B1051,B1031-48))</f>
        <v/>
      </c>
      <c r="AN1031" s="40">
        <f>AN1030*(1-IF(B1030&gt;=in_marketplace_from,d_hz_accident*G1030,0))</f>
        <v/>
      </c>
      <c r="AO1031" s="46">
        <f>AN1031*IF(B1031&gt;=in_marketplace_from,d_hz_accident*G1031,0)</f>
        <v/>
      </c>
      <c r="AP1031" s="14">
        <f>F1031*AO1031*in_accident_ticket*in_accident_comm*in_ins_partner_share+F1031*in_accident_ticket*in_accident_renew_comm*in_ins_partner_share*(in_accident_renew^1*SUMIFS(AO1012:AO1051,B1012:B1051,B1031-12)+in_accident_renew^2*SUMIFS(AO1012:AO1051,B1012:B1051,B1031-24)+in_accident_renew^3*SUMIFS(AO1012:AO1051,B1012:B1051,B1031-36)+in_accident_renew^4*SUMIFS(AO1012:AO1051,B1012:B1051,B1031-48))</f>
        <v/>
      </c>
      <c r="AQ1031" s="40">
        <f>AQ1030*(1-IF(B1030&gt;=in_marketplace_from,d_hz_two_wheeler*G1030,0))</f>
        <v/>
      </c>
      <c r="AR1031" s="46">
        <f>AQ1031*IF(B1031&gt;=in_marketplace_from,d_hz_two_wheeler*G1031,0)</f>
        <v/>
      </c>
      <c r="AS1031" s="14">
        <f>F1031*AR1031*in_two_wheeler_ticket*in_two_wheeler_comm*in_ins_partner_share+F1031*in_two_wheeler_ticket*in_two_wheeler_comm*in_ins_partner_share*(in_two_wheeler_renew^1*SUMIFS(AR1012:AR1051,B1012:B1051,B1031-12)+in_two_wheeler_renew^2*SUMIFS(AR1012:AR1051,B1012:B1051,B1031-24)+in_two_wheeler_renew^3*SUMIFS(AR1012:AR1051,B1012:B1051,B1031-36)+in_two_wheeler_renew^4*SUMIFS(AR1012:AR1051,B1012:B1051,B1031-48))</f>
        <v/>
      </c>
      <c r="AT1031" s="40">
        <f>AT1030*(1-IF(B1030&gt;=in_marketplace_from,d_hz_device*G1030,0))</f>
        <v/>
      </c>
      <c r="AU1031" s="14">
        <f>F1031*AT1031*IF(B1031&gt;=in_marketplace_from,d_hz_device*G1031,0)*in_device_ticket*in_device_comm*in_ins_partner_share</f>
        <v/>
      </c>
      <c r="AV1031" s="40">
        <f>AV1030*(1-IF(B1030&gt;=in_marketplace_from,d_hz_shop*G1030,0))</f>
        <v/>
      </c>
      <c r="AW1031" s="46">
        <f>AV1031*IF(B1031&gt;=in_marketplace_from,d_hz_shop*G1031,0)</f>
        <v/>
      </c>
      <c r="AX1031" s="14">
        <f>F1031*AW1031*in_shop_ticket*in_shop_comm*in_ins_partner_share+F1031*in_shop_ticket*in_shop_renew_comm*in_ins_partner_share*(in_shop_renew^1*SUMIFS(AW1012:AW1051,B1012:B1051,B1031-12)+in_shop_renew^2*SUMIFS(AW1012:AW1051,B1012:B1051,B1031-24)+in_shop_renew^3*SUMIFS(AW1012:AW1051,B1012:B1051,B1031-36)+in_shop_renew^4*SUMIFS(AW1012:AW1051,B1012:B1051,B1031-48))</f>
        <v/>
      </c>
      <c r="AY1031" s="40">
        <f>AY1030*(1-IF(B1030&gt;=in_marketplace_from,d_hz_sip*G1030,0))</f>
        <v/>
      </c>
      <c r="AZ1031" s="40">
        <f>AZ1030*d_rho_sip+AY1031*IF(B1031&gt;=in_marketplace_from,d_hz_sip*G1031,0)</f>
        <v/>
      </c>
      <c r="BA1031" s="40">
        <f>d_rho_sip*(BA1030+AZ1030)</f>
        <v/>
      </c>
      <c r="BB1031" s="14">
        <f>F1031*in_sip_ticket*(BA1031+0.5*AZ1031)*in_sip_comm/12</f>
        <v/>
      </c>
      <c r="BC1031" s="40">
        <f>BC1030*(1-IF(B1030&gt;=in_marketplace_from,d_hz_choti*G1030,0))</f>
        <v/>
      </c>
      <c r="BD1031" s="46">
        <f>BC1031*IF(B1031&gt;=in_marketplace_from,d_hz_choti*G1031,0)</f>
        <v/>
      </c>
      <c r="BE1031" s="14">
        <f>F1031*SUMIFS(BD1012:BD1051,B1012:B1051,B1031-in_choti_months)*in_choti_renew*in_choti_ticket</f>
        <v/>
      </c>
      <c r="BF1031" s="40">
        <f>BF1030*(1-IF(B1030&gt;=in_marketplace_from,d_hz_nps*G1030,0))</f>
        <v/>
      </c>
      <c r="BG1031" s="14">
        <f>F1031*BF1031*IF(B1031&gt;=in_marketplace_from,d_hz_nps*G1031,0)*in_nps_ticket*in_nps_comm</f>
        <v/>
      </c>
      <c r="BH1031" s="40">
        <f>BH1030*(1-IF(B1030&gt;=in_marketplace_from,d_hz_gold*G1030,0))</f>
        <v/>
      </c>
      <c r="BI1031" s="40">
        <f>BI1030*d_rho_gold+BH1031*IF(B1031&gt;=in_marketplace_from,d_hz_gold*G1031,0)</f>
        <v/>
      </c>
      <c r="BJ1031" s="14">
        <f>F1031*BI1031*in_gold_ticket*in_gold_comm</f>
        <v/>
      </c>
      <c r="BK1031" s="40">
        <f>BK1030*(1-IF(B1030&gt;=in_marketplace_from,d_hz_fd*G1030,0))</f>
        <v/>
      </c>
      <c r="BL1031" s="14">
        <f>F1031*BK1031*IF(B1031&gt;=in_marketplace_from,d_hz_fd*G1031,0)*in_fd_ticket*in_fd_comm</f>
        <v/>
      </c>
      <c r="BM1031" s="40">
        <f>BM1030*(1-IF(B1030&gt;=in_marketplace_from,d_hz_recharge*G1030,0))</f>
        <v/>
      </c>
      <c r="BN1031" s="40">
        <f>BN1030*d_rho_recharge+BM1031*IF(B1031&gt;=in_marketplace_from,d_hz_recharge*G1031,0)</f>
        <v/>
      </c>
      <c r="BO1031" s="14">
        <f>F1031*BN1031*in_recharge_ticket*in_recharge_comm/12</f>
        <v/>
      </c>
      <c r="BP1031" s="40">
        <f>BP1030*(1-IF(B1030&gt;=in_marketplace_from,d_hz_bills*G1030,0))</f>
        <v/>
      </c>
      <c r="BQ1031" s="40">
        <f>BQ1030*d_rho_bills+BP1031*IF(B1031&gt;=in_marketplace_from,d_hz_bills*G1031,0)</f>
        <v/>
      </c>
      <c r="BR1031" s="14">
        <f>F1031*BQ1031*in_bills_ticket*in_bills_comm/12</f>
        <v/>
      </c>
      <c r="BS1031" s="40">
        <f>BS1030*(1-IF(B1030&gt;=in_marketplace_from,d_hz_loan_gold*G1030,0))</f>
        <v/>
      </c>
      <c r="BT1031" s="14">
        <f>F1031*BS1031*IF(B1031&gt;=in_marketplace_from,d_hz_loan_gold*G1031,0)*in_loan_gold_ticket*in_loan_gold_comm</f>
        <v/>
      </c>
      <c r="BU1031" s="40">
        <f>BU1030*(1-IF(B1030&gt;=in_marketplace_from,d_hz_loan_cd*G1030,0))</f>
        <v/>
      </c>
      <c r="BV1031" s="14">
        <f>F1031*BU1031*IF(B1031&gt;=in_marketplace_from,d_hz_loan_cd*G1031,0)*in_loan_cd_ticket*in_loan_cd_comm</f>
        <v/>
      </c>
      <c r="BW1031" s="40">
        <f>BW1030*(1-IF(B1030&gt;=in_marketplace_from,d_hz_loan_vehicle*G1030,0))</f>
        <v/>
      </c>
      <c r="BX1031" s="14">
        <f>F1031*BW1031*IF(B1031&gt;=in_marketplace_from,d_hz_loan_vehicle*G1031,0)*in_loan_vehicle_ticket*in_loan_vehicle_comm</f>
        <v/>
      </c>
      <c r="BY1031" s="40">
        <f>BY1030*(1-IF(B1030&gt;=in_marketplace_from,d_hz_loan_home*G1030,0)*BZ1030)</f>
        <v/>
      </c>
      <c r="BZ1031" s="11">
        <f>MIN(in_approval_cap,in_loan_home_approval*INDEX('Age profile'!$O$2:$O$61,B1031)*(1+in_approval_growth)^(D1031-1))</f>
        <v/>
      </c>
      <c r="CA1031" s="14">
        <f>F1031*BY1031*IF(B1031&gt;=in_marketplace_from,d_hz_loan_home*G1031,0)*BZ1031*in_loan_home_ticket*in_loan_home_comm</f>
        <v/>
      </c>
      <c r="CB1031" s="40">
        <f>CB1030*(1-IF(B1030&gt;=in_marketplace_from,d_hz_loan_lap*G1030,0)*CC1030)</f>
        <v/>
      </c>
      <c r="CC1031" s="11">
        <f>MIN(in_approval_cap,in_loan_lap_approval*INDEX('Age profile'!$O$2:$O$61,B1031)*(1+in_approval_growth)^(D1031-1))</f>
        <v/>
      </c>
      <c r="CD1031" s="14">
        <f>F1031*CB1031*IF(B1031&gt;=in_marketplace_from,d_hz_loan_lap*G1031,0)*CC1031*in_loan_lap_ticket*in_loan_lap_comm</f>
        <v/>
      </c>
      <c r="CE1031" s="14">
        <f>AA1031+AB1031+AC1031+AD1031+AG1031+AJ1031+AM1031+AP1031+AS1031+AU1031+AX1031+BB1031+BE1031+BG1031+BJ1031+BL1031+BO1031+BR1031+BT1031+BV1031+BX1031+CA1031+CD1031</f>
        <v/>
      </c>
    </row>
    <row r="1032">
      <c r="A1032" s="39" t="n">
        <v>21</v>
      </c>
      <c r="B1032" s="39" t="n">
        <v>21</v>
      </c>
      <c r="C1032" s="39">
        <f>A1032+B1032-1</f>
        <v/>
      </c>
      <c r="D1032" s="39">
        <f>INT((C1032-1)/12)+1</f>
        <v/>
      </c>
      <c r="E1032" s="44">
        <f>INDEX(Monthly!$B$2:$B$61,A1032)</f>
        <v/>
      </c>
      <c r="F1032" s="44">
        <f>E1032*INDEX('Age profile'!$B$2:$B$61,B1032)</f>
        <v/>
      </c>
      <c r="G1032" s="45">
        <f>MIN(in_takeup_cap,INDEX('Age profile'!$N$2:$N$61,B1032)*(1+in_takeup_growth)^(D1032-1))</f>
        <v/>
      </c>
      <c r="H1032" s="11">
        <f>MIN(in_approval_cap,in_approved_first*INDEX('Age profile'!$O$2:$O$61,B1032)*(1+in_approval_growth)^(D1032-1))</f>
        <v/>
      </c>
      <c r="I1032" s="45">
        <f>G1032*MIN(in_takeup_cap,INDEX('Age profile'!$O$2:$O$61,B1032)*(1+in_approval_growth)^(D1032-1))</f>
        <v/>
      </c>
      <c r="J1032" s="40">
        <f>(J1031-L1031)*F1032/F1031</f>
        <v/>
      </c>
      <c r="K1032" s="40">
        <f>(K1031-M1031)*F1032/F1031+SUMIFS(O1012:O1031,B1012:B1031,B1032-1-d_T)*F1032</f>
        <v/>
      </c>
      <c r="L1032" s="40">
        <f>IF(B1032&gt;=in_marketplace_from,J1032*d_hz*G1032*in_eligible*H1032,0)</f>
        <v/>
      </c>
      <c r="M1032" s="40">
        <f>IF(B1032&gt;=in_marketplace_from,K1032*d_hz*G1032*in_eligible*in_approved_repeat,0)</f>
        <v/>
      </c>
      <c r="N1032" s="40">
        <f>L1032+M1032</f>
        <v/>
      </c>
      <c r="O1032" s="46">
        <f>N1032/F1032</f>
        <v/>
      </c>
      <c r="P1032" s="40">
        <f>F1032-J1032-K1032</f>
        <v/>
      </c>
      <c r="Q1032" s="40">
        <f>IF(B1032&gt;=in_marketplace_from,(J1032+K1032)*d_hz*G1032,0)</f>
        <v/>
      </c>
      <c r="R1032" s="40">
        <f>SUMIFS(N1012:N1051,B1012:B1051,"&gt;="&amp;(B1032-d_T),B1012:B1051,"&lt;="&amp;(B1032-1))</f>
        <v/>
      </c>
      <c r="S1032" s="46">
        <f>(1-d_u)*S1031+IF(d_T&gt;in_topup_lag,SUMIFS(O1012:O1051,B1012:B1051,B1032-in_topup_lag)-d_udrop*SUMIFS(O1012:O1051,B1012:B1051,B1032-d_T),0)</f>
        <v/>
      </c>
      <c r="T1032" s="40">
        <f>F1032*d_u*S1032</f>
        <v/>
      </c>
      <c r="U1032" s="9">
        <f>L1032*in_ticket+M1032*d_rep_ticket</f>
        <v/>
      </c>
      <c r="V1032" s="9">
        <f>U1032+T1032*d_topup_amt</f>
        <v/>
      </c>
      <c r="W1032" s="40">
        <f>N1032+T1032*d_topup_ratio</f>
        <v/>
      </c>
      <c r="X1032" s="40">
        <f>SUMIFS(W1012:W1051,B1012:B1051,B1032-in_dpd_lag)*d_cured</f>
        <v/>
      </c>
      <c r="Y1032" s="40">
        <f>SUMIFS(W1012:W1051,B1012:B1051,B1032-in_rec_lag)*d_recd</f>
        <v/>
      </c>
      <c r="Z1032" s="40">
        <f>IF(AND(B1032&gt;=in_marketplace_from,B1032&lt;in_marketplace_from+in_card_months),in_card_share/in_card_months*F1032*I1032,IF(AND(B1032&gt;=in_marketplace_from+in_card_months,B1032&lt;in_marketplace_from+2*in_card_months),in_card_share*d_card_rem/in_card_months*F1032*MIN(in_takeup_cap,(1+in_takeup_growth)^(D1032-1))*MIN(in_takeup_cap,(1+in_approval_growth)^(D1032-1)),0))</f>
        <v/>
      </c>
      <c r="AA1032" s="14">
        <f>V1032*in_fee*(1-in_taken_back)</f>
        <v/>
      </c>
      <c r="AB1032" s="14">
        <f>SUMIFS(W1012:W1051,B1012:B1051,B1032-in_dpd_lag)*d_dpd</f>
        <v/>
      </c>
      <c r="AC1032" s="14">
        <f>SUMIFS(W1012:W1051,B1012:B1051,B1032-in_rec_lag)*d_rec</f>
        <v/>
      </c>
      <c r="AD1032" s="14">
        <f>Z1032*in_card_fee</f>
        <v/>
      </c>
      <c r="AE1032" s="40">
        <f>AE1031*(1-IF(B1031&gt;=in_marketplace_from,d_hz_hlth_small*G1031,0))</f>
        <v/>
      </c>
      <c r="AF1032" s="46">
        <f>AE1032*IF(B1032&gt;=in_marketplace_from,d_hz_hlth_small*G1032,0)</f>
        <v/>
      </c>
      <c r="AG1032" s="14">
        <f>F1032*AF1032*in_hlth_small_ticket*in_hlth_small_comm*in_ins_partner_share+F1032*in_hlth_small_ticket*in_hlth_small_renew_comm*in_ins_partner_share*(in_hlth_small_renew^1*SUMIFS(AF1012:AF1051,B1012:B1051,B1032-12)+in_hlth_small_renew^2*SUMIFS(AF1012:AF1051,B1012:B1051,B1032-24)+in_hlth_small_renew^3*SUMIFS(AF1012:AF1051,B1012:B1051,B1032-36)+in_hlth_small_renew^4*SUMIFS(AF1012:AF1051,B1012:B1051,B1032-48))</f>
        <v/>
      </c>
      <c r="AH1032" s="40">
        <f>AH1031*(1-IF(B1031&gt;=in_marketplace_from,d_hz_hlth_family*G1031,0))</f>
        <v/>
      </c>
      <c r="AI1032" s="46">
        <f>AH1032*IF(B1032&gt;=in_marketplace_from,d_hz_hlth_family*G1032,0)</f>
        <v/>
      </c>
      <c r="AJ1032" s="14">
        <f>F1032*AI1032*in_hlth_family_ticket*in_hlth_family_comm*in_ins_partner_share+F1032*in_hlth_family_ticket*in_hlth_family_renew_comm*in_ins_partner_share*(in_hlth_family_renew^1*SUMIFS(AI1012:AI1051,B1012:B1051,B1032-12)+in_hlth_family_renew^2*SUMIFS(AI1012:AI1051,B1012:B1051,B1032-24)+in_hlth_family_renew^3*SUMIFS(AI1012:AI1051,B1012:B1051,B1032-36)+in_hlth_family_renew^4*SUMIFS(AI1012:AI1051,B1012:B1051,B1032-48))</f>
        <v/>
      </c>
      <c r="AK1032" s="40">
        <f>AK1031*(1-IF(B1031&gt;=in_marketplace_from,d_hz_life_term*G1031,0))</f>
        <v/>
      </c>
      <c r="AL1032" s="46">
        <f>AK1032*IF(B1032&gt;=in_marketplace_from,d_hz_life_term*G1032,0)</f>
        <v/>
      </c>
      <c r="AM1032" s="14">
        <f>F1032*AL1032*in_life_term_ticket*in_life_term_comm*in_ins_partner_share+F1032*in_life_term_ticket*in_life_term_renew_comm*in_ins_partner_share*(in_life_term_renew^1*SUMIFS(AL1012:AL1051,B1012:B1051,B1032-12)+in_life_term_renew^2*SUMIFS(AL1012:AL1051,B1012:B1051,B1032-24)+in_life_term_renew^3*SUMIFS(AL1012:AL1051,B1012:B1051,B1032-36)+in_life_term_renew^4*SUMIFS(AL1012:AL1051,B1012:B1051,B1032-48))</f>
        <v/>
      </c>
      <c r="AN1032" s="40">
        <f>AN1031*(1-IF(B1031&gt;=in_marketplace_from,d_hz_accident*G1031,0))</f>
        <v/>
      </c>
      <c r="AO1032" s="46">
        <f>AN1032*IF(B1032&gt;=in_marketplace_from,d_hz_accident*G1032,0)</f>
        <v/>
      </c>
      <c r="AP1032" s="14">
        <f>F1032*AO1032*in_accident_ticket*in_accident_comm*in_ins_partner_share+F1032*in_accident_ticket*in_accident_renew_comm*in_ins_partner_share*(in_accident_renew^1*SUMIFS(AO1012:AO1051,B1012:B1051,B1032-12)+in_accident_renew^2*SUMIFS(AO1012:AO1051,B1012:B1051,B1032-24)+in_accident_renew^3*SUMIFS(AO1012:AO1051,B1012:B1051,B1032-36)+in_accident_renew^4*SUMIFS(AO1012:AO1051,B1012:B1051,B1032-48))</f>
        <v/>
      </c>
      <c r="AQ1032" s="40">
        <f>AQ1031*(1-IF(B1031&gt;=in_marketplace_from,d_hz_two_wheeler*G1031,0))</f>
        <v/>
      </c>
      <c r="AR1032" s="46">
        <f>AQ1032*IF(B1032&gt;=in_marketplace_from,d_hz_two_wheeler*G1032,0)</f>
        <v/>
      </c>
      <c r="AS1032" s="14">
        <f>F1032*AR1032*in_two_wheeler_ticket*in_two_wheeler_comm*in_ins_partner_share+F1032*in_two_wheeler_ticket*in_two_wheeler_comm*in_ins_partner_share*(in_two_wheeler_renew^1*SUMIFS(AR1012:AR1051,B1012:B1051,B1032-12)+in_two_wheeler_renew^2*SUMIFS(AR1012:AR1051,B1012:B1051,B1032-24)+in_two_wheeler_renew^3*SUMIFS(AR1012:AR1051,B1012:B1051,B1032-36)+in_two_wheeler_renew^4*SUMIFS(AR1012:AR1051,B1012:B1051,B1032-48))</f>
        <v/>
      </c>
      <c r="AT1032" s="40">
        <f>AT1031*(1-IF(B1031&gt;=in_marketplace_from,d_hz_device*G1031,0))</f>
        <v/>
      </c>
      <c r="AU1032" s="14">
        <f>F1032*AT1032*IF(B1032&gt;=in_marketplace_from,d_hz_device*G1032,0)*in_device_ticket*in_device_comm*in_ins_partner_share</f>
        <v/>
      </c>
      <c r="AV1032" s="40">
        <f>AV1031*(1-IF(B1031&gt;=in_marketplace_from,d_hz_shop*G1031,0))</f>
        <v/>
      </c>
      <c r="AW1032" s="46">
        <f>AV1032*IF(B1032&gt;=in_marketplace_from,d_hz_shop*G1032,0)</f>
        <v/>
      </c>
      <c r="AX1032" s="14">
        <f>F1032*AW1032*in_shop_ticket*in_shop_comm*in_ins_partner_share+F1032*in_shop_ticket*in_shop_renew_comm*in_ins_partner_share*(in_shop_renew^1*SUMIFS(AW1012:AW1051,B1012:B1051,B1032-12)+in_shop_renew^2*SUMIFS(AW1012:AW1051,B1012:B1051,B1032-24)+in_shop_renew^3*SUMIFS(AW1012:AW1051,B1012:B1051,B1032-36)+in_shop_renew^4*SUMIFS(AW1012:AW1051,B1012:B1051,B1032-48))</f>
        <v/>
      </c>
      <c r="AY1032" s="40">
        <f>AY1031*(1-IF(B1031&gt;=in_marketplace_from,d_hz_sip*G1031,0))</f>
        <v/>
      </c>
      <c r="AZ1032" s="40">
        <f>AZ1031*d_rho_sip+AY1032*IF(B1032&gt;=in_marketplace_from,d_hz_sip*G1032,0)</f>
        <v/>
      </c>
      <c r="BA1032" s="40">
        <f>d_rho_sip*(BA1031+AZ1031)</f>
        <v/>
      </c>
      <c r="BB1032" s="14">
        <f>F1032*in_sip_ticket*(BA1032+0.5*AZ1032)*in_sip_comm/12</f>
        <v/>
      </c>
      <c r="BC1032" s="40">
        <f>BC1031*(1-IF(B1031&gt;=in_marketplace_from,d_hz_choti*G1031,0))</f>
        <v/>
      </c>
      <c r="BD1032" s="46">
        <f>BC1032*IF(B1032&gt;=in_marketplace_from,d_hz_choti*G1032,0)</f>
        <v/>
      </c>
      <c r="BE1032" s="14">
        <f>F1032*SUMIFS(BD1012:BD1051,B1012:B1051,B1032-in_choti_months)*in_choti_renew*in_choti_ticket</f>
        <v/>
      </c>
      <c r="BF1032" s="40">
        <f>BF1031*(1-IF(B1031&gt;=in_marketplace_from,d_hz_nps*G1031,0))</f>
        <v/>
      </c>
      <c r="BG1032" s="14">
        <f>F1032*BF1032*IF(B1032&gt;=in_marketplace_from,d_hz_nps*G1032,0)*in_nps_ticket*in_nps_comm</f>
        <v/>
      </c>
      <c r="BH1032" s="40">
        <f>BH1031*(1-IF(B1031&gt;=in_marketplace_from,d_hz_gold*G1031,0))</f>
        <v/>
      </c>
      <c r="BI1032" s="40">
        <f>BI1031*d_rho_gold+BH1032*IF(B1032&gt;=in_marketplace_from,d_hz_gold*G1032,0)</f>
        <v/>
      </c>
      <c r="BJ1032" s="14">
        <f>F1032*BI1032*in_gold_ticket*in_gold_comm</f>
        <v/>
      </c>
      <c r="BK1032" s="40">
        <f>BK1031*(1-IF(B1031&gt;=in_marketplace_from,d_hz_fd*G1031,0))</f>
        <v/>
      </c>
      <c r="BL1032" s="14">
        <f>F1032*BK1032*IF(B1032&gt;=in_marketplace_from,d_hz_fd*G1032,0)*in_fd_ticket*in_fd_comm</f>
        <v/>
      </c>
      <c r="BM1032" s="40">
        <f>BM1031*(1-IF(B1031&gt;=in_marketplace_from,d_hz_recharge*G1031,0))</f>
        <v/>
      </c>
      <c r="BN1032" s="40">
        <f>BN1031*d_rho_recharge+BM1032*IF(B1032&gt;=in_marketplace_from,d_hz_recharge*G1032,0)</f>
        <v/>
      </c>
      <c r="BO1032" s="14">
        <f>F1032*BN1032*in_recharge_ticket*in_recharge_comm/12</f>
        <v/>
      </c>
      <c r="BP1032" s="40">
        <f>BP1031*(1-IF(B1031&gt;=in_marketplace_from,d_hz_bills*G1031,0))</f>
        <v/>
      </c>
      <c r="BQ1032" s="40">
        <f>BQ1031*d_rho_bills+BP1032*IF(B1032&gt;=in_marketplace_from,d_hz_bills*G1032,0)</f>
        <v/>
      </c>
      <c r="BR1032" s="14">
        <f>F1032*BQ1032*in_bills_ticket*in_bills_comm/12</f>
        <v/>
      </c>
      <c r="BS1032" s="40">
        <f>BS1031*(1-IF(B1031&gt;=in_marketplace_from,d_hz_loan_gold*G1031,0))</f>
        <v/>
      </c>
      <c r="BT1032" s="14">
        <f>F1032*BS1032*IF(B1032&gt;=in_marketplace_from,d_hz_loan_gold*G1032,0)*in_loan_gold_ticket*in_loan_gold_comm</f>
        <v/>
      </c>
      <c r="BU1032" s="40">
        <f>BU1031*(1-IF(B1031&gt;=in_marketplace_from,d_hz_loan_cd*G1031,0))</f>
        <v/>
      </c>
      <c r="BV1032" s="14">
        <f>F1032*BU1032*IF(B1032&gt;=in_marketplace_from,d_hz_loan_cd*G1032,0)*in_loan_cd_ticket*in_loan_cd_comm</f>
        <v/>
      </c>
      <c r="BW1032" s="40">
        <f>BW1031*(1-IF(B1031&gt;=in_marketplace_from,d_hz_loan_vehicle*G1031,0))</f>
        <v/>
      </c>
      <c r="BX1032" s="14">
        <f>F1032*BW1032*IF(B1032&gt;=in_marketplace_from,d_hz_loan_vehicle*G1032,0)*in_loan_vehicle_ticket*in_loan_vehicle_comm</f>
        <v/>
      </c>
      <c r="BY1032" s="40">
        <f>BY1031*(1-IF(B1031&gt;=in_marketplace_from,d_hz_loan_home*G1031,0)*BZ1031)</f>
        <v/>
      </c>
      <c r="BZ1032" s="11">
        <f>MIN(in_approval_cap,in_loan_home_approval*INDEX('Age profile'!$O$2:$O$61,B1032)*(1+in_approval_growth)^(D1032-1))</f>
        <v/>
      </c>
      <c r="CA1032" s="14">
        <f>F1032*BY1032*IF(B1032&gt;=in_marketplace_from,d_hz_loan_home*G1032,0)*BZ1032*in_loan_home_ticket*in_loan_home_comm</f>
        <v/>
      </c>
      <c r="CB1032" s="40">
        <f>CB1031*(1-IF(B1031&gt;=in_marketplace_from,d_hz_loan_lap*G1031,0)*CC1031)</f>
        <v/>
      </c>
      <c r="CC1032" s="11">
        <f>MIN(in_approval_cap,in_loan_lap_approval*INDEX('Age profile'!$O$2:$O$61,B1032)*(1+in_approval_growth)^(D1032-1))</f>
        <v/>
      </c>
      <c r="CD1032" s="14">
        <f>F1032*CB1032*IF(B1032&gt;=in_marketplace_from,d_hz_loan_lap*G1032,0)*CC1032*in_loan_lap_ticket*in_loan_lap_comm</f>
        <v/>
      </c>
      <c r="CE1032" s="14">
        <f>AA1032+AB1032+AC1032+AD1032+AG1032+AJ1032+AM1032+AP1032+AS1032+AU1032+AX1032+BB1032+BE1032+BG1032+BJ1032+BL1032+BO1032+BR1032+BT1032+BV1032+BX1032+CA1032+CD1032</f>
        <v/>
      </c>
    </row>
    <row r="1033">
      <c r="A1033" s="39" t="n">
        <v>21</v>
      </c>
      <c r="B1033" s="39" t="n">
        <v>22</v>
      </c>
      <c r="C1033" s="39">
        <f>A1033+B1033-1</f>
        <v/>
      </c>
      <c r="D1033" s="39">
        <f>INT((C1033-1)/12)+1</f>
        <v/>
      </c>
      <c r="E1033" s="44">
        <f>INDEX(Monthly!$B$2:$B$61,A1033)</f>
        <v/>
      </c>
      <c r="F1033" s="44">
        <f>E1033*INDEX('Age profile'!$B$2:$B$61,B1033)</f>
        <v/>
      </c>
      <c r="G1033" s="45">
        <f>MIN(in_takeup_cap,INDEX('Age profile'!$N$2:$N$61,B1033)*(1+in_takeup_growth)^(D1033-1))</f>
        <v/>
      </c>
      <c r="H1033" s="11">
        <f>MIN(in_approval_cap,in_approved_first*INDEX('Age profile'!$O$2:$O$61,B1033)*(1+in_approval_growth)^(D1033-1))</f>
        <v/>
      </c>
      <c r="I1033" s="45">
        <f>G1033*MIN(in_takeup_cap,INDEX('Age profile'!$O$2:$O$61,B1033)*(1+in_approval_growth)^(D1033-1))</f>
        <v/>
      </c>
      <c r="J1033" s="40">
        <f>(J1032-L1032)*F1033/F1032</f>
        <v/>
      </c>
      <c r="K1033" s="40">
        <f>(K1032-M1032)*F1033/F1032+SUMIFS(O1012:O1032,B1012:B1032,B1033-1-d_T)*F1033</f>
        <v/>
      </c>
      <c r="L1033" s="40">
        <f>IF(B1033&gt;=in_marketplace_from,J1033*d_hz*G1033*in_eligible*H1033,0)</f>
        <v/>
      </c>
      <c r="M1033" s="40">
        <f>IF(B1033&gt;=in_marketplace_from,K1033*d_hz*G1033*in_eligible*in_approved_repeat,0)</f>
        <v/>
      </c>
      <c r="N1033" s="40">
        <f>L1033+M1033</f>
        <v/>
      </c>
      <c r="O1033" s="46">
        <f>N1033/F1033</f>
        <v/>
      </c>
      <c r="P1033" s="40">
        <f>F1033-J1033-K1033</f>
        <v/>
      </c>
      <c r="Q1033" s="40">
        <f>IF(B1033&gt;=in_marketplace_from,(J1033+K1033)*d_hz*G1033,0)</f>
        <v/>
      </c>
      <c r="R1033" s="40">
        <f>SUMIFS(N1012:N1051,B1012:B1051,"&gt;="&amp;(B1033-d_T),B1012:B1051,"&lt;="&amp;(B1033-1))</f>
        <v/>
      </c>
      <c r="S1033" s="46">
        <f>(1-d_u)*S1032+IF(d_T&gt;in_topup_lag,SUMIFS(O1012:O1051,B1012:B1051,B1033-in_topup_lag)-d_udrop*SUMIFS(O1012:O1051,B1012:B1051,B1033-d_T),0)</f>
        <v/>
      </c>
      <c r="T1033" s="40">
        <f>F1033*d_u*S1033</f>
        <v/>
      </c>
      <c r="U1033" s="9">
        <f>L1033*in_ticket+M1033*d_rep_ticket</f>
        <v/>
      </c>
      <c r="V1033" s="9">
        <f>U1033+T1033*d_topup_amt</f>
        <v/>
      </c>
      <c r="W1033" s="40">
        <f>N1033+T1033*d_topup_ratio</f>
        <v/>
      </c>
      <c r="X1033" s="40">
        <f>SUMIFS(W1012:W1051,B1012:B1051,B1033-in_dpd_lag)*d_cured</f>
        <v/>
      </c>
      <c r="Y1033" s="40">
        <f>SUMIFS(W1012:W1051,B1012:B1051,B1033-in_rec_lag)*d_recd</f>
        <v/>
      </c>
      <c r="Z1033" s="40">
        <f>IF(AND(B1033&gt;=in_marketplace_from,B1033&lt;in_marketplace_from+in_card_months),in_card_share/in_card_months*F1033*I1033,IF(AND(B1033&gt;=in_marketplace_from+in_card_months,B1033&lt;in_marketplace_from+2*in_card_months),in_card_share*d_card_rem/in_card_months*F1033*MIN(in_takeup_cap,(1+in_takeup_growth)^(D1033-1))*MIN(in_takeup_cap,(1+in_approval_growth)^(D1033-1)),0))</f>
        <v/>
      </c>
      <c r="AA1033" s="14">
        <f>V1033*in_fee*(1-in_taken_back)</f>
        <v/>
      </c>
      <c r="AB1033" s="14">
        <f>SUMIFS(W1012:W1051,B1012:B1051,B1033-in_dpd_lag)*d_dpd</f>
        <v/>
      </c>
      <c r="AC1033" s="14">
        <f>SUMIFS(W1012:W1051,B1012:B1051,B1033-in_rec_lag)*d_rec</f>
        <v/>
      </c>
      <c r="AD1033" s="14">
        <f>Z1033*in_card_fee</f>
        <v/>
      </c>
      <c r="AE1033" s="40">
        <f>AE1032*(1-IF(B1032&gt;=in_marketplace_from,d_hz_hlth_small*G1032,0))</f>
        <v/>
      </c>
      <c r="AF1033" s="46">
        <f>AE1033*IF(B1033&gt;=in_marketplace_from,d_hz_hlth_small*G1033,0)</f>
        <v/>
      </c>
      <c r="AG1033" s="14">
        <f>F1033*AF1033*in_hlth_small_ticket*in_hlth_small_comm*in_ins_partner_share+F1033*in_hlth_small_ticket*in_hlth_small_renew_comm*in_ins_partner_share*(in_hlth_small_renew^1*SUMIFS(AF1012:AF1051,B1012:B1051,B1033-12)+in_hlth_small_renew^2*SUMIFS(AF1012:AF1051,B1012:B1051,B1033-24)+in_hlth_small_renew^3*SUMIFS(AF1012:AF1051,B1012:B1051,B1033-36)+in_hlth_small_renew^4*SUMIFS(AF1012:AF1051,B1012:B1051,B1033-48))</f>
        <v/>
      </c>
      <c r="AH1033" s="40">
        <f>AH1032*(1-IF(B1032&gt;=in_marketplace_from,d_hz_hlth_family*G1032,0))</f>
        <v/>
      </c>
      <c r="AI1033" s="46">
        <f>AH1033*IF(B1033&gt;=in_marketplace_from,d_hz_hlth_family*G1033,0)</f>
        <v/>
      </c>
      <c r="AJ1033" s="14">
        <f>F1033*AI1033*in_hlth_family_ticket*in_hlth_family_comm*in_ins_partner_share+F1033*in_hlth_family_ticket*in_hlth_family_renew_comm*in_ins_partner_share*(in_hlth_family_renew^1*SUMIFS(AI1012:AI1051,B1012:B1051,B1033-12)+in_hlth_family_renew^2*SUMIFS(AI1012:AI1051,B1012:B1051,B1033-24)+in_hlth_family_renew^3*SUMIFS(AI1012:AI1051,B1012:B1051,B1033-36)+in_hlth_family_renew^4*SUMIFS(AI1012:AI1051,B1012:B1051,B1033-48))</f>
        <v/>
      </c>
      <c r="AK1033" s="40">
        <f>AK1032*(1-IF(B1032&gt;=in_marketplace_from,d_hz_life_term*G1032,0))</f>
        <v/>
      </c>
      <c r="AL1033" s="46">
        <f>AK1033*IF(B1033&gt;=in_marketplace_from,d_hz_life_term*G1033,0)</f>
        <v/>
      </c>
      <c r="AM1033" s="14">
        <f>F1033*AL1033*in_life_term_ticket*in_life_term_comm*in_ins_partner_share+F1033*in_life_term_ticket*in_life_term_renew_comm*in_ins_partner_share*(in_life_term_renew^1*SUMIFS(AL1012:AL1051,B1012:B1051,B1033-12)+in_life_term_renew^2*SUMIFS(AL1012:AL1051,B1012:B1051,B1033-24)+in_life_term_renew^3*SUMIFS(AL1012:AL1051,B1012:B1051,B1033-36)+in_life_term_renew^4*SUMIFS(AL1012:AL1051,B1012:B1051,B1033-48))</f>
        <v/>
      </c>
      <c r="AN1033" s="40">
        <f>AN1032*(1-IF(B1032&gt;=in_marketplace_from,d_hz_accident*G1032,0))</f>
        <v/>
      </c>
      <c r="AO1033" s="46">
        <f>AN1033*IF(B1033&gt;=in_marketplace_from,d_hz_accident*G1033,0)</f>
        <v/>
      </c>
      <c r="AP1033" s="14">
        <f>F1033*AO1033*in_accident_ticket*in_accident_comm*in_ins_partner_share+F1033*in_accident_ticket*in_accident_renew_comm*in_ins_partner_share*(in_accident_renew^1*SUMIFS(AO1012:AO1051,B1012:B1051,B1033-12)+in_accident_renew^2*SUMIFS(AO1012:AO1051,B1012:B1051,B1033-24)+in_accident_renew^3*SUMIFS(AO1012:AO1051,B1012:B1051,B1033-36)+in_accident_renew^4*SUMIFS(AO1012:AO1051,B1012:B1051,B1033-48))</f>
        <v/>
      </c>
      <c r="AQ1033" s="40">
        <f>AQ1032*(1-IF(B1032&gt;=in_marketplace_from,d_hz_two_wheeler*G1032,0))</f>
        <v/>
      </c>
      <c r="AR1033" s="46">
        <f>AQ1033*IF(B1033&gt;=in_marketplace_from,d_hz_two_wheeler*G1033,0)</f>
        <v/>
      </c>
      <c r="AS1033" s="14">
        <f>F1033*AR1033*in_two_wheeler_ticket*in_two_wheeler_comm*in_ins_partner_share+F1033*in_two_wheeler_ticket*in_two_wheeler_comm*in_ins_partner_share*(in_two_wheeler_renew^1*SUMIFS(AR1012:AR1051,B1012:B1051,B1033-12)+in_two_wheeler_renew^2*SUMIFS(AR1012:AR1051,B1012:B1051,B1033-24)+in_two_wheeler_renew^3*SUMIFS(AR1012:AR1051,B1012:B1051,B1033-36)+in_two_wheeler_renew^4*SUMIFS(AR1012:AR1051,B1012:B1051,B1033-48))</f>
        <v/>
      </c>
      <c r="AT1033" s="40">
        <f>AT1032*(1-IF(B1032&gt;=in_marketplace_from,d_hz_device*G1032,0))</f>
        <v/>
      </c>
      <c r="AU1033" s="14">
        <f>F1033*AT1033*IF(B1033&gt;=in_marketplace_from,d_hz_device*G1033,0)*in_device_ticket*in_device_comm*in_ins_partner_share</f>
        <v/>
      </c>
      <c r="AV1033" s="40">
        <f>AV1032*(1-IF(B1032&gt;=in_marketplace_from,d_hz_shop*G1032,0))</f>
        <v/>
      </c>
      <c r="AW1033" s="46">
        <f>AV1033*IF(B1033&gt;=in_marketplace_from,d_hz_shop*G1033,0)</f>
        <v/>
      </c>
      <c r="AX1033" s="14">
        <f>F1033*AW1033*in_shop_ticket*in_shop_comm*in_ins_partner_share+F1033*in_shop_ticket*in_shop_renew_comm*in_ins_partner_share*(in_shop_renew^1*SUMIFS(AW1012:AW1051,B1012:B1051,B1033-12)+in_shop_renew^2*SUMIFS(AW1012:AW1051,B1012:B1051,B1033-24)+in_shop_renew^3*SUMIFS(AW1012:AW1051,B1012:B1051,B1033-36)+in_shop_renew^4*SUMIFS(AW1012:AW1051,B1012:B1051,B1033-48))</f>
        <v/>
      </c>
      <c r="AY1033" s="40">
        <f>AY1032*(1-IF(B1032&gt;=in_marketplace_from,d_hz_sip*G1032,0))</f>
        <v/>
      </c>
      <c r="AZ1033" s="40">
        <f>AZ1032*d_rho_sip+AY1033*IF(B1033&gt;=in_marketplace_from,d_hz_sip*G1033,0)</f>
        <v/>
      </c>
      <c r="BA1033" s="40">
        <f>d_rho_sip*(BA1032+AZ1032)</f>
        <v/>
      </c>
      <c r="BB1033" s="14">
        <f>F1033*in_sip_ticket*(BA1033+0.5*AZ1033)*in_sip_comm/12</f>
        <v/>
      </c>
      <c r="BC1033" s="40">
        <f>BC1032*(1-IF(B1032&gt;=in_marketplace_from,d_hz_choti*G1032,0))</f>
        <v/>
      </c>
      <c r="BD1033" s="46">
        <f>BC1033*IF(B1033&gt;=in_marketplace_from,d_hz_choti*G1033,0)</f>
        <v/>
      </c>
      <c r="BE1033" s="14">
        <f>F1033*SUMIFS(BD1012:BD1051,B1012:B1051,B1033-in_choti_months)*in_choti_renew*in_choti_ticket</f>
        <v/>
      </c>
      <c r="BF1033" s="40">
        <f>BF1032*(1-IF(B1032&gt;=in_marketplace_from,d_hz_nps*G1032,0))</f>
        <v/>
      </c>
      <c r="BG1033" s="14">
        <f>F1033*BF1033*IF(B1033&gt;=in_marketplace_from,d_hz_nps*G1033,0)*in_nps_ticket*in_nps_comm</f>
        <v/>
      </c>
      <c r="BH1033" s="40">
        <f>BH1032*(1-IF(B1032&gt;=in_marketplace_from,d_hz_gold*G1032,0))</f>
        <v/>
      </c>
      <c r="BI1033" s="40">
        <f>BI1032*d_rho_gold+BH1033*IF(B1033&gt;=in_marketplace_from,d_hz_gold*G1033,0)</f>
        <v/>
      </c>
      <c r="BJ1033" s="14">
        <f>F1033*BI1033*in_gold_ticket*in_gold_comm</f>
        <v/>
      </c>
      <c r="BK1033" s="40">
        <f>BK1032*(1-IF(B1032&gt;=in_marketplace_from,d_hz_fd*G1032,0))</f>
        <v/>
      </c>
      <c r="BL1033" s="14">
        <f>F1033*BK1033*IF(B1033&gt;=in_marketplace_from,d_hz_fd*G1033,0)*in_fd_ticket*in_fd_comm</f>
        <v/>
      </c>
      <c r="BM1033" s="40">
        <f>BM1032*(1-IF(B1032&gt;=in_marketplace_from,d_hz_recharge*G1032,0))</f>
        <v/>
      </c>
      <c r="BN1033" s="40">
        <f>BN1032*d_rho_recharge+BM1033*IF(B1033&gt;=in_marketplace_from,d_hz_recharge*G1033,0)</f>
        <v/>
      </c>
      <c r="BO1033" s="14">
        <f>F1033*BN1033*in_recharge_ticket*in_recharge_comm/12</f>
        <v/>
      </c>
      <c r="BP1033" s="40">
        <f>BP1032*(1-IF(B1032&gt;=in_marketplace_from,d_hz_bills*G1032,0))</f>
        <v/>
      </c>
      <c r="BQ1033" s="40">
        <f>BQ1032*d_rho_bills+BP1033*IF(B1033&gt;=in_marketplace_from,d_hz_bills*G1033,0)</f>
        <v/>
      </c>
      <c r="BR1033" s="14">
        <f>F1033*BQ1033*in_bills_ticket*in_bills_comm/12</f>
        <v/>
      </c>
      <c r="BS1033" s="40">
        <f>BS1032*(1-IF(B1032&gt;=in_marketplace_from,d_hz_loan_gold*G1032,0))</f>
        <v/>
      </c>
      <c r="BT1033" s="14">
        <f>F1033*BS1033*IF(B1033&gt;=in_marketplace_from,d_hz_loan_gold*G1033,0)*in_loan_gold_ticket*in_loan_gold_comm</f>
        <v/>
      </c>
      <c r="BU1033" s="40">
        <f>BU1032*(1-IF(B1032&gt;=in_marketplace_from,d_hz_loan_cd*G1032,0))</f>
        <v/>
      </c>
      <c r="BV1033" s="14">
        <f>F1033*BU1033*IF(B1033&gt;=in_marketplace_from,d_hz_loan_cd*G1033,0)*in_loan_cd_ticket*in_loan_cd_comm</f>
        <v/>
      </c>
      <c r="BW1033" s="40">
        <f>BW1032*(1-IF(B1032&gt;=in_marketplace_from,d_hz_loan_vehicle*G1032,0))</f>
        <v/>
      </c>
      <c r="BX1033" s="14">
        <f>F1033*BW1033*IF(B1033&gt;=in_marketplace_from,d_hz_loan_vehicle*G1033,0)*in_loan_vehicle_ticket*in_loan_vehicle_comm</f>
        <v/>
      </c>
      <c r="BY1033" s="40">
        <f>BY1032*(1-IF(B1032&gt;=in_marketplace_from,d_hz_loan_home*G1032,0)*BZ1032)</f>
        <v/>
      </c>
      <c r="BZ1033" s="11">
        <f>MIN(in_approval_cap,in_loan_home_approval*INDEX('Age profile'!$O$2:$O$61,B1033)*(1+in_approval_growth)^(D1033-1))</f>
        <v/>
      </c>
      <c r="CA1033" s="14">
        <f>F1033*BY1033*IF(B1033&gt;=in_marketplace_from,d_hz_loan_home*G1033,0)*BZ1033*in_loan_home_ticket*in_loan_home_comm</f>
        <v/>
      </c>
      <c r="CB1033" s="40">
        <f>CB1032*(1-IF(B1032&gt;=in_marketplace_from,d_hz_loan_lap*G1032,0)*CC1032)</f>
        <v/>
      </c>
      <c r="CC1033" s="11">
        <f>MIN(in_approval_cap,in_loan_lap_approval*INDEX('Age profile'!$O$2:$O$61,B1033)*(1+in_approval_growth)^(D1033-1))</f>
        <v/>
      </c>
      <c r="CD1033" s="14">
        <f>F1033*CB1033*IF(B1033&gt;=in_marketplace_from,d_hz_loan_lap*G1033,0)*CC1033*in_loan_lap_ticket*in_loan_lap_comm</f>
        <v/>
      </c>
      <c r="CE1033" s="14">
        <f>AA1033+AB1033+AC1033+AD1033+AG1033+AJ1033+AM1033+AP1033+AS1033+AU1033+AX1033+BB1033+BE1033+BG1033+BJ1033+BL1033+BO1033+BR1033+BT1033+BV1033+BX1033+CA1033+CD1033</f>
        <v/>
      </c>
    </row>
    <row r="1034">
      <c r="A1034" s="39" t="n">
        <v>21</v>
      </c>
      <c r="B1034" s="39" t="n">
        <v>23</v>
      </c>
      <c r="C1034" s="39">
        <f>A1034+B1034-1</f>
        <v/>
      </c>
      <c r="D1034" s="39">
        <f>INT((C1034-1)/12)+1</f>
        <v/>
      </c>
      <c r="E1034" s="44">
        <f>INDEX(Monthly!$B$2:$B$61,A1034)</f>
        <v/>
      </c>
      <c r="F1034" s="44">
        <f>E1034*INDEX('Age profile'!$B$2:$B$61,B1034)</f>
        <v/>
      </c>
      <c r="G1034" s="45">
        <f>MIN(in_takeup_cap,INDEX('Age profile'!$N$2:$N$61,B1034)*(1+in_takeup_growth)^(D1034-1))</f>
        <v/>
      </c>
      <c r="H1034" s="11">
        <f>MIN(in_approval_cap,in_approved_first*INDEX('Age profile'!$O$2:$O$61,B1034)*(1+in_approval_growth)^(D1034-1))</f>
        <v/>
      </c>
      <c r="I1034" s="45">
        <f>G1034*MIN(in_takeup_cap,INDEX('Age profile'!$O$2:$O$61,B1034)*(1+in_approval_growth)^(D1034-1))</f>
        <v/>
      </c>
      <c r="J1034" s="40">
        <f>(J1033-L1033)*F1034/F1033</f>
        <v/>
      </c>
      <c r="K1034" s="40">
        <f>(K1033-M1033)*F1034/F1033+SUMIFS(O1012:O1033,B1012:B1033,B1034-1-d_T)*F1034</f>
        <v/>
      </c>
      <c r="L1034" s="40">
        <f>IF(B1034&gt;=in_marketplace_from,J1034*d_hz*G1034*in_eligible*H1034,0)</f>
        <v/>
      </c>
      <c r="M1034" s="40">
        <f>IF(B1034&gt;=in_marketplace_from,K1034*d_hz*G1034*in_eligible*in_approved_repeat,0)</f>
        <v/>
      </c>
      <c r="N1034" s="40">
        <f>L1034+M1034</f>
        <v/>
      </c>
      <c r="O1034" s="46">
        <f>N1034/F1034</f>
        <v/>
      </c>
      <c r="P1034" s="40">
        <f>F1034-J1034-K1034</f>
        <v/>
      </c>
      <c r="Q1034" s="40">
        <f>IF(B1034&gt;=in_marketplace_from,(J1034+K1034)*d_hz*G1034,0)</f>
        <v/>
      </c>
      <c r="R1034" s="40">
        <f>SUMIFS(N1012:N1051,B1012:B1051,"&gt;="&amp;(B1034-d_T),B1012:B1051,"&lt;="&amp;(B1034-1))</f>
        <v/>
      </c>
      <c r="S1034" s="46">
        <f>(1-d_u)*S1033+IF(d_T&gt;in_topup_lag,SUMIFS(O1012:O1051,B1012:B1051,B1034-in_topup_lag)-d_udrop*SUMIFS(O1012:O1051,B1012:B1051,B1034-d_T),0)</f>
        <v/>
      </c>
      <c r="T1034" s="40">
        <f>F1034*d_u*S1034</f>
        <v/>
      </c>
      <c r="U1034" s="9">
        <f>L1034*in_ticket+M1034*d_rep_ticket</f>
        <v/>
      </c>
      <c r="V1034" s="9">
        <f>U1034+T1034*d_topup_amt</f>
        <v/>
      </c>
      <c r="W1034" s="40">
        <f>N1034+T1034*d_topup_ratio</f>
        <v/>
      </c>
      <c r="X1034" s="40">
        <f>SUMIFS(W1012:W1051,B1012:B1051,B1034-in_dpd_lag)*d_cured</f>
        <v/>
      </c>
      <c r="Y1034" s="40">
        <f>SUMIFS(W1012:W1051,B1012:B1051,B1034-in_rec_lag)*d_recd</f>
        <v/>
      </c>
      <c r="Z1034" s="40">
        <f>IF(AND(B1034&gt;=in_marketplace_from,B1034&lt;in_marketplace_from+in_card_months),in_card_share/in_card_months*F1034*I1034,IF(AND(B1034&gt;=in_marketplace_from+in_card_months,B1034&lt;in_marketplace_from+2*in_card_months),in_card_share*d_card_rem/in_card_months*F1034*MIN(in_takeup_cap,(1+in_takeup_growth)^(D1034-1))*MIN(in_takeup_cap,(1+in_approval_growth)^(D1034-1)),0))</f>
        <v/>
      </c>
      <c r="AA1034" s="14">
        <f>V1034*in_fee*(1-in_taken_back)</f>
        <v/>
      </c>
      <c r="AB1034" s="14">
        <f>SUMIFS(W1012:W1051,B1012:B1051,B1034-in_dpd_lag)*d_dpd</f>
        <v/>
      </c>
      <c r="AC1034" s="14">
        <f>SUMIFS(W1012:W1051,B1012:B1051,B1034-in_rec_lag)*d_rec</f>
        <v/>
      </c>
      <c r="AD1034" s="14">
        <f>Z1034*in_card_fee</f>
        <v/>
      </c>
      <c r="AE1034" s="40">
        <f>AE1033*(1-IF(B1033&gt;=in_marketplace_from,d_hz_hlth_small*G1033,0))</f>
        <v/>
      </c>
      <c r="AF1034" s="46">
        <f>AE1034*IF(B1034&gt;=in_marketplace_from,d_hz_hlth_small*G1034,0)</f>
        <v/>
      </c>
      <c r="AG1034" s="14">
        <f>F1034*AF1034*in_hlth_small_ticket*in_hlth_small_comm*in_ins_partner_share+F1034*in_hlth_small_ticket*in_hlth_small_renew_comm*in_ins_partner_share*(in_hlth_small_renew^1*SUMIFS(AF1012:AF1051,B1012:B1051,B1034-12)+in_hlth_small_renew^2*SUMIFS(AF1012:AF1051,B1012:B1051,B1034-24)+in_hlth_small_renew^3*SUMIFS(AF1012:AF1051,B1012:B1051,B1034-36)+in_hlth_small_renew^4*SUMIFS(AF1012:AF1051,B1012:B1051,B1034-48))</f>
        <v/>
      </c>
      <c r="AH1034" s="40">
        <f>AH1033*(1-IF(B1033&gt;=in_marketplace_from,d_hz_hlth_family*G1033,0))</f>
        <v/>
      </c>
      <c r="AI1034" s="46">
        <f>AH1034*IF(B1034&gt;=in_marketplace_from,d_hz_hlth_family*G1034,0)</f>
        <v/>
      </c>
      <c r="AJ1034" s="14">
        <f>F1034*AI1034*in_hlth_family_ticket*in_hlth_family_comm*in_ins_partner_share+F1034*in_hlth_family_ticket*in_hlth_family_renew_comm*in_ins_partner_share*(in_hlth_family_renew^1*SUMIFS(AI1012:AI1051,B1012:B1051,B1034-12)+in_hlth_family_renew^2*SUMIFS(AI1012:AI1051,B1012:B1051,B1034-24)+in_hlth_family_renew^3*SUMIFS(AI1012:AI1051,B1012:B1051,B1034-36)+in_hlth_family_renew^4*SUMIFS(AI1012:AI1051,B1012:B1051,B1034-48))</f>
        <v/>
      </c>
      <c r="AK1034" s="40">
        <f>AK1033*(1-IF(B1033&gt;=in_marketplace_from,d_hz_life_term*G1033,0))</f>
        <v/>
      </c>
      <c r="AL1034" s="46">
        <f>AK1034*IF(B1034&gt;=in_marketplace_from,d_hz_life_term*G1034,0)</f>
        <v/>
      </c>
      <c r="AM1034" s="14">
        <f>F1034*AL1034*in_life_term_ticket*in_life_term_comm*in_ins_partner_share+F1034*in_life_term_ticket*in_life_term_renew_comm*in_ins_partner_share*(in_life_term_renew^1*SUMIFS(AL1012:AL1051,B1012:B1051,B1034-12)+in_life_term_renew^2*SUMIFS(AL1012:AL1051,B1012:B1051,B1034-24)+in_life_term_renew^3*SUMIFS(AL1012:AL1051,B1012:B1051,B1034-36)+in_life_term_renew^4*SUMIFS(AL1012:AL1051,B1012:B1051,B1034-48))</f>
        <v/>
      </c>
      <c r="AN1034" s="40">
        <f>AN1033*(1-IF(B1033&gt;=in_marketplace_from,d_hz_accident*G1033,0))</f>
        <v/>
      </c>
      <c r="AO1034" s="46">
        <f>AN1034*IF(B1034&gt;=in_marketplace_from,d_hz_accident*G1034,0)</f>
        <v/>
      </c>
      <c r="AP1034" s="14">
        <f>F1034*AO1034*in_accident_ticket*in_accident_comm*in_ins_partner_share+F1034*in_accident_ticket*in_accident_renew_comm*in_ins_partner_share*(in_accident_renew^1*SUMIFS(AO1012:AO1051,B1012:B1051,B1034-12)+in_accident_renew^2*SUMIFS(AO1012:AO1051,B1012:B1051,B1034-24)+in_accident_renew^3*SUMIFS(AO1012:AO1051,B1012:B1051,B1034-36)+in_accident_renew^4*SUMIFS(AO1012:AO1051,B1012:B1051,B1034-48))</f>
        <v/>
      </c>
      <c r="AQ1034" s="40">
        <f>AQ1033*(1-IF(B1033&gt;=in_marketplace_from,d_hz_two_wheeler*G1033,0))</f>
        <v/>
      </c>
      <c r="AR1034" s="46">
        <f>AQ1034*IF(B1034&gt;=in_marketplace_from,d_hz_two_wheeler*G1034,0)</f>
        <v/>
      </c>
      <c r="AS1034" s="14">
        <f>F1034*AR1034*in_two_wheeler_ticket*in_two_wheeler_comm*in_ins_partner_share+F1034*in_two_wheeler_ticket*in_two_wheeler_comm*in_ins_partner_share*(in_two_wheeler_renew^1*SUMIFS(AR1012:AR1051,B1012:B1051,B1034-12)+in_two_wheeler_renew^2*SUMIFS(AR1012:AR1051,B1012:B1051,B1034-24)+in_two_wheeler_renew^3*SUMIFS(AR1012:AR1051,B1012:B1051,B1034-36)+in_two_wheeler_renew^4*SUMIFS(AR1012:AR1051,B1012:B1051,B1034-48))</f>
        <v/>
      </c>
      <c r="AT1034" s="40">
        <f>AT1033*(1-IF(B1033&gt;=in_marketplace_from,d_hz_device*G1033,0))</f>
        <v/>
      </c>
      <c r="AU1034" s="14">
        <f>F1034*AT1034*IF(B1034&gt;=in_marketplace_from,d_hz_device*G1034,0)*in_device_ticket*in_device_comm*in_ins_partner_share</f>
        <v/>
      </c>
      <c r="AV1034" s="40">
        <f>AV1033*(1-IF(B1033&gt;=in_marketplace_from,d_hz_shop*G1033,0))</f>
        <v/>
      </c>
      <c r="AW1034" s="46">
        <f>AV1034*IF(B1034&gt;=in_marketplace_from,d_hz_shop*G1034,0)</f>
        <v/>
      </c>
      <c r="AX1034" s="14">
        <f>F1034*AW1034*in_shop_ticket*in_shop_comm*in_ins_partner_share+F1034*in_shop_ticket*in_shop_renew_comm*in_ins_partner_share*(in_shop_renew^1*SUMIFS(AW1012:AW1051,B1012:B1051,B1034-12)+in_shop_renew^2*SUMIFS(AW1012:AW1051,B1012:B1051,B1034-24)+in_shop_renew^3*SUMIFS(AW1012:AW1051,B1012:B1051,B1034-36)+in_shop_renew^4*SUMIFS(AW1012:AW1051,B1012:B1051,B1034-48))</f>
        <v/>
      </c>
      <c r="AY1034" s="40">
        <f>AY1033*(1-IF(B1033&gt;=in_marketplace_from,d_hz_sip*G1033,0))</f>
        <v/>
      </c>
      <c r="AZ1034" s="40">
        <f>AZ1033*d_rho_sip+AY1034*IF(B1034&gt;=in_marketplace_from,d_hz_sip*G1034,0)</f>
        <v/>
      </c>
      <c r="BA1034" s="40">
        <f>d_rho_sip*(BA1033+AZ1033)</f>
        <v/>
      </c>
      <c r="BB1034" s="14">
        <f>F1034*in_sip_ticket*(BA1034+0.5*AZ1034)*in_sip_comm/12</f>
        <v/>
      </c>
      <c r="BC1034" s="40">
        <f>BC1033*(1-IF(B1033&gt;=in_marketplace_from,d_hz_choti*G1033,0))</f>
        <v/>
      </c>
      <c r="BD1034" s="46">
        <f>BC1034*IF(B1034&gt;=in_marketplace_from,d_hz_choti*G1034,0)</f>
        <v/>
      </c>
      <c r="BE1034" s="14">
        <f>F1034*SUMIFS(BD1012:BD1051,B1012:B1051,B1034-in_choti_months)*in_choti_renew*in_choti_ticket</f>
        <v/>
      </c>
      <c r="BF1034" s="40">
        <f>BF1033*(1-IF(B1033&gt;=in_marketplace_from,d_hz_nps*G1033,0))</f>
        <v/>
      </c>
      <c r="BG1034" s="14">
        <f>F1034*BF1034*IF(B1034&gt;=in_marketplace_from,d_hz_nps*G1034,0)*in_nps_ticket*in_nps_comm</f>
        <v/>
      </c>
      <c r="BH1034" s="40">
        <f>BH1033*(1-IF(B1033&gt;=in_marketplace_from,d_hz_gold*G1033,0))</f>
        <v/>
      </c>
      <c r="BI1034" s="40">
        <f>BI1033*d_rho_gold+BH1034*IF(B1034&gt;=in_marketplace_from,d_hz_gold*G1034,0)</f>
        <v/>
      </c>
      <c r="BJ1034" s="14">
        <f>F1034*BI1034*in_gold_ticket*in_gold_comm</f>
        <v/>
      </c>
      <c r="BK1034" s="40">
        <f>BK1033*(1-IF(B1033&gt;=in_marketplace_from,d_hz_fd*G1033,0))</f>
        <v/>
      </c>
      <c r="BL1034" s="14">
        <f>F1034*BK1034*IF(B1034&gt;=in_marketplace_from,d_hz_fd*G1034,0)*in_fd_ticket*in_fd_comm</f>
        <v/>
      </c>
      <c r="BM1034" s="40">
        <f>BM1033*(1-IF(B1033&gt;=in_marketplace_from,d_hz_recharge*G1033,0))</f>
        <v/>
      </c>
      <c r="BN1034" s="40">
        <f>BN1033*d_rho_recharge+BM1034*IF(B1034&gt;=in_marketplace_from,d_hz_recharge*G1034,0)</f>
        <v/>
      </c>
      <c r="BO1034" s="14">
        <f>F1034*BN1034*in_recharge_ticket*in_recharge_comm/12</f>
        <v/>
      </c>
      <c r="BP1034" s="40">
        <f>BP1033*(1-IF(B1033&gt;=in_marketplace_from,d_hz_bills*G1033,0))</f>
        <v/>
      </c>
      <c r="BQ1034" s="40">
        <f>BQ1033*d_rho_bills+BP1034*IF(B1034&gt;=in_marketplace_from,d_hz_bills*G1034,0)</f>
        <v/>
      </c>
      <c r="BR1034" s="14">
        <f>F1034*BQ1034*in_bills_ticket*in_bills_comm/12</f>
        <v/>
      </c>
      <c r="BS1034" s="40">
        <f>BS1033*(1-IF(B1033&gt;=in_marketplace_from,d_hz_loan_gold*G1033,0))</f>
        <v/>
      </c>
      <c r="BT1034" s="14">
        <f>F1034*BS1034*IF(B1034&gt;=in_marketplace_from,d_hz_loan_gold*G1034,0)*in_loan_gold_ticket*in_loan_gold_comm</f>
        <v/>
      </c>
      <c r="BU1034" s="40">
        <f>BU1033*(1-IF(B1033&gt;=in_marketplace_from,d_hz_loan_cd*G1033,0))</f>
        <v/>
      </c>
      <c r="BV1034" s="14">
        <f>F1034*BU1034*IF(B1034&gt;=in_marketplace_from,d_hz_loan_cd*G1034,0)*in_loan_cd_ticket*in_loan_cd_comm</f>
        <v/>
      </c>
      <c r="BW1034" s="40">
        <f>BW1033*(1-IF(B1033&gt;=in_marketplace_from,d_hz_loan_vehicle*G1033,0))</f>
        <v/>
      </c>
      <c r="BX1034" s="14">
        <f>F1034*BW1034*IF(B1034&gt;=in_marketplace_from,d_hz_loan_vehicle*G1034,0)*in_loan_vehicle_ticket*in_loan_vehicle_comm</f>
        <v/>
      </c>
      <c r="BY1034" s="40">
        <f>BY1033*(1-IF(B1033&gt;=in_marketplace_from,d_hz_loan_home*G1033,0)*BZ1033)</f>
        <v/>
      </c>
      <c r="BZ1034" s="11">
        <f>MIN(in_approval_cap,in_loan_home_approval*INDEX('Age profile'!$O$2:$O$61,B1034)*(1+in_approval_growth)^(D1034-1))</f>
        <v/>
      </c>
      <c r="CA1034" s="14">
        <f>F1034*BY1034*IF(B1034&gt;=in_marketplace_from,d_hz_loan_home*G1034,0)*BZ1034*in_loan_home_ticket*in_loan_home_comm</f>
        <v/>
      </c>
      <c r="CB1034" s="40">
        <f>CB1033*(1-IF(B1033&gt;=in_marketplace_from,d_hz_loan_lap*G1033,0)*CC1033)</f>
        <v/>
      </c>
      <c r="CC1034" s="11">
        <f>MIN(in_approval_cap,in_loan_lap_approval*INDEX('Age profile'!$O$2:$O$61,B1034)*(1+in_approval_growth)^(D1034-1))</f>
        <v/>
      </c>
      <c r="CD1034" s="14">
        <f>F1034*CB1034*IF(B1034&gt;=in_marketplace_from,d_hz_loan_lap*G1034,0)*CC1034*in_loan_lap_ticket*in_loan_lap_comm</f>
        <v/>
      </c>
      <c r="CE1034" s="14">
        <f>AA1034+AB1034+AC1034+AD1034+AG1034+AJ1034+AM1034+AP1034+AS1034+AU1034+AX1034+BB1034+BE1034+BG1034+BJ1034+BL1034+BO1034+BR1034+BT1034+BV1034+BX1034+CA1034+CD1034</f>
        <v/>
      </c>
    </row>
    <row r="1035">
      <c r="A1035" s="39" t="n">
        <v>21</v>
      </c>
      <c r="B1035" s="39" t="n">
        <v>24</v>
      </c>
      <c r="C1035" s="39">
        <f>A1035+B1035-1</f>
        <v/>
      </c>
      <c r="D1035" s="39">
        <f>INT((C1035-1)/12)+1</f>
        <v/>
      </c>
      <c r="E1035" s="44">
        <f>INDEX(Monthly!$B$2:$B$61,A1035)</f>
        <v/>
      </c>
      <c r="F1035" s="44">
        <f>E1035*INDEX('Age profile'!$B$2:$B$61,B1035)</f>
        <v/>
      </c>
      <c r="G1035" s="45">
        <f>MIN(in_takeup_cap,INDEX('Age profile'!$N$2:$N$61,B1035)*(1+in_takeup_growth)^(D1035-1))</f>
        <v/>
      </c>
      <c r="H1035" s="11">
        <f>MIN(in_approval_cap,in_approved_first*INDEX('Age profile'!$O$2:$O$61,B1035)*(1+in_approval_growth)^(D1035-1))</f>
        <v/>
      </c>
      <c r="I1035" s="45">
        <f>G1035*MIN(in_takeup_cap,INDEX('Age profile'!$O$2:$O$61,B1035)*(1+in_approval_growth)^(D1035-1))</f>
        <v/>
      </c>
      <c r="J1035" s="40">
        <f>(J1034-L1034)*F1035/F1034</f>
        <v/>
      </c>
      <c r="K1035" s="40">
        <f>(K1034-M1034)*F1035/F1034+SUMIFS(O1012:O1034,B1012:B1034,B1035-1-d_T)*F1035</f>
        <v/>
      </c>
      <c r="L1035" s="40">
        <f>IF(B1035&gt;=in_marketplace_from,J1035*d_hz*G1035*in_eligible*H1035,0)</f>
        <v/>
      </c>
      <c r="M1035" s="40">
        <f>IF(B1035&gt;=in_marketplace_from,K1035*d_hz*G1035*in_eligible*in_approved_repeat,0)</f>
        <v/>
      </c>
      <c r="N1035" s="40">
        <f>L1035+M1035</f>
        <v/>
      </c>
      <c r="O1035" s="46">
        <f>N1035/F1035</f>
        <v/>
      </c>
      <c r="P1035" s="40">
        <f>F1035-J1035-K1035</f>
        <v/>
      </c>
      <c r="Q1035" s="40">
        <f>IF(B1035&gt;=in_marketplace_from,(J1035+K1035)*d_hz*G1035,0)</f>
        <v/>
      </c>
      <c r="R1035" s="40">
        <f>SUMIFS(N1012:N1051,B1012:B1051,"&gt;="&amp;(B1035-d_T),B1012:B1051,"&lt;="&amp;(B1035-1))</f>
        <v/>
      </c>
      <c r="S1035" s="46">
        <f>(1-d_u)*S1034+IF(d_T&gt;in_topup_lag,SUMIFS(O1012:O1051,B1012:B1051,B1035-in_topup_lag)-d_udrop*SUMIFS(O1012:O1051,B1012:B1051,B1035-d_T),0)</f>
        <v/>
      </c>
      <c r="T1035" s="40">
        <f>F1035*d_u*S1035</f>
        <v/>
      </c>
      <c r="U1035" s="9">
        <f>L1035*in_ticket+M1035*d_rep_ticket</f>
        <v/>
      </c>
      <c r="V1035" s="9">
        <f>U1035+T1035*d_topup_amt</f>
        <v/>
      </c>
      <c r="W1035" s="40">
        <f>N1035+T1035*d_topup_ratio</f>
        <v/>
      </c>
      <c r="X1035" s="40">
        <f>SUMIFS(W1012:W1051,B1012:B1051,B1035-in_dpd_lag)*d_cured</f>
        <v/>
      </c>
      <c r="Y1035" s="40">
        <f>SUMIFS(W1012:W1051,B1012:B1051,B1035-in_rec_lag)*d_recd</f>
        <v/>
      </c>
      <c r="Z1035" s="40">
        <f>IF(AND(B1035&gt;=in_marketplace_from,B1035&lt;in_marketplace_from+in_card_months),in_card_share/in_card_months*F1035*I1035,IF(AND(B1035&gt;=in_marketplace_from+in_card_months,B1035&lt;in_marketplace_from+2*in_card_months),in_card_share*d_card_rem/in_card_months*F1035*MIN(in_takeup_cap,(1+in_takeup_growth)^(D1035-1))*MIN(in_takeup_cap,(1+in_approval_growth)^(D1035-1)),0))</f>
        <v/>
      </c>
      <c r="AA1035" s="14">
        <f>V1035*in_fee*(1-in_taken_back)</f>
        <v/>
      </c>
      <c r="AB1035" s="14">
        <f>SUMIFS(W1012:W1051,B1012:B1051,B1035-in_dpd_lag)*d_dpd</f>
        <v/>
      </c>
      <c r="AC1035" s="14">
        <f>SUMIFS(W1012:W1051,B1012:B1051,B1035-in_rec_lag)*d_rec</f>
        <v/>
      </c>
      <c r="AD1035" s="14">
        <f>Z1035*in_card_fee</f>
        <v/>
      </c>
      <c r="AE1035" s="40">
        <f>AE1034*(1-IF(B1034&gt;=in_marketplace_from,d_hz_hlth_small*G1034,0))</f>
        <v/>
      </c>
      <c r="AF1035" s="46">
        <f>AE1035*IF(B1035&gt;=in_marketplace_from,d_hz_hlth_small*G1035,0)</f>
        <v/>
      </c>
      <c r="AG1035" s="14">
        <f>F1035*AF1035*in_hlth_small_ticket*in_hlth_small_comm*in_ins_partner_share+F1035*in_hlth_small_ticket*in_hlth_small_renew_comm*in_ins_partner_share*(in_hlth_small_renew^1*SUMIFS(AF1012:AF1051,B1012:B1051,B1035-12)+in_hlth_small_renew^2*SUMIFS(AF1012:AF1051,B1012:B1051,B1035-24)+in_hlth_small_renew^3*SUMIFS(AF1012:AF1051,B1012:B1051,B1035-36)+in_hlth_small_renew^4*SUMIFS(AF1012:AF1051,B1012:B1051,B1035-48))</f>
        <v/>
      </c>
      <c r="AH1035" s="40">
        <f>AH1034*(1-IF(B1034&gt;=in_marketplace_from,d_hz_hlth_family*G1034,0))</f>
        <v/>
      </c>
      <c r="AI1035" s="46">
        <f>AH1035*IF(B1035&gt;=in_marketplace_from,d_hz_hlth_family*G1035,0)</f>
        <v/>
      </c>
      <c r="AJ1035" s="14">
        <f>F1035*AI1035*in_hlth_family_ticket*in_hlth_family_comm*in_ins_partner_share+F1035*in_hlth_family_ticket*in_hlth_family_renew_comm*in_ins_partner_share*(in_hlth_family_renew^1*SUMIFS(AI1012:AI1051,B1012:B1051,B1035-12)+in_hlth_family_renew^2*SUMIFS(AI1012:AI1051,B1012:B1051,B1035-24)+in_hlth_family_renew^3*SUMIFS(AI1012:AI1051,B1012:B1051,B1035-36)+in_hlth_family_renew^4*SUMIFS(AI1012:AI1051,B1012:B1051,B1035-48))</f>
        <v/>
      </c>
      <c r="AK1035" s="40">
        <f>AK1034*(1-IF(B1034&gt;=in_marketplace_from,d_hz_life_term*G1034,0))</f>
        <v/>
      </c>
      <c r="AL1035" s="46">
        <f>AK1035*IF(B1035&gt;=in_marketplace_from,d_hz_life_term*G1035,0)</f>
        <v/>
      </c>
      <c r="AM1035" s="14">
        <f>F1035*AL1035*in_life_term_ticket*in_life_term_comm*in_ins_partner_share+F1035*in_life_term_ticket*in_life_term_renew_comm*in_ins_partner_share*(in_life_term_renew^1*SUMIFS(AL1012:AL1051,B1012:B1051,B1035-12)+in_life_term_renew^2*SUMIFS(AL1012:AL1051,B1012:B1051,B1035-24)+in_life_term_renew^3*SUMIFS(AL1012:AL1051,B1012:B1051,B1035-36)+in_life_term_renew^4*SUMIFS(AL1012:AL1051,B1012:B1051,B1035-48))</f>
        <v/>
      </c>
      <c r="AN1035" s="40">
        <f>AN1034*(1-IF(B1034&gt;=in_marketplace_from,d_hz_accident*G1034,0))</f>
        <v/>
      </c>
      <c r="AO1035" s="46">
        <f>AN1035*IF(B1035&gt;=in_marketplace_from,d_hz_accident*G1035,0)</f>
        <v/>
      </c>
      <c r="AP1035" s="14">
        <f>F1035*AO1035*in_accident_ticket*in_accident_comm*in_ins_partner_share+F1035*in_accident_ticket*in_accident_renew_comm*in_ins_partner_share*(in_accident_renew^1*SUMIFS(AO1012:AO1051,B1012:B1051,B1035-12)+in_accident_renew^2*SUMIFS(AO1012:AO1051,B1012:B1051,B1035-24)+in_accident_renew^3*SUMIFS(AO1012:AO1051,B1012:B1051,B1035-36)+in_accident_renew^4*SUMIFS(AO1012:AO1051,B1012:B1051,B1035-48))</f>
        <v/>
      </c>
      <c r="AQ1035" s="40">
        <f>AQ1034*(1-IF(B1034&gt;=in_marketplace_from,d_hz_two_wheeler*G1034,0))</f>
        <v/>
      </c>
      <c r="AR1035" s="46">
        <f>AQ1035*IF(B1035&gt;=in_marketplace_from,d_hz_two_wheeler*G1035,0)</f>
        <v/>
      </c>
      <c r="AS1035" s="14">
        <f>F1035*AR1035*in_two_wheeler_ticket*in_two_wheeler_comm*in_ins_partner_share+F1035*in_two_wheeler_ticket*in_two_wheeler_comm*in_ins_partner_share*(in_two_wheeler_renew^1*SUMIFS(AR1012:AR1051,B1012:B1051,B1035-12)+in_two_wheeler_renew^2*SUMIFS(AR1012:AR1051,B1012:B1051,B1035-24)+in_two_wheeler_renew^3*SUMIFS(AR1012:AR1051,B1012:B1051,B1035-36)+in_two_wheeler_renew^4*SUMIFS(AR1012:AR1051,B1012:B1051,B1035-48))</f>
        <v/>
      </c>
      <c r="AT1035" s="40">
        <f>AT1034*(1-IF(B1034&gt;=in_marketplace_from,d_hz_device*G1034,0))</f>
        <v/>
      </c>
      <c r="AU1035" s="14">
        <f>F1035*AT1035*IF(B1035&gt;=in_marketplace_from,d_hz_device*G1035,0)*in_device_ticket*in_device_comm*in_ins_partner_share</f>
        <v/>
      </c>
      <c r="AV1035" s="40">
        <f>AV1034*(1-IF(B1034&gt;=in_marketplace_from,d_hz_shop*G1034,0))</f>
        <v/>
      </c>
      <c r="AW1035" s="46">
        <f>AV1035*IF(B1035&gt;=in_marketplace_from,d_hz_shop*G1035,0)</f>
        <v/>
      </c>
      <c r="AX1035" s="14">
        <f>F1035*AW1035*in_shop_ticket*in_shop_comm*in_ins_partner_share+F1035*in_shop_ticket*in_shop_renew_comm*in_ins_partner_share*(in_shop_renew^1*SUMIFS(AW1012:AW1051,B1012:B1051,B1035-12)+in_shop_renew^2*SUMIFS(AW1012:AW1051,B1012:B1051,B1035-24)+in_shop_renew^3*SUMIFS(AW1012:AW1051,B1012:B1051,B1035-36)+in_shop_renew^4*SUMIFS(AW1012:AW1051,B1012:B1051,B1035-48))</f>
        <v/>
      </c>
      <c r="AY1035" s="40">
        <f>AY1034*(1-IF(B1034&gt;=in_marketplace_from,d_hz_sip*G1034,0))</f>
        <v/>
      </c>
      <c r="AZ1035" s="40">
        <f>AZ1034*d_rho_sip+AY1035*IF(B1035&gt;=in_marketplace_from,d_hz_sip*G1035,0)</f>
        <v/>
      </c>
      <c r="BA1035" s="40">
        <f>d_rho_sip*(BA1034+AZ1034)</f>
        <v/>
      </c>
      <c r="BB1035" s="14">
        <f>F1035*in_sip_ticket*(BA1035+0.5*AZ1035)*in_sip_comm/12</f>
        <v/>
      </c>
      <c r="BC1035" s="40">
        <f>BC1034*(1-IF(B1034&gt;=in_marketplace_from,d_hz_choti*G1034,0))</f>
        <v/>
      </c>
      <c r="BD1035" s="46">
        <f>BC1035*IF(B1035&gt;=in_marketplace_from,d_hz_choti*G1035,0)</f>
        <v/>
      </c>
      <c r="BE1035" s="14">
        <f>F1035*SUMIFS(BD1012:BD1051,B1012:B1051,B1035-in_choti_months)*in_choti_renew*in_choti_ticket</f>
        <v/>
      </c>
      <c r="BF1035" s="40">
        <f>BF1034*(1-IF(B1034&gt;=in_marketplace_from,d_hz_nps*G1034,0))</f>
        <v/>
      </c>
      <c r="BG1035" s="14">
        <f>F1035*BF1035*IF(B1035&gt;=in_marketplace_from,d_hz_nps*G1035,0)*in_nps_ticket*in_nps_comm</f>
        <v/>
      </c>
      <c r="BH1035" s="40">
        <f>BH1034*(1-IF(B1034&gt;=in_marketplace_from,d_hz_gold*G1034,0))</f>
        <v/>
      </c>
      <c r="BI1035" s="40">
        <f>BI1034*d_rho_gold+BH1035*IF(B1035&gt;=in_marketplace_from,d_hz_gold*G1035,0)</f>
        <v/>
      </c>
      <c r="BJ1035" s="14">
        <f>F1035*BI1035*in_gold_ticket*in_gold_comm</f>
        <v/>
      </c>
      <c r="BK1035" s="40">
        <f>BK1034*(1-IF(B1034&gt;=in_marketplace_from,d_hz_fd*G1034,0))</f>
        <v/>
      </c>
      <c r="BL1035" s="14">
        <f>F1035*BK1035*IF(B1035&gt;=in_marketplace_from,d_hz_fd*G1035,0)*in_fd_ticket*in_fd_comm</f>
        <v/>
      </c>
      <c r="BM1035" s="40">
        <f>BM1034*(1-IF(B1034&gt;=in_marketplace_from,d_hz_recharge*G1034,0))</f>
        <v/>
      </c>
      <c r="BN1035" s="40">
        <f>BN1034*d_rho_recharge+BM1035*IF(B1035&gt;=in_marketplace_from,d_hz_recharge*G1035,0)</f>
        <v/>
      </c>
      <c r="BO1035" s="14">
        <f>F1035*BN1035*in_recharge_ticket*in_recharge_comm/12</f>
        <v/>
      </c>
      <c r="BP1035" s="40">
        <f>BP1034*(1-IF(B1034&gt;=in_marketplace_from,d_hz_bills*G1034,0))</f>
        <v/>
      </c>
      <c r="BQ1035" s="40">
        <f>BQ1034*d_rho_bills+BP1035*IF(B1035&gt;=in_marketplace_from,d_hz_bills*G1035,0)</f>
        <v/>
      </c>
      <c r="BR1035" s="14">
        <f>F1035*BQ1035*in_bills_ticket*in_bills_comm/12</f>
        <v/>
      </c>
      <c r="BS1035" s="40">
        <f>BS1034*(1-IF(B1034&gt;=in_marketplace_from,d_hz_loan_gold*G1034,0))</f>
        <v/>
      </c>
      <c r="BT1035" s="14">
        <f>F1035*BS1035*IF(B1035&gt;=in_marketplace_from,d_hz_loan_gold*G1035,0)*in_loan_gold_ticket*in_loan_gold_comm</f>
        <v/>
      </c>
      <c r="BU1035" s="40">
        <f>BU1034*(1-IF(B1034&gt;=in_marketplace_from,d_hz_loan_cd*G1034,0))</f>
        <v/>
      </c>
      <c r="BV1035" s="14">
        <f>F1035*BU1035*IF(B1035&gt;=in_marketplace_from,d_hz_loan_cd*G1035,0)*in_loan_cd_ticket*in_loan_cd_comm</f>
        <v/>
      </c>
      <c r="BW1035" s="40">
        <f>BW1034*(1-IF(B1034&gt;=in_marketplace_from,d_hz_loan_vehicle*G1034,0))</f>
        <v/>
      </c>
      <c r="BX1035" s="14">
        <f>F1035*BW1035*IF(B1035&gt;=in_marketplace_from,d_hz_loan_vehicle*G1035,0)*in_loan_vehicle_ticket*in_loan_vehicle_comm</f>
        <v/>
      </c>
      <c r="BY1035" s="40">
        <f>BY1034*(1-IF(B1034&gt;=in_marketplace_from,d_hz_loan_home*G1034,0)*BZ1034)</f>
        <v/>
      </c>
      <c r="BZ1035" s="11">
        <f>MIN(in_approval_cap,in_loan_home_approval*INDEX('Age profile'!$O$2:$O$61,B1035)*(1+in_approval_growth)^(D1035-1))</f>
        <v/>
      </c>
      <c r="CA1035" s="14">
        <f>F1035*BY1035*IF(B1035&gt;=in_marketplace_from,d_hz_loan_home*G1035,0)*BZ1035*in_loan_home_ticket*in_loan_home_comm</f>
        <v/>
      </c>
      <c r="CB1035" s="40">
        <f>CB1034*(1-IF(B1034&gt;=in_marketplace_from,d_hz_loan_lap*G1034,0)*CC1034)</f>
        <v/>
      </c>
      <c r="CC1035" s="11">
        <f>MIN(in_approval_cap,in_loan_lap_approval*INDEX('Age profile'!$O$2:$O$61,B1035)*(1+in_approval_growth)^(D1035-1))</f>
        <v/>
      </c>
      <c r="CD1035" s="14">
        <f>F1035*CB1035*IF(B1035&gt;=in_marketplace_from,d_hz_loan_lap*G1035,0)*CC1035*in_loan_lap_ticket*in_loan_lap_comm</f>
        <v/>
      </c>
      <c r="CE1035" s="14">
        <f>AA1035+AB1035+AC1035+AD1035+AG1035+AJ1035+AM1035+AP1035+AS1035+AU1035+AX1035+BB1035+BE1035+BG1035+BJ1035+BL1035+BO1035+BR1035+BT1035+BV1035+BX1035+CA1035+CD1035</f>
        <v/>
      </c>
    </row>
    <row r="1036">
      <c r="A1036" s="39" t="n">
        <v>21</v>
      </c>
      <c r="B1036" s="39" t="n">
        <v>25</v>
      </c>
      <c r="C1036" s="39">
        <f>A1036+B1036-1</f>
        <v/>
      </c>
      <c r="D1036" s="39">
        <f>INT((C1036-1)/12)+1</f>
        <v/>
      </c>
      <c r="E1036" s="44">
        <f>INDEX(Monthly!$B$2:$B$61,A1036)</f>
        <v/>
      </c>
      <c r="F1036" s="44">
        <f>E1036*INDEX('Age profile'!$B$2:$B$61,B1036)</f>
        <v/>
      </c>
      <c r="G1036" s="45">
        <f>MIN(in_takeup_cap,INDEX('Age profile'!$N$2:$N$61,B1036)*(1+in_takeup_growth)^(D1036-1))</f>
        <v/>
      </c>
      <c r="H1036" s="11">
        <f>MIN(in_approval_cap,in_approved_first*INDEX('Age profile'!$O$2:$O$61,B1036)*(1+in_approval_growth)^(D1036-1))</f>
        <v/>
      </c>
      <c r="I1036" s="45">
        <f>G1036*MIN(in_takeup_cap,INDEX('Age profile'!$O$2:$O$61,B1036)*(1+in_approval_growth)^(D1036-1))</f>
        <v/>
      </c>
      <c r="J1036" s="40">
        <f>(J1035-L1035)*F1036/F1035</f>
        <v/>
      </c>
      <c r="K1036" s="40">
        <f>(K1035-M1035)*F1036/F1035+SUMIFS(O1012:O1035,B1012:B1035,B1036-1-d_T)*F1036</f>
        <v/>
      </c>
      <c r="L1036" s="40">
        <f>IF(B1036&gt;=in_marketplace_from,J1036*d_hz*G1036*in_eligible*H1036,0)</f>
        <v/>
      </c>
      <c r="M1036" s="40">
        <f>IF(B1036&gt;=in_marketplace_from,K1036*d_hz*G1036*in_eligible*in_approved_repeat,0)</f>
        <v/>
      </c>
      <c r="N1036" s="40">
        <f>L1036+M1036</f>
        <v/>
      </c>
      <c r="O1036" s="46">
        <f>N1036/F1036</f>
        <v/>
      </c>
      <c r="P1036" s="40">
        <f>F1036-J1036-K1036</f>
        <v/>
      </c>
      <c r="Q1036" s="40">
        <f>IF(B1036&gt;=in_marketplace_from,(J1036+K1036)*d_hz*G1036,0)</f>
        <v/>
      </c>
      <c r="R1036" s="40">
        <f>SUMIFS(N1012:N1051,B1012:B1051,"&gt;="&amp;(B1036-d_T),B1012:B1051,"&lt;="&amp;(B1036-1))</f>
        <v/>
      </c>
      <c r="S1036" s="46">
        <f>(1-d_u)*S1035+IF(d_T&gt;in_topup_lag,SUMIFS(O1012:O1051,B1012:B1051,B1036-in_topup_lag)-d_udrop*SUMIFS(O1012:O1051,B1012:B1051,B1036-d_T),0)</f>
        <v/>
      </c>
      <c r="T1036" s="40">
        <f>F1036*d_u*S1036</f>
        <v/>
      </c>
      <c r="U1036" s="9">
        <f>L1036*in_ticket+M1036*d_rep_ticket</f>
        <v/>
      </c>
      <c r="V1036" s="9">
        <f>U1036+T1036*d_topup_amt</f>
        <v/>
      </c>
      <c r="W1036" s="40">
        <f>N1036+T1036*d_topup_ratio</f>
        <v/>
      </c>
      <c r="X1036" s="40">
        <f>SUMIFS(W1012:W1051,B1012:B1051,B1036-in_dpd_lag)*d_cured</f>
        <v/>
      </c>
      <c r="Y1036" s="40">
        <f>SUMIFS(W1012:W1051,B1012:B1051,B1036-in_rec_lag)*d_recd</f>
        <v/>
      </c>
      <c r="Z1036" s="40">
        <f>IF(AND(B1036&gt;=in_marketplace_from,B1036&lt;in_marketplace_from+in_card_months),in_card_share/in_card_months*F1036*I1036,IF(AND(B1036&gt;=in_marketplace_from+in_card_months,B1036&lt;in_marketplace_from+2*in_card_months),in_card_share*d_card_rem/in_card_months*F1036*MIN(in_takeup_cap,(1+in_takeup_growth)^(D1036-1))*MIN(in_takeup_cap,(1+in_approval_growth)^(D1036-1)),0))</f>
        <v/>
      </c>
      <c r="AA1036" s="14">
        <f>V1036*in_fee*(1-in_taken_back)</f>
        <v/>
      </c>
      <c r="AB1036" s="14">
        <f>SUMIFS(W1012:W1051,B1012:B1051,B1036-in_dpd_lag)*d_dpd</f>
        <v/>
      </c>
      <c r="AC1036" s="14">
        <f>SUMIFS(W1012:W1051,B1012:B1051,B1036-in_rec_lag)*d_rec</f>
        <v/>
      </c>
      <c r="AD1036" s="14">
        <f>Z1036*in_card_fee</f>
        <v/>
      </c>
      <c r="AE1036" s="40">
        <f>AE1035*(1-IF(B1035&gt;=in_marketplace_from,d_hz_hlth_small*G1035,0))</f>
        <v/>
      </c>
      <c r="AF1036" s="46">
        <f>AE1036*IF(B1036&gt;=in_marketplace_from,d_hz_hlth_small*G1036,0)</f>
        <v/>
      </c>
      <c r="AG1036" s="14">
        <f>F1036*AF1036*in_hlth_small_ticket*in_hlth_small_comm*in_ins_partner_share+F1036*in_hlth_small_ticket*in_hlth_small_renew_comm*in_ins_partner_share*(in_hlth_small_renew^1*SUMIFS(AF1012:AF1051,B1012:B1051,B1036-12)+in_hlth_small_renew^2*SUMIFS(AF1012:AF1051,B1012:B1051,B1036-24)+in_hlth_small_renew^3*SUMIFS(AF1012:AF1051,B1012:B1051,B1036-36)+in_hlth_small_renew^4*SUMIFS(AF1012:AF1051,B1012:B1051,B1036-48))</f>
        <v/>
      </c>
      <c r="AH1036" s="40">
        <f>AH1035*(1-IF(B1035&gt;=in_marketplace_from,d_hz_hlth_family*G1035,0))</f>
        <v/>
      </c>
      <c r="AI1036" s="46">
        <f>AH1036*IF(B1036&gt;=in_marketplace_from,d_hz_hlth_family*G1036,0)</f>
        <v/>
      </c>
      <c r="AJ1036" s="14">
        <f>F1036*AI1036*in_hlth_family_ticket*in_hlth_family_comm*in_ins_partner_share+F1036*in_hlth_family_ticket*in_hlth_family_renew_comm*in_ins_partner_share*(in_hlth_family_renew^1*SUMIFS(AI1012:AI1051,B1012:B1051,B1036-12)+in_hlth_family_renew^2*SUMIFS(AI1012:AI1051,B1012:B1051,B1036-24)+in_hlth_family_renew^3*SUMIFS(AI1012:AI1051,B1012:B1051,B1036-36)+in_hlth_family_renew^4*SUMIFS(AI1012:AI1051,B1012:B1051,B1036-48))</f>
        <v/>
      </c>
      <c r="AK1036" s="40">
        <f>AK1035*(1-IF(B1035&gt;=in_marketplace_from,d_hz_life_term*G1035,0))</f>
        <v/>
      </c>
      <c r="AL1036" s="46">
        <f>AK1036*IF(B1036&gt;=in_marketplace_from,d_hz_life_term*G1036,0)</f>
        <v/>
      </c>
      <c r="AM1036" s="14">
        <f>F1036*AL1036*in_life_term_ticket*in_life_term_comm*in_ins_partner_share+F1036*in_life_term_ticket*in_life_term_renew_comm*in_ins_partner_share*(in_life_term_renew^1*SUMIFS(AL1012:AL1051,B1012:B1051,B1036-12)+in_life_term_renew^2*SUMIFS(AL1012:AL1051,B1012:B1051,B1036-24)+in_life_term_renew^3*SUMIFS(AL1012:AL1051,B1012:B1051,B1036-36)+in_life_term_renew^4*SUMIFS(AL1012:AL1051,B1012:B1051,B1036-48))</f>
        <v/>
      </c>
      <c r="AN1036" s="40">
        <f>AN1035*(1-IF(B1035&gt;=in_marketplace_from,d_hz_accident*G1035,0))</f>
        <v/>
      </c>
      <c r="AO1036" s="46">
        <f>AN1036*IF(B1036&gt;=in_marketplace_from,d_hz_accident*G1036,0)</f>
        <v/>
      </c>
      <c r="AP1036" s="14">
        <f>F1036*AO1036*in_accident_ticket*in_accident_comm*in_ins_partner_share+F1036*in_accident_ticket*in_accident_renew_comm*in_ins_partner_share*(in_accident_renew^1*SUMIFS(AO1012:AO1051,B1012:B1051,B1036-12)+in_accident_renew^2*SUMIFS(AO1012:AO1051,B1012:B1051,B1036-24)+in_accident_renew^3*SUMIFS(AO1012:AO1051,B1012:B1051,B1036-36)+in_accident_renew^4*SUMIFS(AO1012:AO1051,B1012:B1051,B1036-48))</f>
        <v/>
      </c>
      <c r="AQ1036" s="40">
        <f>AQ1035*(1-IF(B1035&gt;=in_marketplace_from,d_hz_two_wheeler*G1035,0))</f>
        <v/>
      </c>
      <c r="AR1036" s="46">
        <f>AQ1036*IF(B1036&gt;=in_marketplace_from,d_hz_two_wheeler*G1036,0)</f>
        <v/>
      </c>
      <c r="AS1036" s="14">
        <f>F1036*AR1036*in_two_wheeler_ticket*in_two_wheeler_comm*in_ins_partner_share+F1036*in_two_wheeler_ticket*in_two_wheeler_comm*in_ins_partner_share*(in_two_wheeler_renew^1*SUMIFS(AR1012:AR1051,B1012:B1051,B1036-12)+in_two_wheeler_renew^2*SUMIFS(AR1012:AR1051,B1012:B1051,B1036-24)+in_two_wheeler_renew^3*SUMIFS(AR1012:AR1051,B1012:B1051,B1036-36)+in_two_wheeler_renew^4*SUMIFS(AR1012:AR1051,B1012:B1051,B1036-48))</f>
        <v/>
      </c>
      <c r="AT1036" s="40">
        <f>AT1035*(1-IF(B1035&gt;=in_marketplace_from,d_hz_device*G1035,0))</f>
        <v/>
      </c>
      <c r="AU1036" s="14">
        <f>F1036*AT1036*IF(B1036&gt;=in_marketplace_from,d_hz_device*G1036,0)*in_device_ticket*in_device_comm*in_ins_partner_share</f>
        <v/>
      </c>
      <c r="AV1036" s="40">
        <f>AV1035*(1-IF(B1035&gt;=in_marketplace_from,d_hz_shop*G1035,0))</f>
        <v/>
      </c>
      <c r="AW1036" s="46">
        <f>AV1036*IF(B1036&gt;=in_marketplace_from,d_hz_shop*G1036,0)</f>
        <v/>
      </c>
      <c r="AX1036" s="14">
        <f>F1036*AW1036*in_shop_ticket*in_shop_comm*in_ins_partner_share+F1036*in_shop_ticket*in_shop_renew_comm*in_ins_partner_share*(in_shop_renew^1*SUMIFS(AW1012:AW1051,B1012:B1051,B1036-12)+in_shop_renew^2*SUMIFS(AW1012:AW1051,B1012:B1051,B1036-24)+in_shop_renew^3*SUMIFS(AW1012:AW1051,B1012:B1051,B1036-36)+in_shop_renew^4*SUMIFS(AW1012:AW1051,B1012:B1051,B1036-48))</f>
        <v/>
      </c>
      <c r="AY1036" s="40">
        <f>AY1035*(1-IF(B1035&gt;=in_marketplace_from,d_hz_sip*G1035,0))</f>
        <v/>
      </c>
      <c r="AZ1036" s="40">
        <f>AZ1035*d_rho_sip+AY1036*IF(B1036&gt;=in_marketplace_from,d_hz_sip*G1036,0)</f>
        <v/>
      </c>
      <c r="BA1036" s="40">
        <f>d_rho_sip*(BA1035+AZ1035)</f>
        <v/>
      </c>
      <c r="BB1036" s="14">
        <f>F1036*in_sip_ticket*(BA1036+0.5*AZ1036)*in_sip_comm/12</f>
        <v/>
      </c>
      <c r="BC1036" s="40">
        <f>BC1035*(1-IF(B1035&gt;=in_marketplace_from,d_hz_choti*G1035,0))</f>
        <v/>
      </c>
      <c r="BD1036" s="46">
        <f>BC1036*IF(B1036&gt;=in_marketplace_from,d_hz_choti*G1036,0)</f>
        <v/>
      </c>
      <c r="BE1036" s="14">
        <f>F1036*SUMIFS(BD1012:BD1051,B1012:B1051,B1036-in_choti_months)*in_choti_renew*in_choti_ticket</f>
        <v/>
      </c>
      <c r="BF1036" s="40">
        <f>BF1035*(1-IF(B1035&gt;=in_marketplace_from,d_hz_nps*G1035,0))</f>
        <v/>
      </c>
      <c r="BG1036" s="14">
        <f>F1036*BF1036*IF(B1036&gt;=in_marketplace_from,d_hz_nps*G1036,0)*in_nps_ticket*in_nps_comm</f>
        <v/>
      </c>
      <c r="BH1036" s="40">
        <f>BH1035*(1-IF(B1035&gt;=in_marketplace_from,d_hz_gold*G1035,0))</f>
        <v/>
      </c>
      <c r="BI1036" s="40">
        <f>BI1035*d_rho_gold+BH1036*IF(B1036&gt;=in_marketplace_from,d_hz_gold*G1036,0)</f>
        <v/>
      </c>
      <c r="BJ1036" s="14">
        <f>F1036*BI1036*in_gold_ticket*in_gold_comm</f>
        <v/>
      </c>
      <c r="BK1036" s="40">
        <f>BK1035*(1-IF(B1035&gt;=in_marketplace_from,d_hz_fd*G1035,0))</f>
        <v/>
      </c>
      <c r="BL1036" s="14">
        <f>F1036*BK1036*IF(B1036&gt;=in_marketplace_from,d_hz_fd*G1036,0)*in_fd_ticket*in_fd_comm</f>
        <v/>
      </c>
      <c r="BM1036" s="40">
        <f>BM1035*(1-IF(B1035&gt;=in_marketplace_from,d_hz_recharge*G1035,0))</f>
        <v/>
      </c>
      <c r="BN1036" s="40">
        <f>BN1035*d_rho_recharge+BM1036*IF(B1036&gt;=in_marketplace_from,d_hz_recharge*G1036,0)</f>
        <v/>
      </c>
      <c r="BO1036" s="14">
        <f>F1036*BN1036*in_recharge_ticket*in_recharge_comm/12</f>
        <v/>
      </c>
      <c r="BP1036" s="40">
        <f>BP1035*(1-IF(B1035&gt;=in_marketplace_from,d_hz_bills*G1035,0))</f>
        <v/>
      </c>
      <c r="BQ1036" s="40">
        <f>BQ1035*d_rho_bills+BP1036*IF(B1036&gt;=in_marketplace_from,d_hz_bills*G1036,0)</f>
        <v/>
      </c>
      <c r="BR1036" s="14">
        <f>F1036*BQ1036*in_bills_ticket*in_bills_comm/12</f>
        <v/>
      </c>
      <c r="BS1036" s="40">
        <f>BS1035*(1-IF(B1035&gt;=in_marketplace_from,d_hz_loan_gold*G1035,0))</f>
        <v/>
      </c>
      <c r="BT1036" s="14">
        <f>F1036*BS1036*IF(B1036&gt;=in_marketplace_from,d_hz_loan_gold*G1036,0)*in_loan_gold_ticket*in_loan_gold_comm</f>
        <v/>
      </c>
      <c r="BU1036" s="40">
        <f>BU1035*(1-IF(B1035&gt;=in_marketplace_from,d_hz_loan_cd*G1035,0))</f>
        <v/>
      </c>
      <c r="BV1036" s="14">
        <f>F1036*BU1036*IF(B1036&gt;=in_marketplace_from,d_hz_loan_cd*G1036,0)*in_loan_cd_ticket*in_loan_cd_comm</f>
        <v/>
      </c>
      <c r="BW1036" s="40">
        <f>BW1035*(1-IF(B1035&gt;=in_marketplace_from,d_hz_loan_vehicle*G1035,0))</f>
        <v/>
      </c>
      <c r="BX1036" s="14">
        <f>F1036*BW1036*IF(B1036&gt;=in_marketplace_from,d_hz_loan_vehicle*G1036,0)*in_loan_vehicle_ticket*in_loan_vehicle_comm</f>
        <v/>
      </c>
      <c r="BY1036" s="40">
        <f>BY1035*(1-IF(B1035&gt;=in_marketplace_from,d_hz_loan_home*G1035,0)*BZ1035)</f>
        <v/>
      </c>
      <c r="BZ1036" s="11">
        <f>MIN(in_approval_cap,in_loan_home_approval*INDEX('Age profile'!$O$2:$O$61,B1036)*(1+in_approval_growth)^(D1036-1))</f>
        <v/>
      </c>
      <c r="CA1036" s="14">
        <f>F1036*BY1036*IF(B1036&gt;=in_marketplace_from,d_hz_loan_home*G1036,0)*BZ1036*in_loan_home_ticket*in_loan_home_comm</f>
        <v/>
      </c>
      <c r="CB1036" s="40">
        <f>CB1035*(1-IF(B1035&gt;=in_marketplace_from,d_hz_loan_lap*G1035,0)*CC1035)</f>
        <v/>
      </c>
      <c r="CC1036" s="11">
        <f>MIN(in_approval_cap,in_loan_lap_approval*INDEX('Age profile'!$O$2:$O$61,B1036)*(1+in_approval_growth)^(D1036-1))</f>
        <v/>
      </c>
      <c r="CD1036" s="14">
        <f>F1036*CB1036*IF(B1036&gt;=in_marketplace_from,d_hz_loan_lap*G1036,0)*CC1036*in_loan_lap_ticket*in_loan_lap_comm</f>
        <v/>
      </c>
      <c r="CE1036" s="14">
        <f>AA1036+AB1036+AC1036+AD1036+AG1036+AJ1036+AM1036+AP1036+AS1036+AU1036+AX1036+BB1036+BE1036+BG1036+BJ1036+BL1036+BO1036+BR1036+BT1036+BV1036+BX1036+CA1036+CD1036</f>
        <v/>
      </c>
    </row>
    <row r="1037">
      <c r="A1037" s="39" t="n">
        <v>21</v>
      </c>
      <c r="B1037" s="39" t="n">
        <v>26</v>
      </c>
      <c r="C1037" s="39">
        <f>A1037+B1037-1</f>
        <v/>
      </c>
      <c r="D1037" s="39">
        <f>INT((C1037-1)/12)+1</f>
        <v/>
      </c>
      <c r="E1037" s="44">
        <f>INDEX(Monthly!$B$2:$B$61,A1037)</f>
        <v/>
      </c>
      <c r="F1037" s="44">
        <f>E1037*INDEX('Age profile'!$B$2:$B$61,B1037)</f>
        <v/>
      </c>
      <c r="G1037" s="45">
        <f>MIN(in_takeup_cap,INDEX('Age profile'!$N$2:$N$61,B1037)*(1+in_takeup_growth)^(D1037-1))</f>
        <v/>
      </c>
      <c r="H1037" s="11">
        <f>MIN(in_approval_cap,in_approved_first*INDEX('Age profile'!$O$2:$O$61,B1037)*(1+in_approval_growth)^(D1037-1))</f>
        <v/>
      </c>
      <c r="I1037" s="45">
        <f>G1037*MIN(in_takeup_cap,INDEX('Age profile'!$O$2:$O$61,B1037)*(1+in_approval_growth)^(D1037-1))</f>
        <v/>
      </c>
      <c r="J1037" s="40">
        <f>(J1036-L1036)*F1037/F1036</f>
        <v/>
      </c>
      <c r="K1037" s="40">
        <f>(K1036-M1036)*F1037/F1036+SUMIFS(O1012:O1036,B1012:B1036,B1037-1-d_T)*F1037</f>
        <v/>
      </c>
      <c r="L1037" s="40">
        <f>IF(B1037&gt;=in_marketplace_from,J1037*d_hz*G1037*in_eligible*H1037,0)</f>
        <v/>
      </c>
      <c r="M1037" s="40">
        <f>IF(B1037&gt;=in_marketplace_from,K1037*d_hz*G1037*in_eligible*in_approved_repeat,0)</f>
        <v/>
      </c>
      <c r="N1037" s="40">
        <f>L1037+M1037</f>
        <v/>
      </c>
      <c r="O1037" s="46">
        <f>N1037/F1037</f>
        <v/>
      </c>
      <c r="P1037" s="40">
        <f>F1037-J1037-K1037</f>
        <v/>
      </c>
      <c r="Q1037" s="40">
        <f>IF(B1037&gt;=in_marketplace_from,(J1037+K1037)*d_hz*G1037,0)</f>
        <v/>
      </c>
      <c r="R1037" s="40">
        <f>SUMIFS(N1012:N1051,B1012:B1051,"&gt;="&amp;(B1037-d_T),B1012:B1051,"&lt;="&amp;(B1037-1))</f>
        <v/>
      </c>
      <c r="S1037" s="46">
        <f>(1-d_u)*S1036+IF(d_T&gt;in_topup_lag,SUMIFS(O1012:O1051,B1012:B1051,B1037-in_topup_lag)-d_udrop*SUMIFS(O1012:O1051,B1012:B1051,B1037-d_T),0)</f>
        <v/>
      </c>
      <c r="T1037" s="40">
        <f>F1037*d_u*S1037</f>
        <v/>
      </c>
      <c r="U1037" s="9">
        <f>L1037*in_ticket+M1037*d_rep_ticket</f>
        <v/>
      </c>
      <c r="V1037" s="9">
        <f>U1037+T1037*d_topup_amt</f>
        <v/>
      </c>
      <c r="W1037" s="40">
        <f>N1037+T1037*d_topup_ratio</f>
        <v/>
      </c>
      <c r="X1037" s="40">
        <f>SUMIFS(W1012:W1051,B1012:B1051,B1037-in_dpd_lag)*d_cured</f>
        <v/>
      </c>
      <c r="Y1037" s="40">
        <f>SUMIFS(W1012:W1051,B1012:B1051,B1037-in_rec_lag)*d_recd</f>
        <v/>
      </c>
      <c r="Z1037" s="40">
        <f>IF(AND(B1037&gt;=in_marketplace_from,B1037&lt;in_marketplace_from+in_card_months),in_card_share/in_card_months*F1037*I1037,IF(AND(B1037&gt;=in_marketplace_from+in_card_months,B1037&lt;in_marketplace_from+2*in_card_months),in_card_share*d_card_rem/in_card_months*F1037*MIN(in_takeup_cap,(1+in_takeup_growth)^(D1037-1))*MIN(in_takeup_cap,(1+in_approval_growth)^(D1037-1)),0))</f>
        <v/>
      </c>
      <c r="AA1037" s="14">
        <f>V1037*in_fee*(1-in_taken_back)</f>
        <v/>
      </c>
      <c r="AB1037" s="14">
        <f>SUMIFS(W1012:W1051,B1012:B1051,B1037-in_dpd_lag)*d_dpd</f>
        <v/>
      </c>
      <c r="AC1037" s="14">
        <f>SUMIFS(W1012:W1051,B1012:B1051,B1037-in_rec_lag)*d_rec</f>
        <v/>
      </c>
      <c r="AD1037" s="14">
        <f>Z1037*in_card_fee</f>
        <v/>
      </c>
      <c r="AE1037" s="40">
        <f>AE1036*(1-IF(B1036&gt;=in_marketplace_from,d_hz_hlth_small*G1036,0))</f>
        <v/>
      </c>
      <c r="AF1037" s="46">
        <f>AE1037*IF(B1037&gt;=in_marketplace_from,d_hz_hlth_small*G1037,0)</f>
        <v/>
      </c>
      <c r="AG1037" s="14">
        <f>F1037*AF1037*in_hlth_small_ticket*in_hlth_small_comm*in_ins_partner_share+F1037*in_hlth_small_ticket*in_hlth_small_renew_comm*in_ins_partner_share*(in_hlth_small_renew^1*SUMIFS(AF1012:AF1051,B1012:B1051,B1037-12)+in_hlth_small_renew^2*SUMIFS(AF1012:AF1051,B1012:B1051,B1037-24)+in_hlth_small_renew^3*SUMIFS(AF1012:AF1051,B1012:B1051,B1037-36)+in_hlth_small_renew^4*SUMIFS(AF1012:AF1051,B1012:B1051,B1037-48))</f>
        <v/>
      </c>
      <c r="AH1037" s="40">
        <f>AH1036*(1-IF(B1036&gt;=in_marketplace_from,d_hz_hlth_family*G1036,0))</f>
        <v/>
      </c>
      <c r="AI1037" s="46">
        <f>AH1037*IF(B1037&gt;=in_marketplace_from,d_hz_hlth_family*G1037,0)</f>
        <v/>
      </c>
      <c r="AJ1037" s="14">
        <f>F1037*AI1037*in_hlth_family_ticket*in_hlth_family_comm*in_ins_partner_share+F1037*in_hlth_family_ticket*in_hlth_family_renew_comm*in_ins_partner_share*(in_hlth_family_renew^1*SUMIFS(AI1012:AI1051,B1012:B1051,B1037-12)+in_hlth_family_renew^2*SUMIFS(AI1012:AI1051,B1012:B1051,B1037-24)+in_hlth_family_renew^3*SUMIFS(AI1012:AI1051,B1012:B1051,B1037-36)+in_hlth_family_renew^4*SUMIFS(AI1012:AI1051,B1012:B1051,B1037-48))</f>
        <v/>
      </c>
      <c r="AK1037" s="40">
        <f>AK1036*(1-IF(B1036&gt;=in_marketplace_from,d_hz_life_term*G1036,0))</f>
        <v/>
      </c>
      <c r="AL1037" s="46">
        <f>AK1037*IF(B1037&gt;=in_marketplace_from,d_hz_life_term*G1037,0)</f>
        <v/>
      </c>
      <c r="AM1037" s="14">
        <f>F1037*AL1037*in_life_term_ticket*in_life_term_comm*in_ins_partner_share+F1037*in_life_term_ticket*in_life_term_renew_comm*in_ins_partner_share*(in_life_term_renew^1*SUMIFS(AL1012:AL1051,B1012:B1051,B1037-12)+in_life_term_renew^2*SUMIFS(AL1012:AL1051,B1012:B1051,B1037-24)+in_life_term_renew^3*SUMIFS(AL1012:AL1051,B1012:B1051,B1037-36)+in_life_term_renew^4*SUMIFS(AL1012:AL1051,B1012:B1051,B1037-48))</f>
        <v/>
      </c>
      <c r="AN1037" s="40">
        <f>AN1036*(1-IF(B1036&gt;=in_marketplace_from,d_hz_accident*G1036,0))</f>
        <v/>
      </c>
      <c r="AO1037" s="46">
        <f>AN1037*IF(B1037&gt;=in_marketplace_from,d_hz_accident*G1037,0)</f>
        <v/>
      </c>
      <c r="AP1037" s="14">
        <f>F1037*AO1037*in_accident_ticket*in_accident_comm*in_ins_partner_share+F1037*in_accident_ticket*in_accident_renew_comm*in_ins_partner_share*(in_accident_renew^1*SUMIFS(AO1012:AO1051,B1012:B1051,B1037-12)+in_accident_renew^2*SUMIFS(AO1012:AO1051,B1012:B1051,B1037-24)+in_accident_renew^3*SUMIFS(AO1012:AO1051,B1012:B1051,B1037-36)+in_accident_renew^4*SUMIFS(AO1012:AO1051,B1012:B1051,B1037-48))</f>
        <v/>
      </c>
      <c r="AQ1037" s="40">
        <f>AQ1036*(1-IF(B1036&gt;=in_marketplace_from,d_hz_two_wheeler*G1036,0))</f>
        <v/>
      </c>
      <c r="AR1037" s="46">
        <f>AQ1037*IF(B1037&gt;=in_marketplace_from,d_hz_two_wheeler*G1037,0)</f>
        <v/>
      </c>
      <c r="AS1037" s="14">
        <f>F1037*AR1037*in_two_wheeler_ticket*in_two_wheeler_comm*in_ins_partner_share+F1037*in_two_wheeler_ticket*in_two_wheeler_comm*in_ins_partner_share*(in_two_wheeler_renew^1*SUMIFS(AR1012:AR1051,B1012:B1051,B1037-12)+in_two_wheeler_renew^2*SUMIFS(AR1012:AR1051,B1012:B1051,B1037-24)+in_two_wheeler_renew^3*SUMIFS(AR1012:AR1051,B1012:B1051,B1037-36)+in_two_wheeler_renew^4*SUMIFS(AR1012:AR1051,B1012:B1051,B1037-48))</f>
        <v/>
      </c>
      <c r="AT1037" s="40">
        <f>AT1036*(1-IF(B1036&gt;=in_marketplace_from,d_hz_device*G1036,0))</f>
        <v/>
      </c>
      <c r="AU1037" s="14">
        <f>F1037*AT1037*IF(B1037&gt;=in_marketplace_from,d_hz_device*G1037,0)*in_device_ticket*in_device_comm*in_ins_partner_share</f>
        <v/>
      </c>
      <c r="AV1037" s="40">
        <f>AV1036*(1-IF(B1036&gt;=in_marketplace_from,d_hz_shop*G1036,0))</f>
        <v/>
      </c>
      <c r="AW1037" s="46">
        <f>AV1037*IF(B1037&gt;=in_marketplace_from,d_hz_shop*G1037,0)</f>
        <v/>
      </c>
      <c r="AX1037" s="14">
        <f>F1037*AW1037*in_shop_ticket*in_shop_comm*in_ins_partner_share+F1037*in_shop_ticket*in_shop_renew_comm*in_ins_partner_share*(in_shop_renew^1*SUMIFS(AW1012:AW1051,B1012:B1051,B1037-12)+in_shop_renew^2*SUMIFS(AW1012:AW1051,B1012:B1051,B1037-24)+in_shop_renew^3*SUMIFS(AW1012:AW1051,B1012:B1051,B1037-36)+in_shop_renew^4*SUMIFS(AW1012:AW1051,B1012:B1051,B1037-48))</f>
        <v/>
      </c>
      <c r="AY1037" s="40">
        <f>AY1036*(1-IF(B1036&gt;=in_marketplace_from,d_hz_sip*G1036,0))</f>
        <v/>
      </c>
      <c r="AZ1037" s="40">
        <f>AZ1036*d_rho_sip+AY1037*IF(B1037&gt;=in_marketplace_from,d_hz_sip*G1037,0)</f>
        <v/>
      </c>
      <c r="BA1037" s="40">
        <f>d_rho_sip*(BA1036+AZ1036)</f>
        <v/>
      </c>
      <c r="BB1037" s="14">
        <f>F1037*in_sip_ticket*(BA1037+0.5*AZ1037)*in_sip_comm/12</f>
        <v/>
      </c>
      <c r="BC1037" s="40">
        <f>BC1036*(1-IF(B1036&gt;=in_marketplace_from,d_hz_choti*G1036,0))</f>
        <v/>
      </c>
      <c r="BD1037" s="46">
        <f>BC1037*IF(B1037&gt;=in_marketplace_from,d_hz_choti*G1037,0)</f>
        <v/>
      </c>
      <c r="BE1037" s="14">
        <f>F1037*SUMIFS(BD1012:BD1051,B1012:B1051,B1037-in_choti_months)*in_choti_renew*in_choti_ticket</f>
        <v/>
      </c>
      <c r="BF1037" s="40">
        <f>BF1036*(1-IF(B1036&gt;=in_marketplace_from,d_hz_nps*G1036,0))</f>
        <v/>
      </c>
      <c r="BG1037" s="14">
        <f>F1037*BF1037*IF(B1037&gt;=in_marketplace_from,d_hz_nps*G1037,0)*in_nps_ticket*in_nps_comm</f>
        <v/>
      </c>
      <c r="BH1037" s="40">
        <f>BH1036*(1-IF(B1036&gt;=in_marketplace_from,d_hz_gold*G1036,0))</f>
        <v/>
      </c>
      <c r="BI1037" s="40">
        <f>BI1036*d_rho_gold+BH1037*IF(B1037&gt;=in_marketplace_from,d_hz_gold*G1037,0)</f>
        <v/>
      </c>
      <c r="BJ1037" s="14">
        <f>F1037*BI1037*in_gold_ticket*in_gold_comm</f>
        <v/>
      </c>
      <c r="BK1037" s="40">
        <f>BK1036*(1-IF(B1036&gt;=in_marketplace_from,d_hz_fd*G1036,0))</f>
        <v/>
      </c>
      <c r="BL1037" s="14">
        <f>F1037*BK1037*IF(B1037&gt;=in_marketplace_from,d_hz_fd*G1037,0)*in_fd_ticket*in_fd_comm</f>
        <v/>
      </c>
      <c r="BM1037" s="40">
        <f>BM1036*(1-IF(B1036&gt;=in_marketplace_from,d_hz_recharge*G1036,0))</f>
        <v/>
      </c>
      <c r="BN1037" s="40">
        <f>BN1036*d_rho_recharge+BM1037*IF(B1037&gt;=in_marketplace_from,d_hz_recharge*G1037,0)</f>
        <v/>
      </c>
      <c r="BO1037" s="14">
        <f>F1037*BN1037*in_recharge_ticket*in_recharge_comm/12</f>
        <v/>
      </c>
      <c r="BP1037" s="40">
        <f>BP1036*(1-IF(B1036&gt;=in_marketplace_from,d_hz_bills*G1036,0))</f>
        <v/>
      </c>
      <c r="BQ1037" s="40">
        <f>BQ1036*d_rho_bills+BP1037*IF(B1037&gt;=in_marketplace_from,d_hz_bills*G1037,0)</f>
        <v/>
      </c>
      <c r="BR1037" s="14">
        <f>F1037*BQ1037*in_bills_ticket*in_bills_comm/12</f>
        <v/>
      </c>
      <c r="BS1037" s="40">
        <f>BS1036*(1-IF(B1036&gt;=in_marketplace_from,d_hz_loan_gold*G1036,0))</f>
        <v/>
      </c>
      <c r="BT1037" s="14">
        <f>F1037*BS1037*IF(B1037&gt;=in_marketplace_from,d_hz_loan_gold*G1037,0)*in_loan_gold_ticket*in_loan_gold_comm</f>
        <v/>
      </c>
      <c r="BU1037" s="40">
        <f>BU1036*(1-IF(B1036&gt;=in_marketplace_from,d_hz_loan_cd*G1036,0))</f>
        <v/>
      </c>
      <c r="BV1037" s="14">
        <f>F1037*BU1037*IF(B1037&gt;=in_marketplace_from,d_hz_loan_cd*G1037,0)*in_loan_cd_ticket*in_loan_cd_comm</f>
        <v/>
      </c>
      <c r="BW1037" s="40">
        <f>BW1036*(1-IF(B1036&gt;=in_marketplace_from,d_hz_loan_vehicle*G1036,0))</f>
        <v/>
      </c>
      <c r="BX1037" s="14">
        <f>F1037*BW1037*IF(B1037&gt;=in_marketplace_from,d_hz_loan_vehicle*G1037,0)*in_loan_vehicle_ticket*in_loan_vehicle_comm</f>
        <v/>
      </c>
      <c r="BY1037" s="40">
        <f>BY1036*(1-IF(B1036&gt;=in_marketplace_from,d_hz_loan_home*G1036,0)*BZ1036)</f>
        <v/>
      </c>
      <c r="BZ1037" s="11">
        <f>MIN(in_approval_cap,in_loan_home_approval*INDEX('Age profile'!$O$2:$O$61,B1037)*(1+in_approval_growth)^(D1037-1))</f>
        <v/>
      </c>
      <c r="CA1037" s="14">
        <f>F1037*BY1037*IF(B1037&gt;=in_marketplace_from,d_hz_loan_home*G1037,0)*BZ1037*in_loan_home_ticket*in_loan_home_comm</f>
        <v/>
      </c>
      <c r="CB1037" s="40">
        <f>CB1036*(1-IF(B1036&gt;=in_marketplace_from,d_hz_loan_lap*G1036,0)*CC1036)</f>
        <v/>
      </c>
      <c r="CC1037" s="11">
        <f>MIN(in_approval_cap,in_loan_lap_approval*INDEX('Age profile'!$O$2:$O$61,B1037)*(1+in_approval_growth)^(D1037-1))</f>
        <v/>
      </c>
      <c r="CD1037" s="14">
        <f>F1037*CB1037*IF(B1037&gt;=in_marketplace_from,d_hz_loan_lap*G1037,0)*CC1037*in_loan_lap_ticket*in_loan_lap_comm</f>
        <v/>
      </c>
      <c r="CE1037" s="14">
        <f>AA1037+AB1037+AC1037+AD1037+AG1037+AJ1037+AM1037+AP1037+AS1037+AU1037+AX1037+BB1037+BE1037+BG1037+BJ1037+BL1037+BO1037+BR1037+BT1037+BV1037+BX1037+CA1037+CD1037</f>
        <v/>
      </c>
    </row>
    <row r="1038">
      <c r="A1038" s="39" t="n">
        <v>21</v>
      </c>
      <c r="B1038" s="39" t="n">
        <v>27</v>
      </c>
      <c r="C1038" s="39">
        <f>A1038+B1038-1</f>
        <v/>
      </c>
      <c r="D1038" s="39">
        <f>INT((C1038-1)/12)+1</f>
        <v/>
      </c>
      <c r="E1038" s="44">
        <f>INDEX(Monthly!$B$2:$B$61,A1038)</f>
        <v/>
      </c>
      <c r="F1038" s="44">
        <f>E1038*INDEX('Age profile'!$B$2:$B$61,B1038)</f>
        <v/>
      </c>
      <c r="G1038" s="45">
        <f>MIN(in_takeup_cap,INDEX('Age profile'!$N$2:$N$61,B1038)*(1+in_takeup_growth)^(D1038-1))</f>
        <v/>
      </c>
      <c r="H1038" s="11">
        <f>MIN(in_approval_cap,in_approved_first*INDEX('Age profile'!$O$2:$O$61,B1038)*(1+in_approval_growth)^(D1038-1))</f>
        <v/>
      </c>
      <c r="I1038" s="45">
        <f>G1038*MIN(in_takeup_cap,INDEX('Age profile'!$O$2:$O$61,B1038)*(1+in_approval_growth)^(D1038-1))</f>
        <v/>
      </c>
      <c r="J1038" s="40">
        <f>(J1037-L1037)*F1038/F1037</f>
        <v/>
      </c>
      <c r="K1038" s="40">
        <f>(K1037-M1037)*F1038/F1037+SUMIFS(O1012:O1037,B1012:B1037,B1038-1-d_T)*F1038</f>
        <v/>
      </c>
      <c r="L1038" s="40">
        <f>IF(B1038&gt;=in_marketplace_from,J1038*d_hz*G1038*in_eligible*H1038,0)</f>
        <v/>
      </c>
      <c r="M1038" s="40">
        <f>IF(B1038&gt;=in_marketplace_from,K1038*d_hz*G1038*in_eligible*in_approved_repeat,0)</f>
        <v/>
      </c>
      <c r="N1038" s="40">
        <f>L1038+M1038</f>
        <v/>
      </c>
      <c r="O1038" s="46">
        <f>N1038/F1038</f>
        <v/>
      </c>
      <c r="P1038" s="40">
        <f>F1038-J1038-K1038</f>
        <v/>
      </c>
      <c r="Q1038" s="40">
        <f>IF(B1038&gt;=in_marketplace_from,(J1038+K1038)*d_hz*G1038,0)</f>
        <v/>
      </c>
      <c r="R1038" s="40">
        <f>SUMIFS(N1012:N1051,B1012:B1051,"&gt;="&amp;(B1038-d_T),B1012:B1051,"&lt;="&amp;(B1038-1))</f>
        <v/>
      </c>
      <c r="S1038" s="46">
        <f>(1-d_u)*S1037+IF(d_T&gt;in_topup_lag,SUMIFS(O1012:O1051,B1012:B1051,B1038-in_topup_lag)-d_udrop*SUMIFS(O1012:O1051,B1012:B1051,B1038-d_T),0)</f>
        <v/>
      </c>
      <c r="T1038" s="40">
        <f>F1038*d_u*S1038</f>
        <v/>
      </c>
      <c r="U1038" s="9">
        <f>L1038*in_ticket+M1038*d_rep_ticket</f>
        <v/>
      </c>
      <c r="V1038" s="9">
        <f>U1038+T1038*d_topup_amt</f>
        <v/>
      </c>
      <c r="W1038" s="40">
        <f>N1038+T1038*d_topup_ratio</f>
        <v/>
      </c>
      <c r="X1038" s="40">
        <f>SUMIFS(W1012:W1051,B1012:B1051,B1038-in_dpd_lag)*d_cured</f>
        <v/>
      </c>
      <c r="Y1038" s="40">
        <f>SUMIFS(W1012:W1051,B1012:B1051,B1038-in_rec_lag)*d_recd</f>
        <v/>
      </c>
      <c r="Z1038" s="40">
        <f>IF(AND(B1038&gt;=in_marketplace_from,B1038&lt;in_marketplace_from+in_card_months),in_card_share/in_card_months*F1038*I1038,IF(AND(B1038&gt;=in_marketplace_from+in_card_months,B1038&lt;in_marketplace_from+2*in_card_months),in_card_share*d_card_rem/in_card_months*F1038*MIN(in_takeup_cap,(1+in_takeup_growth)^(D1038-1))*MIN(in_takeup_cap,(1+in_approval_growth)^(D1038-1)),0))</f>
        <v/>
      </c>
      <c r="AA1038" s="14">
        <f>V1038*in_fee*(1-in_taken_back)</f>
        <v/>
      </c>
      <c r="AB1038" s="14">
        <f>SUMIFS(W1012:W1051,B1012:B1051,B1038-in_dpd_lag)*d_dpd</f>
        <v/>
      </c>
      <c r="AC1038" s="14">
        <f>SUMIFS(W1012:W1051,B1012:B1051,B1038-in_rec_lag)*d_rec</f>
        <v/>
      </c>
      <c r="AD1038" s="14">
        <f>Z1038*in_card_fee</f>
        <v/>
      </c>
      <c r="AE1038" s="40">
        <f>AE1037*(1-IF(B1037&gt;=in_marketplace_from,d_hz_hlth_small*G1037,0))</f>
        <v/>
      </c>
      <c r="AF1038" s="46">
        <f>AE1038*IF(B1038&gt;=in_marketplace_from,d_hz_hlth_small*G1038,0)</f>
        <v/>
      </c>
      <c r="AG1038" s="14">
        <f>F1038*AF1038*in_hlth_small_ticket*in_hlth_small_comm*in_ins_partner_share+F1038*in_hlth_small_ticket*in_hlth_small_renew_comm*in_ins_partner_share*(in_hlth_small_renew^1*SUMIFS(AF1012:AF1051,B1012:B1051,B1038-12)+in_hlth_small_renew^2*SUMIFS(AF1012:AF1051,B1012:B1051,B1038-24)+in_hlth_small_renew^3*SUMIFS(AF1012:AF1051,B1012:B1051,B1038-36)+in_hlth_small_renew^4*SUMIFS(AF1012:AF1051,B1012:B1051,B1038-48))</f>
        <v/>
      </c>
      <c r="AH1038" s="40">
        <f>AH1037*(1-IF(B1037&gt;=in_marketplace_from,d_hz_hlth_family*G1037,0))</f>
        <v/>
      </c>
      <c r="AI1038" s="46">
        <f>AH1038*IF(B1038&gt;=in_marketplace_from,d_hz_hlth_family*G1038,0)</f>
        <v/>
      </c>
      <c r="AJ1038" s="14">
        <f>F1038*AI1038*in_hlth_family_ticket*in_hlth_family_comm*in_ins_partner_share+F1038*in_hlth_family_ticket*in_hlth_family_renew_comm*in_ins_partner_share*(in_hlth_family_renew^1*SUMIFS(AI1012:AI1051,B1012:B1051,B1038-12)+in_hlth_family_renew^2*SUMIFS(AI1012:AI1051,B1012:B1051,B1038-24)+in_hlth_family_renew^3*SUMIFS(AI1012:AI1051,B1012:B1051,B1038-36)+in_hlth_family_renew^4*SUMIFS(AI1012:AI1051,B1012:B1051,B1038-48))</f>
        <v/>
      </c>
      <c r="AK1038" s="40">
        <f>AK1037*(1-IF(B1037&gt;=in_marketplace_from,d_hz_life_term*G1037,0))</f>
        <v/>
      </c>
      <c r="AL1038" s="46">
        <f>AK1038*IF(B1038&gt;=in_marketplace_from,d_hz_life_term*G1038,0)</f>
        <v/>
      </c>
      <c r="AM1038" s="14">
        <f>F1038*AL1038*in_life_term_ticket*in_life_term_comm*in_ins_partner_share+F1038*in_life_term_ticket*in_life_term_renew_comm*in_ins_partner_share*(in_life_term_renew^1*SUMIFS(AL1012:AL1051,B1012:B1051,B1038-12)+in_life_term_renew^2*SUMIFS(AL1012:AL1051,B1012:B1051,B1038-24)+in_life_term_renew^3*SUMIFS(AL1012:AL1051,B1012:B1051,B1038-36)+in_life_term_renew^4*SUMIFS(AL1012:AL1051,B1012:B1051,B1038-48))</f>
        <v/>
      </c>
      <c r="AN1038" s="40">
        <f>AN1037*(1-IF(B1037&gt;=in_marketplace_from,d_hz_accident*G1037,0))</f>
        <v/>
      </c>
      <c r="AO1038" s="46">
        <f>AN1038*IF(B1038&gt;=in_marketplace_from,d_hz_accident*G1038,0)</f>
        <v/>
      </c>
      <c r="AP1038" s="14">
        <f>F1038*AO1038*in_accident_ticket*in_accident_comm*in_ins_partner_share+F1038*in_accident_ticket*in_accident_renew_comm*in_ins_partner_share*(in_accident_renew^1*SUMIFS(AO1012:AO1051,B1012:B1051,B1038-12)+in_accident_renew^2*SUMIFS(AO1012:AO1051,B1012:B1051,B1038-24)+in_accident_renew^3*SUMIFS(AO1012:AO1051,B1012:B1051,B1038-36)+in_accident_renew^4*SUMIFS(AO1012:AO1051,B1012:B1051,B1038-48))</f>
        <v/>
      </c>
      <c r="AQ1038" s="40">
        <f>AQ1037*(1-IF(B1037&gt;=in_marketplace_from,d_hz_two_wheeler*G1037,0))</f>
        <v/>
      </c>
      <c r="AR1038" s="46">
        <f>AQ1038*IF(B1038&gt;=in_marketplace_from,d_hz_two_wheeler*G1038,0)</f>
        <v/>
      </c>
      <c r="AS1038" s="14">
        <f>F1038*AR1038*in_two_wheeler_ticket*in_two_wheeler_comm*in_ins_partner_share+F1038*in_two_wheeler_ticket*in_two_wheeler_comm*in_ins_partner_share*(in_two_wheeler_renew^1*SUMIFS(AR1012:AR1051,B1012:B1051,B1038-12)+in_two_wheeler_renew^2*SUMIFS(AR1012:AR1051,B1012:B1051,B1038-24)+in_two_wheeler_renew^3*SUMIFS(AR1012:AR1051,B1012:B1051,B1038-36)+in_two_wheeler_renew^4*SUMIFS(AR1012:AR1051,B1012:B1051,B1038-48))</f>
        <v/>
      </c>
      <c r="AT1038" s="40">
        <f>AT1037*(1-IF(B1037&gt;=in_marketplace_from,d_hz_device*G1037,0))</f>
        <v/>
      </c>
      <c r="AU1038" s="14">
        <f>F1038*AT1038*IF(B1038&gt;=in_marketplace_from,d_hz_device*G1038,0)*in_device_ticket*in_device_comm*in_ins_partner_share</f>
        <v/>
      </c>
      <c r="AV1038" s="40">
        <f>AV1037*(1-IF(B1037&gt;=in_marketplace_from,d_hz_shop*G1037,0))</f>
        <v/>
      </c>
      <c r="AW1038" s="46">
        <f>AV1038*IF(B1038&gt;=in_marketplace_from,d_hz_shop*G1038,0)</f>
        <v/>
      </c>
      <c r="AX1038" s="14">
        <f>F1038*AW1038*in_shop_ticket*in_shop_comm*in_ins_partner_share+F1038*in_shop_ticket*in_shop_renew_comm*in_ins_partner_share*(in_shop_renew^1*SUMIFS(AW1012:AW1051,B1012:B1051,B1038-12)+in_shop_renew^2*SUMIFS(AW1012:AW1051,B1012:B1051,B1038-24)+in_shop_renew^3*SUMIFS(AW1012:AW1051,B1012:B1051,B1038-36)+in_shop_renew^4*SUMIFS(AW1012:AW1051,B1012:B1051,B1038-48))</f>
        <v/>
      </c>
      <c r="AY1038" s="40">
        <f>AY1037*(1-IF(B1037&gt;=in_marketplace_from,d_hz_sip*G1037,0))</f>
        <v/>
      </c>
      <c r="AZ1038" s="40">
        <f>AZ1037*d_rho_sip+AY1038*IF(B1038&gt;=in_marketplace_from,d_hz_sip*G1038,0)</f>
        <v/>
      </c>
      <c r="BA1038" s="40">
        <f>d_rho_sip*(BA1037+AZ1037)</f>
        <v/>
      </c>
      <c r="BB1038" s="14">
        <f>F1038*in_sip_ticket*(BA1038+0.5*AZ1038)*in_sip_comm/12</f>
        <v/>
      </c>
      <c r="BC1038" s="40">
        <f>BC1037*(1-IF(B1037&gt;=in_marketplace_from,d_hz_choti*G1037,0))</f>
        <v/>
      </c>
      <c r="BD1038" s="46">
        <f>BC1038*IF(B1038&gt;=in_marketplace_from,d_hz_choti*G1038,0)</f>
        <v/>
      </c>
      <c r="BE1038" s="14">
        <f>F1038*SUMIFS(BD1012:BD1051,B1012:B1051,B1038-in_choti_months)*in_choti_renew*in_choti_ticket</f>
        <v/>
      </c>
      <c r="BF1038" s="40">
        <f>BF1037*(1-IF(B1037&gt;=in_marketplace_from,d_hz_nps*G1037,0))</f>
        <v/>
      </c>
      <c r="BG1038" s="14">
        <f>F1038*BF1038*IF(B1038&gt;=in_marketplace_from,d_hz_nps*G1038,0)*in_nps_ticket*in_nps_comm</f>
        <v/>
      </c>
      <c r="BH1038" s="40">
        <f>BH1037*(1-IF(B1037&gt;=in_marketplace_from,d_hz_gold*G1037,0))</f>
        <v/>
      </c>
      <c r="BI1038" s="40">
        <f>BI1037*d_rho_gold+BH1038*IF(B1038&gt;=in_marketplace_from,d_hz_gold*G1038,0)</f>
        <v/>
      </c>
      <c r="BJ1038" s="14">
        <f>F1038*BI1038*in_gold_ticket*in_gold_comm</f>
        <v/>
      </c>
      <c r="BK1038" s="40">
        <f>BK1037*(1-IF(B1037&gt;=in_marketplace_from,d_hz_fd*G1037,0))</f>
        <v/>
      </c>
      <c r="BL1038" s="14">
        <f>F1038*BK1038*IF(B1038&gt;=in_marketplace_from,d_hz_fd*G1038,0)*in_fd_ticket*in_fd_comm</f>
        <v/>
      </c>
      <c r="BM1038" s="40">
        <f>BM1037*(1-IF(B1037&gt;=in_marketplace_from,d_hz_recharge*G1037,0))</f>
        <v/>
      </c>
      <c r="BN1038" s="40">
        <f>BN1037*d_rho_recharge+BM1038*IF(B1038&gt;=in_marketplace_from,d_hz_recharge*G1038,0)</f>
        <v/>
      </c>
      <c r="BO1038" s="14">
        <f>F1038*BN1038*in_recharge_ticket*in_recharge_comm/12</f>
        <v/>
      </c>
      <c r="BP1038" s="40">
        <f>BP1037*(1-IF(B1037&gt;=in_marketplace_from,d_hz_bills*G1037,0))</f>
        <v/>
      </c>
      <c r="BQ1038" s="40">
        <f>BQ1037*d_rho_bills+BP1038*IF(B1038&gt;=in_marketplace_from,d_hz_bills*G1038,0)</f>
        <v/>
      </c>
      <c r="BR1038" s="14">
        <f>F1038*BQ1038*in_bills_ticket*in_bills_comm/12</f>
        <v/>
      </c>
      <c r="BS1038" s="40">
        <f>BS1037*(1-IF(B1037&gt;=in_marketplace_from,d_hz_loan_gold*G1037,0))</f>
        <v/>
      </c>
      <c r="BT1038" s="14">
        <f>F1038*BS1038*IF(B1038&gt;=in_marketplace_from,d_hz_loan_gold*G1038,0)*in_loan_gold_ticket*in_loan_gold_comm</f>
        <v/>
      </c>
      <c r="BU1038" s="40">
        <f>BU1037*(1-IF(B1037&gt;=in_marketplace_from,d_hz_loan_cd*G1037,0))</f>
        <v/>
      </c>
      <c r="BV1038" s="14">
        <f>F1038*BU1038*IF(B1038&gt;=in_marketplace_from,d_hz_loan_cd*G1038,0)*in_loan_cd_ticket*in_loan_cd_comm</f>
        <v/>
      </c>
      <c r="BW1038" s="40">
        <f>BW1037*(1-IF(B1037&gt;=in_marketplace_from,d_hz_loan_vehicle*G1037,0))</f>
        <v/>
      </c>
      <c r="BX1038" s="14">
        <f>F1038*BW1038*IF(B1038&gt;=in_marketplace_from,d_hz_loan_vehicle*G1038,0)*in_loan_vehicle_ticket*in_loan_vehicle_comm</f>
        <v/>
      </c>
      <c r="BY1038" s="40">
        <f>BY1037*(1-IF(B1037&gt;=in_marketplace_from,d_hz_loan_home*G1037,0)*BZ1037)</f>
        <v/>
      </c>
      <c r="BZ1038" s="11">
        <f>MIN(in_approval_cap,in_loan_home_approval*INDEX('Age profile'!$O$2:$O$61,B1038)*(1+in_approval_growth)^(D1038-1))</f>
        <v/>
      </c>
      <c r="CA1038" s="14">
        <f>F1038*BY1038*IF(B1038&gt;=in_marketplace_from,d_hz_loan_home*G1038,0)*BZ1038*in_loan_home_ticket*in_loan_home_comm</f>
        <v/>
      </c>
      <c r="CB1038" s="40">
        <f>CB1037*(1-IF(B1037&gt;=in_marketplace_from,d_hz_loan_lap*G1037,0)*CC1037)</f>
        <v/>
      </c>
      <c r="CC1038" s="11">
        <f>MIN(in_approval_cap,in_loan_lap_approval*INDEX('Age profile'!$O$2:$O$61,B1038)*(1+in_approval_growth)^(D1038-1))</f>
        <v/>
      </c>
      <c r="CD1038" s="14">
        <f>F1038*CB1038*IF(B1038&gt;=in_marketplace_from,d_hz_loan_lap*G1038,0)*CC1038*in_loan_lap_ticket*in_loan_lap_comm</f>
        <v/>
      </c>
      <c r="CE1038" s="14">
        <f>AA1038+AB1038+AC1038+AD1038+AG1038+AJ1038+AM1038+AP1038+AS1038+AU1038+AX1038+BB1038+BE1038+BG1038+BJ1038+BL1038+BO1038+BR1038+BT1038+BV1038+BX1038+CA1038+CD1038</f>
        <v/>
      </c>
    </row>
    <row r="1039">
      <c r="A1039" s="39" t="n">
        <v>21</v>
      </c>
      <c r="B1039" s="39" t="n">
        <v>28</v>
      </c>
      <c r="C1039" s="39">
        <f>A1039+B1039-1</f>
        <v/>
      </c>
      <c r="D1039" s="39">
        <f>INT((C1039-1)/12)+1</f>
        <v/>
      </c>
      <c r="E1039" s="44">
        <f>INDEX(Monthly!$B$2:$B$61,A1039)</f>
        <v/>
      </c>
      <c r="F1039" s="44">
        <f>E1039*INDEX('Age profile'!$B$2:$B$61,B1039)</f>
        <v/>
      </c>
      <c r="G1039" s="45">
        <f>MIN(in_takeup_cap,INDEX('Age profile'!$N$2:$N$61,B1039)*(1+in_takeup_growth)^(D1039-1))</f>
        <v/>
      </c>
      <c r="H1039" s="11">
        <f>MIN(in_approval_cap,in_approved_first*INDEX('Age profile'!$O$2:$O$61,B1039)*(1+in_approval_growth)^(D1039-1))</f>
        <v/>
      </c>
      <c r="I1039" s="45">
        <f>G1039*MIN(in_takeup_cap,INDEX('Age profile'!$O$2:$O$61,B1039)*(1+in_approval_growth)^(D1039-1))</f>
        <v/>
      </c>
      <c r="J1039" s="40">
        <f>(J1038-L1038)*F1039/F1038</f>
        <v/>
      </c>
      <c r="K1039" s="40">
        <f>(K1038-M1038)*F1039/F1038+SUMIFS(O1012:O1038,B1012:B1038,B1039-1-d_T)*F1039</f>
        <v/>
      </c>
      <c r="L1039" s="40">
        <f>IF(B1039&gt;=in_marketplace_from,J1039*d_hz*G1039*in_eligible*H1039,0)</f>
        <v/>
      </c>
      <c r="M1039" s="40">
        <f>IF(B1039&gt;=in_marketplace_from,K1039*d_hz*G1039*in_eligible*in_approved_repeat,0)</f>
        <v/>
      </c>
      <c r="N1039" s="40">
        <f>L1039+M1039</f>
        <v/>
      </c>
      <c r="O1039" s="46">
        <f>N1039/F1039</f>
        <v/>
      </c>
      <c r="P1039" s="40">
        <f>F1039-J1039-K1039</f>
        <v/>
      </c>
      <c r="Q1039" s="40">
        <f>IF(B1039&gt;=in_marketplace_from,(J1039+K1039)*d_hz*G1039,0)</f>
        <v/>
      </c>
      <c r="R1039" s="40">
        <f>SUMIFS(N1012:N1051,B1012:B1051,"&gt;="&amp;(B1039-d_T),B1012:B1051,"&lt;="&amp;(B1039-1))</f>
        <v/>
      </c>
      <c r="S1039" s="46">
        <f>(1-d_u)*S1038+IF(d_T&gt;in_topup_lag,SUMIFS(O1012:O1051,B1012:B1051,B1039-in_topup_lag)-d_udrop*SUMIFS(O1012:O1051,B1012:B1051,B1039-d_T),0)</f>
        <v/>
      </c>
      <c r="T1039" s="40">
        <f>F1039*d_u*S1039</f>
        <v/>
      </c>
      <c r="U1039" s="9">
        <f>L1039*in_ticket+M1039*d_rep_ticket</f>
        <v/>
      </c>
      <c r="V1039" s="9">
        <f>U1039+T1039*d_topup_amt</f>
        <v/>
      </c>
      <c r="W1039" s="40">
        <f>N1039+T1039*d_topup_ratio</f>
        <v/>
      </c>
      <c r="X1039" s="40">
        <f>SUMIFS(W1012:W1051,B1012:B1051,B1039-in_dpd_lag)*d_cured</f>
        <v/>
      </c>
      <c r="Y1039" s="40">
        <f>SUMIFS(W1012:W1051,B1012:B1051,B1039-in_rec_lag)*d_recd</f>
        <v/>
      </c>
      <c r="Z1039" s="40">
        <f>IF(AND(B1039&gt;=in_marketplace_from,B1039&lt;in_marketplace_from+in_card_months),in_card_share/in_card_months*F1039*I1039,IF(AND(B1039&gt;=in_marketplace_from+in_card_months,B1039&lt;in_marketplace_from+2*in_card_months),in_card_share*d_card_rem/in_card_months*F1039*MIN(in_takeup_cap,(1+in_takeup_growth)^(D1039-1))*MIN(in_takeup_cap,(1+in_approval_growth)^(D1039-1)),0))</f>
        <v/>
      </c>
      <c r="AA1039" s="14">
        <f>V1039*in_fee*(1-in_taken_back)</f>
        <v/>
      </c>
      <c r="AB1039" s="14">
        <f>SUMIFS(W1012:W1051,B1012:B1051,B1039-in_dpd_lag)*d_dpd</f>
        <v/>
      </c>
      <c r="AC1039" s="14">
        <f>SUMIFS(W1012:W1051,B1012:B1051,B1039-in_rec_lag)*d_rec</f>
        <v/>
      </c>
      <c r="AD1039" s="14">
        <f>Z1039*in_card_fee</f>
        <v/>
      </c>
      <c r="AE1039" s="40">
        <f>AE1038*(1-IF(B1038&gt;=in_marketplace_from,d_hz_hlth_small*G1038,0))</f>
        <v/>
      </c>
      <c r="AF1039" s="46">
        <f>AE1039*IF(B1039&gt;=in_marketplace_from,d_hz_hlth_small*G1039,0)</f>
        <v/>
      </c>
      <c r="AG1039" s="14">
        <f>F1039*AF1039*in_hlth_small_ticket*in_hlth_small_comm*in_ins_partner_share+F1039*in_hlth_small_ticket*in_hlth_small_renew_comm*in_ins_partner_share*(in_hlth_small_renew^1*SUMIFS(AF1012:AF1051,B1012:B1051,B1039-12)+in_hlth_small_renew^2*SUMIFS(AF1012:AF1051,B1012:B1051,B1039-24)+in_hlth_small_renew^3*SUMIFS(AF1012:AF1051,B1012:B1051,B1039-36)+in_hlth_small_renew^4*SUMIFS(AF1012:AF1051,B1012:B1051,B1039-48))</f>
        <v/>
      </c>
      <c r="AH1039" s="40">
        <f>AH1038*(1-IF(B1038&gt;=in_marketplace_from,d_hz_hlth_family*G1038,0))</f>
        <v/>
      </c>
      <c r="AI1039" s="46">
        <f>AH1039*IF(B1039&gt;=in_marketplace_from,d_hz_hlth_family*G1039,0)</f>
        <v/>
      </c>
      <c r="AJ1039" s="14">
        <f>F1039*AI1039*in_hlth_family_ticket*in_hlth_family_comm*in_ins_partner_share+F1039*in_hlth_family_ticket*in_hlth_family_renew_comm*in_ins_partner_share*(in_hlth_family_renew^1*SUMIFS(AI1012:AI1051,B1012:B1051,B1039-12)+in_hlth_family_renew^2*SUMIFS(AI1012:AI1051,B1012:B1051,B1039-24)+in_hlth_family_renew^3*SUMIFS(AI1012:AI1051,B1012:B1051,B1039-36)+in_hlth_family_renew^4*SUMIFS(AI1012:AI1051,B1012:B1051,B1039-48))</f>
        <v/>
      </c>
      <c r="AK1039" s="40">
        <f>AK1038*(1-IF(B1038&gt;=in_marketplace_from,d_hz_life_term*G1038,0))</f>
        <v/>
      </c>
      <c r="AL1039" s="46">
        <f>AK1039*IF(B1039&gt;=in_marketplace_from,d_hz_life_term*G1039,0)</f>
        <v/>
      </c>
      <c r="AM1039" s="14">
        <f>F1039*AL1039*in_life_term_ticket*in_life_term_comm*in_ins_partner_share+F1039*in_life_term_ticket*in_life_term_renew_comm*in_ins_partner_share*(in_life_term_renew^1*SUMIFS(AL1012:AL1051,B1012:B1051,B1039-12)+in_life_term_renew^2*SUMIFS(AL1012:AL1051,B1012:B1051,B1039-24)+in_life_term_renew^3*SUMIFS(AL1012:AL1051,B1012:B1051,B1039-36)+in_life_term_renew^4*SUMIFS(AL1012:AL1051,B1012:B1051,B1039-48))</f>
        <v/>
      </c>
      <c r="AN1039" s="40">
        <f>AN1038*(1-IF(B1038&gt;=in_marketplace_from,d_hz_accident*G1038,0))</f>
        <v/>
      </c>
      <c r="AO1039" s="46">
        <f>AN1039*IF(B1039&gt;=in_marketplace_from,d_hz_accident*G1039,0)</f>
        <v/>
      </c>
      <c r="AP1039" s="14">
        <f>F1039*AO1039*in_accident_ticket*in_accident_comm*in_ins_partner_share+F1039*in_accident_ticket*in_accident_renew_comm*in_ins_partner_share*(in_accident_renew^1*SUMIFS(AO1012:AO1051,B1012:B1051,B1039-12)+in_accident_renew^2*SUMIFS(AO1012:AO1051,B1012:B1051,B1039-24)+in_accident_renew^3*SUMIFS(AO1012:AO1051,B1012:B1051,B1039-36)+in_accident_renew^4*SUMIFS(AO1012:AO1051,B1012:B1051,B1039-48))</f>
        <v/>
      </c>
      <c r="AQ1039" s="40">
        <f>AQ1038*(1-IF(B1038&gt;=in_marketplace_from,d_hz_two_wheeler*G1038,0))</f>
        <v/>
      </c>
      <c r="AR1039" s="46">
        <f>AQ1039*IF(B1039&gt;=in_marketplace_from,d_hz_two_wheeler*G1039,0)</f>
        <v/>
      </c>
      <c r="AS1039" s="14">
        <f>F1039*AR1039*in_two_wheeler_ticket*in_two_wheeler_comm*in_ins_partner_share+F1039*in_two_wheeler_ticket*in_two_wheeler_comm*in_ins_partner_share*(in_two_wheeler_renew^1*SUMIFS(AR1012:AR1051,B1012:B1051,B1039-12)+in_two_wheeler_renew^2*SUMIFS(AR1012:AR1051,B1012:B1051,B1039-24)+in_two_wheeler_renew^3*SUMIFS(AR1012:AR1051,B1012:B1051,B1039-36)+in_two_wheeler_renew^4*SUMIFS(AR1012:AR1051,B1012:B1051,B1039-48))</f>
        <v/>
      </c>
      <c r="AT1039" s="40">
        <f>AT1038*(1-IF(B1038&gt;=in_marketplace_from,d_hz_device*G1038,0))</f>
        <v/>
      </c>
      <c r="AU1039" s="14">
        <f>F1039*AT1039*IF(B1039&gt;=in_marketplace_from,d_hz_device*G1039,0)*in_device_ticket*in_device_comm*in_ins_partner_share</f>
        <v/>
      </c>
      <c r="AV1039" s="40">
        <f>AV1038*(1-IF(B1038&gt;=in_marketplace_from,d_hz_shop*G1038,0))</f>
        <v/>
      </c>
      <c r="AW1039" s="46">
        <f>AV1039*IF(B1039&gt;=in_marketplace_from,d_hz_shop*G1039,0)</f>
        <v/>
      </c>
      <c r="AX1039" s="14">
        <f>F1039*AW1039*in_shop_ticket*in_shop_comm*in_ins_partner_share+F1039*in_shop_ticket*in_shop_renew_comm*in_ins_partner_share*(in_shop_renew^1*SUMIFS(AW1012:AW1051,B1012:B1051,B1039-12)+in_shop_renew^2*SUMIFS(AW1012:AW1051,B1012:B1051,B1039-24)+in_shop_renew^3*SUMIFS(AW1012:AW1051,B1012:B1051,B1039-36)+in_shop_renew^4*SUMIFS(AW1012:AW1051,B1012:B1051,B1039-48))</f>
        <v/>
      </c>
      <c r="AY1039" s="40">
        <f>AY1038*(1-IF(B1038&gt;=in_marketplace_from,d_hz_sip*G1038,0))</f>
        <v/>
      </c>
      <c r="AZ1039" s="40">
        <f>AZ1038*d_rho_sip+AY1039*IF(B1039&gt;=in_marketplace_from,d_hz_sip*G1039,0)</f>
        <v/>
      </c>
      <c r="BA1039" s="40">
        <f>d_rho_sip*(BA1038+AZ1038)</f>
        <v/>
      </c>
      <c r="BB1039" s="14">
        <f>F1039*in_sip_ticket*(BA1039+0.5*AZ1039)*in_sip_comm/12</f>
        <v/>
      </c>
      <c r="BC1039" s="40">
        <f>BC1038*(1-IF(B1038&gt;=in_marketplace_from,d_hz_choti*G1038,0))</f>
        <v/>
      </c>
      <c r="BD1039" s="46">
        <f>BC1039*IF(B1039&gt;=in_marketplace_from,d_hz_choti*G1039,0)</f>
        <v/>
      </c>
      <c r="BE1039" s="14">
        <f>F1039*SUMIFS(BD1012:BD1051,B1012:B1051,B1039-in_choti_months)*in_choti_renew*in_choti_ticket</f>
        <v/>
      </c>
      <c r="BF1039" s="40">
        <f>BF1038*(1-IF(B1038&gt;=in_marketplace_from,d_hz_nps*G1038,0))</f>
        <v/>
      </c>
      <c r="BG1039" s="14">
        <f>F1039*BF1039*IF(B1039&gt;=in_marketplace_from,d_hz_nps*G1039,0)*in_nps_ticket*in_nps_comm</f>
        <v/>
      </c>
      <c r="BH1039" s="40">
        <f>BH1038*(1-IF(B1038&gt;=in_marketplace_from,d_hz_gold*G1038,0))</f>
        <v/>
      </c>
      <c r="BI1039" s="40">
        <f>BI1038*d_rho_gold+BH1039*IF(B1039&gt;=in_marketplace_from,d_hz_gold*G1039,0)</f>
        <v/>
      </c>
      <c r="BJ1039" s="14">
        <f>F1039*BI1039*in_gold_ticket*in_gold_comm</f>
        <v/>
      </c>
      <c r="BK1039" s="40">
        <f>BK1038*(1-IF(B1038&gt;=in_marketplace_from,d_hz_fd*G1038,0))</f>
        <v/>
      </c>
      <c r="BL1039" s="14">
        <f>F1039*BK1039*IF(B1039&gt;=in_marketplace_from,d_hz_fd*G1039,0)*in_fd_ticket*in_fd_comm</f>
        <v/>
      </c>
      <c r="BM1039" s="40">
        <f>BM1038*(1-IF(B1038&gt;=in_marketplace_from,d_hz_recharge*G1038,0))</f>
        <v/>
      </c>
      <c r="BN1039" s="40">
        <f>BN1038*d_rho_recharge+BM1039*IF(B1039&gt;=in_marketplace_from,d_hz_recharge*G1039,0)</f>
        <v/>
      </c>
      <c r="BO1039" s="14">
        <f>F1039*BN1039*in_recharge_ticket*in_recharge_comm/12</f>
        <v/>
      </c>
      <c r="BP1039" s="40">
        <f>BP1038*(1-IF(B1038&gt;=in_marketplace_from,d_hz_bills*G1038,0))</f>
        <v/>
      </c>
      <c r="BQ1039" s="40">
        <f>BQ1038*d_rho_bills+BP1039*IF(B1039&gt;=in_marketplace_from,d_hz_bills*G1039,0)</f>
        <v/>
      </c>
      <c r="BR1039" s="14">
        <f>F1039*BQ1039*in_bills_ticket*in_bills_comm/12</f>
        <v/>
      </c>
      <c r="BS1039" s="40">
        <f>BS1038*(1-IF(B1038&gt;=in_marketplace_from,d_hz_loan_gold*G1038,0))</f>
        <v/>
      </c>
      <c r="BT1039" s="14">
        <f>F1039*BS1039*IF(B1039&gt;=in_marketplace_from,d_hz_loan_gold*G1039,0)*in_loan_gold_ticket*in_loan_gold_comm</f>
        <v/>
      </c>
      <c r="BU1039" s="40">
        <f>BU1038*(1-IF(B1038&gt;=in_marketplace_from,d_hz_loan_cd*G1038,0))</f>
        <v/>
      </c>
      <c r="BV1039" s="14">
        <f>F1039*BU1039*IF(B1039&gt;=in_marketplace_from,d_hz_loan_cd*G1039,0)*in_loan_cd_ticket*in_loan_cd_comm</f>
        <v/>
      </c>
      <c r="BW1039" s="40">
        <f>BW1038*(1-IF(B1038&gt;=in_marketplace_from,d_hz_loan_vehicle*G1038,0))</f>
        <v/>
      </c>
      <c r="BX1039" s="14">
        <f>F1039*BW1039*IF(B1039&gt;=in_marketplace_from,d_hz_loan_vehicle*G1039,0)*in_loan_vehicle_ticket*in_loan_vehicle_comm</f>
        <v/>
      </c>
      <c r="BY1039" s="40">
        <f>BY1038*(1-IF(B1038&gt;=in_marketplace_from,d_hz_loan_home*G1038,0)*BZ1038)</f>
        <v/>
      </c>
      <c r="BZ1039" s="11">
        <f>MIN(in_approval_cap,in_loan_home_approval*INDEX('Age profile'!$O$2:$O$61,B1039)*(1+in_approval_growth)^(D1039-1))</f>
        <v/>
      </c>
      <c r="CA1039" s="14">
        <f>F1039*BY1039*IF(B1039&gt;=in_marketplace_from,d_hz_loan_home*G1039,0)*BZ1039*in_loan_home_ticket*in_loan_home_comm</f>
        <v/>
      </c>
      <c r="CB1039" s="40">
        <f>CB1038*(1-IF(B1038&gt;=in_marketplace_from,d_hz_loan_lap*G1038,0)*CC1038)</f>
        <v/>
      </c>
      <c r="CC1039" s="11">
        <f>MIN(in_approval_cap,in_loan_lap_approval*INDEX('Age profile'!$O$2:$O$61,B1039)*(1+in_approval_growth)^(D1039-1))</f>
        <v/>
      </c>
      <c r="CD1039" s="14">
        <f>F1039*CB1039*IF(B1039&gt;=in_marketplace_from,d_hz_loan_lap*G1039,0)*CC1039*in_loan_lap_ticket*in_loan_lap_comm</f>
        <v/>
      </c>
      <c r="CE1039" s="14">
        <f>AA1039+AB1039+AC1039+AD1039+AG1039+AJ1039+AM1039+AP1039+AS1039+AU1039+AX1039+BB1039+BE1039+BG1039+BJ1039+BL1039+BO1039+BR1039+BT1039+BV1039+BX1039+CA1039+CD1039</f>
        <v/>
      </c>
    </row>
    <row r="1040">
      <c r="A1040" s="39" t="n">
        <v>21</v>
      </c>
      <c r="B1040" s="39" t="n">
        <v>29</v>
      </c>
      <c r="C1040" s="39">
        <f>A1040+B1040-1</f>
        <v/>
      </c>
      <c r="D1040" s="39">
        <f>INT((C1040-1)/12)+1</f>
        <v/>
      </c>
      <c r="E1040" s="44">
        <f>INDEX(Monthly!$B$2:$B$61,A1040)</f>
        <v/>
      </c>
      <c r="F1040" s="44">
        <f>E1040*INDEX('Age profile'!$B$2:$B$61,B1040)</f>
        <v/>
      </c>
      <c r="G1040" s="45">
        <f>MIN(in_takeup_cap,INDEX('Age profile'!$N$2:$N$61,B1040)*(1+in_takeup_growth)^(D1040-1))</f>
        <v/>
      </c>
      <c r="H1040" s="11">
        <f>MIN(in_approval_cap,in_approved_first*INDEX('Age profile'!$O$2:$O$61,B1040)*(1+in_approval_growth)^(D1040-1))</f>
        <v/>
      </c>
      <c r="I1040" s="45">
        <f>G1040*MIN(in_takeup_cap,INDEX('Age profile'!$O$2:$O$61,B1040)*(1+in_approval_growth)^(D1040-1))</f>
        <v/>
      </c>
      <c r="J1040" s="40">
        <f>(J1039-L1039)*F1040/F1039</f>
        <v/>
      </c>
      <c r="K1040" s="40">
        <f>(K1039-M1039)*F1040/F1039+SUMIFS(O1012:O1039,B1012:B1039,B1040-1-d_T)*F1040</f>
        <v/>
      </c>
      <c r="L1040" s="40">
        <f>IF(B1040&gt;=in_marketplace_from,J1040*d_hz*G1040*in_eligible*H1040,0)</f>
        <v/>
      </c>
      <c r="M1040" s="40">
        <f>IF(B1040&gt;=in_marketplace_from,K1040*d_hz*G1040*in_eligible*in_approved_repeat,0)</f>
        <v/>
      </c>
      <c r="N1040" s="40">
        <f>L1040+M1040</f>
        <v/>
      </c>
      <c r="O1040" s="46">
        <f>N1040/F1040</f>
        <v/>
      </c>
      <c r="P1040" s="40">
        <f>F1040-J1040-K1040</f>
        <v/>
      </c>
      <c r="Q1040" s="40">
        <f>IF(B1040&gt;=in_marketplace_from,(J1040+K1040)*d_hz*G1040,0)</f>
        <v/>
      </c>
      <c r="R1040" s="40">
        <f>SUMIFS(N1012:N1051,B1012:B1051,"&gt;="&amp;(B1040-d_T),B1012:B1051,"&lt;="&amp;(B1040-1))</f>
        <v/>
      </c>
      <c r="S1040" s="46">
        <f>(1-d_u)*S1039+IF(d_T&gt;in_topup_lag,SUMIFS(O1012:O1051,B1012:B1051,B1040-in_topup_lag)-d_udrop*SUMIFS(O1012:O1051,B1012:B1051,B1040-d_T),0)</f>
        <v/>
      </c>
      <c r="T1040" s="40">
        <f>F1040*d_u*S1040</f>
        <v/>
      </c>
      <c r="U1040" s="9">
        <f>L1040*in_ticket+M1040*d_rep_ticket</f>
        <v/>
      </c>
      <c r="V1040" s="9">
        <f>U1040+T1040*d_topup_amt</f>
        <v/>
      </c>
      <c r="W1040" s="40">
        <f>N1040+T1040*d_topup_ratio</f>
        <v/>
      </c>
      <c r="X1040" s="40">
        <f>SUMIFS(W1012:W1051,B1012:B1051,B1040-in_dpd_lag)*d_cured</f>
        <v/>
      </c>
      <c r="Y1040" s="40">
        <f>SUMIFS(W1012:W1051,B1012:B1051,B1040-in_rec_lag)*d_recd</f>
        <v/>
      </c>
      <c r="Z1040" s="40">
        <f>IF(AND(B1040&gt;=in_marketplace_from,B1040&lt;in_marketplace_from+in_card_months),in_card_share/in_card_months*F1040*I1040,IF(AND(B1040&gt;=in_marketplace_from+in_card_months,B1040&lt;in_marketplace_from+2*in_card_months),in_card_share*d_card_rem/in_card_months*F1040*MIN(in_takeup_cap,(1+in_takeup_growth)^(D1040-1))*MIN(in_takeup_cap,(1+in_approval_growth)^(D1040-1)),0))</f>
        <v/>
      </c>
      <c r="AA1040" s="14">
        <f>V1040*in_fee*(1-in_taken_back)</f>
        <v/>
      </c>
      <c r="AB1040" s="14">
        <f>SUMIFS(W1012:W1051,B1012:B1051,B1040-in_dpd_lag)*d_dpd</f>
        <v/>
      </c>
      <c r="AC1040" s="14">
        <f>SUMIFS(W1012:W1051,B1012:B1051,B1040-in_rec_lag)*d_rec</f>
        <v/>
      </c>
      <c r="AD1040" s="14">
        <f>Z1040*in_card_fee</f>
        <v/>
      </c>
      <c r="AE1040" s="40">
        <f>AE1039*(1-IF(B1039&gt;=in_marketplace_from,d_hz_hlth_small*G1039,0))</f>
        <v/>
      </c>
      <c r="AF1040" s="46">
        <f>AE1040*IF(B1040&gt;=in_marketplace_from,d_hz_hlth_small*G1040,0)</f>
        <v/>
      </c>
      <c r="AG1040" s="14">
        <f>F1040*AF1040*in_hlth_small_ticket*in_hlth_small_comm*in_ins_partner_share+F1040*in_hlth_small_ticket*in_hlth_small_renew_comm*in_ins_partner_share*(in_hlth_small_renew^1*SUMIFS(AF1012:AF1051,B1012:B1051,B1040-12)+in_hlth_small_renew^2*SUMIFS(AF1012:AF1051,B1012:B1051,B1040-24)+in_hlth_small_renew^3*SUMIFS(AF1012:AF1051,B1012:B1051,B1040-36)+in_hlth_small_renew^4*SUMIFS(AF1012:AF1051,B1012:B1051,B1040-48))</f>
        <v/>
      </c>
      <c r="AH1040" s="40">
        <f>AH1039*(1-IF(B1039&gt;=in_marketplace_from,d_hz_hlth_family*G1039,0))</f>
        <v/>
      </c>
      <c r="AI1040" s="46">
        <f>AH1040*IF(B1040&gt;=in_marketplace_from,d_hz_hlth_family*G1040,0)</f>
        <v/>
      </c>
      <c r="AJ1040" s="14">
        <f>F1040*AI1040*in_hlth_family_ticket*in_hlth_family_comm*in_ins_partner_share+F1040*in_hlth_family_ticket*in_hlth_family_renew_comm*in_ins_partner_share*(in_hlth_family_renew^1*SUMIFS(AI1012:AI1051,B1012:B1051,B1040-12)+in_hlth_family_renew^2*SUMIFS(AI1012:AI1051,B1012:B1051,B1040-24)+in_hlth_family_renew^3*SUMIFS(AI1012:AI1051,B1012:B1051,B1040-36)+in_hlth_family_renew^4*SUMIFS(AI1012:AI1051,B1012:B1051,B1040-48))</f>
        <v/>
      </c>
      <c r="AK1040" s="40">
        <f>AK1039*(1-IF(B1039&gt;=in_marketplace_from,d_hz_life_term*G1039,0))</f>
        <v/>
      </c>
      <c r="AL1040" s="46">
        <f>AK1040*IF(B1040&gt;=in_marketplace_from,d_hz_life_term*G1040,0)</f>
        <v/>
      </c>
      <c r="AM1040" s="14">
        <f>F1040*AL1040*in_life_term_ticket*in_life_term_comm*in_ins_partner_share+F1040*in_life_term_ticket*in_life_term_renew_comm*in_ins_partner_share*(in_life_term_renew^1*SUMIFS(AL1012:AL1051,B1012:B1051,B1040-12)+in_life_term_renew^2*SUMIFS(AL1012:AL1051,B1012:B1051,B1040-24)+in_life_term_renew^3*SUMIFS(AL1012:AL1051,B1012:B1051,B1040-36)+in_life_term_renew^4*SUMIFS(AL1012:AL1051,B1012:B1051,B1040-48))</f>
        <v/>
      </c>
      <c r="AN1040" s="40">
        <f>AN1039*(1-IF(B1039&gt;=in_marketplace_from,d_hz_accident*G1039,0))</f>
        <v/>
      </c>
      <c r="AO1040" s="46">
        <f>AN1040*IF(B1040&gt;=in_marketplace_from,d_hz_accident*G1040,0)</f>
        <v/>
      </c>
      <c r="AP1040" s="14">
        <f>F1040*AO1040*in_accident_ticket*in_accident_comm*in_ins_partner_share+F1040*in_accident_ticket*in_accident_renew_comm*in_ins_partner_share*(in_accident_renew^1*SUMIFS(AO1012:AO1051,B1012:B1051,B1040-12)+in_accident_renew^2*SUMIFS(AO1012:AO1051,B1012:B1051,B1040-24)+in_accident_renew^3*SUMIFS(AO1012:AO1051,B1012:B1051,B1040-36)+in_accident_renew^4*SUMIFS(AO1012:AO1051,B1012:B1051,B1040-48))</f>
        <v/>
      </c>
      <c r="AQ1040" s="40">
        <f>AQ1039*(1-IF(B1039&gt;=in_marketplace_from,d_hz_two_wheeler*G1039,0))</f>
        <v/>
      </c>
      <c r="AR1040" s="46">
        <f>AQ1040*IF(B1040&gt;=in_marketplace_from,d_hz_two_wheeler*G1040,0)</f>
        <v/>
      </c>
      <c r="AS1040" s="14">
        <f>F1040*AR1040*in_two_wheeler_ticket*in_two_wheeler_comm*in_ins_partner_share+F1040*in_two_wheeler_ticket*in_two_wheeler_comm*in_ins_partner_share*(in_two_wheeler_renew^1*SUMIFS(AR1012:AR1051,B1012:B1051,B1040-12)+in_two_wheeler_renew^2*SUMIFS(AR1012:AR1051,B1012:B1051,B1040-24)+in_two_wheeler_renew^3*SUMIFS(AR1012:AR1051,B1012:B1051,B1040-36)+in_two_wheeler_renew^4*SUMIFS(AR1012:AR1051,B1012:B1051,B1040-48))</f>
        <v/>
      </c>
      <c r="AT1040" s="40">
        <f>AT1039*(1-IF(B1039&gt;=in_marketplace_from,d_hz_device*G1039,0))</f>
        <v/>
      </c>
      <c r="AU1040" s="14">
        <f>F1040*AT1040*IF(B1040&gt;=in_marketplace_from,d_hz_device*G1040,0)*in_device_ticket*in_device_comm*in_ins_partner_share</f>
        <v/>
      </c>
      <c r="AV1040" s="40">
        <f>AV1039*(1-IF(B1039&gt;=in_marketplace_from,d_hz_shop*G1039,0))</f>
        <v/>
      </c>
      <c r="AW1040" s="46">
        <f>AV1040*IF(B1040&gt;=in_marketplace_from,d_hz_shop*G1040,0)</f>
        <v/>
      </c>
      <c r="AX1040" s="14">
        <f>F1040*AW1040*in_shop_ticket*in_shop_comm*in_ins_partner_share+F1040*in_shop_ticket*in_shop_renew_comm*in_ins_partner_share*(in_shop_renew^1*SUMIFS(AW1012:AW1051,B1012:B1051,B1040-12)+in_shop_renew^2*SUMIFS(AW1012:AW1051,B1012:B1051,B1040-24)+in_shop_renew^3*SUMIFS(AW1012:AW1051,B1012:B1051,B1040-36)+in_shop_renew^4*SUMIFS(AW1012:AW1051,B1012:B1051,B1040-48))</f>
        <v/>
      </c>
      <c r="AY1040" s="40">
        <f>AY1039*(1-IF(B1039&gt;=in_marketplace_from,d_hz_sip*G1039,0))</f>
        <v/>
      </c>
      <c r="AZ1040" s="40">
        <f>AZ1039*d_rho_sip+AY1040*IF(B1040&gt;=in_marketplace_from,d_hz_sip*G1040,0)</f>
        <v/>
      </c>
      <c r="BA1040" s="40">
        <f>d_rho_sip*(BA1039+AZ1039)</f>
        <v/>
      </c>
      <c r="BB1040" s="14">
        <f>F1040*in_sip_ticket*(BA1040+0.5*AZ1040)*in_sip_comm/12</f>
        <v/>
      </c>
      <c r="BC1040" s="40">
        <f>BC1039*(1-IF(B1039&gt;=in_marketplace_from,d_hz_choti*G1039,0))</f>
        <v/>
      </c>
      <c r="BD1040" s="46">
        <f>BC1040*IF(B1040&gt;=in_marketplace_from,d_hz_choti*G1040,0)</f>
        <v/>
      </c>
      <c r="BE1040" s="14">
        <f>F1040*SUMIFS(BD1012:BD1051,B1012:B1051,B1040-in_choti_months)*in_choti_renew*in_choti_ticket</f>
        <v/>
      </c>
      <c r="BF1040" s="40">
        <f>BF1039*(1-IF(B1039&gt;=in_marketplace_from,d_hz_nps*G1039,0))</f>
        <v/>
      </c>
      <c r="BG1040" s="14">
        <f>F1040*BF1040*IF(B1040&gt;=in_marketplace_from,d_hz_nps*G1040,0)*in_nps_ticket*in_nps_comm</f>
        <v/>
      </c>
      <c r="BH1040" s="40">
        <f>BH1039*(1-IF(B1039&gt;=in_marketplace_from,d_hz_gold*G1039,0))</f>
        <v/>
      </c>
      <c r="BI1040" s="40">
        <f>BI1039*d_rho_gold+BH1040*IF(B1040&gt;=in_marketplace_from,d_hz_gold*G1040,0)</f>
        <v/>
      </c>
      <c r="BJ1040" s="14">
        <f>F1040*BI1040*in_gold_ticket*in_gold_comm</f>
        <v/>
      </c>
      <c r="BK1040" s="40">
        <f>BK1039*(1-IF(B1039&gt;=in_marketplace_from,d_hz_fd*G1039,0))</f>
        <v/>
      </c>
      <c r="BL1040" s="14">
        <f>F1040*BK1040*IF(B1040&gt;=in_marketplace_from,d_hz_fd*G1040,0)*in_fd_ticket*in_fd_comm</f>
        <v/>
      </c>
      <c r="BM1040" s="40">
        <f>BM1039*(1-IF(B1039&gt;=in_marketplace_from,d_hz_recharge*G1039,0))</f>
        <v/>
      </c>
      <c r="BN1040" s="40">
        <f>BN1039*d_rho_recharge+BM1040*IF(B1040&gt;=in_marketplace_from,d_hz_recharge*G1040,0)</f>
        <v/>
      </c>
      <c r="BO1040" s="14">
        <f>F1040*BN1040*in_recharge_ticket*in_recharge_comm/12</f>
        <v/>
      </c>
      <c r="BP1040" s="40">
        <f>BP1039*(1-IF(B1039&gt;=in_marketplace_from,d_hz_bills*G1039,0))</f>
        <v/>
      </c>
      <c r="BQ1040" s="40">
        <f>BQ1039*d_rho_bills+BP1040*IF(B1040&gt;=in_marketplace_from,d_hz_bills*G1040,0)</f>
        <v/>
      </c>
      <c r="BR1040" s="14">
        <f>F1040*BQ1040*in_bills_ticket*in_bills_comm/12</f>
        <v/>
      </c>
      <c r="BS1040" s="40">
        <f>BS1039*(1-IF(B1039&gt;=in_marketplace_from,d_hz_loan_gold*G1039,0))</f>
        <v/>
      </c>
      <c r="BT1040" s="14">
        <f>F1040*BS1040*IF(B1040&gt;=in_marketplace_from,d_hz_loan_gold*G1040,0)*in_loan_gold_ticket*in_loan_gold_comm</f>
        <v/>
      </c>
      <c r="BU1040" s="40">
        <f>BU1039*(1-IF(B1039&gt;=in_marketplace_from,d_hz_loan_cd*G1039,0))</f>
        <v/>
      </c>
      <c r="BV1040" s="14">
        <f>F1040*BU1040*IF(B1040&gt;=in_marketplace_from,d_hz_loan_cd*G1040,0)*in_loan_cd_ticket*in_loan_cd_comm</f>
        <v/>
      </c>
      <c r="BW1040" s="40">
        <f>BW1039*(1-IF(B1039&gt;=in_marketplace_from,d_hz_loan_vehicle*G1039,0))</f>
        <v/>
      </c>
      <c r="BX1040" s="14">
        <f>F1040*BW1040*IF(B1040&gt;=in_marketplace_from,d_hz_loan_vehicle*G1040,0)*in_loan_vehicle_ticket*in_loan_vehicle_comm</f>
        <v/>
      </c>
      <c r="BY1040" s="40">
        <f>BY1039*(1-IF(B1039&gt;=in_marketplace_from,d_hz_loan_home*G1039,0)*BZ1039)</f>
        <v/>
      </c>
      <c r="BZ1040" s="11">
        <f>MIN(in_approval_cap,in_loan_home_approval*INDEX('Age profile'!$O$2:$O$61,B1040)*(1+in_approval_growth)^(D1040-1))</f>
        <v/>
      </c>
      <c r="CA1040" s="14">
        <f>F1040*BY1040*IF(B1040&gt;=in_marketplace_from,d_hz_loan_home*G1040,0)*BZ1040*in_loan_home_ticket*in_loan_home_comm</f>
        <v/>
      </c>
      <c r="CB1040" s="40">
        <f>CB1039*(1-IF(B1039&gt;=in_marketplace_from,d_hz_loan_lap*G1039,0)*CC1039)</f>
        <v/>
      </c>
      <c r="CC1040" s="11">
        <f>MIN(in_approval_cap,in_loan_lap_approval*INDEX('Age profile'!$O$2:$O$61,B1040)*(1+in_approval_growth)^(D1040-1))</f>
        <v/>
      </c>
      <c r="CD1040" s="14">
        <f>F1040*CB1040*IF(B1040&gt;=in_marketplace_from,d_hz_loan_lap*G1040,0)*CC1040*in_loan_lap_ticket*in_loan_lap_comm</f>
        <v/>
      </c>
      <c r="CE1040" s="14">
        <f>AA1040+AB1040+AC1040+AD1040+AG1040+AJ1040+AM1040+AP1040+AS1040+AU1040+AX1040+BB1040+BE1040+BG1040+BJ1040+BL1040+BO1040+BR1040+BT1040+BV1040+BX1040+CA1040+CD1040</f>
        <v/>
      </c>
    </row>
    <row r="1041">
      <c r="A1041" s="39" t="n">
        <v>21</v>
      </c>
      <c r="B1041" s="39" t="n">
        <v>30</v>
      </c>
      <c r="C1041" s="39">
        <f>A1041+B1041-1</f>
        <v/>
      </c>
      <c r="D1041" s="39">
        <f>INT((C1041-1)/12)+1</f>
        <v/>
      </c>
      <c r="E1041" s="44">
        <f>INDEX(Monthly!$B$2:$B$61,A1041)</f>
        <v/>
      </c>
      <c r="F1041" s="44">
        <f>E1041*INDEX('Age profile'!$B$2:$B$61,B1041)</f>
        <v/>
      </c>
      <c r="G1041" s="45">
        <f>MIN(in_takeup_cap,INDEX('Age profile'!$N$2:$N$61,B1041)*(1+in_takeup_growth)^(D1041-1))</f>
        <v/>
      </c>
      <c r="H1041" s="11">
        <f>MIN(in_approval_cap,in_approved_first*INDEX('Age profile'!$O$2:$O$61,B1041)*(1+in_approval_growth)^(D1041-1))</f>
        <v/>
      </c>
      <c r="I1041" s="45">
        <f>G1041*MIN(in_takeup_cap,INDEX('Age profile'!$O$2:$O$61,B1041)*(1+in_approval_growth)^(D1041-1))</f>
        <v/>
      </c>
      <c r="J1041" s="40">
        <f>(J1040-L1040)*F1041/F1040</f>
        <v/>
      </c>
      <c r="K1041" s="40">
        <f>(K1040-M1040)*F1041/F1040+SUMIFS(O1012:O1040,B1012:B1040,B1041-1-d_T)*F1041</f>
        <v/>
      </c>
      <c r="L1041" s="40">
        <f>IF(B1041&gt;=in_marketplace_from,J1041*d_hz*G1041*in_eligible*H1041,0)</f>
        <v/>
      </c>
      <c r="M1041" s="40">
        <f>IF(B1041&gt;=in_marketplace_from,K1041*d_hz*G1041*in_eligible*in_approved_repeat,0)</f>
        <v/>
      </c>
      <c r="N1041" s="40">
        <f>L1041+M1041</f>
        <v/>
      </c>
      <c r="O1041" s="46">
        <f>N1041/F1041</f>
        <v/>
      </c>
      <c r="P1041" s="40">
        <f>F1041-J1041-K1041</f>
        <v/>
      </c>
      <c r="Q1041" s="40">
        <f>IF(B1041&gt;=in_marketplace_from,(J1041+K1041)*d_hz*G1041,0)</f>
        <v/>
      </c>
      <c r="R1041" s="40">
        <f>SUMIFS(N1012:N1051,B1012:B1051,"&gt;="&amp;(B1041-d_T),B1012:B1051,"&lt;="&amp;(B1041-1))</f>
        <v/>
      </c>
      <c r="S1041" s="46">
        <f>(1-d_u)*S1040+IF(d_T&gt;in_topup_lag,SUMIFS(O1012:O1051,B1012:B1051,B1041-in_topup_lag)-d_udrop*SUMIFS(O1012:O1051,B1012:B1051,B1041-d_T),0)</f>
        <v/>
      </c>
      <c r="T1041" s="40">
        <f>F1041*d_u*S1041</f>
        <v/>
      </c>
      <c r="U1041" s="9">
        <f>L1041*in_ticket+M1041*d_rep_ticket</f>
        <v/>
      </c>
      <c r="V1041" s="9">
        <f>U1041+T1041*d_topup_amt</f>
        <v/>
      </c>
      <c r="W1041" s="40">
        <f>N1041+T1041*d_topup_ratio</f>
        <v/>
      </c>
      <c r="X1041" s="40">
        <f>SUMIFS(W1012:W1051,B1012:B1051,B1041-in_dpd_lag)*d_cured</f>
        <v/>
      </c>
      <c r="Y1041" s="40">
        <f>SUMIFS(W1012:W1051,B1012:B1051,B1041-in_rec_lag)*d_recd</f>
        <v/>
      </c>
      <c r="Z1041" s="40">
        <f>IF(AND(B1041&gt;=in_marketplace_from,B1041&lt;in_marketplace_from+in_card_months),in_card_share/in_card_months*F1041*I1041,IF(AND(B1041&gt;=in_marketplace_from+in_card_months,B1041&lt;in_marketplace_from+2*in_card_months),in_card_share*d_card_rem/in_card_months*F1041*MIN(in_takeup_cap,(1+in_takeup_growth)^(D1041-1))*MIN(in_takeup_cap,(1+in_approval_growth)^(D1041-1)),0))</f>
        <v/>
      </c>
      <c r="AA1041" s="14">
        <f>V1041*in_fee*(1-in_taken_back)</f>
        <v/>
      </c>
      <c r="AB1041" s="14">
        <f>SUMIFS(W1012:W1051,B1012:B1051,B1041-in_dpd_lag)*d_dpd</f>
        <v/>
      </c>
      <c r="AC1041" s="14">
        <f>SUMIFS(W1012:W1051,B1012:B1051,B1041-in_rec_lag)*d_rec</f>
        <v/>
      </c>
      <c r="AD1041" s="14">
        <f>Z1041*in_card_fee</f>
        <v/>
      </c>
      <c r="AE1041" s="40">
        <f>AE1040*(1-IF(B1040&gt;=in_marketplace_from,d_hz_hlth_small*G1040,0))</f>
        <v/>
      </c>
      <c r="AF1041" s="46">
        <f>AE1041*IF(B1041&gt;=in_marketplace_from,d_hz_hlth_small*G1041,0)</f>
        <v/>
      </c>
      <c r="AG1041" s="14">
        <f>F1041*AF1041*in_hlth_small_ticket*in_hlth_small_comm*in_ins_partner_share+F1041*in_hlth_small_ticket*in_hlth_small_renew_comm*in_ins_partner_share*(in_hlth_small_renew^1*SUMIFS(AF1012:AF1051,B1012:B1051,B1041-12)+in_hlth_small_renew^2*SUMIFS(AF1012:AF1051,B1012:B1051,B1041-24)+in_hlth_small_renew^3*SUMIFS(AF1012:AF1051,B1012:B1051,B1041-36)+in_hlth_small_renew^4*SUMIFS(AF1012:AF1051,B1012:B1051,B1041-48))</f>
        <v/>
      </c>
      <c r="AH1041" s="40">
        <f>AH1040*(1-IF(B1040&gt;=in_marketplace_from,d_hz_hlth_family*G1040,0))</f>
        <v/>
      </c>
      <c r="AI1041" s="46">
        <f>AH1041*IF(B1041&gt;=in_marketplace_from,d_hz_hlth_family*G1041,0)</f>
        <v/>
      </c>
      <c r="AJ1041" s="14">
        <f>F1041*AI1041*in_hlth_family_ticket*in_hlth_family_comm*in_ins_partner_share+F1041*in_hlth_family_ticket*in_hlth_family_renew_comm*in_ins_partner_share*(in_hlth_family_renew^1*SUMIFS(AI1012:AI1051,B1012:B1051,B1041-12)+in_hlth_family_renew^2*SUMIFS(AI1012:AI1051,B1012:B1051,B1041-24)+in_hlth_family_renew^3*SUMIFS(AI1012:AI1051,B1012:B1051,B1041-36)+in_hlth_family_renew^4*SUMIFS(AI1012:AI1051,B1012:B1051,B1041-48))</f>
        <v/>
      </c>
      <c r="AK1041" s="40">
        <f>AK1040*(1-IF(B1040&gt;=in_marketplace_from,d_hz_life_term*G1040,0))</f>
        <v/>
      </c>
      <c r="AL1041" s="46">
        <f>AK1041*IF(B1041&gt;=in_marketplace_from,d_hz_life_term*G1041,0)</f>
        <v/>
      </c>
      <c r="AM1041" s="14">
        <f>F1041*AL1041*in_life_term_ticket*in_life_term_comm*in_ins_partner_share+F1041*in_life_term_ticket*in_life_term_renew_comm*in_ins_partner_share*(in_life_term_renew^1*SUMIFS(AL1012:AL1051,B1012:B1051,B1041-12)+in_life_term_renew^2*SUMIFS(AL1012:AL1051,B1012:B1051,B1041-24)+in_life_term_renew^3*SUMIFS(AL1012:AL1051,B1012:B1051,B1041-36)+in_life_term_renew^4*SUMIFS(AL1012:AL1051,B1012:B1051,B1041-48))</f>
        <v/>
      </c>
      <c r="AN1041" s="40">
        <f>AN1040*(1-IF(B1040&gt;=in_marketplace_from,d_hz_accident*G1040,0))</f>
        <v/>
      </c>
      <c r="AO1041" s="46">
        <f>AN1041*IF(B1041&gt;=in_marketplace_from,d_hz_accident*G1041,0)</f>
        <v/>
      </c>
      <c r="AP1041" s="14">
        <f>F1041*AO1041*in_accident_ticket*in_accident_comm*in_ins_partner_share+F1041*in_accident_ticket*in_accident_renew_comm*in_ins_partner_share*(in_accident_renew^1*SUMIFS(AO1012:AO1051,B1012:B1051,B1041-12)+in_accident_renew^2*SUMIFS(AO1012:AO1051,B1012:B1051,B1041-24)+in_accident_renew^3*SUMIFS(AO1012:AO1051,B1012:B1051,B1041-36)+in_accident_renew^4*SUMIFS(AO1012:AO1051,B1012:B1051,B1041-48))</f>
        <v/>
      </c>
      <c r="AQ1041" s="40">
        <f>AQ1040*(1-IF(B1040&gt;=in_marketplace_from,d_hz_two_wheeler*G1040,0))</f>
        <v/>
      </c>
      <c r="AR1041" s="46">
        <f>AQ1041*IF(B1041&gt;=in_marketplace_from,d_hz_two_wheeler*G1041,0)</f>
        <v/>
      </c>
      <c r="AS1041" s="14">
        <f>F1041*AR1041*in_two_wheeler_ticket*in_two_wheeler_comm*in_ins_partner_share+F1041*in_two_wheeler_ticket*in_two_wheeler_comm*in_ins_partner_share*(in_two_wheeler_renew^1*SUMIFS(AR1012:AR1051,B1012:B1051,B1041-12)+in_two_wheeler_renew^2*SUMIFS(AR1012:AR1051,B1012:B1051,B1041-24)+in_two_wheeler_renew^3*SUMIFS(AR1012:AR1051,B1012:B1051,B1041-36)+in_two_wheeler_renew^4*SUMIFS(AR1012:AR1051,B1012:B1051,B1041-48))</f>
        <v/>
      </c>
      <c r="AT1041" s="40">
        <f>AT1040*(1-IF(B1040&gt;=in_marketplace_from,d_hz_device*G1040,0))</f>
        <v/>
      </c>
      <c r="AU1041" s="14">
        <f>F1041*AT1041*IF(B1041&gt;=in_marketplace_from,d_hz_device*G1041,0)*in_device_ticket*in_device_comm*in_ins_partner_share</f>
        <v/>
      </c>
      <c r="AV1041" s="40">
        <f>AV1040*(1-IF(B1040&gt;=in_marketplace_from,d_hz_shop*G1040,0))</f>
        <v/>
      </c>
      <c r="AW1041" s="46">
        <f>AV1041*IF(B1041&gt;=in_marketplace_from,d_hz_shop*G1041,0)</f>
        <v/>
      </c>
      <c r="AX1041" s="14">
        <f>F1041*AW1041*in_shop_ticket*in_shop_comm*in_ins_partner_share+F1041*in_shop_ticket*in_shop_renew_comm*in_ins_partner_share*(in_shop_renew^1*SUMIFS(AW1012:AW1051,B1012:B1051,B1041-12)+in_shop_renew^2*SUMIFS(AW1012:AW1051,B1012:B1051,B1041-24)+in_shop_renew^3*SUMIFS(AW1012:AW1051,B1012:B1051,B1041-36)+in_shop_renew^4*SUMIFS(AW1012:AW1051,B1012:B1051,B1041-48))</f>
        <v/>
      </c>
      <c r="AY1041" s="40">
        <f>AY1040*(1-IF(B1040&gt;=in_marketplace_from,d_hz_sip*G1040,0))</f>
        <v/>
      </c>
      <c r="AZ1041" s="40">
        <f>AZ1040*d_rho_sip+AY1041*IF(B1041&gt;=in_marketplace_from,d_hz_sip*G1041,0)</f>
        <v/>
      </c>
      <c r="BA1041" s="40">
        <f>d_rho_sip*(BA1040+AZ1040)</f>
        <v/>
      </c>
      <c r="BB1041" s="14">
        <f>F1041*in_sip_ticket*(BA1041+0.5*AZ1041)*in_sip_comm/12</f>
        <v/>
      </c>
      <c r="BC1041" s="40">
        <f>BC1040*(1-IF(B1040&gt;=in_marketplace_from,d_hz_choti*G1040,0))</f>
        <v/>
      </c>
      <c r="BD1041" s="46">
        <f>BC1041*IF(B1041&gt;=in_marketplace_from,d_hz_choti*G1041,0)</f>
        <v/>
      </c>
      <c r="BE1041" s="14">
        <f>F1041*SUMIFS(BD1012:BD1051,B1012:B1051,B1041-in_choti_months)*in_choti_renew*in_choti_ticket</f>
        <v/>
      </c>
      <c r="BF1041" s="40">
        <f>BF1040*(1-IF(B1040&gt;=in_marketplace_from,d_hz_nps*G1040,0))</f>
        <v/>
      </c>
      <c r="BG1041" s="14">
        <f>F1041*BF1041*IF(B1041&gt;=in_marketplace_from,d_hz_nps*G1041,0)*in_nps_ticket*in_nps_comm</f>
        <v/>
      </c>
      <c r="BH1041" s="40">
        <f>BH1040*(1-IF(B1040&gt;=in_marketplace_from,d_hz_gold*G1040,0))</f>
        <v/>
      </c>
      <c r="BI1041" s="40">
        <f>BI1040*d_rho_gold+BH1041*IF(B1041&gt;=in_marketplace_from,d_hz_gold*G1041,0)</f>
        <v/>
      </c>
      <c r="BJ1041" s="14">
        <f>F1041*BI1041*in_gold_ticket*in_gold_comm</f>
        <v/>
      </c>
      <c r="BK1041" s="40">
        <f>BK1040*(1-IF(B1040&gt;=in_marketplace_from,d_hz_fd*G1040,0))</f>
        <v/>
      </c>
      <c r="BL1041" s="14">
        <f>F1041*BK1041*IF(B1041&gt;=in_marketplace_from,d_hz_fd*G1041,0)*in_fd_ticket*in_fd_comm</f>
        <v/>
      </c>
      <c r="BM1041" s="40">
        <f>BM1040*(1-IF(B1040&gt;=in_marketplace_from,d_hz_recharge*G1040,0))</f>
        <v/>
      </c>
      <c r="BN1041" s="40">
        <f>BN1040*d_rho_recharge+BM1041*IF(B1041&gt;=in_marketplace_from,d_hz_recharge*G1041,0)</f>
        <v/>
      </c>
      <c r="BO1041" s="14">
        <f>F1041*BN1041*in_recharge_ticket*in_recharge_comm/12</f>
        <v/>
      </c>
      <c r="BP1041" s="40">
        <f>BP1040*(1-IF(B1040&gt;=in_marketplace_from,d_hz_bills*G1040,0))</f>
        <v/>
      </c>
      <c r="BQ1041" s="40">
        <f>BQ1040*d_rho_bills+BP1041*IF(B1041&gt;=in_marketplace_from,d_hz_bills*G1041,0)</f>
        <v/>
      </c>
      <c r="BR1041" s="14">
        <f>F1041*BQ1041*in_bills_ticket*in_bills_comm/12</f>
        <v/>
      </c>
      <c r="BS1041" s="40">
        <f>BS1040*(1-IF(B1040&gt;=in_marketplace_from,d_hz_loan_gold*G1040,0))</f>
        <v/>
      </c>
      <c r="BT1041" s="14">
        <f>F1041*BS1041*IF(B1041&gt;=in_marketplace_from,d_hz_loan_gold*G1041,0)*in_loan_gold_ticket*in_loan_gold_comm</f>
        <v/>
      </c>
      <c r="BU1041" s="40">
        <f>BU1040*(1-IF(B1040&gt;=in_marketplace_from,d_hz_loan_cd*G1040,0))</f>
        <v/>
      </c>
      <c r="BV1041" s="14">
        <f>F1041*BU1041*IF(B1041&gt;=in_marketplace_from,d_hz_loan_cd*G1041,0)*in_loan_cd_ticket*in_loan_cd_comm</f>
        <v/>
      </c>
      <c r="BW1041" s="40">
        <f>BW1040*(1-IF(B1040&gt;=in_marketplace_from,d_hz_loan_vehicle*G1040,0))</f>
        <v/>
      </c>
      <c r="BX1041" s="14">
        <f>F1041*BW1041*IF(B1041&gt;=in_marketplace_from,d_hz_loan_vehicle*G1041,0)*in_loan_vehicle_ticket*in_loan_vehicle_comm</f>
        <v/>
      </c>
      <c r="BY1041" s="40">
        <f>BY1040*(1-IF(B1040&gt;=in_marketplace_from,d_hz_loan_home*G1040,0)*BZ1040)</f>
        <v/>
      </c>
      <c r="BZ1041" s="11">
        <f>MIN(in_approval_cap,in_loan_home_approval*INDEX('Age profile'!$O$2:$O$61,B1041)*(1+in_approval_growth)^(D1041-1))</f>
        <v/>
      </c>
      <c r="CA1041" s="14">
        <f>F1041*BY1041*IF(B1041&gt;=in_marketplace_from,d_hz_loan_home*G1041,0)*BZ1041*in_loan_home_ticket*in_loan_home_comm</f>
        <v/>
      </c>
      <c r="CB1041" s="40">
        <f>CB1040*(1-IF(B1040&gt;=in_marketplace_from,d_hz_loan_lap*G1040,0)*CC1040)</f>
        <v/>
      </c>
      <c r="CC1041" s="11">
        <f>MIN(in_approval_cap,in_loan_lap_approval*INDEX('Age profile'!$O$2:$O$61,B1041)*(1+in_approval_growth)^(D1041-1))</f>
        <v/>
      </c>
      <c r="CD1041" s="14">
        <f>F1041*CB1041*IF(B1041&gt;=in_marketplace_from,d_hz_loan_lap*G1041,0)*CC1041*in_loan_lap_ticket*in_loan_lap_comm</f>
        <v/>
      </c>
      <c r="CE1041" s="14">
        <f>AA1041+AB1041+AC1041+AD1041+AG1041+AJ1041+AM1041+AP1041+AS1041+AU1041+AX1041+BB1041+BE1041+BG1041+BJ1041+BL1041+BO1041+BR1041+BT1041+BV1041+BX1041+CA1041+CD1041</f>
        <v/>
      </c>
    </row>
    <row r="1042">
      <c r="A1042" s="39" t="n">
        <v>21</v>
      </c>
      <c r="B1042" s="39" t="n">
        <v>31</v>
      </c>
      <c r="C1042" s="39">
        <f>A1042+B1042-1</f>
        <v/>
      </c>
      <c r="D1042" s="39">
        <f>INT((C1042-1)/12)+1</f>
        <v/>
      </c>
      <c r="E1042" s="44">
        <f>INDEX(Monthly!$B$2:$B$61,A1042)</f>
        <v/>
      </c>
      <c r="F1042" s="44">
        <f>E1042*INDEX('Age profile'!$B$2:$B$61,B1042)</f>
        <v/>
      </c>
      <c r="G1042" s="45">
        <f>MIN(in_takeup_cap,INDEX('Age profile'!$N$2:$N$61,B1042)*(1+in_takeup_growth)^(D1042-1))</f>
        <v/>
      </c>
      <c r="H1042" s="11">
        <f>MIN(in_approval_cap,in_approved_first*INDEX('Age profile'!$O$2:$O$61,B1042)*(1+in_approval_growth)^(D1042-1))</f>
        <v/>
      </c>
      <c r="I1042" s="45">
        <f>G1042*MIN(in_takeup_cap,INDEX('Age profile'!$O$2:$O$61,B1042)*(1+in_approval_growth)^(D1042-1))</f>
        <v/>
      </c>
      <c r="J1042" s="40">
        <f>(J1041-L1041)*F1042/F1041</f>
        <v/>
      </c>
      <c r="K1042" s="40">
        <f>(K1041-M1041)*F1042/F1041+SUMIFS(O1012:O1041,B1012:B1041,B1042-1-d_T)*F1042</f>
        <v/>
      </c>
      <c r="L1042" s="40">
        <f>IF(B1042&gt;=in_marketplace_from,J1042*d_hz*G1042*in_eligible*H1042,0)</f>
        <v/>
      </c>
      <c r="M1042" s="40">
        <f>IF(B1042&gt;=in_marketplace_from,K1042*d_hz*G1042*in_eligible*in_approved_repeat,0)</f>
        <v/>
      </c>
      <c r="N1042" s="40">
        <f>L1042+M1042</f>
        <v/>
      </c>
      <c r="O1042" s="46">
        <f>N1042/F1042</f>
        <v/>
      </c>
      <c r="P1042" s="40">
        <f>F1042-J1042-K1042</f>
        <v/>
      </c>
      <c r="Q1042" s="40">
        <f>IF(B1042&gt;=in_marketplace_from,(J1042+K1042)*d_hz*G1042,0)</f>
        <v/>
      </c>
      <c r="R1042" s="40">
        <f>SUMIFS(N1012:N1051,B1012:B1051,"&gt;="&amp;(B1042-d_T),B1012:B1051,"&lt;="&amp;(B1042-1))</f>
        <v/>
      </c>
      <c r="S1042" s="46">
        <f>(1-d_u)*S1041+IF(d_T&gt;in_topup_lag,SUMIFS(O1012:O1051,B1012:B1051,B1042-in_topup_lag)-d_udrop*SUMIFS(O1012:O1051,B1012:B1051,B1042-d_T),0)</f>
        <v/>
      </c>
      <c r="T1042" s="40">
        <f>F1042*d_u*S1042</f>
        <v/>
      </c>
      <c r="U1042" s="9">
        <f>L1042*in_ticket+M1042*d_rep_ticket</f>
        <v/>
      </c>
      <c r="V1042" s="9">
        <f>U1042+T1042*d_topup_amt</f>
        <v/>
      </c>
      <c r="W1042" s="40">
        <f>N1042+T1042*d_topup_ratio</f>
        <v/>
      </c>
      <c r="X1042" s="40">
        <f>SUMIFS(W1012:W1051,B1012:B1051,B1042-in_dpd_lag)*d_cured</f>
        <v/>
      </c>
      <c r="Y1042" s="40">
        <f>SUMIFS(W1012:W1051,B1012:B1051,B1042-in_rec_lag)*d_recd</f>
        <v/>
      </c>
      <c r="Z1042" s="40">
        <f>IF(AND(B1042&gt;=in_marketplace_from,B1042&lt;in_marketplace_from+in_card_months),in_card_share/in_card_months*F1042*I1042,IF(AND(B1042&gt;=in_marketplace_from+in_card_months,B1042&lt;in_marketplace_from+2*in_card_months),in_card_share*d_card_rem/in_card_months*F1042*MIN(in_takeup_cap,(1+in_takeup_growth)^(D1042-1))*MIN(in_takeup_cap,(1+in_approval_growth)^(D1042-1)),0))</f>
        <v/>
      </c>
      <c r="AA1042" s="14">
        <f>V1042*in_fee*(1-in_taken_back)</f>
        <v/>
      </c>
      <c r="AB1042" s="14">
        <f>SUMIFS(W1012:W1051,B1012:B1051,B1042-in_dpd_lag)*d_dpd</f>
        <v/>
      </c>
      <c r="AC1042" s="14">
        <f>SUMIFS(W1012:W1051,B1012:B1051,B1042-in_rec_lag)*d_rec</f>
        <v/>
      </c>
      <c r="AD1042" s="14">
        <f>Z1042*in_card_fee</f>
        <v/>
      </c>
      <c r="AE1042" s="40">
        <f>AE1041*(1-IF(B1041&gt;=in_marketplace_from,d_hz_hlth_small*G1041,0))</f>
        <v/>
      </c>
      <c r="AF1042" s="46">
        <f>AE1042*IF(B1042&gt;=in_marketplace_from,d_hz_hlth_small*G1042,0)</f>
        <v/>
      </c>
      <c r="AG1042" s="14">
        <f>F1042*AF1042*in_hlth_small_ticket*in_hlth_small_comm*in_ins_partner_share+F1042*in_hlth_small_ticket*in_hlth_small_renew_comm*in_ins_partner_share*(in_hlth_small_renew^1*SUMIFS(AF1012:AF1051,B1012:B1051,B1042-12)+in_hlth_small_renew^2*SUMIFS(AF1012:AF1051,B1012:B1051,B1042-24)+in_hlth_small_renew^3*SUMIFS(AF1012:AF1051,B1012:B1051,B1042-36)+in_hlth_small_renew^4*SUMIFS(AF1012:AF1051,B1012:B1051,B1042-48))</f>
        <v/>
      </c>
      <c r="AH1042" s="40">
        <f>AH1041*(1-IF(B1041&gt;=in_marketplace_from,d_hz_hlth_family*G1041,0))</f>
        <v/>
      </c>
      <c r="AI1042" s="46">
        <f>AH1042*IF(B1042&gt;=in_marketplace_from,d_hz_hlth_family*G1042,0)</f>
        <v/>
      </c>
      <c r="AJ1042" s="14">
        <f>F1042*AI1042*in_hlth_family_ticket*in_hlth_family_comm*in_ins_partner_share+F1042*in_hlth_family_ticket*in_hlth_family_renew_comm*in_ins_partner_share*(in_hlth_family_renew^1*SUMIFS(AI1012:AI1051,B1012:B1051,B1042-12)+in_hlth_family_renew^2*SUMIFS(AI1012:AI1051,B1012:B1051,B1042-24)+in_hlth_family_renew^3*SUMIFS(AI1012:AI1051,B1012:B1051,B1042-36)+in_hlth_family_renew^4*SUMIFS(AI1012:AI1051,B1012:B1051,B1042-48))</f>
        <v/>
      </c>
      <c r="AK1042" s="40">
        <f>AK1041*(1-IF(B1041&gt;=in_marketplace_from,d_hz_life_term*G1041,0))</f>
        <v/>
      </c>
      <c r="AL1042" s="46">
        <f>AK1042*IF(B1042&gt;=in_marketplace_from,d_hz_life_term*G1042,0)</f>
        <v/>
      </c>
      <c r="AM1042" s="14">
        <f>F1042*AL1042*in_life_term_ticket*in_life_term_comm*in_ins_partner_share+F1042*in_life_term_ticket*in_life_term_renew_comm*in_ins_partner_share*(in_life_term_renew^1*SUMIFS(AL1012:AL1051,B1012:B1051,B1042-12)+in_life_term_renew^2*SUMIFS(AL1012:AL1051,B1012:B1051,B1042-24)+in_life_term_renew^3*SUMIFS(AL1012:AL1051,B1012:B1051,B1042-36)+in_life_term_renew^4*SUMIFS(AL1012:AL1051,B1012:B1051,B1042-48))</f>
        <v/>
      </c>
      <c r="AN1042" s="40">
        <f>AN1041*(1-IF(B1041&gt;=in_marketplace_from,d_hz_accident*G1041,0))</f>
        <v/>
      </c>
      <c r="AO1042" s="46">
        <f>AN1042*IF(B1042&gt;=in_marketplace_from,d_hz_accident*G1042,0)</f>
        <v/>
      </c>
      <c r="AP1042" s="14">
        <f>F1042*AO1042*in_accident_ticket*in_accident_comm*in_ins_partner_share+F1042*in_accident_ticket*in_accident_renew_comm*in_ins_partner_share*(in_accident_renew^1*SUMIFS(AO1012:AO1051,B1012:B1051,B1042-12)+in_accident_renew^2*SUMIFS(AO1012:AO1051,B1012:B1051,B1042-24)+in_accident_renew^3*SUMIFS(AO1012:AO1051,B1012:B1051,B1042-36)+in_accident_renew^4*SUMIFS(AO1012:AO1051,B1012:B1051,B1042-48))</f>
        <v/>
      </c>
      <c r="AQ1042" s="40">
        <f>AQ1041*(1-IF(B1041&gt;=in_marketplace_from,d_hz_two_wheeler*G1041,0))</f>
        <v/>
      </c>
      <c r="AR1042" s="46">
        <f>AQ1042*IF(B1042&gt;=in_marketplace_from,d_hz_two_wheeler*G1042,0)</f>
        <v/>
      </c>
      <c r="AS1042" s="14">
        <f>F1042*AR1042*in_two_wheeler_ticket*in_two_wheeler_comm*in_ins_partner_share+F1042*in_two_wheeler_ticket*in_two_wheeler_comm*in_ins_partner_share*(in_two_wheeler_renew^1*SUMIFS(AR1012:AR1051,B1012:B1051,B1042-12)+in_two_wheeler_renew^2*SUMIFS(AR1012:AR1051,B1012:B1051,B1042-24)+in_two_wheeler_renew^3*SUMIFS(AR1012:AR1051,B1012:B1051,B1042-36)+in_two_wheeler_renew^4*SUMIFS(AR1012:AR1051,B1012:B1051,B1042-48))</f>
        <v/>
      </c>
      <c r="AT1042" s="40">
        <f>AT1041*(1-IF(B1041&gt;=in_marketplace_from,d_hz_device*G1041,0))</f>
        <v/>
      </c>
      <c r="AU1042" s="14">
        <f>F1042*AT1042*IF(B1042&gt;=in_marketplace_from,d_hz_device*G1042,0)*in_device_ticket*in_device_comm*in_ins_partner_share</f>
        <v/>
      </c>
      <c r="AV1042" s="40">
        <f>AV1041*(1-IF(B1041&gt;=in_marketplace_from,d_hz_shop*G1041,0))</f>
        <v/>
      </c>
      <c r="AW1042" s="46">
        <f>AV1042*IF(B1042&gt;=in_marketplace_from,d_hz_shop*G1042,0)</f>
        <v/>
      </c>
      <c r="AX1042" s="14">
        <f>F1042*AW1042*in_shop_ticket*in_shop_comm*in_ins_partner_share+F1042*in_shop_ticket*in_shop_renew_comm*in_ins_partner_share*(in_shop_renew^1*SUMIFS(AW1012:AW1051,B1012:B1051,B1042-12)+in_shop_renew^2*SUMIFS(AW1012:AW1051,B1012:B1051,B1042-24)+in_shop_renew^3*SUMIFS(AW1012:AW1051,B1012:B1051,B1042-36)+in_shop_renew^4*SUMIFS(AW1012:AW1051,B1012:B1051,B1042-48))</f>
        <v/>
      </c>
      <c r="AY1042" s="40">
        <f>AY1041*(1-IF(B1041&gt;=in_marketplace_from,d_hz_sip*G1041,0))</f>
        <v/>
      </c>
      <c r="AZ1042" s="40">
        <f>AZ1041*d_rho_sip+AY1042*IF(B1042&gt;=in_marketplace_from,d_hz_sip*G1042,0)</f>
        <v/>
      </c>
      <c r="BA1042" s="40">
        <f>d_rho_sip*(BA1041+AZ1041)</f>
        <v/>
      </c>
      <c r="BB1042" s="14">
        <f>F1042*in_sip_ticket*(BA1042+0.5*AZ1042)*in_sip_comm/12</f>
        <v/>
      </c>
      <c r="BC1042" s="40">
        <f>BC1041*(1-IF(B1041&gt;=in_marketplace_from,d_hz_choti*G1041,0))</f>
        <v/>
      </c>
      <c r="BD1042" s="46">
        <f>BC1042*IF(B1042&gt;=in_marketplace_from,d_hz_choti*G1042,0)</f>
        <v/>
      </c>
      <c r="BE1042" s="14">
        <f>F1042*SUMIFS(BD1012:BD1051,B1012:B1051,B1042-in_choti_months)*in_choti_renew*in_choti_ticket</f>
        <v/>
      </c>
      <c r="BF1042" s="40">
        <f>BF1041*(1-IF(B1041&gt;=in_marketplace_from,d_hz_nps*G1041,0))</f>
        <v/>
      </c>
      <c r="BG1042" s="14">
        <f>F1042*BF1042*IF(B1042&gt;=in_marketplace_from,d_hz_nps*G1042,0)*in_nps_ticket*in_nps_comm</f>
        <v/>
      </c>
      <c r="BH1042" s="40">
        <f>BH1041*(1-IF(B1041&gt;=in_marketplace_from,d_hz_gold*G1041,0))</f>
        <v/>
      </c>
      <c r="BI1042" s="40">
        <f>BI1041*d_rho_gold+BH1042*IF(B1042&gt;=in_marketplace_from,d_hz_gold*G1042,0)</f>
        <v/>
      </c>
      <c r="BJ1042" s="14">
        <f>F1042*BI1042*in_gold_ticket*in_gold_comm</f>
        <v/>
      </c>
      <c r="BK1042" s="40">
        <f>BK1041*(1-IF(B1041&gt;=in_marketplace_from,d_hz_fd*G1041,0))</f>
        <v/>
      </c>
      <c r="BL1042" s="14">
        <f>F1042*BK1042*IF(B1042&gt;=in_marketplace_from,d_hz_fd*G1042,0)*in_fd_ticket*in_fd_comm</f>
        <v/>
      </c>
      <c r="BM1042" s="40">
        <f>BM1041*(1-IF(B1041&gt;=in_marketplace_from,d_hz_recharge*G1041,0))</f>
        <v/>
      </c>
      <c r="BN1042" s="40">
        <f>BN1041*d_rho_recharge+BM1042*IF(B1042&gt;=in_marketplace_from,d_hz_recharge*G1042,0)</f>
        <v/>
      </c>
      <c r="BO1042" s="14">
        <f>F1042*BN1042*in_recharge_ticket*in_recharge_comm/12</f>
        <v/>
      </c>
      <c r="BP1042" s="40">
        <f>BP1041*(1-IF(B1041&gt;=in_marketplace_from,d_hz_bills*G1041,0))</f>
        <v/>
      </c>
      <c r="BQ1042" s="40">
        <f>BQ1041*d_rho_bills+BP1042*IF(B1042&gt;=in_marketplace_from,d_hz_bills*G1042,0)</f>
        <v/>
      </c>
      <c r="BR1042" s="14">
        <f>F1042*BQ1042*in_bills_ticket*in_bills_comm/12</f>
        <v/>
      </c>
      <c r="BS1042" s="40">
        <f>BS1041*(1-IF(B1041&gt;=in_marketplace_from,d_hz_loan_gold*G1041,0))</f>
        <v/>
      </c>
      <c r="BT1042" s="14">
        <f>F1042*BS1042*IF(B1042&gt;=in_marketplace_from,d_hz_loan_gold*G1042,0)*in_loan_gold_ticket*in_loan_gold_comm</f>
        <v/>
      </c>
      <c r="BU1042" s="40">
        <f>BU1041*(1-IF(B1041&gt;=in_marketplace_from,d_hz_loan_cd*G1041,0))</f>
        <v/>
      </c>
      <c r="BV1042" s="14">
        <f>F1042*BU1042*IF(B1042&gt;=in_marketplace_from,d_hz_loan_cd*G1042,0)*in_loan_cd_ticket*in_loan_cd_comm</f>
        <v/>
      </c>
      <c r="BW1042" s="40">
        <f>BW1041*(1-IF(B1041&gt;=in_marketplace_from,d_hz_loan_vehicle*G1041,0))</f>
        <v/>
      </c>
      <c r="BX1042" s="14">
        <f>F1042*BW1042*IF(B1042&gt;=in_marketplace_from,d_hz_loan_vehicle*G1042,0)*in_loan_vehicle_ticket*in_loan_vehicle_comm</f>
        <v/>
      </c>
      <c r="BY1042" s="40">
        <f>BY1041*(1-IF(B1041&gt;=in_marketplace_from,d_hz_loan_home*G1041,0)*BZ1041)</f>
        <v/>
      </c>
      <c r="BZ1042" s="11">
        <f>MIN(in_approval_cap,in_loan_home_approval*INDEX('Age profile'!$O$2:$O$61,B1042)*(1+in_approval_growth)^(D1042-1))</f>
        <v/>
      </c>
      <c r="CA1042" s="14">
        <f>F1042*BY1042*IF(B1042&gt;=in_marketplace_from,d_hz_loan_home*G1042,0)*BZ1042*in_loan_home_ticket*in_loan_home_comm</f>
        <v/>
      </c>
      <c r="CB1042" s="40">
        <f>CB1041*(1-IF(B1041&gt;=in_marketplace_from,d_hz_loan_lap*G1041,0)*CC1041)</f>
        <v/>
      </c>
      <c r="CC1042" s="11">
        <f>MIN(in_approval_cap,in_loan_lap_approval*INDEX('Age profile'!$O$2:$O$61,B1042)*(1+in_approval_growth)^(D1042-1))</f>
        <v/>
      </c>
      <c r="CD1042" s="14">
        <f>F1042*CB1042*IF(B1042&gt;=in_marketplace_from,d_hz_loan_lap*G1042,0)*CC1042*in_loan_lap_ticket*in_loan_lap_comm</f>
        <v/>
      </c>
      <c r="CE1042" s="14">
        <f>AA1042+AB1042+AC1042+AD1042+AG1042+AJ1042+AM1042+AP1042+AS1042+AU1042+AX1042+BB1042+BE1042+BG1042+BJ1042+BL1042+BO1042+BR1042+BT1042+BV1042+BX1042+CA1042+CD1042</f>
        <v/>
      </c>
    </row>
    <row r="1043">
      <c r="A1043" s="39" t="n">
        <v>21</v>
      </c>
      <c r="B1043" s="39" t="n">
        <v>32</v>
      </c>
      <c r="C1043" s="39">
        <f>A1043+B1043-1</f>
        <v/>
      </c>
      <c r="D1043" s="39">
        <f>INT((C1043-1)/12)+1</f>
        <v/>
      </c>
      <c r="E1043" s="44">
        <f>INDEX(Monthly!$B$2:$B$61,A1043)</f>
        <v/>
      </c>
      <c r="F1043" s="44">
        <f>E1043*INDEX('Age profile'!$B$2:$B$61,B1043)</f>
        <v/>
      </c>
      <c r="G1043" s="45">
        <f>MIN(in_takeup_cap,INDEX('Age profile'!$N$2:$N$61,B1043)*(1+in_takeup_growth)^(D1043-1))</f>
        <v/>
      </c>
      <c r="H1043" s="11">
        <f>MIN(in_approval_cap,in_approved_first*INDEX('Age profile'!$O$2:$O$61,B1043)*(1+in_approval_growth)^(D1043-1))</f>
        <v/>
      </c>
      <c r="I1043" s="45">
        <f>G1043*MIN(in_takeup_cap,INDEX('Age profile'!$O$2:$O$61,B1043)*(1+in_approval_growth)^(D1043-1))</f>
        <v/>
      </c>
      <c r="J1043" s="40">
        <f>(J1042-L1042)*F1043/F1042</f>
        <v/>
      </c>
      <c r="K1043" s="40">
        <f>(K1042-M1042)*F1043/F1042+SUMIFS(O1012:O1042,B1012:B1042,B1043-1-d_T)*F1043</f>
        <v/>
      </c>
      <c r="L1043" s="40">
        <f>IF(B1043&gt;=in_marketplace_from,J1043*d_hz*G1043*in_eligible*H1043,0)</f>
        <v/>
      </c>
      <c r="M1043" s="40">
        <f>IF(B1043&gt;=in_marketplace_from,K1043*d_hz*G1043*in_eligible*in_approved_repeat,0)</f>
        <v/>
      </c>
      <c r="N1043" s="40">
        <f>L1043+M1043</f>
        <v/>
      </c>
      <c r="O1043" s="46">
        <f>N1043/F1043</f>
        <v/>
      </c>
      <c r="P1043" s="40">
        <f>F1043-J1043-K1043</f>
        <v/>
      </c>
      <c r="Q1043" s="40">
        <f>IF(B1043&gt;=in_marketplace_from,(J1043+K1043)*d_hz*G1043,0)</f>
        <v/>
      </c>
      <c r="R1043" s="40">
        <f>SUMIFS(N1012:N1051,B1012:B1051,"&gt;="&amp;(B1043-d_T),B1012:B1051,"&lt;="&amp;(B1043-1))</f>
        <v/>
      </c>
      <c r="S1043" s="46">
        <f>(1-d_u)*S1042+IF(d_T&gt;in_topup_lag,SUMIFS(O1012:O1051,B1012:B1051,B1043-in_topup_lag)-d_udrop*SUMIFS(O1012:O1051,B1012:B1051,B1043-d_T),0)</f>
        <v/>
      </c>
      <c r="T1043" s="40">
        <f>F1043*d_u*S1043</f>
        <v/>
      </c>
      <c r="U1043" s="9">
        <f>L1043*in_ticket+M1043*d_rep_ticket</f>
        <v/>
      </c>
      <c r="V1043" s="9">
        <f>U1043+T1043*d_topup_amt</f>
        <v/>
      </c>
      <c r="W1043" s="40">
        <f>N1043+T1043*d_topup_ratio</f>
        <v/>
      </c>
      <c r="X1043" s="40">
        <f>SUMIFS(W1012:W1051,B1012:B1051,B1043-in_dpd_lag)*d_cured</f>
        <v/>
      </c>
      <c r="Y1043" s="40">
        <f>SUMIFS(W1012:W1051,B1012:B1051,B1043-in_rec_lag)*d_recd</f>
        <v/>
      </c>
      <c r="Z1043" s="40">
        <f>IF(AND(B1043&gt;=in_marketplace_from,B1043&lt;in_marketplace_from+in_card_months),in_card_share/in_card_months*F1043*I1043,IF(AND(B1043&gt;=in_marketplace_from+in_card_months,B1043&lt;in_marketplace_from+2*in_card_months),in_card_share*d_card_rem/in_card_months*F1043*MIN(in_takeup_cap,(1+in_takeup_growth)^(D1043-1))*MIN(in_takeup_cap,(1+in_approval_growth)^(D1043-1)),0))</f>
        <v/>
      </c>
      <c r="AA1043" s="14">
        <f>V1043*in_fee*(1-in_taken_back)</f>
        <v/>
      </c>
      <c r="AB1043" s="14">
        <f>SUMIFS(W1012:W1051,B1012:B1051,B1043-in_dpd_lag)*d_dpd</f>
        <v/>
      </c>
      <c r="AC1043" s="14">
        <f>SUMIFS(W1012:W1051,B1012:B1051,B1043-in_rec_lag)*d_rec</f>
        <v/>
      </c>
      <c r="AD1043" s="14">
        <f>Z1043*in_card_fee</f>
        <v/>
      </c>
      <c r="AE1043" s="40">
        <f>AE1042*(1-IF(B1042&gt;=in_marketplace_from,d_hz_hlth_small*G1042,0))</f>
        <v/>
      </c>
      <c r="AF1043" s="46">
        <f>AE1043*IF(B1043&gt;=in_marketplace_from,d_hz_hlth_small*G1043,0)</f>
        <v/>
      </c>
      <c r="AG1043" s="14">
        <f>F1043*AF1043*in_hlth_small_ticket*in_hlth_small_comm*in_ins_partner_share+F1043*in_hlth_small_ticket*in_hlth_small_renew_comm*in_ins_partner_share*(in_hlth_small_renew^1*SUMIFS(AF1012:AF1051,B1012:B1051,B1043-12)+in_hlth_small_renew^2*SUMIFS(AF1012:AF1051,B1012:B1051,B1043-24)+in_hlth_small_renew^3*SUMIFS(AF1012:AF1051,B1012:B1051,B1043-36)+in_hlth_small_renew^4*SUMIFS(AF1012:AF1051,B1012:B1051,B1043-48))</f>
        <v/>
      </c>
      <c r="AH1043" s="40">
        <f>AH1042*(1-IF(B1042&gt;=in_marketplace_from,d_hz_hlth_family*G1042,0))</f>
        <v/>
      </c>
      <c r="AI1043" s="46">
        <f>AH1043*IF(B1043&gt;=in_marketplace_from,d_hz_hlth_family*G1043,0)</f>
        <v/>
      </c>
      <c r="AJ1043" s="14">
        <f>F1043*AI1043*in_hlth_family_ticket*in_hlth_family_comm*in_ins_partner_share+F1043*in_hlth_family_ticket*in_hlth_family_renew_comm*in_ins_partner_share*(in_hlth_family_renew^1*SUMIFS(AI1012:AI1051,B1012:B1051,B1043-12)+in_hlth_family_renew^2*SUMIFS(AI1012:AI1051,B1012:B1051,B1043-24)+in_hlth_family_renew^3*SUMIFS(AI1012:AI1051,B1012:B1051,B1043-36)+in_hlth_family_renew^4*SUMIFS(AI1012:AI1051,B1012:B1051,B1043-48))</f>
        <v/>
      </c>
      <c r="AK1043" s="40">
        <f>AK1042*(1-IF(B1042&gt;=in_marketplace_from,d_hz_life_term*G1042,0))</f>
        <v/>
      </c>
      <c r="AL1043" s="46">
        <f>AK1043*IF(B1043&gt;=in_marketplace_from,d_hz_life_term*G1043,0)</f>
        <v/>
      </c>
      <c r="AM1043" s="14">
        <f>F1043*AL1043*in_life_term_ticket*in_life_term_comm*in_ins_partner_share+F1043*in_life_term_ticket*in_life_term_renew_comm*in_ins_partner_share*(in_life_term_renew^1*SUMIFS(AL1012:AL1051,B1012:B1051,B1043-12)+in_life_term_renew^2*SUMIFS(AL1012:AL1051,B1012:B1051,B1043-24)+in_life_term_renew^3*SUMIFS(AL1012:AL1051,B1012:B1051,B1043-36)+in_life_term_renew^4*SUMIFS(AL1012:AL1051,B1012:B1051,B1043-48))</f>
        <v/>
      </c>
      <c r="AN1043" s="40">
        <f>AN1042*(1-IF(B1042&gt;=in_marketplace_from,d_hz_accident*G1042,0))</f>
        <v/>
      </c>
      <c r="AO1043" s="46">
        <f>AN1043*IF(B1043&gt;=in_marketplace_from,d_hz_accident*G1043,0)</f>
        <v/>
      </c>
      <c r="AP1043" s="14">
        <f>F1043*AO1043*in_accident_ticket*in_accident_comm*in_ins_partner_share+F1043*in_accident_ticket*in_accident_renew_comm*in_ins_partner_share*(in_accident_renew^1*SUMIFS(AO1012:AO1051,B1012:B1051,B1043-12)+in_accident_renew^2*SUMIFS(AO1012:AO1051,B1012:B1051,B1043-24)+in_accident_renew^3*SUMIFS(AO1012:AO1051,B1012:B1051,B1043-36)+in_accident_renew^4*SUMIFS(AO1012:AO1051,B1012:B1051,B1043-48))</f>
        <v/>
      </c>
      <c r="AQ1043" s="40">
        <f>AQ1042*(1-IF(B1042&gt;=in_marketplace_from,d_hz_two_wheeler*G1042,0))</f>
        <v/>
      </c>
      <c r="AR1043" s="46">
        <f>AQ1043*IF(B1043&gt;=in_marketplace_from,d_hz_two_wheeler*G1043,0)</f>
        <v/>
      </c>
      <c r="AS1043" s="14">
        <f>F1043*AR1043*in_two_wheeler_ticket*in_two_wheeler_comm*in_ins_partner_share+F1043*in_two_wheeler_ticket*in_two_wheeler_comm*in_ins_partner_share*(in_two_wheeler_renew^1*SUMIFS(AR1012:AR1051,B1012:B1051,B1043-12)+in_two_wheeler_renew^2*SUMIFS(AR1012:AR1051,B1012:B1051,B1043-24)+in_two_wheeler_renew^3*SUMIFS(AR1012:AR1051,B1012:B1051,B1043-36)+in_two_wheeler_renew^4*SUMIFS(AR1012:AR1051,B1012:B1051,B1043-48))</f>
        <v/>
      </c>
      <c r="AT1043" s="40">
        <f>AT1042*(1-IF(B1042&gt;=in_marketplace_from,d_hz_device*G1042,0))</f>
        <v/>
      </c>
      <c r="AU1043" s="14">
        <f>F1043*AT1043*IF(B1043&gt;=in_marketplace_from,d_hz_device*G1043,0)*in_device_ticket*in_device_comm*in_ins_partner_share</f>
        <v/>
      </c>
      <c r="AV1043" s="40">
        <f>AV1042*(1-IF(B1042&gt;=in_marketplace_from,d_hz_shop*G1042,0))</f>
        <v/>
      </c>
      <c r="AW1043" s="46">
        <f>AV1043*IF(B1043&gt;=in_marketplace_from,d_hz_shop*G1043,0)</f>
        <v/>
      </c>
      <c r="AX1043" s="14">
        <f>F1043*AW1043*in_shop_ticket*in_shop_comm*in_ins_partner_share+F1043*in_shop_ticket*in_shop_renew_comm*in_ins_partner_share*(in_shop_renew^1*SUMIFS(AW1012:AW1051,B1012:B1051,B1043-12)+in_shop_renew^2*SUMIFS(AW1012:AW1051,B1012:B1051,B1043-24)+in_shop_renew^3*SUMIFS(AW1012:AW1051,B1012:B1051,B1043-36)+in_shop_renew^4*SUMIFS(AW1012:AW1051,B1012:B1051,B1043-48))</f>
        <v/>
      </c>
      <c r="AY1043" s="40">
        <f>AY1042*(1-IF(B1042&gt;=in_marketplace_from,d_hz_sip*G1042,0))</f>
        <v/>
      </c>
      <c r="AZ1043" s="40">
        <f>AZ1042*d_rho_sip+AY1043*IF(B1043&gt;=in_marketplace_from,d_hz_sip*G1043,0)</f>
        <v/>
      </c>
      <c r="BA1043" s="40">
        <f>d_rho_sip*(BA1042+AZ1042)</f>
        <v/>
      </c>
      <c r="BB1043" s="14">
        <f>F1043*in_sip_ticket*(BA1043+0.5*AZ1043)*in_sip_comm/12</f>
        <v/>
      </c>
      <c r="BC1043" s="40">
        <f>BC1042*(1-IF(B1042&gt;=in_marketplace_from,d_hz_choti*G1042,0))</f>
        <v/>
      </c>
      <c r="BD1043" s="46">
        <f>BC1043*IF(B1043&gt;=in_marketplace_from,d_hz_choti*G1043,0)</f>
        <v/>
      </c>
      <c r="BE1043" s="14">
        <f>F1043*SUMIFS(BD1012:BD1051,B1012:B1051,B1043-in_choti_months)*in_choti_renew*in_choti_ticket</f>
        <v/>
      </c>
      <c r="BF1043" s="40">
        <f>BF1042*(1-IF(B1042&gt;=in_marketplace_from,d_hz_nps*G1042,0))</f>
        <v/>
      </c>
      <c r="BG1043" s="14">
        <f>F1043*BF1043*IF(B1043&gt;=in_marketplace_from,d_hz_nps*G1043,0)*in_nps_ticket*in_nps_comm</f>
        <v/>
      </c>
      <c r="BH1043" s="40">
        <f>BH1042*(1-IF(B1042&gt;=in_marketplace_from,d_hz_gold*G1042,0))</f>
        <v/>
      </c>
      <c r="BI1043" s="40">
        <f>BI1042*d_rho_gold+BH1043*IF(B1043&gt;=in_marketplace_from,d_hz_gold*G1043,0)</f>
        <v/>
      </c>
      <c r="BJ1043" s="14">
        <f>F1043*BI1043*in_gold_ticket*in_gold_comm</f>
        <v/>
      </c>
      <c r="BK1043" s="40">
        <f>BK1042*(1-IF(B1042&gt;=in_marketplace_from,d_hz_fd*G1042,0))</f>
        <v/>
      </c>
      <c r="BL1043" s="14">
        <f>F1043*BK1043*IF(B1043&gt;=in_marketplace_from,d_hz_fd*G1043,0)*in_fd_ticket*in_fd_comm</f>
        <v/>
      </c>
      <c r="BM1043" s="40">
        <f>BM1042*(1-IF(B1042&gt;=in_marketplace_from,d_hz_recharge*G1042,0))</f>
        <v/>
      </c>
      <c r="BN1043" s="40">
        <f>BN1042*d_rho_recharge+BM1043*IF(B1043&gt;=in_marketplace_from,d_hz_recharge*G1043,0)</f>
        <v/>
      </c>
      <c r="BO1043" s="14">
        <f>F1043*BN1043*in_recharge_ticket*in_recharge_comm/12</f>
        <v/>
      </c>
      <c r="BP1043" s="40">
        <f>BP1042*(1-IF(B1042&gt;=in_marketplace_from,d_hz_bills*G1042,0))</f>
        <v/>
      </c>
      <c r="BQ1043" s="40">
        <f>BQ1042*d_rho_bills+BP1043*IF(B1043&gt;=in_marketplace_from,d_hz_bills*G1043,0)</f>
        <v/>
      </c>
      <c r="BR1043" s="14">
        <f>F1043*BQ1043*in_bills_ticket*in_bills_comm/12</f>
        <v/>
      </c>
      <c r="BS1043" s="40">
        <f>BS1042*(1-IF(B1042&gt;=in_marketplace_from,d_hz_loan_gold*G1042,0))</f>
        <v/>
      </c>
      <c r="BT1043" s="14">
        <f>F1043*BS1043*IF(B1043&gt;=in_marketplace_from,d_hz_loan_gold*G1043,0)*in_loan_gold_ticket*in_loan_gold_comm</f>
        <v/>
      </c>
      <c r="BU1043" s="40">
        <f>BU1042*(1-IF(B1042&gt;=in_marketplace_from,d_hz_loan_cd*G1042,0))</f>
        <v/>
      </c>
      <c r="BV1043" s="14">
        <f>F1043*BU1043*IF(B1043&gt;=in_marketplace_from,d_hz_loan_cd*G1043,0)*in_loan_cd_ticket*in_loan_cd_comm</f>
        <v/>
      </c>
      <c r="BW1043" s="40">
        <f>BW1042*(1-IF(B1042&gt;=in_marketplace_from,d_hz_loan_vehicle*G1042,0))</f>
        <v/>
      </c>
      <c r="BX1043" s="14">
        <f>F1043*BW1043*IF(B1043&gt;=in_marketplace_from,d_hz_loan_vehicle*G1043,0)*in_loan_vehicle_ticket*in_loan_vehicle_comm</f>
        <v/>
      </c>
      <c r="BY1043" s="40">
        <f>BY1042*(1-IF(B1042&gt;=in_marketplace_from,d_hz_loan_home*G1042,0)*BZ1042)</f>
        <v/>
      </c>
      <c r="BZ1043" s="11">
        <f>MIN(in_approval_cap,in_loan_home_approval*INDEX('Age profile'!$O$2:$O$61,B1043)*(1+in_approval_growth)^(D1043-1))</f>
        <v/>
      </c>
      <c r="CA1043" s="14">
        <f>F1043*BY1043*IF(B1043&gt;=in_marketplace_from,d_hz_loan_home*G1043,0)*BZ1043*in_loan_home_ticket*in_loan_home_comm</f>
        <v/>
      </c>
      <c r="CB1043" s="40">
        <f>CB1042*(1-IF(B1042&gt;=in_marketplace_from,d_hz_loan_lap*G1042,0)*CC1042)</f>
        <v/>
      </c>
      <c r="CC1043" s="11">
        <f>MIN(in_approval_cap,in_loan_lap_approval*INDEX('Age profile'!$O$2:$O$61,B1043)*(1+in_approval_growth)^(D1043-1))</f>
        <v/>
      </c>
      <c r="CD1043" s="14">
        <f>F1043*CB1043*IF(B1043&gt;=in_marketplace_from,d_hz_loan_lap*G1043,0)*CC1043*in_loan_lap_ticket*in_loan_lap_comm</f>
        <v/>
      </c>
      <c r="CE1043" s="14">
        <f>AA1043+AB1043+AC1043+AD1043+AG1043+AJ1043+AM1043+AP1043+AS1043+AU1043+AX1043+BB1043+BE1043+BG1043+BJ1043+BL1043+BO1043+BR1043+BT1043+BV1043+BX1043+CA1043+CD1043</f>
        <v/>
      </c>
    </row>
    <row r="1044">
      <c r="A1044" s="39" t="n">
        <v>21</v>
      </c>
      <c r="B1044" s="39" t="n">
        <v>33</v>
      </c>
      <c r="C1044" s="39">
        <f>A1044+B1044-1</f>
        <v/>
      </c>
      <c r="D1044" s="39">
        <f>INT((C1044-1)/12)+1</f>
        <v/>
      </c>
      <c r="E1044" s="44">
        <f>INDEX(Monthly!$B$2:$B$61,A1044)</f>
        <v/>
      </c>
      <c r="F1044" s="44">
        <f>E1044*INDEX('Age profile'!$B$2:$B$61,B1044)</f>
        <v/>
      </c>
      <c r="G1044" s="45">
        <f>MIN(in_takeup_cap,INDEX('Age profile'!$N$2:$N$61,B1044)*(1+in_takeup_growth)^(D1044-1))</f>
        <v/>
      </c>
      <c r="H1044" s="11">
        <f>MIN(in_approval_cap,in_approved_first*INDEX('Age profile'!$O$2:$O$61,B1044)*(1+in_approval_growth)^(D1044-1))</f>
        <v/>
      </c>
      <c r="I1044" s="45">
        <f>G1044*MIN(in_takeup_cap,INDEX('Age profile'!$O$2:$O$61,B1044)*(1+in_approval_growth)^(D1044-1))</f>
        <v/>
      </c>
      <c r="J1044" s="40">
        <f>(J1043-L1043)*F1044/F1043</f>
        <v/>
      </c>
      <c r="K1044" s="40">
        <f>(K1043-M1043)*F1044/F1043+SUMIFS(O1012:O1043,B1012:B1043,B1044-1-d_T)*F1044</f>
        <v/>
      </c>
      <c r="L1044" s="40">
        <f>IF(B1044&gt;=in_marketplace_from,J1044*d_hz*G1044*in_eligible*H1044,0)</f>
        <v/>
      </c>
      <c r="M1044" s="40">
        <f>IF(B1044&gt;=in_marketplace_from,K1044*d_hz*G1044*in_eligible*in_approved_repeat,0)</f>
        <v/>
      </c>
      <c r="N1044" s="40">
        <f>L1044+M1044</f>
        <v/>
      </c>
      <c r="O1044" s="46">
        <f>N1044/F1044</f>
        <v/>
      </c>
      <c r="P1044" s="40">
        <f>F1044-J1044-K1044</f>
        <v/>
      </c>
      <c r="Q1044" s="40">
        <f>IF(B1044&gt;=in_marketplace_from,(J1044+K1044)*d_hz*G1044,0)</f>
        <v/>
      </c>
      <c r="R1044" s="40">
        <f>SUMIFS(N1012:N1051,B1012:B1051,"&gt;="&amp;(B1044-d_T),B1012:B1051,"&lt;="&amp;(B1044-1))</f>
        <v/>
      </c>
      <c r="S1044" s="46">
        <f>(1-d_u)*S1043+IF(d_T&gt;in_topup_lag,SUMIFS(O1012:O1051,B1012:B1051,B1044-in_topup_lag)-d_udrop*SUMIFS(O1012:O1051,B1012:B1051,B1044-d_T),0)</f>
        <v/>
      </c>
      <c r="T1044" s="40">
        <f>F1044*d_u*S1044</f>
        <v/>
      </c>
      <c r="U1044" s="9">
        <f>L1044*in_ticket+M1044*d_rep_ticket</f>
        <v/>
      </c>
      <c r="V1044" s="9">
        <f>U1044+T1044*d_topup_amt</f>
        <v/>
      </c>
      <c r="W1044" s="40">
        <f>N1044+T1044*d_topup_ratio</f>
        <v/>
      </c>
      <c r="X1044" s="40">
        <f>SUMIFS(W1012:W1051,B1012:B1051,B1044-in_dpd_lag)*d_cured</f>
        <v/>
      </c>
      <c r="Y1044" s="40">
        <f>SUMIFS(W1012:W1051,B1012:B1051,B1044-in_rec_lag)*d_recd</f>
        <v/>
      </c>
      <c r="Z1044" s="40">
        <f>IF(AND(B1044&gt;=in_marketplace_from,B1044&lt;in_marketplace_from+in_card_months),in_card_share/in_card_months*F1044*I1044,IF(AND(B1044&gt;=in_marketplace_from+in_card_months,B1044&lt;in_marketplace_from+2*in_card_months),in_card_share*d_card_rem/in_card_months*F1044*MIN(in_takeup_cap,(1+in_takeup_growth)^(D1044-1))*MIN(in_takeup_cap,(1+in_approval_growth)^(D1044-1)),0))</f>
        <v/>
      </c>
      <c r="AA1044" s="14">
        <f>V1044*in_fee*(1-in_taken_back)</f>
        <v/>
      </c>
      <c r="AB1044" s="14">
        <f>SUMIFS(W1012:W1051,B1012:B1051,B1044-in_dpd_lag)*d_dpd</f>
        <v/>
      </c>
      <c r="AC1044" s="14">
        <f>SUMIFS(W1012:W1051,B1012:B1051,B1044-in_rec_lag)*d_rec</f>
        <v/>
      </c>
      <c r="AD1044" s="14">
        <f>Z1044*in_card_fee</f>
        <v/>
      </c>
      <c r="AE1044" s="40">
        <f>AE1043*(1-IF(B1043&gt;=in_marketplace_from,d_hz_hlth_small*G1043,0))</f>
        <v/>
      </c>
      <c r="AF1044" s="46">
        <f>AE1044*IF(B1044&gt;=in_marketplace_from,d_hz_hlth_small*G1044,0)</f>
        <v/>
      </c>
      <c r="AG1044" s="14">
        <f>F1044*AF1044*in_hlth_small_ticket*in_hlth_small_comm*in_ins_partner_share+F1044*in_hlth_small_ticket*in_hlth_small_renew_comm*in_ins_partner_share*(in_hlth_small_renew^1*SUMIFS(AF1012:AF1051,B1012:B1051,B1044-12)+in_hlth_small_renew^2*SUMIFS(AF1012:AF1051,B1012:B1051,B1044-24)+in_hlth_small_renew^3*SUMIFS(AF1012:AF1051,B1012:B1051,B1044-36)+in_hlth_small_renew^4*SUMIFS(AF1012:AF1051,B1012:B1051,B1044-48))</f>
        <v/>
      </c>
      <c r="AH1044" s="40">
        <f>AH1043*(1-IF(B1043&gt;=in_marketplace_from,d_hz_hlth_family*G1043,0))</f>
        <v/>
      </c>
      <c r="AI1044" s="46">
        <f>AH1044*IF(B1044&gt;=in_marketplace_from,d_hz_hlth_family*G1044,0)</f>
        <v/>
      </c>
      <c r="AJ1044" s="14">
        <f>F1044*AI1044*in_hlth_family_ticket*in_hlth_family_comm*in_ins_partner_share+F1044*in_hlth_family_ticket*in_hlth_family_renew_comm*in_ins_partner_share*(in_hlth_family_renew^1*SUMIFS(AI1012:AI1051,B1012:B1051,B1044-12)+in_hlth_family_renew^2*SUMIFS(AI1012:AI1051,B1012:B1051,B1044-24)+in_hlth_family_renew^3*SUMIFS(AI1012:AI1051,B1012:B1051,B1044-36)+in_hlth_family_renew^4*SUMIFS(AI1012:AI1051,B1012:B1051,B1044-48))</f>
        <v/>
      </c>
      <c r="AK1044" s="40">
        <f>AK1043*(1-IF(B1043&gt;=in_marketplace_from,d_hz_life_term*G1043,0))</f>
        <v/>
      </c>
      <c r="AL1044" s="46">
        <f>AK1044*IF(B1044&gt;=in_marketplace_from,d_hz_life_term*G1044,0)</f>
        <v/>
      </c>
      <c r="AM1044" s="14">
        <f>F1044*AL1044*in_life_term_ticket*in_life_term_comm*in_ins_partner_share+F1044*in_life_term_ticket*in_life_term_renew_comm*in_ins_partner_share*(in_life_term_renew^1*SUMIFS(AL1012:AL1051,B1012:B1051,B1044-12)+in_life_term_renew^2*SUMIFS(AL1012:AL1051,B1012:B1051,B1044-24)+in_life_term_renew^3*SUMIFS(AL1012:AL1051,B1012:B1051,B1044-36)+in_life_term_renew^4*SUMIFS(AL1012:AL1051,B1012:B1051,B1044-48))</f>
        <v/>
      </c>
      <c r="AN1044" s="40">
        <f>AN1043*(1-IF(B1043&gt;=in_marketplace_from,d_hz_accident*G1043,0))</f>
        <v/>
      </c>
      <c r="AO1044" s="46">
        <f>AN1044*IF(B1044&gt;=in_marketplace_from,d_hz_accident*G1044,0)</f>
        <v/>
      </c>
      <c r="AP1044" s="14">
        <f>F1044*AO1044*in_accident_ticket*in_accident_comm*in_ins_partner_share+F1044*in_accident_ticket*in_accident_renew_comm*in_ins_partner_share*(in_accident_renew^1*SUMIFS(AO1012:AO1051,B1012:B1051,B1044-12)+in_accident_renew^2*SUMIFS(AO1012:AO1051,B1012:B1051,B1044-24)+in_accident_renew^3*SUMIFS(AO1012:AO1051,B1012:B1051,B1044-36)+in_accident_renew^4*SUMIFS(AO1012:AO1051,B1012:B1051,B1044-48))</f>
        <v/>
      </c>
      <c r="AQ1044" s="40">
        <f>AQ1043*(1-IF(B1043&gt;=in_marketplace_from,d_hz_two_wheeler*G1043,0))</f>
        <v/>
      </c>
      <c r="AR1044" s="46">
        <f>AQ1044*IF(B1044&gt;=in_marketplace_from,d_hz_two_wheeler*G1044,0)</f>
        <v/>
      </c>
      <c r="AS1044" s="14">
        <f>F1044*AR1044*in_two_wheeler_ticket*in_two_wheeler_comm*in_ins_partner_share+F1044*in_two_wheeler_ticket*in_two_wheeler_comm*in_ins_partner_share*(in_two_wheeler_renew^1*SUMIFS(AR1012:AR1051,B1012:B1051,B1044-12)+in_two_wheeler_renew^2*SUMIFS(AR1012:AR1051,B1012:B1051,B1044-24)+in_two_wheeler_renew^3*SUMIFS(AR1012:AR1051,B1012:B1051,B1044-36)+in_two_wheeler_renew^4*SUMIFS(AR1012:AR1051,B1012:B1051,B1044-48))</f>
        <v/>
      </c>
      <c r="AT1044" s="40">
        <f>AT1043*(1-IF(B1043&gt;=in_marketplace_from,d_hz_device*G1043,0))</f>
        <v/>
      </c>
      <c r="AU1044" s="14">
        <f>F1044*AT1044*IF(B1044&gt;=in_marketplace_from,d_hz_device*G1044,0)*in_device_ticket*in_device_comm*in_ins_partner_share</f>
        <v/>
      </c>
      <c r="AV1044" s="40">
        <f>AV1043*(1-IF(B1043&gt;=in_marketplace_from,d_hz_shop*G1043,0))</f>
        <v/>
      </c>
      <c r="AW1044" s="46">
        <f>AV1044*IF(B1044&gt;=in_marketplace_from,d_hz_shop*G1044,0)</f>
        <v/>
      </c>
      <c r="AX1044" s="14">
        <f>F1044*AW1044*in_shop_ticket*in_shop_comm*in_ins_partner_share+F1044*in_shop_ticket*in_shop_renew_comm*in_ins_partner_share*(in_shop_renew^1*SUMIFS(AW1012:AW1051,B1012:B1051,B1044-12)+in_shop_renew^2*SUMIFS(AW1012:AW1051,B1012:B1051,B1044-24)+in_shop_renew^3*SUMIFS(AW1012:AW1051,B1012:B1051,B1044-36)+in_shop_renew^4*SUMIFS(AW1012:AW1051,B1012:B1051,B1044-48))</f>
        <v/>
      </c>
      <c r="AY1044" s="40">
        <f>AY1043*(1-IF(B1043&gt;=in_marketplace_from,d_hz_sip*G1043,0))</f>
        <v/>
      </c>
      <c r="AZ1044" s="40">
        <f>AZ1043*d_rho_sip+AY1044*IF(B1044&gt;=in_marketplace_from,d_hz_sip*G1044,0)</f>
        <v/>
      </c>
      <c r="BA1044" s="40">
        <f>d_rho_sip*(BA1043+AZ1043)</f>
        <v/>
      </c>
      <c r="BB1044" s="14">
        <f>F1044*in_sip_ticket*(BA1044+0.5*AZ1044)*in_sip_comm/12</f>
        <v/>
      </c>
      <c r="BC1044" s="40">
        <f>BC1043*(1-IF(B1043&gt;=in_marketplace_from,d_hz_choti*G1043,0))</f>
        <v/>
      </c>
      <c r="BD1044" s="46">
        <f>BC1044*IF(B1044&gt;=in_marketplace_from,d_hz_choti*G1044,0)</f>
        <v/>
      </c>
      <c r="BE1044" s="14">
        <f>F1044*SUMIFS(BD1012:BD1051,B1012:B1051,B1044-in_choti_months)*in_choti_renew*in_choti_ticket</f>
        <v/>
      </c>
      <c r="BF1044" s="40">
        <f>BF1043*(1-IF(B1043&gt;=in_marketplace_from,d_hz_nps*G1043,0))</f>
        <v/>
      </c>
      <c r="BG1044" s="14">
        <f>F1044*BF1044*IF(B1044&gt;=in_marketplace_from,d_hz_nps*G1044,0)*in_nps_ticket*in_nps_comm</f>
        <v/>
      </c>
      <c r="BH1044" s="40">
        <f>BH1043*(1-IF(B1043&gt;=in_marketplace_from,d_hz_gold*G1043,0))</f>
        <v/>
      </c>
      <c r="BI1044" s="40">
        <f>BI1043*d_rho_gold+BH1044*IF(B1044&gt;=in_marketplace_from,d_hz_gold*G1044,0)</f>
        <v/>
      </c>
      <c r="BJ1044" s="14">
        <f>F1044*BI1044*in_gold_ticket*in_gold_comm</f>
        <v/>
      </c>
      <c r="BK1044" s="40">
        <f>BK1043*(1-IF(B1043&gt;=in_marketplace_from,d_hz_fd*G1043,0))</f>
        <v/>
      </c>
      <c r="BL1044" s="14">
        <f>F1044*BK1044*IF(B1044&gt;=in_marketplace_from,d_hz_fd*G1044,0)*in_fd_ticket*in_fd_comm</f>
        <v/>
      </c>
      <c r="BM1044" s="40">
        <f>BM1043*(1-IF(B1043&gt;=in_marketplace_from,d_hz_recharge*G1043,0))</f>
        <v/>
      </c>
      <c r="BN1044" s="40">
        <f>BN1043*d_rho_recharge+BM1044*IF(B1044&gt;=in_marketplace_from,d_hz_recharge*G1044,0)</f>
        <v/>
      </c>
      <c r="BO1044" s="14">
        <f>F1044*BN1044*in_recharge_ticket*in_recharge_comm/12</f>
        <v/>
      </c>
      <c r="BP1044" s="40">
        <f>BP1043*(1-IF(B1043&gt;=in_marketplace_from,d_hz_bills*G1043,0))</f>
        <v/>
      </c>
      <c r="BQ1044" s="40">
        <f>BQ1043*d_rho_bills+BP1044*IF(B1044&gt;=in_marketplace_from,d_hz_bills*G1044,0)</f>
        <v/>
      </c>
      <c r="BR1044" s="14">
        <f>F1044*BQ1044*in_bills_ticket*in_bills_comm/12</f>
        <v/>
      </c>
      <c r="BS1044" s="40">
        <f>BS1043*(1-IF(B1043&gt;=in_marketplace_from,d_hz_loan_gold*G1043,0))</f>
        <v/>
      </c>
      <c r="BT1044" s="14">
        <f>F1044*BS1044*IF(B1044&gt;=in_marketplace_from,d_hz_loan_gold*G1044,0)*in_loan_gold_ticket*in_loan_gold_comm</f>
        <v/>
      </c>
      <c r="BU1044" s="40">
        <f>BU1043*(1-IF(B1043&gt;=in_marketplace_from,d_hz_loan_cd*G1043,0))</f>
        <v/>
      </c>
      <c r="BV1044" s="14">
        <f>F1044*BU1044*IF(B1044&gt;=in_marketplace_from,d_hz_loan_cd*G1044,0)*in_loan_cd_ticket*in_loan_cd_comm</f>
        <v/>
      </c>
      <c r="BW1044" s="40">
        <f>BW1043*(1-IF(B1043&gt;=in_marketplace_from,d_hz_loan_vehicle*G1043,0))</f>
        <v/>
      </c>
      <c r="BX1044" s="14">
        <f>F1044*BW1044*IF(B1044&gt;=in_marketplace_from,d_hz_loan_vehicle*G1044,0)*in_loan_vehicle_ticket*in_loan_vehicle_comm</f>
        <v/>
      </c>
      <c r="BY1044" s="40">
        <f>BY1043*(1-IF(B1043&gt;=in_marketplace_from,d_hz_loan_home*G1043,0)*BZ1043)</f>
        <v/>
      </c>
      <c r="BZ1044" s="11">
        <f>MIN(in_approval_cap,in_loan_home_approval*INDEX('Age profile'!$O$2:$O$61,B1044)*(1+in_approval_growth)^(D1044-1))</f>
        <v/>
      </c>
      <c r="CA1044" s="14">
        <f>F1044*BY1044*IF(B1044&gt;=in_marketplace_from,d_hz_loan_home*G1044,0)*BZ1044*in_loan_home_ticket*in_loan_home_comm</f>
        <v/>
      </c>
      <c r="CB1044" s="40">
        <f>CB1043*(1-IF(B1043&gt;=in_marketplace_from,d_hz_loan_lap*G1043,0)*CC1043)</f>
        <v/>
      </c>
      <c r="CC1044" s="11">
        <f>MIN(in_approval_cap,in_loan_lap_approval*INDEX('Age profile'!$O$2:$O$61,B1044)*(1+in_approval_growth)^(D1044-1))</f>
        <v/>
      </c>
      <c r="CD1044" s="14">
        <f>F1044*CB1044*IF(B1044&gt;=in_marketplace_from,d_hz_loan_lap*G1044,0)*CC1044*in_loan_lap_ticket*in_loan_lap_comm</f>
        <v/>
      </c>
      <c r="CE1044" s="14">
        <f>AA1044+AB1044+AC1044+AD1044+AG1044+AJ1044+AM1044+AP1044+AS1044+AU1044+AX1044+BB1044+BE1044+BG1044+BJ1044+BL1044+BO1044+BR1044+BT1044+BV1044+BX1044+CA1044+CD1044</f>
        <v/>
      </c>
    </row>
    <row r="1045">
      <c r="A1045" s="39" t="n">
        <v>21</v>
      </c>
      <c r="B1045" s="39" t="n">
        <v>34</v>
      </c>
      <c r="C1045" s="39">
        <f>A1045+B1045-1</f>
        <v/>
      </c>
      <c r="D1045" s="39">
        <f>INT((C1045-1)/12)+1</f>
        <v/>
      </c>
      <c r="E1045" s="44">
        <f>INDEX(Monthly!$B$2:$B$61,A1045)</f>
        <v/>
      </c>
      <c r="F1045" s="44">
        <f>E1045*INDEX('Age profile'!$B$2:$B$61,B1045)</f>
        <v/>
      </c>
      <c r="G1045" s="45">
        <f>MIN(in_takeup_cap,INDEX('Age profile'!$N$2:$N$61,B1045)*(1+in_takeup_growth)^(D1045-1))</f>
        <v/>
      </c>
      <c r="H1045" s="11">
        <f>MIN(in_approval_cap,in_approved_first*INDEX('Age profile'!$O$2:$O$61,B1045)*(1+in_approval_growth)^(D1045-1))</f>
        <v/>
      </c>
      <c r="I1045" s="45">
        <f>G1045*MIN(in_takeup_cap,INDEX('Age profile'!$O$2:$O$61,B1045)*(1+in_approval_growth)^(D1045-1))</f>
        <v/>
      </c>
      <c r="J1045" s="40">
        <f>(J1044-L1044)*F1045/F1044</f>
        <v/>
      </c>
      <c r="K1045" s="40">
        <f>(K1044-M1044)*F1045/F1044+SUMIFS(O1012:O1044,B1012:B1044,B1045-1-d_T)*F1045</f>
        <v/>
      </c>
      <c r="L1045" s="40">
        <f>IF(B1045&gt;=in_marketplace_from,J1045*d_hz*G1045*in_eligible*H1045,0)</f>
        <v/>
      </c>
      <c r="M1045" s="40">
        <f>IF(B1045&gt;=in_marketplace_from,K1045*d_hz*G1045*in_eligible*in_approved_repeat,0)</f>
        <v/>
      </c>
      <c r="N1045" s="40">
        <f>L1045+M1045</f>
        <v/>
      </c>
      <c r="O1045" s="46">
        <f>N1045/F1045</f>
        <v/>
      </c>
      <c r="P1045" s="40">
        <f>F1045-J1045-K1045</f>
        <v/>
      </c>
      <c r="Q1045" s="40">
        <f>IF(B1045&gt;=in_marketplace_from,(J1045+K1045)*d_hz*G1045,0)</f>
        <v/>
      </c>
      <c r="R1045" s="40">
        <f>SUMIFS(N1012:N1051,B1012:B1051,"&gt;="&amp;(B1045-d_T),B1012:B1051,"&lt;="&amp;(B1045-1))</f>
        <v/>
      </c>
      <c r="S1045" s="46">
        <f>(1-d_u)*S1044+IF(d_T&gt;in_topup_lag,SUMIFS(O1012:O1051,B1012:B1051,B1045-in_topup_lag)-d_udrop*SUMIFS(O1012:O1051,B1012:B1051,B1045-d_T),0)</f>
        <v/>
      </c>
      <c r="T1045" s="40">
        <f>F1045*d_u*S1045</f>
        <v/>
      </c>
      <c r="U1045" s="9">
        <f>L1045*in_ticket+M1045*d_rep_ticket</f>
        <v/>
      </c>
      <c r="V1045" s="9">
        <f>U1045+T1045*d_topup_amt</f>
        <v/>
      </c>
      <c r="W1045" s="40">
        <f>N1045+T1045*d_topup_ratio</f>
        <v/>
      </c>
      <c r="X1045" s="40">
        <f>SUMIFS(W1012:W1051,B1012:B1051,B1045-in_dpd_lag)*d_cured</f>
        <v/>
      </c>
      <c r="Y1045" s="40">
        <f>SUMIFS(W1012:W1051,B1012:B1051,B1045-in_rec_lag)*d_recd</f>
        <v/>
      </c>
      <c r="Z1045" s="40">
        <f>IF(AND(B1045&gt;=in_marketplace_from,B1045&lt;in_marketplace_from+in_card_months),in_card_share/in_card_months*F1045*I1045,IF(AND(B1045&gt;=in_marketplace_from+in_card_months,B1045&lt;in_marketplace_from+2*in_card_months),in_card_share*d_card_rem/in_card_months*F1045*MIN(in_takeup_cap,(1+in_takeup_growth)^(D1045-1))*MIN(in_takeup_cap,(1+in_approval_growth)^(D1045-1)),0))</f>
        <v/>
      </c>
      <c r="AA1045" s="14">
        <f>V1045*in_fee*(1-in_taken_back)</f>
        <v/>
      </c>
      <c r="AB1045" s="14">
        <f>SUMIFS(W1012:W1051,B1012:B1051,B1045-in_dpd_lag)*d_dpd</f>
        <v/>
      </c>
      <c r="AC1045" s="14">
        <f>SUMIFS(W1012:W1051,B1012:B1051,B1045-in_rec_lag)*d_rec</f>
        <v/>
      </c>
      <c r="AD1045" s="14">
        <f>Z1045*in_card_fee</f>
        <v/>
      </c>
      <c r="AE1045" s="40">
        <f>AE1044*(1-IF(B1044&gt;=in_marketplace_from,d_hz_hlth_small*G1044,0))</f>
        <v/>
      </c>
      <c r="AF1045" s="46">
        <f>AE1045*IF(B1045&gt;=in_marketplace_from,d_hz_hlth_small*G1045,0)</f>
        <v/>
      </c>
      <c r="AG1045" s="14">
        <f>F1045*AF1045*in_hlth_small_ticket*in_hlth_small_comm*in_ins_partner_share+F1045*in_hlth_small_ticket*in_hlth_small_renew_comm*in_ins_partner_share*(in_hlth_small_renew^1*SUMIFS(AF1012:AF1051,B1012:B1051,B1045-12)+in_hlth_small_renew^2*SUMIFS(AF1012:AF1051,B1012:B1051,B1045-24)+in_hlth_small_renew^3*SUMIFS(AF1012:AF1051,B1012:B1051,B1045-36)+in_hlth_small_renew^4*SUMIFS(AF1012:AF1051,B1012:B1051,B1045-48))</f>
        <v/>
      </c>
      <c r="AH1045" s="40">
        <f>AH1044*(1-IF(B1044&gt;=in_marketplace_from,d_hz_hlth_family*G1044,0))</f>
        <v/>
      </c>
      <c r="AI1045" s="46">
        <f>AH1045*IF(B1045&gt;=in_marketplace_from,d_hz_hlth_family*G1045,0)</f>
        <v/>
      </c>
      <c r="AJ1045" s="14">
        <f>F1045*AI1045*in_hlth_family_ticket*in_hlth_family_comm*in_ins_partner_share+F1045*in_hlth_family_ticket*in_hlth_family_renew_comm*in_ins_partner_share*(in_hlth_family_renew^1*SUMIFS(AI1012:AI1051,B1012:B1051,B1045-12)+in_hlth_family_renew^2*SUMIFS(AI1012:AI1051,B1012:B1051,B1045-24)+in_hlth_family_renew^3*SUMIFS(AI1012:AI1051,B1012:B1051,B1045-36)+in_hlth_family_renew^4*SUMIFS(AI1012:AI1051,B1012:B1051,B1045-48))</f>
        <v/>
      </c>
      <c r="AK1045" s="40">
        <f>AK1044*(1-IF(B1044&gt;=in_marketplace_from,d_hz_life_term*G1044,0))</f>
        <v/>
      </c>
      <c r="AL1045" s="46">
        <f>AK1045*IF(B1045&gt;=in_marketplace_from,d_hz_life_term*G1045,0)</f>
        <v/>
      </c>
      <c r="AM1045" s="14">
        <f>F1045*AL1045*in_life_term_ticket*in_life_term_comm*in_ins_partner_share+F1045*in_life_term_ticket*in_life_term_renew_comm*in_ins_partner_share*(in_life_term_renew^1*SUMIFS(AL1012:AL1051,B1012:B1051,B1045-12)+in_life_term_renew^2*SUMIFS(AL1012:AL1051,B1012:B1051,B1045-24)+in_life_term_renew^3*SUMIFS(AL1012:AL1051,B1012:B1051,B1045-36)+in_life_term_renew^4*SUMIFS(AL1012:AL1051,B1012:B1051,B1045-48))</f>
        <v/>
      </c>
      <c r="AN1045" s="40">
        <f>AN1044*(1-IF(B1044&gt;=in_marketplace_from,d_hz_accident*G1044,0))</f>
        <v/>
      </c>
      <c r="AO1045" s="46">
        <f>AN1045*IF(B1045&gt;=in_marketplace_from,d_hz_accident*G1045,0)</f>
        <v/>
      </c>
      <c r="AP1045" s="14">
        <f>F1045*AO1045*in_accident_ticket*in_accident_comm*in_ins_partner_share+F1045*in_accident_ticket*in_accident_renew_comm*in_ins_partner_share*(in_accident_renew^1*SUMIFS(AO1012:AO1051,B1012:B1051,B1045-12)+in_accident_renew^2*SUMIFS(AO1012:AO1051,B1012:B1051,B1045-24)+in_accident_renew^3*SUMIFS(AO1012:AO1051,B1012:B1051,B1045-36)+in_accident_renew^4*SUMIFS(AO1012:AO1051,B1012:B1051,B1045-48))</f>
        <v/>
      </c>
      <c r="AQ1045" s="40">
        <f>AQ1044*(1-IF(B1044&gt;=in_marketplace_from,d_hz_two_wheeler*G1044,0))</f>
        <v/>
      </c>
      <c r="AR1045" s="46">
        <f>AQ1045*IF(B1045&gt;=in_marketplace_from,d_hz_two_wheeler*G1045,0)</f>
        <v/>
      </c>
      <c r="AS1045" s="14">
        <f>F1045*AR1045*in_two_wheeler_ticket*in_two_wheeler_comm*in_ins_partner_share+F1045*in_two_wheeler_ticket*in_two_wheeler_comm*in_ins_partner_share*(in_two_wheeler_renew^1*SUMIFS(AR1012:AR1051,B1012:B1051,B1045-12)+in_two_wheeler_renew^2*SUMIFS(AR1012:AR1051,B1012:B1051,B1045-24)+in_two_wheeler_renew^3*SUMIFS(AR1012:AR1051,B1012:B1051,B1045-36)+in_two_wheeler_renew^4*SUMIFS(AR1012:AR1051,B1012:B1051,B1045-48))</f>
        <v/>
      </c>
      <c r="AT1045" s="40">
        <f>AT1044*(1-IF(B1044&gt;=in_marketplace_from,d_hz_device*G1044,0))</f>
        <v/>
      </c>
      <c r="AU1045" s="14">
        <f>F1045*AT1045*IF(B1045&gt;=in_marketplace_from,d_hz_device*G1045,0)*in_device_ticket*in_device_comm*in_ins_partner_share</f>
        <v/>
      </c>
      <c r="AV1045" s="40">
        <f>AV1044*(1-IF(B1044&gt;=in_marketplace_from,d_hz_shop*G1044,0))</f>
        <v/>
      </c>
      <c r="AW1045" s="46">
        <f>AV1045*IF(B1045&gt;=in_marketplace_from,d_hz_shop*G1045,0)</f>
        <v/>
      </c>
      <c r="AX1045" s="14">
        <f>F1045*AW1045*in_shop_ticket*in_shop_comm*in_ins_partner_share+F1045*in_shop_ticket*in_shop_renew_comm*in_ins_partner_share*(in_shop_renew^1*SUMIFS(AW1012:AW1051,B1012:B1051,B1045-12)+in_shop_renew^2*SUMIFS(AW1012:AW1051,B1012:B1051,B1045-24)+in_shop_renew^3*SUMIFS(AW1012:AW1051,B1012:B1051,B1045-36)+in_shop_renew^4*SUMIFS(AW1012:AW1051,B1012:B1051,B1045-48))</f>
        <v/>
      </c>
      <c r="AY1045" s="40">
        <f>AY1044*(1-IF(B1044&gt;=in_marketplace_from,d_hz_sip*G1044,0))</f>
        <v/>
      </c>
      <c r="AZ1045" s="40">
        <f>AZ1044*d_rho_sip+AY1045*IF(B1045&gt;=in_marketplace_from,d_hz_sip*G1045,0)</f>
        <v/>
      </c>
      <c r="BA1045" s="40">
        <f>d_rho_sip*(BA1044+AZ1044)</f>
        <v/>
      </c>
      <c r="BB1045" s="14">
        <f>F1045*in_sip_ticket*(BA1045+0.5*AZ1045)*in_sip_comm/12</f>
        <v/>
      </c>
      <c r="BC1045" s="40">
        <f>BC1044*(1-IF(B1044&gt;=in_marketplace_from,d_hz_choti*G1044,0))</f>
        <v/>
      </c>
      <c r="BD1045" s="46">
        <f>BC1045*IF(B1045&gt;=in_marketplace_from,d_hz_choti*G1045,0)</f>
        <v/>
      </c>
      <c r="BE1045" s="14">
        <f>F1045*SUMIFS(BD1012:BD1051,B1012:B1051,B1045-in_choti_months)*in_choti_renew*in_choti_ticket</f>
        <v/>
      </c>
      <c r="BF1045" s="40">
        <f>BF1044*(1-IF(B1044&gt;=in_marketplace_from,d_hz_nps*G1044,0))</f>
        <v/>
      </c>
      <c r="BG1045" s="14">
        <f>F1045*BF1045*IF(B1045&gt;=in_marketplace_from,d_hz_nps*G1045,0)*in_nps_ticket*in_nps_comm</f>
        <v/>
      </c>
      <c r="BH1045" s="40">
        <f>BH1044*(1-IF(B1044&gt;=in_marketplace_from,d_hz_gold*G1044,0))</f>
        <v/>
      </c>
      <c r="BI1045" s="40">
        <f>BI1044*d_rho_gold+BH1045*IF(B1045&gt;=in_marketplace_from,d_hz_gold*G1045,0)</f>
        <v/>
      </c>
      <c r="BJ1045" s="14">
        <f>F1045*BI1045*in_gold_ticket*in_gold_comm</f>
        <v/>
      </c>
      <c r="BK1045" s="40">
        <f>BK1044*(1-IF(B1044&gt;=in_marketplace_from,d_hz_fd*G1044,0))</f>
        <v/>
      </c>
      <c r="BL1045" s="14">
        <f>F1045*BK1045*IF(B1045&gt;=in_marketplace_from,d_hz_fd*G1045,0)*in_fd_ticket*in_fd_comm</f>
        <v/>
      </c>
      <c r="BM1045" s="40">
        <f>BM1044*(1-IF(B1044&gt;=in_marketplace_from,d_hz_recharge*G1044,0))</f>
        <v/>
      </c>
      <c r="BN1045" s="40">
        <f>BN1044*d_rho_recharge+BM1045*IF(B1045&gt;=in_marketplace_from,d_hz_recharge*G1045,0)</f>
        <v/>
      </c>
      <c r="BO1045" s="14">
        <f>F1045*BN1045*in_recharge_ticket*in_recharge_comm/12</f>
        <v/>
      </c>
      <c r="BP1045" s="40">
        <f>BP1044*(1-IF(B1044&gt;=in_marketplace_from,d_hz_bills*G1044,0))</f>
        <v/>
      </c>
      <c r="BQ1045" s="40">
        <f>BQ1044*d_rho_bills+BP1045*IF(B1045&gt;=in_marketplace_from,d_hz_bills*G1045,0)</f>
        <v/>
      </c>
      <c r="BR1045" s="14">
        <f>F1045*BQ1045*in_bills_ticket*in_bills_comm/12</f>
        <v/>
      </c>
      <c r="BS1045" s="40">
        <f>BS1044*(1-IF(B1044&gt;=in_marketplace_from,d_hz_loan_gold*G1044,0))</f>
        <v/>
      </c>
      <c r="BT1045" s="14">
        <f>F1045*BS1045*IF(B1045&gt;=in_marketplace_from,d_hz_loan_gold*G1045,0)*in_loan_gold_ticket*in_loan_gold_comm</f>
        <v/>
      </c>
      <c r="BU1045" s="40">
        <f>BU1044*(1-IF(B1044&gt;=in_marketplace_from,d_hz_loan_cd*G1044,0))</f>
        <v/>
      </c>
      <c r="BV1045" s="14">
        <f>F1045*BU1045*IF(B1045&gt;=in_marketplace_from,d_hz_loan_cd*G1045,0)*in_loan_cd_ticket*in_loan_cd_comm</f>
        <v/>
      </c>
      <c r="BW1045" s="40">
        <f>BW1044*(1-IF(B1044&gt;=in_marketplace_from,d_hz_loan_vehicle*G1044,0))</f>
        <v/>
      </c>
      <c r="BX1045" s="14">
        <f>F1045*BW1045*IF(B1045&gt;=in_marketplace_from,d_hz_loan_vehicle*G1045,0)*in_loan_vehicle_ticket*in_loan_vehicle_comm</f>
        <v/>
      </c>
      <c r="BY1045" s="40">
        <f>BY1044*(1-IF(B1044&gt;=in_marketplace_from,d_hz_loan_home*G1044,0)*BZ1044)</f>
        <v/>
      </c>
      <c r="BZ1045" s="11">
        <f>MIN(in_approval_cap,in_loan_home_approval*INDEX('Age profile'!$O$2:$O$61,B1045)*(1+in_approval_growth)^(D1045-1))</f>
        <v/>
      </c>
      <c r="CA1045" s="14">
        <f>F1045*BY1045*IF(B1045&gt;=in_marketplace_from,d_hz_loan_home*G1045,0)*BZ1045*in_loan_home_ticket*in_loan_home_comm</f>
        <v/>
      </c>
      <c r="CB1045" s="40">
        <f>CB1044*(1-IF(B1044&gt;=in_marketplace_from,d_hz_loan_lap*G1044,0)*CC1044)</f>
        <v/>
      </c>
      <c r="CC1045" s="11">
        <f>MIN(in_approval_cap,in_loan_lap_approval*INDEX('Age profile'!$O$2:$O$61,B1045)*(1+in_approval_growth)^(D1045-1))</f>
        <v/>
      </c>
      <c r="CD1045" s="14">
        <f>F1045*CB1045*IF(B1045&gt;=in_marketplace_from,d_hz_loan_lap*G1045,0)*CC1045*in_loan_lap_ticket*in_loan_lap_comm</f>
        <v/>
      </c>
      <c r="CE1045" s="14">
        <f>AA1045+AB1045+AC1045+AD1045+AG1045+AJ1045+AM1045+AP1045+AS1045+AU1045+AX1045+BB1045+BE1045+BG1045+BJ1045+BL1045+BO1045+BR1045+BT1045+BV1045+BX1045+CA1045+CD1045</f>
        <v/>
      </c>
    </row>
    <row r="1046">
      <c r="A1046" s="39" t="n">
        <v>21</v>
      </c>
      <c r="B1046" s="39" t="n">
        <v>35</v>
      </c>
      <c r="C1046" s="39">
        <f>A1046+B1046-1</f>
        <v/>
      </c>
      <c r="D1046" s="39">
        <f>INT((C1046-1)/12)+1</f>
        <v/>
      </c>
      <c r="E1046" s="44">
        <f>INDEX(Monthly!$B$2:$B$61,A1046)</f>
        <v/>
      </c>
      <c r="F1046" s="44">
        <f>E1046*INDEX('Age profile'!$B$2:$B$61,B1046)</f>
        <v/>
      </c>
      <c r="G1046" s="45">
        <f>MIN(in_takeup_cap,INDEX('Age profile'!$N$2:$N$61,B1046)*(1+in_takeup_growth)^(D1046-1))</f>
        <v/>
      </c>
      <c r="H1046" s="11">
        <f>MIN(in_approval_cap,in_approved_first*INDEX('Age profile'!$O$2:$O$61,B1046)*(1+in_approval_growth)^(D1046-1))</f>
        <v/>
      </c>
      <c r="I1046" s="45">
        <f>G1046*MIN(in_takeup_cap,INDEX('Age profile'!$O$2:$O$61,B1046)*(1+in_approval_growth)^(D1046-1))</f>
        <v/>
      </c>
      <c r="J1046" s="40">
        <f>(J1045-L1045)*F1046/F1045</f>
        <v/>
      </c>
      <c r="K1046" s="40">
        <f>(K1045-M1045)*F1046/F1045+SUMIFS(O1012:O1045,B1012:B1045,B1046-1-d_T)*F1046</f>
        <v/>
      </c>
      <c r="L1046" s="40">
        <f>IF(B1046&gt;=in_marketplace_from,J1046*d_hz*G1046*in_eligible*H1046,0)</f>
        <v/>
      </c>
      <c r="M1046" s="40">
        <f>IF(B1046&gt;=in_marketplace_from,K1046*d_hz*G1046*in_eligible*in_approved_repeat,0)</f>
        <v/>
      </c>
      <c r="N1046" s="40">
        <f>L1046+M1046</f>
        <v/>
      </c>
      <c r="O1046" s="46">
        <f>N1046/F1046</f>
        <v/>
      </c>
      <c r="P1046" s="40">
        <f>F1046-J1046-K1046</f>
        <v/>
      </c>
      <c r="Q1046" s="40">
        <f>IF(B1046&gt;=in_marketplace_from,(J1046+K1046)*d_hz*G1046,0)</f>
        <v/>
      </c>
      <c r="R1046" s="40">
        <f>SUMIFS(N1012:N1051,B1012:B1051,"&gt;="&amp;(B1046-d_T),B1012:B1051,"&lt;="&amp;(B1046-1))</f>
        <v/>
      </c>
      <c r="S1046" s="46">
        <f>(1-d_u)*S1045+IF(d_T&gt;in_topup_lag,SUMIFS(O1012:O1051,B1012:B1051,B1046-in_topup_lag)-d_udrop*SUMIFS(O1012:O1051,B1012:B1051,B1046-d_T),0)</f>
        <v/>
      </c>
      <c r="T1046" s="40">
        <f>F1046*d_u*S1046</f>
        <v/>
      </c>
      <c r="U1046" s="9">
        <f>L1046*in_ticket+M1046*d_rep_ticket</f>
        <v/>
      </c>
      <c r="V1046" s="9">
        <f>U1046+T1046*d_topup_amt</f>
        <v/>
      </c>
      <c r="W1046" s="40">
        <f>N1046+T1046*d_topup_ratio</f>
        <v/>
      </c>
      <c r="X1046" s="40">
        <f>SUMIFS(W1012:W1051,B1012:B1051,B1046-in_dpd_lag)*d_cured</f>
        <v/>
      </c>
      <c r="Y1046" s="40">
        <f>SUMIFS(W1012:W1051,B1012:B1051,B1046-in_rec_lag)*d_recd</f>
        <v/>
      </c>
      <c r="Z1046" s="40">
        <f>IF(AND(B1046&gt;=in_marketplace_from,B1046&lt;in_marketplace_from+in_card_months),in_card_share/in_card_months*F1046*I1046,IF(AND(B1046&gt;=in_marketplace_from+in_card_months,B1046&lt;in_marketplace_from+2*in_card_months),in_card_share*d_card_rem/in_card_months*F1046*MIN(in_takeup_cap,(1+in_takeup_growth)^(D1046-1))*MIN(in_takeup_cap,(1+in_approval_growth)^(D1046-1)),0))</f>
        <v/>
      </c>
      <c r="AA1046" s="14">
        <f>V1046*in_fee*(1-in_taken_back)</f>
        <v/>
      </c>
      <c r="AB1046" s="14">
        <f>SUMIFS(W1012:W1051,B1012:B1051,B1046-in_dpd_lag)*d_dpd</f>
        <v/>
      </c>
      <c r="AC1046" s="14">
        <f>SUMIFS(W1012:W1051,B1012:B1051,B1046-in_rec_lag)*d_rec</f>
        <v/>
      </c>
      <c r="AD1046" s="14">
        <f>Z1046*in_card_fee</f>
        <v/>
      </c>
      <c r="AE1046" s="40">
        <f>AE1045*(1-IF(B1045&gt;=in_marketplace_from,d_hz_hlth_small*G1045,0))</f>
        <v/>
      </c>
      <c r="AF1046" s="46">
        <f>AE1046*IF(B1046&gt;=in_marketplace_from,d_hz_hlth_small*G1046,0)</f>
        <v/>
      </c>
      <c r="AG1046" s="14">
        <f>F1046*AF1046*in_hlth_small_ticket*in_hlth_small_comm*in_ins_partner_share+F1046*in_hlth_small_ticket*in_hlth_small_renew_comm*in_ins_partner_share*(in_hlth_small_renew^1*SUMIFS(AF1012:AF1051,B1012:B1051,B1046-12)+in_hlth_small_renew^2*SUMIFS(AF1012:AF1051,B1012:B1051,B1046-24)+in_hlth_small_renew^3*SUMIFS(AF1012:AF1051,B1012:B1051,B1046-36)+in_hlth_small_renew^4*SUMIFS(AF1012:AF1051,B1012:B1051,B1046-48))</f>
        <v/>
      </c>
      <c r="AH1046" s="40">
        <f>AH1045*(1-IF(B1045&gt;=in_marketplace_from,d_hz_hlth_family*G1045,0))</f>
        <v/>
      </c>
      <c r="AI1046" s="46">
        <f>AH1046*IF(B1046&gt;=in_marketplace_from,d_hz_hlth_family*G1046,0)</f>
        <v/>
      </c>
      <c r="AJ1046" s="14">
        <f>F1046*AI1046*in_hlth_family_ticket*in_hlth_family_comm*in_ins_partner_share+F1046*in_hlth_family_ticket*in_hlth_family_renew_comm*in_ins_partner_share*(in_hlth_family_renew^1*SUMIFS(AI1012:AI1051,B1012:B1051,B1046-12)+in_hlth_family_renew^2*SUMIFS(AI1012:AI1051,B1012:B1051,B1046-24)+in_hlth_family_renew^3*SUMIFS(AI1012:AI1051,B1012:B1051,B1046-36)+in_hlth_family_renew^4*SUMIFS(AI1012:AI1051,B1012:B1051,B1046-48))</f>
        <v/>
      </c>
      <c r="AK1046" s="40">
        <f>AK1045*(1-IF(B1045&gt;=in_marketplace_from,d_hz_life_term*G1045,0))</f>
        <v/>
      </c>
      <c r="AL1046" s="46">
        <f>AK1046*IF(B1046&gt;=in_marketplace_from,d_hz_life_term*G1046,0)</f>
        <v/>
      </c>
      <c r="AM1046" s="14">
        <f>F1046*AL1046*in_life_term_ticket*in_life_term_comm*in_ins_partner_share+F1046*in_life_term_ticket*in_life_term_renew_comm*in_ins_partner_share*(in_life_term_renew^1*SUMIFS(AL1012:AL1051,B1012:B1051,B1046-12)+in_life_term_renew^2*SUMIFS(AL1012:AL1051,B1012:B1051,B1046-24)+in_life_term_renew^3*SUMIFS(AL1012:AL1051,B1012:B1051,B1046-36)+in_life_term_renew^4*SUMIFS(AL1012:AL1051,B1012:B1051,B1046-48))</f>
        <v/>
      </c>
      <c r="AN1046" s="40">
        <f>AN1045*(1-IF(B1045&gt;=in_marketplace_from,d_hz_accident*G1045,0))</f>
        <v/>
      </c>
      <c r="AO1046" s="46">
        <f>AN1046*IF(B1046&gt;=in_marketplace_from,d_hz_accident*G1046,0)</f>
        <v/>
      </c>
      <c r="AP1046" s="14">
        <f>F1046*AO1046*in_accident_ticket*in_accident_comm*in_ins_partner_share+F1046*in_accident_ticket*in_accident_renew_comm*in_ins_partner_share*(in_accident_renew^1*SUMIFS(AO1012:AO1051,B1012:B1051,B1046-12)+in_accident_renew^2*SUMIFS(AO1012:AO1051,B1012:B1051,B1046-24)+in_accident_renew^3*SUMIFS(AO1012:AO1051,B1012:B1051,B1046-36)+in_accident_renew^4*SUMIFS(AO1012:AO1051,B1012:B1051,B1046-48))</f>
        <v/>
      </c>
      <c r="AQ1046" s="40">
        <f>AQ1045*(1-IF(B1045&gt;=in_marketplace_from,d_hz_two_wheeler*G1045,0))</f>
        <v/>
      </c>
      <c r="AR1046" s="46">
        <f>AQ1046*IF(B1046&gt;=in_marketplace_from,d_hz_two_wheeler*G1046,0)</f>
        <v/>
      </c>
      <c r="AS1046" s="14">
        <f>F1046*AR1046*in_two_wheeler_ticket*in_two_wheeler_comm*in_ins_partner_share+F1046*in_two_wheeler_ticket*in_two_wheeler_comm*in_ins_partner_share*(in_two_wheeler_renew^1*SUMIFS(AR1012:AR1051,B1012:B1051,B1046-12)+in_two_wheeler_renew^2*SUMIFS(AR1012:AR1051,B1012:B1051,B1046-24)+in_two_wheeler_renew^3*SUMIFS(AR1012:AR1051,B1012:B1051,B1046-36)+in_two_wheeler_renew^4*SUMIFS(AR1012:AR1051,B1012:B1051,B1046-48))</f>
        <v/>
      </c>
      <c r="AT1046" s="40">
        <f>AT1045*(1-IF(B1045&gt;=in_marketplace_from,d_hz_device*G1045,0))</f>
        <v/>
      </c>
      <c r="AU1046" s="14">
        <f>F1046*AT1046*IF(B1046&gt;=in_marketplace_from,d_hz_device*G1046,0)*in_device_ticket*in_device_comm*in_ins_partner_share</f>
        <v/>
      </c>
      <c r="AV1046" s="40">
        <f>AV1045*(1-IF(B1045&gt;=in_marketplace_from,d_hz_shop*G1045,0))</f>
        <v/>
      </c>
      <c r="AW1046" s="46">
        <f>AV1046*IF(B1046&gt;=in_marketplace_from,d_hz_shop*G1046,0)</f>
        <v/>
      </c>
      <c r="AX1046" s="14">
        <f>F1046*AW1046*in_shop_ticket*in_shop_comm*in_ins_partner_share+F1046*in_shop_ticket*in_shop_renew_comm*in_ins_partner_share*(in_shop_renew^1*SUMIFS(AW1012:AW1051,B1012:B1051,B1046-12)+in_shop_renew^2*SUMIFS(AW1012:AW1051,B1012:B1051,B1046-24)+in_shop_renew^3*SUMIFS(AW1012:AW1051,B1012:B1051,B1046-36)+in_shop_renew^4*SUMIFS(AW1012:AW1051,B1012:B1051,B1046-48))</f>
        <v/>
      </c>
      <c r="AY1046" s="40">
        <f>AY1045*(1-IF(B1045&gt;=in_marketplace_from,d_hz_sip*G1045,0))</f>
        <v/>
      </c>
      <c r="AZ1046" s="40">
        <f>AZ1045*d_rho_sip+AY1046*IF(B1046&gt;=in_marketplace_from,d_hz_sip*G1046,0)</f>
        <v/>
      </c>
      <c r="BA1046" s="40">
        <f>d_rho_sip*(BA1045+AZ1045)</f>
        <v/>
      </c>
      <c r="BB1046" s="14">
        <f>F1046*in_sip_ticket*(BA1046+0.5*AZ1046)*in_sip_comm/12</f>
        <v/>
      </c>
      <c r="BC1046" s="40">
        <f>BC1045*(1-IF(B1045&gt;=in_marketplace_from,d_hz_choti*G1045,0))</f>
        <v/>
      </c>
      <c r="BD1046" s="46">
        <f>BC1046*IF(B1046&gt;=in_marketplace_from,d_hz_choti*G1046,0)</f>
        <v/>
      </c>
      <c r="BE1046" s="14">
        <f>F1046*SUMIFS(BD1012:BD1051,B1012:B1051,B1046-in_choti_months)*in_choti_renew*in_choti_ticket</f>
        <v/>
      </c>
      <c r="BF1046" s="40">
        <f>BF1045*(1-IF(B1045&gt;=in_marketplace_from,d_hz_nps*G1045,0))</f>
        <v/>
      </c>
      <c r="BG1046" s="14">
        <f>F1046*BF1046*IF(B1046&gt;=in_marketplace_from,d_hz_nps*G1046,0)*in_nps_ticket*in_nps_comm</f>
        <v/>
      </c>
      <c r="BH1046" s="40">
        <f>BH1045*(1-IF(B1045&gt;=in_marketplace_from,d_hz_gold*G1045,0))</f>
        <v/>
      </c>
      <c r="BI1046" s="40">
        <f>BI1045*d_rho_gold+BH1046*IF(B1046&gt;=in_marketplace_from,d_hz_gold*G1046,0)</f>
        <v/>
      </c>
      <c r="BJ1046" s="14">
        <f>F1046*BI1046*in_gold_ticket*in_gold_comm</f>
        <v/>
      </c>
      <c r="BK1046" s="40">
        <f>BK1045*(1-IF(B1045&gt;=in_marketplace_from,d_hz_fd*G1045,0))</f>
        <v/>
      </c>
      <c r="BL1046" s="14">
        <f>F1046*BK1046*IF(B1046&gt;=in_marketplace_from,d_hz_fd*G1046,0)*in_fd_ticket*in_fd_comm</f>
        <v/>
      </c>
      <c r="BM1046" s="40">
        <f>BM1045*(1-IF(B1045&gt;=in_marketplace_from,d_hz_recharge*G1045,0))</f>
        <v/>
      </c>
      <c r="BN1046" s="40">
        <f>BN1045*d_rho_recharge+BM1046*IF(B1046&gt;=in_marketplace_from,d_hz_recharge*G1046,0)</f>
        <v/>
      </c>
      <c r="BO1046" s="14">
        <f>F1046*BN1046*in_recharge_ticket*in_recharge_comm/12</f>
        <v/>
      </c>
      <c r="BP1046" s="40">
        <f>BP1045*(1-IF(B1045&gt;=in_marketplace_from,d_hz_bills*G1045,0))</f>
        <v/>
      </c>
      <c r="BQ1046" s="40">
        <f>BQ1045*d_rho_bills+BP1046*IF(B1046&gt;=in_marketplace_from,d_hz_bills*G1046,0)</f>
        <v/>
      </c>
      <c r="BR1046" s="14">
        <f>F1046*BQ1046*in_bills_ticket*in_bills_comm/12</f>
        <v/>
      </c>
      <c r="BS1046" s="40">
        <f>BS1045*(1-IF(B1045&gt;=in_marketplace_from,d_hz_loan_gold*G1045,0))</f>
        <v/>
      </c>
      <c r="BT1046" s="14">
        <f>F1046*BS1046*IF(B1046&gt;=in_marketplace_from,d_hz_loan_gold*G1046,0)*in_loan_gold_ticket*in_loan_gold_comm</f>
        <v/>
      </c>
      <c r="BU1046" s="40">
        <f>BU1045*(1-IF(B1045&gt;=in_marketplace_from,d_hz_loan_cd*G1045,0))</f>
        <v/>
      </c>
      <c r="BV1046" s="14">
        <f>F1046*BU1046*IF(B1046&gt;=in_marketplace_from,d_hz_loan_cd*G1046,0)*in_loan_cd_ticket*in_loan_cd_comm</f>
        <v/>
      </c>
      <c r="BW1046" s="40">
        <f>BW1045*(1-IF(B1045&gt;=in_marketplace_from,d_hz_loan_vehicle*G1045,0))</f>
        <v/>
      </c>
      <c r="BX1046" s="14">
        <f>F1046*BW1046*IF(B1046&gt;=in_marketplace_from,d_hz_loan_vehicle*G1046,0)*in_loan_vehicle_ticket*in_loan_vehicle_comm</f>
        <v/>
      </c>
      <c r="BY1046" s="40">
        <f>BY1045*(1-IF(B1045&gt;=in_marketplace_from,d_hz_loan_home*G1045,0)*BZ1045)</f>
        <v/>
      </c>
      <c r="BZ1046" s="11">
        <f>MIN(in_approval_cap,in_loan_home_approval*INDEX('Age profile'!$O$2:$O$61,B1046)*(1+in_approval_growth)^(D1046-1))</f>
        <v/>
      </c>
      <c r="CA1046" s="14">
        <f>F1046*BY1046*IF(B1046&gt;=in_marketplace_from,d_hz_loan_home*G1046,0)*BZ1046*in_loan_home_ticket*in_loan_home_comm</f>
        <v/>
      </c>
      <c r="CB1046" s="40">
        <f>CB1045*(1-IF(B1045&gt;=in_marketplace_from,d_hz_loan_lap*G1045,0)*CC1045)</f>
        <v/>
      </c>
      <c r="CC1046" s="11">
        <f>MIN(in_approval_cap,in_loan_lap_approval*INDEX('Age profile'!$O$2:$O$61,B1046)*(1+in_approval_growth)^(D1046-1))</f>
        <v/>
      </c>
      <c r="CD1046" s="14">
        <f>F1046*CB1046*IF(B1046&gt;=in_marketplace_from,d_hz_loan_lap*G1046,0)*CC1046*in_loan_lap_ticket*in_loan_lap_comm</f>
        <v/>
      </c>
      <c r="CE1046" s="14">
        <f>AA1046+AB1046+AC1046+AD1046+AG1046+AJ1046+AM1046+AP1046+AS1046+AU1046+AX1046+BB1046+BE1046+BG1046+BJ1046+BL1046+BO1046+BR1046+BT1046+BV1046+BX1046+CA1046+CD1046</f>
        <v/>
      </c>
    </row>
    <row r="1047">
      <c r="A1047" s="39" t="n">
        <v>21</v>
      </c>
      <c r="B1047" s="39" t="n">
        <v>36</v>
      </c>
      <c r="C1047" s="39">
        <f>A1047+B1047-1</f>
        <v/>
      </c>
      <c r="D1047" s="39">
        <f>INT((C1047-1)/12)+1</f>
        <v/>
      </c>
      <c r="E1047" s="44">
        <f>INDEX(Monthly!$B$2:$B$61,A1047)</f>
        <v/>
      </c>
      <c r="F1047" s="44">
        <f>E1047*INDEX('Age profile'!$B$2:$B$61,B1047)</f>
        <v/>
      </c>
      <c r="G1047" s="45">
        <f>MIN(in_takeup_cap,INDEX('Age profile'!$N$2:$N$61,B1047)*(1+in_takeup_growth)^(D1047-1))</f>
        <v/>
      </c>
      <c r="H1047" s="11">
        <f>MIN(in_approval_cap,in_approved_first*INDEX('Age profile'!$O$2:$O$61,B1047)*(1+in_approval_growth)^(D1047-1))</f>
        <v/>
      </c>
      <c r="I1047" s="45">
        <f>G1047*MIN(in_takeup_cap,INDEX('Age profile'!$O$2:$O$61,B1047)*(1+in_approval_growth)^(D1047-1))</f>
        <v/>
      </c>
      <c r="J1047" s="40">
        <f>(J1046-L1046)*F1047/F1046</f>
        <v/>
      </c>
      <c r="K1047" s="40">
        <f>(K1046-M1046)*F1047/F1046+SUMIFS(O1012:O1046,B1012:B1046,B1047-1-d_T)*F1047</f>
        <v/>
      </c>
      <c r="L1047" s="40">
        <f>IF(B1047&gt;=in_marketplace_from,J1047*d_hz*G1047*in_eligible*H1047,0)</f>
        <v/>
      </c>
      <c r="M1047" s="40">
        <f>IF(B1047&gt;=in_marketplace_from,K1047*d_hz*G1047*in_eligible*in_approved_repeat,0)</f>
        <v/>
      </c>
      <c r="N1047" s="40">
        <f>L1047+M1047</f>
        <v/>
      </c>
      <c r="O1047" s="46">
        <f>N1047/F1047</f>
        <v/>
      </c>
      <c r="P1047" s="40">
        <f>F1047-J1047-K1047</f>
        <v/>
      </c>
      <c r="Q1047" s="40">
        <f>IF(B1047&gt;=in_marketplace_from,(J1047+K1047)*d_hz*G1047,0)</f>
        <v/>
      </c>
      <c r="R1047" s="40">
        <f>SUMIFS(N1012:N1051,B1012:B1051,"&gt;="&amp;(B1047-d_T),B1012:B1051,"&lt;="&amp;(B1047-1))</f>
        <v/>
      </c>
      <c r="S1047" s="46">
        <f>(1-d_u)*S1046+IF(d_T&gt;in_topup_lag,SUMIFS(O1012:O1051,B1012:B1051,B1047-in_topup_lag)-d_udrop*SUMIFS(O1012:O1051,B1012:B1051,B1047-d_T),0)</f>
        <v/>
      </c>
      <c r="T1047" s="40">
        <f>F1047*d_u*S1047</f>
        <v/>
      </c>
      <c r="U1047" s="9">
        <f>L1047*in_ticket+M1047*d_rep_ticket</f>
        <v/>
      </c>
      <c r="V1047" s="9">
        <f>U1047+T1047*d_topup_amt</f>
        <v/>
      </c>
      <c r="W1047" s="40">
        <f>N1047+T1047*d_topup_ratio</f>
        <v/>
      </c>
      <c r="X1047" s="40">
        <f>SUMIFS(W1012:W1051,B1012:B1051,B1047-in_dpd_lag)*d_cured</f>
        <v/>
      </c>
      <c r="Y1047" s="40">
        <f>SUMIFS(W1012:W1051,B1012:B1051,B1047-in_rec_lag)*d_recd</f>
        <v/>
      </c>
      <c r="Z1047" s="40">
        <f>IF(AND(B1047&gt;=in_marketplace_from,B1047&lt;in_marketplace_from+in_card_months),in_card_share/in_card_months*F1047*I1047,IF(AND(B1047&gt;=in_marketplace_from+in_card_months,B1047&lt;in_marketplace_from+2*in_card_months),in_card_share*d_card_rem/in_card_months*F1047*MIN(in_takeup_cap,(1+in_takeup_growth)^(D1047-1))*MIN(in_takeup_cap,(1+in_approval_growth)^(D1047-1)),0))</f>
        <v/>
      </c>
      <c r="AA1047" s="14">
        <f>V1047*in_fee*(1-in_taken_back)</f>
        <v/>
      </c>
      <c r="AB1047" s="14">
        <f>SUMIFS(W1012:W1051,B1012:B1051,B1047-in_dpd_lag)*d_dpd</f>
        <v/>
      </c>
      <c r="AC1047" s="14">
        <f>SUMIFS(W1012:W1051,B1012:B1051,B1047-in_rec_lag)*d_rec</f>
        <v/>
      </c>
      <c r="AD1047" s="14">
        <f>Z1047*in_card_fee</f>
        <v/>
      </c>
      <c r="AE1047" s="40">
        <f>AE1046*(1-IF(B1046&gt;=in_marketplace_from,d_hz_hlth_small*G1046,0))</f>
        <v/>
      </c>
      <c r="AF1047" s="46">
        <f>AE1047*IF(B1047&gt;=in_marketplace_from,d_hz_hlth_small*G1047,0)</f>
        <v/>
      </c>
      <c r="AG1047" s="14">
        <f>F1047*AF1047*in_hlth_small_ticket*in_hlth_small_comm*in_ins_partner_share+F1047*in_hlth_small_ticket*in_hlth_small_renew_comm*in_ins_partner_share*(in_hlth_small_renew^1*SUMIFS(AF1012:AF1051,B1012:B1051,B1047-12)+in_hlth_small_renew^2*SUMIFS(AF1012:AF1051,B1012:B1051,B1047-24)+in_hlth_small_renew^3*SUMIFS(AF1012:AF1051,B1012:B1051,B1047-36)+in_hlth_small_renew^4*SUMIFS(AF1012:AF1051,B1012:B1051,B1047-48))</f>
        <v/>
      </c>
      <c r="AH1047" s="40">
        <f>AH1046*(1-IF(B1046&gt;=in_marketplace_from,d_hz_hlth_family*G1046,0))</f>
        <v/>
      </c>
      <c r="AI1047" s="46">
        <f>AH1047*IF(B1047&gt;=in_marketplace_from,d_hz_hlth_family*G1047,0)</f>
        <v/>
      </c>
      <c r="AJ1047" s="14">
        <f>F1047*AI1047*in_hlth_family_ticket*in_hlth_family_comm*in_ins_partner_share+F1047*in_hlth_family_ticket*in_hlth_family_renew_comm*in_ins_partner_share*(in_hlth_family_renew^1*SUMIFS(AI1012:AI1051,B1012:B1051,B1047-12)+in_hlth_family_renew^2*SUMIFS(AI1012:AI1051,B1012:B1051,B1047-24)+in_hlth_family_renew^3*SUMIFS(AI1012:AI1051,B1012:B1051,B1047-36)+in_hlth_family_renew^4*SUMIFS(AI1012:AI1051,B1012:B1051,B1047-48))</f>
        <v/>
      </c>
      <c r="AK1047" s="40">
        <f>AK1046*(1-IF(B1046&gt;=in_marketplace_from,d_hz_life_term*G1046,0))</f>
        <v/>
      </c>
      <c r="AL1047" s="46">
        <f>AK1047*IF(B1047&gt;=in_marketplace_from,d_hz_life_term*G1047,0)</f>
        <v/>
      </c>
      <c r="AM1047" s="14">
        <f>F1047*AL1047*in_life_term_ticket*in_life_term_comm*in_ins_partner_share+F1047*in_life_term_ticket*in_life_term_renew_comm*in_ins_partner_share*(in_life_term_renew^1*SUMIFS(AL1012:AL1051,B1012:B1051,B1047-12)+in_life_term_renew^2*SUMIFS(AL1012:AL1051,B1012:B1051,B1047-24)+in_life_term_renew^3*SUMIFS(AL1012:AL1051,B1012:B1051,B1047-36)+in_life_term_renew^4*SUMIFS(AL1012:AL1051,B1012:B1051,B1047-48))</f>
        <v/>
      </c>
      <c r="AN1047" s="40">
        <f>AN1046*(1-IF(B1046&gt;=in_marketplace_from,d_hz_accident*G1046,0))</f>
        <v/>
      </c>
      <c r="AO1047" s="46">
        <f>AN1047*IF(B1047&gt;=in_marketplace_from,d_hz_accident*G1047,0)</f>
        <v/>
      </c>
      <c r="AP1047" s="14">
        <f>F1047*AO1047*in_accident_ticket*in_accident_comm*in_ins_partner_share+F1047*in_accident_ticket*in_accident_renew_comm*in_ins_partner_share*(in_accident_renew^1*SUMIFS(AO1012:AO1051,B1012:B1051,B1047-12)+in_accident_renew^2*SUMIFS(AO1012:AO1051,B1012:B1051,B1047-24)+in_accident_renew^3*SUMIFS(AO1012:AO1051,B1012:B1051,B1047-36)+in_accident_renew^4*SUMIFS(AO1012:AO1051,B1012:B1051,B1047-48))</f>
        <v/>
      </c>
      <c r="AQ1047" s="40">
        <f>AQ1046*(1-IF(B1046&gt;=in_marketplace_from,d_hz_two_wheeler*G1046,0))</f>
        <v/>
      </c>
      <c r="AR1047" s="46">
        <f>AQ1047*IF(B1047&gt;=in_marketplace_from,d_hz_two_wheeler*G1047,0)</f>
        <v/>
      </c>
      <c r="AS1047" s="14">
        <f>F1047*AR1047*in_two_wheeler_ticket*in_two_wheeler_comm*in_ins_partner_share+F1047*in_two_wheeler_ticket*in_two_wheeler_comm*in_ins_partner_share*(in_two_wheeler_renew^1*SUMIFS(AR1012:AR1051,B1012:B1051,B1047-12)+in_two_wheeler_renew^2*SUMIFS(AR1012:AR1051,B1012:B1051,B1047-24)+in_two_wheeler_renew^3*SUMIFS(AR1012:AR1051,B1012:B1051,B1047-36)+in_two_wheeler_renew^4*SUMIFS(AR1012:AR1051,B1012:B1051,B1047-48))</f>
        <v/>
      </c>
      <c r="AT1047" s="40">
        <f>AT1046*(1-IF(B1046&gt;=in_marketplace_from,d_hz_device*G1046,0))</f>
        <v/>
      </c>
      <c r="AU1047" s="14">
        <f>F1047*AT1047*IF(B1047&gt;=in_marketplace_from,d_hz_device*G1047,0)*in_device_ticket*in_device_comm*in_ins_partner_share</f>
        <v/>
      </c>
      <c r="AV1047" s="40">
        <f>AV1046*(1-IF(B1046&gt;=in_marketplace_from,d_hz_shop*G1046,0))</f>
        <v/>
      </c>
      <c r="AW1047" s="46">
        <f>AV1047*IF(B1047&gt;=in_marketplace_from,d_hz_shop*G1047,0)</f>
        <v/>
      </c>
      <c r="AX1047" s="14">
        <f>F1047*AW1047*in_shop_ticket*in_shop_comm*in_ins_partner_share+F1047*in_shop_ticket*in_shop_renew_comm*in_ins_partner_share*(in_shop_renew^1*SUMIFS(AW1012:AW1051,B1012:B1051,B1047-12)+in_shop_renew^2*SUMIFS(AW1012:AW1051,B1012:B1051,B1047-24)+in_shop_renew^3*SUMIFS(AW1012:AW1051,B1012:B1051,B1047-36)+in_shop_renew^4*SUMIFS(AW1012:AW1051,B1012:B1051,B1047-48))</f>
        <v/>
      </c>
      <c r="AY1047" s="40">
        <f>AY1046*(1-IF(B1046&gt;=in_marketplace_from,d_hz_sip*G1046,0))</f>
        <v/>
      </c>
      <c r="AZ1047" s="40">
        <f>AZ1046*d_rho_sip+AY1047*IF(B1047&gt;=in_marketplace_from,d_hz_sip*G1047,0)</f>
        <v/>
      </c>
      <c r="BA1047" s="40">
        <f>d_rho_sip*(BA1046+AZ1046)</f>
        <v/>
      </c>
      <c r="BB1047" s="14">
        <f>F1047*in_sip_ticket*(BA1047+0.5*AZ1047)*in_sip_comm/12</f>
        <v/>
      </c>
      <c r="BC1047" s="40">
        <f>BC1046*(1-IF(B1046&gt;=in_marketplace_from,d_hz_choti*G1046,0))</f>
        <v/>
      </c>
      <c r="BD1047" s="46">
        <f>BC1047*IF(B1047&gt;=in_marketplace_from,d_hz_choti*G1047,0)</f>
        <v/>
      </c>
      <c r="BE1047" s="14">
        <f>F1047*SUMIFS(BD1012:BD1051,B1012:B1051,B1047-in_choti_months)*in_choti_renew*in_choti_ticket</f>
        <v/>
      </c>
      <c r="BF1047" s="40">
        <f>BF1046*(1-IF(B1046&gt;=in_marketplace_from,d_hz_nps*G1046,0))</f>
        <v/>
      </c>
      <c r="BG1047" s="14">
        <f>F1047*BF1047*IF(B1047&gt;=in_marketplace_from,d_hz_nps*G1047,0)*in_nps_ticket*in_nps_comm</f>
        <v/>
      </c>
      <c r="BH1047" s="40">
        <f>BH1046*(1-IF(B1046&gt;=in_marketplace_from,d_hz_gold*G1046,0))</f>
        <v/>
      </c>
      <c r="BI1047" s="40">
        <f>BI1046*d_rho_gold+BH1047*IF(B1047&gt;=in_marketplace_from,d_hz_gold*G1047,0)</f>
        <v/>
      </c>
      <c r="BJ1047" s="14">
        <f>F1047*BI1047*in_gold_ticket*in_gold_comm</f>
        <v/>
      </c>
      <c r="BK1047" s="40">
        <f>BK1046*(1-IF(B1046&gt;=in_marketplace_from,d_hz_fd*G1046,0))</f>
        <v/>
      </c>
      <c r="BL1047" s="14">
        <f>F1047*BK1047*IF(B1047&gt;=in_marketplace_from,d_hz_fd*G1047,0)*in_fd_ticket*in_fd_comm</f>
        <v/>
      </c>
      <c r="BM1047" s="40">
        <f>BM1046*(1-IF(B1046&gt;=in_marketplace_from,d_hz_recharge*G1046,0))</f>
        <v/>
      </c>
      <c r="BN1047" s="40">
        <f>BN1046*d_rho_recharge+BM1047*IF(B1047&gt;=in_marketplace_from,d_hz_recharge*G1047,0)</f>
        <v/>
      </c>
      <c r="BO1047" s="14">
        <f>F1047*BN1047*in_recharge_ticket*in_recharge_comm/12</f>
        <v/>
      </c>
      <c r="BP1047" s="40">
        <f>BP1046*(1-IF(B1046&gt;=in_marketplace_from,d_hz_bills*G1046,0))</f>
        <v/>
      </c>
      <c r="BQ1047" s="40">
        <f>BQ1046*d_rho_bills+BP1047*IF(B1047&gt;=in_marketplace_from,d_hz_bills*G1047,0)</f>
        <v/>
      </c>
      <c r="BR1047" s="14">
        <f>F1047*BQ1047*in_bills_ticket*in_bills_comm/12</f>
        <v/>
      </c>
      <c r="BS1047" s="40">
        <f>BS1046*(1-IF(B1046&gt;=in_marketplace_from,d_hz_loan_gold*G1046,0))</f>
        <v/>
      </c>
      <c r="BT1047" s="14">
        <f>F1047*BS1047*IF(B1047&gt;=in_marketplace_from,d_hz_loan_gold*G1047,0)*in_loan_gold_ticket*in_loan_gold_comm</f>
        <v/>
      </c>
      <c r="BU1047" s="40">
        <f>BU1046*(1-IF(B1046&gt;=in_marketplace_from,d_hz_loan_cd*G1046,0))</f>
        <v/>
      </c>
      <c r="BV1047" s="14">
        <f>F1047*BU1047*IF(B1047&gt;=in_marketplace_from,d_hz_loan_cd*G1047,0)*in_loan_cd_ticket*in_loan_cd_comm</f>
        <v/>
      </c>
      <c r="BW1047" s="40">
        <f>BW1046*(1-IF(B1046&gt;=in_marketplace_from,d_hz_loan_vehicle*G1046,0))</f>
        <v/>
      </c>
      <c r="BX1047" s="14">
        <f>F1047*BW1047*IF(B1047&gt;=in_marketplace_from,d_hz_loan_vehicle*G1047,0)*in_loan_vehicle_ticket*in_loan_vehicle_comm</f>
        <v/>
      </c>
      <c r="BY1047" s="40">
        <f>BY1046*(1-IF(B1046&gt;=in_marketplace_from,d_hz_loan_home*G1046,0)*BZ1046)</f>
        <v/>
      </c>
      <c r="BZ1047" s="11">
        <f>MIN(in_approval_cap,in_loan_home_approval*INDEX('Age profile'!$O$2:$O$61,B1047)*(1+in_approval_growth)^(D1047-1))</f>
        <v/>
      </c>
      <c r="CA1047" s="14">
        <f>F1047*BY1047*IF(B1047&gt;=in_marketplace_from,d_hz_loan_home*G1047,0)*BZ1047*in_loan_home_ticket*in_loan_home_comm</f>
        <v/>
      </c>
      <c r="CB1047" s="40">
        <f>CB1046*(1-IF(B1046&gt;=in_marketplace_from,d_hz_loan_lap*G1046,0)*CC1046)</f>
        <v/>
      </c>
      <c r="CC1047" s="11">
        <f>MIN(in_approval_cap,in_loan_lap_approval*INDEX('Age profile'!$O$2:$O$61,B1047)*(1+in_approval_growth)^(D1047-1))</f>
        <v/>
      </c>
      <c r="CD1047" s="14">
        <f>F1047*CB1047*IF(B1047&gt;=in_marketplace_from,d_hz_loan_lap*G1047,0)*CC1047*in_loan_lap_ticket*in_loan_lap_comm</f>
        <v/>
      </c>
      <c r="CE1047" s="14">
        <f>AA1047+AB1047+AC1047+AD1047+AG1047+AJ1047+AM1047+AP1047+AS1047+AU1047+AX1047+BB1047+BE1047+BG1047+BJ1047+BL1047+BO1047+BR1047+BT1047+BV1047+BX1047+CA1047+CD1047</f>
        <v/>
      </c>
    </row>
    <row r="1048">
      <c r="A1048" s="39" t="n">
        <v>21</v>
      </c>
      <c r="B1048" s="39" t="n">
        <v>37</v>
      </c>
      <c r="C1048" s="39">
        <f>A1048+B1048-1</f>
        <v/>
      </c>
      <c r="D1048" s="39">
        <f>INT((C1048-1)/12)+1</f>
        <v/>
      </c>
      <c r="E1048" s="44">
        <f>INDEX(Monthly!$B$2:$B$61,A1048)</f>
        <v/>
      </c>
      <c r="F1048" s="44">
        <f>E1048*INDEX('Age profile'!$B$2:$B$61,B1048)</f>
        <v/>
      </c>
      <c r="G1048" s="45">
        <f>MIN(in_takeup_cap,INDEX('Age profile'!$N$2:$N$61,B1048)*(1+in_takeup_growth)^(D1048-1))</f>
        <v/>
      </c>
      <c r="H1048" s="11">
        <f>MIN(in_approval_cap,in_approved_first*INDEX('Age profile'!$O$2:$O$61,B1048)*(1+in_approval_growth)^(D1048-1))</f>
        <v/>
      </c>
      <c r="I1048" s="45">
        <f>G1048*MIN(in_takeup_cap,INDEX('Age profile'!$O$2:$O$61,B1048)*(1+in_approval_growth)^(D1048-1))</f>
        <v/>
      </c>
      <c r="J1048" s="40">
        <f>(J1047-L1047)*F1048/F1047</f>
        <v/>
      </c>
      <c r="K1048" s="40">
        <f>(K1047-M1047)*F1048/F1047+SUMIFS(O1012:O1047,B1012:B1047,B1048-1-d_T)*F1048</f>
        <v/>
      </c>
      <c r="L1048" s="40">
        <f>IF(B1048&gt;=in_marketplace_from,J1048*d_hz*G1048*in_eligible*H1048,0)</f>
        <v/>
      </c>
      <c r="M1048" s="40">
        <f>IF(B1048&gt;=in_marketplace_from,K1048*d_hz*G1048*in_eligible*in_approved_repeat,0)</f>
        <v/>
      </c>
      <c r="N1048" s="40">
        <f>L1048+M1048</f>
        <v/>
      </c>
      <c r="O1048" s="46">
        <f>N1048/F1048</f>
        <v/>
      </c>
      <c r="P1048" s="40">
        <f>F1048-J1048-K1048</f>
        <v/>
      </c>
      <c r="Q1048" s="40">
        <f>IF(B1048&gt;=in_marketplace_from,(J1048+K1048)*d_hz*G1048,0)</f>
        <v/>
      </c>
      <c r="R1048" s="40">
        <f>SUMIFS(N1012:N1051,B1012:B1051,"&gt;="&amp;(B1048-d_T),B1012:B1051,"&lt;="&amp;(B1048-1))</f>
        <v/>
      </c>
      <c r="S1048" s="46">
        <f>(1-d_u)*S1047+IF(d_T&gt;in_topup_lag,SUMIFS(O1012:O1051,B1012:B1051,B1048-in_topup_lag)-d_udrop*SUMIFS(O1012:O1051,B1012:B1051,B1048-d_T),0)</f>
        <v/>
      </c>
      <c r="T1048" s="40">
        <f>F1048*d_u*S1048</f>
        <v/>
      </c>
      <c r="U1048" s="9">
        <f>L1048*in_ticket+M1048*d_rep_ticket</f>
        <v/>
      </c>
      <c r="V1048" s="9">
        <f>U1048+T1048*d_topup_amt</f>
        <v/>
      </c>
      <c r="W1048" s="40">
        <f>N1048+T1048*d_topup_ratio</f>
        <v/>
      </c>
      <c r="X1048" s="40">
        <f>SUMIFS(W1012:W1051,B1012:B1051,B1048-in_dpd_lag)*d_cured</f>
        <v/>
      </c>
      <c r="Y1048" s="40">
        <f>SUMIFS(W1012:W1051,B1012:B1051,B1048-in_rec_lag)*d_recd</f>
        <v/>
      </c>
      <c r="Z1048" s="40">
        <f>IF(AND(B1048&gt;=in_marketplace_from,B1048&lt;in_marketplace_from+in_card_months),in_card_share/in_card_months*F1048*I1048,IF(AND(B1048&gt;=in_marketplace_from+in_card_months,B1048&lt;in_marketplace_from+2*in_card_months),in_card_share*d_card_rem/in_card_months*F1048*MIN(in_takeup_cap,(1+in_takeup_growth)^(D1048-1))*MIN(in_takeup_cap,(1+in_approval_growth)^(D1048-1)),0))</f>
        <v/>
      </c>
      <c r="AA1048" s="14">
        <f>V1048*in_fee*(1-in_taken_back)</f>
        <v/>
      </c>
      <c r="AB1048" s="14">
        <f>SUMIFS(W1012:W1051,B1012:B1051,B1048-in_dpd_lag)*d_dpd</f>
        <v/>
      </c>
      <c r="AC1048" s="14">
        <f>SUMIFS(W1012:W1051,B1012:B1051,B1048-in_rec_lag)*d_rec</f>
        <v/>
      </c>
      <c r="AD1048" s="14">
        <f>Z1048*in_card_fee</f>
        <v/>
      </c>
      <c r="AE1048" s="40">
        <f>AE1047*(1-IF(B1047&gt;=in_marketplace_from,d_hz_hlth_small*G1047,0))</f>
        <v/>
      </c>
      <c r="AF1048" s="46">
        <f>AE1048*IF(B1048&gt;=in_marketplace_from,d_hz_hlth_small*G1048,0)</f>
        <v/>
      </c>
      <c r="AG1048" s="14">
        <f>F1048*AF1048*in_hlth_small_ticket*in_hlth_small_comm*in_ins_partner_share+F1048*in_hlth_small_ticket*in_hlth_small_renew_comm*in_ins_partner_share*(in_hlth_small_renew^1*SUMIFS(AF1012:AF1051,B1012:B1051,B1048-12)+in_hlth_small_renew^2*SUMIFS(AF1012:AF1051,B1012:B1051,B1048-24)+in_hlth_small_renew^3*SUMIFS(AF1012:AF1051,B1012:B1051,B1048-36)+in_hlth_small_renew^4*SUMIFS(AF1012:AF1051,B1012:B1051,B1048-48))</f>
        <v/>
      </c>
      <c r="AH1048" s="40">
        <f>AH1047*(1-IF(B1047&gt;=in_marketplace_from,d_hz_hlth_family*G1047,0))</f>
        <v/>
      </c>
      <c r="AI1048" s="46">
        <f>AH1048*IF(B1048&gt;=in_marketplace_from,d_hz_hlth_family*G1048,0)</f>
        <v/>
      </c>
      <c r="AJ1048" s="14">
        <f>F1048*AI1048*in_hlth_family_ticket*in_hlth_family_comm*in_ins_partner_share+F1048*in_hlth_family_ticket*in_hlth_family_renew_comm*in_ins_partner_share*(in_hlth_family_renew^1*SUMIFS(AI1012:AI1051,B1012:B1051,B1048-12)+in_hlth_family_renew^2*SUMIFS(AI1012:AI1051,B1012:B1051,B1048-24)+in_hlth_family_renew^3*SUMIFS(AI1012:AI1051,B1012:B1051,B1048-36)+in_hlth_family_renew^4*SUMIFS(AI1012:AI1051,B1012:B1051,B1048-48))</f>
        <v/>
      </c>
      <c r="AK1048" s="40">
        <f>AK1047*(1-IF(B1047&gt;=in_marketplace_from,d_hz_life_term*G1047,0))</f>
        <v/>
      </c>
      <c r="AL1048" s="46">
        <f>AK1048*IF(B1048&gt;=in_marketplace_from,d_hz_life_term*G1048,0)</f>
        <v/>
      </c>
      <c r="AM1048" s="14">
        <f>F1048*AL1048*in_life_term_ticket*in_life_term_comm*in_ins_partner_share+F1048*in_life_term_ticket*in_life_term_renew_comm*in_ins_partner_share*(in_life_term_renew^1*SUMIFS(AL1012:AL1051,B1012:B1051,B1048-12)+in_life_term_renew^2*SUMIFS(AL1012:AL1051,B1012:B1051,B1048-24)+in_life_term_renew^3*SUMIFS(AL1012:AL1051,B1012:B1051,B1048-36)+in_life_term_renew^4*SUMIFS(AL1012:AL1051,B1012:B1051,B1048-48))</f>
        <v/>
      </c>
      <c r="AN1048" s="40">
        <f>AN1047*(1-IF(B1047&gt;=in_marketplace_from,d_hz_accident*G1047,0))</f>
        <v/>
      </c>
      <c r="AO1048" s="46">
        <f>AN1048*IF(B1048&gt;=in_marketplace_from,d_hz_accident*G1048,0)</f>
        <v/>
      </c>
      <c r="AP1048" s="14">
        <f>F1048*AO1048*in_accident_ticket*in_accident_comm*in_ins_partner_share+F1048*in_accident_ticket*in_accident_renew_comm*in_ins_partner_share*(in_accident_renew^1*SUMIFS(AO1012:AO1051,B1012:B1051,B1048-12)+in_accident_renew^2*SUMIFS(AO1012:AO1051,B1012:B1051,B1048-24)+in_accident_renew^3*SUMIFS(AO1012:AO1051,B1012:B1051,B1048-36)+in_accident_renew^4*SUMIFS(AO1012:AO1051,B1012:B1051,B1048-48))</f>
        <v/>
      </c>
      <c r="AQ1048" s="40">
        <f>AQ1047*(1-IF(B1047&gt;=in_marketplace_from,d_hz_two_wheeler*G1047,0))</f>
        <v/>
      </c>
      <c r="AR1048" s="46">
        <f>AQ1048*IF(B1048&gt;=in_marketplace_from,d_hz_two_wheeler*G1048,0)</f>
        <v/>
      </c>
      <c r="AS1048" s="14">
        <f>F1048*AR1048*in_two_wheeler_ticket*in_two_wheeler_comm*in_ins_partner_share+F1048*in_two_wheeler_ticket*in_two_wheeler_comm*in_ins_partner_share*(in_two_wheeler_renew^1*SUMIFS(AR1012:AR1051,B1012:B1051,B1048-12)+in_two_wheeler_renew^2*SUMIFS(AR1012:AR1051,B1012:B1051,B1048-24)+in_two_wheeler_renew^3*SUMIFS(AR1012:AR1051,B1012:B1051,B1048-36)+in_two_wheeler_renew^4*SUMIFS(AR1012:AR1051,B1012:B1051,B1048-48))</f>
        <v/>
      </c>
      <c r="AT1048" s="40">
        <f>AT1047*(1-IF(B1047&gt;=in_marketplace_from,d_hz_device*G1047,0))</f>
        <v/>
      </c>
      <c r="AU1048" s="14">
        <f>F1048*AT1048*IF(B1048&gt;=in_marketplace_from,d_hz_device*G1048,0)*in_device_ticket*in_device_comm*in_ins_partner_share</f>
        <v/>
      </c>
      <c r="AV1048" s="40">
        <f>AV1047*(1-IF(B1047&gt;=in_marketplace_from,d_hz_shop*G1047,0))</f>
        <v/>
      </c>
      <c r="AW1048" s="46">
        <f>AV1048*IF(B1048&gt;=in_marketplace_from,d_hz_shop*G1048,0)</f>
        <v/>
      </c>
      <c r="AX1048" s="14">
        <f>F1048*AW1048*in_shop_ticket*in_shop_comm*in_ins_partner_share+F1048*in_shop_ticket*in_shop_renew_comm*in_ins_partner_share*(in_shop_renew^1*SUMIFS(AW1012:AW1051,B1012:B1051,B1048-12)+in_shop_renew^2*SUMIFS(AW1012:AW1051,B1012:B1051,B1048-24)+in_shop_renew^3*SUMIFS(AW1012:AW1051,B1012:B1051,B1048-36)+in_shop_renew^4*SUMIFS(AW1012:AW1051,B1012:B1051,B1048-48))</f>
        <v/>
      </c>
      <c r="AY1048" s="40">
        <f>AY1047*(1-IF(B1047&gt;=in_marketplace_from,d_hz_sip*G1047,0))</f>
        <v/>
      </c>
      <c r="AZ1048" s="40">
        <f>AZ1047*d_rho_sip+AY1048*IF(B1048&gt;=in_marketplace_from,d_hz_sip*G1048,0)</f>
        <v/>
      </c>
      <c r="BA1048" s="40">
        <f>d_rho_sip*(BA1047+AZ1047)</f>
        <v/>
      </c>
      <c r="BB1048" s="14">
        <f>F1048*in_sip_ticket*(BA1048+0.5*AZ1048)*in_sip_comm/12</f>
        <v/>
      </c>
      <c r="BC1048" s="40">
        <f>BC1047*(1-IF(B1047&gt;=in_marketplace_from,d_hz_choti*G1047,0))</f>
        <v/>
      </c>
      <c r="BD1048" s="46">
        <f>BC1048*IF(B1048&gt;=in_marketplace_from,d_hz_choti*G1048,0)</f>
        <v/>
      </c>
      <c r="BE1048" s="14">
        <f>F1048*SUMIFS(BD1012:BD1051,B1012:B1051,B1048-in_choti_months)*in_choti_renew*in_choti_ticket</f>
        <v/>
      </c>
      <c r="BF1048" s="40">
        <f>BF1047*(1-IF(B1047&gt;=in_marketplace_from,d_hz_nps*G1047,0))</f>
        <v/>
      </c>
      <c r="BG1048" s="14">
        <f>F1048*BF1048*IF(B1048&gt;=in_marketplace_from,d_hz_nps*G1048,0)*in_nps_ticket*in_nps_comm</f>
        <v/>
      </c>
      <c r="BH1048" s="40">
        <f>BH1047*(1-IF(B1047&gt;=in_marketplace_from,d_hz_gold*G1047,0))</f>
        <v/>
      </c>
      <c r="BI1048" s="40">
        <f>BI1047*d_rho_gold+BH1048*IF(B1048&gt;=in_marketplace_from,d_hz_gold*G1048,0)</f>
        <v/>
      </c>
      <c r="BJ1048" s="14">
        <f>F1048*BI1048*in_gold_ticket*in_gold_comm</f>
        <v/>
      </c>
      <c r="BK1048" s="40">
        <f>BK1047*(1-IF(B1047&gt;=in_marketplace_from,d_hz_fd*G1047,0))</f>
        <v/>
      </c>
      <c r="BL1048" s="14">
        <f>F1048*BK1048*IF(B1048&gt;=in_marketplace_from,d_hz_fd*G1048,0)*in_fd_ticket*in_fd_comm</f>
        <v/>
      </c>
      <c r="BM1048" s="40">
        <f>BM1047*(1-IF(B1047&gt;=in_marketplace_from,d_hz_recharge*G1047,0))</f>
        <v/>
      </c>
      <c r="BN1048" s="40">
        <f>BN1047*d_rho_recharge+BM1048*IF(B1048&gt;=in_marketplace_from,d_hz_recharge*G1048,0)</f>
        <v/>
      </c>
      <c r="BO1048" s="14">
        <f>F1048*BN1048*in_recharge_ticket*in_recharge_comm/12</f>
        <v/>
      </c>
      <c r="BP1048" s="40">
        <f>BP1047*(1-IF(B1047&gt;=in_marketplace_from,d_hz_bills*G1047,0))</f>
        <v/>
      </c>
      <c r="BQ1048" s="40">
        <f>BQ1047*d_rho_bills+BP1048*IF(B1048&gt;=in_marketplace_from,d_hz_bills*G1048,0)</f>
        <v/>
      </c>
      <c r="BR1048" s="14">
        <f>F1048*BQ1048*in_bills_ticket*in_bills_comm/12</f>
        <v/>
      </c>
      <c r="BS1048" s="40">
        <f>BS1047*(1-IF(B1047&gt;=in_marketplace_from,d_hz_loan_gold*G1047,0))</f>
        <v/>
      </c>
      <c r="BT1048" s="14">
        <f>F1048*BS1048*IF(B1048&gt;=in_marketplace_from,d_hz_loan_gold*G1048,0)*in_loan_gold_ticket*in_loan_gold_comm</f>
        <v/>
      </c>
      <c r="BU1048" s="40">
        <f>BU1047*(1-IF(B1047&gt;=in_marketplace_from,d_hz_loan_cd*G1047,0))</f>
        <v/>
      </c>
      <c r="BV1048" s="14">
        <f>F1048*BU1048*IF(B1048&gt;=in_marketplace_from,d_hz_loan_cd*G1048,0)*in_loan_cd_ticket*in_loan_cd_comm</f>
        <v/>
      </c>
      <c r="BW1048" s="40">
        <f>BW1047*(1-IF(B1047&gt;=in_marketplace_from,d_hz_loan_vehicle*G1047,0))</f>
        <v/>
      </c>
      <c r="BX1048" s="14">
        <f>F1048*BW1048*IF(B1048&gt;=in_marketplace_from,d_hz_loan_vehicle*G1048,0)*in_loan_vehicle_ticket*in_loan_vehicle_comm</f>
        <v/>
      </c>
      <c r="BY1048" s="40">
        <f>BY1047*(1-IF(B1047&gt;=in_marketplace_from,d_hz_loan_home*G1047,0)*BZ1047)</f>
        <v/>
      </c>
      <c r="BZ1048" s="11">
        <f>MIN(in_approval_cap,in_loan_home_approval*INDEX('Age profile'!$O$2:$O$61,B1048)*(1+in_approval_growth)^(D1048-1))</f>
        <v/>
      </c>
      <c r="CA1048" s="14">
        <f>F1048*BY1048*IF(B1048&gt;=in_marketplace_from,d_hz_loan_home*G1048,0)*BZ1048*in_loan_home_ticket*in_loan_home_comm</f>
        <v/>
      </c>
      <c r="CB1048" s="40">
        <f>CB1047*(1-IF(B1047&gt;=in_marketplace_from,d_hz_loan_lap*G1047,0)*CC1047)</f>
        <v/>
      </c>
      <c r="CC1048" s="11">
        <f>MIN(in_approval_cap,in_loan_lap_approval*INDEX('Age profile'!$O$2:$O$61,B1048)*(1+in_approval_growth)^(D1048-1))</f>
        <v/>
      </c>
      <c r="CD1048" s="14">
        <f>F1048*CB1048*IF(B1048&gt;=in_marketplace_from,d_hz_loan_lap*G1048,0)*CC1048*in_loan_lap_ticket*in_loan_lap_comm</f>
        <v/>
      </c>
      <c r="CE1048" s="14">
        <f>AA1048+AB1048+AC1048+AD1048+AG1048+AJ1048+AM1048+AP1048+AS1048+AU1048+AX1048+BB1048+BE1048+BG1048+BJ1048+BL1048+BO1048+BR1048+BT1048+BV1048+BX1048+CA1048+CD1048</f>
        <v/>
      </c>
    </row>
    <row r="1049">
      <c r="A1049" s="39" t="n">
        <v>21</v>
      </c>
      <c r="B1049" s="39" t="n">
        <v>38</v>
      </c>
      <c r="C1049" s="39">
        <f>A1049+B1049-1</f>
        <v/>
      </c>
      <c r="D1049" s="39">
        <f>INT((C1049-1)/12)+1</f>
        <v/>
      </c>
      <c r="E1049" s="44">
        <f>INDEX(Monthly!$B$2:$B$61,A1049)</f>
        <v/>
      </c>
      <c r="F1049" s="44">
        <f>E1049*INDEX('Age profile'!$B$2:$B$61,B1049)</f>
        <v/>
      </c>
      <c r="G1049" s="45">
        <f>MIN(in_takeup_cap,INDEX('Age profile'!$N$2:$N$61,B1049)*(1+in_takeup_growth)^(D1049-1))</f>
        <v/>
      </c>
      <c r="H1049" s="11">
        <f>MIN(in_approval_cap,in_approved_first*INDEX('Age profile'!$O$2:$O$61,B1049)*(1+in_approval_growth)^(D1049-1))</f>
        <v/>
      </c>
      <c r="I1049" s="45">
        <f>G1049*MIN(in_takeup_cap,INDEX('Age profile'!$O$2:$O$61,B1049)*(1+in_approval_growth)^(D1049-1))</f>
        <v/>
      </c>
      <c r="J1049" s="40">
        <f>(J1048-L1048)*F1049/F1048</f>
        <v/>
      </c>
      <c r="K1049" s="40">
        <f>(K1048-M1048)*F1049/F1048+SUMIFS(O1012:O1048,B1012:B1048,B1049-1-d_T)*F1049</f>
        <v/>
      </c>
      <c r="L1049" s="40">
        <f>IF(B1049&gt;=in_marketplace_from,J1049*d_hz*G1049*in_eligible*H1049,0)</f>
        <v/>
      </c>
      <c r="M1049" s="40">
        <f>IF(B1049&gt;=in_marketplace_from,K1049*d_hz*G1049*in_eligible*in_approved_repeat,0)</f>
        <v/>
      </c>
      <c r="N1049" s="40">
        <f>L1049+M1049</f>
        <v/>
      </c>
      <c r="O1049" s="46">
        <f>N1049/F1049</f>
        <v/>
      </c>
      <c r="P1049" s="40">
        <f>F1049-J1049-K1049</f>
        <v/>
      </c>
      <c r="Q1049" s="40">
        <f>IF(B1049&gt;=in_marketplace_from,(J1049+K1049)*d_hz*G1049,0)</f>
        <v/>
      </c>
      <c r="R1049" s="40">
        <f>SUMIFS(N1012:N1051,B1012:B1051,"&gt;="&amp;(B1049-d_T),B1012:B1051,"&lt;="&amp;(B1049-1))</f>
        <v/>
      </c>
      <c r="S1049" s="46">
        <f>(1-d_u)*S1048+IF(d_T&gt;in_topup_lag,SUMIFS(O1012:O1051,B1012:B1051,B1049-in_topup_lag)-d_udrop*SUMIFS(O1012:O1051,B1012:B1051,B1049-d_T),0)</f>
        <v/>
      </c>
      <c r="T1049" s="40">
        <f>F1049*d_u*S1049</f>
        <v/>
      </c>
      <c r="U1049" s="9">
        <f>L1049*in_ticket+M1049*d_rep_ticket</f>
        <v/>
      </c>
      <c r="V1049" s="9">
        <f>U1049+T1049*d_topup_amt</f>
        <v/>
      </c>
      <c r="W1049" s="40">
        <f>N1049+T1049*d_topup_ratio</f>
        <v/>
      </c>
      <c r="X1049" s="40">
        <f>SUMIFS(W1012:W1051,B1012:B1051,B1049-in_dpd_lag)*d_cured</f>
        <v/>
      </c>
      <c r="Y1049" s="40">
        <f>SUMIFS(W1012:W1051,B1012:B1051,B1049-in_rec_lag)*d_recd</f>
        <v/>
      </c>
      <c r="Z1049" s="40">
        <f>IF(AND(B1049&gt;=in_marketplace_from,B1049&lt;in_marketplace_from+in_card_months),in_card_share/in_card_months*F1049*I1049,IF(AND(B1049&gt;=in_marketplace_from+in_card_months,B1049&lt;in_marketplace_from+2*in_card_months),in_card_share*d_card_rem/in_card_months*F1049*MIN(in_takeup_cap,(1+in_takeup_growth)^(D1049-1))*MIN(in_takeup_cap,(1+in_approval_growth)^(D1049-1)),0))</f>
        <v/>
      </c>
      <c r="AA1049" s="14">
        <f>V1049*in_fee*(1-in_taken_back)</f>
        <v/>
      </c>
      <c r="AB1049" s="14">
        <f>SUMIFS(W1012:W1051,B1012:B1051,B1049-in_dpd_lag)*d_dpd</f>
        <v/>
      </c>
      <c r="AC1049" s="14">
        <f>SUMIFS(W1012:W1051,B1012:B1051,B1049-in_rec_lag)*d_rec</f>
        <v/>
      </c>
      <c r="AD1049" s="14">
        <f>Z1049*in_card_fee</f>
        <v/>
      </c>
      <c r="AE1049" s="40">
        <f>AE1048*(1-IF(B1048&gt;=in_marketplace_from,d_hz_hlth_small*G1048,0))</f>
        <v/>
      </c>
      <c r="AF1049" s="46">
        <f>AE1049*IF(B1049&gt;=in_marketplace_from,d_hz_hlth_small*G1049,0)</f>
        <v/>
      </c>
      <c r="AG1049" s="14">
        <f>F1049*AF1049*in_hlth_small_ticket*in_hlth_small_comm*in_ins_partner_share+F1049*in_hlth_small_ticket*in_hlth_small_renew_comm*in_ins_partner_share*(in_hlth_small_renew^1*SUMIFS(AF1012:AF1051,B1012:B1051,B1049-12)+in_hlth_small_renew^2*SUMIFS(AF1012:AF1051,B1012:B1051,B1049-24)+in_hlth_small_renew^3*SUMIFS(AF1012:AF1051,B1012:B1051,B1049-36)+in_hlth_small_renew^4*SUMIFS(AF1012:AF1051,B1012:B1051,B1049-48))</f>
        <v/>
      </c>
      <c r="AH1049" s="40">
        <f>AH1048*(1-IF(B1048&gt;=in_marketplace_from,d_hz_hlth_family*G1048,0))</f>
        <v/>
      </c>
      <c r="AI1049" s="46">
        <f>AH1049*IF(B1049&gt;=in_marketplace_from,d_hz_hlth_family*G1049,0)</f>
        <v/>
      </c>
      <c r="AJ1049" s="14">
        <f>F1049*AI1049*in_hlth_family_ticket*in_hlth_family_comm*in_ins_partner_share+F1049*in_hlth_family_ticket*in_hlth_family_renew_comm*in_ins_partner_share*(in_hlth_family_renew^1*SUMIFS(AI1012:AI1051,B1012:B1051,B1049-12)+in_hlth_family_renew^2*SUMIFS(AI1012:AI1051,B1012:B1051,B1049-24)+in_hlth_family_renew^3*SUMIFS(AI1012:AI1051,B1012:B1051,B1049-36)+in_hlth_family_renew^4*SUMIFS(AI1012:AI1051,B1012:B1051,B1049-48))</f>
        <v/>
      </c>
      <c r="AK1049" s="40">
        <f>AK1048*(1-IF(B1048&gt;=in_marketplace_from,d_hz_life_term*G1048,0))</f>
        <v/>
      </c>
      <c r="AL1049" s="46">
        <f>AK1049*IF(B1049&gt;=in_marketplace_from,d_hz_life_term*G1049,0)</f>
        <v/>
      </c>
      <c r="AM1049" s="14">
        <f>F1049*AL1049*in_life_term_ticket*in_life_term_comm*in_ins_partner_share+F1049*in_life_term_ticket*in_life_term_renew_comm*in_ins_partner_share*(in_life_term_renew^1*SUMIFS(AL1012:AL1051,B1012:B1051,B1049-12)+in_life_term_renew^2*SUMIFS(AL1012:AL1051,B1012:B1051,B1049-24)+in_life_term_renew^3*SUMIFS(AL1012:AL1051,B1012:B1051,B1049-36)+in_life_term_renew^4*SUMIFS(AL1012:AL1051,B1012:B1051,B1049-48))</f>
        <v/>
      </c>
      <c r="AN1049" s="40">
        <f>AN1048*(1-IF(B1048&gt;=in_marketplace_from,d_hz_accident*G1048,0))</f>
        <v/>
      </c>
      <c r="AO1049" s="46">
        <f>AN1049*IF(B1049&gt;=in_marketplace_from,d_hz_accident*G1049,0)</f>
        <v/>
      </c>
      <c r="AP1049" s="14">
        <f>F1049*AO1049*in_accident_ticket*in_accident_comm*in_ins_partner_share+F1049*in_accident_ticket*in_accident_renew_comm*in_ins_partner_share*(in_accident_renew^1*SUMIFS(AO1012:AO1051,B1012:B1051,B1049-12)+in_accident_renew^2*SUMIFS(AO1012:AO1051,B1012:B1051,B1049-24)+in_accident_renew^3*SUMIFS(AO1012:AO1051,B1012:B1051,B1049-36)+in_accident_renew^4*SUMIFS(AO1012:AO1051,B1012:B1051,B1049-48))</f>
        <v/>
      </c>
      <c r="AQ1049" s="40">
        <f>AQ1048*(1-IF(B1048&gt;=in_marketplace_from,d_hz_two_wheeler*G1048,0))</f>
        <v/>
      </c>
      <c r="AR1049" s="46">
        <f>AQ1049*IF(B1049&gt;=in_marketplace_from,d_hz_two_wheeler*G1049,0)</f>
        <v/>
      </c>
      <c r="AS1049" s="14">
        <f>F1049*AR1049*in_two_wheeler_ticket*in_two_wheeler_comm*in_ins_partner_share+F1049*in_two_wheeler_ticket*in_two_wheeler_comm*in_ins_partner_share*(in_two_wheeler_renew^1*SUMIFS(AR1012:AR1051,B1012:B1051,B1049-12)+in_two_wheeler_renew^2*SUMIFS(AR1012:AR1051,B1012:B1051,B1049-24)+in_two_wheeler_renew^3*SUMIFS(AR1012:AR1051,B1012:B1051,B1049-36)+in_two_wheeler_renew^4*SUMIFS(AR1012:AR1051,B1012:B1051,B1049-48))</f>
        <v/>
      </c>
      <c r="AT1049" s="40">
        <f>AT1048*(1-IF(B1048&gt;=in_marketplace_from,d_hz_device*G1048,0))</f>
        <v/>
      </c>
      <c r="AU1049" s="14">
        <f>F1049*AT1049*IF(B1049&gt;=in_marketplace_from,d_hz_device*G1049,0)*in_device_ticket*in_device_comm*in_ins_partner_share</f>
        <v/>
      </c>
      <c r="AV1049" s="40">
        <f>AV1048*(1-IF(B1048&gt;=in_marketplace_from,d_hz_shop*G1048,0))</f>
        <v/>
      </c>
      <c r="AW1049" s="46">
        <f>AV1049*IF(B1049&gt;=in_marketplace_from,d_hz_shop*G1049,0)</f>
        <v/>
      </c>
      <c r="AX1049" s="14">
        <f>F1049*AW1049*in_shop_ticket*in_shop_comm*in_ins_partner_share+F1049*in_shop_ticket*in_shop_renew_comm*in_ins_partner_share*(in_shop_renew^1*SUMIFS(AW1012:AW1051,B1012:B1051,B1049-12)+in_shop_renew^2*SUMIFS(AW1012:AW1051,B1012:B1051,B1049-24)+in_shop_renew^3*SUMIFS(AW1012:AW1051,B1012:B1051,B1049-36)+in_shop_renew^4*SUMIFS(AW1012:AW1051,B1012:B1051,B1049-48))</f>
        <v/>
      </c>
      <c r="AY1049" s="40">
        <f>AY1048*(1-IF(B1048&gt;=in_marketplace_from,d_hz_sip*G1048,0))</f>
        <v/>
      </c>
      <c r="AZ1049" s="40">
        <f>AZ1048*d_rho_sip+AY1049*IF(B1049&gt;=in_marketplace_from,d_hz_sip*G1049,0)</f>
        <v/>
      </c>
      <c r="BA1049" s="40">
        <f>d_rho_sip*(BA1048+AZ1048)</f>
        <v/>
      </c>
      <c r="BB1049" s="14">
        <f>F1049*in_sip_ticket*(BA1049+0.5*AZ1049)*in_sip_comm/12</f>
        <v/>
      </c>
      <c r="BC1049" s="40">
        <f>BC1048*(1-IF(B1048&gt;=in_marketplace_from,d_hz_choti*G1048,0))</f>
        <v/>
      </c>
      <c r="BD1049" s="46">
        <f>BC1049*IF(B1049&gt;=in_marketplace_from,d_hz_choti*G1049,0)</f>
        <v/>
      </c>
      <c r="BE1049" s="14">
        <f>F1049*SUMIFS(BD1012:BD1051,B1012:B1051,B1049-in_choti_months)*in_choti_renew*in_choti_ticket</f>
        <v/>
      </c>
      <c r="BF1049" s="40">
        <f>BF1048*(1-IF(B1048&gt;=in_marketplace_from,d_hz_nps*G1048,0))</f>
        <v/>
      </c>
      <c r="BG1049" s="14">
        <f>F1049*BF1049*IF(B1049&gt;=in_marketplace_from,d_hz_nps*G1049,0)*in_nps_ticket*in_nps_comm</f>
        <v/>
      </c>
      <c r="BH1049" s="40">
        <f>BH1048*(1-IF(B1048&gt;=in_marketplace_from,d_hz_gold*G1048,0))</f>
        <v/>
      </c>
      <c r="BI1049" s="40">
        <f>BI1048*d_rho_gold+BH1049*IF(B1049&gt;=in_marketplace_from,d_hz_gold*G1049,0)</f>
        <v/>
      </c>
      <c r="BJ1049" s="14">
        <f>F1049*BI1049*in_gold_ticket*in_gold_comm</f>
        <v/>
      </c>
      <c r="BK1049" s="40">
        <f>BK1048*(1-IF(B1048&gt;=in_marketplace_from,d_hz_fd*G1048,0))</f>
        <v/>
      </c>
      <c r="BL1049" s="14">
        <f>F1049*BK1049*IF(B1049&gt;=in_marketplace_from,d_hz_fd*G1049,0)*in_fd_ticket*in_fd_comm</f>
        <v/>
      </c>
      <c r="BM1049" s="40">
        <f>BM1048*(1-IF(B1048&gt;=in_marketplace_from,d_hz_recharge*G1048,0))</f>
        <v/>
      </c>
      <c r="BN1049" s="40">
        <f>BN1048*d_rho_recharge+BM1049*IF(B1049&gt;=in_marketplace_from,d_hz_recharge*G1049,0)</f>
        <v/>
      </c>
      <c r="BO1049" s="14">
        <f>F1049*BN1049*in_recharge_ticket*in_recharge_comm/12</f>
        <v/>
      </c>
      <c r="BP1049" s="40">
        <f>BP1048*(1-IF(B1048&gt;=in_marketplace_from,d_hz_bills*G1048,0))</f>
        <v/>
      </c>
      <c r="BQ1049" s="40">
        <f>BQ1048*d_rho_bills+BP1049*IF(B1049&gt;=in_marketplace_from,d_hz_bills*G1049,0)</f>
        <v/>
      </c>
      <c r="BR1049" s="14">
        <f>F1049*BQ1049*in_bills_ticket*in_bills_comm/12</f>
        <v/>
      </c>
      <c r="BS1049" s="40">
        <f>BS1048*(1-IF(B1048&gt;=in_marketplace_from,d_hz_loan_gold*G1048,0))</f>
        <v/>
      </c>
      <c r="BT1049" s="14">
        <f>F1049*BS1049*IF(B1049&gt;=in_marketplace_from,d_hz_loan_gold*G1049,0)*in_loan_gold_ticket*in_loan_gold_comm</f>
        <v/>
      </c>
      <c r="BU1049" s="40">
        <f>BU1048*(1-IF(B1048&gt;=in_marketplace_from,d_hz_loan_cd*G1048,0))</f>
        <v/>
      </c>
      <c r="BV1049" s="14">
        <f>F1049*BU1049*IF(B1049&gt;=in_marketplace_from,d_hz_loan_cd*G1049,0)*in_loan_cd_ticket*in_loan_cd_comm</f>
        <v/>
      </c>
      <c r="BW1049" s="40">
        <f>BW1048*(1-IF(B1048&gt;=in_marketplace_from,d_hz_loan_vehicle*G1048,0))</f>
        <v/>
      </c>
      <c r="BX1049" s="14">
        <f>F1049*BW1049*IF(B1049&gt;=in_marketplace_from,d_hz_loan_vehicle*G1049,0)*in_loan_vehicle_ticket*in_loan_vehicle_comm</f>
        <v/>
      </c>
      <c r="BY1049" s="40">
        <f>BY1048*(1-IF(B1048&gt;=in_marketplace_from,d_hz_loan_home*G1048,0)*BZ1048)</f>
        <v/>
      </c>
      <c r="BZ1049" s="11">
        <f>MIN(in_approval_cap,in_loan_home_approval*INDEX('Age profile'!$O$2:$O$61,B1049)*(1+in_approval_growth)^(D1049-1))</f>
        <v/>
      </c>
      <c r="CA1049" s="14">
        <f>F1049*BY1049*IF(B1049&gt;=in_marketplace_from,d_hz_loan_home*G1049,0)*BZ1049*in_loan_home_ticket*in_loan_home_comm</f>
        <v/>
      </c>
      <c r="CB1049" s="40">
        <f>CB1048*(1-IF(B1048&gt;=in_marketplace_from,d_hz_loan_lap*G1048,0)*CC1048)</f>
        <v/>
      </c>
      <c r="CC1049" s="11">
        <f>MIN(in_approval_cap,in_loan_lap_approval*INDEX('Age profile'!$O$2:$O$61,B1049)*(1+in_approval_growth)^(D1049-1))</f>
        <v/>
      </c>
      <c r="CD1049" s="14">
        <f>F1049*CB1049*IF(B1049&gt;=in_marketplace_from,d_hz_loan_lap*G1049,0)*CC1049*in_loan_lap_ticket*in_loan_lap_comm</f>
        <v/>
      </c>
      <c r="CE1049" s="14">
        <f>AA1049+AB1049+AC1049+AD1049+AG1049+AJ1049+AM1049+AP1049+AS1049+AU1049+AX1049+BB1049+BE1049+BG1049+BJ1049+BL1049+BO1049+BR1049+BT1049+BV1049+BX1049+CA1049+CD1049</f>
        <v/>
      </c>
    </row>
    <row r="1050">
      <c r="A1050" s="39" t="n">
        <v>21</v>
      </c>
      <c r="B1050" s="39" t="n">
        <v>39</v>
      </c>
      <c r="C1050" s="39">
        <f>A1050+B1050-1</f>
        <v/>
      </c>
      <c r="D1050" s="39">
        <f>INT((C1050-1)/12)+1</f>
        <v/>
      </c>
      <c r="E1050" s="44">
        <f>INDEX(Monthly!$B$2:$B$61,A1050)</f>
        <v/>
      </c>
      <c r="F1050" s="44">
        <f>E1050*INDEX('Age profile'!$B$2:$B$61,B1050)</f>
        <v/>
      </c>
      <c r="G1050" s="45">
        <f>MIN(in_takeup_cap,INDEX('Age profile'!$N$2:$N$61,B1050)*(1+in_takeup_growth)^(D1050-1))</f>
        <v/>
      </c>
      <c r="H1050" s="11">
        <f>MIN(in_approval_cap,in_approved_first*INDEX('Age profile'!$O$2:$O$61,B1050)*(1+in_approval_growth)^(D1050-1))</f>
        <v/>
      </c>
      <c r="I1050" s="45">
        <f>G1050*MIN(in_takeup_cap,INDEX('Age profile'!$O$2:$O$61,B1050)*(1+in_approval_growth)^(D1050-1))</f>
        <v/>
      </c>
      <c r="J1050" s="40">
        <f>(J1049-L1049)*F1050/F1049</f>
        <v/>
      </c>
      <c r="K1050" s="40">
        <f>(K1049-M1049)*F1050/F1049+SUMIFS(O1012:O1049,B1012:B1049,B1050-1-d_T)*F1050</f>
        <v/>
      </c>
      <c r="L1050" s="40">
        <f>IF(B1050&gt;=in_marketplace_from,J1050*d_hz*G1050*in_eligible*H1050,0)</f>
        <v/>
      </c>
      <c r="M1050" s="40">
        <f>IF(B1050&gt;=in_marketplace_from,K1050*d_hz*G1050*in_eligible*in_approved_repeat,0)</f>
        <v/>
      </c>
      <c r="N1050" s="40">
        <f>L1050+M1050</f>
        <v/>
      </c>
      <c r="O1050" s="46">
        <f>N1050/F1050</f>
        <v/>
      </c>
      <c r="P1050" s="40">
        <f>F1050-J1050-K1050</f>
        <v/>
      </c>
      <c r="Q1050" s="40">
        <f>IF(B1050&gt;=in_marketplace_from,(J1050+K1050)*d_hz*G1050,0)</f>
        <v/>
      </c>
      <c r="R1050" s="40">
        <f>SUMIFS(N1012:N1051,B1012:B1051,"&gt;="&amp;(B1050-d_T),B1012:B1051,"&lt;="&amp;(B1050-1))</f>
        <v/>
      </c>
      <c r="S1050" s="46">
        <f>(1-d_u)*S1049+IF(d_T&gt;in_topup_lag,SUMIFS(O1012:O1051,B1012:B1051,B1050-in_topup_lag)-d_udrop*SUMIFS(O1012:O1051,B1012:B1051,B1050-d_T),0)</f>
        <v/>
      </c>
      <c r="T1050" s="40">
        <f>F1050*d_u*S1050</f>
        <v/>
      </c>
      <c r="U1050" s="9">
        <f>L1050*in_ticket+M1050*d_rep_ticket</f>
        <v/>
      </c>
      <c r="V1050" s="9">
        <f>U1050+T1050*d_topup_amt</f>
        <v/>
      </c>
      <c r="W1050" s="40">
        <f>N1050+T1050*d_topup_ratio</f>
        <v/>
      </c>
      <c r="X1050" s="40">
        <f>SUMIFS(W1012:W1051,B1012:B1051,B1050-in_dpd_lag)*d_cured</f>
        <v/>
      </c>
      <c r="Y1050" s="40">
        <f>SUMIFS(W1012:W1051,B1012:B1051,B1050-in_rec_lag)*d_recd</f>
        <v/>
      </c>
      <c r="Z1050" s="40">
        <f>IF(AND(B1050&gt;=in_marketplace_from,B1050&lt;in_marketplace_from+in_card_months),in_card_share/in_card_months*F1050*I1050,IF(AND(B1050&gt;=in_marketplace_from+in_card_months,B1050&lt;in_marketplace_from+2*in_card_months),in_card_share*d_card_rem/in_card_months*F1050*MIN(in_takeup_cap,(1+in_takeup_growth)^(D1050-1))*MIN(in_takeup_cap,(1+in_approval_growth)^(D1050-1)),0))</f>
        <v/>
      </c>
      <c r="AA1050" s="14">
        <f>V1050*in_fee*(1-in_taken_back)</f>
        <v/>
      </c>
      <c r="AB1050" s="14">
        <f>SUMIFS(W1012:W1051,B1012:B1051,B1050-in_dpd_lag)*d_dpd</f>
        <v/>
      </c>
      <c r="AC1050" s="14">
        <f>SUMIFS(W1012:W1051,B1012:B1051,B1050-in_rec_lag)*d_rec</f>
        <v/>
      </c>
      <c r="AD1050" s="14">
        <f>Z1050*in_card_fee</f>
        <v/>
      </c>
      <c r="AE1050" s="40">
        <f>AE1049*(1-IF(B1049&gt;=in_marketplace_from,d_hz_hlth_small*G1049,0))</f>
        <v/>
      </c>
      <c r="AF1050" s="46">
        <f>AE1050*IF(B1050&gt;=in_marketplace_from,d_hz_hlth_small*G1050,0)</f>
        <v/>
      </c>
      <c r="AG1050" s="14">
        <f>F1050*AF1050*in_hlth_small_ticket*in_hlth_small_comm*in_ins_partner_share+F1050*in_hlth_small_ticket*in_hlth_small_renew_comm*in_ins_partner_share*(in_hlth_small_renew^1*SUMIFS(AF1012:AF1051,B1012:B1051,B1050-12)+in_hlth_small_renew^2*SUMIFS(AF1012:AF1051,B1012:B1051,B1050-24)+in_hlth_small_renew^3*SUMIFS(AF1012:AF1051,B1012:B1051,B1050-36)+in_hlth_small_renew^4*SUMIFS(AF1012:AF1051,B1012:B1051,B1050-48))</f>
        <v/>
      </c>
      <c r="AH1050" s="40">
        <f>AH1049*(1-IF(B1049&gt;=in_marketplace_from,d_hz_hlth_family*G1049,0))</f>
        <v/>
      </c>
      <c r="AI1050" s="46">
        <f>AH1050*IF(B1050&gt;=in_marketplace_from,d_hz_hlth_family*G1050,0)</f>
        <v/>
      </c>
      <c r="AJ1050" s="14">
        <f>F1050*AI1050*in_hlth_family_ticket*in_hlth_family_comm*in_ins_partner_share+F1050*in_hlth_family_ticket*in_hlth_family_renew_comm*in_ins_partner_share*(in_hlth_family_renew^1*SUMIFS(AI1012:AI1051,B1012:B1051,B1050-12)+in_hlth_family_renew^2*SUMIFS(AI1012:AI1051,B1012:B1051,B1050-24)+in_hlth_family_renew^3*SUMIFS(AI1012:AI1051,B1012:B1051,B1050-36)+in_hlth_family_renew^4*SUMIFS(AI1012:AI1051,B1012:B1051,B1050-48))</f>
        <v/>
      </c>
      <c r="AK1050" s="40">
        <f>AK1049*(1-IF(B1049&gt;=in_marketplace_from,d_hz_life_term*G1049,0))</f>
        <v/>
      </c>
      <c r="AL1050" s="46">
        <f>AK1050*IF(B1050&gt;=in_marketplace_from,d_hz_life_term*G1050,0)</f>
        <v/>
      </c>
      <c r="AM1050" s="14">
        <f>F1050*AL1050*in_life_term_ticket*in_life_term_comm*in_ins_partner_share+F1050*in_life_term_ticket*in_life_term_renew_comm*in_ins_partner_share*(in_life_term_renew^1*SUMIFS(AL1012:AL1051,B1012:B1051,B1050-12)+in_life_term_renew^2*SUMIFS(AL1012:AL1051,B1012:B1051,B1050-24)+in_life_term_renew^3*SUMIFS(AL1012:AL1051,B1012:B1051,B1050-36)+in_life_term_renew^4*SUMIFS(AL1012:AL1051,B1012:B1051,B1050-48))</f>
        <v/>
      </c>
      <c r="AN1050" s="40">
        <f>AN1049*(1-IF(B1049&gt;=in_marketplace_from,d_hz_accident*G1049,0))</f>
        <v/>
      </c>
      <c r="AO1050" s="46">
        <f>AN1050*IF(B1050&gt;=in_marketplace_from,d_hz_accident*G1050,0)</f>
        <v/>
      </c>
      <c r="AP1050" s="14">
        <f>F1050*AO1050*in_accident_ticket*in_accident_comm*in_ins_partner_share+F1050*in_accident_ticket*in_accident_renew_comm*in_ins_partner_share*(in_accident_renew^1*SUMIFS(AO1012:AO1051,B1012:B1051,B1050-12)+in_accident_renew^2*SUMIFS(AO1012:AO1051,B1012:B1051,B1050-24)+in_accident_renew^3*SUMIFS(AO1012:AO1051,B1012:B1051,B1050-36)+in_accident_renew^4*SUMIFS(AO1012:AO1051,B1012:B1051,B1050-48))</f>
        <v/>
      </c>
      <c r="AQ1050" s="40">
        <f>AQ1049*(1-IF(B1049&gt;=in_marketplace_from,d_hz_two_wheeler*G1049,0))</f>
        <v/>
      </c>
      <c r="AR1050" s="46">
        <f>AQ1050*IF(B1050&gt;=in_marketplace_from,d_hz_two_wheeler*G1050,0)</f>
        <v/>
      </c>
      <c r="AS1050" s="14">
        <f>F1050*AR1050*in_two_wheeler_ticket*in_two_wheeler_comm*in_ins_partner_share+F1050*in_two_wheeler_ticket*in_two_wheeler_comm*in_ins_partner_share*(in_two_wheeler_renew^1*SUMIFS(AR1012:AR1051,B1012:B1051,B1050-12)+in_two_wheeler_renew^2*SUMIFS(AR1012:AR1051,B1012:B1051,B1050-24)+in_two_wheeler_renew^3*SUMIFS(AR1012:AR1051,B1012:B1051,B1050-36)+in_two_wheeler_renew^4*SUMIFS(AR1012:AR1051,B1012:B1051,B1050-48))</f>
        <v/>
      </c>
      <c r="AT1050" s="40">
        <f>AT1049*(1-IF(B1049&gt;=in_marketplace_from,d_hz_device*G1049,0))</f>
        <v/>
      </c>
      <c r="AU1050" s="14">
        <f>F1050*AT1050*IF(B1050&gt;=in_marketplace_from,d_hz_device*G1050,0)*in_device_ticket*in_device_comm*in_ins_partner_share</f>
        <v/>
      </c>
      <c r="AV1050" s="40">
        <f>AV1049*(1-IF(B1049&gt;=in_marketplace_from,d_hz_shop*G1049,0))</f>
        <v/>
      </c>
      <c r="AW1050" s="46">
        <f>AV1050*IF(B1050&gt;=in_marketplace_from,d_hz_shop*G1050,0)</f>
        <v/>
      </c>
      <c r="AX1050" s="14">
        <f>F1050*AW1050*in_shop_ticket*in_shop_comm*in_ins_partner_share+F1050*in_shop_ticket*in_shop_renew_comm*in_ins_partner_share*(in_shop_renew^1*SUMIFS(AW1012:AW1051,B1012:B1051,B1050-12)+in_shop_renew^2*SUMIFS(AW1012:AW1051,B1012:B1051,B1050-24)+in_shop_renew^3*SUMIFS(AW1012:AW1051,B1012:B1051,B1050-36)+in_shop_renew^4*SUMIFS(AW1012:AW1051,B1012:B1051,B1050-48))</f>
        <v/>
      </c>
      <c r="AY1050" s="40">
        <f>AY1049*(1-IF(B1049&gt;=in_marketplace_from,d_hz_sip*G1049,0))</f>
        <v/>
      </c>
      <c r="AZ1050" s="40">
        <f>AZ1049*d_rho_sip+AY1050*IF(B1050&gt;=in_marketplace_from,d_hz_sip*G1050,0)</f>
        <v/>
      </c>
      <c r="BA1050" s="40">
        <f>d_rho_sip*(BA1049+AZ1049)</f>
        <v/>
      </c>
      <c r="BB1050" s="14">
        <f>F1050*in_sip_ticket*(BA1050+0.5*AZ1050)*in_sip_comm/12</f>
        <v/>
      </c>
      <c r="BC1050" s="40">
        <f>BC1049*(1-IF(B1049&gt;=in_marketplace_from,d_hz_choti*G1049,0))</f>
        <v/>
      </c>
      <c r="BD1050" s="46">
        <f>BC1050*IF(B1050&gt;=in_marketplace_from,d_hz_choti*G1050,0)</f>
        <v/>
      </c>
      <c r="BE1050" s="14">
        <f>F1050*SUMIFS(BD1012:BD1051,B1012:B1051,B1050-in_choti_months)*in_choti_renew*in_choti_ticket</f>
        <v/>
      </c>
      <c r="BF1050" s="40">
        <f>BF1049*(1-IF(B1049&gt;=in_marketplace_from,d_hz_nps*G1049,0))</f>
        <v/>
      </c>
      <c r="BG1050" s="14">
        <f>F1050*BF1050*IF(B1050&gt;=in_marketplace_from,d_hz_nps*G1050,0)*in_nps_ticket*in_nps_comm</f>
        <v/>
      </c>
      <c r="BH1050" s="40">
        <f>BH1049*(1-IF(B1049&gt;=in_marketplace_from,d_hz_gold*G1049,0))</f>
        <v/>
      </c>
      <c r="BI1050" s="40">
        <f>BI1049*d_rho_gold+BH1050*IF(B1050&gt;=in_marketplace_from,d_hz_gold*G1050,0)</f>
        <v/>
      </c>
      <c r="BJ1050" s="14">
        <f>F1050*BI1050*in_gold_ticket*in_gold_comm</f>
        <v/>
      </c>
      <c r="BK1050" s="40">
        <f>BK1049*(1-IF(B1049&gt;=in_marketplace_from,d_hz_fd*G1049,0))</f>
        <v/>
      </c>
      <c r="BL1050" s="14">
        <f>F1050*BK1050*IF(B1050&gt;=in_marketplace_from,d_hz_fd*G1050,0)*in_fd_ticket*in_fd_comm</f>
        <v/>
      </c>
      <c r="BM1050" s="40">
        <f>BM1049*(1-IF(B1049&gt;=in_marketplace_from,d_hz_recharge*G1049,0))</f>
        <v/>
      </c>
      <c r="BN1050" s="40">
        <f>BN1049*d_rho_recharge+BM1050*IF(B1050&gt;=in_marketplace_from,d_hz_recharge*G1050,0)</f>
        <v/>
      </c>
      <c r="BO1050" s="14">
        <f>F1050*BN1050*in_recharge_ticket*in_recharge_comm/12</f>
        <v/>
      </c>
      <c r="BP1050" s="40">
        <f>BP1049*(1-IF(B1049&gt;=in_marketplace_from,d_hz_bills*G1049,0))</f>
        <v/>
      </c>
      <c r="BQ1050" s="40">
        <f>BQ1049*d_rho_bills+BP1050*IF(B1050&gt;=in_marketplace_from,d_hz_bills*G1050,0)</f>
        <v/>
      </c>
      <c r="BR1050" s="14">
        <f>F1050*BQ1050*in_bills_ticket*in_bills_comm/12</f>
        <v/>
      </c>
      <c r="BS1050" s="40">
        <f>BS1049*(1-IF(B1049&gt;=in_marketplace_from,d_hz_loan_gold*G1049,0))</f>
        <v/>
      </c>
      <c r="BT1050" s="14">
        <f>F1050*BS1050*IF(B1050&gt;=in_marketplace_from,d_hz_loan_gold*G1050,0)*in_loan_gold_ticket*in_loan_gold_comm</f>
        <v/>
      </c>
      <c r="BU1050" s="40">
        <f>BU1049*(1-IF(B1049&gt;=in_marketplace_from,d_hz_loan_cd*G1049,0))</f>
        <v/>
      </c>
      <c r="BV1050" s="14">
        <f>F1050*BU1050*IF(B1050&gt;=in_marketplace_from,d_hz_loan_cd*G1050,0)*in_loan_cd_ticket*in_loan_cd_comm</f>
        <v/>
      </c>
      <c r="BW1050" s="40">
        <f>BW1049*(1-IF(B1049&gt;=in_marketplace_from,d_hz_loan_vehicle*G1049,0))</f>
        <v/>
      </c>
      <c r="BX1050" s="14">
        <f>F1050*BW1050*IF(B1050&gt;=in_marketplace_from,d_hz_loan_vehicle*G1050,0)*in_loan_vehicle_ticket*in_loan_vehicle_comm</f>
        <v/>
      </c>
      <c r="BY1050" s="40">
        <f>BY1049*(1-IF(B1049&gt;=in_marketplace_from,d_hz_loan_home*G1049,0)*BZ1049)</f>
        <v/>
      </c>
      <c r="BZ1050" s="11">
        <f>MIN(in_approval_cap,in_loan_home_approval*INDEX('Age profile'!$O$2:$O$61,B1050)*(1+in_approval_growth)^(D1050-1))</f>
        <v/>
      </c>
      <c r="CA1050" s="14">
        <f>F1050*BY1050*IF(B1050&gt;=in_marketplace_from,d_hz_loan_home*G1050,0)*BZ1050*in_loan_home_ticket*in_loan_home_comm</f>
        <v/>
      </c>
      <c r="CB1050" s="40">
        <f>CB1049*(1-IF(B1049&gt;=in_marketplace_from,d_hz_loan_lap*G1049,0)*CC1049)</f>
        <v/>
      </c>
      <c r="CC1050" s="11">
        <f>MIN(in_approval_cap,in_loan_lap_approval*INDEX('Age profile'!$O$2:$O$61,B1050)*(1+in_approval_growth)^(D1050-1))</f>
        <v/>
      </c>
      <c r="CD1050" s="14">
        <f>F1050*CB1050*IF(B1050&gt;=in_marketplace_from,d_hz_loan_lap*G1050,0)*CC1050*in_loan_lap_ticket*in_loan_lap_comm</f>
        <v/>
      </c>
      <c r="CE1050" s="14">
        <f>AA1050+AB1050+AC1050+AD1050+AG1050+AJ1050+AM1050+AP1050+AS1050+AU1050+AX1050+BB1050+BE1050+BG1050+BJ1050+BL1050+BO1050+BR1050+BT1050+BV1050+BX1050+CA1050+CD1050</f>
        <v/>
      </c>
    </row>
    <row r="1051">
      <c r="A1051" s="39" t="n">
        <v>21</v>
      </c>
      <c r="B1051" s="39" t="n">
        <v>40</v>
      </c>
      <c r="C1051" s="39">
        <f>A1051+B1051-1</f>
        <v/>
      </c>
      <c r="D1051" s="39">
        <f>INT((C1051-1)/12)+1</f>
        <v/>
      </c>
      <c r="E1051" s="44">
        <f>INDEX(Monthly!$B$2:$B$61,A1051)</f>
        <v/>
      </c>
      <c r="F1051" s="44">
        <f>E1051*INDEX('Age profile'!$B$2:$B$61,B1051)</f>
        <v/>
      </c>
      <c r="G1051" s="45">
        <f>MIN(in_takeup_cap,INDEX('Age profile'!$N$2:$N$61,B1051)*(1+in_takeup_growth)^(D1051-1))</f>
        <v/>
      </c>
      <c r="H1051" s="11">
        <f>MIN(in_approval_cap,in_approved_first*INDEX('Age profile'!$O$2:$O$61,B1051)*(1+in_approval_growth)^(D1051-1))</f>
        <v/>
      </c>
      <c r="I1051" s="45">
        <f>G1051*MIN(in_takeup_cap,INDEX('Age profile'!$O$2:$O$61,B1051)*(1+in_approval_growth)^(D1051-1))</f>
        <v/>
      </c>
      <c r="J1051" s="40">
        <f>(J1050-L1050)*F1051/F1050</f>
        <v/>
      </c>
      <c r="K1051" s="40">
        <f>(K1050-M1050)*F1051/F1050+SUMIFS(O1012:O1050,B1012:B1050,B1051-1-d_T)*F1051</f>
        <v/>
      </c>
      <c r="L1051" s="40">
        <f>IF(B1051&gt;=in_marketplace_from,J1051*d_hz*G1051*in_eligible*H1051,0)</f>
        <v/>
      </c>
      <c r="M1051" s="40">
        <f>IF(B1051&gt;=in_marketplace_from,K1051*d_hz*G1051*in_eligible*in_approved_repeat,0)</f>
        <v/>
      </c>
      <c r="N1051" s="40">
        <f>L1051+M1051</f>
        <v/>
      </c>
      <c r="O1051" s="46">
        <f>N1051/F1051</f>
        <v/>
      </c>
      <c r="P1051" s="40">
        <f>F1051-J1051-K1051</f>
        <v/>
      </c>
      <c r="Q1051" s="40">
        <f>IF(B1051&gt;=in_marketplace_from,(J1051+K1051)*d_hz*G1051,0)</f>
        <v/>
      </c>
      <c r="R1051" s="40">
        <f>SUMIFS(N1012:N1051,B1012:B1051,"&gt;="&amp;(B1051-d_T),B1012:B1051,"&lt;="&amp;(B1051-1))</f>
        <v/>
      </c>
      <c r="S1051" s="46">
        <f>(1-d_u)*S1050+IF(d_T&gt;in_topup_lag,SUMIFS(O1012:O1051,B1012:B1051,B1051-in_topup_lag)-d_udrop*SUMIFS(O1012:O1051,B1012:B1051,B1051-d_T),0)</f>
        <v/>
      </c>
      <c r="T1051" s="40">
        <f>F1051*d_u*S1051</f>
        <v/>
      </c>
      <c r="U1051" s="9">
        <f>L1051*in_ticket+M1051*d_rep_ticket</f>
        <v/>
      </c>
      <c r="V1051" s="9">
        <f>U1051+T1051*d_topup_amt</f>
        <v/>
      </c>
      <c r="W1051" s="40">
        <f>N1051+T1051*d_topup_ratio</f>
        <v/>
      </c>
      <c r="X1051" s="40">
        <f>SUMIFS(W1012:W1051,B1012:B1051,B1051-in_dpd_lag)*d_cured</f>
        <v/>
      </c>
      <c r="Y1051" s="40">
        <f>SUMIFS(W1012:W1051,B1012:B1051,B1051-in_rec_lag)*d_recd</f>
        <v/>
      </c>
      <c r="Z1051" s="40">
        <f>IF(AND(B1051&gt;=in_marketplace_from,B1051&lt;in_marketplace_from+in_card_months),in_card_share/in_card_months*F1051*I1051,IF(AND(B1051&gt;=in_marketplace_from+in_card_months,B1051&lt;in_marketplace_from+2*in_card_months),in_card_share*d_card_rem/in_card_months*F1051*MIN(in_takeup_cap,(1+in_takeup_growth)^(D1051-1))*MIN(in_takeup_cap,(1+in_approval_growth)^(D1051-1)),0))</f>
        <v/>
      </c>
      <c r="AA1051" s="14">
        <f>V1051*in_fee*(1-in_taken_back)</f>
        <v/>
      </c>
      <c r="AB1051" s="14">
        <f>SUMIFS(W1012:W1051,B1012:B1051,B1051-in_dpd_lag)*d_dpd</f>
        <v/>
      </c>
      <c r="AC1051" s="14">
        <f>SUMIFS(W1012:W1051,B1012:B1051,B1051-in_rec_lag)*d_rec</f>
        <v/>
      </c>
      <c r="AD1051" s="14">
        <f>Z1051*in_card_fee</f>
        <v/>
      </c>
      <c r="AE1051" s="40">
        <f>AE1050*(1-IF(B1050&gt;=in_marketplace_from,d_hz_hlth_small*G1050,0))</f>
        <v/>
      </c>
      <c r="AF1051" s="46">
        <f>AE1051*IF(B1051&gt;=in_marketplace_from,d_hz_hlth_small*G1051,0)</f>
        <v/>
      </c>
      <c r="AG1051" s="14">
        <f>F1051*AF1051*in_hlth_small_ticket*in_hlth_small_comm*in_ins_partner_share+F1051*in_hlth_small_ticket*in_hlth_small_renew_comm*in_ins_partner_share*(in_hlth_small_renew^1*SUMIFS(AF1012:AF1051,B1012:B1051,B1051-12)+in_hlth_small_renew^2*SUMIFS(AF1012:AF1051,B1012:B1051,B1051-24)+in_hlth_small_renew^3*SUMIFS(AF1012:AF1051,B1012:B1051,B1051-36)+in_hlth_small_renew^4*SUMIFS(AF1012:AF1051,B1012:B1051,B1051-48))</f>
        <v/>
      </c>
      <c r="AH1051" s="40">
        <f>AH1050*(1-IF(B1050&gt;=in_marketplace_from,d_hz_hlth_family*G1050,0))</f>
        <v/>
      </c>
      <c r="AI1051" s="46">
        <f>AH1051*IF(B1051&gt;=in_marketplace_from,d_hz_hlth_family*G1051,0)</f>
        <v/>
      </c>
      <c r="AJ1051" s="14">
        <f>F1051*AI1051*in_hlth_family_ticket*in_hlth_family_comm*in_ins_partner_share+F1051*in_hlth_family_ticket*in_hlth_family_renew_comm*in_ins_partner_share*(in_hlth_family_renew^1*SUMIFS(AI1012:AI1051,B1012:B1051,B1051-12)+in_hlth_family_renew^2*SUMIFS(AI1012:AI1051,B1012:B1051,B1051-24)+in_hlth_family_renew^3*SUMIFS(AI1012:AI1051,B1012:B1051,B1051-36)+in_hlth_family_renew^4*SUMIFS(AI1012:AI1051,B1012:B1051,B1051-48))</f>
        <v/>
      </c>
      <c r="AK1051" s="40">
        <f>AK1050*(1-IF(B1050&gt;=in_marketplace_from,d_hz_life_term*G1050,0))</f>
        <v/>
      </c>
      <c r="AL1051" s="46">
        <f>AK1051*IF(B1051&gt;=in_marketplace_from,d_hz_life_term*G1051,0)</f>
        <v/>
      </c>
      <c r="AM1051" s="14">
        <f>F1051*AL1051*in_life_term_ticket*in_life_term_comm*in_ins_partner_share+F1051*in_life_term_ticket*in_life_term_renew_comm*in_ins_partner_share*(in_life_term_renew^1*SUMIFS(AL1012:AL1051,B1012:B1051,B1051-12)+in_life_term_renew^2*SUMIFS(AL1012:AL1051,B1012:B1051,B1051-24)+in_life_term_renew^3*SUMIFS(AL1012:AL1051,B1012:B1051,B1051-36)+in_life_term_renew^4*SUMIFS(AL1012:AL1051,B1012:B1051,B1051-48))</f>
        <v/>
      </c>
      <c r="AN1051" s="40">
        <f>AN1050*(1-IF(B1050&gt;=in_marketplace_from,d_hz_accident*G1050,0))</f>
        <v/>
      </c>
      <c r="AO1051" s="46">
        <f>AN1051*IF(B1051&gt;=in_marketplace_from,d_hz_accident*G1051,0)</f>
        <v/>
      </c>
      <c r="AP1051" s="14">
        <f>F1051*AO1051*in_accident_ticket*in_accident_comm*in_ins_partner_share+F1051*in_accident_ticket*in_accident_renew_comm*in_ins_partner_share*(in_accident_renew^1*SUMIFS(AO1012:AO1051,B1012:B1051,B1051-12)+in_accident_renew^2*SUMIFS(AO1012:AO1051,B1012:B1051,B1051-24)+in_accident_renew^3*SUMIFS(AO1012:AO1051,B1012:B1051,B1051-36)+in_accident_renew^4*SUMIFS(AO1012:AO1051,B1012:B1051,B1051-48))</f>
        <v/>
      </c>
      <c r="AQ1051" s="40">
        <f>AQ1050*(1-IF(B1050&gt;=in_marketplace_from,d_hz_two_wheeler*G1050,0))</f>
        <v/>
      </c>
      <c r="AR1051" s="46">
        <f>AQ1051*IF(B1051&gt;=in_marketplace_from,d_hz_two_wheeler*G1051,0)</f>
        <v/>
      </c>
      <c r="AS1051" s="14">
        <f>F1051*AR1051*in_two_wheeler_ticket*in_two_wheeler_comm*in_ins_partner_share+F1051*in_two_wheeler_ticket*in_two_wheeler_comm*in_ins_partner_share*(in_two_wheeler_renew^1*SUMIFS(AR1012:AR1051,B1012:B1051,B1051-12)+in_two_wheeler_renew^2*SUMIFS(AR1012:AR1051,B1012:B1051,B1051-24)+in_two_wheeler_renew^3*SUMIFS(AR1012:AR1051,B1012:B1051,B1051-36)+in_two_wheeler_renew^4*SUMIFS(AR1012:AR1051,B1012:B1051,B1051-48))</f>
        <v/>
      </c>
      <c r="AT1051" s="40">
        <f>AT1050*(1-IF(B1050&gt;=in_marketplace_from,d_hz_device*G1050,0))</f>
        <v/>
      </c>
      <c r="AU1051" s="14">
        <f>F1051*AT1051*IF(B1051&gt;=in_marketplace_from,d_hz_device*G1051,0)*in_device_ticket*in_device_comm*in_ins_partner_share</f>
        <v/>
      </c>
      <c r="AV1051" s="40">
        <f>AV1050*(1-IF(B1050&gt;=in_marketplace_from,d_hz_shop*G1050,0))</f>
        <v/>
      </c>
      <c r="AW1051" s="46">
        <f>AV1051*IF(B1051&gt;=in_marketplace_from,d_hz_shop*G1051,0)</f>
        <v/>
      </c>
      <c r="AX1051" s="14">
        <f>F1051*AW1051*in_shop_ticket*in_shop_comm*in_ins_partner_share+F1051*in_shop_ticket*in_shop_renew_comm*in_ins_partner_share*(in_shop_renew^1*SUMIFS(AW1012:AW1051,B1012:B1051,B1051-12)+in_shop_renew^2*SUMIFS(AW1012:AW1051,B1012:B1051,B1051-24)+in_shop_renew^3*SUMIFS(AW1012:AW1051,B1012:B1051,B1051-36)+in_shop_renew^4*SUMIFS(AW1012:AW1051,B1012:B1051,B1051-48))</f>
        <v/>
      </c>
      <c r="AY1051" s="40">
        <f>AY1050*(1-IF(B1050&gt;=in_marketplace_from,d_hz_sip*G1050,0))</f>
        <v/>
      </c>
      <c r="AZ1051" s="40">
        <f>AZ1050*d_rho_sip+AY1051*IF(B1051&gt;=in_marketplace_from,d_hz_sip*G1051,0)</f>
        <v/>
      </c>
      <c r="BA1051" s="40">
        <f>d_rho_sip*(BA1050+AZ1050)</f>
        <v/>
      </c>
      <c r="BB1051" s="14">
        <f>F1051*in_sip_ticket*(BA1051+0.5*AZ1051)*in_sip_comm/12</f>
        <v/>
      </c>
      <c r="BC1051" s="40">
        <f>BC1050*(1-IF(B1050&gt;=in_marketplace_from,d_hz_choti*G1050,0))</f>
        <v/>
      </c>
      <c r="BD1051" s="46">
        <f>BC1051*IF(B1051&gt;=in_marketplace_from,d_hz_choti*G1051,0)</f>
        <v/>
      </c>
      <c r="BE1051" s="14">
        <f>F1051*SUMIFS(BD1012:BD1051,B1012:B1051,B1051-in_choti_months)*in_choti_renew*in_choti_ticket</f>
        <v/>
      </c>
      <c r="BF1051" s="40">
        <f>BF1050*(1-IF(B1050&gt;=in_marketplace_from,d_hz_nps*G1050,0))</f>
        <v/>
      </c>
      <c r="BG1051" s="14">
        <f>F1051*BF1051*IF(B1051&gt;=in_marketplace_from,d_hz_nps*G1051,0)*in_nps_ticket*in_nps_comm</f>
        <v/>
      </c>
      <c r="BH1051" s="40">
        <f>BH1050*(1-IF(B1050&gt;=in_marketplace_from,d_hz_gold*G1050,0))</f>
        <v/>
      </c>
      <c r="BI1051" s="40">
        <f>BI1050*d_rho_gold+BH1051*IF(B1051&gt;=in_marketplace_from,d_hz_gold*G1051,0)</f>
        <v/>
      </c>
      <c r="BJ1051" s="14">
        <f>F1051*BI1051*in_gold_ticket*in_gold_comm</f>
        <v/>
      </c>
      <c r="BK1051" s="40">
        <f>BK1050*(1-IF(B1050&gt;=in_marketplace_from,d_hz_fd*G1050,0))</f>
        <v/>
      </c>
      <c r="BL1051" s="14">
        <f>F1051*BK1051*IF(B1051&gt;=in_marketplace_from,d_hz_fd*G1051,0)*in_fd_ticket*in_fd_comm</f>
        <v/>
      </c>
      <c r="BM1051" s="40">
        <f>BM1050*(1-IF(B1050&gt;=in_marketplace_from,d_hz_recharge*G1050,0))</f>
        <v/>
      </c>
      <c r="BN1051" s="40">
        <f>BN1050*d_rho_recharge+BM1051*IF(B1051&gt;=in_marketplace_from,d_hz_recharge*G1051,0)</f>
        <v/>
      </c>
      <c r="BO1051" s="14">
        <f>F1051*BN1051*in_recharge_ticket*in_recharge_comm/12</f>
        <v/>
      </c>
      <c r="BP1051" s="40">
        <f>BP1050*(1-IF(B1050&gt;=in_marketplace_from,d_hz_bills*G1050,0))</f>
        <v/>
      </c>
      <c r="BQ1051" s="40">
        <f>BQ1050*d_rho_bills+BP1051*IF(B1051&gt;=in_marketplace_from,d_hz_bills*G1051,0)</f>
        <v/>
      </c>
      <c r="BR1051" s="14">
        <f>F1051*BQ1051*in_bills_ticket*in_bills_comm/12</f>
        <v/>
      </c>
      <c r="BS1051" s="40">
        <f>BS1050*(1-IF(B1050&gt;=in_marketplace_from,d_hz_loan_gold*G1050,0))</f>
        <v/>
      </c>
      <c r="BT1051" s="14">
        <f>F1051*BS1051*IF(B1051&gt;=in_marketplace_from,d_hz_loan_gold*G1051,0)*in_loan_gold_ticket*in_loan_gold_comm</f>
        <v/>
      </c>
      <c r="BU1051" s="40">
        <f>BU1050*(1-IF(B1050&gt;=in_marketplace_from,d_hz_loan_cd*G1050,0))</f>
        <v/>
      </c>
      <c r="BV1051" s="14">
        <f>F1051*BU1051*IF(B1051&gt;=in_marketplace_from,d_hz_loan_cd*G1051,0)*in_loan_cd_ticket*in_loan_cd_comm</f>
        <v/>
      </c>
      <c r="BW1051" s="40">
        <f>BW1050*(1-IF(B1050&gt;=in_marketplace_from,d_hz_loan_vehicle*G1050,0))</f>
        <v/>
      </c>
      <c r="BX1051" s="14">
        <f>F1051*BW1051*IF(B1051&gt;=in_marketplace_from,d_hz_loan_vehicle*G1051,0)*in_loan_vehicle_ticket*in_loan_vehicle_comm</f>
        <v/>
      </c>
      <c r="BY1051" s="40">
        <f>BY1050*(1-IF(B1050&gt;=in_marketplace_from,d_hz_loan_home*G1050,0)*BZ1050)</f>
        <v/>
      </c>
      <c r="BZ1051" s="11">
        <f>MIN(in_approval_cap,in_loan_home_approval*INDEX('Age profile'!$O$2:$O$61,B1051)*(1+in_approval_growth)^(D1051-1))</f>
        <v/>
      </c>
      <c r="CA1051" s="14">
        <f>F1051*BY1051*IF(B1051&gt;=in_marketplace_from,d_hz_loan_home*G1051,0)*BZ1051*in_loan_home_ticket*in_loan_home_comm</f>
        <v/>
      </c>
      <c r="CB1051" s="40">
        <f>CB1050*(1-IF(B1050&gt;=in_marketplace_from,d_hz_loan_lap*G1050,0)*CC1050)</f>
        <v/>
      </c>
      <c r="CC1051" s="11">
        <f>MIN(in_approval_cap,in_loan_lap_approval*INDEX('Age profile'!$O$2:$O$61,B1051)*(1+in_approval_growth)^(D1051-1))</f>
        <v/>
      </c>
      <c r="CD1051" s="14">
        <f>F1051*CB1051*IF(B1051&gt;=in_marketplace_from,d_hz_loan_lap*G1051,0)*CC1051*in_loan_lap_ticket*in_loan_lap_comm</f>
        <v/>
      </c>
      <c r="CE1051" s="14">
        <f>AA1051+AB1051+AC1051+AD1051+AG1051+AJ1051+AM1051+AP1051+AS1051+AU1051+AX1051+BB1051+BE1051+BG1051+BJ1051+BL1051+BO1051+BR1051+BT1051+BV1051+BX1051+CA1051+CD1051</f>
        <v/>
      </c>
    </row>
    <row r="1052">
      <c r="A1052" s="39" t="n">
        <v>22</v>
      </c>
      <c r="B1052" s="39" t="n">
        <v>1</v>
      </c>
      <c r="C1052" s="39">
        <f>A1052+B1052-1</f>
        <v/>
      </c>
      <c r="D1052" s="39">
        <f>INT((C1052-1)/12)+1</f>
        <v/>
      </c>
      <c r="E1052" s="44">
        <f>INDEX(Monthly!$B$2:$B$61,A1052)</f>
        <v/>
      </c>
      <c r="F1052" s="44">
        <f>E1052*INDEX('Age profile'!$B$2:$B$61,B1052)</f>
        <v/>
      </c>
      <c r="G1052" s="45">
        <f>MIN(in_takeup_cap,INDEX('Age profile'!$N$2:$N$61,B1052)*(1+in_takeup_growth)^(D1052-1))</f>
        <v/>
      </c>
      <c r="H1052" s="11">
        <f>MIN(in_approval_cap,in_approved_first*INDEX('Age profile'!$O$2:$O$61,B1052)*(1+in_approval_growth)^(D1052-1))</f>
        <v/>
      </c>
      <c r="I1052" s="45">
        <f>G1052*MIN(in_takeup_cap,INDEX('Age profile'!$O$2:$O$61,B1052)*(1+in_approval_growth)^(D1052-1))</f>
        <v/>
      </c>
      <c r="J1052" s="40">
        <f>E1052</f>
        <v/>
      </c>
      <c r="K1052" s="40" t="n">
        <v>0</v>
      </c>
      <c r="L1052" s="40">
        <f>IF(B1052&gt;=in_marketplace_from,J1052*d_hz*G1052*in_eligible*H1052,0)</f>
        <v/>
      </c>
      <c r="M1052" s="40">
        <f>IF(B1052&gt;=in_marketplace_from,K1052*d_hz*G1052*in_eligible*in_approved_repeat,0)</f>
        <v/>
      </c>
      <c r="N1052" s="40">
        <f>L1052+M1052</f>
        <v/>
      </c>
      <c r="O1052" s="46">
        <f>N1052/F1052</f>
        <v/>
      </c>
      <c r="P1052" s="40">
        <f>F1052-J1052-K1052</f>
        <v/>
      </c>
      <c r="Q1052" s="40">
        <f>IF(B1052&gt;=in_marketplace_from,(J1052+K1052)*d_hz*G1052,0)</f>
        <v/>
      </c>
      <c r="R1052" s="40">
        <f>SUMIFS(N1052:N1090,B1052:B1090,"&gt;="&amp;(B1052-d_T),B1052:B1090,"&lt;="&amp;(B1052-1))</f>
        <v/>
      </c>
      <c r="S1052" s="46" t="n">
        <v>0</v>
      </c>
      <c r="T1052" s="40">
        <f>F1052*d_u*S1052</f>
        <v/>
      </c>
      <c r="U1052" s="9">
        <f>L1052*in_ticket+M1052*d_rep_ticket</f>
        <v/>
      </c>
      <c r="V1052" s="9">
        <f>U1052+T1052*d_topup_amt</f>
        <v/>
      </c>
      <c r="W1052" s="40">
        <f>N1052+T1052*d_topup_ratio</f>
        <v/>
      </c>
      <c r="X1052" s="40">
        <f>SUMIFS(W1052:W1090,B1052:B1090,B1052-in_dpd_lag)*d_cured</f>
        <v/>
      </c>
      <c r="Y1052" s="40">
        <f>SUMIFS(W1052:W1090,B1052:B1090,B1052-in_rec_lag)*d_recd</f>
        <v/>
      </c>
      <c r="Z1052" s="40">
        <f>IF(AND(B1052&gt;=in_marketplace_from,B1052&lt;in_marketplace_from+in_card_months),in_card_share/in_card_months*F1052*I1052,IF(AND(B1052&gt;=in_marketplace_from+in_card_months,B1052&lt;in_marketplace_from+2*in_card_months),in_card_share*d_card_rem/in_card_months*F1052*MIN(in_takeup_cap,(1+in_takeup_growth)^(D1052-1))*MIN(in_takeup_cap,(1+in_approval_growth)^(D1052-1)),0))</f>
        <v/>
      </c>
      <c r="AA1052" s="14">
        <f>V1052*in_fee*(1-in_taken_back)</f>
        <v/>
      </c>
      <c r="AB1052" s="14">
        <f>SUMIFS(W1052:W1090,B1052:B1090,B1052-in_dpd_lag)*d_dpd</f>
        <v/>
      </c>
      <c r="AC1052" s="14">
        <f>SUMIFS(W1052:W1090,B1052:B1090,B1052-in_rec_lag)*d_rec</f>
        <v/>
      </c>
      <c r="AD1052" s="14">
        <f>Z1052*in_card_fee</f>
        <v/>
      </c>
      <c r="AE1052" s="40" t="n">
        <v>1</v>
      </c>
      <c r="AF1052" s="46">
        <f>AE1052*IF(B1052&gt;=in_marketplace_from,d_hz_hlth_small*G1052,0)</f>
        <v/>
      </c>
      <c r="AG1052" s="14">
        <f>F1052*AF1052*in_hlth_small_ticket*in_hlth_small_comm*in_ins_partner_share+F1052*in_hlth_small_ticket*in_hlth_small_renew_comm*in_ins_partner_share*(in_hlth_small_renew^1*SUMIFS(AF1052:AF1090,B1052:B1090,B1052-12)+in_hlth_small_renew^2*SUMIFS(AF1052:AF1090,B1052:B1090,B1052-24)+in_hlth_small_renew^3*SUMIFS(AF1052:AF1090,B1052:B1090,B1052-36)+in_hlth_small_renew^4*SUMIFS(AF1052:AF1090,B1052:B1090,B1052-48))</f>
        <v/>
      </c>
      <c r="AH1052" s="40" t="n">
        <v>1</v>
      </c>
      <c r="AI1052" s="46">
        <f>AH1052*IF(B1052&gt;=in_marketplace_from,d_hz_hlth_family*G1052,0)</f>
        <v/>
      </c>
      <c r="AJ1052" s="14">
        <f>F1052*AI1052*in_hlth_family_ticket*in_hlth_family_comm*in_ins_partner_share+F1052*in_hlth_family_ticket*in_hlth_family_renew_comm*in_ins_partner_share*(in_hlth_family_renew^1*SUMIFS(AI1052:AI1090,B1052:B1090,B1052-12)+in_hlth_family_renew^2*SUMIFS(AI1052:AI1090,B1052:B1090,B1052-24)+in_hlth_family_renew^3*SUMIFS(AI1052:AI1090,B1052:B1090,B1052-36)+in_hlth_family_renew^4*SUMIFS(AI1052:AI1090,B1052:B1090,B1052-48))</f>
        <v/>
      </c>
      <c r="AK1052" s="40" t="n">
        <v>1</v>
      </c>
      <c r="AL1052" s="46">
        <f>AK1052*IF(B1052&gt;=in_marketplace_from,d_hz_life_term*G1052,0)</f>
        <v/>
      </c>
      <c r="AM1052" s="14">
        <f>F1052*AL1052*in_life_term_ticket*in_life_term_comm*in_ins_partner_share+F1052*in_life_term_ticket*in_life_term_renew_comm*in_ins_partner_share*(in_life_term_renew^1*SUMIFS(AL1052:AL1090,B1052:B1090,B1052-12)+in_life_term_renew^2*SUMIFS(AL1052:AL1090,B1052:B1090,B1052-24)+in_life_term_renew^3*SUMIFS(AL1052:AL1090,B1052:B1090,B1052-36)+in_life_term_renew^4*SUMIFS(AL1052:AL1090,B1052:B1090,B1052-48))</f>
        <v/>
      </c>
      <c r="AN1052" s="40" t="n">
        <v>1</v>
      </c>
      <c r="AO1052" s="46">
        <f>AN1052*IF(B1052&gt;=in_marketplace_from,d_hz_accident*G1052,0)</f>
        <v/>
      </c>
      <c r="AP1052" s="14">
        <f>F1052*AO1052*in_accident_ticket*in_accident_comm*in_ins_partner_share+F1052*in_accident_ticket*in_accident_renew_comm*in_ins_partner_share*(in_accident_renew^1*SUMIFS(AO1052:AO1090,B1052:B1090,B1052-12)+in_accident_renew^2*SUMIFS(AO1052:AO1090,B1052:B1090,B1052-24)+in_accident_renew^3*SUMIFS(AO1052:AO1090,B1052:B1090,B1052-36)+in_accident_renew^4*SUMIFS(AO1052:AO1090,B1052:B1090,B1052-48))</f>
        <v/>
      </c>
      <c r="AQ1052" s="40" t="n">
        <v>1</v>
      </c>
      <c r="AR1052" s="46">
        <f>AQ1052*IF(B1052&gt;=in_marketplace_from,d_hz_two_wheeler*G1052,0)</f>
        <v/>
      </c>
      <c r="AS1052" s="14">
        <f>F1052*AR1052*in_two_wheeler_ticket*in_two_wheeler_comm*in_ins_partner_share+F1052*in_two_wheeler_ticket*in_two_wheeler_comm*in_ins_partner_share*(in_two_wheeler_renew^1*SUMIFS(AR1052:AR1090,B1052:B1090,B1052-12)+in_two_wheeler_renew^2*SUMIFS(AR1052:AR1090,B1052:B1090,B1052-24)+in_two_wheeler_renew^3*SUMIFS(AR1052:AR1090,B1052:B1090,B1052-36)+in_two_wheeler_renew^4*SUMIFS(AR1052:AR1090,B1052:B1090,B1052-48))</f>
        <v/>
      </c>
      <c r="AT1052" s="40" t="n">
        <v>1</v>
      </c>
      <c r="AU1052" s="14">
        <f>F1052*AT1052*IF(B1052&gt;=in_marketplace_from,d_hz_device*G1052,0)*in_device_ticket*in_device_comm*in_ins_partner_share</f>
        <v/>
      </c>
      <c r="AV1052" s="40" t="n">
        <v>1</v>
      </c>
      <c r="AW1052" s="46">
        <f>AV1052*IF(B1052&gt;=in_marketplace_from,d_hz_shop*G1052,0)</f>
        <v/>
      </c>
      <c r="AX1052" s="14">
        <f>F1052*AW1052*in_shop_ticket*in_shop_comm*in_ins_partner_share+F1052*in_shop_ticket*in_shop_renew_comm*in_ins_partner_share*(in_shop_renew^1*SUMIFS(AW1052:AW1090,B1052:B1090,B1052-12)+in_shop_renew^2*SUMIFS(AW1052:AW1090,B1052:B1090,B1052-24)+in_shop_renew^3*SUMIFS(AW1052:AW1090,B1052:B1090,B1052-36)+in_shop_renew^4*SUMIFS(AW1052:AW1090,B1052:B1090,B1052-48))</f>
        <v/>
      </c>
      <c r="AY1052" s="40" t="n">
        <v>1</v>
      </c>
      <c r="AZ1052" s="40">
        <f>AY1052*IF(B1052&gt;=in_marketplace_from,d_hz_sip*G1052,0)</f>
        <v/>
      </c>
      <c r="BA1052" s="40" t="n">
        <v>0</v>
      </c>
      <c r="BB1052" s="14">
        <f>F1052*in_sip_ticket*(BA1052+0.5*AZ1052)*in_sip_comm/12</f>
        <v/>
      </c>
      <c r="BC1052" s="40" t="n">
        <v>1</v>
      </c>
      <c r="BD1052" s="46">
        <f>BC1052*IF(B1052&gt;=in_marketplace_from,d_hz_choti*G1052,0)</f>
        <v/>
      </c>
      <c r="BE1052" s="14">
        <f>F1052*SUMIFS(BD1052:BD1090,B1052:B1090,B1052-in_choti_months)*in_choti_renew*in_choti_ticket</f>
        <v/>
      </c>
      <c r="BF1052" s="40" t="n">
        <v>1</v>
      </c>
      <c r="BG1052" s="14">
        <f>F1052*BF1052*IF(B1052&gt;=in_marketplace_from,d_hz_nps*G1052,0)*in_nps_ticket*in_nps_comm</f>
        <v/>
      </c>
      <c r="BH1052" s="40" t="n">
        <v>1</v>
      </c>
      <c r="BI1052" s="40">
        <f>BH1052*IF(B1052&gt;=in_marketplace_from,d_hz_gold*G1052,0)</f>
        <v/>
      </c>
      <c r="BJ1052" s="14">
        <f>F1052*BI1052*in_gold_ticket*in_gold_comm</f>
        <v/>
      </c>
      <c r="BK1052" s="40" t="n">
        <v>1</v>
      </c>
      <c r="BL1052" s="14">
        <f>F1052*BK1052*IF(B1052&gt;=in_marketplace_from,d_hz_fd*G1052,0)*in_fd_ticket*in_fd_comm</f>
        <v/>
      </c>
      <c r="BM1052" s="40" t="n">
        <v>1</v>
      </c>
      <c r="BN1052" s="40">
        <f>BM1052*IF(B1052&gt;=in_marketplace_from,d_hz_recharge*G1052,0)</f>
        <v/>
      </c>
      <c r="BO1052" s="14">
        <f>F1052*BN1052*in_recharge_ticket*in_recharge_comm/12</f>
        <v/>
      </c>
      <c r="BP1052" s="40" t="n">
        <v>1</v>
      </c>
      <c r="BQ1052" s="40">
        <f>BP1052*IF(B1052&gt;=in_marketplace_from,d_hz_bills*G1052,0)</f>
        <v/>
      </c>
      <c r="BR1052" s="14">
        <f>F1052*BQ1052*in_bills_ticket*in_bills_comm/12</f>
        <v/>
      </c>
      <c r="BS1052" s="40" t="n">
        <v>1</v>
      </c>
      <c r="BT1052" s="14">
        <f>F1052*BS1052*IF(B1052&gt;=in_marketplace_from,d_hz_loan_gold*G1052,0)*in_loan_gold_ticket*in_loan_gold_comm</f>
        <v/>
      </c>
      <c r="BU1052" s="40" t="n">
        <v>1</v>
      </c>
      <c r="BV1052" s="14">
        <f>F1052*BU1052*IF(B1052&gt;=in_marketplace_from,d_hz_loan_cd*G1052,0)*in_loan_cd_ticket*in_loan_cd_comm</f>
        <v/>
      </c>
      <c r="BW1052" s="40" t="n">
        <v>1</v>
      </c>
      <c r="BX1052" s="14">
        <f>F1052*BW1052*IF(B1052&gt;=in_marketplace_from,d_hz_loan_vehicle*G1052,0)*in_loan_vehicle_ticket*in_loan_vehicle_comm</f>
        <v/>
      </c>
      <c r="BY1052" s="40" t="n">
        <v>1</v>
      </c>
      <c r="BZ1052" s="11">
        <f>MIN(in_approval_cap,in_loan_home_approval*INDEX('Age profile'!$O$2:$O$61,B1052)*(1+in_approval_growth)^(D1052-1))</f>
        <v/>
      </c>
      <c r="CA1052" s="14">
        <f>F1052*BY1052*IF(B1052&gt;=in_marketplace_from,d_hz_loan_home*G1052,0)*BZ1052*in_loan_home_ticket*in_loan_home_comm</f>
        <v/>
      </c>
      <c r="CB1052" s="40" t="n">
        <v>1</v>
      </c>
      <c r="CC1052" s="11">
        <f>MIN(in_approval_cap,in_loan_lap_approval*INDEX('Age profile'!$O$2:$O$61,B1052)*(1+in_approval_growth)^(D1052-1))</f>
        <v/>
      </c>
      <c r="CD1052" s="14">
        <f>F1052*CB1052*IF(B1052&gt;=in_marketplace_from,d_hz_loan_lap*G1052,0)*CC1052*in_loan_lap_ticket*in_loan_lap_comm</f>
        <v/>
      </c>
      <c r="CE1052" s="14">
        <f>AA1052+AB1052+AC1052+AD1052+AG1052+AJ1052+AM1052+AP1052+AS1052+AU1052+AX1052+BB1052+BE1052+BG1052+BJ1052+BL1052+BO1052+BR1052+BT1052+BV1052+BX1052+CA1052+CD1052</f>
        <v/>
      </c>
    </row>
    <row r="1053">
      <c r="A1053" s="39" t="n">
        <v>22</v>
      </c>
      <c r="B1053" s="39" t="n">
        <v>2</v>
      </c>
      <c r="C1053" s="39">
        <f>A1053+B1053-1</f>
        <v/>
      </c>
      <c r="D1053" s="39">
        <f>INT((C1053-1)/12)+1</f>
        <v/>
      </c>
      <c r="E1053" s="44">
        <f>INDEX(Monthly!$B$2:$B$61,A1053)</f>
        <v/>
      </c>
      <c r="F1053" s="44">
        <f>E1053*INDEX('Age profile'!$B$2:$B$61,B1053)</f>
        <v/>
      </c>
      <c r="G1053" s="45">
        <f>MIN(in_takeup_cap,INDEX('Age profile'!$N$2:$N$61,B1053)*(1+in_takeup_growth)^(D1053-1))</f>
        <v/>
      </c>
      <c r="H1053" s="11">
        <f>MIN(in_approval_cap,in_approved_first*INDEX('Age profile'!$O$2:$O$61,B1053)*(1+in_approval_growth)^(D1053-1))</f>
        <v/>
      </c>
      <c r="I1053" s="45">
        <f>G1053*MIN(in_takeup_cap,INDEX('Age profile'!$O$2:$O$61,B1053)*(1+in_approval_growth)^(D1053-1))</f>
        <v/>
      </c>
      <c r="J1053" s="40">
        <f>(J1052-L1052)*F1053/F1052</f>
        <v/>
      </c>
      <c r="K1053" s="40">
        <f>(K1052-M1052)*F1053/F1052+SUMIFS(O1052:O1052,B1052:B1052,B1053-1-d_T)*F1053</f>
        <v/>
      </c>
      <c r="L1053" s="40">
        <f>IF(B1053&gt;=in_marketplace_from,J1053*d_hz*G1053*in_eligible*H1053,0)</f>
        <v/>
      </c>
      <c r="M1053" s="40">
        <f>IF(B1053&gt;=in_marketplace_from,K1053*d_hz*G1053*in_eligible*in_approved_repeat,0)</f>
        <v/>
      </c>
      <c r="N1053" s="40">
        <f>L1053+M1053</f>
        <v/>
      </c>
      <c r="O1053" s="46">
        <f>N1053/F1053</f>
        <v/>
      </c>
      <c r="P1053" s="40">
        <f>F1053-J1053-K1053</f>
        <v/>
      </c>
      <c r="Q1053" s="40">
        <f>IF(B1053&gt;=in_marketplace_from,(J1053+K1053)*d_hz*G1053,0)</f>
        <v/>
      </c>
      <c r="R1053" s="40">
        <f>SUMIFS(N1052:N1090,B1052:B1090,"&gt;="&amp;(B1053-d_T),B1052:B1090,"&lt;="&amp;(B1053-1))</f>
        <v/>
      </c>
      <c r="S1053" s="46">
        <f>(1-d_u)*S1052+IF(d_T&gt;in_topup_lag,SUMIFS(O1052:O1090,B1052:B1090,B1053-in_topup_lag)-d_udrop*SUMIFS(O1052:O1090,B1052:B1090,B1053-d_T),0)</f>
        <v/>
      </c>
      <c r="T1053" s="40">
        <f>F1053*d_u*S1053</f>
        <v/>
      </c>
      <c r="U1053" s="9">
        <f>L1053*in_ticket+M1053*d_rep_ticket</f>
        <v/>
      </c>
      <c r="V1053" s="9">
        <f>U1053+T1053*d_topup_amt</f>
        <v/>
      </c>
      <c r="W1053" s="40">
        <f>N1053+T1053*d_topup_ratio</f>
        <v/>
      </c>
      <c r="X1053" s="40">
        <f>SUMIFS(W1052:W1090,B1052:B1090,B1053-in_dpd_lag)*d_cured</f>
        <v/>
      </c>
      <c r="Y1053" s="40">
        <f>SUMIFS(W1052:W1090,B1052:B1090,B1053-in_rec_lag)*d_recd</f>
        <v/>
      </c>
      <c r="Z1053" s="40">
        <f>IF(AND(B1053&gt;=in_marketplace_from,B1053&lt;in_marketplace_from+in_card_months),in_card_share/in_card_months*F1053*I1053,IF(AND(B1053&gt;=in_marketplace_from+in_card_months,B1053&lt;in_marketplace_from+2*in_card_months),in_card_share*d_card_rem/in_card_months*F1053*MIN(in_takeup_cap,(1+in_takeup_growth)^(D1053-1))*MIN(in_takeup_cap,(1+in_approval_growth)^(D1053-1)),0))</f>
        <v/>
      </c>
      <c r="AA1053" s="14">
        <f>V1053*in_fee*(1-in_taken_back)</f>
        <v/>
      </c>
      <c r="AB1053" s="14">
        <f>SUMIFS(W1052:W1090,B1052:B1090,B1053-in_dpd_lag)*d_dpd</f>
        <v/>
      </c>
      <c r="AC1053" s="14">
        <f>SUMIFS(W1052:W1090,B1052:B1090,B1053-in_rec_lag)*d_rec</f>
        <v/>
      </c>
      <c r="AD1053" s="14">
        <f>Z1053*in_card_fee</f>
        <v/>
      </c>
      <c r="AE1053" s="40">
        <f>AE1052*(1-IF(B1052&gt;=in_marketplace_from,d_hz_hlth_small*G1052,0))</f>
        <v/>
      </c>
      <c r="AF1053" s="46">
        <f>AE1053*IF(B1053&gt;=in_marketplace_from,d_hz_hlth_small*G1053,0)</f>
        <v/>
      </c>
      <c r="AG1053" s="14">
        <f>F1053*AF1053*in_hlth_small_ticket*in_hlth_small_comm*in_ins_partner_share+F1053*in_hlth_small_ticket*in_hlth_small_renew_comm*in_ins_partner_share*(in_hlth_small_renew^1*SUMIFS(AF1052:AF1090,B1052:B1090,B1053-12)+in_hlth_small_renew^2*SUMIFS(AF1052:AF1090,B1052:B1090,B1053-24)+in_hlth_small_renew^3*SUMIFS(AF1052:AF1090,B1052:B1090,B1053-36)+in_hlth_small_renew^4*SUMIFS(AF1052:AF1090,B1052:B1090,B1053-48))</f>
        <v/>
      </c>
      <c r="AH1053" s="40">
        <f>AH1052*(1-IF(B1052&gt;=in_marketplace_from,d_hz_hlth_family*G1052,0))</f>
        <v/>
      </c>
      <c r="AI1053" s="46">
        <f>AH1053*IF(B1053&gt;=in_marketplace_from,d_hz_hlth_family*G1053,0)</f>
        <v/>
      </c>
      <c r="AJ1053" s="14">
        <f>F1053*AI1053*in_hlth_family_ticket*in_hlth_family_comm*in_ins_partner_share+F1053*in_hlth_family_ticket*in_hlth_family_renew_comm*in_ins_partner_share*(in_hlth_family_renew^1*SUMIFS(AI1052:AI1090,B1052:B1090,B1053-12)+in_hlth_family_renew^2*SUMIFS(AI1052:AI1090,B1052:B1090,B1053-24)+in_hlth_family_renew^3*SUMIFS(AI1052:AI1090,B1052:B1090,B1053-36)+in_hlth_family_renew^4*SUMIFS(AI1052:AI1090,B1052:B1090,B1053-48))</f>
        <v/>
      </c>
      <c r="AK1053" s="40">
        <f>AK1052*(1-IF(B1052&gt;=in_marketplace_from,d_hz_life_term*G1052,0))</f>
        <v/>
      </c>
      <c r="AL1053" s="46">
        <f>AK1053*IF(B1053&gt;=in_marketplace_from,d_hz_life_term*G1053,0)</f>
        <v/>
      </c>
      <c r="AM1053" s="14">
        <f>F1053*AL1053*in_life_term_ticket*in_life_term_comm*in_ins_partner_share+F1053*in_life_term_ticket*in_life_term_renew_comm*in_ins_partner_share*(in_life_term_renew^1*SUMIFS(AL1052:AL1090,B1052:B1090,B1053-12)+in_life_term_renew^2*SUMIFS(AL1052:AL1090,B1052:B1090,B1053-24)+in_life_term_renew^3*SUMIFS(AL1052:AL1090,B1052:B1090,B1053-36)+in_life_term_renew^4*SUMIFS(AL1052:AL1090,B1052:B1090,B1053-48))</f>
        <v/>
      </c>
      <c r="AN1053" s="40">
        <f>AN1052*(1-IF(B1052&gt;=in_marketplace_from,d_hz_accident*G1052,0))</f>
        <v/>
      </c>
      <c r="AO1053" s="46">
        <f>AN1053*IF(B1053&gt;=in_marketplace_from,d_hz_accident*G1053,0)</f>
        <v/>
      </c>
      <c r="AP1053" s="14">
        <f>F1053*AO1053*in_accident_ticket*in_accident_comm*in_ins_partner_share+F1053*in_accident_ticket*in_accident_renew_comm*in_ins_partner_share*(in_accident_renew^1*SUMIFS(AO1052:AO1090,B1052:B1090,B1053-12)+in_accident_renew^2*SUMIFS(AO1052:AO1090,B1052:B1090,B1053-24)+in_accident_renew^3*SUMIFS(AO1052:AO1090,B1052:B1090,B1053-36)+in_accident_renew^4*SUMIFS(AO1052:AO1090,B1052:B1090,B1053-48))</f>
        <v/>
      </c>
      <c r="AQ1053" s="40">
        <f>AQ1052*(1-IF(B1052&gt;=in_marketplace_from,d_hz_two_wheeler*G1052,0))</f>
        <v/>
      </c>
      <c r="AR1053" s="46">
        <f>AQ1053*IF(B1053&gt;=in_marketplace_from,d_hz_two_wheeler*G1053,0)</f>
        <v/>
      </c>
      <c r="AS1053" s="14">
        <f>F1053*AR1053*in_two_wheeler_ticket*in_two_wheeler_comm*in_ins_partner_share+F1053*in_two_wheeler_ticket*in_two_wheeler_comm*in_ins_partner_share*(in_two_wheeler_renew^1*SUMIFS(AR1052:AR1090,B1052:B1090,B1053-12)+in_two_wheeler_renew^2*SUMIFS(AR1052:AR1090,B1052:B1090,B1053-24)+in_two_wheeler_renew^3*SUMIFS(AR1052:AR1090,B1052:B1090,B1053-36)+in_two_wheeler_renew^4*SUMIFS(AR1052:AR1090,B1052:B1090,B1053-48))</f>
        <v/>
      </c>
      <c r="AT1053" s="40">
        <f>AT1052*(1-IF(B1052&gt;=in_marketplace_from,d_hz_device*G1052,0))</f>
        <v/>
      </c>
      <c r="AU1053" s="14">
        <f>F1053*AT1053*IF(B1053&gt;=in_marketplace_from,d_hz_device*G1053,0)*in_device_ticket*in_device_comm*in_ins_partner_share</f>
        <v/>
      </c>
      <c r="AV1053" s="40">
        <f>AV1052*(1-IF(B1052&gt;=in_marketplace_from,d_hz_shop*G1052,0))</f>
        <v/>
      </c>
      <c r="AW1053" s="46">
        <f>AV1053*IF(B1053&gt;=in_marketplace_from,d_hz_shop*G1053,0)</f>
        <v/>
      </c>
      <c r="AX1053" s="14">
        <f>F1053*AW1053*in_shop_ticket*in_shop_comm*in_ins_partner_share+F1053*in_shop_ticket*in_shop_renew_comm*in_ins_partner_share*(in_shop_renew^1*SUMIFS(AW1052:AW1090,B1052:B1090,B1053-12)+in_shop_renew^2*SUMIFS(AW1052:AW1090,B1052:B1090,B1053-24)+in_shop_renew^3*SUMIFS(AW1052:AW1090,B1052:B1090,B1053-36)+in_shop_renew^4*SUMIFS(AW1052:AW1090,B1052:B1090,B1053-48))</f>
        <v/>
      </c>
      <c r="AY1053" s="40">
        <f>AY1052*(1-IF(B1052&gt;=in_marketplace_from,d_hz_sip*G1052,0))</f>
        <v/>
      </c>
      <c r="AZ1053" s="40">
        <f>AZ1052*d_rho_sip+AY1053*IF(B1053&gt;=in_marketplace_from,d_hz_sip*G1053,0)</f>
        <v/>
      </c>
      <c r="BA1053" s="40">
        <f>d_rho_sip*(BA1052+AZ1052)</f>
        <v/>
      </c>
      <c r="BB1053" s="14">
        <f>F1053*in_sip_ticket*(BA1053+0.5*AZ1053)*in_sip_comm/12</f>
        <v/>
      </c>
      <c r="BC1053" s="40">
        <f>BC1052*(1-IF(B1052&gt;=in_marketplace_from,d_hz_choti*G1052,0))</f>
        <v/>
      </c>
      <c r="BD1053" s="46">
        <f>BC1053*IF(B1053&gt;=in_marketplace_from,d_hz_choti*G1053,0)</f>
        <v/>
      </c>
      <c r="BE1053" s="14">
        <f>F1053*SUMIFS(BD1052:BD1090,B1052:B1090,B1053-in_choti_months)*in_choti_renew*in_choti_ticket</f>
        <v/>
      </c>
      <c r="BF1053" s="40">
        <f>BF1052*(1-IF(B1052&gt;=in_marketplace_from,d_hz_nps*G1052,0))</f>
        <v/>
      </c>
      <c r="BG1053" s="14">
        <f>F1053*BF1053*IF(B1053&gt;=in_marketplace_from,d_hz_nps*G1053,0)*in_nps_ticket*in_nps_comm</f>
        <v/>
      </c>
      <c r="BH1053" s="40">
        <f>BH1052*(1-IF(B1052&gt;=in_marketplace_from,d_hz_gold*G1052,0))</f>
        <v/>
      </c>
      <c r="BI1053" s="40">
        <f>BI1052*d_rho_gold+BH1053*IF(B1053&gt;=in_marketplace_from,d_hz_gold*G1053,0)</f>
        <v/>
      </c>
      <c r="BJ1053" s="14">
        <f>F1053*BI1053*in_gold_ticket*in_gold_comm</f>
        <v/>
      </c>
      <c r="BK1053" s="40">
        <f>BK1052*(1-IF(B1052&gt;=in_marketplace_from,d_hz_fd*G1052,0))</f>
        <v/>
      </c>
      <c r="BL1053" s="14">
        <f>F1053*BK1053*IF(B1053&gt;=in_marketplace_from,d_hz_fd*G1053,0)*in_fd_ticket*in_fd_comm</f>
        <v/>
      </c>
      <c r="BM1053" s="40">
        <f>BM1052*(1-IF(B1052&gt;=in_marketplace_from,d_hz_recharge*G1052,0))</f>
        <v/>
      </c>
      <c r="BN1053" s="40">
        <f>BN1052*d_rho_recharge+BM1053*IF(B1053&gt;=in_marketplace_from,d_hz_recharge*G1053,0)</f>
        <v/>
      </c>
      <c r="BO1053" s="14">
        <f>F1053*BN1053*in_recharge_ticket*in_recharge_comm/12</f>
        <v/>
      </c>
      <c r="BP1053" s="40">
        <f>BP1052*(1-IF(B1052&gt;=in_marketplace_from,d_hz_bills*G1052,0))</f>
        <v/>
      </c>
      <c r="BQ1053" s="40">
        <f>BQ1052*d_rho_bills+BP1053*IF(B1053&gt;=in_marketplace_from,d_hz_bills*G1053,0)</f>
        <v/>
      </c>
      <c r="BR1053" s="14">
        <f>F1053*BQ1053*in_bills_ticket*in_bills_comm/12</f>
        <v/>
      </c>
      <c r="BS1053" s="40">
        <f>BS1052*(1-IF(B1052&gt;=in_marketplace_from,d_hz_loan_gold*G1052,0))</f>
        <v/>
      </c>
      <c r="BT1053" s="14">
        <f>F1053*BS1053*IF(B1053&gt;=in_marketplace_from,d_hz_loan_gold*G1053,0)*in_loan_gold_ticket*in_loan_gold_comm</f>
        <v/>
      </c>
      <c r="BU1053" s="40">
        <f>BU1052*(1-IF(B1052&gt;=in_marketplace_from,d_hz_loan_cd*G1052,0))</f>
        <v/>
      </c>
      <c r="BV1053" s="14">
        <f>F1053*BU1053*IF(B1053&gt;=in_marketplace_from,d_hz_loan_cd*G1053,0)*in_loan_cd_ticket*in_loan_cd_comm</f>
        <v/>
      </c>
      <c r="BW1053" s="40">
        <f>BW1052*(1-IF(B1052&gt;=in_marketplace_from,d_hz_loan_vehicle*G1052,0))</f>
        <v/>
      </c>
      <c r="BX1053" s="14">
        <f>F1053*BW1053*IF(B1053&gt;=in_marketplace_from,d_hz_loan_vehicle*G1053,0)*in_loan_vehicle_ticket*in_loan_vehicle_comm</f>
        <v/>
      </c>
      <c r="BY1053" s="40">
        <f>BY1052*(1-IF(B1052&gt;=in_marketplace_from,d_hz_loan_home*G1052,0)*BZ1052)</f>
        <v/>
      </c>
      <c r="BZ1053" s="11">
        <f>MIN(in_approval_cap,in_loan_home_approval*INDEX('Age profile'!$O$2:$O$61,B1053)*(1+in_approval_growth)^(D1053-1))</f>
        <v/>
      </c>
      <c r="CA1053" s="14">
        <f>F1053*BY1053*IF(B1053&gt;=in_marketplace_from,d_hz_loan_home*G1053,0)*BZ1053*in_loan_home_ticket*in_loan_home_comm</f>
        <v/>
      </c>
      <c r="CB1053" s="40">
        <f>CB1052*(1-IF(B1052&gt;=in_marketplace_from,d_hz_loan_lap*G1052,0)*CC1052)</f>
        <v/>
      </c>
      <c r="CC1053" s="11">
        <f>MIN(in_approval_cap,in_loan_lap_approval*INDEX('Age profile'!$O$2:$O$61,B1053)*(1+in_approval_growth)^(D1053-1))</f>
        <v/>
      </c>
      <c r="CD1053" s="14">
        <f>F1053*CB1053*IF(B1053&gt;=in_marketplace_from,d_hz_loan_lap*G1053,0)*CC1053*in_loan_lap_ticket*in_loan_lap_comm</f>
        <v/>
      </c>
      <c r="CE1053" s="14">
        <f>AA1053+AB1053+AC1053+AD1053+AG1053+AJ1053+AM1053+AP1053+AS1053+AU1053+AX1053+BB1053+BE1053+BG1053+BJ1053+BL1053+BO1053+BR1053+BT1053+BV1053+BX1053+CA1053+CD1053</f>
        <v/>
      </c>
    </row>
    <row r="1054">
      <c r="A1054" s="39" t="n">
        <v>22</v>
      </c>
      <c r="B1054" s="39" t="n">
        <v>3</v>
      </c>
      <c r="C1054" s="39">
        <f>A1054+B1054-1</f>
        <v/>
      </c>
      <c r="D1054" s="39">
        <f>INT((C1054-1)/12)+1</f>
        <v/>
      </c>
      <c r="E1054" s="44">
        <f>INDEX(Monthly!$B$2:$B$61,A1054)</f>
        <v/>
      </c>
      <c r="F1054" s="44">
        <f>E1054*INDEX('Age profile'!$B$2:$B$61,B1054)</f>
        <v/>
      </c>
      <c r="G1054" s="45">
        <f>MIN(in_takeup_cap,INDEX('Age profile'!$N$2:$N$61,B1054)*(1+in_takeup_growth)^(D1054-1))</f>
        <v/>
      </c>
      <c r="H1054" s="11">
        <f>MIN(in_approval_cap,in_approved_first*INDEX('Age profile'!$O$2:$O$61,B1054)*(1+in_approval_growth)^(D1054-1))</f>
        <v/>
      </c>
      <c r="I1054" s="45">
        <f>G1054*MIN(in_takeup_cap,INDEX('Age profile'!$O$2:$O$61,B1054)*(1+in_approval_growth)^(D1054-1))</f>
        <v/>
      </c>
      <c r="J1054" s="40">
        <f>(J1053-L1053)*F1054/F1053</f>
        <v/>
      </c>
      <c r="K1054" s="40">
        <f>(K1053-M1053)*F1054/F1053+SUMIFS(O1052:O1053,B1052:B1053,B1054-1-d_T)*F1054</f>
        <v/>
      </c>
      <c r="L1054" s="40">
        <f>IF(B1054&gt;=in_marketplace_from,J1054*d_hz*G1054*in_eligible*H1054,0)</f>
        <v/>
      </c>
      <c r="M1054" s="40">
        <f>IF(B1054&gt;=in_marketplace_from,K1054*d_hz*G1054*in_eligible*in_approved_repeat,0)</f>
        <v/>
      </c>
      <c r="N1054" s="40">
        <f>L1054+M1054</f>
        <v/>
      </c>
      <c r="O1054" s="46">
        <f>N1054/F1054</f>
        <v/>
      </c>
      <c r="P1054" s="40">
        <f>F1054-J1054-K1054</f>
        <v/>
      </c>
      <c r="Q1054" s="40">
        <f>IF(B1054&gt;=in_marketplace_from,(J1054+K1054)*d_hz*G1054,0)</f>
        <v/>
      </c>
      <c r="R1054" s="40">
        <f>SUMIFS(N1052:N1090,B1052:B1090,"&gt;="&amp;(B1054-d_T),B1052:B1090,"&lt;="&amp;(B1054-1))</f>
        <v/>
      </c>
      <c r="S1054" s="46">
        <f>(1-d_u)*S1053+IF(d_T&gt;in_topup_lag,SUMIFS(O1052:O1090,B1052:B1090,B1054-in_topup_lag)-d_udrop*SUMIFS(O1052:O1090,B1052:B1090,B1054-d_T),0)</f>
        <v/>
      </c>
      <c r="T1054" s="40">
        <f>F1054*d_u*S1054</f>
        <v/>
      </c>
      <c r="U1054" s="9">
        <f>L1054*in_ticket+M1054*d_rep_ticket</f>
        <v/>
      </c>
      <c r="V1054" s="9">
        <f>U1054+T1054*d_topup_amt</f>
        <v/>
      </c>
      <c r="W1054" s="40">
        <f>N1054+T1054*d_topup_ratio</f>
        <v/>
      </c>
      <c r="X1054" s="40">
        <f>SUMIFS(W1052:W1090,B1052:B1090,B1054-in_dpd_lag)*d_cured</f>
        <v/>
      </c>
      <c r="Y1054" s="40">
        <f>SUMIFS(W1052:W1090,B1052:B1090,B1054-in_rec_lag)*d_recd</f>
        <v/>
      </c>
      <c r="Z1054" s="40">
        <f>IF(AND(B1054&gt;=in_marketplace_from,B1054&lt;in_marketplace_from+in_card_months),in_card_share/in_card_months*F1054*I1054,IF(AND(B1054&gt;=in_marketplace_from+in_card_months,B1054&lt;in_marketplace_from+2*in_card_months),in_card_share*d_card_rem/in_card_months*F1054*MIN(in_takeup_cap,(1+in_takeup_growth)^(D1054-1))*MIN(in_takeup_cap,(1+in_approval_growth)^(D1054-1)),0))</f>
        <v/>
      </c>
      <c r="AA1054" s="14">
        <f>V1054*in_fee*(1-in_taken_back)</f>
        <v/>
      </c>
      <c r="AB1054" s="14">
        <f>SUMIFS(W1052:W1090,B1052:B1090,B1054-in_dpd_lag)*d_dpd</f>
        <v/>
      </c>
      <c r="AC1054" s="14">
        <f>SUMIFS(W1052:W1090,B1052:B1090,B1054-in_rec_lag)*d_rec</f>
        <v/>
      </c>
      <c r="AD1054" s="14">
        <f>Z1054*in_card_fee</f>
        <v/>
      </c>
      <c r="AE1054" s="40">
        <f>AE1053*(1-IF(B1053&gt;=in_marketplace_from,d_hz_hlth_small*G1053,0))</f>
        <v/>
      </c>
      <c r="AF1054" s="46">
        <f>AE1054*IF(B1054&gt;=in_marketplace_from,d_hz_hlth_small*G1054,0)</f>
        <v/>
      </c>
      <c r="AG1054" s="14">
        <f>F1054*AF1054*in_hlth_small_ticket*in_hlth_small_comm*in_ins_partner_share+F1054*in_hlth_small_ticket*in_hlth_small_renew_comm*in_ins_partner_share*(in_hlth_small_renew^1*SUMIFS(AF1052:AF1090,B1052:B1090,B1054-12)+in_hlth_small_renew^2*SUMIFS(AF1052:AF1090,B1052:B1090,B1054-24)+in_hlth_small_renew^3*SUMIFS(AF1052:AF1090,B1052:B1090,B1054-36)+in_hlth_small_renew^4*SUMIFS(AF1052:AF1090,B1052:B1090,B1054-48))</f>
        <v/>
      </c>
      <c r="AH1054" s="40">
        <f>AH1053*(1-IF(B1053&gt;=in_marketplace_from,d_hz_hlth_family*G1053,0))</f>
        <v/>
      </c>
      <c r="AI1054" s="46">
        <f>AH1054*IF(B1054&gt;=in_marketplace_from,d_hz_hlth_family*G1054,0)</f>
        <v/>
      </c>
      <c r="AJ1054" s="14">
        <f>F1054*AI1054*in_hlth_family_ticket*in_hlth_family_comm*in_ins_partner_share+F1054*in_hlth_family_ticket*in_hlth_family_renew_comm*in_ins_partner_share*(in_hlth_family_renew^1*SUMIFS(AI1052:AI1090,B1052:B1090,B1054-12)+in_hlth_family_renew^2*SUMIFS(AI1052:AI1090,B1052:B1090,B1054-24)+in_hlth_family_renew^3*SUMIFS(AI1052:AI1090,B1052:B1090,B1054-36)+in_hlth_family_renew^4*SUMIFS(AI1052:AI1090,B1052:B1090,B1054-48))</f>
        <v/>
      </c>
      <c r="AK1054" s="40">
        <f>AK1053*(1-IF(B1053&gt;=in_marketplace_from,d_hz_life_term*G1053,0))</f>
        <v/>
      </c>
      <c r="AL1054" s="46">
        <f>AK1054*IF(B1054&gt;=in_marketplace_from,d_hz_life_term*G1054,0)</f>
        <v/>
      </c>
      <c r="AM1054" s="14">
        <f>F1054*AL1054*in_life_term_ticket*in_life_term_comm*in_ins_partner_share+F1054*in_life_term_ticket*in_life_term_renew_comm*in_ins_partner_share*(in_life_term_renew^1*SUMIFS(AL1052:AL1090,B1052:B1090,B1054-12)+in_life_term_renew^2*SUMIFS(AL1052:AL1090,B1052:B1090,B1054-24)+in_life_term_renew^3*SUMIFS(AL1052:AL1090,B1052:B1090,B1054-36)+in_life_term_renew^4*SUMIFS(AL1052:AL1090,B1052:B1090,B1054-48))</f>
        <v/>
      </c>
      <c r="AN1054" s="40">
        <f>AN1053*(1-IF(B1053&gt;=in_marketplace_from,d_hz_accident*G1053,0))</f>
        <v/>
      </c>
      <c r="AO1054" s="46">
        <f>AN1054*IF(B1054&gt;=in_marketplace_from,d_hz_accident*G1054,0)</f>
        <v/>
      </c>
      <c r="AP1054" s="14">
        <f>F1054*AO1054*in_accident_ticket*in_accident_comm*in_ins_partner_share+F1054*in_accident_ticket*in_accident_renew_comm*in_ins_partner_share*(in_accident_renew^1*SUMIFS(AO1052:AO1090,B1052:B1090,B1054-12)+in_accident_renew^2*SUMIFS(AO1052:AO1090,B1052:B1090,B1054-24)+in_accident_renew^3*SUMIFS(AO1052:AO1090,B1052:B1090,B1054-36)+in_accident_renew^4*SUMIFS(AO1052:AO1090,B1052:B1090,B1054-48))</f>
        <v/>
      </c>
      <c r="AQ1054" s="40">
        <f>AQ1053*(1-IF(B1053&gt;=in_marketplace_from,d_hz_two_wheeler*G1053,0))</f>
        <v/>
      </c>
      <c r="AR1054" s="46">
        <f>AQ1054*IF(B1054&gt;=in_marketplace_from,d_hz_two_wheeler*G1054,0)</f>
        <v/>
      </c>
      <c r="AS1054" s="14">
        <f>F1054*AR1054*in_two_wheeler_ticket*in_two_wheeler_comm*in_ins_partner_share+F1054*in_two_wheeler_ticket*in_two_wheeler_comm*in_ins_partner_share*(in_two_wheeler_renew^1*SUMIFS(AR1052:AR1090,B1052:B1090,B1054-12)+in_two_wheeler_renew^2*SUMIFS(AR1052:AR1090,B1052:B1090,B1054-24)+in_two_wheeler_renew^3*SUMIFS(AR1052:AR1090,B1052:B1090,B1054-36)+in_two_wheeler_renew^4*SUMIFS(AR1052:AR1090,B1052:B1090,B1054-48))</f>
        <v/>
      </c>
      <c r="AT1054" s="40">
        <f>AT1053*(1-IF(B1053&gt;=in_marketplace_from,d_hz_device*G1053,0))</f>
        <v/>
      </c>
      <c r="AU1054" s="14">
        <f>F1054*AT1054*IF(B1054&gt;=in_marketplace_from,d_hz_device*G1054,0)*in_device_ticket*in_device_comm*in_ins_partner_share</f>
        <v/>
      </c>
      <c r="AV1054" s="40">
        <f>AV1053*(1-IF(B1053&gt;=in_marketplace_from,d_hz_shop*G1053,0))</f>
        <v/>
      </c>
      <c r="AW1054" s="46">
        <f>AV1054*IF(B1054&gt;=in_marketplace_from,d_hz_shop*G1054,0)</f>
        <v/>
      </c>
      <c r="AX1054" s="14">
        <f>F1054*AW1054*in_shop_ticket*in_shop_comm*in_ins_partner_share+F1054*in_shop_ticket*in_shop_renew_comm*in_ins_partner_share*(in_shop_renew^1*SUMIFS(AW1052:AW1090,B1052:B1090,B1054-12)+in_shop_renew^2*SUMIFS(AW1052:AW1090,B1052:B1090,B1054-24)+in_shop_renew^3*SUMIFS(AW1052:AW1090,B1052:B1090,B1054-36)+in_shop_renew^4*SUMIFS(AW1052:AW1090,B1052:B1090,B1054-48))</f>
        <v/>
      </c>
      <c r="AY1054" s="40">
        <f>AY1053*(1-IF(B1053&gt;=in_marketplace_from,d_hz_sip*G1053,0))</f>
        <v/>
      </c>
      <c r="AZ1054" s="40">
        <f>AZ1053*d_rho_sip+AY1054*IF(B1054&gt;=in_marketplace_from,d_hz_sip*G1054,0)</f>
        <v/>
      </c>
      <c r="BA1054" s="40">
        <f>d_rho_sip*(BA1053+AZ1053)</f>
        <v/>
      </c>
      <c r="BB1054" s="14">
        <f>F1054*in_sip_ticket*(BA1054+0.5*AZ1054)*in_sip_comm/12</f>
        <v/>
      </c>
      <c r="BC1054" s="40">
        <f>BC1053*(1-IF(B1053&gt;=in_marketplace_from,d_hz_choti*G1053,0))</f>
        <v/>
      </c>
      <c r="BD1054" s="46">
        <f>BC1054*IF(B1054&gt;=in_marketplace_from,d_hz_choti*G1054,0)</f>
        <v/>
      </c>
      <c r="BE1054" s="14">
        <f>F1054*SUMIFS(BD1052:BD1090,B1052:B1090,B1054-in_choti_months)*in_choti_renew*in_choti_ticket</f>
        <v/>
      </c>
      <c r="BF1054" s="40">
        <f>BF1053*(1-IF(B1053&gt;=in_marketplace_from,d_hz_nps*G1053,0))</f>
        <v/>
      </c>
      <c r="BG1054" s="14">
        <f>F1054*BF1054*IF(B1054&gt;=in_marketplace_from,d_hz_nps*G1054,0)*in_nps_ticket*in_nps_comm</f>
        <v/>
      </c>
      <c r="BH1054" s="40">
        <f>BH1053*(1-IF(B1053&gt;=in_marketplace_from,d_hz_gold*G1053,0))</f>
        <v/>
      </c>
      <c r="BI1054" s="40">
        <f>BI1053*d_rho_gold+BH1054*IF(B1054&gt;=in_marketplace_from,d_hz_gold*G1054,0)</f>
        <v/>
      </c>
      <c r="BJ1054" s="14">
        <f>F1054*BI1054*in_gold_ticket*in_gold_comm</f>
        <v/>
      </c>
      <c r="BK1054" s="40">
        <f>BK1053*(1-IF(B1053&gt;=in_marketplace_from,d_hz_fd*G1053,0))</f>
        <v/>
      </c>
      <c r="BL1054" s="14">
        <f>F1054*BK1054*IF(B1054&gt;=in_marketplace_from,d_hz_fd*G1054,0)*in_fd_ticket*in_fd_comm</f>
        <v/>
      </c>
      <c r="BM1054" s="40">
        <f>BM1053*(1-IF(B1053&gt;=in_marketplace_from,d_hz_recharge*G1053,0))</f>
        <v/>
      </c>
      <c r="BN1054" s="40">
        <f>BN1053*d_rho_recharge+BM1054*IF(B1054&gt;=in_marketplace_from,d_hz_recharge*G1054,0)</f>
        <v/>
      </c>
      <c r="BO1054" s="14">
        <f>F1054*BN1054*in_recharge_ticket*in_recharge_comm/12</f>
        <v/>
      </c>
      <c r="BP1054" s="40">
        <f>BP1053*(1-IF(B1053&gt;=in_marketplace_from,d_hz_bills*G1053,0))</f>
        <v/>
      </c>
      <c r="BQ1054" s="40">
        <f>BQ1053*d_rho_bills+BP1054*IF(B1054&gt;=in_marketplace_from,d_hz_bills*G1054,0)</f>
        <v/>
      </c>
      <c r="BR1054" s="14">
        <f>F1054*BQ1054*in_bills_ticket*in_bills_comm/12</f>
        <v/>
      </c>
      <c r="BS1054" s="40">
        <f>BS1053*(1-IF(B1053&gt;=in_marketplace_from,d_hz_loan_gold*G1053,0))</f>
        <v/>
      </c>
      <c r="BT1054" s="14">
        <f>F1054*BS1054*IF(B1054&gt;=in_marketplace_from,d_hz_loan_gold*G1054,0)*in_loan_gold_ticket*in_loan_gold_comm</f>
        <v/>
      </c>
      <c r="BU1054" s="40">
        <f>BU1053*(1-IF(B1053&gt;=in_marketplace_from,d_hz_loan_cd*G1053,0))</f>
        <v/>
      </c>
      <c r="BV1054" s="14">
        <f>F1054*BU1054*IF(B1054&gt;=in_marketplace_from,d_hz_loan_cd*G1054,0)*in_loan_cd_ticket*in_loan_cd_comm</f>
        <v/>
      </c>
      <c r="BW1054" s="40">
        <f>BW1053*(1-IF(B1053&gt;=in_marketplace_from,d_hz_loan_vehicle*G1053,0))</f>
        <v/>
      </c>
      <c r="BX1054" s="14">
        <f>F1054*BW1054*IF(B1054&gt;=in_marketplace_from,d_hz_loan_vehicle*G1054,0)*in_loan_vehicle_ticket*in_loan_vehicle_comm</f>
        <v/>
      </c>
      <c r="BY1054" s="40">
        <f>BY1053*(1-IF(B1053&gt;=in_marketplace_from,d_hz_loan_home*G1053,0)*BZ1053)</f>
        <v/>
      </c>
      <c r="BZ1054" s="11">
        <f>MIN(in_approval_cap,in_loan_home_approval*INDEX('Age profile'!$O$2:$O$61,B1054)*(1+in_approval_growth)^(D1054-1))</f>
        <v/>
      </c>
      <c r="CA1054" s="14">
        <f>F1054*BY1054*IF(B1054&gt;=in_marketplace_from,d_hz_loan_home*G1054,0)*BZ1054*in_loan_home_ticket*in_loan_home_comm</f>
        <v/>
      </c>
      <c r="CB1054" s="40">
        <f>CB1053*(1-IF(B1053&gt;=in_marketplace_from,d_hz_loan_lap*G1053,0)*CC1053)</f>
        <v/>
      </c>
      <c r="CC1054" s="11">
        <f>MIN(in_approval_cap,in_loan_lap_approval*INDEX('Age profile'!$O$2:$O$61,B1054)*(1+in_approval_growth)^(D1054-1))</f>
        <v/>
      </c>
      <c r="CD1054" s="14">
        <f>F1054*CB1054*IF(B1054&gt;=in_marketplace_from,d_hz_loan_lap*G1054,0)*CC1054*in_loan_lap_ticket*in_loan_lap_comm</f>
        <v/>
      </c>
      <c r="CE1054" s="14">
        <f>AA1054+AB1054+AC1054+AD1054+AG1054+AJ1054+AM1054+AP1054+AS1054+AU1054+AX1054+BB1054+BE1054+BG1054+BJ1054+BL1054+BO1054+BR1054+BT1054+BV1054+BX1054+CA1054+CD1054</f>
        <v/>
      </c>
    </row>
    <row r="1055">
      <c r="A1055" s="39" t="n">
        <v>22</v>
      </c>
      <c r="B1055" s="39" t="n">
        <v>4</v>
      </c>
      <c r="C1055" s="39">
        <f>A1055+B1055-1</f>
        <v/>
      </c>
      <c r="D1055" s="39">
        <f>INT((C1055-1)/12)+1</f>
        <v/>
      </c>
      <c r="E1055" s="44">
        <f>INDEX(Monthly!$B$2:$B$61,A1055)</f>
        <v/>
      </c>
      <c r="F1055" s="44">
        <f>E1055*INDEX('Age profile'!$B$2:$B$61,B1055)</f>
        <v/>
      </c>
      <c r="G1055" s="45">
        <f>MIN(in_takeup_cap,INDEX('Age profile'!$N$2:$N$61,B1055)*(1+in_takeup_growth)^(D1055-1))</f>
        <v/>
      </c>
      <c r="H1055" s="11">
        <f>MIN(in_approval_cap,in_approved_first*INDEX('Age profile'!$O$2:$O$61,B1055)*(1+in_approval_growth)^(D1055-1))</f>
        <v/>
      </c>
      <c r="I1055" s="45">
        <f>G1055*MIN(in_takeup_cap,INDEX('Age profile'!$O$2:$O$61,B1055)*(1+in_approval_growth)^(D1055-1))</f>
        <v/>
      </c>
      <c r="J1055" s="40">
        <f>(J1054-L1054)*F1055/F1054</f>
        <v/>
      </c>
      <c r="K1055" s="40">
        <f>(K1054-M1054)*F1055/F1054+SUMIFS(O1052:O1054,B1052:B1054,B1055-1-d_T)*F1055</f>
        <v/>
      </c>
      <c r="L1055" s="40">
        <f>IF(B1055&gt;=in_marketplace_from,J1055*d_hz*G1055*in_eligible*H1055,0)</f>
        <v/>
      </c>
      <c r="M1055" s="40">
        <f>IF(B1055&gt;=in_marketplace_from,K1055*d_hz*G1055*in_eligible*in_approved_repeat,0)</f>
        <v/>
      </c>
      <c r="N1055" s="40">
        <f>L1055+M1055</f>
        <v/>
      </c>
      <c r="O1055" s="46">
        <f>N1055/F1055</f>
        <v/>
      </c>
      <c r="P1055" s="40">
        <f>F1055-J1055-K1055</f>
        <v/>
      </c>
      <c r="Q1055" s="40">
        <f>IF(B1055&gt;=in_marketplace_from,(J1055+K1055)*d_hz*G1055,0)</f>
        <v/>
      </c>
      <c r="R1055" s="40">
        <f>SUMIFS(N1052:N1090,B1052:B1090,"&gt;="&amp;(B1055-d_T),B1052:B1090,"&lt;="&amp;(B1055-1))</f>
        <v/>
      </c>
      <c r="S1055" s="46">
        <f>(1-d_u)*S1054+IF(d_T&gt;in_topup_lag,SUMIFS(O1052:O1090,B1052:B1090,B1055-in_topup_lag)-d_udrop*SUMIFS(O1052:O1090,B1052:B1090,B1055-d_T),0)</f>
        <v/>
      </c>
      <c r="T1055" s="40">
        <f>F1055*d_u*S1055</f>
        <v/>
      </c>
      <c r="U1055" s="9">
        <f>L1055*in_ticket+M1055*d_rep_ticket</f>
        <v/>
      </c>
      <c r="V1055" s="9">
        <f>U1055+T1055*d_topup_amt</f>
        <v/>
      </c>
      <c r="W1055" s="40">
        <f>N1055+T1055*d_topup_ratio</f>
        <v/>
      </c>
      <c r="X1055" s="40">
        <f>SUMIFS(W1052:W1090,B1052:B1090,B1055-in_dpd_lag)*d_cured</f>
        <v/>
      </c>
      <c r="Y1055" s="40">
        <f>SUMIFS(W1052:W1090,B1052:B1090,B1055-in_rec_lag)*d_recd</f>
        <v/>
      </c>
      <c r="Z1055" s="40">
        <f>IF(AND(B1055&gt;=in_marketplace_from,B1055&lt;in_marketplace_from+in_card_months),in_card_share/in_card_months*F1055*I1055,IF(AND(B1055&gt;=in_marketplace_from+in_card_months,B1055&lt;in_marketplace_from+2*in_card_months),in_card_share*d_card_rem/in_card_months*F1055*MIN(in_takeup_cap,(1+in_takeup_growth)^(D1055-1))*MIN(in_takeup_cap,(1+in_approval_growth)^(D1055-1)),0))</f>
        <v/>
      </c>
      <c r="AA1055" s="14">
        <f>V1055*in_fee*(1-in_taken_back)</f>
        <v/>
      </c>
      <c r="AB1055" s="14">
        <f>SUMIFS(W1052:W1090,B1052:B1090,B1055-in_dpd_lag)*d_dpd</f>
        <v/>
      </c>
      <c r="AC1055" s="14">
        <f>SUMIFS(W1052:W1090,B1052:B1090,B1055-in_rec_lag)*d_rec</f>
        <v/>
      </c>
      <c r="AD1055" s="14">
        <f>Z1055*in_card_fee</f>
        <v/>
      </c>
      <c r="AE1055" s="40">
        <f>AE1054*(1-IF(B1054&gt;=in_marketplace_from,d_hz_hlth_small*G1054,0))</f>
        <v/>
      </c>
      <c r="AF1055" s="46">
        <f>AE1055*IF(B1055&gt;=in_marketplace_from,d_hz_hlth_small*G1055,0)</f>
        <v/>
      </c>
      <c r="AG1055" s="14">
        <f>F1055*AF1055*in_hlth_small_ticket*in_hlth_small_comm*in_ins_partner_share+F1055*in_hlth_small_ticket*in_hlth_small_renew_comm*in_ins_partner_share*(in_hlth_small_renew^1*SUMIFS(AF1052:AF1090,B1052:B1090,B1055-12)+in_hlth_small_renew^2*SUMIFS(AF1052:AF1090,B1052:B1090,B1055-24)+in_hlth_small_renew^3*SUMIFS(AF1052:AF1090,B1052:B1090,B1055-36)+in_hlth_small_renew^4*SUMIFS(AF1052:AF1090,B1052:B1090,B1055-48))</f>
        <v/>
      </c>
      <c r="AH1055" s="40">
        <f>AH1054*(1-IF(B1054&gt;=in_marketplace_from,d_hz_hlth_family*G1054,0))</f>
        <v/>
      </c>
      <c r="AI1055" s="46">
        <f>AH1055*IF(B1055&gt;=in_marketplace_from,d_hz_hlth_family*G1055,0)</f>
        <v/>
      </c>
      <c r="AJ1055" s="14">
        <f>F1055*AI1055*in_hlth_family_ticket*in_hlth_family_comm*in_ins_partner_share+F1055*in_hlth_family_ticket*in_hlth_family_renew_comm*in_ins_partner_share*(in_hlth_family_renew^1*SUMIFS(AI1052:AI1090,B1052:B1090,B1055-12)+in_hlth_family_renew^2*SUMIFS(AI1052:AI1090,B1052:B1090,B1055-24)+in_hlth_family_renew^3*SUMIFS(AI1052:AI1090,B1052:B1090,B1055-36)+in_hlth_family_renew^4*SUMIFS(AI1052:AI1090,B1052:B1090,B1055-48))</f>
        <v/>
      </c>
      <c r="AK1055" s="40">
        <f>AK1054*(1-IF(B1054&gt;=in_marketplace_from,d_hz_life_term*G1054,0))</f>
        <v/>
      </c>
      <c r="AL1055" s="46">
        <f>AK1055*IF(B1055&gt;=in_marketplace_from,d_hz_life_term*G1055,0)</f>
        <v/>
      </c>
      <c r="AM1055" s="14">
        <f>F1055*AL1055*in_life_term_ticket*in_life_term_comm*in_ins_partner_share+F1055*in_life_term_ticket*in_life_term_renew_comm*in_ins_partner_share*(in_life_term_renew^1*SUMIFS(AL1052:AL1090,B1052:B1090,B1055-12)+in_life_term_renew^2*SUMIFS(AL1052:AL1090,B1052:B1090,B1055-24)+in_life_term_renew^3*SUMIFS(AL1052:AL1090,B1052:B1090,B1055-36)+in_life_term_renew^4*SUMIFS(AL1052:AL1090,B1052:B1090,B1055-48))</f>
        <v/>
      </c>
      <c r="AN1055" s="40">
        <f>AN1054*(1-IF(B1054&gt;=in_marketplace_from,d_hz_accident*G1054,0))</f>
        <v/>
      </c>
      <c r="AO1055" s="46">
        <f>AN1055*IF(B1055&gt;=in_marketplace_from,d_hz_accident*G1055,0)</f>
        <v/>
      </c>
      <c r="AP1055" s="14">
        <f>F1055*AO1055*in_accident_ticket*in_accident_comm*in_ins_partner_share+F1055*in_accident_ticket*in_accident_renew_comm*in_ins_partner_share*(in_accident_renew^1*SUMIFS(AO1052:AO1090,B1052:B1090,B1055-12)+in_accident_renew^2*SUMIFS(AO1052:AO1090,B1052:B1090,B1055-24)+in_accident_renew^3*SUMIFS(AO1052:AO1090,B1052:B1090,B1055-36)+in_accident_renew^4*SUMIFS(AO1052:AO1090,B1052:B1090,B1055-48))</f>
        <v/>
      </c>
      <c r="AQ1055" s="40">
        <f>AQ1054*(1-IF(B1054&gt;=in_marketplace_from,d_hz_two_wheeler*G1054,0))</f>
        <v/>
      </c>
      <c r="AR1055" s="46">
        <f>AQ1055*IF(B1055&gt;=in_marketplace_from,d_hz_two_wheeler*G1055,0)</f>
        <v/>
      </c>
      <c r="AS1055" s="14">
        <f>F1055*AR1055*in_two_wheeler_ticket*in_two_wheeler_comm*in_ins_partner_share+F1055*in_two_wheeler_ticket*in_two_wheeler_comm*in_ins_partner_share*(in_two_wheeler_renew^1*SUMIFS(AR1052:AR1090,B1052:B1090,B1055-12)+in_two_wheeler_renew^2*SUMIFS(AR1052:AR1090,B1052:B1090,B1055-24)+in_two_wheeler_renew^3*SUMIFS(AR1052:AR1090,B1052:B1090,B1055-36)+in_two_wheeler_renew^4*SUMIFS(AR1052:AR1090,B1052:B1090,B1055-48))</f>
        <v/>
      </c>
      <c r="AT1055" s="40">
        <f>AT1054*(1-IF(B1054&gt;=in_marketplace_from,d_hz_device*G1054,0))</f>
        <v/>
      </c>
      <c r="AU1055" s="14">
        <f>F1055*AT1055*IF(B1055&gt;=in_marketplace_from,d_hz_device*G1055,0)*in_device_ticket*in_device_comm*in_ins_partner_share</f>
        <v/>
      </c>
      <c r="AV1055" s="40">
        <f>AV1054*(1-IF(B1054&gt;=in_marketplace_from,d_hz_shop*G1054,0))</f>
        <v/>
      </c>
      <c r="AW1055" s="46">
        <f>AV1055*IF(B1055&gt;=in_marketplace_from,d_hz_shop*G1055,0)</f>
        <v/>
      </c>
      <c r="AX1055" s="14">
        <f>F1055*AW1055*in_shop_ticket*in_shop_comm*in_ins_partner_share+F1055*in_shop_ticket*in_shop_renew_comm*in_ins_partner_share*(in_shop_renew^1*SUMIFS(AW1052:AW1090,B1052:B1090,B1055-12)+in_shop_renew^2*SUMIFS(AW1052:AW1090,B1052:B1090,B1055-24)+in_shop_renew^3*SUMIFS(AW1052:AW1090,B1052:B1090,B1055-36)+in_shop_renew^4*SUMIFS(AW1052:AW1090,B1052:B1090,B1055-48))</f>
        <v/>
      </c>
      <c r="AY1055" s="40">
        <f>AY1054*(1-IF(B1054&gt;=in_marketplace_from,d_hz_sip*G1054,0))</f>
        <v/>
      </c>
      <c r="AZ1055" s="40">
        <f>AZ1054*d_rho_sip+AY1055*IF(B1055&gt;=in_marketplace_from,d_hz_sip*G1055,0)</f>
        <v/>
      </c>
      <c r="BA1055" s="40">
        <f>d_rho_sip*(BA1054+AZ1054)</f>
        <v/>
      </c>
      <c r="BB1055" s="14">
        <f>F1055*in_sip_ticket*(BA1055+0.5*AZ1055)*in_sip_comm/12</f>
        <v/>
      </c>
      <c r="BC1055" s="40">
        <f>BC1054*(1-IF(B1054&gt;=in_marketplace_from,d_hz_choti*G1054,0))</f>
        <v/>
      </c>
      <c r="BD1055" s="46">
        <f>BC1055*IF(B1055&gt;=in_marketplace_from,d_hz_choti*G1055,0)</f>
        <v/>
      </c>
      <c r="BE1055" s="14">
        <f>F1055*SUMIFS(BD1052:BD1090,B1052:B1090,B1055-in_choti_months)*in_choti_renew*in_choti_ticket</f>
        <v/>
      </c>
      <c r="BF1055" s="40">
        <f>BF1054*(1-IF(B1054&gt;=in_marketplace_from,d_hz_nps*G1054,0))</f>
        <v/>
      </c>
      <c r="BG1055" s="14">
        <f>F1055*BF1055*IF(B1055&gt;=in_marketplace_from,d_hz_nps*G1055,0)*in_nps_ticket*in_nps_comm</f>
        <v/>
      </c>
      <c r="BH1055" s="40">
        <f>BH1054*(1-IF(B1054&gt;=in_marketplace_from,d_hz_gold*G1054,0))</f>
        <v/>
      </c>
      <c r="BI1055" s="40">
        <f>BI1054*d_rho_gold+BH1055*IF(B1055&gt;=in_marketplace_from,d_hz_gold*G1055,0)</f>
        <v/>
      </c>
      <c r="BJ1055" s="14">
        <f>F1055*BI1055*in_gold_ticket*in_gold_comm</f>
        <v/>
      </c>
      <c r="BK1055" s="40">
        <f>BK1054*(1-IF(B1054&gt;=in_marketplace_from,d_hz_fd*G1054,0))</f>
        <v/>
      </c>
      <c r="BL1055" s="14">
        <f>F1055*BK1055*IF(B1055&gt;=in_marketplace_from,d_hz_fd*G1055,0)*in_fd_ticket*in_fd_comm</f>
        <v/>
      </c>
      <c r="BM1055" s="40">
        <f>BM1054*(1-IF(B1054&gt;=in_marketplace_from,d_hz_recharge*G1054,0))</f>
        <v/>
      </c>
      <c r="BN1055" s="40">
        <f>BN1054*d_rho_recharge+BM1055*IF(B1055&gt;=in_marketplace_from,d_hz_recharge*G1055,0)</f>
        <v/>
      </c>
      <c r="BO1055" s="14">
        <f>F1055*BN1055*in_recharge_ticket*in_recharge_comm/12</f>
        <v/>
      </c>
      <c r="BP1055" s="40">
        <f>BP1054*(1-IF(B1054&gt;=in_marketplace_from,d_hz_bills*G1054,0))</f>
        <v/>
      </c>
      <c r="BQ1055" s="40">
        <f>BQ1054*d_rho_bills+BP1055*IF(B1055&gt;=in_marketplace_from,d_hz_bills*G1055,0)</f>
        <v/>
      </c>
      <c r="BR1055" s="14">
        <f>F1055*BQ1055*in_bills_ticket*in_bills_comm/12</f>
        <v/>
      </c>
      <c r="BS1055" s="40">
        <f>BS1054*(1-IF(B1054&gt;=in_marketplace_from,d_hz_loan_gold*G1054,0))</f>
        <v/>
      </c>
      <c r="BT1055" s="14">
        <f>F1055*BS1055*IF(B1055&gt;=in_marketplace_from,d_hz_loan_gold*G1055,0)*in_loan_gold_ticket*in_loan_gold_comm</f>
        <v/>
      </c>
      <c r="BU1055" s="40">
        <f>BU1054*(1-IF(B1054&gt;=in_marketplace_from,d_hz_loan_cd*G1054,0))</f>
        <v/>
      </c>
      <c r="BV1055" s="14">
        <f>F1055*BU1055*IF(B1055&gt;=in_marketplace_from,d_hz_loan_cd*G1055,0)*in_loan_cd_ticket*in_loan_cd_comm</f>
        <v/>
      </c>
      <c r="BW1055" s="40">
        <f>BW1054*(1-IF(B1054&gt;=in_marketplace_from,d_hz_loan_vehicle*G1054,0))</f>
        <v/>
      </c>
      <c r="BX1055" s="14">
        <f>F1055*BW1055*IF(B1055&gt;=in_marketplace_from,d_hz_loan_vehicle*G1055,0)*in_loan_vehicle_ticket*in_loan_vehicle_comm</f>
        <v/>
      </c>
      <c r="BY1055" s="40">
        <f>BY1054*(1-IF(B1054&gt;=in_marketplace_from,d_hz_loan_home*G1054,0)*BZ1054)</f>
        <v/>
      </c>
      <c r="BZ1055" s="11">
        <f>MIN(in_approval_cap,in_loan_home_approval*INDEX('Age profile'!$O$2:$O$61,B1055)*(1+in_approval_growth)^(D1055-1))</f>
        <v/>
      </c>
      <c r="CA1055" s="14">
        <f>F1055*BY1055*IF(B1055&gt;=in_marketplace_from,d_hz_loan_home*G1055,0)*BZ1055*in_loan_home_ticket*in_loan_home_comm</f>
        <v/>
      </c>
      <c r="CB1055" s="40">
        <f>CB1054*(1-IF(B1054&gt;=in_marketplace_from,d_hz_loan_lap*G1054,0)*CC1054)</f>
        <v/>
      </c>
      <c r="CC1055" s="11">
        <f>MIN(in_approval_cap,in_loan_lap_approval*INDEX('Age profile'!$O$2:$O$61,B1055)*(1+in_approval_growth)^(D1055-1))</f>
        <v/>
      </c>
      <c r="CD1055" s="14">
        <f>F1055*CB1055*IF(B1055&gt;=in_marketplace_from,d_hz_loan_lap*G1055,0)*CC1055*in_loan_lap_ticket*in_loan_lap_comm</f>
        <v/>
      </c>
      <c r="CE1055" s="14">
        <f>AA1055+AB1055+AC1055+AD1055+AG1055+AJ1055+AM1055+AP1055+AS1055+AU1055+AX1055+BB1055+BE1055+BG1055+BJ1055+BL1055+BO1055+BR1055+BT1055+BV1055+BX1055+CA1055+CD1055</f>
        <v/>
      </c>
    </row>
    <row r="1056">
      <c r="A1056" s="39" t="n">
        <v>22</v>
      </c>
      <c r="B1056" s="39" t="n">
        <v>5</v>
      </c>
      <c r="C1056" s="39">
        <f>A1056+B1056-1</f>
        <v/>
      </c>
      <c r="D1056" s="39">
        <f>INT((C1056-1)/12)+1</f>
        <v/>
      </c>
      <c r="E1056" s="44">
        <f>INDEX(Monthly!$B$2:$B$61,A1056)</f>
        <v/>
      </c>
      <c r="F1056" s="44">
        <f>E1056*INDEX('Age profile'!$B$2:$B$61,B1056)</f>
        <v/>
      </c>
      <c r="G1056" s="45">
        <f>MIN(in_takeup_cap,INDEX('Age profile'!$N$2:$N$61,B1056)*(1+in_takeup_growth)^(D1056-1))</f>
        <v/>
      </c>
      <c r="H1056" s="11">
        <f>MIN(in_approval_cap,in_approved_first*INDEX('Age profile'!$O$2:$O$61,B1056)*(1+in_approval_growth)^(D1056-1))</f>
        <v/>
      </c>
      <c r="I1056" s="45">
        <f>G1056*MIN(in_takeup_cap,INDEX('Age profile'!$O$2:$O$61,B1056)*(1+in_approval_growth)^(D1056-1))</f>
        <v/>
      </c>
      <c r="J1056" s="40">
        <f>(J1055-L1055)*F1056/F1055</f>
        <v/>
      </c>
      <c r="K1056" s="40">
        <f>(K1055-M1055)*F1056/F1055+SUMIFS(O1052:O1055,B1052:B1055,B1056-1-d_T)*F1056</f>
        <v/>
      </c>
      <c r="L1056" s="40">
        <f>IF(B1056&gt;=in_marketplace_from,J1056*d_hz*G1056*in_eligible*H1056,0)</f>
        <v/>
      </c>
      <c r="M1056" s="40">
        <f>IF(B1056&gt;=in_marketplace_from,K1056*d_hz*G1056*in_eligible*in_approved_repeat,0)</f>
        <v/>
      </c>
      <c r="N1056" s="40">
        <f>L1056+M1056</f>
        <v/>
      </c>
      <c r="O1056" s="46">
        <f>N1056/F1056</f>
        <v/>
      </c>
      <c r="P1056" s="40">
        <f>F1056-J1056-K1056</f>
        <v/>
      </c>
      <c r="Q1056" s="40">
        <f>IF(B1056&gt;=in_marketplace_from,(J1056+K1056)*d_hz*G1056,0)</f>
        <v/>
      </c>
      <c r="R1056" s="40">
        <f>SUMIFS(N1052:N1090,B1052:B1090,"&gt;="&amp;(B1056-d_T),B1052:B1090,"&lt;="&amp;(B1056-1))</f>
        <v/>
      </c>
      <c r="S1056" s="46">
        <f>(1-d_u)*S1055+IF(d_T&gt;in_topup_lag,SUMIFS(O1052:O1090,B1052:B1090,B1056-in_topup_lag)-d_udrop*SUMIFS(O1052:O1090,B1052:B1090,B1056-d_T),0)</f>
        <v/>
      </c>
      <c r="T1056" s="40">
        <f>F1056*d_u*S1056</f>
        <v/>
      </c>
      <c r="U1056" s="9">
        <f>L1056*in_ticket+M1056*d_rep_ticket</f>
        <v/>
      </c>
      <c r="V1056" s="9">
        <f>U1056+T1056*d_topup_amt</f>
        <v/>
      </c>
      <c r="W1056" s="40">
        <f>N1056+T1056*d_topup_ratio</f>
        <v/>
      </c>
      <c r="X1056" s="40">
        <f>SUMIFS(W1052:W1090,B1052:B1090,B1056-in_dpd_lag)*d_cured</f>
        <v/>
      </c>
      <c r="Y1056" s="40">
        <f>SUMIFS(W1052:W1090,B1052:B1090,B1056-in_rec_lag)*d_recd</f>
        <v/>
      </c>
      <c r="Z1056" s="40">
        <f>IF(AND(B1056&gt;=in_marketplace_from,B1056&lt;in_marketplace_from+in_card_months),in_card_share/in_card_months*F1056*I1056,IF(AND(B1056&gt;=in_marketplace_from+in_card_months,B1056&lt;in_marketplace_from+2*in_card_months),in_card_share*d_card_rem/in_card_months*F1056*MIN(in_takeup_cap,(1+in_takeup_growth)^(D1056-1))*MIN(in_takeup_cap,(1+in_approval_growth)^(D1056-1)),0))</f>
        <v/>
      </c>
      <c r="AA1056" s="14">
        <f>V1056*in_fee*(1-in_taken_back)</f>
        <v/>
      </c>
      <c r="AB1056" s="14">
        <f>SUMIFS(W1052:W1090,B1052:B1090,B1056-in_dpd_lag)*d_dpd</f>
        <v/>
      </c>
      <c r="AC1056" s="14">
        <f>SUMIFS(W1052:W1090,B1052:B1090,B1056-in_rec_lag)*d_rec</f>
        <v/>
      </c>
      <c r="AD1056" s="14">
        <f>Z1056*in_card_fee</f>
        <v/>
      </c>
      <c r="AE1056" s="40">
        <f>AE1055*(1-IF(B1055&gt;=in_marketplace_from,d_hz_hlth_small*G1055,0))</f>
        <v/>
      </c>
      <c r="AF1056" s="46">
        <f>AE1056*IF(B1056&gt;=in_marketplace_from,d_hz_hlth_small*G1056,0)</f>
        <v/>
      </c>
      <c r="AG1056" s="14">
        <f>F1056*AF1056*in_hlth_small_ticket*in_hlth_small_comm*in_ins_partner_share+F1056*in_hlth_small_ticket*in_hlth_small_renew_comm*in_ins_partner_share*(in_hlth_small_renew^1*SUMIFS(AF1052:AF1090,B1052:B1090,B1056-12)+in_hlth_small_renew^2*SUMIFS(AF1052:AF1090,B1052:B1090,B1056-24)+in_hlth_small_renew^3*SUMIFS(AF1052:AF1090,B1052:B1090,B1056-36)+in_hlth_small_renew^4*SUMIFS(AF1052:AF1090,B1052:B1090,B1056-48))</f>
        <v/>
      </c>
      <c r="AH1056" s="40">
        <f>AH1055*(1-IF(B1055&gt;=in_marketplace_from,d_hz_hlth_family*G1055,0))</f>
        <v/>
      </c>
      <c r="AI1056" s="46">
        <f>AH1056*IF(B1056&gt;=in_marketplace_from,d_hz_hlth_family*G1056,0)</f>
        <v/>
      </c>
      <c r="AJ1056" s="14">
        <f>F1056*AI1056*in_hlth_family_ticket*in_hlth_family_comm*in_ins_partner_share+F1056*in_hlth_family_ticket*in_hlth_family_renew_comm*in_ins_partner_share*(in_hlth_family_renew^1*SUMIFS(AI1052:AI1090,B1052:B1090,B1056-12)+in_hlth_family_renew^2*SUMIFS(AI1052:AI1090,B1052:B1090,B1056-24)+in_hlth_family_renew^3*SUMIFS(AI1052:AI1090,B1052:B1090,B1056-36)+in_hlth_family_renew^4*SUMIFS(AI1052:AI1090,B1052:B1090,B1056-48))</f>
        <v/>
      </c>
      <c r="AK1056" s="40">
        <f>AK1055*(1-IF(B1055&gt;=in_marketplace_from,d_hz_life_term*G1055,0))</f>
        <v/>
      </c>
      <c r="AL1056" s="46">
        <f>AK1056*IF(B1056&gt;=in_marketplace_from,d_hz_life_term*G1056,0)</f>
        <v/>
      </c>
      <c r="AM1056" s="14">
        <f>F1056*AL1056*in_life_term_ticket*in_life_term_comm*in_ins_partner_share+F1056*in_life_term_ticket*in_life_term_renew_comm*in_ins_partner_share*(in_life_term_renew^1*SUMIFS(AL1052:AL1090,B1052:B1090,B1056-12)+in_life_term_renew^2*SUMIFS(AL1052:AL1090,B1052:B1090,B1056-24)+in_life_term_renew^3*SUMIFS(AL1052:AL1090,B1052:B1090,B1056-36)+in_life_term_renew^4*SUMIFS(AL1052:AL1090,B1052:B1090,B1056-48))</f>
        <v/>
      </c>
      <c r="AN1056" s="40">
        <f>AN1055*(1-IF(B1055&gt;=in_marketplace_from,d_hz_accident*G1055,0))</f>
        <v/>
      </c>
      <c r="AO1056" s="46">
        <f>AN1056*IF(B1056&gt;=in_marketplace_from,d_hz_accident*G1056,0)</f>
        <v/>
      </c>
      <c r="AP1056" s="14">
        <f>F1056*AO1056*in_accident_ticket*in_accident_comm*in_ins_partner_share+F1056*in_accident_ticket*in_accident_renew_comm*in_ins_partner_share*(in_accident_renew^1*SUMIFS(AO1052:AO1090,B1052:B1090,B1056-12)+in_accident_renew^2*SUMIFS(AO1052:AO1090,B1052:B1090,B1056-24)+in_accident_renew^3*SUMIFS(AO1052:AO1090,B1052:B1090,B1056-36)+in_accident_renew^4*SUMIFS(AO1052:AO1090,B1052:B1090,B1056-48))</f>
        <v/>
      </c>
      <c r="AQ1056" s="40">
        <f>AQ1055*(1-IF(B1055&gt;=in_marketplace_from,d_hz_two_wheeler*G1055,0))</f>
        <v/>
      </c>
      <c r="AR1056" s="46">
        <f>AQ1056*IF(B1056&gt;=in_marketplace_from,d_hz_two_wheeler*G1056,0)</f>
        <v/>
      </c>
      <c r="AS1056" s="14">
        <f>F1056*AR1056*in_two_wheeler_ticket*in_two_wheeler_comm*in_ins_partner_share+F1056*in_two_wheeler_ticket*in_two_wheeler_comm*in_ins_partner_share*(in_two_wheeler_renew^1*SUMIFS(AR1052:AR1090,B1052:B1090,B1056-12)+in_two_wheeler_renew^2*SUMIFS(AR1052:AR1090,B1052:B1090,B1056-24)+in_two_wheeler_renew^3*SUMIFS(AR1052:AR1090,B1052:B1090,B1056-36)+in_two_wheeler_renew^4*SUMIFS(AR1052:AR1090,B1052:B1090,B1056-48))</f>
        <v/>
      </c>
      <c r="AT1056" s="40">
        <f>AT1055*(1-IF(B1055&gt;=in_marketplace_from,d_hz_device*G1055,0))</f>
        <v/>
      </c>
      <c r="AU1056" s="14">
        <f>F1056*AT1056*IF(B1056&gt;=in_marketplace_from,d_hz_device*G1056,0)*in_device_ticket*in_device_comm*in_ins_partner_share</f>
        <v/>
      </c>
      <c r="AV1056" s="40">
        <f>AV1055*(1-IF(B1055&gt;=in_marketplace_from,d_hz_shop*G1055,0))</f>
        <v/>
      </c>
      <c r="AW1056" s="46">
        <f>AV1056*IF(B1056&gt;=in_marketplace_from,d_hz_shop*G1056,0)</f>
        <v/>
      </c>
      <c r="AX1056" s="14">
        <f>F1056*AW1056*in_shop_ticket*in_shop_comm*in_ins_partner_share+F1056*in_shop_ticket*in_shop_renew_comm*in_ins_partner_share*(in_shop_renew^1*SUMIFS(AW1052:AW1090,B1052:B1090,B1056-12)+in_shop_renew^2*SUMIFS(AW1052:AW1090,B1052:B1090,B1056-24)+in_shop_renew^3*SUMIFS(AW1052:AW1090,B1052:B1090,B1056-36)+in_shop_renew^4*SUMIFS(AW1052:AW1090,B1052:B1090,B1056-48))</f>
        <v/>
      </c>
      <c r="AY1056" s="40">
        <f>AY1055*(1-IF(B1055&gt;=in_marketplace_from,d_hz_sip*G1055,0))</f>
        <v/>
      </c>
      <c r="AZ1056" s="40">
        <f>AZ1055*d_rho_sip+AY1056*IF(B1056&gt;=in_marketplace_from,d_hz_sip*G1056,0)</f>
        <v/>
      </c>
      <c r="BA1056" s="40">
        <f>d_rho_sip*(BA1055+AZ1055)</f>
        <v/>
      </c>
      <c r="BB1056" s="14">
        <f>F1056*in_sip_ticket*(BA1056+0.5*AZ1056)*in_sip_comm/12</f>
        <v/>
      </c>
      <c r="BC1056" s="40">
        <f>BC1055*(1-IF(B1055&gt;=in_marketplace_from,d_hz_choti*G1055,0))</f>
        <v/>
      </c>
      <c r="BD1056" s="46">
        <f>BC1056*IF(B1056&gt;=in_marketplace_from,d_hz_choti*G1056,0)</f>
        <v/>
      </c>
      <c r="BE1056" s="14">
        <f>F1056*SUMIFS(BD1052:BD1090,B1052:B1090,B1056-in_choti_months)*in_choti_renew*in_choti_ticket</f>
        <v/>
      </c>
      <c r="BF1056" s="40">
        <f>BF1055*(1-IF(B1055&gt;=in_marketplace_from,d_hz_nps*G1055,0))</f>
        <v/>
      </c>
      <c r="BG1056" s="14">
        <f>F1056*BF1056*IF(B1056&gt;=in_marketplace_from,d_hz_nps*G1056,0)*in_nps_ticket*in_nps_comm</f>
        <v/>
      </c>
      <c r="BH1056" s="40">
        <f>BH1055*(1-IF(B1055&gt;=in_marketplace_from,d_hz_gold*G1055,0))</f>
        <v/>
      </c>
      <c r="BI1056" s="40">
        <f>BI1055*d_rho_gold+BH1056*IF(B1056&gt;=in_marketplace_from,d_hz_gold*G1056,0)</f>
        <v/>
      </c>
      <c r="BJ1056" s="14">
        <f>F1056*BI1056*in_gold_ticket*in_gold_comm</f>
        <v/>
      </c>
      <c r="BK1056" s="40">
        <f>BK1055*(1-IF(B1055&gt;=in_marketplace_from,d_hz_fd*G1055,0))</f>
        <v/>
      </c>
      <c r="BL1056" s="14">
        <f>F1056*BK1056*IF(B1056&gt;=in_marketplace_from,d_hz_fd*G1056,0)*in_fd_ticket*in_fd_comm</f>
        <v/>
      </c>
      <c r="BM1056" s="40">
        <f>BM1055*(1-IF(B1055&gt;=in_marketplace_from,d_hz_recharge*G1055,0))</f>
        <v/>
      </c>
      <c r="BN1056" s="40">
        <f>BN1055*d_rho_recharge+BM1056*IF(B1056&gt;=in_marketplace_from,d_hz_recharge*G1056,0)</f>
        <v/>
      </c>
      <c r="BO1056" s="14">
        <f>F1056*BN1056*in_recharge_ticket*in_recharge_comm/12</f>
        <v/>
      </c>
      <c r="BP1056" s="40">
        <f>BP1055*(1-IF(B1055&gt;=in_marketplace_from,d_hz_bills*G1055,0))</f>
        <v/>
      </c>
      <c r="BQ1056" s="40">
        <f>BQ1055*d_rho_bills+BP1056*IF(B1056&gt;=in_marketplace_from,d_hz_bills*G1056,0)</f>
        <v/>
      </c>
      <c r="BR1056" s="14">
        <f>F1056*BQ1056*in_bills_ticket*in_bills_comm/12</f>
        <v/>
      </c>
      <c r="BS1056" s="40">
        <f>BS1055*(1-IF(B1055&gt;=in_marketplace_from,d_hz_loan_gold*G1055,0))</f>
        <v/>
      </c>
      <c r="BT1056" s="14">
        <f>F1056*BS1056*IF(B1056&gt;=in_marketplace_from,d_hz_loan_gold*G1056,0)*in_loan_gold_ticket*in_loan_gold_comm</f>
        <v/>
      </c>
      <c r="BU1056" s="40">
        <f>BU1055*(1-IF(B1055&gt;=in_marketplace_from,d_hz_loan_cd*G1055,0))</f>
        <v/>
      </c>
      <c r="BV1056" s="14">
        <f>F1056*BU1056*IF(B1056&gt;=in_marketplace_from,d_hz_loan_cd*G1056,0)*in_loan_cd_ticket*in_loan_cd_comm</f>
        <v/>
      </c>
      <c r="BW1056" s="40">
        <f>BW1055*(1-IF(B1055&gt;=in_marketplace_from,d_hz_loan_vehicle*G1055,0))</f>
        <v/>
      </c>
      <c r="BX1056" s="14">
        <f>F1056*BW1056*IF(B1056&gt;=in_marketplace_from,d_hz_loan_vehicle*G1056,0)*in_loan_vehicle_ticket*in_loan_vehicle_comm</f>
        <v/>
      </c>
      <c r="BY1056" s="40">
        <f>BY1055*(1-IF(B1055&gt;=in_marketplace_from,d_hz_loan_home*G1055,0)*BZ1055)</f>
        <v/>
      </c>
      <c r="BZ1056" s="11">
        <f>MIN(in_approval_cap,in_loan_home_approval*INDEX('Age profile'!$O$2:$O$61,B1056)*(1+in_approval_growth)^(D1056-1))</f>
        <v/>
      </c>
      <c r="CA1056" s="14">
        <f>F1056*BY1056*IF(B1056&gt;=in_marketplace_from,d_hz_loan_home*G1056,0)*BZ1056*in_loan_home_ticket*in_loan_home_comm</f>
        <v/>
      </c>
      <c r="CB1056" s="40">
        <f>CB1055*(1-IF(B1055&gt;=in_marketplace_from,d_hz_loan_lap*G1055,0)*CC1055)</f>
        <v/>
      </c>
      <c r="CC1056" s="11">
        <f>MIN(in_approval_cap,in_loan_lap_approval*INDEX('Age profile'!$O$2:$O$61,B1056)*(1+in_approval_growth)^(D1056-1))</f>
        <v/>
      </c>
      <c r="CD1056" s="14">
        <f>F1056*CB1056*IF(B1056&gt;=in_marketplace_from,d_hz_loan_lap*G1056,0)*CC1056*in_loan_lap_ticket*in_loan_lap_comm</f>
        <v/>
      </c>
      <c r="CE1056" s="14">
        <f>AA1056+AB1056+AC1056+AD1056+AG1056+AJ1056+AM1056+AP1056+AS1056+AU1056+AX1056+BB1056+BE1056+BG1056+BJ1056+BL1056+BO1056+BR1056+BT1056+BV1056+BX1056+CA1056+CD1056</f>
        <v/>
      </c>
    </row>
    <row r="1057">
      <c r="A1057" s="39" t="n">
        <v>22</v>
      </c>
      <c r="B1057" s="39" t="n">
        <v>6</v>
      </c>
      <c r="C1057" s="39">
        <f>A1057+B1057-1</f>
        <v/>
      </c>
      <c r="D1057" s="39">
        <f>INT((C1057-1)/12)+1</f>
        <v/>
      </c>
      <c r="E1057" s="44">
        <f>INDEX(Monthly!$B$2:$B$61,A1057)</f>
        <v/>
      </c>
      <c r="F1057" s="44">
        <f>E1057*INDEX('Age profile'!$B$2:$B$61,B1057)</f>
        <v/>
      </c>
      <c r="G1057" s="45">
        <f>MIN(in_takeup_cap,INDEX('Age profile'!$N$2:$N$61,B1057)*(1+in_takeup_growth)^(D1057-1))</f>
        <v/>
      </c>
      <c r="H1057" s="11">
        <f>MIN(in_approval_cap,in_approved_first*INDEX('Age profile'!$O$2:$O$61,B1057)*(1+in_approval_growth)^(D1057-1))</f>
        <v/>
      </c>
      <c r="I1057" s="45">
        <f>G1057*MIN(in_takeup_cap,INDEX('Age profile'!$O$2:$O$61,B1057)*(1+in_approval_growth)^(D1057-1))</f>
        <v/>
      </c>
      <c r="J1057" s="40">
        <f>(J1056-L1056)*F1057/F1056</f>
        <v/>
      </c>
      <c r="K1057" s="40">
        <f>(K1056-M1056)*F1057/F1056+SUMIFS(O1052:O1056,B1052:B1056,B1057-1-d_T)*F1057</f>
        <v/>
      </c>
      <c r="L1057" s="40">
        <f>IF(B1057&gt;=in_marketplace_from,J1057*d_hz*G1057*in_eligible*H1057,0)</f>
        <v/>
      </c>
      <c r="M1057" s="40">
        <f>IF(B1057&gt;=in_marketplace_from,K1057*d_hz*G1057*in_eligible*in_approved_repeat,0)</f>
        <v/>
      </c>
      <c r="N1057" s="40">
        <f>L1057+M1057</f>
        <v/>
      </c>
      <c r="O1057" s="46">
        <f>N1057/F1057</f>
        <v/>
      </c>
      <c r="P1057" s="40">
        <f>F1057-J1057-K1057</f>
        <v/>
      </c>
      <c r="Q1057" s="40">
        <f>IF(B1057&gt;=in_marketplace_from,(J1057+K1057)*d_hz*G1057,0)</f>
        <v/>
      </c>
      <c r="R1057" s="40">
        <f>SUMIFS(N1052:N1090,B1052:B1090,"&gt;="&amp;(B1057-d_T),B1052:B1090,"&lt;="&amp;(B1057-1))</f>
        <v/>
      </c>
      <c r="S1057" s="46">
        <f>(1-d_u)*S1056+IF(d_T&gt;in_topup_lag,SUMIFS(O1052:O1090,B1052:B1090,B1057-in_topup_lag)-d_udrop*SUMIFS(O1052:O1090,B1052:B1090,B1057-d_T),0)</f>
        <v/>
      </c>
      <c r="T1057" s="40">
        <f>F1057*d_u*S1057</f>
        <v/>
      </c>
      <c r="U1057" s="9">
        <f>L1057*in_ticket+M1057*d_rep_ticket</f>
        <v/>
      </c>
      <c r="V1057" s="9">
        <f>U1057+T1057*d_topup_amt</f>
        <v/>
      </c>
      <c r="W1057" s="40">
        <f>N1057+T1057*d_topup_ratio</f>
        <v/>
      </c>
      <c r="X1057" s="40">
        <f>SUMIFS(W1052:W1090,B1052:B1090,B1057-in_dpd_lag)*d_cured</f>
        <v/>
      </c>
      <c r="Y1057" s="40">
        <f>SUMIFS(W1052:W1090,B1052:B1090,B1057-in_rec_lag)*d_recd</f>
        <v/>
      </c>
      <c r="Z1057" s="40">
        <f>IF(AND(B1057&gt;=in_marketplace_from,B1057&lt;in_marketplace_from+in_card_months),in_card_share/in_card_months*F1057*I1057,IF(AND(B1057&gt;=in_marketplace_from+in_card_months,B1057&lt;in_marketplace_from+2*in_card_months),in_card_share*d_card_rem/in_card_months*F1057*MIN(in_takeup_cap,(1+in_takeup_growth)^(D1057-1))*MIN(in_takeup_cap,(1+in_approval_growth)^(D1057-1)),0))</f>
        <v/>
      </c>
      <c r="AA1057" s="14">
        <f>V1057*in_fee*(1-in_taken_back)</f>
        <v/>
      </c>
      <c r="AB1057" s="14">
        <f>SUMIFS(W1052:W1090,B1052:B1090,B1057-in_dpd_lag)*d_dpd</f>
        <v/>
      </c>
      <c r="AC1057" s="14">
        <f>SUMIFS(W1052:W1090,B1052:B1090,B1057-in_rec_lag)*d_rec</f>
        <v/>
      </c>
      <c r="AD1057" s="14">
        <f>Z1057*in_card_fee</f>
        <v/>
      </c>
      <c r="AE1057" s="40">
        <f>AE1056*(1-IF(B1056&gt;=in_marketplace_from,d_hz_hlth_small*G1056,0))</f>
        <v/>
      </c>
      <c r="AF1057" s="46">
        <f>AE1057*IF(B1057&gt;=in_marketplace_from,d_hz_hlth_small*G1057,0)</f>
        <v/>
      </c>
      <c r="AG1057" s="14">
        <f>F1057*AF1057*in_hlth_small_ticket*in_hlth_small_comm*in_ins_partner_share+F1057*in_hlth_small_ticket*in_hlth_small_renew_comm*in_ins_partner_share*(in_hlth_small_renew^1*SUMIFS(AF1052:AF1090,B1052:B1090,B1057-12)+in_hlth_small_renew^2*SUMIFS(AF1052:AF1090,B1052:B1090,B1057-24)+in_hlth_small_renew^3*SUMIFS(AF1052:AF1090,B1052:B1090,B1057-36)+in_hlth_small_renew^4*SUMIFS(AF1052:AF1090,B1052:B1090,B1057-48))</f>
        <v/>
      </c>
      <c r="AH1057" s="40">
        <f>AH1056*(1-IF(B1056&gt;=in_marketplace_from,d_hz_hlth_family*G1056,0))</f>
        <v/>
      </c>
      <c r="AI1057" s="46">
        <f>AH1057*IF(B1057&gt;=in_marketplace_from,d_hz_hlth_family*G1057,0)</f>
        <v/>
      </c>
      <c r="AJ1057" s="14">
        <f>F1057*AI1057*in_hlth_family_ticket*in_hlth_family_comm*in_ins_partner_share+F1057*in_hlth_family_ticket*in_hlth_family_renew_comm*in_ins_partner_share*(in_hlth_family_renew^1*SUMIFS(AI1052:AI1090,B1052:B1090,B1057-12)+in_hlth_family_renew^2*SUMIFS(AI1052:AI1090,B1052:B1090,B1057-24)+in_hlth_family_renew^3*SUMIFS(AI1052:AI1090,B1052:B1090,B1057-36)+in_hlth_family_renew^4*SUMIFS(AI1052:AI1090,B1052:B1090,B1057-48))</f>
        <v/>
      </c>
      <c r="AK1057" s="40">
        <f>AK1056*(1-IF(B1056&gt;=in_marketplace_from,d_hz_life_term*G1056,0))</f>
        <v/>
      </c>
      <c r="AL1057" s="46">
        <f>AK1057*IF(B1057&gt;=in_marketplace_from,d_hz_life_term*G1057,0)</f>
        <v/>
      </c>
      <c r="AM1057" s="14">
        <f>F1057*AL1057*in_life_term_ticket*in_life_term_comm*in_ins_partner_share+F1057*in_life_term_ticket*in_life_term_renew_comm*in_ins_partner_share*(in_life_term_renew^1*SUMIFS(AL1052:AL1090,B1052:B1090,B1057-12)+in_life_term_renew^2*SUMIFS(AL1052:AL1090,B1052:B1090,B1057-24)+in_life_term_renew^3*SUMIFS(AL1052:AL1090,B1052:B1090,B1057-36)+in_life_term_renew^4*SUMIFS(AL1052:AL1090,B1052:B1090,B1057-48))</f>
        <v/>
      </c>
      <c r="AN1057" s="40">
        <f>AN1056*(1-IF(B1056&gt;=in_marketplace_from,d_hz_accident*G1056,0))</f>
        <v/>
      </c>
      <c r="AO1057" s="46">
        <f>AN1057*IF(B1057&gt;=in_marketplace_from,d_hz_accident*G1057,0)</f>
        <v/>
      </c>
      <c r="AP1057" s="14">
        <f>F1057*AO1057*in_accident_ticket*in_accident_comm*in_ins_partner_share+F1057*in_accident_ticket*in_accident_renew_comm*in_ins_partner_share*(in_accident_renew^1*SUMIFS(AO1052:AO1090,B1052:B1090,B1057-12)+in_accident_renew^2*SUMIFS(AO1052:AO1090,B1052:B1090,B1057-24)+in_accident_renew^3*SUMIFS(AO1052:AO1090,B1052:B1090,B1057-36)+in_accident_renew^4*SUMIFS(AO1052:AO1090,B1052:B1090,B1057-48))</f>
        <v/>
      </c>
      <c r="AQ1057" s="40">
        <f>AQ1056*(1-IF(B1056&gt;=in_marketplace_from,d_hz_two_wheeler*G1056,0))</f>
        <v/>
      </c>
      <c r="AR1057" s="46">
        <f>AQ1057*IF(B1057&gt;=in_marketplace_from,d_hz_two_wheeler*G1057,0)</f>
        <v/>
      </c>
      <c r="AS1057" s="14">
        <f>F1057*AR1057*in_two_wheeler_ticket*in_two_wheeler_comm*in_ins_partner_share+F1057*in_two_wheeler_ticket*in_two_wheeler_comm*in_ins_partner_share*(in_two_wheeler_renew^1*SUMIFS(AR1052:AR1090,B1052:B1090,B1057-12)+in_two_wheeler_renew^2*SUMIFS(AR1052:AR1090,B1052:B1090,B1057-24)+in_two_wheeler_renew^3*SUMIFS(AR1052:AR1090,B1052:B1090,B1057-36)+in_two_wheeler_renew^4*SUMIFS(AR1052:AR1090,B1052:B1090,B1057-48))</f>
        <v/>
      </c>
      <c r="AT1057" s="40">
        <f>AT1056*(1-IF(B1056&gt;=in_marketplace_from,d_hz_device*G1056,0))</f>
        <v/>
      </c>
      <c r="AU1057" s="14">
        <f>F1057*AT1057*IF(B1057&gt;=in_marketplace_from,d_hz_device*G1057,0)*in_device_ticket*in_device_comm*in_ins_partner_share</f>
        <v/>
      </c>
      <c r="AV1057" s="40">
        <f>AV1056*(1-IF(B1056&gt;=in_marketplace_from,d_hz_shop*G1056,0))</f>
        <v/>
      </c>
      <c r="AW1057" s="46">
        <f>AV1057*IF(B1057&gt;=in_marketplace_from,d_hz_shop*G1057,0)</f>
        <v/>
      </c>
      <c r="AX1057" s="14">
        <f>F1057*AW1057*in_shop_ticket*in_shop_comm*in_ins_partner_share+F1057*in_shop_ticket*in_shop_renew_comm*in_ins_partner_share*(in_shop_renew^1*SUMIFS(AW1052:AW1090,B1052:B1090,B1057-12)+in_shop_renew^2*SUMIFS(AW1052:AW1090,B1052:B1090,B1057-24)+in_shop_renew^3*SUMIFS(AW1052:AW1090,B1052:B1090,B1057-36)+in_shop_renew^4*SUMIFS(AW1052:AW1090,B1052:B1090,B1057-48))</f>
        <v/>
      </c>
      <c r="AY1057" s="40">
        <f>AY1056*(1-IF(B1056&gt;=in_marketplace_from,d_hz_sip*G1056,0))</f>
        <v/>
      </c>
      <c r="AZ1057" s="40">
        <f>AZ1056*d_rho_sip+AY1057*IF(B1057&gt;=in_marketplace_from,d_hz_sip*G1057,0)</f>
        <v/>
      </c>
      <c r="BA1057" s="40">
        <f>d_rho_sip*(BA1056+AZ1056)</f>
        <v/>
      </c>
      <c r="BB1057" s="14">
        <f>F1057*in_sip_ticket*(BA1057+0.5*AZ1057)*in_sip_comm/12</f>
        <v/>
      </c>
      <c r="BC1057" s="40">
        <f>BC1056*(1-IF(B1056&gt;=in_marketplace_from,d_hz_choti*G1056,0))</f>
        <v/>
      </c>
      <c r="BD1057" s="46">
        <f>BC1057*IF(B1057&gt;=in_marketplace_from,d_hz_choti*G1057,0)</f>
        <v/>
      </c>
      <c r="BE1057" s="14">
        <f>F1057*SUMIFS(BD1052:BD1090,B1052:B1090,B1057-in_choti_months)*in_choti_renew*in_choti_ticket</f>
        <v/>
      </c>
      <c r="BF1057" s="40">
        <f>BF1056*(1-IF(B1056&gt;=in_marketplace_from,d_hz_nps*G1056,0))</f>
        <v/>
      </c>
      <c r="BG1057" s="14">
        <f>F1057*BF1057*IF(B1057&gt;=in_marketplace_from,d_hz_nps*G1057,0)*in_nps_ticket*in_nps_comm</f>
        <v/>
      </c>
      <c r="BH1057" s="40">
        <f>BH1056*(1-IF(B1056&gt;=in_marketplace_from,d_hz_gold*G1056,0))</f>
        <v/>
      </c>
      <c r="BI1057" s="40">
        <f>BI1056*d_rho_gold+BH1057*IF(B1057&gt;=in_marketplace_from,d_hz_gold*G1057,0)</f>
        <v/>
      </c>
      <c r="BJ1057" s="14">
        <f>F1057*BI1057*in_gold_ticket*in_gold_comm</f>
        <v/>
      </c>
      <c r="BK1057" s="40">
        <f>BK1056*(1-IF(B1056&gt;=in_marketplace_from,d_hz_fd*G1056,0))</f>
        <v/>
      </c>
      <c r="BL1057" s="14">
        <f>F1057*BK1057*IF(B1057&gt;=in_marketplace_from,d_hz_fd*G1057,0)*in_fd_ticket*in_fd_comm</f>
        <v/>
      </c>
      <c r="BM1057" s="40">
        <f>BM1056*(1-IF(B1056&gt;=in_marketplace_from,d_hz_recharge*G1056,0))</f>
        <v/>
      </c>
      <c r="BN1057" s="40">
        <f>BN1056*d_rho_recharge+BM1057*IF(B1057&gt;=in_marketplace_from,d_hz_recharge*G1057,0)</f>
        <v/>
      </c>
      <c r="BO1057" s="14">
        <f>F1057*BN1057*in_recharge_ticket*in_recharge_comm/12</f>
        <v/>
      </c>
      <c r="BP1057" s="40">
        <f>BP1056*(1-IF(B1056&gt;=in_marketplace_from,d_hz_bills*G1056,0))</f>
        <v/>
      </c>
      <c r="BQ1057" s="40">
        <f>BQ1056*d_rho_bills+BP1057*IF(B1057&gt;=in_marketplace_from,d_hz_bills*G1057,0)</f>
        <v/>
      </c>
      <c r="BR1057" s="14">
        <f>F1057*BQ1057*in_bills_ticket*in_bills_comm/12</f>
        <v/>
      </c>
      <c r="BS1057" s="40">
        <f>BS1056*(1-IF(B1056&gt;=in_marketplace_from,d_hz_loan_gold*G1056,0))</f>
        <v/>
      </c>
      <c r="BT1057" s="14">
        <f>F1057*BS1057*IF(B1057&gt;=in_marketplace_from,d_hz_loan_gold*G1057,0)*in_loan_gold_ticket*in_loan_gold_comm</f>
        <v/>
      </c>
      <c r="BU1057" s="40">
        <f>BU1056*(1-IF(B1056&gt;=in_marketplace_from,d_hz_loan_cd*G1056,0))</f>
        <v/>
      </c>
      <c r="BV1057" s="14">
        <f>F1057*BU1057*IF(B1057&gt;=in_marketplace_from,d_hz_loan_cd*G1057,0)*in_loan_cd_ticket*in_loan_cd_comm</f>
        <v/>
      </c>
      <c r="BW1057" s="40">
        <f>BW1056*(1-IF(B1056&gt;=in_marketplace_from,d_hz_loan_vehicle*G1056,0))</f>
        <v/>
      </c>
      <c r="BX1057" s="14">
        <f>F1057*BW1057*IF(B1057&gt;=in_marketplace_from,d_hz_loan_vehicle*G1057,0)*in_loan_vehicle_ticket*in_loan_vehicle_comm</f>
        <v/>
      </c>
      <c r="BY1057" s="40">
        <f>BY1056*(1-IF(B1056&gt;=in_marketplace_from,d_hz_loan_home*G1056,0)*BZ1056)</f>
        <v/>
      </c>
      <c r="BZ1057" s="11">
        <f>MIN(in_approval_cap,in_loan_home_approval*INDEX('Age profile'!$O$2:$O$61,B1057)*(1+in_approval_growth)^(D1057-1))</f>
        <v/>
      </c>
      <c r="CA1057" s="14">
        <f>F1057*BY1057*IF(B1057&gt;=in_marketplace_from,d_hz_loan_home*G1057,0)*BZ1057*in_loan_home_ticket*in_loan_home_comm</f>
        <v/>
      </c>
      <c r="CB1057" s="40">
        <f>CB1056*(1-IF(B1056&gt;=in_marketplace_from,d_hz_loan_lap*G1056,0)*CC1056)</f>
        <v/>
      </c>
      <c r="CC1057" s="11">
        <f>MIN(in_approval_cap,in_loan_lap_approval*INDEX('Age profile'!$O$2:$O$61,B1057)*(1+in_approval_growth)^(D1057-1))</f>
        <v/>
      </c>
      <c r="CD1057" s="14">
        <f>F1057*CB1057*IF(B1057&gt;=in_marketplace_from,d_hz_loan_lap*G1057,0)*CC1057*in_loan_lap_ticket*in_loan_lap_comm</f>
        <v/>
      </c>
      <c r="CE1057" s="14">
        <f>AA1057+AB1057+AC1057+AD1057+AG1057+AJ1057+AM1057+AP1057+AS1057+AU1057+AX1057+BB1057+BE1057+BG1057+BJ1057+BL1057+BO1057+BR1057+BT1057+BV1057+BX1057+CA1057+CD1057</f>
        <v/>
      </c>
    </row>
    <row r="1058">
      <c r="A1058" s="39" t="n">
        <v>22</v>
      </c>
      <c r="B1058" s="39" t="n">
        <v>7</v>
      </c>
      <c r="C1058" s="39">
        <f>A1058+B1058-1</f>
        <v/>
      </c>
      <c r="D1058" s="39">
        <f>INT((C1058-1)/12)+1</f>
        <v/>
      </c>
      <c r="E1058" s="44">
        <f>INDEX(Monthly!$B$2:$B$61,A1058)</f>
        <v/>
      </c>
      <c r="F1058" s="44">
        <f>E1058*INDEX('Age profile'!$B$2:$B$61,B1058)</f>
        <v/>
      </c>
      <c r="G1058" s="45">
        <f>MIN(in_takeup_cap,INDEX('Age profile'!$N$2:$N$61,B1058)*(1+in_takeup_growth)^(D1058-1))</f>
        <v/>
      </c>
      <c r="H1058" s="11">
        <f>MIN(in_approval_cap,in_approved_first*INDEX('Age profile'!$O$2:$O$61,B1058)*(1+in_approval_growth)^(D1058-1))</f>
        <v/>
      </c>
      <c r="I1058" s="45">
        <f>G1058*MIN(in_takeup_cap,INDEX('Age profile'!$O$2:$O$61,B1058)*(1+in_approval_growth)^(D1058-1))</f>
        <v/>
      </c>
      <c r="J1058" s="40">
        <f>(J1057-L1057)*F1058/F1057</f>
        <v/>
      </c>
      <c r="K1058" s="40">
        <f>(K1057-M1057)*F1058/F1057+SUMIFS(O1052:O1057,B1052:B1057,B1058-1-d_T)*F1058</f>
        <v/>
      </c>
      <c r="L1058" s="40">
        <f>IF(B1058&gt;=in_marketplace_from,J1058*d_hz*G1058*in_eligible*H1058,0)</f>
        <v/>
      </c>
      <c r="M1058" s="40">
        <f>IF(B1058&gt;=in_marketplace_from,K1058*d_hz*G1058*in_eligible*in_approved_repeat,0)</f>
        <v/>
      </c>
      <c r="N1058" s="40">
        <f>L1058+M1058</f>
        <v/>
      </c>
      <c r="O1058" s="46">
        <f>N1058/F1058</f>
        <v/>
      </c>
      <c r="P1058" s="40">
        <f>F1058-J1058-K1058</f>
        <v/>
      </c>
      <c r="Q1058" s="40">
        <f>IF(B1058&gt;=in_marketplace_from,(J1058+K1058)*d_hz*G1058,0)</f>
        <v/>
      </c>
      <c r="R1058" s="40">
        <f>SUMIFS(N1052:N1090,B1052:B1090,"&gt;="&amp;(B1058-d_T),B1052:B1090,"&lt;="&amp;(B1058-1))</f>
        <v/>
      </c>
      <c r="S1058" s="46">
        <f>(1-d_u)*S1057+IF(d_T&gt;in_topup_lag,SUMIFS(O1052:O1090,B1052:B1090,B1058-in_topup_lag)-d_udrop*SUMIFS(O1052:O1090,B1052:B1090,B1058-d_T),0)</f>
        <v/>
      </c>
      <c r="T1058" s="40">
        <f>F1058*d_u*S1058</f>
        <v/>
      </c>
      <c r="U1058" s="9">
        <f>L1058*in_ticket+M1058*d_rep_ticket</f>
        <v/>
      </c>
      <c r="V1058" s="9">
        <f>U1058+T1058*d_topup_amt</f>
        <v/>
      </c>
      <c r="W1058" s="40">
        <f>N1058+T1058*d_topup_ratio</f>
        <v/>
      </c>
      <c r="X1058" s="40">
        <f>SUMIFS(W1052:W1090,B1052:B1090,B1058-in_dpd_lag)*d_cured</f>
        <v/>
      </c>
      <c r="Y1058" s="40">
        <f>SUMIFS(W1052:W1090,B1052:B1090,B1058-in_rec_lag)*d_recd</f>
        <v/>
      </c>
      <c r="Z1058" s="40">
        <f>IF(AND(B1058&gt;=in_marketplace_from,B1058&lt;in_marketplace_from+in_card_months),in_card_share/in_card_months*F1058*I1058,IF(AND(B1058&gt;=in_marketplace_from+in_card_months,B1058&lt;in_marketplace_from+2*in_card_months),in_card_share*d_card_rem/in_card_months*F1058*MIN(in_takeup_cap,(1+in_takeup_growth)^(D1058-1))*MIN(in_takeup_cap,(1+in_approval_growth)^(D1058-1)),0))</f>
        <v/>
      </c>
      <c r="AA1058" s="14">
        <f>V1058*in_fee*(1-in_taken_back)</f>
        <v/>
      </c>
      <c r="AB1058" s="14">
        <f>SUMIFS(W1052:W1090,B1052:B1090,B1058-in_dpd_lag)*d_dpd</f>
        <v/>
      </c>
      <c r="AC1058" s="14">
        <f>SUMIFS(W1052:W1090,B1052:B1090,B1058-in_rec_lag)*d_rec</f>
        <v/>
      </c>
      <c r="AD1058" s="14">
        <f>Z1058*in_card_fee</f>
        <v/>
      </c>
      <c r="AE1058" s="40">
        <f>AE1057*(1-IF(B1057&gt;=in_marketplace_from,d_hz_hlth_small*G1057,0))</f>
        <v/>
      </c>
      <c r="AF1058" s="46">
        <f>AE1058*IF(B1058&gt;=in_marketplace_from,d_hz_hlth_small*G1058,0)</f>
        <v/>
      </c>
      <c r="AG1058" s="14">
        <f>F1058*AF1058*in_hlth_small_ticket*in_hlth_small_comm*in_ins_partner_share+F1058*in_hlth_small_ticket*in_hlth_small_renew_comm*in_ins_partner_share*(in_hlth_small_renew^1*SUMIFS(AF1052:AF1090,B1052:B1090,B1058-12)+in_hlth_small_renew^2*SUMIFS(AF1052:AF1090,B1052:B1090,B1058-24)+in_hlth_small_renew^3*SUMIFS(AF1052:AF1090,B1052:B1090,B1058-36)+in_hlth_small_renew^4*SUMIFS(AF1052:AF1090,B1052:B1090,B1058-48))</f>
        <v/>
      </c>
      <c r="AH1058" s="40">
        <f>AH1057*(1-IF(B1057&gt;=in_marketplace_from,d_hz_hlth_family*G1057,0))</f>
        <v/>
      </c>
      <c r="AI1058" s="46">
        <f>AH1058*IF(B1058&gt;=in_marketplace_from,d_hz_hlth_family*G1058,0)</f>
        <v/>
      </c>
      <c r="AJ1058" s="14">
        <f>F1058*AI1058*in_hlth_family_ticket*in_hlth_family_comm*in_ins_partner_share+F1058*in_hlth_family_ticket*in_hlth_family_renew_comm*in_ins_partner_share*(in_hlth_family_renew^1*SUMIFS(AI1052:AI1090,B1052:B1090,B1058-12)+in_hlth_family_renew^2*SUMIFS(AI1052:AI1090,B1052:B1090,B1058-24)+in_hlth_family_renew^3*SUMIFS(AI1052:AI1090,B1052:B1090,B1058-36)+in_hlth_family_renew^4*SUMIFS(AI1052:AI1090,B1052:B1090,B1058-48))</f>
        <v/>
      </c>
      <c r="AK1058" s="40">
        <f>AK1057*(1-IF(B1057&gt;=in_marketplace_from,d_hz_life_term*G1057,0))</f>
        <v/>
      </c>
      <c r="AL1058" s="46">
        <f>AK1058*IF(B1058&gt;=in_marketplace_from,d_hz_life_term*G1058,0)</f>
        <v/>
      </c>
      <c r="AM1058" s="14">
        <f>F1058*AL1058*in_life_term_ticket*in_life_term_comm*in_ins_partner_share+F1058*in_life_term_ticket*in_life_term_renew_comm*in_ins_partner_share*(in_life_term_renew^1*SUMIFS(AL1052:AL1090,B1052:B1090,B1058-12)+in_life_term_renew^2*SUMIFS(AL1052:AL1090,B1052:B1090,B1058-24)+in_life_term_renew^3*SUMIFS(AL1052:AL1090,B1052:B1090,B1058-36)+in_life_term_renew^4*SUMIFS(AL1052:AL1090,B1052:B1090,B1058-48))</f>
        <v/>
      </c>
      <c r="AN1058" s="40">
        <f>AN1057*(1-IF(B1057&gt;=in_marketplace_from,d_hz_accident*G1057,0))</f>
        <v/>
      </c>
      <c r="AO1058" s="46">
        <f>AN1058*IF(B1058&gt;=in_marketplace_from,d_hz_accident*G1058,0)</f>
        <v/>
      </c>
      <c r="AP1058" s="14">
        <f>F1058*AO1058*in_accident_ticket*in_accident_comm*in_ins_partner_share+F1058*in_accident_ticket*in_accident_renew_comm*in_ins_partner_share*(in_accident_renew^1*SUMIFS(AO1052:AO1090,B1052:B1090,B1058-12)+in_accident_renew^2*SUMIFS(AO1052:AO1090,B1052:B1090,B1058-24)+in_accident_renew^3*SUMIFS(AO1052:AO1090,B1052:B1090,B1058-36)+in_accident_renew^4*SUMIFS(AO1052:AO1090,B1052:B1090,B1058-48))</f>
        <v/>
      </c>
      <c r="AQ1058" s="40">
        <f>AQ1057*(1-IF(B1057&gt;=in_marketplace_from,d_hz_two_wheeler*G1057,0))</f>
        <v/>
      </c>
      <c r="AR1058" s="46">
        <f>AQ1058*IF(B1058&gt;=in_marketplace_from,d_hz_two_wheeler*G1058,0)</f>
        <v/>
      </c>
      <c r="AS1058" s="14">
        <f>F1058*AR1058*in_two_wheeler_ticket*in_two_wheeler_comm*in_ins_partner_share+F1058*in_two_wheeler_ticket*in_two_wheeler_comm*in_ins_partner_share*(in_two_wheeler_renew^1*SUMIFS(AR1052:AR1090,B1052:B1090,B1058-12)+in_two_wheeler_renew^2*SUMIFS(AR1052:AR1090,B1052:B1090,B1058-24)+in_two_wheeler_renew^3*SUMIFS(AR1052:AR1090,B1052:B1090,B1058-36)+in_two_wheeler_renew^4*SUMIFS(AR1052:AR1090,B1052:B1090,B1058-48))</f>
        <v/>
      </c>
      <c r="AT1058" s="40">
        <f>AT1057*(1-IF(B1057&gt;=in_marketplace_from,d_hz_device*G1057,0))</f>
        <v/>
      </c>
      <c r="AU1058" s="14">
        <f>F1058*AT1058*IF(B1058&gt;=in_marketplace_from,d_hz_device*G1058,0)*in_device_ticket*in_device_comm*in_ins_partner_share</f>
        <v/>
      </c>
      <c r="AV1058" s="40">
        <f>AV1057*(1-IF(B1057&gt;=in_marketplace_from,d_hz_shop*G1057,0))</f>
        <v/>
      </c>
      <c r="AW1058" s="46">
        <f>AV1058*IF(B1058&gt;=in_marketplace_from,d_hz_shop*G1058,0)</f>
        <v/>
      </c>
      <c r="AX1058" s="14">
        <f>F1058*AW1058*in_shop_ticket*in_shop_comm*in_ins_partner_share+F1058*in_shop_ticket*in_shop_renew_comm*in_ins_partner_share*(in_shop_renew^1*SUMIFS(AW1052:AW1090,B1052:B1090,B1058-12)+in_shop_renew^2*SUMIFS(AW1052:AW1090,B1052:B1090,B1058-24)+in_shop_renew^3*SUMIFS(AW1052:AW1090,B1052:B1090,B1058-36)+in_shop_renew^4*SUMIFS(AW1052:AW1090,B1052:B1090,B1058-48))</f>
        <v/>
      </c>
      <c r="AY1058" s="40">
        <f>AY1057*(1-IF(B1057&gt;=in_marketplace_from,d_hz_sip*G1057,0))</f>
        <v/>
      </c>
      <c r="AZ1058" s="40">
        <f>AZ1057*d_rho_sip+AY1058*IF(B1058&gt;=in_marketplace_from,d_hz_sip*G1058,0)</f>
        <v/>
      </c>
      <c r="BA1058" s="40">
        <f>d_rho_sip*(BA1057+AZ1057)</f>
        <v/>
      </c>
      <c r="BB1058" s="14">
        <f>F1058*in_sip_ticket*(BA1058+0.5*AZ1058)*in_sip_comm/12</f>
        <v/>
      </c>
      <c r="BC1058" s="40">
        <f>BC1057*(1-IF(B1057&gt;=in_marketplace_from,d_hz_choti*G1057,0))</f>
        <v/>
      </c>
      <c r="BD1058" s="46">
        <f>BC1058*IF(B1058&gt;=in_marketplace_from,d_hz_choti*G1058,0)</f>
        <v/>
      </c>
      <c r="BE1058" s="14">
        <f>F1058*SUMIFS(BD1052:BD1090,B1052:B1090,B1058-in_choti_months)*in_choti_renew*in_choti_ticket</f>
        <v/>
      </c>
      <c r="BF1058" s="40">
        <f>BF1057*(1-IF(B1057&gt;=in_marketplace_from,d_hz_nps*G1057,0))</f>
        <v/>
      </c>
      <c r="BG1058" s="14">
        <f>F1058*BF1058*IF(B1058&gt;=in_marketplace_from,d_hz_nps*G1058,0)*in_nps_ticket*in_nps_comm</f>
        <v/>
      </c>
      <c r="BH1058" s="40">
        <f>BH1057*(1-IF(B1057&gt;=in_marketplace_from,d_hz_gold*G1057,0))</f>
        <v/>
      </c>
      <c r="BI1058" s="40">
        <f>BI1057*d_rho_gold+BH1058*IF(B1058&gt;=in_marketplace_from,d_hz_gold*G1058,0)</f>
        <v/>
      </c>
      <c r="BJ1058" s="14">
        <f>F1058*BI1058*in_gold_ticket*in_gold_comm</f>
        <v/>
      </c>
      <c r="BK1058" s="40">
        <f>BK1057*(1-IF(B1057&gt;=in_marketplace_from,d_hz_fd*G1057,0))</f>
        <v/>
      </c>
      <c r="BL1058" s="14">
        <f>F1058*BK1058*IF(B1058&gt;=in_marketplace_from,d_hz_fd*G1058,0)*in_fd_ticket*in_fd_comm</f>
        <v/>
      </c>
      <c r="BM1058" s="40">
        <f>BM1057*(1-IF(B1057&gt;=in_marketplace_from,d_hz_recharge*G1057,0))</f>
        <v/>
      </c>
      <c r="BN1058" s="40">
        <f>BN1057*d_rho_recharge+BM1058*IF(B1058&gt;=in_marketplace_from,d_hz_recharge*G1058,0)</f>
        <v/>
      </c>
      <c r="BO1058" s="14">
        <f>F1058*BN1058*in_recharge_ticket*in_recharge_comm/12</f>
        <v/>
      </c>
      <c r="BP1058" s="40">
        <f>BP1057*(1-IF(B1057&gt;=in_marketplace_from,d_hz_bills*G1057,0))</f>
        <v/>
      </c>
      <c r="BQ1058" s="40">
        <f>BQ1057*d_rho_bills+BP1058*IF(B1058&gt;=in_marketplace_from,d_hz_bills*G1058,0)</f>
        <v/>
      </c>
      <c r="BR1058" s="14">
        <f>F1058*BQ1058*in_bills_ticket*in_bills_comm/12</f>
        <v/>
      </c>
      <c r="BS1058" s="40">
        <f>BS1057*(1-IF(B1057&gt;=in_marketplace_from,d_hz_loan_gold*G1057,0))</f>
        <v/>
      </c>
      <c r="BT1058" s="14">
        <f>F1058*BS1058*IF(B1058&gt;=in_marketplace_from,d_hz_loan_gold*G1058,0)*in_loan_gold_ticket*in_loan_gold_comm</f>
        <v/>
      </c>
      <c r="BU1058" s="40">
        <f>BU1057*(1-IF(B1057&gt;=in_marketplace_from,d_hz_loan_cd*G1057,0))</f>
        <v/>
      </c>
      <c r="BV1058" s="14">
        <f>F1058*BU1058*IF(B1058&gt;=in_marketplace_from,d_hz_loan_cd*G1058,0)*in_loan_cd_ticket*in_loan_cd_comm</f>
        <v/>
      </c>
      <c r="BW1058" s="40">
        <f>BW1057*(1-IF(B1057&gt;=in_marketplace_from,d_hz_loan_vehicle*G1057,0))</f>
        <v/>
      </c>
      <c r="BX1058" s="14">
        <f>F1058*BW1058*IF(B1058&gt;=in_marketplace_from,d_hz_loan_vehicle*G1058,0)*in_loan_vehicle_ticket*in_loan_vehicle_comm</f>
        <v/>
      </c>
      <c r="BY1058" s="40">
        <f>BY1057*(1-IF(B1057&gt;=in_marketplace_from,d_hz_loan_home*G1057,0)*BZ1057)</f>
        <v/>
      </c>
      <c r="BZ1058" s="11">
        <f>MIN(in_approval_cap,in_loan_home_approval*INDEX('Age profile'!$O$2:$O$61,B1058)*(1+in_approval_growth)^(D1058-1))</f>
        <v/>
      </c>
      <c r="CA1058" s="14">
        <f>F1058*BY1058*IF(B1058&gt;=in_marketplace_from,d_hz_loan_home*G1058,0)*BZ1058*in_loan_home_ticket*in_loan_home_comm</f>
        <v/>
      </c>
      <c r="CB1058" s="40">
        <f>CB1057*(1-IF(B1057&gt;=in_marketplace_from,d_hz_loan_lap*G1057,0)*CC1057)</f>
        <v/>
      </c>
      <c r="CC1058" s="11">
        <f>MIN(in_approval_cap,in_loan_lap_approval*INDEX('Age profile'!$O$2:$O$61,B1058)*(1+in_approval_growth)^(D1058-1))</f>
        <v/>
      </c>
      <c r="CD1058" s="14">
        <f>F1058*CB1058*IF(B1058&gt;=in_marketplace_from,d_hz_loan_lap*G1058,0)*CC1058*in_loan_lap_ticket*in_loan_lap_comm</f>
        <v/>
      </c>
      <c r="CE1058" s="14">
        <f>AA1058+AB1058+AC1058+AD1058+AG1058+AJ1058+AM1058+AP1058+AS1058+AU1058+AX1058+BB1058+BE1058+BG1058+BJ1058+BL1058+BO1058+BR1058+BT1058+BV1058+BX1058+CA1058+CD1058</f>
        <v/>
      </c>
    </row>
    <row r="1059">
      <c r="A1059" s="39" t="n">
        <v>22</v>
      </c>
      <c r="B1059" s="39" t="n">
        <v>8</v>
      </c>
      <c r="C1059" s="39">
        <f>A1059+B1059-1</f>
        <v/>
      </c>
      <c r="D1059" s="39">
        <f>INT((C1059-1)/12)+1</f>
        <v/>
      </c>
      <c r="E1059" s="44">
        <f>INDEX(Monthly!$B$2:$B$61,A1059)</f>
        <v/>
      </c>
      <c r="F1059" s="44">
        <f>E1059*INDEX('Age profile'!$B$2:$B$61,B1059)</f>
        <v/>
      </c>
      <c r="G1059" s="45">
        <f>MIN(in_takeup_cap,INDEX('Age profile'!$N$2:$N$61,B1059)*(1+in_takeup_growth)^(D1059-1))</f>
        <v/>
      </c>
      <c r="H1059" s="11">
        <f>MIN(in_approval_cap,in_approved_first*INDEX('Age profile'!$O$2:$O$61,B1059)*(1+in_approval_growth)^(D1059-1))</f>
        <v/>
      </c>
      <c r="I1059" s="45">
        <f>G1059*MIN(in_takeup_cap,INDEX('Age profile'!$O$2:$O$61,B1059)*(1+in_approval_growth)^(D1059-1))</f>
        <v/>
      </c>
      <c r="J1059" s="40">
        <f>(J1058-L1058)*F1059/F1058</f>
        <v/>
      </c>
      <c r="K1059" s="40">
        <f>(K1058-M1058)*F1059/F1058+SUMIFS(O1052:O1058,B1052:B1058,B1059-1-d_T)*F1059</f>
        <v/>
      </c>
      <c r="L1059" s="40">
        <f>IF(B1059&gt;=in_marketplace_from,J1059*d_hz*G1059*in_eligible*H1059,0)</f>
        <v/>
      </c>
      <c r="M1059" s="40">
        <f>IF(B1059&gt;=in_marketplace_from,K1059*d_hz*G1059*in_eligible*in_approved_repeat,0)</f>
        <v/>
      </c>
      <c r="N1059" s="40">
        <f>L1059+M1059</f>
        <v/>
      </c>
      <c r="O1059" s="46">
        <f>N1059/F1059</f>
        <v/>
      </c>
      <c r="P1059" s="40">
        <f>F1059-J1059-K1059</f>
        <v/>
      </c>
      <c r="Q1059" s="40">
        <f>IF(B1059&gt;=in_marketplace_from,(J1059+K1059)*d_hz*G1059,0)</f>
        <v/>
      </c>
      <c r="R1059" s="40">
        <f>SUMIFS(N1052:N1090,B1052:B1090,"&gt;="&amp;(B1059-d_T),B1052:B1090,"&lt;="&amp;(B1059-1))</f>
        <v/>
      </c>
      <c r="S1059" s="46">
        <f>(1-d_u)*S1058+IF(d_T&gt;in_topup_lag,SUMIFS(O1052:O1090,B1052:B1090,B1059-in_topup_lag)-d_udrop*SUMIFS(O1052:O1090,B1052:B1090,B1059-d_T),0)</f>
        <v/>
      </c>
      <c r="T1059" s="40">
        <f>F1059*d_u*S1059</f>
        <v/>
      </c>
      <c r="U1059" s="9">
        <f>L1059*in_ticket+M1059*d_rep_ticket</f>
        <v/>
      </c>
      <c r="V1059" s="9">
        <f>U1059+T1059*d_topup_amt</f>
        <v/>
      </c>
      <c r="W1059" s="40">
        <f>N1059+T1059*d_topup_ratio</f>
        <v/>
      </c>
      <c r="X1059" s="40">
        <f>SUMIFS(W1052:W1090,B1052:B1090,B1059-in_dpd_lag)*d_cured</f>
        <v/>
      </c>
      <c r="Y1059" s="40">
        <f>SUMIFS(W1052:W1090,B1052:B1090,B1059-in_rec_lag)*d_recd</f>
        <v/>
      </c>
      <c r="Z1059" s="40">
        <f>IF(AND(B1059&gt;=in_marketplace_from,B1059&lt;in_marketplace_from+in_card_months),in_card_share/in_card_months*F1059*I1059,IF(AND(B1059&gt;=in_marketplace_from+in_card_months,B1059&lt;in_marketplace_from+2*in_card_months),in_card_share*d_card_rem/in_card_months*F1059*MIN(in_takeup_cap,(1+in_takeup_growth)^(D1059-1))*MIN(in_takeup_cap,(1+in_approval_growth)^(D1059-1)),0))</f>
        <v/>
      </c>
      <c r="AA1059" s="14">
        <f>V1059*in_fee*(1-in_taken_back)</f>
        <v/>
      </c>
      <c r="AB1059" s="14">
        <f>SUMIFS(W1052:W1090,B1052:B1090,B1059-in_dpd_lag)*d_dpd</f>
        <v/>
      </c>
      <c r="AC1059" s="14">
        <f>SUMIFS(W1052:W1090,B1052:B1090,B1059-in_rec_lag)*d_rec</f>
        <v/>
      </c>
      <c r="AD1059" s="14">
        <f>Z1059*in_card_fee</f>
        <v/>
      </c>
      <c r="AE1059" s="40">
        <f>AE1058*(1-IF(B1058&gt;=in_marketplace_from,d_hz_hlth_small*G1058,0))</f>
        <v/>
      </c>
      <c r="AF1059" s="46">
        <f>AE1059*IF(B1059&gt;=in_marketplace_from,d_hz_hlth_small*G1059,0)</f>
        <v/>
      </c>
      <c r="AG1059" s="14">
        <f>F1059*AF1059*in_hlth_small_ticket*in_hlth_small_comm*in_ins_partner_share+F1059*in_hlth_small_ticket*in_hlth_small_renew_comm*in_ins_partner_share*(in_hlth_small_renew^1*SUMIFS(AF1052:AF1090,B1052:B1090,B1059-12)+in_hlth_small_renew^2*SUMIFS(AF1052:AF1090,B1052:B1090,B1059-24)+in_hlth_small_renew^3*SUMIFS(AF1052:AF1090,B1052:B1090,B1059-36)+in_hlth_small_renew^4*SUMIFS(AF1052:AF1090,B1052:B1090,B1059-48))</f>
        <v/>
      </c>
      <c r="AH1059" s="40">
        <f>AH1058*(1-IF(B1058&gt;=in_marketplace_from,d_hz_hlth_family*G1058,0))</f>
        <v/>
      </c>
      <c r="AI1059" s="46">
        <f>AH1059*IF(B1059&gt;=in_marketplace_from,d_hz_hlth_family*G1059,0)</f>
        <v/>
      </c>
      <c r="AJ1059" s="14">
        <f>F1059*AI1059*in_hlth_family_ticket*in_hlth_family_comm*in_ins_partner_share+F1059*in_hlth_family_ticket*in_hlth_family_renew_comm*in_ins_partner_share*(in_hlth_family_renew^1*SUMIFS(AI1052:AI1090,B1052:B1090,B1059-12)+in_hlth_family_renew^2*SUMIFS(AI1052:AI1090,B1052:B1090,B1059-24)+in_hlth_family_renew^3*SUMIFS(AI1052:AI1090,B1052:B1090,B1059-36)+in_hlth_family_renew^4*SUMIFS(AI1052:AI1090,B1052:B1090,B1059-48))</f>
        <v/>
      </c>
      <c r="AK1059" s="40">
        <f>AK1058*(1-IF(B1058&gt;=in_marketplace_from,d_hz_life_term*G1058,0))</f>
        <v/>
      </c>
      <c r="AL1059" s="46">
        <f>AK1059*IF(B1059&gt;=in_marketplace_from,d_hz_life_term*G1059,0)</f>
        <v/>
      </c>
      <c r="AM1059" s="14">
        <f>F1059*AL1059*in_life_term_ticket*in_life_term_comm*in_ins_partner_share+F1059*in_life_term_ticket*in_life_term_renew_comm*in_ins_partner_share*(in_life_term_renew^1*SUMIFS(AL1052:AL1090,B1052:B1090,B1059-12)+in_life_term_renew^2*SUMIFS(AL1052:AL1090,B1052:B1090,B1059-24)+in_life_term_renew^3*SUMIFS(AL1052:AL1090,B1052:B1090,B1059-36)+in_life_term_renew^4*SUMIFS(AL1052:AL1090,B1052:B1090,B1059-48))</f>
        <v/>
      </c>
      <c r="AN1059" s="40">
        <f>AN1058*(1-IF(B1058&gt;=in_marketplace_from,d_hz_accident*G1058,0))</f>
        <v/>
      </c>
      <c r="AO1059" s="46">
        <f>AN1059*IF(B1059&gt;=in_marketplace_from,d_hz_accident*G1059,0)</f>
        <v/>
      </c>
      <c r="AP1059" s="14">
        <f>F1059*AO1059*in_accident_ticket*in_accident_comm*in_ins_partner_share+F1059*in_accident_ticket*in_accident_renew_comm*in_ins_partner_share*(in_accident_renew^1*SUMIFS(AO1052:AO1090,B1052:B1090,B1059-12)+in_accident_renew^2*SUMIFS(AO1052:AO1090,B1052:B1090,B1059-24)+in_accident_renew^3*SUMIFS(AO1052:AO1090,B1052:B1090,B1059-36)+in_accident_renew^4*SUMIFS(AO1052:AO1090,B1052:B1090,B1059-48))</f>
        <v/>
      </c>
      <c r="AQ1059" s="40">
        <f>AQ1058*(1-IF(B1058&gt;=in_marketplace_from,d_hz_two_wheeler*G1058,0))</f>
        <v/>
      </c>
      <c r="AR1059" s="46">
        <f>AQ1059*IF(B1059&gt;=in_marketplace_from,d_hz_two_wheeler*G1059,0)</f>
        <v/>
      </c>
      <c r="AS1059" s="14">
        <f>F1059*AR1059*in_two_wheeler_ticket*in_two_wheeler_comm*in_ins_partner_share+F1059*in_two_wheeler_ticket*in_two_wheeler_comm*in_ins_partner_share*(in_two_wheeler_renew^1*SUMIFS(AR1052:AR1090,B1052:B1090,B1059-12)+in_two_wheeler_renew^2*SUMIFS(AR1052:AR1090,B1052:B1090,B1059-24)+in_two_wheeler_renew^3*SUMIFS(AR1052:AR1090,B1052:B1090,B1059-36)+in_two_wheeler_renew^4*SUMIFS(AR1052:AR1090,B1052:B1090,B1059-48))</f>
        <v/>
      </c>
      <c r="AT1059" s="40">
        <f>AT1058*(1-IF(B1058&gt;=in_marketplace_from,d_hz_device*G1058,0))</f>
        <v/>
      </c>
      <c r="AU1059" s="14">
        <f>F1059*AT1059*IF(B1059&gt;=in_marketplace_from,d_hz_device*G1059,0)*in_device_ticket*in_device_comm*in_ins_partner_share</f>
        <v/>
      </c>
      <c r="AV1059" s="40">
        <f>AV1058*(1-IF(B1058&gt;=in_marketplace_from,d_hz_shop*G1058,0))</f>
        <v/>
      </c>
      <c r="AW1059" s="46">
        <f>AV1059*IF(B1059&gt;=in_marketplace_from,d_hz_shop*G1059,0)</f>
        <v/>
      </c>
      <c r="AX1059" s="14">
        <f>F1059*AW1059*in_shop_ticket*in_shop_comm*in_ins_partner_share+F1059*in_shop_ticket*in_shop_renew_comm*in_ins_partner_share*(in_shop_renew^1*SUMIFS(AW1052:AW1090,B1052:B1090,B1059-12)+in_shop_renew^2*SUMIFS(AW1052:AW1090,B1052:B1090,B1059-24)+in_shop_renew^3*SUMIFS(AW1052:AW1090,B1052:B1090,B1059-36)+in_shop_renew^4*SUMIFS(AW1052:AW1090,B1052:B1090,B1059-48))</f>
        <v/>
      </c>
      <c r="AY1059" s="40">
        <f>AY1058*(1-IF(B1058&gt;=in_marketplace_from,d_hz_sip*G1058,0))</f>
        <v/>
      </c>
      <c r="AZ1059" s="40">
        <f>AZ1058*d_rho_sip+AY1059*IF(B1059&gt;=in_marketplace_from,d_hz_sip*G1059,0)</f>
        <v/>
      </c>
      <c r="BA1059" s="40">
        <f>d_rho_sip*(BA1058+AZ1058)</f>
        <v/>
      </c>
      <c r="BB1059" s="14">
        <f>F1059*in_sip_ticket*(BA1059+0.5*AZ1059)*in_sip_comm/12</f>
        <v/>
      </c>
      <c r="BC1059" s="40">
        <f>BC1058*(1-IF(B1058&gt;=in_marketplace_from,d_hz_choti*G1058,0))</f>
        <v/>
      </c>
      <c r="BD1059" s="46">
        <f>BC1059*IF(B1059&gt;=in_marketplace_from,d_hz_choti*G1059,0)</f>
        <v/>
      </c>
      <c r="BE1059" s="14">
        <f>F1059*SUMIFS(BD1052:BD1090,B1052:B1090,B1059-in_choti_months)*in_choti_renew*in_choti_ticket</f>
        <v/>
      </c>
      <c r="BF1059" s="40">
        <f>BF1058*(1-IF(B1058&gt;=in_marketplace_from,d_hz_nps*G1058,0))</f>
        <v/>
      </c>
      <c r="BG1059" s="14">
        <f>F1059*BF1059*IF(B1059&gt;=in_marketplace_from,d_hz_nps*G1059,0)*in_nps_ticket*in_nps_comm</f>
        <v/>
      </c>
      <c r="BH1059" s="40">
        <f>BH1058*(1-IF(B1058&gt;=in_marketplace_from,d_hz_gold*G1058,0))</f>
        <v/>
      </c>
      <c r="BI1059" s="40">
        <f>BI1058*d_rho_gold+BH1059*IF(B1059&gt;=in_marketplace_from,d_hz_gold*G1059,0)</f>
        <v/>
      </c>
      <c r="BJ1059" s="14">
        <f>F1059*BI1059*in_gold_ticket*in_gold_comm</f>
        <v/>
      </c>
      <c r="BK1059" s="40">
        <f>BK1058*(1-IF(B1058&gt;=in_marketplace_from,d_hz_fd*G1058,0))</f>
        <v/>
      </c>
      <c r="BL1059" s="14">
        <f>F1059*BK1059*IF(B1059&gt;=in_marketplace_from,d_hz_fd*G1059,0)*in_fd_ticket*in_fd_comm</f>
        <v/>
      </c>
      <c r="BM1059" s="40">
        <f>BM1058*(1-IF(B1058&gt;=in_marketplace_from,d_hz_recharge*G1058,0))</f>
        <v/>
      </c>
      <c r="BN1059" s="40">
        <f>BN1058*d_rho_recharge+BM1059*IF(B1059&gt;=in_marketplace_from,d_hz_recharge*G1059,0)</f>
        <v/>
      </c>
      <c r="BO1059" s="14">
        <f>F1059*BN1059*in_recharge_ticket*in_recharge_comm/12</f>
        <v/>
      </c>
      <c r="BP1059" s="40">
        <f>BP1058*(1-IF(B1058&gt;=in_marketplace_from,d_hz_bills*G1058,0))</f>
        <v/>
      </c>
      <c r="BQ1059" s="40">
        <f>BQ1058*d_rho_bills+BP1059*IF(B1059&gt;=in_marketplace_from,d_hz_bills*G1059,0)</f>
        <v/>
      </c>
      <c r="BR1059" s="14">
        <f>F1059*BQ1059*in_bills_ticket*in_bills_comm/12</f>
        <v/>
      </c>
      <c r="BS1059" s="40">
        <f>BS1058*(1-IF(B1058&gt;=in_marketplace_from,d_hz_loan_gold*G1058,0))</f>
        <v/>
      </c>
      <c r="BT1059" s="14">
        <f>F1059*BS1059*IF(B1059&gt;=in_marketplace_from,d_hz_loan_gold*G1059,0)*in_loan_gold_ticket*in_loan_gold_comm</f>
        <v/>
      </c>
      <c r="BU1059" s="40">
        <f>BU1058*(1-IF(B1058&gt;=in_marketplace_from,d_hz_loan_cd*G1058,0))</f>
        <v/>
      </c>
      <c r="BV1059" s="14">
        <f>F1059*BU1059*IF(B1059&gt;=in_marketplace_from,d_hz_loan_cd*G1059,0)*in_loan_cd_ticket*in_loan_cd_comm</f>
        <v/>
      </c>
      <c r="BW1059" s="40">
        <f>BW1058*(1-IF(B1058&gt;=in_marketplace_from,d_hz_loan_vehicle*G1058,0))</f>
        <v/>
      </c>
      <c r="BX1059" s="14">
        <f>F1059*BW1059*IF(B1059&gt;=in_marketplace_from,d_hz_loan_vehicle*G1059,0)*in_loan_vehicle_ticket*in_loan_vehicle_comm</f>
        <v/>
      </c>
      <c r="BY1059" s="40">
        <f>BY1058*(1-IF(B1058&gt;=in_marketplace_from,d_hz_loan_home*G1058,0)*BZ1058)</f>
        <v/>
      </c>
      <c r="BZ1059" s="11">
        <f>MIN(in_approval_cap,in_loan_home_approval*INDEX('Age profile'!$O$2:$O$61,B1059)*(1+in_approval_growth)^(D1059-1))</f>
        <v/>
      </c>
      <c r="CA1059" s="14">
        <f>F1059*BY1059*IF(B1059&gt;=in_marketplace_from,d_hz_loan_home*G1059,0)*BZ1059*in_loan_home_ticket*in_loan_home_comm</f>
        <v/>
      </c>
      <c r="CB1059" s="40">
        <f>CB1058*(1-IF(B1058&gt;=in_marketplace_from,d_hz_loan_lap*G1058,0)*CC1058)</f>
        <v/>
      </c>
      <c r="CC1059" s="11">
        <f>MIN(in_approval_cap,in_loan_lap_approval*INDEX('Age profile'!$O$2:$O$61,B1059)*(1+in_approval_growth)^(D1059-1))</f>
        <v/>
      </c>
      <c r="CD1059" s="14">
        <f>F1059*CB1059*IF(B1059&gt;=in_marketplace_from,d_hz_loan_lap*G1059,0)*CC1059*in_loan_lap_ticket*in_loan_lap_comm</f>
        <v/>
      </c>
      <c r="CE1059" s="14">
        <f>AA1059+AB1059+AC1059+AD1059+AG1059+AJ1059+AM1059+AP1059+AS1059+AU1059+AX1059+BB1059+BE1059+BG1059+BJ1059+BL1059+BO1059+BR1059+BT1059+BV1059+BX1059+CA1059+CD1059</f>
        <v/>
      </c>
    </row>
    <row r="1060">
      <c r="A1060" s="39" t="n">
        <v>22</v>
      </c>
      <c r="B1060" s="39" t="n">
        <v>9</v>
      </c>
      <c r="C1060" s="39">
        <f>A1060+B1060-1</f>
        <v/>
      </c>
      <c r="D1060" s="39">
        <f>INT((C1060-1)/12)+1</f>
        <v/>
      </c>
      <c r="E1060" s="44">
        <f>INDEX(Monthly!$B$2:$B$61,A1060)</f>
        <v/>
      </c>
      <c r="F1060" s="44">
        <f>E1060*INDEX('Age profile'!$B$2:$B$61,B1060)</f>
        <v/>
      </c>
      <c r="G1060" s="45">
        <f>MIN(in_takeup_cap,INDEX('Age profile'!$N$2:$N$61,B1060)*(1+in_takeup_growth)^(D1060-1))</f>
        <v/>
      </c>
      <c r="H1060" s="11">
        <f>MIN(in_approval_cap,in_approved_first*INDEX('Age profile'!$O$2:$O$61,B1060)*(1+in_approval_growth)^(D1060-1))</f>
        <v/>
      </c>
      <c r="I1060" s="45">
        <f>G1060*MIN(in_takeup_cap,INDEX('Age profile'!$O$2:$O$61,B1060)*(1+in_approval_growth)^(D1060-1))</f>
        <v/>
      </c>
      <c r="J1060" s="40">
        <f>(J1059-L1059)*F1060/F1059</f>
        <v/>
      </c>
      <c r="K1060" s="40">
        <f>(K1059-M1059)*F1060/F1059+SUMIFS(O1052:O1059,B1052:B1059,B1060-1-d_T)*F1060</f>
        <v/>
      </c>
      <c r="L1060" s="40">
        <f>IF(B1060&gt;=in_marketplace_from,J1060*d_hz*G1060*in_eligible*H1060,0)</f>
        <v/>
      </c>
      <c r="M1060" s="40">
        <f>IF(B1060&gt;=in_marketplace_from,K1060*d_hz*G1060*in_eligible*in_approved_repeat,0)</f>
        <v/>
      </c>
      <c r="N1060" s="40">
        <f>L1060+M1060</f>
        <v/>
      </c>
      <c r="O1060" s="46">
        <f>N1060/F1060</f>
        <v/>
      </c>
      <c r="P1060" s="40">
        <f>F1060-J1060-K1060</f>
        <v/>
      </c>
      <c r="Q1060" s="40">
        <f>IF(B1060&gt;=in_marketplace_from,(J1060+K1060)*d_hz*G1060,0)</f>
        <v/>
      </c>
      <c r="R1060" s="40">
        <f>SUMIFS(N1052:N1090,B1052:B1090,"&gt;="&amp;(B1060-d_T),B1052:B1090,"&lt;="&amp;(B1060-1))</f>
        <v/>
      </c>
      <c r="S1060" s="46">
        <f>(1-d_u)*S1059+IF(d_T&gt;in_topup_lag,SUMIFS(O1052:O1090,B1052:B1090,B1060-in_topup_lag)-d_udrop*SUMIFS(O1052:O1090,B1052:B1090,B1060-d_T),0)</f>
        <v/>
      </c>
      <c r="T1060" s="40">
        <f>F1060*d_u*S1060</f>
        <v/>
      </c>
      <c r="U1060" s="9">
        <f>L1060*in_ticket+M1060*d_rep_ticket</f>
        <v/>
      </c>
      <c r="V1060" s="9">
        <f>U1060+T1060*d_topup_amt</f>
        <v/>
      </c>
      <c r="W1060" s="40">
        <f>N1060+T1060*d_topup_ratio</f>
        <v/>
      </c>
      <c r="X1060" s="40">
        <f>SUMIFS(W1052:W1090,B1052:B1090,B1060-in_dpd_lag)*d_cured</f>
        <v/>
      </c>
      <c r="Y1060" s="40">
        <f>SUMIFS(W1052:W1090,B1052:B1090,B1060-in_rec_lag)*d_recd</f>
        <v/>
      </c>
      <c r="Z1060" s="40">
        <f>IF(AND(B1060&gt;=in_marketplace_from,B1060&lt;in_marketplace_from+in_card_months),in_card_share/in_card_months*F1060*I1060,IF(AND(B1060&gt;=in_marketplace_from+in_card_months,B1060&lt;in_marketplace_from+2*in_card_months),in_card_share*d_card_rem/in_card_months*F1060*MIN(in_takeup_cap,(1+in_takeup_growth)^(D1060-1))*MIN(in_takeup_cap,(1+in_approval_growth)^(D1060-1)),0))</f>
        <v/>
      </c>
      <c r="AA1060" s="14">
        <f>V1060*in_fee*(1-in_taken_back)</f>
        <v/>
      </c>
      <c r="AB1060" s="14">
        <f>SUMIFS(W1052:W1090,B1052:B1090,B1060-in_dpd_lag)*d_dpd</f>
        <v/>
      </c>
      <c r="AC1060" s="14">
        <f>SUMIFS(W1052:W1090,B1052:B1090,B1060-in_rec_lag)*d_rec</f>
        <v/>
      </c>
      <c r="AD1060" s="14">
        <f>Z1060*in_card_fee</f>
        <v/>
      </c>
      <c r="AE1060" s="40">
        <f>AE1059*(1-IF(B1059&gt;=in_marketplace_from,d_hz_hlth_small*G1059,0))</f>
        <v/>
      </c>
      <c r="AF1060" s="46">
        <f>AE1060*IF(B1060&gt;=in_marketplace_from,d_hz_hlth_small*G1060,0)</f>
        <v/>
      </c>
      <c r="AG1060" s="14">
        <f>F1060*AF1060*in_hlth_small_ticket*in_hlth_small_comm*in_ins_partner_share+F1060*in_hlth_small_ticket*in_hlth_small_renew_comm*in_ins_partner_share*(in_hlth_small_renew^1*SUMIFS(AF1052:AF1090,B1052:B1090,B1060-12)+in_hlth_small_renew^2*SUMIFS(AF1052:AF1090,B1052:B1090,B1060-24)+in_hlth_small_renew^3*SUMIFS(AF1052:AF1090,B1052:B1090,B1060-36)+in_hlth_small_renew^4*SUMIFS(AF1052:AF1090,B1052:B1090,B1060-48))</f>
        <v/>
      </c>
      <c r="AH1060" s="40">
        <f>AH1059*(1-IF(B1059&gt;=in_marketplace_from,d_hz_hlth_family*G1059,0))</f>
        <v/>
      </c>
      <c r="AI1060" s="46">
        <f>AH1060*IF(B1060&gt;=in_marketplace_from,d_hz_hlth_family*G1060,0)</f>
        <v/>
      </c>
      <c r="AJ1060" s="14">
        <f>F1060*AI1060*in_hlth_family_ticket*in_hlth_family_comm*in_ins_partner_share+F1060*in_hlth_family_ticket*in_hlth_family_renew_comm*in_ins_partner_share*(in_hlth_family_renew^1*SUMIFS(AI1052:AI1090,B1052:B1090,B1060-12)+in_hlth_family_renew^2*SUMIFS(AI1052:AI1090,B1052:B1090,B1060-24)+in_hlth_family_renew^3*SUMIFS(AI1052:AI1090,B1052:B1090,B1060-36)+in_hlth_family_renew^4*SUMIFS(AI1052:AI1090,B1052:B1090,B1060-48))</f>
        <v/>
      </c>
      <c r="AK1060" s="40">
        <f>AK1059*(1-IF(B1059&gt;=in_marketplace_from,d_hz_life_term*G1059,0))</f>
        <v/>
      </c>
      <c r="AL1060" s="46">
        <f>AK1060*IF(B1060&gt;=in_marketplace_from,d_hz_life_term*G1060,0)</f>
        <v/>
      </c>
      <c r="AM1060" s="14">
        <f>F1060*AL1060*in_life_term_ticket*in_life_term_comm*in_ins_partner_share+F1060*in_life_term_ticket*in_life_term_renew_comm*in_ins_partner_share*(in_life_term_renew^1*SUMIFS(AL1052:AL1090,B1052:B1090,B1060-12)+in_life_term_renew^2*SUMIFS(AL1052:AL1090,B1052:B1090,B1060-24)+in_life_term_renew^3*SUMIFS(AL1052:AL1090,B1052:B1090,B1060-36)+in_life_term_renew^4*SUMIFS(AL1052:AL1090,B1052:B1090,B1060-48))</f>
        <v/>
      </c>
      <c r="AN1060" s="40">
        <f>AN1059*(1-IF(B1059&gt;=in_marketplace_from,d_hz_accident*G1059,0))</f>
        <v/>
      </c>
      <c r="AO1060" s="46">
        <f>AN1060*IF(B1060&gt;=in_marketplace_from,d_hz_accident*G1060,0)</f>
        <v/>
      </c>
      <c r="AP1060" s="14">
        <f>F1060*AO1060*in_accident_ticket*in_accident_comm*in_ins_partner_share+F1060*in_accident_ticket*in_accident_renew_comm*in_ins_partner_share*(in_accident_renew^1*SUMIFS(AO1052:AO1090,B1052:B1090,B1060-12)+in_accident_renew^2*SUMIFS(AO1052:AO1090,B1052:B1090,B1060-24)+in_accident_renew^3*SUMIFS(AO1052:AO1090,B1052:B1090,B1060-36)+in_accident_renew^4*SUMIFS(AO1052:AO1090,B1052:B1090,B1060-48))</f>
        <v/>
      </c>
      <c r="AQ1060" s="40">
        <f>AQ1059*(1-IF(B1059&gt;=in_marketplace_from,d_hz_two_wheeler*G1059,0))</f>
        <v/>
      </c>
      <c r="AR1060" s="46">
        <f>AQ1060*IF(B1060&gt;=in_marketplace_from,d_hz_two_wheeler*G1060,0)</f>
        <v/>
      </c>
      <c r="AS1060" s="14">
        <f>F1060*AR1060*in_two_wheeler_ticket*in_two_wheeler_comm*in_ins_partner_share+F1060*in_two_wheeler_ticket*in_two_wheeler_comm*in_ins_partner_share*(in_two_wheeler_renew^1*SUMIFS(AR1052:AR1090,B1052:B1090,B1060-12)+in_two_wheeler_renew^2*SUMIFS(AR1052:AR1090,B1052:B1090,B1060-24)+in_two_wheeler_renew^3*SUMIFS(AR1052:AR1090,B1052:B1090,B1060-36)+in_two_wheeler_renew^4*SUMIFS(AR1052:AR1090,B1052:B1090,B1060-48))</f>
        <v/>
      </c>
      <c r="AT1060" s="40">
        <f>AT1059*(1-IF(B1059&gt;=in_marketplace_from,d_hz_device*G1059,0))</f>
        <v/>
      </c>
      <c r="AU1060" s="14">
        <f>F1060*AT1060*IF(B1060&gt;=in_marketplace_from,d_hz_device*G1060,0)*in_device_ticket*in_device_comm*in_ins_partner_share</f>
        <v/>
      </c>
      <c r="AV1060" s="40">
        <f>AV1059*(1-IF(B1059&gt;=in_marketplace_from,d_hz_shop*G1059,0))</f>
        <v/>
      </c>
      <c r="AW1060" s="46">
        <f>AV1060*IF(B1060&gt;=in_marketplace_from,d_hz_shop*G1060,0)</f>
        <v/>
      </c>
      <c r="AX1060" s="14">
        <f>F1060*AW1060*in_shop_ticket*in_shop_comm*in_ins_partner_share+F1060*in_shop_ticket*in_shop_renew_comm*in_ins_partner_share*(in_shop_renew^1*SUMIFS(AW1052:AW1090,B1052:B1090,B1060-12)+in_shop_renew^2*SUMIFS(AW1052:AW1090,B1052:B1090,B1060-24)+in_shop_renew^3*SUMIFS(AW1052:AW1090,B1052:B1090,B1060-36)+in_shop_renew^4*SUMIFS(AW1052:AW1090,B1052:B1090,B1060-48))</f>
        <v/>
      </c>
      <c r="AY1060" s="40">
        <f>AY1059*(1-IF(B1059&gt;=in_marketplace_from,d_hz_sip*G1059,0))</f>
        <v/>
      </c>
      <c r="AZ1060" s="40">
        <f>AZ1059*d_rho_sip+AY1060*IF(B1060&gt;=in_marketplace_from,d_hz_sip*G1060,0)</f>
        <v/>
      </c>
      <c r="BA1060" s="40">
        <f>d_rho_sip*(BA1059+AZ1059)</f>
        <v/>
      </c>
      <c r="BB1060" s="14">
        <f>F1060*in_sip_ticket*(BA1060+0.5*AZ1060)*in_sip_comm/12</f>
        <v/>
      </c>
      <c r="BC1060" s="40">
        <f>BC1059*(1-IF(B1059&gt;=in_marketplace_from,d_hz_choti*G1059,0))</f>
        <v/>
      </c>
      <c r="BD1060" s="46">
        <f>BC1060*IF(B1060&gt;=in_marketplace_from,d_hz_choti*G1060,0)</f>
        <v/>
      </c>
      <c r="BE1060" s="14">
        <f>F1060*SUMIFS(BD1052:BD1090,B1052:B1090,B1060-in_choti_months)*in_choti_renew*in_choti_ticket</f>
        <v/>
      </c>
      <c r="BF1060" s="40">
        <f>BF1059*(1-IF(B1059&gt;=in_marketplace_from,d_hz_nps*G1059,0))</f>
        <v/>
      </c>
      <c r="BG1060" s="14">
        <f>F1060*BF1060*IF(B1060&gt;=in_marketplace_from,d_hz_nps*G1060,0)*in_nps_ticket*in_nps_comm</f>
        <v/>
      </c>
      <c r="BH1060" s="40">
        <f>BH1059*(1-IF(B1059&gt;=in_marketplace_from,d_hz_gold*G1059,0))</f>
        <v/>
      </c>
      <c r="BI1060" s="40">
        <f>BI1059*d_rho_gold+BH1060*IF(B1060&gt;=in_marketplace_from,d_hz_gold*G1060,0)</f>
        <v/>
      </c>
      <c r="BJ1060" s="14">
        <f>F1060*BI1060*in_gold_ticket*in_gold_comm</f>
        <v/>
      </c>
      <c r="BK1060" s="40">
        <f>BK1059*(1-IF(B1059&gt;=in_marketplace_from,d_hz_fd*G1059,0))</f>
        <v/>
      </c>
      <c r="BL1060" s="14">
        <f>F1060*BK1060*IF(B1060&gt;=in_marketplace_from,d_hz_fd*G1060,0)*in_fd_ticket*in_fd_comm</f>
        <v/>
      </c>
      <c r="BM1060" s="40">
        <f>BM1059*(1-IF(B1059&gt;=in_marketplace_from,d_hz_recharge*G1059,0))</f>
        <v/>
      </c>
      <c r="BN1060" s="40">
        <f>BN1059*d_rho_recharge+BM1060*IF(B1060&gt;=in_marketplace_from,d_hz_recharge*G1060,0)</f>
        <v/>
      </c>
      <c r="BO1060" s="14">
        <f>F1060*BN1060*in_recharge_ticket*in_recharge_comm/12</f>
        <v/>
      </c>
      <c r="BP1060" s="40">
        <f>BP1059*(1-IF(B1059&gt;=in_marketplace_from,d_hz_bills*G1059,0))</f>
        <v/>
      </c>
      <c r="BQ1060" s="40">
        <f>BQ1059*d_rho_bills+BP1060*IF(B1060&gt;=in_marketplace_from,d_hz_bills*G1060,0)</f>
        <v/>
      </c>
      <c r="BR1060" s="14">
        <f>F1060*BQ1060*in_bills_ticket*in_bills_comm/12</f>
        <v/>
      </c>
      <c r="BS1060" s="40">
        <f>BS1059*(1-IF(B1059&gt;=in_marketplace_from,d_hz_loan_gold*G1059,0))</f>
        <v/>
      </c>
      <c r="BT1060" s="14">
        <f>F1060*BS1060*IF(B1060&gt;=in_marketplace_from,d_hz_loan_gold*G1060,0)*in_loan_gold_ticket*in_loan_gold_comm</f>
        <v/>
      </c>
      <c r="BU1060" s="40">
        <f>BU1059*(1-IF(B1059&gt;=in_marketplace_from,d_hz_loan_cd*G1059,0))</f>
        <v/>
      </c>
      <c r="BV1060" s="14">
        <f>F1060*BU1060*IF(B1060&gt;=in_marketplace_from,d_hz_loan_cd*G1060,0)*in_loan_cd_ticket*in_loan_cd_comm</f>
        <v/>
      </c>
      <c r="BW1060" s="40">
        <f>BW1059*(1-IF(B1059&gt;=in_marketplace_from,d_hz_loan_vehicle*G1059,0))</f>
        <v/>
      </c>
      <c r="BX1060" s="14">
        <f>F1060*BW1060*IF(B1060&gt;=in_marketplace_from,d_hz_loan_vehicle*G1060,0)*in_loan_vehicle_ticket*in_loan_vehicle_comm</f>
        <v/>
      </c>
      <c r="BY1060" s="40">
        <f>BY1059*(1-IF(B1059&gt;=in_marketplace_from,d_hz_loan_home*G1059,0)*BZ1059)</f>
        <v/>
      </c>
      <c r="BZ1060" s="11">
        <f>MIN(in_approval_cap,in_loan_home_approval*INDEX('Age profile'!$O$2:$O$61,B1060)*(1+in_approval_growth)^(D1060-1))</f>
        <v/>
      </c>
      <c r="CA1060" s="14">
        <f>F1060*BY1060*IF(B1060&gt;=in_marketplace_from,d_hz_loan_home*G1060,0)*BZ1060*in_loan_home_ticket*in_loan_home_comm</f>
        <v/>
      </c>
      <c r="CB1060" s="40">
        <f>CB1059*(1-IF(B1059&gt;=in_marketplace_from,d_hz_loan_lap*G1059,0)*CC1059)</f>
        <v/>
      </c>
      <c r="CC1060" s="11">
        <f>MIN(in_approval_cap,in_loan_lap_approval*INDEX('Age profile'!$O$2:$O$61,B1060)*(1+in_approval_growth)^(D1060-1))</f>
        <v/>
      </c>
      <c r="CD1060" s="14">
        <f>F1060*CB1060*IF(B1060&gt;=in_marketplace_from,d_hz_loan_lap*G1060,0)*CC1060*in_loan_lap_ticket*in_loan_lap_comm</f>
        <v/>
      </c>
      <c r="CE1060" s="14">
        <f>AA1060+AB1060+AC1060+AD1060+AG1060+AJ1060+AM1060+AP1060+AS1060+AU1060+AX1060+BB1060+BE1060+BG1060+BJ1060+BL1060+BO1060+BR1060+BT1060+BV1060+BX1060+CA1060+CD1060</f>
        <v/>
      </c>
    </row>
    <row r="1061">
      <c r="A1061" s="39" t="n">
        <v>22</v>
      </c>
      <c r="B1061" s="39" t="n">
        <v>10</v>
      </c>
      <c r="C1061" s="39">
        <f>A1061+B1061-1</f>
        <v/>
      </c>
      <c r="D1061" s="39">
        <f>INT((C1061-1)/12)+1</f>
        <v/>
      </c>
      <c r="E1061" s="44">
        <f>INDEX(Monthly!$B$2:$B$61,A1061)</f>
        <v/>
      </c>
      <c r="F1061" s="44">
        <f>E1061*INDEX('Age profile'!$B$2:$B$61,B1061)</f>
        <v/>
      </c>
      <c r="G1061" s="45">
        <f>MIN(in_takeup_cap,INDEX('Age profile'!$N$2:$N$61,B1061)*(1+in_takeup_growth)^(D1061-1))</f>
        <v/>
      </c>
      <c r="H1061" s="11">
        <f>MIN(in_approval_cap,in_approved_first*INDEX('Age profile'!$O$2:$O$61,B1061)*(1+in_approval_growth)^(D1061-1))</f>
        <v/>
      </c>
      <c r="I1061" s="45">
        <f>G1061*MIN(in_takeup_cap,INDEX('Age profile'!$O$2:$O$61,B1061)*(1+in_approval_growth)^(D1061-1))</f>
        <v/>
      </c>
      <c r="J1061" s="40">
        <f>(J1060-L1060)*F1061/F1060</f>
        <v/>
      </c>
      <c r="K1061" s="40">
        <f>(K1060-M1060)*F1061/F1060+SUMIFS(O1052:O1060,B1052:B1060,B1061-1-d_T)*F1061</f>
        <v/>
      </c>
      <c r="L1061" s="40">
        <f>IF(B1061&gt;=in_marketplace_from,J1061*d_hz*G1061*in_eligible*H1061,0)</f>
        <v/>
      </c>
      <c r="M1061" s="40">
        <f>IF(B1061&gt;=in_marketplace_from,K1061*d_hz*G1061*in_eligible*in_approved_repeat,0)</f>
        <v/>
      </c>
      <c r="N1061" s="40">
        <f>L1061+M1061</f>
        <v/>
      </c>
      <c r="O1061" s="46">
        <f>N1061/F1061</f>
        <v/>
      </c>
      <c r="P1061" s="40">
        <f>F1061-J1061-K1061</f>
        <v/>
      </c>
      <c r="Q1061" s="40">
        <f>IF(B1061&gt;=in_marketplace_from,(J1061+K1061)*d_hz*G1061,0)</f>
        <v/>
      </c>
      <c r="R1061" s="40">
        <f>SUMIFS(N1052:N1090,B1052:B1090,"&gt;="&amp;(B1061-d_T),B1052:B1090,"&lt;="&amp;(B1061-1))</f>
        <v/>
      </c>
      <c r="S1061" s="46">
        <f>(1-d_u)*S1060+IF(d_T&gt;in_topup_lag,SUMIFS(O1052:O1090,B1052:B1090,B1061-in_topup_lag)-d_udrop*SUMIFS(O1052:O1090,B1052:B1090,B1061-d_T),0)</f>
        <v/>
      </c>
      <c r="T1061" s="40">
        <f>F1061*d_u*S1061</f>
        <v/>
      </c>
      <c r="U1061" s="9">
        <f>L1061*in_ticket+M1061*d_rep_ticket</f>
        <v/>
      </c>
      <c r="V1061" s="9">
        <f>U1061+T1061*d_topup_amt</f>
        <v/>
      </c>
      <c r="W1061" s="40">
        <f>N1061+T1061*d_topup_ratio</f>
        <v/>
      </c>
      <c r="X1061" s="40">
        <f>SUMIFS(W1052:W1090,B1052:B1090,B1061-in_dpd_lag)*d_cured</f>
        <v/>
      </c>
      <c r="Y1061" s="40">
        <f>SUMIFS(W1052:W1090,B1052:B1090,B1061-in_rec_lag)*d_recd</f>
        <v/>
      </c>
      <c r="Z1061" s="40">
        <f>IF(AND(B1061&gt;=in_marketplace_from,B1061&lt;in_marketplace_from+in_card_months),in_card_share/in_card_months*F1061*I1061,IF(AND(B1061&gt;=in_marketplace_from+in_card_months,B1061&lt;in_marketplace_from+2*in_card_months),in_card_share*d_card_rem/in_card_months*F1061*MIN(in_takeup_cap,(1+in_takeup_growth)^(D1061-1))*MIN(in_takeup_cap,(1+in_approval_growth)^(D1061-1)),0))</f>
        <v/>
      </c>
      <c r="AA1061" s="14">
        <f>V1061*in_fee*(1-in_taken_back)</f>
        <v/>
      </c>
      <c r="AB1061" s="14">
        <f>SUMIFS(W1052:W1090,B1052:B1090,B1061-in_dpd_lag)*d_dpd</f>
        <v/>
      </c>
      <c r="AC1061" s="14">
        <f>SUMIFS(W1052:W1090,B1052:B1090,B1061-in_rec_lag)*d_rec</f>
        <v/>
      </c>
      <c r="AD1061" s="14">
        <f>Z1061*in_card_fee</f>
        <v/>
      </c>
      <c r="AE1061" s="40">
        <f>AE1060*(1-IF(B1060&gt;=in_marketplace_from,d_hz_hlth_small*G1060,0))</f>
        <v/>
      </c>
      <c r="AF1061" s="46">
        <f>AE1061*IF(B1061&gt;=in_marketplace_from,d_hz_hlth_small*G1061,0)</f>
        <v/>
      </c>
      <c r="AG1061" s="14">
        <f>F1061*AF1061*in_hlth_small_ticket*in_hlth_small_comm*in_ins_partner_share+F1061*in_hlth_small_ticket*in_hlth_small_renew_comm*in_ins_partner_share*(in_hlth_small_renew^1*SUMIFS(AF1052:AF1090,B1052:B1090,B1061-12)+in_hlth_small_renew^2*SUMIFS(AF1052:AF1090,B1052:B1090,B1061-24)+in_hlth_small_renew^3*SUMIFS(AF1052:AF1090,B1052:B1090,B1061-36)+in_hlth_small_renew^4*SUMIFS(AF1052:AF1090,B1052:B1090,B1061-48))</f>
        <v/>
      </c>
      <c r="AH1061" s="40">
        <f>AH1060*(1-IF(B1060&gt;=in_marketplace_from,d_hz_hlth_family*G1060,0))</f>
        <v/>
      </c>
      <c r="AI1061" s="46">
        <f>AH1061*IF(B1061&gt;=in_marketplace_from,d_hz_hlth_family*G1061,0)</f>
        <v/>
      </c>
      <c r="AJ1061" s="14">
        <f>F1061*AI1061*in_hlth_family_ticket*in_hlth_family_comm*in_ins_partner_share+F1061*in_hlth_family_ticket*in_hlth_family_renew_comm*in_ins_partner_share*(in_hlth_family_renew^1*SUMIFS(AI1052:AI1090,B1052:B1090,B1061-12)+in_hlth_family_renew^2*SUMIFS(AI1052:AI1090,B1052:B1090,B1061-24)+in_hlth_family_renew^3*SUMIFS(AI1052:AI1090,B1052:B1090,B1061-36)+in_hlth_family_renew^4*SUMIFS(AI1052:AI1090,B1052:B1090,B1061-48))</f>
        <v/>
      </c>
      <c r="AK1061" s="40">
        <f>AK1060*(1-IF(B1060&gt;=in_marketplace_from,d_hz_life_term*G1060,0))</f>
        <v/>
      </c>
      <c r="AL1061" s="46">
        <f>AK1061*IF(B1061&gt;=in_marketplace_from,d_hz_life_term*G1061,0)</f>
        <v/>
      </c>
      <c r="AM1061" s="14">
        <f>F1061*AL1061*in_life_term_ticket*in_life_term_comm*in_ins_partner_share+F1061*in_life_term_ticket*in_life_term_renew_comm*in_ins_partner_share*(in_life_term_renew^1*SUMIFS(AL1052:AL1090,B1052:B1090,B1061-12)+in_life_term_renew^2*SUMIFS(AL1052:AL1090,B1052:B1090,B1061-24)+in_life_term_renew^3*SUMIFS(AL1052:AL1090,B1052:B1090,B1061-36)+in_life_term_renew^4*SUMIFS(AL1052:AL1090,B1052:B1090,B1061-48))</f>
        <v/>
      </c>
      <c r="AN1061" s="40">
        <f>AN1060*(1-IF(B1060&gt;=in_marketplace_from,d_hz_accident*G1060,0))</f>
        <v/>
      </c>
      <c r="AO1061" s="46">
        <f>AN1061*IF(B1061&gt;=in_marketplace_from,d_hz_accident*G1061,0)</f>
        <v/>
      </c>
      <c r="AP1061" s="14">
        <f>F1061*AO1061*in_accident_ticket*in_accident_comm*in_ins_partner_share+F1061*in_accident_ticket*in_accident_renew_comm*in_ins_partner_share*(in_accident_renew^1*SUMIFS(AO1052:AO1090,B1052:B1090,B1061-12)+in_accident_renew^2*SUMIFS(AO1052:AO1090,B1052:B1090,B1061-24)+in_accident_renew^3*SUMIFS(AO1052:AO1090,B1052:B1090,B1061-36)+in_accident_renew^4*SUMIFS(AO1052:AO1090,B1052:B1090,B1061-48))</f>
        <v/>
      </c>
      <c r="AQ1061" s="40">
        <f>AQ1060*(1-IF(B1060&gt;=in_marketplace_from,d_hz_two_wheeler*G1060,0))</f>
        <v/>
      </c>
      <c r="AR1061" s="46">
        <f>AQ1061*IF(B1061&gt;=in_marketplace_from,d_hz_two_wheeler*G1061,0)</f>
        <v/>
      </c>
      <c r="AS1061" s="14">
        <f>F1061*AR1061*in_two_wheeler_ticket*in_two_wheeler_comm*in_ins_partner_share+F1061*in_two_wheeler_ticket*in_two_wheeler_comm*in_ins_partner_share*(in_two_wheeler_renew^1*SUMIFS(AR1052:AR1090,B1052:B1090,B1061-12)+in_two_wheeler_renew^2*SUMIFS(AR1052:AR1090,B1052:B1090,B1061-24)+in_two_wheeler_renew^3*SUMIFS(AR1052:AR1090,B1052:B1090,B1061-36)+in_two_wheeler_renew^4*SUMIFS(AR1052:AR1090,B1052:B1090,B1061-48))</f>
        <v/>
      </c>
      <c r="AT1061" s="40">
        <f>AT1060*(1-IF(B1060&gt;=in_marketplace_from,d_hz_device*G1060,0))</f>
        <v/>
      </c>
      <c r="AU1061" s="14">
        <f>F1061*AT1061*IF(B1061&gt;=in_marketplace_from,d_hz_device*G1061,0)*in_device_ticket*in_device_comm*in_ins_partner_share</f>
        <v/>
      </c>
      <c r="AV1061" s="40">
        <f>AV1060*(1-IF(B1060&gt;=in_marketplace_from,d_hz_shop*G1060,0))</f>
        <v/>
      </c>
      <c r="AW1061" s="46">
        <f>AV1061*IF(B1061&gt;=in_marketplace_from,d_hz_shop*G1061,0)</f>
        <v/>
      </c>
      <c r="AX1061" s="14">
        <f>F1061*AW1061*in_shop_ticket*in_shop_comm*in_ins_partner_share+F1061*in_shop_ticket*in_shop_renew_comm*in_ins_partner_share*(in_shop_renew^1*SUMIFS(AW1052:AW1090,B1052:B1090,B1061-12)+in_shop_renew^2*SUMIFS(AW1052:AW1090,B1052:B1090,B1061-24)+in_shop_renew^3*SUMIFS(AW1052:AW1090,B1052:B1090,B1061-36)+in_shop_renew^4*SUMIFS(AW1052:AW1090,B1052:B1090,B1061-48))</f>
        <v/>
      </c>
      <c r="AY1061" s="40">
        <f>AY1060*(1-IF(B1060&gt;=in_marketplace_from,d_hz_sip*G1060,0))</f>
        <v/>
      </c>
      <c r="AZ1061" s="40">
        <f>AZ1060*d_rho_sip+AY1061*IF(B1061&gt;=in_marketplace_from,d_hz_sip*G1061,0)</f>
        <v/>
      </c>
      <c r="BA1061" s="40">
        <f>d_rho_sip*(BA1060+AZ1060)</f>
        <v/>
      </c>
      <c r="BB1061" s="14">
        <f>F1061*in_sip_ticket*(BA1061+0.5*AZ1061)*in_sip_comm/12</f>
        <v/>
      </c>
      <c r="BC1061" s="40">
        <f>BC1060*(1-IF(B1060&gt;=in_marketplace_from,d_hz_choti*G1060,0))</f>
        <v/>
      </c>
      <c r="BD1061" s="46">
        <f>BC1061*IF(B1061&gt;=in_marketplace_from,d_hz_choti*G1061,0)</f>
        <v/>
      </c>
      <c r="BE1061" s="14">
        <f>F1061*SUMIFS(BD1052:BD1090,B1052:B1090,B1061-in_choti_months)*in_choti_renew*in_choti_ticket</f>
        <v/>
      </c>
      <c r="BF1061" s="40">
        <f>BF1060*(1-IF(B1060&gt;=in_marketplace_from,d_hz_nps*G1060,0))</f>
        <v/>
      </c>
      <c r="BG1061" s="14">
        <f>F1061*BF1061*IF(B1061&gt;=in_marketplace_from,d_hz_nps*G1061,0)*in_nps_ticket*in_nps_comm</f>
        <v/>
      </c>
      <c r="BH1061" s="40">
        <f>BH1060*(1-IF(B1060&gt;=in_marketplace_from,d_hz_gold*G1060,0))</f>
        <v/>
      </c>
      <c r="BI1061" s="40">
        <f>BI1060*d_rho_gold+BH1061*IF(B1061&gt;=in_marketplace_from,d_hz_gold*G1061,0)</f>
        <v/>
      </c>
      <c r="BJ1061" s="14">
        <f>F1061*BI1061*in_gold_ticket*in_gold_comm</f>
        <v/>
      </c>
      <c r="BK1061" s="40">
        <f>BK1060*(1-IF(B1060&gt;=in_marketplace_from,d_hz_fd*G1060,0))</f>
        <v/>
      </c>
      <c r="BL1061" s="14">
        <f>F1061*BK1061*IF(B1061&gt;=in_marketplace_from,d_hz_fd*G1061,0)*in_fd_ticket*in_fd_comm</f>
        <v/>
      </c>
      <c r="BM1061" s="40">
        <f>BM1060*(1-IF(B1060&gt;=in_marketplace_from,d_hz_recharge*G1060,0))</f>
        <v/>
      </c>
      <c r="BN1061" s="40">
        <f>BN1060*d_rho_recharge+BM1061*IF(B1061&gt;=in_marketplace_from,d_hz_recharge*G1061,0)</f>
        <v/>
      </c>
      <c r="BO1061" s="14">
        <f>F1061*BN1061*in_recharge_ticket*in_recharge_comm/12</f>
        <v/>
      </c>
      <c r="BP1061" s="40">
        <f>BP1060*(1-IF(B1060&gt;=in_marketplace_from,d_hz_bills*G1060,0))</f>
        <v/>
      </c>
      <c r="BQ1061" s="40">
        <f>BQ1060*d_rho_bills+BP1061*IF(B1061&gt;=in_marketplace_from,d_hz_bills*G1061,0)</f>
        <v/>
      </c>
      <c r="BR1061" s="14">
        <f>F1061*BQ1061*in_bills_ticket*in_bills_comm/12</f>
        <v/>
      </c>
      <c r="BS1061" s="40">
        <f>BS1060*(1-IF(B1060&gt;=in_marketplace_from,d_hz_loan_gold*G1060,0))</f>
        <v/>
      </c>
      <c r="BT1061" s="14">
        <f>F1061*BS1061*IF(B1061&gt;=in_marketplace_from,d_hz_loan_gold*G1061,0)*in_loan_gold_ticket*in_loan_gold_comm</f>
        <v/>
      </c>
      <c r="BU1061" s="40">
        <f>BU1060*(1-IF(B1060&gt;=in_marketplace_from,d_hz_loan_cd*G1060,0))</f>
        <v/>
      </c>
      <c r="BV1061" s="14">
        <f>F1061*BU1061*IF(B1061&gt;=in_marketplace_from,d_hz_loan_cd*G1061,0)*in_loan_cd_ticket*in_loan_cd_comm</f>
        <v/>
      </c>
      <c r="BW1061" s="40">
        <f>BW1060*(1-IF(B1060&gt;=in_marketplace_from,d_hz_loan_vehicle*G1060,0))</f>
        <v/>
      </c>
      <c r="BX1061" s="14">
        <f>F1061*BW1061*IF(B1061&gt;=in_marketplace_from,d_hz_loan_vehicle*G1061,0)*in_loan_vehicle_ticket*in_loan_vehicle_comm</f>
        <v/>
      </c>
      <c r="BY1061" s="40">
        <f>BY1060*(1-IF(B1060&gt;=in_marketplace_from,d_hz_loan_home*G1060,0)*BZ1060)</f>
        <v/>
      </c>
      <c r="BZ1061" s="11">
        <f>MIN(in_approval_cap,in_loan_home_approval*INDEX('Age profile'!$O$2:$O$61,B1061)*(1+in_approval_growth)^(D1061-1))</f>
        <v/>
      </c>
      <c r="CA1061" s="14">
        <f>F1061*BY1061*IF(B1061&gt;=in_marketplace_from,d_hz_loan_home*G1061,0)*BZ1061*in_loan_home_ticket*in_loan_home_comm</f>
        <v/>
      </c>
      <c r="CB1061" s="40">
        <f>CB1060*(1-IF(B1060&gt;=in_marketplace_from,d_hz_loan_lap*G1060,0)*CC1060)</f>
        <v/>
      </c>
      <c r="CC1061" s="11">
        <f>MIN(in_approval_cap,in_loan_lap_approval*INDEX('Age profile'!$O$2:$O$61,B1061)*(1+in_approval_growth)^(D1061-1))</f>
        <v/>
      </c>
      <c r="CD1061" s="14">
        <f>F1061*CB1061*IF(B1061&gt;=in_marketplace_from,d_hz_loan_lap*G1061,0)*CC1061*in_loan_lap_ticket*in_loan_lap_comm</f>
        <v/>
      </c>
      <c r="CE1061" s="14">
        <f>AA1061+AB1061+AC1061+AD1061+AG1061+AJ1061+AM1061+AP1061+AS1061+AU1061+AX1061+BB1061+BE1061+BG1061+BJ1061+BL1061+BO1061+BR1061+BT1061+BV1061+BX1061+CA1061+CD1061</f>
        <v/>
      </c>
    </row>
    <row r="1062">
      <c r="A1062" s="39" t="n">
        <v>22</v>
      </c>
      <c r="B1062" s="39" t="n">
        <v>11</v>
      </c>
      <c r="C1062" s="39">
        <f>A1062+B1062-1</f>
        <v/>
      </c>
      <c r="D1062" s="39">
        <f>INT((C1062-1)/12)+1</f>
        <v/>
      </c>
      <c r="E1062" s="44">
        <f>INDEX(Monthly!$B$2:$B$61,A1062)</f>
        <v/>
      </c>
      <c r="F1062" s="44">
        <f>E1062*INDEX('Age profile'!$B$2:$B$61,B1062)</f>
        <v/>
      </c>
      <c r="G1062" s="45">
        <f>MIN(in_takeup_cap,INDEX('Age profile'!$N$2:$N$61,B1062)*(1+in_takeup_growth)^(D1062-1))</f>
        <v/>
      </c>
      <c r="H1062" s="11">
        <f>MIN(in_approval_cap,in_approved_first*INDEX('Age profile'!$O$2:$O$61,B1062)*(1+in_approval_growth)^(D1062-1))</f>
        <v/>
      </c>
      <c r="I1062" s="45">
        <f>G1062*MIN(in_takeup_cap,INDEX('Age profile'!$O$2:$O$61,B1062)*(1+in_approval_growth)^(D1062-1))</f>
        <v/>
      </c>
      <c r="J1062" s="40">
        <f>(J1061-L1061)*F1062/F1061</f>
        <v/>
      </c>
      <c r="K1062" s="40">
        <f>(K1061-M1061)*F1062/F1061+SUMIFS(O1052:O1061,B1052:B1061,B1062-1-d_T)*F1062</f>
        <v/>
      </c>
      <c r="L1062" s="40">
        <f>IF(B1062&gt;=in_marketplace_from,J1062*d_hz*G1062*in_eligible*H1062,0)</f>
        <v/>
      </c>
      <c r="M1062" s="40">
        <f>IF(B1062&gt;=in_marketplace_from,K1062*d_hz*G1062*in_eligible*in_approved_repeat,0)</f>
        <v/>
      </c>
      <c r="N1062" s="40">
        <f>L1062+M1062</f>
        <v/>
      </c>
      <c r="O1062" s="46">
        <f>N1062/F1062</f>
        <v/>
      </c>
      <c r="P1062" s="40">
        <f>F1062-J1062-K1062</f>
        <v/>
      </c>
      <c r="Q1062" s="40">
        <f>IF(B1062&gt;=in_marketplace_from,(J1062+K1062)*d_hz*G1062,0)</f>
        <v/>
      </c>
      <c r="R1062" s="40">
        <f>SUMIFS(N1052:N1090,B1052:B1090,"&gt;="&amp;(B1062-d_T),B1052:B1090,"&lt;="&amp;(B1062-1))</f>
        <v/>
      </c>
      <c r="S1062" s="46">
        <f>(1-d_u)*S1061+IF(d_T&gt;in_topup_lag,SUMIFS(O1052:O1090,B1052:B1090,B1062-in_topup_lag)-d_udrop*SUMIFS(O1052:O1090,B1052:B1090,B1062-d_T),0)</f>
        <v/>
      </c>
      <c r="T1062" s="40">
        <f>F1062*d_u*S1062</f>
        <v/>
      </c>
      <c r="U1062" s="9">
        <f>L1062*in_ticket+M1062*d_rep_ticket</f>
        <v/>
      </c>
      <c r="V1062" s="9">
        <f>U1062+T1062*d_topup_amt</f>
        <v/>
      </c>
      <c r="W1062" s="40">
        <f>N1062+T1062*d_topup_ratio</f>
        <v/>
      </c>
      <c r="X1062" s="40">
        <f>SUMIFS(W1052:W1090,B1052:B1090,B1062-in_dpd_lag)*d_cured</f>
        <v/>
      </c>
      <c r="Y1062" s="40">
        <f>SUMIFS(W1052:W1090,B1052:B1090,B1062-in_rec_lag)*d_recd</f>
        <v/>
      </c>
      <c r="Z1062" s="40">
        <f>IF(AND(B1062&gt;=in_marketplace_from,B1062&lt;in_marketplace_from+in_card_months),in_card_share/in_card_months*F1062*I1062,IF(AND(B1062&gt;=in_marketplace_from+in_card_months,B1062&lt;in_marketplace_from+2*in_card_months),in_card_share*d_card_rem/in_card_months*F1062*MIN(in_takeup_cap,(1+in_takeup_growth)^(D1062-1))*MIN(in_takeup_cap,(1+in_approval_growth)^(D1062-1)),0))</f>
        <v/>
      </c>
      <c r="AA1062" s="14">
        <f>V1062*in_fee*(1-in_taken_back)</f>
        <v/>
      </c>
      <c r="AB1062" s="14">
        <f>SUMIFS(W1052:W1090,B1052:B1090,B1062-in_dpd_lag)*d_dpd</f>
        <v/>
      </c>
      <c r="AC1062" s="14">
        <f>SUMIFS(W1052:W1090,B1052:B1090,B1062-in_rec_lag)*d_rec</f>
        <v/>
      </c>
      <c r="AD1062" s="14">
        <f>Z1062*in_card_fee</f>
        <v/>
      </c>
      <c r="AE1062" s="40">
        <f>AE1061*(1-IF(B1061&gt;=in_marketplace_from,d_hz_hlth_small*G1061,0))</f>
        <v/>
      </c>
      <c r="AF1062" s="46">
        <f>AE1062*IF(B1062&gt;=in_marketplace_from,d_hz_hlth_small*G1062,0)</f>
        <v/>
      </c>
      <c r="AG1062" s="14">
        <f>F1062*AF1062*in_hlth_small_ticket*in_hlth_small_comm*in_ins_partner_share+F1062*in_hlth_small_ticket*in_hlth_small_renew_comm*in_ins_partner_share*(in_hlth_small_renew^1*SUMIFS(AF1052:AF1090,B1052:B1090,B1062-12)+in_hlth_small_renew^2*SUMIFS(AF1052:AF1090,B1052:B1090,B1062-24)+in_hlth_small_renew^3*SUMIFS(AF1052:AF1090,B1052:B1090,B1062-36)+in_hlth_small_renew^4*SUMIFS(AF1052:AF1090,B1052:B1090,B1062-48))</f>
        <v/>
      </c>
      <c r="AH1062" s="40">
        <f>AH1061*(1-IF(B1061&gt;=in_marketplace_from,d_hz_hlth_family*G1061,0))</f>
        <v/>
      </c>
      <c r="AI1062" s="46">
        <f>AH1062*IF(B1062&gt;=in_marketplace_from,d_hz_hlth_family*G1062,0)</f>
        <v/>
      </c>
      <c r="AJ1062" s="14">
        <f>F1062*AI1062*in_hlth_family_ticket*in_hlth_family_comm*in_ins_partner_share+F1062*in_hlth_family_ticket*in_hlth_family_renew_comm*in_ins_partner_share*(in_hlth_family_renew^1*SUMIFS(AI1052:AI1090,B1052:B1090,B1062-12)+in_hlth_family_renew^2*SUMIFS(AI1052:AI1090,B1052:B1090,B1062-24)+in_hlth_family_renew^3*SUMIFS(AI1052:AI1090,B1052:B1090,B1062-36)+in_hlth_family_renew^4*SUMIFS(AI1052:AI1090,B1052:B1090,B1062-48))</f>
        <v/>
      </c>
      <c r="AK1062" s="40">
        <f>AK1061*(1-IF(B1061&gt;=in_marketplace_from,d_hz_life_term*G1061,0))</f>
        <v/>
      </c>
      <c r="AL1062" s="46">
        <f>AK1062*IF(B1062&gt;=in_marketplace_from,d_hz_life_term*G1062,0)</f>
        <v/>
      </c>
      <c r="AM1062" s="14">
        <f>F1062*AL1062*in_life_term_ticket*in_life_term_comm*in_ins_partner_share+F1062*in_life_term_ticket*in_life_term_renew_comm*in_ins_partner_share*(in_life_term_renew^1*SUMIFS(AL1052:AL1090,B1052:B1090,B1062-12)+in_life_term_renew^2*SUMIFS(AL1052:AL1090,B1052:B1090,B1062-24)+in_life_term_renew^3*SUMIFS(AL1052:AL1090,B1052:B1090,B1062-36)+in_life_term_renew^4*SUMIFS(AL1052:AL1090,B1052:B1090,B1062-48))</f>
        <v/>
      </c>
      <c r="AN1062" s="40">
        <f>AN1061*(1-IF(B1061&gt;=in_marketplace_from,d_hz_accident*G1061,0))</f>
        <v/>
      </c>
      <c r="AO1062" s="46">
        <f>AN1062*IF(B1062&gt;=in_marketplace_from,d_hz_accident*G1062,0)</f>
        <v/>
      </c>
      <c r="AP1062" s="14">
        <f>F1062*AO1062*in_accident_ticket*in_accident_comm*in_ins_partner_share+F1062*in_accident_ticket*in_accident_renew_comm*in_ins_partner_share*(in_accident_renew^1*SUMIFS(AO1052:AO1090,B1052:B1090,B1062-12)+in_accident_renew^2*SUMIFS(AO1052:AO1090,B1052:B1090,B1062-24)+in_accident_renew^3*SUMIFS(AO1052:AO1090,B1052:B1090,B1062-36)+in_accident_renew^4*SUMIFS(AO1052:AO1090,B1052:B1090,B1062-48))</f>
        <v/>
      </c>
      <c r="AQ1062" s="40">
        <f>AQ1061*(1-IF(B1061&gt;=in_marketplace_from,d_hz_two_wheeler*G1061,0))</f>
        <v/>
      </c>
      <c r="AR1062" s="46">
        <f>AQ1062*IF(B1062&gt;=in_marketplace_from,d_hz_two_wheeler*G1062,0)</f>
        <v/>
      </c>
      <c r="AS1062" s="14">
        <f>F1062*AR1062*in_two_wheeler_ticket*in_two_wheeler_comm*in_ins_partner_share+F1062*in_two_wheeler_ticket*in_two_wheeler_comm*in_ins_partner_share*(in_two_wheeler_renew^1*SUMIFS(AR1052:AR1090,B1052:B1090,B1062-12)+in_two_wheeler_renew^2*SUMIFS(AR1052:AR1090,B1052:B1090,B1062-24)+in_two_wheeler_renew^3*SUMIFS(AR1052:AR1090,B1052:B1090,B1062-36)+in_two_wheeler_renew^4*SUMIFS(AR1052:AR1090,B1052:B1090,B1062-48))</f>
        <v/>
      </c>
      <c r="AT1062" s="40">
        <f>AT1061*(1-IF(B1061&gt;=in_marketplace_from,d_hz_device*G1061,0))</f>
        <v/>
      </c>
      <c r="AU1062" s="14">
        <f>F1062*AT1062*IF(B1062&gt;=in_marketplace_from,d_hz_device*G1062,0)*in_device_ticket*in_device_comm*in_ins_partner_share</f>
        <v/>
      </c>
      <c r="AV1062" s="40">
        <f>AV1061*(1-IF(B1061&gt;=in_marketplace_from,d_hz_shop*G1061,0))</f>
        <v/>
      </c>
      <c r="AW1062" s="46">
        <f>AV1062*IF(B1062&gt;=in_marketplace_from,d_hz_shop*G1062,0)</f>
        <v/>
      </c>
      <c r="AX1062" s="14">
        <f>F1062*AW1062*in_shop_ticket*in_shop_comm*in_ins_partner_share+F1062*in_shop_ticket*in_shop_renew_comm*in_ins_partner_share*(in_shop_renew^1*SUMIFS(AW1052:AW1090,B1052:B1090,B1062-12)+in_shop_renew^2*SUMIFS(AW1052:AW1090,B1052:B1090,B1062-24)+in_shop_renew^3*SUMIFS(AW1052:AW1090,B1052:B1090,B1062-36)+in_shop_renew^4*SUMIFS(AW1052:AW1090,B1052:B1090,B1062-48))</f>
        <v/>
      </c>
      <c r="AY1062" s="40">
        <f>AY1061*(1-IF(B1061&gt;=in_marketplace_from,d_hz_sip*G1061,0))</f>
        <v/>
      </c>
      <c r="AZ1062" s="40">
        <f>AZ1061*d_rho_sip+AY1062*IF(B1062&gt;=in_marketplace_from,d_hz_sip*G1062,0)</f>
        <v/>
      </c>
      <c r="BA1062" s="40">
        <f>d_rho_sip*(BA1061+AZ1061)</f>
        <v/>
      </c>
      <c r="BB1062" s="14">
        <f>F1062*in_sip_ticket*(BA1062+0.5*AZ1062)*in_sip_comm/12</f>
        <v/>
      </c>
      <c r="BC1062" s="40">
        <f>BC1061*(1-IF(B1061&gt;=in_marketplace_from,d_hz_choti*G1061,0))</f>
        <v/>
      </c>
      <c r="BD1062" s="46">
        <f>BC1062*IF(B1062&gt;=in_marketplace_from,d_hz_choti*G1062,0)</f>
        <v/>
      </c>
      <c r="BE1062" s="14">
        <f>F1062*SUMIFS(BD1052:BD1090,B1052:B1090,B1062-in_choti_months)*in_choti_renew*in_choti_ticket</f>
        <v/>
      </c>
      <c r="BF1062" s="40">
        <f>BF1061*(1-IF(B1061&gt;=in_marketplace_from,d_hz_nps*G1061,0))</f>
        <v/>
      </c>
      <c r="BG1062" s="14">
        <f>F1062*BF1062*IF(B1062&gt;=in_marketplace_from,d_hz_nps*G1062,0)*in_nps_ticket*in_nps_comm</f>
        <v/>
      </c>
      <c r="BH1062" s="40">
        <f>BH1061*(1-IF(B1061&gt;=in_marketplace_from,d_hz_gold*G1061,0))</f>
        <v/>
      </c>
      <c r="BI1062" s="40">
        <f>BI1061*d_rho_gold+BH1062*IF(B1062&gt;=in_marketplace_from,d_hz_gold*G1062,0)</f>
        <v/>
      </c>
      <c r="BJ1062" s="14">
        <f>F1062*BI1062*in_gold_ticket*in_gold_comm</f>
        <v/>
      </c>
      <c r="BK1062" s="40">
        <f>BK1061*(1-IF(B1061&gt;=in_marketplace_from,d_hz_fd*G1061,0))</f>
        <v/>
      </c>
      <c r="BL1062" s="14">
        <f>F1062*BK1062*IF(B1062&gt;=in_marketplace_from,d_hz_fd*G1062,0)*in_fd_ticket*in_fd_comm</f>
        <v/>
      </c>
      <c r="BM1062" s="40">
        <f>BM1061*(1-IF(B1061&gt;=in_marketplace_from,d_hz_recharge*G1061,0))</f>
        <v/>
      </c>
      <c r="BN1062" s="40">
        <f>BN1061*d_rho_recharge+BM1062*IF(B1062&gt;=in_marketplace_from,d_hz_recharge*G1062,0)</f>
        <v/>
      </c>
      <c r="BO1062" s="14">
        <f>F1062*BN1062*in_recharge_ticket*in_recharge_comm/12</f>
        <v/>
      </c>
      <c r="BP1062" s="40">
        <f>BP1061*(1-IF(B1061&gt;=in_marketplace_from,d_hz_bills*G1061,0))</f>
        <v/>
      </c>
      <c r="BQ1062" s="40">
        <f>BQ1061*d_rho_bills+BP1062*IF(B1062&gt;=in_marketplace_from,d_hz_bills*G1062,0)</f>
        <v/>
      </c>
      <c r="BR1062" s="14">
        <f>F1062*BQ1062*in_bills_ticket*in_bills_comm/12</f>
        <v/>
      </c>
      <c r="BS1062" s="40">
        <f>BS1061*(1-IF(B1061&gt;=in_marketplace_from,d_hz_loan_gold*G1061,0))</f>
        <v/>
      </c>
      <c r="BT1062" s="14">
        <f>F1062*BS1062*IF(B1062&gt;=in_marketplace_from,d_hz_loan_gold*G1062,0)*in_loan_gold_ticket*in_loan_gold_comm</f>
        <v/>
      </c>
      <c r="BU1062" s="40">
        <f>BU1061*(1-IF(B1061&gt;=in_marketplace_from,d_hz_loan_cd*G1061,0))</f>
        <v/>
      </c>
      <c r="BV1062" s="14">
        <f>F1062*BU1062*IF(B1062&gt;=in_marketplace_from,d_hz_loan_cd*G1062,0)*in_loan_cd_ticket*in_loan_cd_comm</f>
        <v/>
      </c>
      <c r="BW1062" s="40">
        <f>BW1061*(1-IF(B1061&gt;=in_marketplace_from,d_hz_loan_vehicle*G1061,0))</f>
        <v/>
      </c>
      <c r="BX1062" s="14">
        <f>F1062*BW1062*IF(B1062&gt;=in_marketplace_from,d_hz_loan_vehicle*G1062,0)*in_loan_vehicle_ticket*in_loan_vehicle_comm</f>
        <v/>
      </c>
      <c r="BY1062" s="40">
        <f>BY1061*(1-IF(B1061&gt;=in_marketplace_from,d_hz_loan_home*G1061,0)*BZ1061)</f>
        <v/>
      </c>
      <c r="BZ1062" s="11">
        <f>MIN(in_approval_cap,in_loan_home_approval*INDEX('Age profile'!$O$2:$O$61,B1062)*(1+in_approval_growth)^(D1062-1))</f>
        <v/>
      </c>
      <c r="CA1062" s="14">
        <f>F1062*BY1062*IF(B1062&gt;=in_marketplace_from,d_hz_loan_home*G1062,0)*BZ1062*in_loan_home_ticket*in_loan_home_comm</f>
        <v/>
      </c>
      <c r="CB1062" s="40">
        <f>CB1061*(1-IF(B1061&gt;=in_marketplace_from,d_hz_loan_lap*G1061,0)*CC1061)</f>
        <v/>
      </c>
      <c r="CC1062" s="11">
        <f>MIN(in_approval_cap,in_loan_lap_approval*INDEX('Age profile'!$O$2:$O$61,B1062)*(1+in_approval_growth)^(D1062-1))</f>
        <v/>
      </c>
      <c r="CD1062" s="14">
        <f>F1062*CB1062*IF(B1062&gt;=in_marketplace_from,d_hz_loan_lap*G1062,0)*CC1062*in_loan_lap_ticket*in_loan_lap_comm</f>
        <v/>
      </c>
      <c r="CE1062" s="14">
        <f>AA1062+AB1062+AC1062+AD1062+AG1062+AJ1062+AM1062+AP1062+AS1062+AU1062+AX1062+BB1062+BE1062+BG1062+BJ1062+BL1062+BO1062+BR1062+BT1062+BV1062+BX1062+CA1062+CD1062</f>
        <v/>
      </c>
    </row>
    <row r="1063">
      <c r="A1063" s="39" t="n">
        <v>22</v>
      </c>
      <c r="B1063" s="39" t="n">
        <v>12</v>
      </c>
      <c r="C1063" s="39">
        <f>A1063+B1063-1</f>
        <v/>
      </c>
      <c r="D1063" s="39">
        <f>INT((C1063-1)/12)+1</f>
        <v/>
      </c>
      <c r="E1063" s="44">
        <f>INDEX(Monthly!$B$2:$B$61,A1063)</f>
        <v/>
      </c>
      <c r="F1063" s="44">
        <f>E1063*INDEX('Age profile'!$B$2:$B$61,B1063)</f>
        <v/>
      </c>
      <c r="G1063" s="45">
        <f>MIN(in_takeup_cap,INDEX('Age profile'!$N$2:$N$61,B1063)*(1+in_takeup_growth)^(D1063-1))</f>
        <v/>
      </c>
      <c r="H1063" s="11">
        <f>MIN(in_approval_cap,in_approved_first*INDEX('Age profile'!$O$2:$O$61,B1063)*(1+in_approval_growth)^(D1063-1))</f>
        <v/>
      </c>
      <c r="I1063" s="45">
        <f>G1063*MIN(in_takeup_cap,INDEX('Age profile'!$O$2:$O$61,B1063)*(1+in_approval_growth)^(D1063-1))</f>
        <v/>
      </c>
      <c r="J1063" s="40">
        <f>(J1062-L1062)*F1063/F1062</f>
        <v/>
      </c>
      <c r="K1063" s="40">
        <f>(K1062-M1062)*F1063/F1062+SUMIFS(O1052:O1062,B1052:B1062,B1063-1-d_T)*F1063</f>
        <v/>
      </c>
      <c r="L1063" s="40">
        <f>IF(B1063&gt;=in_marketplace_from,J1063*d_hz*G1063*in_eligible*H1063,0)</f>
        <v/>
      </c>
      <c r="M1063" s="40">
        <f>IF(B1063&gt;=in_marketplace_from,K1063*d_hz*G1063*in_eligible*in_approved_repeat,0)</f>
        <v/>
      </c>
      <c r="N1063" s="40">
        <f>L1063+M1063</f>
        <v/>
      </c>
      <c r="O1063" s="46">
        <f>N1063/F1063</f>
        <v/>
      </c>
      <c r="P1063" s="40">
        <f>F1063-J1063-K1063</f>
        <v/>
      </c>
      <c r="Q1063" s="40">
        <f>IF(B1063&gt;=in_marketplace_from,(J1063+K1063)*d_hz*G1063,0)</f>
        <v/>
      </c>
      <c r="R1063" s="40">
        <f>SUMIFS(N1052:N1090,B1052:B1090,"&gt;="&amp;(B1063-d_T),B1052:B1090,"&lt;="&amp;(B1063-1))</f>
        <v/>
      </c>
      <c r="S1063" s="46">
        <f>(1-d_u)*S1062+IF(d_T&gt;in_topup_lag,SUMIFS(O1052:O1090,B1052:B1090,B1063-in_topup_lag)-d_udrop*SUMIFS(O1052:O1090,B1052:B1090,B1063-d_T),0)</f>
        <v/>
      </c>
      <c r="T1063" s="40">
        <f>F1063*d_u*S1063</f>
        <v/>
      </c>
      <c r="U1063" s="9">
        <f>L1063*in_ticket+M1063*d_rep_ticket</f>
        <v/>
      </c>
      <c r="V1063" s="9">
        <f>U1063+T1063*d_topup_amt</f>
        <v/>
      </c>
      <c r="W1063" s="40">
        <f>N1063+T1063*d_topup_ratio</f>
        <v/>
      </c>
      <c r="X1063" s="40">
        <f>SUMIFS(W1052:W1090,B1052:B1090,B1063-in_dpd_lag)*d_cured</f>
        <v/>
      </c>
      <c r="Y1063" s="40">
        <f>SUMIFS(W1052:W1090,B1052:B1090,B1063-in_rec_lag)*d_recd</f>
        <v/>
      </c>
      <c r="Z1063" s="40">
        <f>IF(AND(B1063&gt;=in_marketplace_from,B1063&lt;in_marketplace_from+in_card_months),in_card_share/in_card_months*F1063*I1063,IF(AND(B1063&gt;=in_marketplace_from+in_card_months,B1063&lt;in_marketplace_from+2*in_card_months),in_card_share*d_card_rem/in_card_months*F1063*MIN(in_takeup_cap,(1+in_takeup_growth)^(D1063-1))*MIN(in_takeup_cap,(1+in_approval_growth)^(D1063-1)),0))</f>
        <v/>
      </c>
      <c r="AA1063" s="14">
        <f>V1063*in_fee*(1-in_taken_back)</f>
        <v/>
      </c>
      <c r="AB1063" s="14">
        <f>SUMIFS(W1052:W1090,B1052:B1090,B1063-in_dpd_lag)*d_dpd</f>
        <v/>
      </c>
      <c r="AC1063" s="14">
        <f>SUMIFS(W1052:W1090,B1052:B1090,B1063-in_rec_lag)*d_rec</f>
        <v/>
      </c>
      <c r="AD1063" s="14">
        <f>Z1063*in_card_fee</f>
        <v/>
      </c>
      <c r="AE1063" s="40">
        <f>AE1062*(1-IF(B1062&gt;=in_marketplace_from,d_hz_hlth_small*G1062,0))</f>
        <v/>
      </c>
      <c r="AF1063" s="46">
        <f>AE1063*IF(B1063&gt;=in_marketplace_from,d_hz_hlth_small*G1063,0)</f>
        <v/>
      </c>
      <c r="AG1063" s="14">
        <f>F1063*AF1063*in_hlth_small_ticket*in_hlth_small_comm*in_ins_partner_share+F1063*in_hlth_small_ticket*in_hlth_small_renew_comm*in_ins_partner_share*(in_hlth_small_renew^1*SUMIFS(AF1052:AF1090,B1052:B1090,B1063-12)+in_hlth_small_renew^2*SUMIFS(AF1052:AF1090,B1052:B1090,B1063-24)+in_hlth_small_renew^3*SUMIFS(AF1052:AF1090,B1052:B1090,B1063-36)+in_hlth_small_renew^4*SUMIFS(AF1052:AF1090,B1052:B1090,B1063-48))</f>
        <v/>
      </c>
      <c r="AH1063" s="40">
        <f>AH1062*(1-IF(B1062&gt;=in_marketplace_from,d_hz_hlth_family*G1062,0))</f>
        <v/>
      </c>
      <c r="AI1063" s="46">
        <f>AH1063*IF(B1063&gt;=in_marketplace_from,d_hz_hlth_family*G1063,0)</f>
        <v/>
      </c>
      <c r="AJ1063" s="14">
        <f>F1063*AI1063*in_hlth_family_ticket*in_hlth_family_comm*in_ins_partner_share+F1063*in_hlth_family_ticket*in_hlth_family_renew_comm*in_ins_partner_share*(in_hlth_family_renew^1*SUMIFS(AI1052:AI1090,B1052:B1090,B1063-12)+in_hlth_family_renew^2*SUMIFS(AI1052:AI1090,B1052:B1090,B1063-24)+in_hlth_family_renew^3*SUMIFS(AI1052:AI1090,B1052:B1090,B1063-36)+in_hlth_family_renew^4*SUMIFS(AI1052:AI1090,B1052:B1090,B1063-48))</f>
        <v/>
      </c>
      <c r="AK1063" s="40">
        <f>AK1062*(1-IF(B1062&gt;=in_marketplace_from,d_hz_life_term*G1062,0))</f>
        <v/>
      </c>
      <c r="AL1063" s="46">
        <f>AK1063*IF(B1063&gt;=in_marketplace_from,d_hz_life_term*G1063,0)</f>
        <v/>
      </c>
      <c r="AM1063" s="14">
        <f>F1063*AL1063*in_life_term_ticket*in_life_term_comm*in_ins_partner_share+F1063*in_life_term_ticket*in_life_term_renew_comm*in_ins_partner_share*(in_life_term_renew^1*SUMIFS(AL1052:AL1090,B1052:B1090,B1063-12)+in_life_term_renew^2*SUMIFS(AL1052:AL1090,B1052:B1090,B1063-24)+in_life_term_renew^3*SUMIFS(AL1052:AL1090,B1052:B1090,B1063-36)+in_life_term_renew^4*SUMIFS(AL1052:AL1090,B1052:B1090,B1063-48))</f>
        <v/>
      </c>
      <c r="AN1063" s="40">
        <f>AN1062*(1-IF(B1062&gt;=in_marketplace_from,d_hz_accident*G1062,0))</f>
        <v/>
      </c>
      <c r="AO1063" s="46">
        <f>AN1063*IF(B1063&gt;=in_marketplace_from,d_hz_accident*G1063,0)</f>
        <v/>
      </c>
      <c r="AP1063" s="14">
        <f>F1063*AO1063*in_accident_ticket*in_accident_comm*in_ins_partner_share+F1063*in_accident_ticket*in_accident_renew_comm*in_ins_partner_share*(in_accident_renew^1*SUMIFS(AO1052:AO1090,B1052:B1090,B1063-12)+in_accident_renew^2*SUMIFS(AO1052:AO1090,B1052:B1090,B1063-24)+in_accident_renew^3*SUMIFS(AO1052:AO1090,B1052:B1090,B1063-36)+in_accident_renew^4*SUMIFS(AO1052:AO1090,B1052:B1090,B1063-48))</f>
        <v/>
      </c>
      <c r="AQ1063" s="40">
        <f>AQ1062*(1-IF(B1062&gt;=in_marketplace_from,d_hz_two_wheeler*G1062,0))</f>
        <v/>
      </c>
      <c r="AR1063" s="46">
        <f>AQ1063*IF(B1063&gt;=in_marketplace_from,d_hz_two_wheeler*G1063,0)</f>
        <v/>
      </c>
      <c r="AS1063" s="14">
        <f>F1063*AR1063*in_two_wheeler_ticket*in_two_wheeler_comm*in_ins_partner_share+F1063*in_two_wheeler_ticket*in_two_wheeler_comm*in_ins_partner_share*(in_two_wheeler_renew^1*SUMIFS(AR1052:AR1090,B1052:B1090,B1063-12)+in_two_wheeler_renew^2*SUMIFS(AR1052:AR1090,B1052:B1090,B1063-24)+in_two_wheeler_renew^3*SUMIFS(AR1052:AR1090,B1052:B1090,B1063-36)+in_two_wheeler_renew^4*SUMIFS(AR1052:AR1090,B1052:B1090,B1063-48))</f>
        <v/>
      </c>
      <c r="AT1063" s="40">
        <f>AT1062*(1-IF(B1062&gt;=in_marketplace_from,d_hz_device*G1062,0))</f>
        <v/>
      </c>
      <c r="AU1063" s="14">
        <f>F1063*AT1063*IF(B1063&gt;=in_marketplace_from,d_hz_device*G1063,0)*in_device_ticket*in_device_comm*in_ins_partner_share</f>
        <v/>
      </c>
      <c r="AV1063" s="40">
        <f>AV1062*(1-IF(B1062&gt;=in_marketplace_from,d_hz_shop*G1062,0))</f>
        <v/>
      </c>
      <c r="AW1063" s="46">
        <f>AV1063*IF(B1063&gt;=in_marketplace_from,d_hz_shop*G1063,0)</f>
        <v/>
      </c>
      <c r="AX1063" s="14">
        <f>F1063*AW1063*in_shop_ticket*in_shop_comm*in_ins_partner_share+F1063*in_shop_ticket*in_shop_renew_comm*in_ins_partner_share*(in_shop_renew^1*SUMIFS(AW1052:AW1090,B1052:B1090,B1063-12)+in_shop_renew^2*SUMIFS(AW1052:AW1090,B1052:B1090,B1063-24)+in_shop_renew^3*SUMIFS(AW1052:AW1090,B1052:B1090,B1063-36)+in_shop_renew^4*SUMIFS(AW1052:AW1090,B1052:B1090,B1063-48))</f>
        <v/>
      </c>
      <c r="AY1063" s="40">
        <f>AY1062*(1-IF(B1062&gt;=in_marketplace_from,d_hz_sip*G1062,0))</f>
        <v/>
      </c>
      <c r="AZ1063" s="40">
        <f>AZ1062*d_rho_sip+AY1063*IF(B1063&gt;=in_marketplace_from,d_hz_sip*G1063,0)</f>
        <v/>
      </c>
      <c r="BA1063" s="40">
        <f>d_rho_sip*(BA1062+AZ1062)</f>
        <v/>
      </c>
      <c r="BB1063" s="14">
        <f>F1063*in_sip_ticket*(BA1063+0.5*AZ1063)*in_sip_comm/12</f>
        <v/>
      </c>
      <c r="BC1063" s="40">
        <f>BC1062*(1-IF(B1062&gt;=in_marketplace_from,d_hz_choti*G1062,0))</f>
        <v/>
      </c>
      <c r="BD1063" s="46">
        <f>BC1063*IF(B1063&gt;=in_marketplace_from,d_hz_choti*G1063,0)</f>
        <v/>
      </c>
      <c r="BE1063" s="14">
        <f>F1063*SUMIFS(BD1052:BD1090,B1052:B1090,B1063-in_choti_months)*in_choti_renew*in_choti_ticket</f>
        <v/>
      </c>
      <c r="BF1063" s="40">
        <f>BF1062*(1-IF(B1062&gt;=in_marketplace_from,d_hz_nps*G1062,0))</f>
        <v/>
      </c>
      <c r="BG1063" s="14">
        <f>F1063*BF1063*IF(B1063&gt;=in_marketplace_from,d_hz_nps*G1063,0)*in_nps_ticket*in_nps_comm</f>
        <v/>
      </c>
      <c r="BH1063" s="40">
        <f>BH1062*(1-IF(B1062&gt;=in_marketplace_from,d_hz_gold*G1062,0))</f>
        <v/>
      </c>
      <c r="BI1063" s="40">
        <f>BI1062*d_rho_gold+BH1063*IF(B1063&gt;=in_marketplace_from,d_hz_gold*G1063,0)</f>
        <v/>
      </c>
      <c r="BJ1063" s="14">
        <f>F1063*BI1063*in_gold_ticket*in_gold_comm</f>
        <v/>
      </c>
      <c r="BK1063" s="40">
        <f>BK1062*(1-IF(B1062&gt;=in_marketplace_from,d_hz_fd*G1062,0))</f>
        <v/>
      </c>
      <c r="BL1063" s="14">
        <f>F1063*BK1063*IF(B1063&gt;=in_marketplace_from,d_hz_fd*G1063,0)*in_fd_ticket*in_fd_comm</f>
        <v/>
      </c>
      <c r="BM1063" s="40">
        <f>BM1062*(1-IF(B1062&gt;=in_marketplace_from,d_hz_recharge*G1062,0))</f>
        <v/>
      </c>
      <c r="BN1063" s="40">
        <f>BN1062*d_rho_recharge+BM1063*IF(B1063&gt;=in_marketplace_from,d_hz_recharge*G1063,0)</f>
        <v/>
      </c>
      <c r="BO1063" s="14">
        <f>F1063*BN1063*in_recharge_ticket*in_recharge_comm/12</f>
        <v/>
      </c>
      <c r="BP1063" s="40">
        <f>BP1062*(1-IF(B1062&gt;=in_marketplace_from,d_hz_bills*G1062,0))</f>
        <v/>
      </c>
      <c r="BQ1063" s="40">
        <f>BQ1062*d_rho_bills+BP1063*IF(B1063&gt;=in_marketplace_from,d_hz_bills*G1063,0)</f>
        <v/>
      </c>
      <c r="BR1063" s="14">
        <f>F1063*BQ1063*in_bills_ticket*in_bills_comm/12</f>
        <v/>
      </c>
      <c r="BS1063" s="40">
        <f>BS1062*(1-IF(B1062&gt;=in_marketplace_from,d_hz_loan_gold*G1062,0))</f>
        <v/>
      </c>
      <c r="BT1063" s="14">
        <f>F1063*BS1063*IF(B1063&gt;=in_marketplace_from,d_hz_loan_gold*G1063,0)*in_loan_gold_ticket*in_loan_gold_comm</f>
        <v/>
      </c>
      <c r="BU1063" s="40">
        <f>BU1062*(1-IF(B1062&gt;=in_marketplace_from,d_hz_loan_cd*G1062,0))</f>
        <v/>
      </c>
      <c r="BV1063" s="14">
        <f>F1063*BU1063*IF(B1063&gt;=in_marketplace_from,d_hz_loan_cd*G1063,0)*in_loan_cd_ticket*in_loan_cd_comm</f>
        <v/>
      </c>
      <c r="BW1063" s="40">
        <f>BW1062*(1-IF(B1062&gt;=in_marketplace_from,d_hz_loan_vehicle*G1062,0))</f>
        <v/>
      </c>
      <c r="BX1063" s="14">
        <f>F1063*BW1063*IF(B1063&gt;=in_marketplace_from,d_hz_loan_vehicle*G1063,0)*in_loan_vehicle_ticket*in_loan_vehicle_comm</f>
        <v/>
      </c>
      <c r="BY1063" s="40">
        <f>BY1062*(1-IF(B1062&gt;=in_marketplace_from,d_hz_loan_home*G1062,0)*BZ1062)</f>
        <v/>
      </c>
      <c r="BZ1063" s="11">
        <f>MIN(in_approval_cap,in_loan_home_approval*INDEX('Age profile'!$O$2:$O$61,B1063)*(1+in_approval_growth)^(D1063-1))</f>
        <v/>
      </c>
      <c r="CA1063" s="14">
        <f>F1063*BY1063*IF(B1063&gt;=in_marketplace_from,d_hz_loan_home*G1063,0)*BZ1063*in_loan_home_ticket*in_loan_home_comm</f>
        <v/>
      </c>
      <c r="CB1063" s="40">
        <f>CB1062*(1-IF(B1062&gt;=in_marketplace_from,d_hz_loan_lap*G1062,0)*CC1062)</f>
        <v/>
      </c>
      <c r="CC1063" s="11">
        <f>MIN(in_approval_cap,in_loan_lap_approval*INDEX('Age profile'!$O$2:$O$61,B1063)*(1+in_approval_growth)^(D1063-1))</f>
        <v/>
      </c>
      <c r="CD1063" s="14">
        <f>F1063*CB1063*IF(B1063&gt;=in_marketplace_from,d_hz_loan_lap*G1063,0)*CC1063*in_loan_lap_ticket*in_loan_lap_comm</f>
        <v/>
      </c>
      <c r="CE1063" s="14">
        <f>AA1063+AB1063+AC1063+AD1063+AG1063+AJ1063+AM1063+AP1063+AS1063+AU1063+AX1063+BB1063+BE1063+BG1063+BJ1063+BL1063+BO1063+BR1063+BT1063+BV1063+BX1063+CA1063+CD1063</f>
        <v/>
      </c>
    </row>
    <row r="1064">
      <c r="A1064" s="39" t="n">
        <v>22</v>
      </c>
      <c r="B1064" s="39" t="n">
        <v>13</v>
      </c>
      <c r="C1064" s="39">
        <f>A1064+B1064-1</f>
        <v/>
      </c>
      <c r="D1064" s="39">
        <f>INT((C1064-1)/12)+1</f>
        <v/>
      </c>
      <c r="E1064" s="44">
        <f>INDEX(Monthly!$B$2:$B$61,A1064)</f>
        <v/>
      </c>
      <c r="F1064" s="44">
        <f>E1064*INDEX('Age profile'!$B$2:$B$61,B1064)</f>
        <v/>
      </c>
      <c r="G1064" s="45">
        <f>MIN(in_takeup_cap,INDEX('Age profile'!$N$2:$N$61,B1064)*(1+in_takeup_growth)^(D1064-1))</f>
        <v/>
      </c>
      <c r="H1064" s="11">
        <f>MIN(in_approval_cap,in_approved_first*INDEX('Age profile'!$O$2:$O$61,B1064)*(1+in_approval_growth)^(D1064-1))</f>
        <v/>
      </c>
      <c r="I1064" s="45">
        <f>G1064*MIN(in_takeup_cap,INDEX('Age profile'!$O$2:$O$61,B1064)*(1+in_approval_growth)^(D1064-1))</f>
        <v/>
      </c>
      <c r="J1064" s="40">
        <f>(J1063-L1063)*F1064/F1063</f>
        <v/>
      </c>
      <c r="K1064" s="40">
        <f>(K1063-M1063)*F1064/F1063+SUMIFS(O1052:O1063,B1052:B1063,B1064-1-d_T)*F1064</f>
        <v/>
      </c>
      <c r="L1064" s="40">
        <f>IF(B1064&gt;=in_marketplace_from,J1064*d_hz*G1064*in_eligible*H1064,0)</f>
        <v/>
      </c>
      <c r="M1064" s="40">
        <f>IF(B1064&gt;=in_marketplace_from,K1064*d_hz*G1064*in_eligible*in_approved_repeat,0)</f>
        <v/>
      </c>
      <c r="N1064" s="40">
        <f>L1064+M1064</f>
        <v/>
      </c>
      <c r="O1064" s="46">
        <f>N1064/F1064</f>
        <v/>
      </c>
      <c r="P1064" s="40">
        <f>F1064-J1064-K1064</f>
        <v/>
      </c>
      <c r="Q1064" s="40">
        <f>IF(B1064&gt;=in_marketplace_from,(J1064+K1064)*d_hz*G1064,0)</f>
        <v/>
      </c>
      <c r="R1064" s="40">
        <f>SUMIFS(N1052:N1090,B1052:B1090,"&gt;="&amp;(B1064-d_T),B1052:B1090,"&lt;="&amp;(B1064-1))</f>
        <v/>
      </c>
      <c r="S1064" s="46">
        <f>(1-d_u)*S1063+IF(d_T&gt;in_topup_lag,SUMIFS(O1052:O1090,B1052:B1090,B1064-in_topup_lag)-d_udrop*SUMIFS(O1052:O1090,B1052:B1090,B1064-d_T),0)</f>
        <v/>
      </c>
      <c r="T1064" s="40">
        <f>F1064*d_u*S1064</f>
        <v/>
      </c>
      <c r="U1064" s="9">
        <f>L1064*in_ticket+M1064*d_rep_ticket</f>
        <v/>
      </c>
      <c r="V1064" s="9">
        <f>U1064+T1064*d_topup_amt</f>
        <v/>
      </c>
      <c r="W1064" s="40">
        <f>N1064+T1064*d_topup_ratio</f>
        <v/>
      </c>
      <c r="X1064" s="40">
        <f>SUMIFS(W1052:W1090,B1052:B1090,B1064-in_dpd_lag)*d_cured</f>
        <v/>
      </c>
      <c r="Y1064" s="40">
        <f>SUMIFS(W1052:W1090,B1052:B1090,B1064-in_rec_lag)*d_recd</f>
        <v/>
      </c>
      <c r="Z1064" s="40">
        <f>IF(AND(B1064&gt;=in_marketplace_from,B1064&lt;in_marketplace_from+in_card_months),in_card_share/in_card_months*F1064*I1064,IF(AND(B1064&gt;=in_marketplace_from+in_card_months,B1064&lt;in_marketplace_from+2*in_card_months),in_card_share*d_card_rem/in_card_months*F1064*MIN(in_takeup_cap,(1+in_takeup_growth)^(D1064-1))*MIN(in_takeup_cap,(1+in_approval_growth)^(D1064-1)),0))</f>
        <v/>
      </c>
      <c r="AA1064" s="14">
        <f>V1064*in_fee*(1-in_taken_back)</f>
        <v/>
      </c>
      <c r="AB1064" s="14">
        <f>SUMIFS(W1052:W1090,B1052:B1090,B1064-in_dpd_lag)*d_dpd</f>
        <v/>
      </c>
      <c r="AC1064" s="14">
        <f>SUMIFS(W1052:W1090,B1052:B1090,B1064-in_rec_lag)*d_rec</f>
        <v/>
      </c>
      <c r="AD1064" s="14">
        <f>Z1064*in_card_fee</f>
        <v/>
      </c>
      <c r="AE1064" s="40">
        <f>AE1063*(1-IF(B1063&gt;=in_marketplace_from,d_hz_hlth_small*G1063,0))</f>
        <v/>
      </c>
      <c r="AF1064" s="46">
        <f>AE1064*IF(B1064&gt;=in_marketplace_from,d_hz_hlth_small*G1064,0)</f>
        <v/>
      </c>
      <c r="AG1064" s="14">
        <f>F1064*AF1064*in_hlth_small_ticket*in_hlth_small_comm*in_ins_partner_share+F1064*in_hlth_small_ticket*in_hlth_small_renew_comm*in_ins_partner_share*(in_hlth_small_renew^1*SUMIFS(AF1052:AF1090,B1052:B1090,B1064-12)+in_hlth_small_renew^2*SUMIFS(AF1052:AF1090,B1052:B1090,B1064-24)+in_hlth_small_renew^3*SUMIFS(AF1052:AF1090,B1052:B1090,B1064-36)+in_hlth_small_renew^4*SUMIFS(AF1052:AF1090,B1052:B1090,B1064-48))</f>
        <v/>
      </c>
      <c r="AH1064" s="40">
        <f>AH1063*(1-IF(B1063&gt;=in_marketplace_from,d_hz_hlth_family*G1063,0))</f>
        <v/>
      </c>
      <c r="AI1064" s="46">
        <f>AH1064*IF(B1064&gt;=in_marketplace_from,d_hz_hlth_family*G1064,0)</f>
        <v/>
      </c>
      <c r="AJ1064" s="14">
        <f>F1064*AI1064*in_hlth_family_ticket*in_hlth_family_comm*in_ins_partner_share+F1064*in_hlth_family_ticket*in_hlth_family_renew_comm*in_ins_partner_share*(in_hlth_family_renew^1*SUMIFS(AI1052:AI1090,B1052:B1090,B1064-12)+in_hlth_family_renew^2*SUMIFS(AI1052:AI1090,B1052:B1090,B1064-24)+in_hlth_family_renew^3*SUMIFS(AI1052:AI1090,B1052:B1090,B1064-36)+in_hlth_family_renew^4*SUMIFS(AI1052:AI1090,B1052:B1090,B1064-48))</f>
        <v/>
      </c>
      <c r="AK1064" s="40">
        <f>AK1063*(1-IF(B1063&gt;=in_marketplace_from,d_hz_life_term*G1063,0))</f>
        <v/>
      </c>
      <c r="AL1064" s="46">
        <f>AK1064*IF(B1064&gt;=in_marketplace_from,d_hz_life_term*G1064,0)</f>
        <v/>
      </c>
      <c r="AM1064" s="14">
        <f>F1064*AL1064*in_life_term_ticket*in_life_term_comm*in_ins_partner_share+F1064*in_life_term_ticket*in_life_term_renew_comm*in_ins_partner_share*(in_life_term_renew^1*SUMIFS(AL1052:AL1090,B1052:B1090,B1064-12)+in_life_term_renew^2*SUMIFS(AL1052:AL1090,B1052:B1090,B1064-24)+in_life_term_renew^3*SUMIFS(AL1052:AL1090,B1052:B1090,B1064-36)+in_life_term_renew^4*SUMIFS(AL1052:AL1090,B1052:B1090,B1064-48))</f>
        <v/>
      </c>
      <c r="AN1064" s="40">
        <f>AN1063*(1-IF(B1063&gt;=in_marketplace_from,d_hz_accident*G1063,0))</f>
        <v/>
      </c>
      <c r="AO1064" s="46">
        <f>AN1064*IF(B1064&gt;=in_marketplace_from,d_hz_accident*G1064,0)</f>
        <v/>
      </c>
      <c r="AP1064" s="14">
        <f>F1064*AO1064*in_accident_ticket*in_accident_comm*in_ins_partner_share+F1064*in_accident_ticket*in_accident_renew_comm*in_ins_partner_share*(in_accident_renew^1*SUMIFS(AO1052:AO1090,B1052:B1090,B1064-12)+in_accident_renew^2*SUMIFS(AO1052:AO1090,B1052:B1090,B1064-24)+in_accident_renew^3*SUMIFS(AO1052:AO1090,B1052:B1090,B1064-36)+in_accident_renew^4*SUMIFS(AO1052:AO1090,B1052:B1090,B1064-48))</f>
        <v/>
      </c>
      <c r="AQ1064" s="40">
        <f>AQ1063*(1-IF(B1063&gt;=in_marketplace_from,d_hz_two_wheeler*G1063,0))</f>
        <v/>
      </c>
      <c r="AR1064" s="46">
        <f>AQ1064*IF(B1064&gt;=in_marketplace_from,d_hz_two_wheeler*G1064,0)</f>
        <v/>
      </c>
      <c r="AS1064" s="14">
        <f>F1064*AR1064*in_two_wheeler_ticket*in_two_wheeler_comm*in_ins_partner_share+F1064*in_two_wheeler_ticket*in_two_wheeler_comm*in_ins_partner_share*(in_two_wheeler_renew^1*SUMIFS(AR1052:AR1090,B1052:B1090,B1064-12)+in_two_wheeler_renew^2*SUMIFS(AR1052:AR1090,B1052:B1090,B1064-24)+in_two_wheeler_renew^3*SUMIFS(AR1052:AR1090,B1052:B1090,B1064-36)+in_two_wheeler_renew^4*SUMIFS(AR1052:AR1090,B1052:B1090,B1064-48))</f>
        <v/>
      </c>
      <c r="AT1064" s="40">
        <f>AT1063*(1-IF(B1063&gt;=in_marketplace_from,d_hz_device*G1063,0))</f>
        <v/>
      </c>
      <c r="AU1064" s="14">
        <f>F1064*AT1064*IF(B1064&gt;=in_marketplace_from,d_hz_device*G1064,0)*in_device_ticket*in_device_comm*in_ins_partner_share</f>
        <v/>
      </c>
      <c r="AV1064" s="40">
        <f>AV1063*(1-IF(B1063&gt;=in_marketplace_from,d_hz_shop*G1063,0))</f>
        <v/>
      </c>
      <c r="AW1064" s="46">
        <f>AV1064*IF(B1064&gt;=in_marketplace_from,d_hz_shop*G1064,0)</f>
        <v/>
      </c>
      <c r="AX1064" s="14">
        <f>F1064*AW1064*in_shop_ticket*in_shop_comm*in_ins_partner_share+F1064*in_shop_ticket*in_shop_renew_comm*in_ins_partner_share*(in_shop_renew^1*SUMIFS(AW1052:AW1090,B1052:B1090,B1064-12)+in_shop_renew^2*SUMIFS(AW1052:AW1090,B1052:B1090,B1064-24)+in_shop_renew^3*SUMIFS(AW1052:AW1090,B1052:B1090,B1064-36)+in_shop_renew^4*SUMIFS(AW1052:AW1090,B1052:B1090,B1064-48))</f>
        <v/>
      </c>
      <c r="AY1064" s="40">
        <f>AY1063*(1-IF(B1063&gt;=in_marketplace_from,d_hz_sip*G1063,0))</f>
        <v/>
      </c>
      <c r="AZ1064" s="40">
        <f>AZ1063*d_rho_sip+AY1064*IF(B1064&gt;=in_marketplace_from,d_hz_sip*G1064,0)</f>
        <v/>
      </c>
      <c r="BA1064" s="40">
        <f>d_rho_sip*(BA1063+AZ1063)</f>
        <v/>
      </c>
      <c r="BB1064" s="14">
        <f>F1064*in_sip_ticket*(BA1064+0.5*AZ1064)*in_sip_comm/12</f>
        <v/>
      </c>
      <c r="BC1064" s="40">
        <f>BC1063*(1-IF(B1063&gt;=in_marketplace_from,d_hz_choti*G1063,0))</f>
        <v/>
      </c>
      <c r="BD1064" s="46">
        <f>BC1064*IF(B1064&gt;=in_marketplace_from,d_hz_choti*G1064,0)</f>
        <v/>
      </c>
      <c r="BE1064" s="14">
        <f>F1064*SUMIFS(BD1052:BD1090,B1052:B1090,B1064-in_choti_months)*in_choti_renew*in_choti_ticket</f>
        <v/>
      </c>
      <c r="BF1064" s="40">
        <f>BF1063*(1-IF(B1063&gt;=in_marketplace_from,d_hz_nps*G1063,0))</f>
        <v/>
      </c>
      <c r="BG1064" s="14">
        <f>F1064*BF1064*IF(B1064&gt;=in_marketplace_from,d_hz_nps*G1064,0)*in_nps_ticket*in_nps_comm</f>
        <v/>
      </c>
      <c r="BH1064" s="40">
        <f>BH1063*(1-IF(B1063&gt;=in_marketplace_from,d_hz_gold*G1063,0))</f>
        <v/>
      </c>
      <c r="BI1064" s="40">
        <f>BI1063*d_rho_gold+BH1064*IF(B1064&gt;=in_marketplace_from,d_hz_gold*G1064,0)</f>
        <v/>
      </c>
      <c r="BJ1064" s="14">
        <f>F1064*BI1064*in_gold_ticket*in_gold_comm</f>
        <v/>
      </c>
      <c r="BK1064" s="40">
        <f>BK1063*(1-IF(B1063&gt;=in_marketplace_from,d_hz_fd*G1063,0))</f>
        <v/>
      </c>
      <c r="BL1064" s="14">
        <f>F1064*BK1064*IF(B1064&gt;=in_marketplace_from,d_hz_fd*G1064,0)*in_fd_ticket*in_fd_comm</f>
        <v/>
      </c>
      <c r="BM1064" s="40">
        <f>BM1063*(1-IF(B1063&gt;=in_marketplace_from,d_hz_recharge*G1063,0))</f>
        <v/>
      </c>
      <c r="BN1064" s="40">
        <f>BN1063*d_rho_recharge+BM1064*IF(B1064&gt;=in_marketplace_from,d_hz_recharge*G1064,0)</f>
        <v/>
      </c>
      <c r="BO1064" s="14">
        <f>F1064*BN1064*in_recharge_ticket*in_recharge_comm/12</f>
        <v/>
      </c>
      <c r="BP1064" s="40">
        <f>BP1063*(1-IF(B1063&gt;=in_marketplace_from,d_hz_bills*G1063,0))</f>
        <v/>
      </c>
      <c r="BQ1064" s="40">
        <f>BQ1063*d_rho_bills+BP1064*IF(B1064&gt;=in_marketplace_from,d_hz_bills*G1064,0)</f>
        <v/>
      </c>
      <c r="BR1064" s="14">
        <f>F1064*BQ1064*in_bills_ticket*in_bills_comm/12</f>
        <v/>
      </c>
      <c r="BS1064" s="40">
        <f>BS1063*(1-IF(B1063&gt;=in_marketplace_from,d_hz_loan_gold*G1063,0))</f>
        <v/>
      </c>
      <c r="BT1064" s="14">
        <f>F1064*BS1064*IF(B1064&gt;=in_marketplace_from,d_hz_loan_gold*G1064,0)*in_loan_gold_ticket*in_loan_gold_comm</f>
        <v/>
      </c>
      <c r="BU1064" s="40">
        <f>BU1063*(1-IF(B1063&gt;=in_marketplace_from,d_hz_loan_cd*G1063,0))</f>
        <v/>
      </c>
      <c r="BV1064" s="14">
        <f>F1064*BU1064*IF(B1064&gt;=in_marketplace_from,d_hz_loan_cd*G1064,0)*in_loan_cd_ticket*in_loan_cd_comm</f>
        <v/>
      </c>
      <c r="BW1064" s="40">
        <f>BW1063*(1-IF(B1063&gt;=in_marketplace_from,d_hz_loan_vehicle*G1063,0))</f>
        <v/>
      </c>
      <c r="BX1064" s="14">
        <f>F1064*BW1064*IF(B1064&gt;=in_marketplace_from,d_hz_loan_vehicle*G1064,0)*in_loan_vehicle_ticket*in_loan_vehicle_comm</f>
        <v/>
      </c>
      <c r="BY1064" s="40">
        <f>BY1063*(1-IF(B1063&gt;=in_marketplace_from,d_hz_loan_home*G1063,0)*BZ1063)</f>
        <v/>
      </c>
      <c r="BZ1064" s="11">
        <f>MIN(in_approval_cap,in_loan_home_approval*INDEX('Age profile'!$O$2:$O$61,B1064)*(1+in_approval_growth)^(D1064-1))</f>
        <v/>
      </c>
      <c r="CA1064" s="14">
        <f>F1064*BY1064*IF(B1064&gt;=in_marketplace_from,d_hz_loan_home*G1064,0)*BZ1064*in_loan_home_ticket*in_loan_home_comm</f>
        <v/>
      </c>
      <c r="CB1064" s="40">
        <f>CB1063*(1-IF(B1063&gt;=in_marketplace_from,d_hz_loan_lap*G1063,0)*CC1063)</f>
        <v/>
      </c>
      <c r="CC1064" s="11">
        <f>MIN(in_approval_cap,in_loan_lap_approval*INDEX('Age profile'!$O$2:$O$61,B1064)*(1+in_approval_growth)^(D1064-1))</f>
        <v/>
      </c>
      <c r="CD1064" s="14">
        <f>F1064*CB1064*IF(B1064&gt;=in_marketplace_from,d_hz_loan_lap*G1064,0)*CC1064*in_loan_lap_ticket*in_loan_lap_comm</f>
        <v/>
      </c>
      <c r="CE1064" s="14">
        <f>AA1064+AB1064+AC1064+AD1064+AG1064+AJ1064+AM1064+AP1064+AS1064+AU1064+AX1064+BB1064+BE1064+BG1064+BJ1064+BL1064+BO1064+BR1064+BT1064+BV1064+BX1064+CA1064+CD1064</f>
        <v/>
      </c>
    </row>
    <row r="1065">
      <c r="A1065" s="39" t="n">
        <v>22</v>
      </c>
      <c r="B1065" s="39" t="n">
        <v>14</v>
      </c>
      <c r="C1065" s="39">
        <f>A1065+B1065-1</f>
        <v/>
      </c>
      <c r="D1065" s="39">
        <f>INT((C1065-1)/12)+1</f>
        <v/>
      </c>
      <c r="E1065" s="44">
        <f>INDEX(Monthly!$B$2:$B$61,A1065)</f>
        <v/>
      </c>
      <c r="F1065" s="44">
        <f>E1065*INDEX('Age profile'!$B$2:$B$61,B1065)</f>
        <v/>
      </c>
      <c r="G1065" s="45">
        <f>MIN(in_takeup_cap,INDEX('Age profile'!$N$2:$N$61,B1065)*(1+in_takeup_growth)^(D1065-1))</f>
        <v/>
      </c>
      <c r="H1065" s="11">
        <f>MIN(in_approval_cap,in_approved_first*INDEX('Age profile'!$O$2:$O$61,B1065)*(1+in_approval_growth)^(D1065-1))</f>
        <v/>
      </c>
      <c r="I1065" s="45">
        <f>G1065*MIN(in_takeup_cap,INDEX('Age profile'!$O$2:$O$61,B1065)*(1+in_approval_growth)^(D1065-1))</f>
        <v/>
      </c>
      <c r="J1065" s="40">
        <f>(J1064-L1064)*F1065/F1064</f>
        <v/>
      </c>
      <c r="K1065" s="40">
        <f>(K1064-M1064)*F1065/F1064+SUMIFS(O1052:O1064,B1052:B1064,B1065-1-d_T)*F1065</f>
        <v/>
      </c>
      <c r="L1065" s="40">
        <f>IF(B1065&gt;=in_marketplace_from,J1065*d_hz*G1065*in_eligible*H1065,0)</f>
        <v/>
      </c>
      <c r="M1065" s="40">
        <f>IF(B1065&gt;=in_marketplace_from,K1065*d_hz*G1065*in_eligible*in_approved_repeat,0)</f>
        <v/>
      </c>
      <c r="N1065" s="40">
        <f>L1065+M1065</f>
        <v/>
      </c>
      <c r="O1065" s="46">
        <f>N1065/F1065</f>
        <v/>
      </c>
      <c r="P1065" s="40">
        <f>F1065-J1065-K1065</f>
        <v/>
      </c>
      <c r="Q1065" s="40">
        <f>IF(B1065&gt;=in_marketplace_from,(J1065+K1065)*d_hz*G1065,0)</f>
        <v/>
      </c>
      <c r="R1065" s="40">
        <f>SUMIFS(N1052:N1090,B1052:B1090,"&gt;="&amp;(B1065-d_T),B1052:B1090,"&lt;="&amp;(B1065-1))</f>
        <v/>
      </c>
      <c r="S1065" s="46">
        <f>(1-d_u)*S1064+IF(d_T&gt;in_topup_lag,SUMIFS(O1052:O1090,B1052:B1090,B1065-in_topup_lag)-d_udrop*SUMIFS(O1052:O1090,B1052:B1090,B1065-d_T),0)</f>
        <v/>
      </c>
      <c r="T1065" s="40">
        <f>F1065*d_u*S1065</f>
        <v/>
      </c>
      <c r="U1065" s="9">
        <f>L1065*in_ticket+M1065*d_rep_ticket</f>
        <v/>
      </c>
      <c r="V1065" s="9">
        <f>U1065+T1065*d_topup_amt</f>
        <v/>
      </c>
      <c r="W1065" s="40">
        <f>N1065+T1065*d_topup_ratio</f>
        <v/>
      </c>
      <c r="X1065" s="40">
        <f>SUMIFS(W1052:W1090,B1052:B1090,B1065-in_dpd_lag)*d_cured</f>
        <v/>
      </c>
      <c r="Y1065" s="40">
        <f>SUMIFS(W1052:W1090,B1052:B1090,B1065-in_rec_lag)*d_recd</f>
        <v/>
      </c>
      <c r="Z1065" s="40">
        <f>IF(AND(B1065&gt;=in_marketplace_from,B1065&lt;in_marketplace_from+in_card_months),in_card_share/in_card_months*F1065*I1065,IF(AND(B1065&gt;=in_marketplace_from+in_card_months,B1065&lt;in_marketplace_from+2*in_card_months),in_card_share*d_card_rem/in_card_months*F1065*MIN(in_takeup_cap,(1+in_takeup_growth)^(D1065-1))*MIN(in_takeup_cap,(1+in_approval_growth)^(D1065-1)),0))</f>
        <v/>
      </c>
      <c r="AA1065" s="14">
        <f>V1065*in_fee*(1-in_taken_back)</f>
        <v/>
      </c>
      <c r="AB1065" s="14">
        <f>SUMIFS(W1052:W1090,B1052:B1090,B1065-in_dpd_lag)*d_dpd</f>
        <v/>
      </c>
      <c r="AC1065" s="14">
        <f>SUMIFS(W1052:W1090,B1052:B1090,B1065-in_rec_lag)*d_rec</f>
        <v/>
      </c>
      <c r="AD1065" s="14">
        <f>Z1065*in_card_fee</f>
        <v/>
      </c>
      <c r="AE1065" s="40">
        <f>AE1064*(1-IF(B1064&gt;=in_marketplace_from,d_hz_hlth_small*G1064,0))</f>
        <v/>
      </c>
      <c r="AF1065" s="46">
        <f>AE1065*IF(B1065&gt;=in_marketplace_from,d_hz_hlth_small*G1065,0)</f>
        <v/>
      </c>
      <c r="AG1065" s="14">
        <f>F1065*AF1065*in_hlth_small_ticket*in_hlth_small_comm*in_ins_partner_share+F1065*in_hlth_small_ticket*in_hlth_small_renew_comm*in_ins_partner_share*(in_hlth_small_renew^1*SUMIFS(AF1052:AF1090,B1052:B1090,B1065-12)+in_hlth_small_renew^2*SUMIFS(AF1052:AF1090,B1052:B1090,B1065-24)+in_hlth_small_renew^3*SUMIFS(AF1052:AF1090,B1052:B1090,B1065-36)+in_hlth_small_renew^4*SUMIFS(AF1052:AF1090,B1052:B1090,B1065-48))</f>
        <v/>
      </c>
      <c r="AH1065" s="40">
        <f>AH1064*(1-IF(B1064&gt;=in_marketplace_from,d_hz_hlth_family*G1064,0))</f>
        <v/>
      </c>
      <c r="AI1065" s="46">
        <f>AH1065*IF(B1065&gt;=in_marketplace_from,d_hz_hlth_family*G1065,0)</f>
        <v/>
      </c>
      <c r="AJ1065" s="14">
        <f>F1065*AI1065*in_hlth_family_ticket*in_hlth_family_comm*in_ins_partner_share+F1065*in_hlth_family_ticket*in_hlth_family_renew_comm*in_ins_partner_share*(in_hlth_family_renew^1*SUMIFS(AI1052:AI1090,B1052:B1090,B1065-12)+in_hlth_family_renew^2*SUMIFS(AI1052:AI1090,B1052:B1090,B1065-24)+in_hlth_family_renew^3*SUMIFS(AI1052:AI1090,B1052:B1090,B1065-36)+in_hlth_family_renew^4*SUMIFS(AI1052:AI1090,B1052:B1090,B1065-48))</f>
        <v/>
      </c>
      <c r="AK1065" s="40">
        <f>AK1064*(1-IF(B1064&gt;=in_marketplace_from,d_hz_life_term*G1064,0))</f>
        <v/>
      </c>
      <c r="AL1065" s="46">
        <f>AK1065*IF(B1065&gt;=in_marketplace_from,d_hz_life_term*G1065,0)</f>
        <v/>
      </c>
      <c r="AM1065" s="14">
        <f>F1065*AL1065*in_life_term_ticket*in_life_term_comm*in_ins_partner_share+F1065*in_life_term_ticket*in_life_term_renew_comm*in_ins_partner_share*(in_life_term_renew^1*SUMIFS(AL1052:AL1090,B1052:B1090,B1065-12)+in_life_term_renew^2*SUMIFS(AL1052:AL1090,B1052:B1090,B1065-24)+in_life_term_renew^3*SUMIFS(AL1052:AL1090,B1052:B1090,B1065-36)+in_life_term_renew^4*SUMIFS(AL1052:AL1090,B1052:B1090,B1065-48))</f>
        <v/>
      </c>
      <c r="AN1065" s="40">
        <f>AN1064*(1-IF(B1064&gt;=in_marketplace_from,d_hz_accident*G1064,0))</f>
        <v/>
      </c>
      <c r="AO1065" s="46">
        <f>AN1065*IF(B1065&gt;=in_marketplace_from,d_hz_accident*G1065,0)</f>
        <v/>
      </c>
      <c r="AP1065" s="14">
        <f>F1065*AO1065*in_accident_ticket*in_accident_comm*in_ins_partner_share+F1065*in_accident_ticket*in_accident_renew_comm*in_ins_partner_share*(in_accident_renew^1*SUMIFS(AO1052:AO1090,B1052:B1090,B1065-12)+in_accident_renew^2*SUMIFS(AO1052:AO1090,B1052:B1090,B1065-24)+in_accident_renew^3*SUMIFS(AO1052:AO1090,B1052:B1090,B1065-36)+in_accident_renew^4*SUMIFS(AO1052:AO1090,B1052:B1090,B1065-48))</f>
        <v/>
      </c>
      <c r="AQ1065" s="40">
        <f>AQ1064*(1-IF(B1064&gt;=in_marketplace_from,d_hz_two_wheeler*G1064,0))</f>
        <v/>
      </c>
      <c r="AR1065" s="46">
        <f>AQ1065*IF(B1065&gt;=in_marketplace_from,d_hz_two_wheeler*G1065,0)</f>
        <v/>
      </c>
      <c r="AS1065" s="14">
        <f>F1065*AR1065*in_two_wheeler_ticket*in_two_wheeler_comm*in_ins_partner_share+F1065*in_two_wheeler_ticket*in_two_wheeler_comm*in_ins_partner_share*(in_two_wheeler_renew^1*SUMIFS(AR1052:AR1090,B1052:B1090,B1065-12)+in_two_wheeler_renew^2*SUMIFS(AR1052:AR1090,B1052:B1090,B1065-24)+in_two_wheeler_renew^3*SUMIFS(AR1052:AR1090,B1052:B1090,B1065-36)+in_two_wheeler_renew^4*SUMIFS(AR1052:AR1090,B1052:B1090,B1065-48))</f>
        <v/>
      </c>
      <c r="AT1065" s="40">
        <f>AT1064*(1-IF(B1064&gt;=in_marketplace_from,d_hz_device*G1064,0))</f>
        <v/>
      </c>
      <c r="AU1065" s="14">
        <f>F1065*AT1065*IF(B1065&gt;=in_marketplace_from,d_hz_device*G1065,0)*in_device_ticket*in_device_comm*in_ins_partner_share</f>
        <v/>
      </c>
      <c r="AV1065" s="40">
        <f>AV1064*(1-IF(B1064&gt;=in_marketplace_from,d_hz_shop*G1064,0))</f>
        <v/>
      </c>
      <c r="AW1065" s="46">
        <f>AV1065*IF(B1065&gt;=in_marketplace_from,d_hz_shop*G1065,0)</f>
        <v/>
      </c>
      <c r="AX1065" s="14">
        <f>F1065*AW1065*in_shop_ticket*in_shop_comm*in_ins_partner_share+F1065*in_shop_ticket*in_shop_renew_comm*in_ins_partner_share*(in_shop_renew^1*SUMIFS(AW1052:AW1090,B1052:B1090,B1065-12)+in_shop_renew^2*SUMIFS(AW1052:AW1090,B1052:B1090,B1065-24)+in_shop_renew^3*SUMIFS(AW1052:AW1090,B1052:B1090,B1065-36)+in_shop_renew^4*SUMIFS(AW1052:AW1090,B1052:B1090,B1065-48))</f>
        <v/>
      </c>
      <c r="AY1065" s="40">
        <f>AY1064*(1-IF(B1064&gt;=in_marketplace_from,d_hz_sip*G1064,0))</f>
        <v/>
      </c>
      <c r="AZ1065" s="40">
        <f>AZ1064*d_rho_sip+AY1065*IF(B1065&gt;=in_marketplace_from,d_hz_sip*G1065,0)</f>
        <v/>
      </c>
      <c r="BA1065" s="40">
        <f>d_rho_sip*(BA1064+AZ1064)</f>
        <v/>
      </c>
      <c r="BB1065" s="14">
        <f>F1065*in_sip_ticket*(BA1065+0.5*AZ1065)*in_sip_comm/12</f>
        <v/>
      </c>
      <c r="BC1065" s="40">
        <f>BC1064*(1-IF(B1064&gt;=in_marketplace_from,d_hz_choti*G1064,0))</f>
        <v/>
      </c>
      <c r="BD1065" s="46">
        <f>BC1065*IF(B1065&gt;=in_marketplace_from,d_hz_choti*G1065,0)</f>
        <v/>
      </c>
      <c r="BE1065" s="14">
        <f>F1065*SUMIFS(BD1052:BD1090,B1052:B1090,B1065-in_choti_months)*in_choti_renew*in_choti_ticket</f>
        <v/>
      </c>
      <c r="BF1065" s="40">
        <f>BF1064*(1-IF(B1064&gt;=in_marketplace_from,d_hz_nps*G1064,0))</f>
        <v/>
      </c>
      <c r="BG1065" s="14">
        <f>F1065*BF1065*IF(B1065&gt;=in_marketplace_from,d_hz_nps*G1065,0)*in_nps_ticket*in_nps_comm</f>
        <v/>
      </c>
      <c r="BH1065" s="40">
        <f>BH1064*(1-IF(B1064&gt;=in_marketplace_from,d_hz_gold*G1064,0))</f>
        <v/>
      </c>
      <c r="BI1065" s="40">
        <f>BI1064*d_rho_gold+BH1065*IF(B1065&gt;=in_marketplace_from,d_hz_gold*G1065,0)</f>
        <v/>
      </c>
      <c r="BJ1065" s="14">
        <f>F1065*BI1065*in_gold_ticket*in_gold_comm</f>
        <v/>
      </c>
      <c r="BK1065" s="40">
        <f>BK1064*(1-IF(B1064&gt;=in_marketplace_from,d_hz_fd*G1064,0))</f>
        <v/>
      </c>
      <c r="BL1065" s="14">
        <f>F1065*BK1065*IF(B1065&gt;=in_marketplace_from,d_hz_fd*G1065,0)*in_fd_ticket*in_fd_comm</f>
        <v/>
      </c>
      <c r="BM1065" s="40">
        <f>BM1064*(1-IF(B1064&gt;=in_marketplace_from,d_hz_recharge*G1064,0))</f>
        <v/>
      </c>
      <c r="BN1065" s="40">
        <f>BN1064*d_rho_recharge+BM1065*IF(B1065&gt;=in_marketplace_from,d_hz_recharge*G1065,0)</f>
        <v/>
      </c>
      <c r="BO1065" s="14">
        <f>F1065*BN1065*in_recharge_ticket*in_recharge_comm/12</f>
        <v/>
      </c>
      <c r="BP1065" s="40">
        <f>BP1064*(1-IF(B1064&gt;=in_marketplace_from,d_hz_bills*G1064,0))</f>
        <v/>
      </c>
      <c r="BQ1065" s="40">
        <f>BQ1064*d_rho_bills+BP1065*IF(B1065&gt;=in_marketplace_from,d_hz_bills*G1065,0)</f>
        <v/>
      </c>
      <c r="BR1065" s="14">
        <f>F1065*BQ1065*in_bills_ticket*in_bills_comm/12</f>
        <v/>
      </c>
      <c r="BS1065" s="40">
        <f>BS1064*(1-IF(B1064&gt;=in_marketplace_from,d_hz_loan_gold*G1064,0))</f>
        <v/>
      </c>
      <c r="BT1065" s="14">
        <f>F1065*BS1065*IF(B1065&gt;=in_marketplace_from,d_hz_loan_gold*G1065,0)*in_loan_gold_ticket*in_loan_gold_comm</f>
        <v/>
      </c>
      <c r="BU1065" s="40">
        <f>BU1064*(1-IF(B1064&gt;=in_marketplace_from,d_hz_loan_cd*G1064,0))</f>
        <v/>
      </c>
      <c r="BV1065" s="14">
        <f>F1065*BU1065*IF(B1065&gt;=in_marketplace_from,d_hz_loan_cd*G1065,0)*in_loan_cd_ticket*in_loan_cd_comm</f>
        <v/>
      </c>
      <c r="BW1065" s="40">
        <f>BW1064*(1-IF(B1064&gt;=in_marketplace_from,d_hz_loan_vehicle*G1064,0))</f>
        <v/>
      </c>
      <c r="BX1065" s="14">
        <f>F1065*BW1065*IF(B1065&gt;=in_marketplace_from,d_hz_loan_vehicle*G1065,0)*in_loan_vehicle_ticket*in_loan_vehicle_comm</f>
        <v/>
      </c>
      <c r="BY1065" s="40">
        <f>BY1064*(1-IF(B1064&gt;=in_marketplace_from,d_hz_loan_home*G1064,0)*BZ1064)</f>
        <v/>
      </c>
      <c r="BZ1065" s="11">
        <f>MIN(in_approval_cap,in_loan_home_approval*INDEX('Age profile'!$O$2:$O$61,B1065)*(1+in_approval_growth)^(D1065-1))</f>
        <v/>
      </c>
      <c r="CA1065" s="14">
        <f>F1065*BY1065*IF(B1065&gt;=in_marketplace_from,d_hz_loan_home*G1065,0)*BZ1065*in_loan_home_ticket*in_loan_home_comm</f>
        <v/>
      </c>
      <c r="CB1065" s="40">
        <f>CB1064*(1-IF(B1064&gt;=in_marketplace_from,d_hz_loan_lap*G1064,0)*CC1064)</f>
        <v/>
      </c>
      <c r="CC1065" s="11">
        <f>MIN(in_approval_cap,in_loan_lap_approval*INDEX('Age profile'!$O$2:$O$61,B1065)*(1+in_approval_growth)^(D1065-1))</f>
        <v/>
      </c>
      <c r="CD1065" s="14">
        <f>F1065*CB1065*IF(B1065&gt;=in_marketplace_from,d_hz_loan_lap*G1065,0)*CC1065*in_loan_lap_ticket*in_loan_lap_comm</f>
        <v/>
      </c>
      <c r="CE1065" s="14">
        <f>AA1065+AB1065+AC1065+AD1065+AG1065+AJ1065+AM1065+AP1065+AS1065+AU1065+AX1065+BB1065+BE1065+BG1065+BJ1065+BL1065+BO1065+BR1065+BT1065+BV1065+BX1065+CA1065+CD1065</f>
        <v/>
      </c>
    </row>
    <row r="1066">
      <c r="A1066" s="39" t="n">
        <v>22</v>
      </c>
      <c r="B1066" s="39" t="n">
        <v>15</v>
      </c>
      <c r="C1066" s="39">
        <f>A1066+B1066-1</f>
        <v/>
      </c>
      <c r="D1066" s="39">
        <f>INT((C1066-1)/12)+1</f>
        <v/>
      </c>
      <c r="E1066" s="44">
        <f>INDEX(Monthly!$B$2:$B$61,A1066)</f>
        <v/>
      </c>
      <c r="F1066" s="44">
        <f>E1066*INDEX('Age profile'!$B$2:$B$61,B1066)</f>
        <v/>
      </c>
      <c r="G1066" s="45">
        <f>MIN(in_takeup_cap,INDEX('Age profile'!$N$2:$N$61,B1066)*(1+in_takeup_growth)^(D1066-1))</f>
        <v/>
      </c>
      <c r="H1066" s="11">
        <f>MIN(in_approval_cap,in_approved_first*INDEX('Age profile'!$O$2:$O$61,B1066)*(1+in_approval_growth)^(D1066-1))</f>
        <v/>
      </c>
      <c r="I1066" s="45">
        <f>G1066*MIN(in_takeup_cap,INDEX('Age profile'!$O$2:$O$61,B1066)*(1+in_approval_growth)^(D1066-1))</f>
        <v/>
      </c>
      <c r="J1066" s="40">
        <f>(J1065-L1065)*F1066/F1065</f>
        <v/>
      </c>
      <c r="K1066" s="40">
        <f>(K1065-M1065)*F1066/F1065+SUMIFS(O1052:O1065,B1052:B1065,B1066-1-d_T)*F1066</f>
        <v/>
      </c>
      <c r="L1066" s="40">
        <f>IF(B1066&gt;=in_marketplace_from,J1066*d_hz*G1066*in_eligible*H1066,0)</f>
        <v/>
      </c>
      <c r="M1066" s="40">
        <f>IF(B1066&gt;=in_marketplace_from,K1066*d_hz*G1066*in_eligible*in_approved_repeat,0)</f>
        <v/>
      </c>
      <c r="N1066" s="40">
        <f>L1066+M1066</f>
        <v/>
      </c>
      <c r="O1066" s="46">
        <f>N1066/F1066</f>
        <v/>
      </c>
      <c r="P1066" s="40">
        <f>F1066-J1066-K1066</f>
        <v/>
      </c>
      <c r="Q1066" s="40">
        <f>IF(B1066&gt;=in_marketplace_from,(J1066+K1066)*d_hz*G1066,0)</f>
        <v/>
      </c>
      <c r="R1066" s="40">
        <f>SUMIFS(N1052:N1090,B1052:B1090,"&gt;="&amp;(B1066-d_T),B1052:B1090,"&lt;="&amp;(B1066-1))</f>
        <v/>
      </c>
      <c r="S1066" s="46">
        <f>(1-d_u)*S1065+IF(d_T&gt;in_topup_lag,SUMIFS(O1052:O1090,B1052:B1090,B1066-in_topup_lag)-d_udrop*SUMIFS(O1052:O1090,B1052:B1090,B1066-d_T),0)</f>
        <v/>
      </c>
      <c r="T1066" s="40">
        <f>F1066*d_u*S1066</f>
        <v/>
      </c>
      <c r="U1066" s="9">
        <f>L1066*in_ticket+M1066*d_rep_ticket</f>
        <v/>
      </c>
      <c r="V1066" s="9">
        <f>U1066+T1066*d_topup_amt</f>
        <v/>
      </c>
      <c r="W1066" s="40">
        <f>N1066+T1066*d_topup_ratio</f>
        <v/>
      </c>
      <c r="X1066" s="40">
        <f>SUMIFS(W1052:W1090,B1052:B1090,B1066-in_dpd_lag)*d_cured</f>
        <v/>
      </c>
      <c r="Y1066" s="40">
        <f>SUMIFS(W1052:W1090,B1052:B1090,B1066-in_rec_lag)*d_recd</f>
        <v/>
      </c>
      <c r="Z1066" s="40">
        <f>IF(AND(B1066&gt;=in_marketplace_from,B1066&lt;in_marketplace_from+in_card_months),in_card_share/in_card_months*F1066*I1066,IF(AND(B1066&gt;=in_marketplace_from+in_card_months,B1066&lt;in_marketplace_from+2*in_card_months),in_card_share*d_card_rem/in_card_months*F1066*MIN(in_takeup_cap,(1+in_takeup_growth)^(D1066-1))*MIN(in_takeup_cap,(1+in_approval_growth)^(D1066-1)),0))</f>
        <v/>
      </c>
      <c r="AA1066" s="14">
        <f>V1066*in_fee*(1-in_taken_back)</f>
        <v/>
      </c>
      <c r="AB1066" s="14">
        <f>SUMIFS(W1052:W1090,B1052:B1090,B1066-in_dpd_lag)*d_dpd</f>
        <v/>
      </c>
      <c r="AC1066" s="14">
        <f>SUMIFS(W1052:W1090,B1052:B1090,B1066-in_rec_lag)*d_rec</f>
        <v/>
      </c>
      <c r="AD1066" s="14">
        <f>Z1066*in_card_fee</f>
        <v/>
      </c>
      <c r="AE1066" s="40">
        <f>AE1065*(1-IF(B1065&gt;=in_marketplace_from,d_hz_hlth_small*G1065,0))</f>
        <v/>
      </c>
      <c r="AF1066" s="46">
        <f>AE1066*IF(B1066&gt;=in_marketplace_from,d_hz_hlth_small*G1066,0)</f>
        <v/>
      </c>
      <c r="AG1066" s="14">
        <f>F1066*AF1066*in_hlth_small_ticket*in_hlth_small_comm*in_ins_partner_share+F1066*in_hlth_small_ticket*in_hlth_small_renew_comm*in_ins_partner_share*(in_hlth_small_renew^1*SUMIFS(AF1052:AF1090,B1052:B1090,B1066-12)+in_hlth_small_renew^2*SUMIFS(AF1052:AF1090,B1052:B1090,B1066-24)+in_hlth_small_renew^3*SUMIFS(AF1052:AF1090,B1052:B1090,B1066-36)+in_hlth_small_renew^4*SUMIFS(AF1052:AF1090,B1052:B1090,B1066-48))</f>
        <v/>
      </c>
      <c r="AH1066" s="40">
        <f>AH1065*(1-IF(B1065&gt;=in_marketplace_from,d_hz_hlth_family*G1065,0))</f>
        <v/>
      </c>
      <c r="AI1066" s="46">
        <f>AH1066*IF(B1066&gt;=in_marketplace_from,d_hz_hlth_family*G1066,0)</f>
        <v/>
      </c>
      <c r="AJ1066" s="14">
        <f>F1066*AI1066*in_hlth_family_ticket*in_hlth_family_comm*in_ins_partner_share+F1066*in_hlth_family_ticket*in_hlth_family_renew_comm*in_ins_partner_share*(in_hlth_family_renew^1*SUMIFS(AI1052:AI1090,B1052:B1090,B1066-12)+in_hlth_family_renew^2*SUMIFS(AI1052:AI1090,B1052:B1090,B1066-24)+in_hlth_family_renew^3*SUMIFS(AI1052:AI1090,B1052:B1090,B1066-36)+in_hlth_family_renew^4*SUMIFS(AI1052:AI1090,B1052:B1090,B1066-48))</f>
        <v/>
      </c>
      <c r="AK1066" s="40">
        <f>AK1065*(1-IF(B1065&gt;=in_marketplace_from,d_hz_life_term*G1065,0))</f>
        <v/>
      </c>
      <c r="AL1066" s="46">
        <f>AK1066*IF(B1066&gt;=in_marketplace_from,d_hz_life_term*G1066,0)</f>
        <v/>
      </c>
      <c r="AM1066" s="14">
        <f>F1066*AL1066*in_life_term_ticket*in_life_term_comm*in_ins_partner_share+F1066*in_life_term_ticket*in_life_term_renew_comm*in_ins_partner_share*(in_life_term_renew^1*SUMIFS(AL1052:AL1090,B1052:B1090,B1066-12)+in_life_term_renew^2*SUMIFS(AL1052:AL1090,B1052:B1090,B1066-24)+in_life_term_renew^3*SUMIFS(AL1052:AL1090,B1052:B1090,B1066-36)+in_life_term_renew^4*SUMIFS(AL1052:AL1090,B1052:B1090,B1066-48))</f>
        <v/>
      </c>
      <c r="AN1066" s="40">
        <f>AN1065*(1-IF(B1065&gt;=in_marketplace_from,d_hz_accident*G1065,0))</f>
        <v/>
      </c>
      <c r="AO1066" s="46">
        <f>AN1066*IF(B1066&gt;=in_marketplace_from,d_hz_accident*G1066,0)</f>
        <v/>
      </c>
      <c r="AP1066" s="14">
        <f>F1066*AO1066*in_accident_ticket*in_accident_comm*in_ins_partner_share+F1066*in_accident_ticket*in_accident_renew_comm*in_ins_partner_share*(in_accident_renew^1*SUMIFS(AO1052:AO1090,B1052:B1090,B1066-12)+in_accident_renew^2*SUMIFS(AO1052:AO1090,B1052:B1090,B1066-24)+in_accident_renew^3*SUMIFS(AO1052:AO1090,B1052:B1090,B1066-36)+in_accident_renew^4*SUMIFS(AO1052:AO1090,B1052:B1090,B1066-48))</f>
        <v/>
      </c>
      <c r="AQ1066" s="40">
        <f>AQ1065*(1-IF(B1065&gt;=in_marketplace_from,d_hz_two_wheeler*G1065,0))</f>
        <v/>
      </c>
      <c r="AR1066" s="46">
        <f>AQ1066*IF(B1066&gt;=in_marketplace_from,d_hz_two_wheeler*G1066,0)</f>
        <v/>
      </c>
      <c r="AS1066" s="14">
        <f>F1066*AR1066*in_two_wheeler_ticket*in_two_wheeler_comm*in_ins_partner_share+F1066*in_two_wheeler_ticket*in_two_wheeler_comm*in_ins_partner_share*(in_two_wheeler_renew^1*SUMIFS(AR1052:AR1090,B1052:B1090,B1066-12)+in_two_wheeler_renew^2*SUMIFS(AR1052:AR1090,B1052:B1090,B1066-24)+in_two_wheeler_renew^3*SUMIFS(AR1052:AR1090,B1052:B1090,B1066-36)+in_two_wheeler_renew^4*SUMIFS(AR1052:AR1090,B1052:B1090,B1066-48))</f>
        <v/>
      </c>
      <c r="AT1066" s="40">
        <f>AT1065*(1-IF(B1065&gt;=in_marketplace_from,d_hz_device*G1065,0))</f>
        <v/>
      </c>
      <c r="AU1066" s="14">
        <f>F1066*AT1066*IF(B1066&gt;=in_marketplace_from,d_hz_device*G1066,0)*in_device_ticket*in_device_comm*in_ins_partner_share</f>
        <v/>
      </c>
      <c r="AV1066" s="40">
        <f>AV1065*(1-IF(B1065&gt;=in_marketplace_from,d_hz_shop*G1065,0))</f>
        <v/>
      </c>
      <c r="AW1066" s="46">
        <f>AV1066*IF(B1066&gt;=in_marketplace_from,d_hz_shop*G1066,0)</f>
        <v/>
      </c>
      <c r="AX1066" s="14">
        <f>F1066*AW1066*in_shop_ticket*in_shop_comm*in_ins_partner_share+F1066*in_shop_ticket*in_shop_renew_comm*in_ins_partner_share*(in_shop_renew^1*SUMIFS(AW1052:AW1090,B1052:B1090,B1066-12)+in_shop_renew^2*SUMIFS(AW1052:AW1090,B1052:B1090,B1066-24)+in_shop_renew^3*SUMIFS(AW1052:AW1090,B1052:B1090,B1066-36)+in_shop_renew^4*SUMIFS(AW1052:AW1090,B1052:B1090,B1066-48))</f>
        <v/>
      </c>
      <c r="AY1066" s="40">
        <f>AY1065*(1-IF(B1065&gt;=in_marketplace_from,d_hz_sip*G1065,0))</f>
        <v/>
      </c>
      <c r="AZ1066" s="40">
        <f>AZ1065*d_rho_sip+AY1066*IF(B1066&gt;=in_marketplace_from,d_hz_sip*G1066,0)</f>
        <v/>
      </c>
      <c r="BA1066" s="40">
        <f>d_rho_sip*(BA1065+AZ1065)</f>
        <v/>
      </c>
      <c r="BB1066" s="14">
        <f>F1066*in_sip_ticket*(BA1066+0.5*AZ1066)*in_sip_comm/12</f>
        <v/>
      </c>
      <c r="BC1066" s="40">
        <f>BC1065*(1-IF(B1065&gt;=in_marketplace_from,d_hz_choti*G1065,0))</f>
        <v/>
      </c>
      <c r="BD1066" s="46">
        <f>BC1066*IF(B1066&gt;=in_marketplace_from,d_hz_choti*G1066,0)</f>
        <v/>
      </c>
      <c r="BE1066" s="14">
        <f>F1066*SUMIFS(BD1052:BD1090,B1052:B1090,B1066-in_choti_months)*in_choti_renew*in_choti_ticket</f>
        <v/>
      </c>
      <c r="BF1066" s="40">
        <f>BF1065*(1-IF(B1065&gt;=in_marketplace_from,d_hz_nps*G1065,0))</f>
        <v/>
      </c>
      <c r="BG1066" s="14">
        <f>F1066*BF1066*IF(B1066&gt;=in_marketplace_from,d_hz_nps*G1066,0)*in_nps_ticket*in_nps_comm</f>
        <v/>
      </c>
      <c r="BH1066" s="40">
        <f>BH1065*(1-IF(B1065&gt;=in_marketplace_from,d_hz_gold*G1065,0))</f>
        <v/>
      </c>
      <c r="BI1066" s="40">
        <f>BI1065*d_rho_gold+BH1066*IF(B1066&gt;=in_marketplace_from,d_hz_gold*G1066,0)</f>
        <v/>
      </c>
      <c r="BJ1066" s="14">
        <f>F1066*BI1066*in_gold_ticket*in_gold_comm</f>
        <v/>
      </c>
      <c r="BK1066" s="40">
        <f>BK1065*(1-IF(B1065&gt;=in_marketplace_from,d_hz_fd*G1065,0))</f>
        <v/>
      </c>
      <c r="BL1066" s="14">
        <f>F1066*BK1066*IF(B1066&gt;=in_marketplace_from,d_hz_fd*G1066,0)*in_fd_ticket*in_fd_comm</f>
        <v/>
      </c>
      <c r="BM1066" s="40">
        <f>BM1065*(1-IF(B1065&gt;=in_marketplace_from,d_hz_recharge*G1065,0))</f>
        <v/>
      </c>
      <c r="BN1066" s="40">
        <f>BN1065*d_rho_recharge+BM1066*IF(B1066&gt;=in_marketplace_from,d_hz_recharge*G1066,0)</f>
        <v/>
      </c>
      <c r="BO1066" s="14">
        <f>F1066*BN1066*in_recharge_ticket*in_recharge_comm/12</f>
        <v/>
      </c>
      <c r="BP1066" s="40">
        <f>BP1065*(1-IF(B1065&gt;=in_marketplace_from,d_hz_bills*G1065,0))</f>
        <v/>
      </c>
      <c r="BQ1066" s="40">
        <f>BQ1065*d_rho_bills+BP1066*IF(B1066&gt;=in_marketplace_from,d_hz_bills*G1066,0)</f>
        <v/>
      </c>
      <c r="BR1066" s="14">
        <f>F1066*BQ1066*in_bills_ticket*in_bills_comm/12</f>
        <v/>
      </c>
      <c r="BS1066" s="40">
        <f>BS1065*(1-IF(B1065&gt;=in_marketplace_from,d_hz_loan_gold*G1065,0))</f>
        <v/>
      </c>
      <c r="BT1066" s="14">
        <f>F1066*BS1066*IF(B1066&gt;=in_marketplace_from,d_hz_loan_gold*G1066,0)*in_loan_gold_ticket*in_loan_gold_comm</f>
        <v/>
      </c>
      <c r="BU1066" s="40">
        <f>BU1065*(1-IF(B1065&gt;=in_marketplace_from,d_hz_loan_cd*G1065,0))</f>
        <v/>
      </c>
      <c r="BV1066" s="14">
        <f>F1066*BU1066*IF(B1066&gt;=in_marketplace_from,d_hz_loan_cd*G1066,0)*in_loan_cd_ticket*in_loan_cd_comm</f>
        <v/>
      </c>
      <c r="BW1066" s="40">
        <f>BW1065*(1-IF(B1065&gt;=in_marketplace_from,d_hz_loan_vehicle*G1065,0))</f>
        <v/>
      </c>
      <c r="BX1066" s="14">
        <f>F1066*BW1066*IF(B1066&gt;=in_marketplace_from,d_hz_loan_vehicle*G1066,0)*in_loan_vehicle_ticket*in_loan_vehicle_comm</f>
        <v/>
      </c>
      <c r="BY1066" s="40">
        <f>BY1065*(1-IF(B1065&gt;=in_marketplace_from,d_hz_loan_home*G1065,0)*BZ1065)</f>
        <v/>
      </c>
      <c r="BZ1066" s="11">
        <f>MIN(in_approval_cap,in_loan_home_approval*INDEX('Age profile'!$O$2:$O$61,B1066)*(1+in_approval_growth)^(D1066-1))</f>
        <v/>
      </c>
      <c r="CA1066" s="14">
        <f>F1066*BY1066*IF(B1066&gt;=in_marketplace_from,d_hz_loan_home*G1066,0)*BZ1066*in_loan_home_ticket*in_loan_home_comm</f>
        <v/>
      </c>
      <c r="CB1066" s="40">
        <f>CB1065*(1-IF(B1065&gt;=in_marketplace_from,d_hz_loan_lap*G1065,0)*CC1065)</f>
        <v/>
      </c>
      <c r="CC1066" s="11">
        <f>MIN(in_approval_cap,in_loan_lap_approval*INDEX('Age profile'!$O$2:$O$61,B1066)*(1+in_approval_growth)^(D1066-1))</f>
        <v/>
      </c>
      <c r="CD1066" s="14">
        <f>F1066*CB1066*IF(B1066&gt;=in_marketplace_from,d_hz_loan_lap*G1066,0)*CC1066*in_loan_lap_ticket*in_loan_lap_comm</f>
        <v/>
      </c>
      <c r="CE1066" s="14">
        <f>AA1066+AB1066+AC1066+AD1066+AG1066+AJ1066+AM1066+AP1066+AS1066+AU1066+AX1066+BB1066+BE1066+BG1066+BJ1066+BL1066+BO1066+BR1066+BT1066+BV1066+BX1066+CA1066+CD1066</f>
        <v/>
      </c>
    </row>
    <row r="1067">
      <c r="A1067" s="39" t="n">
        <v>22</v>
      </c>
      <c r="B1067" s="39" t="n">
        <v>16</v>
      </c>
      <c r="C1067" s="39">
        <f>A1067+B1067-1</f>
        <v/>
      </c>
      <c r="D1067" s="39">
        <f>INT((C1067-1)/12)+1</f>
        <v/>
      </c>
      <c r="E1067" s="44">
        <f>INDEX(Monthly!$B$2:$B$61,A1067)</f>
        <v/>
      </c>
      <c r="F1067" s="44">
        <f>E1067*INDEX('Age profile'!$B$2:$B$61,B1067)</f>
        <v/>
      </c>
      <c r="G1067" s="45">
        <f>MIN(in_takeup_cap,INDEX('Age profile'!$N$2:$N$61,B1067)*(1+in_takeup_growth)^(D1067-1))</f>
        <v/>
      </c>
      <c r="H1067" s="11">
        <f>MIN(in_approval_cap,in_approved_first*INDEX('Age profile'!$O$2:$O$61,B1067)*(1+in_approval_growth)^(D1067-1))</f>
        <v/>
      </c>
      <c r="I1067" s="45">
        <f>G1067*MIN(in_takeup_cap,INDEX('Age profile'!$O$2:$O$61,B1067)*(1+in_approval_growth)^(D1067-1))</f>
        <v/>
      </c>
      <c r="J1067" s="40">
        <f>(J1066-L1066)*F1067/F1066</f>
        <v/>
      </c>
      <c r="K1067" s="40">
        <f>(K1066-M1066)*F1067/F1066+SUMIFS(O1052:O1066,B1052:B1066,B1067-1-d_T)*F1067</f>
        <v/>
      </c>
      <c r="L1067" s="40">
        <f>IF(B1067&gt;=in_marketplace_from,J1067*d_hz*G1067*in_eligible*H1067,0)</f>
        <v/>
      </c>
      <c r="M1067" s="40">
        <f>IF(B1067&gt;=in_marketplace_from,K1067*d_hz*G1067*in_eligible*in_approved_repeat,0)</f>
        <v/>
      </c>
      <c r="N1067" s="40">
        <f>L1067+M1067</f>
        <v/>
      </c>
      <c r="O1067" s="46">
        <f>N1067/F1067</f>
        <v/>
      </c>
      <c r="P1067" s="40">
        <f>F1067-J1067-K1067</f>
        <v/>
      </c>
      <c r="Q1067" s="40">
        <f>IF(B1067&gt;=in_marketplace_from,(J1067+K1067)*d_hz*G1067,0)</f>
        <v/>
      </c>
      <c r="R1067" s="40">
        <f>SUMIFS(N1052:N1090,B1052:B1090,"&gt;="&amp;(B1067-d_T),B1052:B1090,"&lt;="&amp;(B1067-1))</f>
        <v/>
      </c>
      <c r="S1067" s="46">
        <f>(1-d_u)*S1066+IF(d_T&gt;in_topup_lag,SUMIFS(O1052:O1090,B1052:B1090,B1067-in_topup_lag)-d_udrop*SUMIFS(O1052:O1090,B1052:B1090,B1067-d_T),0)</f>
        <v/>
      </c>
      <c r="T1067" s="40">
        <f>F1067*d_u*S1067</f>
        <v/>
      </c>
      <c r="U1067" s="9">
        <f>L1067*in_ticket+M1067*d_rep_ticket</f>
        <v/>
      </c>
      <c r="V1067" s="9">
        <f>U1067+T1067*d_topup_amt</f>
        <v/>
      </c>
      <c r="W1067" s="40">
        <f>N1067+T1067*d_topup_ratio</f>
        <v/>
      </c>
      <c r="X1067" s="40">
        <f>SUMIFS(W1052:W1090,B1052:B1090,B1067-in_dpd_lag)*d_cured</f>
        <v/>
      </c>
      <c r="Y1067" s="40">
        <f>SUMIFS(W1052:W1090,B1052:B1090,B1067-in_rec_lag)*d_recd</f>
        <v/>
      </c>
      <c r="Z1067" s="40">
        <f>IF(AND(B1067&gt;=in_marketplace_from,B1067&lt;in_marketplace_from+in_card_months),in_card_share/in_card_months*F1067*I1067,IF(AND(B1067&gt;=in_marketplace_from+in_card_months,B1067&lt;in_marketplace_from+2*in_card_months),in_card_share*d_card_rem/in_card_months*F1067*MIN(in_takeup_cap,(1+in_takeup_growth)^(D1067-1))*MIN(in_takeup_cap,(1+in_approval_growth)^(D1067-1)),0))</f>
        <v/>
      </c>
      <c r="AA1067" s="14">
        <f>V1067*in_fee*(1-in_taken_back)</f>
        <v/>
      </c>
      <c r="AB1067" s="14">
        <f>SUMIFS(W1052:W1090,B1052:B1090,B1067-in_dpd_lag)*d_dpd</f>
        <v/>
      </c>
      <c r="AC1067" s="14">
        <f>SUMIFS(W1052:W1090,B1052:B1090,B1067-in_rec_lag)*d_rec</f>
        <v/>
      </c>
      <c r="AD1067" s="14">
        <f>Z1067*in_card_fee</f>
        <v/>
      </c>
      <c r="AE1067" s="40">
        <f>AE1066*(1-IF(B1066&gt;=in_marketplace_from,d_hz_hlth_small*G1066,0))</f>
        <v/>
      </c>
      <c r="AF1067" s="46">
        <f>AE1067*IF(B1067&gt;=in_marketplace_from,d_hz_hlth_small*G1067,0)</f>
        <v/>
      </c>
      <c r="AG1067" s="14">
        <f>F1067*AF1067*in_hlth_small_ticket*in_hlth_small_comm*in_ins_partner_share+F1067*in_hlth_small_ticket*in_hlth_small_renew_comm*in_ins_partner_share*(in_hlth_small_renew^1*SUMIFS(AF1052:AF1090,B1052:B1090,B1067-12)+in_hlth_small_renew^2*SUMIFS(AF1052:AF1090,B1052:B1090,B1067-24)+in_hlth_small_renew^3*SUMIFS(AF1052:AF1090,B1052:B1090,B1067-36)+in_hlth_small_renew^4*SUMIFS(AF1052:AF1090,B1052:B1090,B1067-48))</f>
        <v/>
      </c>
      <c r="AH1067" s="40">
        <f>AH1066*(1-IF(B1066&gt;=in_marketplace_from,d_hz_hlth_family*G1066,0))</f>
        <v/>
      </c>
      <c r="AI1067" s="46">
        <f>AH1067*IF(B1067&gt;=in_marketplace_from,d_hz_hlth_family*G1067,0)</f>
        <v/>
      </c>
      <c r="AJ1067" s="14">
        <f>F1067*AI1067*in_hlth_family_ticket*in_hlth_family_comm*in_ins_partner_share+F1067*in_hlth_family_ticket*in_hlth_family_renew_comm*in_ins_partner_share*(in_hlth_family_renew^1*SUMIFS(AI1052:AI1090,B1052:B1090,B1067-12)+in_hlth_family_renew^2*SUMIFS(AI1052:AI1090,B1052:B1090,B1067-24)+in_hlth_family_renew^3*SUMIFS(AI1052:AI1090,B1052:B1090,B1067-36)+in_hlth_family_renew^4*SUMIFS(AI1052:AI1090,B1052:B1090,B1067-48))</f>
        <v/>
      </c>
      <c r="AK1067" s="40">
        <f>AK1066*(1-IF(B1066&gt;=in_marketplace_from,d_hz_life_term*G1066,0))</f>
        <v/>
      </c>
      <c r="AL1067" s="46">
        <f>AK1067*IF(B1067&gt;=in_marketplace_from,d_hz_life_term*G1067,0)</f>
        <v/>
      </c>
      <c r="AM1067" s="14">
        <f>F1067*AL1067*in_life_term_ticket*in_life_term_comm*in_ins_partner_share+F1067*in_life_term_ticket*in_life_term_renew_comm*in_ins_partner_share*(in_life_term_renew^1*SUMIFS(AL1052:AL1090,B1052:B1090,B1067-12)+in_life_term_renew^2*SUMIFS(AL1052:AL1090,B1052:B1090,B1067-24)+in_life_term_renew^3*SUMIFS(AL1052:AL1090,B1052:B1090,B1067-36)+in_life_term_renew^4*SUMIFS(AL1052:AL1090,B1052:B1090,B1067-48))</f>
        <v/>
      </c>
      <c r="AN1067" s="40">
        <f>AN1066*(1-IF(B1066&gt;=in_marketplace_from,d_hz_accident*G1066,0))</f>
        <v/>
      </c>
      <c r="AO1067" s="46">
        <f>AN1067*IF(B1067&gt;=in_marketplace_from,d_hz_accident*G1067,0)</f>
        <v/>
      </c>
      <c r="AP1067" s="14">
        <f>F1067*AO1067*in_accident_ticket*in_accident_comm*in_ins_partner_share+F1067*in_accident_ticket*in_accident_renew_comm*in_ins_partner_share*(in_accident_renew^1*SUMIFS(AO1052:AO1090,B1052:B1090,B1067-12)+in_accident_renew^2*SUMIFS(AO1052:AO1090,B1052:B1090,B1067-24)+in_accident_renew^3*SUMIFS(AO1052:AO1090,B1052:B1090,B1067-36)+in_accident_renew^4*SUMIFS(AO1052:AO1090,B1052:B1090,B1067-48))</f>
        <v/>
      </c>
      <c r="AQ1067" s="40">
        <f>AQ1066*(1-IF(B1066&gt;=in_marketplace_from,d_hz_two_wheeler*G1066,0))</f>
        <v/>
      </c>
      <c r="AR1067" s="46">
        <f>AQ1067*IF(B1067&gt;=in_marketplace_from,d_hz_two_wheeler*G1067,0)</f>
        <v/>
      </c>
      <c r="AS1067" s="14">
        <f>F1067*AR1067*in_two_wheeler_ticket*in_two_wheeler_comm*in_ins_partner_share+F1067*in_two_wheeler_ticket*in_two_wheeler_comm*in_ins_partner_share*(in_two_wheeler_renew^1*SUMIFS(AR1052:AR1090,B1052:B1090,B1067-12)+in_two_wheeler_renew^2*SUMIFS(AR1052:AR1090,B1052:B1090,B1067-24)+in_two_wheeler_renew^3*SUMIFS(AR1052:AR1090,B1052:B1090,B1067-36)+in_two_wheeler_renew^4*SUMIFS(AR1052:AR1090,B1052:B1090,B1067-48))</f>
        <v/>
      </c>
      <c r="AT1067" s="40">
        <f>AT1066*(1-IF(B1066&gt;=in_marketplace_from,d_hz_device*G1066,0))</f>
        <v/>
      </c>
      <c r="AU1067" s="14">
        <f>F1067*AT1067*IF(B1067&gt;=in_marketplace_from,d_hz_device*G1067,0)*in_device_ticket*in_device_comm*in_ins_partner_share</f>
        <v/>
      </c>
      <c r="AV1067" s="40">
        <f>AV1066*(1-IF(B1066&gt;=in_marketplace_from,d_hz_shop*G1066,0))</f>
        <v/>
      </c>
      <c r="AW1067" s="46">
        <f>AV1067*IF(B1067&gt;=in_marketplace_from,d_hz_shop*G1067,0)</f>
        <v/>
      </c>
      <c r="AX1067" s="14">
        <f>F1067*AW1067*in_shop_ticket*in_shop_comm*in_ins_partner_share+F1067*in_shop_ticket*in_shop_renew_comm*in_ins_partner_share*(in_shop_renew^1*SUMIFS(AW1052:AW1090,B1052:B1090,B1067-12)+in_shop_renew^2*SUMIFS(AW1052:AW1090,B1052:B1090,B1067-24)+in_shop_renew^3*SUMIFS(AW1052:AW1090,B1052:B1090,B1067-36)+in_shop_renew^4*SUMIFS(AW1052:AW1090,B1052:B1090,B1067-48))</f>
        <v/>
      </c>
      <c r="AY1067" s="40">
        <f>AY1066*(1-IF(B1066&gt;=in_marketplace_from,d_hz_sip*G1066,0))</f>
        <v/>
      </c>
      <c r="AZ1067" s="40">
        <f>AZ1066*d_rho_sip+AY1067*IF(B1067&gt;=in_marketplace_from,d_hz_sip*G1067,0)</f>
        <v/>
      </c>
      <c r="BA1067" s="40">
        <f>d_rho_sip*(BA1066+AZ1066)</f>
        <v/>
      </c>
      <c r="BB1067" s="14">
        <f>F1067*in_sip_ticket*(BA1067+0.5*AZ1067)*in_sip_comm/12</f>
        <v/>
      </c>
      <c r="BC1067" s="40">
        <f>BC1066*(1-IF(B1066&gt;=in_marketplace_from,d_hz_choti*G1066,0))</f>
        <v/>
      </c>
      <c r="BD1067" s="46">
        <f>BC1067*IF(B1067&gt;=in_marketplace_from,d_hz_choti*G1067,0)</f>
        <v/>
      </c>
      <c r="BE1067" s="14">
        <f>F1067*SUMIFS(BD1052:BD1090,B1052:B1090,B1067-in_choti_months)*in_choti_renew*in_choti_ticket</f>
        <v/>
      </c>
      <c r="BF1067" s="40">
        <f>BF1066*(1-IF(B1066&gt;=in_marketplace_from,d_hz_nps*G1066,0))</f>
        <v/>
      </c>
      <c r="BG1067" s="14">
        <f>F1067*BF1067*IF(B1067&gt;=in_marketplace_from,d_hz_nps*G1067,0)*in_nps_ticket*in_nps_comm</f>
        <v/>
      </c>
      <c r="BH1067" s="40">
        <f>BH1066*(1-IF(B1066&gt;=in_marketplace_from,d_hz_gold*G1066,0))</f>
        <v/>
      </c>
      <c r="BI1067" s="40">
        <f>BI1066*d_rho_gold+BH1067*IF(B1067&gt;=in_marketplace_from,d_hz_gold*G1067,0)</f>
        <v/>
      </c>
      <c r="BJ1067" s="14">
        <f>F1067*BI1067*in_gold_ticket*in_gold_comm</f>
        <v/>
      </c>
      <c r="BK1067" s="40">
        <f>BK1066*(1-IF(B1066&gt;=in_marketplace_from,d_hz_fd*G1066,0))</f>
        <v/>
      </c>
      <c r="BL1067" s="14">
        <f>F1067*BK1067*IF(B1067&gt;=in_marketplace_from,d_hz_fd*G1067,0)*in_fd_ticket*in_fd_comm</f>
        <v/>
      </c>
      <c r="BM1067" s="40">
        <f>BM1066*(1-IF(B1066&gt;=in_marketplace_from,d_hz_recharge*G1066,0))</f>
        <v/>
      </c>
      <c r="BN1067" s="40">
        <f>BN1066*d_rho_recharge+BM1067*IF(B1067&gt;=in_marketplace_from,d_hz_recharge*G1067,0)</f>
        <v/>
      </c>
      <c r="BO1067" s="14">
        <f>F1067*BN1067*in_recharge_ticket*in_recharge_comm/12</f>
        <v/>
      </c>
      <c r="BP1067" s="40">
        <f>BP1066*(1-IF(B1066&gt;=in_marketplace_from,d_hz_bills*G1066,0))</f>
        <v/>
      </c>
      <c r="BQ1067" s="40">
        <f>BQ1066*d_rho_bills+BP1067*IF(B1067&gt;=in_marketplace_from,d_hz_bills*G1067,0)</f>
        <v/>
      </c>
      <c r="BR1067" s="14">
        <f>F1067*BQ1067*in_bills_ticket*in_bills_comm/12</f>
        <v/>
      </c>
      <c r="BS1067" s="40">
        <f>BS1066*(1-IF(B1066&gt;=in_marketplace_from,d_hz_loan_gold*G1066,0))</f>
        <v/>
      </c>
      <c r="BT1067" s="14">
        <f>F1067*BS1067*IF(B1067&gt;=in_marketplace_from,d_hz_loan_gold*G1067,0)*in_loan_gold_ticket*in_loan_gold_comm</f>
        <v/>
      </c>
      <c r="BU1067" s="40">
        <f>BU1066*(1-IF(B1066&gt;=in_marketplace_from,d_hz_loan_cd*G1066,0))</f>
        <v/>
      </c>
      <c r="BV1067" s="14">
        <f>F1067*BU1067*IF(B1067&gt;=in_marketplace_from,d_hz_loan_cd*G1067,0)*in_loan_cd_ticket*in_loan_cd_comm</f>
        <v/>
      </c>
      <c r="BW1067" s="40">
        <f>BW1066*(1-IF(B1066&gt;=in_marketplace_from,d_hz_loan_vehicle*G1066,0))</f>
        <v/>
      </c>
      <c r="BX1067" s="14">
        <f>F1067*BW1067*IF(B1067&gt;=in_marketplace_from,d_hz_loan_vehicle*G1067,0)*in_loan_vehicle_ticket*in_loan_vehicle_comm</f>
        <v/>
      </c>
      <c r="BY1067" s="40">
        <f>BY1066*(1-IF(B1066&gt;=in_marketplace_from,d_hz_loan_home*G1066,0)*BZ1066)</f>
        <v/>
      </c>
      <c r="BZ1067" s="11">
        <f>MIN(in_approval_cap,in_loan_home_approval*INDEX('Age profile'!$O$2:$O$61,B1067)*(1+in_approval_growth)^(D1067-1))</f>
        <v/>
      </c>
      <c r="CA1067" s="14">
        <f>F1067*BY1067*IF(B1067&gt;=in_marketplace_from,d_hz_loan_home*G1067,0)*BZ1067*in_loan_home_ticket*in_loan_home_comm</f>
        <v/>
      </c>
      <c r="CB1067" s="40">
        <f>CB1066*(1-IF(B1066&gt;=in_marketplace_from,d_hz_loan_lap*G1066,0)*CC1066)</f>
        <v/>
      </c>
      <c r="CC1067" s="11">
        <f>MIN(in_approval_cap,in_loan_lap_approval*INDEX('Age profile'!$O$2:$O$61,B1067)*(1+in_approval_growth)^(D1067-1))</f>
        <v/>
      </c>
      <c r="CD1067" s="14">
        <f>F1067*CB1067*IF(B1067&gt;=in_marketplace_from,d_hz_loan_lap*G1067,0)*CC1067*in_loan_lap_ticket*in_loan_lap_comm</f>
        <v/>
      </c>
      <c r="CE1067" s="14">
        <f>AA1067+AB1067+AC1067+AD1067+AG1067+AJ1067+AM1067+AP1067+AS1067+AU1067+AX1067+BB1067+BE1067+BG1067+BJ1067+BL1067+BO1067+BR1067+BT1067+BV1067+BX1067+CA1067+CD1067</f>
        <v/>
      </c>
    </row>
    <row r="1068">
      <c r="A1068" s="39" t="n">
        <v>22</v>
      </c>
      <c r="B1068" s="39" t="n">
        <v>17</v>
      </c>
      <c r="C1068" s="39">
        <f>A1068+B1068-1</f>
        <v/>
      </c>
      <c r="D1068" s="39">
        <f>INT((C1068-1)/12)+1</f>
        <v/>
      </c>
      <c r="E1068" s="44">
        <f>INDEX(Monthly!$B$2:$B$61,A1068)</f>
        <v/>
      </c>
      <c r="F1068" s="44">
        <f>E1068*INDEX('Age profile'!$B$2:$B$61,B1068)</f>
        <v/>
      </c>
      <c r="G1068" s="45">
        <f>MIN(in_takeup_cap,INDEX('Age profile'!$N$2:$N$61,B1068)*(1+in_takeup_growth)^(D1068-1))</f>
        <v/>
      </c>
      <c r="H1068" s="11">
        <f>MIN(in_approval_cap,in_approved_first*INDEX('Age profile'!$O$2:$O$61,B1068)*(1+in_approval_growth)^(D1068-1))</f>
        <v/>
      </c>
      <c r="I1068" s="45">
        <f>G1068*MIN(in_takeup_cap,INDEX('Age profile'!$O$2:$O$61,B1068)*(1+in_approval_growth)^(D1068-1))</f>
        <v/>
      </c>
      <c r="J1068" s="40">
        <f>(J1067-L1067)*F1068/F1067</f>
        <v/>
      </c>
      <c r="K1068" s="40">
        <f>(K1067-M1067)*F1068/F1067+SUMIFS(O1052:O1067,B1052:B1067,B1068-1-d_T)*F1068</f>
        <v/>
      </c>
      <c r="L1068" s="40">
        <f>IF(B1068&gt;=in_marketplace_from,J1068*d_hz*G1068*in_eligible*H1068,0)</f>
        <v/>
      </c>
      <c r="M1068" s="40">
        <f>IF(B1068&gt;=in_marketplace_from,K1068*d_hz*G1068*in_eligible*in_approved_repeat,0)</f>
        <v/>
      </c>
      <c r="N1068" s="40">
        <f>L1068+M1068</f>
        <v/>
      </c>
      <c r="O1068" s="46">
        <f>N1068/F1068</f>
        <v/>
      </c>
      <c r="P1068" s="40">
        <f>F1068-J1068-K1068</f>
        <v/>
      </c>
      <c r="Q1068" s="40">
        <f>IF(B1068&gt;=in_marketplace_from,(J1068+K1068)*d_hz*G1068,0)</f>
        <v/>
      </c>
      <c r="R1068" s="40">
        <f>SUMIFS(N1052:N1090,B1052:B1090,"&gt;="&amp;(B1068-d_T),B1052:B1090,"&lt;="&amp;(B1068-1))</f>
        <v/>
      </c>
      <c r="S1068" s="46">
        <f>(1-d_u)*S1067+IF(d_T&gt;in_topup_lag,SUMIFS(O1052:O1090,B1052:B1090,B1068-in_topup_lag)-d_udrop*SUMIFS(O1052:O1090,B1052:B1090,B1068-d_T),0)</f>
        <v/>
      </c>
      <c r="T1068" s="40">
        <f>F1068*d_u*S1068</f>
        <v/>
      </c>
      <c r="U1068" s="9">
        <f>L1068*in_ticket+M1068*d_rep_ticket</f>
        <v/>
      </c>
      <c r="V1068" s="9">
        <f>U1068+T1068*d_topup_amt</f>
        <v/>
      </c>
      <c r="W1068" s="40">
        <f>N1068+T1068*d_topup_ratio</f>
        <v/>
      </c>
      <c r="X1068" s="40">
        <f>SUMIFS(W1052:W1090,B1052:B1090,B1068-in_dpd_lag)*d_cured</f>
        <v/>
      </c>
      <c r="Y1068" s="40">
        <f>SUMIFS(W1052:W1090,B1052:B1090,B1068-in_rec_lag)*d_recd</f>
        <v/>
      </c>
      <c r="Z1068" s="40">
        <f>IF(AND(B1068&gt;=in_marketplace_from,B1068&lt;in_marketplace_from+in_card_months),in_card_share/in_card_months*F1068*I1068,IF(AND(B1068&gt;=in_marketplace_from+in_card_months,B1068&lt;in_marketplace_from+2*in_card_months),in_card_share*d_card_rem/in_card_months*F1068*MIN(in_takeup_cap,(1+in_takeup_growth)^(D1068-1))*MIN(in_takeup_cap,(1+in_approval_growth)^(D1068-1)),0))</f>
        <v/>
      </c>
      <c r="AA1068" s="14">
        <f>V1068*in_fee*(1-in_taken_back)</f>
        <v/>
      </c>
      <c r="AB1068" s="14">
        <f>SUMIFS(W1052:W1090,B1052:B1090,B1068-in_dpd_lag)*d_dpd</f>
        <v/>
      </c>
      <c r="AC1068" s="14">
        <f>SUMIFS(W1052:W1090,B1052:B1090,B1068-in_rec_lag)*d_rec</f>
        <v/>
      </c>
      <c r="AD1068" s="14">
        <f>Z1068*in_card_fee</f>
        <v/>
      </c>
      <c r="AE1068" s="40">
        <f>AE1067*(1-IF(B1067&gt;=in_marketplace_from,d_hz_hlth_small*G1067,0))</f>
        <v/>
      </c>
      <c r="AF1068" s="46">
        <f>AE1068*IF(B1068&gt;=in_marketplace_from,d_hz_hlth_small*G1068,0)</f>
        <v/>
      </c>
      <c r="AG1068" s="14">
        <f>F1068*AF1068*in_hlth_small_ticket*in_hlth_small_comm*in_ins_partner_share+F1068*in_hlth_small_ticket*in_hlth_small_renew_comm*in_ins_partner_share*(in_hlth_small_renew^1*SUMIFS(AF1052:AF1090,B1052:B1090,B1068-12)+in_hlth_small_renew^2*SUMIFS(AF1052:AF1090,B1052:B1090,B1068-24)+in_hlth_small_renew^3*SUMIFS(AF1052:AF1090,B1052:B1090,B1068-36)+in_hlth_small_renew^4*SUMIFS(AF1052:AF1090,B1052:B1090,B1068-48))</f>
        <v/>
      </c>
      <c r="AH1068" s="40">
        <f>AH1067*(1-IF(B1067&gt;=in_marketplace_from,d_hz_hlth_family*G1067,0))</f>
        <v/>
      </c>
      <c r="AI1068" s="46">
        <f>AH1068*IF(B1068&gt;=in_marketplace_from,d_hz_hlth_family*G1068,0)</f>
        <v/>
      </c>
      <c r="AJ1068" s="14">
        <f>F1068*AI1068*in_hlth_family_ticket*in_hlth_family_comm*in_ins_partner_share+F1068*in_hlth_family_ticket*in_hlth_family_renew_comm*in_ins_partner_share*(in_hlth_family_renew^1*SUMIFS(AI1052:AI1090,B1052:B1090,B1068-12)+in_hlth_family_renew^2*SUMIFS(AI1052:AI1090,B1052:B1090,B1068-24)+in_hlth_family_renew^3*SUMIFS(AI1052:AI1090,B1052:B1090,B1068-36)+in_hlth_family_renew^4*SUMIFS(AI1052:AI1090,B1052:B1090,B1068-48))</f>
        <v/>
      </c>
      <c r="AK1068" s="40">
        <f>AK1067*(1-IF(B1067&gt;=in_marketplace_from,d_hz_life_term*G1067,0))</f>
        <v/>
      </c>
      <c r="AL1068" s="46">
        <f>AK1068*IF(B1068&gt;=in_marketplace_from,d_hz_life_term*G1068,0)</f>
        <v/>
      </c>
      <c r="AM1068" s="14">
        <f>F1068*AL1068*in_life_term_ticket*in_life_term_comm*in_ins_partner_share+F1068*in_life_term_ticket*in_life_term_renew_comm*in_ins_partner_share*(in_life_term_renew^1*SUMIFS(AL1052:AL1090,B1052:B1090,B1068-12)+in_life_term_renew^2*SUMIFS(AL1052:AL1090,B1052:B1090,B1068-24)+in_life_term_renew^3*SUMIFS(AL1052:AL1090,B1052:B1090,B1068-36)+in_life_term_renew^4*SUMIFS(AL1052:AL1090,B1052:B1090,B1068-48))</f>
        <v/>
      </c>
      <c r="AN1068" s="40">
        <f>AN1067*(1-IF(B1067&gt;=in_marketplace_from,d_hz_accident*G1067,0))</f>
        <v/>
      </c>
      <c r="AO1068" s="46">
        <f>AN1068*IF(B1068&gt;=in_marketplace_from,d_hz_accident*G1068,0)</f>
        <v/>
      </c>
      <c r="AP1068" s="14">
        <f>F1068*AO1068*in_accident_ticket*in_accident_comm*in_ins_partner_share+F1068*in_accident_ticket*in_accident_renew_comm*in_ins_partner_share*(in_accident_renew^1*SUMIFS(AO1052:AO1090,B1052:B1090,B1068-12)+in_accident_renew^2*SUMIFS(AO1052:AO1090,B1052:B1090,B1068-24)+in_accident_renew^3*SUMIFS(AO1052:AO1090,B1052:B1090,B1068-36)+in_accident_renew^4*SUMIFS(AO1052:AO1090,B1052:B1090,B1068-48))</f>
        <v/>
      </c>
      <c r="AQ1068" s="40">
        <f>AQ1067*(1-IF(B1067&gt;=in_marketplace_from,d_hz_two_wheeler*G1067,0))</f>
        <v/>
      </c>
      <c r="AR1068" s="46">
        <f>AQ1068*IF(B1068&gt;=in_marketplace_from,d_hz_two_wheeler*G1068,0)</f>
        <v/>
      </c>
      <c r="AS1068" s="14">
        <f>F1068*AR1068*in_two_wheeler_ticket*in_two_wheeler_comm*in_ins_partner_share+F1068*in_two_wheeler_ticket*in_two_wheeler_comm*in_ins_partner_share*(in_two_wheeler_renew^1*SUMIFS(AR1052:AR1090,B1052:B1090,B1068-12)+in_two_wheeler_renew^2*SUMIFS(AR1052:AR1090,B1052:B1090,B1068-24)+in_two_wheeler_renew^3*SUMIFS(AR1052:AR1090,B1052:B1090,B1068-36)+in_two_wheeler_renew^4*SUMIFS(AR1052:AR1090,B1052:B1090,B1068-48))</f>
        <v/>
      </c>
      <c r="AT1068" s="40">
        <f>AT1067*(1-IF(B1067&gt;=in_marketplace_from,d_hz_device*G1067,0))</f>
        <v/>
      </c>
      <c r="AU1068" s="14">
        <f>F1068*AT1068*IF(B1068&gt;=in_marketplace_from,d_hz_device*G1068,0)*in_device_ticket*in_device_comm*in_ins_partner_share</f>
        <v/>
      </c>
      <c r="AV1068" s="40">
        <f>AV1067*(1-IF(B1067&gt;=in_marketplace_from,d_hz_shop*G1067,0))</f>
        <v/>
      </c>
      <c r="AW1068" s="46">
        <f>AV1068*IF(B1068&gt;=in_marketplace_from,d_hz_shop*G1068,0)</f>
        <v/>
      </c>
      <c r="AX1068" s="14">
        <f>F1068*AW1068*in_shop_ticket*in_shop_comm*in_ins_partner_share+F1068*in_shop_ticket*in_shop_renew_comm*in_ins_partner_share*(in_shop_renew^1*SUMIFS(AW1052:AW1090,B1052:B1090,B1068-12)+in_shop_renew^2*SUMIFS(AW1052:AW1090,B1052:B1090,B1068-24)+in_shop_renew^3*SUMIFS(AW1052:AW1090,B1052:B1090,B1068-36)+in_shop_renew^4*SUMIFS(AW1052:AW1090,B1052:B1090,B1068-48))</f>
        <v/>
      </c>
      <c r="AY1068" s="40">
        <f>AY1067*(1-IF(B1067&gt;=in_marketplace_from,d_hz_sip*G1067,0))</f>
        <v/>
      </c>
      <c r="AZ1068" s="40">
        <f>AZ1067*d_rho_sip+AY1068*IF(B1068&gt;=in_marketplace_from,d_hz_sip*G1068,0)</f>
        <v/>
      </c>
      <c r="BA1068" s="40">
        <f>d_rho_sip*(BA1067+AZ1067)</f>
        <v/>
      </c>
      <c r="BB1068" s="14">
        <f>F1068*in_sip_ticket*(BA1068+0.5*AZ1068)*in_sip_comm/12</f>
        <v/>
      </c>
      <c r="BC1068" s="40">
        <f>BC1067*(1-IF(B1067&gt;=in_marketplace_from,d_hz_choti*G1067,0))</f>
        <v/>
      </c>
      <c r="BD1068" s="46">
        <f>BC1068*IF(B1068&gt;=in_marketplace_from,d_hz_choti*G1068,0)</f>
        <v/>
      </c>
      <c r="BE1068" s="14">
        <f>F1068*SUMIFS(BD1052:BD1090,B1052:B1090,B1068-in_choti_months)*in_choti_renew*in_choti_ticket</f>
        <v/>
      </c>
      <c r="BF1068" s="40">
        <f>BF1067*(1-IF(B1067&gt;=in_marketplace_from,d_hz_nps*G1067,0))</f>
        <v/>
      </c>
      <c r="BG1068" s="14">
        <f>F1068*BF1068*IF(B1068&gt;=in_marketplace_from,d_hz_nps*G1068,0)*in_nps_ticket*in_nps_comm</f>
        <v/>
      </c>
      <c r="BH1068" s="40">
        <f>BH1067*(1-IF(B1067&gt;=in_marketplace_from,d_hz_gold*G1067,0))</f>
        <v/>
      </c>
      <c r="BI1068" s="40">
        <f>BI1067*d_rho_gold+BH1068*IF(B1068&gt;=in_marketplace_from,d_hz_gold*G1068,0)</f>
        <v/>
      </c>
      <c r="BJ1068" s="14">
        <f>F1068*BI1068*in_gold_ticket*in_gold_comm</f>
        <v/>
      </c>
      <c r="BK1068" s="40">
        <f>BK1067*(1-IF(B1067&gt;=in_marketplace_from,d_hz_fd*G1067,0))</f>
        <v/>
      </c>
      <c r="BL1068" s="14">
        <f>F1068*BK1068*IF(B1068&gt;=in_marketplace_from,d_hz_fd*G1068,0)*in_fd_ticket*in_fd_comm</f>
        <v/>
      </c>
      <c r="BM1068" s="40">
        <f>BM1067*(1-IF(B1067&gt;=in_marketplace_from,d_hz_recharge*G1067,0))</f>
        <v/>
      </c>
      <c r="BN1068" s="40">
        <f>BN1067*d_rho_recharge+BM1068*IF(B1068&gt;=in_marketplace_from,d_hz_recharge*G1068,0)</f>
        <v/>
      </c>
      <c r="BO1068" s="14">
        <f>F1068*BN1068*in_recharge_ticket*in_recharge_comm/12</f>
        <v/>
      </c>
      <c r="BP1068" s="40">
        <f>BP1067*(1-IF(B1067&gt;=in_marketplace_from,d_hz_bills*G1067,0))</f>
        <v/>
      </c>
      <c r="BQ1068" s="40">
        <f>BQ1067*d_rho_bills+BP1068*IF(B1068&gt;=in_marketplace_from,d_hz_bills*G1068,0)</f>
        <v/>
      </c>
      <c r="BR1068" s="14">
        <f>F1068*BQ1068*in_bills_ticket*in_bills_comm/12</f>
        <v/>
      </c>
      <c r="BS1068" s="40">
        <f>BS1067*(1-IF(B1067&gt;=in_marketplace_from,d_hz_loan_gold*G1067,0))</f>
        <v/>
      </c>
      <c r="BT1068" s="14">
        <f>F1068*BS1068*IF(B1068&gt;=in_marketplace_from,d_hz_loan_gold*G1068,0)*in_loan_gold_ticket*in_loan_gold_comm</f>
        <v/>
      </c>
      <c r="BU1068" s="40">
        <f>BU1067*(1-IF(B1067&gt;=in_marketplace_from,d_hz_loan_cd*G1067,0))</f>
        <v/>
      </c>
      <c r="BV1068" s="14">
        <f>F1068*BU1068*IF(B1068&gt;=in_marketplace_from,d_hz_loan_cd*G1068,0)*in_loan_cd_ticket*in_loan_cd_comm</f>
        <v/>
      </c>
      <c r="BW1068" s="40">
        <f>BW1067*(1-IF(B1067&gt;=in_marketplace_from,d_hz_loan_vehicle*G1067,0))</f>
        <v/>
      </c>
      <c r="BX1068" s="14">
        <f>F1068*BW1068*IF(B1068&gt;=in_marketplace_from,d_hz_loan_vehicle*G1068,0)*in_loan_vehicle_ticket*in_loan_vehicle_comm</f>
        <v/>
      </c>
      <c r="BY1068" s="40">
        <f>BY1067*(1-IF(B1067&gt;=in_marketplace_from,d_hz_loan_home*G1067,0)*BZ1067)</f>
        <v/>
      </c>
      <c r="BZ1068" s="11">
        <f>MIN(in_approval_cap,in_loan_home_approval*INDEX('Age profile'!$O$2:$O$61,B1068)*(1+in_approval_growth)^(D1068-1))</f>
        <v/>
      </c>
      <c r="CA1068" s="14">
        <f>F1068*BY1068*IF(B1068&gt;=in_marketplace_from,d_hz_loan_home*G1068,0)*BZ1068*in_loan_home_ticket*in_loan_home_comm</f>
        <v/>
      </c>
      <c r="CB1068" s="40">
        <f>CB1067*(1-IF(B1067&gt;=in_marketplace_from,d_hz_loan_lap*G1067,0)*CC1067)</f>
        <v/>
      </c>
      <c r="CC1068" s="11">
        <f>MIN(in_approval_cap,in_loan_lap_approval*INDEX('Age profile'!$O$2:$O$61,B1068)*(1+in_approval_growth)^(D1068-1))</f>
        <v/>
      </c>
      <c r="CD1068" s="14">
        <f>F1068*CB1068*IF(B1068&gt;=in_marketplace_from,d_hz_loan_lap*G1068,0)*CC1068*in_loan_lap_ticket*in_loan_lap_comm</f>
        <v/>
      </c>
      <c r="CE1068" s="14">
        <f>AA1068+AB1068+AC1068+AD1068+AG1068+AJ1068+AM1068+AP1068+AS1068+AU1068+AX1068+BB1068+BE1068+BG1068+BJ1068+BL1068+BO1068+BR1068+BT1068+BV1068+BX1068+CA1068+CD1068</f>
        <v/>
      </c>
    </row>
    <row r="1069">
      <c r="A1069" s="39" t="n">
        <v>22</v>
      </c>
      <c r="B1069" s="39" t="n">
        <v>18</v>
      </c>
      <c r="C1069" s="39">
        <f>A1069+B1069-1</f>
        <v/>
      </c>
      <c r="D1069" s="39">
        <f>INT((C1069-1)/12)+1</f>
        <v/>
      </c>
      <c r="E1069" s="44">
        <f>INDEX(Monthly!$B$2:$B$61,A1069)</f>
        <v/>
      </c>
      <c r="F1069" s="44">
        <f>E1069*INDEX('Age profile'!$B$2:$B$61,B1069)</f>
        <v/>
      </c>
      <c r="G1069" s="45">
        <f>MIN(in_takeup_cap,INDEX('Age profile'!$N$2:$N$61,B1069)*(1+in_takeup_growth)^(D1069-1))</f>
        <v/>
      </c>
      <c r="H1069" s="11">
        <f>MIN(in_approval_cap,in_approved_first*INDEX('Age profile'!$O$2:$O$61,B1069)*(1+in_approval_growth)^(D1069-1))</f>
        <v/>
      </c>
      <c r="I1069" s="45">
        <f>G1069*MIN(in_takeup_cap,INDEX('Age profile'!$O$2:$O$61,B1069)*(1+in_approval_growth)^(D1069-1))</f>
        <v/>
      </c>
      <c r="J1069" s="40">
        <f>(J1068-L1068)*F1069/F1068</f>
        <v/>
      </c>
      <c r="K1069" s="40">
        <f>(K1068-M1068)*F1069/F1068+SUMIFS(O1052:O1068,B1052:B1068,B1069-1-d_T)*F1069</f>
        <v/>
      </c>
      <c r="L1069" s="40">
        <f>IF(B1069&gt;=in_marketplace_from,J1069*d_hz*G1069*in_eligible*H1069,0)</f>
        <v/>
      </c>
      <c r="M1069" s="40">
        <f>IF(B1069&gt;=in_marketplace_from,K1069*d_hz*G1069*in_eligible*in_approved_repeat,0)</f>
        <v/>
      </c>
      <c r="N1069" s="40">
        <f>L1069+M1069</f>
        <v/>
      </c>
      <c r="O1069" s="46">
        <f>N1069/F1069</f>
        <v/>
      </c>
      <c r="P1069" s="40">
        <f>F1069-J1069-K1069</f>
        <v/>
      </c>
      <c r="Q1069" s="40">
        <f>IF(B1069&gt;=in_marketplace_from,(J1069+K1069)*d_hz*G1069,0)</f>
        <v/>
      </c>
      <c r="R1069" s="40">
        <f>SUMIFS(N1052:N1090,B1052:B1090,"&gt;="&amp;(B1069-d_T),B1052:B1090,"&lt;="&amp;(B1069-1))</f>
        <v/>
      </c>
      <c r="S1069" s="46">
        <f>(1-d_u)*S1068+IF(d_T&gt;in_topup_lag,SUMIFS(O1052:O1090,B1052:B1090,B1069-in_topup_lag)-d_udrop*SUMIFS(O1052:O1090,B1052:B1090,B1069-d_T),0)</f>
        <v/>
      </c>
      <c r="T1069" s="40">
        <f>F1069*d_u*S1069</f>
        <v/>
      </c>
      <c r="U1069" s="9">
        <f>L1069*in_ticket+M1069*d_rep_ticket</f>
        <v/>
      </c>
      <c r="V1069" s="9">
        <f>U1069+T1069*d_topup_amt</f>
        <v/>
      </c>
      <c r="W1069" s="40">
        <f>N1069+T1069*d_topup_ratio</f>
        <v/>
      </c>
      <c r="X1069" s="40">
        <f>SUMIFS(W1052:W1090,B1052:B1090,B1069-in_dpd_lag)*d_cured</f>
        <v/>
      </c>
      <c r="Y1069" s="40">
        <f>SUMIFS(W1052:W1090,B1052:B1090,B1069-in_rec_lag)*d_recd</f>
        <v/>
      </c>
      <c r="Z1069" s="40">
        <f>IF(AND(B1069&gt;=in_marketplace_from,B1069&lt;in_marketplace_from+in_card_months),in_card_share/in_card_months*F1069*I1069,IF(AND(B1069&gt;=in_marketplace_from+in_card_months,B1069&lt;in_marketplace_from+2*in_card_months),in_card_share*d_card_rem/in_card_months*F1069*MIN(in_takeup_cap,(1+in_takeup_growth)^(D1069-1))*MIN(in_takeup_cap,(1+in_approval_growth)^(D1069-1)),0))</f>
        <v/>
      </c>
      <c r="AA1069" s="14">
        <f>V1069*in_fee*(1-in_taken_back)</f>
        <v/>
      </c>
      <c r="AB1069" s="14">
        <f>SUMIFS(W1052:W1090,B1052:B1090,B1069-in_dpd_lag)*d_dpd</f>
        <v/>
      </c>
      <c r="AC1069" s="14">
        <f>SUMIFS(W1052:W1090,B1052:B1090,B1069-in_rec_lag)*d_rec</f>
        <v/>
      </c>
      <c r="AD1069" s="14">
        <f>Z1069*in_card_fee</f>
        <v/>
      </c>
      <c r="AE1069" s="40">
        <f>AE1068*(1-IF(B1068&gt;=in_marketplace_from,d_hz_hlth_small*G1068,0))</f>
        <v/>
      </c>
      <c r="AF1069" s="46">
        <f>AE1069*IF(B1069&gt;=in_marketplace_from,d_hz_hlth_small*G1069,0)</f>
        <v/>
      </c>
      <c r="AG1069" s="14">
        <f>F1069*AF1069*in_hlth_small_ticket*in_hlth_small_comm*in_ins_partner_share+F1069*in_hlth_small_ticket*in_hlth_small_renew_comm*in_ins_partner_share*(in_hlth_small_renew^1*SUMIFS(AF1052:AF1090,B1052:B1090,B1069-12)+in_hlth_small_renew^2*SUMIFS(AF1052:AF1090,B1052:B1090,B1069-24)+in_hlth_small_renew^3*SUMIFS(AF1052:AF1090,B1052:B1090,B1069-36)+in_hlth_small_renew^4*SUMIFS(AF1052:AF1090,B1052:B1090,B1069-48))</f>
        <v/>
      </c>
      <c r="AH1069" s="40">
        <f>AH1068*(1-IF(B1068&gt;=in_marketplace_from,d_hz_hlth_family*G1068,0))</f>
        <v/>
      </c>
      <c r="AI1069" s="46">
        <f>AH1069*IF(B1069&gt;=in_marketplace_from,d_hz_hlth_family*G1069,0)</f>
        <v/>
      </c>
      <c r="AJ1069" s="14">
        <f>F1069*AI1069*in_hlth_family_ticket*in_hlth_family_comm*in_ins_partner_share+F1069*in_hlth_family_ticket*in_hlth_family_renew_comm*in_ins_partner_share*(in_hlth_family_renew^1*SUMIFS(AI1052:AI1090,B1052:B1090,B1069-12)+in_hlth_family_renew^2*SUMIFS(AI1052:AI1090,B1052:B1090,B1069-24)+in_hlth_family_renew^3*SUMIFS(AI1052:AI1090,B1052:B1090,B1069-36)+in_hlth_family_renew^4*SUMIFS(AI1052:AI1090,B1052:B1090,B1069-48))</f>
        <v/>
      </c>
      <c r="AK1069" s="40">
        <f>AK1068*(1-IF(B1068&gt;=in_marketplace_from,d_hz_life_term*G1068,0))</f>
        <v/>
      </c>
      <c r="AL1069" s="46">
        <f>AK1069*IF(B1069&gt;=in_marketplace_from,d_hz_life_term*G1069,0)</f>
        <v/>
      </c>
      <c r="AM1069" s="14">
        <f>F1069*AL1069*in_life_term_ticket*in_life_term_comm*in_ins_partner_share+F1069*in_life_term_ticket*in_life_term_renew_comm*in_ins_partner_share*(in_life_term_renew^1*SUMIFS(AL1052:AL1090,B1052:B1090,B1069-12)+in_life_term_renew^2*SUMIFS(AL1052:AL1090,B1052:B1090,B1069-24)+in_life_term_renew^3*SUMIFS(AL1052:AL1090,B1052:B1090,B1069-36)+in_life_term_renew^4*SUMIFS(AL1052:AL1090,B1052:B1090,B1069-48))</f>
        <v/>
      </c>
      <c r="AN1069" s="40">
        <f>AN1068*(1-IF(B1068&gt;=in_marketplace_from,d_hz_accident*G1068,0))</f>
        <v/>
      </c>
      <c r="AO1069" s="46">
        <f>AN1069*IF(B1069&gt;=in_marketplace_from,d_hz_accident*G1069,0)</f>
        <v/>
      </c>
      <c r="AP1069" s="14">
        <f>F1069*AO1069*in_accident_ticket*in_accident_comm*in_ins_partner_share+F1069*in_accident_ticket*in_accident_renew_comm*in_ins_partner_share*(in_accident_renew^1*SUMIFS(AO1052:AO1090,B1052:B1090,B1069-12)+in_accident_renew^2*SUMIFS(AO1052:AO1090,B1052:B1090,B1069-24)+in_accident_renew^3*SUMIFS(AO1052:AO1090,B1052:B1090,B1069-36)+in_accident_renew^4*SUMIFS(AO1052:AO1090,B1052:B1090,B1069-48))</f>
        <v/>
      </c>
      <c r="AQ1069" s="40">
        <f>AQ1068*(1-IF(B1068&gt;=in_marketplace_from,d_hz_two_wheeler*G1068,0))</f>
        <v/>
      </c>
      <c r="AR1069" s="46">
        <f>AQ1069*IF(B1069&gt;=in_marketplace_from,d_hz_two_wheeler*G1069,0)</f>
        <v/>
      </c>
      <c r="AS1069" s="14">
        <f>F1069*AR1069*in_two_wheeler_ticket*in_two_wheeler_comm*in_ins_partner_share+F1069*in_two_wheeler_ticket*in_two_wheeler_comm*in_ins_partner_share*(in_two_wheeler_renew^1*SUMIFS(AR1052:AR1090,B1052:B1090,B1069-12)+in_two_wheeler_renew^2*SUMIFS(AR1052:AR1090,B1052:B1090,B1069-24)+in_two_wheeler_renew^3*SUMIFS(AR1052:AR1090,B1052:B1090,B1069-36)+in_two_wheeler_renew^4*SUMIFS(AR1052:AR1090,B1052:B1090,B1069-48))</f>
        <v/>
      </c>
      <c r="AT1069" s="40">
        <f>AT1068*(1-IF(B1068&gt;=in_marketplace_from,d_hz_device*G1068,0))</f>
        <v/>
      </c>
      <c r="AU1069" s="14">
        <f>F1069*AT1069*IF(B1069&gt;=in_marketplace_from,d_hz_device*G1069,0)*in_device_ticket*in_device_comm*in_ins_partner_share</f>
        <v/>
      </c>
      <c r="AV1069" s="40">
        <f>AV1068*(1-IF(B1068&gt;=in_marketplace_from,d_hz_shop*G1068,0))</f>
        <v/>
      </c>
      <c r="AW1069" s="46">
        <f>AV1069*IF(B1069&gt;=in_marketplace_from,d_hz_shop*G1069,0)</f>
        <v/>
      </c>
      <c r="AX1069" s="14">
        <f>F1069*AW1069*in_shop_ticket*in_shop_comm*in_ins_partner_share+F1069*in_shop_ticket*in_shop_renew_comm*in_ins_partner_share*(in_shop_renew^1*SUMIFS(AW1052:AW1090,B1052:B1090,B1069-12)+in_shop_renew^2*SUMIFS(AW1052:AW1090,B1052:B1090,B1069-24)+in_shop_renew^3*SUMIFS(AW1052:AW1090,B1052:B1090,B1069-36)+in_shop_renew^4*SUMIFS(AW1052:AW1090,B1052:B1090,B1069-48))</f>
        <v/>
      </c>
      <c r="AY1069" s="40">
        <f>AY1068*(1-IF(B1068&gt;=in_marketplace_from,d_hz_sip*G1068,0))</f>
        <v/>
      </c>
      <c r="AZ1069" s="40">
        <f>AZ1068*d_rho_sip+AY1069*IF(B1069&gt;=in_marketplace_from,d_hz_sip*G1069,0)</f>
        <v/>
      </c>
      <c r="BA1069" s="40">
        <f>d_rho_sip*(BA1068+AZ1068)</f>
        <v/>
      </c>
      <c r="BB1069" s="14">
        <f>F1069*in_sip_ticket*(BA1069+0.5*AZ1069)*in_sip_comm/12</f>
        <v/>
      </c>
      <c r="BC1069" s="40">
        <f>BC1068*(1-IF(B1068&gt;=in_marketplace_from,d_hz_choti*G1068,0))</f>
        <v/>
      </c>
      <c r="BD1069" s="46">
        <f>BC1069*IF(B1069&gt;=in_marketplace_from,d_hz_choti*G1069,0)</f>
        <v/>
      </c>
      <c r="BE1069" s="14">
        <f>F1069*SUMIFS(BD1052:BD1090,B1052:B1090,B1069-in_choti_months)*in_choti_renew*in_choti_ticket</f>
        <v/>
      </c>
      <c r="BF1069" s="40">
        <f>BF1068*(1-IF(B1068&gt;=in_marketplace_from,d_hz_nps*G1068,0))</f>
        <v/>
      </c>
      <c r="BG1069" s="14">
        <f>F1069*BF1069*IF(B1069&gt;=in_marketplace_from,d_hz_nps*G1069,0)*in_nps_ticket*in_nps_comm</f>
        <v/>
      </c>
      <c r="BH1069" s="40">
        <f>BH1068*(1-IF(B1068&gt;=in_marketplace_from,d_hz_gold*G1068,0))</f>
        <v/>
      </c>
      <c r="BI1069" s="40">
        <f>BI1068*d_rho_gold+BH1069*IF(B1069&gt;=in_marketplace_from,d_hz_gold*G1069,0)</f>
        <v/>
      </c>
      <c r="BJ1069" s="14">
        <f>F1069*BI1069*in_gold_ticket*in_gold_comm</f>
        <v/>
      </c>
      <c r="BK1069" s="40">
        <f>BK1068*(1-IF(B1068&gt;=in_marketplace_from,d_hz_fd*G1068,0))</f>
        <v/>
      </c>
      <c r="BL1069" s="14">
        <f>F1069*BK1069*IF(B1069&gt;=in_marketplace_from,d_hz_fd*G1069,0)*in_fd_ticket*in_fd_comm</f>
        <v/>
      </c>
      <c r="BM1069" s="40">
        <f>BM1068*(1-IF(B1068&gt;=in_marketplace_from,d_hz_recharge*G1068,0))</f>
        <v/>
      </c>
      <c r="BN1069" s="40">
        <f>BN1068*d_rho_recharge+BM1069*IF(B1069&gt;=in_marketplace_from,d_hz_recharge*G1069,0)</f>
        <v/>
      </c>
      <c r="BO1069" s="14">
        <f>F1069*BN1069*in_recharge_ticket*in_recharge_comm/12</f>
        <v/>
      </c>
      <c r="BP1069" s="40">
        <f>BP1068*(1-IF(B1068&gt;=in_marketplace_from,d_hz_bills*G1068,0))</f>
        <v/>
      </c>
      <c r="BQ1069" s="40">
        <f>BQ1068*d_rho_bills+BP1069*IF(B1069&gt;=in_marketplace_from,d_hz_bills*G1069,0)</f>
        <v/>
      </c>
      <c r="BR1069" s="14">
        <f>F1069*BQ1069*in_bills_ticket*in_bills_comm/12</f>
        <v/>
      </c>
      <c r="BS1069" s="40">
        <f>BS1068*(1-IF(B1068&gt;=in_marketplace_from,d_hz_loan_gold*G1068,0))</f>
        <v/>
      </c>
      <c r="BT1069" s="14">
        <f>F1069*BS1069*IF(B1069&gt;=in_marketplace_from,d_hz_loan_gold*G1069,0)*in_loan_gold_ticket*in_loan_gold_comm</f>
        <v/>
      </c>
      <c r="BU1069" s="40">
        <f>BU1068*(1-IF(B1068&gt;=in_marketplace_from,d_hz_loan_cd*G1068,0))</f>
        <v/>
      </c>
      <c r="BV1069" s="14">
        <f>F1069*BU1069*IF(B1069&gt;=in_marketplace_from,d_hz_loan_cd*G1069,0)*in_loan_cd_ticket*in_loan_cd_comm</f>
        <v/>
      </c>
      <c r="BW1069" s="40">
        <f>BW1068*(1-IF(B1068&gt;=in_marketplace_from,d_hz_loan_vehicle*G1068,0))</f>
        <v/>
      </c>
      <c r="BX1069" s="14">
        <f>F1069*BW1069*IF(B1069&gt;=in_marketplace_from,d_hz_loan_vehicle*G1069,0)*in_loan_vehicle_ticket*in_loan_vehicle_comm</f>
        <v/>
      </c>
      <c r="BY1069" s="40">
        <f>BY1068*(1-IF(B1068&gt;=in_marketplace_from,d_hz_loan_home*G1068,0)*BZ1068)</f>
        <v/>
      </c>
      <c r="BZ1069" s="11">
        <f>MIN(in_approval_cap,in_loan_home_approval*INDEX('Age profile'!$O$2:$O$61,B1069)*(1+in_approval_growth)^(D1069-1))</f>
        <v/>
      </c>
      <c r="CA1069" s="14">
        <f>F1069*BY1069*IF(B1069&gt;=in_marketplace_from,d_hz_loan_home*G1069,0)*BZ1069*in_loan_home_ticket*in_loan_home_comm</f>
        <v/>
      </c>
      <c r="CB1069" s="40">
        <f>CB1068*(1-IF(B1068&gt;=in_marketplace_from,d_hz_loan_lap*G1068,0)*CC1068)</f>
        <v/>
      </c>
      <c r="CC1069" s="11">
        <f>MIN(in_approval_cap,in_loan_lap_approval*INDEX('Age profile'!$O$2:$O$61,B1069)*(1+in_approval_growth)^(D1069-1))</f>
        <v/>
      </c>
      <c r="CD1069" s="14">
        <f>F1069*CB1069*IF(B1069&gt;=in_marketplace_from,d_hz_loan_lap*G1069,0)*CC1069*in_loan_lap_ticket*in_loan_lap_comm</f>
        <v/>
      </c>
      <c r="CE1069" s="14">
        <f>AA1069+AB1069+AC1069+AD1069+AG1069+AJ1069+AM1069+AP1069+AS1069+AU1069+AX1069+BB1069+BE1069+BG1069+BJ1069+BL1069+BO1069+BR1069+BT1069+BV1069+BX1069+CA1069+CD1069</f>
        <v/>
      </c>
    </row>
    <row r="1070">
      <c r="A1070" s="39" t="n">
        <v>22</v>
      </c>
      <c r="B1070" s="39" t="n">
        <v>19</v>
      </c>
      <c r="C1070" s="39">
        <f>A1070+B1070-1</f>
        <v/>
      </c>
      <c r="D1070" s="39">
        <f>INT((C1070-1)/12)+1</f>
        <v/>
      </c>
      <c r="E1070" s="44">
        <f>INDEX(Monthly!$B$2:$B$61,A1070)</f>
        <v/>
      </c>
      <c r="F1070" s="44">
        <f>E1070*INDEX('Age profile'!$B$2:$B$61,B1070)</f>
        <v/>
      </c>
      <c r="G1070" s="45">
        <f>MIN(in_takeup_cap,INDEX('Age profile'!$N$2:$N$61,B1070)*(1+in_takeup_growth)^(D1070-1))</f>
        <v/>
      </c>
      <c r="H1070" s="11">
        <f>MIN(in_approval_cap,in_approved_first*INDEX('Age profile'!$O$2:$O$61,B1070)*(1+in_approval_growth)^(D1070-1))</f>
        <v/>
      </c>
      <c r="I1070" s="45">
        <f>G1070*MIN(in_takeup_cap,INDEX('Age profile'!$O$2:$O$61,B1070)*(1+in_approval_growth)^(D1070-1))</f>
        <v/>
      </c>
      <c r="J1070" s="40">
        <f>(J1069-L1069)*F1070/F1069</f>
        <v/>
      </c>
      <c r="K1070" s="40">
        <f>(K1069-M1069)*F1070/F1069+SUMIFS(O1052:O1069,B1052:B1069,B1070-1-d_T)*F1070</f>
        <v/>
      </c>
      <c r="L1070" s="40">
        <f>IF(B1070&gt;=in_marketplace_from,J1070*d_hz*G1070*in_eligible*H1070,0)</f>
        <v/>
      </c>
      <c r="M1070" s="40">
        <f>IF(B1070&gt;=in_marketplace_from,K1070*d_hz*G1070*in_eligible*in_approved_repeat,0)</f>
        <v/>
      </c>
      <c r="N1070" s="40">
        <f>L1070+M1070</f>
        <v/>
      </c>
      <c r="O1070" s="46">
        <f>N1070/F1070</f>
        <v/>
      </c>
      <c r="P1070" s="40">
        <f>F1070-J1070-K1070</f>
        <v/>
      </c>
      <c r="Q1070" s="40">
        <f>IF(B1070&gt;=in_marketplace_from,(J1070+K1070)*d_hz*G1070,0)</f>
        <v/>
      </c>
      <c r="R1070" s="40">
        <f>SUMIFS(N1052:N1090,B1052:B1090,"&gt;="&amp;(B1070-d_T),B1052:B1090,"&lt;="&amp;(B1070-1))</f>
        <v/>
      </c>
      <c r="S1070" s="46">
        <f>(1-d_u)*S1069+IF(d_T&gt;in_topup_lag,SUMIFS(O1052:O1090,B1052:B1090,B1070-in_topup_lag)-d_udrop*SUMIFS(O1052:O1090,B1052:B1090,B1070-d_T),0)</f>
        <v/>
      </c>
      <c r="T1070" s="40">
        <f>F1070*d_u*S1070</f>
        <v/>
      </c>
      <c r="U1070" s="9">
        <f>L1070*in_ticket+M1070*d_rep_ticket</f>
        <v/>
      </c>
      <c r="V1070" s="9">
        <f>U1070+T1070*d_topup_amt</f>
        <v/>
      </c>
      <c r="W1070" s="40">
        <f>N1070+T1070*d_topup_ratio</f>
        <v/>
      </c>
      <c r="X1070" s="40">
        <f>SUMIFS(W1052:W1090,B1052:B1090,B1070-in_dpd_lag)*d_cured</f>
        <v/>
      </c>
      <c r="Y1070" s="40">
        <f>SUMIFS(W1052:W1090,B1052:B1090,B1070-in_rec_lag)*d_recd</f>
        <v/>
      </c>
      <c r="Z1070" s="40">
        <f>IF(AND(B1070&gt;=in_marketplace_from,B1070&lt;in_marketplace_from+in_card_months),in_card_share/in_card_months*F1070*I1070,IF(AND(B1070&gt;=in_marketplace_from+in_card_months,B1070&lt;in_marketplace_from+2*in_card_months),in_card_share*d_card_rem/in_card_months*F1070*MIN(in_takeup_cap,(1+in_takeup_growth)^(D1070-1))*MIN(in_takeup_cap,(1+in_approval_growth)^(D1070-1)),0))</f>
        <v/>
      </c>
      <c r="AA1070" s="14">
        <f>V1070*in_fee*(1-in_taken_back)</f>
        <v/>
      </c>
      <c r="AB1070" s="14">
        <f>SUMIFS(W1052:W1090,B1052:B1090,B1070-in_dpd_lag)*d_dpd</f>
        <v/>
      </c>
      <c r="AC1070" s="14">
        <f>SUMIFS(W1052:W1090,B1052:B1090,B1070-in_rec_lag)*d_rec</f>
        <v/>
      </c>
      <c r="AD1070" s="14">
        <f>Z1070*in_card_fee</f>
        <v/>
      </c>
      <c r="AE1070" s="40">
        <f>AE1069*(1-IF(B1069&gt;=in_marketplace_from,d_hz_hlth_small*G1069,0))</f>
        <v/>
      </c>
      <c r="AF1070" s="46">
        <f>AE1070*IF(B1070&gt;=in_marketplace_from,d_hz_hlth_small*G1070,0)</f>
        <v/>
      </c>
      <c r="AG1070" s="14">
        <f>F1070*AF1070*in_hlth_small_ticket*in_hlth_small_comm*in_ins_partner_share+F1070*in_hlth_small_ticket*in_hlth_small_renew_comm*in_ins_partner_share*(in_hlth_small_renew^1*SUMIFS(AF1052:AF1090,B1052:B1090,B1070-12)+in_hlth_small_renew^2*SUMIFS(AF1052:AF1090,B1052:B1090,B1070-24)+in_hlth_small_renew^3*SUMIFS(AF1052:AF1090,B1052:B1090,B1070-36)+in_hlth_small_renew^4*SUMIFS(AF1052:AF1090,B1052:B1090,B1070-48))</f>
        <v/>
      </c>
      <c r="AH1070" s="40">
        <f>AH1069*(1-IF(B1069&gt;=in_marketplace_from,d_hz_hlth_family*G1069,0))</f>
        <v/>
      </c>
      <c r="AI1070" s="46">
        <f>AH1070*IF(B1070&gt;=in_marketplace_from,d_hz_hlth_family*G1070,0)</f>
        <v/>
      </c>
      <c r="AJ1070" s="14">
        <f>F1070*AI1070*in_hlth_family_ticket*in_hlth_family_comm*in_ins_partner_share+F1070*in_hlth_family_ticket*in_hlth_family_renew_comm*in_ins_partner_share*(in_hlth_family_renew^1*SUMIFS(AI1052:AI1090,B1052:B1090,B1070-12)+in_hlth_family_renew^2*SUMIFS(AI1052:AI1090,B1052:B1090,B1070-24)+in_hlth_family_renew^3*SUMIFS(AI1052:AI1090,B1052:B1090,B1070-36)+in_hlth_family_renew^4*SUMIFS(AI1052:AI1090,B1052:B1090,B1070-48))</f>
        <v/>
      </c>
      <c r="AK1070" s="40">
        <f>AK1069*(1-IF(B1069&gt;=in_marketplace_from,d_hz_life_term*G1069,0))</f>
        <v/>
      </c>
      <c r="AL1070" s="46">
        <f>AK1070*IF(B1070&gt;=in_marketplace_from,d_hz_life_term*G1070,0)</f>
        <v/>
      </c>
      <c r="AM1070" s="14">
        <f>F1070*AL1070*in_life_term_ticket*in_life_term_comm*in_ins_partner_share+F1070*in_life_term_ticket*in_life_term_renew_comm*in_ins_partner_share*(in_life_term_renew^1*SUMIFS(AL1052:AL1090,B1052:B1090,B1070-12)+in_life_term_renew^2*SUMIFS(AL1052:AL1090,B1052:B1090,B1070-24)+in_life_term_renew^3*SUMIFS(AL1052:AL1090,B1052:B1090,B1070-36)+in_life_term_renew^4*SUMIFS(AL1052:AL1090,B1052:B1090,B1070-48))</f>
        <v/>
      </c>
      <c r="AN1070" s="40">
        <f>AN1069*(1-IF(B1069&gt;=in_marketplace_from,d_hz_accident*G1069,0))</f>
        <v/>
      </c>
      <c r="AO1070" s="46">
        <f>AN1070*IF(B1070&gt;=in_marketplace_from,d_hz_accident*G1070,0)</f>
        <v/>
      </c>
      <c r="AP1070" s="14">
        <f>F1070*AO1070*in_accident_ticket*in_accident_comm*in_ins_partner_share+F1070*in_accident_ticket*in_accident_renew_comm*in_ins_partner_share*(in_accident_renew^1*SUMIFS(AO1052:AO1090,B1052:B1090,B1070-12)+in_accident_renew^2*SUMIFS(AO1052:AO1090,B1052:B1090,B1070-24)+in_accident_renew^3*SUMIFS(AO1052:AO1090,B1052:B1090,B1070-36)+in_accident_renew^4*SUMIFS(AO1052:AO1090,B1052:B1090,B1070-48))</f>
        <v/>
      </c>
      <c r="AQ1070" s="40">
        <f>AQ1069*(1-IF(B1069&gt;=in_marketplace_from,d_hz_two_wheeler*G1069,0))</f>
        <v/>
      </c>
      <c r="AR1070" s="46">
        <f>AQ1070*IF(B1070&gt;=in_marketplace_from,d_hz_two_wheeler*G1070,0)</f>
        <v/>
      </c>
      <c r="AS1070" s="14">
        <f>F1070*AR1070*in_two_wheeler_ticket*in_two_wheeler_comm*in_ins_partner_share+F1070*in_two_wheeler_ticket*in_two_wheeler_comm*in_ins_partner_share*(in_two_wheeler_renew^1*SUMIFS(AR1052:AR1090,B1052:B1090,B1070-12)+in_two_wheeler_renew^2*SUMIFS(AR1052:AR1090,B1052:B1090,B1070-24)+in_two_wheeler_renew^3*SUMIFS(AR1052:AR1090,B1052:B1090,B1070-36)+in_two_wheeler_renew^4*SUMIFS(AR1052:AR1090,B1052:B1090,B1070-48))</f>
        <v/>
      </c>
      <c r="AT1070" s="40">
        <f>AT1069*(1-IF(B1069&gt;=in_marketplace_from,d_hz_device*G1069,0))</f>
        <v/>
      </c>
      <c r="AU1070" s="14">
        <f>F1070*AT1070*IF(B1070&gt;=in_marketplace_from,d_hz_device*G1070,0)*in_device_ticket*in_device_comm*in_ins_partner_share</f>
        <v/>
      </c>
      <c r="AV1070" s="40">
        <f>AV1069*(1-IF(B1069&gt;=in_marketplace_from,d_hz_shop*G1069,0))</f>
        <v/>
      </c>
      <c r="AW1070" s="46">
        <f>AV1070*IF(B1070&gt;=in_marketplace_from,d_hz_shop*G1070,0)</f>
        <v/>
      </c>
      <c r="AX1070" s="14">
        <f>F1070*AW1070*in_shop_ticket*in_shop_comm*in_ins_partner_share+F1070*in_shop_ticket*in_shop_renew_comm*in_ins_partner_share*(in_shop_renew^1*SUMIFS(AW1052:AW1090,B1052:B1090,B1070-12)+in_shop_renew^2*SUMIFS(AW1052:AW1090,B1052:B1090,B1070-24)+in_shop_renew^3*SUMIFS(AW1052:AW1090,B1052:B1090,B1070-36)+in_shop_renew^4*SUMIFS(AW1052:AW1090,B1052:B1090,B1070-48))</f>
        <v/>
      </c>
      <c r="AY1070" s="40">
        <f>AY1069*(1-IF(B1069&gt;=in_marketplace_from,d_hz_sip*G1069,0))</f>
        <v/>
      </c>
      <c r="AZ1070" s="40">
        <f>AZ1069*d_rho_sip+AY1070*IF(B1070&gt;=in_marketplace_from,d_hz_sip*G1070,0)</f>
        <v/>
      </c>
      <c r="BA1070" s="40">
        <f>d_rho_sip*(BA1069+AZ1069)</f>
        <v/>
      </c>
      <c r="BB1070" s="14">
        <f>F1070*in_sip_ticket*(BA1070+0.5*AZ1070)*in_sip_comm/12</f>
        <v/>
      </c>
      <c r="BC1070" s="40">
        <f>BC1069*(1-IF(B1069&gt;=in_marketplace_from,d_hz_choti*G1069,0))</f>
        <v/>
      </c>
      <c r="BD1070" s="46">
        <f>BC1070*IF(B1070&gt;=in_marketplace_from,d_hz_choti*G1070,0)</f>
        <v/>
      </c>
      <c r="BE1070" s="14">
        <f>F1070*SUMIFS(BD1052:BD1090,B1052:B1090,B1070-in_choti_months)*in_choti_renew*in_choti_ticket</f>
        <v/>
      </c>
      <c r="BF1070" s="40">
        <f>BF1069*(1-IF(B1069&gt;=in_marketplace_from,d_hz_nps*G1069,0))</f>
        <v/>
      </c>
      <c r="BG1070" s="14">
        <f>F1070*BF1070*IF(B1070&gt;=in_marketplace_from,d_hz_nps*G1070,0)*in_nps_ticket*in_nps_comm</f>
        <v/>
      </c>
      <c r="BH1070" s="40">
        <f>BH1069*(1-IF(B1069&gt;=in_marketplace_from,d_hz_gold*G1069,0))</f>
        <v/>
      </c>
      <c r="BI1070" s="40">
        <f>BI1069*d_rho_gold+BH1070*IF(B1070&gt;=in_marketplace_from,d_hz_gold*G1070,0)</f>
        <v/>
      </c>
      <c r="BJ1070" s="14">
        <f>F1070*BI1070*in_gold_ticket*in_gold_comm</f>
        <v/>
      </c>
      <c r="BK1070" s="40">
        <f>BK1069*(1-IF(B1069&gt;=in_marketplace_from,d_hz_fd*G1069,0))</f>
        <v/>
      </c>
      <c r="BL1070" s="14">
        <f>F1070*BK1070*IF(B1070&gt;=in_marketplace_from,d_hz_fd*G1070,0)*in_fd_ticket*in_fd_comm</f>
        <v/>
      </c>
      <c r="BM1070" s="40">
        <f>BM1069*(1-IF(B1069&gt;=in_marketplace_from,d_hz_recharge*G1069,0))</f>
        <v/>
      </c>
      <c r="BN1070" s="40">
        <f>BN1069*d_rho_recharge+BM1070*IF(B1070&gt;=in_marketplace_from,d_hz_recharge*G1070,0)</f>
        <v/>
      </c>
      <c r="BO1070" s="14">
        <f>F1070*BN1070*in_recharge_ticket*in_recharge_comm/12</f>
        <v/>
      </c>
      <c r="BP1070" s="40">
        <f>BP1069*(1-IF(B1069&gt;=in_marketplace_from,d_hz_bills*G1069,0))</f>
        <v/>
      </c>
      <c r="BQ1070" s="40">
        <f>BQ1069*d_rho_bills+BP1070*IF(B1070&gt;=in_marketplace_from,d_hz_bills*G1070,0)</f>
        <v/>
      </c>
      <c r="BR1070" s="14">
        <f>F1070*BQ1070*in_bills_ticket*in_bills_comm/12</f>
        <v/>
      </c>
      <c r="BS1070" s="40">
        <f>BS1069*(1-IF(B1069&gt;=in_marketplace_from,d_hz_loan_gold*G1069,0))</f>
        <v/>
      </c>
      <c r="BT1070" s="14">
        <f>F1070*BS1070*IF(B1070&gt;=in_marketplace_from,d_hz_loan_gold*G1070,0)*in_loan_gold_ticket*in_loan_gold_comm</f>
        <v/>
      </c>
      <c r="BU1070" s="40">
        <f>BU1069*(1-IF(B1069&gt;=in_marketplace_from,d_hz_loan_cd*G1069,0))</f>
        <v/>
      </c>
      <c r="BV1070" s="14">
        <f>F1070*BU1070*IF(B1070&gt;=in_marketplace_from,d_hz_loan_cd*G1070,0)*in_loan_cd_ticket*in_loan_cd_comm</f>
        <v/>
      </c>
      <c r="BW1070" s="40">
        <f>BW1069*(1-IF(B1069&gt;=in_marketplace_from,d_hz_loan_vehicle*G1069,0))</f>
        <v/>
      </c>
      <c r="BX1070" s="14">
        <f>F1070*BW1070*IF(B1070&gt;=in_marketplace_from,d_hz_loan_vehicle*G1070,0)*in_loan_vehicle_ticket*in_loan_vehicle_comm</f>
        <v/>
      </c>
      <c r="BY1070" s="40">
        <f>BY1069*(1-IF(B1069&gt;=in_marketplace_from,d_hz_loan_home*G1069,0)*BZ1069)</f>
        <v/>
      </c>
      <c r="BZ1070" s="11">
        <f>MIN(in_approval_cap,in_loan_home_approval*INDEX('Age profile'!$O$2:$O$61,B1070)*(1+in_approval_growth)^(D1070-1))</f>
        <v/>
      </c>
      <c r="CA1070" s="14">
        <f>F1070*BY1070*IF(B1070&gt;=in_marketplace_from,d_hz_loan_home*G1070,0)*BZ1070*in_loan_home_ticket*in_loan_home_comm</f>
        <v/>
      </c>
      <c r="CB1070" s="40">
        <f>CB1069*(1-IF(B1069&gt;=in_marketplace_from,d_hz_loan_lap*G1069,0)*CC1069)</f>
        <v/>
      </c>
      <c r="CC1070" s="11">
        <f>MIN(in_approval_cap,in_loan_lap_approval*INDEX('Age profile'!$O$2:$O$61,B1070)*(1+in_approval_growth)^(D1070-1))</f>
        <v/>
      </c>
      <c r="CD1070" s="14">
        <f>F1070*CB1070*IF(B1070&gt;=in_marketplace_from,d_hz_loan_lap*G1070,0)*CC1070*in_loan_lap_ticket*in_loan_lap_comm</f>
        <v/>
      </c>
      <c r="CE1070" s="14">
        <f>AA1070+AB1070+AC1070+AD1070+AG1070+AJ1070+AM1070+AP1070+AS1070+AU1070+AX1070+BB1070+BE1070+BG1070+BJ1070+BL1070+BO1070+BR1070+BT1070+BV1070+BX1070+CA1070+CD1070</f>
        <v/>
      </c>
    </row>
    <row r="1071">
      <c r="A1071" s="39" t="n">
        <v>22</v>
      </c>
      <c r="B1071" s="39" t="n">
        <v>20</v>
      </c>
      <c r="C1071" s="39">
        <f>A1071+B1071-1</f>
        <v/>
      </c>
      <c r="D1071" s="39">
        <f>INT((C1071-1)/12)+1</f>
        <v/>
      </c>
      <c r="E1071" s="44">
        <f>INDEX(Monthly!$B$2:$B$61,A1071)</f>
        <v/>
      </c>
      <c r="F1071" s="44">
        <f>E1071*INDEX('Age profile'!$B$2:$B$61,B1071)</f>
        <v/>
      </c>
      <c r="G1071" s="45">
        <f>MIN(in_takeup_cap,INDEX('Age profile'!$N$2:$N$61,B1071)*(1+in_takeup_growth)^(D1071-1))</f>
        <v/>
      </c>
      <c r="H1071" s="11">
        <f>MIN(in_approval_cap,in_approved_first*INDEX('Age profile'!$O$2:$O$61,B1071)*(1+in_approval_growth)^(D1071-1))</f>
        <v/>
      </c>
      <c r="I1071" s="45">
        <f>G1071*MIN(in_takeup_cap,INDEX('Age profile'!$O$2:$O$61,B1071)*(1+in_approval_growth)^(D1071-1))</f>
        <v/>
      </c>
      <c r="J1071" s="40">
        <f>(J1070-L1070)*F1071/F1070</f>
        <v/>
      </c>
      <c r="K1071" s="40">
        <f>(K1070-M1070)*F1071/F1070+SUMIFS(O1052:O1070,B1052:B1070,B1071-1-d_T)*F1071</f>
        <v/>
      </c>
      <c r="L1071" s="40">
        <f>IF(B1071&gt;=in_marketplace_from,J1071*d_hz*G1071*in_eligible*H1071,0)</f>
        <v/>
      </c>
      <c r="M1071" s="40">
        <f>IF(B1071&gt;=in_marketplace_from,K1071*d_hz*G1071*in_eligible*in_approved_repeat,0)</f>
        <v/>
      </c>
      <c r="N1071" s="40">
        <f>L1071+M1071</f>
        <v/>
      </c>
      <c r="O1071" s="46">
        <f>N1071/F1071</f>
        <v/>
      </c>
      <c r="P1071" s="40">
        <f>F1071-J1071-K1071</f>
        <v/>
      </c>
      <c r="Q1071" s="40">
        <f>IF(B1071&gt;=in_marketplace_from,(J1071+K1071)*d_hz*G1071,0)</f>
        <v/>
      </c>
      <c r="R1071" s="40">
        <f>SUMIFS(N1052:N1090,B1052:B1090,"&gt;="&amp;(B1071-d_T),B1052:B1090,"&lt;="&amp;(B1071-1))</f>
        <v/>
      </c>
      <c r="S1071" s="46">
        <f>(1-d_u)*S1070+IF(d_T&gt;in_topup_lag,SUMIFS(O1052:O1090,B1052:B1090,B1071-in_topup_lag)-d_udrop*SUMIFS(O1052:O1090,B1052:B1090,B1071-d_T),0)</f>
        <v/>
      </c>
      <c r="T1071" s="40">
        <f>F1071*d_u*S1071</f>
        <v/>
      </c>
      <c r="U1071" s="9">
        <f>L1071*in_ticket+M1071*d_rep_ticket</f>
        <v/>
      </c>
      <c r="V1071" s="9">
        <f>U1071+T1071*d_topup_amt</f>
        <v/>
      </c>
      <c r="W1071" s="40">
        <f>N1071+T1071*d_topup_ratio</f>
        <v/>
      </c>
      <c r="X1071" s="40">
        <f>SUMIFS(W1052:W1090,B1052:B1090,B1071-in_dpd_lag)*d_cured</f>
        <v/>
      </c>
      <c r="Y1071" s="40">
        <f>SUMIFS(W1052:W1090,B1052:B1090,B1071-in_rec_lag)*d_recd</f>
        <v/>
      </c>
      <c r="Z1071" s="40">
        <f>IF(AND(B1071&gt;=in_marketplace_from,B1071&lt;in_marketplace_from+in_card_months),in_card_share/in_card_months*F1071*I1071,IF(AND(B1071&gt;=in_marketplace_from+in_card_months,B1071&lt;in_marketplace_from+2*in_card_months),in_card_share*d_card_rem/in_card_months*F1071*MIN(in_takeup_cap,(1+in_takeup_growth)^(D1071-1))*MIN(in_takeup_cap,(1+in_approval_growth)^(D1071-1)),0))</f>
        <v/>
      </c>
      <c r="AA1071" s="14">
        <f>V1071*in_fee*(1-in_taken_back)</f>
        <v/>
      </c>
      <c r="AB1071" s="14">
        <f>SUMIFS(W1052:W1090,B1052:B1090,B1071-in_dpd_lag)*d_dpd</f>
        <v/>
      </c>
      <c r="AC1071" s="14">
        <f>SUMIFS(W1052:W1090,B1052:B1090,B1071-in_rec_lag)*d_rec</f>
        <v/>
      </c>
      <c r="AD1071" s="14">
        <f>Z1071*in_card_fee</f>
        <v/>
      </c>
      <c r="AE1071" s="40">
        <f>AE1070*(1-IF(B1070&gt;=in_marketplace_from,d_hz_hlth_small*G1070,0))</f>
        <v/>
      </c>
      <c r="AF1071" s="46">
        <f>AE1071*IF(B1071&gt;=in_marketplace_from,d_hz_hlth_small*G1071,0)</f>
        <v/>
      </c>
      <c r="AG1071" s="14">
        <f>F1071*AF1071*in_hlth_small_ticket*in_hlth_small_comm*in_ins_partner_share+F1071*in_hlth_small_ticket*in_hlth_small_renew_comm*in_ins_partner_share*(in_hlth_small_renew^1*SUMIFS(AF1052:AF1090,B1052:B1090,B1071-12)+in_hlth_small_renew^2*SUMIFS(AF1052:AF1090,B1052:B1090,B1071-24)+in_hlth_small_renew^3*SUMIFS(AF1052:AF1090,B1052:B1090,B1071-36)+in_hlth_small_renew^4*SUMIFS(AF1052:AF1090,B1052:B1090,B1071-48))</f>
        <v/>
      </c>
      <c r="AH1071" s="40">
        <f>AH1070*(1-IF(B1070&gt;=in_marketplace_from,d_hz_hlth_family*G1070,0))</f>
        <v/>
      </c>
      <c r="AI1071" s="46">
        <f>AH1071*IF(B1071&gt;=in_marketplace_from,d_hz_hlth_family*G1071,0)</f>
        <v/>
      </c>
      <c r="AJ1071" s="14">
        <f>F1071*AI1071*in_hlth_family_ticket*in_hlth_family_comm*in_ins_partner_share+F1071*in_hlth_family_ticket*in_hlth_family_renew_comm*in_ins_partner_share*(in_hlth_family_renew^1*SUMIFS(AI1052:AI1090,B1052:B1090,B1071-12)+in_hlth_family_renew^2*SUMIFS(AI1052:AI1090,B1052:B1090,B1071-24)+in_hlth_family_renew^3*SUMIFS(AI1052:AI1090,B1052:B1090,B1071-36)+in_hlth_family_renew^4*SUMIFS(AI1052:AI1090,B1052:B1090,B1071-48))</f>
        <v/>
      </c>
      <c r="AK1071" s="40">
        <f>AK1070*(1-IF(B1070&gt;=in_marketplace_from,d_hz_life_term*G1070,0))</f>
        <v/>
      </c>
      <c r="AL1071" s="46">
        <f>AK1071*IF(B1071&gt;=in_marketplace_from,d_hz_life_term*G1071,0)</f>
        <v/>
      </c>
      <c r="AM1071" s="14">
        <f>F1071*AL1071*in_life_term_ticket*in_life_term_comm*in_ins_partner_share+F1071*in_life_term_ticket*in_life_term_renew_comm*in_ins_partner_share*(in_life_term_renew^1*SUMIFS(AL1052:AL1090,B1052:B1090,B1071-12)+in_life_term_renew^2*SUMIFS(AL1052:AL1090,B1052:B1090,B1071-24)+in_life_term_renew^3*SUMIFS(AL1052:AL1090,B1052:B1090,B1071-36)+in_life_term_renew^4*SUMIFS(AL1052:AL1090,B1052:B1090,B1071-48))</f>
        <v/>
      </c>
      <c r="AN1071" s="40">
        <f>AN1070*(1-IF(B1070&gt;=in_marketplace_from,d_hz_accident*G1070,0))</f>
        <v/>
      </c>
      <c r="AO1071" s="46">
        <f>AN1071*IF(B1071&gt;=in_marketplace_from,d_hz_accident*G1071,0)</f>
        <v/>
      </c>
      <c r="AP1071" s="14">
        <f>F1071*AO1071*in_accident_ticket*in_accident_comm*in_ins_partner_share+F1071*in_accident_ticket*in_accident_renew_comm*in_ins_partner_share*(in_accident_renew^1*SUMIFS(AO1052:AO1090,B1052:B1090,B1071-12)+in_accident_renew^2*SUMIFS(AO1052:AO1090,B1052:B1090,B1071-24)+in_accident_renew^3*SUMIFS(AO1052:AO1090,B1052:B1090,B1071-36)+in_accident_renew^4*SUMIFS(AO1052:AO1090,B1052:B1090,B1071-48))</f>
        <v/>
      </c>
      <c r="AQ1071" s="40">
        <f>AQ1070*(1-IF(B1070&gt;=in_marketplace_from,d_hz_two_wheeler*G1070,0))</f>
        <v/>
      </c>
      <c r="AR1071" s="46">
        <f>AQ1071*IF(B1071&gt;=in_marketplace_from,d_hz_two_wheeler*G1071,0)</f>
        <v/>
      </c>
      <c r="AS1071" s="14">
        <f>F1071*AR1071*in_two_wheeler_ticket*in_two_wheeler_comm*in_ins_partner_share+F1071*in_two_wheeler_ticket*in_two_wheeler_comm*in_ins_partner_share*(in_two_wheeler_renew^1*SUMIFS(AR1052:AR1090,B1052:B1090,B1071-12)+in_two_wheeler_renew^2*SUMIFS(AR1052:AR1090,B1052:B1090,B1071-24)+in_two_wheeler_renew^3*SUMIFS(AR1052:AR1090,B1052:B1090,B1071-36)+in_two_wheeler_renew^4*SUMIFS(AR1052:AR1090,B1052:B1090,B1071-48))</f>
        <v/>
      </c>
      <c r="AT1071" s="40">
        <f>AT1070*(1-IF(B1070&gt;=in_marketplace_from,d_hz_device*G1070,0))</f>
        <v/>
      </c>
      <c r="AU1071" s="14">
        <f>F1071*AT1071*IF(B1071&gt;=in_marketplace_from,d_hz_device*G1071,0)*in_device_ticket*in_device_comm*in_ins_partner_share</f>
        <v/>
      </c>
      <c r="AV1071" s="40">
        <f>AV1070*(1-IF(B1070&gt;=in_marketplace_from,d_hz_shop*G1070,0))</f>
        <v/>
      </c>
      <c r="AW1071" s="46">
        <f>AV1071*IF(B1071&gt;=in_marketplace_from,d_hz_shop*G1071,0)</f>
        <v/>
      </c>
      <c r="AX1071" s="14">
        <f>F1071*AW1071*in_shop_ticket*in_shop_comm*in_ins_partner_share+F1071*in_shop_ticket*in_shop_renew_comm*in_ins_partner_share*(in_shop_renew^1*SUMIFS(AW1052:AW1090,B1052:B1090,B1071-12)+in_shop_renew^2*SUMIFS(AW1052:AW1090,B1052:B1090,B1071-24)+in_shop_renew^3*SUMIFS(AW1052:AW1090,B1052:B1090,B1071-36)+in_shop_renew^4*SUMIFS(AW1052:AW1090,B1052:B1090,B1071-48))</f>
        <v/>
      </c>
      <c r="AY1071" s="40">
        <f>AY1070*(1-IF(B1070&gt;=in_marketplace_from,d_hz_sip*G1070,0))</f>
        <v/>
      </c>
      <c r="AZ1071" s="40">
        <f>AZ1070*d_rho_sip+AY1071*IF(B1071&gt;=in_marketplace_from,d_hz_sip*G1071,0)</f>
        <v/>
      </c>
      <c r="BA1071" s="40">
        <f>d_rho_sip*(BA1070+AZ1070)</f>
        <v/>
      </c>
      <c r="BB1071" s="14">
        <f>F1071*in_sip_ticket*(BA1071+0.5*AZ1071)*in_sip_comm/12</f>
        <v/>
      </c>
      <c r="BC1071" s="40">
        <f>BC1070*(1-IF(B1070&gt;=in_marketplace_from,d_hz_choti*G1070,0))</f>
        <v/>
      </c>
      <c r="BD1071" s="46">
        <f>BC1071*IF(B1071&gt;=in_marketplace_from,d_hz_choti*G1071,0)</f>
        <v/>
      </c>
      <c r="BE1071" s="14">
        <f>F1071*SUMIFS(BD1052:BD1090,B1052:B1090,B1071-in_choti_months)*in_choti_renew*in_choti_ticket</f>
        <v/>
      </c>
      <c r="BF1071" s="40">
        <f>BF1070*(1-IF(B1070&gt;=in_marketplace_from,d_hz_nps*G1070,0))</f>
        <v/>
      </c>
      <c r="BG1071" s="14">
        <f>F1071*BF1071*IF(B1071&gt;=in_marketplace_from,d_hz_nps*G1071,0)*in_nps_ticket*in_nps_comm</f>
        <v/>
      </c>
      <c r="BH1071" s="40">
        <f>BH1070*(1-IF(B1070&gt;=in_marketplace_from,d_hz_gold*G1070,0))</f>
        <v/>
      </c>
      <c r="BI1071" s="40">
        <f>BI1070*d_rho_gold+BH1071*IF(B1071&gt;=in_marketplace_from,d_hz_gold*G1071,0)</f>
        <v/>
      </c>
      <c r="BJ1071" s="14">
        <f>F1071*BI1071*in_gold_ticket*in_gold_comm</f>
        <v/>
      </c>
      <c r="BK1071" s="40">
        <f>BK1070*(1-IF(B1070&gt;=in_marketplace_from,d_hz_fd*G1070,0))</f>
        <v/>
      </c>
      <c r="BL1071" s="14">
        <f>F1071*BK1071*IF(B1071&gt;=in_marketplace_from,d_hz_fd*G1071,0)*in_fd_ticket*in_fd_comm</f>
        <v/>
      </c>
      <c r="BM1071" s="40">
        <f>BM1070*(1-IF(B1070&gt;=in_marketplace_from,d_hz_recharge*G1070,0))</f>
        <v/>
      </c>
      <c r="BN1071" s="40">
        <f>BN1070*d_rho_recharge+BM1071*IF(B1071&gt;=in_marketplace_from,d_hz_recharge*G1071,0)</f>
        <v/>
      </c>
      <c r="BO1071" s="14">
        <f>F1071*BN1071*in_recharge_ticket*in_recharge_comm/12</f>
        <v/>
      </c>
      <c r="BP1071" s="40">
        <f>BP1070*(1-IF(B1070&gt;=in_marketplace_from,d_hz_bills*G1070,0))</f>
        <v/>
      </c>
      <c r="BQ1071" s="40">
        <f>BQ1070*d_rho_bills+BP1071*IF(B1071&gt;=in_marketplace_from,d_hz_bills*G1071,0)</f>
        <v/>
      </c>
      <c r="BR1071" s="14">
        <f>F1071*BQ1071*in_bills_ticket*in_bills_comm/12</f>
        <v/>
      </c>
      <c r="BS1071" s="40">
        <f>BS1070*(1-IF(B1070&gt;=in_marketplace_from,d_hz_loan_gold*G1070,0))</f>
        <v/>
      </c>
      <c r="BT1071" s="14">
        <f>F1071*BS1071*IF(B1071&gt;=in_marketplace_from,d_hz_loan_gold*G1071,0)*in_loan_gold_ticket*in_loan_gold_comm</f>
        <v/>
      </c>
      <c r="BU1071" s="40">
        <f>BU1070*(1-IF(B1070&gt;=in_marketplace_from,d_hz_loan_cd*G1070,0))</f>
        <v/>
      </c>
      <c r="BV1071" s="14">
        <f>F1071*BU1071*IF(B1071&gt;=in_marketplace_from,d_hz_loan_cd*G1071,0)*in_loan_cd_ticket*in_loan_cd_comm</f>
        <v/>
      </c>
      <c r="BW1071" s="40">
        <f>BW1070*(1-IF(B1070&gt;=in_marketplace_from,d_hz_loan_vehicle*G1070,0))</f>
        <v/>
      </c>
      <c r="BX1071" s="14">
        <f>F1071*BW1071*IF(B1071&gt;=in_marketplace_from,d_hz_loan_vehicle*G1071,0)*in_loan_vehicle_ticket*in_loan_vehicle_comm</f>
        <v/>
      </c>
      <c r="BY1071" s="40">
        <f>BY1070*(1-IF(B1070&gt;=in_marketplace_from,d_hz_loan_home*G1070,0)*BZ1070)</f>
        <v/>
      </c>
      <c r="BZ1071" s="11">
        <f>MIN(in_approval_cap,in_loan_home_approval*INDEX('Age profile'!$O$2:$O$61,B1071)*(1+in_approval_growth)^(D1071-1))</f>
        <v/>
      </c>
      <c r="CA1071" s="14">
        <f>F1071*BY1071*IF(B1071&gt;=in_marketplace_from,d_hz_loan_home*G1071,0)*BZ1071*in_loan_home_ticket*in_loan_home_comm</f>
        <v/>
      </c>
      <c r="CB1071" s="40">
        <f>CB1070*(1-IF(B1070&gt;=in_marketplace_from,d_hz_loan_lap*G1070,0)*CC1070)</f>
        <v/>
      </c>
      <c r="CC1071" s="11">
        <f>MIN(in_approval_cap,in_loan_lap_approval*INDEX('Age profile'!$O$2:$O$61,B1071)*(1+in_approval_growth)^(D1071-1))</f>
        <v/>
      </c>
      <c r="CD1071" s="14">
        <f>F1071*CB1071*IF(B1071&gt;=in_marketplace_from,d_hz_loan_lap*G1071,0)*CC1071*in_loan_lap_ticket*in_loan_lap_comm</f>
        <v/>
      </c>
      <c r="CE1071" s="14">
        <f>AA1071+AB1071+AC1071+AD1071+AG1071+AJ1071+AM1071+AP1071+AS1071+AU1071+AX1071+BB1071+BE1071+BG1071+BJ1071+BL1071+BO1071+BR1071+BT1071+BV1071+BX1071+CA1071+CD1071</f>
        <v/>
      </c>
    </row>
    <row r="1072">
      <c r="A1072" s="39" t="n">
        <v>22</v>
      </c>
      <c r="B1072" s="39" t="n">
        <v>21</v>
      </c>
      <c r="C1072" s="39">
        <f>A1072+B1072-1</f>
        <v/>
      </c>
      <c r="D1072" s="39">
        <f>INT((C1072-1)/12)+1</f>
        <v/>
      </c>
      <c r="E1072" s="44">
        <f>INDEX(Monthly!$B$2:$B$61,A1072)</f>
        <v/>
      </c>
      <c r="F1072" s="44">
        <f>E1072*INDEX('Age profile'!$B$2:$B$61,B1072)</f>
        <v/>
      </c>
      <c r="G1072" s="45">
        <f>MIN(in_takeup_cap,INDEX('Age profile'!$N$2:$N$61,B1072)*(1+in_takeup_growth)^(D1072-1))</f>
        <v/>
      </c>
      <c r="H1072" s="11">
        <f>MIN(in_approval_cap,in_approved_first*INDEX('Age profile'!$O$2:$O$61,B1072)*(1+in_approval_growth)^(D1072-1))</f>
        <v/>
      </c>
      <c r="I1072" s="45">
        <f>G1072*MIN(in_takeup_cap,INDEX('Age profile'!$O$2:$O$61,B1072)*(1+in_approval_growth)^(D1072-1))</f>
        <v/>
      </c>
      <c r="J1072" s="40">
        <f>(J1071-L1071)*F1072/F1071</f>
        <v/>
      </c>
      <c r="K1072" s="40">
        <f>(K1071-M1071)*F1072/F1071+SUMIFS(O1052:O1071,B1052:B1071,B1072-1-d_T)*F1072</f>
        <v/>
      </c>
      <c r="L1072" s="40">
        <f>IF(B1072&gt;=in_marketplace_from,J1072*d_hz*G1072*in_eligible*H1072,0)</f>
        <v/>
      </c>
      <c r="M1072" s="40">
        <f>IF(B1072&gt;=in_marketplace_from,K1072*d_hz*G1072*in_eligible*in_approved_repeat,0)</f>
        <v/>
      </c>
      <c r="N1072" s="40">
        <f>L1072+M1072</f>
        <v/>
      </c>
      <c r="O1072" s="46">
        <f>N1072/F1072</f>
        <v/>
      </c>
      <c r="P1072" s="40">
        <f>F1072-J1072-K1072</f>
        <v/>
      </c>
      <c r="Q1072" s="40">
        <f>IF(B1072&gt;=in_marketplace_from,(J1072+K1072)*d_hz*G1072,0)</f>
        <v/>
      </c>
      <c r="R1072" s="40">
        <f>SUMIFS(N1052:N1090,B1052:B1090,"&gt;="&amp;(B1072-d_T),B1052:B1090,"&lt;="&amp;(B1072-1))</f>
        <v/>
      </c>
      <c r="S1072" s="46">
        <f>(1-d_u)*S1071+IF(d_T&gt;in_topup_lag,SUMIFS(O1052:O1090,B1052:B1090,B1072-in_topup_lag)-d_udrop*SUMIFS(O1052:O1090,B1052:B1090,B1072-d_T),0)</f>
        <v/>
      </c>
      <c r="T1072" s="40">
        <f>F1072*d_u*S1072</f>
        <v/>
      </c>
      <c r="U1072" s="9">
        <f>L1072*in_ticket+M1072*d_rep_ticket</f>
        <v/>
      </c>
      <c r="V1072" s="9">
        <f>U1072+T1072*d_topup_amt</f>
        <v/>
      </c>
      <c r="W1072" s="40">
        <f>N1072+T1072*d_topup_ratio</f>
        <v/>
      </c>
      <c r="X1072" s="40">
        <f>SUMIFS(W1052:W1090,B1052:B1090,B1072-in_dpd_lag)*d_cured</f>
        <v/>
      </c>
      <c r="Y1072" s="40">
        <f>SUMIFS(W1052:W1090,B1052:B1090,B1072-in_rec_lag)*d_recd</f>
        <v/>
      </c>
      <c r="Z1072" s="40">
        <f>IF(AND(B1072&gt;=in_marketplace_from,B1072&lt;in_marketplace_from+in_card_months),in_card_share/in_card_months*F1072*I1072,IF(AND(B1072&gt;=in_marketplace_from+in_card_months,B1072&lt;in_marketplace_from+2*in_card_months),in_card_share*d_card_rem/in_card_months*F1072*MIN(in_takeup_cap,(1+in_takeup_growth)^(D1072-1))*MIN(in_takeup_cap,(1+in_approval_growth)^(D1072-1)),0))</f>
        <v/>
      </c>
      <c r="AA1072" s="14">
        <f>V1072*in_fee*(1-in_taken_back)</f>
        <v/>
      </c>
      <c r="AB1072" s="14">
        <f>SUMIFS(W1052:W1090,B1052:B1090,B1072-in_dpd_lag)*d_dpd</f>
        <v/>
      </c>
      <c r="AC1072" s="14">
        <f>SUMIFS(W1052:W1090,B1052:B1090,B1072-in_rec_lag)*d_rec</f>
        <v/>
      </c>
      <c r="AD1072" s="14">
        <f>Z1072*in_card_fee</f>
        <v/>
      </c>
      <c r="AE1072" s="40">
        <f>AE1071*(1-IF(B1071&gt;=in_marketplace_from,d_hz_hlth_small*G1071,0))</f>
        <v/>
      </c>
      <c r="AF1072" s="46">
        <f>AE1072*IF(B1072&gt;=in_marketplace_from,d_hz_hlth_small*G1072,0)</f>
        <v/>
      </c>
      <c r="AG1072" s="14">
        <f>F1072*AF1072*in_hlth_small_ticket*in_hlth_small_comm*in_ins_partner_share+F1072*in_hlth_small_ticket*in_hlth_small_renew_comm*in_ins_partner_share*(in_hlth_small_renew^1*SUMIFS(AF1052:AF1090,B1052:B1090,B1072-12)+in_hlth_small_renew^2*SUMIFS(AF1052:AF1090,B1052:B1090,B1072-24)+in_hlth_small_renew^3*SUMIFS(AF1052:AF1090,B1052:B1090,B1072-36)+in_hlth_small_renew^4*SUMIFS(AF1052:AF1090,B1052:B1090,B1072-48))</f>
        <v/>
      </c>
      <c r="AH1072" s="40">
        <f>AH1071*(1-IF(B1071&gt;=in_marketplace_from,d_hz_hlth_family*G1071,0))</f>
        <v/>
      </c>
      <c r="AI1072" s="46">
        <f>AH1072*IF(B1072&gt;=in_marketplace_from,d_hz_hlth_family*G1072,0)</f>
        <v/>
      </c>
      <c r="AJ1072" s="14">
        <f>F1072*AI1072*in_hlth_family_ticket*in_hlth_family_comm*in_ins_partner_share+F1072*in_hlth_family_ticket*in_hlth_family_renew_comm*in_ins_partner_share*(in_hlth_family_renew^1*SUMIFS(AI1052:AI1090,B1052:B1090,B1072-12)+in_hlth_family_renew^2*SUMIFS(AI1052:AI1090,B1052:B1090,B1072-24)+in_hlth_family_renew^3*SUMIFS(AI1052:AI1090,B1052:B1090,B1072-36)+in_hlth_family_renew^4*SUMIFS(AI1052:AI1090,B1052:B1090,B1072-48))</f>
        <v/>
      </c>
      <c r="AK1072" s="40">
        <f>AK1071*(1-IF(B1071&gt;=in_marketplace_from,d_hz_life_term*G1071,0))</f>
        <v/>
      </c>
      <c r="AL1072" s="46">
        <f>AK1072*IF(B1072&gt;=in_marketplace_from,d_hz_life_term*G1072,0)</f>
        <v/>
      </c>
      <c r="AM1072" s="14">
        <f>F1072*AL1072*in_life_term_ticket*in_life_term_comm*in_ins_partner_share+F1072*in_life_term_ticket*in_life_term_renew_comm*in_ins_partner_share*(in_life_term_renew^1*SUMIFS(AL1052:AL1090,B1052:B1090,B1072-12)+in_life_term_renew^2*SUMIFS(AL1052:AL1090,B1052:B1090,B1072-24)+in_life_term_renew^3*SUMIFS(AL1052:AL1090,B1052:B1090,B1072-36)+in_life_term_renew^4*SUMIFS(AL1052:AL1090,B1052:B1090,B1072-48))</f>
        <v/>
      </c>
      <c r="AN1072" s="40">
        <f>AN1071*(1-IF(B1071&gt;=in_marketplace_from,d_hz_accident*G1071,0))</f>
        <v/>
      </c>
      <c r="AO1072" s="46">
        <f>AN1072*IF(B1072&gt;=in_marketplace_from,d_hz_accident*G1072,0)</f>
        <v/>
      </c>
      <c r="AP1072" s="14">
        <f>F1072*AO1072*in_accident_ticket*in_accident_comm*in_ins_partner_share+F1072*in_accident_ticket*in_accident_renew_comm*in_ins_partner_share*(in_accident_renew^1*SUMIFS(AO1052:AO1090,B1052:B1090,B1072-12)+in_accident_renew^2*SUMIFS(AO1052:AO1090,B1052:B1090,B1072-24)+in_accident_renew^3*SUMIFS(AO1052:AO1090,B1052:B1090,B1072-36)+in_accident_renew^4*SUMIFS(AO1052:AO1090,B1052:B1090,B1072-48))</f>
        <v/>
      </c>
      <c r="AQ1072" s="40">
        <f>AQ1071*(1-IF(B1071&gt;=in_marketplace_from,d_hz_two_wheeler*G1071,0))</f>
        <v/>
      </c>
      <c r="AR1072" s="46">
        <f>AQ1072*IF(B1072&gt;=in_marketplace_from,d_hz_two_wheeler*G1072,0)</f>
        <v/>
      </c>
      <c r="AS1072" s="14">
        <f>F1072*AR1072*in_two_wheeler_ticket*in_two_wheeler_comm*in_ins_partner_share+F1072*in_two_wheeler_ticket*in_two_wheeler_comm*in_ins_partner_share*(in_two_wheeler_renew^1*SUMIFS(AR1052:AR1090,B1052:B1090,B1072-12)+in_two_wheeler_renew^2*SUMIFS(AR1052:AR1090,B1052:B1090,B1072-24)+in_two_wheeler_renew^3*SUMIFS(AR1052:AR1090,B1052:B1090,B1072-36)+in_two_wheeler_renew^4*SUMIFS(AR1052:AR1090,B1052:B1090,B1072-48))</f>
        <v/>
      </c>
      <c r="AT1072" s="40">
        <f>AT1071*(1-IF(B1071&gt;=in_marketplace_from,d_hz_device*G1071,0))</f>
        <v/>
      </c>
      <c r="AU1072" s="14">
        <f>F1072*AT1072*IF(B1072&gt;=in_marketplace_from,d_hz_device*G1072,0)*in_device_ticket*in_device_comm*in_ins_partner_share</f>
        <v/>
      </c>
      <c r="AV1072" s="40">
        <f>AV1071*(1-IF(B1071&gt;=in_marketplace_from,d_hz_shop*G1071,0))</f>
        <v/>
      </c>
      <c r="AW1072" s="46">
        <f>AV1072*IF(B1072&gt;=in_marketplace_from,d_hz_shop*G1072,0)</f>
        <v/>
      </c>
      <c r="AX1072" s="14">
        <f>F1072*AW1072*in_shop_ticket*in_shop_comm*in_ins_partner_share+F1072*in_shop_ticket*in_shop_renew_comm*in_ins_partner_share*(in_shop_renew^1*SUMIFS(AW1052:AW1090,B1052:B1090,B1072-12)+in_shop_renew^2*SUMIFS(AW1052:AW1090,B1052:B1090,B1072-24)+in_shop_renew^3*SUMIFS(AW1052:AW1090,B1052:B1090,B1072-36)+in_shop_renew^4*SUMIFS(AW1052:AW1090,B1052:B1090,B1072-48))</f>
        <v/>
      </c>
      <c r="AY1072" s="40">
        <f>AY1071*(1-IF(B1071&gt;=in_marketplace_from,d_hz_sip*G1071,0))</f>
        <v/>
      </c>
      <c r="AZ1072" s="40">
        <f>AZ1071*d_rho_sip+AY1072*IF(B1072&gt;=in_marketplace_from,d_hz_sip*G1072,0)</f>
        <v/>
      </c>
      <c r="BA1072" s="40">
        <f>d_rho_sip*(BA1071+AZ1071)</f>
        <v/>
      </c>
      <c r="BB1072" s="14">
        <f>F1072*in_sip_ticket*(BA1072+0.5*AZ1072)*in_sip_comm/12</f>
        <v/>
      </c>
      <c r="BC1072" s="40">
        <f>BC1071*(1-IF(B1071&gt;=in_marketplace_from,d_hz_choti*G1071,0))</f>
        <v/>
      </c>
      <c r="BD1072" s="46">
        <f>BC1072*IF(B1072&gt;=in_marketplace_from,d_hz_choti*G1072,0)</f>
        <v/>
      </c>
      <c r="BE1072" s="14">
        <f>F1072*SUMIFS(BD1052:BD1090,B1052:B1090,B1072-in_choti_months)*in_choti_renew*in_choti_ticket</f>
        <v/>
      </c>
      <c r="BF1072" s="40">
        <f>BF1071*(1-IF(B1071&gt;=in_marketplace_from,d_hz_nps*G1071,0))</f>
        <v/>
      </c>
      <c r="BG1072" s="14">
        <f>F1072*BF1072*IF(B1072&gt;=in_marketplace_from,d_hz_nps*G1072,0)*in_nps_ticket*in_nps_comm</f>
        <v/>
      </c>
      <c r="BH1072" s="40">
        <f>BH1071*(1-IF(B1071&gt;=in_marketplace_from,d_hz_gold*G1071,0))</f>
        <v/>
      </c>
      <c r="BI1072" s="40">
        <f>BI1071*d_rho_gold+BH1072*IF(B1072&gt;=in_marketplace_from,d_hz_gold*G1072,0)</f>
        <v/>
      </c>
      <c r="BJ1072" s="14">
        <f>F1072*BI1072*in_gold_ticket*in_gold_comm</f>
        <v/>
      </c>
      <c r="BK1072" s="40">
        <f>BK1071*(1-IF(B1071&gt;=in_marketplace_from,d_hz_fd*G1071,0))</f>
        <v/>
      </c>
      <c r="BL1072" s="14">
        <f>F1072*BK1072*IF(B1072&gt;=in_marketplace_from,d_hz_fd*G1072,0)*in_fd_ticket*in_fd_comm</f>
        <v/>
      </c>
      <c r="BM1072" s="40">
        <f>BM1071*(1-IF(B1071&gt;=in_marketplace_from,d_hz_recharge*G1071,0))</f>
        <v/>
      </c>
      <c r="BN1072" s="40">
        <f>BN1071*d_rho_recharge+BM1072*IF(B1072&gt;=in_marketplace_from,d_hz_recharge*G1072,0)</f>
        <v/>
      </c>
      <c r="BO1072" s="14">
        <f>F1072*BN1072*in_recharge_ticket*in_recharge_comm/12</f>
        <v/>
      </c>
      <c r="BP1072" s="40">
        <f>BP1071*(1-IF(B1071&gt;=in_marketplace_from,d_hz_bills*G1071,0))</f>
        <v/>
      </c>
      <c r="BQ1072" s="40">
        <f>BQ1071*d_rho_bills+BP1072*IF(B1072&gt;=in_marketplace_from,d_hz_bills*G1072,0)</f>
        <v/>
      </c>
      <c r="BR1072" s="14">
        <f>F1072*BQ1072*in_bills_ticket*in_bills_comm/12</f>
        <v/>
      </c>
      <c r="BS1072" s="40">
        <f>BS1071*(1-IF(B1071&gt;=in_marketplace_from,d_hz_loan_gold*G1071,0))</f>
        <v/>
      </c>
      <c r="BT1072" s="14">
        <f>F1072*BS1072*IF(B1072&gt;=in_marketplace_from,d_hz_loan_gold*G1072,0)*in_loan_gold_ticket*in_loan_gold_comm</f>
        <v/>
      </c>
      <c r="BU1072" s="40">
        <f>BU1071*(1-IF(B1071&gt;=in_marketplace_from,d_hz_loan_cd*G1071,0))</f>
        <v/>
      </c>
      <c r="BV1072" s="14">
        <f>F1072*BU1072*IF(B1072&gt;=in_marketplace_from,d_hz_loan_cd*G1072,0)*in_loan_cd_ticket*in_loan_cd_comm</f>
        <v/>
      </c>
      <c r="BW1072" s="40">
        <f>BW1071*(1-IF(B1071&gt;=in_marketplace_from,d_hz_loan_vehicle*G1071,0))</f>
        <v/>
      </c>
      <c r="BX1072" s="14">
        <f>F1072*BW1072*IF(B1072&gt;=in_marketplace_from,d_hz_loan_vehicle*G1072,0)*in_loan_vehicle_ticket*in_loan_vehicle_comm</f>
        <v/>
      </c>
      <c r="BY1072" s="40">
        <f>BY1071*(1-IF(B1071&gt;=in_marketplace_from,d_hz_loan_home*G1071,0)*BZ1071)</f>
        <v/>
      </c>
      <c r="BZ1072" s="11">
        <f>MIN(in_approval_cap,in_loan_home_approval*INDEX('Age profile'!$O$2:$O$61,B1072)*(1+in_approval_growth)^(D1072-1))</f>
        <v/>
      </c>
      <c r="CA1072" s="14">
        <f>F1072*BY1072*IF(B1072&gt;=in_marketplace_from,d_hz_loan_home*G1072,0)*BZ1072*in_loan_home_ticket*in_loan_home_comm</f>
        <v/>
      </c>
      <c r="CB1072" s="40">
        <f>CB1071*(1-IF(B1071&gt;=in_marketplace_from,d_hz_loan_lap*G1071,0)*CC1071)</f>
        <v/>
      </c>
      <c r="CC1072" s="11">
        <f>MIN(in_approval_cap,in_loan_lap_approval*INDEX('Age profile'!$O$2:$O$61,B1072)*(1+in_approval_growth)^(D1072-1))</f>
        <v/>
      </c>
      <c r="CD1072" s="14">
        <f>F1072*CB1072*IF(B1072&gt;=in_marketplace_from,d_hz_loan_lap*G1072,0)*CC1072*in_loan_lap_ticket*in_loan_lap_comm</f>
        <v/>
      </c>
      <c r="CE1072" s="14">
        <f>AA1072+AB1072+AC1072+AD1072+AG1072+AJ1072+AM1072+AP1072+AS1072+AU1072+AX1072+BB1072+BE1072+BG1072+BJ1072+BL1072+BO1072+BR1072+BT1072+BV1072+BX1072+CA1072+CD1072</f>
        <v/>
      </c>
    </row>
    <row r="1073">
      <c r="A1073" s="39" t="n">
        <v>22</v>
      </c>
      <c r="B1073" s="39" t="n">
        <v>22</v>
      </c>
      <c r="C1073" s="39">
        <f>A1073+B1073-1</f>
        <v/>
      </c>
      <c r="D1073" s="39">
        <f>INT((C1073-1)/12)+1</f>
        <v/>
      </c>
      <c r="E1073" s="44">
        <f>INDEX(Monthly!$B$2:$B$61,A1073)</f>
        <v/>
      </c>
      <c r="F1073" s="44">
        <f>E1073*INDEX('Age profile'!$B$2:$B$61,B1073)</f>
        <v/>
      </c>
      <c r="G1073" s="45">
        <f>MIN(in_takeup_cap,INDEX('Age profile'!$N$2:$N$61,B1073)*(1+in_takeup_growth)^(D1073-1))</f>
        <v/>
      </c>
      <c r="H1073" s="11">
        <f>MIN(in_approval_cap,in_approved_first*INDEX('Age profile'!$O$2:$O$61,B1073)*(1+in_approval_growth)^(D1073-1))</f>
        <v/>
      </c>
      <c r="I1073" s="45">
        <f>G1073*MIN(in_takeup_cap,INDEX('Age profile'!$O$2:$O$61,B1073)*(1+in_approval_growth)^(D1073-1))</f>
        <v/>
      </c>
      <c r="J1073" s="40">
        <f>(J1072-L1072)*F1073/F1072</f>
        <v/>
      </c>
      <c r="K1073" s="40">
        <f>(K1072-M1072)*F1073/F1072+SUMIFS(O1052:O1072,B1052:B1072,B1073-1-d_T)*F1073</f>
        <v/>
      </c>
      <c r="L1073" s="40">
        <f>IF(B1073&gt;=in_marketplace_from,J1073*d_hz*G1073*in_eligible*H1073,0)</f>
        <v/>
      </c>
      <c r="M1073" s="40">
        <f>IF(B1073&gt;=in_marketplace_from,K1073*d_hz*G1073*in_eligible*in_approved_repeat,0)</f>
        <v/>
      </c>
      <c r="N1073" s="40">
        <f>L1073+M1073</f>
        <v/>
      </c>
      <c r="O1073" s="46">
        <f>N1073/F1073</f>
        <v/>
      </c>
      <c r="P1073" s="40">
        <f>F1073-J1073-K1073</f>
        <v/>
      </c>
      <c r="Q1073" s="40">
        <f>IF(B1073&gt;=in_marketplace_from,(J1073+K1073)*d_hz*G1073,0)</f>
        <v/>
      </c>
      <c r="R1073" s="40">
        <f>SUMIFS(N1052:N1090,B1052:B1090,"&gt;="&amp;(B1073-d_T),B1052:B1090,"&lt;="&amp;(B1073-1))</f>
        <v/>
      </c>
      <c r="S1073" s="46">
        <f>(1-d_u)*S1072+IF(d_T&gt;in_topup_lag,SUMIFS(O1052:O1090,B1052:B1090,B1073-in_topup_lag)-d_udrop*SUMIFS(O1052:O1090,B1052:B1090,B1073-d_T),0)</f>
        <v/>
      </c>
      <c r="T1073" s="40">
        <f>F1073*d_u*S1073</f>
        <v/>
      </c>
      <c r="U1073" s="9">
        <f>L1073*in_ticket+M1073*d_rep_ticket</f>
        <v/>
      </c>
      <c r="V1073" s="9">
        <f>U1073+T1073*d_topup_amt</f>
        <v/>
      </c>
      <c r="W1073" s="40">
        <f>N1073+T1073*d_topup_ratio</f>
        <v/>
      </c>
      <c r="X1073" s="40">
        <f>SUMIFS(W1052:W1090,B1052:B1090,B1073-in_dpd_lag)*d_cured</f>
        <v/>
      </c>
      <c r="Y1073" s="40">
        <f>SUMIFS(W1052:W1090,B1052:B1090,B1073-in_rec_lag)*d_recd</f>
        <v/>
      </c>
      <c r="Z1073" s="40">
        <f>IF(AND(B1073&gt;=in_marketplace_from,B1073&lt;in_marketplace_from+in_card_months),in_card_share/in_card_months*F1073*I1073,IF(AND(B1073&gt;=in_marketplace_from+in_card_months,B1073&lt;in_marketplace_from+2*in_card_months),in_card_share*d_card_rem/in_card_months*F1073*MIN(in_takeup_cap,(1+in_takeup_growth)^(D1073-1))*MIN(in_takeup_cap,(1+in_approval_growth)^(D1073-1)),0))</f>
        <v/>
      </c>
      <c r="AA1073" s="14">
        <f>V1073*in_fee*(1-in_taken_back)</f>
        <v/>
      </c>
      <c r="AB1073" s="14">
        <f>SUMIFS(W1052:W1090,B1052:B1090,B1073-in_dpd_lag)*d_dpd</f>
        <v/>
      </c>
      <c r="AC1073" s="14">
        <f>SUMIFS(W1052:W1090,B1052:B1090,B1073-in_rec_lag)*d_rec</f>
        <v/>
      </c>
      <c r="AD1073" s="14">
        <f>Z1073*in_card_fee</f>
        <v/>
      </c>
      <c r="AE1073" s="40">
        <f>AE1072*(1-IF(B1072&gt;=in_marketplace_from,d_hz_hlth_small*G1072,0))</f>
        <v/>
      </c>
      <c r="AF1073" s="46">
        <f>AE1073*IF(B1073&gt;=in_marketplace_from,d_hz_hlth_small*G1073,0)</f>
        <v/>
      </c>
      <c r="AG1073" s="14">
        <f>F1073*AF1073*in_hlth_small_ticket*in_hlth_small_comm*in_ins_partner_share+F1073*in_hlth_small_ticket*in_hlth_small_renew_comm*in_ins_partner_share*(in_hlth_small_renew^1*SUMIFS(AF1052:AF1090,B1052:B1090,B1073-12)+in_hlth_small_renew^2*SUMIFS(AF1052:AF1090,B1052:B1090,B1073-24)+in_hlth_small_renew^3*SUMIFS(AF1052:AF1090,B1052:B1090,B1073-36)+in_hlth_small_renew^4*SUMIFS(AF1052:AF1090,B1052:B1090,B1073-48))</f>
        <v/>
      </c>
      <c r="AH1073" s="40">
        <f>AH1072*(1-IF(B1072&gt;=in_marketplace_from,d_hz_hlth_family*G1072,0))</f>
        <v/>
      </c>
      <c r="AI1073" s="46">
        <f>AH1073*IF(B1073&gt;=in_marketplace_from,d_hz_hlth_family*G1073,0)</f>
        <v/>
      </c>
      <c r="AJ1073" s="14">
        <f>F1073*AI1073*in_hlth_family_ticket*in_hlth_family_comm*in_ins_partner_share+F1073*in_hlth_family_ticket*in_hlth_family_renew_comm*in_ins_partner_share*(in_hlth_family_renew^1*SUMIFS(AI1052:AI1090,B1052:B1090,B1073-12)+in_hlth_family_renew^2*SUMIFS(AI1052:AI1090,B1052:B1090,B1073-24)+in_hlth_family_renew^3*SUMIFS(AI1052:AI1090,B1052:B1090,B1073-36)+in_hlth_family_renew^4*SUMIFS(AI1052:AI1090,B1052:B1090,B1073-48))</f>
        <v/>
      </c>
      <c r="AK1073" s="40">
        <f>AK1072*(1-IF(B1072&gt;=in_marketplace_from,d_hz_life_term*G1072,0))</f>
        <v/>
      </c>
      <c r="AL1073" s="46">
        <f>AK1073*IF(B1073&gt;=in_marketplace_from,d_hz_life_term*G1073,0)</f>
        <v/>
      </c>
      <c r="AM1073" s="14">
        <f>F1073*AL1073*in_life_term_ticket*in_life_term_comm*in_ins_partner_share+F1073*in_life_term_ticket*in_life_term_renew_comm*in_ins_partner_share*(in_life_term_renew^1*SUMIFS(AL1052:AL1090,B1052:B1090,B1073-12)+in_life_term_renew^2*SUMIFS(AL1052:AL1090,B1052:B1090,B1073-24)+in_life_term_renew^3*SUMIFS(AL1052:AL1090,B1052:B1090,B1073-36)+in_life_term_renew^4*SUMIFS(AL1052:AL1090,B1052:B1090,B1073-48))</f>
        <v/>
      </c>
      <c r="AN1073" s="40">
        <f>AN1072*(1-IF(B1072&gt;=in_marketplace_from,d_hz_accident*G1072,0))</f>
        <v/>
      </c>
      <c r="AO1073" s="46">
        <f>AN1073*IF(B1073&gt;=in_marketplace_from,d_hz_accident*G1073,0)</f>
        <v/>
      </c>
      <c r="AP1073" s="14">
        <f>F1073*AO1073*in_accident_ticket*in_accident_comm*in_ins_partner_share+F1073*in_accident_ticket*in_accident_renew_comm*in_ins_partner_share*(in_accident_renew^1*SUMIFS(AO1052:AO1090,B1052:B1090,B1073-12)+in_accident_renew^2*SUMIFS(AO1052:AO1090,B1052:B1090,B1073-24)+in_accident_renew^3*SUMIFS(AO1052:AO1090,B1052:B1090,B1073-36)+in_accident_renew^4*SUMIFS(AO1052:AO1090,B1052:B1090,B1073-48))</f>
        <v/>
      </c>
      <c r="AQ1073" s="40">
        <f>AQ1072*(1-IF(B1072&gt;=in_marketplace_from,d_hz_two_wheeler*G1072,0))</f>
        <v/>
      </c>
      <c r="AR1073" s="46">
        <f>AQ1073*IF(B1073&gt;=in_marketplace_from,d_hz_two_wheeler*G1073,0)</f>
        <v/>
      </c>
      <c r="AS1073" s="14">
        <f>F1073*AR1073*in_two_wheeler_ticket*in_two_wheeler_comm*in_ins_partner_share+F1073*in_two_wheeler_ticket*in_two_wheeler_comm*in_ins_partner_share*(in_two_wheeler_renew^1*SUMIFS(AR1052:AR1090,B1052:B1090,B1073-12)+in_two_wheeler_renew^2*SUMIFS(AR1052:AR1090,B1052:B1090,B1073-24)+in_two_wheeler_renew^3*SUMIFS(AR1052:AR1090,B1052:B1090,B1073-36)+in_two_wheeler_renew^4*SUMIFS(AR1052:AR1090,B1052:B1090,B1073-48))</f>
        <v/>
      </c>
      <c r="AT1073" s="40">
        <f>AT1072*(1-IF(B1072&gt;=in_marketplace_from,d_hz_device*G1072,0))</f>
        <v/>
      </c>
      <c r="AU1073" s="14">
        <f>F1073*AT1073*IF(B1073&gt;=in_marketplace_from,d_hz_device*G1073,0)*in_device_ticket*in_device_comm*in_ins_partner_share</f>
        <v/>
      </c>
      <c r="AV1073" s="40">
        <f>AV1072*(1-IF(B1072&gt;=in_marketplace_from,d_hz_shop*G1072,0))</f>
        <v/>
      </c>
      <c r="AW1073" s="46">
        <f>AV1073*IF(B1073&gt;=in_marketplace_from,d_hz_shop*G1073,0)</f>
        <v/>
      </c>
      <c r="AX1073" s="14">
        <f>F1073*AW1073*in_shop_ticket*in_shop_comm*in_ins_partner_share+F1073*in_shop_ticket*in_shop_renew_comm*in_ins_partner_share*(in_shop_renew^1*SUMIFS(AW1052:AW1090,B1052:B1090,B1073-12)+in_shop_renew^2*SUMIFS(AW1052:AW1090,B1052:B1090,B1073-24)+in_shop_renew^3*SUMIFS(AW1052:AW1090,B1052:B1090,B1073-36)+in_shop_renew^4*SUMIFS(AW1052:AW1090,B1052:B1090,B1073-48))</f>
        <v/>
      </c>
      <c r="AY1073" s="40">
        <f>AY1072*(1-IF(B1072&gt;=in_marketplace_from,d_hz_sip*G1072,0))</f>
        <v/>
      </c>
      <c r="AZ1073" s="40">
        <f>AZ1072*d_rho_sip+AY1073*IF(B1073&gt;=in_marketplace_from,d_hz_sip*G1073,0)</f>
        <v/>
      </c>
      <c r="BA1073" s="40">
        <f>d_rho_sip*(BA1072+AZ1072)</f>
        <v/>
      </c>
      <c r="BB1073" s="14">
        <f>F1073*in_sip_ticket*(BA1073+0.5*AZ1073)*in_sip_comm/12</f>
        <v/>
      </c>
      <c r="BC1073" s="40">
        <f>BC1072*(1-IF(B1072&gt;=in_marketplace_from,d_hz_choti*G1072,0))</f>
        <v/>
      </c>
      <c r="BD1073" s="46">
        <f>BC1073*IF(B1073&gt;=in_marketplace_from,d_hz_choti*G1073,0)</f>
        <v/>
      </c>
      <c r="BE1073" s="14">
        <f>F1073*SUMIFS(BD1052:BD1090,B1052:B1090,B1073-in_choti_months)*in_choti_renew*in_choti_ticket</f>
        <v/>
      </c>
      <c r="BF1073" s="40">
        <f>BF1072*(1-IF(B1072&gt;=in_marketplace_from,d_hz_nps*G1072,0))</f>
        <v/>
      </c>
      <c r="BG1073" s="14">
        <f>F1073*BF1073*IF(B1073&gt;=in_marketplace_from,d_hz_nps*G1073,0)*in_nps_ticket*in_nps_comm</f>
        <v/>
      </c>
      <c r="BH1073" s="40">
        <f>BH1072*(1-IF(B1072&gt;=in_marketplace_from,d_hz_gold*G1072,0))</f>
        <v/>
      </c>
      <c r="BI1073" s="40">
        <f>BI1072*d_rho_gold+BH1073*IF(B1073&gt;=in_marketplace_from,d_hz_gold*G1073,0)</f>
        <v/>
      </c>
      <c r="BJ1073" s="14">
        <f>F1073*BI1073*in_gold_ticket*in_gold_comm</f>
        <v/>
      </c>
      <c r="BK1073" s="40">
        <f>BK1072*(1-IF(B1072&gt;=in_marketplace_from,d_hz_fd*G1072,0))</f>
        <v/>
      </c>
      <c r="BL1073" s="14">
        <f>F1073*BK1073*IF(B1073&gt;=in_marketplace_from,d_hz_fd*G1073,0)*in_fd_ticket*in_fd_comm</f>
        <v/>
      </c>
      <c r="BM1073" s="40">
        <f>BM1072*(1-IF(B1072&gt;=in_marketplace_from,d_hz_recharge*G1072,0))</f>
        <v/>
      </c>
      <c r="BN1073" s="40">
        <f>BN1072*d_rho_recharge+BM1073*IF(B1073&gt;=in_marketplace_from,d_hz_recharge*G1073,0)</f>
        <v/>
      </c>
      <c r="BO1073" s="14">
        <f>F1073*BN1073*in_recharge_ticket*in_recharge_comm/12</f>
        <v/>
      </c>
      <c r="BP1073" s="40">
        <f>BP1072*(1-IF(B1072&gt;=in_marketplace_from,d_hz_bills*G1072,0))</f>
        <v/>
      </c>
      <c r="BQ1073" s="40">
        <f>BQ1072*d_rho_bills+BP1073*IF(B1073&gt;=in_marketplace_from,d_hz_bills*G1073,0)</f>
        <v/>
      </c>
      <c r="BR1073" s="14">
        <f>F1073*BQ1073*in_bills_ticket*in_bills_comm/12</f>
        <v/>
      </c>
      <c r="BS1073" s="40">
        <f>BS1072*(1-IF(B1072&gt;=in_marketplace_from,d_hz_loan_gold*G1072,0))</f>
        <v/>
      </c>
      <c r="BT1073" s="14">
        <f>F1073*BS1073*IF(B1073&gt;=in_marketplace_from,d_hz_loan_gold*G1073,0)*in_loan_gold_ticket*in_loan_gold_comm</f>
        <v/>
      </c>
      <c r="BU1073" s="40">
        <f>BU1072*(1-IF(B1072&gt;=in_marketplace_from,d_hz_loan_cd*G1072,0))</f>
        <v/>
      </c>
      <c r="BV1073" s="14">
        <f>F1073*BU1073*IF(B1073&gt;=in_marketplace_from,d_hz_loan_cd*G1073,0)*in_loan_cd_ticket*in_loan_cd_comm</f>
        <v/>
      </c>
      <c r="BW1073" s="40">
        <f>BW1072*(1-IF(B1072&gt;=in_marketplace_from,d_hz_loan_vehicle*G1072,0))</f>
        <v/>
      </c>
      <c r="BX1073" s="14">
        <f>F1073*BW1073*IF(B1073&gt;=in_marketplace_from,d_hz_loan_vehicle*G1073,0)*in_loan_vehicle_ticket*in_loan_vehicle_comm</f>
        <v/>
      </c>
      <c r="BY1073" s="40">
        <f>BY1072*(1-IF(B1072&gt;=in_marketplace_from,d_hz_loan_home*G1072,0)*BZ1072)</f>
        <v/>
      </c>
      <c r="BZ1073" s="11">
        <f>MIN(in_approval_cap,in_loan_home_approval*INDEX('Age profile'!$O$2:$O$61,B1073)*(1+in_approval_growth)^(D1073-1))</f>
        <v/>
      </c>
      <c r="CA1073" s="14">
        <f>F1073*BY1073*IF(B1073&gt;=in_marketplace_from,d_hz_loan_home*G1073,0)*BZ1073*in_loan_home_ticket*in_loan_home_comm</f>
        <v/>
      </c>
      <c r="CB1073" s="40">
        <f>CB1072*(1-IF(B1072&gt;=in_marketplace_from,d_hz_loan_lap*G1072,0)*CC1072)</f>
        <v/>
      </c>
      <c r="CC1073" s="11">
        <f>MIN(in_approval_cap,in_loan_lap_approval*INDEX('Age profile'!$O$2:$O$61,B1073)*(1+in_approval_growth)^(D1073-1))</f>
        <v/>
      </c>
      <c r="CD1073" s="14">
        <f>F1073*CB1073*IF(B1073&gt;=in_marketplace_from,d_hz_loan_lap*G1073,0)*CC1073*in_loan_lap_ticket*in_loan_lap_comm</f>
        <v/>
      </c>
      <c r="CE1073" s="14">
        <f>AA1073+AB1073+AC1073+AD1073+AG1073+AJ1073+AM1073+AP1073+AS1073+AU1073+AX1073+BB1073+BE1073+BG1073+BJ1073+BL1073+BO1073+BR1073+BT1073+BV1073+BX1073+CA1073+CD1073</f>
        <v/>
      </c>
    </row>
    <row r="1074">
      <c r="A1074" s="39" t="n">
        <v>22</v>
      </c>
      <c r="B1074" s="39" t="n">
        <v>23</v>
      </c>
      <c r="C1074" s="39">
        <f>A1074+B1074-1</f>
        <v/>
      </c>
      <c r="D1074" s="39">
        <f>INT((C1074-1)/12)+1</f>
        <v/>
      </c>
      <c r="E1074" s="44">
        <f>INDEX(Monthly!$B$2:$B$61,A1074)</f>
        <v/>
      </c>
      <c r="F1074" s="44">
        <f>E1074*INDEX('Age profile'!$B$2:$B$61,B1074)</f>
        <v/>
      </c>
      <c r="G1074" s="45">
        <f>MIN(in_takeup_cap,INDEX('Age profile'!$N$2:$N$61,B1074)*(1+in_takeup_growth)^(D1074-1))</f>
        <v/>
      </c>
      <c r="H1074" s="11">
        <f>MIN(in_approval_cap,in_approved_first*INDEX('Age profile'!$O$2:$O$61,B1074)*(1+in_approval_growth)^(D1074-1))</f>
        <v/>
      </c>
      <c r="I1074" s="45">
        <f>G1074*MIN(in_takeup_cap,INDEX('Age profile'!$O$2:$O$61,B1074)*(1+in_approval_growth)^(D1074-1))</f>
        <v/>
      </c>
      <c r="J1074" s="40">
        <f>(J1073-L1073)*F1074/F1073</f>
        <v/>
      </c>
      <c r="K1074" s="40">
        <f>(K1073-M1073)*F1074/F1073+SUMIFS(O1052:O1073,B1052:B1073,B1074-1-d_T)*F1074</f>
        <v/>
      </c>
      <c r="L1074" s="40">
        <f>IF(B1074&gt;=in_marketplace_from,J1074*d_hz*G1074*in_eligible*H1074,0)</f>
        <v/>
      </c>
      <c r="M1074" s="40">
        <f>IF(B1074&gt;=in_marketplace_from,K1074*d_hz*G1074*in_eligible*in_approved_repeat,0)</f>
        <v/>
      </c>
      <c r="N1074" s="40">
        <f>L1074+M1074</f>
        <v/>
      </c>
      <c r="O1074" s="46">
        <f>N1074/F1074</f>
        <v/>
      </c>
      <c r="P1074" s="40">
        <f>F1074-J1074-K1074</f>
        <v/>
      </c>
      <c r="Q1074" s="40">
        <f>IF(B1074&gt;=in_marketplace_from,(J1074+K1074)*d_hz*G1074,0)</f>
        <v/>
      </c>
      <c r="R1074" s="40">
        <f>SUMIFS(N1052:N1090,B1052:B1090,"&gt;="&amp;(B1074-d_T),B1052:B1090,"&lt;="&amp;(B1074-1))</f>
        <v/>
      </c>
      <c r="S1074" s="46">
        <f>(1-d_u)*S1073+IF(d_T&gt;in_topup_lag,SUMIFS(O1052:O1090,B1052:B1090,B1074-in_topup_lag)-d_udrop*SUMIFS(O1052:O1090,B1052:B1090,B1074-d_T),0)</f>
        <v/>
      </c>
      <c r="T1074" s="40">
        <f>F1074*d_u*S1074</f>
        <v/>
      </c>
      <c r="U1074" s="9">
        <f>L1074*in_ticket+M1074*d_rep_ticket</f>
        <v/>
      </c>
      <c r="V1074" s="9">
        <f>U1074+T1074*d_topup_amt</f>
        <v/>
      </c>
      <c r="W1074" s="40">
        <f>N1074+T1074*d_topup_ratio</f>
        <v/>
      </c>
      <c r="X1074" s="40">
        <f>SUMIFS(W1052:W1090,B1052:B1090,B1074-in_dpd_lag)*d_cured</f>
        <v/>
      </c>
      <c r="Y1074" s="40">
        <f>SUMIFS(W1052:W1090,B1052:B1090,B1074-in_rec_lag)*d_recd</f>
        <v/>
      </c>
      <c r="Z1074" s="40">
        <f>IF(AND(B1074&gt;=in_marketplace_from,B1074&lt;in_marketplace_from+in_card_months),in_card_share/in_card_months*F1074*I1074,IF(AND(B1074&gt;=in_marketplace_from+in_card_months,B1074&lt;in_marketplace_from+2*in_card_months),in_card_share*d_card_rem/in_card_months*F1074*MIN(in_takeup_cap,(1+in_takeup_growth)^(D1074-1))*MIN(in_takeup_cap,(1+in_approval_growth)^(D1074-1)),0))</f>
        <v/>
      </c>
      <c r="AA1074" s="14">
        <f>V1074*in_fee*(1-in_taken_back)</f>
        <v/>
      </c>
      <c r="AB1074" s="14">
        <f>SUMIFS(W1052:W1090,B1052:B1090,B1074-in_dpd_lag)*d_dpd</f>
        <v/>
      </c>
      <c r="AC1074" s="14">
        <f>SUMIFS(W1052:W1090,B1052:B1090,B1074-in_rec_lag)*d_rec</f>
        <v/>
      </c>
      <c r="AD1074" s="14">
        <f>Z1074*in_card_fee</f>
        <v/>
      </c>
      <c r="AE1074" s="40">
        <f>AE1073*(1-IF(B1073&gt;=in_marketplace_from,d_hz_hlth_small*G1073,0))</f>
        <v/>
      </c>
      <c r="AF1074" s="46">
        <f>AE1074*IF(B1074&gt;=in_marketplace_from,d_hz_hlth_small*G1074,0)</f>
        <v/>
      </c>
      <c r="AG1074" s="14">
        <f>F1074*AF1074*in_hlth_small_ticket*in_hlth_small_comm*in_ins_partner_share+F1074*in_hlth_small_ticket*in_hlth_small_renew_comm*in_ins_partner_share*(in_hlth_small_renew^1*SUMIFS(AF1052:AF1090,B1052:B1090,B1074-12)+in_hlth_small_renew^2*SUMIFS(AF1052:AF1090,B1052:B1090,B1074-24)+in_hlth_small_renew^3*SUMIFS(AF1052:AF1090,B1052:B1090,B1074-36)+in_hlth_small_renew^4*SUMIFS(AF1052:AF1090,B1052:B1090,B1074-48))</f>
        <v/>
      </c>
      <c r="AH1074" s="40">
        <f>AH1073*(1-IF(B1073&gt;=in_marketplace_from,d_hz_hlth_family*G1073,0))</f>
        <v/>
      </c>
      <c r="AI1074" s="46">
        <f>AH1074*IF(B1074&gt;=in_marketplace_from,d_hz_hlth_family*G1074,0)</f>
        <v/>
      </c>
      <c r="AJ1074" s="14">
        <f>F1074*AI1074*in_hlth_family_ticket*in_hlth_family_comm*in_ins_partner_share+F1074*in_hlth_family_ticket*in_hlth_family_renew_comm*in_ins_partner_share*(in_hlth_family_renew^1*SUMIFS(AI1052:AI1090,B1052:B1090,B1074-12)+in_hlth_family_renew^2*SUMIFS(AI1052:AI1090,B1052:B1090,B1074-24)+in_hlth_family_renew^3*SUMIFS(AI1052:AI1090,B1052:B1090,B1074-36)+in_hlth_family_renew^4*SUMIFS(AI1052:AI1090,B1052:B1090,B1074-48))</f>
        <v/>
      </c>
      <c r="AK1074" s="40">
        <f>AK1073*(1-IF(B1073&gt;=in_marketplace_from,d_hz_life_term*G1073,0))</f>
        <v/>
      </c>
      <c r="AL1074" s="46">
        <f>AK1074*IF(B1074&gt;=in_marketplace_from,d_hz_life_term*G1074,0)</f>
        <v/>
      </c>
      <c r="AM1074" s="14">
        <f>F1074*AL1074*in_life_term_ticket*in_life_term_comm*in_ins_partner_share+F1074*in_life_term_ticket*in_life_term_renew_comm*in_ins_partner_share*(in_life_term_renew^1*SUMIFS(AL1052:AL1090,B1052:B1090,B1074-12)+in_life_term_renew^2*SUMIFS(AL1052:AL1090,B1052:B1090,B1074-24)+in_life_term_renew^3*SUMIFS(AL1052:AL1090,B1052:B1090,B1074-36)+in_life_term_renew^4*SUMIFS(AL1052:AL1090,B1052:B1090,B1074-48))</f>
        <v/>
      </c>
      <c r="AN1074" s="40">
        <f>AN1073*(1-IF(B1073&gt;=in_marketplace_from,d_hz_accident*G1073,0))</f>
        <v/>
      </c>
      <c r="AO1074" s="46">
        <f>AN1074*IF(B1074&gt;=in_marketplace_from,d_hz_accident*G1074,0)</f>
        <v/>
      </c>
      <c r="AP1074" s="14">
        <f>F1074*AO1074*in_accident_ticket*in_accident_comm*in_ins_partner_share+F1074*in_accident_ticket*in_accident_renew_comm*in_ins_partner_share*(in_accident_renew^1*SUMIFS(AO1052:AO1090,B1052:B1090,B1074-12)+in_accident_renew^2*SUMIFS(AO1052:AO1090,B1052:B1090,B1074-24)+in_accident_renew^3*SUMIFS(AO1052:AO1090,B1052:B1090,B1074-36)+in_accident_renew^4*SUMIFS(AO1052:AO1090,B1052:B1090,B1074-48))</f>
        <v/>
      </c>
      <c r="AQ1074" s="40">
        <f>AQ1073*(1-IF(B1073&gt;=in_marketplace_from,d_hz_two_wheeler*G1073,0))</f>
        <v/>
      </c>
      <c r="AR1074" s="46">
        <f>AQ1074*IF(B1074&gt;=in_marketplace_from,d_hz_two_wheeler*G1074,0)</f>
        <v/>
      </c>
      <c r="AS1074" s="14">
        <f>F1074*AR1074*in_two_wheeler_ticket*in_two_wheeler_comm*in_ins_partner_share+F1074*in_two_wheeler_ticket*in_two_wheeler_comm*in_ins_partner_share*(in_two_wheeler_renew^1*SUMIFS(AR1052:AR1090,B1052:B1090,B1074-12)+in_two_wheeler_renew^2*SUMIFS(AR1052:AR1090,B1052:B1090,B1074-24)+in_two_wheeler_renew^3*SUMIFS(AR1052:AR1090,B1052:B1090,B1074-36)+in_two_wheeler_renew^4*SUMIFS(AR1052:AR1090,B1052:B1090,B1074-48))</f>
        <v/>
      </c>
      <c r="AT1074" s="40">
        <f>AT1073*(1-IF(B1073&gt;=in_marketplace_from,d_hz_device*G1073,0))</f>
        <v/>
      </c>
      <c r="AU1074" s="14">
        <f>F1074*AT1074*IF(B1074&gt;=in_marketplace_from,d_hz_device*G1074,0)*in_device_ticket*in_device_comm*in_ins_partner_share</f>
        <v/>
      </c>
      <c r="AV1074" s="40">
        <f>AV1073*(1-IF(B1073&gt;=in_marketplace_from,d_hz_shop*G1073,0))</f>
        <v/>
      </c>
      <c r="AW1074" s="46">
        <f>AV1074*IF(B1074&gt;=in_marketplace_from,d_hz_shop*G1074,0)</f>
        <v/>
      </c>
      <c r="AX1074" s="14">
        <f>F1074*AW1074*in_shop_ticket*in_shop_comm*in_ins_partner_share+F1074*in_shop_ticket*in_shop_renew_comm*in_ins_partner_share*(in_shop_renew^1*SUMIFS(AW1052:AW1090,B1052:B1090,B1074-12)+in_shop_renew^2*SUMIFS(AW1052:AW1090,B1052:B1090,B1074-24)+in_shop_renew^3*SUMIFS(AW1052:AW1090,B1052:B1090,B1074-36)+in_shop_renew^4*SUMIFS(AW1052:AW1090,B1052:B1090,B1074-48))</f>
        <v/>
      </c>
      <c r="AY1074" s="40">
        <f>AY1073*(1-IF(B1073&gt;=in_marketplace_from,d_hz_sip*G1073,0))</f>
        <v/>
      </c>
      <c r="AZ1074" s="40">
        <f>AZ1073*d_rho_sip+AY1074*IF(B1074&gt;=in_marketplace_from,d_hz_sip*G1074,0)</f>
        <v/>
      </c>
      <c r="BA1074" s="40">
        <f>d_rho_sip*(BA1073+AZ1073)</f>
        <v/>
      </c>
      <c r="BB1074" s="14">
        <f>F1074*in_sip_ticket*(BA1074+0.5*AZ1074)*in_sip_comm/12</f>
        <v/>
      </c>
      <c r="BC1074" s="40">
        <f>BC1073*(1-IF(B1073&gt;=in_marketplace_from,d_hz_choti*G1073,0))</f>
        <v/>
      </c>
      <c r="BD1074" s="46">
        <f>BC1074*IF(B1074&gt;=in_marketplace_from,d_hz_choti*G1074,0)</f>
        <v/>
      </c>
      <c r="BE1074" s="14">
        <f>F1074*SUMIFS(BD1052:BD1090,B1052:B1090,B1074-in_choti_months)*in_choti_renew*in_choti_ticket</f>
        <v/>
      </c>
      <c r="BF1074" s="40">
        <f>BF1073*(1-IF(B1073&gt;=in_marketplace_from,d_hz_nps*G1073,0))</f>
        <v/>
      </c>
      <c r="BG1074" s="14">
        <f>F1074*BF1074*IF(B1074&gt;=in_marketplace_from,d_hz_nps*G1074,0)*in_nps_ticket*in_nps_comm</f>
        <v/>
      </c>
      <c r="BH1074" s="40">
        <f>BH1073*(1-IF(B1073&gt;=in_marketplace_from,d_hz_gold*G1073,0))</f>
        <v/>
      </c>
      <c r="BI1074" s="40">
        <f>BI1073*d_rho_gold+BH1074*IF(B1074&gt;=in_marketplace_from,d_hz_gold*G1074,0)</f>
        <v/>
      </c>
      <c r="BJ1074" s="14">
        <f>F1074*BI1074*in_gold_ticket*in_gold_comm</f>
        <v/>
      </c>
      <c r="BK1074" s="40">
        <f>BK1073*(1-IF(B1073&gt;=in_marketplace_from,d_hz_fd*G1073,0))</f>
        <v/>
      </c>
      <c r="BL1074" s="14">
        <f>F1074*BK1074*IF(B1074&gt;=in_marketplace_from,d_hz_fd*G1074,0)*in_fd_ticket*in_fd_comm</f>
        <v/>
      </c>
      <c r="BM1074" s="40">
        <f>BM1073*(1-IF(B1073&gt;=in_marketplace_from,d_hz_recharge*G1073,0))</f>
        <v/>
      </c>
      <c r="BN1074" s="40">
        <f>BN1073*d_rho_recharge+BM1074*IF(B1074&gt;=in_marketplace_from,d_hz_recharge*G1074,0)</f>
        <v/>
      </c>
      <c r="BO1074" s="14">
        <f>F1074*BN1074*in_recharge_ticket*in_recharge_comm/12</f>
        <v/>
      </c>
      <c r="BP1074" s="40">
        <f>BP1073*(1-IF(B1073&gt;=in_marketplace_from,d_hz_bills*G1073,0))</f>
        <v/>
      </c>
      <c r="BQ1074" s="40">
        <f>BQ1073*d_rho_bills+BP1074*IF(B1074&gt;=in_marketplace_from,d_hz_bills*G1074,0)</f>
        <v/>
      </c>
      <c r="BR1074" s="14">
        <f>F1074*BQ1074*in_bills_ticket*in_bills_comm/12</f>
        <v/>
      </c>
      <c r="BS1074" s="40">
        <f>BS1073*(1-IF(B1073&gt;=in_marketplace_from,d_hz_loan_gold*G1073,0))</f>
        <v/>
      </c>
      <c r="BT1074" s="14">
        <f>F1074*BS1074*IF(B1074&gt;=in_marketplace_from,d_hz_loan_gold*G1074,0)*in_loan_gold_ticket*in_loan_gold_comm</f>
        <v/>
      </c>
      <c r="BU1074" s="40">
        <f>BU1073*(1-IF(B1073&gt;=in_marketplace_from,d_hz_loan_cd*G1073,0))</f>
        <v/>
      </c>
      <c r="BV1074" s="14">
        <f>F1074*BU1074*IF(B1074&gt;=in_marketplace_from,d_hz_loan_cd*G1074,0)*in_loan_cd_ticket*in_loan_cd_comm</f>
        <v/>
      </c>
      <c r="BW1074" s="40">
        <f>BW1073*(1-IF(B1073&gt;=in_marketplace_from,d_hz_loan_vehicle*G1073,0))</f>
        <v/>
      </c>
      <c r="BX1074" s="14">
        <f>F1074*BW1074*IF(B1074&gt;=in_marketplace_from,d_hz_loan_vehicle*G1074,0)*in_loan_vehicle_ticket*in_loan_vehicle_comm</f>
        <v/>
      </c>
      <c r="BY1074" s="40">
        <f>BY1073*(1-IF(B1073&gt;=in_marketplace_from,d_hz_loan_home*G1073,0)*BZ1073)</f>
        <v/>
      </c>
      <c r="BZ1074" s="11">
        <f>MIN(in_approval_cap,in_loan_home_approval*INDEX('Age profile'!$O$2:$O$61,B1074)*(1+in_approval_growth)^(D1074-1))</f>
        <v/>
      </c>
      <c r="CA1074" s="14">
        <f>F1074*BY1074*IF(B1074&gt;=in_marketplace_from,d_hz_loan_home*G1074,0)*BZ1074*in_loan_home_ticket*in_loan_home_comm</f>
        <v/>
      </c>
      <c r="CB1074" s="40">
        <f>CB1073*(1-IF(B1073&gt;=in_marketplace_from,d_hz_loan_lap*G1073,0)*CC1073)</f>
        <v/>
      </c>
      <c r="CC1074" s="11">
        <f>MIN(in_approval_cap,in_loan_lap_approval*INDEX('Age profile'!$O$2:$O$61,B1074)*(1+in_approval_growth)^(D1074-1))</f>
        <v/>
      </c>
      <c r="CD1074" s="14">
        <f>F1074*CB1074*IF(B1074&gt;=in_marketplace_from,d_hz_loan_lap*G1074,0)*CC1074*in_loan_lap_ticket*in_loan_lap_comm</f>
        <v/>
      </c>
      <c r="CE1074" s="14">
        <f>AA1074+AB1074+AC1074+AD1074+AG1074+AJ1074+AM1074+AP1074+AS1074+AU1074+AX1074+BB1074+BE1074+BG1074+BJ1074+BL1074+BO1074+BR1074+BT1074+BV1074+BX1074+CA1074+CD1074</f>
        <v/>
      </c>
    </row>
    <row r="1075">
      <c r="A1075" s="39" t="n">
        <v>22</v>
      </c>
      <c r="B1075" s="39" t="n">
        <v>24</v>
      </c>
      <c r="C1075" s="39">
        <f>A1075+B1075-1</f>
        <v/>
      </c>
      <c r="D1075" s="39">
        <f>INT((C1075-1)/12)+1</f>
        <v/>
      </c>
      <c r="E1075" s="44">
        <f>INDEX(Monthly!$B$2:$B$61,A1075)</f>
        <v/>
      </c>
      <c r="F1075" s="44">
        <f>E1075*INDEX('Age profile'!$B$2:$B$61,B1075)</f>
        <v/>
      </c>
      <c r="G1075" s="45">
        <f>MIN(in_takeup_cap,INDEX('Age profile'!$N$2:$N$61,B1075)*(1+in_takeup_growth)^(D1075-1))</f>
        <v/>
      </c>
      <c r="H1075" s="11">
        <f>MIN(in_approval_cap,in_approved_first*INDEX('Age profile'!$O$2:$O$61,B1075)*(1+in_approval_growth)^(D1075-1))</f>
        <v/>
      </c>
      <c r="I1075" s="45">
        <f>G1075*MIN(in_takeup_cap,INDEX('Age profile'!$O$2:$O$61,B1075)*(1+in_approval_growth)^(D1075-1))</f>
        <v/>
      </c>
      <c r="J1075" s="40">
        <f>(J1074-L1074)*F1075/F1074</f>
        <v/>
      </c>
      <c r="K1075" s="40">
        <f>(K1074-M1074)*F1075/F1074+SUMIFS(O1052:O1074,B1052:B1074,B1075-1-d_T)*F1075</f>
        <v/>
      </c>
      <c r="L1075" s="40">
        <f>IF(B1075&gt;=in_marketplace_from,J1075*d_hz*G1075*in_eligible*H1075,0)</f>
        <v/>
      </c>
      <c r="M1075" s="40">
        <f>IF(B1075&gt;=in_marketplace_from,K1075*d_hz*G1075*in_eligible*in_approved_repeat,0)</f>
        <v/>
      </c>
      <c r="N1075" s="40">
        <f>L1075+M1075</f>
        <v/>
      </c>
      <c r="O1075" s="46">
        <f>N1075/F1075</f>
        <v/>
      </c>
      <c r="P1075" s="40">
        <f>F1075-J1075-K1075</f>
        <v/>
      </c>
      <c r="Q1075" s="40">
        <f>IF(B1075&gt;=in_marketplace_from,(J1075+K1075)*d_hz*G1075,0)</f>
        <v/>
      </c>
      <c r="R1075" s="40">
        <f>SUMIFS(N1052:N1090,B1052:B1090,"&gt;="&amp;(B1075-d_T),B1052:B1090,"&lt;="&amp;(B1075-1))</f>
        <v/>
      </c>
      <c r="S1075" s="46">
        <f>(1-d_u)*S1074+IF(d_T&gt;in_topup_lag,SUMIFS(O1052:O1090,B1052:B1090,B1075-in_topup_lag)-d_udrop*SUMIFS(O1052:O1090,B1052:B1090,B1075-d_T),0)</f>
        <v/>
      </c>
      <c r="T1075" s="40">
        <f>F1075*d_u*S1075</f>
        <v/>
      </c>
      <c r="U1075" s="9">
        <f>L1075*in_ticket+M1075*d_rep_ticket</f>
        <v/>
      </c>
      <c r="V1075" s="9">
        <f>U1075+T1075*d_topup_amt</f>
        <v/>
      </c>
      <c r="W1075" s="40">
        <f>N1075+T1075*d_topup_ratio</f>
        <v/>
      </c>
      <c r="X1075" s="40">
        <f>SUMIFS(W1052:W1090,B1052:B1090,B1075-in_dpd_lag)*d_cured</f>
        <v/>
      </c>
      <c r="Y1075" s="40">
        <f>SUMIFS(W1052:W1090,B1052:B1090,B1075-in_rec_lag)*d_recd</f>
        <v/>
      </c>
      <c r="Z1075" s="40">
        <f>IF(AND(B1075&gt;=in_marketplace_from,B1075&lt;in_marketplace_from+in_card_months),in_card_share/in_card_months*F1075*I1075,IF(AND(B1075&gt;=in_marketplace_from+in_card_months,B1075&lt;in_marketplace_from+2*in_card_months),in_card_share*d_card_rem/in_card_months*F1075*MIN(in_takeup_cap,(1+in_takeup_growth)^(D1075-1))*MIN(in_takeup_cap,(1+in_approval_growth)^(D1075-1)),0))</f>
        <v/>
      </c>
      <c r="AA1075" s="14">
        <f>V1075*in_fee*(1-in_taken_back)</f>
        <v/>
      </c>
      <c r="AB1075" s="14">
        <f>SUMIFS(W1052:W1090,B1052:B1090,B1075-in_dpd_lag)*d_dpd</f>
        <v/>
      </c>
      <c r="AC1075" s="14">
        <f>SUMIFS(W1052:W1090,B1052:B1090,B1075-in_rec_lag)*d_rec</f>
        <v/>
      </c>
      <c r="AD1075" s="14">
        <f>Z1075*in_card_fee</f>
        <v/>
      </c>
      <c r="AE1075" s="40">
        <f>AE1074*(1-IF(B1074&gt;=in_marketplace_from,d_hz_hlth_small*G1074,0))</f>
        <v/>
      </c>
      <c r="AF1075" s="46">
        <f>AE1075*IF(B1075&gt;=in_marketplace_from,d_hz_hlth_small*G1075,0)</f>
        <v/>
      </c>
      <c r="AG1075" s="14">
        <f>F1075*AF1075*in_hlth_small_ticket*in_hlth_small_comm*in_ins_partner_share+F1075*in_hlth_small_ticket*in_hlth_small_renew_comm*in_ins_partner_share*(in_hlth_small_renew^1*SUMIFS(AF1052:AF1090,B1052:B1090,B1075-12)+in_hlth_small_renew^2*SUMIFS(AF1052:AF1090,B1052:B1090,B1075-24)+in_hlth_small_renew^3*SUMIFS(AF1052:AF1090,B1052:B1090,B1075-36)+in_hlth_small_renew^4*SUMIFS(AF1052:AF1090,B1052:B1090,B1075-48))</f>
        <v/>
      </c>
      <c r="AH1075" s="40">
        <f>AH1074*(1-IF(B1074&gt;=in_marketplace_from,d_hz_hlth_family*G1074,0))</f>
        <v/>
      </c>
      <c r="AI1075" s="46">
        <f>AH1075*IF(B1075&gt;=in_marketplace_from,d_hz_hlth_family*G1075,0)</f>
        <v/>
      </c>
      <c r="AJ1075" s="14">
        <f>F1075*AI1075*in_hlth_family_ticket*in_hlth_family_comm*in_ins_partner_share+F1075*in_hlth_family_ticket*in_hlth_family_renew_comm*in_ins_partner_share*(in_hlth_family_renew^1*SUMIFS(AI1052:AI1090,B1052:B1090,B1075-12)+in_hlth_family_renew^2*SUMIFS(AI1052:AI1090,B1052:B1090,B1075-24)+in_hlth_family_renew^3*SUMIFS(AI1052:AI1090,B1052:B1090,B1075-36)+in_hlth_family_renew^4*SUMIFS(AI1052:AI1090,B1052:B1090,B1075-48))</f>
        <v/>
      </c>
      <c r="AK1075" s="40">
        <f>AK1074*(1-IF(B1074&gt;=in_marketplace_from,d_hz_life_term*G1074,0))</f>
        <v/>
      </c>
      <c r="AL1075" s="46">
        <f>AK1075*IF(B1075&gt;=in_marketplace_from,d_hz_life_term*G1075,0)</f>
        <v/>
      </c>
      <c r="AM1075" s="14">
        <f>F1075*AL1075*in_life_term_ticket*in_life_term_comm*in_ins_partner_share+F1075*in_life_term_ticket*in_life_term_renew_comm*in_ins_partner_share*(in_life_term_renew^1*SUMIFS(AL1052:AL1090,B1052:B1090,B1075-12)+in_life_term_renew^2*SUMIFS(AL1052:AL1090,B1052:B1090,B1075-24)+in_life_term_renew^3*SUMIFS(AL1052:AL1090,B1052:B1090,B1075-36)+in_life_term_renew^4*SUMIFS(AL1052:AL1090,B1052:B1090,B1075-48))</f>
        <v/>
      </c>
      <c r="AN1075" s="40">
        <f>AN1074*(1-IF(B1074&gt;=in_marketplace_from,d_hz_accident*G1074,0))</f>
        <v/>
      </c>
      <c r="AO1075" s="46">
        <f>AN1075*IF(B1075&gt;=in_marketplace_from,d_hz_accident*G1075,0)</f>
        <v/>
      </c>
      <c r="AP1075" s="14">
        <f>F1075*AO1075*in_accident_ticket*in_accident_comm*in_ins_partner_share+F1075*in_accident_ticket*in_accident_renew_comm*in_ins_partner_share*(in_accident_renew^1*SUMIFS(AO1052:AO1090,B1052:B1090,B1075-12)+in_accident_renew^2*SUMIFS(AO1052:AO1090,B1052:B1090,B1075-24)+in_accident_renew^3*SUMIFS(AO1052:AO1090,B1052:B1090,B1075-36)+in_accident_renew^4*SUMIFS(AO1052:AO1090,B1052:B1090,B1075-48))</f>
        <v/>
      </c>
      <c r="AQ1075" s="40">
        <f>AQ1074*(1-IF(B1074&gt;=in_marketplace_from,d_hz_two_wheeler*G1074,0))</f>
        <v/>
      </c>
      <c r="AR1075" s="46">
        <f>AQ1075*IF(B1075&gt;=in_marketplace_from,d_hz_two_wheeler*G1075,0)</f>
        <v/>
      </c>
      <c r="AS1075" s="14">
        <f>F1075*AR1075*in_two_wheeler_ticket*in_two_wheeler_comm*in_ins_partner_share+F1075*in_two_wheeler_ticket*in_two_wheeler_comm*in_ins_partner_share*(in_two_wheeler_renew^1*SUMIFS(AR1052:AR1090,B1052:B1090,B1075-12)+in_two_wheeler_renew^2*SUMIFS(AR1052:AR1090,B1052:B1090,B1075-24)+in_two_wheeler_renew^3*SUMIFS(AR1052:AR1090,B1052:B1090,B1075-36)+in_two_wheeler_renew^4*SUMIFS(AR1052:AR1090,B1052:B1090,B1075-48))</f>
        <v/>
      </c>
      <c r="AT1075" s="40">
        <f>AT1074*(1-IF(B1074&gt;=in_marketplace_from,d_hz_device*G1074,0))</f>
        <v/>
      </c>
      <c r="AU1075" s="14">
        <f>F1075*AT1075*IF(B1075&gt;=in_marketplace_from,d_hz_device*G1075,0)*in_device_ticket*in_device_comm*in_ins_partner_share</f>
        <v/>
      </c>
      <c r="AV1075" s="40">
        <f>AV1074*(1-IF(B1074&gt;=in_marketplace_from,d_hz_shop*G1074,0))</f>
        <v/>
      </c>
      <c r="AW1075" s="46">
        <f>AV1075*IF(B1075&gt;=in_marketplace_from,d_hz_shop*G1075,0)</f>
        <v/>
      </c>
      <c r="AX1075" s="14">
        <f>F1075*AW1075*in_shop_ticket*in_shop_comm*in_ins_partner_share+F1075*in_shop_ticket*in_shop_renew_comm*in_ins_partner_share*(in_shop_renew^1*SUMIFS(AW1052:AW1090,B1052:B1090,B1075-12)+in_shop_renew^2*SUMIFS(AW1052:AW1090,B1052:B1090,B1075-24)+in_shop_renew^3*SUMIFS(AW1052:AW1090,B1052:B1090,B1075-36)+in_shop_renew^4*SUMIFS(AW1052:AW1090,B1052:B1090,B1075-48))</f>
        <v/>
      </c>
      <c r="AY1075" s="40">
        <f>AY1074*(1-IF(B1074&gt;=in_marketplace_from,d_hz_sip*G1074,0))</f>
        <v/>
      </c>
      <c r="AZ1075" s="40">
        <f>AZ1074*d_rho_sip+AY1075*IF(B1075&gt;=in_marketplace_from,d_hz_sip*G1075,0)</f>
        <v/>
      </c>
      <c r="BA1075" s="40">
        <f>d_rho_sip*(BA1074+AZ1074)</f>
        <v/>
      </c>
      <c r="BB1075" s="14">
        <f>F1075*in_sip_ticket*(BA1075+0.5*AZ1075)*in_sip_comm/12</f>
        <v/>
      </c>
      <c r="BC1075" s="40">
        <f>BC1074*(1-IF(B1074&gt;=in_marketplace_from,d_hz_choti*G1074,0))</f>
        <v/>
      </c>
      <c r="BD1075" s="46">
        <f>BC1075*IF(B1075&gt;=in_marketplace_from,d_hz_choti*G1075,0)</f>
        <v/>
      </c>
      <c r="BE1075" s="14">
        <f>F1075*SUMIFS(BD1052:BD1090,B1052:B1090,B1075-in_choti_months)*in_choti_renew*in_choti_ticket</f>
        <v/>
      </c>
      <c r="BF1075" s="40">
        <f>BF1074*(1-IF(B1074&gt;=in_marketplace_from,d_hz_nps*G1074,0))</f>
        <v/>
      </c>
      <c r="BG1075" s="14">
        <f>F1075*BF1075*IF(B1075&gt;=in_marketplace_from,d_hz_nps*G1075,0)*in_nps_ticket*in_nps_comm</f>
        <v/>
      </c>
      <c r="BH1075" s="40">
        <f>BH1074*(1-IF(B1074&gt;=in_marketplace_from,d_hz_gold*G1074,0))</f>
        <v/>
      </c>
      <c r="BI1075" s="40">
        <f>BI1074*d_rho_gold+BH1075*IF(B1075&gt;=in_marketplace_from,d_hz_gold*G1075,0)</f>
        <v/>
      </c>
      <c r="BJ1075" s="14">
        <f>F1075*BI1075*in_gold_ticket*in_gold_comm</f>
        <v/>
      </c>
      <c r="BK1075" s="40">
        <f>BK1074*(1-IF(B1074&gt;=in_marketplace_from,d_hz_fd*G1074,0))</f>
        <v/>
      </c>
      <c r="BL1075" s="14">
        <f>F1075*BK1075*IF(B1075&gt;=in_marketplace_from,d_hz_fd*G1075,0)*in_fd_ticket*in_fd_comm</f>
        <v/>
      </c>
      <c r="BM1075" s="40">
        <f>BM1074*(1-IF(B1074&gt;=in_marketplace_from,d_hz_recharge*G1074,0))</f>
        <v/>
      </c>
      <c r="BN1075" s="40">
        <f>BN1074*d_rho_recharge+BM1075*IF(B1075&gt;=in_marketplace_from,d_hz_recharge*G1075,0)</f>
        <v/>
      </c>
      <c r="BO1075" s="14">
        <f>F1075*BN1075*in_recharge_ticket*in_recharge_comm/12</f>
        <v/>
      </c>
      <c r="BP1075" s="40">
        <f>BP1074*(1-IF(B1074&gt;=in_marketplace_from,d_hz_bills*G1074,0))</f>
        <v/>
      </c>
      <c r="BQ1075" s="40">
        <f>BQ1074*d_rho_bills+BP1075*IF(B1075&gt;=in_marketplace_from,d_hz_bills*G1075,0)</f>
        <v/>
      </c>
      <c r="BR1075" s="14">
        <f>F1075*BQ1075*in_bills_ticket*in_bills_comm/12</f>
        <v/>
      </c>
      <c r="BS1075" s="40">
        <f>BS1074*(1-IF(B1074&gt;=in_marketplace_from,d_hz_loan_gold*G1074,0))</f>
        <v/>
      </c>
      <c r="BT1075" s="14">
        <f>F1075*BS1075*IF(B1075&gt;=in_marketplace_from,d_hz_loan_gold*G1075,0)*in_loan_gold_ticket*in_loan_gold_comm</f>
        <v/>
      </c>
      <c r="BU1075" s="40">
        <f>BU1074*(1-IF(B1074&gt;=in_marketplace_from,d_hz_loan_cd*G1074,0))</f>
        <v/>
      </c>
      <c r="BV1075" s="14">
        <f>F1075*BU1075*IF(B1075&gt;=in_marketplace_from,d_hz_loan_cd*G1075,0)*in_loan_cd_ticket*in_loan_cd_comm</f>
        <v/>
      </c>
      <c r="BW1075" s="40">
        <f>BW1074*(1-IF(B1074&gt;=in_marketplace_from,d_hz_loan_vehicle*G1074,0))</f>
        <v/>
      </c>
      <c r="BX1075" s="14">
        <f>F1075*BW1075*IF(B1075&gt;=in_marketplace_from,d_hz_loan_vehicle*G1075,0)*in_loan_vehicle_ticket*in_loan_vehicle_comm</f>
        <v/>
      </c>
      <c r="BY1075" s="40">
        <f>BY1074*(1-IF(B1074&gt;=in_marketplace_from,d_hz_loan_home*G1074,0)*BZ1074)</f>
        <v/>
      </c>
      <c r="BZ1075" s="11">
        <f>MIN(in_approval_cap,in_loan_home_approval*INDEX('Age profile'!$O$2:$O$61,B1075)*(1+in_approval_growth)^(D1075-1))</f>
        <v/>
      </c>
      <c r="CA1075" s="14">
        <f>F1075*BY1075*IF(B1075&gt;=in_marketplace_from,d_hz_loan_home*G1075,0)*BZ1075*in_loan_home_ticket*in_loan_home_comm</f>
        <v/>
      </c>
      <c r="CB1075" s="40">
        <f>CB1074*(1-IF(B1074&gt;=in_marketplace_from,d_hz_loan_lap*G1074,0)*CC1074)</f>
        <v/>
      </c>
      <c r="CC1075" s="11">
        <f>MIN(in_approval_cap,in_loan_lap_approval*INDEX('Age profile'!$O$2:$O$61,B1075)*(1+in_approval_growth)^(D1075-1))</f>
        <v/>
      </c>
      <c r="CD1075" s="14">
        <f>F1075*CB1075*IF(B1075&gt;=in_marketplace_from,d_hz_loan_lap*G1075,0)*CC1075*in_loan_lap_ticket*in_loan_lap_comm</f>
        <v/>
      </c>
      <c r="CE1075" s="14">
        <f>AA1075+AB1075+AC1075+AD1075+AG1075+AJ1075+AM1075+AP1075+AS1075+AU1075+AX1075+BB1075+BE1075+BG1075+BJ1075+BL1075+BO1075+BR1075+BT1075+BV1075+BX1075+CA1075+CD1075</f>
        <v/>
      </c>
    </row>
    <row r="1076">
      <c r="A1076" s="39" t="n">
        <v>22</v>
      </c>
      <c r="B1076" s="39" t="n">
        <v>25</v>
      </c>
      <c r="C1076" s="39">
        <f>A1076+B1076-1</f>
        <v/>
      </c>
      <c r="D1076" s="39">
        <f>INT((C1076-1)/12)+1</f>
        <v/>
      </c>
      <c r="E1076" s="44">
        <f>INDEX(Monthly!$B$2:$B$61,A1076)</f>
        <v/>
      </c>
      <c r="F1076" s="44">
        <f>E1076*INDEX('Age profile'!$B$2:$B$61,B1076)</f>
        <v/>
      </c>
      <c r="G1076" s="45">
        <f>MIN(in_takeup_cap,INDEX('Age profile'!$N$2:$N$61,B1076)*(1+in_takeup_growth)^(D1076-1))</f>
        <v/>
      </c>
      <c r="H1076" s="11">
        <f>MIN(in_approval_cap,in_approved_first*INDEX('Age profile'!$O$2:$O$61,B1076)*(1+in_approval_growth)^(D1076-1))</f>
        <v/>
      </c>
      <c r="I1076" s="45">
        <f>G1076*MIN(in_takeup_cap,INDEX('Age profile'!$O$2:$O$61,B1076)*(1+in_approval_growth)^(D1076-1))</f>
        <v/>
      </c>
      <c r="J1076" s="40">
        <f>(J1075-L1075)*F1076/F1075</f>
        <v/>
      </c>
      <c r="K1076" s="40">
        <f>(K1075-M1075)*F1076/F1075+SUMIFS(O1052:O1075,B1052:B1075,B1076-1-d_T)*F1076</f>
        <v/>
      </c>
      <c r="L1076" s="40">
        <f>IF(B1076&gt;=in_marketplace_from,J1076*d_hz*G1076*in_eligible*H1076,0)</f>
        <v/>
      </c>
      <c r="M1076" s="40">
        <f>IF(B1076&gt;=in_marketplace_from,K1076*d_hz*G1076*in_eligible*in_approved_repeat,0)</f>
        <v/>
      </c>
      <c r="N1076" s="40">
        <f>L1076+M1076</f>
        <v/>
      </c>
      <c r="O1076" s="46">
        <f>N1076/F1076</f>
        <v/>
      </c>
      <c r="P1076" s="40">
        <f>F1076-J1076-K1076</f>
        <v/>
      </c>
      <c r="Q1076" s="40">
        <f>IF(B1076&gt;=in_marketplace_from,(J1076+K1076)*d_hz*G1076,0)</f>
        <v/>
      </c>
      <c r="R1076" s="40">
        <f>SUMIFS(N1052:N1090,B1052:B1090,"&gt;="&amp;(B1076-d_T),B1052:B1090,"&lt;="&amp;(B1076-1))</f>
        <v/>
      </c>
      <c r="S1076" s="46">
        <f>(1-d_u)*S1075+IF(d_T&gt;in_topup_lag,SUMIFS(O1052:O1090,B1052:B1090,B1076-in_topup_lag)-d_udrop*SUMIFS(O1052:O1090,B1052:B1090,B1076-d_T),0)</f>
        <v/>
      </c>
      <c r="T1076" s="40">
        <f>F1076*d_u*S1076</f>
        <v/>
      </c>
      <c r="U1076" s="9">
        <f>L1076*in_ticket+M1076*d_rep_ticket</f>
        <v/>
      </c>
      <c r="V1076" s="9">
        <f>U1076+T1076*d_topup_amt</f>
        <v/>
      </c>
      <c r="W1076" s="40">
        <f>N1076+T1076*d_topup_ratio</f>
        <v/>
      </c>
      <c r="X1076" s="40">
        <f>SUMIFS(W1052:W1090,B1052:B1090,B1076-in_dpd_lag)*d_cured</f>
        <v/>
      </c>
      <c r="Y1076" s="40">
        <f>SUMIFS(W1052:W1090,B1052:B1090,B1076-in_rec_lag)*d_recd</f>
        <v/>
      </c>
      <c r="Z1076" s="40">
        <f>IF(AND(B1076&gt;=in_marketplace_from,B1076&lt;in_marketplace_from+in_card_months),in_card_share/in_card_months*F1076*I1076,IF(AND(B1076&gt;=in_marketplace_from+in_card_months,B1076&lt;in_marketplace_from+2*in_card_months),in_card_share*d_card_rem/in_card_months*F1076*MIN(in_takeup_cap,(1+in_takeup_growth)^(D1076-1))*MIN(in_takeup_cap,(1+in_approval_growth)^(D1076-1)),0))</f>
        <v/>
      </c>
      <c r="AA1076" s="14">
        <f>V1076*in_fee*(1-in_taken_back)</f>
        <v/>
      </c>
      <c r="AB1076" s="14">
        <f>SUMIFS(W1052:W1090,B1052:B1090,B1076-in_dpd_lag)*d_dpd</f>
        <v/>
      </c>
      <c r="AC1076" s="14">
        <f>SUMIFS(W1052:W1090,B1052:B1090,B1076-in_rec_lag)*d_rec</f>
        <v/>
      </c>
      <c r="AD1076" s="14">
        <f>Z1076*in_card_fee</f>
        <v/>
      </c>
      <c r="AE1076" s="40">
        <f>AE1075*(1-IF(B1075&gt;=in_marketplace_from,d_hz_hlth_small*G1075,0))</f>
        <v/>
      </c>
      <c r="AF1076" s="46">
        <f>AE1076*IF(B1076&gt;=in_marketplace_from,d_hz_hlth_small*G1076,0)</f>
        <v/>
      </c>
      <c r="AG1076" s="14">
        <f>F1076*AF1076*in_hlth_small_ticket*in_hlth_small_comm*in_ins_partner_share+F1076*in_hlth_small_ticket*in_hlth_small_renew_comm*in_ins_partner_share*(in_hlth_small_renew^1*SUMIFS(AF1052:AF1090,B1052:B1090,B1076-12)+in_hlth_small_renew^2*SUMIFS(AF1052:AF1090,B1052:B1090,B1076-24)+in_hlth_small_renew^3*SUMIFS(AF1052:AF1090,B1052:B1090,B1076-36)+in_hlth_small_renew^4*SUMIFS(AF1052:AF1090,B1052:B1090,B1076-48))</f>
        <v/>
      </c>
      <c r="AH1076" s="40">
        <f>AH1075*(1-IF(B1075&gt;=in_marketplace_from,d_hz_hlth_family*G1075,0))</f>
        <v/>
      </c>
      <c r="AI1076" s="46">
        <f>AH1076*IF(B1076&gt;=in_marketplace_from,d_hz_hlth_family*G1076,0)</f>
        <v/>
      </c>
      <c r="AJ1076" s="14">
        <f>F1076*AI1076*in_hlth_family_ticket*in_hlth_family_comm*in_ins_partner_share+F1076*in_hlth_family_ticket*in_hlth_family_renew_comm*in_ins_partner_share*(in_hlth_family_renew^1*SUMIFS(AI1052:AI1090,B1052:B1090,B1076-12)+in_hlth_family_renew^2*SUMIFS(AI1052:AI1090,B1052:B1090,B1076-24)+in_hlth_family_renew^3*SUMIFS(AI1052:AI1090,B1052:B1090,B1076-36)+in_hlth_family_renew^4*SUMIFS(AI1052:AI1090,B1052:B1090,B1076-48))</f>
        <v/>
      </c>
      <c r="AK1076" s="40">
        <f>AK1075*(1-IF(B1075&gt;=in_marketplace_from,d_hz_life_term*G1075,0))</f>
        <v/>
      </c>
      <c r="AL1076" s="46">
        <f>AK1076*IF(B1076&gt;=in_marketplace_from,d_hz_life_term*G1076,0)</f>
        <v/>
      </c>
      <c r="AM1076" s="14">
        <f>F1076*AL1076*in_life_term_ticket*in_life_term_comm*in_ins_partner_share+F1076*in_life_term_ticket*in_life_term_renew_comm*in_ins_partner_share*(in_life_term_renew^1*SUMIFS(AL1052:AL1090,B1052:B1090,B1076-12)+in_life_term_renew^2*SUMIFS(AL1052:AL1090,B1052:B1090,B1076-24)+in_life_term_renew^3*SUMIFS(AL1052:AL1090,B1052:B1090,B1076-36)+in_life_term_renew^4*SUMIFS(AL1052:AL1090,B1052:B1090,B1076-48))</f>
        <v/>
      </c>
      <c r="AN1076" s="40">
        <f>AN1075*(1-IF(B1075&gt;=in_marketplace_from,d_hz_accident*G1075,0))</f>
        <v/>
      </c>
      <c r="AO1076" s="46">
        <f>AN1076*IF(B1076&gt;=in_marketplace_from,d_hz_accident*G1076,0)</f>
        <v/>
      </c>
      <c r="AP1076" s="14">
        <f>F1076*AO1076*in_accident_ticket*in_accident_comm*in_ins_partner_share+F1076*in_accident_ticket*in_accident_renew_comm*in_ins_partner_share*(in_accident_renew^1*SUMIFS(AO1052:AO1090,B1052:B1090,B1076-12)+in_accident_renew^2*SUMIFS(AO1052:AO1090,B1052:B1090,B1076-24)+in_accident_renew^3*SUMIFS(AO1052:AO1090,B1052:B1090,B1076-36)+in_accident_renew^4*SUMIFS(AO1052:AO1090,B1052:B1090,B1076-48))</f>
        <v/>
      </c>
      <c r="AQ1076" s="40">
        <f>AQ1075*(1-IF(B1075&gt;=in_marketplace_from,d_hz_two_wheeler*G1075,0))</f>
        <v/>
      </c>
      <c r="AR1076" s="46">
        <f>AQ1076*IF(B1076&gt;=in_marketplace_from,d_hz_two_wheeler*G1076,0)</f>
        <v/>
      </c>
      <c r="AS1076" s="14">
        <f>F1076*AR1076*in_two_wheeler_ticket*in_two_wheeler_comm*in_ins_partner_share+F1076*in_two_wheeler_ticket*in_two_wheeler_comm*in_ins_partner_share*(in_two_wheeler_renew^1*SUMIFS(AR1052:AR1090,B1052:B1090,B1076-12)+in_two_wheeler_renew^2*SUMIFS(AR1052:AR1090,B1052:B1090,B1076-24)+in_two_wheeler_renew^3*SUMIFS(AR1052:AR1090,B1052:B1090,B1076-36)+in_two_wheeler_renew^4*SUMIFS(AR1052:AR1090,B1052:B1090,B1076-48))</f>
        <v/>
      </c>
      <c r="AT1076" s="40">
        <f>AT1075*(1-IF(B1075&gt;=in_marketplace_from,d_hz_device*G1075,0))</f>
        <v/>
      </c>
      <c r="AU1076" s="14">
        <f>F1076*AT1076*IF(B1076&gt;=in_marketplace_from,d_hz_device*G1076,0)*in_device_ticket*in_device_comm*in_ins_partner_share</f>
        <v/>
      </c>
      <c r="AV1076" s="40">
        <f>AV1075*(1-IF(B1075&gt;=in_marketplace_from,d_hz_shop*G1075,0))</f>
        <v/>
      </c>
      <c r="AW1076" s="46">
        <f>AV1076*IF(B1076&gt;=in_marketplace_from,d_hz_shop*G1076,0)</f>
        <v/>
      </c>
      <c r="AX1076" s="14">
        <f>F1076*AW1076*in_shop_ticket*in_shop_comm*in_ins_partner_share+F1076*in_shop_ticket*in_shop_renew_comm*in_ins_partner_share*(in_shop_renew^1*SUMIFS(AW1052:AW1090,B1052:B1090,B1076-12)+in_shop_renew^2*SUMIFS(AW1052:AW1090,B1052:B1090,B1076-24)+in_shop_renew^3*SUMIFS(AW1052:AW1090,B1052:B1090,B1076-36)+in_shop_renew^4*SUMIFS(AW1052:AW1090,B1052:B1090,B1076-48))</f>
        <v/>
      </c>
      <c r="AY1076" s="40">
        <f>AY1075*(1-IF(B1075&gt;=in_marketplace_from,d_hz_sip*G1075,0))</f>
        <v/>
      </c>
      <c r="AZ1076" s="40">
        <f>AZ1075*d_rho_sip+AY1076*IF(B1076&gt;=in_marketplace_from,d_hz_sip*G1076,0)</f>
        <v/>
      </c>
      <c r="BA1076" s="40">
        <f>d_rho_sip*(BA1075+AZ1075)</f>
        <v/>
      </c>
      <c r="BB1076" s="14">
        <f>F1076*in_sip_ticket*(BA1076+0.5*AZ1076)*in_sip_comm/12</f>
        <v/>
      </c>
      <c r="BC1076" s="40">
        <f>BC1075*(1-IF(B1075&gt;=in_marketplace_from,d_hz_choti*G1075,0))</f>
        <v/>
      </c>
      <c r="BD1076" s="46">
        <f>BC1076*IF(B1076&gt;=in_marketplace_from,d_hz_choti*G1076,0)</f>
        <v/>
      </c>
      <c r="BE1076" s="14">
        <f>F1076*SUMIFS(BD1052:BD1090,B1052:B1090,B1076-in_choti_months)*in_choti_renew*in_choti_ticket</f>
        <v/>
      </c>
      <c r="BF1076" s="40">
        <f>BF1075*(1-IF(B1075&gt;=in_marketplace_from,d_hz_nps*G1075,0))</f>
        <v/>
      </c>
      <c r="BG1076" s="14">
        <f>F1076*BF1076*IF(B1076&gt;=in_marketplace_from,d_hz_nps*G1076,0)*in_nps_ticket*in_nps_comm</f>
        <v/>
      </c>
      <c r="BH1076" s="40">
        <f>BH1075*(1-IF(B1075&gt;=in_marketplace_from,d_hz_gold*G1075,0))</f>
        <v/>
      </c>
      <c r="BI1076" s="40">
        <f>BI1075*d_rho_gold+BH1076*IF(B1076&gt;=in_marketplace_from,d_hz_gold*G1076,0)</f>
        <v/>
      </c>
      <c r="BJ1076" s="14">
        <f>F1076*BI1076*in_gold_ticket*in_gold_comm</f>
        <v/>
      </c>
      <c r="BK1076" s="40">
        <f>BK1075*(1-IF(B1075&gt;=in_marketplace_from,d_hz_fd*G1075,0))</f>
        <v/>
      </c>
      <c r="BL1076" s="14">
        <f>F1076*BK1076*IF(B1076&gt;=in_marketplace_from,d_hz_fd*G1076,0)*in_fd_ticket*in_fd_comm</f>
        <v/>
      </c>
      <c r="BM1076" s="40">
        <f>BM1075*(1-IF(B1075&gt;=in_marketplace_from,d_hz_recharge*G1075,0))</f>
        <v/>
      </c>
      <c r="BN1076" s="40">
        <f>BN1075*d_rho_recharge+BM1076*IF(B1076&gt;=in_marketplace_from,d_hz_recharge*G1076,0)</f>
        <v/>
      </c>
      <c r="BO1076" s="14">
        <f>F1076*BN1076*in_recharge_ticket*in_recharge_comm/12</f>
        <v/>
      </c>
      <c r="BP1076" s="40">
        <f>BP1075*(1-IF(B1075&gt;=in_marketplace_from,d_hz_bills*G1075,0))</f>
        <v/>
      </c>
      <c r="BQ1076" s="40">
        <f>BQ1075*d_rho_bills+BP1076*IF(B1076&gt;=in_marketplace_from,d_hz_bills*G1076,0)</f>
        <v/>
      </c>
      <c r="BR1076" s="14">
        <f>F1076*BQ1076*in_bills_ticket*in_bills_comm/12</f>
        <v/>
      </c>
      <c r="BS1076" s="40">
        <f>BS1075*(1-IF(B1075&gt;=in_marketplace_from,d_hz_loan_gold*G1075,0))</f>
        <v/>
      </c>
      <c r="BT1076" s="14">
        <f>F1076*BS1076*IF(B1076&gt;=in_marketplace_from,d_hz_loan_gold*G1076,0)*in_loan_gold_ticket*in_loan_gold_comm</f>
        <v/>
      </c>
      <c r="BU1076" s="40">
        <f>BU1075*(1-IF(B1075&gt;=in_marketplace_from,d_hz_loan_cd*G1075,0))</f>
        <v/>
      </c>
      <c r="BV1076" s="14">
        <f>F1076*BU1076*IF(B1076&gt;=in_marketplace_from,d_hz_loan_cd*G1076,0)*in_loan_cd_ticket*in_loan_cd_comm</f>
        <v/>
      </c>
      <c r="BW1076" s="40">
        <f>BW1075*(1-IF(B1075&gt;=in_marketplace_from,d_hz_loan_vehicle*G1075,0))</f>
        <v/>
      </c>
      <c r="BX1076" s="14">
        <f>F1076*BW1076*IF(B1076&gt;=in_marketplace_from,d_hz_loan_vehicle*G1076,0)*in_loan_vehicle_ticket*in_loan_vehicle_comm</f>
        <v/>
      </c>
      <c r="BY1076" s="40">
        <f>BY1075*(1-IF(B1075&gt;=in_marketplace_from,d_hz_loan_home*G1075,0)*BZ1075)</f>
        <v/>
      </c>
      <c r="BZ1076" s="11">
        <f>MIN(in_approval_cap,in_loan_home_approval*INDEX('Age profile'!$O$2:$O$61,B1076)*(1+in_approval_growth)^(D1076-1))</f>
        <v/>
      </c>
      <c r="CA1076" s="14">
        <f>F1076*BY1076*IF(B1076&gt;=in_marketplace_from,d_hz_loan_home*G1076,0)*BZ1076*in_loan_home_ticket*in_loan_home_comm</f>
        <v/>
      </c>
      <c r="CB1076" s="40">
        <f>CB1075*(1-IF(B1075&gt;=in_marketplace_from,d_hz_loan_lap*G1075,0)*CC1075)</f>
        <v/>
      </c>
      <c r="CC1076" s="11">
        <f>MIN(in_approval_cap,in_loan_lap_approval*INDEX('Age profile'!$O$2:$O$61,B1076)*(1+in_approval_growth)^(D1076-1))</f>
        <v/>
      </c>
      <c r="CD1076" s="14">
        <f>F1076*CB1076*IF(B1076&gt;=in_marketplace_from,d_hz_loan_lap*G1076,0)*CC1076*in_loan_lap_ticket*in_loan_lap_comm</f>
        <v/>
      </c>
      <c r="CE1076" s="14">
        <f>AA1076+AB1076+AC1076+AD1076+AG1076+AJ1076+AM1076+AP1076+AS1076+AU1076+AX1076+BB1076+BE1076+BG1076+BJ1076+BL1076+BO1076+BR1076+BT1076+BV1076+BX1076+CA1076+CD1076</f>
        <v/>
      </c>
    </row>
    <row r="1077">
      <c r="A1077" s="39" t="n">
        <v>22</v>
      </c>
      <c r="B1077" s="39" t="n">
        <v>26</v>
      </c>
      <c r="C1077" s="39">
        <f>A1077+B1077-1</f>
        <v/>
      </c>
      <c r="D1077" s="39">
        <f>INT((C1077-1)/12)+1</f>
        <v/>
      </c>
      <c r="E1077" s="44">
        <f>INDEX(Monthly!$B$2:$B$61,A1077)</f>
        <v/>
      </c>
      <c r="F1077" s="44">
        <f>E1077*INDEX('Age profile'!$B$2:$B$61,B1077)</f>
        <v/>
      </c>
      <c r="G1077" s="45">
        <f>MIN(in_takeup_cap,INDEX('Age profile'!$N$2:$N$61,B1077)*(1+in_takeup_growth)^(D1077-1))</f>
        <v/>
      </c>
      <c r="H1077" s="11">
        <f>MIN(in_approval_cap,in_approved_first*INDEX('Age profile'!$O$2:$O$61,B1077)*(1+in_approval_growth)^(D1077-1))</f>
        <v/>
      </c>
      <c r="I1077" s="45">
        <f>G1077*MIN(in_takeup_cap,INDEX('Age profile'!$O$2:$O$61,B1077)*(1+in_approval_growth)^(D1077-1))</f>
        <v/>
      </c>
      <c r="J1077" s="40">
        <f>(J1076-L1076)*F1077/F1076</f>
        <v/>
      </c>
      <c r="K1077" s="40">
        <f>(K1076-M1076)*F1077/F1076+SUMIFS(O1052:O1076,B1052:B1076,B1077-1-d_T)*F1077</f>
        <v/>
      </c>
      <c r="L1077" s="40">
        <f>IF(B1077&gt;=in_marketplace_from,J1077*d_hz*G1077*in_eligible*H1077,0)</f>
        <v/>
      </c>
      <c r="M1077" s="40">
        <f>IF(B1077&gt;=in_marketplace_from,K1077*d_hz*G1077*in_eligible*in_approved_repeat,0)</f>
        <v/>
      </c>
      <c r="N1077" s="40">
        <f>L1077+M1077</f>
        <v/>
      </c>
      <c r="O1077" s="46">
        <f>N1077/F1077</f>
        <v/>
      </c>
      <c r="P1077" s="40">
        <f>F1077-J1077-K1077</f>
        <v/>
      </c>
      <c r="Q1077" s="40">
        <f>IF(B1077&gt;=in_marketplace_from,(J1077+K1077)*d_hz*G1077,0)</f>
        <v/>
      </c>
      <c r="R1077" s="40">
        <f>SUMIFS(N1052:N1090,B1052:B1090,"&gt;="&amp;(B1077-d_T),B1052:B1090,"&lt;="&amp;(B1077-1))</f>
        <v/>
      </c>
      <c r="S1077" s="46">
        <f>(1-d_u)*S1076+IF(d_T&gt;in_topup_lag,SUMIFS(O1052:O1090,B1052:B1090,B1077-in_topup_lag)-d_udrop*SUMIFS(O1052:O1090,B1052:B1090,B1077-d_T),0)</f>
        <v/>
      </c>
      <c r="T1077" s="40">
        <f>F1077*d_u*S1077</f>
        <v/>
      </c>
      <c r="U1077" s="9">
        <f>L1077*in_ticket+M1077*d_rep_ticket</f>
        <v/>
      </c>
      <c r="V1077" s="9">
        <f>U1077+T1077*d_topup_amt</f>
        <v/>
      </c>
      <c r="W1077" s="40">
        <f>N1077+T1077*d_topup_ratio</f>
        <v/>
      </c>
      <c r="X1077" s="40">
        <f>SUMIFS(W1052:W1090,B1052:B1090,B1077-in_dpd_lag)*d_cured</f>
        <v/>
      </c>
      <c r="Y1077" s="40">
        <f>SUMIFS(W1052:W1090,B1052:B1090,B1077-in_rec_lag)*d_recd</f>
        <v/>
      </c>
      <c r="Z1077" s="40">
        <f>IF(AND(B1077&gt;=in_marketplace_from,B1077&lt;in_marketplace_from+in_card_months),in_card_share/in_card_months*F1077*I1077,IF(AND(B1077&gt;=in_marketplace_from+in_card_months,B1077&lt;in_marketplace_from+2*in_card_months),in_card_share*d_card_rem/in_card_months*F1077*MIN(in_takeup_cap,(1+in_takeup_growth)^(D1077-1))*MIN(in_takeup_cap,(1+in_approval_growth)^(D1077-1)),0))</f>
        <v/>
      </c>
      <c r="AA1077" s="14">
        <f>V1077*in_fee*(1-in_taken_back)</f>
        <v/>
      </c>
      <c r="AB1077" s="14">
        <f>SUMIFS(W1052:W1090,B1052:B1090,B1077-in_dpd_lag)*d_dpd</f>
        <v/>
      </c>
      <c r="AC1077" s="14">
        <f>SUMIFS(W1052:W1090,B1052:B1090,B1077-in_rec_lag)*d_rec</f>
        <v/>
      </c>
      <c r="AD1077" s="14">
        <f>Z1077*in_card_fee</f>
        <v/>
      </c>
      <c r="AE1077" s="40">
        <f>AE1076*(1-IF(B1076&gt;=in_marketplace_from,d_hz_hlth_small*G1076,0))</f>
        <v/>
      </c>
      <c r="AF1077" s="46">
        <f>AE1077*IF(B1077&gt;=in_marketplace_from,d_hz_hlth_small*G1077,0)</f>
        <v/>
      </c>
      <c r="AG1077" s="14">
        <f>F1077*AF1077*in_hlth_small_ticket*in_hlth_small_comm*in_ins_partner_share+F1077*in_hlth_small_ticket*in_hlth_small_renew_comm*in_ins_partner_share*(in_hlth_small_renew^1*SUMIFS(AF1052:AF1090,B1052:B1090,B1077-12)+in_hlth_small_renew^2*SUMIFS(AF1052:AF1090,B1052:B1090,B1077-24)+in_hlth_small_renew^3*SUMIFS(AF1052:AF1090,B1052:B1090,B1077-36)+in_hlth_small_renew^4*SUMIFS(AF1052:AF1090,B1052:B1090,B1077-48))</f>
        <v/>
      </c>
      <c r="AH1077" s="40">
        <f>AH1076*(1-IF(B1076&gt;=in_marketplace_from,d_hz_hlth_family*G1076,0))</f>
        <v/>
      </c>
      <c r="AI1077" s="46">
        <f>AH1077*IF(B1077&gt;=in_marketplace_from,d_hz_hlth_family*G1077,0)</f>
        <v/>
      </c>
      <c r="AJ1077" s="14">
        <f>F1077*AI1077*in_hlth_family_ticket*in_hlth_family_comm*in_ins_partner_share+F1077*in_hlth_family_ticket*in_hlth_family_renew_comm*in_ins_partner_share*(in_hlth_family_renew^1*SUMIFS(AI1052:AI1090,B1052:B1090,B1077-12)+in_hlth_family_renew^2*SUMIFS(AI1052:AI1090,B1052:B1090,B1077-24)+in_hlth_family_renew^3*SUMIFS(AI1052:AI1090,B1052:B1090,B1077-36)+in_hlth_family_renew^4*SUMIFS(AI1052:AI1090,B1052:B1090,B1077-48))</f>
        <v/>
      </c>
      <c r="AK1077" s="40">
        <f>AK1076*(1-IF(B1076&gt;=in_marketplace_from,d_hz_life_term*G1076,0))</f>
        <v/>
      </c>
      <c r="AL1077" s="46">
        <f>AK1077*IF(B1077&gt;=in_marketplace_from,d_hz_life_term*G1077,0)</f>
        <v/>
      </c>
      <c r="AM1077" s="14">
        <f>F1077*AL1077*in_life_term_ticket*in_life_term_comm*in_ins_partner_share+F1077*in_life_term_ticket*in_life_term_renew_comm*in_ins_partner_share*(in_life_term_renew^1*SUMIFS(AL1052:AL1090,B1052:B1090,B1077-12)+in_life_term_renew^2*SUMIFS(AL1052:AL1090,B1052:B1090,B1077-24)+in_life_term_renew^3*SUMIFS(AL1052:AL1090,B1052:B1090,B1077-36)+in_life_term_renew^4*SUMIFS(AL1052:AL1090,B1052:B1090,B1077-48))</f>
        <v/>
      </c>
      <c r="AN1077" s="40">
        <f>AN1076*(1-IF(B1076&gt;=in_marketplace_from,d_hz_accident*G1076,0))</f>
        <v/>
      </c>
      <c r="AO1077" s="46">
        <f>AN1077*IF(B1077&gt;=in_marketplace_from,d_hz_accident*G1077,0)</f>
        <v/>
      </c>
      <c r="AP1077" s="14">
        <f>F1077*AO1077*in_accident_ticket*in_accident_comm*in_ins_partner_share+F1077*in_accident_ticket*in_accident_renew_comm*in_ins_partner_share*(in_accident_renew^1*SUMIFS(AO1052:AO1090,B1052:B1090,B1077-12)+in_accident_renew^2*SUMIFS(AO1052:AO1090,B1052:B1090,B1077-24)+in_accident_renew^3*SUMIFS(AO1052:AO1090,B1052:B1090,B1077-36)+in_accident_renew^4*SUMIFS(AO1052:AO1090,B1052:B1090,B1077-48))</f>
        <v/>
      </c>
      <c r="AQ1077" s="40">
        <f>AQ1076*(1-IF(B1076&gt;=in_marketplace_from,d_hz_two_wheeler*G1076,0))</f>
        <v/>
      </c>
      <c r="AR1077" s="46">
        <f>AQ1077*IF(B1077&gt;=in_marketplace_from,d_hz_two_wheeler*G1077,0)</f>
        <v/>
      </c>
      <c r="AS1077" s="14">
        <f>F1077*AR1077*in_two_wheeler_ticket*in_two_wheeler_comm*in_ins_partner_share+F1077*in_two_wheeler_ticket*in_two_wheeler_comm*in_ins_partner_share*(in_two_wheeler_renew^1*SUMIFS(AR1052:AR1090,B1052:B1090,B1077-12)+in_two_wheeler_renew^2*SUMIFS(AR1052:AR1090,B1052:B1090,B1077-24)+in_two_wheeler_renew^3*SUMIFS(AR1052:AR1090,B1052:B1090,B1077-36)+in_two_wheeler_renew^4*SUMIFS(AR1052:AR1090,B1052:B1090,B1077-48))</f>
        <v/>
      </c>
      <c r="AT1077" s="40">
        <f>AT1076*(1-IF(B1076&gt;=in_marketplace_from,d_hz_device*G1076,0))</f>
        <v/>
      </c>
      <c r="AU1077" s="14">
        <f>F1077*AT1077*IF(B1077&gt;=in_marketplace_from,d_hz_device*G1077,0)*in_device_ticket*in_device_comm*in_ins_partner_share</f>
        <v/>
      </c>
      <c r="AV1077" s="40">
        <f>AV1076*(1-IF(B1076&gt;=in_marketplace_from,d_hz_shop*G1076,0))</f>
        <v/>
      </c>
      <c r="AW1077" s="46">
        <f>AV1077*IF(B1077&gt;=in_marketplace_from,d_hz_shop*G1077,0)</f>
        <v/>
      </c>
      <c r="AX1077" s="14">
        <f>F1077*AW1077*in_shop_ticket*in_shop_comm*in_ins_partner_share+F1077*in_shop_ticket*in_shop_renew_comm*in_ins_partner_share*(in_shop_renew^1*SUMIFS(AW1052:AW1090,B1052:B1090,B1077-12)+in_shop_renew^2*SUMIFS(AW1052:AW1090,B1052:B1090,B1077-24)+in_shop_renew^3*SUMIFS(AW1052:AW1090,B1052:B1090,B1077-36)+in_shop_renew^4*SUMIFS(AW1052:AW1090,B1052:B1090,B1077-48))</f>
        <v/>
      </c>
      <c r="AY1077" s="40">
        <f>AY1076*(1-IF(B1076&gt;=in_marketplace_from,d_hz_sip*G1076,0))</f>
        <v/>
      </c>
      <c r="AZ1077" s="40">
        <f>AZ1076*d_rho_sip+AY1077*IF(B1077&gt;=in_marketplace_from,d_hz_sip*G1077,0)</f>
        <v/>
      </c>
      <c r="BA1077" s="40">
        <f>d_rho_sip*(BA1076+AZ1076)</f>
        <v/>
      </c>
      <c r="BB1077" s="14">
        <f>F1077*in_sip_ticket*(BA1077+0.5*AZ1077)*in_sip_comm/12</f>
        <v/>
      </c>
      <c r="BC1077" s="40">
        <f>BC1076*(1-IF(B1076&gt;=in_marketplace_from,d_hz_choti*G1076,0))</f>
        <v/>
      </c>
      <c r="BD1077" s="46">
        <f>BC1077*IF(B1077&gt;=in_marketplace_from,d_hz_choti*G1077,0)</f>
        <v/>
      </c>
      <c r="BE1077" s="14">
        <f>F1077*SUMIFS(BD1052:BD1090,B1052:B1090,B1077-in_choti_months)*in_choti_renew*in_choti_ticket</f>
        <v/>
      </c>
      <c r="BF1077" s="40">
        <f>BF1076*(1-IF(B1076&gt;=in_marketplace_from,d_hz_nps*G1076,0))</f>
        <v/>
      </c>
      <c r="BG1077" s="14">
        <f>F1077*BF1077*IF(B1077&gt;=in_marketplace_from,d_hz_nps*G1077,0)*in_nps_ticket*in_nps_comm</f>
        <v/>
      </c>
      <c r="BH1077" s="40">
        <f>BH1076*(1-IF(B1076&gt;=in_marketplace_from,d_hz_gold*G1076,0))</f>
        <v/>
      </c>
      <c r="BI1077" s="40">
        <f>BI1076*d_rho_gold+BH1077*IF(B1077&gt;=in_marketplace_from,d_hz_gold*G1077,0)</f>
        <v/>
      </c>
      <c r="BJ1077" s="14">
        <f>F1077*BI1077*in_gold_ticket*in_gold_comm</f>
        <v/>
      </c>
      <c r="BK1077" s="40">
        <f>BK1076*(1-IF(B1076&gt;=in_marketplace_from,d_hz_fd*G1076,0))</f>
        <v/>
      </c>
      <c r="BL1077" s="14">
        <f>F1077*BK1077*IF(B1077&gt;=in_marketplace_from,d_hz_fd*G1077,0)*in_fd_ticket*in_fd_comm</f>
        <v/>
      </c>
      <c r="BM1077" s="40">
        <f>BM1076*(1-IF(B1076&gt;=in_marketplace_from,d_hz_recharge*G1076,0))</f>
        <v/>
      </c>
      <c r="BN1077" s="40">
        <f>BN1076*d_rho_recharge+BM1077*IF(B1077&gt;=in_marketplace_from,d_hz_recharge*G1077,0)</f>
        <v/>
      </c>
      <c r="BO1077" s="14">
        <f>F1077*BN1077*in_recharge_ticket*in_recharge_comm/12</f>
        <v/>
      </c>
      <c r="BP1077" s="40">
        <f>BP1076*(1-IF(B1076&gt;=in_marketplace_from,d_hz_bills*G1076,0))</f>
        <v/>
      </c>
      <c r="BQ1077" s="40">
        <f>BQ1076*d_rho_bills+BP1077*IF(B1077&gt;=in_marketplace_from,d_hz_bills*G1077,0)</f>
        <v/>
      </c>
      <c r="BR1077" s="14">
        <f>F1077*BQ1077*in_bills_ticket*in_bills_comm/12</f>
        <v/>
      </c>
      <c r="BS1077" s="40">
        <f>BS1076*(1-IF(B1076&gt;=in_marketplace_from,d_hz_loan_gold*G1076,0))</f>
        <v/>
      </c>
      <c r="BT1077" s="14">
        <f>F1077*BS1077*IF(B1077&gt;=in_marketplace_from,d_hz_loan_gold*G1077,0)*in_loan_gold_ticket*in_loan_gold_comm</f>
        <v/>
      </c>
      <c r="BU1077" s="40">
        <f>BU1076*(1-IF(B1076&gt;=in_marketplace_from,d_hz_loan_cd*G1076,0))</f>
        <v/>
      </c>
      <c r="BV1077" s="14">
        <f>F1077*BU1077*IF(B1077&gt;=in_marketplace_from,d_hz_loan_cd*G1077,0)*in_loan_cd_ticket*in_loan_cd_comm</f>
        <v/>
      </c>
      <c r="BW1077" s="40">
        <f>BW1076*(1-IF(B1076&gt;=in_marketplace_from,d_hz_loan_vehicle*G1076,0))</f>
        <v/>
      </c>
      <c r="BX1077" s="14">
        <f>F1077*BW1077*IF(B1077&gt;=in_marketplace_from,d_hz_loan_vehicle*G1077,0)*in_loan_vehicle_ticket*in_loan_vehicle_comm</f>
        <v/>
      </c>
      <c r="BY1077" s="40">
        <f>BY1076*(1-IF(B1076&gt;=in_marketplace_from,d_hz_loan_home*G1076,0)*BZ1076)</f>
        <v/>
      </c>
      <c r="BZ1077" s="11">
        <f>MIN(in_approval_cap,in_loan_home_approval*INDEX('Age profile'!$O$2:$O$61,B1077)*(1+in_approval_growth)^(D1077-1))</f>
        <v/>
      </c>
      <c r="CA1077" s="14">
        <f>F1077*BY1077*IF(B1077&gt;=in_marketplace_from,d_hz_loan_home*G1077,0)*BZ1077*in_loan_home_ticket*in_loan_home_comm</f>
        <v/>
      </c>
      <c r="CB1077" s="40">
        <f>CB1076*(1-IF(B1076&gt;=in_marketplace_from,d_hz_loan_lap*G1076,0)*CC1076)</f>
        <v/>
      </c>
      <c r="CC1077" s="11">
        <f>MIN(in_approval_cap,in_loan_lap_approval*INDEX('Age profile'!$O$2:$O$61,B1077)*(1+in_approval_growth)^(D1077-1))</f>
        <v/>
      </c>
      <c r="CD1077" s="14">
        <f>F1077*CB1077*IF(B1077&gt;=in_marketplace_from,d_hz_loan_lap*G1077,0)*CC1077*in_loan_lap_ticket*in_loan_lap_comm</f>
        <v/>
      </c>
      <c r="CE1077" s="14">
        <f>AA1077+AB1077+AC1077+AD1077+AG1077+AJ1077+AM1077+AP1077+AS1077+AU1077+AX1077+BB1077+BE1077+BG1077+BJ1077+BL1077+BO1077+BR1077+BT1077+BV1077+BX1077+CA1077+CD1077</f>
        <v/>
      </c>
    </row>
    <row r="1078">
      <c r="A1078" s="39" t="n">
        <v>22</v>
      </c>
      <c r="B1078" s="39" t="n">
        <v>27</v>
      </c>
      <c r="C1078" s="39">
        <f>A1078+B1078-1</f>
        <v/>
      </c>
      <c r="D1078" s="39">
        <f>INT((C1078-1)/12)+1</f>
        <v/>
      </c>
      <c r="E1078" s="44">
        <f>INDEX(Monthly!$B$2:$B$61,A1078)</f>
        <v/>
      </c>
      <c r="F1078" s="44">
        <f>E1078*INDEX('Age profile'!$B$2:$B$61,B1078)</f>
        <v/>
      </c>
      <c r="G1078" s="45">
        <f>MIN(in_takeup_cap,INDEX('Age profile'!$N$2:$N$61,B1078)*(1+in_takeup_growth)^(D1078-1))</f>
        <v/>
      </c>
      <c r="H1078" s="11">
        <f>MIN(in_approval_cap,in_approved_first*INDEX('Age profile'!$O$2:$O$61,B1078)*(1+in_approval_growth)^(D1078-1))</f>
        <v/>
      </c>
      <c r="I1078" s="45">
        <f>G1078*MIN(in_takeup_cap,INDEX('Age profile'!$O$2:$O$61,B1078)*(1+in_approval_growth)^(D1078-1))</f>
        <v/>
      </c>
      <c r="J1078" s="40">
        <f>(J1077-L1077)*F1078/F1077</f>
        <v/>
      </c>
      <c r="K1078" s="40">
        <f>(K1077-M1077)*F1078/F1077+SUMIFS(O1052:O1077,B1052:B1077,B1078-1-d_T)*F1078</f>
        <v/>
      </c>
      <c r="L1078" s="40">
        <f>IF(B1078&gt;=in_marketplace_from,J1078*d_hz*G1078*in_eligible*H1078,0)</f>
        <v/>
      </c>
      <c r="M1078" s="40">
        <f>IF(B1078&gt;=in_marketplace_from,K1078*d_hz*G1078*in_eligible*in_approved_repeat,0)</f>
        <v/>
      </c>
      <c r="N1078" s="40">
        <f>L1078+M1078</f>
        <v/>
      </c>
      <c r="O1078" s="46">
        <f>N1078/F1078</f>
        <v/>
      </c>
      <c r="P1078" s="40">
        <f>F1078-J1078-K1078</f>
        <v/>
      </c>
      <c r="Q1078" s="40">
        <f>IF(B1078&gt;=in_marketplace_from,(J1078+K1078)*d_hz*G1078,0)</f>
        <v/>
      </c>
      <c r="R1078" s="40">
        <f>SUMIFS(N1052:N1090,B1052:B1090,"&gt;="&amp;(B1078-d_T),B1052:B1090,"&lt;="&amp;(B1078-1))</f>
        <v/>
      </c>
      <c r="S1078" s="46">
        <f>(1-d_u)*S1077+IF(d_T&gt;in_topup_lag,SUMIFS(O1052:O1090,B1052:B1090,B1078-in_topup_lag)-d_udrop*SUMIFS(O1052:O1090,B1052:B1090,B1078-d_T),0)</f>
        <v/>
      </c>
      <c r="T1078" s="40">
        <f>F1078*d_u*S1078</f>
        <v/>
      </c>
      <c r="U1078" s="9">
        <f>L1078*in_ticket+M1078*d_rep_ticket</f>
        <v/>
      </c>
      <c r="V1078" s="9">
        <f>U1078+T1078*d_topup_amt</f>
        <v/>
      </c>
      <c r="W1078" s="40">
        <f>N1078+T1078*d_topup_ratio</f>
        <v/>
      </c>
      <c r="X1078" s="40">
        <f>SUMIFS(W1052:W1090,B1052:B1090,B1078-in_dpd_lag)*d_cured</f>
        <v/>
      </c>
      <c r="Y1078" s="40">
        <f>SUMIFS(W1052:W1090,B1052:B1090,B1078-in_rec_lag)*d_recd</f>
        <v/>
      </c>
      <c r="Z1078" s="40">
        <f>IF(AND(B1078&gt;=in_marketplace_from,B1078&lt;in_marketplace_from+in_card_months),in_card_share/in_card_months*F1078*I1078,IF(AND(B1078&gt;=in_marketplace_from+in_card_months,B1078&lt;in_marketplace_from+2*in_card_months),in_card_share*d_card_rem/in_card_months*F1078*MIN(in_takeup_cap,(1+in_takeup_growth)^(D1078-1))*MIN(in_takeup_cap,(1+in_approval_growth)^(D1078-1)),0))</f>
        <v/>
      </c>
      <c r="AA1078" s="14">
        <f>V1078*in_fee*(1-in_taken_back)</f>
        <v/>
      </c>
      <c r="AB1078" s="14">
        <f>SUMIFS(W1052:W1090,B1052:B1090,B1078-in_dpd_lag)*d_dpd</f>
        <v/>
      </c>
      <c r="AC1078" s="14">
        <f>SUMIFS(W1052:W1090,B1052:B1090,B1078-in_rec_lag)*d_rec</f>
        <v/>
      </c>
      <c r="AD1078" s="14">
        <f>Z1078*in_card_fee</f>
        <v/>
      </c>
      <c r="AE1078" s="40">
        <f>AE1077*(1-IF(B1077&gt;=in_marketplace_from,d_hz_hlth_small*G1077,0))</f>
        <v/>
      </c>
      <c r="AF1078" s="46">
        <f>AE1078*IF(B1078&gt;=in_marketplace_from,d_hz_hlth_small*G1078,0)</f>
        <v/>
      </c>
      <c r="AG1078" s="14">
        <f>F1078*AF1078*in_hlth_small_ticket*in_hlth_small_comm*in_ins_partner_share+F1078*in_hlth_small_ticket*in_hlth_small_renew_comm*in_ins_partner_share*(in_hlth_small_renew^1*SUMIFS(AF1052:AF1090,B1052:B1090,B1078-12)+in_hlth_small_renew^2*SUMIFS(AF1052:AF1090,B1052:B1090,B1078-24)+in_hlth_small_renew^3*SUMIFS(AF1052:AF1090,B1052:B1090,B1078-36)+in_hlth_small_renew^4*SUMIFS(AF1052:AF1090,B1052:B1090,B1078-48))</f>
        <v/>
      </c>
      <c r="AH1078" s="40">
        <f>AH1077*(1-IF(B1077&gt;=in_marketplace_from,d_hz_hlth_family*G1077,0))</f>
        <v/>
      </c>
      <c r="AI1078" s="46">
        <f>AH1078*IF(B1078&gt;=in_marketplace_from,d_hz_hlth_family*G1078,0)</f>
        <v/>
      </c>
      <c r="AJ1078" s="14">
        <f>F1078*AI1078*in_hlth_family_ticket*in_hlth_family_comm*in_ins_partner_share+F1078*in_hlth_family_ticket*in_hlth_family_renew_comm*in_ins_partner_share*(in_hlth_family_renew^1*SUMIFS(AI1052:AI1090,B1052:B1090,B1078-12)+in_hlth_family_renew^2*SUMIFS(AI1052:AI1090,B1052:B1090,B1078-24)+in_hlth_family_renew^3*SUMIFS(AI1052:AI1090,B1052:B1090,B1078-36)+in_hlth_family_renew^4*SUMIFS(AI1052:AI1090,B1052:B1090,B1078-48))</f>
        <v/>
      </c>
      <c r="AK1078" s="40">
        <f>AK1077*(1-IF(B1077&gt;=in_marketplace_from,d_hz_life_term*G1077,0))</f>
        <v/>
      </c>
      <c r="AL1078" s="46">
        <f>AK1078*IF(B1078&gt;=in_marketplace_from,d_hz_life_term*G1078,0)</f>
        <v/>
      </c>
      <c r="AM1078" s="14">
        <f>F1078*AL1078*in_life_term_ticket*in_life_term_comm*in_ins_partner_share+F1078*in_life_term_ticket*in_life_term_renew_comm*in_ins_partner_share*(in_life_term_renew^1*SUMIFS(AL1052:AL1090,B1052:B1090,B1078-12)+in_life_term_renew^2*SUMIFS(AL1052:AL1090,B1052:B1090,B1078-24)+in_life_term_renew^3*SUMIFS(AL1052:AL1090,B1052:B1090,B1078-36)+in_life_term_renew^4*SUMIFS(AL1052:AL1090,B1052:B1090,B1078-48))</f>
        <v/>
      </c>
      <c r="AN1078" s="40">
        <f>AN1077*(1-IF(B1077&gt;=in_marketplace_from,d_hz_accident*G1077,0))</f>
        <v/>
      </c>
      <c r="AO1078" s="46">
        <f>AN1078*IF(B1078&gt;=in_marketplace_from,d_hz_accident*G1078,0)</f>
        <v/>
      </c>
      <c r="AP1078" s="14">
        <f>F1078*AO1078*in_accident_ticket*in_accident_comm*in_ins_partner_share+F1078*in_accident_ticket*in_accident_renew_comm*in_ins_partner_share*(in_accident_renew^1*SUMIFS(AO1052:AO1090,B1052:B1090,B1078-12)+in_accident_renew^2*SUMIFS(AO1052:AO1090,B1052:B1090,B1078-24)+in_accident_renew^3*SUMIFS(AO1052:AO1090,B1052:B1090,B1078-36)+in_accident_renew^4*SUMIFS(AO1052:AO1090,B1052:B1090,B1078-48))</f>
        <v/>
      </c>
      <c r="AQ1078" s="40">
        <f>AQ1077*(1-IF(B1077&gt;=in_marketplace_from,d_hz_two_wheeler*G1077,0))</f>
        <v/>
      </c>
      <c r="AR1078" s="46">
        <f>AQ1078*IF(B1078&gt;=in_marketplace_from,d_hz_two_wheeler*G1078,0)</f>
        <v/>
      </c>
      <c r="AS1078" s="14">
        <f>F1078*AR1078*in_two_wheeler_ticket*in_two_wheeler_comm*in_ins_partner_share+F1078*in_two_wheeler_ticket*in_two_wheeler_comm*in_ins_partner_share*(in_two_wheeler_renew^1*SUMIFS(AR1052:AR1090,B1052:B1090,B1078-12)+in_two_wheeler_renew^2*SUMIFS(AR1052:AR1090,B1052:B1090,B1078-24)+in_two_wheeler_renew^3*SUMIFS(AR1052:AR1090,B1052:B1090,B1078-36)+in_two_wheeler_renew^4*SUMIFS(AR1052:AR1090,B1052:B1090,B1078-48))</f>
        <v/>
      </c>
      <c r="AT1078" s="40">
        <f>AT1077*(1-IF(B1077&gt;=in_marketplace_from,d_hz_device*G1077,0))</f>
        <v/>
      </c>
      <c r="AU1078" s="14">
        <f>F1078*AT1078*IF(B1078&gt;=in_marketplace_from,d_hz_device*G1078,0)*in_device_ticket*in_device_comm*in_ins_partner_share</f>
        <v/>
      </c>
      <c r="AV1078" s="40">
        <f>AV1077*(1-IF(B1077&gt;=in_marketplace_from,d_hz_shop*G1077,0))</f>
        <v/>
      </c>
      <c r="AW1078" s="46">
        <f>AV1078*IF(B1078&gt;=in_marketplace_from,d_hz_shop*G1078,0)</f>
        <v/>
      </c>
      <c r="AX1078" s="14">
        <f>F1078*AW1078*in_shop_ticket*in_shop_comm*in_ins_partner_share+F1078*in_shop_ticket*in_shop_renew_comm*in_ins_partner_share*(in_shop_renew^1*SUMIFS(AW1052:AW1090,B1052:B1090,B1078-12)+in_shop_renew^2*SUMIFS(AW1052:AW1090,B1052:B1090,B1078-24)+in_shop_renew^3*SUMIFS(AW1052:AW1090,B1052:B1090,B1078-36)+in_shop_renew^4*SUMIFS(AW1052:AW1090,B1052:B1090,B1078-48))</f>
        <v/>
      </c>
      <c r="AY1078" s="40">
        <f>AY1077*(1-IF(B1077&gt;=in_marketplace_from,d_hz_sip*G1077,0))</f>
        <v/>
      </c>
      <c r="AZ1078" s="40">
        <f>AZ1077*d_rho_sip+AY1078*IF(B1078&gt;=in_marketplace_from,d_hz_sip*G1078,0)</f>
        <v/>
      </c>
      <c r="BA1078" s="40">
        <f>d_rho_sip*(BA1077+AZ1077)</f>
        <v/>
      </c>
      <c r="BB1078" s="14">
        <f>F1078*in_sip_ticket*(BA1078+0.5*AZ1078)*in_sip_comm/12</f>
        <v/>
      </c>
      <c r="BC1078" s="40">
        <f>BC1077*(1-IF(B1077&gt;=in_marketplace_from,d_hz_choti*G1077,0))</f>
        <v/>
      </c>
      <c r="BD1078" s="46">
        <f>BC1078*IF(B1078&gt;=in_marketplace_from,d_hz_choti*G1078,0)</f>
        <v/>
      </c>
      <c r="BE1078" s="14">
        <f>F1078*SUMIFS(BD1052:BD1090,B1052:B1090,B1078-in_choti_months)*in_choti_renew*in_choti_ticket</f>
        <v/>
      </c>
      <c r="BF1078" s="40">
        <f>BF1077*(1-IF(B1077&gt;=in_marketplace_from,d_hz_nps*G1077,0))</f>
        <v/>
      </c>
      <c r="BG1078" s="14">
        <f>F1078*BF1078*IF(B1078&gt;=in_marketplace_from,d_hz_nps*G1078,0)*in_nps_ticket*in_nps_comm</f>
        <v/>
      </c>
      <c r="BH1078" s="40">
        <f>BH1077*(1-IF(B1077&gt;=in_marketplace_from,d_hz_gold*G1077,0))</f>
        <v/>
      </c>
      <c r="BI1078" s="40">
        <f>BI1077*d_rho_gold+BH1078*IF(B1078&gt;=in_marketplace_from,d_hz_gold*G1078,0)</f>
        <v/>
      </c>
      <c r="BJ1078" s="14">
        <f>F1078*BI1078*in_gold_ticket*in_gold_comm</f>
        <v/>
      </c>
      <c r="BK1078" s="40">
        <f>BK1077*(1-IF(B1077&gt;=in_marketplace_from,d_hz_fd*G1077,0))</f>
        <v/>
      </c>
      <c r="BL1078" s="14">
        <f>F1078*BK1078*IF(B1078&gt;=in_marketplace_from,d_hz_fd*G1078,0)*in_fd_ticket*in_fd_comm</f>
        <v/>
      </c>
      <c r="BM1078" s="40">
        <f>BM1077*(1-IF(B1077&gt;=in_marketplace_from,d_hz_recharge*G1077,0))</f>
        <v/>
      </c>
      <c r="BN1078" s="40">
        <f>BN1077*d_rho_recharge+BM1078*IF(B1078&gt;=in_marketplace_from,d_hz_recharge*G1078,0)</f>
        <v/>
      </c>
      <c r="BO1078" s="14">
        <f>F1078*BN1078*in_recharge_ticket*in_recharge_comm/12</f>
        <v/>
      </c>
      <c r="BP1078" s="40">
        <f>BP1077*(1-IF(B1077&gt;=in_marketplace_from,d_hz_bills*G1077,0))</f>
        <v/>
      </c>
      <c r="BQ1078" s="40">
        <f>BQ1077*d_rho_bills+BP1078*IF(B1078&gt;=in_marketplace_from,d_hz_bills*G1078,0)</f>
        <v/>
      </c>
      <c r="BR1078" s="14">
        <f>F1078*BQ1078*in_bills_ticket*in_bills_comm/12</f>
        <v/>
      </c>
      <c r="BS1078" s="40">
        <f>BS1077*(1-IF(B1077&gt;=in_marketplace_from,d_hz_loan_gold*G1077,0))</f>
        <v/>
      </c>
      <c r="BT1078" s="14">
        <f>F1078*BS1078*IF(B1078&gt;=in_marketplace_from,d_hz_loan_gold*G1078,0)*in_loan_gold_ticket*in_loan_gold_comm</f>
        <v/>
      </c>
      <c r="BU1078" s="40">
        <f>BU1077*(1-IF(B1077&gt;=in_marketplace_from,d_hz_loan_cd*G1077,0))</f>
        <v/>
      </c>
      <c r="BV1078" s="14">
        <f>F1078*BU1078*IF(B1078&gt;=in_marketplace_from,d_hz_loan_cd*G1078,0)*in_loan_cd_ticket*in_loan_cd_comm</f>
        <v/>
      </c>
      <c r="BW1078" s="40">
        <f>BW1077*(1-IF(B1077&gt;=in_marketplace_from,d_hz_loan_vehicle*G1077,0))</f>
        <v/>
      </c>
      <c r="BX1078" s="14">
        <f>F1078*BW1078*IF(B1078&gt;=in_marketplace_from,d_hz_loan_vehicle*G1078,0)*in_loan_vehicle_ticket*in_loan_vehicle_comm</f>
        <v/>
      </c>
      <c r="BY1078" s="40">
        <f>BY1077*(1-IF(B1077&gt;=in_marketplace_from,d_hz_loan_home*G1077,0)*BZ1077)</f>
        <v/>
      </c>
      <c r="BZ1078" s="11">
        <f>MIN(in_approval_cap,in_loan_home_approval*INDEX('Age profile'!$O$2:$O$61,B1078)*(1+in_approval_growth)^(D1078-1))</f>
        <v/>
      </c>
      <c r="CA1078" s="14">
        <f>F1078*BY1078*IF(B1078&gt;=in_marketplace_from,d_hz_loan_home*G1078,0)*BZ1078*in_loan_home_ticket*in_loan_home_comm</f>
        <v/>
      </c>
      <c r="CB1078" s="40">
        <f>CB1077*(1-IF(B1077&gt;=in_marketplace_from,d_hz_loan_lap*G1077,0)*CC1077)</f>
        <v/>
      </c>
      <c r="CC1078" s="11">
        <f>MIN(in_approval_cap,in_loan_lap_approval*INDEX('Age profile'!$O$2:$O$61,B1078)*(1+in_approval_growth)^(D1078-1))</f>
        <v/>
      </c>
      <c r="CD1078" s="14">
        <f>F1078*CB1078*IF(B1078&gt;=in_marketplace_from,d_hz_loan_lap*G1078,0)*CC1078*in_loan_lap_ticket*in_loan_lap_comm</f>
        <v/>
      </c>
      <c r="CE1078" s="14">
        <f>AA1078+AB1078+AC1078+AD1078+AG1078+AJ1078+AM1078+AP1078+AS1078+AU1078+AX1078+BB1078+BE1078+BG1078+BJ1078+BL1078+BO1078+BR1078+BT1078+BV1078+BX1078+CA1078+CD1078</f>
        <v/>
      </c>
    </row>
    <row r="1079">
      <c r="A1079" s="39" t="n">
        <v>22</v>
      </c>
      <c r="B1079" s="39" t="n">
        <v>28</v>
      </c>
      <c r="C1079" s="39">
        <f>A1079+B1079-1</f>
        <v/>
      </c>
      <c r="D1079" s="39">
        <f>INT((C1079-1)/12)+1</f>
        <v/>
      </c>
      <c r="E1079" s="44">
        <f>INDEX(Monthly!$B$2:$B$61,A1079)</f>
        <v/>
      </c>
      <c r="F1079" s="44">
        <f>E1079*INDEX('Age profile'!$B$2:$B$61,B1079)</f>
        <v/>
      </c>
      <c r="G1079" s="45">
        <f>MIN(in_takeup_cap,INDEX('Age profile'!$N$2:$N$61,B1079)*(1+in_takeup_growth)^(D1079-1))</f>
        <v/>
      </c>
      <c r="H1079" s="11">
        <f>MIN(in_approval_cap,in_approved_first*INDEX('Age profile'!$O$2:$O$61,B1079)*(1+in_approval_growth)^(D1079-1))</f>
        <v/>
      </c>
      <c r="I1079" s="45">
        <f>G1079*MIN(in_takeup_cap,INDEX('Age profile'!$O$2:$O$61,B1079)*(1+in_approval_growth)^(D1079-1))</f>
        <v/>
      </c>
      <c r="J1079" s="40">
        <f>(J1078-L1078)*F1079/F1078</f>
        <v/>
      </c>
      <c r="K1079" s="40">
        <f>(K1078-M1078)*F1079/F1078+SUMIFS(O1052:O1078,B1052:B1078,B1079-1-d_T)*F1079</f>
        <v/>
      </c>
      <c r="L1079" s="40">
        <f>IF(B1079&gt;=in_marketplace_from,J1079*d_hz*G1079*in_eligible*H1079,0)</f>
        <v/>
      </c>
      <c r="M1079" s="40">
        <f>IF(B1079&gt;=in_marketplace_from,K1079*d_hz*G1079*in_eligible*in_approved_repeat,0)</f>
        <v/>
      </c>
      <c r="N1079" s="40">
        <f>L1079+M1079</f>
        <v/>
      </c>
      <c r="O1079" s="46">
        <f>N1079/F1079</f>
        <v/>
      </c>
      <c r="P1079" s="40">
        <f>F1079-J1079-K1079</f>
        <v/>
      </c>
      <c r="Q1079" s="40">
        <f>IF(B1079&gt;=in_marketplace_from,(J1079+K1079)*d_hz*G1079,0)</f>
        <v/>
      </c>
      <c r="R1079" s="40">
        <f>SUMIFS(N1052:N1090,B1052:B1090,"&gt;="&amp;(B1079-d_T),B1052:B1090,"&lt;="&amp;(B1079-1))</f>
        <v/>
      </c>
      <c r="S1079" s="46">
        <f>(1-d_u)*S1078+IF(d_T&gt;in_topup_lag,SUMIFS(O1052:O1090,B1052:B1090,B1079-in_topup_lag)-d_udrop*SUMIFS(O1052:O1090,B1052:B1090,B1079-d_T),0)</f>
        <v/>
      </c>
      <c r="T1079" s="40">
        <f>F1079*d_u*S1079</f>
        <v/>
      </c>
      <c r="U1079" s="9">
        <f>L1079*in_ticket+M1079*d_rep_ticket</f>
        <v/>
      </c>
      <c r="V1079" s="9">
        <f>U1079+T1079*d_topup_amt</f>
        <v/>
      </c>
      <c r="W1079" s="40">
        <f>N1079+T1079*d_topup_ratio</f>
        <v/>
      </c>
      <c r="X1079" s="40">
        <f>SUMIFS(W1052:W1090,B1052:B1090,B1079-in_dpd_lag)*d_cured</f>
        <v/>
      </c>
      <c r="Y1079" s="40">
        <f>SUMIFS(W1052:W1090,B1052:B1090,B1079-in_rec_lag)*d_recd</f>
        <v/>
      </c>
      <c r="Z1079" s="40">
        <f>IF(AND(B1079&gt;=in_marketplace_from,B1079&lt;in_marketplace_from+in_card_months),in_card_share/in_card_months*F1079*I1079,IF(AND(B1079&gt;=in_marketplace_from+in_card_months,B1079&lt;in_marketplace_from+2*in_card_months),in_card_share*d_card_rem/in_card_months*F1079*MIN(in_takeup_cap,(1+in_takeup_growth)^(D1079-1))*MIN(in_takeup_cap,(1+in_approval_growth)^(D1079-1)),0))</f>
        <v/>
      </c>
      <c r="AA1079" s="14">
        <f>V1079*in_fee*(1-in_taken_back)</f>
        <v/>
      </c>
      <c r="AB1079" s="14">
        <f>SUMIFS(W1052:W1090,B1052:B1090,B1079-in_dpd_lag)*d_dpd</f>
        <v/>
      </c>
      <c r="AC1079" s="14">
        <f>SUMIFS(W1052:W1090,B1052:B1090,B1079-in_rec_lag)*d_rec</f>
        <v/>
      </c>
      <c r="AD1079" s="14">
        <f>Z1079*in_card_fee</f>
        <v/>
      </c>
      <c r="AE1079" s="40">
        <f>AE1078*(1-IF(B1078&gt;=in_marketplace_from,d_hz_hlth_small*G1078,0))</f>
        <v/>
      </c>
      <c r="AF1079" s="46">
        <f>AE1079*IF(B1079&gt;=in_marketplace_from,d_hz_hlth_small*G1079,0)</f>
        <v/>
      </c>
      <c r="AG1079" s="14">
        <f>F1079*AF1079*in_hlth_small_ticket*in_hlth_small_comm*in_ins_partner_share+F1079*in_hlth_small_ticket*in_hlth_small_renew_comm*in_ins_partner_share*(in_hlth_small_renew^1*SUMIFS(AF1052:AF1090,B1052:B1090,B1079-12)+in_hlth_small_renew^2*SUMIFS(AF1052:AF1090,B1052:B1090,B1079-24)+in_hlth_small_renew^3*SUMIFS(AF1052:AF1090,B1052:B1090,B1079-36)+in_hlth_small_renew^4*SUMIFS(AF1052:AF1090,B1052:B1090,B1079-48))</f>
        <v/>
      </c>
      <c r="AH1079" s="40">
        <f>AH1078*(1-IF(B1078&gt;=in_marketplace_from,d_hz_hlth_family*G1078,0))</f>
        <v/>
      </c>
      <c r="AI1079" s="46">
        <f>AH1079*IF(B1079&gt;=in_marketplace_from,d_hz_hlth_family*G1079,0)</f>
        <v/>
      </c>
      <c r="AJ1079" s="14">
        <f>F1079*AI1079*in_hlth_family_ticket*in_hlth_family_comm*in_ins_partner_share+F1079*in_hlth_family_ticket*in_hlth_family_renew_comm*in_ins_partner_share*(in_hlth_family_renew^1*SUMIFS(AI1052:AI1090,B1052:B1090,B1079-12)+in_hlth_family_renew^2*SUMIFS(AI1052:AI1090,B1052:B1090,B1079-24)+in_hlth_family_renew^3*SUMIFS(AI1052:AI1090,B1052:B1090,B1079-36)+in_hlth_family_renew^4*SUMIFS(AI1052:AI1090,B1052:B1090,B1079-48))</f>
        <v/>
      </c>
      <c r="AK1079" s="40">
        <f>AK1078*(1-IF(B1078&gt;=in_marketplace_from,d_hz_life_term*G1078,0))</f>
        <v/>
      </c>
      <c r="AL1079" s="46">
        <f>AK1079*IF(B1079&gt;=in_marketplace_from,d_hz_life_term*G1079,0)</f>
        <v/>
      </c>
      <c r="AM1079" s="14">
        <f>F1079*AL1079*in_life_term_ticket*in_life_term_comm*in_ins_partner_share+F1079*in_life_term_ticket*in_life_term_renew_comm*in_ins_partner_share*(in_life_term_renew^1*SUMIFS(AL1052:AL1090,B1052:B1090,B1079-12)+in_life_term_renew^2*SUMIFS(AL1052:AL1090,B1052:B1090,B1079-24)+in_life_term_renew^3*SUMIFS(AL1052:AL1090,B1052:B1090,B1079-36)+in_life_term_renew^4*SUMIFS(AL1052:AL1090,B1052:B1090,B1079-48))</f>
        <v/>
      </c>
      <c r="AN1079" s="40">
        <f>AN1078*(1-IF(B1078&gt;=in_marketplace_from,d_hz_accident*G1078,0))</f>
        <v/>
      </c>
      <c r="AO1079" s="46">
        <f>AN1079*IF(B1079&gt;=in_marketplace_from,d_hz_accident*G1079,0)</f>
        <v/>
      </c>
      <c r="AP1079" s="14">
        <f>F1079*AO1079*in_accident_ticket*in_accident_comm*in_ins_partner_share+F1079*in_accident_ticket*in_accident_renew_comm*in_ins_partner_share*(in_accident_renew^1*SUMIFS(AO1052:AO1090,B1052:B1090,B1079-12)+in_accident_renew^2*SUMIFS(AO1052:AO1090,B1052:B1090,B1079-24)+in_accident_renew^3*SUMIFS(AO1052:AO1090,B1052:B1090,B1079-36)+in_accident_renew^4*SUMIFS(AO1052:AO1090,B1052:B1090,B1079-48))</f>
        <v/>
      </c>
      <c r="AQ1079" s="40">
        <f>AQ1078*(1-IF(B1078&gt;=in_marketplace_from,d_hz_two_wheeler*G1078,0))</f>
        <v/>
      </c>
      <c r="AR1079" s="46">
        <f>AQ1079*IF(B1079&gt;=in_marketplace_from,d_hz_two_wheeler*G1079,0)</f>
        <v/>
      </c>
      <c r="AS1079" s="14">
        <f>F1079*AR1079*in_two_wheeler_ticket*in_two_wheeler_comm*in_ins_partner_share+F1079*in_two_wheeler_ticket*in_two_wheeler_comm*in_ins_partner_share*(in_two_wheeler_renew^1*SUMIFS(AR1052:AR1090,B1052:B1090,B1079-12)+in_two_wheeler_renew^2*SUMIFS(AR1052:AR1090,B1052:B1090,B1079-24)+in_two_wheeler_renew^3*SUMIFS(AR1052:AR1090,B1052:B1090,B1079-36)+in_two_wheeler_renew^4*SUMIFS(AR1052:AR1090,B1052:B1090,B1079-48))</f>
        <v/>
      </c>
      <c r="AT1079" s="40">
        <f>AT1078*(1-IF(B1078&gt;=in_marketplace_from,d_hz_device*G1078,0))</f>
        <v/>
      </c>
      <c r="AU1079" s="14">
        <f>F1079*AT1079*IF(B1079&gt;=in_marketplace_from,d_hz_device*G1079,0)*in_device_ticket*in_device_comm*in_ins_partner_share</f>
        <v/>
      </c>
      <c r="AV1079" s="40">
        <f>AV1078*(1-IF(B1078&gt;=in_marketplace_from,d_hz_shop*G1078,0))</f>
        <v/>
      </c>
      <c r="AW1079" s="46">
        <f>AV1079*IF(B1079&gt;=in_marketplace_from,d_hz_shop*G1079,0)</f>
        <v/>
      </c>
      <c r="AX1079" s="14">
        <f>F1079*AW1079*in_shop_ticket*in_shop_comm*in_ins_partner_share+F1079*in_shop_ticket*in_shop_renew_comm*in_ins_partner_share*(in_shop_renew^1*SUMIFS(AW1052:AW1090,B1052:B1090,B1079-12)+in_shop_renew^2*SUMIFS(AW1052:AW1090,B1052:B1090,B1079-24)+in_shop_renew^3*SUMIFS(AW1052:AW1090,B1052:B1090,B1079-36)+in_shop_renew^4*SUMIFS(AW1052:AW1090,B1052:B1090,B1079-48))</f>
        <v/>
      </c>
      <c r="AY1079" s="40">
        <f>AY1078*(1-IF(B1078&gt;=in_marketplace_from,d_hz_sip*G1078,0))</f>
        <v/>
      </c>
      <c r="AZ1079" s="40">
        <f>AZ1078*d_rho_sip+AY1079*IF(B1079&gt;=in_marketplace_from,d_hz_sip*G1079,0)</f>
        <v/>
      </c>
      <c r="BA1079" s="40">
        <f>d_rho_sip*(BA1078+AZ1078)</f>
        <v/>
      </c>
      <c r="BB1079" s="14">
        <f>F1079*in_sip_ticket*(BA1079+0.5*AZ1079)*in_sip_comm/12</f>
        <v/>
      </c>
      <c r="BC1079" s="40">
        <f>BC1078*(1-IF(B1078&gt;=in_marketplace_from,d_hz_choti*G1078,0))</f>
        <v/>
      </c>
      <c r="BD1079" s="46">
        <f>BC1079*IF(B1079&gt;=in_marketplace_from,d_hz_choti*G1079,0)</f>
        <v/>
      </c>
      <c r="BE1079" s="14">
        <f>F1079*SUMIFS(BD1052:BD1090,B1052:B1090,B1079-in_choti_months)*in_choti_renew*in_choti_ticket</f>
        <v/>
      </c>
      <c r="BF1079" s="40">
        <f>BF1078*(1-IF(B1078&gt;=in_marketplace_from,d_hz_nps*G1078,0))</f>
        <v/>
      </c>
      <c r="BG1079" s="14">
        <f>F1079*BF1079*IF(B1079&gt;=in_marketplace_from,d_hz_nps*G1079,0)*in_nps_ticket*in_nps_comm</f>
        <v/>
      </c>
      <c r="BH1079" s="40">
        <f>BH1078*(1-IF(B1078&gt;=in_marketplace_from,d_hz_gold*G1078,0))</f>
        <v/>
      </c>
      <c r="BI1079" s="40">
        <f>BI1078*d_rho_gold+BH1079*IF(B1079&gt;=in_marketplace_from,d_hz_gold*G1079,0)</f>
        <v/>
      </c>
      <c r="BJ1079" s="14">
        <f>F1079*BI1079*in_gold_ticket*in_gold_comm</f>
        <v/>
      </c>
      <c r="BK1079" s="40">
        <f>BK1078*(1-IF(B1078&gt;=in_marketplace_from,d_hz_fd*G1078,0))</f>
        <v/>
      </c>
      <c r="BL1079" s="14">
        <f>F1079*BK1079*IF(B1079&gt;=in_marketplace_from,d_hz_fd*G1079,0)*in_fd_ticket*in_fd_comm</f>
        <v/>
      </c>
      <c r="BM1079" s="40">
        <f>BM1078*(1-IF(B1078&gt;=in_marketplace_from,d_hz_recharge*G1078,0))</f>
        <v/>
      </c>
      <c r="BN1079" s="40">
        <f>BN1078*d_rho_recharge+BM1079*IF(B1079&gt;=in_marketplace_from,d_hz_recharge*G1079,0)</f>
        <v/>
      </c>
      <c r="BO1079" s="14">
        <f>F1079*BN1079*in_recharge_ticket*in_recharge_comm/12</f>
        <v/>
      </c>
      <c r="BP1079" s="40">
        <f>BP1078*(1-IF(B1078&gt;=in_marketplace_from,d_hz_bills*G1078,0))</f>
        <v/>
      </c>
      <c r="BQ1079" s="40">
        <f>BQ1078*d_rho_bills+BP1079*IF(B1079&gt;=in_marketplace_from,d_hz_bills*G1079,0)</f>
        <v/>
      </c>
      <c r="BR1079" s="14">
        <f>F1079*BQ1079*in_bills_ticket*in_bills_comm/12</f>
        <v/>
      </c>
      <c r="BS1079" s="40">
        <f>BS1078*(1-IF(B1078&gt;=in_marketplace_from,d_hz_loan_gold*G1078,0))</f>
        <v/>
      </c>
      <c r="BT1079" s="14">
        <f>F1079*BS1079*IF(B1079&gt;=in_marketplace_from,d_hz_loan_gold*G1079,0)*in_loan_gold_ticket*in_loan_gold_comm</f>
        <v/>
      </c>
      <c r="BU1079" s="40">
        <f>BU1078*(1-IF(B1078&gt;=in_marketplace_from,d_hz_loan_cd*G1078,0))</f>
        <v/>
      </c>
      <c r="BV1079" s="14">
        <f>F1079*BU1079*IF(B1079&gt;=in_marketplace_from,d_hz_loan_cd*G1079,0)*in_loan_cd_ticket*in_loan_cd_comm</f>
        <v/>
      </c>
      <c r="BW1079" s="40">
        <f>BW1078*(1-IF(B1078&gt;=in_marketplace_from,d_hz_loan_vehicle*G1078,0))</f>
        <v/>
      </c>
      <c r="BX1079" s="14">
        <f>F1079*BW1079*IF(B1079&gt;=in_marketplace_from,d_hz_loan_vehicle*G1079,0)*in_loan_vehicle_ticket*in_loan_vehicle_comm</f>
        <v/>
      </c>
      <c r="BY1079" s="40">
        <f>BY1078*(1-IF(B1078&gt;=in_marketplace_from,d_hz_loan_home*G1078,0)*BZ1078)</f>
        <v/>
      </c>
      <c r="BZ1079" s="11">
        <f>MIN(in_approval_cap,in_loan_home_approval*INDEX('Age profile'!$O$2:$O$61,B1079)*(1+in_approval_growth)^(D1079-1))</f>
        <v/>
      </c>
      <c r="CA1079" s="14">
        <f>F1079*BY1079*IF(B1079&gt;=in_marketplace_from,d_hz_loan_home*G1079,0)*BZ1079*in_loan_home_ticket*in_loan_home_comm</f>
        <v/>
      </c>
      <c r="CB1079" s="40">
        <f>CB1078*(1-IF(B1078&gt;=in_marketplace_from,d_hz_loan_lap*G1078,0)*CC1078)</f>
        <v/>
      </c>
      <c r="CC1079" s="11">
        <f>MIN(in_approval_cap,in_loan_lap_approval*INDEX('Age profile'!$O$2:$O$61,B1079)*(1+in_approval_growth)^(D1079-1))</f>
        <v/>
      </c>
      <c r="CD1079" s="14">
        <f>F1079*CB1079*IF(B1079&gt;=in_marketplace_from,d_hz_loan_lap*G1079,0)*CC1079*in_loan_lap_ticket*in_loan_lap_comm</f>
        <v/>
      </c>
      <c r="CE1079" s="14">
        <f>AA1079+AB1079+AC1079+AD1079+AG1079+AJ1079+AM1079+AP1079+AS1079+AU1079+AX1079+BB1079+BE1079+BG1079+BJ1079+BL1079+BO1079+BR1079+BT1079+BV1079+BX1079+CA1079+CD1079</f>
        <v/>
      </c>
    </row>
    <row r="1080">
      <c r="A1080" s="39" t="n">
        <v>22</v>
      </c>
      <c r="B1080" s="39" t="n">
        <v>29</v>
      </c>
      <c r="C1080" s="39">
        <f>A1080+B1080-1</f>
        <v/>
      </c>
      <c r="D1080" s="39">
        <f>INT((C1080-1)/12)+1</f>
        <v/>
      </c>
      <c r="E1080" s="44">
        <f>INDEX(Monthly!$B$2:$B$61,A1080)</f>
        <v/>
      </c>
      <c r="F1080" s="44">
        <f>E1080*INDEX('Age profile'!$B$2:$B$61,B1080)</f>
        <v/>
      </c>
      <c r="G1080" s="45">
        <f>MIN(in_takeup_cap,INDEX('Age profile'!$N$2:$N$61,B1080)*(1+in_takeup_growth)^(D1080-1))</f>
        <v/>
      </c>
      <c r="H1080" s="11">
        <f>MIN(in_approval_cap,in_approved_first*INDEX('Age profile'!$O$2:$O$61,B1080)*(1+in_approval_growth)^(D1080-1))</f>
        <v/>
      </c>
      <c r="I1080" s="45">
        <f>G1080*MIN(in_takeup_cap,INDEX('Age profile'!$O$2:$O$61,B1080)*(1+in_approval_growth)^(D1080-1))</f>
        <v/>
      </c>
      <c r="J1080" s="40">
        <f>(J1079-L1079)*F1080/F1079</f>
        <v/>
      </c>
      <c r="K1080" s="40">
        <f>(K1079-M1079)*F1080/F1079+SUMIFS(O1052:O1079,B1052:B1079,B1080-1-d_T)*F1080</f>
        <v/>
      </c>
      <c r="L1080" s="40">
        <f>IF(B1080&gt;=in_marketplace_from,J1080*d_hz*G1080*in_eligible*H1080,0)</f>
        <v/>
      </c>
      <c r="M1080" s="40">
        <f>IF(B1080&gt;=in_marketplace_from,K1080*d_hz*G1080*in_eligible*in_approved_repeat,0)</f>
        <v/>
      </c>
      <c r="N1080" s="40">
        <f>L1080+M1080</f>
        <v/>
      </c>
      <c r="O1080" s="46">
        <f>N1080/F1080</f>
        <v/>
      </c>
      <c r="P1080" s="40">
        <f>F1080-J1080-K1080</f>
        <v/>
      </c>
      <c r="Q1080" s="40">
        <f>IF(B1080&gt;=in_marketplace_from,(J1080+K1080)*d_hz*G1080,0)</f>
        <v/>
      </c>
      <c r="R1080" s="40">
        <f>SUMIFS(N1052:N1090,B1052:B1090,"&gt;="&amp;(B1080-d_T),B1052:B1090,"&lt;="&amp;(B1080-1))</f>
        <v/>
      </c>
      <c r="S1080" s="46">
        <f>(1-d_u)*S1079+IF(d_T&gt;in_topup_lag,SUMIFS(O1052:O1090,B1052:B1090,B1080-in_topup_lag)-d_udrop*SUMIFS(O1052:O1090,B1052:B1090,B1080-d_T),0)</f>
        <v/>
      </c>
      <c r="T1080" s="40">
        <f>F1080*d_u*S1080</f>
        <v/>
      </c>
      <c r="U1080" s="9">
        <f>L1080*in_ticket+M1080*d_rep_ticket</f>
        <v/>
      </c>
      <c r="V1080" s="9">
        <f>U1080+T1080*d_topup_amt</f>
        <v/>
      </c>
      <c r="W1080" s="40">
        <f>N1080+T1080*d_topup_ratio</f>
        <v/>
      </c>
      <c r="X1080" s="40">
        <f>SUMIFS(W1052:W1090,B1052:B1090,B1080-in_dpd_lag)*d_cured</f>
        <v/>
      </c>
      <c r="Y1080" s="40">
        <f>SUMIFS(W1052:W1090,B1052:B1090,B1080-in_rec_lag)*d_recd</f>
        <v/>
      </c>
      <c r="Z1080" s="40">
        <f>IF(AND(B1080&gt;=in_marketplace_from,B1080&lt;in_marketplace_from+in_card_months),in_card_share/in_card_months*F1080*I1080,IF(AND(B1080&gt;=in_marketplace_from+in_card_months,B1080&lt;in_marketplace_from+2*in_card_months),in_card_share*d_card_rem/in_card_months*F1080*MIN(in_takeup_cap,(1+in_takeup_growth)^(D1080-1))*MIN(in_takeup_cap,(1+in_approval_growth)^(D1080-1)),0))</f>
        <v/>
      </c>
      <c r="AA1080" s="14">
        <f>V1080*in_fee*(1-in_taken_back)</f>
        <v/>
      </c>
      <c r="AB1080" s="14">
        <f>SUMIFS(W1052:W1090,B1052:B1090,B1080-in_dpd_lag)*d_dpd</f>
        <v/>
      </c>
      <c r="AC1080" s="14">
        <f>SUMIFS(W1052:W1090,B1052:B1090,B1080-in_rec_lag)*d_rec</f>
        <v/>
      </c>
      <c r="AD1080" s="14">
        <f>Z1080*in_card_fee</f>
        <v/>
      </c>
      <c r="AE1080" s="40">
        <f>AE1079*(1-IF(B1079&gt;=in_marketplace_from,d_hz_hlth_small*G1079,0))</f>
        <v/>
      </c>
      <c r="AF1080" s="46">
        <f>AE1080*IF(B1080&gt;=in_marketplace_from,d_hz_hlth_small*G1080,0)</f>
        <v/>
      </c>
      <c r="AG1080" s="14">
        <f>F1080*AF1080*in_hlth_small_ticket*in_hlth_small_comm*in_ins_partner_share+F1080*in_hlth_small_ticket*in_hlth_small_renew_comm*in_ins_partner_share*(in_hlth_small_renew^1*SUMIFS(AF1052:AF1090,B1052:B1090,B1080-12)+in_hlth_small_renew^2*SUMIFS(AF1052:AF1090,B1052:B1090,B1080-24)+in_hlth_small_renew^3*SUMIFS(AF1052:AF1090,B1052:B1090,B1080-36)+in_hlth_small_renew^4*SUMIFS(AF1052:AF1090,B1052:B1090,B1080-48))</f>
        <v/>
      </c>
      <c r="AH1080" s="40">
        <f>AH1079*(1-IF(B1079&gt;=in_marketplace_from,d_hz_hlth_family*G1079,0))</f>
        <v/>
      </c>
      <c r="AI1080" s="46">
        <f>AH1080*IF(B1080&gt;=in_marketplace_from,d_hz_hlth_family*G1080,0)</f>
        <v/>
      </c>
      <c r="AJ1080" s="14">
        <f>F1080*AI1080*in_hlth_family_ticket*in_hlth_family_comm*in_ins_partner_share+F1080*in_hlth_family_ticket*in_hlth_family_renew_comm*in_ins_partner_share*(in_hlth_family_renew^1*SUMIFS(AI1052:AI1090,B1052:B1090,B1080-12)+in_hlth_family_renew^2*SUMIFS(AI1052:AI1090,B1052:B1090,B1080-24)+in_hlth_family_renew^3*SUMIFS(AI1052:AI1090,B1052:B1090,B1080-36)+in_hlth_family_renew^4*SUMIFS(AI1052:AI1090,B1052:B1090,B1080-48))</f>
        <v/>
      </c>
      <c r="AK1080" s="40">
        <f>AK1079*(1-IF(B1079&gt;=in_marketplace_from,d_hz_life_term*G1079,0))</f>
        <v/>
      </c>
      <c r="AL1080" s="46">
        <f>AK1080*IF(B1080&gt;=in_marketplace_from,d_hz_life_term*G1080,0)</f>
        <v/>
      </c>
      <c r="AM1080" s="14">
        <f>F1080*AL1080*in_life_term_ticket*in_life_term_comm*in_ins_partner_share+F1080*in_life_term_ticket*in_life_term_renew_comm*in_ins_partner_share*(in_life_term_renew^1*SUMIFS(AL1052:AL1090,B1052:B1090,B1080-12)+in_life_term_renew^2*SUMIFS(AL1052:AL1090,B1052:B1090,B1080-24)+in_life_term_renew^3*SUMIFS(AL1052:AL1090,B1052:B1090,B1080-36)+in_life_term_renew^4*SUMIFS(AL1052:AL1090,B1052:B1090,B1080-48))</f>
        <v/>
      </c>
      <c r="AN1080" s="40">
        <f>AN1079*(1-IF(B1079&gt;=in_marketplace_from,d_hz_accident*G1079,0))</f>
        <v/>
      </c>
      <c r="AO1080" s="46">
        <f>AN1080*IF(B1080&gt;=in_marketplace_from,d_hz_accident*G1080,0)</f>
        <v/>
      </c>
      <c r="AP1080" s="14">
        <f>F1080*AO1080*in_accident_ticket*in_accident_comm*in_ins_partner_share+F1080*in_accident_ticket*in_accident_renew_comm*in_ins_partner_share*(in_accident_renew^1*SUMIFS(AO1052:AO1090,B1052:B1090,B1080-12)+in_accident_renew^2*SUMIFS(AO1052:AO1090,B1052:B1090,B1080-24)+in_accident_renew^3*SUMIFS(AO1052:AO1090,B1052:B1090,B1080-36)+in_accident_renew^4*SUMIFS(AO1052:AO1090,B1052:B1090,B1080-48))</f>
        <v/>
      </c>
      <c r="AQ1080" s="40">
        <f>AQ1079*(1-IF(B1079&gt;=in_marketplace_from,d_hz_two_wheeler*G1079,0))</f>
        <v/>
      </c>
      <c r="AR1080" s="46">
        <f>AQ1080*IF(B1080&gt;=in_marketplace_from,d_hz_two_wheeler*G1080,0)</f>
        <v/>
      </c>
      <c r="AS1080" s="14">
        <f>F1080*AR1080*in_two_wheeler_ticket*in_two_wheeler_comm*in_ins_partner_share+F1080*in_two_wheeler_ticket*in_two_wheeler_comm*in_ins_partner_share*(in_two_wheeler_renew^1*SUMIFS(AR1052:AR1090,B1052:B1090,B1080-12)+in_two_wheeler_renew^2*SUMIFS(AR1052:AR1090,B1052:B1090,B1080-24)+in_two_wheeler_renew^3*SUMIFS(AR1052:AR1090,B1052:B1090,B1080-36)+in_two_wheeler_renew^4*SUMIFS(AR1052:AR1090,B1052:B1090,B1080-48))</f>
        <v/>
      </c>
      <c r="AT1080" s="40">
        <f>AT1079*(1-IF(B1079&gt;=in_marketplace_from,d_hz_device*G1079,0))</f>
        <v/>
      </c>
      <c r="AU1080" s="14">
        <f>F1080*AT1080*IF(B1080&gt;=in_marketplace_from,d_hz_device*G1080,0)*in_device_ticket*in_device_comm*in_ins_partner_share</f>
        <v/>
      </c>
      <c r="AV1080" s="40">
        <f>AV1079*(1-IF(B1079&gt;=in_marketplace_from,d_hz_shop*G1079,0))</f>
        <v/>
      </c>
      <c r="AW1080" s="46">
        <f>AV1080*IF(B1080&gt;=in_marketplace_from,d_hz_shop*G1080,0)</f>
        <v/>
      </c>
      <c r="AX1080" s="14">
        <f>F1080*AW1080*in_shop_ticket*in_shop_comm*in_ins_partner_share+F1080*in_shop_ticket*in_shop_renew_comm*in_ins_partner_share*(in_shop_renew^1*SUMIFS(AW1052:AW1090,B1052:B1090,B1080-12)+in_shop_renew^2*SUMIFS(AW1052:AW1090,B1052:B1090,B1080-24)+in_shop_renew^3*SUMIFS(AW1052:AW1090,B1052:B1090,B1080-36)+in_shop_renew^4*SUMIFS(AW1052:AW1090,B1052:B1090,B1080-48))</f>
        <v/>
      </c>
      <c r="AY1080" s="40">
        <f>AY1079*(1-IF(B1079&gt;=in_marketplace_from,d_hz_sip*G1079,0))</f>
        <v/>
      </c>
      <c r="AZ1080" s="40">
        <f>AZ1079*d_rho_sip+AY1080*IF(B1080&gt;=in_marketplace_from,d_hz_sip*G1080,0)</f>
        <v/>
      </c>
      <c r="BA1080" s="40">
        <f>d_rho_sip*(BA1079+AZ1079)</f>
        <v/>
      </c>
      <c r="BB1080" s="14">
        <f>F1080*in_sip_ticket*(BA1080+0.5*AZ1080)*in_sip_comm/12</f>
        <v/>
      </c>
      <c r="BC1080" s="40">
        <f>BC1079*(1-IF(B1079&gt;=in_marketplace_from,d_hz_choti*G1079,0))</f>
        <v/>
      </c>
      <c r="BD1080" s="46">
        <f>BC1080*IF(B1080&gt;=in_marketplace_from,d_hz_choti*G1080,0)</f>
        <v/>
      </c>
      <c r="BE1080" s="14">
        <f>F1080*SUMIFS(BD1052:BD1090,B1052:B1090,B1080-in_choti_months)*in_choti_renew*in_choti_ticket</f>
        <v/>
      </c>
      <c r="BF1080" s="40">
        <f>BF1079*(1-IF(B1079&gt;=in_marketplace_from,d_hz_nps*G1079,0))</f>
        <v/>
      </c>
      <c r="BG1080" s="14">
        <f>F1080*BF1080*IF(B1080&gt;=in_marketplace_from,d_hz_nps*G1080,0)*in_nps_ticket*in_nps_comm</f>
        <v/>
      </c>
      <c r="BH1080" s="40">
        <f>BH1079*(1-IF(B1079&gt;=in_marketplace_from,d_hz_gold*G1079,0))</f>
        <v/>
      </c>
      <c r="BI1080" s="40">
        <f>BI1079*d_rho_gold+BH1080*IF(B1080&gt;=in_marketplace_from,d_hz_gold*G1080,0)</f>
        <v/>
      </c>
      <c r="BJ1080" s="14">
        <f>F1080*BI1080*in_gold_ticket*in_gold_comm</f>
        <v/>
      </c>
      <c r="BK1080" s="40">
        <f>BK1079*(1-IF(B1079&gt;=in_marketplace_from,d_hz_fd*G1079,0))</f>
        <v/>
      </c>
      <c r="BL1080" s="14">
        <f>F1080*BK1080*IF(B1080&gt;=in_marketplace_from,d_hz_fd*G1080,0)*in_fd_ticket*in_fd_comm</f>
        <v/>
      </c>
      <c r="BM1080" s="40">
        <f>BM1079*(1-IF(B1079&gt;=in_marketplace_from,d_hz_recharge*G1079,0))</f>
        <v/>
      </c>
      <c r="BN1080" s="40">
        <f>BN1079*d_rho_recharge+BM1080*IF(B1080&gt;=in_marketplace_from,d_hz_recharge*G1080,0)</f>
        <v/>
      </c>
      <c r="BO1080" s="14">
        <f>F1080*BN1080*in_recharge_ticket*in_recharge_comm/12</f>
        <v/>
      </c>
      <c r="BP1080" s="40">
        <f>BP1079*(1-IF(B1079&gt;=in_marketplace_from,d_hz_bills*G1079,0))</f>
        <v/>
      </c>
      <c r="BQ1080" s="40">
        <f>BQ1079*d_rho_bills+BP1080*IF(B1080&gt;=in_marketplace_from,d_hz_bills*G1080,0)</f>
        <v/>
      </c>
      <c r="BR1080" s="14">
        <f>F1080*BQ1080*in_bills_ticket*in_bills_comm/12</f>
        <v/>
      </c>
      <c r="BS1080" s="40">
        <f>BS1079*(1-IF(B1079&gt;=in_marketplace_from,d_hz_loan_gold*G1079,0))</f>
        <v/>
      </c>
      <c r="BT1080" s="14">
        <f>F1080*BS1080*IF(B1080&gt;=in_marketplace_from,d_hz_loan_gold*G1080,0)*in_loan_gold_ticket*in_loan_gold_comm</f>
        <v/>
      </c>
      <c r="BU1080" s="40">
        <f>BU1079*(1-IF(B1079&gt;=in_marketplace_from,d_hz_loan_cd*G1079,0))</f>
        <v/>
      </c>
      <c r="BV1080" s="14">
        <f>F1080*BU1080*IF(B1080&gt;=in_marketplace_from,d_hz_loan_cd*G1080,0)*in_loan_cd_ticket*in_loan_cd_comm</f>
        <v/>
      </c>
      <c r="BW1080" s="40">
        <f>BW1079*(1-IF(B1079&gt;=in_marketplace_from,d_hz_loan_vehicle*G1079,0))</f>
        <v/>
      </c>
      <c r="BX1080" s="14">
        <f>F1080*BW1080*IF(B1080&gt;=in_marketplace_from,d_hz_loan_vehicle*G1080,0)*in_loan_vehicle_ticket*in_loan_vehicle_comm</f>
        <v/>
      </c>
      <c r="BY1080" s="40">
        <f>BY1079*(1-IF(B1079&gt;=in_marketplace_from,d_hz_loan_home*G1079,0)*BZ1079)</f>
        <v/>
      </c>
      <c r="BZ1080" s="11">
        <f>MIN(in_approval_cap,in_loan_home_approval*INDEX('Age profile'!$O$2:$O$61,B1080)*(1+in_approval_growth)^(D1080-1))</f>
        <v/>
      </c>
      <c r="CA1080" s="14">
        <f>F1080*BY1080*IF(B1080&gt;=in_marketplace_from,d_hz_loan_home*G1080,0)*BZ1080*in_loan_home_ticket*in_loan_home_comm</f>
        <v/>
      </c>
      <c r="CB1080" s="40">
        <f>CB1079*(1-IF(B1079&gt;=in_marketplace_from,d_hz_loan_lap*G1079,0)*CC1079)</f>
        <v/>
      </c>
      <c r="CC1080" s="11">
        <f>MIN(in_approval_cap,in_loan_lap_approval*INDEX('Age profile'!$O$2:$O$61,B1080)*(1+in_approval_growth)^(D1080-1))</f>
        <v/>
      </c>
      <c r="CD1080" s="14">
        <f>F1080*CB1080*IF(B1080&gt;=in_marketplace_from,d_hz_loan_lap*G1080,0)*CC1080*in_loan_lap_ticket*in_loan_lap_comm</f>
        <v/>
      </c>
      <c r="CE1080" s="14">
        <f>AA1080+AB1080+AC1080+AD1080+AG1080+AJ1080+AM1080+AP1080+AS1080+AU1080+AX1080+BB1080+BE1080+BG1080+BJ1080+BL1080+BO1080+BR1080+BT1080+BV1080+BX1080+CA1080+CD1080</f>
        <v/>
      </c>
    </row>
    <row r="1081">
      <c r="A1081" s="39" t="n">
        <v>22</v>
      </c>
      <c r="B1081" s="39" t="n">
        <v>30</v>
      </c>
      <c r="C1081" s="39">
        <f>A1081+B1081-1</f>
        <v/>
      </c>
      <c r="D1081" s="39">
        <f>INT((C1081-1)/12)+1</f>
        <v/>
      </c>
      <c r="E1081" s="44">
        <f>INDEX(Monthly!$B$2:$B$61,A1081)</f>
        <v/>
      </c>
      <c r="F1081" s="44">
        <f>E1081*INDEX('Age profile'!$B$2:$B$61,B1081)</f>
        <v/>
      </c>
      <c r="G1081" s="45">
        <f>MIN(in_takeup_cap,INDEX('Age profile'!$N$2:$N$61,B1081)*(1+in_takeup_growth)^(D1081-1))</f>
        <v/>
      </c>
      <c r="H1081" s="11">
        <f>MIN(in_approval_cap,in_approved_first*INDEX('Age profile'!$O$2:$O$61,B1081)*(1+in_approval_growth)^(D1081-1))</f>
        <v/>
      </c>
      <c r="I1081" s="45">
        <f>G1081*MIN(in_takeup_cap,INDEX('Age profile'!$O$2:$O$61,B1081)*(1+in_approval_growth)^(D1081-1))</f>
        <v/>
      </c>
      <c r="J1081" s="40">
        <f>(J1080-L1080)*F1081/F1080</f>
        <v/>
      </c>
      <c r="K1081" s="40">
        <f>(K1080-M1080)*F1081/F1080+SUMIFS(O1052:O1080,B1052:B1080,B1081-1-d_T)*F1081</f>
        <v/>
      </c>
      <c r="L1081" s="40">
        <f>IF(B1081&gt;=in_marketplace_from,J1081*d_hz*G1081*in_eligible*H1081,0)</f>
        <v/>
      </c>
      <c r="M1081" s="40">
        <f>IF(B1081&gt;=in_marketplace_from,K1081*d_hz*G1081*in_eligible*in_approved_repeat,0)</f>
        <v/>
      </c>
      <c r="N1081" s="40">
        <f>L1081+M1081</f>
        <v/>
      </c>
      <c r="O1081" s="46">
        <f>N1081/F1081</f>
        <v/>
      </c>
      <c r="P1081" s="40">
        <f>F1081-J1081-K1081</f>
        <v/>
      </c>
      <c r="Q1081" s="40">
        <f>IF(B1081&gt;=in_marketplace_from,(J1081+K1081)*d_hz*G1081,0)</f>
        <v/>
      </c>
      <c r="R1081" s="40">
        <f>SUMIFS(N1052:N1090,B1052:B1090,"&gt;="&amp;(B1081-d_T),B1052:B1090,"&lt;="&amp;(B1081-1))</f>
        <v/>
      </c>
      <c r="S1081" s="46">
        <f>(1-d_u)*S1080+IF(d_T&gt;in_topup_lag,SUMIFS(O1052:O1090,B1052:B1090,B1081-in_topup_lag)-d_udrop*SUMIFS(O1052:O1090,B1052:B1090,B1081-d_T),0)</f>
        <v/>
      </c>
      <c r="T1081" s="40">
        <f>F1081*d_u*S1081</f>
        <v/>
      </c>
      <c r="U1081" s="9">
        <f>L1081*in_ticket+M1081*d_rep_ticket</f>
        <v/>
      </c>
      <c r="V1081" s="9">
        <f>U1081+T1081*d_topup_amt</f>
        <v/>
      </c>
      <c r="W1081" s="40">
        <f>N1081+T1081*d_topup_ratio</f>
        <v/>
      </c>
      <c r="X1081" s="40">
        <f>SUMIFS(W1052:W1090,B1052:B1090,B1081-in_dpd_lag)*d_cured</f>
        <v/>
      </c>
      <c r="Y1081" s="40">
        <f>SUMIFS(W1052:W1090,B1052:B1090,B1081-in_rec_lag)*d_recd</f>
        <v/>
      </c>
      <c r="Z1081" s="40">
        <f>IF(AND(B1081&gt;=in_marketplace_from,B1081&lt;in_marketplace_from+in_card_months),in_card_share/in_card_months*F1081*I1081,IF(AND(B1081&gt;=in_marketplace_from+in_card_months,B1081&lt;in_marketplace_from+2*in_card_months),in_card_share*d_card_rem/in_card_months*F1081*MIN(in_takeup_cap,(1+in_takeup_growth)^(D1081-1))*MIN(in_takeup_cap,(1+in_approval_growth)^(D1081-1)),0))</f>
        <v/>
      </c>
      <c r="AA1081" s="14">
        <f>V1081*in_fee*(1-in_taken_back)</f>
        <v/>
      </c>
      <c r="AB1081" s="14">
        <f>SUMIFS(W1052:W1090,B1052:B1090,B1081-in_dpd_lag)*d_dpd</f>
        <v/>
      </c>
      <c r="AC1081" s="14">
        <f>SUMIFS(W1052:W1090,B1052:B1090,B1081-in_rec_lag)*d_rec</f>
        <v/>
      </c>
      <c r="AD1081" s="14">
        <f>Z1081*in_card_fee</f>
        <v/>
      </c>
      <c r="AE1081" s="40">
        <f>AE1080*(1-IF(B1080&gt;=in_marketplace_from,d_hz_hlth_small*G1080,0))</f>
        <v/>
      </c>
      <c r="AF1081" s="46">
        <f>AE1081*IF(B1081&gt;=in_marketplace_from,d_hz_hlth_small*G1081,0)</f>
        <v/>
      </c>
      <c r="AG1081" s="14">
        <f>F1081*AF1081*in_hlth_small_ticket*in_hlth_small_comm*in_ins_partner_share+F1081*in_hlth_small_ticket*in_hlth_small_renew_comm*in_ins_partner_share*(in_hlth_small_renew^1*SUMIFS(AF1052:AF1090,B1052:B1090,B1081-12)+in_hlth_small_renew^2*SUMIFS(AF1052:AF1090,B1052:B1090,B1081-24)+in_hlth_small_renew^3*SUMIFS(AF1052:AF1090,B1052:B1090,B1081-36)+in_hlth_small_renew^4*SUMIFS(AF1052:AF1090,B1052:B1090,B1081-48))</f>
        <v/>
      </c>
      <c r="AH1081" s="40">
        <f>AH1080*(1-IF(B1080&gt;=in_marketplace_from,d_hz_hlth_family*G1080,0))</f>
        <v/>
      </c>
      <c r="AI1081" s="46">
        <f>AH1081*IF(B1081&gt;=in_marketplace_from,d_hz_hlth_family*G1081,0)</f>
        <v/>
      </c>
      <c r="AJ1081" s="14">
        <f>F1081*AI1081*in_hlth_family_ticket*in_hlth_family_comm*in_ins_partner_share+F1081*in_hlth_family_ticket*in_hlth_family_renew_comm*in_ins_partner_share*(in_hlth_family_renew^1*SUMIFS(AI1052:AI1090,B1052:B1090,B1081-12)+in_hlth_family_renew^2*SUMIFS(AI1052:AI1090,B1052:B1090,B1081-24)+in_hlth_family_renew^3*SUMIFS(AI1052:AI1090,B1052:B1090,B1081-36)+in_hlth_family_renew^4*SUMIFS(AI1052:AI1090,B1052:B1090,B1081-48))</f>
        <v/>
      </c>
      <c r="AK1081" s="40">
        <f>AK1080*(1-IF(B1080&gt;=in_marketplace_from,d_hz_life_term*G1080,0))</f>
        <v/>
      </c>
      <c r="AL1081" s="46">
        <f>AK1081*IF(B1081&gt;=in_marketplace_from,d_hz_life_term*G1081,0)</f>
        <v/>
      </c>
      <c r="AM1081" s="14">
        <f>F1081*AL1081*in_life_term_ticket*in_life_term_comm*in_ins_partner_share+F1081*in_life_term_ticket*in_life_term_renew_comm*in_ins_partner_share*(in_life_term_renew^1*SUMIFS(AL1052:AL1090,B1052:B1090,B1081-12)+in_life_term_renew^2*SUMIFS(AL1052:AL1090,B1052:B1090,B1081-24)+in_life_term_renew^3*SUMIFS(AL1052:AL1090,B1052:B1090,B1081-36)+in_life_term_renew^4*SUMIFS(AL1052:AL1090,B1052:B1090,B1081-48))</f>
        <v/>
      </c>
      <c r="AN1081" s="40">
        <f>AN1080*(1-IF(B1080&gt;=in_marketplace_from,d_hz_accident*G1080,0))</f>
        <v/>
      </c>
      <c r="AO1081" s="46">
        <f>AN1081*IF(B1081&gt;=in_marketplace_from,d_hz_accident*G1081,0)</f>
        <v/>
      </c>
      <c r="AP1081" s="14">
        <f>F1081*AO1081*in_accident_ticket*in_accident_comm*in_ins_partner_share+F1081*in_accident_ticket*in_accident_renew_comm*in_ins_partner_share*(in_accident_renew^1*SUMIFS(AO1052:AO1090,B1052:B1090,B1081-12)+in_accident_renew^2*SUMIFS(AO1052:AO1090,B1052:B1090,B1081-24)+in_accident_renew^3*SUMIFS(AO1052:AO1090,B1052:B1090,B1081-36)+in_accident_renew^4*SUMIFS(AO1052:AO1090,B1052:B1090,B1081-48))</f>
        <v/>
      </c>
      <c r="AQ1081" s="40">
        <f>AQ1080*(1-IF(B1080&gt;=in_marketplace_from,d_hz_two_wheeler*G1080,0))</f>
        <v/>
      </c>
      <c r="AR1081" s="46">
        <f>AQ1081*IF(B1081&gt;=in_marketplace_from,d_hz_two_wheeler*G1081,0)</f>
        <v/>
      </c>
      <c r="AS1081" s="14">
        <f>F1081*AR1081*in_two_wheeler_ticket*in_two_wheeler_comm*in_ins_partner_share+F1081*in_two_wheeler_ticket*in_two_wheeler_comm*in_ins_partner_share*(in_two_wheeler_renew^1*SUMIFS(AR1052:AR1090,B1052:B1090,B1081-12)+in_two_wheeler_renew^2*SUMIFS(AR1052:AR1090,B1052:B1090,B1081-24)+in_two_wheeler_renew^3*SUMIFS(AR1052:AR1090,B1052:B1090,B1081-36)+in_two_wheeler_renew^4*SUMIFS(AR1052:AR1090,B1052:B1090,B1081-48))</f>
        <v/>
      </c>
      <c r="AT1081" s="40">
        <f>AT1080*(1-IF(B1080&gt;=in_marketplace_from,d_hz_device*G1080,0))</f>
        <v/>
      </c>
      <c r="AU1081" s="14">
        <f>F1081*AT1081*IF(B1081&gt;=in_marketplace_from,d_hz_device*G1081,0)*in_device_ticket*in_device_comm*in_ins_partner_share</f>
        <v/>
      </c>
      <c r="AV1081" s="40">
        <f>AV1080*(1-IF(B1080&gt;=in_marketplace_from,d_hz_shop*G1080,0))</f>
        <v/>
      </c>
      <c r="AW1081" s="46">
        <f>AV1081*IF(B1081&gt;=in_marketplace_from,d_hz_shop*G1081,0)</f>
        <v/>
      </c>
      <c r="AX1081" s="14">
        <f>F1081*AW1081*in_shop_ticket*in_shop_comm*in_ins_partner_share+F1081*in_shop_ticket*in_shop_renew_comm*in_ins_partner_share*(in_shop_renew^1*SUMIFS(AW1052:AW1090,B1052:B1090,B1081-12)+in_shop_renew^2*SUMIFS(AW1052:AW1090,B1052:B1090,B1081-24)+in_shop_renew^3*SUMIFS(AW1052:AW1090,B1052:B1090,B1081-36)+in_shop_renew^4*SUMIFS(AW1052:AW1090,B1052:B1090,B1081-48))</f>
        <v/>
      </c>
      <c r="AY1081" s="40">
        <f>AY1080*(1-IF(B1080&gt;=in_marketplace_from,d_hz_sip*G1080,0))</f>
        <v/>
      </c>
      <c r="AZ1081" s="40">
        <f>AZ1080*d_rho_sip+AY1081*IF(B1081&gt;=in_marketplace_from,d_hz_sip*G1081,0)</f>
        <v/>
      </c>
      <c r="BA1081" s="40">
        <f>d_rho_sip*(BA1080+AZ1080)</f>
        <v/>
      </c>
      <c r="BB1081" s="14">
        <f>F1081*in_sip_ticket*(BA1081+0.5*AZ1081)*in_sip_comm/12</f>
        <v/>
      </c>
      <c r="BC1081" s="40">
        <f>BC1080*(1-IF(B1080&gt;=in_marketplace_from,d_hz_choti*G1080,0))</f>
        <v/>
      </c>
      <c r="BD1081" s="46">
        <f>BC1081*IF(B1081&gt;=in_marketplace_from,d_hz_choti*G1081,0)</f>
        <v/>
      </c>
      <c r="BE1081" s="14">
        <f>F1081*SUMIFS(BD1052:BD1090,B1052:B1090,B1081-in_choti_months)*in_choti_renew*in_choti_ticket</f>
        <v/>
      </c>
      <c r="BF1081" s="40">
        <f>BF1080*(1-IF(B1080&gt;=in_marketplace_from,d_hz_nps*G1080,0))</f>
        <v/>
      </c>
      <c r="BG1081" s="14">
        <f>F1081*BF1081*IF(B1081&gt;=in_marketplace_from,d_hz_nps*G1081,0)*in_nps_ticket*in_nps_comm</f>
        <v/>
      </c>
      <c r="BH1081" s="40">
        <f>BH1080*(1-IF(B1080&gt;=in_marketplace_from,d_hz_gold*G1080,0))</f>
        <v/>
      </c>
      <c r="BI1081" s="40">
        <f>BI1080*d_rho_gold+BH1081*IF(B1081&gt;=in_marketplace_from,d_hz_gold*G1081,0)</f>
        <v/>
      </c>
      <c r="BJ1081" s="14">
        <f>F1081*BI1081*in_gold_ticket*in_gold_comm</f>
        <v/>
      </c>
      <c r="BK1081" s="40">
        <f>BK1080*(1-IF(B1080&gt;=in_marketplace_from,d_hz_fd*G1080,0))</f>
        <v/>
      </c>
      <c r="BL1081" s="14">
        <f>F1081*BK1081*IF(B1081&gt;=in_marketplace_from,d_hz_fd*G1081,0)*in_fd_ticket*in_fd_comm</f>
        <v/>
      </c>
      <c r="BM1081" s="40">
        <f>BM1080*(1-IF(B1080&gt;=in_marketplace_from,d_hz_recharge*G1080,0))</f>
        <v/>
      </c>
      <c r="BN1081" s="40">
        <f>BN1080*d_rho_recharge+BM1081*IF(B1081&gt;=in_marketplace_from,d_hz_recharge*G1081,0)</f>
        <v/>
      </c>
      <c r="BO1081" s="14">
        <f>F1081*BN1081*in_recharge_ticket*in_recharge_comm/12</f>
        <v/>
      </c>
      <c r="BP1081" s="40">
        <f>BP1080*(1-IF(B1080&gt;=in_marketplace_from,d_hz_bills*G1080,0))</f>
        <v/>
      </c>
      <c r="BQ1081" s="40">
        <f>BQ1080*d_rho_bills+BP1081*IF(B1081&gt;=in_marketplace_from,d_hz_bills*G1081,0)</f>
        <v/>
      </c>
      <c r="BR1081" s="14">
        <f>F1081*BQ1081*in_bills_ticket*in_bills_comm/12</f>
        <v/>
      </c>
      <c r="BS1081" s="40">
        <f>BS1080*(1-IF(B1080&gt;=in_marketplace_from,d_hz_loan_gold*G1080,0))</f>
        <v/>
      </c>
      <c r="BT1081" s="14">
        <f>F1081*BS1081*IF(B1081&gt;=in_marketplace_from,d_hz_loan_gold*G1081,0)*in_loan_gold_ticket*in_loan_gold_comm</f>
        <v/>
      </c>
      <c r="BU1081" s="40">
        <f>BU1080*(1-IF(B1080&gt;=in_marketplace_from,d_hz_loan_cd*G1080,0))</f>
        <v/>
      </c>
      <c r="BV1081" s="14">
        <f>F1081*BU1081*IF(B1081&gt;=in_marketplace_from,d_hz_loan_cd*G1081,0)*in_loan_cd_ticket*in_loan_cd_comm</f>
        <v/>
      </c>
      <c r="BW1081" s="40">
        <f>BW1080*(1-IF(B1080&gt;=in_marketplace_from,d_hz_loan_vehicle*G1080,0))</f>
        <v/>
      </c>
      <c r="BX1081" s="14">
        <f>F1081*BW1081*IF(B1081&gt;=in_marketplace_from,d_hz_loan_vehicle*G1081,0)*in_loan_vehicle_ticket*in_loan_vehicle_comm</f>
        <v/>
      </c>
      <c r="BY1081" s="40">
        <f>BY1080*(1-IF(B1080&gt;=in_marketplace_from,d_hz_loan_home*G1080,0)*BZ1080)</f>
        <v/>
      </c>
      <c r="BZ1081" s="11">
        <f>MIN(in_approval_cap,in_loan_home_approval*INDEX('Age profile'!$O$2:$O$61,B1081)*(1+in_approval_growth)^(D1081-1))</f>
        <v/>
      </c>
      <c r="CA1081" s="14">
        <f>F1081*BY1081*IF(B1081&gt;=in_marketplace_from,d_hz_loan_home*G1081,0)*BZ1081*in_loan_home_ticket*in_loan_home_comm</f>
        <v/>
      </c>
      <c r="CB1081" s="40">
        <f>CB1080*(1-IF(B1080&gt;=in_marketplace_from,d_hz_loan_lap*G1080,0)*CC1080)</f>
        <v/>
      </c>
      <c r="CC1081" s="11">
        <f>MIN(in_approval_cap,in_loan_lap_approval*INDEX('Age profile'!$O$2:$O$61,B1081)*(1+in_approval_growth)^(D1081-1))</f>
        <v/>
      </c>
      <c r="CD1081" s="14">
        <f>F1081*CB1081*IF(B1081&gt;=in_marketplace_from,d_hz_loan_lap*G1081,0)*CC1081*in_loan_lap_ticket*in_loan_lap_comm</f>
        <v/>
      </c>
      <c r="CE1081" s="14">
        <f>AA1081+AB1081+AC1081+AD1081+AG1081+AJ1081+AM1081+AP1081+AS1081+AU1081+AX1081+BB1081+BE1081+BG1081+BJ1081+BL1081+BO1081+BR1081+BT1081+BV1081+BX1081+CA1081+CD1081</f>
        <v/>
      </c>
    </row>
    <row r="1082">
      <c r="A1082" s="39" t="n">
        <v>22</v>
      </c>
      <c r="B1082" s="39" t="n">
        <v>31</v>
      </c>
      <c r="C1082" s="39">
        <f>A1082+B1082-1</f>
        <v/>
      </c>
      <c r="D1082" s="39">
        <f>INT((C1082-1)/12)+1</f>
        <v/>
      </c>
      <c r="E1082" s="44">
        <f>INDEX(Monthly!$B$2:$B$61,A1082)</f>
        <v/>
      </c>
      <c r="F1082" s="44">
        <f>E1082*INDEX('Age profile'!$B$2:$B$61,B1082)</f>
        <v/>
      </c>
      <c r="G1082" s="45">
        <f>MIN(in_takeup_cap,INDEX('Age profile'!$N$2:$N$61,B1082)*(1+in_takeup_growth)^(D1082-1))</f>
        <v/>
      </c>
      <c r="H1082" s="11">
        <f>MIN(in_approval_cap,in_approved_first*INDEX('Age profile'!$O$2:$O$61,B1082)*(1+in_approval_growth)^(D1082-1))</f>
        <v/>
      </c>
      <c r="I1082" s="45">
        <f>G1082*MIN(in_takeup_cap,INDEX('Age profile'!$O$2:$O$61,B1082)*(1+in_approval_growth)^(D1082-1))</f>
        <v/>
      </c>
      <c r="J1082" s="40">
        <f>(J1081-L1081)*F1082/F1081</f>
        <v/>
      </c>
      <c r="K1082" s="40">
        <f>(K1081-M1081)*F1082/F1081+SUMIFS(O1052:O1081,B1052:B1081,B1082-1-d_T)*F1082</f>
        <v/>
      </c>
      <c r="L1082" s="40">
        <f>IF(B1082&gt;=in_marketplace_from,J1082*d_hz*G1082*in_eligible*H1082,0)</f>
        <v/>
      </c>
      <c r="M1082" s="40">
        <f>IF(B1082&gt;=in_marketplace_from,K1082*d_hz*G1082*in_eligible*in_approved_repeat,0)</f>
        <v/>
      </c>
      <c r="N1082" s="40">
        <f>L1082+M1082</f>
        <v/>
      </c>
      <c r="O1082" s="46">
        <f>N1082/F1082</f>
        <v/>
      </c>
      <c r="P1082" s="40">
        <f>F1082-J1082-K1082</f>
        <v/>
      </c>
      <c r="Q1082" s="40">
        <f>IF(B1082&gt;=in_marketplace_from,(J1082+K1082)*d_hz*G1082,0)</f>
        <v/>
      </c>
      <c r="R1082" s="40">
        <f>SUMIFS(N1052:N1090,B1052:B1090,"&gt;="&amp;(B1082-d_T),B1052:B1090,"&lt;="&amp;(B1082-1))</f>
        <v/>
      </c>
      <c r="S1082" s="46">
        <f>(1-d_u)*S1081+IF(d_T&gt;in_topup_lag,SUMIFS(O1052:O1090,B1052:B1090,B1082-in_topup_lag)-d_udrop*SUMIFS(O1052:O1090,B1052:B1090,B1082-d_T),0)</f>
        <v/>
      </c>
      <c r="T1082" s="40">
        <f>F1082*d_u*S1082</f>
        <v/>
      </c>
      <c r="U1082" s="9">
        <f>L1082*in_ticket+M1082*d_rep_ticket</f>
        <v/>
      </c>
      <c r="V1082" s="9">
        <f>U1082+T1082*d_topup_amt</f>
        <v/>
      </c>
      <c r="W1082" s="40">
        <f>N1082+T1082*d_topup_ratio</f>
        <v/>
      </c>
      <c r="X1082" s="40">
        <f>SUMIFS(W1052:W1090,B1052:B1090,B1082-in_dpd_lag)*d_cured</f>
        <v/>
      </c>
      <c r="Y1082" s="40">
        <f>SUMIFS(W1052:W1090,B1052:B1090,B1082-in_rec_lag)*d_recd</f>
        <v/>
      </c>
      <c r="Z1082" s="40">
        <f>IF(AND(B1082&gt;=in_marketplace_from,B1082&lt;in_marketplace_from+in_card_months),in_card_share/in_card_months*F1082*I1082,IF(AND(B1082&gt;=in_marketplace_from+in_card_months,B1082&lt;in_marketplace_from+2*in_card_months),in_card_share*d_card_rem/in_card_months*F1082*MIN(in_takeup_cap,(1+in_takeup_growth)^(D1082-1))*MIN(in_takeup_cap,(1+in_approval_growth)^(D1082-1)),0))</f>
        <v/>
      </c>
      <c r="AA1082" s="14">
        <f>V1082*in_fee*(1-in_taken_back)</f>
        <v/>
      </c>
      <c r="AB1082" s="14">
        <f>SUMIFS(W1052:W1090,B1052:B1090,B1082-in_dpd_lag)*d_dpd</f>
        <v/>
      </c>
      <c r="AC1082" s="14">
        <f>SUMIFS(W1052:W1090,B1052:B1090,B1082-in_rec_lag)*d_rec</f>
        <v/>
      </c>
      <c r="AD1082" s="14">
        <f>Z1082*in_card_fee</f>
        <v/>
      </c>
      <c r="AE1082" s="40">
        <f>AE1081*(1-IF(B1081&gt;=in_marketplace_from,d_hz_hlth_small*G1081,0))</f>
        <v/>
      </c>
      <c r="AF1082" s="46">
        <f>AE1082*IF(B1082&gt;=in_marketplace_from,d_hz_hlth_small*G1082,0)</f>
        <v/>
      </c>
      <c r="AG1082" s="14">
        <f>F1082*AF1082*in_hlth_small_ticket*in_hlth_small_comm*in_ins_partner_share+F1082*in_hlth_small_ticket*in_hlth_small_renew_comm*in_ins_partner_share*(in_hlth_small_renew^1*SUMIFS(AF1052:AF1090,B1052:B1090,B1082-12)+in_hlth_small_renew^2*SUMIFS(AF1052:AF1090,B1052:B1090,B1082-24)+in_hlth_small_renew^3*SUMIFS(AF1052:AF1090,B1052:B1090,B1082-36)+in_hlth_small_renew^4*SUMIFS(AF1052:AF1090,B1052:B1090,B1082-48))</f>
        <v/>
      </c>
      <c r="AH1082" s="40">
        <f>AH1081*(1-IF(B1081&gt;=in_marketplace_from,d_hz_hlth_family*G1081,0))</f>
        <v/>
      </c>
      <c r="AI1082" s="46">
        <f>AH1082*IF(B1082&gt;=in_marketplace_from,d_hz_hlth_family*G1082,0)</f>
        <v/>
      </c>
      <c r="AJ1082" s="14">
        <f>F1082*AI1082*in_hlth_family_ticket*in_hlth_family_comm*in_ins_partner_share+F1082*in_hlth_family_ticket*in_hlth_family_renew_comm*in_ins_partner_share*(in_hlth_family_renew^1*SUMIFS(AI1052:AI1090,B1052:B1090,B1082-12)+in_hlth_family_renew^2*SUMIFS(AI1052:AI1090,B1052:B1090,B1082-24)+in_hlth_family_renew^3*SUMIFS(AI1052:AI1090,B1052:B1090,B1082-36)+in_hlth_family_renew^4*SUMIFS(AI1052:AI1090,B1052:B1090,B1082-48))</f>
        <v/>
      </c>
      <c r="AK1082" s="40">
        <f>AK1081*(1-IF(B1081&gt;=in_marketplace_from,d_hz_life_term*G1081,0))</f>
        <v/>
      </c>
      <c r="AL1082" s="46">
        <f>AK1082*IF(B1082&gt;=in_marketplace_from,d_hz_life_term*G1082,0)</f>
        <v/>
      </c>
      <c r="AM1082" s="14">
        <f>F1082*AL1082*in_life_term_ticket*in_life_term_comm*in_ins_partner_share+F1082*in_life_term_ticket*in_life_term_renew_comm*in_ins_partner_share*(in_life_term_renew^1*SUMIFS(AL1052:AL1090,B1052:B1090,B1082-12)+in_life_term_renew^2*SUMIFS(AL1052:AL1090,B1052:B1090,B1082-24)+in_life_term_renew^3*SUMIFS(AL1052:AL1090,B1052:B1090,B1082-36)+in_life_term_renew^4*SUMIFS(AL1052:AL1090,B1052:B1090,B1082-48))</f>
        <v/>
      </c>
      <c r="AN1082" s="40">
        <f>AN1081*(1-IF(B1081&gt;=in_marketplace_from,d_hz_accident*G1081,0))</f>
        <v/>
      </c>
      <c r="AO1082" s="46">
        <f>AN1082*IF(B1082&gt;=in_marketplace_from,d_hz_accident*G1082,0)</f>
        <v/>
      </c>
      <c r="AP1082" s="14">
        <f>F1082*AO1082*in_accident_ticket*in_accident_comm*in_ins_partner_share+F1082*in_accident_ticket*in_accident_renew_comm*in_ins_partner_share*(in_accident_renew^1*SUMIFS(AO1052:AO1090,B1052:B1090,B1082-12)+in_accident_renew^2*SUMIFS(AO1052:AO1090,B1052:B1090,B1082-24)+in_accident_renew^3*SUMIFS(AO1052:AO1090,B1052:B1090,B1082-36)+in_accident_renew^4*SUMIFS(AO1052:AO1090,B1052:B1090,B1082-48))</f>
        <v/>
      </c>
      <c r="AQ1082" s="40">
        <f>AQ1081*(1-IF(B1081&gt;=in_marketplace_from,d_hz_two_wheeler*G1081,0))</f>
        <v/>
      </c>
      <c r="AR1082" s="46">
        <f>AQ1082*IF(B1082&gt;=in_marketplace_from,d_hz_two_wheeler*G1082,0)</f>
        <v/>
      </c>
      <c r="AS1082" s="14">
        <f>F1082*AR1082*in_two_wheeler_ticket*in_two_wheeler_comm*in_ins_partner_share+F1082*in_two_wheeler_ticket*in_two_wheeler_comm*in_ins_partner_share*(in_two_wheeler_renew^1*SUMIFS(AR1052:AR1090,B1052:B1090,B1082-12)+in_two_wheeler_renew^2*SUMIFS(AR1052:AR1090,B1052:B1090,B1082-24)+in_two_wheeler_renew^3*SUMIFS(AR1052:AR1090,B1052:B1090,B1082-36)+in_two_wheeler_renew^4*SUMIFS(AR1052:AR1090,B1052:B1090,B1082-48))</f>
        <v/>
      </c>
      <c r="AT1082" s="40">
        <f>AT1081*(1-IF(B1081&gt;=in_marketplace_from,d_hz_device*G1081,0))</f>
        <v/>
      </c>
      <c r="AU1082" s="14">
        <f>F1082*AT1082*IF(B1082&gt;=in_marketplace_from,d_hz_device*G1082,0)*in_device_ticket*in_device_comm*in_ins_partner_share</f>
        <v/>
      </c>
      <c r="AV1082" s="40">
        <f>AV1081*(1-IF(B1081&gt;=in_marketplace_from,d_hz_shop*G1081,0))</f>
        <v/>
      </c>
      <c r="AW1082" s="46">
        <f>AV1082*IF(B1082&gt;=in_marketplace_from,d_hz_shop*G1082,0)</f>
        <v/>
      </c>
      <c r="AX1082" s="14">
        <f>F1082*AW1082*in_shop_ticket*in_shop_comm*in_ins_partner_share+F1082*in_shop_ticket*in_shop_renew_comm*in_ins_partner_share*(in_shop_renew^1*SUMIFS(AW1052:AW1090,B1052:B1090,B1082-12)+in_shop_renew^2*SUMIFS(AW1052:AW1090,B1052:B1090,B1082-24)+in_shop_renew^3*SUMIFS(AW1052:AW1090,B1052:B1090,B1082-36)+in_shop_renew^4*SUMIFS(AW1052:AW1090,B1052:B1090,B1082-48))</f>
        <v/>
      </c>
      <c r="AY1082" s="40">
        <f>AY1081*(1-IF(B1081&gt;=in_marketplace_from,d_hz_sip*G1081,0))</f>
        <v/>
      </c>
      <c r="AZ1082" s="40">
        <f>AZ1081*d_rho_sip+AY1082*IF(B1082&gt;=in_marketplace_from,d_hz_sip*G1082,0)</f>
        <v/>
      </c>
      <c r="BA1082" s="40">
        <f>d_rho_sip*(BA1081+AZ1081)</f>
        <v/>
      </c>
      <c r="BB1082" s="14">
        <f>F1082*in_sip_ticket*(BA1082+0.5*AZ1082)*in_sip_comm/12</f>
        <v/>
      </c>
      <c r="BC1082" s="40">
        <f>BC1081*(1-IF(B1081&gt;=in_marketplace_from,d_hz_choti*G1081,0))</f>
        <v/>
      </c>
      <c r="BD1082" s="46">
        <f>BC1082*IF(B1082&gt;=in_marketplace_from,d_hz_choti*G1082,0)</f>
        <v/>
      </c>
      <c r="BE1082" s="14">
        <f>F1082*SUMIFS(BD1052:BD1090,B1052:B1090,B1082-in_choti_months)*in_choti_renew*in_choti_ticket</f>
        <v/>
      </c>
      <c r="BF1082" s="40">
        <f>BF1081*(1-IF(B1081&gt;=in_marketplace_from,d_hz_nps*G1081,0))</f>
        <v/>
      </c>
      <c r="BG1082" s="14">
        <f>F1082*BF1082*IF(B1082&gt;=in_marketplace_from,d_hz_nps*G1082,0)*in_nps_ticket*in_nps_comm</f>
        <v/>
      </c>
      <c r="BH1082" s="40">
        <f>BH1081*(1-IF(B1081&gt;=in_marketplace_from,d_hz_gold*G1081,0))</f>
        <v/>
      </c>
      <c r="BI1082" s="40">
        <f>BI1081*d_rho_gold+BH1082*IF(B1082&gt;=in_marketplace_from,d_hz_gold*G1082,0)</f>
        <v/>
      </c>
      <c r="BJ1082" s="14">
        <f>F1082*BI1082*in_gold_ticket*in_gold_comm</f>
        <v/>
      </c>
      <c r="BK1082" s="40">
        <f>BK1081*(1-IF(B1081&gt;=in_marketplace_from,d_hz_fd*G1081,0))</f>
        <v/>
      </c>
      <c r="BL1082" s="14">
        <f>F1082*BK1082*IF(B1082&gt;=in_marketplace_from,d_hz_fd*G1082,0)*in_fd_ticket*in_fd_comm</f>
        <v/>
      </c>
      <c r="BM1082" s="40">
        <f>BM1081*(1-IF(B1081&gt;=in_marketplace_from,d_hz_recharge*G1081,0))</f>
        <v/>
      </c>
      <c r="BN1082" s="40">
        <f>BN1081*d_rho_recharge+BM1082*IF(B1082&gt;=in_marketplace_from,d_hz_recharge*G1082,0)</f>
        <v/>
      </c>
      <c r="BO1082" s="14">
        <f>F1082*BN1082*in_recharge_ticket*in_recharge_comm/12</f>
        <v/>
      </c>
      <c r="BP1082" s="40">
        <f>BP1081*(1-IF(B1081&gt;=in_marketplace_from,d_hz_bills*G1081,0))</f>
        <v/>
      </c>
      <c r="BQ1082" s="40">
        <f>BQ1081*d_rho_bills+BP1082*IF(B1082&gt;=in_marketplace_from,d_hz_bills*G1082,0)</f>
        <v/>
      </c>
      <c r="BR1082" s="14">
        <f>F1082*BQ1082*in_bills_ticket*in_bills_comm/12</f>
        <v/>
      </c>
      <c r="BS1082" s="40">
        <f>BS1081*(1-IF(B1081&gt;=in_marketplace_from,d_hz_loan_gold*G1081,0))</f>
        <v/>
      </c>
      <c r="BT1082" s="14">
        <f>F1082*BS1082*IF(B1082&gt;=in_marketplace_from,d_hz_loan_gold*G1082,0)*in_loan_gold_ticket*in_loan_gold_comm</f>
        <v/>
      </c>
      <c r="BU1082" s="40">
        <f>BU1081*(1-IF(B1081&gt;=in_marketplace_from,d_hz_loan_cd*G1081,0))</f>
        <v/>
      </c>
      <c r="BV1082" s="14">
        <f>F1082*BU1082*IF(B1082&gt;=in_marketplace_from,d_hz_loan_cd*G1082,0)*in_loan_cd_ticket*in_loan_cd_comm</f>
        <v/>
      </c>
      <c r="BW1082" s="40">
        <f>BW1081*(1-IF(B1081&gt;=in_marketplace_from,d_hz_loan_vehicle*G1081,0))</f>
        <v/>
      </c>
      <c r="BX1082" s="14">
        <f>F1082*BW1082*IF(B1082&gt;=in_marketplace_from,d_hz_loan_vehicle*G1082,0)*in_loan_vehicle_ticket*in_loan_vehicle_comm</f>
        <v/>
      </c>
      <c r="BY1082" s="40">
        <f>BY1081*(1-IF(B1081&gt;=in_marketplace_from,d_hz_loan_home*G1081,0)*BZ1081)</f>
        <v/>
      </c>
      <c r="BZ1082" s="11">
        <f>MIN(in_approval_cap,in_loan_home_approval*INDEX('Age profile'!$O$2:$O$61,B1082)*(1+in_approval_growth)^(D1082-1))</f>
        <v/>
      </c>
      <c r="CA1082" s="14">
        <f>F1082*BY1082*IF(B1082&gt;=in_marketplace_from,d_hz_loan_home*G1082,0)*BZ1082*in_loan_home_ticket*in_loan_home_comm</f>
        <v/>
      </c>
      <c r="CB1082" s="40">
        <f>CB1081*(1-IF(B1081&gt;=in_marketplace_from,d_hz_loan_lap*G1081,0)*CC1081)</f>
        <v/>
      </c>
      <c r="CC1082" s="11">
        <f>MIN(in_approval_cap,in_loan_lap_approval*INDEX('Age profile'!$O$2:$O$61,B1082)*(1+in_approval_growth)^(D1082-1))</f>
        <v/>
      </c>
      <c r="CD1082" s="14">
        <f>F1082*CB1082*IF(B1082&gt;=in_marketplace_from,d_hz_loan_lap*G1082,0)*CC1082*in_loan_lap_ticket*in_loan_lap_comm</f>
        <v/>
      </c>
      <c r="CE1082" s="14">
        <f>AA1082+AB1082+AC1082+AD1082+AG1082+AJ1082+AM1082+AP1082+AS1082+AU1082+AX1082+BB1082+BE1082+BG1082+BJ1082+BL1082+BO1082+BR1082+BT1082+BV1082+BX1082+CA1082+CD1082</f>
        <v/>
      </c>
    </row>
    <row r="1083">
      <c r="A1083" s="39" t="n">
        <v>22</v>
      </c>
      <c r="B1083" s="39" t="n">
        <v>32</v>
      </c>
      <c r="C1083" s="39">
        <f>A1083+B1083-1</f>
        <v/>
      </c>
      <c r="D1083" s="39">
        <f>INT((C1083-1)/12)+1</f>
        <v/>
      </c>
      <c r="E1083" s="44">
        <f>INDEX(Monthly!$B$2:$B$61,A1083)</f>
        <v/>
      </c>
      <c r="F1083" s="44">
        <f>E1083*INDEX('Age profile'!$B$2:$B$61,B1083)</f>
        <v/>
      </c>
      <c r="G1083" s="45">
        <f>MIN(in_takeup_cap,INDEX('Age profile'!$N$2:$N$61,B1083)*(1+in_takeup_growth)^(D1083-1))</f>
        <v/>
      </c>
      <c r="H1083" s="11">
        <f>MIN(in_approval_cap,in_approved_first*INDEX('Age profile'!$O$2:$O$61,B1083)*(1+in_approval_growth)^(D1083-1))</f>
        <v/>
      </c>
      <c r="I1083" s="45">
        <f>G1083*MIN(in_takeup_cap,INDEX('Age profile'!$O$2:$O$61,B1083)*(1+in_approval_growth)^(D1083-1))</f>
        <v/>
      </c>
      <c r="J1083" s="40">
        <f>(J1082-L1082)*F1083/F1082</f>
        <v/>
      </c>
      <c r="K1083" s="40">
        <f>(K1082-M1082)*F1083/F1082+SUMIFS(O1052:O1082,B1052:B1082,B1083-1-d_T)*F1083</f>
        <v/>
      </c>
      <c r="L1083" s="40">
        <f>IF(B1083&gt;=in_marketplace_from,J1083*d_hz*G1083*in_eligible*H1083,0)</f>
        <v/>
      </c>
      <c r="M1083" s="40">
        <f>IF(B1083&gt;=in_marketplace_from,K1083*d_hz*G1083*in_eligible*in_approved_repeat,0)</f>
        <v/>
      </c>
      <c r="N1083" s="40">
        <f>L1083+M1083</f>
        <v/>
      </c>
      <c r="O1083" s="46">
        <f>N1083/F1083</f>
        <v/>
      </c>
      <c r="P1083" s="40">
        <f>F1083-J1083-K1083</f>
        <v/>
      </c>
      <c r="Q1083" s="40">
        <f>IF(B1083&gt;=in_marketplace_from,(J1083+K1083)*d_hz*G1083,0)</f>
        <v/>
      </c>
      <c r="R1083" s="40">
        <f>SUMIFS(N1052:N1090,B1052:B1090,"&gt;="&amp;(B1083-d_T),B1052:B1090,"&lt;="&amp;(B1083-1))</f>
        <v/>
      </c>
      <c r="S1083" s="46">
        <f>(1-d_u)*S1082+IF(d_T&gt;in_topup_lag,SUMIFS(O1052:O1090,B1052:B1090,B1083-in_topup_lag)-d_udrop*SUMIFS(O1052:O1090,B1052:B1090,B1083-d_T),0)</f>
        <v/>
      </c>
      <c r="T1083" s="40">
        <f>F1083*d_u*S1083</f>
        <v/>
      </c>
      <c r="U1083" s="9">
        <f>L1083*in_ticket+M1083*d_rep_ticket</f>
        <v/>
      </c>
      <c r="V1083" s="9">
        <f>U1083+T1083*d_topup_amt</f>
        <v/>
      </c>
      <c r="W1083" s="40">
        <f>N1083+T1083*d_topup_ratio</f>
        <v/>
      </c>
      <c r="X1083" s="40">
        <f>SUMIFS(W1052:W1090,B1052:B1090,B1083-in_dpd_lag)*d_cured</f>
        <v/>
      </c>
      <c r="Y1083" s="40">
        <f>SUMIFS(W1052:W1090,B1052:B1090,B1083-in_rec_lag)*d_recd</f>
        <v/>
      </c>
      <c r="Z1083" s="40">
        <f>IF(AND(B1083&gt;=in_marketplace_from,B1083&lt;in_marketplace_from+in_card_months),in_card_share/in_card_months*F1083*I1083,IF(AND(B1083&gt;=in_marketplace_from+in_card_months,B1083&lt;in_marketplace_from+2*in_card_months),in_card_share*d_card_rem/in_card_months*F1083*MIN(in_takeup_cap,(1+in_takeup_growth)^(D1083-1))*MIN(in_takeup_cap,(1+in_approval_growth)^(D1083-1)),0))</f>
        <v/>
      </c>
      <c r="AA1083" s="14">
        <f>V1083*in_fee*(1-in_taken_back)</f>
        <v/>
      </c>
      <c r="AB1083" s="14">
        <f>SUMIFS(W1052:W1090,B1052:B1090,B1083-in_dpd_lag)*d_dpd</f>
        <v/>
      </c>
      <c r="AC1083" s="14">
        <f>SUMIFS(W1052:W1090,B1052:B1090,B1083-in_rec_lag)*d_rec</f>
        <v/>
      </c>
      <c r="AD1083" s="14">
        <f>Z1083*in_card_fee</f>
        <v/>
      </c>
      <c r="AE1083" s="40">
        <f>AE1082*(1-IF(B1082&gt;=in_marketplace_from,d_hz_hlth_small*G1082,0))</f>
        <v/>
      </c>
      <c r="AF1083" s="46">
        <f>AE1083*IF(B1083&gt;=in_marketplace_from,d_hz_hlth_small*G1083,0)</f>
        <v/>
      </c>
      <c r="AG1083" s="14">
        <f>F1083*AF1083*in_hlth_small_ticket*in_hlth_small_comm*in_ins_partner_share+F1083*in_hlth_small_ticket*in_hlth_small_renew_comm*in_ins_partner_share*(in_hlth_small_renew^1*SUMIFS(AF1052:AF1090,B1052:B1090,B1083-12)+in_hlth_small_renew^2*SUMIFS(AF1052:AF1090,B1052:B1090,B1083-24)+in_hlth_small_renew^3*SUMIFS(AF1052:AF1090,B1052:B1090,B1083-36)+in_hlth_small_renew^4*SUMIFS(AF1052:AF1090,B1052:B1090,B1083-48))</f>
        <v/>
      </c>
      <c r="AH1083" s="40">
        <f>AH1082*(1-IF(B1082&gt;=in_marketplace_from,d_hz_hlth_family*G1082,0))</f>
        <v/>
      </c>
      <c r="AI1083" s="46">
        <f>AH1083*IF(B1083&gt;=in_marketplace_from,d_hz_hlth_family*G1083,0)</f>
        <v/>
      </c>
      <c r="AJ1083" s="14">
        <f>F1083*AI1083*in_hlth_family_ticket*in_hlth_family_comm*in_ins_partner_share+F1083*in_hlth_family_ticket*in_hlth_family_renew_comm*in_ins_partner_share*(in_hlth_family_renew^1*SUMIFS(AI1052:AI1090,B1052:B1090,B1083-12)+in_hlth_family_renew^2*SUMIFS(AI1052:AI1090,B1052:B1090,B1083-24)+in_hlth_family_renew^3*SUMIFS(AI1052:AI1090,B1052:B1090,B1083-36)+in_hlth_family_renew^4*SUMIFS(AI1052:AI1090,B1052:B1090,B1083-48))</f>
        <v/>
      </c>
      <c r="AK1083" s="40">
        <f>AK1082*(1-IF(B1082&gt;=in_marketplace_from,d_hz_life_term*G1082,0))</f>
        <v/>
      </c>
      <c r="AL1083" s="46">
        <f>AK1083*IF(B1083&gt;=in_marketplace_from,d_hz_life_term*G1083,0)</f>
        <v/>
      </c>
      <c r="AM1083" s="14">
        <f>F1083*AL1083*in_life_term_ticket*in_life_term_comm*in_ins_partner_share+F1083*in_life_term_ticket*in_life_term_renew_comm*in_ins_partner_share*(in_life_term_renew^1*SUMIFS(AL1052:AL1090,B1052:B1090,B1083-12)+in_life_term_renew^2*SUMIFS(AL1052:AL1090,B1052:B1090,B1083-24)+in_life_term_renew^3*SUMIFS(AL1052:AL1090,B1052:B1090,B1083-36)+in_life_term_renew^4*SUMIFS(AL1052:AL1090,B1052:B1090,B1083-48))</f>
        <v/>
      </c>
      <c r="AN1083" s="40">
        <f>AN1082*(1-IF(B1082&gt;=in_marketplace_from,d_hz_accident*G1082,0))</f>
        <v/>
      </c>
      <c r="AO1083" s="46">
        <f>AN1083*IF(B1083&gt;=in_marketplace_from,d_hz_accident*G1083,0)</f>
        <v/>
      </c>
      <c r="AP1083" s="14">
        <f>F1083*AO1083*in_accident_ticket*in_accident_comm*in_ins_partner_share+F1083*in_accident_ticket*in_accident_renew_comm*in_ins_partner_share*(in_accident_renew^1*SUMIFS(AO1052:AO1090,B1052:B1090,B1083-12)+in_accident_renew^2*SUMIFS(AO1052:AO1090,B1052:B1090,B1083-24)+in_accident_renew^3*SUMIFS(AO1052:AO1090,B1052:B1090,B1083-36)+in_accident_renew^4*SUMIFS(AO1052:AO1090,B1052:B1090,B1083-48))</f>
        <v/>
      </c>
      <c r="AQ1083" s="40">
        <f>AQ1082*(1-IF(B1082&gt;=in_marketplace_from,d_hz_two_wheeler*G1082,0))</f>
        <v/>
      </c>
      <c r="AR1083" s="46">
        <f>AQ1083*IF(B1083&gt;=in_marketplace_from,d_hz_two_wheeler*G1083,0)</f>
        <v/>
      </c>
      <c r="AS1083" s="14">
        <f>F1083*AR1083*in_two_wheeler_ticket*in_two_wheeler_comm*in_ins_partner_share+F1083*in_two_wheeler_ticket*in_two_wheeler_comm*in_ins_partner_share*(in_two_wheeler_renew^1*SUMIFS(AR1052:AR1090,B1052:B1090,B1083-12)+in_two_wheeler_renew^2*SUMIFS(AR1052:AR1090,B1052:B1090,B1083-24)+in_two_wheeler_renew^3*SUMIFS(AR1052:AR1090,B1052:B1090,B1083-36)+in_two_wheeler_renew^4*SUMIFS(AR1052:AR1090,B1052:B1090,B1083-48))</f>
        <v/>
      </c>
      <c r="AT1083" s="40">
        <f>AT1082*(1-IF(B1082&gt;=in_marketplace_from,d_hz_device*G1082,0))</f>
        <v/>
      </c>
      <c r="AU1083" s="14">
        <f>F1083*AT1083*IF(B1083&gt;=in_marketplace_from,d_hz_device*G1083,0)*in_device_ticket*in_device_comm*in_ins_partner_share</f>
        <v/>
      </c>
      <c r="AV1083" s="40">
        <f>AV1082*(1-IF(B1082&gt;=in_marketplace_from,d_hz_shop*G1082,0))</f>
        <v/>
      </c>
      <c r="AW1083" s="46">
        <f>AV1083*IF(B1083&gt;=in_marketplace_from,d_hz_shop*G1083,0)</f>
        <v/>
      </c>
      <c r="AX1083" s="14">
        <f>F1083*AW1083*in_shop_ticket*in_shop_comm*in_ins_partner_share+F1083*in_shop_ticket*in_shop_renew_comm*in_ins_partner_share*(in_shop_renew^1*SUMIFS(AW1052:AW1090,B1052:B1090,B1083-12)+in_shop_renew^2*SUMIFS(AW1052:AW1090,B1052:B1090,B1083-24)+in_shop_renew^3*SUMIFS(AW1052:AW1090,B1052:B1090,B1083-36)+in_shop_renew^4*SUMIFS(AW1052:AW1090,B1052:B1090,B1083-48))</f>
        <v/>
      </c>
      <c r="AY1083" s="40">
        <f>AY1082*(1-IF(B1082&gt;=in_marketplace_from,d_hz_sip*G1082,0))</f>
        <v/>
      </c>
      <c r="AZ1083" s="40">
        <f>AZ1082*d_rho_sip+AY1083*IF(B1083&gt;=in_marketplace_from,d_hz_sip*G1083,0)</f>
        <v/>
      </c>
      <c r="BA1083" s="40">
        <f>d_rho_sip*(BA1082+AZ1082)</f>
        <v/>
      </c>
      <c r="BB1083" s="14">
        <f>F1083*in_sip_ticket*(BA1083+0.5*AZ1083)*in_sip_comm/12</f>
        <v/>
      </c>
      <c r="BC1083" s="40">
        <f>BC1082*(1-IF(B1082&gt;=in_marketplace_from,d_hz_choti*G1082,0))</f>
        <v/>
      </c>
      <c r="BD1083" s="46">
        <f>BC1083*IF(B1083&gt;=in_marketplace_from,d_hz_choti*G1083,0)</f>
        <v/>
      </c>
      <c r="BE1083" s="14">
        <f>F1083*SUMIFS(BD1052:BD1090,B1052:B1090,B1083-in_choti_months)*in_choti_renew*in_choti_ticket</f>
        <v/>
      </c>
      <c r="BF1083" s="40">
        <f>BF1082*(1-IF(B1082&gt;=in_marketplace_from,d_hz_nps*G1082,0))</f>
        <v/>
      </c>
      <c r="BG1083" s="14">
        <f>F1083*BF1083*IF(B1083&gt;=in_marketplace_from,d_hz_nps*G1083,0)*in_nps_ticket*in_nps_comm</f>
        <v/>
      </c>
      <c r="BH1083" s="40">
        <f>BH1082*(1-IF(B1082&gt;=in_marketplace_from,d_hz_gold*G1082,0))</f>
        <v/>
      </c>
      <c r="BI1083" s="40">
        <f>BI1082*d_rho_gold+BH1083*IF(B1083&gt;=in_marketplace_from,d_hz_gold*G1083,0)</f>
        <v/>
      </c>
      <c r="BJ1083" s="14">
        <f>F1083*BI1083*in_gold_ticket*in_gold_comm</f>
        <v/>
      </c>
      <c r="BK1083" s="40">
        <f>BK1082*(1-IF(B1082&gt;=in_marketplace_from,d_hz_fd*G1082,0))</f>
        <v/>
      </c>
      <c r="BL1083" s="14">
        <f>F1083*BK1083*IF(B1083&gt;=in_marketplace_from,d_hz_fd*G1083,0)*in_fd_ticket*in_fd_comm</f>
        <v/>
      </c>
      <c r="BM1083" s="40">
        <f>BM1082*(1-IF(B1082&gt;=in_marketplace_from,d_hz_recharge*G1082,0))</f>
        <v/>
      </c>
      <c r="BN1083" s="40">
        <f>BN1082*d_rho_recharge+BM1083*IF(B1083&gt;=in_marketplace_from,d_hz_recharge*G1083,0)</f>
        <v/>
      </c>
      <c r="BO1083" s="14">
        <f>F1083*BN1083*in_recharge_ticket*in_recharge_comm/12</f>
        <v/>
      </c>
      <c r="BP1083" s="40">
        <f>BP1082*(1-IF(B1082&gt;=in_marketplace_from,d_hz_bills*G1082,0))</f>
        <v/>
      </c>
      <c r="BQ1083" s="40">
        <f>BQ1082*d_rho_bills+BP1083*IF(B1083&gt;=in_marketplace_from,d_hz_bills*G1083,0)</f>
        <v/>
      </c>
      <c r="BR1083" s="14">
        <f>F1083*BQ1083*in_bills_ticket*in_bills_comm/12</f>
        <v/>
      </c>
      <c r="BS1083" s="40">
        <f>BS1082*(1-IF(B1082&gt;=in_marketplace_from,d_hz_loan_gold*G1082,0))</f>
        <v/>
      </c>
      <c r="BT1083" s="14">
        <f>F1083*BS1083*IF(B1083&gt;=in_marketplace_from,d_hz_loan_gold*G1083,0)*in_loan_gold_ticket*in_loan_gold_comm</f>
        <v/>
      </c>
      <c r="BU1083" s="40">
        <f>BU1082*(1-IF(B1082&gt;=in_marketplace_from,d_hz_loan_cd*G1082,0))</f>
        <v/>
      </c>
      <c r="BV1083" s="14">
        <f>F1083*BU1083*IF(B1083&gt;=in_marketplace_from,d_hz_loan_cd*G1083,0)*in_loan_cd_ticket*in_loan_cd_comm</f>
        <v/>
      </c>
      <c r="BW1083" s="40">
        <f>BW1082*(1-IF(B1082&gt;=in_marketplace_from,d_hz_loan_vehicle*G1082,0))</f>
        <v/>
      </c>
      <c r="BX1083" s="14">
        <f>F1083*BW1083*IF(B1083&gt;=in_marketplace_from,d_hz_loan_vehicle*G1083,0)*in_loan_vehicle_ticket*in_loan_vehicle_comm</f>
        <v/>
      </c>
      <c r="BY1083" s="40">
        <f>BY1082*(1-IF(B1082&gt;=in_marketplace_from,d_hz_loan_home*G1082,0)*BZ1082)</f>
        <v/>
      </c>
      <c r="BZ1083" s="11">
        <f>MIN(in_approval_cap,in_loan_home_approval*INDEX('Age profile'!$O$2:$O$61,B1083)*(1+in_approval_growth)^(D1083-1))</f>
        <v/>
      </c>
      <c r="CA1083" s="14">
        <f>F1083*BY1083*IF(B1083&gt;=in_marketplace_from,d_hz_loan_home*G1083,0)*BZ1083*in_loan_home_ticket*in_loan_home_comm</f>
        <v/>
      </c>
      <c r="CB1083" s="40">
        <f>CB1082*(1-IF(B1082&gt;=in_marketplace_from,d_hz_loan_lap*G1082,0)*CC1082)</f>
        <v/>
      </c>
      <c r="CC1083" s="11">
        <f>MIN(in_approval_cap,in_loan_lap_approval*INDEX('Age profile'!$O$2:$O$61,B1083)*(1+in_approval_growth)^(D1083-1))</f>
        <v/>
      </c>
      <c r="CD1083" s="14">
        <f>F1083*CB1083*IF(B1083&gt;=in_marketplace_from,d_hz_loan_lap*G1083,0)*CC1083*in_loan_lap_ticket*in_loan_lap_comm</f>
        <v/>
      </c>
      <c r="CE1083" s="14">
        <f>AA1083+AB1083+AC1083+AD1083+AG1083+AJ1083+AM1083+AP1083+AS1083+AU1083+AX1083+BB1083+BE1083+BG1083+BJ1083+BL1083+BO1083+BR1083+BT1083+BV1083+BX1083+CA1083+CD1083</f>
        <v/>
      </c>
    </row>
    <row r="1084">
      <c r="A1084" s="39" t="n">
        <v>22</v>
      </c>
      <c r="B1084" s="39" t="n">
        <v>33</v>
      </c>
      <c r="C1084" s="39">
        <f>A1084+B1084-1</f>
        <v/>
      </c>
      <c r="D1084" s="39">
        <f>INT((C1084-1)/12)+1</f>
        <v/>
      </c>
      <c r="E1084" s="44">
        <f>INDEX(Monthly!$B$2:$B$61,A1084)</f>
        <v/>
      </c>
      <c r="F1084" s="44">
        <f>E1084*INDEX('Age profile'!$B$2:$B$61,B1084)</f>
        <v/>
      </c>
      <c r="G1084" s="45">
        <f>MIN(in_takeup_cap,INDEX('Age profile'!$N$2:$N$61,B1084)*(1+in_takeup_growth)^(D1084-1))</f>
        <v/>
      </c>
      <c r="H1084" s="11">
        <f>MIN(in_approval_cap,in_approved_first*INDEX('Age profile'!$O$2:$O$61,B1084)*(1+in_approval_growth)^(D1084-1))</f>
        <v/>
      </c>
      <c r="I1084" s="45">
        <f>G1084*MIN(in_takeup_cap,INDEX('Age profile'!$O$2:$O$61,B1084)*(1+in_approval_growth)^(D1084-1))</f>
        <v/>
      </c>
      <c r="J1084" s="40">
        <f>(J1083-L1083)*F1084/F1083</f>
        <v/>
      </c>
      <c r="K1084" s="40">
        <f>(K1083-M1083)*F1084/F1083+SUMIFS(O1052:O1083,B1052:B1083,B1084-1-d_T)*F1084</f>
        <v/>
      </c>
      <c r="L1084" s="40">
        <f>IF(B1084&gt;=in_marketplace_from,J1084*d_hz*G1084*in_eligible*H1084,0)</f>
        <v/>
      </c>
      <c r="M1084" s="40">
        <f>IF(B1084&gt;=in_marketplace_from,K1084*d_hz*G1084*in_eligible*in_approved_repeat,0)</f>
        <v/>
      </c>
      <c r="N1084" s="40">
        <f>L1084+M1084</f>
        <v/>
      </c>
      <c r="O1084" s="46">
        <f>N1084/F1084</f>
        <v/>
      </c>
      <c r="P1084" s="40">
        <f>F1084-J1084-K1084</f>
        <v/>
      </c>
      <c r="Q1084" s="40">
        <f>IF(B1084&gt;=in_marketplace_from,(J1084+K1084)*d_hz*G1084,0)</f>
        <v/>
      </c>
      <c r="R1084" s="40">
        <f>SUMIFS(N1052:N1090,B1052:B1090,"&gt;="&amp;(B1084-d_T),B1052:B1090,"&lt;="&amp;(B1084-1))</f>
        <v/>
      </c>
      <c r="S1084" s="46">
        <f>(1-d_u)*S1083+IF(d_T&gt;in_topup_lag,SUMIFS(O1052:O1090,B1052:B1090,B1084-in_topup_lag)-d_udrop*SUMIFS(O1052:O1090,B1052:B1090,B1084-d_T),0)</f>
        <v/>
      </c>
      <c r="T1084" s="40">
        <f>F1084*d_u*S1084</f>
        <v/>
      </c>
      <c r="U1084" s="9">
        <f>L1084*in_ticket+M1084*d_rep_ticket</f>
        <v/>
      </c>
      <c r="V1084" s="9">
        <f>U1084+T1084*d_topup_amt</f>
        <v/>
      </c>
      <c r="W1084" s="40">
        <f>N1084+T1084*d_topup_ratio</f>
        <v/>
      </c>
      <c r="X1084" s="40">
        <f>SUMIFS(W1052:W1090,B1052:B1090,B1084-in_dpd_lag)*d_cured</f>
        <v/>
      </c>
      <c r="Y1084" s="40">
        <f>SUMIFS(W1052:W1090,B1052:B1090,B1084-in_rec_lag)*d_recd</f>
        <v/>
      </c>
      <c r="Z1084" s="40">
        <f>IF(AND(B1084&gt;=in_marketplace_from,B1084&lt;in_marketplace_from+in_card_months),in_card_share/in_card_months*F1084*I1084,IF(AND(B1084&gt;=in_marketplace_from+in_card_months,B1084&lt;in_marketplace_from+2*in_card_months),in_card_share*d_card_rem/in_card_months*F1084*MIN(in_takeup_cap,(1+in_takeup_growth)^(D1084-1))*MIN(in_takeup_cap,(1+in_approval_growth)^(D1084-1)),0))</f>
        <v/>
      </c>
      <c r="AA1084" s="14">
        <f>V1084*in_fee*(1-in_taken_back)</f>
        <v/>
      </c>
      <c r="AB1084" s="14">
        <f>SUMIFS(W1052:W1090,B1052:B1090,B1084-in_dpd_lag)*d_dpd</f>
        <v/>
      </c>
      <c r="AC1084" s="14">
        <f>SUMIFS(W1052:W1090,B1052:B1090,B1084-in_rec_lag)*d_rec</f>
        <v/>
      </c>
      <c r="AD1084" s="14">
        <f>Z1084*in_card_fee</f>
        <v/>
      </c>
      <c r="AE1084" s="40">
        <f>AE1083*(1-IF(B1083&gt;=in_marketplace_from,d_hz_hlth_small*G1083,0))</f>
        <v/>
      </c>
      <c r="AF1084" s="46">
        <f>AE1084*IF(B1084&gt;=in_marketplace_from,d_hz_hlth_small*G1084,0)</f>
        <v/>
      </c>
      <c r="AG1084" s="14">
        <f>F1084*AF1084*in_hlth_small_ticket*in_hlth_small_comm*in_ins_partner_share+F1084*in_hlth_small_ticket*in_hlth_small_renew_comm*in_ins_partner_share*(in_hlth_small_renew^1*SUMIFS(AF1052:AF1090,B1052:B1090,B1084-12)+in_hlth_small_renew^2*SUMIFS(AF1052:AF1090,B1052:B1090,B1084-24)+in_hlth_small_renew^3*SUMIFS(AF1052:AF1090,B1052:B1090,B1084-36)+in_hlth_small_renew^4*SUMIFS(AF1052:AF1090,B1052:B1090,B1084-48))</f>
        <v/>
      </c>
      <c r="AH1084" s="40">
        <f>AH1083*(1-IF(B1083&gt;=in_marketplace_from,d_hz_hlth_family*G1083,0))</f>
        <v/>
      </c>
      <c r="AI1084" s="46">
        <f>AH1084*IF(B1084&gt;=in_marketplace_from,d_hz_hlth_family*G1084,0)</f>
        <v/>
      </c>
      <c r="AJ1084" s="14">
        <f>F1084*AI1084*in_hlth_family_ticket*in_hlth_family_comm*in_ins_partner_share+F1084*in_hlth_family_ticket*in_hlth_family_renew_comm*in_ins_partner_share*(in_hlth_family_renew^1*SUMIFS(AI1052:AI1090,B1052:B1090,B1084-12)+in_hlth_family_renew^2*SUMIFS(AI1052:AI1090,B1052:B1090,B1084-24)+in_hlth_family_renew^3*SUMIFS(AI1052:AI1090,B1052:B1090,B1084-36)+in_hlth_family_renew^4*SUMIFS(AI1052:AI1090,B1052:B1090,B1084-48))</f>
        <v/>
      </c>
      <c r="AK1084" s="40">
        <f>AK1083*(1-IF(B1083&gt;=in_marketplace_from,d_hz_life_term*G1083,0))</f>
        <v/>
      </c>
      <c r="AL1084" s="46">
        <f>AK1084*IF(B1084&gt;=in_marketplace_from,d_hz_life_term*G1084,0)</f>
        <v/>
      </c>
      <c r="AM1084" s="14">
        <f>F1084*AL1084*in_life_term_ticket*in_life_term_comm*in_ins_partner_share+F1084*in_life_term_ticket*in_life_term_renew_comm*in_ins_partner_share*(in_life_term_renew^1*SUMIFS(AL1052:AL1090,B1052:B1090,B1084-12)+in_life_term_renew^2*SUMIFS(AL1052:AL1090,B1052:B1090,B1084-24)+in_life_term_renew^3*SUMIFS(AL1052:AL1090,B1052:B1090,B1084-36)+in_life_term_renew^4*SUMIFS(AL1052:AL1090,B1052:B1090,B1084-48))</f>
        <v/>
      </c>
      <c r="AN1084" s="40">
        <f>AN1083*(1-IF(B1083&gt;=in_marketplace_from,d_hz_accident*G1083,0))</f>
        <v/>
      </c>
      <c r="AO1084" s="46">
        <f>AN1084*IF(B1084&gt;=in_marketplace_from,d_hz_accident*G1084,0)</f>
        <v/>
      </c>
      <c r="AP1084" s="14">
        <f>F1084*AO1084*in_accident_ticket*in_accident_comm*in_ins_partner_share+F1084*in_accident_ticket*in_accident_renew_comm*in_ins_partner_share*(in_accident_renew^1*SUMIFS(AO1052:AO1090,B1052:B1090,B1084-12)+in_accident_renew^2*SUMIFS(AO1052:AO1090,B1052:B1090,B1084-24)+in_accident_renew^3*SUMIFS(AO1052:AO1090,B1052:B1090,B1084-36)+in_accident_renew^4*SUMIFS(AO1052:AO1090,B1052:B1090,B1084-48))</f>
        <v/>
      </c>
      <c r="AQ1084" s="40">
        <f>AQ1083*(1-IF(B1083&gt;=in_marketplace_from,d_hz_two_wheeler*G1083,0))</f>
        <v/>
      </c>
      <c r="AR1084" s="46">
        <f>AQ1084*IF(B1084&gt;=in_marketplace_from,d_hz_two_wheeler*G1084,0)</f>
        <v/>
      </c>
      <c r="AS1084" s="14">
        <f>F1084*AR1084*in_two_wheeler_ticket*in_two_wheeler_comm*in_ins_partner_share+F1084*in_two_wheeler_ticket*in_two_wheeler_comm*in_ins_partner_share*(in_two_wheeler_renew^1*SUMIFS(AR1052:AR1090,B1052:B1090,B1084-12)+in_two_wheeler_renew^2*SUMIFS(AR1052:AR1090,B1052:B1090,B1084-24)+in_two_wheeler_renew^3*SUMIFS(AR1052:AR1090,B1052:B1090,B1084-36)+in_two_wheeler_renew^4*SUMIFS(AR1052:AR1090,B1052:B1090,B1084-48))</f>
        <v/>
      </c>
      <c r="AT1084" s="40">
        <f>AT1083*(1-IF(B1083&gt;=in_marketplace_from,d_hz_device*G1083,0))</f>
        <v/>
      </c>
      <c r="AU1084" s="14">
        <f>F1084*AT1084*IF(B1084&gt;=in_marketplace_from,d_hz_device*G1084,0)*in_device_ticket*in_device_comm*in_ins_partner_share</f>
        <v/>
      </c>
      <c r="AV1084" s="40">
        <f>AV1083*(1-IF(B1083&gt;=in_marketplace_from,d_hz_shop*G1083,0))</f>
        <v/>
      </c>
      <c r="AW1084" s="46">
        <f>AV1084*IF(B1084&gt;=in_marketplace_from,d_hz_shop*G1084,0)</f>
        <v/>
      </c>
      <c r="AX1084" s="14">
        <f>F1084*AW1084*in_shop_ticket*in_shop_comm*in_ins_partner_share+F1084*in_shop_ticket*in_shop_renew_comm*in_ins_partner_share*(in_shop_renew^1*SUMIFS(AW1052:AW1090,B1052:B1090,B1084-12)+in_shop_renew^2*SUMIFS(AW1052:AW1090,B1052:B1090,B1084-24)+in_shop_renew^3*SUMIFS(AW1052:AW1090,B1052:B1090,B1084-36)+in_shop_renew^4*SUMIFS(AW1052:AW1090,B1052:B1090,B1084-48))</f>
        <v/>
      </c>
      <c r="AY1084" s="40">
        <f>AY1083*(1-IF(B1083&gt;=in_marketplace_from,d_hz_sip*G1083,0))</f>
        <v/>
      </c>
      <c r="AZ1084" s="40">
        <f>AZ1083*d_rho_sip+AY1084*IF(B1084&gt;=in_marketplace_from,d_hz_sip*G1084,0)</f>
        <v/>
      </c>
      <c r="BA1084" s="40">
        <f>d_rho_sip*(BA1083+AZ1083)</f>
        <v/>
      </c>
      <c r="BB1084" s="14">
        <f>F1084*in_sip_ticket*(BA1084+0.5*AZ1084)*in_sip_comm/12</f>
        <v/>
      </c>
      <c r="BC1084" s="40">
        <f>BC1083*(1-IF(B1083&gt;=in_marketplace_from,d_hz_choti*G1083,0))</f>
        <v/>
      </c>
      <c r="BD1084" s="46">
        <f>BC1084*IF(B1084&gt;=in_marketplace_from,d_hz_choti*G1084,0)</f>
        <v/>
      </c>
      <c r="BE1084" s="14">
        <f>F1084*SUMIFS(BD1052:BD1090,B1052:B1090,B1084-in_choti_months)*in_choti_renew*in_choti_ticket</f>
        <v/>
      </c>
      <c r="BF1084" s="40">
        <f>BF1083*(1-IF(B1083&gt;=in_marketplace_from,d_hz_nps*G1083,0))</f>
        <v/>
      </c>
      <c r="BG1084" s="14">
        <f>F1084*BF1084*IF(B1084&gt;=in_marketplace_from,d_hz_nps*G1084,0)*in_nps_ticket*in_nps_comm</f>
        <v/>
      </c>
      <c r="BH1084" s="40">
        <f>BH1083*(1-IF(B1083&gt;=in_marketplace_from,d_hz_gold*G1083,0))</f>
        <v/>
      </c>
      <c r="BI1084" s="40">
        <f>BI1083*d_rho_gold+BH1084*IF(B1084&gt;=in_marketplace_from,d_hz_gold*G1084,0)</f>
        <v/>
      </c>
      <c r="BJ1084" s="14">
        <f>F1084*BI1084*in_gold_ticket*in_gold_comm</f>
        <v/>
      </c>
      <c r="BK1084" s="40">
        <f>BK1083*(1-IF(B1083&gt;=in_marketplace_from,d_hz_fd*G1083,0))</f>
        <v/>
      </c>
      <c r="BL1084" s="14">
        <f>F1084*BK1084*IF(B1084&gt;=in_marketplace_from,d_hz_fd*G1084,0)*in_fd_ticket*in_fd_comm</f>
        <v/>
      </c>
      <c r="BM1084" s="40">
        <f>BM1083*(1-IF(B1083&gt;=in_marketplace_from,d_hz_recharge*G1083,0))</f>
        <v/>
      </c>
      <c r="BN1084" s="40">
        <f>BN1083*d_rho_recharge+BM1084*IF(B1084&gt;=in_marketplace_from,d_hz_recharge*G1084,0)</f>
        <v/>
      </c>
      <c r="BO1084" s="14">
        <f>F1084*BN1084*in_recharge_ticket*in_recharge_comm/12</f>
        <v/>
      </c>
      <c r="BP1084" s="40">
        <f>BP1083*(1-IF(B1083&gt;=in_marketplace_from,d_hz_bills*G1083,0))</f>
        <v/>
      </c>
      <c r="BQ1084" s="40">
        <f>BQ1083*d_rho_bills+BP1084*IF(B1084&gt;=in_marketplace_from,d_hz_bills*G1084,0)</f>
        <v/>
      </c>
      <c r="BR1084" s="14">
        <f>F1084*BQ1084*in_bills_ticket*in_bills_comm/12</f>
        <v/>
      </c>
      <c r="BS1084" s="40">
        <f>BS1083*(1-IF(B1083&gt;=in_marketplace_from,d_hz_loan_gold*G1083,0))</f>
        <v/>
      </c>
      <c r="BT1084" s="14">
        <f>F1084*BS1084*IF(B1084&gt;=in_marketplace_from,d_hz_loan_gold*G1084,0)*in_loan_gold_ticket*in_loan_gold_comm</f>
        <v/>
      </c>
      <c r="BU1084" s="40">
        <f>BU1083*(1-IF(B1083&gt;=in_marketplace_from,d_hz_loan_cd*G1083,0))</f>
        <v/>
      </c>
      <c r="BV1084" s="14">
        <f>F1084*BU1084*IF(B1084&gt;=in_marketplace_from,d_hz_loan_cd*G1084,0)*in_loan_cd_ticket*in_loan_cd_comm</f>
        <v/>
      </c>
      <c r="BW1084" s="40">
        <f>BW1083*(1-IF(B1083&gt;=in_marketplace_from,d_hz_loan_vehicle*G1083,0))</f>
        <v/>
      </c>
      <c r="BX1084" s="14">
        <f>F1084*BW1084*IF(B1084&gt;=in_marketplace_from,d_hz_loan_vehicle*G1084,0)*in_loan_vehicle_ticket*in_loan_vehicle_comm</f>
        <v/>
      </c>
      <c r="BY1084" s="40">
        <f>BY1083*(1-IF(B1083&gt;=in_marketplace_from,d_hz_loan_home*G1083,0)*BZ1083)</f>
        <v/>
      </c>
      <c r="BZ1084" s="11">
        <f>MIN(in_approval_cap,in_loan_home_approval*INDEX('Age profile'!$O$2:$O$61,B1084)*(1+in_approval_growth)^(D1084-1))</f>
        <v/>
      </c>
      <c r="CA1084" s="14">
        <f>F1084*BY1084*IF(B1084&gt;=in_marketplace_from,d_hz_loan_home*G1084,0)*BZ1084*in_loan_home_ticket*in_loan_home_comm</f>
        <v/>
      </c>
      <c r="CB1084" s="40">
        <f>CB1083*(1-IF(B1083&gt;=in_marketplace_from,d_hz_loan_lap*G1083,0)*CC1083)</f>
        <v/>
      </c>
      <c r="CC1084" s="11">
        <f>MIN(in_approval_cap,in_loan_lap_approval*INDEX('Age profile'!$O$2:$O$61,B1084)*(1+in_approval_growth)^(D1084-1))</f>
        <v/>
      </c>
      <c r="CD1084" s="14">
        <f>F1084*CB1084*IF(B1084&gt;=in_marketplace_from,d_hz_loan_lap*G1084,0)*CC1084*in_loan_lap_ticket*in_loan_lap_comm</f>
        <v/>
      </c>
      <c r="CE1084" s="14">
        <f>AA1084+AB1084+AC1084+AD1084+AG1084+AJ1084+AM1084+AP1084+AS1084+AU1084+AX1084+BB1084+BE1084+BG1084+BJ1084+BL1084+BO1084+BR1084+BT1084+BV1084+BX1084+CA1084+CD1084</f>
        <v/>
      </c>
    </row>
    <row r="1085">
      <c r="A1085" s="39" t="n">
        <v>22</v>
      </c>
      <c r="B1085" s="39" t="n">
        <v>34</v>
      </c>
      <c r="C1085" s="39">
        <f>A1085+B1085-1</f>
        <v/>
      </c>
      <c r="D1085" s="39">
        <f>INT((C1085-1)/12)+1</f>
        <v/>
      </c>
      <c r="E1085" s="44">
        <f>INDEX(Monthly!$B$2:$B$61,A1085)</f>
        <v/>
      </c>
      <c r="F1085" s="44">
        <f>E1085*INDEX('Age profile'!$B$2:$B$61,B1085)</f>
        <v/>
      </c>
      <c r="G1085" s="45">
        <f>MIN(in_takeup_cap,INDEX('Age profile'!$N$2:$N$61,B1085)*(1+in_takeup_growth)^(D1085-1))</f>
        <v/>
      </c>
      <c r="H1085" s="11">
        <f>MIN(in_approval_cap,in_approved_first*INDEX('Age profile'!$O$2:$O$61,B1085)*(1+in_approval_growth)^(D1085-1))</f>
        <v/>
      </c>
      <c r="I1085" s="45">
        <f>G1085*MIN(in_takeup_cap,INDEX('Age profile'!$O$2:$O$61,B1085)*(1+in_approval_growth)^(D1085-1))</f>
        <v/>
      </c>
      <c r="J1085" s="40">
        <f>(J1084-L1084)*F1085/F1084</f>
        <v/>
      </c>
      <c r="K1085" s="40">
        <f>(K1084-M1084)*F1085/F1084+SUMIFS(O1052:O1084,B1052:B1084,B1085-1-d_T)*F1085</f>
        <v/>
      </c>
      <c r="L1085" s="40">
        <f>IF(B1085&gt;=in_marketplace_from,J1085*d_hz*G1085*in_eligible*H1085,0)</f>
        <v/>
      </c>
      <c r="M1085" s="40">
        <f>IF(B1085&gt;=in_marketplace_from,K1085*d_hz*G1085*in_eligible*in_approved_repeat,0)</f>
        <v/>
      </c>
      <c r="N1085" s="40">
        <f>L1085+M1085</f>
        <v/>
      </c>
      <c r="O1085" s="46">
        <f>N1085/F1085</f>
        <v/>
      </c>
      <c r="P1085" s="40">
        <f>F1085-J1085-K1085</f>
        <v/>
      </c>
      <c r="Q1085" s="40">
        <f>IF(B1085&gt;=in_marketplace_from,(J1085+K1085)*d_hz*G1085,0)</f>
        <v/>
      </c>
      <c r="R1085" s="40">
        <f>SUMIFS(N1052:N1090,B1052:B1090,"&gt;="&amp;(B1085-d_T),B1052:B1090,"&lt;="&amp;(B1085-1))</f>
        <v/>
      </c>
      <c r="S1085" s="46">
        <f>(1-d_u)*S1084+IF(d_T&gt;in_topup_lag,SUMIFS(O1052:O1090,B1052:B1090,B1085-in_topup_lag)-d_udrop*SUMIFS(O1052:O1090,B1052:B1090,B1085-d_T),0)</f>
        <v/>
      </c>
      <c r="T1085" s="40">
        <f>F1085*d_u*S1085</f>
        <v/>
      </c>
      <c r="U1085" s="9">
        <f>L1085*in_ticket+M1085*d_rep_ticket</f>
        <v/>
      </c>
      <c r="V1085" s="9">
        <f>U1085+T1085*d_topup_amt</f>
        <v/>
      </c>
      <c r="W1085" s="40">
        <f>N1085+T1085*d_topup_ratio</f>
        <v/>
      </c>
      <c r="X1085" s="40">
        <f>SUMIFS(W1052:W1090,B1052:B1090,B1085-in_dpd_lag)*d_cured</f>
        <v/>
      </c>
      <c r="Y1085" s="40">
        <f>SUMIFS(W1052:W1090,B1052:B1090,B1085-in_rec_lag)*d_recd</f>
        <v/>
      </c>
      <c r="Z1085" s="40">
        <f>IF(AND(B1085&gt;=in_marketplace_from,B1085&lt;in_marketplace_from+in_card_months),in_card_share/in_card_months*F1085*I1085,IF(AND(B1085&gt;=in_marketplace_from+in_card_months,B1085&lt;in_marketplace_from+2*in_card_months),in_card_share*d_card_rem/in_card_months*F1085*MIN(in_takeup_cap,(1+in_takeup_growth)^(D1085-1))*MIN(in_takeup_cap,(1+in_approval_growth)^(D1085-1)),0))</f>
        <v/>
      </c>
      <c r="AA1085" s="14">
        <f>V1085*in_fee*(1-in_taken_back)</f>
        <v/>
      </c>
      <c r="AB1085" s="14">
        <f>SUMIFS(W1052:W1090,B1052:B1090,B1085-in_dpd_lag)*d_dpd</f>
        <v/>
      </c>
      <c r="AC1085" s="14">
        <f>SUMIFS(W1052:W1090,B1052:B1090,B1085-in_rec_lag)*d_rec</f>
        <v/>
      </c>
      <c r="AD1085" s="14">
        <f>Z1085*in_card_fee</f>
        <v/>
      </c>
      <c r="AE1085" s="40">
        <f>AE1084*(1-IF(B1084&gt;=in_marketplace_from,d_hz_hlth_small*G1084,0))</f>
        <v/>
      </c>
      <c r="AF1085" s="46">
        <f>AE1085*IF(B1085&gt;=in_marketplace_from,d_hz_hlth_small*G1085,0)</f>
        <v/>
      </c>
      <c r="AG1085" s="14">
        <f>F1085*AF1085*in_hlth_small_ticket*in_hlth_small_comm*in_ins_partner_share+F1085*in_hlth_small_ticket*in_hlth_small_renew_comm*in_ins_partner_share*(in_hlth_small_renew^1*SUMIFS(AF1052:AF1090,B1052:B1090,B1085-12)+in_hlth_small_renew^2*SUMIFS(AF1052:AF1090,B1052:B1090,B1085-24)+in_hlth_small_renew^3*SUMIFS(AF1052:AF1090,B1052:B1090,B1085-36)+in_hlth_small_renew^4*SUMIFS(AF1052:AF1090,B1052:B1090,B1085-48))</f>
        <v/>
      </c>
      <c r="AH1085" s="40">
        <f>AH1084*(1-IF(B1084&gt;=in_marketplace_from,d_hz_hlth_family*G1084,0))</f>
        <v/>
      </c>
      <c r="AI1085" s="46">
        <f>AH1085*IF(B1085&gt;=in_marketplace_from,d_hz_hlth_family*G1085,0)</f>
        <v/>
      </c>
      <c r="AJ1085" s="14">
        <f>F1085*AI1085*in_hlth_family_ticket*in_hlth_family_comm*in_ins_partner_share+F1085*in_hlth_family_ticket*in_hlth_family_renew_comm*in_ins_partner_share*(in_hlth_family_renew^1*SUMIFS(AI1052:AI1090,B1052:B1090,B1085-12)+in_hlth_family_renew^2*SUMIFS(AI1052:AI1090,B1052:B1090,B1085-24)+in_hlth_family_renew^3*SUMIFS(AI1052:AI1090,B1052:B1090,B1085-36)+in_hlth_family_renew^4*SUMIFS(AI1052:AI1090,B1052:B1090,B1085-48))</f>
        <v/>
      </c>
      <c r="AK1085" s="40">
        <f>AK1084*(1-IF(B1084&gt;=in_marketplace_from,d_hz_life_term*G1084,0))</f>
        <v/>
      </c>
      <c r="AL1085" s="46">
        <f>AK1085*IF(B1085&gt;=in_marketplace_from,d_hz_life_term*G1085,0)</f>
        <v/>
      </c>
      <c r="AM1085" s="14">
        <f>F1085*AL1085*in_life_term_ticket*in_life_term_comm*in_ins_partner_share+F1085*in_life_term_ticket*in_life_term_renew_comm*in_ins_partner_share*(in_life_term_renew^1*SUMIFS(AL1052:AL1090,B1052:B1090,B1085-12)+in_life_term_renew^2*SUMIFS(AL1052:AL1090,B1052:B1090,B1085-24)+in_life_term_renew^3*SUMIFS(AL1052:AL1090,B1052:B1090,B1085-36)+in_life_term_renew^4*SUMIFS(AL1052:AL1090,B1052:B1090,B1085-48))</f>
        <v/>
      </c>
      <c r="AN1085" s="40">
        <f>AN1084*(1-IF(B1084&gt;=in_marketplace_from,d_hz_accident*G1084,0))</f>
        <v/>
      </c>
      <c r="AO1085" s="46">
        <f>AN1085*IF(B1085&gt;=in_marketplace_from,d_hz_accident*G1085,0)</f>
        <v/>
      </c>
      <c r="AP1085" s="14">
        <f>F1085*AO1085*in_accident_ticket*in_accident_comm*in_ins_partner_share+F1085*in_accident_ticket*in_accident_renew_comm*in_ins_partner_share*(in_accident_renew^1*SUMIFS(AO1052:AO1090,B1052:B1090,B1085-12)+in_accident_renew^2*SUMIFS(AO1052:AO1090,B1052:B1090,B1085-24)+in_accident_renew^3*SUMIFS(AO1052:AO1090,B1052:B1090,B1085-36)+in_accident_renew^4*SUMIFS(AO1052:AO1090,B1052:B1090,B1085-48))</f>
        <v/>
      </c>
      <c r="AQ1085" s="40">
        <f>AQ1084*(1-IF(B1084&gt;=in_marketplace_from,d_hz_two_wheeler*G1084,0))</f>
        <v/>
      </c>
      <c r="AR1085" s="46">
        <f>AQ1085*IF(B1085&gt;=in_marketplace_from,d_hz_two_wheeler*G1085,0)</f>
        <v/>
      </c>
      <c r="AS1085" s="14">
        <f>F1085*AR1085*in_two_wheeler_ticket*in_two_wheeler_comm*in_ins_partner_share+F1085*in_two_wheeler_ticket*in_two_wheeler_comm*in_ins_partner_share*(in_two_wheeler_renew^1*SUMIFS(AR1052:AR1090,B1052:B1090,B1085-12)+in_two_wheeler_renew^2*SUMIFS(AR1052:AR1090,B1052:B1090,B1085-24)+in_two_wheeler_renew^3*SUMIFS(AR1052:AR1090,B1052:B1090,B1085-36)+in_two_wheeler_renew^4*SUMIFS(AR1052:AR1090,B1052:B1090,B1085-48))</f>
        <v/>
      </c>
      <c r="AT1085" s="40">
        <f>AT1084*(1-IF(B1084&gt;=in_marketplace_from,d_hz_device*G1084,0))</f>
        <v/>
      </c>
      <c r="AU1085" s="14">
        <f>F1085*AT1085*IF(B1085&gt;=in_marketplace_from,d_hz_device*G1085,0)*in_device_ticket*in_device_comm*in_ins_partner_share</f>
        <v/>
      </c>
      <c r="AV1085" s="40">
        <f>AV1084*(1-IF(B1084&gt;=in_marketplace_from,d_hz_shop*G1084,0))</f>
        <v/>
      </c>
      <c r="AW1085" s="46">
        <f>AV1085*IF(B1085&gt;=in_marketplace_from,d_hz_shop*G1085,0)</f>
        <v/>
      </c>
      <c r="AX1085" s="14">
        <f>F1085*AW1085*in_shop_ticket*in_shop_comm*in_ins_partner_share+F1085*in_shop_ticket*in_shop_renew_comm*in_ins_partner_share*(in_shop_renew^1*SUMIFS(AW1052:AW1090,B1052:B1090,B1085-12)+in_shop_renew^2*SUMIFS(AW1052:AW1090,B1052:B1090,B1085-24)+in_shop_renew^3*SUMIFS(AW1052:AW1090,B1052:B1090,B1085-36)+in_shop_renew^4*SUMIFS(AW1052:AW1090,B1052:B1090,B1085-48))</f>
        <v/>
      </c>
      <c r="AY1085" s="40">
        <f>AY1084*(1-IF(B1084&gt;=in_marketplace_from,d_hz_sip*G1084,0))</f>
        <v/>
      </c>
      <c r="AZ1085" s="40">
        <f>AZ1084*d_rho_sip+AY1085*IF(B1085&gt;=in_marketplace_from,d_hz_sip*G1085,0)</f>
        <v/>
      </c>
      <c r="BA1085" s="40">
        <f>d_rho_sip*(BA1084+AZ1084)</f>
        <v/>
      </c>
      <c r="BB1085" s="14">
        <f>F1085*in_sip_ticket*(BA1085+0.5*AZ1085)*in_sip_comm/12</f>
        <v/>
      </c>
      <c r="BC1085" s="40">
        <f>BC1084*(1-IF(B1084&gt;=in_marketplace_from,d_hz_choti*G1084,0))</f>
        <v/>
      </c>
      <c r="BD1085" s="46">
        <f>BC1085*IF(B1085&gt;=in_marketplace_from,d_hz_choti*G1085,0)</f>
        <v/>
      </c>
      <c r="BE1085" s="14">
        <f>F1085*SUMIFS(BD1052:BD1090,B1052:B1090,B1085-in_choti_months)*in_choti_renew*in_choti_ticket</f>
        <v/>
      </c>
      <c r="BF1085" s="40">
        <f>BF1084*(1-IF(B1084&gt;=in_marketplace_from,d_hz_nps*G1084,0))</f>
        <v/>
      </c>
      <c r="BG1085" s="14">
        <f>F1085*BF1085*IF(B1085&gt;=in_marketplace_from,d_hz_nps*G1085,0)*in_nps_ticket*in_nps_comm</f>
        <v/>
      </c>
      <c r="BH1085" s="40">
        <f>BH1084*(1-IF(B1084&gt;=in_marketplace_from,d_hz_gold*G1084,0))</f>
        <v/>
      </c>
      <c r="BI1085" s="40">
        <f>BI1084*d_rho_gold+BH1085*IF(B1085&gt;=in_marketplace_from,d_hz_gold*G1085,0)</f>
        <v/>
      </c>
      <c r="BJ1085" s="14">
        <f>F1085*BI1085*in_gold_ticket*in_gold_comm</f>
        <v/>
      </c>
      <c r="BK1085" s="40">
        <f>BK1084*(1-IF(B1084&gt;=in_marketplace_from,d_hz_fd*G1084,0))</f>
        <v/>
      </c>
      <c r="BL1085" s="14">
        <f>F1085*BK1085*IF(B1085&gt;=in_marketplace_from,d_hz_fd*G1085,0)*in_fd_ticket*in_fd_comm</f>
        <v/>
      </c>
      <c r="BM1085" s="40">
        <f>BM1084*(1-IF(B1084&gt;=in_marketplace_from,d_hz_recharge*G1084,0))</f>
        <v/>
      </c>
      <c r="BN1085" s="40">
        <f>BN1084*d_rho_recharge+BM1085*IF(B1085&gt;=in_marketplace_from,d_hz_recharge*G1085,0)</f>
        <v/>
      </c>
      <c r="BO1085" s="14">
        <f>F1085*BN1085*in_recharge_ticket*in_recharge_comm/12</f>
        <v/>
      </c>
      <c r="BP1085" s="40">
        <f>BP1084*(1-IF(B1084&gt;=in_marketplace_from,d_hz_bills*G1084,0))</f>
        <v/>
      </c>
      <c r="BQ1085" s="40">
        <f>BQ1084*d_rho_bills+BP1085*IF(B1085&gt;=in_marketplace_from,d_hz_bills*G1085,0)</f>
        <v/>
      </c>
      <c r="BR1085" s="14">
        <f>F1085*BQ1085*in_bills_ticket*in_bills_comm/12</f>
        <v/>
      </c>
      <c r="BS1085" s="40">
        <f>BS1084*(1-IF(B1084&gt;=in_marketplace_from,d_hz_loan_gold*G1084,0))</f>
        <v/>
      </c>
      <c r="BT1085" s="14">
        <f>F1085*BS1085*IF(B1085&gt;=in_marketplace_from,d_hz_loan_gold*G1085,0)*in_loan_gold_ticket*in_loan_gold_comm</f>
        <v/>
      </c>
      <c r="BU1085" s="40">
        <f>BU1084*(1-IF(B1084&gt;=in_marketplace_from,d_hz_loan_cd*G1084,0))</f>
        <v/>
      </c>
      <c r="BV1085" s="14">
        <f>F1085*BU1085*IF(B1085&gt;=in_marketplace_from,d_hz_loan_cd*G1085,0)*in_loan_cd_ticket*in_loan_cd_comm</f>
        <v/>
      </c>
      <c r="BW1085" s="40">
        <f>BW1084*(1-IF(B1084&gt;=in_marketplace_from,d_hz_loan_vehicle*G1084,0))</f>
        <v/>
      </c>
      <c r="BX1085" s="14">
        <f>F1085*BW1085*IF(B1085&gt;=in_marketplace_from,d_hz_loan_vehicle*G1085,0)*in_loan_vehicle_ticket*in_loan_vehicle_comm</f>
        <v/>
      </c>
      <c r="BY1085" s="40">
        <f>BY1084*(1-IF(B1084&gt;=in_marketplace_from,d_hz_loan_home*G1084,0)*BZ1084)</f>
        <v/>
      </c>
      <c r="BZ1085" s="11">
        <f>MIN(in_approval_cap,in_loan_home_approval*INDEX('Age profile'!$O$2:$O$61,B1085)*(1+in_approval_growth)^(D1085-1))</f>
        <v/>
      </c>
      <c r="CA1085" s="14">
        <f>F1085*BY1085*IF(B1085&gt;=in_marketplace_from,d_hz_loan_home*G1085,0)*BZ1085*in_loan_home_ticket*in_loan_home_comm</f>
        <v/>
      </c>
      <c r="CB1085" s="40">
        <f>CB1084*(1-IF(B1084&gt;=in_marketplace_from,d_hz_loan_lap*G1084,0)*CC1084)</f>
        <v/>
      </c>
      <c r="CC1085" s="11">
        <f>MIN(in_approval_cap,in_loan_lap_approval*INDEX('Age profile'!$O$2:$O$61,B1085)*(1+in_approval_growth)^(D1085-1))</f>
        <v/>
      </c>
      <c r="CD1085" s="14">
        <f>F1085*CB1085*IF(B1085&gt;=in_marketplace_from,d_hz_loan_lap*G1085,0)*CC1085*in_loan_lap_ticket*in_loan_lap_comm</f>
        <v/>
      </c>
      <c r="CE1085" s="14">
        <f>AA1085+AB1085+AC1085+AD1085+AG1085+AJ1085+AM1085+AP1085+AS1085+AU1085+AX1085+BB1085+BE1085+BG1085+BJ1085+BL1085+BO1085+BR1085+BT1085+BV1085+BX1085+CA1085+CD1085</f>
        <v/>
      </c>
    </row>
    <row r="1086">
      <c r="A1086" s="39" t="n">
        <v>22</v>
      </c>
      <c r="B1086" s="39" t="n">
        <v>35</v>
      </c>
      <c r="C1086" s="39">
        <f>A1086+B1086-1</f>
        <v/>
      </c>
      <c r="D1086" s="39">
        <f>INT((C1086-1)/12)+1</f>
        <v/>
      </c>
      <c r="E1086" s="44">
        <f>INDEX(Monthly!$B$2:$B$61,A1086)</f>
        <v/>
      </c>
      <c r="F1086" s="44">
        <f>E1086*INDEX('Age profile'!$B$2:$B$61,B1086)</f>
        <v/>
      </c>
      <c r="G1086" s="45">
        <f>MIN(in_takeup_cap,INDEX('Age profile'!$N$2:$N$61,B1086)*(1+in_takeup_growth)^(D1086-1))</f>
        <v/>
      </c>
      <c r="H1086" s="11">
        <f>MIN(in_approval_cap,in_approved_first*INDEX('Age profile'!$O$2:$O$61,B1086)*(1+in_approval_growth)^(D1086-1))</f>
        <v/>
      </c>
      <c r="I1086" s="45">
        <f>G1086*MIN(in_takeup_cap,INDEX('Age profile'!$O$2:$O$61,B1086)*(1+in_approval_growth)^(D1086-1))</f>
        <v/>
      </c>
      <c r="J1086" s="40">
        <f>(J1085-L1085)*F1086/F1085</f>
        <v/>
      </c>
      <c r="K1086" s="40">
        <f>(K1085-M1085)*F1086/F1085+SUMIFS(O1052:O1085,B1052:B1085,B1086-1-d_T)*F1086</f>
        <v/>
      </c>
      <c r="L1086" s="40">
        <f>IF(B1086&gt;=in_marketplace_from,J1086*d_hz*G1086*in_eligible*H1086,0)</f>
        <v/>
      </c>
      <c r="M1086" s="40">
        <f>IF(B1086&gt;=in_marketplace_from,K1086*d_hz*G1086*in_eligible*in_approved_repeat,0)</f>
        <v/>
      </c>
      <c r="N1086" s="40">
        <f>L1086+M1086</f>
        <v/>
      </c>
      <c r="O1086" s="46">
        <f>N1086/F1086</f>
        <v/>
      </c>
      <c r="P1086" s="40">
        <f>F1086-J1086-K1086</f>
        <v/>
      </c>
      <c r="Q1086" s="40">
        <f>IF(B1086&gt;=in_marketplace_from,(J1086+K1086)*d_hz*G1086,0)</f>
        <v/>
      </c>
      <c r="R1086" s="40">
        <f>SUMIFS(N1052:N1090,B1052:B1090,"&gt;="&amp;(B1086-d_T),B1052:B1090,"&lt;="&amp;(B1086-1))</f>
        <v/>
      </c>
      <c r="S1086" s="46">
        <f>(1-d_u)*S1085+IF(d_T&gt;in_topup_lag,SUMIFS(O1052:O1090,B1052:B1090,B1086-in_topup_lag)-d_udrop*SUMIFS(O1052:O1090,B1052:B1090,B1086-d_T),0)</f>
        <v/>
      </c>
      <c r="T1086" s="40">
        <f>F1086*d_u*S1086</f>
        <v/>
      </c>
      <c r="U1086" s="9">
        <f>L1086*in_ticket+M1086*d_rep_ticket</f>
        <v/>
      </c>
      <c r="V1086" s="9">
        <f>U1086+T1086*d_topup_amt</f>
        <v/>
      </c>
      <c r="W1086" s="40">
        <f>N1086+T1086*d_topup_ratio</f>
        <v/>
      </c>
      <c r="X1086" s="40">
        <f>SUMIFS(W1052:W1090,B1052:B1090,B1086-in_dpd_lag)*d_cured</f>
        <v/>
      </c>
      <c r="Y1086" s="40">
        <f>SUMIFS(W1052:W1090,B1052:B1090,B1086-in_rec_lag)*d_recd</f>
        <v/>
      </c>
      <c r="Z1086" s="40">
        <f>IF(AND(B1086&gt;=in_marketplace_from,B1086&lt;in_marketplace_from+in_card_months),in_card_share/in_card_months*F1086*I1086,IF(AND(B1086&gt;=in_marketplace_from+in_card_months,B1086&lt;in_marketplace_from+2*in_card_months),in_card_share*d_card_rem/in_card_months*F1086*MIN(in_takeup_cap,(1+in_takeup_growth)^(D1086-1))*MIN(in_takeup_cap,(1+in_approval_growth)^(D1086-1)),0))</f>
        <v/>
      </c>
      <c r="AA1086" s="14">
        <f>V1086*in_fee*(1-in_taken_back)</f>
        <v/>
      </c>
      <c r="AB1086" s="14">
        <f>SUMIFS(W1052:W1090,B1052:B1090,B1086-in_dpd_lag)*d_dpd</f>
        <v/>
      </c>
      <c r="AC1086" s="14">
        <f>SUMIFS(W1052:W1090,B1052:B1090,B1086-in_rec_lag)*d_rec</f>
        <v/>
      </c>
      <c r="AD1086" s="14">
        <f>Z1086*in_card_fee</f>
        <v/>
      </c>
      <c r="AE1086" s="40">
        <f>AE1085*(1-IF(B1085&gt;=in_marketplace_from,d_hz_hlth_small*G1085,0))</f>
        <v/>
      </c>
      <c r="AF1086" s="46">
        <f>AE1086*IF(B1086&gt;=in_marketplace_from,d_hz_hlth_small*G1086,0)</f>
        <v/>
      </c>
      <c r="AG1086" s="14">
        <f>F1086*AF1086*in_hlth_small_ticket*in_hlth_small_comm*in_ins_partner_share+F1086*in_hlth_small_ticket*in_hlth_small_renew_comm*in_ins_partner_share*(in_hlth_small_renew^1*SUMIFS(AF1052:AF1090,B1052:B1090,B1086-12)+in_hlth_small_renew^2*SUMIFS(AF1052:AF1090,B1052:B1090,B1086-24)+in_hlth_small_renew^3*SUMIFS(AF1052:AF1090,B1052:B1090,B1086-36)+in_hlth_small_renew^4*SUMIFS(AF1052:AF1090,B1052:B1090,B1086-48))</f>
        <v/>
      </c>
      <c r="AH1086" s="40">
        <f>AH1085*(1-IF(B1085&gt;=in_marketplace_from,d_hz_hlth_family*G1085,0))</f>
        <v/>
      </c>
      <c r="AI1086" s="46">
        <f>AH1086*IF(B1086&gt;=in_marketplace_from,d_hz_hlth_family*G1086,0)</f>
        <v/>
      </c>
      <c r="AJ1086" s="14">
        <f>F1086*AI1086*in_hlth_family_ticket*in_hlth_family_comm*in_ins_partner_share+F1086*in_hlth_family_ticket*in_hlth_family_renew_comm*in_ins_partner_share*(in_hlth_family_renew^1*SUMIFS(AI1052:AI1090,B1052:B1090,B1086-12)+in_hlth_family_renew^2*SUMIFS(AI1052:AI1090,B1052:B1090,B1086-24)+in_hlth_family_renew^3*SUMIFS(AI1052:AI1090,B1052:B1090,B1086-36)+in_hlth_family_renew^4*SUMIFS(AI1052:AI1090,B1052:B1090,B1086-48))</f>
        <v/>
      </c>
      <c r="AK1086" s="40">
        <f>AK1085*(1-IF(B1085&gt;=in_marketplace_from,d_hz_life_term*G1085,0))</f>
        <v/>
      </c>
      <c r="AL1086" s="46">
        <f>AK1086*IF(B1086&gt;=in_marketplace_from,d_hz_life_term*G1086,0)</f>
        <v/>
      </c>
      <c r="AM1086" s="14">
        <f>F1086*AL1086*in_life_term_ticket*in_life_term_comm*in_ins_partner_share+F1086*in_life_term_ticket*in_life_term_renew_comm*in_ins_partner_share*(in_life_term_renew^1*SUMIFS(AL1052:AL1090,B1052:B1090,B1086-12)+in_life_term_renew^2*SUMIFS(AL1052:AL1090,B1052:B1090,B1086-24)+in_life_term_renew^3*SUMIFS(AL1052:AL1090,B1052:B1090,B1086-36)+in_life_term_renew^4*SUMIFS(AL1052:AL1090,B1052:B1090,B1086-48))</f>
        <v/>
      </c>
      <c r="AN1086" s="40">
        <f>AN1085*(1-IF(B1085&gt;=in_marketplace_from,d_hz_accident*G1085,0))</f>
        <v/>
      </c>
      <c r="AO1086" s="46">
        <f>AN1086*IF(B1086&gt;=in_marketplace_from,d_hz_accident*G1086,0)</f>
        <v/>
      </c>
      <c r="AP1086" s="14">
        <f>F1086*AO1086*in_accident_ticket*in_accident_comm*in_ins_partner_share+F1086*in_accident_ticket*in_accident_renew_comm*in_ins_partner_share*(in_accident_renew^1*SUMIFS(AO1052:AO1090,B1052:B1090,B1086-12)+in_accident_renew^2*SUMIFS(AO1052:AO1090,B1052:B1090,B1086-24)+in_accident_renew^3*SUMIFS(AO1052:AO1090,B1052:B1090,B1086-36)+in_accident_renew^4*SUMIFS(AO1052:AO1090,B1052:B1090,B1086-48))</f>
        <v/>
      </c>
      <c r="AQ1086" s="40">
        <f>AQ1085*(1-IF(B1085&gt;=in_marketplace_from,d_hz_two_wheeler*G1085,0))</f>
        <v/>
      </c>
      <c r="AR1086" s="46">
        <f>AQ1086*IF(B1086&gt;=in_marketplace_from,d_hz_two_wheeler*G1086,0)</f>
        <v/>
      </c>
      <c r="AS1086" s="14">
        <f>F1086*AR1086*in_two_wheeler_ticket*in_two_wheeler_comm*in_ins_partner_share+F1086*in_two_wheeler_ticket*in_two_wheeler_comm*in_ins_partner_share*(in_two_wheeler_renew^1*SUMIFS(AR1052:AR1090,B1052:B1090,B1086-12)+in_two_wheeler_renew^2*SUMIFS(AR1052:AR1090,B1052:B1090,B1086-24)+in_two_wheeler_renew^3*SUMIFS(AR1052:AR1090,B1052:B1090,B1086-36)+in_two_wheeler_renew^4*SUMIFS(AR1052:AR1090,B1052:B1090,B1086-48))</f>
        <v/>
      </c>
      <c r="AT1086" s="40">
        <f>AT1085*(1-IF(B1085&gt;=in_marketplace_from,d_hz_device*G1085,0))</f>
        <v/>
      </c>
      <c r="AU1086" s="14">
        <f>F1086*AT1086*IF(B1086&gt;=in_marketplace_from,d_hz_device*G1086,0)*in_device_ticket*in_device_comm*in_ins_partner_share</f>
        <v/>
      </c>
      <c r="AV1086" s="40">
        <f>AV1085*(1-IF(B1085&gt;=in_marketplace_from,d_hz_shop*G1085,0))</f>
        <v/>
      </c>
      <c r="AW1086" s="46">
        <f>AV1086*IF(B1086&gt;=in_marketplace_from,d_hz_shop*G1086,0)</f>
        <v/>
      </c>
      <c r="AX1086" s="14">
        <f>F1086*AW1086*in_shop_ticket*in_shop_comm*in_ins_partner_share+F1086*in_shop_ticket*in_shop_renew_comm*in_ins_partner_share*(in_shop_renew^1*SUMIFS(AW1052:AW1090,B1052:B1090,B1086-12)+in_shop_renew^2*SUMIFS(AW1052:AW1090,B1052:B1090,B1086-24)+in_shop_renew^3*SUMIFS(AW1052:AW1090,B1052:B1090,B1086-36)+in_shop_renew^4*SUMIFS(AW1052:AW1090,B1052:B1090,B1086-48))</f>
        <v/>
      </c>
      <c r="AY1086" s="40">
        <f>AY1085*(1-IF(B1085&gt;=in_marketplace_from,d_hz_sip*G1085,0))</f>
        <v/>
      </c>
      <c r="AZ1086" s="40">
        <f>AZ1085*d_rho_sip+AY1086*IF(B1086&gt;=in_marketplace_from,d_hz_sip*G1086,0)</f>
        <v/>
      </c>
      <c r="BA1086" s="40">
        <f>d_rho_sip*(BA1085+AZ1085)</f>
        <v/>
      </c>
      <c r="BB1086" s="14">
        <f>F1086*in_sip_ticket*(BA1086+0.5*AZ1086)*in_sip_comm/12</f>
        <v/>
      </c>
      <c r="BC1086" s="40">
        <f>BC1085*(1-IF(B1085&gt;=in_marketplace_from,d_hz_choti*G1085,0))</f>
        <v/>
      </c>
      <c r="BD1086" s="46">
        <f>BC1086*IF(B1086&gt;=in_marketplace_from,d_hz_choti*G1086,0)</f>
        <v/>
      </c>
      <c r="BE1086" s="14">
        <f>F1086*SUMIFS(BD1052:BD1090,B1052:B1090,B1086-in_choti_months)*in_choti_renew*in_choti_ticket</f>
        <v/>
      </c>
      <c r="BF1086" s="40">
        <f>BF1085*(1-IF(B1085&gt;=in_marketplace_from,d_hz_nps*G1085,0))</f>
        <v/>
      </c>
      <c r="BG1086" s="14">
        <f>F1086*BF1086*IF(B1086&gt;=in_marketplace_from,d_hz_nps*G1086,0)*in_nps_ticket*in_nps_comm</f>
        <v/>
      </c>
      <c r="BH1086" s="40">
        <f>BH1085*(1-IF(B1085&gt;=in_marketplace_from,d_hz_gold*G1085,0))</f>
        <v/>
      </c>
      <c r="BI1086" s="40">
        <f>BI1085*d_rho_gold+BH1086*IF(B1086&gt;=in_marketplace_from,d_hz_gold*G1086,0)</f>
        <v/>
      </c>
      <c r="BJ1086" s="14">
        <f>F1086*BI1086*in_gold_ticket*in_gold_comm</f>
        <v/>
      </c>
      <c r="BK1086" s="40">
        <f>BK1085*(1-IF(B1085&gt;=in_marketplace_from,d_hz_fd*G1085,0))</f>
        <v/>
      </c>
      <c r="BL1086" s="14">
        <f>F1086*BK1086*IF(B1086&gt;=in_marketplace_from,d_hz_fd*G1086,0)*in_fd_ticket*in_fd_comm</f>
        <v/>
      </c>
      <c r="BM1086" s="40">
        <f>BM1085*(1-IF(B1085&gt;=in_marketplace_from,d_hz_recharge*G1085,0))</f>
        <v/>
      </c>
      <c r="BN1086" s="40">
        <f>BN1085*d_rho_recharge+BM1086*IF(B1086&gt;=in_marketplace_from,d_hz_recharge*G1086,0)</f>
        <v/>
      </c>
      <c r="BO1086" s="14">
        <f>F1086*BN1086*in_recharge_ticket*in_recharge_comm/12</f>
        <v/>
      </c>
      <c r="BP1086" s="40">
        <f>BP1085*(1-IF(B1085&gt;=in_marketplace_from,d_hz_bills*G1085,0))</f>
        <v/>
      </c>
      <c r="BQ1086" s="40">
        <f>BQ1085*d_rho_bills+BP1086*IF(B1086&gt;=in_marketplace_from,d_hz_bills*G1086,0)</f>
        <v/>
      </c>
      <c r="BR1086" s="14">
        <f>F1086*BQ1086*in_bills_ticket*in_bills_comm/12</f>
        <v/>
      </c>
      <c r="BS1086" s="40">
        <f>BS1085*(1-IF(B1085&gt;=in_marketplace_from,d_hz_loan_gold*G1085,0))</f>
        <v/>
      </c>
      <c r="BT1086" s="14">
        <f>F1086*BS1086*IF(B1086&gt;=in_marketplace_from,d_hz_loan_gold*G1086,0)*in_loan_gold_ticket*in_loan_gold_comm</f>
        <v/>
      </c>
      <c r="BU1086" s="40">
        <f>BU1085*(1-IF(B1085&gt;=in_marketplace_from,d_hz_loan_cd*G1085,0))</f>
        <v/>
      </c>
      <c r="BV1086" s="14">
        <f>F1086*BU1086*IF(B1086&gt;=in_marketplace_from,d_hz_loan_cd*G1086,0)*in_loan_cd_ticket*in_loan_cd_comm</f>
        <v/>
      </c>
      <c r="BW1086" s="40">
        <f>BW1085*(1-IF(B1085&gt;=in_marketplace_from,d_hz_loan_vehicle*G1085,0))</f>
        <v/>
      </c>
      <c r="BX1086" s="14">
        <f>F1086*BW1086*IF(B1086&gt;=in_marketplace_from,d_hz_loan_vehicle*G1086,0)*in_loan_vehicle_ticket*in_loan_vehicle_comm</f>
        <v/>
      </c>
      <c r="BY1086" s="40">
        <f>BY1085*(1-IF(B1085&gt;=in_marketplace_from,d_hz_loan_home*G1085,0)*BZ1085)</f>
        <v/>
      </c>
      <c r="BZ1086" s="11">
        <f>MIN(in_approval_cap,in_loan_home_approval*INDEX('Age profile'!$O$2:$O$61,B1086)*(1+in_approval_growth)^(D1086-1))</f>
        <v/>
      </c>
      <c r="CA1086" s="14">
        <f>F1086*BY1086*IF(B1086&gt;=in_marketplace_from,d_hz_loan_home*G1086,0)*BZ1086*in_loan_home_ticket*in_loan_home_comm</f>
        <v/>
      </c>
      <c r="CB1086" s="40">
        <f>CB1085*(1-IF(B1085&gt;=in_marketplace_from,d_hz_loan_lap*G1085,0)*CC1085)</f>
        <v/>
      </c>
      <c r="CC1086" s="11">
        <f>MIN(in_approval_cap,in_loan_lap_approval*INDEX('Age profile'!$O$2:$O$61,B1086)*(1+in_approval_growth)^(D1086-1))</f>
        <v/>
      </c>
      <c r="CD1086" s="14">
        <f>F1086*CB1086*IF(B1086&gt;=in_marketplace_from,d_hz_loan_lap*G1086,0)*CC1086*in_loan_lap_ticket*in_loan_lap_comm</f>
        <v/>
      </c>
      <c r="CE1086" s="14">
        <f>AA1086+AB1086+AC1086+AD1086+AG1086+AJ1086+AM1086+AP1086+AS1086+AU1086+AX1086+BB1086+BE1086+BG1086+BJ1086+BL1086+BO1086+BR1086+BT1086+BV1086+BX1086+CA1086+CD1086</f>
        <v/>
      </c>
    </row>
    <row r="1087">
      <c r="A1087" s="39" t="n">
        <v>22</v>
      </c>
      <c r="B1087" s="39" t="n">
        <v>36</v>
      </c>
      <c r="C1087" s="39">
        <f>A1087+B1087-1</f>
        <v/>
      </c>
      <c r="D1087" s="39">
        <f>INT((C1087-1)/12)+1</f>
        <v/>
      </c>
      <c r="E1087" s="44">
        <f>INDEX(Monthly!$B$2:$B$61,A1087)</f>
        <v/>
      </c>
      <c r="F1087" s="44">
        <f>E1087*INDEX('Age profile'!$B$2:$B$61,B1087)</f>
        <v/>
      </c>
      <c r="G1087" s="45">
        <f>MIN(in_takeup_cap,INDEX('Age profile'!$N$2:$N$61,B1087)*(1+in_takeup_growth)^(D1087-1))</f>
        <v/>
      </c>
      <c r="H1087" s="11">
        <f>MIN(in_approval_cap,in_approved_first*INDEX('Age profile'!$O$2:$O$61,B1087)*(1+in_approval_growth)^(D1087-1))</f>
        <v/>
      </c>
      <c r="I1087" s="45">
        <f>G1087*MIN(in_takeup_cap,INDEX('Age profile'!$O$2:$O$61,B1087)*(1+in_approval_growth)^(D1087-1))</f>
        <v/>
      </c>
      <c r="J1087" s="40">
        <f>(J1086-L1086)*F1087/F1086</f>
        <v/>
      </c>
      <c r="K1087" s="40">
        <f>(K1086-M1086)*F1087/F1086+SUMIFS(O1052:O1086,B1052:B1086,B1087-1-d_T)*F1087</f>
        <v/>
      </c>
      <c r="L1087" s="40">
        <f>IF(B1087&gt;=in_marketplace_from,J1087*d_hz*G1087*in_eligible*H1087,0)</f>
        <v/>
      </c>
      <c r="M1087" s="40">
        <f>IF(B1087&gt;=in_marketplace_from,K1087*d_hz*G1087*in_eligible*in_approved_repeat,0)</f>
        <v/>
      </c>
      <c r="N1087" s="40">
        <f>L1087+M1087</f>
        <v/>
      </c>
      <c r="O1087" s="46">
        <f>N1087/F1087</f>
        <v/>
      </c>
      <c r="P1087" s="40">
        <f>F1087-J1087-K1087</f>
        <v/>
      </c>
      <c r="Q1087" s="40">
        <f>IF(B1087&gt;=in_marketplace_from,(J1087+K1087)*d_hz*G1087,0)</f>
        <v/>
      </c>
      <c r="R1087" s="40">
        <f>SUMIFS(N1052:N1090,B1052:B1090,"&gt;="&amp;(B1087-d_T),B1052:B1090,"&lt;="&amp;(B1087-1))</f>
        <v/>
      </c>
      <c r="S1087" s="46">
        <f>(1-d_u)*S1086+IF(d_T&gt;in_topup_lag,SUMIFS(O1052:O1090,B1052:B1090,B1087-in_topup_lag)-d_udrop*SUMIFS(O1052:O1090,B1052:B1090,B1087-d_T),0)</f>
        <v/>
      </c>
      <c r="T1087" s="40">
        <f>F1087*d_u*S1087</f>
        <v/>
      </c>
      <c r="U1087" s="9">
        <f>L1087*in_ticket+M1087*d_rep_ticket</f>
        <v/>
      </c>
      <c r="V1087" s="9">
        <f>U1087+T1087*d_topup_amt</f>
        <v/>
      </c>
      <c r="W1087" s="40">
        <f>N1087+T1087*d_topup_ratio</f>
        <v/>
      </c>
      <c r="X1087" s="40">
        <f>SUMIFS(W1052:W1090,B1052:B1090,B1087-in_dpd_lag)*d_cured</f>
        <v/>
      </c>
      <c r="Y1087" s="40">
        <f>SUMIFS(W1052:W1090,B1052:B1090,B1087-in_rec_lag)*d_recd</f>
        <v/>
      </c>
      <c r="Z1087" s="40">
        <f>IF(AND(B1087&gt;=in_marketplace_from,B1087&lt;in_marketplace_from+in_card_months),in_card_share/in_card_months*F1087*I1087,IF(AND(B1087&gt;=in_marketplace_from+in_card_months,B1087&lt;in_marketplace_from+2*in_card_months),in_card_share*d_card_rem/in_card_months*F1087*MIN(in_takeup_cap,(1+in_takeup_growth)^(D1087-1))*MIN(in_takeup_cap,(1+in_approval_growth)^(D1087-1)),0))</f>
        <v/>
      </c>
      <c r="AA1087" s="14">
        <f>V1087*in_fee*(1-in_taken_back)</f>
        <v/>
      </c>
      <c r="AB1087" s="14">
        <f>SUMIFS(W1052:W1090,B1052:B1090,B1087-in_dpd_lag)*d_dpd</f>
        <v/>
      </c>
      <c r="AC1087" s="14">
        <f>SUMIFS(W1052:W1090,B1052:B1090,B1087-in_rec_lag)*d_rec</f>
        <v/>
      </c>
      <c r="AD1087" s="14">
        <f>Z1087*in_card_fee</f>
        <v/>
      </c>
      <c r="AE1087" s="40">
        <f>AE1086*(1-IF(B1086&gt;=in_marketplace_from,d_hz_hlth_small*G1086,0))</f>
        <v/>
      </c>
      <c r="AF1087" s="46">
        <f>AE1087*IF(B1087&gt;=in_marketplace_from,d_hz_hlth_small*G1087,0)</f>
        <v/>
      </c>
      <c r="AG1087" s="14">
        <f>F1087*AF1087*in_hlth_small_ticket*in_hlth_small_comm*in_ins_partner_share+F1087*in_hlth_small_ticket*in_hlth_small_renew_comm*in_ins_partner_share*(in_hlth_small_renew^1*SUMIFS(AF1052:AF1090,B1052:B1090,B1087-12)+in_hlth_small_renew^2*SUMIFS(AF1052:AF1090,B1052:B1090,B1087-24)+in_hlth_small_renew^3*SUMIFS(AF1052:AF1090,B1052:B1090,B1087-36)+in_hlth_small_renew^4*SUMIFS(AF1052:AF1090,B1052:B1090,B1087-48))</f>
        <v/>
      </c>
      <c r="AH1087" s="40">
        <f>AH1086*(1-IF(B1086&gt;=in_marketplace_from,d_hz_hlth_family*G1086,0))</f>
        <v/>
      </c>
      <c r="AI1087" s="46">
        <f>AH1087*IF(B1087&gt;=in_marketplace_from,d_hz_hlth_family*G1087,0)</f>
        <v/>
      </c>
      <c r="AJ1087" s="14">
        <f>F1087*AI1087*in_hlth_family_ticket*in_hlth_family_comm*in_ins_partner_share+F1087*in_hlth_family_ticket*in_hlth_family_renew_comm*in_ins_partner_share*(in_hlth_family_renew^1*SUMIFS(AI1052:AI1090,B1052:B1090,B1087-12)+in_hlth_family_renew^2*SUMIFS(AI1052:AI1090,B1052:B1090,B1087-24)+in_hlth_family_renew^3*SUMIFS(AI1052:AI1090,B1052:B1090,B1087-36)+in_hlth_family_renew^4*SUMIFS(AI1052:AI1090,B1052:B1090,B1087-48))</f>
        <v/>
      </c>
      <c r="AK1087" s="40">
        <f>AK1086*(1-IF(B1086&gt;=in_marketplace_from,d_hz_life_term*G1086,0))</f>
        <v/>
      </c>
      <c r="AL1087" s="46">
        <f>AK1087*IF(B1087&gt;=in_marketplace_from,d_hz_life_term*G1087,0)</f>
        <v/>
      </c>
      <c r="AM1087" s="14">
        <f>F1087*AL1087*in_life_term_ticket*in_life_term_comm*in_ins_partner_share+F1087*in_life_term_ticket*in_life_term_renew_comm*in_ins_partner_share*(in_life_term_renew^1*SUMIFS(AL1052:AL1090,B1052:B1090,B1087-12)+in_life_term_renew^2*SUMIFS(AL1052:AL1090,B1052:B1090,B1087-24)+in_life_term_renew^3*SUMIFS(AL1052:AL1090,B1052:B1090,B1087-36)+in_life_term_renew^4*SUMIFS(AL1052:AL1090,B1052:B1090,B1087-48))</f>
        <v/>
      </c>
      <c r="AN1087" s="40">
        <f>AN1086*(1-IF(B1086&gt;=in_marketplace_from,d_hz_accident*G1086,0))</f>
        <v/>
      </c>
      <c r="AO1087" s="46">
        <f>AN1087*IF(B1087&gt;=in_marketplace_from,d_hz_accident*G1087,0)</f>
        <v/>
      </c>
      <c r="AP1087" s="14">
        <f>F1087*AO1087*in_accident_ticket*in_accident_comm*in_ins_partner_share+F1087*in_accident_ticket*in_accident_renew_comm*in_ins_partner_share*(in_accident_renew^1*SUMIFS(AO1052:AO1090,B1052:B1090,B1087-12)+in_accident_renew^2*SUMIFS(AO1052:AO1090,B1052:B1090,B1087-24)+in_accident_renew^3*SUMIFS(AO1052:AO1090,B1052:B1090,B1087-36)+in_accident_renew^4*SUMIFS(AO1052:AO1090,B1052:B1090,B1087-48))</f>
        <v/>
      </c>
      <c r="AQ1087" s="40">
        <f>AQ1086*(1-IF(B1086&gt;=in_marketplace_from,d_hz_two_wheeler*G1086,0))</f>
        <v/>
      </c>
      <c r="AR1087" s="46">
        <f>AQ1087*IF(B1087&gt;=in_marketplace_from,d_hz_two_wheeler*G1087,0)</f>
        <v/>
      </c>
      <c r="AS1087" s="14">
        <f>F1087*AR1087*in_two_wheeler_ticket*in_two_wheeler_comm*in_ins_partner_share+F1087*in_two_wheeler_ticket*in_two_wheeler_comm*in_ins_partner_share*(in_two_wheeler_renew^1*SUMIFS(AR1052:AR1090,B1052:B1090,B1087-12)+in_two_wheeler_renew^2*SUMIFS(AR1052:AR1090,B1052:B1090,B1087-24)+in_two_wheeler_renew^3*SUMIFS(AR1052:AR1090,B1052:B1090,B1087-36)+in_two_wheeler_renew^4*SUMIFS(AR1052:AR1090,B1052:B1090,B1087-48))</f>
        <v/>
      </c>
      <c r="AT1087" s="40">
        <f>AT1086*(1-IF(B1086&gt;=in_marketplace_from,d_hz_device*G1086,0))</f>
        <v/>
      </c>
      <c r="AU1087" s="14">
        <f>F1087*AT1087*IF(B1087&gt;=in_marketplace_from,d_hz_device*G1087,0)*in_device_ticket*in_device_comm*in_ins_partner_share</f>
        <v/>
      </c>
      <c r="AV1087" s="40">
        <f>AV1086*(1-IF(B1086&gt;=in_marketplace_from,d_hz_shop*G1086,0))</f>
        <v/>
      </c>
      <c r="AW1087" s="46">
        <f>AV1087*IF(B1087&gt;=in_marketplace_from,d_hz_shop*G1087,0)</f>
        <v/>
      </c>
      <c r="AX1087" s="14">
        <f>F1087*AW1087*in_shop_ticket*in_shop_comm*in_ins_partner_share+F1087*in_shop_ticket*in_shop_renew_comm*in_ins_partner_share*(in_shop_renew^1*SUMIFS(AW1052:AW1090,B1052:B1090,B1087-12)+in_shop_renew^2*SUMIFS(AW1052:AW1090,B1052:B1090,B1087-24)+in_shop_renew^3*SUMIFS(AW1052:AW1090,B1052:B1090,B1087-36)+in_shop_renew^4*SUMIFS(AW1052:AW1090,B1052:B1090,B1087-48))</f>
        <v/>
      </c>
      <c r="AY1087" s="40">
        <f>AY1086*(1-IF(B1086&gt;=in_marketplace_from,d_hz_sip*G1086,0))</f>
        <v/>
      </c>
      <c r="AZ1087" s="40">
        <f>AZ1086*d_rho_sip+AY1087*IF(B1087&gt;=in_marketplace_from,d_hz_sip*G1087,0)</f>
        <v/>
      </c>
      <c r="BA1087" s="40">
        <f>d_rho_sip*(BA1086+AZ1086)</f>
        <v/>
      </c>
      <c r="BB1087" s="14">
        <f>F1087*in_sip_ticket*(BA1087+0.5*AZ1087)*in_sip_comm/12</f>
        <v/>
      </c>
      <c r="BC1087" s="40">
        <f>BC1086*(1-IF(B1086&gt;=in_marketplace_from,d_hz_choti*G1086,0))</f>
        <v/>
      </c>
      <c r="BD1087" s="46">
        <f>BC1087*IF(B1087&gt;=in_marketplace_from,d_hz_choti*G1087,0)</f>
        <v/>
      </c>
      <c r="BE1087" s="14">
        <f>F1087*SUMIFS(BD1052:BD1090,B1052:B1090,B1087-in_choti_months)*in_choti_renew*in_choti_ticket</f>
        <v/>
      </c>
      <c r="BF1087" s="40">
        <f>BF1086*(1-IF(B1086&gt;=in_marketplace_from,d_hz_nps*G1086,0))</f>
        <v/>
      </c>
      <c r="BG1087" s="14">
        <f>F1087*BF1087*IF(B1087&gt;=in_marketplace_from,d_hz_nps*G1087,0)*in_nps_ticket*in_nps_comm</f>
        <v/>
      </c>
      <c r="BH1087" s="40">
        <f>BH1086*(1-IF(B1086&gt;=in_marketplace_from,d_hz_gold*G1086,0))</f>
        <v/>
      </c>
      <c r="BI1087" s="40">
        <f>BI1086*d_rho_gold+BH1087*IF(B1087&gt;=in_marketplace_from,d_hz_gold*G1087,0)</f>
        <v/>
      </c>
      <c r="BJ1087" s="14">
        <f>F1087*BI1087*in_gold_ticket*in_gold_comm</f>
        <v/>
      </c>
      <c r="BK1087" s="40">
        <f>BK1086*(1-IF(B1086&gt;=in_marketplace_from,d_hz_fd*G1086,0))</f>
        <v/>
      </c>
      <c r="BL1087" s="14">
        <f>F1087*BK1087*IF(B1087&gt;=in_marketplace_from,d_hz_fd*G1087,0)*in_fd_ticket*in_fd_comm</f>
        <v/>
      </c>
      <c r="BM1087" s="40">
        <f>BM1086*(1-IF(B1086&gt;=in_marketplace_from,d_hz_recharge*G1086,0))</f>
        <v/>
      </c>
      <c r="BN1087" s="40">
        <f>BN1086*d_rho_recharge+BM1087*IF(B1087&gt;=in_marketplace_from,d_hz_recharge*G1087,0)</f>
        <v/>
      </c>
      <c r="BO1087" s="14">
        <f>F1087*BN1087*in_recharge_ticket*in_recharge_comm/12</f>
        <v/>
      </c>
      <c r="BP1087" s="40">
        <f>BP1086*(1-IF(B1086&gt;=in_marketplace_from,d_hz_bills*G1086,0))</f>
        <v/>
      </c>
      <c r="BQ1087" s="40">
        <f>BQ1086*d_rho_bills+BP1087*IF(B1087&gt;=in_marketplace_from,d_hz_bills*G1087,0)</f>
        <v/>
      </c>
      <c r="BR1087" s="14">
        <f>F1087*BQ1087*in_bills_ticket*in_bills_comm/12</f>
        <v/>
      </c>
      <c r="BS1087" s="40">
        <f>BS1086*(1-IF(B1086&gt;=in_marketplace_from,d_hz_loan_gold*G1086,0))</f>
        <v/>
      </c>
      <c r="BT1087" s="14">
        <f>F1087*BS1087*IF(B1087&gt;=in_marketplace_from,d_hz_loan_gold*G1087,0)*in_loan_gold_ticket*in_loan_gold_comm</f>
        <v/>
      </c>
      <c r="BU1087" s="40">
        <f>BU1086*(1-IF(B1086&gt;=in_marketplace_from,d_hz_loan_cd*G1086,0))</f>
        <v/>
      </c>
      <c r="BV1087" s="14">
        <f>F1087*BU1087*IF(B1087&gt;=in_marketplace_from,d_hz_loan_cd*G1087,0)*in_loan_cd_ticket*in_loan_cd_comm</f>
        <v/>
      </c>
      <c r="BW1087" s="40">
        <f>BW1086*(1-IF(B1086&gt;=in_marketplace_from,d_hz_loan_vehicle*G1086,0))</f>
        <v/>
      </c>
      <c r="BX1087" s="14">
        <f>F1087*BW1087*IF(B1087&gt;=in_marketplace_from,d_hz_loan_vehicle*G1087,0)*in_loan_vehicle_ticket*in_loan_vehicle_comm</f>
        <v/>
      </c>
      <c r="BY1087" s="40">
        <f>BY1086*(1-IF(B1086&gt;=in_marketplace_from,d_hz_loan_home*G1086,0)*BZ1086)</f>
        <v/>
      </c>
      <c r="BZ1087" s="11">
        <f>MIN(in_approval_cap,in_loan_home_approval*INDEX('Age profile'!$O$2:$O$61,B1087)*(1+in_approval_growth)^(D1087-1))</f>
        <v/>
      </c>
      <c r="CA1087" s="14">
        <f>F1087*BY1087*IF(B1087&gt;=in_marketplace_from,d_hz_loan_home*G1087,0)*BZ1087*in_loan_home_ticket*in_loan_home_comm</f>
        <v/>
      </c>
      <c r="CB1087" s="40">
        <f>CB1086*(1-IF(B1086&gt;=in_marketplace_from,d_hz_loan_lap*G1086,0)*CC1086)</f>
        <v/>
      </c>
      <c r="CC1087" s="11">
        <f>MIN(in_approval_cap,in_loan_lap_approval*INDEX('Age profile'!$O$2:$O$61,B1087)*(1+in_approval_growth)^(D1087-1))</f>
        <v/>
      </c>
      <c r="CD1087" s="14">
        <f>F1087*CB1087*IF(B1087&gt;=in_marketplace_from,d_hz_loan_lap*G1087,0)*CC1087*in_loan_lap_ticket*in_loan_lap_comm</f>
        <v/>
      </c>
      <c r="CE1087" s="14">
        <f>AA1087+AB1087+AC1087+AD1087+AG1087+AJ1087+AM1087+AP1087+AS1087+AU1087+AX1087+BB1087+BE1087+BG1087+BJ1087+BL1087+BO1087+BR1087+BT1087+BV1087+BX1087+CA1087+CD1087</f>
        <v/>
      </c>
    </row>
    <row r="1088">
      <c r="A1088" s="39" t="n">
        <v>22</v>
      </c>
      <c r="B1088" s="39" t="n">
        <v>37</v>
      </c>
      <c r="C1088" s="39">
        <f>A1088+B1088-1</f>
        <v/>
      </c>
      <c r="D1088" s="39">
        <f>INT((C1088-1)/12)+1</f>
        <v/>
      </c>
      <c r="E1088" s="44">
        <f>INDEX(Monthly!$B$2:$B$61,A1088)</f>
        <v/>
      </c>
      <c r="F1088" s="44">
        <f>E1088*INDEX('Age profile'!$B$2:$B$61,B1088)</f>
        <v/>
      </c>
      <c r="G1088" s="45">
        <f>MIN(in_takeup_cap,INDEX('Age profile'!$N$2:$N$61,B1088)*(1+in_takeup_growth)^(D1088-1))</f>
        <v/>
      </c>
      <c r="H1088" s="11">
        <f>MIN(in_approval_cap,in_approved_first*INDEX('Age profile'!$O$2:$O$61,B1088)*(1+in_approval_growth)^(D1088-1))</f>
        <v/>
      </c>
      <c r="I1088" s="45">
        <f>G1088*MIN(in_takeup_cap,INDEX('Age profile'!$O$2:$O$61,B1088)*(1+in_approval_growth)^(D1088-1))</f>
        <v/>
      </c>
      <c r="J1088" s="40">
        <f>(J1087-L1087)*F1088/F1087</f>
        <v/>
      </c>
      <c r="K1088" s="40">
        <f>(K1087-M1087)*F1088/F1087+SUMIFS(O1052:O1087,B1052:B1087,B1088-1-d_T)*F1088</f>
        <v/>
      </c>
      <c r="L1088" s="40">
        <f>IF(B1088&gt;=in_marketplace_from,J1088*d_hz*G1088*in_eligible*H1088,0)</f>
        <v/>
      </c>
      <c r="M1088" s="40">
        <f>IF(B1088&gt;=in_marketplace_from,K1088*d_hz*G1088*in_eligible*in_approved_repeat,0)</f>
        <v/>
      </c>
      <c r="N1088" s="40">
        <f>L1088+M1088</f>
        <v/>
      </c>
      <c r="O1088" s="46">
        <f>N1088/F1088</f>
        <v/>
      </c>
      <c r="P1088" s="40">
        <f>F1088-J1088-K1088</f>
        <v/>
      </c>
      <c r="Q1088" s="40">
        <f>IF(B1088&gt;=in_marketplace_from,(J1088+K1088)*d_hz*G1088,0)</f>
        <v/>
      </c>
      <c r="R1088" s="40">
        <f>SUMIFS(N1052:N1090,B1052:B1090,"&gt;="&amp;(B1088-d_T),B1052:B1090,"&lt;="&amp;(B1088-1))</f>
        <v/>
      </c>
      <c r="S1088" s="46">
        <f>(1-d_u)*S1087+IF(d_T&gt;in_topup_lag,SUMIFS(O1052:O1090,B1052:B1090,B1088-in_topup_lag)-d_udrop*SUMIFS(O1052:O1090,B1052:B1090,B1088-d_T),0)</f>
        <v/>
      </c>
      <c r="T1088" s="40">
        <f>F1088*d_u*S1088</f>
        <v/>
      </c>
      <c r="U1088" s="9">
        <f>L1088*in_ticket+M1088*d_rep_ticket</f>
        <v/>
      </c>
      <c r="V1088" s="9">
        <f>U1088+T1088*d_topup_amt</f>
        <v/>
      </c>
      <c r="W1088" s="40">
        <f>N1088+T1088*d_topup_ratio</f>
        <v/>
      </c>
      <c r="X1088" s="40">
        <f>SUMIFS(W1052:W1090,B1052:B1090,B1088-in_dpd_lag)*d_cured</f>
        <v/>
      </c>
      <c r="Y1088" s="40">
        <f>SUMIFS(W1052:W1090,B1052:B1090,B1088-in_rec_lag)*d_recd</f>
        <v/>
      </c>
      <c r="Z1088" s="40">
        <f>IF(AND(B1088&gt;=in_marketplace_from,B1088&lt;in_marketplace_from+in_card_months),in_card_share/in_card_months*F1088*I1088,IF(AND(B1088&gt;=in_marketplace_from+in_card_months,B1088&lt;in_marketplace_from+2*in_card_months),in_card_share*d_card_rem/in_card_months*F1088*MIN(in_takeup_cap,(1+in_takeup_growth)^(D1088-1))*MIN(in_takeup_cap,(1+in_approval_growth)^(D1088-1)),0))</f>
        <v/>
      </c>
      <c r="AA1088" s="14">
        <f>V1088*in_fee*(1-in_taken_back)</f>
        <v/>
      </c>
      <c r="AB1088" s="14">
        <f>SUMIFS(W1052:W1090,B1052:B1090,B1088-in_dpd_lag)*d_dpd</f>
        <v/>
      </c>
      <c r="AC1088" s="14">
        <f>SUMIFS(W1052:W1090,B1052:B1090,B1088-in_rec_lag)*d_rec</f>
        <v/>
      </c>
      <c r="AD1088" s="14">
        <f>Z1088*in_card_fee</f>
        <v/>
      </c>
      <c r="AE1088" s="40">
        <f>AE1087*(1-IF(B1087&gt;=in_marketplace_from,d_hz_hlth_small*G1087,0))</f>
        <v/>
      </c>
      <c r="AF1088" s="46">
        <f>AE1088*IF(B1088&gt;=in_marketplace_from,d_hz_hlth_small*G1088,0)</f>
        <v/>
      </c>
      <c r="AG1088" s="14">
        <f>F1088*AF1088*in_hlth_small_ticket*in_hlth_small_comm*in_ins_partner_share+F1088*in_hlth_small_ticket*in_hlth_small_renew_comm*in_ins_partner_share*(in_hlth_small_renew^1*SUMIFS(AF1052:AF1090,B1052:B1090,B1088-12)+in_hlth_small_renew^2*SUMIFS(AF1052:AF1090,B1052:B1090,B1088-24)+in_hlth_small_renew^3*SUMIFS(AF1052:AF1090,B1052:B1090,B1088-36)+in_hlth_small_renew^4*SUMIFS(AF1052:AF1090,B1052:B1090,B1088-48))</f>
        <v/>
      </c>
      <c r="AH1088" s="40">
        <f>AH1087*(1-IF(B1087&gt;=in_marketplace_from,d_hz_hlth_family*G1087,0))</f>
        <v/>
      </c>
      <c r="AI1088" s="46">
        <f>AH1088*IF(B1088&gt;=in_marketplace_from,d_hz_hlth_family*G1088,0)</f>
        <v/>
      </c>
      <c r="AJ1088" s="14">
        <f>F1088*AI1088*in_hlth_family_ticket*in_hlth_family_comm*in_ins_partner_share+F1088*in_hlth_family_ticket*in_hlth_family_renew_comm*in_ins_partner_share*(in_hlth_family_renew^1*SUMIFS(AI1052:AI1090,B1052:B1090,B1088-12)+in_hlth_family_renew^2*SUMIFS(AI1052:AI1090,B1052:B1090,B1088-24)+in_hlth_family_renew^3*SUMIFS(AI1052:AI1090,B1052:B1090,B1088-36)+in_hlth_family_renew^4*SUMIFS(AI1052:AI1090,B1052:B1090,B1088-48))</f>
        <v/>
      </c>
      <c r="AK1088" s="40">
        <f>AK1087*(1-IF(B1087&gt;=in_marketplace_from,d_hz_life_term*G1087,0))</f>
        <v/>
      </c>
      <c r="AL1088" s="46">
        <f>AK1088*IF(B1088&gt;=in_marketplace_from,d_hz_life_term*G1088,0)</f>
        <v/>
      </c>
      <c r="AM1088" s="14">
        <f>F1088*AL1088*in_life_term_ticket*in_life_term_comm*in_ins_partner_share+F1088*in_life_term_ticket*in_life_term_renew_comm*in_ins_partner_share*(in_life_term_renew^1*SUMIFS(AL1052:AL1090,B1052:B1090,B1088-12)+in_life_term_renew^2*SUMIFS(AL1052:AL1090,B1052:B1090,B1088-24)+in_life_term_renew^3*SUMIFS(AL1052:AL1090,B1052:B1090,B1088-36)+in_life_term_renew^4*SUMIFS(AL1052:AL1090,B1052:B1090,B1088-48))</f>
        <v/>
      </c>
      <c r="AN1088" s="40">
        <f>AN1087*(1-IF(B1087&gt;=in_marketplace_from,d_hz_accident*G1087,0))</f>
        <v/>
      </c>
      <c r="AO1088" s="46">
        <f>AN1088*IF(B1088&gt;=in_marketplace_from,d_hz_accident*G1088,0)</f>
        <v/>
      </c>
      <c r="AP1088" s="14">
        <f>F1088*AO1088*in_accident_ticket*in_accident_comm*in_ins_partner_share+F1088*in_accident_ticket*in_accident_renew_comm*in_ins_partner_share*(in_accident_renew^1*SUMIFS(AO1052:AO1090,B1052:B1090,B1088-12)+in_accident_renew^2*SUMIFS(AO1052:AO1090,B1052:B1090,B1088-24)+in_accident_renew^3*SUMIFS(AO1052:AO1090,B1052:B1090,B1088-36)+in_accident_renew^4*SUMIFS(AO1052:AO1090,B1052:B1090,B1088-48))</f>
        <v/>
      </c>
      <c r="AQ1088" s="40">
        <f>AQ1087*(1-IF(B1087&gt;=in_marketplace_from,d_hz_two_wheeler*G1087,0))</f>
        <v/>
      </c>
      <c r="AR1088" s="46">
        <f>AQ1088*IF(B1088&gt;=in_marketplace_from,d_hz_two_wheeler*G1088,0)</f>
        <v/>
      </c>
      <c r="AS1088" s="14">
        <f>F1088*AR1088*in_two_wheeler_ticket*in_two_wheeler_comm*in_ins_partner_share+F1088*in_two_wheeler_ticket*in_two_wheeler_comm*in_ins_partner_share*(in_two_wheeler_renew^1*SUMIFS(AR1052:AR1090,B1052:B1090,B1088-12)+in_two_wheeler_renew^2*SUMIFS(AR1052:AR1090,B1052:B1090,B1088-24)+in_two_wheeler_renew^3*SUMIFS(AR1052:AR1090,B1052:B1090,B1088-36)+in_two_wheeler_renew^4*SUMIFS(AR1052:AR1090,B1052:B1090,B1088-48))</f>
        <v/>
      </c>
      <c r="AT1088" s="40">
        <f>AT1087*(1-IF(B1087&gt;=in_marketplace_from,d_hz_device*G1087,0))</f>
        <v/>
      </c>
      <c r="AU1088" s="14">
        <f>F1088*AT1088*IF(B1088&gt;=in_marketplace_from,d_hz_device*G1088,0)*in_device_ticket*in_device_comm*in_ins_partner_share</f>
        <v/>
      </c>
      <c r="AV1088" s="40">
        <f>AV1087*(1-IF(B1087&gt;=in_marketplace_from,d_hz_shop*G1087,0))</f>
        <v/>
      </c>
      <c r="AW1088" s="46">
        <f>AV1088*IF(B1088&gt;=in_marketplace_from,d_hz_shop*G1088,0)</f>
        <v/>
      </c>
      <c r="AX1088" s="14">
        <f>F1088*AW1088*in_shop_ticket*in_shop_comm*in_ins_partner_share+F1088*in_shop_ticket*in_shop_renew_comm*in_ins_partner_share*(in_shop_renew^1*SUMIFS(AW1052:AW1090,B1052:B1090,B1088-12)+in_shop_renew^2*SUMIFS(AW1052:AW1090,B1052:B1090,B1088-24)+in_shop_renew^3*SUMIFS(AW1052:AW1090,B1052:B1090,B1088-36)+in_shop_renew^4*SUMIFS(AW1052:AW1090,B1052:B1090,B1088-48))</f>
        <v/>
      </c>
      <c r="AY1088" s="40">
        <f>AY1087*(1-IF(B1087&gt;=in_marketplace_from,d_hz_sip*G1087,0))</f>
        <v/>
      </c>
      <c r="AZ1088" s="40">
        <f>AZ1087*d_rho_sip+AY1088*IF(B1088&gt;=in_marketplace_from,d_hz_sip*G1088,0)</f>
        <v/>
      </c>
      <c r="BA1088" s="40">
        <f>d_rho_sip*(BA1087+AZ1087)</f>
        <v/>
      </c>
      <c r="BB1088" s="14">
        <f>F1088*in_sip_ticket*(BA1088+0.5*AZ1088)*in_sip_comm/12</f>
        <v/>
      </c>
      <c r="BC1088" s="40">
        <f>BC1087*(1-IF(B1087&gt;=in_marketplace_from,d_hz_choti*G1087,0))</f>
        <v/>
      </c>
      <c r="BD1088" s="46">
        <f>BC1088*IF(B1088&gt;=in_marketplace_from,d_hz_choti*G1088,0)</f>
        <v/>
      </c>
      <c r="BE1088" s="14">
        <f>F1088*SUMIFS(BD1052:BD1090,B1052:B1090,B1088-in_choti_months)*in_choti_renew*in_choti_ticket</f>
        <v/>
      </c>
      <c r="BF1088" s="40">
        <f>BF1087*(1-IF(B1087&gt;=in_marketplace_from,d_hz_nps*G1087,0))</f>
        <v/>
      </c>
      <c r="BG1088" s="14">
        <f>F1088*BF1088*IF(B1088&gt;=in_marketplace_from,d_hz_nps*G1088,0)*in_nps_ticket*in_nps_comm</f>
        <v/>
      </c>
      <c r="BH1088" s="40">
        <f>BH1087*(1-IF(B1087&gt;=in_marketplace_from,d_hz_gold*G1087,0))</f>
        <v/>
      </c>
      <c r="BI1088" s="40">
        <f>BI1087*d_rho_gold+BH1088*IF(B1088&gt;=in_marketplace_from,d_hz_gold*G1088,0)</f>
        <v/>
      </c>
      <c r="BJ1088" s="14">
        <f>F1088*BI1088*in_gold_ticket*in_gold_comm</f>
        <v/>
      </c>
      <c r="BK1088" s="40">
        <f>BK1087*(1-IF(B1087&gt;=in_marketplace_from,d_hz_fd*G1087,0))</f>
        <v/>
      </c>
      <c r="BL1088" s="14">
        <f>F1088*BK1088*IF(B1088&gt;=in_marketplace_from,d_hz_fd*G1088,0)*in_fd_ticket*in_fd_comm</f>
        <v/>
      </c>
      <c r="BM1088" s="40">
        <f>BM1087*(1-IF(B1087&gt;=in_marketplace_from,d_hz_recharge*G1087,0))</f>
        <v/>
      </c>
      <c r="BN1088" s="40">
        <f>BN1087*d_rho_recharge+BM1088*IF(B1088&gt;=in_marketplace_from,d_hz_recharge*G1088,0)</f>
        <v/>
      </c>
      <c r="BO1088" s="14">
        <f>F1088*BN1088*in_recharge_ticket*in_recharge_comm/12</f>
        <v/>
      </c>
      <c r="BP1088" s="40">
        <f>BP1087*(1-IF(B1087&gt;=in_marketplace_from,d_hz_bills*G1087,0))</f>
        <v/>
      </c>
      <c r="BQ1088" s="40">
        <f>BQ1087*d_rho_bills+BP1088*IF(B1088&gt;=in_marketplace_from,d_hz_bills*G1088,0)</f>
        <v/>
      </c>
      <c r="BR1088" s="14">
        <f>F1088*BQ1088*in_bills_ticket*in_bills_comm/12</f>
        <v/>
      </c>
      <c r="BS1088" s="40">
        <f>BS1087*(1-IF(B1087&gt;=in_marketplace_from,d_hz_loan_gold*G1087,0))</f>
        <v/>
      </c>
      <c r="BT1088" s="14">
        <f>F1088*BS1088*IF(B1088&gt;=in_marketplace_from,d_hz_loan_gold*G1088,0)*in_loan_gold_ticket*in_loan_gold_comm</f>
        <v/>
      </c>
      <c r="BU1088" s="40">
        <f>BU1087*(1-IF(B1087&gt;=in_marketplace_from,d_hz_loan_cd*G1087,0))</f>
        <v/>
      </c>
      <c r="BV1088" s="14">
        <f>F1088*BU1088*IF(B1088&gt;=in_marketplace_from,d_hz_loan_cd*G1088,0)*in_loan_cd_ticket*in_loan_cd_comm</f>
        <v/>
      </c>
      <c r="BW1088" s="40">
        <f>BW1087*(1-IF(B1087&gt;=in_marketplace_from,d_hz_loan_vehicle*G1087,0))</f>
        <v/>
      </c>
      <c r="BX1088" s="14">
        <f>F1088*BW1088*IF(B1088&gt;=in_marketplace_from,d_hz_loan_vehicle*G1088,0)*in_loan_vehicle_ticket*in_loan_vehicle_comm</f>
        <v/>
      </c>
      <c r="BY1088" s="40">
        <f>BY1087*(1-IF(B1087&gt;=in_marketplace_from,d_hz_loan_home*G1087,0)*BZ1087)</f>
        <v/>
      </c>
      <c r="BZ1088" s="11">
        <f>MIN(in_approval_cap,in_loan_home_approval*INDEX('Age profile'!$O$2:$O$61,B1088)*(1+in_approval_growth)^(D1088-1))</f>
        <v/>
      </c>
      <c r="CA1088" s="14">
        <f>F1088*BY1088*IF(B1088&gt;=in_marketplace_from,d_hz_loan_home*G1088,0)*BZ1088*in_loan_home_ticket*in_loan_home_comm</f>
        <v/>
      </c>
      <c r="CB1088" s="40">
        <f>CB1087*(1-IF(B1087&gt;=in_marketplace_from,d_hz_loan_lap*G1087,0)*CC1087)</f>
        <v/>
      </c>
      <c r="CC1088" s="11">
        <f>MIN(in_approval_cap,in_loan_lap_approval*INDEX('Age profile'!$O$2:$O$61,B1088)*(1+in_approval_growth)^(D1088-1))</f>
        <v/>
      </c>
      <c r="CD1088" s="14">
        <f>F1088*CB1088*IF(B1088&gt;=in_marketplace_from,d_hz_loan_lap*G1088,0)*CC1088*in_loan_lap_ticket*in_loan_lap_comm</f>
        <v/>
      </c>
      <c r="CE1088" s="14">
        <f>AA1088+AB1088+AC1088+AD1088+AG1088+AJ1088+AM1088+AP1088+AS1088+AU1088+AX1088+BB1088+BE1088+BG1088+BJ1088+BL1088+BO1088+BR1088+BT1088+BV1088+BX1088+CA1088+CD1088</f>
        <v/>
      </c>
    </row>
    <row r="1089">
      <c r="A1089" s="39" t="n">
        <v>22</v>
      </c>
      <c r="B1089" s="39" t="n">
        <v>38</v>
      </c>
      <c r="C1089" s="39">
        <f>A1089+B1089-1</f>
        <v/>
      </c>
      <c r="D1089" s="39">
        <f>INT((C1089-1)/12)+1</f>
        <v/>
      </c>
      <c r="E1089" s="44">
        <f>INDEX(Monthly!$B$2:$B$61,A1089)</f>
        <v/>
      </c>
      <c r="F1089" s="44">
        <f>E1089*INDEX('Age profile'!$B$2:$B$61,B1089)</f>
        <v/>
      </c>
      <c r="G1089" s="45">
        <f>MIN(in_takeup_cap,INDEX('Age profile'!$N$2:$N$61,B1089)*(1+in_takeup_growth)^(D1089-1))</f>
        <v/>
      </c>
      <c r="H1089" s="11">
        <f>MIN(in_approval_cap,in_approved_first*INDEX('Age profile'!$O$2:$O$61,B1089)*(1+in_approval_growth)^(D1089-1))</f>
        <v/>
      </c>
      <c r="I1089" s="45">
        <f>G1089*MIN(in_takeup_cap,INDEX('Age profile'!$O$2:$O$61,B1089)*(1+in_approval_growth)^(D1089-1))</f>
        <v/>
      </c>
      <c r="J1089" s="40">
        <f>(J1088-L1088)*F1089/F1088</f>
        <v/>
      </c>
      <c r="K1089" s="40">
        <f>(K1088-M1088)*F1089/F1088+SUMIFS(O1052:O1088,B1052:B1088,B1089-1-d_T)*F1089</f>
        <v/>
      </c>
      <c r="L1089" s="40">
        <f>IF(B1089&gt;=in_marketplace_from,J1089*d_hz*G1089*in_eligible*H1089,0)</f>
        <v/>
      </c>
      <c r="M1089" s="40">
        <f>IF(B1089&gt;=in_marketplace_from,K1089*d_hz*G1089*in_eligible*in_approved_repeat,0)</f>
        <v/>
      </c>
      <c r="N1089" s="40">
        <f>L1089+M1089</f>
        <v/>
      </c>
      <c r="O1089" s="46">
        <f>N1089/F1089</f>
        <v/>
      </c>
      <c r="P1089" s="40">
        <f>F1089-J1089-K1089</f>
        <v/>
      </c>
      <c r="Q1089" s="40">
        <f>IF(B1089&gt;=in_marketplace_from,(J1089+K1089)*d_hz*G1089,0)</f>
        <v/>
      </c>
      <c r="R1089" s="40">
        <f>SUMIFS(N1052:N1090,B1052:B1090,"&gt;="&amp;(B1089-d_T),B1052:B1090,"&lt;="&amp;(B1089-1))</f>
        <v/>
      </c>
      <c r="S1089" s="46">
        <f>(1-d_u)*S1088+IF(d_T&gt;in_topup_lag,SUMIFS(O1052:O1090,B1052:B1090,B1089-in_topup_lag)-d_udrop*SUMIFS(O1052:O1090,B1052:B1090,B1089-d_T),0)</f>
        <v/>
      </c>
      <c r="T1089" s="40">
        <f>F1089*d_u*S1089</f>
        <v/>
      </c>
      <c r="U1089" s="9">
        <f>L1089*in_ticket+M1089*d_rep_ticket</f>
        <v/>
      </c>
      <c r="V1089" s="9">
        <f>U1089+T1089*d_topup_amt</f>
        <v/>
      </c>
      <c r="W1089" s="40">
        <f>N1089+T1089*d_topup_ratio</f>
        <v/>
      </c>
      <c r="X1089" s="40">
        <f>SUMIFS(W1052:W1090,B1052:B1090,B1089-in_dpd_lag)*d_cured</f>
        <v/>
      </c>
      <c r="Y1089" s="40">
        <f>SUMIFS(W1052:W1090,B1052:B1090,B1089-in_rec_lag)*d_recd</f>
        <v/>
      </c>
      <c r="Z1089" s="40">
        <f>IF(AND(B1089&gt;=in_marketplace_from,B1089&lt;in_marketplace_from+in_card_months),in_card_share/in_card_months*F1089*I1089,IF(AND(B1089&gt;=in_marketplace_from+in_card_months,B1089&lt;in_marketplace_from+2*in_card_months),in_card_share*d_card_rem/in_card_months*F1089*MIN(in_takeup_cap,(1+in_takeup_growth)^(D1089-1))*MIN(in_takeup_cap,(1+in_approval_growth)^(D1089-1)),0))</f>
        <v/>
      </c>
      <c r="AA1089" s="14">
        <f>V1089*in_fee*(1-in_taken_back)</f>
        <v/>
      </c>
      <c r="AB1089" s="14">
        <f>SUMIFS(W1052:W1090,B1052:B1090,B1089-in_dpd_lag)*d_dpd</f>
        <v/>
      </c>
      <c r="AC1089" s="14">
        <f>SUMIFS(W1052:W1090,B1052:B1090,B1089-in_rec_lag)*d_rec</f>
        <v/>
      </c>
      <c r="AD1089" s="14">
        <f>Z1089*in_card_fee</f>
        <v/>
      </c>
      <c r="AE1089" s="40">
        <f>AE1088*(1-IF(B1088&gt;=in_marketplace_from,d_hz_hlth_small*G1088,0))</f>
        <v/>
      </c>
      <c r="AF1089" s="46">
        <f>AE1089*IF(B1089&gt;=in_marketplace_from,d_hz_hlth_small*G1089,0)</f>
        <v/>
      </c>
      <c r="AG1089" s="14">
        <f>F1089*AF1089*in_hlth_small_ticket*in_hlth_small_comm*in_ins_partner_share+F1089*in_hlth_small_ticket*in_hlth_small_renew_comm*in_ins_partner_share*(in_hlth_small_renew^1*SUMIFS(AF1052:AF1090,B1052:B1090,B1089-12)+in_hlth_small_renew^2*SUMIFS(AF1052:AF1090,B1052:B1090,B1089-24)+in_hlth_small_renew^3*SUMIFS(AF1052:AF1090,B1052:B1090,B1089-36)+in_hlth_small_renew^4*SUMIFS(AF1052:AF1090,B1052:B1090,B1089-48))</f>
        <v/>
      </c>
      <c r="AH1089" s="40">
        <f>AH1088*(1-IF(B1088&gt;=in_marketplace_from,d_hz_hlth_family*G1088,0))</f>
        <v/>
      </c>
      <c r="AI1089" s="46">
        <f>AH1089*IF(B1089&gt;=in_marketplace_from,d_hz_hlth_family*G1089,0)</f>
        <v/>
      </c>
      <c r="AJ1089" s="14">
        <f>F1089*AI1089*in_hlth_family_ticket*in_hlth_family_comm*in_ins_partner_share+F1089*in_hlth_family_ticket*in_hlth_family_renew_comm*in_ins_partner_share*(in_hlth_family_renew^1*SUMIFS(AI1052:AI1090,B1052:B1090,B1089-12)+in_hlth_family_renew^2*SUMIFS(AI1052:AI1090,B1052:B1090,B1089-24)+in_hlth_family_renew^3*SUMIFS(AI1052:AI1090,B1052:B1090,B1089-36)+in_hlth_family_renew^4*SUMIFS(AI1052:AI1090,B1052:B1090,B1089-48))</f>
        <v/>
      </c>
      <c r="AK1089" s="40">
        <f>AK1088*(1-IF(B1088&gt;=in_marketplace_from,d_hz_life_term*G1088,0))</f>
        <v/>
      </c>
      <c r="AL1089" s="46">
        <f>AK1089*IF(B1089&gt;=in_marketplace_from,d_hz_life_term*G1089,0)</f>
        <v/>
      </c>
      <c r="AM1089" s="14">
        <f>F1089*AL1089*in_life_term_ticket*in_life_term_comm*in_ins_partner_share+F1089*in_life_term_ticket*in_life_term_renew_comm*in_ins_partner_share*(in_life_term_renew^1*SUMIFS(AL1052:AL1090,B1052:B1090,B1089-12)+in_life_term_renew^2*SUMIFS(AL1052:AL1090,B1052:B1090,B1089-24)+in_life_term_renew^3*SUMIFS(AL1052:AL1090,B1052:B1090,B1089-36)+in_life_term_renew^4*SUMIFS(AL1052:AL1090,B1052:B1090,B1089-48))</f>
        <v/>
      </c>
      <c r="AN1089" s="40">
        <f>AN1088*(1-IF(B1088&gt;=in_marketplace_from,d_hz_accident*G1088,0))</f>
        <v/>
      </c>
      <c r="AO1089" s="46">
        <f>AN1089*IF(B1089&gt;=in_marketplace_from,d_hz_accident*G1089,0)</f>
        <v/>
      </c>
      <c r="AP1089" s="14">
        <f>F1089*AO1089*in_accident_ticket*in_accident_comm*in_ins_partner_share+F1089*in_accident_ticket*in_accident_renew_comm*in_ins_partner_share*(in_accident_renew^1*SUMIFS(AO1052:AO1090,B1052:B1090,B1089-12)+in_accident_renew^2*SUMIFS(AO1052:AO1090,B1052:B1090,B1089-24)+in_accident_renew^3*SUMIFS(AO1052:AO1090,B1052:B1090,B1089-36)+in_accident_renew^4*SUMIFS(AO1052:AO1090,B1052:B1090,B1089-48))</f>
        <v/>
      </c>
      <c r="AQ1089" s="40">
        <f>AQ1088*(1-IF(B1088&gt;=in_marketplace_from,d_hz_two_wheeler*G1088,0))</f>
        <v/>
      </c>
      <c r="AR1089" s="46">
        <f>AQ1089*IF(B1089&gt;=in_marketplace_from,d_hz_two_wheeler*G1089,0)</f>
        <v/>
      </c>
      <c r="AS1089" s="14">
        <f>F1089*AR1089*in_two_wheeler_ticket*in_two_wheeler_comm*in_ins_partner_share+F1089*in_two_wheeler_ticket*in_two_wheeler_comm*in_ins_partner_share*(in_two_wheeler_renew^1*SUMIFS(AR1052:AR1090,B1052:B1090,B1089-12)+in_two_wheeler_renew^2*SUMIFS(AR1052:AR1090,B1052:B1090,B1089-24)+in_two_wheeler_renew^3*SUMIFS(AR1052:AR1090,B1052:B1090,B1089-36)+in_two_wheeler_renew^4*SUMIFS(AR1052:AR1090,B1052:B1090,B1089-48))</f>
        <v/>
      </c>
      <c r="AT1089" s="40">
        <f>AT1088*(1-IF(B1088&gt;=in_marketplace_from,d_hz_device*G1088,0))</f>
        <v/>
      </c>
      <c r="AU1089" s="14">
        <f>F1089*AT1089*IF(B1089&gt;=in_marketplace_from,d_hz_device*G1089,0)*in_device_ticket*in_device_comm*in_ins_partner_share</f>
        <v/>
      </c>
      <c r="AV1089" s="40">
        <f>AV1088*(1-IF(B1088&gt;=in_marketplace_from,d_hz_shop*G1088,0))</f>
        <v/>
      </c>
      <c r="AW1089" s="46">
        <f>AV1089*IF(B1089&gt;=in_marketplace_from,d_hz_shop*G1089,0)</f>
        <v/>
      </c>
      <c r="AX1089" s="14">
        <f>F1089*AW1089*in_shop_ticket*in_shop_comm*in_ins_partner_share+F1089*in_shop_ticket*in_shop_renew_comm*in_ins_partner_share*(in_shop_renew^1*SUMIFS(AW1052:AW1090,B1052:B1090,B1089-12)+in_shop_renew^2*SUMIFS(AW1052:AW1090,B1052:B1090,B1089-24)+in_shop_renew^3*SUMIFS(AW1052:AW1090,B1052:B1090,B1089-36)+in_shop_renew^4*SUMIFS(AW1052:AW1090,B1052:B1090,B1089-48))</f>
        <v/>
      </c>
      <c r="AY1089" s="40">
        <f>AY1088*(1-IF(B1088&gt;=in_marketplace_from,d_hz_sip*G1088,0))</f>
        <v/>
      </c>
      <c r="AZ1089" s="40">
        <f>AZ1088*d_rho_sip+AY1089*IF(B1089&gt;=in_marketplace_from,d_hz_sip*G1089,0)</f>
        <v/>
      </c>
      <c r="BA1089" s="40">
        <f>d_rho_sip*(BA1088+AZ1088)</f>
        <v/>
      </c>
      <c r="BB1089" s="14">
        <f>F1089*in_sip_ticket*(BA1089+0.5*AZ1089)*in_sip_comm/12</f>
        <v/>
      </c>
      <c r="BC1089" s="40">
        <f>BC1088*(1-IF(B1088&gt;=in_marketplace_from,d_hz_choti*G1088,0))</f>
        <v/>
      </c>
      <c r="BD1089" s="46">
        <f>BC1089*IF(B1089&gt;=in_marketplace_from,d_hz_choti*G1089,0)</f>
        <v/>
      </c>
      <c r="BE1089" s="14">
        <f>F1089*SUMIFS(BD1052:BD1090,B1052:B1090,B1089-in_choti_months)*in_choti_renew*in_choti_ticket</f>
        <v/>
      </c>
      <c r="BF1089" s="40">
        <f>BF1088*(1-IF(B1088&gt;=in_marketplace_from,d_hz_nps*G1088,0))</f>
        <v/>
      </c>
      <c r="BG1089" s="14">
        <f>F1089*BF1089*IF(B1089&gt;=in_marketplace_from,d_hz_nps*G1089,0)*in_nps_ticket*in_nps_comm</f>
        <v/>
      </c>
      <c r="BH1089" s="40">
        <f>BH1088*(1-IF(B1088&gt;=in_marketplace_from,d_hz_gold*G1088,0))</f>
        <v/>
      </c>
      <c r="BI1089" s="40">
        <f>BI1088*d_rho_gold+BH1089*IF(B1089&gt;=in_marketplace_from,d_hz_gold*G1089,0)</f>
        <v/>
      </c>
      <c r="BJ1089" s="14">
        <f>F1089*BI1089*in_gold_ticket*in_gold_comm</f>
        <v/>
      </c>
      <c r="BK1089" s="40">
        <f>BK1088*(1-IF(B1088&gt;=in_marketplace_from,d_hz_fd*G1088,0))</f>
        <v/>
      </c>
      <c r="BL1089" s="14">
        <f>F1089*BK1089*IF(B1089&gt;=in_marketplace_from,d_hz_fd*G1089,0)*in_fd_ticket*in_fd_comm</f>
        <v/>
      </c>
      <c r="BM1089" s="40">
        <f>BM1088*(1-IF(B1088&gt;=in_marketplace_from,d_hz_recharge*G1088,0))</f>
        <v/>
      </c>
      <c r="BN1089" s="40">
        <f>BN1088*d_rho_recharge+BM1089*IF(B1089&gt;=in_marketplace_from,d_hz_recharge*G1089,0)</f>
        <v/>
      </c>
      <c r="BO1089" s="14">
        <f>F1089*BN1089*in_recharge_ticket*in_recharge_comm/12</f>
        <v/>
      </c>
      <c r="BP1089" s="40">
        <f>BP1088*(1-IF(B1088&gt;=in_marketplace_from,d_hz_bills*G1088,0))</f>
        <v/>
      </c>
      <c r="BQ1089" s="40">
        <f>BQ1088*d_rho_bills+BP1089*IF(B1089&gt;=in_marketplace_from,d_hz_bills*G1089,0)</f>
        <v/>
      </c>
      <c r="BR1089" s="14">
        <f>F1089*BQ1089*in_bills_ticket*in_bills_comm/12</f>
        <v/>
      </c>
      <c r="BS1089" s="40">
        <f>BS1088*(1-IF(B1088&gt;=in_marketplace_from,d_hz_loan_gold*G1088,0))</f>
        <v/>
      </c>
      <c r="BT1089" s="14">
        <f>F1089*BS1089*IF(B1089&gt;=in_marketplace_from,d_hz_loan_gold*G1089,0)*in_loan_gold_ticket*in_loan_gold_comm</f>
        <v/>
      </c>
      <c r="BU1089" s="40">
        <f>BU1088*(1-IF(B1088&gt;=in_marketplace_from,d_hz_loan_cd*G1088,0))</f>
        <v/>
      </c>
      <c r="BV1089" s="14">
        <f>F1089*BU1089*IF(B1089&gt;=in_marketplace_from,d_hz_loan_cd*G1089,0)*in_loan_cd_ticket*in_loan_cd_comm</f>
        <v/>
      </c>
      <c r="BW1089" s="40">
        <f>BW1088*(1-IF(B1088&gt;=in_marketplace_from,d_hz_loan_vehicle*G1088,0))</f>
        <v/>
      </c>
      <c r="BX1089" s="14">
        <f>F1089*BW1089*IF(B1089&gt;=in_marketplace_from,d_hz_loan_vehicle*G1089,0)*in_loan_vehicle_ticket*in_loan_vehicle_comm</f>
        <v/>
      </c>
      <c r="BY1089" s="40">
        <f>BY1088*(1-IF(B1088&gt;=in_marketplace_from,d_hz_loan_home*G1088,0)*BZ1088)</f>
        <v/>
      </c>
      <c r="BZ1089" s="11">
        <f>MIN(in_approval_cap,in_loan_home_approval*INDEX('Age profile'!$O$2:$O$61,B1089)*(1+in_approval_growth)^(D1089-1))</f>
        <v/>
      </c>
      <c r="CA1089" s="14">
        <f>F1089*BY1089*IF(B1089&gt;=in_marketplace_from,d_hz_loan_home*G1089,0)*BZ1089*in_loan_home_ticket*in_loan_home_comm</f>
        <v/>
      </c>
      <c r="CB1089" s="40">
        <f>CB1088*(1-IF(B1088&gt;=in_marketplace_from,d_hz_loan_lap*G1088,0)*CC1088)</f>
        <v/>
      </c>
      <c r="CC1089" s="11">
        <f>MIN(in_approval_cap,in_loan_lap_approval*INDEX('Age profile'!$O$2:$O$61,B1089)*(1+in_approval_growth)^(D1089-1))</f>
        <v/>
      </c>
      <c r="CD1089" s="14">
        <f>F1089*CB1089*IF(B1089&gt;=in_marketplace_from,d_hz_loan_lap*G1089,0)*CC1089*in_loan_lap_ticket*in_loan_lap_comm</f>
        <v/>
      </c>
      <c r="CE1089" s="14">
        <f>AA1089+AB1089+AC1089+AD1089+AG1089+AJ1089+AM1089+AP1089+AS1089+AU1089+AX1089+BB1089+BE1089+BG1089+BJ1089+BL1089+BO1089+BR1089+BT1089+BV1089+BX1089+CA1089+CD1089</f>
        <v/>
      </c>
    </row>
    <row r="1090">
      <c r="A1090" s="39" t="n">
        <v>22</v>
      </c>
      <c r="B1090" s="39" t="n">
        <v>39</v>
      </c>
      <c r="C1090" s="39">
        <f>A1090+B1090-1</f>
        <v/>
      </c>
      <c r="D1090" s="39">
        <f>INT((C1090-1)/12)+1</f>
        <v/>
      </c>
      <c r="E1090" s="44">
        <f>INDEX(Monthly!$B$2:$B$61,A1090)</f>
        <v/>
      </c>
      <c r="F1090" s="44">
        <f>E1090*INDEX('Age profile'!$B$2:$B$61,B1090)</f>
        <v/>
      </c>
      <c r="G1090" s="45">
        <f>MIN(in_takeup_cap,INDEX('Age profile'!$N$2:$N$61,B1090)*(1+in_takeup_growth)^(D1090-1))</f>
        <v/>
      </c>
      <c r="H1090" s="11">
        <f>MIN(in_approval_cap,in_approved_first*INDEX('Age profile'!$O$2:$O$61,B1090)*(1+in_approval_growth)^(D1090-1))</f>
        <v/>
      </c>
      <c r="I1090" s="45">
        <f>G1090*MIN(in_takeup_cap,INDEX('Age profile'!$O$2:$O$61,B1090)*(1+in_approval_growth)^(D1090-1))</f>
        <v/>
      </c>
      <c r="J1090" s="40">
        <f>(J1089-L1089)*F1090/F1089</f>
        <v/>
      </c>
      <c r="K1090" s="40">
        <f>(K1089-M1089)*F1090/F1089+SUMIFS(O1052:O1089,B1052:B1089,B1090-1-d_T)*F1090</f>
        <v/>
      </c>
      <c r="L1090" s="40">
        <f>IF(B1090&gt;=in_marketplace_from,J1090*d_hz*G1090*in_eligible*H1090,0)</f>
        <v/>
      </c>
      <c r="M1090" s="40">
        <f>IF(B1090&gt;=in_marketplace_from,K1090*d_hz*G1090*in_eligible*in_approved_repeat,0)</f>
        <v/>
      </c>
      <c r="N1090" s="40">
        <f>L1090+M1090</f>
        <v/>
      </c>
      <c r="O1090" s="46">
        <f>N1090/F1090</f>
        <v/>
      </c>
      <c r="P1090" s="40">
        <f>F1090-J1090-K1090</f>
        <v/>
      </c>
      <c r="Q1090" s="40">
        <f>IF(B1090&gt;=in_marketplace_from,(J1090+K1090)*d_hz*G1090,0)</f>
        <v/>
      </c>
      <c r="R1090" s="40">
        <f>SUMIFS(N1052:N1090,B1052:B1090,"&gt;="&amp;(B1090-d_T),B1052:B1090,"&lt;="&amp;(B1090-1))</f>
        <v/>
      </c>
      <c r="S1090" s="46">
        <f>(1-d_u)*S1089+IF(d_T&gt;in_topup_lag,SUMIFS(O1052:O1090,B1052:B1090,B1090-in_topup_lag)-d_udrop*SUMIFS(O1052:O1090,B1052:B1090,B1090-d_T),0)</f>
        <v/>
      </c>
      <c r="T1090" s="40">
        <f>F1090*d_u*S1090</f>
        <v/>
      </c>
      <c r="U1090" s="9">
        <f>L1090*in_ticket+M1090*d_rep_ticket</f>
        <v/>
      </c>
      <c r="V1090" s="9">
        <f>U1090+T1090*d_topup_amt</f>
        <v/>
      </c>
      <c r="W1090" s="40">
        <f>N1090+T1090*d_topup_ratio</f>
        <v/>
      </c>
      <c r="X1090" s="40">
        <f>SUMIFS(W1052:W1090,B1052:B1090,B1090-in_dpd_lag)*d_cured</f>
        <v/>
      </c>
      <c r="Y1090" s="40">
        <f>SUMIFS(W1052:W1090,B1052:B1090,B1090-in_rec_lag)*d_recd</f>
        <v/>
      </c>
      <c r="Z1090" s="40">
        <f>IF(AND(B1090&gt;=in_marketplace_from,B1090&lt;in_marketplace_from+in_card_months),in_card_share/in_card_months*F1090*I1090,IF(AND(B1090&gt;=in_marketplace_from+in_card_months,B1090&lt;in_marketplace_from+2*in_card_months),in_card_share*d_card_rem/in_card_months*F1090*MIN(in_takeup_cap,(1+in_takeup_growth)^(D1090-1))*MIN(in_takeup_cap,(1+in_approval_growth)^(D1090-1)),0))</f>
        <v/>
      </c>
      <c r="AA1090" s="14">
        <f>V1090*in_fee*(1-in_taken_back)</f>
        <v/>
      </c>
      <c r="AB1090" s="14">
        <f>SUMIFS(W1052:W1090,B1052:B1090,B1090-in_dpd_lag)*d_dpd</f>
        <v/>
      </c>
      <c r="AC1090" s="14">
        <f>SUMIFS(W1052:W1090,B1052:B1090,B1090-in_rec_lag)*d_rec</f>
        <v/>
      </c>
      <c r="AD1090" s="14">
        <f>Z1090*in_card_fee</f>
        <v/>
      </c>
      <c r="AE1090" s="40">
        <f>AE1089*(1-IF(B1089&gt;=in_marketplace_from,d_hz_hlth_small*G1089,0))</f>
        <v/>
      </c>
      <c r="AF1090" s="46">
        <f>AE1090*IF(B1090&gt;=in_marketplace_from,d_hz_hlth_small*G1090,0)</f>
        <v/>
      </c>
      <c r="AG1090" s="14">
        <f>F1090*AF1090*in_hlth_small_ticket*in_hlth_small_comm*in_ins_partner_share+F1090*in_hlth_small_ticket*in_hlth_small_renew_comm*in_ins_partner_share*(in_hlth_small_renew^1*SUMIFS(AF1052:AF1090,B1052:B1090,B1090-12)+in_hlth_small_renew^2*SUMIFS(AF1052:AF1090,B1052:B1090,B1090-24)+in_hlth_small_renew^3*SUMIFS(AF1052:AF1090,B1052:B1090,B1090-36)+in_hlth_small_renew^4*SUMIFS(AF1052:AF1090,B1052:B1090,B1090-48))</f>
        <v/>
      </c>
      <c r="AH1090" s="40">
        <f>AH1089*(1-IF(B1089&gt;=in_marketplace_from,d_hz_hlth_family*G1089,0))</f>
        <v/>
      </c>
      <c r="AI1090" s="46">
        <f>AH1090*IF(B1090&gt;=in_marketplace_from,d_hz_hlth_family*G1090,0)</f>
        <v/>
      </c>
      <c r="AJ1090" s="14">
        <f>F1090*AI1090*in_hlth_family_ticket*in_hlth_family_comm*in_ins_partner_share+F1090*in_hlth_family_ticket*in_hlth_family_renew_comm*in_ins_partner_share*(in_hlth_family_renew^1*SUMIFS(AI1052:AI1090,B1052:B1090,B1090-12)+in_hlth_family_renew^2*SUMIFS(AI1052:AI1090,B1052:B1090,B1090-24)+in_hlth_family_renew^3*SUMIFS(AI1052:AI1090,B1052:B1090,B1090-36)+in_hlth_family_renew^4*SUMIFS(AI1052:AI1090,B1052:B1090,B1090-48))</f>
        <v/>
      </c>
      <c r="AK1090" s="40">
        <f>AK1089*(1-IF(B1089&gt;=in_marketplace_from,d_hz_life_term*G1089,0))</f>
        <v/>
      </c>
      <c r="AL1090" s="46">
        <f>AK1090*IF(B1090&gt;=in_marketplace_from,d_hz_life_term*G1090,0)</f>
        <v/>
      </c>
      <c r="AM1090" s="14">
        <f>F1090*AL1090*in_life_term_ticket*in_life_term_comm*in_ins_partner_share+F1090*in_life_term_ticket*in_life_term_renew_comm*in_ins_partner_share*(in_life_term_renew^1*SUMIFS(AL1052:AL1090,B1052:B1090,B1090-12)+in_life_term_renew^2*SUMIFS(AL1052:AL1090,B1052:B1090,B1090-24)+in_life_term_renew^3*SUMIFS(AL1052:AL1090,B1052:B1090,B1090-36)+in_life_term_renew^4*SUMIFS(AL1052:AL1090,B1052:B1090,B1090-48))</f>
        <v/>
      </c>
      <c r="AN1090" s="40">
        <f>AN1089*(1-IF(B1089&gt;=in_marketplace_from,d_hz_accident*G1089,0))</f>
        <v/>
      </c>
      <c r="AO1090" s="46">
        <f>AN1090*IF(B1090&gt;=in_marketplace_from,d_hz_accident*G1090,0)</f>
        <v/>
      </c>
      <c r="AP1090" s="14">
        <f>F1090*AO1090*in_accident_ticket*in_accident_comm*in_ins_partner_share+F1090*in_accident_ticket*in_accident_renew_comm*in_ins_partner_share*(in_accident_renew^1*SUMIFS(AO1052:AO1090,B1052:B1090,B1090-12)+in_accident_renew^2*SUMIFS(AO1052:AO1090,B1052:B1090,B1090-24)+in_accident_renew^3*SUMIFS(AO1052:AO1090,B1052:B1090,B1090-36)+in_accident_renew^4*SUMIFS(AO1052:AO1090,B1052:B1090,B1090-48))</f>
        <v/>
      </c>
      <c r="AQ1090" s="40">
        <f>AQ1089*(1-IF(B1089&gt;=in_marketplace_from,d_hz_two_wheeler*G1089,0))</f>
        <v/>
      </c>
      <c r="AR1090" s="46">
        <f>AQ1090*IF(B1090&gt;=in_marketplace_from,d_hz_two_wheeler*G1090,0)</f>
        <v/>
      </c>
      <c r="AS1090" s="14">
        <f>F1090*AR1090*in_two_wheeler_ticket*in_two_wheeler_comm*in_ins_partner_share+F1090*in_two_wheeler_ticket*in_two_wheeler_comm*in_ins_partner_share*(in_two_wheeler_renew^1*SUMIFS(AR1052:AR1090,B1052:B1090,B1090-12)+in_two_wheeler_renew^2*SUMIFS(AR1052:AR1090,B1052:B1090,B1090-24)+in_two_wheeler_renew^3*SUMIFS(AR1052:AR1090,B1052:B1090,B1090-36)+in_two_wheeler_renew^4*SUMIFS(AR1052:AR1090,B1052:B1090,B1090-48))</f>
        <v/>
      </c>
      <c r="AT1090" s="40">
        <f>AT1089*(1-IF(B1089&gt;=in_marketplace_from,d_hz_device*G1089,0))</f>
        <v/>
      </c>
      <c r="AU1090" s="14">
        <f>F1090*AT1090*IF(B1090&gt;=in_marketplace_from,d_hz_device*G1090,0)*in_device_ticket*in_device_comm*in_ins_partner_share</f>
        <v/>
      </c>
      <c r="AV1090" s="40">
        <f>AV1089*(1-IF(B1089&gt;=in_marketplace_from,d_hz_shop*G1089,0))</f>
        <v/>
      </c>
      <c r="AW1090" s="46">
        <f>AV1090*IF(B1090&gt;=in_marketplace_from,d_hz_shop*G1090,0)</f>
        <v/>
      </c>
      <c r="AX1090" s="14">
        <f>F1090*AW1090*in_shop_ticket*in_shop_comm*in_ins_partner_share+F1090*in_shop_ticket*in_shop_renew_comm*in_ins_partner_share*(in_shop_renew^1*SUMIFS(AW1052:AW1090,B1052:B1090,B1090-12)+in_shop_renew^2*SUMIFS(AW1052:AW1090,B1052:B1090,B1090-24)+in_shop_renew^3*SUMIFS(AW1052:AW1090,B1052:B1090,B1090-36)+in_shop_renew^4*SUMIFS(AW1052:AW1090,B1052:B1090,B1090-48))</f>
        <v/>
      </c>
      <c r="AY1090" s="40">
        <f>AY1089*(1-IF(B1089&gt;=in_marketplace_from,d_hz_sip*G1089,0))</f>
        <v/>
      </c>
      <c r="AZ1090" s="40">
        <f>AZ1089*d_rho_sip+AY1090*IF(B1090&gt;=in_marketplace_from,d_hz_sip*G1090,0)</f>
        <v/>
      </c>
      <c r="BA1090" s="40">
        <f>d_rho_sip*(BA1089+AZ1089)</f>
        <v/>
      </c>
      <c r="BB1090" s="14">
        <f>F1090*in_sip_ticket*(BA1090+0.5*AZ1090)*in_sip_comm/12</f>
        <v/>
      </c>
      <c r="BC1090" s="40">
        <f>BC1089*(1-IF(B1089&gt;=in_marketplace_from,d_hz_choti*G1089,0))</f>
        <v/>
      </c>
      <c r="BD1090" s="46">
        <f>BC1090*IF(B1090&gt;=in_marketplace_from,d_hz_choti*G1090,0)</f>
        <v/>
      </c>
      <c r="BE1090" s="14">
        <f>F1090*SUMIFS(BD1052:BD1090,B1052:B1090,B1090-in_choti_months)*in_choti_renew*in_choti_ticket</f>
        <v/>
      </c>
      <c r="BF1090" s="40">
        <f>BF1089*(1-IF(B1089&gt;=in_marketplace_from,d_hz_nps*G1089,0))</f>
        <v/>
      </c>
      <c r="BG1090" s="14">
        <f>F1090*BF1090*IF(B1090&gt;=in_marketplace_from,d_hz_nps*G1090,0)*in_nps_ticket*in_nps_comm</f>
        <v/>
      </c>
      <c r="BH1090" s="40">
        <f>BH1089*(1-IF(B1089&gt;=in_marketplace_from,d_hz_gold*G1089,0))</f>
        <v/>
      </c>
      <c r="BI1090" s="40">
        <f>BI1089*d_rho_gold+BH1090*IF(B1090&gt;=in_marketplace_from,d_hz_gold*G1090,0)</f>
        <v/>
      </c>
      <c r="BJ1090" s="14">
        <f>F1090*BI1090*in_gold_ticket*in_gold_comm</f>
        <v/>
      </c>
      <c r="BK1090" s="40">
        <f>BK1089*(1-IF(B1089&gt;=in_marketplace_from,d_hz_fd*G1089,0))</f>
        <v/>
      </c>
      <c r="BL1090" s="14">
        <f>F1090*BK1090*IF(B1090&gt;=in_marketplace_from,d_hz_fd*G1090,0)*in_fd_ticket*in_fd_comm</f>
        <v/>
      </c>
      <c r="BM1090" s="40">
        <f>BM1089*(1-IF(B1089&gt;=in_marketplace_from,d_hz_recharge*G1089,0))</f>
        <v/>
      </c>
      <c r="BN1090" s="40">
        <f>BN1089*d_rho_recharge+BM1090*IF(B1090&gt;=in_marketplace_from,d_hz_recharge*G1090,0)</f>
        <v/>
      </c>
      <c r="BO1090" s="14">
        <f>F1090*BN1090*in_recharge_ticket*in_recharge_comm/12</f>
        <v/>
      </c>
      <c r="BP1090" s="40">
        <f>BP1089*(1-IF(B1089&gt;=in_marketplace_from,d_hz_bills*G1089,0))</f>
        <v/>
      </c>
      <c r="BQ1090" s="40">
        <f>BQ1089*d_rho_bills+BP1090*IF(B1090&gt;=in_marketplace_from,d_hz_bills*G1090,0)</f>
        <v/>
      </c>
      <c r="BR1090" s="14">
        <f>F1090*BQ1090*in_bills_ticket*in_bills_comm/12</f>
        <v/>
      </c>
      <c r="BS1090" s="40">
        <f>BS1089*(1-IF(B1089&gt;=in_marketplace_from,d_hz_loan_gold*G1089,0))</f>
        <v/>
      </c>
      <c r="BT1090" s="14">
        <f>F1090*BS1090*IF(B1090&gt;=in_marketplace_from,d_hz_loan_gold*G1090,0)*in_loan_gold_ticket*in_loan_gold_comm</f>
        <v/>
      </c>
      <c r="BU1090" s="40">
        <f>BU1089*(1-IF(B1089&gt;=in_marketplace_from,d_hz_loan_cd*G1089,0))</f>
        <v/>
      </c>
      <c r="BV1090" s="14">
        <f>F1090*BU1090*IF(B1090&gt;=in_marketplace_from,d_hz_loan_cd*G1090,0)*in_loan_cd_ticket*in_loan_cd_comm</f>
        <v/>
      </c>
      <c r="BW1090" s="40">
        <f>BW1089*(1-IF(B1089&gt;=in_marketplace_from,d_hz_loan_vehicle*G1089,0))</f>
        <v/>
      </c>
      <c r="BX1090" s="14">
        <f>F1090*BW1090*IF(B1090&gt;=in_marketplace_from,d_hz_loan_vehicle*G1090,0)*in_loan_vehicle_ticket*in_loan_vehicle_comm</f>
        <v/>
      </c>
      <c r="BY1090" s="40">
        <f>BY1089*(1-IF(B1089&gt;=in_marketplace_from,d_hz_loan_home*G1089,0)*BZ1089)</f>
        <v/>
      </c>
      <c r="BZ1090" s="11">
        <f>MIN(in_approval_cap,in_loan_home_approval*INDEX('Age profile'!$O$2:$O$61,B1090)*(1+in_approval_growth)^(D1090-1))</f>
        <v/>
      </c>
      <c r="CA1090" s="14">
        <f>F1090*BY1090*IF(B1090&gt;=in_marketplace_from,d_hz_loan_home*G1090,0)*BZ1090*in_loan_home_ticket*in_loan_home_comm</f>
        <v/>
      </c>
      <c r="CB1090" s="40">
        <f>CB1089*(1-IF(B1089&gt;=in_marketplace_from,d_hz_loan_lap*G1089,0)*CC1089)</f>
        <v/>
      </c>
      <c r="CC1090" s="11">
        <f>MIN(in_approval_cap,in_loan_lap_approval*INDEX('Age profile'!$O$2:$O$61,B1090)*(1+in_approval_growth)^(D1090-1))</f>
        <v/>
      </c>
      <c r="CD1090" s="14">
        <f>F1090*CB1090*IF(B1090&gt;=in_marketplace_from,d_hz_loan_lap*G1090,0)*CC1090*in_loan_lap_ticket*in_loan_lap_comm</f>
        <v/>
      </c>
      <c r="CE1090" s="14">
        <f>AA1090+AB1090+AC1090+AD1090+AG1090+AJ1090+AM1090+AP1090+AS1090+AU1090+AX1090+BB1090+BE1090+BG1090+BJ1090+BL1090+BO1090+BR1090+BT1090+BV1090+BX1090+CA1090+CD1090</f>
        <v/>
      </c>
    </row>
    <row r="1091">
      <c r="A1091" s="39" t="n">
        <v>23</v>
      </c>
      <c r="B1091" s="39" t="n">
        <v>1</v>
      </c>
      <c r="C1091" s="39">
        <f>A1091+B1091-1</f>
        <v/>
      </c>
      <c r="D1091" s="39">
        <f>INT((C1091-1)/12)+1</f>
        <v/>
      </c>
      <c r="E1091" s="44">
        <f>INDEX(Monthly!$B$2:$B$61,A1091)</f>
        <v/>
      </c>
      <c r="F1091" s="44">
        <f>E1091*INDEX('Age profile'!$B$2:$B$61,B1091)</f>
        <v/>
      </c>
      <c r="G1091" s="45">
        <f>MIN(in_takeup_cap,INDEX('Age profile'!$N$2:$N$61,B1091)*(1+in_takeup_growth)^(D1091-1))</f>
        <v/>
      </c>
      <c r="H1091" s="11">
        <f>MIN(in_approval_cap,in_approved_first*INDEX('Age profile'!$O$2:$O$61,B1091)*(1+in_approval_growth)^(D1091-1))</f>
        <v/>
      </c>
      <c r="I1091" s="45">
        <f>G1091*MIN(in_takeup_cap,INDEX('Age profile'!$O$2:$O$61,B1091)*(1+in_approval_growth)^(D1091-1))</f>
        <v/>
      </c>
      <c r="J1091" s="40">
        <f>E1091</f>
        <v/>
      </c>
      <c r="K1091" s="40" t="n">
        <v>0</v>
      </c>
      <c r="L1091" s="40">
        <f>IF(B1091&gt;=in_marketplace_from,J1091*d_hz*G1091*in_eligible*H1091,0)</f>
        <v/>
      </c>
      <c r="M1091" s="40">
        <f>IF(B1091&gt;=in_marketplace_from,K1091*d_hz*G1091*in_eligible*in_approved_repeat,0)</f>
        <v/>
      </c>
      <c r="N1091" s="40">
        <f>L1091+M1091</f>
        <v/>
      </c>
      <c r="O1091" s="46">
        <f>N1091/F1091</f>
        <v/>
      </c>
      <c r="P1091" s="40">
        <f>F1091-J1091-K1091</f>
        <v/>
      </c>
      <c r="Q1091" s="40">
        <f>IF(B1091&gt;=in_marketplace_from,(J1091+K1091)*d_hz*G1091,0)</f>
        <v/>
      </c>
      <c r="R1091" s="40">
        <f>SUMIFS(N1091:N1128,B1091:B1128,"&gt;="&amp;(B1091-d_T),B1091:B1128,"&lt;="&amp;(B1091-1))</f>
        <v/>
      </c>
      <c r="S1091" s="46" t="n">
        <v>0</v>
      </c>
      <c r="T1091" s="40">
        <f>F1091*d_u*S1091</f>
        <v/>
      </c>
      <c r="U1091" s="9">
        <f>L1091*in_ticket+M1091*d_rep_ticket</f>
        <v/>
      </c>
      <c r="V1091" s="9">
        <f>U1091+T1091*d_topup_amt</f>
        <v/>
      </c>
      <c r="W1091" s="40">
        <f>N1091+T1091*d_topup_ratio</f>
        <v/>
      </c>
      <c r="X1091" s="40">
        <f>SUMIFS(W1091:W1128,B1091:B1128,B1091-in_dpd_lag)*d_cured</f>
        <v/>
      </c>
      <c r="Y1091" s="40">
        <f>SUMIFS(W1091:W1128,B1091:B1128,B1091-in_rec_lag)*d_recd</f>
        <v/>
      </c>
      <c r="Z1091" s="40">
        <f>IF(AND(B1091&gt;=in_marketplace_from,B1091&lt;in_marketplace_from+in_card_months),in_card_share/in_card_months*F1091*I1091,IF(AND(B1091&gt;=in_marketplace_from+in_card_months,B1091&lt;in_marketplace_from+2*in_card_months),in_card_share*d_card_rem/in_card_months*F1091*MIN(in_takeup_cap,(1+in_takeup_growth)^(D1091-1))*MIN(in_takeup_cap,(1+in_approval_growth)^(D1091-1)),0))</f>
        <v/>
      </c>
      <c r="AA1091" s="14">
        <f>V1091*in_fee*(1-in_taken_back)</f>
        <v/>
      </c>
      <c r="AB1091" s="14">
        <f>SUMIFS(W1091:W1128,B1091:B1128,B1091-in_dpd_lag)*d_dpd</f>
        <v/>
      </c>
      <c r="AC1091" s="14">
        <f>SUMIFS(W1091:W1128,B1091:B1128,B1091-in_rec_lag)*d_rec</f>
        <v/>
      </c>
      <c r="AD1091" s="14">
        <f>Z1091*in_card_fee</f>
        <v/>
      </c>
      <c r="AE1091" s="40" t="n">
        <v>1</v>
      </c>
      <c r="AF1091" s="46">
        <f>AE1091*IF(B1091&gt;=in_marketplace_from,d_hz_hlth_small*G1091,0)</f>
        <v/>
      </c>
      <c r="AG1091" s="14">
        <f>F1091*AF1091*in_hlth_small_ticket*in_hlth_small_comm*in_ins_partner_share+F1091*in_hlth_small_ticket*in_hlth_small_renew_comm*in_ins_partner_share*(in_hlth_small_renew^1*SUMIFS(AF1091:AF1128,B1091:B1128,B1091-12)+in_hlth_small_renew^2*SUMIFS(AF1091:AF1128,B1091:B1128,B1091-24)+in_hlth_small_renew^3*SUMIFS(AF1091:AF1128,B1091:B1128,B1091-36)+in_hlth_small_renew^4*SUMIFS(AF1091:AF1128,B1091:B1128,B1091-48))</f>
        <v/>
      </c>
      <c r="AH1091" s="40" t="n">
        <v>1</v>
      </c>
      <c r="AI1091" s="46">
        <f>AH1091*IF(B1091&gt;=in_marketplace_from,d_hz_hlth_family*G1091,0)</f>
        <v/>
      </c>
      <c r="AJ1091" s="14">
        <f>F1091*AI1091*in_hlth_family_ticket*in_hlth_family_comm*in_ins_partner_share+F1091*in_hlth_family_ticket*in_hlth_family_renew_comm*in_ins_partner_share*(in_hlth_family_renew^1*SUMIFS(AI1091:AI1128,B1091:B1128,B1091-12)+in_hlth_family_renew^2*SUMIFS(AI1091:AI1128,B1091:B1128,B1091-24)+in_hlth_family_renew^3*SUMIFS(AI1091:AI1128,B1091:B1128,B1091-36)+in_hlth_family_renew^4*SUMIFS(AI1091:AI1128,B1091:B1128,B1091-48))</f>
        <v/>
      </c>
      <c r="AK1091" s="40" t="n">
        <v>1</v>
      </c>
      <c r="AL1091" s="46">
        <f>AK1091*IF(B1091&gt;=in_marketplace_from,d_hz_life_term*G1091,0)</f>
        <v/>
      </c>
      <c r="AM1091" s="14">
        <f>F1091*AL1091*in_life_term_ticket*in_life_term_comm*in_ins_partner_share+F1091*in_life_term_ticket*in_life_term_renew_comm*in_ins_partner_share*(in_life_term_renew^1*SUMIFS(AL1091:AL1128,B1091:B1128,B1091-12)+in_life_term_renew^2*SUMIFS(AL1091:AL1128,B1091:B1128,B1091-24)+in_life_term_renew^3*SUMIFS(AL1091:AL1128,B1091:B1128,B1091-36)+in_life_term_renew^4*SUMIFS(AL1091:AL1128,B1091:B1128,B1091-48))</f>
        <v/>
      </c>
      <c r="AN1091" s="40" t="n">
        <v>1</v>
      </c>
      <c r="AO1091" s="46">
        <f>AN1091*IF(B1091&gt;=in_marketplace_from,d_hz_accident*G1091,0)</f>
        <v/>
      </c>
      <c r="AP1091" s="14">
        <f>F1091*AO1091*in_accident_ticket*in_accident_comm*in_ins_partner_share+F1091*in_accident_ticket*in_accident_renew_comm*in_ins_partner_share*(in_accident_renew^1*SUMIFS(AO1091:AO1128,B1091:B1128,B1091-12)+in_accident_renew^2*SUMIFS(AO1091:AO1128,B1091:B1128,B1091-24)+in_accident_renew^3*SUMIFS(AO1091:AO1128,B1091:B1128,B1091-36)+in_accident_renew^4*SUMIFS(AO1091:AO1128,B1091:B1128,B1091-48))</f>
        <v/>
      </c>
      <c r="AQ1091" s="40" t="n">
        <v>1</v>
      </c>
      <c r="AR1091" s="46">
        <f>AQ1091*IF(B1091&gt;=in_marketplace_from,d_hz_two_wheeler*G1091,0)</f>
        <v/>
      </c>
      <c r="AS1091" s="14">
        <f>F1091*AR1091*in_two_wheeler_ticket*in_two_wheeler_comm*in_ins_partner_share+F1091*in_two_wheeler_ticket*in_two_wheeler_comm*in_ins_partner_share*(in_two_wheeler_renew^1*SUMIFS(AR1091:AR1128,B1091:B1128,B1091-12)+in_two_wheeler_renew^2*SUMIFS(AR1091:AR1128,B1091:B1128,B1091-24)+in_two_wheeler_renew^3*SUMIFS(AR1091:AR1128,B1091:B1128,B1091-36)+in_two_wheeler_renew^4*SUMIFS(AR1091:AR1128,B1091:B1128,B1091-48))</f>
        <v/>
      </c>
      <c r="AT1091" s="40" t="n">
        <v>1</v>
      </c>
      <c r="AU1091" s="14">
        <f>F1091*AT1091*IF(B1091&gt;=in_marketplace_from,d_hz_device*G1091,0)*in_device_ticket*in_device_comm*in_ins_partner_share</f>
        <v/>
      </c>
      <c r="AV1091" s="40" t="n">
        <v>1</v>
      </c>
      <c r="AW1091" s="46">
        <f>AV1091*IF(B1091&gt;=in_marketplace_from,d_hz_shop*G1091,0)</f>
        <v/>
      </c>
      <c r="AX1091" s="14">
        <f>F1091*AW1091*in_shop_ticket*in_shop_comm*in_ins_partner_share+F1091*in_shop_ticket*in_shop_renew_comm*in_ins_partner_share*(in_shop_renew^1*SUMIFS(AW1091:AW1128,B1091:B1128,B1091-12)+in_shop_renew^2*SUMIFS(AW1091:AW1128,B1091:B1128,B1091-24)+in_shop_renew^3*SUMIFS(AW1091:AW1128,B1091:B1128,B1091-36)+in_shop_renew^4*SUMIFS(AW1091:AW1128,B1091:B1128,B1091-48))</f>
        <v/>
      </c>
      <c r="AY1091" s="40" t="n">
        <v>1</v>
      </c>
      <c r="AZ1091" s="40">
        <f>AY1091*IF(B1091&gt;=in_marketplace_from,d_hz_sip*G1091,0)</f>
        <v/>
      </c>
      <c r="BA1091" s="40" t="n">
        <v>0</v>
      </c>
      <c r="BB1091" s="14">
        <f>F1091*in_sip_ticket*(BA1091+0.5*AZ1091)*in_sip_comm/12</f>
        <v/>
      </c>
      <c r="BC1091" s="40" t="n">
        <v>1</v>
      </c>
      <c r="BD1091" s="46">
        <f>BC1091*IF(B1091&gt;=in_marketplace_from,d_hz_choti*G1091,0)</f>
        <v/>
      </c>
      <c r="BE1091" s="14">
        <f>F1091*SUMIFS(BD1091:BD1128,B1091:B1128,B1091-in_choti_months)*in_choti_renew*in_choti_ticket</f>
        <v/>
      </c>
      <c r="BF1091" s="40" t="n">
        <v>1</v>
      </c>
      <c r="BG1091" s="14">
        <f>F1091*BF1091*IF(B1091&gt;=in_marketplace_from,d_hz_nps*G1091,0)*in_nps_ticket*in_nps_comm</f>
        <v/>
      </c>
      <c r="BH1091" s="40" t="n">
        <v>1</v>
      </c>
      <c r="BI1091" s="40">
        <f>BH1091*IF(B1091&gt;=in_marketplace_from,d_hz_gold*G1091,0)</f>
        <v/>
      </c>
      <c r="BJ1091" s="14">
        <f>F1091*BI1091*in_gold_ticket*in_gold_comm</f>
        <v/>
      </c>
      <c r="BK1091" s="40" t="n">
        <v>1</v>
      </c>
      <c r="BL1091" s="14">
        <f>F1091*BK1091*IF(B1091&gt;=in_marketplace_from,d_hz_fd*G1091,0)*in_fd_ticket*in_fd_comm</f>
        <v/>
      </c>
      <c r="BM1091" s="40" t="n">
        <v>1</v>
      </c>
      <c r="BN1091" s="40">
        <f>BM1091*IF(B1091&gt;=in_marketplace_from,d_hz_recharge*G1091,0)</f>
        <v/>
      </c>
      <c r="BO1091" s="14">
        <f>F1091*BN1091*in_recharge_ticket*in_recharge_comm/12</f>
        <v/>
      </c>
      <c r="BP1091" s="40" t="n">
        <v>1</v>
      </c>
      <c r="BQ1091" s="40">
        <f>BP1091*IF(B1091&gt;=in_marketplace_from,d_hz_bills*G1091,0)</f>
        <v/>
      </c>
      <c r="BR1091" s="14">
        <f>F1091*BQ1091*in_bills_ticket*in_bills_comm/12</f>
        <v/>
      </c>
      <c r="BS1091" s="40" t="n">
        <v>1</v>
      </c>
      <c r="BT1091" s="14">
        <f>F1091*BS1091*IF(B1091&gt;=in_marketplace_from,d_hz_loan_gold*G1091,0)*in_loan_gold_ticket*in_loan_gold_comm</f>
        <v/>
      </c>
      <c r="BU1091" s="40" t="n">
        <v>1</v>
      </c>
      <c r="BV1091" s="14">
        <f>F1091*BU1091*IF(B1091&gt;=in_marketplace_from,d_hz_loan_cd*G1091,0)*in_loan_cd_ticket*in_loan_cd_comm</f>
        <v/>
      </c>
      <c r="BW1091" s="40" t="n">
        <v>1</v>
      </c>
      <c r="BX1091" s="14">
        <f>F1091*BW1091*IF(B1091&gt;=in_marketplace_from,d_hz_loan_vehicle*G1091,0)*in_loan_vehicle_ticket*in_loan_vehicle_comm</f>
        <v/>
      </c>
      <c r="BY1091" s="40" t="n">
        <v>1</v>
      </c>
      <c r="BZ1091" s="11">
        <f>MIN(in_approval_cap,in_loan_home_approval*INDEX('Age profile'!$O$2:$O$61,B1091)*(1+in_approval_growth)^(D1091-1))</f>
        <v/>
      </c>
      <c r="CA1091" s="14">
        <f>F1091*BY1091*IF(B1091&gt;=in_marketplace_from,d_hz_loan_home*G1091,0)*BZ1091*in_loan_home_ticket*in_loan_home_comm</f>
        <v/>
      </c>
      <c r="CB1091" s="40" t="n">
        <v>1</v>
      </c>
      <c r="CC1091" s="11">
        <f>MIN(in_approval_cap,in_loan_lap_approval*INDEX('Age profile'!$O$2:$O$61,B1091)*(1+in_approval_growth)^(D1091-1))</f>
        <v/>
      </c>
      <c r="CD1091" s="14">
        <f>F1091*CB1091*IF(B1091&gt;=in_marketplace_from,d_hz_loan_lap*G1091,0)*CC1091*in_loan_lap_ticket*in_loan_lap_comm</f>
        <v/>
      </c>
      <c r="CE1091" s="14">
        <f>AA1091+AB1091+AC1091+AD1091+AG1091+AJ1091+AM1091+AP1091+AS1091+AU1091+AX1091+BB1091+BE1091+BG1091+BJ1091+BL1091+BO1091+BR1091+BT1091+BV1091+BX1091+CA1091+CD1091</f>
        <v/>
      </c>
    </row>
    <row r="1092">
      <c r="A1092" s="39" t="n">
        <v>23</v>
      </c>
      <c r="B1092" s="39" t="n">
        <v>2</v>
      </c>
      <c r="C1092" s="39">
        <f>A1092+B1092-1</f>
        <v/>
      </c>
      <c r="D1092" s="39">
        <f>INT((C1092-1)/12)+1</f>
        <v/>
      </c>
      <c r="E1092" s="44">
        <f>INDEX(Monthly!$B$2:$B$61,A1092)</f>
        <v/>
      </c>
      <c r="F1092" s="44">
        <f>E1092*INDEX('Age profile'!$B$2:$B$61,B1092)</f>
        <v/>
      </c>
      <c r="G1092" s="45">
        <f>MIN(in_takeup_cap,INDEX('Age profile'!$N$2:$N$61,B1092)*(1+in_takeup_growth)^(D1092-1))</f>
        <v/>
      </c>
      <c r="H1092" s="11">
        <f>MIN(in_approval_cap,in_approved_first*INDEX('Age profile'!$O$2:$O$61,B1092)*(1+in_approval_growth)^(D1092-1))</f>
        <v/>
      </c>
      <c r="I1092" s="45">
        <f>G1092*MIN(in_takeup_cap,INDEX('Age profile'!$O$2:$O$61,B1092)*(1+in_approval_growth)^(D1092-1))</f>
        <v/>
      </c>
      <c r="J1092" s="40">
        <f>(J1091-L1091)*F1092/F1091</f>
        <v/>
      </c>
      <c r="K1092" s="40">
        <f>(K1091-M1091)*F1092/F1091+SUMIFS(O1091:O1091,B1091:B1091,B1092-1-d_T)*F1092</f>
        <v/>
      </c>
      <c r="L1092" s="40">
        <f>IF(B1092&gt;=in_marketplace_from,J1092*d_hz*G1092*in_eligible*H1092,0)</f>
        <v/>
      </c>
      <c r="M1092" s="40">
        <f>IF(B1092&gt;=in_marketplace_from,K1092*d_hz*G1092*in_eligible*in_approved_repeat,0)</f>
        <v/>
      </c>
      <c r="N1092" s="40">
        <f>L1092+M1092</f>
        <v/>
      </c>
      <c r="O1092" s="46">
        <f>N1092/F1092</f>
        <v/>
      </c>
      <c r="P1092" s="40">
        <f>F1092-J1092-K1092</f>
        <v/>
      </c>
      <c r="Q1092" s="40">
        <f>IF(B1092&gt;=in_marketplace_from,(J1092+K1092)*d_hz*G1092,0)</f>
        <v/>
      </c>
      <c r="R1092" s="40">
        <f>SUMIFS(N1091:N1128,B1091:B1128,"&gt;="&amp;(B1092-d_T),B1091:B1128,"&lt;="&amp;(B1092-1))</f>
        <v/>
      </c>
      <c r="S1092" s="46">
        <f>(1-d_u)*S1091+IF(d_T&gt;in_topup_lag,SUMIFS(O1091:O1128,B1091:B1128,B1092-in_topup_lag)-d_udrop*SUMIFS(O1091:O1128,B1091:B1128,B1092-d_T),0)</f>
        <v/>
      </c>
      <c r="T1092" s="40">
        <f>F1092*d_u*S1092</f>
        <v/>
      </c>
      <c r="U1092" s="9">
        <f>L1092*in_ticket+M1092*d_rep_ticket</f>
        <v/>
      </c>
      <c r="V1092" s="9">
        <f>U1092+T1092*d_topup_amt</f>
        <v/>
      </c>
      <c r="W1092" s="40">
        <f>N1092+T1092*d_topup_ratio</f>
        <v/>
      </c>
      <c r="X1092" s="40">
        <f>SUMIFS(W1091:W1128,B1091:B1128,B1092-in_dpd_lag)*d_cured</f>
        <v/>
      </c>
      <c r="Y1092" s="40">
        <f>SUMIFS(W1091:W1128,B1091:B1128,B1092-in_rec_lag)*d_recd</f>
        <v/>
      </c>
      <c r="Z1092" s="40">
        <f>IF(AND(B1092&gt;=in_marketplace_from,B1092&lt;in_marketplace_from+in_card_months),in_card_share/in_card_months*F1092*I1092,IF(AND(B1092&gt;=in_marketplace_from+in_card_months,B1092&lt;in_marketplace_from+2*in_card_months),in_card_share*d_card_rem/in_card_months*F1092*MIN(in_takeup_cap,(1+in_takeup_growth)^(D1092-1))*MIN(in_takeup_cap,(1+in_approval_growth)^(D1092-1)),0))</f>
        <v/>
      </c>
      <c r="AA1092" s="14">
        <f>V1092*in_fee*(1-in_taken_back)</f>
        <v/>
      </c>
      <c r="AB1092" s="14">
        <f>SUMIFS(W1091:W1128,B1091:B1128,B1092-in_dpd_lag)*d_dpd</f>
        <v/>
      </c>
      <c r="AC1092" s="14">
        <f>SUMIFS(W1091:W1128,B1091:B1128,B1092-in_rec_lag)*d_rec</f>
        <v/>
      </c>
      <c r="AD1092" s="14">
        <f>Z1092*in_card_fee</f>
        <v/>
      </c>
      <c r="AE1092" s="40">
        <f>AE1091*(1-IF(B1091&gt;=in_marketplace_from,d_hz_hlth_small*G1091,0))</f>
        <v/>
      </c>
      <c r="AF1092" s="46">
        <f>AE1092*IF(B1092&gt;=in_marketplace_from,d_hz_hlth_small*G1092,0)</f>
        <v/>
      </c>
      <c r="AG1092" s="14">
        <f>F1092*AF1092*in_hlth_small_ticket*in_hlth_small_comm*in_ins_partner_share+F1092*in_hlth_small_ticket*in_hlth_small_renew_comm*in_ins_partner_share*(in_hlth_small_renew^1*SUMIFS(AF1091:AF1128,B1091:B1128,B1092-12)+in_hlth_small_renew^2*SUMIFS(AF1091:AF1128,B1091:B1128,B1092-24)+in_hlth_small_renew^3*SUMIFS(AF1091:AF1128,B1091:B1128,B1092-36)+in_hlth_small_renew^4*SUMIFS(AF1091:AF1128,B1091:B1128,B1092-48))</f>
        <v/>
      </c>
      <c r="AH1092" s="40">
        <f>AH1091*(1-IF(B1091&gt;=in_marketplace_from,d_hz_hlth_family*G1091,0))</f>
        <v/>
      </c>
      <c r="AI1092" s="46">
        <f>AH1092*IF(B1092&gt;=in_marketplace_from,d_hz_hlth_family*G1092,0)</f>
        <v/>
      </c>
      <c r="AJ1092" s="14">
        <f>F1092*AI1092*in_hlth_family_ticket*in_hlth_family_comm*in_ins_partner_share+F1092*in_hlth_family_ticket*in_hlth_family_renew_comm*in_ins_partner_share*(in_hlth_family_renew^1*SUMIFS(AI1091:AI1128,B1091:B1128,B1092-12)+in_hlth_family_renew^2*SUMIFS(AI1091:AI1128,B1091:B1128,B1092-24)+in_hlth_family_renew^3*SUMIFS(AI1091:AI1128,B1091:B1128,B1092-36)+in_hlth_family_renew^4*SUMIFS(AI1091:AI1128,B1091:B1128,B1092-48))</f>
        <v/>
      </c>
      <c r="AK1092" s="40">
        <f>AK1091*(1-IF(B1091&gt;=in_marketplace_from,d_hz_life_term*G1091,0))</f>
        <v/>
      </c>
      <c r="AL1092" s="46">
        <f>AK1092*IF(B1092&gt;=in_marketplace_from,d_hz_life_term*G1092,0)</f>
        <v/>
      </c>
      <c r="AM1092" s="14">
        <f>F1092*AL1092*in_life_term_ticket*in_life_term_comm*in_ins_partner_share+F1092*in_life_term_ticket*in_life_term_renew_comm*in_ins_partner_share*(in_life_term_renew^1*SUMIFS(AL1091:AL1128,B1091:B1128,B1092-12)+in_life_term_renew^2*SUMIFS(AL1091:AL1128,B1091:B1128,B1092-24)+in_life_term_renew^3*SUMIFS(AL1091:AL1128,B1091:B1128,B1092-36)+in_life_term_renew^4*SUMIFS(AL1091:AL1128,B1091:B1128,B1092-48))</f>
        <v/>
      </c>
      <c r="AN1092" s="40">
        <f>AN1091*(1-IF(B1091&gt;=in_marketplace_from,d_hz_accident*G1091,0))</f>
        <v/>
      </c>
      <c r="AO1092" s="46">
        <f>AN1092*IF(B1092&gt;=in_marketplace_from,d_hz_accident*G1092,0)</f>
        <v/>
      </c>
      <c r="AP1092" s="14">
        <f>F1092*AO1092*in_accident_ticket*in_accident_comm*in_ins_partner_share+F1092*in_accident_ticket*in_accident_renew_comm*in_ins_partner_share*(in_accident_renew^1*SUMIFS(AO1091:AO1128,B1091:B1128,B1092-12)+in_accident_renew^2*SUMIFS(AO1091:AO1128,B1091:B1128,B1092-24)+in_accident_renew^3*SUMIFS(AO1091:AO1128,B1091:B1128,B1092-36)+in_accident_renew^4*SUMIFS(AO1091:AO1128,B1091:B1128,B1092-48))</f>
        <v/>
      </c>
      <c r="AQ1092" s="40">
        <f>AQ1091*(1-IF(B1091&gt;=in_marketplace_from,d_hz_two_wheeler*G1091,0))</f>
        <v/>
      </c>
      <c r="AR1092" s="46">
        <f>AQ1092*IF(B1092&gt;=in_marketplace_from,d_hz_two_wheeler*G1092,0)</f>
        <v/>
      </c>
      <c r="AS1092" s="14">
        <f>F1092*AR1092*in_two_wheeler_ticket*in_two_wheeler_comm*in_ins_partner_share+F1092*in_two_wheeler_ticket*in_two_wheeler_comm*in_ins_partner_share*(in_two_wheeler_renew^1*SUMIFS(AR1091:AR1128,B1091:B1128,B1092-12)+in_two_wheeler_renew^2*SUMIFS(AR1091:AR1128,B1091:B1128,B1092-24)+in_two_wheeler_renew^3*SUMIFS(AR1091:AR1128,B1091:B1128,B1092-36)+in_two_wheeler_renew^4*SUMIFS(AR1091:AR1128,B1091:B1128,B1092-48))</f>
        <v/>
      </c>
      <c r="AT1092" s="40">
        <f>AT1091*(1-IF(B1091&gt;=in_marketplace_from,d_hz_device*G1091,0))</f>
        <v/>
      </c>
      <c r="AU1092" s="14">
        <f>F1092*AT1092*IF(B1092&gt;=in_marketplace_from,d_hz_device*G1092,0)*in_device_ticket*in_device_comm*in_ins_partner_share</f>
        <v/>
      </c>
      <c r="AV1092" s="40">
        <f>AV1091*(1-IF(B1091&gt;=in_marketplace_from,d_hz_shop*G1091,0))</f>
        <v/>
      </c>
      <c r="AW1092" s="46">
        <f>AV1092*IF(B1092&gt;=in_marketplace_from,d_hz_shop*G1092,0)</f>
        <v/>
      </c>
      <c r="AX1092" s="14">
        <f>F1092*AW1092*in_shop_ticket*in_shop_comm*in_ins_partner_share+F1092*in_shop_ticket*in_shop_renew_comm*in_ins_partner_share*(in_shop_renew^1*SUMIFS(AW1091:AW1128,B1091:B1128,B1092-12)+in_shop_renew^2*SUMIFS(AW1091:AW1128,B1091:B1128,B1092-24)+in_shop_renew^3*SUMIFS(AW1091:AW1128,B1091:B1128,B1092-36)+in_shop_renew^4*SUMIFS(AW1091:AW1128,B1091:B1128,B1092-48))</f>
        <v/>
      </c>
      <c r="AY1092" s="40">
        <f>AY1091*(1-IF(B1091&gt;=in_marketplace_from,d_hz_sip*G1091,0))</f>
        <v/>
      </c>
      <c r="AZ1092" s="40">
        <f>AZ1091*d_rho_sip+AY1092*IF(B1092&gt;=in_marketplace_from,d_hz_sip*G1092,0)</f>
        <v/>
      </c>
      <c r="BA1092" s="40">
        <f>d_rho_sip*(BA1091+AZ1091)</f>
        <v/>
      </c>
      <c r="BB1092" s="14">
        <f>F1092*in_sip_ticket*(BA1092+0.5*AZ1092)*in_sip_comm/12</f>
        <v/>
      </c>
      <c r="BC1092" s="40">
        <f>BC1091*(1-IF(B1091&gt;=in_marketplace_from,d_hz_choti*G1091,0))</f>
        <v/>
      </c>
      <c r="BD1092" s="46">
        <f>BC1092*IF(B1092&gt;=in_marketplace_from,d_hz_choti*G1092,0)</f>
        <v/>
      </c>
      <c r="BE1092" s="14">
        <f>F1092*SUMIFS(BD1091:BD1128,B1091:B1128,B1092-in_choti_months)*in_choti_renew*in_choti_ticket</f>
        <v/>
      </c>
      <c r="BF1092" s="40">
        <f>BF1091*(1-IF(B1091&gt;=in_marketplace_from,d_hz_nps*G1091,0))</f>
        <v/>
      </c>
      <c r="BG1092" s="14">
        <f>F1092*BF1092*IF(B1092&gt;=in_marketplace_from,d_hz_nps*G1092,0)*in_nps_ticket*in_nps_comm</f>
        <v/>
      </c>
      <c r="BH1092" s="40">
        <f>BH1091*(1-IF(B1091&gt;=in_marketplace_from,d_hz_gold*G1091,0))</f>
        <v/>
      </c>
      <c r="BI1092" s="40">
        <f>BI1091*d_rho_gold+BH1092*IF(B1092&gt;=in_marketplace_from,d_hz_gold*G1092,0)</f>
        <v/>
      </c>
      <c r="BJ1092" s="14">
        <f>F1092*BI1092*in_gold_ticket*in_gold_comm</f>
        <v/>
      </c>
      <c r="BK1092" s="40">
        <f>BK1091*(1-IF(B1091&gt;=in_marketplace_from,d_hz_fd*G1091,0))</f>
        <v/>
      </c>
      <c r="BL1092" s="14">
        <f>F1092*BK1092*IF(B1092&gt;=in_marketplace_from,d_hz_fd*G1092,0)*in_fd_ticket*in_fd_comm</f>
        <v/>
      </c>
      <c r="BM1092" s="40">
        <f>BM1091*(1-IF(B1091&gt;=in_marketplace_from,d_hz_recharge*G1091,0))</f>
        <v/>
      </c>
      <c r="BN1092" s="40">
        <f>BN1091*d_rho_recharge+BM1092*IF(B1092&gt;=in_marketplace_from,d_hz_recharge*G1092,0)</f>
        <v/>
      </c>
      <c r="BO1092" s="14">
        <f>F1092*BN1092*in_recharge_ticket*in_recharge_comm/12</f>
        <v/>
      </c>
      <c r="BP1092" s="40">
        <f>BP1091*(1-IF(B1091&gt;=in_marketplace_from,d_hz_bills*G1091,0))</f>
        <v/>
      </c>
      <c r="BQ1092" s="40">
        <f>BQ1091*d_rho_bills+BP1092*IF(B1092&gt;=in_marketplace_from,d_hz_bills*G1092,0)</f>
        <v/>
      </c>
      <c r="BR1092" s="14">
        <f>F1092*BQ1092*in_bills_ticket*in_bills_comm/12</f>
        <v/>
      </c>
      <c r="BS1092" s="40">
        <f>BS1091*(1-IF(B1091&gt;=in_marketplace_from,d_hz_loan_gold*G1091,0))</f>
        <v/>
      </c>
      <c r="BT1092" s="14">
        <f>F1092*BS1092*IF(B1092&gt;=in_marketplace_from,d_hz_loan_gold*G1092,0)*in_loan_gold_ticket*in_loan_gold_comm</f>
        <v/>
      </c>
      <c r="BU1092" s="40">
        <f>BU1091*(1-IF(B1091&gt;=in_marketplace_from,d_hz_loan_cd*G1091,0))</f>
        <v/>
      </c>
      <c r="BV1092" s="14">
        <f>F1092*BU1092*IF(B1092&gt;=in_marketplace_from,d_hz_loan_cd*G1092,0)*in_loan_cd_ticket*in_loan_cd_comm</f>
        <v/>
      </c>
      <c r="BW1092" s="40">
        <f>BW1091*(1-IF(B1091&gt;=in_marketplace_from,d_hz_loan_vehicle*G1091,0))</f>
        <v/>
      </c>
      <c r="BX1092" s="14">
        <f>F1092*BW1092*IF(B1092&gt;=in_marketplace_from,d_hz_loan_vehicle*G1092,0)*in_loan_vehicle_ticket*in_loan_vehicle_comm</f>
        <v/>
      </c>
      <c r="BY1092" s="40">
        <f>BY1091*(1-IF(B1091&gt;=in_marketplace_from,d_hz_loan_home*G1091,0)*BZ1091)</f>
        <v/>
      </c>
      <c r="BZ1092" s="11">
        <f>MIN(in_approval_cap,in_loan_home_approval*INDEX('Age profile'!$O$2:$O$61,B1092)*(1+in_approval_growth)^(D1092-1))</f>
        <v/>
      </c>
      <c r="CA1092" s="14">
        <f>F1092*BY1092*IF(B1092&gt;=in_marketplace_from,d_hz_loan_home*G1092,0)*BZ1092*in_loan_home_ticket*in_loan_home_comm</f>
        <v/>
      </c>
      <c r="CB1092" s="40">
        <f>CB1091*(1-IF(B1091&gt;=in_marketplace_from,d_hz_loan_lap*G1091,0)*CC1091)</f>
        <v/>
      </c>
      <c r="CC1092" s="11">
        <f>MIN(in_approval_cap,in_loan_lap_approval*INDEX('Age profile'!$O$2:$O$61,B1092)*(1+in_approval_growth)^(D1092-1))</f>
        <v/>
      </c>
      <c r="CD1092" s="14">
        <f>F1092*CB1092*IF(B1092&gt;=in_marketplace_from,d_hz_loan_lap*G1092,0)*CC1092*in_loan_lap_ticket*in_loan_lap_comm</f>
        <v/>
      </c>
      <c r="CE1092" s="14">
        <f>AA1092+AB1092+AC1092+AD1092+AG1092+AJ1092+AM1092+AP1092+AS1092+AU1092+AX1092+BB1092+BE1092+BG1092+BJ1092+BL1092+BO1092+BR1092+BT1092+BV1092+BX1092+CA1092+CD1092</f>
        <v/>
      </c>
    </row>
    <row r="1093">
      <c r="A1093" s="39" t="n">
        <v>23</v>
      </c>
      <c r="B1093" s="39" t="n">
        <v>3</v>
      </c>
      <c r="C1093" s="39">
        <f>A1093+B1093-1</f>
        <v/>
      </c>
      <c r="D1093" s="39">
        <f>INT((C1093-1)/12)+1</f>
        <v/>
      </c>
      <c r="E1093" s="44">
        <f>INDEX(Monthly!$B$2:$B$61,A1093)</f>
        <v/>
      </c>
      <c r="F1093" s="44">
        <f>E1093*INDEX('Age profile'!$B$2:$B$61,B1093)</f>
        <v/>
      </c>
      <c r="G1093" s="45">
        <f>MIN(in_takeup_cap,INDEX('Age profile'!$N$2:$N$61,B1093)*(1+in_takeup_growth)^(D1093-1))</f>
        <v/>
      </c>
      <c r="H1093" s="11">
        <f>MIN(in_approval_cap,in_approved_first*INDEX('Age profile'!$O$2:$O$61,B1093)*(1+in_approval_growth)^(D1093-1))</f>
        <v/>
      </c>
      <c r="I1093" s="45">
        <f>G1093*MIN(in_takeup_cap,INDEX('Age profile'!$O$2:$O$61,B1093)*(1+in_approval_growth)^(D1093-1))</f>
        <v/>
      </c>
      <c r="J1093" s="40">
        <f>(J1092-L1092)*F1093/F1092</f>
        <v/>
      </c>
      <c r="K1093" s="40">
        <f>(K1092-M1092)*F1093/F1092+SUMIFS(O1091:O1092,B1091:B1092,B1093-1-d_T)*F1093</f>
        <v/>
      </c>
      <c r="L1093" s="40">
        <f>IF(B1093&gt;=in_marketplace_from,J1093*d_hz*G1093*in_eligible*H1093,0)</f>
        <v/>
      </c>
      <c r="M1093" s="40">
        <f>IF(B1093&gt;=in_marketplace_from,K1093*d_hz*G1093*in_eligible*in_approved_repeat,0)</f>
        <v/>
      </c>
      <c r="N1093" s="40">
        <f>L1093+M1093</f>
        <v/>
      </c>
      <c r="O1093" s="46">
        <f>N1093/F1093</f>
        <v/>
      </c>
      <c r="P1093" s="40">
        <f>F1093-J1093-K1093</f>
        <v/>
      </c>
      <c r="Q1093" s="40">
        <f>IF(B1093&gt;=in_marketplace_from,(J1093+K1093)*d_hz*G1093,0)</f>
        <v/>
      </c>
      <c r="R1093" s="40">
        <f>SUMIFS(N1091:N1128,B1091:B1128,"&gt;="&amp;(B1093-d_T),B1091:B1128,"&lt;="&amp;(B1093-1))</f>
        <v/>
      </c>
      <c r="S1093" s="46">
        <f>(1-d_u)*S1092+IF(d_T&gt;in_topup_lag,SUMIFS(O1091:O1128,B1091:B1128,B1093-in_topup_lag)-d_udrop*SUMIFS(O1091:O1128,B1091:B1128,B1093-d_T),0)</f>
        <v/>
      </c>
      <c r="T1093" s="40">
        <f>F1093*d_u*S1093</f>
        <v/>
      </c>
      <c r="U1093" s="9">
        <f>L1093*in_ticket+M1093*d_rep_ticket</f>
        <v/>
      </c>
      <c r="V1093" s="9">
        <f>U1093+T1093*d_topup_amt</f>
        <v/>
      </c>
      <c r="W1093" s="40">
        <f>N1093+T1093*d_topup_ratio</f>
        <v/>
      </c>
      <c r="X1093" s="40">
        <f>SUMIFS(W1091:W1128,B1091:B1128,B1093-in_dpd_lag)*d_cured</f>
        <v/>
      </c>
      <c r="Y1093" s="40">
        <f>SUMIFS(W1091:W1128,B1091:B1128,B1093-in_rec_lag)*d_recd</f>
        <v/>
      </c>
      <c r="Z1093" s="40">
        <f>IF(AND(B1093&gt;=in_marketplace_from,B1093&lt;in_marketplace_from+in_card_months),in_card_share/in_card_months*F1093*I1093,IF(AND(B1093&gt;=in_marketplace_from+in_card_months,B1093&lt;in_marketplace_from+2*in_card_months),in_card_share*d_card_rem/in_card_months*F1093*MIN(in_takeup_cap,(1+in_takeup_growth)^(D1093-1))*MIN(in_takeup_cap,(1+in_approval_growth)^(D1093-1)),0))</f>
        <v/>
      </c>
      <c r="AA1093" s="14">
        <f>V1093*in_fee*(1-in_taken_back)</f>
        <v/>
      </c>
      <c r="AB1093" s="14">
        <f>SUMIFS(W1091:W1128,B1091:B1128,B1093-in_dpd_lag)*d_dpd</f>
        <v/>
      </c>
      <c r="AC1093" s="14">
        <f>SUMIFS(W1091:W1128,B1091:B1128,B1093-in_rec_lag)*d_rec</f>
        <v/>
      </c>
      <c r="AD1093" s="14">
        <f>Z1093*in_card_fee</f>
        <v/>
      </c>
      <c r="AE1093" s="40">
        <f>AE1092*(1-IF(B1092&gt;=in_marketplace_from,d_hz_hlth_small*G1092,0))</f>
        <v/>
      </c>
      <c r="AF1093" s="46">
        <f>AE1093*IF(B1093&gt;=in_marketplace_from,d_hz_hlth_small*G1093,0)</f>
        <v/>
      </c>
      <c r="AG1093" s="14">
        <f>F1093*AF1093*in_hlth_small_ticket*in_hlth_small_comm*in_ins_partner_share+F1093*in_hlth_small_ticket*in_hlth_small_renew_comm*in_ins_partner_share*(in_hlth_small_renew^1*SUMIFS(AF1091:AF1128,B1091:B1128,B1093-12)+in_hlth_small_renew^2*SUMIFS(AF1091:AF1128,B1091:B1128,B1093-24)+in_hlth_small_renew^3*SUMIFS(AF1091:AF1128,B1091:B1128,B1093-36)+in_hlth_small_renew^4*SUMIFS(AF1091:AF1128,B1091:B1128,B1093-48))</f>
        <v/>
      </c>
      <c r="AH1093" s="40">
        <f>AH1092*(1-IF(B1092&gt;=in_marketplace_from,d_hz_hlth_family*G1092,0))</f>
        <v/>
      </c>
      <c r="AI1093" s="46">
        <f>AH1093*IF(B1093&gt;=in_marketplace_from,d_hz_hlth_family*G1093,0)</f>
        <v/>
      </c>
      <c r="AJ1093" s="14">
        <f>F1093*AI1093*in_hlth_family_ticket*in_hlth_family_comm*in_ins_partner_share+F1093*in_hlth_family_ticket*in_hlth_family_renew_comm*in_ins_partner_share*(in_hlth_family_renew^1*SUMIFS(AI1091:AI1128,B1091:B1128,B1093-12)+in_hlth_family_renew^2*SUMIFS(AI1091:AI1128,B1091:B1128,B1093-24)+in_hlth_family_renew^3*SUMIFS(AI1091:AI1128,B1091:B1128,B1093-36)+in_hlth_family_renew^4*SUMIFS(AI1091:AI1128,B1091:B1128,B1093-48))</f>
        <v/>
      </c>
      <c r="AK1093" s="40">
        <f>AK1092*(1-IF(B1092&gt;=in_marketplace_from,d_hz_life_term*G1092,0))</f>
        <v/>
      </c>
      <c r="AL1093" s="46">
        <f>AK1093*IF(B1093&gt;=in_marketplace_from,d_hz_life_term*G1093,0)</f>
        <v/>
      </c>
      <c r="AM1093" s="14">
        <f>F1093*AL1093*in_life_term_ticket*in_life_term_comm*in_ins_partner_share+F1093*in_life_term_ticket*in_life_term_renew_comm*in_ins_partner_share*(in_life_term_renew^1*SUMIFS(AL1091:AL1128,B1091:B1128,B1093-12)+in_life_term_renew^2*SUMIFS(AL1091:AL1128,B1091:B1128,B1093-24)+in_life_term_renew^3*SUMIFS(AL1091:AL1128,B1091:B1128,B1093-36)+in_life_term_renew^4*SUMIFS(AL1091:AL1128,B1091:B1128,B1093-48))</f>
        <v/>
      </c>
      <c r="AN1093" s="40">
        <f>AN1092*(1-IF(B1092&gt;=in_marketplace_from,d_hz_accident*G1092,0))</f>
        <v/>
      </c>
      <c r="AO1093" s="46">
        <f>AN1093*IF(B1093&gt;=in_marketplace_from,d_hz_accident*G1093,0)</f>
        <v/>
      </c>
      <c r="AP1093" s="14">
        <f>F1093*AO1093*in_accident_ticket*in_accident_comm*in_ins_partner_share+F1093*in_accident_ticket*in_accident_renew_comm*in_ins_partner_share*(in_accident_renew^1*SUMIFS(AO1091:AO1128,B1091:B1128,B1093-12)+in_accident_renew^2*SUMIFS(AO1091:AO1128,B1091:B1128,B1093-24)+in_accident_renew^3*SUMIFS(AO1091:AO1128,B1091:B1128,B1093-36)+in_accident_renew^4*SUMIFS(AO1091:AO1128,B1091:B1128,B1093-48))</f>
        <v/>
      </c>
      <c r="AQ1093" s="40">
        <f>AQ1092*(1-IF(B1092&gt;=in_marketplace_from,d_hz_two_wheeler*G1092,0))</f>
        <v/>
      </c>
      <c r="AR1093" s="46">
        <f>AQ1093*IF(B1093&gt;=in_marketplace_from,d_hz_two_wheeler*G1093,0)</f>
        <v/>
      </c>
      <c r="AS1093" s="14">
        <f>F1093*AR1093*in_two_wheeler_ticket*in_two_wheeler_comm*in_ins_partner_share+F1093*in_two_wheeler_ticket*in_two_wheeler_comm*in_ins_partner_share*(in_two_wheeler_renew^1*SUMIFS(AR1091:AR1128,B1091:B1128,B1093-12)+in_two_wheeler_renew^2*SUMIFS(AR1091:AR1128,B1091:B1128,B1093-24)+in_two_wheeler_renew^3*SUMIFS(AR1091:AR1128,B1091:B1128,B1093-36)+in_two_wheeler_renew^4*SUMIFS(AR1091:AR1128,B1091:B1128,B1093-48))</f>
        <v/>
      </c>
      <c r="AT1093" s="40">
        <f>AT1092*(1-IF(B1092&gt;=in_marketplace_from,d_hz_device*G1092,0))</f>
        <v/>
      </c>
      <c r="AU1093" s="14">
        <f>F1093*AT1093*IF(B1093&gt;=in_marketplace_from,d_hz_device*G1093,0)*in_device_ticket*in_device_comm*in_ins_partner_share</f>
        <v/>
      </c>
      <c r="AV1093" s="40">
        <f>AV1092*(1-IF(B1092&gt;=in_marketplace_from,d_hz_shop*G1092,0))</f>
        <v/>
      </c>
      <c r="AW1093" s="46">
        <f>AV1093*IF(B1093&gt;=in_marketplace_from,d_hz_shop*G1093,0)</f>
        <v/>
      </c>
      <c r="AX1093" s="14">
        <f>F1093*AW1093*in_shop_ticket*in_shop_comm*in_ins_partner_share+F1093*in_shop_ticket*in_shop_renew_comm*in_ins_partner_share*(in_shop_renew^1*SUMIFS(AW1091:AW1128,B1091:B1128,B1093-12)+in_shop_renew^2*SUMIFS(AW1091:AW1128,B1091:B1128,B1093-24)+in_shop_renew^3*SUMIFS(AW1091:AW1128,B1091:B1128,B1093-36)+in_shop_renew^4*SUMIFS(AW1091:AW1128,B1091:B1128,B1093-48))</f>
        <v/>
      </c>
      <c r="AY1093" s="40">
        <f>AY1092*(1-IF(B1092&gt;=in_marketplace_from,d_hz_sip*G1092,0))</f>
        <v/>
      </c>
      <c r="AZ1093" s="40">
        <f>AZ1092*d_rho_sip+AY1093*IF(B1093&gt;=in_marketplace_from,d_hz_sip*G1093,0)</f>
        <v/>
      </c>
      <c r="BA1093" s="40">
        <f>d_rho_sip*(BA1092+AZ1092)</f>
        <v/>
      </c>
      <c r="BB1093" s="14">
        <f>F1093*in_sip_ticket*(BA1093+0.5*AZ1093)*in_sip_comm/12</f>
        <v/>
      </c>
      <c r="BC1093" s="40">
        <f>BC1092*(1-IF(B1092&gt;=in_marketplace_from,d_hz_choti*G1092,0))</f>
        <v/>
      </c>
      <c r="BD1093" s="46">
        <f>BC1093*IF(B1093&gt;=in_marketplace_from,d_hz_choti*G1093,0)</f>
        <v/>
      </c>
      <c r="BE1093" s="14">
        <f>F1093*SUMIFS(BD1091:BD1128,B1091:B1128,B1093-in_choti_months)*in_choti_renew*in_choti_ticket</f>
        <v/>
      </c>
      <c r="BF1093" s="40">
        <f>BF1092*(1-IF(B1092&gt;=in_marketplace_from,d_hz_nps*G1092,0))</f>
        <v/>
      </c>
      <c r="BG1093" s="14">
        <f>F1093*BF1093*IF(B1093&gt;=in_marketplace_from,d_hz_nps*G1093,0)*in_nps_ticket*in_nps_comm</f>
        <v/>
      </c>
      <c r="BH1093" s="40">
        <f>BH1092*(1-IF(B1092&gt;=in_marketplace_from,d_hz_gold*G1092,0))</f>
        <v/>
      </c>
      <c r="BI1093" s="40">
        <f>BI1092*d_rho_gold+BH1093*IF(B1093&gt;=in_marketplace_from,d_hz_gold*G1093,0)</f>
        <v/>
      </c>
      <c r="BJ1093" s="14">
        <f>F1093*BI1093*in_gold_ticket*in_gold_comm</f>
        <v/>
      </c>
      <c r="BK1093" s="40">
        <f>BK1092*(1-IF(B1092&gt;=in_marketplace_from,d_hz_fd*G1092,0))</f>
        <v/>
      </c>
      <c r="BL1093" s="14">
        <f>F1093*BK1093*IF(B1093&gt;=in_marketplace_from,d_hz_fd*G1093,0)*in_fd_ticket*in_fd_comm</f>
        <v/>
      </c>
      <c r="BM1093" s="40">
        <f>BM1092*(1-IF(B1092&gt;=in_marketplace_from,d_hz_recharge*G1092,0))</f>
        <v/>
      </c>
      <c r="BN1093" s="40">
        <f>BN1092*d_rho_recharge+BM1093*IF(B1093&gt;=in_marketplace_from,d_hz_recharge*G1093,0)</f>
        <v/>
      </c>
      <c r="BO1093" s="14">
        <f>F1093*BN1093*in_recharge_ticket*in_recharge_comm/12</f>
        <v/>
      </c>
      <c r="BP1093" s="40">
        <f>BP1092*(1-IF(B1092&gt;=in_marketplace_from,d_hz_bills*G1092,0))</f>
        <v/>
      </c>
      <c r="BQ1093" s="40">
        <f>BQ1092*d_rho_bills+BP1093*IF(B1093&gt;=in_marketplace_from,d_hz_bills*G1093,0)</f>
        <v/>
      </c>
      <c r="BR1093" s="14">
        <f>F1093*BQ1093*in_bills_ticket*in_bills_comm/12</f>
        <v/>
      </c>
      <c r="BS1093" s="40">
        <f>BS1092*(1-IF(B1092&gt;=in_marketplace_from,d_hz_loan_gold*G1092,0))</f>
        <v/>
      </c>
      <c r="BT1093" s="14">
        <f>F1093*BS1093*IF(B1093&gt;=in_marketplace_from,d_hz_loan_gold*G1093,0)*in_loan_gold_ticket*in_loan_gold_comm</f>
        <v/>
      </c>
      <c r="BU1093" s="40">
        <f>BU1092*(1-IF(B1092&gt;=in_marketplace_from,d_hz_loan_cd*G1092,0))</f>
        <v/>
      </c>
      <c r="BV1093" s="14">
        <f>F1093*BU1093*IF(B1093&gt;=in_marketplace_from,d_hz_loan_cd*G1093,0)*in_loan_cd_ticket*in_loan_cd_comm</f>
        <v/>
      </c>
      <c r="BW1093" s="40">
        <f>BW1092*(1-IF(B1092&gt;=in_marketplace_from,d_hz_loan_vehicle*G1092,0))</f>
        <v/>
      </c>
      <c r="BX1093" s="14">
        <f>F1093*BW1093*IF(B1093&gt;=in_marketplace_from,d_hz_loan_vehicle*G1093,0)*in_loan_vehicle_ticket*in_loan_vehicle_comm</f>
        <v/>
      </c>
      <c r="BY1093" s="40">
        <f>BY1092*(1-IF(B1092&gt;=in_marketplace_from,d_hz_loan_home*G1092,0)*BZ1092)</f>
        <v/>
      </c>
      <c r="BZ1093" s="11">
        <f>MIN(in_approval_cap,in_loan_home_approval*INDEX('Age profile'!$O$2:$O$61,B1093)*(1+in_approval_growth)^(D1093-1))</f>
        <v/>
      </c>
      <c r="CA1093" s="14">
        <f>F1093*BY1093*IF(B1093&gt;=in_marketplace_from,d_hz_loan_home*G1093,0)*BZ1093*in_loan_home_ticket*in_loan_home_comm</f>
        <v/>
      </c>
      <c r="CB1093" s="40">
        <f>CB1092*(1-IF(B1092&gt;=in_marketplace_from,d_hz_loan_lap*G1092,0)*CC1092)</f>
        <v/>
      </c>
      <c r="CC1093" s="11">
        <f>MIN(in_approval_cap,in_loan_lap_approval*INDEX('Age profile'!$O$2:$O$61,B1093)*(1+in_approval_growth)^(D1093-1))</f>
        <v/>
      </c>
      <c r="CD1093" s="14">
        <f>F1093*CB1093*IF(B1093&gt;=in_marketplace_from,d_hz_loan_lap*G1093,0)*CC1093*in_loan_lap_ticket*in_loan_lap_comm</f>
        <v/>
      </c>
      <c r="CE1093" s="14">
        <f>AA1093+AB1093+AC1093+AD1093+AG1093+AJ1093+AM1093+AP1093+AS1093+AU1093+AX1093+BB1093+BE1093+BG1093+BJ1093+BL1093+BO1093+BR1093+BT1093+BV1093+BX1093+CA1093+CD1093</f>
        <v/>
      </c>
    </row>
    <row r="1094">
      <c r="A1094" s="39" t="n">
        <v>23</v>
      </c>
      <c r="B1094" s="39" t="n">
        <v>4</v>
      </c>
      <c r="C1094" s="39">
        <f>A1094+B1094-1</f>
        <v/>
      </c>
      <c r="D1094" s="39">
        <f>INT((C1094-1)/12)+1</f>
        <v/>
      </c>
      <c r="E1094" s="44">
        <f>INDEX(Monthly!$B$2:$B$61,A1094)</f>
        <v/>
      </c>
      <c r="F1094" s="44">
        <f>E1094*INDEX('Age profile'!$B$2:$B$61,B1094)</f>
        <v/>
      </c>
      <c r="G1094" s="45">
        <f>MIN(in_takeup_cap,INDEX('Age profile'!$N$2:$N$61,B1094)*(1+in_takeup_growth)^(D1094-1))</f>
        <v/>
      </c>
      <c r="H1094" s="11">
        <f>MIN(in_approval_cap,in_approved_first*INDEX('Age profile'!$O$2:$O$61,B1094)*(1+in_approval_growth)^(D1094-1))</f>
        <v/>
      </c>
      <c r="I1094" s="45">
        <f>G1094*MIN(in_takeup_cap,INDEX('Age profile'!$O$2:$O$61,B1094)*(1+in_approval_growth)^(D1094-1))</f>
        <v/>
      </c>
      <c r="J1094" s="40">
        <f>(J1093-L1093)*F1094/F1093</f>
        <v/>
      </c>
      <c r="K1094" s="40">
        <f>(K1093-M1093)*F1094/F1093+SUMIFS(O1091:O1093,B1091:B1093,B1094-1-d_T)*F1094</f>
        <v/>
      </c>
      <c r="L1094" s="40">
        <f>IF(B1094&gt;=in_marketplace_from,J1094*d_hz*G1094*in_eligible*H1094,0)</f>
        <v/>
      </c>
      <c r="M1094" s="40">
        <f>IF(B1094&gt;=in_marketplace_from,K1094*d_hz*G1094*in_eligible*in_approved_repeat,0)</f>
        <v/>
      </c>
      <c r="N1094" s="40">
        <f>L1094+M1094</f>
        <v/>
      </c>
      <c r="O1094" s="46">
        <f>N1094/F1094</f>
        <v/>
      </c>
      <c r="P1094" s="40">
        <f>F1094-J1094-K1094</f>
        <v/>
      </c>
      <c r="Q1094" s="40">
        <f>IF(B1094&gt;=in_marketplace_from,(J1094+K1094)*d_hz*G1094,0)</f>
        <v/>
      </c>
      <c r="R1094" s="40">
        <f>SUMIFS(N1091:N1128,B1091:B1128,"&gt;="&amp;(B1094-d_T),B1091:B1128,"&lt;="&amp;(B1094-1))</f>
        <v/>
      </c>
      <c r="S1094" s="46">
        <f>(1-d_u)*S1093+IF(d_T&gt;in_topup_lag,SUMIFS(O1091:O1128,B1091:B1128,B1094-in_topup_lag)-d_udrop*SUMIFS(O1091:O1128,B1091:B1128,B1094-d_T),0)</f>
        <v/>
      </c>
      <c r="T1094" s="40">
        <f>F1094*d_u*S1094</f>
        <v/>
      </c>
      <c r="U1094" s="9">
        <f>L1094*in_ticket+M1094*d_rep_ticket</f>
        <v/>
      </c>
      <c r="V1094" s="9">
        <f>U1094+T1094*d_topup_amt</f>
        <v/>
      </c>
      <c r="W1094" s="40">
        <f>N1094+T1094*d_topup_ratio</f>
        <v/>
      </c>
      <c r="X1094" s="40">
        <f>SUMIFS(W1091:W1128,B1091:B1128,B1094-in_dpd_lag)*d_cured</f>
        <v/>
      </c>
      <c r="Y1094" s="40">
        <f>SUMIFS(W1091:W1128,B1091:B1128,B1094-in_rec_lag)*d_recd</f>
        <v/>
      </c>
      <c r="Z1094" s="40">
        <f>IF(AND(B1094&gt;=in_marketplace_from,B1094&lt;in_marketplace_from+in_card_months),in_card_share/in_card_months*F1094*I1094,IF(AND(B1094&gt;=in_marketplace_from+in_card_months,B1094&lt;in_marketplace_from+2*in_card_months),in_card_share*d_card_rem/in_card_months*F1094*MIN(in_takeup_cap,(1+in_takeup_growth)^(D1094-1))*MIN(in_takeup_cap,(1+in_approval_growth)^(D1094-1)),0))</f>
        <v/>
      </c>
      <c r="AA1094" s="14">
        <f>V1094*in_fee*(1-in_taken_back)</f>
        <v/>
      </c>
      <c r="AB1094" s="14">
        <f>SUMIFS(W1091:W1128,B1091:B1128,B1094-in_dpd_lag)*d_dpd</f>
        <v/>
      </c>
      <c r="AC1094" s="14">
        <f>SUMIFS(W1091:W1128,B1091:B1128,B1094-in_rec_lag)*d_rec</f>
        <v/>
      </c>
      <c r="AD1094" s="14">
        <f>Z1094*in_card_fee</f>
        <v/>
      </c>
      <c r="AE1094" s="40">
        <f>AE1093*(1-IF(B1093&gt;=in_marketplace_from,d_hz_hlth_small*G1093,0))</f>
        <v/>
      </c>
      <c r="AF1094" s="46">
        <f>AE1094*IF(B1094&gt;=in_marketplace_from,d_hz_hlth_small*G1094,0)</f>
        <v/>
      </c>
      <c r="AG1094" s="14">
        <f>F1094*AF1094*in_hlth_small_ticket*in_hlth_small_comm*in_ins_partner_share+F1094*in_hlth_small_ticket*in_hlth_small_renew_comm*in_ins_partner_share*(in_hlth_small_renew^1*SUMIFS(AF1091:AF1128,B1091:B1128,B1094-12)+in_hlth_small_renew^2*SUMIFS(AF1091:AF1128,B1091:B1128,B1094-24)+in_hlth_small_renew^3*SUMIFS(AF1091:AF1128,B1091:B1128,B1094-36)+in_hlth_small_renew^4*SUMIFS(AF1091:AF1128,B1091:B1128,B1094-48))</f>
        <v/>
      </c>
      <c r="AH1094" s="40">
        <f>AH1093*(1-IF(B1093&gt;=in_marketplace_from,d_hz_hlth_family*G1093,0))</f>
        <v/>
      </c>
      <c r="AI1094" s="46">
        <f>AH1094*IF(B1094&gt;=in_marketplace_from,d_hz_hlth_family*G1094,0)</f>
        <v/>
      </c>
      <c r="AJ1094" s="14">
        <f>F1094*AI1094*in_hlth_family_ticket*in_hlth_family_comm*in_ins_partner_share+F1094*in_hlth_family_ticket*in_hlth_family_renew_comm*in_ins_partner_share*(in_hlth_family_renew^1*SUMIFS(AI1091:AI1128,B1091:B1128,B1094-12)+in_hlth_family_renew^2*SUMIFS(AI1091:AI1128,B1091:B1128,B1094-24)+in_hlth_family_renew^3*SUMIFS(AI1091:AI1128,B1091:B1128,B1094-36)+in_hlth_family_renew^4*SUMIFS(AI1091:AI1128,B1091:B1128,B1094-48))</f>
        <v/>
      </c>
      <c r="AK1094" s="40">
        <f>AK1093*(1-IF(B1093&gt;=in_marketplace_from,d_hz_life_term*G1093,0))</f>
        <v/>
      </c>
      <c r="AL1094" s="46">
        <f>AK1094*IF(B1094&gt;=in_marketplace_from,d_hz_life_term*G1094,0)</f>
        <v/>
      </c>
      <c r="AM1094" s="14">
        <f>F1094*AL1094*in_life_term_ticket*in_life_term_comm*in_ins_partner_share+F1094*in_life_term_ticket*in_life_term_renew_comm*in_ins_partner_share*(in_life_term_renew^1*SUMIFS(AL1091:AL1128,B1091:B1128,B1094-12)+in_life_term_renew^2*SUMIFS(AL1091:AL1128,B1091:B1128,B1094-24)+in_life_term_renew^3*SUMIFS(AL1091:AL1128,B1091:B1128,B1094-36)+in_life_term_renew^4*SUMIFS(AL1091:AL1128,B1091:B1128,B1094-48))</f>
        <v/>
      </c>
      <c r="AN1094" s="40">
        <f>AN1093*(1-IF(B1093&gt;=in_marketplace_from,d_hz_accident*G1093,0))</f>
        <v/>
      </c>
      <c r="AO1094" s="46">
        <f>AN1094*IF(B1094&gt;=in_marketplace_from,d_hz_accident*G1094,0)</f>
        <v/>
      </c>
      <c r="AP1094" s="14">
        <f>F1094*AO1094*in_accident_ticket*in_accident_comm*in_ins_partner_share+F1094*in_accident_ticket*in_accident_renew_comm*in_ins_partner_share*(in_accident_renew^1*SUMIFS(AO1091:AO1128,B1091:B1128,B1094-12)+in_accident_renew^2*SUMIFS(AO1091:AO1128,B1091:B1128,B1094-24)+in_accident_renew^3*SUMIFS(AO1091:AO1128,B1091:B1128,B1094-36)+in_accident_renew^4*SUMIFS(AO1091:AO1128,B1091:B1128,B1094-48))</f>
        <v/>
      </c>
      <c r="AQ1094" s="40">
        <f>AQ1093*(1-IF(B1093&gt;=in_marketplace_from,d_hz_two_wheeler*G1093,0))</f>
        <v/>
      </c>
      <c r="AR1094" s="46">
        <f>AQ1094*IF(B1094&gt;=in_marketplace_from,d_hz_two_wheeler*G1094,0)</f>
        <v/>
      </c>
      <c r="AS1094" s="14">
        <f>F1094*AR1094*in_two_wheeler_ticket*in_two_wheeler_comm*in_ins_partner_share+F1094*in_two_wheeler_ticket*in_two_wheeler_comm*in_ins_partner_share*(in_two_wheeler_renew^1*SUMIFS(AR1091:AR1128,B1091:B1128,B1094-12)+in_two_wheeler_renew^2*SUMIFS(AR1091:AR1128,B1091:B1128,B1094-24)+in_two_wheeler_renew^3*SUMIFS(AR1091:AR1128,B1091:B1128,B1094-36)+in_two_wheeler_renew^4*SUMIFS(AR1091:AR1128,B1091:B1128,B1094-48))</f>
        <v/>
      </c>
      <c r="AT1094" s="40">
        <f>AT1093*(1-IF(B1093&gt;=in_marketplace_from,d_hz_device*G1093,0))</f>
        <v/>
      </c>
      <c r="AU1094" s="14">
        <f>F1094*AT1094*IF(B1094&gt;=in_marketplace_from,d_hz_device*G1094,0)*in_device_ticket*in_device_comm*in_ins_partner_share</f>
        <v/>
      </c>
      <c r="AV1094" s="40">
        <f>AV1093*(1-IF(B1093&gt;=in_marketplace_from,d_hz_shop*G1093,0))</f>
        <v/>
      </c>
      <c r="AW1094" s="46">
        <f>AV1094*IF(B1094&gt;=in_marketplace_from,d_hz_shop*G1094,0)</f>
        <v/>
      </c>
      <c r="AX1094" s="14">
        <f>F1094*AW1094*in_shop_ticket*in_shop_comm*in_ins_partner_share+F1094*in_shop_ticket*in_shop_renew_comm*in_ins_partner_share*(in_shop_renew^1*SUMIFS(AW1091:AW1128,B1091:B1128,B1094-12)+in_shop_renew^2*SUMIFS(AW1091:AW1128,B1091:B1128,B1094-24)+in_shop_renew^3*SUMIFS(AW1091:AW1128,B1091:B1128,B1094-36)+in_shop_renew^4*SUMIFS(AW1091:AW1128,B1091:B1128,B1094-48))</f>
        <v/>
      </c>
      <c r="AY1094" s="40">
        <f>AY1093*(1-IF(B1093&gt;=in_marketplace_from,d_hz_sip*G1093,0))</f>
        <v/>
      </c>
      <c r="AZ1094" s="40">
        <f>AZ1093*d_rho_sip+AY1094*IF(B1094&gt;=in_marketplace_from,d_hz_sip*G1094,0)</f>
        <v/>
      </c>
      <c r="BA1094" s="40">
        <f>d_rho_sip*(BA1093+AZ1093)</f>
        <v/>
      </c>
      <c r="BB1094" s="14">
        <f>F1094*in_sip_ticket*(BA1094+0.5*AZ1094)*in_sip_comm/12</f>
        <v/>
      </c>
      <c r="BC1094" s="40">
        <f>BC1093*(1-IF(B1093&gt;=in_marketplace_from,d_hz_choti*G1093,0))</f>
        <v/>
      </c>
      <c r="BD1094" s="46">
        <f>BC1094*IF(B1094&gt;=in_marketplace_from,d_hz_choti*G1094,0)</f>
        <v/>
      </c>
      <c r="BE1094" s="14">
        <f>F1094*SUMIFS(BD1091:BD1128,B1091:B1128,B1094-in_choti_months)*in_choti_renew*in_choti_ticket</f>
        <v/>
      </c>
      <c r="BF1094" s="40">
        <f>BF1093*(1-IF(B1093&gt;=in_marketplace_from,d_hz_nps*G1093,0))</f>
        <v/>
      </c>
      <c r="BG1094" s="14">
        <f>F1094*BF1094*IF(B1094&gt;=in_marketplace_from,d_hz_nps*G1094,0)*in_nps_ticket*in_nps_comm</f>
        <v/>
      </c>
      <c r="BH1094" s="40">
        <f>BH1093*(1-IF(B1093&gt;=in_marketplace_from,d_hz_gold*G1093,0))</f>
        <v/>
      </c>
      <c r="BI1094" s="40">
        <f>BI1093*d_rho_gold+BH1094*IF(B1094&gt;=in_marketplace_from,d_hz_gold*G1094,0)</f>
        <v/>
      </c>
      <c r="BJ1094" s="14">
        <f>F1094*BI1094*in_gold_ticket*in_gold_comm</f>
        <v/>
      </c>
      <c r="BK1094" s="40">
        <f>BK1093*(1-IF(B1093&gt;=in_marketplace_from,d_hz_fd*G1093,0))</f>
        <v/>
      </c>
      <c r="BL1094" s="14">
        <f>F1094*BK1094*IF(B1094&gt;=in_marketplace_from,d_hz_fd*G1094,0)*in_fd_ticket*in_fd_comm</f>
        <v/>
      </c>
      <c r="BM1094" s="40">
        <f>BM1093*(1-IF(B1093&gt;=in_marketplace_from,d_hz_recharge*G1093,0))</f>
        <v/>
      </c>
      <c r="BN1094" s="40">
        <f>BN1093*d_rho_recharge+BM1094*IF(B1094&gt;=in_marketplace_from,d_hz_recharge*G1094,0)</f>
        <v/>
      </c>
      <c r="BO1094" s="14">
        <f>F1094*BN1094*in_recharge_ticket*in_recharge_comm/12</f>
        <v/>
      </c>
      <c r="BP1094" s="40">
        <f>BP1093*(1-IF(B1093&gt;=in_marketplace_from,d_hz_bills*G1093,0))</f>
        <v/>
      </c>
      <c r="BQ1094" s="40">
        <f>BQ1093*d_rho_bills+BP1094*IF(B1094&gt;=in_marketplace_from,d_hz_bills*G1094,0)</f>
        <v/>
      </c>
      <c r="BR1094" s="14">
        <f>F1094*BQ1094*in_bills_ticket*in_bills_comm/12</f>
        <v/>
      </c>
      <c r="BS1094" s="40">
        <f>BS1093*(1-IF(B1093&gt;=in_marketplace_from,d_hz_loan_gold*G1093,0))</f>
        <v/>
      </c>
      <c r="BT1094" s="14">
        <f>F1094*BS1094*IF(B1094&gt;=in_marketplace_from,d_hz_loan_gold*G1094,0)*in_loan_gold_ticket*in_loan_gold_comm</f>
        <v/>
      </c>
      <c r="BU1094" s="40">
        <f>BU1093*(1-IF(B1093&gt;=in_marketplace_from,d_hz_loan_cd*G1093,0))</f>
        <v/>
      </c>
      <c r="BV1094" s="14">
        <f>F1094*BU1094*IF(B1094&gt;=in_marketplace_from,d_hz_loan_cd*G1094,0)*in_loan_cd_ticket*in_loan_cd_comm</f>
        <v/>
      </c>
      <c r="BW1094" s="40">
        <f>BW1093*(1-IF(B1093&gt;=in_marketplace_from,d_hz_loan_vehicle*G1093,0))</f>
        <v/>
      </c>
      <c r="BX1094" s="14">
        <f>F1094*BW1094*IF(B1094&gt;=in_marketplace_from,d_hz_loan_vehicle*G1094,0)*in_loan_vehicle_ticket*in_loan_vehicle_comm</f>
        <v/>
      </c>
      <c r="BY1094" s="40">
        <f>BY1093*(1-IF(B1093&gt;=in_marketplace_from,d_hz_loan_home*G1093,0)*BZ1093)</f>
        <v/>
      </c>
      <c r="BZ1094" s="11">
        <f>MIN(in_approval_cap,in_loan_home_approval*INDEX('Age profile'!$O$2:$O$61,B1094)*(1+in_approval_growth)^(D1094-1))</f>
        <v/>
      </c>
      <c r="CA1094" s="14">
        <f>F1094*BY1094*IF(B1094&gt;=in_marketplace_from,d_hz_loan_home*G1094,0)*BZ1094*in_loan_home_ticket*in_loan_home_comm</f>
        <v/>
      </c>
      <c r="CB1094" s="40">
        <f>CB1093*(1-IF(B1093&gt;=in_marketplace_from,d_hz_loan_lap*G1093,0)*CC1093)</f>
        <v/>
      </c>
      <c r="CC1094" s="11">
        <f>MIN(in_approval_cap,in_loan_lap_approval*INDEX('Age profile'!$O$2:$O$61,B1094)*(1+in_approval_growth)^(D1094-1))</f>
        <v/>
      </c>
      <c r="CD1094" s="14">
        <f>F1094*CB1094*IF(B1094&gt;=in_marketplace_from,d_hz_loan_lap*G1094,0)*CC1094*in_loan_lap_ticket*in_loan_lap_comm</f>
        <v/>
      </c>
      <c r="CE1094" s="14">
        <f>AA1094+AB1094+AC1094+AD1094+AG1094+AJ1094+AM1094+AP1094+AS1094+AU1094+AX1094+BB1094+BE1094+BG1094+BJ1094+BL1094+BO1094+BR1094+BT1094+BV1094+BX1094+CA1094+CD1094</f>
        <v/>
      </c>
    </row>
    <row r="1095">
      <c r="A1095" s="39" t="n">
        <v>23</v>
      </c>
      <c r="B1095" s="39" t="n">
        <v>5</v>
      </c>
      <c r="C1095" s="39">
        <f>A1095+B1095-1</f>
        <v/>
      </c>
      <c r="D1095" s="39">
        <f>INT((C1095-1)/12)+1</f>
        <v/>
      </c>
      <c r="E1095" s="44">
        <f>INDEX(Monthly!$B$2:$B$61,A1095)</f>
        <v/>
      </c>
      <c r="F1095" s="44">
        <f>E1095*INDEX('Age profile'!$B$2:$B$61,B1095)</f>
        <v/>
      </c>
      <c r="G1095" s="45">
        <f>MIN(in_takeup_cap,INDEX('Age profile'!$N$2:$N$61,B1095)*(1+in_takeup_growth)^(D1095-1))</f>
        <v/>
      </c>
      <c r="H1095" s="11">
        <f>MIN(in_approval_cap,in_approved_first*INDEX('Age profile'!$O$2:$O$61,B1095)*(1+in_approval_growth)^(D1095-1))</f>
        <v/>
      </c>
      <c r="I1095" s="45">
        <f>G1095*MIN(in_takeup_cap,INDEX('Age profile'!$O$2:$O$61,B1095)*(1+in_approval_growth)^(D1095-1))</f>
        <v/>
      </c>
      <c r="J1095" s="40">
        <f>(J1094-L1094)*F1095/F1094</f>
        <v/>
      </c>
      <c r="K1095" s="40">
        <f>(K1094-M1094)*F1095/F1094+SUMIFS(O1091:O1094,B1091:B1094,B1095-1-d_T)*F1095</f>
        <v/>
      </c>
      <c r="L1095" s="40">
        <f>IF(B1095&gt;=in_marketplace_from,J1095*d_hz*G1095*in_eligible*H1095,0)</f>
        <v/>
      </c>
      <c r="M1095" s="40">
        <f>IF(B1095&gt;=in_marketplace_from,K1095*d_hz*G1095*in_eligible*in_approved_repeat,0)</f>
        <v/>
      </c>
      <c r="N1095" s="40">
        <f>L1095+M1095</f>
        <v/>
      </c>
      <c r="O1095" s="46">
        <f>N1095/F1095</f>
        <v/>
      </c>
      <c r="P1095" s="40">
        <f>F1095-J1095-K1095</f>
        <v/>
      </c>
      <c r="Q1095" s="40">
        <f>IF(B1095&gt;=in_marketplace_from,(J1095+K1095)*d_hz*G1095,0)</f>
        <v/>
      </c>
      <c r="R1095" s="40">
        <f>SUMIFS(N1091:N1128,B1091:B1128,"&gt;="&amp;(B1095-d_T),B1091:B1128,"&lt;="&amp;(B1095-1))</f>
        <v/>
      </c>
      <c r="S1095" s="46">
        <f>(1-d_u)*S1094+IF(d_T&gt;in_topup_lag,SUMIFS(O1091:O1128,B1091:B1128,B1095-in_topup_lag)-d_udrop*SUMIFS(O1091:O1128,B1091:B1128,B1095-d_T),0)</f>
        <v/>
      </c>
      <c r="T1095" s="40">
        <f>F1095*d_u*S1095</f>
        <v/>
      </c>
      <c r="U1095" s="9">
        <f>L1095*in_ticket+M1095*d_rep_ticket</f>
        <v/>
      </c>
      <c r="V1095" s="9">
        <f>U1095+T1095*d_topup_amt</f>
        <v/>
      </c>
      <c r="W1095" s="40">
        <f>N1095+T1095*d_topup_ratio</f>
        <v/>
      </c>
      <c r="X1095" s="40">
        <f>SUMIFS(W1091:W1128,B1091:B1128,B1095-in_dpd_lag)*d_cured</f>
        <v/>
      </c>
      <c r="Y1095" s="40">
        <f>SUMIFS(W1091:W1128,B1091:B1128,B1095-in_rec_lag)*d_recd</f>
        <v/>
      </c>
      <c r="Z1095" s="40">
        <f>IF(AND(B1095&gt;=in_marketplace_from,B1095&lt;in_marketplace_from+in_card_months),in_card_share/in_card_months*F1095*I1095,IF(AND(B1095&gt;=in_marketplace_from+in_card_months,B1095&lt;in_marketplace_from+2*in_card_months),in_card_share*d_card_rem/in_card_months*F1095*MIN(in_takeup_cap,(1+in_takeup_growth)^(D1095-1))*MIN(in_takeup_cap,(1+in_approval_growth)^(D1095-1)),0))</f>
        <v/>
      </c>
      <c r="AA1095" s="14">
        <f>V1095*in_fee*(1-in_taken_back)</f>
        <v/>
      </c>
      <c r="AB1095" s="14">
        <f>SUMIFS(W1091:W1128,B1091:B1128,B1095-in_dpd_lag)*d_dpd</f>
        <v/>
      </c>
      <c r="AC1095" s="14">
        <f>SUMIFS(W1091:W1128,B1091:B1128,B1095-in_rec_lag)*d_rec</f>
        <v/>
      </c>
      <c r="AD1095" s="14">
        <f>Z1095*in_card_fee</f>
        <v/>
      </c>
      <c r="AE1095" s="40">
        <f>AE1094*(1-IF(B1094&gt;=in_marketplace_from,d_hz_hlth_small*G1094,0))</f>
        <v/>
      </c>
      <c r="AF1095" s="46">
        <f>AE1095*IF(B1095&gt;=in_marketplace_from,d_hz_hlth_small*G1095,0)</f>
        <v/>
      </c>
      <c r="AG1095" s="14">
        <f>F1095*AF1095*in_hlth_small_ticket*in_hlth_small_comm*in_ins_partner_share+F1095*in_hlth_small_ticket*in_hlth_small_renew_comm*in_ins_partner_share*(in_hlth_small_renew^1*SUMIFS(AF1091:AF1128,B1091:B1128,B1095-12)+in_hlth_small_renew^2*SUMIFS(AF1091:AF1128,B1091:B1128,B1095-24)+in_hlth_small_renew^3*SUMIFS(AF1091:AF1128,B1091:B1128,B1095-36)+in_hlth_small_renew^4*SUMIFS(AF1091:AF1128,B1091:B1128,B1095-48))</f>
        <v/>
      </c>
      <c r="AH1095" s="40">
        <f>AH1094*(1-IF(B1094&gt;=in_marketplace_from,d_hz_hlth_family*G1094,0))</f>
        <v/>
      </c>
      <c r="AI1095" s="46">
        <f>AH1095*IF(B1095&gt;=in_marketplace_from,d_hz_hlth_family*G1095,0)</f>
        <v/>
      </c>
      <c r="AJ1095" s="14">
        <f>F1095*AI1095*in_hlth_family_ticket*in_hlth_family_comm*in_ins_partner_share+F1095*in_hlth_family_ticket*in_hlth_family_renew_comm*in_ins_partner_share*(in_hlth_family_renew^1*SUMIFS(AI1091:AI1128,B1091:B1128,B1095-12)+in_hlth_family_renew^2*SUMIFS(AI1091:AI1128,B1091:B1128,B1095-24)+in_hlth_family_renew^3*SUMIFS(AI1091:AI1128,B1091:B1128,B1095-36)+in_hlth_family_renew^4*SUMIFS(AI1091:AI1128,B1091:B1128,B1095-48))</f>
        <v/>
      </c>
      <c r="AK1095" s="40">
        <f>AK1094*(1-IF(B1094&gt;=in_marketplace_from,d_hz_life_term*G1094,0))</f>
        <v/>
      </c>
      <c r="AL1095" s="46">
        <f>AK1095*IF(B1095&gt;=in_marketplace_from,d_hz_life_term*G1095,0)</f>
        <v/>
      </c>
      <c r="AM1095" s="14">
        <f>F1095*AL1095*in_life_term_ticket*in_life_term_comm*in_ins_partner_share+F1095*in_life_term_ticket*in_life_term_renew_comm*in_ins_partner_share*(in_life_term_renew^1*SUMIFS(AL1091:AL1128,B1091:B1128,B1095-12)+in_life_term_renew^2*SUMIFS(AL1091:AL1128,B1091:B1128,B1095-24)+in_life_term_renew^3*SUMIFS(AL1091:AL1128,B1091:B1128,B1095-36)+in_life_term_renew^4*SUMIFS(AL1091:AL1128,B1091:B1128,B1095-48))</f>
        <v/>
      </c>
      <c r="AN1095" s="40">
        <f>AN1094*(1-IF(B1094&gt;=in_marketplace_from,d_hz_accident*G1094,0))</f>
        <v/>
      </c>
      <c r="AO1095" s="46">
        <f>AN1095*IF(B1095&gt;=in_marketplace_from,d_hz_accident*G1095,0)</f>
        <v/>
      </c>
      <c r="AP1095" s="14">
        <f>F1095*AO1095*in_accident_ticket*in_accident_comm*in_ins_partner_share+F1095*in_accident_ticket*in_accident_renew_comm*in_ins_partner_share*(in_accident_renew^1*SUMIFS(AO1091:AO1128,B1091:B1128,B1095-12)+in_accident_renew^2*SUMIFS(AO1091:AO1128,B1091:B1128,B1095-24)+in_accident_renew^3*SUMIFS(AO1091:AO1128,B1091:B1128,B1095-36)+in_accident_renew^4*SUMIFS(AO1091:AO1128,B1091:B1128,B1095-48))</f>
        <v/>
      </c>
      <c r="AQ1095" s="40">
        <f>AQ1094*(1-IF(B1094&gt;=in_marketplace_from,d_hz_two_wheeler*G1094,0))</f>
        <v/>
      </c>
      <c r="AR1095" s="46">
        <f>AQ1095*IF(B1095&gt;=in_marketplace_from,d_hz_two_wheeler*G1095,0)</f>
        <v/>
      </c>
      <c r="AS1095" s="14">
        <f>F1095*AR1095*in_two_wheeler_ticket*in_two_wheeler_comm*in_ins_partner_share+F1095*in_two_wheeler_ticket*in_two_wheeler_comm*in_ins_partner_share*(in_two_wheeler_renew^1*SUMIFS(AR1091:AR1128,B1091:B1128,B1095-12)+in_two_wheeler_renew^2*SUMIFS(AR1091:AR1128,B1091:B1128,B1095-24)+in_two_wheeler_renew^3*SUMIFS(AR1091:AR1128,B1091:B1128,B1095-36)+in_two_wheeler_renew^4*SUMIFS(AR1091:AR1128,B1091:B1128,B1095-48))</f>
        <v/>
      </c>
      <c r="AT1095" s="40">
        <f>AT1094*(1-IF(B1094&gt;=in_marketplace_from,d_hz_device*G1094,0))</f>
        <v/>
      </c>
      <c r="AU1095" s="14">
        <f>F1095*AT1095*IF(B1095&gt;=in_marketplace_from,d_hz_device*G1095,0)*in_device_ticket*in_device_comm*in_ins_partner_share</f>
        <v/>
      </c>
      <c r="AV1095" s="40">
        <f>AV1094*(1-IF(B1094&gt;=in_marketplace_from,d_hz_shop*G1094,0))</f>
        <v/>
      </c>
      <c r="AW1095" s="46">
        <f>AV1095*IF(B1095&gt;=in_marketplace_from,d_hz_shop*G1095,0)</f>
        <v/>
      </c>
      <c r="AX1095" s="14">
        <f>F1095*AW1095*in_shop_ticket*in_shop_comm*in_ins_partner_share+F1095*in_shop_ticket*in_shop_renew_comm*in_ins_partner_share*(in_shop_renew^1*SUMIFS(AW1091:AW1128,B1091:B1128,B1095-12)+in_shop_renew^2*SUMIFS(AW1091:AW1128,B1091:B1128,B1095-24)+in_shop_renew^3*SUMIFS(AW1091:AW1128,B1091:B1128,B1095-36)+in_shop_renew^4*SUMIFS(AW1091:AW1128,B1091:B1128,B1095-48))</f>
        <v/>
      </c>
      <c r="AY1095" s="40">
        <f>AY1094*(1-IF(B1094&gt;=in_marketplace_from,d_hz_sip*G1094,0))</f>
        <v/>
      </c>
      <c r="AZ1095" s="40">
        <f>AZ1094*d_rho_sip+AY1095*IF(B1095&gt;=in_marketplace_from,d_hz_sip*G1095,0)</f>
        <v/>
      </c>
      <c r="BA1095" s="40">
        <f>d_rho_sip*(BA1094+AZ1094)</f>
        <v/>
      </c>
      <c r="BB1095" s="14">
        <f>F1095*in_sip_ticket*(BA1095+0.5*AZ1095)*in_sip_comm/12</f>
        <v/>
      </c>
      <c r="BC1095" s="40">
        <f>BC1094*(1-IF(B1094&gt;=in_marketplace_from,d_hz_choti*G1094,0))</f>
        <v/>
      </c>
      <c r="BD1095" s="46">
        <f>BC1095*IF(B1095&gt;=in_marketplace_from,d_hz_choti*G1095,0)</f>
        <v/>
      </c>
      <c r="BE1095" s="14">
        <f>F1095*SUMIFS(BD1091:BD1128,B1091:B1128,B1095-in_choti_months)*in_choti_renew*in_choti_ticket</f>
        <v/>
      </c>
      <c r="BF1095" s="40">
        <f>BF1094*(1-IF(B1094&gt;=in_marketplace_from,d_hz_nps*G1094,0))</f>
        <v/>
      </c>
      <c r="BG1095" s="14">
        <f>F1095*BF1095*IF(B1095&gt;=in_marketplace_from,d_hz_nps*G1095,0)*in_nps_ticket*in_nps_comm</f>
        <v/>
      </c>
      <c r="BH1095" s="40">
        <f>BH1094*(1-IF(B1094&gt;=in_marketplace_from,d_hz_gold*G1094,0))</f>
        <v/>
      </c>
      <c r="BI1095" s="40">
        <f>BI1094*d_rho_gold+BH1095*IF(B1095&gt;=in_marketplace_from,d_hz_gold*G1095,0)</f>
        <v/>
      </c>
      <c r="BJ1095" s="14">
        <f>F1095*BI1095*in_gold_ticket*in_gold_comm</f>
        <v/>
      </c>
      <c r="BK1095" s="40">
        <f>BK1094*(1-IF(B1094&gt;=in_marketplace_from,d_hz_fd*G1094,0))</f>
        <v/>
      </c>
      <c r="BL1095" s="14">
        <f>F1095*BK1095*IF(B1095&gt;=in_marketplace_from,d_hz_fd*G1095,0)*in_fd_ticket*in_fd_comm</f>
        <v/>
      </c>
      <c r="BM1095" s="40">
        <f>BM1094*(1-IF(B1094&gt;=in_marketplace_from,d_hz_recharge*G1094,0))</f>
        <v/>
      </c>
      <c r="BN1095" s="40">
        <f>BN1094*d_rho_recharge+BM1095*IF(B1095&gt;=in_marketplace_from,d_hz_recharge*G1095,0)</f>
        <v/>
      </c>
      <c r="BO1095" s="14">
        <f>F1095*BN1095*in_recharge_ticket*in_recharge_comm/12</f>
        <v/>
      </c>
      <c r="BP1095" s="40">
        <f>BP1094*(1-IF(B1094&gt;=in_marketplace_from,d_hz_bills*G1094,0))</f>
        <v/>
      </c>
      <c r="BQ1095" s="40">
        <f>BQ1094*d_rho_bills+BP1095*IF(B1095&gt;=in_marketplace_from,d_hz_bills*G1095,0)</f>
        <v/>
      </c>
      <c r="BR1095" s="14">
        <f>F1095*BQ1095*in_bills_ticket*in_bills_comm/12</f>
        <v/>
      </c>
      <c r="BS1095" s="40">
        <f>BS1094*(1-IF(B1094&gt;=in_marketplace_from,d_hz_loan_gold*G1094,0))</f>
        <v/>
      </c>
      <c r="BT1095" s="14">
        <f>F1095*BS1095*IF(B1095&gt;=in_marketplace_from,d_hz_loan_gold*G1095,0)*in_loan_gold_ticket*in_loan_gold_comm</f>
        <v/>
      </c>
      <c r="BU1095" s="40">
        <f>BU1094*(1-IF(B1094&gt;=in_marketplace_from,d_hz_loan_cd*G1094,0))</f>
        <v/>
      </c>
      <c r="BV1095" s="14">
        <f>F1095*BU1095*IF(B1095&gt;=in_marketplace_from,d_hz_loan_cd*G1095,0)*in_loan_cd_ticket*in_loan_cd_comm</f>
        <v/>
      </c>
      <c r="BW1095" s="40">
        <f>BW1094*(1-IF(B1094&gt;=in_marketplace_from,d_hz_loan_vehicle*G1094,0))</f>
        <v/>
      </c>
      <c r="BX1095" s="14">
        <f>F1095*BW1095*IF(B1095&gt;=in_marketplace_from,d_hz_loan_vehicle*G1095,0)*in_loan_vehicle_ticket*in_loan_vehicle_comm</f>
        <v/>
      </c>
      <c r="BY1095" s="40">
        <f>BY1094*(1-IF(B1094&gt;=in_marketplace_from,d_hz_loan_home*G1094,0)*BZ1094)</f>
        <v/>
      </c>
      <c r="BZ1095" s="11">
        <f>MIN(in_approval_cap,in_loan_home_approval*INDEX('Age profile'!$O$2:$O$61,B1095)*(1+in_approval_growth)^(D1095-1))</f>
        <v/>
      </c>
      <c r="CA1095" s="14">
        <f>F1095*BY1095*IF(B1095&gt;=in_marketplace_from,d_hz_loan_home*G1095,0)*BZ1095*in_loan_home_ticket*in_loan_home_comm</f>
        <v/>
      </c>
      <c r="CB1095" s="40">
        <f>CB1094*(1-IF(B1094&gt;=in_marketplace_from,d_hz_loan_lap*G1094,0)*CC1094)</f>
        <v/>
      </c>
      <c r="CC1095" s="11">
        <f>MIN(in_approval_cap,in_loan_lap_approval*INDEX('Age profile'!$O$2:$O$61,B1095)*(1+in_approval_growth)^(D1095-1))</f>
        <v/>
      </c>
      <c r="CD1095" s="14">
        <f>F1095*CB1095*IF(B1095&gt;=in_marketplace_from,d_hz_loan_lap*G1095,0)*CC1095*in_loan_lap_ticket*in_loan_lap_comm</f>
        <v/>
      </c>
      <c r="CE1095" s="14">
        <f>AA1095+AB1095+AC1095+AD1095+AG1095+AJ1095+AM1095+AP1095+AS1095+AU1095+AX1095+BB1095+BE1095+BG1095+BJ1095+BL1095+BO1095+BR1095+BT1095+BV1095+BX1095+CA1095+CD1095</f>
        <v/>
      </c>
    </row>
    <row r="1096">
      <c r="A1096" s="39" t="n">
        <v>23</v>
      </c>
      <c r="B1096" s="39" t="n">
        <v>6</v>
      </c>
      <c r="C1096" s="39">
        <f>A1096+B1096-1</f>
        <v/>
      </c>
      <c r="D1096" s="39">
        <f>INT((C1096-1)/12)+1</f>
        <v/>
      </c>
      <c r="E1096" s="44">
        <f>INDEX(Monthly!$B$2:$B$61,A1096)</f>
        <v/>
      </c>
      <c r="F1096" s="44">
        <f>E1096*INDEX('Age profile'!$B$2:$B$61,B1096)</f>
        <v/>
      </c>
      <c r="G1096" s="45">
        <f>MIN(in_takeup_cap,INDEX('Age profile'!$N$2:$N$61,B1096)*(1+in_takeup_growth)^(D1096-1))</f>
        <v/>
      </c>
      <c r="H1096" s="11">
        <f>MIN(in_approval_cap,in_approved_first*INDEX('Age profile'!$O$2:$O$61,B1096)*(1+in_approval_growth)^(D1096-1))</f>
        <v/>
      </c>
      <c r="I1096" s="45">
        <f>G1096*MIN(in_takeup_cap,INDEX('Age profile'!$O$2:$O$61,B1096)*(1+in_approval_growth)^(D1096-1))</f>
        <v/>
      </c>
      <c r="J1096" s="40">
        <f>(J1095-L1095)*F1096/F1095</f>
        <v/>
      </c>
      <c r="K1096" s="40">
        <f>(K1095-M1095)*F1096/F1095+SUMIFS(O1091:O1095,B1091:B1095,B1096-1-d_T)*F1096</f>
        <v/>
      </c>
      <c r="L1096" s="40">
        <f>IF(B1096&gt;=in_marketplace_from,J1096*d_hz*G1096*in_eligible*H1096,0)</f>
        <v/>
      </c>
      <c r="M1096" s="40">
        <f>IF(B1096&gt;=in_marketplace_from,K1096*d_hz*G1096*in_eligible*in_approved_repeat,0)</f>
        <v/>
      </c>
      <c r="N1096" s="40">
        <f>L1096+M1096</f>
        <v/>
      </c>
      <c r="O1096" s="46">
        <f>N1096/F1096</f>
        <v/>
      </c>
      <c r="P1096" s="40">
        <f>F1096-J1096-K1096</f>
        <v/>
      </c>
      <c r="Q1096" s="40">
        <f>IF(B1096&gt;=in_marketplace_from,(J1096+K1096)*d_hz*G1096,0)</f>
        <v/>
      </c>
      <c r="R1096" s="40">
        <f>SUMIFS(N1091:N1128,B1091:B1128,"&gt;="&amp;(B1096-d_T),B1091:B1128,"&lt;="&amp;(B1096-1))</f>
        <v/>
      </c>
      <c r="S1096" s="46">
        <f>(1-d_u)*S1095+IF(d_T&gt;in_topup_lag,SUMIFS(O1091:O1128,B1091:B1128,B1096-in_topup_lag)-d_udrop*SUMIFS(O1091:O1128,B1091:B1128,B1096-d_T),0)</f>
        <v/>
      </c>
      <c r="T1096" s="40">
        <f>F1096*d_u*S1096</f>
        <v/>
      </c>
      <c r="U1096" s="9">
        <f>L1096*in_ticket+M1096*d_rep_ticket</f>
        <v/>
      </c>
      <c r="V1096" s="9">
        <f>U1096+T1096*d_topup_amt</f>
        <v/>
      </c>
      <c r="W1096" s="40">
        <f>N1096+T1096*d_topup_ratio</f>
        <v/>
      </c>
      <c r="X1096" s="40">
        <f>SUMIFS(W1091:W1128,B1091:B1128,B1096-in_dpd_lag)*d_cured</f>
        <v/>
      </c>
      <c r="Y1096" s="40">
        <f>SUMIFS(W1091:W1128,B1091:B1128,B1096-in_rec_lag)*d_recd</f>
        <v/>
      </c>
      <c r="Z1096" s="40">
        <f>IF(AND(B1096&gt;=in_marketplace_from,B1096&lt;in_marketplace_from+in_card_months),in_card_share/in_card_months*F1096*I1096,IF(AND(B1096&gt;=in_marketplace_from+in_card_months,B1096&lt;in_marketplace_from+2*in_card_months),in_card_share*d_card_rem/in_card_months*F1096*MIN(in_takeup_cap,(1+in_takeup_growth)^(D1096-1))*MIN(in_takeup_cap,(1+in_approval_growth)^(D1096-1)),0))</f>
        <v/>
      </c>
      <c r="AA1096" s="14">
        <f>V1096*in_fee*(1-in_taken_back)</f>
        <v/>
      </c>
      <c r="AB1096" s="14">
        <f>SUMIFS(W1091:W1128,B1091:B1128,B1096-in_dpd_lag)*d_dpd</f>
        <v/>
      </c>
      <c r="AC1096" s="14">
        <f>SUMIFS(W1091:W1128,B1091:B1128,B1096-in_rec_lag)*d_rec</f>
        <v/>
      </c>
      <c r="AD1096" s="14">
        <f>Z1096*in_card_fee</f>
        <v/>
      </c>
      <c r="AE1096" s="40">
        <f>AE1095*(1-IF(B1095&gt;=in_marketplace_from,d_hz_hlth_small*G1095,0))</f>
        <v/>
      </c>
      <c r="AF1096" s="46">
        <f>AE1096*IF(B1096&gt;=in_marketplace_from,d_hz_hlth_small*G1096,0)</f>
        <v/>
      </c>
      <c r="AG1096" s="14">
        <f>F1096*AF1096*in_hlth_small_ticket*in_hlth_small_comm*in_ins_partner_share+F1096*in_hlth_small_ticket*in_hlth_small_renew_comm*in_ins_partner_share*(in_hlth_small_renew^1*SUMIFS(AF1091:AF1128,B1091:B1128,B1096-12)+in_hlth_small_renew^2*SUMIFS(AF1091:AF1128,B1091:B1128,B1096-24)+in_hlth_small_renew^3*SUMIFS(AF1091:AF1128,B1091:B1128,B1096-36)+in_hlth_small_renew^4*SUMIFS(AF1091:AF1128,B1091:B1128,B1096-48))</f>
        <v/>
      </c>
      <c r="AH1096" s="40">
        <f>AH1095*(1-IF(B1095&gt;=in_marketplace_from,d_hz_hlth_family*G1095,0))</f>
        <v/>
      </c>
      <c r="AI1096" s="46">
        <f>AH1096*IF(B1096&gt;=in_marketplace_from,d_hz_hlth_family*G1096,0)</f>
        <v/>
      </c>
      <c r="AJ1096" s="14">
        <f>F1096*AI1096*in_hlth_family_ticket*in_hlth_family_comm*in_ins_partner_share+F1096*in_hlth_family_ticket*in_hlth_family_renew_comm*in_ins_partner_share*(in_hlth_family_renew^1*SUMIFS(AI1091:AI1128,B1091:B1128,B1096-12)+in_hlth_family_renew^2*SUMIFS(AI1091:AI1128,B1091:B1128,B1096-24)+in_hlth_family_renew^3*SUMIFS(AI1091:AI1128,B1091:B1128,B1096-36)+in_hlth_family_renew^4*SUMIFS(AI1091:AI1128,B1091:B1128,B1096-48))</f>
        <v/>
      </c>
      <c r="AK1096" s="40">
        <f>AK1095*(1-IF(B1095&gt;=in_marketplace_from,d_hz_life_term*G1095,0))</f>
        <v/>
      </c>
      <c r="AL1096" s="46">
        <f>AK1096*IF(B1096&gt;=in_marketplace_from,d_hz_life_term*G1096,0)</f>
        <v/>
      </c>
      <c r="AM1096" s="14">
        <f>F1096*AL1096*in_life_term_ticket*in_life_term_comm*in_ins_partner_share+F1096*in_life_term_ticket*in_life_term_renew_comm*in_ins_partner_share*(in_life_term_renew^1*SUMIFS(AL1091:AL1128,B1091:B1128,B1096-12)+in_life_term_renew^2*SUMIFS(AL1091:AL1128,B1091:B1128,B1096-24)+in_life_term_renew^3*SUMIFS(AL1091:AL1128,B1091:B1128,B1096-36)+in_life_term_renew^4*SUMIFS(AL1091:AL1128,B1091:B1128,B1096-48))</f>
        <v/>
      </c>
      <c r="AN1096" s="40">
        <f>AN1095*(1-IF(B1095&gt;=in_marketplace_from,d_hz_accident*G1095,0))</f>
        <v/>
      </c>
      <c r="AO1096" s="46">
        <f>AN1096*IF(B1096&gt;=in_marketplace_from,d_hz_accident*G1096,0)</f>
        <v/>
      </c>
      <c r="AP1096" s="14">
        <f>F1096*AO1096*in_accident_ticket*in_accident_comm*in_ins_partner_share+F1096*in_accident_ticket*in_accident_renew_comm*in_ins_partner_share*(in_accident_renew^1*SUMIFS(AO1091:AO1128,B1091:B1128,B1096-12)+in_accident_renew^2*SUMIFS(AO1091:AO1128,B1091:B1128,B1096-24)+in_accident_renew^3*SUMIFS(AO1091:AO1128,B1091:B1128,B1096-36)+in_accident_renew^4*SUMIFS(AO1091:AO1128,B1091:B1128,B1096-48))</f>
        <v/>
      </c>
      <c r="AQ1096" s="40">
        <f>AQ1095*(1-IF(B1095&gt;=in_marketplace_from,d_hz_two_wheeler*G1095,0))</f>
        <v/>
      </c>
      <c r="AR1096" s="46">
        <f>AQ1096*IF(B1096&gt;=in_marketplace_from,d_hz_two_wheeler*G1096,0)</f>
        <v/>
      </c>
      <c r="AS1096" s="14">
        <f>F1096*AR1096*in_two_wheeler_ticket*in_two_wheeler_comm*in_ins_partner_share+F1096*in_two_wheeler_ticket*in_two_wheeler_comm*in_ins_partner_share*(in_two_wheeler_renew^1*SUMIFS(AR1091:AR1128,B1091:B1128,B1096-12)+in_two_wheeler_renew^2*SUMIFS(AR1091:AR1128,B1091:B1128,B1096-24)+in_two_wheeler_renew^3*SUMIFS(AR1091:AR1128,B1091:B1128,B1096-36)+in_two_wheeler_renew^4*SUMIFS(AR1091:AR1128,B1091:B1128,B1096-48))</f>
        <v/>
      </c>
      <c r="AT1096" s="40">
        <f>AT1095*(1-IF(B1095&gt;=in_marketplace_from,d_hz_device*G1095,0))</f>
        <v/>
      </c>
      <c r="AU1096" s="14">
        <f>F1096*AT1096*IF(B1096&gt;=in_marketplace_from,d_hz_device*G1096,0)*in_device_ticket*in_device_comm*in_ins_partner_share</f>
        <v/>
      </c>
      <c r="AV1096" s="40">
        <f>AV1095*(1-IF(B1095&gt;=in_marketplace_from,d_hz_shop*G1095,0))</f>
        <v/>
      </c>
      <c r="AW1096" s="46">
        <f>AV1096*IF(B1096&gt;=in_marketplace_from,d_hz_shop*G1096,0)</f>
        <v/>
      </c>
      <c r="AX1096" s="14">
        <f>F1096*AW1096*in_shop_ticket*in_shop_comm*in_ins_partner_share+F1096*in_shop_ticket*in_shop_renew_comm*in_ins_partner_share*(in_shop_renew^1*SUMIFS(AW1091:AW1128,B1091:B1128,B1096-12)+in_shop_renew^2*SUMIFS(AW1091:AW1128,B1091:B1128,B1096-24)+in_shop_renew^3*SUMIFS(AW1091:AW1128,B1091:B1128,B1096-36)+in_shop_renew^4*SUMIFS(AW1091:AW1128,B1091:B1128,B1096-48))</f>
        <v/>
      </c>
      <c r="AY1096" s="40">
        <f>AY1095*(1-IF(B1095&gt;=in_marketplace_from,d_hz_sip*G1095,0))</f>
        <v/>
      </c>
      <c r="AZ1096" s="40">
        <f>AZ1095*d_rho_sip+AY1096*IF(B1096&gt;=in_marketplace_from,d_hz_sip*G1096,0)</f>
        <v/>
      </c>
      <c r="BA1096" s="40">
        <f>d_rho_sip*(BA1095+AZ1095)</f>
        <v/>
      </c>
      <c r="BB1096" s="14">
        <f>F1096*in_sip_ticket*(BA1096+0.5*AZ1096)*in_sip_comm/12</f>
        <v/>
      </c>
      <c r="BC1096" s="40">
        <f>BC1095*(1-IF(B1095&gt;=in_marketplace_from,d_hz_choti*G1095,0))</f>
        <v/>
      </c>
      <c r="BD1096" s="46">
        <f>BC1096*IF(B1096&gt;=in_marketplace_from,d_hz_choti*G1096,0)</f>
        <v/>
      </c>
      <c r="BE1096" s="14">
        <f>F1096*SUMIFS(BD1091:BD1128,B1091:B1128,B1096-in_choti_months)*in_choti_renew*in_choti_ticket</f>
        <v/>
      </c>
      <c r="BF1096" s="40">
        <f>BF1095*(1-IF(B1095&gt;=in_marketplace_from,d_hz_nps*G1095,0))</f>
        <v/>
      </c>
      <c r="BG1096" s="14">
        <f>F1096*BF1096*IF(B1096&gt;=in_marketplace_from,d_hz_nps*G1096,0)*in_nps_ticket*in_nps_comm</f>
        <v/>
      </c>
      <c r="BH1096" s="40">
        <f>BH1095*(1-IF(B1095&gt;=in_marketplace_from,d_hz_gold*G1095,0))</f>
        <v/>
      </c>
      <c r="BI1096" s="40">
        <f>BI1095*d_rho_gold+BH1096*IF(B1096&gt;=in_marketplace_from,d_hz_gold*G1096,0)</f>
        <v/>
      </c>
      <c r="BJ1096" s="14">
        <f>F1096*BI1096*in_gold_ticket*in_gold_comm</f>
        <v/>
      </c>
      <c r="BK1096" s="40">
        <f>BK1095*(1-IF(B1095&gt;=in_marketplace_from,d_hz_fd*G1095,0))</f>
        <v/>
      </c>
      <c r="BL1096" s="14">
        <f>F1096*BK1096*IF(B1096&gt;=in_marketplace_from,d_hz_fd*G1096,0)*in_fd_ticket*in_fd_comm</f>
        <v/>
      </c>
      <c r="BM1096" s="40">
        <f>BM1095*(1-IF(B1095&gt;=in_marketplace_from,d_hz_recharge*G1095,0))</f>
        <v/>
      </c>
      <c r="BN1096" s="40">
        <f>BN1095*d_rho_recharge+BM1096*IF(B1096&gt;=in_marketplace_from,d_hz_recharge*G1096,0)</f>
        <v/>
      </c>
      <c r="BO1096" s="14">
        <f>F1096*BN1096*in_recharge_ticket*in_recharge_comm/12</f>
        <v/>
      </c>
      <c r="BP1096" s="40">
        <f>BP1095*(1-IF(B1095&gt;=in_marketplace_from,d_hz_bills*G1095,0))</f>
        <v/>
      </c>
      <c r="BQ1096" s="40">
        <f>BQ1095*d_rho_bills+BP1096*IF(B1096&gt;=in_marketplace_from,d_hz_bills*G1096,0)</f>
        <v/>
      </c>
      <c r="BR1096" s="14">
        <f>F1096*BQ1096*in_bills_ticket*in_bills_comm/12</f>
        <v/>
      </c>
      <c r="BS1096" s="40">
        <f>BS1095*(1-IF(B1095&gt;=in_marketplace_from,d_hz_loan_gold*G1095,0))</f>
        <v/>
      </c>
      <c r="BT1096" s="14">
        <f>F1096*BS1096*IF(B1096&gt;=in_marketplace_from,d_hz_loan_gold*G1096,0)*in_loan_gold_ticket*in_loan_gold_comm</f>
        <v/>
      </c>
      <c r="BU1096" s="40">
        <f>BU1095*(1-IF(B1095&gt;=in_marketplace_from,d_hz_loan_cd*G1095,0))</f>
        <v/>
      </c>
      <c r="BV1096" s="14">
        <f>F1096*BU1096*IF(B1096&gt;=in_marketplace_from,d_hz_loan_cd*G1096,0)*in_loan_cd_ticket*in_loan_cd_comm</f>
        <v/>
      </c>
      <c r="BW1096" s="40">
        <f>BW1095*(1-IF(B1095&gt;=in_marketplace_from,d_hz_loan_vehicle*G1095,0))</f>
        <v/>
      </c>
      <c r="BX1096" s="14">
        <f>F1096*BW1096*IF(B1096&gt;=in_marketplace_from,d_hz_loan_vehicle*G1096,0)*in_loan_vehicle_ticket*in_loan_vehicle_comm</f>
        <v/>
      </c>
      <c r="BY1096" s="40">
        <f>BY1095*(1-IF(B1095&gt;=in_marketplace_from,d_hz_loan_home*G1095,0)*BZ1095)</f>
        <v/>
      </c>
      <c r="BZ1096" s="11">
        <f>MIN(in_approval_cap,in_loan_home_approval*INDEX('Age profile'!$O$2:$O$61,B1096)*(1+in_approval_growth)^(D1096-1))</f>
        <v/>
      </c>
      <c r="CA1096" s="14">
        <f>F1096*BY1096*IF(B1096&gt;=in_marketplace_from,d_hz_loan_home*G1096,0)*BZ1096*in_loan_home_ticket*in_loan_home_comm</f>
        <v/>
      </c>
      <c r="CB1096" s="40">
        <f>CB1095*(1-IF(B1095&gt;=in_marketplace_from,d_hz_loan_lap*G1095,0)*CC1095)</f>
        <v/>
      </c>
      <c r="CC1096" s="11">
        <f>MIN(in_approval_cap,in_loan_lap_approval*INDEX('Age profile'!$O$2:$O$61,B1096)*(1+in_approval_growth)^(D1096-1))</f>
        <v/>
      </c>
      <c r="CD1096" s="14">
        <f>F1096*CB1096*IF(B1096&gt;=in_marketplace_from,d_hz_loan_lap*G1096,0)*CC1096*in_loan_lap_ticket*in_loan_lap_comm</f>
        <v/>
      </c>
      <c r="CE1096" s="14">
        <f>AA1096+AB1096+AC1096+AD1096+AG1096+AJ1096+AM1096+AP1096+AS1096+AU1096+AX1096+BB1096+BE1096+BG1096+BJ1096+BL1096+BO1096+BR1096+BT1096+BV1096+BX1096+CA1096+CD1096</f>
        <v/>
      </c>
    </row>
    <row r="1097">
      <c r="A1097" s="39" t="n">
        <v>23</v>
      </c>
      <c r="B1097" s="39" t="n">
        <v>7</v>
      </c>
      <c r="C1097" s="39">
        <f>A1097+B1097-1</f>
        <v/>
      </c>
      <c r="D1097" s="39">
        <f>INT((C1097-1)/12)+1</f>
        <v/>
      </c>
      <c r="E1097" s="44">
        <f>INDEX(Monthly!$B$2:$B$61,A1097)</f>
        <v/>
      </c>
      <c r="F1097" s="44">
        <f>E1097*INDEX('Age profile'!$B$2:$B$61,B1097)</f>
        <v/>
      </c>
      <c r="G1097" s="45">
        <f>MIN(in_takeup_cap,INDEX('Age profile'!$N$2:$N$61,B1097)*(1+in_takeup_growth)^(D1097-1))</f>
        <v/>
      </c>
      <c r="H1097" s="11">
        <f>MIN(in_approval_cap,in_approved_first*INDEX('Age profile'!$O$2:$O$61,B1097)*(1+in_approval_growth)^(D1097-1))</f>
        <v/>
      </c>
      <c r="I1097" s="45">
        <f>G1097*MIN(in_takeup_cap,INDEX('Age profile'!$O$2:$O$61,B1097)*(1+in_approval_growth)^(D1097-1))</f>
        <v/>
      </c>
      <c r="J1097" s="40">
        <f>(J1096-L1096)*F1097/F1096</f>
        <v/>
      </c>
      <c r="K1097" s="40">
        <f>(K1096-M1096)*F1097/F1096+SUMIFS(O1091:O1096,B1091:B1096,B1097-1-d_T)*F1097</f>
        <v/>
      </c>
      <c r="L1097" s="40">
        <f>IF(B1097&gt;=in_marketplace_from,J1097*d_hz*G1097*in_eligible*H1097,0)</f>
        <v/>
      </c>
      <c r="M1097" s="40">
        <f>IF(B1097&gt;=in_marketplace_from,K1097*d_hz*G1097*in_eligible*in_approved_repeat,0)</f>
        <v/>
      </c>
      <c r="N1097" s="40">
        <f>L1097+M1097</f>
        <v/>
      </c>
      <c r="O1097" s="46">
        <f>N1097/F1097</f>
        <v/>
      </c>
      <c r="P1097" s="40">
        <f>F1097-J1097-K1097</f>
        <v/>
      </c>
      <c r="Q1097" s="40">
        <f>IF(B1097&gt;=in_marketplace_from,(J1097+K1097)*d_hz*G1097,0)</f>
        <v/>
      </c>
      <c r="R1097" s="40">
        <f>SUMIFS(N1091:N1128,B1091:B1128,"&gt;="&amp;(B1097-d_T),B1091:B1128,"&lt;="&amp;(B1097-1))</f>
        <v/>
      </c>
      <c r="S1097" s="46">
        <f>(1-d_u)*S1096+IF(d_T&gt;in_topup_lag,SUMIFS(O1091:O1128,B1091:B1128,B1097-in_topup_lag)-d_udrop*SUMIFS(O1091:O1128,B1091:B1128,B1097-d_T),0)</f>
        <v/>
      </c>
      <c r="T1097" s="40">
        <f>F1097*d_u*S1097</f>
        <v/>
      </c>
      <c r="U1097" s="9">
        <f>L1097*in_ticket+M1097*d_rep_ticket</f>
        <v/>
      </c>
      <c r="V1097" s="9">
        <f>U1097+T1097*d_topup_amt</f>
        <v/>
      </c>
      <c r="W1097" s="40">
        <f>N1097+T1097*d_topup_ratio</f>
        <v/>
      </c>
      <c r="X1097" s="40">
        <f>SUMIFS(W1091:W1128,B1091:B1128,B1097-in_dpd_lag)*d_cured</f>
        <v/>
      </c>
      <c r="Y1097" s="40">
        <f>SUMIFS(W1091:W1128,B1091:B1128,B1097-in_rec_lag)*d_recd</f>
        <v/>
      </c>
      <c r="Z1097" s="40">
        <f>IF(AND(B1097&gt;=in_marketplace_from,B1097&lt;in_marketplace_from+in_card_months),in_card_share/in_card_months*F1097*I1097,IF(AND(B1097&gt;=in_marketplace_from+in_card_months,B1097&lt;in_marketplace_from+2*in_card_months),in_card_share*d_card_rem/in_card_months*F1097*MIN(in_takeup_cap,(1+in_takeup_growth)^(D1097-1))*MIN(in_takeup_cap,(1+in_approval_growth)^(D1097-1)),0))</f>
        <v/>
      </c>
      <c r="AA1097" s="14">
        <f>V1097*in_fee*(1-in_taken_back)</f>
        <v/>
      </c>
      <c r="AB1097" s="14">
        <f>SUMIFS(W1091:W1128,B1091:B1128,B1097-in_dpd_lag)*d_dpd</f>
        <v/>
      </c>
      <c r="AC1097" s="14">
        <f>SUMIFS(W1091:W1128,B1091:B1128,B1097-in_rec_lag)*d_rec</f>
        <v/>
      </c>
      <c r="AD1097" s="14">
        <f>Z1097*in_card_fee</f>
        <v/>
      </c>
      <c r="AE1097" s="40">
        <f>AE1096*(1-IF(B1096&gt;=in_marketplace_from,d_hz_hlth_small*G1096,0))</f>
        <v/>
      </c>
      <c r="AF1097" s="46">
        <f>AE1097*IF(B1097&gt;=in_marketplace_from,d_hz_hlth_small*G1097,0)</f>
        <v/>
      </c>
      <c r="AG1097" s="14">
        <f>F1097*AF1097*in_hlth_small_ticket*in_hlth_small_comm*in_ins_partner_share+F1097*in_hlth_small_ticket*in_hlth_small_renew_comm*in_ins_partner_share*(in_hlth_small_renew^1*SUMIFS(AF1091:AF1128,B1091:B1128,B1097-12)+in_hlth_small_renew^2*SUMIFS(AF1091:AF1128,B1091:B1128,B1097-24)+in_hlth_small_renew^3*SUMIFS(AF1091:AF1128,B1091:B1128,B1097-36)+in_hlth_small_renew^4*SUMIFS(AF1091:AF1128,B1091:B1128,B1097-48))</f>
        <v/>
      </c>
      <c r="AH1097" s="40">
        <f>AH1096*(1-IF(B1096&gt;=in_marketplace_from,d_hz_hlth_family*G1096,0))</f>
        <v/>
      </c>
      <c r="AI1097" s="46">
        <f>AH1097*IF(B1097&gt;=in_marketplace_from,d_hz_hlth_family*G1097,0)</f>
        <v/>
      </c>
      <c r="AJ1097" s="14">
        <f>F1097*AI1097*in_hlth_family_ticket*in_hlth_family_comm*in_ins_partner_share+F1097*in_hlth_family_ticket*in_hlth_family_renew_comm*in_ins_partner_share*(in_hlth_family_renew^1*SUMIFS(AI1091:AI1128,B1091:B1128,B1097-12)+in_hlth_family_renew^2*SUMIFS(AI1091:AI1128,B1091:B1128,B1097-24)+in_hlth_family_renew^3*SUMIFS(AI1091:AI1128,B1091:B1128,B1097-36)+in_hlth_family_renew^4*SUMIFS(AI1091:AI1128,B1091:B1128,B1097-48))</f>
        <v/>
      </c>
      <c r="AK1097" s="40">
        <f>AK1096*(1-IF(B1096&gt;=in_marketplace_from,d_hz_life_term*G1096,0))</f>
        <v/>
      </c>
      <c r="AL1097" s="46">
        <f>AK1097*IF(B1097&gt;=in_marketplace_from,d_hz_life_term*G1097,0)</f>
        <v/>
      </c>
      <c r="AM1097" s="14">
        <f>F1097*AL1097*in_life_term_ticket*in_life_term_comm*in_ins_partner_share+F1097*in_life_term_ticket*in_life_term_renew_comm*in_ins_partner_share*(in_life_term_renew^1*SUMIFS(AL1091:AL1128,B1091:B1128,B1097-12)+in_life_term_renew^2*SUMIFS(AL1091:AL1128,B1091:B1128,B1097-24)+in_life_term_renew^3*SUMIFS(AL1091:AL1128,B1091:B1128,B1097-36)+in_life_term_renew^4*SUMIFS(AL1091:AL1128,B1091:B1128,B1097-48))</f>
        <v/>
      </c>
      <c r="AN1097" s="40">
        <f>AN1096*(1-IF(B1096&gt;=in_marketplace_from,d_hz_accident*G1096,0))</f>
        <v/>
      </c>
      <c r="AO1097" s="46">
        <f>AN1097*IF(B1097&gt;=in_marketplace_from,d_hz_accident*G1097,0)</f>
        <v/>
      </c>
      <c r="AP1097" s="14">
        <f>F1097*AO1097*in_accident_ticket*in_accident_comm*in_ins_partner_share+F1097*in_accident_ticket*in_accident_renew_comm*in_ins_partner_share*(in_accident_renew^1*SUMIFS(AO1091:AO1128,B1091:B1128,B1097-12)+in_accident_renew^2*SUMIFS(AO1091:AO1128,B1091:B1128,B1097-24)+in_accident_renew^3*SUMIFS(AO1091:AO1128,B1091:B1128,B1097-36)+in_accident_renew^4*SUMIFS(AO1091:AO1128,B1091:B1128,B1097-48))</f>
        <v/>
      </c>
      <c r="AQ1097" s="40">
        <f>AQ1096*(1-IF(B1096&gt;=in_marketplace_from,d_hz_two_wheeler*G1096,0))</f>
        <v/>
      </c>
      <c r="AR1097" s="46">
        <f>AQ1097*IF(B1097&gt;=in_marketplace_from,d_hz_two_wheeler*G1097,0)</f>
        <v/>
      </c>
      <c r="AS1097" s="14">
        <f>F1097*AR1097*in_two_wheeler_ticket*in_two_wheeler_comm*in_ins_partner_share+F1097*in_two_wheeler_ticket*in_two_wheeler_comm*in_ins_partner_share*(in_two_wheeler_renew^1*SUMIFS(AR1091:AR1128,B1091:B1128,B1097-12)+in_two_wheeler_renew^2*SUMIFS(AR1091:AR1128,B1091:B1128,B1097-24)+in_two_wheeler_renew^3*SUMIFS(AR1091:AR1128,B1091:B1128,B1097-36)+in_two_wheeler_renew^4*SUMIFS(AR1091:AR1128,B1091:B1128,B1097-48))</f>
        <v/>
      </c>
      <c r="AT1097" s="40">
        <f>AT1096*(1-IF(B1096&gt;=in_marketplace_from,d_hz_device*G1096,0))</f>
        <v/>
      </c>
      <c r="AU1097" s="14">
        <f>F1097*AT1097*IF(B1097&gt;=in_marketplace_from,d_hz_device*G1097,0)*in_device_ticket*in_device_comm*in_ins_partner_share</f>
        <v/>
      </c>
      <c r="AV1097" s="40">
        <f>AV1096*(1-IF(B1096&gt;=in_marketplace_from,d_hz_shop*G1096,0))</f>
        <v/>
      </c>
      <c r="AW1097" s="46">
        <f>AV1097*IF(B1097&gt;=in_marketplace_from,d_hz_shop*G1097,0)</f>
        <v/>
      </c>
      <c r="AX1097" s="14">
        <f>F1097*AW1097*in_shop_ticket*in_shop_comm*in_ins_partner_share+F1097*in_shop_ticket*in_shop_renew_comm*in_ins_partner_share*(in_shop_renew^1*SUMIFS(AW1091:AW1128,B1091:B1128,B1097-12)+in_shop_renew^2*SUMIFS(AW1091:AW1128,B1091:B1128,B1097-24)+in_shop_renew^3*SUMIFS(AW1091:AW1128,B1091:B1128,B1097-36)+in_shop_renew^4*SUMIFS(AW1091:AW1128,B1091:B1128,B1097-48))</f>
        <v/>
      </c>
      <c r="AY1097" s="40">
        <f>AY1096*(1-IF(B1096&gt;=in_marketplace_from,d_hz_sip*G1096,0))</f>
        <v/>
      </c>
      <c r="AZ1097" s="40">
        <f>AZ1096*d_rho_sip+AY1097*IF(B1097&gt;=in_marketplace_from,d_hz_sip*G1097,0)</f>
        <v/>
      </c>
      <c r="BA1097" s="40">
        <f>d_rho_sip*(BA1096+AZ1096)</f>
        <v/>
      </c>
      <c r="BB1097" s="14">
        <f>F1097*in_sip_ticket*(BA1097+0.5*AZ1097)*in_sip_comm/12</f>
        <v/>
      </c>
      <c r="BC1097" s="40">
        <f>BC1096*(1-IF(B1096&gt;=in_marketplace_from,d_hz_choti*G1096,0))</f>
        <v/>
      </c>
      <c r="BD1097" s="46">
        <f>BC1097*IF(B1097&gt;=in_marketplace_from,d_hz_choti*G1097,0)</f>
        <v/>
      </c>
      <c r="BE1097" s="14">
        <f>F1097*SUMIFS(BD1091:BD1128,B1091:B1128,B1097-in_choti_months)*in_choti_renew*in_choti_ticket</f>
        <v/>
      </c>
      <c r="BF1097" s="40">
        <f>BF1096*(1-IF(B1096&gt;=in_marketplace_from,d_hz_nps*G1096,0))</f>
        <v/>
      </c>
      <c r="BG1097" s="14">
        <f>F1097*BF1097*IF(B1097&gt;=in_marketplace_from,d_hz_nps*G1097,0)*in_nps_ticket*in_nps_comm</f>
        <v/>
      </c>
      <c r="BH1097" s="40">
        <f>BH1096*(1-IF(B1096&gt;=in_marketplace_from,d_hz_gold*G1096,0))</f>
        <v/>
      </c>
      <c r="BI1097" s="40">
        <f>BI1096*d_rho_gold+BH1097*IF(B1097&gt;=in_marketplace_from,d_hz_gold*G1097,0)</f>
        <v/>
      </c>
      <c r="BJ1097" s="14">
        <f>F1097*BI1097*in_gold_ticket*in_gold_comm</f>
        <v/>
      </c>
      <c r="BK1097" s="40">
        <f>BK1096*(1-IF(B1096&gt;=in_marketplace_from,d_hz_fd*G1096,0))</f>
        <v/>
      </c>
      <c r="BL1097" s="14">
        <f>F1097*BK1097*IF(B1097&gt;=in_marketplace_from,d_hz_fd*G1097,0)*in_fd_ticket*in_fd_comm</f>
        <v/>
      </c>
      <c r="BM1097" s="40">
        <f>BM1096*(1-IF(B1096&gt;=in_marketplace_from,d_hz_recharge*G1096,0))</f>
        <v/>
      </c>
      <c r="BN1097" s="40">
        <f>BN1096*d_rho_recharge+BM1097*IF(B1097&gt;=in_marketplace_from,d_hz_recharge*G1097,0)</f>
        <v/>
      </c>
      <c r="BO1097" s="14">
        <f>F1097*BN1097*in_recharge_ticket*in_recharge_comm/12</f>
        <v/>
      </c>
      <c r="BP1097" s="40">
        <f>BP1096*(1-IF(B1096&gt;=in_marketplace_from,d_hz_bills*G1096,0))</f>
        <v/>
      </c>
      <c r="BQ1097" s="40">
        <f>BQ1096*d_rho_bills+BP1097*IF(B1097&gt;=in_marketplace_from,d_hz_bills*G1097,0)</f>
        <v/>
      </c>
      <c r="BR1097" s="14">
        <f>F1097*BQ1097*in_bills_ticket*in_bills_comm/12</f>
        <v/>
      </c>
      <c r="BS1097" s="40">
        <f>BS1096*(1-IF(B1096&gt;=in_marketplace_from,d_hz_loan_gold*G1096,0))</f>
        <v/>
      </c>
      <c r="BT1097" s="14">
        <f>F1097*BS1097*IF(B1097&gt;=in_marketplace_from,d_hz_loan_gold*G1097,0)*in_loan_gold_ticket*in_loan_gold_comm</f>
        <v/>
      </c>
      <c r="BU1097" s="40">
        <f>BU1096*(1-IF(B1096&gt;=in_marketplace_from,d_hz_loan_cd*G1096,0))</f>
        <v/>
      </c>
      <c r="BV1097" s="14">
        <f>F1097*BU1097*IF(B1097&gt;=in_marketplace_from,d_hz_loan_cd*G1097,0)*in_loan_cd_ticket*in_loan_cd_comm</f>
        <v/>
      </c>
      <c r="BW1097" s="40">
        <f>BW1096*(1-IF(B1096&gt;=in_marketplace_from,d_hz_loan_vehicle*G1096,0))</f>
        <v/>
      </c>
      <c r="BX1097" s="14">
        <f>F1097*BW1097*IF(B1097&gt;=in_marketplace_from,d_hz_loan_vehicle*G1097,0)*in_loan_vehicle_ticket*in_loan_vehicle_comm</f>
        <v/>
      </c>
      <c r="BY1097" s="40">
        <f>BY1096*(1-IF(B1096&gt;=in_marketplace_from,d_hz_loan_home*G1096,0)*BZ1096)</f>
        <v/>
      </c>
      <c r="BZ1097" s="11">
        <f>MIN(in_approval_cap,in_loan_home_approval*INDEX('Age profile'!$O$2:$O$61,B1097)*(1+in_approval_growth)^(D1097-1))</f>
        <v/>
      </c>
      <c r="CA1097" s="14">
        <f>F1097*BY1097*IF(B1097&gt;=in_marketplace_from,d_hz_loan_home*G1097,0)*BZ1097*in_loan_home_ticket*in_loan_home_comm</f>
        <v/>
      </c>
      <c r="CB1097" s="40">
        <f>CB1096*(1-IF(B1096&gt;=in_marketplace_from,d_hz_loan_lap*G1096,0)*CC1096)</f>
        <v/>
      </c>
      <c r="CC1097" s="11">
        <f>MIN(in_approval_cap,in_loan_lap_approval*INDEX('Age profile'!$O$2:$O$61,B1097)*(1+in_approval_growth)^(D1097-1))</f>
        <v/>
      </c>
      <c r="CD1097" s="14">
        <f>F1097*CB1097*IF(B1097&gt;=in_marketplace_from,d_hz_loan_lap*G1097,0)*CC1097*in_loan_lap_ticket*in_loan_lap_comm</f>
        <v/>
      </c>
      <c r="CE1097" s="14">
        <f>AA1097+AB1097+AC1097+AD1097+AG1097+AJ1097+AM1097+AP1097+AS1097+AU1097+AX1097+BB1097+BE1097+BG1097+BJ1097+BL1097+BO1097+BR1097+BT1097+BV1097+BX1097+CA1097+CD1097</f>
        <v/>
      </c>
    </row>
    <row r="1098">
      <c r="A1098" s="39" t="n">
        <v>23</v>
      </c>
      <c r="B1098" s="39" t="n">
        <v>8</v>
      </c>
      <c r="C1098" s="39">
        <f>A1098+B1098-1</f>
        <v/>
      </c>
      <c r="D1098" s="39">
        <f>INT((C1098-1)/12)+1</f>
        <v/>
      </c>
      <c r="E1098" s="44">
        <f>INDEX(Monthly!$B$2:$B$61,A1098)</f>
        <v/>
      </c>
      <c r="F1098" s="44">
        <f>E1098*INDEX('Age profile'!$B$2:$B$61,B1098)</f>
        <v/>
      </c>
      <c r="G1098" s="45">
        <f>MIN(in_takeup_cap,INDEX('Age profile'!$N$2:$N$61,B1098)*(1+in_takeup_growth)^(D1098-1))</f>
        <v/>
      </c>
      <c r="H1098" s="11">
        <f>MIN(in_approval_cap,in_approved_first*INDEX('Age profile'!$O$2:$O$61,B1098)*(1+in_approval_growth)^(D1098-1))</f>
        <v/>
      </c>
      <c r="I1098" s="45">
        <f>G1098*MIN(in_takeup_cap,INDEX('Age profile'!$O$2:$O$61,B1098)*(1+in_approval_growth)^(D1098-1))</f>
        <v/>
      </c>
      <c r="J1098" s="40">
        <f>(J1097-L1097)*F1098/F1097</f>
        <v/>
      </c>
      <c r="K1098" s="40">
        <f>(K1097-M1097)*F1098/F1097+SUMIFS(O1091:O1097,B1091:B1097,B1098-1-d_T)*F1098</f>
        <v/>
      </c>
      <c r="L1098" s="40">
        <f>IF(B1098&gt;=in_marketplace_from,J1098*d_hz*G1098*in_eligible*H1098,0)</f>
        <v/>
      </c>
      <c r="M1098" s="40">
        <f>IF(B1098&gt;=in_marketplace_from,K1098*d_hz*G1098*in_eligible*in_approved_repeat,0)</f>
        <v/>
      </c>
      <c r="N1098" s="40">
        <f>L1098+M1098</f>
        <v/>
      </c>
      <c r="O1098" s="46">
        <f>N1098/F1098</f>
        <v/>
      </c>
      <c r="P1098" s="40">
        <f>F1098-J1098-K1098</f>
        <v/>
      </c>
      <c r="Q1098" s="40">
        <f>IF(B1098&gt;=in_marketplace_from,(J1098+K1098)*d_hz*G1098,0)</f>
        <v/>
      </c>
      <c r="R1098" s="40">
        <f>SUMIFS(N1091:N1128,B1091:B1128,"&gt;="&amp;(B1098-d_T),B1091:B1128,"&lt;="&amp;(B1098-1))</f>
        <v/>
      </c>
      <c r="S1098" s="46">
        <f>(1-d_u)*S1097+IF(d_T&gt;in_topup_lag,SUMIFS(O1091:O1128,B1091:B1128,B1098-in_topup_lag)-d_udrop*SUMIFS(O1091:O1128,B1091:B1128,B1098-d_T),0)</f>
        <v/>
      </c>
      <c r="T1098" s="40">
        <f>F1098*d_u*S1098</f>
        <v/>
      </c>
      <c r="U1098" s="9">
        <f>L1098*in_ticket+M1098*d_rep_ticket</f>
        <v/>
      </c>
      <c r="V1098" s="9">
        <f>U1098+T1098*d_topup_amt</f>
        <v/>
      </c>
      <c r="W1098" s="40">
        <f>N1098+T1098*d_topup_ratio</f>
        <v/>
      </c>
      <c r="X1098" s="40">
        <f>SUMIFS(W1091:W1128,B1091:B1128,B1098-in_dpd_lag)*d_cured</f>
        <v/>
      </c>
      <c r="Y1098" s="40">
        <f>SUMIFS(W1091:W1128,B1091:B1128,B1098-in_rec_lag)*d_recd</f>
        <v/>
      </c>
      <c r="Z1098" s="40">
        <f>IF(AND(B1098&gt;=in_marketplace_from,B1098&lt;in_marketplace_from+in_card_months),in_card_share/in_card_months*F1098*I1098,IF(AND(B1098&gt;=in_marketplace_from+in_card_months,B1098&lt;in_marketplace_from+2*in_card_months),in_card_share*d_card_rem/in_card_months*F1098*MIN(in_takeup_cap,(1+in_takeup_growth)^(D1098-1))*MIN(in_takeup_cap,(1+in_approval_growth)^(D1098-1)),0))</f>
        <v/>
      </c>
      <c r="AA1098" s="14">
        <f>V1098*in_fee*(1-in_taken_back)</f>
        <v/>
      </c>
      <c r="AB1098" s="14">
        <f>SUMIFS(W1091:W1128,B1091:B1128,B1098-in_dpd_lag)*d_dpd</f>
        <v/>
      </c>
      <c r="AC1098" s="14">
        <f>SUMIFS(W1091:W1128,B1091:B1128,B1098-in_rec_lag)*d_rec</f>
        <v/>
      </c>
      <c r="AD1098" s="14">
        <f>Z1098*in_card_fee</f>
        <v/>
      </c>
      <c r="AE1098" s="40">
        <f>AE1097*(1-IF(B1097&gt;=in_marketplace_from,d_hz_hlth_small*G1097,0))</f>
        <v/>
      </c>
      <c r="AF1098" s="46">
        <f>AE1098*IF(B1098&gt;=in_marketplace_from,d_hz_hlth_small*G1098,0)</f>
        <v/>
      </c>
      <c r="AG1098" s="14">
        <f>F1098*AF1098*in_hlth_small_ticket*in_hlth_small_comm*in_ins_partner_share+F1098*in_hlth_small_ticket*in_hlth_small_renew_comm*in_ins_partner_share*(in_hlth_small_renew^1*SUMIFS(AF1091:AF1128,B1091:B1128,B1098-12)+in_hlth_small_renew^2*SUMIFS(AF1091:AF1128,B1091:B1128,B1098-24)+in_hlth_small_renew^3*SUMIFS(AF1091:AF1128,B1091:B1128,B1098-36)+in_hlth_small_renew^4*SUMIFS(AF1091:AF1128,B1091:B1128,B1098-48))</f>
        <v/>
      </c>
      <c r="AH1098" s="40">
        <f>AH1097*(1-IF(B1097&gt;=in_marketplace_from,d_hz_hlth_family*G1097,0))</f>
        <v/>
      </c>
      <c r="AI1098" s="46">
        <f>AH1098*IF(B1098&gt;=in_marketplace_from,d_hz_hlth_family*G1098,0)</f>
        <v/>
      </c>
      <c r="AJ1098" s="14">
        <f>F1098*AI1098*in_hlth_family_ticket*in_hlth_family_comm*in_ins_partner_share+F1098*in_hlth_family_ticket*in_hlth_family_renew_comm*in_ins_partner_share*(in_hlth_family_renew^1*SUMIFS(AI1091:AI1128,B1091:B1128,B1098-12)+in_hlth_family_renew^2*SUMIFS(AI1091:AI1128,B1091:B1128,B1098-24)+in_hlth_family_renew^3*SUMIFS(AI1091:AI1128,B1091:B1128,B1098-36)+in_hlth_family_renew^4*SUMIFS(AI1091:AI1128,B1091:B1128,B1098-48))</f>
        <v/>
      </c>
      <c r="AK1098" s="40">
        <f>AK1097*(1-IF(B1097&gt;=in_marketplace_from,d_hz_life_term*G1097,0))</f>
        <v/>
      </c>
      <c r="AL1098" s="46">
        <f>AK1098*IF(B1098&gt;=in_marketplace_from,d_hz_life_term*G1098,0)</f>
        <v/>
      </c>
      <c r="AM1098" s="14">
        <f>F1098*AL1098*in_life_term_ticket*in_life_term_comm*in_ins_partner_share+F1098*in_life_term_ticket*in_life_term_renew_comm*in_ins_partner_share*(in_life_term_renew^1*SUMIFS(AL1091:AL1128,B1091:B1128,B1098-12)+in_life_term_renew^2*SUMIFS(AL1091:AL1128,B1091:B1128,B1098-24)+in_life_term_renew^3*SUMIFS(AL1091:AL1128,B1091:B1128,B1098-36)+in_life_term_renew^4*SUMIFS(AL1091:AL1128,B1091:B1128,B1098-48))</f>
        <v/>
      </c>
      <c r="AN1098" s="40">
        <f>AN1097*(1-IF(B1097&gt;=in_marketplace_from,d_hz_accident*G1097,0))</f>
        <v/>
      </c>
      <c r="AO1098" s="46">
        <f>AN1098*IF(B1098&gt;=in_marketplace_from,d_hz_accident*G1098,0)</f>
        <v/>
      </c>
      <c r="AP1098" s="14">
        <f>F1098*AO1098*in_accident_ticket*in_accident_comm*in_ins_partner_share+F1098*in_accident_ticket*in_accident_renew_comm*in_ins_partner_share*(in_accident_renew^1*SUMIFS(AO1091:AO1128,B1091:B1128,B1098-12)+in_accident_renew^2*SUMIFS(AO1091:AO1128,B1091:B1128,B1098-24)+in_accident_renew^3*SUMIFS(AO1091:AO1128,B1091:B1128,B1098-36)+in_accident_renew^4*SUMIFS(AO1091:AO1128,B1091:B1128,B1098-48))</f>
        <v/>
      </c>
      <c r="AQ1098" s="40">
        <f>AQ1097*(1-IF(B1097&gt;=in_marketplace_from,d_hz_two_wheeler*G1097,0))</f>
        <v/>
      </c>
      <c r="AR1098" s="46">
        <f>AQ1098*IF(B1098&gt;=in_marketplace_from,d_hz_two_wheeler*G1098,0)</f>
        <v/>
      </c>
      <c r="AS1098" s="14">
        <f>F1098*AR1098*in_two_wheeler_ticket*in_two_wheeler_comm*in_ins_partner_share+F1098*in_two_wheeler_ticket*in_two_wheeler_comm*in_ins_partner_share*(in_two_wheeler_renew^1*SUMIFS(AR1091:AR1128,B1091:B1128,B1098-12)+in_two_wheeler_renew^2*SUMIFS(AR1091:AR1128,B1091:B1128,B1098-24)+in_two_wheeler_renew^3*SUMIFS(AR1091:AR1128,B1091:B1128,B1098-36)+in_two_wheeler_renew^4*SUMIFS(AR1091:AR1128,B1091:B1128,B1098-48))</f>
        <v/>
      </c>
      <c r="AT1098" s="40">
        <f>AT1097*(1-IF(B1097&gt;=in_marketplace_from,d_hz_device*G1097,0))</f>
        <v/>
      </c>
      <c r="AU1098" s="14">
        <f>F1098*AT1098*IF(B1098&gt;=in_marketplace_from,d_hz_device*G1098,0)*in_device_ticket*in_device_comm*in_ins_partner_share</f>
        <v/>
      </c>
      <c r="AV1098" s="40">
        <f>AV1097*(1-IF(B1097&gt;=in_marketplace_from,d_hz_shop*G1097,0))</f>
        <v/>
      </c>
      <c r="AW1098" s="46">
        <f>AV1098*IF(B1098&gt;=in_marketplace_from,d_hz_shop*G1098,0)</f>
        <v/>
      </c>
      <c r="AX1098" s="14">
        <f>F1098*AW1098*in_shop_ticket*in_shop_comm*in_ins_partner_share+F1098*in_shop_ticket*in_shop_renew_comm*in_ins_partner_share*(in_shop_renew^1*SUMIFS(AW1091:AW1128,B1091:B1128,B1098-12)+in_shop_renew^2*SUMIFS(AW1091:AW1128,B1091:B1128,B1098-24)+in_shop_renew^3*SUMIFS(AW1091:AW1128,B1091:B1128,B1098-36)+in_shop_renew^4*SUMIFS(AW1091:AW1128,B1091:B1128,B1098-48))</f>
        <v/>
      </c>
      <c r="AY1098" s="40">
        <f>AY1097*(1-IF(B1097&gt;=in_marketplace_from,d_hz_sip*G1097,0))</f>
        <v/>
      </c>
      <c r="AZ1098" s="40">
        <f>AZ1097*d_rho_sip+AY1098*IF(B1098&gt;=in_marketplace_from,d_hz_sip*G1098,0)</f>
        <v/>
      </c>
      <c r="BA1098" s="40">
        <f>d_rho_sip*(BA1097+AZ1097)</f>
        <v/>
      </c>
      <c r="BB1098" s="14">
        <f>F1098*in_sip_ticket*(BA1098+0.5*AZ1098)*in_sip_comm/12</f>
        <v/>
      </c>
      <c r="BC1098" s="40">
        <f>BC1097*(1-IF(B1097&gt;=in_marketplace_from,d_hz_choti*G1097,0))</f>
        <v/>
      </c>
      <c r="BD1098" s="46">
        <f>BC1098*IF(B1098&gt;=in_marketplace_from,d_hz_choti*G1098,0)</f>
        <v/>
      </c>
      <c r="BE1098" s="14">
        <f>F1098*SUMIFS(BD1091:BD1128,B1091:B1128,B1098-in_choti_months)*in_choti_renew*in_choti_ticket</f>
        <v/>
      </c>
      <c r="BF1098" s="40">
        <f>BF1097*(1-IF(B1097&gt;=in_marketplace_from,d_hz_nps*G1097,0))</f>
        <v/>
      </c>
      <c r="BG1098" s="14">
        <f>F1098*BF1098*IF(B1098&gt;=in_marketplace_from,d_hz_nps*G1098,0)*in_nps_ticket*in_nps_comm</f>
        <v/>
      </c>
      <c r="BH1098" s="40">
        <f>BH1097*(1-IF(B1097&gt;=in_marketplace_from,d_hz_gold*G1097,0))</f>
        <v/>
      </c>
      <c r="BI1098" s="40">
        <f>BI1097*d_rho_gold+BH1098*IF(B1098&gt;=in_marketplace_from,d_hz_gold*G1098,0)</f>
        <v/>
      </c>
      <c r="BJ1098" s="14">
        <f>F1098*BI1098*in_gold_ticket*in_gold_comm</f>
        <v/>
      </c>
      <c r="BK1098" s="40">
        <f>BK1097*(1-IF(B1097&gt;=in_marketplace_from,d_hz_fd*G1097,0))</f>
        <v/>
      </c>
      <c r="BL1098" s="14">
        <f>F1098*BK1098*IF(B1098&gt;=in_marketplace_from,d_hz_fd*G1098,0)*in_fd_ticket*in_fd_comm</f>
        <v/>
      </c>
      <c r="BM1098" s="40">
        <f>BM1097*(1-IF(B1097&gt;=in_marketplace_from,d_hz_recharge*G1097,0))</f>
        <v/>
      </c>
      <c r="BN1098" s="40">
        <f>BN1097*d_rho_recharge+BM1098*IF(B1098&gt;=in_marketplace_from,d_hz_recharge*G1098,0)</f>
        <v/>
      </c>
      <c r="BO1098" s="14">
        <f>F1098*BN1098*in_recharge_ticket*in_recharge_comm/12</f>
        <v/>
      </c>
      <c r="BP1098" s="40">
        <f>BP1097*(1-IF(B1097&gt;=in_marketplace_from,d_hz_bills*G1097,0))</f>
        <v/>
      </c>
      <c r="BQ1098" s="40">
        <f>BQ1097*d_rho_bills+BP1098*IF(B1098&gt;=in_marketplace_from,d_hz_bills*G1098,0)</f>
        <v/>
      </c>
      <c r="BR1098" s="14">
        <f>F1098*BQ1098*in_bills_ticket*in_bills_comm/12</f>
        <v/>
      </c>
      <c r="BS1098" s="40">
        <f>BS1097*(1-IF(B1097&gt;=in_marketplace_from,d_hz_loan_gold*G1097,0))</f>
        <v/>
      </c>
      <c r="BT1098" s="14">
        <f>F1098*BS1098*IF(B1098&gt;=in_marketplace_from,d_hz_loan_gold*G1098,0)*in_loan_gold_ticket*in_loan_gold_comm</f>
        <v/>
      </c>
      <c r="BU1098" s="40">
        <f>BU1097*(1-IF(B1097&gt;=in_marketplace_from,d_hz_loan_cd*G1097,0))</f>
        <v/>
      </c>
      <c r="BV1098" s="14">
        <f>F1098*BU1098*IF(B1098&gt;=in_marketplace_from,d_hz_loan_cd*G1098,0)*in_loan_cd_ticket*in_loan_cd_comm</f>
        <v/>
      </c>
      <c r="BW1098" s="40">
        <f>BW1097*(1-IF(B1097&gt;=in_marketplace_from,d_hz_loan_vehicle*G1097,0))</f>
        <v/>
      </c>
      <c r="BX1098" s="14">
        <f>F1098*BW1098*IF(B1098&gt;=in_marketplace_from,d_hz_loan_vehicle*G1098,0)*in_loan_vehicle_ticket*in_loan_vehicle_comm</f>
        <v/>
      </c>
      <c r="BY1098" s="40">
        <f>BY1097*(1-IF(B1097&gt;=in_marketplace_from,d_hz_loan_home*G1097,0)*BZ1097)</f>
        <v/>
      </c>
      <c r="BZ1098" s="11">
        <f>MIN(in_approval_cap,in_loan_home_approval*INDEX('Age profile'!$O$2:$O$61,B1098)*(1+in_approval_growth)^(D1098-1))</f>
        <v/>
      </c>
      <c r="CA1098" s="14">
        <f>F1098*BY1098*IF(B1098&gt;=in_marketplace_from,d_hz_loan_home*G1098,0)*BZ1098*in_loan_home_ticket*in_loan_home_comm</f>
        <v/>
      </c>
      <c r="CB1098" s="40">
        <f>CB1097*(1-IF(B1097&gt;=in_marketplace_from,d_hz_loan_lap*G1097,0)*CC1097)</f>
        <v/>
      </c>
      <c r="CC1098" s="11">
        <f>MIN(in_approval_cap,in_loan_lap_approval*INDEX('Age profile'!$O$2:$O$61,B1098)*(1+in_approval_growth)^(D1098-1))</f>
        <v/>
      </c>
      <c r="CD1098" s="14">
        <f>F1098*CB1098*IF(B1098&gt;=in_marketplace_from,d_hz_loan_lap*G1098,0)*CC1098*in_loan_lap_ticket*in_loan_lap_comm</f>
        <v/>
      </c>
      <c r="CE1098" s="14">
        <f>AA1098+AB1098+AC1098+AD1098+AG1098+AJ1098+AM1098+AP1098+AS1098+AU1098+AX1098+BB1098+BE1098+BG1098+BJ1098+BL1098+BO1098+BR1098+BT1098+BV1098+BX1098+CA1098+CD1098</f>
        <v/>
      </c>
    </row>
    <row r="1099">
      <c r="A1099" s="39" t="n">
        <v>23</v>
      </c>
      <c r="B1099" s="39" t="n">
        <v>9</v>
      </c>
      <c r="C1099" s="39">
        <f>A1099+B1099-1</f>
        <v/>
      </c>
      <c r="D1099" s="39">
        <f>INT((C1099-1)/12)+1</f>
        <v/>
      </c>
      <c r="E1099" s="44">
        <f>INDEX(Monthly!$B$2:$B$61,A1099)</f>
        <v/>
      </c>
      <c r="F1099" s="44">
        <f>E1099*INDEX('Age profile'!$B$2:$B$61,B1099)</f>
        <v/>
      </c>
      <c r="G1099" s="45">
        <f>MIN(in_takeup_cap,INDEX('Age profile'!$N$2:$N$61,B1099)*(1+in_takeup_growth)^(D1099-1))</f>
        <v/>
      </c>
      <c r="H1099" s="11">
        <f>MIN(in_approval_cap,in_approved_first*INDEX('Age profile'!$O$2:$O$61,B1099)*(1+in_approval_growth)^(D1099-1))</f>
        <v/>
      </c>
      <c r="I1099" s="45">
        <f>G1099*MIN(in_takeup_cap,INDEX('Age profile'!$O$2:$O$61,B1099)*(1+in_approval_growth)^(D1099-1))</f>
        <v/>
      </c>
      <c r="J1099" s="40">
        <f>(J1098-L1098)*F1099/F1098</f>
        <v/>
      </c>
      <c r="K1099" s="40">
        <f>(K1098-M1098)*F1099/F1098+SUMIFS(O1091:O1098,B1091:B1098,B1099-1-d_T)*F1099</f>
        <v/>
      </c>
      <c r="L1099" s="40">
        <f>IF(B1099&gt;=in_marketplace_from,J1099*d_hz*G1099*in_eligible*H1099,0)</f>
        <v/>
      </c>
      <c r="M1099" s="40">
        <f>IF(B1099&gt;=in_marketplace_from,K1099*d_hz*G1099*in_eligible*in_approved_repeat,0)</f>
        <v/>
      </c>
      <c r="N1099" s="40">
        <f>L1099+M1099</f>
        <v/>
      </c>
      <c r="O1099" s="46">
        <f>N1099/F1099</f>
        <v/>
      </c>
      <c r="P1099" s="40">
        <f>F1099-J1099-K1099</f>
        <v/>
      </c>
      <c r="Q1099" s="40">
        <f>IF(B1099&gt;=in_marketplace_from,(J1099+K1099)*d_hz*G1099,0)</f>
        <v/>
      </c>
      <c r="R1099" s="40">
        <f>SUMIFS(N1091:N1128,B1091:B1128,"&gt;="&amp;(B1099-d_T),B1091:B1128,"&lt;="&amp;(B1099-1))</f>
        <v/>
      </c>
      <c r="S1099" s="46">
        <f>(1-d_u)*S1098+IF(d_T&gt;in_topup_lag,SUMIFS(O1091:O1128,B1091:B1128,B1099-in_topup_lag)-d_udrop*SUMIFS(O1091:O1128,B1091:B1128,B1099-d_T),0)</f>
        <v/>
      </c>
      <c r="T1099" s="40">
        <f>F1099*d_u*S1099</f>
        <v/>
      </c>
      <c r="U1099" s="9">
        <f>L1099*in_ticket+M1099*d_rep_ticket</f>
        <v/>
      </c>
      <c r="V1099" s="9">
        <f>U1099+T1099*d_topup_amt</f>
        <v/>
      </c>
      <c r="W1099" s="40">
        <f>N1099+T1099*d_topup_ratio</f>
        <v/>
      </c>
      <c r="X1099" s="40">
        <f>SUMIFS(W1091:W1128,B1091:B1128,B1099-in_dpd_lag)*d_cured</f>
        <v/>
      </c>
      <c r="Y1099" s="40">
        <f>SUMIFS(W1091:W1128,B1091:B1128,B1099-in_rec_lag)*d_recd</f>
        <v/>
      </c>
      <c r="Z1099" s="40">
        <f>IF(AND(B1099&gt;=in_marketplace_from,B1099&lt;in_marketplace_from+in_card_months),in_card_share/in_card_months*F1099*I1099,IF(AND(B1099&gt;=in_marketplace_from+in_card_months,B1099&lt;in_marketplace_from+2*in_card_months),in_card_share*d_card_rem/in_card_months*F1099*MIN(in_takeup_cap,(1+in_takeup_growth)^(D1099-1))*MIN(in_takeup_cap,(1+in_approval_growth)^(D1099-1)),0))</f>
        <v/>
      </c>
      <c r="AA1099" s="14">
        <f>V1099*in_fee*(1-in_taken_back)</f>
        <v/>
      </c>
      <c r="AB1099" s="14">
        <f>SUMIFS(W1091:W1128,B1091:B1128,B1099-in_dpd_lag)*d_dpd</f>
        <v/>
      </c>
      <c r="AC1099" s="14">
        <f>SUMIFS(W1091:W1128,B1091:B1128,B1099-in_rec_lag)*d_rec</f>
        <v/>
      </c>
      <c r="AD1099" s="14">
        <f>Z1099*in_card_fee</f>
        <v/>
      </c>
      <c r="AE1099" s="40">
        <f>AE1098*(1-IF(B1098&gt;=in_marketplace_from,d_hz_hlth_small*G1098,0))</f>
        <v/>
      </c>
      <c r="AF1099" s="46">
        <f>AE1099*IF(B1099&gt;=in_marketplace_from,d_hz_hlth_small*G1099,0)</f>
        <v/>
      </c>
      <c r="AG1099" s="14">
        <f>F1099*AF1099*in_hlth_small_ticket*in_hlth_small_comm*in_ins_partner_share+F1099*in_hlth_small_ticket*in_hlth_small_renew_comm*in_ins_partner_share*(in_hlth_small_renew^1*SUMIFS(AF1091:AF1128,B1091:B1128,B1099-12)+in_hlth_small_renew^2*SUMIFS(AF1091:AF1128,B1091:B1128,B1099-24)+in_hlth_small_renew^3*SUMIFS(AF1091:AF1128,B1091:B1128,B1099-36)+in_hlth_small_renew^4*SUMIFS(AF1091:AF1128,B1091:B1128,B1099-48))</f>
        <v/>
      </c>
      <c r="AH1099" s="40">
        <f>AH1098*(1-IF(B1098&gt;=in_marketplace_from,d_hz_hlth_family*G1098,0))</f>
        <v/>
      </c>
      <c r="AI1099" s="46">
        <f>AH1099*IF(B1099&gt;=in_marketplace_from,d_hz_hlth_family*G1099,0)</f>
        <v/>
      </c>
      <c r="AJ1099" s="14">
        <f>F1099*AI1099*in_hlth_family_ticket*in_hlth_family_comm*in_ins_partner_share+F1099*in_hlth_family_ticket*in_hlth_family_renew_comm*in_ins_partner_share*(in_hlth_family_renew^1*SUMIFS(AI1091:AI1128,B1091:B1128,B1099-12)+in_hlth_family_renew^2*SUMIFS(AI1091:AI1128,B1091:B1128,B1099-24)+in_hlth_family_renew^3*SUMIFS(AI1091:AI1128,B1091:B1128,B1099-36)+in_hlth_family_renew^4*SUMIFS(AI1091:AI1128,B1091:B1128,B1099-48))</f>
        <v/>
      </c>
      <c r="AK1099" s="40">
        <f>AK1098*(1-IF(B1098&gt;=in_marketplace_from,d_hz_life_term*G1098,0))</f>
        <v/>
      </c>
      <c r="AL1099" s="46">
        <f>AK1099*IF(B1099&gt;=in_marketplace_from,d_hz_life_term*G1099,0)</f>
        <v/>
      </c>
      <c r="AM1099" s="14">
        <f>F1099*AL1099*in_life_term_ticket*in_life_term_comm*in_ins_partner_share+F1099*in_life_term_ticket*in_life_term_renew_comm*in_ins_partner_share*(in_life_term_renew^1*SUMIFS(AL1091:AL1128,B1091:B1128,B1099-12)+in_life_term_renew^2*SUMIFS(AL1091:AL1128,B1091:B1128,B1099-24)+in_life_term_renew^3*SUMIFS(AL1091:AL1128,B1091:B1128,B1099-36)+in_life_term_renew^4*SUMIFS(AL1091:AL1128,B1091:B1128,B1099-48))</f>
        <v/>
      </c>
      <c r="AN1099" s="40">
        <f>AN1098*(1-IF(B1098&gt;=in_marketplace_from,d_hz_accident*G1098,0))</f>
        <v/>
      </c>
      <c r="AO1099" s="46">
        <f>AN1099*IF(B1099&gt;=in_marketplace_from,d_hz_accident*G1099,0)</f>
        <v/>
      </c>
      <c r="AP1099" s="14">
        <f>F1099*AO1099*in_accident_ticket*in_accident_comm*in_ins_partner_share+F1099*in_accident_ticket*in_accident_renew_comm*in_ins_partner_share*(in_accident_renew^1*SUMIFS(AO1091:AO1128,B1091:B1128,B1099-12)+in_accident_renew^2*SUMIFS(AO1091:AO1128,B1091:B1128,B1099-24)+in_accident_renew^3*SUMIFS(AO1091:AO1128,B1091:B1128,B1099-36)+in_accident_renew^4*SUMIFS(AO1091:AO1128,B1091:B1128,B1099-48))</f>
        <v/>
      </c>
      <c r="AQ1099" s="40">
        <f>AQ1098*(1-IF(B1098&gt;=in_marketplace_from,d_hz_two_wheeler*G1098,0))</f>
        <v/>
      </c>
      <c r="AR1099" s="46">
        <f>AQ1099*IF(B1099&gt;=in_marketplace_from,d_hz_two_wheeler*G1099,0)</f>
        <v/>
      </c>
      <c r="AS1099" s="14">
        <f>F1099*AR1099*in_two_wheeler_ticket*in_two_wheeler_comm*in_ins_partner_share+F1099*in_two_wheeler_ticket*in_two_wheeler_comm*in_ins_partner_share*(in_two_wheeler_renew^1*SUMIFS(AR1091:AR1128,B1091:B1128,B1099-12)+in_two_wheeler_renew^2*SUMIFS(AR1091:AR1128,B1091:B1128,B1099-24)+in_two_wheeler_renew^3*SUMIFS(AR1091:AR1128,B1091:B1128,B1099-36)+in_two_wheeler_renew^4*SUMIFS(AR1091:AR1128,B1091:B1128,B1099-48))</f>
        <v/>
      </c>
      <c r="AT1099" s="40">
        <f>AT1098*(1-IF(B1098&gt;=in_marketplace_from,d_hz_device*G1098,0))</f>
        <v/>
      </c>
      <c r="AU1099" s="14">
        <f>F1099*AT1099*IF(B1099&gt;=in_marketplace_from,d_hz_device*G1099,0)*in_device_ticket*in_device_comm*in_ins_partner_share</f>
        <v/>
      </c>
      <c r="AV1099" s="40">
        <f>AV1098*(1-IF(B1098&gt;=in_marketplace_from,d_hz_shop*G1098,0))</f>
        <v/>
      </c>
      <c r="AW1099" s="46">
        <f>AV1099*IF(B1099&gt;=in_marketplace_from,d_hz_shop*G1099,0)</f>
        <v/>
      </c>
      <c r="AX1099" s="14">
        <f>F1099*AW1099*in_shop_ticket*in_shop_comm*in_ins_partner_share+F1099*in_shop_ticket*in_shop_renew_comm*in_ins_partner_share*(in_shop_renew^1*SUMIFS(AW1091:AW1128,B1091:B1128,B1099-12)+in_shop_renew^2*SUMIFS(AW1091:AW1128,B1091:B1128,B1099-24)+in_shop_renew^3*SUMIFS(AW1091:AW1128,B1091:B1128,B1099-36)+in_shop_renew^4*SUMIFS(AW1091:AW1128,B1091:B1128,B1099-48))</f>
        <v/>
      </c>
      <c r="AY1099" s="40">
        <f>AY1098*(1-IF(B1098&gt;=in_marketplace_from,d_hz_sip*G1098,0))</f>
        <v/>
      </c>
      <c r="AZ1099" s="40">
        <f>AZ1098*d_rho_sip+AY1099*IF(B1099&gt;=in_marketplace_from,d_hz_sip*G1099,0)</f>
        <v/>
      </c>
      <c r="BA1099" s="40">
        <f>d_rho_sip*(BA1098+AZ1098)</f>
        <v/>
      </c>
      <c r="BB1099" s="14">
        <f>F1099*in_sip_ticket*(BA1099+0.5*AZ1099)*in_sip_comm/12</f>
        <v/>
      </c>
      <c r="BC1099" s="40">
        <f>BC1098*(1-IF(B1098&gt;=in_marketplace_from,d_hz_choti*G1098,0))</f>
        <v/>
      </c>
      <c r="BD1099" s="46">
        <f>BC1099*IF(B1099&gt;=in_marketplace_from,d_hz_choti*G1099,0)</f>
        <v/>
      </c>
      <c r="BE1099" s="14">
        <f>F1099*SUMIFS(BD1091:BD1128,B1091:B1128,B1099-in_choti_months)*in_choti_renew*in_choti_ticket</f>
        <v/>
      </c>
      <c r="BF1099" s="40">
        <f>BF1098*(1-IF(B1098&gt;=in_marketplace_from,d_hz_nps*G1098,0))</f>
        <v/>
      </c>
      <c r="BG1099" s="14">
        <f>F1099*BF1099*IF(B1099&gt;=in_marketplace_from,d_hz_nps*G1099,0)*in_nps_ticket*in_nps_comm</f>
        <v/>
      </c>
      <c r="BH1099" s="40">
        <f>BH1098*(1-IF(B1098&gt;=in_marketplace_from,d_hz_gold*G1098,0))</f>
        <v/>
      </c>
      <c r="BI1099" s="40">
        <f>BI1098*d_rho_gold+BH1099*IF(B1099&gt;=in_marketplace_from,d_hz_gold*G1099,0)</f>
        <v/>
      </c>
      <c r="BJ1099" s="14">
        <f>F1099*BI1099*in_gold_ticket*in_gold_comm</f>
        <v/>
      </c>
      <c r="BK1099" s="40">
        <f>BK1098*(1-IF(B1098&gt;=in_marketplace_from,d_hz_fd*G1098,0))</f>
        <v/>
      </c>
      <c r="BL1099" s="14">
        <f>F1099*BK1099*IF(B1099&gt;=in_marketplace_from,d_hz_fd*G1099,0)*in_fd_ticket*in_fd_comm</f>
        <v/>
      </c>
      <c r="BM1099" s="40">
        <f>BM1098*(1-IF(B1098&gt;=in_marketplace_from,d_hz_recharge*G1098,0))</f>
        <v/>
      </c>
      <c r="BN1099" s="40">
        <f>BN1098*d_rho_recharge+BM1099*IF(B1099&gt;=in_marketplace_from,d_hz_recharge*G1099,0)</f>
        <v/>
      </c>
      <c r="BO1099" s="14">
        <f>F1099*BN1099*in_recharge_ticket*in_recharge_comm/12</f>
        <v/>
      </c>
      <c r="BP1099" s="40">
        <f>BP1098*(1-IF(B1098&gt;=in_marketplace_from,d_hz_bills*G1098,0))</f>
        <v/>
      </c>
      <c r="BQ1099" s="40">
        <f>BQ1098*d_rho_bills+BP1099*IF(B1099&gt;=in_marketplace_from,d_hz_bills*G1099,0)</f>
        <v/>
      </c>
      <c r="BR1099" s="14">
        <f>F1099*BQ1099*in_bills_ticket*in_bills_comm/12</f>
        <v/>
      </c>
      <c r="BS1099" s="40">
        <f>BS1098*(1-IF(B1098&gt;=in_marketplace_from,d_hz_loan_gold*G1098,0))</f>
        <v/>
      </c>
      <c r="BT1099" s="14">
        <f>F1099*BS1099*IF(B1099&gt;=in_marketplace_from,d_hz_loan_gold*G1099,0)*in_loan_gold_ticket*in_loan_gold_comm</f>
        <v/>
      </c>
      <c r="BU1099" s="40">
        <f>BU1098*(1-IF(B1098&gt;=in_marketplace_from,d_hz_loan_cd*G1098,0))</f>
        <v/>
      </c>
      <c r="BV1099" s="14">
        <f>F1099*BU1099*IF(B1099&gt;=in_marketplace_from,d_hz_loan_cd*G1099,0)*in_loan_cd_ticket*in_loan_cd_comm</f>
        <v/>
      </c>
      <c r="BW1099" s="40">
        <f>BW1098*(1-IF(B1098&gt;=in_marketplace_from,d_hz_loan_vehicle*G1098,0))</f>
        <v/>
      </c>
      <c r="BX1099" s="14">
        <f>F1099*BW1099*IF(B1099&gt;=in_marketplace_from,d_hz_loan_vehicle*G1099,0)*in_loan_vehicle_ticket*in_loan_vehicle_comm</f>
        <v/>
      </c>
      <c r="BY1099" s="40">
        <f>BY1098*(1-IF(B1098&gt;=in_marketplace_from,d_hz_loan_home*G1098,0)*BZ1098)</f>
        <v/>
      </c>
      <c r="BZ1099" s="11">
        <f>MIN(in_approval_cap,in_loan_home_approval*INDEX('Age profile'!$O$2:$O$61,B1099)*(1+in_approval_growth)^(D1099-1))</f>
        <v/>
      </c>
      <c r="CA1099" s="14">
        <f>F1099*BY1099*IF(B1099&gt;=in_marketplace_from,d_hz_loan_home*G1099,0)*BZ1099*in_loan_home_ticket*in_loan_home_comm</f>
        <v/>
      </c>
      <c r="CB1099" s="40">
        <f>CB1098*(1-IF(B1098&gt;=in_marketplace_from,d_hz_loan_lap*G1098,0)*CC1098)</f>
        <v/>
      </c>
      <c r="CC1099" s="11">
        <f>MIN(in_approval_cap,in_loan_lap_approval*INDEX('Age profile'!$O$2:$O$61,B1099)*(1+in_approval_growth)^(D1099-1))</f>
        <v/>
      </c>
      <c r="CD1099" s="14">
        <f>F1099*CB1099*IF(B1099&gt;=in_marketplace_from,d_hz_loan_lap*G1099,0)*CC1099*in_loan_lap_ticket*in_loan_lap_comm</f>
        <v/>
      </c>
      <c r="CE1099" s="14">
        <f>AA1099+AB1099+AC1099+AD1099+AG1099+AJ1099+AM1099+AP1099+AS1099+AU1099+AX1099+BB1099+BE1099+BG1099+BJ1099+BL1099+BO1099+BR1099+BT1099+BV1099+BX1099+CA1099+CD1099</f>
        <v/>
      </c>
    </row>
    <row r="1100">
      <c r="A1100" s="39" t="n">
        <v>23</v>
      </c>
      <c r="B1100" s="39" t="n">
        <v>10</v>
      </c>
      <c r="C1100" s="39">
        <f>A1100+B1100-1</f>
        <v/>
      </c>
      <c r="D1100" s="39">
        <f>INT((C1100-1)/12)+1</f>
        <v/>
      </c>
      <c r="E1100" s="44">
        <f>INDEX(Monthly!$B$2:$B$61,A1100)</f>
        <v/>
      </c>
      <c r="F1100" s="44">
        <f>E1100*INDEX('Age profile'!$B$2:$B$61,B1100)</f>
        <v/>
      </c>
      <c r="G1100" s="45">
        <f>MIN(in_takeup_cap,INDEX('Age profile'!$N$2:$N$61,B1100)*(1+in_takeup_growth)^(D1100-1))</f>
        <v/>
      </c>
      <c r="H1100" s="11">
        <f>MIN(in_approval_cap,in_approved_first*INDEX('Age profile'!$O$2:$O$61,B1100)*(1+in_approval_growth)^(D1100-1))</f>
        <v/>
      </c>
      <c r="I1100" s="45">
        <f>G1100*MIN(in_takeup_cap,INDEX('Age profile'!$O$2:$O$61,B1100)*(1+in_approval_growth)^(D1100-1))</f>
        <v/>
      </c>
      <c r="J1100" s="40">
        <f>(J1099-L1099)*F1100/F1099</f>
        <v/>
      </c>
      <c r="K1100" s="40">
        <f>(K1099-M1099)*F1100/F1099+SUMIFS(O1091:O1099,B1091:B1099,B1100-1-d_T)*F1100</f>
        <v/>
      </c>
      <c r="L1100" s="40">
        <f>IF(B1100&gt;=in_marketplace_from,J1100*d_hz*G1100*in_eligible*H1100,0)</f>
        <v/>
      </c>
      <c r="M1100" s="40">
        <f>IF(B1100&gt;=in_marketplace_from,K1100*d_hz*G1100*in_eligible*in_approved_repeat,0)</f>
        <v/>
      </c>
      <c r="N1100" s="40">
        <f>L1100+M1100</f>
        <v/>
      </c>
      <c r="O1100" s="46">
        <f>N1100/F1100</f>
        <v/>
      </c>
      <c r="P1100" s="40">
        <f>F1100-J1100-K1100</f>
        <v/>
      </c>
      <c r="Q1100" s="40">
        <f>IF(B1100&gt;=in_marketplace_from,(J1100+K1100)*d_hz*G1100,0)</f>
        <v/>
      </c>
      <c r="R1100" s="40">
        <f>SUMIFS(N1091:N1128,B1091:B1128,"&gt;="&amp;(B1100-d_T),B1091:B1128,"&lt;="&amp;(B1100-1))</f>
        <v/>
      </c>
      <c r="S1100" s="46">
        <f>(1-d_u)*S1099+IF(d_T&gt;in_topup_lag,SUMIFS(O1091:O1128,B1091:B1128,B1100-in_topup_lag)-d_udrop*SUMIFS(O1091:O1128,B1091:B1128,B1100-d_T),0)</f>
        <v/>
      </c>
      <c r="T1100" s="40">
        <f>F1100*d_u*S1100</f>
        <v/>
      </c>
      <c r="U1100" s="9">
        <f>L1100*in_ticket+M1100*d_rep_ticket</f>
        <v/>
      </c>
      <c r="V1100" s="9">
        <f>U1100+T1100*d_topup_amt</f>
        <v/>
      </c>
      <c r="W1100" s="40">
        <f>N1100+T1100*d_topup_ratio</f>
        <v/>
      </c>
      <c r="X1100" s="40">
        <f>SUMIFS(W1091:W1128,B1091:B1128,B1100-in_dpd_lag)*d_cured</f>
        <v/>
      </c>
      <c r="Y1100" s="40">
        <f>SUMIFS(W1091:W1128,B1091:B1128,B1100-in_rec_lag)*d_recd</f>
        <v/>
      </c>
      <c r="Z1100" s="40">
        <f>IF(AND(B1100&gt;=in_marketplace_from,B1100&lt;in_marketplace_from+in_card_months),in_card_share/in_card_months*F1100*I1100,IF(AND(B1100&gt;=in_marketplace_from+in_card_months,B1100&lt;in_marketplace_from+2*in_card_months),in_card_share*d_card_rem/in_card_months*F1100*MIN(in_takeup_cap,(1+in_takeup_growth)^(D1100-1))*MIN(in_takeup_cap,(1+in_approval_growth)^(D1100-1)),0))</f>
        <v/>
      </c>
      <c r="AA1100" s="14">
        <f>V1100*in_fee*(1-in_taken_back)</f>
        <v/>
      </c>
      <c r="AB1100" s="14">
        <f>SUMIFS(W1091:W1128,B1091:B1128,B1100-in_dpd_lag)*d_dpd</f>
        <v/>
      </c>
      <c r="AC1100" s="14">
        <f>SUMIFS(W1091:W1128,B1091:B1128,B1100-in_rec_lag)*d_rec</f>
        <v/>
      </c>
      <c r="AD1100" s="14">
        <f>Z1100*in_card_fee</f>
        <v/>
      </c>
      <c r="AE1100" s="40">
        <f>AE1099*(1-IF(B1099&gt;=in_marketplace_from,d_hz_hlth_small*G1099,0))</f>
        <v/>
      </c>
      <c r="AF1100" s="46">
        <f>AE1100*IF(B1100&gt;=in_marketplace_from,d_hz_hlth_small*G1100,0)</f>
        <v/>
      </c>
      <c r="AG1100" s="14">
        <f>F1100*AF1100*in_hlth_small_ticket*in_hlth_small_comm*in_ins_partner_share+F1100*in_hlth_small_ticket*in_hlth_small_renew_comm*in_ins_partner_share*(in_hlth_small_renew^1*SUMIFS(AF1091:AF1128,B1091:B1128,B1100-12)+in_hlth_small_renew^2*SUMIFS(AF1091:AF1128,B1091:B1128,B1100-24)+in_hlth_small_renew^3*SUMIFS(AF1091:AF1128,B1091:B1128,B1100-36)+in_hlth_small_renew^4*SUMIFS(AF1091:AF1128,B1091:B1128,B1100-48))</f>
        <v/>
      </c>
      <c r="AH1100" s="40">
        <f>AH1099*(1-IF(B1099&gt;=in_marketplace_from,d_hz_hlth_family*G1099,0))</f>
        <v/>
      </c>
      <c r="AI1100" s="46">
        <f>AH1100*IF(B1100&gt;=in_marketplace_from,d_hz_hlth_family*G1100,0)</f>
        <v/>
      </c>
      <c r="AJ1100" s="14">
        <f>F1100*AI1100*in_hlth_family_ticket*in_hlth_family_comm*in_ins_partner_share+F1100*in_hlth_family_ticket*in_hlth_family_renew_comm*in_ins_partner_share*(in_hlth_family_renew^1*SUMIFS(AI1091:AI1128,B1091:B1128,B1100-12)+in_hlth_family_renew^2*SUMIFS(AI1091:AI1128,B1091:B1128,B1100-24)+in_hlth_family_renew^3*SUMIFS(AI1091:AI1128,B1091:B1128,B1100-36)+in_hlth_family_renew^4*SUMIFS(AI1091:AI1128,B1091:B1128,B1100-48))</f>
        <v/>
      </c>
      <c r="AK1100" s="40">
        <f>AK1099*(1-IF(B1099&gt;=in_marketplace_from,d_hz_life_term*G1099,0))</f>
        <v/>
      </c>
      <c r="AL1100" s="46">
        <f>AK1100*IF(B1100&gt;=in_marketplace_from,d_hz_life_term*G1100,0)</f>
        <v/>
      </c>
      <c r="AM1100" s="14">
        <f>F1100*AL1100*in_life_term_ticket*in_life_term_comm*in_ins_partner_share+F1100*in_life_term_ticket*in_life_term_renew_comm*in_ins_partner_share*(in_life_term_renew^1*SUMIFS(AL1091:AL1128,B1091:B1128,B1100-12)+in_life_term_renew^2*SUMIFS(AL1091:AL1128,B1091:B1128,B1100-24)+in_life_term_renew^3*SUMIFS(AL1091:AL1128,B1091:B1128,B1100-36)+in_life_term_renew^4*SUMIFS(AL1091:AL1128,B1091:B1128,B1100-48))</f>
        <v/>
      </c>
      <c r="AN1100" s="40">
        <f>AN1099*(1-IF(B1099&gt;=in_marketplace_from,d_hz_accident*G1099,0))</f>
        <v/>
      </c>
      <c r="AO1100" s="46">
        <f>AN1100*IF(B1100&gt;=in_marketplace_from,d_hz_accident*G1100,0)</f>
        <v/>
      </c>
      <c r="AP1100" s="14">
        <f>F1100*AO1100*in_accident_ticket*in_accident_comm*in_ins_partner_share+F1100*in_accident_ticket*in_accident_renew_comm*in_ins_partner_share*(in_accident_renew^1*SUMIFS(AO1091:AO1128,B1091:B1128,B1100-12)+in_accident_renew^2*SUMIFS(AO1091:AO1128,B1091:B1128,B1100-24)+in_accident_renew^3*SUMIFS(AO1091:AO1128,B1091:B1128,B1100-36)+in_accident_renew^4*SUMIFS(AO1091:AO1128,B1091:B1128,B1100-48))</f>
        <v/>
      </c>
      <c r="AQ1100" s="40">
        <f>AQ1099*(1-IF(B1099&gt;=in_marketplace_from,d_hz_two_wheeler*G1099,0))</f>
        <v/>
      </c>
      <c r="AR1100" s="46">
        <f>AQ1100*IF(B1100&gt;=in_marketplace_from,d_hz_two_wheeler*G1100,0)</f>
        <v/>
      </c>
      <c r="AS1100" s="14">
        <f>F1100*AR1100*in_two_wheeler_ticket*in_two_wheeler_comm*in_ins_partner_share+F1100*in_two_wheeler_ticket*in_two_wheeler_comm*in_ins_partner_share*(in_two_wheeler_renew^1*SUMIFS(AR1091:AR1128,B1091:B1128,B1100-12)+in_two_wheeler_renew^2*SUMIFS(AR1091:AR1128,B1091:B1128,B1100-24)+in_two_wheeler_renew^3*SUMIFS(AR1091:AR1128,B1091:B1128,B1100-36)+in_two_wheeler_renew^4*SUMIFS(AR1091:AR1128,B1091:B1128,B1100-48))</f>
        <v/>
      </c>
      <c r="AT1100" s="40">
        <f>AT1099*(1-IF(B1099&gt;=in_marketplace_from,d_hz_device*G1099,0))</f>
        <v/>
      </c>
      <c r="AU1100" s="14">
        <f>F1100*AT1100*IF(B1100&gt;=in_marketplace_from,d_hz_device*G1100,0)*in_device_ticket*in_device_comm*in_ins_partner_share</f>
        <v/>
      </c>
      <c r="AV1100" s="40">
        <f>AV1099*(1-IF(B1099&gt;=in_marketplace_from,d_hz_shop*G1099,0))</f>
        <v/>
      </c>
      <c r="AW1100" s="46">
        <f>AV1100*IF(B1100&gt;=in_marketplace_from,d_hz_shop*G1100,0)</f>
        <v/>
      </c>
      <c r="AX1100" s="14">
        <f>F1100*AW1100*in_shop_ticket*in_shop_comm*in_ins_partner_share+F1100*in_shop_ticket*in_shop_renew_comm*in_ins_partner_share*(in_shop_renew^1*SUMIFS(AW1091:AW1128,B1091:B1128,B1100-12)+in_shop_renew^2*SUMIFS(AW1091:AW1128,B1091:B1128,B1100-24)+in_shop_renew^3*SUMIFS(AW1091:AW1128,B1091:B1128,B1100-36)+in_shop_renew^4*SUMIFS(AW1091:AW1128,B1091:B1128,B1100-48))</f>
        <v/>
      </c>
      <c r="AY1100" s="40">
        <f>AY1099*(1-IF(B1099&gt;=in_marketplace_from,d_hz_sip*G1099,0))</f>
        <v/>
      </c>
      <c r="AZ1100" s="40">
        <f>AZ1099*d_rho_sip+AY1100*IF(B1100&gt;=in_marketplace_from,d_hz_sip*G1100,0)</f>
        <v/>
      </c>
      <c r="BA1100" s="40">
        <f>d_rho_sip*(BA1099+AZ1099)</f>
        <v/>
      </c>
      <c r="BB1100" s="14">
        <f>F1100*in_sip_ticket*(BA1100+0.5*AZ1100)*in_sip_comm/12</f>
        <v/>
      </c>
      <c r="BC1100" s="40">
        <f>BC1099*(1-IF(B1099&gt;=in_marketplace_from,d_hz_choti*G1099,0))</f>
        <v/>
      </c>
      <c r="BD1100" s="46">
        <f>BC1100*IF(B1100&gt;=in_marketplace_from,d_hz_choti*G1100,0)</f>
        <v/>
      </c>
      <c r="BE1100" s="14">
        <f>F1100*SUMIFS(BD1091:BD1128,B1091:B1128,B1100-in_choti_months)*in_choti_renew*in_choti_ticket</f>
        <v/>
      </c>
      <c r="BF1100" s="40">
        <f>BF1099*(1-IF(B1099&gt;=in_marketplace_from,d_hz_nps*G1099,0))</f>
        <v/>
      </c>
      <c r="BG1100" s="14">
        <f>F1100*BF1100*IF(B1100&gt;=in_marketplace_from,d_hz_nps*G1100,0)*in_nps_ticket*in_nps_comm</f>
        <v/>
      </c>
      <c r="BH1100" s="40">
        <f>BH1099*(1-IF(B1099&gt;=in_marketplace_from,d_hz_gold*G1099,0))</f>
        <v/>
      </c>
      <c r="BI1100" s="40">
        <f>BI1099*d_rho_gold+BH1100*IF(B1100&gt;=in_marketplace_from,d_hz_gold*G1100,0)</f>
        <v/>
      </c>
      <c r="BJ1100" s="14">
        <f>F1100*BI1100*in_gold_ticket*in_gold_comm</f>
        <v/>
      </c>
      <c r="BK1100" s="40">
        <f>BK1099*(1-IF(B1099&gt;=in_marketplace_from,d_hz_fd*G1099,0))</f>
        <v/>
      </c>
      <c r="BL1100" s="14">
        <f>F1100*BK1100*IF(B1100&gt;=in_marketplace_from,d_hz_fd*G1100,0)*in_fd_ticket*in_fd_comm</f>
        <v/>
      </c>
      <c r="BM1100" s="40">
        <f>BM1099*(1-IF(B1099&gt;=in_marketplace_from,d_hz_recharge*G1099,0))</f>
        <v/>
      </c>
      <c r="BN1100" s="40">
        <f>BN1099*d_rho_recharge+BM1100*IF(B1100&gt;=in_marketplace_from,d_hz_recharge*G1100,0)</f>
        <v/>
      </c>
      <c r="BO1100" s="14">
        <f>F1100*BN1100*in_recharge_ticket*in_recharge_comm/12</f>
        <v/>
      </c>
      <c r="BP1100" s="40">
        <f>BP1099*(1-IF(B1099&gt;=in_marketplace_from,d_hz_bills*G1099,0))</f>
        <v/>
      </c>
      <c r="BQ1100" s="40">
        <f>BQ1099*d_rho_bills+BP1100*IF(B1100&gt;=in_marketplace_from,d_hz_bills*G1100,0)</f>
        <v/>
      </c>
      <c r="BR1100" s="14">
        <f>F1100*BQ1100*in_bills_ticket*in_bills_comm/12</f>
        <v/>
      </c>
      <c r="BS1100" s="40">
        <f>BS1099*(1-IF(B1099&gt;=in_marketplace_from,d_hz_loan_gold*G1099,0))</f>
        <v/>
      </c>
      <c r="BT1100" s="14">
        <f>F1100*BS1100*IF(B1100&gt;=in_marketplace_from,d_hz_loan_gold*G1100,0)*in_loan_gold_ticket*in_loan_gold_comm</f>
        <v/>
      </c>
      <c r="BU1100" s="40">
        <f>BU1099*(1-IF(B1099&gt;=in_marketplace_from,d_hz_loan_cd*G1099,0))</f>
        <v/>
      </c>
      <c r="BV1100" s="14">
        <f>F1100*BU1100*IF(B1100&gt;=in_marketplace_from,d_hz_loan_cd*G1100,0)*in_loan_cd_ticket*in_loan_cd_comm</f>
        <v/>
      </c>
      <c r="BW1100" s="40">
        <f>BW1099*(1-IF(B1099&gt;=in_marketplace_from,d_hz_loan_vehicle*G1099,0))</f>
        <v/>
      </c>
      <c r="BX1100" s="14">
        <f>F1100*BW1100*IF(B1100&gt;=in_marketplace_from,d_hz_loan_vehicle*G1100,0)*in_loan_vehicle_ticket*in_loan_vehicle_comm</f>
        <v/>
      </c>
      <c r="BY1100" s="40">
        <f>BY1099*(1-IF(B1099&gt;=in_marketplace_from,d_hz_loan_home*G1099,0)*BZ1099)</f>
        <v/>
      </c>
      <c r="BZ1100" s="11">
        <f>MIN(in_approval_cap,in_loan_home_approval*INDEX('Age profile'!$O$2:$O$61,B1100)*(1+in_approval_growth)^(D1100-1))</f>
        <v/>
      </c>
      <c r="CA1100" s="14">
        <f>F1100*BY1100*IF(B1100&gt;=in_marketplace_from,d_hz_loan_home*G1100,0)*BZ1100*in_loan_home_ticket*in_loan_home_comm</f>
        <v/>
      </c>
      <c r="CB1100" s="40">
        <f>CB1099*(1-IF(B1099&gt;=in_marketplace_from,d_hz_loan_lap*G1099,0)*CC1099)</f>
        <v/>
      </c>
      <c r="CC1100" s="11">
        <f>MIN(in_approval_cap,in_loan_lap_approval*INDEX('Age profile'!$O$2:$O$61,B1100)*(1+in_approval_growth)^(D1100-1))</f>
        <v/>
      </c>
      <c r="CD1100" s="14">
        <f>F1100*CB1100*IF(B1100&gt;=in_marketplace_from,d_hz_loan_lap*G1100,0)*CC1100*in_loan_lap_ticket*in_loan_lap_comm</f>
        <v/>
      </c>
      <c r="CE1100" s="14">
        <f>AA1100+AB1100+AC1100+AD1100+AG1100+AJ1100+AM1100+AP1100+AS1100+AU1100+AX1100+BB1100+BE1100+BG1100+BJ1100+BL1100+BO1100+BR1100+BT1100+BV1100+BX1100+CA1100+CD1100</f>
        <v/>
      </c>
    </row>
    <row r="1101">
      <c r="A1101" s="39" t="n">
        <v>23</v>
      </c>
      <c r="B1101" s="39" t="n">
        <v>11</v>
      </c>
      <c r="C1101" s="39">
        <f>A1101+B1101-1</f>
        <v/>
      </c>
      <c r="D1101" s="39">
        <f>INT((C1101-1)/12)+1</f>
        <v/>
      </c>
      <c r="E1101" s="44">
        <f>INDEX(Monthly!$B$2:$B$61,A1101)</f>
        <v/>
      </c>
      <c r="F1101" s="44">
        <f>E1101*INDEX('Age profile'!$B$2:$B$61,B1101)</f>
        <v/>
      </c>
      <c r="G1101" s="45">
        <f>MIN(in_takeup_cap,INDEX('Age profile'!$N$2:$N$61,B1101)*(1+in_takeup_growth)^(D1101-1))</f>
        <v/>
      </c>
      <c r="H1101" s="11">
        <f>MIN(in_approval_cap,in_approved_first*INDEX('Age profile'!$O$2:$O$61,B1101)*(1+in_approval_growth)^(D1101-1))</f>
        <v/>
      </c>
      <c r="I1101" s="45">
        <f>G1101*MIN(in_takeup_cap,INDEX('Age profile'!$O$2:$O$61,B1101)*(1+in_approval_growth)^(D1101-1))</f>
        <v/>
      </c>
      <c r="J1101" s="40">
        <f>(J1100-L1100)*F1101/F1100</f>
        <v/>
      </c>
      <c r="K1101" s="40">
        <f>(K1100-M1100)*F1101/F1100+SUMIFS(O1091:O1100,B1091:B1100,B1101-1-d_T)*F1101</f>
        <v/>
      </c>
      <c r="L1101" s="40">
        <f>IF(B1101&gt;=in_marketplace_from,J1101*d_hz*G1101*in_eligible*H1101,0)</f>
        <v/>
      </c>
      <c r="M1101" s="40">
        <f>IF(B1101&gt;=in_marketplace_from,K1101*d_hz*G1101*in_eligible*in_approved_repeat,0)</f>
        <v/>
      </c>
      <c r="N1101" s="40">
        <f>L1101+M1101</f>
        <v/>
      </c>
      <c r="O1101" s="46">
        <f>N1101/F1101</f>
        <v/>
      </c>
      <c r="P1101" s="40">
        <f>F1101-J1101-K1101</f>
        <v/>
      </c>
      <c r="Q1101" s="40">
        <f>IF(B1101&gt;=in_marketplace_from,(J1101+K1101)*d_hz*G1101,0)</f>
        <v/>
      </c>
      <c r="R1101" s="40">
        <f>SUMIFS(N1091:N1128,B1091:B1128,"&gt;="&amp;(B1101-d_T),B1091:B1128,"&lt;="&amp;(B1101-1))</f>
        <v/>
      </c>
      <c r="S1101" s="46">
        <f>(1-d_u)*S1100+IF(d_T&gt;in_topup_lag,SUMIFS(O1091:O1128,B1091:B1128,B1101-in_topup_lag)-d_udrop*SUMIFS(O1091:O1128,B1091:B1128,B1101-d_T),0)</f>
        <v/>
      </c>
      <c r="T1101" s="40">
        <f>F1101*d_u*S1101</f>
        <v/>
      </c>
      <c r="U1101" s="9">
        <f>L1101*in_ticket+M1101*d_rep_ticket</f>
        <v/>
      </c>
      <c r="V1101" s="9">
        <f>U1101+T1101*d_topup_amt</f>
        <v/>
      </c>
      <c r="W1101" s="40">
        <f>N1101+T1101*d_topup_ratio</f>
        <v/>
      </c>
      <c r="X1101" s="40">
        <f>SUMIFS(W1091:W1128,B1091:B1128,B1101-in_dpd_lag)*d_cured</f>
        <v/>
      </c>
      <c r="Y1101" s="40">
        <f>SUMIFS(W1091:W1128,B1091:B1128,B1101-in_rec_lag)*d_recd</f>
        <v/>
      </c>
      <c r="Z1101" s="40">
        <f>IF(AND(B1101&gt;=in_marketplace_from,B1101&lt;in_marketplace_from+in_card_months),in_card_share/in_card_months*F1101*I1101,IF(AND(B1101&gt;=in_marketplace_from+in_card_months,B1101&lt;in_marketplace_from+2*in_card_months),in_card_share*d_card_rem/in_card_months*F1101*MIN(in_takeup_cap,(1+in_takeup_growth)^(D1101-1))*MIN(in_takeup_cap,(1+in_approval_growth)^(D1101-1)),0))</f>
        <v/>
      </c>
      <c r="AA1101" s="14">
        <f>V1101*in_fee*(1-in_taken_back)</f>
        <v/>
      </c>
      <c r="AB1101" s="14">
        <f>SUMIFS(W1091:W1128,B1091:B1128,B1101-in_dpd_lag)*d_dpd</f>
        <v/>
      </c>
      <c r="AC1101" s="14">
        <f>SUMIFS(W1091:W1128,B1091:B1128,B1101-in_rec_lag)*d_rec</f>
        <v/>
      </c>
      <c r="AD1101" s="14">
        <f>Z1101*in_card_fee</f>
        <v/>
      </c>
      <c r="AE1101" s="40">
        <f>AE1100*(1-IF(B1100&gt;=in_marketplace_from,d_hz_hlth_small*G1100,0))</f>
        <v/>
      </c>
      <c r="AF1101" s="46">
        <f>AE1101*IF(B1101&gt;=in_marketplace_from,d_hz_hlth_small*G1101,0)</f>
        <v/>
      </c>
      <c r="AG1101" s="14">
        <f>F1101*AF1101*in_hlth_small_ticket*in_hlth_small_comm*in_ins_partner_share+F1101*in_hlth_small_ticket*in_hlth_small_renew_comm*in_ins_partner_share*(in_hlth_small_renew^1*SUMIFS(AF1091:AF1128,B1091:B1128,B1101-12)+in_hlth_small_renew^2*SUMIFS(AF1091:AF1128,B1091:B1128,B1101-24)+in_hlth_small_renew^3*SUMIFS(AF1091:AF1128,B1091:B1128,B1101-36)+in_hlth_small_renew^4*SUMIFS(AF1091:AF1128,B1091:B1128,B1101-48))</f>
        <v/>
      </c>
      <c r="AH1101" s="40">
        <f>AH1100*(1-IF(B1100&gt;=in_marketplace_from,d_hz_hlth_family*G1100,0))</f>
        <v/>
      </c>
      <c r="AI1101" s="46">
        <f>AH1101*IF(B1101&gt;=in_marketplace_from,d_hz_hlth_family*G1101,0)</f>
        <v/>
      </c>
      <c r="AJ1101" s="14">
        <f>F1101*AI1101*in_hlth_family_ticket*in_hlth_family_comm*in_ins_partner_share+F1101*in_hlth_family_ticket*in_hlth_family_renew_comm*in_ins_partner_share*(in_hlth_family_renew^1*SUMIFS(AI1091:AI1128,B1091:B1128,B1101-12)+in_hlth_family_renew^2*SUMIFS(AI1091:AI1128,B1091:B1128,B1101-24)+in_hlth_family_renew^3*SUMIFS(AI1091:AI1128,B1091:B1128,B1101-36)+in_hlth_family_renew^4*SUMIFS(AI1091:AI1128,B1091:B1128,B1101-48))</f>
        <v/>
      </c>
      <c r="AK1101" s="40">
        <f>AK1100*(1-IF(B1100&gt;=in_marketplace_from,d_hz_life_term*G1100,0))</f>
        <v/>
      </c>
      <c r="AL1101" s="46">
        <f>AK1101*IF(B1101&gt;=in_marketplace_from,d_hz_life_term*G1101,0)</f>
        <v/>
      </c>
      <c r="AM1101" s="14">
        <f>F1101*AL1101*in_life_term_ticket*in_life_term_comm*in_ins_partner_share+F1101*in_life_term_ticket*in_life_term_renew_comm*in_ins_partner_share*(in_life_term_renew^1*SUMIFS(AL1091:AL1128,B1091:B1128,B1101-12)+in_life_term_renew^2*SUMIFS(AL1091:AL1128,B1091:B1128,B1101-24)+in_life_term_renew^3*SUMIFS(AL1091:AL1128,B1091:B1128,B1101-36)+in_life_term_renew^4*SUMIFS(AL1091:AL1128,B1091:B1128,B1101-48))</f>
        <v/>
      </c>
      <c r="AN1101" s="40">
        <f>AN1100*(1-IF(B1100&gt;=in_marketplace_from,d_hz_accident*G1100,0))</f>
        <v/>
      </c>
      <c r="AO1101" s="46">
        <f>AN1101*IF(B1101&gt;=in_marketplace_from,d_hz_accident*G1101,0)</f>
        <v/>
      </c>
      <c r="AP1101" s="14">
        <f>F1101*AO1101*in_accident_ticket*in_accident_comm*in_ins_partner_share+F1101*in_accident_ticket*in_accident_renew_comm*in_ins_partner_share*(in_accident_renew^1*SUMIFS(AO1091:AO1128,B1091:B1128,B1101-12)+in_accident_renew^2*SUMIFS(AO1091:AO1128,B1091:B1128,B1101-24)+in_accident_renew^3*SUMIFS(AO1091:AO1128,B1091:B1128,B1101-36)+in_accident_renew^4*SUMIFS(AO1091:AO1128,B1091:B1128,B1101-48))</f>
        <v/>
      </c>
      <c r="AQ1101" s="40">
        <f>AQ1100*(1-IF(B1100&gt;=in_marketplace_from,d_hz_two_wheeler*G1100,0))</f>
        <v/>
      </c>
      <c r="AR1101" s="46">
        <f>AQ1101*IF(B1101&gt;=in_marketplace_from,d_hz_two_wheeler*G1101,0)</f>
        <v/>
      </c>
      <c r="AS1101" s="14">
        <f>F1101*AR1101*in_two_wheeler_ticket*in_two_wheeler_comm*in_ins_partner_share+F1101*in_two_wheeler_ticket*in_two_wheeler_comm*in_ins_partner_share*(in_two_wheeler_renew^1*SUMIFS(AR1091:AR1128,B1091:B1128,B1101-12)+in_two_wheeler_renew^2*SUMIFS(AR1091:AR1128,B1091:B1128,B1101-24)+in_two_wheeler_renew^3*SUMIFS(AR1091:AR1128,B1091:B1128,B1101-36)+in_two_wheeler_renew^4*SUMIFS(AR1091:AR1128,B1091:B1128,B1101-48))</f>
        <v/>
      </c>
      <c r="AT1101" s="40">
        <f>AT1100*(1-IF(B1100&gt;=in_marketplace_from,d_hz_device*G1100,0))</f>
        <v/>
      </c>
      <c r="AU1101" s="14">
        <f>F1101*AT1101*IF(B1101&gt;=in_marketplace_from,d_hz_device*G1101,0)*in_device_ticket*in_device_comm*in_ins_partner_share</f>
        <v/>
      </c>
      <c r="AV1101" s="40">
        <f>AV1100*(1-IF(B1100&gt;=in_marketplace_from,d_hz_shop*G1100,0))</f>
        <v/>
      </c>
      <c r="AW1101" s="46">
        <f>AV1101*IF(B1101&gt;=in_marketplace_from,d_hz_shop*G1101,0)</f>
        <v/>
      </c>
      <c r="AX1101" s="14">
        <f>F1101*AW1101*in_shop_ticket*in_shop_comm*in_ins_partner_share+F1101*in_shop_ticket*in_shop_renew_comm*in_ins_partner_share*(in_shop_renew^1*SUMIFS(AW1091:AW1128,B1091:B1128,B1101-12)+in_shop_renew^2*SUMIFS(AW1091:AW1128,B1091:B1128,B1101-24)+in_shop_renew^3*SUMIFS(AW1091:AW1128,B1091:B1128,B1101-36)+in_shop_renew^4*SUMIFS(AW1091:AW1128,B1091:B1128,B1101-48))</f>
        <v/>
      </c>
      <c r="AY1101" s="40">
        <f>AY1100*(1-IF(B1100&gt;=in_marketplace_from,d_hz_sip*G1100,0))</f>
        <v/>
      </c>
      <c r="AZ1101" s="40">
        <f>AZ1100*d_rho_sip+AY1101*IF(B1101&gt;=in_marketplace_from,d_hz_sip*G1101,0)</f>
        <v/>
      </c>
      <c r="BA1101" s="40">
        <f>d_rho_sip*(BA1100+AZ1100)</f>
        <v/>
      </c>
      <c r="BB1101" s="14">
        <f>F1101*in_sip_ticket*(BA1101+0.5*AZ1101)*in_sip_comm/12</f>
        <v/>
      </c>
      <c r="BC1101" s="40">
        <f>BC1100*(1-IF(B1100&gt;=in_marketplace_from,d_hz_choti*G1100,0))</f>
        <v/>
      </c>
      <c r="BD1101" s="46">
        <f>BC1101*IF(B1101&gt;=in_marketplace_from,d_hz_choti*G1101,0)</f>
        <v/>
      </c>
      <c r="BE1101" s="14">
        <f>F1101*SUMIFS(BD1091:BD1128,B1091:B1128,B1101-in_choti_months)*in_choti_renew*in_choti_ticket</f>
        <v/>
      </c>
      <c r="BF1101" s="40">
        <f>BF1100*(1-IF(B1100&gt;=in_marketplace_from,d_hz_nps*G1100,0))</f>
        <v/>
      </c>
      <c r="BG1101" s="14">
        <f>F1101*BF1101*IF(B1101&gt;=in_marketplace_from,d_hz_nps*G1101,0)*in_nps_ticket*in_nps_comm</f>
        <v/>
      </c>
      <c r="BH1101" s="40">
        <f>BH1100*(1-IF(B1100&gt;=in_marketplace_from,d_hz_gold*G1100,0))</f>
        <v/>
      </c>
      <c r="BI1101" s="40">
        <f>BI1100*d_rho_gold+BH1101*IF(B1101&gt;=in_marketplace_from,d_hz_gold*G1101,0)</f>
        <v/>
      </c>
      <c r="BJ1101" s="14">
        <f>F1101*BI1101*in_gold_ticket*in_gold_comm</f>
        <v/>
      </c>
      <c r="BK1101" s="40">
        <f>BK1100*(1-IF(B1100&gt;=in_marketplace_from,d_hz_fd*G1100,0))</f>
        <v/>
      </c>
      <c r="BL1101" s="14">
        <f>F1101*BK1101*IF(B1101&gt;=in_marketplace_from,d_hz_fd*G1101,0)*in_fd_ticket*in_fd_comm</f>
        <v/>
      </c>
      <c r="BM1101" s="40">
        <f>BM1100*(1-IF(B1100&gt;=in_marketplace_from,d_hz_recharge*G1100,0))</f>
        <v/>
      </c>
      <c r="BN1101" s="40">
        <f>BN1100*d_rho_recharge+BM1101*IF(B1101&gt;=in_marketplace_from,d_hz_recharge*G1101,0)</f>
        <v/>
      </c>
      <c r="BO1101" s="14">
        <f>F1101*BN1101*in_recharge_ticket*in_recharge_comm/12</f>
        <v/>
      </c>
      <c r="BP1101" s="40">
        <f>BP1100*(1-IF(B1100&gt;=in_marketplace_from,d_hz_bills*G1100,0))</f>
        <v/>
      </c>
      <c r="BQ1101" s="40">
        <f>BQ1100*d_rho_bills+BP1101*IF(B1101&gt;=in_marketplace_from,d_hz_bills*G1101,0)</f>
        <v/>
      </c>
      <c r="BR1101" s="14">
        <f>F1101*BQ1101*in_bills_ticket*in_bills_comm/12</f>
        <v/>
      </c>
      <c r="BS1101" s="40">
        <f>BS1100*(1-IF(B1100&gt;=in_marketplace_from,d_hz_loan_gold*G1100,0))</f>
        <v/>
      </c>
      <c r="BT1101" s="14">
        <f>F1101*BS1101*IF(B1101&gt;=in_marketplace_from,d_hz_loan_gold*G1101,0)*in_loan_gold_ticket*in_loan_gold_comm</f>
        <v/>
      </c>
      <c r="BU1101" s="40">
        <f>BU1100*(1-IF(B1100&gt;=in_marketplace_from,d_hz_loan_cd*G1100,0))</f>
        <v/>
      </c>
      <c r="BV1101" s="14">
        <f>F1101*BU1101*IF(B1101&gt;=in_marketplace_from,d_hz_loan_cd*G1101,0)*in_loan_cd_ticket*in_loan_cd_comm</f>
        <v/>
      </c>
      <c r="BW1101" s="40">
        <f>BW1100*(1-IF(B1100&gt;=in_marketplace_from,d_hz_loan_vehicle*G1100,0))</f>
        <v/>
      </c>
      <c r="BX1101" s="14">
        <f>F1101*BW1101*IF(B1101&gt;=in_marketplace_from,d_hz_loan_vehicle*G1101,0)*in_loan_vehicle_ticket*in_loan_vehicle_comm</f>
        <v/>
      </c>
      <c r="BY1101" s="40">
        <f>BY1100*(1-IF(B1100&gt;=in_marketplace_from,d_hz_loan_home*G1100,0)*BZ1100)</f>
        <v/>
      </c>
      <c r="BZ1101" s="11">
        <f>MIN(in_approval_cap,in_loan_home_approval*INDEX('Age profile'!$O$2:$O$61,B1101)*(1+in_approval_growth)^(D1101-1))</f>
        <v/>
      </c>
      <c r="CA1101" s="14">
        <f>F1101*BY1101*IF(B1101&gt;=in_marketplace_from,d_hz_loan_home*G1101,0)*BZ1101*in_loan_home_ticket*in_loan_home_comm</f>
        <v/>
      </c>
      <c r="CB1101" s="40">
        <f>CB1100*(1-IF(B1100&gt;=in_marketplace_from,d_hz_loan_lap*G1100,0)*CC1100)</f>
        <v/>
      </c>
      <c r="CC1101" s="11">
        <f>MIN(in_approval_cap,in_loan_lap_approval*INDEX('Age profile'!$O$2:$O$61,B1101)*(1+in_approval_growth)^(D1101-1))</f>
        <v/>
      </c>
      <c r="CD1101" s="14">
        <f>F1101*CB1101*IF(B1101&gt;=in_marketplace_from,d_hz_loan_lap*G1101,0)*CC1101*in_loan_lap_ticket*in_loan_lap_comm</f>
        <v/>
      </c>
      <c r="CE1101" s="14">
        <f>AA1101+AB1101+AC1101+AD1101+AG1101+AJ1101+AM1101+AP1101+AS1101+AU1101+AX1101+BB1101+BE1101+BG1101+BJ1101+BL1101+BO1101+BR1101+BT1101+BV1101+BX1101+CA1101+CD1101</f>
        <v/>
      </c>
    </row>
    <row r="1102">
      <c r="A1102" s="39" t="n">
        <v>23</v>
      </c>
      <c r="B1102" s="39" t="n">
        <v>12</v>
      </c>
      <c r="C1102" s="39">
        <f>A1102+B1102-1</f>
        <v/>
      </c>
      <c r="D1102" s="39">
        <f>INT((C1102-1)/12)+1</f>
        <v/>
      </c>
      <c r="E1102" s="44">
        <f>INDEX(Monthly!$B$2:$B$61,A1102)</f>
        <v/>
      </c>
      <c r="F1102" s="44">
        <f>E1102*INDEX('Age profile'!$B$2:$B$61,B1102)</f>
        <v/>
      </c>
      <c r="G1102" s="45">
        <f>MIN(in_takeup_cap,INDEX('Age profile'!$N$2:$N$61,B1102)*(1+in_takeup_growth)^(D1102-1))</f>
        <v/>
      </c>
      <c r="H1102" s="11">
        <f>MIN(in_approval_cap,in_approved_first*INDEX('Age profile'!$O$2:$O$61,B1102)*(1+in_approval_growth)^(D1102-1))</f>
        <v/>
      </c>
      <c r="I1102" s="45">
        <f>G1102*MIN(in_takeup_cap,INDEX('Age profile'!$O$2:$O$61,B1102)*(1+in_approval_growth)^(D1102-1))</f>
        <v/>
      </c>
      <c r="J1102" s="40">
        <f>(J1101-L1101)*F1102/F1101</f>
        <v/>
      </c>
      <c r="K1102" s="40">
        <f>(K1101-M1101)*F1102/F1101+SUMIFS(O1091:O1101,B1091:B1101,B1102-1-d_T)*F1102</f>
        <v/>
      </c>
      <c r="L1102" s="40">
        <f>IF(B1102&gt;=in_marketplace_from,J1102*d_hz*G1102*in_eligible*H1102,0)</f>
        <v/>
      </c>
      <c r="M1102" s="40">
        <f>IF(B1102&gt;=in_marketplace_from,K1102*d_hz*G1102*in_eligible*in_approved_repeat,0)</f>
        <v/>
      </c>
      <c r="N1102" s="40">
        <f>L1102+M1102</f>
        <v/>
      </c>
      <c r="O1102" s="46">
        <f>N1102/F1102</f>
        <v/>
      </c>
      <c r="P1102" s="40">
        <f>F1102-J1102-K1102</f>
        <v/>
      </c>
      <c r="Q1102" s="40">
        <f>IF(B1102&gt;=in_marketplace_from,(J1102+K1102)*d_hz*G1102,0)</f>
        <v/>
      </c>
      <c r="R1102" s="40">
        <f>SUMIFS(N1091:N1128,B1091:B1128,"&gt;="&amp;(B1102-d_T),B1091:B1128,"&lt;="&amp;(B1102-1))</f>
        <v/>
      </c>
      <c r="S1102" s="46">
        <f>(1-d_u)*S1101+IF(d_T&gt;in_topup_lag,SUMIFS(O1091:O1128,B1091:B1128,B1102-in_topup_lag)-d_udrop*SUMIFS(O1091:O1128,B1091:B1128,B1102-d_T),0)</f>
        <v/>
      </c>
      <c r="T1102" s="40">
        <f>F1102*d_u*S1102</f>
        <v/>
      </c>
      <c r="U1102" s="9">
        <f>L1102*in_ticket+M1102*d_rep_ticket</f>
        <v/>
      </c>
      <c r="V1102" s="9">
        <f>U1102+T1102*d_topup_amt</f>
        <v/>
      </c>
      <c r="W1102" s="40">
        <f>N1102+T1102*d_topup_ratio</f>
        <v/>
      </c>
      <c r="X1102" s="40">
        <f>SUMIFS(W1091:W1128,B1091:B1128,B1102-in_dpd_lag)*d_cured</f>
        <v/>
      </c>
      <c r="Y1102" s="40">
        <f>SUMIFS(W1091:W1128,B1091:B1128,B1102-in_rec_lag)*d_recd</f>
        <v/>
      </c>
      <c r="Z1102" s="40">
        <f>IF(AND(B1102&gt;=in_marketplace_from,B1102&lt;in_marketplace_from+in_card_months),in_card_share/in_card_months*F1102*I1102,IF(AND(B1102&gt;=in_marketplace_from+in_card_months,B1102&lt;in_marketplace_from+2*in_card_months),in_card_share*d_card_rem/in_card_months*F1102*MIN(in_takeup_cap,(1+in_takeup_growth)^(D1102-1))*MIN(in_takeup_cap,(1+in_approval_growth)^(D1102-1)),0))</f>
        <v/>
      </c>
      <c r="AA1102" s="14">
        <f>V1102*in_fee*(1-in_taken_back)</f>
        <v/>
      </c>
      <c r="AB1102" s="14">
        <f>SUMIFS(W1091:W1128,B1091:B1128,B1102-in_dpd_lag)*d_dpd</f>
        <v/>
      </c>
      <c r="AC1102" s="14">
        <f>SUMIFS(W1091:W1128,B1091:B1128,B1102-in_rec_lag)*d_rec</f>
        <v/>
      </c>
      <c r="AD1102" s="14">
        <f>Z1102*in_card_fee</f>
        <v/>
      </c>
      <c r="AE1102" s="40">
        <f>AE1101*(1-IF(B1101&gt;=in_marketplace_from,d_hz_hlth_small*G1101,0))</f>
        <v/>
      </c>
      <c r="AF1102" s="46">
        <f>AE1102*IF(B1102&gt;=in_marketplace_from,d_hz_hlth_small*G1102,0)</f>
        <v/>
      </c>
      <c r="AG1102" s="14">
        <f>F1102*AF1102*in_hlth_small_ticket*in_hlth_small_comm*in_ins_partner_share+F1102*in_hlth_small_ticket*in_hlth_small_renew_comm*in_ins_partner_share*(in_hlth_small_renew^1*SUMIFS(AF1091:AF1128,B1091:B1128,B1102-12)+in_hlth_small_renew^2*SUMIFS(AF1091:AF1128,B1091:B1128,B1102-24)+in_hlth_small_renew^3*SUMIFS(AF1091:AF1128,B1091:B1128,B1102-36)+in_hlth_small_renew^4*SUMIFS(AF1091:AF1128,B1091:B1128,B1102-48))</f>
        <v/>
      </c>
      <c r="AH1102" s="40">
        <f>AH1101*(1-IF(B1101&gt;=in_marketplace_from,d_hz_hlth_family*G1101,0))</f>
        <v/>
      </c>
      <c r="AI1102" s="46">
        <f>AH1102*IF(B1102&gt;=in_marketplace_from,d_hz_hlth_family*G1102,0)</f>
        <v/>
      </c>
      <c r="AJ1102" s="14">
        <f>F1102*AI1102*in_hlth_family_ticket*in_hlth_family_comm*in_ins_partner_share+F1102*in_hlth_family_ticket*in_hlth_family_renew_comm*in_ins_partner_share*(in_hlth_family_renew^1*SUMIFS(AI1091:AI1128,B1091:B1128,B1102-12)+in_hlth_family_renew^2*SUMIFS(AI1091:AI1128,B1091:B1128,B1102-24)+in_hlth_family_renew^3*SUMIFS(AI1091:AI1128,B1091:B1128,B1102-36)+in_hlth_family_renew^4*SUMIFS(AI1091:AI1128,B1091:B1128,B1102-48))</f>
        <v/>
      </c>
      <c r="AK1102" s="40">
        <f>AK1101*(1-IF(B1101&gt;=in_marketplace_from,d_hz_life_term*G1101,0))</f>
        <v/>
      </c>
      <c r="AL1102" s="46">
        <f>AK1102*IF(B1102&gt;=in_marketplace_from,d_hz_life_term*G1102,0)</f>
        <v/>
      </c>
      <c r="AM1102" s="14">
        <f>F1102*AL1102*in_life_term_ticket*in_life_term_comm*in_ins_partner_share+F1102*in_life_term_ticket*in_life_term_renew_comm*in_ins_partner_share*(in_life_term_renew^1*SUMIFS(AL1091:AL1128,B1091:B1128,B1102-12)+in_life_term_renew^2*SUMIFS(AL1091:AL1128,B1091:B1128,B1102-24)+in_life_term_renew^3*SUMIFS(AL1091:AL1128,B1091:B1128,B1102-36)+in_life_term_renew^4*SUMIFS(AL1091:AL1128,B1091:B1128,B1102-48))</f>
        <v/>
      </c>
      <c r="AN1102" s="40">
        <f>AN1101*(1-IF(B1101&gt;=in_marketplace_from,d_hz_accident*G1101,0))</f>
        <v/>
      </c>
      <c r="AO1102" s="46">
        <f>AN1102*IF(B1102&gt;=in_marketplace_from,d_hz_accident*G1102,0)</f>
        <v/>
      </c>
      <c r="AP1102" s="14">
        <f>F1102*AO1102*in_accident_ticket*in_accident_comm*in_ins_partner_share+F1102*in_accident_ticket*in_accident_renew_comm*in_ins_partner_share*(in_accident_renew^1*SUMIFS(AO1091:AO1128,B1091:B1128,B1102-12)+in_accident_renew^2*SUMIFS(AO1091:AO1128,B1091:B1128,B1102-24)+in_accident_renew^3*SUMIFS(AO1091:AO1128,B1091:B1128,B1102-36)+in_accident_renew^4*SUMIFS(AO1091:AO1128,B1091:B1128,B1102-48))</f>
        <v/>
      </c>
      <c r="AQ1102" s="40">
        <f>AQ1101*(1-IF(B1101&gt;=in_marketplace_from,d_hz_two_wheeler*G1101,0))</f>
        <v/>
      </c>
      <c r="AR1102" s="46">
        <f>AQ1102*IF(B1102&gt;=in_marketplace_from,d_hz_two_wheeler*G1102,0)</f>
        <v/>
      </c>
      <c r="AS1102" s="14">
        <f>F1102*AR1102*in_two_wheeler_ticket*in_two_wheeler_comm*in_ins_partner_share+F1102*in_two_wheeler_ticket*in_two_wheeler_comm*in_ins_partner_share*(in_two_wheeler_renew^1*SUMIFS(AR1091:AR1128,B1091:B1128,B1102-12)+in_two_wheeler_renew^2*SUMIFS(AR1091:AR1128,B1091:B1128,B1102-24)+in_two_wheeler_renew^3*SUMIFS(AR1091:AR1128,B1091:B1128,B1102-36)+in_two_wheeler_renew^4*SUMIFS(AR1091:AR1128,B1091:B1128,B1102-48))</f>
        <v/>
      </c>
      <c r="AT1102" s="40">
        <f>AT1101*(1-IF(B1101&gt;=in_marketplace_from,d_hz_device*G1101,0))</f>
        <v/>
      </c>
      <c r="AU1102" s="14">
        <f>F1102*AT1102*IF(B1102&gt;=in_marketplace_from,d_hz_device*G1102,0)*in_device_ticket*in_device_comm*in_ins_partner_share</f>
        <v/>
      </c>
      <c r="AV1102" s="40">
        <f>AV1101*(1-IF(B1101&gt;=in_marketplace_from,d_hz_shop*G1101,0))</f>
        <v/>
      </c>
      <c r="AW1102" s="46">
        <f>AV1102*IF(B1102&gt;=in_marketplace_from,d_hz_shop*G1102,0)</f>
        <v/>
      </c>
      <c r="AX1102" s="14">
        <f>F1102*AW1102*in_shop_ticket*in_shop_comm*in_ins_partner_share+F1102*in_shop_ticket*in_shop_renew_comm*in_ins_partner_share*(in_shop_renew^1*SUMIFS(AW1091:AW1128,B1091:B1128,B1102-12)+in_shop_renew^2*SUMIFS(AW1091:AW1128,B1091:B1128,B1102-24)+in_shop_renew^3*SUMIFS(AW1091:AW1128,B1091:B1128,B1102-36)+in_shop_renew^4*SUMIFS(AW1091:AW1128,B1091:B1128,B1102-48))</f>
        <v/>
      </c>
      <c r="AY1102" s="40">
        <f>AY1101*(1-IF(B1101&gt;=in_marketplace_from,d_hz_sip*G1101,0))</f>
        <v/>
      </c>
      <c r="AZ1102" s="40">
        <f>AZ1101*d_rho_sip+AY1102*IF(B1102&gt;=in_marketplace_from,d_hz_sip*G1102,0)</f>
        <v/>
      </c>
      <c r="BA1102" s="40">
        <f>d_rho_sip*(BA1101+AZ1101)</f>
        <v/>
      </c>
      <c r="BB1102" s="14">
        <f>F1102*in_sip_ticket*(BA1102+0.5*AZ1102)*in_sip_comm/12</f>
        <v/>
      </c>
      <c r="BC1102" s="40">
        <f>BC1101*(1-IF(B1101&gt;=in_marketplace_from,d_hz_choti*G1101,0))</f>
        <v/>
      </c>
      <c r="BD1102" s="46">
        <f>BC1102*IF(B1102&gt;=in_marketplace_from,d_hz_choti*G1102,0)</f>
        <v/>
      </c>
      <c r="BE1102" s="14">
        <f>F1102*SUMIFS(BD1091:BD1128,B1091:B1128,B1102-in_choti_months)*in_choti_renew*in_choti_ticket</f>
        <v/>
      </c>
      <c r="BF1102" s="40">
        <f>BF1101*(1-IF(B1101&gt;=in_marketplace_from,d_hz_nps*G1101,0))</f>
        <v/>
      </c>
      <c r="BG1102" s="14">
        <f>F1102*BF1102*IF(B1102&gt;=in_marketplace_from,d_hz_nps*G1102,0)*in_nps_ticket*in_nps_comm</f>
        <v/>
      </c>
      <c r="BH1102" s="40">
        <f>BH1101*(1-IF(B1101&gt;=in_marketplace_from,d_hz_gold*G1101,0))</f>
        <v/>
      </c>
      <c r="BI1102" s="40">
        <f>BI1101*d_rho_gold+BH1102*IF(B1102&gt;=in_marketplace_from,d_hz_gold*G1102,0)</f>
        <v/>
      </c>
      <c r="BJ1102" s="14">
        <f>F1102*BI1102*in_gold_ticket*in_gold_comm</f>
        <v/>
      </c>
      <c r="BK1102" s="40">
        <f>BK1101*(1-IF(B1101&gt;=in_marketplace_from,d_hz_fd*G1101,0))</f>
        <v/>
      </c>
      <c r="BL1102" s="14">
        <f>F1102*BK1102*IF(B1102&gt;=in_marketplace_from,d_hz_fd*G1102,0)*in_fd_ticket*in_fd_comm</f>
        <v/>
      </c>
      <c r="BM1102" s="40">
        <f>BM1101*(1-IF(B1101&gt;=in_marketplace_from,d_hz_recharge*G1101,0))</f>
        <v/>
      </c>
      <c r="BN1102" s="40">
        <f>BN1101*d_rho_recharge+BM1102*IF(B1102&gt;=in_marketplace_from,d_hz_recharge*G1102,0)</f>
        <v/>
      </c>
      <c r="BO1102" s="14">
        <f>F1102*BN1102*in_recharge_ticket*in_recharge_comm/12</f>
        <v/>
      </c>
      <c r="BP1102" s="40">
        <f>BP1101*(1-IF(B1101&gt;=in_marketplace_from,d_hz_bills*G1101,0))</f>
        <v/>
      </c>
      <c r="BQ1102" s="40">
        <f>BQ1101*d_rho_bills+BP1102*IF(B1102&gt;=in_marketplace_from,d_hz_bills*G1102,0)</f>
        <v/>
      </c>
      <c r="BR1102" s="14">
        <f>F1102*BQ1102*in_bills_ticket*in_bills_comm/12</f>
        <v/>
      </c>
      <c r="BS1102" s="40">
        <f>BS1101*(1-IF(B1101&gt;=in_marketplace_from,d_hz_loan_gold*G1101,0))</f>
        <v/>
      </c>
      <c r="BT1102" s="14">
        <f>F1102*BS1102*IF(B1102&gt;=in_marketplace_from,d_hz_loan_gold*G1102,0)*in_loan_gold_ticket*in_loan_gold_comm</f>
        <v/>
      </c>
      <c r="BU1102" s="40">
        <f>BU1101*(1-IF(B1101&gt;=in_marketplace_from,d_hz_loan_cd*G1101,0))</f>
        <v/>
      </c>
      <c r="BV1102" s="14">
        <f>F1102*BU1102*IF(B1102&gt;=in_marketplace_from,d_hz_loan_cd*G1102,0)*in_loan_cd_ticket*in_loan_cd_comm</f>
        <v/>
      </c>
      <c r="BW1102" s="40">
        <f>BW1101*(1-IF(B1101&gt;=in_marketplace_from,d_hz_loan_vehicle*G1101,0))</f>
        <v/>
      </c>
      <c r="BX1102" s="14">
        <f>F1102*BW1102*IF(B1102&gt;=in_marketplace_from,d_hz_loan_vehicle*G1102,0)*in_loan_vehicle_ticket*in_loan_vehicle_comm</f>
        <v/>
      </c>
      <c r="BY1102" s="40">
        <f>BY1101*(1-IF(B1101&gt;=in_marketplace_from,d_hz_loan_home*G1101,0)*BZ1101)</f>
        <v/>
      </c>
      <c r="BZ1102" s="11">
        <f>MIN(in_approval_cap,in_loan_home_approval*INDEX('Age profile'!$O$2:$O$61,B1102)*(1+in_approval_growth)^(D1102-1))</f>
        <v/>
      </c>
      <c r="CA1102" s="14">
        <f>F1102*BY1102*IF(B1102&gt;=in_marketplace_from,d_hz_loan_home*G1102,0)*BZ1102*in_loan_home_ticket*in_loan_home_comm</f>
        <v/>
      </c>
      <c r="CB1102" s="40">
        <f>CB1101*(1-IF(B1101&gt;=in_marketplace_from,d_hz_loan_lap*G1101,0)*CC1101)</f>
        <v/>
      </c>
      <c r="CC1102" s="11">
        <f>MIN(in_approval_cap,in_loan_lap_approval*INDEX('Age profile'!$O$2:$O$61,B1102)*(1+in_approval_growth)^(D1102-1))</f>
        <v/>
      </c>
      <c r="CD1102" s="14">
        <f>F1102*CB1102*IF(B1102&gt;=in_marketplace_from,d_hz_loan_lap*G1102,0)*CC1102*in_loan_lap_ticket*in_loan_lap_comm</f>
        <v/>
      </c>
      <c r="CE1102" s="14">
        <f>AA1102+AB1102+AC1102+AD1102+AG1102+AJ1102+AM1102+AP1102+AS1102+AU1102+AX1102+BB1102+BE1102+BG1102+BJ1102+BL1102+BO1102+BR1102+BT1102+BV1102+BX1102+CA1102+CD1102</f>
        <v/>
      </c>
    </row>
    <row r="1103">
      <c r="A1103" s="39" t="n">
        <v>23</v>
      </c>
      <c r="B1103" s="39" t="n">
        <v>13</v>
      </c>
      <c r="C1103" s="39">
        <f>A1103+B1103-1</f>
        <v/>
      </c>
      <c r="D1103" s="39">
        <f>INT((C1103-1)/12)+1</f>
        <v/>
      </c>
      <c r="E1103" s="44">
        <f>INDEX(Monthly!$B$2:$B$61,A1103)</f>
        <v/>
      </c>
      <c r="F1103" s="44">
        <f>E1103*INDEX('Age profile'!$B$2:$B$61,B1103)</f>
        <v/>
      </c>
      <c r="G1103" s="45">
        <f>MIN(in_takeup_cap,INDEX('Age profile'!$N$2:$N$61,B1103)*(1+in_takeup_growth)^(D1103-1))</f>
        <v/>
      </c>
      <c r="H1103" s="11">
        <f>MIN(in_approval_cap,in_approved_first*INDEX('Age profile'!$O$2:$O$61,B1103)*(1+in_approval_growth)^(D1103-1))</f>
        <v/>
      </c>
      <c r="I1103" s="45">
        <f>G1103*MIN(in_takeup_cap,INDEX('Age profile'!$O$2:$O$61,B1103)*(1+in_approval_growth)^(D1103-1))</f>
        <v/>
      </c>
      <c r="J1103" s="40">
        <f>(J1102-L1102)*F1103/F1102</f>
        <v/>
      </c>
      <c r="K1103" s="40">
        <f>(K1102-M1102)*F1103/F1102+SUMIFS(O1091:O1102,B1091:B1102,B1103-1-d_T)*F1103</f>
        <v/>
      </c>
      <c r="L1103" s="40">
        <f>IF(B1103&gt;=in_marketplace_from,J1103*d_hz*G1103*in_eligible*H1103,0)</f>
        <v/>
      </c>
      <c r="M1103" s="40">
        <f>IF(B1103&gt;=in_marketplace_from,K1103*d_hz*G1103*in_eligible*in_approved_repeat,0)</f>
        <v/>
      </c>
      <c r="N1103" s="40">
        <f>L1103+M1103</f>
        <v/>
      </c>
      <c r="O1103" s="46">
        <f>N1103/F1103</f>
        <v/>
      </c>
      <c r="P1103" s="40">
        <f>F1103-J1103-K1103</f>
        <v/>
      </c>
      <c r="Q1103" s="40">
        <f>IF(B1103&gt;=in_marketplace_from,(J1103+K1103)*d_hz*G1103,0)</f>
        <v/>
      </c>
      <c r="R1103" s="40">
        <f>SUMIFS(N1091:N1128,B1091:B1128,"&gt;="&amp;(B1103-d_T),B1091:B1128,"&lt;="&amp;(B1103-1))</f>
        <v/>
      </c>
      <c r="S1103" s="46">
        <f>(1-d_u)*S1102+IF(d_T&gt;in_topup_lag,SUMIFS(O1091:O1128,B1091:B1128,B1103-in_topup_lag)-d_udrop*SUMIFS(O1091:O1128,B1091:B1128,B1103-d_T),0)</f>
        <v/>
      </c>
      <c r="T1103" s="40">
        <f>F1103*d_u*S1103</f>
        <v/>
      </c>
      <c r="U1103" s="9">
        <f>L1103*in_ticket+M1103*d_rep_ticket</f>
        <v/>
      </c>
      <c r="V1103" s="9">
        <f>U1103+T1103*d_topup_amt</f>
        <v/>
      </c>
      <c r="W1103" s="40">
        <f>N1103+T1103*d_topup_ratio</f>
        <v/>
      </c>
      <c r="X1103" s="40">
        <f>SUMIFS(W1091:W1128,B1091:B1128,B1103-in_dpd_lag)*d_cured</f>
        <v/>
      </c>
      <c r="Y1103" s="40">
        <f>SUMIFS(W1091:W1128,B1091:B1128,B1103-in_rec_lag)*d_recd</f>
        <v/>
      </c>
      <c r="Z1103" s="40">
        <f>IF(AND(B1103&gt;=in_marketplace_from,B1103&lt;in_marketplace_from+in_card_months),in_card_share/in_card_months*F1103*I1103,IF(AND(B1103&gt;=in_marketplace_from+in_card_months,B1103&lt;in_marketplace_from+2*in_card_months),in_card_share*d_card_rem/in_card_months*F1103*MIN(in_takeup_cap,(1+in_takeup_growth)^(D1103-1))*MIN(in_takeup_cap,(1+in_approval_growth)^(D1103-1)),0))</f>
        <v/>
      </c>
      <c r="AA1103" s="14">
        <f>V1103*in_fee*(1-in_taken_back)</f>
        <v/>
      </c>
      <c r="AB1103" s="14">
        <f>SUMIFS(W1091:W1128,B1091:B1128,B1103-in_dpd_lag)*d_dpd</f>
        <v/>
      </c>
      <c r="AC1103" s="14">
        <f>SUMIFS(W1091:W1128,B1091:B1128,B1103-in_rec_lag)*d_rec</f>
        <v/>
      </c>
      <c r="AD1103" s="14">
        <f>Z1103*in_card_fee</f>
        <v/>
      </c>
      <c r="AE1103" s="40">
        <f>AE1102*(1-IF(B1102&gt;=in_marketplace_from,d_hz_hlth_small*G1102,0))</f>
        <v/>
      </c>
      <c r="AF1103" s="46">
        <f>AE1103*IF(B1103&gt;=in_marketplace_from,d_hz_hlth_small*G1103,0)</f>
        <v/>
      </c>
      <c r="AG1103" s="14">
        <f>F1103*AF1103*in_hlth_small_ticket*in_hlth_small_comm*in_ins_partner_share+F1103*in_hlth_small_ticket*in_hlth_small_renew_comm*in_ins_partner_share*(in_hlth_small_renew^1*SUMIFS(AF1091:AF1128,B1091:B1128,B1103-12)+in_hlth_small_renew^2*SUMIFS(AF1091:AF1128,B1091:B1128,B1103-24)+in_hlth_small_renew^3*SUMIFS(AF1091:AF1128,B1091:B1128,B1103-36)+in_hlth_small_renew^4*SUMIFS(AF1091:AF1128,B1091:B1128,B1103-48))</f>
        <v/>
      </c>
      <c r="AH1103" s="40">
        <f>AH1102*(1-IF(B1102&gt;=in_marketplace_from,d_hz_hlth_family*G1102,0))</f>
        <v/>
      </c>
      <c r="AI1103" s="46">
        <f>AH1103*IF(B1103&gt;=in_marketplace_from,d_hz_hlth_family*G1103,0)</f>
        <v/>
      </c>
      <c r="AJ1103" s="14">
        <f>F1103*AI1103*in_hlth_family_ticket*in_hlth_family_comm*in_ins_partner_share+F1103*in_hlth_family_ticket*in_hlth_family_renew_comm*in_ins_partner_share*(in_hlth_family_renew^1*SUMIFS(AI1091:AI1128,B1091:B1128,B1103-12)+in_hlth_family_renew^2*SUMIFS(AI1091:AI1128,B1091:B1128,B1103-24)+in_hlth_family_renew^3*SUMIFS(AI1091:AI1128,B1091:B1128,B1103-36)+in_hlth_family_renew^4*SUMIFS(AI1091:AI1128,B1091:B1128,B1103-48))</f>
        <v/>
      </c>
      <c r="AK1103" s="40">
        <f>AK1102*(1-IF(B1102&gt;=in_marketplace_from,d_hz_life_term*G1102,0))</f>
        <v/>
      </c>
      <c r="AL1103" s="46">
        <f>AK1103*IF(B1103&gt;=in_marketplace_from,d_hz_life_term*G1103,0)</f>
        <v/>
      </c>
      <c r="AM1103" s="14">
        <f>F1103*AL1103*in_life_term_ticket*in_life_term_comm*in_ins_partner_share+F1103*in_life_term_ticket*in_life_term_renew_comm*in_ins_partner_share*(in_life_term_renew^1*SUMIFS(AL1091:AL1128,B1091:B1128,B1103-12)+in_life_term_renew^2*SUMIFS(AL1091:AL1128,B1091:B1128,B1103-24)+in_life_term_renew^3*SUMIFS(AL1091:AL1128,B1091:B1128,B1103-36)+in_life_term_renew^4*SUMIFS(AL1091:AL1128,B1091:B1128,B1103-48))</f>
        <v/>
      </c>
      <c r="AN1103" s="40">
        <f>AN1102*(1-IF(B1102&gt;=in_marketplace_from,d_hz_accident*G1102,0))</f>
        <v/>
      </c>
      <c r="AO1103" s="46">
        <f>AN1103*IF(B1103&gt;=in_marketplace_from,d_hz_accident*G1103,0)</f>
        <v/>
      </c>
      <c r="AP1103" s="14">
        <f>F1103*AO1103*in_accident_ticket*in_accident_comm*in_ins_partner_share+F1103*in_accident_ticket*in_accident_renew_comm*in_ins_partner_share*(in_accident_renew^1*SUMIFS(AO1091:AO1128,B1091:B1128,B1103-12)+in_accident_renew^2*SUMIFS(AO1091:AO1128,B1091:B1128,B1103-24)+in_accident_renew^3*SUMIFS(AO1091:AO1128,B1091:B1128,B1103-36)+in_accident_renew^4*SUMIFS(AO1091:AO1128,B1091:B1128,B1103-48))</f>
        <v/>
      </c>
      <c r="AQ1103" s="40">
        <f>AQ1102*(1-IF(B1102&gt;=in_marketplace_from,d_hz_two_wheeler*G1102,0))</f>
        <v/>
      </c>
      <c r="AR1103" s="46">
        <f>AQ1103*IF(B1103&gt;=in_marketplace_from,d_hz_two_wheeler*G1103,0)</f>
        <v/>
      </c>
      <c r="AS1103" s="14">
        <f>F1103*AR1103*in_two_wheeler_ticket*in_two_wheeler_comm*in_ins_partner_share+F1103*in_two_wheeler_ticket*in_two_wheeler_comm*in_ins_partner_share*(in_two_wheeler_renew^1*SUMIFS(AR1091:AR1128,B1091:B1128,B1103-12)+in_two_wheeler_renew^2*SUMIFS(AR1091:AR1128,B1091:B1128,B1103-24)+in_two_wheeler_renew^3*SUMIFS(AR1091:AR1128,B1091:B1128,B1103-36)+in_two_wheeler_renew^4*SUMIFS(AR1091:AR1128,B1091:B1128,B1103-48))</f>
        <v/>
      </c>
      <c r="AT1103" s="40">
        <f>AT1102*(1-IF(B1102&gt;=in_marketplace_from,d_hz_device*G1102,0))</f>
        <v/>
      </c>
      <c r="AU1103" s="14">
        <f>F1103*AT1103*IF(B1103&gt;=in_marketplace_from,d_hz_device*G1103,0)*in_device_ticket*in_device_comm*in_ins_partner_share</f>
        <v/>
      </c>
      <c r="AV1103" s="40">
        <f>AV1102*(1-IF(B1102&gt;=in_marketplace_from,d_hz_shop*G1102,0))</f>
        <v/>
      </c>
      <c r="AW1103" s="46">
        <f>AV1103*IF(B1103&gt;=in_marketplace_from,d_hz_shop*G1103,0)</f>
        <v/>
      </c>
      <c r="AX1103" s="14">
        <f>F1103*AW1103*in_shop_ticket*in_shop_comm*in_ins_partner_share+F1103*in_shop_ticket*in_shop_renew_comm*in_ins_partner_share*(in_shop_renew^1*SUMIFS(AW1091:AW1128,B1091:B1128,B1103-12)+in_shop_renew^2*SUMIFS(AW1091:AW1128,B1091:B1128,B1103-24)+in_shop_renew^3*SUMIFS(AW1091:AW1128,B1091:B1128,B1103-36)+in_shop_renew^4*SUMIFS(AW1091:AW1128,B1091:B1128,B1103-48))</f>
        <v/>
      </c>
      <c r="AY1103" s="40">
        <f>AY1102*(1-IF(B1102&gt;=in_marketplace_from,d_hz_sip*G1102,0))</f>
        <v/>
      </c>
      <c r="AZ1103" s="40">
        <f>AZ1102*d_rho_sip+AY1103*IF(B1103&gt;=in_marketplace_from,d_hz_sip*G1103,0)</f>
        <v/>
      </c>
      <c r="BA1103" s="40">
        <f>d_rho_sip*(BA1102+AZ1102)</f>
        <v/>
      </c>
      <c r="BB1103" s="14">
        <f>F1103*in_sip_ticket*(BA1103+0.5*AZ1103)*in_sip_comm/12</f>
        <v/>
      </c>
      <c r="BC1103" s="40">
        <f>BC1102*(1-IF(B1102&gt;=in_marketplace_from,d_hz_choti*G1102,0))</f>
        <v/>
      </c>
      <c r="BD1103" s="46">
        <f>BC1103*IF(B1103&gt;=in_marketplace_from,d_hz_choti*G1103,0)</f>
        <v/>
      </c>
      <c r="BE1103" s="14">
        <f>F1103*SUMIFS(BD1091:BD1128,B1091:B1128,B1103-in_choti_months)*in_choti_renew*in_choti_ticket</f>
        <v/>
      </c>
      <c r="BF1103" s="40">
        <f>BF1102*(1-IF(B1102&gt;=in_marketplace_from,d_hz_nps*G1102,0))</f>
        <v/>
      </c>
      <c r="BG1103" s="14">
        <f>F1103*BF1103*IF(B1103&gt;=in_marketplace_from,d_hz_nps*G1103,0)*in_nps_ticket*in_nps_comm</f>
        <v/>
      </c>
      <c r="BH1103" s="40">
        <f>BH1102*(1-IF(B1102&gt;=in_marketplace_from,d_hz_gold*G1102,0))</f>
        <v/>
      </c>
      <c r="BI1103" s="40">
        <f>BI1102*d_rho_gold+BH1103*IF(B1103&gt;=in_marketplace_from,d_hz_gold*G1103,0)</f>
        <v/>
      </c>
      <c r="BJ1103" s="14">
        <f>F1103*BI1103*in_gold_ticket*in_gold_comm</f>
        <v/>
      </c>
      <c r="BK1103" s="40">
        <f>BK1102*(1-IF(B1102&gt;=in_marketplace_from,d_hz_fd*G1102,0))</f>
        <v/>
      </c>
      <c r="BL1103" s="14">
        <f>F1103*BK1103*IF(B1103&gt;=in_marketplace_from,d_hz_fd*G1103,0)*in_fd_ticket*in_fd_comm</f>
        <v/>
      </c>
      <c r="BM1103" s="40">
        <f>BM1102*(1-IF(B1102&gt;=in_marketplace_from,d_hz_recharge*G1102,0))</f>
        <v/>
      </c>
      <c r="BN1103" s="40">
        <f>BN1102*d_rho_recharge+BM1103*IF(B1103&gt;=in_marketplace_from,d_hz_recharge*G1103,0)</f>
        <v/>
      </c>
      <c r="BO1103" s="14">
        <f>F1103*BN1103*in_recharge_ticket*in_recharge_comm/12</f>
        <v/>
      </c>
      <c r="BP1103" s="40">
        <f>BP1102*(1-IF(B1102&gt;=in_marketplace_from,d_hz_bills*G1102,0))</f>
        <v/>
      </c>
      <c r="BQ1103" s="40">
        <f>BQ1102*d_rho_bills+BP1103*IF(B1103&gt;=in_marketplace_from,d_hz_bills*G1103,0)</f>
        <v/>
      </c>
      <c r="BR1103" s="14">
        <f>F1103*BQ1103*in_bills_ticket*in_bills_comm/12</f>
        <v/>
      </c>
      <c r="BS1103" s="40">
        <f>BS1102*(1-IF(B1102&gt;=in_marketplace_from,d_hz_loan_gold*G1102,0))</f>
        <v/>
      </c>
      <c r="BT1103" s="14">
        <f>F1103*BS1103*IF(B1103&gt;=in_marketplace_from,d_hz_loan_gold*G1103,0)*in_loan_gold_ticket*in_loan_gold_comm</f>
        <v/>
      </c>
      <c r="BU1103" s="40">
        <f>BU1102*(1-IF(B1102&gt;=in_marketplace_from,d_hz_loan_cd*G1102,0))</f>
        <v/>
      </c>
      <c r="BV1103" s="14">
        <f>F1103*BU1103*IF(B1103&gt;=in_marketplace_from,d_hz_loan_cd*G1103,0)*in_loan_cd_ticket*in_loan_cd_comm</f>
        <v/>
      </c>
      <c r="BW1103" s="40">
        <f>BW1102*(1-IF(B1102&gt;=in_marketplace_from,d_hz_loan_vehicle*G1102,0))</f>
        <v/>
      </c>
      <c r="BX1103" s="14">
        <f>F1103*BW1103*IF(B1103&gt;=in_marketplace_from,d_hz_loan_vehicle*G1103,0)*in_loan_vehicle_ticket*in_loan_vehicle_comm</f>
        <v/>
      </c>
      <c r="BY1103" s="40">
        <f>BY1102*(1-IF(B1102&gt;=in_marketplace_from,d_hz_loan_home*G1102,0)*BZ1102)</f>
        <v/>
      </c>
      <c r="BZ1103" s="11">
        <f>MIN(in_approval_cap,in_loan_home_approval*INDEX('Age profile'!$O$2:$O$61,B1103)*(1+in_approval_growth)^(D1103-1))</f>
        <v/>
      </c>
      <c r="CA1103" s="14">
        <f>F1103*BY1103*IF(B1103&gt;=in_marketplace_from,d_hz_loan_home*G1103,0)*BZ1103*in_loan_home_ticket*in_loan_home_comm</f>
        <v/>
      </c>
      <c r="CB1103" s="40">
        <f>CB1102*(1-IF(B1102&gt;=in_marketplace_from,d_hz_loan_lap*G1102,0)*CC1102)</f>
        <v/>
      </c>
      <c r="CC1103" s="11">
        <f>MIN(in_approval_cap,in_loan_lap_approval*INDEX('Age profile'!$O$2:$O$61,B1103)*(1+in_approval_growth)^(D1103-1))</f>
        <v/>
      </c>
      <c r="CD1103" s="14">
        <f>F1103*CB1103*IF(B1103&gt;=in_marketplace_from,d_hz_loan_lap*G1103,0)*CC1103*in_loan_lap_ticket*in_loan_lap_comm</f>
        <v/>
      </c>
      <c r="CE1103" s="14">
        <f>AA1103+AB1103+AC1103+AD1103+AG1103+AJ1103+AM1103+AP1103+AS1103+AU1103+AX1103+BB1103+BE1103+BG1103+BJ1103+BL1103+BO1103+BR1103+BT1103+BV1103+BX1103+CA1103+CD1103</f>
        <v/>
      </c>
    </row>
    <row r="1104">
      <c r="A1104" s="39" t="n">
        <v>23</v>
      </c>
      <c r="B1104" s="39" t="n">
        <v>14</v>
      </c>
      <c r="C1104" s="39">
        <f>A1104+B1104-1</f>
        <v/>
      </c>
      <c r="D1104" s="39">
        <f>INT((C1104-1)/12)+1</f>
        <v/>
      </c>
      <c r="E1104" s="44">
        <f>INDEX(Monthly!$B$2:$B$61,A1104)</f>
        <v/>
      </c>
      <c r="F1104" s="44">
        <f>E1104*INDEX('Age profile'!$B$2:$B$61,B1104)</f>
        <v/>
      </c>
      <c r="G1104" s="45">
        <f>MIN(in_takeup_cap,INDEX('Age profile'!$N$2:$N$61,B1104)*(1+in_takeup_growth)^(D1104-1))</f>
        <v/>
      </c>
      <c r="H1104" s="11">
        <f>MIN(in_approval_cap,in_approved_first*INDEX('Age profile'!$O$2:$O$61,B1104)*(1+in_approval_growth)^(D1104-1))</f>
        <v/>
      </c>
      <c r="I1104" s="45">
        <f>G1104*MIN(in_takeup_cap,INDEX('Age profile'!$O$2:$O$61,B1104)*(1+in_approval_growth)^(D1104-1))</f>
        <v/>
      </c>
      <c r="J1104" s="40">
        <f>(J1103-L1103)*F1104/F1103</f>
        <v/>
      </c>
      <c r="K1104" s="40">
        <f>(K1103-M1103)*F1104/F1103+SUMIFS(O1091:O1103,B1091:B1103,B1104-1-d_T)*F1104</f>
        <v/>
      </c>
      <c r="L1104" s="40">
        <f>IF(B1104&gt;=in_marketplace_from,J1104*d_hz*G1104*in_eligible*H1104,0)</f>
        <v/>
      </c>
      <c r="M1104" s="40">
        <f>IF(B1104&gt;=in_marketplace_from,K1104*d_hz*G1104*in_eligible*in_approved_repeat,0)</f>
        <v/>
      </c>
      <c r="N1104" s="40">
        <f>L1104+M1104</f>
        <v/>
      </c>
      <c r="O1104" s="46">
        <f>N1104/F1104</f>
        <v/>
      </c>
      <c r="P1104" s="40">
        <f>F1104-J1104-K1104</f>
        <v/>
      </c>
      <c r="Q1104" s="40">
        <f>IF(B1104&gt;=in_marketplace_from,(J1104+K1104)*d_hz*G1104,0)</f>
        <v/>
      </c>
      <c r="R1104" s="40">
        <f>SUMIFS(N1091:N1128,B1091:B1128,"&gt;="&amp;(B1104-d_T),B1091:B1128,"&lt;="&amp;(B1104-1))</f>
        <v/>
      </c>
      <c r="S1104" s="46">
        <f>(1-d_u)*S1103+IF(d_T&gt;in_topup_lag,SUMIFS(O1091:O1128,B1091:B1128,B1104-in_topup_lag)-d_udrop*SUMIFS(O1091:O1128,B1091:B1128,B1104-d_T),0)</f>
        <v/>
      </c>
      <c r="T1104" s="40">
        <f>F1104*d_u*S1104</f>
        <v/>
      </c>
      <c r="U1104" s="9">
        <f>L1104*in_ticket+M1104*d_rep_ticket</f>
        <v/>
      </c>
      <c r="V1104" s="9">
        <f>U1104+T1104*d_topup_amt</f>
        <v/>
      </c>
      <c r="W1104" s="40">
        <f>N1104+T1104*d_topup_ratio</f>
        <v/>
      </c>
      <c r="X1104" s="40">
        <f>SUMIFS(W1091:W1128,B1091:B1128,B1104-in_dpd_lag)*d_cured</f>
        <v/>
      </c>
      <c r="Y1104" s="40">
        <f>SUMIFS(W1091:W1128,B1091:B1128,B1104-in_rec_lag)*d_recd</f>
        <v/>
      </c>
      <c r="Z1104" s="40">
        <f>IF(AND(B1104&gt;=in_marketplace_from,B1104&lt;in_marketplace_from+in_card_months),in_card_share/in_card_months*F1104*I1104,IF(AND(B1104&gt;=in_marketplace_from+in_card_months,B1104&lt;in_marketplace_from+2*in_card_months),in_card_share*d_card_rem/in_card_months*F1104*MIN(in_takeup_cap,(1+in_takeup_growth)^(D1104-1))*MIN(in_takeup_cap,(1+in_approval_growth)^(D1104-1)),0))</f>
        <v/>
      </c>
      <c r="AA1104" s="14">
        <f>V1104*in_fee*(1-in_taken_back)</f>
        <v/>
      </c>
      <c r="AB1104" s="14">
        <f>SUMIFS(W1091:W1128,B1091:B1128,B1104-in_dpd_lag)*d_dpd</f>
        <v/>
      </c>
      <c r="AC1104" s="14">
        <f>SUMIFS(W1091:W1128,B1091:B1128,B1104-in_rec_lag)*d_rec</f>
        <v/>
      </c>
      <c r="AD1104" s="14">
        <f>Z1104*in_card_fee</f>
        <v/>
      </c>
      <c r="AE1104" s="40">
        <f>AE1103*(1-IF(B1103&gt;=in_marketplace_from,d_hz_hlth_small*G1103,0))</f>
        <v/>
      </c>
      <c r="AF1104" s="46">
        <f>AE1104*IF(B1104&gt;=in_marketplace_from,d_hz_hlth_small*G1104,0)</f>
        <v/>
      </c>
      <c r="AG1104" s="14">
        <f>F1104*AF1104*in_hlth_small_ticket*in_hlth_small_comm*in_ins_partner_share+F1104*in_hlth_small_ticket*in_hlth_small_renew_comm*in_ins_partner_share*(in_hlth_small_renew^1*SUMIFS(AF1091:AF1128,B1091:B1128,B1104-12)+in_hlth_small_renew^2*SUMIFS(AF1091:AF1128,B1091:B1128,B1104-24)+in_hlth_small_renew^3*SUMIFS(AF1091:AF1128,B1091:B1128,B1104-36)+in_hlth_small_renew^4*SUMIFS(AF1091:AF1128,B1091:B1128,B1104-48))</f>
        <v/>
      </c>
      <c r="AH1104" s="40">
        <f>AH1103*(1-IF(B1103&gt;=in_marketplace_from,d_hz_hlth_family*G1103,0))</f>
        <v/>
      </c>
      <c r="AI1104" s="46">
        <f>AH1104*IF(B1104&gt;=in_marketplace_from,d_hz_hlth_family*G1104,0)</f>
        <v/>
      </c>
      <c r="AJ1104" s="14">
        <f>F1104*AI1104*in_hlth_family_ticket*in_hlth_family_comm*in_ins_partner_share+F1104*in_hlth_family_ticket*in_hlth_family_renew_comm*in_ins_partner_share*(in_hlth_family_renew^1*SUMIFS(AI1091:AI1128,B1091:B1128,B1104-12)+in_hlth_family_renew^2*SUMIFS(AI1091:AI1128,B1091:B1128,B1104-24)+in_hlth_family_renew^3*SUMIFS(AI1091:AI1128,B1091:B1128,B1104-36)+in_hlth_family_renew^4*SUMIFS(AI1091:AI1128,B1091:B1128,B1104-48))</f>
        <v/>
      </c>
      <c r="AK1104" s="40">
        <f>AK1103*(1-IF(B1103&gt;=in_marketplace_from,d_hz_life_term*G1103,0))</f>
        <v/>
      </c>
      <c r="AL1104" s="46">
        <f>AK1104*IF(B1104&gt;=in_marketplace_from,d_hz_life_term*G1104,0)</f>
        <v/>
      </c>
      <c r="AM1104" s="14">
        <f>F1104*AL1104*in_life_term_ticket*in_life_term_comm*in_ins_partner_share+F1104*in_life_term_ticket*in_life_term_renew_comm*in_ins_partner_share*(in_life_term_renew^1*SUMIFS(AL1091:AL1128,B1091:B1128,B1104-12)+in_life_term_renew^2*SUMIFS(AL1091:AL1128,B1091:B1128,B1104-24)+in_life_term_renew^3*SUMIFS(AL1091:AL1128,B1091:B1128,B1104-36)+in_life_term_renew^4*SUMIFS(AL1091:AL1128,B1091:B1128,B1104-48))</f>
        <v/>
      </c>
      <c r="AN1104" s="40">
        <f>AN1103*(1-IF(B1103&gt;=in_marketplace_from,d_hz_accident*G1103,0))</f>
        <v/>
      </c>
      <c r="AO1104" s="46">
        <f>AN1104*IF(B1104&gt;=in_marketplace_from,d_hz_accident*G1104,0)</f>
        <v/>
      </c>
      <c r="AP1104" s="14">
        <f>F1104*AO1104*in_accident_ticket*in_accident_comm*in_ins_partner_share+F1104*in_accident_ticket*in_accident_renew_comm*in_ins_partner_share*(in_accident_renew^1*SUMIFS(AO1091:AO1128,B1091:B1128,B1104-12)+in_accident_renew^2*SUMIFS(AO1091:AO1128,B1091:B1128,B1104-24)+in_accident_renew^3*SUMIFS(AO1091:AO1128,B1091:B1128,B1104-36)+in_accident_renew^4*SUMIFS(AO1091:AO1128,B1091:B1128,B1104-48))</f>
        <v/>
      </c>
      <c r="AQ1104" s="40">
        <f>AQ1103*(1-IF(B1103&gt;=in_marketplace_from,d_hz_two_wheeler*G1103,0))</f>
        <v/>
      </c>
      <c r="AR1104" s="46">
        <f>AQ1104*IF(B1104&gt;=in_marketplace_from,d_hz_two_wheeler*G1104,0)</f>
        <v/>
      </c>
      <c r="AS1104" s="14">
        <f>F1104*AR1104*in_two_wheeler_ticket*in_two_wheeler_comm*in_ins_partner_share+F1104*in_two_wheeler_ticket*in_two_wheeler_comm*in_ins_partner_share*(in_two_wheeler_renew^1*SUMIFS(AR1091:AR1128,B1091:B1128,B1104-12)+in_two_wheeler_renew^2*SUMIFS(AR1091:AR1128,B1091:B1128,B1104-24)+in_two_wheeler_renew^3*SUMIFS(AR1091:AR1128,B1091:B1128,B1104-36)+in_two_wheeler_renew^4*SUMIFS(AR1091:AR1128,B1091:B1128,B1104-48))</f>
        <v/>
      </c>
      <c r="AT1104" s="40">
        <f>AT1103*(1-IF(B1103&gt;=in_marketplace_from,d_hz_device*G1103,0))</f>
        <v/>
      </c>
      <c r="AU1104" s="14">
        <f>F1104*AT1104*IF(B1104&gt;=in_marketplace_from,d_hz_device*G1104,0)*in_device_ticket*in_device_comm*in_ins_partner_share</f>
        <v/>
      </c>
      <c r="AV1104" s="40">
        <f>AV1103*(1-IF(B1103&gt;=in_marketplace_from,d_hz_shop*G1103,0))</f>
        <v/>
      </c>
      <c r="AW1104" s="46">
        <f>AV1104*IF(B1104&gt;=in_marketplace_from,d_hz_shop*G1104,0)</f>
        <v/>
      </c>
      <c r="AX1104" s="14">
        <f>F1104*AW1104*in_shop_ticket*in_shop_comm*in_ins_partner_share+F1104*in_shop_ticket*in_shop_renew_comm*in_ins_partner_share*(in_shop_renew^1*SUMIFS(AW1091:AW1128,B1091:B1128,B1104-12)+in_shop_renew^2*SUMIFS(AW1091:AW1128,B1091:B1128,B1104-24)+in_shop_renew^3*SUMIFS(AW1091:AW1128,B1091:B1128,B1104-36)+in_shop_renew^4*SUMIFS(AW1091:AW1128,B1091:B1128,B1104-48))</f>
        <v/>
      </c>
      <c r="AY1104" s="40">
        <f>AY1103*(1-IF(B1103&gt;=in_marketplace_from,d_hz_sip*G1103,0))</f>
        <v/>
      </c>
      <c r="AZ1104" s="40">
        <f>AZ1103*d_rho_sip+AY1104*IF(B1104&gt;=in_marketplace_from,d_hz_sip*G1104,0)</f>
        <v/>
      </c>
      <c r="BA1104" s="40">
        <f>d_rho_sip*(BA1103+AZ1103)</f>
        <v/>
      </c>
      <c r="BB1104" s="14">
        <f>F1104*in_sip_ticket*(BA1104+0.5*AZ1104)*in_sip_comm/12</f>
        <v/>
      </c>
      <c r="BC1104" s="40">
        <f>BC1103*(1-IF(B1103&gt;=in_marketplace_from,d_hz_choti*G1103,0))</f>
        <v/>
      </c>
      <c r="BD1104" s="46">
        <f>BC1104*IF(B1104&gt;=in_marketplace_from,d_hz_choti*G1104,0)</f>
        <v/>
      </c>
      <c r="BE1104" s="14">
        <f>F1104*SUMIFS(BD1091:BD1128,B1091:B1128,B1104-in_choti_months)*in_choti_renew*in_choti_ticket</f>
        <v/>
      </c>
      <c r="BF1104" s="40">
        <f>BF1103*(1-IF(B1103&gt;=in_marketplace_from,d_hz_nps*G1103,0))</f>
        <v/>
      </c>
      <c r="BG1104" s="14">
        <f>F1104*BF1104*IF(B1104&gt;=in_marketplace_from,d_hz_nps*G1104,0)*in_nps_ticket*in_nps_comm</f>
        <v/>
      </c>
      <c r="BH1104" s="40">
        <f>BH1103*(1-IF(B1103&gt;=in_marketplace_from,d_hz_gold*G1103,0))</f>
        <v/>
      </c>
      <c r="BI1104" s="40">
        <f>BI1103*d_rho_gold+BH1104*IF(B1104&gt;=in_marketplace_from,d_hz_gold*G1104,0)</f>
        <v/>
      </c>
      <c r="BJ1104" s="14">
        <f>F1104*BI1104*in_gold_ticket*in_gold_comm</f>
        <v/>
      </c>
      <c r="BK1104" s="40">
        <f>BK1103*(1-IF(B1103&gt;=in_marketplace_from,d_hz_fd*G1103,0))</f>
        <v/>
      </c>
      <c r="BL1104" s="14">
        <f>F1104*BK1104*IF(B1104&gt;=in_marketplace_from,d_hz_fd*G1104,0)*in_fd_ticket*in_fd_comm</f>
        <v/>
      </c>
      <c r="BM1104" s="40">
        <f>BM1103*(1-IF(B1103&gt;=in_marketplace_from,d_hz_recharge*G1103,0))</f>
        <v/>
      </c>
      <c r="BN1104" s="40">
        <f>BN1103*d_rho_recharge+BM1104*IF(B1104&gt;=in_marketplace_from,d_hz_recharge*G1104,0)</f>
        <v/>
      </c>
      <c r="BO1104" s="14">
        <f>F1104*BN1104*in_recharge_ticket*in_recharge_comm/12</f>
        <v/>
      </c>
      <c r="BP1104" s="40">
        <f>BP1103*(1-IF(B1103&gt;=in_marketplace_from,d_hz_bills*G1103,0))</f>
        <v/>
      </c>
      <c r="BQ1104" s="40">
        <f>BQ1103*d_rho_bills+BP1104*IF(B1104&gt;=in_marketplace_from,d_hz_bills*G1104,0)</f>
        <v/>
      </c>
      <c r="BR1104" s="14">
        <f>F1104*BQ1104*in_bills_ticket*in_bills_comm/12</f>
        <v/>
      </c>
      <c r="BS1104" s="40">
        <f>BS1103*(1-IF(B1103&gt;=in_marketplace_from,d_hz_loan_gold*G1103,0))</f>
        <v/>
      </c>
      <c r="BT1104" s="14">
        <f>F1104*BS1104*IF(B1104&gt;=in_marketplace_from,d_hz_loan_gold*G1104,0)*in_loan_gold_ticket*in_loan_gold_comm</f>
        <v/>
      </c>
      <c r="BU1104" s="40">
        <f>BU1103*(1-IF(B1103&gt;=in_marketplace_from,d_hz_loan_cd*G1103,0))</f>
        <v/>
      </c>
      <c r="BV1104" s="14">
        <f>F1104*BU1104*IF(B1104&gt;=in_marketplace_from,d_hz_loan_cd*G1104,0)*in_loan_cd_ticket*in_loan_cd_comm</f>
        <v/>
      </c>
      <c r="BW1104" s="40">
        <f>BW1103*(1-IF(B1103&gt;=in_marketplace_from,d_hz_loan_vehicle*G1103,0))</f>
        <v/>
      </c>
      <c r="BX1104" s="14">
        <f>F1104*BW1104*IF(B1104&gt;=in_marketplace_from,d_hz_loan_vehicle*G1104,0)*in_loan_vehicle_ticket*in_loan_vehicle_comm</f>
        <v/>
      </c>
      <c r="BY1104" s="40">
        <f>BY1103*(1-IF(B1103&gt;=in_marketplace_from,d_hz_loan_home*G1103,0)*BZ1103)</f>
        <v/>
      </c>
      <c r="BZ1104" s="11">
        <f>MIN(in_approval_cap,in_loan_home_approval*INDEX('Age profile'!$O$2:$O$61,B1104)*(1+in_approval_growth)^(D1104-1))</f>
        <v/>
      </c>
      <c r="CA1104" s="14">
        <f>F1104*BY1104*IF(B1104&gt;=in_marketplace_from,d_hz_loan_home*G1104,0)*BZ1104*in_loan_home_ticket*in_loan_home_comm</f>
        <v/>
      </c>
      <c r="CB1104" s="40">
        <f>CB1103*(1-IF(B1103&gt;=in_marketplace_from,d_hz_loan_lap*G1103,0)*CC1103)</f>
        <v/>
      </c>
      <c r="CC1104" s="11">
        <f>MIN(in_approval_cap,in_loan_lap_approval*INDEX('Age profile'!$O$2:$O$61,B1104)*(1+in_approval_growth)^(D1104-1))</f>
        <v/>
      </c>
      <c r="CD1104" s="14">
        <f>F1104*CB1104*IF(B1104&gt;=in_marketplace_from,d_hz_loan_lap*G1104,0)*CC1104*in_loan_lap_ticket*in_loan_lap_comm</f>
        <v/>
      </c>
      <c r="CE1104" s="14">
        <f>AA1104+AB1104+AC1104+AD1104+AG1104+AJ1104+AM1104+AP1104+AS1104+AU1104+AX1104+BB1104+BE1104+BG1104+BJ1104+BL1104+BO1104+BR1104+BT1104+BV1104+BX1104+CA1104+CD1104</f>
        <v/>
      </c>
    </row>
    <row r="1105">
      <c r="A1105" s="39" t="n">
        <v>23</v>
      </c>
      <c r="B1105" s="39" t="n">
        <v>15</v>
      </c>
      <c r="C1105" s="39">
        <f>A1105+B1105-1</f>
        <v/>
      </c>
      <c r="D1105" s="39">
        <f>INT((C1105-1)/12)+1</f>
        <v/>
      </c>
      <c r="E1105" s="44">
        <f>INDEX(Monthly!$B$2:$B$61,A1105)</f>
        <v/>
      </c>
      <c r="F1105" s="44">
        <f>E1105*INDEX('Age profile'!$B$2:$B$61,B1105)</f>
        <v/>
      </c>
      <c r="G1105" s="45">
        <f>MIN(in_takeup_cap,INDEX('Age profile'!$N$2:$N$61,B1105)*(1+in_takeup_growth)^(D1105-1))</f>
        <v/>
      </c>
      <c r="H1105" s="11">
        <f>MIN(in_approval_cap,in_approved_first*INDEX('Age profile'!$O$2:$O$61,B1105)*(1+in_approval_growth)^(D1105-1))</f>
        <v/>
      </c>
      <c r="I1105" s="45">
        <f>G1105*MIN(in_takeup_cap,INDEX('Age profile'!$O$2:$O$61,B1105)*(1+in_approval_growth)^(D1105-1))</f>
        <v/>
      </c>
      <c r="J1105" s="40">
        <f>(J1104-L1104)*F1105/F1104</f>
        <v/>
      </c>
      <c r="K1105" s="40">
        <f>(K1104-M1104)*F1105/F1104+SUMIFS(O1091:O1104,B1091:B1104,B1105-1-d_T)*F1105</f>
        <v/>
      </c>
      <c r="L1105" s="40">
        <f>IF(B1105&gt;=in_marketplace_from,J1105*d_hz*G1105*in_eligible*H1105,0)</f>
        <v/>
      </c>
      <c r="M1105" s="40">
        <f>IF(B1105&gt;=in_marketplace_from,K1105*d_hz*G1105*in_eligible*in_approved_repeat,0)</f>
        <v/>
      </c>
      <c r="N1105" s="40">
        <f>L1105+M1105</f>
        <v/>
      </c>
      <c r="O1105" s="46">
        <f>N1105/F1105</f>
        <v/>
      </c>
      <c r="P1105" s="40">
        <f>F1105-J1105-K1105</f>
        <v/>
      </c>
      <c r="Q1105" s="40">
        <f>IF(B1105&gt;=in_marketplace_from,(J1105+K1105)*d_hz*G1105,0)</f>
        <v/>
      </c>
      <c r="R1105" s="40">
        <f>SUMIFS(N1091:N1128,B1091:B1128,"&gt;="&amp;(B1105-d_T),B1091:B1128,"&lt;="&amp;(B1105-1))</f>
        <v/>
      </c>
      <c r="S1105" s="46">
        <f>(1-d_u)*S1104+IF(d_T&gt;in_topup_lag,SUMIFS(O1091:O1128,B1091:B1128,B1105-in_topup_lag)-d_udrop*SUMIFS(O1091:O1128,B1091:B1128,B1105-d_T),0)</f>
        <v/>
      </c>
      <c r="T1105" s="40">
        <f>F1105*d_u*S1105</f>
        <v/>
      </c>
      <c r="U1105" s="9">
        <f>L1105*in_ticket+M1105*d_rep_ticket</f>
        <v/>
      </c>
      <c r="V1105" s="9">
        <f>U1105+T1105*d_topup_amt</f>
        <v/>
      </c>
      <c r="W1105" s="40">
        <f>N1105+T1105*d_topup_ratio</f>
        <v/>
      </c>
      <c r="X1105" s="40">
        <f>SUMIFS(W1091:W1128,B1091:B1128,B1105-in_dpd_lag)*d_cured</f>
        <v/>
      </c>
      <c r="Y1105" s="40">
        <f>SUMIFS(W1091:W1128,B1091:B1128,B1105-in_rec_lag)*d_recd</f>
        <v/>
      </c>
      <c r="Z1105" s="40">
        <f>IF(AND(B1105&gt;=in_marketplace_from,B1105&lt;in_marketplace_from+in_card_months),in_card_share/in_card_months*F1105*I1105,IF(AND(B1105&gt;=in_marketplace_from+in_card_months,B1105&lt;in_marketplace_from+2*in_card_months),in_card_share*d_card_rem/in_card_months*F1105*MIN(in_takeup_cap,(1+in_takeup_growth)^(D1105-1))*MIN(in_takeup_cap,(1+in_approval_growth)^(D1105-1)),0))</f>
        <v/>
      </c>
      <c r="AA1105" s="14">
        <f>V1105*in_fee*(1-in_taken_back)</f>
        <v/>
      </c>
      <c r="AB1105" s="14">
        <f>SUMIFS(W1091:W1128,B1091:B1128,B1105-in_dpd_lag)*d_dpd</f>
        <v/>
      </c>
      <c r="AC1105" s="14">
        <f>SUMIFS(W1091:W1128,B1091:B1128,B1105-in_rec_lag)*d_rec</f>
        <v/>
      </c>
      <c r="AD1105" s="14">
        <f>Z1105*in_card_fee</f>
        <v/>
      </c>
      <c r="AE1105" s="40">
        <f>AE1104*(1-IF(B1104&gt;=in_marketplace_from,d_hz_hlth_small*G1104,0))</f>
        <v/>
      </c>
      <c r="AF1105" s="46">
        <f>AE1105*IF(B1105&gt;=in_marketplace_from,d_hz_hlth_small*G1105,0)</f>
        <v/>
      </c>
      <c r="AG1105" s="14">
        <f>F1105*AF1105*in_hlth_small_ticket*in_hlth_small_comm*in_ins_partner_share+F1105*in_hlth_small_ticket*in_hlth_small_renew_comm*in_ins_partner_share*(in_hlth_small_renew^1*SUMIFS(AF1091:AF1128,B1091:B1128,B1105-12)+in_hlth_small_renew^2*SUMIFS(AF1091:AF1128,B1091:B1128,B1105-24)+in_hlth_small_renew^3*SUMIFS(AF1091:AF1128,B1091:B1128,B1105-36)+in_hlth_small_renew^4*SUMIFS(AF1091:AF1128,B1091:B1128,B1105-48))</f>
        <v/>
      </c>
      <c r="AH1105" s="40">
        <f>AH1104*(1-IF(B1104&gt;=in_marketplace_from,d_hz_hlth_family*G1104,0))</f>
        <v/>
      </c>
      <c r="AI1105" s="46">
        <f>AH1105*IF(B1105&gt;=in_marketplace_from,d_hz_hlth_family*G1105,0)</f>
        <v/>
      </c>
      <c r="AJ1105" s="14">
        <f>F1105*AI1105*in_hlth_family_ticket*in_hlth_family_comm*in_ins_partner_share+F1105*in_hlth_family_ticket*in_hlth_family_renew_comm*in_ins_partner_share*(in_hlth_family_renew^1*SUMIFS(AI1091:AI1128,B1091:B1128,B1105-12)+in_hlth_family_renew^2*SUMIFS(AI1091:AI1128,B1091:B1128,B1105-24)+in_hlth_family_renew^3*SUMIFS(AI1091:AI1128,B1091:B1128,B1105-36)+in_hlth_family_renew^4*SUMIFS(AI1091:AI1128,B1091:B1128,B1105-48))</f>
        <v/>
      </c>
      <c r="AK1105" s="40">
        <f>AK1104*(1-IF(B1104&gt;=in_marketplace_from,d_hz_life_term*G1104,0))</f>
        <v/>
      </c>
      <c r="AL1105" s="46">
        <f>AK1105*IF(B1105&gt;=in_marketplace_from,d_hz_life_term*G1105,0)</f>
        <v/>
      </c>
      <c r="AM1105" s="14">
        <f>F1105*AL1105*in_life_term_ticket*in_life_term_comm*in_ins_partner_share+F1105*in_life_term_ticket*in_life_term_renew_comm*in_ins_partner_share*(in_life_term_renew^1*SUMIFS(AL1091:AL1128,B1091:B1128,B1105-12)+in_life_term_renew^2*SUMIFS(AL1091:AL1128,B1091:B1128,B1105-24)+in_life_term_renew^3*SUMIFS(AL1091:AL1128,B1091:B1128,B1105-36)+in_life_term_renew^4*SUMIFS(AL1091:AL1128,B1091:B1128,B1105-48))</f>
        <v/>
      </c>
      <c r="AN1105" s="40">
        <f>AN1104*(1-IF(B1104&gt;=in_marketplace_from,d_hz_accident*G1104,0))</f>
        <v/>
      </c>
      <c r="AO1105" s="46">
        <f>AN1105*IF(B1105&gt;=in_marketplace_from,d_hz_accident*G1105,0)</f>
        <v/>
      </c>
      <c r="AP1105" s="14">
        <f>F1105*AO1105*in_accident_ticket*in_accident_comm*in_ins_partner_share+F1105*in_accident_ticket*in_accident_renew_comm*in_ins_partner_share*(in_accident_renew^1*SUMIFS(AO1091:AO1128,B1091:B1128,B1105-12)+in_accident_renew^2*SUMIFS(AO1091:AO1128,B1091:B1128,B1105-24)+in_accident_renew^3*SUMIFS(AO1091:AO1128,B1091:B1128,B1105-36)+in_accident_renew^4*SUMIFS(AO1091:AO1128,B1091:B1128,B1105-48))</f>
        <v/>
      </c>
      <c r="AQ1105" s="40">
        <f>AQ1104*(1-IF(B1104&gt;=in_marketplace_from,d_hz_two_wheeler*G1104,0))</f>
        <v/>
      </c>
      <c r="AR1105" s="46">
        <f>AQ1105*IF(B1105&gt;=in_marketplace_from,d_hz_two_wheeler*G1105,0)</f>
        <v/>
      </c>
      <c r="AS1105" s="14">
        <f>F1105*AR1105*in_two_wheeler_ticket*in_two_wheeler_comm*in_ins_partner_share+F1105*in_two_wheeler_ticket*in_two_wheeler_comm*in_ins_partner_share*(in_two_wheeler_renew^1*SUMIFS(AR1091:AR1128,B1091:B1128,B1105-12)+in_two_wheeler_renew^2*SUMIFS(AR1091:AR1128,B1091:B1128,B1105-24)+in_two_wheeler_renew^3*SUMIFS(AR1091:AR1128,B1091:B1128,B1105-36)+in_two_wheeler_renew^4*SUMIFS(AR1091:AR1128,B1091:B1128,B1105-48))</f>
        <v/>
      </c>
      <c r="AT1105" s="40">
        <f>AT1104*(1-IF(B1104&gt;=in_marketplace_from,d_hz_device*G1104,0))</f>
        <v/>
      </c>
      <c r="AU1105" s="14">
        <f>F1105*AT1105*IF(B1105&gt;=in_marketplace_from,d_hz_device*G1105,0)*in_device_ticket*in_device_comm*in_ins_partner_share</f>
        <v/>
      </c>
      <c r="AV1105" s="40">
        <f>AV1104*(1-IF(B1104&gt;=in_marketplace_from,d_hz_shop*G1104,0))</f>
        <v/>
      </c>
      <c r="AW1105" s="46">
        <f>AV1105*IF(B1105&gt;=in_marketplace_from,d_hz_shop*G1105,0)</f>
        <v/>
      </c>
      <c r="AX1105" s="14">
        <f>F1105*AW1105*in_shop_ticket*in_shop_comm*in_ins_partner_share+F1105*in_shop_ticket*in_shop_renew_comm*in_ins_partner_share*(in_shop_renew^1*SUMIFS(AW1091:AW1128,B1091:B1128,B1105-12)+in_shop_renew^2*SUMIFS(AW1091:AW1128,B1091:B1128,B1105-24)+in_shop_renew^3*SUMIFS(AW1091:AW1128,B1091:B1128,B1105-36)+in_shop_renew^4*SUMIFS(AW1091:AW1128,B1091:B1128,B1105-48))</f>
        <v/>
      </c>
      <c r="AY1105" s="40">
        <f>AY1104*(1-IF(B1104&gt;=in_marketplace_from,d_hz_sip*G1104,0))</f>
        <v/>
      </c>
      <c r="AZ1105" s="40">
        <f>AZ1104*d_rho_sip+AY1105*IF(B1105&gt;=in_marketplace_from,d_hz_sip*G1105,0)</f>
        <v/>
      </c>
      <c r="BA1105" s="40">
        <f>d_rho_sip*(BA1104+AZ1104)</f>
        <v/>
      </c>
      <c r="BB1105" s="14">
        <f>F1105*in_sip_ticket*(BA1105+0.5*AZ1105)*in_sip_comm/12</f>
        <v/>
      </c>
      <c r="BC1105" s="40">
        <f>BC1104*(1-IF(B1104&gt;=in_marketplace_from,d_hz_choti*G1104,0))</f>
        <v/>
      </c>
      <c r="BD1105" s="46">
        <f>BC1105*IF(B1105&gt;=in_marketplace_from,d_hz_choti*G1105,0)</f>
        <v/>
      </c>
      <c r="BE1105" s="14">
        <f>F1105*SUMIFS(BD1091:BD1128,B1091:B1128,B1105-in_choti_months)*in_choti_renew*in_choti_ticket</f>
        <v/>
      </c>
      <c r="BF1105" s="40">
        <f>BF1104*(1-IF(B1104&gt;=in_marketplace_from,d_hz_nps*G1104,0))</f>
        <v/>
      </c>
      <c r="BG1105" s="14">
        <f>F1105*BF1105*IF(B1105&gt;=in_marketplace_from,d_hz_nps*G1105,0)*in_nps_ticket*in_nps_comm</f>
        <v/>
      </c>
      <c r="BH1105" s="40">
        <f>BH1104*(1-IF(B1104&gt;=in_marketplace_from,d_hz_gold*G1104,0))</f>
        <v/>
      </c>
      <c r="BI1105" s="40">
        <f>BI1104*d_rho_gold+BH1105*IF(B1105&gt;=in_marketplace_from,d_hz_gold*G1105,0)</f>
        <v/>
      </c>
      <c r="BJ1105" s="14">
        <f>F1105*BI1105*in_gold_ticket*in_gold_comm</f>
        <v/>
      </c>
      <c r="BK1105" s="40">
        <f>BK1104*(1-IF(B1104&gt;=in_marketplace_from,d_hz_fd*G1104,0))</f>
        <v/>
      </c>
      <c r="BL1105" s="14">
        <f>F1105*BK1105*IF(B1105&gt;=in_marketplace_from,d_hz_fd*G1105,0)*in_fd_ticket*in_fd_comm</f>
        <v/>
      </c>
      <c r="BM1105" s="40">
        <f>BM1104*(1-IF(B1104&gt;=in_marketplace_from,d_hz_recharge*G1104,0))</f>
        <v/>
      </c>
      <c r="BN1105" s="40">
        <f>BN1104*d_rho_recharge+BM1105*IF(B1105&gt;=in_marketplace_from,d_hz_recharge*G1105,0)</f>
        <v/>
      </c>
      <c r="BO1105" s="14">
        <f>F1105*BN1105*in_recharge_ticket*in_recharge_comm/12</f>
        <v/>
      </c>
      <c r="BP1105" s="40">
        <f>BP1104*(1-IF(B1104&gt;=in_marketplace_from,d_hz_bills*G1104,0))</f>
        <v/>
      </c>
      <c r="BQ1105" s="40">
        <f>BQ1104*d_rho_bills+BP1105*IF(B1105&gt;=in_marketplace_from,d_hz_bills*G1105,0)</f>
        <v/>
      </c>
      <c r="BR1105" s="14">
        <f>F1105*BQ1105*in_bills_ticket*in_bills_comm/12</f>
        <v/>
      </c>
      <c r="BS1105" s="40">
        <f>BS1104*(1-IF(B1104&gt;=in_marketplace_from,d_hz_loan_gold*G1104,0))</f>
        <v/>
      </c>
      <c r="BT1105" s="14">
        <f>F1105*BS1105*IF(B1105&gt;=in_marketplace_from,d_hz_loan_gold*G1105,0)*in_loan_gold_ticket*in_loan_gold_comm</f>
        <v/>
      </c>
      <c r="BU1105" s="40">
        <f>BU1104*(1-IF(B1104&gt;=in_marketplace_from,d_hz_loan_cd*G1104,0))</f>
        <v/>
      </c>
      <c r="BV1105" s="14">
        <f>F1105*BU1105*IF(B1105&gt;=in_marketplace_from,d_hz_loan_cd*G1105,0)*in_loan_cd_ticket*in_loan_cd_comm</f>
        <v/>
      </c>
      <c r="BW1105" s="40">
        <f>BW1104*(1-IF(B1104&gt;=in_marketplace_from,d_hz_loan_vehicle*G1104,0))</f>
        <v/>
      </c>
      <c r="BX1105" s="14">
        <f>F1105*BW1105*IF(B1105&gt;=in_marketplace_from,d_hz_loan_vehicle*G1105,0)*in_loan_vehicle_ticket*in_loan_vehicle_comm</f>
        <v/>
      </c>
      <c r="BY1105" s="40">
        <f>BY1104*(1-IF(B1104&gt;=in_marketplace_from,d_hz_loan_home*G1104,0)*BZ1104)</f>
        <v/>
      </c>
      <c r="BZ1105" s="11">
        <f>MIN(in_approval_cap,in_loan_home_approval*INDEX('Age profile'!$O$2:$O$61,B1105)*(1+in_approval_growth)^(D1105-1))</f>
        <v/>
      </c>
      <c r="CA1105" s="14">
        <f>F1105*BY1105*IF(B1105&gt;=in_marketplace_from,d_hz_loan_home*G1105,0)*BZ1105*in_loan_home_ticket*in_loan_home_comm</f>
        <v/>
      </c>
      <c r="CB1105" s="40">
        <f>CB1104*(1-IF(B1104&gt;=in_marketplace_from,d_hz_loan_lap*G1104,0)*CC1104)</f>
        <v/>
      </c>
      <c r="CC1105" s="11">
        <f>MIN(in_approval_cap,in_loan_lap_approval*INDEX('Age profile'!$O$2:$O$61,B1105)*(1+in_approval_growth)^(D1105-1))</f>
        <v/>
      </c>
      <c r="CD1105" s="14">
        <f>F1105*CB1105*IF(B1105&gt;=in_marketplace_from,d_hz_loan_lap*G1105,0)*CC1105*in_loan_lap_ticket*in_loan_lap_comm</f>
        <v/>
      </c>
      <c r="CE1105" s="14">
        <f>AA1105+AB1105+AC1105+AD1105+AG1105+AJ1105+AM1105+AP1105+AS1105+AU1105+AX1105+BB1105+BE1105+BG1105+BJ1105+BL1105+BO1105+BR1105+BT1105+BV1105+BX1105+CA1105+CD1105</f>
        <v/>
      </c>
    </row>
    <row r="1106">
      <c r="A1106" s="39" t="n">
        <v>23</v>
      </c>
      <c r="B1106" s="39" t="n">
        <v>16</v>
      </c>
      <c r="C1106" s="39">
        <f>A1106+B1106-1</f>
        <v/>
      </c>
      <c r="D1106" s="39">
        <f>INT((C1106-1)/12)+1</f>
        <v/>
      </c>
      <c r="E1106" s="44">
        <f>INDEX(Monthly!$B$2:$B$61,A1106)</f>
        <v/>
      </c>
      <c r="F1106" s="44">
        <f>E1106*INDEX('Age profile'!$B$2:$B$61,B1106)</f>
        <v/>
      </c>
      <c r="G1106" s="45">
        <f>MIN(in_takeup_cap,INDEX('Age profile'!$N$2:$N$61,B1106)*(1+in_takeup_growth)^(D1106-1))</f>
        <v/>
      </c>
      <c r="H1106" s="11">
        <f>MIN(in_approval_cap,in_approved_first*INDEX('Age profile'!$O$2:$O$61,B1106)*(1+in_approval_growth)^(D1106-1))</f>
        <v/>
      </c>
      <c r="I1106" s="45">
        <f>G1106*MIN(in_takeup_cap,INDEX('Age profile'!$O$2:$O$61,B1106)*(1+in_approval_growth)^(D1106-1))</f>
        <v/>
      </c>
      <c r="J1106" s="40">
        <f>(J1105-L1105)*F1106/F1105</f>
        <v/>
      </c>
      <c r="K1106" s="40">
        <f>(K1105-M1105)*F1106/F1105+SUMIFS(O1091:O1105,B1091:B1105,B1106-1-d_T)*F1106</f>
        <v/>
      </c>
      <c r="L1106" s="40">
        <f>IF(B1106&gt;=in_marketplace_from,J1106*d_hz*G1106*in_eligible*H1106,0)</f>
        <v/>
      </c>
      <c r="M1106" s="40">
        <f>IF(B1106&gt;=in_marketplace_from,K1106*d_hz*G1106*in_eligible*in_approved_repeat,0)</f>
        <v/>
      </c>
      <c r="N1106" s="40">
        <f>L1106+M1106</f>
        <v/>
      </c>
      <c r="O1106" s="46">
        <f>N1106/F1106</f>
        <v/>
      </c>
      <c r="P1106" s="40">
        <f>F1106-J1106-K1106</f>
        <v/>
      </c>
      <c r="Q1106" s="40">
        <f>IF(B1106&gt;=in_marketplace_from,(J1106+K1106)*d_hz*G1106,0)</f>
        <v/>
      </c>
      <c r="R1106" s="40">
        <f>SUMIFS(N1091:N1128,B1091:B1128,"&gt;="&amp;(B1106-d_T),B1091:B1128,"&lt;="&amp;(B1106-1))</f>
        <v/>
      </c>
      <c r="S1106" s="46">
        <f>(1-d_u)*S1105+IF(d_T&gt;in_topup_lag,SUMIFS(O1091:O1128,B1091:B1128,B1106-in_topup_lag)-d_udrop*SUMIFS(O1091:O1128,B1091:B1128,B1106-d_T),0)</f>
        <v/>
      </c>
      <c r="T1106" s="40">
        <f>F1106*d_u*S1106</f>
        <v/>
      </c>
      <c r="U1106" s="9">
        <f>L1106*in_ticket+M1106*d_rep_ticket</f>
        <v/>
      </c>
      <c r="V1106" s="9">
        <f>U1106+T1106*d_topup_amt</f>
        <v/>
      </c>
      <c r="W1106" s="40">
        <f>N1106+T1106*d_topup_ratio</f>
        <v/>
      </c>
      <c r="X1106" s="40">
        <f>SUMIFS(W1091:W1128,B1091:B1128,B1106-in_dpd_lag)*d_cured</f>
        <v/>
      </c>
      <c r="Y1106" s="40">
        <f>SUMIFS(W1091:W1128,B1091:B1128,B1106-in_rec_lag)*d_recd</f>
        <v/>
      </c>
      <c r="Z1106" s="40">
        <f>IF(AND(B1106&gt;=in_marketplace_from,B1106&lt;in_marketplace_from+in_card_months),in_card_share/in_card_months*F1106*I1106,IF(AND(B1106&gt;=in_marketplace_from+in_card_months,B1106&lt;in_marketplace_from+2*in_card_months),in_card_share*d_card_rem/in_card_months*F1106*MIN(in_takeup_cap,(1+in_takeup_growth)^(D1106-1))*MIN(in_takeup_cap,(1+in_approval_growth)^(D1106-1)),0))</f>
        <v/>
      </c>
      <c r="AA1106" s="14">
        <f>V1106*in_fee*(1-in_taken_back)</f>
        <v/>
      </c>
      <c r="AB1106" s="14">
        <f>SUMIFS(W1091:W1128,B1091:B1128,B1106-in_dpd_lag)*d_dpd</f>
        <v/>
      </c>
      <c r="AC1106" s="14">
        <f>SUMIFS(W1091:W1128,B1091:B1128,B1106-in_rec_lag)*d_rec</f>
        <v/>
      </c>
      <c r="AD1106" s="14">
        <f>Z1106*in_card_fee</f>
        <v/>
      </c>
      <c r="AE1106" s="40">
        <f>AE1105*(1-IF(B1105&gt;=in_marketplace_from,d_hz_hlth_small*G1105,0))</f>
        <v/>
      </c>
      <c r="AF1106" s="46">
        <f>AE1106*IF(B1106&gt;=in_marketplace_from,d_hz_hlth_small*G1106,0)</f>
        <v/>
      </c>
      <c r="AG1106" s="14">
        <f>F1106*AF1106*in_hlth_small_ticket*in_hlth_small_comm*in_ins_partner_share+F1106*in_hlth_small_ticket*in_hlth_small_renew_comm*in_ins_partner_share*(in_hlth_small_renew^1*SUMIFS(AF1091:AF1128,B1091:B1128,B1106-12)+in_hlth_small_renew^2*SUMIFS(AF1091:AF1128,B1091:B1128,B1106-24)+in_hlth_small_renew^3*SUMIFS(AF1091:AF1128,B1091:B1128,B1106-36)+in_hlth_small_renew^4*SUMIFS(AF1091:AF1128,B1091:B1128,B1106-48))</f>
        <v/>
      </c>
      <c r="AH1106" s="40">
        <f>AH1105*(1-IF(B1105&gt;=in_marketplace_from,d_hz_hlth_family*G1105,0))</f>
        <v/>
      </c>
      <c r="AI1106" s="46">
        <f>AH1106*IF(B1106&gt;=in_marketplace_from,d_hz_hlth_family*G1106,0)</f>
        <v/>
      </c>
      <c r="AJ1106" s="14">
        <f>F1106*AI1106*in_hlth_family_ticket*in_hlth_family_comm*in_ins_partner_share+F1106*in_hlth_family_ticket*in_hlth_family_renew_comm*in_ins_partner_share*(in_hlth_family_renew^1*SUMIFS(AI1091:AI1128,B1091:B1128,B1106-12)+in_hlth_family_renew^2*SUMIFS(AI1091:AI1128,B1091:B1128,B1106-24)+in_hlth_family_renew^3*SUMIFS(AI1091:AI1128,B1091:B1128,B1106-36)+in_hlth_family_renew^4*SUMIFS(AI1091:AI1128,B1091:B1128,B1106-48))</f>
        <v/>
      </c>
      <c r="AK1106" s="40">
        <f>AK1105*(1-IF(B1105&gt;=in_marketplace_from,d_hz_life_term*G1105,0))</f>
        <v/>
      </c>
      <c r="AL1106" s="46">
        <f>AK1106*IF(B1106&gt;=in_marketplace_from,d_hz_life_term*G1106,0)</f>
        <v/>
      </c>
      <c r="AM1106" s="14">
        <f>F1106*AL1106*in_life_term_ticket*in_life_term_comm*in_ins_partner_share+F1106*in_life_term_ticket*in_life_term_renew_comm*in_ins_partner_share*(in_life_term_renew^1*SUMIFS(AL1091:AL1128,B1091:B1128,B1106-12)+in_life_term_renew^2*SUMIFS(AL1091:AL1128,B1091:B1128,B1106-24)+in_life_term_renew^3*SUMIFS(AL1091:AL1128,B1091:B1128,B1106-36)+in_life_term_renew^4*SUMIFS(AL1091:AL1128,B1091:B1128,B1106-48))</f>
        <v/>
      </c>
      <c r="AN1106" s="40">
        <f>AN1105*(1-IF(B1105&gt;=in_marketplace_from,d_hz_accident*G1105,0))</f>
        <v/>
      </c>
      <c r="AO1106" s="46">
        <f>AN1106*IF(B1106&gt;=in_marketplace_from,d_hz_accident*G1106,0)</f>
        <v/>
      </c>
      <c r="AP1106" s="14">
        <f>F1106*AO1106*in_accident_ticket*in_accident_comm*in_ins_partner_share+F1106*in_accident_ticket*in_accident_renew_comm*in_ins_partner_share*(in_accident_renew^1*SUMIFS(AO1091:AO1128,B1091:B1128,B1106-12)+in_accident_renew^2*SUMIFS(AO1091:AO1128,B1091:B1128,B1106-24)+in_accident_renew^3*SUMIFS(AO1091:AO1128,B1091:B1128,B1106-36)+in_accident_renew^4*SUMIFS(AO1091:AO1128,B1091:B1128,B1106-48))</f>
        <v/>
      </c>
      <c r="AQ1106" s="40">
        <f>AQ1105*(1-IF(B1105&gt;=in_marketplace_from,d_hz_two_wheeler*G1105,0))</f>
        <v/>
      </c>
      <c r="AR1106" s="46">
        <f>AQ1106*IF(B1106&gt;=in_marketplace_from,d_hz_two_wheeler*G1106,0)</f>
        <v/>
      </c>
      <c r="AS1106" s="14">
        <f>F1106*AR1106*in_two_wheeler_ticket*in_two_wheeler_comm*in_ins_partner_share+F1106*in_two_wheeler_ticket*in_two_wheeler_comm*in_ins_partner_share*(in_two_wheeler_renew^1*SUMIFS(AR1091:AR1128,B1091:B1128,B1106-12)+in_two_wheeler_renew^2*SUMIFS(AR1091:AR1128,B1091:B1128,B1106-24)+in_two_wheeler_renew^3*SUMIFS(AR1091:AR1128,B1091:B1128,B1106-36)+in_two_wheeler_renew^4*SUMIFS(AR1091:AR1128,B1091:B1128,B1106-48))</f>
        <v/>
      </c>
      <c r="AT1106" s="40">
        <f>AT1105*(1-IF(B1105&gt;=in_marketplace_from,d_hz_device*G1105,0))</f>
        <v/>
      </c>
      <c r="AU1106" s="14">
        <f>F1106*AT1106*IF(B1106&gt;=in_marketplace_from,d_hz_device*G1106,0)*in_device_ticket*in_device_comm*in_ins_partner_share</f>
        <v/>
      </c>
      <c r="AV1106" s="40">
        <f>AV1105*(1-IF(B1105&gt;=in_marketplace_from,d_hz_shop*G1105,0))</f>
        <v/>
      </c>
      <c r="AW1106" s="46">
        <f>AV1106*IF(B1106&gt;=in_marketplace_from,d_hz_shop*G1106,0)</f>
        <v/>
      </c>
      <c r="AX1106" s="14">
        <f>F1106*AW1106*in_shop_ticket*in_shop_comm*in_ins_partner_share+F1106*in_shop_ticket*in_shop_renew_comm*in_ins_partner_share*(in_shop_renew^1*SUMIFS(AW1091:AW1128,B1091:B1128,B1106-12)+in_shop_renew^2*SUMIFS(AW1091:AW1128,B1091:B1128,B1106-24)+in_shop_renew^3*SUMIFS(AW1091:AW1128,B1091:B1128,B1106-36)+in_shop_renew^4*SUMIFS(AW1091:AW1128,B1091:B1128,B1106-48))</f>
        <v/>
      </c>
      <c r="AY1106" s="40">
        <f>AY1105*(1-IF(B1105&gt;=in_marketplace_from,d_hz_sip*G1105,0))</f>
        <v/>
      </c>
      <c r="AZ1106" s="40">
        <f>AZ1105*d_rho_sip+AY1106*IF(B1106&gt;=in_marketplace_from,d_hz_sip*G1106,0)</f>
        <v/>
      </c>
      <c r="BA1106" s="40">
        <f>d_rho_sip*(BA1105+AZ1105)</f>
        <v/>
      </c>
      <c r="BB1106" s="14">
        <f>F1106*in_sip_ticket*(BA1106+0.5*AZ1106)*in_sip_comm/12</f>
        <v/>
      </c>
      <c r="BC1106" s="40">
        <f>BC1105*(1-IF(B1105&gt;=in_marketplace_from,d_hz_choti*G1105,0))</f>
        <v/>
      </c>
      <c r="BD1106" s="46">
        <f>BC1106*IF(B1106&gt;=in_marketplace_from,d_hz_choti*G1106,0)</f>
        <v/>
      </c>
      <c r="BE1106" s="14">
        <f>F1106*SUMIFS(BD1091:BD1128,B1091:B1128,B1106-in_choti_months)*in_choti_renew*in_choti_ticket</f>
        <v/>
      </c>
      <c r="BF1106" s="40">
        <f>BF1105*(1-IF(B1105&gt;=in_marketplace_from,d_hz_nps*G1105,0))</f>
        <v/>
      </c>
      <c r="BG1106" s="14">
        <f>F1106*BF1106*IF(B1106&gt;=in_marketplace_from,d_hz_nps*G1106,0)*in_nps_ticket*in_nps_comm</f>
        <v/>
      </c>
      <c r="BH1106" s="40">
        <f>BH1105*(1-IF(B1105&gt;=in_marketplace_from,d_hz_gold*G1105,0))</f>
        <v/>
      </c>
      <c r="BI1106" s="40">
        <f>BI1105*d_rho_gold+BH1106*IF(B1106&gt;=in_marketplace_from,d_hz_gold*G1106,0)</f>
        <v/>
      </c>
      <c r="BJ1106" s="14">
        <f>F1106*BI1106*in_gold_ticket*in_gold_comm</f>
        <v/>
      </c>
      <c r="BK1106" s="40">
        <f>BK1105*(1-IF(B1105&gt;=in_marketplace_from,d_hz_fd*G1105,0))</f>
        <v/>
      </c>
      <c r="BL1106" s="14">
        <f>F1106*BK1106*IF(B1106&gt;=in_marketplace_from,d_hz_fd*G1106,0)*in_fd_ticket*in_fd_comm</f>
        <v/>
      </c>
      <c r="BM1106" s="40">
        <f>BM1105*(1-IF(B1105&gt;=in_marketplace_from,d_hz_recharge*G1105,0))</f>
        <v/>
      </c>
      <c r="BN1106" s="40">
        <f>BN1105*d_rho_recharge+BM1106*IF(B1106&gt;=in_marketplace_from,d_hz_recharge*G1106,0)</f>
        <v/>
      </c>
      <c r="BO1106" s="14">
        <f>F1106*BN1106*in_recharge_ticket*in_recharge_comm/12</f>
        <v/>
      </c>
      <c r="BP1106" s="40">
        <f>BP1105*(1-IF(B1105&gt;=in_marketplace_from,d_hz_bills*G1105,0))</f>
        <v/>
      </c>
      <c r="BQ1106" s="40">
        <f>BQ1105*d_rho_bills+BP1106*IF(B1106&gt;=in_marketplace_from,d_hz_bills*G1106,0)</f>
        <v/>
      </c>
      <c r="BR1106" s="14">
        <f>F1106*BQ1106*in_bills_ticket*in_bills_comm/12</f>
        <v/>
      </c>
      <c r="BS1106" s="40">
        <f>BS1105*(1-IF(B1105&gt;=in_marketplace_from,d_hz_loan_gold*G1105,0))</f>
        <v/>
      </c>
      <c r="BT1106" s="14">
        <f>F1106*BS1106*IF(B1106&gt;=in_marketplace_from,d_hz_loan_gold*G1106,0)*in_loan_gold_ticket*in_loan_gold_comm</f>
        <v/>
      </c>
      <c r="BU1106" s="40">
        <f>BU1105*(1-IF(B1105&gt;=in_marketplace_from,d_hz_loan_cd*G1105,0))</f>
        <v/>
      </c>
      <c r="BV1106" s="14">
        <f>F1106*BU1106*IF(B1106&gt;=in_marketplace_from,d_hz_loan_cd*G1106,0)*in_loan_cd_ticket*in_loan_cd_comm</f>
        <v/>
      </c>
      <c r="BW1106" s="40">
        <f>BW1105*(1-IF(B1105&gt;=in_marketplace_from,d_hz_loan_vehicle*G1105,0))</f>
        <v/>
      </c>
      <c r="BX1106" s="14">
        <f>F1106*BW1106*IF(B1106&gt;=in_marketplace_from,d_hz_loan_vehicle*G1106,0)*in_loan_vehicle_ticket*in_loan_vehicle_comm</f>
        <v/>
      </c>
      <c r="BY1106" s="40">
        <f>BY1105*(1-IF(B1105&gt;=in_marketplace_from,d_hz_loan_home*G1105,0)*BZ1105)</f>
        <v/>
      </c>
      <c r="BZ1106" s="11">
        <f>MIN(in_approval_cap,in_loan_home_approval*INDEX('Age profile'!$O$2:$O$61,B1106)*(1+in_approval_growth)^(D1106-1))</f>
        <v/>
      </c>
      <c r="CA1106" s="14">
        <f>F1106*BY1106*IF(B1106&gt;=in_marketplace_from,d_hz_loan_home*G1106,0)*BZ1106*in_loan_home_ticket*in_loan_home_comm</f>
        <v/>
      </c>
      <c r="CB1106" s="40">
        <f>CB1105*(1-IF(B1105&gt;=in_marketplace_from,d_hz_loan_lap*G1105,0)*CC1105)</f>
        <v/>
      </c>
      <c r="CC1106" s="11">
        <f>MIN(in_approval_cap,in_loan_lap_approval*INDEX('Age profile'!$O$2:$O$61,B1106)*(1+in_approval_growth)^(D1106-1))</f>
        <v/>
      </c>
      <c r="CD1106" s="14">
        <f>F1106*CB1106*IF(B1106&gt;=in_marketplace_from,d_hz_loan_lap*G1106,0)*CC1106*in_loan_lap_ticket*in_loan_lap_comm</f>
        <v/>
      </c>
      <c r="CE1106" s="14">
        <f>AA1106+AB1106+AC1106+AD1106+AG1106+AJ1106+AM1106+AP1106+AS1106+AU1106+AX1106+BB1106+BE1106+BG1106+BJ1106+BL1106+BO1106+BR1106+BT1106+BV1106+BX1106+CA1106+CD1106</f>
        <v/>
      </c>
    </row>
    <row r="1107">
      <c r="A1107" s="39" t="n">
        <v>23</v>
      </c>
      <c r="B1107" s="39" t="n">
        <v>17</v>
      </c>
      <c r="C1107" s="39">
        <f>A1107+B1107-1</f>
        <v/>
      </c>
      <c r="D1107" s="39">
        <f>INT((C1107-1)/12)+1</f>
        <v/>
      </c>
      <c r="E1107" s="44">
        <f>INDEX(Monthly!$B$2:$B$61,A1107)</f>
        <v/>
      </c>
      <c r="F1107" s="44">
        <f>E1107*INDEX('Age profile'!$B$2:$B$61,B1107)</f>
        <v/>
      </c>
      <c r="G1107" s="45">
        <f>MIN(in_takeup_cap,INDEX('Age profile'!$N$2:$N$61,B1107)*(1+in_takeup_growth)^(D1107-1))</f>
        <v/>
      </c>
      <c r="H1107" s="11">
        <f>MIN(in_approval_cap,in_approved_first*INDEX('Age profile'!$O$2:$O$61,B1107)*(1+in_approval_growth)^(D1107-1))</f>
        <v/>
      </c>
      <c r="I1107" s="45">
        <f>G1107*MIN(in_takeup_cap,INDEX('Age profile'!$O$2:$O$61,B1107)*(1+in_approval_growth)^(D1107-1))</f>
        <v/>
      </c>
      <c r="J1107" s="40">
        <f>(J1106-L1106)*F1107/F1106</f>
        <v/>
      </c>
      <c r="K1107" s="40">
        <f>(K1106-M1106)*F1107/F1106+SUMIFS(O1091:O1106,B1091:B1106,B1107-1-d_T)*F1107</f>
        <v/>
      </c>
      <c r="L1107" s="40">
        <f>IF(B1107&gt;=in_marketplace_from,J1107*d_hz*G1107*in_eligible*H1107,0)</f>
        <v/>
      </c>
      <c r="M1107" s="40">
        <f>IF(B1107&gt;=in_marketplace_from,K1107*d_hz*G1107*in_eligible*in_approved_repeat,0)</f>
        <v/>
      </c>
      <c r="N1107" s="40">
        <f>L1107+M1107</f>
        <v/>
      </c>
      <c r="O1107" s="46">
        <f>N1107/F1107</f>
        <v/>
      </c>
      <c r="P1107" s="40">
        <f>F1107-J1107-K1107</f>
        <v/>
      </c>
      <c r="Q1107" s="40">
        <f>IF(B1107&gt;=in_marketplace_from,(J1107+K1107)*d_hz*G1107,0)</f>
        <v/>
      </c>
      <c r="R1107" s="40">
        <f>SUMIFS(N1091:N1128,B1091:B1128,"&gt;="&amp;(B1107-d_T),B1091:B1128,"&lt;="&amp;(B1107-1))</f>
        <v/>
      </c>
      <c r="S1107" s="46">
        <f>(1-d_u)*S1106+IF(d_T&gt;in_topup_lag,SUMIFS(O1091:O1128,B1091:B1128,B1107-in_topup_lag)-d_udrop*SUMIFS(O1091:O1128,B1091:B1128,B1107-d_T),0)</f>
        <v/>
      </c>
      <c r="T1107" s="40">
        <f>F1107*d_u*S1107</f>
        <v/>
      </c>
      <c r="U1107" s="9">
        <f>L1107*in_ticket+M1107*d_rep_ticket</f>
        <v/>
      </c>
      <c r="V1107" s="9">
        <f>U1107+T1107*d_topup_amt</f>
        <v/>
      </c>
      <c r="W1107" s="40">
        <f>N1107+T1107*d_topup_ratio</f>
        <v/>
      </c>
      <c r="X1107" s="40">
        <f>SUMIFS(W1091:W1128,B1091:B1128,B1107-in_dpd_lag)*d_cured</f>
        <v/>
      </c>
      <c r="Y1107" s="40">
        <f>SUMIFS(W1091:W1128,B1091:B1128,B1107-in_rec_lag)*d_recd</f>
        <v/>
      </c>
      <c r="Z1107" s="40">
        <f>IF(AND(B1107&gt;=in_marketplace_from,B1107&lt;in_marketplace_from+in_card_months),in_card_share/in_card_months*F1107*I1107,IF(AND(B1107&gt;=in_marketplace_from+in_card_months,B1107&lt;in_marketplace_from+2*in_card_months),in_card_share*d_card_rem/in_card_months*F1107*MIN(in_takeup_cap,(1+in_takeup_growth)^(D1107-1))*MIN(in_takeup_cap,(1+in_approval_growth)^(D1107-1)),0))</f>
        <v/>
      </c>
      <c r="AA1107" s="14">
        <f>V1107*in_fee*(1-in_taken_back)</f>
        <v/>
      </c>
      <c r="AB1107" s="14">
        <f>SUMIFS(W1091:W1128,B1091:B1128,B1107-in_dpd_lag)*d_dpd</f>
        <v/>
      </c>
      <c r="AC1107" s="14">
        <f>SUMIFS(W1091:W1128,B1091:B1128,B1107-in_rec_lag)*d_rec</f>
        <v/>
      </c>
      <c r="AD1107" s="14">
        <f>Z1107*in_card_fee</f>
        <v/>
      </c>
      <c r="AE1107" s="40">
        <f>AE1106*(1-IF(B1106&gt;=in_marketplace_from,d_hz_hlth_small*G1106,0))</f>
        <v/>
      </c>
      <c r="AF1107" s="46">
        <f>AE1107*IF(B1107&gt;=in_marketplace_from,d_hz_hlth_small*G1107,0)</f>
        <v/>
      </c>
      <c r="AG1107" s="14">
        <f>F1107*AF1107*in_hlth_small_ticket*in_hlth_small_comm*in_ins_partner_share+F1107*in_hlth_small_ticket*in_hlth_small_renew_comm*in_ins_partner_share*(in_hlth_small_renew^1*SUMIFS(AF1091:AF1128,B1091:B1128,B1107-12)+in_hlth_small_renew^2*SUMIFS(AF1091:AF1128,B1091:B1128,B1107-24)+in_hlth_small_renew^3*SUMIFS(AF1091:AF1128,B1091:B1128,B1107-36)+in_hlth_small_renew^4*SUMIFS(AF1091:AF1128,B1091:B1128,B1107-48))</f>
        <v/>
      </c>
      <c r="AH1107" s="40">
        <f>AH1106*(1-IF(B1106&gt;=in_marketplace_from,d_hz_hlth_family*G1106,0))</f>
        <v/>
      </c>
      <c r="AI1107" s="46">
        <f>AH1107*IF(B1107&gt;=in_marketplace_from,d_hz_hlth_family*G1107,0)</f>
        <v/>
      </c>
      <c r="AJ1107" s="14">
        <f>F1107*AI1107*in_hlth_family_ticket*in_hlth_family_comm*in_ins_partner_share+F1107*in_hlth_family_ticket*in_hlth_family_renew_comm*in_ins_partner_share*(in_hlth_family_renew^1*SUMIFS(AI1091:AI1128,B1091:B1128,B1107-12)+in_hlth_family_renew^2*SUMIFS(AI1091:AI1128,B1091:B1128,B1107-24)+in_hlth_family_renew^3*SUMIFS(AI1091:AI1128,B1091:B1128,B1107-36)+in_hlth_family_renew^4*SUMIFS(AI1091:AI1128,B1091:B1128,B1107-48))</f>
        <v/>
      </c>
      <c r="AK1107" s="40">
        <f>AK1106*(1-IF(B1106&gt;=in_marketplace_from,d_hz_life_term*G1106,0))</f>
        <v/>
      </c>
      <c r="AL1107" s="46">
        <f>AK1107*IF(B1107&gt;=in_marketplace_from,d_hz_life_term*G1107,0)</f>
        <v/>
      </c>
      <c r="AM1107" s="14">
        <f>F1107*AL1107*in_life_term_ticket*in_life_term_comm*in_ins_partner_share+F1107*in_life_term_ticket*in_life_term_renew_comm*in_ins_partner_share*(in_life_term_renew^1*SUMIFS(AL1091:AL1128,B1091:B1128,B1107-12)+in_life_term_renew^2*SUMIFS(AL1091:AL1128,B1091:B1128,B1107-24)+in_life_term_renew^3*SUMIFS(AL1091:AL1128,B1091:B1128,B1107-36)+in_life_term_renew^4*SUMIFS(AL1091:AL1128,B1091:B1128,B1107-48))</f>
        <v/>
      </c>
      <c r="AN1107" s="40">
        <f>AN1106*(1-IF(B1106&gt;=in_marketplace_from,d_hz_accident*G1106,0))</f>
        <v/>
      </c>
      <c r="AO1107" s="46">
        <f>AN1107*IF(B1107&gt;=in_marketplace_from,d_hz_accident*G1107,0)</f>
        <v/>
      </c>
      <c r="AP1107" s="14">
        <f>F1107*AO1107*in_accident_ticket*in_accident_comm*in_ins_partner_share+F1107*in_accident_ticket*in_accident_renew_comm*in_ins_partner_share*(in_accident_renew^1*SUMIFS(AO1091:AO1128,B1091:B1128,B1107-12)+in_accident_renew^2*SUMIFS(AO1091:AO1128,B1091:B1128,B1107-24)+in_accident_renew^3*SUMIFS(AO1091:AO1128,B1091:B1128,B1107-36)+in_accident_renew^4*SUMIFS(AO1091:AO1128,B1091:B1128,B1107-48))</f>
        <v/>
      </c>
      <c r="AQ1107" s="40">
        <f>AQ1106*(1-IF(B1106&gt;=in_marketplace_from,d_hz_two_wheeler*G1106,0))</f>
        <v/>
      </c>
      <c r="AR1107" s="46">
        <f>AQ1107*IF(B1107&gt;=in_marketplace_from,d_hz_two_wheeler*G1107,0)</f>
        <v/>
      </c>
      <c r="AS1107" s="14">
        <f>F1107*AR1107*in_two_wheeler_ticket*in_two_wheeler_comm*in_ins_partner_share+F1107*in_two_wheeler_ticket*in_two_wheeler_comm*in_ins_partner_share*(in_two_wheeler_renew^1*SUMIFS(AR1091:AR1128,B1091:B1128,B1107-12)+in_two_wheeler_renew^2*SUMIFS(AR1091:AR1128,B1091:B1128,B1107-24)+in_two_wheeler_renew^3*SUMIFS(AR1091:AR1128,B1091:B1128,B1107-36)+in_two_wheeler_renew^4*SUMIFS(AR1091:AR1128,B1091:B1128,B1107-48))</f>
        <v/>
      </c>
      <c r="AT1107" s="40">
        <f>AT1106*(1-IF(B1106&gt;=in_marketplace_from,d_hz_device*G1106,0))</f>
        <v/>
      </c>
      <c r="AU1107" s="14">
        <f>F1107*AT1107*IF(B1107&gt;=in_marketplace_from,d_hz_device*G1107,0)*in_device_ticket*in_device_comm*in_ins_partner_share</f>
        <v/>
      </c>
      <c r="AV1107" s="40">
        <f>AV1106*(1-IF(B1106&gt;=in_marketplace_from,d_hz_shop*G1106,0))</f>
        <v/>
      </c>
      <c r="AW1107" s="46">
        <f>AV1107*IF(B1107&gt;=in_marketplace_from,d_hz_shop*G1107,0)</f>
        <v/>
      </c>
      <c r="AX1107" s="14">
        <f>F1107*AW1107*in_shop_ticket*in_shop_comm*in_ins_partner_share+F1107*in_shop_ticket*in_shop_renew_comm*in_ins_partner_share*(in_shop_renew^1*SUMIFS(AW1091:AW1128,B1091:B1128,B1107-12)+in_shop_renew^2*SUMIFS(AW1091:AW1128,B1091:B1128,B1107-24)+in_shop_renew^3*SUMIFS(AW1091:AW1128,B1091:B1128,B1107-36)+in_shop_renew^4*SUMIFS(AW1091:AW1128,B1091:B1128,B1107-48))</f>
        <v/>
      </c>
      <c r="AY1107" s="40">
        <f>AY1106*(1-IF(B1106&gt;=in_marketplace_from,d_hz_sip*G1106,0))</f>
        <v/>
      </c>
      <c r="AZ1107" s="40">
        <f>AZ1106*d_rho_sip+AY1107*IF(B1107&gt;=in_marketplace_from,d_hz_sip*G1107,0)</f>
        <v/>
      </c>
      <c r="BA1107" s="40">
        <f>d_rho_sip*(BA1106+AZ1106)</f>
        <v/>
      </c>
      <c r="BB1107" s="14">
        <f>F1107*in_sip_ticket*(BA1107+0.5*AZ1107)*in_sip_comm/12</f>
        <v/>
      </c>
      <c r="BC1107" s="40">
        <f>BC1106*(1-IF(B1106&gt;=in_marketplace_from,d_hz_choti*G1106,0))</f>
        <v/>
      </c>
      <c r="BD1107" s="46">
        <f>BC1107*IF(B1107&gt;=in_marketplace_from,d_hz_choti*G1107,0)</f>
        <v/>
      </c>
      <c r="BE1107" s="14">
        <f>F1107*SUMIFS(BD1091:BD1128,B1091:B1128,B1107-in_choti_months)*in_choti_renew*in_choti_ticket</f>
        <v/>
      </c>
      <c r="BF1107" s="40">
        <f>BF1106*(1-IF(B1106&gt;=in_marketplace_from,d_hz_nps*G1106,0))</f>
        <v/>
      </c>
      <c r="BG1107" s="14">
        <f>F1107*BF1107*IF(B1107&gt;=in_marketplace_from,d_hz_nps*G1107,0)*in_nps_ticket*in_nps_comm</f>
        <v/>
      </c>
      <c r="BH1107" s="40">
        <f>BH1106*(1-IF(B1106&gt;=in_marketplace_from,d_hz_gold*G1106,0))</f>
        <v/>
      </c>
      <c r="BI1107" s="40">
        <f>BI1106*d_rho_gold+BH1107*IF(B1107&gt;=in_marketplace_from,d_hz_gold*G1107,0)</f>
        <v/>
      </c>
      <c r="BJ1107" s="14">
        <f>F1107*BI1107*in_gold_ticket*in_gold_comm</f>
        <v/>
      </c>
      <c r="BK1107" s="40">
        <f>BK1106*(1-IF(B1106&gt;=in_marketplace_from,d_hz_fd*G1106,0))</f>
        <v/>
      </c>
      <c r="BL1107" s="14">
        <f>F1107*BK1107*IF(B1107&gt;=in_marketplace_from,d_hz_fd*G1107,0)*in_fd_ticket*in_fd_comm</f>
        <v/>
      </c>
      <c r="BM1107" s="40">
        <f>BM1106*(1-IF(B1106&gt;=in_marketplace_from,d_hz_recharge*G1106,0))</f>
        <v/>
      </c>
      <c r="BN1107" s="40">
        <f>BN1106*d_rho_recharge+BM1107*IF(B1107&gt;=in_marketplace_from,d_hz_recharge*G1107,0)</f>
        <v/>
      </c>
      <c r="BO1107" s="14">
        <f>F1107*BN1107*in_recharge_ticket*in_recharge_comm/12</f>
        <v/>
      </c>
      <c r="BP1107" s="40">
        <f>BP1106*(1-IF(B1106&gt;=in_marketplace_from,d_hz_bills*G1106,0))</f>
        <v/>
      </c>
      <c r="BQ1107" s="40">
        <f>BQ1106*d_rho_bills+BP1107*IF(B1107&gt;=in_marketplace_from,d_hz_bills*G1107,0)</f>
        <v/>
      </c>
      <c r="BR1107" s="14">
        <f>F1107*BQ1107*in_bills_ticket*in_bills_comm/12</f>
        <v/>
      </c>
      <c r="BS1107" s="40">
        <f>BS1106*(1-IF(B1106&gt;=in_marketplace_from,d_hz_loan_gold*G1106,0))</f>
        <v/>
      </c>
      <c r="BT1107" s="14">
        <f>F1107*BS1107*IF(B1107&gt;=in_marketplace_from,d_hz_loan_gold*G1107,0)*in_loan_gold_ticket*in_loan_gold_comm</f>
        <v/>
      </c>
      <c r="BU1107" s="40">
        <f>BU1106*(1-IF(B1106&gt;=in_marketplace_from,d_hz_loan_cd*G1106,0))</f>
        <v/>
      </c>
      <c r="BV1107" s="14">
        <f>F1107*BU1107*IF(B1107&gt;=in_marketplace_from,d_hz_loan_cd*G1107,0)*in_loan_cd_ticket*in_loan_cd_comm</f>
        <v/>
      </c>
      <c r="BW1107" s="40">
        <f>BW1106*(1-IF(B1106&gt;=in_marketplace_from,d_hz_loan_vehicle*G1106,0))</f>
        <v/>
      </c>
      <c r="BX1107" s="14">
        <f>F1107*BW1107*IF(B1107&gt;=in_marketplace_from,d_hz_loan_vehicle*G1107,0)*in_loan_vehicle_ticket*in_loan_vehicle_comm</f>
        <v/>
      </c>
      <c r="BY1107" s="40">
        <f>BY1106*(1-IF(B1106&gt;=in_marketplace_from,d_hz_loan_home*G1106,0)*BZ1106)</f>
        <v/>
      </c>
      <c r="BZ1107" s="11">
        <f>MIN(in_approval_cap,in_loan_home_approval*INDEX('Age profile'!$O$2:$O$61,B1107)*(1+in_approval_growth)^(D1107-1))</f>
        <v/>
      </c>
      <c r="CA1107" s="14">
        <f>F1107*BY1107*IF(B1107&gt;=in_marketplace_from,d_hz_loan_home*G1107,0)*BZ1107*in_loan_home_ticket*in_loan_home_comm</f>
        <v/>
      </c>
      <c r="CB1107" s="40">
        <f>CB1106*(1-IF(B1106&gt;=in_marketplace_from,d_hz_loan_lap*G1106,0)*CC1106)</f>
        <v/>
      </c>
      <c r="CC1107" s="11">
        <f>MIN(in_approval_cap,in_loan_lap_approval*INDEX('Age profile'!$O$2:$O$61,B1107)*(1+in_approval_growth)^(D1107-1))</f>
        <v/>
      </c>
      <c r="CD1107" s="14">
        <f>F1107*CB1107*IF(B1107&gt;=in_marketplace_from,d_hz_loan_lap*G1107,0)*CC1107*in_loan_lap_ticket*in_loan_lap_comm</f>
        <v/>
      </c>
      <c r="CE1107" s="14">
        <f>AA1107+AB1107+AC1107+AD1107+AG1107+AJ1107+AM1107+AP1107+AS1107+AU1107+AX1107+BB1107+BE1107+BG1107+BJ1107+BL1107+BO1107+BR1107+BT1107+BV1107+BX1107+CA1107+CD1107</f>
        <v/>
      </c>
    </row>
    <row r="1108">
      <c r="A1108" s="39" t="n">
        <v>23</v>
      </c>
      <c r="B1108" s="39" t="n">
        <v>18</v>
      </c>
      <c r="C1108" s="39">
        <f>A1108+B1108-1</f>
        <v/>
      </c>
      <c r="D1108" s="39">
        <f>INT((C1108-1)/12)+1</f>
        <v/>
      </c>
      <c r="E1108" s="44">
        <f>INDEX(Monthly!$B$2:$B$61,A1108)</f>
        <v/>
      </c>
      <c r="F1108" s="44">
        <f>E1108*INDEX('Age profile'!$B$2:$B$61,B1108)</f>
        <v/>
      </c>
      <c r="G1108" s="45">
        <f>MIN(in_takeup_cap,INDEX('Age profile'!$N$2:$N$61,B1108)*(1+in_takeup_growth)^(D1108-1))</f>
        <v/>
      </c>
      <c r="H1108" s="11">
        <f>MIN(in_approval_cap,in_approved_first*INDEX('Age profile'!$O$2:$O$61,B1108)*(1+in_approval_growth)^(D1108-1))</f>
        <v/>
      </c>
      <c r="I1108" s="45">
        <f>G1108*MIN(in_takeup_cap,INDEX('Age profile'!$O$2:$O$61,B1108)*(1+in_approval_growth)^(D1108-1))</f>
        <v/>
      </c>
      <c r="J1108" s="40">
        <f>(J1107-L1107)*F1108/F1107</f>
        <v/>
      </c>
      <c r="K1108" s="40">
        <f>(K1107-M1107)*F1108/F1107+SUMIFS(O1091:O1107,B1091:B1107,B1108-1-d_T)*F1108</f>
        <v/>
      </c>
      <c r="L1108" s="40">
        <f>IF(B1108&gt;=in_marketplace_from,J1108*d_hz*G1108*in_eligible*H1108,0)</f>
        <v/>
      </c>
      <c r="M1108" s="40">
        <f>IF(B1108&gt;=in_marketplace_from,K1108*d_hz*G1108*in_eligible*in_approved_repeat,0)</f>
        <v/>
      </c>
      <c r="N1108" s="40">
        <f>L1108+M1108</f>
        <v/>
      </c>
      <c r="O1108" s="46">
        <f>N1108/F1108</f>
        <v/>
      </c>
      <c r="P1108" s="40">
        <f>F1108-J1108-K1108</f>
        <v/>
      </c>
      <c r="Q1108" s="40">
        <f>IF(B1108&gt;=in_marketplace_from,(J1108+K1108)*d_hz*G1108,0)</f>
        <v/>
      </c>
      <c r="R1108" s="40">
        <f>SUMIFS(N1091:N1128,B1091:B1128,"&gt;="&amp;(B1108-d_T),B1091:B1128,"&lt;="&amp;(B1108-1))</f>
        <v/>
      </c>
      <c r="S1108" s="46">
        <f>(1-d_u)*S1107+IF(d_T&gt;in_topup_lag,SUMIFS(O1091:O1128,B1091:B1128,B1108-in_topup_lag)-d_udrop*SUMIFS(O1091:O1128,B1091:B1128,B1108-d_T),0)</f>
        <v/>
      </c>
      <c r="T1108" s="40">
        <f>F1108*d_u*S1108</f>
        <v/>
      </c>
      <c r="U1108" s="9">
        <f>L1108*in_ticket+M1108*d_rep_ticket</f>
        <v/>
      </c>
      <c r="V1108" s="9">
        <f>U1108+T1108*d_topup_amt</f>
        <v/>
      </c>
      <c r="W1108" s="40">
        <f>N1108+T1108*d_topup_ratio</f>
        <v/>
      </c>
      <c r="X1108" s="40">
        <f>SUMIFS(W1091:W1128,B1091:B1128,B1108-in_dpd_lag)*d_cured</f>
        <v/>
      </c>
      <c r="Y1108" s="40">
        <f>SUMIFS(W1091:W1128,B1091:B1128,B1108-in_rec_lag)*d_recd</f>
        <v/>
      </c>
      <c r="Z1108" s="40">
        <f>IF(AND(B1108&gt;=in_marketplace_from,B1108&lt;in_marketplace_from+in_card_months),in_card_share/in_card_months*F1108*I1108,IF(AND(B1108&gt;=in_marketplace_from+in_card_months,B1108&lt;in_marketplace_from+2*in_card_months),in_card_share*d_card_rem/in_card_months*F1108*MIN(in_takeup_cap,(1+in_takeup_growth)^(D1108-1))*MIN(in_takeup_cap,(1+in_approval_growth)^(D1108-1)),0))</f>
        <v/>
      </c>
      <c r="AA1108" s="14">
        <f>V1108*in_fee*(1-in_taken_back)</f>
        <v/>
      </c>
      <c r="AB1108" s="14">
        <f>SUMIFS(W1091:W1128,B1091:B1128,B1108-in_dpd_lag)*d_dpd</f>
        <v/>
      </c>
      <c r="AC1108" s="14">
        <f>SUMIFS(W1091:W1128,B1091:B1128,B1108-in_rec_lag)*d_rec</f>
        <v/>
      </c>
      <c r="AD1108" s="14">
        <f>Z1108*in_card_fee</f>
        <v/>
      </c>
      <c r="AE1108" s="40">
        <f>AE1107*(1-IF(B1107&gt;=in_marketplace_from,d_hz_hlth_small*G1107,0))</f>
        <v/>
      </c>
      <c r="AF1108" s="46">
        <f>AE1108*IF(B1108&gt;=in_marketplace_from,d_hz_hlth_small*G1108,0)</f>
        <v/>
      </c>
      <c r="AG1108" s="14">
        <f>F1108*AF1108*in_hlth_small_ticket*in_hlth_small_comm*in_ins_partner_share+F1108*in_hlth_small_ticket*in_hlth_small_renew_comm*in_ins_partner_share*(in_hlth_small_renew^1*SUMIFS(AF1091:AF1128,B1091:B1128,B1108-12)+in_hlth_small_renew^2*SUMIFS(AF1091:AF1128,B1091:B1128,B1108-24)+in_hlth_small_renew^3*SUMIFS(AF1091:AF1128,B1091:B1128,B1108-36)+in_hlth_small_renew^4*SUMIFS(AF1091:AF1128,B1091:B1128,B1108-48))</f>
        <v/>
      </c>
      <c r="AH1108" s="40">
        <f>AH1107*(1-IF(B1107&gt;=in_marketplace_from,d_hz_hlth_family*G1107,0))</f>
        <v/>
      </c>
      <c r="AI1108" s="46">
        <f>AH1108*IF(B1108&gt;=in_marketplace_from,d_hz_hlth_family*G1108,0)</f>
        <v/>
      </c>
      <c r="AJ1108" s="14">
        <f>F1108*AI1108*in_hlth_family_ticket*in_hlth_family_comm*in_ins_partner_share+F1108*in_hlth_family_ticket*in_hlth_family_renew_comm*in_ins_partner_share*(in_hlth_family_renew^1*SUMIFS(AI1091:AI1128,B1091:B1128,B1108-12)+in_hlth_family_renew^2*SUMIFS(AI1091:AI1128,B1091:B1128,B1108-24)+in_hlth_family_renew^3*SUMIFS(AI1091:AI1128,B1091:B1128,B1108-36)+in_hlth_family_renew^4*SUMIFS(AI1091:AI1128,B1091:B1128,B1108-48))</f>
        <v/>
      </c>
      <c r="AK1108" s="40">
        <f>AK1107*(1-IF(B1107&gt;=in_marketplace_from,d_hz_life_term*G1107,0))</f>
        <v/>
      </c>
      <c r="AL1108" s="46">
        <f>AK1108*IF(B1108&gt;=in_marketplace_from,d_hz_life_term*G1108,0)</f>
        <v/>
      </c>
      <c r="AM1108" s="14">
        <f>F1108*AL1108*in_life_term_ticket*in_life_term_comm*in_ins_partner_share+F1108*in_life_term_ticket*in_life_term_renew_comm*in_ins_partner_share*(in_life_term_renew^1*SUMIFS(AL1091:AL1128,B1091:B1128,B1108-12)+in_life_term_renew^2*SUMIFS(AL1091:AL1128,B1091:B1128,B1108-24)+in_life_term_renew^3*SUMIFS(AL1091:AL1128,B1091:B1128,B1108-36)+in_life_term_renew^4*SUMIFS(AL1091:AL1128,B1091:B1128,B1108-48))</f>
        <v/>
      </c>
      <c r="AN1108" s="40">
        <f>AN1107*(1-IF(B1107&gt;=in_marketplace_from,d_hz_accident*G1107,0))</f>
        <v/>
      </c>
      <c r="AO1108" s="46">
        <f>AN1108*IF(B1108&gt;=in_marketplace_from,d_hz_accident*G1108,0)</f>
        <v/>
      </c>
      <c r="AP1108" s="14">
        <f>F1108*AO1108*in_accident_ticket*in_accident_comm*in_ins_partner_share+F1108*in_accident_ticket*in_accident_renew_comm*in_ins_partner_share*(in_accident_renew^1*SUMIFS(AO1091:AO1128,B1091:B1128,B1108-12)+in_accident_renew^2*SUMIFS(AO1091:AO1128,B1091:B1128,B1108-24)+in_accident_renew^3*SUMIFS(AO1091:AO1128,B1091:B1128,B1108-36)+in_accident_renew^4*SUMIFS(AO1091:AO1128,B1091:B1128,B1108-48))</f>
        <v/>
      </c>
      <c r="AQ1108" s="40">
        <f>AQ1107*(1-IF(B1107&gt;=in_marketplace_from,d_hz_two_wheeler*G1107,0))</f>
        <v/>
      </c>
      <c r="AR1108" s="46">
        <f>AQ1108*IF(B1108&gt;=in_marketplace_from,d_hz_two_wheeler*G1108,0)</f>
        <v/>
      </c>
      <c r="AS1108" s="14">
        <f>F1108*AR1108*in_two_wheeler_ticket*in_two_wheeler_comm*in_ins_partner_share+F1108*in_two_wheeler_ticket*in_two_wheeler_comm*in_ins_partner_share*(in_two_wheeler_renew^1*SUMIFS(AR1091:AR1128,B1091:B1128,B1108-12)+in_two_wheeler_renew^2*SUMIFS(AR1091:AR1128,B1091:B1128,B1108-24)+in_two_wheeler_renew^3*SUMIFS(AR1091:AR1128,B1091:B1128,B1108-36)+in_two_wheeler_renew^4*SUMIFS(AR1091:AR1128,B1091:B1128,B1108-48))</f>
        <v/>
      </c>
      <c r="AT1108" s="40">
        <f>AT1107*(1-IF(B1107&gt;=in_marketplace_from,d_hz_device*G1107,0))</f>
        <v/>
      </c>
      <c r="AU1108" s="14">
        <f>F1108*AT1108*IF(B1108&gt;=in_marketplace_from,d_hz_device*G1108,0)*in_device_ticket*in_device_comm*in_ins_partner_share</f>
        <v/>
      </c>
      <c r="AV1108" s="40">
        <f>AV1107*(1-IF(B1107&gt;=in_marketplace_from,d_hz_shop*G1107,0))</f>
        <v/>
      </c>
      <c r="AW1108" s="46">
        <f>AV1108*IF(B1108&gt;=in_marketplace_from,d_hz_shop*G1108,0)</f>
        <v/>
      </c>
      <c r="AX1108" s="14">
        <f>F1108*AW1108*in_shop_ticket*in_shop_comm*in_ins_partner_share+F1108*in_shop_ticket*in_shop_renew_comm*in_ins_partner_share*(in_shop_renew^1*SUMIFS(AW1091:AW1128,B1091:B1128,B1108-12)+in_shop_renew^2*SUMIFS(AW1091:AW1128,B1091:B1128,B1108-24)+in_shop_renew^3*SUMIFS(AW1091:AW1128,B1091:B1128,B1108-36)+in_shop_renew^4*SUMIFS(AW1091:AW1128,B1091:B1128,B1108-48))</f>
        <v/>
      </c>
      <c r="AY1108" s="40">
        <f>AY1107*(1-IF(B1107&gt;=in_marketplace_from,d_hz_sip*G1107,0))</f>
        <v/>
      </c>
      <c r="AZ1108" s="40">
        <f>AZ1107*d_rho_sip+AY1108*IF(B1108&gt;=in_marketplace_from,d_hz_sip*G1108,0)</f>
        <v/>
      </c>
      <c r="BA1108" s="40">
        <f>d_rho_sip*(BA1107+AZ1107)</f>
        <v/>
      </c>
      <c r="BB1108" s="14">
        <f>F1108*in_sip_ticket*(BA1108+0.5*AZ1108)*in_sip_comm/12</f>
        <v/>
      </c>
      <c r="BC1108" s="40">
        <f>BC1107*(1-IF(B1107&gt;=in_marketplace_from,d_hz_choti*G1107,0))</f>
        <v/>
      </c>
      <c r="BD1108" s="46">
        <f>BC1108*IF(B1108&gt;=in_marketplace_from,d_hz_choti*G1108,0)</f>
        <v/>
      </c>
      <c r="BE1108" s="14">
        <f>F1108*SUMIFS(BD1091:BD1128,B1091:B1128,B1108-in_choti_months)*in_choti_renew*in_choti_ticket</f>
        <v/>
      </c>
      <c r="BF1108" s="40">
        <f>BF1107*(1-IF(B1107&gt;=in_marketplace_from,d_hz_nps*G1107,0))</f>
        <v/>
      </c>
      <c r="BG1108" s="14">
        <f>F1108*BF1108*IF(B1108&gt;=in_marketplace_from,d_hz_nps*G1108,0)*in_nps_ticket*in_nps_comm</f>
        <v/>
      </c>
      <c r="BH1108" s="40">
        <f>BH1107*(1-IF(B1107&gt;=in_marketplace_from,d_hz_gold*G1107,0))</f>
        <v/>
      </c>
      <c r="BI1108" s="40">
        <f>BI1107*d_rho_gold+BH1108*IF(B1108&gt;=in_marketplace_from,d_hz_gold*G1108,0)</f>
        <v/>
      </c>
      <c r="BJ1108" s="14">
        <f>F1108*BI1108*in_gold_ticket*in_gold_comm</f>
        <v/>
      </c>
      <c r="BK1108" s="40">
        <f>BK1107*(1-IF(B1107&gt;=in_marketplace_from,d_hz_fd*G1107,0))</f>
        <v/>
      </c>
      <c r="BL1108" s="14">
        <f>F1108*BK1108*IF(B1108&gt;=in_marketplace_from,d_hz_fd*G1108,0)*in_fd_ticket*in_fd_comm</f>
        <v/>
      </c>
      <c r="BM1108" s="40">
        <f>BM1107*(1-IF(B1107&gt;=in_marketplace_from,d_hz_recharge*G1107,0))</f>
        <v/>
      </c>
      <c r="BN1108" s="40">
        <f>BN1107*d_rho_recharge+BM1108*IF(B1108&gt;=in_marketplace_from,d_hz_recharge*G1108,0)</f>
        <v/>
      </c>
      <c r="BO1108" s="14">
        <f>F1108*BN1108*in_recharge_ticket*in_recharge_comm/12</f>
        <v/>
      </c>
      <c r="BP1108" s="40">
        <f>BP1107*(1-IF(B1107&gt;=in_marketplace_from,d_hz_bills*G1107,0))</f>
        <v/>
      </c>
      <c r="BQ1108" s="40">
        <f>BQ1107*d_rho_bills+BP1108*IF(B1108&gt;=in_marketplace_from,d_hz_bills*G1108,0)</f>
        <v/>
      </c>
      <c r="BR1108" s="14">
        <f>F1108*BQ1108*in_bills_ticket*in_bills_comm/12</f>
        <v/>
      </c>
      <c r="BS1108" s="40">
        <f>BS1107*(1-IF(B1107&gt;=in_marketplace_from,d_hz_loan_gold*G1107,0))</f>
        <v/>
      </c>
      <c r="BT1108" s="14">
        <f>F1108*BS1108*IF(B1108&gt;=in_marketplace_from,d_hz_loan_gold*G1108,0)*in_loan_gold_ticket*in_loan_gold_comm</f>
        <v/>
      </c>
      <c r="BU1108" s="40">
        <f>BU1107*(1-IF(B1107&gt;=in_marketplace_from,d_hz_loan_cd*G1107,0))</f>
        <v/>
      </c>
      <c r="BV1108" s="14">
        <f>F1108*BU1108*IF(B1108&gt;=in_marketplace_from,d_hz_loan_cd*G1108,0)*in_loan_cd_ticket*in_loan_cd_comm</f>
        <v/>
      </c>
      <c r="BW1108" s="40">
        <f>BW1107*(1-IF(B1107&gt;=in_marketplace_from,d_hz_loan_vehicle*G1107,0))</f>
        <v/>
      </c>
      <c r="BX1108" s="14">
        <f>F1108*BW1108*IF(B1108&gt;=in_marketplace_from,d_hz_loan_vehicle*G1108,0)*in_loan_vehicle_ticket*in_loan_vehicle_comm</f>
        <v/>
      </c>
      <c r="BY1108" s="40">
        <f>BY1107*(1-IF(B1107&gt;=in_marketplace_from,d_hz_loan_home*G1107,0)*BZ1107)</f>
        <v/>
      </c>
      <c r="BZ1108" s="11">
        <f>MIN(in_approval_cap,in_loan_home_approval*INDEX('Age profile'!$O$2:$O$61,B1108)*(1+in_approval_growth)^(D1108-1))</f>
        <v/>
      </c>
      <c r="CA1108" s="14">
        <f>F1108*BY1108*IF(B1108&gt;=in_marketplace_from,d_hz_loan_home*G1108,0)*BZ1108*in_loan_home_ticket*in_loan_home_comm</f>
        <v/>
      </c>
      <c r="CB1108" s="40">
        <f>CB1107*(1-IF(B1107&gt;=in_marketplace_from,d_hz_loan_lap*G1107,0)*CC1107)</f>
        <v/>
      </c>
      <c r="CC1108" s="11">
        <f>MIN(in_approval_cap,in_loan_lap_approval*INDEX('Age profile'!$O$2:$O$61,B1108)*(1+in_approval_growth)^(D1108-1))</f>
        <v/>
      </c>
      <c r="CD1108" s="14">
        <f>F1108*CB1108*IF(B1108&gt;=in_marketplace_from,d_hz_loan_lap*G1108,0)*CC1108*in_loan_lap_ticket*in_loan_lap_comm</f>
        <v/>
      </c>
      <c r="CE1108" s="14">
        <f>AA1108+AB1108+AC1108+AD1108+AG1108+AJ1108+AM1108+AP1108+AS1108+AU1108+AX1108+BB1108+BE1108+BG1108+BJ1108+BL1108+BO1108+BR1108+BT1108+BV1108+BX1108+CA1108+CD1108</f>
        <v/>
      </c>
    </row>
    <row r="1109">
      <c r="A1109" s="39" t="n">
        <v>23</v>
      </c>
      <c r="B1109" s="39" t="n">
        <v>19</v>
      </c>
      <c r="C1109" s="39">
        <f>A1109+B1109-1</f>
        <v/>
      </c>
      <c r="D1109" s="39">
        <f>INT((C1109-1)/12)+1</f>
        <v/>
      </c>
      <c r="E1109" s="44">
        <f>INDEX(Monthly!$B$2:$B$61,A1109)</f>
        <v/>
      </c>
      <c r="F1109" s="44">
        <f>E1109*INDEX('Age profile'!$B$2:$B$61,B1109)</f>
        <v/>
      </c>
      <c r="G1109" s="45">
        <f>MIN(in_takeup_cap,INDEX('Age profile'!$N$2:$N$61,B1109)*(1+in_takeup_growth)^(D1109-1))</f>
        <v/>
      </c>
      <c r="H1109" s="11">
        <f>MIN(in_approval_cap,in_approved_first*INDEX('Age profile'!$O$2:$O$61,B1109)*(1+in_approval_growth)^(D1109-1))</f>
        <v/>
      </c>
      <c r="I1109" s="45">
        <f>G1109*MIN(in_takeup_cap,INDEX('Age profile'!$O$2:$O$61,B1109)*(1+in_approval_growth)^(D1109-1))</f>
        <v/>
      </c>
      <c r="J1109" s="40">
        <f>(J1108-L1108)*F1109/F1108</f>
        <v/>
      </c>
      <c r="K1109" s="40">
        <f>(K1108-M1108)*F1109/F1108+SUMIFS(O1091:O1108,B1091:B1108,B1109-1-d_T)*F1109</f>
        <v/>
      </c>
      <c r="L1109" s="40">
        <f>IF(B1109&gt;=in_marketplace_from,J1109*d_hz*G1109*in_eligible*H1109,0)</f>
        <v/>
      </c>
      <c r="M1109" s="40">
        <f>IF(B1109&gt;=in_marketplace_from,K1109*d_hz*G1109*in_eligible*in_approved_repeat,0)</f>
        <v/>
      </c>
      <c r="N1109" s="40">
        <f>L1109+M1109</f>
        <v/>
      </c>
      <c r="O1109" s="46">
        <f>N1109/F1109</f>
        <v/>
      </c>
      <c r="P1109" s="40">
        <f>F1109-J1109-K1109</f>
        <v/>
      </c>
      <c r="Q1109" s="40">
        <f>IF(B1109&gt;=in_marketplace_from,(J1109+K1109)*d_hz*G1109,0)</f>
        <v/>
      </c>
      <c r="R1109" s="40">
        <f>SUMIFS(N1091:N1128,B1091:B1128,"&gt;="&amp;(B1109-d_T),B1091:B1128,"&lt;="&amp;(B1109-1))</f>
        <v/>
      </c>
      <c r="S1109" s="46">
        <f>(1-d_u)*S1108+IF(d_T&gt;in_topup_lag,SUMIFS(O1091:O1128,B1091:B1128,B1109-in_topup_lag)-d_udrop*SUMIFS(O1091:O1128,B1091:B1128,B1109-d_T),0)</f>
        <v/>
      </c>
      <c r="T1109" s="40">
        <f>F1109*d_u*S1109</f>
        <v/>
      </c>
      <c r="U1109" s="9">
        <f>L1109*in_ticket+M1109*d_rep_ticket</f>
        <v/>
      </c>
      <c r="V1109" s="9">
        <f>U1109+T1109*d_topup_amt</f>
        <v/>
      </c>
      <c r="W1109" s="40">
        <f>N1109+T1109*d_topup_ratio</f>
        <v/>
      </c>
      <c r="X1109" s="40">
        <f>SUMIFS(W1091:W1128,B1091:B1128,B1109-in_dpd_lag)*d_cured</f>
        <v/>
      </c>
      <c r="Y1109" s="40">
        <f>SUMIFS(W1091:W1128,B1091:B1128,B1109-in_rec_lag)*d_recd</f>
        <v/>
      </c>
      <c r="Z1109" s="40">
        <f>IF(AND(B1109&gt;=in_marketplace_from,B1109&lt;in_marketplace_from+in_card_months),in_card_share/in_card_months*F1109*I1109,IF(AND(B1109&gt;=in_marketplace_from+in_card_months,B1109&lt;in_marketplace_from+2*in_card_months),in_card_share*d_card_rem/in_card_months*F1109*MIN(in_takeup_cap,(1+in_takeup_growth)^(D1109-1))*MIN(in_takeup_cap,(1+in_approval_growth)^(D1109-1)),0))</f>
        <v/>
      </c>
      <c r="AA1109" s="14">
        <f>V1109*in_fee*(1-in_taken_back)</f>
        <v/>
      </c>
      <c r="AB1109" s="14">
        <f>SUMIFS(W1091:W1128,B1091:B1128,B1109-in_dpd_lag)*d_dpd</f>
        <v/>
      </c>
      <c r="AC1109" s="14">
        <f>SUMIFS(W1091:W1128,B1091:B1128,B1109-in_rec_lag)*d_rec</f>
        <v/>
      </c>
      <c r="AD1109" s="14">
        <f>Z1109*in_card_fee</f>
        <v/>
      </c>
      <c r="AE1109" s="40">
        <f>AE1108*(1-IF(B1108&gt;=in_marketplace_from,d_hz_hlth_small*G1108,0))</f>
        <v/>
      </c>
      <c r="AF1109" s="46">
        <f>AE1109*IF(B1109&gt;=in_marketplace_from,d_hz_hlth_small*G1109,0)</f>
        <v/>
      </c>
      <c r="AG1109" s="14">
        <f>F1109*AF1109*in_hlth_small_ticket*in_hlth_small_comm*in_ins_partner_share+F1109*in_hlth_small_ticket*in_hlth_small_renew_comm*in_ins_partner_share*(in_hlth_small_renew^1*SUMIFS(AF1091:AF1128,B1091:B1128,B1109-12)+in_hlth_small_renew^2*SUMIFS(AF1091:AF1128,B1091:B1128,B1109-24)+in_hlth_small_renew^3*SUMIFS(AF1091:AF1128,B1091:B1128,B1109-36)+in_hlth_small_renew^4*SUMIFS(AF1091:AF1128,B1091:B1128,B1109-48))</f>
        <v/>
      </c>
      <c r="AH1109" s="40">
        <f>AH1108*(1-IF(B1108&gt;=in_marketplace_from,d_hz_hlth_family*G1108,0))</f>
        <v/>
      </c>
      <c r="AI1109" s="46">
        <f>AH1109*IF(B1109&gt;=in_marketplace_from,d_hz_hlth_family*G1109,0)</f>
        <v/>
      </c>
      <c r="AJ1109" s="14">
        <f>F1109*AI1109*in_hlth_family_ticket*in_hlth_family_comm*in_ins_partner_share+F1109*in_hlth_family_ticket*in_hlth_family_renew_comm*in_ins_partner_share*(in_hlth_family_renew^1*SUMIFS(AI1091:AI1128,B1091:B1128,B1109-12)+in_hlth_family_renew^2*SUMIFS(AI1091:AI1128,B1091:B1128,B1109-24)+in_hlth_family_renew^3*SUMIFS(AI1091:AI1128,B1091:B1128,B1109-36)+in_hlth_family_renew^4*SUMIFS(AI1091:AI1128,B1091:B1128,B1109-48))</f>
        <v/>
      </c>
      <c r="AK1109" s="40">
        <f>AK1108*(1-IF(B1108&gt;=in_marketplace_from,d_hz_life_term*G1108,0))</f>
        <v/>
      </c>
      <c r="AL1109" s="46">
        <f>AK1109*IF(B1109&gt;=in_marketplace_from,d_hz_life_term*G1109,0)</f>
        <v/>
      </c>
      <c r="AM1109" s="14">
        <f>F1109*AL1109*in_life_term_ticket*in_life_term_comm*in_ins_partner_share+F1109*in_life_term_ticket*in_life_term_renew_comm*in_ins_partner_share*(in_life_term_renew^1*SUMIFS(AL1091:AL1128,B1091:B1128,B1109-12)+in_life_term_renew^2*SUMIFS(AL1091:AL1128,B1091:B1128,B1109-24)+in_life_term_renew^3*SUMIFS(AL1091:AL1128,B1091:B1128,B1109-36)+in_life_term_renew^4*SUMIFS(AL1091:AL1128,B1091:B1128,B1109-48))</f>
        <v/>
      </c>
      <c r="AN1109" s="40">
        <f>AN1108*(1-IF(B1108&gt;=in_marketplace_from,d_hz_accident*G1108,0))</f>
        <v/>
      </c>
      <c r="AO1109" s="46">
        <f>AN1109*IF(B1109&gt;=in_marketplace_from,d_hz_accident*G1109,0)</f>
        <v/>
      </c>
      <c r="AP1109" s="14">
        <f>F1109*AO1109*in_accident_ticket*in_accident_comm*in_ins_partner_share+F1109*in_accident_ticket*in_accident_renew_comm*in_ins_partner_share*(in_accident_renew^1*SUMIFS(AO1091:AO1128,B1091:B1128,B1109-12)+in_accident_renew^2*SUMIFS(AO1091:AO1128,B1091:B1128,B1109-24)+in_accident_renew^3*SUMIFS(AO1091:AO1128,B1091:B1128,B1109-36)+in_accident_renew^4*SUMIFS(AO1091:AO1128,B1091:B1128,B1109-48))</f>
        <v/>
      </c>
      <c r="AQ1109" s="40">
        <f>AQ1108*(1-IF(B1108&gt;=in_marketplace_from,d_hz_two_wheeler*G1108,0))</f>
        <v/>
      </c>
      <c r="AR1109" s="46">
        <f>AQ1109*IF(B1109&gt;=in_marketplace_from,d_hz_two_wheeler*G1109,0)</f>
        <v/>
      </c>
      <c r="AS1109" s="14">
        <f>F1109*AR1109*in_two_wheeler_ticket*in_two_wheeler_comm*in_ins_partner_share+F1109*in_two_wheeler_ticket*in_two_wheeler_comm*in_ins_partner_share*(in_two_wheeler_renew^1*SUMIFS(AR1091:AR1128,B1091:B1128,B1109-12)+in_two_wheeler_renew^2*SUMIFS(AR1091:AR1128,B1091:B1128,B1109-24)+in_two_wheeler_renew^3*SUMIFS(AR1091:AR1128,B1091:B1128,B1109-36)+in_two_wheeler_renew^4*SUMIFS(AR1091:AR1128,B1091:B1128,B1109-48))</f>
        <v/>
      </c>
      <c r="AT1109" s="40">
        <f>AT1108*(1-IF(B1108&gt;=in_marketplace_from,d_hz_device*G1108,0))</f>
        <v/>
      </c>
      <c r="AU1109" s="14">
        <f>F1109*AT1109*IF(B1109&gt;=in_marketplace_from,d_hz_device*G1109,0)*in_device_ticket*in_device_comm*in_ins_partner_share</f>
        <v/>
      </c>
      <c r="AV1109" s="40">
        <f>AV1108*(1-IF(B1108&gt;=in_marketplace_from,d_hz_shop*G1108,0))</f>
        <v/>
      </c>
      <c r="AW1109" s="46">
        <f>AV1109*IF(B1109&gt;=in_marketplace_from,d_hz_shop*G1109,0)</f>
        <v/>
      </c>
      <c r="AX1109" s="14">
        <f>F1109*AW1109*in_shop_ticket*in_shop_comm*in_ins_partner_share+F1109*in_shop_ticket*in_shop_renew_comm*in_ins_partner_share*(in_shop_renew^1*SUMIFS(AW1091:AW1128,B1091:B1128,B1109-12)+in_shop_renew^2*SUMIFS(AW1091:AW1128,B1091:B1128,B1109-24)+in_shop_renew^3*SUMIFS(AW1091:AW1128,B1091:B1128,B1109-36)+in_shop_renew^4*SUMIFS(AW1091:AW1128,B1091:B1128,B1109-48))</f>
        <v/>
      </c>
      <c r="AY1109" s="40">
        <f>AY1108*(1-IF(B1108&gt;=in_marketplace_from,d_hz_sip*G1108,0))</f>
        <v/>
      </c>
      <c r="AZ1109" s="40">
        <f>AZ1108*d_rho_sip+AY1109*IF(B1109&gt;=in_marketplace_from,d_hz_sip*G1109,0)</f>
        <v/>
      </c>
      <c r="BA1109" s="40">
        <f>d_rho_sip*(BA1108+AZ1108)</f>
        <v/>
      </c>
      <c r="BB1109" s="14">
        <f>F1109*in_sip_ticket*(BA1109+0.5*AZ1109)*in_sip_comm/12</f>
        <v/>
      </c>
      <c r="BC1109" s="40">
        <f>BC1108*(1-IF(B1108&gt;=in_marketplace_from,d_hz_choti*G1108,0))</f>
        <v/>
      </c>
      <c r="BD1109" s="46">
        <f>BC1109*IF(B1109&gt;=in_marketplace_from,d_hz_choti*G1109,0)</f>
        <v/>
      </c>
      <c r="BE1109" s="14">
        <f>F1109*SUMIFS(BD1091:BD1128,B1091:B1128,B1109-in_choti_months)*in_choti_renew*in_choti_ticket</f>
        <v/>
      </c>
      <c r="BF1109" s="40">
        <f>BF1108*(1-IF(B1108&gt;=in_marketplace_from,d_hz_nps*G1108,0))</f>
        <v/>
      </c>
      <c r="BG1109" s="14">
        <f>F1109*BF1109*IF(B1109&gt;=in_marketplace_from,d_hz_nps*G1109,0)*in_nps_ticket*in_nps_comm</f>
        <v/>
      </c>
      <c r="BH1109" s="40">
        <f>BH1108*(1-IF(B1108&gt;=in_marketplace_from,d_hz_gold*G1108,0))</f>
        <v/>
      </c>
      <c r="BI1109" s="40">
        <f>BI1108*d_rho_gold+BH1109*IF(B1109&gt;=in_marketplace_from,d_hz_gold*G1109,0)</f>
        <v/>
      </c>
      <c r="BJ1109" s="14">
        <f>F1109*BI1109*in_gold_ticket*in_gold_comm</f>
        <v/>
      </c>
      <c r="BK1109" s="40">
        <f>BK1108*(1-IF(B1108&gt;=in_marketplace_from,d_hz_fd*G1108,0))</f>
        <v/>
      </c>
      <c r="BL1109" s="14">
        <f>F1109*BK1109*IF(B1109&gt;=in_marketplace_from,d_hz_fd*G1109,0)*in_fd_ticket*in_fd_comm</f>
        <v/>
      </c>
      <c r="BM1109" s="40">
        <f>BM1108*(1-IF(B1108&gt;=in_marketplace_from,d_hz_recharge*G1108,0))</f>
        <v/>
      </c>
      <c r="BN1109" s="40">
        <f>BN1108*d_rho_recharge+BM1109*IF(B1109&gt;=in_marketplace_from,d_hz_recharge*G1109,0)</f>
        <v/>
      </c>
      <c r="BO1109" s="14">
        <f>F1109*BN1109*in_recharge_ticket*in_recharge_comm/12</f>
        <v/>
      </c>
      <c r="BP1109" s="40">
        <f>BP1108*(1-IF(B1108&gt;=in_marketplace_from,d_hz_bills*G1108,0))</f>
        <v/>
      </c>
      <c r="BQ1109" s="40">
        <f>BQ1108*d_rho_bills+BP1109*IF(B1109&gt;=in_marketplace_from,d_hz_bills*G1109,0)</f>
        <v/>
      </c>
      <c r="BR1109" s="14">
        <f>F1109*BQ1109*in_bills_ticket*in_bills_comm/12</f>
        <v/>
      </c>
      <c r="BS1109" s="40">
        <f>BS1108*(1-IF(B1108&gt;=in_marketplace_from,d_hz_loan_gold*G1108,0))</f>
        <v/>
      </c>
      <c r="BT1109" s="14">
        <f>F1109*BS1109*IF(B1109&gt;=in_marketplace_from,d_hz_loan_gold*G1109,0)*in_loan_gold_ticket*in_loan_gold_comm</f>
        <v/>
      </c>
      <c r="BU1109" s="40">
        <f>BU1108*(1-IF(B1108&gt;=in_marketplace_from,d_hz_loan_cd*G1108,0))</f>
        <v/>
      </c>
      <c r="BV1109" s="14">
        <f>F1109*BU1109*IF(B1109&gt;=in_marketplace_from,d_hz_loan_cd*G1109,0)*in_loan_cd_ticket*in_loan_cd_comm</f>
        <v/>
      </c>
      <c r="BW1109" s="40">
        <f>BW1108*(1-IF(B1108&gt;=in_marketplace_from,d_hz_loan_vehicle*G1108,0))</f>
        <v/>
      </c>
      <c r="BX1109" s="14">
        <f>F1109*BW1109*IF(B1109&gt;=in_marketplace_from,d_hz_loan_vehicle*G1109,0)*in_loan_vehicle_ticket*in_loan_vehicle_comm</f>
        <v/>
      </c>
      <c r="BY1109" s="40">
        <f>BY1108*(1-IF(B1108&gt;=in_marketplace_from,d_hz_loan_home*G1108,0)*BZ1108)</f>
        <v/>
      </c>
      <c r="BZ1109" s="11">
        <f>MIN(in_approval_cap,in_loan_home_approval*INDEX('Age profile'!$O$2:$O$61,B1109)*(1+in_approval_growth)^(D1109-1))</f>
        <v/>
      </c>
      <c r="CA1109" s="14">
        <f>F1109*BY1109*IF(B1109&gt;=in_marketplace_from,d_hz_loan_home*G1109,0)*BZ1109*in_loan_home_ticket*in_loan_home_comm</f>
        <v/>
      </c>
      <c r="CB1109" s="40">
        <f>CB1108*(1-IF(B1108&gt;=in_marketplace_from,d_hz_loan_lap*G1108,0)*CC1108)</f>
        <v/>
      </c>
      <c r="CC1109" s="11">
        <f>MIN(in_approval_cap,in_loan_lap_approval*INDEX('Age profile'!$O$2:$O$61,B1109)*(1+in_approval_growth)^(D1109-1))</f>
        <v/>
      </c>
      <c r="CD1109" s="14">
        <f>F1109*CB1109*IF(B1109&gt;=in_marketplace_from,d_hz_loan_lap*G1109,0)*CC1109*in_loan_lap_ticket*in_loan_lap_comm</f>
        <v/>
      </c>
      <c r="CE1109" s="14">
        <f>AA1109+AB1109+AC1109+AD1109+AG1109+AJ1109+AM1109+AP1109+AS1109+AU1109+AX1109+BB1109+BE1109+BG1109+BJ1109+BL1109+BO1109+BR1109+BT1109+BV1109+BX1109+CA1109+CD1109</f>
        <v/>
      </c>
    </row>
    <row r="1110">
      <c r="A1110" s="39" t="n">
        <v>23</v>
      </c>
      <c r="B1110" s="39" t="n">
        <v>20</v>
      </c>
      <c r="C1110" s="39">
        <f>A1110+B1110-1</f>
        <v/>
      </c>
      <c r="D1110" s="39">
        <f>INT((C1110-1)/12)+1</f>
        <v/>
      </c>
      <c r="E1110" s="44">
        <f>INDEX(Monthly!$B$2:$B$61,A1110)</f>
        <v/>
      </c>
      <c r="F1110" s="44">
        <f>E1110*INDEX('Age profile'!$B$2:$B$61,B1110)</f>
        <v/>
      </c>
      <c r="G1110" s="45">
        <f>MIN(in_takeup_cap,INDEX('Age profile'!$N$2:$N$61,B1110)*(1+in_takeup_growth)^(D1110-1))</f>
        <v/>
      </c>
      <c r="H1110" s="11">
        <f>MIN(in_approval_cap,in_approved_first*INDEX('Age profile'!$O$2:$O$61,B1110)*(1+in_approval_growth)^(D1110-1))</f>
        <v/>
      </c>
      <c r="I1110" s="45">
        <f>G1110*MIN(in_takeup_cap,INDEX('Age profile'!$O$2:$O$61,B1110)*(1+in_approval_growth)^(D1110-1))</f>
        <v/>
      </c>
      <c r="J1110" s="40">
        <f>(J1109-L1109)*F1110/F1109</f>
        <v/>
      </c>
      <c r="K1110" s="40">
        <f>(K1109-M1109)*F1110/F1109+SUMIFS(O1091:O1109,B1091:B1109,B1110-1-d_T)*F1110</f>
        <v/>
      </c>
      <c r="L1110" s="40">
        <f>IF(B1110&gt;=in_marketplace_from,J1110*d_hz*G1110*in_eligible*H1110,0)</f>
        <v/>
      </c>
      <c r="M1110" s="40">
        <f>IF(B1110&gt;=in_marketplace_from,K1110*d_hz*G1110*in_eligible*in_approved_repeat,0)</f>
        <v/>
      </c>
      <c r="N1110" s="40">
        <f>L1110+M1110</f>
        <v/>
      </c>
      <c r="O1110" s="46">
        <f>N1110/F1110</f>
        <v/>
      </c>
      <c r="P1110" s="40">
        <f>F1110-J1110-K1110</f>
        <v/>
      </c>
      <c r="Q1110" s="40">
        <f>IF(B1110&gt;=in_marketplace_from,(J1110+K1110)*d_hz*G1110,0)</f>
        <v/>
      </c>
      <c r="R1110" s="40">
        <f>SUMIFS(N1091:N1128,B1091:B1128,"&gt;="&amp;(B1110-d_T),B1091:B1128,"&lt;="&amp;(B1110-1))</f>
        <v/>
      </c>
      <c r="S1110" s="46">
        <f>(1-d_u)*S1109+IF(d_T&gt;in_topup_lag,SUMIFS(O1091:O1128,B1091:B1128,B1110-in_topup_lag)-d_udrop*SUMIFS(O1091:O1128,B1091:B1128,B1110-d_T),0)</f>
        <v/>
      </c>
      <c r="T1110" s="40">
        <f>F1110*d_u*S1110</f>
        <v/>
      </c>
      <c r="U1110" s="9">
        <f>L1110*in_ticket+M1110*d_rep_ticket</f>
        <v/>
      </c>
      <c r="V1110" s="9">
        <f>U1110+T1110*d_topup_amt</f>
        <v/>
      </c>
      <c r="W1110" s="40">
        <f>N1110+T1110*d_topup_ratio</f>
        <v/>
      </c>
      <c r="X1110" s="40">
        <f>SUMIFS(W1091:W1128,B1091:B1128,B1110-in_dpd_lag)*d_cured</f>
        <v/>
      </c>
      <c r="Y1110" s="40">
        <f>SUMIFS(W1091:W1128,B1091:B1128,B1110-in_rec_lag)*d_recd</f>
        <v/>
      </c>
      <c r="Z1110" s="40">
        <f>IF(AND(B1110&gt;=in_marketplace_from,B1110&lt;in_marketplace_from+in_card_months),in_card_share/in_card_months*F1110*I1110,IF(AND(B1110&gt;=in_marketplace_from+in_card_months,B1110&lt;in_marketplace_from+2*in_card_months),in_card_share*d_card_rem/in_card_months*F1110*MIN(in_takeup_cap,(1+in_takeup_growth)^(D1110-1))*MIN(in_takeup_cap,(1+in_approval_growth)^(D1110-1)),0))</f>
        <v/>
      </c>
      <c r="AA1110" s="14">
        <f>V1110*in_fee*(1-in_taken_back)</f>
        <v/>
      </c>
      <c r="AB1110" s="14">
        <f>SUMIFS(W1091:W1128,B1091:B1128,B1110-in_dpd_lag)*d_dpd</f>
        <v/>
      </c>
      <c r="AC1110" s="14">
        <f>SUMIFS(W1091:W1128,B1091:B1128,B1110-in_rec_lag)*d_rec</f>
        <v/>
      </c>
      <c r="AD1110" s="14">
        <f>Z1110*in_card_fee</f>
        <v/>
      </c>
      <c r="AE1110" s="40">
        <f>AE1109*(1-IF(B1109&gt;=in_marketplace_from,d_hz_hlth_small*G1109,0))</f>
        <v/>
      </c>
      <c r="AF1110" s="46">
        <f>AE1110*IF(B1110&gt;=in_marketplace_from,d_hz_hlth_small*G1110,0)</f>
        <v/>
      </c>
      <c r="AG1110" s="14">
        <f>F1110*AF1110*in_hlth_small_ticket*in_hlth_small_comm*in_ins_partner_share+F1110*in_hlth_small_ticket*in_hlth_small_renew_comm*in_ins_partner_share*(in_hlth_small_renew^1*SUMIFS(AF1091:AF1128,B1091:B1128,B1110-12)+in_hlth_small_renew^2*SUMIFS(AF1091:AF1128,B1091:B1128,B1110-24)+in_hlth_small_renew^3*SUMIFS(AF1091:AF1128,B1091:B1128,B1110-36)+in_hlth_small_renew^4*SUMIFS(AF1091:AF1128,B1091:B1128,B1110-48))</f>
        <v/>
      </c>
      <c r="AH1110" s="40">
        <f>AH1109*(1-IF(B1109&gt;=in_marketplace_from,d_hz_hlth_family*G1109,0))</f>
        <v/>
      </c>
      <c r="AI1110" s="46">
        <f>AH1110*IF(B1110&gt;=in_marketplace_from,d_hz_hlth_family*G1110,0)</f>
        <v/>
      </c>
      <c r="AJ1110" s="14">
        <f>F1110*AI1110*in_hlth_family_ticket*in_hlth_family_comm*in_ins_partner_share+F1110*in_hlth_family_ticket*in_hlth_family_renew_comm*in_ins_partner_share*(in_hlth_family_renew^1*SUMIFS(AI1091:AI1128,B1091:B1128,B1110-12)+in_hlth_family_renew^2*SUMIFS(AI1091:AI1128,B1091:B1128,B1110-24)+in_hlth_family_renew^3*SUMIFS(AI1091:AI1128,B1091:B1128,B1110-36)+in_hlth_family_renew^4*SUMIFS(AI1091:AI1128,B1091:B1128,B1110-48))</f>
        <v/>
      </c>
      <c r="AK1110" s="40">
        <f>AK1109*(1-IF(B1109&gt;=in_marketplace_from,d_hz_life_term*G1109,0))</f>
        <v/>
      </c>
      <c r="AL1110" s="46">
        <f>AK1110*IF(B1110&gt;=in_marketplace_from,d_hz_life_term*G1110,0)</f>
        <v/>
      </c>
      <c r="AM1110" s="14">
        <f>F1110*AL1110*in_life_term_ticket*in_life_term_comm*in_ins_partner_share+F1110*in_life_term_ticket*in_life_term_renew_comm*in_ins_partner_share*(in_life_term_renew^1*SUMIFS(AL1091:AL1128,B1091:B1128,B1110-12)+in_life_term_renew^2*SUMIFS(AL1091:AL1128,B1091:B1128,B1110-24)+in_life_term_renew^3*SUMIFS(AL1091:AL1128,B1091:B1128,B1110-36)+in_life_term_renew^4*SUMIFS(AL1091:AL1128,B1091:B1128,B1110-48))</f>
        <v/>
      </c>
      <c r="AN1110" s="40">
        <f>AN1109*(1-IF(B1109&gt;=in_marketplace_from,d_hz_accident*G1109,0))</f>
        <v/>
      </c>
      <c r="AO1110" s="46">
        <f>AN1110*IF(B1110&gt;=in_marketplace_from,d_hz_accident*G1110,0)</f>
        <v/>
      </c>
      <c r="AP1110" s="14">
        <f>F1110*AO1110*in_accident_ticket*in_accident_comm*in_ins_partner_share+F1110*in_accident_ticket*in_accident_renew_comm*in_ins_partner_share*(in_accident_renew^1*SUMIFS(AO1091:AO1128,B1091:B1128,B1110-12)+in_accident_renew^2*SUMIFS(AO1091:AO1128,B1091:B1128,B1110-24)+in_accident_renew^3*SUMIFS(AO1091:AO1128,B1091:B1128,B1110-36)+in_accident_renew^4*SUMIFS(AO1091:AO1128,B1091:B1128,B1110-48))</f>
        <v/>
      </c>
      <c r="AQ1110" s="40">
        <f>AQ1109*(1-IF(B1109&gt;=in_marketplace_from,d_hz_two_wheeler*G1109,0))</f>
        <v/>
      </c>
      <c r="AR1110" s="46">
        <f>AQ1110*IF(B1110&gt;=in_marketplace_from,d_hz_two_wheeler*G1110,0)</f>
        <v/>
      </c>
      <c r="AS1110" s="14">
        <f>F1110*AR1110*in_two_wheeler_ticket*in_two_wheeler_comm*in_ins_partner_share+F1110*in_two_wheeler_ticket*in_two_wheeler_comm*in_ins_partner_share*(in_two_wheeler_renew^1*SUMIFS(AR1091:AR1128,B1091:B1128,B1110-12)+in_two_wheeler_renew^2*SUMIFS(AR1091:AR1128,B1091:B1128,B1110-24)+in_two_wheeler_renew^3*SUMIFS(AR1091:AR1128,B1091:B1128,B1110-36)+in_two_wheeler_renew^4*SUMIFS(AR1091:AR1128,B1091:B1128,B1110-48))</f>
        <v/>
      </c>
      <c r="AT1110" s="40">
        <f>AT1109*(1-IF(B1109&gt;=in_marketplace_from,d_hz_device*G1109,0))</f>
        <v/>
      </c>
      <c r="AU1110" s="14">
        <f>F1110*AT1110*IF(B1110&gt;=in_marketplace_from,d_hz_device*G1110,0)*in_device_ticket*in_device_comm*in_ins_partner_share</f>
        <v/>
      </c>
      <c r="AV1110" s="40">
        <f>AV1109*(1-IF(B1109&gt;=in_marketplace_from,d_hz_shop*G1109,0))</f>
        <v/>
      </c>
      <c r="AW1110" s="46">
        <f>AV1110*IF(B1110&gt;=in_marketplace_from,d_hz_shop*G1110,0)</f>
        <v/>
      </c>
      <c r="AX1110" s="14">
        <f>F1110*AW1110*in_shop_ticket*in_shop_comm*in_ins_partner_share+F1110*in_shop_ticket*in_shop_renew_comm*in_ins_partner_share*(in_shop_renew^1*SUMIFS(AW1091:AW1128,B1091:B1128,B1110-12)+in_shop_renew^2*SUMIFS(AW1091:AW1128,B1091:B1128,B1110-24)+in_shop_renew^3*SUMIFS(AW1091:AW1128,B1091:B1128,B1110-36)+in_shop_renew^4*SUMIFS(AW1091:AW1128,B1091:B1128,B1110-48))</f>
        <v/>
      </c>
      <c r="AY1110" s="40">
        <f>AY1109*(1-IF(B1109&gt;=in_marketplace_from,d_hz_sip*G1109,0))</f>
        <v/>
      </c>
      <c r="AZ1110" s="40">
        <f>AZ1109*d_rho_sip+AY1110*IF(B1110&gt;=in_marketplace_from,d_hz_sip*G1110,0)</f>
        <v/>
      </c>
      <c r="BA1110" s="40">
        <f>d_rho_sip*(BA1109+AZ1109)</f>
        <v/>
      </c>
      <c r="BB1110" s="14">
        <f>F1110*in_sip_ticket*(BA1110+0.5*AZ1110)*in_sip_comm/12</f>
        <v/>
      </c>
      <c r="BC1110" s="40">
        <f>BC1109*(1-IF(B1109&gt;=in_marketplace_from,d_hz_choti*G1109,0))</f>
        <v/>
      </c>
      <c r="BD1110" s="46">
        <f>BC1110*IF(B1110&gt;=in_marketplace_from,d_hz_choti*G1110,0)</f>
        <v/>
      </c>
      <c r="BE1110" s="14">
        <f>F1110*SUMIFS(BD1091:BD1128,B1091:B1128,B1110-in_choti_months)*in_choti_renew*in_choti_ticket</f>
        <v/>
      </c>
      <c r="BF1110" s="40">
        <f>BF1109*(1-IF(B1109&gt;=in_marketplace_from,d_hz_nps*G1109,0))</f>
        <v/>
      </c>
      <c r="BG1110" s="14">
        <f>F1110*BF1110*IF(B1110&gt;=in_marketplace_from,d_hz_nps*G1110,0)*in_nps_ticket*in_nps_comm</f>
        <v/>
      </c>
      <c r="BH1110" s="40">
        <f>BH1109*(1-IF(B1109&gt;=in_marketplace_from,d_hz_gold*G1109,0))</f>
        <v/>
      </c>
      <c r="BI1110" s="40">
        <f>BI1109*d_rho_gold+BH1110*IF(B1110&gt;=in_marketplace_from,d_hz_gold*G1110,0)</f>
        <v/>
      </c>
      <c r="BJ1110" s="14">
        <f>F1110*BI1110*in_gold_ticket*in_gold_comm</f>
        <v/>
      </c>
      <c r="BK1110" s="40">
        <f>BK1109*(1-IF(B1109&gt;=in_marketplace_from,d_hz_fd*G1109,0))</f>
        <v/>
      </c>
      <c r="BL1110" s="14">
        <f>F1110*BK1110*IF(B1110&gt;=in_marketplace_from,d_hz_fd*G1110,0)*in_fd_ticket*in_fd_comm</f>
        <v/>
      </c>
      <c r="BM1110" s="40">
        <f>BM1109*(1-IF(B1109&gt;=in_marketplace_from,d_hz_recharge*G1109,0))</f>
        <v/>
      </c>
      <c r="BN1110" s="40">
        <f>BN1109*d_rho_recharge+BM1110*IF(B1110&gt;=in_marketplace_from,d_hz_recharge*G1110,0)</f>
        <v/>
      </c>
      <c r="BO1110" s="14">
        <f>F1110*BN1110*in_recharge_ticket*in_recharge_comm/12</f>
        <v/>
      </c>
      <c r="BP1110" s="40">
        <f>BP1109*(1-IF(B1109&gt;=in_marketplace_from,d_hz_bills*G1109,0))</f>
        <v/>
      </c>
      <c r="BQ1110" s="40">
        <f>BQ1109*d_rho_bills+BP1110*IF(B1110&gt;=in_marketplace_from,d_hz_bills*G1110,0)</f>
        <v/>
      </c>
      <c r="BR1110" s="14">
        <f>F1110*BQ1110*in_bills_ticket*in_bills_comm/12</f>
        <v/>
      </c>
      <c r="BS1110" s="40">
        <f>BS1109*(1-IF(B1109&gt;=in_marketplace_from,d_hz_loan_gold*G1109,0))</f>
        <v/>
      </c>
      <c r="BT1110" s="14">
        <f>F1110*BS1110*IF(B1110&gt;=in_marketplace_from,d_hz_loan_gold*G1110,0)*in_loan_gold_ticket*in_loan_gold_comm</f>
        <v/>
      </c>
      <c r="BU1110" s="40">
        <f>BU1109*(1-IF(B1109&gt;=in_marketplace_from,d_hz_loan_cd*G1109,0))</f>
        <v/>
      </c>
      <c r="BV1110" s="14">
        <f>F1110*BU1110*IF(B1110&gt;=in_marketplace_from,d_hz_loan_cd*G1110,0)*in_loan_cd_ticket*in_loan_cd_comm</f>
        <v/>
      </c>
      <c r="BW1110" s="40">
        <f>BW1109*(1-IF(B1109&gt;=in_marketplace_from,d_hz_loan_vehicle*G1109,0))</f>
        <v/>
      </c>
      <c r="BX1110" s="14">
        <f>F1110*BW1110*IF(B1110&gt;=in_marketplace_from,d_hz_loan_vehicle*G1110,0)*in_loan_vehicle_ticket*in_loan_vehicle_comm</f>
        <v/>
      </c>
      <c r="BY1110" s="40">
        <f>BY1109*(1-IF(B1109&gt;=in_marketplace_from,d_hz_loan_home*G1109,0)*BZ1109)</f>
        <v/>
      </c>
      <c r="BZ1110" s="11">
        <f>MIN(in_approval_cap,in_loan_home_approval*INDEX('Age profile'!$O$2:$O$61,B1110)*(1+in_approval_growth)^(D1110-1))</f>
        <v/>
      </c>
      <c r="CA1110" s="14">
        <f>F1110*BY1110*IF(B1110&gt;=in_marketplace_from,d_hz_loan_home*G1110,0)*BZ1110*in_loan_home_ticket*in_loan_home_comm</f>
        <v/>
      </c>
      <c r="CB1110" s="40">
        <f>CB1109*(1-IF(B1109&gt;=in_marketplace_from,d_hz_loan_lap*G1109,0)*CC1109)</f>
        <v/>
      </c>
      <c r="CC1110" s="11">
        <f>MIN(in_approval_cap,in_loan_lap_approval*INDEX('Age profile'!$O$2:$O$61,B1110)*(1+in_approval_growth)^(D1110-1))</f>
        <v/>
      </c>
      <c r="CD1110" s="14">
        <f>F1110*CB1110*IF(B1110&gt;=in_marketplace_from,d_hz_loan_lap*G1110,0)*CC1110*in_loan_lap_ticket*in_loan_lap_comm</f>
        <v/>
      </c>
      <c r="CE1110" s="14">
        <f>AA1110+AB1110+AC1110+AD1110+AG1110+AJ1110+AM1110+AP1110+AS1110+AU1110+AX1110+BB1110+BE1110+BG1110+BJ1110+BL1110+BO1110+BR1110+BT1110+BV1110+BX1110+CA1110+CD1110</f>
        <v/>
      </c>
    </row>
    <row r="1111">
      <c r="A1111" s="39" t="n">
        <v>23</v>
      </c>
      <c r="B1111" s="39" t="n">
        <v>21</v>
      </c>
      <c r="C1111" s="39">
        <f>A1111+B1111-1</f>
        <v/>
      </c>
      <c r="D1111" s="39">
        <f>INT((C1111-1)/12)+1</f>
        <v/>
      </c>
      <c r="E1111" s="44">
        <f>INDEX(Monthly!$B$2:$B$61,A1111)</f>
        <v/>
      </c>
      <c r="F1111" s="44">
        <f>E1111*INDEX('Age profile'!$B$2:$B$61,B1111)</f>
        <v/>
      </c>
      <c r="G1111" s="45">
        <f>MIN(in_takeup_cap,INDEX('Age profile'!$N$2:$N$61,B1111)*(1+in_takeup_growth)^(D1111-1))</f>
        <v/>
      </c>
      <c r="H1111" s="11">
        <f>MIN(in_approval_cap,in_approved_first*INDEX('Age profile'!$O$2:$O$61,B1111)*(1+in_approval_growth)^(D1111-1))</f>
        <v/>
      </c>
      <c r="I1111" s="45">
        <f>G1111*MIN(in_takeup_cap,INDEX('Age profile'!$O$2:$O$61,B1111)*(1+in_approval_growth)^(D1111-1))</f>
        <v/>
      </c>
      <c r="J1111" s="40">
        <f>(J1110-L1110)*F1111/F1110</f>
        <v/>
      </c>
      <c r="K1111" s="40">
        <f>(K1110-M1110)*F1111/F1110+SUMIFS(O1091:O1110,B1091:B1110,B1111-1-d_T)*F1111</f>
        <v/>
      </c>
      <c r="L1111" s="40">
        <f>IF(B1111&gt;=in_marketplace_from,J1111*d_hz*G1111*in_eligible*H1111,0)</f>
        <v/>
      </c>
      <c r="M1111" s="40">
        <f>IF(B1111&gt;=in_marketplace_from,K1111*d_hz*G1111*in_eligible*in_approved_repeat,0)</f>
        <v/>
      </c>
      <c r="N1111" s="40">
        <f>L1111+M1111</f>
        <v/>
      </c>
      <c r="O1111" s="46">
        <f>N1111/F1111</f>
        <v/>
      </c>
      <c r="P1111" s="40">
        <f>F1111-J1111-K1111</f>
        <v/>
      </c>
      <c r="Q1111" s="40">
        <f>IF(B1111&gt;=in_marketplace_from,(J1111+K1111)*d_hz*G1111,0)</f>
        <v/>
      </c>
      <c r="R1111" s="40">
        <f>SUMIFS(N1091:N1128,B1091:B1128,"&gt;="&amp;(B1111-d_T),B1091:B1128,"&lt;="&amp;(B1111-1))</f>
        <v/>
      </c>
      <c r="S1111" s="46">
        <f>(1-d_u)*S1110+IF(d_T&gt;in_topup_lag,SUMIFS(O1091:O1128,B1091:B1128,B1111-in_topup_lag)-d_udrop*SUMIFS(O1091:O1128,B1091:B1128,B1111-d_T),0)</f>
        <v/>
      </c>
      <c r="T1111" s="40">
        <f>F1111*d_u*S1111</f>
        <v/>
      </c>
      <c r="U1111" s="9">
        <f>L1111*in_ticket+M1111*d_rep_ticket</f>
        <v/>
      </c>
      <c r="V1111" s="9">
        <f>U1111+T1111*d_topup_amt</f>
        <v/>
      </c>
      <c r="W1111" s="40">
        <f>N1111+T1111*d_topup_ratio</f>
        <v/>
      </c>
      <c r="X1111" s="40">
        <f>SUMIFS(W1091:W1128,B1091:B1128,B1111-in_dpd_lag)*d_cured</f>
        <v/>
      </c>
      <c r="Y1111" s="40">
        <f>SUMIFS(W1091:W1128,B1091:B1128,B1111-in_rec_lag)*d_recd</f>
        <v/>
      </c>
      <c r="Z1111" s="40">
        <f>IF(AND(B1111&gt;=in_marketplace_from,B1111&lt;in_marketplace_from+in_card_months),in_card_share/in_card_months*F1111*I1111,IF(AND(B1111&gt;=in_marketplace_from+in_card_months,B1111&lt;in_marketplace_from+2*in_card_months),in_card_share*d_card_rem/in_card_months*F1111*MIN(in_takeup_cap,(1+in_takeup_growth)^(D1111-1))*MIN(in_takeup_cap,(1+in_approval_growth)^(D1111-1)),0))</f>
        <v/>
      </c>
      <c r="AA1111" s="14">
        <f>V1111*in_fee*(1-in_taken_back)</f>
        <v/>
      </c>
      <c r="AB1111" s="14">
        <f>SUMIFS(W1091:W1128,B1091:B1128,B1111-in_dpd_lag)*d_dpd</f>
        <v/>
      </c>
      <c r="AC1111" s="14">
        <f>SUMIFS(W1091:W1128,B1091:B1128,B1111-in_rec_lag)*d_rec</f>
        <v/>
      </c>
      <c r="AD1111" s="14">
        <f>Z1111*in_card_fee</f>
        <v/>
      </c>
      <c r="AE1111" s="40">
        <f>AE1110*(1-IF(B1110&gt;=in_marketplace_from,d_hz_hlth_small*G1110,0))</f>
        <v/>
      </c>
      <c r="AF1111" s="46">
        <f>AE1111*IF(B1111&gt;=in_marketplace_from,d_hz_hlth_small*G1111,0)</f>
        <v/>
      </c>
      <c r="AG1111" s="14">
        <f>F1111*AF1111*in_hlth_small_ticket*in_hlth_small_comm*in_ins_partner_share+F1111*in_hlth_small_ticket*in_hlth_small_renew_comm*in_ins_partner_share*(in_hlth_small_renew^1*SUMIFS(AF1091:AF1128,B1091:B1128,B1111-12)+in_hlth_small_renew^2*SUMIFS(AF1091:AF1128,B1091:B1128,B1111-24)+in_hlth_small_renew^3*SUMIFS(AF1091:AF1128,B1091:B1128,B1111-36)+in_hlth_small_renew^4*SUMIFS(AF1091:AF1128,B1091:B1128,B1111-48))</f>
        <v/>
      </c>
      <c r="AH1111" s="40">
        <f>AH1110*(1-IF(B1110&gt;=in_marketplace_from,d_hz_hlth_family*G1110,0))</f>
        <v/>
      </c>
      <c r="AI1111" s="46">
        <f>AH1111*IF(B1111&gt;=in_marketplace_from,d_hz_hlth_family*G1111,0)</f>
        <v/>
      </c>
      <c r="AJ1111" s="14">
        <f>F1111*AI1111*in_hlth_family_ticket*in_hlth_family_comm*in_ins_partner_share+F1111*in_hlth_family_ticket*in_hlth_family_renew_comm*in_ins_partner_share*(in_hlth_family_renew^1*SUMIFS(AI1091:AI1128,B1091:B1128,B1111-12)+in_hlth_family_renew^2*SUMIFS(AI1091:AI1128,B1091:B1128,B1111-24)+in_hlth_family_renew^3*SUMIFS(AI1091:AI1128,B1091:B1128,B1111-36)+in_hlth_family_renew^4*SUMIFS(AI1091:AI1128,B1091:B1128,B1111-48))</f>
        <v/>
      </c>
      <c r="AK1111" s="40">
        <f>AK1110*(1-IF(B1110&gt;=in_marketplace_from,d_hz_life_term*G1110,0))</f>
        <v/>
      </c>
      <c r="AL1111" s="46">
        <f>AK1111*IF(B1111&gt;=in_marketplace_from,d_hz_life_term*G1111,0)</f>
        <v/>
      </c>
      <c r="AM1111" s="14">
        <f>F1111*AL1111*in_life_term_ticket*in_life_term_comm*in_ins_partner_share+F1111*in_life_term_ticket*in_life_term_renew_comm*in_ins_partner_share*(in_life_term_renew^1*SUMIFS(AL1091:AL1128,B1091:B1128,B1111-12)+in_life_term_renew^2*SUMIFS(AL1091:AL1128,B1091:B1128,B1111-24)+in_life_term_renew^3*SUMIFS(AL1091:AL1128,B1091:B1128,B1111-36)+in_life_term_renew^4*SUMIFS(AL1091:AL1128,B1091:B1128,B1111-48))</f>
        <v/>
      </c>
      <c r="AN1111" s="40">
        <f>AN1110*(1-IF(B1110&gt;=in_marketplace_from,d_hz_accident*G1110,0))</f>
        <v/>
      </c>
      <c r="AO1111" s="46">
        <f>AN1111*IF(B1111&gt;=in_marketplace_from,d_hz_accident*G1111,0)</f>
        <v/>
      </c>
      <c r="AP1111" s="14">
        <f>F1111*AO1111*in_accident_ticket*in_accident_comm*in_ins_partner_share+F1111*in_accident_ticket*in_accident_renew_comm*in_ins_partner_share*(in_accident_renew^1*SUMIFS(AO1091:AO1128,B1091:B1128,B1111-12)+in_accident_renew^2*SUMIFS(AO1091:AO1128,B1091:B1128,B1111-24)+in_accident_renew^3*SUMIFS(AO1091:AO1128,B1091:B1128,B1111-36)+in_accident_renew^4*SUMIFS(AO1091:AO1128,B1091:B1128,B1111-48))</f>
        <v/>
      </c>
      <c r="AQ1111" s="40">
        <f>AQ1110*(1-IF(B1110&gt;=in_marketplace_from,d_hz_two_wheeler*G1110,0))</f>
        <v/>
      </c>
      <c r="AR1111" s="46">
        <f>AQ1111*IF(B1111&gt;=in_marketplace_from,d_hz_two_wheeler*G1111,0)</f>
        <v/>
      </c>
      <c r="AS1111" s="14">
        <f>F1111*AR1111*in_two_wheeler_ticket*in_two_wheeler_comm*in_ins_partner_share+F1111*in_two_wheeler_ticket*in_two_wheeler_comm*in_ins_partner_share*(in_two_wheeler_renew^1*SUMIFS(AR1091:AR1128,B1091:B1128,B1111-12)+in_two_wheeler_renew^2*SUMIFS(AR1091:AR1128,B1091:B1128,B1111-24)+in_two_wheeler_renew^3*SUMIFS(AR1091:AR1128,B1091:B1128,B1111-36)+in_two_wheeler_renew^4*SUMIFS(AR1091:AR1128,B1091:B1128,B1111-48))</f>
        <v/>
      </c>
      <c r="AT1111" s="40">
        <f>AT1110*(1-IF(B1110&gt;=in_marketplace_from,d_hz_device*G1110,0))</f>
        <v/>
      </c>
      <c r="AU1111" s="14">
        <f>F1111*AT1111*IF(B1111&gt;=in_marketplace_from,d_hz_device*G1111,0)*in_device_ticket*in_device_comm*in_ins_partner_share</f>
        <v/>
      </c>
      <c r="AV1111" s="40">
        <f>AV1110*(1-IF(B1110&gt;=in_marketplace_from,d_hz_shop*G1110,0))</f>
        <v/>
      </c>
      <c r="AW1111" s="46">
        <f>AV1111*IF(B1111&gt;=in_marketplace_from,d_hz_shop*G1111,0)</f>
        <v/>
      </c>
      <c r="AX1111" s="14">
        <f>F1111*AW1111*in_shop_ticket*in_shop_comm*in_ins_partner_share+F1111*in_shop_ticket*in_shop_renew_comm*in_ins_partner_share*(in_shop_renew^1*SUMIFS(AW1091:AW1128,B1091:B1128,B1111-12)+in_shop_renew^2*SUMIFS(AW1091:AW1128,B1091:B1128,B1111-24)+in_shop_renew^3*SUMIFS(AW1091:AW1128,B1091:B1128,B1111-36)+in_shop_renew^4*SUMIFS(AW1091:AW1128,B1091:B1128,B1111-48))</f>
        <v/>
      </c>
      <c r="AY1111" s="40">
        <f>AY1110*(1-IF(B1110&gt;=in_marketplace_from,d_hz_sip*G1110,0))</f>
        <v/>
      </c>
      <c r="AZ1111" s="40">
        <f>AZ1110*d_rho_sip+AY1111*IF(B1111&gt;=in_marketplace_from,d_hz_sip*G1111,0)</f>
        <v/>
      </c>
      <c r="BA1111" s="40">
        <f>d_rho_sip*(BA1110+AZ1110)</f>
        <v/>
      </c>
      <c r="BB1111" s="14">
        <f>F1111*in_sip_ticket*(BA1111+0.5*AZ1111)*in_sip_comm/12</f>
        <v/>
      </c>
      <c r="BC1111" s="40">
        <f>BC1110*(1-IF(B1110&gt;=in_marketplace_from,d_hz_choti*G1110,0))</f>
        <v/>
      </c>
      <c r="BD1111" s="46">
        <f>BC1111*IF(B1111&gt;=in_marketplace_from,d_hz_choti*G1111,0)</f>
        <v/>
      </c>
      <c r="BE1111" s="14">
        <f>F1111*SUMIFS(BD1091:BD1128,B1091:B1128,B1111-in_choti_months)*in_choti_renew*in_choti_ticket</f>
        <v/>
      </c>
      <c r="BF1111" s="40">
        <f>BF1110*(1-IF(B1110&gt;=in_marketplace_from,d_hz_nps*G1110,0))</f>
        <v/>
      </c>
      <c r="BG1111" s="14">
        <f>F1111*BF1111*IF(B1111&gt;=in_marketplace_from,d_hz_nps*G1111,0)*in_nps_ticket*in_nps_comm</f>
        <v/>
      </c>
      <c r="BH1111" s="40">
        <f>BH1110*(1-IF(B1110&gt;=in_marketplace_from,d_hz_gold*G1110,0))</f>
        <v/>
      </c>
      <c r="BI1111" s="40">
        <f>BI1110*d_rho_gold+BH1111*IF(B1111&gt;=in_marketplace_from,d_hz_gold*G1111,0)</f>
        <v/>
      </c>
      <c r="BJ1111" s="14">
        <f>F1111*BI1111*in_gold_ticket*in_gold_comm</f>
        <v/>
      </c>
      <c r="BK1111" s="40">
        <f>BK1110*(1-IF(B1110&gt;=in_marketplace_from,d_hz_fd*G1110,0))</f>
        <v/>
      </c>
      <c r="BL1111" s="14">
        <f>F1111*BK1111*IF(B1111&gt;=in_marketplace_from,d_hz_fd*G1111,0)*in_fd_ticket*in_fd_comm</f>
        <v/>
      </c>
      <c r="BM1111" s="40">
        <f>BM1110*(1-IF(B1110&gt;=in_marketplace_from,d_hz_recharge*G1110,0))</f>
        <v/>
      </c>
      <c r="BN1111" s="40">
        <f>BN1110*d_rho_recharge+BM1111*IF(B1111&gt;=in_marketplace_from,d_hz_recharge*G1111,0)</f>
        <v/>
      </c>
      <c r="BO1111" s="14">
        <f>F1111*BN1111*in_recharge_ticket*in_recharge_comm/12</f>
        <v/>
      </c>
      <c r="BP1111" s="40">
        <f>BP1110*(1-IF(B1110&gt;=in_marketplace_from,d_hz_bills*G1110,0))</f>
        <v/>
      </c>
      <c r="BQ1111" s="40">
        <f>BQ1110*d_rho_bills+BP1111*IF(B1111&gt;=in_marketplace_from,d_hz_bills*G1111,0)</f>
        <v/>
      </c>
      <c r="BR1111" s="14">
        <f>F1111*BQ1111*in_bills_ticket*in_bills_comm/12</f>
        <v/>
      </c>
      <c r="BS1111" s="40">
        <f>BS1110*(1-IF(B1110&gt;=in_marketplace_from,d_hz_loan_gold*G1110,0))</f>
        <v/>
      </c>
      <c r="BT1111" s="14">
        <f>F1111*BS1111*IF(B1111&gt;=in_marketplace_from,d_hz_loan_gold*G1111,0)*in_loan_gold_ticket*in_loan_gold_comm</f>
        <v/>
      </c>
      <c r="BU1111" s="40">
        <f>BU1110*(1-IF(B1110&gt;=in_marketplace_from,d_hz_loan_cd*G1110,0))</f>
        <v/>
      </c>
      <c r="BV1111" s="14">
        <f>F1111*BU1111*IF(B1111&gt;=in_marketplace_from,d_hz_loan_cd*G1111,0)*in_loan_cd_ticket*in_loan_cd_comm</f>
        <v/>
      </c>
      <c r="BW1111" s="40">
        <f>BW1110*(1-IF(B1110&gt;=in_marketplace_from,d_hz_loan_vehicle*G1110,0))</f>
        <v/>
      </c>
      <c r="BX1111" s="14">
        <f>F1111*BW1111*IF(B1111&gt;=in_marketplace_from,d_hz_loan_vehicle*G1111,0)*in_loan_vehicle_ticket*in_loan_vehicle_comm</f>
        <v/>
      </c>
      <c r="BY1111" s="40">
        <f>BY1110*(1-IF(B1110&gt;=in_marketplace_from,d_hz_loan_home*G1110,0)*BZ1110)</f>
        <v/>
      </c>
      <c r="BZ1111" s="11">
        <f>MIN(in_approval_cap,in_loan_home_approval*INDEX('Age profile'!$O$2:$O$61,B1111)*(1+in_approval_growth)^(D1111-1))</f>
        <v/>
      </c>
      <c r="CA1111" s="14">
        <f>F1111*BY1111*IF(B1111&gt;=in_marketplace_from,d_hz_loan_home*G1111,0)*BZ1111*in_loan_home_ticket*in_loan_home_comm</f>
        <v/>
      </c>
      <c r="CB1111" s="40">
        <f>CB1110*(1-IF(B1110&gt;=in_marketplace_from,d_hz_loan_lap*G1110,0)*CC1110)</f>
        <v/>
      </c>
      <c r="CC1111" s="11">
        <f>MIN(in_approval_cap,in_loan_lap_approval*INDEX('Age profile'!$O$2:$O$61,B1111)*(1+in_approval_growth)^(D1111-1))</f>
        <v/>
      </c>
      <c r="CD1111" s="14">
        <f>F1111*CB1111*IF(B1111&gt;=in_marketplace_from,d_hz_loan_lap*G1111,0)*CC1111*in_loan_lap_ticket*in_loan_lap_comm</f>
        <v/>
      </c>
      <c r="CE1111" s="14">
        <f>AA1111+AB1111+AC1111+AD1111+AG1111+AJ1111+AM1111+AP1111+AS1111+AU1111+AX1111+BB1111+BE1111+BG1111+BJ1111+BL1111+BO1111+BR1111+BT1111+BV1111+BX1111+CA1111+CD1111</f>
        <v/>
      </c>
    </row>
    <row r="1112">
      <c r="A1112" s="39" t="n">
        <v>23</v>
      </c>
      <c r="B1112" s="39" t="n">
        <v>22</v>
      </c>
      <c r="C1112" s="39">
        <f>A1112+B1112-1</f>
        <v/>
      </c>
      <c r="D1112" s="39">
        <f>INT((C1112-1)/12)+1</f>
        <v/>
      </c>
      <c r="E1112" s="44">
        <f>INDEX(Monthly!$B$2:$B$61,A1112)</f>
        <v/>
      </c>
      <c r="F1112" s="44">
        <f>E1112*INDEX('Age profile'!$B$2:$B$61,B1112)</f>
        <v/>
      </c>
      <c r="G1112" s="45">
        <f>MIN(in_takeup_cap,INDEX('Age profile'!$N$2:$N$61,B1112)*(1+in_takeup_growth)^(D1112-1))</f>
        <v/>
      </c>
      <c r="H1112" s="11">
        <f>MIN(in_approval_cap,in_approved_first*INDEX('Age profile'!$O$2:$O$61,B1112)*(1+in_approval_growth)^(D1112-1))</f>
        <v/>
      </c>
      <c r="I1112" s="45">
        <f>G1112*MIN(in_takeup_cap,INDEX('Age profile'!$O$2:$O$61,B1112)*(1+in_approval_growth)^(D1112-1))</f>
        <v/>
      </c>
      <c r="J1112" s="40">
        <f>(J1111-L1111)*F1112/F1111</f>
        <v/>
      </c>
      <c r="K1112" s="40">
        <f>(K1111-M1111)*F1112/F1111+SUMIFS(O1091:O1111,B1091:B1111,B1112-1-d_T)*F1112</f>
        <v/>
      </c>
      <c r="L1112" s="40">
        <f>IF(B1112&gt;=in_marketplace_from,J1112*d_hz*G1112*in_eligible*H1112,0)</f>
        <v/>
      </c>
      <c r="M1112" s="40">
        <f>IF(B1112&gt;=in_marketplace_from,K1112*d_hz*G1112*in_eligible*in_approved_repeat,0)</f>
        <v/>
      </c>
      <c r="N1112" s="40">
        <f>L1112+M1112</f>
        <v/>
      </c>
      <c r="O1112" s="46">
        <f>N1112/F1112</f>
        <v/>
      </c>
      <c r="P1112" s="40">
        <f>F1112-J1112-K1112</f>
        <v/>
      </c>
      <c r="Q1112" s="40">
        <f>IF(B1112&gt;=in_marketplace_from,(J1112+K1112)*d_hz*G1112,0)</f>
        <v/>
      </c>
      <c r="R1112" s="40">
        <f>SUMIFS(N1091:N1128,B1091:B1128,"&gt;="&amp;(B1112-d_T),B1091:B1128,"&lt;="&amp;(B1112-1))</f>
        <v/>
      </c>
      <c r="S1112" s="46">
        <f>(1-d_u)*S1111+IF(d_T&gt;in_topup_lag,SUMIFS(O1091:O1128,B1091:B1128,B1112-in_topup_lag)-d_udrop*SUMIFS(O1091:O1128,B1091:B1128,B1112-d_T),0)</f>
        <v/>
      </c>
      <c r="T1112" s="40">
        <f>F1112*d_u*S1112</f>
        <v/>
      </c>
      <c r="U1112" s="9">
        <f>L1112*in_ticket+M1112*d_rep_ticket</f>
        <v/>
      </c>
      <c r="V1112" s="9">
        <f>U1112+T1112*d_topup_amt</f>
        <v/>
      </c>
      <c r="W1112" s="40">
        <f>N1112+T1112*d_topup_ratio</f>
        <v/>
      </c>
      <c r="X1112" s="40">
        <f>SUMIFS(W1091:W1128,B1091:B1128,B1112-in_dpd_lag)*d_cured</f>
        <v/>
      </c>
      <c r="Y1112" s="40">
        <f>SUMIFS(W1091:W1128,B1091:B1128,B1112-in_rec_lag)*d_recd</f>
        <v/>
      </c>
      <c r="Z1112" s="40">
        <f>IF(AND(B1112&gt;=in_marketplace_from,B1112&lt;in_marketplace_from+in_card_months),in_card_share/in_card_months*F1112*I1112,IF(AND(B1112&gt;=in_marketplace_from+in_card_months,B1112&lt;in_marketplace_from+2*in_card_months),in_card_share*d_card_rem/in_card_months*F1112*MIN(in_takeup_cap,(1+in_takeup_growth)^(D1112-1))*MIN(in_takeup_cap,(1+in_approval_growth)^(D1112-1)),0))</f>
        <v/>
      </c>
      <c r="AA1112" s="14">
        <f>V1112*in_fee*(1-in_taken_back)</f>
        <v/>
      </c>
      <c r="AB1112" s="14">
        <f>SUMIFS(W1091:W1128,B1091:B1128,B1112-in_dpd_lag)*d_dpd</f>
        <v/>
      </c>
      <c r="AC1112" s="14">
        <f>SUMIFS(W1091:W1128,B1091:B1128,B1112-in_rec_lag)*d_rec</f>
        <v/>
      </c>
      <c r="AD1112" s="14">
        <f>Z1112*in_card_fee</f>
        <v/>
      </c>
      <c r="AE1112" s="40">
        <f>AE1111*(1-IF(B1111&gt;=in_marketplace_from,d_hz_hlth_small*G1111,0))</f>
        <v/>
      </c>
      <c r="AF1112" s="46">
        <f>AE1112*IF(B1112&gt;=in_marketplace_from,d_hz_hlth_small*G1112,0)</f>
        <v/>
      </c>
      <c r="AG1112" s="14">
        <f>F1112*AF1112*in_hlth_small_ticket*in_hlth_small_comm*in_ins_partner_share+F1112*in_hlth_small_ticket*in_hlth_small_renew_comm*in_ins_partner_share*(in_hlth_small_renew^1*SUMIFS(AF1091:AF1128,B1091:B1128,B1112-12)+in_hlth_small_renew^2*SUMIFS(AF1091:AF1128,B1091:B1128,B1112-24)+in_hlth_small_renew^3*SUMIFS(AF1091:AF1128,B1091:B1128,B1112-36)+in_hlth_small_renew^4*SUMIFS(AF1091:AF1128,B1091:B1128,B1112-48))</f>
        <v/>
      </c>
      <c r="AH1112" s="40">
        <f>AH1111*(1-IF(B1111&gt;=in_marketplace_from,d_hz_hlth_family*G1111,0))</f>
        <v/>
      </c>
      <c r="AI1112" s="46">
        <f>AH1112*IF(B1112&gt;=in_marketplace_from,d_hz_hlth_family*G1112,0)</f>
        <v/>
      </c>
      <c r="AJ1112" s="14">
        <f>F1112*AI1112*in_hlth_family_ticket*in_hlth_family_comm*in_ins_partner_share+F1112*in_hlth_family_ticket*in_hlth_family_renew_comm*in_ins_partner_share*(in_hlth_family_renew^1*SUMIFS(AI1091:AI1128,B1091:B1128,B1112-12)+in_hlth_family_renew^2*SUMIFS(AI1091:AI1128,B1091:B1128,B1112-24)+in_hlth_family_renew^3*SUMIFS(AI1091:AI1128,B1091:B1128,B1112-36)+in_hlth_family_renew^4*SUMIFS(AI1091:AI1128,B1091:B1128,B1112-48))</f>
        <v/>
      </c>
      <c r="AK1112" s="40">
        <f>AK1111*(1-IF(B1111&gt;=in_marketplace_from,d_hz_life_term*G1111,0))</f>
        <v/>
      </c>
      <c r="AL1112" s="46">
        <f>AK1112*IF(B1112&gt;=in_marketplace_from,d_hz_life_term*G1112,0)</f>
        <v/>
      </c>
      <c r="AM1112" s="14">
        <f>F1112*AL1112*in_life_term_ticket*in_life_term_comm*in_ins_partner_share+F1112*in_life_term_ticket*in_life_term_renew_comm*in_ins_partner_share*(in_life_term_renew^1*SUMIFS(AL1091:AL1128,B1091:B1128,B1112-12)+in_life_term_renew^2*SUMIFS(AL1091:AL1128,B1091:B1128,B1112-24)+in_life_term_renew^3*SUMIFS(AL1091:AL1128,B1091:B1128,B1112-36)+in_life_term_renew^4*SUMIFS(AL1091:AL1128,B1091:B1128,B1112-48))</f>
        <v/>
      </c>
      <c r="AN1112" s="40">
        <f>AN1111*(1-IF(B1111&gt;=in_marketplace_from,d_hz_accident*G1111,0))</f>
        <v/>
      </c>
      <c r="AO1112" s="46">
        <f>AN1112*IF(B1112&gt;=in_marketplace_from,d_hz_accident*G1112,0)</f>
        <v/>
      </c>
      <c r="AP1112" s="14">
        <f>F1112*AO1112*in_accident_ticket*in_accident_comm*in_ins_partner_share+F1112*in_accident_ticket*in_accident_renew_comm*in_ins_partner_share*(in_accident_renew^1*SUMIFS(AO1091:AO1128,B1091:B1128,B1112-12)+in_accident_renew^2*SUMIFS(AO1091:AO1128,B1091:B1128,B1112-24)+in_accident_renew^3*SUMIFS(AO1091:AO1128,B1091:B1128,B1112-36)+in_accident_renew^4*SUMIFS(AO1091:AO1128,B1091:B1128,B1112-48))</f>
        <v/>
      </c>
      <c r="AQ1112" s="40">
        <f>AQ1111*(1-IF(B1111&gt;=in_marketplace_from,d_hz_two_wheeler*G1111,0))</f>
        <v/>
      </c>
      <c r="AR1112" s="46">
        <f>AQ1112*IF(B1112&gt;=in_marketplace_from,d_hz_two_wheeler*G1112,0)</f>
        <v/>
      </c>
      <c r="AS1112" s="14">
        <f>F1112*AR1112*in_two_wheeler_ticket*in_two_wheeler_comm*in_ins_partner_share+F1112*in_two_wheeler_ticket*in_two_wheeler_comm*in_ins_partner_share*(in_two_wheeler_renew^1*SUMIFS(AR1091:AR1128,B1091:B1128,B1112-12)+in_two_wheeler_renew^2*SUMIFS(AR1091:AR1128,B1091:B1128,B1112-24)+in_two_wheeler_renew^3*SUMIFS(AR1091:AR1128,B1091:B1128,B1112-36)+in_two_wheeler_renew^4*SUMIFS(AR1091:AR1128,B1091:B1128,B1112-48))</f>
        <v/>
      </c>
      <c r="AT1112" s="40">
        <f>AT1111*(1-IF(B1111&gt;=in_marketplace_from,d_hz_device*G1111,0))</f>
        <v/>
      </c>
      <c r="AU1112" s="14">
        <f>F1112*AT1112*IF(B1112&gt;=in_marketplace_from,d_hz_device*G1112,0)*in_device_ticket*in_device_comm*in_ins_partner_share</f>
        <v/>
      </c>
      <c r="AV1112" s="40">
        <f>AV1111*(1-IF(B1111&gt;=in_marketplace_from,d_hz_shop*G1111,0))</f>
        <v/>
      </c>
      <c r="AW1112" s="46">
        <f>AV1112*IF(B1112&gt;=in_marketplace_from,d_hz_shop*G1112,0)</f>
        <v/>
      </c>
      <c r="AX1112" s="14">
        <f>F1112*AW1112*in_shop_ticket*in_shop_comm*in_ins_partner_share+F1112*in_shop_ticket*in_shop_renew_comm*in_ins_partner_share*(in_shop_renew^1*SUMIFS(AW1091:AW1128,B1091:B1128,B1112-12)+in_shop_renew^2*SUMIFS(AW1091:AW1128,B1091:B1128,B1112-24)+in_shop_renew^3*SUMIFS(AW1091:AW1128,B1091:B1128,B1112-36)+in_shop_renew^4*SUMIFS(AW1091:AW1128,B1091:B1128,B1112-48))</f>
        <v/>
      </c>
      <c r="AY1112" s="40">
        <f>AY1111*(1-IF(B1111&gt;=in_marketplace_from,d_hz_sip*G1111,0))</f>
        <v/>
      </c>
      <c r="AZ1112" s="40">
        <f>AZ1111*d_rho_sip+AY1112*IF(B1112&gt;=in_marketplace_from,d_hz_sip*G1112,0)</f>
        <v/>
      </c>
      <c r="BA1112" s="40">
        <f>d_rho_sip*(BA1111+AZ1111)</f>
        <v/>
      </c>
      <c r="BB1112" s="14">
        <f>F1112*in_sip_ticket*(BA1112+0.5*AZ1112)*in_sip_comm/12</f>
        <v/>
      </c>
      <c r="BC1112" s="40">
        <f>BC1111*(1-IF(B1111&gt;=in_marketplace_from,d_hz_choti*G1111,0))</f>
        <v/>
      </c>
      <c r="BD1112" s="46">
        <f>BC1112*IF(B1112&gt;=in_marketplace_from,d_hz_choti*G1112,0)</f>
        <v/>
      </c>
      <c r="BE1112" s="14">
        <f>F1112*SUMIFS(BD1091:BD1128,B1091:B1128,B1112-in_choti_months)*in_choti_renew*in_choti_ticket</f>
        <v/>
      </c>
      <c r="BF1112" s="40">
        <f>BF1111*(1-IF(B1111&gt;=in_marketplace_from,d_hz_nps*G1111,0))</f>
        <v/>
      </c>
      <c r="BG1112" s="14">
        <f>F1112*BF1112*IF(B1112&gt;=in_marketplace_from,d_hz_nps*G1112,0)*in_nps_ticket*in_nps_comm</f>
        <v/>
      </c>
      <c r="BH1112" s="40">
        <f>BH1111*(1-IF(B1111&gt;=in_marketplace_from,d_hz_gold*G1111,0))</f>
        <v/>
      </c>
      <c r="BI1112" s="40">
        <f>BI1111*d_rho_gold+BH1112*IF(B1112&gt;=in_marketplace_from,d_hz_gold*G1112,0)</f>
        <v/>
      </c>
      <c r="BJ1112" s="14">
        <f>F1112*BI1112*in_gold_ticket*in_gold_comm</f>
        <v/>
      </c>
      <c r="BK1112" s="40">
        <f>BK1111*(1-IF(B1111&gt;=in_marketplace_from,d_hz_fd*G1111,0))</f>
        <v/>
      </c>
      <c r="BL1112" s="14">
        <f>F1112*BK1112*IF(B1112&gt;=in_marketplace_from,d_hz_fd*G1112,0)*in_fd_ticket*in_fd_comm</f>
        <v/>
      </c>
      <c r="BM1112" s="40">
        <f>BM1111*(1-IF(B1111&gt;=in_marketplace_from,d_hz_recharge*G1111,0))</f>
        <v/>
      </c>
      <c r="BN1112" s="40">
        <f>BN1111*d_rho_recharge+BM1112*IF(B1112&gt;=in_marketplace_from,d_hz_recharge*G1112,0)</f>
        <v/>
      </c>
      <c r="BO1112" s="14">
        <f>F1112*BN1112*in_recharge_ticket*in_recharge_comm/12</f>
        <v/>
      </c>
      <c r="BP1112" s="40">
        <f>BP1111*(1-IF(B1111&gt;=in_marketplace_from,d_hz_bills*G1111,0))</f>
        <v/>
      </c>
      <c r="BQ1112" s="40">
        <f>BQ1111*d_rho_bills+BP1112*IF(B1112&gt;=in_marketplace_from,d_hz_bills*G1112,0)</f>
        <v/>
      </c>
      <c r="BR1112" s="14">
        <f>F1112*BQ1112*in_bills_ticket*in_bills_comm/12</f>
        <v/>
      </c>
      <c r="BS1112" s="40">
        <f>BS1111*(1-IF(B1111&gt;=in_marketplace_from,d_hz_loan_gold*G1111,0))</f>
        <v/>
      </c>
      <c r="BT1112" s="14">
        <f>F1112*BS1112*IF(B1112&gt;=in_marketplace_from,d_hz_loan_gold*G1112,0)*in_loan_gold_ticket*in_loan_gold_comm</f>
        <v/>
      </c>
      <c r="BU1112" s="40">
        <f>BU1111*(1-IF(B1111&gt;=in_marketplace_from,d_hz_loan_cd*G1111,0))</f>
        <v/>
      </c>
      <c r="BV1112" s="14">
        <f>F1112*BU1112*IF(B1112&gt;=in_marketplace_from,d_hz_loan_cd*G1112,0)*in_loan_cd_ticket*in_loan_cd_comm</f>
        <v/>
      </c>
      <c r="BW1112" s="40">
        <f>BW1111*(1-IF(B1111&gt;=in_marketplace_from,d_hz_loan_vehicle*G1111,0))</f>
        <v/>
      </c>
      <c r="BX1112" s="14">
        <f>F1112*BW1112*IF(B1112&gt;=in_marketplace_from,d_hz_loan_vehicle*G1112,0)*in_loan_vehicle_ticket*in_loan_vehicle_comm</f>
        <v/>
      </c>
      <c r="BY1112" s="40">
        <f>BY1111*(1-IF(B1111&gt;=in_marketplace_from,d_hz_loan_home*G1111,0)*BZ1111)</f>
        <v/>
      </c>
      <c r="BZ1112" s="11">
        <f>MIN(in_approval_cap,in_loan_home_approval*INDEX('Age profile'!$O$2:$O$61,B1112)*(1+in_approval_growth)^(D1112-1))</f>
        <v/>
      </c>
      <c r="CA1112" s="14">
        <f>F1112*BY1112*IF(B1112&gt;=in_marketplace_from,d_hz_loan_home*G1112,0)*BZ1112*in_loan_home_ticket*in_loan_home_comm</f>
        <v/>
      </c>
      <c r="CB1112" s="40">
        <f>CB1111*(1-IF(B1111&gt;=in_marketplace_from,d_hz_loan_lap*G1111,0)*CC1111)</f>
        <v/>
      </c>
      <c r="CC1112" s="11">
        <f>MIN(in_approval_cap,in_loan_lap_approval*INDEX('Age profile'!$O$2:$O$61,B1112)*(1+in_approval_growth)^(D1112-1))</f>
        <v/>
      </c>
      <c r="CD1112" s="14">
        <f>F1112*CB1112*IF(B1112&gt;=in_marketplace_from,d_hz_loan_lap*G1112,0)*CC1112*in_loan_lap_ticket*in_loan_lap_comm</f>
        <v/>
      </c>
      <c r="CE1112" s="14">
        <f>AA1112+AB1112+AC1112+AD1112+AG1112+AJ1112+AM1112+AP1112+AS1112+AU1112+AX1112+BB1112+BE1112+BG1112+BJ1112+BL1112+BO1112+BR1112+BT1112+BV1112+BX1112+CA1112+CD1112</f>
        <v/>
      </c>
    </row>
    <row r="1113">
      <c r="A1113" s="39" t="n">
        <v>23</v>
      </c>
      <c r="B1113" s="39" t="n">
        <v>23</v>
      </c>
      <c r="C1113" s="39">
        <f>A1113+B1113-1</f>
        <v/>
      </c>
      <c r="D1113" s="39">
        <f>INT((C1113-1)/12)+1</f>
        <v/>
      </c>
      <c r="E1113" s="44">
        <f>INDEX(Monthly!$B$2:$B$61,A1113)</f>
        <v/>
      </c>
      <c r="F1113" s="44">
        <f>E1113*INDEX('Age profile'!$B$2:$B$61,B1113)</f>
        <v/>
      </c>
      <c r="G1113" s="45">
        <f>MIN(in_takeup_cap,INDEX('Age profile'!$N$2:$N$61,B1113)*(1+in_takeup_growth)^(D1113-1))</f>
        <v/>
      </c>
      <c r="H1113" s="11">
        <f>MIN(in_approval_cap,in_approved_first*INDEX('Age profile'!$O$2:$O$61,B1113)*(1+in_approval_growth)^(D1113-1))</f>
        <v/>
      </c>
      <c r="I1113" s="45">
        <f>G1113*MIN(in_takeup_cap,INDEX('Age profile'!$O$2:$O$61,B1113)*(1+in_approval_growth)^(D1113-1))</f>
        <v/>
      </c>
      <c r="J1113" s="40">
        <f>(J1112-L1112)*F1113/F1112</f>
        <v/>
      </c>
      <c r="K1113" s="40">
        <f>(K1112-M1112)*F1113/F1112+SUMIFS(O1091:O1112,B1091:B1112,B1113-1-d_T)*F1113</f>
        <v/>
      </c>
      <c r="L1113" s="40">
        <f>IF(B1113&gt;=in_marketplace_from,J1113*d_hz*G1113*in_eligible*H1113,0)</f>
        <v/>
      </c>
      <c r="M1113" s="40">
        <f>IF(B1113&gt;=in_marketplace_from,K1113*d_hz*G1113*in_eligible*in_approved_repeat,0)</f>
        <v/>
      </c>
      <c r="N1113" s="40">
        <f>L1113+M1113</f>
        <v/>
      </c>
      <c r="O1113" s="46">
        <f>N1113/F1113</f>
        <v/>
      </c>
      <c r="P1113" s="40">
        <f>F1113-J1113-K1113</f>
        <v/>
      </c>
      <c r="Q1113" s="40">
        <f>IF(B1113&gt;=in_marketplace_from,(J1113+K1113)*d_hz*G1113,0)</f>
        <v/>
      </c>
      <c r="R1113" s="40">
        <f>SUMIFS(N1091:N1128,B1091:B1128,"&gt;="&amp;(B1113-d_T),B1091:B1128,"&lt;="&amp;(B1113-1))</f>
        <v/>
      </c>
      <c r="S1113" s="46">
        <f>(1-d_u)*S1112+IF(d_T&gt;in_topup_lag,SUMIFS(O1091:O1128,B1091:B1128,B1113-in_topup_lag)-d_udrop*SUMIFS(O1091:O1128,B1091:B1128,B1113-d_T),0)</f>
        <v/>
      </c>
      <c r="T1113" s="40">
        <f>F1113*d_u*S1113</f>
        <v/>
      </c>
      <c r="U1113" s="9">
        <f>L1113*in_ticket+M1113*d_rep_ticket</f>
        <v/>
      </c>
      <c r="V1113" s="9">
        <f>U1113+T1113*d_topup_amt</f>
        <v/>
      </c>
      <c r="W1113" s="40">
        <f>N1113+T1113*d_topup_ratio</f>
        <v/>
      </c>
      <c r="X1113" s="40">
        <f>SUMIFS(W1091:W1128,B1091:B1128,B1113-in_dpd_lag)*d_cured</f>
        <v/>
      </c>
      <c r="Y1113" s="40">
        <f>SUMIFS(W1091:W1128,B1091:B1128,B1113-in_rec_lag)*d_recd</f>
        <v/>
      </c>
      <c r="Z1113" s="40">
        <f>IF(AND(B1113&gt;=in_marketplace_from,B1113&lt;in_marketplace_from+in_card_months),in_card_share/in_card_months*F1113*I1113,IF(AND(B1113&gt;=in_marketplace_from+in_card_months,B1113&lt;in_marketplace_from+2*in_card_months),in_card_share*d_card_rem/in_card_months*F1113*MIN(in_takeup_cap,(1+in_takeup_growth)^(D1113-1))*MIN(in_takeup_cap,(1+in_approval_growth)^(D1113-1)),0))</f>
        <v/>
      </c>
      <c r="AA1113" s="14">
        <f>V1113*in_fee*(1-in_taken_back)</f>
        <v/>
      </c>
      <c r="AB1113" s="14">
        <f>SUMIFS(W1091:W1128,B1091:B1128,B1113-in_dpd_lag)*d_dpd</f>
        <v/>
      </c>
      <c r="AC1113" s="14">
        <f>SUMIFS(W1091:W1128,B1091:B1128,B1113-in_rec_lag)*d_rec</f>
        <v/>
      </c>
      <c r="AD1113" s="14">
        <f>Z1113*in_card_fee</f>
        <v/>
      </c>
      <c r="AE1113" s="40">
        <f>AE1112*(1-IF(B1112&gt;=in_marketplace_from,d_hz_hlth_small*G1112,0))</f>
        <v/>
      </c>
      <c r="AF1113" s="46">
        <f>AE1113*IF(B1113&gt;=in_marketplace_from,d_hz_hlth_small*G1113,0)</f>
        <v/>
      </c>
      <c r="AG1113" s="14">
        <f>F1113*AF1113*in_hlth_small_ticket*in_hlth_small_comm*in_ins_partner_share+F1113*in_hlth_small_ticket*in_hlth_small_renew_comm*in_ins_partner_share*(in_hlth_small_renew^1*SUMIFS(AF1091:AF1128,B1091:B1128,B1113-12)+in_hlth_small_renew^2*SUMIFS(AF1091:AF1128,B1091:B1128,B1113-24)+in_hlth_small_renew^3*SUMIFS(AF1091:AF1128,B1091:B1128,B1113-36)+in_hlth_small_renew^4*SUMIFS(AF1091:AF1128,B1091:B1128,B1113-48))</f>
        <v/>
      </c>
      <c r="AH1113" s="40">
        <f>AH1112*(1-IF(B1112&gt;=in_marketplace_from,d_hz_hlth_family*G1112,0))</f>
        <v/>
      </c>
      <c r="AI1113" s="46">
        <f>AH1113*IF(B1113&gt;=in_marketplace_from,d_hz_hlth_family*G1113,0)</f>
        <v/>
      </c>
      <c r="AJ1113" s="14">
        <f>F1113*AI1113*in_hlth_family_ticket*in_hlth_family_comm*in_ins_partner_share+F1113*in_hlth_family_ticket*in_hlth_family_renew_comm*in_ins_partner_share*(in_hlth_family_renew^1*SUMIFS(AI1091:AI1128,B1091:B1128,B1113-12)+in_hlth_family_renew^2*SUMIFS(AI1091:AI1128,B1091:B1128,B1113-24)+in_hlth_family_renew^3*SUMIFS(AI1091:AI1128,B1091:B1128,B1113-36)+in_hlth_family_renew^4*SUMIFS(AI1091:AI1128,B1091:B1128,B1113-48))</f>
        <v/>
      </c>
      <c r="AK1113" s="40">
        <f>AK1112*(1-IF(B1112&gt;=in_marketplace_from,d_hz_life_term*G1112,0))</f>
        <v/>
      </c>
      <c r="AL1113" s="46">
        <f>AK1113*IF(B1113&gt;=in_marketplace_from,d_hz_life_term*G1113,0)</f>
        <v/>
      </c>
      <c r="AM1113" s="14">
        <f>F1113*AL1113*in_life_term_ticket*in_life_term_comm*in_ins_partner_share+F1113*in_life_term_ticket*in_life_term_renew_comm*in_ins_partner_share*(in_life_term_renew^1*SUMIFS(AL1091:AL1128,B1091:B1128,B1113-12)+in_life_term_renew^2*SUMIFS(AL1091:AL1128,B1091:B1128,B1113-24)+in_life_term_renew^3*SUMIFS(AL1091:AL1128,B1091:B1128,B1113-36)+in_life_term_renew^4*SUMIFS(AL1091:AL1128,B1091:B1128,B1113-48))</f>
        <v/>
      </c>
      <c r="AN1113" s="40">
        <f>AN1112*(1-IF(B1112&gt;=in_marketplace_from,d_hz_accident*G1112,0))</f>
        <v/>
      </c>
      <c r="AO1113" s="46">
        <f>AN1113*IF(B1113&gt;=in_marketplace_from,d_hz_accident*G1113,0)</f>
        <v/>
      </c>
      <c r="AP1113" s="14">
        <f>F1113*AO1113*in_accident_ticket*in_accident_comm*in_ins_partner_share+F1113*in_accident_ticket*in_accident_renew_comm*in_ins_partner_share*(in_accident_renew^1*SUMIFS(AO1091:AO1128,B1091:B1128,B1113-12)+in_accident_renew^2*SUMIFS(AO1091:AO1128,B1091:B1128,B1113-24)+in_accident_renew^3*SUMIFS(AO1091:AO1128,B1091:B1128,B1113-36)+in_accident_renew^4*SUMIFS(AO1091:AO1128,B1091:B1128,B1113-48))</f>
        <v/>
      </c>
      <c r="AQ1113" s="40">
        <f>AQ1112*(1-IF(B1112&gt;=in_marketplace_from,d_hz_two_wheeler*G1112,0))</f>
        <v/>
      </c>
      <c r="AR1113" s="46">
        <f>AQ1113*IF(B1113&gt;=in_marketplace_from,d_hz_two_wheeler*G1113,0)</f>
        <v/>
      </c>
      <c r="AS1113" s="14">
        <f>F1113*AR1113*in_two_wheeler_ticket*in_two_wheeler_comm*in_ins_partner_share+F1113*in_two_wheeler_ticket*in_two_wheeler_comm*in_ins_partner_share*(in_two_wheeler_renew^1*SUMIFS(AR1091:AR1128,B1091:B1128,B1113-12)+in_two_wheeler_renew^2*SUMIFS(AR1091:AR1128,B1091:B1128,B1113-24)+in_two_wheeler_renew^3*SUMIFS(AR1091:AR1128,B1091:B1128,B1113-36)+in_two_wheeler_renew^4*SUMIFS(AR1091:AR1128,B1091:B1128,B1113-48))</f>
        <v/>
      </c>
      <c r="AT1113" s="40">
        <f>AT1112*(1-IF(B1112&gt;=in_marketplace_from,d_hz_device*G1112,0))</f>
        <v/>
      </c>
      <c r="AU1113" s="14">
        <f>F1113*AT1113*IF(B1113&gt;=in_marketplace_from,d_hz_device*G1113,0)*in_device_ticket*in_device_comm*in_ins_partner_share</f>
        <v/>
      </c>
      <c r="AV1113" s="40">
        <f>AV1112*(1-IF(B1112&gt;=in_marketplace_from,d_hz_shop*G1112,0))</f>
        <v/>
      </c>
      <c r="AW1113" s="46">
        <f>AV1113*IF(B1113&gt;=in_marketplace_from,d_hz_shop*G1113,0)</f>
        <v/>
      </c>
      <c r="AX1113" s="14">
        <f>F1113*AW1113*in_shop_ticket*in_shop_comm*in_ins_partner_share+F1113*in_shop_ticket*in_shop_renew_comm*in_ins_partner_share*(in_shop_renew^1*SUMIFS(AW1091:AW1128,B1091:B1128,B1113-12)+in_shop_renew^2*SUMIFS(AW1091:AW1128,B1091:B1128,B1113-24)+in_shop_renew^3*SUMIFS(AW1091:AW1128,B1091:B1128,B1113-36)+in_shop_renew^4*SUMIFS(AW1091:AW1128,B1091:B1128,B1113-48))</f>
        <v/>
      </c>
      <c r="AY1113" s="40">
        <f>AY1112*(1-IF(B1112&gt;=in_marketplace_from,d_hz_sip*G1112,0))</f>
        <v/>
      </c>
      <c r="AZ1113" s="40">
        <f>AZ1112*d_rho_sip+AY1113*IF(B1113&gt;=in_marketplace_from,d_hz_sip*G1113,0)</f>
        <v/>
      </c>
      <c r="BA1113" s="40">
        <f>d_rho_sip*(BA1112+AZ1112)</f>
        <v/>
      </c>
      <c r="BB1113" s="14">
        <f>F1113*in_sip_ticket*(BA1113+0.5*AZ1113)*in_sip_comm/12</f>
        <v/>
      </c>
      <c r="BC1113" s="40">
        <f>BC1112*(1-IF(B1112&gt;=in_marketplace_from,d_hz_choti*G1112,0))</f>
        <v/>
      </c>
      <c r="BD1113" s="46">
        <f>BC1113*IF(B1113&gt;=in_marketplace_from,d_hz_choti*G1113,0)</f>
        <v/>
      </c>
      <c r="BE1113" s="14">
        <f>F1113*SUMIFS(BD1091:BD1128,B1091:B1128,B1113-in_choti_months)*in_choti_renew*in_choti_ticket</f>
        <v/>
      </c>
      <c r="BF1113" s="40">
        <f>BF1112*(1-IF(B1112&gt;=in_marketplace_from,d_hz_nps*G1112,0))</f>
        <v/>
      </c>
      <c r="BG1113" s="14">
        <f>F1113*BF1113*IF(B1113&gt;=in_marketplace_from,d_hz_nps*G1113,0)*in_nps_ticket*in_nps_comm</f>
        <v/>
      </c>
      <c r="BH1113" s="40">
        <f>BH1112*(1-IF(B1112&gt;=in_marketplace_from,d_hz_gold*G1112,0))</f>
        <v/>
      </c>
      <c r="BI1113" s="40">
        <f>BI1112*d_rho_gold+BH1113*IF(B1113&gt;=in_marketplace_from,d_hz_gold*G1113,0)</f>
        <v/>
      </c>
      <c r="BJ1113" s="14">
        <f>F1113*BI1113*in_gold_ticket*in_gold_comm</f>
        <v/>
      </c>
      <c r="BK1113" s="40">
        <f>BK1112*(1-IF(B1112&gt;=in_marketplace_from,d_hz_fd*G1112,0))</f>
        <v/>
      </c>
      <c r="BL1113" s="14">
        <f>F1113*BK1113*IF(B1113&gt;=in_marketplace_from,d_hz_fd*G1113,0)*in_fd_ticket*in_fd_comm</f>
        <v/>
      </c>
      <c r="BM1113" s="40">
        <f>BM1112*(1-IF(B1112&gt;=in_marketplace_from,d_hz_recharge*G1112,0))</f>
        <v/>
      </c>
      <c r="BN1113" s="40">
        <f>BN1112*d_rho_recharge+BM1113*IF(B1113&gt;=in_marketplace_from,d_hz_recharge*G1113,0)</f>
        <v/>
      </c>
      <c r="BO1113" s="14">
        <f>F1113*BN1113*in_recharge_ticket*in_recharge_comm/12</f>
        <v/>
      </c>
      <c r="BP1113" s="40">
        <f>BP1112*(1-IF(B1112&gt;=in_marketplace_from,d_hz_bills*G1112,0))</f>
        <v/>
      </c>
      <c r="BQ1113" s="40">
        <f>BQ1112*d_rho_bills+BP1113*IF(B1113&gt;=in_marketplace_from,d_hz_bills*G1113,0)</f>
        <v/>
      </c>
      <c r="BR1113" s="14">
        <f>F1113*BQ1113*in_bills_ticket*in_bills_comm/12</f>
        <v/>
      </c>
      <c r="BS1113" s="40">
        <f>BS1112*(1-IF(B1112&gt;=in_marketplace_from,d_hz_loan_gold*G1112,0))</f>
        <v/>
      </c>
      <c r="BT1113" s="14">
        <f>F1113*BS1113*IF(B1113&gt;=in_marketplace_from,d_hz_loan_gold*G1113,0)*in_loan_gold_ticket*in_loan_gold_comm</f>
        <v/>
      </c>
      <c r="BU1113" s="40">
        <f>BU1112*(1-IF(B1112&gt;=in_marketplace_from,d_hz_loan_cd*G1112,0))</f>
        <v/>
      </c>
      <c r="BV1113" s="14">
        <f>F1113*BU1113*IF(B1113&gt;=in_marketplace_from,d_hz_loan_cd*G1113,0)*in_loan_cd_ticket*in_loan_cd_comm</f>
        <v/>
      </c>
      <c r="BW1113" s="40">
        <f>BW1112*(1-IF(B1112&gt;=in_marketplace_from,d_hz_loan_vehicle*G1112,0))</f>
        <v/>
      </c>
      <c r="BX1113" s="14">
        <f>F1113*BW1113*IF(B1113&gt;=in_marketplace_from,d_hz_loan_vehicle*G1113,0)*in_loan_vehicle_ticket*in_loan_vehicle_comm</f>
        <v/>
      </c>
      <c r="BY1113" s="40">
        <f>BY1112*(1-IF(B1112&gt;=in_marketplace_from,d_hz_loan_home*G1112,0)*BZ1112)</f>
        <v/>
      </c>
      <c r="BZ1113" s="11">
        <f>MIN(in_approval_cap,in_loan_home_approval*INDEX('Age profile'!$O$2:$O$61,B1113)*(1+in_approval_growth)^(D1113-1))</f>
        <v/>
      </c>
      <c r="CA1113" s="14">
        <f>F1113*BY1113*IF(B1113&gt;=in_marketplace_from,d_hz_loan_home*G1113,0)*BZ1113*in_loan_home_ticket*in_loan_home_comm</f>
        <v/>
      </c>
      <c r="CB1113" s="40">
        <f>CB1112*(1-IF(B1112&gt;=in_marketplace_from,d_hz_loan_lap*G1112,0)*CC1112)</f>
        <v/>
      </c>
      <c r="CC1113" s="11">
        <f>MIN(in_approval_cap,in_loan_lap_approval*INDEX('Age profile'!$O$2:$O$61,B1113)*(1+in_approval_growth)^(D1113-1))</f>
        <v/>
      </c>
      <c r="CD1113" s="14">
        <f>F1113*CB1113*IF(B1113&gt;=in_marketplace_from,d_hz_loan_lap*G1113,0)*CC1113*in_loan_lap_ticket*in_loan_lap_comm</f>
        <v/>
      </c>
      <c r="CE1113" s="14">
        <f>AA1113+AB1113+AC1113+AD1113+AG1113+AJ1113+AM1113+AP1113+AS1113+AU1113+AX1113+BB1113+BE1113+BG1113+BJ1113+BL1113+BO1113+BR1113+BT1113+BV1113+BX1113+CA1113+CD1113</f>
        <v/>
      </c>
    </row>
    <row r="1114">
      <c r="A1114" s="39" t="n">
        <v>23</v>
      </c>
      <c r="B1114" s="39" t="n">
        <v>24</v>
      </c>
      <c r="C1114" s="39">
        <f>A1114+B1114-1</f>
        <v/>
      </c>
      <c r="D1114" s="39">
        <f>INT((C1114-1)/12)+1</f>
        <v/>
      </c>
      <c r="E1114" s="44">
        <f>INDEX(Monthly!$B$2:$B$61,A1114)</f>
        <v/>
      </c>
      <c r="F1114" s="44">
        <f>E1114*INDEX('Age profile'!$B$2:$B$61,B1114)</f>
        <v/>
      </c>
      <c r="G1114" s="45">
        <f>MIN(in_takeup_cap,INDEX('Age profile'!$N$2:$N$61,B1114)*(1+in_takeup_growth)^(D1114-1))</f>
        <v/>
      </c>
      <c r="H1114" s="11">
        <f>MIN(in_approval_cap,in_approved_first*INDEX('Age profile'!$O$2:$O$61,B1114)*(1+in_approval_growth)^(D1114-1))</f>
        <v/>
      </c>
      <c r="I1114" s="45">
        <f>G1114*MIN(in_takeup_cap,INDEX('Age profile'!$O$2:$O$61,B1114)*(1+in_approval_growth)^(D1114-1))</f>
        <v/>
      </c>
      <c r="J1114" s="40">
        <f>(J1113-L1113)*F1114/F1113</f>
        <v/>
      </c>
      <c r="K1114" s="40">
        <f>(K1113-M1113)*F1114/F1113+SUMIFS(O1091:O1113,B1091:B1113,B1114-1-d_T)*F1114</f>
        <v/>
      </c>
      <c r="L1114" s="40">
        <f>IF(B1114&gt;=in_marketplace_from,J1114*d_hz*G1114*in_eligible*H1114,0)</f>
        <v/>
      </c>
      <c r="M1114" s="40">
        <f>IF(B1114&gt;=in_marketplace_from,K1114*d_hz*G1114*in_eligible*in_approved_repeat,0)</f>
        <v/>
      </c>
      <c r="N1114" s="40">
        <f>L1114+M1114</f>
        <v/>
      </c>
      <c r="O1114" s="46">
        <f>N1114/F1114</f>
        <v/>
      </c>
      <c r="P1114" s="40">
        <f>F1114-J1114-K1114</f>
        <v/>
      </c>
      <c r="Q1114" s="40">
        <f>IF(B1114&gt;=in_marketplace_from,(J1114+K1114)*d_hz*G1114,0)</f>
        <v/>
      </c>
      <c r="R1114" s="40">
        <f>SUMIFS(N1091:N1128,B1091:B1128,"&gt;="&amp;(B1114-d_T),B1091:B1128,"&lt;="&amp;(B1114-1))</f>
        <v/>
      </c>
      <c r="S1114" s="46">
        <f>(1-d_u)*S1113+IF(d_T&gt;in_topup_lag,SUMIFS(O1091:O1128,B1091:B1128,B1114-in_topup_lag)-d_udrop*SUMIFS(O1091:O1128,B1091:B1128,B1114-d_T),0)</f>
        <v/>
      </c>
      <c r="T1114" s="40">
        <f>F1114*d_u*S1114</f>
        <v/>
      </c>
      <c r="U1114" s="9">
        <f>L1114*in_ticket+M1114*d_rep_ticket</f>
        <v/>
      </c>
      <c r="V1114" s="9">
        <f>U1114+T1114*d_topup_amt</f>
        <v/>
      </c>
      <c r="W1114" s="40">
        <f>N1114+T1114*d_topup_ratio</f>
        <v/>
      </c>
      <c r="X1114" s="40">
        <f>SUMIFS(W1091:W1128,B1091:B1128,B1114-in_dpd_lag)*d_cured</f>
        <v/>
      </c>
      <c r="Y1114" s="40">
        <f>SUMIFS(W1091:W1128,B1091:B1128,B1114-in_rec_lag)*d_recd</f>
        <v/>
      </c>
      <c r="Z1114" s="40">
        <f>IF(AND(B1114&gt;=in_marketplace_from,B1114&lt;in_marketplace_from+in_card_months),in_card_share/in_card_months*F1114*I1114,IF(AND(B1114&gt;=in_marketplace_from+in_card_months,B1114&lt;in_marketplace_from+2*in_card_months),in_card_share*d_card_rem/in_card_months*F1114*MIN(in_takeup_cap,(1+in_takeup_growth)^(D1114-1))*MIN(in_takeup_cap,(1+in_approval_growth)^(D1114-1)),0))</f>
        <v/>
      </c>
      <c r="AA1114" s="14">
        <f>V1114*in_fee*(1-in_taken_back)</f>
        <v/>
      </c>
      <c r="AB1114" s="14">
        <f>SUMIFS(W1091:W1128,B1091:B1128,B1114-in_dpd_lag)*d_dpd</f>
        <v/>
      </c>
      <c r="AC1114" s="14">
        <f>SUMIFS(W1091:W1128,B1091:B1128,B1114-in_rec_lag)*d_rec</f>
        <v/>
      </c>
      <c r="AD1114" s="14">
        <f>Z1114*in_card_fee</f>
        <v/>
      </c>
      <c r="AE1114" s="40">
        <f>AE1113*(1-IF(B1113&gt;=in_marketplace_from,d_hz_hlth_small*G1113,0))</f>
        <v/>
      </c>
      <c r="AF1114" s="46">
        <f>AE1114*IF(B1114&gt;=in_marketplace_from,d_hz_hlth_small*G1114,0)</f>
        <v/>
      </c>
      <c r="AG1114" s="14">
        <f>F1114*AF1114*in_hlth_small_ticket*in_hlth_small_comm*in_ins_partner_share+F1114*in_hlth_small_ticket*in_hlth_small_renew_comm*in_ins_partner_share*(in_hlth_small_renew^1*SUMIFS(AF1091:AF1128,B1091:B1128,B1114-12)+in_hlth_small_renew^2*SUMIFS(AF1091:AF1128,B1091:B1128,B1114-24)+in_hlth_small_renew^3*SUMIFS(AF1091:AF1128,B1091:B1128,B1114-36)+in_hlth_small_renew^4*SUMIFS(AF1091:AF1128,B1091:B1128,B1114-48))</f>
        <v/>
      </c>
      <c r="AH1114" s="40">
        <f>AH1113*(1-IF(B1113&gt;=in_marketplace_from,d_hz_hlth_family*G1113,0))</f>
        <v/>
      </c>
      <c r="AI1114" s="46">
        <f>AH1114*IF(B1114&gt;=in_marketplace_from,d_hz_hlth_family*G1114,0)</f>
        <v/>
      </c>
      <c r="AJ1114" s="14">
        <f>F1114*AI1114*in_hlth_family_ticket*in_hlth_family_comm*in_ins_partner_share+F1114*in_hlth_family_ticket*in_hlth_family_renew_comm*in_ins_partner_share*(in_hlth_family_renew^1*SUMIFS(AI1091:AI1128,B1091:B1128,B1114-12)+in_hlth_family_renew^2*SUMIFS(AI1091:AI1128,B1091:B1128,B1114-24)+in_hlth_family_renew^3*SUMIFS(AI1091:AI1128,B1091:B1128,B1114-36)+in_hlth_family_renew^4*SUMIFS(AI1091:AI1128,B1091:B1128,B1114-48))</f>
        <v/>
      </c>
      <c r="AK1114" s="40">
        <f>AK1113*(1-IF(B1113&gt;=in_marketplace_from,d_hz_life_term*G1113,0))</f>
        <v/>
      </c>
      <c r="AL1114" s="46">
        <f>AK1114*IF(B1114&gt;=in_marketplace_from,d_hz_life_term*G1114,0)</f>
        <v/>
      </c>
      <c r="AM1114" s="14">
        <f>F1114*AL1114*in_life_term_ticket*in_life_term_comm*in_ins_partner_share+F1114*in_life_term_ticket*in_life_term_renew_comm*in_ins_partner_share*(in_life_term_renew^1*SUMIFS(AL1091:AL1128,B1091:B1128,B1114-12)+in_life_term_renew^2*SUMIFS(AL1091:AL1128,B1091:B1128,B1114-24)+in_life_term_renew^3*SUMIFS(AL1091:AL1128,B1091:B1128,B1114-36)+in_life_term_renew^4*SUMIFS(AL1091:AL1128,B1091:B1128,B1114-48))</f>
        <v/>
      </c>
      <c r="AN1114" s="40">
        <f>AN1113*(1-IF(B1113&gt;=in_marketplace_from,d_hz_accident*G1113,0))</f>
        <v/>
      </c>
      <c r="AO1114" s="46">
        <f>AN1114*IF(B1114&gt;=in_marketplace_from,d_hz_accident*G1114,0)</f>
        <v/>
      </c>
      <c r="AP1114" s="14">
        <f>F1114*AO1114*in_accident_ticket*in_accident_comm*in_ins_partner_share+F1114*in_accident_ticket*in_accident_renew_comm*in_ins_partner_share*(in_accident_renew^1*SUMIFS(AO1091:AO1128,B1091:B1128,B1114-12)+in_accident_renew^2*SUMIFS(AO1091:AO1128,B1091:B1128,B1114-24)+in_accident_renew^3*SUMIFS(AO1091:AO1128,B1091:B1128,B1114-36)+in_accident_renew^4*SUMIFS(AO1091:AO1128,B1091:B1128,B1114-48))</f>
        <v/>
      </c>
      <c r="AQ1114" s="40">
        <f>AQ1113*(1-IF(B1113&gt;=in_marketplace_from,d_hz_two_wheeler*G1113,0))</f>
        <v/>
      </c>
      <c r="AR1114" s="46">
        <f>AQ1114*IF(B1114&gt;=in_marketplace_from,d_hz_two_wheeler*G1114,0)</f>
        <v/>
      </c>
      <c r="AS1114" s="14">
        <f>F1114*AR1114*in_two_wheeler_ticket*in_two_wheeler_comm*in_ins_partner_share+F1114*in_two_wheeler_ticket*in_two_wheeler_comm*in_ins_partner_share*(in_two_wheeler_renew^1*SUMIFS(AR1091:AR1128,B1091:B1128,B1114-12)+in_two_wheeler_renew^2*SUMIFS(AR1091:AR1128,B1091:B1128,B1114-24)+in_two_wheeler_renew^3*SUMIFS(AR1091:AR1128,B1091:B1128,B1114-36)+in_two_wheeler_renew^4*SUMIFS(AR1091:AR1128,B1091:B1128,B1114-48))</f>
        <v/>
      </c>
      <c r="AT1114" s="40">
        <f>AT1113*(1-IF(B1113&gt;=in_marketplace_from,d_hz_device*G1113,0))</f>
        <v/>
      </c>
      <c r="AU1114" s="14">
        <f>F1114*AT1114*IF(B1114&gt;=in_marketplace_from,d_hz_device*G1114,0)*in_device_ticket*in_device_comm*in_ins_partner_share</f>
        <v/>
      </c>
      <c r="AV1114" s="40">
        <f>AV1113*(1-IF(B1113&gt;=in_marketplace_from,d_hz_shop*G1113,0))</f>
        <v/>
      </c>
      <c r="AW1114" s="46">
        <f>AV1114*IF(B1114&gt;=in_marketplace_from,d_hz_shop*G1114,0)</f>
        <v/>
      </c>
      <c r="AX1114" s="14">
        <f>F1114*AW1114*in_shop_ticket*in_shop_comm*in_ins_partner_share+F1114*in_shop_ticket*in_shop_renew_comm*in_ins_partner_share*(in_shop_renew^1*SUMIFS(AW1091:AW1128,B1091:B1128,B1114-12)+in_shop_renew^2*SUMIFS(AW1091:AW1128,B1091:B1128,B1114-24)+in_shop_renew^3*SUMIFS(AW1091:AW1128,B1091:B1128,B1114-36)+in_shop_renew^4*SUMIFS(AW1091:AW1128,B1091:B1128,B1114-48))</f>
        <v/>
      </c>
      <c r="AY1114" s="40">
        <f>AY1113*(1-IF(B1113&gt;=in_marketplace_from,d_hz_sip*G1113,0))</f>
        <v/>
      </c>
      <c r="AZ1114" s="40">
        <f>AZ1113*d_rho_sip+AY1114*IF(B1114&gt;=in_marketplace_from,d_hz_sip*G1114,0)</f>
        <v/>
      </c>
      <c r="BA1114" s="40">
        <f>d_rho_sip*(BA1113+AZ1113)</f>
        <v/>
      </c>
      <c r="BB1114" s="14">
        <f>F1114*in_sip_ticket*(BA1114+0.5*AZ1114)*in_sip_comm/12</f>
        <v/>
      </c>
      <c r="BC1114" s="40">
        <f>BC1113*(1-IF(B1113&gt;=in_marketplace_from,d_hz_choti*G1113,0))</f>
        <v/>
      </c>
      <c r="BD1114" s="46">
        <f>BC1114*IF(B1114&gt;=in_marketplace_from,d_hz_choti*G1114,0)</f>
        <v/>
      </c>
      <c r="BE1114" s="14">
        <f>F1114*SUMIFS(BD1091:BD1128,B1091:B1128,B1114-in_choti_months)*in_choti_renew*in_choti_ticket</f>
        <v/>
      </c>
      <c r="BF1114" s="40">
        <f>BF1113*(1-IF(B1113&gt;=in_marketplace_from,d_hz_nps*G1113,0))</f>
        <v/>
      </c>
      <c r="BG1114" s="14">
        <f>F1114*BF1114*IF(B1114&gt;=in_marketplace_from,d_hz_nps*G1114,0)*in_nps_ticket*in_nps_comm</f>
        <v/>
      </c>
      <c r="BH1114" s="40">
        <f>BH1113*(1-IF(B1113&gt;=in_marketplace_from,d_hz_gold*G1113,0))</f>
        <v/>
      </c>
      <c r="BI1114" s="40">
        <f>BI1113*d_rho_gold+BH1114*IF(B1114&gt;=in_marketplace_from,d_hz_gold*G1114,0)</f>
        <v/>
      </c>
      <c r="BJ1114" s="14">
        <f>F1114*BI1114*in_gold_ticket*in_gold_comm</f>
        <v/>
      </c>
      <c r="BK1114" s="40">
        <f>BK1113*(1-IF(B1113&gt;=in_marketplace_from,d_hz_fd*G1113,0))</f>
        <v/>
      </c>
      <c r="BL1114" s="14">
        <f>F1114*BK1114*IF(B1114&gt;=in_marketplace_from,d_hz_fd*G1114,0)*in_fd_ticket*in_fd_comm</f>
        <v/>
      </c>
      <c r="BM1114" s="40">
        <f>BM1113*(1-IF(B1113&gt;=in_marketplace_from,d_hz_recharge*G1113,0))</f>
        <v/>
      </c>
      <c r="BN1114" s="40">
        <f>BN1113*d_rho_recharge+BM1114*IF(B1114&gt;=in_marketplace_from,d_hz_recharge*G1114,0)</f>
        <v/>
      </c>
      <c r="BO1114" s="14">
        <f>F1114*BN1114*in_recharge_ticket*in_recharge_comm/12</f>
        <v/>
      </c>
      <c r="BP1114" s="40">
        <f>BP1113*(1-IF(B1113&gt;=in_marketplace_from,d_hz_bills*G1113,0))</f>
        <v/>
      </c>
      <c r="BQ1114" s="40">
        <f>BQ1113*d_rho_bills+BP1114*IF(B1114&gt;=in_marketplace_from,d_hz_bills*G1114,0)</f>
        <v/>
      </c>
      <c r="BR1114" s="14">
        <f>F1114*BQ1114*in_bills_ticket*in_bills_comm/12</f>
        <v/>
      </c>
      <c r="BS1114" s="40">
        <f>BS1113*(1-IF(B1113&gt;=in_marketplace_from,d_hz_loan_gold*G1113,0))</f>
        <v/>
      </c>
      <c r="BT1114" s="14">
        <f>F1114*BS1114*IF(B1114&gt;=in_marketplace_from,d_hz_loan_gold*G1114,0)*in_loan_gold_ticket*in_loan_gold_comm</f>
        <v/>
      </c>
      <c r="BU1114" s="40">
        <f>BU1113*(1-IF(B1113&gt;=in_marketplace_from,d_hz_loan_cd*G1113,0))</f>
        <v/>
      </c>
      <c r="BV1114" s="14">
        <f>F1114*BU1114*IF(B1114&gt;=in_marketplace_from,d_hz_loan_cd*G1114,0)*in_loan_cd_ticket*in_loan_cd_comm</f>
        <v/>
      </c>
      <c r="BW1114" s="40">
        <f>BW1113*(1-IF(B1113&gt;=in_marketplace_from,d_hz_loan_vehicle*G1113,0))</f>
        <v/>
      </c>
      <c r="BX1114" s="14">
        <f>F1114*BW1114*IF(B1114&gt;=in_marketplace_from,d_hz_loan_vehicle*G1114,0)*in_loan_vehicle_ticket*in_loan_vehicle_comm</f>
        <v/>
      </c>
      <c r="BY1114" s="40">
        <f>BY1113*(1-IF(B1113&gt;=in_marketplace_from,d_hz_loan_home*G1113,0)*BZ1113)</f>
        <v/>
      </c>
      <c r="BZ1114" s="11">
        <f>MIN(in_approval_cap,in_loan_home_approval*INDEX('Age profile'!$O$2:$O$61,B1114)*(1+in_approval_growth)^(D1114-1))</f>
        <v/>
      </c>
      <c r="CA1114" s="14">
        <f>F1114*BY1114*IF(B1114&gt;=in_marketplace_from,d_hz_loan_home*G1114,0)*BZ1114*in_loan_home_ticket*in_loan_home_comm</f>
        <v/>
      </c>
      <c r="CB1114" s="40">
        <f>CB1113*(1-IF(B1113&gt;=in_marketplace_from,d_hz_loan_lap*G1113,0)*CC1113)</f>
        <v/>
      </c>
      <c r="CC1114" s="11">
        <f>MIN(in_approval_cap,in_loan_lap_approval*INDEX('Age profile'!$O$2:$O$61,B1114)*(1+in_approval_growth)^(D1114-1))</f>
        <v/>
      </c>
      <c r="CD1114" s="14">
        <f>F1114*CB1114*IF(B1114&gt;=in_marketplace_from,d_hz_loan_lap*G1114,0)*CC1114*in_loan_lap_ticket*in_loan_lap_comm</f>
        <v/>
      </c>
      <c r="CE1114" s="14">
        <f>AA1114+AB1114+AC1114+AD1114+AG1114+AJ1114+AM1114+AP1114+AS1114+AU1114+AX1114+BB1114+BE1114+BG1114+BJ1114+BL1114+BO1114+BR1114+BT1114+BV1114+BX1114+CA1114+CD1114</f>
        <v/>
      </c>
    </row>
    <row r="1115">
      <c r="A1115" s="39" t="n">
        <v>23</v>
      </c>
      <c r="B1115" s="39" t="n">
        <v>25</v>
      </c>
      <c r="C1115" s="39">
        <f>A1115+B1115-1</f>
        <v/>
      </c>
      <c r="D1115" s="39">
        <f>INT((C1115-1)/12)+1</f>
        <v/>
      </c>
      <c r="E1115" s="44">
        <f>INDEX(Monthly!$B$2:$B$61,A1115)</f>
        <v/>
      </c>
      <c r="F1115" s="44">
        <f>E1115*INDEX('Age profile'!$B$2:$B$61,B1115)</f>
        <v/>
      </c>
      <c r="G1115" s="45">
        <f>MIN(in_takeup_cap,INDEX('Age profile'!$N$2:$N$61,B1115)*(1+in_takeup_growth)^(D1115-1))</f>
        <v/>
      </c>
      <c r="H1115" s="11">
        <f>MIN(in_approval_cap,in_approved_first*INDEX('Age profile'!$O$2:$O$61,B1115)*(1+in_approval_growth)^(D1115-1))</f>
        <v/>
      </c>
      <c r="I1115" s="45">
        <f>G1115*MIN(in_takeup_cap,INDEX('Age profile'!$O$2:$O$61,B1115)*(1+in_approval_growth)^(D1115-1))</f>
        <v/>
      </c>
      <c r="J1115" s="40">
        <f>(J1114-L1114)*F1115/F1114</f>
        <v/>
      </c>
      <c r="K1115" s="40">
        <f>(K1114-M1114)*F1115/F1114+SUMIFS(O1091:O1114,B1091:B1114,B1115-1-d_T)*F1115</f>
        <v/>
      </c>
      <c r="L1115" s="40">
        <f>IF(B1115&gt;=in_marketplace_from,J1115*d_hz*G1115*in_eligible*H1115,0)</f>
        <v/>
      </c>
      <c r="M1115" s="40">
        <f>IF(B1115&gt;=in_marketplace_from,K1115*d_hz*G1115*in_eligible*in_approved_repeat,0)</f>
        <v/>
      </c>
      <c r="N1115" s="40">
        <f>L1115+M1115</f>
        <v/>
      </c>
      <c r="O1115" s="46">
        <f>N1115/F1115</f>
        <v/>
      </c>
      <c r="P1115" s="40">
        <f>F1115-J1115-K1115</f>
        <v/>
      </c>
      <c r="Q1115" s="40">
        <f>IF(B1115&gt;=in_marketplace_from,(J1115+K1115)*d_hz*G1115,0)</f>
        <v/>
      </c>
      <c r="R1115" s="40">
        <f>SUMIFS(N1091:N1128,B1091:B1128,"&gt;="&amp;(B1115-d_T),B1091:B1128,"&lt;="&amp;(B1115-1))</f>
        <v/>
      </c>
      <c r="S1115" s="46">
        <f>(1-d_u)*S1114+IF(d_T&gt;in_topup_lag,SUMIFS(O1091:O1128,B1091:B1128,B1115-in_topup_lag)-d_udrop*SUMIFS(O1091:O1128,B1091:B1128,B1115-d_T),0)</f>
        <v/>
      </c>
      <c r="T1115" s="40">
        <f>F1115*d_u*S1115</f>
        <v/>
      </c>
      <c r="U1115" s="9">
        <f>L1115*in_ticket+M1115*d_rep_ticket</f>
        <v/>
      </c>
      <c r="V1115" s="9">
        <f>U1115+T1115*d_topup_amt</f>
        <v/>
      </c>
      <c r="W1115" s="40">
        <f>N1115+T1115*d_topup_ratio</f>
        <v/>
      </c>
      <c r="X1115" s="40">
        <f>SUMIFS(W1091:W1128,B1091:B1128,B1115-in_dpd_lag)*d_cured</f>
        <v/>
      </c>
      <c r="Y1115" s="40">
        <f>SUMIFS(W1091:W1128,B1091:B1128,B1115-in_rec_lag)*d_recd</f>
        <v/>
      </c>
      <c r="Z1115" s="40">
        <f>IF(AND(B1115&gt;=in_marketplace_from,B1115&lt;in_marketplace_from+in_card_months),in_card_share/in_card_months*F1115*I1115,IF(AND(B1115&gt;=in_marketplace_from+in_card_months,B1115&lt;in_marketplace_from+2*in_card_months),in_card_share*d_card_rem/in_card_months*F1115*MIN(in_takeup_cap,(1+in_takeup_growth)^(D1115-1))*MIN(in_takeup_cap,(1+in_approval_growth)^(D1115-1)),0))</f>
        <v/>
      </c>
      <c r="AA1115" s="14">
        <f>V1115*in_fee*(1-in_taken_back)</f>
        <v/>
      </c>
      <c r="AB1115" s="14">
        <f>SUMIFS(W1091:W1128,B1091:B1128,B1115-in_dpd_lag)*d_dpd</f>
        <v/>
      </c>
      <c r="AC1115" s="14">
        <f>SUMIFS(W1091:W1128,B1091:B1128,B1115-in_rec_lag)*d_rec</f>
        <v/>
      </c>
      <c r="AD1115" s="14">
        <f>Z1115*in_card_fee</f>
        <v/>
      </c>
      <c r="AE1115" s="40">
        <f>AE1114*(1-IF(B1114&gt;=in_marketplace_from,d_hz_hlth_small*G1114,0))</f>
        <v/>
      </c>
      <c r="AF1115" s="46">
        <f>AE1115*IF(B1115&gt;=in_marketplace_from,d_hz_hlth_small*G1115,0)</f>
        <v/>
      </c>
      <c r="AG1115" s="14">
        <f>F1115*AF1115*in_hlth_small_ticket*in_hlth_small_comm*in_ins_partner_share+F1115*in_hlth_small_ticket*in_hlth_small_renew_comm*in_ins_partner_share*(in_hlth_small_renew^1*SUMIFS(AF1091:AF1128,B1091:B1128,B1115-12)+in_hlth_small_renew^2*SUMIFS(AF1091:AF1128,B1091:B1128,B1115-24)+in_hlth_small_renew^3*SUMIFS(AF1091:AF1128,B1091:B1128,B1115-36)+in_hlth_small_renew^4*SUMIFS(AF1091:AF1128,B1091:B1128,B1115-48))</f>
        <v/>
      </c>
      <c r="AH1115" s="40">
        <f>AH1114*(1-IF(B1114&gt;=in_marketplace_from,d_hz_hlth_family*G1114,0))</f>
        <v/>
      </c>
      <c r="AI1115" s="46">
        <f>AH1115*IF(B1115&gt;=in_marketplace_from,d_hz_hlth_family*G1115,0)</f>
        <v/>
      </c>
      <c r="AJ1115" s="14">
        <f>F1115*AI1115*in_hlth_family_ticket*in_hlth_family_comm*in_ins_partner_share+F1115*in_hlth_family_ticket*in_hlth_family_renew_comm*in_ins_partner_share*(in_hlth_family_renew^1*SUMIFS(AI1091:AI1128,B1091:B1128,B1115-12)+in_hlth_family_renew^2*SUMIFS(AI1091:AI1128,B1091:B1128,B1115-24)+in_hlth_family_renew^3*SUMIFS(AI1091:AI1128,B1091:B1128,B1115-36)+in_hlth_family_renew^4*SUMIFS(AI1091:AI1128,B1091:B1128,B1115-48))</f>
        <v/>
      </c>
      <c r="AK1115" s="40">
        <f>AK1114*(1-IF(B1114&gt;=in_marketplace_from,d_hz_life_term*G1114,0))</f>
        <v/>
      </c>
      <c r="AL1115" s="46">
        <f>AK1115*IF(B1115&gt;=in_marketplace_from,d_hz_life_term*G1115,0)</f>
        <v/>
      </c>
      <c r="AM1115" s="14">
        <f>F1115*AL1115*in_life_term_ticket*in_life_term_comm*in_ins_partner_share+F1115*in_life_term_ticket*in_life_term_renew_comm*in_ins_partner_share*(in_life_term_renew^1*SUMIFS(AL1091:AL1128,B1091:B1128,B1115-12)+in_life_term_renew^2*SUMIFS(AL1091:AL1128,B1091:B1128,B1115-24)+in_life_term_renew^3*SUMIFS(AL1091:AL1128,B1091:B1128,B1115-36)+in_life_term_renew^4*SUMIFS(AL1091:AL1128,B1091:B1128,B1115-48))</f>
        <v/>
      </c>
      <c r="AN1115" s="40">
        <f>AN1114*(1-IF(B1114&gt;=in_marketplace_from,d_hz_accident*G1114,0))</f>
        <v/>
      </c>
      <c r="AO1115" s="46">
        <f>AN1115*IF(B1115&gt;=in_marketplace_from,d_hz_accident*G1115,0)</f>
        <v/>
      </c>
      <c r="AP1115" s="14">
        <f>F1115*AO1115*in_accident_ticket*in_accident_comm*in_ins_partner_share+F1115*in_accident_ticket*in_accident_renew_comm*in_ins_partner_share*(in_accident_renew^1*SUMIFS(AO1091:AO1128,B1091:B1128,B1115-12)+in_accident_renew^2*SUMIFS(AO1091:AO1128,B1091:B1128,B1115-24)+in_accident_renew^3*SUMIFS(AO1091:AO1128,B1091:B1128,B1115-36)+in_accident_renew^4*SUMIFS(AO1091:AO1128,B1091:B1128,B1115-48))</f>
        <v/>
      </c>
      <c r="AQ1115" s="40">
        <f>AQ1114*(1-IF(B1114&gt;=in_marketplace_from,d_hz_two_wheeler*G1114,0))</f>
        <v/>
      </c>
      <c r="AR1115" s="46">
        <f>AQ1115*IF(B1115&gt;=in_marketplace_from,d_hz_two_wheeler*G1115,0)</f>
        <v/>
      </c>
      <c r="AS1115" s="14">
        <f>F1115*AR1115*in_two_wheeler_ticket*in_two_wheeler_comm*in_ins_partner_share+F1115*in_two_wheeler_ticket*in_two_wheeler_comm*in_ins_partner_share*(in_two_wheeler_renew^1*SUMIFS(AR1091:AR1128,B1091:B1128,B1115-12)+in_two_wheeler_renew^2*SUMIFS(AR1091:AR1128,B1091:B1128,B1115-24)+in_two_wheeler_renew^3*SUMIFS(AR1091:AR1128,B1091:B1128,B1115-36)+in_two_wheeler_renew^4*SUMIFS(AR1091:AR1128,B1091:B1128,B1115-48))</f>
        <v/>
      </c>
      <c r="AT1115" s="40">
        <f>AT1114*(1-IF(B1114&gt;=in_marketplace_from,d_hz_device*G1114,0))</f>
        <v/>
      </c>
      <c r="AU1115" s="14">
        <f>F1115*AT1115*IF(B1115&gt;=in_marketplace_from,d_hz_device*G1115,0)*in_device_ticket*in_device_comm*in_ins_partner_share</f>
        <v/>
      </c>
      <c r="AV1115" s="40">
        <f>AV1114*(1-IF(B1114&gt;=in_marketplace_from,d_hz_shop*G1114,0))</f>
        <v/>
      </c>
      <c r="AW1115" s="46">
        <f>AV1115*IF(B1115&gt;=in_marketplace_from,d_hz_shop*G1115,0)</f>
        <v/>
      </c>
      <c r="AX1115" s="14">
        <f>F1115*AW1115*in_shop_ticket*in_shop_comm*in_ins_partner_share+F1115*in_shop_ticket*in_shop_renew_comm*in_ins_partner_share*(in_shop_renew^1*SUMIFS(AW1091:AW1128,B1091:B1128,B1115-12)+in_shop_renew^2*SUMIFS(AW1091:AW1128,B1091:B1128,B1115-24)+in_shop_renew^3*SUMIFS(AW1091:AW1128,B1091:B1128,B1115-36)+in_shop_renew^4*SUMIFS(AW1091:AW1128,B1091:B1128,B1115-48))</f>
        <v/>
      </c>
      <c r="AY1115" s="40">
        <f>AY1114*(1-IF(B1114&gt;=in_marketplace_from,d_hz_sip*G1114,0))</f>
        <v/>
      </c>
      <c r="AZ1115" s="40">
        <f>AZ1114*d_rho_sip+AY1115*IF(B1115&gt;=in_marketplace_from,d_hz_sip*G1115,0)</f>
        <v/>
      </c>
      <c r="BA1115" s="40">
        <f>d_rho_sip*(BA1114+AZ1114)</f>
        <v/>
      </c>
      <c r="BB1115" s="14">
        <f>F1115*in_sip_ticket*(BA1115+0.5*AZ1115)*in_sip_comm/12</f>
        <v/>
      </c>
      <c r="BC1115" s="40">
        <f>BC1114*(1-IF(B1114&gt;=in_marketplace_from,d_hz_choti*G1114,0))</f>
        <v/>
      </c>
      <c r="BD1115" s="46">
        <f>BC1115*IF(B1115&gt;=in_marketplace_from,d_hz_choti*G1115,0)</f>
        <v/>
      </c>
      <c r="BE1115" s="14">
        <f>F1115*SUMIFS(BD1091:BD1128,B1091:B1128,B1115-in_choti_months)*in_choti_renew*in_choti_ticket</f>
        <v/>
      </c>
      <c r="BF1115" s="40">
        <f>BF1114*(1-IF(B1114&gt;=in_marketplace_from,d_hz_nps*G1114,0))</f>
        <v/>
      </c>
      <c r="BG1115" s="14">
        <f>F1115*BF1115*IF(B1115&gt;=in_marketplace_from,d_hz_nps*G1115,0)*in_nps_ticket*in_nps_comm</f>
        <v/>
      </c>
      <c r="BH1115" s="40">
        <f>BH1114*(1-IF(B1114&gt;=in_marketplace_from,d_hz_gold*G1114,0))</f>
        <v/>
      </c>
      <c r="BI1115" s="40">
        <f>BI1114*d_rho_gold+BH1115*IF(B1115&gt;=in_marketplace_from,d_hz_gold*G1115,0)</f>
        <v/>
      </c>
      <c r="BJ1115" s="14">
        <f>F1115*BI1115*in_gold_ticket*in_gold_comm</f>
        <v/>
      </c>
      <c r="BK1115" s="40">
        <f>BK1114*(1-IF(B1114&gt;=in_marketplace_from,d_hz_fd*G1114,0))</f>
        <v/>
      </c>
      <c r="BL1115" s="14">
        <f>F1115*BK1115*IF(B1115&gt;=in_marketplace_from,d_hz_fd*G1115,0)*in_fd_ticket*in_fd_comm</f>
        <v/>
      </c>
      <c r="BM1115" s="40">
        <f>BM1114*(1-IF(B1114&gt;=in_marketplace_from,d_hz_recharge*G1114,0))</f>
        <v/>
      </c>
      <c r="BN1115" s="40">
        <f>BN1114*d_rho_recharge+BM1115*IF(B1115&gt;=in_marketplace_from,d_hz_recharge*G1115,0)</f>
        <v/>
      </c>
      <c r="BO1115" s="14">
        <f>F1115*BN1115*in_recharge_ticket*in_recharge_comm/12</f>
        <v/>
      </c>
      <c r="BP1115" s="40">
        <f>BP1114*(1-IF(B1114&gt;=in_marketplace_from,d_hz_bills*G1114,0))</f>
        <v/>
      </c>
      <c r="BQ1115" s="40">
        <f>BQ1114*d_rho_bills+BP1115*IF(B1115&gt;=in_marketplace_from,d_hz_bills*G1115,0)</f>
        <v/>
      </c>
      <c r="BR1115" s="14">
        <f>F1115*BQ1115*in_bills_ticket*in_bills_comm/12</f>
        <v/>
      </c>
      <c r="BS1115" s="40">
        <f>BS1114*(1-IF(B1114&gt;=in_marketplace_from,d_hz_loan_gold*G1114,0))</f>
        <v/>
      </c>
      <c r="BT1115" s="14">
        <f>F1115*BS1115*IF(B1115&gt;=in_marketplace_from,d_hz_loan_gold*G1115,0)*in_loan_gold_ticket*in_loan_gold_comm</f>
        <v/>
      </c>
      <c r="BU1115" s="40">
        <f>BU1114*(1-IF(B1114&gt;=in_marketplace_from,d_hz_loan_cd*G1114,0))</f>
        <v/>
      </c>
      <c r="BV1115" s="14">
        <f>F1115*BU1115*IF(B1115&gt;=in_marketplace_from,d_hz_loan_cd*G1115,0)*in_loan_cd_ticket*in_loan_cd_comm</f>
        <v/>
      </c>
      <c r="BW1115" s="40">
        <f>BW1114*(1-IF(B1114&gt;=in_marketplace_from,d_hz_loan_vehicle*G1114,0))</f>
        <v/>
      </c>
      <c r="BX1115" s="14">
        <f>F1115*BW1115*IF(B1115&gt;=in_marketplace_from,d_hz_loan_vehicle*G1115,0)*in_loan_vehicle_ticket*in_loan_vehicle_comm</f>
        <v/>
      </c>
      <c r="BY1115" s="40">
        <f>BY1114*(1-IF(B1114&gt;=in_marketplace_from,d_hz_loan_home*G1114,0)*BZ1114)</f>
        <v/>
      </c>
      <c r="BZ1115" s="11">
        <f>MIN(in_approval_cap,in_loan_home_approval*INDEX('Age profile'!$O$2:$O$61,B1115)*(1+in_approval_growth)^(D1115-1))</f>
        <v/>
      </c>
      <c r="CA1115" s="14">
        <f>F1115*BY1115*IF(B1115&gt;=in_marketplace_from,d_hz_loan_home*G1115,0)*BZ1115*in_loan_home_ticket*in_loan_home_comm</f>
        <v/>
      </c>
      <c r="CB1115" s="40">
        <f>CB1114*(1-IF(B1114&gt;=in_marketplace_from,d_hz_loan_lap*G1114,0)*CC1114)</f>
        <v/>
      </c>
      <c r="CC1115" s="11">
        <f>MIN(in_approval_cap,in_loan_lap_approval*INDEX('Age profile'!$O$2:$O$61,B1115)*(1+in_approval_growth)^(D1115-1))</f>
        <v/>
      </c>
      <c r="CD1115" s="14">
        <f>F1115*CB1115*IF(B1115&gt;=in_marketplace_from,d_hz_loan_lap*G1115,0)*CC1115*in_loan_lap_ticket*in_loan_lap_comm</f>
        <v/>
      </c>
      <c r="CE1115" s="14">
        <f>AA1115+AB1115+AC1115+AD1115+AG1115+AJ1115+AM1115+AP1115+AS1115+AU1115+AX1115+BB1115+BE1115+BG1115+BJ1115+BL1115+BO1115+BR1115+BT1115+BV1115+BX1115+CA1115+CD1115</f>
        <v/>
      </c>
    </row>
    <row r="1116">
      <c r="A1116" s="39" t="n">
        <v>23</v>
      </c>
      <c r="B1116" s="39" t="n">
        <v>26</v>
      </c>
      <c r="C1116" s="39">
        <f>A1116+B1116-1</f>
        <v/>
      </c>
      <c r="D1116" s="39">
        <f>INT((C1116-1)/12)+1</f>
        <v/>
      </c>
      <c r="E1116" s="44">
        <f>INDEX(Monthly!$B$2:$B$61,A1116)</f>
        <v/>
      </c>
      <c r="F1116" s="44">
        <f>E1116*INDEX('Age profile'!$B$2:$B$61,B1116)</f>
        <v/>
      </c>
      <c r="G1116" s="45">
        <f>MIN(in_takeup_cap,INDEX('Age profile'!$N$2:$N$61,B1116)*(1+in_takeup_growth)^(D1116-1))</f>
        <v/>
      </c>
      <c r="H1116" s="11">
        <f>MIN(in_approval_cap,in_approved_first*INDEX('Age profile'!$O$2:$O$61,B1116)*(1+in_approval_growth)^(D1116-1))</f>
        <v/>
      </c>
      <c r="I1116" s="45">
        <f>G1116*MIN(in_takeup_cap,INDEX('Age profile'!$O$2:$O$61,B1116)*(1+in_approval_growth)^(D1116-1))</f>
        <v/>
      </c>
      <c r="J1116" s="40">
        <f>(J1115-L1115)*F1116/F1115</f>
        <v/>
      </c>
      <c r="K1116" s="40">
        <f>(K1115-M1115)*F1116/F1115+SUMIFS(O1091:O1115,B1091:B1115,B1116-1-d_T)*F1116</f>
        <v/>
      </c>
      <c r="L1116" s="40">
        <f>IF(B1116&gt;=in_marketplace_from,J1116*d_hz*G1116*in_eligible*H1116,0)</f>
        <v/>
      </c>
      <c r="M1116" s="40">
        <f>IF(B1116&gt;=in_marketplace_from,K1116*d_hz*G1116*in_eligible*in_approved_repeat,0)</f>
        <v/>
      </c>
      <c r="N1116" s="40">
        <f>L1116+M1116</f>
        <v/>
      </c>
      <c r="O1116" s="46">
        <f>N1116/F1116</f>
        <v/>
      </c>
      <c r="P1116" s="40">
        <f>F1116-J1116-K1116</f>
        <v/>
      </c>
      <c r="Q1116" s="40">
        <f>IF(B1116&gt;=in_marketplace_from,(J1116+K1116)*d_hz*G1116,0)</f>
        <v/>
      </c>
      <c r="R1116" s="40">
        <f>SUMIFS(N1091:N1128,B1091:B1128,"&gt;="&amp;(B1116-d_T),B1091:B1128,"&lt;="&amp;(B1116-1))</f>
        <v/>
      </c>
      <c r="S1116" s="46">
        <f>(1-d_u)*S1115+IF(d_T&gt;in_topup_lag,SUMIFS(O1091:O1128,B1091:B1128,B1116-in_topup_lag)-d_udrop*SUMIFS(O1091:O1128,B1091:B1128,B1116-d_T),0)</f>
        <v/>
      </c>
      <c r="T1116" s="40">
        <f>F1116*d_u*S1116</f>
        <v/>
      </c>
      <c r="U1116" s="9">
        <f>L1116*in_ticket+M1116*d_rep_ticket</f>
        <v/>
      </c>
      <c r="V1116" s="9">
        <f>U1116+T1116*d_topup_amt</f>
        <v/>
      </c>
      <c r="W1116" s="40">
        <f>N1116+T1116*d_topup_ratio</f>
        <v/>
      </c>
      <c r="X1116" s="40">
        <f>SUMIFS(W1091:W1128,B1091:B1128,B1116-in_dpd_lag)*d_cured</f>
        <v/>
      </c>
      <c r="Y1116" s="40">
        <f>SUMIFS(W1091:W1128,B1091:B1128,B1116-in_rec_lag)*d_recd</f>
        <v/>
      </c>
      <c r="Z1116" s="40">
        <f>IF(AND(B1116&gt;=in_marketplace_from,B1116&lt;in_marketplace_from+in_card_months),in_card_share/in_card_months*F1116*I1116,IF(AND(B1116&gt;=in_marketplace_from+in_card_months,B1116&lt;in_marketplace_from+2*in_card_months),in_card_share*d_card_rem/in_card_months*F1116*MIN(in_takeup_cap,(1+in_takeup_growth)^(D1116-1))*MIN(in_takeup_cap,(1+in_approval_growth)^(D1116-1)),0))</f>
        <v/>
      </c>
      <c r="AA1116" s="14">
        <f>V1116*in_fee*(1-in_taken_back)</f>
        <v/>
      </c>
      <c r="AB1116" s="14">
        <f>SUMIFS(W1091:W1128,B1091:B1128,B1116-in_dpd_lag)*d_dpd</f>
        <v/>
      </c>
      <c r="AC1116" s="14">
        <f>SUMIFS(W1091:W1128,B1091:B1128,B1116-in_rec_lag)*d_rec</f>
        <v/>
      </c>
      <c r="AD1116" s="14">
        <f>Z1116*in_card_fee</f>
        <v/>
      </c>
      <c r="AE1116" s="40">
        <f>AE1115*(1-IF(B1115&gt;=in_marketplace_from,d_hz_hlth_small*G1115,0))</f>
        <v/>
      </c>
      <c r="AF1116" s="46">
        <f>AE1116*IF(B1116&gt;=in_marketplace_from,d_hz_hlth_small*G1116,0)</f>
        <v/>
      </c>
      <c r="AG1116" s="14">
        <f>F1116*AF1116*in_hlth_small_ticket*in_hlth_small_comm*in_ins_partner_share+F1116*in_hlth_small_ticket*in_hlth_small_renew_comm*in_ins_partner_share*(in_hlth_small_renew^1*SUMIFS(AF1091:AF1128,B1091:B1128,B1116-12)+in_hlth_small_renew^2*SUMIFS(AF1091:AF1128,B1091:B1128,B1116-24)+in_hlth_small_renew^3*SUMIFS(AF1091:AF1128,B1091:B1128,B1116-36)+in_hlth_small_renew^4*SUMIFS(AF1091:AF1128,B1091:B1128,B1116-48))</f>
        <v/>
      </c>
      <c r="AH1116" s="40">
        <f>AH1115*(1-IF(B1115&gt;=in_marketplace_from,d_hz_hlth_family*G1115,0))</f>
        <v/>
      </c>
      <c r="AI1116" s="46">
        <f>AH1116*IF(B1116&gt;=in_marketplace_from,d_hz_hlth_family*G1116,0)</f>
        <v/>
      </c>
      <c r="AJ1116" s="14">
        <f>F1116*AI1116*in_hlth_family_ticket*in_hlth_family_comm*in_ins_partner_share+F1116*in_hlth_family_ticket*in_hlth_family_renew_comm*in_ins_partner_share*(in_hlth_family_renew^1*SUMIFS(AI1091:AI1128,B1091:B1128,B1116-12)+in_hlth_family_renew^2*SUMIFS(AI1091:AI1128,B1091:B1128,B1116-24)+in_hlth_family_renew^3*SUMIFS(AI1091:AI1128,B1091:B1128,B1116-36)+in_hlth_family_renew^4*SUMIFS(AI1091:AI1128,B1091:B1128,B1116-48))</f>
        <v/>
      </c>
      <c r="AK1116" s="40">
        <f>AK1115*(1-IF(B1115&gt;=in_marketplace_from,d_hz_life_term*G1115,0))</f>
        <v/>
      </c>
      <c r="AL1116" s="46">
        <f>AK1116*IF(B1116&gt;=in_marketplace_from,d_hz_life_term*G1116,0)</f>
        <v/>
      </c>
      <c r="AM1116" s="14">
        <f>F1116*AL1116*in_life_term_ticket*in_life_term_comm*in_ins_partner_share+F1116*in_life_term_ticket*in_life_term_renew_comm*in_ins_partner_share*(in_life_term_renew^1*SUMIFS(AL1091:AL1128,B1091:B1128,B1116-12)+in_life_term_renew^2*SUMIFS(AL1091:AL1128,B1091:B1128,B1116-24)+in_life_term_renew^3*SUMIFS(AL1091:AL1128,B1091:B1128,B1116-36)+in_life_term_renew^4*SUMIFS(AL1091:AL1128,B1091:B1128,B1116-48))</f>
        <v/>
      </c>
      <c r="AN1116" s="40">
        <f>AN1115*(1-IF(B1115&gt;=in_marketplace_from,d_hz_accident*G1115,0))</f>
        <v/>
      </c>
      <c r="AO1116" s="46">
        <f>AN1116*IF(B1116&gt;=in_marketplace_from,d_hz_accident*G1116,0)</f>
        <v/>
      </c>
      <c r="AP1116" s="14">
        <f>F1116*AO1116*in_accident_ticket*in_accident_comm*in_ins_partner_share+F1116*in_accident_ticket*in_accident_renew_comm*in_ins_partner_share*(in_accident_renew^1*SUMIFS(AO1091:AO1128,B1091:B1128,B1116-12)+in_accident_renew^2*SUMIFS(AO1091:AO1128,B1091:B1128,B1116-24)+in_accident_renew^3*SUMIFS(AO1091:AO1128,B1091:B1128,B1116-36)+in_accident_renew^4*SUMIFS(AO1091:AO1128,B1091:B1128,B1116-48))</f>
        <v/>
      </c>
      <c r="AQ1116" s="40">
        <f>AQ1115*(1-IF(B1115&gt;=in_marketplace_from,d_hz_two_wheeler*G1115,0))</f>
        <v/>
      </c>
      <c r="AR1116" s="46">
        <f>AQ1116*IF(B1116&gt;=in_marketplace_from,d_hz_two_wheeler*G1116,0)</f>
        <v/>
      </c>
      <c r="AS1116" s="14">
        <f>F1116*AR1116*in_two_wheeler_ticket*in_two_wheeler_comm*in_ins_partner_share+F1116*in_two_wheeler_ticket*in_two_wheeler_comm*in_ins_partner_share*(in_two_wheeler_renew^1*SUMIFS(AR1091:AR1128,B1091:B1128,B1116-12)+in_two_wheeler_renew^2*SUMIFS(AR1091:AR1128,B1091:B1128,B1116-24)+in_two_wheeler_renew^3*SUMIFS(AR1091:AR1128,B1091:B1128,B1116-36)+in_two_wheeler_renew^4*SUMIFS(AR1091:AR1128,B1091:B1128,B1116-48))</f>
        <v/>
      </c>
      <c r="AT1116" s="40">
        <f>AT1115*(1-IF(B1115&gt;=in_marketplace_from,d_hz_device*G1115,0))</f>
        <v/>
      </c>
      <c r="AU1116" s="14">
        <f>F1116*AT1116*IF(B1116&gt;=in_marketplace_from,d_hz_device*G1116,0)*in_device_ticket*in_device_comm*in_ins_partner_share</f>
        <v/>
      </c>
      <c r="AV1116" s="40">
        <f>AV1115*(1-IF(B1115&gt;=in_marketplace_from,d_hz_shop*G1115,0))</f>
        <v/>
      </c>
      <c r="AW1116" s="46">
        <f>AV1116*IF(B1116&gt;=in_marketplace_from,d_hz_shop*G1116,0)</f>
        <v/>
      </c>
      <c r="AX1116" s="14">
        <f>F1116*AW1116*in_shop_ticket*in_shop_comm*in_ins_partner_share+F1116*in_shop_ticket*in_shop_renew_comm*in_ins_partner_share*(in_shop_renew^1*SUMIFS(AW1091:AW1128,B1091:B1128,B1116-12)+in_shop_renew^2*SUMIFS(AW1091:AW1128,B1091:B1128,B1116-24)+in_shop_renew^3*SUMIFS(AW1091:AW1128,B1091:B1128,B1116-36)+in_shop_renew^4*SUMIFS(AW1091:AW1128,B1091:B1128,B1116-48))</f>
        <v/>
      </c>
      <c r="AY1116" s="40">
        <f>AY1115*(1-IF(B1115&gt;=in_marketplace_from,d_hz_sip*G1115,0))</f>
        <v/>
      </c>
      <c r="AZ1116" s="40">
        <f>AZ1115*d_rho_sip+AY1116*IF(B1116&gt;=in_marketplace_from,d_hz_sip*G1116,0)</f>
        <v/>
      </c>
      <c r="BA1116" s="40">
        <f>d_rho_sip*(BA1115+AZ1115)</f>
        <v/>
      </c>
      <c r="BB1116" s="14">
        <f>F1116*in_sip_ticket*(BA1116+0.5*AZ1116)*in_sip_comm/12</f>
        <v/>
      </c>
      <c r="BC1116" s="40">
        <f>BC1115*(1-IF(B1115&gt;=in_marketplace_from,d_hz_choti*G1115,0))</f>
        <v/>
      </c>
      <c r="BD1116" s="46">
        <f>BC1116*IF(B1116&gt;=in_marketplace_from,d_hz_choti*G1116,0)</f>
        <v/>
      </c>
      <c r="BE1116" s="14">
        <f>F1116*SUMIFS(BD1091:BD1128,B1091:B1128,B1116-in_choti_months)*in_choti_renew*in_choti_ticket</f>
        <v/>
      </c>
      <c r="BF1116" s="40">
        <f>BF1115*(1-IF(B1115&gt;=in_marketplace_from,d_hz_nps*G1115,0))</f>
        <v/>
      </c>
      <c r="BG1116" s="14">
        <f>F1116*BF1116*IF(B1116&gt;=in_marketplace_from,d_hz_nps*G1116,0)*in_nps_ticket*in_nps_comm</f>
        <v/>
      </c>
      <c r="BH1116" s="40">
        <f>BH1115*(1-IF(B1115&gt;=in_marketplace_from,d_hz_gold*G1115,0))</f>
        <v/>
      </c>
      <c r="BI1116" s="40">
        <f>BI1115*d_rho_gold+BH1116*IF(B1116&gt;=in_marketplace_from,d_hz_gold*G1116,0)</f>
        <v/>
      </c>
      <c r="BJ1116" s="14">
        <f>F1116*BI1116*in_gold_ticket*in_gold_comm</f>
        <v/>
      </c>
      <c r="BK1116" s="40">
        <f>BK1115*(1-IF(B1115&gt;=in_marketplace_from,d_hz_fd*G1115,0))</f>
        <v/>
      </c>
      <c r="BL1116" s="14">
        <f>F1116*BK1116*IF(B1116&gt;=in_marketplace_from,d_hz_fd*G1116,0)*in_fd_ticket*in_fd_comm</f>
        <v/>
      </c>
      <c r="BM1116" s="40">
        <f>BM1115*(1-IF(B1115&gt;=in_marketplace_from,d_hz_recharge*G1115,0))</f>
        <v/>
      </c>
      <c r="BN1116" s="40">
        <f>BN1115*d_rho_recharge+BM1116*IF(B1116&gt;=in_marketplace_from,d_hz_recharge*G1116,0)</f>
        <v/>
      </c>
      <c r="BO1116" s="14">
        <f>F1116*BN1116*in_recharge_ticket*in_recharge_comm/12</f>
        <v/>
      </c>
      <c r="BP1116" s="40">
        <f>BP1115*(1-IF(B1115&gt;=in_marketplace_from,d_hz_bills*G1115,0))</f>
        <v/>
      </c>
      <c r="BQ1116" s="40">
        <f>BQ1115*d_rho_bills+BP1116*IF(B1116&gt;=in_marketplace_from,d_hz_bills*G1116,0)</f>
        <v/>
      </c>
      <c r="BR1116" s="14">
        <f>F1116*BQ1116*in_bills_ticket*in_bills_comm/12</f>
        <v/>
      </c>
      <c r="BS1116" s="40">
        <f>BS1115*(1-IF(B1115&gt;=in_marketplace_from,d_hz_loan_gold*G1115,0))</f>
        <v/>
      </c>
      <c r="BT1116" s="14">
        <f>F1116*BS1116*IF(B1116&gt;=in_marketplace_from,d_hz_loan_gold*G1116,0)*in_loan_gold_ticket*in_loan_gold_comm</f>
        <v/>
      </c>
      <c r="BU1116" s="40">
        <f>BU1115*(1-IF(B1115&gt;=in_marketplace_from,d_hz_loan_cd*G1115,0))</f>
        <v/>
      </c>
      <c r="BV1116" s="14">
        <f>F1116*BU1116*IF(B1116&gt;=in_marketplace_from,d_hz_loan_cd*G1116,0)*in_loan_cd_ticket*in_loan_cd_comm</f>
        <v/>
      </c>
      <c r="BW1116" s="40">
        <f>BW1115*(1-IF(B1115&gt;=in_marketplace_from,d_hz_loan_vehicle*G1115,0))</f>
        <v/>
      </c>
      <c r="BX1116" s="14">
        <f>F1116*BW1116*IF(B1116&gt;=in_marketplace_from,d_hz_loan_vehicle*G1116,0)*in_loan_vehicle_ticket*in_loan_vehicle_comm</f>
        <v/>
      </c>
      <c r="BY1116" s="40">
        <f>BY1115*(1-IF(B1115&gt;=in_marketplace_from,d_hz_loan_home*G1115,0)*BZ1115)</f>
        <v/>
      </c>
      <c r="BZ1116" s="11">
        <f>MIN(in_approval_cap,in_loan_home_approval*INDEX('Age profile'!$O$2:$O$61,B1116)*(1+in_approval_growth)^(D1116-1))</f>
        <v/>
      </c>
      <c r="CA1116" s="14">
        <f>F1116*BY1116*IF(B1116&gt;=in_marketplace_from,d_hz_loan_home*G1116,0)*BZ1116*in_loan_home_ticket*in_loan_home_comm</f>
        <v/>
      </c>
      <c r="CB1116" s="40">
        <f>CB1115*(1-IF(B1115&gt;=in_marketplace_from,d_hz_loan_lap*G1115,0)*CC1115)</f>
        <v/>
      </c>
      <c r="CC1116" s="11">
        <f>MIN(in_approval_cap,in_loan_lap_approval*INDEX('Age profile'!$O$2:$O$61,B1116)*(1+in_approval_growth)^(D1116-1))</f>
        <v/>
      </c>
      <c r="CD1116" s="14">
        <f>F1116*CB1116*IF(B1116&gt;=in_marketplace_from,d_hz_loan_lap*G1116,0)*CC1116*in_loan_lap_ticket*in_loan_lap_comm</f>
        <v/>
      </c>
      <c r="CE1116" s="14">
        <f>AA1116+AB1116+AC1116+AD1116+AG1116+AJ1116+AM1116+AP1116+AS1116+AU1116+AX1116+BB1116+BE1116+BG1116+BJ1116+BL1116+BO1116+BR1116+BT1116+BV1116+BX1116+CA1116+CD1116</f>
        <v/>
      </c>
    </row>
    <row r="1117">
      <c r="A1117" s="39" t="n">
        <v>23</v>
      </c>
      <c r="B1117" s="39" t="n">
        <v>27</v>
      </c>
      <c r="C1117" s="39">
        <f>A1117+B1117-1</f>
        <v/>
      </c>
      <c r="D1117" s="39">
        <f>INT((C1117-1)/12)+1</f>
        <v/>
      </c>
      <c r="E1117" s="44">
        <f>INDEX(Monthly!$B$2:$B$61,A1117)</f>
        <v/>
      </c>
      <c r="F1117" s="44">
        <f>E1117*INDEX('Age profile'!$B$2:$B$61,B1117)</f>
        <v/>
      </c>
      <c r="G1117" s="45">
        <f>MIN(in_takeup_cap,INDEX('Age profile'!$N$2:$N$61,B1117)*(1+in_takeup_growth)^(D1117-1))</f>
        <v/>
      </c>
      <c r="H1117" s="11">
        <f>MIN(in_approval_cap,in_approved_first*INDEX('Age profile'!$O$2:$O$61,B1117)*(1+in_approval_growth)^(D1117-1))</f>
        <v/>
      </c>
      <c r="I1117" s="45">
        <f>G1117*MIN(in_takeup_cap,INDEX('Age profile'!$O$2:$O$61,B1117)*(1+in_approval_growth)^(D1117-1))</f>
        <v/>
      </c>
      <c r="J1117" s="40">
        <f>(J1116-L1116)*F1117/F1116</f>
        <v/>
      </c>
      <c r="K1117" s="40">
        <f>(K1116-M1116)*F1117/F1116+SUMIFS(O1091:O1116,B1091:B1116,B1117-1-d_T)*F1117</f>
        <v/>
      </c>
      <c r="L1117" s="40">
        <f>IF(B1117&gt;=in_marketplace_from,J1117*d_hz*G1117*in_eligible*H1117,0)</f>
        <v/>
      </c>
      <c r="M1117" s="40">
        <f>IF(B1117&gt;=in_marketplace_from,K1117*d_hz*G1117*in_eligible*in_approved_repeat,0)</f>
        <v/>
      </c>
      <c r="N1117" s="40">
        <f>L1117+M1117</f>
        <v/>
      </c>
      <c r="O1117" s="46">
        <f>N1117/F1117</f>
        <v/>
      </c>
      <c r="P1117" s="40">
        <f>F1117-J1117-K1117</f>
        <v/>
      </c>
      <c r="Q1117" s="40">
        <f>IF(B1117&gt;=in_marketplace_from,(J1117+K1117)*d_hz*G1117,0)</f>
        <v/>
      </c>
      <c r="R1117" s="40">
        <f>SUMIFS(N1091:N1128,B1091:B1128,"&gt;="&amp;(B1117-d_T),B1091:B1128,"&lt;="&amp;(B1117-1))</f>
        <v/>
      </c>
      <c r="S1117" s="46">
        <f>(1-d_u)*S1116+IF(d_T&gt;in_topup_lag,SUMIFS(O1091:O1128,B1091:B1128,B1117-in_topup_lag)-d_udrop*SUMIFS(O1091:O1128,B1091:B1128,B1117-d_T),0)</f>
        <v/>
      </c>
      <c r="T1117" s="40">
        <f>F1117*d_u*S1117</f>
        <v/>
      </c>
      <c r="U1117" s="9">
        <f>L1117*in_ticket+M1117*d_rep_ticket</f>
        <v/>
      </c>
      <c r="V1117" s="9">
        <f>U1117+T1117*d_topup_amt</f>
        <v/>
      </c>
      <c r="W1117" s="40">
        <f>N1117+T1117*d_topup_ratio</f>
        <v/>
      </c>
      <c r="X1117" s="40">
        <f>SUMIFS(W1091:W1128,B1091:B1128,B1117-in_dpd_lag)*d_cured</f>
        <v/>
      </c>
      <c r="Y1117" s="40">
        <f>SUMIFS(W1091:W1128,B1091:B1128,B1117-in_rec_lag)*d_recd</f>
        <v/>
      </c>
      <c r="Z1117" s="40">
        <f>IF(AND(B1117&gt;=in_marketplace_from,B1117&lt;in_marketplace_from+in_card_months),in_card_share/in_card_months*F1117*I1117,IF(AND(B1117&gt;=in_marketplace_from+in_card_months,B1117&lt;in_marketplace_from+2*in_card_months),in_card_share*d_card_rem/in_card_months*F1117*MIN(in_takeup_cap,(1+in_takeup_growth)^(D1117-1))*MIN(in_takeup_cap,(1+in_approval_growth)^(D1117-1)),0))</f>
        <v/>
      </c>
      <c r="AA1117" s="14">
        <f>V1117*in_fee*(1-in_taken_back)</f>
        <v/>
      </c>
      <c r="AB1117" s="14">
        <f>SUMIFS(W1091:W1128,B1091:B1128,B1117-in_dpd_lag)*d_dpd</f>
        <v/>
      </c>
      <c r="AC1117" s="14">
        <f>SUMIFS(W1091:W1128,B1091:B1128,B1117-in_rec_lag)*d_rec</f>
        <v/>
      </c>
      <c r="AD1117" s="14">
        <f>Z1117*in_card_fee</f>
        <v/>
      </c>
      <c r="AE1117" s="40">
        <f>AE1116*(1-IF(B1116&gt;=in_marketplace_from,d_hz_hlth_small*G1116,0))</f>
        <v/>
      </c>
      <c r="AF1117" s="46">
        <f>AE1117*IF(B1117&gt;=in_marketplace_from,d_hz_hlth_small*G1117,0)</f>
        <v/>
      </c>
      <c r="AG1117" s="14">
        <f>F1117*AF1117*in_hlth_small_ticket*in_hlth_small_comm*in_ins_partner_share+F1117*in_hlth_small_ticket*in_hlth_small_renew_comm*in_ins_partner_share*(in_hlth_small_renew^1*SUMIFS(AF1091:AF1128,B1091:B1128,B1117-12)+in_hlth_small_renew^2*SUMIFS(AF1091:AF1128,B1091:B1128,B1117-24)+in_hlth_small_renew^3*SUMIFS(AF1091:AF1128,B1091:B1128,B1117-36)+in_hlth_small_renew^4*SUMIFS(AF1091:AF1128,B1091:B1128,B1117-48))</f>
        <v/>
      </c>
      <c r="AH1117" s="40">
        <f>AH1116*(1-IF(B1116&gt;=in_marketplace_from,d_hz_hlth_family*G1116,0))</f>
        <v/>
      </c>
      <c r="AI1117" s="46">
        <f>AH1117*IF(B1117&gt;=in_marketplace_from,d_hz_hlth_family*G1117,0)</f>
        <v/>
      </c>
      <c r="AJ1117" s="14">
        <f>F1117*AI1117*in_hlth_family_ticket*in_hlth_family_comm*in_ins_partner_share+F1117*in_hlth_family_ticket*in_hlth_family_renew_comm*in_ins_partner_share*(in_hlth_family_renew^1*SUMIFS(AI1091:AI1128,B1091:B1128,B1117-12)+in_hlth_family_renew^2*SUMIFS(AI1091:AI1128,B1091:B1128,B1117-24)+in_hlth_family_renew^3*SUMIFS(AI1091:AI1128,B1091:B1128,B1117-36)+in_hlth_family_renew^4*SUMIFS(AI1091:AI1128,B1091:B1128,B1117-48))</f>
        <v/>
      </c>
      <c r="AK1117" s="40">
        <f>AK1116*(1-IF(B1116&gt;=in_marketplace_from,d_hz_life_term*G1116,0))</f>
        <v/>
      </c>
      <c r="AL1117" s="46">
        <f>AK1117*IF(B1117&gt;=in_marketplace_from,d_hz_life_term*G1117,0)</f>
        <v/>
      </c>
      <c r="AM1117" s="14">
        <f>F1117*AL1117*in_life_term_ticket*in_life_term_comm*in_ins_partner_share+F1117*in_life_term_ticket*in_life_term_renew_comm*in_ins_partner_share*(in_life_term_renew^1*SUMIFS(AL1091:AL1128,B1091:B1128,B1117-12)+in_life_term_renew^2*SUMIFS(AL1091:AL1128,B1091:B1128,B1117-24)+in_life_term_renew^3*SUMIFS(AL1091:AL1128,B1091:B1128,B1117-36)+in_life_term_renew^4*SUMIFS(AL1091:AL1128,B1091:B1128,B1117-48))</f>
        <v/>
      </c>
      <c r="AN1117" s="40">
        <f>AN1116*(1-IF(B1116&gt;=in_marketplace_from,d_hz_accident*G1116,0))</f>
        <v/>
      </c>
      <c r="AO1117" s="46">
        <f>AN1117*IF(B1117&gt;=in_marketplace_from,d_hz_accident*G1117,0)</f>
        <v/>
      </c>
      <c r="AP1117" s="14">
        <f>F1117*AO1117*in_accident_ticket*in_accident_comm*in_ins_partner_share+F1117*in_accident_ticket*in_accident_renew_comm*in_ins_partner_share*(in_accident_renew^1*SUMIFS(AO1091:AO1128,B1091:B1128,B1117-12)+in_accident_renew^2*SUMIFS(AO1091:AO1128,B1091:B1128,B1117-24)+in_accident_renew^3*SUMIFS(AO1091:AO1128,B1091:B1128,B1117-36)+in_accident_renew^4*SUMIFS(AO1091:AO1128,B1091:B1128,B1117-48))</f>
        <v/>
      </c>
      <c r="AQ1117" s="40">
        <f>AQ1116*(1-IF(B1116&gt;=in_marketplace_from,d_hz_two_wheeler*G1116,0))</f>
        <v/>
      </c>
      <c r="AR1117" s="46">
        <f>AQ1117*IF(B1117&gt;=in_marketplace_from,d_hz_two_wheeler*G1117,0)</f>
        <v/>
      </c>
      <c r="AS1117" s="14">
        <f>F1117*AR1117*in_two_wheeler_ticket*in_two_wheeler_comm*in_ins_partner_share+F1117*in_two_wheeler_ticket*in_two_wheeler_comm*in_ins_partner_share*(in_two_wheeler_renew^1*SUMIFS(AR1091:AR1128,B1091:B1128,B1117-12)+in_two_wheeler_renew^2*SUMIFS(AR1091:AR1128,B1091:B1128,B1117-24)+in_two_wheeler_renew^3*SUMIFS(AR1091:AR1128,B1091:B1128,B1117-36)+in_two_wheeler_renew^4*SUMIFS(AR1091:AR1128,B1091:B1128,B1117-48))</f>
        <v/>
      </c>
      <c r="AT1117" s="40">
        <f>AT1116*(1-IF(B1116&gt;=in_marketplace_from,d_hz_device*G1116,0))</f>
        <v/>
      </c>
      <c r="AU1117" s="14">
        <f>F1117*AT1117*IF(B1117&gt;=in_marketplace_from,d_hz_device*G1117,0)*in_device_ticket*in_device_comm*in_ins_partner_share</f>
        <v/>
      </c>
      <c r="AV1117" s="40">
        <f>AV1116*(1-IF(B1116&gt;=in_marketplace_from,d_hz_shop*G1116,0))</f>
        <v/>
      </c>
      <c r="AW1117" s="46">
        <f>AV1117*IF(B1117&gt;=in_marketplace_from,d_hz_shop*G1117,0)</f>
        <v/>
      </c>
      <c r="AX1117" s="14">
        <f>F1117*AW1117*in_shop_ticket*in_shop_comm*in_ins_partner_share+F1117*in_shop_ticket*in_shop_renew_comm*in_ins_partner_share*(in_shop_renew^1*SUMIFS(AW1091:AW1128,B1091:B1128,B1117-12)+in_shop_renew^2*SUMIFS(AW1091:AW1128,B1091:B1128,B1117-24)+in_shop_renew^3*SUMIFS(AW1091:AW1128,B1091:B1128,B1117-36)+in_shop_renew^4*SUMIFS(AW1091:AW1128,B1091:B1128,B1117-48))</f>
        <v/>
      </c>
      <c r="AY1117" s="40">
        <f>AY1116*(1-IF(B1116&gt;=in_marketplace_from,d_hz_sip*G1116,0))</f>
        <v/>
      </c>
      <c r="AZ1117" s="40">
        <f>AZ1116*d_rho_sip+AY1117*IF(B1117&gt;=in_marketplace_from,d_hz_sip*G1117,0)</f>
        <v/>
      </c>
      <c r="BA1117" s="40">
        <f>d_rho_sip*(BA1116+AZ1116)</f>
        <v/>
      </c>
      <c r="BB1117" s="14">
        <f>F1117*in_sip_ticket*(BA1117+0.5*AZ1117)*in_sip_comm/12</f>
        <v/>
      </c>
      <c r="BC1117" s="40">
        <f>BC1116*(1-IF(B1116&gt;=in_marketplace_from,d_hz_choti*G1116,0))</f>
        <v/>
      </c>
      <c r="BD1117" s="46">
        <f>BC1117*IF(B1117&gt;=in_marketplace_from,d_hz_choti*G1117,0)</f>
        <v/>
      </c>
      <c r="BE1117" s="14">
        <f>F1117*SUMIFS(BD1091:BD1128,B1091:B1128,B1117-in_choti_months)*in_choti_renew*in_choti_ticket</f>
        <v/>
      </c>
      <c r="BF1117" s="40">
        <f>BF1116*(1-IF(B1116&gt;=in_marketplace_from,d_hz_nps*G1116,0))</f>
        <v/>
      </c>
      <c r="BG1117" s="14">
        <f>F1117*BF1117*IF(B1117&gt;=in_marketplace_from,d_hz_nps*G1117,0)*in_nps_ticket*in_nps_comm</f>
        <v/>
      </c>
      <c r="BH1117" s="40">
        <f>BH1116*(1-IF(B1116&gt;=in_marketplace_from,d_hz_gold*G1116,0))</f>
        <v/>
      </c>
      <c r="BI1117" s="40">
        <f>BI1116*d_rho_gold+BH1117*IF(B1117&gt;=in_marketplace_from,d_hz_gold*G1117,0)</f>
        <v/>
      </c>
      <c r="BJ1117" s="14">
        <f>F1117*BI1117*in_gold_ticket*in_gold_comm</f>
        <v/>
      </c>
      <c r="BK1117" s="40">
        <f>BK1116*(1-IF(B1116&gt;=in_marketplace_from,d_hz_fd*G1116,0))</f>
        <v/>
      </c>
      <c r="BL1117" s="14">
        <f>F1117*BK1117*IF(B1117&gt;=in_marketplace_from,d_hz_fd*G1117,0)*in_fd_ticket*in_fd_comm</f>
        <v/>
      </c>
      <c r="BM1117" s="40">
        <f>BM1116*(1-IF(B1116&gt;=in_marketplace_from,d_hz_recharge*G1116,0))</f>
        <v/>
      </c>
      <c r="BN1117" s="40">
        <f>BN1116*d_rho_recharge+BM1117*IF(B1117&gt;=in_marketplace_from,d_hz_recharge*G1117,0)</f>
        <v/>
      </c>
      <c r="BO1117" s="14">
        <f>F1117*BN1117*in_recharge_ticket*in_recharge_comm/12</f>
        <v/>
      </c>
      <c r="BP1117" s="40">
        <f>BP1116*(1-IF(B1116&gt;=in_marketplace_from,d_hz_bills*G1116,0))</f>
        <v/>
      </c>
      <c r="BQ1117" s="40">
        <f>BQ1116*d_rho_bills+BP1117*IF(B1117&gt;=in_marketplace_from,d_hz_bills*G1117,0)</f>
        <v/>
      </c>
      <c r="BR1117" s="14">
        <f>F1117*BQ1117*in_bills_ticket*in_bills_comm/12</f>
        <v/>
      </c>
      <c r="BS1117" s="40">
        <f>BS1116*(1-IF(B1116&gt;=in_marketplace_from,d_hz_loan_gold*G1116,0))</f>
        <v/>
      </c>
      <c r="BT1117" s="14">
        <f>F1117*BS1117*IF(B1117&gt;=in_marketplace_from,d_hz_loan_gold*G1117,0)*in_loan_gold_ticket*in_loan_gold_comm</f>
        <v/>
      </c>
      <c r="BU1117" s="40">
        <f>BU1116*(1-IF(B1116&gt;=in_marketplace_from,d_hz_loan_cd*G1116,0))</f>
        <v/>
      </c>
      <c r="BV1117" s="14">
        <f>F1117*BU1117*IF(B1117&gt;=in_marketplace_from,d_hz_loan_cd*G1117,0)*in_loan_cd_ticket*in_loan_cd_comm</f>
        <v/>
      </c>
      <c r="BW1117" s="40">
        <f>BW1116*(1-IF(B1116&gt;=in_marketplace_from,d_hz_loan_vehicle*G1116,0))</f>
        <v/>
      </c>
      <c r="BX1117" s="14">
        <f>F1117*BW1117*IF(B1117&gt;=in_marketplace_from,d_hz_loan_vehicle*G1117,0)*in_loan_vehicle_ticket*in_loan_vehicle_comm</f>
        <v/>
      </c>
      <c r="BY1117" s="40">
        <f>BY1116*(1-IF(B1116&gt;=in_marketplace_from,d_hz_loan_home*G1116,0)*BZ1116)</f>
        <v/>
      </c>
      <c r="BZ1117" s="11">
        <f>MIN(in_approval_cap,in_loan_home_approval*INDEX('Age profile'!$O$2:$O$61,B1117)*(1+in_approval_growth)^(D1117-1))</f>
        <v/>
      </c>
      <c r="CA1117" s="14">
        <f>F1117*BY1117*IF(B1117&gt;=in_marketplace_from,d_hz_loan_home*G1117,0)*BZ1117*in_loan_home_ticket*in_loan_home_comm</f>
        <v/>
      </c>
      <c r="CB1117" s="40">
        <f>CB1116*(1-IF(B1116&gt;=in_marketplace_from,d_hz_loan_lap*G1116,0)*CC1116)</f>
        <v/>
      </c>
      <c r="CC1117" s="11">
        <f>MIN(in_approval_cap,in_loan_lap_approval*INDEX('Age profile'!$O$2:$O$61,B1117)*(1+in_approval_growth)^(D1117-1))</f>
        <v/>
      </c>
      <c r="CD1117" s="14">
        <f>F1117*CB1117*IF(B1117&gt;=in_marketplace_from,d_hz_loan_lap*G1117,0)*CC1117*in_loan_lap_ticket*in_loan_lap_comm</f>
        <v/>
      </c>
      <c r="CE1117" s="14">
        <f>AA1117+AB1117+AC1117+AD1117+AG1117+AJ1117+AM1117+AP1117+AS1117+AU1117+AX1117+BB1117+BE1117+BG1117+BJ1117+BL1117+BO1117+BR1117+BT1117+BV1117+BX1117+CA1117+CD1117</f>
        <v/>
      </c>
    </row>
    <row r="1118">
      <c r="A1118" s="39" t="n">
        <v>23</v>
      </c>
      <c r="B1118" s="39" t="n">
        <v>28</v>
      </c>
      <c r="C1118" s="39">
        <f>A1118+B1118-1</f>
        <v/>
      </c>
      <c r="D1118" s="39">
        <f>INT((C1118-1)/12)+1</f>
        <v/>
      </c>
      <c r="E1118" s="44">
        <f>INDEX(Monthly!$B$2:$B$61,A1118)</f>
        <v/>
      </c>
      <c r="F1118" s="44">
        <f>E1118*INDEX('Age profile'!$B$2:$B$61,B1118)</f>
        <v/>
      </c>
      <c r="G1118" s="45">
        <f>MIN(in_takeup_cap,INDEX('Age profile'!$N$2:$N$61,B1118)*(1+in_takeup_growth)^(D1118-1))</f>
        <v/>
      </c>
      <c r="H1118" s="11">
        <f>MIN(in_approval_cap,in_approved_first*INDEX('Age profile'!$O$2:$O$61,B1118)*(1+in_approval_growth)^(D1118-1))</f>
        <v/>
      </c>
      <c r="I1118" s="45">
        <f>G1118*MIN(in_takeup_cap,INDEX('Age profile'!$O$2:$O$61,B1118)*(1+in_approval_growth)^(D1118-1))</f>
        <v/>
      </c>
      <c r="J1118" s="40">
        <f>(J1117-L1117)*F1118/F1117</f>
        <v/>
      </c>
      <c r="K1118" s="40">
        <f>(K1117-M1117)*F1118/F1117+SUMIFS(O1091:O1117,B1091:B1117,B1118-1-d_T)*F1118</f>
        <v/>
      </c>
      <c r="L1118" s="40">
        <f>IF(B1118&gt;=in_marketplace_from,J1118*d_hz*G1118*in_eligible*H1118,0)</f>
        <v/>
      </c>
      <c r="M1118" s="40">
        <f>IF(B1118&gt;=in_marketplace_from,K1118*d_hz*G1118*in_eligible*in_approved_repeat,0)</f>
        <v/>
      </c>
      <c r="N1118" s="40">
        <f>L1118+M1118</f>
        <v/>
      </c>
      <c r="O1118" s="46">
        <f>N1118/F1118</f>
        <v/>
      </c>
      <c r="P1118" s="40">
        <f>F1118-J1118-K1118</f>
        <v/>
      </c>
      <c r="Q1118" s="40">
        <f>IF(B1118&gt;=in_marketplace_from,(J1118+K1118)*d_hz*G1118,0)</f>
        <v/>
      </c>
      <c r="R1118" s="40">
        <f>SUMIFS(N1091:N1128,B1091:B1128,"&gt;="&amp;(B1118-d_T),B1091:B1128,"&lt;="&amp;(B1118-1))</f>
        <v/>
      </c>
      <c r="S1118" s="46">
        <f>(1-d_u)*S1117+IF(d_T&gt;in_topup_lag,SUMIFS(O1091:O1128,B1091:B1128,B1118-in_topup_lag)-d_udrop*SUMIFS(O1091:O1128,B1091:B1128,B1118-d_T),0)</f>
        <v/>
      </c>
      <c r="T1118" s="40">
        <f>F1118*d_u*S1118</f>
        <v/>
      </c>
      <c r="U1118" s="9">
        <f>L1118*in_ticket+M1118*d_rep_ticket</f>
        <v/>
      </c>
      <c r="V1118" s="9">
        <f>U1118+T1118*d_topup_amt</f>
        <v/>
      </c>
      <c r="W1118" s="40">
        <f>N1118+T1118*d_topup_ratio</f>
        <v/>
      </c>
      <c r="X1118" s="40">
        <f>SUMIFS(W1091:W1128,B1091:B1128,B1118-in_dpd_lag)*d_cured</f>
        <v/>
      </c>
      <c r="Y1118" s="40">
        <f>SUMIFS(W1091:W1128,B1091:B1128,B1118-in_rec_lag)*d_recd</f>
        <v/>
      </c>
      <c r="Z1118" s="40">
        <f>IF(AND(B1118&gt;=in_marketplace_from,B1118&lt;in_marketplace_from+in_card_months),in_card_share/in_card_months*F1118*I1118,IF(AND(B1118&gt;=in_marketplace_from+in_card_months,B1118&lt;in_marketplace_from+2*in_card_months),in_card_share*d_card_rem/in_card_months*F1118*MIN(in_takeup_cap,(1+in_takeup_growth)^(D1118-1))*MIN(in_takeup_cap,(1+in_approval_growth)^(D1118-1)),0))</f>
        <v/>
      </c>
      <c r="AA1118" s="14">
        <f>V1118*in_fee*(1-in_taken_back)</f>
        <v/>
      </c>
      <c r="AB1118" s="14">
        <f>SUMIFS(W1091:W1128,B1091:B1128,B1118-in_dpd_lag)*d_dpd</f>
        <v/>
      </c>
      <c r="AC1118" s="14">
        <f>SUMIFS(W1091:W1128,B1091:B1128,B1118-in_rec_lag)*d_rec</f>
        <v/>
      </c>
      <c r="AD1118" s="14">
        <f>Z1118*in_card_fee</f>
        <v/>
      </c>
      <c r="AE1118" s="40">
        <f>AE1117*(1-IF(B1117&gt;=in_marketplace_from,d_hz_hlth_small*G1117,0))</f>
        <v/>
      </c>
      <c r="AF1118" s="46">
        <f>AE1118*IF(B1118&gt;=in_marketplace_from,d_hz_hlth_small*G1118,0)</f>
        <v/>
      </c>
      <c r="AG1118" s="14">
        <f>F1118*AF1118*in_hlth_small_ticket*in_hlth_small_comm*in_ins_partner_share+F1118*in_hlth_small_ticket*in_hlth_small_renew_comm*in_ins_partner_share*(in_hlth_small_renew^1*SUMIFS(AF1091:AF1128,B1091:B1128,B1118-12)+in_hlth_small_renew^2*SUMIFS(AF1091:AF1128,B1091:B1128,B1118-24)+in_hlth_small_renew^3*SUMIFS(AF1091:AF1128,B1091:B1128,B1118-36)+in_hlth_small_renew^4*SUMIFS(AF1091:AF1128,B1091:B1128,B1118-48))</f>
        <v/>
      </c>
      <c r="AH1118" s="40">
        <f>AH1117*(1-IF(B1117&gt;=in_marketplace_from,d_hz_hlth_family*G1117,0))</f>
        <v/>
      </c>
      <c r="AI1118" s="46">
        <f>AH1118*IF(B1118&gt;=in_marketplace_from,d_hz_hlth_family*G1118,0)</f>
        <v/>
      </c>
      <c r="AJ1118" s="14">
        <f>F1118*AI1118*in_hlth_family_ticket*in_hlth_family_comm*in_ins_partner_share+F1118*in_hlth_family_ticket*in_hlth_family_renew_comm*in_ins_partner_share*(in_hlth_family_renew^1*SUMIFS(AI1091:AI1128,B1091:B1128,B1118-12)+in_hlth_family_renew^2*SUMIFS(AI1091:AI1128,B1091:B1128,B1118-24)+in_hlth_family_renew^3*SUMIFS(AI1091:AI1128,B1091:B1128,B1118-36)+in_hlth_family_renew^4*SUMIFS(AI1091:AI1128,B1091:B1128,B1118-48))</f>
        <v/>
      </c>
      <c r="AK1118" s="40">
        <f>AK1117*(1-IF(B1117&gt;=in_marketplace_from,d_hz_life_term*G1117,0))</f>
        <v/>
      </c>
      <c r="AL1118" s="46">
        <f>AK1118*IF(B1118&gt;=in_marketplace_from,d_hz_life_term*G1118,0)</f>
        <v/>
      </c>
      <c r="AM1118" s="14">
        <f>F1118*AL1118*in_life_term_ticket*in_life_term_comm*in_ins_partner_share+F1118*in_life_term_ticket*in_life_term_renew_comm*in_ins_partner_share*(in_life_term_renew^1*SUMIFS(AL1091:AL1128,B1091:B1128,B1118-12)+in_life_term_renew^2*SUMIFS(AL1091:AL1128,B1091:B1128,B1118-24)+in_life_term_renew^3*SUMIFS(AL1091:AL1128,B1091:B1128,B1118-36)+in_life_term_renew^4*SUMIFS(AL1091:AL1128,B1091:B1128,B1118-48))</f>
        <v/>
      </c>
      <c r="AN1118" s="40">
        <f>AN1117*(1-IF(B1117&gt;=in_marketplace_from,d_hz_accident*G1117,0))</f>
        <v/>
      </c>
      <c r="AO1118" s="46">
        <f>AN1118*IF(B1118&gt;=in_marketplace_from,d_hz_accident*G1118,0)</f>
        <v/>
      </c>
      <c r="AP1118" s="14">
        <f>F1118*AO1118*in_accident_ticket*in_accident_comm*in_ins_partner_share+F1118*in_accident_ticket*in_accident_renew_comm*in_ins_partner_share*(in_accident_renew^1*SUMIFS(AO1091:AO1128,B1091:B1128,B1118-12)+in_accident_renew^2*SUMIFS(AO1091:AO1128,B1091:B1128,B1118-24)+in_accident_renew^3*SUMIFS(AO1091:AO1128,B1091:B1128,B1118-36)+in_accident_renew^4*SUMIFS(AO1091:AO1128,B1091:B1128,B1118-48))</f>
        <v/>
      </c>
      <c r="AQ1118" s="40">
        <f>AQ1117*(1-IF(B1117&gt;=in_marketplace_from,d_hz_two_wheeler*G1117,0))</f>
        <v/>
      </c>
      <c r="AR1118" s="46">
        <f>AQ1118*IF(B1118&gt;=in_marketplace_from,d_hz_two_wheeler*G1118,0)</f>
        <v/>
      </c>
      <c r="AS1118" s="14">
        <f>F1118*AR1118*in_two_wheeler_ticket*in_two_wheeler_comm*in_ins_partner_share+F1118*in_two_wheeler_ticket*in_two_wheeler_comm*in_ins_partner_share*(in_two_wheeler_renew^1*SUMIFS(AR1091:AR1128,B1091:B1128,B1118-12)+in_two_wheeler_renew^2*SUMIFS(AR1091:AR1128,B1091:B1128,B1118-24)+in_two_wheeler_renew^3*SUMIFS(AR1091:AR1128,B1091:B1128,B1118-36)+in_two_wheeler_renew^4*SUMIFS(AR1091:AR1128,B1091:B1128,B1118-48))</f>
        <v/>
      </c>
      <c r="AT1118" s="40">
        <f>AT1117*(1-IF(B1117&gt;=in_marketplace_from,d_hz_device*G1117,0))</f>
        <v/>
      </c>
      <c r="AU1118" s="14">
        <f>F1118*AT1118*IF(B1118&gt;=in_marketplace_from,d_hz_device*G1118,0)*in_device_ticket*in_device_comm*in_ins_partner_share</f>
        <v/>
      </c>
      <c r="AV1118" s="40">
        <f>AV1117*(1-IF(B1117&gt;=in_marketplace_from,d_hz_shop*G1117,0))</f>
        <v/>
      </c>
      <c r="AW1118" s="46">
        <f>AV1118*IF(B1118&gt;=in_marketplace_from,d_hz_shop*G1118,0)</f>
        <v/>
      </c>
      <c r="AX1118" s="14">
        <f>F1118*AW1118*in_shop_ticket*in_shop_comm*in_ins_partner_share+F1118*in_shop_ticket*in_shop_renew_comm*in_ins_partner_share*(in_shop_renew^1*SUMIFS(AW1091:AW1128,B1091:B1128,B1118-12)+in_shop_renew^2*SUMIFS(AW1091:AW1128,B1091:B1128,B1118-24)+in_shop_renew^3*SUMIFS(AW1091:AW1128,B1091:B1128,B1118-36)+in_shop_renew^4*SUMIFS(AW1091:AW1128,B1091:B1128,B1118-48))</f>
        <v/>
      </c>
      <c r="AY1118" s="40">
        <f>AY1117*(1-IF(B1117&gt;=in_marketplace_from,d_hz_sip*G1117,0))</f>
        <v/>
      </c>
      <c r="AZ1118" s="40">
        <f>AZ1117*d_rho_sip+AY1118*IF(B1118&gt;=in_marketplace_from,d_hz_sip*G1118,0)</f>
        <v/>
      </c>
      <c r="BA1118" s="40">
        <f>d_rho_sip*(BA1117+AZ1117)</f>
        <v/>
      </c>
      <c r="BB1118" s="14">
        <f>F1118*in_sip_ticket*(BA1118+0.5*AZ1118)*in_sip_comm/12</f>
        <v/>
      </c>
      <c r="BC1118" s="40">
        <f>BC1117*(1-IF(B1117&gt;=in_marketplace_from,d_hz_choti*G1117,0))</f>
        <v/>
      </c>
      <c r="BD1118" s="46">
        <f>BC1118*IF(B1118&gt;=in_marketplace_from,d_hz_choti*G1118,0)</f>
        <v/>
      </c>
      <c r="BE1118" s="14">
        <f>F1118*SUMIFS(BD1091:BD1128,B1091:B1128,B1118-in_choti_months)*in_choti_renew*in_choti_ticket</f>
        <v/>
      </c>
      <c r="BF1118" s="40">
        <f>BF1117*(1-IF(B1117&gt;=in_marketplace_from,d_hz_nps*G1117,0))</f>
        <v/>
      </c>
      <c r="BG1118" s="14">
        <f>F1118*BF1118*IF(B1118&gt;=in_marketplace_from,d_hz_nps*G1118,0)*in_nps_ticket*in_nps_comm</f>
        <v/>
      </c>
      <c r="BH1118" s="40">
        <f>BH1117*(1-IF(B1117&gt;=in_marketplace_from,d_hz_gold*G1117,0))</f>
        <v/>
      </c>
      <c r="BI1118" s="40">
        <f>BI1117*d_rho_gold+BH1118*IF(B1118&gt;=in_marketplace_from,d_hz_gold*G1118,0)</f>
        <v/>
      </c>
      <c r="BJ1118" s="14">
        <f>F1118*BI1118*in_gold_ticket*in_gold_comm</f>
        <v/>
      </c>
      <c r="BK1118" s="40">
        <f>BK1117*(1-IF(B1117&gt;=in_marketplace_from,d_hz_fd*G1117,0))</f>
        <v/>
      </c>
      <c r="BL1118" s="14">
        <f>F1118*BK1118*IF(B1118&gt;=in_marketplace_from,d_hz_fd*G1118,0)*in_fd_ticket*in_fd_comm</f>
        <v/>
      </c>
      <c r="BM1118" s="40">
        <f>BM1117*(1-IF(B1117&gt;=in_marketplace_from,d_hz_recharge*G1117,0))</f>
        <v/>
      </c>
      <c r="BN1118" s="40">
        <f>BN1117*d_rho_recharge+BM1118*IF(B1118&gt;=in_marketplace_from,d_hz_recharge*G1118,0)</f>
        <v/>
      </c>
      <c r="BO1118" s="14">
        <f>F1118*BN1118*in_recharge_ticket*in_recharge_comm/12</f>
        <v/>
      </c>
      <c r="BP1118" s="40">
        <f>BP1117*(1-IF(B1117&gt;=in_marketplace_from,d_hz_bills*G1117,0))</f>
        <v/>
      </c>
      <c r="BQ1118" s="40">
        <f>BQ1117*d_rho_bills+BP1118*IF(B1118&gt;=in_marketplace_from,d_hz_bills*G1118,0)</f>
        <v/>
      </c>
      <c r="BR1118" s="14">
        <f>F1118*BQ1118*in_bills_ticket*in_bills_comm/12</f>
        <v/>
      </c>
      <c r="BS1118" s="40">
        <f>BS1117*(1-IF(B1117&gt;=in_marketplace_from,d_hz_loan_gold*G1117,0))</f>
        <v/>
      </c>
      <c r="BT1118" s="14">
        <f>F1118*BS1118*IF(B1118&gt;=in_marketplace_from,d_hz_loan_gold*G1118,0)*in_loan_gold_ticket*in_loan_gold_comm</f>
        <v/>
      </c>
      <c r="BU1118" s="40">
        <f>BU1117*(1-IF(B1117&gt;=in_marketplace_from,d_hz_loan_cd*G1117,0))</f>
        <v/>
      </c>
      <c r="BV1118" s="14">
        <f>F1118*BU1118*IF(B1118&gt;=in_marketplace_from,d_hz_loan_cd*G1118,0)*in_loan_cd_ticket*in_loan_cd_comm</f>
        <v/>
      </c>
      <c r="BW1118" s="40">
        <f>BW1117*(1-IF(B1117&gt;=in_marketplace_from,d_hz_loan_vehicle*G1117,0))</f>
        <v/>
      </c>
      <c r="BX1118" s="14">
        <f>F1118*BW1118*IF(B1118&gt;=in_marketplace_from,d_hz_loan_vehicle*G1118,0)*in_loan_vehicle_ticket*in_loan_vehicle_comm</f>
        <v/>
      </c>
      <c r="BY1118" s="40">
        <f>BY1117*(1-IF(B1117&gt;=in_marketplace_from,d_hz_loan_home*G1117,0)*BZ1117)</f>
        <v/>
      </c>
      <c r="BZ1118" s="11">
        <f>MIN(in_approval_cap,in_loan_home_approval*INDEX('Age profile'!$O$2:$O$61,B1118)*(1+in_approval_growth)^(D1118-1))</f>
        <v/>
      </c>
      <c r="CA1118" s="14">
        <f>F1118*BY1118*IF(B1118&gt;=in_marketplace_from,d_hz_loan_home*G1118,0)*BZ1118*in_loan_home_ticket*in_loan_home_comm</f>
        <v/>
      </c>
      <c r="CB1118" s="40">
        <f>CB1117*(1-IF(B1117&gt;=in_marketplace_from,d_hz_loan_lap*G1117,0)*CC1117)</f>
        <v/>
      </c>
      <c r="CC1118" s="11">
        <f>MIN(in_approval_cap,in_loan_lap_approval*INDEX('Age profile'!$O$2:$O$61,B1118)*(1+in_approval_growth)^(D1118-1))</f>
        <v/>
      </c>
      <c r="CD1118" s="14">
        <f>F1118*CB1118*IF(B1118&gt;=in_marketplace_from,d_hz_loan_lap*G1118,0)*CC1118*in_loan_lap_ticket*in_loan_lap_comm</f>
        <v/>
      </c>
      <c r="CE1118" s="14">
        <f>AA1118+AB1118+AC1118+AD1118+AG1118+AJ1118+AM1118+AP1118+AS1118+AU1118+AX1118+BB1118+BE1118+BG1118+BJ1118+BL1118+BO1118+BR1118+BT1118+BV1118+BX1118+CA1118+CD1118</f>
        <v/>
      </c>
    </row>
    <row r="1119">
      <c r="A1119" s="39" t="n">
        <v>23</v>
      </c>
      <c r="B1119" s="39" t="n">
        <v>29</v>
      </c>
      <c r="C1119" s="39">
        <f>A1119+B1119-1</f>
        <v/>
      </c>
      <c r="D1119" s="39">
        <f>INT((C1119-1)/12)+1</f>
        <v/>
      </c>
      <c r="E1119" s="44">
        <f>INDEX(Monthly!$B$2:$B$61,A1119)</f>
        <v/>
      </c>
      <c r="F1119" s="44">
        <f>E1119*INDEX('Age profile'!$B$2:$B$61,B1119)</f>
        <v/>
      </c>
      <c r="G1119" s="45">
        <f>MIN(in_takeup_cap,INDEX('Age profile'!$N$2:$N$61,B1119)*(1+in_takeup_growth)^(D1119-1))</f>
        <v/>
      </c>
      <c r="H1119" s="11">
        <f>MIN(in_approval_cap,in_approved_first*INDEX('Age profile'!$O$2:$O$61,B1119)*(1+in_approval_growth)^(D1119-1))</f>
        <v/>
      </c>
      <c r="I1119" s="45">
        <f>G1119*MIN(in_takeup_cap,INDEX('Age profile'!$O$2:$O$61,B1119)*(1+in_approval_growth)^(D1119-1))</f>
        <v/>
      </c>
      <c r="J1119" s="40">
        <f>(J1118-L1118)*F1119/F1118</f>
        <v/>
      </c>
      <c r="K1119" s="40">
        <f>(K1118-M1118)*F1119/F1118+SUMIFS(O1091:O1118,B1091:B1118,B1119-1-d_T)*F1119</f>
        <v/>
      </c>
      <c r="L1119" s="40">
        <f>IF(B1119&gt;=in_marketplace_from,J1119*d_hz*G1119*in_eligible*H1119,0)</f>
        <v/>
      </c>
      <c r="M1119" s="40">
        <f>IF(B1119&gt;=in_marketplace_from,K1119*d_hz*G1119*in_eligible*in_approved_repeat,0)</f>
        <v/>
      </c>
      <c r="N1119" s="40">
        <f>L1119+M1119</f>
        <v/>
      </c>
      <c r="O1119" s="46">
        <f>N1119/F1119</f>
        <v/>
      </c>
      <c r="P1119" s="40">
        <f>F1119-J1119-K1119</f>
        <v/>
      </c>
      <c r="Q1119" s="40">
        <f>IF(B1119&gt;=in_marketplace_from,(J1119+K1119)*d_hz*G1119,0)</f>
        <v/>
      </c>
      <c r="R1119" s="40">
        <f>SUMIFS(N1091:N1128,B1091:B1128,"&gt;="&amp;(B1119-d_T),B1091:B1128,"&lt;="&amp;(B1119-1))</f>
        <v/>
      </c>
      <c r="S1119" s="46">
        <f>(1-d_u)*S1118+IF(d_T&gt;in_topup_lag,SUMIFS(O1091:O1128,B1091:B1128,B1119-in_topup_lag)-d_udrop*SUMIFS(O1091:O1128,B1091:B1128,B1119-d_T),0)</f>
        <v/>
      </c>
      <c r="T1119" s="40">
        <f>F1119*d_u*S1119</f>
        <v/>
      </c>
      <c r="U1119" s="9">
        <f>L1119*in_ticket+M1119*d_rep_ticket</f>
        <v/>
      </c>
      <c r="V1119" s="9">
        <f>U1119+T1119*d_topup_amt</f>
        <v/>
      </c>
      <c r="W1119" s="40">
        <f>N1119+T1119*d_topup_ratio</f>
        <v/>
      </c>
      <c r="X1119" s="40">
        <f>SUMIFS(W1091:W1128,B1091:B1128,B1119-in_dpd_lag)*d_cured</f>
        <v/>
      </c>
      <c r="Y1119" s="40">
        <f>SUMIFS(W1091:W1128,B1091:B1128,B1119-in_rec_lag)*d_recd</f>
        <v/>
      </c>
      <c r="Z1119" s="40">
        <f>IF(AND(B1119&gt;=in_marketplace_from,B1119&lt;in_marketplace_from+in_card_months),in_card_share/in_card_months*F1119*I1119,IF(AND(B1119&gt;=in_marketplace_from+in_card_months,B1119&lt;in_marketplace_from+2*in_card_months),in_card_share*d_card_rem/in_card_months*F1119*MIN(in_takeup_cap,(1+in_takeup_growth)^(D1119-1))*MIN(in_takeup_cap,(1+in_approval_growth)^(D1119-1)),0))</f>
        <v/>
      </c>
      <c r="AA1119" s="14">
        <f>V1119*in_fee*(1-in_taken_back)</f>
        <v/>
      </c>
      <c r="AB1119" s="14">
        <f>SUMIFS(W1091:W1128,B1091:B1128,B1119-in_dpd_lag)*d_dpd</f>
        <v/>
      </c>
      <c r="AC1119" s="14">
        <f>SUMIFS(W1091:W1128,B1091:B1128,B1119-in_rec_lag)*d_rec</f>
        <v/>
      </c>
      <c r="AD1119" s="14">
        <f>Z1119*in_card_fee</f>
        <v/>
      </c>
      <c r="AE1119" s="40">
        <f>AE1118*(1-IF(B1118&gt;=in_marketplace_from,d_hz_hlth_small*G1118,0))</f>
        <v/>
      </c>
      <c r="AF1119" s="46">
        <f>AE1119*IF(B1119&gt;=in_marketplace_from,d_hz_hlth_small*G1119,0)</f>
        <v/>
      </c>
      <c r="AG1119" s="14">
        <f>F1119*AF1119*in_hlth_small_ticket*in_hlth_small_comm*in_ins_partner_share+F1119*in_hlth_small_ticket*in_hlth_small_renew_comm*in_ins_partner_share*(in_hlth_small_renew^1*SUMIFS(AF1091:AF1128,B1091:B1128,B1119-12)+in_hlth_small_renew^2*SUMIFS(AF1091:AF1128,B1091:B1128,B1119-24)+in_hlth_small_renew^3*SUMIFS(AF1091:AF1128,B1091:B1128,B1119-36)+in_hlth_small_renew^4*SUMIFS(AF1091:AF1128,B1091:B1128,B1119-48))</f>
        <v/>
      </c>
      <c r="AH1119" s="40">
        <f>AH1118*(1-IF(B1118&gt;=in_marketplace_from,d_hz_hlth_family*G1118,0))</f>
        <v/>
      </c>
      <c r="AI1119" s="46">
        <f>AH1119*IF(B1119&gt;=in_marketplace_from,d_hz_hlth_family*G1119,0)</f>
        <v/>
      </c>
      <c r="AJ1119" s="14">
        <f>F1119*AI1119*in_hlth_family_ticket*in_hlth_family_comm*in_ins_partner_share+F1119*in_hlth_family_ticket*in_hlth_family_renew_comm*in_ins_partner_share*(in_hlth_family_renew^1*SUMIFS(AI1091:AI1128,B1091:B1128,B1119-12)+in_hlth_family_renew^2*SUMIFS(AI1091:AI1128,B1091:B1128,B1119-24)+in_hlth_family_renew^3*SUMIFS(AI1091:AI1128,B1091:B1128,B1119-36)+in_hlth_family_renew^4*SUMIFS(AI1091:AI1128,B1091:B1128,B1119-48))</f>
        <v/>
      </c>
      <c r="AK1119" s="40">
        <f>AK1118*(1-IF(B1118&gt;=in_marketplace_from,d_hz_life_term*G1118,0))</f>
        <v/>
      </c>
      <c r="AL1119" s="46">
        <f>AK1119*IF(B1119&gt;=in_marketplace_from,d_hz_life_term*G1119,0)</f>
        <v/>
      </c>
      <c r="AM1119" s="14">
        <f>F1119*AL1119*in_life_term_ticket*in_life_term_comm*in_ins_partner_share+F1119*in_life_term_ticket*in_life_term_renew_comm*in_ins_partner_share*(in_life_term_renew^1*SUMIFS(AL1091:AL1128,B1091:B1128,B1119-12)+in_life_term_renew^2*SUMIFS(AL1091:AL1128,B1091:B1128,B1119-24)+in_life_term_renew^3*SUMIFS(AL1091:AL1128,B1091:B1128,B1119-36)+in_life_term_renew^4*SUMIFS(AL1091:AL1128,B1091:B1128,B1119-48))</f>
        <v/>
      </c>
      <c r="AN1119" s="40">
        <f>AN1118*(1-IF(B1118&gt;=in_marketplace_from,d_hz_accident*G1118,0))</f>
        <v/>
      </c>
      <c r="AO1119" s="46">
        <f>AN1119*IF(B1119&gt;=in_marketplace_from,d_hz_accident*G1119,0)</f>
        <v/>
      </c>
      <c r="AP1119" s="14">
        <f>F1119*AO1119*in_accident_ticket*in_accident_comm*in_ins_partner_share+F1119*in_accident_ticket*in_accident_renew_comm*in_ins_partner_share*(in_accident_renew^1*SUMIFS(AO1091:AO1128,B1091:B1128,B1119-12)+in_accident_renew^2*SUMIFS(AO1091:AO1128,B1091:B1128,B1119-24)+in_accident_renew^3*SUMIFS(AO1091:AO1128,B1091:B1128,B1119-36)+in_accident_renew^4*SUMIFS(AO1091:AO1128,B1091:B1128,B1119-48))</f>
        <v/>
      </c>
      <c r="AQ1119" s="40">
        <f>AQ1118*(1-IF(B1118&gt;=in_marketplace_from,d_hz_two_wheeler*G1118,0))</f>
        <v/>
      </c>
      <c r="AR1119" s="46">
        <f>AQ1119*IF(B1119&gt;=in_marketplace_from,d_hz_two_wheeler*G1119,0)</f>
        <v/>
      </c>
      <c r="AS1119" s="14">
        <f>F1119*AR1119*in_two_wheeler_ticket*in_two_wheeler_comm*in_ins_partner_share+F1119*in_two_wheeler_ticket*in_two_wheeler_comm*in_ins_partner_share*(in_two_wheeler_renew^1*SUMIFS(AR1091:AR1128,B1091:B1128,B1119-12)+in_two_wheeler_renew^2*SUMIFS(AR1091:AR1128,B1091:B1128,B1119-24)+in_two_wheeler_renew^3*SUMIFS(AR1091:AR1128,B1091:B1128,B1119-36)+in_two_wheeler_renew^4*SUMIFS(AR1091:AR1128,B1091:B1128,B1119-48))</f>
        <v/>
      </c>
      <c r="AT1119" s="40">
        <f>AT1118*(1-IF(B1118&gt;=in_marketplace_from,d_hz_device*G1118,0))</f>
        <v/>
      </c>
      <c r="AU1119" s="14">
        <f>F1119*AT1119*IF(B1119&gt;=in_marketplace_from,d_hz_device*G1119,0)*in_device_ticket*in_device_comm*in_ins_partner_share</f>
        <v/>
      </c>
      <c r="AV1119" s="40">
        <f>AV1118*(1-IF(B1118&gt;=in_marketplace_from,d_hz_shop*G1118,0))</f>
        <v/>
      </c>
      <c r="AW1119" s="46">
        <f>AV1119*IF(B1119&gt;=in_marketplace_from,d_hz_shop*G1119,0)</f>
        <v/>
      </c>
      <c r="AX1119" s="14">
        <f>F1119*AW1119*in_shop_ticket*in_shop_comm*in_ins_partner_share+F1119*in_shop_ticket*in_shop_renew_comm*in_ins_partner_share*(in_shop_renew^1*SUMIFS(AW1091:AW1128,B1091:B1128,B1119-12)+in_shop_renew^2*SUMIFS(AW1091:AW1128,B1091:B1128,B1119-24)+in_shop_renew^3*SUMIFS(AW1091:AW1128,B1091:B1128,B1119-36)+in_shop_renew^4*SUMIFS(AW1091:AW1128,B1091:B1128,B1119-48))</f>
        <v/>
      </c>
      <c r="AY1119" s="40">
        <f>AY1118*(1-IF(B1118&gt;=in_marketplace_from,d_hz_sip*G1118,0))</f>
        <v/>
      </c>
      <c r="AZ1119" s="40">
        <f>AZ1118*d_rho_sip+AY1119*IF(B1119&gt;=in_marketplace_from,d_hz_sip*G1119,0)</f>
        <v/>
      </c>
      <c r="BA1119" s="40">
        <f>d_rho_sip*(BA1118+AZ1118)</f>
        <v/>
      </c>
      <c r="BB1119" s="14">
        <f>F1119*in_sip_ticket*(BA1119+0.5*AZ1119)*in_sip_comm/12</f>
        <v/>
      </c>
      <c r="BC1119" s="40">
        <f>BC1118*(1-IF(B1118&gt;=in_marketplace_from,d_hz_choti*G1118,0))</f>
        <v/>
      </c>
      <c r="BD1119" s="46">
        <f>BC1119*IF(B1119&gt;=in_marketplace_from,d_hz_choti*G1119,0)</f>
        <v/>
      </c>
      <c r="BE1119" s="14">
        <f>F1119*SUMIFS(BD1091:BD1128,B1091:B1128,B1119-in_choti_months)*in_choti_renew*in_choti_ticket</f>
        <v/>
      </c>
      <c r="BF1119" s="40">
        <f>BF1118*(1-IF(B1118&gt;=in_marketplace_from,d_hz_nps*G1118,0))</f>
        <v/>
      </c>
      <c r="BG1119" s="14">
        <f>F1119*BF1119*IF(B1119&gt;=in_marketplace_from,d_hz_nps*G1119,0)*in_nps_ticket*in_nps_comm</f>
        <v/>
      </c>
      <c r="BH1119" s="40">
        <f>BH1118*(1-IF(B1118&gt;=in_marketplace_from,d_hz_gold*G1118,0))</f>
        <v/>
      </c>
      <c r="BI1119" s="40">
        <f>BI1118*d_rho_gold+BH1119*IF(B1119&gt;=in_marketplace_from,d_hz_gold*G1119,0)</f>
        <v/>
      </c>
      <c r="BJ1119" s="14">
        <f>F1119*BI1119*in_gold_ticket*in_gold_comm</f>
        <v/>
      </c>
      <c r="BK1119" s="40">
        <f>BK1118*(1-IF(B1118&gt;=in_marketplace_from,d_hz_fd*G1118,0))</f>
        <v/>
      </c>
      <c r="BL1119" s="14">
        <f>F1119*BK1119*IF(B1119&gt;=in_marketplace_from,d_hz_fd*G1119,0)*in_fd_ticket*in_fd_comm</f>
        <v/>
      </c>
      <c r="BM1119" s="40">
        <f>BM1118*(1-IF(B1118&gt;=in_marketplace_from,d_hz_recharge*G1118,0))</f>
        <v/>
      </c>
      <c r="BN1119" s="40">
        <f>BN1118*d_rho_recharge+BM1119*IF(B1119&gt;=in_marketplace_from,d_hz_recharge*G1119,0)</f>
        <v/>
      </c>
      <c r="BO1119" s="14">
        <f>F1119*BN1119*in_recharge_ticket*in_recharge_comm/12</f>
        <v/>
      </c>
      <c r="BP1119" s="40">
        <f>BP1118*(1-IF(B1118&gt;=in_marketplace_from,d_hz_bills*G1118,0))</f>
        <v/>
      </c>
      <c r="BQ1119" s="40">
        <f>BQ1118*d_rho_bills+BP1119*IF(B1119&gt;=in_marketplace_from,d_hz_bills*G1119,0)</f>
        <v/>
      </c>
      <c r="BR1119" s="14">
        <f>F1119*BQ1119*in_bills_ticket*in_bills_comm/12</f>
        <v/>
      </c>
      <c r="BS1119" s="40">
        <f>BS1118*(1-IF(B1118&gt;=in_marketplace_from,d_hz_loan_gold*G1118,0))</f>
        <v/>
      </c>
      <c r="BT1119" s="14">
        <f>F1119*BS1119*IF(B1119&gt;=in_marketplace_from,d_hz_loan_gold*G1119,0)*in_loan_gold_ticket*in_loan_gold_comm</f>
        <v/>
      </c>
      <c r="BU1119" s="40">
        <f>BU1118*(1-IF(B1118&gt;=in_marketplace_from,d_hz_loan_cd*G1118,0))</f>
        <v/>
      </c>
      <c r="BV1119" s="14">
        <f>F1119*BU1119*IF(B1119&gt;=in_marketplace_from,d_hz_loan_cd*G1119,0)*in_loan_cd_ticket*in_loan_cd_comm</f>
        <v/>
      </c>
      <c r="BW1119" s="40">
        <f>BW1118*(1-IF(B1118&gt;=in_marketplace_from,d_hz_loan_vehicle*G1118,0))</f>
        <v/>
      </c>
      <c r="BX1119" s="14">
        <f>F1119*BW1119*IF(B1119&gt;=in_marketplace_from,d_hz_loan_vehicle*G1119,0)*in_loan_vehicle_ticket*in_loan_vehicle_comm</f>
        <v/>
      </c>
      <c r="BY1119" s="40">
        <f>BY1118*(1-IF(B1118&gt;=in_marketplace_from,d_hz_loan_home*G1118,0)*BZ1118)</f>
        <v/>
      </c>
      <c r="BZ1119" s="11">
        <f>MIN(in_approval_cap,in_loan_home_approval*INDEX('Age profile'!$O$2:$O$61,B1119)*(1+in_approval_growth)^(D1119-1))</f>
        <v/>
      </c>
      <c r="CA1119" s="14">
        <f>F1119*BY1119*IF(B1119&gt;=in_marketplace_from,d_hz_loan_home*G1119,0)*BZ1119*in_loan_home_ticket*in_loan_home_comm</f>
        <v/>
      </c>
      <c r="CB1119" s="40">
        <f>CB1118*(1-IF(B1118&gt;=in_marketplace_from,d_hz_loan_lap*G1118,0)*CC1118)</f>
        <v/>
      </c>
      <c r="CC1119" s="11">
        <f>MIN(in_approval_cap,in_loan_lap_approval*INDEX('Age profile'!$O$2:$O$61,B1119)*(1+in_approval_growth)^(D1119-1))</f>
        <v/>
      </c>
      <c r="CD1119" s="14">
        <f>F1119*CB1119*IF(B1119&gt;=in_marketplace_from,d_hz_loan_lap*G1119,0)*CC1119*in_loan_lap_ticket*in_loan_lap_comm</f>
        <v/>
      </c>
      <c r="CE1119" s="14">
        <f>AA1119+AB1119+AC1119+AD1119+AG1119+AJ1119+AM1119+AP1119+AS1119+AU1119+AX1119+BB1119+BE1119+BG1119+BJ1119+BL1119+BO1119+BR1119+BT1119+BV1119+BX1119+CA1119+CD1119</f>
        <v/>
      </c>
    </row>
    <row r="1120">
      <c r="A1120" s="39" t="n">
        <v>23</v>
      </c>
      <c r="B1120" s="39" t="n">
        <v>30</v>
      </c>
      <c r="C1120" s="39">
        <f>A1120+B1120-1</f>
        <v/>
      </c>
      <c r="D1120" s="39">
        <f>INT((C1120-1)/12)+1</f>
        <v/>
      </c>
      <c r="E1120" s="44">
        <f>INDEX(Monthly!$B$2:$B$61,A1120)</f>
        <v/>
      </c>
      <c r="F1120" s="44">
        <f>E1120*INDEX('Age profile'!$B$2:$B$61,B1120)</f>
        <v/>
      </c>
      <c r="G1120" s="45">
        <f>MIN(in_takeup_cap,INDEX('Age profile'!$N$2:$N$61,B1120)*(1+in_takeup_growth)^(D1120-1))</f>
        <v/>
      </c>
      <c r="H1120" s="11">
        <f>MIN(in_approval_cap,in_approved_first*INDEX('Age profile'!$O$2:$O$61,B1120)*(1+in_approval_growth)^(D1120-1))</f>
        <v/>
      </c>
      <c r="I1120" s="45">
        <f>G1120*MIN(in_takeup_cap,INDEX('Age profile'!$O$2:$O$61,B1120)*(1+in_approval_growth)^(D1120-1))</f>
        <v/>
      </c>
      <c r="J1120" s="40">
        <f>(J1119-L1119)*F1120/F1119</f>
        <v/>
      </c>
      <c r="K1120" s="40">
        <f>(K1119-M1119)*F1120/F1119+SUMIFS(O1091:O1119,B1091:B1119,B1120-1-d_T)*F1120</f>
        <v/>
      </c>
      <c r="L1120" s="40">
        <f>IF(B1120&gt;=in_marketplace_from,J1120*d_hz*G1120*in_eligible*H1120,0)</f>
        <v/>
      </c>
      <c r="M1120" s="40">
        <f>IF(B1120&gt;=in_marketplace_from,K1120*d_hz*G1120*in_eligible*in_approved_repeat,0)</f>
        <v/>
      </c>
      <c r="N1120" s="40">
        <f>L1120+M1120</f>
        <v/>
      </c>
      <c r="O1120" s="46">
        <f>N1120/F1120</f>
        <v/>
      </c>
      <c r="P1120" s="40">
        <f>F1120-J1120-K1120</f>
        <v/>
      </c>
      <c r="Q1120" s="40">
        <f>IF(B1120&gt;=in_marketplace_from,(J1120+K1120)*d_hz*G1120,0)</f>
        <v/>
      </c>
      <c r="R1120" s="40">
        <f>SUMIFS(N1091:N1128,B1091:B1128,"&gt;="&amp;(B1120-d_T),B1091:B1128,"&lt;="&amp;(B1120-1))</f>
        <v/>
      </c>
      <c r="S1120" s="46">
        <f>(1-d_u)*S1119+IF(d_T&gt;in_topup_lag,SUMIFS(O1091:O1128,B1091:B1128,B1120-in_topup_lag)-d_udrop*SUMIFS(O1091:O1128,B1091:B1128,B1120-d_T),0)</f>
        <v/>
      </c>
      <c r="T1120" s="40">
        <f>F1120*d_u*S1120</f>
        <v/>
      </c>
      <c r="U1120" s="9">
        <f>L1120*in_ticket+M1120*d_rep_ticket</f>
        <v/>
      </c>
      <c r="V1120" s="9">
        <f>U1120+T1120*d_topup_amt</f>
        <v/>
      </c>
      <c r="W1120" s="40">
        <f>N1120+T1120*d_topup_ratio</f>
        <v/>
      </c>
      <c r="X1120" s="40">
        <f>SUMIFS(W1091:W1128,B1091:B1128,B1120-in_dpd_lag)*d_cured</f>
        <v/>
      </c>
      <c r="Y1120" s="40">
        <f>SUMIFS(W1091:W1128,B1091:B1128,B1120-in_rec_lag)*d_recd</f>
        <v/>
      </c>
      <c r="Z1120" s="40">
        <f>IF(AND(B1120&gt;=in_marketplace_from,B1120&lt;in_marketplace_from+in_card_months),in_card_share/in_card_months*F1120*I1120,IF(AND(B1120&gt;=in_marketplace_from+in_card_months,B1120&lt;in_marketplace_from+2*in_card_months),in_card_share*d_card_rem/in_card_months*F1120*MIN(in_takeup_cap,(1+in_takeup_growth)^(D1120-1))*MIN(in_takeup_cap,(1+in_approval_growth)^(D1120-1)),0))</f>
        <v/>
      </c>
      <c r="AA1120" s="14">
        <f>V1120*in_fee*(1-in_taken_back)</f>
        <v/>
      </c>
      <c r="AB1120" s="14">
        <f>SUMIFS(W1091:W1128,B1091:B1128,B1120-in_dpd_lag)*d_dpd</f>
        <v/>
      </c>
      <c r="AC1120" s="14">
        <f>SUMIFS(W1091:W1128,B1091:B1128,B1120-in_rec_lag)*d_rec</f>
        <v/>
      </c>
      <c r="AD1120" s="14">
        <f>Z1120*in_card_fee</f>
        <v/>
      </c>
      <c r="AE1120" s="40">
        <f>AE1119*(1-IF(B1119&gt;=in_marketplace_from,d_hz_hlth_small*G1119,0))</f>
        <v/>
      </c>
      <c r="AF1120" s="46">
        <f>AE1120*IF(B1120&gt;=in_marketplace_from,d_hz_hlth_small*G1120,0)</f>
        <v/>
      </c>
      <c r="AG1120" s="14">
        <f>F1120*AF1120*in_hlth_small_ticket*in_hlth_small_comm*in_ins_partner_share+F1120*in_hlth_small_ticket*in_hlth_small_renew_comm*in_ins_partner_share*(in_hlth_small_renew^1*SUMIFS(AF1091:AF1128,B1091:B1128,B1120-12)+in_hlth_small_renew^2*SUMIFS(AF1091:AF1128,B1091:B1128,B1120-24)+in_hlth_small_renew^3*SUMIFS(AF1091:AF1128,B1091:B1128,B1120-36)+in_hlth_small_renew^4*SUMIFS(AF1091:AF1128,B1091:B1128,B1120-48))</f>
        <v/>
      </c>
      <c r="AH1120" s="40">
        <f>AH1119*(1-IF(B1119&gt;=in_marketplace_from,d_hz_hlth_family*G1119,0))</f>
        <v/>
      </c>
      <c r="AI1120" s="46">
        <f>AH1120*IF(B1120&gt;=in_marketplace_from,d_hz_hlth_family*G1120,0)</f>
        <v/>
      </c>
      <c r="AJ1120" s="14">
        <f>F1120*AI1120*in_hlth_family_ticket*in_hlth_family_comm*in_ins_partner_share+F1120*in_hlth_family_ticket*in_hlth_family_renew_comm*in_ins_partner_share*(in_hlth_family_renew^1*SUMIFS(AI1091:AI1128,B1091:B1128,B1120-12)+in_hlth_family_renew^2*SUMIFS(AI1091:AI1128,B1091:B1128,B1120-24)+in_hlth_family_renew^3*SUMIFS(AI1091:AI1128,B1091:B1128,B1120-36)+in_hlth_family_renew^4*SUMIFS(AI1091:AI1128,B1091:B1128,B1120-48))</f>
        <v/>
      </c>
      <c r="AK1120" s="40">
        <f>AK1119*(1-IF(B1119&gt;=in_marketplace_from,d_hz_life_term*G1119,0))</f>
        <v/>
      </c>
      <c r="AL1120" s="46">
        <f>AK1120*IF(B1120&gt;=in_marketplace_from,d_hz_life_term*G1120,0)</f>
        <v/>
      </c>
      <c r="AM1120" s="14">
        <f>F1120*AL1120*in_life_term_ticket*in_life_term_comm*in_ins_partner_share+F1120*in_life_term_ticket*in_life_term_renew_comm*in_ins_partner_share*(in_life_term_renew^1*SUMIFS(AL1091:AL1128,B1091:B1128,B1120-12)+in_life_term_renew^2*SUMIFS(AL1091:AL1128,B1091:B1128,B1120-24)+in_life_term_renew^3*SUMIFS(AL1091:AL1128,B1091:B1128,B1120-36)+in_life_term_renew^4*SUMIFS(AL1091:AL1128,B1091:B1128,B1120-48))</f>
        <v/>
      </c>
      <c r="AN1120" s="40">
        <f>AN1119*(1-IF(B1119&gt;=in_marketplace_from,d_hz_accident*G1119,0))</f>
        <v/>
      </c>
      <c r="AO1120" s="46">
        <f>AN1120*IF(B1120&gt;=in_marketplace_from,d_hz_accident*G1120,0)</f>
        <v/>
      </c>
      <c r="AP1120" s="14">
        <f>F1120*AO1120*in_accident_ticket*in_accident_comm*in_ins_partner_share+F1120*in_accident_ticket*in_accident_renew_comm*in_ins_partner_share*(in_accident_renew^1*SUMIFS(AO1091:AO1128,B1091:B1128,B1120-12)+in_accident_renew^2*SUMIFS(AO1091:AO1128,B1091:B1128,B1120-24)+in_accident_renew^3*SUMIFS(AO1091:AO1128,B1091:B1128,B1120-36)+in_accident_renew^4*SUMIFS(AO1091:AO1128,B1091:B1128,B1120-48))</f>
        <v/>
      </c>
      <c r="AQ1120" s="40">
        <f>AQ1119*(1-IF(B1119&gt;=in_marketplace_from,d_hz_two_wheeler*G1119,0))</f>
        <v/>
      </c>
      <c r="AR1120" s="46">
        <f>AQ1120*IF(B1120&gt;=in_marketplace_from,d_hz_two_wheeler*G1120,0)</f>
        <v/>
      </c>
      <c r="AS1120" s="14">
        <f>F1120*AR1120*in_two_wheeler_ticket*in_two_wheeler_comm*in_ins_partner_share+F1120*in_two_wheeler_ticket*in_two_wheeler_comm*in_ins_partner_share*(in_two_wheeler_renew^1*SUMIFS(AR1091:AR1128,B1091:B1128,B1120-12)+in_two_wheeler_renew^2*SUMIFS(AR1091:AR1128,B1091:B1128,B1120-24)+in_two_wheeler_renew^3*SUMIFS(AR1091:AR1128,B1091:B1128,B1120-36)+in_two_wheeler_renew^4*SUMIFS(AR1091:AR1128,B1091:B1128,B1120-48))</f>
        <v/>
      </c>
      <c r="AT1120" s="40">
        <f>AT1119*(1-IF(B1119&gt;=in_marketplace_from,d_hz_device*G1119,0))</f>
        <v/>
      </c>
      <c r="AU1120" s="14">
        <f>F1120*AT1120*IF(B1120&gt;=in_marketplace_from,d_hz_device*G1120,0)*in_device_ticket*in_device_comm*in_ins_partner_share</f>
        <v/>
      </c>
      <c r="AV1120" s="40">
        <f>AV1119*(1-IF(B1119&gt;=in_marketplace_from,d_hz_shop*G1119,0))</f>
        <v/>
      </c>
      <c r="AW1120" s="46">
        <f>AV1120*IF(B1120&gt;=in_marketplace_from,d_hz_shop*G1120,0)</f>
        <v/>
      </c>
      <c r="AX1120" s="14">
        <f>F1120*AW1120*in_shop_ticket*in_shop_comm*in_ins_partner_share+F1120*in_shop_ticket*in_shop_renew_comm*in_ins_partner_share*(in_shop_renew^1*SUMIFS(AW1091:AW1128,B1091:B1128,B1120-12)+in_shop_renew^2*SUMIFS(AW1091:AW1128,B1091:B1128,B1120-24)+in_shop_renew^3*SUMIFS(AW1091:AW1128,B1091:B1128,B1120-36)+in_shop_renew^4*SUMIFS(AW1091:AW1128,B1091:B1128,B1120-48))</f>
        <v/>
      </c>
      <c r="AY1120" s="40">
        <f>AY1119*(1-IF(B1119&gt;=in_marketplace_from,d_hz_sip*G1119,0))</f>
        <v/>
      </c>
      <c r="AZ1120" s="40">
        <f>AZ1119*d_rho_sip+AY1120*IF(B1120&gt;=in_marketplace_from,d_hz_sip*G1120,0)</f>
        <v/>
      </c>
      <c r="BA1120" s="40">
        <f>d_rho_sip*(BA1119+AZ1119)</f>
        <v/>
      </c>
      <c r="BB1120" s="14">
        <f>F1120*in_sip_ticket*(BA1120+0.5*AZ1120)*in_sip_comm/12</f>
        <v/>
      </c>
      <c r="BC1120" s="40">
        <f>BC1119*(1-IF(B1119&gt;=in_marketplace_from,d_hz_choti*G1119,0))</f>
        <v/>
      </c>
      <c r="BD1120" s="46">
        <f>BC1120*IF(B1120&gt;=in_marketplace_from,d_hz_choti*G1120,0)</f>
        <v/>
      </c>
      <c r="BE1120" s="14">
        <f>F1120*SUMIFS(BD1091:BD1128,B1091:B1128,B1120-in_choti_months)*in_choti_renew*in_choti_ticket</f>
        <v/>
      </c>
      <c r="BF1120" s="40">
        <f>BF1119*(1-IF(B1119&gt;=in_marketplace_from,d_hz_nps*G1119,0))</f>
        <v/>
      </c>
      <c r="BG1120" s="14">
        <f>F1120*BF1120*IF(B1120&gt;=in_marketplace_from,d_hz_nps*G1120,0)*in_nps_ticket*in_nps_comm</f>
        <v/>
      </c>
      <c r="BH1120" s="40">
        <f>BH1119*(1-IF(B1119&gt;=in_marketplace_from,d_hz_gold*G1119,0))</f>
        <v/>
      </c>
      <c r="BI1120" s="40">
        <f>BI1119*d_rho_gold+BH1120*IF(B1120&gt;=in_marketplace_from,d_hz_gold*G1120,0)</f>
        <v/>
      </c>
      <c r="BJ1120" s="14">
        <f>F1120*BI1120*in_gold_ticket*in_gold_comm</f>
        <v/>
      </c>
      <c r="BK1120" s="40">
        <f>BK1119*(1-IF(B1119&gt;=in_marketplace_from,d_hz_fd*G1119,0))</f>
        <v/>
      </c>
      <c r="BL1120" s="14">
        <f>F1120*BK1120*IF(B1120&gt;=in_marketplace_from,d_hz_fd*G1120,0)*in_fd_ticket*in_fd_comm</f>
        <v/>
      </c>
      <c r="BM1120" s="40">
        <f>BM1119*(1-IF(B1119&gt;=in_marketplace_from,d_hz_recharge*G1119,0))</f>
        <v/>
      </c>
      <c r="BN1120" s="40">
        <f>BN1119*d_rho_recharge+BM1120*IF(B1120&gt;=in_marketplace_from,d_hz_recharge*G1120,0)</f>
        <v/>
      </c>
      <c r="BO1120" s="14">
        <f>F1120*BN1120*in_recharge_ticket*in_recharge_comm/12</f>
        <v/>
      </c>
      <c r="BP1120" s="40">
        <f>BP1119*(1-IF(B1119&gt;=in_marketplace_from,d_hz_bills*G1119,0))</f>
        <v/>
      </c>
      <c r="BQ1120" s="40">
        <f>BQ1119*d_rho_bills+BP1120*IF(B1120&gt;=in_marketplace_from,d_hz_bills*G1120,0)</f>
        <v/>
      </c>
      <c r="BR1120" s="14">
        <f>F1120*BQ1120*in_bills_ticket*in_bills_comm/12</f>
        <v/>
      </c>
      <c r="BS1120" s="40">
        <f>BS1119*(1-IF(B1119&gt;=in_marketplace_from,d_hz_loan_gold*G1119,0))</f>
        <v/>
      </c>
      <c r="BT1120" s="14">
        <f>F1120*BS1120*IF(B1120&gt;=in_marketplace_from,d_hz_loan_gold*G1120,0)*in_loan_gold_ticket*in_loan_gold_comm</f>
        <v/>
      </c>
      <c r="BU1120" s="40">
        <f>BU1119*(1-IF(B1119&gt;=in_marketplace_from,d_hz_loan_cd*G1119,0))</f>
        <v/>
      </c>
      <c r="BV1120" s="14">
        <f>F1120*BU1120*IF(B1120&gt;=in_marketplace_from,d_hz_loan_cd*G1120,0)*in_loan_cd_ticket*in_loan_cd_comm</f>
        <v/>
      </c>
      <c r="BW1120" s="40">
        <f>BW1119*(1-IF(B1119&gt;=in_marketplace_from,d_hz_loan_vehicle*G1119,0))</f>
        <v/>
      </c>
      <c r="BX1120" s="14">
        <f>F1120*BW1120*IF(B1120&gt;=in_marketplace_from,d_hz_loan_vehicle*G1120,0)*in_loan_vehicle_ticket*in_loan_vehicle_comm</f>
        <v/>
      </c>
      <c r="BY1120" s="40">
        <f>BY1119*(1-IF(B1119&gt;=in_marketplace_from,d_hz_loan_home*G1119,0)*BZ1119)</f>
        <v/>
      </c>
      <c r="BZ1120" s="11">
        <f>MIN(in_approval_cap,in_loan_home_approval*INDEX('Age profile'!$O$2:$O$61,B1120)*(1+in_approval_growth)^(D1120-1))</f>
        <v/>
      </c>
      <c r="CA1120" s="14">
        <f>F1120*BY1120*IF(B1120&gt;=in_marketplace_from,d_hz_loan_home*G1120,0)*BZ1120*in_loan_home_ticket*in_loan_home_comm</f>
        <v/>
      </c>
      <c r="CB1120" s="40">
        <f>CB1119*(1-IF(B1119&gt;=in_marketplace_from,d_hz_loan_lap*G1119,0)*CC1119)</f>
        <v/>
      </c>
      <c r="CC1120" s="11">
        <f>MIN(in_approval_cap,in_loan_lap_approval*INDEX('Age profile'!$O$2:$O$61,B1120)*(1+in_approval_growth)^(D1120-1))</f>
        <v/>
      </c>
      <c r="CD1120" s="14">
        <f>F1120*CB1120*IF(B1120&gt;=in_marketplace_from,d_hz_loan_lap*G1120,0)*CC1120*in_loan_lap_ticket*in_loan_lap_comm</f>
        <v/>
      </c>
      <c r="CE1120" s="14">
        <f>AA1120+AB1120+AC1120+AD1120+AG1120+AJ1120+AM1120+AP1120+AS1120+AU1120+AX1120+BB1120+BE1120+BG1120+BJ1120+BL1120+BO1120+BR1120+BT1120+BV1120+BX1120+CA1120+CD1120</f>
        <v/>
      </c>
    </row>
    <row r="1121">
      <c r="A1121" s="39" t="n">
        <v>23</v>
      </c>
      <c r="B1121" s="39" t="n">
        <v>31</v>
      </c>
      <c r="C1121" s="39">
        <f>A1121+B1121-1</f>
        <v/>
      </c>
      <c r="D1121" s="39">
        <f>INT((C1121-1)/12)+1</f>
        <v/>
      </c>
      <c r="E1121" s="44">
        <f>INDEX(Monthly!$B$2:$B$61,A1121)</f>
        <v/>
      </c>
      <c r="F1121" s="44">
        <f>E1121*INDEX('Age profile'!$B$2:$B$61,B1121)</f>
        <v/>
      </c>
      <c r="G1121" s="45">
        <f>MIN(in_takeup_cap,INDEX('Age profile'!$N$2:$N$61,B1121)*(1+in_takeup_growth)^(D1121-1))</f>
        <v/>
      </c>
      <c r="H1121" s="11">
        <f>MIN(in_approval_cap,in_approved_first*INDEX('Age profile'!$O$2:$O$61,B1121)*(1+in_approval_growth)^(D1121-1))</f>
        <v/>
      </c>
      <c r="I1121" s="45">
        <f>G1121*MIN(in_takeup_cap,INDEX('Age profile'!$O$2:$O$61,B1121)*(1+in_approval_growth)^(D1121-1))</f>
        <v/>
      </c>
      <c r="J1121" s="40">
        <f>(J1120-L1120)*F1121/F1120</f>
        <v/>
      </c>
      <c r="K1121" s="40">
        <f>(K1120-M1120)*F1121/F1120+SUMIFS(O1091:O1120,B1091:B1120,B1121-1-d_T)*F1121</f>
        <v/>
      </c>
      <c r="L1121" s="40">
        <f>IF(B1121&gt;=in_marketplace_from,J1121*d_hz*G1121*in_eligible*H1121,0)</f>
        <v/>
      </c>
      <c r="M1121" s="40">
        <f>IF(B1121&gt;=in_marketplace_from,K1121*d_hz*G1121*in_eligible*in_approved_repeat,0)</f>
        <v/>
      </c>
      <c r="N1121" s="40">
        <f>L1121+M1121</f>
        <v/>
      </c>
      <c r="O1121" s="46">
        <f>N1121/F1121</f>
        <v/>
      </c>
      <c r="P1121" s="40">
        <f>F1121-J1121-K1121</f>
        <v/>
      </c>
      <c r="Q1121" s="40">
        <f>IF(B1121&gt;=in_marketplace_from,(J1121+K1121)*d_hz*G1121,0)</f>
        <v/>
      </c>
      <c r="R1121" s="40">
        <f>SUMIFS(N1091:N1128,B1091:B1128,"&gt;="&amp;(B1121-d_T),B1091:B1128,"&lt;="&amp;(B1121-1))</f>
        <v/>
      </c>
      <c r="S1121" s="46">
        <f>(1-d_u)*S1120+IF(d_T&gt;in_topup_lag,SUMIFS(O1091:O1128,B1091:B1128,B1121-in_topup_lag)-d_udrop*SUMIFS(O1091:O1128,B1091:B1128,B1121-d_T),0)</f>
        <v/>
      </c>
      <c r="T1121" s="40">
        <f>F1121*d_u*S1121</f>
        <v/>
      </c>
      <c r="U1121" s="9">
        <f>L1121*in_ticket+M1121*d_rep_ticket</f>
        <v/>
      </c>
      <c r="V1121" s="9">
        <f>U1121+T1121*d_topup_amt</f>
        <v/>
      </c>
      <c r="W1121" s="40">
        <f>N1121+T1121*d_topup_ratio</f>
        <v/>
      </c>
      <c r="X1121" s="40">
        <f>SUMIFS(W1091:W1128,B1091:B1128,B1121-in_dpd_lag)*d_cured</f>
        <v/>
      </c>
      <c r="Y1121" s="40">
        <f>SUMIFS(W1091:W1128,B1091:B1128,B1121-in_rec_lag)*d_recd</f>
        <v/>
      </c>
      <c r="Z1121" s="40">
        <f>IF(AND(B1121&gt;=in_marketplace_from,B1121&lt;in_marketplace_from+in_card_months),in_card_share/in_card_months*F1121*I1121,IF(AND(B1121&gt;=in_marketplace_from+in_card_months,B1121&lt;in_marketplace_from+2*in_card_months),in_card_share*d_card_rem/in_card_months*F1121*MIN(in_takeup_cap,(1+in_takeup_growth)^(D1121-1))*MIN(in_takeup_cap,(1+in_approval_growth)^(D1121-1)),0))</f>
        <v/>
      </c>
      <c r="AA1121" s="14">
        <f>V1121*in_fee*(1-in_taken_back)</f>
        <v/>
      </c>
      <c r="AB1121" s="14">
        <f>SUMIFS(W1091:W1128,B1091:B1128,B1121-in_dpd_lag)*d_dpd</f>
        <v/>
      </c>
      <c r="AC1121" s="14">
        <f>SUMIFS(W1091:W1128,B1091:B1128,B1121-in_rec_lag)*d_rec</f>
        <v/>
      </c>
      <c r="AD1121" s="14">
        <f>Z1121*in_card_fee</f>
        <v/>
      </c>
      <c r="AE1121" s="40">
        <f>AE1120*(1-IF(B1120&gt;=in_marketplace_from,d_hz_hlth_small*G1120,0))</f>
        <v/>
      </c>
      <c r="AF1121" s="46">
        <f>AE1121*IF(B1121&gt;=in_marketplace_from,d_hz_hlth_small*G1121,0)</f>
        <v/>
      </c>
      <c r="AG1121" s="14">
        <f>F1121*AF1121*in_hlth_small_ticket*in_hlth_small_comm*in_ins_partner_share+F1121*in_hlth_small_ticket*in_hlth_small_renew_comm*in_ins_partner_share*(in_hlth_small_renew^1*SUMIFS(AF1091:AF1128,B1091:B1128,B1121-12)+in_hlth_small_renew^2*SUMIFS(AF1091:AF1128,B1091:B1128,B1121-24)+in_hlth_small_renew^3*SUMIFS(AF1091:AF1128,B1091:B1128,B1121-36)+in_hlth_small_renew^4*SUMIFS(AF1091:AF1128,B1091:B1128,B1121-48))</f>
        <v/>
      </c>
      <c r="AH1121" s="40">
        <f>AH1120*(1-IF(B1120&gt;=in_marketplace_from,d_hz_hlth_family*G1120,0))</f>
        <v/>
      </c>
      <c r="AI1121" s="46">
        <f>AH1121*IF(B1121&gt;=in_marketplace_from,d_hz_hlth_family*G1121,0)</f>
        <v/>
      </c>
      <c r="AJ1121" s="14">
        <f>F1121*AI1121*in_hlth_family_ticket*in_hlth_family_comm*in_ins_partner_share+F1121*in_hlth_family_ticket*in_hlth_family_renew_comm*in_ins_partner_share*(in_hlth_family_renew^1*SUMIFS(AI1091:AI1128,B1091:B1128,B1121-12)+in_hlth_family_renew^2*SUMIFS(AI1091:AI1128,B1091:B1128,B1121-24)+in_hlth_family_renew^3*SUMIFS(AI1091:AI1128,B1091:B1128,B1121-36)+in_hlth_family_renew^4*SUMIFS(AI1091:AI1128,B1091:B1128,B1121-48))</f>
        <v/>
      </c>
      <c r="AK1121" s="40">
        <f>AK1120*(1-IF(B1120&gt;=in_marketplace_from,d_hz_life_term*G1120,0))</f>
        <v/>
      </c>
      <c r="AL1121" s="46">
        <f>AK1121*IF(B1121&gt;=in_marketplace_from,d_hz_life_term*G1121,0)</f>
        <v/>
      </c>
      <c r="AM1121" s="14">
        <f>F1121*AL1121*in_life_term_ticket*in_life_term_comm*in_ins_partner_share+F1121*in_life_term_ticket*in_life_term_renew_comm*in_ins_partner_share*(in_life_term_renew^1*SUMIFS(AL1091:AL1128,B1091:B1128,B1121-12)+in_life_term_renew^2*SUMIFS(AL1091:AL1128,B1091:B1128,B1121-24)+in_life_term_renew^3*SUMIFS(AL1091:AL1128,B1091:B1128,B1121-36)+in_life_term_renew^4*SUMIFS(AL1091:AL1128,B1091:B1128,B1121-48))</f>
        <v/>
      </c>
      <c r="AN1121" s="40">
        <f>AN1120*(1-IF(B1120&gt;=in_marketplace_from,d_hz_accident*G1120,0))</f>
        <v/>
      </c>
      <c r="AO1121" s="46">
        <f>AN1121*IF(B1121&gt;=in_marketplace_from,d_hz_accident*G1121,0)</f>
        <v/>
      </c>
      <c r="AP1121" s="14">
        <f>F1121*AO1121*in_accident_ticket*in_accident_comm*in_ins_partner_share+F1121*in_accident_ticket*in_accident_renew_comm*in_ins_partner_share*(in_accident_renew^1*SUMIFS(AO1091:AO1128,B1091:B1128,B1121-12)+in_accident_renew^2*SUMIFS(AO1091:AO1128,B1091:B1128,B1121-24)+in_accident_renew^3*SUMIFS(AO1091:AO1128,B1091:B1128,B1121-36)+in_accident_renew^4*SUMIFS(AO1091:AO1128,B1091:B1128,B1121-48))</f>
        <v/>
      </c>
      <c r="AQ1121" s="40">
        <f>AQ1120*(1-IF(B1120&gt;=in_marketplace_from,d_hz_two_wheeler*G1120,0))</f>
        <v/>
      </c>
      <c r="AR1121" s="46">
        <f>AQ1121*IF(B1121&gt;=in_marketplace_from,d_hz_two_wheeler*G1121,0)</f>
        <v/>
      </c>
      <c r="AS1121" s="14">
        <f>F1121*AR1121*in_two_wheeler_ticket*in_two_wheeler_comm*in_ins_partner_share+F1121*in_two_wheeler_ticket*in_two_wheeler_comm*in_ins_partner_share*(in_two_wheeler_renew^1*SUMIFS(AR1091:AR1128,B1091:B1128,B1121-12)+in_two_wheeler_renew^2*SUMIFS(AR1091:AR1128,B1091:B1128,B1121-24)+in_two_wheeler_renew^3*SUMIFS(AR1091:AR1128,B1091:B1128,B1121-36)+in_two_wheeler_renew^4*SUMIFS(AR1091:AR1128,B1091:B1128,B1121-48))</f>
        <v/>
      </c>
      <c r="AT1121" s="40">
        <f>AT1120*(1-IF(B1120&gt;=in_marketplace_from,d_hz_device*G1120,0))</f>
        <v/>
      </c>
      <c r="AU1121" s="14">
        <f>F1121*AT1121*IF(B1121&gt;=in_marketplace_from,d_hz_device*G1121,0)*in_device_ticket*in_device_comm*in_ins_partner_share</f>
        <v/>
      </c>
      <c r="AV1121" s="40">
        <f>AV1120*(1-IF(B1120&gt;=in_marketplace_from,d_hz_shop*G1120,0))</f>
        <v/>
      </c>
      <c r="AW1121" s="46">
        <f>AV1121*IF(B1121&gt;=in_marketplace_from,d_hz_shop*G1121,0)</f>
        <v/>
      </c>
      <c r="AX1121" s="14">
        <f>F1121*AW1121*in_shop_ticket*in_shop_comm*in_ins_partner_share+F1121*in_shop_ticket*in_shop_renew_comm*in_ins_partner_share*(in_shop_renew^1*SUMIFS(AW1091:AW1128,B1091:B1128,B1121-12)+in_shop_renew^2*SUMIFS(AW1091:AW1128,B1091:B1128,B1121-24)+in_shop_renew^3*SUMIFS(AW1091:AW1128,B1091:B1128,B1121-36)+in_shop_renew^4*SUMIFS(AW1091:AW1128,B1091:B1128,B1121-48))</f>
        <v/>
      </c>
      <c r="AY1121" s="40">
        <f>AY1120*(1-IF(B1120&gt;=in_marketplace_from,d_hz_sip*G1120,0))</f>
        <v/>
      </c>
      <c r="AZ1121" s="40">
        <f>AZ1120*d_rho_sip+AY1121*IF(B1121&gt;=in_marketplace_from,d_hz_sip*G1121,0)</f>
        <v/>
      </c>
      <c r="BA1121" s="40">
        <f>d_rho_sip*(BA1120+AZ1120)</f>
        <v/>
      </c>
      <c r="BB1121" s="14">
        <f>F1121*in_sip_ticket*(BA1121+0.5*AZ1121)*in_sip_comm/12</f>
        <v/>
      </c>
      <c r="BC1121" s="40">
        <f>BC1120*(1-IF(B1120&gt;=in_marketplace_from,d_hz_choti*G1120,0))</f>
        <v/>
      </c>
      <c r="BD1121" s="46">
        <f>BC1121*IF(B1121&gt;=in_marketplace_from,d_hz_choti*G1121,0)</f>
        <v/>
      </c>
      <c r="BE1121" s="14">
        <f>F1121*SUMIFS(BD1091:BD1128,B1091:B1128,B1121-in_choti_months)*in_choti_renew*in_choti_ticket</f>
        <v/>
      </c>
      <c r="BF1121" s="40">
        <f>BF1120*(1-IF(B1120&gt;=in_marketplace_from,d_hz_nps*G1120,0))</f>
        <v/>
      </c>
      <c r="BG1121" s="14">
        <f>F1121*BF1121*IF(B1121&gt;=in_marketplace_from,d_hz_nps*G1121,0)*in_nps_ticket*in_nps_comm</f>
        <v/>
      </c>
      <c r="BH1121" s="40">
        <f>BH1120*(1-IF(B1120&gt;=in_marketplace_from,d_hz_gold*G1120,0))</f>
        <v/>
      </c>
      <c r="BI1121" s="40">
        <f>BI1120*d_rho_gold+BH1121*IF(B1121&gt;=in_marketplace_from,d_hz_gold*G1121,0)</f>
        <v/>
      </c>
      <c r="BJ1121" s="14">
        <f>F1121*BI1121*in_gold_ticket*in_gold_comm</f>
        <v/>
      </c>
      <c r="BK1121" s="40">
        <f>BK1120*(1-IF(B1120&gt;=in_marketplace_from,d_hz_fd*G1120,0))</f>
        <v/>
      </c>
      <c r="BL1121" s="14">
        <f>F1121*BK1121*IF(B1121&gt;=in_marketplace_from,d_hz_fd*G1121,0)*in_fd_ticket*in_fd_comm</f>
        <v/>
      </c>
      <c r="BM1121" s="40">
        <f>BM1120*(1-IF(B1120&gt;=in_marketplace_from,d_hz_recharge*G1120,0))</f>
        <v/>
      </c>
      <c r="BN1121" s="40">
        <f>BN1120*d_rho_recharge+BM1121*IF(B1121&gt;=in_marketplace_from,d_hz_recharge*G1121,0)</f>
        <v/>
      </c>
      <c r="BO1121" s="14">
        <f>F1121*BN1121*in_recharge_ticket*in_recharge_comm/12</f>
        <v/>
      </c>
      <c r="BP1121" s="40">
        <f>BP1120*(1-IF(B1120&gt;=in_marketplace_from,d_hz_bills*G1120,0))</f>
        <v/>
      </c>
      <c r="BQ1121" s="40">
        <f>BQ1120*d_rho_bills+BP1121*IF(B1121&gt;=in_marketplace_from,d_hz_bills*G1121,0)</f>
        <v/>
      </c>
      <c r="BR1121" s="14">
        <f>F1121*BQ1121*in_bills_ticket*in_bills_comm/12</f>
        <v/>
      </c>
      <c r="BS1121" s="40">
        <f>BS1120*(1-IF(B1120&gt;=in_marketplace_from,d_hz_loan_gold*G1120,0))</f>
        <v/>
      </c>
      <c r="BT1121" s="14">
        <f>F1121*BS1121*IF(B1121&gt;=in_marketplace_from,d_hz_loan_gold*G1121,0)*in_loan_gold_ticket*in_loan_gold_comm</f>
        <v/>
      </c>
      <c r="BU1121" s="40">
        <f>BU1120*(1-IF(B1120&gt;=in_marketplace_from,d_hz_loan_cd*G1120,0))</f>
        <v/>
      </c>
      <c r="BV1121" s="14">
        <f>F1121*BU1121*IF(B1121&gt;=in_marketplace_from,d_hz_loan_cd*G1121,0)*in_loan_cd_ticket*in_loan_cd_comm</f>
        <v/>
      </c>
      <c r="BW1121" s="40">
        <f>BW1120*(1-IF(B1120&gt;=in_marketplace_from,d_hz_loan_vehicle*G1120,0))</f>
        <v/>
      </c>
      <c r="BX1121" s="14">
        <f>F1121*BW1121*IF(B1121&gt;=in_marketplace_from,d_hz_loan_vehicle*G1121,0)*in_loan_vehicle_ticket*in_loan_vehicle_comm</f>
        <v/>
      </c>
      <c r="BY1121" s="40">
        <f>BY1120*(1-IF(B1120&gt;=in_marketplace_from,d_hz_loan_home*G1120,0)*BZ1120)</f>
        <v/>
      </c>
      <c r="BZ1121" s="11">
        <f>MIN(in_approval_cap,in_loan_home_approval*INDEX('Age profile'!$O$2:$O$61,B1121)*(1+in_approval_growth)^(D1121-1))</f>
        <v/>
      </c>
      <c r="CA1121" s="14">
        <f>F1121*BY1121*IF(B1121&gt;=in_marketplace_from,d_hz_loan_home*G1121,0)*BZ1121*in_loan_home_ticket*in_loan_home_comm</f>
        <v/>
      </c>
      <c r="CB1121" s="40">
        <f>CB1120*(1-IF(B1120&gt;=in_marketplace_from,d_hz_loan_lap*G1120,0)*CC1120)</f>
        <v/>
      </c>
      <c r="CC1121" s="11">
        <f>MIN(in_approval_cap,in_loan_lap_approval*INDEX('Age profile'!$O$2:$O$61,B1121)*(1+in_approval_growth)^(D1121-1))</f>
        <v/>
      </c>
      <c r="CD1121" s="14">
        <f>F1121*CB1121*IF(B1121&gt;=in_marketplace_from,d_hz_loan_lap*G1121,0)*CC1121*in_loan_lap_ticket*in_loan_lap_comm</f>
        <v/>
      </c>
      <c r="CE1121" s="14">
        <f>AA1121+AB1121+AC1121+AD1121+AG1121+AJ1121+AM1121+AP1121+AS1121+AU1121+AX1121+BB1121+BE1121+BG1121+BJ1121+BL1121+BO1121+BR1121+BT1121+BV1121+BX1121+CA1121+CD1121</f>
        <v/>
      </c>
    </row>
    <row r="1122">
      <c r="A1122" s="39" t="n">
        <v>23</v>
      </c>
      <c r="B1122" s="39" t="n">
        <v>32</v>
      </c>
      <c r="C1122" s="39">
        <f>A1122+B1122-1</f>
        <v/>
      </c>
      <c r="D1122" s="39">
        <f>INT((C1122-1)/12)+1</f>
        <v/>
      </c>
      <c r="E1122" s="44">
        <f>INDEX(Monthly!$B$2:$B$61,A1122)</f>
        <v/>
      </c>
      <c r="F1122" s="44">
        <f>E1122*INDEX('Age profile'!$B$2:$B$61,B1122)</f>
        <v/>
      </c>
      <c r="G1122" s="45">
        <f>MIN(in_takeup_cap,INDEX('Age profile'!$N$2:$N$61,B1122)*(1+in_takeup_growth)^(D1122-1))</f>
        <v/>
      </c>
      <c r="H1122" s="11">
        <f>MIN(in_approval_cap,in_approved_first*INDEX('Age profile'!$O$2:$O$61,B1122)*(1+in_approval_growth)^(D1122-1))</f>
        <v/>
      </c>
      <c r="I1122" s="45">
        <f>G1122*MIN(in_takeup_cap,INDEX('Age profile'!$O$2:$O$61,B1122)*(1+in_approval_growth)^(D1122-1))</f>
        <v/>
      </c>
      <c r="J1122" s="40">
        <f>(J1121-L1121)*F1122/F1121</f>
        <v/>
      </c>
      <c r="K1122" s="40">
        <f>(K1121-M1121)*F1122/F1121+SUMIFS(O1091:O1121,B1091:B1121,B1122-1-d_T)*F1122</f>
        <v/>
      </c>
      <c r="L1122" s="40">
        <f>IF(B1122&gt;=in_marketplace_from,J1122*d_hz*G1122*in_eligible*H1122,0)</f>
        <v/>
      </c>
      <c r="M1122" s="40">
        <f>IF(B1122&gt;=in_marketplace_from,K1122*d_hz*G1122*in_eligible*in_approved_repeat,0)</f>
        <v/>
      </c>
      <c r="N1122" s="40">
        <f>L1122+M1122</f>
        <v/>
      </c>
      <c r="O1122" s="46">
        <f>N1122/F1122</f>
        <v/>
      </c>
      <c r="P1122" s="40">
        <f>F1122-J1122-K1122</f>
        <v/>
      </c>
      <c r="Q1122" s="40">
        <f>IF(B1122&gt;=in_marketplace_from,(J1122+K1122)*d_hz*G1122,0)</f>
        <v/>
      </c>
      <c r="R1122" s="40">
        <f>SUMIFS(N1091:N1128,B1091:B1128,"&gt;="&amp;(B1122-d_T),B1091:B1128,"&lt;="&amp;(B1122-1))</f>
        <v/>
      </c>
      <c r="S1122" s="46">
        <f>(1-d_u)*S1121+IF(d_T&gt;in_topup_lag,SUMIFS(O1091:O1128,B1091:B1128,B1122-in_topup_lag)-d_udrop*SUMIFS(O1091:O1128,B1091:B1128,B1122-d_T),0)</f>
        <v/>
      </c>
      <c r="T1122" s="40">
        <f>F1122*d_u*S1122</f>
        <v/>
      </c>
      <c r="U1122" s="9">
        <f>L1122*in_ticket+M1122*d_rep_ticket</f>
        <v/>
      </c>
      <c r="V1122" s="9">
        <f>U1122+T1122*d_topup_amt</f>
        <v/>
      </c>
      <c r="W1122" s="40">
        <f>N1122+T1122*d_topup_ratio</f>
        <v/>
      </c>
      <c r="X1122" s="40">
        <f>SUMIFS(W1091:W1128,B1091:B1128,B1122-in_dpd_lag)*d_cured</f>
        <v/>
      </c>
      <c r="Y1122" s="40">
        <f>SUMIFS(W1091:W1128,B1091:B1128,B1122-in_rec_lag)*d_recd</f>
        <v/>
      </c>
      <c r="Z1122" s="40">
        <f>IF(AND(B1122&gt;=in_marketplace_from,B1122&lt;in_marketplace_from+in_card_months),in_card_share/in_card_months*F1122*I1122,IF(AND(B1122&gt;=in_marketplace_from+in_card_months,B1122&lt;in_marketplace_from+2*in_card_months),in_card_share*d_card_rem/in_card_months*F1122*MIN(in_takeup_cap,(1+in_takeup_growth)^(D1122-1))*MIN(in_takeup_cap,(1+in_approval_growth)^(D1122-1)),0))</f>
        <v/>
      </c>
      <c r="AA1122" s="14">
        <f>V1122*in_fee*(1-in_taken_back)</f>
        <v/>
      </c>
      <c r="AB1122" s="14">
        <f>SUMIFS(W1091:W1128,B1091:B1128,B1122-in_dpd_lag)*d_dpd</f>
        <v/>
      </c>
      <c r="AC1122" s="14">
        <f>SUMIFS(W1091:W1128,B1091:B1128,B1122-in_rec_lag)*d_rec</f>
        <v/>
      </c>
      <c r="AD1122" s="14">
        <f>Z1122*in_card_fee</f>
        <v/>
      </c>
      <c r="AE1122" s="40">
        <f>AE1121*(1-IF(B1121&gt;=in_marketplace_from,d_hz_hlth_small*G1121,0))</f>
        <v/>
      </c>
      <c r="AF1122" s="46">
        <f>AE1122*IF(B1122&gt;=in_marketplace_from,d_hz_hlth_small*G1122,0)</f>
        <v/>
      </c>
      <c r="AG1122" s="14">
        <f>F1122*AF1122*in_hlth_small_ticket*in_hlth_small_comm*in_ins_partner_share+F1122*in_hlth_small_ticket*in_hlth_small_renew_comm*in_ins_partner_share*(in_hlth_small_renew^1*SUMIFS(AF1091:AF1128,B1091:B1128,B1122-12)+in_hlth_small_renew^2*SUMIFS(AF1091:AF1128,B1091:B1128,B1122-24)+in_hlth_small_renew^3*SUMIFS(AF1091:AF1128,B1091:B1128,B1122-36)+in_hlth_small_renew^4*SUMIFS(AF1091:AF1128,B1091:B1128,B1122-48))</f>
        <v/>
      </c>
      <c r="AH1122" s="40">
        <f>AH1121*(1-IF(B1121&gt;=in_marketplace_from,d_hz_hlth_family*G1121,0))</f>
        <v/>
      </c>
      <c r="AI1122" s="46">
        <f>AH1122*IF(B1122&gt;=in_marketplace_from,d_hz_hlth_family*G1122,0)</f>
        <v/>
      </c>
      <c r="AJ1122" s="14">
        <f>F1122*AI1122*in_hlth_family_ticket*in_hlth_family_comm*in_ins_partner_share+F1122*in_hlth_family_ticket*in_hlth_family_renew_comm*in_ins_partner_share*(in_hlth_family_renew^1*SUMIFS(AI1091:AI1128,B1091:B1128,B1122-12)+in_hlth_family_renew^2*SUMIFS(AI1091:AI1128,B1091:B1128,B1122-24)+in_hlth_family_renew^3*SUMIFS(AI1091:AI1128,B1091:B1128,B1122-36)+in_hlth_family_renew^4*SUMIFS(AI1091:AI1128,B1091:B1128,B1122-48))</f>
        <v/>
      </c>
      <c r="AK1122" s="40">
        <f>AK1121*(1-IF(B1121&gt;=in_marketplace_from,d_hz_life_term*G1121,0))</f>
        <v/>
      </c>
      <c r="AL1122" s="46">
        <f>AK1122*IF(B1122&gt;=in_marketplace_from,d_hz_life_term*G1122,0)</f>
        <v/>
      </c>
      <c r="AM1122" s="14">
        <f>F1122*AL1122*in_life_term_ticket*in_life_term_comm*in_ins_partner_share+F1122*in_life_term_ticket*in_life_term_renew_comm*in_ins_partner_share*(in_life_term_renew^1*SUMIFS(AL1091:AL1128,B1091:B1128,B1122-12)+in_life_term_renew^2*SUMIFS(AL1091:AL1128,B1091:B1128,B1122-24)+in_life_term_renew^3*SUMIFS(AL1091:AL1128,B1091:B1128,B1122-36)+in_life_term_renew^4*SUMIFS(AL1091:AL1128,B1091:B1128,B1122-48))</f>
        <v/>
      </c>
      <c r="AN1122" s="40">
        <f>AN1121*(1-IF(B1121&gt;=in_marketplace_from,d_hz_accident*G1121,0))</f>
        <v/>
      </c>
      <c r="AO1122" s="46">
        <f>AN1122*IF(B1122&gt;=in_marketplace_from,d_hz_accident*G1122,0)</f>
        <v/>
      </c>
      <c r="AP1122" s="14">
        <f>F1122*AO1122*in_accident_ticket*in_accident_comm*in_ins_partner_share+F1122*in_accident_ticket*in_accident_renew_comm*in_ins_partner_share*(in_accident_renew^1*SUMIFS(AO1091:AO1128,B1091:B1128,B1122-12)+in_accident_renew^2*SUMIFS(AO1091:AO1128,B1091:B1128,B1122-24)+in_accident_renew^3*SUMIFS(AO1091:AO1128,B1091:B1128,B1122-36)+in_accident_renew^4*SUMIFS(AO1091:AO1128,B1091:B1128,B1122-48))</f>
        <v/>
      </c>
      <c r="AQ1122" s="40">
        <f>AQ1121*(1-IF(B1121&gt;=in_marketplace_from,d_hz_two_wheeler*G1121,0))</f>
        <v/>
      </c>
      <c r="AR1122" s="46">
        <f>AQ1122*IF(B1122&gt;=in_marketplace_from,d_hz_two_wheeler*G1122,0)</f>
        <v/>
      </c>
      <c r="AS1122" s="14">
        <f>F1122*AR1122*in_two_wheeler_ticket*in_two_wheeler_comm*in_ins_partner_share+F1122*in_two_wheeler_ticket*in_two_wheeler_comm*in_ins_partner_share*(in_two_wheeler_renew^1*SUMIFS(AR1091:AR1128,B1091:B1128,B1122-12)+in_two_wheeler_renew^2*SUMIFS(AR1091:AR1128,B1091:B1128,B1122-24)+in_two_wheeler_renew^3*SUMIFS(AR1091:AR1128,B1091:B1128,B1122-36)+in_two_wheeler_renew^4*SUMIFS(AR1091:AR1128,B1091:B1128,B1122-48))</f>
        <v/>
      </c>
      <c r="AT1122" s="40">
        <f>AT1121*(1-IF(B1121&gt;=in_marketplace_from,d_hz_device*G1121,0))</f>
        <v/>
      </c>
      <c r="AU1122" s="14">
        <f>F1122*AT1122*IF(B1122&gt;=in_marketplace_from,d_hz_device*G1122,0)*in_device_ticket*in_device_comm*in_ins_partner_share</f>
        <v/>
      </c>
      <c r="AV1122" s="40">
        <f>AV1121*(1-IF(B1121&gt;=in_marketplace_from,d_hz_shop*G1121,0))</f>
        <v/>
      </c>
      <c r="AW1122" s="46">
        <f>AV1122*IF(B1122&gt;=in_marketplace_from,d_hz_shop*G1122,0)</f>
        <v/>
      </c>
      <c r="AX1122" s="14">
        <f>F1122*AW1122*in_shop_ticket*in_shop_comm*in_ins_partner_share+F1122*in_shop_ticket*in_shop_renew_comm*in_ins_partner_share*(in_shop_renew^1*SUMIFS(AW1091:AW1128,B1091:B1128,B1122-12)+in_shop_renew^2*SUMIFS(AW1091:AW1128,B1091:B1128,B1122-24)+in_shop_renew^3*SUMIFS(AW1091:AW1128,B1091:B1128,B1122-36)+in_shop_renew^4*SUMIFS(AW1091:AW1128,B1091:B1128,B1122-48))</f>
        <v/>
      </c>
      <c r="AY1122" s="40">
        <f>AY1121*(1-IF(B1121&gt;=in_marketplace_from,d_hz_sip*G1121,0))</f>
        <v/>
      </c>
      <c r="AZ1122" s="40">
        <f>AZ1121*d_rho_sip+AY1122*IF(B1122&gt;=in_marketplace_from,d_hz_sip*G1122,0)</f>
        <v/>
      </c>
      <c r="BA1122" s="40">
        <f>d_rho_sip*(BA1121+AZ1121)</f>
        <v/>
      </c>
      <c r="BB1122" s="14">
        <f>F1122*in_sip_ticket*(BA1122+0.5*AZ1122)*in_sip_comm/12</f>
        <v/>
      </c>
      <c r="BC1122" s="40">
        <f>BC1121*(1-IF(B1121&gt;=in_marketplace_from,d_hz_choti*G1121,0))</f>
        <v/>
      </c>
      <c r="BD1122" s="46">
        <f>BC1122*IF(B1122&gt;=in_marketplace_from,d_hz_choti*G1122,0)</f>
        <v/>
      </c>
      <c r="BE1122" s="14">
        <f>F1122*SUMIFS(BD1091:BD1128,B1091:B1128,B1122-in_choti_months)*in_choti_renew*in_choti_ticket</f>
        <v/>
      </c>
      <c r="BF1122" s="40">
        <f>BF1121*(1-IF(B1121&gt;=in_marketplace_from,d_hz_nps*G1121,0))</f>
        <v/>
      </c>
      <c r="BG1122" s="14">
        <f>F1122*BF1122*IF(B1122&gt;=in_marketplace_from,d_hz_nps*G1122,0)*in_nps_ticket*in_nps_comm</f>
        <v/>
      </c>
      <c r="BH1122" s="40">
        <f>BH1121*(1-IF(B1121&gt;=in_marketplace_from,d_hz_gold*G1121,0))</f>
        <v/>
      </c>
      <c r="BI1122" s="40">
        <f>BI1121*d_rho_gold+BH1122*IF(B1122&gt;=in_marketplace_from,d_hz_gold*G1122,0)</f>
        <v/>
      </c>
      <c r="BJ1122" s="14">
        <f>F1122*BI1122*in_gold_ticket*in_gold_comm</f>
        <v/>
      </c>
      <c r="BK1122" s="40">
        <f>BK1121*(1-IF(B1121&gt;=in_marketplace_from,d_hz_fd*G1121,0))</f>
        <v/>
      </c>
      <c r="BL1122" s="14">
        <f>F1122*BK1122*IF(B1122&gt;=in_marketplace_from,d_hz_fd*G1122,0)*in_fd_ticket*in_fd_comm</f>
        <v/>
      </c>
      <c r="BM1122" s="40">
        <f>BM1121*(1-IF(B1121&gt;=in_marketplace_from,d_hz_recharge*G1121,0))</f>
        <v/>
      </c>
      <c r="BN1122" s="40">
        <f>BN1121*d_rho_recharge+BM1122*IF(B1122&gt;=in_marketplace_from,d_hz_recharge*G1122,0)</f>
        <v/>
      </c>
      <c r="BO1122" s="14">
        <f>F1122*BN1122*in_recharge_ticket*in_recharge_comm/12</f>
        <v/>
      </c>
      <c r="BP1122" s="40">
        <f>BP1121*(1-IF(B1121&gt;=in_marketplace_from,d_hz_bills*G1121,0))</f>
        <v/>
      </c>
      <c r="BQ1122" s="40">
        <f>BQ1121*d_rho_bills+BP1122*IF(B1122&gt;=in_marketplace_from,d_hz_bills*G1122,0)</f>
        <v/>
      </c>
      <c r="BR1122" s="14">
        <f>F1122*BQ1122*in_bills_ticket*in_bills_comm/12</f>
        <v/>
      </c>
      <c r="BS1122" s="40">
        <f>BS1121*(1-IF(B1121&gt;=in_marketplace_from,d_hz_loan_gold*G1121,0))</f>
        <v/>
      </c>
      <c r="BT1122" s="14">
        <f>F1122*BS1122*IF(B1122&gt;=in_marketplace_from,d_hz_loan_gold*G1122,0)*in_loan_gold_ticket*in_loan_gold_comm</f>
        <v/>
      </c>
      <c r="BU1122" s="40">
        <f>BU1121*(1-IF(B1121&gt;=in_marketplace_from,d_hz_loan_cd*G1121,0))</f>
        <v/>
      </c>
      <c r="BV1122" s="14">
        <f>F1122*BU1122*IF(B1122&gt;=in_marketplace_from,d_hz_loan_cd*G1122,0)*in_loan_cd_ticket*in_loan_cd_comm</f>
        <v/>
      </c>
      <c r="BW1122" s="40">
        <f>BW1121*(1-IF(B1121&gt;=in_marketplace_from,d_hz_loan_vehicle*G1121,0))</f>
        <v/>
      </c>
      <c r="BX1122" s="14">
        <f>F1122*BW1122*IF(B1122&gt;=in_marketplace_from,d_hz_loan_vehicle*G1122,0)*in_loan_vehicle_ticket*in_loan_vehicle_comm</f>
        <v/>
      </c>
      <c r="BY1122" s="40">
        <f>BY1121*(1-IF(B1121&gt;=in_marketplace_from,d_hz_loan_home*G1121,0)*BZ1121)</f>
        <v/>
      </c>
      <c r="BZ1122" s="11">
        <f>MIN(in_approval_cap,in_loan_home_approval*INDEX('Age profile'!$O$2:$O$61,B1122)*(1+in_approval_growth)^(D1122-1))</f>
        <v/>
      </c>
      <c r="CA1122" s="14">
        <f>F1122*BY1122*IF(B1122&gt;=in_marketplace_from,d_hz_loan_home*G1122,0)*BZ1122*in_loan_home_ticket*in_loan_home_comm</f>
        <v/>
      </c>
      <c r="CB1122" s="40">
        <f>CB1121*(1-IF(B1121&gt;=in_marketplace_from,d_hz_loan_lap*G1121,0)*CC1121)</f>
        <v/>
      </c>
      <c r="CC1122" s="11">
        <f>MIN(in_approval_cap,in_loan_lap_approval*INDEX('Age profile'!$O$2:$O$61,B1122)*(1+in_approval_growth)^(D1122-1))</f>
        <v/>
      </c>
      <c r="CD1122" s="14">
        <f>F1122*CB1122*IF(B1122&gt;=in_marketplace_from,d_hz_loan_lap*G1122,0)*CC1122*in_loan_lap_ticket*in_loan_lap_comm</f>
        <v/>
      </c>
      <c r="CE1122" s="14">
        <f>AA1122+AB1122+AC1122+AD1122+AG1122+AJ1122+AM1122+AP1122+AS1122+AU1122+AX1122+BB1122+BE1122+BG1122+BJ1122+BL1122+BO1122+BR1122+BT1122+BV1122+BX1122+CA1122+CD1122</f>
        <v/>
      </c>
    </row>
    <row r="1123">
      <c r="A1123" s="39" t="n">
        <v>23</v>
      </c>
      <c r="B1123" s="39" t="n">
        <v>33</v>
      </c>
      <c r="C1123" s="39">
        <f>A1123+B1123-1</f>
        <v/>
      </c>
      <c r="D1123" s="39">
        <f>INT((C1123-1)/12)+1</f>
        <v/>
      </c>
      <c r="E1123" s="44">
        <f>INDEX(Monthly!$B$2:$B$61,A1123)</f>
        <v/>
      </c>
      <c r="F1123" s="44">
        <f>E1123*INDEX('Age profile'!$B$2:$B$61,B1123)</f>
        <v/>
      </c>
      <c r="G1123" s="45">
        <f>MIN(in_takeup_cap,INDEX('Age profile'!$N$2:$N$61,B1123)*(1+in_takeup_growth)^(D1123-1))</f>
        <v/>
      </c>
      <c r="H1123" s="11">
        <f>MIN(in_approval_cap,in_approved_first*INDEX('Age profile'!$O$2:$O$61,B1123)*(1+in_approval_growth)^(D1123-1))</f>
        <v/>
      </c>
      <c r="I1123" s="45">
        <f>G1123*MIN(in_takeup_cap,INDEX('Age profile'!$O$2:$O$61,B1123)*(1+in_approval_growth)^(D1123-1))</f>
        <v/>
      </c>
      <c r="J1123" s="40">
        <f>(J1122-L1122)*F1123/F1122</f>
        <v/>
      </c>
      <c r="K1123" s="40">
        <f>(K1122-M1122)*F1123/F1122+SUMIFS(O1091:O1122,B1091:B1122,B1123-1-d_T)*F1123</f>
        <v/>
      </c>
      <c r="L1123" s="40">
        <f>IF(B1123&gt;=in_marketplace_from,J1123*d_hz*G1123*in_eligible*H1123,0)</f>
        <v/>
      </c>
      <c r="M1123" s="40">
        <f>IF(B1123&gt;=in_marketplace_from,K1123*d_hz*G1123*in_eligible*in_approved_repeat,0)</f>
        <v/>
      </c>
      <c r="N1123" s="40">
        <f>L1123+M1123</f>
        <v/>
      </c>
      <c r="O1123" s="46">
        <f>N1123/F1123</f>
        <v/>
      </c>
      <c r="P1123" s="40">
        <f>F1123-J1123-K1123</f>
        <v/>
      </c>
      <c r="Q1123" s="40">
        <f>IF(B1123&gt;=in_marketplace_from,(J1123+K1123)*d_hz*G1123,0)</f>
        <v/>
      </c>
      <c r="R1123" s="40">
        <f>SUMIFS(N1091:N1128,B1091:B1128,"&gt;="&amp;(B1123-d_T),B1091:B1128,"&lt;="&amp;(B1123-1))</f>
        <v/>
      </c>
      <c r="S1123" s="46">
        <f>(1-d_u)*S1122+IF(d_T&gt;in_topup_lag,SUMIFS(O1091:O1128,B1091:B1128,B1123-in_topup_lag)-d_udrop*SUMIFS(O1091:O1128,B1091:B1128,B1123-d_T),0)</f>
        <v/>
      </c>
      <c r="T1123" s="40">
        <f>F1123*d_u*S1123</f>
        <v/>
      </c>
      <c r="U1123" s="9">
        <f>L1123*in_ticket+M1123*d_rep_ticket</f>
        <v/>
      </c>
      <c r="V1123" s="9">
        <f>U1123+T1123*d_topup_amt</f>
        <v/>
      </c>
      <c r="W1123" s="40">
        <f>N1123+T1123*d_topup_ratio</f>
        <v/>
      </c>
      <c r="X1123" s="40">
        <f>SUMIFS(W1091:W1128,B1091:B1128,B1123-in_dpd_lag)*d_cured</f>
        <v/>
      </c>
      <c r="Y1123" s="40">
        <f>SUMIFS(W1091:W1128,B1091:B1128,B1123-in_rec_lag)*d_recd</f>
        <v/>
      </c>
      <c r="Z1123" s="40">
        <f>IF(AND(B1123&gt;=in_marketplace_from,B1123&lt;in_marketplace_from+in_card_months),in_card_share/in_card_months*F1123*I1123,IF(AND(B1123&gt;=in_marketplace_from+in_card_months,B1123&lt;in_marketplace_from+2*in_card_months),in_card_share*d_card_rem/in_card_months*F1123*MIN(in_takeup_cap,(1+in_takeup_growth)^(D1123-1))*MIN(in_takeup_cap,(1+in_approval_growth)^(D1123-1)),0))</f>
        <v/>
      </c>
      <c r="AA1123" s="14">
        <f>V1123*in_fee*(1-in_taken_back)</f>
        <v/>
      </c>
      <c r="AB1123" s="14">
        <f>SUMIFS(W1091:W1128,B1091:B1128,B1123-in_dpd_lag)*d_dpd</f>
        <v/>
      </c>
      <c r="AC1123" s="14">
        <f>SUMIFS(W1091:W1128,B1091:B1128,B1123-in_rec_lag)*d_rec</f>
        <v/>
      </c>
      <c r="AD1123" s="14">
        <f>Z1123*in_card_fee</f>
        <v/>
      </c>
      <c r="AE1123" s="40">
        <f>AE1122*(1-IF(B1122&gt;=in_marketplace_from,d_hz_hlth_small*G1122,0))</f>
        <v/>
      </c>
      <c r="AF1123" s="46">
        <f>AE1123*IF(B1123&gt;=in_marketplace_from,d_hz_hlth_small*G1123,0)</f>
        <v/>
      </c>
      <c r="AG1123" s="14">
        <f>F1123*AF1123*in_hlth_small_ticket*in_hlth_small_comm*in_ins_partner_share+F1123*in_hlth_small_ticket*in_hlth_small_renew_comm*in_ins_partner_share*(in_hlth_small_renew^1*SUMIFS(AF1091:AF1128,B1091:B1128,B1123-12)+in_hlth_small_renew^2*SUMIFS(AF1091:AF1128,B1091:B1128,B1123-24)+in_hlth_small_renew^3*SUMIFS(AF1091:AF1128,B1091:B1128,B1123-36)+in_hlth_small_renew^4*SUMIFS(AF1091:AF1128,B1091:B1128,B1123-48))</f>
        <v/>
      </c>
      <c r="AH1123" s="40">
        <f>AH1122*(1-IF(B1122&gt;=in_marketplace_from,d_hz_hlth_family*G1122,0))</f>
        <v/>
      </c>
      <c r="AI1123" s="46">
        <f>AH1123*IF(B1123&gt;=in_marketplace_from,d_hz_hlth_family*G1123,0)</f>
        <v/>
      </c>
      <c r="AJ1123" s="14">
        <f>F1123*AI1123*in_hlth_family_ticket*in_hlth_family_comm*in_ins_partner_share+F1123*in_hlth_family_ticket*in_hlth_family_renew_comm*in_ins_partner_share*(in_hlth_family_renew^1*SUMIFS(AI1091:AI1128,B1091:B1128,B1123-12)+in_hlth_family_renew^2*SUMIFS(AI1091:AI1128,B1091:B1128,B1123-24)+in_hlth_family_renew^3*SUMIFS(AI1091:AI1128,B1091:B1128,B1123-36)+in_hlth_family_renew^4*SUMIFS(AI1091:AI1128,B1091:B1128,B1123-48))</f>
        <v/>
      </c>
      <c r="AK1123" s="40">
        <f>AK1122*(1-IF(B1122&gt;=in_marketplace_from,d_hz_life_term*G1122,0))</f>
        <v/>
      </c>
      <c r="AL1123" s="46">
        <f>AK1123*IF(B1123&gt;=in_marketplace_from,d_hz_life_term*G1123,0)</f>
        <v/>
      </c>
      <c r="AM1123" s="14">
        <f>F1123*AL1123*in_life_term_ticket*in_life_term_comm*in_ins_partner_share+F1123*in_life_term_ticket*in_life_term_renew_comm*in_ins_partner_share*(in_life_term_renew^1*SUMIFS(AL1091:AL1128,B1091:B1128,B1123-12)+in_life_term_renew^2*SUMIFS(AL1091:AL1128,B1091:B1128,B1123-24)+in_life_term_renew^3*SUMIFS(AL1091:AL1128,B1091:B1128,B1123-36)+in_life_term_renew^4*SUMIFS(AL1091:AL1128,B1091:B1128,B1123-48))</f>
        <v/>
      </c>
      <c r="AN1123" s="40">
        <f>AN1122*(1-IF(B1122&gt;=in_marketplace_from,d_hz_accident*G1122,0))</f>
        <v/>
      </c>
      <c r="AO1123" s="46">
        <f>AN1123*IF(B1123&gt;=in_marketplace_from,d_hz_accident*G1123,0)</f>
        <v/>
      </c>
      <c r="AP1123" s="14">
        <f>F1123*AO1123*in_accident_ticket*in_accident_comm*in_ins_partner_share+F1123*in_accident_ticket*in_accident_renew_comm*in_ins_partner_share*(in_accident_renew^1*SUMIFS(AO1091:AO1128,B1091:B1128,B1123-12)+in_accident_renew^2*SUMIFS(AO1091:AO1128,B1091:B1128,B1123-24)+in_accident_renew^3*SUMIFS(AO1091:AO1128,B1091:B1128,B1123-36)+in_accident_renew^4*SUMIFS(AO1091:AO1128,B1091:B1128,B1123-48))</f>
        <v/>
      </c>
      <c r="AQ1123" s="40">
        <f>AQ1122*(1-IF(B1122&gt;=in_marketplace_from,d_hz_two_wheeler*G1122,0))</f>
        <v/>
      </c>
      <c r="AR1123" s="46">
        <f>AQ1123*IF(B1123&gt;=in_marketplace_from,d_hz_two_wheeler*G1123,0)</f>
        <v/>
      </c>
      <c r="AS1123" s="14">
        <f>F1123*AR1123*in_two_wheeler_ticket*in_two_wheeler_comm*in_ins_partner_share+F1123*in_two_wheeler_ticket*in_two_wheeler_comm*in_ins_partner_share*(in_two_wheeler_renew^1*SUMIFS(AR1091:AR1128,B1091:B1128,B1123-12)+in_two_wheeler_renew^2*SUMIFS(AR1091:AR1128,B1091:B1128,B1123-24)+in_two_wheeler_renew^3*SUMIFS(AR1091:AR1128,B1091:B1128,B1123-36)+in_two_wheeler_renew^4*SUMIFS(AR1091:AR1128,B1091:B1128,B1123-48))</f>
        <v/>
      </c>
      <c r="AT1123" s="40">
        <f>AT1122*(1-IF(B1122&gt;=in_marketplace_from,d_hz_device*G1122,0))</f>
        <v/>
      </c>
      <c r="AU1123" s="14">
        <f>F1123*AT1123*IF(B1123&gt;=in_marketplace_from,d_hz_device*G1123,0)*in_device_ticket*in_device_comm*in_ins_partner_share</f>
        <v/>
      </c>
      <c r="AV1123" s="40">
        <f>AV1122*(1-IF(B1122&gt;=in_marketplace_from,d_hz_shop*G1122,0))</f>
        <v/>
      </c>
      <c r="AW1123" s="46">
        <f>AV1123*IF(B1123&gt;=in_marketplace_from,d_hz_shop*G1123,0)</f>
        <v/>
      </c>
      <c r="AX1123" s="14">
        <f>F1123*AW1123*in_shop_ticket*in_shop_comm*in_ins_partner_share+F1123*in_shop_ticket*in_shop_renew_comm*in_ins_partner_share*(in_shop_renew^1*SUMIFS(AW1091:AW1128,B1091:B1128,B1123-12)+in_shop_renew^2*SUMIFS(AW1091:AW1128,B1091:B1128,B1123-24)+in_shop_renew^3*SUMIFS(AW1091:AW1128,B1091:B1128,B1123-36)+in_shop_renew^4*SUMIFS(AW1091:AW1128,B1091:B1128,B1123-48))</f>
        <v/>
      </c>
      <c r="AY1123" s="40">
        <f>AY1122*(1-IF(B1122&gt;=in_marketplace_from,d_hz_sip*G1122,0))</f>
        <v/>
      </c>
      <c r="AZ1123" s="40">
        <f>AZ1122*d_rho_sip+AY1123*IF(B1123&gt;=in_marketplace_from,d_hz_sip*G1123,0)</f>
        <v/>
      </c>
      <c r="BA1123" s="40">
        <f>d_rho_sip*(BA1122+AZ1122)</f>
        <v/>
      </c>
      <c r="BB1123" s="14">
        <f>F1123*in_sip_ticket*(BA1123+0.5*AZ1123)*in_sip_comm/12</f>
        <v/>
      </c>
      <c r="BC1123" s="40">
        <f>BC1122*(1-IF(B1122&gt;=in_marketplace_from,d_hz_choti*G1122,0))</f>
        <v/>
      </c>
      <c r="BD1123" s="46">
        <f>BC1123*IF(B1123&gt;=in_marketplace_from,d_hz_choti*G1123,0)</f>
        <v/>
      </c>
      <c r="BE1123" s="14">
        <f>F1123*SUMIFS(BD1091:BD1128,B1091:B1128,B1123-in_choti_months)*in_choti_renew*in_choti_ticket</f>
        <v/>
      </c>
      <c r="BF1123" s="40">
        <f>BF1122*(1-IF(B1122&gt;=in_marketplace_from,d_hz_nps*G1122,0))</f>
        <v/>
      </c>
      <c r="BG1123" s="14">
        <f>F1123*BF1123*IF(B1123&gt;=in_marketplace_from,d_hz_nps*G1123,0)*in_nps_ticket*in_nps_comm</f>
        <v/>
      </c>
      <c r="BH1123" s="40">
        <f>BH1122*(1-IF(B1122&gt;=in_marketplace_from,d_hz_gold*G1122,0))</f>
        <v/>
      </c>
      <c r="BI1123" s="40">
        <f>BI1122*d_rho_gold+BH1123*IF(B1123&gt;=in_marketplace_from,d_hz_gold*G1123,0)</f>
        <v/>
      </c>
      <c r="BJ1123" s="14">
        <f>F1123*BI1123*in_gold_ticket*in_gold_comm</f>
        <v/>
      </c>
      <c r="BK1123" s="40">
        <f>BK1122*(1-IF(B1122&gt;=in_marketplace_from,d_hz_fd*G1122,0))</f>
        <v/>
      </c>
      <c r="BL1123" s="14">
        <f>F1123*BK1123*IF(B1123&gt;=in_marketplace_from,d_hz_fd*G1123,0)*in_fd_ticket*in_fd_comm</f>
        <v/>
      </c>
      <c r="BM1123" s="40">
        <f>BM1122*(1-IF(B1122&gt;=in_marketplace_from,d_hz_recharge*G1122,0))</f>
        <v/>
      </c>
      <c r="BN1123" s="40">
        <f>BN1122*d_rho_recharge+BM1123*IF(B1123&gt;=in_marketplace_from,d_hz_recharge*G1123,0)</f>
        <v/>
      </c>
      <c r="BO1123" s="14">
        <f>F1123*BN1123*in_recharge_ticket*in_recharge_comm/12</f>
        <v/>
      </c>
      <c r="BP1123" s="40">
        <f>BP1122*(1-IF(B1122&gt;=in_marketplace_from,d_hz_bills*G1122,0))</f>
        <v/>
      </c>
      <c r="BQ1123" s="40">
        <f>BQ1122*d_rho_bills+BP1123*IF(B1123&gt;=in_marketplace_from,d_hz_bills*G1123,0)</f>
        <v/>
      </c>
      <c r="BR1123" s="14">
        <f>F1123*BQ1123*in_bills_ticket*in_bills_comm/12</f>
        <v/>
      </c>
      <c r="BS1123" s="40">
        <f>BS1122*(1-IF(B1122&gt;=in_marketplace_from,d_hz_loan_gold*G1122,0))</f>
        <v/>
      </c>
      <c r="BT1123" s="14">
        <f>F1123*BS1123*IF(B1123&gt;=in_marketplace_from,d_hz_loan_gold*G1123,0)*in_loan_gold_ticket*in_loan_gold_comm</f>
        <v/>
      </c>
      <c r="BU1123" s="40">
        <f>BU1122*(1-IF(B1122&gt;=in_marketplace_from,d_hz_loan_cd*G1122,0))</f>
        <v/>
      </c>
      <c r="BV1123" s="14">
        <f>F1123*BU1123*IF(B1123&gt;=in_marketplace_from,d_hz_loan_cd*G1123,0)*in_loan_cd_ticket*in_loan_cd_comm</f>
        <v/>
      </c>
      <c r="BW1123" s="40">
        <f>BW1122*(1-IF(B1122&gt;=in_marketplace_from,d_hz_loan_vehicle*G1122,0))</f>
        <v/>
      </c>
      <c r="BX1123" s="14">
        <f>F1123*BW1123*IF(B1123&gt;=in_marketplace_from,d_hz_loan_vehicle*G1123,0)*in_loan_vehicle_ticket*in_loan_vehicle_comm</f>
        <v/>
      </c>
      <c r="BY1123" s="40">
        <f>BY1122*(1-IF(B1122&gt;=in_marketplace_from,d_hz_loan_home*G1122,0)*BZ1122)</f>
        <v/>
      </c>
      <c r="BZ1123" s="11">
        <f>MIN(in_approval_cap,in_loan_home_approval*INDEX('Age profile'!$O$2:$O$61,B1123)*(1+in_approval_growth)^(D1123-1))</f>
        <v/>
      </c>
      <c r="CA1123" s="14">
        <f>F1123*BY1123*IF(B1123&gt;=in_marketplace_from,d_hz_loan_home*G1123,0)*BZ1123*in_loan_home_ticket*in_loan_home_comm</f>
        <v/>
      </c>
      <c r="CB1123" s="40">
        <f>CB1122*(1-IF(B1122&gt;=in_marketplace_from,d_hz_loan_lap*G1122,0)*CC1122)</f>
        <v/>
      </c>
      <c r="CC1123" s="11">
        <f>MIN(in_approval_cap,in_loan_lap_approval*INDEX('Age profile'!$O$2:$O$61,B1123)*(1+in_approval_growth)^(D1123-1))</f>
        <v/>
      </c>
      <c r="CD1123" s="14">
        <f>F1123*CB1123*IF(B1123&gt;=in_marketplace_from,d_hz_loan_lap*G1123,0)*CC1123*in_loan_lap_ticket*in_loan_lap_comm</f>
        <v/>
      </c>
      <c r="CE1123" s="14">
        <f>AA1123+AB1123+AC1123+AD1123+AG1123+AJ1123+AM1123+AP1123+AS1123+AU1123+AX1123+BB1123+BE1123+BG1123+BJ1123+BL1123+BO1123+BR1123+BT1123+BV1123+BX1123+CA1123+CD1123</f>
        <v/>
      </c>
    </row>
    <row r="1124">
      <c r="A1124" s="39" t="n">
        <v>23</v>
      </c>
      <c r="B1124" s="39" t="n">
        <v>34</v>
      </c>
      <c r="C1124" s="39">
        <f>A1124+B1124-1</f>
        <v/>
      </c>
      <c r="D1124" s="39">
        <f>INT((C1124-1)/12)+1</f>
        <v/>
      </c>
      <c r="E1124" s="44">
        <f>INDEX(Monthly!$B$2:$B$61,A1124)</f>
        <v/>
      </c>
      <c r="F1124" s="44">
        <f>E1124*INDEX('Age profile'!$B$2:$B$61,B1124)</f>
        <v/>
      </c>
      <c r="G1124" s="45">
        <f>MIN(in_takeup_cap,INDEX('Age profile'!$N$2:$N$61,B1124)*(1+in_takeup_growth)^(D1124-1))</f>
        <v/>
      </c>
      <c r="H1124" s="11">
        <f>MIN(in_approval_cap,in_approved_first*INDEX('Age profile'!$O$2:$O$61,B1124)*(1+in_approval_growth)^(D1124-1))</f>
        <v/>
      </c>
      <c r="I1124" s="45">
        <f>G1124*MIN(in_takeup_cap,INDEX('Age profile'!$O$2:$O$61,B1124)*(1+in_approval_growth)^(D1124-1))</f>
        <v/>
      </c>
      <c r="J1124" s="40">
        <f>(J1123-L1123)*F1124/F1123</f>
        <v/>
      </c>
      <c r="K1124" s="40">
        <f>(K1123-M1123)*F1124/F1123+SUMIFS(O1091:O1123,B1091:B1123,B1124-1-d_T)*F1124</f>
        <v/>
      </c>
      <c r="L1124" s="40">
        <f>IF(B1124&gt;=in_marketplace_from,J1124*d_hz*G1124*in_eligible*H1124,0)</f>
        <v/>
      </c>
      <c r="M1124" s="40">
        <f>IF(B1124&gt;=in_marketplace_from,K1124*d_hz*G1124*in_eligible*in_approved_repeat,0)</f>
        <v/>
      </c>
      <c r="N1124" s="40">
        <f>L1124+M1124</f>
        <v/>
      </c>
      <c r="O1124" s="46">
        <f>N1124/F1124</f>
        <v/>
      </c>
      <c r="P1124" s="40">
        <f>F1124-J1124-K1124</f>
        <v/>
      </c>
      <c r="Q1124" s="40">
        <f>IF(B1124&gt;=in_marketplace_from,(J1124+K1124)*d_hz*G1124,0)</f>
        <v/>
      </c>
      <c r="R1124" s="40">
        <f>SUMIFS(N1091:N1128,B1091:B1128,"&gt;="&amp;(B1124-d_T),B1091:B1128,"&lt;="&amp;(B1124-1))</f>
        <v/>
      </c>
      <c r="S1124" s="46">
        <f>(1-d_u)*S1123+IF(d_T&gt;in_topup_lag,SUMIFS(O1091:O1128,B1091:B1128,B1124-in_topup_lag)-d_udrop*SUMIFS(O1091:O1128,B1091:B1128,B1124-d_T),0)</f>
        <v/>
      </c>
      <c r="T1124" s="40">
        <f>F1124*d_u*S1124</f>
        <v/>
      </c>
      <c r="U1124" s="9">
        <f>L1124*in_ticket+M1124*d_rep_ticket</f>
        <v/>
      </c>
      <c r="V1124" s="9">
        <f>U1124+T1124*d_topup_amt</f>
        <v/>
      </c>
      <c r="W1124" s="40">
        <f>N1124+T1124*d_topup_ratio</f>
        <v/>
      </c>
      <c r="X1124" s="40">
        <f>SUMIFS(W1091:W1128,B1091:B1128,B1124-in_dpd_lag)*d_cured</f>
        <v/>
      </c>
      <c r="Y1124" s="40">
        <f>SUMIFS(W1091:W1128,B1091:B1128,B1124-in_rec_lag)*d_recd</f>
        <v/>
      </c>
      <c r="Z1124" s="40">
        <f>IF(AND(B1124&gt;=in_marketplace_from,B1124&lt;in_marketplace_from+in_card_months),in_card_share/in_card_months*F1124*I1124,IF(AND(B1124&gt;=in_marketplace_from+in_card_months,B1124&lt;in_marketplace_from+2*in_card_months),in_card_share*d_card_rem/in_card_months*F1124*MIN(in_takeup_cap,(1+in_takeup_growth)^(D1124-1))*MIN(in_takeup_cap,(1+in_approval_growth)^(D1124-1)),0))</f>
        <v/>
      </c>
      <c r="AA1124" s="14">
        <f>V1124*in_fee*(1-in_taken_back)</f>
        <v/>
      </c>
      <c r="AB1124" s="14">
        <f>SUMIFS(W1091:W1128,B1091:B1128,B1124-in_dpd_lag)*d_dpd</f>
        <v/>
      </c>
      <c r="AC1124" s="14">
        <f>SUMIFS(W1091:W1128,B1091:B1128,B1124-in_rec_lag)*d_rec</f>
        <v/>
      </c>
      <c r="AD1124" s="14">
        <f>Z1124*in_card_fee</f>
        <v/>
      </c>
      <c r="AE1124" s="40">
        <f>AE1123*(1-IF(B1123&gt;=in_marketplace_from,d_hz_hlth_small*G1123,0))</f>
        <v/>
      </c>
      <c r="AF1124" s="46">
        <f>AE1124*IF(B1124&gt;=in_marketplace_from,d_hz_hlth_small*G1124,0)</f>
        <v/>
      </c>
      <c r="AG1124" s="14">
        <f>F1124*AF1124*in_hlth_small_ticket*in_hlth_small_comm*in_ins_partner_share+F1124*in_hlth_small_ticket*in_hlth_small_renew_comm*in_ins_partner_share*(in_hlth_small_renew^1*SUMIFS(AF1091:AF1128,B1091:B1128,B1124-12)+in_hlth_small_renew^2*SUMIFS(AF1091:AF1128,B1091:B1128,B1124-24)+in_hlth_small_renew^3*SUMIFS(AF1091:AF1128,B1091:B1128,B1124-36)+in_hlth_small_renew^4*SUMIFS(AF1091:AF1128,B1091:B1128,B1124-48))</f>
        <v/>
      </c>
      <c r="AH1124" s="40">
        <f>AH1123*(1-IF(B1123&gt;=in_marketplace_from,d_hz_hlth_family*G1123,0))</f>
        <v/>
      </c>
      <c r="AI1124" s="46">
        <f>AH1124*IF(B1124&gt;=in_marketplace_from,d_hz_hlth_family*G1124,0)</f>
        <v/>
      </c>
      <c r="AJ1124" s="14">
        <f>F1124*AI1124*in_hlth_family_ticket*in_hlth_family_comm*in_ins_partner_share+F1124*in_hlth_family_ticket*in_hlth_family_renew_comm*in_ins_partner_share*(in_hlth_family_renew^1*SUMIFS(AI1091:AI1128,B1091:B1128,B1124-12)+in_hlth_family_renew^2*SUMIFS(AI1091:AI1128,B1091:B1128,B1124-24)+in_hlth_family_renew^3*SUMIFS(AI1091:AI1128,B1091:B1128,B1124-36)+in_hlth_family_renew^4*SUMIFS(AI1091:AI1128,B1091:B1128,B1124-48))</f>
        <v/>
      </c>
      <c r="AK1124" s="40">
        <f>AK1123*(1-IF(B1123&gt;=in_marketplace_from,d_hz_life_term*G1123,0))</f>
        <v/>
      </c>
      <c r="AL1124" s="46">
        <f>AK1124*IF(B1124&gt;=in_marketplace_from,d_hz_life_term*G1124,0)</f>
        <v/>
      </c>
      <c r="AM1124" s="14">
        <f>F1124*AL1124*in_life_term_ticket*in_life_term_comm*in_ins_partner_share+F1124*in_life_term_ticket*in_life_term_renew_comm*in_ins_partner_share*(in_life_term_renew^1*SUMIFS(AL1091:AL1128,B1091:B1128,B1124-12)+in_life_term_renew^2*SUMIFS(AL1091:AL1128,B1091:B1128,B1124-24)+in_life_term_renew^3*SUMIFS(AL1091:AL1128,B1091:B1128,B1124-36)+in_life_term_renew^4*SUMIFS(AL1091:AL1128,B1091:B1128,B1124-48))</f>
        <v/>
      </c>
      <c r="AN1124" s="40">
        <f>AN1123*(1-IF(B1123&gt;=in_marketplace_from,d_hz_accident*G1123,0))</f>
        <v/>
      </c>
      <c r="AO1124" s="46">
        <f>AN1124*IF(B1124&gt;=in_marketplace_from,d_hz_accident*G1124,0)</f>
        <v/>
      </c>
      <c r="AP1124" s="14">
        <f>F1124*AO1124*in_accident_ticket*in_accident_comm*in_ins_partner_share+F1124*in_accident_ticket*in_accident_renew_comm*in_ins_partner_share*(in_accident_renew^1*SUMIFS(AO1091:AO1128,B1091:B1128,B1124-12)+in_accident_renew^2*SUMIFS(AO1091:AO1128,B1091:B1128,B1124-24)+in_accident_renew^3*SUMIFS(AO1091:AO1128,B1091:B1128,B1124-36)+in_accident_renew^4*SUMIFS(AO1091:AO1128,B1091:B1128,B1124-48))</f>
        <v/>
      </c>
      <c r="AQ1124" s="40">
        <f>AQ1123*(1-IF(B1123&gt;=in_marketplace_from,d_hz_two_wheeler*G1123,0))</f>
        <v/>
      </c>
      <c r="AR1124" s="46">
        <f>AQ1124*IF(B1124&gt;=in_marketplace_from,d_hz_two_wheeler*G1124,0)</f>
        <v/>
      </c>
      <c r="AS1124" s="14">
        <f>F1124*AR1124*in_two_wheeler_ticket*in_two_wheeler_comm*in_ins_partner_share+F1124*in_two_wheeler_ticket*in_two_wheeler_comm*in_ins_partner_share*(in_two_wheeler_renew^1*SUMIFS(AR1091:AR1128,B1091:B1128,B1124-12)+in_two_wheeler_renew^2*SUMIFS(AR1091:AR1128,B1091:B1128,B1124-24)+in_two_wheeler_renew^3*SUMIFS(AR1091:AR1128,B1091:B1128,B1124-36)+in_two_wheeler_renew^4*SUMIFS(AR1091:AR1128,B1091:B1128,B1124-48))</f>
        <v/>
      </c>
      <c r="AT1124" s="40">
        <f>AT1123*(1-IF(B1123&gt;=in_marketplace_from,d_hz_device*G1123,0))</f>
        <v/>
      </c>
      <c r="AU1124" s="14">
        <f>F1124*AT1124*IF(B1124&gt;=in_marketplace_from,d_hz_device*G1124,0)*in_device_ticket*in_device_comm*in_ins_partner_share</f>
        <v/>
      </c>
      <c r="AV1124" s="40">
        <f>AV1123*(1-IF(B1123&gt;=in_marketplace_from,d_hz_shop*G1123,0))</f>
        <v/>
      </c>
      <c r="AW1124" s="46">
        <f>AV1124*IF(B1124&gt;=in_marketplace_from,d_hz_shop*G1124,0)</f>
        <v/>
      </c>
      <c r="AX1124" s="14">
        <f>F1124*AW1124*in_shop_ticket*in_shop_comm*in_ins_partner_share+F1124*in_shop_ticket*in_shop_renew_comm*in_ins_partner_share*(in_shop_renew^1*SUMIFS(AW1091:AW1128,B1091:B1128,B1124-12)+in_shop_renew^2*SUMIFS(AW1091:AW1128,B1091:B1128,B1124-24)+in_shop_renew^3*SUMIFS(AW1091:AW1128,B1091:B1128,B1124-36)+in_shop_renew^4*SUMIFS(AW1091:AW1128,B1091:B1128,B1124-48))</f>
        <v/>
      </c>
      <c r="AY1124" s="40">
        <f>AY1123*(1-IF(B1123&gt;=in_marketplace_from,d_hz_sip*G1123,0))</f>
        <v/>
      </c>
      <c r="AZ1124" s="40">
        <f>AZ1123*d_rho_sip+AY1124*IF(B1124&gt;=in_marketplace_from,d_hz_sip*G1124,0)</f>
        <v/>
      </c>
      <c r="BA1124" s="40">
        <f>d_rho_sip*(BA1123+AZ1123)</f>
        <v/>
      </c>
      <c r="BB1124" s="14">
        <f>F1124*in_sip_ticket*(BA1124+0.5*AZ1124)*in_sip_comm/12</f>
        <v/>
      </c>
      <c r="BC1124" s="40">
        <f>BC1123*(1-IF(B1123&gt;=in_marketplace_from,d_hz_choti*G1123,0))</f>
        <v/>
      </c>
      <c r="BD1124" s="46">
        <f>BC1124*IF(B1124&gt;=in_marketplace_from,d_hz_choti*G1124,0)</f>
        <v/>
      </c>
      <c r="BE1124" s="14">
        <f>F1124*SUMIFS(BD1091:BD1128,B1091:B1128,B1124-in_choti_months)*in_choti_renew*in_choti_ticket</f>
        <v/>
      </c>
      <c r="BF1124" s="40">
        <f>BF1123*(1-IF(B1123&gt;=in_marketplace_from,d_hz_nps*G1123,0))</f>
        <v/>
      </c>
      <c r="BG1124" s="14">
        <f>F1124*BF1124*IF(B1124&gt;=in_marketplace_from,d_hz_nps*G1124,0)*in_nps_ticket*in_nps_comm</f>
        <v/>
      </c>
      <c r="BH1124" s="40">
        <f>BH1123*(1-IF(B1123&gt;=in_marketplace_from,d_hz_gold*G1123,0))</f>
        <v/>
      </c>
      <c r="BI1124" s="40">
        <f>BI1123*d_rho_gold+BH1124*IF(B1124&gt;=in_marketplace_from,d_hz_gold*G1124,0)</f>
        <v/>
      </c>
      <c r="BJ1124" s="14">
        <f>F1124*BI1124*in_gold_ticket*in_gold_comm</f>
        <v/>
      </c>
      <c r="BK1124" s="40">
        <f>BK1123*(1-IF(B1123&gt;=in_marketplace_from,d_hz_fd*G1123,0))</f>
        <v/>
      </c>
      <c r="BL1124" s="14">
        <f>F1124*BK1124*IF(B1124&gt;=in_marketplace_from,d_hz_fd*G1124,0)*in_fd_ticket*in_fd_comm</f>
        <v/>
      </c>
      <c r="BM1124" s="40">
        <f>BM1123*(1-IF(B1123&gt;=in_marketplace_from,d_hz_recharge*G1123,0))</f>
        <v/>
      </c>
      <c r="BN1124" s="40">
        <f>BN1123*d_rho_recharge+BM1124*IF(B1124&gt;=in_marketplace_from,d_hz_recharge*G1124,0)</f>
        <v/>
      </c>
      <c r="BO1124" s="14">
        <f>F1124*BN1124*in_recharge_ticket*in_recharge_comm/12</f>
        <v/>
      </c>
      <c r="BP1124" s="40">
        <f>BP1123*(1-IF(B1123&gt;=in_marketplace_from,d_hz_bills*G1123,0))</f>
        <v/>
      </c>
      <c r="BQ1124" s="40">
        <f>BQ1123*d_rho_bills+BP1124*IF(B1124&gt;=in_marketplace_from,d_hz_bills*G1124,0)</f>
        <v/>
      </c>
      <c r="BR1124" s="14">
        <f>F1124*BQ1124*in_bills_ticket*in_bills_comm/12</f>
        <v/>
      </c>
      <c r="BS1124" s="40">
        <f>BS1123*(1-IF(B1123&gt;=in_marketplace_from,d_hz_loan_gold*G1123,0))</f>
        <v/>
      </c>
      <c r="BT1124" s="14">
        <f>F1124*BS1124*IF(B1124&gt;=in_marketplace_from,d_hz_loan_gold*G1124,0)*in_loan_gold_ticket*in_loan_gold_comm</f>
        <v/>
      </c>
      <c r="BU1124" s="40">
        <f>BU1123*(1-IF(B1123&gt;=in_marketplace_from,d_hz_loan_cd*G1123,0))</f>
        <v/>
      </c>
      <c r="BV1124" s="14">
        <f>F1124*BU1124*IF(B1124&gt;=in_marketplace_from,d_hz_loan_cd*G1124,0)*in_loan_cd_ticket*in_loan_cd_comm</f>
        <v/>
      </c>
      <c r="BW1124" s="40">
        <f>BW1123*(1-IF(B1123&gt;=in_marketplace_from,d_hz_loan_vehicle*G1123,0))</f>
        <v/>
      </c>
      <c r="BX1124" s="14">
        <f>F1124*BW1124*IF(B1124&gt;=in_marketplace_from,d_hz_loan_vehicle*G1124,0)*in_loan_vehicle_ticket*in_loan_vehicle_comm</f>
        <v/>
      </c>
      <c r="BY1124" s="40">
        <f>BY1123*(1-IF(B1123&gt;=in_marketplace_from,d_hz_loan_home*G1123,0)*BZ1123)</f>
        <v/>
      </c>
      <c r="BZ1124" s="11">
        <f>MIN(in_approval_cap,in_loan_home_approval*INDEX('Age profile'!$O$2:$O$61,B1124)*(1+in_approval_growth)^(D1124-1))</f>
        <v/>
      </c>
      <c r="CA1124" s="14">
        <f>F1124*BY1124*IF(B1124&gt;=in_marketplace_from,d_hz_loan_home*G1124,0)*BZ1124*in_loan_home_ticket*in_loan_home_comm</f>
        <v/>
      </c>
      <c r="CB1124" s="40">
        <f>CB1123*(1-IF(B1123&gt;=in_marketplace_from,d_hz_loan_lap*G1123,0)*CC1123)</f>
        <v/>
      </c>
      <c r="CC1124" s="11">
        <f>MIN(in_approval_cap,in_loan_lap_approval*INDEX('Age profile'!$O$2:$O$61,B1124)*(1+in_approval_growth)^(D1124-1))</f>
        <v/>
      </c>
      <c r="CD1124" s="14">
        <f>F1124*CB1124*IF(B1124&gt;=in_marketplace_from,d_hz_loan_lap*G1124,0)*CC1124*in_loan_lap_ticket*in_loan_lap_comm</f>
        <v/>
      </c>
      <c r="CE1124" s="14">
        <f>AA1124+AB1124+AC1124+AD1124+AG1124+AJ1124+AM1124+AP1124+AS1124+AU1124+AX1124+BB1124+BE1124+BG1124+BJ1124+BL1124+BO1124+BR1124+BT1124+BV1124+BX1124+CA1124+CD1124</f>
        <v/>
      </c>
    </row>
    <row r="1125">
      <c r="A1125" s="39" t="n">
        <v>23</v>
      </c>
      <c r="B1125" s="39" t="n">
        <v>35</v>
      </c>
      <c r="C1125" s="39">
        <f>A1125+B1125-1</f>
        <v/>
      </c>
      <c r="D1125" s="39">
        <f>INT((C1125-1)/12)+1</f>
        <v/>
      </c>
      <c r="E1125" s="44">
        <f>INDEX(Monthly!$B$2:$B$61,A1125)</f>
        <v/>
      </c>
      <c r="F1125" s="44">
        <f>E1125*INDEX('Age profile'!$B$2:$B$61,B1125)</f>
        <v/>
      </c>
      <c r="G1125" s="45">
        <f>MIN(in_takeup_cap,INDEX('Age profile'!$N$2:$N$61,B1125)*(1+in_takeup_growth)^(D1125-1))</f>
        <v/>
      </c>
      <c r="H1125" s="11">
        <f>MIN(in_approval_cap,in_approved_first*INDEX('Age profile'!$O$2:$O$61,B1125)*(1+in_approval_growth)^(D1125-1))</f>
        <v/>
      </c>
      <c r="I1125" s="45">
        <f>G1125*MIN(in_takeup_cap,INDEX('Age profile'!$O$2:$O$61,B1125)*(1+in_approval_growth)^(D1125-1))</f>
        <v/>
      </c>
      <c r="J1125" s="40">
        <f>(J1124-L1124)*F1125/F1124</f>
        <v/>
      </c>
      <c r="K1125" s="40">
        <f>(K1124-M1124)*F1125/F1124+SUMIFS(O1091:O1124,B1091:B1124,B1125-1-d_T)*F1125</f>
        <v/>
      </c>
      <c r="L1125" s="40">
        <f>IF(B1125&gt;=in_marketplace_from,J1125*d_hz*G1125*in_eligible*H1125,0)</f>
        <v/>
      </c>
      <c r="M1125" s="40">
        <f>IF(B1125&gt;=in_marketplace_from,K1125*d_hz*G1125*in_eligible*in_approved_repeat,0)</f>
        <v/>
      </c>
      <c r="N1125" s="40">
        <f>L1125+M1125</f>
        <v/>
      </c>
      <c r="O1125" s="46">
        <f>N1125/F1125</f>
        <v/>
      </c>
      <c r="P1125" s="40">
        <f>F1125-J1125-K1125</f>
        <v/>
      </c>
      <c r="Q1125" s="40">
        <f>IF(B1125&gt;=in_marketplace_from,(J1125+K1125)*d_hz*G1125,0)</f>
        <v/>
      </c>
      <c r="R1125" s="40">
        <f>SUMIFS(N1091:N1128,B1091:B1128,"&gt;="&amp;(B1125-d_T),B1091:B1128,"&lt;="&amp;(B1125-1))</f>
        <v/>
      </c>
      <c r="S1125" s="46">
        <f>(1-d_u)*S1124+IF(d_T&gt;in_topup_lag,SUMIFS(O1091:O1128,B1091:B1128,B1125-in_topup_lag)-d_udrop*SUMIFS(O1091:O1128,B1091:B1128,B1125-d_T),0)</f>
        <v/>
      </c>
      <c r="T1125" s="40">
        <f>F1125*d_u*S1125</f>
        <v/>
      </c>
      <c r="U1125" s="9">
        <f>L1125*in_ticket+M1125*d_rep_ticket</f>
        <v/>
      </c>
      <c r="V1125" s="9">
        <f>U1125+T1125*d_topup_amt</f>
        <v/>
      </c>
      <c r="W1125" s="40">
        <f>N1125+T1125*d_topup_ratio</f>
        <v/>
      </c>
      <c r="X1125" s="40">
        <f>SUMIFS(W1091:W1128,B1091:B1128,B1125-in_dpd_lag)*d_cured</f>
        <v/>
      </c>
      <c r="Y1125" s="40">
        <f>SUMIFS(W1091:W1128,B1091:B1128,B1125-in_rec_lag)*d_recd</f>
        <v/>
      </c>
      <c r="Z1125" s="40">
        <f>IF(AND(B1125&gt;=in_marketplace_from,B1125&lt;in_marketplace_from+in_card_months),in_card_share/in_card_months*F1125*I1125,IF(AND(B1125&gt;=in_marketplace_from+in_card_months,B1125&lt;in_marketplace_from+2*in_card_months),in_card_share*d_card_rem/in_card_months*F1125*MIN(in_takeup_cap,(1+in_takeup_growth)^(D1125-1))*MIN(in_takeup_cap,(1+in_approval_growth)^(D1125-1)),0))</f>
        <v/>
      </c>
      <c r="AA1125" s="14">
        <f>V1125*in_fee*(1-in_taken_back)</f>
        <v/>
      </c>
      <c r="AB1125" s="14">
        <f>SUMIFS(W1091:W1128,B1091:B1128,B1125-in_dpd_lag)*d_dpd</f>
        <v/>
      </c>
      <c r="AC1125" s="14">
        <f>SUMIFS(W1091:W1128,B1091:B1128,B1125-in_rec_lag)*d_rec</f>
        <v/>
      </c>
      <c r="AD1125" s="14">
        <f>Z1125*in_card_fee</f>
        <v/>
      </c>
      <c r="AE1125" s="40">
        <f>AE1124*(1-IF(B1124&gt;=in_marketplace_from,d_hz_hlth_small*G1124,0))</f>
        <v/>
      </c>
      <c r="AF1125" s="46">
        <f>AE1125*IF(B1125&gt;=in_marketplace_from,d_hz_hlth_small*G1125,0)</f>
        <v/>
      </c>
      <c r="AG1125" s="14">
        <f>F1125*AF1125*in_hlth_small_ticket*in_hlth_small_comm*in_ins_partner_share+F1125*in_hlth_small_ticket*in_hlth_small_renew_comm*in_ins_partner_share*(in_hlth_small_renew^1*SUMIFS(AF1091:AF1128,B1091:B1128,B1125-12)+in_hlth_small_renew^2*SUMIFS(AF1091:AF1128,B1091:B1128,B1125-24)+in_hlth_small_renew^3*SUMIFS(AF1091:AF1128,B1091:B1128,B1125-36)+in_hlth_small_renew^4*SUMIFS(AF1091:AF1128,B1091:B1128,B1125-48))</f>
        <v/>
      </c>
      <c r="AH1125" s="40">
        <f>AH1124*(1-IF(B1124&gt;=in_marketplace_from,d_hz_hlth_family*G1124,0))</f>
        <v/>
      </c>
      <c r="AI1125" s="46">
        <f>AH1125*IF(B1125&gt;=in_marketplace_from,d_hz_hlth_family*G1125,0)</f>
        <v/>
      </c>
      <c r="AJ1125" s="14">
        <f>F1125*AI1125*in_hlth_family_ticket*in_hlth_family_comm*in_ins_partner_share+F1125*in_hlth_family_ticket*in_hlth_family_renew_comm*in_ins_partner_share*(in_hlth_family_renew^1*SUMIFS(AI1091:AI1128,B1091:B1128,B1125-12)+in_hlth_family_renew^2*SUMIFS(AI1091:AI1128,B1091:B1128,B1125-24)+in_hlth_family_renew^3*SUMIFS(AI1091:AI1128,B1091:B1128,B1125-36)+in_hlth_family_renew^4*SUMIFS(AI1091:AI1128,B1091:B1128,B1125-48))</f>
        <v/>
      </c>
      <c r="AK1125" s="40">
        <f>AK1124*(1-IF(B1124&gt;=in_marketplace_from,d_hz_life_term*G1124,0))</f>
        <v/>
      </c>
      <c r="AL1125" s="46">
        <f>AK1125*IF(B1125&gt;=in_marketplace_from,d_hz_life_term*G1125,0)</f>
        <v/>
      </c>
      <c r="AM1125" s="14">
        <f>F1125*AL1125*in_life_term_ticket*in_life_term_comm*in_ins_partner_share+F1125*in_life_term_ticket*in_life_term_renew_comm*in_ins_partner_share*(in_life_term_renew^1*SUMIFS(AL1091:AL1128,B1091:B1128,B1125-12)+in_life_term_renew^2*SUMIFS(AL1091:AL1128,B1091:B1128,B1125-24)+in_life_term_renew^3*SUMIFS(AL1091:AL1128,B1091:B1128,B1125-36)+in_life_term_renew^4*SUMIFS(AL1091:AL1128,B1091:B1128,B1125-48))</f>
        <v/>
      </c>
      <c r="AN1125" s="40">
        <f>AN1124*(1-IF(B1124&gt;=in_marketplace_from,d_hz_accident*G1124,0))</f>
        <v/>
      </c>
      <c r="AO1125" s="46">
        <f>AN1125*IF(B1125&gt;=in_marketplace_from,d_hz_accident*G1125,0)</f>
        <v/>
      </c>
      <c r="AP1125" s="14">
        <f>F1125*AO1125*in_accident_ticket*in_accident_comm*in_ins_partner_share+F1125*in_accident_ticket*in_accident_renew_comm*in_ins_partner_share*(in_accident_renew^1*SUMIFS(AO1091:AO1128,B1091:B1128,B1125-12)+in_accident_renew^2*SUMIFS(AO1091:AO1128,B1091:B1128,B1125-24)+in_accident_renew^3*SUMIFS(AO1091:AO1128,B1091:B1128,B1125-36)+in_accident_renew^4*SUMIFS(AO1091:AO1128,B1091:B1128,B1125-48))</f>
        <v/>
      </c>
      <c r="AQ1125" s="40">
        <f>AQ1124*(1-IF(B1124&gt;=in_marketplace_from,d_hz_two_wheeler*G1124,0))</f>
        <v/>
      </c>
      <c r="AR1125" s="46">
        <f>AQ1125*IF(B1125&gt;=in_marketplace_from,d_hz_two_wheeler*G1125,0)</f>
        <v/>
      </c>
      <c r="AS1125" s="14">
        <f>F1125*AR1125*in_two_wheeler_ticket*in_two_wheeler_comm*in_ins_partner_share+F1125*in_two_wheeler_ticket*in_two_wheeler_comm*in_ins_partner_share*(in_two_wheeler_renew^1*SUMIFS(AR1091:AR1128,B1091:B1128,B1125-12)+in_two_wheeler_renew^2*SUMIFS(AR1091:AR1128,B1091:B1128,B1125-24)+in_two_wheeler_renew^3*SUMIFS(AR1091:AR1128,B1091:B1128,B1125-36)+in_two_wheeler_renew^4*SUMIFS(AR1091:AR1128,B1091:B1128,B1125-48))</f>
        <v/>
      </c>
      <c r="AT1125" s="40">
        <f>AT1124*(1-IF(B1124&gt;=in_marketplace_from,d_hz_device*G1124,0))</f>
        <v/>
      </c>
      <c r="AU1125" s="14">
        <f>F1125*AT1125*IF(B1125&gt;=in_marketplace_from,d_hz_device*G1125,0)*in_device_ticket*in_device_comm*in_ins_partner_share</f>
        <v/>
      </c>
      <c r="AV1125" s="40">
        <f>AV1124*(1-IF(B1124&gt;=in_marketplace_from,d_hz_shop*G1124,0))</f>
        <v/>
      </c>
      <c r="AW1125" s="46">
        <f>AV1125*IF(B1125&gt;=in_marketplace_from,d_hz_shop*G1125,0)</f>
        <v/>
      </c>
      <c r="AX1125" s="14">
        <f>F1125*AW1125*in_shop_ticket*in_shop_comm*in_ins_partner_share+F1125*in_shop_ticket*in_shop_renew_comm*in_ins_partner_share*(in_shop_renew^1*SUMIFS(AW1091:AW1128,B1091:B1128,B1125-12)+in_shop_renew^2*SUMIFS(AW1091:AW1128,B1091:B1128,B1125-24)+in_shop_renew^3*SUMIFS(AW1091:AW1128,B1091:B1128,B1125-36)+in_shop_renew^4*SUMIFS(AW1091:AW1128,B1091:B1128,B1125-48))</f>
        <v/>
      </c>
      <c r="AY1125" s="40">
        <f>AY1124*(1-IF(B1124&gt;=in_marketplace_from,d_hz_sip*G1124,0))</f>
        <v/>
      </c>
      <c r="AZ1125" s="40">
        <f>AZ1124*d_rho_sip+AY1125*IF(B1125&gt;=in_marketplace_from,d_hz_sip*G1125,0)</f>
        <v/>
      </c>
      <c r="BA1125" s="40">
        <f>d_rho_sip*(BA1124+AZ1124)</f>
        <v/>
      </c>
      <c r="BB1125" s="14">
        <f>F1125*in_sip_ticket*(BA1125+0.5*AZ1125)*in_sip_comm/12</f>
        <v/>
      </c>
      <c r="BC1125" s="40">
        <f>BC1124*(1-IF(B1124&gt;=in_marketplace_from,d_hz_choti*G1124,0))</f>
        <v/>
      </c>
      <c r="BD1125" s="46">
        <f>BC1125*IF(B1125&gt;=in_marketplace_from,d_hz_choti*G1125,0)</f>
        <v/>
      </c>
      <c r="BE1125" s="14">
        <f>F1125*SUMIFS(BD1091:BD1128,B1091:B1128,B1125-in_choti_months)*in_choti_renew*in_choti_ticket</f>
        <v/>
      </c>
      <c r="BF1125" s="40">
        <f>BF1124*(1-IF(B1124&gt;=in_marketplace_from,d_hz_nps*G1124,0))</f>
        <v/>
      </c>
      <c r="BG1125" s="14">
        <f>F1125*BF1125*IF(B1125&gt;=in_marketplace_from,d_hz_nps*G1125,0)*in_nps_ticket*in_nps_comm</f>
        <v/>
      </c>
      <c r="BH1125" s="40">
        <f>BH1124*(1-IF(B1124&gt;=in_marketplace_from,d_hz_gold*G1124,0))</f>
        <v/>
      </c>
      <c r="BI1125" s="40">
        <f>BI1124*d_rho_gold+BH1125*IF(B1125&gt;=in_marketplace_from,d_hz_gold*G1125,0)</f>
        <v/>
      </c>
      <c r="BJ1125" s="14">
        <f>F1125*BI1125*in_gold_ticket*in_gold_comm</f>
        <v/>
      </c>
      <c r="BK1125" s="40">
        <f>BK1124*(1-IF(B1124&gt;=in_marketplace_from,d_hz_fd*G1124,0))</f>
        <v/>
      </c>
      <c r="BL1125" s="14">
        <f>F1125*BK1125*IF(B1125&gt;=in_marketplace_from,d_hz_fd*G1125,0)*in_fd_ticket*in_fd_comm</f>
        <v/>
      </c>
      <c r="BM1125" s="40">
        <f>BM1124*(1-IF(B1124&gt;=in_marketplace_from,d_hz_recharge*G1124,0))</f>
        <v/>
      </c>
      <c r="BN1125" s="40">
        <f>BN1124*d_rho_recharge+BM1125*IF(B1125&gt;=in_marketplace_from,d_hz_recharge*G1125,0)</f>
        <v/>
      </c>
      <c r="BO1125" s="14">
        <f>F1125*BN1125*in_recharge_ticket*in_recharge_comm/12</f>
        <v/>
      </c>
      <c r="BP1125" s="40">
        <f>BP1124*(1-IF(B1124&gt;=in_marketplace_from,d_hz_bills*G1124,0))</f>
        <v/>
      </c>
      <c r="BQ1125" s="40">
        <f>BQ1124*d_rho_bills+BP1125*IF(B1125&gt;=in_marketplace_from,d_hz_bills*G1125,0)</f>
        <v/>
      </c>
      <c r="BR1125" s="14">
        <f>F1125*BQ1125*in_bills_ticket*in_bills_comm/12</f>
        <v/>
      </c>
      <c r="BS1125" s="40">
        <f>BS1124*(1-IF(B1124&gt;=in_marketplace_from,d_hz_loan_gold*G1124,0))</f>
        <v/>
      </c>
      <c r="BT1125" s="14">
        <f>F1125*BS1125*IF(B1125&gt;=in_marketplace_from,d_hz_loan_gold*G1125,0)*in_loan_gold_ticket*in_loan_gold_comm</f>
        <v/>
      </c>
      <c r="BU1125" s="40">
        <f>BU1124*(1-IF(B1124&gt;=in_marketplace_from,d_hz_loan_cd*G1124,0))</f>
        <v/>
      </c>
      <c r="BV1125" s="14">
        <f>F1125*BU1125*IF(B1125&gt;=in_marketplace_from,d_hz_loan_cd*G1125,0)*in_loan_cd_ticket*in_loan_cd_comm</f>
        <v/>
      </c>
      <c r="BW1125" s="40">
        <f>BW1124*(1-IF(B1124&gt;=in_marketplace_from,d_hz_loan_vehicle*G1124,0))</f>
        <v/>
      </c>
      <c r="BX1125" s="14">
        <f>F1125*BW1125*IF(B1125&gt;=in_marketplace_from,d_hz_loan_vehicle*G1125,0)*in_loan_vehicle_ticket*in_loan_vehicle_comm</f>
        <v/>
      </c>
      <c r="BY1125" s="40">
        <f>BY1124*(1-IF(B1124&gt;=in_marketplace_from,d_hz_loan_home*G1124,0)*BZ1124)</f>
        <v/>
      </c>
      <c r="BZ1125" s="11">
        <f>MIN(in_approval_cap,in_loan_home_approval*INDEX('Age profile'!$O$2:$O$61,B1125)*(1+in_approval_growth)^(D1125-1))</f>
        <v/>
      </c>
      <c r="CA1125" s="14">
        <f>F1125*BY1125*IF(B1125&gt;=in_marketplace_from,d_hz_loan_home*G1125,0)*BZ1125*in_loan_home_ticket*in_loan_home_comm</f>
        <v/>
      </c>
      <c r="CB1125" s="40">
        <f>CB1124*(1-IF(B1124&gt;=in_marketplace_from,d_hz_loan_lap*G1124,0)*CC1124)</f>
        <v/>
      </c>
      <c r="CC1125" s="11">
        <f>MIN(in_approval_cap,in_loan_lap_approval*INDEX('Age profile'!$O$2:$O$61,B1125)*(1+in_approval_growth)^(D1125-1))</f>
        <v/>
      </c>
      <c r="CD1125" s="14">
        <f>F1125*CB1125*IF(B1125&gt;=in_marketplace_from,d_hz_loan_lap*G1125,0)*CC1125*in_loan_lap_ticket*in_loan_lap_comm</f>
        <v/>
      </c>
      <c r="CE1125" s="14">
        <f>AA1125+AB1125+AC1125+AD1125+AG1125+AJ1125+AM1125+AP1125+AS1125+AU1125+AX1125+BB1125+BE1125+BG1125+BJ1125+BL1125+BO1125+BR1125+BT1125+BV1125+BX1125+CA1125+CD1125</f>
        <v/>
      </c>
    </row>
    <row r="1126">
      <c r="A1126" s="39" t="n">
        <v>23</v>
      </c>
      <c r="B1126" s="39" t="n">
        <v>36</v>
      </c>
      <c r="C1126" s="39">
        <f>A1126+B1126-1</f>
        <v/>
      </c>
      <c r="D1126" s="39">
        <f>INT((C1126-1)/12)+1</f>
        <v/>
      </c>
      <c r="E1126" s="44">
        <f>INDEX(Monthly!$B$2:$B$61,A1126)</f>
        <v/>
      </c>
      <c r="F1126" s="44">
        <f>E1126*INDEX('Age profile'!$B$2:$B$61,B1126)</f>
        <v/>
      </c>
      <c r="G1126" s="45">
        <f>MIN(in_takeup_cap,INDEX('Age profile'!$N$2:$N$61,B1126)*(1+in_takeup_growth)^(D1126-1))</f>
        <v/>
      </c>
      <c r="H1126" s="11">
        <f>MIN(in_approval_cap,in_approved_first*INDEX('Age profile'!$O$2:$O$61,B1126)*(1+in_approval_growth)^(D1126-1))</f>
        <v/>
      </c>
      <c r="I1126" s="45">
        <f>G1126*MIN(in_takeup_cap,INDEX('Age profile'!$O$2:$O$61,B1126)*(1+in_approval_growth)^(D1126-1))</f>
        <v/>
      </c>
      <c r="J1126" s="40">
        <f>(J1125-L1125)*F1126/F1125</f>
        <v/>
      </c>
      <c r="K1126" s="40">
        <f>(K1125-M1125)*F1126/F1125+SUMIFS(O1091:O1125,B1091:B1125,B1126-1-d_T)*F1126</f>
        <v/>
      </c>
      <c r="L1126" s="40">
        <f>IF(B1126&gt;=in_marketplace_from,J1126*d_hz*G1126*in_eligible*H1126,0)</f>
        <v/>
      </c>
      <c r="M1126" s="40">
        <f>IF(B1126&gt;=in_marketplace_from,K1126*d_hz*G1126*in_eligible*in_approved_repeat,0)</f>
        <v/>
      </c>
      <c r="N1126" s="40">
        <f>L1126+M1126</f>
        <v/>
      </c>
      <c r="O1126" s="46">
        <f>N1126/F1126</f>
        <v/>
      </c>
      <c r="P1126" s="40">
        <f>F1126-J1126-K1126</f>
        <v/>
      </c>
      <c r="Q1126" s="40">
        <f>IF(B1126&gt;=in_marketplace_from,(J1126+K1126)*d_hz*G1126,0)</f>
        <v/>
      </c>
      <c r="R1126" s="40">
        <f>SUMIFS(N1091:N1128,B1091:B1128,"&gt;="&amp;(B1126-d_T),B1091:B1128,"&lt;="&amp;(B1126-1))</f>
        <v/>
      </c>
      <c r="S1126" s="46">
        <f>(1-d_u)*S1125+IF(d_T&gt;in_topup_lag,SUMIFS(O1091:O1128,B1091:B1128,B1126-in_topup_lag)-d_udrop*SUMIFS(O1091:O1128,B1091:B1128,B1126-d_T),0)</f>
        <v/>
      </c>
      <c r="T1126" s="40">
        <f>F1126*d_u*S1126</f>
        <v/>
      </c>
      <c r="U1126" s="9">
        <f>L1126*in_ticket+M1126*d_rep_ticket</f>
        <v/>
      </c>
      <c r="V1126" s="9">
        <f>U1126+T1126*d_topup_amt</f>
        <v/>
      </c>
      <c r="W1126" s="40">
        <f>N1126+T1126*d_topup_ratio</f>
        <v/>
      </c>
      <c r="X1126" s="40">
        <f>SUMIFS(W1091:W1128,B1091:B1128,B1126-in_dpd_lag)*d_cured</f>
        <v/>
      </c>
      <c r="Y1126" s="40">
        <f>SUMIFS(W1091:W1128,B1091:B1128,B1126-in_rec_lag)*d_recd</f>
        <v/>
      </c>
      <c r="Z1126" s="40">
        <f>IF(AND(B1126&gt;=in_marketplace_from,B1126&lt;in_marketplace_from+in_card_months),in_card_share/in_card_months*F1126*I1126,IF(AND(B1126&gt;=in_marketplace_from+in_card_months,B1126&lt;in_marketplace_from+2*in_card_months),in_card_share*d_card_rem/in_card_months*F1126*MIN(in_takeup_cap,(1+in_takeup_growth)^(D1126-1))*MIN(in_takeup_cap,(1+in_approval_growth)^(D1126-1)),0))</f>
        <v/>
      </c>
      <c r="AA1126" s="14">
        <f>V1126*in_fee*(1-in_taken_back)</f>
        <v/>
      </c>
      <c r="AB1126" s="14">
        <f>SUMIFS(W1091:W1128,B1091:B1128,B1126-in_dpd_lag)*d_dpd</f>
        <v/>
      </c>
      <c r="AC1126" s="14">
        <f>SUMIFS(W1091:W1128,B1091:B1128,B1126-in_rec_lag)*d_rec</f>
        <v/>
      </c>
      <c r="AD1126" s="14">
        <f>Z1126*in_card_fee</f>
        <v/>
      </c>
      <c r="AE1126" s="40">
        <f>AE1125*(1-IF(B1125&gt;=in_marketplace_from,d_hz_hlth_small*G1125,0))</f>
        <v/>
      </c>
      <c r="AF1126" s="46">
        <f>AE1126*IF(B1126&gt;=in_marketplace_from,d_hz_hlth_small*G1126,0)</f>
        <v/>
      </c>
      <c r="AG1126" s="14">
        <f>F1126*AF1126*in_hlth_small_ticket*in_hlth_small_comm*in_ins_partner_share+F1126*in_hlth_small_ticket*in_hlth_small_renew_comm*in_ins_partner_share*(in_hlth_small_renew^1*SUMIFS(AF1091:AF1128,B1091:B1128,B1126-12)+in_hlth_small_renew^2*SUMIFS(AF1091:AF1128,B1091:B1128,B1126-24)+in_hlth_small_renew^3*SUMIFS(AF1091:AF1128,B1091:B1128,B1126-36)+in_hlth_small_renew^4*SUMIFS(AF1091:AF1128,B1091:B1128,B1126-48))</f>
        <v/>
      </c>
      <c r="AH1126" s="40">
        <f>AH1125*(1-IF(B1125&gt;=in_marketplace_from,d_hz_hlth_family*G1125,0))</f>
        <v/>
      </c>
      <c r="AI1126" s="46">
        <f>AH1126*IF(B1126&gt;=in_marketplace_from,d_hz_hlth_family*G1126,0)</f>
        <v/>
      </c>
      <c r="AJ1126" s="14">
        <f>F1126*AI1126*in_hlth_family_ticket*in_hlth_family_comm*in_ins_partner_share+F1126*in_hlth_family_ticket*in_hlth_family_renew_comm*in_ins_partner_share*(in_hlth_family_renew^1*SUMIFS(AI1091:AI1128,B1091:B1128,B1126-12)+in_hlth_family_renew^2*SUMIFS(AI1091:AI1128,B1091:B1128,B1126-24)+in_hlth_family_renew^3*SUMIFS(AI1091:AI1128,B1091:B1128,B1126-36)+in_hlth_family_renew^4*SUMIFS(AI1091:AI1128,B1091:B1128,B1126-48))</f>
        <v/>
      </c>
      <c r="AK1126" s="40">
        <f>AK1125*(1-IF(B1125&gt;=in_marketplace_from,d_hz_life_term*G1125,0))</f>
        <v/>
      </c>
      <c r="AL1126" s="46">
        <f>AK1126*IF(B1126&gt;=in_marketplace_from,d_hz_life_term*G1126,0)</f>
        <v/>
      </c>
      <c r="AM1126" s="14">
        <f>F1126*AL1126*in_life_term_ticket*in_life_term_comm*in_ins_partner_share+F1126*in_life_term_ticket*in_life_term_renew_comm*in_ins_partner_share*(in_life_term_renew^1*SUMIFS(AL1091:AL1128,B1091:B1128,B1126-12)+in_life_term_renew^2*SUMIFS(AL1091:AL1128,B1091:B1128,B1126-24)+in_life_term_renew^3*SUMIFS(AL1091:AL1128,B1091:B1128,B1126-36)+in_life_term_renew^4*SUMIFS(AL1091:AL1128,B1091:B1128,B1126-48))</f>
        <v/>
      </c>
      <c r="AN1126" s="40">
        <f>AN1125*(1-IF(B1125&gt;=in_marketplace_from,d_hz_accident*G1125,0))</f>
        <v/>
      </c>
      <c r="AO1126" s="46">
        <f>AN1126*IF(B1126&gt;=in_marketplace_from,d_hz_accident*G1126,0)</f>
        <v/>
      </c>
      <c r="AP1126" s="14">
        <f>F1126*AO1126*in_accident_ticket*in_accident_comm*in_ins_partner_share+F1126*in_accident_ticket*in_accident_renew_comm*in_ins_partner_share*(in_accident_renew^1*SUMIFS(AO1091:AO1128,B1091:B1128,B1126-12)+in_accident_renew^2*SUMIFS(AO1091:AO1128,B1091:B1128,B1126-24)+in_accident_renew^3*SUMIFS(AO1091:AO1128,B1091:B1128,B1126-36)+in_accident_renew^4*SUMIFS(AO1091:AO1128,B1091:B1128,B1126-48))</f>
        <v/>
      </c>
      <c r="AQ1126" s="40">
        <f>AQ1125*(1-IF(B1125&gt;=in_marketplace_from,d_hz_two_wheeler*G1125,0))</f>
        <v/>
      </c>
      <c r="AR1126" s="46">
        <f>AQ1126*IF(B1126&gt;=in_marketplace_from,d_hz_two_wheeler*G1126,0)</f>
        <v/>
      </c>
      <c r="AS1126" s="14">
        <f>F1126*AR1126*in_two_wheeler_ticket*in_two_wheeler_comm*in_ins_partner_share+F1126*in_two_wheeler_ticket*in_two_wheeler_comm*in_ins_partner_share*(in_two_wheeler_renew^1*SUMIFS(AR1091:AR1128,B1091:B1128,B1126-12)+in_two_wheeler_renew^2*SUMIFS(AR1091:AR1128,B1091:B1128,B1126-24)+in_two_wheeler_renew^3*SUMIFS(AR1091:AR1128,B1091:B1128,B1126-36)+in_two_wheeler_renew^4*SUMIFS(AR1091:AR1128,B1091:B1128,B1126-48))</f>
        <v/>
      </c>
      <c r="AT1126" s="40">
        <f>AT1125*(1-IF(B1125&gt;=in_marketplace_from,d_hz_device*G1125,0))</f>
        <v/>
      </c>
      <c r="AU1126" s="14">
        <f>F1126*AT1126*IF(B1126&gt;=in_marketplace_from,d_hz_device*G1126,0)*in_device_ticket*in_device_comm*in_ins_partner_share</f>
        <v/>
      </c>
      <c r="AV1126" s="40">
        <f>AV1125*(1-IF(B1125&gt;=in_marketplace_from,d_hz_shop*G1125,0))</f>
        <v/>
      </c>
      <c r="AW1126" s="46">
        <f>AV1126*IF(B1126&gt;=in_marketplace_from,d_hz_shop*G1126,0)</f>
        <v/>
      </c>
      <c r="AX1126" s="14">
        <f>F1126*AW1126*in_shop_ticket*in_shop_comm*in_ins_partner_share+F1126*in_shop_ticket*in_shop_renew_comm*in_ins_partner_share*(in_shop_renew^1*SUMIFS(AW1091:AW1128,B1091:B1128,B1126-12)+in_shop_renew^2*SUMIFS(AW1091:AW1128,B1091:B1128,B1126-24)+in_shop_renew^3*SUMIFS(AW1091:AW1128,B1091:B1128,B1126-36)+in_shop_renew^4*SUMIFS(AW1091:AW1128,B1091:B1128,B1126-48))</f>
        <v/>
      </c>
      <c r="AY1126" s="40">
        <f>AY1125*(1-IF(B1125&gt;=in_marketplace_from,d_hz_sip*G1125,0))</f>
        <v/>
      </c>
      <c r="AZ1126" s="40">
        <f>AZ1125*d_rho_sip+AY1126*IF(B1126&gt;=in_marketplace_from,d_hz_sip*G1126,0)</f>
        <v/>
      </c>
      <c r="BA1126" s="40">
        <f>d_rho_sip*(BA1125+AZ1125)</f>
        <v/>
      </c>
      <c r="BB1126" s="14">
        <f>F1126*in_sip_ticket*(BA1126+0.5*AZ1126)*in_sip_comm/12</f>
        <v/>
      </c>
      <c r="BC1126" s="40">
        <f>BC1125*(1-IF(B1125&gt;=in_marketplace_from,d_hz_choti*G1125,0))</f>
        <v/>
      </c>
      <c r="BD1126" s="46">
        <f>BC1126*IF(B1126&gt;=in_marketplace_from,d_hz_choti*G1126,0)</f>
        <v/>
      </c>
      <c r="BE1126" s="14">
        <f>F1126*SUMIFS(BD1091:BD1128,B1091:B1128,B1126-in_choti_months)*in_choti_renew*in_choti_ticket</f>
        <v/>
      </c>
      <c r="BF1126" s="40">
        <f>BF1125*(1-IF(B1125&gt;=in_marketplace_from,d_hz_nps*G1125,0))</f>
        <v/>
      </c>
      <c r="BG1126" s="14">
        <f>F1126*BF1126*IF(B1126&gt;=in_marketplace_from,d_hz_nps*G1126,0)*in_nps_ticket*in_nps_comm</f>
        <v/>
      </c>
      <c r="BH1126" s="40">
        <f>BH1125*(1-IF(B1125&gt;=in_marketplace_from,d_hz_gold*G1125,0))</f>
        <v/>
      </c>
      <c r="BI1126" s="40">
        <f>BI1125*d_rho_gold+BH1126*IF(B1126&gt;=in_marketplace_from,d_hz_gold*G1126,0)</f>
        <v/>
      </c>
      <c r="BJ1126" s="14">
        <f>F1126*BI1126*in_gold_ticket*in_gold_comm</f>
        <v/>
      </c>
      <c r="BK1126" s="40">
        <f>BK1125*(1-IF(B1125&gt;=in_marketplace_from,d_hz_fd*G1125,0))</f>
        <v/>
      </c>
      <c r="BL1126" s="14">
        <f>F1126*BK1126*IF(B1126&gt;=in_marketplace_from,d_hz_fd*G1126,0)*in_fd_ticket*in_fd_comm</f>
        <v/>
      </c>
      <c r="BM1126" s="40">
        <f>BM1125*(1-IF(B1125&gt;=in_marketplace_from,d_hz_recharge*G1125,0))</f>
        <v/>
      </c>
      <c r="BN1126" s="40">
        <f>BN1125*d_rho_recharge+BM1126*IF(B1126&gt;=in_marketplace_from,d_hz_recharge*G1126,0)</f>
        <v/>
      </c>
      <c r="BO1126" s="14">
        <f>F1126*BN1126*in_recharge_ticket*in_recharge_comm/12</f>
        <v/>
      </c>
      <c r="BP1126" s="40">
        <f>BP1125*(1-IF(B1125&gt;=in_marketplace_from,d_hz_bills*G1125,0))</f>
        <v/>
      </c>
      <c r="BQ1126" s="40">
        <f>BQ1125*d_rho_bills+BP1126*IF(B1126&gt;=in_marketplace_from,d_hz_bills*G1126,0)</f>
        <v/>
      </c>
      <c r="BR1126" s="14">
        <f>F1126*BQ1126*in_bills_ticket*in_bills_comm/12</f>
        <v/>
      </c>
      <c r="BS1126" s="40">
        <f>BS1125*(1-IF(B1125&gt;=in_marketplace_from,d_hz_loan_gold*G1125,0))</f>
        <v/>
      </c>
      <c r="BT1126" s="14">
        <f>F1126*BS1126*IF(B1126&gt;=in_marketplace_from,d_hz_loan_gold*G1126,0)*in_loan_gold_ticket*in_loan_gold_comm</f>
        <v/>
      </c>
      <c r="BU1126" s="40">
        <f>BU1125*(1-IF(B1125&gt;=in_marketplace_from,d_hz_loan_cd*G1125,0))</f>
        <v/>
      </c>
      <c r="BV1126" s="14">
        <f>F1126*BU1126*IF(B1126&gt;=in_marketplace_from,d_hz_loan_cd*G1126,0)*in_loan_cd_ticket*in_loan_cd_comm</f>
        <v/>
      </c>
      <c r="BW1126" s="40">
        <f>BW1125*(1-IF(B1125&gt;=in_marketplace_from,d_hz_loan_vehicle*G1125,0))</f>
        <v/>
      </c>
      <c r="BX1126" s="14">
        <f>F1126*BW1126*IF(B1126&gt;=in_marketplace_from,d_hz_loan_vehicle*G1126,0)*in_loan_vehicle_ticket*in_loan_vehicle_comm</f>
        <v/>
      </c>
      <c r="BY1126" s="40">
        <f>BY1125*(1-IF(B1125&gt;=in_marketplace_from,d_hz_loan_home*G1125,0)*BZ1125)</f>
        <v/>
      </c>
      <c r="BZ1126" s="11">
        <f>MIN(in_approval_cap,in_loan_home_approval*INDEX('Age profile'!$O$2:$O$61,B1126)*(1+in_approval_growth)^(D1126-1))</f>
        <v/>
      </c>
      <c r="CA1126" s="14">
        <f>F1126*BY1126*IF(B1126&gt;=in_marketplace_from,d_hz_loan_home*G1126,0)*BZ1126*in_loan_home_ticket*in_loan_home_comm</f>
        <v/>
      </c>
      <c r="CB1126" s="40">
        <f>CB1125*(1-IF(B1125&gt;=in_marketplace_from,d_hz_loan_lap*G1125,0)*CC1125)</f>
        <v/>
      </c>
      <c r="CC1126" s="11">
        <f>MIN(in_approval_cap,in_loan_lap_approval*INDEX('Age profile'!$O$2:$O$61,B1126)*(1+in_approval_growth)^(D1126-1))</f>
        <v/>
      </c>
      <c r="CD1126" s="14">
        <f>F1126*CB1126*IF(B1126&gt;=in_marketplace_from,d_hz_loan_lap*G1126,0)*CC1126*in_loan_lap_ticket*in_loan_lap_comm</f>
        <v/>
      </c>
      <c r="CE1126" s="14">
        <f>AA1126+AB1126+AC1126+AD1126+AG1126+AJ1126+AM1126+AP1126+AS1126+AU1126+AX1126+BB1126+BE1126+BG1126+BJ1126+BL1126+BO1126+BR1126+BT1126+BV1126+BX1126+CA1126+CD1126</f>
        <v/>
      </c>
    </row>
    <row r="1127">
      <c r="A1127" s="39" t="n">
        <v>23</v>
      </c>
      <c r="B1127" s="39" t="n">
        <v>37</v>
      </c>
      <c r="C1127" s="39">
        <f>A1127+B1127-1</f>
        <v/>
      </c>
      <c r="D1127" s="39">
        <f>INT((C1127-1)/12)+1</f>
        <v/>
      </c>
      <c r="E1127" s="44">
        <f>INDEX(Monthly!$B$2:$B$61,A1127)</f>
        <v/>
      </c>
      <c r="F1127" s="44">
        <f>E1127*INDEX('Age profile'!$B$2:$B$61,B1127)</f>
        <v/>
      </c>
      <c r="G1127" s="45">
        <f>MIN(in_takeup_cap,INDEX('Age profile'!$N$2:$N$61,B1127)*(1+in_takeup_growth)^(D1127-1))</f>
        <v/>
      </c>
      <c r="H1127" s="11">
        <f>MIN(in_approval_cap,in_approved_first*INDEX('Age profile'!$O$2:$O$61,B1127)*(1+in_approval_growth)^(D1127-1))</f>
        <v/>
      </c>
      <c r="I1127" s="45">
        <f>G1127*MIN(in_takeup_cap,INDEX('Age profile'!$O$2:$O$61,B1127)*(1+in_approval_growth)^(D1127-1))</f>
        <v/>
      </c>
      <c r="J1127" s="40">
        <f>(J1126-L1126)*F1127/F1126</f>
        <v/>
      </c>
      <c r="K1127" s="40">
        <f>(K1126-M1126)*F1127/F1126+SUMIFS(O1091:O1126,B1091:B1126,B1127-1-d_T)*F1127</f>
        <v/>
      </c>
      <c r="L1127" s="40">
        <f>IF(B1127&gt;=in_marketplace_from,J1127*d_hz*G1127*in_eligible*H1127,0)</f>
        <v/>
      </c>
      <c r="M1127" s="40">
        <f>IF(B1127&gt;=in_marketplace_from,K1127*d_hz*G1127*in_eligible*in_approved_repeat,0)</f>
        <v/>
      </c>
      <c r="N1127" s="40">
        <f>L1127+M1127</f>
        <v/>
      </c>
      <c r="O1127" s="46">
        <f>N1127/F1127</f>
        <v/>
      </c>
      <c r="P1127" s="40">
        <f>F1127-J1127-K1127</f>
        <v/>
      </c>
      <c r="Q1127" s="40">
        <f>IF(B1127&gt;=in_marketplace_from,(J1127+K1127)*d_hz*G1127,0)</f>
        <v/>
      </c>
      <c r="R1127" s="40">
        <f>SUMIFS(N1091:N1128,B1091:B1128,"&gt;="&amp;(B1127-d_T),B1091:B1128,"&lt;="&amp;(B1127-1))</f>
        <v/>
      </c>
      <c r="S1127" s="46">
        <f>(1-d_u)*S1126+IF(d_T&gt;in_topup_lag,SUMIFS(O1091:O1128,B1091:B1128,B1127-in_topup_lag)-d_udrop*SUMIFS(O1091:O1128,B1091:B1128,B1127-d_T),0)</f>
        <v/>
      </c>
      <c r="T1127" s="40">
        <f>F1127*d_u*S1127</f>
        <v/>
      </c>
      <c r="U1127" s="9">
        <f>L1127*in_ticket+M1127*d_rep_ticket</f>
        <v/>
      </c>
      <c r="V1127" s="9">
        <f>U1127+T1127*d_topup_amt</f>
        <v/>
      </c>
      <c r="W1127" s="40">
        <f>N1127+T1127*d_topup_ratio</f>
        <v/>
      </c>
      <c r="X1127" s="40">
        <f>SUMIFS(W1091:W1128,B1091:B1128,B1127-in_dpd_lag)*d_cured</f>
        <v/>
      </c>
      <c r="Y1127" s="40">
        <f>SUMIFS(W1091:W1128,B1091:B1128,B1127-in_rec_lag)*d_recd</f>
        <v/>
      </c>
      <c r="Z1127" s="40">
        <f>IF(AND(B1127&gt;=in_marketplace_from,B1127&lt;in_marketplace_from+in_card_months),in_card_share/in_card_months*F1127*I1127,IF(AND(B1127&gt;=in_marketplace_from+in_card_months,B1127&lt;in_marketplace_from+2*in_card_months),in_card_share*d_card_rem/in_card_months*F1127*MIN(in_takeup_cap,(1+in_takeup_growth)^(D1127-1))*MIN(in_takeup_cap,(1+in_approval_growth)^(D1127-1)),0))</f>
        <v/>
      </c>
      <c r="AA1127" s="14">
        <f>V1127*in_fee*(1-in_taken_back)</f>
        <v/>
      </c>
      <c r="AB1127" s="14">
        <f>SUMIFS(W1091:W1128,B1091:B1128,B1127-in_dpd_lag)*d_dpd</f>
        <v/>
      </c>
      <c r="AC1127" s="14">
        <f>SUMIFS(W1091:W1128,B1091:B1128,B1127-in_rec_lag)*d_rec</f>
        <v/>
      </c>
      <c r="AD1127" s="14">
        <f>Z1127*in_card_fee</f>
        <v/>
      </c>
      <c r="AE1127" s="40">
        <f>AE1126*(1-IF(B1126&gt;=in_marketplace_from,d_hz_hlth_small*G1126,0))</f>
        <v/>
      </c>
      <c r="AF1127" s="46">
        <f>AE1127*IF(B1127&gt;=in_marketplace_from,d_hz_hlth_small*G1127,0)</f>
        <v/>
      </c>
      <c r="AG1127" s="14">
        <f>F1127*AF1127*in_hlth_small_ticket*in_hlth_small_comm*in_ins_partner_share+F1127*in_hlth_small_ticket*in_hlth_small_renew_comm*in_ins_partner_share*(in_hlth_small_renew^1*SUMIFS(AF1091:AF1128,B1091:B1128,B1127-12)+in_hlth_small_renew^2*SUMIFS(AF1091:AF1128,B1091:B1128,B1127-24)+in_hlth_small_renew^3*SUMIFS(AF1091:AF1128,B1091:B1128,B1127-36)+in_hlth_small_renew^4*SUMIFS(AF1091:AF1128,B1091:B1128,B1127-48))</f>
        <v/>
      </c>
      <c r="AH1127" s="40">
        <f>AH1126*(1-IF(B1126&gt;=in_marketplace_from,d_hz_hlth_family*G1126,0))</f>
        <v/>
      </c>
      <c r="AI1127" s="46">
        <f>AH1127*IF(B1127&gt;=in_marketplace_from,d_hz_hlth_family*G1127,0)</f>
        <v/>
      </c>
      <c r="AJ1127" s="14">
        <f>F1127*AI1127*in_hlth_family_ticket*in_hlth_family_comm*in_ins_partner_share+F1127*in_hlth_family_ticket*in_hlth_family_renew_comm*in_ins_partner_share*(in_hlth_family_renew^1*SUMIFS(AI1091:AI1128,B1091:B1128,B1127-12)+in_hlth_family_renew^2*SUMIFS(AI1091:AI1128,B1091:B1128,B1127-24)+in_hlth_family_renew^3*SUMIFS(AI1091:AI1128,B1091:B1128,B1127-36)+in_hlth_family_renew^4*SUMIFS(AI1091:AI1128,B1091:B1128,B1127-48))</f>
        <v/>
      </c>
      <c r="AK1127" s="40">
        <f>AK1126*(1-IF(B1126&gt;=in_marketplace_from,d_hz_life_term*G1126,0))</f>
        <v/>
      </c>
      <c r="AL1127" s="46">
        <f>AK1127*IF(B1127&gt;=in_marketplace_from,d_hz_life_term*G1127,0)</f>
        <v/>
      </c>
      <c r="AM1127" s="14">
        <f>F1127*AL1127*in_life_term_ticket*in_life_term_comm*in_ins_partner_share+F1127*in_life_term_ticket*in_life_term_renew_comm*in_ins_partner_share*(in_life_term_renew^1*SUMIFS(AL1091:AL1128,B1091:B1128,B1127-12)+in_life_term_renew^2*SUMIFS(AL1091:AL1128,B1091:B1128,B1127-24)+in_life_term_renew^3*SUMIFS(AL1091:AL1128,B1091:B1128,B1127-36)+in_life_term_renew^4*SUMIFS(AL1091:AL1128,B1091:B1128,B1127-48))</f>
        <v/>
      </c>
      <c r="AN1127" s="40">
        <f>AN1126*(1-IF(B1126&gt;=in_marketplace_from,d_hz_accident*G1126,0))</f>
        <v/>
      </c>
      <c r="AO1127" s="46">
        <f>AN1127*IF(B1127&gt;=in_marketplace_from,d_hz_accident*G1127,0)</f>
        <v/>
      </c>
      <c r="AP1127" s="14">
        <f>F1127*AO1127*in_accident_ticket*in_accident_comm*in_ins_partner_share+F1127*in_accident_ticket*in_accident_renew_comm*in_ins_partner_share*(in_accident_renew^1*SUMIFS(AO1091:AO1128,B1091:B1128,B1127-12)+in_accident_renew^2*SUMIFS(AO1091:AO1128,B1091:B1128,B1127-24)+in_accident_renew^3*SUMIFS(AO1091:AO1128,B1091:B1128,B1127-36)+in_accident_renew^4*SUMIFS(AO1091:AO1128,B1091:B1128,B1127-48))</f>
        <v/>
      </c>
      <c r="AQ1127" s="40">
        <f>AQ1126*(1-IF(B1126&gt;=in_marketplace_from,d_hz_two_wheeler*G1126,0))</f>
        <v/>
      </c>
      <c r="AR1127" s="46">
        <f>AQ1127*IF(B1127&gt;=in_marketplace_from,d_hz_two_wheeler*G1127,0)</f>
        <v/>
      </c>
      <c r="AS1127" s="14">
        <f>F1127*AR1127*in_two_wheeler_ticket*in_two_wheeler_comm*in_ins_partner_share+F1127*in_two_wheeler_ticket*in_two_wheeler_comm*in_ins_partner_share*(in_two_wheeler_renew^1*SUMIFS(AR1091:AR1128,B1091:B1128,B1127-12)+in_two_wheeler_renew^2*SUMIFS(AR1091:AR1128,B1091:B1128,B1127-24)+in_two_wheeler_renew^3*SUMIFS(AR1091:AR1128,B1091:B1128,B1127-36)+in_two_wheeler_renew^4*SUMIFS(AR1091:AR1128,B1091:B1128,B1127-48))</f>
        <v/>
      </c>
      <c r="AT1127" s="40">
        <f>AT1126*(1-IF(B1126&gt;=in_marketplace_from,d_hz_device*G1126,0))</f>
        <v/>
      </c>
      <c r="AU1127" s="14">
        <f>F1127*AT1127*IF(B1127&gt;=in_marketplace_from,d_hz_device*G1127,0)*in_device_ticket*in_device_comm*in_ins_partner_share</f>
        <v/>
      </c>
      <c r="AV1127" s="40">
        <f>AV1126*(1-IF(B1126&gt;=in_marketplace_from,d_hz_shop*G1126,0))</f>
        <v/>
      </c>
      <c r="AW1127" s="46">
        <f>AV1127*IF(B1127&gt;=in_marketplace_from,d_hz_shop*G1127,0)</f>
        <v/>
      </c>
      <c r="AX1127" s="14">
        <f>F1127*AW1127*in_shop_ticket*in_shop_comm*in_ins_partner_share+F1127*in_shop_ticket*in_shop_renew_comm*in_ins_partner_share*(in_shop_renew^1*SUMIFS(AW1091:AW1128,B1091:B1128,B1127-12)+in_shop_renew^2*SUMIFS(AW1091:AW1128,B1091:B1128,B1127-24)+in_shop_renew^3*SUMIFS(AW1091:AW1128,B1091:B1128,B1127-36)+in_shop_renew^4*SUMIFS(AW1091:AW1128,B1091:B1128,B1127-48))</f>
        <v/>
      </c>
      <c r="AY1127" s="40">
        <f>AY1126*(1-IF(B1126&gt;=in_marketplace_from,d_hz_sip*G1126,0))</f>
        <v/>
      </c>
      <c r="AZ1127" s="40">
        <f>AZ1126*d_rho_sip+AY1127*IF(B1127&gt;=in_marketplace_from,d_hz_sip*G1127,0)</f>
        <v/>
      </c>
      <c r="BA1127" s="40">
        <f>d_rho_sip*(BA1126+AZ1126)</f>
        <v/>
      </c>
      <c r="BB1127" s="14">
        <f>F1127*in_sip_ticket*(BA1127+0.5*AZ1127)*in_sip_comm/12</f>
        <v/>
      </c>
      <c r="BC1127" s="40">
        <f>BC1126*(1-IF(B1126&gt;=in_marketplace_from,d_hz_choti*G1126,0))</f>
        <v/>
      </c>
      <c r="BD1127" s="46">
        <f>BC1127*IF(B1127&gt;=in_marketplace_from,d_hz_choti*G1127,0)</f>
        <v/>
      </c>
      <c r="BE1127" s="14">
        <f>F1127*SUMIFS(BD1091:BD1128,B1091:B1128,B1127-in_choti_months)*in_choti_renew*in_choti_ticket</f>
        <v/>
      </c>
      <c r="BF1127" s="40">
        <f>BF1126*(1-IF(B1126&gt;=in_marketplace_from,d_hz_nps*G1126,0))</f>
        <v/>
      </c>
      <c r="BG1127" s="14">
        <f>F1127*BF1127*IF(B1127&gt;=in_marketplace_from,d_hz_nps*G1127,0)*in_nps_ticket*in_nps_comm</f>
        <v/>
      </c>
      <c r="BH1127" s="40">
        <f>BH1126*(1-IF(B1126&gt;=in_marketplace_from,d_hz_gold*G1126,0))</f>
        <v/>
      </c>
      <c r="BI1127" s="40">
        <f>BI1126*d_rho_gold+BH1127*IF(B1127&gt;=in_marketplace_from,d_hz_gold*G1127,0)</f>
        <v/>
      </c>
      <c r="BJ1127" s="14">
        <f>F1127*BI1127*in_gold_ticket*in_gold_comm</f>
        <v/>
      </c>
      <c r="BK1127" s="40">
        <f>BK1126*(1-IF(B1126&gt;=in_marketplace_from,d_hz_fd*G1126,0))</f>
        <v/>
      </c>
      <c r="BL1127" s="14">
        <f>F1127*BK1127*IF(B1127&gt;=in_marketplace_from,d_hz_fd*G1127,0)*in_fd_ticket*in_fd_comm</f>
        <v/>
      </c>
      <c r="BM1127" s="40">
        <f>BM1126*(1-IF(B1126&gt;=in_marketplace_from,d_hz_recharge*G1126,0))</f>
        <v/>
      </c>
      <c r="BN1127" s="40">
        <f>BN1126*d_rho_recharge+BM1127*IF(B1127&gt;=in_marketplace_from,d_hz_recharge*G1127,0)</f>
        <v/>
      </c>
      <c r="BO1127" s="14">
        <f>F1127*BN1127*in_recharge_ticket*in_recharge_comm/12</f>
        <v/>
      </c>
      <c r="BP1127" s="40">
        <f>BP1126*(1-IF(B1126&gt;=in_marketplace_from,d_hz_bills*G1126,0))</f>
        <v/>
      </c>
      <c r="BQ1127" s="40">
        <f>BQ1126*d_rho_bills+BP1127*IF(B1127&gt;=in_marketplace_from,d_hz_bills*G1127,0)</f>
        <v/>
      </c>
      <c r="BR1127" s="14">
        <f>F1127*BQ1127*in_bills_ticket*in_bills_comm/12</f>
        <v/>
      </c>
      <c r="BS1127" s="40">
        <f>BS1126*(1-IF(B1126&gt;=in_marketplace_from,d_hz_loan_gold*G1126,0))</f>
        <v/>
      </c>
      <c r="BT1127" s="14">
        <f>F1127*BS1127*IF(B1127&gt;=in_marketplace_from,d_hz_loan_gold*G1127,0)*in_loan_gold_ticket*in_loan_gold_comm</f>
        <v/>
      </c>
      <c r="BU1127" s="40">
        <f>BU1126*(1-IF(B1126&gt;=in_marketplace_from,d_hz_loan_cd*G1126,0))</f>
        <v/>
      </c>
      <c r="BV1127" s="14">
        <f>F1127*BU1127*IF(B1127&gt;=in_marketplace_from,d_hz_loan_cd*G1127,0)*in_loan_cd_ticket*in_loan_cd_comm</f>
        <v/>
      </c>
      <c r="BW1127" s="40">
        <f>BW1126*(1-IF(B1126&gt;=in_marketplace_from,d_hz_loan_vehicle*G1126,0))</f>
        <v/>
      </c>
      <c r="BX1127" s="14">
        <f>F1127*BW1127*IF(B1127&gt;=in_marketplace_from,d_hz_loan_vehicle*G1127,0)*in_loan_vehicle_ticket*in_loan_vehicle_comm</f>
        <v/>
      </c>
      <c r="BY1127" s="40">
        <f>BY1126*(1-IF(B1126&gt;=in_marketplace_from,d_hz_loan_home*G1126,0)*BZ1126)</f>
        <v/>
      </c>
      <c r="BZ1127" s="11">
        <f>MIN(in_approval_cap,in_loan_home_approval*INDEX('Age profile'!$O$2:$O$61,B1127)*(1+in_approval_growth)^(D1127-1))</f>
        <v/>
      </c>
      <c r="CA1127" s="14">
        <f>F1127*BY1127*IF(B1127&gt;=in_marketplace_from,d_hz_loan_home*G1127,0)*BZ1127*in_loan_home_ticket*in_loan_home_comm</f>
        <v/>
      </c>
      <c r="CB1127" s="40">
        <f>CB1126*(1-IF(B1126&gt;=in_marketplace_from,d_hz_loan_lap*G1126,0)*CC1126)</f>
        <v/>
      </c>
      <c r="CC1127" s="11">
        <f>MIN(in_approval_cap,in_loan_lap_approval*INDEX('Age profile'!$O$2:$O$61,B1127)*(1+in_approval_growth)^(D1127-1))</f>
        <v/>
      </c>
      <c r="CD1127" s="14">
        <f>F1127*CB1127*IF(B1127&gt;=in_marketplace_from,d_hz_loan_lap*G1127,0)*CC1127*in_loan_lap_ticket*in_loan_lap_comm</f>
        <v/>
      </c>
      <c r="CE1127" s="14">
        <f>AA1127+AB1127+AC1127+AD1127+AG1127+AJ1127+AM1127+AP1127+AS1127+AU1127+AX1127+BB1127+BE1127+BG1127+BJ1127+BL1127+BO1127+BR1127+BT1127+BV1127+BX1127+CA1127+CD1127</f>
        <v/>
      </c>
    </row>
    <row r="1128">
      <c r="A1128" s="39" t="n">
        <v>23</v>
      </c>
      <c r="B1128" s="39" t="n">
        <v>38</v>
      </c>
      <c r="C1128" s="39">
        <f>A1128+B1128-1</f>
        <v/>
      </c>
      <c r="D1128" s="39">
        <f>INT((C1128-1)/12)+1</f>
        <v/>
      </c>
      <c r="E1128" s="44">
        <f>INDEX(Monthly!$B$2:$B$61,A1128)</f>
        <v/>
      </c>
      <c r="F1128" s="44">
        <f>E1128*INDEX('Age profile'!$B$2:$B$61,B1128)</f>
        <v/>
      </c>
      <c r="G1128" s="45">
        <f>MIN(in_takeup_cap,INDEX('Age profile'!$N$2:$N$61,B1128)*(1+in_takeup_growth)^(D1128-1))</f>
        <v/>
      </c>
      <c r="H1128" s="11">
        <f>MIN(in_approval_cap,in_approved_first*INDEX('Age profile'!$O$2:$O$61,B1128)*(1+in_approval_growth)^(D1128-1))</f>
        <v/>
      </c>
      <c r="I1128" s="45">
        <f>G1128*MIN(in_takeup_cap,INDEX('Age profile'!$O$2:$O$61,B1128)*(1+in_approval_growth)^(D1128-1))</f>
        <v/>
      </c>
      <c r="J1128" s="40">
        <f>(J1127-L1127)*F1128/F1127</f>
        <v/>
      </c>
      <c r="K1128" s="40">
        <f>(K1127-M1127)*F1128/F1127+SUMIFS(O1091:O1127,B1091:B1127,B1128-1-d_T)*F1128</f>
        <v/>
      </c>
      <c r="L1128" s="40">
        <f>IF(B1128&gt;=in_marketplace_from,J1128*d_hz*G1128*in_eligible*H1128,0)</f>
        <v/>
      </c>
      <c r="M1128" s="40">
        <f>IF(B1128&gt;=in_marketplace_from,K1128*d_hz*G1128*in_eligible*in_approved_repeat,0)</f>
        <v/>
      </c>
      <c r="N1128" s="40">
        <f>L1128+M1128</f>
        <v/>
      </c>
      <c r="O1128" s="46">
        <f>N1128/F1128</f>
        <v/>
      </c>
      <c r="P1128" s="40">
        <f>F1128-J1128-K1128</f>
        <v/>
      </c>
      <c r="Q1128" s="40">
        <f>IF(B1128&gt;=in_marketplace_from,(J1128+K1128)*d_hz*G1128,0)</f>
        <v/>
      </c>
      <c r="R1128" s="40">
        <f>SUMIFS(N1091:N1128,B1091:B1128,"&gt;="&amp;(B1128-d_T),B1091:B1128,"&lt;="&amp;(B1128-1))</f>
        <v/>
      </c>
      <c r="S1128" s="46">
        <f>(1-d_u)*S1127+IF(d_T&gt;in_topup_lag,SUMIFS(O1091:O1128,B1091:B1128,B1128-in_topup_lag)-d_udrop*SUMIFS(O1091:O1128,B1091:B1128,B1128-d_T),0)</f>
        <v/>
      </c>
      <c r="T1128" s="40">
        <f>F1128*d_u*S1128</f>
        <v/>
      </c>
      <c r="U1128" s="9">
        <f>L1128*in_ticket+M1128*d_rep_ticket</f>
        <v/>
      </c>
      <c r="V1128" s="9">
        <f>U1128+T1128*d_topup_amt</f>
        <v/>
      </c>
      <c r="W1128" s="40">
        <f>N1128+T1128*d_topup_ratio</f>
        <v/>
      </c>
      <c r="X1128" s="40">
        <f>SUMIFS(W1091:W1128,B1091:B1128,B1128-in_dpd_lag)*d_cured</f>
        <v/>
      </c>
      <c r="Y1128" s="40">
        <f>SUMIFS(W1091:W1128,B1091:B1128,B1128-in_rec_lag)*d_recd</f>
        <v/>
      </c>
      <c r="Z1128" s="40">
        <f>IF(AND(B1128&gt;=in_marketplace_from,B1128&lt;in_marketplace_from+in_card_months),in_card_share/in_card_months*F1128*I1128,IF(AND(B1128&gt;=in_marketplace_from+in_card_months,B1128&lt;in_marketplace_from+2*in_card_months),in_card_share*d_card_rem/in_card_months*F1128*MIN(in_takeup_cap,(1+in_takeup_growth)^(D1128-1))*MIN(in_takeup_cap,(1+in_approval_growth)^(D1128-1)),0))</f>
        <v/>
      </c>
      <c r="AA1128" s="14">
        <f>V1128*in_fee*(1-in_taken_back)</f>
        <v/>
      </c>
      <c r="AB1128" s="14">
        <f>SUMIFS(W1091:W1128,B1091:B1128,B1128-in_dpd_lag)*d_dpd</f>
        <v/>
      </c>
      <c r="AC1128" s="14">
        <f>SUMIFS(W1091:W1128,B1091:B1128,B1128-in_rec_lag)*d_rec</f>
        <v/>
      </c>
      <c r="AD1128" s="14">
        <f>Z1128*in_card_fee</f>
        <v/>
      </c>
      <c r="AE1128" s="40">
        <f>AE1127*(1-IF(B1127&gt;=in_marketplace_from,d_hz_hlth_small*G1127,0))</f>
        <v/>
      </c>
      <c r="AF1128" s="46">
        <f>AE1128*IF(B1128&gt;=in_marketplace_from,d_hz_hlth_small*G1128,0)</f>
        <v/>
      </c>
      <c r="AG1128" s="14">
        <f>F1128*AF1128*in_hlth_small_ticket*in_hlth_small_comm*in_ins_partner_share+F1128*in_hlth_small_ticket*in_hlth_small_renew_comm*in_ins_partner_share*(in_hlth_small_renew^1*SUMIFS(AF1091:AF1128,B1091:B1128,B1128-12)+in_hlth_small_renew^2*SUMIFS(AF1091:AF1128,B1091:B1128,B1128-24)+in_hlth_small_renew^3*SUMIFS(AF1091:AF1128,B1091:B1128,B1128-36)+in_hlth_small_renew^4*SUMIFS(AF1091:AF1128,B1091:B1128,B1128-48))</f>
        <v/>
      </c>
      <c r="AH1128" s="40">
        <f>AH1127*(1-IF(B1127&gt;=in_marketplace_from,d_hz_hlth_family*G1127,0))</f>
        <v/>
      </c>
      <c r="AI1128" s="46">
        <f>AH1128*IF(B1128&gt;=in_marketplace_from,d_hz_hlth_family*G1128,0)</f>
        <v/>
      </c>
      <c r="AJ1128" s="14">
        <f>F1128*AI1128*in_hlth_family_ticket*in_hlth_family_comm*in_ins_partner_share+F1128*in_hlth_family_ticket*in_hlth_family_renew_comm*in_ins_partner_share*(in_hlth_family_renew^1*SUMIFS(AI1091:AI1128,B1091:B1128,B1128-12)+in_hlth_family_renew^2*SUMIFS(AI1091:AI1128,B1091:B1128,B1128-24)+in_hlth_family_renew^3*SUMIFS(AI1091:AI1128,B1091:B1128,B1128-36)+in_hlth_family_renew^4*SUMIFS(AI1091:AI1128,B1091:B1128,B1128-48))</f>
        <v/>
      </c>
      <c r="AK1128" s="40">
        <f>AK1127*(1-IF(B1127&gt;=in_marketplace_from,d_hz_life_term*G1127,0))</f>
        <v/>
      </c>
      <c r="AL1128" s="46">
        <f>AK1128*IF(B1128&gt;=in_marketplace_from,d_hz_life_term*G1128,0)</f>
        <v/>
      </c>
      <c r="AM1128" s="14">
        <f>F1128*AL1128*in_life_term_ticket*in_life_term_comm*in_ins_partner_share+F1128*in_life_term_ticket*in_life_term_renew_comm*in_ins_partner_share*(in_life_term_renew^1*SUMIFS(AL1091:AL1128,B1091:B1128,B1128-12)+in_life_term_renew^2*SUMIFS(AL1091:AL1128,B1091:B1128,B1128-24)+in_life_term_renew^3*SUMIFS(AL1091:AL1128,B1091:B1128,B1128-36)+in_life_term_renew^4*SUMIFS(AL1091:AL1128,B1091:B1128,B1128-48))</f>
        <v/>
      </c>
      <c r="AN1128" s="40">
        <f>AN1127*(1-IF(B1127&gt;=in_marketplace_from,d_hz_accident*G1127,0))</f>
        <v/>
      </c>
      <c r="AO1128" s="46">
        <f>AN1128*IF(B1128&gt;=in_marketplace_from,d_hz_accident*G1128,0)</f>
        <v/>
      </c>
      <c r="AP1128" s="14">
        <f>F1128*AO1128*in_accident_ticket*in_accident_comm*in_ins_partner_share+F1128*in_accident_ticket*in_accident_renew_comm*in_ins_partner_share*(in_accident_renew^1*SUMIFS(AO1091:AO1128,B1091:B1128,B1128-12)+in_accident_renew^2*SUMIFS(AO1091:AO1128,B1091:B1128,B1128-24)+in_accident_renew^3*SUMIFS(AO1091:AO1128,B1091:B1128,B1128-36)+in_accident_renew^4*SUMIFS(AO1091:AO1128,B1091:B1128,B1128-48))</f>
        <v/>
      </c>
      <c r="AQ1128" s="40">
        <f>AQ1127*(1-IF(B1127&gt;=in_marketplace_from,d_hz_two_wheeler*G1127,0))</f>
        <v/>
      </c>
      <c r="AR1128" s="46">
        <f>AQ1128*IF(B1128&gt;=in_marketplace_from,d_hz_two_wheeler*G1128,0)</f>
        <v/>
      </c>
      <c r="AS1128" s="14">
        <f>F1128*AR1128*in_two_wheeler_ticket*in_two_wheeler_comm*in_ins_partner_share+F1128*in_two_wheeler_ticket*in_two_wheeler_comm*in_ins_partner_share*(in_two_wheeler_renew^1*SUMIFS(AR1091:AR1128,B1091:B1128,B1128-12)+in_two_wheeler_renew^2*SUMIFS(AR1091:AR1128,B1091:B1128,B1128-24)+in_two_wheeler_renew^3*SUMIFS(AR1091:AR1128,B1091:B1128,B1128-36)+in_two_wheeler_renew^4*SUMIFS(AR1091:AR1128,B1091:B1128,B1128-48))</f>
        <v/>
      </c>
      <c r="AT1128" s="40">
        <f>AT1127*(1-IF(B1127&gt;=in_marketplace_from,d_hz_device*G1127,0))</f>
        <v/>
      </c>
      <c r="AU1128" s="14">
        <f>F1128*AT1128*IF(B1128&gt;=in_marketplace_from,d_hz_device*G1128,0)*in_device_ticket*in_device_comm*in_ins_partner_share</f>
        <v/>
      </c>
      <c r="AV1128" s="40">
        <f>AV1127*(1-IF(B1127&gt;=in_marketplace_from,d_hz_shop*G1127,0))</f>
        <v/>
      </c>
      <c r="AW1128" s="46">
        <f>AV1128*IF(B1128&gt;=in_marketplace_from,d_hz_shop*G1128,0)</f>
        <v/>
      </c>
      <c r="AX1128" s="14">
        <f>F1128*AW1128*in_shop_ticket*in_shop_comm*in_ins_partner_share+F1128*in_shop_ticket*in_shop_renew_comm*in_ins_partner_share*(in_shop_renew^1*SUMIFS(AW1091:AW1128,B1091:B1128,B1128-12)+in_shop_renew^2*SUMIFS(AW1091:AW1128,B1091:B1128,B1128-24)+in_shop_renew^3*SUMIFS(AW1091:AW1128,B1091:B1128,B1128-36)+in_shop_renew^4*SUMIFS(AW1091:AW1128,B1091:B1128,B1128-48))</f>
        <v/>
      </c>
      <c r="AY1128" s="40">
        <f>AY1127*(1-IF(B1127&gt;=in_marketplace_from,d_hz_sip*G1127,0))</f>
        <v/>
      </c>
      <c r="AZ1128" s="40">
        <f>AZ1127*d_rho_sip+AY1128*IF(B1128&gt;=in_marketplace_from,d_hz_sip*G1128,0)</f>
        <v/>
      </c>
      <c r="BA1128" s="40">
        <f>d_rho_sip*(BA1127+AZ1127)</f>
        <v/>
      </c>
      <c r="BB1128" s="14">
        <f>F1128*in_sip_ticket*(BA1128+0.5*AZ1128)*in_sip_comm/12</f>
        <v/>
      </c>
      <c r="BC1128" s="40">
        <f>BC1127*(1-IF(B1127&gt;=in_marketplace_from,d_hz_choti*G1127,0))</f>
        <v/>
      </c>
      <c r="BD1128" s="46">
        <f>BC1128*IF(B1128&gt;=in_marketplace_from,d_hz_choti*G1128,0)</f>
        <v/>
      </c>
      <c r="BE1128" s="14">
        <f>F1128*SUMIFS(BD1091:BD1128,B1091:B1128,B1128-in_choti_months)*in_choti_renew*in_choti_ticket</f>
        <v/>
      </c>
      <c r="BF1128" s="40">
        <f>BF1127*(1-IF(B1127&gt;=in_marketplace_from,d_hz_nps*G1127,0))</f>
        <v/>
      </c>
      <c r="BG1128" s="14">
        <f>F1128*BF1128*IF(B1128&gt;=in_marketplace_from,d_hz_nps*G1128,0)*in_nps_ticket*in_nps_comm</f>
        <v/>
      </c>
      <c r="BH1128" s="40">
        <f>BH1127*(1-IF(B1127&gt;=in_marketplace_from,d_hz_gold*G1127,0))</f>
        <v/>
      </c>
      <c r="BI1128" s="40">
        <f>BI1127*d_rho_gold+BH1128*IF(B1128&gt;=in_marketplace_from,d_hz_gold*G1128,0)</f>
        <v/>
      </c>
      <c r="BJ1128" s="14">
        <f>F1128*BI1128*in_gold_ticket*in_gold_comm</f>
        <v/>
      </c>
      <c r="BK1128" s="40">
        <f>BK1127*(1-IF(B1127&gt;=in_marketplace_from,d_hz_fd*G1127,0))</f>
        <v/>
      </c>
      <c r="BL1128" s="14">
        <f>F1128*BK1128*IF(B1128&gt;=in_marketplace_from,d_hz_fd*G1128,0)*in_fd_ticket*in_fd_comm</f>
        <v/>
      </c>
      <c r="BM1128" s="40">
        <f>BM1127*(1-IF(B1127&gt;=in_marketplace_from,d_hz_recharge*G1127,0))</f>
        <v/>
      </c>
      <c r="BN1128" s="40">
        <f>BN1127*d_rho_recharge+BM1128*IF(B1128&gt;=in_marketplace_from,d_hz_recharge*G1128,0)</f>
        <v/>
      </c>
      <c r="BO1128" s="14">
        <f>F1128*BN1128*in_recharge_ticket*in_recharge_comm/12</f>
        <v/>
      </c>
      <c r="BP1128" s="40">
        <f>BP1127*(1-IF(B1127&gt;=in_marketplace_from,d_hz_bills*G1127,0))</f>
        <v/>
      </c>
      <c r="BQ1128" s="40">
        <f>BQ1127*d_rho_bills+BP1128*IF(B1128&gt;=in_marketplace_from,d_hz_bills*G1128,0)</f>
        <v/>
      </c>
      <c r="BR1128" s="14">
        <f>F1128*BQ1128*in_bills_ticket*in_bills_comm/12</f>
        <v/>
      </c>
      <c r="BS1128" s="40">
        <f>BS1127*(1-IF(B1127&gt;=in_marketplace_from,d_hz_loan_gold*G1127,0))</f>
        <v/>
      </c>
      <c r="BT1128" s="14">
        <f>F1128*BS1128*IF(B1128&gt;=in_marketplace_from,d_hz_loan_gold*G1128,0)*in_loan_gold_ticket*in_loan_gold_comm</f>
        <v/>
      </c>
      <c r="BU1128" s="40">
        <f>BU1127*(1-IF(B1127&gt;=in_marketplace_from,d_hz_loan_cd*G1127,0))</f>
        <v/>
      </c>
      <c r="BV1128" s="14">
        <f>F1128*BU1128*IF(B1128&gt;=in_marketplace_from,d_hz_loan_cd*G1128,0)*in_loan_cd_ticket*in_loan_cd_comm</f>
        <v/>
      </c>
      <c r="BW1128" s="40">
        <f>BW1127*(1-IF(B1127&gt;=in_marketplace_from,d_hz_loan_vehicle*G1127,0))</f>
        <v/>
      </c>
      <c r="BX1128" s="14">
        <f>F1128*BW1128*IF(B1128&gt;=in_marketplace_from,d_hz_loan_vehicle*G1128,0)*in_loan_vehicle_ticket*in_loan_vehicle_comm</f>
        <v/>
      </c>
      <c r="BY1128" s="40">
        <f>BY1127*(1-IF(B1127&gt;=in_marketplace_from,d_hz_loan_home*G1127,0)*BZ1127)</f>
        <v/>
      </c>
      <c r="BZ1128" s="11">
        <f>MIN(in_approval_cap,in_loan_home_approval*INDEX('Age profile'!$O$2:$O$61,B1128)*(1+in_approval_growth)^(D1128-1))</f>
        <v/>
      </c>
      <c r="CA1128" s="14">
        <f>F1128*BY1128*IF(B1128&gt;=in_marketplace_from,d_hz_loan_home*G1128,0)*BZ1128*in_loan_home_ticket*in_loan_home_comm</f>
        <v/>
      </c>
      <c r="CB1128" s="40">
        <f>CB1127*(1-IF(B1127&gt;=in_marketplace_from,d_hz_loan_lap*G1127,0)*CC1127)</f>
        <v/>
      </c>
      <c r="CC1128" s="11">
        <f>MIN(in_approval_cap,in_loan_lap_approval*INDEX('Age profile'!$O$2:$O$61,B1128)*(1+in_approval_growth)^(D1128-1))</f>
        <v/>
      </c>
      <c r="CD1128" s="14">
        <f>F1128*CB1128*IF(B1128&gt;=in_marketplace_from,d_hz_loan_lap*G1128,0)*CC1128*in_loan_lap_ticket*in_loan_lap_comm</f>
        <v/>
      </c>
      <c r="CE1128" s="14">
        <f>AA1128+AB1128+AC1128+AD1128+AG1128+AJ1128+AM1128+AP1128+AS1128+AU1128+AX1128+BB1128+BE1128+BG1128+BJ1128+BL1128+BO1128+BR1128+BT1128+BV1128+BX1128+CA1128+CD1128</f>
        <v/>
      </c>
    </row>
    <row r="1129">
      <c r="A1129" s="39" t="n">
        <v>24</v>
      </c>
      <c r="B1129" s="39" t="n">
        <v>1</v>
      </c>
      <c r="C1129" s="39">
        <f>A1129+B1129-1</f>
        <v/>
      </c>
      <c r="D1129" s="39">
        <f>INT((C1129-1)/12)+1</f>
        <v/>
      </c>
      <c r="E1129" s="44">
        <f>INDEX(Monthly!$B$2:$B$61,A1129)</f>
        <v/>
      </c>
      <c r="F1129" s="44">
        <f>E1129*INDEX('Age profile'!$B$2:$B$61,B1129)</f>
        <v/>
      </c>
      <c r="G1129" s="45">
        <f>MIN(in_takeup_cap,INDEX('Age profile'!$N$2:$N$61,B1129)*(1+in_takeup_growth)^(D1129-1))</f>
        <v/>
      </c>
      <c r="H1129" s="11">
        <f>MIN(in_approval_cap,in_approved_first*INDEX('Age profile'!$O$2:$O$61,B1129)*(1+in_approval_growth)^(D1129-1))</f>
        <v/>
      </c>
      <c r="I1129" s="45">
        <f>G1129*MIN(in_takeup_cap,INDEX('Age profile'!$O$2:$O$61,B1129)*(1+in_approval_growth)^(D1129-1))</f>
        <v/>
      </c>
      <c r="J1129" s="40">
        <f>E1129</f>
        <v/>
      </c>
      <c r="K1129" s="40" t="n">
        <v>0</v>
      </c>
      <c r="L1129" s="40">
        <f>IF(B1129&gt;=in_marketplace_from,J1129*d_hz*G1129*in_eligible*H1129,0)</f>
        <v/>
      </c>
      <c r="M1129" s="40">
        <f>IF(B1129&gt;=in_marketplace_from,K1129*d_hz*G1129*in_eligible*in_approved_repeat,0)</f>
        <v/>
      </c>
      <c r="N1129" s="40">
        <f>L1129+M1129</f>
        <v/>
      </c>
      <c r="O1129" s="46">
        <f>N1129/F1129</f>
        <v/>
      </c>
      <c r="P1129" s="40">
        <f>F1129-J1129-K1129</f>
        <v/>
      </c>
      <c r="Q1129" s="40">
        <f>IF(B1129&gt;=in_marketplace_from,(J1129+K1129)*d_hz*G1129,0)</f>
        <v/>
      </c>
      <c r="R1129" s="40">
        <f>SUMIFS(N1129:N1165,B1129:B1165,"&gt;="&amp;(B1129-d_T),B1129:B1165,"&lt;="&amp;(B1129-1))</f>
        <v/>
      </c>
      <c r="S1129" s="46" t="n">
        <v>0</v>
      </c>
      <c r="T1129" s="40">
        <f>F1129*d_u*S1129</f>
        <v/>
      </c>
      <c r="U1129" s="9">
        <f>L1129*in_ticket+M1129*d_rep_ticket</f>
        <v/>
      </c>
      <c r="V1129" s="9">
        <f>U1129+T1129*d_topup_amt</f>
        <v/>
      </c>
      <c r="W1129" s="40">
        <f>N1129+T1129*d_topup_ratio</f>
        <v/>
      </c>
      <c r="X1129" s="40">
        <f>SUMIFS(W1129:W1165,B1129:B1165,B1129-in_dpd_lag)*d_cured</f>
        <v/>
      </c>
      <c r="Y1129" s="40">
        <f>SUMIFS(W1129:W1165,B1129:B1165,B1129-in_rec_lag)*d_recd</f>
        <v/>
      </c>
      <c r="Z1129" s="40">
        <f>IF(AND(B1129&gt;=in_marketplace_from,B1129&lt;in_marketplace_from+in_card_months),in_card_share/in_card_months*F1129*I1129,IF(AND(B1129&gt;=in_marketplace_from+in_card_months,B1129&lt;in_marketplace_from+2*in_card_months),in_card_share*d_card_rem/in_card_months*F1129*MIN(in_takeup_cap,(1+in_takeup_growth)^(D1129-1))*MIN(in_takeup_cap,(1+in_approval_growth)^(D1129-1)),0))</f>
        <v/>
      </c>
      <c r="AA1129" s="14">
        <f>V1129*in_fee*(1-in_taken_back)</f>
        <v/>
      </c>
      <c r="AB1129" s="14">
        <f>SUMIFS(W1129:W1165,B1129:B1165,B1129-in_dpd_lag)*d_dpd</f>
        <v/>
      </c>
      <c r="AC1129" s="14">
        <f>SUMIFS(W1129:W1165,B1129:B1165,B1129-in_rec_lag)*d_rec</f>
        <v/>
      </c>
      <c r="AD1129" s="14">
        <f>Z1129*in_card_fee</f>
        <v/>
      </c>
      <c r="AE1129" s="40" t="n">
        <v>1</v>
      </c>
      <c r="AF1129" s="46">
        <f>AE1129*IF(B1129&gt;=in_marketplace_from,d_hz_hlth_small*G1129,0)</f>
        <v/>
      </c>
      <c r="AG1129" s="14">
        <f>F1129*AF1129*in_hlth_small_ticket*in_hlth_small_comm*in_ins_partner_share+F1129*in_hlth_small_ticket*in_hlth_small_renew_comm*in_ins_partner_share*(in_hlth_small_renew^1*SUMIFS(AF1129:AF1165,B1129:B1165,B1129-12)+in_hlth_small_renew^2*SUMIFS(AF1129:AF1165,B1129:B1165,B1129-24)+in_hlth_small_renew^3*SUMIFS(AF1129:AF1165,B1129:B1165,B1129-36)+in_hlth_small_renew^4*SUMIFS(AF1129:AF1165,B1129:B1165,B1129-48))</f>
        <v/>
      </c>
      <c r="AH1129" s="40" t="n">
        <v>1</v>
      </c>
      <c r="AI1129" s="46">
        <f>AH1129*IF(B1129&gt;=in_marketplace_from,d_hz_hlth_family*G1129,0)</f>
        <v/>
      </c>
      <c r="AJ1129" s="14">
        <f>F1129*AI1129*in_hlth_family_ticket*in_hlth_family_comm*in_ins_partner_share+F1129*in_hlth_family_ticket*in_hlth_family_renew_comm*in_ins_partner_share*(in_hlth_family_renew^1*SUMIFS(AI1129:AI1165,B1129:B1165,B1129-12)+in_hlth_family_renew^2*SUMIFS(AI1129:AI1165,B1129:B1165,B1129-24)+in_hlth_family_renew^3*SUMIFS(AI1129:AI1165,B1129:B1165,B1129-36)+in_hlth_family_renew^4*SUMIFS(AI1129:AI1165,B1129:B1165,B1129-48))</f>
        <v/>
      </c>
      <c r="AK1129" s="40" t="n">
        <v>1</v>
      </c>
      <c r="AL1129" s="46">
        <f>AK1129*IF(B1129&gt;=in_marketplace_from,d_hz_life_term*G1129,0)</f>
        <v/>
      </c>
      <c r="AM1129" s="14">
        <f>F1129*AL1129*in_life_term_ticket*in_life_term_comm*in_ins_partner_share+F1129*in_life_term_ticket*in_life_term_renew_comm*in_ins_partner_share*(in_life_term_renew^1*SUMIFS(AL1129:AL1165,B1129:B1165,B1129-12)+in_life_term_renew^2*SUMIFS(AL1129:AL1165,B1129:B1165,B1129-24)+in_life_term_renew^3*SUMIFS(AL1129:AL1165,B1129:B1165,B1129-36)+in_life_term_renew^4*SUMIFS(AL1129:AL1165,B1129:B1165,B1129-48))</f>
        <v/>
      </c>
      <c r="AN1129" s="40" t="n">
        <v>1</v>
      </c>
      <c r="AO1129" s="46">
        <f>AN1129*IF(B1129&gt;=in_marketplace_from,d_hz_accident*G1129,0)</f>
        <v/>
      </c>
      <c r="AP1129" s="14">
        <f>F1129*AO1129*in_accident_ticket*in_accident_comm*in_ins_partner_share+F1129*in_accident_ticket*in_accident_renew_comm*in_ins_partner_share*(in_accident_renew^1*SUMIFS(AO1129:AO1165,B1129:B1165,B1129-12)+in_accident_renew^2*SUMIFS(AO1129:AO1165,B1129:B1165,B1129-24)+in_accident_renew^3*SUMIFS(AO1129:AO1165,B1129:B1165,B1129-36)+in_accident_renew^4*SUMIFS(AO1129:AO1165,B1129:B1165,B1129-48))</f>
        <v/>
      </c>
      <c r="AQ1129" s="40" t="n">
        <v>1</v>
      </c>
      <c r="AR1129" s="46">
        <f>AQ1129*IF(B1129&gt;=in_marketplace_from,d_hz_two_wheeler*G1129,0)</f>
        <v/>
      </c>
      <c r="AS1129" s="14">
        <f>F1129*AR1129*in_two_wheeler_ticket*in_two_wheeler_comm*in_ins_partner_share+F1129*in_two_wheeler_ticket*in_two_wheeler_comm*in_ins_partner_share*(in_two_wheeler_renew^1*SUMIFS(AR1129:AR1165,B1129:B1165,B1129-12)+in_two_wheeler_renew^2*SUMIFS(AR1129:AR1165,B1129:B1165,B1129-24)+in_two_wheeler_renew^3*SUMIFS(AR1129:AR1165,B1129:B1165,B1129-36)+in_two_wheeler_renew^4*SUMIFS(AR1129:AR1165,B1129:B1165,B1129-48))</f>
        <v/>
      </c>
      <c r="AT1129" s="40" t="n">
        <v>1</v>
      </c>
      <c r="AU1129" s="14">
        <f>F1129*AT1129*IF(B1129&gt;=in_marketplace_from,d_hz_device*G1129,0)*in_device_ticket*in_device_comm*in_ins_partner_share</f>
        <v/>
      </c>
      <c r="AV1129" s="40" t="n">
        <v>1</v>
      </c>
      <c r="AW1129" s="46">
        <f>AV1129*IF(B1129&gt;=in_marketplace_from,d_hz_shop*G1129,0)</f>
        <v/>
      </c>
      <c r="AX1129" s="14">
        <f>F1129*AW1129*in_shop_ticket*in_shop_comm*in_ins_partner_share+F1129*in_shop_ticket*in_shop_renew_comm*in_ins_partner_share*(in_shop_renew^1*SUMIFS(AW1129:AW1165,B1129:B1165,B1129-12)+in_shop_renew^2*SUMIFS(AW1129:AW1165,B1129:B1165,B1129-24)+in_shop_renew^3*SUMIFS(AW1129:AW1165,B1129:B1165,B1129-36)+in_shop_renew^4*SUMIFS(AW1129:AW1165,B1129:B1165,B1129-48))</f>
        <v/>
      </c>
      <c r="AY1129" s="40" t="n">
        <v>1</v>
      </c>
      <c r="AZ1129" s="40">
        <f>AY1129*IF(B1129&gt;=in_marketplace_from,d_hz_sip*G1129,0)</f>
        <v/>
      </c>
      <c r="BA1129" s="40" t="n">
        <v>0</v>
      </c>
      <c r="BB1129" s="14">
        <f>F1129*in_sip_ticket*(BA1129+0.5*AZ1129)*in_sip_comm/12</f>
        <v/>
      </c>
      <c r="BC1129" s="40" t="n">
        <v>1</v>
      </c>
      <c r="BD1129" s="46">
        <f>BC1129*IF(B1129&gt;=in_marketplace_from,d_hz_choti*G1129,0)</f>
        <v/>
      </c>
      <c r="BE1129" s="14">
        <f>F1129*SUMIFS(BD1129:BD1165,B1129:B1165,B1129-in_choti_months)*in_choti_renew*in_choti_ticket</f>
        <v/>
      </c>
      <c r="BF1129" s="40" t="n">
        <v>1</v>
      </c>
      <c r="BG1129" s="14">
        <f>F1129*BF1129*IF(B1129&gt;=in_marketplace_from,d_hz_nps*G1129,0)*in_nps_ticket*in_nps_comm</f>
        <v/>
      </c>
      <c r="BH1129" s="40" t="n">
        <v>1</v>
      </c>
      <c r="BI1129" s="40">
        <f>BH1129*IF(B1129&gt;=in_marketplace_from,d_hz_gold*G1129,0)</f>
        <v/>
      </c>
      <c r="BJ1129" s="14">
        <f>F1129*BI1129*in_gold_ticket*in_gold_comm</f>
        <v/>
      </c>
      <c r="BK1129" s="40" t="n">
        <v>1</v>
      </c>
      <c r="BL1129" s="14">
        <f>F1129*BK1129*IF(B1129&gt;=in_marketplace_from,d_hz_fd*G1129,0)*in_fd_ticket*in_fd_comm</f>
        <v/>
      </c>
      <c r="BM1129" s="40" t="n">
        <v>1</v>
      </c>
      <c r="BN1129" s="40">
        <f>BM1129*IF(B1129&gt;=in_marketplace_from,d_hz_recharge*G1129,0)</f>
        <v/>
      </c>
      <c r="BO1129" s="14">
        <f>F1129*BN1129*in_recharge_ticket*in_recharge_comm/12</f>
        <v/>
      </c>
      <c r="BP1129" s="40" t="n">
        <v>1</v>
      </c>
      <c r="BQ1129" s="40">
        <f>BP1129*IF(B1129&gt;=in_marketplace_from,d_hz_bills*G1129,0)</f>
        <v/>
      </c>
      <c r="BR1129" s="14">
        <f>F1129*BQ1129*in_bills_ticket*in_bills_comm/12</f>
        <v/>
      </c>
      <c r="BS1129" s="40" t="n">
        <v>1</v>
      </c>
      <c r="BT1129" s="14">
        <f>F1129*BS1129*IF(B1129&gt;=in_marketplace_from,d_hz_loan_gold*G1129,0)*in_loan_gold_ticket*in_loan_gold_comm</f>
        <v/>
      </c>
      <c r="BU1129" s="40" t="n">
        <v>1</v>
      </c>
      <c r="BV1129" s="14">
        <f>F1129*BU1129*IF(B1129&gt;=in_marketplace_from,d_hz_loan_cd*G1129,0)*in_loan_cd_ticket*in_loan_cd_comm</f>
        <v/>
      </c>
      <c r="BW1129" s="40" t="n">
        <v>1</v>
      </c>
      <c r="BX1129" s="14">
        <f>F1129*BW1129*IF(B1129&gt;=in_marketplace_from,d_hz_loan_vehicle*G1129,0)*in_loan_vehicle_ticket*in_loan_vehicle_comm</f>
        <v/>
      </c>
      <c r="BY1129" s="40" t="n">
        <v>1</v>
      </c>
      <c r="BZ1129" s="11">
        <f>MIN(in_approval_cap,in_loan_home_approval*INDEX('Age profile'!$O$2:$O$61,B1129)*(1+in_approval_growth)^(D1129-1))</f>
        <v/>
      </c>
      <c r="CA1129" s="14">
        <f>F1129*BY1129*IF(B1129&gt;=in_marketplace_from,d_hz_loan_home*G1129,0)*BZ1129*in_loan_home_ticket*in_loan_home_comm</f>
        <v/>
      </c>
      <c r="CB1129" s="40" t="n">
        <v>1</v>
      </c>
      <c r="CC1129" s="11">
        <f>MIN(in_approval_cap,in_loan_lap_approval*INDEX('Age profile'!$O$2:$O$61,B1129)*(1+in_approval_growth)^(D1129-1))</f>
        <v/>
      </c>
      <c r="CD1129" s="14">
        <f>F1129*CB1129*IF(B1129&gt;=in_marketplace_from,d_hz_loan_lap*G1129,0)*CC1129*in_loan_lap_ticket*in_loan_lap_comm</f>
        <v/>
      </c>
      <c r="CE1129" s="14">
        <f>AA1129+AB1129+AC1129+AD1129+AG1129+AJ1129+AM1129+AP1129+AS1129+AU1129+AX1129+BB1129+BE1129+BG1129+BJ1129+BL1129+BO1129+BR1129+BT1129+BV1129+BX1129+CA1129+CD1129</f>
        <v/>
      </c>
    </row>
    <row r="1130">
      <c r="A1130" s="39" t="n">
        <v>24</v>
      </c>
      <c r="B1130" s="39" t="n">
        <v>2</v>
      </c>
      <c r="C1130" s="39">
        <f>A1130+B1130-1</f>
        <v/>
      </c>
      <c r="D1130" s="39">
        <f>INT((C1130-1)/12)+1</f>
        <v/>
      </c>
      <c r="E1130" s="44">
        <f>INDEX(Monthly!$B$2:$B$61,A1130)</f>
        <v/>
      </c>
      <c r="F1130" s="44">
        <f>E1130*INDEX('Age profile'!$B$2:$B$61,B1130)</f>
        <v/>
      </c>
      <c r="G1130" s="45">
        <f>MIN(in_takeup_cap,INDEX('Age profile'!$N$2:$N$61,B1130)*(1+in_takeup_growth)^(D1130-1))</f>
        <v/>
      </c>
      <c r="H1130" s="11">
        <f>MIN(in_approval_cap,in_approved_first*INDEX('Age profile'!$O$2:$O$61,B1130)*(1+in_approval_growth)^(D1130-1))</f>
        <v/>
      </c>
      <c r="I1130" s="45">
        <f>G1130*MIN(in_takeup_cap,INDEX('Age profile'!$O$2:$O$61,B1130)*(1+in_approval_growth)^(D1130-1))</f>
        <v/>
      </c>
      <c r="J1130" s="40">
        <f>(J1129-L1129)*F1130/F1129</f>
        <v/>
      </c>
      <c r="K1130" s="40">
        <f>(K1129-M1129)*F1130/F1129+SUMIFS(O1129:O1129,B1129:B1129,B1130-1-d_T)*F1130</f>
        <v/>
      </c>
      <c r="L1130" s="40">
        <f>IF(B1130&gt;=in_marketplace_from,J1130*d_hz*G1130*in_eligible*H1130,0)</f>
        <v/>
      </c>
      <c r="M1130" s="40">
        <f>IF(B1130&gt;=in_marketplace_from,K1130*d_hz*G1130*in_eligible*in_approved_repeat,0)</f>
        <v/>
      </c>
      <c r="N1130" s="40">
        <f>L1130+M1130</f>
        <v/>
      </c>
      <c r="O1130" s="46">
        <f>N1130/F1130</f>
        <v/>
      </c>
      <c r="P1130" s="40">
        <f>F1130-J1130-K1130</f>
        <v/>
      </c>
      <c r="Q1130" s="40">
        <f>IF(B1130&gt;=in_marketplace_from,(J1130+K1130)*d_hz*G1130,0)</f>
        <v/>
      </c>
      <c r="R1130" s="40">
        <f>SUMIFS(N1129:N1165,B1129:B1165,"&gt;="&amp;(B1130-d_T),B1129:B1165,"&lt;="&amp;(B1130-1))</f>
        <v/>
      </c>
      <c r="S1130" s="46">
        <f>(1-d_u)*S1129+IF(d_T&gt;in_topup_lag,SUMIFS(O1129:O1165,B1129:B1165,B1130-in_topup_lag)-d_udrop*SUMIFS(O1129:O1165,B1129:B1165,B1130-d_T),0)</f>
        <v/>
      </c>
      <c r="T1130" s="40">
        <f>F1130*d_u*S1130</f>
        <v/>
      </c>
      <c r="U1130" s="9">
        <f>L1130*in_ticket+M1130*d_rep_ticket</f>
        <v/>
      </c>
      <c r="V1130" s="9">
        <f>U1130+T1130*d_topup_amt</f>
        <v/>
      </c>
      <c r="W1130" s="40">
        <f>N1130+T1130*d_topup_ratio</f>
        <v/>
      </c>
      <c r="X1130" s="40">
        <f>SUMIFS(W1129:W1165,B1129:B1165,B1130-in_dpd_lag)*d_cured</f>
        <v/>
      </c>
      <c r="Y1130" s="40">
        <f>SUMIFS(W1129:W1165,B1129:B1165,B1130-in_rec_lag)*d_recd</f>
        <v/>
      </c>
      <c r="Z1130" s="40">
        <f>IF(AND(B1130&gt;=in_marketplace_from,B1130&lt;in_marketplace_from+in_card_months),in_card_share/in_card_months*F1130*I1130,IF(AND(B1130&gt;=in_marketplace_from+in_card_months,B1130&lt;in_marketplace_from+2*in_card_months),in_card_share*d_card_rem/in_card_months*F1130*MIN(in_takeup_cap,(1+in_takeup_growth)^(D1130-1))*MIN(in_takeup_cap,(1+in_approval_growth)^(D1130-1)),0))</f>
        <v/>
      </c>
      <c r="AA1130" s="14">
        <f>V1130*in_fee*(1-in_taken_back)</f>
        <v/>
      </c>
      <c r="AB1130" s="14">
        <f>SUMIFS(W1129:W1165,B1129:B1165,B1130-in_dpd_lag)*d_dpd</f>
        <v/>
      </c>
      <c r="AC1130" s="14">
        <f>SUMIFS(W1129:W1165,B1129:B1165,B1130-in_rec_lag)*d_rec</f>
        <v/>
      </c>
      <c r="AD1130" s="14">
        <f>Z1130*in_card_fee</f>
        <v/>
      </c>
      <c r="AE1130" s="40">
        <f>AE1129*(1-IF(B1129&gt;=in_marketplace_from,d_hz_hlth_small*G1129,0))</f>
        <v/>
      </c>
      <c r="AF1130" s="46">
        <f>AE1130*IF(B1130&gt;=in_marketplace_from,d_hz_hlth_small*G1130,0)</f>
        <v/>
      </c>
      <c r="AG1130" s="14">
        <f>F1130*AF1130*in_hlth_small_ticket*in_hlth_small_comm*in_ins_partner_share+F1130*in_hlth_small_ticket*in_hlth_small_renew_comm*in_ins_partner_share*(in_hlth_small_renew^1*SUMIFS(AF1129:AF1165,B1129:B1165,B1130-12)+in_hlth_small_renew^2*SUMIFS(AF1129:AF1165,B1129:B1165,B1130-24)+in_hlth_small_renew^3*SUMIFS(AF1129:AF1165,B1129:B1165,B1130-36)+in_hlth_small_renew^4*SUMIFS(AF1129:AF1165,B1129:B1165,B1130-48))</f>
        <v/>
      </c>
      <c r="AH1130" s="40">
        <f>AH1129*(1-IF(B1129&gt;=in_marketplace_from,d_hz_hlth_family*G1129,0))</f>
        <v/>
      </c>
      <c r="AI1130" s="46">
        <f>AH1130*IF(B1130&gt;=in_marketplace_from,d_hz_hlth_family*G1130,0)</f>
        <v/>
      </c>
      <c r="AJ1130" s="14">
        <f>F1130*AI1130*in_hlth_family_ticket*in_hlth_family_comm*in_ins_partner_share+F1130*in_hlth_family_ticket*in_hlth_family_renew_comm*in_ins_partner_share*(in_hlth_family_renew^1*SUMIFS(AI1129:AI1165,B1129:B1165,B1130-12)+in_hlth_family_renew^2*SUMIFS(AI1129:AI1165,B1129:B1165,B1130-24)+in_hlth_family_renew^3*SUMIFS(AI1129:AI1165,B1129:B1165,B1130-36)+in_hlth_family_renew^4*SUMIFS(AI1129:AI1165,B1129:B1165,B1130-48))</f>
        <v/>
      </c>
      <c r="AK1130" s="40">
        <f>AK1129*(1-IF(B1129&gt;=in_marketplace_from,d_hz_life_term*G1129,0))</f>
        <v/>
      </c>
      <c r="AL1130" s="46">
        <f>AK1130*IF(B1130&gt;=in_marketplace_from,d_hz_life_term*G1130,0)</f>
        <v/>
      </c>
      <c r="AM1130" s="14">
        <f>F1130*AL1130*in_life_term_ticket*in_life_term_comm*in_ins_partner_share+F1130*in_life_term_ticket*in_life_term_renew_comm*in_ins_partner_share*(in_life_term_renew^1*SUMIFS(AL1129:AL1165,B1129:B1165,B1130-12)+in_life_term_renew^2*SUMIFS(AL1129:AL1165,B1129:B1165,B1130-24)+in_life_term_renew^3*SUMIFS(AL1129:AL1165,B1129:B1165,B1130-36)+in_life_term_renew^4*SUMIFS(AL1129:AL1165,B1129:B1165,B1130-48))</f>
        <v/>
      </c>
      <c r="AN1130" s="40">
        <f>AN1129*(1-IF(B1129&gt;=in_marketplace_from,d_hz_accident*G1129,0))</f>
        <v/>
      </c>
      <c r="AO1130" s="46">
        <f>AN1130*IF(B1130&gt;=in_marketplace_from,d_hz_accident*G1130,0)</f>
        <v/>
      </c>
      <c r="AP1130" s="14">
        <f>F1130*AO1130*in_accident_ticket*in_accident_comm*in_ins_partner_share+F1130*in_accident_ticket*in_accident_renew_comm*in_ins_partner_share*(in_accident_renew^1*SUMIFS(AO1129:AO1165,B1129:B1165,B1130-12)+in_accident_renew^2*SUMIFS(AO1129:AO1165,B1129:B1165,B1130-24)+in_accident_renew^3*SUMIFS(AO1129:AO1165,B1129:B1165,B1130-36)+in_accident_renew^4*SUMIFS(AO1129:AO1165,B1129:B1165,B1130-48))</f>
        <v/>
      </c>
      <c r="AQ1130" s="40">
        <f>AQ1129*(1-IF(B1129&gt;=in_marketplace_from,d_hz_two_wheeler*G1129,0))</f>
        <v/>
      </c>
      <c r="AR1130" s="46">
        <f>AQ1130*IF(B1130&gt;=in_marketplace_from,d_hz_two_wheeler*G1130,0)</f>
        <v/>
      </c>
      <c r="AS1130" s="14">
        <f>F1130*AR1130*in_two_wheeler_ticket*in_two_wheeler_comm*in_ins_partner_share+F1130*in_two_wheeler_ticket*in_two_wheeler_comm*in_ins_partner_share*(in_two_wheeler_renew^1*SUMIFS(AR1129:AR1165,B1129:B1165,B1130-12)+in_two_wheeler_renew^2*SUMIFS(AR1129:AR1165,B1129:B1165,B1130-24)+in_two_wheeler_renew^3*SUMIFS(AR1129:AR1165,B1129:B1165,B1130-36)+in_two_wheeler_renew^4*SUMIFS(AR1129:AR1165,B1129:B1165,B1130-48))</f>
        <v/>
      </c>
      <c r="AT1130" s="40">
        <f>AT1129*(1-IF(B1129&gt;=in_marketplace_from,d_hz_device*G1129,0))</f>
        <v/>
      </c>
      <c r="AU1130" s="14">
        <f>F1130*AT1130*IF(B1130&gt;=in_marketplace_from,d_hz_device*G1130,0)*in_device_ticket*in_device_comm*in_ins_partner_share</f>
        <v/>
      </c>
      <c r="AV1130" s="40">
        <f>AV1129*(1-IF(B1129&gt;=in_marketplace_from,d_hz_shop*G1129,0))</f>
        <v/>
      </c>
      <c r="AW1130" s="46">
        <f>AV1130*IF(B1130&gt;=in_marketplace_from,d_hz_shop*G1130,0)</f>
        <v/>
      </c>
      <c r="AX1130" s="14">
        <f>F1130*AW1130*in_shop_ticket*in_shop_comm*in_ins_partner_share+F1130*in_shop_ticket*in_shop_renew_comm*in_ins_partner_share*(in_shop_renew^1*SUMIFS(AW1129:AW1165,B1129:B1165,B1130-12)+in_shop_renew^2*SUMIFS(AW1129:AW1165,B1129:B1165,B1130-24)+in_shop_renew^3*SUMIFS(AW1129:AW1165,B1129:B1165,B1130-36)+in_shop_renew^4*SUMIFS(AW1129:AW1165,B1129:B1165,B1130-48))</f>
        <v/>
      </c>
      <c r="AY1130" s="40">
        <f>AY1129*(1-IF(B1129&gt;=in_marketplace_from,d_hz_sip*G1129,0))</f>
        <v/>
      </c>
      <c r="AZ1130" s="40">
        <f>AZ1129*d_rho_sip+AY1130*IF(B1130&gt;=in_marketplace_from,d_hz_sip*G1130,0)</f>
        <v/>
      </c>
      <c r="BA1130" s="40">
        <f>d_rho_sip*(BA1129+AZ1129)</f>
        <v/>
      </c>
      <c r="BB1130" s="14">
        <f>F1130*in_sip_ticket*(BA1130+0.5*AZ1130)*in_sip_comm/12</f>
        <v/>
      </c>
      <c r="BC1130" s="40">
        <f>BC1129*(1-IF(B1129&gt;=in_marketplace_from,d_hz_choti*G1129,0))</f>
        <v/>
      </c>
      <c r="BD1130" s="46">
        <f>BC1130*IF(B1130&gt;=in_marketplace_from,d_hz_choti*G1130,0)</f>
        <v/>
      </c>
      <c r="BE1130" s="14">
        <f>F1130*SUMIFS(BD1129:BD1165,B1129:B1165,B1130-in_choti_months)*in_choti_renew*in_choti_ticket</f>
        <v/>
      </c>
      <c r="BF1130" s="40">
        <f>BF1129*(1-IF(B1129&gt;=in_marketplace_from,d_hz_nps*G1129,0))</f>
        <v/>
      </c>
      <c r="BG1130" s="14">
        <f>F1130*BF1130*IF(B1130&gt;=in_marketplace_from,d_hz_nps*G1130,0)*in_nps_ticket*in_nps_comm</f>
        <v/>
      </c>
      <c r="BH1130" s="40">
        <f>BH1129*(1-IF(B1129&gt;=in_marketplace_from,d_hz_gold*G1129,0))</f>
        <v/>
      </c>
      <c r="BI1130" s="40">
        <f>BI1129*d_rho_gold+BH1130*IF(B1130&gt;=in_marketplace_from,d_hz_gold*G1130,0)</f>
        <v/>
      </c>
      <c r="BJ1130" s="14">
        <f>F1130*BI1130*in_gold_ticket*in_gold_comm</f>
        <v/>
      </c>
      <c r="BK1130" s="40">
        <f>BK1129*(1-IF(B1129&gt;=in_marketplace_from,d_hz_fd*G1129,0))</f>
        <v/>
      </c>
      <c r="BL1130" s="14">
        <f>F1130*BK1130*IF(B1130&gt;=in_marketplace_from,d_hz_fd*G1130,0)*in_fd_ticket*in_fd_comm</f>
        <v/>
      </c>
      <c r="BM1130" s="40">
        <f>BM1129*(1-IF(B1129&gt;=in_marketplace_from,d_hz_recharge*G1129,0))</f>
        <v/>
      </c>
      <c r="BN1130" s="40">
        <f>BN1129*d_rho_recharge+BM1130*IF(B1130&gt;=in_marketplace_from,d_hz_recharge*G1130,0)</f>
        <v/>
      </c>
      <c r="BO1130" s="14">
        <f>F1130*BN1130*in_recharge_ticket*in_recharge_comm/12</f>
        <v/>
      </c>
      <c r="BP1130" s="40">
        <f>BP1129*(1-IF(B1129&gt;=in_marketplace_from,d_hz_bills*G1129,0))</f>
        <v/>
      </c>
      <c r="BQ1130" s="40">
        <f>BQ1129*d_rho_bills+BP1130*IF(B1130&gt;=in_marketplace_from,d_hz_bills*G1130,0)</f>
        <v/>
      </c>
      <c r="BR1130" s="14">
        <f>F1130*BQ1130*in_bills_ticket*in_bills_comm/12</f>
        <v/>
      </c>
      <c r="BS1130" s="40">
        <f>BS1129*(1-IF(B1129&gt;=in_marketplace_from,d_hz_loan_gold*G1129,0))</f>
        <v/>
      </c>
      <c r="BT1130" s="14">
        <f>F1130*BS1130*IF(B1130&gt;=in_marketplace_from,d_hz_loan_gold*G1130,0)*in_loan_gold_ticket*in_loan_gold_comm</f>
        <v/>
      </c>
      <c r="BU1130" s="40">
        <f>BU1129*(1-IF(B1129&gt;=in_marketplace_from,d_hz_loan_cd*G1129,0))</f>
        <v/>
      </c>
      <c r="BV1130" s="14">
        <f>F1130*BU1130*IF(B1130&gt;=in_marketplace_from,d_hz_loan_cd*G1130,0)*in_loan_cd_ticket*in_loan_cd_comm</f>
        <v/>
      </c>
      <c r="BW1130" s="40">
        <f>BW1129*(1-IF(B1129&gt;=in_marketplace_from,d_hz_loan_vehicle*G1129,0))</f>
        <v/>
      </c>
      <c r="BX1130" s="14">
        <f>F1130*BW1130*IF(B1130&gt;=in_marketplace_from,d_hz_loan_vehicle*G1130,0)*in_loan_vehicle_ticket*in_loan_vehicle_comm</f>
        <v/>
      </c>
      <c r="BY1130" s="40">
        <f>BY1129*(1-IF(B1129&gt;=in_marketplace_from,d_hz_loan_home*G1129,0)*BZ1129)</f>
        <v/>
      </c>
      <c r="BZ1130" s="11">
        <f>MIN(in_approval_cap,in_loan_home_approval*INDEX('Age profile'!$O$2:$O$61,B1130)*(1+in_approval_growth)^(D1130-1))</f>
        <v/>
      </c>
      <c r="CA1130" s="14">
        <f>F1130*BY1130*IF(B1130&gt;=in_marketplace_from,d_hz_loan_home*G1130,0)*BZ1130*in_loan_home_ticket*in_loan_home_comm</f>
        <v/>
      </c>
      <c r="CB1130" s="40">
        <f>CB1129*(1-IF(B1129&gt;=in_marketplace_from,d_hz_loan_lap*G1129,0)*CC1129)</f>
        <v/>
      </c>
      <c r="CC1130" s="11">
        <f>MIN(in_approval_cap,in_loan_lap_approval*INDEX('Age profile'!$O$2:$O$61,B1130)*(1+in_approval_growth)^(D1130-1))</f>
        <v/>
      </c>
      <c r="CD1130" s="14">
        <f>F1130*CB1130*IF(B1130&gt;=in_marketplace_from,d_hz_loan_lap*G1130,0)*CC1130*in_loan_lap_ticket*in_loan_lap_comm</f>
        <v/>
      </c>
      <c r="CE1130" s="14">
        <f>AA1130+AB1130+AC1130+AD1130+AG1130+AJ1130+AM1130+AP1130+AS1130+AU1130+AX1130+BB1130+BE1130+BG1130+BJ1130+BL1130+BO1130+BR1130+BT1130+BV1130+BX1130+CA1130+CD1130</f>
        <v/>
      </c>
    </row>
    <row r="1131">
      <c r="A1131" s="39" t="n">
        <v>24</v>
      </c>
      <c r="B1131" s="39" t="n">
        <v>3</v>
      </c>
      <c r="C1131" s="39">
        <f>A1131+B1131-1</f>
        <v/>
      </c>
      <c r="D1131" s="39">
        <f>INT((C1131-1)/12)+1</f>
        <v/>
      </c>
      <c r="E1131" s="44">
        <f>INDEX(Monthly!$B$2:$B$61,A1131)</f>
        <v/>
      </c>
      <c r="F1131" s="44">
        <f>E1131*INDEX('Age profile'!$B$2:$B$61,B1131)</f>
        <v/>
      </c>
      <c r="G1131" s="45">
        <f>MIN(in_takeup_cap,INDEX('Age profile'!$N$2:$N$61,B1131)*(1+in_takeup_growth)^(D1131-1))</f>
        <v/>
      </c>
      <c r="H1131" s="11">
        <f>MIN(in_approval_cap,in_approved_first*INDEX('Age profile'!$O$2:$O$61,B1131)*(1+in_approval_growth)^(D1131-1))</f>
        <v/>
      </c>
      <c r="I1131" s="45">
        <f>G1131*MIN(in_takeup_cap,INDEX('Age profile'!$O$2:$O$61,B1131)*(1+in_approval_growth)^(D1131-1))</f>
        <v/>
      </c>
      <c r="J1131" s="40">
        <f>(J1130-L1130)*F1131/F1130</f>
        <v/>
      </c>
      <c r="K1131" s="40">
        <f>(K1130-M1130)*F1131/F1130+SUMIFS(O1129:O1130,B1129:B1130,B1131-1-d_T)*F1131</f>
        <v/>
      </c>
      <c r="L1131" s="40">
        <f>IF(B1131&gt;=in_marketplace_from,J1131*d_hz*G1131*in_eligible*H1131,0)</f>
        <v/>
      </c>
      <c r="M1131" s="40">
        <f>IF(B1131&gt;=in_marketplace_from,K1131*d_hz*G1131*in_eligible*in_approved_repeat,0)</f>
        <v/>
      </c>
      <c r="N1131" s="40">
        <f>L1131+M1131</f>
        <v/>
      </c>
      <c r="O1131" s="46">
        <f>N1131/F1131</f>
        <v/>
      </c>
      <c r="P1131" s="40">
        <f>F1131-J1131-K1131</f>
        <v/>
      </c>
      <c r="Q1131" s="40">
        <f>IF(B1131&gt;=in_marketplace_from,(J1131+K1131)*d_hz*G1131,0)</f>
        <v/>
      </c>
      <c r="R1131" s="40">
        <f>SUMIFS(N1129:N1165,B1129:B1165,"&gt;="&amp;(B1131-d_T),B1129:B1165,"&lt;="&amp;(B1131-1))</f>
        <v/>
      </c>
      <c r="S1131" s="46">
        <f>(1-d_u)*S1130+IF(d_T&gt;in_topup_lag,SUMIFS(O1129:O1165,B1129:B1165,B1131-in_topup_lag)-d_udrop*SUMIFS(O1129:O1165,B1129:B1165,B1131-d_T),0)</f>
        <v/>
      </c>
      <c r="T1131" s="40">
        <f>F1131*d_u*S1131</f>
        <v/>
      </c>
      <c r="U1131" s="9">
        <f>L1131*in_ticket+M1131*d_rep_ticket</f>
        <v/>
      </c>
      <c r="V1131" s="9">
        <f>U1131+T1131*d_topup_amt</f>
        <v/>
      </c>
      <c r="W1131" s="40">
        <f>N1131+T1131*d_topup_ratio</f>
        <v/>
      </c>
      <c r="X1131" s="40">
        <f>SUMIFS(W1129:W1165,B1129:B1165,B1131-in_dpd_lag)*d_cured</f>
        <v/>
      </c>
      <c r="Y1131" s="40">
        <f>SUMIFS(W1129:W1165,B1129:B1165,B1131-in_rec_lag)*d_recd</f>
        <v/>
      </c>
      <c r="Z1131" s="40">
        <f>IF(AND(B1131&gt;=in_marketplace_from,B1131&lt;in_marketplace_from+in_card_months),in_card_share/in_card_months*F1131*I1131,IF(AND(B1131&gt;=in_marketplace_from+in_card_months,B1131&lt;in_marketplace_from+2*in_card_months),in_card_share*d_card_rem/in_card_months*F1131*MIN(in_takeup_cap,(1+in_takeup_growth)^(D1131-1))*MIN(in_takeup_cap,(1+in_approval_growth)^(D1131-1)),0))</f>
        <v/>
      </c>
      <c r="AA1131" s="14">
        <f>V1131*in_fee*(1-in_taken_back)</f>
        <v/>
      </c>
      <c r="AB1131" s="14">
        <f>SUMIFS(W1129:W1165,B1129:B1165,B1131-in_dpd_lag)*d_dpd</f>
        <v/>
      </c>
      <c r="AC1131" s="14">
        <f>SUMIFS(W1129:W1165,B1129:B1165,B1131-in_rec_lag)*d_rec</f>
        <v/>
      </c>
      <c r="AD1131" s="14">
        <f>Z1131*in_card_fee</f>
        <v/>
      </c>
      <c r="AE1131" s="40">
        <f>AE1130*(1-IF(B1130&gt;=in_marketplace_from,d_hz_hlth_small*G1130,0))</f>
        <v/>
      </c>
      <c r="AF1131" s="46">
        <f>AE1131*IF(B1131&gt;=in_marketplace_from,d_hz_hlth_small*G1131,0)</f>
        <v/>
      </c>
      <c r="AG1131" s="14">
        <f>F1131*AF1131*in_hlth_small_ticket*in_hlth_small_comm*in_ins_partner_share+F1131*in_hlth_small_ticket*in_hlth_small_renew_comm*in_ins_partner_share*(in_hlth_small_renew^1*SUMIFS(AF1129:AF1165,B1129:B1165,B1131-12)+in_hlth_small_renew^2*SUMIFS(AF1129:AF1165,B1129:B1165,B1131-24)+in_hlth_small_renew^3*SUMIFS(AF1129:AF1165,B1129:B1165,B1131-36)+in_hlth_small_renew^4*SUMIFS(AF1129:AF1165,B1129:B1165,B1131-48))</f>
        <v/>
      </c>
      <c r="AH1131" s="40">
        <f>AH1130*(1-IF(B1130&gt;=in_marketplace_from,d_hz_hlth_family*G1130,0))</f>
        <v/>
      </c>
      <c r="AI1131" s="46">
        <f>AH1131*IF(B1131&gt;=in_marketplace_from,d_hz_hlth_family*G1131,0)</f>
        <v/>
      </c>
      <c r="AJ1131" s="14">
        <f>F1131*AI1131*in_hlth_family_ticket*in_hlth_family_comm*in_ins_partner_share+F1131*in_hlth_family_ticket*in_hlth_family_renew_comm*in_ins_partner_share*(in_hlth_family_renew^1*SUMIFS(AI1129:AI1165,B1129:B1165,B1131-12)+in_hlth_family_renew^2*SUMIFS(AI1129:AI1165,B1129:B1165,B1131-24)+in_hlth_family_renew^3*SUMIFS(AI1129:AI1165,B1129:B1165,B1131-36)+in_hlth_family_renew^4*SUMIFS(AI1129:AI1165,B1129:B1165,B1131-48))</f>
        <v/>
      </c>
      <c r="AK1131" s="40">
        <f>AK1130*(1-IF(B1130&gt;=in_marketplace_from,d_hz_life_term*G1130,0))</f>
        <v/>
      </c>
      <c r="AL1131" s="46">
        <f>AK1131*IF(B1131&gt;=in_marketplace_from,d_hz_life_term*G1131,0)</f>
        <v/>
      </c>
      <c r="AM1131" s="14">
        <f>F1131*AL1131*in_life_term_ticket*in_life_term_comm*in_ins_partner_share+F1131*in_life_term_ticket*in_life_term_renew_comm*in_ins_partner_share*(in_life_term_renew^1*SUMIFS(AL1129:AL1165,B1129:B1165,B1131-12)+in_life_term_renew^2*SUMIFS(AL1129:AL1165,B1129:B1165,B1131-24)+in_life_term_renew^3*SUMIFS(AL1129:AL1165,B1129:B1165,B1131-36)+in_life_term_renew^4*SUMIFS(AL1129:AL1165,B1129:B1165,B1131-48))</f>
        <v/>
      </c>
      <c r="AN1131" s="40">
        <f>AN1130*(1-IF(B1130&gt;=in_marketplace_from,d_hz_accident*G1130,0))</f>
        <v/>
      </c>
      <c r="AO1131" s="46">
        <f>AN1131*IF(B1131&gt;=in_marketplace_from,d_hz_accident*G1131,0)</f>
        <v/>
      </c>
      <c r="AP1131" s="14">
        <f>F1131*AO1131*in_accident_ticket*in_accident_comm*in_ins_partner_share+F1131*in_accident_ticket*in_accident_renew_comm*in_ins_partner_share*(in_accident_renew^1*SUMIFS(AO1129:AO1165,B1129:B1165,B1131-12)+in_accident_renew^2*SUMIFS(AO1129:AO1165,B1129:B1165,B1131-24)+in_accident_renew^3*SUMIFS(AO1129:AO1165,B1129:B1165,B1131-36)+in_accident_renew^4*SUMIFS(AO1129:AO1165,B1129:B1165,B1131-48))</f>
        <v/>
      </c>
      <c r="AQ1131" s="40">
        <f>AQ1130*(1-IF(B1130&gt;=in_marketplace_from,d_hz_two_wheeler*G1130,0))</f>
        <v/>
      </c>
      <c r="AR1131" s="46">
        <f>AQ1131*IF(B1131&gt;=in_marketplace_from,d_hz_two_wheeler*G1131,0)</f>
        <v/>
      </c>
      <c r="AS1131" s="14">
        <f>F1131*AR1131*in_two_wheeler_ticket*in_two_wheeler_comm*in_ins_partner_share+F1131*in_two_wheeler_ticket*in_two_wheeler_comm*in_ins_partner_share*(in_two_wheeler_renew^1*SUMIFS(AR1129:AR1165,B1129:B1165,B1131-12)+in_two_wheeler_renew^2*SUMIFS(AR1129:AR1165,B1129:B1165,B1131-24)+in_two_wheeler_renew^3*SUMIFS(AR1129:AR1165,B1129:B1165,B1131-36)+in_two_wheeler_renew^4*SUMIFS(AR1129:AR1165,B1129:B1165,B1131-48))</f>
        <v/>
      </c>
      <c r="AT1131" s="40">
        <f>AT1130*(1-IF(B1130&gt;=in_marketplace_from,d_hz_device*G1130,0))</f>
        <v/>
      </c>
      <c r="AU1131" s="14">
        <f>F1131*AT1131*IF(B1131&gt;=in_marketplace_from,d_hz_device*G1131,0)*in_device_ticket*in_device_comm*in_ins_partner_share</f>
        <v/>
      </c>
      <c r="AV1131" s="40">
        <f>AV1130*(1-IF(B1130&gt;=in_marketplace_from,d_hz_shop*G1130,0))</f>
        <v/>
      </c>
      <c r="AW1131" s="46">
        <f>AV1131*IF(B1131&gt;=in_marketplace_from,d_hz_shop*G1131,0)</f>
        <v/>
      </c>
      <c r="AX1131" s="14">
        <f>F1131*AW1131*in_shop_ticket*in_shop_comm*in_ins_partner_share+F1131*in_shop_ticket*in_shop_renew_comm*in_ins_partner_share*(in_shop_renew^1*SUMIFS(AW1129:AW1165,B1129:B1165,B1131-12)+in_shop_renew^2*SUMIFS(AW1129:AW1165,B1129:B1165,B1131-24)+in_shop_renew^3*SUMIFS(AW1129:AW1165,B1129:B1165,B1131-36)+in_shop_renew^4*SUMIFS(AW1129:AW1165,B1129:B1165,B1131-48))</f>
        <v/>
      </c>
      <c r="AY1131" s="40">
        <f>AY1130*(1-IF(B1130&gt;=in_marketplace_from,d_hz_sip*G1130,0))</f>
        <v/>
      </c>
      <c r="AZ1131" s="40">
        <f>AZ1130*d_rho_sip+AY1131*IF(B1131&gt;=in_marketplace_from,d_hz_sip*G1131,0)</f>
        <v/>
      </c>
      <c r="BA1131" s="40">
        <f>d_rho_sip*(BA1130+AZ1130)</f>
        <v/>
      </c>
      <c r="BB1131" s="14">
        <f>F1131*in_sip_ticket*(BA1131+0.5*AZ1131)*in_sip_comm/12</f>
        <v/>
      </c>
      <c r="BC1131" s="40">
        <f>BC1130*(1-IF(B1130&gt;=in_marketplace_from,d_hz_choti*G1130,0))</f>
        <v/>
      </c>
      <c r="BD1131" s="46">
        <f>BC1131*IF(B1131&gt;=in_marketplace_from,d_hz_choti*G1131,0)</f>
        <v/>
      </c>
      <c r="BE1131" s="14">
        <f>F1131*SUMIFS(BD1129:BD1165,B1129:B1165,B1131-in_choti_months)*in_choti_renew*in_choti_ticket</f>
        <v/>
      </c>
      <c r="BF1131" s="40">
        <f>BF1130*(1-IF(B1130&gt;=in_marketplace_from,d_hz_nps*G1130,0))</f>
        <v/>
      </c>
      <c r="BG1131" s="14">
        <f>F1131*BF1131*IF(B1131&gt;=in_marketplace_from,d_hz_nps*G1131,0)*in_nps_ticket*in_nps_comm</f>
        <v/>
      </c>
      <c r="BH1131" s="40">
        <f>BH1130*(1-IF(B1130&gt;=in_marketplace_from,d_hz_gold*G1130,0))</f>
        <v/>
      </c>
      <c r="BI1131" s="40">
        <f>BI1130*d_rho_gold+BH1131*IF(B1131&gt;=in_marketplace_from,d_hz_gold*G1131,0)</f>
        <v/>
      </c>
      <c r="BJ1131" s="14">
        <f>F1131*BI1131*in_gold_ticket*in_gold_comm</f>
        <v/>
      </c>
      <c r="BK1131" s="40">
        <f>BK1130*(1-IF(B1130&gt;=in_marketplace_from,d_hz_fd*G1130,0))</f>
        <v/>
      </c>
      <c r="BL1131" s="14">
        <f>F1131*BK1131*IF(B1131&gt;=in_marketplace_from,d_hz_fd*G1131,0)*in_fd_ticket*in_fd_comm</f>
        <v/>
      </c>
      <c r="BM1131" s="40">
        <f>BM1130*(1-IF(B1130&gt;=in_marketplace_from,d_hz_recharge*G1130,0))</f>
        <v/>
      </c>
      <c r="BN1131" s="40">
        <f>BN1130*d_rho_recharge+BM1131*IF(B1131&gt;=in_marketplace_from,d_hz_recharge*G1131,0)</f>
        <v/>
      </c>
      <c r="BO1131" s="14">
        <f>F1131*BN1131*in_recharge_ticket*in_recharge_comm/12</f>
        <v/>
      </c>
      <c r="BP1131" s="40">
        <f>BP1130*(1-IF(B1130&gt;=in_marketplace_from,d_hz_bills*G1130,0))</f>
        <v/>
      </c>
      <c r="BQ1131" s="40">
        <f>BQ1130*d_rho_bills+BP1131*IF(B1131&gt;=in_marketplace_from,d_hz_bills*G1131,0)</f>
        <v/>
      </c>
      <c r="BR1131" s="14">
        <f>F1131*BQ1131*in_bills_ticket*in_bills_comm/12</f>
        <v/>
      </c>
      <c r="BS1131" s="40">
        <f>BS1130*(1-IF(B1130&gt;=in_marketplace_from,d_hz_loan_gold*G1130,0))</f>
        <v/>
      </c>
      <c r="BT1131" s="14">
        <f>F1131*BS1131*IF(B1131&gt;=in_marketplace_from,d_hz_loan_gold*G1131,0)*in_loan_gold_ticket*in_loan_gold_comm</f>
        <v/>
      </c>
      <c r="BU1131" s="40">
        <f>BU1130*(1-IF(B1130&gt;=in_marketplace_from,d_hz_loan_cd*G1130,0))</f>
        <v/>
      </c>
      <c r="BV1131" s="14">
        <f>F1131*BU1131*IF(B1131&gt;=in_marketplace_from,d_hz_loan_cd*G1131,0)*in_loan_cd_ticket*in_loan_cd_comm</f>
        <v/>
      </c>
      <c r="BW1131" s="40">
        <f>BW1130*(1-IF(B1130&gt;=in_marketplace_from,d_hz_loan_vehicle*G1130,0))</f>
        <v/>
      </c>
      <c r="BX1131" s="14">
        <f>F1131*BW1131*IF(B1131&gt;=in_marketplace_from,d_hz_loan_vehicle*G1131,0)*in_loan_vehicle_ticket*in_loan_vehicle_comm</f>
        <v/>
      </c>
      <c r="BY1131" s="40">
        <f>BY1130*(1-IF(B1130&gt;=in_marketplace_from,d_hz_loan_home*G1130,0)*BZ1130)</f>
        <v/>
      </c>
      <c r="BZ1131" s="11">
        <f>MIN(in_approval_cap,in_loan_home_approval*INDEX('Age profile'!$O$2:$O$61,B1131)*(1+in_approval_growth)^(D1131-1))</f>
        <v/>
      </c>
      <c r="CA1131" s="14">
        <f>F1131*BY1131*IF(B1131&gt;=in_marketplace_from,d_hz_loan_home*G1131,0)*BZ1131*in_loan_home_ticket*in_loan_home_comm</f>
        <v/>
      </c>
      <c r="CB1131" s="40">
        <f>CB1130*(1-IF(B1130&gt;=in_marketplace_from,d_hz_loan_lap*G1130,0)*CC1130)</f>
        <v/>
      </c>
      <c r="CC1131" s="11">
        <f>MIN(in_approval_cap,in_loan_lap_approval*INDEX('Age profile'!$O$2:$O$61,B1131)*(1+in_approval_growth)^(D1131-1))</f>
        <v/>
      </c>
      <c r="CD1131" s="14">
        <f>F1131*CB1131*IF(B1131&gt;=in_marketplace_from,d_hz_loan_lap*G1131,0)*CC1131*in_loan_lap_ticket*in_loan_lap_comm</f>
        <v/>
      </c>
      <c r="CE1131" s="14">
        <f>AA1131+AB1131+AC1131+AD1131+AG1131+AJ1131+AM1131+AP1131+AS1131+AU1131+AX1131+BB1131+BE1131+BG1131+BJ1131+BL1131+BO1131+BR1131+BT1131+BV1131+BX1131+CA1131+CD1131</f>
        <v/>
      </c>
    </row>
    <row r="1132">
      <c r="A1132" s="39" t="n">
        <v>24</v>
      </c>
      <c r="B1132" s="39" t="n">
        <v>4</v>
      </c>
      <c r="C1132" s="39">
        <f>A1132+B1132-1</f>
        <v/>
      </c>
      <c r="D1132" s="39">
        <f>INT((C1132-1)/12)+1</f>
        <v/>
      </c>
      <c r="E1132" s="44">
        <f>INDEX(Monthly!$B$2:$B$61,A1132)</f>
        <v/>
      </c>
      <c r="F1132" s="44">
        <f>E1132*INDEX('Age profile'!$B$2:$B$61,B1132)</f>
        <v/>
      </c>
      <c r="G1132" s="45">
        <f>MIN(in_takeup_cap,INDEX('Age profile'!$N$2:$N$61,B1132)*(1+in_takeup_growth)^(D1132-1))</f>
        <v/>
      </c>
      <c r="H1132" s="11">
        <f>MIN(in_approval_cap,in_approved_first*INDEX('Age profile'!$O$2:$O$61,B1132)*(1+in_approval_growth)^(D1132-1))</f>
        <v/>
      </c>
      <c r="I1132" s="45">
        <f>G1132*MIN(in_takeup_cap,INDEX('Age profile'!$O$2:$O$61,B1132)*(1+in_approval_growth)^(D1132-1))</f>
        <v/>
      </c>
      <c r="J1132" s="40">
        <f>(J1131-L1131)*F1132/F1131</f>
        <v/>
      </c>
      <c r="K1132" s="40">
        <f>(K1131-M1131)*F1132/F1131+SUMIFS(O1129:O1131,B1129:B1131,B1132-1-d_T)*F1132</f>
        <v/>
      </c>
      <c r="L1132" s="40">
        <f>IF(B1132&gt;=in_marketplace_from,J1132*d_hz*G1132*in_eligible*H1132,0)</f>
        <v/>
      </c>
      <c r="M1132" s="40">
        <f>IF(B1132&gt;=in_marketplace_from,K1132*d_hz*G1132*in_eligible*in_approved_repeat,0)</f>
        <v/>
      </c>
      <c r="N1132" s="40">
        <f>L1132+M1132</f>
        <v/>
      </c>
      <c r="O1132" s="46">
        <f>N1132/F1132</f>
        <v/>
      </c>
      <c r="P1132" s="40">
        <f>F1132-J1132-K1132</f>
        <v/>
      </c>
      <c r="Q1132" s="40">
        <f>IF(B1132&gt;=in_marketplace_from,(J1132+K1132)*d_hz*G1132,0)</f>
        <v/>
      </c>
      <c r="R1132" s="40">
        <f>SUMIFS(N1129:N1165,B1129:B1165,"&gt;="&amp;(B1132-d_T),B1129:B1165,"&lt;="&amp;(B1132-1))</f>
        <v/>
      </c>
      <c r="S1132" s="46">
        <f>(1-d_u)*S1131+IF(d_T&gt;in_topup_lag,SUMIFS(O1129:O1165,B1129:B1165,B1132-in_topup_lag)-d_udrop*SUMIFS(O1129:O1165,B1129:B1165,B1132-d_T),0)</f>
        <v/>
      </c>
      <c r="T1132" s="40">
        <f>F1132*d_u*S1132</f>
        <v/>
      </c>
      <c r="U1132" s="9">
        <f>L1132*in_ticket+M1132*d_rep_ticket</f>
        <v/>
      </c>
      <c r="V1132" s="9">
        <f>U1132+T1132*d_topup_amt</f>
        <v/>
      </c>
      <c r="W1132" s="40">
        <f>N1132+T1132*d_topup_ratio</f>
        <v/>
      </c>
      <c r="X1132" s="40">
        <f>SUMIFS(W1129:W1165,B1129:B1165,B1132-in_dpd_lag)*d_cured</f>
        <v/>
      </c>
      <c r="Y1132" s="40">
        <f>SUMIFS(W1129:W1165,B1129:B1165,B1132-in_rec_lag)*d_recd</f>
        <v/>
      </c>
      <c r="Z1132" s="40">
        <f>IF(AND(B1132&gt;=in_marketplace_from,B1132&lt;in_marketplace_from+in_card_months),in_card_share/in_card_months*F1132*I1132,IF(AND(B1132&gt;=in_marketplace_from+in_card_months,B1132&lt;in_marketplace_from+2*in_card_months),in_card_share*d_card_rem/in_card_months*F1132*MIN(in_takeup_cap,(1+in_takeup_growth)^(D1132-1))*MIN(in_takeup_cap,(1+in_approval_growth)^(D1132-1)),0))</f>
        <v/>
      </c>
      <c r="AA1132" s="14">
        <f>V1132*in_fee*(1-in_taken_back)</f>
        <v/>
      </c>
      <c r="AB1132" s="14">
        <f>SUMIFS(W1129:W1165,B1129:B1165,B1132-in_dpd_lag)*d_dpd</f>
        <v/>
      </c>
      <c r="AC1132" s="14">
        <f>SUMIFS(W1129:W1165,B1129:B1165,B1132-in_rec_lag)*d_rec</f>
        <v/>
      </c>
      <c r="AD1132" s="14">
        <f>Z1132*in_card_fee</f>
        <v/>
      </c>
      <c r="AE1132" s="40">
        <f>AE1131*(1-IF(B1131&gt;=in_marketplace_from,d_hz_hlth_small*G1131,0))</f>
        <v/>
      </c>
      <c r="AF1132" s="46">
        <f>AE1132*IF(B1132&gt;=in_marketplace_from,d_hz_hlth_small*G1132,0)</f>
        <v/>
      </c>
      <c r="AG1132" s="14">
        <f>F1132*AF1132*in_hlth_small_ticket*in_hlth_small_comm*in_ins_partner_share+F1132*in_hlth_small_ticket*in_hlth_small_renew_comm*in_ins_partner_share*(in_hlth_small_renew^1*SUMIFS(AF1129:AF1165,B1129:B1165,B1132-12)+in_hlth_small_renew^2*SUMIFS(AF1129:AF1165,B1129:B1165,B1132-24)+in_hlth_small_renew^3*SUMIFS(AF1129:AF1165,B1129:B1165,B1132-36)+in_hlth_small_renew^4*SUMIFS(AF1129:AF1165,B1129:B1165,B1132-48))</f>
        <v/>
      </c>
      <c r="AH1132" s="40">
        <f>AH1131*(1-IF(B1131&gt;=in_marketplace_from,d_hz_hlth_family*G1131,0))</f>
        <v/>
      </c>
      <c r="AI1132" s="46">
        <f>AH1132*IF(B1132&gt;=in_marketplace_from,d_hz_hlth_family*G1132,0)</f>
        <v/>
      </c>
      <c r="AJ1132" s="14">
        <f>F1132*AI1132*in_hlth_family_ticket*in_hlth_family_comm*in_ins_partner_share+F1132*in_hlth_family_ticket*in_hlth_family_renew_comm*in_ins_partner_share*(in_hlth_family_renew^1*SUMIFS(AI1129:AI1165,B1129:B1165,B1132-12)+in_hlth_family_renew^2*SUMIFS(AI1129:AI1165,B1129:B1165,B1132-24)+in_hlth_family_renew^3*SUMIFS(AI1129:AI1165,B1129:B1165,B1132-36)+in_hlth_family_renew^4*SUMIFS(AI1129:AI1165,B1129:B1165,B1132-48))</f>
        <v/>
      </c>
      <c r="AK1132" s="40">
        <f>AK1131*(1-IF(B1131&gt;=in_marketplace_from,d_hz_life_term*G1131,0))</f>
        <v/>
      </c>
      <c r="AL1132" s="46">
        <f>AK1132*IF(B1132&gt;=in_marketplace_from,d_hz_life_term*G1132,0)</f>
        <v/>
      </c>
      <c r="AM1132" s="14">
        <f>F1132*AL1132*in_life_term_ticket*in_life_term_comm*in_ins_partner_share+F1132*in_life_term_ticket*in_life_term_renew_comm*in_ins_partner_share*(in_life_term_renew^1*SUMIFS(AL1129:AL1165,B1129:B1165,B1132-12)+in_life_term_renew^2*SUMIFS(AL1129:AL1165,B1129:B1165,B1132-24)+in_life_term_renew^3*SUMIFS(AL1129:AL1165,B1129:B1165,B1132-36)+in_life_term_renew^4*SUMIFS(AL1129:AL1165,B1129:B1165,B1132-48))</f>
        <v/>
      </c>
      <c r="AN1132" s="40">
        <f>AN1131*(1-IF(B1131&gt;=in_marketplace_from,d_hz_accident*G1131,0))</f>
        <v/>
      </c>
      <c r="AO1132" s="46">
        <f>AN1132*IF(B1132&gt;=in_marketplace_from,d_hz_accident*G1132,0)</f>
        <v/>
      </c>
      <c r="AP1132" s="14">
        <f>F1132*AO1132*in_accident_ticket*in_accident_comm*in_ins_partner_share+F1132*in_accident_ticket*in_accident_renew_comm*in_ins_partner_share*(in_accident_renew^1*SUMIFS(AO1129:AO1165,B1129:B1165,B1132-12)+in_accident_renew^2*SUMIFS(AO1129:AO1165,B1129:B1165,B1132-24)+in_accident_renew^3*SUMIFS(AO1129:AO1165,B1129:B1165,B1132-36)+in_accident_renew^4*SUMIFS(AO1129:AO1165,B1129:B1165,B1132-48))</f>
        <v/>
      </c>
      <c r="AQ1132" s="40">
        <f>AQ1131*(1-IF(B1131&gt;=in_marketplace_from,d_hz_two_wheeler*G1131,0))</f>
        <v/>
      </c>
      <c r="AR1132" s="46">
        <f>AQ1132*IF(B1132&gt;=in_marketplace_from,d_hz_two_wheeler*G1132,0)</f>
        <v/>
      </c>
      <c r="AS1132" s="14">
        <f>F1132*AR1132*in_two_wheeler_ticket*in_two_wheeler_comm*in_ins_partner_share+F1132*in_two_wheeler_ticket*in_two_wheeler_comm*in_ins_partner_share*(in_two_wheeler_renew^1*SUMIFS(AR1129:AR1165,B1129:B1165,B1132-12)+in_two_wheeler_renew^2*SUMIFS(AR1129:AR1165,B1129:B1165,B1132-24)+in_two_wheeler_renew^3*SUMIFS(AR1129:AR1165,B1129:B1165,B1132-36)+in_two_wheeler_renew^4*SUMIFS(AR1129:AR1165,B1129:B1165,B1132-48))</f>
        <v/>
      </c>
      <c r="AT1132" s="40">
        <f>AT1131*(1-IF(B1131&gt;=in_marketplace_from,d_hz_device*G1131,0))</f>
        <v/>
      </c>
      <c r="AU1132" s="14">
        <f>F1132*AT1132*IF(B1132&gt;=in_marketplace_from,d_hz_device*G1132,0)*in_device_ticket*in_device_comm*in_ins_partner_share</f>
        <v/>
      </c>
      <c r="AV1132" s="40">
        <f>AV1131*(1-IF(B1131&gt;=in_marketplace_from,d_hz_shop*G1131,0))</f>
        <v/>
      </c>
      <c r="AW1132" s="46">
        <f>AV1132*IF(B1132&gt;=in_marketplace_from,d_hz_shop*G1132,0)</f>
        <v/>
      </c>
      <c r="AX1132" s="14">
        <f>F1132*AW1132*in_shop_ticket*in_shop_comm*in_ins_partner_share+F1132*in_shop_ticket*in_shop_renew_comm*in_ins_partner_share*(in_shop_renew^1*SUMIFS(AW1129:AW1165,B1129:B1165,B1132-12)+in_shop_renew^2*SUMIFS(AW1129:AW1165,B1129:B1165,B1132-24)+in_shop_renew^3*SUMIFS(AW1129:AW1165,B1129:B1165,B1132-36)+in_shop_renew^4*SUMIFS(AW1129:AW1165,B1129:B1165,B1132-48))</f>
        <v/>
      </c>
      <c r="AY1132" s="40">
        <f>AY1131*(1-IF(B1131&gt;=in_marketplace_from,d_hz_sip*G1131,0))</f>
        <v/>
      </c>
      <c r="AZ1132" s="40">
        <f>AZ1131*d_rho_sip+AY1132*IF(B1132&gt;=in_marketplace_from,d_hz_sip*G1132,0)</f>
        <v/>
      </c>
      <c r="BA1132" s="40">
        <f>d_rho_sip*(BA1131+AZ1131)</f>
        <v/>
      </c>
      <c r="BB1132" s="14">
        <f>F1132*in_sip_ticket*(BA1132+0.5*AZ1132)*in_sip_comm/12</f>
        <v/>
      </c>
      <c r="BC1132" s="40">
        <f>BC1131*(1-IF(B1131&gt;=in_marketplace_from,d_hz_choti*G1131,0))</f>
        <v/>
      </c>
      <c r="BD1132" s="46">
        <f>BC1132*IF(B1132&gt;=in_marketplace_from,d_hz_choti*G1132,0)</f>
        <v/>
      </c>
      <c r="BE1132" s="14">
        <f>F1132*SUMIFS(BD1129:BD1165,B1129:B1165,B1132-in_choti_months)*in_choti_renew*in_choti_ticket</f>
        <v/>
      </c>
      <c r="BF1132" s="40">
        <f>BF1131*(1-IF(B1131&gt;=in_marketplace_from,d_hz_nps*G1131,0))</f>
        <v/>
      </c>
      <c r="BG1132" s="14">
        <f>F1132*BF1132*IF(B1132&gt;=in_marketplace_from,d_hz_nps*G1132,0)*in_nps_ticket*in_nps_comm</f>
        <v/>
      </c>
      <c r="BH1132" s="40">
        <f>BH1131*(1-IF(B1131&gt;=in_marketplace_from,d_hz_gold*G1131,0))</f>
        <v/>
      </c>
      <c r="BI1132" s="40">
        <f>BI1131*d_rho_gold+BH1132*IF(B1132&gt;=in_marketplace_from,d_hz_gold*G1132,0)</f>
        <v/>
      </c>
      <c r="BJ1132" s="14">
        <f>F1132*BI1132*in_gold_ticket*in_gold_comm</f>
        <v/>
      </c>
      <c r="BK1132" s="40">
        <f>BK1131*(1-IF(B1131&gt;=in_marketplace_from,d_hz_fd*G1131,0))</f>
        <v/>
      </c>
      <c r="BL1132" s="14">
        <f>F1132*BK1132*IF(B1132&gt;=in_marketplace_from,d_hz_fd*G1132,0)*in_fd_ticket*in_fd_comm</f>
        <v/>
      </c>
      <c r="BM1132" s="40">
        <f>BM1131*(1-IF(B1131&gt;=in_marketplace_from,d_hz_recharge*G1131,0))</f>
        <v/>
      </c>
      <c r="BN1132" s="40">
        <f>BN1131*d_rho_recharge+BM1132*IF(B1132&gt;=in_marketplace_from,d_hz_recharge*G1132,0)</f>
        <v/>
      </c>
      <c r="BO1132" s="14">
        <f>F1132*BN1132*in_recharge_ticket*in_recharge_comm/12</f>
        <v/>
      </c>
      <c r="BP1132" s="40">
        <f>BP1131*(1-IF(B1131&gt;=in_marketplace_from,d_hz_bills*G1131,0))</f>
        <v/>
      </c>
      <c r="BQ1132" s="40">
        <f>BQ1131*d_rho_bills+BP1132*IF(B1132&gt;=in_marketplace_from,d_hz_bills*G1132,0)</f>
        <v/>
      </c>
      <c r="BR1132" s="14">
        <f>F1132*BQ1132*in_bills_ticket*in_bills_comm/12</f>
        <v/>
      </c>
      <c r="BS1132" s="40">
        <f>BS1131*(1-IF(B1131&gt;=in_marketplace_from,d_hz_loan_gold*G1131,0))</f>
        <v/>
      </c>
      <c r="BT1132" s="14">
        <f>F1132*BS1132*IF(B1132&gt;=in_marketplace_from,d_hz_loan_gold*G1132,0)*in_loan_gold_ticket*in_loan_gold_comm</f>
        <v/>
      </c>
      <c r="BU1132" s="40">
        <f>BU1131*(1-IF(B1131&gt;=in_marketplace_from,d_hz_loan_cd*G1131,0))</f>
        <v/>
      </c>
      <c r="BV1132" s="14">
        <f>F1132*BU1132*IF(B1132&gt;=in_marketplace_from,d_hz_loan_cd*G1132,0)*in_loan_cd_ticket*in_loan_cd_comm</f>
        <v/>
      </c>
      <c r="BW1132" s="40">
        <f>BW1131*(1-IF(B1131&gt;=in_marketplace_from,d_hz_loan_vehicle*G1131,0))</f>
        <v/>
      </c>
      <c r="BX1132" s="14">
        <f>F1132*BW1132*IF(B1132&gt;=in_marketplace_from,d_hz_loan_vehicle*G1132,0)*in_loan_vehicle_ticket*in_loan_vehicle_comm</f>
        <v/>
      </c>
      <c r="BY1132" s="40">
        <f>BY1131*(1-IF(B1131&gt;=in_marketplace_from,d_hz_loan_home*G1131,0)*BZ1131)</f>
        <v/>
      </c>
      <c r="BZ1132" s="11">
        <f>MIN(in_approval_cap,in_loan_home_approval*INDEX('Age profile'!$O$2:$O$61,B1132)*(1+in_approval_growth)^(D1132-1))</f>
        <v/>
      </c>
      <c r="CA1132" s="14">
        <f>F1132*BY1132*IF(B1132&gt;=in_marketplace_from,d_hz_loan_home*G1132,0)*BZ1132*in_loan_home_ticket*in_loan_home_comm</f>
        <v/>
      </c>
      <c r="CB1132" s="40">
        <f>CB1131*(1-IF(B1131&gt;=in_marketplace_from,d_hz_loan_lap*G1131,0)*CC1131)</f>
        <v/>
      </c>
      <c r="CC1132" s="11">
        <f>MIN(in_approval_cap,in_loan_lap_approval*INDEX('Age profile'!$O$2:$O$61,B1132)*(1+in_approval_growth)^(D1132-1))</f>
        <v/>
      </c>
      <c r="CD1132" s="14">
        <f>F1132*CB1132*IF(B1132&gt;=in_marketplace_from,d_hz_loan_lap*G1132,0)*CC1132*in_loan_lap_ticket*in_loan_lap_comm</f>
        <v/>
      </c>
      <c r="CE1132" s="14">
        <f>AA1132+AB1132+AC1132+AD1132+AG1132+AJ1132+AM1132+AP1132+AS1132+AU1132+AX1132+BB1132+BE1132+BG1132+BJ1132+BL1132+BO1132+BR1132+BT1132+BV1132+BX1132+CA1132+CD1132</f>
        <v/>
      </c>
    </row>
    <row r="1133">
      <c r="A1133" s="39" t="n">
        <v>24</v>
      </c>
      <c r="B1133" s="39" t="n">
        <v>5</v>
      </c>
      <c r="C1133" s="39">
        <f>A1133+B1133-1</f>
        <v/>
      </c>
      <c r="D1133" s="39">
        <f>INT((C1133-1)/12)+1</f>
        <v/>
      </c>
      <c r="E1133" s="44">
        <f>INDEX(Monthly!$B$2:$B$61,A1133)</f>
        <v/>
      </c>
      <c r="F1133" s="44">
        <f>E1133*INDEX('Age profile'!$B$2:$B$61,B1133)</f>
        <v/>
      </c>
      <c r="G1133" s="45">
        <f>MIN(in_takeup_cap,INDEX('Age profile'!$N$2:$N$61,B1133)*(1+in_takeup_growth)^(D1133-1))</f>
        <v/>
      </c>
      <c r="H1133" s="11">
        <f>MIN(in_approval_cap,in_approved_first*INDEX('Age profile'!$O$2:$O$61,B1133)*(1+in_approval_growth)^(D1133-1))</f>
        <v/>
      </c>
      <c r="I1133" s="45">
        <f>G1133*MIN(in_takeup_cap,INDEX('Age profile'!$O$2:$O$61,B1133)*(1+in_approval_growth)^(D1133-1))</f>
        <v/>
      </c>
      <c r="J1133" s="40">
        <f>(J1132-L1132)*F1133/F1132</f>
        <v/>
      </c>
      <c r="K1133" s="40">
        <f>(K1132-M1132)*F1133/F1132+SUMIFS(O1129:O1132,B1129:B1132,B1133-1-d_T)*F1133</f>
        <v/>
      </c>
      <c r="L1133" s="40">
        <f>IF(B1133&gt;=in_marketplace_from,J1133*d_hz*G1133*in_eligible*H1133,0)</f>
        <v/>
      </c>
      <c r="M1133" s="40">
        <f>IF(B1133&gt;=in_marketplace_from,K1133*d_hz*G1133*in_eligible*in_approved_repeat,0)</f>
        <v/>
      </c>
      <c r="N1133" s="40">
        <f>L1133+M1133</f>
        <v/>
      </c>
      <c r="O1133" s="46">
        <f>N1133/F1133</f>
        <v/>
      </c>
      <c r="P1133" s="40">
        <f>F1133-J1133-K1133</f>
        <v/>
      </c>
      <c r="Q1133" s="40">
        <f>IF(B1133&gt;=in_marketplace_from,(J1133+K1133)*d_hz*G1133,0)</f>
        <v/>
      </c>
      <c r="R1133" s="40">
        <f>SUMIFS(N1129:N1165,B1129:B1165,"&gt;="&amp;(B1133-d_T),B1129:B1165,"&lt;="&amp;(B1133-1))</f>
        <v/>
      </c>
      <c r="S1133" s="46">
        <f>(1-d_u)*S1132+IF(d_T&gt;in_topup_lag,SUMIFS(O1129:O1165,B1129:B1165,B1133-in_topup_lag)-d_udrop*SUMIFS(O1129:O1165,B1129:B1165,B1133-d_T),0)</f>
        <v/>
      </c>
      <c r="T1133" s="40">
        <f>F1133*d_u*S1133</f>
        <v/>
      </c>
      <c r="U1133" s="9">
        <f>L1133*in_ticket+M1133*d_rep_ticket</f>
        <v/>
      </c>
      <c r="V1133" s="9">
        <f>U1133+T1133*d_topup_amt</f>
        <v/>
      </c>
      <c r="W1133" s="40">
        <f>N1133+T1133*d_topup_ratio</f>
        <v/>
      </c>
      <c r="X1133" s="40">
        <f>SUMIFS(W1129:W1165,B1129:B1165,B1133-in_dpd_lag)*d_cured</f>
        <v/>
      </c>
      <c r="Y1133" s="40">
        <f>SUMIFS(W1129:W1165,B1129:B1165,B1133-in_rec_lag)*d_recd</f>
        <v/>
      </c>
      <c r="Z1133" s="40">
        <f>IF(AND(B1133&gt;=in_marketplace_from,B1133&lt;in_marketplace_from+in_card_months),in_card_share/in_card_months*F1133*I1133,IF(AND(B1133&gt;=in_marketplace_from+in_card_months,B1133&lt;in_marketplace_from+2*in_card_months),in_card_share*d_card_rem/in_card_months*F1133*MIN(in_takeup_cap,(1+in_takeup_growth)^(D1133-1))*MIN(in_takeup_cap,(1+in_approval_growth)^(D1133-1)),0))</f>
        <v/>
      </c>
      <c r="AA1133" s="14">
        <f>V1133*in_fee*(1-in_taken_back)</f>
        <v/>
      </c>
      <c r="AB1133" s="14">
        <f>SUMIFS(W1129:W1165,B1129:B1165,B1133-in_dpd_lag)*d_dpd</f>
        <v/>
      </c>
      <c r="AC1133" s="14">
        <f>SUMIFS(W1129:W1165,B1129:B1165,B1133-in_rec_lag)*d_rec</f>
        <v/>
      </c>
      <c r="AD1133" s="14">
        <f>Z1133*in_card_fee</f>
        <v/>
      </c>
      <c r="AE1133" s="40">
        <f>AE1132*(1-IF(B1132&gt;=in_marketplace_from,d_hz_hlth_small*G1132,0))</f>
        <v/>
      </c>
      <c r="AF1133" s="46">
        <f>AE1133*IF(B1133&gt;=in_marketplace_from,d_hz_hlth_small*G1133,0)</f>
        <v/>
      </c>
      <c r="AG1133" s="14">
        <f>F1133*AF1133*in_hlth_small_ticket*in_hlth_small_comm*in_ins_partner_share+F1133*in_hlth_small_ticket*in_hlth_small_renew_comm*in_ins_partner_share*(in_hlth_small_renew^1*SUMIFS(AF1129:AF1165,B1129:B1165,B1133-12)+in_hlth_small_renew^2*SUMIFS(AF1129:AF1165,B1129:B1165,B1133-24)+in_hlth_small_renew^3*SUMIFS(AF1129:AF1165,B1129:B1165,B1133-36)+in_hlth_small_renew^4*SUMIFS(AF1129:AF1165,B1129:B1165,B1133-48))</f>
        <v/>
      </c>
      <c r="AH1133" s="40">
        <f>AH1132*(1-IF(B1132&gt;=in_marketplace_from,d_hz_hlth_family*G1132,0))</f>
        <v/>
      </c>
      <c r="AI1133" s="46">
        <f>AH1133*IF(B1133&gt;=in_marketplace_from,d_hz_hlth_family*G1133,0)</f>
        <v/>
      </c>
      <c r="AJ1133" s="14">
        <f>F1133*AI1133*in_hlth_family_ticket*in_hlth_family_comm*in_ins_partner_share+F1133*in_hlth_family_ticket*in_hlth_family_renew_comm*in_ins_partner_share*(in_hlth_family_renew^1*SUMIFS(AI1129:AI1165,B1129:B1165,B1133-12)+in_hlth_family_renew^2*SUMIFS(AI1129:AI1165,B1129:B1165,B1133-24)+in_hlth_family_renew^3*SUMIFS(AI1129:AI1165,B1129:B1165,B1133-36)+in_hlth_family_renew^4*SUMIFS(AI1129:AI1165,B1129:B1165,B1133-48))</f>
        <v/>
      </c>
      <c r="AK1133" s="40">
        <f>AK1132*(1-IF(B1132&gt;=in_marketplace_from,d_hz_life_term*G1132,0))</f>
        <v/>
      </c>
      <c r="AL1133" s="46">
        <f>AK1133*IF(B1133&gt;=in_marketplace_from,d_hz_life_term*G1133,0)</f>
        <v/>
      </c>
      <c r="AM1133" s="14">
        <f>F1133*AL1133*in_life_term_ticket*in_life_term_comm*in_ins_partner_share+F1133*in_life_term_ticket*in_life_term_renew_comm*in_ins_partner_share*(in_life_term_renew^1*SUMIFS(AL1129:AL1165,B1129:B1165,B1133-12)+in_life_term_renew^2*SUMIFS(AL1129:AL1165,B1129:B1165,B1133-24)+in_life_term_renew^3*SUMIFS(AL1129:AL1165,B1129:B1165,B1133-36)+in_life_term_renew^4*SUMIFS(AL1129:AL1165,B1129:B1165,B1133-48))</f>
        <v/>
      </c>
      <c r="AN1133" s="40">
        <f>AN1132*(1-IF(B1132&gt;=in_marketplace_from,d_hz_accident*G1132,0))</f>
        <v/>
      </c>
      <c r="AO1133" s="46">
        <f>AN1133*IF(B1133&gt;=in_marketplace_from,d_hz_accident*G1133,0)</f>
        <v/>
      </c>
      <c r="AP1133" s="14">
        <f>F1133*AO1133*in_accident_ticket*in_accident_comm*in_ins_partner_share+F1133*in_accident_ticket*in_accident_renew_comm*in_ins_partner_share*(in_accident_renew^1*SUMIFS(AO1129:AO1165,B1129:B1165,B1133-12)+in_accident_renew^2*SUMIFS(AO1129:AO1165,B1129:B1165,B1133-24)+in_accident_renew^3*SUMIFS(AO1129:AO1165,B1129:B1165,B1133-36)+in_accident_renew^4*SUMIFS(AO1129:AO1165,B1129:B1165,B1133-48))</f>
        <v/>
      </c>
      <c r="AQ1133" s="40">
        <f>AQ1132*(1-IF(B1132&gt;=in_marketplace_from,d_hz_two_wheeler*G1132,0))</f>
        <v/>
      </c>
      <c r="AR1133" s="46">
        <f>AQ1133*IF(B1133&gt;=in_marketplace_from,d_hz_two_wheeler*G1133,0)</f>
        <v/>
      </c>
      <c r="AS1133" s="14">
        <f>F1133*AR1133*in_two_wheeler_ticket*in_two_wheeler_comm*in_ins_partner_share+F1133*in_two_wheeler_ticket*in_two_wheeler_comm*in_ins_partner_share*(in_two_wheeler_renew^1*SUMIFS(AR1129:AR1165,B1129:B1165,B1133-12)+in_two_wheeler_renew^2*SUMIFS(AR1129:AR1165,B1129:B1165,B1133-24)+in_two_wheeler_renew^3*SUMIFS(AR1129:AR1165,B1129:B1165,B1133-36)+in_two_wheeler_renew^4*SUMIFS(AR1129:AR1165,B1129:B1165,B1133-48))</f>
        <v/>
      </c>
      <c r="AT1133" s="40">
        <f>AT1132*(1-IF(B1132&gt;=in_marketplace_from,d_hz_device*G1132,0))</f>
        <v/>
      </c>
      <c r="AU1133" s="14">
        <f>F1133*AT1133*IF(B1133&gt;=in_marketplace_from,d_hz_device*G1133,0)*in_device_ticket*in_device_comm*in_ins_partner_share</f>
        <v/>
      </c>
      <c r="AV1133" s="40">
        <f>AV1132*(1-IF(B1132&gt;=in_marketplace_from,d_hz_shop*G1132,0))</f>
        <v/>
      </c>
      <c r="AW1133" s="46">
        <f>AV1133*IF(B1133&gt;=in_marketplace_from,d_hz_shop*G1133,0)</f>
        <v/>
      </c>
      <c r="AX1133" s="14">
        <f>F1133*AW1133*in_shop_ticket*in_shop_comm*in_ins_partner_share+F1133*in_shop_ticket*in_shop_renew_comm*in_ins_partner_share*(in_shop_renew^1*SUMIFS(AW1129:AW1165,B1129:B1165,B1133-12)+in_shop_renew^2*SUMIFS(AW1129:AW1165,B1129:B1165,B1133-24)+in_shop_renew^3*SUMIFS(AW1129:AW1165,B1129:B1165,B1133-36)+in_shop_renew^4*SUMIFS(AW1129:AW1165,B1129:B1165,B1133-48))</f>
        <v/>
      </c>
      <c r="AY1133" s="40">
        <f>AY1132*(1-IF(B1132&gt;=in_marketplace_from,d_hz_sip*G1132,0))</f>
        <v/>
      </c>
      <c r="AZ1133" s="40">
        <f>AZ1132*d_rho_sip+AY1133*IF(B1133&gt;=in_marketplace_from,d_hz_sip*G1133,0)</f>
        <v/>
      </c>
      <c r="BA1133" s="40">
        <f>d_rho_sip*(BA1132+AZ1132)</f>
        <v/>
      </c>
      <c r="BB1133" s="14">
        <f>F1133*in_sip_ticket*(BA1133+0.5*AZ1133)*in_sip_comm/12</f>
        <v/>
      </c>
      <c r="BC1133" s="40">
        <f>BC1132*(1-IF(B1132&gt;=in_marketplace_from,d_hz_choti*G1132,0))</f>
        <v/>
      </c>
      <c r="BD1133" s="46">
        <f>BC1133*IF(B1133&gt;=in_marketplace_from,d_hz_choti*G1133,0)</f>
        <v/>
      </c>
      <c r="BE1133" s="14">
        <f>F1133*SUMIFS(BD1129:BD1165,B1129:B1165,B1133-in_choti_months)*in_choti_renew*in_choti_ticket</f>
        <v/>
      </c>
      <c r="BF1133" s="40">
        <f>BF1132*(1-IF(B1132&gt;=in_marketplace_from,d_hz_nps*G1132,0))</f>
        <v/>
      </c>
      <c r="BG1133" s="14">
        <f>F1133*BF1133*IF(B1133&gt;=in_marketplace_from,d_hz_nps*G1133,0)*in_nps_ticket*in_nps_comm</f>
        <v/>
      </c>
      <c r="BH1133" s="40">
        <f>BH1132*(1-IF(B1132&gt;=in_marketplace_from,d_hz_gold*G1132,0))</f>
        <v/>
      </c>
      <c r="BI1133" s="40">
        <f>BI1132*d_rho_gold+BH1133*IF(B1133&gt;=in_marketplace_from,d_hz_gold*G1133,0)</f>
        <v/>
      </c>
      <c r="BJ1133" s="14">
        <f>F1133*BI1133*in_gold_ticket*in_gold_comm</f>
        <v/>
      </c>
      <c r="BK1133" s="40">
        <f>BK1132*(1-IF(B1132&gt;=in_marketplace_from,d_hz_fd*G1132,0))</f>
        <v/>
      </c>
      <c r="BL1133" s="14">
        <f>F1133*BK1133*IF(B1133&gt;=in_marketplace_from,d_hz_fd*G1133,0)*in_fd_ticket*in_fd_comm</f>
        <v/>
      </c>
      <c r="BM1133" s="40">
        <f>BM1132*(1-IF(B1132&gt;=in_marketplace_from,d_hz_recharge*G1132,0))</f>
        <v/>
      </c>
      <c r="BN1133" s="40">
        <f>BN1132*d_rho_recharge+BM1133*IF(B1133&gt;=in_marketplace_from,d_hz_recharge*G1133,0)</f>
        <v/>
      </c>
      <c r="BO1133" s="14">
        <f>F1133*BN1133*in_recharge_ticket*in_recharge_comm/12</f>
        <v/>
      </c>
      <c r="BP1133" s="40">
        <f>BP1132*(1-IF(B1132&gt;=in_marketplace_from,d_hz_bills*G1132,0))</f>
        <v/>
      </c>
      <c r="BQ1133" s="40">
        <f>BQ1132*d_rho_bills+BP1133*IF(B1133&gt;=in_marketplace_from,d_hz_bills*G1133,0)</f>
        <v/>
      </c>
      <c r="BR1133" s="14">
        <f>F1133*BQ1133*in_bills_ticket*in_bills_comm/12</f>
        <v/>
      </c>
      <c r="BS1133" s="40">
        <f>BS1132*(1-IF(B1132&gt;=in_marketplace_from,d_hz_loan_gold*G1132,0))</f>
        <v/>
      </c>
      <c r="BT1133" s="14">
        <f>F1133*BS1133*IF(B1133&gt;=in_marketplace_from,d_hz_loan_gold*G1133,0)*in_loan_gold_ticket*in_loan_gold_comm</f>
        <v/>
      </c>
      <c r="BU1133" s="40">
        <f>BU1132*(1-IF(B1132&gt;=in_marketplace_from,d_hz_loan_cd*G1132,0))</f>
        <v/>
      </c>
      <c r="BV1133" s="14">
        <f>F1133*BU1133*IF(B1133&gt;=in_marketplace_from,d_hz_loan_cd*G1133,0)*in_loan_cd_ticket*in_loan_cd_comm</f>
        <v/>
      </c>
      <c r="BW1133" s="40">
        <f>BW1132*(1-IF(B1132&gt;=in_marketplace_from,d_hz_loan_vehicle*G1132,0))</f>
        <v/>
      </c>
      <c r="BX1133" s="14">
        <f>F1133*BW1133*IF(B1133&gt;=in_marketplace_from,d_hz_loan_vehicle*G1133,0)*in_loan_vehicle_ticket*in_loan_vehicle_comm</f>
        <v/>
      </c>
      <c r="BY1133" s="40">
        <f>BY1132*(1-IF(B1132&gt;=in_marketplace_from,d_hz_loan_home*G1132,0)*BZ1132)</f>
        <v/>
      </c>
      <c r="BZ1133" s="11">
        <f>MIN(in_approval_cap,in_loan_home_approval*INDEX('Age profile'!$O$2:$O$61,B1133)*(1+in_approval_growth)^(D1133-1))</f>
        <v/>
      </c>
      <c r="CA1133" s="14">
        <f>F1133*BY1133*IF(B1133&gt;=in_marketplace_from,d_hz_loan_home*G1133,0)*BZ1133*in_loan_home_ticket*in_loan_home_comm</f>
        <v/>
      </c>
      <c r="CB1133" s="40">
        <f>CB1132*(1-IF(B1132&gt;=in_marketplace_from,d_hz_loan_lap*G1132,0)*CC1132)</f>
        <v/>
      </c>
      <c r="CC1133" s="11">
        <f>MIN(in_approval_cap,in_loan_lap_approval*INDEX('Age profile'!$O$2:$O$61,B1133)*(1+in_approval_growth)^(D1133-1))</f>
        <v/>
      </c>
      <c r="CD1133" s="14">
        <f>F1133*CB1133*IF(B1133&gt;=in_marketplace_from,d_hz_loan_lap*G1133,0)*CC1133*in_loan_lap_ticket*in_loan_lap_comm</f>
        <v/>
      </c>
      <c r="CE1133" s="14">
        <f>AA1133+AB1133+AC1133+AD1133+AG1133+AJ1133+AM1133+AP1133+AS1133+AU1133+AX1133+BB1133+BE1133+BG1133+BJ1133+BL1133+BO1133+BR1133+BT1133+BV1133+BX1133+CA1133+CD1133</f>
        <v/>
      </c>
    </row>
    <row r="1134">
      <c r="A1134" s="39" t="n">
        <v>24</v>
      </c>
      <c r="B1134" s="39" t="n">
        <v>6</v>
      </c>
      <c r="C1134" s="39">
        <f>A1134+B1134-1</f>
        <v/>
      </c>
      <c r="D1134" s="39">
        <f>INT((C1134-1)/12)+1</f>
        <v/>
      </c>
      <c r="E1134" s="44">
        <f>INDEX(Monthly!$B$2:$B$61,A1134)</f>
        <v/>
      </c>
      <c r="F1134" s="44">
        <f>E1134*INDEX('Age profile'!$B$2:$B$61,B1134)</f>
        <v/>
      </c>
      <c r="G1134" s="45">
        <f>MIN(in_takeup_cap,INDEX('Age profile'!$N$2:$N$61,B1134)*(1+in_takeup_growth)^(D1134-1))</f>
        <v/>
      </c>
      <c r="H1134" s="11">
        <f>MIN(in_approval_cap,in_approved_first*INDEX('Age profile'!$O$2:$O$61,B1134)*(1+in_approval_growth)^(D1134-1))</f>
        <v/>
      </c>
      <c r="I1134" s="45">
        <f>G1134*MIN(in_takeup_cap,INDEX('Age profile'!$O$2:$O$61,B1134)*(1+in_approval_growth)^(D1134-1))</f>
        <v/>
      </c>
      <c r="J1134" s="40">
        <f>(J1133-L1133)*F1134/F1133</f>
        <v/>
      </c>
      <c r="K1134" s="40">
        <f>(K1133-M1133)*F1134/F1133+SUMIFS(O1129:O1133,B1129:B1133,B1134-1-d_T)*F1134</f>
        <v/>
      </c>
      <c r="L1134" s="40">
        <f>IF(B1134&gt;=in_marketplace_from,J1134*d_hz*G1134*in_eligible*H1134,0)</f>
        <v/>
      </c>
      <c r="M1134" s="40">
        <f>IF(B1134&gt;=in_marketplace_from,K1134*d_hz*G1134*in_eligible*in_approved_repeat,0)</f>
        <v/>
      </c>
      <c r="N1134" s="40">
        <f>L1134+M1134</f>
        <v/>
      </c>
      <c r="O1134" s="46">
        <f>N1134/F1134</f>
        <v/>
      </c>
      <c r="P1134" s="40">
        <f>F1134-J1134-K1134</f>
        <v/>
      </c>
      <c r="Q1134" s="40">
        <f>IF(B1134&gt;=in_marketplace_from,(J1134+K1134)*d_hz*G1134,0)</f>
        <v/>
      </c>
      <c r="R1134" s="40">
        <f>SUMIFS(N1129:N1165,B1129:B1165,"&gt;="&amp;(B1134-d_T),B1129:B1165,"&lt;="&amp;(B1134-1))</f>
        <v/>
      </c>
      <c r="S1134" s="46">
        <f>(1-d_u)*S1133+IF(d_T&gt;in_topup_lag,SUMIFS(O1129:O1165,B1129:B1165,B1134-in_topup_lag)-d_udrop*SUMIFS(O1129:O1165,B1129:B1165,B1134-d_T),0)</f>
        <v/>
      </c>
      <c r="T1134" s="40">
        <f>F1134*d_u*S1134</f>
        <v/>
      </c>
      <c r="U1134" s="9">
        <f>L1134*in_ticket+M1134*d_rep_ticket</f>
        <v/>
      </c>
      <c r="V1134" s="9">
        <f>U1134+T1134*d_topup_amt</f>
        <v/>
      </c>
      <c r="W1134" s="40">
        <f>N1134+T1134*d_topup_ratio</f>
        <v/>
      </c>
      <c r="X1134" s="40">
        <f>SUMIFS(W1129:W1165,B1129:B1165,B1134-in_dpd_lag)*d_cured</f>
        <v/>
      </c>
      <c r="Y1134" s="40">
        <f>SUMIFS(W1129:W1165,B1129:B1165,B1134-in_rec_lag)*d_recd</f>
        <v/>
      </c>
      <c r="Z1134" s="40">
        <f>IF(AND(B1134&gt;=in_marketplace_from,B1134&lt;in_marketplace_from+in_card_months),in_card_share/in_card_months*F1134*I1134,IF(AND(B1134&gt;=in_marketplace_from+in_card_months,B1134&lt;in_marketplace_from+2*in_card_months),in_card_share*d_card_rem/in_card_months*F1134*MIN(in_takeup_cap,(1+in_takeup_growth)^(D1134-1))*MIN(in_takeup_cap,(1+in_approval_growth)^(D1134-1)),0))</f>
        <v/>
      </c>
      <c r="AA1134" s="14">
        <f>V1134*in_fee*(1-in_taken_back)</f>
        <v/>
      </c>
      <c r="AB1134" s="14">
        <f>SUMIFS(W1129:W1165,B1129:B1165,B1134-in_dpd_lag)*d_dpd</f>
        <v/>
      </c>
      <c r="AC1134" s="14">
        <f>SUMIFS(W1129:W1165,B1129:B1165,B1134-in_rec_lag)*d_rec</f>
        <v/>
      </c>
      <c r="AD1134" s="14">
        <f>Z1134*in_card_fee</f>
        <v/>
      </c>
      <c r="AE1134" s="40">
        <f>AE1133*(1-IF(B1133&gt;=in_marketplace_from,d_hz_hlth_small*G1133,0))</f>
        <v/>
      </c>
      <c r="AF1134" s="46">
        <f>AE1134*IF(B1134&gt;=in_marketplace_from,d_hz_hlth_small*G1134,0)</f>
        <v/>
      </c>
      <c r="AG1134" s="14">
        <f>F1134*AF1134*in_hlth_small_ticket*in_hlth_small_comm*in_ins_partner_share+F1134*in_hlth_small_ticket*in_hlth_small_renew_comm*in_ins_partner_share*(in_hlth_small_renew^1*SUMIFS(AF1129:AF1165,B1129:B1165,B1134-12)+in_hlth_small_renew^2*SUMIFS(AF1129:AF1165,B1129:B1165,B1134-24)+in_hlth_small_renew^3*SUMIFS(AF1129:AF1165,B1129:B1165,B1134-36)+in_hlth_small_renew^4*SUMIFS(AF1129:AF1165,B1129:B1165,B1134-48))</f>
        <v/>
      </c>
      <c r="AH1134" s="40">
        <f>AH1133*(1-IF(B1133&gt;=in_marketplace_from,d_hz_hlth_family*G1133,0))</f>
        <v/>
      </c>
      <c r="AI1134" s="46">
        <f>AH1134*IF(B1134&gt;=in_marketplace_from,d_hz_hlth_family*G1134,0)</f>
        <v/>
      </c>
      <c r="AJ1134" s="14">
        <f>F1134*AI1134*in_hlth_family_ticket*in_hlth_family_comm*in_ins_partner_share+F1134*in_hlth_family_ticket*in_hlth_family_renew_comm*in_ins_partner_share*(in_hlth_family_renew^1*SUMIFS(AI1129:AI1165,B1129:B1165,B1134-12)+in_hlth_family_renew^2*SUMIFS(AI1129:AI1165,B1129:B1165,B1134-24)+in_hlth_family_renew^3*SUMIFS(AI1129:AI1165,B1129:B1165,B1134-36)+in_hlth_family_renew^4*SUMIFS(AI1129:AI1165,B1129:B1165,B1134-48))</f>
        <v/>
      </c>
      <c r="AK1134" s="40">
        <f>AK1133*(1-IF(B1133&gt;=in_marketplace_from,d_hz_life_term*G1133,0))</f>
        <v/>
      </c>
      <c r="AL1134" s="46">
        <f>AK1134*IF(B1134&gt;=in_marketplace_from,d_hz_life_term*G1134,0)</f>
        <v/>
      </c>
      <c r="AM1134" s="14">
        <f>F1134*AL1134*in_life_term_ticket*in_life_term_comm*in_ins_partner_share+F1134*in_life_term_ticket*in_life_term_renew_comm*in_ins_partner_share*(in_life_term_renew^1*SUMIFS(AL1129:AL1165,B1129:B1165,B1134-12)+in_life_term_renew^2*SUMIFS(AL1129:AL1165,B1129:B1165,B1134-24)+in_life_term_renew^3*SUMIFS(AL1129:AL1165,B1129:B1165,B1134-36)+in_life_term_renew^4*SUMIFS(AL1129:AL1165,B1129:B1165,B1134-48))</f>
        <v/>
      </c>
      <c r="AN1134" s="40">
        <f>AN1133*(1-IF(B1133&gt;=in_marketplace_from,d_hz_accident*G1133,0))</f>
        <v/>
      </c>
      <c r="AO1134" s="46">
        <f>AN1134*IF(B1134&gt;=in_marketplace_from,d_hz_accident*G1134,0)</f>
        <v/>
      </c>
      <c r="AP1134" s="14">
        <f>F1134*AO1134*in_accident_ticket*in_accident_comm*in_ins_partner_share+F1134*in_accident_ticket*in_accident_renew_comm*in_ins_partner_share*(in_accident_renew^1*SUMIFS(AO1129:AO1165,B1129:B1165,B1134-12)+in_accident_renew^2*SUMIFS(AO1129:AO1165,B1129:B1165,B1134-24)+in_accident_renew^3*SUMIFS(AO1129:AO1165,B1129:B1165,B1134-36)+in_accident_renew^4*SUMIFS(AO1129:AO1165,B1129:B1165,B1134-48))</f>
        <v/>
      </c>
      <c r="AQ1134" s="40">
        <f>AQ1133*(1-IF(B1133&gt;=in_marketplace_from,d_hz_two_wheeler*G1133,0))</f>
        <v/>
      </c>
      <c r="AR1134" s="46">
        <f>AQ1134*IF(B1134&gt;=in_marketplace_from,d_hz_two_wheeler*G1134,0)</f>
        <v/>
      </c>
      <c r="AS1134" s="14">
        <f>F1134*AR1134*in_two_wheeler_ticket*in_two_wheeler_comm*in_ins_partner_share+F1134*in_two_wheeler_ticket*in_two_wheeler_comm*in_ins_partner_share*(in_two_wheeler_renew^1*SUMIFS(AR1129:AR1165,B1129:B1165,B1134-12)+in_two_wheeler_renew^2*SUMIFS(AR1129:AR1165,B1129:B1165,B1134-24)+in_two_wheeler_renew^3*SUMIFS(AR1129:AR1165,B1129:B1165,B1134-36)+in_two_wheeler_renew^4*SUMIFS(AR1129:AR1165,B1129:B1165,B1134-48))</f>
        <v/>
      </c>
      <c r="AT1134" s="40">
        <f>AT1133*(1-IF(B1133&gt;=in_marketplace_from,d_hz_device*G1133,0))</f>
        <v/>
      </c>
      <c r="AU1134" s="14">
        <f>F1134*AT1134*IF(B1134&gt;=in_marketplace_from,d_hz_device*G1134,0)*in_device_ticket*in_device_comm*in_ins_partner_share</f>
        <v/>
      </c>
      <c r="AV1134" s="40">
        <f>AV1133*(1-IF(B1133&gt;=in_marketplace_from,d_hz_shop*G1133,0))</f>
        <v/>
      </c>
      <c r="AW1134" s="46">
        <f>AV1134*IF(B1134&gt;=in_marketplace_from,d_hz_shop*G1134,0)</f>
        <v/>
      </c>
      <c r="AX1134" s="14">
        <f>F1134*AW1134*in_shop_ticket*in_shop_comm*in_ins_partner_share+F1134*in_shop_ticket*in_shop_renew_comm*in_ins_partner_share*(in_shop_renew^1*SUMIFS(AW1129:AW1165,B1129:B1165,B1134-12)+in_shop_renew^2*SUMIFS(AW1129:AW1165,B1129:B1165,B1134-24)+in_shop_renew^3*SUMIFS(AW1129:AW1165,B1129:B1165,B1134-36)+in_shop_renew^4*SUMIFS(AW1129:AW1165,B1129:B1165,B1134-48))</f>
        <v/>
      </c>
      <c r="AY1134" s="40">
        <f>AY1133*(1-IF(B1133&gt;=in_marketplace_from,d_hz_sip*G1133,0))</f>
        <v/>
      </c>
      <c r="AZ1134" s="40">
        <f>AZ1133*d_rho_sip+AY1134*IF(B1134&gt;=in_marketplace_from,d_hz_sip*G1134,0)</f>
        <v/>
      </c>
      <c r="BA1134" s="40">
        <f>d_rho_sip*(BA1133+AZ1133)</f>
        <v/>
      </c>
      <c r="BB1134" s="14">
        <f>F1134*in_sip_ticket*(BA1134+0.5*AZ1134)*in_sip_comm/12</f>
        <v/>
      </c>
      <c r="BC1134" s="40">
        <f>BC1133*(1-IF(B1133&gt;=in_marketplace_from,d_hz_choti*G1133,0))</f>
        <v/>
      </c>
      <c r="BD1134" s="46">
        <f>BC1134*IF(B1134&gt;=in_marketplace_from,d_hz_choti*G1134,0)</f>
        <v/>
      </c>
      <c r="BE1134" s="14">
        <f>F1134*SUMIFS(BD1129:BD1165,B1129:B1165,B1134-in_choti_months)*in_choti_renew*in_choti_ticket</f>
        <v/>
      </c>
      <c r="BF1134" s="40">
        <f>BF1133*(1-IF(B1133&gt;=in_marketplace_from,d_hz_nps*G1133,0))</f>
        <v/>
      </c>
      <c r="BG1134" s="14">
        <f>F1134*BF1134*IF(B1134&gt;=in_marketplace_from,d_hz_nps*G1134,0)*in_nps_ticket*in_nps_comm</f>
        <v/>
      </c>
      <c r="BH1134" s="40">
        <f>BH1133*(1-IF(B1133&gt;=in_marketplace_from,d_hz_gold*G1133,0))</f>
        <v/>
      </c>
      <c r="BI1134" s="40">
        <f>BI1133*d_rho_gold+BH1134*IF(B1134&gt;=in_marketplace_from,d_hz_gold*G1134,0)</f>
        <v/>
      </c>
      <c r="BJ1134" s="14">
        <f>F1134*BI1134*in_gold_ticket*in_gold_comm</f>
        <v/>
      </c>
      <c r="BK1134" s="40">
        <f>BK1133*(1-IF(B1133&gt;=in_marketplace_from,d_hz_fd*G1133,0))</f>
        <v/>
      </c>
      <c r="BL1134" s="14">
        <f>F1134*BK1134*IF(B1134&gt;=in_marketplace_from,d_hz_fd*G1134,0)*in_fd_ticket*in_fd_comm</f>
        <v/>
      </c>
      <c r="BM1134" s="40">
        <f>BM1133*(1-IF(B1133&gt;=in_marketplace_from,d_hz_recharge*G1133,0))</f>
        <v/>
      </c>
      <c r="BN1134" s="40">
        <f>BN1133*d_rho_recharge+BM1134*IF(B1134&gt;=in_marketplace_from,d_hz_recharge*G1134,0)</f>
        <v/>
      </c>
      <c r="BO1134" s="14">
        <f>F1134*BN1134*in_recharge_ticket*in_recharge_comm/12</f>
        <v/>
      </c>
      <c r="BP1134" s="40">
        <f>BP1133*(1-IF(B1133&gt;=in_marketplace_from,d_hz_bills*G1133,0))</f>
        <v/>
      </c>
      <c r="BQ1134" s="40">
        <f>BQ1133*d_rho_bills+BP1134*IF(B1134&gt;=in_marketplace_from,d_hz_bills*G1134,0)</f>
        <v/>
      </c>
      <c r="BR1134" s="14">
        <f>F1134*BQ1134*in_bills_ticket*in_bills_comm/12</f>
        <v/>
      </c>
      <c r="BS1134" s="40">
        <f>BS1133*(1-IF(B1133&gt;=in_marketplace_from,d_hz_loan_gold*G1133,0))</f>
        <v/>
      </c>
      <c r="BT1134" s="14">
        <f>F1134*BS1134*IF(B1134&gt;=in_marketplace_from,d_hz_loan_gold*G1134,0)*in_loan_gold_ticket*in_loan_gold_comm</f>
        <v/>
      </c>
      <c r="BU1134" s="40">
        <f>BU1133*(1-IF(B1133&gt;=in_marketplace_from,d_hz_loan_cd*G1133,0))</f>
        <v/>
      </c>
      <c r="BV1134" s="14">
        <f>F1134*BU1134*IF(B1134&gt;=in_marketplace_from,d_hz_loan_cd*G1134,0)*in_loan_cd_ticket*in_loan_cd_comm</f>
        <v/>
      </c>
      <c r="BW1134" s="40">
        <f>BW1133*(1-IF(B1133&gt;=in_marketplace_from,d_hz_loan_vehicle*G1133,0))</f>
        <v/>
      </c>
      <c r="BX1134" s="14">
        <f>F1134*BW1134*IF(B1134&gt;=in_marketplace_from,d_hz_loan_vehicle*G1134,0)*in_loan_vehicle_ticket*in_loan_vehicle_comm</f>
        <v/>
      </c>
      <c r="BY1134" s="40">
        <f>BY1133*(1-IF(B1133&gt;=in_marketplace_from,d_hz_loan_home*G1133,0)*BZ1133)</f>
        <v/>
      </c>
      <c r="BZ1134" s="11">
        <f>MIN(in_approval_cap,in_loan_home_approval*INDEX('Age profile'!$O$2:$O$61,B1134)*(1+in_approval_growth)^(D1134-1))</f>
        <v/>
      </c>
      <c r="CA1134" s="14">
        <f>F1134*BY1134*IF(B1134&gt;=in_marketplace_from,d_hz_loan_home*G1134,0)*BZ1134*in_loan_home_ticket*in_loan_home_comm</f>
        <v/>
      </c>
      <c r="CB1134" s="40">
        <f>CB1133*(1-IF(B1133&gt;=in_marketplace_from,d_hz_loan_lap*G1133,0)*CC1133)</f>
        <v/>
      </c>
      <c r="CC1134" s="11">
        <f>MIN(in_approval_cap,in_loan_lap_approval*INDEX('Age profile'!$O$2:$O$61,B1134)*(1+in_approval_growth)^(D1134-1))</f>
        <v/>
      </c>
      <c r="CD1134" s="14">
        <f>F1134*CB1134*IF(B1134&gt;=in_marketplace_from,d_hz_loan_lap*G1134,0)*CC1134*in_loan_lap_ticket*in_loan_lap_comm</f>
        <v/>
      </c>
      <c r="CE1134" s="14">
        <f>AA1134+AB1134+AC1134+AD1134+AG1134+AJ1134+AM1134+AP1134+AS1134+AU1134+AX1134+BB1134+BE1134+BG1134+BJ1134+BL1134+BO1134+BR1134+BT1134+BV1134+BX1134+CA1134+CD1134</f>
        <v/>
      </c>
    </row>
    <row r="1135">
      <c r="A1135" s="39" t="n">
        <v>24</v>
      </c>
      <c r="B1135" s="39" t="n">
        <v>7</v>
      </c>
      <c r="C1135" s="39">
        <f>A1135+B1135-1</f>
        <v/>
      </c>
      <c r="D1135" s="39">
        <f>INT((C1135-1)/12)+1</f>
        <v/>
      </c>
      <c r="E1135" s="44">
        <f>INDEX(Monthly!$B$2:$B$61,A1135)</f>
        <v/>
      </c>
      <c r="F1135" s="44">
        <f>E1135*INDEX('Age profile'!$B$2:$B$61,B1135)</f>
        <v/>
      </c>
      <c r="G1135" s="45">
        <f>MIN(in_takeup_cap,INDEX('Age profile'!$N$2:$N$61,B1135)*(1+in_takeup_growth)^(D1135-1))</f>
        <v/>
      </c>
      <c r="H1135" s="11">
        <f>MIN(in_approval_cap,in_approved_first*INDEX('Age profile'!$O$2:$O$61,B1135)*(1+in_approval_growth)^(D1135-1))</f>
        <v/>
      </c>
      <c r="I1135" s="45">
        <f>G1135*MIN(in_takeup_cap,INDEX('Age profile'!$O$2:$O$61,B1135)*(1+in_approval_growth)^(D1135-1))</f>
        <v/>
      </c>
      <c r="J1135" s="40">
        <f>(J1134-L1134)*F1135/F1134</f>
        <v/>
      </c>
      <c r="K1135" s="40">
        <f>(K1134-M1134)*F1135/F1134+SUMIFS(O1129:O1134,B1129:B1134,B1135-1-d_T)*F1135</f>
        <v/>
      </c>
      <c r="L1135" s="40">
        <f>IF(B1135&gt;=in_marketplace_from,J1135*d_hz*G1135*in_eligible*H1135,0)</f>
        <v/>
      </c>
      <c r="M1135" s="40">
        <f>IF(B1135&gt;=in_marketplace_from,K1135*d_hz*G1135*in_eligible*in_approved_repeat,0)</f>
        <v/>
      </c>
      <c r="N1135" s="40">
        <f>L1135+M1135</f>
        <v/>
      </c>
      <c r="O1135" s="46">
        <f>N1135/F1135</f>
        <v/>
      </c>
      <c r="P1135" s="40">
        <f>F1135-J1135-K1135</f>
        <v/>
      </c>
      <c r="Q1135" s="40">
        <f>IF(B1135&gt;=in_marketplace_from,(J1135+K1135)*d_hz*G1135,0)</f>
        <v/>
      </c>
      <c r="R1135" s="40">
        <f>SUMIFS(N1129:N1165,B1129:B1165,"&gt;="&amp;(B1135-d_T),B1129:B1165,"&lt;="&amp;(B1135-1))</f>
        <v/>
      </c>
      <c r="S1135" s="46">
        <f>(1-d_u)*S1134+IF(d_T&gt;in_topup_lag,SUMIFS(O1129:O1165,B1129:B1165,B1135-in_topup_lag)-d_udrop*SUMIFS(O1129:O1165,B1129:B1165,B1135-d_T),0)</f>
        <v/>
      </c>
      <c r="T1135" s="40">
        <f>F1135*d_u*S1135</f>
        <v/>
      </c>
      <c r="U1135" s="9">
        <f>L1135*in_ticket+M1135*d_rep_ticket</f>
        <v/>
      </c>
      <c r="V1135" s="9">
        <f>U1135+T1135*d_topup_amt</f>
        <v/>
      </c>
      <c r="W1135" s="40">
        <f>N1135+T1135*d_topup_ratio</f>
        <v/>
      </c>
      <c r="X1135" s="40">
        <f>SUMIFS(W1129:W1165,B1129:B1165,B1135-in_dpd_lag)*d_cured</f>
        <v/>
      </c>
      <c r="Y1135" s="40">
        <f>SUMIFS(W1129:W1165,B1129:B1165,B1135-in_rec_lag)*d_recd</f>
        <v/>
      </c>
      <c r="Z1135" s="40">
        <f>IF(AND(B1135&gt;=in_marketplace_from,B1135&lt;in_marketplace_from+in_card_months),in_card_share/in_card_months*F1135*I1135,IF(AND(B1135&gt;=in_marketplace_from+in_card_months,B1135&lt;in_marketplace_from+2*in_card_months),in_card_share*d_card_rem/in_card_months*F1135*MIN(in_takeup_cap,(1+in_takeup_growth)^(D1135-1))*MIN(in_takeup_cap,(1+in_approval_growth)^(D1135-1)),0))</f>
        <v/>
      </c>
      <c r="AA1135" s="14">
        <f>V1135*in_fee*(1-in_taken_back)</f>
        <v/>
      </c>
      <c r="AB1135" s="14">
        <f>SUMIFS(W1129:W1165,B1129:B1165,B1135-in_dpd_lag)*d_dpd</f>
        <v/>
      </c>
      <c r="AC1135" s="14">
        <f>SUMIFS(W1129:W1165,B1129:B1165,B1135-in_rec_lag)*d_rec</f>
        <v/>
      </c>
      <c r="AD1135" s="14">
        <f>Z1135*in_card_fee</f>
        <v/>
      </c>
      <c r="AE1135" s="40">
        <f>AE1134*(1-IF(B1134&gt;=in_marketplace_from,d_hz_hlth_small*G1134,0))</f>
        <v/>
      </c>
      <c r="AF1135" s="46">
        <f>AE1135*IF(B1135&gt;=in_marketplace_from,d_hz_hlth_small*G1135,0)</f>
        <v/>
      </c>
      <c r="AG1135" s="14">
        <f>F1135*AF1135*in_hlth_small_ticket*in_hlth_small_comm*in_ins_partner_share+F1135*in_hlth_small_ticket*in_hlth_small_renew_comm*in_ins_partner_share*(in_hlth_small_renew^1*SUMIFS(AF1129:AF1165,B1129:B1165,B1135-12)+in_hlth_small_renew^2*SUMIFS(AF1129:AF1165,B1129:B1165,B1135-24)+in_hlth_small_renew^3*SUMIFS(AF1129:AF1165,B1129:B1165,B1135-36)+in_hlth_small_renew^4*SUMIFS(AF1129:AF1165,B1129:B1165,B1135-48))</f>
        <v/>
      </c>
      <c r="AH1135" s="40">
        <f>AH1134*(1-IF(B1134&gt;=in_marketplace_from,d_hz_hlth_family*G1134,0))</f>
        <v/>
      </c>
      <c r="AI1135" s="46">
        <f>AH1135*IF(B1135&gt;=in_marketplace_from,d_hz_hlth_family*G1135,0)</f>
        <v/>
      </c>
      <c r="AJ1135" s="14">
        <f>F1135*AI1135*in_hlth_family_ticket*in_hlth_family_comm*in_ins_partner_share+F1135*in_hlth_family_ticket*in_hlth_family_renew_comm*in_ins_partner_share*(in_hlth_family_renew^1*SUMIFS(AI1129:AI1165,B1129:B1165,B1135-12)+in_hlth_family_renew^2*SUMIFS(AI1129:AI1165,B1129:B1165,B1135-24)+in_hlth_family_renew^3*SUMIFS(AI1129:AI1165,B1129:B1165,B1135-36)+in_hlth_family_renew^4*SUMIFS(AI1129:AI1165,B1129:B1165,B1135-48))</f>
        <v/>
      </c>
      <c r="AK1135" s="40">
        <f>AK1134*(1-IF(B1134&gt;=in_marketplace_from,d_hz_life_term*G1134,0))</f>
        <v/>
      </c>
      <c r="AL1135" s="46">
        <f>AK1135*IF(B1135&gt;=in_marketplace_from,d_hz_life_term*G1135,0)</f>
        <v/>
      </c>
      <c r="AM1135" s="14">
        <f>F1135*AL1135*in_life_term_ticket*in_life_term_comm*in_ins_partner_share+F1135*in_life_term_ticket*in_life_term_renew_comm*in_ins_partner_share*(in_life_term_renew^1*SUMIFS(AL1129:AL1165,B1129:B1165,B1135-12)+in_life_term_renew^2*SUMIFS(AL1129:AL1165,B1129:B1165,B1135-24)+in_life_term_renew^3*SUMIFS(AL1129:AL1165,B1129:B1165,B1135-36)+in_life_term_renew^4*SUMIFS(AL1129:AL1165,B1129:B1165,B1135-48))</f>
        <v/>
      </c>
      <c r="AN1135" s="40">
        <f>AN1134*(1-IF(B1134&gt;=in_marketplace_from,d_hz_accident*G1134,0))</f>
        <v/>
      </c>
      <c r="AO1135" s="46">
        <f>AN1135*IF(B1135&gt;=in_marketplace_from,d_hz_accident*G1135,0)</f>
        <v/>
      </c>
      <c r="AP1135" s="14">
        <f>F1135*AO1135*in_accident_ticket*in_accident_comm*in_ins_partner_share+F1135*in_accident_ticket*in_accident_renew_comm*in_ins_partner_share*(in_accident_renew^1*SUMIFS(AO1129:AO1165,B1129:B1165,B1135-12)+in_accident_renew^2*SUMIFS(AO1129:AO1165,B1129:B1165,B1135-24)+in_accident_renew^3*SUMIFS(AO1129:AO1165,B1129:B1165,B1135-36)+in_accident_renew^4*SUMIFS(AO1129:AO1165,B1129:B1165,B1135-48))</f>
        <v/>
      </c>
      <c r="AQ1135" s="40">
        <f>AQ1134*(1-IF(B1134&gt;=in_marketplace_from,d_hz_two_wheeler*G1134,0))</f>
        <v/>
      </c>
      <c r="AR1135" s="46">
        <f>AQ1135*IF(B1135&gt;=in_marketplace_from,d_hz_two_wheeler*G1135,0)</f>
        <v/>
      </c>
      <c r="AS1135" s="14">
        <f>F1135*AR1135*in_two_wheeler_ticket*in_two_wheeler_comm*in_ins_partner_share+F1135*in_two_wheeler_ticket*in_two_wheeler_comm*in_ins_partner_share*(in_two_wheeler_renew^1*SUMIFS(AR1129:AR1165,B1129:B1165,B1135-12)+in_two_wheeler_renew^2*SUMIFS(AR1129:AR1165,B1129:B1165,B1135-24)+in_two_wheeler_renew^3*SUMIFS(AR1129:AR1165,B1129:B1165,B1135-36)+in_two_wheeler_renew^4*SUMIFS(AR1129:AR1165,B1129:B1165,B1135-48))</f>
        <v/>
      </c>
      <c r="AT1135" s="40">
        <f>AT1134*(1-IF(B1134&gt;=in_marketplace_from,d_hz_device*G1134,0))</f>
        <v/>
      </c>
      <c r="AU1135" s="14">
        <f>F1135*AT1135*IF(B1135&gt;=in_marketplace_from,d_hz_device*G1135,0)*in_device_ticket*in_device_comm*in_ins_partner_share</f>
        <v/>
      </c>
      <c r="AV1135" s="40">
        <f>AV1134*(1-IF(B1134&gt;=in_marketplace_from,d_hz_shop*G1134,0))</f>
        <v/>
      </c>
      <c r="AW1135" s="46">
        <f>AV1135*IF(B1135&gt;=in_marketplace_from,d_hz_shop*G1135,0)</f>
        <v/>
      </c>
      <c r="AX1135" s="14">
        <f>F1135*AW1135*in_shop_ticket*in_shop_comm*in_ins_partner_share+F1135*in_shop_ticket*in_shop_renew_comm*in_ins_partner_share*(in_shop_renew^1*SUMIFS(AW1129:AW1165,B1129:B1165,B1135-12)+in_shop_renew^2*SUMIFS(AW1129:AW1165,B1129:B1165,B1135-24)+in_shop_renew^3*SUMIFS(AW1129:AW1165,B1129:B1165,B1135-36)+in_shop_renew^4*SUMIFS(AW1129:AW1165,B1129:B1165,B1135-48))</f>
        <v/>
      </c>
      <c r="AY1135" s="40">
        <f>AY1134*(1-IF(B1134&gt;=in_marketplace_from,d_hz_sip*G1134,0))</f>
        <v/>
      </c>
      <c r="AZ1135" s="40">
        <f>AZ1134*d_rho_sip+AY1135*IF(B1135&gt;=in_marketplace_from,d_hz_sip*G1135,0)</f>
        <v/>
      </c>
      <c r="BA1135" s="40">
        <f>d_rho_sip*(BA1134+AZ1134)</f>
        <v/>
      </c>
      <c r="BB1135" s="14">
        <f>F1135*in_sip_ticket*(BA1135+0.5*AZ1135)*in_sip_comm/12</f>
        <v/>
      </c>
      <c r="BC1135" s="40">
        <f>BC1134*(1-IF(B1134&gt;=in_marketplace_from,d_hz_choti*G1134,0))</f>
        <v/>
      </c>
      <c r="BD1135" s="46">
        <f>BC1135*IF(B1135&gt;=in_marketplace_from,d_hz_choti*G1135,0)</f>
        <v/>
      </c>
      <c r="BE1135" s="14">
        <f>F1135*SUMIFS(BD1129:BD1165,B1129:B1165,B1135-in_choti_months)*in_choti_renew*in_choti_ticket</f>
        <v/>
      </c>
      <c r="BF1135" s="40">
        <f>BF1134*(1-IF(B1134&gt;=in_marketplace_from,d_hz_nps*G1134,0))</f>
        <v/>
      </c>
      <c r="BG1135" s="14">
        <f>F1135*BF1135*IF(B1135&gt;=in_marketplace_from,d_hz_nps*G1135,0)*in_nps_ticket*in_nps_comm</f>
        <v/>
      </c>
      <c r="BH1135" s="40">
        <f>BH1134*(1-IF(B1134&gt;=in_marketplace_from,d_hz_gold*G1134,0))</f>
        <v/>
      </c>
      <c r="BI1135" s="40">
        <f>BI1134*d_rho_gold+BH1135*IF(B1135&gt;=in_marketplace_from,d_hz_gold*G1135,0)</f>
        <v/>
      </c>
      <c r="BJ1135" s="14">
        <f>F1135*BI1135*in_gold_ticket*in_gold_comm</f>
        <v/>
      </c>
      <c r="BK1135" s="40">
        <f>BK1134*(1-IF(B1134&gt;=in_marketplace_from,d_hz_fd*G1134,0))</f>
        <v/>
      </c>
      <c r="BL1135" s="14">
        <f>F1135*BK1135*IF(B1135&gt;=in_marketplace_from,d_hz_fd*G1135,0)*in_fd_ticket*in_fd_comm</f>
        <v/>
      </c>
      <c r="BM1135" s="40">
        <f>BM1134*(1-IF(B1134&gt;=in_marketplace_from,d_hz_recharge*G1134,0))</f>
        <v/>
      </c>
      <c r="BN1135" s="40">
        <f>BN1134*d_rho_recharge+BM1135*IF(B1135&gt;=in_marketplace_from,d_hz_recharge*G1135,0)</f>
        <v/>
      </c>
      <c r="BO1135" s="14">
        <f>F1135*BN1135*in_recharge_ticket*in_recharge_comm/12</f>
        <v/>
      </c>
      <c r="BP1135" s="40">
        <f>BP1134*(1-IF(B1134&gt;=in_marketplace_from,d_hz_bills*G1134,0))</f>
        <v/>
      </c>
      <c r="BQ1135" s="40">
        <f>BQ1134*d_rho_bills+BP1135*IF(B1135&gt;=in_marketplace_from,d_hz_bills*G1135,0)</f>
        <v/>
      </c>
      <c r="BR1135" s="14">
        <f>F1135*BQ1135*in_bills_ticket*in_bills_comm/12</f>
        <v/>
      </c>
      <c r="BS1135" s="40">
        <f>BS1134*(1-IF(B1134&gt;=in_marketplace_from,d_hz_loan_gold*G1134,0))</f>
        <v/>
      </c>
      <c r="BT1135" s="14">
        <f>F1135*BS1135*IF(B1135&gt;=in_marketplace_from,d_hz_loan_gold*G1135,0)*in_loan_gold_ticket*in_loan_gold_comm</f>
        <v/>
      </c>
      <c r="BU1135" s="40">
        <f>BU1134*(1-IF(B1134&gt;=in_marketplace_from,d_hz_loan_cd*G1134,0))</f>
        <v/>
      </c>
      <c r="BV1135" s="14">
        <f>F1135*BU1135*IF(B1135&gt;=in_marketplace_from,d_hz_loan_cd*G1135,0)*in_loan_cd_ticket*in_loan_cd_comm</f>
        <v/>
      </c>
      <c r="BW1135" s="40">
        <f>BW1134*(1-IF(B1134&gt;=in_marketplace_from,d_hz_loan_vehicle*G1134,0))</f>
        <v/>
      </c>
      <c r="BX1135" s="14">
        <f>F1135*BW1135*IF(B1135&gt;=in_marketplace_from,d_hz_loan_vehicle*G1135,0)*in_loan_vehicle_ticket*in_loan_vehicle_comm</f>
        <v/>
      </c>
      <c r="BY1135" s="40">
        <f>BY1134*(1-IF(B1134&gt;=in_marketplace_from,d_hz_loan_home*G1134,0)*BZ1134)</f>
        <v/>
      </c>
      <c r="BZ1135" s="11">
        <f>MIN(in_approval_cap,in_loan_home_approval*INDEX('Age profile'!$O$2:$O$61,B1135)*(1+in_approval_growth)^(D1135-1))</f>
        <v/>
      </c>
      <c r="CA1135" s="14">
        <f>F1135*BY1135*IF(B1135&gt;=in_marketplace_from,d_hz_loan_home*G1135,0)*BZ1135*in_loan_home_ticket*in_loan_home_comm</f>
        <v/>
      </c>
      <c r="CB1135" s="40">
        <f>CB1134*(1-IF(B1134&gt;=in_marketplace_from,d_hz_loan_lap*G1134,0)*CC1134)</f>
        <v/>
      </c>
      <c r="CC1135" s="11">
        <f>MIN(in_approval_cap,in_loan_lap_approval*INDEX('Age profile'!$O$2:$O$61,B1135)*(1+in_approval_growth)^(D1135-1))</f>
        <v/>
      </c>
      <c r="CD1135" s="14">
        <f>F1135*CB1135*IF(B1135&gt;=in_marketplace_from,d_hz_loan_lap*G1135,0)*CC1135*in_loan_lap_ticket*in_loan_lap_comm</f>
        <v/>
      </c>
      <c r="CE1135" s="14">
        <f>AA1135+AB1135+AC1135+AD1135+AG1135+AJ1135+AM1135+AP1135+AS1135+AU1135+AX1135+BB1135+BE1135+BG1135+BJ1135+BL1135+BO1135+BR1135+BT1135+BV1135+BX1135+CA1135+CD1135</f>
        <v/>
      </c>
    </row>
    <row r="1136">
      <c r="A1136" s="39" t="n">
        <v>24</v>
      </c>
      <c r="B1136" s="39" t="n">
        <v>8</v>
      </c>
      <c r="C1136" s="39">
        <f>A1136+B1136-1</f>
        <v/>
      </c>
      <c r="D1136" s="39">
        <f>INT((C1136-1)/12)+1</f>
        <v/>
      </c>
      <c r="E1136" s="44">
        <f>INDEX(Monthly!$B$2:$B$61,A1136)</f>
        <v/>
      </c>
      <c r="F1136" s="44">
        <f>E1136*INDEX('Age profile'!$B$2:$B$61,B1136)</f>
        <v/>
      </c>
      <c r="G1136" s="45">
        <f>MIN(in_takeup_cap,INDEX('Age profile'!$N$2:$N$61,B1136)*(1+in_takeup_growth)^(D1136-1))</f>
        <v/>
      </c>
      <c r="H1136" s="11">
        <f>MIN(in_approval_cap,in_approved_first*INDEX('Age profile'!$O$2:$O$61,B1136)*(1+in_approval_growth)^(D1136-1))</f>
        <v/>
      </c>
      <c r="I1136" s="45">
        <f>G1136*MIN(in_takeup_cap,INDEX('Age profile'!$O$2:$O$61,B1136)*(1+in_approval_growth)^(D1136-1))</f>
        <v/>
      </c>
      <c r="J1136" s="40">
        <f>(J1135-L1135)*F1136/F1135</f>
        <v/>
      </c>
      <c r="K1136" s="40">
        <f>(K1135-M1135)*F1136/F1135+SUMIFS(O1129:O1135,B1129:B1135,B1136-1-d_T)*F1136</f>
        <v/>
      </c>
      <c r="L1136" s="40">
        <f>IF(B1136&gt;=in_marketplace_from,J1136*d_hz*G1136*in_eligible*H1136,0)</f>
        <v/>
      </c>
      <c r="M1136" s="40">
        <f>IF(B1136&gt;=in_marketplace_from,K1136*d_hz*G1136*in_eligible*in_approved_repeat,0)</f>
        <v/>
      </c>
      <c r="N1136" s="40">
        <f>L1136+M1136</f>
        <v/>
      </c>
      <c r="O1136" s="46">
        <f>N1136/F1136</f>
        <v/>
      </c>
      <c r="P1136" s="40">
        <f>F1136-J1136-K1136</f>
        <v/>
      </c>
      <c r="Q1136" s="40">
        <f>IF(B1136&gt;=in_marketplace_from,(J1136+K1136)*d_hz*G1136,0)</f>
        <v/>
      </c>
      <c r="R1136" s="40">
        <f>SUMIFS(N1129:N1165,B1129:B1165,"&gt;="&amp;(B1136-d_T),B1129:B1165,"&lt;="&amp;(B1136-1))</f>
        <v/>
      </c>
      <c r="S1136" s="46">
        <f>(1-d_u)*S1135+IF(d_T&gt;in_topup_lag,SUMIFS(O1129:O1165,B1129:B1165,B1136-in_topup_lag)-d_udrop*SUMIFS(O1129:O1165,B1129:B1165,B1136-d_T),0)</f>
        <v/>
      </c>
      <c r="T1136" s="40">
        <f>F1136*d_u*S1136</f>
        <v/>
      </c>
      <c r="U1136" s="9">
        <f>L1136*in_ticket+M1136*d_rep_ticket</f>
        <v/>
      </c>
      <c r="V1136" s="9">
        <f>U1136+T1136*d_topup_amt</f>
        <v/>
      </c>
      <c r="W1136" s="40">
        <f>N1136+T1136*d_topup_ratio</f>
        <v/>
      </c>
      <c r="X1136" s="40">
        <f>SUMIFS(W1129:W1165,B1129:B1165,B1136-in_dpd_lag)*d_cured</f>
        <v/>
      </c>
      <c r="Y1136" s="40">
        <f>SUMIFS(W1129:W1165,B1129:B1165,B1136-in_rec_lag)*d_recd</f>
        <v/>
      </c>
      <c r="Z1136" s="40">
        <f>IF(AND(B1136&gt;=in_marketplace_from,B1136&lt;in_marketplace_from+in_card_months),in_card_share/in_card_months*F1136*I1136,IF(AND(B1136&gt;=in_marketplace_from+in_card_months,B1136&lt;in_marketplace_from+2*in_card_months),in_card_share*d_card_rem/in_card_months*F1136*MIN(in_takeup_cap,(1+in_takeup_growth)^(D1136-1))*MIN(in_takeup_cap,(1+in_approval_growth)^(D1136-1)),0))</f>
        <v/>
      </c>
      <c r="AA1136" s="14">
        <f>V1136*in_fee*(1-in_taken_back)</f>
        <v/>
      </c>
      <c r="AB1136" s="14">
        <f>SUMIFS(W1129:W1165,B1129:B1165,B1136-in_dpd_lag)*d_dpd</f>
        <v/>
      </c>
      <c r="AC1136" s="14">
        <f>SUMIFS(W1129:W1165,B1129:B1165,B1136-in_rec_lag)*d_rec</f>
        <v/>
      </c>
      <c r="AD1136" s="14">
        <f>Z1136*in_card_fee</f>
        <v/>
      </c>
      <c r="AE1136" s="40">
        <f>AE1135*(1-IF(B1135&gt;=in_marketplace_from,d_hz_hlth_small*G1135,0))</f>
        <v/>
      </c>
      <c r="AF1136" s="46">
        <f>AE1136*IF(B1136&gt;=in_marketplace_from,d_hz_hlth_small*G1136,0)</f>
        <v/>
      </c>
      <c r="AG1136" s="14">
        <f>F1136*AF1136*in_hlth_small_ticket*in_hlth_small_comm*in_ins_partner_share+F1136*in_hlth_small_ticket*in_hlth_small_renew_comm*in_ins_partner_share*(in_hlth_small_renew^1*SUMIFS(AF1129:AF1165,B1129:B1165,B1136-12)+in_hlth_small_renew^2*SUMIFS(AF1129:AF1165,B1129:B1165,B1136-24)+in_hlth_small_renew^3*SUMIFS(AF1129:AF1165,B1129:B1165,B1136-36)+in_hlth_small_renew^4*SUMIFS(AF1129:AF1165,B1129:B1165,B1136-48))</f>
        <v/>
      </c>
      <c r="AH1136" s="40">
        <f>AH1135*(1-IF(B1135&gt;=in_marketplace_from,d_hz_hlth_family*G1135,0))</f>
        <v/>
      </c>
      <c r="AI1136" s="46">
        <f>AH1136*IF(B1136&gt;=in_marketplace_from,d_hz_hlth_family*G1136,0)</f>
        <v/>
      </c>
      <c r="AJ1136" s="14">
        <f>F1136*AI1136*in_hlth_family_ticket*in_hlth_family_comm*in_ins_partner_share+F1136*in_hlth_family_ticket*in_hlth_family_renew_comm*in_ins_partner_share*(in_hlth_family_renew^1*SUMIFS(AI1129:AI1165,B1129:B1165,B1136-12)+in_hlth_family_renew^2*SUMIFS(AI1129:AI1165,B1129:B1165,B1136-24)+in_hlth_family_renew^3*SUMIFS(AI1129:AI1165,B1129:B1165,B1136-36)+in_hlth_family_renew^4*SUMIFS(AI1129:AI1165,B1129:B1165,B1136-48))</f>
        <v/>
      </c>
      <c r="AK1136" s="40">
        <f>AK1135*(1-IF(B1135&gt;=in_marketplace_from,d_hz_life_term*G1135,0))</f>
        <v/>
      </c>
      <c r="AL1136" s="46">
        <f>AK1136*IF(B1136&gt;=in_marketplace_from,d_hz_life_term*G1136,0)</f>
        <v/>
      </c>
      <c r="AM1136" s="14">
        <f>F1136*AL1136*in_life_term_ticket*in_life_term_comm*in_ins_partner_share+F1136*in_life_term_ticket*in_life_term_renew_comm*in_ins_partner_share*(in_life_term_renew^1*SUMIFS(AL1129:AL1165,B1129:B1165,B1136-12)+in_life_term_renew^2*SUMIFS(AL1129:AL1165,B1129:B1165,B1136-24)+in_life_term_renew^3*SUMIFS(AL1129:AL1165,B1129:B1165,B1136-36)+in_life_term_renew^4*SUMIFS(AL1129:AL1165,B1129:B1165,B1136-48))</f>
        <v/>
      </c>
      <c r="AN1136" s="40">
        <f>AN1135*(1-IF(B1135&gt;=in_marketplace_from,d_hz_accident*G1135,0))</f>
        <v/>
      </c>
      <c r="AO1136" s="46">
        <f>AN1136*IF(B1136&gt;=in_marketplace_from,d_hz_accident*G1136,0)</f>
        <v/>
      </c>
      <c r="AP1136" s="14">
        <f>F1136*AO1136*in_accident_ticket*in_accident_comm*in_ins_partner_share+F1136*in_accident_ticket*in_accident_renew_comm*in_ins_partner_share*(in_accident_renew^1*SUMIFS(AO1129:AO1165,B1129:B1165,B1136-12)+in_accident_renew^2*SUMIFS(AO1129:AO1165,B1129:B1165,B1136-24)+in_accident_renew^3*SUMIFS(AO1129:AO1165,B1129:B1165,B1136-36)+in_accident_renew^4*SUMIFS(AO1129:AO1165,B1129:B1165,B1136-48))</f>
        <v/>
      </c>
      <c r="AQ1136" s="40">
        <f>AQ1135*(1-IF(B1135&gt;=in_marketplace_from,d_hz_two_wheeler*G1135,0))</f>
        <v/>
      </c>
      <c r="AR1136" s="46">
        <f>AQ1136*IF(B1136&gt;=in_marketplace_from,d_hz_two_wheeler*G1136,0)</f>
        <v/>
      </c>
      <c r="AS1136" s="14">
        <f>F1136*AR1136*in_two_wheeler_ticket*in_two_wheeler_comm*in_ins_partner_share+F1136*in_two_wheeler_ticket*in_two_wheeler_comm*in_ins_partner_share*(in_two_wheeler_renew^1*SUMIFS(AR1129:AR1165,B1129:B1165,B1136-12)+in_two_wheeler_renew^2*SUMIFS(AR1129:AR1165,B1129:B1165,B1136-24)+in_two_wheeler_renew^3*SUMIFS(AR1129:AR1165,B1129:B1165,B1136-36)+in_two_wheeler_renew^4*SUMIFS(AR1129:AR1165,B1129:B1165,B1136-48))</f>
        <v/>
      </c>
      <c r="AT1136" s="40">
        <f>AT1135*(1-IF(B1135&gt;=in_marketplace_from,d_hz_device*G1135,0))</f>
        <v/>
      </c>
      <c r="AU1136" s="14">
        <f>F1136*AT1136*IF(B1136&gt;=in_marketplace_from,d_hz_device*G1136,0)*in_device_ticket*in_device_comm*in_ins_partner_share</f>
        <v/>
      </c>
      <c r="AV1136" s="40">
        <f>AV1135*(1-IF(B1135&gt;=in_marketplace_from,d_hz_shop*G1135,0))</f>
        <v/>
      </c>
      <c r="AW1136" s="46">
        <f>AV1136*IF(B1136&gt;=in_marketplace_from,d_hz_shop*G1136,0)</f>
        <v/>
      </c>
      <c r="AX1136" s="14">
        <f>F1136*AW1136*in_shop_ticket*in_shop_comm*in_ins_partner_share+F1136*in_shop_ticket*in_shop_renew_comm*in_ins_partner_share*(in_shop_renew^1*SUMIFS(AW1129:AW1165,B1129:B1165,B1136-12)+in_shop_renew^2*SUMIFS(AW1129:AW1165,B1129:B1165,B1136-24)+in_shop_renew^3*SUMIFS(AW1129:AW1165,B1129:B1165,B1136-36)+in_shop_renew^4*SUMIFS(AW1129:AW1165,B1129:B1165,B1136-48))</f>
        <v/>
      </c>
      <c r="AY1136" s="40">
        <f>AY1135*(1-IF(B1135&gt;=in_marketplace_from,d_hz_sip*G1135,0))</f>
        <v/>
      </c>
      <c r="AZ1136" s="40">
        <f>AZ1135*d_rho_sip+AY1136*IF(B1136&gt;=in_marketplace_from,d_hz_sip*G1136,0)</f>
        <v/>
      </c>
      <c r="BA1136" s="40">
        <f>d_rho_sip*(BA1135+AZ1135)</f>
        <v/>
      </c>
      <c r="BB1136" s="14">
        <f>F1136*in_sip_ticket*(BA1136+0.5*AZ1136)*in_sip_comm/12</f>
        <v/>
      </c>
      <c r="BC1136" s="40">
        <f>BC1135*(1-IF(B1135&gt;=in_marketplace_from,d_hz_choti*G1135,0))</f>
        <v/>
      </c>
      <c r="BD1136" s="46">
        <f>BC1136*IF(B1136&gt;=in_marketplace_from,d_hz_choti*G1136,0)</f>
        <v/>
      </c>
      <c r="BE1136" s="14">
        <f>F1136*SUMIFS(BD1129:BD1165,B1129:B1165,B1136-in_choti_months)*in_choti_renew*in_choti_ticket</f>
        <v/>
      </c>
      <c r="BF1136" s="40">
        <f>BF1135*(1-IF(B1135&gt;=in_marketplace_from,d_hz_nps*G1135,0))</f>
        <v/>
      </c>
      <c r="BG1136" s="14">
        <f>F1136*BF1136*IF(B1136&gt;=in_marketplace_from,d_hz_nps*G1136,0)*in_nps_ticket*in_nps_comm</f>
        <v/>
      </c>
      <c r="BH1136" s="40">
        <f>BH1135*(1-IF(B1135&gt;=in_marketplace_from,d_hz_gold*G1135,0))</f>
        <v/>
      </c>
      <c r="BI1136" s="40">
        <f>BI1135*d_rho_gold+BH1136*IF(B1136&gt;=in_marketplace_from,d_hz_gold*G1136,0)</f>
        <v/>
      </c>
      <c r="BJ1136" s="14">
        <f>F1136*BI1136*in_gold_ticket*in_gold_comm</f>
        <v/>
      </c>
      <c r="BK1136" s="40">
        <f>BK1135*(1-IF(B1135&gt;=in_marketplace_from,d_hz_fd*G1135,0))</f>
        <v/>
      </c>
      <c r="BL1136" s="14">
        <f>F1136*BK1136*IF(B1136&gt;=in_marketplace_from,d_hz_fd*G1136,0)*in_fd_ticket*in_fd_comm</f>
        <v/>
      </c>
      <c r="BM1136" s="40">
        <f>BM1135*(1-IF(B1135&gt;=in_marketplace_from,d_hz_recharge*G1135,0))</f>
        <v/>
      </c>
      <c r="BN1136" s="40">
        <f>BN1135*d_rho_recharge+BM1136*IF(B1136&gt;=in_marketplace_from,d_hz_recharge*G1136,0)</f>
        <v/>
      </c>
      <c r="BO1136" s="14">
        <f>F1136*BN1136*in_recharge_ticket*in_recharge_comm/12</f>
        <v/>
      </c>
      <c r="BP1136" s="40">
        <f>BP1135*(1-IF(B1135&gt;=in_marketplace_from,d_hz_bills*G1135,0))</f>
        <v/>
      </c>
      <c r="BQ1136" s="40">
        <f>BQ1135*d_rho_bills+BP1136*IF(B1136&gt;=in_marketplace_from,d_hz_bills*G1136,0)</f>
        <v/>
      </c>
      <c r="BR1136" s="14">
        <f>F1136*BQ1136*in_bills_ticket*in_bills_comm/12</f>
        <v/>
      </c>
      <c r="BS1136" s="40">
        <f>BS1135*(1-IF(B1135&gt;=in_marketplace_from,d_hz_loan_gold*G1135,0))</f>
        <v/>
      </c>
      <c r="BT1136" s="14">
        <f>F1136*BS1136*IF(B1136&gt;=in_marketplace_from,d_hz_loan_gold*G1136,0)*in_loan_gold_ticket*in_loan_gold_comm</f>
        <v/>
      </c>
      <c r="BU1136" s="40">
        <f>BU1135*(1-IF(B1135&gt;=in_marketplace_from,d_hz_loan_cd*G1135,0))</f>
        <v/>
      </c>
      <c r="BV1136" s="14">
        <f>F1136*BU1136*IF(B1136&gt;=in_marketplace_from,d_hz_loan_cd*G1136,0)*in_loan_cd_ticket*in_loan_cd_comm</f>
        <v/>
      </c>
      <c r="BW1136" s="40">
        <f>BW1135*(1-IF(B1135&gt;=in_marketplace_from,d_hz_loan_vehicle*G1135,0))</f>
        <v/>
      </c>
      <c r="BX1136" s="14">
        <f>F1136*BW1136*IF(B1136&gt;=in_marketplace_from,d_hz_loan_vehicle*G1136,0)*in_loan_vehicle_ticket*in_loan_vehicle_comm</f>
        <v/>
      </c>
      <c r="BY1136" s="40">
        <f>BY1135*(1-IF(B1135&gt;=in_marketplace_from,d_hz_loan_home*G1135,0)*BZ1135)</f>
        <v/>
      </c>
      <c r="BZ1136" s="11">
        <f>MIN(in_approval_cap,in_loan_home_approval*INDEX('Age profile'!$O$2:$O$61,B1136)*(1+in_approval_growth)^(D1136-1))</f>
        <v/>
      </c>
      <c r="CA1136" s="14">
        <f>F1136*BY1136*IF(B1136&gt;=in_marketplace_from,d_hz_loan_home*G1136,0)*BZ1136*in_loan_home_ticket*in_loan_home_comm</f>
        <v/>
      </c>
      <c r="CB1136" s="40">
        <f>CB1135*(1-IF(B1135&gt;=in_marketplace_from,d_hz_loan_lap*G1135,0)*CC1135)</f>
        <v/>
      </c>
      <c r="CC1136" s="11">
        <f>MIN(in_approval_cap,in_loan_lap_approval*INDEX('Age profile'!$O$2:$O$61,B1136)*(1+in_approval_growth)^(D1136-1))</f>
        <v/>
      </c>
      <c r="CD1136" s="14">
        <f>F1136*CB1136*IF(B1136&gt;=in_marketplace_from,d_hz_loan_lap*G1136,0)*CC1136*in_loan_lap_ticket*in_loan_lap_comm</f>
        <v/>
      </c>
      <c r="CE1136" s="14">
        <f>AA1136+AB1136+AC1136+AD1136+AG1136+AJ1136+AM1136+AP1136+AS1136+AU1136+AX1136+BB1136+BE1136+BG1136+BJ1136+BL1136+BO1136+BR1136+BT1136+BV1136+BX1136+CA1136+CD1136</f>
        <v/>
      </c>
    </row>
    <row r="1137">
      <c r="A1137" s="39" t="n">
        <v>24</v>
      </c>
      <c r="B1137" s="39" t="n">
        <v>9</v>
      </c>
      <c r="C1137" s="39">
        <f>A1137+B1137-1</f>
        <v/>
      </c>
      <c r="D1137" s="39">
        <f>INT((C1137-1)/12)+1</f>
        <v/>
      </c>
      <c r="E1137" s="44">
        <f>INDEX(Monthly!$B$2:$B$61,A1137)</f>
        <v/>
      </c>
      <c r="F1137" s="44">
        <f>E1137*INDEX('Age profile'!$B$2:$B$61,B1137)</f>
        <v/>
      </c>
      <c r="G1137" s="45">
        <f>MIN(in_takeup_cap,INDEX('Age profile'!$N$2:$N$61,B1137)*(1+in_takeup_growth)^(D1137-1))</f>
        <v/>
      </c>
      <c r="H1137" s="11">
        <f>MIN(in_approval_cap,in_approved_first*INDEX('Age profile'!$O$2:$O$61,B1137)*(1+in_approval_growth)^(D1137-1))</f>
        <v/>
      </c>
      <c r="I1137" s="45">
        <f>G1137*MIN(in_takeup_cap,INDEX('Age profile'!$O$2:$O$61,B1137)*(1+in_approval_growth)^(D1137-1))</f>
        <v/>
      </c>
      <c r="J1137" s="40">
        <f>(J1136-L1136)*F1137/F1136</f>
        <v/>
      </c>
      <c r="K1137" s="40">
        <f>(K1136-M1136)*F1137/F1136+SUMIFS(O1129:O1136,B1129:B1136,B1137-1-d_T)*F1137</f>
        <v/>
      </c>
      <c r="L1137" s="40">
        <f>IF(B1137&gt;=in_marketplace_from,J1137*d_hz*G1137*in_eligible*H1137,0)</f>
        <v/>
      </c>
      <c r="M1137" s="40">
        <f>IF(B1137&gt;=in_marketplace_from,K1137*d_hz*G1137*in_eligible*in_approved_repeat,0)</f>
        <v/>
      </c>
      <c r="N1137" s="40">
        <f>L1137+M1137</f>
        <v/>
      </c>
      <c r="O1137" s="46">
        <f>N1137/F1137</f>
        <v/>
      </c>
      <c r="P1137" s="40">
        <f>F1137-J1137-K1137</f>
        <v/>
      </c>
      <c r="Q1137" s="40">
        <f>IF(B1137&gt;=in_marketplace_from,(J1137+K1137)*d_hz*G1137,0)</f>
        <v/>
      </c>
      <c r="R1137" s="40">
        <f>SUMIFS(N1129:N1165,B1129:B1165,"&gt;="&amp;(B1137-d_T),B1129:B1165,"&lt;="&amp;(B1137-1))</f>
        <v/>
      </c>
      <c r="S1137" s="46">
        <f>(1-d_u)*S1136+IF(d_T&gt;in_topup_lag,SUMIFS(O1129:O1165,B1129:B1165,B1137-in_topup_lag)-d_udrop*SUMIFS(O1129:O1165,B1129:B1165,B1137-d_T),0)</f>
        <v/>
      </c>
      <c r="T1137" s="40">
        <f>F1137*d_u*S1137</f>
        <v/>
      </c>
      <c r="U1137" s="9">
        <f>L1137*in_ticket+M1137*d_rep_ticket</f>
        <v/>
      </c>
      <c r="V1137" s="9">
        <f>U1137+T1137*d_topup_amt</f>
        <v/>
      </c>
      <c r="W1137" s="40">
        <f>N1137+T1137*d_topup_ratio</f>
        <v/>
      </c>
      <c r="X1137" s="40">
        <f>SUMIFS(W1129:W1165,B1129:B1165,B1137-in_dpd_lag)*d_cured</f>
        <v/>
      </c>
      <c r="Y1137" s="40">
        <f>SUMIFS(W1129:W1165,B1129:B1165,B1137-in_rec_lag)*d_recd</f>
        <v/>
      </c>
      <c r="Z1137" s="40">
        <f>IF(AND(B1137&gt;=in_marketplace_from,B1137&lt;in_marketplace_from+in_card_months),in_card_share/in_card_months*F1137*I1137,IF(AND(B1137&gt;=in_marketplace_from+in_card_months,B1137&lt;in_marketplace_from+2*in_card_months),in_card_share*d_card_rem/in_card_months*F1137*MIN(in_takeup_cap,(1+in_takeup_growth)^(D1137-1))*MIN(in_takeup_cap,(1+in_approval_growth)^(D1137-1)),0))</f>
        <v/>
      </c>
      <c r="AA1137" s="14">
        <f>V1137*in_fee*(1-in_taken_back)</f>
        <v/>
      </c>
      <c r="AB1137" s="14">
        <f>SUMIFS(W1129:W1165,B1129:B1165,B1137-in_dpd_lag)*d_dpd</f>
        <v/>
      </c>
      <c r="AC1137" s="14">
        <f>SUMIFS(W1129:W1165,B1129:B1165,B1137-in_rec_lag)*d_rec</f>
        <v/>
      </c>
      <c r="AD1137" s="14">
        <f>Z1137*in_card_fee</f>
        <v/>
      </c>
      <c r="AE1137" s="40">
        <f>AE1136*(1-IF(B1136&gt;=in_marketplace_from,d_hz_hlth_small*G1136,0))</f>
        <v/>
      </c>
      <c r="AF1137" s="46">
        <f>AE1137*IF(B1137&gt;=in_marketplace_from,d_hz_hlth_small*G1137,0)</f>
        <v/>
      </c>
      <c r="AG1137" s="14">
        <f>F1137*AF1137*in_hlth_small_ticket*in_hlth_small_comm*in_ins_partner_share+F1137*in_hlth_small_ticket*in_hlth_small_renew_comm*in_ins_partner_share*(in_hlth_small_renew^1*SUMIFS(AF1129:AF1165,B1129:B1165,B1137-12)+in_hlth_small_renew^2*SUMIFS(AF1129:AF1165,B1129:B1165,B1137-24)+in_hlth_small_renew^3*SUMIFS(AF1129:AF1165,B1129:B1165,B1137-36)+in_hlth_small_renew^4*SUMIFS(AF1129:AF1165,B1129:B1165,B1137-48))</f>
        <v/>
      </c>
      <c r="AH1137" s="40">
        <f>AH1136*(1-IF(B1136&gt;=in_marketplace_from,d_hz_hlth_family*G1136,0))</f>
        <v/>
      </c>
      <c r="AI1137" s="46">
        <f>AH1137*IF(B1137&gt;=in_marketplace_from,d_hz_hlth_family*G1137,0)</f>
        <v/>
      </c>
      <c r="AJ1137" s="14">
        <f>F1137*AI1137*in_hlth_family_ticket*in_hlth_family_comm*in_ins_partner_share+F1137*in_hlth_family_ticket*in_hlth_family_renew_comm*in_ins_partner_share*(in_hlth_family_renew^1*SUMIFS(AI1129:AI1165,B1129:B1165,B1137-12)+in_hlth_family_renew^2*SUMIFS(AI1129:AI1165,B1129:B1165,B1137-24)+in_hlth_family_renew^3*SUMIFS(AI1129:AI1165,B1129:B1165,B1137-36)+in_hlth_family_renew^4*SUMIFS(AI1129:AI1165,B1129:B1165,B1137-48))</f>
        <v/>
      </c>
      <c r="AK1137" s="40">
        <f>AK1136*(1-IF(B1136&gt;=in_marketplace_from,d_hz_life_term*G1136,0))</f>
        <v/>
      </c>
      <c r="AL1137" s="46">
        <f>AK1137*IF(B1137&gt;=in_marketplace_from,d_hz_life_term*G1137,0)</f>
        <v/>
      </c>
      <c r="AM1137" s="14">
        <f>F1137*AL1137*in_life_term_ticket*in_life_term_comm*in_ins_partner_share+F1137*in_life_term_ticket*in_life_term_renew_comm*in_ins_partner_share*(in_life_term_renew^1*SUMIFS(AL1129:AL1165,B1129:B1165,B1137-12)+in_life_term_renew^2*SUMIFS(AL1129:AL1165,B1129:B1165,B1137-24)+in_life_term_renew^3*SUMIFS(AL1129:AL1165,B1129:B1165,B1137-36)+in_life_term_renew^4*SUMIFS(AL1129:AL1165,B1129:B1165,B1137-48))</f>
        <v/>
      </c>
      <c r="AN1137" s="40">
        <f>AN1136*(1-IF(B1136&gt;=in_marketplace_from,d_hz_accident*G1136,0))</f>
        <v/>
      </c>
      <c r="AO1137" s="46">
        <f>AN1137*IF(B1137&gt;=in_marketplace_from,d_hz_accident*G1137,0)</f>
        <v/>
      </c>
      <c r="AP1137" s="14">
        <f>F1137*AO1137*in_accident_ticket*in_accident_comm*in_ins_partner_share+F1137*in_accident_ticket*in_accident_renew_comm*in_ins_partner_share*(in_accident_renew^1*SUMIFS(AO1129:AO1165,B1129:B1165,B1137-12)+in_accident_renew^2*SUMIFS(AO1129:AO1165,B1129:B1165,B1137-24)+in_accident_renew^3*SUMIFS(AO1129:AO1165,B1129:B1165,B1137-36)+in_accident_renew^4*SUMIFS(AO1129:AO1165,B1129:B1165,B1137-48))</f>
        <v/>
      </c>
      <c r="AQ1137" s="40">
        <f>AQ1136*(1-IF(B1136&gt;=in_marketplace_from,d_hz_two_wheeler*G1136,0))</f>
        <v/>
      </c>
      <c r="AR1137" s="46">
        <f>AQ1137*IF(B1137&gt;=in_marketplace_from,d_hz_two_wheeler*G1137,0)</f>
        <v/>
      </c>
      <c r="AS1137" s="14">
        <f>F1137*AR1137*in_two_wheeler_ticket*in_two_wheeler_comm*in_ins_partner_share+F1137*in_two_wheeler_ticket*in_two_wheeler_comm*in_ins_partner_share*(in_two_wheeler_renew^1*SUMIFS(AR1129:AR1165,B1129:B1165,B1137-12)+in_two_wheeler_renew^2*SUMIFS(AR1129:AR1165,B1129:B1165,B1137-24)+in_two_wheeler_renew^3*SUMIFS(AR1129:AR1165,B1129:B1165,B1137-36)+in_two_wheeler_renew^4*SUMIFS(AR1129:AR1165,B1129:B1165,B1137-48))</f>
        <v/>
      </c>
      <c r="AT1137" s="40">
        <f>AT1136*(1-IF(B1136&gt;=in_marketplace_from,d_hz_device*G1136,0))</f>
        <v/>
      </c>
      <c r="AU1137" s="14">
        <f>F1137*AT1137*IF(B1137&gt;=in_marketplace_from,d_hz_device*G1137,0)*in_device_ticket*in_device_comm*in_ins_partner_share</f>
        <v/>
      </c>
      <c r="AV1137" s="40">
        <f>AV1136*(1-IF(B1136&gt;=in_marketplace_from,d_hz_shop*G1136,0))</f>
        <v/>
      </c>
      <c r="AW1137" s="46">
        <f>AV1137*IF(B1137&gt;=in_marketplace_from,d_hz_shop*G1137,0)</f>
        <v/>
      </c>
      <c r="AX1137" s="14">
        <f>F1137*AW1137*in_shop_ticket*in_shop_comm*in_ins_partner_share+F1137*in_shop_ticket*in_shop_renew_comm*in_ins_partner_share*(in_shop_renew^1*SUMIFS(AW1129:AW1165,B1129:B1165,B1137-12)+in_shop_renew^2*SUMIFS(AW1129:AW1165,B1129:B1165,B1137-24)+in_shop_renew^3*SUMIFS(AW1129:AW1165,B1129:B1165,B1137-36)+in_shop_renew^4*SUMIFS(AW1129:AW1165,B1129:B1165,B1137-48))</f>
        <v/>
      </c>
      <c r="AY1137" s="40">
        <f>AY1136*(1-IF(B1136&gt;=in_marketplace_from,d_hz_sip*G1136,0))</f>
        <v/>
      </c>
      <c r="AZ1137" s="40">
        <f>AZ1136*d_rho_sip+AY1137*IF(B1137&gt;=in_marketplace_from,d_hz_sip*G1137,0)</f>
        <v/>
      </c>
      <c r="BA1137" s="40">
        <f>d_rho_sip*(BA1136+AZ1136)</f>
        <v/>
      </c>
      <c r="BB1137" s="14">
        <f>F1137*in_sip_ticket*(BA1137+0.5*AZ1137)*in_sip_comm/12</f>
        <v/>
      </c>
      <c r="BC1137" s="40">
        <f>BC1136*(1-IF(B1136&gt;=in_marketplace_from,d_hz_choti*G1136,0))</f>
        <v/>
      </c>
      <c r="BD1137" s="46">
        <f>BC1137*IF(B1137&gt;=in_marketplace_from,d_hz_choti*G1137,0)</f>
        <v/>
      </c>
      <c r="BE1137" s="14">
        <f>F1137*SUMIFS(BD1129:BD1165,B1129:B1165,B1137-in_choti_months)*in_choti_renew*in_choti_ticket</f>
        <v/>
      </c>
      <c r="BF1137" s="40">
        <f>BF1136*(1-IF(B1136&gt;=in_marketplace_from,d_hz_nps*G1136,0))</f>
        <v/>
      </c>
      <c r="BG1137" s="14">
        <f>F1137*BF1137*IF(B1137&gt;=in_marketplace_from,d_hz_nps*G1137,0)*in_nps_ticket*in_nps_comm</f>
        <v/>
      </c>
      <c r="BH1137" s="40">
        <f>BH1136*(1-IF(B1136&gt;=in_marketplace_from,d_hz_gold*G1136,0))</f>
        <v/>
      </c>
      <c r="BI1137" s="40">
        <f>BI1136*d_rho_gold+BH1137*IF(B1137&gt;=in_marketplace_from,d_hz_gold*G1137,0)</f>
        <v/>
      </c>
      <c r="BJ1137" s="14">
        <f>F1137*BI1137*in_gold_ticket*in_gold_comm</f>
        <v/>
      </c>
      <c r="BK1137" s="40">
        <f>BK1136*(1-IF(B1136&gt;=in_marketplace_from,d_hz_fd*G1136,0))</f>
        <v/>
      </c>
      <c r="BL1137" s="14">
        <f>F1137*BK1137*IF(B1137&gt;=in_marketplace_from,d_hz_fd*G1137,0)*in_fd_ticket*in_fd_comm</f>
        <v/>
      </c>
      <c r="BM1137" s="40">
        <f>BM1136*(1-IF(B1136&gt;=in_marketplace_from,d_hz_recharge*G1136,0))</f>
        <v/>
      </c>
      <c r="BN1137" s="40">
        <f>BN1136*d_rho_recharge+BM1137*IF(B1137&gt;=in_marketplace_from,d_hz_recharge*G1137,0)</f>
        <v/>
      </c>
      <c r="BO1137" s="14">
        <f>F1137*BN1137*in_recharge_ticket*in_recharge_comm/12</f>
        <v/>
      </c>
      <c r="BP1137" s="40">
        <f>BP1136*(1-IF(B1136&gt;=in_marketplace_from,d_hz_bills*G1136,0))</f>
        <v/>
      </c>
      <c r="BQ1137" s="40">
        <f>BQ1136*d_rho_bills+BP1137*IF(B1137&gt;=in_marketplace_from,d_hz_bills*G1137,0)</f>
        <v/>
      </c>
      <c r="BR1137" s="14">
        <f>F1137*BQ1137*in_bills_ticket*in_bills_comm/12</f>
        <v/>
      </c>
      <c r="BS1137" s="40">
        <f>BS1136*(1-IF(B1136&gt;=in_marketplace_from,d_hz_loan_gold*G1136,0))</f>
        <v/>
      </c>
      <c r="BT1137" s="14">
        <f>F1137*BS1137*IF(B1137&gt;=in_marketplace_from,d_hz_loan_gold*G1137,0)*in_loan_gold_ticket*in_loan_gold_comm</f>
        <v/>
      </c>
      <c r="BU1137" s="40">
        <f>BU1136*(1-IF(B1136&gt;=in_marketplace_from,d_hz_loan_cd*G1136,0))</f>
        <v/>
      </c>
      <c r="BV1137" s="14">
        <f>F1137*BU1137*IF(B1137&gt;=in_marketplace_from,d_hz_loan_cd*G1137,0)*in_loan_cd_ticket*in_loan_cd_comm</f>
        <v/>
      </c>
      <c r="BW1137" s="40">
        <f>BW1136*(1-IF(B1136&gt;=in_marketplace_from,d_hz_loan_vehicle*G1136,0))</f>
        <v/>
      </c>
      <c r="BX1137" s="14">
        <f>F1137*BW1137*IF(B1137&gt;=in_marketplace_from,d_hz_loan_vehicle*G1137,0)*in_loan_vehicle_ticket*in_loan_vehicle_comm</f>
        <v/>
      </c>
      <c r="BY1137" s="40">
        <f>BY1136*(1-IF(B1136&gt;=in_marketplace_from,d_hz_loan_home*G1136,0)*BZ1136)</f>
        <v/>
      </c>
      <c r="BZ1137" s="11">
        <f>MIN(in_approval_cap,in_loan_home_approval*INDEX('Age profile'!$O$2:$O$61,B1137)*(1+in_approval_growth)^(D1137-1))</f>
        <v/>
      </c>
      <c r="CA1137" s="14">
        <f>F1137*BY1137*IF(B1137&gt;=in_marketplace_from,d_hz_loan_home*G1137,0)*BZ1137*in_loan_home_ticket*in_loan_home_comm</f>
        <v/>
      </c>
      <c r="CB1137" s="40">
        <f>CB1136*(1-IF(B1136&gt;=in_marketplace_from,d_hz_loan_lap*G1136,0)*CC1136)</f>
        <v/>
      </c>
      <c r="CC1137" s="11">
        <f>MIN(in_approval_cap,in_loan_lap_approval*INDEX('Age profile'!$O$2:$O$61,B1137)*(1+in_approval_growth)^(D1137-1))</f>
        <v/>
      </c>
      <c r="CD1137" s="14">
        <f>F1137*CB1137*IF(B1137&gt;=in_marketplace_from,d_hz_loan_lap*G1137,0)*CC1137*in_loan_lap_ticket*in_loan_lap_comm</f>
        <v/>
      </c>
      <c r="CE1137" s="14">
        <f>AA1137+AB1137+AC1137+AD1137+AG1137+AJ1137+AM1137+AP1137+AS1137+AU1137+AX1137+BB1137+BE1137+BG1137+BJ1137+BL1137+BO1137+BR1137+BT1137+BV1137+BX1137+CA1137+CD1137</f>
        <v/>
      </c>
    </row>
    <row r="1138">
      <c r="A1138" s="39" t="n">
        <v>24</v>
      </c>
      <c r="B1138" s="39" t="n">
        <v>10</v>
      </c>
      <c r="C1138" s="39">
        <f>A1138+B1138-1</f>
        <v/>
      </c>
      <c r="D1138" s="39">
        <f>INT((C1138-1)/12)+1</f>
        <v/>
      </c>
      <c r="E1138" s="44">
        <f>INDEX(Monthly!$B$2:$B$61,A1138)</f>
        <v/>
      </c>
      <c r="F1138" s="44">
        <f>E1138*INDEX('Age profile'!$B$2:$B$61,B1138)</f>
        <v/>
      </c>
      <c r="G1138" s="45">
        <f>MIN(in_takeup_cap,INDEX('Age profile'!$N$2:$N$61,B1138)*(1+in_takeup_growth)^(D1138-1))</f>
        <v/>
      </c>
      <c r="H1138" s="11">
        <f>MIN(in_approval_cap,in_approved_first*INDEX('Age profile'!$O$2:$O$61,B1138)*(1+in_approval_growth)^(D1138-1))</f>
        <v/>
      </c>
      <c r="I1138" s="45">
        <f>G1138*MIN(in_takeup_cap,INDEX('Age profile'!$O$2:$O$61,B1138)*(1+in_approval_growth)^(D1138-1))</f>
        <v/>
      </c>
      <c r="J1138" s="40">
        <f>(J1137-L1137)*F1138/F1137</f>
        <v/>
      </c>
      <c r="K1138" s="40">
        <f>(K1137-M1137)*F1138/F1137+SUMIFS(O1129:O1137,B1129:B1137,B1138-1-d_T)*F1138</f>
        <v/>
      </c>
      <c r="L1138" s="40">
        <f>IF(B1138&gt;=in_marketplace_from,J1138*d_hz*G1138*in_eligible*H1138,0)</f>
        <v/>
      </c>
      <c r="M1138" s="40">
        <f>IF(B1138&gt;=in_marketplace_from,K1138*d_hz*G1138*in_eligible*in_approved_repeat,0)</f>
        <v/>
      </c>
      <c r="N1138" s="40">
        <f>L1138+M1138</f>
        <v/>
      </c>
      <c r="O1138" s="46">
        <f>N1138/F1138</f>
        <v/>
      </c>
      <c r="P1138" s="40">
        <f>F1138-J1138-K1138</f>
        <v/>
      </c>
      <c r="Q1138" s="40">
        <f>IF(B1138&gt;=in_marketplace_from,(J1138+K1138)*d_hz*G1138,0)</f>
        <v/>
      </c>
      <c r="R1138" s="40">
        <f>SUMIFS(N1129:N1165,B1129:B1165,"&gt;="&amp;(B1138-d_T),B1129:B1165,"&lt;="&amp;(B1138-1))</f>
        <v/>
      </c>
      <c r="S1138" s="46">
        <f>(1-d_u)*S1137+IF(d_T&gt;in_topup_lag,SUMIFS(O1129:O1165,B1129:B1165,B1138-in_topup_lag)-d_udrop*SUMIFS(O1129:O1165,B1129:B1165,B1138-d_T),0)</f>
        <v/>
      </c>
      <c r="T1138" s="40">
        <f>F1138*d_u*S1138</f>
        <v/>
      </c>
      <c r="U1138" s="9">
        <f>L1138*in_ticket+M1138*d_rep_ticket</f>
        <v/>
      </c>
      <c r="V1138" s="9">
        <f>U1138+T1138*d_topup_amt</f>
        <v/>
      </c>
      <c r="W1138" s="40">
        <f>N1138+T1138*d_topup_ratio</f>
        <v/>
      </c>
      <c r="X1138" s="40">
        <f>SUMIFS(W1129:W1165,B1129:B1165,B1138-in_dpd_lag)*d_cured</f>
        <v/>
      </c>
      <c r="Y1138" s="40">
        <f>SUMIFS(W1129:W1165,B1129:B1165,B1138-in_rec_lag)*d_recd</f>
        <v/>
      </c>
      <c r="Z1138" s="40">
        <f>IF(AND(B1138&gt;=in_marketplace_from,B1138&lt;in_marketplace_from+in_card_months),in_card_share/in_card_months*F1138*I1138,IF(AND(B1138&gt;=in_marketplace_from+in_card_months,B1138&lt;in_marketplace_from+2*in_card_months),in_card_share*d_card_rem/in_card_months*F1138*MIN(in_takeup_cap,(1+in_takeup_growth)^(D1138-1))*MIN(in_takeup_cap,(1+in_approval_growth)^(D1138-1)),0))</f>
        <v/>
      </c>
      <c r="AA1138" s="14">
        <f>V1138*in_fee*(1-in_taken_back)</f>
        <v/>
      </c>
      <c r="AB1138" s="14">
        <f>SUMIFS(W1129:W1165,B1129:B1165,B1138-in_dpd_lag)*d_dpd</f>
        <v/>
      </c>
      <c r="AC1138" s="14">
        <f>SUMIFS(W1129:W1165,B1129:B1165,B1138-in_rec_lag)*d_rec</f>
        <v/>
      </c>
      <c r="AD1138" s="14">
        <f>Z1138*in_card_fee</f>
        <v/>
      </c>
      <c r="AE1138" s="40">
        <f>AE1137*(1-IF(B1137&gt;=in_marketplace_from,d_hz_hlth_small*G1137,0))</f>
        <v/>
      </c>
      <c r="AF1138" s="46">
        <f>AE1138*IF(B1138&gt;=in_marketplace_from,d_hz_hlth_small*G1138,0)</f>
        <v/>
      </c>
      <c r="AG1138" s="14">
        <f>F1138*AF1138*in_hlth_small_ticket*in_hlth_small_comm*in_ins_partner_share+F1138*in_hlth_small_ticket*in_hlth_small_renew_comm*in_ins_partner_share*(in_hlth_small_renew^1*SUMIFS(AF1129:AF1165,B1129:B1165,B1138-12)+in_hlth_small_renew^2*SUMIFS(AF1129:AF1165,B1129:B1165,B1138-24)+in_hlth_small_renew^3*SUMIFS(AF1129:AF1165,B1129:B1165,B1138-36)+in_hlth_small_renew^4*SUMIFS(AF1129:AF1165,B1129:B1165,B1138-48))</f>
        <v/>
      </c>
      <c r="AH1138" s="40">
        <f>AH1137*(1-IF(B1137&gt;=in_marketplace_from,d_hz_hlth_family*G1137,0))</f>
        <v/>
      </c>
      <c r="AI1138" s="46">
        <f>AH1138*IF(B1138&gt;=in_marketplace_from,d_hz_hlth_family*G1138,0)</f>
        <v/>
      </c>
      <c r="AJ1138" s="14">
        <f>F1138*AI1138*in_hlth_family_ticket*in_hlth_family_comm*in_ins_partner_share+F1138*in_hlth_family_ticket*in_hlth_family_renew_comm*in_ins_partner_share*(in_hlth_family_renew^1*SUMIFS(AI1129:AI1165,B1129:B1165,B1138-12)+in_hlth_family_renew^2*SUMIFS(AI1129:AI1165,B1129:B1165,B1138-24)+in_hlth_family_renew^3*SUMIFS(AI1129:AI1165,B1129:B1165,B1138-36)+in_hlth_family_renew^4*SUMIFS(AI1129:AI1165,B1129:B1165,B1138-48))</f>
        <v/>
      </c>
      <c r="AK1138" s="40">
        <f>AK1137*(1-IF(B1137&gt;=in_marketplace_from,d_hz_life_term*G1137,0))</f>
        <v/>
      </c>
      <c r="AL1138" s="46">
        <f>AK1138*IF(B1138&gt;=in_marketplace_from,d_hz_life_term*G1138,0)</f>
        <v/>
      </c>
      <c r="AM1138" s="14">
        <f>F1138*AL1138*in_life_term_ticket*in_life_term_comm*in_ins_partner_share+F1138*in_life_term_ticket*in_life_term_renew_comm*in_ins_partner_share*(in_life_term_renew^1*SUMIFS(AL1129:AL1165,B1129:B1165,B1138-12)+in_life_term_renew^2*SUMIFS(AL1129:AL1165,B1129:B1165,B1138-24)+in_life_term_renew^3*SUMIFS(AL1129:AL1165,B1129:B1165,B1138-36)+in_life_term_renew^4*SUMIFS(AL1129:AL1165,B1129:B1165,B1138-48))</f>
        <v/>
      </c>
      <c r="AN1138" s="40">
        <f>AN1137*(1-IF(B1137&gt;=in_marketplace_from,d_hz_accident*G1137,0))</f>
        <v/>
      </c>
      <c r="AO1138" s="46">
        <f>AN1138*IF(B1138&gt;=in_marketplace_from,d_hz_accident*G1138,0)</f>
        <v/>
      </c>
      <c r="AP1138" s="14">
        <f>F1138*AO1138*in_accident_ticket*in_accident_comm*in_ins_partner_share+F1138*in_accident_ticket*in_accident_renew_comm*in_ins_partner_share*(in_accident_renew^1*SUMIFS(AO1129:AO1165,B1129:B1165,B1138-12)+in_accident_renew^2*SUMIFS(AO1129:AO1165,B1129:B1165,B1138-24)+in_accident_renew^3*SUMIFS(AO1129:AO1165,B1129:B1165,B1138-36)+in_accident_renew^4*SUMIFS(AO1129:AO1165,B1129:B1165,B1138-48))</f>
        <v/>
      </c>
      <c r="AQ1138" s="40">
        <f>AQ1137*(1-IF(B1137&gt;=in_marketplace_from,d_hz_two_wheeler*G1137,0))</f>
        <v/>
      </c>
      <c r="AR1138" s="46">
        <f>AQ1138*IF(B1138&gt;=in_marketplace_from,d_hz_two_wheeler*G1138,0)</f>
        <v/>
      </c>
      <c r="AS1138" s="14">
        <f>F1138*AR1138*in_two_wheeler_ticket*in_two_wheeler_comm*in_ins_partner_share+F1138*in_two_wheeler_ticket*in_two_wheeler_comm*in_ins_partner_share*(in_two_wheeler_renew^1*SUMIFS(AR1129:AR1165,B1129:B1165,B1138-12)+in_two_wheeler_renew^2*SUMIFS(AR1129:AR1165,B1129:B1165,B1138-24)+in_two_wheeler_renew^3*SUMIFS(AR1129:AR1165,B1129:B1165,B1138-36)+in_two_wheeler_renew^4*SUMIFS(AR1129:AR1165,B1129:B1165,B1138-48))</f>
        <v/>
      </c>
      <c r="AT1138" s="40">
        <f>AT1137*(1-IF(B1137&gt;=in_marketplace_from,d_hz_device*G1137,0))</f>
        <v/>
      </c>
      <c r="AU1138" s="14">
        <f>F1138*AT1138*IF(B1138&gt;=in_marketplace_from,d_hz_device*G1138,0)*in_device_ticket*in_device_comm*in_ins_partner_share</f>
        <v/>
      </c>
      <c r="AV1138" s="40">
        <f>AV1137*(1-IF(B1137&gt;=in_marketplace_from,d_hz_shop*G1137,0))</f>
        <v/>
      </c>
      <c r="AW1138" s="46">
        <f>AV1138*IF(B1138&gt;=in_marketplace_from,d_hz_shop*G1138,0)</f>
        <v/>
      </c>
      <c r="AX1138" s="14">
        <f>F1138*AW1138*in_shop_ticket*in_shop_comm*in_ins_partner_share+F1138*in_shop_ticket*in_shop_renew_comm*in_ins_partner_share*(in_shop_renew^1*SUMIFS(AW1129:AW1165,B1129:B1165,B1138-12)+in_shop_renew^2*SUMIFS(AW1129:AW1165,B1129:B1165,B1138-24)+in_shop_renew^3*SUMIFS(AW1129:AW1165,B1129:B1165,B1138-36)+in_shop_renew^4*SUMIFS(AW1129:AW1165,B1129:B1165,B1138-48))</f>
        <v/>
      </c>
      <c r="AY1138" s="40">
        <f>AY1137*(1-IF(B1137&gt;=in_marketplace_from,d_hz_sip*G1137,0))</f>
        <v/>
      </c>
      <c r="AZ1138" s="40">
        <f>AZ1137*d_rho_sip+AY1138*IF(B1138&gt;=in_marketplace_from,d_hz_sip*G1138,0)</f>
        <v/>
      </c>
      <c r="BA1138" s="40">
        <f>d_rho_sip*(BA1137+AZ1137)</f>
        <v/>
      </c>
      <c r="BB1138" s="14">
        <f>F1138*in_sip_ticket*(BA1138+0.5*AZ1138)*in_sip_comm/12</f>
        <v/>
      </c>
      <c r="BC1138" s="40">
        <f>BC1137*(1-IF(B1137&gt;=in_marketplace_from,d_hz_choti*G1137,0))</f>
        <v/>
      </c>
      <c r="BD1138" s="46">
        <f>BC1138*IF(B1138&gt;=in_marketplace_from,d_hz_choti*G1138,0)</f>
        <v/>
      </c>
      <c r="BE1138" s="14">
        <f>F1138*SUMIFS(BD1129:BD1165,B1129:B1165,B1138-in_choti_months)*in_choti_renew*in_choti_ticket</f>
        <v/>
      </c>
      <c r="BF1138" s="40">
        <f>BF1137*(1-IF(B1137&gt;=in_marketplace_from,d_hz_nps*G1137,0))</f>
        <v/>
      </c>
      <c r="BG1138" s="14">
        <f>F1138*BF1138*IF(B1138&gt;=in_marketplace_from,d_hz_nps*G1138,0)*in_nps_ticket*in_nps_comm</f>
        <v/>
      </c>
      <c r="BH1138" s="40">
        <f>BH1137*(1-IF(B1137&gt;=in_marketplace_from,d_hz_gold*G1137,0))</f>
        <v/>
      </c>
      <c r="BI1138" s="40">
        <f>BI1137*d_rho_gold+BH1138*IF(B1138&gt;=in_marketplace_from,d_hz_gold*G1138,0)</f>
        <v/>
      </c>
      <c r="BJ1138" s="14">
        <f>F1138*BI1138*in_gold_ticket*in_gold_comm</f>
        <v/>
      </c>
      <c r="BK1138" s="40">
        <f>BK1137*(1-IF(B1137&gt;=in_marketplace_from,d_hz_fd*G1137,0))</f>
        <v/>
      </c>
      <c r="BL1138" s="14">
        <f>F1138*BK1138*IF(B1138&gt;=in_marketplace_from,d_hz_fd*G1138,0)*in_fd_ticket*in_fd_comm</f>
        <v/>
      </c>
      <c r="BM1138" s="40">
        <f>BM1137*(1-IF(B1137&gt;=in_marketplace_from,d_hz_recharge*G1137,0))</f>
        <v/>
      </c>
      <c r="BN1138" s="40">
        <f>BN1137*d_rho_recharge+BM1138*IF(B1138&gt;=in_marketplace_from,d_hz_recharge*G1138,0)</f>
        <v/>
      </c>
      <c r="BO1138" s="14">
        <f>F1138*BN1138*in_recharge_ticket*in_recharge_comm/12</f>
        <v/>
      </c>
      <c r="BP1138" s="40">
        <f>BP1137*(1-IF(B1137&gt;=in_marketplace_from,d_hz_bills*G1137,0))</f>
        <v/>
      </c>
      <c r="BQ1138" s="40">
        <f>BQ1137*d_rho_bills+BP1138*IF(B1138&gt;=in_marketplace_from,d_hz_bills*G1138,0)</f>
        <v/>
      </c>
      <c r="BR1138" s="14">
        <f>F1138*BQ1138*in_bills_ticket*in_bills_comm/12</f>
        <v/>
      </c>
      <c r="BS1138" s="40">
        <f>BS1137*(1-IF(B1137&gt;=in_marketplace_from,d_hz_loan_gold*G1137,0))</f>
        <v/>
      </c>
      <c r="BT1138" s="14">
        <f>F1138*BS1138*IF(B1138&gt;=in_marketplace_from,d_hz_loan_gold*G1138,0)*in_loan_gold_ticket*in_loan_gold_comm</f>
        <v/>
      </c>
      <c r="BU1138" s="40">
        <f>BU1137*(1-IF(B1137&gt;=in_marketplace_from,d_hz_loan_cd*G1137,0))</f>
        <v/>
      </c>
      <c r="BV1138" s="14">
        <f>F1138*BU1138*IF(B1138&gt;=in_marketplace_from,d_hz_loan_cd*G1138,0)*in_loan_cd_ticket*in_loan_cd_comm</f>
        <v/>
      </c>
      <c r="BW1138" s="40">
        <f>BW1137*(1-IF(B1137&gt;=in_marketplace_from,d_hz_loan_vehicle*G1137,0))</f>
        <v/>
      </c>
      <c r="BX1138" s="14">
        <f>F1138*BW1138*IF(B1138&gt;=in_marketplace_from,d_hz_loan_vehicle*G1138,0)*in_loan_vehicle_ticket*in_loan_vehicle_comm</f>
        <v/>
      </c>
      <c r="BY1138" s="40">
        <f>BY1137*(1-IF(B1137&gt;=in_marketplace_from,d_hz_loan_home*G1137,0)*BZ1137)</f>
        <v/>
      </c>
      <c r="BZ1138" s="11">
        <f>MIN(in_approval_cap,in_loan_home_approval*INDEX('Age profile'!$O$2:$O$61,B1138)*(1+in_approval_growth)^(D1138-1))</f>
        <v/>
      </c>
      <c r="CA1138" s="14">
        <f>F1138*BY1138*IF(B1138&gt;=in_marketplace_from,d_hz_loan_home*G1138,0)*BZ1138*in_loan_home_ticket*in_loan_home_comm</f>
        <v/>
      </c>
      <c r="CB1138" s="40">
        <f>CB1137*(1-IF(B1137&gt;=in_marketplace_from,d_hz_loan_lap*G1137,0)*CC1137)</f>
        <v/>
      </c>
      <c r="CC1138" s="11">
        <f>MIN(in_approval_cap,in_loan_lap_approval*INDEX('Age profile'!$O$2:$O$61,B1138)*(1+in_approval_growth)^(D1138-1))</f>
        <v/>
      </c>
      <c r="CD1138" s="14">
        <f>F1138*CB1138*IF(B1138&gt;=in_marketplace_from,d_hz_loan_lap*G1138,0)*CC1138*in_loan_lap_ticket*in_loan_lap_comm</f>
        <v/>
      </c>
      <c r="CE1138" s="14">
        <f>AA1138+AB1138+AC1138+AD1138+AG1138+AJ1138+AM1138+AP1138+AS1138+AU1138+AX1138+BB1138+BE1138+BG1138+BJ1138+BL1138+BO1138+BR1138+BT1138+BV1138+BX1138+CA1138+CD1138</f>
        <v/>
      </c>
    </row>
    <row r="1139">
      <c r="A1139" s="39" t="n">
        <v>24</v>
      </c>
      <c r="B1139" s="39" t="n">
        <v>11</v>
      </c>
      <c r="C1139" s="39">
        <f>A1139+B1139-1</f>
        <v/>
      </c>
      <c r="D1139" s="39">
        <f>INT((C1139-1)/12)+1</f>
        <v/>
      </c>
      <c r="E1139" s="44">
        <f>INDEX(Monthly!$B$2:$B$61,A1139)</f>
        <v/>
      </c>
      <c r="F1139" s="44">
        <f>E1139*INDEX('Age profile'!$B$2:$B$61,B1139)</f>
        <v/>
      </c>
      <c r="G1139" s="45">
        <f>MIN(in_takeup_cap,INDEX('Age profile'!$N$2:$N$61,B1139)*(1+in_takeup_growth)^(D1139-1))</f>
        <v/>
      </c>
      <c r="H1139" s="11">
        <f>MIN(in_approval_cap,in_approved_first*INDEX('Age profile'!$O$2:$O$61,B1139)*(1+in_approval_growth)^(D1139-1))</f>
        <v/>
      </c>
      <c r="I1139" s="45">
        <f>G1139*MIN(in_takeup_cap,INDEX('Age profile'!$O$2:$O$61,B1139)*(1+in_approval_growth)^(D1139-1))</f>
        <v/>
      </c>
      <c r="J1139" s="40">
        <f>(J1138-L1138)*F1139/F1138</f>
        <v/>
      </c>
      <c r="K1139" s="40">
        <f>(K1138-M1138)*F1139/F1138+SUMIFS(O1129:O1138,B1129:B1138,B1139-1-d_T)*F1139</f>
        <v/>
      </c>
      <c r="L1139" s="40">
        <f>IF(B1139&gt;=in_marketplace_from,J1139*d_hz*G1139*in_eligible*H1139,0)</f>
        <v/>
      </c>
      <c r="M1139" s="40">
        <f>IF(B1139&gt;=in_marketplace_from,K1139*d_hz*G1139*in_eligible*in_approved_repeat,0)</f>
        <v/>
      </c>
      <c r="N1139" s="40">
        <f>L1139+M1139</f>
        <v/>
      </c>
      <c r="O1139" s="46">
        <f>N1139/F1139</f>
        <v/>
      </c>
      <c r="P1139" s="40">
        <f>F1139-J1139-K1139</f>
        <v/>
      </c>
      <c r="Q1139" s="40">
        <f>IF(B1139&gt;=in_marketplace_from,(J1139+K1139)*d_hz*G1139,0)</f>
        <v/>
      </c>
      <c r="R1139" s="40">
        <f>SUMIFS(N1129:N1165,B1129:B1165,"&gt;="&amp;(B1139-d_T),B1129:B1165,"&lt;="&amp;(B1139-1))</f>
        <v/>
      </c>
      <c r="S1139" s="46">
        <f>(1-d_u)*S1138+IF(d_T&gt;in_topup_lag,SUMIFS(O1129:O1165,B1129:B1165,B1139-in_topup_lag)-d_udrop*SUMIFS(O1129:O1165,B1129:B1165,B1139-d_T),0)</f>
        <v/>
      </c>
      <c r="T1139" s="40">
        <f>F1139*d_u*S1139</f>
        <v/>
      </c>
      <c r="U1139" s="9">
        <f>L1139*in_ticket+M1139*d_rep_ticket</f>
        <v/>
      </c>
      <c r="V1139" s="9">
        <f>U1139+T1139*d_topup_amt</f>
        <v/>
      </c>
      <c r="W1139" s="40">
        <f>N1139+T1139*d_topup_ratio</f>
        <v/>
      </c>
      <c r="X1139" s="40">
        <f>SUMIFS(W1129:W1165,B1129:B1165,B1139-in_dpd_lag)*d_cured</f>
        <v/>
      </c>
      <c r="Y1139" s="40">
        <f>SUMIFS(W1129:W1165,B1129:B1165,B1139-in_rec_lag)*d_recd</f>
        <v/>
      </c>
      <c r="Z1139" s="40">
        <f>IF(AND(B1139&gt;=in_marketplace_from,B1139&lt;in_marketplace_from+in_card_months),in_card_share/in_card_months*F1139*I1139,IF(AND(B1139&gt;=in_marketplace_from+in_card_months,B1139&lt;in_marketplace_from+2*in_card_months),in_card_share*d_card_rem/in_card_months*F1139*MIN(in_takeup_cap,(1+in_takeup_growth)^(D1139-1))*MIN(in_takeup_cap,(1+in_approval_growth)^(D1139-1)),0))</f>
        <v/>
      </c>
      <c r="AA1139" s="14">
        <f>V1139*in_fee*(1-in_taken_back)</f>
        <v/>
      </c>
      <c r="AB1139" s="14">
        <f>SUMIFS(W1129:W1165,B1129:B1165,B1139-in_dpd_lag)*d_dpd</f>
        <v/>
      </c>
      <c r="AC1139" s="14">
        <f>SUMIFS(W1129:W1165,B1129:B1165,B1139-in_rec_lag)*d_rec</f>
        <v/>
      </c>
      <c r="AD1139" s="14">
        <f>Z1139*in_card_fee</f>
        <v/>
      </c>
      <c r="AE1139" s="40">
        <f>AE1138*(1-IF(B1138&gt;=in_marketplace_from,d_hz_hlth_small*G1138,0))</f>
        <v/>
      </c>
      <c r="AF1139" s="46">
        <f>AE1139*IF(B1139&gt;=in_marketplace_from,d_hz_hlth_small*G1139,0)</f>
        <v/>
      </c>
      <c r="AG1139" s="14">
        <f>F1139*AF1139*in_hlth_small_ticket*in_hlth_small_comm*in_ins_partner_share+F1139*in_hlth_small_ticket*in_hlth_small_renew_comm*in_ins_partner_share*(in_hlth_small_renew^1*SUMIFS(AF1129:AF1165,B1129:B1165,B1139-12)+in_hlth_small_renew^2*SUMIFS(AF1129:AF1165,B1129:B1165,B1139-24)+in_hlth_small_renew^3*SUMIFS(AF1129:AF1165,B1129:B1165,B1139-36)+in_hlth_small_renew^4*SUMIFS(AF1129:AF1165,B1129:B1165,B1139-48))</f>
        <v/>
      </c>
      <c r="AH1139" s="40">
        <f>AH1138*(1-IF(B1138&gt;=in_marketplace_from,d_hz_hlth_family*G1138,0))</f>
        <v/>
      </c>
      <c r="AI1139" s="46">
        <f>AH1139*IF(B1139&gt;=in_marketplace_from,d_hz_hlth_family*G1139,0)</f>
        <v/>
      </c>
      <c r="AJ1139" s="14">
        <f>F1139*AI1139*in_hlth_family_ticket*in_hlth_family_comm*in_ins_partner_share+F1139*in_hlth_family_ticket*in_hlth_family_renew_comm*in_ins_partner_share*(in_hlth_family_renew^1*SUMIFS(AI1129:AI1165,B1129:B1165,B1139-12)+in_hlth_family_renew^2*SUMIFS(AI1129:AI1165,B1129:B1165,B1139-24)+in_hlth_family_renew^3*SUMIFS(AI1129:AI1165,B1129:B1165,B1139-36)+in_hlth_family_renew^4*SUMIFS(AI1129:AI1165,B1129:B1165,B1139-48))</f>
        <v/>
      </c>
      <c r="AK1139" s="40">
        <f>AK1138*(1-IF(B1138&gt;=in_marketplace_from,d_hz_life_term*G1138,0))</f>
        <v/>
      </c>
      <c r="AL1139" s="46">
        <f>AK1139*IF(B1139&gt;=in_marketplace_from,d_hz_life_term*G1139,0)</f>
        <v/>
      </c>
      <c r="AM1139" s="14">
        <f>F1139*AL1139*in_life_term_ticket*in_life_term_comm*in_ins_partner_share+F1139*in_life_term_ticket*in_life_term_renew_comm*in_ins_partner_share*(in_life_term_renew^1*SUMIFS(AL1129:AL1165,B1129:B1165,B1139-12)+in_life_term_renew^2*SUMIFS(AL1129:AL1165,B1129:B1165,B1139-24)+in_life_term_renew^3*SUMIFS(AL1129:AL1165,B1129:B1165,B1139-36)+in_life_term_renew^4*SUMIFS(AL1129:AL1165,B1129:B1165,B1139-48))</f>
        <v/>
      </c>
      <c r="AN1139" s="40">
        <f>AN1138*(1-IF(B1138&gt;=in_marketplace_from,d_hz_accident*G1138,0))</f>
        <v/>
      </c>
      <c r="AO1139" s="46">
        <f>AN1139*IF(B1139&gt;=in_marketplace_from,d_hz_accident*G1139,0)</f>
        <v/>
      </c>
      <c r="AP1139" s="14">
        <f>F1139*AO1139*in_accident_ticket*in_accident_comm*in_ins_partner_share+F1139*in_accident_ticket*in_accident_renew_comm*in_ins_partner_share*(in_accident_renew^1*SUMIFS(AO1129:AO1165,B1129:B1165,B1139-12)+in_accident_renew^2*SUMIFS(AO1129:AO1165,B1129:B1165,B1139-24)+in_accident_renew^3*SUMIFS(AO1129:AO1165,B1129:B1165,B1139-36)+in_accident_renew^4*SUMIFS(AO1129:AO1165,B1129:B1165,B1139-48))</f>
        <v/>
      </c>
      <c r="AQ1139" s="40">
        <f>AQ1138*(1-IF(B1138&gt;=in_marketplace_from,d_hz_two_wheeler*G1138,0))</f>
        <v/>
      </c>
      <c r="AR1139" s="46">
        <f>AQ1139*IF(B1139&gt;=in_marketplace_from,d_hz_two_wheeler*G1139,0)</f>
        <v/>
      </c>
      <c r="AS1139" s="14">
        <f>F1139*AR1139*in_two_wheeler_ticket*in_two_wheeler_comm*in_ins_partner_share+F1139*in_two_wheeler_ticket*in_two_wheeler_comm*in_ins_partner_share*(in_two_wheeler_renew^1*SUMIFS(AR1129:AR1165,B1129:B1165,B1139-12)+in_two_wheeler_renew^2*SUMIFS(AR1129:AR1165,B1129:B1165,B1139-24)+in_two_wheeler_renew^3*SUMIFS(AR1129:AR1165,B1129:B1165,B1139-36)+in_two_wheeler_renew^4*SUMIFS(AR1129:AR1165,B1129:B1165,B1139-48))</f>
        <v/>
      </c>
      <c r="AT1139" s="40">
        <f>AT1138*(1-IF(B1138&gt;=in_marketplace_from,d_hz_device*G1138,0))</f>
        <v/>
      </c>
      <c r="AU1139" s="14">
        <f>F1139*AT1139*IF(B1139&gt;=in_marketplace_from,d_hz_device*G1139,0)*in_device_ticket*in_device_comm*in_ins_partner_share</f>
        <v/>
      </c>
      <c r="AV1139" s="40">
        <f>AV1138*(1-IF(B1138&gt;=in_marketplace_from,d_hz_shop*G1138,0))</f>
        <v/>
      </c>
      <c r="AW1139" s="46">
        <f>AV1139*IF(B1139&gt;=in_marketplace_from,d_hz_shop*G1139,0)</f>
        <v/>
      </c>
      <c r="AX1139" s="14">
        <f>F1139*AW1139*in_shop_ticket*in_shop_comm*in_ins_partner_share+F1139*in_shop_ticket*in_shop_renew_comm*in_ins_partner_share*(in_shop_renew^1*SUMIFS(AW1129:AW1165,B1129:B1165,B1139-12)+in_shop_renew^2*SUMIFS(AW1129:AW1165,B1129:B1165,B1139-24)+in_shop_renew^3*SUMIFS(AW1129:AW1165,B1129:B1165,B1139-36)+in_shop_renew^4*SUMIFS(AW1129:AW1165,B1129:B1165,B1139-48))</f>
        <v/>
      </c>
      <c r="AY1139" s="40">
        <f>AY1138*(1-IF(B1138&gt;=in_marketplace_from,d_hz_sip*G1138,0))</f>
        <v/>
      </c>
      <c r="AZ1139" s="40">
        <f>AZ1138*d_rho_sip+AY1139*IF(B1139&gt;=in_marketplace_from,d_hz_sip*G1139,0)</f>
        <v/>
      </c>
      <c r="BA1139" s="40">
        <f>d_rho_sip*(BA1138+AZ1138)</f>
        <v/>
      </c>
      <c r="BB1139" s="14">
        <f>F1139*in_sip_ticket*(BA1139+0.5*AZ1139)*in_sip_comm/12</f>
        <v/>
      </c>
      <c r="BC1139" s="40">
        <f>BC1138*(1-IF(B1138&gt;=in_marketplace_from,d_hz_choti*G1138,0))</f>
        <v/>
      </c>
      <c r="BD1139" s="46">
        <f>BC1139*IF(B1139&gt;=in_marketplace_from,d_hz_choti*G1139,0)</f>
        <v/>
      </c>
      <c r="BE1139" s="14">
        <f>F1139*SUMIFS(BD1129:BD1165,B1129:B1165,B1139-in_choti_months)*in_choti_renew*in_choti_ticket</f>
        <v/>
      </c>
      <c r="BF1139" s="40">
        <f>BF1138*(1-IF(B1138&gt;=in_marketplace_from,d_hz_nps*G1138,0))</f>
        <v/>
      </c>
      <c r="BG1139" s="14">
        <f>F1139*BF1139*IF(B1139&gt;=in_marketplace_from,d_hz_nps*G1139,0)*in_nps_ticket*in_nps_comm</f>
        <v/>
      </c>
      <c r="BH1139" s="40">
        <f>BH1138*(1-IF(B1138&gt;=in_marketplace_from,d_hz_gold*G1138,0))</f>
        <v/>
      </c>
      <c r="BI1139" s="40">
        <f>BI1138*d_rho_gold+BH1139*IF(B1139&gt;=in_marketplace_from,d_hz_gold*G1139,0)</f>
        <v/>
      </c>
      <c r="BJ1139" s="14">
        <f>F1139*BI1139*in_gold_ticket*in_gold_comm</f>
        <v/>
      </c>
      <c r="BK1139" s="40">
        <f>BK1138*(1-IF(B1138&gt;=in_marketplace_from,d_hz_fd*G1138,0))</f>
        <v/>
      </c>
      <c r="BL1139" s="14">
        <f>F1139*BK1139*IF(B1139&gt;=in_marketplace_from,d_hz_fd*G1139,0)*in_fd_ticket*in_fd_comm</f>
        <v/>
      </c>
      <c r="BM1139" s="40">
        <f>BM1138*(1-IF(B1138&gt;=in_marketplace_from,d_hz_recharge*G1138,0))</f>
        <v/>
      </c>
      <c r="BN1139" s="40">
        <f>BN1138*d_rho_recharge+BM1139*IF(B1139&gt;=in_marketplace_from,d_hz_recharge*G1139,0)</f>
        <v/>
      </c>
      <c r="BO1139" s="14">
        <f>F1139*BN1139*in_recharge_ticket*in_recharge_comm/12</f>
        <v/>
      </c>
      <c r="BP1139" s="40">
        <f>BP1138*(1-IF(B1138&gt;=in_marketplace_from,d_hz_bills*G1138,0))</f>
        <v/>
      </c>
      <c r="BQ1139" s="40">
        <f>BQ1138*d_rho_bills+BP1139*IF(B1139&gt;=in_marketplace_from,d_hz_bills*G1139,0)</f>
        <v/>
      </c>
      <c r="BR1139" s="14">
        <f>F1139*BQ1139*in_bills_ticket*in_bills_comm/12</f>
        <v/>
      </c>
      <c r="BS1139" s="40">
        <f>BS1138*(1-IF(B1138&gt;=in_marketplace_from,d_hz_loan_gold*G1138,0))</f>
        <v/>
      </c>
      <c r="BT1139" s="14">
        <f>F1139*BS1139*IF(B1139&gt;=in_marketplace_from,d_hz_loan_gold*G1139,0)*in_loan_gold_ticket*in_loan_gold_comm</f>
        <v/>
      </c>
      <c r="BU1139" s="40">
        <f>BU1138*(1-IF(B1138&gt;=in_marketplace_from,d_hz_loan_cd*G1138,0))</f>
        <v/>
      </c>
      <c r="BV1139" s="14">
        <f>F1139*BU1139*IF(B1139&gt;=in_marketplace_from,d_hz_loan_cd*G1139,0)*in_loan_cd_ticket*in_loan_cd_comm</f>
        <v/>
      </c>
      <c r="BW1139" s="40">
        <f>BW1138*(1-IF(B1138&gt;=in_marketplace_from,d_hz_loan_vehicle*G1138,0))</f>
        <v/>
      </c>
      <c r="BX1139" s="14">
        <f>F1139*BW1139*IF(B1139&gt;=in_marketplace_from,d_hz_loan_vehicle*G1139,0)*in_loan_vehicle_ticket*in_loan_vehicle_comm</f>
        <v/>
      </c>
      <c r="BY1139" s="40">
        <f>BY1138*(1-IF(B1138&gt;=in_marketplace_from,d_hz_loan_home*G1138,0)*BZ1138)</f>
        <v/>
      </c>
      <c r="BZ1139" s="11">
        <f>MIN(in_approval_cap,in_loan_home_approval*INDEX('Age profile'!$O$2:$O$61,B1139)*(1+in_approval_growth)^(D1139-1))</f>
        <v/>
      </c>
      <c r="CA1139" s="14">
        <f>F1139*BY1139*IF(B1139&gt;=in_marketplace_from,d_hz_loan_home*G1139,0)*BZ1139*in_loan_home_ticket*in_loan_home_comm</f>
        <v/>
      </c>
      <c r="CB1139" s="40">
        <f>CB1138*(1-IF(B1138&gt;=in_marketplace_from,d_hz_loan_lap*G1138,0)*CC1138)</f>
        <v/>
      </c>
      <c r="CC1139" s="11">
        <f>MIN(in_approval_cap,in_loan_lap_approval*INDEX('Age profile'!$O$2:$O$61,B1139)*(1+in_approval_growth)^(D1139-1))</f>
        <v/>
      </c>
      <c r="CD1139" s="14">
        <f>F1139*CB1139*IF(B1139&gt;=in_marketplace_from,d_hz_loan_lap*G1139,0)*CC1139*in_loan_lap_ticket*in_loan_lap_comm</f>
        <v/>
      </c>
      <c r="CE1139" s="14">
        <f>AA1139+AB1139+AC1139+AD1139+AG1139+AJ1139+AM1139+AP1139+AS1139+AU1139+AX1139+BB1139+BE1139+BG1139+BJ1139+BL1139+BO1139+BR1139+BT1139+BV1139+BX1139+CA1139+CD1139</f>
        <v/>
      </c>
    </row>
    <row r="1140">
      <c r="A1140" s="39" t="n">
        <v>24</v>
      </c>
      <c r="B1140" s="39" t="n">
        <v>12</v>
      </c>
      <c r="C1140" s="39">
        <f>A1140+B1140-1</f>
        <v/>
      </c>
      <c r="D1140" s="39">
        <f>INT((C1140-1)/12)+1</f>
        <v/>
      </c>
      <c r="E1140" s="44">
        <f>INDEX(Monthly!$B$2:$B$61,A1140)</f>
        <v/>
      </c>
      <c r="F1140" s="44">
        <f>E1140*INDEX('Age profile'!$B$2:$B$61,B1140)</f>
        <v/>
      </c>
      <c r="G1140" s="45">
        <f>MIN(in_takeup_cap,INDEX('Age profile'!$N$2:$N$61,B1140)*(1+in_takeup_growth)^(D1140-1))</f>
        <v/>
      </c>
      <c r="H1140" s="11">
        <f>MIN(in_approval_cap,in_approved_first*INDEX('Age profile'!$O$2:$O$61,B1140)*(1+in_approval_growth)^(D1140-1))</f>
        <v/>
      </c>
      <c r="I1140" s="45">
        <f>G1140*MIN(in_takeup_cap,INDEX('Age profile'!$O$2:$O$61,B1140)*(1+in_approval_growth)^(D1140-1))</f>
        <v/>
      </c>
      <c r="J1140" s="40">
        <f>(J1139-L1139)*F1140/F1139</f>
        <v/>
      </c>
      <c r="K1140" s="40">
        <f>(K1139-M1139)*F1140/F1139+SUMIFS(O1129:O1139,B1129:B1139,B1140-1-d_T)*F1140</f>
        <v/>
      </c>
      <c r="L1140" s="40">
        <f>IF(B1140&gt;=in_marketplace_from,J1140*d_hz*G1140*in_eligible*H1140,0)</f>
        <v/>
      </c>
      <c r="M1140" s="40">
        <f>IF(B1140&gt;=in_marketplace_from,K1140*d_hz*G1140*in_eligible*in_approved_repeat,0)</f>
        <v/>
      </c>
      <c r="N1140" s="40">
        <f>L1140+M1140</f>
        <v/>
      </c>
      <c r="O1140" s="46">
        <f>N1140/F1140</f>
        <v/>
      </c>
      <c r="P1140" s="40">
        <f>F1140-J1140-K1140</f>
        <v/>
      </c>
      <c r="Q1140" s="40">
        <f>IF(B1140&gt;=in_marketplace_from,(J1140+K1140)*d_hz*G1140,0)</f>
        <v/>
      </c>
      <c r="R1140" s="40">
        <f>SUMIFS(N1129:N1165,B1129:B1165,"&gt;="&amp;(B1140-d_T),B1129:B1165,"&lt;="&amp;(B1140-1))</f>
        <v/>
      </c>
      <c r="S1140" s="46">
        <f>(1-d_u)*S1139+IF(d_T&gt;in_topup_lag,SUMIFS(O1129:O1165,B1129:B1165,B1140-in_topup_lag)-d_udrop*SUMIFS(O1129:O1165,B1129:B1165,B1140-d_T),0)</f>
        <v/>
      </c>
      <c r="T1140" s="40">
        <f>F1140*d_u*S1140</f>
        <v/>
      </c>
      <c r="U1140" s="9">
        <f>L1140*in_ticket+M1140*d_rep_ticket</f>
        <v/>
      </c>
      <c r="V1140" s="9">
        <f>U1140+T1140*d_topup_amt</f>
        <v/>
      </c>
      <c r="W1140" s="40">
        <f>N1140+T1140*d_topup_ratio</f>
        <v/>
      </c>
      <c r="X1140" s="40">
        <f>SUMIFS(W1129:W1165,B1129:B1165,B1140-in_dpd_lag)*d_cured</f>
        <v/>
      </c>
      <c r="Y1140" s="40">
        <f>SUMIFS(W1129:W1165,B1129:B1165,B1140-in_rec_lag)*d_recd</f>
        <v/>
      </c>
      <c r="Z1140" s="40">
        <f>IF(AND(B1140&gt;=in_marketplace_from,B1140&lt;in_marketplace_from+in_card_months),in_card_share/in_card_months*F1140*I1140,IF(AND(B1140&gt;=in_marketplace_from+in_card_months,B1140&lt;in_marketplace_from+2*in_card_months),in_card_share*d_card_rem/in_card_months*F1140*MIN(in_takeup_cap,(1+in_takeup_growth)^(D1140-1))*MIN(in_takeup_cap,(1+in_approval_growth)^(D1140-1)),0))</f>
        <v/>
      </c>
      <c r="AA1140" s="14">
        <f>V1140*in_fee*(1-in_taken_back)</f>
        <v/>
      </c>
      <c r="AB1140" s="14">
        <f>SUMIFS(W1129:W1165,B1129:B1165,B1140-in_dpd_lag)*d_dpd</f>
        <v/>
      </c>
      <c r="AC1140" s="14">
        <f>SUMIFS(W1129:W1165,B1129:B1165,B1140-in_rec_lag)*d_rec</f>
        <v/>
      </c>
      <c r="AD1140" s="14">
        <f>Z1140*in_card_fee</f>
        <v/>
      </c>
      <c r="AE1140" s="40">
        <f>AE1139*(1-IF(B1139&gt;=in_marketplace_from,d_hz_hlth_small*G1139,0))</f>
        <v/>
      </c>
      <c r="AF1140" s="46">
        <f>AE1140*IF(B1140&gt;=in_marketplace_from,d_hz_hlth_small*G1140,0)</f>
        <v/>
      </c>
      <c r="AG1140" s="14">
        <f>F1140*AF1140*in_hlth_small_ticket*in_hlth_small_comm*in_ins_partner_share+F1140*in_hlth_small_ticket*in_hlth_small_renew_comm*in_ins_partner_share*(in_hlth_small_renew^1*SUMIFS(AF1129:AF1165,B1129:B1165,B1140-12)+in_hlth_small_renew^2*SUMIFS(AF1129:AF1165,B1129:B1165,B1140-24)+in_hlth_small_renew^3*SUMIFS(AF1129:AF1165,B1129:B1165,B1140-36)+in_hlth_small_renew^4*SUMIFS(AF1129:AF1165,B1129:B1165,B1140-48))</f>
        <v/>
      </c>
      <c r="AH1140" s="40">
        <f>AH1139*(1-IF(B1139&gt;=in_marketplace_from,d_hz_hlth_family*G1139,0))</f>
        <v/>
      </c>
      <c r="AI1140" s="46">
        <f>AH1140*IF(B1140&gt;=in_marketplace_from,d_hz_hlth_family*G1140,0)</f>
        <v/>
      </c>
      <c r="AJ1140" s="14">
        <f>F1140*AI1140*in_hlth_family_ticket*in_hlth_family_comm*in_ins_partner_share+F1140*in_hlth_family_ticket*in_hlth_family_renew_comm*in_ins_partner_share*(in_hlth_family_renew^1*SUMIFS(AI1129:AI1165,B1129:B1165,B1140-12)+in_hlth_family_renew^2*SUMIFS(AI1129:AI1165,B1129:B1165,B1140-24)+in_hlth_family_renew^3*SUMIFS(AI1129:AI1165,B1129:B1165,B1140-36)+in_hlth_family_renew^4*SUMIFS(AI1129:AI1165,B1129:B1165,B1140-48))</f>
        <v/>
      </c>
      <c r="AK1140" s="40">
        <f>AK1139*(1-IF(B1139&gt;=in_marketplace_from,d_hz_life_term*G1139,0))</f>
        <v/>
      </c>
      <c r="AL1140" s="46">
        <f>AK1140*IF(B1140&gt;=in_marketplace_from,d_hz_life_term*G1140,0)</f>
        <v/>
      </c>
      <c r="AM1140" s="14">
        <f>F1140*AL1140*in_life_term_ticket*in_life_term_comm*in_ins_partner_share+F1140*in_life_term_ticket*in_life_term_renew_comm*in_ins_partner_share*(in_life_term_renew^1*SUMIFS(AL1129:AL1165,B1129:B1165,B1140-12)+in_life_term_renew^2*SUMIFS(AL1129:AL1165,B1129:B1165,B1140-24)+in_life_term_renew^3*SUMIFS(AL1129:AL1165,B1129:B1165,B1140-36)+in_life_term_renew^4*SUMIFS(AL1129:AL1165,B1129:B1165,B1140-48))</f>
        <v/>
      </c>
      <c r="AN1140" s="40">
        <f>AN1139*(1-IF(B1139&gt;=in_marketplace_from,d_hz_accident*G1139,0))</f>
        <v/>
      </c>
      <c r="AO1140" s="46">
        <f>AN1140*IF(B1140&gt;=in_marketplace_from,d_hz_accident*G1140,0)</f>
        <v/>
      </c>
      <c r="AP1140" s="14">
        <f>F1140*AO1140*in_accident_ticket*in_accident_comm*in_ins_partner_share+F1140*in_accident_ticket*in_accident_renew_comm*in_ins_partner_share*(in_accident_renew^1*SUMIFS(AO1129:AO1165,B1129:B1165,B1140-12)+in_accident_renew^2*SUMIFS(AO1129:AO1165,B1129:B1165,B1140-24)+in_accident_renew^3*SUMIFS(AO1129:AO1165,B1129:B1165,B1140-36)+in_accident_renew^4*SUMIFS(AO1129:AO1165,B1129:B1165,B1140-48))</f>
        <v/>
      </c>
      <c r="AQ1140" s="40">
        <f>AQ1139*(1-IF(B1139&gt;=in_marketplace_from,d_hz_two_wheeler*G1139,0))</f>
        <v/>
      </c>
      <c r="AR1140" s="46">
        <f>AQ1140*IF(B1140&gt;=in_marketplace_from,d_hz_two_wheeler*G1140,0)</f>
        <v/>
      </c>
      <c r="AS1140" s="14">
        <f>F1140*AR1140*in_two_wheeler_ticket*in_two_wheeler_comm*in_ins_partner_share+F1140*in_two_wheeler_ticket*in_two_wheeler_comm*in_ins_partner_share*(in_two_wheeler_renew^1*SUMIFS(AR1129:AR1165,B1129:B1165,B1140-12)+in_two_wheeler_renew^2*SUMIFS(AR1129:AR1165,B1129:B1165,B1140-24)+in_two_wheeler_renew^3*SUMIFS(AR1129:AR1165,B1129:B1165,B1140-36)+in_two_wheeler_renew^4*SUMIFS(AR1129:AR1165,B1129:B1165,B1140-48))</f>
        <v/>
      </c>
      <c r="AT1140" s="40">
        <f>AT1139*(1-IF(B1139&gt;=in_marketplace_from,d_hz_device*G1139,0))</f>
        <v/>
      </c>
      <c r="AU1140" s="14">
        <f>F1140*AT1140*IF(B1140&gt;=in_marketplace_from,d_hz_device*G1140,0)*in_device_ticket*in_device_comm*in_ins_partner_share</f>
        <v/>
      </c>
      <c r="AV1140" s="40">
        <f>AV1139*(1-IF(B1139&gt;=in_marketplace_from,d_hz_shop*G1139,0))</f>
        <v/>
      </c>
      <c r="AW1140" s="46">
        <f>AV1140*IF(B1140&gt;=in_marketplace_from,d_hz_shop*G1140,0)</f>
        <v/>
      </c>
      <c r="AX1140" s="14">
        <f>F1140*AW1140*in_shop_ticket*in_shop_comm*in_ins_partner_share+F1140*in_shop_ticket*in_shop_renew_comm*in_ins_partner_share*(in_shop_renew^1*SUMIFS(AW1129:AW1165,B1129:B1165,B1140-12)+in_shop_renew^2*SUMIFS(AW1129:AW1165,B1129:B1165,B1140-24)+in_shop_renew^3*SUMIFS(AW1129:AW1165,B1129:B1165,B1140-36)+in_shop_renew^4*SUMIFS(AW1129:AW1165,B1129:B1165,B1140-48))</f>
        <v/>
      </c>
      <c r="AY1140" s="40">
        <f>AY1139*(1-IF(B1139&gt;=in_marketplace_from,d_hz_sip*G1139,0))</f>
        <v/>
      </c>
      <c r="AZ1140" s="40">
        <f>AZ1139*d_rho_sip+AY1140*IF(B1140&gt;=in_marketplace_from,d_hz_sip*G1140,0)</f>
        <v/>
      </c>
      <c r="BA1140" s="40">
        <f>d_rho_sip*(BA1139+AZ1139)</f>
        <v/>
      </c>
      <c r="BB1140" s="14">
        <f>F1140*in_sip_ticket*(BA1140+0.5*AZ1140)*in_sip_comm/12</f>
        <v/>
      </c>
      <c r="BC1140" s="40">
        <f>BC1139*(1-IF(B1139&gt;=in_marketplace_from,d_hz_choti*G1139,0))</f>
        <v/>
      </c>
      <c r="BD1140" s="46">
        <f>BC1140*IF(B1140&gt;=in_marketplace_from,d_hz_choti*G1140,0)</f>
        <v/>
      </c>
      <c r="BE1140" s="14">
        <f>F1140*SUMIFS(BD1129:BD1165,B1129:B1165,B1140-in_choti_months)*in_choti_renew*in_choti_ticket</f>
        <v/>
      </c>
      <c r="BF1140" s="40">
        <f>BF1139*(1-IF(B1139&gt;=in_marketplace_from,d_hz_nps*G1139,0))</f>
        <v/>
      </c>
      <c r="BG1140" s="14">
        <f>F1140*BF1140*IF(B1140&gt;=in_marketplace_from,d_hz_nps*G1140,0)*in_nps_ticket*in_nps_comm</f>
        <v/>
      </c>
      <c r="BH1140" s="40">
        <f>BH1139*(1-IF(B1139&gt;=in_marketplace_from,d_hz_gold*G1139,0))</f>
        <v/>
      </c>
      <c r="BI1140" s="40">
        <f>BI1139*d_rho_gold+BH1140*IF(B1140&gt;=in_marketplace_from,d_hz_gold*G1140,0)</f>
        <v/>
      </c>
      <c r="BJ1140" s="14">
        <f>F1140*BI1140*in_gold_ticket*in_gold_comm</f>
        <v/>
      </c>
      <c r="BK1140" s="40">
        <f>BK1139*(1-IF(B1139&gt;=in_marketplace_from,d_hz_fd*G1139,0))</f>
        <v/>
      </c>
      <c r="BL1140" s="14">
        <f>F1140*BK1140*IF(B1140&gt;=in_marketplace_from,d_hz_fd*G1140,0)*in_fd_ticket*in_fd_comm</f>
        <v/>
      </c>
      <c r="BM1140" s="40">
        <f>BM1139*(1-IF(B1139&gt;=in_marketplace_from,d_hz_recharge*G1139,0))</f>
        <v/>
      </c>
      <c r="BN1140" s="40">
        <f>BN1139*d_rho_recharge+BM1140*IF(B1140&gt;=in_marketplace_from,d_hz_recharge*G1140,0)</f>
        <v/>
      </c>
      <c r="BO1140" s="14">
        <f>F1140*BN1140*in_recharge_ticket*in_recharge_comm/12</f>
        <v/>
      </c>
      <c r="BP1140" s="40">
        <f>BP1139*(1-IF(B1139&gt;=in_marketplace_from,d_hz_bills*G1139,0))</f>
        <v/>
      </c>
      <c r="BQ1140" s="40">
        <f>BQ1139*d_rho_bills+BP1140*IF(B1140&gt;=in_marketplace_from,d_hz_bills*G1140,0)</f>
        <v/>
      </c>
      <c r="BR1140" s="14">
        <f>F1140*BQ1140*in_bills_ticket*in_bills_comm/12</f>
        <v/>
      </c>
      <c r="BS1140" s="40">
        <f>BS1139*(1-IF(B1139&gt;=in_marketplace_from,d_hz_loan_gold*G1139,0))</f>
        <v/>
      </c>
      <c r="BT1140" s="14">
        <f>F1140*BS1140*IF(B1140&gt;=in_marketplace_from,d_hz_loan_gold*G1140,0)*in_loan_gold_ticket*in_loan_gold_comm</f>
        <v/>
      </c>
      <c r="BU1140" s="40">
        <f>BU1139*(1-IF(B1139&gt;=in_marketplace_from,d_hz_loan_cd*G1139,0))</f>
        <v/>
      </c>
      <c r="BV1140" s="14">
        <f>F1140*BU1140*IF(B1140&gt;=in_marketplace_from,d_hz_loan_cd*G1140,0)*in_loan_cd_ticket*in_loan_cd_comm</f>
        <v/>
      </c>
      <c r="BW1140" s="40">
        <f>BW1139*(1-IF(B1139&gt;=in_marketplace_from,d_hz_loan_vehicle*G1139,0))</f>
        <v/>
      </c>
      <c r="BX1140" s="14">
        <f>F1140*BW1140*IF(B1140&gt;=in_marketplace_from,d_hz_loan_vehicle*G1140,0)*in_loan_vehicle_ticket*in_loan_vehicle_comm</f>
        <v/>
      </c>
      <c r="BY1140" s="40">
        <f>BY1139*(1-IF(B1139&gt;=in_marketplace_from,d_hz_loan_home*G1139,0)*BZ1139)</f>
        <v/>
      </c>
      <c r="BZ1140" s="11">
        <f>MIN(in_approval_cap,in_loan_home_approval*INDEX('Age profile'!$O$2:$O$61,B1140)*(1+in_approval_growth)^(D1140-1))</f>
        <v/>
      </c>
      <c r="CA1140" s="14">
        <f>F1140*BY1140*IF(B1140&gt;=in_marketplace_from,d_hz_loan_home*G1140,0)*BZ1140*in_loan_home_ticket*in_loan_home_comm</f>
        <v/>
      </c>
      <c r="CB1140" s="40">
        <f>CB1139*(1-IF(B1139&gt;=in_marketplace_from,d_hz_loan_lap*G1139,0)*CC1139)</f>
        <v/>
      </c>
      <c r="CC1140" s="11">
        <f>MIN(in_approval_cap,in_loan_lap_approval*INDEX('Age profile'!$O$2:$O$61,B1140)*(1+in_approval_growth)^(D1140-1))</f>
        <v/>
      </c>
      <c r="CD1140" s="14">
        <f>F1140*CB1140*IF(B1140&gt;=in_marketplace_from,d_hz_loan_lap*G1140,0)*CC1140*in_loan_lap_ticket*in_loan_lap_comm</f>
        <v/>
      </c>
      <c r="CE1140" s="14">
        <f>AA1140+AB1140+AC1140+AD1140+AG1140+AJ1140+AM1140+AP1140+AS1140+AU1140+AX1140+BB1140+BE1140+BG1140+BJ1140+BL1140+BO1140+BR1140+BT1140+BV1140+BX1140+CA1140+CD1140</f>
        <v/>
      </c>
    </row>
    <row r="1141">
      <c r="A1141" s="39" t="n">
        <v>24</v>
      </c>
      <c r="B1141" s="39" t="n">
        <v>13</v>
      </c>
      <c r="C1141" s="39">
        <f>A1141+B1141-1</f>
        <v/>
      </c>
      <c r="D1141" s="39">
        <f>INT((C1141-1)/12)+1</f>
        <v/>
      </c>
      <c r="E1141" s="44">
        <f>INDEX(Monthly!$B$2:$B$61,A1141)</f>
        <v/>
      </c>
      <c r="F1141" s="44">
        <f>E1141*INDEX('Age profile'!$B$2:$B$61,B1141)</f>
        <v/>
      </c>
      <c r="G1141" s="45">
        <f>MIN(in_takeup_cap,INDEX('Age profile'!$N$2:$N$61,B1141)*(1+in_takeup_growth)^(D1141-1))</f>
        <v/>
      </c>
      <c r="H1141" s="11">
        <f>MIN(in_approval_cap,in_approved_first*INDEX('Age profile'!$O$2:$O$61,B1141)*(1+in_approval_growth)^(D1141-1))</f>
        <v/>
      </c>
      <c r="I1141" s="45">
        <f>G1141*MIN(in_takeup_cap,INDEX('Age profile'!$O$2:$O$61,B1141)*(1+in_approval_growth)^(D1141-1))</f>
        <v/>
      </c>
      <c r="J1141" s="40">
        <f>(J1140-L1140)*F1141/F1140</f>
        <v/>
      </c>
      <c r="K1141" s="40">
        <f>(K1140-M1140)*F1141/F1140+SUMIFS(O1129:O1140,B1129:B1140,B1141-1-d_T)*F1141</f>
        <v/>
      </c>
      <c r="L1141" s="40">
        <f>IF(B1141&gt;=in_marketplace_from,J1141*d_hz*G1141*in_eligible*H1141,0)</f>
        <v/>
      </c>
      <c r="M1141" s="40">
        <f>IF(B1141&gt;=in_marketplace_from,K1141*d_hz*G1141*in_eligible*in_approved_repeat,0)</f>
        <v/>
      </c>
      <c r="N1141" s="40">
        <f>L1141+M1141</f>
        <v/>
      </c>
      <c r="O1141" s="46">
        <f>N1141/F1141</f>
        <v/>
      </c>
      <c r="P1141" s="40">
        <f>F1141-J1141-K1141</f>
        <v/>
      </c>
      <c r="Q1141" s="40">
        <f>IF(B1141&gt;=in_marketplace_from,(J1141+K1141)*d_hz*G1141,0)</f>
        <v/>
      </c>
      <c r="R1141" s="40">
        <f>SUMIFS(N1129:N1165,B1129:B1165,"&gt;="&amp;(B1141-d_T),B1129:B1165,"&lt;="&amp;(B1141-1))</f>
        <v/>
      </c>
      <c r="S1141" s="46">
        <f>(1-d_u)*S1140+IF(d_T&gt;in_topup_lag,SUMIFS(O1129:O1165,B1129:B1165,B1141-in_topup_lag)-d_udrop*SUMIFS(O1129:O1165,B1129:B1165,B1141-d_T),0)</f>
        <v/>
      </c>
      <c r="T1141" s="40">
        <f>F1141*d_u*S1141</f>
        <v/>
      </c>
      <c r="U1141" s="9">
        <f>L1141*in_ticket+M1141*d_rep_ticket</f>
        <v/>
      </c>
      <c r="V1141" s="9">
        <f>U1141+T1141*d_topup_amt</f>
        <v/>
      </c>
      <c r="W1141" s="40">
        <f>N1141+T1141*d_topup_ratio</f>
        <v/>
      </c>
      <c r="X1141" s="40">
        <f>SUMIFS(W1129:W1165,B1129:B1165,B1141-in_dpd_lag)*d_cured</f>
        <v/>
      </c>
      <c r="Y1141" s="40">
        <f>SUMIFS(W1129:W1165,B1129:B1165,B1141-in_rec_lag)*d_recd</f>
        <v/>
      </c>
      <c r="Z1141" s="40">
        <f>IF(AND(B1141&gt;=in_marketplace_from,B1141&lt;in_marketplace_from+in_card_months),in_card_share/in_card_months*F1141*I1141,IF(AND(B1141&gt;=in_marketplace_from+in_card_months,B1141&lt;in_marketplace_from+2*in_card_months),in_card_share*d_card_rem/in_card_months*F1141*MIN(in_takeup_cap,(1+in_takeup_growth)^(D1141-1))*MIN(in_takeup_cap,(1+in_approval_growth)^(D1141-1)),0))</f>
        <v/>
      </c>
      <c r="AA1141" s="14">
        <f>V1141*in_fee*(1-in_taken_back)</f>
        <v/>
      </c>
      <c r="AB1141" s="14">
        <f>SUMIFS(W1129:W1165,B1129:B1165,B1141-in_dpd_lag)*d_dpd</f>
        <v/>
      </c>
      <c r="AC1141" s="14">
        <f>SUMIFS(W1129:W1165,B1129:B1165,B1141-in_rec_lag)*d_rec</f>
        <v/>
      </c>
      <c r="AD1141" s="14">
        <f>Z1141*in_card_fee</f>
        <v/>
      </c>
      <c r="AE1141" s="40">
        <f>AE1140*(1-IF(B1140&gt;=in_marketplace_from,d_hz_hlth_small*G1140,0))</f>
        <v/>
      </c>
      <c r="AF1141" s="46">
        <f>AE1141*IF(B1141&gt;=in_marketplace_from,d_hz_hlth_small*G1141,0)</f>
        <v/>
      </c>
      <c r="AG1141" s="14">
        <f>F1141*AF1141*in_hlth_small_ticket*in_hlth_small_comm*in_ins_partner_share+F1141*in_hlth_small_ticket*in_hlth_small_renew_comm*in_ins_partner_share*(in_hlth_small_renew^1*SUMIFS(AF1129:AF1165,B1129:B1165,B1141-12)+in_hlth_small_renew^2*SUMIFS(AF1129:AF1165,B1129:B1165,B1141-24)+in_hlth_small_renew^3*SUMIFS(AF1129:AF1165,B1129:B1165,B1141-36)+in_hlth_small_renew^4*SUMIFS(AF1129:AF1165,B1129:B1165,B1141-48))</f>
        <v/>
      </c>
      <c r="AH1141" s="40">
        <f>AH1140*(1-IF(B1140&gt;=in_marketplace_from,d_hz_hlth_family*G1140,0))</f>
        <v/>
      </c>
      <c r="AI1141" s="46">
        <f>AH1141*IF(B1141&gt;=in_marketplace_from,d_hz_hlth_family*G1141,0)</f>
        <v/>
      </c>
      <c r="AJ1141" s="14">
        <f>F1141*AI1141*in_hlth_family_ticket*in_hlth_family_comm*in_ins_partner_share+F1141*in_hlth_family_ticket*in_hlth_family_renew_comm*in_ins_partner_share*(in_hlth_family_renew^1*SUMIFS(AI1129:AI1165,B1129:B1165,B1141-12)+in_hlth_family_renew^2*SUMIFS(AI1129:AI1165,B1129:B1165,B1141-24)+in_hlth_family_renew^3*SUMIFS(AI1129:AI1165,B1129:B1165,B1141-36)+in_hlth_family_renew^4*SUMIFS(AI1129:AI1165,B1129:B1165,B1141-48))</f>
        <v/>
      </c>
      <c r="AK1141" s="40">
        <f>AK1140*(1-IF(B1140&gt;=in_marketplace_from,d_hz_life_term*G1140,0))</f>
        <v/>
      </c>
      <c r="AL1141" s="46">
        <f>AK1141*IF(B1141&gt;=in_marketplace_from,d_hz_life_term*G1141,0)</f>
        <v/>
      </c>
      <c r="AM1141" s="14">
        <f>F1141*AL1141*in_life_term_ticket*in_life_term_comm*in_ins_partner_share+F1141*in_life_term_ticket*in_life_term_renew_comm*in_ins_partner_share*(in_life_term_renew^1*SUMIFS(AL1129:AL1165,B1129:B1165,B1141-12)+in_life_term_renew^2*SUMIFS(AL1129:AL1165,B1129:B1165,B1141-24)+in_life_term_renew^3*SUMIFS(AL1129:AL1165,B1129:B1165,B1141-36)+in_life_term_renew^4*SUMIFS(AL1129:AL1165,B1129:B1165,B1141-48))</f>
        <v/>
      </c>
      <c r="AN1141" s="40">
        <f>AN1140*(1-IF(B1140&gt;=in_marketplace_from,d_hz_accident*G1140,0))</f>
        <v/>
      </c>
      <c r="AO1141" s="46">
        <f>AN1141*IF(B1141&gt;=in_marketplace_from,d_hz_accident*G1141,0)</f>
        <v/>
      </c>
      <c r="AP1141" s="14">
        <f>F1141*AO1141*in_accident_ticket*in_accident_comm*in_ins_partner_share+F1141*in_accident_ticket*in_accident_renew_comm*in_ins_partner_share*(in_accident_renew^1*SUMIFS(AO1129:AO1165,B1129:B1165,B1141-12)+in_accident_renew^2*SUMIFS(AO1129:AO1165,B1129:B1165,B1141-24)+in_accident_renew^3*SUMIFS(AO1129:AO1165,B1129:B1165,B1141-36)+in_accident_renew^4*SUMIFS(AO1129:AO1165,B1129:B1165,B1141-48))</f>
        <v/>
      </c>
      <c r="AQ1141" s="40">
        <f>AQ1140*(1-IF(B1140&gt;=in_marketplace_from,d_hz_two_wheeler*G1140,0))</f>
        <v/>
      </c>
      <c r="AR1141" s="46">
        <f>AQ1141*IF(B1141&gt;=in_marketplace_from,d_hz_two_wheeler*G1141,0)</f>
        <v/>
      </c>
      <c r="AS1141" s="14">
        <f>F1141*AR1141*in_two_wheeler_ticket*in_two_wheeler_comm*in_ins_partner_share+F1141*in_two_wheeler_ticket*in_two_wheeler_comm*in_ins_partner_share*(in_two_wheeler_renew^1*SUMIFS(AR1129:AR1165,B1129:B1165,B1141-12)+in_two_wheeler_renew^2*SUMIFS(AR1129:AR1165,B1129:B1165,B1141-24)+in_two_wheeler_renew^3*SUMIFS(AR1129:AR1165,B1129:B1165,B1141-36)+in_two_wheeler_renew^4*SUMIFS(AR1129:AR1165,B1129:B1165,B1141-48))</f>
        <v/>
      </c>
      <c r="AT1141" s="40">
        <f>AT1140*(1-IF(B1140&gt;=in_marketplace_from,d_hz_device*G1140,0))</f>
        <v/>
      </c>
      <c r="AU1141" s="14">
        <f>F1141*AT1141*IF(B1141&gt;=in_marketplace_from,d_hz_device*G1141,0)*in_device_ticket*in_device_comm*in_ins_partner_share</f>
        <v/>
      </c>
      <c r="AV1141" s="40">
        <f>AV1140*(1-IF(B1140&gt;=in_marketplace_from,d_hz_shop*G1140,0))</f>
        <v/>
      </c>
      <c r="AW1141" s="46">
        <f>AV1141*IF(B1141&gt;=in_marketplace_from,d_hz_shop*G1141,0)</f>
        <v/>
      </c>
      <c r="AX1141" s="14">
        <f>F1141*AW1141*in_shop_ticket*in_shop_comm*in_ins_partner_share+F1141*in_shop_ticket*in_shop_renew_comm*in_ins_partner_share*(in_shop_renew^1*SUMIFS(AW1129:AW1165,B1129:B1165,B1141-12)+in_shop_renew^2*SUMIFS(AW1129:AW1165,B1129:B1165,B1141-24)+in_shop_renew^3*SUMIFS(AW1129:AW1165,B1129:B1165,B1141-36)+in_shop_renew^4*SUMIFS(AW1129:AW1165,B1129:B1165,B1141-48))</f>
        <v/>
      </c>
      <c r="AY1141" s="40">
        <f>AY1140*(1-IF(B1140&gt;=in_marketplace_from,d_hz_sip*G1140,0))</f>
        <v/>
      </c>
      <c r="AZ1141" s="40">
        <f>AZ1140*d_rho_sip+AY1141*IF(B1141&gt;=in_marketplace_from,d_hz_sip*G1141,0)</f>
        <v/>
      </c>
      <c r="BA1141" s="40">
        <f>d_rho_sip*(BA1140+AZ1140)</f>
        <v/>
      </c>
      <c r="BB1141" s="14">
        <f>F1141*in_sip_ticket*(BA1141+0.5*AZ1141)*in_sip_comm/12</f>
        <v/>
      </c>
      <c r="BC1141" s="40">
        <f>BC1140*(1-IF(B1140&gt;=in_marketplace_from,d_hz_choti*G1140,0))</f>
        <v/>
      </c>
      <c r="BD1141" s="46">
        <f>BC1141*IF(B1141&gt;=in_marketplace_from,d_hz_choti*G1141,0)</f>
        <v/>
      </c>
      <c r="BE1141" s="14">
        <f>F1141*SUMIFS(BD1129:BD1165,B1129:B1165,B1141-in_choti_months)*in_choti_renew*in_choti_ticket</f>
        <v/>
      </c>
      <c r="BF1141" s="40">
        <f>BF1140*(1-IF(B1140&gt;=in_marketplace_from,d_hz_nps*G1140,0))</f>
        <v/>
      </c>
      <c r="BG1141" s="14">
        <f>F1141*BF1141*IF(B1141&gt;=in_marketplace_from,d_hz_nps*G1141,0)*in_nps_ticket*in_nps_comm</f>
        <v/>
      </c>
      <c r="BH1141" s="40">
        <f>BH1140*(1-IF(B1140&gt;=in_marketplace_from,d_hz_gold*G1140,0))</f>
        <v/>
      </c>
      <c r="BI1141" s="40">
        <f>BI1140*d_rho_gold+BH1141*IF(B1141&gt;=in_marketplace_from,d_hz_gold*G1141,0)</f>
        <v/>
      </c>
      <c r="BJ1141" s="14">
        <f>F1141*BI1141*in_gold_ticket*in_gold_comm</f>
        <v/>
      </c>
      <c r="BK1141" s="40">
        <f>BK1140*(1-IF(B1140&gt;=in_marketplace_from,d_hz_fd*G1140,0))</f>
        <v/>
      </c>
      <c r="BL1141" s="14">
        <f>F1141*BK1141*IF(B1141&gt;=in_marketplace_from,d_hz_fd*G1141,0)*in_fd_ticket*in_fd_comm</f>
        <v/>
      </c>
      <c r="BM1141" s="40">
        <f>BM1140*(1-IF(B1140&gt;=in_marketplace_from,d_hz_recharge*G1140,0))</f>
        <v/>
      </c>
      <c r="BN1141" s="40">
        <f>BN1140*d_rho_recharge+BM1141*IF(B1141&gt;=in_marketplace_from,d_hz_recharge*G1141,0)</f>
        <v/>
      </c>
      <c r="BO1141" s="14">
        <f>F1141*BN1141*in_recharge_ticket*in_recharge_comm/12</f>
        <v/>
      </c>
      <c r="BP1141" s="40">
        <f>BP1140*(1-IF(B1140&gt;=in_marketplace_from,d_hz_bills*G1140,0))</f>
        <v/>
      </c>
      <c r="BQ1141" s="40">
        <f>BQ1140*d_rho_bills+BP1141*IF(B1141&gt;=in_marketplace_from,d_hz_bills*G1141,0)</f>
        <v/>
      </c>
      <c r="BR1141" s="14">
        <f>F1141*BQ1141*in_bills_ticket*in_bills_comm/12</f>
        <v/>
      </c>
      <c r="BS1141" s="40">
        <f>BS1140*(1-IF(B1140&gt;=in_marketplace_from,d_hz_loan_gold*G1140,0))</f>
        <v/>
      </c>
      <c r="BT1141" s="14">
        <f>F1141*BS1141*IF(B1141&gt;=in_marketplace_from,d_hz_loan_gold*G1141,0)*in_loan_gold_ticket*in_loan_gold_comm</f>
        <v/>
      </c>
      <c r="BU1141" s="40">
        <f>BU1140*(1-IF(B1140&gt;=in_marketplace_from,d_hz_loan_cd*G1140,0))</f>
        <v/>
      </c>
      <c r="BV1141" s="14">
        <f>F1141*BU1141*IF(B1141&gt;=in_marketplace_from,d_hz_loan_cd*G1141,0)*in_loan_cd_ticket*in_loan_cd_comm</f>
        <v/>
      </c>
      <c r="BW1141" s="40">
        <f>BW1140*(1-IF(B1140&gt;=in_marketplace_from,d_hz_loan_vehicle*G1140,0))</f>
        <v/>
      </c>
      <c r="BX1141" s="14">
        <f>F1141*BW1141*IF(B1141&gt;=in_marketplace_from,d_hz_loan_vehicle*G1141,0)*in_loan_vehicle_ticket*in_loan_vehicle_comm</f>
        <v/>
      </c>
      <c r="BY1141" s="40">
        <f>BY1140*(1-IF(B1140&gt;=in_marketplace_from,d_hz_loan_home*G1140,0)*BZ1140)</f>
        <v/>
      </c>
      <c r="BZ1141" s="11">
        <f>MIN(in_approval_cap,in_loan_home_approval*INDEX('Age profile'!$O$2:$O$61,B1141)*(1+in_approval_growth)^(D1141-1))</f>
        <v/>
      </c>
      <c r="CA1141" s="14">
        <f>F1141*BY1141*IF(B1141&gt;=in_marketplace_from,d_hz_loan_home*G1141,0)*BZ1141*in_loan_home_ticket*in_loan_home_comm</f>
        <v/>
      </c>
      <c r="CB1141" s="40">
        <f>CB1140*(1-IF(B1140&gt;=in_marketplace_from,d_hz_loan_lap*G1140,0)*CC1140)</f>
        <v/>
      </c>
      <c r="CC1141" s="11">
        <f>MIN(in_approval_cap,in_loan_lap_approval*INDEX('Age profile'!$O$2:$O$61,B1141)*(1+in_approval_growth)^(D1141-1))</f>
        <v/>
      </c>
      <c r="CD1141" s="14">
        <f>F1141*CB1141*IF(B1141&gt;=in_marketplace_from,d_hz_loan_lap*G1141,0)*CC1141*in_loan_lap_ticket*in_loan_lap_comm</f>
        <v/>
      </c>
      <c r="CE1141" s="14">
        <f>AA1141+AB1141+AC1141+AD1141+AG1141+AJ1141+AM1141+AP1141+AS1141+AU1141+AX1141+BB1141+BE1141+BG1141+BJ1141+BL1141+BO1141+BR1141+BT1141+BV1141+BX1141+CA1141+CD1141</f>
        <v/>
      </c>
    </row>
    <row r="1142">
      <c r="A1142" s="39" t="n">
        <v>24</v>
      </c>
      <c r="B1142" s="39" t="n">
        <v>14</v>
      </c>
      <c r="C1142" s="39">
        <f>A1142+B1142-1</f>
        <v/>
      </c>
      <c r="D1142" s="39">
        <f>INT((C1142-1)/12)+1</f>
        <v/>
      </c>
      <c r="E1142" s="44">
        <f>INDEX(Monthly!$B$2:$B$61,A1142)</f>
        <v/>
      </c>
      <c r="F1142" s="44">
        <f>E1142*INDEX('Age profile'!$B$2:$B$61,B1142)</f>
        <v/>
      </c>
      <c r="G1142" s="45">
        <f>MIN(in_takeup_cap,INDEX('Age profile'!$N$2:$N$61,B1142)*(1+in_takeup_growth)^(D1142-1))</f>
        <v/>
      </c>
      <c r="H1142" s="11">
        <f>MIN(in_approval_cap,in_approved_first*INDEX('Age profile'!$O$2:$O$61,B1142)*(1+in_approval_growth)^(D1142-1))</f>
        <v/>
      </c>
      <c r="I1142" s="45">
        <f>G1142*MIN(in_takeup_cap,INDEX('Age profile'!$O$2:$O$61,B1142)*(1+in_approval_growth)^(D1142-1))</f>
        <v/>
      </c>
      <c r="J1142" s="40">
        <f>(J1141-L1141)*F1142/F1141</f>
        <v/>
      </c>
      <c r="K1142" s="40">
        <f>(K1141-M1141)*F1142/F1141+SUMIFS(O1129:O1141,B1129:B1141,B1142-1-d_T)*F1142</f>
        <v/>
      </c>
      <c r="L1142" s="40">
        <f>IF(B1142&gt;=in_marketplace_from,J1142*d_hz*G1142*in_eligible*H1142,0)</f>
        <v/>
      </c>
      <c r="M1142" s="40">
        <f>IF(B1142&gt;=in_marketplace_from,K1142*d_hz*G1142*in_eligible*in_approved_repeat,0)</f>
        <v/>
      </c>
      <c r="N1142" s="40">
        <f>L1142+M1142</f>
        <v/>
      </c>
      <c r="O1142" s="46">
        <f>N1142/F1142</f>
        <v/>
      </c>
      <c r="P1142" s="40">
        <f>F1142-J1142-K1142</f>
        <v/>
      </c>
      <c r="Q1142" s="40">
        <f>IF(B1142&gt;=in_marketplace_from,(J1142+K1142)*d_hz*G1142,0)</f>
        <v/>
      </c>
      <c r="R1142" s="40">
        <f>SUMIFS(N1129:N1165,B1129:B1165,"&gt;="&amp;(B1142-d_T),B1129:B1165,"&lt;="&amp;(B1142-1))</f>
        <v/>
      </c>
      <c r="S1142" s="46">
        <f>(1-d_u)*S1141+IF(d_T&gt;in_topup_lag,SUMIFS(O1129:O1165,B1129:B1165,B1142-in_topup_lag)-d_udrop*SUMIFS(O1129:O1165,B1129:B1165,B1142-d_T),0)</f>
        <v/>
      </c>
      <c r="T1142" s="40">
        <f>F1142*d_u*S1142</f>
        <v/>
      </c>
      <c r="U1142" s="9">
        <f>L1142*in_ticket+M1142*d_rep_ticket</f>
        <v/>
      </c>
      <c r="V1142" s="9">
        <f>U1142+T1142*d_topup_amt</f>
        <v/>
      </c>
      <c r="W1142" s="40">
        <f>N1142+T1142*d_topup_ratio</f>
        <v/>
      </c>
      <c r="X1142" s="40">
        <f>SUMIFS(W1129:W1165,B1129:B1165,B1142-in_dpd_lag)*d_cured</f>
        <v/>
      </c>
      <c r="Y1142" s="40">
        <f>SUMIFS(W1129:W1165,B1129:B1165,B1142-in_rec_lag)*d_recd</f>
        <v/>
      </c>
      <c r="Z1142" s="40">
        <f>IF(AND(B1142&gt;=in_marketplace_from,B1142&lt;in_marketplace_from+in_card_months),in_card_share/in_card_months*F1142*I1142,IF(AND(B1142&gt;=in_marketplace_from+in_card_months,B1142&lt;in_marketplace_from+2*in_card_months),in_card_share*d_card_rem/in_card_months*F1142*MIN(in_takeup_cap,(1+in_takeup_growth)^(D1142-1))*MIN(in_takeup_cap,(1+in_approval_growth)^(D1142-1)),0))</f>
        <v/>
      </c>
      <c r="AA1142" s="14">
        <f>V1142*in_fee*(1-in_taken_back)</f>
        <v/>
      </c>
      <c r="AB1142" s="14">
        <f>SUMIFS(W1129:W1165,B1129:B1165,B1142-in_dpd_lag)*d_dpd</f>
        <v/>
      </c>
      <c r="AC1142" s="14">
        <f>SUMIFS(W1129:W1165,B1129:B1165,B1142-in_rec_lag)*d_rec</f>
        <v/>
      </c>
      <c r="AD1142" s="14">
        <f>Z1142*in_card_fee</f>
        <v/>
      </c>
      <c r="AE1142" s="40">
        <f>AE1141*(1-IF(B1141&gt;=in_marketplace_from,d_hz_hlth_small*G1141,0))</f>
        <v/>
      </c>
      <c r="AF1142" s="46">
        <f>AE1142*IF(B1142&gt;=in_marketplace_from,d_hz_hlth_small*G1142,0)</f>
        <v/>
      </c>
      <c r="AG1142" s="14">
        <f>F1142*AF1142*in_hlth_small_ticket*in_hlth_small_comm*in_ins_partner_share+F1142*in_hlth_small_ticket*in_hlth_small_renew_comm*in_ins_partner_share*(in_hlth_small_renew^1*SUMIFS(AF1129:AF1165,B1129:B1165,B1142-12)+in_hlth_small_renew^2*SUMIFS(AF1129:AF1165,B1129:B1165,B1142-24)+in_hlth_small_renew^3*SUMIFS(AF1129:AF1165,B1129:B1165,B1142-36)+in_hlth_small_renew^4*SUMIFS(AF1129:AF1165,B1129:B1165,B1142-48))</f>
        <v/>
      </c>
      <c r="AH1142" s="40">
        <f>AH1141*(1-IF(B1141&gt;=in_marketplace_from,d_hz_hlth_family*G1141,0))</f>
        <v/>
      </c>
      <c r="AI1142" s="46">
        <f>AH1142*IF(B1142&gt;=in_marketplace_from,d_hz_hlth_family*G1142,0)</f>
        <v/>
      </c>
      <c r="AJ1142" s="14">
        <f>F1142*AI1142*in_hlth_family_ticket*in_hlth_family_comm*in_ins_partner_share+F1142*in_hlth_family_ticket*in_hlth_family_renew_comm*in_ins_partner_share*(in_hlth_family_renew^1*SUMIFS(AI1129:AI1165,B1129:B1165,B1142-12)+in_hlth_family_renew^2*SUMIFS(AI1129:AI1165,B1129:B1165,B1142-24)+in_hlth_family_renew^3*SUMIFS(AI1129:AI1165,B1129:B1165,B1142-36)+in_hlth_family_renew^4*SUMIFS(AI1129:AI1165,B1129:B1165,B1142-48))</f>
        <v/>
      </c>
      <c r="AK1142" s="40">
        <f>AK1141*(1-IF(B1141&gt;=in_marketplace_from,d_hz_life_term*G1141,0))</f>
        <v/>
      </c>
      <c r="AL1142" s="46">
        <f>AK1142*IF(B1142&gt;=in_marketplace_from,d_hz_life_term*G1142,0)</f>
        <v/>
      </c>
      <c r="AM1142" s="14">
        <f>F1142*AL1142*in_life_term_ticket*in_life_term_comm*in_ins_partner_share+F1142*in_life_term_ticket*in_life_term_renew_comm*in_ins_partner_share*(in_life_term_renew^1*SUMIFS(AL1129:AL1165,B1129:B1165,B1142-12)+in_life_term_renew^2*SUMIFS(AL1129:AL1165,B1129:B1165,B1142-24)+in_life_term_renew^3*SUMIFS(AL1129:AL1165,B1129:B1165,B1142-36)+in_life_term_renew^4*SUMIFS(AL1129:AL1165,B1129:B1165,B1142-48))</f>
        <v/>
      </c>
      <c r="AN1142" s="40">
        <f>AN1141*(1-IF(B1141&gt;=in_marketplace_from,d_hz_accident*G1141,0))</f>
        <v/>
      </c>
      <c r="AO1142" s="46">
        <f>AN1142*IF(B1142&gt;=in_marketplace_from,d_hz_accident*G1142,0)</f>
        <v/>
      </c>
      <c r="AP1142" s="14">
        <f>F1142*AO1142*in_accident_ticket*in_accident_comm*in_ins_partner_share+F1142*in_accident_ticket*in_accident_renew_comm*in_ins_partner_share*(in_accident_renew^1*SUMIFS(AO1129:AO1165,B1129:B1165,B1142-12)+in_accident_renew^2*SUMIFS(AO1129:AO1165,B1129:B1165,B1142-24)+in_accident_renew^3*SUMIFS(AO1129:AO1165,B1129:B1165,B1142-36)+in_accident_renew^4*SUMIFS(AO1129:AO1165,B1129:B1165,B1142-48))</f>
        <v/>
      </c>
      <c r="AQ1142" s="40">
        <f>AQ1141*(1-IF(B1141&gt;=in_marketplace_from,d_hz_two_wheeler*G1141,0))</f>
        <v/>
      </c>
      <c r="AR1142" s="46">
        <f>AQ1142*IF(B1142&gt;=in_marketplace_from,d_hz_two_wheeler*G1142,0)</f>
        <v/>
      </c>
      <c r="AS1142" s="14">
        <f>F1142*AR1142*in_two_wheeler_ticket*in_two_wheeler_comm*in_ins_partner_share+F1142*in_two_wheeler_ticket*in_two_wheeler_comm*in_ins_partner_share*(in_two_wheeler_renew^1*SUMIFS(AR1129:AR1165,B1129:B1165,B1142-12)+in_two_wheeler_renew^2*SUMIFS(AR1129:AR1165,B1129:B1165,B1142-24)+in_two_wheeler_renew^3*SUMIFS(AR1129:AR1165,B1129:B1165,B1142-36)+in_two_wheeler_renew^4*SUMIFS(AR1129:AR1165,B1129:B1165,B1142-48))</f>
        <v/>
      </c>
      <c r="AT1142" s="40">
        <f>AT1141*(1-IF(B1141&gt;=in_marketplace_from,d_hz_device*G1141,0))</f>
        <v/>
      </c>
      <c r="AU1142" s="14">
        <f>F1142*AT1142*IF(B1142&gt;=in_marketplace_from,d_hz_device*G1142,0)*in_device_ticket*in_device_comm*in_ins_partner_share</f>
        <v/>
      </c>
      <c r="AV1142" s="40">
        <f>AV1141*(1-IF(B1141&gt;=in_marketplace_from,d_hz_shop*G1141,0))</f>
        <v/>
      </c>
      <c r="AW1142" s="46">
        <f>AV1142*IF(B1142&gt;=in_marketplace_from,d_hz_shop*G1142,0)</f>
        <v/>
      </c>
      <c r="AX1142" s="14">
        <f>F1142*AW1142*in_shop_ticket*in_shop_comm*in_ins_partner_share+F1142*in_shop_ticket*in_shop_renew_comm*in_ins_partner_share*(in_shop_renew^1*SUMIFS(AW1129:AW1165,B1129:B1165,B1142-12)+in_shop_renew^2*SUMIFS(AW1129:AW1165,B1129:B1165,B1142-24)+in_shop_renew^3*SUMIFS(AW1129:AW1165,B1129:B1165,B1142-36)+in_shop_renew^4*SUMIFS(AW1129:AW1165,B1129:B1165,B1142-48))</f>
        <v/>
      </c>
      <c r="AY1142" s="40">
        <f>AY1141*(1-IF(B1141&gt;=in_marketplace_from,d_hz_sip*G1141,0))</f>
        <v/>
      </c>
      <c r="AZ1142" s="40">
        <f>AZ1141*d_rho_sip+AY1142*IF(B1142&gt;=in_marketplace_from,d_hz_sip*G1142,0)</f>
        <v/>
      </c>
      <c r="BA1142" s="40">
        <f>d_rho_sip*(BA1141+AZ1141)</f>
        <v/>
      </c>
      <c r="BB1142" s="14">
        <f>F1142*in_sip_ticket*(BA1142+0.5*AZ1142)*in_sip_comm/12</f>
        <v/>
      </c>
      <c r="BC1142" s="40">
        <f>BC1141*(1-IF(B1141&gt;=in_marketplace_from,d_hz_choti*G1141,0))</f>
        <v/>
      </c>
      <c r="BD1142" s="46">
        <f>BC1142*IF(B1142&gt;=in_marketplace_from,d_hz_choti*G1142,0)</f>
        <v/>
      </c>
      <c r="BE1142" s="14">
        <f>F1142*SUMIFS(BD1129:BD1165,B1129:B1165,B1142-in_choti_months)*in_choti_renew*in_choti_ticket</f>
        <v/>
      </c>
      <c r="BF1142" s="40">
        <f>BF1141*(1-IF(B1141&gt;=in_marketplace_from,d_hz_nps*G1141,0))</f>
        <v/>
      </c>
      <c r="BG1142" s="14">
        <f>F1142*BF1142*IF(B1142&gt;=in_marketplace_from,d_hz_nps*G1142,0)*in_nps_ticket*in_nps_comm</f>
        <v/>
      </c>
      <c r="BH1142" s="40">
        <f>BH1141*(1-IF(B1141&gt;=in_marketplace_from,d_hz_gold*G1141,0))</f>
        <v/>
      </c>
      <c r="BI1142" s="40">
        <f>BI1141*d_rho_gold+BH1142*IF(B1142&gt;=in_marketplace_from,d_hz_gold*G1142,0)</f>
        <v/>
      </c>
      <c r="BJ1142" s="14">
        <f>F1142*BI1142*in_gold_ticket*in_gold_comm</f>
        <v/>
      </c>
      <c r="BK1142" s="40">
        <f>BK1141*(1-IF(B1141&gt;=in_marketplace_from,d_hz_fd*G1141,0))</f>
        <v/>
      </c>
      <c r="BL1142" s="14">
        <f>F1142*BK1142*IF(B1142&gt;=in_marketplace_from,d_hz_fd*G1142,0)*in_fd_ticket*in_fd_comm</f>
        <v/>
      </c>
      <c r="BM1142" s="40">
        <f>BM1141*(1-IF(B1141&gt;=in_marketplace_from,d_hz_recharge*G1141,0))</f>
        <v/>
      </c>
      <c r="BN1142" s="40">
        <f>BN1141*d_rho_recharge+BM1142*IF(B1142&gt;=in_marketplace_from,d_hz_recharge*G1142,0)</f>
        <v/>
      </c>
      <c r="BO1142" s="14">
        <f>F1142*BN1142*in_recharge_ticket*in_recharge_comm/12</f>
        <v/>
      </c>
      <c r="BP1142" s="40">
        <f>BP1141*(1-IF(B1141&gt;=in_marketplace_from,d_hz_bills*G1141,0))</f>
        <v/>
      </c>
      <c r="BQ1142" s="40">
        <f>BQ1141*d_rho_bills+BP1142*IF(B1142&gt;=in_marketplace_from,d_hz_bills*G1142,0)</f>
        <v/>
      </c>
      <c r="BR1142" s="14">
        <f>F1142*BQ1142*in_bills_ticket*in_bills_comm/12</f>
        <v/>
      </c>
      <c r="BS1142" s="40">
        <f>BS1141*(1-IF(B1141&gt;=in_marketplace_from,d_hz_loan_gold*G1141,0))</f>
        <v/>
      </c>
      <c r="BT1142" s="14">
        <f>F1142*BS1142*IF(B1142&gt;=in_marketplace_from,d_hz_loan_gold*G1142,0)*in_loan_gold_ticket*in_loan_gold_comm</f>
        <v/>
      </c>
      <c r="BU1142" s="40">
        <f>BU1141*(1-IF(B1141&gt;=in_marketplace_from,d_hz_loan_cd*G1141,0))</f>
        <v/>
      </c>
      <c r="BV1142" s="14">
        <f>F1142*BU1142*IF(B1142&gt;=in_marketplace_from,d_hz_loan_cd*G1142,0)*in_loan_cd_ticket*in_loan_cd_comm</f>
        <v/>
      </c>
      <c r="BW1142" s="40">
        <f>BW1141*(1-IF(B1141&gt;=in_marketplace_from,d_hz_loan_vehicle*G1141,0))</f>
        <v/>
      </c>
      <c r="BX1142" s="14">
        <f>F1142*BW1142*IF(B1142&gt;=in_marketplace_from,d_hz_loan_vehicle*G1142,0)*in_loan_vehicle_ticket*in_loan_vehicle_comm</f>
        <v/>
      </c>
      <c r="BY1142" s="40">
        <f>BY1141*(1-IF(B1141&gt;=in_marketplace_from,d_hz_loan_home*G1141,0)*BZ1141)</f>
        <v/>
      </c>
      <c r="BZ1142" s="11">
        <f>MIN(in_approval_cap,in_loan_home_approval*INDEX('Age profile'!$O$2:$O$61,B1142)*(1+in_approval_growth)^(D1142-1))</f>
        <v/>
      </c>
      <c r="CA1142" s="14">
        <f>F1142*BY1142*IF(B1142&gt;=in_marketplace_from,d_hz_loan_home*G1142,0)*BZ1142*in_loan_home_ticket*in_loan_home_comm</f>
        <v/>
      </c>
      <c r="CB1142" s="40">
        <f>CB1141*(1-IF(B1141&gt;=in_marketplace_from,d_hz_loan_lap*G1141,0)*CC1141)</f>
        <v/>
      </c>
      <c r="CC1142" s="11">
        <f>MIN(in_approval_cap,in_loan_lap_approval*INDEX('Age profile'!$O$2:$O$61,B1142)*(1+in_approval_growth)^(D1142-1))</f>
        <v/>
      </c>
      <c r="CD1142" s="14">
        <f>F1142*CB1142*IF(B1142&gt;=in_marketplace_from,d_hz_loan_lap*G1142,0)*CC1142*in_loan_lap_ticket*in_loan_lap_comm</f>
        <v/>
      </c>
      <c r="CE1142" s="14">
        <f>AA1142+AB1142+AC1142+AD1142+AG1142+AJ1142+AM1142+AP1142+AS1142+AU1142+AX1142+BB1142+BE1142+BG1142+BJ1142+BL1142+BO1142+BR1142+BT1142+BV1142+BX1142+CA1142+CD1142</f>
        <v/>
      </c>
    </row>
    <row r="1143">
      <c r="A1143" s="39" t="n">
        <v>24</v>
      </c>
      <c r="B1143" s="39" t="n">
        <v>15</v>
      </c>
      <c r="C1143" s="39">
        <f>A1143+B1143-1</f>
        <v/>
      </c>
      <c r="D1143" s="39">
        <f>INT((C1143-1)/12)+1</f>
        <v/>
      </c>
      <c r="E1143" s="44">
        <f>INDEX(Monthly!$B$2:$B$61,A1143)</f>
        <v/>
      </c>
      <c r="F1143" s="44">
        <f>E1143*INDEX('Age profile'!$B$2:$B$61,B1143)</f>
        <v/>
      </c>
      <c r="G1143" s="45">
        <f>MIN(in_takeup_cap,INDEX('Age profile'!$N$2:$N$61,B1143)*(1+in_takeup_growth)^(D1143-1))</f>
        <v/>
      </c>
      <c r="H1143" s="11">
        <f>MIN(in_approval_cap,in_approved_first*INDEX('Age profile'!$O$2:$O$61,B1143)*(1+in_approval_growth)^(D1143-1))</f>
        <v/>
      </c>
      <c r="I1143" s="45">
        <f>G1143*MIN(in_takeup_cap,INDEX('Age profile'!$O$2:$O$61,B1143)*(1+in_approval_growth)^(D1143-1))</f>
        <v/>
      </c>
      <c r="J1143" s="40">
        <f>(J1142-L1142)*F1143/F1142</f>
        <v/>
      </c>
      <c r="K1143" s="40">
        <f>(K1142-M1142)*F1143/F1142+SUMIFS(O1129:O1142,B1129:B1142,B1143-1-d_T)*F1143</f>
        <v/>
      </c>
      <c r="L1143" s="40">
        <f>IF(B1143&gt;=in_marketplace_from,J1143*d_hz*G1143*in_eligible*H1143,0)</f>
        <v/>
      </c>
      <c r="M1143" s="40">
        <f>IF(B1143&gt;=in_marketplace_from,K1143*d_hz*G1143*in_eligible*in_approved_repeat,0)</f>
        <v/>
      </c>
      <c r="N1143" s="40">
        <f>L1143+M1143</f>
        <v/>
      </c>
      <c r="O1143" s="46">
        <f>N1143/F1143</f>
        <v/>
      </c>
      <c r="P1143" s="40">
        <f>F1143-J1143-K1143</f>
        <v/>
      </c>
      <c r="Q1143" s="40">
        <f>IF(B1143&gt;=in_marketplace_from,(J1143+K1143)*d_hz*G1143,0)</f>
        <v/>
      </c>
      <c r="R1143" s="40">
        <f>SUMIFS(N1129:N1165,B1129:B1165,"&gt;="&amp;(B1143-d_T),B1129:B1165,"&lt;="&amp;(B1143-1))</f>
        <v/>
      </c>
      <c r="S1143" s="46">
        <f>(1-d_u)*S1142+IF(d_T&gt;in_topup_lag,SUMIFS(O1129:O1165,B1129:B1165,B1143-in_topup_lag)-d_udrop*SUMIFS(O1129:O1165,B1129:B1165,B1143-d_T),0)</f>
        <v/>
      </c>
      <c r="T1143" s="40">
        <f>F1143*d_u*S1143</f>
        <v/>
      </c>
      <c r="U1143" s="9">
        <f>L1143*in_ticket+M1143*d_rep_ticket</f>
        <v/>
      </c>
      <c r="V1143" s="9">
        <f>U1143+T1143*d_topup_amt</f>
        <v/>
      </c>
      <c r="W1143" s="40">
        <f>N1143+T1143*d_topup_ratio</f>
        <v/>
      </c>
      <c r="X1143" s="40">
        <f>SUMIFS(W1129:W1165,B1129:B1165,B1143-in_dpd_lag)*d_cured</f>
        <v/>
      </c>
      <c r="Y1143" s="40">
        <f>SUMIFS(W1129:W1165,B1129:B1165,B1143-in_rec_lag)*d_recd</f>
        <v/>
      </c>
      <c r="Z1143" s="40">
        <f>IF(AND(B1143&gt;=in_marketplace_from,B1143&lt;in_marketplace_from+in_card_months),in_card_share/in_card_months*F1143*I1143,IF(AND(B1143&gt;=in_marketplace_from+in_card_months,B1143&lt;in_marketplace_from+2*in_card_months),in_card_share*d_card_rem/in_card_months*F1143*MIN(in_takeup_cap,(1+in_takeup_growth)^(D1143-1))*MIN(in_takeup_cap,(1+in_approval_growth)^(D1143-1)),0))</f>
        <v/>
      </c>
      <c r="AA1143" s="14">
        <f>V1143*in_fee*(1-in_taken_back)</f>
        <v/>
      </c>
      <c r="AB1143" s="14">
        <f>SUMIFS(W1129:W1165,B1129:B1165,B1143-in_dpd_lag)*d_dpd</f>
        <v/>
      </c>
      <c r="AC1143" s="14">
        <f>SUMIFS(W1129:W1165,B1129:B1165,B1143-in_rec_lag)*d_rec</f>
        <v/>
      </c>
      <c r="AD1143" s="14">
        <f>Z1143*in_card_fee</f>
        <v/>
      </c>
      <c r="AE1143" s="40">
        <f>AE1142*(1-IF(B1142&gt;=in_marketplace_from,d_hz_hlth_small*G1142,0))</f>
        <v/>
      </c>
      <c r="AF1143" s="46">
        <f>AE1143*IF(B1143&gt;=in_marketplace_from,d_hz_hlth_small*G1143,0)</f>
        <v/>
      </c>
      <c r="AG1143" s="14">
        <f>F1143*AF1143*in_hlth_small_ticket*in_hlth_small_comm*in_ins_partner_share+F1143*in_hlth_small_ticket*in_hlth_small_renew_comm*in_ins_partner_share*(in_hlth_small_renew^1*SUMIFS(AF1129:AF1165,B1129:B1165,B1143-12)+in_hlth_small_renew^2*SUMIFS(AF1129:AF1165,B1129:B1165,B1143-24)+in_hlth_small_renew^3*SUMIFS(AF1129:AF1165,B1129:B1165,B1143-36)+in_hlth_small_renew^4*SUMIFS(AF1129:AF1165,B1129:B1165,B1143-48))</f>
        <v/>
      </c>
      <c r="AH1143" s="40">
        <f>AH1142*(1-IF(B1142&gt;=in_marketplace_from,d_hz_hlth_family*G1142,0))</f>
        <v/>
      </c>
      <c r="AI1143" s="46">
        <f>AH1143*IF(B1143&gt;=in_marketplace_from,d_hz_hlth_family*G1143,0)</f>
        <v/>
      </c>
      <c r="AJ1143" s="14">
        <f>F1143*AI1143*in_hlth_family_ticket*in_hlth_family_comm*in_ins_partner_share+F1143*in_hlth_family_ticket*in_hlth_family_renew_comm*in_ins_partner_share*(in_hlth_family_renew^1*SUMIFS(AI1129:AI1165,B1129:B1165,B1143-12)+in_hlth_family_renew^2*SUMIFS(AI1129:AI1165,B1129:B1165,B1143-24)+in_hlth_family_renew^3*SUMIFS(AI1129:AI1165,B1129:B1165,B1143-36)+in_hlth_family_renew^4*SUMIFS(AI1129:AI1165,B1129:B1165,B1143-48))</f>
        <v/>
      </c>
      <c r="AK1143" s="40">
        <f>AK1142*(1-IF(B1142&gt;=in_marketplace_from,d_hz_life_term*G1142,0))</f>
        <v/>
      </c>
      <c r="AL1143" s="46">
        <f>AK1143*IF(B1143&gt;=in_marketplace_from,d_hz_life_term*G1143,0)</f>
        <v/>
      </c>
      <c r="AM1143" s="14">
        <f>F1143*AL1143*in_life_term_ticket*in_life_term_comm*in_ins_partner_share+F1143*in_life_term_ticket*in_life_term_renew_comm*in_ins_partner_share*(in_life_term_renew^1*SUMIFS(AL1129:AL1165,B1129:B1165,B1143-12)+in_life_term_renew^2*SUMIFS(AL1129:AL1165,B1129:B1165,B1143-24)+in_life_term_renew^3*SUMIFS(AL1129:AL1165,B1129:B1165,B1143-36)+in_life_term_renew^4*SUMIFS(AL1129:AL1165,B1129:B1165,B1143-48))</f>
        <v/>
      </c>
      <c r="AN1143" s="40">
        <f>AN1142*(1-IF(B1142&gt;=in_marketplace_from,d_hz_accident*G1142,0))</f>
        <v/>
      </c>
      <c r="AO1143" s="46">
        <f>AN1143*IF(B1143&gt;=in_marketplace_from,d_hz_accident*G1143,0)</f>
        <v/>
      </c>
      <c r="AP1143" s="14">
        <f>F1143*AO1143*in_accident_ticket*in_accident_comm*in_ins_partner_share+F1143*in_accident_ticket*in_accident_renew_comm*in_ins_partner_share*(in_accident_renew^1*SUMIFS(AO1129:AO1165,B1129:B1165,B1143-12)+in_accident_renew^2*SUMIFS(AO1129:AO1165,B1129:B1165,B1143-24)+in_accident_renew^3*SUMIFS(AO1129:AO1165,B1129:B1165,B1143-36)+in_accident_renew^4*SUMIFS(AO1129:AO1165,B1129:B1165,B1143-48))</f>
        <v/>
      </c>
      <c r="AQ1143" s="40">
        <f>AQ1142*(1-IF(B1142&gt;=in_marketplace_from,d_hz_two_wheeler*G1142,0))</f>
        <v/>
      </c>
      <c r="AR1143" s="46">
        <f>AQ1143*IF(B1143&gt;=in_marketplace_from,d_hz_two_wheeler*G1143,0)</f>
        <v/>
      </c>
      <c r="AS1143" s="14">
        <f>F1143*AR1143*in_two_wheeler_ticket*in_two_wheeler_comm*in_ins_partner_share+F1143*in_two_wheeler_ticket*in_two_wheeler_comm*in_ins_partner_share*(in_two_wheeler_renew^1*SUMIFS(AR1129:AR1165,B1129:B1165,B1143-12)+in_two_wheeler_renew^2*SUMIFS(AR1129:AR1165,B1129:B1165,B1143-24)+in_two_wheeler_renew^3*SUMIFS(AR1129:AR1165,B1129:B1165,B1143-36)+in_two_wheeler_renew^4*SUMIFS(AR1129:AR1165,B1129:B1165,B1143-48))</f>
        <v/>
      </c>
      <c r="AT1143" s="40">
        <f>AT1142*(1-IF(B1142&gt;=in_marketplace_from,d_hz_device*G1142,0))</f>
        <v/>
      </c>
      <c r="AU1143" s="14">
        <f>F1143*AT1143*IF(B1143&gt;=in_marketplace_from,d_hz_device*G1143,0)*in_device_ticket*in_device_comm*in_ins_partner_share</f>
        <v/>
      </c>
      <c r="AV1143" s="40">
        <f>AV1142*(1-IF(B1142&gt;=in_marketplace_from,d_hz_shop*G1142,0))</f>
        <v/>
      </c>
      <c r="AW1143" s="46">
        <f>AV1143*IF(B1143&gt;=in_marketplace_from,d_hz_shop*G1143,0)</f>
        <v/>
      </c>
      <c r="AX1143" s="14">
        <f>F1143*AW1143*in_shop_ticket*in_shop_comm*in_ins_partner_share+F1143*in_shop_ticket*in_shop_renew_comm*in_ins_partner_share*(in_shop_renew^1*SUMIFS(AW1129:AW1165,B1129:B1165,B1143-12)+in_shop_renew^2*SUMIFS(AW1129:AW1165,B1129:B1165,B1143-24)+in_shop_renew^3*SUMIFS(AW1129:AW1165,B1129:B1165,B1143-36)+in_shop_renew^4*SUMIFS(AW1129:AW1165,B1129:B1165,B1143-48))</f>
        <v/>
      </c>
      <c r="AY1143" s="40">
        <f>AY1142*(1-IF(B1142&gt;=in_marketplace_from,d_hz_sip*G1142,0))</f>
        <v/>
      </c>
      <c r="AZ1143" s="40">
        <f>AZ1142*d_rho_sip+AY1143*IF(B1143&gt;=in_marketplace_from,d_hz_sip*G1143,0)</f>
        <v/>
      </c>
      <c r="BA1143" s="40">
        <f>d_rho_sip*(BA1142+AZ1142)</f>
        <v/>
      </c>
      <c r="BB1143" s="14">
        <f>F1143*in_sip_ticket*(BA1143+0.5*AZ1143)*in_sip_comm/12</f>
        <v/>
      </c>
      <c r="BC1143" s="40">
        <f>BC1142*(1-IF(B1142&gt;=in_marketplace_from,d_hz_choti*G1142,0))</f>
        <v/>
      </c>
      <c r="BD1143" s="46">
        <f>BC1143*IF(B1143&gt;=in_marketplace_from,d_hz_choti*G1143,0)</f>
        <v/>
      </c>
      <c r="BE1143" s="14">
        <f>F1143*SUMIFS(BD1129:BD1165,B1129:B1165,B1143-in_choti_months)*in_choti_renew*in_choti_ticket</f>
        <v/>
      </c>
      <c r="BF1143" s="40">
        <f>BF1142*(1-IF(B1142&gt;=in_marketplace_from,d_hz_nps*G1142,0))</f>
        <v/>
      </c>
      <c r="BG1143" s="14">
        <f>F1143*BF1143*IF(B1143&gt;=in_marketplace_from,d_hz_nps*G1143,0)*in_nps_ticket*in_nps_comm</f>
        <v/>
      </c>
      <c r="BH1143" s="40">
        <f>BH1142*(1-IF(B1142&gt;=in_marketplace_from,d_hz_gold*G1142,0))</f>
        <v/>
      </c>
      <c r="BI1143" s="40">
        <f>BI1142*d_rho_gold+BH1143*IF(B1143&gt;=in_marketplace_from,d_hz_gold*G1143,0)</f>
        <v/>
      </c>
      <c r="BJ1143" s="14">
        <f>F1143*BI1143*in_gold_ticket*in_gold_comm</f>
        <v/>
      </c>
      <c r="BK1143" s="40">
        <f>BK1142*(1-IF(B1142&gt;=in_marketplace_from,d_hz_fd*G1142,0))</f>
        <v/>
      </c>
      <c r="BL1143" s="14">
        <f>F1143*BK1143*IF(B1143&gt;=in_marketplace_from,d_hz_fd*G1143,0)*in_fd_ticket*in_fd_comm</f>
        <v/>
      </c>
      <c r="BM1143" s="40">
        <f>BM1142*(1-IF(B1142&gt;=in_marketplace_from,d_hz_recharge*G1142,0))</f>
        <v/>
      </c>
      <c r="BN1143" s="40">
        <f>BN1142*d_rho_recharge+BM1143*IF(B1143&gt;=in_marketplace_from,d_hz_recharge*G1143,0)</f>
        <v/>
      </c>
      <c r="BO1143" s="14">
        <f>F1143*BN1143*in_recharge_ticket*in_recharge_comm/12</f>
        <v/>
      </c>
      <c r="BP1143" s="40">
        <f>BP1142*(1-IF(B1142&gt;=in_marketplace_from,d_hz_bills*G1142,0))</f>
        <v/>
      </c>
      <c r="BQ1143" s="40">
        <f>BQ1142*d_rho_bills+BP1143*IF(B1143&gt;=in_marketplace_from,d_hz_bills*G1143,0)</f>
        <v/>
      </c>
      <c r="BR1143" s="14">
        <f>F1143*BQ1143*in_bills_ticket*in_bills_comm/12</f>
        <v/>
      </c>
      <c r="BS1143" s="40">
        <f>BS1142*(1-IF(B1142&gt;=in_marketplace_from,d_hz_loan_gold*G1142,0))</f>
        <v/>
      </c>
      <c r="BT1143" s="14">
        <f>F1143*BS1143*IF(B1143&gt;=in_marketplace_from,d_hz_loan_gold*G1143,0)*in_loan_gold_ticket*in_loan_gold_comm</f>
        <v/>
      </c>
      <c r="BU1143" s="40">
        <f>BU1142*(1-IF(B1142&gt;=in_marketplace_from,d_hz_loan_cd*G1142,0))</f>
        <v/>
      </c>
      <c r="BV1143" s="14">
        <f>F1143*BU1143*IF(B1143&gt;=in_marketplace_from,d_hz_loan_cd*G1143,0)*in_loan_cd_ticket*in_loan_cd_comm</f>
        <v/>
      </c>
      <c r="BW1143" s="40">
        <f>BW1142*(1-IF(B1142&gt;=in_marketplace_from,d_hz_loan_vehicle*G1142,0))</f>
        <v/>
      </c>
      <c r="BX1143" s="14">
        <f>F1143*BW1143*IF(B1143&gt;=in_marketplace_from,d_hz_loan_vehicle*G1143,0)*in_loan_vehicle_ticket*in_loan_vehicle_comm</f>
        <v/>
      </c>
      <c r="BY1143" s="40">
        <f>BY1142*(1-IF(B1142&gt;=in_marketplace_from,d_hz_loan_home*G1142,0)*BZ1142)</f>
        <v/>
      </c>
      <c r="BZ1143" s="11">
        <f>MIN(in_approval_cap,in_loan_home_approval*INDEX('Age profile'!$O$2:$O$61,B1143)*(1+in_approval_growth)^(D1143-1))</f>
        <v/>
      </c>
      <c r="CA1143" s="14">
        <f>F1143*BY1143*IF(B1143&gt;=in_marketplace_from,d_hz_loan_home*G1143,0)*BZ1143*in_loan_home_ticket*in_loan_home_comm</f>
        <v/>
      </c>
      <c r="CB1143" s="40">
        <f>CB1142*(1-IF(B1142&gt;=in_marketplace_from,d_hz_loan_lap*G1142,0)*CC1142)</f>
        <v/>
      </c>
      <c r="CC1143" s="11">
        <f>MIN(in_approval_cap,in_loan_lap_approval*INDEX('Age profile'!$O$2:$O$61,B1143)*(1+in_approval_growth)^(D1143-1))</f>
        <v/>
      </c>
      <c r="CD1143" s="14">
        <f>F1143*CB1143*IF(B1143&gt;=in_marketplace_from,d_hz_loan_lap*G1143,0)*CC1143*in_loan_lap_ticket*in_loan_lap_comm</f>
        <v/>
      </c>
      <c r="CE1143" s="14">
        <f>AA1143+AB1143+AC1143+AD1143+AG1143+AJ1143+AM1143+AP1143+AS1143+AU1143+AX1143+BB1143+BE1143+BG1143+BJ1143+BL1143+BO1143+BR1143+BT1143+BV1143+BX1143+CA1143+CD1143</f>
        <v/>
      </c>
    </row>
    <row r="1144">
      <c r="A1144" s="39" t="n">
        <v>24</v>
      </c>
      <c r="B1144" s="39" t="n">
        <v>16</v>
      </c>
      <c r="C1144" s="39">
        <f>A1144+B1144-1</f>
        <v/>
      </c>
      <c r="D1144" s="39">
        <f>INT((C1144-1)/12)+1</f>
        <v/>
      </c>
      <c r="E1144" s="44">
        <f>INDEX(Monthly!$B$2:$B$61,A1144)</f>
        <v/>
      </c>
      <c r="F1144" s="44">
        <f>E1144*INDEX('Age profile'!$B$2:$B$61,B1144)</f>
        <v/>
      </c>
      <c r="G1144" s="45">
        <f>MIN(in_takeup_cap,INDEX('Age profile'!$N$2:$N$61,B1144)*(1+in_takeup_growth)^(D1144-1))</f>
        <v/>
      </c>
      <c r="H1144" s="11">
        <f>MIN(in_approval_cap,in_approved_first*INDEX('Age profile'!$O$2:$O$61,B1144)*(1+in_approval_growth)^(D1144-1))</f>
        <v/>
      </c>
      <c r="I1144" s="45">
        <f>G1144*MIN(in_takeup_cap,INDEX('Age profile'!$O$2:$O$61,B1144)*(1+in_approval_growth)^(D1144-1))</f>
        <v/>
      </c>
      <c r="J1144" s="40">
        <f>(J1143-L1143)*F1144/F1143</f>
        <v/>
      </c>
      <c r="K1144" s="40">
        <f>(K1143-M1143)*F1144/F1143+SUMIFS(O1129:O1143,B1129:B1143,B1144-1-d_T)*F1144</f>
        <v/>
      </c>
      <c r="L1144" s="40">
        <f>IF(B1144&gt;=in_marketplace_from,J1144*d_hz*G1144*in_eligible*H1144,0)</f>
        <v/>
      </c>
      <c r="M1144" s="40">
        <f>IF(B1144&gt;=in_marketplace_from,K1144*d_hz*G1144*in_eligible*in_approved_repeat,0)</f>
        <v/>
      </c>
      <c r="N1144" s="40">
        <f>L1144+M1144</f>
        <v/>
      </c>
      <c r="O1144" s="46">
        <f>N1144/F1144</f>
        <v/>
      </c>
      <c r="P1144" s="40">
        <f>F1144-J1144-K1144</f>
        <v/>
      </c>
      <c r="Q1144" s="40">
        <f>IF(B1144&gt;=in_marketplace_from,(J1144+K1144)*d_hz*G1144,0)</f>
        <v/>
      </c>
      <c r="R1144" s="40">
        <f>SUMIFS(N1129:N1165,B1129:B1165,"&gt;="&amp;(B1144-d_T),B1129:B1165,"&lt;="&amp;(B1144-1))</f>
        <v/>
      </c>
      <c r="S1144" s="46">
        <f>(1-d_u)*S1143+IF(d_T&gt;in_topup_lag,SUMIFS(O1129:O1165,B1129:B1165,B1144-in_topup_lag)-d_udrop*SUMIFS(O1129:O1165,B1129:B1165,B1144-d_T),0)</f>
        <v/>
      </c>
      <c r="T1144" s="40">
        <f>F1144*d_u*S1144</f>
        <v/>
      </c>
      <c r="U1144" s="9">
        <f>L1144*in_ticket+M1144*d_rep_ticket</f>
        <v/>
      </c>
      <c r="V1144" s="9">
        <f>U1144+T1144*d_topup_amt</f>
        <v/>
      </c>
      <c r="W1144" s="40">
        <f>N1144+T1144*d_topup_ratio</f>
        <v/>
      </c>
      <c r="X1144" s="40">
        <f>SUMIFS(W1129:W1165,B1129:B1165,B1144-in_dpd_lag)*d_cured</f>
        <v/>
      </c>
      <c r="Y1144" s="40">
        <f>SUMIFS(W1129:W1165,B1129:B1165,B1144-in_rec_lag)*d_recd</f>
        <v/>
      </c>
      <c r="Z1144" s="40">
        <f>IF(AND(B1144&gt;=in_marketplace_from,B1144&lt;in_marketplace_from+in_card_months),in_card_share/in_card_months*F1144*I1144,IF(AND(B1144&gt;=in_marketplace_from+in_card_months,B1144&lt;in_marketplace_from+2*in_card_months),in_card_share*d_card_rem/in_card_months*F1144*MIN(in_takeup_cap,(1+in_takeup_growth)^(D1144-1))*MIN(in_takeup_cap,(1+in_approval_growth)^(D1144-1)),0))</f>
        <v/>
      </c>
      <c r="AA1144" s="14">
        <f>V1144*in_fee*(1-in_taken_back)</f>
        <v/>
      </c>
      <c r="AB1144" s="14">
        <f>SUMIFS(W1129:W1165,B1129:B1165,B1144-in_dpd_lag)*d_dpd</f>
        <v/>
      </c>
      <c r="AC1144" s="14">
        <f>SUMIFS(W1129:W1165,B1129:B1165,B1144-in_rec_lag)*d_rec</f>
        <v/>
      </c>
      <c r="AD1144" s="14">
        <f>Z1144*in_card_fee</f>
        <v/>
      </c>
      <c r="AE1144" s="40">
        <f>AE1143*(1-IF(B1143&gt;=in_marketplace_from,d_hz_hlth_small*G1143,0))</f>
        <v/>
      </c>
      <c r="AF1144" s="46">
        <f>AE1144*IF(B1144&gt;=in_marketplace_from,d_hz_hlth_small*G1144,0)</f>
        <v/>
      </c>
      <c r="AG1144" s="14">
        <f>F1144*AF1144*in_hlth_small_ticket*in_hlth_small_comm*in_ins_partner_share+F1144*in_hlth_small_ticket*in_hlth_small_renew_comm*in_ins_partner_share*(in_hlth_small_renew^1*SUMIFS(AF1129:AF1165,B1129:B1165,B1144-12)+in_hlth_small_renew^2*SUMIFS(AF1129:AF1165,B1129:B1165,B1144-24)+in_hlth_small_renew^3*SUMIFS(AF1129:AF1165,B1129:B1165,B1144-36)+in_hlth_small_renew^4*SUMIFS(AF1129:AF1165,B1129:B1165,B1144-48))</f>
        <v/>
      </c>
      <c r="AH1144" s="40">
        <f>AH1143*(1-IF(B1143&gt;=in_marketplace_from,d_hz_hlth_family*G1143,0))</f>
        <v/>
      </c>
      <c r="AI1144" s="46">
        <f>AH1144*IF(B1144&gt;=in_marketplace_from,d_hz_hlth_family*G1144,0)</f>
        <v/>
      </c>
      <c r="AJ1144" s="14">
        <f>F1144*AI1144*in_hlth_family_ticket*in_hlth_family_comm*in_ins_partner_share+F1144*in_hlth_family_ticket*in_hlth_family_renew_comm*in_ins_partner_share*(in_hlth_family_renew^1*SUMIFS(AI1129:AI1165,B1129:B1165,B1144-12)+in_hlth_family_renew^2*SUMIFS(AI1129:AI1165,B1129:B1165,B1144-24)+in_hlth_family_renew^3*SUMIFS(AI1129:AI1165,B1129:B1165,B1144-36)+in_hlth_family_renew^4*SUMIFS(AI1129:AI1165,B1129:B1165,B1144-48))</f>
        <v/>
      </c>
      <c r="AK1144" s="40">
        <f>AK1143*(1-IF(B1143&gt;=in_marketplace_from,d_hz_life_term*G1143,0))</f>
        <v/>
      </c>
      <c r="AL1144" s="46">
        <f>AK1144*IF(B1144&gt;=in_marketplace_from,d_hz_life_term*G1144,0)</f>
        <v/>
      </c>
      <c r="AM1144" s="14">
        <f>F1144*AL1144*in_life_term_ticket*in_life_term_comm*in_ins_partner_share+F1144*in_life_term_ticket*in_life_term_renew_comm*in_ins_partner_share*(in_life_term_renew^1*SUMIFS(AL1129:AL1165,B1129:B1165,B1144-12)+in_life_term_renew^2*SUMIFS(AL1129:AL1165,B1129:B1165,B1144-24)+in_life_term_renew^3*SUMIFS(AL1129:AL1165,B1129:B1165,B1144-36)+in_life_term_renew^4*SUMIFS(AL1129:AL1165,B1129:B1165,B1144-48))</f>
        <v/>
      </c>
      <c r="AN1144" s="40">
        <f>AN1143*(1-IF(B1143&gt;=in_marketplace_from,d_hz_accident*G1143,0))</f>
        <v/>
      </c>
      <c r="AO1144" s="46">
        <f>AN1144*IF(B1144&gt;=in_marketplace_from,d_hz_accident*G1144,0)</f>
        <v/>
      </c>
      <c r="AP1144" s="14">
        <f>F1144*AO1144*in_accident_ticket*in_accident_comm*in_ins_partner_share+F1144*in_accident_ticket*in_accident_renew_comm*in_ins_partner_share*(in_accident_renew^1*SUMIFS(AO1129:AO1165,B1129:B1165,B1144-12)+in_accident_renew^2*SUMIFS(AO1129:AO1165,B1129:B1165,B1144-24)+in_accident_renew^3*SUMIFS(AO1129:AO1165,B1129:B1165,B1144-36)+in_accident_renew^4*SUMIFS(AO1129:AO1165,B1129:B1165,B1144-48))</f>
        <v/>
      </c>
      <c r="AQ1144" s="40">
        <f>AQ1143*(1-IF(B1143&gt;=in_marketplace_from,d_hz_two_wheeler*G1143,0))</f>
        <v/>
      </c>
      <c r="AR1144" s="46">
        <f>AQ1144*IF(B1144&gt;=in_marketplace_from,d_hz_two_wheeler*G1144,0)</f>
        <v/>
      </c>
      <c r="AS1144" s="14">
        <f>F1144*AR1144*in_two_wheeler_ticket*in_two_wheeler_comm*in_ins_partner_share+F1144*in_two_wheeler_ticket*in_two_wheeler_comm*in_ins_partner_share*(in_two_wheeler_renew^1*SUMIFS(AR1129:AR1165,B1129:B1165,B1144-12)+in_two_wheeler_renew^2*SUMIFS(AR1129:AR1165,B1129:B1165,B1144-24)+in_two_wheeler_renew^3*SUMIFS(AR1129:AR1165,B1129:B1165,B1144-36)+in_two_wheeler_renew^4*SUMIFS(AR1129:AR1165,B1129:B1165,B1144-48))</f>
        <v/>
      </c>
      <c r="AT1144" s="40">
        <f>AT1143*(1-IF(B1143&gt;=in_marketplace_from,d_hz_device*G1143,0))</f>
        <v/>
      </c>
      <c r="AU1144" s="14">
        <f>F1144*AT1144*IF(B1144&gt;=in_marketplace_from,d_hz_device*G1144,0)*in_device_ticket*in_device_comm*in_ins_partner_share</f>
        <v/>
      </c>
      <c r="AV1144" s="40">
        <f>AV1143*(1-IF(B1143&gt;=in_marketplace_from,d_hz_shop*G1143,0))</f>
        <v/>
      </c>
      <c r="AW1144" s="46">
        <f>AV1144*IF(B1144&gt;=in_marketplace_from,d_hz_shop*G1144,0)</f>
        <v/>
      </c>
      <c r="AX1144" s="14">
        <f>F1144*AW1144*in_shop_ticket*in_shop_comm*in_ins_partner_share+F1144*in_shop_ticket*in_shop_renew_comm*in_ins_partner_share*(in_shop_renew^1*SUMIFS(AW1129:AW1165,B1129:B1165,B1144-12)+in_shop_renew^2*SUMIFS(AW1129:AW1165,B1129:B1165,B1144-24)+in_shop_renew^3*SUMIFS(AW1129:AW1165,B1129:B1165,B1144-36)+in_shop_renew^4*SUMIFS(AW1129:AW1165,B1129:B1165,B1144-48))</f>
        <v/>
      </c>
      <c r="AY1144" s="40">
        <f>AY1143*(1-IF(B1143&gt;=in_marketplace_from,d_hz_sip*G1143,0))</f>
        <v/>
      </c>
      <c r="AZ1144" s="40">
        <f>AZ1143*d_rho_sip+AY1144*IF(B1144&gt;=in_marketplace_from,d_hz_sip*G1144,0)</f>
        <v/>
      </c>
      <c r="BA1144" s="40">
        <f>d_rho_sip*(BA1143+AZ1143)</f>
        <v/>
      </c>
      <c r="BB1144" s="14">
        <f>F1144*in_sip_ticket*(BA1144+0.5*AZ1144)*in_sip_comm/12</f>
        <v/>
      </c>
      <c r="BC1144" s="40">
        <f>BC1143*(1-IF(B1143&gt;=in_marketplace_from,d_hz_choti*G1143,0))</f>
        <v/>
      </c>
      <c r="BD1144" s="46">
        <f>BC1144*IF(B1144&gt;=in_marketplace_from,d_hz_choti*G1144,0)</f>
        <v/>
      </c>
      <c r="BE1144" s="14">
        <f>F1144*SUMIFS(BD1129:BD1165,B1129:B1165,B1144-in_choti_months)*in_choti_renew*in_choti_ticket</f>
        <v/>
      </c>
      <c r="BF1144" s="40">
        <f>BF1143*(1-IF(B1143&gt;=in_marketplace_from,d_hz_nps*G1143,0))</f>
        <v/>
      </c>
      <c r="BG1144" s="14">
        <f>F1144*BF1144*IF(B1144&gt;=in_marketplace_from,d_hz_nps*G1144,0)*in_nps_ticket*in_nps_comm</f>
        <v/>
      </c>
      <c r="BH1144" s="40">
        <f>BH1143*(1-IF(B1143&gt;=in_marketplace_from,d_hz_gold*G1143,0))</f>
        <v/>
      </c>
      <c r="BI1144" s="40">
        <f>BI1143*d_rho_gold+BH1144*IF(B1144&gt;=in_marketplace_from,d_hz_gold*G1144,0)</f>
        <v/>
      </c>
      <c r="BJ1144" s="14">
        <f>F1144*BI1144*in_gold_ticket*in_gold_comm</f>
        <v/>
      </c>
      <c r="BK1144" s="40">
        <f>BK1143*(1-IF(B1143&gt;=in_marketplace_from,d_hz_fd*G1143,0))</f>
        <v/>
      </c>
      <c r="BL1144" s="14">
        <f>F1144*BK1144*IF(B1144&gt;=in_marketplace_from,d_hz_fd*G1144,0)*in_fd_ticket*in_fd_comm</f>
        <v/>
      </c>
      <c r="BM1144" s="40">
        <f>BM1143*(1-IF(B1143&gt;=in_marketplace_from,d_hz_recharge*G1143,0))</f>
        <v/>
      </c>
      <c r="BN1144" s="40">
        <f>BN1143*d_rho_recharge+BM1144*IF(B1144&gt;=in_marketplace_from,d_hz_recharge*G1144,0)</f>
        <v/>
      </c>
      <c r="BO1144" s="14">
        <f>F1144*BN1144*in_recharge_ticket*in_recharge_comm/12</f>
        <v/>
      </c>
      <c r="BP1144" s="40">
        <f>BP1143*(1-IF(B1143&gt;=in_marketplace_from,d_hz_bills*G1143,0))</f>
        <v/>
      </c>
      <c r="BQ1144" s="40">
        <f>BQ1143*d_rho_bills+BP1144*IF(B1144&gt;=in_marketplace_from,d_hz_bills*G1144,0)</f>
        <v/>
      </c>
      <c r="BR1144" s="14">
        <f>F1144*BQ1144*in_bills_ticket*in_bills_comm/12</f>
        <v/>
      </c>
      <c r="BS1144" s="40">
        <f>BS1143*(1-IF(B1143&gt;=in_marketplace_from,d_hz_loan_gold*G1143,0))</f>
        <v/>
      </c>
      <c r="BT1144" s="14">
        <f>F1144*BS1144*IF(B1144&gt;=in_marketplace_from,d_hz_loan_gold*G1144,0)*in_loan_gold_ticket*in_loan_gold_comm</f>
        <v/>
      </c>
      <c r="BU1144" s="40">
        <f>BU1143*(1-IF(B1143&gt;=in_marketplace_from,d_hz_loan_cd*G1143,0))</f>
        <v/>
      </c>
      <c r="BV1144" s="14">
        <f>F1144*BU1144*IF(B1144&gt;=in_marketplace_from,d_hz_loan_cd*G1144,0)*in_loan_cd_ticket*in_loan_cd_comm</f>
        <v/>
      </c>
      <c r="BW1144" s="40">
        <f>BW1143*(1-IF(B1143&gt;=in_marketplace_from,d_hz_loan_vehicle*G1143,0))</f>
        <v/>
      </c>
      <c r="BX1144" s="14">
        <f>F1144*BW1144*IF(B1144&gt;=in_marketplace_from,d_hz_loan_vehicle*G1144,0)*in_loan_vehicle_ticket*in_loan_vehicle_comm</f>
        <v/>
      </c>
      <c r="BY1144" s="40">
        <f>BY1143*(1-IF(B1143&gt;=in_marketplace_from,d_hz_loan_home*G1143,0)*BZ1143)</f>
        <v/>
      </c>
      <c r="BZ1144" s="11">
        <f>MIN(in_approval_cap,in_loan_home_approval*INDEX('Age profile'!$O$2:$O$61,B1144)*(1+in_approval_growth)^(D1144-1))</f>
        <v/>
      </c>
      <c r="CA1144" s="14">
        <f>F1144*BY1144*IF(B1144&gt;=in_marketplace_from,d_hz_loan_home*G1144,0)*BZ1144*in_loan_home_ticket*in_loan_home_comm</f>
        <v/>
      </c>
      <c r="CB1144" s="40">
        <f>CB1143*(1-IF(B1143&gt;=in_marketplace_from,d_hz_loan_lap*G1143,0)*CC1143)</f>
        <v/>
      </c>
      <c r="CC1144" s="11">
        <f>MIN(in_approval_cap,in_loan_lap_approval*INDEX('Age profile'!$O$2:$O$61,B1144)*(1+in_approval_growth)^(D1144-1))</f>
        <v/>
      </c>
      <c r="CD1144" s="14">
        <f>F1144*CB1144*IF(B1144&gt;=in_marketplace_from,d_hz_loan_lap*G1144,0)*CC1144*in_loan_lap_ticket*in_loan_lap_comm</f>
        <v/>
      </c>
      <c r="CE1144" s="14">
        <f>AA1144+AB1144+AC1144+AD1144+AG1144+AJ1144+AM1144+AP1144+AS1144+AU1144+AX1144+BB1144+BE1144+BG1144+BJ1144+BL1144+BO1144+BR1144+BT1144+BV1144+BX1144+CA1144+CD1144</f>
        <v/>
      </c>
    </row>
    <row r="1145">
      <c r="A1145" s="39" t="n">
        <v>24</v>
      </c>
      <c r="B1145" s="39" t="n">
        <v>17</v>
      </c>
      <c r="C1145" s="39">
        <f>A1145+B1145-1</f>
        <v/>
      </c>
      <c r="D1145" s="39">
        <f>INT((C1145-1)/12)+1</f>
        <v/>
      </c>
      <c r="E1145" s="44">
        <f>INDEX(Monthly!$B$2:$B$61,A1145)</f>
        <v/>
      </c>
      <c r="F1145" s="44">
        <f>E1145*INDEX('Age profile'!$B$2:$B$61,B1145)</f>
        <v/>
      </c>
      <c r="G1145" s="45">
        <f>MIN(in_takeup_cap,INDEX('Age profile'!$N$2:$N$61,B1145)*(1+in_takeup_growth)^(D1145-1))</f>
        <v/>
      </c>
      <c r="H1145" s="11">
        <f>MIN(in_approval_cap,in_approved_first*INDEX('Age profile'!$O$2:$O$61,B1145)*(1+in_approval_growth)^(D1145-1))</f>
        <v/>
      </c>
      <c r="I1145" s="45">
        <f>G1145*MIN(in_takeup_cap,INDEX('Age profile'!$O$2:$O$61,B1145)*(1+in_approval_growth)^(D1145-1))</f>
        <v/>
      </c>
      <c r="J1145" s="40">
        <f>(J1144-L1144)*F1145/F1144</f>
        <v/>
      </c>
      <c r="K1145" s="40">
        <f>(K1144-M1144)*F1145/F1144+SUMIFS(O1129:O1144,B1129:B1144,B1145-1-d_T)*F1145</f>
        <v/>
      </c>
      <c r="L1145" s="40">
        <f>IF(B1145&gt;=in_marketplace_from,J1145*d_hz*G1145*in_eligible*H1145,0)</f>
        <v/>
      </c>
      <c r="M1145" s="40">
        <f>IF(B1145&gt;=in_marketplace_from,K1145*d_hz*G1145*in_eligible*in_approved_repeat,0)</f>
        <v/>
      </c>
      <c r="N1145" s="40">
        <f>L1145+M1145</f>
        <v/>
      </c>
      <c r="O1145" s="46">
        <f>N1145/F1145</f>
        <v/>
      </c>
      <c r="P1145" s="40">
        <f>F1145-J1145-K1145</f>
        <v/>
      </c>
      <c r="Q1145" s="40">
        <f>IF(B1145&gt;=in_marketplace_from,(J1145+K1145)*d_hz*G1145,0)</f>
        <v/>
      </c>
      <c r="R1145" s="40">
        <f>SUMIFS(N1129:N1165,B1129:B1165,"&gt;="&amp;(B1145-d_T),B1129:B1165,"&lt;="&amp;(B1145-1))</f>
        <v/>
      </c>
      <c r="S1145" s="46">
        <f>(1-d_u)*S1144+IF(d_T&gt;in_topup_lag,SUMIFS(O1129:O1165,B1129:B1165,B1145-in_topup_lag)-d_udrop*SUMIFS(O1129:O1165,B1129:B1165,B1145-d_T),0)</f>
        <v/>
      </c>
      <c r="T1145" s="40">
        <f>F1145*d_u*S1145</f>
        <v/>
      </c>
      <c r="U1145" s="9">
        <f>L1145*in_ticket+M1145*d_rep_ticket</f>
        <v/>
      </c>
      <c r="V1145" s="9">
        <f>U1145+T1145*d_topup_amt</f>
        <v/>
      </c>
      <c r="W1145" s="40">
        <f>N1145+T1145*d_topup_ratio</f>
        <v/>
      </c>
      <c r="X1145" s="40">
        <f>SUMIFS(W1129:W1165,B1129:B1165,B1145-in_dpd_lag)*d_cured</f>
        <v/>
      </c>
      <c r="Y1145" s="40">
        <f>SUMIFS(W1129:W1165,B1129:B1165,B1145-in_rec_lag)*d_recd</f>
        <v/>
      </c>
      <c r="Z1145" s="40">
        <f>IF(AND(B1145&gt;=in_marketplace_from,B1145&lt;in_marketplace_from+in_card_months),in_card_share/in_card_months*F1145*I1145,IF(AND(B1145&gt;=in_marketplace_from+in_card_months,B1145&lt;in_marketplace_from+2*in_card_months),in_card_share*d_card_rem/in_card_months*F1145*MIN(in_takeup_cap,(1+in_takeup_growth)^(D1145-1))*MIN(in_takeup_cap,(1+in_approval_growth)^(D1145-1)),0))</f>
        <v/>
      </c>
      <c r="AA1145" s="14">
        <f>V1145*in_fee*(1-in_taken_back)</f>
        <v/>
      </c>
      <c r="AB1145" s="14">
        <f>SUMIFS(W1129:W1165,B1129:B1165,B1145-in_dpd_lag)*d_dpd</f>
        <v/>
      </c>
      <c r="AC1145" s="14">
        <f>SUMIFS(W1129:W1165,B1129:B1165,B1145-in_rec_lag)*d_rec</f>
        <v/>
      </c>
      <c r="AD1145" s="14">
        <f>Z1145*in_card_fee</f>
        <v/>
      </c>
      <c r="AE1145" s="40">
        <f>AE1144*(1-IF(B1144&gt;=in_marketplace_from,d_hz_hlth_small*G1144,0))</f>
        <v/>
      </c>
      <c r="AF1145" s="46">
        <f>AE1145*IF(B1145&gt;=in_marketplace_from,d_hz_hlth_small*G1145,0)</f>
        <v/>
      </c>
      <c r="AG1145" s="14">
        <f>F1145*AF1145*in_hlth_small_ticket*in_hlth_small_comm*in_ins_partner_share+F1145*in_hlth_small_ticket*in_hlth_small_renew_comm*in_ins_partner_share*(in_hlth_small_renew^1*SUMIFS(AF1129:AF1165,B1129:B1165,B1145-12)+in_hlth_small_renew^2*SUMIFS(AF1129:AF1165,B1129:B1165,B1145-24)+in_hlth_small_renew^3*SUMIFS(AF1129:AF1165,B1129:B1165,B1145-36)+in_hlth_small_renew^4*SUMIFS(AF1129:AF1165,B1129:B1165,B1145-48))</f>
        <v/>
      </c>
      <c r="AH1145" s="40">
        <f>AH1144*(1-IF(B1144&gt;=in_marketplace_from,d_hz_hlth_family*G1144,0))</f>
        <v/>
      </c>
      <c r="AI1145" s="46">
        <f>AH1145*IF(B1145&gt;=in_marketplace_from,d_hz_hlth_family*G1145,0)</f>
        <v/>
      </c>
      <c r="AJ1145" s="14">
        <f>F1145*AI1145*in_hlth_family_ticket*in_hlth_family_comm*in_ins_partner_share+F1145*in_hlth_family_ticket*in_hlth_family_renew_comm*in_ins_partner_share*(in_hlth_family_renew^1*SUMIFS(AI1129:AI1165,B1129:B1165,B1145-12)+in_hlth_family_renew^2*SUMIFS(AI1129:AI1165,B1129:B1165,B1145-24)+in_hlth_family_renew^3*SUMIFS(AI1129:AI1165,B1129:B1165,B1145-36)+in_hlth_family_renew^4*SUMIFS(AI1129:AI1165,B1129:B1165,B1145-48))</f>
        <v/>
      </c>
      <c r="AK1145" s="40">
        <f>AK1144*(1-IF(B1144&gt;=in_marketplace_from,d_hz_life_term*G1144,0))</f>
        <v/>
      </c>
      <c r="AL1145" s="46">
        <f>AK1145*IF(B1145&gt;=in_marketplace_from,d_hz_life_term*G1145,0)</f>
        <v/>
      </c>
      <c r="AM1145" s="14">
        <f>F1145*AL1145*in_life_term_ticket*in_life_term_comm*in_ins_partner_share+F1145*in_life_term_ticket*in_life_term_renew_comm*in_ins_partner_share*(in_life_term_renew^1*SUMIFS(AL1129:AL1165,B1129:B1165,B1145-12)+in_life_term_renew^2*SUMIFS(AL1129:AL1165,B1129:B1165,B1145-24)+in_life_term_renew^3*SUMIFS(AL1129:AL1165,B1129:B1165,B1145-36)+in_life_term_renew^4*SUMIFS(AL1129:AL1165,B1129:B1165,B1145-48))</f>
        <v/>
      </c>
      <c r="AN1145" s="40">
        <f>AN1144*(1-IF(B1144&gt;=in_marketplace_from,d_hz_accident*G1144,0))</f>
        <v/>
      </c>
      <c r="AO1145" s="46">
        <f>AN1145*IF(B1145&gt;=in_marketplace_from,d_hz_accident*G1145,0)</f>
        <v/>
      </c>
      <c r="AP1145" s="14">
        <f>F1145*AO1145*in_accident_ticket*in_accident_comm*in_ins_partner_share+F1145*in_accident_ticket*in_accident_renew_comm*in_ins_partner_share*(in_accident_renew^1*SUMIFS(AO1129:AO1165,B1129:B1165,B1145-12)+in_accident_renew^2*SUMIFS(AO1129:AO1165,B1129:B1165,B1145-24)+in_accident_renew^3*SUMIFS(AO1129:AO1165,B1129:B1165,B1145-36)+in_accident_renew^4*SUMIFS(AO1129:AO1165,B1129:B1165,B1145-48))</f>
        <v/>
      </c>
      <c r="AQ1145" s="40">
        <f>AQ1144*(1-IF(B1144&gt;=in_marketplace_from,d_hz_two_wheeler*G1144,0))</f>
        <v/>
      </c>
      <c r="AR1145" s="46">
        <f>AQ1145*IF(B1145&gt;=in_marketplace_from,d_hz_two_wheeler*G1145,0)</f>
        <v/>
      </c>
      <c r="AS1145" s="14">
        <f>F1145*AR1145*in_two_wheeler_ticket*in_two_wheeler_comm*in_ins_partner_share+F1145*in_two_wheeler_ticket*in_two_wheeler_comm*in_ins_partner_share*(in_two_wheeler_renew^1*SUMIFS(AR1129:AR1165,B1129:B1165,B1145-12)+in_two_wheeler_renew^2*SUMIFS(AR1129:AR1165,B1129:B1165,B1145-24)+in_two_wheeler_renew^3*SUMIFS(AR1129:AR1165,B1129:B1165,B1145-36)+in_two_wheeler_renew^4*SUMIFS(AR1129:AR1165,B1129:B1165,B1145-48))</f>
        <v/>
      </c>
      <c r="AT1145" s="40">
        <f>AT1144*(1-IF(B1144&gt;=in_marketplace_from,d_hz_device*G1144,0))</f>
        <v/>
      </c>
      <c r="AU1145" s="14">
        <f>F1145*AT1145*IF(B1145&gt;=in_marketplace_from,d_hz_device*G1145,0)*in_device_ticket*in_device_comm*in_ins_partner_share</f>
        <v/>
      </c>
      <c r="AV1145" s="40">
        <f>AV1144*(1-IF(B1144&gt;=in_marketplace_from,d_hz_shop*G1144,0))</f>
        <v/>
      </c>
      <c r="AW1145" s="46">
        <f>AV1145*IF(B1145&gt;=in_marketplace_from,d_hz_shop*G1145,0)</f>
        <v/>
      </c>
      <c r="AX1145" s="14">
        <f>F1145*AW1145*in_shop_ticket*in_shop_comm*in_ins_partner_share+F1145*in_shop_ticket*in_shop_renew_comm*in_ins_partner_share*(in_shop_renew^1*SUMIFS(AW1129:AW1165,B1129:B1165,B1145-12)+in_shop_renew^2*SUMIFS(AW1129:AW1165,B1129:B1165,B1145-24)+in_shop_renew^3*SUMIFS(AW1129:AW1165,B1129:B1165,B1145-36)+in_shop_renew^4*SUMIFS(AW1129:AW1165,B1129:B1165,B1145-48))</f>
        <v/>
      </c>
      <c r="AY1145" s="40">
        <f>AY1144*(1-IF(B1144&gt;=in_marketplace_from,d_hz_sip*G1144,0))</f>
        <v/>
      </c>
      <c r="AZ1145" s="40">
        <f>AZ1144*d_rho_sip+AY1145*IF(B1145&gt;=in_marketplace_from,d_hz_sip*G1145,0)</f>
        <v/>
      </c>
      <c r="BA1145" s="40">
        <f>d_rho_sip*(BA1144+AZ1144)</f>
        <v/>
      </c>
      <c r="BB1145" s="14">
        <f>F1145*in_sip_ticket*(BA1145+0.5*AZ1145)*in_sip_comm/12</f>
        <v/>
      </c>
      <c r="BC1145" s="40">
        <f>BC1144*(1-IF(B1144&gt;=in_marketplace_from,d_hz_choti*G1144,0))</f>
        <v/>
      </c>
      <c r="BD1145" s="46">
        <f>BC1145*IF(B1145&gt;=in_marketplace_from,d_hz_choti*G1145,0)</f>
        <v/>
      </c>
      <c r="BE1145" s="14">
        <f>F1145*SUMIFS(BD1129:BD1165,B1129:B1165,B1145-in_choti_months)*in_choti_renew*in_choti_ticket</f>
        <v/>
      </c>
      <c r="BF1145" s="40">
        <f>BF1144*(1-IF(B1144&gt;=in_marketplace_from,d_hz_nps*G1144,0))</f>
        <v/>
      </c>
      <c r="BG1145" s="14">
        <f>F1145*BF1145*IF(B1145&gt;=in_marketplace_from,d_hz_nps*G1145,0)*in_nps_ticket*in_nps_comm</f>
        <v/>
      </c>
      <c r="BH1145" s="40">
        <f>BH1144*(1-IF(B1144&gt;=in_marketplace_from,d_hz_gold*G1144,0))</f>
        <v/>
      </c>
      <c r="BI1145" s="40">
        <f>BI1144*d_rho_gold+BH1145*IF(B1145&gt;=in_marketplace_from,d_hz_gold*G1145,0)</f>
        <v/>
      </c>
      <c r="BJ1145" s="14">
        <f>F1145*BI1145*in_gold_ticket*in_gold_comm</f>
        <v/>
      </c>
      <c r="BK1145" s="40">
        <f>BK1144*(1-IF(B1144&gt;=in_marketplace_from,d_hz_fd*G1144,0))</f>
        <v/>
      </c>
      <c r="BL1145" s="14">
        <f>F1145*BK1145*IF(B1145&gt;=in_marketplace_from,d_hz_fd*G1145,0)*in_fd_ticket*in_fd_comm</f>
        <v/>
      </c>
      <c r="BM1145" s="40">
        <f>BM1144*(1-IF(B1144&gt;=in_marketplace_from,d_hz_recharge*G1144,0))</f>
        <v/>
      </c>
      <c r="BN1145" s="40">
        <f>BN1144*d_rho_recharge+BM1145*IF(B1145&gt;=in_marketplace_from,d_hz_recharge*G1145,0)</f>
        <v/>
      </c>
      <c r="BO1145" s="14">
        <f>F1145*BN1145*in_recharge_ticket*in_recharge_comm/12</f>
        <v/>
      </c>
      <c r="BP1145" s="40">
        <f>BP1144*(1-IF(B1144&gt;=in_marketplace_from,d_hz_bills*G1144,0))</f>
        <v/>
      </c>
      <c r="BQ1145" s="40">
        <f>BQ1144*d_rho_bills+BP1145*IF(B1145&gt;=in_marketplace_from,d_hz_bills*G1145,0)</f>
        <v/>
      </c>
      <c r="BR1145" s="14">
        <f>F1145*BQ1145*in_bills_ticket*in_bills_comm/12</f>
        <v/>
      </c>
      <c r="BS1145" s="40">
        <f>BS1144*(1-IF(B1144&gt;=in_marketplace_from,d_hz_loan_gold*G1144,0))</f>
        <v/>
      </c>
      <c r="BT1145" s="14">
        <f>F1145*BS1145*IF(B1145&gt;=in_marketplace_from,d_hz_loan_gold*G1145,0)*in_loan_gold_ticket*in_loan_gold_comm</f>
        <v/>
      </c>
      <c r="BU1145" s="40">
        <f>BU1144*(1-IF(B1144&gt;=in_marketplace_from,d_hz_loan_cd*G1144,0))</f>
        <v/>
      </c>
      <c r="BV1145" s="14">
        <f>F1145*BU1145*IF(B1145&gt;=in_marketplace_from,d_hz_loan_cd*G1145,0)*in_loan_cd_ticket*in_loan_cd_comm</f>
        <v/>
      </c>
      <c r="BW1145" s="40">
        <f>BW1144*(1-IF(B1144&gt;=in_marketplace_from,d_hz_loan_vehicle*G1144,0))</f>
        <v/>
      </c>
      <c r="BX1145" s="14">
        <f>F1145*BW1145*IF(B1145&gt;=in_marketplace_from,d_hz_loan_vehicle*G1145,0)*in_loan_vehicle_ticket*in_loan_vehicle_comm</f>
        <v/>
      </c>
      <c r="BY1145" s="40">
        <f>BY1144*(1-IF(B1144&gt;=in_marketplace_from,d_hz_loan_home*G1144,0)*BZ1144)</f>
        <v/>
      </c>
      <c r="BZ1145" s="11">
        <f>MIN(in_approval_cap,in_loan_home_approval*INDEX('Age profile'!$O$2:$O$61,B1145)*(1+in_approval_growth)^(D1145-1))</f>
        <v/>
      </c>
      <c r="CA1145" s="14">
        <f>F1145*BY1145*IF(B1145&gt;=in_marketplace_from,d_hz_loan_home*G1145,0)*BZ1145*in_loan_home_ticket*in_loan_home_comm</f>
        <v/>
      </c>
      <c r="CB1145" s="40">
        <f>CB1144*(1-IF(B1144&gt;=in_marketplace_from,d_hz_loan_lap*G1144,0)*CC1144)</f>
        <v/>
      </c>
      <c r="CC1145" s="11">
        <f>MIN(in_approval_cap,in_loan_lap_approval*INDEX('Age profile'!$O$2:$O$61,B1145)*(1+in_approval_growth)^(D1145-1))</f>
        <v/>
      </c>
      <c r="CD1145" s="14">
        <f>F1145*CB1145*IF(B1145&gt;=in_marketplace_from,d_hz_loan_lap*G1145,0)*CC1145*in_loan_lap_ticket*in_loan_lap_comm</f>
        <v/>
      </c>
      <c r="CE1145" s="14">
        <f>AA1145+AB1145+AC1145+AD1145+AG1145+AJ1145+AM1145+AP1145+AS1145+AU1145+AX1145+BB1145+BE1145+BG1145+BJ1145+BL1145+BO1145+BR1145+BT1145+BV1145+BX1145+CA1145+CD1145</f>
        <v/>
      </c>
    </row>
    <row r="1146">
      <c r="A1146" s="39" t="n">
        <v>24</v>
      </c>
      <c r="B1146" s="39" t="n">
        <v>18</v>
      </c>
      <c r="C1146" s="39">
        <f>A1146+B1146-1</f>
        <v/>
      </c>
      <c r="D1146" s="39">
        <f>INT((C1146-1)/12)+1</f>
        <v/>
      </c>
      <c r="E1146" s="44">
        <f>INDEX(Monthly!$B$2:$B$61,A1146)</f>
        <v/>
      </c>
      <c r="F1146" s="44">
        <f>E1146*INDEX('Age profile'!$B$2:$B$61,B1146)</f>
        <v/>
      </c>
      <c r="G1146" s="45">
        <f>MIN(in_takeup_cap,INDEX('Age profile'!$N$2:$N$61,B1146)*(1+in_takeup_growth)^(D1146-1))</f>
        <v/>
      </c>
      <c r="H1146" s="11">
        <f>MIN(in_approval_cap,in_approved_first*INDEX('Age profile'!$O$2:$O$61,B1146)*(1+in_approval_growth)^(D1146-1))</f>
        <v/>
      </c>
      <c r="I1146" s="45">
        <f>G1146*MIN(in_takeup_cap,INDEX('Age profile'!$O$2:$O$61,B1146)*(1+in_approval_growth)^(D1146-1))</f>
        <v/>
      </c>
      <c r="J1146" s="40">
        <f>(J1145-L1145)*F1146/F1145</f>
        <v/>
      </c>
      <c r="K1146" s="40">
        <f>(K1145-M1145)*F1146/F1145+SUMIFS(O1129:O1145,B1129:B1145,B1146-1-d_T)*F1146</f>
        <v/>
      </c>
      <c r="L1146" s="40">
        <f>IF(B1146&gt;=in_marketplace_from,J1146*d_hz*G1146*in_eligible*H1146,0)</f>
        <v/>
      </c>
      <c r="M1146" s="40">
        <f>IF(B1146&gt;=in_marketplace_from,K1146*d_hz*G1146*in_eligible*in_approved_repeat,0)</f>
        <v/>
      </c>
      <c r="N1146" s="40">
        <f>L1146+M1146</f>
        <v/>
      </c>
      <c r="O1146" s="46">
        <f>N1146/F1146</f>
        <v/>
      </c>
      <c r="P1146" s="40">
        <f>F1146-J1146-K1146</f>
        <v/>
      </c>
      <c r="Q1146" s="40">
        <f>IF(B1146&gt;=in_marketplace_from,(J1146+K1146)*d_hz*G1146,0)</f>
        <v/>
      </c>
      <c r="R1146" s="40">
        <f>SUMIFS(N1129:N1165,B1129:B1165,"&gt;="&amp;(B1146-d_T),B1129:B1165,"&lt;="&amp;(B1146-1))</f>
        <v/>
      </c>
      <c r="S1146" s="46">
        <f>(1-d_u)*S1145+IF(d_T&gt;in_topup_lag,SUMIFS(O1129:O1165,B1129:B1165,B1146-in_topup_lag)-d_udrop*SUMIFS(O1129:O1165,B1129:B1165,B1146-d_T),0)</f>
        <v/>
      </c>
      <c r="T1146" s="40">
        <f>F1146*d_u*S1146</f>
        <v/>
      </c>
      <c r="U1146" s="9">
        <f>L1146*in_ticket+M1146*d_rep_ticket</f>
        <v/>
      </c>
      <c r="V1146" s="9">
        <f>U1146+T1146*d_topup_amt</f>
        <v/>
      </c>
      <c r="W1146" s="40">
        <f>N1146+T1146*d_topup_ratio</f>
        <v/>
      </c>
      <c r="X1146" s="40">
        <f>SUMIFS(W1129:W1165,B1129:B1165,B1146-in_dpd_lag)*d_cured</f>
        <v/>
      </c>
      <c r="Y1146" s="40">
        <f>SUMIFS(W1129:W1165,B1129:B1165,B1146-in_rec_lag)*d_recd</f>
        <v/>
      </c>
      <c r="Z1146" s="40">
        <f>IF(AND(B1146&gt;=in_marketplace_from,B1146&lt;in_marketplace_from+in_card_months),in_card_share/in_card_months*F1146*I1146,IF(AND(B1146&gt;=in_marketplace_from+in_card_months,B1146&lt;in_marketplace_from+2*in_card_months),in_card_share*d_card_rem/in_card_months*F1146*MIN(in_takeup_cap,(1+in_takeup_growth)^(D1146-1))*MIN(in_takeup_cap,(1+in_approval_growth)^(D1146-1)),0))</f>
        <v/>
      </c>
      <c r="AA1146" s="14">
        <f>V1146*in_fee*(1-in_taken_back)</f>
        <v/>
      </c>
      <c r="AB1146" s="14">
        <f>SUMIFS(W1129:W1165,B1129:B1165,B1146-in_dpd_lag)*d_dpd</f>
        <v/>
      </c>
      <c r="AC1146" s="14">
        <f>SUMIFS(W1129:W1165,B1129:B1165,B1146-in_rec_lag)*d_rec</f>
        <v/>
      </c>
      <c r="AD1146" s="14">
        <f>Z1146*in_card_fee</f>
        <v/>
      </c>
      <c r="AE1146" s="40">
        <f>AE1145*(1-IF(B1145&gt;=in_marketplace_from,d_hz_hlth_small*G1145,0))</f>
        <v/>
      </c>
      <c r="AF1146" s="46">
        <f>AE1146*IF(B1146&gt;=in_marketplace_from,d_hz_hlth_small*G1146,0)</f>
        <v/>
      </c>
      <c r="AG1146" s="14">
        <f>F1146*AF1146*in_hlth_small_ticket*in_hlth_small_comm*in_ins_partner_share+F1146*in_hlth_small_ticket*in_hlth_small_renew_comm*in_ins_partner_share*(in_hlth_small_renew^1*SUMIFS(AF1129:AF1165,B1129:B1165,B1146-12)+in_hlth_small_renew^2*SUMIFS(AF1129:AF1165,B1129:B1165,B1146-24)+in_hlth_small_renew^3*SUMIFS(AF1129:AF1165,B1129:B1165,B1146-36)+in_hlth_small_renew^4*SUMIFS(AF1129:AF1165,B1129:B1165,B1146-48))</f>
        <v/>
      </c>
      <c r="AH1146" s="40">
        <f>AH1145*(1-IF(B1145&gt;=in_marketplace_from,d_hz_hlth_family*G1145,0))</f>
        <v/>
      </c>
      <c r="AI1146" s="46">
        <f>AH1146*IF(B1146&gt;=in_marketplace_from,d_hz_hlth_family*G1146,0)</f>
        <v/>
      </c>
      <c r="AJ1146" s="14">
        <f>F1146*AI1146*in_hlth_family_ticket*in_hlth_family_comm*in_ins_partner_share+F1146*in_hlth_family_ticket*in_hlth_family_renew_comm*in_ins_partner_share*(in_hlth_family_renew^1*SUMIFS(AI1129:AI1165,B1129:B1165,B1146-12)+in_hlth_family_renew^2*SUMIFS(AI1129:AI1165,B1129:B1165,B1146-24)+in_hlth_family_renew^3*SUMIFS(AI1129:AI1165,B1129:B1165,B1146-36)+in_hlth_family_renew^4*SUMIFS(AI1129:AI1165,B1129:B1165,B1146-48))</f>
        <v/>
      </c>
      <c r="AK1146" s="40">
        <f>AK1145*(1-IF(B1145&gt;=in_marketplace_from,d_hz_life_term*G1145,0))</f>
        <v/>
      </c>
      <c r="AL1146" s="46">
        <f>AK1146*IF(B1146&gt;=in_marketplace_from,d_hz_life_term*G1146,0)</f>
        <v/>
      </c>
      <c r="AM1146" s="14">
        <f>F1146*AL1146*in_life_term_ticket*in_life_term_comm*in_ins_partner_share+F1146*in_life_term_ticket*in_life_term_renew_comm*in_ins_partner_share*(in_life_term_renew^1*SUMIFS(AL1129:AL1165,B1129:B1165,B1146-12)+in_life_term_renew^2*SUMIFS(AL1129:AL1165,B1129:B1165,B1146-24)+in_life_term_renew^3*SUMIFS(AL1129:AL1165,B1129:B1165,B1146-36)+in_life_term_renew^4*SUMIFS(AL1129:AL1165,B1129:B1165,B1146-48))</f>
        <v/>
      </c>
      <c r="AN1146" s="40">
        <f>AN1145*(1-IF(B1145&gt;=in_marketplace_from,d_hz_accident*G1145,0))</f>
        <v/>
      </c>
      <c r="AO1146" s="46">
        <f>AN1146*IF(B1146&gt;=in_marketplace_from,d_hz_accident*G1146,0)</f>
        <v/>
      </c>
      <c r="AP1146" s="14">
        <f>F1146*AO1146*in_accident_ticket*in_accident_comm*in_ins_partner_share+F1146*in_accident_ticket*in_accident_renew_comm*in_ins_partner_share*(in_accident_renew^1*SUMIFS(AO1129:AO1165,B1129:B1165,B1146-12)+in_accident_renew^2*SUMIFS(AO1129:AO1165,B1129:B1165,B1146-24)+in_accident_renew^3*SUMIFS(AO1129:AO1165,B1129:B1165,B1146-36)+in_accident_renew^4*SUMIFS(AO1129:AO1165,B1129:B1165,B1146-48))</f>
        <v/>
      </c>
      <c r="AQ1146" s="40">
        <f>AQ1145*(1-IF(B1145&gt;=in_marketplace_from,d_hz_two_wheeler*G1145,0))</f>
        <v/>
      </c>
      <c r="AR1146" s="46">
        <f>AQ1146*IF(B1146&gt;=in_marketplace_from,d_hz_two_wheeler*G1146,0)</f>
        <v/>
      </c>
      <c r="AS1146" s="14">
        <f>F1146*AR1146*in_two_wheeler_ticket*in_two_wheeler_comm*in_ins_partner_share+F1146*in_two_wheeler_ticket*in_two_wheeler_comm*in_ins_partner_share*(in_two_wheeler_renew^1*SUMIFS(AR1129:AR1165,B1129:B1165,B1146-12)+in_two_wheeler_renew^2*SUMIFS(AR1129:AR1165,B1129:B1165,B1146-24)+in_two_wheeler_renew^3*SUMIFS(AR1129:AR1165,B1129:B1165,B1146-36)+in_two_wheeler_renew^4*SUMIFS(AR1129:AR1165,B1129:B1165,B1146-48))</f>
        <v/>
      </c>
      <c r="AT1146" s="40">
        <f>AT1145*(1-IF(B1145&gt;=in_marketplace_from,d_hz_device*G1145,0))</f>
        <v/>
      </c>
      <c r="AU1146" s="14">
        <f>F1146*AT1146*IF(B1146&gt;=in_marketplace_from,d_hz_device*G1146,0)*in_device_ticket*in_device_comm*in_ins_partner_share</f>
        <v/>
      </c>
      <c r="AV1146" s="40">
        <f>AV1145*(1-IF(B1145&gt;=in_marketplace_from,d_hz_shop*G1145,0))</f>
        <v/>
      </c>
      <c r="AW1146" s="46">
        <f>AV1146*IF(B1146&gt;=in_marketplace_from,d_hz_shop*G1146,0)</f>
        <v/>
      </c>
      <c r="AX1146" s="14">
        <f>F1146*AW1146*in_shop_ticket*in_shop_comm*in_ins_partner_share+F1146*in_shop_ticket*in_shop_renew_comm*in_ins_partner_share*(in_shop_renew^1*SUMIFS(AW1129:AW1165,B1129:B1165,B1146-12)+in_shop_renew^2*SUMIFS(AW1129:AW1165,B1129:B1165,B1146-24)+in_shop_renew^3*SUMIFS(AW1129:AW1165,B1129:B1165,B1146-36)+in_shop_renew^4*SUMIFS(AW1129:AW1165,B1129:B1165,B1146-48))</f>
        <v/>
      </c>
      <c r="AY1146" s="40">
        <f>AY1145*(1-IF(B1145&gt;=in_marketplace_from,d_hz_sip*G1145,0))</f>
        <v/>
      </c>
      <c r="AZ1146" s="40">
        <f>AZ1145*d_rho_sip+AY1146*IF(B1146&gt;=in_marketplace_from,d_hz_sip*G1146,0)</f>
        <v/>
      </c>
      <c r="BA1146" s="40">
        <f>d_rho_sip*(BA1145+AZ1145)</f>
        <v/>
      </c>
      <c r="BB1146" s="14">
        <f>F1146*in_sip_ticket*(BA1146+0.5*AZ1146)*in_sip_comm/12</f>
        <v/>
      </c>
      <c r="BC1146" s="40">
        <f>BC1145*(1-IF(B1145&gt;=in_marketplace_from,d_hz_choti*G1145,0))</f>
        <v/>
      </c>
      <c r="BD1146" s="46">
        <f>BC1146*IF(B1146&gt;=in_marketplace_from,d_hz_choti*G1146,0)</f>
        <v/>
      </c>
      <c r="BE1146" s="14">
        <f>F1146*SUMIFS(BD1129:BD1165,B1129:B1165,B1146-in_choti_months)*in_choti_renew*in_choti_ticket</f>
        <v/>
      </c>
      <c r="BF1146" s="40">
        <f>BF1145*(1-IF(B1145&gt;=in_marketplace_from,d_hz_nps*G1145,0))</f>
        <v/>
      </c>
      <c r="BG1146" s="14">
        <f>F1146*BF1146*IF(B1146&gt;=in_marketplace_from,d_hz_nps*G1146,0)*in_nps_ticket*in_nps_comm</f>
        <v/>
      </c>
      <c r="BH1146" s="40">
        <f>BH1145*(1-IF(B1145&gt;=in_marketplace_from,d_hz_gold*G1145,0))</f>
        <v/>
      </c>
      <c r="BI1146" s="40">
        <f>BI1145*d_rho_gold+BH1146*IF(B1146&gt;=in_marketplace_from,d_hz_gold*G1146,0)</f>
        <v/>
      </c>
      <c r="BJ1146" s="14">
        <f>F1146*BI1146*in_gold_ticket*in_gold_comm</f>
        <v/>
      </c>
      <c r="BK1146" s="40">
        <f>BK1145*(1-IF(B1145&gt;=in_marketplace_from,d_hz_fd*G1145,0))</f>
        <v/>
      </c>
      <c r="BL1146" s="14">
        <f>F1146*BK1146*IF(B1146&gt;=in_marketplace_from,d_hz_fd*G1146,0)*in_fd_ticket*in_fd_comm</f>
        <v/>
      </c>
      <c r="BM1146" s="40">
        <f>BM1145*(1-IF(B1145&gt;=in_marketplace_from,d_hz_recharge*G1145,0))</f>
        <v/>
      </c>
      <c r="BN1146" s="40">
        <f>BN1145*d_rho_recharge+BM1146*IF(B1146&gt;=in_marketplace_from,d_hz_recharge*G1146,0)</f>
        <v/>
      </c>
      <c r="BO1146" s="14">
        <f>F1146*BN1146*in_recharge_ticket*in_recharge_comm/12</f>
        <v/>
      </c>
      <c r="BP1146" s="40">
        <f>BP1145*(1-IF(B1145&gt;=in_marketplace_from,d_hz_bills*G1145,0))</f>
        <v/>
      </c>
      <c r="BQ1146" s="40">
        <f>BQ1145*d_rho_bills+BP1146*IF(B1146&gt;=in_marketplace_from,d_hz_bills*G1146,0)</f>
        <v/>
      </c>
      <c r="BR1146" s="14">
        <f>F1146*BQ1146*in_bills_ticket*in_bills_comm/12</f>
        <v/>
      </c>
      <c r="BS1146" s="40">
        <f>BS1145*(1-IF(B1145&gt;=in_marketplace_from,d_hz_loan_gold*G1145,0))</f>
        <v/>
      </c>
      <c r="BT1146" s="14">
        <f>F1146*BS1146*IF(B1146&gt;=in_marketplace_from,d_hz_loan_gold*G1146,0)*in_loan_gold_ticket*in_loan_gold_comm</f>
        <v/>
      </c>
      <c r="BU1146" s="40">
        <f>BU1145*(1-IF(B1145&gt;=in_marketplace_from,d_hz_loan_cd*G1145,0))</f>
        <v/>
      </c>
      <c r="BV1146" s="14">
        <f>F1146*BU1146*IF(B1146&gt;=in_marketplace_from,d_hz_loan_cd*G1146,0)*in_loan_cd_ticket*in_loan_cd_comm</f>
        <v/>
      </c>
      <c r="BW1146" s="40">
        <f>BW1145*(1-IF(B1145&gt;=in_marketplace_from,d_hz_loan_vehicle*G1145,0))</f>
        <v/>
      </c>
      <c r="BX1146" s="14">
        <f>F1146*BW1146*IF(B1146&gt;=in_marketplace_from,d_hz_loan_vehicle*G1146,0)*in_loan_vehicle_ticket*in_loan_vehicle_comm</f>
        <v/>
      </c>
      <c r="BY1146" s="40">
        <f>BY1145*(1-IF(B1145&gt;=in_marketplace_from,d_hz_loan_home*G1145,0)*BZ1145)</f>
        <v/>
      </c>
      <c r="BZ1146" s="11">
        <f>MIN(in_approval_cap,in_loan_home_approval*INDEX('Age profile'!$O$2:$O$61,B1146)*(1+in_approval_growth)^(D1146-1))</f>
        <v/>
      </c>
      <c r="CA1146" s="14">
        <f>F1146*BY1146*IF(B1146&gt;=in_marketplace_from,d_hz_loan_home*G1146,0)*BZ1146*in_loan_home_ticket*in_loan_home_comm</f>
        <v/>
      </c>
      <c r="CB1146" s="40">
        <f>CB1145*(1-IF(B1145&gt;=in_marketplace_from,d_hz_loan_lap*G1145,0)*CC1145)</f>
        <v/>
      </c>
      <c r="CC1146" s="11">
        <f>MIN(in_approval_cap,in_loan_lap_approval*INDEX('Age profile'!$O$2:$O$61,B1146)*(1+in_approval_growth)^(D1146-1))</f>
        <v/>
      </c>
      <c r="CD1146" s="14">
        <f>F1146*CB1146*IF(B1146&gt;=in_marketplace_from,d_hz_loan_lap*G1146,0)*CC1146*in_loan_lap_ticket*in_loan_lap_comm</f>
        <v/>
      </c>
      <c r="CE1146" s="14">
        <f>AA1146+AB1146+AC1146+AD1146+AG1146+AJ1146+AM1146+AP1146+AS1146+AU1146+AX1146+BB1146+BE1146+BG1146+BJ1146+BL1146+BO1146+BR1146+BT1146+BV1146+BX1146+CA1146+CD1146</f>
        <v/>
      </c>
    </row>
    <row r="1147">
      <c r="A1147" s="39" t="n">
        <v>24</v>
      </c>
      <c r="B1147" s="39" t="n">
        <v>19</v>
      </c>
      <c r="C1147" s="39">
        <f>A1147+B1147-1</f>
        <v/>
      </c>
      <c r="D1147" s="39">
        <f>INT((C1147-1)/12)+1</f>
        <v/>
      </c>
      <c r="E1147" s="44">
        <f>INDEX(Monthly!$B$2:$B$61,A1147)</f>
        <v/>
      </c>
      <c r="F1147" s="44">
        <f>E1147*INDEX('Age profile'!$B$2:$B$61,B1147)</f>
        <v/>
      </c>
      <c r="G1147" s="45">
        <f>MIN(in_takeup_cap,INDEX('Age profile'!$N$2:$N$61,B1147)*(1+in_takeup_growth)^(D1147-1))</f>
        <v/>
      </c>
      <c r="H1147" s="11">
        <f>MIN(in_approval_cap,in_approved_first*INDEX('Age profile'!$O$2:$O$61,B1147)*(1+in_approval_growth)^(D1147-1))</f>
        <v/>
      </c>
      <c r="I1147" s="45">
        <f>G1147*MIN(in_takeup_cap,INDEX('Age profile'!$O$2:$O$61,B1147)*(1+in_approval_growth)^(D1147-1))</f>
        <v/>
      </c>
      <c r="J1147" s="40">
        <f>(J1146-L1146)*F1147/F1146</f>
        <v/>
      </c>
      <c r="K1147" s="40">
        <f>(K1146-M1146)*F1147/F1146+SUMIFS(O1129:O1146,B1129:B1146,B1147-1-d_T)*F1147</f>
        <v/>
      </c>
      <c r="L1147" s="40">
        <f>IF(B1147&gt;=in_marketplace_from,J1147*d_hz*G1147*in_eligible*H1147,0)</f>
        <v/>
      </c>
      <c r="M1147" s="40">
        <f>IF(B1147&gt;=in_marketplace_from,K1147*d_hz*G1147*in_eligible*in_approved_repeat,0)</f>
        <v/>
      </c>
      <c r="N1147" s="40">
        <f>L1147+M1147</f>
        <v/>
      </c>
      <c r="O1147" s="46">
        <f>N1147/F1147</f>
        <v/>
      </c>
      <c r="P1147" s="40">
        <f>F1147-J1147-K1147</f>
        <v/>
      </c>
      <c r="Q1147" s="40">
        <f>IF(B1147&gt;=in_marketplace_from,(J1147+K1147)*d_hz*G1147,0)</f>
        <v/>
      </c>
      <c r="R1147" s="40">
        <f>SUMIFS(N1129:N1165,B1129:B1165,"&gt;="&amp;(B1147-d_T),B1129:B1165,"&lt;="&amp;(B1147-1))</f>
        <v/>
      </c>
      <c r="S1147" s="46">
        <f>(1-d_u)*S1146+IF(d_T&gt;in_topup_lag,SUMIFS(O1129:O1165,B1129:B1165,B1147-in_topup_lag)-d_udrop*SUMIFS(O1129:O1165,B1129:B1165,B1147-d_T),0)</f>
        <v/>
      </c>
      <c r="T1147" s="40">
        <f>F1147*d_u*S1147</f>
        <v/>
      </c>
      <c r="U1147" s="9">
        <f>L1147*in_ticket+M1147*d_rep_ticket</f>
        <v/>
      </c>
      <c r="V1147" s="9">
        <f>U1147+T1147*d_topup_amt</f>
        <v/>
      </c>
      <c r="W1147" s="40">
        <f>N1147+T1147*d_topup_ratio</f>
        <v/>
      </c>
      <c r="X1147" s="40">
        <f>SUMIFS(W1129:W1165,B1129:B1165,B1147-in_dpd_lag)*d_cured</f>
        <v/>
      </c>
      <c r="Y1147" s="40">
        <f>SUMIFS(W1129:W1165,B1129:B1165,B1147-in_rec_lag)*d_recd</f>
        <v/>
      </c>
      <c r="Z1147" s="40">
        <f>IF(AND(B1147&gt;=in_marketplace_from,B1147&lt;in_marketplace_from+in_card_months),in_card_share/in_card_months*F1147*I1147,IF(AND(B1147&gt;=in_marketplace_from+in_card_months,B1147&lt;in_marketplace_from+2*in_card_months),in_card_share*d_card_rem/in_card_months*F1147*MIN(in_takeup_cap,(1+in_takeup_growth)^(D1147-1))*MIN(in_takeup_cap,(1+in_approval_growth)^(D1147-1)),0))</f>
        <v/>
      </c>
      <c r="AA1147" s="14">
        <f>V1147*in_fee*(1-in_taken_back)</f>
        <v/>
      </c>
      <c r="AB1147" s="14">
        <f>SUMIFS(W1129:W1165,B1129:B1165,B1147-in_dpd_lag)*d_dpd</f>
        <v/>
      </c>
      <c r="AC1147" s="14">
        <f>SUMIFS(W1129:W1165,B1129:B1165,B1147-in_rec_lag)*d_rec</f>
        <v/>
      </c>
      <c r="AD1147" s="14">
        <f>Z1147*in_card_fee</f>
        <v/>
      </c>
      <c r="AE1147" s="40">
        <f>AE1146*(1-IF(B1146&gt;=in_marketplace_from,d_hz_hlth_small*G1146,0))</f>
        <v/>
      </c>
      <c r="AF1147" s="46">
        <f>AE1147*IF(B1147&gt;=in_marketplace_from,d_hz_hlth_small*G1147,0)</f>
        <v/>
      </c>
      <c r="AG1147" s="14">
        <f>F1147*AF1147*in_hlth_small_ticket*in_hlth_small_comm*in_ins_partner_share+F1147*in_hlth_small_ticket*in_hlth_small_renew_comm*in_ins_partner_share*(in_hlth_small_renew^1*SUMIFS(AF1129:AF1165,B1129:B1165,B1147-12)+in_hlth_small_renew^2*SUMIFS(AF1129:AF1165,B1129:B1165,B1147-24)+in_hlth_small_renew^3*SUMIFS(AF1129:AF1165,B1129:B1165,B1147-36)+in_hlth_small_renew^4*SUMIFS(AF1129:AF1165,B1129:B1165,B1147-48))</f>
        <v/>
      </c>
      <c r="AH1147" s="40">
        <f>AH1146*(1-IF(B1146&gt;=in_marketplace_from,d_hz_hlth_family*G1146,0))</f>
        <v/>
      </c>
      <c r="AI1147" s="46">
        <f>AH1147*IF(B1147&gt;=in_marketplace_from,d_hz_hlth_family*G1147,0)</f>
        <v/>
      </c>
      <c r="AJ1147" s="14">
        <f>F1147*AI1147*in_hlth_family_ticket*in_hlth_family_comm*in_ins_partner_share+F1147*in_hlth_family_ticket*in_hlth_family_renew_comm*in_ins_partner_share*(in_hlth_family_renew^1*SUMIFS(AI1129:AI1165,B1129:B1165,B1147-12)+in_hlth_family_renew^2*SUMIFS(AI1129:AI1165,B1129:B1165,B1147-24)+in_hlth_family_renew^3*SUMIFS(AI1129:AI1165,B1129:B1165,B1147-36)+in_hlth_family_renew^4*SUMIFS(AI1129:AI1165,B1129:B1165,B1147-48))</f>
        <v/>
      </c>
      <c r="AK1147" s="40">
        <f>AK1146*(1-IF(B1146&gt;=in_marketplace_from,d_hz_life_term*G1146,0))</f>
        <v/>
      </c>
      <c r="AL1147" s="46">
        <f>AK1147*IF(B1147&gt;=in_marketplace_from,d_hz_life_term*G1147,0)</f>
        <v/>
      </c>
      <c r="AM1147" s="14">
        <f>F1147*AL1147*in_life_term_ticket*in_life_term_comm*in_ins_partner_share+F1147*in_life_term_ticket*in_life_term_renew_comm*in_ins_partner_share*(in_life_term_renew^1*SUMIFS(AL1129:AL1165,B1129:B1165,B1147-12)+in_life_term_renew^2*SUMIFS(AL1129:AL1165,B1129:B1165,B1147-24)+in_life_term_renew^3*SUMIFS(AL1129:AL1165,B1129:B1165,B1147-36)+in_life_term_renew^4*SUMIFS(AL1129:AL1165,B1129:B1165,B1147-48))</f>
        <v/>
      </c>
      <c r="AN1147" s="40">
        <f>AN1146*(1-IF(B1146&gt;=in_marketplace_from,d_hz_accident*G1146,0))</f>
        <v/>
      </c>
      <c r="AO1147" s="46">
        <f>AN1147*IF(B1147&gt;=in_marketplace_from,d_hz_accident*G1147,0)</f>
        <v/>
      </c>
      <c r="AP1147" s="14">
        <f>F1147*AO1147*in_accident_ticket*in_accident_comm*in_ins_partner_share+F1147*in_accident_ticket*in_accident_renew_comm*in_ins_partner_share*(in_accident_renew^1*SUMIFS(AO1129:AO1165,B1129:B1165,B1147-12)+in_accident_renew^2*SUMIFS(AO1129:AO1165,B1129:B1165,B1147-24)+in_accident_renew^3*SUMIFS(AO1129:AO1165,B1129:B1165,B1147-36)+in_accident_renew^4*SUMIFS(AO1129:AO1165,B1129:B1165,B1147-48))</f>
        <v/>
      </c>
      <c r="AQ1147" s="40">
        <f>AQ1146*(1-IF(B1146&gt;=in_marketplace_from,d_hz_two_wheeler*G1146,0))</f>
        <v/>
      </c>
      <c r="AR1147" s="46">
        <f>AQ1147*IF(B1147&gt;=in_marketplace_from,d_hz_two_wheeler*G1147,0)</f>
        <v/>
      </c>
      <c r="AS1147" s="14">
        <f>F1147*AR1147*in_two_wheeler_ticket*in_two_wheeler_comm*in_ins_partner_share+F1147*in_two_wheeler_ticket*in_two_wheeler_comm*in_ins_partner_share*(in_two_wheeler_renew^1*SUMIFS(AR1129:AR1165,B1129:B1165,B1147-12)+in_two_wheeler_renew^2*SUMIFS(AR1129:AR1165,B1129:B1165,B1147-24)+in_two_wheeler_renew^3*SUMIFS(AR1129:AR1165,B1129:B1165,B1147-36)+in_two_wheeler_renew^4*SUMIFS(AR1129:AR1165,B1129:B1165,B1147-48))</f>
        <v/>
      </c>
      <c r="AT1147" s="40">
        <f>AT1146*(1-IF(B1146&gt;=in_marketplace_from,d_hz_device*G1146,0))</f>
        <v/>
      </c>
      <c r="AU1147" s="14">
        <f>F1147*AT1147*IF(B1147&gt;=in_marketplace_from,d_hz_device*G1147,0)*in_device_ticket*in_device_comm*in_ins_partner_share</f>
        <v/>
      </c>
      <c r="AV1147" s="40">
        <f>AV1146*(1-IF(B1146&gt;=in_marketplace_from,d_hz_shop*G1146,0))</f>
        <v/>
      </c>
      <c r="AW1147" s="46">
        <f>AV1147*IF(B1147&gt;=in_marketplace_from,d_hz_shop*G1147,0)</f>
        <v/>
      </c>
      <c r="AX1147" s="14">
        <f>F1147*AW1147*in_shop_ticket*in_shop_comm*in_ins_partner_share+F1147*in_shop_ticket*in_shop_renew_comm*in_ins_partner_share*(in_shop_renew^1*SUMIFS(AW1129:AW1165,B1129:B1165,B1147-12)+in_shop_renew^2*SUMIFS(AW1129:AW1165,B1129:B1165,B1147-24)+in_shop_renew^3*SUMIFS(AW1129:AW1165,B1129:B1165,B1147-36)+in_shop_renew^4*SUMIFS(AW1129:AW1165,B1129:B1165,B1147-48))</f>
        <v/>
      </c>
      <c r="AY1147" s="40">
        <f>AY1146*(1-IF(B1146&gt;=in_marketplace_from,d_hz_sip*G1146,0))</f>
        <v/>
      </c>
      <c r="AZ1147" s="40">
        <f>AZ1146*d_rho_sip+AY1147*IF(B1147&gt;=in_marketplace_from,d_hz_sip*G1147,0)</f>
        <v/>
      </c>
      <c r="BA1147" s="40">
        <f>d_rho_sip*(BA1146+AZ1146)</f>
        <v/>
      </c>
      <c r="BB1147" s="14">
        <f>F1147*in_sip_ticket*(BA1147+0.5*AZ1147)*in_sip_comm/12</f>
        <v/>
      </c>
      <c r="BC1147" s="40">
        <f>BC1146*(1-IF(B1146&gt;=in_marketplace_from,d_hz_choti*G1146,0))</f>
        <v/>
      </c>
      <c r="BD1147" s="46">
        <f>BC1147*IF(B1147&gt;=in_marketplace_from,d_hz_choti*G1147,0)</f>
        <v/>
      </c>
      <c r="BE1147" s="14">
        <f>F1147*SUMIFS(BD1129:BD1165,B1129:B1165,B1147-in_choti_months)*in_choti_renew*in_choti_ticket</f>
        <v/>
      </c>
      <c r="BF1147" s="40">
        <f>BF1146*(1-IF(B1146&gt;=in_marketplace_from,d_hz_nps*G1146,0))</f>
        <v/>
      </c>
      <c r="BG1147" s="14">
        <f>F1147*BF1147*IF(B1147&gt;=in_marketplace_from,d_hz_nps*G1147,0)*in_nps_ticket*in_nps_comm</f>
        <v/>
      </c>
      <c r="BH1147" s="40">
        <f>BH1146*(1-IF(B1146&gt;=in_marketplace_from,d_hz_gold*G1146,0))</f>
        <v/>
      </c>
      <c r="BI1147" s="40">
        <f>BI1146*d_rho_gold+BH1147*IF(B1147&gt;=in_marketplace_from,d_hz_gold*G1147,0)</f>
        <v/>
      </c>
      <c r="BJ1147" s="14">
        <f>F1147*BI1147*in_gold_ticket*in_gold_comm</f>
        <v/>
      </c>
      <c r="BK1147" s="40">
        <f>BK1146*(1-IF(B1146&gt;=in_marketplace_from,d_hz_fd*G1146,0))</f>
        <v/>
      </c>
      <c r="BL1147" s="14">
        <f>F1147*BK1147*IF(B1147&gt;=in_marketplace_from,d_hz_fd*G1147,0)*in_fd_ticket*in_fd_comm</f>
        <v/>
      </c>
      <c r="BM1147" s="40">
        <f>BM1146*(1-IF(B1146&gt;=in_marketplace_from,d_hz_recharge*G1146,0))</f>
        <v/>
      </c>
      <c r="BN1147" s="40">
        <f>BN1146*d_rho_recharge+BM1147*IF(B1147&gt;=in_marketplace_from,d_hz_recharge*G1147,0)</f>
        <v/>
      </c>
      <c r="BO1147" s="14">
        <f>F1147*BN1147*in_recharge_ticket*in_recharge_comm/12</f>
        <v/>
      </c>
      <c r="BP1147" s="40">
        <f>BP1146*(1-IF(B1146&gt;=in_marketplace_from,d_hz_bills*G1146,0))</f>
        <v/>
      </c>
      <c r="BQ1147" s="40">
        <f>BQ1146*d_rho_bills+BP1147*IF(B1147&gt;=in_marketplace_from,d_hz_bills*G1147,0)</f>
        <v/>
      </c>
      <c r="BR1147" s="14">
        <f>F1147*BQ1147*in_bills_ticket*in_bills_comm/12</f>
        <v/>
      </c>
      <c r="BS1147" s="40">
        <f>BS1146*(1-IF(B1146&gt;=in_marketplace_from,d_hz_loan_gold*G1146,0))</f>
        <v/>
      </c>
      <c r="BT1147" s="14">
        <f>F1147*BS1147*IF(B1147&gt;=in_marketplace_from,d_hz_loan_gold*G1147,0)*in_loan_gold_ticket*in_loan_gold_comm</f>
        <v/>
      </c>
      <c r="BU1147" s="40">
        <f>BU1146*(1-IF(B1146&gt;=in_marketplace_from,d_hz_loan_cd*G1146,0))</f>
        <v/>
      </c>
      <c r="BV1147" s="14">
        <f>F1147*BU1147*IF(B1147&gt;=in_marketplace_from,d_hz_loan_cd*G1147,0)*in_loan_cd_ticket*in_loan_cd_comm</f>
        <v/>
      </c>
      <c r="BW1147" s="40">
        <f>BW1146*(1-IF(B1146&gt;=in_marketplace_from,d_hz_loan_vehicle*G1146,0))</f>
        <v/>
      </c>
      <c r="BX1147" s="14">
        <f>F1147*BW1147*IF(B1147&gt;=in_marketplace_from,d_hz_loan_vehicle*G1147,0)*in_loan_vehicle_ticket*in_loan_vehicle_comm</f>
        <v/>
      </c>
      <c r="BY1147" s="40">
        <f>BY1146*(1-IF(B1146&gt;=in_marketplace_from,d_hz_loan_home*G1146,0)*BZ1146)</f>
        <v/>
      </c>
      <c r="BZ1147" s="11">
        <f>MIN(in_approval_cap,in_loan_home_approval*INDEX('Age profile'!$O$2:$O$61,B1147)*(1+in_approval_growth)^(D1147-1))</f>
        <v/>
      </c>
      <c r="CA1147" s="14">
        <f>F1147*BY1147*IF(B1147&gt;=in_marketplace_from,d_hz_loan_home*G1147,0)*BZ1147*in_loan_home_ticket*in_loan_home_comm</f>
        <v/>
      </c>
      <c r="CB1147" s="40">
        <f>CB1146*(1-IF(B1146&gt;=in_marketplace_from,d_hz_loan_lap*G1146,0)*CC1146)</f>
        <v/>
      </c>
      <c r="CC1147" s="11">
        <f>MIN(in_approval_cap,in_loan_lap_approval*INDEX('Age profile'!$O$2:$O$61,B1147)*(1+in_approval_growth)^(D1147-1))</f>
        <v/>
      </c>
      <c r="CD1147" s="14">
        <f>F1147*CB1147*IF(B1147&gt;=in_marketplace_from,d_hz_loan_lap*G1147,0)*CC1147*in_loan_lap_ticket*in_loan_lap_comm</f>
        <v/>
      </c>
      <c r="CE1147" s="14">
        <f>AA1147+AB1147+AC1147+AD1147+AG1147+AJ1147+AM1147+AP1147+AS1147+AU1147+AX1147+BB1147+BE1147+BG1147+BJ1147+BL1147+BO1147+BR1147+BT1147+BV1147+BX1147+CA1147+CD1147</f>
        <v/>
      </c>
    </row>
    <row r="1148">
      <c r="A1148" s="39" t="n">
        <v>24</v>
      </c>
      <c r="B1148" s="39" t="n">
        <v>20</v>
      </c>
      <c r="C1148" s="39">
        <f>A1148+B1148-1</f>
        <v/>
      </c>
      <c r="D1148" s="39">
        <f>INT((C1148-1)/12)+1</f>
        <v/>
      </c>
      <c r="E1148" s="44">
        <f>INDEX(Monthly!$B$2:$B$61,A1148)</f>
        <v/>
      </c>
      <c r="F1148" s="44">
        <f>E1148*INDEX('Age profile'!$B$2:$B$61,B1148)</f>
        <v/>
      </c>
      <c r="G1148" s="45">
        <f>MIN(in_takeup_cap,INDEX('Age profile'!$N$2:$N$61,B1148)*(1+in_takeup_growth)^(D1148-1))</f>
        <v/>
      </c>
      <c r="H1148" s="11">
        <f>MIN(in_approval_cap,in_approved_first*INDEX('Age profile'!$O$2:$O$61,B1148)*(1+in_approval_growth)^(D1148-1))</f>
        <v/>
      </c>
      <c r="I1148" s="45">
        <f>G1148*MIN(in_takeup_cap,INDEX('Age profile'!$O$2:$O$61,B1148)*(1+in_approval_growth)^(D1148-1))</f>
        <v/>
      </c>
      <c r="J1148" s="40">
        <f>(J1147-L1147)*F1148/F1147</f>
        <v/>
      </c>
      <c r="K1148" s="40">
        <f>(K1147-M1147)*F1148/F1147+SUMIFS(O1129:O1147,B1129:B1147,B1148-1-d_T)*F1148</f>
        <v/>
      </c>
      <c r="L1148" s="40">
        <f>IF(B1148&gt;=in_marketplace_from,J1148*d_hz*G1148*in_eligible*H1148,0)</f>
        <v/>
      </c>
      <c r="M1148" s="40">
        <f>IF(B1148&gt;=in_marketplace_from,K1148*d_hz*G1148*in_eligible*in_approved_repeat,0)</f>
        <v/>
      </c>
      <c r="N1148" s="40">
        <f>L1148+M1148</f>
        <v/>
      </c>
      <c r="O1148" s="46">
        <f>N1148/F1148</f>
        <v/>
      </c>
      <c r="P1148" s="40">
        <f>F1148-J1148-K1148</f>
        <v/>
      </c>
      <c r="Q1148" s="40">
        <f>IF(B1148&gt;=in_marketplace_from,(J1148+K1148)*d_hz*G1148,0)</f>
        <v/>
      </c>
      <c r="R1148" s="40">
        <f>SUMIFS(N1129:N1165,B1129:B1165,"&gt;="&amp;(B1148-d_T),B1129:B1165,"&lt;="&amp;(B1148-1))</f>
        <v/>
      </c>
      <c r="S1148" s="46">
        <f>(1-d_u)*S1147+IF(d_T&gt;in_topup_lag,SUMIFS(O1129:O1165,B1129:B1165,B1148-in_topup_lag)-d_udrop*SUMIFS(O1129:O1165,B1129:B1165,B1148-d_T),0)</f>
        <v/>
      </c>
      <c r="T1148" s="40">
        <f>F1148*d_u*S1148</f>
        <v/>
      </c>
      <c r="U1148" s="9">
        <f>L1148*in_ticket+M1148*d_rep_ticket</f>
        <v/>
      </c>
      <c r="V1148" s="9">
        <f>U1148+T1148*d_topup_amt</f>
        <v/>
      </c>
      <c r="W1148" s="40">
        <f>N1148+T1148*d_topup_ratio</f>
        <v/>
      </c>
      <c r="X1148" s="40">
        <f>SUMIFS(W1129:W1165,B1129:B1165,B1148-in_dpd_lag)*d_cured</f>
        <v/>
      </c>
      <c r="Y1148" s="40">
        <f>SUMIFS(W1129:W1165,B1129:B1165,B1148-in_rec_lag)*d_recd</f>
        <v/>
      </c>
      <c r="Z1148" s="40">
        <f>IF(AND(B1148&gt;=in_marketplace_from,B1148&lt;in_marketplace_from+in_card_months),in_card_share/in_card_months*F1148*I1148,IF(AND(B1148&gt;=in_marketplace_from+in_card_months,B1148&lt;in_marketplace_from+2*in_card_months),in_card_share*d_card_rem/in_card_months*F1148*MIN(in_takeup_cap,(1+in_takeup_growth)^(D1148-1))*MIN(in_takeup_cap,(1+in_approval_growth)^(D1148-1)),0))</f>
        <v/>
      </c>
      <c r="AA1148" s="14">
        <f>V1148*in_fee*(1-in_taken_back)</f>
        <v/>
      </c>
      <c r="AB1148" s="14">
        <f>SUMIFS(W1129:W1165,B1129:B1165,B1148-in_dpd_lag)*d_dpd</f>
        <v/>
      </c>
      <c r="AC1148" s="14">
        <f>SUMIFS(W1129:W1165,B1129:B1165,B1148-in_rec_lag)*d_rec</f>
        <v/>
      </c>
      <c r="AD1148" s="14">
        <f>Z1148*in_card_fee</f>
        <v/>
      </c>
      <c r="AE1148" s="40">
        <f>AE1147*(1-IF(B1147&gt;=in_marketplace_from,d_hz_hlth_small*G1147,0))</f>
        <v/>
      </c>
      <c r="AF1148" s="46">
        <f>AE1148*IF(B1148&gt;=in_marketplace_from,d_hz_hlth_small*G1148,0)</f>
        <v/>
      </c>
      <c r="AG1148" s="14">
        <f>F1148*AF1148*in_hlth_small_ticket*in_hlth_small_comm*in_ins_partner_share+F1148*in_hlth_small_ticket*in_hlth_small_renew_comm*in_ins_partner_share*(in_hlth_small_renew^1*SUMIFS(AF1129:AF1165,B1129:B1165,B1148-12)+in_hlth_small_renew^2*SUMIFS(AF1129:AF1165,B1129:B1165,B1148-24)+in_hlth_small_renew^3*SUMIFS(AF1129:AF1165,B1129:B1165,B1148-36)+in_hlth_small_renew^4*SUMIFS(AF1129:AF1165,B1129:B1165,B1148-48))</f>
        <v/>
      </c>
      <c r="AH1148" s="40">
        <f>AH1147*(1-IF(B1147&gt;=in_marketplace_from,d_hz_hlth_family*G1147,0))</f>
        <v/>
      </c>
      <c r="AI1148" s="46">
        <f>AH1148*IF(B1148&gt;=in_marketplace_from,d_hz_hlth_family*G1148,0)</f>
        <v/>
      </c>
      <c r="AJ1148" s="14">
        <f>F1148*AI1148*in_hlth_family_ticket*in_hlth_family_comm*in_ins_partner_share+F1148*in_hlth_family_ticket*in_hlth_family_renew_comm*in_ins_partner_share*(in_hlth_family_renew^1*SUMIFS(AI1129:AI1165,B1129:B1165,B1148-12)+in_hlth_family_renew^2*SUMIFS(AI1129:AI1165,B1129:B1165,B1148-24)+in_hlth_family_renew^3*SUMIFS(AI1129:AI1165,B1129:B1165,B1148-36)+in_hlth_family_renew^4*SUMIFS(AI1129:AI1165,B1129:B1165,B1148-48))</f>
        <v/>
      </c>
      <c r="AK1148" s="40">
        <f>AK1147*(1-IF(B1147&gt;=in_marketplace_from,d_hz_life_term*G1147,0))</f>
        <v/>
      </c>
      <c r="AL1148" s="46">
        <f>AK1148*IF(B1148&gt;=in_marketplace_from,d_hz_life_term*G1148,0)</f>
        <v/>
      </c>
      <c r="AM1148" s="14">
        <f>F1148*AL1148*in_life_term_ticket*in_life_term_comm*in_ins_partner_share+F1148*in_life_term_ticket*in_life_term_renew_comm*in_ins_partner_share*(in_life_term_renew^1*SUMIFS(AL1129:AL1165,B1129:B1165,B1148-12)+in_life_term_renew^2*SUMIFS(AL1129:AL1165,B1129:B1165,B1148-24)+in_life_term_renew^3*SUMIFS(AL1129:AL1165,B1129:B1165,B1148-36)+in_life_term_renew^4*SUMIFS(AL1129:AL1165,B1129:B1165,B1148-48))</f>
        <v/>
      </c>
      <c r="AN1148" s="40">
        <f>AN1147*(1-IF(B1147&gt;=in_marketplace_from,d_hz_accident*G1147,0))</f>
        <v/>
      </c>
      <c r="AO1148" s="46">
        <f>AN1148*IF(B1148&gt;=in_marketplace_from,d_hz_accident*G1148,0)</f>
        <v/>
      </c>
      <c r="AP1148" s="14">
        <f>F1148*AO1148*in_accident_ticket*in_accident_comm*in_ins_partner_share+F1148*in_accident_ticket*in_accident_renew_comm*in_ins_partner_share*(in_accident_renew^1*SUMIFS(AO1129:AO1165,B1129:B1165,B1148-12)+in_accident_renew^2*SUMIFS(AO1129:AO1165,B1129:B1165,B1148-24)+in_accident_renew^3*SUMIFS(AO1129:AO1165,B1129:B1165,B1148-36)+in_accident_renew^4*SUMIFS(AO1129:AO1165,B1129:B1165,B1148-48))</f>
        <v/>
      </c>
      <c r="AQ1148" s="40">
        <f>AQ1147*(1-IF(B1147&gt;=in_marketplace_from,d_hz_two_wheeler*G1147,0))</f>
        <v/>
      </c>
      <c r="AR1148" s="46">
        <f>AQ1148*IF(B1148&gt;=in_marketplace_from,d_hz_two_wheeler*G1148,0)</f>
        <v/>
      </c>
      <c r="AS1148" s="14">
        <f>F1148*AR1148*in_two_wheeler_ticket*in_two_wheeler_comm*in_ins_partner_share+F1148*in_two_wheeler_ticket*in_two_wheeler_comm*in_ins_partner_share*(in_two_wheeler_renew^1*SUMIFS(AR1129:AR1165,B1129:B1165,B1148-12)+in_two_wheeler_renew^2*SUMIFS(AR1129:AR1165,B1129:B1165,B1148-24)+in_two_wheeler_renew^3*SUMIFS(AR1129:AR1165,B1129:B1165,B1148-36)+in_two_wheeler_renew^4*SUMIFS(AR1129:AR1165,B1129:B1165,B1148-48))</f>
        <v/>
      </c>
      <c r="AT1148" s="40">
        <f>AT1147*(1-IF(B1147&gt;=in_marketplace_from,d_hz_device*G1147,0))</f>
        <v/>
      </c>
      <c r="AU1148" s="14">
        <f>F1148*AT1148*IF(B1148&gt;=in_marketplace_from,d_hz_device*G1148,0)*in_device_ticket*in_device_comm*in_ins_partner_share</f>
        <v/>
      </c>
      <c r="AV1148" s="40">
        <f>AV1147*(1-IF(B1147&gt;=in_marketplace_from,d_hz_shop*G1147,0))</f>
        <v/>
      </c>
      <c r="AW1148" s="46">
        <f>AV1148*IF(B1148&gt;=in_marketplace_from,d_hz_shop*G1148,0)</f>
        <v/>
      </c>
      <c r="AX1148" s="14">
        <f>F1148*AW1148*in_shop_ticket*in_shop_comm*in_ins_partner_share+F1148*in_shop_ticket*in_shop_renew_comm*in_ins_partner_share*(in_shop_renew^1*SUMIFS(AW1129:AW1165,B1129:B1165,B1148-12)+in_shop_renew^2*SUMIFS(AW1129:AW1165,B1129:B1165,B1148-24)+in_shop_renew^3*SUMIFS(AW1129:AW1165,B1129:B1165,B1148-36)+in_shop_renew^4*SUMIFS(AW1129:AW1165,B1129:B1165,B1148-48))</f>
        <v/>
      </c>
      <c r="AY1148" s="40">
        <f>AY1147*(1-IF(B1147&gt;=in_marketplace_from,d_hz_sip*G1147,0))</f>
        <v/>
      </c>
      <c r="AZ1148" s="40">
        <f>AZ1147*d_rho_sip+AY1148*IF(B1148&gt;=in_marketplace_from,d_hz_sip*G1148,0)</f>
        <v/>
      </c>
      <c r="BA1148" s="40">
        <f>d_rho_sip*(BA1147+AZ1147)</f>
        <v/>
      </c>
      <c r="BB1148" s="14">
        <f>F1148*in_sip_ticket*(BA1148+0.5*AZ1148)*in_sip_comm/12</f>
        <v/>
      </c>
      <c r="BC1148" s="40">
        <f>BC1147*(1-IF(B1147&gt;=in_marketplace_from,d_hz_choti*G1147,0))</f>
        <v/>
      </c>
      <c r="BD1148" s="46">
        <f>BC1148*IF(B1148&gt;=in_marketplace_from,d_hz_choti*G1148,0)</f>
        <v/>
      </c>
      <c r="BE1148" s="14">
        <f>F1148*SUMIFS(BD1129:BD1165,B1129:B1165,B1148-in_choti_months)*in_choti_renew*in_choti_ticket</f>
        <v/>
      </c>
      <c r="BF1148" s="40">
        <f>BF1147*(1-IF(B1147&gt;=in_marketplace_from,d_hz_nps*G1147,0))</f>
        <v/>
      </c>
      <c r="BG1148" s="14">
        <f>F1148*BF1148*IF(B1148&gt;=in_marketplace_from,d_hz_nps*G1148,0)*in_nps_ticket*in_nps_comm</f>
        <v/>
      </c>
      <c r="BH1148" s="40">
        <f>BH1147*(1-IF(B1147&gt;=in_marketplace_from,d_hz_gold*G1147,0))</f>
        <v/>
      </c>
      <c r="BI1148" s="40">
        <f>BI1147*d_rho_gold+BH1148*IF(B1148&gt;=in_marketplace_from,d_hz_gold*G1148,0)</f>
        <v/>
      </c>
      <c r="BJ1148" s="14">
        <f>F1148*BI1148*in_gold_ticket*in_gold_comm</f>
        <v/>
      </c>
      <c r="BK1148" s="40">
        <f>BK1147*(1-IF(B1147&gt;=in_marketplace_from,d_hz_fd*G1147,0))</f>
        <v/>
      </c>
      <c r="BL1148" s="14">
        <f>F1148*BK1148*IF(B1148&gt;=in_marketplace_from,d_hz_fd*G1148,0)*in_fd_ticket*in_fd_comm</f>
        <v/>
      </c>
      <c r="BM1148" s="40">
        <f>BM1147*(1-IF(B1147&gt;=in_marketplace_from,d_hz_recharge*G1147,0))</f>
        <v/>
      </c>
      <c r="BN1148" s="40">
        <f>BN1147*d_rho_recharge+BM1148*IF(B1148&gt;=in_marketplace_from,d_hz_recharge*G1148,0)</f>
        <v/>
      </c>
      <c r="BO1148" s="14">
        <f>F1148*BN1148*in_recharge_ticket*in_recharge_comm/12</f>
        <v/>
      </c>
      <c r="BP1148" s="40">
        <f>BP1147*(1-IF(B1147&gt;=in_marketplace_from,d_hz_bills*G1147,0))</f>
        <v/>
      </c>
      <c r="BQ1148" s="40">
        <f>BQ1147*d_rho_bills+BP1148*IF(B1148&gt;=in_marketplace_from,d_hz_bills*G1148,0)</f>
        <v/>
      </c>
      <c r="BR1148" s="14">
        <f>F1148*BQ1148*in_bills_ticket*in_bills_comm/12</f>
        <v/>
      </c>
      <c r="BS1148" s="40">
        <f>BS1147*(1-IF(B1147&gt;=in_marketplace_from,d_hz_loan_gold*G1147,0))</f>
        <v/>
      </c>
      <c r="BT1148" s="14">
        <f>F1148*BS1148*IF(B1148&gt;=in_marketplace_from,d_hz_loan_gold*G1148,0)*in_loan_gold_ticket*in_loan_gold_comm</f>
        <v/>
      </c>
      <c r="BU1148" s="40">
        <f>BU1147*(1-IF(B1147&gt;=in_marketplace_from,d_hz_loan_cd*G1147,0))</f>
        <v/>
      </c>
      <c r="BV1148" s="14">
        <f>F1148*BU1148*IF(B1148&gt;=in_marketplace_from,d_hz_loan_cd*G1148,0)*in_loan_cd_ticket*in_loan_cd_comm</f>
        <v/>
      </c>
      <c r="BW1148" s="40">
        <f>BW1147*(1-IF(B1147&gt;=in_marketplace_from,d_hz_loan_vehicle*G1147,0))</f>
        <v/>
      </c>
      <c r="BX1148" s="14">
        <f>F1148*BW1148*IF(B1148&gt;=in_marketplace_from,d_hz_loan_vehicle*G1148,0)*in_loan_vehicle_ticket*in_loan_vehicle_comm</f>
        <v/>
      </c>
      <c r="BY1148" s="40">
        <f>BY1147*(1-IF(B1147&gt;=in_marketplace_from,d_hz_loan_home*G1147,0)*BZ1147)</f>
        <v/>
      </c>
      <c r="BZ1148" s="11">
        <f>MIN(in_approval_cap,in_loan_home_approval*INDEX('Age profile'!$O$2:$O$61,B1148)*(1+in_approval_growth)^(D1148-1))</f>
        <v/>
      </c>
      <c r="CA1148" s="14">
        <f>F1148*BY1148*IF(B1148&gt;=in_marketplace_from,d_hz_loan_home*G1148,0)*BZ1148*in_loan_home_ticket*in_loan_home_comm</f>
        <v/>
      </c>
      <c r="CB1148" s="40">
        <f>CB1147*(1-IF(B1147&gt;=in_marketplace_from,d_hz_loan_lap*G1147,0)*CC1147)</f>
        <v/>
      </c>
      <c r="CC1148" s="11">
        <f>MIN(in_approval_cap,in_loan_lap_approval*INDEX('Age profile'!$O$2:$O$61,B1148)*(1+in_approval_growth)^(D1148-1))</f>
        <v/>
      </c>
      <c r="CD1148" s="14">
        <f>F1148*CB1148*IF(B1148&gt;=in_marketplace_from,d_hz_loan_lap*G1148,0)*CC1148*in_loan_lap_ticket*in_loan_lap_comm</f>
        <v/>
      </c>
      <c r="CE1148" s="14">
        <f>AA1148+AB1148+AC1148+AD1148+AG1148+AJ1148+AM1148+AP1148+AS1148+AU1148+AX1148+BB1148+BE1148+BG1148+BJ1148+BL1148+BO1148+BR1148+BT1148+BV1148+BX1148+CA1148+CD1148</f>
        <v/>
      </c>
    </row>
    <row r="1149">
      <c r="A1149" s="39" t="n">
        <v>24</v>
      </c>
      <c r="B1149" s="39" t="n">
        <v>21</v>
      </c>
      <c r="C1149" s="39">
        <f>A1149+B1149-1</f>
        <v/>
      </c>
      <c r="D1149" s="39">
        <f>INT((C1149-1)/12)+1</f>
        <v/>
      </c>
      <c r="E1149" s="44">
        <f>INDEX(Monthly!$B$2:$B$61,A1149)</f>
        <v/>
      </c>
      <c r="F1149" s="44">
        <f>E1149*INDEX('Age profile'!$B$2:$B$61,B1149)</f>
        <v/>
      </c>
      <c r="G1149" s="45">
        <f>MIN(in_takeup_cap,INDEX('Age profile'!$N$2:$N$61,B1149)*(1+in_takeup_growth)^(D1149-1))</f>
        <v/>
      </c>
      <c r="H1149" s="11">
        <f>MIN(in_approval_cap,in_approved_first*INDEX('Age profile'!$O$2:$O$61,B1149)*(1+in_approval_growth)^(D1149-1))</f>
        <v/>
      </c>
      <c r="I1149" s="45">
        <f>G1149*MIN(in_takeup_cap,INDEX('Age profile'!$O$2:$O$61,B1149)*(1+in_approval_growth)^(D1149-1))</f>
        <v/>
      </c>
      <c r="J1149" s="40">
        <f>(J1148-L1148)*F1149/F1148</f>
        <v/>
      </c>
      <c r="K1149" s="40">
        <f>(K1148-M1148)*F1149/F1148+SUMIFS(O1129:O1148,B1129:B1148,B1149-1-d_T)*F1149</f>
        <v/>
      </c>
      <c r="L1149" s="40">
        <f>IF(B1149&gt;=in_marketplace_from,J1149*d_hz*G1149*in_eligible*H1149,0)</f>
        <v/>
      </c>
      <c r="M1149" s="40">
        <f>IF(B1149&gt;=in_marketplace_from,K1149*d_hz*G1149*in_eligible*in_approved_repeat,0)</f>
        <v/>
      </c>
      <c r="N1149" s="40">
        <f>L1149+M1149</f>
        <v/>
      </c>
      <c r="O1149" s="46">
        <f>N1149/F1149</f>
        <v/>
      </c>
      <c r="P1149" s="40">
        <f>F1149-J1149-K1149</f>
        <v/>
      </c>
      <c r="Q1149" s="40">
        <f>IF(B1149&gt;=in_marketplace_from,(J1149+K1149)*d_hz*G1149,0)</f>
        <v/>
      </c>
      <c r="R1149" s="40">
        <f>SUMIFS(N1129:N1165,B1129:B1165,"&gt;="&amp;(B1149-d_T),B1129:B1165,"&lt;="&amp;(B1149-1))</f>
        <v/>
      </c>
      <c r="S1149" s="46">
        <f>(1-d_u)*S1148+IF(d_T&gt;in_topup_lag,SUMIFS(O1129:O1165,B1129:B1165,B1149-in_topup_lag)-d_udrop*SUMIFS(O1129:O1165,B1129:B1165,B1149-d_T),0)</f>
        <v/>
      </c>
      <c r="T1149" s="40">
        <f>F1149*d_u*S1149</f>
        <v/>
      </c>
      <c r="U1149" s="9">
        <f>L1149*in_ticket+M1149*d_rep_ticket</f>
        <v/>
      </c>
      <c r="V1149" s="9">
        <f>U1149+T1149*d_topup_amt</f>
        <v/>
      </c>
      <c r="W1149" s="40">
        <f>N1149+T1149*d_topup_ratio</f>
        <v/>
      </c>
      <c r="X1149" s="40">
        <f>SUMIFS(W1129:W1165,B1129:B1165,B1149-in_dpd_lag)*d_cured</f>
        <v/>
      </c>
      <c r="Y1149" s="40">
        <f>SUMIFS(W1129:W1165,B1129:B1165,B1149-in_rec_lag)*d_recd</f>
        <v/>
      </c>
      <c r="Z1149" s="40">
        <f>IF(AND(B1149&gt;=in_marketplace_from,B1149&lt;in_marketplace_from+in_card_months),in_card_share/in_card_months*F1149*I1149,IF(AND(B1149&gt;=in_marketplace_from+in_card_months,B1149&lt;in_marketplace_from+2*in_card_months),in_card_share*d_card_rem/in_card_months*F1149*MIN(in_takeup_cap,(1+in_takeup_growth)^(D1149-1))*MIN(in_takeup_cap,(1+in_approval_growth)^(D1149-1)),0))</f>
        <v/>
      </c>
      <c r="AA1149" s="14">
        <f>V1149*in_fee*(1-in_taken_back)</f>
        <v/>
      </c>
      <c r="AB1149" s="14">
        <f>SUMIFS(W1129:W1165,B1129:B1165,B1149-in_dpd_lag)*d_dpd</f>
        <v/>
      </c>
      <c r="AC1149" s="14">
        <f>SUMIFS(W1129:W1165,B1129:B1165,B1149-in_rec_lag)*d_rec</f>
        <v/>
      </c>
      <c r="AD1149" s="14">
        <f>Z1149*in_card_fee</f>
        <v/>
      </c>
      <c r="AE1149" s="40">
        <f>AE1148*(1-IF(B1148&gt;=in_marketplace_from,d_hz_hlth_small*G1148,0))</f>
        <v/>
      </c>
      <c r="AF1149" s="46">
        <f>AE1149*IF(B1149&gt;=in_marketplace_from,d_hz_hlth_small*G1149,0)</f>
        <v/>
      </c>
      <c r="AG1149" s="14">
        <f>F1149*AF1149*in_hlth_small_ticket*in_hlth_small_comm*in_ins_partner_share+F1149*in_hlth_small_ticket*in_hlth_small_renew_comm*in_ins_partner_share*(in_hlth_small_renew^1*SUMIFS(AF1129:AF1165,B1129:B1165,B1149-12)+in_hlth_small_renew^2*SUMIFS(AF1129:AF1165,B1129:B1165,B1149-24)+in_hlth_small_renew^3*SUMIFS(AF1129:AF1165,B1129:B1165,B1149-36)+in_hlth_small_renew^4*SUMIFS(AF1129:AF1165,B1129:B1165,B1149-48))</f>
        <v/>
      </c>
      <c r="AH1149" s="40">
        <f>AH1148*(1-IF(B1148&gt;=in_marketplace_from,d_hz_hlth_family*G1148,0))</f>
        <v/>
      </c>
      <c r="AI1149" s="46">
        <f>AH1149*IF(B1149&gt;=in_marketplace_from,d_hz_hlth_family*G1149,0)</f>
        <v/>
      </c>
      <c r="AJ1149" s="14">
        <f>F1149*AI1149*in_hlth_family_ticket*in_hlth_family_comm*in_ins_partner_share+F1149*in_hlth_family_ticket*in_hlth_family_renew_comm*in_ins_partner_share*(in_hlth_family_renew^1*SUMIFS(AI1129:AI1165,B1129:B1165,B1149-12)+in_hlth_family_renew^2*SUMIFS(AI1129:AI1165,B1129:B1165,B1149-24)+in_hlth_family_renew^3*SUMIFS(AI1129:AI1165,B1129:B1165,B1149-36)+in_hlth_family_renew^4*SUMIFS(AI1129:AI1165,B1129:B1165,B1149-48))</f>
        <v/>
      </c>
      <c r="AK1149" s="40">
        <f>AK1148*(1-IF(B1148&gt;=in_marketplace_from,d_hz_life_term*G1148,0))</f>
        <v/>
      </c>
      <c r="AL1149" s="46">
        <f>AK1149*IF(B1149&gt;=in_marketplace_from,d_hz_life_term*G1149,0)</f>
        <v/>
      </c>
      <c r="AM1149" s="14">
        <f>F1149*AL1149*in_life_term_ticket*in_life_term_comm*in_ins_partner_share+F1149*in_life_term_ticket*in_life_term_renew_comm*in_ins_partner_share*(in_life_term_renew^1*SUMIFS(AL1129:AL1165,B1129:B1165,B1149-12)+in_life_term_renew^2*SUMIFS(AL1129:AL1165,B1129:B1165,B1149-24)+in_life_term_renew^3*SUMIFS(AL1129:AL1165,B1129:B1165,B1149-36)+in_life_term_renew^4*SUMIFS(AL1129:AL1165,B1129:B1165,B1149-48))</f>
        <v/>
      </c>
      <c r="AN1149" s="40">
        <f>AN1148*(1-IF(B1148&gt;=in_marketplace_from,d_hz_accident*G1148,0))</f>
        <v/>
      </c>
      <c r="AO1149" s="46">
        <f>AN1149*IF(B1149&gt;=in_marketplace_from,d_hz_accident*G1149,0)</f>
        <v/>
      </c>
      <c r="AP1149" s="14">
        <f>F1149*AO1149*in_accident_ticket*in_accident_comm*in_ins_partner_share+F1149*in_accident_ticket*in_accident_renew_comm*in_ins_partner_share*(in_accident_renew^1*SUMIFS(AO1129:AO1165,B1129:B1165,B1149-12)+in_accident_renew^2*SUMIFS(AO1129:AO1165,B1129:B1165,B1149-24)+in_accident_renew^3*SUMIFS(AO1129:AO1165,B1129:B1165,B1149-36)+in_accident_renew^4*SUMIFS(AO1129:AO1165,B1129:B1165,B1149-48))</f>
        <v/>
      </c>
      <c r="AQ1149" s="40">
        <f>AQ1148*(1-IF(B1148&gt;=in_marketplace_from,d_hz_two_wheeler*G1148,0))</f>
        <v/>
      </c>
      <c r="AR1149" s="46">
        <f>AQ1149*IF(B1149&gt;=in_marketplace_from,d_hz_two_wheeler*G1149,0)</f>
        <v/>
      </c>
      <c r="AS1149" s="14">
        <f>F1149*AR1149*in_two_wheeler_ticket*in_two_wheeler_comm*in_ins_partner_share+F1149*in_two_wheeler_ticket*in_two_wheeler_comm*in_ins_partner_share*(in_two_wheeler_renew^1*SUMIFS(AR1129:AR1165,B1129:B1165,B1149-12)+in_two_wheeler_renew^2*SUMIFS(AR1129:AR1165,B1129:B1165,B1149-24)+in_two_wheeler_renew^3*SUMIFS(AR1129:AR1165,B1129:B1165,B1149-36)+in_two_wheeler_renew^4*SUMIFS(AR1129:AR1165,B1129:B1165,B1149-48))</f>
        <v/>
      </c>
      <c r="AT1149" s="40">
        <f>AT1148*(1-IF(B1148&gt;=in_marketplace_from,d_hz_device*G1148,0))</f>
        <v/>
      </c>
      <c r="AU1149" s="14">
        <f>F1149*AT1149*IF(B1149&gt;=in_marketplace_from,d_hz_device*G1149,0)*in_device_ticket*in_device_comm*in_ins_partner_share</f>
        <v/>
      </c>
      <c r="AV1149" s="40">
        <f>AV1148*(1-IF(B1148&gt;=in_marketplace_from,d_hz_shop*G1148,0))</f>
        <v/>
      </c>
      <c r="AW1149" s="46">
        <f>AV1149*IF(B1149&gt;=in_marketplace_from,d_hz_shop*G1149,0)</f>
        <v/>
      </c>
      <c r="AX1149" s="14">
        <f>F1149*AW1149*in_shop_ticket*in_shop_comm*in_ins_partner_share+F1149*in_shop_ticket*in_shop_renew_comm*in_ins_partner_share*(in_shop_renew^1*SUMIFS(AW1129:AW1165,B1129:B1165,B1149-12)+in_shop_renew^2*SUMIFS(AW1129:AW1165,B1129:B1165,B1149-24)+in_shop_renew^3*SUMIFS(AW1129:AW1165,B1129:B1165,B1149-36)+in_shop_renew^4*SUMIFS(AW1129:AW1165,B1129:B1165,B1149-48))</f>
        <v/>
      </c>
      <c r="AY1149" s="40">
        <f>AY1148*(1-IF(B1148&gt;=in_marketplace_from,d_hz_sip*G1148,0))</f>
        <v/>
      </c>
      <c r="AZ1149" s="40">
        <f>AZ1148*d_rho_sip+AY1149*IF(B1149&gt;=in_marketplace_from,d_hz_sip*G1149,0)</f>
        <v/>
      </c>
      <c r="BA1149" s="40">
        <f>d_rho_sip*(BA1148+AZ1148)</f>
        <v/>
      </c>
      <c r="BB1149" s="14">
        <f>F1149*in_sip_ticket*(BA1149+0.5*AZ1149)*in_sip_comm/12</f>
        <v/>
      </c>
      <c r="BC1149" s="40">
        <f>BC1148*(1-IF(B1148&gt;=in_marketplace_from,d_hz_choti*G1148,0))</f>
        <v/>
      </c>
      <c r="BD1149" s="46">
        <f>BC1149*IF(B1149&gt;=in_marketplace_from,d_hz_choti*G1149,0)</f>
        <v/>
      </c>
      <c r="BE1149" s="14">
        <f>F1149*SUMIFS(BD1129:BD1165,B1129:B1165,B1149-in_choti_months)*in_choti_renew*in_choti_ticket</f>
        <v/>
      </c>
      <c r="BF1149" s="40">
        <f>BF1148*(1-IF(B1148&gt;=in_marketplace_from,d_hz_nps*G1148,0))</f>
        <v/>
      </c>
      <c r="BG1149" s="14">
        <f>F1149*BF1149*IF(B1149&gt;=in_marketplace_from,d_hz_nps*G1149,0)*in_nps_ticket*in_nps_comm</f>
        <v/>
      </c>
      <c r="BH1149" s="40">
        <f>BH1148*(1-IF(B1148&gt;=in_marketplace_from,d_hz_gold*G1148,0))</f>
        <v/>
      </c>
      <c r="BI1149" s="40">
        <f>BI1148*d_rho_gold+BH1149*IF(B1149&gt;=in_marketplace_from,d_hz_gold*G1149,0)</f>
        <v/>
      </c>
      <c r="BJ1149" s="14">
        <f>F1149*BI1149*in_gold_ticket*in_gold_comm</f>
        <v/>
      </c>
      <c r="BK1149" s="40">
        <f>BK1148*(1-IF(B1148&gt;=in_marketplace_from,d_hz_fd*G1148,0))</f>
        <v/>
      </c>
      <c r="BL1149" s="14">
        <f>F1149*BK1149*IF(B1149&gt;=in_marketplace_from,d_hz_fd*G1149,0)*in_fd_ticket*in_fd_comm</f>
        <v/>
      </c>
      <c r="BM1149" s="40">
        <f>BM1148*(1-IF(B1148&gt;=in_marketplace_from,d_hz_recharge*G1148,0))</f>
        <v/>
      </c>
      <c r="BN1149" s="40">
        <f>BN1148*d_rho_recharge+BM1149*IF(B1149&gt;=in_marketplace_from,d_hz_recharge*G1149,0)</f>
        <v/>
      </c>
      <c r="BO1149" s="14">
        <f>F1149*BN1149*in_recharge_ticket*in_recharge_comm/12</f>
        <v/>
      </c>
      <c r="BP1149" s="40">
        <f>BP1148*(1-IF(B1148&gt;=in_marketplace_from,d_hz_bills*G1148,0))</f>
        <v/>
      </c>
      <c r="BQ1149" s="40">
        <f>BQ1148*d_rho_bills+BP1149*IF(B1149&gt;=in_marketplace_from,d_hz_bills*G1149,0)</f>
        <v/>
      </c>
      <c r="BR1149" s="14">
        <f>F1149*BQ1149*in_bills_ticket*in_bills_comm/12</f>
        <v/>
      </c>
      <c r="BS1149" s="40">
        <f>BS1148*(1-IF(B1148&gt;=in_marketplace_from,d_hz_loan_gold*G1148,0))</f>
        <v/>
      </c>
      <c r="BT1149" s="14">
        <f>F1149*BS1149*IF(B1149&gt;=in_marketplace_from,d_hz_loan_gold*G1149,0)*in_loan_gold_ticket*in_loan_gold_comm</f>
        <v/>
      </c>
      <c r="BU1149" s="40">
        <f>BU1148*(1-IF(B1148&gt;=in_marketplace_from,d_hz_loan_cd*G1148,0))</f>
        <v/>
      </c>
      <c r="BV1149" s="14">
        <f>F1149*BU1149*IF(B1149&gt;=in_marketplace_from,d_hz_loan_cd*G1149,0)*in_loan_cd_ticket*in_loan_cd_comm</f>
        <v/>
      </c>
      <c r="BW1149" s="40">
        <f>BW1148*(1-IF(B1148&gt;=in_marketplace_from,d_hz_loan_vehicle*G1148,0))</f>
        <v/>
      </c>
      <c r="BX1149" s="14">
        <f>F1149*BW1149*IF(B1149&gt;=in_marketplace_from,d_hz_loan_vehicle*G1149,0)*in_loan_vehicle_ticket*in_loan_vehicle_comm</f>
        <v/>
      </c>
      <c r="BY1149" s="40">
        <f>BY1148*(1-IF(B1148&gt;=in_marketplace_from,d_hz_loan_home*G1148,0)*BZ1148)</f>
        <v/>
      </c>
      <c r="BZ1149" s="11">
        <f>MIN(in_approval_cap,in_loan_home_approval*INDEX('Age profile'!$O$2:$O$61,B1149)*(1+in_approval_growth)^(D1149-1))</f>
        <v/>
      </c>
      <c r="CA1149" s="14">
        <f>F1149*BY1149*IF(B1149&gt;=in_marketplace_from,d_hz_loan_home*G1149,0)*BZ1149*in_loan_home_ticket*in_loan_home_comm</f>
        <v/>
      </c>
      <c r="CB1149" s="40">
        <f>CB1148*(1-IF(B1148&gt;=in_marketplace_from,d_hz_loan_lap*G1148,0)*CC1148)</f>
        <v/>
      </c>
      <c r="CC1149" s="11">
        <f>MIN(in_approval_cap,in_loan_lap_approval*INDEX('Age profile'!$O$2:$O$61,B1149)*(1+in_approval_growth)^(D1149-1))</f>
        <v/>
      </c>
      <c r="CD1149" s="14">
        <f>F1149*CB1149*IF(B1149&gt;=in_marketplace_from,d_hz_loan_lap*G1149,0)*CC1149*in_loan_lap_ticket*in_loan_lap_comm</f>
        <v/>
      </c>
      <c r="CE1149" s="14">
        <f>AA1149+AB1149+AC1149+AD1149+AG1149+AJ1149+AM1149+AP1149+AS1149+AU1149+AX1149+BB1149+BE1149+BG1149+BJ1149+BL1149+BO1149+BR1149+BT1149+BV1149+BX1149+CA1149+CD1149</f>
        <v/>
      </c>
    </row>
    <row r="1150">
      <c r="A1150" s="39" t="n">
        <v>24</v>
      </c>
      <c r="B1150" s="39" t="n">
        <v>22</v>
      </c>
      <c r="C1150" s="39">
        <f>A1150+B1150-1</f>
        <v/>
      </c>
      <c r="D1150" s="39">
        <f>INT((C1150-1)/12)+1</f>
        <v/>
      </c>
      <c r="E1150" s="44">
        <f>INDEX(Monthly!$B$2:$B$61,A1150)</f>
        <v/>
      </c>
      <c r="F1150" s="44">
        <f>E1150*INDEX('Age profile'!$B$2:$B$61,B1150)</f>
        <v/>
      </c>
      <c r="G1150" s="45">
        <f>MIN(in_takeup_cap,INDEX('Age profile'!$N$2:$N$61,B1150)*(1+in_takeup_growth)^(D1150-1))</f>
        <v/>
      </c>
      <c r="H1150" s="11">
        <f>MIN(in_approval_cap,in_approved_first*INDEX('Age profile'!$O$2:$O$61,B1150)*(1+in_approval_growth)^(D1150-1))</f>
        <v/>
      </c>
      <c r="I1150" s="45">
        <f>G1150*MIN(in_takeup_cap,INDEX('Age profile'!$O$2:$O$61,B1150)*(1+in_approval_growth)^(D1150-1))</f>
        <v/>
      </c>
      <c r="J1150" s="40">
        <f>(J1149-L1149)*F1150/F1149</f>
        <v/>
      </c>
      <c r="K1150" s="40">
        <f>(K1149-M1149)*F1150/F1149+SUMIFS(O1129:O1149,B1129:B1149,B1150-1-d_T)*F1150</f>
        <v/>
      </c>
      <c r="L1150" s="40">
        <f>IF(B1150&gt;=in_marketplace_from,J1150*d_hz*G1150*in_eligible*H1150,0)</f>
        <v/>
      </c>
      <c r="M1150" s="40">
        <f>IF(B1150&gt;=in_marketplace_from,K1150*d_hz*G1150*in_eligible*in_approved_repeat,0)</f>
        <v/>
      </c>
      <c r="N1150" s="40">
        <f>L1150+M1150</f>
        <v/>
      </c>
      <c r="O1150" s="46">
        <f>N1150/F1150</f>
        <v/>
      </c>
      <c r="P1150" s="40">
        <f>F1150-J1150-K1150</f>
        <v/>
      </c>
      <c r="Q1150" s="40">
        <f>IF(B1150&gt;=in_marketplace_from,(J1150+K1150)*d_hz*G1150,0)</f>
        <v/>
      </c>
      <c r="R1150" s="40">
        <f>SUMIFS(N1129:N1165,B1129:B1165,"&gt;="&amp;(B1150-d_T),B1129:B1165,"&lt;="&amp;(B1150-1))</f>
        <v/>
      </c>
      <c r="S1150" s="46">
        <f>(1-d_u)*S1149+IF(d_T&gt;in_topup_lag,SUMIFS(O1129:O1165,B1129:B1165,B1150-in_topup_lag)-d_udrop*SUMIFS(O1129:O1165,B1129:B1165,B1150-d_T),0)</f>
        <v/>
      </c>
      <c r="T1150" s="40">
        <f>F1150*d_u*S1150</f>
        <v/>
      </c>
      <c r="U1150" s="9">
        <f>L1150*in_ticket+M1150*d_rep_ticket</f>
        <v/>
      </c>
      <c r="V1150" s="9">
        <f>U1150+T1150*d_topup_amt</f>
        <v/>
      </c>
      <c r="W1150" s="40">
        <f>N1150+T1150*d_topup_ratio</f>
        <v/>
      </c>
      <c r="X1150" s="40">
        <f>SUMIFS(W1129:W1165,B1129:B1165,B1150-in_dpd_lag)*d_cured</f>
        <v/>
      </c>
      <c r="Y1150" s="40">
        <f>SUMIFS(W1129:W1165,B1129:B1165,B1150-in_rec_lag)*d_recd</f>
        <v/>
      </c>
      <c r="Z1150" s="40">
        <f>IF(AND(B1150&gt;=in_marketplace_from,B1150&lt;in_marketplace_from+in_card_months),in_card_share/in_card_months*F1150*I1150,IF(AND(B1150&gt;=in_marketplace_from+in_card_months,B1150&lt;in_marketplace_from+2*in_card_months),in_card_share*d_card_rem/in_card_months*F1150*MIN(in_takeup_cap,(1+in_takeup_growth)^(D1150-1))*MIN(in_takeup_cap,(1+in_approval_growth)^(D1150-1)),0))</f>
        <v/>
      </c>
      <c r="AA1150" s="14">
        <f>V1150*in_fee*(1-in_taken_back)</f>
        <v/>
      </c>
      <c r="AB1150" s="14">
        <f>SUMIFS(W1129:W1165,B1129:B1165,B1150-in_dpd_lag)*d_dpd</f>
        <v/>
      </c>
      <c r="AC1150" s="14">
        <f>SUMIFS(W1129:W1165,B1129:B1165,B1150-in_rec_lag)*d_rec</f>
        <v/>
      </c>
      <c r="AD1150" s="14">
        <f>Z1150*in_card_fee</f>
        <v/>
      </c>
      <c r="AE1150" s="40">
        <f>AE1149*(1-IF(B1149&gt;=in_marketplace_from,d_hz_hlth_small*G1149,0))</f>
        <v/>
      </c>
      <c r="AF1150" s="46">
        <f>AE1150*IF(B1150&gt;=in_marketplace_from,d_hz_hlth_small*G1150,0)</f>
        <v/>
      </c>
      <c r="AG1150" s="14">
        <f>F1150*AF1150*in_hlth_small_ticket*in_hlth_small_comm*in_ins_partner_share+F1150*in_hlth_small_ticket*in_hlth_small_renew_comm*in_ins_partner_share*(in_hlth_small_renew^1*SUMIFS(AF1129:AF1165,B1129:B1165,B1150-12)+in_hlth_small_renew^2*SUMIFS(AF1129:AF1165,B1129:B1165,B1150-24)+in_hlth_small_renew^3*SUMIFS(AF1129:AF1165,B1129:B1165,B1150-36)+in_hlth_small_renew^4*SUMIFS(AF1129:AF1165,B1129:B1165,B1150-48))</f>
        <v/>
      </c>
      <c r="AH1150" s="40">
        <f>AH1149*(1-IF(B1149&gt;=in_marketplace_from,d_hz_hlth_family*G1149,0))</f>
        <v/>
      </c>
      <c r="AI1150" s="46">
        <f>AH1150*IF(B1150&gt;=in_marketplace_from,d_hz_hlth_family*G1150,0)</f>
        <v/>
      </c>
      <c r="AJ1150" s="14">
        <f>F1150*AI1150*in_hlth_family_ticket*in_hlth_family_comm*in_ins_partner_share+F1150*in_hlth_family_ticket*in_hlth_family_renew_comm*in_ins_partner_share*(in_hlth_family_renew^1*SUMIFS(AI1129:AI1165,B1129:B1165,B1150-12)+in_hlth_family_renew^2*SUMIFS(AI1129:AI1165,B1129:B1165,B1150-24)+in_hlth_family_renew^3*SUMIFS(AI1129:AI1165,B1129:B1165,B1150-36)+in_hlth_family_renew^4*SUMIFS(AI1129:AI1165,B1129:B1165,B1150-48))</f>
        <v/>
      </c>
      <c r="AK1150" s="40">
        <f>AK1149*(1-IF(B1149&gt;=in_marketplace_from,d_hz_life_term*G1149,0))</f>
        <v/>
      </c>
      <c r="AL1150" s="46">
        <f>AK1150*IF(B1150&gt;=in_marketplace_from,d_hz_life_term*G1150,0)</f>
        <v/>
      </c>
      <c r="AM1150" s="14">
        <f>F1150*AL1150*in_life_term_ticket*in_life_term_comm*in_ins_partner_share+F1150*in_life_term_ticket*in_life_term_renew_comm*in_ins_partner_share*(in_life_term_renew^1*SUMIFS(AL1129:AL1165,B1129:B1165,B1150-12)+in_life_term_renew^2*SUMIFS(AL1129:AL1165,B1129:B1165,B1150-24)+in_life_term_renew^3*SUMIFS(AL1129:AL1165,B1129:B1165,B1150-36)+in_life_term_renew^4*SUMIFS(AL1129:AL1165,B1129:B1165,B1150-48))</f>
        <v/>
      </c>
      <c r="AN1150" s="40">
        <f>AN1149*(1-IF(B1149&gt;=in_marketplace_from,d_hz_accident*G1149,0))</f>
        <v/>
      </c>
      <c r="AO1150" s="46">
        <f>AN1150*IF(B1150&gt;=in_marketplace_from,d_hz_accident*G1150,0)</f>
        <v/>
      </c>
      <c r="AP1150" s="14">
        <f>F1150*AO1150*in_accident_ticket*in_accident_comm*in_ins_partner_share+F1150*in_accident_ticket*in_accident_renew_comm*in_ins_partner_share*(in_accident_renew^1*SUMIFS(AO1129:AO1165,B1129:B1165,B1150-12)+in_accident_renew^2*SUMIFS(AO1129:AO1165,B1129:B1165,B1150-24)+in_accident_renew^3*SUMIFS(AO1129:AO1165,B1129:B1165,B1150-36)+in_accident_renew^4*SUMIFS(AO1129:AO1165,B1129:B1165,B1150-48))</f>
        <v/>
      </c>
      <c r="AQ1150" s="40">
        <f>AQ1149*(1-IF(B1149&gt;=in_marketplace_from,d_hz_two_wheeler*G1149,0))</f>
        <v/>
      </c>
      <c r="AR1150" s="46">
        <f>AQ1150*IF(B1150&gt;=in_marketplace_from,d_hz_two_wheeler*G1150,0)</f>
        <v/>
      </c>
      <c r="AS1150" s="14">
        <f>F1150*AR1150*in_two_wheeler_ticket*in_two_wheeler_comm*in_ins_partner_share+F1150*in_two_wheeler_ticket*in_two_wheeler_comm*in_ins_partner_share*(in_two_wheeler_renew^1*SUMIFS(AR1129:AR1165,B1129:B1165,B1150-12)+in_two_wheeler_renew^2*SUMIFS(AR1129:AR1165,B1129:B1165,B1150-24)+in_two_wheeler_renew^3*SUMIFS(AR1129:AR1165,B1129:B1165,B1150-36)+in_two_wheeler_renew^4*SUMIFS(AR1129:AR1165,B1129:B1165,B1150-48))</f>
        <v/>
      </c>
      <c r="AT1150" s="40">
        <f>AT1149*(1-IF(B1149&gt;=in_marketplace_from,d_hz_device*G1149,0))</f>
        <v/>
      </c>
      <c r="AU1150" s="14">
        <f>F1150*AT1150*IF(B1150&gt;=in_marketplace_from,d_hz_device*G1150,0)*in_device_ticket*in_device_comm*in_ins_partner_share</f>
        <v/>
      </c>
      <c r="AV1150" s="40">
        <f>AV1149*(1-IF(B1149&gt;=in_marketplace_from,d_hz_shop*G1149,0))</f>
        <v/>
      </c>
      <c r="AW1150" s="46">
        <f>AV1150*IF(B1150&gt;=in_marketplace_from,d_hz_shop*G1150,0)</f>
        <v/>
      </c>
      <c r="AX1150" s="14">
        <f>F1150*AW1150*in_shop_ticket*in_shop_comm*in_ins_partner_share+F1150*in_shop_ticket*in_shop_renew_comm*in_ins_partner_share*(in_shop_renew^1*SUMIFS(AW1129:AW1165,B1129:B1165,B1150-12)+in_shop_renew^2*SUMIFS(AW1129:AW1165,B1129:B1165,B1150-24)+in_shop_renew^3*SUMIFS(AW1129:AW1165,B1129:B1165,B1150-36)+in_shop_renew^4*SUMIFS(AW1129:AW1165,B1129:B1165,B1150-48))</f>
        <v/>
      </c>
      <c r="AY1150" s="40">
        <f>AY1149*(1-IF(B1149&gt;=in_marketplace_from,d_hz_sip*G1149,0))</f>
        <v/>
      </c>
      <c r="AZ1150" s="40">
        <f>AZ1149*d_rho_sip+AY1150*IF(B1150&gt;=in_marketplace_from,d_hz_sip*G1150,0)</f>
        <v/>
      </c>
      <c r="BA1150" s="40">
        <f>d_rho_sip*(BA1149+AZ1149)</f>
        <v/>
      </c>
      <c r="BB1150" s="14">
        <f>F1150*in_sip_ticket*(BA1150+0.5*AZ1150)*in_sip_comm/12</f>
        <v/>
      </c>
      <c r="BC1150" s="40">
        <f>BC1149*(1-IF(B1149&gt;=in_marketplace_from,d_hz_choti*G1149,0))</f>
        <v/>
      </c>
      <c r="BD1150" s="46">
        <f>BC1150*IF(B1150&gt;=in_marketplace_from,d_hz_choti*G1150,0)</f>
        <v/>
      </c>
      <c r="BE1150" s="14">
        <f>F1150*SUMIFS(BD1129:BD1165,B1129:B1165,B1150-in_choti_months)*in_choti_renew*in_choti_ticket</f>
        <v/>
      </c>
      <c r="BF1150" s="40">
        <f>BF1149*(1-IF(B1149&gt;=in_marketplace_from,d_hz_nps*G1149,0))</f>
        <v/>
      </c>
      <c r="BG1150" s="14">
        <f>F1150*BF1150*IF(B1150&gt;=in_marketplace_from,d_hz_nps*G1150,0)*in_nps_ticket*in_nps_comm</f>
        <v/>
      </c>
      <c r="BH1150" s="40">
        <f>BH1149*(1-IF(B1149&gt;=in_marketplace_from,d_hz_gold*G1149,0))</f>
        <v/>
      </c>
      <c r="BI1150" s="40">
        <f>BI1149*d_rho_gold+BH1150*IF(B1150&gt;=in_marketplace_from,d_hz_gold*G1150,0)</f>
        <v/>
      </c>
      <c r="BJ1150" s="14">
        <f>F1150*BI1150*in_gold_ticket*in_gold_comm</f>
        <v/>
      </c>
      <c r="BK1150" s="40">
        <f>BK1149*(1-IF(B1149&gt;=in_marketplace_from,d_hz_fd*G1149,0))</f>
        <v/>
      </c>
      <c r="BL1150" s="14">
        <f>F1150*BK1150*IF(B1150&gt;=in_marketplace_from,d_hz_fd*G1150,0)*in_fd_ticket*in_fd_comm</f>
        <v/>
      </c>
      <c r="BM1150" s="40">
        <f>BM1149*(1-IF(B1149&gt;=in_marketplace_from,d_hz_recharge*G1149,0))</f>
        <v/>
      </c>
      <c r="BN1150" s="40">
        <f>BN1149*d_rho_recharge+BM1150*IF(B1150&gt;=in_marketplace_from,d_hz_recharge*G1150,0)</f>
        <v/>
      </c>
      <c r="BO1150" s="14">
        <f>F1150*BN1150*in_recharge_ticket*in_recharge_comm/12</f>
        <v/>
      </c>
      <c r="BP1150" s="40">
        <f>BP1149*(1-IF(B1149&gt;=in_marketplace_from,d_hz_bills*G1149,0))</f>
        <v/>
      </c>
      <c r="BQ1150" s="40">
        <f>BQ1149*d_rho_bills+BP1150*IF(B1150&gt;=in_marketplace_from,d_hz_bills*G1150,0)</f>
        <v/>
      </c>
      <c r="BR1150" s="14">
        <f>F1150*BQ1150*in_bills_ticket*in_bills_comm/12</f>
        <v/>
      </c>
      <c r="BS1150" s="40">
        <f>BS1149*(1-IF(B1149&gt;=in_marketplace_from,d_hz_loan_gold*G1149,0))</f>
        <v/>
      </c>
      <c r="BT1150" s="14">
        <f>F1150*BS1150*IF(B1150&gt;=in_marketplace_from,d_hz_loan_gold*G1150,0)*in_loan_gold_ticket*in_loan_gold_comm</f>
        <v/>
      </c>
      <c r="BU1150" s="40">
        <f>BU1149*(1-IF(B1149&gt;=in_marketplace_from,d_hz_loan_cd*G1149,0))</f>
        <v/>
      </c>
      <c r="BV1150" s="14">
        <f>F1150*BU1150*IF(B1150&gt;=in_marketplace_from,d_hz_loan_cd*G1150,0)*in_loan_cd_ticket*in_loan_cd_comm</f>
        <v/>
      </c>
      <c r="BW1150" s="40">
        <f>BW1149*(1-IF(B1149&gt;=in_marketplace_from,d_hz_loan_vehicle*G1149,0))</f>
        <v/>
      </c>
      <c r="BX1150" s="14">
        <f>F1150*BW1150*IF(B1150&gt;=in_marketplace_from,d_hz_loan_vehicle*G1150,0)*in_loan_vehicle_ticket*in_loan_vehicle_comm</f>
        <v/>
      </c>
      <c r="BY1150" s="40">
        <f>BY1149*(1-IF(B1149&gt;=in_marketplace_from,d_hz_loan_home*G1149,0)*BZ1149)</f>
        <v/>
      </c>
      <c r="BZ1150" s="11">
        <f>MIN(in_approval_cap,in_loan_home_approval*INDEX('Age profile'!$O$2:$O$61,B1150)*(1+in_approval_growth)^(D1150-1))</f>
        <v/>
      </c>
      <c r="CA1150" s="14">
        <f>F1150*BY1150*IF(B1150&gt;=in_marketplace_from,d_hz_loan_home*G1150,0)*BZ1150*in_loan_home_ticket*in_loan_home_comm</f>
        <v/>
      </c>
      <c r="CB1150" s="40">
        <f>CB1149*(1-IF(B1149&gt;=in_marketplace_from,d_hz_loan_lap*G1149,0)*CC1149)</f>
        <v/>
      </c>
      <c r="CC1150" s="11">
        <f>MIN(in_approval_cap,in_loan_lap_approval*INDEX('Age profile'!$O$2:$O$61,B1150)*(1+in_approval_growth)^(D1150-1))</f>
        <v/>
      </c>
      <c r="CD1150" s="14">
        <f>F1150*CB1150*IF(B1150&gt;=in_marketplace_from,d_hz_loan_lap*G1150,0)*CC1150*in_loan_lap_ticket*in_loan_lap_comm</f>
        <v/>
      </c>
      <c r="CE1150" s="14">
        <f>AA1150+AB1150+AC1150+AD1150+AG1150+AJ1150+AM1150+AP1150+AS1150+AU1150+AX1150+BB1150+BE1150+BG1150+BJ1150+BL1150+BO1150+BR1150+BT1150+BV1150+BX1150+CA1150+CD1150</f>
        <v/>
      </c>
    </row>
    <row r="1151">
      <c r="A1151" s="39" t="n">
        <v>24</v>
      </c>
      <c r="B1151" s="39" t="n">
        <v>23</v>
      </c>
      <c r="C1151" s="39">
        <f>A1151+B1151-1</f>
        <v/>
      </c>
      <c r="D1151" s="39">
        <f>INT((C1151-1)/12)+1</f>
        <v/>
      </c>
      <c r="E1151" s="44">
        <f>INDEX(Monthly!$B$2:$B$61,A1151)</f>
        <v/>
      </c>
      <c r="F1151" s="44">
        <f>E1151*INDEX('Age profile'!$B$2:$B$61,B1151)</f>
        <v/>
      </c>
      <c r="G1151" s="45">
        <f>MIN(in_takeup_cap,INDEX('Age profile'!$N$2:$N$61,B1151)*(1+in_takeup_growth)^(D1151-1))</f>
        <v/>
      </c>
      <c r="H1151" s="11">
        <f>MIN(in_approval_cap,in_approved_first*INDEX('Age profile'!$O$2:$O$61,B1151)*(1+in_approval_growth)^(D1151-1))</f>
        <v/>
      </c>
      <c r="I1151" s="45">
        <f>G1151*MIN(in_takeup_cap,INDEX('Age profile'!$O$2:$O$61,B1151)*(1+in_approval_growth)^(D1151-1))</f>
        <v/>
      </c>
      <c r="J1151" s="40">
        <f>(J1150-L1150)*F1151/F1150</f>
        <v/>
      </c>
      <c r="K1151" s="40">
        <f>(K1150-M1150)*F1151/F1150+SUMIFS(O1129:O1150,B1129:B1150,B1151-1-d_T)*F1151</f>
        <v/>
      </c>
      <c r="L1151" s="40">
        <f>IF(B1151&gt;=in_marketplace_from,J1151*d_hz*G1151*in_eligible*H1151,0)</f>
        <v/>
      </c>
      <c r="M1151" s="40">
        <f>IF(B1151&gt;=in_marketplace_from,K1151*d_hz*G1151*in_eligible*in_approved_repeat,0)</f>
        <v/>
      </c>
      <c r="N1151" s="40">
        <f>L1151+M1151</f>
        <v/>
      </c>
      <c r="O1151" s="46">
        <f>N1151/F1151</f>
        <v/>
      </c>
      <c r="P1151" s="40">
        <f>F1151-J1151-K1151</f>
        <v/>
      </c>
      <c r="Q1151" s="40">
        <f>IF(B1151&gt;=in_marketplace_from,(J1151+K1151)*d_hz*G1151,0)</f>
        <v/>
      </c>
      <c r="R1151" s="40">
        <f>SUMIFS(N1129:N1165,B1129:B1165,"&gt;="&amp;(B1151-d_T),B1129:B1165,"&lt;="&amp;(B1151-1))</f>
        <v/>
      </c>
      <c r="S1151" s="46">
        <f>(1-d_u)*S1150+IF(d_T&gt;in_topup_lag,SUMIFS(O1129:O1165,B1129:B1165,B1151-in_topup_lag)-d_udrop*SUMIFS(O1129:O1165,B1129:B1165,B1151-d_T),0)</f>
        <v/>
      </c>
      <c r="T1151" s="40">
        <f>F1151*d_u*S1151</f>
        <v/>
      </c>
      <c r="U1151" s="9">
        <f>L1151*in_ticket+M1151*d_rep_ticket</f>
        <v/>
      </c>
      <c r="V1151" s="9">
        <f>U1151+T1151*d_topup_amt</f>
        <v/>
      </c>
      <c r="W1151" s="40">
        <f>N1151+T1151*d_topup_ratio</f>
        <v/>
      </c>
      <c r="X1151" s="40">
        <f>SUMIFS(W1129:W1165,B1129:B1165,B1151-in_dpd_lag)*d_cured</f>
        <v/>
      </c>
      <c r="Y1151" s="40">
        <f>SUMIFS(W1129:W1165,B1129:B1165,B1151-in_rec_lag)*d_recd</f>
        <v/>
      </c>
      <c r="Z1151" s="40">
        <f>IF(AND(B1151&gt;=in_marketplace_from,B1151&lt;in_marketplace_from+in_card_months),in_card_share/in_card_months*F1151*I1151,IF(AND(B1151&gt;=in_marketplace_from+in_card_months,B1151&lt;in_marketplace_from+2*in_card_months),in_card_share*d_card_rem/in_card_months*F1151*MIN(in_takeup_cap,(1+in_takeup_growth)^(D1151-1))*MIN(in_takeup_cap,(1+in_approval_growth)^(D1151-1)),0))</f>
        <v/>
      </c>
      <c r="AA1151" s="14">
        <f>V1151*in_fee*(1-in_taken_back)</f>
        <v/>
      </c>
      <c r="AB1151" s="14">
        <f>SUMIFS(W1129:W1165,B1129:B1165,B1151-in_dpd_lag)*d_dpd</f>
        <v/>
      </c>
      <c r="AC1151" s="14">
        <f>SUMIFS(W1129:W1165,B1129:B1165,B1151-in_rec_lag)*d_rec</f>
        <v/>
      </c>
      <c r="AD1151" s="14">
        <f>Z1151*in_card_fee</f>
        <v/>
      </c>
      <c r="AE1151" s="40">
        <f>AE1150*(1-IF(B1150&gt;=in_marketplace_from,d_hz_hlth_small*G1150,0))</f>
        <v/>
      </c>
      <c r="AF1151" s="46">
        <f>AE1151*IF(B1151&gt;=in_marketplace_from,d_hz_hlth_small*G1151,0)</f>
        <v/>
      </c>
      <c r="AG1151" s="14">
        <f>F1151*AF1151*in_hlth_small_ticket*in_hlth_small_comm*in_ins_partner_share+F1151*in_hlth_small_ticket*in_hlth_small_renew_comm*in_ins_partner_share*(in_hlth_small_renew^1*SUMIFS(AF1129:AF1165,B1129:B1165,B1151-12)+in_hlth_small_renew^2*SUMIFS(AF1129:AF1165,B1129:B1165,B1151-24)+in_hlth_small_renew^3*SUMIFS(AF1129:AF1165,B1129:B1165,B1151-36)+in_hlth_small_renew^4*SUMIFS(AF1129:AF1165,B1129:B1165,B1151-48))</f>
        <v/>
      </c>
      <c r="AH1151" s="40">
        <f>AH1150*(1-IF(B1150&gt;=in_marketplace_from,d_hz_hlth_family*G1150,0))</f>
        <v/>
      </c>
      <c r="AI1151" s="46">
        <f>AH1151*IF(B1151&gt;=in_marketplace_from,d_hz_hlth_family*G1151,0)</f>
        <v/>
      </c>
      <c r="AJ1151" s="14">
        <f>F1151*AI1151*in_hlth_family_ticket*in_hlth_family_comm*in_ins_partner_share+F1151*in_hlth_family_ticket*in_hlth_family_renew_comm*in_ins_partner_share*(in_hlth_family_renew^1*SUMIFS(AI1129:AI1165,B1129:B1165,B1151-12)+in_hlth_family_renew^2*SUMIFS(AI1129:AI1165,B1129:B1165,B1151-24)+in_hlth_family_renew^3*SUMIFS(AI1129:AI1165,B1129:B1165,B1151-36)+in_hlth_family_renew^4*SUMIFS(AI1129:AI1165,B1129:B1165,B1151-48))</f>
        <v/>
      </c>
      <c r="AK1151" s="40">
        <f>AK1150*(1-IF(B1150&gt;=in_marketplace_from,d_hz_life_term*G1150,0))</f>
        <v/>
      </c>
      <c r="AL1151" s="46">
        <f>AK1151*IF(B1151&gt;=in_marketplace_from,d_hz_life_term*G1151,0)</f>
        <v/>
      </c>
      <c r="AM1151" s="14">
        <f>F1151*AL1151*in_life_term_ticket*in_life_term_comm*in_ins_partner_share+F1151*in_life_term_ticket*in_life_term_renew_comm*in_ins_partner_share*(in_life_term_renew^1*SUMIFS(AL1129:AL1165,B1129:B1165,B1151-12)+in_life_term_renew^2*SUMIFS(AL1129:AL1165,B1129:B1165,B1151-24)+in_life_term_renew^3*SUMIFS(AL1129:AL1165,B1129:B1165,B1151-36)+in_life_term_renew^4*SUMIFS(AL1129:AL1165,B1129:B1165,B1151-48))</f>
        <v/>
      </c>
      <c r="AN1151" s="40">
        <f>AN1150*(1-IF(B1150&gt;=in_marketplace_from,d_hz_accident*G1150,0))</f>
        <v/>
      </c>
      <c r="AO1151" s="46">
        <f>AN1151*IF(B1151&gt;=in_marketplace_from,d_hz_accident*G1151,0)</f>
        <v/>
      </c>
      <c r="AP1151" s="14">
        <f>F1151*AO1151*in_accident_ticket*in_accident_comm*in_ins_partner_share+F1151*in_accident_ticket*in_accident_renew_comm*in_ins_partner_share*(in_accident_renew^1*SUMIFS(AO1129:AO1165,B1129:B1165,B1151-12)+in_accident_renew^2*SUMIFS(AO1129:AO1165,B1129:B1165,B1151-24)+in_accident_renew^3*SUMIFS(AO1129:AO1165,B1129:B1165,B1151-36)+in_accident_renew^4*SUMIFS(AO1129:AO1165,B1129:B1165,B1151-48))</f>
        <v/>
      </c>
      <c r="AQ1151" s="40">
        <f>AQ1150*(1-IF(B1150&gt;=in_marketplace_from,d_hz_two_wheeler*G1150,0))</f>
        <v/>
      </c>
      <c r="AR1151" s="46">
        <f>AQ1151*IF(B1151&gt;=in_marketplace_from,d_hz_two_wheeler*G1151,0)</f>
        <v/>
      </c>
      <c r="AS1151" s="14">
        <f>F1151*AR1151*in_two_wheeler_ticket*in_two_wheeler_comm*in_ins_partner_share+F1151*in_two_wheeler_ticket*in_two_wheeler_comm*in_ins_partner_share*(in_two_wheeler_renew^1*SUMIFS(AR1129:AR1165,B1129:B1165,B1151-12)+in_two_wheeler_renew^2*SUMIFS(AR1129:AR1165,B1129:B1165,B1151-24)+in_two_wheeler_renew^3*SUMIFS(AR1129:AR1165,B1129:B1165,B1151-36)+in_two_wheeler_renew^4*SUMIFS(AR1129:AR1165,B1129:B1165,B1151-48))</f>
        <v/>
      </c>
      <c r="AT1151" s="40">
        <f>AT1150*(1-IF(B1150&gt;=in_marketplace_from,d_hz_device*G1150,0))</f>
        <v/>
      </c>
      <c r="AU1151" s="14">
        <f>F1151*AT1151*IF(B1151&gt;=in_marketplace_from,d_hz_device*G1151,0)*in_device_ticket*in_device_comm*in_ins_partner_share</f>
        <v/>
      </c>
      <c r="AV1151" s="40">
        <f>AV1150*(1-IF(B1150&gt;=in_marketplace_from,d_hz_shop*G1150,0))</f>
        <v/>
      </c>
      <c r="AW1151" s="46">
        <f>AV1151*IF(B1151&gt;=in_marketplace_from,d_hz_shop*G1151,0)</f>
        <v/>
      </c>
      <c r="AX1151" s="14">
        <f>F1151*AW1151*in_shop_ticket*in_shop_comm*in_ins_partner_share+F1151*in_shop_ticket*in_shop_renew_comm*in_ins_partner_share*(in_shop_renew^1*SUMIFS(AW1129:AW1165,B1129:B1165,B1151-12)+in_shop_renew^2*SUMIFS(AW1129:AW1165,B1129:B1165,B1151-24)+in_shop_renew^3*SUMIFS(AW1129:AW1165,B1129:B1165,B1151-36)+in_shop_renew^4*SUMIFS(AW1129:AW1165,B1129:B1165,B1151-48))</f>
        <v/>
      </c>
      <c r="AY1151" s="40">
        <f>AY1150*(1-IF(B1150&gt;=in_marketplace_from,d_hz_sip*G1150,0))</f>
        <v/>
      </c>
      <c r="AZ1151" s="40">
        <f>AZ1150*d_rho_sip+AY1151*IF(B1151&gt;=in_marketplace_from,d_hz_sip*G1151,0)</f>
        <v/>
      </c>
      <c r="BA1151" s="40">
        <f>d_rho_sip*(BA1150+AZ1150)</f>
        <v/>
      </c>
      <c r="BB1151" s="14">
        <f>F1151*in_sip_ticket*(BA1151+0.5*AZ1151)*in_sip_comm/12</f>
        <v/>
      </c>
      <c r="BC1151" s="40">
        <f>BC1150*(1-IF(B1150&gt;=in_marketplace_from,d_hz_choti*G1150,0))</f>
        <v/>
      </c>
      <c r="BD1151" s="46">
        <f>BC1151*IF(B1151&gt;=in_marketplace_from,d_hz_choti*G1151,0)</f>
        <v/>
      </c>
      <c r="BE1151" s="14">
        <f>F1151*SUMIFS(BD1129:BD1165,B1129:B1165,B1151-in_choti_months)*in_choti_renew*in_choti_ticket</f>
        <v/>
      </c>
      <c r="BF1151" s="40">
        <f>BF1150*(1-IF(B1150&gt;=in_marketplace_from,d_hz_nps*G1150,0))</f>
        <v/>
      </c>
      <c r="BG1151" s="14">
        <f>F1151*BF1151*IF(B1151&gt;=in_marketplace_from,d_hz_nps*G1151,0)*in_nps_ticket*in_nps_comm</f>
        <v/>
      </c>
      <c r="BH1151" s="40">
        <f>BH1150*(1-IF(B1150&gt;=in_marketplace_from,d_hz_gold*G1150,0))</f>
        <v/>
      </c>
      <c r="BI1151" s="40">
        <f>BI1150*d_rho_gold+BH1151*IF(B1151&gt;=in_marketplace_from,d_hz_gold*G1151,0)</f>
        <v/>
      </c>
      <c r="BJ1151" s="14">
        <f>F1151*BI1151*in_gold_ticket*in_gold_comm</f>
        <v/>
      </c>
      <c r="BK1151" s="40">
        <f>BK1150*(1-IF(B1150&gt;=in_marketplace_from,d_hz_fd*G1150,0))</f>
        <v/>
      </c>
      <c r="BL1151" s="14">
        <f>F1151*BK1151*IF(B1151&gt;=in_marketplace_from,d_hz_fd*G1151,0)*in_fd_ticket*in_fd_comm</f>
        <v/>
      </c>
      <c r="BM1151" s="40">
        <f>BM1150*(1-IF(B1150&gt;=in_marketplace_from,d_hz_recharge*G1150,0))</f>
        <v/>
      </c>
      <c r="BN1151" s="40">
        <f>BN1150*d_rho_recharge+BM1151*IF(B1151&gt;=in_marketplace_from,d_hz_recharge*G1151,0)</f>
        <v/>
      </c>
      <c r="BO1151" s="14">
        <f>F1151*BN1151*in_recharge_ticket*in_recharge_comm/12</f>
        <v/>
      </c>
      <c r="BP1151" s="40">
        <f>BP1150*(1-IF(B1150&gt;=in_marketplace_from,d_hz_bills*G1150,0))</f>
        <v/>
      </c>
      <c r="BQ1151" s="40">
        <f>BQ1150*d_rho_bills+BP1151*IF(B1151&gt;=in_marketplace_from,d_hz_bills*G1151,0)</f>
        <v/>
      </c>
      <c r="BR1151" s="14">
        <f>F1151*BQ1151*in_bills_ticket*in_bills_comm/12</f>
        <v/>
      </c>
      <c r="BS1151" s="40">
        <f>BS1150*(1-IF(B1150&gt;=in_marketplace_from,d_hz_loan_gold*G1150,0))</f>
        <v/>
      </c>
      <c r="BT1151" s="14">
        <f>F1151*BS1151*IF(B1151&gt;=in_marketplace_from,d_hz_loan_gold*G1151,0)*in_loan_gold_ticket*in_loan_gold_comm</f>
        <v/>
      </c>
      <c r="BU1151" s="40">
        <f>BU1150*(1-IF(B1150&gt;=in_marketplace_from,d_hz_loan_cd*G1150,0))</f>
        <v/>
      </c>
      <c r="BV1151" s="14">
        <f>F1151*BU1151*IF(B1151&gt;=in_marketplace_from,d_hz_loan_cd*G1151,0)*in_loan_cd_ticket*in_loan_cd_comm</f>
        <v/>
      </c>
      <c r="BW1151" s="40">
        <f>BW1150*(1-IF(B1150&gt;=in_marketplace_from,d_hz_loan_vehicle*G1150,0))</f>
        <v/>
      </c>
      <c r="BX1151" s="14">
        <f>F1151*BW1151*IF(B1151&gt;=in_marketplace_from,d_hz_loan_vehicle*G1151,0)*in_loan_vehicle_ticket*in_loan_vehicle_comm</f>
        <v/>
      </c>
      <c r="BY1151" s="40">
        <f>BY1150*(1-IF(B1150&gt;=in_marketplace_from,d_hz_loan_home*G1150,0)*BZ1150)</f>
        <v/>
      </c>
      <c r="BZ1151" s="11">
        <f>MIN(in_approval_cap,in_loan_home_approval*INDEX('Age profile'!$O$2:$O$61,B1151)*(1+in_approval_growth)^(D1151-1))</f>
        <v/>
      </c>
      <c r="CA1151" s="14">
        <f>F1151*BY1151*IF(B1151&gt;=in_marketplace_from,d_hz_loan_home*G1151,0)*BZ1151*in_loan_home_ticket*in_loan_home_comm</f>
        <v/>
      </c>
      <c r="CB1151" s="40">
        <f>CB1150*(1-IF(B1150&gt;=in_marketplace_from,d_hz_loan_lap*G1150,0)*CC1150)</f>
        <v/>
      </c>
      <c r="CC1151" s="11">
        <f>MIN(in_approval_cap,in_loan_lap_approval*INDEX('Age profile'!$O$2:$O$61,B1151)*(1+in_approval_growth)^(D1151-1))</f>
        <v/>
      </c>
      <c r="CD1151" s="14">
        <f>F1151*CB1151*IF(B1151&gt;=in_marketplace_from,d_hz_loan_lap*G1151,0)*CC1151*in_loan_lap_ticket*in_loan_lap_comm</f>
        <v/>
      </c>
      <c r="CE1151" s="14">
        <f>AA1151+AB1151+AC1151+AD1151+AG1151+AJ1151+AM1151+AP1151+AS1151+AU1151+AX1151+BB1151+BE1151+BG1151+BJ1151+BL1151+BO1151+BR1151+BT1151+BV1151+BX1151+CA1151+CD1151</f>
        <v/>
      </c>
    </row>
    <row r="1152">
      <c r="A1152" s="39" t="n">
        <v>24</v>
      </c>
      <c r="B1152" s="39" t="n">
        <v>24</v>
      </c>
      <c r="C1152" s="39">
        <f>A1152+B1152-1</f>
        <v/>
      </c>
      <c r="D1152" s="39">
        <f>INT((C1152-1)/12)+1</f>
        <v/>
      </c>
      <c r="E1152" s="44">
        <f>INDEX(Monthly!$B$2:$B$61,A1152)</f>
        <v/>
      </c>
      <c r="F1152" s="44">
        <f>E1152*INDEX('Age profile'!$B$2:$B$61,B1152)</f>
        <v/>
      </c>
      <c r="G1152" s="45">
        <f>MIN(in_takeup_cap,INDEX('Age profile'!$N$2:$N$61,B1152)*(1+in_takeup_growth)^(D1152-1))</f>
        <v/>
      </c>
      <c r="H1152" s="11">
        <f>MIN(in_approval_cap,in_approved_first*INDEX('Age profile'!$O$2:$O$61,B1152)*(1+in_approval_growth)^(D1152-1))</f>
        <v/>
      </c>
      <c r="I1152" s="45">
        <f>G1152*MIN(in_takeup_cap,INDEX('Age profile'!$O$2:$O$61,B1152)*(1+in_approval_growth)^(D1152-1))</f>
        <v/>
      </c>
      <c r="J1152" s="40">
        <f>(J1151-L1151)*F1152/F1151</f>
        <v/>
      </c>
      <c r="K1152" s="40">
        <f>(K1151-M1151)*F1152/F1151+SUMIFS(O1129:O1151,B1129:B1151,B1152-1-d_T)*F1152</f>
        <v/>
      </c>
      <c r="L1152" s="40">
        <f>IF(B1152&gt;=in_marketplace_from,J1152*d_hz*G1152*in_eligible*H1152,0)</f>
        <v/>
      </c>
      <c r="M1152" s="40">
        <f>IF(B1152&gt;=in_marketplace_from,K1152*d_hz*G1152*in_eligible*in_approved_repeat,0)</f>
        <v/>
      </c>
      <c r="N1152" s="40">
        <f>L1152+M1152</f>
        <v/>
      </c>
      <c r="O1152" s="46">
        <f>N1152/F1152</f>
        <v/>
      </c>
      <c r="P1152" s="40">
        <f>F1152-J1152-K1152</f>
        <v/>
      </c>
      <c r="Q1152" s="40">
        <f>IF(B1152&gt;=in_marketplace_from,(J1152+K1152)*d_hz*G1152,0)</f>
        <v/>
      </c>
      <c r="R1152" s="40">
        <f>SUMIFS(N1129:N1165,B1129:B1165,"&gt;="&amp;(B1152-d_T),B1129:B1165,"&lt;="&amp;(B1152-1))</f>
        <v/>
      </c>
      <c r="S1152" s="46">
        <f>(1-d_u)*S1151+IF(d_T&gt;in_topup_lag,SUMIFS(O1129:O1165,B1129:B1165,B1152-in_topup_lag)-d_udrop*SUMIFS(O1129:O1165,B1129:B1165,B1152-d_T),0)</f>
        <v/>
      </c>
      <c r="T1152" s="40">
        <f>F1152*d_u*S1152</f>
        <v/>
      </c>
      <c r="U1152" s="9">
        <f>L1152*in_ticket+M1152*d_rep_ticket</f>
        <v/>
      </c>
      <c r="V1152" s="9">
        <f>U1152+T1152*d_topup_amt</f>
        <v/>
      </c>
      <c r="W1152" s="40">
        <f>N1152+T1152*d_topup_ratio</f>
        <v/>
      </c>
      <c r="X1152" s="40">
        <f>SUMIFS(W1129:W1165,B1129:B1165,B1152-in_dpd_lag)*d_cured</f>
        <v/>
      </c>
      <c r="Y1152" s="40">
        <f>SUMIFS(W1129:W1165,B1129:B1165,B1152-in_rec_lag)*d_recd</f>
        <v/>
      </c>
      <c r="Z1152" s="40">
        <f>IF(AND(B1152&gt;=in_marketplace_from,B1152&lt;in_marketplace_from+in_card_months),in_card_share/in_card_months*F1152*I1152,IF(AND(B1152&gt;=in_marketplace_from+in_card_months,B1152&lt;in_marketplace_from+2*in_card_months),in_card_share*d_card_rem/in_card_months*F1152*MIN(in_takeup_cap,(1+in_takeup_growth)^(D1152-1))*MIN(in_takeup_cap,(1+in_approval_growth)^(D1152-1)),0))</f>
        <v/>
      </c>
      <c r="AA1152" s="14">
        <f>V1152*in_fee*(1-in_taken_back)</f>
        <v/>
      </c>
      <c r="AB1152" s="14">
        <f>SUMIFS(W1129:W1165,B1129:B1165,B1152-in_dpd_lag)*d_dpd</f>
        <v/>
      </c>
      <c r="AC1152" s="14">
        <f>SUMIFS(W1129:W1165,B1129:B1165,B1152-in_rec_lag)*d_rec</f>
        <v/>
      </c>
      <c r="AD1152" s="14">
        <f>Z1152*in_card_fee</f>
        <v/>
      </c>
      <c r="AE1152" s="40">
        <f>AE1151*(1-IF(B1151&gt;=in_marketplace_from,d_hz_hlth_small*G1151,0))</f>
        <v/>
      </c>
      <c r="AF1152" s="46">
        <f>AE1152*IF(B1152&gt;=in_marketplace_from,d_hz_hlth_small*G1152,0)</f>
        <v/>
      </c>
      <c r="AG1152" s="14">
        <f>F1152*AF1152*in_hlth_small_ticket*in_hlth_small_comm*in_ins_partner_share+F1152*in_hlth_small_ticket*in_hlth_small_renew_comm*in_ins_partner_share*(in_hlth_small_renew^1*SUMIFS(AF1129:AF1165,B1129:B1165,B1152-12)+in_hlth_small_renew^2*SUMIFS(AF1129:AF1165,B1129:B1165,B1152-24)+in_hlth_small_renew^3*SUMIFS(AF1129:AF1165,B1129:B1165,B1152-36)+in_hlth_small_renew^4*SUMIFS(AF1129:AF1165,B1129:B1165,B1152-48))</f>
        <v/>
      </c>
      <c r="AH1152" s="40">
        <f>AH1151*(1-IF(B1151&gt;=in_marketplace_from,d_hz_hlth_family*G1151,0))</f>
        <v/>
      </c>
      <c r="AI1152" s="46">
        <f>AH1152*IF(B1152&gt;=in_marketplace_from,d_hz_hlth_family*G1152,0)</f>
        <v/>
      </c>
      <c r="AJ1152" s="14">
        <f>F1152*AI1152*in_hlth_family_ticket*in_hlth_family_comm*in_ins_partner_share+F1152*in_hlth_family_ticket*in_hlth_family_renew_comm*in_ins_partner_share*(in_hlth_family_renew^1*SUMIFS(AI1129:AI1165,B1129:B1165,B1152-12)+in_hlth_family_renew^2*SUMIFS(AI1129:AI1165,B1129:B1165,B1152-24)+in_hlth_family_renew^3*SUMIFS(AI1129:AI1165,B1129:B1165,B1152-36)+in_hlth_family_renew^4*SUMIFS(AI1129:AI1165,B1129:B1165,B1152-48))</f>
        <v/>
      </c>
      <c r="AK1152" s="40">
        <f>AK1151*(1-IF(B1151&gt;=in_marketplace_from,d_hz_life_term*G1151,0))</f>
        <v/>
      </c>
      <c r="AL1152" s="46">
        <f>AK1152*IF(B1152&gt;=in_marketplace_from,d_hz_life_term*G1152,0)</f>
        <v/>
      </c>
      <c r="AM1152" s="14">
        <f>F1152*AL1152*in_life_term_ticket*in_life_term_comm*in_ins_partner_share+F1152*in_life_term_ticket*in_life_term_renew_comm*in_ins_partner_share*(in_life_term_renew^1*SUMIFS(AL1129:AL1165,B1129:B1165,B1152-12)+in_life_term_renew^2*SUMIFS(AL1129:AL1165,B1129:B1165,B1152-24)+in_life_term_renew^3*SUMIFS(AL1129:AL1165,B1129:B1165,B1152-36)+in_life_term_renew^4*SUMIFS(AL1129:AL1165,B1129:B1165,B1152-48))</f>
        <v/>
      </c>
      <c r="AN1152" s="40">
        <f>AN1151*(1-IF(B1151&gt;=in_marketplace_from,d_hz_accident*G1151,0))</f>
        <v/>
      </c>
      <c r="AO1152" s="46">
        <f>AN1152*IF(B1152&gt;=in_marketplace_from,d_hz_accident*G1152,0)</f>
        <v/>
      </c>
      <c r="AP1152" s="14">
        <f>F1152*AO1152*in_accident_ticket*in_accident_comm*in_ins_partner_share+F1152*in_accident_ticket*in_accident_renew_comm*in_ins_partner_share*(in_accident_renew^1*SUMIFS(AO1129:AO1165,B1129:B1165,B1152-12)+in_accident_renew^2*SUMIFS(AO1129:AO1165,B1129:B1165,B1152-24)+in_accident_renew^3*SUMIFS(AO1129:AO1165,B1129:B1165,B1152-36)+in_accident_renew^4*SUMIFS(AO1129:AO1165,B1129:B1165,B1152-48))</f>
        <v/>
      </c>
      <c r="AQ1152" s="40">
        <f>AQ1151*(1-IF(B1151&gt;=in_marketplace_from,d_hz_two_wheeler*G1151,0))</f>
        <v/>
      </c>
      <c r="AR1152" s="46">
        <f>AQ1152*IF(B1152&gt;=in_marketplace_from,d_hz_two_wheeler*G1152,0)</f>
        <v/>
      </c>
      <c r="AS1152" s="14">
        <f>F1152*AR1152*in_two_wheeler_ticket*in_two_wheeler_comm*in_ins_partner_share+F1152*in_two_wheeler_ticket*in_two_wheeler_comm*in_ins_partner_share*(in_two_wheeler_renew^1*SUMIFS(AR1129:AR1165,B1129:B1165,B1152-12)+in_two_wheeler_renew^2*SUMIFS(AR1129:AR1165,B1129:B1165,B1152-24)+in_two_wheeler_renew^3*SUMIFS(AR1129:AR1165,B1129:B1165,B1152-36)+in_two_wheeler_renew^4*SUMIFS(AR1129:AR1165,B1129:B1165,B1152-48))</f>
        <v/>
      </c>
      <c r="AT1152" s="40">
        <f>AT1151*(1-IF(B1151&gt;=in_marketplace_from,d_hz_device*G1151,0))</f>
        <v/>
      </c>
      <c r="AU1152" s="14">
        <f>F1152*AT1152*IF(B1152&gt;=in_marketplace_from,d_hz_device*G1152,0)*in_device_ticket*in_device_comm*in_ins_partner_share</f>
        <v/>
      </c>
      <c r="AV1152" s="40">
        <f>AV1151*(1-IF(B1151&gt;=in_marketplace_from,d_hz_shop*G1151,0))</f>
        <v/>
      </c>
      <c r="AW1152" s="46">
        <f>AV1152*IF(B1152&gt;=in_marketplace_from,d_hz_shop*G1152,0)</f>
        <v/>
      </c>
      <c r="AX1152" s="14">
        <f>F1152*AW1152*in_shop_ticket*in_shop_comm*in_ins_partner_share+F1152*in_shop_ticket*in_shop_renew_comm*in_ins_partner_share*(in_shop_renew^1*SUMIFS(AW1129:AW1165,B1129:B1165,B1152-12)+in_shop_renew^2*SUMIFS(AW1129:AW1165,B1129:B1165,B1152-24)+in_shop_renew^3*SUMIFS(AW1129:AW1165,B1129:B1165,B1152-36)+in_shop_renew^4*SUMIFS(AW1129:AW1165,B1129:B1165,B1152-48))</f>
        <v/>
      </c>
      <c r="AY1152" s="40">
        <f>AY1151*(1-IF(B1151&gt;=in_marketplace_from,d_hz_sip*G1151,0))</f>
        <v/>
      </c>
      <c r="AZ1152" s="40">
        <f>AZ1151*d_rho_sip+AY1152*IF(B1152&gt;=in_marketplace_from,d_hz_sip*G1152,0)</f>
        <v/>
      </c>
      <c r="BA1152" s="40">
        <f>d_rho_sip*(BA1151+AZ1151)</f>
        <v/>
      </c>
      <c r="BB1152" s="14">
        <f>F1152*in_sip_ticket*(BA1152+0.5*AZ1152)*in_sip_comm/12</f>
        <v/>
      </c>
      <c r="BC1152" s="40">
        <f>BC1151*(1-IF(B1151&gt;=in_marketplace_from,d_hz_choti*G1151,0))</f>
        <v/>
      </c>
      <c r="BD1152" s="46">
        <f>BC1152*IF(B1152&gt;=in_marketplace_from,d_hz_choti*G1152,0)</f>
        <v/>
      </c>
      <c r="BE1152" s="14">
        <f>F1152*SUMIFS(BD1129:BD1165,B1129:B1165,B1152-in_choti_months)*in_choti_renew*in_choti_ticket</f>
        <v/>
      </c>
      <c r="BF1152" s="40">
        <f>BF1151*(1-IF(B1151&gt;=in_marketplace_from,d_hz_nps*G1151,0))</f>
        <v/>
      </c>
      <c r="BG1152" s="14">
        <f>F1152*BF1152*IF(B1152&gt;=in_marketplace_from,d_hz_nps*G1152,0)*in_nps_ticket*in_nps_comm</f>
        <v/>
      </c>
      <c r="BH1152" s="40">
        <f>BH1151*(1-IF(B1151&gt;=in_marketplace_from,d_hz_gold*G1151,0))</f>
        <v/>
      </c>
      <c r="BI1152" s="40">
        <f>BI1151*d_rho_gold+BH1152*IF(B1152&gt;=in_marketplace_from,d_hz_gold*G1152,0)</f>
        <v/>
      </c>
      <c r="BJ1152" s="14">
        <f>F1152*BI1152*in_gold_ticket*in_gold_comm</f>
        <v/>
      </c>
      <c r="BK1152" s="40">
        <f>BK1151*(1-IF(B1151&gt;=in_marketplace_from,d_hz_fd*G1151,0))</f>
        <v/>
      </c>
      <c r="BL1152" s="14">
        <f>F1152*BK1152*IF(B1152&gt;=in_marketplace_from,d_hz_fd*G1152,0)*in_fd_ticket*in_fd_comm</f>
        <v/>
      </c>
      <c r="BM1152" s="40">
        <f>BM1151*(1-IF(B1151&gt;=in_marketplace_from,d_hz_recharge*G1151,0))</f>
        <v/>
      </c>
      <c r="BN1152" s="40">
        <f>BN1151*d_rho_recharge+BM1152*IF(B1152&gt;=in_marketplace_from,d_hz_recharge*G1152,0)</f>
        <v/>
      </c>
      <c r="BO1152" s="14">
        <f>F1152*BN1152*in_recharge_ticket*in_recharge_comm/12</f>
        <v/>
      </c>
      <c r="BP1152" s="40">
        <f>BP1151*(1-IF(B1151&gt;=in_marketplace_from,d_hz_bills*G1151,0))</f>
        <v/>
      </c>
      <c r="BQ1152" s="40">
        <f>BQ1151*d_rho_bills+BP1152*IF(B1152&gt;=in_marketplace_from,d_hz_bills*G1152,0)</f>
        <v/>
      </c>
      <c r="BR1152" s="14">
        <f>F1152*BQ1152*in_bills_ticket*in_bills_comm/12</f>
        <v/>
      </c>
      <c r="BS1152" s="40">
        <f>BS1151*(1-IF(B1151&gt;=in_marketplace_from,d_hz_loan_gold*G1151,0))</f>
        <v/>
      </c>
      <c r="BT1152" s="14">
        <f>F1152*BS1152*IF(B1152&gt;=in_marketplace_from,d_hz_loan_gold*G1152,0)*in_loan_gold_ticket*in_loan_gold_comm</f>
        <v/>
      </c>
      <c r="BU1152" s="40">
        <f>BU1151*(1-IF(B1151&gt;=in_marketplace_from,d_hz_loan_cd*G1151,0))</f>
        <v/>
      </c>
      <c r="BV1152" s="14">
        <f>F1152*BU1152*IF(B1152&gt;=in_marketplace_from,d_hz_loan_cd*G1152,0)*in_loan_cd_ticket*in_loan_cd_comm</f>
        <v/>
      </c>
      <c r="BW1152" s="40">
        <f>BW1151*(1-IF(B1151&gt;=in_marketplace_from,d_hz_loan_vehicle*G1151,0))</f>
        <v/>
      </c>
      <c r="BX1152" s="14">
        <f>F1152*BW1152*IF(B1152&gt;=in_marketplace_from,d_hz_loan_vehicle*G1152,0)*in_loan_vehicle_ticket*in_loan_vehicle_comm</f>
        <v/>
      </c>
      <c r="BY1152" s="40">
        <f>BY1151*(1-IF(B1151&gt;=in_marketplace_from,d_hz_loan_home*G1151,0)*BZ1151)</f>
        <v/>
      </c>
      <c r="BZ1152" s="11">
        <f>MIN(in_approval_cap,in_loan_home_approval*INDEX('Age profile'!$O$2:$O$61,B1152)*(1+in_approval_growth)^(D1152-1))</f>
        <v/>
      </c>
      <c r="CA1152" s="14">
        <f>F1152*BY1152*IF(B1152&gt;=in_marketplace_from,d_hz_loan_home*G1152,0)*BZ1152*in_loan_home_ticket*in_loan_home_comm</f>
        <v/>
      </c>
      <c r="CB1152" s="40">
        <f>CB1151*(1-IF(B1151&gt;=in_marketplace_from,d_hz_loan_lap*G1151,0)*CC1151)</f>
        <v/>
      </c>
      <c r="CC1152" s="11">
        <f>MIN(in_approval_cap,in_loan_lap_approval*INDEX('Age profile'!$O$2:$O$61,B1152)*(1+in_approval_growth)^(D1152-1))</f>
        <v/>
      </c>
      <c r="CD1152" s="14">
        <f>F1152*CB1152*IF(B1152&gt;=in_marketplace_from,d_hz_loan_lap*G1152,0)*CC1152*in_loan_lap_ticket*in_loan_lap_comm</f>
        <v/>
      </c>
      <c r="CE1152" s="14">
        <f>AA1152+AB1152+AC1152+AD1152+AG1152+AJ1152+AM1152+AP1152+AS1152+AU1152+AX1152+BB1152+BE1152+BG1152+BJ1152+BL1152+BO1152+BR1152+BT1152+BV1152+BX1152+CA1152+CD1152</f>
        <v/>
      </c>
    </row>
    <row r="1153">
      <c r="A1153" s="39" t="n">
        <v>24</v>
      </c>
      <c r="B1153" s="39" t="n">
        <v>25</v>
      </c>
      <c r="C1153" s="39">
        <f>A1153+B1153-1</f>
        <v/>
      </c>
      <c r="D1153" s="39">
        <f>INT((C1153-1)/12)+1</f>
        <v/>
      </c>
      <c r="E1153" s="44">
        <f>INDEX(Monthly!$B$2:$B$61,A1153)</f>
        <v/>
      </c>
      <c r="F1153" s="44">
        <f>E1153*INDEX('Age profile'!$B$2:$B$61,B1153)</f>
        <v/>
      </c>
      <c r="G1153" s="45">
        <f>MIN(in_takeup_cap,INDEX('Age profile'!$N$2:$N$61,B1153)*(1+in_takeup_growth)^(D1153-1))</f>
        <v/>
      </c>
      <c r="H1153" s="11">
        <f>MIN(in_approval_cap,in_approved_first*INDEX('Age profile'!$O$2:$O$61,B1153)*(1+in_approval_growth)^(D1153-1))</f>
        <v/>
      </c>
      <c r="I1153" s="45">
        <f>G1153*MIN(in_takeup_cap,INDEX('Age profile'!$O$2:$O$61,B1153)*(1+in_approval_growth)^(D1153-1))</f>
        <v/>
      </c>
      <c r="J1153" s="40">
        <f>(J1152-L1152)*F1153/F1152</f>
        <v/>
      </c>
      <c r="K1153" s="40">
        <f>(K1152-M1152)*F1153/F1152+SUMIFS(O1129:O1152,B1129:B1152,B1153-1-d_T)*F1153</f>
        <v/>
      </c>
      <c r="L1153" s="40">
        <f>IF(B1153&gt;=in_marketplace_from,J1153*d_hz*G1153*in_eligible*H1153,0)</f>
        <v/>
      </c>
      <c r="M1153" s="40">
        <f>IF(B1153&gt;=in_marketplace_from,K1153*d_hz*G1153*in_eligible*in_approved_repeat,0)</f>
        <v/>
      </c>
      <c r="N1153" s="40">
        <f>L1153+M1153</f>
        <v/>
      </c>
      <c r="O1153" s="46">
        <f>N1153/F1153</f>
        <v/>
      </c>
      <c r="P1153" s="40">
        <f>F1153-J1153-K1153</f>
        <v/>
      </c>
      <c r="Q1153" s="40">
        <f>IF(B1153&gt;=in_marketplace_from,(J1153+K1153)*d_hz*G1153,0)</f>
        <v/>
      </c>
      <c r="R1153" s="40">
        <f>SUMIFS(N1129:N1165,B1129:B1165,"&gt;="&amp;(B1153-d_T),B1129:B1165,"&lt;="&amp;(B1153-1))</f>
        <v/>
      </c>
      <c r="S1153" s="46">
        <f>(1-d_u)*S1152+IF(d_T&gt;in_topup_lag,SUMIFS(O1129:O1165,B1129:B1165,B1153-in_topup_lag)-d_udrop*SUMIFS(O1129:O1165,B1129:B1165,B1153-d_T),0)</f>
        <v/>
      </c>
      <c r="T1153" s="40">
        <f>F1153*d_u*S1153</f>
        <v/>
      </c>
      <c r="U1153" s="9">
        <f>L1153*in_ticket+M1153*d_rep_ticket</f>
        <v/>
      </c>
      <c r="V1153" s="9">
        <f>U1153+T1153*d_topup_amt</f>
        <v/>
      </c>
      <c r="W1153" s="40">
        <f>N1153+T1153*d_topup_ratio</f>
        <v/>
      </c>
      <c r="X1153" s="40">
        <f>SUMIFS(W1129:W1165,B1129:B1165,B1153-in_dpd_lag)*d_cured</f>
        <v/>
      </c>
      <c r="Y1153" s="40">
        <f>SUMIFS(W1129:W1165,B1129:B1165,B1153-in_rec_lag)*d_recd</f>
        <v/>
      </c>
      <c r="Z1153" s="40">
        <f>IF(AND(B1153&gt;=in_marketplace_from,B1153&lt;in_marketplace_from+in_card_months),in_card_share/in_card_months*F1153*I1153,IF(AND(B1153&gt;=in_marketplace_from+in_card_months,B1153&lt;in_marketplace_from+2*in_card_months),in_card_share*d_card_rem/in_card_months*F1153*MIN(in_takeup_cap,(1+in_takeup_growth)^(D1153-1))*MIN(in_takeup_cap,(1+in_approval_growth)^(D1153-1)),0))</f>
        <v/>
      </c>
      <c r="AA1153" s="14">
        <f>V1153*in_fee*(1-in_taken_back)</f>
        <v/>
      </c>
      <c r="AB1153" s="14">
        <f>SUMIFS(W1129:W1165,B1129:B1165,B1153-in_dpd_lag)*d_dpd</f>
        <v/>
      </c>
      <c r="AC1153" s="14">
        <f>SUMIFS(W1129:W1165,B1129:B1165,B1153-in_rec_lag)*d_rec</f>
        <v/>
      </c>
      <c r="AD1153" s="14">
        <f>Z1153*in_card_fee</f>
        <v/>
      </c>
      <c r="AE1153" s="40">
        <f>AE1152*(1-IF(B1152&gt;=in_marketplace_from,d_hz_hlth_small*G1152,0))</f>
        <v/>
      </c>
      <c r="AF1153" s="46">
        <f>AE1153*IF(B1153&gt;=in_marketplace_from,d_hz_hlth_small*G1153,0)</f>
        <v/>
      </c>
      <c r="AG1153" s="14">
        <f>F1153*AF1153*in_hlth_small_ticket*in_hlth_small_comm*in_ins_partner_share+F1153*in_hlth_small_ticket*in_hlth_small_renew_comm*in_ins_partner_share*(in_hlth_small_renew^1*SUMIFS(AF1129:AF1165,B1129:B1165,B1153-12)+in_hlth_small_renew^2*SUMIFS(AF1129:AF1165,B1129:B1165,B1153-24)+in_hlth_small_renew^3*SUMIFS(AF1129:AF1165,B1129:B1165,B1153-36)+in_hlth_small_renew^4*SUMIFS(AF1129:AF1165,B1129:B1165,B1153-48))</f>
        <v/>
      </c>
      <c r="AH1153" s="40">
        <f>AH1152*(1-IF(B1152&gt;=in_marketplace_from,d_hz_hlth_family*G1152,0))</f>
        <v/>
      </c>
      <c r="AI1153" s="46">
        <f>AH1153*IF(B1153&gt;=in_marketplace_from,d_hz_hlth_family*G1153,0)</f>
        <v/>
      </c>
      <c r="AJ1153" s="14">
        <f>F1153*AI1153*in_hlth_family_ticket*in_hlth_family_comm*in_ins_partner_share+F1153*in_hlth_family_ticket*in_hlth_family_renew_comm*in_ins_partner_share*(in_hlth_family_renew^1*SUMIFS(AI1129:AI1165,B1129:B1165,B1153-12)+in_hlth_family_renew^2*SUMIFS(AI1129:AI1165,B1129:B1165,B1153-24)+in_hlth_family_renew^3*SUMIFS(AI1129:AI1165,B1129:B1165,B1153-36)+in_hlth_family_renew^4*SUMIFS(AI1129:AI1165,B1129:B1165,B1153-48))</f>
        <v/>
      </c>
      <c r="AK1153" s="40">
        <f>AK1152*(1-IF(B1152&gt;=in_marketplace_from,d_hz_life_term*G1152,0))</f>
        <v/>
      </c>
      <c r="AL1153" s="46">
        <f>AK1153*IF(B1153&gt;=in_marketplace_from,d_hz_life_term*G1153,0)</f>
        <v/>
      </c>
      <c r="AM1153" s="14">
        <f>F1153*AL1153*in_life_term_ticket*in_life_term_comm*in_ins_partner_share+F1153*in_life_term_ticket*in_life_term_renew_comm*in_ins_partner_share*(in_life_term_renew^1*SUMIFS(AL1129:AL1165,B1129:B1165,B1153-12)+in_life_term_renew^2*SUMIFS(AL1129:AL1165,B1129:B1165,B1153-24)+in_life_term_renew^3*SUMIFS(AL1129:AL1165,B1129:B1165,B1153-36)+in_life_term_renew^4*SUMIFS(AL1129:AL1165,B1129:B1165,B1153-48))</f>
        <v/>
      </c>
      <c r="AN1153" s="40">
        <f>AN1152*(1-IF(B1152&gt;=in_marketplace_from,d_hz_accident*G1152,0))</f>
        <v/>
      </c>
      <c r="AO1153" s="46">
        <f>AN1153*IF(B1153&gt;=in_marketplace_from,d_hz_accident*G1153,0)</f>
        <v/>
      </c>
      <c r="AP1153" s="14">
        <f>F1153*AO1153*in_accident_ticket*in_accident_comm*in_ins_partner_share+F1153*in_accident_ticket*in_accident_renew_comm*in_ins_partner_share*(in_accident_renew^1*SUMIFS(AO1129:AO1165,B1129:B1165,B1153-12)+in_accident_renew^2*SUMIFS(AO1129:AO1165,B1129:B1165,B1153-24)+in_accident_renew^3*SUMIFS(AO1129:AO1165,B1129:B1165,B1153-36)+in_accident_renew^4*SUMIFS(AO1129:AO1165,B1129:B1165,B1153-48))</f>
        <v/>
      </c>
      <c r="AQ1153" s="40">
        <f>AQ1152*(1-IF(B1152&gt;=in_marketplace_from,d_hz_two_wheeler*G1152,0))</f>
        <v/>
      </c>
      <c r="AR1153" s="46">
        <f>AQ1153*IF(B1153&gt;=in_marketplace_from,d_hz_two_wheeler*G1153,0)</f>
        <v/>
      </c>
      <c r="AS1153" s="14">
        <f>F1153*AR1153*in_two_wheeler_ticket*in_two_wheeler_comm*in_ins_partner_share+F1153*in_two_wheeler_ticket*in_two_wheeler_comm*in_ins_partner_share*(in_two_wheeler_renew^1*SUMIFS(AR1129:AR1165,B1129:B1165,B1153-12)+in_two_wheeler_renew^2*SUMIFS(AR1129:AR1165,B1129:B1165,B1153-24)+in_two_wheeler_renew^3*SUMIFS(AR1129:AR1165,B1129:B1165,B1153-36)+in_two_wheeler_renew^4*SUMIFS(AR1129:AR1165,B1129:B1165,B1153-48))</f>
        <v/>
      </c>
      <c r="AT1153" s="40">
        <f>AT1152*(1-IF(B1152&gt;=in_marketplace_from,d_hz_device*G1152,0))</f>
        <v/>
      </c>
      <c r="AU1153" s="14">
        <f>F1153*AT1153*IF(B1153&gt;=in_marketplace_from,d_hz_device*G1153,0)*in_device_ticket*in_device_comm*in_ins_partner_share</f>
        <v/>
      </c>
      <c r="AV1153" s="40">
        <f>AV1152*(1-IF(B1152&gt;=in_marketplace_from,d_hz_shop*G1152,0))</f>
        <v/>
      </c>
      <c r="AW1153" s="46">
        <f>AV1153*IF(B1153&gt;=in_marketplace_from,d_hz_shop*G1153,0)</f>
        <v/>
      </c>
      <c r="AX1153" s="14">
        <f>F1153*AW1153*in_shop_ticket*in_shop_comm*in_ins_partner_share+F1153*in_shop_ticket*in_shop_renew_comm*in_ins_partner_share*(in_shop_renew^1*SUMIFS(AW1129:AW1165,B1129:B1165,B1153-12)+in_shop_renew^2*SUMIFS(AW1129:AW1165,B1129:B1165,B1153-24)+in_shop_renew^3*SUMIFS(AW1129:AW1165,B1129:B1165,B1153-36)+in_shop_renew^4*SUMIFS(AW1129:AW1165,B1129:B1165,B1153-48))</f>
        <v/>
      </c>
      <c r="AY1153" s="40">
        <f>AY1152*(1-IF(B1152&gt;=in_marketplace_from,d_hz_sip*G1152,0))</f>
        <v/>
      </c>
      <c r="AZ1153" s="40">
        <f>AZ1152*d_rho_sip+AY1153*IF(B1153&gt;=in_marketplace_from,d_hz_sip*G1153,0)</f>
        <v/>
      </c>
      <c r="BA1153" s="40">
        <f>d_rho_sip*(BA1152+AZ1152)</f>
        <v/>
      </c>
      <c r="BB1153" s="14">
        <f>F1153*in_sip_ticket*(BA1153+0.5*AZ1153)*in_sip_comm/12</f>
        <v/>
      </c>
      <c r="BC1153" s="40">
        <f>BC1152*(1-IF(B1152&gt;=in_marketplace_from,d_hz_choti*G1152,0))</f>
        <v/>
      </c>
      <c r="BD1153" s="46">
        <f>BC1153*IF(B1153&gt;=in_marketplace_from,d_hz_choti*G1153,0)</f>
        <v/>
      </c>
      <c r="BE1153" s="14">
        <f>F1153*SUMIFS(BD1129:BD1165,B1129:B1165,B1153-in_choti_months)*in_choti_renew*in_choti_ticket</f>
        <v/>
      </c>
      <c r="BF1153" s="40">
        <f>BF1152*(1-IF(B1152&gt;=in_marketplace_from,d_hz_nps*G1152,0))</f>
        <v/>
      </c>
      <c r="BG1153" s="14">
        <f>F1153*BF1153*IF(B1153&gt;=in_marketplace_from,d_hz_nps*G1153,0)*in_nps_ticket*in_nps_comm</f>
        <v/>
      </c>
      <c r="BH1153" s="40">
        <f>BH1152*(1-IF(B1152&gt;=in_marketplace_from,d_hz_gold*G1152,0))</f>
        <v/>
      </c>
      <c r="BI1153" s="40">
        <f>BI1152*d_rho_gold+BH1153*IF(B1153&gt;=in_marketplace_from,d_hz_gold*G1153,0)</f>
        <v/>
      </c>
      <c r="BJ1153" s="14">
        <f>F1153*BI1153*in_gold_ticket*in_gold_comm</f>
        <v/>
      </c>
      <c r="BK1153" s="40">
        <f>BK1152*(1-IF(B1152&gt;=in_marketplace_from,d_hz_fd*G1152,0))</f>
        <v/>
      </c>
      <c r="BL1153" s="14">
        <f>F1153*BK1153*IF(B1153&gt;=in_marketplace_from,d_hz_fd*G1153,0)*in_fd_ticket*in_fd_comm</f>
        <v/>
      </c>
      <c r="BM1153" s="40">
        <f>BM1152*(1-IF(B1152&gt;=in_marketplace_from,d_hz_recharge*G1152,0))</f>
        <v/>
      </c>
      <c r="BN1153" s="40">
        <f>BN1152*d_rho_recharge+BM1153*IF(B1153&gt;=in_marketplace_from,d_hz_recharge*G1153,0)</f>
        <v/>
      </c>
      <c r="BO1153" s="14">
        <f>F1153*BN1153*in_recharge_ticket*in_recharge_comm/12</f>
        <v/>
      </c>
      <c r="BP1153" s="40">
        <f>BP1152*(1-IF(B1152&gt;=in_marketplace_from,d_hz_bills*G1152,0))</f>
        <v/>
      </c>
      <c r="BQ1153" s="40">
        <f>BQ1152*d_rho_bills+BP1153*IF(B1153&gt;=in_marketplace_from,d_hz_bills*G1153,0)</f>
        <v/>
      </c>
      <c r="BR1153" s="14">
        <f>F1153*BQ1153*in_bills_ticket*in_bills_comm/12</f>
        <v/>
      </c>
      <c r="BS1153" s="40">
        <f>BS1152*(1-IF(B1152&gt;=in_marketplace_from,d_hz_loan_gold*G1152,0))</f>
        <v/>
      </c>
      <c r="BT1153" s="14">
        <f>F1153*BS1153*IF(B1153&gt;=in_marketplace_from,d_hz_loan_gold*G1153,0)*in_loan_gold_ticket*in_loan_gold_comm</f>
        <v/>
      </c>
      <c r="BU1153" s="40">
        <f>BU1152*(1-IF(B1152&gt;=in_marketplace_from,d_hz_loan_cd*G1152,0))</f>
        <v/>
      </c>
      <c r="BV1153" s="14">
        <f>F1153*BU1153*IF(B1153&gt;=in_marketplace_from,d_hz_loan_cd*G1153,0)*in_loan_cd_ticket*in_loan_cd_comm</f>
        <v/>
      </c>
      <c r="BW1153" s="40">
        <f>BW1152*(1-IF(B1152&gt;=in_marketplace_from,d_hz_loan_vehicle*G1152,0))</f>
        <v/>
      </c>
      <c r="BX1153" s="14">
        <f>F1153*BW1153*IF(B1153&gt;=in_marketplace_from,d_hz_loan_vehicle*G1153,0)*in_loan_vehicle_ticket*in_loan_vehicle_comm</f>
        <v/>
      </c>
      <c r="BY1153" s="40">
        <f>BY1152*(1-IF(B1152&gt;=in_marketplace_from,d_hz_loan_home*G1152,0)*BZ1152)</f>
        <v/>
      </c>
      <c r="BZ1153" s="11">
        <f>MIN(in_approval_cap,in_loan_home_approval*INDEX('Age profile'!$O$2:$O$61,B1153)*(1+in_approval_growth)^(D1153-1))</f>
        <v/>
      </c>
      <c r="CA1153" s="14">
        <f>F1153*BY1153*IF(B1153&gt;=in_marketplace_from,d_hz_loan_home*G1153,0)*BZ1153*in_loan_home_ticket*in_loan_home_comm</f>
        <v/>
      </c>
      <c r="CB1153" s="40">
        <f>CB1152*(1-IF(B1152&gt;=in_marketplace_from,d_hz_loan_lap*G1152,0)*CC1152)</f>
        <v/>
      </c>
      <c r="CC1153" s="11">
        <f>MIN(in_approval_cap,in_loan_lap_approval*INDEX('Age profile'!$O$2:$O$61,B1153)*(1+in_approval_growth)^(D1153-1))</f>
        <v/>
      </c>
      <c r="CD1153" s="14">
        <f>F1153*CB1153*IF(B1153&gt;=in_marketplace_from,d_hz_loan_lap*G1153,0)*CC1153*in_loan_lap_ticket*in_loan_lap_comm</f>
        <v/>
      </c>
      <c r="CE1153" s="14">
        <f>AA1153+AB1153+AC1153+AD1153+AG1153+AJ1153+AM1153+AP1153+AS1153+AU1153+AX1153+BB1153+BE1153+BG1153+BJ1153+BL1153+BO1153+BR1153+BT1153+BV1153+BX1153+CA1153+CD1153</f>
        <v/>
      </c>
    </row>
    <row r="1154">
      <c r="A1154" s="39" t="n">
        <v>24</v>
      </c>
      <c r="B1154" s="39" t="n">
        <v>26</v>
      </c>
      <c r="C1154" s="39">
        <f>A1154+B1154-1</f>
        <v/>
      </c>
      <c r="D1154" s="39">
        <f>INT((C1154-1)/12)+1</f>
        <v/>
      </c>
      <c r="E1154" s="44">
        <f>INDEX(Monthly!$B$2:$B$61,A1154)</f>
        <v/>
      </c>
      <c r="F1154" s="44">
        <f>E1154*INDEX('Age profile'!$B$2:$B$61,B1154)</f>
        <v/>
      </c>
      <c r="G1154" s="45">
        <f>MIN(in_takeup_cap,INDEX('Age profile'!$N$2:$N$61,B1154)*(1+in_takeup_growth)^(D1154-1))</f>
        <v/>
      </c>
      <c r="H1154" s="11">
        <f>MIN(in_approval_cap,in_approved_first*INDEX('Age profile'!$O$2:$O$61,B1154)*(1+in_approval_growth)^(D1154-1))</f>
        <v/>
      </c>
      <c r="I1154" s="45">
        <f>G1154*MIN(in_takeup_cap,INDEX('Age profile'!$O$2:$O$61,B1154)*(1+in_approval_growth)^(D1154-1))</f>
        <v/>
      </c>
      <c r="J1154" s="40">
        <f>(J1153-L1153)*F1154/F1153</f>
        <v/>
      </c>
      <c r="K1154" s="40">
        <f>(K1153-M1153)*F1154/F1153+SUMIFS(O1129:O1153,B1129:B1153,B1154-1-d_T)*F1154</f>
        <v/>
      </c>
      <c r="L1154" s="40">
        <f>IF(B1154&gt;=in_marketplace_from,J1154*d_hz*G1154*in_eligible*H1154,0)</f>
        <v/>
      </c>
      <c r="M1154" s="40">
        <f>IF(B1154&gt;=in_marketplace_from,K1154*d_hz*G1154*in_eligible*in_approved_repeat,0)</f>
        <v/>
      </c>
      <c r="N1154" s="40">
        <f>L1154+M1154</f>
        <v/>
      </c>
      <c r="O1154" s="46">
        <f>N1154/F1154</f>
        <v/>
      </c>
      <c r="P1154" s="40">
        <f>F1154-J1154-K1154</f>
        <v/>
      </c>
      <c r="Q1154" s="40">
        <f>IF(B1154&gt;=in_marketplace_from,(J1154+K1154)*d_hz*G1154,0)</f>
        <v/>
      </c>
      <c r="R1154" s="40">
        <f>SUMIFS(N1129:N1165,B1129:B1165,"&gt;="&amp;(B1154-d_T),B1129:B1165,"&lt;="&amp;(B1154-1))</f>
        <v/>
      </c>
      <c r="S1154" s="46">
        <f>(1-d_u)*S1153+IF(d_T&gt;in_topup_lag,SUMIFS(O1129:O1165,B1129:B1165,B1154-in_topup_lag)-d_udrop*SUMIFS(O1129:O1165,B1129:B1165,B1154-d_T),0)</f>
        <v/>
      </c>
      <c r="T1154" s="40">
        <f>F1154*d_u*S1154</f>
        <v/>
      </c>
      <c r="U1154" s="9">
        <f>L1154*in_ticket+M1154*d_rep_ticket</f>
        <v/>
      </c>
      <c r="V1154" s="9">
        <f>U1154+T1154*d_topup_amt</f>
        <v/>
      </c>
      <c r="W1154" s="40">
        <f>N1154+T1154*d_topup_ratio</f>
        <v/>
      </c>
      <c r="X1154" s="40">
        <f>SUMIFS(W1129:W1165,B1129:B1165,B1154-in_dpd_lag)*d_cured</f>
        <v/>
      </c>
      <c r="Y1154" s="40">
        <f>SUMIFS(W1129:W1165,B1129:B1165,B1154-in_rec_lag)*d_recd</f>
        <v/>
      </c>
      <c r="Z1154" s="40">
        <f>IF(AND(B1154&gt;=in_marketplace_from,B1154&lt;in_marketplace_from+in_card_months),in_card_share/in_card_months*F1154*I1154,IF(AND(B1154&gt;=in_marketplace_from+in_card_months,B1154&lt;in_marketplace_from+2*in_card_months),in_card_share*d_card_rem/in_card_months*F1154*MIN(in_takeup_cap,(1+in_takeup_growth)^(D1154-1))*MIN(in_takeup_cap,(1+in_approval_growth)^(D1154-1)),0))</f>
        <v/>
      </c>
      <c r="AA1154" s="14">
        <f>V1154*in_fee*(1-in_taken_back)</f>
        <v/>
      </c>
      <c r="AB1154" s="14">
        <f>SUMIFS(W1129:W1165,B1129:B1165,B1154-in_dpd_lag)*d_dpd</f>
        <v/>
      </c>
      <c r="AC1154" s="14">
        <f>SUMIFS(W1129:W1165,B1129:B1165,B1154-in_rec_lag)*d_rec</f>
        <v/>
      </c>
      <c r="AD1154" s="14">
        <f>Z1154*in_card_fee</f>
        <v/>
      </c>
      <c r="AE1154" s="40">
        <f>AE1153*(1-IF(B1153&gt;=in_marketplace_from,d_hz_hlth_small*G1153,0))</f>
        <v/>
      </c>
      <c r="AF1154" s="46">
        <f>AE1154*IF(B1154&gt;=in_marketplace_from,d_hz_hlth_small*G1154,0)</f>
        <v/>
      </c>
      <c r="AG1154" s="14">
        <f>F1154*AF1154*in_hlth_small_ticket*in_hlth_small_comm*in_ins_partner_share+F1154*in_hlth_small_ticket*in_hlth_small_renew_comm*in_ins_partner_share*(in_hlth_small_renew^1*SUMIFS(AF1129:AF1165,B1129:B1165,B1154-12)+in_hlth_small_renew^2*SUMIFS(AF1129:AF1165,B1129:B1165,B1154-24)+in_hlth_small_renew^3*SUMIFS(AF1129:AF1165,B1129:B1165,B1154-36)+in_hlth_small_renew^4*SUMIFS(AF1129:AF1165,B1129:B1165,B1154-48))</f>
        <v/>
      </c>
      <c r="AH1154" s="40">
        <f>AH1153*(1-IF(B1153&gt;=in_marketplace_from,d_hz_hlth_family*G1153,0))</f>
        <v/>
      </c>
      <c r="AI1154" s="46">
        <f>AH1154*IF(B1154&gt;=in_marketplace_from,d_hz_hlth_family*G1154,0)</f>
        <v/>
      </c>
      <c r="AJ1154" s="14">
        <f>F1154*AI1154*in_hlth_family_ticket*in_hlth_family_comm*in_ins_partner_share+F1154*in_hlth_family_ticket*in_hlth_family_renew_comm*in_ins_partner_share*(in_hlth_family_renew^1*SUMIFS(AI1129:AI1165,B1129:B1165,B1154-12)+in_hlth_family_renew^2*SUMIFS(AI1129:AI1165,B1129:B1165,B1154-24)+in_hlth_family_renew^3*SUMIFS(AI1129:AI1165,B1129:B1165,B1154-36)+in_hlth_family_renew^4*SUMIFS(AI1129:AI1165,B1129:B1165,B1154-48))</f>
        <v/>
      </c>
      <c r="AK1154" s="40">
        <f>AK1153*(1-IF(B1153&gt;=in_marketplace_from,d_hz_life_term*G1153,0))</f>
        <v/>
      </c>
      <c r="AL1154" s="46">
        <f>AK1154*IF(B1154&gt;=in_marketplace_from,d_hz_life_term*G1154,0)</f>
        <v/>
      </c>
      <c r="AM1154" s="14">
        <f>F1154*AL1154*in_life_term_ticket*in_life_term_comm*in_ins_partner_share+F1154*in_life_term_ticket*in_life_term_renew_comm*in_ins_partner_share*(in_life_term_renew^1*SUMIFS(AL1129:AL1165,B1129:B1165,B1154-12)+in_life_term_renew^2*SUMIFS(AL1129:AL1165,B1129:B1165,B1154-24)+in_life_term_renew^3*SUMIFS(AL1129:AL1165,B1129:B1165,B1154-36)+in_life_term_renew^4*SUMIFS(AL1129:AL1165,B1129:B1165,B1154-48))</f>
        <v/>
      </c>
      <c r="AN1154" s="40">
        <f>AN1153*(1-IF(B1153&gt;=in_marketplace_from,d_hz_accident*G1153,0))</f>
        <v/>
      </c>
      <c r="AO1154" s="46">
        <f>AN1154*IF(B1154&gt;=in_marketplace_from,d_hz_accident*G1154,0)</f>
        <v/>
      </c>
      <c r="AP1154" s="14">
        <f>F1154*AO1154*in_accident_ticket*in_accident_comm*in_ins_partner_share+F1154*in_accident_ticket*in_accident_renew_comm*in_ins_partner_share*(in_accident_renew^1*SUMIFS(AO1129:AO1165,B1129:B1165,B1154-12)+in_accident_renew^2*SUMIFS(AO1129:AO1165,B1129:B1165,B1154-24)+in_accident_renew^3*SUMIFS(AO1129:AO1165,B1129:B1165,B1154-36)+in_accident_renew^4*SUMIFS(AO1129:AO1165,B1129:B1165,B1154-48))</f>
        <v/>
      </c>
      <c r="AQ1154" s="40">
        <f>AQ1153*(1-IF(B1153&gt;=in_marketplace_from,d_hz_two_wheeler*G1153,0))</f>
        <v/>
      </c>
      <c r="AR1154" s="46">
        <f>AQ1154*IF(B1154&gt;=in_marketplace_from,d_hz_two_wheeler*G1154,0)</f>
        <v/>
      </c>
      <c r="AS1154" s="14">
        <f>F1154*AR1154*in_two_wheeler_ticket*in_two_wheeler_comm*in_ins_partner_share+F1154*in_two_wheeler_ticket*in_two_wheeler_comm*in_ins_partner_share*(in_two_wheeler_renew^1*SUMIFS(AR1129:AR1165,B1129:B1165,B1154-12)+in_two_wheeler_renew^2*SUMIFS(AR1129:AR1165,B1129:B1165,B1154-24)+in_two_wheeler_renew^3*SUMIFS(AR1129:AR1165,B1129:B1165,B1154-36)+in_two_wheeler_renew^4*SUMIFS(AR1129:AR1165,B1129:B1165,B1154-48))</f>
        <v/>
      </c>
      <c r="AT1154" s="40">
        <f>AT1153*(1-IF(B1153&gt;=in_marketplace_from,d_hz_device*G1153,0))</f>
        <v/>
      </c>
      <c r="AU1154" s="14">
        <f>F1154*AT1154*IF(B1154&gt;=in_marketplace_from,d_hz_device*G1154,0)*in_device_ticket*in_device_comm*in_ins_partner_share</f>
        <v/>
      </c>
      <c r="AV1154" s="40">
        <f>AV1153*(1-IF(B1153&gt;=in_marketplace_from,d_hz_shop*G1153,0))</f>
        <v/>
      </c>
      <c r="AW1154" s="46">
        <f>AV1154*IF(B1154&gt;=in_marketplace_from,d_hz_shop*G1154,0)</f>
        <v/>
      </c>
      <c r="AX1154" s="14">
        <f>F1154*AW1154*in_shop_ticket*in_shop_comm*in_ins_partner_share+F1154*in_shop_ticket*in_shop_renew_comm*in_ins_partner_share*(in_shop_renew^1*SUMIFS(AW1129:AW1165,B1129:B1165,B1154-12)+in_shop_renew^2*SUMIFS(AW1129:AW1165,B1129:B1165,B1154-24)+in_shop_renew^3*SUMIFS(AW1129:AW1165,B1129:B1165,B1154-36)+in_shop_renew^4*SUMIFS(AW1129:AW1165,B1129:B1165,B1154-48))</f>
        <v/>
      </c>
      <c r="AY1154" s="40">
        <f>AY1153*(1-IF(B1153&gt;=in_marketplace_from,d_hz_sip*G1153,0))</f>
        <v/>
      </c>
      <c r="AZ1154" s="40">
        <f>AZ1153*d_rho_sip+AY1154*IF(B1154&gt;=in_marketplace_from,d_hz_sip*G1154,0)</f>
        <v/>
      </c>
      <c r="BA1154" s="40">
        <f>d_rho_sip*(BA1153+AZ1153)</f>
        <v/>
      </c>
      <c r="BB1154" s="14">
        <f>F1154*in_sip_ticket*(BA1154+0.5*AZ1154)*in_sip_comm/12</f>
        <v/>
      </c>
      <c r="BC1154" s="40">
        <f>BC1153*(1-IF(B1153&gt;=in_marketplace_from,d_hz_choti*G1153,0))</f>
        <v/>
      </c>
      <c r="BD1154" s="46">
        <f>BC1154*IF(B1154&gt;=in_marketplace_from,d_hz_choti*G1154,0)</f>
        <v/>
      </c>
      <c r="BE1154" s="14">
        <f>F1154*SUMIFS(BD1129:BD1165,B1129:B1165,B1154-in_choti_months)*in_choti_renew*in_choti_ticket</f>
        <v/>
      </c>
      <c r="BF1154" s="40">
        <f>BF1153*(1-IF(B1153&gt;=in_marketplace_from,d_hz_nps*G1153,0))</f>
        <v/>
      </c>
      <c r="BG1154" s="14">
        <f>F1154*BF1154*IF(B1154&gt;=in_marketplace_from,d_hz_nps*G1154,0)*in_nps_ticket*in_nps_comm</f>
        <v/>
      </c>
      <c r="BH1154" s="40">
        <f>BH1153*(1-IF(B1153&gt;=in_marketplace_from,d_hz_gold*G1153,0))</f>
        <v/>
      </c>
      <c r="BI1154" s="40">
        <f>BI1153*d_rho_gold+BH1154*IF(B1154&gt;=in_marketplace_from,d_hz_gold*G1154,0)</f>
        <v/>
      </c>
      <c r="BJ1154" s="14">
        <f>F1154*BI1154*in_gold_ticket*in_gold_comm</f>
        <v/>
      </c>
      <c r="BK1154" s="40">
        <f>BK1153*(1-IF(B1153&gt;=in_marketplace_from,d_hz_fd*G1153,0))</f>
        <v/>
      </c>
      <c r="BL1154" s="14">
        <f>F1154*BK1154*IF(B1154&gt;=in_marketplace_from,d_hz_fd*G1154,0)*in_fd_ticket*in_fd_comm</f>
        <v/>
      </c>
      <c r="BM1154" s="40">
        <f>BM1153*(1-IF(B1153&gt;=in_marketplace_from,d_hz_recharge*G1153,0))</f>
        <v/>
      </c>
      <c r="BN1154" s="40">
        <f>BN1153*d_rho_recharge+BM1154*IF(B1154&gt;=in_marketplace_from,d_hz_recharge*G1154,0)</f>
        <v/>
      </c>
      <c r="BO1154" s="14">
        <f>F1154*BN1154*in_recharge_ticket*in_recharge_comm/12</f>
        <v/>
      </c>
      <c r="BP1154" s="40">
        <f>BP1153*(1-IF(B1153&gt;=in_marketplace_from,d_hz_bills*G1153,0))</f>
        <v/>
      </c>
      <c r="BQ1154" s="40">
        <f>BQ1153*d_rho_bills+BP1154*IF(B1154&gt;=in_marketplace_from,d_hz_bills*G1154,0)</f>
        <v/>
      </c>
      <c r="BR1154" s="14">
        <f>F1154*BQ1154*in_bills_ticket*in_bills_comm/12</f>
        <v/>
      </c>
      <c r="BS1154" s="40">
        <f>BS1153*(1-IF(B1153&gt;=in_marketplace_from,d_hz_loan_gold*G1153,0))</f>
        <v/>
      </c>
      <c r="BT1154" s="14">
        <f>F1154*BS1154*IF(B1154&gt;=in_marketplace_from,d_hz_loan_gold*G1154,0)*in_loan_gold_ticket*in_loan_gold_comm</f>
        <v/>
      </c>
      <c r="BU1154" s="40">
        <f>BU1153*(1-IF(B1153&gt;=in_marketplace_from,d_hz_loan_cd*G1153,0))</f>
        <v/>
      </c>
      <c r="BV1154" s="14">
        <f>F1154*BU1154*IF(B1154&gt;=in_marketplace_from,d_hz_loan_cd*G1154,0)*in_loan_cd_ticket*in_loan_cd_comm</f>
        <v/>
      </c>
      <c r="BW1154" s="40">
        <f>BW1153*(1-IF(B1153&gt;=in_marketplace_from,d_hz_loan_vehicle*G1153,0))</f>
        <v/>
      </c>
      <c r="BX1154" s="14">
        <f>F1154*BW1154*IF(B1154&gt;=in_marketplace_from,d_hz_loan_vehicle*G1154,0)*in_loan_vehicle_ticket*in_loan_vehicle_comm</f>
        <v/>
      </c>
      <c r="BY1154" s="40">
        <f>BY1153*(1-IF(B1153&gt;=in_marketplace_from,d_hz_loan_home*G1153,0)*BZ1153)</f>
        <v/>
      </c>
      <c r="BZ1154" s="11">
        <f>MIN(in_approval_cap,in_loan_home_approval*INDEX('Age profile'!$O$2:$O$61,B1154)*(1+in_approval_growth)^(D1154-1))</f>
        <v/>
      </c>
      <c r="CA1154" s="14">
        <f>F1154*BY1154*IF(B1154&gt;=in_marketplace_from,d_hz_loan_home*G1154,0)*BZ1154*in_loan_home_ticket*in_loan_home_comm</f>
        <v/>
      </c>
      <c r="CB1154" s="40">
        <f>CB1153*(1-IF(B1153&gt;=in_marketplace_from,d_hz_loan_lap*G1153,0)*CC1153)</f>
        <v/>
      </c>
      <c r="CC1154" s="11">
        <f>MIN(in_approval_cap,in_loan_lap_approval*INDEX('Age profile'!$O$2:$O$61,B1154)*(1+in_approval_growth)^(D1154-1))</f>
        <v/>
      </c>
      <c r="CD1154" s="14">
        <f>F1154*CB1154*IF(B1154&gt;=in_marketplace_from,d_hz_loan_lap*G1154,0)*CC1154*in_loan_lap_ticket*in_loan_lap_comm</f>
        <v/>
      </c>
      <c r="CE1154" s="14">
        <f>AA1154+AB1154+AC1154+AD1154+AG1154+AJ1154+AM1154+AP1154+AS1154+AU1154+AX1154+BB1154+BE1154+BG1154+BJ1154+BL1154+BO1154+BR1154+BT1154+BV1154+BX1154+CA1154+CD1154</f>
        <v/>
      </c>
    </row>
    <row r="1155">
      <c r="A1155" s="39" t="n">
        <v>24</v>
      </c>
      <c r="B1155" s="39" t="n">
        <v>27</v>
      </c>
      <c r="C1155" s="39">
        <f>A1155+B1155-1</f>
        <v/>
      </c>
      <c r="D1155" s="39">
        <f>INT((C1155-1)/12)+1</f>
        <v/>
      </c>
      <c r="E1155" s="44">
        <f>INDEX(Monthly!$B$2:$B$61,A1155)</f>
        <v/>
      </c>
      <c r="F1155" s="44">
        <f>E1155*INDEX('Age profile'!$B$2:$B$61,B1155)</f>
        <v/>
      </c>
      <c r="G1155" s="45">
        <f>MIN(in_takeup_cap,INDEX('Age profile'!$N$2:$N$61,B1155)*(1+in_takeup_growth)^(D1155-1))</f>
        <v/>
      </c>
      <c r="H1155" s="11">
        <f>MIN(in_approval_cap,in_approved_first*INDEX('Age profile'!$O$2:$O$61,B1155)*(1+in_approval_growth)^(D1155-1))</f>
        <v/>
      </c>
      <c r="I1155" s="45">
        <f>G1155*MIN(in_takeup_cap,INDEX('Age profile'!$O$2:$O$61,B1155)*(1+in_approval_growth)^(D1155-1))</f>
        <v/>
      </c>
      <c r="J1155" s="40">
        <f>(J1154-L1154)*F1155/F1154</f>
        <v/>
      </c>
      <c r="K1155" s="40">
        <f>(K1154-M1154)*F1155/F1154+SUMIFS(O1129:O1154,B1129:B1154,B1155-1-d_T)*F1155</f>
        <v/>
      </c>
      <c r="L1155" s="40">
        <f>IF(B1155&gt;=in_marketplace_from,J1155*d_hz*G1155*in_eligible*H1155,0)</f>
        <v/>
      </c>
      <c r="M1155" s="40">
        <f>IF(B1155&gt;=in_marketplace_from,K1155*d_hz*G1155*in_eligible*in_approved_repeat,0)</f>
        <v/>
      </c>
      <c r="N1155" s="40">
        <f>L1155+M1155</f>
        <v/>
      </c>
      <c r="O1155" s="46">
        <f>N1155/F1155</f>
        <v/>
      </c>
      <c r="P1155" s="40">
        <f>F1155-J1155-K1155</f>
        <v/>
      </c>
      <c r="Q1155" s="40">
        <f>IF(B1155&gt;=in_marketplace_from,(J1155+K1155)*d_hz*G1155,0)</f>
        <v/>
      </c>
      <c r="R1155" s="40">
        <f>SUMIFS(N1129:N1165,B1129:B1165,"&gt;="&amp;(B1155-d_T),B1129:B1165,"&lt;="&amp;(B1155-1))</f>
        <v/>
      </c>
      <c r="S1155" s="46">
        <f>(1-d_u)*S1154+IF(d_T&gt;in_topup_lag,SUMIFS(O1129:O1165,B1129:B1165,B1155-in_topup_lag)-d_udrop*SUMIFS(O1129:O1165,B1129:B1165,B1155-d_T),0)</f>
        <v/>
      </c>
      <c r="T1155" s="40">
        <f>F1155*d_u*S1155</f>
        <v/>
      </c>
      <c r="U1155" s="9">
        <f>L1155*in_ticket+M1155*d_rep_ticket</f>
        <v/>
      </c>
      <c r="V1155" s="9">
        <f>U1155+T1155*d_topup_amt</f>
        <v/>
      </c>
      <c r="W1155" s="40">
        <f>N1155+T1155*d_topup_ratio</f>
        <v/>
      </c>
      <c r="X1155" s="40">
        <f>SUMIFS(W1129:W1165,B1129:B1165,B1155-in_dpd_lag)*d_cured</f>
        <v/>
      </c>
      <c r="Y1155" s="40">
        <f>SUMIFS(W1129:W1165,B1129:B1165,B1155-in_rec_lag)*d_recd</f>
        <v/>
      </c>
      <c r="Z1155" s="40">
        <f>IF(AND(B1155&gt;=in_marketplace_from,B1155&lt;in_marketplace_from+in_card_months),in_card_share/in_card_months*F1155*I1155,IF(AND(B1155&gt;=in_marketplace_from+in_card_months,B1155&lt;in_marketplace_from+2*in_card_months),in_card_share*d_card_rem/in_card_months*F1155*MIN(in_takeup_cap,(1+in_takeup_growth)^(D1155-1))*MIN(in_takeup_cap,(1+in_approval_growth)^(D1155-1)),0))</f>
        <v/>
      </c>
      <c r="AA1155" s="14">
        <f>V1155*in_fee*(1-in_taken_back)</f>
        <v/>
      </c>
      <c r="AB1155" s="14">
        <f>SUMIFS(W1129:W1165,B1129:B1165,B1155-in_dpd_lag)*d_dpd</f>
        <v/>
      </c>
      <c r="AC1155" s="14">
        <f>SUMIFS(W1129:W1165,B1129:B1165,B1155-in_rec_lag)*d_rec</f>
        <v/>
      </c>
      <c r="AD1155" s="14">
        <f>Z1155*in_card_fee</f>
        <v/>
      </c>
      <c r="AE1155" s="40">
        <f>AE1154*(1-IF(B1154&gt;=in_marketplace_from,d_hz_hlth_small*G1154,0))</f>
        <v/>
      </c>
      <c r="AF1155" s="46">
        <f>AE1155*IF(B1155&gt;=in_marketplace_from,d_hz_hlth_small*G1155,0)</f>
        <v/>
      </c>
      <c r="AG1155" s="14">
        <f>F1155*AF1155*in_hlth_small_ticket*in_hlth_small_comm*in_ins_partner_share+F1155*in_hlth_small_ticket*in_hlth_small_renew_comm*in_ins_partner_share*(in_hlth_small_renew^1*SUMIFS(AF1129:AF1165,B1129:B1165,B1155-12)+in_hlth_small_renew^2*SUMIFS(AF1129:AF1165,B1129:B1165,B1155-24)+in_hlth_small_renew^3*SUMIFS(AF1129:AF1165,B1129:B1165,B1155-36)+in_hlth_small_renew^4*SUMIFS(AF1129:AF1165,B1129:B1165,B1155-48))</f>
        <v/>
      </c>
      <c r="AH1155" s="40">
        <f>AH1154*(1-IF(B1154&gt;=in_marketplace_from,d_hz_hlth_family*G1154,0))</f>
        <v/>
      </c>
      <c r="AI1155" s="46">
        <f>AH1155*IF(B1155&gt;=in_marketplace_from,d_hz_hlth_family*G1155,0)</f>
        <v/>
      </c>
      <c r="AJ1155" s="14">
        <f>F1155*AI1155*in_hlth_family_ticket*in_hlth_family_comm*in_ins_partner_share+F1155*in_hlth_family_ticket*in_hlth_family_renew_comm*in_ins_partner_share*(in_hlth_family_renew^1*SUMIFS(AI1129:AI1165,B1129:B1165,B1155-12)+in_hlth_family_renew^2*SUMIFS(AI1129:AI1165,B1129:B1165,B1155-24)+in_hlth_family_renew^3*SUMIFS(AI1129:AI1165,B1129:B1165,B1155-36)+in_hlth_family_renew^4*SUMIFS(AI1129:AI1165,B1129:B1165,B1155-48))</f>
        <v/>
      </c>
      <c r="AK1155" s="40">
        <f>AK1154*(1-IF(B1154&gt;=in_marketplace_from,d_hz_life_term*G1154,0))</f>
        <v/>
      </c>
      <c r="AL1155" s="46">
        <f>AK1155*IF(B1155&gt;=in_marketplace_from,d_hz_life_term*G1155,0)</f>
        <v/>
      </c>
      <c r="AM1155" s="14">
        <f>F1155*AL1155*in_life_term_ticket*in_life_term_comm*in_ins_partner_share+F1155*in_life_term_ticket*in_life_term_renew_comm*in_ins_partner_share*(in_life_term_renew^1*SUMIFS(AL1129:AL1165,B1129:B1165,B1155-12)+in_life_term_renew^2*SUMIFS(AL1129:AL1165,B1129:B1165,B1155-24)+in_life_term_renew^3*SUMIFS(AL1129:AL1165,B1129:B1165,B1155-36)+in_life_term_renew^4*SUMIFS(AL1129:AL1165,B1129:B1165,B1155-48))</f>
        <v/>
      </c>
      <c r="AN1155" s="40">
        <f>AN1154*(1-IF(B1154&gt;=in_marketplace_from,d_hz_accident*G1154,0))</f>
        <v/>
      </c>
      <c r="AO1155" s="46">
        <f>AN1155*IF(B1155&gt;=in_marketplace_from,d_hz_accident*G1155,0)</f>
        <v/>
      </c>
      <c r="AP1155" s="14">
        <f>F1155*AO1155*in_accident_ticket*in_accident_comm*in_ins_partner_share+F1155*in_accident_ticket*in_accident_renew_comm*in_ins_partner_share*(in_accident_renew^1*SUMIFS(AO1129:AO1165,B1129:B1165,B1155-12)+in_accident_renew^2*SUMIFS(AO1129:AO1165,B1129:B1165,B1155-24)+in_accident_renew^3*SUMIFS(AO1129:AO1165,B1129:B1165,B1155-36)+in_accident_renew^4*SUMIFS(AO1129:AO1165,B1129:B1165,B1155-48))</f>
        <v/>
      </c>
      <c r="AQ1155" s="40">
        <f>AQ1154*(1-IF(B1154&gt;=in_marketplace_from,d_hz_two_wheeler*G1154,0))</f>
        <v/>
      </c>
      <c r="AR1155" s="46">
        <f>AQ1155*IF(B1155&gt;=in_marketplace_from,d_hz_two_wheeler*G1155,0)</f>
        <v/>
      </c>
      <c r="AS1155" s="14">
        <f>F1155*AR1155*in_two_wheeler_ticket*in_two_wheeler_comm*in_ins_partner_share+F1155*in_two_wheeler_ticket*in_two_wheeler_comm*in_ins_partner_share*(in_two_wheeler_renew^1*SUMIFS(AR1129:AR1165,B1129:B1165,B1155-12)+in_two_wheeler_renew^2*SUMIFS(AR1129:AR1165,B1129:B1165,B1155-24)+in_two_wheeler_renew^3*SUMIFS(AR1129:AR1165,B1129:B1165,B1155-36)+in_two_wheeler_renew^4*SUMIFS(AR1129:AR1165,B1129:B1165,B1155-48))</f>
        <v/>
      </c>
      <c r="AT1155" s="40">
        <f>AT1154*(1-IF(B1154&gt;=in_marketplace_from,d_hz_device*G1154,0))</f>
        <v/>
      </c>
      <c r="AU1155" s="14">
        <f>F1155*AT1155*IF(B1155&gt;=in_marketplace_from,d_hz_device*G1155,0)*in_device_ticket*in_device_comm*in_ins_partner_share</f>
        <v/>
      </c>
      <c r="AV1155" s="40">
        <f>AV1154*(1-IF(B1154&gt;=in_marketplace_from,d_hz_shop*G1154,0))</f>
        <v/>
      </c>
      <c r="AW1155" s="46">
        <f>AV1155*IF(B1155&gt;=in_marketplace_from,d_hz_shop*G1155,0)</f>
        <v/>
      </c>
      <c r="AX1155" s="14">
        <f>F1155*AW1155*in_shop_ticket*in_shop_comm*in_ins_partner_share+F1155*in_shop_ticket*in_shop_renew_comm*in_ins_partner_share*(in_shop_renew^1*SUMIFS(AW1129:AW1165,B1129:B1165,B1155-12)+in_shop_renew^2*SUMIFS(AW1129:AW1165,B1129:B1165,B1155-24)+in_shop_renew^3*SUMIFS(AW1129:AW1165,B1129:B1165,B1155-36)+in_shop_renew^4*SUMIFS(AW1129:AW1165,B1129:B1165,B1155-48))</f>
        <v/>
      </c>
      <c r="AY1155" s="40">
        <f>AY1154*(1-IF(B1154&gt;=in_marketplace_from,d_hz_sip*G1154,0))</f>
        <v/>
      </c>
      <c r="AZ1155" s="40">
        <f>AZ1154*d_rho_sip+AY1155*IF(B1155&gt;=in_marketplace_from,d_hz_sip*G1155,0)</f>
        <v/>
      </c>
      <c r="BA1155" s="40">
        <f>d_rho_sip*(BA1154+AZ1154)</f>
        <v/>
      </c>
      <c r="BB1155" s="14">
        <f>F1155*in_sip_ticket*(BA1155+0.5*AZ1155)*in_sip_comm/12</f>
        <v/>
      </c>
      <c r="BC1155" s="40">
        <f>BC1154*(1-IF(B1154&gt;=in_marketplace_from,d_hz_choti*G1154,0))</f>
        <v/>
      </c>
      <c r="BD1155" s="46">
        <f>BC1155*IF(B1155&gt;=in_marketplace_from,d_hz_choti*G1155,0)</f>
        <v/>
      </c>
      <c r="BE1155" s="14">
        <f>F1155*SUMIFS(BD1129:BD1165,B1129:B1165,B1155-in_choti_months)*in_choti_renew*in_choti_ticket</f>
        <v/>
      </c>
      <c r="BF1155" s="40">
        <f>BF1154*(1-IF(B1154&gt;=in_marketplace_from,d_hz_nps*G1154,0))</f>
        <v/>
      </c>
      <c r="BG1155" s="14">
        <f>F1155*BF1155*IF(B1155&gt;=in_marketplace_from,d_hz_nps*G1155,0)*in_nps_ticket*in_nps_comm</f>
        <v/>
      </c>
      <c r="BH1155" s="40">
        <f>BH1154*(1-IF(B1154&gt;=in_marketplace_from,d_hz_gold*G1154,0))</f>
        <v/>
      </c>
      <c r="BI1155" s="40">
        <f>BI1154*d_rho_gold+BH1155*IF(B1155&gt;=in_marketplace_from,d_hz_gold*G1155,0)</f>
        <v/>
      </c>
      <c r="BJ1155" s="14">
        <f>F1155*BI1155*in_gold_ticket*in_gold_comm</f>
        <v/>
      </c>
      <c r="BK1155" s="40">
        <f>BK1154*(1-IF(B1154&gt;=in_marketplace_from,d_hz_fd*G1154,0))</f>
        <v/>
      </c>
      <c r="BL1155" s="14">
        <f>F1155*BK1155*IF(B1155&gt;=in_marketplace_from,d_hz_fd*G1155,0)*in_fd_ticket*in_fd_comm</f>
        <v/>
      </c>
      <c r="BM1155" s="40">
        <f>BM1154*(1-IF(B1154&gt;=in_marketplace_from,d_hz_recharge*G1154,0))</f>
        <v/>
      </c>
      <c r="BN1155" s="40">
        <f>BN1154*d_rho_recharge+BM1155*IF(B1155&gt;=in_marketplace_from,d_hz_recharge*G1155,0)</f>
        <v/>
      </c>
      <c r="BO1155" s="14">
        <f>F1155*BN1155*in_recharge_ticket*in_recharge_comm/12</f>
        <v/>
      </c>
      <c r="BP1155" s="40">
        <f>BP1154*(1-IF(B1154&gt;=in_marketplace_from,d_hz_bills*G1154,0))</f>
        <v/>
      </c>
      <c r="BQ1155" s="40">
        <f>BQ1154*d_rho_bills+BP1155*IF(B1155&gt;=in_marketplace_from,d_hz_bills*G1155,0)</f>
        <v/>
      </c>
      <c r="BR1155" s="14">
        <f>F1155*BQ1155*in_bills_ticket*in_bills_comm/12</f>
        <v/>
      </c>
      <c r="BS1155" s="40">
        <f>BS1154*(1-IF(B1154&gt;=in_marketplace_from,d_hz_loan_gold*G1154,0))</f>
        <v/>
      </c>
      <c r="BT1155" s="14">
        <f>F1155*BS1155*IF(B1155&gt;=in_marketplace_from,d_hz_loan_gold*G1155,0)*in_loan_gold_ticket*in_loan_gold_comm</f>
        <v/>
      </c>
      <c r="BU1155" s="40">
        <f>BU1154*(1-IF(B1154&gt;=in_marketplace_from,d_hz_loan_cd*G1154,0))</f>
        <v/>
      </c>
      <c r="BV1155" s="14">
        <f>F1155*BU1155*IF(B1155&gt;=in_marketplace_from,d_hz_loan_cd*G1155,0)*in_loan_cd_ticket*in_loan_cd_comm</f>
        <v/>
      </c>
      <c r="BW1155" s="40">
        <f>BW1154*(1-IF(B1154&gt;=in_marketplace_from,d_hz_loan_vehicle*G1154,0))</f>
        <v/>
      </c>
      <c r="BX1155" s="14">
        <f>F1155*BW1155*IF(B1155&gt;=in_marketplace_from,d_hz_loan_vehicle*G1155,0)*in_loan_vehicle_ticket*in_loan_vehicle_comm</f>
        <v/>
      </c>
      <c r="BY1155" s="40">
        <f>BY1154*(1-IF(B1154&gt;=in_marketplace_from,d_hz_loan_home*G1154,0)*BZ1154)</f>
        <v/>
      </c>
      <c r="BZ1155" s="11">
        <f>MIN(in_approval_cap,in_loan_home_approval*INDEX('Age profile'!$O$2:$O$61,B1155)*(1+in_approval_growth)^(D1155-1))</f>
        <v/>
      </c>
      <c r="CA1155" s="14">
        <f>F1155*BY1155*IF(B1155&gt;=in_marketplace_from,d_hz_loan_home*G1155,0)*BZ1155*in_loan_home_ticket*in_loan_home_comm</f>
        <v/>
      </c>
      <c r="CB1155" s="40">
        <f>CB1154*(1-IF(B1154&gt;=in_marketplace_from,d_hz_loan_lap*G1154,0)*CC1154)</f>
        <v/>
      </c>
      <c r="CC1155" s="11">
        <f>MIN(in_approval_cap,in_loan_lap_approval*INDEX('Age profile'!$O$2:$O$61,B1155)*(1+in_approval_growth)^(D1155-1))</f>
        <v/>
      </c>
      <c r="CD1155" s="14">
        <f>F1155*CB1155*IF(B1155&gt;=in_marketplace_from,d_hz_loan_lap*G1155,0)*CC1155*in_loan_lap_ticket*in_loan_lap_comm</f>
        <v/>
      </c>
      <c r="CE1155" s="14">
        <f>AA1155+AB1155+AC1155+AD1155+AG1155+AJ1155+AM1155+AP1155+AS1155+AU1155+AX1155+BB1155+BE1155+BG1155+BJ1155+BL1155+BO1155+BR1155+BT1155+BV1155+BX1155+CA1155+CD1155</f>
        <v/>
      </c>
    </row>
    <row r="1156">
      <c r="A1156" s="39" t="n">
        <v>24</v>
      </c>
      <c r="B1156" s="39" t="n">
        <v>28</v>
      </c>
      <c r="C1156" s="39">
        <f>A1156+B1156-1</f>
        <v/>
      </c>
      <c r="D1156" s="39">
        <f>INT((C1156-1)/12)+1</f>
        <v/>
      </c>
      <c r="E1156" s="44">
        <f>INDEX(Monthly!$B$2:$B$61,A1156)</f>
        <v/>
      </c>
      <c r="F1156" s="44">
        <f>E1156*INDEX('Age profile'!$B$2:$B$61,B1156)</f>
        <v/>
      </c>
      <c r="G1156" s="45">
        <f>MIN(in_takeup_cap,INDEX('Age profile'!$N$2:$N$61,B1156)*(1+in_takeup_growth)^(D1156-1))</f>
        <v/>
      </c>
      <c r="H1156" s="11">
        <f>MIN(in_approval_cap,in_approved_first*INDEX('Age profile'!$O$2:$O$61,B1156)*(1+in_approval_growth)^(D1156-1))</f>
        <v/>
      </c>
      <c r="I1156" s="45">
        <f>G1156*MIN(in_takeup_cap,INDEX('Age profile'!$O$2:$O$61,B1156)*(1+in_approval_growth)^(D1156-1))</f>
        <v/>
      </c>
      <c r="J1156" s="40">
        <f>(J1155-L1155)*F1156/F1155</f>
        <v/>
      </c>
      <c r="K1156" s="40">
        <f>(K1155-M1155)*F1156/F1155+SUMIFS(O1129:O1155,B1129:B1155,B1156-1-d_T)*F1156</f>
        <v/>
      </c>
      <c r="L1156" s="40">
        <f>IF(B1156&gt;=in_marketplace_from,J1156*d_hz*G1156*in_eligible*H1156,0)</f>
        <v/>
      </c>
      <c r="M1156" s="40">
        <f>IF(B1156&gt;=in_marketplace_from,K1156*d_hz*G1156*in_eligible*in_approved_repeat,0)</f>
        <v/>
      </c>
      <c r="N1156" s="40">
        <f>L1156+M1156</f>
        <v/>
      </c>
      <c r="O1156" s="46">
        <f>N1156/F1156</f>
        <v/>
      </c>
      <c r="P1156" s="40">
        <f>F1156-J1156-K1156</f>
        <v/>
      </c>
      <c r="Q1156" s="40">
        <f>IF(B1156&gt;=in_marketplace_from,(J1156+K1156)*d_hz*G1156,0)</f>
        <v/>
      </c>
      <c r="R1156" s="40">
        <f>SUMIFS(N1129:N1165,B1129:B1165,"&gt;="&amp;(B1156-d_T),B1129:B1165,"&lt;="&amp;(B1156-1))</f>
        <v/>
      </c>
      <c r="S1156" s="46">
        <f>(1-d_u)*S1155+IF(d_T&gt;in_topup_lag,SUMIFS(O1129:O1165,B1129:B1165,B1156-in_topup_lag)-d_udrop*SUMIFS(O1129:O1165,B1129:B1165,B1156-d_T),0)</f>
        <v/>
      </c>
      <c r="T1156" s="40">
        <f>F1156*d_u*S1156</f>
        <v/>
      </c>
      <c r="U1156" s="9">
        <f>L1156*in_ticket+M1156*d_rep_ticket</f>
        <v/>
      </c>
      <c r="V1156" s="9">
        <f>U1156+T1156*d_topup_amt</f>
        <v/>
      </c>
      <c r="W1156" s="40">
        <f>N1156+T1156*d_topup_ratio</f>
        <v/>
      </c>
      <c r="X1156" s="40">
        <f>SUMIFS(W1129:W1165,B1129:B1165,B1156-in_dpd_lag)*d_cured</f>
        <v/>
      </c>
      <c r="Y1156" s="40">
        <f>SUMIFS(W1129:W1165,B1129:B1165,B1156-in_rec_lag)*d_recd</f>
        <v/>
      </c>
      <c r="Z1156" s="40">
        <f>IF(AND(B1156&gt;=in_marketplace_from,B1156&lt;in_marketplace_from+in_card_months),in_card_share/in_card_months*F1156*I1156,IF(AND(B1156&gt;=in_marketplace_from+in_card_months,B1156&lt;in_marketplace_from+2*in_card_months),in_card_share*d_card_rem/in_card_months*F1156*MIN(in_takeup_cap,(1+in_takeup_growth)^(D1156-1))*MIN(in_takeup_cap,(1+in_approval_growth)^(D1156-1)),0))</f>
        <v/>
      </c>
      <c r="AA1156" s="14">
        <f>V1156*in_fee*(1-in_taken_back)</f>
        <v/>
      </c>
      <c r="AB1156" s="14">
        <f>SUMIFS(W1129:W1165,B1129:B1165,B1156-in_dpd_lag)*d_dpd</f>
        <v/>
      </c>
      <c r="AC1156" s="14">
        <f>SUMIFS(W1129:W1165,B1129:B1165,B1156-in_rec_lag)*d_rec</f>
        <v/>
      </c>
      <c r="AD1156" s="14">
        <f>Z1156*in_card_fee</f>
        <v/>
      </c>
      <c r="AE1156" s="40">
        <f>AE1155*(1-IF(B1155&gt;=in_marketplace_from,d_hz_hlth_small*G1155,0))</f>
        <v/>
      </c>
      <c r="AF1156" s="46">
        <f>AE1156*IF(B1156&gt;=in_marketplace_from,d_hz_hlth_small*G1156,0)</f>
        <v/>
      </c>
      <c r="AG1156" s="14">
        <f>F1156*AF1156*in_hlth_small_ticket*in_hlth_small_comm*in_ins_partner_share+F1156*in_hlth_small_ticket*in_hlth_small_renew_comm*in_ins_partner_share*(in_hlth_small_renew^1*SUMIFS(AF1129:AF1165,B1129:B1165,B1156-12)+in_hlth_small_renew^2*SUMIFS(AF1129:AF1165,B1129:B1165,B1156-24)+in_hlth_small_renew^3*SUMIFS(AF1129:AF1165,B1129:B1165,B1156-36)+in_hlth_small_renew^4*SUMIFS(AF1129:AF1165,B1129:B1165,B1156-48))</f>
        <v/>
      </c>
      <c r="AH1156" s="40">
        <f>AH1155*(1-IF(B1155&gt;=in_marketplace_from,d_hz_hlth_family*G1155,0))</f>
        <v/>
      </c>
      <c r="AI1156" s="46">
        <f>AH1156*IF(B1156&gt;=in_marketplace_from,d_hz_hlth_family*G1156,0)</f>
        <v/>
      </c>
      <c r="AJ1156" s="14">
        <f>F1156*AI1156*in_hlth_family_ticket*in_hlth_family_comm*in_ins_partner_share+F1156*in_hlth_family_ticket*in_hlth_family_renew_comm*in_ins_partner_share*(in_hlth_family_renew^1*SUMIFS(AI1129:AI1165,B1129:B1165,B1156-12)+in_hlth_family_renew^2*SUMIFS(AI1129:AI1165,B1129:B1165,B1156-24)+in_hlth_family_renew^3*SUMIFS(AI1129:AI1165,B1129:B1165,B1156-36)+in_hlth_family_renew^4*SUMIFS(AI1129:AI1165,B1129:B1165,B1156-48))</f>
        <v/>
      </c>
      <c r="AK1156" s="40">
        <f>AK1155*(1-IF(B1155&gt;=in_marketplace_from,d_hz_life_term*G1155,0))</f>
        <v/>
      </c>
      <c r="AL1156" s="46">
        <f>AK1156*IF(B1156&gt;=in_marketplace_from,d_hz_life_term*G1156,0)</f>
        <v/>
      </c>
      <c r="AM1156" s="14">
        <f>F1156*AL1156*in_life_term_ticket*in_life_term_comm*in_ins_partner_share+F1156*in_life_term_ticket*in_life_term_renew_comm*in_ins_partner_share*(in_life_term_renew^1*SUMIFS(AL1129:AL1165,B1129:B1165,B1156-12)+in_life_term_renew^2*SUMIFS(AL1129:AL1165,B1129:B1165,B1156-24)+in_life_term_renew^3*SUMIFS(AL1129:AL1165,B1129:B1165,B1156-36)+in_life_term_renew^4*SUMIFS(AL1129:AL1165,B1129:B1165,B1156-48))</f>
        <v/>
      </c>
      <c r="AN1156" s="40">
        <f>AN1155*(1-IF(B1155&gt;=in_marketplace_from,d_hz_accident*G1155,0))</f>
        <v/>
      </c>
      <c r="AO1156" s="46">
        <f>AN1156*IF(B1156&gt;=in_marketplace_from,d_hz_accident*G1156,0)</f>
        <v/>
      </c>
      <c r="AP1156" s="14">
        <f>F1156*AO1156*in_accident_ticket*in_accident_comm*in_ins_partner_share+F1156*in_accident_ticket*in_accident_renew_comm*in_ins_partner_share*(in_accident_renew^1*SUMIFS(AO1129:AO1165,B1129:B1165,B1156-12)+in_accident_renew^2*SUMIFS(AO1129:AO1165,B1129:B1165,B1156-24)+in_accident_renew^3*SUMIFS(AO1129:AO1165,B1129:B1165,B1156-36)+in_accident_renew^4*SUMIFS(AO1129:AO1165,B1129:B1165,B1156-48))</f>
        <v/>
      </c>
      <c r="AQ1156" s="40">
        <f>AQ1155*(1-IF(B1155&gt;=in_marketplace_from,d_hz_two_wheeler*G1155,0))</f>
        <v/>
      </c>
      <c r="AR1156" s="46">
        <f>AQ1156*IF(B1156&gt;=in_marketplace_from,d_hz_two_wheeler*G1156,0)</f>
        <v/>
      </c>
      <c r="AS1156" s="14">
        <f>F1156*AR1156*in_two_wheeler_ticket*in_two_wheeler_comm*in_ins_partner_share+F1156*in_two_wheeler_ticket*in_two_wheeler_comm*in_ins_partner_share*(in_two_wheeler_renew^1*SUMIFS(AR1129:AR1165,B1129:B1165,B1156-12)+in_two_wheeler_renew^2*SUMIFS(AR1129:AR1165,B1129:B1165,B1156-24)+in_two_wheeler_renew^3*SUMIFS(AR1129:AR1165,B1129:B1165,B1156-36)+in_two_wheeler_renew^4*SUMIFS(AR1129:AR1165,B1129:B1165,B1156-48))</f>
        <v/>
      </c>
      <c r="AT1156" s="40">
        <f>AT1155*(1-IF(B1155&gt;=in_marketplace_from,d_hz_device*G1155,0))</f>
        <v/>
      </c>
      <c r="AU1156" s="14">
        <f>F1156*AT1156*IF(B1156&gt;=in_marketplace_from,d_hz_device*G1156,0)*in_device_ticket*in_device_comm*in_ins_partner_share</f>
        <v/>
      </c>
      <c r="AV1156" s="40">
        <f>AV1155*(1-IF(B1155&gt;=in_marketplace_from,d_hz_shop*G1155,0))</f>
        <v/>
      </c>
      <c r="AW1156" s="46">
        <f>AV1156*IF(B1156&gt;=in_marketplace_from,d_hz_shop*G1156,0)</f>
        <v/>
      </c>
      <c r="AX1156" s="14">
        <f>F1156*AW1156*in_shop_ticket*in_shop_comm*in_ins_partner_share+F1156*in_shop_ticket*in_shop_renew_comm*in_ins_partner_share*(in_shop_renew^1*SUMIFS(AW1129:AW1165,B1129:B1165,B1156-12)+in_shop_renew^2*SUMIFS(AW1129:AW1165,B1129:B1165,B1156-24)+in_shop_renew^3*SUMIFS(AW1129:AW1165,B1129:B1165,B1156-36)+in_shop_renew^4*SUMIFS(AW1129:AW1165,B1129:B1165,B1156-48))</f>
        <v/>
      </c>
      <c r="AY1156" s="40">
        <f>AY1155*(1-IF(B1155&gt;=in_marketplace_from,d_hz_sip*G1155,0))</f>
        <v/>
      </c>
      <c r="AZ1156" s="40">
        <f>AZ1155*d_rho_sip+AY1156*IF(B1156&gt;=in_marketplace_from,d_hz_sip*G1156,0)</f>
        <v/>
      </c>
      <c r="BA1156" s="40">
        <f>d_rho_sip*(BA1155+AZ1155)</f>
        <v/>
      </c>
      <c r="BB1156" s="14">
        <f>F1156*in_sip_ticket*(BA1156+0.5*AZ1156)*in_sip_comm/12</f>
        <v/>
      </c>
      <c r="BC1156" s="40">
        <f>BC1155*(1-IF(B1155&gt;=in_marketplace_from,d_hz_choti*G1155,0))</f>
        <v/>
      </c>
      <c r="BD1156" s="46">
        <f>BC1156*IF(B1156&gt;=in_marketplace_from,d_hz_choti*G1156,0)</f>
        <v/>
      </c>
      <c r="BE1156" s="14">
        <f>F1156*SUMIFS(BD1129:BD1165,B1129:B1165,B1156-in_choti_months)*in_choti_renew*in_choti_ticket</f>
        <v/>
      </c>
      <c r="BF1156" s="40">
        <f>BF1155*(1-IF(B1155&gt;=in_marketplace_from,d_hz_nps*G1155,0))</f>
        <v/>
      </c>
      <c r="BG1156" s="14">
        <f>F1156*BF1156*IF(B1156&gt;=in_marketplace_from,d_hz_nps*G1156,0)*in_nps_ticket*in_nps_comm</f>
        <v/>
      </c>
      <c r="BH1156" s="40">
        <f>BH1155*(1-IF(B1155&gt;=in_marketplace_from,d_hz_gold*G1155,0))</f>
        <v/>
      </c>
      <c r="BI1156" s="40">
        <f>BI1155*d_rho_gold+BH1156*IF(B1156&gt;=in_marketplace_from,d_hz_gold*G1156,0)</f>
        <v/>
      </c>
      <c r="BJ1156" s="14">
        <f>F1156*BI1156*in_gold_ticket*in_gold_comm</f>
        <v/>
      </c>
      <c r="BK1156" s="40">
        <f>BK1155*(1-IF(B1155&gt;=in_marketplace_from,d_hz_fd*G1155,0))</f>
        <v/>
      </c>
      <c r="BL1156" s="14">
        <f>F1156*BK1156*IF(B1156&gt;=in_marketplace_from,d_hz_fd*G1156,0)*in_fd_ticket*in_fd_comm</f>
        <v/>
      </c>
      <c r="BM1156" s="40">
        <f>BM1155*(1-IF(B1155&gt;=in_marketplace_from,d_hz_recharge*G1155,0))</f>
        <v/>
      </c>
      <c r="BN1156" s="40">
        <f>BN1155*d_rho_recharge+BM1156*IF(B1156&gt;=in_marketplace_from,d_hz_recharge*G1156,0)</f>
        <v/>
      </c>
      <c r="BO1156" s="14">
        <f>F1156*BN1156*in_recharge_ticket*in_recharge_comm/12</f>
        <v/>
      </c>
      <c r="BP1156" s="40">
        <f>BP1155*(1-IF(B1155&gt;=in_marketplace_from,d_hz_bills*G1155,0))</f>
        <v/>
      </c>
      <c r="BQ1156" s="40">
        <f>BQ1155*d_rho_bills+BP1156*IF(B1156&gt;=in_marketplace_from,d_hz_bills*G1156,0)</f>
        <v/>
      </c>
      <c r="BR1156" s="14">
        <f>F1156*BQ1156*in_bills_ticket*in_bills_comm/12</f>
        <v/>
      </c>
      <c r="BS1156" s="40">
        <f>BS1155*(1-IF(B1155&gt;=in_marketplace_from,d_hz_loan_gold*G1155,0))</f>
        <v/>
      </c>
      <c r="BT1156" s="14">
        <f>F1156*BS1156*IF(B1156&gt;=in_marketplace_from,d_hz_loan_gold*G1156,0)*in_loan_gold_ticket*in_loan_gold_comm</f>
        <v/>
      </c>
      <c r="BU1156" s="40">
        <f>BU1155*(1-IF(B1155&gt;=in_marketplace_from,d_hz_loan_cd*G1155,0))</f>
        <v/>
      </c>
      <c r="BV1156" s="14">
        <f>F1156*BU1156*IF(B1156&gt;=in_marketplace_from,d_hz_loan_cd*G1156,0)*in_loan_cd_ticket*in_loan_cd_comm</f>
        <v/>
      </c>
      <c r="BW1156" s="40">
        <f>BW1155*(1-IF(B1155&gt;=in_marketplace_from,d_hz_loan_vehicle*G1155,0))</f>
        <v/>
      </c>
      <c r="BX1156" s="14">
        <f>F1156*BW1156*IF(B1156&gt;=in_marketplace_from,d_hz_loan_vehicle*G1156,0)*in_loan_vehicle_ticket*in_loan_vehicle_comm</f>
        <v/>
      </c>
      <c r="BY1156" s="40">
        <f>BY1155*(1-IF(B1155&gt;=in_marketplace_from,d_hz_loan_home*G1155,0)*BZ1155)</f>
        <v/>
      </c>
      <c r="BZ1156" s="11">
        <f>MIN(in_approval_cap,in_loan_home_approval*INDEX('Age profile'!$O$2:$O$61,B1156)*(1+in_approval_growth)^(D1156-1))</f>
        <v/>
      </c>
      <c r="CA1156" s="14">
        <f>F1156*BY1156*IF(B1156&gt;=in_marketplace_from,d_hz_loan_home*G1156,0)*BZ1156*in_loan_home_ticket*in_loan_home_comm</f>
        <v/>
      </c>
      <c r="CB1156" s="40">
        <f>CB1155*(1-IF(B1155&gt;=in_marketplace_from,d_hz_loan_lap*G1155,0)*CC1155)</f>
        <v/>
      </c>
      <c r="CC1156" s="11">
        <f>MIN(in_approval_cap,in_loan_lap_approval*INDEX('Age profile'!$O$2:$O$61,B1156)*(1+in_approval_growth)^(D1156-1))</f>
        <v/>
      </c>
      <c r="CD1156" s="14">
        <f>F1156*CB1156*IF(B1156&gt;=in_marketplace_from,d_hz_loan_lap*G1156,0)*CC1156*in_loan_lap_ticket*in_loan_lap_comm</f>
        <v/>
      </c>
      <c r="CE1156" s="14">
        <f>AA1156+AB1156+AC1156+AD1156+AG1156+AJ1156+AM1156+AP1156+AS1156+AU1156+AX1156+BB1156+BE1156+BG1156+BJ1156+BL1156+BO1156+BR1156+BT1156+BV1156+BX1156+CA1156+CD1156</f>
        <v/>
      </c>
    </row>
    <row r="1157">
      <c r="A1157" s="39" t="n">
        <v>24</v>
      </c>
      <c r="B1157" s="39" t="n">
        <v>29</v>
      </c>
      <c r="C1157" s="39">
        <f>A1157+B1157-1</f>
        <v/>
      </c>
      <c r="D1157" s="39">
        <f>INT((C1157-1)/12)+1</f>
        <v/>
      </c>
      <c r="E1157" s="44">
        <f>INDEX(Monthly!$B$2:$B$61,A1157)</f>
        <v/>
      </c>
      <c r="F1157" s="44">
        <f>E1157*INDEX('Age profile'!$B$2:$B$61,B1157)</f>
        <v/>
      </c>
      <c r="G1157" s="45">
        <f>MIN(in_takeup_cap,INDEX('Age profile'!$N$2:$N$61,B1157)*(1+in_takeup_growth)^(D1157-1))</f>
        <v/>
      </c>
      <c r="H1157" s="11">
        <f>MIN(in_approval_cap,in_approved_first*INDEX('Age profile'!$O$2:$O$61,B1157)*(1+in_approval_growth)^(D1157-1))</f>
        <v/>
      </c>
      <c r="I1157" s="45">
        <f>G1157*MIN(in_takeup_cap,INDEX('Age profile'!$O$2:$O$61,B1157)*(1+in_approval_growth)^(D1157-1))</f>
        <v/>
      </c>
      <c r="J1157" s="40">
        <f>(J1156-L1156)*F1157/F1156</f>
        <v/>
      </c>
      <c r="K1157" s="40">
        <f>(K1156-M1156)*F1157/F1156+SUMIFS(O1129:O1156,B1129:B1156,B1157-1-d_T)*F1157</f>
        <v/>
      </c>
      <c r="L1157" s="40">
        <f>IF(B1157&gt;=in_marketplace_from,J1157*d_hz*G1157*in_eligible*H1157,0)</f>
        <v/>
      </c>
      <c r="M1157" s="40">
        <f>IF(B1157&gt;=in_marketplace_from,K1157*d_hz*G1157*in_eligible*in_approved_repeat,0)</f>
        <v/>
      </c>
      <c r="N1157" s="40">
        <f>L1157+M1157</f>
        <v/>
      </c>
      <c r="O1157" s="46">
        <f>N1157/F1157</f>
        <v/>
      </c>
      <c r="P1157" s="40">
        <f>F1157-J1157-K1157</f>
        <v/>
      </c>
      <c r="Q1157" s="40">
        <f>IF(B1157&gt;=in_marketplace_from,(J1157+K1157)*d_hz*G1157,0)</f>
        <v/>
      </c>
      <c r="R1157" s="40">
        <f>SUMIFS(N1129:N1165,B1129:B1165,"&gt;="&amp;(B1157-d_T),B1129:B1165,"&lt;="&amp;(B1157-1))</f>
        <v/>
      </c>
      <c r="S1157" s="46">
        <f>(1-d_u)*S1156+IF(d_T&gt;in_topup_lag,SUMIFS(O1129:O1165,B1129:B1165,B1157-in_topup_lag)-d_udrop*SUMIFS(O1129:O1165,B1129:B1165,B1157-d_T),0)</f>
        <v/>
      </c>
      <c r="T1157" s="40">
        <f>F1157*d_u*S1157</f>
        <v/>
      </c>
      <c r="U1157" s="9">
        <f>L1157*in_ticket+M1157*d_rep_ticket</f>
        <v/>
      </c>
      <c r="V1157" s="9">
        <f>U1157+T1157*d_topup_amt</f>
        <v/>
      </c>
      <c r="W1157" s="40">
        <f>N1157+T1157*d_topup_ratio</f>
        <v/>
      </c>
      <c r="X1157" s="40">
        <f>SUMIFS(W1129:W1165,B1129:B1165,B1157-in_dpd_lag)*d_cured</f>
        <v/>
      </c>
      <c r="Y1157" s="40">
        <f>SUMIFS(W1129:W1165,B1129:B1165,B1157-in_rec_lag)*d_recd</f>
        <v/>
      </c>
      <c r="Z1157" s="40">
        <f>IF(AND(B1157&gt;=in_marketplace_from,B1157&lt;in_marketplace_from+in_card_months),in_card_share/in_card_months*F1157*I1157,IF(AND(B1157&gt;=in_marketplace_from+in_card_months,B1157&lt;in_marketplace_from+2*in_card_months),in_card_share*d_card_rem/in_card_months*F1157*MIN(in_takeup_cap,(1+in_takeup_growth)^(D1157-1))*MIN(in_takeup_cap,(1+in_approval_growth)^(D1157-1)),0))</f>
        <v/>
      </c>
      <c r="AA1157" s="14">
        <f>V1157*in_fee*(1-in_taken_back)</f>
        <v/>
      </c>
      <c r="AB1157" s="14">
        <f>SUMIFS(W1129:W1165,B1129:B1165,B1157-in_dpd_lag)*d_dpd</f>
        <v/>
      </c>
      <c r="AC1157" s="14">
        <f>SUMIFS(W1129:W1165,B1129:B1165,B1157-in_rec_lag)*d_rec</f>
        <v/>
      </c>
      <c r="AD1157" s="14">
        <f>Z1157*in_card_fee</f>
        <v/>
      </c>
      <c r="AE1157" s="40">
        <f>AE1156*(1-IF(B1156&gt;=in_marketplace_from,d_hz_hlth_small*G1156,0))</f>
        <v/>
      </c>
      <c r="AF1157" s="46">
        <f>AE1157*IF(B1157&gt;=in_marketplace_from,d_hz_hlth_small*G1157,0)</f>
        <v/>
      </c>
      <c r="AG1157" s="14">
        <f>F1157*AF1157*in_hlth_small_ticket*in_hlth_small_comm*in_ins_partner_share+F1157*in_hlth_small_ticket*in_hlth_small_renew_comm*in_ins_partner_share*(in_hlth_small_renew^1*SUMIFS(AF1129:AF1165,B1129:B1165,B1157-12)+in_hlth_small_renew^2*SUMIFS(AF1129:AF1165,B1129:B1165,B1157-24)+in_hlth_small_renew^3*SUMIFS(AF1129:AF1165,B1129:B1165,B1157-36)+in_hlth_small_renew^4*SUMIFS(AF1129:AF1165,B1129:B1165,B1157-48))</f>
        <v/>
      </c>
      <c r="AH1157" s="40">
        <f>AH1156*(1-IF(B1156&gt;=in_marketplace_from,d_hz_hlth_family*G1156,0))</f>
        <v/>
      </c>
      <c r="AI1157" s="46">
        <f>AH1157*IF(B1157&gt;=in_marketplace_from,d_hz_hlth_family*G1157,0)</f>
        <v/>
      </c>
      <c r="AJ1157" s="14">
        <f>F1157*AI1157*in_hlth_family_ticket*in_hlth_family_comm*in_ins_partner_share+F1157*in_hlth_family_ticket*in_hlth_family_renew_comm*in_ins_partner_share*(in_hlth_family_renew^1*SUMIFS(AI1129:AI1165,B1129:B1165,B1157-12)+in_hlth_family_renew^2*SUMIFS(AI1129:AI1165,B1129:B1165,B1157-24)+in_hlth_family_renew^3*SUMIFS(AI1129:AI1165,B1129:B1165,B1157-36)+in_hlth_family_renew^4*SUMIFS(AI1129:AI1165,B1129:B1165,B1157-48))</f>
        <v/>
      </c>
      <c r="AK1157" s="40">
        <f>AK1156*(1-IF(B1156&gt;=in_marketplace_from,d_hz_life_term*G1156,0))</f>
        <v/>
      </c>
      <c r="AL1157" s="46">
        <f>AK1157*IF(B1157&gt;=in_marketplace_from,d_hz_life_term*G1157,0)</f>
        <v/>
      </c>
      <c r="AM1157" s="14">
        <f>F1157*AL1157*in_life_term_ticket*in_life_term_comm*in_ins_partner_share+F1157*in_life_term_ticket*in_life_term_renew_comm*in_ins_partner_share*(in_life_term_renew^1*SUMIFS(AL1129:AL1165,B1129:B1165,B1157-12)+in_life_term_renew^2*SUMIFS(AL1129:AL1165,B1129:B1165,B1157-24)+in_life_term_renew^3*SUMIFS(AL1129:AL1165,B1129:B1165,B1157-36)+in_life_term_renew^4*SUMIFS(AL1129:AL1165,B1129:B1165,B1157-48))</f>
        <v/>
      </c>
      <c r="AN1157" s="40">
        <f>AN1156*(1-IF(B1156&gt;=in_marketplace_from,d_hz_accident*G1156,0))</f>
        <v/>
      </c>
      <c r="AO1157" s="46">
        <f>AN1157*IF(B1157&gt;=in_marketplace_from,d_hz_accident*G1157,0)</f>
        <v/>
      </c>
      <c r="AP1157" s="14">
        <f>F1157*AO1157*in_accident_ticket*in_accident_comm*in_ins_partner_share+F1157*in_accident_ticket*in_accident_renew_comm*in_ins_partner_share*(in_accident_renew^1*SUMIFS(AO1129:AO1165,B1129:B1165,B1157-12)+in_accident_renew^2*SUMIFS(AO1129:AO1165,B1129:B1165,B1157-24)+in_accident_renew^3*SUMIFS(AO1129:AO1165,B1129:B1165,B1157-36)+in_accident_renew^4*SUMIFS(AO1129:AO1165,B1129:B1165,B1157-48))</f>
        <v/>
      </c>
      <c r="AQ1157" s="40">
        <f>AQ1156*(1-IF(B1156&gt;=in_marketplace_from,d_hz_two_wheeler*G1156,0))</f>
        <v/>
      </c>
      <c r="AR1157" s="46">
        <f>AQ1157*IF(B1157&gt;=in_marketplace_from,d_hz_two_wheeler*G1157,0)</f>
        <v/>
      </c>
      <c r="AS1157" s="14">
        <f>F1157*AR1157*in_two_wheeler_ticket*in_two_wheeler_comm*in_ins_partner_share+F1157*in_two_wheeler_ticket*in_two_wheeler_comm*in_ins_partner_share*(in_two_wheeler_renew^1*SUMIFS(AR1129:AR1165,B1129:B1165,B1157-12)+in_two_wheeler_renew^2*SUMIFS(AR1129:AR1165,B1129:B1165,B1157-24)+in_two_wheeler_renew^3*SUMIFS(AR1129:AR1165,B1129:B1165,B1157-36)+in_two_wheeler_renew^4*SUMIFS(AR1129:AR1165,B1129:B1165,B1157-48))</f>
        <v/>
      </c>
      <c r="AT1157" s="40">
        <f>AT1156*(1-IF(B1156&gt;=in_marketplace_from,d_hz_device*G1156,0))</f>
        <v/>
      </c>
      <c r="AU1157" s="14">
        <f>F1157*AT1157*IF(B1157&gt;=in_marketplace_from,d_hz_device*G1157,0)*in_device_ticket*in_device_comm*in_ins_partner_share</f>
        <v/>
      </c>
      <c r="AV1157" s="40">
        <f>AV1156*(1-IF(B1156&gt;=in_marketplace_from,d_hz_shop*G1156,0))</f>
        <v/>
      </c>
      <c r="AW1157" s="46">
        <f>AV1157*IF(B1157&gt;=in_marketplace_from,d_hz_shop*G1157,0)</f>
        <v/>
      </c>
      <c r="AX1157" s="14">
        <f>F1157*AW1157*in_shop_ticket*in_shop_comm*in_ins_partner_share+F1157*in_shop_ticket*in_shop_renew_comm*in_ins_partner_share*(in_shop_renew^1*SUMIFS(AW1129:AW1165,B1129:B1165,B1157-12)+in_shop_renew^2*SUMIFS(AW1129:AW1165,B1129:B1165,B1157-24)+in_shop_renew^3*SUMIFS(AW1129:AW1165,B1129:B1165,B1157-36)+in_shop_renew^4*SUMIFS(AW1129:AW1165,B1129:B1165,B1157-48))</f>
        <v/>
      </c>
      <c r="AY1157" s="40">
        <f>AY1156*(1-IF(B1156&gt;=in_marketplace_from,d_hz_sip*G1156,0))</f>
        <v/>
      </c>
      <c r="AZ1157" s="40">
        <f>AZ1156*d_rho_sip+AY1157*IF(B1157&gt;=in_marketplace_from,d_hz_sip*G1157,0)</f>
        <v/>
      </c>
      <c r="BA1157" s="40">
        <f>d_rho_sip*(BA1156+AZ1156)</f>
        <v/>
      </c>
      <c r="BB1157" s="14">
        <f>F1157*in_sip_ticket*(BA1157+0.5*AZ1157)*in_sip_comm/12</f>
        <v/>
      </c>
      <c r="BC1157" s="40">
        <f>BC1156*(1-IF(B1156&gt;=in_marketplace_from,d_hz_choti*G1156,0))</f>
        <v/>
      </c>
      <c r="BD1157" s="46">
        <f>BC1157*IF(B1157&gt;=in_marketplace_from,d_hz_choti*G1157,0)</f>
        <v/>
      </c>
      <c r="BE1157" s="14">
        <f>F1157*SUMIFS(BD1129:BD1165,B1129:B1165,B1157-in_choti_months)*in_choti_renew*in_choti_ticket</f>
        <v/>
      </c>
      <c r="BF1157" s="40">
        <f>BF1156*(1-IF(B1156&gt;=in_marketplace_from,d_hz_nps*G1156,0))</f>
        <v/>
      </c>
      <c r="BG1157" s="14">
        <f>F1157*BF1157*IF(B1157&gt;=in_marketplace_from,d_hz_nps*G1157,0)*in_nps_ticket*in_nps_comm</f>
        <v/>
      </c>
      <c r="BH1157" s="40">
        <f>BH1156*(1-IF(B1156&gt;=in_marketplace_from,d_hz_gold*G1156,0))</f>
        <v/>
      </c>
      <c r="BI1157" s="40">
        <f>BI1156*d_rho_gold+BH1157*IF(B1157&gt;=in_marketplace_from,d_hz_gold*G1157,0)</f>
        <v/>
      </c>
      <c r="BJ1157" s="14">
        <f>F1157*BI1157*in_gold_ticket*in_gold_comm</f>
        <v/>
      </c>
      <c r="BK1157" s="40">
        <f>BK1156*(1-IF(B1156&gt;=in_marketplace_from,d_hz_fd*G1156,0))</f>
        <v/>
      </c>
      <c r="BL1157" s="14">
        <f>F1157*BK1157*IF(B1157&gt;=in_marketplace_from,d_hz_fd*G1157,0)*in_fd_ticket*in_fd_comm</f>
        <v/>
      </c>
      <c r="BM1157" s="40">
        <f>BM1156*(1-IF(B1156&gt;=in_marketplace_from,d_hz_recharge*G1156,0))</f>
        <v/>
      </c>
      <c r="BN1157" s="40">
        <f>BN1156*d_rho_recharge+BM1157*IF(B1157&gt;=in_marketplace_from,d_hz_recharge*G1157,0)</f>
        <v/>
      </c>
      <c r="BO1157" s="14">
        <f>F1157*BN1157*in_recharge_ticket*in_recharge_comm/12</f>
        <v/>
      </c>
      <c r="BP1157" s="40">
        <f>BP1156*(1-IF(B1156&gt;=in_marketplace_from,d_hz_bills*G1156,0))</f>
        <v/>
      </c>
      <c r="BQ1157" s="40">
        <f>BQ1156*d_rho_bills+BP1157*IF(B1157&gt;=in_marketplace_from,d_hz_bills*G1157,0)</f>
        <v/>
      </c>
      <c r="BR1157" s="14">
        <f>F1157*BQ1157*in_bills_ticket*in_bills_comm/12</f>
        <v/>
      </c>
      <c r="BS1157" s="40">
        <f>BS1156*(1-IF(B1156&gt;=in_marketplace_from,d_hz_loan_gold*G1156,0))</f>
        <v/>
      </c>
      <c r="BT1157" s="14">
        <f>F1157*BS1157*IF(B1157&gt;=in_marketplace_from,d_hz_loan_gold*G1157,0)*in_loan_gold_ticket*in_loan_gold_comm</f>
        <v/>
      </c>
      <c r="BU1157" s="40">
        <f>BU1156*(1-IF(B1156&gt;=in_marketplace_from,d_hz_loan_cd*G1156,0))</f>
        <v/>
      </c>
      <c r="BV1157" s="14">
        <f>F1157*BU1157*IF(B1157&gt;=in_marketplace_from,d_hz_loan_cd*G1157,0)*in_loan_cd_ticket*in_loan_cd_comm</f>
        <v/>
      </c>
      <c r="BW1157" s="40">
        <f>BW1156*(1-IF(B1156&gt;=in_marketplace_from,d_hz_loan_vehicle*G1156,0))</f>
        <v/>
      </c>
      <c r="BX1157" s="14">
        <f>F1157*BW1157*IF(B1157&gt;=in_marketplace_from,d_hz_loan_vehicle*G1157,0)*in_loan_vehicle_ticket*in_loan_vehicle_comm</f>
        <v/>
      </c>
      <c r="BY1157" s="40">
        <f>BY1156*(1-IF(B1156&gt;=in_marketplace_from,d_hz_loan_home*G1156,0)*BZ1156)</f>
        <v/>
      </c>
      <c r="BZ1157" s="11">
        <f>MIN(in_approval_cap,in_loan_home_approval*INDEX('Age profile'!$O$2:$O$61,B1157)*(1+in_approval_growth)^(D1157-1))</f>
        <v/>
      </c>
      <c r="CA1157" s="14">
        <f>F1157*BY1157*IF(B1157&gt;=in_marketplace_from,d_hz_loan_home*G1157,0)*BZ1157*in_loan_home_ticket*in_loan_home_comm</f>
        <v/>
      </c>
      <c r="CB1157" s="40">
        <f>CB1156*(1-IF(B1156&gt;=in_marketplace_from,d_hz_loan_lap*G1156,0)*CC1156)</f>
        <v/>
      </c>
      <c r="CC1157" s="11">
        <f>MIN(in_approval_cap,in_loan_lap_approval*INDEX('Age profile'!$O$2:$O$61,B1157)*(1+in_approval_growth)^(D1157-1))</f>
        <v/>
      </c>
      <c r="CD1157" s="14">
        <f>F1157*CB1157*IF(B1157&gt;=in_marketplace_from,d_hz_loan_lap*G1157,0)*CC1157*in_loan_lap_ticket*in_loan_lap_comm</f>
        <v/>
      </c>
      <c r="CE1157" s="14">
        <f>AA1157+AB1157+AC1157+AD1157+AG1157+AJ1157+AM1157+AP1157+AS1157+AU1157+AX1157+BB1157+BE1157+BG1157+BJ1157+BL1157+BO1157+BR1157+BT1157+BV1157+BX1157+CA1157+CD1157</f>
        <v/>
      </c>
    </row>
    <row r="1158">
      <c r="A1158" s="39" t="n">
        <v>24</v>
      </c>
      <c r="B1158" s="39" t="n">
        <v>30</v>
      </c>
      <c r="C1158" s="39">
        <f>A1158+B1158-1</f>
        <v/>
      </c>
      <c r="D1158" s="39">
        <f>INT((C1158-1)/12)+1</f>
        <v/>
      </c>
      <c r="E1158" s="44">
        <f>INDEX(Monthly!$B$2:$B$61,A1158)</f>
        <v/>
      </c>
      <c r="F1158" s="44">
        <f>E1158*INDEX('Age profile'!$B$2:$B$61,B1158)</f>
        <v/>
      </c>
      <c r="G1158" s="45">
        <f>MIN(in_takeup_cap,INDEX('Age profile'!$N$2:$N$61,B1158)*(1+in_takeup_growth)^(D1158-1))</f>
        <v/>
      </c>
      <c r="H1158" s="11">
        <f>MIN(in_approval_cap,in_approved_first*INDEX('Age profile'!$O$2:$O$61,B1158)*(1+in_approval_growth)^(D1158-1))</f>
        <v/>
      </c>
      <c r="I1158" s="45">
        <f>G1158*MIN(in_takeup_cap,INDEX('Age profile'!$O$2:$O$61,B1158)*(1+in_approval_growth)^(D1158-1))</f>
        <v/>
      </c>
      <c r="J1158" s="40">
        <f>(J1157-L1157)*F1158/F1157</f>
        <v/>
      </c>
      <c r="K1158" s="40">
        <f>(K1157-M1157)*F1158/F1157+SUMIFS(O1129:O1157,B1129:B1157,B1158-1-d_T)*F1158</f>
        <v/>
      </c>
      <c r="L1158" s="40">
        <f>IF(B1158&gt;=in_marketplace_from,J1158*d_hz*G1158*in_eligible*H1158,0)</f>
        <v/>
      </c>
      <c r="M1158" s="40">
        <f>IF(B1158&gt;=in_marketplace_from,K1158*d_hz*G1158*in_eligible*in_approved_repeat,0)</f>
        <v/>
      </c>
      <c r="N1158" s="40">
        <f>L1158+M1158</f>
        <v/>
      </c>
      <c r="O1158" s="46">
        <f>N1158/F1158</f>
        <v/>
      </c>
      <c r="P1158" s="40">
        <f>F1158-J1158-K1158</f>
        <v/>
      </c>
      <c r="Q1158" s="40">
        <f>IF(B1158&gt;=in_marketplace_from,(J1158+K1158)*d_hz*G1158,0)</f>
        <v/>
      </c>
      <c r="R1158" s="40">
        <f>SUMIFS(N1129:N1165,B1129:B1165,"&gt;="&amp;(B1158-d_T),B1129:B1165,"&lt;="&amp;(B1158-1))</f>
        <v/>
      </c>
      <c r="S1158" s="46">
        <f>(1-d_u)*S1157+IF(d_T&gt;in_topup_lag,SUMIFS(O1129:O1165,B1129:B1165,B1158-in_topup_lag)-d_udrop*SUMIFS(O1129:O1165,B1129:B1165,B1158-d_T),0)</f>
        <v/>
      </c>
      <c r="T1158" s="40">
        <f>F1158*d_u*S1158</f>
        <v/>
      </c>
      <c r="U1158" s="9">
        <f>L1158*in_ticket+M1158*d_rep_ticket</f>
        <v/>
      </c>
      <c r="V1158" s="9">
        <f>U1158+T1158*d_topup_amt</f>
        <v/>
      </c>
      <c r="W1158" s="40">
        <f>N1158+T1158*d_topup_ratio</f>
        <v/>
      </c>
      <c r="X1158" s="40">
        <f>SUMIFS(W1129:W1165,B1129:B1165,B1158-in_dpd_lag)*d_cured</f>
        <v/>
      </c>
      <c r="Y1158" s="40">
        <f>SUMIFS(W1129:W1165,B1129:B1165,B1158-in_rec_lag)*d_recd</f>
        <v/>
      </c>
      <c r="Z1158" s="40">
        <f>IF(AND(B1158&gt;=in_marketplace_from,B1158&lt;in_marketplace_from+in_card_months),in_card_share/in_card_months*F1158*I1158,IF(AND(B1158&gt;=in_marketplace_from+in_card_months,B1158&lt;in_marketplace_from+2*in_card_months),in_card_share*d_card_rem/in_card_months*F1158*MIN(in_takeup_cap,(1+in_takeup_growth)^(D1158-1))*MIN(in_takeup_cap,(1+in_approval_growth)^(D1158-1)),0))</f>
        <v/>
      </c>
      <c r="AA1158" s="14">
        <f>V1158*in_fee*(1-in_taken_back)</f>
        <v/>
      </c>
      <c r="AB1158" s="14">
        <f>SUMIFS(W1129:W1165,B1129:B1165,B1158-in_dpd_lag)*d_dpd</f>
        <v/>
      </c>
      <c r="AC1158" s="14">
        <f>SUMIFS(W1129:W1165,B1129:B1165,B1158-in_rec_lag)*d_rec</f>
        <v/>
      </c>
      <c r="AD1158" s="14">
        <f>Z1158*in_card_fee</f>
        <v/>
      </c>
      <c r="AE1158" s="40">
        <f>AE1157*(1-IF(B1157&gt;=in_marketplace_from,d_hz_hlth_small*G1157,0))</f>
        <v/>
      </c>
      <c r="AF1158" s="46">
        <f>AE1158*IF(B1158&gt;=in_marketplace_from,d_hz_hlth_small*G1158,0)</f>
        <v/>
      </c>
      <c r="AG1158" s="14">
        <f>F1158*AF1158*in_hlth_small_ticket*in_hlth_small_comm*in_ins_partner_share+F1158*in_hlth_small_ticket*in_hlth_small_renew_comm*in_ins_partner_share*(in_hlth_small_renew^1*SUMIFS(AF1129:AF1165,B1129:B1165,B1158-12)+in_hlth_small_renew^2*SUMIFS(AF1129:AF1165,B1129:B1165,B1158-24)+in_hlth_small_renew^3*SUMIFS(AF1129:AF1165,B1129:B1165,B1158-36)+in_hlth_small_renew^4*SUMIFS(AF1129:AF1165,B1129:B1165,B1158-48))</f>
        <v/>
      </c>
      <c r="AH1158" s="40">
        <f>AH1157*(1-IF(B1157&gt;=in_marketplace_from,d_hz_hlth_family*G1157,0))</f>
        <v/>
      </c>
      <c r="AI1158" s="46">
        <f>AH1158*IF(B1158&gt;=in_marketplace_from,d_hz_hlth_family*G1158,0)</f>
        <v/>
      </c>
      <c r="AJ1158" s="14">
        <f>F1158*AI1158*in_hlth_family_ticket*in_hlth_family_comm*in_ins_partner_share+F1158*in_hlth_family_ticket*in_hlth_family_renew_comm*in_ins_partner_share*(in_hlth_family_renew^1*SUMIFS(AI1129:AI1165,B1129:B1165,B1158-12)+in_hlth_family_renew^2*SUMIFS(AI1129:AI1165,B1129:B1165,B1158-24)+in_hlth_family_renew^3*SUMIFS(AI1129:AI1165,B1129:B1165,B1158-36)+in_hlth_family_renew^4*SUMIFS(AI1129:AI1165,B1129:B1165,B1158-48))</f>
        <v/>
      </c>
      <c r="AK1158" s="40">
        <f>AK1157*(1-IF(B1157&gt;=in_marketplace_from,d_hz_life_term*G1157,0))</f>
        <v/>
      </c>
      <c r="AL1158" s="46">
        <f>AK1158*IF(B1158&gt;=in_marketplace_from,d_hz_life_term*G1158,0)</f>
        <v/>
      </c>
      <c r="AM1158" s="14">
        <f>F1158*AL1158*in_life_term_ticket*in_life_term_comm*in_ins_partner_share+F1158*in_life_term_ticket*in_life_term_renew_comm*in_ins_partner_share*(in_life_term_renew^1*SUMIFS(AL1129:AL1165,B1129:B1165,B1158-12)+in_life_term_renew^2*SUMIFS(AL1129:AL1165,B1129:B1165,B1158-24)+in_life_term_renew^3*SUMIFS(AL1129:AL1165,B1129:B1165,B1158-36)+in_life_term_renew^4*SUMIFS(AL1129:AL1165,B1129:B1165,B1158-48))</f>
        <v/>
      </c>
      <c r="AN1158" s="40">
        <f>AN1157*(1-IF(B1157&gt;=in_marketplace_from,d_hz_accident*G1157,0))</f>
        <v/>
      </c>
      <c r="AO1158" s="46">
        <f>AN1158*IF(B1158&gt;=in_marketplace_from,d_hz_accident*G1158,0)</f>
        <v/>
      </c>
      <c r="AP1158" s="14">
        <f>F1158*AO1158*in_accident_ticket*in_accident_comm*in_ins_partner_share+F1158*in_accident_ticket*in_accident_renew_comm*in_ins_partner_share*(in_accident_renew^1*SUMIFS(AO1129:AO1165,B1129:B1165,B1158-12)+in_accident_renew^2*SUMIFS(AO1129:AO1165,B1129:B1165,B1158-24)+in_accident_renew^3*SUMIFS(AO1129:AO1165,B1129:B1165,B1158-36)+in_accident_renew^4*SUMIFS(AO1129:AO1165,B1129:B1165,B1158-48))</f>
        <v/>
      </c>
      <c r="AQ1158" s="40">
        <f>AQ1157*(1-IF(B1157&gt;=in_marketplace_from,d_hz_two_wheeler*G1157,0))</f>
        <v/>
      </c>
      <c r="AR1158" s="46">
        <f>AQ1158*IF(B1158&gt;=in_marketplace_from,d_hz_two_wheeler*G1158,0)</f>
        <v/>
      </c>
      <c r="AS1158" s="14">
        <f>F1158*AR1158*in_two_wheeler_ticket*in_two_wheeler_comm*in_ins_partner_share+F1158*in_two_wheeler_ticket*in_two_wheeler_comm*in_ins_partner_share*(in_two_wheeler_renew^1*SUMIFS(AR1129:AR1165,B1129:B1165,B1158-12)+in_two_wheeler_renew^2*SUMIFS(AR1129:AR1165,B1129:B1165,B1158-24)+in_two_wheeler_renew^3*SUMIFS(AR1129:AR1165,B1129:B1165,B1158-36)+in_two_wheeler_renew^4*SUMIFS(AR1129:AR1165,B1129:B1165,B1158-48))</f>
        <v/>
      </c>
      <c r="AT1158" s="40">
        <f>AT1157*(1-IF(B1157&gt;=in_marketplace_from,d_hz_device*G1157,0))</f>
        <v/>
      </c>
      <c r="AU1158" s="14">
        <f>F1158*AT1158*IF(B1158&gt;=in_marketplace_from,d_hz_device*G1158,0)*in_device_ticket*in_device_comm*in_ins_partner_share</f>
        <v/>
      </c>
      <c r="AV1158" s="40">
        <f>AV1157*(1-IF(B1157&gt;=in_marketplace_from,d_hz_shop*G1157,0))</f>
        <v/>
      </c>
      <c r="AW1158" s="46">
        <f>AV1158*IF(B1158&gt;=in_marketplace_from,d_hz_shop*G1158,0)</f>
        <v/>
      </c>
      <c r="AX1158" s="14">
        <f>F1158*AW1158*in_shop_ticket*in_shop_comm*in_ins_partner_share+F1158*in_shop_ticket*in_shop_renew_comm*in_ins_partner_share*(in_shop_renew^1*SUMIFS(AW1129:AW1165,B1129:B1165,B1158-12)+in_shop_renew^2*SUMIFS(AW1129:AW1165,B1129:B1165,B1158-24)+in_shop_renew^3*SUMIFS(AW1129:AW1165,B1129:B1165,B1158-36)+in_shop_renew^4*SUMIFS(AW1129:AW1165,B1129:B1165,B1158-48))</f>
        <v/>
      </c>
      <c r="AY1158" s="40">
        <f>AY1157*(1-IF(B1157&gt;=in_marketplace_from,d_hz_sip*G1157,0))</f>
        <v/>
      </c>
      <c r="AZ1158" s="40">
        <f>AZ1157*d_rho_sip+AY1158*IF(B1158&gt;=in_marketplace_from,d_hz_sip*G1158,0)</f>
        <v/>
      </c>
      <c r="BA1158" s="40">
        <f>d_rho_sip*(BA1157+AZ1157)</f>
        <v/>
      </c>
      <c r="BB1158" s="14">
        <f>F1158*in_sip_ticket*(BA1158+0.5*AZ1158)*in_sip_comm/12</f>
        <v/>
      </c>
      <c r="BC1158" s="40">
        <f>BC1157*(1-IF(B1157&gt;=in_marketplace_from,d_hz_choti*G1157,0))</f>
        <v/>
      </c>
      <c r="BD1158" s="46">
        <f>BC1158*IF(B1158&gt;=in_marketplace_from,d_hz_choti*G1158,0)</f>
        <v/>
      </c>
      <c r="BE1158" s="14">
        <f>F1158*SUMIFS(BD1129:BD1165,B1129:B1165,B1158-in_choti_months)*in_choti_renew*in_choti_ticket</f>
        <v/>
      </c>
      <c r="BF1158" s="40">
        <f>BF1157*(1-IF(B1157&gt;=in_marketplace_from,d_hz_nps*G1157,0))</f>
        <v/>
      </c>
      <c r="BG1158" s="14">
        <f>F1158*BF1158*IF(B1158&gt;=in_marketplace_from,d_hz_nps*G1158,0)*in_nps_ticket*in_nps_comm</f>
        <v/>
      </c>
      <c r="BH1158" s="40">
        <f>BH1157*(1-IF(B1157&gt;=in_marketplace_from,d_hz_gold*G1157,0))</f>
        <v/>
      </c>
      <c r="BI1158" s="40">
        <f>BI1157*d_rho_gold+BH1158*IF(B1158&gt;=in_marketplace_from,d_hz_gold*G1158,0)</f>
        <v/>
      </c>
      <c r="BJ1158" s="14">
        <f>F1158*BI1158*in_gold_ticket*in_gold_comm</f>
        <v/>
      </c>
      <c r="BK1158" s="40">
        <f>BK1157*(1-IF(B1157&gt;=in_marketplace_from,d_hz_fd*G1157,0))</f>
        <v/>
      </c>
      <c r="BL1158" s="14">
        <f>F1158*BK1158*IF(B1158&gt;=in_marketplace_from,d_hz_fd*G1158,0)*in_fd_ticket*in_fd_comm</f>
        <v/>
      </c>
      <c r="BM1158" s="40">
        <f>BM1157*(1-IF(B1157&gt;=in_marketplace_from,d_hz_recharge*G1157,0))</f>
        <v/>
      </c>
      <c r="BN1158" s="40">
        <f>BN1157*d_rho_recharge+BM1158*IF(B1158&gt;=in_marketplace_from,d_hz_recharge*G1158,0)</f>
        <v/>
      </c>
      <c r="BO1158" s="14">
        <f>F1158*BN1158*in_recharge_ticket*in_recharge_comm/12</f>
        <v/>
      </c>
      <c r="BP1158" s="40">
        <f>BP1157*(1-IF(B1157&gt;=in_marketplace_from,d_hz_bills*G1157,0))</f>
        <v/>
      </c>
      <c r="BQ1158" s="40">
        <f>BQ1157*d_rho_bills+BP1158*IF(B1158&gt;=in_marketplace_from,d_hz_bills*G1158,0)</f>
        <v/>
      </c>
      <c r="BR1158" s="14">
        <f>F1158*BQ1158*in_bills_ticket*in_bills_comm/12</f>
        <v/>
      </c>
      <c r="BS1158" s="40">
        <f>BS1157*(1-IF(B1157&gt;=in_marketplace_from,d_hz_loan_gold*G1157,0))</f>
        <v/>
      </c>
      <c r="BT1158" s="14">
        <f>F1158*BS1158*IF(B1158&gt;=in_marketplace_from,d_hz_loan_gold*G1158,0)*in_loan_gold_ticket*in_loan_gold_comm</f>
        <v/>
      </c>
      <c r="BU1158" s="40">
        <f>BU1157*(1-IF(B1157&gt;=in_marketplace_from,d_hz_loan_cd*G1157,0))</f>
        <v/>
      </c>
      <c r="BV1158" s="14">
        <f>F1158*BU1158*IF(B1158&gt;=in_marketplace_from,d_hz_loan_cd*G1158,0)*in_loan_cd_ticket*in_loan_cd_comm</f>
        <v/>
      </c>
      <c r="BW1158" s="40">
        <f>BW1157*(1-IF(B1157&gt;=in_marketplace_from,d_hz_loan_vehicle*G1157,0))</f>
        <v/>
      </c>
      <c r="BX1158" s="14">
        <f>F1158*BW1158*IF(B1158&gt;=in_marketplace_from,d_hz_loan_vehicle*G1158,0)*in_loan_vehicle_ticket*in_loan_vehicle_comm</f>
        <v/>
      </c>
      <c r="BY1158" s="40">
        <f>BY1157*(1-IF(B1157&gt;=in_marketplace_from,d_hz_loan_home*G1157,0)*BZ1157)</f>
        <v/>
      </c>
      <c r="BZ1158" s="11">
        <f>MIN(in_approval_cap,in_loan_home_approval*INDEX('Age profile'!$O$2:$O$61,B1158)*(1+in_approval_growth)^(D1158-1))</f>
        <v/>
      </c>
      <c r="CA1158" s="14">
        <f>F1158*BY1158*IF(B1158&gt;=in_marketplace_from,d_hz_loan_home*G1158,0)*BZ1158*in_loan_home_ticket*in_loan_home_comm</f>
        <v/>
      </c>
      <c r="CB1158" s="40">
        <f>CB1157*(1-IF(B1157&gt;=in_marketplace_from,d_hz_loan_lap*G1157,0)*CC1157)</f>
        <v/>
      </c>
      <c r="CC1158" s="11">
        <f>MIN(in_approval_cap,in_loan_lap_approval*INDEX('Age profile'!$O$2:$O$61,B1158)*(1+in_approval_growth)^(D1158-1))</f>
        <v/>
      </c>
      <c r="CD1158" s="14">
        <f>F1158*CB1158*IF(B1158&gt;=in_marketplace_from,d_hz_loan_lap*G1158,0)*CC1158*in_loan_lap_ticket*in_loan_lap_comm</f>
        <v/>
      </c>
      <c r="CE1158" s="14">
        <f>AA1158+AB1158+AC1158+AD1158+AG1158+AJ1158+AM1158+AP1158+AS1158+AU1158+AX1158+BB1158+BE1158+BG1158+BJ1158+BL1158+BO1158+BR1158+BT1158+BV1158+BX1158+CA1158+CD1158</f>
        <v/>
      </c>
    </row>
    <row r="1159">
      <c r="A1159" s="39" t="n">
        <v>24</v>
      </c>
      <c r="B1159" s="39" t="n">
        <v>31</v>
      </c>
      <c r="C1159" s="39">
        <f>A1159+B1159-1</f>
        <v/>
      </c>
      <c r="D1159" s="39">
        <f>INT((C1159-1)/12)+1</f>
        <v/>
      </c>
      <c r="E1159" s="44">
        <f>INDEX(Monthly!$B$2:$B$61,A1159)</f>
        <v/>
      </c>
      <c r="F1159" s="44">
        <f>E1159*INDEX('Age profile'!$B$2:$B$61,B1159)</f>
        <v/>
      </c>
      <c r="G1159" s="45">
        <f>MIN(in_takeup_cap,INDEX('Age profile'!$N$2:$N$61,B1159)*(1+in_takeup_growth)^(D1159-1))</f>
        <v/>
      </c>
      <c r="H1159" s="11">
        <f>MIN(in_approval_cap,in_approved_first*INDEX('Age profile'!$O$2:$O$61,B1159)*(1+in_approval_growth)^(D1159-1))</f>
        <v/>
      </c>
      <c r="I1159" s="45">
        <f>G1159*MIN(in_takeup_cap,INDEX('Age profile'!$O$2:$O$61,B1159)*(1+in_approval_growth)^(D1159-1))</f>
        <v/>
      </c>
      <c r="J1159" s="40">
        <f>(J1158-L1158)*F1159/F1158</f>
        <v/>
      </c>
      <c r="K1159" s="40">
        <f>(K1158-M1158)*F1159/F1158+SUMIFS(O1129:O1158,B1129:B1158,B1159-1-d_T)*F1159</f>
        <v/>
      </c>
      <c r="L1159" s="40">
        <f>IF(B1159&gt;=in_marketplace_from,J1159*d_hz*G1159*in_eligible*H1159,0)</f>
        <v/>
      </c>
      <c r="M1159" s="40">
        <f>IF(B1159&gt;=in_marketplace_from,K1159*d_hz*G1159*in_eligible*in_approved_repeat,0)</f>
        <v/>
      </c>
      <c r="N1159" s="40">
        <f>L1159+M1159</f>
        <v/>
      </c>
      <c r="O1159" s="46">
        <f>N1159/F1159</f>
        <v/>
      </c>
      <c r="P1159" s="40">
        <f>F1159-J1159-K1159</f>
        <v/>
      </c>
      <c r="Q1159" s="40">
        <f>IF(B1159&gt;=in_marketplace_from,(J1159+K1159)*d_hz*G1159,0)</f>
        <v/>
      </c>
      <c r="R1159" s="40">
        <f>SUMIFS(N1129:N1165,B1129:B1165,"&gt;="&amp;(B1159-d_T),B1129:B1165,"&lt;="&amp;(B1159-1))</f>
        <v/>
      </c>
      <c r="S1159" s="46">
        <f>(1-d_u)*S1158+IF(d_T&gt;in_topup_lag,SUMIFS(O1129:O1165,B1129:B1165,B1159-in_topup_lag)-d_udrop*SUMIFS(O1129:O1165,B1129:B1165,B1159-d_T),0)</f>
        <v/>
      </c>
      <c r="T1159" s="40">
        <f>F1159*d_u*S1159</f>
        <v/>
      </c>
      <c r="U1159" s="9">
        <f>L1159*in_ticket+M1159*d_rep_ticket</f>
        <v/>
      </c>
      <c r="V1159" s="9">
        <f>U1159+T1159*d_topup_amt</f>
        <v/>
      </c>
      <c r="W1159" s="40">
        <f>N1159+T1159*d_topup_ratio</f>
        <v/>
      </c>
      <c r="X1159" s="40">
        <f>SUMIFS(W1129:W1165,B1129:B1165,B1159-in_dpd_lag)*d_cured</f>
        <v/>
      </c>
      <c r="Y1159" s="40">
        <f>SUMIFS(W1129:W1165,B1129:B1165,B1159-in_rec_lag)*d_recd</f>
        <v/>
      </c>
      <c r="Z1159" s="40">
        <f>IF(AND(B1159&gt;=in_marketplace_from,B1159&lt;in_marketplace_from+in_card_months),in_card_share/in_card_months*F1159*I1159,IF(AND(B1159&gt;=in_marketplace_from+in_card_months,B1159&lt;in_marketplace_from+2*in_card_months),in_card_share*d_card_rem/in_card_months*F1159*MIN(in_takeup_cap,(1+in_takeup_growth)^(D1159-1))*MIN(in_takeup_cap,(1+in_approval_growth)^(D1159-1)),0))</f>
        <v/>
      </c>
      <c r="AA1159" s="14">
        <f>V1159*in_fee*(1-in_taken_back)</f>
        <v/>
      </c>
      <c r="AB1159" s="14">
        <f>SUMIFS(W1129:W1165,B1129:B1165,B1159-in_dpd_lag)*d_dpd</f>
        <v/>
      </c>
      <c r="AC1159" s="14">
        <f>SUMIFS(W1129:W1165,B1129:B1165,B1159-in_rec_lag)*d_rec</f>
        <v/>
      </c>
      <c r="AD1159" s="14">
        <f>Z1159*in_card_fee</f>
        <v/>
      </c>
      <c r="AE1159" s="40">
        <f>AE1158*(1-IF(B1158&gt;=in_marketplace_from,d_hz_hlth_small*G1158,0))</f>
        <v/>
      </c>
      <c r="AF1159" s="46">
        <f>AE1159*IF(B1159&gt;=in_marketplace_from,d_hz_hlth_small*G1159,0)</f>
        <v/>
      </c>
      <c r="AG1159" s="14">
        <f>F1159*AF1159*in_hlth_small_ticket*in_hlth_small_comm*in_ins_partner_share+F1159*in_hlth_small_ticket*in_hlth_small_renew_comm*in_ins_partner_share*(in_hlth_small_renew^1*SUMIFS(AF1129:AF1165,B1129:B1165,B1159-12)+in_hlth_small_renew^2*SUMIFS(AF1129:AF1165,B1129:B1165,B1159-24)+in_hlth_small_renew^3*SUMIFS(AF1129:AF1165,B1129:B1165,B1159-36)+in_hlth_small_renew^4*SUMIFS(AF1129:AF1165,B1129:B1165,B1159-48))</f>
        <v/>
      </c>
      <c r="AH1159" s="40">
        <f>AH1158*(1-IF(B1158&gt;=in_marketplace_from,d_hz_hlth_family*G1158,0))</f>
        <v/>
      </c>
      <c r="AI1159" s="46">
        <f>AH1159*IF(B1159&gt;=in_marketplace_from,d_hz_hlth_family*G1159,0)</f>
        <v/>
      </c>
      <c r="AJ1159" s="14">
        <f>F1159*AI1159*in_hlth_family_ticket*in_hlth_family_comm*in_ins_partner_share+F1159*in_hlth_family_ticket*in_hlth_family_renew_comm*in_ins_partner_share*(in_hlth_family_renew^1*SUMIFS(AI1129:AI1165,B1129:B1165,B1159-12)+in_hlth_family_renew^2*SUMIFS(AI1129:AI1165,B1129:B1165,B1159-24)+in_hlth_family_renew^3*SUMIFS(AI1129:AI1165,B1129:B1165,B1159-36)+in_hlth_family_renew^4*SUMIFS(AI1129:AI1165,B1129:B1165,B1159-48))</f>
        <v/>
      </c>
      <c r="AK1159" s="40">
        <f>AK1158*(1-IF(B1158&gt;=in_marketplace_from,d_hz_life_term*G1158,0))</f>
        <v/>
      </c>
      <c r="AL1159" s="46">
        <f>AK1159*IF(B1159&gt;=in_marketplace_from,d_hz_life_term*G1159,0)</f>
        <v/>
      </c>
      <c r="AM1159" s="14">
        <f>F1159*AL1159*in_life_term_ticket*in_life_term_comm*in_ins_partner_share+F1159*in_life_term_ticket*in_life_term_renew_comm*in_ins_partner_share*(in_life_term_renew^1*SUMIFS(AL1129:AL1165,B1129:B1165,B1159-12)+in_life_term_renew^2*SUMIFS(AL1129:AL1165,B1129:B1165,B1159-24)+in_life_term_renew^3*SUMIFS(AL1129:AL1165,B1129:B1165,B1159-36)+in_life_term_renew^4*SUMIFS(AL1129:AL1165,B1129:B1165,B1159-48))</f>
        <v/>
      </c>
      <c r="AN1159" s="40">
        <f>AN1158*(1-IF(B1158&gt;=in_marketplace_from,d_hz_accident*G1158,0))</f>
        <v/>
      </c>
      <c r="AO1159" s="46">
        <f>AN1159*IF(B1159&gt;=in_marketplace_from,d_hz_accident*G1159,0)</f>
        <v/>
      </c>
      <c r="AP1159" s="14">
        <f>F1159*AO1159*in_accident_ticket*in_accident_comm*in_ins_partner_share+F1159*in_accident_ticket*in_accident_renew_comm*in_ins_partner_share*(in_accident_renew^1*SUMIFS(AO1129:AO1165,B1129:B1165,B1159-12)+in_accident_renew^2*SUMIFS(AO1129:AO1165,B1129:B1165,B1159-24)+in_accident_renew^3*SUMIFS(AO1129:AO1165,B1129:B1165,B1159-36)+in_accident_renew^4*SUMIFS(AO1129:AO1165,B1129:B1165,B1159-48))</f>
        <v/>
      </c>
      <c r="AQ1159" s="40">
        <f>AQ1158*(1-IF(B1158&gt;=in_marketplace_from,d_hz_two_wheeler*G1158,0))</f>
        <v/>
      </c>
      <c r="AR1159" s="46">
        <f>AQ1159*IF(B1159&gt;=in_marketplace_from,d_hz_two_wheeler*G1159,0)</f>
        <v/>
      </c>
      <c r="AS1159" s="14">
        <f>F1159*AR1159*in_two_wheeler_ticket*in_two_wheeler_comm*in_ins_partner_share+F1159*in_two_wheeler_ticket*in_two_wheeler_comm*in_ins_partner_share*(in_two_wheeler_renew^1*SUMIFS(AR1129:AR1165,B1129:B1165,B1159-12)+in_two_wheeler_renew^2*SUMIFS(AR1129:AR1165,B1129:B1165,B1159-24)+in_two_wheeler_renew^3*SUMIFS(AR1129:AR1165,B1129:B1165,B1159-36)+in_two_wheeler_renew^4*SUMIFS(AR1129:AR1165,B1129:B1165,B1159-48))</f>
        <v/>
      </c>
      <c r="AT1159" s="40">
        <f>AT1158*(1-IF(B1158&gt;=in_marketplace_from,d_hz_device*G1158,0))</f>
        <v/>
      </c>
      <c r="AU1159" s="14">
        <f>F1159*AT1159*IF(B1159&gt;=in_marketplace_from,d_hz_device*G1159,0)*in_device_ticket*in_device_comm*in_ins_partner_share</f>
        <v/>
      </c>
      <c r="AV1159" s="40">
        <f>AV1158*(1-IF(B1158&gt;=in_marketplace_from,d_hz_shop*G1158,0))</f>
        <v/>
      </c>
      <c r="AW1159" s="46">
        <f>AV1159*IF(B1159&gt;=in_marketplace_from,d_hz_shop*G1159,0)</f>
        <v/>
      </c>
      <c r="AX1159" s="14">
        <f>F1159*AW1159*in_shop_ticket*in_shop_comm*in_ins_partner_share+F1159*in_shop_ticket*in_shop_renew_comm*in_ins_partner_share*(in_shop_renew^1*SUMIFS(AW1129:AW1165,B1129:B1165,B1159-12)+in_shop_renew^2*SUMIFS(AW1129:AW1165,B1129:B1165,B1159-24)+in_shop_renew^3*SUMIFS(AW1129:AW1165,B1129:B1165,B1159-36)+in_shop_renew^4*SUMIFS(AW1129:AW1165,B1129:B1165,B1159-48))</f>
        <v/>
      </c>
      <c r="AY1159" s="40">
        <f>AY1158*(1-IF(B1158&gt;=in_marketplace_from,d_hz_sip*G1158,0))</f>
        <v/>
      </c>
      <c r="AZ1159" s="40">
        <f>AZ1158*d_rho_sip+AY1159*IF(B1159&gt;=in_marketplace_from,d_hz_sip*G1159,0)</f>
        <v/>
      </c>
      <c r="BA1159" s="40">
        <f>d_rho_sip*(BA1158+AZ1158)</f>
        <v/>
      </c>
      <c r="BB1159" s="14">
        <f>F1159*in_sip_ticket*(BA1159+0.5*AZ1159)*in_sip_comm/12</f>
        <v/>
      </c>
      <c r="BC1159" s="40">
        <f>BC1158*(1-IF(B1158&gt;=in_marketplace_from,d_hz_choti*G1158,0))</f>
        <v/>
      </c>
      <c r="BD1159" s="46">
        <f>BC1159*IF(B1159&gt;=in_marketplace_from,d_hz_choti*G1159,0)</f>
        <v/>
      </c>
      <c r="BE1159" s="14">
        <f>F1159*SUMIFS(BD1129:BD1165,B1129:B1165,B1159-in_choti_months)*in_choti_renew*in_choti_ticket</f>
        <v/>
      </c>
      <c r="BF1159" s="40">
        <f>BF1158*(1-IF(B1158&gt;=in_marketplace_from,d_hz_nps*G1158,0))</f>
        <v/>
      </c>
      <c r="BG1159" s="14">
        <f>F1159*BF1159*IF(B1159&gt;=in_marketplace_from,d_hz_nps*G1159,0)*in_nps_ticket*in_nps_comm</f>
        <v/>
      </c>
      <c r="BH1159" s="40">
        <f>BH1158*(1-IF(B1158&gt;=in_marketplace_from,d_hz_gold*G1158,0))</f>
        <v/>
      </c>
      <c r="BI1159" s="40">
        <f>BI1158*d_rho_gold+BH1159*IF(B1159&gt;=in_marketplace_from,d_hz_gold*G1159,0)</f>
        <v/>
      </c>
      <c r="BJ1159" s="14">
        <f>F1159*BI1159*in_gold_ticket*in_gold_comm</f>
        <v/>
      </c>
      <c r="BK1159" s="40">
        <f>BK1158*(1-IF(B1158&gt;=in_marketplace_from,d_hz_fd*G1158,0))</f>
        <v/>
      </c>
      <c r="BL1159" s="14">
        <f>F1159*BK1159*IF(B1159&gt;=in_marketplace_from,d_hz_fd*G1159,0)*in_fd_ticket*in_fd_comm</f>
        <v/>
      </c>
      <c r="BM1159" s="40">
        <f>BM1158*(1-IF(B1158&gt;=in_marketplace_from,d_hz_recharge*G1158,0))</f>
        <v/>
      </c>
      <c r="BN1159" s="40">
        <f>BN1158*d_rho_recharge+BM1159*IF(B1159&gt;=in_marketplace_from,d_hz_recharge*G1159,0)</f>
        <v/>
      </c>
      <c r="BO1159" s="14">
        <f>F1159*BN1159*in_recharge_ticket*in_recharge_comm/12</f>
        <v/>
      </c>
      <c r="BP1159" s="40">
        <f>BP1158*(1-IF(B1158&gt;=in_marketplace_from,d_hz_bills*G1158,0))</f>
        <v/>
      </c>
      <c r="BQ1159" s="40">
        <f>BQ1158*d_rho_bills+BP1159*IF(B1159&gt;=in_marketplace_from,d_hz_bills*G1159,0)</f>
        <v/>
      </c>
      <c r="BR1159" s="14">
        <f>F1159*BQ1159*in_bills_ticket*in_bills_comm/12</f>
        <v/>
      </c>
      <c r="BS1159" s="40">
        <f>BS1158*(1-IF(B1158&gt;=in_marketplace_from,d_hz_loan_gold*G1158,0))</f>
        <v/>
      </c>
      <c r="BT1159" s="14">
        <f>F1159*BS1159*IF(B1159&gt;=in_marketplace_from,d_hz_loan_gold*G1159,0)*in_loan_gold_ticket*in_loan_gold_comm</f>
        <v/>
      </c>
      <c r="BU1159" s="40">
        <f>BU1158*(1-IF(B1158&gt;=in_marketplace_from,d_hz_loan_cd*G1158,0))</f>
        <v/>
      </c>
      <c r="BV1159" s="14">
        <f>F1159*BU1159*IF(B1159&gt;=in_marketplace_from,d_hz_loan_cd*G1159,0)*in_loan_cd_ticket*in_loan_cd_comm</f>
        <v/>
      </c>
      <c r="BW1159" s="40">
        <f>BW1158*(1-IF(B1158&gt;=in_marketplace_from,d_hz_loan_vehicle*G1158,0))</f>
        <v/>
      </c>
      <c r="BX1159" s="14">
        <f>F1159*BW1159*IF(B1159&gt;=in_marketplace_from,d_hz_loan_vehicle*G1159,0)*in_loan_vehicle_ticket*in_loan_vehicle_comm</f>
        <v/>
      </c>
      <c r="BY1159" s="40">
        <f>BY1158*(1-IF(B1158&gt;=in_marketplace_from,d_hz_loan_home*G1158,0)*BZ1158)</f>
        <v/>
      </c>
      <c r="BZ1159" s="11">
        <f>MIN(in_approval_cap,in_loan_home_approval*INDEX('Age profile'!$O$2:$O$61,B1159)*(1+in_approval_growth)^(D1159-1))</f>
        <v/>
      </c>
      <c r="CA1159" s="14">
        <f>F1159*BY1159*IF(B1159&gt;=in_marketplace_from,d_hz_loan_home*G1159,0)*BZ1159*in_loan_home_ticket*in_loan_home_comm</f>
        <v/>
      </c>
      <c r="CB1159" s="40">
        <f>CB1158*(1-IF(B1158&gt;=in_marketplace_from,d_hz_loan_lap*G1158,0)*CC1158)</f>
        <v/>
      </c>
      <c r="CC1159" s="11">
        <f>MIN(in_approval_cap,in_loan_lap_approval*INDEX('Age profile'!$O$2:$O$61,B1159)*(1+in_approval_growth)^(D1159-1))</f>
        <v/>
      </c>
      <c r="CD1159" s="14">
        <f>F1159*CB1159*IF(B1159&gt;=in_marketplace_from,d_hz_loan_lap*G1159,0)*CC1159*in_loan_lap_ticket*in_loan_lap_comm</f>
        <v/>
      </c>
      <c r="CE1159" s="14">
        <f>AA1159+AB1159+AC1159+AD1159+AG1159+AJ1159+AM1159+AP1159+AS1159+AU1159+AX1159+BB1159+BE1159+BG1159+BJ1159+BL1159+BO1159+BR1159+BT1159+BV1159+BX1159+CA1159+CD1159</f>
        <v/>
      </c>
    </row>
    <row r="1160">
      <c r="A1160" s="39" t="n">
        <v>24</v>
      </c>
      <c r="B1160" s="39" t="n">
        <v>32</v>
      </c>
      <c r="C1160" s="39">
        <f>A1160+B1160-1</f>
        <v/>
      </c>
      <c r="D1160" s="39">
        <f>INT((C1160-1)/12)+1</f>
        <v/>
      </c>
      <c r="E1160" s="44">
        <f>INDEX(Monthly!$B$2:$B$61,A1160)</f>
        <v/>
      </c>
      <c r="F1160" s="44">
        <f>E1160*INDEX('Age profile'!$B$2:$B$61,B1160)</f>
        <v/>
      </c>
      <c r="G1160" s="45">
        <f>MIN(in_takeup_cap,INDEX('Age profile'!$N$2:$N$61,B1160)*(1+in_takeup_growth)^(D1160-1))</f>
        <v/>
      </c>
      <c r="H1160" s="11">
        <f>MIN(in_approval_cap,in_approved_first*INDEX('Age profile'!$O$2:$O$61,B1160)*(1+in_approval_growth)^(D1160-1))</f>
        <v/>
      </c>
      <c r="I1160" s="45">
        <f>G1160*MIN(in_takeup_cap,INDEX('Age profile'!$O$2:$O$61,B1160)*(1+in_approval_growth)^(D1160-1))</f>
        <v/>
      </c>
      <c r="J1160" s="40">
        <f>(J1159-L1159)*F1160/F1159</f>
        <v/>
      </c>
      <c r="K1160" s="40">
        <f>(K1159-M1159)*F1160/F1159+SUMIFS(O1129:O1159,B1129:B1159,B1160-1-d_T)*F1160</f>
        <v/>
      </c>
      <c r="L1160" s="40">
        <f>IF(B1160&gt;=in_marketplace_from,J1160*d_hz*G1160*in_eligible*H1160,0)</f>
        <v/>
      </c>
      <c r="M1160" s="40">
        <f>IF(B1160&gt;=in_marketplace_from,K1160*d_hz*G1160*in_eligible*in_approved_repeat,0)</f>
        <v/>
      </c>
      <c r="N1160" s="40">
        <f>L1160+M1160</f>
        <v/>
      </c>
      <c r="O1160" s="46">
        <f>N1160/F1160</f>
        <v/>
      </c>
      <c r="P1160" s="40">
        <f>F1160-J1160-K1160</f>
        <v/>
      </c>
      <c r="Q1160" s="40">
        <f>IF(B1160&gt;=in_marketplace_from,(J1160+K1160)*d_hz*G1160,0)</f>
        <v/>
      </c>
      <c r="R1160" s="40">
        <f>SUMIFS(N1129:N1165,B1129:B1165,"&gt;="&amp;(B1160-d_T),B1129:B1165,"&lt;="&amp;(B1160-1))</f>
        <v/>
      </c>
      <c r="S1160" s="46">
        <f>(1-d_u)*S1159+IF(d_T&gt;in_topup_lag,SUMIFS(O1129:O1165,B1129:B1165,B1160-in_topup_lag)-d_udrop*SUMIFS(O1129:O1165,B1129:B1165,B1160-d_T),0)</f>
        <v/>
      </c>
      <c r="T1160" s="40">
        <f>F1160*d_u*S1160</f>
        <v/>
      </c>
      <c r="U1160" s="9">
        <f>L1160*in_ticket+M1160*d_rep_ticket</f>
        <v/>
      </c>
      <c r="V1160" s="9">
        <f>U1160+T1160*d_topup_amt</f>
        <v/>
      </c>
      <c r="W1160" s="40">
        <f>N1160+T1160*d_topup_ratio</f>
        <v/>
      </c>
      <c r="X1160" s="40">
        <f>SUMIFS(W1129:W1165,B1129:B1165,B1160-in_dpd_lag)*d_cured</f>
        <v/>
      </c>
      <c r="Y1160" s="40">
        <f>SUMIFS(W1129:W1165,B1129:B1165,B1160-in_rec_lag)*d_recd</f>
        <v/>
      </c>
      <c r="Z1160" s="40">
        <f>IF(AND(B1160&gt;=in_marketplace_from,B1160&lt;in_marketplace_from+in_card_months),in_card_share/in_card_months*F1160*I1160,IF(AND(B1160&gt;=in_marketplace_from+in_card_months,B1160&lt;in_marketplace_from+2*in_card_months),in_card_share*d_card_rem/in_card_months*F1160*MIN(in_takeup_cap,(1+in_takeup_growth)^(D1160-1))*MIN(in_takeup_cap,(1+in_approval_growth)^(D1160-1)),0))</f>
        <v/>
      </c>
      <c r="AA1160" s="14">
        <f>V1160*in_fee*(1-in_taken_back)</f>
        <v/>
      </c>
      <c r="AB1160" s="14">
        <f>SUMIFS(W1129:W1165,B1129:B1165,B1160-in_dpd_lag)*d_dpd</f>
        <v/>
      </c>
      <c r="AC1160" s="14">
        <f>SUMIFS(W1129:W1165,B1129:B1165,B1160-in_rec_lag)*d_rec</f>
        <v/>
      </c>
      <c r="AD1160" s="14">
        <f>Z1160*in_card_fee</f>
        <v/>
      </c>
      <c r="AE1160" s="40">
        <f>AE1159*(1-IF(B1159&gt;=in_marketplace_from,d_hz_hlth_small*G1159,0))</f>
        <v/>
      </c>
      <c r="AF1160" s="46">
        <f>AE1160*IF(B1160&gt;=in_marketplace_from,d_hz_hlth_small*G1160,0)</f>
        <v/>
      </c>
      <c r="AG1160" s="14">
        <f>F1160*AF1160*in_hlth_small_ticket*in_hlth_small_comm*in_ins_partner_share+F1160*in_hlth_small_ticket*in_hlth_small_renew_comm*in_ins_partner_share*(in_hlth_small_renew^1*SUMIFS(AF1129:AF1165,B1129:B1165,B1160-12)+in_hlth_small_renew^2*SUMIFS(AF1129:AF1165,B1129:B1165,B1160-24)+in_hlth_small_renew^3*SUMIFS(AF1129:AF1165,B1129:B1165,B1160-36)+in_hlth_small_renew^4*SUMIFS(AF1129:AF1165,B1129:B1165,B1160-48))</f>
        <v/>
      </c>
      <c r="AH1160" s="40">
        <f>AH1159*(1-IF(B1159&gt;=in_marketplace_from,d_hz_hlth_family*G1159,0))</f>
        <v/>
      </c>
      <c r="AI1160" s="46">
        <f>AH1160*IF(B1160&gt;=in_marketplace_from,d_hz_hlth_family*G1160,0)</f>
        <v/>
      </c>
      <c r="AJ1160" s="14">
        <f>F1160*AI1160*in_hlth_family_ticket*in_hlth_family_comm*in_ins_partner_share+F1160*in_hlth_family_ticket*in_hlth_family_renew_comm*in_ins_partner_share*(in_hlth_family_renew^1*SUMIFS(AI1129:AI1165,B1129:B1165,B1160-12)+in_hlth_family_renew^2*SUMIFS(AI1129:AI1165,B1129:B1165,B1160-24)+in_hlth_family_renew^3*SUMIFS(AI1129:AI1165,B1129:B1165,B1160-36)+in_hlth_family_renew^4*SUMIFS(AI1129:AI1165,B1129:B1165,B1160-48))</f>
        <v/>
      </c>
      <c r="AK1160" s="40">
        <f>AK1159*(1-IF(B1159&gt;=in_marketplace_from,d_hz_life_term*G1159,0))</f>
        <v/>
      </c>
      <c r="AL1160" s="46">
        <f>AK1160*IF(B1160&gt;=in_marketplace_from,d_hz_life_term*G1160,0)</f>
        <v/>
      </c>
      <c r="AM1160" s="14">
        <f>F1160*AL1160*in_life_term_ticket*in_life_term_comm*in_ins_partner_share+F1160*in_life_term_ticket*in_life_term_renew_comm*in_ins_partner_share*(in_life_term_renew^1*SUMIFS(AL1129:AL1165,B1129:B1165,B1160-12)+in_life_term_renew^2*SUMIFS(AL1129:AL1165,B1129:B1165,B1160-24)+in_life_term_renew^3*SUMIFS(AL1129:AL1165,B1129:B1165,B1160-36)+in_life_term_renew^4*SUMIFS(AL1129:AL1165,B1129:B1165,B1160-48))</f>
        <v/>
      </c>
      <c r="AN1160" s="40">
        <f>AN1159*(1-IF(B1159&gt;=in_marketplace_from,d_hz_accident*G1159,0))</f>
        <v/>
      </c>
      <c r="AO1160" s="46">
        <f>AN1160*IF(B1160&gt;=in_marketplace_from,d_hz_accident*G1160,0)</f>
        <v/>
      </c>
      <c r="AP1160" s="14">
        <f>F1160*AO1160*in_accident_ticket*in_accident_comm*in_ins_partner_share+F1160*in_accident_ticket*in_accident_renew_comm*in_ins_partner_share*(in_accident_renew^1*SUMIFS(AO1129:AO1165,B1129:B1165,B1160-12)+in_accident_renew^2*SUMIFS(AO1129:AO1165,B1129:B1165,B1160-24)+in_accident_renew^3*SUMIFS(AO1129:AO1165,B1129:B1165,B1160-36)+in_accident_renew^4*SUMIFS(AO1129:AO1165,B1129:B1165,B1160-48))</f>
        <v/>
      </c>
      <c r="AQ1160" s="40">
        <f>AQ1159*(1-IF(B1159&gt;=in_marketplace_from,d_hz_two_wheeler*G1159,0))</f>
        <v/>
      </c>
      <c r="AR1160" s="46">
        <f>AQ1160*IF(B1160&gt;=in_marketplace_from,d_hz_two_wheeler*G1160,0)</f>
        <v/>
      </c>
      <c r="AS1160" s="14">
        <f>F1160*AR1160*in_two_wheeler_ticket*in_two_wheeler_comm*in_ins_partner_share+F1160*in_two_wheeler_ticket*in_two_wheeler_comm*in_ins_partner_share*(in_two_wheeler_renew^1*SUMIFS(AR1129:AR1165,B1129:B1165,B1160-12)+in_two_wheeler_renew^2*SUMIFS(AR1129:AR1165,B1129:B1165,B1160-24)+in_two_wheeler_renew^3*SUMIFS(AR1129:AR1165,B1129:B1165,B1160-36)+in_two_wheeler_renew^4*SUMIFS(AR1129:AR1165,B1129:B1165,B1160-48))</f>
        <v/>
      </c>
      <c r="AT1160" s="40">
        <f>AT1159*(1-IF(B1159&gt;=in_marketplace_from,d_hz_device*G1159,0))</f>
        <v/>
      </c>
      <c r="AU1160" s="14">
        <f>F1160*AT1160*IF(B1160&gt;=in_marketplace_from,d_hz_device*G1160,0)*in_device_ticket*in_device_comm*in_ins_partner_share</f>
        <v/>
      </c>
      <c r="AV1160" s="40">
        <f>AV1159*(1-IF(B1159&gt;=in_marketplace_from,d_hz_shop*G1159,0))</f>
        <v/>
      </c>
      <c r="AW1160" s="46">
        <f>AV1160*IF(B1160&gt;=in_marketplace_from,d_hz_shop*G1160,0)</f>
        <v/>
      </c>
      <c r="AX1160" s="14">
        <f>F1160*AW1160*in_shop_ticket*in_shop_comm*in_ins_partner_share+F1160*in_shop_ticket*in_shop_renew_comm*in_ins_partner_share*(in_shop_renew^1*SUMIFS(AW1129:AW1165,B1129:B1165,B1160-12)+in_shop_renew^2*SUMIFS(AW1129:AW1165,B1129:B1165,B1160-24)+in_shop_renew^3*SUMIFS(AW1129:AW1165,B1129:B1165,B1160-36)+in_shop_renew^4*SUMIFS(AW1129:AW1165,B1129:B1165,B1160-48))</f>
        <v/>
      </c>
      <c r="AY1160" s="40">
        <f>AY1159*(1-IF(B1159&gt;=in_marketplace_from,d_hz_sip*G1159,0))</f>
        <v/>
      </c>
      <c r="AZ1160" s="40">
        <f>AZ1159*d_rho_sip+AY1160*IF(B1160&gt;=in_marketplace_from,d_hz_sip*G1160,0)</f>
        <v/>
      </c>
      <c r="BA1160" s="40">
        <f>d_rho_sip*(BA1159+AZ1159)</f>
        <v/>
      </c>
      <c r="BB1160" s="14">
        <f>F1160*in_sip_ticket*(BA1160+0.5*AZ1160)*in_sip_comm/12</f>
        <v/>
      </c>
      <c r="BC1160" s="40">
        <f>BC1159*(1-IF(B1159&gt;=in_marketplace_from,d_hz_choti*G1159,0))</f>
        <v/>
      </c>
      <c r="BD1160" s="46">
        <f>BC1160*IF(B1160&gt;=in_marketplace_from,d_hz_choti*G1160,0)</f>
        <v/>
      </c>
      <c r="BE1160" s="14">
        <f>F1160*SUMIFS(BD1129:BD1165,B1129:B1165,B1160-in_choti_months)*in_choti_renew*in_choti_ticket</f>
        <v/>
      </c>
      <c r="BF1160" s="40">
        <f>BF1159*(1-IF(B1159&gt;=in_marketplace_from,d_hz_nps*G1159,0))</f>
        <v/>
      </c>
      <c r="BG1160" s="14">
        <f>F1160*BF1160*IF(B1160&gt;=in_marketplace_from,d_hz_nps*G1160,0)*in_nps_ticket*in_nps_comm</f>
        <v/>
      </c>
      <c r="BH1160" s="40">
        <f>BH1159*(1-IF(B1159&gt;=in_marketplace_from,d_hz_gold*G1159,0))</f>
        <v/>
      </c>
      <c r="BI1160" s="40">
        <f>BI1159*d_rho_gold+BH1160*IF(B1160&gt;=in_marketplace_from,d_hz_gold*G1160,0)</f>
        <v/>
      </c>
      <c r="BJ1160" s="14">
        <f>F1160*BI1160*in_gold_ticket*in_gold_comm</f>
        <v/>
      </c>
      <c r="BK1160" s="40">
        <f>BK1159*(1-IF(B1159&gt;=in_marketplace_from,d_hz_fd*G1159,0))</f>
        <v/>
      </c>
      <c r="BL1160" s="14">
        <f>F1160*BK1160*IF(B1160&gt;=in_marketplace_from,d_hz_fd*G1160,0)*in_fd_ticket*in_fd_comm</f>
        <v/>
      </c>
      <c r="BM1160" s="40">
        <f>BM1159*(1-IF(B1159&gt;=in_marketplace_from,d_hz_recharge*G1159,0))</f>
        <v/>
      </c>
      <c r="BN1160" s="40">
        <f>BN1159*d_rho_recharge+BM1160*IF(B1160&gt;=in_marketplace_from,d_hz_recharge*G1160,0)</f>
        <v/>
      </c>
      <c r="BO1160" s="14">
        <f>F1160*BN1160*in_recharge_ticket*in_recharge_comm/12</f>
        <v/>
      </c>
      <c r="BP1160" s="40">
        <f>BP1159*(1-IF(B1159&gt;=in_marketplace_from,d_hz_bills*G1159,0))</f>
        <v/>
      </c>
      <c r="BQ1160" s="40">
        <f>BQ1159*d_rho_bills+BP1160*IF(B1160&gt;=in_marketplace_from,d_hz_bills*G1160,0)</f>
        <v/>
      </c>
      <c r="BR1160" s="14">
        <f>F1160*BQ1160*in_bills_ticket*in_bills_comm/12</f>
        <v/>
      </c>
      <c r="BS1160" s="40">
        <f>BS1159*(1-IF(B1159&gt;=in_marketplace_from,d_hz_loan_gold*G1159,0))</f>
        <v/>
      </c>
      <c r="BT1160" s="14">
        <f>F1160*BS1160*IF(B1160&gt;=in_marketplace_from,d_hz_loan_gold*G1160,0)*in_loan_gold_ticket*in_loan_gold_comm</f>
        <v/>
      </c>
      <c r="BU1160" s="40">
        <f>BU1159*(1-IF(B1159&gt;=in_marketplace_from,d_hz_loan_cd*G1159,0))</f>
        <v/>
      </c>
      <c r="BV1160" s="14">
        <f>F1160*BU1160*IF(B1160&gt;=in_marketplace_from,d_hz_loan_cd*G1160,0)*in_loan_cd_ticket*in_loan_cd_comm</f>
        <v/>
      </c>
      <c r="BW1160" s="40">
        <f>BW1159*(1-IF(B1159&gt;=in_marketplace_from,d_hz_loan_vehicle*G1159,0))</f>
        <v/>
      </c>
      <c r="BX1160" s="14">
        <f>F1160*BW1160*IF(B1160&gt;=in_marketplace_from,d_hz_loan_vehicle*G1160,0)*in_loan_vehicle_ticket*in_loan_vehicle_comm</f>
        <v/>
      </c>
      <c r="BY1160" s="40">
        <f>BY1159*(1-IF(B1159&gt;=in_marketplace_from,d_hz_loan_home*G1159,0)*BZ1159)</f>
        <v/>
      </c>
      <c r="BZ1160" s="11">
        <f>MIN(in_approval_cap,in_loan_home_approval*INDEX('Age profile'!$O$2:$O$61,B1160)*(1+in_approval_growth)^(D1160-1))</f>
        <v/>
      </c>
      <c r="CA1160" s="14">
        <f>F1160*BY1160*IF(B1160&gt;=in_marketplace_from,d_hz_loan_home*G1160,0)*BZ1160*in_loan_home_ticket*in_loan_home_comm</f>
        <v/>
      </c>
      <c r="CB1160" s="40">
        <f>CB1159*(1-IF(B1159&gt;=in_marketplace_from,d_hz_loan_lap*G1159,0)*CC1159)</f>
        <v/>
      </c>
      <c r="CC1160" s="11">
        <f>MIN(in_approval_cap,in_loan_lap_approval*INDEX('Age profile'!$O$2:$O$61,B1160)*(1+in_approval_growth)^(D1160-1))</f>
        <v/>
      </c>
      <c r="CD1160" s="14">
        <f>F1160*CB1160*IF(B1160&gt;=in_marketplace_from,d_hz_loan_lap*G1160,0)*CC1160*in_loan_lap_ticket*in_loan_lap_comm</f>
        <v/>
      </c>
      <c r="CE1160" s="14">
        <f>AA1160+AB1160+AC1160+AD1160+AG1160+AJ1160+AM1160+AP1160+AS1160+AU1160+AX1160+BB1160+BE1160+BG1160+BJ1160+BL1160+BO1160+BR1160+BT1160+BV1160+BX1160+CA1160+CD1160</f>
        <v/>
      </c>
    </row>
    <row r="1161">
      <c r="A1161" s="39" t="n">
        <v>24</v>
      </c>
      <c r="B1161" s="39" t="n">
        <v>33</v>
      </c>
      <c r="C1161" s="39">
        <f>A1161+B1161-1</f>
        <v/>
      </c>
      <c r="D1161" s="39">
        <f>INT((C1161-1)/12)+1</f>
        <v/>
      </c>
      <c r="E1161" s="44">
        <f>INDEX(Monthly!$B$2:$B$61,A1161)</f>
        <v/>
      </c>
      <c r="F1161" s="44">
        <f>E1161*INDEX('Age profile'!$B$2:$B$61,B1161)</f>
        <v/>
      </c>
      <c r="G1161" s="45">
        <f>MIN(in_takeup_cap,INDEX('Age profile'!$N$2:$N$61,B1161)*(1+in_takeup_growth)^(D1161-1))</f>
        <v/>
      </c>
      <c r="H1161" s="11">
        <f>MIN(in_approval_cap,in_approved_first*INDEX('Age profile'!$O$2:$O$61,B1161)*(1+in_approval_growth)^(D1161-1))</f>
        <v/>
      </c>
      <c r="I1161" s="45">
        <f>G1161*MIN(in_takeup_cap,INDEX('Age profile'!$O$2:$O$61,B1161)*(1+in_approval_growth)^(D1161-1))</f>
        <v/>
      </c>
      <c r="J1161" s="40">
        <f>(J1160-L1160)*F1161/F1160</f>
        <v/>
      </c>
      <c r="K1161" s="40">
        <f>(K1160-M1160)*F1161/F1160+SUMIFS(O1129:O1160,B1129:B1160,B1161-1-d_T)*F1161</f>
        <v/>
      </c>
      <c r="L1161" s="40">
        <f>IF(B1161&gt;=in_marketplace_from,J1161*d_hz*G1161*in_eligible*H1161,0)</f>
        <v/>
      </c>
      <c r="M1161" s="40">
        <f>IF(B1161&gt;=in_marketplace_from,K1161*d_hz*G1161*in_eligible*in_approved_repeat,0)</f>
        <v/>
      </c>
      <c r="N1161" s="40">
        <f>L1161+M1161</f>
        <v/>
      </c>
      <c r="O1161" s="46">
        <f>N1161/F1161</f>
        <v/>
      </c>
      <c r="P1161" s="40">
        <f>F1161-J1161-K1161</f>
        <v/>
      </c>
      <c r="Q1161" s="40">
        <f>IF(B1161&gt;=in_marketplace_from,(J1161+K1161)*d_hz*G1161,0)</f>
        <v/>
      </c>
      <c r="R1161" s="40">
        <f>SUMIFS(N1129:N1165,B1129:B1165,"&gt;="&amp;(B1161-d_T),B1129:B1165,"&lt;="&amp;(B1161-1))</f>
        <v/>
      </c>
      <c r="S1161" s="46">
        <f>(1-d_u)*S1160+IF(d_T&gt;in_topup_lag,SUMIFS(O1129:O1165,B1129:B1165,B1161-in_topup_lag)-d_udrop*SUMIFS(O1129:O1165,B1129:B1165,B1161-d_T),0)</f>
        <v/>
      </c>
      <c r="T1161" s="40">
        <f>F1161*d_u*S1161</f>
        <v/>
      </c>
      <c r="U1161" s="9">
        <f>L1161*in_ticket+M1161*d_rep_ticket</f>
        <v/>
      </c>
      <c r="V1161" s="9">
        <f>U1161+T1161*d_topup_amt</f>
        <v/>
      </c>
      <c r="W1161" s="40">
        <f>N1161+T1161*d_topup_ratio</f>
        <v/>
      </c>
      <c r="X1161" s="40">
        <f>SUMIFS(W1129:W1165,B1129:B1165,B1161-in_dpd_lag)*d_cured</f>
        <v/>
      </c>
      <c r="Y1161" s="40">
        <f>SUMIFS(W1129:W1165,B1129:B1165,B1161-in_rec_lag)*d_recd</f>
        <v/>
      </c>
      <c r="Z1161" s="40">
        <f>IF(AND(B1161&gt;=in_marketplace_from,B1161&lt;in_marketplace_from+in_card_months),in_card_share/in_card_months*F1161*I1161,IF(AND(B1161&gt;=in_marketplace_from+in_card_months,B1161&lt;in_marketplace_from+2*in_card_months),in_card_share*d_card_rem/in_card_months*F1161*MIN(in_takeup_cap,(1+in_takeup_growth)^(D1161-1))*MIN(in_takeup_cap,(1+in_approval_growth)^(D1161-1)),0))</f>
        <v/>
      </c>
      <c r="AA1161" s="14">
        <f>V1161*in_fee*(1-in_taken_back)</f>
        <v/>
      </c>
      <c r="AB1161" s="14">
        <f>SUMIFS(W1129:W1165,B1129:B1165,B1161-in_dpd_lag)*d_dpd</f>
        <v/>
      </c>
      <c r="AC1161" s="14">
        <f>SUMIFS(W1129:W1165,B1129:B1165,B1161-in_rec_lag)*d_rec</f>
        <v/>
      </c>
      <c r="AD1161" s="14">
        <f>Z1161*in_card_fee</f>
        <v/>
      </c>
      <c r="AE1161" s="40">
        <f>AE1160*(1-IF(B1160&gt;=in_marketplace_from,d_hz_hlth_small*G1160,0))</f>
        <v/>
      </c>
      <c r="AF1161" s="46">
        <f>AE1161*IF(B1161&gt;=in_marketplace_from,d_hz_hlth_small*G1161,0)</f>
        <v/>
      </c>
      <c r="AG1161" s="14">
        <f>F1161*AF1161*in_hlth_small_ticket*in_hlth_small_comm*in_ins_partner_share+F1161*in_hlth_small_ticket*in_hlth_small_renew_comm*in_ins_partner_share*(in_hlth_small_renew^1*SUMIFS(AF1129:AF1165,B1129:B1165,B1161-12)+in_hlth_small_renew^2*SUMIFS(AF1129:AF1165,B1129:B1165,B1161-24)+in_hlth_small_renew^3*SUMIFS(AF1129:AF1165,B1129:B1165,B1161-36)+in_hlth_small_renew^4*SUMIFS(AF1129:AF1165,B1129:B1165,B1161-48))</f>
        <v/>
      </c>
      <c r="AH1161" s="40">
        <f>AH1160*(1-IF(B1160&gt;=in_marketplace_from,d_hz_hlth_family*G1160,0))</f>
        <v/>
      </c>
      <c r="AI1161" s="46">
        <f>AH1161*IF(B1161&gt;=in_marketplace_from,d_hz_hlth_family*G1161,0)</f>
        <v/>
      </c>
      <c r="AJ1161" s="14">
        <f>F1161*AI1161*in_hlth_family_ticket*in_hlth_family_comm*in_ins_partner_share+F1161*in_hlth_family_ticket*in_hlth_family_renew_comm*in_ins_partner_share*(in_hlth_family_renew^1*SUMIFS(AI1129:AI1165,B1129:B1165,B1161-12)+in_hlth_family_renew^2*SUMIFS(AI1129:AI1165,B1129:B1165,B1161-24)+in_hlth_family_renew^3*SUMIFS(AI1129:AI1165,B1129:B1165,B1161-36)+in_hlth_family_renew^4*SUMIFS(AI1129:AI1165,B1129:B1165,B1161-48))</f>
        <v/>
      </c>
      <c r="AK1161" s="40">
        <f>AK1160*(1-IF(B1160&gt;=in_marketplace_from,d_hz_life_term*G1160,0))</f>
        <v/>
      </c>
      <c r="AL1161" s="46">
        <f>AK1161*IF(B1161&gt;=in_marketplace_from,d_hz_life_term*G1161,0)</f>
        <v/>
      </c>
      <c r="AM1161" s="14">
        <f>F1161*AL1161*in_life_term_ticket*in_life_term_comm*in_ins_partner_share+F1161*in_life_term_ticket*in_life_term_renew_comm*in_ins_partner_share*(in_life_term_renew^1*SUMIFS(AL1129:AL1165,B1129:B1165,B1161-12)+in_life_term_renew^2*SUMIFS(AL1129:AL1165,B1129:B1165,B1161-24)+in_life_term_renew^3*SUMIFS(AL1129:AL1165,B1129:B1165,B1161-36)+in_life_term_renew^4*SUMIFS(AL1129:AL1165,B1129:B1165,B1161-48))</f>
        <v/>
      </c>
      <c r="AN1161" s="40">
        <f>AN1160*(1-IF(B1160&gt;=in_marketplace_from,d_hz_accident*G1160,0))</f>
        <v/>
      </c>
      <c r="AO1161" s="46">
        <f>AN1161*IF(B1161&gt;=in_marketplace_from,d_hz_accident*G1161,0)</f>
        <v/>
      </c>
      <c r="AP1161" s="14">
        <f>F1161*AO1161*in_accident_ticket*in_accident_comm*in_ins_partner_share+F1161*in_accident_ticket*in_accident_renew_comm*in_ins_partner_share*(in_accident_renew^1*SUMIFS(AO1129:AO1165,B1129:B1165,B1161-12)+in_accident_renew^2*SUMIFS(AO1129:AO1165,B1129:B1165,B1161-24)+in_accident_renew^3*SUMIFS(AO1129:AO1165,B1129:B1165,B1161-36)+in_accident_renew^4*SUMIFS(AO1129:AO1165,B1129:B1165,B1161-48))</f>
        <v/>
      </c>
      <c r="AQ1161" s="40">
        <f>AQ1160*(1-IF(B1160&gt;=in_marketplace_from,d_hz_two_wheeler*G1160,0))</f>
        <v/>
      </c>
      <c r="AR1161" s="46">
        <f>AQ1161*IF(B1161&gt;=in_marketplace_from,d_hz_two_wheeler*G1161,0)</f>
        <v/>
      </c>
      <c r="AS1161" s="14">
        <f>F1161*AR1161*in_two_wheeler_ticket*in_two_wheeler_comm*in_ins_partner_share+F1161*in_two_wheeler_ticket*in_two_wheeler_comm*in_ins_partner_share*(in_two_wheeler_renew^1*SUMIFS(AR1129:AR1165,B1129:B1165,B1161-12)+in_two_wheeler_renew^2*SUMIFS(AR1129:AR1165,B1129:B1165,B1161-24)+in_two_wheeler_renew^3*SUMIFS(AR1129:AR1165,B1129:B1165,B1161-36)+in_two_wheeler_renew^4*SUMIFS(AR1129:AR1165,B1129:B1165,B1161-48))</f>
        <v/>
      </c>
      <c r="AT1161" s="40">
        <f>AT1160*(1-IF(B1160&gt;=in_marketplace_from,d_hz_device*G1160,0))</f>
        <v/>
      </c>
      <c r="AU1161" s="14">
        <f>F1161*AT1161*IF(B1161&gt;=in_marketplace_from,d_hz_device*G1161,0)*in_device_ticket*in_device_comm*in_ins_partner_share</f>
        <v/>
      </c>
      <c r="AV1161" s="40">
        <f>AV1160*(1-IF(B1160&gt;=in_marketplace_from,d_hz_shop*G1160,0))</f>
        <v/>
      </c>
      <c r="AW1161" s="46">
        <f>AV1161*IF(B1161&gt;=in_marketplace_from,d_hz_shop*G1161,0)</f>
        <v/>
      </c>
      <c r="AX1161" s="14">
        <f>F1161*AW1161*in_shop_ticket*in_shop_comm*in_ins_partner_share+F1161*in_shop_ticket*in_shop_renew_comm*in_ins_partner_share*(in_shop_renew^1*SUMIFS(AW1129:AW1165,B1129:B1165,B1161-12)+in_shop_renew^2*SUMIFS(AW1129:AW1165,B1129:B1165,B1161-24)+in_shop_renew^3*SUMIFS(AW1129:AW1165,B1129:B1165,B1161-36)+in_shop_renew^4*SUMIFS(AW1129:AW1165,B1129:B1165,B1161-48))</f>
        <v/>
      </c>
      <c r="AY1161" s="40">
        <f>AY1160*(1-IF(B1160&gt;=in_marketplace_from,d_hz_sip*G1160,0))</f>
        <v/>
      </c>
      <c r="AZ1161" s="40">
        <f>AZ1160*d_rho_sip+AY1161*IF(B1161&gt;=in_marketplace_from,d_hz_sip*G1161,0)</f>
        <v/>
      </c>
      <c r="BA1161" s="40">
        <f>d_rho_sip*(BA1160+AZ1160)</f>
        <v/>
      </c>
      <c r="BB1161" s="14">
        <f>F1161*in_sip_ticket*(BA1161+0.5*AZ1161)*in_sip_comm/12</f>
        <v/>
      </c>
      <c r="BC1161" s="40">
        <f>BC1160*(1-IF(B1160&gt;=in_marketplace_from,d_hz_choti*G1160,0))</f>
        <v/>
      </c>
      <c r="BD1161" s="46">
        <f>BC1161*IF(B1161&gt;=in_marketplace_from,d_hz_choti*G1161,0)</f>
        <v/>
      </c>
      <c r="BE1161" s="14">
        <f>F1161*SUMIFS(BD1129:BD1165,B1129:B1165,B1161-in_choti_months)*in_choti_renew*in_choti_ticket</f>
        <v/>
      </c>
      <c r="BF1161" s="40">
        <f>BF1160*(1-IF(B1160&gt;=in_marketplace_from,d_hz_nps*G1160,0))</f>
        <v/>
      </c>
      <c r="BG1161" s="14">
        <f>F1161*BF1161*IF(B1161&gt;=in_marketplace_from,d_hz_nps*G1161,0)*in_nps_ticket*in_nps_comm</f>
        <v/>
      </c>
      <c r="BH1161" s="40">
        <f>BH1160*(1-IF(B1160&gt;=in_marketplace_from,d_hz_gold*G1160,0))</f>
        <v/>
      </c>
      <c r="BI1161" s="40">
        <f>BI1160*d_rho_gold+BH1161*IF(B1161&gt;=in_marketplace_from,d_hz_gold*G1161,0)</f>
        <v/>
      </c>
      <c r="BJ1161" s="14">
        <f>F1161*BI1161*in_gold_ticket*in_gold_comm</f>
        <v/>
      </c>
      <c r="BK1161" s="40">
        <f>BK1160*(1-IF(B1160&gt;=in_marketplace_from,d_hz_fd*G1160,0))</f>
        <v/>
      </c>
      <c r="BL1161" s="14">
        <f>F1161*BK1161*IF(B1161&gt;=in_marketplace_from,d_hz_fd*G1161,0)*in_fd_ticket*in_fd_comm</f>
        <v/>
      </c>
      <c r="BM1161" s="40">
        <f>BM1160*(1-IF(B1160&gt;=in_marketplace_from,d_hz_recharge*G1160,0))</f>
        <v/>
      </c>
      <c r="BN1161" s="40">
        <f>BN1160*d_rho_recharge+BM1161*IF(B1161&gt;=in_marketplace_from,d_hz_recharge*G1161,0)</f>
        <v/>
      </c>
      <c r="BO1161" s="14">
        <f>F1161*BN1161*in_recharge_ticket*in_recharge_comm/12</f>
        <v/>
      </c>
      <c r="BP1161" s="40">
        <f>BP1160*(1-IF(B1160&gt;=in_marketplace_from,d_hz_bills*G1160,0))</f>
        <v/>
      </c>
      <c r="BQ1161" s="40">
        <f>BQ1160*d_rho_bills+BP1161*IF(B1161&gt;=in_marketplace_from,d_hz_bills*G1161,0)</f>
        <v/>
      </c>
      <c r="BR1161" s="14">
        <f>F1161*BQ1161*in_bills_ticket*in_bills_comm/12</f>
        <v/>
      </c>
      <c r="BS1161" s="40">
        <f>BS1160*(1-IF(B1160&gt;=in_marketplace_from,d_hz_loan_gold*G1160,0))</f>
        <v/>
      </c>
      <c r="BT1161" s="14">
        <f>F1161*BS1161*IF(B1161&gt;=in_marketplace_from,d_hz_loan_gold*G1161,0)*in_loan_gold_ticket*in_loan_gold_comm</f>
        <v/>
      </c>
      <c r="BU1161" s="40">
        <f>BU1160*(1-IF(B1160&gt;=in_marketplace_from,d_hz_loan_cd*G1160,0))</f>
        <v/>
      </c>
      <c r="BV1161" s="14">
        <f>F1161*BU1161*IF(B1161&gt;=in_marketplace_from,d_hz_loan_cd*G1161,0)*in_loan_cd_ticket*in_loan_cd_comm</f>
        <v/>
      </c>
      <c r="BW1161" s="40">
        <f>BW1160*(1-IF(B1160&gt;=in_marketplace_from,d_hz_loan_vehicle*G1160,0))</f>
        <v/>
      </c>
      <c r="BX1161" s="14">
        <f>F1161*BW1161*IF(B1161&gt;=in_marketplace_from,d_hz_loan_vehicle*G1161,0)*in_loan_vehicle_ticket*in_loan_vehicle_comm</f>
        <v/>
      </c>
      <c r="BY1161" s="40">
        <f>BY1160*(1-IF(B1160&gt;=in_marketplace_from,d_hz_loan_home*G1160,0)*BZ1160)</f>
        <v/>
      </c>
      <c r="BZ1161" s="11">
        <f>MIN(in_approval_cap,in_loan_home_approval*INDEX('Age profile'!$O$2:$O$61,B1161)*(1+in_approval_growth)^(D1161-1))</f>
        <v/>
      </c>
      <c r="CA1161" s="14">
        <f>F1161*BY1161*IF(B1161&gt;=in_marketplace_from,d_hz_loan_home*G1161,0)*BZ1161*in_loan_home_ticket*in_loan_home_comm</f>
        <v/>
      </c>
      <c r="CB1161" s="40">
        <f>CB1160*(1-IF(B1160&gt;=in_marketplace_from,d_hz_loan_lap*G1160,0)*CC1160)</f>
        <v/>
      </c>
      <c r="CC1161" s="11">
        <f>MIN(in_approval_cap,in_loan_lap_approval*INDEX('Age profile'!$O$2:$O$61,B1161)*(1+in_approval_growth)^(D1161-1))</f>
        <v/>
      </c>
      <c r="CD1161" s="14">
        <f>F1161*CB1161*IF(B1161&gt;=in_marketplace_from,d_hz_loan_lap*G1161,0)*CC1161*in_loan_lap_ticket*in_loan_lap_comm</f>
        <v/>
      </c>
      <c r="CE1161" s="14">
        <f>AA1161+AB1161+AC1161+AD1161+AG1161+AJ1161+AM1161+AP1161+AS1161+AU1161+AX1161+BB1161+BE1161+BG1161+BJ1161+BL1161+BO1161+BR1161+BT1161+BV1161+BX1161+CA1161+CD1161</f>
        <v/>
      </c>
    </row>
    <row r="1162">
      <c r="A1162" s="39" t="n">
        <v>24</v>
      </c>
      <c r="B1162" s="39" t="n">
        <v>34</v>
      </c>
      <c r="C1162" s="39">
        <f>A1162+B1162-1</f>
        <v/>
      </c>
      <c r="D1162" s="39">
        <f>INT((C1162-1)/12)+1</f>
        <v/>
      </c>
      <c r="E1162" s="44">
        <f>INDEX(Monthly!$B$2:$B$61,A1162)</f>
        <v/>
      </c>
      <c r="F1162" s="44">
        <f>E1162*INDEX('Age profile'!$B$2:$B$61,B1162)</f>
        <v/>
      </c>
      <c r="G1162" s="45">
        <f>MIN(in_takeup_cap,INDEX('Age profile'!$N$2:$N$61,B1162)*(1+in_takeup_growth)^(D1162-1))</f>
        <v/>
      </c>
      <c r="H1162" s="11">
        <f>MIN(in_approval_cap,in_approved_first*INDEX('Age profile'!$O$2:$O$61,B1162)*(1+in_approval_growth)^(D1162-1))</f>
        <v/>
      </c>
      <c r="I1162" s="45">
        <f>G1162*MIN(in_takeup_cap,INDEX('Age profile'!$O$2:$O$61,B1162)*(1+in_approval_growth)^(D1162-1))</f>
        <v/>
      </c>
      <c r="J1162" s="40">
        <f>(J1161-L1161)*F1162/F1161</f>
        <v/>
      </c>
      <c r="K1162" s="40">
        <f>(K1161-M1161)*F1162/F1161+SUMIFS(O1129:O1161,B1129:B1161,B1162-1-d_T)*F1162</f>
        <v/>
      </c>
      <c r="L1162" s="40">
        <f>IF(B1162&gt;=in_marketplace_from,J1162*d_hz*G1162*in_eligible*H1162,0)</f>
        <v/>
      </c>
      <c r="M1162" s="40">
        <f>IF(B1162&gt;=in_marketplace_from,K1162*d_hz*G1162*in_eligible*in_approved_repeat,0)</f>
        <v/>
      </c>
      <c r="N1162" s="40">
        <f>L1162+M1162</f>
        <v/>
      </c>
      <c r="O1162" s="46">
        <f>N1162/F1162</f>
        <v/>
      </c>
      <c r="P1162" s="40">
        <f>F1162-J1162-K1162</f>
        <v/>
      </c>
      <c r="Q1162" s="40">
        <f>IF(B1162&gt;=in_marketplace_from,(J1162+K1162)*d_hz*G1162,0)</f>
        <v/>
      </c>
      <c r="R1162" s="40">
        <f>SUMIFS(N1129:N1165,B1129:B1165,"&gt;="&amp;(B1162-d_T),B1129:B1165,"&lt;="&amp;(B1162-1))</f>
        <v/>
      </c>
      <c r="S1162" s="46">
        <f>(1-d_u)*S1161+IF(d_T&gt;in_topup_lag,SUMIFS(O1129:O1165,B1129:B1165,B1162-in_topup_lag)-d_udrop*SUMIFS(O1129:O1165,B1129:B1165,B1162-d_T),0)</f>
        <v/>
      </c>
      <c r="T1162" s="40">
        <f>F1162*d_u*S1162</f>
        <v/>
      </c>
      <c r="U1162" s="9">
        <f>L1162*in_ticket+M1162*d_rep_ticket</f>
        <v/>
      </c>
      <c r="V1162" s="9">
        <f>U1162+T1162*d_topup_amt</f>
        <v/>
      </c>
      <c r="W1162" s="40">
        <f>N1162+T1162*d_topup_ratio</f>
        <v/>
      </c>
      <c r="X1162" s="40">
        <f>SUMIFS(W1129:W1165,B1129:B1165,B1162-in_dpd_lag)*d_cured</f>
        <v/>
      </c>
      <c r="Y1162" s="40">
        <f>SUMIFS(W1129:W1165,B1129:B1165,B1162-in_rec_lag)*d_recd</f>
        <v/>
      </c>
      <c r="Z1162" s="40">
        <f>IF(AND(B1162&gt;=in_marketplace_from,B1162&lt;in_marketplace_from+in_card_months),in_card_share/in_card_months*F1162*I1162,IF(AND(B1162&gt;=in_marketplace_from+in_card_months,B1162&lt;in_marketplace_from+2*in_card_months),in_card_share*d_card_rem/in_card_months*F1162*MIN(in_takeup_cap,(1+in_takeup_growth)^(D1162-1))*MIN(in_takeup_cap,(1+in_approval_growth)^(D1162-1)),0))</f>
        <v/>
      </c>
      <c r="AA1162" s="14">
        <f>V1162*in_fee*(1-in_taken_back)</f>
        <v/>
      </c>
      <c r="AB1162" s="14">
        <f>SUMIFS(W1129:W1165,B1129:B1165,B1162-in_dpd_lag)*d_dpd</f>
        <v/>
      </c>
      <c r="AC1162" s="14">
        <f>SUMIFS(W1129:W1165,B1129:B1165,B1162-in_rec_lag)*d_rec</f>
        <v/>
      </c>
      <c r="AD1162" s="14">
        <f>Z1162*in_card_fee</f>
        <v/>
      </c>
      <c r="AE1162" s="40">
        <f>AE1161*(1-IF(B1161&gt;=in_marketplace_from,d_hz_hlth_small*G1161,0))</f>
        <v/>
      </c>
      <c r="AF1162" s="46">
        <f>AE1162*IF(B1162&gt;=in_marketplace_from,d_hz_hlth_small*G1162,0)</f>
        <v/>
      </c>
      <c r="AG1162" s="14">
        <f>F1162*AF1162*in_hlth_small_ticket*in_hlth_small_comm*in_ins_partner_share+F1162*in_hlth_small_ticket*in_hlth_small_renew_comm*in_ins_partner_share*(in_hlth_small_renew^1*SUMIFS(AF1129:AF1165,B1129:B1165,B1162-12)+in_hlth_small_renew^2*SUMIFS(AF1129:AF1165,B1129:B1165,B1162-24)+in_hlth_small_renew^3*SUMIFS(AF1129:AF1165,B1129:B1165,B1162-36)+in_hlth_small_renew^4*SUMIFS(AF1129:AF1165,B1129:B1165,B1162-48))</f>
        <v/>
      </c>
      <c r="AH1162" s="40">
        <f>AH1161*(1-IF(B1161&gt;=in_marketplace_from,d_hz_hlth_family*G1161,0))</f>
        <v/>
      </c>
      <c r="AI1162" s="46">
        <f>AH1162*IF(B1162&gt;=in_marketplace_from,d_hz_hlth_family*G1162,0)</f>
        <v/>
      </c>
      <c r="AJ1162" s="14">
        <f>F1162*AI1162*in_hlth_family_ticket*in_hlth_family_comm*in_ins_partner_share+F1162*in_hlth_family_ticket*in_hlth_family_renew_comm*in_ins_partner_share*(in_hlth_family_renew^1*SUMIFS(AI1129:AI1165,B1129:B1165,B1162-12)+in_hlth_family_renew^2*SUMIFS(AI1129:AI1165,B1129:B1165,B1162-24)+in_hlth_family_renew^3*SUMIFS(AI1129:AI1165,B1129:B1165,B1162-36)+in_hlth_family_renew^4*SUMIFS(AI1129:AI1165,B1129:B1165,B1162-48))</f>
        <v/>
      </c>
      <c r="AK1162" s="40">
        <f>AK1161*(1-IF(B1161&gt;=in_marketplace_from,d_hz_life_term*G1161,0))</f>
        <v/>
      </c>
      <c r="AL1162" s="46">
        <f>AK1162*IF(B1162&gt;=in_marketplace_from,d_hz_life_term*G1162,0)</f>
        <v/>
      </c>
      <c r="AM1162" s="14">
        <f>F1162*AL1162*in_life_term_ticket*in_life_term_comm*in_ins_partner_share+F1162*in_life_term_ticket*in_life_term_renew_comm*in_ins_partner_share*(in_life_term_renew^1*SUMIFS(AL1129:AL1165,B1129:B1165,B1162-12)+in_life_term_renew^2*SUMIFS(AL1129:AL1165,B1129:B1165,B1162-24)+in_life_term_renew^3*SUMIFS(AL1129:AL1165,B1129:B1165,B1162-36)+in_life_term_renew^4*SUMIFS(AL1129:AL1165,B1129:B1165,B1162-48))</f>
        <v/>
      </c>
      <c r="AN1162" s="40">
        <f>AN1161*(1-IF(B1161&gt;=in_marketplace_from,d_hz_accident*G1161,0))</f>
        <v/>
      </c>
      <c r="AO1162" s="46">
        <f>AN1162*IF(B1162&gt;=in_marketplace_from,d_hz_accident*G1162,0)</f>
        <v/>
      </c>
      <c r="AP1162" s="14">
        <f>F1162*AO1162*in_accident_ticket*in_accident_comm*in_ins_partner_share+F1162*in_accident_ticket*in_accident_renew_comm*in_ins_partner_share*(in_accident_renew^1*SUMIFS(AO1129:AO1165,B1129:B1165,B1162-12)+in_accident_renew^2*SUMIFS(AO1129:AO1165,B1129:B1165,B1162-24)+in_accident_renew^3*SUMIFS(AO1129:AO1165,B1129:B1165,B1162-36)+in_accident_renew^4*SUMIFS(AO1129:AO1165,B1129:B1165,B1162-48))</f>
        <v/>
      </c>
      <c r="AQ1162" s="40">
        <f>AQ1161*(1-IF(B1161&gt;=in_marketplace_from,d_hz_two_wheeler*G1161,0))</f>
        <v/>
      </c>
      <c r="AR1162" s="46">
        <f>AQ1162*IF(B1162&gt;=in_marketplace_from,d_hz_two_wheeler*G1162,0)</f>
        <v/>
      </c>
      <c r="AS1162" s="14">
        <f>F1162*AR1162*in_two_wheeler_ticket*in_two_wheeler_comm*in_ins_partner_share+F1162*in_two_wheeler_ticket*in_two_wheeler_comm*in_ins_partner_share*(in_two_wheeler_renew^1*SUMIFS(AR1129:AR1165,B1129:B1165,B1162-12)+in_two_wheeler_renew^2*SUMIFS(AR1129:AR1165,B1129:B1165,B1162-24)+in_two_wheeler_renew^3*SUMIFS(AR1129:AR1165,B1129:B1165,B1162-36)+in_two_wheeler_renew^4*SUMIFS(AR1129:AR1165,B1129:B1165,B1162-48))</f>
        <v/>
      </c>
      <c r="AT1162" s="40">
        <f>AT1161*(1-IF(B1161&gt;=in_marketplace_from,d_hz_device*G1161,0))</f>
        <v/>
      </c>
      <c r="AU1162" s="14">
        <f>F1162*AT1162*IF(B1162&gt;=in_marketplace_from,d_hz_device*G1162,0)*in_device_ticket*in_device_comm*in_ins_partner_share</f>
        <v/>
      </c>
      <c r="AV1162" s="40">
        <f>AV1161*(1-IF(B1161&gt;=in_marketplace_from,d_hz_shop*G1161,0))</f>
        <v/>
      </c>
      <c r="AW1162" s="46">
        <f>AV1162*IF(B1162&gt;=in_marketplace_from,d_hz_shop*G1162,0)</f>
        <v/>
      </c>
      <c r="AX1162" s="14">
        <f>F1162*AW1162*in_shop_ticket*in_shop_comm*in_ins_partner_share+F1162*in_shop_ticket*in_shop_renew_comm*in_ins_partner_share*(in_shop_renew^1*SUMIFS(AW1129:AW1165,B1129:B1165,B1162-12)+in_shop_renew^2*SUMIFS(AW1129:AW1165,B1129:B1165,B1162-24)+in_shop_renew^3*SUMIFS(AW1129:AW1165,B1129:B1165,B1162-36)+in_shop_renew^4*SUMIFS(AW1129:AW1165,B1129:B1165,B1162-48))</f>
        <v/>
      </c>
      <c r="AY1162" s="40">
        <f>AY1161*(1-IF(B1161&gt;=in_marketplace_from,d_hz_sip*G1161,0))</f>
        <v/>
      </c>
      <c r="AZ1162" s="40">
        <f>AZ1161*d_rho_sip+AY1162*IF(B1162&gt;=in_marketplace_from,d_hz_sip*G1162,0)</f>
        <v/>
      </c>
      <c r="BA1162" s="40">
        <f>d_rho_sip*(BA1161+AZ1161)</f>
        <v/>
      </c>
      <c r="BB1162" s="14">
        <f>F1162*in_sip_ticket*(BA1162+0.5*AZ1162)*in_sip_comm/12</f>
        <v/>
      </c>
      <c r="BC1162" s="40">
        <f>BC1161*(1-IF(B1161&gt;=in_marketplace_from,d_hz_choti*G1161,0))</f>
        <v/>
      </c>
      <c r="BD1162" s="46">
        <f>BC1162*IF(B1162&gt;=in_marketplace_from,d_hz_choti*G1162,0)</f>
        <v/>
      </c>
      <c r="BE1162" s="14">
        <f>F1162*SUMIFS(BD1129:BD1165,B1129:B1165,B1162-in_choti_months)*in_choti_renew*in_choti_ticket</f>
        <v/>
      </c>
      <c r="BF1162" s="40">
        <f>BF1161*(1-IF(B1161&gt;=in_marketplace_from,d_hz_nps*G1161,0))</f>
        <v/>
      </c>
      <c r="BG1162" s="14">
        <f>F1162*BF1162*IF(B1162&gt;=in_marketplace_from,d_hz_nps*G1162,0)*in_nps_ticket*in_nps_comm</f>
        <v/>
      </c>
      <c r="BH1162" s="40">
        <f>BH1161*(1-IF(B1161&gt;=in_marketplace_from,d_hz_gold*G1161,0))</f>
        <v/>
      </c>
      <c r="BI1162" s="40">
        <f>BI1161*d_rho_gold+BH1162*IF(B1162&gt;=in_marketplace_from,d_hz_gold*G1162,0)</f>
        <v/>
      </c>
      <c r="BJ1162" s="14">
        <f>F1162*BI1162*in_gold_ticket*in_gold_comm</f>
        <v/>
      </c>
      <c r="BK1162" s="40">
        <f>BK1161*(1-IF(B1161&gt;=in_marketplace_from,d_hz_fd*G1161,0))</f>
        <v/>
      </c>
      <c r="BL1162" s="14">
        <f>F1162*BK1162*IF(B1162&gt;=in_marketplace_from,d_hz_fd*G1162,0)*in_fd_ticket*in_fd_comm</f>
        <v/>
      </c>
      <c r="BM1162" s="40">
        <f>BM1161*(1-IF(B1161&gt;=in_marketplace_from,d_hz_recharge*G1161,0))</f>
        <v/>
      </c>
      <c r="BN1162" s="40">
        <f>BN1161*d_rho_recharge+BM1162*IF(B1162&gt;=in_marketplace_from,d_hz_recharge*G1162,0)</f>
        <v/>
      </c>
      <c r="BO1162" s="14">
        <f>F1162*BN1162*in_recharge_ticket*in_recharge_comm/12</f>
        <v/>
      </c>
      <c r="BP1162" s="40">
        <f>BP1161*(1-IF(B1161&gt;=in_marketplace_from,d_hz_bills*G1161,0))</f>
        <v/>
      </c>
      <c r="BQ1162" s="40">
        <f>BQ1161*d_rho_bills+BP1162*IF(B1162&gt;=in_marketplace_from,d_hz_bills*G1162,0)</f>
        <v/>
      </c>
      <c r="BR1162" s="14">
        <f>F1162*BQ1162*in_bills_ticket*in_bills_comm/12</f>
        <v/>
      </c>
      <c r="BS1162" s="40">
        <f>BS1161*(1-IF(B1161&gt;=in_marketplace_from,d_hz_loan_gold*G1161,0))</f>
        <v/>
      </c>
      <c r="BT1162" s="14">
        <f>F1162*BS1162*IF(B1162&gt;=in_marketplace_from,d_hz_loan_gold*G1162,0)*in_loan_gold_ticket*in_loan_gold_comm</f>
        <v/>
      </c>
      <c r="BU1162" s="40">
        <f>BU1161*(1-IF(B1161&gt;=in_marketplace_from,d_hz_loan_cd*G1161,0))</f>
        <v/>
      </c>
      <c r="BV1162" s="14">
        <f>F1162*BU1162*IF(B1162&gt;=in_marketplace_from,d_hz_loan_cd*G1162,0)*in_loan_cd_ticket*in_loan_cd_comm</f>
        <v/>
      </c>
      <c r="BW1162" s="40">
        <f>BW1161*(1-IF(B1161&gt;=in_marketplace_from,d_hz_loan_vehicle*G1161,0))</f>
        <v/>
      </c>
      <c r="BX1162" s="14">
        <f>F1162*BW1162*IF(B1162&gt;=in_marketplace_from,d_hz_loan_vehicle*G1162,0)*in_loan_vehicle_ticket*in_loan_vehicle_comm</f>
        <v/>
      </c>
      <c r="BY1162" s="40">
        <f>BY1161*(1-IF(B1161&gt;=in_marketplace_from,d_hz_loan_home*G1161,0)*BZ1161)</f>
        <v/>
      </c>
      <c r="BZ1162" s="11">
        <f>MIN(in_approval_cap,in_loan_home_approval*INDEX('Age profile'!$O$2:$O$61,B1162)*(1+in_approval_growth)^(D1162-1))</f>
        <v/>
      </c>
      <c r="CA1162" s="14">
        <f>F1162*BY1162*IF(B1162&gt;=in_marketplace_from,d_hz_loan_home*G1162,0)*BZ1162*in_loan_home_ticket*in_loan_home_comm</f>
        <v/>
      </c>
      <c r="CB1162" s="40">
        <f>CB1161*(1-IF(B1161&gt;=in_marketplace_from,d_hz_loan_lap*G1161,0)*CC1161)</f>
        <v/>
      </c>
      <c r="CC1162" s="11">
        <f>MIN(in_approval_cap,in_loan_lap_approval*INDEX('Age profile'!$O$2:$O$61,B1162)*(1+in_approval_growth)^(D1162-1))</f>
        <v/>
      </c>
      <c r="CD1162" s="14">
        <f>F1162*CB1162*IF(B1162&gt;=in_marketplace_from,d_hz_loan_lap*G1162,0)*CC1162*in_loan_lap_ticket*in_loan_lap_comm</f>
        <v/>
      </c>
      <c r="CE1162" s="14">
        <f>AA1162+AB1162+AC1162+AD1162+AG1162+AJ1162+AM1162+AP1162+AS1162+AU1162+AX1162+BB1162+BE1162+BG1162+BJ1162+BL1162+BO1162+BR1162+BT1162+BV1162+BX1162+CA1162+CD1162</f>
        <v/>
      </c>
    </row>
    <row r="1163">
      <c r="A1163" s="39" t="n">
        <v>24</v>
      </c>
      <c r="B1163" s="39" t="n">
        <v>35</v>
      </c>
      <c r="C1163" s="39">
        <f>A1163+B1163-1</f>
        <v/>
      </c>
      <c r="D1163" s="39">
        <f>INT((C1163-1)/12)+1</f>
        <v/>
      </c>
      <c r="E1163" s="44">
        <f>INDEX(Monthly!$B$2:$B$61,A1163)</f>
        <v/>
      </c>
      <c r="F1163" s="44">
        <f>E1163*INDEX('Age profile'!$B$2:$B$61,B1163)</f>
        <v/>
      </c>
      <c r="G1163" s="45">
        <f>MIN(in_takeup_cap,INDEX('Age profile'!$N$2:$N$61,B1163)*(1+in_takeup_growth)^(D1163-1))</f>
        <v/>
      </c>
      <c r="H1163" s="11">
        <f>MIN(in_approval_cap,in_approved_first*INDEX('Age profile'!$O$2:$O$61,B1163)*(1+in_approval_growth)^(D1163-1))</f>
        <v/>
      </c>
      <c r="I1163" s="45">
        <f>G1163*MIN(in_takeup_cap,INDEX('Age profile'!$O$2:$O$61,B1163)*(1+in_approval_growth)^(D1163-1))</f>
        <v/>
      </c>
      <c r="J1163" s="40">
        <f>(J1162-L1162)*F1163/F1162</f>
        <v/>
      </c>
      <c r="K1163" s="40">
        <f>(K1162-M1162)*F1163/F1162+SUMIFS(O1129:O1162,B1129:B1162,B1163-1-d_T)*F1163</f>
        <v/>
      </c>
      <c r="L1163" s="40">
        <f>IF(B1163&gt;=in_marketplace_from,J1163*d_hz*G1163*in_eligible*H1163,0)</f>
        <v/>
      </c>
      <c r="M1163" s="40">
        <f>IF(B1163&gt;=in_marketplace_from,K1163*d_hz*G1163*in_eligible*in_approved_repeat,0)</f>
        <v/>
      </c>
      <c r="N1163" s="40">
        <f>L1163+M1163</f>
        <v/>
      </c>
      <c r="O1163" s="46">
        <f>N1163/F1163</f>
        <v/>
      </c>
      <c r="P1163" s="40">
        <f>F1163-J1163-K1163</f>
        <v/>
      </c>
      <c r="Q1163" s="40">
        <f>IF(B1163&gt;=in_marketplace_from,(J1163+K1163)*d_hz*G1163,0)</f>
        <v/>
      </c>
      <c r="R1163" s="40">
        <f>SUMIFS(N1129:N1165,B1129:B1165,"&gt;="&amp;(B1163-d_T),B1129:B1165,"&lt;="&amp;(B1163-1))</f>
        <v/>
      </c>
      <c r="S1163" s="46">
        <f>(1-d_u)*S1162+IF(d_T&gt;in_topup_lag,SUMIFS(O1129:O1165,B1129:B1165,B1163-in_topup_lag)-d_udrop*SUMIFS(O1129:O1165,B1129:B1165,B1163-d_T),0)</f>
        <v/>
      </c>
      <c r="T1163" s="40">
        <f>F1163*d_u*S1163</f>
        <v/>
      </c>
      <c r="U1163" s="9">
        <f>L1163*in_ticket+M1163*d_rep_ticket</f>
        <v/>
      </c>
      <c r="V1163" s="9">
        <f>U1163+T1163*d_topup_amt</f>
        <v/>
      </c>
      <c r="W1163" s="40">
        <f>N1163+T1163*d_topup_ratio</f>
        <v/>
      </c>
      <c r="X1163" s="40">
        <f>SUMIFS(W1129:W1165,B1129:B1165,B1163-in_dpd_lag)*d_cured</f>
        <v/>
      </c>
      <c r="Y1163" s="40">
        <f>SUMIFS(W1129:W1165,B1129:B1165,B1163-in_rec_lag)*d_recd</f>
        <v/>
      </c>
      <c r="Z1163" s="40">
        <f>IF(AND(B1163&gt;=in_marketplace_from,B1163&lt;in_marketplace_from+in_card_months),in_card_share/in_card_months*F1163*I1163,IF(AND(B1163&gt;=in_marketplace_from+in_card_months,B1163&lt;in_marketplace_from+2*in_card_months),in_card_share*d_card_rem/in_card_months*F1163*MIN(in_takeup_cap,(1+in_takeup_growth)^(D1163-1))*MIN(in_takeup_cap,(1+in_approval_growth)^(D1163-1)),0))</f>
        <v/>
      </c>
      <c r="AA1163" s="14">
        <f>V1163*in_fee*(1-in_taken_back)</f>
        <v/>
      </c>
      <c r="AB1163" s="14">
        <f>SUMIFS(W1129:W1165,B1129:B1165,B1163-in_dpd_lag)*d_dpd</f>
        <v/>
      </c>
      <c r="AC1163" s="14">
        <f>SUMIFS(W1129:W1165,B1129:B1165,B1163-in_rec_lag)*d_rec</f>
        <v/>
      </c>
      <c r="AD1163" s="14">
        <f>Z1163*in_card_fee</f>
        <v/>
      </c>
      <c r="AE1163" s="40">
        <f>AE1162*(1-IF(B1162&gt;=in_marketplace_from,d_hz_hlth_small*G1162,0))</f>
        <v/>
      </c>
      <c r="AF1163" s="46">
        <f>AE1163*IF(B1163&gt;=in_marketplace_from,d_hz_hlth_small*G1163,0)</f>
        <v/>
      </c>
      <c r="AG1163" s="14">
        <f>F1163*AF1163*in_hlth_small_ticket*in_hlth_small_comm*in_ins_partner_share+F1163*in_hlth_small_ticket*in_hlth_small_renew_comm*in_ins_partner_share*(in_hlth_small_renew^1*SUMIFS(AF1129:AF1165,B1129:B1165,B1163-12)+in_hlth_small_renew^2*SUMIFS(AF1129:AF1165,B1129:B1165,B1163-24)+in_hlth_small_renew^3*SUMIFS(AF1129:AF1165,B1129:B1165,B1163-36)+in_hlth_small_renew^4*SUMIFS(AF1129:AF1165,B1129:B1165,B1163-48))</f>
        <v/>
      </c>
      <c r="AH1163" s="40">
        <f>AH1162*(1-IF(B1162&gt;=in_marketplace_from,d_hz_hlth_family*G1162,0))</f>
        <v/>
      </c>
      <c r="AI1163" s="46">
        <f>AH1163*IF(B1163&gt;=in_marketplace_from,d_hz_hlth_family*G1163,0)</f>
        <v/>
      </c>
      <c r="AJ1163" s="14">
        <f>F1163*AI1163*in_hlth_family_ticket*in_hlth_family_comm*in_ins_partner_share+F1163*in_hlth_family_ticket*in_hlth_family_renew_comm*in_ins_partner_share*(in_hlth_family_renew^1*SUMIFS(AI1129:AI1165,B1129:B1165,B1163-12)+in_hlth_family_renew^2*SUMIFS(AI1129:AI1165,B1129:B1165,B1163-24)+in_hlth_family_renew^3*SUMIFS(AI1129:AI1165,B1129:B1165,B1163-36)+in_hlth_family_renew^4*SUMIFS(AI1129:AI1165,B1129:B1165,B1163-48))</f>
        <v/>
      </c>
      <c r="AK1163" s="40">
        <f>AK1162*(1-IF(B1162&gt;=in_marketplace_from,d_hz_life_term*G1162,0))</f>
        <v/>
      </c>
      <c r="AL1163" s="46">
        <f>AK1163*IF(B1163&gt;=in_marketplace_from,d_hz_life_term*G1163,0)</f>
        <v/>
      </c>
      <c r="AM1163" s="14">
        <f>F1163*AL1163*in_life_term_ticket*in_life_term_comm*in_ins_partner_share+F1163*in_life_term_ticket*in_life_term_renew_comm*in_ins_partner_share*(in_life_term_renew^1*SUMIFS(AL1129:AL1165,B1129:B1165,B1163-12)+in_life_term_renew^2*SUMIFS(AL1129:AL1165,B1129:B1165,B1163-24)+in_life_term_renew^3*SUMIFS(AL1129:AL1165,B1129:B1165,B1163-36)+in_life_term_renew^4*SUMIFS(AL1129:AL1165,B1129:B1165,B1163-48))</f>
        <v/>
      </c>
      <c r="AN1163" s="40">
        <f>AN1162*(1-IF(B1162&gt;=in_marketplace_from,d_hz_accident*G1162,0))</f>
        <v/>
      </c>
      <c r="AO1163" s="46">
        <f>AN1163*IF(B1163&gt;=in_marketplace_from,d_hz_accident*G1163,0)</f>
        <v/>
      </c>
      <c r="AP1163" s="14">
        <f>F1163*AO1163*in_accident_ticket*in_accident_comm*in_ins_partner_share+F1163*in_accident_ticket*in_accident_renew_comm*in_ins_partner_share*(in_accident_renew^1*SUMIFS(AO1129:AO1165,B1129:B1165,B1163-12)+in_accident_renew^2*SUMIFS(AO1129:AO1165,B1129:B1165,B1163-24)+in_accident_renew^3*SUMIFS(AO1129:AO1165,B1129:B1165,B1163-36)+in_accident_renew^4*SUMIFS(AO1129:AO1165,B1129:B1165,B1163-48))</f>
        <v/>
      </c>
      <c r="AQ1163" s="40">
        <f>AQ1162*(1-IF(B1162&gt;=in_marketplace_from,d_hz_two_wheeler*G1162,0))</f>
        <v/>
      </c>
      <c r="AR1163" s="46">
        <f>AQ1163*IF(B1163&gt;=in_marketplace_from,d_hz_two_wheeler*G1163,0)</f>
        <v/>
      </c>
      <c r="AS1163" s="14">
        <f>F1163*AR1163*in_two_wheeler_ticket*in_two_wheeler_comm*in_ins_partner_share+F1163*in_two_wheeler_ticket*in_two_wheeler_comm*in_ins_partner_share*(in_two_wheeler_renew^1*SUMIFS(AR1129:AR1165,B1129:B1165,B1163-12)+in_two_wheeler_renew^2*SUMIFS(AR1129:AR1165,B1129:B1165,B1163-24)+in_two_wheeler_renew^3*SUMIFS(AR1129:AR1165,B1129:B1165,B1163-36)+in_two_wheeler_renew^4*SUMIFS(AR1129:AR1165,B1129:B1165,B1163-48))</f>
        <v/>
      </c>
      <c r="AT1163" s="40">
        <f>AT1162*(1-IF(B1162&gt;=in_marketplace_from,d_hz_device*G1162,0))</f>
        <v/>
      </c>
      <c r="AU1163" s="14">
        <f>F1163*AT1163*IF(B1163&gt;=in_marketplace_from,d_hz_device*G1163,0)*in_device_ticket*in_device_comm*in_ins_partner_share</f>
        <v/>
      </c>
      <c r="AV1163" s="40">
        <f>AV1162*(1-IF(B1162&gt;=in_marketplace_from,d_hz_shop*G1162,0))</f>
        <v/>
      </c>
      <c r="AW1163" s="46">
        <f>AV1163*IF(B1163&gt;=in_marketplace_from,d_hz_shop*G1163,0)</f>
        <v/>
      </c>
      <c r="AX1163" s="14">
        <f>F1163*AW1163*in_shop_ticket*in_shop_comm*in_ins_partner_share+F1163*in_shop_ticket*in_shop_renew_comm*in_ins_partner_share*(in_shop_renew^1*SUMIFS(AW1129:AW1165,B1129:B1165,B1163-12)+in_shop_renew^2*SUMIFS(AW1129:AW1165,B1129:B1165,B1163-24)+in_shop_renew^3*SUMIFS(AW1129:AW1165,B1129:B1165,B1163-36)+in_shop_renew^4*SUMIFS(AW1129:AW1165,B1129:B1165,B1163-48))</f>
        <v/>
      </c>
      <c r="AY1163" s="40">
        <f>AY1162*(1-IF(B1162&gt;=in_marketplace_from,d_hz_sip*G1162,0))</f>
        <v/>
      </c>
      <c r="AZ1163" s="40">
        <f>AZ1162*d_rho_sip+AY1163*IF(B1163&gt;=in_marketplace_from,d_hz_sip*G1163,0)</f>
        <v/>
      </c>
      <c r="BA1163" s="40">
        <f>d_rho_sip*(BA1162+AZ1162)</f>
        <v/>
      </c>
      <c r="BB1163" s="14">
        <f>F1163*in_sip_ticket*(BA1163+0.5*AZ1163)*in_sip_comm/12</f>
        <v/>
      </c>
      <c r="BC1163" s="40">
        <f>BC1162*(1-IF(B1162&gt;=in_marketplace_from,d_hz_choti*G1162,0))</f>
        <v/>
      </c>
      <c r="BD1163" s="46">
        <f>BC1163*IF(B1163&gt;=in_marketplace_from,d_hz_choti*G1163,0)</f>
        <v/>
      </c>
      <c r="BE1163" s="14">
        <f>F1163*SUMIFS(BD1129:BD1165,B1129:B1165,B1163-in_choti_months)*in_choti_renew*in_choti_ticket</f>
        <v/>
      </c>
      <c r="BF1163" s="40">
        <f>BF1162*(1-IF(B1162&gt;=in_marketplace_from,d_hz_nps*G1162,0))</f>
        <v/>
      </c>
      <c r="BG1163" s="14">
        <f>F1163*BF1163*IF(B1163&gt;=in_marketplace_from,d_hz_nps*G1163,0)*in_nps_ticket*in_nps_comm</f>
        <v/>
      </c>
      <c r="BH1163" s="40">
        <f>BH1162*(1-IF(B1162&gt;=in_marketplace_from,d_hz_gold*G1162,0))</f>
        <v/>
      </c>
      <c r="BI1163" s="40">
        <f>BI1162*d_rho_gold+BH1163*IF(B1163&gt;=in_marketplace_from,d_hz_gold*G1163,0)</f>
        <v/>
      </c>
      <c r="BJ1163" s="14">
        <f>F1163*BI1163*in_gold_ticket*in_gold_comm</f>
        <v/>
      </c>
      <c r="BK1163" s="40">
        <f>BK1162*(1-IF(B1162&gt;=in_marketplace_from,d_hz_fd*G1162,0))</f>
        <v/>
      </c>
      <c r="BL1163" s="14">
        <f>F1163*BK1163*IF(B1163&gt;=in_marketplace_from,d_hz_fd*G1163,0)*in_fd_ticket*in_fd_comm</f>
        <v/>
      </c>
      <c r="BM1163" s="40">
        <f>BM1162*(1-IF(B1162&gt;=in_marketplace_from,d_hz_recharge*G1162,0))</f>
        <v/>
      </c>
      <c r="BN1163" s="40">
        <f>BN1162*d_rho_recharge+BM1163*IF(B1163&gt;=in_marketplace_from,d_hz_recharge*G1163,0)</f>
        <v/>
      </c>
      <c r="BO1163" s="14">
        <f>F1163*BN1163*in_recharge_ticket*in_recharge_comm/12</f>
        <v/>
      </c>
      <c r="BP1163" s="40">
        <f>BP1162*(1-IF(B1162&gt;=in_marketplace_from,d_hz_bills*G1162,0))</f>
        <v/>
      </c>
      <c r="BQ1163" s="40">
        <f>BQ1162*d_rho_bills+BP1163*IF(B1163&gt;=in_marketplace_from,d_hz_bills*G1163,0)</f>
        <v/>
      </c>
      <c r="BR1163" s="14">
        <f>F1163*BQ1163*in_bills_ticket*in_bills_comm/12</f>
        <v/>
      </c>
      <c r="BS1163" s="40">
        <f>BS1162*(1-IF(B1162&gt;=in_marketplace_from,d_hz_loan_gold*G1162,0))</f>
        <v/>
      </c>
      <c r="BT1163" s="14">
        <f>F1163*BS1163*IF(B1163&gt;=in_marketplace_from,d_hz_loan_gold*G1163,0)*in_loan_gold_ticket*in_loan_gold_comm</f>
        <v/>
      </c>
      <c r="BU1163" s="40">
        <f>BU1162*(1-IF(B1162&gt;=in_marketplace_from,d_hz_loan_cd*G1162,0))</f>
        <v/>
      </c>
      <c r="BV1163" s="14">
        <f>F1163*BU1163*IF(B1163&gt;=in_marketplace_from,d_hz_loan_cd*G1163,0)*in_loan_cd_ticket*in_loan_cd_comm</f>
        <v/>
      </c>
      <c r="BW1163" s="40">
        <f>BW1162*(1-IF(B1162&gt;=in_marketplace_from,d_hz_loan_vehicle*G1162,0))</f>
        <v/>
      </c>
      <c r="BX1163" s="14">
        <f>F1163*BW1163*IF(B1163&gt;=in_marketplace_from,d_hz_loan_vehicle*G1163,0)*in_loan_vehicle_ticket*in_loan_vehicle_comm</f>
        <v/>
      </c>
      <c r="BY1163" s="40">
        <f>BY1162*(1-IF(B1162&gt;=in_marketplace_from,d_hz_loan_home*G1162,0)*BZ1162)</f>
        <v/>
      </c>
      <c r="BZ1163" s="11">
        <f>MIN(in_approval_cap,in_loan_home_approval*INDEX('Age profile'!$O$2:$O$61,B1163)*(1+in_approval_growth)^(D1163-1))</f>
        <v/>
      </c>
      <c r="CA1163" s="14">
        <f>F1163*BY1163*IF(B1163&gt;=in_marketplace_from,d_hz_loan_home*G1163,0)*BZ1163*in_loan_home_ticket*in_loan_home_comm</f>
        <v/>
      </c>
      <c r="CB1163" s="40">
        <f>CB1162*(1-IF(B1162&gt;=in_marketplace_from,d_hz_loan_lap*G1162,0)*CC1162)</f>
        <v/>
      </c>
      <c r="CC1163" s="11">
        <f>MIN(in_approval_cap,in_loan_lap_approval*INDEX('Age profile'!$O$2:$O$61,B1163)*(1+in_approval_growth)^(D1163-1))</f>
        <v/>
      </c>
      <c r="CD1163" s="14">
        <f>F1163*CB1163*IF(B1163&gt;=in_marketplace_from,d_hz_loan_lap*G1163,0)*CC1163*in_loan_lap_ticket*in_loan_lap_comm</f>
        <v/>
      </c>
      <c r="CE1163" s="14">
        <f>AA1163+AB1163+AC1163+AD1163+AG1163+AJ1163+AM1163+AP1163+AS1163+AU1163+AX1163+BB1163+BE1163+BG1163+BJ1163+BL1163+BO1163+BR1163+BT1163+BV1163+BX1163+CA1163+CD1163</f>
        <v/>
      </c>
    </row>
    <row r="1164">
      <c r="A1164" s="39" t="n">
        <v>24</v>
      </c>
      <c r="B1164" s="39" t="n">
        <v>36</v>
      </c>
      <c r="C1164" s="39">
        <f>A1164+B1164-1</f>
        <v/>
      </c>
      <c r="D1164" s="39">
        <f>INT((C1164-1)/12)+1</f>
        <v/>
      </c>
      <c r="E1164" s="44">
        <f>INDEX(Monthly!$B$2:$B$61,A1164)</f>
        <v/>
      </c>
      <c r="F1164" s="44">
        <f>E1164*INDEX('Age profile'!$B$2:$B$61,B1164)</f>
        <v/>
      </c>
      <c r="G1164" s="45">
        <f>MIN(in_takeup_cap,INDEX('Age profile'!$N$2:$N$61,B1164)*(1+in_takeup_growth)^(D1164-1))</f>
        <v/>
      </c>
      <c r="H1164" s="11">
        <f>MIN(in_approval_cap,in_approved_first*INDEX('Age profile'!$O$2:$O$61,B1164)*(1+in_approval_growth)^(D1164-1))</f>
        <v/>
      </c>
      <c r="I1164" s="45">
        <f>G1164*MIN(in_takeup_cap,INDEX('Age profile'!$O$2:$O$61,B1164)*(1+in_approval_growth)^(D1164-1))</f>
        <v/>
      </c>
      <c r="J1164" s="40">
        <f>(J1163-L1163)*F1164/F1163</f>
        <v/>
      </c>
      <c r="K1164" s="40">
        <f>(K1163-M1163)*F1164/F1163+SUMIFS(O1129:O1163,B1129:B1163,B1164-1-d_T)*F1164</f>
        <v/>
      </c>
      <c r="L1164" s="40">
        <f>IF(B1164&gt;=in_marketplace_from,J1164*d_hz*G1164*in_eligible*H1164,0)</f>
        <v/>
      </c>
      <c r="M1164" s="40">
        <f>IF(B1164&gt;=in_marketplace_from,K1164*d_hz*G1164*in_eligible*in_approved_repeat,0)</f>
        <v/>
      </c>
      <c r="N1164" s="40">
        <f>L1164+M1164</f>
        <v/>
      </c>
      <c r="O1164" s="46">
        <f>N1164/F1164</f>
        <v/>
      </c>
      <c r="P1164" s="40">
        <f>F1164-J1164-K1164</f>
        <v/>
      </c>
      <c r="Q1164" s="40">
        <f>IF(B1164&gt;=in_marketplace_from,(J1164+K1164)*d_hz*G1164,0)</f>
        <v/>
      </c>
      <c r="R1164" s="40">
        <f>SUMIFS(N1129:N1165,B1129:B1165,"&gt;="&amp;(B1164-d_T),B1129:B1165,"&lt;="&amp;(B1164-1))</f>
        <v/>
      </c>
      <c r="S1164" s="46">
        <f>(1-d_u)*S1163+IF(d_T&gt;in_topup_lag,SUMIFS(O1129:O1165,B1129:B1165,B1164-in_topup_lag)-d_udrop*SUMIFS(O1129:O1165,B1129:B1165,B1164-d_T),0)</f>
        <v/>
      </c>
      <c r="T1164" s="40">
        <f>F1164*d_u*S1164</f>
        <v/>
      </c>
      <c r="U1164" s="9">
        <f>L1164*in_ticket+M1164*d_rep_ticket</f>
        <v/>
      </c>
      <c r="V1164" s="9">
        <f>U1164+T1164*d_topup_amt</f>
        <v/>
      </c>
      <c r="W1164" s="40">
        <f>N1164+T1164*d_topup_ratio</f>
        <v/>
      </c>
      <c r="X1164" s="40">
        <f>SUMIFS(W1129:W1165,B1129:B1165,B1164-in_dpd_lag)*d_cured</f>
        <v/>
      </c>
      <c r="Y1164" s="40">
        <f>SUMIFS(W1129:W1165,B1129:B1165,B1164-in_rec_lag)*d_recd</f>
        <v/>
      </c>
      <c r="Z1164" s="40">
        <f>IF(AND(B1164&gt;=in_marketplace_from,B1164&lt;in_marketplace_from+in_card_months),in_card_share/in_card_months*F1164*I1164,IF(AND(B1164&gt;=in_marketplace_from+in_card_months,B1164&lt;in_marketplace_from+2*in_card_months),in_card_share*d_card_rem/in_card_months*F1164*MIN(in_takeup_cap,(1+in_takeup_growth)^(D1164-1))*MIN(in_takeup_cap,(1+in_approval_growth)^(D1164-1)),0))</f>
        <v/>
      </c>
      <c r="AA1164" s="14">
        <f>V1164*in_fee*(1-in_taken_back)</f>
        <v/>
      </c>
      <c r="AB1164" s="14">
        <f>SUMIFS(W1129:W1165,B1129:B1165,B1164-in_dpd_lag)*d_dpd</f>
        <v/>
      </c>
      <c r="AC1164" s="14">
        <f>SUMIFS(W1129:W1165,B1129:B1165,B1164-in_rec_lag)*d_rec</f>
        <v/>
      </c>
      <c r="AD1164" s="14">
        <f>Z1164*in_card_fee</f>
        <v/>
      </c>
      <c r="AE1164" s="40">
        <f>AE1163*(1-IF(B1163&gt;=in_marketplace_from,d_hz_hlth_small*G1163,0))</f>
        <v/>
      </c>
      <c r="AF1164" s="46">
        <f>AE1164*IF(B1164&gt;=in_marketplace_from,d_hz_hlth_small*G1164,0)</f>
        <v/>
      </c>
      <c r="AG1164" s="14">
        <f>F1164*AF1164*in_hlth_small_ticket*in_hlth_small_comm*in_ins_partner_share+F1164*in_hlth_small_ticket*in_hlth_small_renew_comm*in_ins_partner_share*(in_hlth_small_renew^1*SUMIFS(AF1129:AF1165,B1129:B1165,B1164-12)+in_hlth_small_renew^2*SUMIFS(AF1129:AF1165,B1129:B1165,B1164-24)+in_hlth_small_renew^3*SUMIFS(AF1129:AF1165,B1129:B1165,B1164-36)+in_hlth_small_renew^4*SUMIFS(AF1129:AF1165,B1129:B1165,B1164-48))</f>
        <v/>
      </c>
      <c r="AH1164" s="40">
        <f>AH1163*(1-IF(B1163&gt;=in_marketplace_from,d_hz_hlth_family*G1163,0))</f>
        <v/>
      </c>
      <c r="AI1164" s="46">
        <f>AH1164*IF(B1164&gt;=in_marketplace_from,d_hz_hlth_family*G1164,0)</f>
        <v/>
      </c>
      <c r="AJ1164" s="14">
        <f>F1164*AI1164*in_hlth_family_ticket*in_hlth_family_comm*in_ins_partner_share+F1164*in_hlth_family_ticket*in_hlth_family_renew_comm*in_ins_partner_share*(in_hlth_family_renew^1*SUMIFS(AI1129:AI1165,B1129:B1165,B1164-12)+in_hlth_family_renew^2*SUMIFS(AI1129:AI1165,B1129:B1165,B1164-24)+in_hlth_family_renew^3*SUMIFS(AI1129:AI1165,B1129:B1165,B1164-36)+in_hlth_family_renew^4*SUMIFS(AI1129:AI1165,B1129:B1165,B1164-48))</f>
        <v/>
      </c>
      <c r="AK1164" s="40">
        <f>AK1163*(1-IF(B1163&gt;=in_marketplace_from,d_hz_life_term*G1163,0))</f>
        <v/>
      </c>
      <c r="AL1164" s="46">
        <f>AK1164*IF(B1164&gt;=in_marketplace_from,d_hz_life_term*G1164,0)</f>
        <v/>
      </c>
      <c r="AM1164" s="14">
        <f>F1164*AL1164*in_life_term_ticket*in_life_term_comm*in_ins_partner_share+F1164*in_life_term_ticket*in_life_term_renew_comm*in_ins_partner_share*(in_life_term_renew^1*SUMIFS(AL1129:AL1165,B1129:B1165,B1164-12)+in_life_term_renew^2*SUMIFS(AL1129:AL1165,B1129:B1165,B1164-24)+in_life_term_renew^3*SUMIFS(AL1129:AL1165,B1129:B1165,B1164-36)+in_life_term_renew^4*SUMIFS(AL1129:AL1165,B1129:B1165,B1164-48))</f>
        <v/>
      </c>
      <c r="AN1164" s="40">
        <f>AN1163*(1-IF(B1163&gt;=in_marketplace_from,d_hz_accident*G1163,0))</f>
        <v/>
      </c>
      <c r="AO1164" s="46">
        <f>AN1164*IF(B1164&gt;=in_marketplace_from,d_hz_accident*G1164,0)</f>
        <v/>
      </c>
      <c r="AP1164" s="14">
        <f>F1164*AO1164*in_accident_ticket*in_accident_comm*in_ins_partner_share+F1164*in_accident_ticket*in_accident_renew_comm*in_ins_partner_share*(in_accident_renew^1*SUMIFS(AO1129:AO1165,B1129:B1165,B1164-12)+in_accident_renew^2*SUMIFS(AO1129:AO1165,B1129:B1165,B1164-24)+in_accident_renew^3*SUMIFS(AO1129:AO1165,B1129:B1165,B1164-36)+in_accident_renew^4*SUMIFS(AO1129:AO1165,B1129:B1165,B1164-48))</f>
        <v/>
      </c>
      <c r="AQ1164" s="40">
        <f>AQ1163*(1-IF(B1163&gt;=in_marketplace_from,d_hz_two_wheeler*G1163,0))</f>
        <v/>
      </c>
      <c r="AR1164" s="46">
        <f>AQ1164*IF(B1164&gt;=in_marketplace_from,d_hz_two_wheeler*G1164,0)</f>
        <v/>
      </c>
      <c r="AS1164" s="14">
        <f>F1164*AR1164*in_two_wheeler_ticket*in_two_wheeler_comm*in_ins_partner_share+F1164*in_two_wheeler_ticket*in_two_wheeler_comm*in_ins_partner_share*(in_two_wheeler_renew^1*SUMIFS(AR1129:AR1165,B1129:B1165,B1164-12)+in_two_wheeler_renew^2*SUMIFS(AR1129:AR1165,B1129:B1165,B1164-24)+in_two_wheeler_renew^3*SUMIFS(AR1129:AR1165,B1129:B1165,B1164-36)+in_two_wheeler_renew^4*SUMIFS(AR1129:AR1165,B1129:B1165,B1164-48))</f>
        <v/>
      </c>
      <c r="AT1164" s="40">
        <f>AT1163*(1-IF(B1163&gt;=in_marketplace_from,d_hz_device*G1163,0))</f>
        <v/>
      </c>
      <c r="AU1164" s="14">
        <f>F1164*AT1164*IF(B1164&gt;=in_marketplace_from,d_hz_device*G1164,0)*in_device_ticket*in_device_comm*in_ins_partner_share</f>
        <v/>
      </c>
      <c r="AV1164" s="40">
        <f>AV1163*(1-IF(B1163&gt;=in_marketplace_from,d_hz_shop*G1163,0))</f>
        <v/>
      </c>
      <c r="AW1164" s="46">
        <f>AV1164*IF(B1164&gt;=in_marketplace_from,d_hz_shop*G1164,0)</f>
        <v/>
      </c>
      <c r="AX1164" s="14">
        <f>F1164*AW1164*in_shop_ticket*in_shop_comm*in_ins_partner_share+F1164*in_shop_ticket*in_shop_renew_comm*in_ins_partner_share*(in_shop_renew^1*SUMIFS(AW1129:AW1165,B1129:B1165,B1164-12)+in_shop_renew^2*SUMIFS(AW1129:AW1165,B1129:B1165,B1164-24)+in_shop_renew^3*SUMIFS(AW1129:AW1165,B1129:B1165,B1164-36)+in_shop_renew^4*SUMIFS(AW1129:AW1165,B1129:B1165,B1164-48))</f>
        <v/>
      </c>
      <c r="AY1164" s="40">
        <f>AY1163*(1-IF(B1163&gt;=in_marketplace_from,d_hz_sip*G1163,0))</f>
        <v/>
      </c>
      <c r="AZ1164" s="40">
        <f>AZ1163*d_rho_sip+AY1164*IF(B1164&gt;=in_marketplace_from,d_hz_sip*G1164,0)</f>
        <v/>
      </c>
      <c r="BA1164" s="40">
        <f>d_rho_sip*(BA1163+AZ1163)</f>
        <v/>
      </c>
      <c r="BB1164" s="14">
        <f>F1164*in_sip_ticket*(BA1164+0.5*AZ1164)*in_sip_comm/12</f>
        <v/>
      </c>
      <c r="BC1164" s="40">
        <f>BC1163*(1-IF(B1163&gt;=in_marketplace_from,d_hz_choti*G1163,0))</f>
        <v/>
      </c>
      <c r="BD1164" s="46">
        <f>BC1164*IF(B1164&gt;=in_marketplace_from,d_hz_choti*G1164,0)</f>
        <v/>
      </c>
      <c r="BE1164" s="14">
        <f>F1164*SUMIFS(BD1129:BD1165,B1129:B1165,B1164-in_choti_months)*in_choti_renew*in_choti_ticket</f>
        <v/>
      </c>
      <c r="BF1164" s="40">
        <f>BF1163*(1-IF(B1163&gt;=in_marketplace_from,d_hz_nps*G1163,0))</f>
        <v/>
      </c>
      <c r="BG1164" s="14">
        <f>F1164*BF1164*IF(B1164&gt;=in_marketplace_from,d_hz_nps*G1164,0)*in_nps_ticket*in_nps_comm</f>
        <v/>
      </c>
      <c r="BH1164" s="40">
        <f>BH1163*(1-IF(B1163&gt;=in_marketplace_from,d_hz_gold*G1163,0))</f>
        <v/>
      </c>
      <c r="BI1164" s="40">
        <f>BI1163*d_rho_gold+BH1164*IF(B1164&gt;=in_marketplace_from,d_hz_gold*G1164,0)</f>
        <v/>
      </c>
      <c r="BJ1164" s="14">
        <f>F1164*BI1164*in_gold_ticket*in_gold_comm</f>
        <v/>
      </c>
      <c r="BK1164" s="40">
        <f>BK1163*(1-IF(B1163&gt;=in_marketplace_from,d_hz_fd*G1163,0))</f>
        <v/>
      </c>
      <c r="BL1164" s="14">
        <f>F1164*BK1164*IF(B1164&gt;=in_marketplace_from,d_hz_fd*G1164,0)*in_fd_ticket*in_fd_comm</f>
        <v/>
      </c>
      <c r="BM1164" s="40">
        <f>BM1163*(1-IF(B1163&gt;=in_marketplace_from,d_hz_recharge*G1163,0))</f>
        <v/>
      </c>
      <c r="BN1164" s="40">
        <f>BN1163*d_rho_recharge+BM1164*IF(B1164&gt;=in_marketplace_from,d_hz_recharge*G1164,0)</f>
        <v/>
      </c>
      <c r="BO1164" s="14">
        <f>F1164*BN1164*in_recharge_ticket*in_recharge_comm/12</f>
        <v/>
      </c>
      <c r="BP1164" s="40">
        <f>BP1163*(1-IF(B1163&gt;=in_marketplace_from,d_hz_bills*G1163,0))</f>
        <v/>
      </c>
      <c r="BQ1164" s="40">
        <f>BQ1163*d_rho_bills+BP1164*IF(B1164&gt;=in_marketplace_from,d_hz_bills*G1164,0)</f>
        <v/>
      </c>
      <c r="BR1164" s="14">
        <f>F1164*BQ1164*in_bills_ticket*in_bills_comm/12</f>
        <v/>
      </c>
      <c r="BS1164" s="40">
        <f>BS1163*(1-IF(B1163&gt;=in_marketplace_from,d_hz_loan_gold*G1163,0))</f>
        <v/>
      </c>
      <c r="BT1164" s="14">
        <f>F1164*BS1164*IF(B1164&gt;=in_marketplace_from,d_hz_loan_gold*G1164,0)*in_loan_gold_ticket*in_loan_gold_comm</f>
        <v/>
      </c>
      <c r="BU1164" s="40">
        <f>BU1163*(1-IF(B1163&gt;=in_marketplace_from,d_hz_loan_cd*G1163,0))</f>
        <v/>
      </c>
      <c r="BV1164" s="14">
        <f>F1164*BU1164*IF(B1164&gt;=in_marketplace_from,d_hz_loan_cd*G1164,0)*in_loan_cd_ticket*in_loan_cd_comm</f>
        <v/>
      </c>
      <c r="BW1164" s="40">
        <f>BW1163*(1-IF(B1163&gt;=in_marketplace_from,d_hz_loan_vehicle*G1163,0))</f>
        <v/>
      </c>
      <c r="BX1164" s="14">
        <f>F1164*BW1164*IF(B1164&gt;=in_marketplace_from,d_hz_loan_vehicle*G1164,0)*in_loan_vehicle_ticket*in_loan_vehicle_comm</f>
        <v/>
      </c>
      <c r="BY1164" s="40">
        <f>BY1163*(1-IF(B1163&gt;=in_marketplace_from,d_hz_loan_home*G1163,0)*BZ1163)</f>
        <v/>
      </c>
      <c r="BZ1164" s="11">
        <f>MIN(in_approval_cap,in_loan_home_approval*INDEX('Age profile'!$O$2:$O$61,B1164)*(1+in_approval_growth)^(D1164-1))</f>
        <v/>
      </c>
      <c r="CA1164" s="14">
        <f>F1164*BY1164*IF(B1164&gt;=in_marketplace_from,d_hz_loan_home*G1164,0)*BZ1164*in_loan_home_ticket*in_loan_home_comm</f>
        <v/>
      </c>
      <c r="CB1164" s="40">
        <f>CB1163*(1-IF(B1163&gt;=in_marketplace_from,d_hz_loan_lap*G1163,0)*CC1163)</f>
        <v/>
      </c>
      <c r="CC1164" s="11">
        <f>MIN(in_approval_cap,in_loan_lap_approval*INDEX('Age profile'!$O$2:$O$61,B1164)*(1+in_approval_growth)^(D1164-1))</f>
        <v/>
      </c>
      <c r="CD1164" s="14">
        <f>F1164*CB1164*IF(B1164&gt;=in_marketplace_from,d_hz_loan_lap*G1164,0)*CC1164*in_loan_lap_ticket*in_loan_lap_comm</f>
        <v/>
      </c>
      <c r="CE1164" s="14">
        <f>AA1164+AB1164+AC1164+AD1164+AG1164+AJ1164+AM1164+AP1164+AS1164+AU1164+AX1164+BB1164+BE1164+BG1164+BJ1164+BL1164+BO1164+BR1164+BT1164+BV1164+BX1164+CA1164+CD1164</f>
        <v/>
      </c>
    </row>
    <row r="1165">
      <c r="A1165" s="39" t="n">
        <v>24</v>
      </c>
      <c r="B1165" s="39" t="n">
        <v>37</v>
      </c>
      <c r="C1165" s="39">
        <f>A1165+B1165-1</f>
        <v/>
      </c>
      <c r="D1165" s="39">
        <f>INT((C1165-1)/12)+1</f>
        <v/>
      </c>
      <c r="E1165" s="44">
        <f>INDEX(Monthly!$B$2:$B$61,A1165)</f>
        <v/>
      </c>
      <c r="F1165" s="44">
        <f>E1165*INDEX('Age profile'!$B$2:$B$61,B1165)</f>
        <v/>
      </c>
      <c r="G1165" s="45">
        <f>MIN(in_takeup_cap,INDEX('Age profile'!$N$2:$N$61,B1165)*(1+in_takeup_growth)^(D1165-1))</f>
        <v/>
      </c>
      <c r="H1165" s="11">
        <f>MIN(in_approval_cap,in_approved_first*INDEX('Age profile'!$O$2:$O$61,B1165)*(1+in_approval_growth)^(D1165-1))</f>
        <v/>
      </c>
      <c r="I1165" s="45">
        <f>G1165*MIN(in_takeup_cap,INDEX('Age profile'!$O$2:$O$61,B1165)*(1+in_approval_growth)^(D1165-1))</f>
        <v/>
      </c>
      <c r="J1165" s="40">
        <f>(J1164-L1164)*F1165/F1164</f>
        <v/>
      </c>
      <c r="K1165" s="40">
        <f>(K1164-M1164)*F1165/F1164+SUMIFS(O1129:O1164,B1129:B1164,B1165-1-d_T)*F1165</f>
        <v/>
      </c>
      <c r="L1165" s="40">
        <f>IF(B1165&gt;=in_marketplace_from,J1165*d_hz*G1165*in_eligible*H1165,0)</f>
        <v/>
      </c>
      <c r="M1165" s="40">
        <f>IF(B1165&gt;=in_marketplace_from,K1165*d_hz*G1165*in_eligible*in_approved_repeat,0)</f>
        <v/>
      </c>
      <c r="N1165" s="40">
        <f>L1165+M1165</f>
        <v/>
      </c>
      <c r="O1165" s="46">
        <f>N1165/F1165</f>
        <v/>
      </c>
      <c r="P1165" s="40">
        <f>F1165-J1165-K1165</f>
        <v/>
      </c>
      <c r="Q1165" s="40">
        <f>IF(B1165&gt;=in_marketplace_from,(J1165+K1165)*d_hz*G1165,0)</f>
        <v/>
      </c>
      <c r="R1165" s="40">
        <f>SUMIFS(N1129:N1165,B1129:B1165,"&gt;="&amp;(B1165-d_T),B1129:B1165,"&lt;="&amp;(B1165-1))</f>
        <v/>
      </c>
      <c r="S1165" s="46">
        <f>(1-d_u)*S1164+IF(d_T&gt;in_topup_lag,SUMIFS(O1129:O1165,B1129:B1165,B1165-in_topup_lag)-d_udrop*SUMIFS(O1129:O1165,B1129:B1165,B1165-d_T),0)</f>
        <v/>
      </c>
      <c r="T1165" s="40">
        <f>F1165*d_u*S1165</f>
        <v/>
      </c>
      <c r="U1165" s="9">
        <f>L1165*in_ticket+M1165*d_rep_ticket</f>
        <v/>
      </c>
      <c r="V1165" s="9">
        <f>U1165+T1165*d_topup_amt</f>
        <v/>
      </c>
      <c r="W1165" s="40">
        <f>N1165+T1165*d_topup_ratio</f>
        <v/>
      </c>
      <c r="X1165" s="40">
        <f>SUMIFS(W1129:W1165,B1129:B1165,B1165-in_dpd_lag)*d_cured</f>
        <v/>
      </c>
      <c r="Y1165" s="40">
        <f>SUMIFS(W1129:W1165,B1129:B1165,B1165-in_rec_lag)*d_recd</f>
        <v/>
      </c>
      <c r="Z1165" s="40">
        <f>IF(AND(B1165&gt;=in_marketplace_from,B1165&lt;in_marketplace_from+in_card_months),in_card_share/in_card_months*F1165*I1165,IF(AND(B1165&gt;=in_marketplace_from+in_card_months,B1165&lt;in_marketplace_from+2*in_card_months),in_card_share*d_card_rem/in_card_months*F1165*MIN(in_takeup_cap,(1+in_takeup_growth)^(D1165-1))*MIN(in_takeup_cap,(1+in_approval_growth)^(D1165-1)),0))</f>
        <v/>
      </c>
      <c r="AA1165" s="14">
        <f>V1165*in_fee*(1-in_taken_back)</f>
        <v/>
      </c>
      <c r="AB1165" s="14">
        <f>SUMIFS(W1129:W1165,B1129:B1165,B1165-in_dpd_lag)*d_dpd</f>
        <v/>
      </c>
      <c r="AC1165" s="14">
        <f>SUMIFS(W1129:W1165,B1129:B1165,B1165-in_rec_lag)*d_rec</f>
        <v/>
      </c>
      <c r="AD1165" s="14">
        <f>Z1165*in_card_fee</f>
        <v/>
      </c>
      <c r="AE1165" s="40">
        <f>AE1164*(1-IF(B1164&gt;=in_marketplace_from,d_hz_hlth_small*G1164,0))</f>
        <v/>
      </c>
      <c r="AF1165" s="46">
        <f>AE1165*IF(B1165&gt;=in_marketplace_from,d_hz_hlth_small*G1165,0)</f>
        <v/>
      </c>
      <c r="AG1165" s="14">
        <f>F1165*AF1165*in_hlth_small_ticket*in_hlth_small_comm*in_ins_partner_share+F1165*in_hlth_small_ticket*in_hlth_small_renew_comm*in_ins_partner_share*(in_hlth_small_renew^1*SUMIFS(AF1129:AF1165,B1129:B1165,B1165-12)+in_hlth_small_renew^2*SUMIFS(AF1129:AF1165,B1129:B1165,B1165-24)+in_hlth_small_renew^3*SUMIFS(AF1129:AF1165,B1129:B1165,B1165-36)+in_hlth_small_renew^4*SUMIFS(AF1129:AF1165,B1129:B1165,B1165-48))</f>
        <v/>
      </c>
      <c r="AH1165" s="40">
        <f>AH1164*(1-IF(B1164&gt;=in_marketplace_from,d_hz_hlth_family*G1164,0))</f>
        <v/>
      </c>
      <c r="AI1165" s="46">
        <f>AH1165*IF(B1165&gt;=in_marketplace_from,d_hz_hlth_family*G1165,0)</f>
        <v/>
      </c>
      <c r="AJ1165" s="14">
        <f>F1165*AI1165*in_hlth_family_ticket*in_hlth_family_comm*in_ins_partner_share+F1165*in_hlth_family_ticket*in_hlth_family_renew_comm*in_ins_partner_share*(in_hlth_family_renew^1*SUMIFS(AI1129:AI1165,B1129:B1165,B1165-12)+in_hlth_family_renew^2*SUMIFS(AI1129:AI1165,B1129:B1165,B1165-24)+in_hlth_family_renew^3*SUMIFS(AI1129:AI1165,B1129:B1165,B1165-36)+in_hlth_family_renew^4*SUMIFS(AI1129:AI1165,B1129:B1165,B1165-48))</f>
        <v/>
      </c>
      <c r="AK1165" s="40">
        <f>AK1164*(1-IF(B1164&gt;=in_marketplace_from,d_hz_life_term*G1164,0))</f>
        <v/>
      </c>
      <c r="AL1165" s="46">
        <f>AK1165*IF(B1165&gt;=in_marketplace_from,d_hz_life_term*G1165,0)</f>
        <v/>
      </c>
      <c r="AM1165" s="14">
        <f>F1165*AL1165*in_life_term_ticket*in_life_term_comm*in_ins_partner_share+F1165*in_life_term_ticket*in_life_term_renew_comm*in_ins_partner_share*(in_life_term_renew^1*SUMIFS(AL1129:AL1165,B1129:B1165,B1165-12)+in_life_term_renew^2*SUMIFS(AL1129:AL1165,B1129:B1165,B1165-24)+in_life_term_renew^3*SUMIFS(AL1129:AL1165,B1129:B1165,B1165-36)+in_life_term_renew^4*SUMIFS(AL1129:AL1165,B1129:B1165,B1165-48))</f>
        <v/>
      </c>
      <c r="AN1165" s="40">
        <f>AN1164*(1-IF(B1164&gt;=in_marketplace_from,d_hz_accident*G1164,0))</f>
        <v/>
      </c>
      <c r="AO1165" s="46">
        <f>AN1165*IF(B1165&gt;=in_marketplace_from,d_hz_accident*G1165,0)</f>
        <v/>
      </c>
      <c r="AP1165" s="14">
        <f>F1165*AO1165*in_accident_ticket*in_accident_comm*in_ins_partner_share+F1165*in_accident_ticket*in_accident_renew_comm*in_ins_partner_share*(in_accident_renew^1*SUMIFS(AO1129:AO1165,B1129:B1165,B1165-12)+in_accident_renew^2*SUMIFS(AO1129:AO1165,B1129:B1165,B1165-24)+in_accident_renew^3*SUMIFS(AO1129:AO1165,B1129:B1165,B1165-36)+in_accident_renew^4*SUMIFS(AO1129:AO1165,B1129:B1165,B1165-48))</f>
        <v/>
      </c>
      <c r="AQ1165" s="40">
        <f>AQ1164*(1-IF(B1164&gt;=in_marketplace_from,d_hz_two_wheeler*G1164,0))</f>
        <v/>
      </c>
      <c r="AR1165" s="46">
        <f>AQ1165*IF(B1165&gt;=in_marketplace_from,d_hz_two_wheeler*G1165,0)</f>
        <v/>
      </c>
      <c r="AS1165" s="14">
        <f>F1165*AR1165*in_two_wheeler_ticket*in_two_wheeler_comm*in_ins_partner_share+F1165*in_two_wheeler_ticket*in_two_wheeler_comm*in_ins_partner_share*(in_two_wheeler_renew^1*SUMIFS(AR1129:AR1165,B1129:B1165,B1165-12)+in_two_wheeler_renew^2*SUMIFS(AR1129:AR1165,B1129:B1165,B1165-24)+in_two_wheeler_renew^3*SUMIFS(AR1129:AR1165,B1129:B1165,B1165-36)+in_two_wheeler_renew^4*SUMIFS(AR1129:AR1165,B1129:B1165,B1165-48))</f>
        <v/>
      </c>
      <c r="AT1165" s="40">
        <f>AT1164*(1-IF(B1164&gt;=in_marketplace_from,d_hz_device*G1164,0))</f>
        <v/>
      </c>
      <c r="AU1165" s="14">
        <f>F1165*AT1165*IF(B1165&gt;=in_marketplace_from,d_hz_device*G1165,0)*in_device_ticket*in_device_comm*in_ins_partner_share</f>
        <v/>
      </c>
      <c r="AV1165" s="40">
        <f>AV1164*(1-IF(B1164&gt;=in_marketplace_from,d_hz_shop*G1164,0))</f>
        <v/>
      </c>
      <c r="AW1165" s="46">
        <f>AV1165*IF(B1165&gt;=in_marketplace_from,d_hz_shop*G1165,0)</f>
        <v/>
      </c>
      <c r="AX1165" s="14">
        <f>F1165*AW1165*in_shop_ticket*in_shop_comm*in_ins_partner_share+F1165*in_shop_ticket*in_shop_renew_comm*in_ins_partner_share*(in_shop_renew^1*SUMIFS(AW1129:AW1165,B1129:B1165,B1165-12)+in_shop_renew^2*SUMIFS(AW1129:AW1165,B1129:B1165,B1165-24)+in_shop_renew^3*SUMIFS(AW1129:AW1165,B1129:B1165,B1165-36)+in_shop_renew^4*SUMIFS(AW1129:AW1165,B1129:B1165,B1165-48))</f>
        <v/>
      </c>
      <c r="AY1165" s="40">
        <f>AY1164*(1-IF(B1164&gt;=in_marketplace_from,d_hz_sip*G1164,0))</f>
        <v/>
      </c>
      <c r="AZ1165" s="40">
        <f>AZ1164*d_rho_sip+AY1165*IF(B1165&gt;=in_marketplace_from,d_hz_sip*G1165,0)</f>
        <v/>
      </c>
      <c r="BA1165" s="40">
        <f>d_rho_sip*(BA1164+AZ1164)</f>
        <v/>
      </c>
      <c r="BB1165" s="14">
        <f>F1165*in_sip_ticket*(BA1165+0.5*AZ1165)*in_sip_comm/12</f>
        <v/>
      </c>
      <c r="BC1165" s="40">
        <f>BC1164*(1-IF(B1164&gt;=in_marketplace_from,d_hz_choti*G1164,0))</f>
        <v/>
      </c>
      <c r="BD1165" s="46">
        <f>BC1165*IF(B1165&gt;=in_marketplace_from,d_hz_choti*G1165,0)</f>
        <v/>
      </c>
      <c r="BE1165" s="14">
        <f>F1165*SUMIFS(BD1129:BD1165,B1129:B1165,B1165-in_choti_months)*in_choti_renew*in_choti_ticket</f>
        <v/>
      </c>
      <c r="BF1165" s="40">
        <f>BF1164*(1-IF(B1164&gt;=in_marketplace_from,d_hz_nps*G1164,0))</f>
        <v/>
      </c>
      <c r="BG1165" s="14">
        <f>F1165*BF1165*IF(B1165&gt;=in_marketplace_from,d_hz_nps*G1165,0)*in_nps_ticket*in_nps_comm</f>
        <v/>
      </c>
      <c r="BH1165" s="40">
        <f>BH1164*(1-IF(B1164&gt;=in_marketplace_from,d_hz_gold*G1164,0))</f>
        <v/>
      </c>
      <c r="BI1165" s="40">
        <f>BI1164*d_rho_gold+BH1165*IF(B1165&gt;=in_marketplace_from,d_hz_gold*G1165,0)</f>
        <v/>
      </c>
      <c r="BJ1165" s="14">
        <f>F1165*BI1165*in_gold_ticket*in_gold_comm</f>
        <v/>
      </c>
      <c r="BK1165" s="40">
        <f>BK1164*(1-IF(B1164&gt;=in_marketplace_from,d_hz_fd*G1164,0))</f>
        <v/>
      </c>
      <c r="BL1165" s="14">
        <f>F1165*BK1165*IF(B1165&gt;=in_marketplace_from,d_hz_fd*G1165,0)*in_fd_ticket*in_fd_comm</f>
        <v/>
      </c>
      <c r="BM1165" s="40">
        <f>BM1164*(1-IF(B1164&gt;=in_marketplace_from,d_hz_recharge*G1164,0))</f>
        <v/>
      </c>
      <c r="BN1165" s="40">
        <f>BN1164*d_rho_recharge+BM1165*IF(B1165&gt;=in_marketplace_from,d_hz_recharge*G1165,0)</f>
        <v/>
      </c>
      <c r="BO1165" s="14">
        <f>F1165*BN1165*in_recharge_ticket*in_recharge_comm/12</f>
        <v/>
      </c>
      <c r="BP1165" s="40">
        <f>BP1164*(1-IF(B1164&gt;=in_marketplace_from,d_hz_bills*G1164,0))</f>
        <v/>
      </c>
      <c r="BQ1165" s="40">
        <f>BQ1164*d_rho_bills+BP1165*IF(B1165&gt;=in_marketplace_from,d_hz_bills*G1165,0)</f>
        <v/>
      </c>
      <c r="BR1165" s="14">
        <f>F1165*BQ1165*in_bills_ticket*in_bills_comm/12</f>
        <v/>
      </c>
      <c r="BS1165" s="40">
        <f>BS1164*(1-IF(B1164&gt;=in_marketplace_from,d_hz_loan_gold*G1164,0))</f>
        <v/>
      </c>
      <c r="BT1165" s="14">
        <f>F1165*BS1165*IF(B1165&gt;=in_marketplace_from,d_hz_loan_gold*G1165,0)*in_loan_gold_ticket*in_loan_gold_comm</f>
        <v/>
      </c>
      <c r="BU1165" s="40">
        <f>BU1164*(1-IF(B1164&gt;=in_marketplace_from,d_hz_loan_cd*G1164,0))</f>
        <v/>
      </c>
      <c r="BV1165" s="14">
        <f>F1165*BU1165*IF(B1165&gt;=in_marketplace_from,d_hz_loan_cd*G1165,0)*in_loan_cd_ticket*in_loan_cd_comm</f>
        <v/>
      </c>
      <c r="BW1165" s="40">
        <f>BW1164*(1-IF(B1164&gt;=in_marketplace_from,d_hz_loan_vehicle*G1164,0))</f>
        <v/>
      </c>
      <c r="BX1165" s="14">
        <f>F1165*BW1165*IF(B1165&gt;=in_marketplace_from,d_hz_loan_vehicle*G1165,0)*in_loan_vehicle_ticket*in_loan_vehicle_comm</f>
        <v/>
      </c>
      <c r="BY1165" s="40">
        <f>BY1164*(1-IF(B1164&gt;=in_marketplace_from,d_hz_loan_home*G1164,0)*BZ1164)</f>
        <v/>
      </c>
      <c r="BZ1165" s="11">
        <f>MIN(in_approval_cap,in_loan_home_approval*INDEX('Age profile'!$O$2:$O$61,B1165)*(1+in_approval_growth)^(D1165-1))</f>
        <v/>
      </c>
      <c r="CA1165" s="14">
        <f>F1165*BY1165*IF(B1165&gt;=in_marketplace_from,d_hz_loan_home*G1165,0)*BZ1165*in_loan_home_ticket*in_loan_home_comm</f>
        <v/>
      </c>
      <c r="CB1165" s="40">
        <f>CB1164*(1-IF(B1164&gt;=in_marketplace_from,d_hz_loan_lap*G1164,0)*CC1164)</f>
        <v/>
      </c>
      <c r="CC1165" s="11">
        <f>MIN(in_approval_cap,in_loan_lap_approval*INDEX('Age profile'!$O$2:$O$61,B1165)*(1+in_approval_growth)^(D1165-1))</f>
        <v/>
      </c>
      <c r="CD1165" s="14">
        <f>F1165*CB1165*IF(B1165&gt;=in_marketplace_from,d_hz_loan_lap*G1165,0)*CC1165*in_loan_lap_ticket*in_loan_lap_comm</f>
        <v/>
      </c>
      <c r="CE1165" s="14">
        <f>AA1165+AB1165+AC1165+AD1165+AG1165+AJ1165+AM1165+AP1165+AS1165+AU1165+AX1165+BB1165+BE1165+BG1165+BJ1165+BL1165+BO1165+BR1165+BT1165+BV1165+BX1165+CA1165+CD1165</f>
        <v/>
      </c>
    </row>
    <row r="1166">
      <c r="A1166" s="39" t="n">
        <v>25</v>
      </c>
      <c r="B1166" s="39" t="n">
        <v>1</v>
      </c>
      <c r="C1166" s="39">
        <f>A1166+B1166-1</f>
        <v/>
      </c>
      <c r="D1166" s="39">
        <f>INT((C1166-1)/12)+1</f>
        <v/>
      </c>
      <c r="E1166" s="44">
        <f>INDEX(Monthly!$B$2:$B$61,A1166)</f>
        <v/>
      </c>
      <c r="F1166" s="44">
        <f>E1166*INDEX('Age profile'!$B$2:$B$61,B1166)</f>
        <v/>
      </c>
      <c r="G1166" s="45">
        <f>MIN(in_takeup_cap,INDEX('Age profile'!$N$2:$N$61,B1166)*(1+in_takeup_growth)^(D1166-1))</f>
        <v/>
      </c>
      <c r="H1166" s="11">
        <f>MIN(in_approval_cap,in_approved_first*INDEX('Age profile'!$O$2:$O$61,B1166)*(1+in_approval_growth)^(D1166-1))</f>
        <v/>
      </c>
      <c r="I1166" s="45">
        <f>G1166*MIN(in_takeup_cap,INDEX('Age profile'!$O$2:$O$61,B1166)*(1+in_approval_growth)^(D1166-1))</f>
        <v/>
      </c>
      <c r="J1166" s="40">
        <f>E1166</f>
        <v/>
      </c>
      <c r="K1166" s="40" t="n">
        <v>0</v>
      </c>
      <c r="L1166" s="40">
        <f>IF(B1166&gt;=in_marketplace_from,J1166*d_hz*G1166*in_eligible*H1166,0)</f>
        <v/>
      </c>
      <c r="M1166" s="40">
        <f>IF(B1166&gt;=in_marketplace_from,K1166*d_hz*G1166*in_eligible*in_approved_repeat,0)</f>
        <v/>
      </c>
      <c r="N1166" s="40">
        <f>L1166+M1166</f>
        <v/>
      </c>
      <c r="O1166" s="46">
        <f>N1166/F1166</f>
        <v/>
      </c>
      <c r="P1166" s="40">
        <f>F1166-J1166-K1166</f>
        <v/>
      </c>
      <c r="Q1166" s="40">
        <f>IF(B1166&gt;=in_marketplace_from,(J1166+K1166)*d_hz*G1166,0)</f>
        <v/>
      </c>
      <c r="R1166" s="40">
        <f>SUMIFS(N1166:N1201,B1166:B1201,"&gt;="&amp;(B1166-d_T),B1166:B1201,"&lt;="&amp;(B1166-1))</f>
        <v/>
      </c>
      <c r="S1166" s="46" t="n">
        <v>0</v>
      </c>
      <c r="T1166" s="40">
        <f>F1166*d_u*S1166</f>
        <v/>
      </c>
      <c r="U1166" s="9">
        <f>L1166*in_ticket+M1166*d_rep_ticket</f>
        <v/>
      </c>
      <c r="V1166" s="9">
        <f>U1166+T1166*d_topup_amt</f>
        <v/>
      </c>
      <c r="W1166" s="40">
        <f>N1166+T1166*d_topup_ratio</f>
        <v/>
      </c>
      <c r="X1166" s="40">
        <f>SUMIFS(W1166:W1201,B1166:B1201,B1166-in_dpd_lag)*d_cured</f>
        <v/>
      </c>
      <c r="Y1166" s="40">
        <f>SUMIFS(W1166:W1201,B1166:B1201,B1166-in_rec_lag)*d_recd</f>
        <v/>
      </c>
      <c r="Z1166" s="40">
        <f>IF(AND(B1166&gt;=in_marketplace_from,B1166&lt;in_marketplace_from+in_card_months),in_card_share/in_card_months*F1166*I1166,IF(AND(B1166&gt;=in_marketplace_from+in_card_months,B1166&lt;in_marketplace_from+2*in_card_months),in_card_share*d_card_rem/in_card_months*F1166*MIN(in_takeup_cap,(1+in_takeup_growth)^(D1166-1))*MIN(in_takeup_cap,(1+in_approval_growth)^(D1166-1)),0))</f>
        <v/>
      </c>
      <c r="AA1166" s="14">
        <f>V1166*in_fee*(1-in_taken_back)</f>
        <v/>
      </c>
      <c r="AB1166" s="14">
        <f>SUMIFS(W1166:W1201,B1166:B1201,B1166-in_dpd_lag)*d_dpd</f>
        <v/>
      </c>
      <c r="AC1166" s="14">
        <f>SUMIFS(W1166:W1201,B1166:B1201,B1166-in_rec_lag)*d_rec</f>
        <v/>
      </c>
      <c r="AD1166" s="14">
        <f>Z1166*in_card_fee</f>
        <v/>
      </c>
      <c r="AE1166" s="40" t="n">
        <v>1</v>
      </c>
      <c r="AF1166" s="46">
        <f>AE1166*IF(B1166&gt;=in_marketplace_from,d_hz_hlth_small*G1166,0)</f>
        <v/>
      </c>
      <c r="AG1166" s="14">
        <f>F1166*AF1166*in_hlth_small_ticket*in_hlth_small_comm*in_ins_partner_share+F1166*in_hlth_small_ticket*in_hlth_small_renew_comm*in_ins_partner_share*(in_hlth_small_renew^1*SUMIFS(AF1166:AF1201,B1166:B1201,B1166-12)+in_hlth_small_renew^2*SUMIFS(AF1166:AF1201,B1166:B1201,B1166-24)+in_hlth_small_renew^3*SUMIFS(AF1166:AF1201,B1166:B1201,B1166-36)+in_hlth_small_renew^4*SUMIFS(AF1166:AF1201,B1166:B1201,B1166-48))</f>
        <v/>
      </c>
      <c r="AH1166" s="40" t="n">
        <v>1</v>
      </c>
      <c r="AI1166" s="46">
        <f>AH1166*IF(B1166&gt;=in_marketplace_from,d_hz_hlth_family*G1166,0)</f>
        <v/>
      </c>
      <c r="AJ1166" s="14">
        <f>F1166*AI1166*in_hlth_family_ticket*in_hlth_family_comm*in_ins_partner_share+F1166*in_hlth_family_ticket*in_hlth_family_renew_comm*in_ins_partner_share*(in_hlth_family_renew^1*SUMIFS(AI1166:AI1201,B1166:B1201,B1166-12)+in_hlth_family_renew^2*SUMIFS(AI1166:AI1201,B1166:B1201,B1166-24)+in_hlth_family_renew^3*SUMIFS(AI1166:AI1201,B1166:B1201,B1166-36)+in_hlth_family_renew^4*SUMIFS(AI1166:AI1201,B1166:B1201,B1166-48))</f>
        <v/>
      </c>
      <c r="AK1166" s="40" t="n">
        <v>1</v>
      </c>
      <c r="AL1166" s="46">
        <f>AK1166*IF(B1166&gt;=in_marketplace_from,d_hz_life_term*G1166,0)</f>
        <v/>
      </c>
      <c r="AM1166" s="14">
        <f>F1166*AL1166*in_life_term_ticket*in_life_term_comm*in_ins_partner_share+F1166*in_life_term_ticket*in_life_term_renew_comm*in_ins_partner_share*(in_life_term_renew^1*SUMIFS(AL1166:AL1201,B1166:B1201,B1166-12)+in_life_term_renew^2*SUMIFS(AL1166:AL1201,B1166:B1201,B1166-24)+in_life_term_renew^3*SUMIFS(AL1166:AL1201,B1166:B1201,B1166-36)+in_life_term_renew^4*SUMIFS(AL1166:AL1201,B1166:B1201,B1166-48))</f>
        <v/>
      </c>
      <c r="AN1166" s="40" t="n">
        <v>1</v>
      </c>
      <c r="AO1166" s="46">
        <f>AN1166*IF(B1166&gt;=in_marketplace_from,d_hz_accident*G1166,0)</f>
        <v/>
      </c>
      <c r="AP1166" s="14">
        <f>F1166*AO1166*in_accident_ticket*in_accident_comm*in_ins_partner_share+F1166*in_accident_ticket*in_accident_renew_comm*in_ins_partner_share*(in_accident_renew^1*SUMIFS(AO1166:AO1201,B1166:B1201,B1166-12)+in_accident_renew^2*SUMIFS(AO1166:AO1201,B1166:B1201,B1166-24)+in_accident_renew^3*SUMIFS(AO1166:AO1201,B1166:B1201,B1166-36)+in_accident_renew^4*SUMIFS(AO1166:AO1201,B1166:B1201,B1166-48))</f>
        <v/>
      </c>
      <c r="AQ1166" s="40" t="n">
        <v>1</v>
      </c>
      <c r="AR1166" s="46">
        <f>AQ1166*IF(B1166&gt;=in_marketplace_from,d_hz_two_wheeler*G1166,0)</f>
        <v/>
      </c>
      <c r="AS1166" s="14">
        <f>F1166*AR1166*in_two_wheeler_ticket*in_two_wheeler_comm*in_ins_partner_share+F1166*in_two_wheeler_ticket*in_two_wheeler_comm*in_ins_partner_share*(in_two_wheeler_renew^1*SUMIFS(AR1166:AR1201,B1166:B1201,B1166-12)+in_two_wheeler_renew^2*SUMIFS(AR1166:AR1201,B1166:B1201,B1166-24)+in_two_wheeler_renew^3*SUMIFS(AR1166:AR1201,B1166:B1201,B1166-36)+in_two_wheeler_renew^4*SUMIFS(AR1166:AR1201,B1166:B1201,B1166-48))</f>
        <v/>
      </c>
      <c r="AT1166" s="40" t="n">
        <v>1</v>
      </c>
      <c r="AU1166" s="14">
        <f>F1166*AT1166*IF(B1166&gt;=in_marketplace_from,d_hz_device*G1166,0)*in_device_ticket*in_device_comm*in_ins_partner_share</f>
        <v/>
      </c>
      <c r="AV1166" s="40" t="n">
        <v>1</v>
      </c>
      <c r="AW1166" s="46">
        <f>AV1166*IF(B1166&gt;=in_marketplace_from,d_hz_shop*G1166,0)</f>
        <v/>
      </c>
      <c r="AX1166" s="14">
        <f>F1166*AW1166*in_shop_ticket*in_shop_comm*in_ins_partner_share+F1166*in_shop_ticket*in_shop_renew_comm*in_ins_partner_share*(in_shop_renew^1*SUMIFS(AW1166:AW1201,B1166:B1201,B1166-12)+in_shop_renew^2*SUMIFS(AW1166:AW1201,B1166:B1201,B1166-24)+in_shop_renew^3*SUMIFS(AW1166:AW1201,B1166:B1201,B1166-36)+in_shop_renew^4*SUMIFS(AW1166:AW1201,B1166:B1201,B1166-48))</f>
        <v/>
      </c>
      <c r="AY1166" s="40" t="n">
        <v>1</v>
      </c>
      <c r="AZ1166" s="40">
        <f>AY1166*IF(B1166&gt;=in_marketplace_from,d_hz_sip*G1166,0)</f>
        <v/>
      </c>
      <c r="BA1166" s="40" t="n">
        <v>0</v>
      </c>
      <c r="BB1166" s="14">
        <f>F1166*in_sip_ticket*(BA1166+0.5*AZ1166)*in_sip_comm/12</f>
        <v/>
      </c>
      <c r="BC1166" s="40" t="n">
        <v>1</v>
      </c>
      <c r="BD1166" s="46">
        <f>BC1166*IF(B1166&gt;=in_marketplace_from,d_hz_choti*G1166,0)</f>
        <v/>
      </c>
      <c r="BE1166" s="14">
        <f>F1166*SUMIFS(BD1166:BD1201,B1166:B1201,B1166-in_choti_months)*in_choti_renew*in_choti_ticket</f>
        <v/>
      </c>
      <c r="BF1166" s="40" t="n">
        <v>1</v>
      </c>
      <c r="BG1166" s="14">
        <f>F1166*BF1166*IF(B1166&gt;=in_marketplace_from,d_hz_nps*G1166,0)*in_nps_ticket*in_nps_comm</f>
        <v/>
      </c>
      <c r="BH1166" s="40" t="n">
        <v>1</v>
      </c>
      <c r="BI1166" s="40">
        <f>BH1166*IF(B1166&gt;=in_marketplace_from,d_hz_gold*G1166,0)</f>
        <v/>
      </c>
      <c r="BJ1166" s="14">
        <f>F1166*BI1166*in_gold_ticket*in_gold_comm</f>
        <v/>
      </c>
      <c r="BK1166" s="40" t="n">
        <v>1</v>
      </c>
      <c r="BL1166" s="14">
        <f>F1166*BK1166*IF(B1166&gt;=in_marketplace_from,d_hz_fd*G1166,0)*in_fd_ticket*in_fd_comm</f>
        <v/>
      </c>
      <c r="BM1166" s="40" t="n">
        <v>1</v>
      </c>
      <c r="BN1166" s="40">
        <f>BM1166*IF(B1166&gt;=in_marketplace_from,d_hz_recharge*G1166,0)</f>
        <v/>
      </c>
      <c r="BO1166" s="14">
        <f>F1166*BN1166*in_recharge_ticket*in_recharge_comm/12</f>
        <v/>
      </c>
      <c r="BP1166" s="40" t="n">
        <v>1</v>
      </c>
      <c r="BQ1166" s="40">
        <f>BP1166*IF(B1166&gt;=in_marketplace_from,d_hz_bills*G1166,0)</f>
        <v/>
      </c>
      <c r="BR1166" s="14">
        <f>F1166*BQ1166*in_bills_ticket*in_bills_comm/12</f>
        <v/>
      </c>
      <c r="BS1166" s="40" t="n">
        <v>1</v>
      </c>
      <c r="BT1166" s="14">
        <f>F1166*BS1166*IF(B1166&gt;=in_marketplace_from,d_hz_loan_gold*G1166,0)*in_loan_gold_ticket*in_loan_gold_comm</f>
        <v/>
      </c>
      <c r="BU1166" s="40" t="n">
        <v>1</v>
      </c>
      <c r="BV1166" s="14">
        <f>F1166*BU1166*IF(B1166&gt;=in_marketplace_from,d_hz_loan_cd*G1166,0)*in_loan_cd_ticket*in_loan_cd_comm</f>
        <v/>
      </c>
      <c r="BW1166" s="40" t="n">
        <v>1</v>
      </c>
      <c r="BX1166" s="14">
        <f>F1166*BW1166*IF(B1166&gt;=in_marketplace_from,d_hz_loan_vehicle*G1166,0)*in_loan_vehicle_ticket*in_loan_vehicle_comm</f>
        <v/>
      </c>
      <c r="BY1166" s="40" t="n">
        <v>1</v>
      </c>
      <c r="BZ1166" s="11">
        <f>MIN(in_approval_cap,in_loan_home_approval*INDEX('Age profile'!$O$2:$O$61,B1166)*(1+in_approval_growth)^(D1166-1))</f>
        <v/>
      </c>
      <c r="CA1166" s="14">
        <f>F1166*BY1166*IF(B1166&gt;=in_marketplace_from,d_hz_loan_home*G1166,0)*BZ1166*in_loan_home_ticket*in_loan_home_comm</f>
        <v/>
      </c>
      <c r="CB1166" s="40" t="n">
        <v>1</v>
      </c>
      <c r="CC1166" s="11">
        <f>MIN(in_approval_cap,in_loan_lap_approval*INDEX('Age profile'!$O$2:$O$61,B1166)*(1+in_approval_growth)^(D1166-1))</f>
        <v/>
      </c>
      <c r="CD1166" s="14">
        <f>F1166*CB1166*IF(B1166&gt;=in_marketplace_from,d_hz_loan_lap*G1166,0)*CC1166*in_loan_lap_ticket*in_loan_lap_comm</f>
        <v/>
      </c>
      <c r="CE1166" s="14">
        <f>AA1166+AB1166+AC1166+AD1166+AG1166+AJ1166+AM1166+AP1166+AS1166+AU1166+AX1166+BB1166+BE1166+BG1166+BJ1166+BL1166+BO1166+BR1166+BT1166+BV1166+BX1166+CA1166+CD1166</f>
        <v/>
      </c>
    </row>
    <row r="1167">
      <c r="A1167" s="39" t="n">
        <v>25</v>
      </c>
      <c r="B1167" s="39" t="n">
        <v>2</v>
      </c>
      <c r="C1167" s="39">
        <f>A1167+B1167-1</f>
        <v/>
      </c>
      <c r="D1167" s="39">
        <f>INT((C1167-1)/12)+1</f>
        <v/>
      </c>
      <c r="E1167" s="44">
        <f>INDEX(Monthly!$B$2:$B$61,A1167)</f>
        <v/>
      </c>
      <c r="F1167" s="44">
        <f>E1167*INDEX('Age profile'!$B$2:$B$61,B1167)</f>
        <v/>
      </c>
      <c r="G1167" s="45">
        <f>MIN(in_takeup_cap,INDEX('Age profile'!$N$2:$N$61,B1167)*(1+in_takeup_growth)^(D1167-1))</f>
        <v/>
      </c>
      <c r="H1167" s="11">
        <f>MIN(in_approval_cap,in_approved_first*INDEX('Age profile'!$O$2:$O$61,B1167)*(1+in_approval_growth)^(D1167-1))</f>
        <v/>
      </c>
      <c r="I1167" s="45">
        <f>G1167*MIN(in_takeup_cap,INDEX('Age profile'!$O$2:$O$61,B1167)*(1+in_approval_growth)^(D1167-1))</f>
        <v/>
      </c>
      <c r="J1167" s="40">
        <f>(J1166-L1166)*F1167/F1166</f>
        <v/>
      </c>
      <c r="K1167" s="40">
        <f>(K1166-M1166)*F1167/F1166+SUMIFS(O1166:O1166,B1166:B1166,B1167-1-d_T)*F1167</f>
        <v/>
      </c>
      <c r="L1167" s="40">
        <f>IF(B1167&gt;=in_marketplace_from,J1167*d_hz*G1167*in_eligible*H1167,0)</f>
        <v/>
      </c>
      <c r="M1167" s="40">
        <f>IF(B1167&gt;=in_marketplace_from,K1167*d_hz*G1167*in_eligible*in_approved_repeat,0)</f>
        <v/>
      </c>
      <c r="N1167" s="40">
        <f>L1167+M1167</f>
        <v/>
      </c>
      <c r="O1167" s="46">
        <f>N1167/F1167</f>
        <v/>
      </c>
      <c r="P1167" s="40">
        <f>F1167-J1167-K1167</f>
        <v/>
      </c>
      <c r="Q1167" s="40">
        <f>IF(B1167&gt;=in_marketplace_from,(J1167+K1167)*d_hz*G1167,0)</f>
        <v/>
      </c>
      <c r="R1167" s="40">
        <f>SUMIFS(N1166:N1201,B1166:B1201,"&gt;="&amp;(B1167-d_T),B1166:B1201,"&lt;="&amp;(B1167-1))</f>
        <v/>
      </c>
      <c r="S1167" s="46">
        <f>(1-d_u)*S1166+IF(d_T&gt;in_topup_lag,SUMIFS(O1166:O1201,B1166:B1201,B1167-in_topup_lag)-d_udrop*SUMIFS(O1166:O1201,B1166:B1201,B1167-d_T),0)</f>
        <v/>
      </c>
      <c r="T1167" s="40">
        <f>F1167*d_u*S1167</f>
        <v/>
      </c>
      <c r="U1167" s="9">
        <f>L1167*in_ticket+M1167*d_rep_ticket</f>
        <v/>
      </c>
      <c r="V1167" s="9">
        <f>U1167+T1167*d_topup_amt</f>
        <v/>
      </c>
      <c r="W1167" s="40">
        <f>N1167+T1167*d_topup_ratio</f>
        <v/>
      </c>
      <c r="X1167" s="40">
        <f>SUMIFS(W1166:W1201,B1166:B1201,B1167-in_dpd_lag)*d_cured</f>
        <v/>
      </c>
      <c r="Y1167" s="40">
        <f>SUMIFS(W1166:W1201,B1166:B1201,B1167-in_rec_lag)*d_recd</f>
        <v/>
      </c>
      <c r="Z1167" s="40">
        <f>IF(AND(B1167&gt;=in_marketplace_from,B1167&lt;in_marketplace_from+in_card_months),in_card_share/in_card_months*F1167*I1167,IF(AND(B1167&gt;=in_marketplace_from+in_card_months,B1167&lt;in_marketplace_from+2*in_card_months),in_card_share*d_card_rem/in_card_months*F1167*MIN(in_takeup_cap,(1+in_takeup_growth)^(D1167-1))*MIN(in_takeup_cap,(1+in_approval_growth)^(D1167-1)),0))</f>
        <v/>
      </c>
      <c r="AA1167" s="14">
        <f>V1167*in_fee*(1-in_taken_back)</f>
        <v/>
      </c>
      <c r="AB1167" s="14">
        <f>SUMIFS(W1166:W1201,B1166:B1201,B1167-in_dpd_lag)*d_dpd</f>
        <v/>
      </c>
      <c r="AC1167" s="14">
        <f>SUMIFS(W1166:W1201,B1166:B1201,B1167-in_rec_lag)*d_rec</f>
        <v/>
      </c>
      <c r="AD1167" s="14">
        <f>Z1167*in_card_fee</f>
        <v/>
      </c>
      <c r="AE1167" s="40">
        <f>AE1166*(1-IF(B1166&gt;=in_marketplace_from,d_hz_hlth_small*G1166,0))</f>
        <v/>
      </c>
      <c r="AF1167" s="46">
        <f>AE1167*IF(B1167&gt;=in_marketplace_from,d_hz_hlth_small*G1167,0)</f>
        <v/>
      </c>
      <c r="AG1167" s="14">
        <f>F1167*AF1167*in_hlth_small_ticket*in_hlth_small_comm*in_ins_partner_share+F1167*in_hlth_small_ticket*in_hlth_small_renew_comm*in_ins_partner_share*(in_hlth_small_renew^1*SUMIFS(AF1166:AF1201,B1166:B1201,B1167-12)+in_hlth_small_renew^2*SUMIFS(AF1166:AF1201,B1166:B1201,B1167-24)+in_hlth_small_renew^3*SUMIFS(AF1166:AF1201,B1166:B1201,B1167-36)+in_hlth_small_renew^4*SUMIFS(AF1166:AF1201,B1166:B1201,B1167-48))</f>
        <v/>
      </c>
      <c r="AH1167" s="40">
        <f>AH1166*(1-IF(B1166&gt;=in_marketplace_from,d_hz_hlth_family*G1166,0))</f>
        <v/>
      </c>
      <c r="AI1167" s="46">
        <f>AH1167*IF(B1167&gt;=in_marketplace_from,d_hz_hlth_family*G1167,0)</f>
        <v/>
      </c>
      <c r="AJ1167" s="14">
        <f>F1167*AI1167*in_hlth_family_ticket*in_hlth_family_comm*in_ins_partner_share+F1167*in_hlth_family_ticket*in_hlth_family_renew_comm*in_ins_partner_share*(in_hlth_family_renew^1*SUMIFS(AI1166:AI1201,B1166:B1201,B1167-12)+in_hlth_family_renew^2*SUMIFS(AI1166:AI1201,B1166:B1201,B1167-24)+in_hlth_family_renew^3*SUMIFS(AI1166:AI1201,B1166:B1201,B1167-36)+in_hlth_family_renew^4*SUMIFS(AI1166:AI1201,B1166:B1201,B1167-48))</f>
        <v/>
      </c>
      <c r="AK1167" s="40">
        <f>AK1166*(1-IF(B1166&gt;=in_marketplace_from,d_hz_life_term*G1166,0))</f>
        <v/>
      </c>
      <c r="AL1167" s="46">
        <f>AK1167*IF(B1167&gt;=in_marketplace_from,d_hz_life_term*G1167,0)</f>
        <v/>
      </c>
      <c r="AM1167" s="14">
        <f>F1167*AL1167*in_life_term_ticket*in_life_term_comm*in_ins_partner_share+F1167*in_life_term_ticket*in_life_term_renew_comm*in_ins_partner_share*(in_life_term_renew^1*SUMIFS(AL1166:AL1201,B1166:B1201,B1167-12)+in_life_term_renew^2*SUMIFS(AL1166:AL1201,B1166:B1201,B1167-24)+in_life_term_renew^3*SUMIFS(AL1166:AL1201,B1166:B1201,B1167-36)+in_life_term_renew^4*SUMIFS(AL1166:AL1201,B1166:B1201,B1167-48))</f>
        <v/>
      </c>
      <c r="AN1167" s="40">
        <f>AN1166*(1-IF(B1166&gt;=in_marketplace_from,d_hz_accident*G1166,0))</f>
        <v/>
      </c>
      <c r="AO1167" s="46">
        <f>AN1167*IF(B1167&gt;=in_marketplace_from,d_hz_accident*G1167,0)</f>
        <v/>
      </c>
      <c r="AP1167" s="14">
        <f>F1167*AO1167*in_accident_ticket*in_accident_comm*in_ins_partner_share+F1167*in_accident_ticket*in_accident_renew_comm*in_ins_partner_share*(in_accident_renew^1*SUMIFS(AO1166:AO1201,B1166:B1201,B1167-12)+in_accident_renew^2*SUMIFS(AO1166:AO1201,B1166:B1201,B1167-24)+in_accident_renew^3*SUMIFS(AO1166:AO1201,B1166:B1201,B1167-36)+in_accident_renew^4*SUMIFS(AO1166:AO1201,B1166:B1201,B1167-48))</f>
        <v/>
      </c>
      <c r="AQ1167" s="40">
        <f>AQ1166*(1-IF(B1166&gt;=in_marketplace_from,d_hz_two_wheeler*G1166,0))</f>
        <v/>
      </c>
      <c r="AR1167" s="46">
        <f>AQ1167*IF(B1167&gt;=in_marketplace_from,d_hz_two_wheeler*G1167,0)</f>
        <v/>
      </c>
      <c r="AS1167" s="14">
        <f>F1167*AR1167*in_two_wheeler_ticket*in_two_wheeler_comm*in_ins_partner_share+F1167*in_two_wheeler_ticket*in_two_wheeler_comm*in_ins_partner_share*(in_two_wheeler_renew^1*SUMIFS(AR1166:AR1201,B1166:B1201,B1167-12)+in_two_wheeler_renew^2*SUMIFS(AR1166:AR1201,B1166:B1201,B1167-24)+in_two_wheeler_renew^3*SUMIFS(AR1166:AR1201,B1166:B1201,B1167-36)+in_two_wheeler_renew^4*SUMIFS(AR1166:AR1201,B1166:B1201,B1167-48))</f>
        <v/>
      </c>
      <c r="AT1167" s="40">
        <f>AT1166*(1-IF(B1166&gt;=in_marketplace_from,d_hz_device*G1166,0))</f>
        <v/>
      </c>
      <c r="AU1167" s="14">
        <f>F1167*AT1167*IF(B1167&gt;=in_marketplace_from,d_hz_device*G1167,0)*in_device_ticket*in_device_comm*in_ins_partner_share</f>
        <v/>
      </c>
      <c r="AV1167" s="40">
        <f>AV1166*(1-IF(B1166&gt;=in_marketplace_from,d_hz_shop*G1166,0))</f>
        <v/>
      </c>
      <c r="AW1167" s="46">
        <f>AV1167*IF(B1167&gt;=in_marketplace_from,d_hz_shop*G1167,0)</f>
        <v/>
      </c>
      <c r="AX1167" s="14">
        <f>F1167*AW1167*in_shop_ticket*in_shop_comm*in_ins_partner_share+F1167*in_shop_ticket*in_shop_renew_comm*in_ins_partner_share*(in_shop_renew^1*SUMIFS(AW1166:AW1201,B1166:B1201,B1167-12)+in_shop_renew^2*SUMIFS(AW1166:AW1201,B1166:B1201,B1167-24)+in_shop_renew^3*SUMIFS(AW1166:AW1201,B1166:B1201,B1167-36)+in_shop_renew^4*SUMIFS(AW1166:AW1201,B1166:B1201,B1167-48))</f>
        <v/>
      </c>
      <c r="AY1167" s="40">
        <f>AY1166*(1-IF(B1166&gt;=in_marketplace_from,d_hz_sip*G1166,0))</f>
        <v/>
      </c>
      <c r="AZ1167" s="40">
        <f>AZ1166*d_rho_sip+AY1167*IF(B1167&gt;=in_marketplace_from,d_hz_sip*G1167,0)</f>
        <v/>
      </c>
      <c r="BA1167" s="40">
        <f>d_rho_sip*(BA1166+AZ1166)</f>
        <v/>
      </c>
      <c r="BB1167" s="14">
        <f>F1167*in_sip_ticket*(BA1167+0.5*AZ1167)*in_sip_comm/12</f>
        <v/>
      </c>
      <c r="BC1167" s="40">
        <f>BC1166*(1-IF(B1166&gt;=in_marketplace_from,d_hz_choti*G1166,0))</f>
        <v/>
      </c>
      <c r="BD1167" s="46">
        <f>BC1167*IF(B1167&gt;=in_marketplace_from,d_hz_choti*G1167,0)</f>
        <v/>
      </c>
      <c r="BE1167" s="14">
        <f>F1167*SUMIFS(BD1166:BD1201,B1166:B1201,B1167-in_choti_months)*in_choti_renew*in_choti_ticket</f>
        <v/>
      </c>
      <c r="BF1167" s="40">
        <f>BF1166*(1-IF(B1166&gt;=in_marketplace_from,d_hz_nps*G1166,0))</f>
        <v/>
      </c>
      <c r="BG1167" s="14">
        <f>F1167*BF1167*IF(B1167&gt;=in_marketplace_from,d_hz_nps*G1167,0)*in_nps_ticket*in_nps_comm</f>
        <v/>
      </c>
      <c r="BH1167" s="40">
        <f>BH1166*(1-IF(B1166&gt;=in_marketplace_from,d_hz_gold*G1166,0))</f>
        <v/>
      </c>
      <c r="BI1167" s="40">
        <f>BI1166*d_rho_gold+BH1167*IF(B1167&gt;=in_marketplace_from,d_hz_gold*G1167,0)</f>
        <v/>
      </c>
      <c r="BJ1167" s="14">
        <f>F1167*BI1167*in_gold_ticket*in_gold_comm</f>
        <v/>
      </c>
      <c r="BK1167" s="40">
        <f>BK1166*(1-IF(B1166&gt;=in_marketplace_from,d_hz_fd*G1166,0))</f>
        <v/>
      </c>
      <c r="BL1167" s="14">
        <f>F1167*BK1167*IF(B1167&gt;=in_marketplace_from,d_hz_fd*G1167,0)*in_fd_ticket*in_fd_comm</f>
        <v/>
      </c>
      <c r="BM1167" s="40">
        <f>BM1166*(1-IF(B1166&gt;=in_marketplace_from,d_hz_recharge*G1166,0))</f>
        <v/>
      </c>
      <c r="BN1167" s="40">
        <f>BN1166*d_rho_recharge+BM1167*IF(B1167&gt;=in_marketplace_from,d_hz_recharge*G1167,0)</f>
        <v/>
      </c>
      <c r="BO1167" s="14">
        <f>F1167*BN1167*in_recharge_ticket*in_recharge_comm/12</f>
        <v/>
      </c>
      <c r="BP1167" s="40">
        <f>BP1166*(1-IF(B1166&gt;=in_marketplace_from,d_hz_bills*G1166,0))</f>
        <v/>
      </c>
      <c r="BQ1167" s="40">
        <f>BQ1166*d_rho_bills+BP1167*IF(B1167&gt;=in_marketplace_from,d_hz_bills*G1167,0)</f>
        <v/>
      </c>
      <c r="BR1167" s="14">
        <f>F1167*BQ1167*in_bills_ticket*in_bills_comm/12</f>
        <v/>
      </c>
      <c r="BS1167" s="40">
        <f>BS1166*(1-IF(B1166&gt;=in_marketplace_from,d_hz_loan_gold*G1166,0))</f>
        <v/>
      </c>
      <c r="BT1167" s="14">
        <f>F1167*BS1167*IF(B1167&gt;=in_marketplace_from,d_hz_loan_gold*G1167,0)*in_loan_gold_ticket*in_loan_gold_comm</f>
        <v/>
      </c>
      <c r="BU1167" s="40">
        <f>BU1166*(1-IF(B1166&gt;=in_marketplace_from,d_hz_loan_cd*G1166,0))</f>
        <v/>
      </c>
      <c r="BV1167" s="14">
        <f>F1167*BU1167*IF(B1167&gt;=in_marketplace_from,d_hz_loan_cd*G1167,0)*in_loan_cd_ticket*in_loan_cd_comm</f>
        <v/>
      </c>
      <c r="BW1167" s="40">
        <f>BW1166*(1-IF(B1166&gt;=in_marketplace_from,d_hz_loan_vehicle*G1166,0))</f>
        <v/>
      </c>
      <c r="BX1167" s="14">
        <f>F1167*BW1167*IF(B1167&gt;=in_marketplace_from,d_hz_loan_vehicle*G1167,0)*in_loan_vehicle_ticket*in_loan_vehicle_comm</f>
        <v/>
      </c>
      <c r="BY1167" s="40">
        <f>BY1166*(1-IF(B1166&gt;=in_marketplace_from,d_hz_loan_home*G1166,0)*BZ1166)</f>
        <v/>
      </c>
      <c r="BZ1167" s="11">
        <f>MIN(in_approval_cap,in_loan_home_approval*INDEX('Age profile'!$O$2:$O$61,B1167)*(1+in_approval_growth)^(D1167-1))</f>
        <v/>
      </c>
      <c r="CA1167" s="14">
        <f>F1167*BY1167*IF(B1167&gt;=in_marketplace_from,d_hz_loan_home*G1167,0)*BZ1167*in_loan_home_ticket*in_loan_home_comm</f>
        <v/>
      </c>
      <c r="CB1167" s="40">
        <f>CB1166*(1-IF(B1166&gt;=in_marketplace_from,d_hz_loan_lap*G1166,0)*CC1166)</f>
        <v/>
      </c>
      <c r="CC1167" s="11">
        <f>MIN(in_approval_cap,in_loan_lap_approval*INDEX('Age profile'!$O$2:$O$61,B1167)*(1+in_approval_growth)^(D1167-1))</f>
        <v/>
      </c>
      <c r="CD1167" s="14">
        <f>F1167*CB1167*IF(B1167&gt;=in_marketplace_from,d_hz_loan_lap*G1167,0)*CC1167*in_loan_lap_ticket*in_loan_lap_comm</f>
        <v/>
      </c>
      <c r="CE1167" s="14">
        <f>AA1167+AB1167+AC1167+AD1167+AG1167+AJ1167+AM1167+AP1167+AS1167+AU1167+AX1167+BB1167+BE1167+BG1167+BJ1167+BL1167+BO1167+BR1167+BT1167+BV1167+BX1167+CA1167+CD1167</f>
        <v/>
      </c>
    </row>
    <row r="1168">
      <c r="A1168" s="39" t="n">
        <v>25</v>
      </c>
      <c r="B1168" s="39" t="n">
        <v>3</v>
      </c>
      <c r="C1168" s="39">
        <f>A1168+B1168-1</f>
        <v/>
      </c>
      <c r="D1168" s="39">
        <f>INT((C1168-1)/12)+1</f>
        <v/>
      </c>
      <c r="E1168" s="44">
        <f>INDEX(Monthly!$B$2:$B$61,A1168)</f>
        <v/>
      </c>
      <c r="F1168" s="44">
        <f>E1168*INDEX('Age profile'!$B$2:$B$61,B1168)</f>
        <v/>
      </c>
      <c r="G1168" s="45">
        <f>MIN(in_takeup_cap,INDEX('Age profile'!$N$2:$N$61,B1168)*(1+in_takeup_growth)^(D1168-1))</f>
        <v/>
      </c>
      <c r="H1168" s="11">
        <f>MIN(in_approval_cap,in_approved_first*INDEX('Age profile'!$O$2:$O$61,B1168)*(1+in_approval_growth)^(D1168-1))</f>
        <v/>
      </c>
      <c r="I1168" s="45">
        <f>G1168*MIN(in_takeup_cap,INDEX('Age profile'!$O$2:$O$61,B1168)*(1+in_approval_growth)^(D1168-1))</f>
        <v/>
      </c>
      <c r="J1168" s="40">
        <f>(J1167-L1167)*F1168/F1167</f>
        <v/>
      </c>
      <c r="K1168" s="40">
        <f>(K1167-M1167)*F1168/F1167+SUMIFS(O1166:O1167,B1166:B1167,B1168-1-d_T)*F1168</f>
        <v/>
      </c>
      <c r="L1168" s="40">
        <f>IF(B1168&gt;=in_marketplace_from,J1168*d_hz*G1168*in_eligible*H1168,0)</f>
        <v/>
      </c>
      <c r="M1168" s="40">
        <f>IF(B1168&gt;=in_marketplace_from,K1168*d_hz*G1168*in_eligible*in_approved_repeat,0)</f>
        <v/>
      </c>
      <c r="N1168" s="40">
        <f>L1168+M1168</f>
        <v/>
      </c>
      <c r="O1168" s="46">
        <f>N1168/F1168</f>
        <v/>
      </c>
      <c r="P1168" s="40">
        <f>F1168-J1168-K1168</f>
        <v/>
      </c>
      <c r="Q1168" s="40">
        <f>IF(B1168&gt;=in_marketplace_from,(J1168+K1168)*d_hz*G1168,0)</f>
        <v/>
      </c>
      <c r="R1168" s="40">
        <f>SUMIFS(N1166:N1201,B1166:B1201,"&gt;="&amp;(B1168-d_T),B1166:B1201,"&lt;="&amp;(B1168-1))</f>
        <v/>
      </c>
      <c r="S1168" s="46">
        <f>(1-d_u)*S1167+IF(d_T&gt;in_topup_lag,SUMIFS(O1166:O1201,B1166:B1201,B1168-in_topup_lag)-d_udrop*SUMIFS(O1166:O1201,B1166:B1201,B1168-d_T),0)</f>
        <v/>
      </c>
      <c r="T1168" s="40">
        <f>F1168*d_u*S1168</f>
        <v/>
      </c>
      <c r="U1168" s="9">
        <f>L1168*in_ticket+M1168*d_rep_ticket</f>
        <v/>
      </c>
      <c r="V1168" s="9">
        <f>U1168+T1168*d_topup_amt</f>
        <v/>
      </c>
      <c r="W1168" s="40">
        <f>N1168+T1168*d_topup_ratio</f>
        <v/>
      </c>
      <c r="X1168" s="40">
        <f>SUMIFS(W1166:W1201,B1166:B1201,B1168-in_dpd_lag)*d_cured</f>
        <v/>
      </c>
      <c r="Y1168" s="40">
        <f>SUMIFS(W1166:W1201,B1166:B1201,B1168-in_rec_lag)*d_recd</f>
        <v/>
      </c>
      <c r="Z1168" s="40">
        <f>IF(AND(B1168&gt;=in_marketplace_from,B1168&lt;in_marketplace_from+in_card_months),in_card_share/in_card_months*F1168*I1168,IF(AND(B1168&gt;=in_marketplace_from+in_card_months,B1168&lt;in_marketplace_from+2*in_card_months),in_card_share*d_card_rem/in_card_months*F1168*MIN(in_takeup_cap,(1+in_takeup_growth)^(D1168-1))*MIN(in_takeup_cap,(1+in_approval_growth)^(D1168-1)),0))</f>
        <v/>
      </c>
      <c r="AA1168" s="14">
        <f>V1168*in_fee*(1-in_taken_back)</f>
        <v/>
      </c>
      <c r="AB1168" s="14">
        <f>SUMIFS(W1166:W1201,B1166:B1201,B1168-in_dpd_lag)*d_dpd</f>
        <v/>
      </c>
      <c r="AC1168" s="14">
        <f>SUMIFS(W1166:W1201,B1166:B1201,B1168-in_rec_lag)*d_rec</f>
        <v/>
      </c>
      <c r="AD1168" s="14">
        <f>Z1168*in_card_fee</f>
        <v/>
      </c>
      <c r="AE1168" s="40">
        <f>AE1167*(1-IF(B1167&gt;=in_marketplace_from,d_hz_hlth_small*G1167,0))</f>
        <v/>
      </c>
      <c r="AF1168" s="46">
        <f>AE1168*IF(B1168&gt;=in_marketplace_from,d_hz_hlth_small*G1168,0)</f>
        <v/>
      </c>
      <c r="AG1168" s="14">
        <f>F1168*AF1168*in_hlth_small_ticket*in_hlth_small_comm*in_ins_partner_share+F1168*in_hlth_small_ticket*in_hlth_small_renew_comm*in_ins_partner_share*(in_hlth_small_renew^1*SUMIFS(AF1166:AF1201,B1166:B1201,B1168-12)+in_hlth_small_renew^2*SUMIFS(AF1166:AF1201,B1166:B1201,B1168-24)+in_hlth_small_renew^3*SUMIFS(AF1166:AF1201,B1166:B1201,B1168-36)+in_hlth_small_renew^4*SUMIFS(AF1166:AF1201,B1166:B1201,B1168-48))</f>
        <v/>
      </c>
      <c r="AH1168" s="40">
        <f>AH1167*(1-IF(B1167&gt;=in_marketplace_from,d_hz_hlth_family*G1167,0))</f>
        <v/>
      </c>
      <c r="AI1168" s="46">
        <f>AH1168*IF(B1168&gt;=in_marketplace_from,d_hz_hlth_family*G1168,0)</f>
        <v/>
      </c>
      <c r="AJ1168" s="14">
        <f>F1168*AI1168*in_hlth_family_ticket*in_hlth_family_comm*in_ins_partner_share+F1168*in_hlth_family_ticket*in_hlth_family_renew_comm*in_ins_partner_share*(in_hlth_family_renew^1*SUMIFS(AI1166:AI1201,B1166:B1201,B1168-12)+in_hlth_family_renew^2*SUMIFS(AI1166:AI1201,B1166:B1201,B1168-24)+in_hlth_family_renew^3*SUMIFS(AI1166:AI1201,B1166:B1201,B1168-36)+in_hlth_family_renew^4*SUMIFS(AI1166:AI1201,B1166:B1201,B1168-48))</f>
        <v/>
      </c>
      <c r="AK1168" s="40">
        <f>AK1167*(1-IF(B1167&gt;=in_marketplace_from,d_hz_life_term*G1167,0))</f>
        <v/>
      </c>
      <c r="AL1168" s="46">
        <f>AK1168*IF(B1168&gt;=in_marketplace_from,d_hz_life_term*G1168,0)</f>
        <v/>
      </c>
      <c r="AM1168" s="14">
        <f>F1168*AL1168*in_life_term_ticket*in_life_term_comm*in_ins_partner_share+F1168*in_life_term_ticket*in_life_term_renew_comm*in_ins_partner_share*(in_life_term_renew^1*SUMIFS(AL1166:AL1201,B1166:B1201,B1168-12)+in_life_term_renew^2*SUMIFS(AL1166:AL1201,B1166:B1201,B1168-24)+in_life_term_renew^3*SUMIFS(AL1166:AL1201,B1166:B1201,B1168-36)+in_life_term_renew^4*SUMIFS(AL1166:AL1201,B1166:B1201,B1168-48))</f>
        <v/>
      </c>
      <c r="AN1168" s="40">
        <f>AN1167*(1-IF(B1167&gt;=in_marketplace_from,d_hz_accident*G1167,0))</f>
        <v/>
      </c>
      <c r="AO1168" s="46">
        <f>AN1168*IF(B1168&gt;=in_marketplace_from,d_hz_accident*G1168,0)</f>
        <v/>
      </c>
      <c r="AP1168" s="14">
        <f>F1168*AO1168*in_accident_ticket*in_accident_comm*in_ins_partner_share+F1168*in_accident_ticket*in_accident_renew_comm*in_ins_partner_share*(in_accident_renew^1*SUMIFS(AO1166:AO1201,B1166:B1201,B1168-12)+in_accident_renew^2*SUMIFS(AO1166:AO1201,B1166:B1201,B1168-24)+in_accident_renew^3*SUMIFS(AO1166:AO1201,B1166:B1201,B1168-36)+in_accident_renew^4*SUMIFS(AO1166:AO1201,B1166:B1201,B1168-48))</f>
        <v/>
      </c>
      <c r="AQ1168" s="40">
        <f>AQ1167*(1-IF(B1167&gt;=in_marketplace_from,d_hz_two_wheeler*G1167,0))</f>
        <v/>
      </c>
      <c r="AR1168" s="46">
        <f>AQ1168*IF(B1168&gt;=in_marketplace_from,d_hz_two_wheeler*G1168,0)</f>
        <v/>
      </c>
      <c r="AS1168" s="14">
        <f>F1168*AR1168*in_two_wheeler_ticket*in_two_wheeler_comm*in_ins_partner_share+F1168*in_two_wheeler_ticket*in_two_wheeler_comm*in_ins_partner_share*(in_two_wheeler_renew^1*SUMIFS(AR1166:AR1201,B1166:B1201,B1168-12)+in_two_wheeler_renew^2*SUMIFS(AR1166:AR1201,B1166:B1201,B1168-24)+in_two_wheeler_renew^3*SUMIFS(AR1166:AR1201,B1166:B1201,B1168-36)+in_two_wheeler_renew^4*SUMIFS(AR1166:AR1201,B1166:B1201,B1168-48))</f>
        <v/>
      </c>
      <c r="AT1168" s="40">
        <f>AT1167*(1-IF(B1167&gt;=in_marketplace_from,d_hz_device*G1167,0))</f>
        <v/>
      </c>
      <c r="AU1168" s="14">
        <f>F1168*AT1168*IF(B1168&gt;=in_marketplace_from,d_hz_device*G1168,0)*in_device_ticket*in_device_comm*in_ins_partner_share</f>
        <v/>
      </c>
      <c r="AV1168" s="40">
        <f>AV1167*(1-IF(B1167&gt;=in_marketplace_from,d_hz_shop*G1167,0))</f>
        <v/>
      </c>
      <c r="AW1168" s="46">
        <f>AV1168*IF(B1168&gt;=in_marketplace_from,d_hz_shop*G1168,0)</f>
        <v/>
      </c>
      <c r="AX1168" s="14">
        <f>F1168*AW1168*in_shop_ticket*in_shop_comm*in_ins_partner_share+F1168*in_shop_ticket*in_shop_renew_comm*in_ins_partner_share*(in_shop_renew^1*SUMIFS(AW1166:AW1201,B1166:B1201,B1168-12)+in_shop_renew^2*SUMIFS(AW1166:AW1201,B1166:B1201,B1168-24)+in_shop_renew^3*SUMIFS(AW1166:AW1201,B1166:B1201,B1168-36)+in_shop_renew^4*SUMIFS(AW1166:AW1201,B1166:B1201,B1168-48))</f>
        <v/>
      </c>
      <c r="AY1168" s="40">
        <f>AY1167*(1-IF(B1167&gt;=in_marketplace_from,d_hz_sip*G1167,0))</f>
        <v/>
      </c>
      <c r="AZ1168" s="40">
        <f>AZ1167*d_rho_sip+AY1168*IF(B1168&gt;=in_marketplace_from,d_hz_sip*G1168,0)</f>
        <v/>
      </c>
      <c r="BA1168" s="40">
        <f>d_rho_sip*(BA1167+AZ1167)</f>
        <v/>
      </c>
      <c r="BB1168" s="14">
        <f>F1168*in_sip_ticket*(BA1168+0.5*AZ1168)*in_sip_comm/12</f>
        <v/>
      </c>
      <c r="BC1168" s="40">
        <f>BC1167*(1-IF(B1167&gt;=in_marketplace_from,d_hz_choti*G1167,0))</f>
        <v/>
      </c>
      <c r="BD1168" s="46">
        <f>BC1168*IF(B1168&gt;=in_marketplace_from,d_hz_choti*G1168,0)</f>
        <v/>
      </c>
      <c r="BE1168" s="14">
        <f>F1168*SUMIFS(BD1166:BD1201,B1166:B1201,B1168-in_choti_months)*in_choti_renew*in_choti_ticket</f>
        <v/>
      </c>
      <c r="BF1168" s="40">
        <f>BF1167*(1-IF(B1167&gt;=in_marketplace_from,d_hz_nps*G1167,0))</f>
        <v/>
      </c>
      <c r="BG1168" s="14">
        <f>F1168*BF1168*IF(B1168&gt;=in_marketplace_from,d_hz_nps*G1168,0)*in_nps_ticket*in_nps_comm</f>
        <v/>
      </c>
      <c r="BH1168" s="40">
        <f>BH1167*(1-IF(B1167&gt;=in_marketplace_from,d_hz_gold*G1167,0))</f>
        <v/>
      </c>
      <c r="BI1168" s="40">
        <f>BI1167*d_rho_gold+BH1168*IF(B1168&gt;=in_marketplace_from,d_hz_gold*G1168,0)</f>
        <v/>
      </c>
      <c r="BJ1168" s="14">
        <f>F1168*BI1168*in_gold_ticket*in_gold_comm</f>
        <v/>
      </c>
      <c r="BK1168" s="40">
        <f>BK1167*(1-IF(B1167&gt;=in_marketplace_from,d_hz_fd*G1167,0))</f>
        <v/>
      </c>
      <c r="BL1168" s="14">
        <f>F1168*BK1168*IF(B1168&gt;=in_marketplace_from,d_hz_fd*G1168,0)*in_fd_ticket*in_fd_comm</f>
        <v/>
      </c>
      <c r="BM1168" s="40">
        <f>BM1167*(1-IF(B1167&gt;=in_marketplace_from,d_hz_recharge*G1167,0))</f>
        <v/>
      </c>
      <c r="BN1168" s="40">
        <f>BN1167*d_rho_recharge+BM1168*IF(B1168&gt;=in_marketplace_from,d_hz_recharge*G1168,0)</f>
        <v/>
      </c>
      <c r="BO1168" s="14">
        <f>F1168*BN1168*in_recharge_ticket*in_recharge_comm/12</f>
        <v/>
      </c>
      <c r="BP1168" s="40">
        <f>BP1167*(1-IF(B1167&gt;=in_marketplace_from,d_hz_bills*G1167,0))</f>
        <v/>
      </c>
      <c r="BQ1168" s="40">
        <f>BQ1167*d_rho_bills+BP1168*IF(B1168&gt;=in_marketplace_from,d_hz_bills*G1168,0)</f>
        <v/>
      </c>
      <c r="BR1168" s="14">
        <f>F1168*BQ1168*in_bills_ticket*in_bills_comm/12</f>
        <v/>
      </c>
      <c r="BS1168" s="40">
        <f>BS1167*(1-IF(B1167&gt;=in_marketplace_from,d_hz_loan_gold*G1167,0))</f>
        <v/>
      </c>
      <c r="BT1168" s="14">
        <f>F1168*BS1168*IF(B1168&gt;=in_marketplace_from,d_hz_loan_gold*G1168,0)*in_loan_gold_ticket*in_loan_gold_comm</f>
        <v/>
      </c>
      <c r="BU1168" s="40">
        <f>BU1167*(1-IF(B1167&gt;=in_marketplace_from,d_hz_loan_cd*G1167,0))</f>
        <v/>
      </c>
      <c r="BV1168" s="14">
        <f>F1168*BU1168*IF(B1168&gt;=in_marketplace_from,d_hz_loan_cd*G1168,0)*in_loan_cd_ticket*in_loan_cd_comm</f>
        <v/>
      </c>
      <c r="BW1168" s="40">
        <f>BW1167*(1-IF(B1167&gt;=in_marketplace_from,d_hz_loan_vehicle*G1167,0))</f>
        <v/>
      </c>
      <c r="BX1168" s="14">
        <f>F1168*BW1168*IF(B1168&gt;=in_marketplace_from,d_hz_loan_vehicle*G1168,0)*in_loan_vehicle_ticket*in_loan_vehicle_comm</f>
        <v/>
      </c>
      <c r="BY1168" s="40">
        <f>BY1167*(1-IF(B1167&gt;=in_marketplace_from,d_hz_loan_home*G1167,0)*BZ1167)</f>
        <v/>
      </c>
      <c r="BZ1168" s="11">
        <f>MIN(in_approval_cap,in_loan_home_approval*INDEX('Age profile'!$O$2:$O$61,B1168)*(1+in_approval_growth)^(D1168-1))</f>
        <v/>
      </c>
      <c r="CA1168" s="14">
        <f>F1168*BY1168*IF(B1168&gt;=in_marketplace_from,d_hz_loan_home*G1168,0)*BZ1168*in_loan_home_ticket*in_loan_home_comm</f>
        <v/>
      </c>
      <c r="CB1168" s="40">
        <f>CB1167*(1-IF(B1167&gt;=in_marketplace_from,d_hz_loan_lap*G1167,0)*CC1167)</f>
        <v/>
      </c>
      <c r="CC1168" s="11">
        <f>MIN(in_approval_cap,in_loan_lap_approval*INDEX('Age profile'!$O$2:$O$61,B1168)*(1+in_approval_growth)^(D1168-1))</f>
        <v/>
      </c>
      <c r="CD1168" s="14">
        <f>F1168*CB1168*IF(B1168&gt;=in_marketplace_from,d_hz_loan_lap*G1168,0)*CC1168*in_loan_lap_ticket*in_loan_lap_comm</f>
        <v/>
      </c>
      <c r="CE1168" s="14">
        <f>AA1168+AB1168+AC1168+AD1168+AG1168+AJ1168+AM1168+AP1168+AS1168+AU1168+AX1168+BB1168+BE1168+BG1168+BJ1168+BL1168+BO1168+BR1168+BT1168+BV1168+BX1168+CA1168+CD1168</f>
        <v/>
      </c>
    </row>
    <row r="1169">
      <c r="A1169" s="39" t="n">
        <v>25</v>
      </c>
      <c r="B1169" s="39" t="n">
        <v>4</v>
      </c>
      <c r="C1169" s="39">
        <f>A1169+B1169-1</f>
        <v/>
      </c>
      <c r="D1169" s="39">
        <f>INT((C1169-1)/12)+1</f>
        <v/>
      </c>
      <c r="E1169" s="44">
        <f>INDEX(Monthly!$B$2:$B$61,A1169)</f>
        <v/>
      </c>
      <c r="F1169" s="44">
        <f>E1169*INDEX('Age profile'!$B$2:$B$61,B1169)</f>
        <v/>
      </c>
      <c r="G1169" s="45">
        <f>MIN(in_takeup_cap,INDEX('Age profile'!$N$2:$N$61,B1169)*(1+in_takeup_growth)^(D1169-1))</f>
        <v/>
      </c>
      <c r="H1169" s="11">
        <f>MIN(in_approval_cap,in_approved_first*INDEX('Age profile'!$O$2:$O$61,B1169)*(1+in_approval_growth)^(D1169-1))</f>
        <v/>
      </c>
      <c r="I1169" s="45">
        <f>G1169*MIN(in_takeup_cap,INDEX('Age profile'!$O$2:$O$61,B1169)*(1+in_approval_growth)^(D1169-1))</f>
        <v/>
      </c>
      <c r="J1169" s="40">
        <f>(J1168-L1168)*F1169/F1168</f>
        <v/>
      </c>
      <c r="K1169" s="40">
        <f>(K1168-M1168)*F1169/F1168+SUMIFS(O1166:O1168,B1166:B1168,B1169-1-d_T)*F1169</f>
        <v/>
      </c>
      <c r="L1169" s="40">
        <f>IF(B1169&gt;=in_marketplace_from,J1169*d_hz*G1169*in_eligible*H1169,0)</f>
        <v/>
      </c>
      <c r="M1169" s="40">
        <f>IF(B1169&gt;=in_marketplace_from,K1169*d_hz*G1169*in_eligible*in_approved_repeat,0)</f>
        <v/>
      </c>
      <c r="N1169" s="40">
        <f>L1169+M1169</f>
        <v/>
      </c>
      <c r="O1169" s="46">
        <f>N1169/F1169</f>
        <v/>
      </c>
      <c r="P1169" s="40">
        <f>F1169-J1169-K1169</f>
        <v/>
      </c>
      <c r="Q1169" s="40">
        <f>IF(B1169&gt;=in_marketplace_from,(J1169+K1169)*d_hz*G1169,0)</f>
        <v/>
      </c>
      <c r="R1169" s="40">
        <f>SUMIFS(N1166:N1201,B1166:B1201,"&gt;="&amp;(B1169-d_T),B1166:B1201,"&lt;="&amp;(B1169-1))</f>
        <v/>
      </c>
      <c r="S1169" s="46">
        <f>(1-d_u)*S1168+IF(d_T&gt;in_topup_lag,SUMIFS(O1166:O1201,B1166:B1201,B1169-in_topup_lag)-d_udrop*SUMIFS(O1166:O1201,B1166:B1201,B1169-d_T),0)</f>
        <v/>
      </c>
      <c r="T1169" s="40">
        <f>F1169*d_u*S1169</f>
        <v/>
      </c>
      <c r="U1169" s="9">
        <f>L1169*in_ticket+M1169*d_rep_ticket</f>
        <v/>
      </c>
      <c r="V1169" s="9">
        <f>U1169+T1169*d_topup_amt</f>
        <v/>
      </c>
      <c r="W1169" s="40">
        <f>N1169+T1169*d_topup_ratio</f>
        <v/>
      </c>
      <c r="X1169" s="40">
        <f>SUMIFS(W1166:W1201,B1166:B1201,B1169-in_dpd_lag)*d_cured</f>
        <v/>
      </c>
      <c r="Y1169" s="40">
        <f>SUMIFS(W1166:W1201,B1166:B1201,B1169-in_rec_lag)*d_recd</f>
        <v/>
      </c>
      <c r="Z1169" s="40">
        <f>IF(AND(B1169&gt;=in_marketplace_from,B1169&lt;in_marketplace_from+in_card_months),in_card_share/in_card_months*F1169*I1169,IF(AND(B1169&gt;=in_marketplace_from+in_card_months,B1169&lt;in_marketplace_from+2*in_card_months),in_card_share*d_card_rem/in_card_months*F1169*MIN(in_takeup_cap,(1+in_takeup_growth)^(D1169-1))*MIN(in_takeup_cap,(1+in_approval_growth)^(D1169-1)),0))</f>
        <v/>
      </c>
      <c r="AA1169" s="14">
        <f>V1169*in_fee*(1-in_taken_back)</f>
        <v/>
      </c>
      <c r="AB1169" s="14">
        <f>SUMIFS(W1166:W1201,B1166:B1201,B1169-in_dpd_lag)*d_dpd</f>
        <v/>
      </c>
      <c r="AC1169" s="14">
        <f>SUMIFS(W1166:W1201,B1166:B1201,B1169-in_rec_lag)*d_rec</f>
        <v/>
      </c>
      <c r="AD1169" s="14">
        <f>Z1169*in_card_fee</f>
        <v/>
      </c>
      <c r="AE1169" s="40">
        <f>AE1168*(1-IF(B1168&gt;=in_marketplace_from,d_hz_hlth_small*G1168,0))</f>
        <v/>
      </c>
      <c r="AF1169" s="46">
        <f>AE1169*IF(B1169&gt;=in_marketplace_from,d_hz_hlth_small*G1169,0)</f>
        <v/>
      </c>
      <c r="AG1169" s="14">
        <f>F1169*AF1169*in_hlth_small_ticket*in_hlth_small_comm*in_ins_partner_share+F1169*in_hlth_small_ticket*in_hlth_small_renew_comm*in_ins_partner_share*(in_hlth_small_renew^1*SUMIFS(AF1166:AF1201,B1166:B1201,B1169-12)+in_hlth_small_renew^2*SUMIFS(AF1166:AF1201,B1166:B1201,B1169-24)+in_hlth_small_renew^3*SUMIFS(AF1166:AF1201,B1166:B1201,B1169-36)+in_hlth_small_renew^4*SUMIFS(AF1166:AF1201,B1166:B1201,B1169-48))</f>
        <v/>
      </c>
      <c r="AH1169" s="40">
        <f>AH1168*(1-IF(B1168&gt;=in_marketplace_from,d_hz_hlth_family*G1168,0))</f>
        <v/>
      </c>
      <c r="AI1169" s="46">
        <f>AH1169*IF(B1169&gt;=in_marketplace_from,d_hz_hlth_family*G1169,0)</f>
        <v/>
      </c>
      <c r="AJ1169" s="14">
        <f>F1169*AI1169*in_hlth_family_ticket*in_hlth_family_comm*in_ins_partner_share+F1169*in_hlth_family_ticket*in_hlth_family_renew_comm*in_ins_partner_share*(in_hlth_family_renew^1*SUMIFS(AI1166:AI1201,B1166:B1201,B1169-12)+in_hlth_family_renew^2*SUMIFS(AI1166:AI1201,B1166:B1201,B1169-24)+in_hlth_family_renew^3*SUMIFS(AI1166:AI1201,B1166:B1201,B1169-36)+in_hlth_family_renew^4*SUMIFS(AI1166:AI1201,B1166:B1201,B1169-48))</f>
        <v/>
      </c>
      <c r="AK1169" s="40">
        <f>AK1168*(1-IF(B1168&gt;=in_marketplace_from,d_hz_life_term*G1168,0))</f>
        <v/>
      </c>
      <c r="AL1169" s="46">
        <f>AK1169*IF(B1169&gt;=in_marketplace_from,d_hz_life_term*G1169,0)</f>
        <v/>
      </c>
      <c r="AM1169" s="14">
        <f>F1169*AL1169*in_life_term_ticket*in_life_term_comm*in_ins_partner_share+F1169*in_life_term_ticket*in_life_term_renew_comm*in_ins_partner_share*(in_life_term_renew^1*SUMIFS(AL1166:AL1201,B1166:B1201,B1169-12)+in_life_term_renew^2*SUMIFS(AL1166:AL1201,B1166:B1201,B1169-24)+in_life_term_renew^3*SUMIFS(AL1166:AL1201,B1166:B1201,B1169-36)+in_life_term_renew^4*SUMIFS(AL1166:AL1201,B1166:B1201,B1169-48))</f>
        <v/>
      </c>
      <c r="AN1169" s="40">
        <f>AN1168*(1-IF(B1168&gt;=in_marketplace_from,d_hz_accident*G1168,0))</f>
        <v/>
      </c>
      <c r="AO1169" s="46">
        <f>AN1169*IF(B1169&gt;=in_marketplace_from,d_hz_accident*G1169,0)</f>
        <v/>
      </c>
      <c r="AP1169" s="14">
        <f>F1169*AO1169*in_accident_ticket*in_accident_comm*in_ins_partner_share+F1169*in_accident_ticket*in_accident_renew_comm*in_ins_partner_share*(in_accident_renew^1*SUMIFS(AO1166:AO1201,B1166:B1201,B1169-12)+in_accident_renew^2*SUMIFS(AO1166:AO1201,B1166:B1201,B1169-24)+in_accident_renew^3*SUMIFS(AO1166:AO1201,B1166:B1201,B1169-36)+in_accident_renew^4*SUMIFS(AO1166:AO1201,B1166:B1201,B1169-48))</f>
        <v/>
      </c>
      <c r="AQ1169" s="40">
        <f>AQ1168*(1-IF(B1168&gt;=in_marketplace_from,d_hz_two_wheeler*G1168,0))</f>
        <v/>
      </c>
      <c r="AR1169" s="46">
        <f>AQ1169*IF(B1169&gt;=in_marketplace_from,d_hz_two_wheeler*G1169,0)</f>
        <v/>
      </c>
      <c r="AS1169" s="14">
        <f>F1169*AR1169*in_two_wheeler_ticket*in_two_wheeler_comm*in_ins_partner_share+F1169*in_two_wheeler_ticket*in_two_wheeler_comm*in_ins_partner_share*(in_two_wheeler_renew^1*SUMIFS(AR1166:AR1201,B1166:B1201,B1169-12)+in_two_wheeler_renew^2*SUMIFS(AR1166:AR1201,B1166:B1201,B1169-24)+in_two_wheeler_renew^3*SUMIFS(AR1166:AR1201,B1166:B1201,B1169-36)+in_two_wheeler_renew^4*SUMIFS(AR1166:AR1201,B1166:B1201,B1169-48))</f>
        <v/>
      </c>
      <c r="AT1169" s="40">
        <f>AT1168*(1-IF(B1168&gt;=in_marketplace_from,d_hz_device*G1168,0))</f>
        <v/>
      </c>
      <c r="AU1169" s="14">
        <f>F1169*AT1169*IF(B1169&gt;=in_marketplace_from,d_hz_device*G1169,0)*in_device_ticket*in_device_comm*in_ins_partner_share</f>
        <v/>
      </c>
      <c r="AV1169" s="40">
        <f>AV1168*(1-IF(B1168&gt;=in_marketplace_from,d_hz_shop*G1168,0))</f>
        <v/>
      </c>
      <c r="AW1169" s="46">
        <f>AV1169*IF(B1169&gt;=in_marketplace_from,d_hz_shop*G1169,0)</f>
        <v/>
      </c>
      <c r="AX1169" s="14">
        <f>F1169*AW1169*in_shop_ticket*in_shop_comm*in_ins_partner_share+F1169*in_shop_ticket*in_shop_renew_comm*in_ins_partner_share*(in_shop_renew^1*SUMIFS(AW1166:AW1201,B1166:B1201,B1169-12)+in_shop_renew^2*SUMIFS(AW1166:AW1201,B1166:B1201,B1169-24)+in_shop_renew^3*SUMIFS(AW1166:AW1201,B1166:B1201,B1169-36)+in_shop_renew^4*SUMIFS(AW1166:AW1201,B1166:B1201,B1169-48))</f>
        <v/>
      </c>
      <c r="AY1169" s="40">
        <f>AY1168*(1-IF(B1168&gt;=in_marketplace_from,d_hz_sip*G1168,0))</f>
        <v/>
      </c>
      <c r="AZ1169" s="40">
        <f>AZ1168*d_rho_sip+AY1169*IF(B1169&gt;=in_marketplace_from,d_hz_sip*G1169,0)</f>
        <v/>
      </c>
      <c r="BA1169" s="40">
        <f>d_rho_sip*(BA1168+AZ1168)</f>
        <v/>
      </c>
      <c r="BB1169" s="14">
        <f>F1169*in_sip_ticket*(BA1169+0.5*AZ1169)*in_sip_comm/12</f>
        <v/>
      </c>
      <c r="BC1169" s="40">
        <f>BC1168*(1-IF(B1168&gt;=in_marketplace_from,d_hz_choti*G1168,0))</f>
        <v/>
      </c>
      <c r="BD1169" s="46">
        <f>BC1169*IF(B1169&gt;=in_marketplace_from,d_hz_choti*G1169,0)</f>
        <v/>
      </c>
      <c r="BE1169" s="14">
        <f>F1169*SUMIFS(BD1166:BD1201,B1166:B1201,B1169-in_choti_months)*in_choti_renew*in_choti_ticket</f>
        <v/>
      </c>
      <c r="BF1169" s="40">
        <f>BF1168*(1-IF(B1168&gt;=in_marketplace_from,d_hz_nps*G1168,0))</f>
        <v/>
      </c>
      <c r="BG1169" s="14">
        <f>F1169*BF1169*IF(B1169&gt;=in_marketplace_from,d_hz_nps*G1169,0)*in_nps_ticket*in_nps_comm</f>
        <v/>
      </c>
      <c r="BH1169" s="40">
        <f>BH1168*(1-IF(B1168&gt;=in_marketplace_from,d_hz_gold*G1168,0))</f>
        <v/>
      </c>
      <c r="BI1169" s="40">
        <f>BI1168*d_rho_gold+BH1169*IF(B1169&gt;=in_marketplace_from,d_hz_gold*G1169,0)</f>
        <v/>
      </c>
      <c r="BJ1169" s="14">
        <f>F1169*BI1169*in_gold_ticket*in_gold_comm</f>
        <v/>
      </c>
      <c r="BK1169" s="40">
        <f>BK1168*(1-IF(B1168&gt;=in_marketplace_from,d_hz_fd*G1168,0))</f>
        <v/>
      </c>
      <c r="BL1169" s="14">
        <f>F1169*BK1169*IF(B1169&gt;=in_marketplace_from,d_hz_fd*G1169,0)*in_fd_ticket*in_fd_comm</f>
        <v/>
      </c>
      <c r="BM1169" s="40">
        <f>BM1168*(1-IF(B1168&gt;=in_marketplace_from,d_hz_recharge*G1168,0))</f>
        <v/>
      </c>
      <c r="BN1169" s="40">
        <f>BN1168*d_rho_recharge+BM1169*IF(B1169&gt;=in_marketplace_from,d_hz_recharge*G1169,0)</f>
        <v/>
      </c>
      <c r="BO1169" s="14">
        <f>F1169*BN1169*in_recharge_ticket*in_recharge_comm/12</f>
        <v/>
      </c>
      <c r="BP1169" s="40">
        <f>BP1168*(1-IF(B1168&gt;=in_marketplace_from,d_hz_bills*G1168,0))</f>
        <v/>
      </c>
      <c r="BQ1169" s="40">
        <f>BQ1168*d_rho_bills+BP1169*IF(B1169&gt;=in_marketplace_from,d_hz_bills*G1169,0)</f>
        <v/>
      </c>
      <c r="BR1169" s="14">
        <f>F1169*BQ1169*in_bills_ticket*in_bills_comm/12</f>
        <v/>
      </c>
      <c r="BS1169" s="40">
        <f>BS1168*(1-IF(B1168&gt;=in_marketplace_from,d_hz_loan_gold*G1168,0))</f>
        <v/>
      </c>
      <c r="BT1169" s="14">
        <f>F1169*BS1169*IF(B1169&gt;=in_marketplace_from,d_hz_loan_gold*G1169,0)*in_loan_gold_ticket*in_loan_gold_comm</f>
        <v/>
      </c>
      <c r="BU1169" s="40">
        <f>BU1168*(1-IF(B1168&gt;=in_marketplace_from,d_hz_loan_cd*G1168,0))</f>
        <v/>
      </c>
      <c r="BV1169" s="14">
        <f>F1169*BU1169*IF(B1169&gt;=in_marketplace_from,d_hz_loan_cd*G1169,0)*in_loan_cd_ticket*in_loan_cd_comm</f>
        <v/>
      </c>
      <c r="BW1169" s="40">
        <f>BW1168*(1-IF(B1168&gt;=in_marketplace_from,d_hz_loan_vehicle*G1168,0))</f>
        <v/>
      </c>
      <c r="BX1169" s="14">
        <f>F1169*BW1169*IF(B1169&gt;=in_marketplace_from,d_hz_loan_vehicle*G1169,0)*in_loan_vehicle_ticket*in_loan_vehicle_comm</f>
        <v/>
      </c>
      <c r="BY1169" s="40">
        <f>BY1168*(1-IF(B1168&gt;=in_marketplace_from,d_hz_loan_home*G1168,0)*BZ1168)</f>
        <v/>
      </c>
      <c r="BZ1169" s="11">
        <f>MIN(in_approval_cap,in_loan_home_approval*INDEX('Age profile'!$O$2:$O$61,B1169)*(1+in_approval_growth)^(D1169-1))</f>
        <v/>
      </c>
      <c r="CA1169" s="14">
        <f>F1169*BY1169*IF(B1169&gt;=in_marketplace_from,d_hz_loan_home*G1169,0)*BZ1169*in_loan_home_ticket*in_loan_home_comm</f>
        <v/>
      </c>
      <c r="CB1169" s="40">
        <f>CB1168*(1-IF(B1168&gt;=in_marketplace_from,d_hz_loan_lap*G1168,0)*CC1168)</f>
        <v/>
      </c>
      <c r="CC1169" s="11">
        <f>MIN(in_approval_cap,in_loan_lap_approval*INDEX('Age profile'!$O$2:$O$61,B1169)*(1+in_approval_growth)^(D1169-1))</f>
        <v/>
      </c>
      <c r="CD1169" s="14">
        <f>F1169*CB1169*IF(B1169&gt;=in_marketplace_from,d_hz_loan_lap*G1169,0)*CC1169*in_loan_lap_ticket*in_loan_lap_comm</f>
        <v/>
      </c>
      <c r="CE1169" s="14">
        <f>AA1169+AB1169+AC1169+AD1169+AG1169+AJ1169+AM1169+AP1169+AS1169+AU1169+AX1169+BB1169+BE1169+BG1169+BJ1169+BL1169+BO1169+BR1169+BT1169+BV1169+BX1169+CA1169+CD1169</f>
        <v/>
      </c>
    </row>
    <row r="1170">
      <c r="A1170" s="39" t="n">
        <v>25</v>
      </c>
      <c r="B1170" s="39" t="n">
        <v>5</v>
      </c>
      <c r="C1170" s="39">
        <f>A1170+B1170-1</f>
        <v/>
      </c>
      <c r="D1170" s="39">
        <f>INT((C1170-1)/12)+1</f>
        <v/>
      </c>
      <c r="E1170" s="44">
        <f>INDEX(Monthly!$B$2:$B$61,A1170)</f>
        <v/>
      </c>
      <c r="F1170" s="44">
        <f>E1170*INDEX('Age profile'!$B$2:$B$61,B1170)</f>
        <v/>
      </c>
      <c r="G1170" s="45">
        <f>MIN(in_takeup_cap,INDEX('Age profile'!$N$2:$N$61,B1170)*(1+in_takeup_growth)^(D1170-1))</f>
        <v/>
      </c>
      <c r="H1170" s="11">
        <f>MIN(in_approval_cap,in_approved_first*INDEX('Age profile'!$O$2:$O$61,B1170)*(1+in_approval_growth)^(D1170-1))</f>
        <v/>
      </c>
      <c r="I1170" s="45">
        <f>G1170*MIN(in_takeup_cap,INDEX('Age profile'!$O$2:$O$61,B1170)*(1+in_approval_growth)^(D1170-1))</f>
        <v/>
      </c>
      <c r="J1170" s="40">
        <f>(J1169-L1169)*F1170/F1169</f>
        <v/>
      </c>
      <c r="K1170" s="40">
        <f>(K1169-M1169)*F1170/F1169+SUMIFS(O1166:O1169,B1166:B1169,B1170-1-d_T)*F1170</f>
        <v/>
      </c>
      <c r="L1170" s="40">
        <f>IF(B1170&gt;=in_marketplace_from,J1170*d_hz*G1170*in_eligible*H1170,0)</f>
        <v/>
      </c>
      <c r="M1170" s="40">
        <f>IF(B1170&gt;=in_marketplace_from,K1170*d_hz*G1170*in_eligible*in_approved_repeat,0)</f>
        <v/>
      </c>
      <c r="N1170" s="40">
        <f>L1170+M1170</f>
        <v/>
      </c>
      <c r="O1170" s="46">
        <f>N1170/F1170</f>
        <v/>
      </c>
      <c r="P1170" s="40">
        <f>F1170-J1170-K1170</f>
        <v/>
      </c>
      <c r="Q1170" s="40">
        <f>IF(B1170&gt;=in_marketplace_from,(J1170+K1170)*d_hz*G1170,0)</f>
        <v/>
      </c>
      <c r="R1170" s="40">
        <f>SUMIFS(N1166:N1201,B1166:B1201,"&gt;="&amp;(B1170-d_T),B1166:B1201,"&lt;="&amp;(B1170-1))</f>
        <v/>
      </c>
      <c r="S1170" s="46">
        <f>(1-d_u)*S1169+IF(d_T&gt;in_topup_lag,SUMIFS(O1166:O1201,B1166:B1201,B1170-in_topup_lag)-d_udrop*SUMIFS(O1166:O1201,B1166:B1201,B1170-d_T),0)</f>
        <v/>
      </c>
      <c r="T1170" s="40">
        <f>F1170*d_u*S1170</f>
        <v/>
      </c>
      <c r="U1170" s="9">
        <f>L1170*in_ticket+M1170*d_rep_ticket</f>
        <v/>
      </c>
      <c r="V1170" s="9">
        <f>U1170+T1170*d_topup_amt</f>
        <v/>
      </c>
      <c r="W1170" s="40">
        <f>N1170+T1170*d_topup_ratio</f>
        <v/>
      </c>
      <c r="X1170" s="40">
        <f>SUMIFS(W1166:W1201,B1166:B1201,B1170-in_dpd_lag)*d_cured</f>
        <v/>
      </c>
      <c r="Y1170" s="40">
        <f>SUMIFS(W1166:W1201,B1166:B1201,B1170-in_rec_lag)*d_recd</f>
        <v/>
      </c>
      <c r="Z1170" s="40">
        <f>IF(AND(B1170&gt;=in_marketplace_from,B1170&lt;in_marketplace_from+in_card_months),in_card_share/in_card_months*F1170*I1170,IF(AND(B1170&gt;=in_marketplace_from+in_card_months,B1170&lt;in_marketplace_from+2*in_card_months),in_card_share*d_card_rem/in_card_months*F1170*MIN(in_takeup_cap,(1+in_takeup_growth)^(D1170-1))*MIN(in_takeup_cap,(1+in_approval_growth)^(D1170-1)),0))</f>
        <v/>
      </c>
      <c r="AA1170" s="14">
        <f>V1170*in_fee*(1-in_taken_back)</f>
        <v/>
      </c>
      <c r="AB1170" s="14">
        <f>SUMIFS(W1166:W1201,B1166:B1201,B1170-in_dpd_lag)*d_dpd</f>
        <v/>
      </c>
      <c r="AC1170" s="14">
        <f>SUMIFS(W1166:W1201,B1166:B1201,B1170-in_rec_lag)*d_rec</f>
        <v/>
      </c>
      <c r="AD1170" s="14">
        <f>Z1170*in_card_fee</f>
        <v/>
      </c>
      <c r="AE1170" s="40">
        <f>AE1169*(1-IF(B1169&gt;=in_marketplace_from,d_hz_hlth_small*G1169,0))</f>
        <v/>
      </c>
      <c r="AF1170" s="46">
        <f>AE1170*IF(B1170&gt;=in_marketplace_from,d_hz_hlth_small*G1170,0)</f>
        <v/>
      </c>
      <c r="AG1170" s="14">
        <f>F1170*AF1170*in_hlth_small_ticket*in_hlth_small_comm*in_ins_partner_share+F1170*in_hlth_small_ticket*in_hlth_small_renew_comm*in_ins_partner_share*(in_hlth_small_renew^1*SUMIFS(AF1166:AF1201,B1166:B1201,B1170-12)+in_hlth_small_renew^2*SUMIFS(AF1166:AF1201,B1166:B1201,B1170-24)+in_hlth_small_renew^3*SUMIFS(AF1166:AF1201,B1166:B1201,B1170-36)+in_hlth_small_renew^4*SUMIFS(AF1166:AF1201,B1166:B1201,B1170-48))</f>
        <v/>
      </c>
      <c r="AH1170" s="40">
        <f>AH1169*(1-IF(B1169&gt;=in_marketplace_from,d_hz_hlth_family*G1169,0))</f>
        <v/>
      </c>
      <c r="AI1170" s="46">
        <f>AH1170*IF(B1170&gt;=in_marketplace_from,d_hz_hlth_family*G1170,0)</f>
        <v/>
      </c>
      <c r="AJ1170" s="14">
        <f>F1170*AI1170*in_hlth_family_ticket*in_hlth_family_comm*in_ins_partner_share+F1170*in_hlth_family_ticket*in_hlth_family_renew_comm*in_ins_partner_share*(in_hlth_family_renew^1*SUMIFS(AI1166:AI1201,B1166:B1201,B1170-12)+in_hlth_family_renew^2*SUMIFS(AI1166:AI1201,B1166:B1201,B1170-24)+in_hlth_family_renew^3*SUMIFS(AI1166:AI1201,B1166:B1201,B1170-36)+in_hlth_family_renew^4*SUMIFS(AI1166:AI1201,B1166:B1201,B1170-48))</f>
        <v/>
      </c>
      <c r="AK1170" s="40">
        <f>AK1169*(1-IF(B1169&gt;=in_marketplace_from,d_hz_life_term*G1169,0))</f>
        <v/>
      </c>
      <c r="AL1170" s="46">
        <f>AK1170*IF(B1170&gt;=in_marketplace_from,d_hz_life_term*G1170,0)</f>
        <v/>
      </c>
      <c r="AM1170" s="14">
        <f>F1170*AL1170*in_life_term_ticket*in_life_term_comm*in_ins_partner_share+F1170*in_life_term_ticket*in_life_term_renew_comm*in_ins_partner_share*(in_life_term_renew^1*SUMIFS(AL1166:AL1201,B1166:B1201,B1170-12)+in_life_term_renew^2*SUMIFS(AL1166:AL1201,B1166:B1201,B1170-24)+in_life_term_renew^3*SUMIFS(AL1166:AL1201,B1166:B1201,B1170-36)+in_life_term_renew^4*SUMIFS(AL1166:AL1201,B1166:B1201,B1170-48))</f>
        <v/>
      </c>
      <c r="AN1170" s="40">
        <f>AN1169*(1-IF(B1169&gt;=in_marketplace_from,d_hz_accident*G1169,0))</f>
        <v/>
      </c>
      <c r="AO1170" s="46">
        <f>AN1170*IF(B1170&gt;=in_marketplace_from,d_hz_accident*G1170,0)</f>
        <v/>
      </c>
      <c r="AP1170" s="14">
        <f>F1170*AO1170*in_accident_ticket*in_accident_comm*in_ins_partner_share+F1170*in_accident_ticket*in_accident_renew_comm*in_ins_partner_share*(in_accident_renew^1*SUMIFS(AO1166:AO1201,B1166:B1201,B1170-12)+in_accident_renew^2*SUMIFS(AO1166:AO1201,B1166:B1201,B1170-24)+in_accident_renew^3*SUMIFS(AO1166:AO1201,B1166:B1201,B1170-36)+in_accident_renew^4*SUMIFS(AO1166:AO1201,B1166:B1201,B1170-48))</f>
        <v/>
      </c>
      <c r="AQ1170" s="40">
        <f>AQ1169*(1-IF(B1169&gt;=in_marketplace_from,d_hz_two_wheeler*G1169,0))</f>
        <v/>
      </c>
      <c r="AR1170" s="46">
        <f>AQ1170*IF(B1170&gt;=in_marketplace_from,d_hz_two_wheeler*G1170,0)</f>
        <v/>
      </c>
      <c r="AS1170" s="14">
        <f>F1170*AR1170*in_two_wheeler_ticket*in_two_wheeler_comm*in_ins_partner_share+F1170*in_two_wheeler_ticket*in_two_wheeler_comm*in_ins_partner_share*(in_two_wheeler_renew^1*SUMIFS(AR1166:AR1201,B1166:B1201,B1170-12)+in_two_wheeler_renew^2*SUMIFS(AR1166:AR1201,B1166:B1201,B1170-24)+in_two_wheeler_renew^3*SUMIFS(AR1166:AR1201,B1166:B1201,B1170-36)+in_two_wheeler_renew^4*SUMIFS(AR1166:AR1201,B1166:B1201,B1170-48))</f>
        <v/>
      </c>
      <c r="AT1170" s="40">
        <f>AT1169*(1-IF(B1169&gt;=in_marketplace_from,d_hz_device*G1169,0))</f>
        <v/>
      </c>
      <c r="AU1170" s="14">
        <f>F1170*AT1170*IF(B1170&gt;=in_marketplace_from,d_hz_device*G1170,0)*in_device_ticket*in_device_comm*in_ins_partner_share</f>
        <v/>
      </c>
      <c r="AV1170" s="40">
        <f>AV1169*(1-IF(B1169&gt;=in_marketplace_from,d_hz_shop*G1169,0))</f>
        <v/>
      </c>
      <c r="AW1170" s="46">
        <f>AV1170*IF(B1170&gt;=in_marketplace_from,d_hz_shop*G1170,0)</f>
        <v/>
      </c>
      <c r="AX1170" s="14">
        <f>F1170*AW1170*in_shop_ticket*in_shop_comm*in_ins_partner_share+F1170*in_shop_ticket*in_shop_renew_comm*in_ins_partner_share*(in_shop_renew^1*SUMIFS(AW1166:AW1201,B1166:B1201,B1170-12)+in_shop_renew^2*SUMIFS(AW1166:AW1201,B1166:B1201,B1170-24)+in_shop_renew^3*SUMIFS(AW1166:AW1201,B1166:B1201,B1170-36)+in_shop_renew^4*SUMIFS(AW1166:AW1201,B1166:B1201,B1170-48))</f>
        <v/>
      </c>
      <c r="AY1170" s="40">
        <f>AY1169*(1-IF(B1169&gt;=in_marketplace_from,d_hz_sip*G1169,0))</f>
        <v/>
      </c>
      <c r="AZ1170" s="40">
        <f>AZ1169*d_rho_sip+AY1170*IF(B1170&gt;=in_marketplace_from,d_hz_sip*G1170,0)</f>
        <v/>
      </c>
      <c r="BA1170" s="40">
        <f>d_rho_sip*(BA1169+AZ1169)</f>
        <v/>
      </c>
      <c r="BB1170" s="14">
        <f>F1170*in_sip_ticket*(BA1170+0.5*AZ1170)*in_sip_comm/12</f>
        <v/>
      </c>
      <c r="BC1170" s="40">
        <f>BC1169*(1-IF(B1169&gt;=in_marketplace_from,d_hz_choti*G1169,0))</f>
        <v/>
      </c>
      <c r="BD1170" s="46">
        <f>BC1170*IF(B1170&gt;=in_marketplace_from,d_hz_choti*G1170,0)</f>
        <v/>
      </c>
      <c r="BE1170" s="14">
        <f>F1170*SUMIFS(BD1166:BD1201,B1166:B1201,B1170-in_choti_months)*in_choti_renew*in_choti_ticket</f>
        <v/>
      </c>
      <c r="BF1170" s="40">
        <f>BF1169*(1-IF(B1169&gt;=in_marketplace_from,d_hz_nps*G1169,0))</f>
        <v/>
      </c>
      <c r="BG1170" s="14">
        <f>F1170*BF1170*IF(B1170&gt;=in_marketplace_from,d_hz_nps*G1170,0)*in_nps_ticket*in_nps_comm</f>
        <v/>
      </c>
      <c r="BH1170" s="40">
        <f>BH1169*(1-IF(B1169&gt;=in_marketplace_from,d_hz_gold*G1169,0))</f>
        <v/>
      </c>
      <c r="BI1170" s="40">
        <f>BI1169*d_rho_gold+BH1170*IF(B1170&gt;=in_marketplace_from,d_hz_gold*G1170,0)</f>
        <v/>
      </c>
      <c r="BJ1170" s="14">
        <f>F1170*BI1170*in_gold_ticket*in_gold_comm</f>
        <v/>
      </c>
      <c r="BK1170" s="40">
        <f>BK1169*(1-IF(B1169&gt;=in_marketplace_from,d_hz_fd*G1169,0))</f>
        <v/>
      </c>
      <c r="BL1170" s="14">
        <f>F1170*BK1170*IF(B1170&gt;=in_marketplace_from,d_hz_fd*G1170,0)*in_fd_ticket*in_fd_comm</f>
        <v/>
      </c>
      <c r="BM1170" s="40">
        <f>BM1169*(1-IF(B1169&gt;=in_marketplace_from,d_hz_recharge*G1169,0))</f>
        <v/>
      </c>
      <c r="BN1170" s="40">
        <f>BN1169*d_rho_recharge+BM1170*IF(B1170&gt;=in_marketplace_from,d_hz_recharge*G1170,0)</f>
        <v/>
      </c>
      <c r="BO1170" s="14">
        <f>F1170*BN1170*in_recharge_ticket*in_recharge_comm/12</f>
        <v/>
      </c>
      <c r="BP1170" s="40">
        <f>BP1169*(1-IF(B1169&gt;=in_marketplace_from,d_hz_bills*G1169,0))</f>
        <v/>
      </c>
      <c r="BQ1170" s="40">
        <f>BQ1169*d_rho_bills+BP1170*IF(B1170&gt;=in_marketplace_from,d_hz_bills*G1170,0)</f>
        <v/>
      </c>
      <c r="BR1170" s="14">
        <f>F1170*BQ1170*in_bills_ticket*in_bills_comm/12</f>
        <v/>
      </c>
      <c r="BS1170" s="40">
        <f>BS1169*(1-IF(B1169&gt;=in_marketplace_from,d_hz_loan_gold*G1169,0))</f>
        <v/>
      </c>
      <c r="BT1170" s="14">
        <f>F1170*BS1170*IF(B1170&gt;=in_marketplace_from,d_hz_loan_gold*G1170,0)*in_loan_gold_ticket*in_loan_gold_comm</f>
        <v/>
      </c>
      <c r="BU1170" s="40">
        <f>BU1169*(1-IF(B1169&gt;=in_marketplace_from,d_hz_loan_cd*G1169,0))</f>
        <v/>
      </c>
      <c r="BV1170" s="14">
        <f>F1170*BU1170*IF(B1170&gt;=in_marketplace_from,d_hz_loan_cd*G1170,0)*in_loan_cd_ticket*in_loan_cd_comm</f>
        <v/>
      </c>
      <c r="BW1170" s="40">
        <f>BW1169*(1-IF(B1169&gt;=in_marketplace_from,d_hz_loan_vehicle*G1169,0))</f>
        <v/>
      </c>
      <c r="BX1170" s="14">
        <f>F1170*BW1170*IF(B1170&gt;=in_marketplace_from,d_hz_loan_vehicle*G1170,0)*in_loan_vehicle_ticket*in_loan_vehicle_comm</f>
        <v/>
      </c>
      <c r="BY1170" s="40">
        <f>BY1169*(1-IF(B1169&gt;=in_marketplace_from,d_hz_loan_home*G1169,0)*BZ1169)</f>
        <v/>
      </c>
      <c r="BZ1170" s="11">
        <f>MIN(in_approval_cap,in_loan_home_approval*INDEX('Age profile'!$O$2:$O$61,B1170)*(1+in_approval_growth)^(D1170-1))</f>
        <v/>
      </c>
      <c r="CA1170" s="14">
        <f>F1170*BY1170*IF(B1170&gt;=in_marketplace_from,d_hz_loan_home*G1170,0)*BZ1170*in_loan_home_ticket*in_loan_home_comm</f>
        <v/>
      </c>
      <c r="CB1170" s="40">
        <f>CB1169*(1-IF(B1169&gt;=in_marketplace_from,d_hz_loan_lap*G1169,0)*CC1169)</f>
        <v/>
      </c>
      <c r="CC1170" s="11">
        <f>MIN(in_approval_cap,in_loan_lap_approval*INDEX('Age profile'!$O$2:$O$61,B1170)*(1+in_approval_growth)^(D1170-1))</f>
        <v/>
      </c>
      <c r="CD1170" s="14">
        <f>F1170*CB1170*IF(B1170&gt;=in_marketplace_from,d_hz_loan_lap*G1170,0)*CC1170*in_loan_lap_ticket*in_loan_lap_comm</f>
        <v/>
      </c>
      <c r="CE1170" s="14">
        <f>AA1170+AB1170+AC1170+AD1170+AG1170+AJ1170+AM1170+AP1170+AS1170+AU1170+AX1170+BB1170+BE1170+BG1170+BJ1170+BL1170+BO1170+BR1170+BT1170+BV1170+BX1170+CA1170+CD1170</f>
        <v/>
      </c>
    </row>
    <row r="1171">
      <c r="A1171" s="39" t="n">
        <v>25</v>
      </c>
      <c r="B1171" s="39" t="n">
        <v>6</v>
      </c>
      <c r="C1171" s="39">
        <f>A1171+B1171-1</f>
        <v/>
      </c>
      <c r="D1171" s="39">
        <f>INT((C1171-1)/12)+1</f>
        <v/>
      </c>
      <c r="E1171" s="44">
        <f>INDEX(Monthly!$B$2:$B$61,A1171)</f>
        <v/>
      </c>
      <c r="F1171" s="44">
        <f>E1171*INDEX('Age profile'!$B$2:$B$61,B1171)</f>
        <v/>
      </c>
      <c r="G1171" s="45">
        <f>MIN(in_takeup_cap,INDEX('Age profile'!$N$2:$N$61,B1171)*(1+in_takeup_growth)^(D1171-1))</f>
        <v/>
      </c>
      <c r="H1171" s="11">
        <f>MIN(in_approval_cap,in_approved_first*INDEX('Age profile'!$O$2:$O$61,B1171)*(1+in_approval_growth)^(D1171-1))</f>
        <v/>
      </c>
      <c r="I1171" s="45">
        <f>G1171*MIN(in_takeup_cap,INDEX('Age profile'!$O$2:$O$61,B1171)*(1+in_approval_growth)^(D1171-1))</f>
        <v/>
      </c>
      <c r="J1171" s="40">
        <f>(J1170-L1170)*F1171/F1170</f>
        <v/>
      </c>
      <c r="K1171" s="40">
        <f>(K1170-M1170)*F1171/F1170+SUMIFS(O1166:O1170,B1166:B1170,B1171-1-d_T)*F1171</f>
        <v/>
      </c>
      <c r="L1171" s="40">
        <f>IF(B1171&gt;=in_marketplace_from,J1171*d_hz*G1171*in_eligible*H1171,0)</f>
        <v/>
      </c>
      <c r="M1171" s="40">
        <f>IF(B1171&gt;=in_marketplace_from,K1171*d_hz*G1171*in_eligible*in_approved_repeat,0)</f>
        <v/>
      </c>
      <c r="N1171" s="40">
        <f>L1171+M1171</f>
        <v/>
      </c>
      <c r="O1171" s="46">
        <f>N1171/F1171</f>
        <v/>
      </c>
      <c r="P1171" s="40">
        <f>F1171-J1171-K1171</f>
        <v/>
      </c>
      <c r="Q1171" s="40">
        <f>IF(B1171&gt;=in_marketplace_from,(J1171+K1171)*d_hz*G1171,0)</f>
        <v/>
      </c>
      <c r="R1171" s="40">
        <f>SUMIFS(N1166:N1201,B1166:B1201,"&gt;="&amp;(B1171-d_T),B1166:B1201,"&lt;="&amp;(B1171-1))</f>
        <v/>
      </c>
      <c r="S1171" s="46">
        <f>(1-d_u)*S1170+IF(d_T&gt;in_topup_lag,SUMIFS(O1166:O1201,B1166:B1201,B1171-in_topup_lag)-d_udrop*SUMIFS(O1166:O1201,B1166:B1201,B1171-d_T),0)</f>
        <v/>
      </c>
      <c r="T1171" s="40">
        <f>F1171*d_u*S1171</f>
        <v/>
      </c>
      <c r="U1171" s="9">
        <f>L1171*in_ticket+M1171*d_rep_ticket</f>
        <v/>
      </c>
      <c r="V1171" s="9">
        <f>U1171+T1171*d_topup_amt</f>
        <v/>
      </c>
      <c r="W1171" s="40">
        <f>N1171+T1171*d_topup_ratio</f>
        <v/>
      </c>
      <c r="X1171" s="40">
        <f>SUMIFS(W1166:W1201,B1166:B1201,B1171-in_dpd_lag)*d_cured</f>
        <v/>
      </c>
      <c r="Y1171" s="40">
        <f>SUMIFS(W1166:W1201,B1166:B1201,B1171-in_rec_lag)*d_recd</f>
        <v/>
      </c>
      <c r="Z1171" s="40">
        <f>IF(AND(B1171&gt;=in_marketplace_from,B1171&lt;in_marketplace_from+in_card_months),in_card_share/in_card_months*F1171*I1171,IF(AND(B1171&gt;=in_marketplace_from+in_card_months,B1171&lt;in_marketplace_from+2*in_card_months),in_card_share*d_card_rem/in_card_months*F1171*MIN(in_takeup_cap,(1+in_takeup_growth)^(D1171-1))*MIN(in_takeup_cap,(1+in_approval_growth)^(D1171-1)),0))</f>
        <v/>
      </c>
      <c r="AA1171" s="14">
        <f>V1171*in_fee*(1-in_taken_back)</f>
        <v/>
      </c>
      <c r="AB1171" s="14">
        <f>SUMIFS(W1166:W1201,B1166:B1201,B1171-in_dpd_lag)*d_dpd</f>
        <v/>
      </c>
      <c r="AC1171" s="14">
        <f>SUMIFS(W1166:W1201,B1166:B1201,B1171-in_rec_lag)*d_rec</f>
        <v/>
      </c>
      <c r="AD1171" s="14">
        <f>Z1171*in_card_fee</f>
        <v/>
      </c>
      <c r="AE1171" s="40">
        <f>AE1170*(1-IF(B1170&gt;=in_marketplace_from,d_hz_hlth_small*G1170,0))</f>
        <v/>
      </c>
      <c r="AF1171" s="46">
        <f>AE1171*IF(B1171&gt;=in_marketplace_from,d_hz_hlth_small*G1171,0)</f>
        <v/>
      </c>
      <c r="AG1171" s="14">
        <f>F1171*AF1171*in_hlth_small_ticket*in_hlth_small_comm*in_ins_partner_share+F1171*in_hlth_small_ticket*in_hlth_small_renew_comm*in_ins_partner_share*(in_hlth_small_renew^1*SUMIFS(AF1166:AF1201,B1166:B1201,B1171-12)+in_hlth_small_renew^2*SUMIFS(AF1166:AF1201,B1166:B1201,B1171-24)+in_hlth_small_renew^3*SUMIFS(AF1166:AF1201,B1166:B1201,B1171-36)+in_hlth_small_renew^4*SUMIFS(AF1166:AF1201,B1166:B1201,B1171-48))</f>
        <v/>
      </c>
      <c r="AH1171" s="40">
        <f>AH1170*(1-IF(B1170&gt;=in_marketplace_from,d_hz_hlth_family*G1170,0))</f>
        <v/>
      </c>
      <c r="AI1171" s="46">
        <f>AH1171*IF(B1171&gt;=in_marketplace_from,d_hz_hlth_family*G1171,0)</f>
        <v/>
      </c>
      <c r="AJ1171" s="14">
        <f>F1171*AI1171*in_hlth_family_ticket*in_hlth_family_comm*in_ins_partner_share+F1171*in_hlth_family_ticket*in_hlth_family_renew_comm*in_ins_partner_share*(in_hlth_family_renew^1*SUMIFS(AI1166:AI1201,B1166:B1201,B1171-12)+in_hlth_family_renew^2*SUMIFS(AI1166:AI1201,B1166:B1201,B1171-24)+in_hlth_family_renew^3*SUMIFS(AI1166:AI1201,B1166:B1201,B1171-36)+in_hlth_family_renew^4*SUMIFS(AI1166:AI1201,B1166:B1201,B1171-48))</f>
        <v/>
      </c>
      <c r="AK1171" s="40">
        <f>AK1170*(1-IF(B1170&gt;=in_marketplace_from,d_hz_life_term*G1170,0))</f>
        <v/>
      </c>
      <c r="AL1171" s="46">
        <f>AK1171*IF(B1171&gt;=in_marketplace_from,d_hz_life_term*G1171,0)</f>
        <v/>
      </c>
      <c r="AM1171" s="14">
        <f>F1171*AL1171*in_life_term_ticket*in_life_term_comm*in_ins_partner_share+F1171*in_life_term_ticket*in_life_term_renew_comm*in_ins_partner_share*(in_life_term_renew^1*SUMIFS(AL1166:AL1201,B1166:B1201,B1171-12)+in_life_term_renew^2*SUMIFS(AL1166:AL1201,B1166:B1201,B1171-24)+in_life_term_renew^3*SUMIFS(AL1166:AL1201,B1166:B1201,B1171-36)+in_life_term_renew^4*SUMIFS(AL1166:AL1201,B1166:B1201,B1171-48))</f>
        <v/>
      </c>
      <c r="AN1171" s="40">
        <f>AN1170*(1-IF(B1170&gt;=in_marketplace_from,d_hz_accident*G1170,0))</f>
        <v/>
      </c>
      <c r="AO1171" s="46">
        <f>AN1171*IF(B1171&gt;=in_marketplace_from,d_hz_accident*G1171,0)</f>
        <v/>
      </c>
      <c r="AP1171" s="14">
        <f>F1171*AO1171*in_accident_ticket*in_accident_comm*in_ins_partner_share+F1171*in_accident_ticket*in_accident_renew_comm*in_ins_partner_share*(in_accident_renew^1*SUMIFS(AO1166:AO1201,B1166:B1201,B1171-12)+in_accident_renew^2*SUMIFS(AO1166:AO1201,B1166:B1201,B1171-24)+in_accident_renew^3*SUMIFS(AO1166:AO1201,B1166:B1201,B1171-36)+in_accident_renew^4*SUMIFS(AO1166:AO1201,B1166:B1201,B1171-48))</f>
        <v/>
      </c>
      <c r="AQ1171" s="40">
        <f>AQ1170*(1-IF(B1170&gt;=in_marketplace_from,d_hz_two_wheeler*G1170,0))</f>
        <v/>
      </c>
      <c r="AR1171" s="46">
        <f>AQ1171*IF(B1171&gt;=in_marketplace_from,d_hz_two_wheeler*G1171,0)</f>
        <v/>
      </c>
      <c r="AS1171" s="14">
        <f>F1171*AR1171*in_two_wheeler_ticket*in_two_wheeler_comm*in_ins_partner_share+F1171*in_two_wheeler_ticket*in_two_wheeler_comm*in_ins_partner_share*(in_two_wheeler_renew^1*SUMIFS(AR1166:AR1201,B1166:B1201,B1171-12)+in_two_wheeler_renew^2*SUMIFS(AR1166:AR1201,B1166:B1201,B1171-24)+in_two_wheeler_renew^3*SUMIFS(AR1166:AR1201,B1166:B1201,B1171-36)+in_two_wheeler_renew^4*SUMIFS(AR1166:AR1201,B1166:B1201,B1171-48))</f>
        <v/>
      </c>
      <c r="AT1171" s="40">
        <f>AT1170*(1-IF(B1170&gt;=in_marketplace_from,d_hz_device*G1170,0))</f>
        <v/>
      </c>
      <c r="AU1171" s="14">
        <f>F1171*AT1171*IF(B1171&gt;=in_marketplace_from,d_hz_device*G1171,0)*in_device_ticket*in_device_comm*in_ins_partner_share</f>
        <v/>
      </c>
      <c r="AV1171" s="40">
        <f>AV1170*(1-IF(B1170&gt;=in_marketplace_from,d_hz_shop*G1170,0))</f>
        <v/>
      </c>
      <c r="AW1171" s="46">
        <f>AV1171*IF(B1171&gt;=in_marketplace_from,d_hz_shop*G1171,0)</f>
        <v/>
      </c>
      <c r="AX1171" s="14">
        <f>F1171*AW1171*in_shop_ticket*in_shop_comm*in_ins_partner_share+F1171*in_shop_ticket*in_shop_renew_comm*in_ins_partner_share*(in_shop_renew^1*SUMIFS(AW1166:AW1201,B1166:B1201,B1171-12)+in_shop_renew^2*SUMIFS(AW1166:AW1201,B1166:B1201,B1171-24)+in_shop_renew^3*SUMIFS(AW1166:AW1201,B1166:B1201,B1171-36)+in_shop_renew^4*SUMIFS(AW1166:AW1201,B1166:B1201,B1171-48))</f>
        <v/>
      </c>
      <c r="AY1171" s="40">
        <f>AY1170*(1-IF(B1170&gt;=in_marketplace_from,d_hz_sip*G1170,0))</f>
        <v/>
      </c>
      <c r="AZ1171" s="40">
        <f>AZ1170*d_rho_sip+AY1171*IF(B1171&gt;=in_marketplace_from,d_hz_sip*G1171,0)</f>
        <v/>
      </c>
      <c r="BA1171" s="40">
        <f>d_rho_sip*(BA1170+AZ1170)</f>
        <v/>
      </c>
      <c r="BB1171" s="14">
        <f>F1171*in_sip_ticket*(BA1171+0.5*AZ1171)*in_sip_comm/12</f>
        <v/>
      </c>
      <c r="BC1171" s="40">
        <f>BC1170*(1-IF(B1170&gt;=in_marketplace_from,d_hz_choti*G1170,0))</f>
        <v/>
      </c>
      <c r="BD1171" s="46">
        <f>BC1171*IF(B1171&gt;=in_marketplace_from,d_hz_choti*G1171,0)</f>
        <v/>
      </c>
      <c r="BE1171" s="14">
        <f>F1171*SUMIFS(BD1166:BD1201,B1166:B1201,B1171-in_choti_months)*in_choti_renew*in_choti_ticket</f>
        <v/>
      </c>
      <c r="BF1171" s="40">
        <f>BF1170*(1-IF(B1170&gt;=in_marketplace_from,d_hz_nps*G1170,0))</f>
        <v/>
      </c>
      <c r="BG1171" s="14">
        <f>F1171*BF1171*IF(B1171&gt;=in_marketplace_from,d_hz_nps*G1171,0)*in_nps_ticket*in_nps_comm</f>
        <v/>
      </c>
      <c r="BH1171" s="40">
        <f>BH1170*(1-IF(B1170&gt;=in_marketplace_from,d_hz_gold*G1170,0))</f>
        <v/>
      </c>
      <c r="BI1171" s="40">
        <f>BI1170*d_rho_gold+BH1171*IF(B1171&gt;=in_marketplace_from,d_hz_gold*G1171,0)</f>
        <v/>
      </c>
      <c r="BJ1171" s="14">
        <f>F1171*BI1171*in_gold_ticket*in_gold_comm</f>
        <v/>
      </c>
      <c r="BK1171" s="40">
        <f>BK1170*(1-IF(B1170&gt;=in_marketplace_from,d_hz_fd*G1170,0))</f>
        <v/>
      </c>
      <c r="BL1171" s="14">
        <f>F1171*BK1171*IF(B1171&gt;=in_marketplace_from,d_hz_fd*G1171,0)*in_fd_ticket*in_fd_comm</f>
        <v/>
      </c>
      <c r="BM1171" s="40">
        <f>BM1170*(1-IF(B1170&gt;=in_marketplace_from,d_hz_recharge*G1170,0))</f>
        <v/>
      </c>
      <c r="BN1171" s="40">
        <f>BN1170*d_rho_recharge+BM1171*IF(B1171&gt;=in_marketplace_from,d_hz_recharge*G1171,0)</f>
        <v/>
      </c>
      <c r="BO1171" s="14">
        <f>F1171*BN1171*in_recharge_ticket*in_recharge_comm/12</f>
        <v/>
      </c>
      <c r="BP1171" s="40">
        <f>BP1170*(1-IF(B1170&gt;=in_marketplace_from,d_hz_bills*G1170,0))</f>
        <v/>
      </c>
      <c r="BQ1171" s="40">
        <f>BQ1170*d_rho_bills+BP1171*IF(B1171&gt;=in_marketplace_from,d_hz_bills*G1171,0)</f>
        <v/>
      </c>
      <c r="BR1171" s="14">
        <f>F1171*BQ1171*in_bills_ticket*in_bills_comm/12</f>
        <v/>
      </c>
      <c r="BS1171" s="40">
        <f>BS1170*(1-IF(B1170&gt;=in_marketplace_from,d_hz_loan_gold*G1170,0))</f>
        <v/>
      </c>
      <c r="BT1171" s="14">
        <f>F1171*BS1171*IF(B1171&gt;=in_marketplace_from,d_hz_loan_gold*G1171,0)*in_loan_gold_ticket*in_loan_gold_comm</f>
        <v/>
      </c>
      <c r="BU1171" s="40">
        <f>BU1170*(1-IF(B1170&gt;=in_marketplace_from,d_hz_loan_cd*G1170,0))</f>
        <v/>
      </c>
      <c r="BV1171" s="14">
        <f>F1171*BU1171*IF(B1171&gt;=in_marketplace_from,d_hz_loan_cd*G1171,0)*in_loan_cd_ticket*in_loan_cd_comm</f>
        <v/>
      </c>
      <c r="BW1171" s="40">
        <f>BW1170*(1-IF(B1170&gt;=in_marketplace_from,d_hz_loan_vehicle*G1170,0))</f>
        <v/>
      </c>
      <c r="BX1171" s="14">
        <f>F1171*BW1171*IF(B1171&gt;=in_marketplace_from,d_hz_loan_vehicle*G1171,0)*in_loan_vehicle_ticket*in_loan_vehicle_comm</f>
        <v/>
      </c>
      <c r="BY1171" s="40">
        <f>BY1170*(1-IF(B1170&gt;=in_marketplace_from,d_hz_loan_home*G1170,0)*BZ1170)</f>
        <v/>
      </c>
      <c r="BZ1171" s="11">
        <f>MIN(in_approval_cap,in_loan_home_approval*INDEX('Age profile'!$O$2:$O$61,B1171)*(1+in_approval_growth)^(D1171-1))</f>
        <v/>
      </c>
      <c r="CA1171" s="14">
        <f>F1171*BY1171*IF(B1171&gt;=in_marketplace_from,d_hz_loan_home*G1171,0)*BZ1171*in_loan_home_ticket*in_loan_home_comm</f>
        <v/>
      </c>
      <c r="CB1171" s="40">
        <f>CB1170*(1-IF(B1170&gt;=in_marketplace_from,d_hz_loan_lap*G1170,0)*CC1170)</f>
        <v/>
      </c>
      <c r="CC1171" s="11">
        <f>MIN(in_approval_cap,in_loan_lap_approval*INDEX('Age profile'!$O$2:$O$61,B1171)*(1+in_approval_growth)^(D1171-1))</f>
        <v/>
      </c>
      <c r="CD1171" s="14">
        <f>F1171*CB1171*IF(B1171&gt;=in_marketplace_from,d_hz_loan_lap*G1171,0)*CC1171*in_loan_lap_ticket*in_loan_lap_comm</f>
        <v/>
      </c>
      <c r="CE1171" s="14">
        <f>AA1171+AB1171+AC1171+AD1171+AG1171+AJ1171+AM1171+AP1171+AS1171+AU1171+AX1171+BB1171+BE1171+BG1171+BJ1171+BL1171+BO1171+BR1171+BT1171+BV1171+BX1171+CA1171+CD1171</f>
        <v/>
      </c>
    </row>
    <row r="1172">
      <c r="A1172" s="39" t="n">
        <v>25</v>
      </c>
      <c r="B1172" s="39" t="n">
        <v>7</v>
      </c>
      <c r="C1172" s="39">
        <f>A1172+B1172-1</f>
        <v/>
      </c>
      <c r="D1172" s="39">
        <f>INT((C1172-1)/12)+1</f>
        <v/>
      </c>
      <c r="E1172" s="44">
        <f>INDEX(Monthly!$B$2:$B$61,A1172)</f>
        <v/>
      </c>
      <c r="F1172" s="44">
        <f>E1172*INDEX('Age profile'!$B$2:$B$61,B1172)</f>
        <v/>
      </c>
      <c r="G1172" s="45">
        <f>MIN(in_takeup_cap,INDEX('Age profile'!$N$2:$N$61,B1172)*(1+in_takeup_growth)^(D1172-1))</f>
        <v/>
      </c>
      <c r="H1172" s="11">
        <f>MIN(in_approval_cap,in_approved_first*INDEX('Age profile'!$O$2:$O$61,B1172)*(1+in_approval_growth)^(D1172-1))</f>
        <v/>
      </c>
      <c r="I1172" s="45">
        <f>G1172*MIN(in_takeup_cap,INDEX('Age profile'!$O$2:$O$61,B1172)*(1+in_approval_growth)^(D1172-1))</f>
        <v/>
      </c>
      <c r="J1172" s="40">
        <f>(J1171-L1171)*F1172/F1171</f>
        <v/>
      </c>
      <c r="K1172" s="40">
        <f>(K1171-M1171)*F1172/F1171+SUMIFS(O1166:O1171,B1166:B1171,B1172-1-d_T)*F1172</f>
        <v/>
      </c>
      <c r="L1172" s="40">
        <f>IF(B1172&gt;=in_marketplace_from,J1172*d_hz*G1172*in_eligible*H1172,0)</f>
        <v/>
      </c>
      <c r="M1172" s="40">
        <f>IF(B1172&gt;=in_marketplace_from,K1172*d_hz*G1172*in_eligible*in_approved_repeat,0)</f>
        <v/>
      </c>
      <c r="N1172" s="40">
        <f>L1172+M1172</f>
        <v/>
      </c>
      <c r="O1172" s="46">
        <f>N1172/F1172</f>
        <v/>
      </c>
      <c r="P1172" s="40">
        <f>F1172-J1172-K1172</f>
        <v/>
      </c>
      <c r="Q1172" s="40">
        <f>IF(B1172&gt;=in_marketplace_from,(J1172+K1172)*d_hz*G1172,0)</f>
        <v/>
      </c>
      <c r="R1172" s="40">
        <f>SUMIFS(N1166:N1201,B1166:B1201,"&gt;="&amp;(B1172-d_T),B1166:B1201,"&lt;="&amp;(B1172-1))</f>
        <v/>
      </c>
      <c r="S1172" s="46">
        <f>(1-d_u)*S1171+IF(d_T&gt;in_topup_lag,SUMIFS(O1166:O1201,B1166:B1201,B1172-in_topup_lag)-d_udrop*SUMIFS(O1166:O1201,B1166:B1201,B1172-d_T),0)</f>
        <v/>
      </c>
      <c r="T1172" s="40">
        <f>F1172*d_u*S1172</f>
        <v/>
      </c>
      <c r="U1172" s="9">
        <f>L1172*in_ticket+M1172*d_rep_ticket</f>
        <v/>
      </c>
      <c r="V1172" s="9">
        <f>U1172+T1172*d_topup_amt</f>
        <v/>
      </c>
      <c r="W1172" s="40">
        <f>N1172+T1172*d_topup_ratio</f>
        <v/>
      </c>
      <c r="X1172" s="40">
        <f>SUMIFS(W1166:W1201,B1166:B1201,B1172-in_dpd_lag)*d_cured</f>
        <v/>
      </c>
      <c r="Y1172" s="40">
        <f>SUMIFS(W1166:W1201,B1166:B1201,B1172-in_rec_lag)*d_recd</f>
        <v/>
      </c>
      <c r="Z1172" s="40">
        <f>IF(AND(B1172&gt;=in_marketplace_from,B1172&lt;in_marketplace_from+in_card_months),in_card_share/in_card_months*F1172*I1172,IF(AND(B1172&gt;=in_marketplace_from+in_card_months,B1172&lt;in_marketplace_from+2*in_card_months),in_card_share*d_card_rem/in_card_months*F1172*MIN(in_takeup_cap,(1+in_takeup_growth)^(D1172-1))*MIN(in_takeup_cap,(1+in_approval_growth)^(D1172-1)),0))</f>
        <v/>
      </c>
      <c r="AA1172" s="14">
        <f>V1172*in_fee*(1-in_taken_back)</f>
        <v/>
      </c>
      <c r="AB1172" s="14">
        <f>SUMIFS(W1166:W1201,B1166:B1201,B1172-in_dpd_lag)*d_dpd</f>
        <v/>
      </c>
      <c r="AC1172" s="14">
        <f>SUMIFS(W1166:W1201,B1166:B1201,B1172-in_rec_lag)*d_rec</f>
        <v/>
      </c>
      <c r="AD1172" s="14">
        <f>Z1172*in_card_fee</f>
        <v/>
      </c>
      <c r="AE1172" s="40">
        <f>AE1171*(1-IF(B1171&gt;=in_marketplace_from,d_hz_hlth_small*G1171,0))</f>
        <v/>
      </c>
      <c r="AF1172" s="46">
        <f>AE1172*IF(B1172&gt;=in_marketplace_from,d_hz_hlth_small*G1172,0)</f>
        <v/>
      </c>
      <c r="AG1172" s="14">
        <f>F1172*AF1172*in_hlth_small_ticket*in_hlth_small_comm*in_ins_partner_share+F1172*in_hlth_small_ticket*in_hlth_small_renew_comm*in_ins_partner_share*(in_hlth_small_renew^1*SUMIFS(AF1166:AF1201,B1166:B1201,B1172-12)+in_hlth_small_renew^2*SUMIFS(AF1166:AF1201,B1166:B1201,B1172-24)+in_hlth_small_renew^3*SUMIFS(AF1166:AF1201,B1166:B1201,B1172-36)+in_hlth_small_renew^4*SUMIFS(AF1166:AF1201,B1166:B1201,B1172-48))</f>
        <v/>
      </c>
      <c r="AH1172" s="40">
        <f>AH1171*(1-IF(B1171&gt;=in_marketplace_from,d_hz_hlth_family*G1171,0))</f>
        <v/>
      </c>
      <c r="AI1172" s="46">
        <f>AH1172*IF(B1172&gt;=in_marketplace_from,d_hz_hlth_family*G1172,0)</f>
        <v/>
      </c>
      <c r="AJ1172" s="14">
        <f>F1172*AI1172*in_hlth_family_ticket*in_hlth_family_comm*in_ins_partner_share+F1172*in_hlth_family_ticket*in_hlth_family_renew_comm*in_ins_partner_share*(in_hlth_family_renew^1*SUMIFS(AI1166:AI1201,B1166:B1201,B1172-12)+in_hlth_family_renew^2*SUMIFS(AI1166:AI1201,B1166:B1201,B1172-24)+in_hlth_family_renew^3*SUMIFS(AI1166:AI1201,B1166:B1201,B1172-36)+in_hlth_family_renew^4*SUMIFS(AI1166:AI1201,B1166:B1201,B1172-48))</f>
        <v/>
      </c>
      <c r="AK1172" s="40">
        <f>AK1171*(1-IF(B1171&gt;=in_marketplace_from,d_hz_life_term*G1171,0))</f>
        <v/>
      </c>
      <c r="AL1172" s="46">
        <f>AK1172*IF(B1172&gt;=in_marketplace_from,d_hz_life_term*G1172,0)</f>
        <v/>
      </c>
      <c r="AM1172" s="14">
        <f>F1172*AL1172*in_life_term_ticket*in_life_term_comm*in_ins_partner_share+F1172*in_life_term_ticket*in_life_term_renew_comm*in_ins_partner_share*(in_life_term_renew^1*SUMIFS(AL1166:AL1201,B1166:B1201,B1172-12)+in_life_term_renew^2*SUMIFS(AL1166:AL1201,B1166:B1201,B1172-24)+in_life_term_renew^3*SUMIFS(AL1166:AL1201,B1166:B1201,B1172-36)+in_life_term_renew^4*SUMIFS(AL1166:AL1201,B1166:B1201,B1172-48))</f>
        <v/>
      </c>
      <c r="AN1172" s="40">
        <f>AN1171*(1-IF(B1171&gt;=in_marketplace_from,d_hz_accident*G1171,0))</f>
        <v/>
      </c>
      <c r="AO1172" s="46">
        <f>AN1172*IF(B1172&gt;=in_marketplace_from,d_hz_accident*G1172,0)</f>
        <v/>
      </c>
      <c r="AP1172" s="14">
        <f>F1172*AO1172*in_accident_ticket*in_accident_comm*in_ins_partner_share+F1172*in_accident_ticket*in_accident_renew_comm*in_ins_partner_share*(in_accident_renew^1*SUMIFS(AO1166:AO1201,B1166:B1201,B1172-12)+in_accident_renew^2*SUMIFS(AO1166:AO1201,B1166:B1201,B1172-24)+in_accident_renew^3*SUMIFS(AO1166:AO1201,B1166:B1201,B1172-36)+in_accident_renew^4*SUMIFS(AO1166:AO1201,B1166:B1201,B1172-48))</f>
        <v/>
      </c>
      <c r="AQ1172" s="40">
        <f>AQ1171*(1-IF(B1171&gt;=in_marketplace_from,d_hz_two_wheeler*G1171,0))</f>
        <v/>
      </c>
      <c r="AR1172" s="46">
        <f>AQ1172*IF(B1172&gt;=in_marketplace_from,d_hz_two_wheeler*G1172,0)</f>
        <v/>
      </c>
      <c r="AS1172" s="14">
        <f>F1172*AR1172*in_two_wheeler_ticket*in_two_wheeler_comm*in_ins_partner_share+F1172*in_two_wheeler_ticket*in_two_wheeler_comm*in_ins_partner_share*(in_two_wheeler_renew^1*SUMIFS(AR1166:AR1201,B1166:B1201,B1172-12)+in_two_wheeler_renew^2*SUMIFS(AR1166:AR1201,B1166:B1201,B1172-24)+in_two_wheeler_renew^3*SUMIFS(AR1166:AR1201,B1166:B1201,B1172-36)+in_two_wheeler_renew^4*SUMIFS(AR1166:AR1201,B1166:B1201,B1172-48))</f>
        <v/>
      </c>
      <c r="AT1172" s="40">
        <f>AT1171*(1-IF(B1171&gt;=in_marketplace_from,d_hz_device*G1171,0))</f>
        <v/>
      </c>
      <c r="AU1172" s="14">
        <f>F1172*AT1172*IF(B1172&gt;=in_marketplace_from,d_hz_device*G1172,0)*in_device_ticket*in_device_comm*in_ins_partner_share</f>
        <v/>
      </c>
      <c r="AV1172" s="40">
        <f>AV1171*(1-IF(B1171&gt;=in_marketplace_from,d_hz_shop*G1171,0))</f>
        <v/>
      </c>
      <c r="AW1172" s="46">
        <f>AV1172*IF(B1172&gt;=in_marketplace_from,d_hz_shop*G1172,0)</f>
        <v/>
      </c>
      <c r="AX1172" s="14">
        <f>F1172*AW1172*in_shop_ticket*in_shop_comm*in_ins_partner_share+F1172*in_shop_ticket*in_shop_renew_comm*in_ins_partner_share*(in_shop_renew^1*SUMIFS(AW1166:AW1201,B1166:B1201,B1172-12)+in_shop_renew^2*SUMIFS(AW1166:AW1201,B1166:B1201,B1172-24)+in_shop_renew^3*SUMIFS(AW1166:AW1201,B1166:B1201,B1172-36)+in_shop_renew^4*SUMIFS(AW1166:AW1201,B1166:B1201,B1172-48))</f>
        <v/>
      </c>
      <c r="AY1172" s="40">
        <f>AY1171*(1-IF(B1171&gt;=in_marketplace_from,d_hz_sip*G1171,0))</f>
        <v/>
      </c>
      <c r="AZ1172" s="40">
        <f>AZ1171*d_rho_sip+AY1172*IF(B1172&gt;=in_marketplace_from,d_hz_sip*G1172,0)</f>
        <v/>
      </c>
      <c r="BA1172" s="40">
        <f>d_rho_sip*(BA1171+AZ1171)</f>
        <v/>
      </c>
      <c r="BB1172" s="14">
        <f>F1172*in_sip_ticket*(BA1172+0.5*AZ1172)*in_sip_comm/12</f>
        <v/>
      </c>
      <c r="BC1172" s="40">
        <f>BC1171*(1-IF(B1171&gt;=in_marketplace_from,d_hz_choti*G1171,0))</f>
        <v/>
      </c>
      <c r="BD1172" s="46">
        <f>BC1172*IF(B1172&gt;=in_marketplace_from,d_hz_choti*G1172,0)</f>
        <v/>
      </c>
      <c r="BE1172" s="14">
        <f>F1172*SUMIFS(BD1166:BD1201,B1166:B1201,B1172-in_choti_months)*in_choti_renew*in_choti_ticket</f>
        <v/>
      </c>
      <c r="BF1172" s="40">
        <f>BF1171*(1-IF(B1171&gt;=in_marketplace_from,d_hz_nps*G1171,0))</f>
        <v/>
      </c>
      <c r="BG1172" s="14">
        <f>F1172*BF1172*IF(B1172&gt;=in_marketplace_from,d_hz_nps*G1172,0)*in_nps_ticket*in_nps_comm</f>
        <v/>
      </c>
      <c r="BH1172" s="40">
        <f>BH1171*(1-IF(B1171&gt;=in_marketplace_from,d_hz_gold*G1171,0))</f>
        <v/>
      </c>
      <c r="BI1172" s="40">
        <f>BI1171*d_rho_gold+BH1172*IF(B1172&gt;=in_marketplace_from,d_hz_gold*G1172,0)</f>
        <v/>
      </c>
      <c r="BJ1172" s="14">
        <f>F1172*BI1172*in_gold_ticket*in_gold_comm</f>
        <v/>
      </c>
      <c r="BK1172" s="40">
        <f>BK1171*(1-IF(B1171&gt;=in_marketplace_from,d_hz_fd*G1171,0))</f>
        <v/>
      </c>
      <c r="BL1172" s="14">
        <f>F1172*BK1172*IF(B1172&gt;=in_marketplace_from,d_hz_fd*G1172,0)*in_fd_ticket*in_fd_comm</f>
        <v/>
      </c>
      <c r="BM1172" s="40">
        <f>BM1171*(1-IF(B1171&gt;=in_marketplace_from,d_hz_recharge*G1171,0))</f>
        <v/>
      </c>
      <c r="BN1172" s="40">
        <f>BN1171*d_rho_recharge+BM1172*IF(B1172&gt;=in_marketplace_from,d_hz_recharge*G1172,0)</f>
        <v/>
      </c>
      <c r="BO1172" s="14">
        <f>F1172*BN1172*in_recharge_ticket*in_recharge_comm/12</f>
        <v/>
      </c>
      <c r="BP1172" s="40">
        <f>BP1171*(1-IF(B1171&gt;=in_marketplace_from,d_hz_bills*G1171,0))</f>
        <v/>
      </c>
      <c r="BQ1172" s="40">
        <f>BQ1171*d_rho_bills+BP1172*IF(B1172&gt;=in_marketplace_from,d_hz_bills*G1172,0)</f>
        <v/>
      </c>
      <c r="BR1172" s="14">
        <f>F1172*BQ1172*in_bills_ticket*in_bills_comm/12</f>
        <v/>
      </c>
      <c r="BS1172" s="40">
        <f>BS1171*(1-IF(B1171&gt;=in_marketplace_from,d_hz_loan_gold*G1171,0))</f>
        <v/>
      </c>
      <c r="BT1172" s="14">
        <f>F1172*BS1172*IF(B1172&gt;=in_marketplace_from,d_hz_loan_gold*G1172,0)*in_loan_gold_ticket*in_loan_gold_comm</f>
        <v/>
      </c>
      <c r="BU1172" s="40">
        <f>BU1171*(1-IF(B1171&gt;=in_marketplace_from,d_hz_loan_cd*G1171,0))</f>
        <v/>
      </c>
      <c r="BV1172" s="14">
        <f>F1172*BU1172*IF(B1172&gt;=in_marketplace_from,d_hz_loan_cd*G1172,0)*in_loan_cd_ticket*in_loan_cd_comm</f>
        <v/>
      </c>
      <c r="BW1172" s="40">
        <f>BW1171*(1-IF(B1171&gt;=in_marketplace_from,d_hz_loan_vehicle*G1171,0))</f>
        <v/>
      </c>
      <c r="BX1172" s="14">
        <f>F1172*BW1172*IF(B1172&gt;=in_marketplace_from,d_hz_loan_vehicle*G1172,0)*in_loan_vehicle_ticket*in_loan_vehicle_comm</f>
        <v/>
      </c>
      <c r="BY1172" s="40">
        <f>BY1171*(1-IF(B1171&gt;=in_marketplace_from,d_hz_loan_home*G1171,0)*BZ1171)</f>
        <v/>
      </c>
      <c r="BZ1172" s="11">
        <f>MIN(in_approval_cap,in_loan_home_approval*INDEX('Age profile'!$O$2:$O$61,B1172)*(1+in_approval_growth)^(D1172-1))</f>
        <v/>
      </c>
      <c r="CA1172" s="14">
        <f>F1172*BY1172*IF(B1172&gt;=in_marketplace_from,d_hz_loan_home*G1172,0)*BZ1172*in_loan_home_ticket*in_loan_home_comm</f>
        <v/>
      </c>
      <c r="CB1172" s="40">
        <f>CB1171*(1-IF(B1171&gt;=in_marketplace_from,d_hz_loan_lap*G1171,0)*CC1171)</f>
        <v/>
      </c>
      <c r="CC1172" s="11">
        <f>MIN(in_approval_cap,in_loan_lap_approval*INDEX('Age profile'!$O$2:$O$61,B1172)*(1+in_approval_growth)^(D1172-1))</f>
        <v/>
      </c>
      <c r="CD1172" s="14">
        <f>F1172*CB1172*IF(B1172&gt;=in_marketplace_from,d_hz_loan_lap*G1172,0)*CC1172*in_loan_lap_ticket*in_loan_lap_comm</f>
        <v/>
      </c>
      <c r="CE1172" s="14">
        <f>AA1172+AB1172+AC1172+AD1172+AG1172+AJ1172+AM1172+AP1172+AS1172+AU1172+AX1172+BB1172+BE1172+BG1172+BJ1172+BL1172+BO1172+BR1172+BT1172+BV1172+BX1172+CA1172+CD1172</f>
        <v/>
      </c>
    </row>
    <row r="1173">
      <c r="A1173" s="39" t="n">
        <v>25</v>
      </c>
      <c r="B1173" s="39" t="n">
        <v>8</v>
      </c>
      <c r="C1173" s="39">
        <f>A1173+B1173-1</f>
        <v/>
      </c>
      <c r="D1173" s="39">
        <f>INT((C1173-1)/12)+1</f>
        <v/>
      </c>
      <c r="E1173" s="44">
        <f>INDEX(Monthly!$B$2:$B$61,A1173)</f>
        <v/>
      </c>
      <c r="F1173" s="44">
        <f>E1173*INDEX('Age profile'!$B$2:$B$61,B1173)</f>
        <v/>
      </c>
      <c r="G1173" s="45">
        <f>MIN(in_takeup_cap,INDEX('Age profile'!$N$2:$N$61,B1173)*(1+in_takeup_growth)^(D1173-1))</f>
        <v/>
      </c>
      <c r="H1173" s="11">
        <f>MIN(in_approval_cap,in_approved_first*INDEX('Age profile'!$O$2:$O$61,B1173)*(1+in_approval_growth)^(D1173-1))</f>
        <v/>
      </c>
      <c r="I1173" s="45">
        <f>G1173*MIN(in_takeup_cap,INDEX('Age profile'!$O$2:$O$61,B1173)*(1+in_approval_growth)^(D1173-1))</f>
        <v/>
      </c>
      <c r="J1173" s="40">
        <f>(J1172-L1172)*F1173/F1172</f>
        <v/>
      </c>
      <c r="K1173" s="40">
        <f>(K1172-M1172)*F1173/F1172+SUMIFS(O1166:O1172,B1166:B1172,B1173-1-d_T)*F1173</f>
        <v/>
      </c>
      <c r="L1173" s="40">
        <f>IF(B1173&gt;=in_marketplace_from,J1173*d_hz*G1173*in_eligible*H1173,0)</f>
        <v/>
      </c>
      <c r="M1173" s="40">
        <f>IF(B1173&gt;=in_marketplace_from,K1173*d_hz*G1173*in_eligible*in_approved_repeat,0)</f>
        <v/>
      </c>
      <c r="N1173" s="40">
        <f>L1173+M1173</f>
        <v/>
      </c>
      <c r="O1173" s="46">
        <f>N1173/F1173</f>
        <v/>
      </c>
      <c r="P1173" s="40">
        <f>F1173-J1173-K1173</f>
        <v/>
      </c>
      <c r="Q1173" s="40">
        <f>IF(B1173&gt;=in_marketplace_from,(J1173+K1173)*d_hz*G1173,0)</f>
        <v/>
      </c>
      <c r="R1173" s="40">
        <f>SUMIFS(N1166:N1201,B1166:B1201,"&gt;="&amp;(B1173-d_T),B1166:B1201,"&lt;="&amp;(B1173-1))</f>
        <v/>
      </c>
      <c r="S1173" s="46">
        <f>(1-d_u)*S1172+IF(d_T&gt;in_topup_lag,SUMIFS(O1166:O1201,B1166:B1201,B1173-in_topup_lag)-d_udrop*SUMIFS(O1166:O1201,B1166:B1201,B1173-d_T),0)</f>
        <v/>
      </c>
      <c r="T1173" s="40">
        <f>F1173*d_u*S1173</f>
        <v/>
      </c>
      <c r="U1173" s="9">
        <f>L1173*in_ticket+M1173*d_rep_ticket</f>
        <v/>
      </c>
      <c r="V1173" s="9">
        <f>U1173+T1173*d_topup_amt</f>
        <v/>
      </c>
      <c r="W1173" s="40">
        <f>N1173+T1173*d_topup_ratio</f>
        <v/>
      </c>
      <c r="X1173" s="40">
        <f>SUMIFS(W1166:W1201,B1166:B1201,B1173-in_dpd_lag)*d_cured</f>
        <v/>
      </c>
      <c r="Y1173" s="40">
        <f>SUMIFS(W1166:W1201,B1166:B1201,B1173-in_rec_lag)*d_recd</f>
        <v/>
      </c>
      <c r="Z1173" s="40">
        <f>IF(AND(B1173&gt;=in_marketplace_from,B1173&lt;in_marketplace_from+in_card_months),in_card_share/in_card_months*F1173*I1173,IF(AND(B1173&gt;=in_marketplace_from+in_card_months,B1173&lt;in_marketplace_from+2*in_card_months),in_card_share*d_card_rem/in_card_months*F1173*MIN(in_takeup_cap,(1+in_takeup_growth)^(D1173-1))*MIN(in_takeup_cap,(1+in_approval_growth)^(D1173-1)),0))</f>
        <v/>
      </c>
      <c r="AA1173" s="14">
        <f>V1173*in_fee*(1-in_taken_back)</f>
        <v/>
      </c>
      <c r="AB1173" s="14">
        <f>SUMIFS(W1166:W1201,B1166:B1201,B1173-in_dpd_lag)*d_dpd</f>
        <v/>
      </c>
      <c r="AC1173" s="14">
        <f>SUMIFS(W1166:W1201,B1166:B1201,B1173-in_rec_lag)*d_rec</f>
        <v/>
      </c>
      <c r="AD1173" s="14">
        <f>Z1173*in_card_fee</f>
        <v/>
      </c>
      <c r="AE1173" s="40">
        <f>AE1172*(1-IF(B1172&gt;=in_marketplace_from,d_hz_hlth_small*G1172,0))</f>
        <v/>
      </c>
      <c r="AF1173" s="46">
        <f>AE1173*IF(B1173&gt;=in_marketplace_from,d_hz_hlth_small*G1173,0)</f>
        <v/>
      </c>
      <c r="AG1173" s="14">
        <f>F1173*AF1173*in_hlth_small_ticket*in_hlth_small_comm*in_ins_partner_share+F1173*in_hlth_small_ticket*in_hlth_small_renew_comm*in_ins_partner_share*(in_hlth_small_renew^1*SUMIFS(AF1166:AF1201,B1166:B1201,B1173-12)+in_hlth_small_renew^2*SUMIFS(AF1166:AF1201,B1166:B1201,B1173-24)+in_hlth_small_renew^3*SUMIFS(AF1166:AF1201,B1166:B1201,B1173-36)+in_hlth_small_renew^4*SUMIFS(AF1166:AF1201,B1166:B1201,B1173-48))</f>
        <v/>
      </c>
      <c r="AH1173" s="40">
        <f>AH1172*(1-IF(B1172&gt;=in_marketplace_from,d_hz_hlth_family*G1172,0))</f>
        <v/>
      </c>
      <c r="AI1173" s="46">
        <f>AH1173*IF(B1173&gt;=in_marketplace_from,d_hz_hlth_family*G1173,0)</f>
        <v/>
      </c>
      <c r="AJ1173" s="14">
        <f>F1173*AI1173*in_hlth_family_ticket*in_hlth_family_comm*in_ins_partner_share+F1173*in_hlth_family_ticket*in_hlth_family_renew_comm*in_ins_partner_share*(in_hlth_family_renew^1*SUMIFS(AI1166:AI1201,B1166:B1201,B1173-12)+in_hlth_family_renew^2*SUMIFS(AI1166:AI1201,B1166:B1201,B1173-24)+in_hlth_family_renew^3*SUMIFS(AI1166:AI1201,B1166:B1201,B1173-36)+in_hlth_family_renew^4*SUMIFS(AI1166:AI1201,B1166:B1201,B1173-48))</f>
        <v/>
      </c>
      <c r="AK1173" s="40">
        <f>AK1172*(1-IF(B1172&gt;=in_marketplace_from,d_hz_life_term*G1172,0))</f>
        <v/>
      </c>
      <c r="AL1173" s="46">
        <f>AK1173*IF(B1173&gt;=in_marketplace_from,d_hz_life_term*G1173,0)</f>
        <v/>
      </c>
      <c r="AM1173" s="14">
        <f>F1173*AL1173*in_life_term_ticket*in_life_term_comm*in_ins_partner_share+F1173*in_life_term_ticket*in_life_term_renew_comm*in_ins_partner_share*(in_life_term_renew^1*SUMIFS(AL1166:AL1201,B1166:B1201,B1173-12)+in_life_term_renew^2*SUMIFS(AL1166:AL1201,B1166:B1201,B1173-24)+in_life_term_renew^3*SUMIFS(AL1166:AL1201,B1166:B1201,B1173-36)+in_life_term_renew^4*SUMIFS(AL1166:AL1201,B1166:B1201,B1173-48))</f>
        <v/>
      </c>
      <c r="AN1173" s="40">
        <f>AN1172*(1-IF(B1172&gt;=in_marketplace_from,d_hz_accident*G1172,0))</f>
        <v/>
      </c>
      <c r="AO1173" s="46">
        <f>AN1173*IF(B1173&gt;=in_marketplace_from,d_hz_accident*G1173,0)</f>
        <v/>
      </c>
      <c r="AP1173" s="14">
        <f>F1173*AO1173*in_accident_ticket*in_accident_comm*in_ins_partner_share+F1173*in_accident_ticket*in_accident_renew_comm*in_ins_partner_share*(in_accident_renew^1*SUMIFS(AO1166:AO1201,B1166:B1201,B1173-12)+in_accident_renew^2*SUMIFS(AO1166:AO1201,B1166:B1201,B1173-24)+in_accident_renew^3*SUMIFS(AO1166:AO1201,B1166:B1201,B1173-36)+in_accident_renew^4*SUMIFS(AO1166:AO1201,B1166:B1201,B1173-48))</f>
        <v/>
      </c>
      <c r="AQ1173" s="40">
        <f>AQ1172*(1-IF(B1172&gt;=in_marketplace_from,d_hz_two_wheeler*G1172,0))</f>
        <v/>
      </c>
      <c r="AR1173" s="46">
        <f>AQ1173*IF(B1173&gt;=in_marketplace_from,d_hz_two_wheeler*G1173,0)</f>
        <v/>
      </c>
      <c r="AS1173" s="14">
        <f>F1173*AR1173*in_two_wheeler_ticket*in_two_wheeler_comm*in_ins_partner_share+F1173*in_two_wheeler_ticket*in_two_wheeler_comm*in_ins_partner_share*(in_two_wheeler_renew^1*SUMIFS(AR1166:AR1201,B1166:B1201,B1173-12)+in_two_wheeler_renew^2*SUMIFS(AR1166:AR1201,B1166:B1201,B1173-24)+in_two_wheeler_renew^3*SUMIFS(AR1166:AR1201,B1166:B1201,B1173-36)+in_two_wheeler_renew^4*SUMIFS(AR1166:AR1201,B1166:B1201,B1173-48))</f>
        <v/>
      </c>
      <c r="AT1173" s="40">
        <f>AT1172*(1-IF(B1172&gt;=in_marketplace_from,d_hz_device*G1172,0))</f>
        <v/>
      </c>
      <c r="AU1173" s="14">
        <f>F1173*AT1173*IF(B1173&gt;=in_marketplace_from,d_hz_device*G1173,0)*in_device_ticket*in_device_comm*in_ins_partner_share</f>
        <v/>
      </c>
      <c r="AV1173" s="40">
        <f>AV1172*(1-IF(B1172&gt;=in_marketplace_from,d_hz_shop*G1172,0))</f>
        <v/>
      </c>
      <c r="AW1173" s="46">
        <f>AV1173*IF(B1173&gt;=in_marketplace_from,d_hz_shop*G1173,0)</f>
        <v/>
      </c>
      <c r="AX1173" s="14">
        <f>F1173*AW1173*in_shop_ticket*in_shop_comm*in_ins_partner_share+F1173*in_shop_ticket*in_shop_renew_comm*in_ins_partner_share*(in_shop_renew^1*SUMIFS(AW1166:AW1201,B1166:B1201,B1173-12)+in_shop_renew^2*SUMIFS(AW1166:AW1201,B1166:B1201,B1173-24)+in_shop_renew^3*SUMIFS(AW1166:AW1201,B1166:B1201,B1173-36)+in_shop_renew^4*SUMIFS(AW1166:AW1201,B1166:B1201,B1173-48))</f>
        <v/>
      </c>
      <c r="AY1173" s="40">
        <f>AY1172*(1-IF(B1172&gt;=in_marketplace_from,d_hz_sip*G1172,0))</f>
        <v/>
      </c>
      <c r="AZ1173" s="40">
        <f>AZ1172*d_rho_sip+AY1173*IF(B1173&gt;=in_marketplace_from,d_hz_sip*G1173,0)</f>
        <v/>
      </c>
      <c r="BA1173" s="40">
        <f>d_rho_sip*(BA1172+AZ1172)</f>
        <v/>
      </c>
      <c r="BB1173" s="14">
        <f>F1173*in_sip_ticket*(BA1173+0.5*AZ1173)*in_sip_comm/12</f>
        <v/>
      </c>
      <c r="BC1173" s="40">
        <f>BC1172*(1-IF(B1172&gt;=in_marketplace_from,d_hz_choti*G1172,0))</f>
        <v/>
      </c>
      <c r="BD1173" s="46">
        <f>BC1173*IF(B1173&gt;=in_marketplace_from,d_hz_choti*G1173,0)</f>
        <v/>
      </c>
      <c r="BE1173" s="14">
        <f>F1173*SUMIFS(BD1166:BD1201,B1166:B1201,B1173-in_choti_months)*in_choti_renew*in_choti_ticket</f>
        <v/>
      </c>
      <c r="BF1173" s="40">
        <f>BF1172*(1-IF(B1172&gt;=in_marketplace_from,d_hz_nps*G1172,0))</f>
        <v/>
      </c>
      <c r="BG1173" s="14">
        <f>F1173*BF1173*IF(B1173&gt;=in_marketplace_from,d_hz_nps*G1173,0)*in_nps_ticket*in_nps_comm</f>
        <v/>
      </c>
      <c r="BH1173" s="40">
        <f>BH1172*(1-IF(B1172&gt;=in_marketplace_from,d_hz_gold*G1172,0))</f>
        <v/>
      </c>
      <c r="BI1173" s="40">
        <f>BI1172*d_rho_gold+BH1173*IF(B1173&gt;=in_marketplace_from,d_hz_gold*G1173,0)</f>
        <v/>
      </c>
      <c r="BJ1173" s="14">
        <f>F1173*BI1173*in_gold_ticket*in_gold_comm</f>
        <v/>
      </c>
      <c r="BK1173" s="40">
        <f>BK1172*(1-IF(B1172&gt;=in_marketplace_from,d_hz_fd*G1172,0))</f>
        <v/>
      </c>
      <c r="BL1173" s="14">
        <f>F1173*BK1173*IF(B1173&gt;=in_marketplace_from,d_hz_fd*G1173,0)*in_fd_ticket*in_fd_comm</f>
        <v/>
      </c>
      <c r="BM1173" s="40">
        <f>BM1172*(1-IF(B1172&gt;=in_marketplace_from,d_hz_recharge*G1172,0))</f>
        <v/>
      </c>
      <c r="BN1173" s="40">
        <f>BN1172*d_rho_recharge+BM1173*IF(B1173&gt;=in_marketplace_from,d_hz_recharge*G1173,0)</f>
        <v/>
      </c>
      <c r="BO1173" s="14">
        <f>F1173*BN1173*in_recharge_ticket*in_recharge_comm/12</f>
        <v/>
      </c>
      <c r="BP1173" s="40">
        <f>BP1172*(1-IF(B1172&gt;=in_marketplace_from,d_hz_bills*G1172,0))</f>
        <v/>
      </c>
      <c r="BQ1173" s="40">
        <f>BQ1172*d_rho_bills+BP1173*IF(B1173&gt;=in_marketplace_from,d_hz_bills*G1173,0)</f>
        <v/>
      </c>
      <c r="BR1173" s="14">
        <f>F1173*BQ1173*in_bills_ticket*in_bills_comm/12</f>
        <v/>
      </c>
      <c r="BS1173" s="40">
        <f>BS1172*(1-IF(B1172&gt;=in_marketplace_from,d_hz_loan_gold*G1172,0))</f>
        <v/>
      </c>
      <c r="BT1173" s="14">
        <f>F1173*BS1173*IF(B1173&gt;=in_marketplace_from,d_hz_loan_gold*G1173,0)*in_loan_gold_ticket*in_loan_gold_comm</f>
        <v/>
      </c>
      <c r="BU1173" s="40">
        <f>BU1172*(1-IF(B1172&gt;=in_marketplace_from,d_hz_loan_cd*G1172,0))</f>
        <v/>
      </c>
      <c r="BV1173" s="14">
        <f>F1173*BU1173*IF(B1173&gt;=in_marketplace_from,d_hz_loan_cd*G1173,0)*in_loan_cd_ticket*in_loan_cd_comm</f>
        <v/>
      </c>
      <c r="BW1173" s="40">
        <f>BW1172*(1-IF(B1172&gt;=in_marketplace_from,d_hz_loan_vehicle*G1172,0))</f>
        <v/>
      </c>
      <c r="BX1173" s="14">
        <f>F1173*BW1173*IF(B1173&gt;=in_marketplace_from,d_hz_loan_vehicle*G1173,0)*in_loan_vehicle_ticket*in_loan_vehicle_comm</f>
        <v/>
      </c>
      <c r="BY1173" s="40">
        <f>BY1172*(1-IF(B1172&gt;=in_marketplace_from,d_hz_loan_home*G1172,0)*BZ1172)</f>
        <v/>
      </c>
      <c r="BZ1173" s="11">
        <f>MIN(in_approval_cap,in_loan_home_approval*INDEX('Age profile'!$O$2:$O$61,B1173)*(1+in_approval_growth)^(D1173-1))</f>
        <v/>
      </c>
      <c r="CA1173" s="14">
        <f>F1173*BY1173*IF(B1173&gt;=in_marketplace_from,d_hz_loan_home*G1173,0)*BZ1173*in_loan_home_ticket*in_loan_home_comm</f>
        <v/>
      </c>
      <c r="CB1173" s="40">
        <f>CB1172*(1-IF(B1172&gt;=in_marketplace_from,d_hz_loan_lap*G1172,0)*CC1172)</f>
        <v/>
      </c>
      <c r="CC1173" s="11">
        <f>MIN(in_approval_cap,in_loan_lap_approval*INDEX('Age profile'!$O$2:$O$61,B1173)*(1+in_approval_growth)^(D1173-1))</f>
        <v/>
      </c>
      <c r="CD1173" s="14">
        <f>F1173*CB1173*IF(B1173&gt;=in_marketplace_from,d_hz_loan_lap*G1173,0)*CC1173*in_loan_lap_ticket*in_loan_lap_comm</f>
        <v/>
      </c>
      <c r="CE1173" s="14">
        <f>AA1173+AB1173+AC1173+AD1173+AG1173+AJ1173+AM1173+AP1173+AS1173+AU1173+AX1173+BB1173+BE1173+BG1173+BJ1173+BL1173+BO1173+BR1173+BT1173+BV1173+BX1173+CA1173+CD1173</f>
        <v/>
      </c>
    </row>
    <row r="1174">
      <c r="A1174" s="39" t="n">
        <v>25</v>
      </c>
      <c r="B1174" s="39" t="n">
        <v>9</v>
      </c>
      <c r="C1174" s="39">
        <f>A1174+B1174-1</f>
        <v/>
      </c>
      <c r="D1174" s="39">
        <f>INT((C1174-1)/12)+1</f>
        <v/>
      </c>
      <c r="E1174" s="44">
        <f>INDEX(Monthly!$B$2:$B$61,A1174)</f>
        <v/>
      </c>
      <c r="F1174" s="44">
        <f>E1174*INDEX('Age profile'!$B$2:$B$61,B1174)</f>
        <v/>
      </c>
      <c r="G1174" s="45">
        <f>MIN(in_takeup_cap,INDEX('Age profile'!$N$2:$N$61,B1174)*(1+in_takeup_growth)^(D1174-1))</f>
        <v/>
      </c>
      <c r="H1174" s="11">
        <f>MIN(in_approval_cap,in_approved_first*INDEX('Age profile'!$O$2:$O$61,B1174)*(1+in_approval_growth)^(D1174-1))</f>
        <v/>
      </c>
      <c r="I1174" s="45">
        <f>G1174*MIN(in_takeup_cap,INDEX('Age profile'!$O$2:$O$61,B1174)*(1+in_approval_growth)^(D1174-1))</f>
        <v/>
      </c>
      <c r="J1174" s="40">
        <f>(J1173-L1173)*F1174/F1173</f>
        <v/>
      </c>
      <c r="K1174" s="40">
        <f>(K1173-M1173)*F1174/F1173+SUMIFS(O1166:O1173,B1166:B1173,B1174-1-d_T)*F1174</f>
        <v/>
      </c>
      <c r="L1174" s="40">
        <f>IF(B1174&gt;=in_marketplace_from,J1174*d_hz*G1174*in_eligible*H1174,0)</f>
        <v/>
      </c>
      <c r="M1174" s="40">
        <f>IF(B1174&gt;=in_marketplace_from,K1174*d_hz*G1174*in_eligible*in_approved_repeat,0)</f>
        <v/>
      </c>
      <c r="N1174" s="40">
        <f>L1174+M1174</f>
        <v/>
      </c>
      <c r="O1174" s="46">
        <f>N1174/F1174</f>
        <v/>
      </c>
      <c r="P1174" s="40">
        <f>F1174-J1174-K1174</f>
        <v/>
      </c>
      <c r="Q1174" s="40">
        <f>IF(B1174&gt;=in_marketplace_from,(J1174+K1174)*d_hz*G1174,0)</f>
        <v/>
      </c>
      <c r="R1174" s="40">
        <f>SUMIFS(N1166:N1201,B1166:B1201,"&gt;="&amp;(B1174-d_T),B1166:B1201,"&lt;="&amp;(B1174-1))</f>
        <v/>
      </c>
      <c r="S1174" s="46">
        <f>(1-d_u)*S1173+IF(d_T&gt;in_topup_lag,SUMIFS(O1166:O1201,B1166:B1201,B1174-in_topup_lag)-d_udrop*SUMIFS(O1166:O1201,B1166:B1201,B1174-d_T),0)</f>
        <v/>
      </c>
      <c r="T1174" s="40">
        <f>F1174*d_u*S1174</f>
        <v/>
      </c>
      <c r="U1174" s="9">
        <f>L1174*in_ticket+M1174*d_rep_ticket</f>
        <v/>
      </c>
      <c r="V1174" s="9">
        <f>U1174+T1174*d_topup_amt</f>
        <v/>
      </c>
      <c r="W1174" s="40">
        <f>N1174+T1174*d_topup_ratio</f>
        <v/>
      </c>
      <c r="X1174" s="40">
        <f>SUMIFS(W1166:W1201,B1166:B1201,B1174-in_dpd_lag)*d_cured</f>
        <v/>
      </c>
      <c r="Y1174" s="40">
        <f>SUMIFS(W1166:W1201,B1166:B1201,B1174-in_rec_lag)*d_recd</f>
        <v/>
      </c>
      <c r="Z1174" s="40">
        <f>IF(AND(B1174&gt;=in_marketplace_from,B1174&lt;in_marketplace_from+in_card_months),in_card_share/in_card_months*F1174*I1174,IF(AND(B1174&gt;=in_marketplace_from+in_card_months,B1174&lt;in_marketplace_from+2*in_card_months),in_card_share*d_card_rem/in_card_months*F1174*MIN(in_takeup_cap,(1+in_takeup_growth)^(D1174-1))*MIN(in_takeup_cap,(1+in_approval_growth)^(D1174-1)),0))</f>
        <v/>
      </c>
      <c r="AA1174" s="14">
        <f>V1174*in_fee*(1-in_taken_back)</f>
        <v/>
      </c>
      <c r="AB1174" s="14">
        <f>SUMIFS(W1166:W1201,B1166:B1201,B1174-in_dpd_lag)*d_dpd</f>
        <v/>
      </c>
      <c r="AC1174" s="14">
        <f>SUMIFS(W1166:W1201,B1166:B1201,B1174-in_rec_lag)*d_rec</f>
        <v/>
      </c>
      <c r="AD1174" s="14">
        <f>Z1174*in_card_fee</f>
        <v/>
      </c>
      <c r="AE1174" s="40">
        <f>AE1173*(1-IF(B1173&gt;=in_marketplace_from,d_hz_hlth_small*G1173,0))</f>
        <v/>
      </c>
      <c r="AF1174" s="46">
        <f>AE1174*IF(B1174&gt;=in_marketplace_from,d_hz_hlth_small*G1174,0)</f>
        <v/>
      </c>
      <c r="AG1174" s="14">
        <f>F1174*AF1174*in_hlth_small_ticket*in_hlth_small_comm*in_ins_partner_share+F1174*in_hlth_small_ticket*in_hlth_small_renew_comm*in_ins_partner_share*(in_hlth_small_renew^1*SUMIFS(AF1166:AF1201,B1166:B1201,B1174-12)+in_hlth_small_renew^2*SUMIFS(AF1166:AF1201,B1166:B1201,B1174-24)+in_hlth_small_renew^3*SUMIFS(AF1166:AF1201,B1166:B1201,B1174-36)+in_hlth_small_renew^4*SUMIFS(AF1166:AF1201,B1166:B1201,B1174-48))</f>
        <v/>
      </c>
      <c r="AH1174" s="40">
        <f>AH1173*(1-IF(B1173&gt;=in_marketplace_from,d_hz_hlth_family*G1173,0))</f>
        <v/>
      </c>
      <c r="AI1174" s="46">
        <f>AH1174*IF(B1174&gt;=in_marketplace_from,d_hz_hlth_family*G1174,0)</f>
        <v/>
      </c>
      <c r="AJ1174" s="14">
        <f>F1174*AI1174*in_hlth_family_ticket*in_hlth_family_comm*in_ins_partner_share+F1174*in_hlth_family_ticket*in_hlth_family_renew_comm*in_ins_partner_share*(in_hlth_family_renew^1*SUMIFS(AI1166:AI1201,B1166:B1201,B1174-12)+in_hlth_family_renew^2*SUMIFS(AI1166:AI1201,B1166:B1201,B1174-24)+in_hlth_family_renew^3*SUMIFS(AI1166:AI1201,B1166:B1201,B1174-36)+in_hlth_family_renew^4*SUMIFS(AI1166:AI1201,B1166:B1201,B1174-48))</f>
        <v/>
      </c>
      <c r="AK1174" s="40">
        <f>AK1173*(1-IF(B1173&gt;=in_marketplace_from,d_hz_life_term*G1173,0))</f>
        <v/>
      </c>
      <c r="AL1174" s="46">
        <f>AK1174*IF(B1174&gt;=in_marketplace_from,d_hz_life_term*G1174,0)</f>
        <v/>
      </c>
      <c r="AM1174" s="14">
        <f>F1174*AL1174*in_life_term_ticket*in_life_term_comm*in_ins_partner_share+F1174*in_life_term_ticket*in_life_term_renew_comm*in_ins_partner_share*(in_life_term_renew^1*SUMIFS(AL1166:AL1201,B1166:B1201,B1174-12)+in_life_term_renew^2*SUMIFS(AL1166:AL1201,B1166:B1201,B1174-24)+in_life_term_renew^3*SUMIFS(AL1166:AL1201,B1166:B1201,B1174-36)+in_life_term_renew^4*SUMIFS(AL1166:AL1201,B1166:B1201,B1174-48))</f>
        <v/>
      </c>
      <c r="AN1174" s="40">
        <f>AN1173*(1-IF(B1173&gt;=in_marketplace_from,d_hz_accident*G1173,0))</f>
        <v/>
      </c>
      <c r="AO1174" s="46">
        <f>AN1174*IF(B1174&gt;=in_marketplace_from,d_hz_accident*G1174,0)</f>
        <v/>
      </c>
      <c r="AP1174" s="14">
        <f>F1174*AO1174*in_accident_ticket*in_accident_comm*in_ins_partner_share+F1174*in_accident_ticket*in_accident_renew_comm*in_ins_partner_share*(in_accident_renew^1*SUMIFS(AO1166:AO1201,B1166:B1201,B1174-12)+in_accident_renew^2*SUMIFS(AO1166:AO1201,B1166:B1201,B1174-24)+in_accident_renew^3*SUMIFS(AO1166:AO1201,B1166:B1201,B1174-36)+in_accident_renew^4*SUMIFS(AO1166:AO1201,B1166:B1201,B1174-48))</f>
        <v/>
      </c>
      <c r="AQ1174" s="40">
        <f>AQ1173*(1-IF(B1173&gt;=in_marketplace_from,d_hz_two_wheeler*G1173,0))</f>
        <v/>
      </c>
      <c r="AR1174" s="46">
        <f>AQ1174*IF(B1174&gt;=in_marketplace_from,d_hz_two_wheeler*G1174,0)</f>
        <v/>
      </c>
      <c r="AS1174" s="14">
        <f>F1174*AR1174*in_two_wheeler_ticket*in_two_wheeler_comm*in_ins_partner_share+F1174*in_two_wheeler_ticket*in_two_wheeler_comm*in_ins_partner_share*(in_two_wheeler_renew^1*SUMIFS(AR1166:AR1201,B1166:B1201,B1174-12)+in_two_wheeler_renew^2*SUMIFS(AR1166:AR1201,B1166:B1201,B1174-24)+in_two_wheeler_renew^3*SUMIFS(AR1166:AR1201,B1166:B1201,B1174-36)+in_two_wheeler_renew^4*SUMIFS(AR1166:AR1201,B1166:B1201,B1174-48))</f>
        <v/>
      </c>
      <c r="AT1174" s="40">
        <f>AT1173*(1-IF(B1173&gt;=in_marketplace_from,d_hz_device*G1173,0))</f>
        <v/>
      </c>
      <c r="AU1174" s="14">
        <f>F1174*AT1174*IF(B1174&gt;=in_marketplace_from,d_hz_device*G1174,0)*in_device_ticket*in_device_comm*in_ins_partner_share</f>
        <v/>
      </c>
      <c r="AV1174" s="40">
        <f>AV1173*(1-IF(B1173&gt;=in_marketplace_from,d_hz_shop*G1173,0))</f>
        <v/>
      </c>
      <c r="AW1174" s="46">
        <f>AV1174*IF(B1174&gt;=in_marketplace_from,d_hz_shop*G1174,0)</f>
        <v/>
      </c>
      <c r="AX1174" s="14">
        <f>F1174*AW1174*in_shop_ticket*in_shop_comm*in_ins_partner_share+F1174*in_shop_ticket*in_shop_renew_comm*in_ins_partner_share*(in_shop_renew^1*SUMIFS(AW1166:AW1201,B1166:B1201,B1174-12)+in_shop_renew^2*SUMIFS(AW1166:AW1201,B1166:B1201,B1174-24)+in_shop_renew^3*SUMIFS(AW1166:AW1201,B1166:B1201,B1174-36)+in_shop_renew^4*SUMIFS(AW1166:AW1201,B1166:B1201,B1174-48))</f>
        <v/>
      </c>
      <c r="AY1174" s="40">
        <f>AY1173*(1-IF(B1173&gt;=in_marketplace_from,d_hz_sip*G1173,0))</f>
        <v/>
      </c>
      <c r="AZ1174" s="40">
        <f>AZ1173*d_rho_sip+AY1174*IF(B1174&gt;=in_marketplace_from,d_hz_sip*G1174,0)</f>
        <v/>
      </c>
      <c r="BA1174" s="40">
        <f>d_rho_sip*(BA1173+AZ1173)</f>
        <v/>
      </c>
      <c r="BB1174" s="14">
        <f>F1174*in_sip_ticket*(BA1174+0.5*AZ1174)*in_sip_comm/12</f>
        <v/>
      </c>
      <c r="BC1174" s="40">
        <f>BC1173*(1-IF(B1173&gt;=in_marketplace_from,d_hz_choti*G1173,0))</f>
        <v/>
      </c>
      <c r="BD1174" s="46">
        <f>BC1174*IF(B1174&gt;=in_marketplace_from,d_hz_choti*G1174,0)</f>
        <v/>
      </c>
      <c r="BE1174" s="14">
        <f>F1174*SUMIFS(BD1166:BD1201,B1166:B1201,B1174-in_choti_months)*in_choti_renew*in_choti_ticket</f>
        <v/>
      </c>
      <c r="BF1174" s="40">
        <f>BF1173*(1-IF(B1173&gt;=in_marketplace_from,d_hz_nps*G1173,0))</f>
        <v/>
      </c>
      <c r="BG1174" s="14">
        <f>F1174*BF1174*IF(B1174&gt;=in_marketplace_from,d_hz_nps*G1174,0)*in_nps_ticket*in_nps_comm</f>
        <v/>
      </c>
      <c r="BH1174" s="40">
        <f>BH1173*(1-IF(B1173&gt;=in_marketplace_from,d_hz_gold*G1173,0))</f>
        <v/>
      </c>
      <c r="BI1174" s="40">
        <f>BI1173*d_rho_gold+BH1174*IF(B1174&gt;=in_marketplace_from,d_hz_gold*G1174,0)</f>
        <v/>
      </c>
      <c r="BJ1174" s="14">
        <f>F1174*BI1174*in_gold_ticket*in_gold_comm</f>
        <v/>
      </c>
      <c r="BK1174" s="40">
        <f>BK1173*(1-IF(B1173&gt;=in_marketplace_from,d_hz_fd*G1173,0))</f>
        <v/>
      </c>
      <c r="BL1174" s="14">
        <f>F1174*BK1174*IF(B1174&gt;=in_marketplace_from,d_hz_fd*G1174,0)*in_fd_ticket*in_fd_comm</f>
        <v/>
      </c>
      <c r="BM1174" s="40">
        <f>BM1173*(1-IF(B1173&gt;=in_marketplace_from,d_hz_recharge*G1173,0))</f>
        <v/>
      </c>
      <c r="BN1174" s="40">
        <f>BN1173*d_rho_recharge+BM1174*IF(B1174&gt;=in_marketplace_from,d_hz_recharge*G1174,0)</f>
        <v/>
      </c>
      <c r="BO1174" s="14">
        <f>F1174*BN1174*in_recharge_ticket*in_recharge_comm/12</f>
        <v/>
      </c>
      <c r="BP1174" s="40">
        <f>BP1173*(1-IF(B1173&gt;=in_marketplace_from,d_hz_bills*G1173,0))</f>
        <v/>
      </c>
      <c r="BQ1174" s="40">
        <f>BQ1173*d_rho_bills+BP1174*IF(B1174&gt;=in_marketplace_from,d_hz_bills*G1174,0)</f>
        <v/>
      </c>
      <c r="BR1174" s="14">
        <f>F1174*BQ1174*in_bills_ticket*in_bills_comm/12</f>
        <v/>
      </c>
      <c r="BS1174" s="40">
        <f>BS1173*(1-IF(B1173&gt;=in_marketplace_from,d_hz_loan_gold*G1173,0))</f>
        <v/>
      </c>
      <c r="BT1174" s="14">
        <f>F1174*BS1174*IF(B1174&gt;=in_marketplace_from,d_hz_loan_gold*G1174,0)*in_loan_gold_ticket*in_loan_gold_comm</f>
        <v/>
      </c>
      <c r="BU1174" s="40">
        <f>BU1173*(1-IF(B1173&gt;=in_marketplace_from,d_hz_loan_cd*G1173,0))</f>
        <v/>
      </c>
      <c r="BV1174" s="14">
        <f>F1174*BU1174*IF(B1174&gt;=in_marketplace_from,d_hz_loan_cd*G1174,0)*in_loan_cd_ticket*in_loan_cd_comm</f>
        <v/>
      </c>
      <c r="BW1174" s="40">
        <f>BW1173*(1-IF(B1173&gt;=in_marketplace_from,d_hz_loan_vehicle*G1173,0))</f>
        <v/>
      </c>
      <c r="BX1174" s="14">
        <f>F1174*BW1174*IF(B1174&gt;=in_marketplace_from,d_hz_loan_vehicle*G1174,0)*in_loan_vehicle_ticket*in_loan_vehicle_comm</f>
        <v/>
      </c>
      <c r="BY1174" s="40">
        <f>BY1173*(1-IF(B1173&gt;=in_marketplace_from,d_hz_loan_home*G1173,0)*BZ1173)</f>
        <v/>
      </c>
      <c r="BZ1174" s="11">
        <f>MIN(in_approval_cap,in_loan_home_approval*INDEX('Age profile'!$O$2:$O$61,B1174)*(1+in_approval_growth)^(D1174-1))</f>
        <v/>
      </c>
      <c r="CA1174" s="14">
        <f>F1174*BY1174*IF(B1174&gt;=in_marketplace_from,d_hz_loan_home*G1174,0)*BZ1174*in_loan_home_ticket*in_loan_home_comm</f>
        <v/>
      </c>
      <c r="CB1174" s="40">
        <f>CB1173*(1-IF(B1173&gt;=in_marketplace_from,d_hz_loan_lap*G1173,0)*CC1173)</f>
        <v/>
      </c>
      <c r="CC1174" s="11">
        <f>MIN(in_approval_cap,in_loan_lap_approval*INDEX('Age profile'!$O$2:$O$61,B1174)*(1+in_approval_growth)^(D1174-1))</f>
        <v/>
      </c>
      <c r="CD1174" s="14">
        <f>F1174*CB1174*IF(B1174&gt;=in_marketplace_from,d_hz_loan_lap*G1174,0)*CC1174*in_loan_lap_ticket*in_loan_lap_comm</f>
        <v/>
      </c>
      <c r="CE1174" s="14">
        <f>AA1174+AB1174+AC1174+AD1174+AG1174+AJ1174+AM1174+AP1174+AS1174+AU1174+AX1174+BB1174+BE1174+BG1174+BJ1174+BL1174+BO1174+BR1174+BT1174+BV1174+BX1174+CA1174+CD1174</f>
        <v/>
      </c>
    </row>
    <row r="1175">
      <c r="A1175" s="39" t="n">
        <v>25</v>
      </c>
      <c r="B1175" s="39" t="n">
        <v>10</v>
      </c>
      <c r="C1175" s="39">
        <f>A1175+B1175-1</f>
        <v/>
      </c>
      <c r="D1175" s="39">
        <f>INT((C1175-1)/12)+1</f>
        <v/>
      </c>
      <c r="E1175" s="44">
        <f>INDEX(Monthly!$B$2:$B$61,A1175)</f>
        <v/>
      </c>
      <c r="F1175" s="44">
        <f>E1175*INDEX('Age profile'!$B$2:$B$61,B1175)</f>
        <v/>
      </c>
      <c r="G1175" s="45">
        <f>MIN(in_takeup_cap,INDEX('Age profile'!$N$2:$N$61,B1175)*(1+in_takeup_growth)^(D1175-1))</f>
        <v/>
      </c>
      <c r="H1175" s="11">
        <f>MIN(in_approval_cap,in_approved_first*INDEX('Age profile'!$O$2:$O$61,B1175)*(1+in_approval_growth)^(D1175-1))</f>
        <v/>
      </c>
      <c r="I1175" s="45">
        <f>G1175*MIN(in_takeup_cap,INDEX('Age profile'!$O$2:$O$61,B1175)*(1+in_approval_growth)^(D1175-1))</f>
        <v/>
      </c>
      <c r="J1175" s="40">
        <f>(J1174-L1174)*F1175/F1174</f>
        <v/>
      </c>
      <c r="K1175" s="40">
        <f>(K1174-M1174)*F1175/F1174+SUMIFS(O1166:O1174,B1166:B1174,B1175-1-d_T)*F1175</f>
        <v/>
      </c>
      <c r="L1175" s="40">
        <f>IF(B1175&gt;=in_marketplace_from,J1175*d_hz*G1175*in_eligible*H1175,0)</f>
        <v/>
      </c>
      <c r="M1175" s="40">
        <f>IF(B1175&gt;=in_marketplace_from,K1175*d_hz*G1175*in_eligible*in_approved_repeat,0)</f>
        <v/>
      </c>
      <c r="N1175" s="40">
        <f>L1175+M1175</f>
        <v/>
      </c>
      <c r="O1175" s="46">
        <f>N1175/F1175</f>
        <v/>
      </c>
      <c r="P1175" s="40">
        <f>F1175-J1175-K1175</f>
        <v/>
      </c>
      <c r="Q1175" s="40">
        <f>IF(B1175&gt;=in_marketplace_from,(J1175+K1175)*d_hz*G1175,0)</f>
        <v/>
      </c>
      <c r="R1175" s="40">
        <f>SUMIFS(N1166:N1201,B1166:B1201,"&gt;="&amp;(B1175-d_T),B1166:B1201,"&lt;="&amp;(B1175-1))</f>
        <v/>
      </c>
      <c r="S1175" s="46">
        <f>(1-d_u)*S1174+IF(d_T&gt;in_topup_lag,SUMIFS(O1166:O1201,B1166:B1201,B1175-in_topup_lag)-d_udrop*SUMIFS(O1166:O1201,B1166:B1201,B1175-d_T),0)</f>
        <v/>
      </c>
      <c r="T1175" s="40">
        <f>F1175*d_u*S1175</f>
        <v/>
      </c>
      <c r="U1175" s="9">
        <f>L1175*in_ticket+M1175*d_rep_ticket</f>
        <v/>
      </c>
      <c r="V1175" s="9">
        <f>U1175+T1175*d_topup_amt</f>
        <v/>
      </c>
      <c r="W1175" s="40">
        <f>N1175+T1175*d_topup_ratio</f>
        <v/>
      </c>
      <c r="X1175" s="40">
        <f>SUMIFS(W1166:W1201,B1166:B1201,B1175-in_dpd_lag)*d_cured</f>
        <v/>
      </c>
      <c r="Y1175" s="40">
        <f>SUMIFS(W1166:W1201,B1166:B1201,B1175-in_rec_lag)*d_recd</f>
        <v/>
      </c>
      <c r="Z1175" s="40">
        <f>IF(AND(B1175&gt;=in_marketplace_from,B1175&lt;in_marketplace_from+in_card_months),in_card_share/in_card_months*F1175*I1175,IF(AND(B1175&gt;=in_marketplace_from+in_card_months,B1175&lt;in_marketplace_from+2*in_card_months),in_card_share*d_card_rem/in_card_months*F1175*MIN(in_takeup_cap,(1+in_takeup_growth)^(D1175-1))*MIN(in_takeup_cap,(1+in_approval_growth)^(D1175-1)),0))</f>
        <v/>
      </c>
      <c r="AA1175" s="14">
        <f>V1175*in_fee*(1-in_taken_back)</f>
        <v/>
      </c>
      <c r="AB1175" s="14">
        <f>SUMIFS(W1166:W1201,B1166:B1201,B1175-in_dpd_lag)*d_dpd</f>
        <v/>
      </c>
      <c r="AC1175" s="14">
        <f>SUMIFS(W1166:W1201,B1166:B1201,B1175-in_rec_lag)*d_rec</f>
        <v/>
      </c>
      <c r="AD1175" s="14">
        <f>Z1175*in_card_fee</f>
        <v/>
      </c>
      <c r="AE1175" s="40">
        <f>AE1174*(1-IF(B1174&gt;=in_marketplace_from,d_hz_hlth_small*G1174,0))</f>
        <v/>
      </c>
      <c r="AF1175" s="46">
        <f>AE1175*IF(B1175&gt;=in_marketplace_from,d_hz_hlth_small*G1175,0)</f>
        <v/>
      </c>
      <c r="AG1175" s="14">
        <f>F1175*AF1175*in_hlth_small_ticket*in_hlth_small_comm*in_ins_partner_share+F1175*in_hlth_small_ticket*in_hlth_small_renew_comm*in_ins_partner_share*(in_hlth_small_renew^1*SUMIFS(AF1166:AF1201,B1166:B1201,B1175-12)+in_hlth_small_renew^2*SUMIFS(AF1166:AF1201,B1166:B1201,B1175-24)+in_hlth_small_renew^3*SUMIFS(AF1166:AF1201,B1166:B1201,B1175-36)+in_hlth_small_renew^4*SUMIFS(AF1166:AF1201,B1166:B1201,B1175-48))</f>
        <v/>
      </c>
      <c r="AH1175" s="40">
        <f>AH1174*(1-IF(B1174&gt;=in_marketplace_from,d_hz_hlth_family*G1174,0))</f>
        <v/>
      </c>
      <c r="AI1175" s="46">
        <f>AH1175*IF(B1175&gt;=in_marketplace_from,d_hz_hlth_family*G1175,0)</f>
        <v/>
      </c>
      <c r="AJ1175" s="14">
        <f>F1175*AI1175*in_hlth_family_ticket*in_hlth_family_comm*in_ins_partner_share+F1175*in_hlth_family_ticket*in_hlth_family_renew_comm*in_ins_partner_share*(in_hlth_family_renew^1*SUMIFS(AI1166:AI1201,B1166:B1201,B1175-12)+in_hlth_family_renew^2*SUMIFS(AI1166:AI1201,B1166:B1201,B1175-24)+in_hlth_family_renew^3*SUMIFS(AI1166:AI1201,B1166:B1201,B1175-36)+in_hlth_family_renew^4*SUMIFS(AI1166:AI1201,B1166:B1201,B1175-48))</f>
        <v/>
      </c>
      <c r="AK1175" s="40">
        <f>AK1174*(1-IF(B1174&gt;=in_marketplace_from,d_hz_life_term*G1174,0))</f>
        <v/>
      </c>
      <c r="AL1175" s="46">
        <f>AK1175*IF(B1175&gt;=in_marketplace_from,d_hz_life_term*G1175,0)</f>
        <v/>
      </c>
      <c r="AM1175" s="14">
        <f>F1175*AL1175*in_life_term_ticket*in_life_term_comm*in_ins_partner_share+F1175*in_life_term_ticket*in_life_term_renew_comm*in_ins_partner_share*(in_life_term_renew^1*SUMIFS(AL1166:AL1201,B1166:B1201,B1175-12)+in_life_term_renew^2*SUMIFS(AL1166:AL1201,B1166:B1201,B1175-24)+in_life_term_renew^3*SUMIFS(AL1166:AL1201,B1166:B1201,B1175-36)+in_life_term_renew^4*SUMIFS(AL1166:AL1201,B1166:B1201,B1175-48))</f>
        <v/>
      </c>
      <c r="AN1175" s="40">
        <f>AN1174*(1-IF(B1174&gt;=in_marketplace_from,d_hz_accident*G1174,0))</f>
        <v/>
      </c>
      <c r="AO1175" s="46">
        <f>AN1175*IF(B1175&gt;=in_marketplace_from,d_hz_accident*G1175,0)</f>
        <v/>
      </c>
      <c r="AP1175" s="14">
        <f>F1175*AO1175*in_accident_ticket*in_accident_comm*in_ins_partner_share+F1175*in_accident_ticket*in_accident_renew_comm*in_ins_partner_share*(in_accident_renew^1*SUMIFS(AO1166:AO1201,B1166:B1201,B1175-12)+in_accident_renew^2*SUMIFS(AO1166:AO1201,B1166:B1201,B1175-24)+in_accident_renew^3*SUMIFS(AO1166:AO1201,B1166:B1201,B1175-36)+in_accident_renew^4*SUMIFS(AO1166:AO1201,B1166:B1201,B1175-48))</f>
        <v/>
      </c>
      <c r="AQ1175" s="40">
        <f>AQ1174*(1-IF(B1174&gt;=in_marketplace_from,d_hz_two_wheeler*G1174,0))</f>
        <v/>
      </c>
      <c r="AR1175" s="46">
        <f>AQ1175*IF(B1175&gt;=in_marketplace_from,d_hz_two_wheeler*G1175,0)</f>
        <v/>
      </c>
      <c r="AS1175" s="14">
        <f>F1175*AR1175*in_two_wheeler_ticket*in_two_wheeler_comm*in_ins_partner_share+F1175*in_two_wheeler_ticket*in_two_wheeler_comm*in_ins_partner_share*(in_two_wheeler_renew^1*SUMIFS(AR1166:AR1201,B1166:B1201,B1175-12)+in_two_wheeler_renew^2*SUMIFS(AR1166:AR1201,B1166:B1201,B1175-24)+in_two_wheeler_renew^3*SUMIFS(AR1166:AR1201,B1166:B1201,B1175-36)+in_two_wheeler_renew^4*SUMIFS(AR1166:AR1201,B1166:B1201,B1175-48))</f>
        <v/>
      </c>
      <c r="AT1175" s="40">
        <f>AT1174*(1-IF(B1174&gt;=in_marketplace_from,d_hz_device*G1174,0))</f>
        <v/>
      </c>
      <c r="AU1175" s="14">
        <f>F1175*AT1175*IF(B1175&gt;=in_marketplace_from,d_hz_device*G1175,0)*in_device_ticket*in_device_comm*in_ins_partner_share</f>
        <v/>
      </c>
      <c r="AV1175" s="40">
        <f>AV1174*(1-IF(B1174&gt;=in_marketplace_from,d_hz_shop*G1174,0))</f>
        <v/>
      </c>
      <c r="AW1175" s="46">
        <f>AV1175*IF(B1175&gt;=in_marketplace_from,d_hz_shop*G1175,0)</f>
        <v/>
      </c>
      <c r="AX1175" s="14">
        <f>F1175*AW1175*in_shop_ticket*in_shop_comm*in_ins_partner_share+F1175*in_shop_ticket*in_shop_renew_comm*in_ins_partner_share*(in_shop_renew^1*SUMIFS(AW1166:AW1201,B1166:B1201,B1175-12)+in_shop_renew^2*SUMIFS(AW1166:AW1201,B1166:B1201,B1175-24)+in_shop_renew^3*SUMIFS(AW1166:AW1201,B1166:B1201,B1175-36)+in_shop_renew^4*SUMIFS(AW1166:AW1201,B1166:B1201,B1175-48))</f>
        <v/>
      </c>
      <c r="AY1175" s="40">
        <f>AY1174*(1-IF(B1174&gt;=in_marketplace_from,d_hz_sip*G1174,0))</f>
        <v/>
      </c>
      <c r="AZ1175" s="40">
        <f>AZ1174*d_rho_sip+AY1175*IF(B1175&gt;=in_marketplace_from,d_hz_sip*G1175,0)</f>
        <v/>
      </c>
      <c r="BA1175" s="40">
        <f>d_rho_sip*(BA1174+AZ1174)</f>
        <v/>
      </c>
      <c r="BB1175" s="14">
        <f>F1175*in_sip_ticket*(BA1175+0.5*AZ1175)*in_sip_comm/12</f>
        <v/>
      </c>
      <c r="BC1175" s="40">
        <f>BC1174*(1-IF(B1174&gt;=in_marketplace_from,d_hz_choti*G1174,0))</f>
        <v/>
      </c>
      <c r="BD1175" s="46">
        <f>BC1175*IF(B1175&gt;=in_marketplace_from,d_hz_choti*G1175,0)</f>
        <v/>
      </c>
      <c r="BE1175" s="14">
        <f>F1175*SUMIFS(BD1166:BD1201,B1166:B1201,B1175-in_choti_months)*in_choti_renew*in_choti_ticket</f>
        <v/>
      </c>
      <c r="BF1175" s="40">
        <f>BF1174*(1-IF(B1174&gt;=in_marketplace_from,d_hz_nps*G1174,0))</f>
        <v/>
      </c>
      <c r="BG1175" s="14">
        <f>F1175*BF1175*IF(B1175&gt;=in_marketplace_from,d_hz_nps*G1175,0)*in_nps_ticket*in_nps_comm</f>
        <v/>
      </c>
      <c r="BH1175" s="40">
        <f>BH1174*(1-IF(B1174&gt;=in_marketplace_from,d_hz_gold*G1174,0))</f>
        <v/>
      </c>
      <c r="BI1175" s="40">
        <f>BI1174*d_rho_gold+BH1175*IF(B1175&gt;=in_marketplace_from,d_hz_gold*G1175,0)</f>
        <v/>
      </c>
      <c r="BJ1175" s="14">
        <f>F1175*BI1175*in_gold_ticket*in_gold_comm</f>
        <v/>
      </c>
      <c r="BK1175" s="40">
        <f>BK1174*(1-IF(B1174&gt;=in_marketplace_from,d_hz_fd*G1174,0))</f>
        <v/>
      </c>
      <c r="BL1175" s="14">
        <f>F1175*BK1175*IF(B1175&gt;=in_marketplace_from,d_hz_fd*G1175,0)*in_fd_ticket*in_fd_comm</f>
        <v/>
      </c>
      <c r="BM1175" s="40">
        <f>BM1174*(1-IF(B1174&gt;=in_marketplace_from,d_hz_recharge*G1174,0))</f>
        <v/>
      </c>
      <c r="BN1175" s="40">
        <f>BN1174*d_rho_recharge+BM1175*IF(B1175&gt;=in_marketplace_from,d_hz_recharge*G1175,0)</f>
        <v/>
      </c>
      <c r="BO1175" s="14">
        <f>F1175*BN1175*in_recharge_ticket*in_recharge_comm/12</f>
        <v/>
      </c>
      <c r="BP1175" s="40">
        <f>BP1174*(1-IF(B1174&gt;=in_marketplace_from,d_hz_bills*G1174,0))</f>
        <v/>
      </c>
      <c r="BQ1175" s="40">
        <f>BQ1174*d_rho_bills+BP1175*IF(B1175&gt;=in_marketplace_from,d_hz_bills*G1175,0)</f>
        <v/>
      </c>
      <c r="BR1175" s="14">
        <f>F1175*BQ1175*in_bills_ticket*in_bills_comm/12</f>
        <v/>
      </c>
      <c r="BS1175" s="40">
        <f>BS1174*(1-IF(B1174&gt;=in_marketplace_from,d_hz_loan_gold*G1174,0))</f>
        <v/>
      </c>
      <c r="BT1175" s="14">
        <f>F1175*BS1175*IF(B1175&gt;=in_marketplace_from,d_hz_loan_gold*G1175,0)*in_loan_gold_ticket*in_loan_gold_comm</f>
        <v/>
      </c>
      <c r="BU1175" s="40">
        <f>BU1174*(1-IF(B1174&gt;=in_marketplace_from,d_hz_loan_cd*G1174,0))</f>
        <v/>
      </c>
      <c r="BV1175" s="14">
        <f>F1175*BU1175*IF(B1175&gt;=in_marketplace_from,d_hz_loan_cd*G1175,0)*in_loan_cd_ticket*in_loan_cd_comm</f>
        <v/>
      </c>
      <c r="BW1175" s="40">
        <f>BW1174*(1-IF(B1174&gt;=in_marketplace_from,d_hz_loan_vehicle*G1174,0))</f>
        <v/>
      </c>
      <c r="BX1175" s="14">
        <f>F1175*BW1175*IF(B1175&gt;=in_marketplace_from,d_hz_loan_vehicle*G1175,0)*in_loan_vehicle_ticket*in_loan_vehicle_comm</f>
        <v/>
      </c>
      <c r="BY1175" s="40">
        <f>BY1174*(1-IF(B1174&gt;=in_marketplace_from,d_hz_loan_home*G1174,0)*BZ1174)</f>
        <v/>
      </c>
      <c r="BZ1175" s="11">
        <f>MIN(in_approval_cap,in_loan_home_approval*INDEX('Age profile'!$O$2:$O$61,B1175)*(1+in_approval_growth)^(D1175-1))</f>
        <v/>
      </c>
      <c r="CA1175" s="14">
        <f>F1175*BY1175*IF(B1175&gt;=in_marketplace_from,d_hz_loan_home*G1175,0)*BZ1175*in_loan_home_ticket*in_loan_home_comm</f>
        <v/>
      </c>
      <c r="CB1175" s="40">
        <f>CB1174*(1-IF(B1174&gt;=in_marketplace_from,d_hz_loan_lap*G1174,0)*CC1174)</f>
        <v/>
      </c>
      <c r="CC1175" s="11">
        <f>MIN(in_approval_cap,in_loan_lap_approval*INDEX('Age profile'!$O$2:$O$61,B1175)*(1+in_approval_growth)^(D1175-1))</f>
        <v/>
      </c>
      <c r="CD1175" s="14">
        <f>F1175*CB1175*IF(B1175&gt;=in_marketplace_from,d_hz_loan_lap*G1175,0)*CC1175*in_loan_lap_ticket*in_loan_lap_comm</f>
        <v/>
      </c>
      <c r="CE1175" s="14">
        <f>AA1175+AB1175+AC1175+AD1175+AG1175+AJ1175+AM1175+AP1175+AS1175+AU1175+AX1175+BB1175+BE1175+BG1175+BJ1175+BL1175+BO1175+BR1175+BT1175+BV1175+BX1175+CA1175+CD1175</f>
        <v/>
      </c>
    </row>
    <row r="1176">
      <c r="A1176" s="39" t="n">
        <v>25</v>
      </c>
      <c r="B1176" s="39" t="n">
        <v>11</v>
      </c>
      <c r="C1176" s="39">
        <f>A1176+B1176-1</f>
        <v/>
      </c>
      <c r="D1176" s="39">
        <f>INT((C1176-1)/12)+1</f>
        <v/>
      </c>
      <c r="E1176" s="44">
        <f>INDEX(Monthly!$B$2:$B$61,A1176)</f>
        <v/>
      </c>
      <c r="F1176" s="44">
        <f>E1176*INDEX('Age profile'!$B$2:$B$61,B1176)</f>
        <v/>
      </c>
      <c r="G1176" s="45">
        <f>MIN(in_takeup_cap,INDEX('Age profile'!$N$2:$N$61,B1176)*(1+in_takeup_growth)^(D1176-1))</f>
        <v/>
      </c>
      <c r="H1176" s="11">
        <f>MIN(in_approval_cap,in_approved_first*INDEX('Age profile'!$O$2:$O$61,B1176)*(1+in_approval_growth)^(D1176-1))</f>
        <v/>
      </c>
      <c r="I1176" s="45">
        <f>G1176*MIN(in_takeup_cap,INDEX('Age profile'!$O$2:$O$61,B1176)*(1+in_approval_growth)^(D1176-1))</f>
        <v/>
      </c>
      <c r="J1176" s="40">
        <f>(J1175-L1175)*F1176/F1175</f>
        <v/>
      </c>
      <c r="K1176" s="40">
        <f>(K1175-M1175)*F1176/F1175+SUMIFS(O1166:O1175,B1166:B1175,B1176-1-d_T)*F1176</f>
        <v/>
      </c>
      <c r="L1176" s="40">
        <f>IF(B1176&gt;=in_marketplace_from,J1176*d_hz*G1176*in_eligible*H1176,0)</f>
        <v/>
      </c>
      <c r="M1176" s="40">
        <f>IF(B1176&gt;=in_marketplace_from,K1176*d_hz*G1176*in_eligible*in_approved_repeat,0)</f>
        <v/>
      </c>
      <c r="N1176" s="40">
        <f>L1176+M1176</f>
        <v/>
      </c>
      <c r="O1176" s="46">
        <f>N1176/F1176</f>
        <v/>
      </c>
      <c r="P1176" s="40">
        <f>F1176-J1176-K1176</f>
        <v/>
      </c>
      <c r="Q1176" s="40">
        <f>IF(B1176&gt;=in_marketplace_from,(J1176+K1176)*d_hz*G1176,0)</f>
        <v/>
      </c>
      <c r="R1176" s="40">
        <f>SUMIFS(N1166:N1201,B1166:B1201,"&gt;="&amp;(B1176-d_T),B1166:B1201,"&lt;="&amp;(B1176-1))</f>
        <v/>
      </c>
      <c r="S1176" s="46">
        <f>(1-d_u)*S1175+IF(d_T&gt;in_topup_lag,SUMIFS(O1166:O1201,B1166:B1201,B1176-in_topup_lag)-d_udrop*SUMIFS(O1166:O1201,B1166:B1201,B1176-d_T),0)</f>
        <v/>
      </c>
      <c r="T1176" s="40">
        <f>F1176*d_u*S1176</f>
        <v/>
      </c>
      <c r="U1176" s="9">
        <f>L1176*in_ticket+M1176*d_rep_ticket</f>
        <v/>
      </c>
      <c r="V1176" s="9">
        <f>U1176+T1176*d_topup_amt</f>
        <v/>
      </c>
      <c r="W1176" s="40">
        <f>N1176+T1176*d_topup_ratio</f>
        <v/>
      </c>
      <c r="X1176" s="40">
        <f>SUMIFS(W1166:W1201,B1166:B1201,B1176-in_dpd_lag)*d_cured</f>
        <v/>
      </c>
      <c r="Y1176" s="40">
        <f>SUMIFS(W1166:W1201,B1166:B1201,B1176-in_rec_lag)*d_recd</f>
        <v/>
      </c>
      <c r="Z1176" s="40">
        <f>IF(AND(B1176&gt;=in_marketplace_from,B1176&lt;in_marketplace_from+in_card_months),in_card_share/in_card_months*F1176*I1176,IF(AND(B1176&gt;=in_marketplace_from+in_card_months,B1176&lt;in_marketplace_from+2*in_card_months),in_card_share*d_card_rem/in_card_months*F1176*MIN(in_takeup_cap,(1+in_takeup_growth)^(D1176-1))*MIN(in_takeup_cap,(1+in_approval_growth)^(D1176-1)),0))</f>
        <v/>
      </c>
      <c r="AA1176" s="14">
        <f>V1176*in_fee*(1-in_taken_back)</f>
        <v/>
      </c>
      <c r="AB1176" s="14">
        <f>SUMIFS(W1166:W1201,B1166:B1201,B1176-in_dpd_lag)*d_dpd</f>
        <v/>
      </c>
      <c r="AC1176" s="14">
        <f>SUMIFS(W1166:W1201,B1166:B1201,B1176-in_rec_lag)*d_rec</f>
        <v/>
      </c>
      <c r="AD1176" s="14">
        <f>Z1176*in_card_fee</f>
        <v/>
      </c>
      <c r="AE1176" s="40">
        <f>AE1175*(1-IF(B1175&gt;=in_marketplace_from,d_hz_hlth_small*G1175,0))</f>
        <v/>
      </c>
      <c r="AF1176" s="46">
        <f>AE1176*IF(B1176&gt;=in_marketplace_from,d_hz_hlth_small*G1176,0)</f>
        <v/>
      </c>
      <c r="AG1176" s="14">
        <f>F1176*AF1176*in_hlth_small_ticket*in_hlth_small_comm*in_ins_partner_share+F1176*in_hlth_small_ticket*in_hlth_small_renew_comm*in_ins_partner_share*(in_hlth_small_renew^1*SUMIFS(AF1166:AF1201,B1166:B1201,B1176-12)+in_hlth_small_renew^2*SUMIFS(AF1166:AF1201,B1166:B1201,B1176-24)+in_hlth_small_renew^3*SUMIFS(AF1166:AF1201,B1166:B1201,B1176-36)+in_hlth_small_renew^4*SUMIFS(AF1166:AF1201,B1166:B1201,B1176-48))</f>
        <v/>
      </c>
      <c r="AH1176" s="40">
        <f>AH1175*(1-IF(B1175&gt;=in_marketplace_from,d_hz_hlth_family*G1175,0))</f>
        <v/>
      </c>
      <c r="AI1176" s="46">
        <f>AH1176*IF(B1176&gt;=in_marketplace_from,d_hz_hlth_family*G1176,0)</f>
        <v/>
      </c>
      <c r="AJ1176" s="14">
        <f>F1176*AI1176*in_hlth_family_ticket*in_hlth_family_comm*in_ins_partner_share+F1176*in_hlth_family_ticket*in_hlth_family_renew_comm*in_ins_partner_share*(in_hlth_family_renew^1*SUMIFS(AI1166:AI1201,B1166:B1201,B1176-12)+in_hlth_family_renew^2*SUMIFS(AI1166:AI1201,B1166:B1201,B1176-24)+in_hlth_family_renew^3*SUMIFS(AI1166:AI1201,B1166:B1201,B1176-36)+in_hlth_family_renew^4*SUMIFS(AI1166:AI1201,B1166:B1201,B1176-48))</f>
        <v/>
      </c>
      <c r="AK1176" s="40">
        <f>AK1175*(1-IF(B1175&gt;=in_marketplace_from,d_hz_life_term*G1175,0))</f>
        <v/>
      </c>
      <c r="AL1176" s="46">
        <f>AK1176*IF(B1176&gt;=in_marketplace_from,d_hz_life_term*G1176,0)</f>
        <v/>
      </c>
      <c r="AM1176" s="14">
        <f>F1176*AL1176*in_life_term_ticket*in_life_term_comm*in_ins_partner_share+F1176*in_life_term_ticket*in_life_term_renew_comm*in_ins_partner_share*(in_life_term_renew^1*SUMIFS(AL1166:AL1201,B1166:B1201,B1176-12)+in_life_term_renew^2*SUMIFS(AL1166:AL1201,B1166:B1201,B1176-24)+in_life_term_renew^3*SUMIFS(AL1166:AL1201,B1166:B1201,B1176-36)+in_life_term_renew^4*SUMIFS(AL1166:AL1201,B1166:B1201,B1176-48))</f>
        <v/>
      </c>
      <c r="AN1176" s="40">
        <f>AN1175*(1-IF(B1175&gt;=in_marketplace_from,d_hz_accident*G1175,0))</f>
        <v/>
      </c>
      <c r="AO1176" s="46">
        <f>AN1176*IF(B1176&gt;=in_marketplace_from,d_hz_accident*G1176,0)</f>
        <v/>
      </c>
      <c r="AP1176" s="14">
        <f>F1176*AO1176*in_accident_ticket*in_accident_comm*in_ins_partner_share+F1176*in_accident_ticket*in_accident_renew_comm*in_ins_partner_share*(in_accident_renew^1*SUMIFS(AO1166:AO1201,B1166:B1201,B1176-12)+in_accident_renew^2*SUMIFS(AO1166:AO1201,B1166:B1201,B1176-24)+in_accident_renew^3*SUMIFS(AO1166:AO1201,B1166:B1201,B1176-36)+in_accident_renew^4*SUMIFS(AO1166:AO1201,B1166:B1201,B1176-48))</f>
        <v/>
      </c>
      <c r="AQ1176" s="40">
        <f>AQ1175*(1-IF(B1175&gt;=in_marketplace_from,d_hz_two_wheeler*G1175,0))</f>
        <v/>
      </c>
      <c r="AR1176" s="46">
        <f>AQ1176*IF(B1176&gt;=in_marketplace_from,d_hz_two_wheeler*G1176,0)</f>
        <v/>
      </c>
      <c r="AS1176" s="14">
        <f>F1176*AR1176*in_two_wheeler_ticket*in_two_wheeler_comm*in_ins_partner_share+F1176*in_two_wheeler_ticket*in_two_wheeler_comm*in_ins_partner_share*(in_two_wheeler_renew^1*SUMIFS(AR1166:AR1201,B1166:B1201,B1176-12)+in_two_wheeler_renew^2*SUMIFS(AR1166:AR1201,B1166:B1201,B1176-24)+in_two_wheeler_renew^3*SUMIFS(AR1166:AR1201,B1166:B1201,B1176-36)+in_two_wheeler_renew^4*SUMIFS(AR1166:AR1201,B1166:B1201,B1176-48))</f>
        <v/>
      </c>
      <c r="AT1176" s="40">
        <f>AT1175*(1-IF(B1175&gt;=in_marketplace_from,d_hz_device*G1175,0))</f>
        <v/>
      </c>
      <c r="AU1176" s="14">
        <f>F1176*AT1176*IF(B1176&gt;=in_marketplace_from,d_hz_device*G1176,0)*in_device_ticket*in_device_comm*in_ins_partner_share</f>
        <v/>
      </c>
      <c r="AV1176" s="40">
        <f>AV1175*(1-IF(B1175&gt;=in_marketplace_from,d_hz_shop*G1175,0))</f>
        <v/>
      </c>
      <c r="AW1176" s="46">
        <f>AV1176*IF(B1176&gt;=in_marketplace_from,d_hz_shop*G1176,0)</f>
        <v/>
      </c>
      <c r="AX1176" s="14">
        <f>F1176*AW1176*in_shop_ticket*in_shop_comm*in_ins_partner_share+F1176*in_shop_ticket*in_shop_renew_comm*in_ins_partner_share*(in_shop_renew^1*SUMIFS(AW1166:AW1201,B1166:B1201,B1176-12)+in_shop_renew^2*SUMIFS(AW1166:AW1201,B1166:B1201,B1176-24)+in_shop_renew^3*SUMIFS(AW1166:AW1201,B1166:B1201,B1176-36)+in_shop_renew^4*SUMIFS(AW1166:AW1201,B1166:B1201,B1176-48))</f>
        <v/>
      </c>
      <c r="AY1176" s="40">
        <f>AY1175*(1-IF(B1175&gt;=in_marketplace_from,d_hz_sip*G1175,0))</f>
        <v/>
      </c>
      <c r="AZ1176" s="40">
        <f>AZ1175*d_rho_sip+AY1176*IF(B1176&gt;=in_marketplace_from,d_hz_sip*G1176,0)</f>
        <v/>
      </c>
      <c r="BA1176" s="40">
        <f>d_rho_sip*(BA1175+AZ1175)</f>
        <v/>
      </c>
      <c r="BB1176" s="14">
        <f>F1176*in_sip_ticket*(BA1176+0.5*AZ1176)*in_sip_comm/12</f>
        <v/>
      </c>
      <c r="BC1176" s="40">
        <f>BC1175*(1-IF(B1175&gt;=in_marketplace_from,d_hz_choti*G1175,0))</f>
        <v/>
      </c>
      <c r="BD1176" s="46">
        <f>BC1176*IF(B1176&gt;=in_marketplace_from,d_hz_choti*G1176,0)</f>
        <v/>
      </c>
      <c r="BE1176" s="14">
        <f>F1176*SUMIFS(BD1166:BD1201,B1166:B1201,B1176-in_choti_months)*in_choti_renew*in_choti_ticket</f>
        <v/>
      </c>
      <c r="BF1176" s="40">
        <f>BF1175*(1-IF(B1175&gt;=in_marketplace_from,d_hz_nps*G1175,0))</f>
        <v/>
      </c>
      <c r="BG1176" s="14">
        <f>F1176*BF1176*IF(B1176&gt;=in_marketplace_from,d_hz_nps*G1176,0)*in_nps_ticket*in_nps_comm</f>
        <v/>
      </c>
      <c r="BH1176" s="40">
        <f>BH1175*(1-IF(B1175&gt;=in_marketplace_from,d_hz_gold*G1175,0))</f>
        <v/>
      </c>
      <c r="BI1176" s="40">
        <f>BI1175*d_rho_gold+BH1176*IF(B1176&gt;=in_marketplace_from,d_hz_gold*G1176,0)</f>
        <v/>
      </c>
      <c r="BJ1176" s="14">
        <f>F1176*BI1176*in_gold_ticket*in_gold_comm</f>
        <v/>
      </c>
      <c r="BK1176" s="40">
        <f>BK1175*(1-IF(B1175&gt;=in_marketplace_from,d_hz_fd*G1175,0))</f>
        <v/>
      </c>
      <c r="BL1176" s="14">
        <f>F1176*BK1176*IF(B1176&gt;=in_marketplace_from,d_hz_fd*G1176,0)*in_fd_ticket*in_fd_comm</f>
        <v/>
      </c>
      <c r="BM1176" s="40">
        <f>BM1175*(1-IF(B1175&gt;=in_marketplace_from,d_hz_recharge*G1175,0))</f>
        <v/>
      </c>
      <c r="BN1176" s="40">
        <f>BN1175*d_rho_recharge+BM1176*IF(B1176&gt;=in_marketplace_from,d_hz_recharge*G1176,0)</f>
        <v/>
      </c>
      <c r="BO1176" s="14">
        <f>F1176*BN1176*in_recharge_ticket*in_recharge_comm/12</f>
        <v/>
      </c>
      <c r="BP1176" s="40">
        <f>BP1175*(1-IF(B1175&gt;=in_marketplace_from,d_hz_bills*G1175,0))</f>
        <v/>
      </c>
      <c r="BQ1176" s="40">
        <f>BQ1175*d_rho_bills+BP1176*IF(B1176&gt;=in_marketplace_from,d_hz_bills*G1176,0)</f>
        <v/>
      </c>
      <c r="BR1176" s="14">
        <f>F1176*BQ1176*in_bills_ticket*in_bills_comm/12</f>
        <v/>
      </c>
      <c r="BS1176" s="40">
        <f>BS1175*(1-IF(B1175&gt;=in_marketplace_from,d_hz_loan_gold*G1175,0))</f>
        <v/>
      </c>
      <c r="BT1176" s="14">
        <f>F1176*BS1176*IF(B1176&gt;=in_marketplace_from,d_hz_loan_gold*G1176,0)*in_loan_gold_ticket*in_loan_gold_comm</f>
        <v/>
      </c>
      <c r="BU1176" s="40">
        <f>BU1175*(1-IF(B1175&gt;=in_marketplace_from,d_hz_loan_cd*G1175,0))</f>
        <v/>
      </c>
      <c r="BV1176" s="14">
        <f>F1176*BU1176*IF(B1176&gt;=in_marketplace_from,d_hz_loan_cd*G1176,0)*in_loan_cd_ticket*in_loan_cd_comm</f>
        <v/>
      </c>
      <c r="BW1176" s="40">
        <f>BW1175*(1-IF(B1175&gt;=in_marketplace_from,d_hz_loan_vehicle*G1175,0))</f>
        <v/>
      </c>
      <c r="BX1176" s="14">
        <f>F1176*BW1176*IF(B1176&gt;=in_marketplace_from,d_hz_loan_vehicle*G1176,0)*in_loan_vehicle_ticket*in_loan_vehicle_comm</f>
        <v/>
      </c>
      <c r="BY1176" s="40">
        <f>BY1175*(1-IF(B1175&gt;=in_marketplace_from,d_hz_loan_home*G1175,0)*BZ1175)</f>
        <v/>
      </c>
      <c r="BZ1176" s="11">
        <f>MIN(in_approval_cap,in_loan_home_approval*INDEX('Age profile'!$O$2:$O$61,B1176)*(1+in_approval_growth)^(D1176-1))</f>
        <v/>
      </c>
      <c r="CA1176" s="14">
        <f>F1176*BY1176*IF(B1176&gt;=in_marketplace_from,d_hz_loan_home*G1176,0)*BZ1176*in_loan_home_ticket*in_loan_home_comm</f>
        <v/>
      </c>
      <c r="CB1176" s="40">
        <f>CB1175*(1-IF(B1175&gt;=in_marketplace_from,d_hz_loan_lap*G1175,0)*CC1175)</f>
        <v/>
      </c>
      <c r="CC1176" s="11">
        <f>MIN(in_approval_cap,in_loan_lap_approval*INDEX('Age profile'!$O$2:$O$61,B1176)*(1+in_approval_growth)^(D1176-1))</f>
        <v/>
      </c>
      <c r="CD1176" s="14">
        <f>F1176*CB1176*IF(B1176&gt;=in_marketplace_from,d_hz_loan_lap*G1176,0)*CC1176*in_loan_lap_ticket*in_loan_lap_comm</f>
        <v/>
      </c>
      <c r="CE1176" s="14">
        <f>AA1176+AB1176+AC1176+AD1176+AG1176+AJ1176+AM1176+AP1176+AS1176+AU1176+AX1176+BB1176+BE1176+BG1176+BJ1176+BL1176+BO1176+BR1176+BT1176+BV1176+BX1176+CA1176+CD1176</f>
        <v/>
      </c>
    </row>
    <row r="1177">
      <c r="A1177" s="39" t="n">
        <v>25</v>
      </c>
      <c r="B1177" s="39" t="n">
        <v>12</v>
      </c>
      <c r="C1177" s="39">
        <f>A1177+B1177-1</f>
        <v/>
      </c>
      <c r="D1177" s="39">
        <f>INT((C1177-1)/12)+1</f>
        <v/>
      </c>
      <c r="E1177" s="44">
        <f>INDEX(Monthly!$B$2:$B$61,A1177)</f>
        <v/>
      </c>
      <c r="F1177" s="44">
        <f>E1177*INDEX('Age profile'!$B$2:$B$61,B1177)</f>
        <v/>
      </c>
      <c r="G1177" s="45">
        <f>MIN(in_takeup_cap,INDEX('Age profile'!$N$2:$N$61,B1177)*(1+in_takeup_growth)^(D1177-1))</f>
        <v/>
      </c>
      <c r="H1177" s="11">
        <f>MIN(in_approval_cap,in_approved_first*INDEX('Age profile'!$O$2:$O$61,B1177)*(1+in_approval_growth)^(D1177-1))</f>
        <v/>
      </c>
      <c r="I1177" s="45">
        <f>G1177*MIN(in_takeup_cap,INDEX('Age profile'!$O$2:$O$61,B1177)*(1+in_approval_growth)^(D1177-1))</f>
        <v/>
      </c>
      <c r="J1177" s="40">
        <f>(J1176-L1176)*F1177/F1176</f>
        <v/>
      </c>
      <c r="K1177" s="40">
        <f>(K1176-M1176)*F1177/F1176+SUMIFS(O1166:O1176,B1166:B1176,B1177-1-d_T)*F1177</f>
        <v/>
      </c>
      <c r="L1177" s="40">
        <f>IF(B1177&gt;=in_marketplace_from,J1177*d_hz*G1177*in_eligible*H1177,0)</f>
        <v/>
      </c>
      <c r="M1177" s="40">
        <f>IF(B1177&gt;=in_marketplace_from,K1177*d_hz*G1177*in_eligible*in_approved_repeat,0)</f>
        <v/>
      </c>
      <c r="N1177" s="40">
        <f>L1177+M1177</f>
        <v/>
      </c>
      <c r="O1177" s="46">
        <f>N1177/F1177</f>
        <v/>
      </c>
      <c r="P1177" s="40">
        <f>F1177-J1177-K1177</f>
        <v/>
      </c>
      <c r="Q1177" s="40">
        <f>IF(B1177&gt;=in_marketplace_from,(J1177+K1177)*d_hz*G1177,0)</f>
        <v/>
      </c>
      <c r="R1177" s="40">
        <f>SUMIFS(N1166:N1201,B1166:B1201,"&gt;="&amp;(B1177-d_T),B1166:B1201,"&lt;="&amp;(B1177-1))</f>
        <v/>
      </c>
      <c r="S1177" s="46">
        <f>(1-d_u)*S1176+IF(d_T&gt;in_topup_lag,SUMIFS(O1166:O1201,B1166:B1201,B1177-in_topup_lag)-d_udrop*SUMIFS(O1166:O1201,B1166:B1201,B1177-d_T),0)</f>
        <v/>
      </c>
      <c r="T1177" s="40">
        <f>F1177*d_u*S1177</f>
        <v/>
      </c>
      <c r="U1177" s="9">
        <f>L1177*in_ticket+M1177*d_rep_ticket</f>
        <v/>
      </c>
      <c r="V1177" s="9">
        <f>U1177+T1177*d_topup_amt</f>
        <v/>
      </c>
      <c r="W1177" s="40">
        <f>N1177+T1177*d_topup_ratio</f>
        <v/>
      </c>
      <c r="X1177" s="40">
        <f>SUMIFS(W1166:W1201,B1166:B1201,B1177-in_dpd_lag)*d_cured</f>
        <v/>
      </c>
      <c r="Y1177" s="40">
        <f>SUMIFS(W1166:W1201,B1166:B1201,B1177-in_rec_lag)*d_recd</f>
        <v/>
      </c>
      <c r="Z1177" s="40">
        <f>IF(AND(B1177&gt;=in_marketplace_from,B1177&lt;in_marketplace_from+in_card_months),in_card_share/in_card_months*F1177*I1177,IF(AND(B1177&gt;=in_marketplace_from+in_card_months,B1177&lt;in_marketplace_from+2*in_card_months),in_card_share*d_card_rem/in_card_months*F1177*MIN(in_takeup_cap,(1+in_takeup_growth)^(D1177-1))*MIN(in_takeup_cap,(1+in_approval_growth)^(D1177-1)),0))</f>
        <v/>
      </c>
      <c r="AA1177" s="14">
        <f>V1177*in_fee*(1-in_taken_back)</f>
        <v/>
      </c>
      <c r="AB1177" s="14">
        <f>SUMIFS(W1166:W1201,B1166:B1201,B1177-in_dpd_lag)*d_dpd</f>
        <v/>
      </c>
      <c r="AC1177" s="14">
        <f>SUMIFS(W1166:W1201,B1166:B1201,B1177-in_rec_lag)*d_rec</f>
        <v/>
      </c>
      <c r="AD1177" s="14">
        <f>Z1177*in_card_fee</f>
        <v/>
      </c>
      <c r="AE1177" s="40">
        <f>AE1176*(1-IF(B1176&gt;=in_marketplace_from,d_hz_hlth_small*G1176,0))</f>
        <v/>
      </c>
      <c r="AF1177" s="46">
        <f>AE1177*IF(B1177&gt;=in_marketplace_from,d_hz_hlth_small*G1177,0)</f>
        <v/>
      </c>
      <c r="AG1177" s="14">
        <f>F1177*AF1177*in_hlth_small_ticket*in_hlth_small_comm*in_ins_partner_share+F1177*in_hlth_small_ticket*in_hlth_small_renew_comm*in_ins_partner_share*(in_hlth_small_renew^1*SUMIFS(AF1166:AF1201,B1166:B1201,B1177-12)+in_hlth_small_renew^2*SUMIFS(AF1166:AF1201,B1166:B1201,B1177-24)+in_hlth_small_renew^3*SUMIFS(AF1166:AF1201,B1166:B1201,B1177-36)+in_hlth_small_renew^4*SUMIFS(AF1166:AF1201,B1166:B1201,B1177-48))</f>
        <v/>
      </c>
      <c r="AH1177" s="40">
        <f>AH1176*(1-IF(B1176&gt;=in_marketplace_from,d_hz_hlth_family*G1176,0))</f>
        <v/>
      </c>
      <c r="AI1177" s="46">
        <f>AH1177*IF(B1177&gt;=in_marketplace_from,d_hz_hlth_family*G1177,0)</f>
        <v/>
      </c>
      <c r="AJ1177" s="14">
        <f>F1177*AI1177*in_hlth_family_ticket*in_hlth_family_comm*in_ins_partner_share+F1177*in_hlth_family_ticket*in_hlth_family_renew_comm*in_ins_partner_share*(in_hlth_family_renew^1*SUMIFS(AI1166:AI1201,B1166:B1201,B1177-12)+in_hlth_family_renew^2*SUMIFS(AI1166:AI1201,B1166:B1201,B1177-24)+in_hlth_family_renew^3*SUMIFS(AI1166:AI1201,B1166:B1201,B1177-36)+in_hlth_family_renew^4*SUMIFS(AI1166:AI1201,B1166:B1201,B1177-48))</f>
        <v/>
      </c>
      <c r="AK1177" s="40">
        <f>AK1176*(1-IF(B1176&gt;=in_marketplace_from,d_hz_life_term*G1176,0))</f>
        <v/>
      </c>
      <c r="AL1177" s="46">
        <f>AK1177*IF(B1177&gt;=in_marketplace_from,d_hz_life_term*G1177,0)</f>
        <v/>
      </c>
      <c r="AM1177" s="14">
        <f>F1177*AL1177*in_life_term_ticket*in_life_term_comm*in_ins_partner_share+F1177*in_life_term_ticket*in_life_term_renew_comm*in_ins_partner_share*(in_life_term_renew^1*SUMIFS(AL1166:AL1201,B1166:B1201,B1177-12)+in_life_term_renew^2*SUMIFS(AL1166:AL1201,B1166:B1201,B1177-24)+in_life_term_renew^3*SUMIFS(AL1166:AL1201,B1166:B1201,B1177-36)+in_life_term_renew^4*SUMIFS(AL1166:AL1201,B1166:B1201,B1177-48))</f>
        <v/>
      </c>
      <c r="AN1177" s="40">
        <f>AN1176*(1-IF(B1176&gt;=in_marketplace_from,d_hz_accident*G1176,0))</f>
        <v/>
      </c>
      <c r="AO1177" s="46">
        <f>AN1177*IF(B1177&gt;=in_marketplace_from,d_hz_accident*G1177,0)</f>
        <v/>
      </c>
      <c r="AP1177" s="14">
        <f>F1177*AO1177*in_accident_ticket*in_accident_comm*in_ins_partner_share+F1177*in_accident_ticket*in_accident_renew_comm*in_ins_partner_share*(in_accident_renew^1*SUMIFS(AO1166:AO1201,B1166:B1201,B1177-12)+in_accident_renew^2*SUMIFS(AO1166:AO1201,B1166:B1201,B1177-24)+in_accident_renew^3*SUMIFS(AO1166:AO1201,B1166:B1201,B1177-36)+in_accident_renew^4*SUMIFS(AO1166:AO1201,B1166:B1201,B1177-48))</f>
        <v/>
      </c>
      <c r="AQ1177" s="40">
        <f>AQ1176*(1-IF(B1176&gt;=in_marketplace_from,d_hz_two_wheeler*G1176,0))</f>
        <v/>
      </c>
      <c r="AR1177" s="46">
        <f>AQ1177*IF(B1177&gt;=in_marketplace_from,d_hz_two_wheeler*G1177,0)</f>
        <v/>
      </c>
      <c r="AS1177" s="14">
        <f>F1177*AR1177*in_two_wheeler_ticket*in_two_wheeler_comm*in_ins_partner_share+F1177*in_two_wheeler_ticket*in_two_wheeler_comm*in_ins_partner_share*(in_two_wheeler_renew^1*SUMIFS(AR1166:AR1201,B1166:B1201,B1177-12)+in_two_wheeler_renew^2*SUMIFS(AR1166:AR1201,B1166:B1201,B1177-24)+in_two_wheeler_renew^3*SUMIFS(AR1166:AR1201,B1166:B1201,B1177-36)+in_two_wheeler_renew^4*SUMIFS(AR1166:AR1201,B1166:B1201,B1177-48))</f>
        <v/>
      </c>
      <c r="AT1177" s="40">
        <f>AT1176*(1-IF(B1176&gt;=in_marketplace_from,d_hz_device*G1176,0))</f>
        <v/>
      </c>
      <c r="AU1177" s="14">
        <f>F1177*AT1177*IF(B1177&gt;=in_marketplace_from,d_hz_device*G1177,0)*in_device_ticket*in_device_comm*in_ins_partner_share</f>
        <v/>
      </c>
      <c r="AV1177" s="40">
        <f>AV1176*(1-IF(B1176&gt;=in_marketplace_from,d_hz_shop*G1176,0))</f>
        <v/>
      </c>
      <c r="AW1177" s="46">
        <f>AV1177*IF(B1177&gt;=in_marketplace_from,d_hz_shop*G1177,0)</f>
        <v/>
      </c>
      <c r="AX1177" s="14">
        <f>F1177*AW1177*in_shop_ticket*in_shop_comm*in_ins_partner_share+F1177*in_shop_ticket*in_shop_renew_comm*in_ins_partner_share*(in_shop_renew^1*SUMIFS(AW1166:AW1201,B1166:B1201,B1177-12)+in_shop_renew^2*SUMIFS(AW1166:AW1201,B1166:B1201,B1177-24)+in_shop_renew^3*SUMIFS(AW1166:AW1201,B1166:B1201,B1177-36)+in_shop_renew^4*SUMIFS(AW1166:AW1201,B1166:B1201,B1177-48))</f>
        <v/>
      </c>
      <c r="AY1177" s="40">
        <f>AY1176*(1-IF(B1176&gt;=in_marketplace_from,d_hz_sip*G1176,0))</f>
        <v/>
      </c>
      <c r="AZ1177" s="40">
        <f>AZ1176*d_rho_sip+AY1177*IF(B1177&gt;=in_marketplace_from,d_hz_sip*G1177,0)</f>
        <v/>
      </c>
      <c r="BA1177" s="40">
        <f>d_rho_sip*(BA1176+AZ1176)</f>
        <v/>
      </c>
      <c r="BB1177" s="14">
        <f>F1177*in_sip_ticket*(BA1177+0.5*AZ1177)*in_sip_comm/12</f>
        <v/>
      </c>
      <c r="BC1177" s="40">
        <f>BC1176*(1-IF(B1176&gt;=in_marketplace_from,d_hz_choti*G1176,0))</f>
        <v/>
      </c>
      <c r="BD1177" s="46">
        <f>BC1177*IF(B1177&gt;=in_marketplace_from,d_hz_choti*G1177,0)</f>
        <v/>
      </c>
      <c r="BE1177" s="14">
        <f>F1177*SUMIFS(BD1166:BD1201,B1166:B1201,B1177-in_choti_months)*in_choti_renew*in_choti_ticket</f>
        <v/>
      </c>
      <c r="BF1177" s="40">
        <f>BF1176*(1-IF(B1176&gt;=in_marketplace_from,d_hz_nps*G1176,0))</f>
        <v/>
      </c>
      <c r="BG1177" s="14">
        <f>F1177*BF1177*IF(B1177&gt;=in_marketplace_from,d_hz_nps*G1177,0)*in_nps_ticket*in_nps_comm</f>
        <v/>
      </c>
      <c r="BH1177" s="40">
        <f>BH1176*(1-IF(B1176&gt;=in_marketplace_from,d_hz_gold*G1176,0))</f>
        <v/>
      </c>
      <c r="BI1177" s="40">
        <f>BI1176*d_rho_gold+BH1177*IF(B1177&gt;=in_marketplace_from,d_hz_gold*G1177,0)</f>
        <v/>
      </c>
      <c r="BJ1177" s="14">
        <f>F1177*BI1177*in_gold_ticket*in_gold_comm</f>
        <v/>
      </c>
      <c r="BK1177" s="40">
        <f>BK1176*(1-IF(B1176&gt;=in_marketplace_from,d_hz_fd*G1176,0))</f>
        <v/>
      </c>
      <c r="BL1177" s="14">
        <f>F1177*BK1177*IF(B1177&gt;=in_marketplace_from,d_hz_fd*G1177,0)*in_fd_ticket*in_fd_comm</f>
        <v/>
      </c>
      <c r="BM1177" s="40">
        <f>BM1176*(1-IF(B1176&gt;=in_marketplace_from,d_hz_recharge*G1176,0))</f>
        <v/>
      </c>
      <c r="BN1177" s="40">
        <f>BN1176*d_rho_recharge+BM1177*IF(B1177&gt;=in_marketplace_from,d_hz_recharge*G1177,0)</f>
        <v/>
      </c>
      <c r="BO1177" s="14">
        <f>F1177*BN1177*in_recharge_ticket*in_recharge_comm/12</f>
        <v/>
      </c>
      <c r="BP1177" s="40">
        <f>BP1176*(1-IF(B1176&gt;=in_marketplace_from,d_hz_bills*G1176,0))</f>
        <v/>
      </c>
      <c r="BQ1177" s="40">
        <f>BQ1176*d_rho_bills+BP1177*IF(B1177&gt;=in_marketplace_from,d_hz_bills*G1177,0)</f>
        <v/>
      </c>
      <c r="BR1177" s="14">
        <f>F1177*BQ1177*in_bills_ticket*in_bills_comm/12</f>
        <v/>
      </c>
      <c r="BS1177" s="40">
        <f>BS1176*(1-IF(B1176&gt;=in_marketplace_from,d_hz_loan_gold*G1176,0))</f>
        <v/>
      </c>
      <c r="BT1177" s="14">
        <f>F1177*BS1177*IF(B1177&gt;=in_marketplace_from,d_hz_loan_gold*G1177,0)*in_loan_gold_ticket*in_loan_gold_comm</f>
        <v/>
      </c>
      <c r="BU1177" s="40">
        <f>BU1176*(1-IF(B1176&gt;=in_marketplace_from,d_hz_loan_cd*G1176,0))</f>
        <v/>
      </c>
      <c r="BV1177" s="14">
        <f>F1177*BU1177*IF(B1177&gt;=in_marketplace_from,d_hz_loan_cd*G1177,0)*in_loan_cd_ticket*in_loan_cd_comm</f>
        <v/>
      </c>
      <c r="BW1177" s="40">
        <f>BW1176*(1-IF(B1176&gt;=in_marketplace_from,d_hz_loan_vehicle*G1176,0))</f>
        <v/>
      </c>
      <c r="BX1177" s="14">
        <f>F1177*BW1177*IF(B1177&gt;=in_marketplace_from,d_hz_loan_vehicle*G1177,0)*in_loan_vehicle_ticket*in_loan_vehicle_comm</f>
        <v/>
      </c>
      <c r="BY1177" s="40">
        <f>BY1176*(1-IF(B1176&gt;=in_marketplace_from,d_hz_loan_home*G1176,0)*BZ1176)</f>
        <v/>
      </c>
      <c r="BZ1177" s="11">
        <f>MIN(in_approval_cap,in_loan_home_approval*INDEX('Age profile'!$O$2:$O$61,B1177)*(1+in_approval_growth)^(D1177-1))</f>
        <v/>
      </c>
      <c r="CA1177" s="14">
        <f>F1177*BY1177*IF(B1177&gt;=in_marketplace_from,d_hz_loan_home*G1177,0)*BZ1177*in_loan_home_ticket*in_loan_home_comm</f>
        <v/>
      </c>
      <c r="CB1177" s="40">
        <f>CB1176*(1-IF(B1176&gt;=in_marketplace_from,d_hz_loan_lap*G1176,0)*CC1176)</f>
        <v/>
      </c>
      <c r="CC1177" s="11">
        <f>MIN(in_approval_cap,in_loan_lap_approval*INDEX('Age profile'!$O$2:$O$61,B1177)*(1+in_approval_growth)^(D1177-1))</f>
        <v/>
      </c>
      <c r="CD1177" s="14">
        <f>F1177*CB1177*IF(B1177&gt;=in_marketplace_from,d_hz_loan_lap*G1177,0)*CC1177*in_loan_lap_ticket*in_loan_lap_comm</f>
        <v/>
      </c>
      <c r="CE1177" s="14">
        <f>AA1177+AB1177+AC1177+AD1177+AG1177+AJ1177+AM1177+AP1177+AS1177+AU1177+AX1177+BB1177+BE1177+BG1177+BJ1177+BL1177+BO1177+BR1177+BT1177+BV1177+BX1177+CA1177+CD1177</f>
        <v/>
      </c>
    </row>
    <row r="1178">
      <c r="A1178" s="39" t="n">
        <v>25</v>
      </c>
      <c r="B1178" s="39" t="n">
        <v>13</v>
      </c>
      <c r="C1178" s="39">
        <f>A1178+B1178-1</f>
        <v/>
      </c>
      <c r="D1178" s="39">
        <f>INT((C1178-1)/12)+1</f>
        <v/>
      </c>
      <c r="E1178" s="44">
        <f>INDEX(Monthly!$B$2:$B$61,A1178)</f>
        <v/>
      </c>
      <c r="F1178" s="44">
        <f>E1178*INDEX('Age profile'!$B$2:$B$61,B1178)</f>
        <v/>
      </c>
      <c r="G1178" s="45">
        <f>MIN(in_takeup_cap,INDEX('Age profile'!$N$2:$N$61,B1178)*(1+in_takeup_growth)^(D1178-1))</f>
        <v/>
      </c>
      <c r="H1178" s="11">
        <f>MIN(in_approval_cap,in_approved_first*INDEX('Age profile'!$O$2:$O$61,B1178)*(1+in_approval_growth)^(D1178-1))</f>
        <v/>
      </c>
      <c r="I1178" s="45">
        <f>G1178*MIN(in_takeup_cap,INDEX('Age profile'!$O$2:$O$61,B1178)*(1+in_approval_growth)^(D1178-1))</f>
        <v/>
      </c>
      <c r="J1178" s="40">
        <f>(J1177-L1177)*F1178/F1177</f>
        <v/>
      </c>
      <c r="K1178" s="40">
        <f>(K1177-M1177)*F1178/F1177+SUMIFS(O1166:O1177,B1166:B1177,B1178-1-d_T)*F1178</f>
        <v/>
      </c>
      <c r="L1178" s="40">
        <f>IF(B1178&gt;=in_marketplace_from,J1178*d_hz*G1178*in_eligible*H1178,0)</f>
        <v/>
      </c>
      <c r="M1178" s="40">
        <f>IF(B1178&gt;=in_marketplace_from,K1178*d_hz*G1178*in_eligible*in_approved_repeat,0)</f>
        <v/>
      </c>
      <c r="N1178" s="40">
        <f>L1178+M1178</f>
        <v/>
      </c>
      <c r="O1178" s="46">
        <f>N1178/F1178</f>
        <v/>
      </c>
      <c r="P1178" s="40">
        <f>F1178-J1178-K1178</f>
        <v/>
      </c>
      <c r="Q1178" s="40">
        <f>IF(B1178&gt;=in_marketplace_from,(J1178+K1178)*d_hz*G1178,0)</f>
        <v/>
      </c>
      <c r="R1178" s="40">
        <f>SUMIFS(N1166:N1201,B1166:B1201,"&gt;="&amp;(B1178-d_T),B1166:B1201,"&lt;="&amp;(B1178-1))</f>
        <v/>
      </c>
      <c r="S1178" s="46">
        <f>(1-d_u)*S1177+IF(d_T&gt;in_topup_lag,SUMIFS(O1166:O1201,B1166:B1201,B1178-in_topup_lag)-d_udrop*SUMIFS(O1166:O1201,B1166:B1201,B1178-d_T),0)</f>
        <v/>
      </c>
      <c r="T1178" s="40">
        <f>F1178*d_u*S1178</f>
        <v/>
      </c>
      <c r="U1178" s="9">
        <f>L1178*in_ticket+M1178*d_rep_ticket</f>
        <v/>
      </c>
      <c r="V1178" s="9">
        <f>U1178+T1178*d_topup_amt</f>
        <v/>
      </c>
      <c r="W1178" s="40">
        <f>N1178+T1178*d_topup_ratio</f>
        <v/>
      </c>
      <c r="X1178" s="40">
        <f>SUMIFS(W1166:W1201,B1166:B1201,B1178-in_dpd_lag)*d_cured</f>
        <v/>
      </c>
      <c r="Y1178" s="40">
        <f>SUMIFS(W1166:W1201,B1166:B1201,B1178-in_rec_lag)*d_recd</f>
        <v/>
      </c>
      <c r="Z1178" s="40">
        <f>IF(AND(B1178&gt;=in_marketplace_from,B1178&lt;in_marketplace_from+in_card_months),in_card_share/in_card_months*F1178*I1178,IF(AND(B1178&gt;=in_marketplace_from+in_card_months,B1178&lt;in_marketplace_from+2*in_card_months),in_card_share*d_card_rem/in_card_months*F1178*MIN(in_takeup_cap,(1+in_takeup_growth)^(D1178-1))*MIN(in_takeup_cap,(1+in_approval_growth)^(D1178-1)),0))</f>
        <v/>
      </c>
      <c r="AA1178" s="14">
        <f>V1178*in_fee*(1-in_taken_back)</f>
        <v/>
      </c>
      <c r="AB1178" s="14">
        <f>SUMIFS(W1166:W1201,B1166:B1201,B1178-in_dpd_lag)*d_dpd</f>
        <v/>
      </c>
      <c r="AC1178" s="14">
        <f>SUMIFS(W1166:W1201,B1166:B1201,B1178-in_rec_lag)*d_rec</f>
        <v/>
      </c>
      <c r="AD1178" s="14">
        <f>Z1178*in_card_fee</f>
        <v/>
      </c>
      <c r="AE1178" s="40">
        <f>AE1177*(1-IF(B1177&gt;=in_marketplace_from,d_hz_hlth_small*G1177,0))</f>
        <v/>
      </c>
      <c r="AF1178" s="46">
        <f>AE1178*IF(B1178&gt;=in_marketplace_from,d_hz_hlth_small*G1178,0)</f>
        <v/>
      </c>
      <c r="AG1178" s="14">
        <f>F1178*AF1178*in_hlth_small_ticket*in_hlth_small_comm*in_ins_partner_share+F1178*in_hlth_small_ticket*in_hlth_small_renew_comm*in_ins_partner_share*(in_hlth_small_renew^1*SUMIFS(AF1166:AF1201,B1166:B1201,B1178-12)+in_hlth_small_renew^2*SUMIFS(AF1166:AF1201,B1166:B1201,B1178-24)+in_hlth_small_renew^3*SUMIFS(AF1166:AF1201,B1166:B1201,B1178-36)+in_hlth_small_renew^4*SUMIFS(AF1166:AF1201,B1166:B1201,B1178-48))</f>
        <v/>
      </c>
      <c r="AH1178" s="40">
        <f>AH1177*(1-IF(B1177&gt;=in_marketplace_from,d_hz_hlth_family*G1177,0))</f>
        <v/>
      </c>
      <c r="AI1178" s="46">
        <f>AH1178*IF(B1178&gt;=in_marketplace_from,d_hz_hlth_family*G1178,0)</f>
        <v/>
      </c>
      <c r="AJ1178" s="14">
        <f>F1178*AI1178*in_hlth_family_ticket*in_hlth_family_comm*in_ins_partner_share+F1178*in_hlth_family_ticket*in_hlth_family_renew_comm*in_ins_partner_share*(in_hlth_family_renew^1*SUMIFS(AI1166:AI1201,B1166:B1201,B1178-12)+in_hlth_family_renew^2*SUMIFS(AI1166:AI1201,B1166:B1201,B1178-24)+in_hlth_family_renew^3*SUMIFS(AI1166:AI1201,B1166:B1201,B1178-36)+in_hlth_family_renew^4*SUMIFS(AI1166:AI1201,B1166:B1201,B1178-48))</f>
        <v/>
      </c>
      <c r="AK1178" s="40">
        <f>AK1177*(1-IF(B1177&gt;=in_marketplace_from,d_hz_life_term*G1177,0))</f>
        <v/>
      </c>
      <c r="AL1178" s="46">
        <f>AK1178*IF(B1178&gt;=in_marketplace_from,d_hz_life_term*G1178,0)</f>
        <v/>
      </c>
      <c r="AM1178" s="14">
        <f>F1178*AL1178*in_life_term_ticket*in_life_term_comm*in_ins_partner_share+F1178*in_life_term_ticket*in_life_term_renew_comm*in_ins_partner_share*(in_life_term_renew^1*SUMIFS(AL1166:AL1201,B1166:B1201,B1178-12)+in_life_term_renew^2*SUMIFS(AL1166:AL1201,B1166:B1201,B1178-24)+in_life_term_renew^3*SUMIFS(AL1166:AL1201,B1166:B1201,B1178-36)+in_life_term_renew^4*SUMIFS(AL1166:AL1201,B1166:B1201,B1178-48))</f>
        <v/>
      </c>
      <c r="AN1178" s="40">
        <f>AN1177*(1-IF(B1177&gt;=in_marketplace_from,d_hz_accident*G1177,0))</f>
        <v/>
      </c>
      <c r="AO1178" s="46">
        <f>AN1178*IF(B1178&gt;=in_marketplace_from,d_hz_accident*G1178,0)</f>
        <v/>
      </c>
      <c r="AP1178" s="14">
        <f>F1178*AO1178*in_accident_ticket*in_accident_comm*in_ins_partner_share+F1178*in_accident_ticket*in_accident_renew_comm*in_ins_partner_share*(in_accident_renew^1*SUMIFS(AO1166:AO1201,B1166:B1201,B1178-12)+in_accident_renew^2*SUMIFS(AO1166:AO1201,B1166:B1201,B1178-24)+in_accident_renew^3*SUMIFS(AO1166:AO1201,B1166:B1201,B1178-36)+in_accident_renew^4*SUMIFS(AO1166:AO1201,B1166:B1201,B1178-48))</f>
        <v/>
      </c>
      <c r="AQ1178" s="40">
        <f>AQ1177*(1-IF(B1177&gt;=in_marketplace_from,d_hz_two_wheeler*G1177,0))</f>
        <v/>
      </c>
      <c r="AR1178" s="46">
        <f>AQ1178*IF(B1178&gt;=in_marketplace_from,d_hz_two_wheeler*G1178,0)</f>
        <v/>
      </c>
      <c r="AS1178" s="14">
        <f>F1178*AR1178*in_two_wheeler_ticket*in_two_wheeler_comm*in_ins_partner_share+F1178*in_two_wheeler_ticket*in_two_wheeler_comm*in_ins_partner_share*(in_two_wheeler_renew^1*SUMIFS(AR1166:AR1201,B1166:B1201,B1178-12)+in_two_wheeler_renew^2*SUMIFS(AR1166:AR1201,B1166:B1201,B1178-24)+in_two_wheeler_renew^3*SUMIFS(AR1166:AR1201,B1166:B1201,B1178-36)+in_two_wheeler_renew^4*SUMIFS(AR1166:AR1201,B1166:B1201,B1178-48))</f>
        <v/>
      </c>
      <c r="AT1178" s="40">
        <f>AT1177*(1-IF(B1177&gt;=in_marketplace_from,d_hz_device*G1177,0))</f>
        <v/>
      </c>
      <c r="AU1178" s="14">
        <f>F1178*AT1178*IF(B1178&gt;=in_marketplace_from,d_hz_device*G1178,0)*in_device_ticket*in_device_comm*in_ins_partner_share</f>
        <v/>
      </c>
      <c r="AV1178" s="40">
        <f>AV1177*(1-IF(B1177&gt;=in_marketplace_from,d_hz_shop*G1177,0))</f>
        <v/>
      </c>
      <c r="AW1178" s="46">
        <f>AV1178*IF(B1178&gt;=in_marketplace_from,d_hz_shop*G1178,0)</f>
        <v/>
      </c>
      <c r="AX1178" s="14">
        <f>F1178*AW1178*in_shop_ticket*in_shop_comm*in_ins_partner_share+F1178*in_shop_ticket*in_shop_renew_comm*in_ins_partner_share*(in_shop_renew^1*SUMIFS(AW1166:AW1201,B1166:B1201,B1178-12)+in_shop_renew^2*SUMIFS(AW1166:AW1201,B1166:B1201,B1178-24)+in_shop_renew^3*SUMIFS(AW1166:AW1201,B1166:B1201,B1178-36)+in_shop_renew^4*SUMIFS(AW1166:AW1201,B1166:B1201,B1178-48))</f>
        <v/>
      </c>
      <c r="AY1178" s="40">
        <f>AY1177*(1-IF(B1177&gt;=in_marketplace_from,d_hz_sip*G1177,0))</f>
        <v/>
      </c>
      <c r="AZ1178" s="40">
        <f>AZ1177*d_rho_sip+AY1178*IF(B1178&gt;=in_marketplace_from,d_hz_sip*G1178,0)</f>
        <v/>
      </c>
      <c r="BA1178" s="40">
        <f>d_rho_sip*(BA1177+AZ1177)</f>
        <v/>
      </c>
      <c r="BB1178" s="14">
        <f>F1178*in_sip_ticket*(BA1178+0.5*AZ1178)*in_sip_comm/12</f>
        <v/>
      </c>
      <c r="BC1178" s="40">
        <f>BC1177*(1-IF(B1177&gt;=in_marketplace_from,d_hz_choti*G1177,0))</f>
        <v/>
      </c>
      <c r="BD1178" s="46">
        <f>BC1178*IF(B1178&gt;=in_marketplace_from,d_hz_choti*G1178,0)</f>
        <v/>
      </c>
      <c r="BE1178" s="14">
        <f>F1178*SUMIFS(BD1166:BD1201,B1166:B1201,B1178-in_choti_months)*in_choti_renew*in_choti_ticket</f>
        <v/>
      </c>
      <c r="BF1178" s="40">
        <f>BF1177*(1-IF(B1177&gt;=in_marketplace_from,d_hz_nps*G1177,0))</f>
        <v/>
      </c>
      <c r="BG1178" s="14">
        <f>F1178*BF1178*IF(B1178&gt;=in_marketplace_from,d_hz_nps*G1178,0)*in_nps_ticket*in_nps_comm</f>
        <v/>
      </c>
      <c r="BH1178" s="40">
        <f>BH1177*(1-IF(B1177&gt;=in_marketplace_from,d_hz_gold*G1177,0))</f>
        <v/>
      </c>
      <c r="BI1178" s="40">
        <f>BI1177*d_rho_gold+BH1178*IF(B1178&gt;=in_marketplace_from,d_hz_gold*G1178,0)</f>
        <v/>
      </c>
      <c r="BJ1178" s="14">
        <f>F1178*BI1178*in_gold_ticket*in_gold_comm</f>
        <v/>
      </c>
      <c r="BK1178" s="40">
        <f>BK1177*(1-IF(B1177&gt;=in_marketplace_from,d_hz_fd*G1177,0))</f>
        <v/>
      </c>
      <c r="BL1178" s="14">
        <f>F1178*BK1178*IF(B1178&gt;=in_marketplace_from,d_hz_fd*G1178,0)*in_fd_ticket*in_fd_comm</f>
        <v/>
      </c>
      <c r="BM1178" s="40">
        <f>BM1177*(1-IF(B1177&gt;=in_marketplace_from,d_hz_recharge*G1177,0))</f>
        <v/>
      </c>
      <c r="BN1178" s="40">
        <f>BN1177*d_rho_recharge+BM1178*IF(B1178&gt;=in_marketplace_from,d_hz_recharge*G1178,0)</f>
        <v/>
      </c>
      <c r="BO1178" s="14">
        <f>F1178*BN1178*in_recharge_ticket*in_recharge_comm/12</f>
        <v/>
      </c>
      <c r="BP1178" s="40">
        <f>BP1177*(1-IF(B1177&gt;=in_marketplace_from,d_hz_bills*G1177,0))</f>
        <v/>
      </c>
      <c r="BQ1178" s="40">
        <f>BQ1177*d_rho_bills+BP1178*IF(B1178&gt;=in_marketplace_from,d_hz_bills*G1178,0)</f>
        <v/>
      </c>
      <c r="BR1178" s="14">
        <f>F1178*BQ1178*in_bills_ticket*in_bills_comm/12</f>
        <v/>
      </c>
      <c r="BS1178" s="40">
        <f>BS1177*(1-IF(B1177&gt;=in_marketplace_from,d_hz_loan_gold*G1177,0))</f>
        <v/>
      </c>
      <c r="BT1178" s="14">
        <f>F1178*BS1178*IF(B1178&gt;=in_marketplace_from,d_hz_loan_gold*G1178,0)*in_loan_gold_ticket*in_loan_gold_comm</f>
        <v/>
      </c>
      <c r="BU1178" s="40">
        <f>BU1177*(1-IF(B1177&gt;=in_marketplace_from,d_hz_loan_cd*G1177,0))</f>
        <v/>
      </c>
      <c r="BV1178" s="14">
        <f>F1178*BU1178*IF(B1178&gt;=in_marketplace_from,d_hz_loan_cd*G1178,0)*in_loan_cd_ticket*in_loan_cd_comm</f>
        <v/>
      </c>
      <c r="BW1178" s="40">
        <f>BW1177*(1-IF(B1177&gt;=in_marketplace_from,d_hz_loan_vehicle*G1177,0))</f>
        <v/>
      </c>
      <c r="BX1178" s="14">
        <f>F1178*BW1178*IF(B1178&gt;=in_marketplace_from,d_hz_loan_vehicle*G1178,0)*in_loan_vehicle_ticket*in_loan_vehicle_comm</f>
        <v/>
      </c>
      <c r="BY1178" s="40">
        <f>BY1177*(1-IF(B1177&gt;=in_marketplace_from,d_hz_loan_home*G1177,0)*BZ1177)</f>
        <v/>
      </c>
      <c r="BZ1178" s="11">
        <f>MIN(in_approval_cap,in_loan_home_approval*INDEX('Age profile'!$O$2:$O$61,B1178)*(1+in_approval_growth)^(D1178-1))</f>
        <v/>
      </c>
      <c r="CA1178" s="14">
        <f>F1178*BY1178*IF(B1178&gt;=in_marketplace_from,d_hz_loan_home*G1178,0)*BZ1178*in_loan_home_ticket*in_loan_home_comm</f>
        <v/>
      </c>
      <c r="CB1178" s="40">
        <f>CB1177*(1-IF(B1177&gt;=in_marketplace_from,d_hz_loan_lap*G1177,0)*CC1177)</f>
        <v/>
      </c>
      <c r="CC1178" s="11">
        <f>MIN(in_approval_cap,in_loan_lap_approval*INDEX('Age profile'!$O$2:$O$61,B1178)*(1+in_approval_growth)^(D1178-1))</f>
        <v/>
      </c>
      <c r="CD1178" s="14">
        <f>F1178*CB1178*IF(B1178&gt;=in_marketplace_from,d_hz_loan_lap*G1178,0)*CC1178*in_loan_lap_ticket*in_loan_lap_comm</f>
        <v/>
      </c>
      <c r="CE1178" s="14">
        <f>AA1178+AB1178+AC1178+AD1178+AG1178+AJ1178+AM1178+AP1178+AS1178+AU1178+AX1178+BB1178+BE1178+BG1178+BJ1178+BL1178+BO1178+BR1178+BT1178+BV1178+BX1178+CA1178+CD1178</f>
        <v/>
      </c>
    </row>
    <row r="1179">
      <c r="A1179" s="39" t="n">
        <v>25</v>
      </c>
      <c r="B1179" s="39" t="n">
        <v>14</v>
      </c>
      <c r="C1179" s="39">
        <f>A1179+B1179-1</f>
        <v/>
      </c>
      <c r="D1179" s="39">
        <f>INT((C1179-1)/12)+1</f>
        <v/>
      </c>
      <c r="E1179" s="44">
        <f>INDEX(Monthly!$B$2:$B$61,A1179)</f>
        <v/>
      </c>
      <c r="F1179" s="44">
        <f>E1179*INDEX('Age profile'!$B$2:$B$61,B1179)</f>
        <v/>
      </c>
      <c r="G1179" s="45">
        <f>MIN(in_takeup_cap,INDEX('Age profile'!$N$2:$N$61,B1179)*(1+in_takeup_growth)^(D1179-1))</f>
        <v/>
      </c>
      <c r="H1179" s="11">
        <f>MIN(in_approval_cap,in_approved_first*INDEX('Age profile'!$O$2:$O$61,B1179)*(1+in_approval_growth)^(D1179-1))</f>
        <v/>
      </c>
      <c r="I1179" s="45">
        <f>G1179*MIN(in_takeup_cap,INDEX('Age profile'!$O$2:$O$61,B1179)*(1+in_approval_growth)^(D1179-1))</f>
        <v/>
      </c>
      <c r="J1179" s="40">
        <f>(J1178-L1178)*F1179/F1178</f>
        <v/>
      </c>
      <c r="K1179" s="40">
        <f>(K1178-M1178)*F1179/F1178+SUMIFS(O1166:O1178,B1166:B1178,B1179-1-d_T)*F1179</f>
        <v/>
      </c>
      <c r="L1179" s="40">
        <f>IF(B1179&gt;=in_marketplace_from,J1179*d_hz*G1179*in_eligible*H1179,0)</f>
        <v/>
      </c>
      <c r="M1179" s="40">
        <f>IF(B1179&gt;=in_marketplace_from,K1179*d_hz*G1179*in_eligible*in_approved_repeat,0)</f>
        <v/>
      </c>
      <c r="N1179" s="40">
        <f>L1179+M1179</f>
        <v/>
      </c>
      <c r="O1179" s="46">
        <f>N1179/F1179</f>
        <v/>
      </c>
      <c r="P1179" s="40">
        <f>F1179-J1179-K1179</f>
        <v/>
      </c>
      <c r="Q1179" s="40">
        <f>IF(B1179&gt;=in_marketplace_from,(J1179+K1179)*d_hz*G1179,0)</f>
        <v/>
      </c>
      <c r="R1179" s="40">
        <f>SUMIFS(N1166:N1201,B1166:B1201,"&gt;="&amp;(B1179-d_T),B1166:B1201,"&lt;="&amp;(B1179-1))</f>
        <v/>
      </c>
      <c r="S1179" s="46">
        <f>(1-d_u)*S1178+IF(d_T&gt;in_topup_lag,SUMIFS(O1166:O1201,B1166:B1201,B1179-in_topup_lag)-d_udrop*SUMIFS(O1166:O1201,B1166:B1201,B1179-d_T),0)</f>
        <v/>
      </c>
      <c r="T1179" s="40">
        <f>F1179*d_u*S1179</f>
        <v/>
      </c>
      <c r="U1179" s="9">
        <f>L1179*in_ticket+M1179*d_rep_ticket</f>
        <v/>
      </c>
      <c r="V1179" s="9">
        <f>U1179+T1179*d_topup_amt</f>
        <v/>
      </c>
      <c r="W1179" s="40">
        <f>N1179+T1179*d_topup_ratio</f>
        <v/>
      </c>
      <c r="X1179" s="40">
        <f>SUMIFS(W1166:W1201,B1166:B1201,B1179-in_dpd_lag)*d_cured</f>
        <v/>
      </c>
      <c r="Y1179" s="40">
        <f>SUMIFS(W1166:W1201,B1166:B1201,B1179-in_rec_lag)*d_recd</f>
        <v/>
      </c>
      <c r="Z1179" s="40">
        <f>IF(AND(B1179&gt;=in_marketplace_from,B1179&lt;in_marketplace_from+in_card_months),in_card_share/in_card_months*F1179*I1179,IF(AND(B1179&gt;=in_marketplace_from+in_card_months,B1179&lt;in_marketplace_from+2*in_card_months),in_card_share*d_card_rem/in_card_months*F1179*MIN(in_takeup_cap,(1+in_takeup_growth)^(D1179-1))*MIN(in_takeup_cap,(1+in_approval_growth)^(D1179-1)),0))</f>
        <v/>
      </c>
      <c r="AA1179" s="14">
        <f>V1179*in_fee*(1-in_taken_back)</f>
        <v/>
      </c>
      <c r="AB1179" s="14">
        <f>SUMIFS(W1166:W1201,B1166:B1201,B1179-in_dpd_lag)*d_dpd</f>
        <v/>
      </c>
      <c r="AC1179" s="14">
        <f>SUMIFS(W1166:W1201,B1166:B1201,B1179-in_rec_lag)*d_rec</f>
        <v/>
      </c>
      <c r="AD1179" s="14">
        <f>Z1179*in_card_fee</f>
        <v/>
      </c>
      <c r="AE1179" s="40">
        <f>AE1178*(1-IF(B1178&gt;=in_marketplace_from,d_hz_hlth_small*G1178,0))</f>
        <v/>
      </c>
      <c r="AF1179" s="46">
        <f>AE1179*IF(B1179&gt;=in_marketplace_from,d_hz_hlth_small*G1179,0)</f>
        <v/>
      </c>
      <c r="AG1179" s="14">
        <f>F1179*AF1179*in_hlth_small_ticket*in_hlth_small_comm*in_ins_partner_share+F1179*in_hlth_small_ticket*in_hlth_small_renew_comm*in_ins_partner_share*(in_hlth_small_renew^1*SUMIFS(AF1166:AF1201,B1166:B1201,B1179-12)+in_hlth_small_renew^2*SUMIFS(AF1166:AF1201,B1166:B1201,B1179-24)+in_hlth_small_renew^3*SUMIFS(AF1166:AF1201,B1166:B1201,B1179-36)+in_hlth_small_renew^4*SUMIFS(AF1166:AF1201,B1166:B1201,B1179-48))</f>
        <v/>
      </c>
      <c r="AH1179" s="40">
        <f>AH1178*(1-IF(B1178&gt;=in_marketplace_from,d_hz_hlth_family*G1178,0))</f>
        <v/>
      </c>
      <c r="AI1179" s="46">
        <f>AH1179*IF(B1179&gt;=in_marketplace_from,d_hz_hlth_family*G1179,0)</f>
        <v/>
      </c>
      <c r="AJ1179" s="14">
        <f>F1179*AI1179*in_hlth_family_ticket*in_hlth_family_comm*in_ins_partner_share+F1179*in_hlth_family_ticket*in_hlth_family_renew_comm*in_ins_partner_share*(in_hlth_family_renew^1*SUMIFS(AI1166:AI1201,B1166:B1201,B1179-12)+in_hlth_family_renew^2*SUMIFS(AI1166:AI1201,B1166:B1201,B1179-24)+in_hlth_family_renew^3*SUMIFS(AI1166:AI1201,B1166:B1201,B1179-36)+in_hlth_family_renew^4*SUMIFS(AI1166:AI1201,B1166:B1201,B1179-48))</f>
        <v/>
      </c>
      <c r="AK1179" s="40">
        <f>AK1178*(1-IF(B1178&gt;=in_marketplace_from,d_hz_life_term*G1178,0))</f>
        <v/>
      </c>
      <c r="AL1179" s="46">
        <f>AK1179*IF(B1179&gt;=in_marketplace_from,d_hz_life_term*G1179,0)</f>
        <v/>
      </c>
      <c r="AM1179" s="14">
        <f>F1179*AL1179*in_life_term_ticket*in_life_term_comm*in_ins_partner_share+F1179*in_life_term_ticket*in_life_term_renew_comm*in_ins_partner_share*(in_life_term_renew^1*SUMIFS(AL1166:AL1201,B1166:B1201,B1179-12)+in_life_term_renew^2*SUMIFS(AL1166:AL1201,B1166:B1201,B1179-24)+in_life_term_renew^3*SUMIFS(AL1166:AL1201,B1166:B1201,B1179-36)+in_life_term_renew^4*SUMIFS(AL1166:AL1201,B1166:B1201,B1179-48))</f>
        <v/>
      </c>
      <c r="AN1179" s="40">
        <f>AN1178*(1-IF(B1178&gt;=in_marketplace_from,d_hz_accident*G1178,0))</f>
        <v/>
      </c>
      <c r="AO1179" s="46">
        <f>AN1179*IF(B1179&gt;=in_marketplace_from,d_hz_accident*G1179,0)</f>
        <v/>
      </c>
      <c r="AP1179" s="14">
        <f>F1179*AO1179*in_accident_ticket*in_accident_comm*in_ins_partner_share+F1179*in_accident_ticket*in_accident_renew_comm*in_ins_partner_share*(in_accident_renew^1*SUMIFS(AO1166:AO1201,B1166:B1201,B1179-12)+in_accident_renew^2*SUMIFS(AO1166:AO1201,B1166:B1201,B1179-24)+in_accident_renew^3*SUMIFS(AO1166:AO1201,B1166:B1201,B1179-36)+in_accident_renew^4*SUMIFS(AO1166:AO1201,B1166:B1201,B1179-48))</f>
        <v/>
      </c>
      <c r="AQ1179" s="40">
        <f>AQ1178*(1-IF(B1178&gt;=in_marketplace_from,d_hz_two_wheeler*G1178,0))</f>
        <v/>
      </c>
      <c r="AR1179" s="46">
        <f>AQ1179*IF(B1179&gt;=in_marketplace_from,d_hz_two_wheeler*G1179,0)</f>
        <v/>
      </c>
      <c r="AS1179" s="14">
        <f>F1179*AR1179*in_two_wheeler_ticket*in_two_wheeler_comm*in_ins_partner_share+F1179*in_two_wheeler_ticket*in_two_wheeler_comm*in_ins_partner_share*(in_two_wheeler_renew^1*SUMIFS(AR1166:AR1201,B1166:B1201,B1179-12)+in_two_wheeler_renew^2*SUMIFS(AR1166:AR1201,B1166:B1201,B1179-24)+in_two_wheeler_renew^3*SUMIFS(AR1166:AR1201,B1166:B1201,B1179-36)+in_two_wheeler_renew^4*SUMIFS(AR1166:AR1201,B1166:B1201,B1179-48))</f>
        <v/>
      </c>
      <c r="AT1179" s="40">
        <f>AT1178*(1-IF(B1178&gt;=in_marketplace_from,d_hz_device*G1178,0))</f>
        <v/>
      </c>
      <c r="AU1179" s="14">
        <f>F1179*AT1179*IF(B1179&gt;=in_marketplace_from,d_hz_device*G1179,0)*in_device_ticket*in_device_comm*in_ins_partner_share</f>
        <v/>
      </c>
      <c r="AV1179" s="40">
        <f>AV1178*(1-IF(B1178&gt;=in_marketplace_from,d_hz_shop*G1178,0))</f>
        <v/>
      </c>
      <c r="AW1179" s="46">
        <f>AV1179*IF(B1179&gt;=in_marketplace_from,d_hz_shop*G1179,0)</f>
        <v/>
      </c>
      <c r="AX1179" s="14">
        <f>F1179*AW1179*in_shop_ticket*in_shop_comm*in_ins_partner_share+F1179*in_shop_ticket*in_shop_renew_comm*in_ins_partner_share*(in_shop_renew^1*SUMIFS(AW1166:AW1201,B1166:B1201,B1179-12)+in_shop_renew^2*SUMIFS(AW1166:AW1201,B1166:B1201,B1179-24)+in_shop_renew^3*SUMIFS(AW1166:AW1201,B1166:B1201,B1179-36)+in_shop_renew^4*SUMIFS(AW1166:AW1201,B1166:B1201,B1179-48))</f>
        <v/>
      </c>
      <c r="AY1179" s="40">
        <f>AY1178*(1-IF(B1178&gt;=in_marketplace_from,d_hz_sip*G1178,0))</f>
        <v/>
      </c>
      <c r="AZ1179" s="40">
        <f>AZ1178*d_rho_sip+AY1179*IF(B1179&gt;=in_marketplace_from,d_hz_sip*G1179,0)</f>
        <v/>
      </c>
      <c r="BA1179" s="40">
        <f>d_rho_sip*(BA1178+AZ1178)</f>
        <v/>
      </c>
      <c r="BB1179" s="14">
        <f>F1179*in_sip_ticket*(BA1179+0.5*AZ1179)*in_sip_comm/12</f>
        <v/>
      </c>
      <c r="BC1179" s="40">
        <f>BC1178*(1-IF(B1178&gt;=in_marketplace_from,d_hz_choti*G1178,0))</f>
        <v/>
      </c>
      <c r="BD1179" s="46">
        <f>BC1179*IF(B1179&gt;=in_marketplace_from,d_hz_choti*G1179,0)</f>
        <v/>
      </c>
      <c r="BE1179" s="14">
        <f>F1179*SUMIFS(BD1166:BD1201,B1166:B1201,B1179-in_choti_months)*in_choti_renew*in_choti_ticket</f>
        <v/>
      </c>
      <c r="BF1179" s="40">
        <f>BF1178*(1-IF(B1178&gt;=in_marketplace_from,d_hz_nps*G1178,0))</f>
        <v/>
      </c>
      <c r="BG1179" s="14">
        <f>F1179*BF1179*IF(B1179&gt;=in_marketplace_from,d_hz_nps*G1179,0)*in_nps_ticket*in_nps_comm</f>
        <v/>
      </c>
      <c r="BH1179" s="40">
        <f>BH1178*(1-IF(B1178&gt;=in_marketplace_from,d_hz_gold*G1178,0))</f>
        <v/>
      </c>
      <c r="BI1179" s="40">
        <f>BI1178*d_rho_gold+BH1179*IF(B1179&gt;=in_marketplace_from,d_hz_gold*G1179,0)</f>
        <v/>
      </c>
      <c r="BJ1179" s="14">
        <f>F1179*BI1179*in_gold_ticket*in_gold_comm</f>
        <v/>
      </c>
      <c r="BK1179" s="40">
        <f>BK1178*(1-IF(B1178&gt;=in_marketplace_from,d_hz_fd*G1178,0))</f>
        <v/>
      </c>
      <c r="BL1179" s="14">
        <f>F1179*BK1179*IF(B1179&gt;=in_marketplace_from,d_hz_fd*G1179,0)*in_fd_ticket*in_fd_comm</f>
        <v/>
      </c>
      <c r="BM1179" s="40">
        <f>BM1178*(1-IF(B1178&gt;=in_marketplace_from,d_hz_recharge*G1178,0))</f>
        <v/>
      </c>
      <c r="BN1179" s="40">
        <f>BN1178*d_rho_recharge+BM1179*IF(B1179&gt;=in_marketplace_from,d_hz_recharge*G1179,0)</f>
        <v/>
      </c>
      <c r="BO1179" s="14">
        <f>F1179*BN1179*in_recharge_ticket*in_recharge_comm/12</f>
        <v/>
      </c>
      <c r="BP1179" s="40">
        <f>BP1178*(1-IF(B1178&gt;=in_marketplace_from,d_hz_bills*G1178,0))</f>
        <v/>
      </c>
      <c r="BQ1179" s="40">
        <f>BQ1178*d_rho_bills+BP1179*IF(B1179&gt;=in_marketplace_from,d_hz_bills*G1179,0)</f>
        <v/>
      </c>
      <c r="BR1179" s="14">
        <f>F1179*BQ1179*in_bills_ticket*in_bills_comm/12</f>
        <v/>
      </c>
      <c r="BS1179" s="40">
        <f>BS1178*(1-IF(B1178&gt;=in_marketplace_from,d_hz_loan_gold*G1178,0))</f>
        <v/>
      </c>
      <c r="BT1179" s="14">
        <f>F1179*BS1179*IF(B1179&gt;=in_marketplace_from,d_hz_loan_gold*G1179,0)*in_loan_gold_ticket*in_loan_gold_comm</f>
        <v/>
      </c>
      <c r="BU1179" s="40">
        <f>BU1178*(1-IF(B1178&gt;=in_marketplace_from,d_hz_loan_cd*G1178,0))</f>
        <v/>
      </c>
      <c r="BV1179" s="14">
        <f>F1179*BU1179*IF(B1179&gt;=in_marketplace_from,d_hz_loan_cd*G1179,0)*in_loan_cd_ticket*in_loan_cd_comm</f>
        <v/>
      </c>
      <c r="BW1179" s="40">
        <f>BW1178*(1-IF(B1178&gt;=in_marketplace_from,d_hz_loan_vehicle*G1178,0))</f>
        <v/>
      </c>
      <c r="BX1179" s="14">
        <f>F1179*BW1179*IF(B1179&gt;=in_marketplace_from,d_hz_loan_vehicle*G1179,0)*in_loan_vehicle_ticket*in_loan_vehicle_comm</f>
        <v/>
      </c>
      <c r="BY1179" s="40">
        <f>BY1178*(1-IF(B1178&gt;=in_marketplace_from,d_hz_loan_home*G1178,0)*BZ1178)</f>
        <v/>
      </c>
      <c r="BZ1179" s="11">
        <f>MIN(in_approval_cap,in_loan_home_approval*INDEX('Age profile'!$O$2:$O$61,B1179)*(1+in_approval_growth)^(D1179-1))</f>
        <v/>
      </c>
      <c r="CA1179" s="14">
        <f>F1179*BY1179*IF(B1179&gt;=in_marketplace_from,d_hz_loan_home*G1179,0)*BZ1179*in_loan_home_ticket*in_loan_home_comm</f>
        <v/>
      </c>
      <c r="CB1179" s="40">
        <f>CB1178*(1-IF(B1178&gt;=in_marketplace_from,d_hz_loan_lap*G1178,0)*CC1178)</f>
        <v/>
      </c>
      <c r="CC1179" s="11">
        <f>MIN(in_approval_cap,in_loan_lap_approval*INDEX('Age profile'!$O$2:$O$61,B1179)*(1+in_approval_growth)^(D1179-1))</f>
        <v/>
      </c>
      <c r="CD1179" s="14">
        <f>F1179*CB1179*IF(B1179&gt;=in_marketplace_from,d_hz_loan_lap*G1179,0)*CC1179*in_loan_lap_ticket*in_loan_lap_comm</f>
        <v/>
      </c>
      <c r="CE1179" s="14">
        <f>AA1179+AB1179+AC1179+AD1179+AG1179+AJ1179+AM1179+AP1179+AS1179+AU1179+AX1179+BB1179+BE1179+BG1179+BJ1179+BL1179+BO1179+BR1179+BT1179+BV1179+BX1179+CA1179+CD1179</f>
        <v/>
      </c>
    </row>
    <row r="1180">
      <c r="A1180" s="39" t="n">
        <v>25</v>
      </c>
      <c r="B1180" s="39" t="n">
        <v>15</v>
      </c>
      <c r="C1180" s="39">
        <f>A1180+B1180-1</f>
        <v/>
      </c>
      <c r="D1180" s="39">
        <f>INT((C1180-1)/12)+1</f>
        <v/>
      </c>
      <c r="E1180" s="44">
        <f>INDEX(Monthly!$B$2:$B$61,A1180)</f>
        <v/>
      </c>
      <c r="F1180" s="44">
        <f>E1180*INDEX('Age profile'!$B$2:$B$61,B1180)</f>
        <v/>
      </c>
      <c r="G1180" s="45">
        <f>MIN(in_takeup_cap,INDEX('Age profile'!$N$2:$N$61,B1180)*(1+in_takeup_growth)^(D1180-1))</f>
        <v/>
      </c>
      <c r="H1180" s="11">
        <f>MIN(in_approval_cap,in_approved_first*INDEX('Age profile'!$O$2:$O$61,B1180)*(1+in_approval_growth)^(D1180-1))</f>
        <v/>
      </c>
      <c r="I1180" s="45">
        <f>G1180*MIN(in_takeup_cap,INDEX('Age profile'!$O$2:$O$61,B1180)*(1+in_approval_growth)^(D1180-1))</f>
        <v/>
      </c>
      <c r="J1180" s="40">
        <f>(J1179-L1179)*F1180/F1179</f>
        <v/>
      </c>
      <c r="K1180" s="40">
        <f>(K1179-M1179)*F1180/F1179+SUMIFS(O1166:O1179,B1166:B1179,B1180-1-d_T)*F1180</f>
        <v/>
      </c>
      <c r="L1180" s="40">
        <f>IF(B1180&gt;=in_marketplace_from,J1180*d_hz*G1180*in_eligible*H1180,0)</f>
        <v/>
      </c>
      <c r="M1180" s="40">
        <f>IF(B1180&gt;=in_marketplace_from,K1180*d_hz*G1180*in_eligible*in_approved_repeat,0)</f>
        <v/>
      </c>
      <c r="N1180" s="40">
        <f>L1180+M1180</f>
        <v/>
      </c>
      <c r="O1180" s="46">
        <f>N1180/F1180</f>
        <v/>
      </c>
      <c r="P1180" s="40">
        <f>F1180-J1180-K1180</f>
        <v/>
      </c>
      <c r="Q1180" s="40">
        <f>IF(B1180&gt;=in_marketplace_from,(J1180+K1180)*d_hz*G1180,0)</f>
        <v/>
      </c>
      <c r="R1180" s="40">
        <f>SUMIFS(N1166:N1201,B1166:B1201,"&gt;="&amp;(B1180-d_T),B1166:B1201,"&lt;="&amp;(B1180-1))</f>
        <v/>
      </c>
      <c r="S1180" s="46">
        <f>(1-d_u)*S1179+IF(d_T&gt;in_topup_lag,SUMIFS(O1166:O1201,B1166:B1201,B1180-in_topup_lag)-d_udrop*SUMIFS(O1166:O1201,B1166:B1201,B1180-d_T),0)</f>
        <v/>
      </c>
      <c r="T1180" s="40">
        <f>F1180*d_u*S1180</f>
        <v/>
      </c>
      <c r="U1180" s="9">
        <f>L1180*in_ticket+M1180*d_rep_ticket</f>
        <v/>
      </c>
      <c r="V1180" s="9">
        <f>U1180+T1180*d_topup_amt</f>
        <v/>
      </c>
      <c r="W1180" s="40">
        <f>N1180+T1180*d_topup_ratio</f>
        <v/>
      </c>
      <c r="X1180" s="40">
        <f>SUMIFS(W1166:W1201,B1166:B1201,B1180-in_dpd_lag)*d_cured</f>
        <v/>
      </c>
      <c r="Y1180" s="40">
        <f>SUMIFS(W1166:W1201,B1166:B1201,B1180-in_rec_lag)*d_recd</f>
        <v/>
      </c>
      <c r="Z1180" s="40">
        <f>IF(AND(B1180&gt;=in_marketplace_from,B1180&lt;in_marketplace_from+in_card_months),in_card_share/in_card_months*F1180*I1180,IF(AND(B1180&gt;=in_marketplace_from+in_card_months,B1180&lt;in_marketplace_from+2*in_card_months),in_card_share*d_card_rem/in_card_months*F1180*MIN(in_takeup_cap,(1+in_takeup_growth)^(D1180-1))*MIN(in_takeup_cap,(1+in_approval_growth)^(D1180-1)),0))</f>
        <v/>
      </c>
      <c r="AA1180" s="14">
        <f>V1180*in_fee*(1-in_taken_back)</f>
        <v/>
      </c>
      <c r="AB1180" s="14">
        <f>SUMIFS(W1166:W1201,B1166:B1201,B1180-in_dpd_lag)*d_dpd</f>
        <v/>
      </c>
      <c r="AC1180" s="14">
        <f>SUMIFS(W1166:W1201,B1166:B1201,B1180-in_rec_lag)*d_rec</f>
        <v/>
      </c>
      <c r="AD1180" s="14">
        <f>Z1180*in_card_fee</f>
        <v/>
      </c>
      <c r="AE1180" s="40">
        <f>AE1179*(1-IF(B1179&gt;=in_marketplace_from,d_hz_hlth_small*G1179,0))</f>
        <v/>
      </c>
      <c r="AF1180" s="46">
        <f>AE1180*IF(B1180&gt;=in_marketplace_from,d_hz_hlth_small*G1180,0)</f>
        <v/>
      </c>
      <c r="AG1180" s="14">
        <f>F1180*AF1180*in_hlth_small_ticket*in_hlth_small_comm*in_ins_partner_share+F1180*in_hlth_small_ticket*in_hlth_small_renew_comm*in_ins_partner_share*(in_hlth_small_renew^1*SUMIFS(AF1166:AF1201,B1166:B1201,B1180-12)+in_hlth_small_renew^2*SUMIFS(AF1166:AF1201,B1166:B1201,B1180-24)+in_hlth_small_renew^3*SUMIFS(AF1166:AF1201,B1166:B1201,B1180-36)+in_hlth_small_renew^4*SUMIFS(AF1166:AF1201,B1166:B1201,B1180-48))</f>
        <v/>
      </c>
      <c r="AH1180" s="40">
        <f>AH1179*(1-IF(B1179&gt;=in_marketplace_from,d_hz_hlth_family*G1179,0))</f>
        <v/>
      </c>
      <c r="AI1180" s="46">
        <f>AH1180*IF(B1180&gt;=in_marketplace_from,d_hz_hlth_family*G1180,0)</f>
        <v/>
      </c>
      <c r="AJ1180" s="14">
        <f>F1180*AI1180*in_hlth_family_ticket*in_hlth_family_comm*in_ins_partner_share+F1180*in_hlth_family_ticket*in_hlth_family_renew_comm*in_ins_partner_share*(in_hlth_family_renew^1*SUMIFS(AI1166:AI1201,B1166:B1201,B1180-12)+in_hlth_family_renew^2*SUMIFS(AI1166:AI1201,B1166:B1201,B1180-24)+in_hlth_family_renew^3*SUMIFS(AI1166:AI1201,B1166:B1201,B1180-36)+in_hlth_family_renew^4*SUMIFS(AI1166:AI1201,B1166:B1201,B1180-48))</f>
        <v/>
      </c>
      <c r="AK1180" s="40">
        <f>AK1179*(1-IF(B1179&gt;=in_marketplace_from,d_hz_life_term*G1179,0))</f>
        <v/>
      </c>
      <c r="AL1180" s="46">
        <f>AK1180*IF(B1180&gt;=in_marketplace_from,d_hz_life_term*G1180,0)</f>
        <v/>
      </c>
      <c r="AM1180" s="14">
        <f>F1180*AL1180*in_life_term_ticket*in_life_term_comm*in_ins_partner_share+F1180*in_life_term_ticket*in_life_term_renew_comm*in_ins_partner_share*(in_life_term_renew^1*SUMIFS(AL1166:AL1201,B1166:B1201,B1180-12)+in_life_term_renew^2*SUMIFS(AL1166:AL1201,B1166:B1201,B1180-24)+in_life_term_renew^3*SUMIFS(AL1166:AL1201,B1166:B1201,B1180-36)+in_life_term_renew^4*SUMIFS(AL1166:AL1201,B1166:B1201,B1180-48))</f>
        <v/>
      </c>
      <c r="AN1180" s="40">
        <f>AN1179*(1-IF(B1179&gt;=in_marketplace_from,d_hz_accident*G1179,0))</f>
        <v/>
      </c>
      <c r="AO1180" s="46">
        <f>AN1180*IF(B1180&gt;=in_marketplace_from,d_hz_accident*G1180,0)</f>
        <v/>
      </c>
      <c r="AP1180" s="14">
        <f>F1180*AO1180*in_accident_ticket*in_accident_comm*in_ins_partner_share+F1180*in_accident_ticket*in_accident_renew_comm*in_ins_partner_share*(in_accident_renew^1*SUMIFS(AO1166:AO1201,B1166:B1201,B1180-12)+in_accident_renew^2*SUMIFS(AO1166:AO1201,B1166:B1201,B1180-24)+in_accident_renew^3*SUMIFS(AO1166:AO1201,B1166:B1201,B1180-36)+in_accident_renew^4*SUMIFS(AO1166:AO1201,B1166:B1201,B1180-48))</f>
        <v/>
      </c>
      <c r="AQ1180" s="40">
        <f>AQ1179*(1-IF(B1179&gt;=in_marketplace_from,d_hz_two_wheeler*G1179,0))</f>
        <v/>
      </c>
      <c r="AR1180" s="46">
        <f>AQ1180*IF(B1180&gt;=in_marketplace_from,d_hz_two_wheeler*G1180,0)</f>
        <v/>
      </c>
      <c r="AS1180" s="14">
        <f>F1180*AR1180*in_two_wheeler_ticket*in_two_wheeler_comm*in_ins_partner_share+F1180*in_two_wheeler_ticket*in_two_wheeler_comm*in_ins_partner_share*(in_two_wheeler_renew^1*SUMIFS(AR1166:AR1201,B1166:B1201,B1180-12)+in_two_wheeler_renew^2*SUMIFS(AR1166:AR1201,B1166:B1201,B1180-24)+in_two_wheeler_renew^3*SUMIFS(AR1166:AR1201,B1166:B1201,B1180-36)+in_two_wheeler_renew^4*SUMIFS(AR1166:AR1201,B1166:B1201,B1180-48))</f>
        <v/>
      </c>
      <c r="AT1180" s="40">
        <f>AT1179*(1-IF(B1179&gt;=in_marketplace_from,d_hz_device*G1179,0))</f>
        <v/>
      </c>
      <c r="AU1180" s="14">
        <f>F1180*AT1180*IF(B1180&gt;=in_marketplace_from,d_hz_device*G1180,0)*in_device_ticket*in_device_comm*in_ins_partner_share</f>
        <v/>
      </c>
      <c r="AV1180" s="40">
        <f>AV1179*(1-IF(B1179&gt;=in_marketplace_from,d_hz_shop*G1179,0))</f>
        <v/>
      </c>
      <c r="AW1180" s="46">
        <f>AV1180*IF(B1180&gt;=in_marketplace_from,d_hz_shop*G1180,0)</f>
        <v/>
      </c>
      <c r="AX1180" s="14">
        <f>F1180*AW1180*in_shop_ticket*in_shop_comm*in_ins_partner_share+F1180*in_shop_ticket*in_shop_renew_comm*in_ins_partner_share*(in_shop_renew^1*SUMIFS(AW1166:AW1201,B1166:B1201,B1180-12)+in_shop_renew^2*SUMIFS(AW1166:AW1201,B1166:B1201,B1180-24)+in_shop_renew^3*SUMIFS(AW1166:AW1201,B1166:B1201,B1180-36)+in_shop_renew^4*SUMIFS(AW1166:AW1201,B1166:B1201,B1180-48))</f>
        <v/>
      </c>
      <c r="AY1180" s="40">
        <f>AY1179*(1-IF(B1179&gt;=in_marketplace_from,d_hz_sip*G1179,0))</f>
        <v/>
      </c>
      <c r="AZ1180" s="40">
        <f>AZ1179*d_rho_sip+AY1180*IF(B1180&gt;=in_marketplace_from,d_hz_sip*G1180,0)</f>
        <v/>
      </c>
      <c r="BA1180" s="40">
        <f>d_rho_sip*(BA1179+AZ1179)</f>
        <v/>
      </c>
      <c r="BB1180" s="14">
        <f>F1180*in_sip_ticket*(BA1180+0.5*AZ1180)*in_sip_comm/12</f>
        <v/>
      </c>
      <c r="BC1180" s="40">
        <f>BC1179*(1-IF(B1179&gt;=in_marketplace_from,d_hz_choti*G1179,0))</f>
        <v/>
      </c>
      <c r="BD1180" s="46">
        <f>BC1180*IF(B1180&gt;=in_marketplace_from,d_hz_choti*G1180,0)</f>
        <v/>
      </c>
      <c r="BE1180" s="14">
        <f>F1180*SUMIFS(BD1166:BD1201,B1166:B1201,B1180-in_choti_months)*in_choti_renew*in_choti_ticket</f>
        <v/>
      </c>
      <c r="BF1180" s="40">
        <f>BF1179*(1-IF(B1179&gt;=in_marketplace_from,d_hz_nps*G1179,0))</f>
        <v/>
      </c>
      <c r="BG1180" s="14">
        <f>F1180*BF1180*IF(B1180&gt;=in_marketplace_from,d_hz_nps*G1180,0)*in_nps_ticket*in_nps_comm</f>
        <v/>
      </c>
      <c r="BH1180" s="40">
        <f>BH1179*(1-IF(B1179&gt;=in_marketplace_from,d_hz_gold*G1179,0))</f>
        <v/>
      </c>
      <c r="BI1180" s="40">
        <f>BI1179*d_rho_gold+BH1180*IF(B1180&gt;=in_marketplace_from,d_hz_gold*G1180,0)</f>
        <v/>
      </c>
      <c r="BJ1180" s="14">
        <f>F1180*BI1180*in_gold_ticket*in_gold_comm</f>
        <v/>
      </c>
      <c r="BK1180" s="40">
        <f>BK1179*(1-IF(B1179&gt;=in_marketplace_from,d_hz_fd*G1179,0))</f>
        <v/>
      </c>
      <c r="BL1180" s="14">
        <f>F1180*BK1180*IF(B1180&gt;=in_marketplace_from,d_hz_fd*G1180,0)*in_fd_ticket*in_fd_comm</f>
        <v/>
      </c>
      <c r="BM1180" s="40">
        <f>BM1179*(1-IF(B1179&gt;=in_marketplace_from,d_hz_recharge*G1179,0))</f>
        <v/>
      </c>
      <c r="BN1180" s="40">
        <f>BN1179*d_rho_recharge+BM1180*IF(B1180&gt;=in_marketplace_from,d_hz_recharge*G1180,0)</f>
        <v/>
      </c>
      <c r="BO1180" s="14">
        <f>F1180*BN1180*in_recharge_ticket*in_recharge_comm/12</f>
        <v/>
      </c>
      <c r="BP1180" s="40">
        <f>BP1179*(1-IF(B1179&gt;=in_marketplace_from,d_hz_bills*G1179,0))</f>
        <v/>
      </c>
      <c r="BQ1180" s="40">
        <f>BQ1179*d_rho_bills+BP1180*IF(B1180&gt;=in_marketplace_from,d_hz_bills*G1180,0)</f>
        <v/>
      </c>
      <c r="BR1180" s="14">
        <f>F1180*BQ1180*in_bills_ticket*in_bills_comm/12</f>
        <v/>
      </c>
      <c r="BS1180" s="40">
        <f>BS1179*(1-IF(B1179&gt;=in_marketplace_from,d_hz_loan_gold*G1179,0))</f>
        <v/>
      </c>
      <c r="BT1180" s="14">
        <f>F1180*BS1180*IF(B1180&gt;=in_marketplace_from,d_hz_loan_gold*G1180,0)*in_loan_gold_ticket*in_loan_gold_comm</f>
        <v/>
      </c>
      <c r="BU1180" s="40">
        <f>BU1179*(1-IF(B1179&gt;=in_marketplace_from,d_hz_loan_cd*G1179,0))</f>
        <v/>
      </c>
      <c r="BV1180" s="14">
        <f>F1180*BU1180*IF(B1180&gt;=in_marketplace_from,d_hz_loan_cd*G1180,0)*in_loan_cd_ticket*in_loan_cd_comm</f>
        <v/>
      </c>
      <c r="BW1180" s="40">
        <f>BW1179*(1-IF(B1179&gt;=in_marketplace_from,d_hz_loan_vehicle*G1179,0))</f>
        <v/>
      </c>
      <c r="BX1180" s="14">
        <f>F1180*BW1180*IF(B1180&gt;=in_marketplace_from,d_hz_loan_vehicle*G1180,0)*in_loan_vehicle_ticket*in_loan_vehicle_comm</f>
        <v/>
      </c>
      <c r="BY1180" s="40">
        <f>BY1179*(1-IF(B1179&gt;=in_marketplace_from,d_hz_loan_home*G1179,0)*BZ1179)</f>
        <v/>
      </c>
      <c r="BZ1180" s="11">
        <f>MIN(in_approval_cap,in_loan_home_approval*INDEX('Age profile'!$O$2:$O$61,B1180)*(1+in_approval_growth)^(D1180-1))</f>
        <v/>
      </c>
      <c r="CA1180" s="14">
        <f>F1180*BY1180*IF(B1180&gt;=in_marketplace_from,d_hz_loan_home*G1180,0)*BZ1180*in_loan_home_ticket*in_loan_home_comm</f>
        <v/>
      </c>
      <c r="CB1180" s="40">
        <f>CB1179*(1-IF(B1179&gt;=in_marketplace_from,d_hz_loan_lap*G1179,0)*CC1179)</f>
        <v/>
      </c>
      <c r="CC1180" s="11">
        <f>MIN(in_approval_cap,in_loan_lap_approval*INDEX('Age profile'!$O$2:$O$61,B1180)*(1+in_approval_growth)^(D1180-1))</f>
        <v/>
      </c>
      <c r="CD1180" s="14">
        <f>F1180*CB1180*IF(B1180&gt;=in_marketplace_from,d_hz_loan_lap*G1180,0)*CC1180*in_loan_lap_ticket*in_loan_lap_comm</f>
        <v/>
      </c>
      <c r="CE1180" s="14">
        <f>AA1180+AB1180+AC1180+AD1180+AG1180+AJ1180+AM1180+AP1180+AS1180+AU1180+AX1180+BB1180+BE1180+BG1180+BJ1180+BL1180+BO1180+BR1180+BT1180+BV1180+BX1180+CA1180+CD1180</f>
        <v/>
      </c>
    </row>
    <row r="1181">
      <c r="A1181" s="39" t="n">
        <v>25</v>
      </c>
      <c r="B1181" s="39" t="n">
        <v>16</v>
      </c>
      <c r="C1181" s="39">
        <f>A1181+B1181-1</f>
        <v/>
      </c>
      <c r="D1181" s="39">
        <f>INT((C1181-1)/12)+1</f>
        <v/>
      </c>
      <c r="E1181" s="44">
        <f>INDEX(Monthly!$B$2:$B$61,A1181)</f>
        <v/>
      </c>
      <c r="F1181" s="44">
        <f>E1181*INDEX('Age profile'!$B$2:$B$61,B1181)</f>
        <v/>
      </c>
      <c r="G1181" s="45">
        <f>MIN(in_takeup_cap,INDEX('Age profile'!$N$2:$N$61,B1181)*(1+in_takeup_growth)^(D1181-1))</f>
        <v/>
      </c>
      <c r="H1181" s="11">
        <f>MIN(in_approval_cap,in_approved_first*INDEX('Age profile'!$O$2:$O$61,B1181)*(1+in_approval_growth)^(D1181-1))</f>
        <v/>
      </c>
      <c r="I1181" s="45">
        <f>G1181*MIN(in_takeup_cap,INDEX('Age profile'!$O$2:$O$61,B1181)*(1+in_approval_growth)^(D1181-1))</f>
        <v/>
      </c>
      <c r="J1181" s="40">
        <f>(J1180-L1180)*F1181/F1180</f>
        <v/>
      </c>
      <c r="K1181" s="40">
        <f>(K1180-M1180)*F1181/F1180+SUMIFS(O1166:O1180,B1166:B1180,B1181-1-d_T)*F1181</f>
        <v/>
      </c>
      <c r="L1181" s="40">
        <f>IF(B1181&gt;=in_marketplace_from,J1181*d_hz*G1181*in_eligible*H1181,0)</f>
        <v/>
      </c>
      <c r="M1181" s="40">
        <f>IF(B1181&gt;=in_marketplace_from,K1181*d_hz*G1181*in_eligible*in_approved_repeat,0)</f>
        <v/>
      </c>
      <c r="N1181" s="40">
        <f>L1181+M1181</f>
        <v/>
      </c>
      <c r="O1181" s="46">
        <f>N1181/F1181</f>
        <v/>
      </c>
      <c r="P1181" s="40">
        <f>F1181-J1181-K1181</f>
        <v/>
      </c>
      <c r="Q1181" s="40">
        <f>IF(B1181&gt;=in_marketplace_from,(J1181+K1181)*d_hz*G1181,0)</f>
        <v/>
      </c>
      <c r="R1181" s="40">
        <f>SUMIFS(N1166:N1201,B1166:B1201,"&gt;="&amp;(B1181-d_T),B1166:B1201,"&lt;="&amp;(B1181-1))</f>
        <v/>
      </c>
      <c r="S1181" s="46">
        <f>(1-d_u)*S1180+IF(d_T&gt;in_topup_lag,SUMIFS(O1166:O1201,B1166:B1201,B1181-in_topup_lag)-d_udrop*SUMIFS(O1166:O1201,B1166:B1201,B1181-d_T),0)</f>
        <v/>
      </c>
      <c r="T1181" s="40">
        <f>F1181*d_u*S1181</f>
        <v/>
      </c>
      <c r="U1181" s="9">
        <f>L1181*in_ticket+M1181*d_rep_ticket</f>
        <v/>
      </c>
      <c r="V1181" s="9">
        <f>U1181+T1181*d_topup_amt</f>
        <v/>
      </c>
      <c r="W1181" s="40">
        <f>N1181+T1181*d_topup_ratio</f>
        <v/>
      </c>
      <c r="X1181" s="40">
        <f>SUMIFS(W1166:W1201,B1166:B1201,B1181-in_dpd_lag)*d_cured</f>
        <v/>
      </c>
      <c r="Y1181" s="40">
        <f>SUMIFS(W1166:W1201,B1166:B1201,B1181-in_rec_lag)*d_recd</f>
        <v/>
      </c>
      <c r="Z1181" s="40">
        <f>IF(AND(B1181&gt;=in_marketplace_from,B1181&lt;in_marketplace_from+in_card_months),in_card_share/in_card_months*F1181*I1181,IF(AND(B1181&gt;=in_marketplace_from+in_card_months,B1181&lt;in_marketplace_from+2*in_card_months),in_card_share*d_card_rem/in_card_months*F1181*MIN(in_takeup_cap,(1+in_takeup_growth)^(D1181-1))*MIN(in_takeup_cap,(1+in_approval_growth)^(D1181-1)),0))</f>
        <v/>
      </c>
      <c r="AA1181" s="14">
        <f>V1181*in_fee*(1-in_taken_back)</f>
        <v/>
      </c>
      <c r="AB1181" s="14">
        <f>SUMIFS(W1166:W1201,B1166:B1201,B1181-in_dpd_lag)*d_dpd</f>
        <v/>
      </c>
      <c r="AC1181" s="14">
        <f>SUMIFS(W1166:W1201,B1166:B1201,B1181-in_rec_lag)*d_rec</f>
        <v/>
      </c>
      <c r="AD1181" s="14">
        <f>Z1181*in_card_fee</f>
        <v/>
      </c>
      <c r="AE1181" s="40">
        <f>AE1180*(1-IF(B1180&gt;=in_marketplace_from,d_hz_hlth_small*G1180,0))</f>
        <v/>
      </c>
      <c r="AF1181" s="46">
        <f>AE1181*IF(B1181&gt;=in_marketplace_from,d_hz_hlth_small*G1181,0)</f>
        <v/>
      </c>
      <c r="AG1181" s="14">
        <f>F1181*AF1181*in_hlth_small_ticket*in_hlth_small_comm*in_ins_partner_share+F1181*in_hlth_small_ticket*in_hlth_small_renew_comm*in_ins_partner_share*(in_hlth_small_renew^1*SUMIFS(AF1166:AF1201,B1166:B1201,B1181-12)+in_hlth_small_renew^2*SUMIFS(AF1166:AF1201,B1166:B1201,B1181-24)+in_hlth_small_renew^3*SUMIFS(AF1166:AF1201,B1166:B1201,B1181-36)+in_hlth_small_renew^4*SUMIFS(AF1166:AF1201,B1166:B1201,B1181-48))</f>
        <v/>
      </c>
      <c r="AH1181" s="40">
        <f>AH1180*(1-IF(B1180&gt;=in_marketplace_from,d_hz_hlth_family*G1180,0))</f>
        <v/>
      </c>
      <c r="AI1181" s="46">
        <f>AH1181*IF(B1181&gt;=in_marketplace_from,d_hz_hlth_family*G1181,0)</f>
        <v/>
      </c>
      <c r="AJ1181" s="14">
        <f>F1181*AI1181*in_hlth_family_ticket*in_hlth_family_comm*in_ins_partner_share+F1181*in_hlth_family_ticket*in_hlth_family_renew_comm*in_ins_partner_share*(in_hlth_family_renew^1*SUMIFS(AI1166:AI1201,B1166:B1201,B1181-12)+in_hlth_family_renew^2*SUMIFS(AI1166:AI1201,B1166:B1201,B1181-24)+in_hlth_family_renew^3*SUMIFS(AI1166:AI1201,B1166:B1201,B1181-36)+in_hlth_family_renew^4*SUMIFS(AI1166:AI1201,B1166:B1201,B1181-48))</f>
        <v/>
      </c>
      <c r="AK1181" s="40">
        <f>AK1180*(1-IF(B1180&gt;=in_marketplace_from,d_hz_life_term*G1180,0))</f>
        <v/>
      </c>
      <c r="AL1181" s="46">
        <f>AK1181*IF(B1181&gt;=in_marketplace_from,d_hz_life_term*G1181,0)</f>
        <v/>
      </c>
      <c r="AM1181" s="14">
        <f>F1181*AL1181*in_life_term_ticket*in_life_term_comm*in_ins_partner_share+F1181*in_life_term_ticket*in_life_term_renew_comm*in_ins_partner_share*(in_life_term_renew^1*SUMIFS(AL1166:AL1201,B1166:B1201,B1181-12)+in_life_term_renew^2*SUMIFS(AL1166:AL1201,B1166:B1201,B1181-24)+in_life_term_renew^3*SUMIFS(AL1166:AL1201,B1166:B1201,B1181-36)+in_life_term_renew^4*SUMIFS(AL1166:AL1201,B1166:B1201,B1181-48))</f>
        <v/>
      </c>
      <c r="AN1181" s="40">
        <f>AN1180*(1-IF(B1180&gt;=in_marketplace_from,d_hz_accident*G1180,0))</f>
        <v/>
      </c>
      <c r="AO1181" s="46">
        <f>AN1181*IF(B1181&gt;=in_marketplace_from,d_hz_accident*G1181,0)</f>
        <v/>
      </c>
      <c r="AP1181" s="14">
        <f>F1181*AO1181*in_accident_ticket*in_accident_comm*in_ins_partner_share+F1181*in_accident_ticket*in_accident_renew_comm*in_ins_partner_share*(in_accident_renew^1*SUMIFS(AO1166:AO1201,B1166:B1201,B1181-12)+in_accident_renew^2*SUMIFS(AO1166:AO1201,B1166:B1201,B1181-24)+in_accident_renew^3*SUMIFS(AO1166:AO1201,B1166:B1201,B1181-36)+in_accident_renew^4*SUMIFS(AO1166:AO1201,B1166:B1201,B1181-48))</f>
        <v/>
      </c>
      <c r="AQ1181" s="40">
        <f>AQ1180*(1-IF(B1180&gt;=in_marketplace_from,d_hz_two_wheeler*G1180,0))</f>
        <v/>
      </c>
      <c r="AR1181" s="46">
        <f>AQ1181*IF(B1181&gt;=in_marketplace_from,d_hz_two_wheeler*G1181,0)</f>
        <v/>
      </c>
      <c r="AS1181" s="14">
        <f>F1181*AR1181*in_two_wheeler_ticket*in_two_wheeler_comm*in_ins_partner_share+F1181*in_two_wheeler_ticket*in_two_wheeler_comm*in_ins_partner_share*(in_two_wheeler_renew^1*SUMIFS(AR1166:AR1201,B1166:B1201,B1181-12)+in_two_wheeler_renew^2*SUMIFS(AR1166:AR1201,B1166:B1201,B1181-24)+in_two_wheeler_renew^3*SUMIFS(AR1166:AR1201,B1166:B1201,B1181-36)+in_two_wheeler_renew^4*SUMIFS(AR1166:AR1201,B1166:B1201,B1181-48))</f>
        <v/>
      </c>
      <c r="AT1181" s="40">
        <f>AT1180*(1-IF(B1180&gt;=in_marketplace_from,d_hz_device*G1180,0))</f>
        <v/>
      </c>
      <c r="AU1181" s="14">
        <f>F1181*AT1181*IF(B1181&gt;=in_marketplace_from,d_hz_device*G1181,0)*in_device_ticket*in_device_comm*in_ins_partner_share</f>
        <v/>
      </c>
      <c r="AV1181" s="40">
        <f>AV1180*(1-IF(B1180&gt;=in_marketplace_from,d_hz_shop*G1180,0))</f>
        <v/>
      </c>
      <c r="AW1181" s="46">
        <f>AV1181*IF(B1181&gt;=in_marketplace_from,d_hz_shop*G1181,0)</f>
        <v/>
      </c>
      <c r="AX1181" s="14">
        <f>F1181*AW1181*in_shop_ticket*in_shop_comm*in_ins_partner_share+F1181*in_shop_ticket*in_shop_renew_comm*in_ins_partner_share*(in_shop_renew^1*SUMIFS(AW1166:AW1201,B1166:B1201,B1181-12)+in_shop_renew^2*SUMIFS(AW1166:AW1201,B1166:B1201,B1181-24)+in_shop_renew^3*SUMIFS(AW1166:AW1201,B1166:B1201,B1181-36)+in_shop_renew^4*SUMIFS(AW1166:AW1201,B1166:B1201,B1181-48))</f>
        <v/>
      </c>
      <c r="AY1181" s="40">
        <f>AY1180*(1-IF(B1180&gt;=in_marketplace_from,d_hz_sip*G1180,0))</f>
        <v/>
      </c>
      <c r="AZ1181" s="40">
        <f>AZ1180*d_rho_sip+AY1181*IF(B1181&gt;=in_marketplace_from,d_hz_sip*G1181,0)</f>
        <v/>
      </c>
      <c r="BA1181" s="40">
        <f>d_rho_sip*(BA1180+AZ1180)</f>
        <v/>
      </c>
      <c r="BB1181" s="14">
        <f>F1181*in_sip_ticket*(BA1181+0.5*AZ1181)*in_sip_comm/12</f>
        <v/>
      </c>
      <c r="BC1181" s="40">
        <f>BC1180*(1-IF(B1180&gt;=in_marketplace_from,d_hz_choti*G1180,0))</f>
        <v/>
      </c>
      <c r="BD1181" s="46">
        <f>BC1181*IF(B1181&gt;=in_marketplace_from,d_hz_choti*G1181,0)</f>
        <v/>
      </c>
      <c r="BE1181" s="14">
        <f>F1181*SUMIFS(BD1166:BD1201,B1166:B1201,B1181-in_choti_months)*in_choti_renew*in_choti_ticket</f>
        <v/>
      </c>
      <c r="BF1181" s="40">
        <f>BF1180*(1-IF(B1180&gt;=in_marketplace_from,d_hz_nps*G1180,0))</f>
        <v/>
      </c>
      <c r="BG1181" s="14">
        <f>F1181*BF1181*IF(B1181&gt;=in_marketplace_from,d_hz_nps*G1181,0)*in_nps_ticket*in_nps_comm</f>
        <v/>
      </c>
      <c r="BH1181" s="40">
        <f>BH1180*(1-IF(B1180&gt;=in_marketplace_from,d_hz_gold*G1180,0))</f>
        <v/>
      </c>
      <c r="BI1181" s="40">
        <f>BI1180*d_rho_gold+BH1181*IF(B1181&gt;=in_marketplace_from,d_hz_gold*G1181,0)</f>
        <v/>
      </c>
      <c r="BJ1181" s="14">
        <f>F1181*BI1181*in_gold_ticket*in_gold_comm</f>
        <v/>
      </c>
      <c r="BK1181" s="40">
        <f>BK1180*(1-IF(B1180&gt;=in_marketplace_from,d_hz_fd*G1180,0))</f>
        <v/>
      </c>
      <c r="BL1181" s="14">
        <f>F1181*BK1181*IF(B1181&gt;=in_marketplace_from,d_hz_fd*G1181,0)*in_fd_ticket*in_fd_comm</f>
        <v/>
      </c>
      <c r="BM1181" s="40">
        <f>BM1180*(1-IF(B1180&gt;=in_marketplace_from,d_hz_recharge*G1180,0))</f>
        <v/>
      </c>
      <c r="BN1181" s="40">
        <f>BN1180*d_rho_recharge+BM1181*IF(B1181&gt;=in_marketplace_from,d_hz_recharge*G1181,0)</f>
        <v/>
      </c>
      <c r="BO1181" s="14">
        <f>F1181*BN1181*in_recharge_ticket*in_recharge_comm/12</f>
        <v/>
      </c>
      <c r="BP1181" s="40">
        <f>BP1180*(1-IF(B1180&gt;=in_marketplace_from,d_hz_bills*G1180,0))</f>
        <v/>
      </c>
      <c r="BQ1181" s="40">
        <f>BQ1180*d_rho_bills+BP1181*IF(B1181&gt;=in_marketplace_from,d_hz_bills*G1181,0)</f>
        <v/>
      </c>
      <c r="BR1181" s="14">
        <f>F1181*BQ1181*in_bills_ticket*in_bills_comm/12</f>
        <v/>
      </c>
      <c r="BS1181" s="40">
        <f>BS1180*(1-IF(B1180&gt;=in_marketplace_from,d_hz_loan_gold*G1180,0))</f>
        <v/>
      </c>
      <c r="BT1181" s="14">
        <f>F1181*BS1181*IF(B1181&gt;=in_marketplace_from,d_hz_loan_gold*G1181,0)*in_loan_gold_ticket*in_loan_gold_comm</f>
        <v/>
      </c>
      <c r="BU1181" s="40">
        <f>BU1180*(1-IF(B1180&gt;=in_marketplace_from,d_hz_loan_cd*G1180,0))</f>
        <v/>
      </c>
      <c r="BV1181" s="14">
        <f>F1181*BU1181*IF(B1181&gt;=in_marketplace_from,d_hz_loan_cd*G1181,0)*in_loan_cd_ticket*in_loan_cd_comm</f>
        <v/>
      </c>
      <c r="BW1181" s="40">
        <f>BW1180*(1-IF(B1180&gt;=in_marketplace_from,d_hz_loan_vehicle*G1180,0))</f>
        <v/>
      </c>
      <c r="BX1181" s="14">
        <f>F1181*BW1181*IF(B1181&gt;=in_marketplace_from,d_hz_loan_vehicle*G1181,0)*in_loan_vehicle_ticket*in_loan_vehicle_comm</f>
        <v/>
      </c>
      <c r="BY1181" s="40">
        <f>BY1180*(1-IF(B1180&gt;=in_marketplace_from,d_hz_loan_home*G1180,0)*BZ1180)</f>
        <v/>
      </c>
      <c r="BZ1181" s="11">
        <f>MIN(in_approval_cap,in_loan_home_approval*INDEX('Age profile'!$O$2:$O$61,B1181)*(1+in_approval_growth)^(D1181-1))</f>
        <v/>
      </c>
      <c r="CA1181" s="14">
        <f>F1181*BY1181*IF(B1181&gt;=in_marketplace_from,d_hz_loan_home*G1181,0)*BZ1181*in_loan_home_ticket*in_loan_home_comm</f>
        <v/>
      </c>
      <c r="CB1181" s="40">
        <f>CB1180*(1-IF(B1180&gt;=in_marketplace_from,d_hz_loan_lap*G1180,0)*CC1180)</f>
        <v/>
      </c>
      <c r="CC1181" s="11">
        <f>MIN(in_approval_cap,in_loan_lap_approval*INDEX('Age profile'!$O$2:$O$61,B1181)*(1+in_approval_growth)^(D1181-1))</f>
        <v/>
      </c>
      <c r="CD1181" s="14">
        <f>F1181*CB1181*IF(B1181&gt;=in_marketplace_from,d_hz_loan_lap*G1181,0)*CC1181*in_loan_lap_ticket*in_loan_lap_comm</f>
        <v/>
      </c>
      <c r="CE1181" s="14">
        <f>AA1181+AB1181+AC1181+AD1181+AG1181+AJ1181+AM1181+AP1181+AS1181+AU1181+AX1181+BB1181+BE1181+BG1181+BJ1181+BL1181+BO1181+BR1181+BT1181+BV1181+BX1181+CA1181+CD1181</f>
        <v/>
      </c>
    </row>
    <row r="1182">
      <c r="A1182" s="39" t="n">
        <v>25</v>
      </c>
      <c r="B1182" s="39" t="n">
        <v>17</v>
      </c>
      <c r="C1182" s="39">
        <f>A1182+B1182-1</f>
        <v/>
      </c>
      <c r="D1182" s="39">
        <f>INT((C1182-1)/12)+1</f>
        <v/>
      </c>
      <c r="E1182" s="44">
        <f>INDEX(Monthly!$B$2:$B$61,A1182)</f>
        <v/>
      </c>
      <c r="F1182" s="44">
        <f>E1182*INDEX('Age profile'!$B$2:$B$61,B1182)</f>
        <v/>
      </c>
      <c r="G1182" s="45">
        <f>MIN(in_takeup_cap,INDEX('Age profile'!$N$2:$N$61,B1182)*(1+in_takeup_growth)^(D1182-1))</f>
        <v/>
      </c>
      <c r="H1182" s="11">
        <f>MIN(in_approval_cap,in_approved_first*INDEX('Age profile'!$O$2:$O$61,B1182)*(1+in_approval_growth)^(D1182-1))</f>
        <v/>
      </c>
      <c r="I1182" s="45">
        <f>G1182*MIN(in_takeup_cap,INDEX('Age profile'!$O$2:$O$61,B1182)*(1+in_approval_growth)^(D1182-1))</f>
        <v/>
      </c>
      <c r="J1182" s="40">
        <f>(J1181-L1181)*F1182/F1181</f>
        <v/>
      </c>
      <c r="K1182" s="40">
        <f>(K1181-M1181)*F1182/F1181+SUMIFS(O1166:O1181,B1166:B1181,B1182-1-d_T)*F1182</f>
        <v/>
      </c>
      <c r="L1182" s="40">
        <f>IF(B1182&gt;=in_marketplace_from,J1182*d_hz*G1182*in_eligible*H1182,0)</f>
        <v/>
      </c>
      <c r="M1182" s="40">
        <f>IF(B1182&gt;=in_marketplace_from,K1182*d_hz*G1182*in_eligible*in_approved_repeat,0)</f>
        <v/>
      </c>
      <c r="N1182" s="40">
        <f>L1182+M1182</f>
        <v/>
      </c>
      <c r="O1182" s="46">
        <f>N1182/F1182</f>
        <v/>
      </c>
      <c r="P1182" s="40">
        <f>F1182-J1182-K1182</f>
        <v/>
      </c>
      <c r="Q1182" s="40">
        <f>IF(B1182&gt;=in_marketplace_from,(J1182+K1182)*d_hz*G1182,0)</f>
        <v/>
      </c>
      <c r="R1182" s="40">
        <f>SUMIFS(N1166:N1201,B1166:B1201,"&gt;="&amp;(B1182-d_T),B1166:B1201,"&lt;="&amp;(B1182-1))</f>
        <v/>
      </c>
      <c r="S1182" s="46">
        <f>(1-d_u)*S1181+IF(d_T&gt;in_topup_lag,SUMIFS(O1166:O1201,B1166:B1201,B1182-in_topup_lag)-d_udrop*SUMIFS(O1166:O1201,B1166:B1201,B1182-d_T),0)</f>
        <v/>
      </c>
      <c r="T1182" s="40">
        <f>F1182*d_u*S1182</f>
        <v/>
      </c>
      <c r="U1182" s="9">
        <f>L1182*in_ticket+M1182*d_rep_ticket</f>
        <v/>
      </c>
      <c r="V1182" s="9">
        <f>U1182+T1182*d_topup_amt</f>
        <v/>
      </c>
      <c r="W1182" s="40">
        <f>N1182+T1182*d_topup_ratio</f>
        <v/>
      </c>
      <c r="X1182" s="40">
        <f>SUMIFS(W1166:W1201,B1166:B1201,B1182-in_dpd_lag)*d_cured</f>
        <v/>
      </c>
      <c r="Y1182" s="40">
        <f>SUMIFS(W1166:W1201,B1166:B1201,B1182-in_rec_lag)*d_recd</f>
        <v/>
      </c>
      <c r="Z1182" s="40">
        <f>IF(AND(B1182&gt;=in_marketplace_from,B1182&lt;in_marketplace_from+in_card_months),in_card_share/in_card_months*F1182*I1182,IF(AND(B1182&gt;=in_marketplace_from+in_card_months,B1182&lt;in_marketplace_from+2*in_card_months),in_card_share*d_card_rem/in_card_months*F1182*MIN(in_takeup_cap,(1+in_takeup_growth)^(D1182-1))*MIN(in_takeup_cap,(1+in_approval_growth)^(D1182-1)),0))</f>
        <v/>
      </c>
      <c r="AA1182" s="14">
        <f>V1182*in_fee*(1-in_taken_back)</f>
        <v/>
      </c>
      <c r="AB1182" s="14">
        <f>SUMIFS(W1166:W1201,B1166:B1201,B1182-in_dpd_lag)*d_dpd</f>
        <v/>
      </c>
      <c r="AC1182" s="14">
        <f>SUMIFS(W1166:W1201,B1166:B1201,B1182-in_rec_lag)*d_rec</f>
        <v/>
      </c>
      <c r="AD1182" s="14">
        <f>Z1182*in_card_fee</f>
        <v/>
      </c>
      <c r="AE1182" s="40">
        <f>AE1181*(1-IF(B1181&gt;=in_marketplace_from,d_hz_hlth_small*G1181,0))</f>
        <v/>
      </c>
      <c r="AF1182" s="46">
        <f>AE1182*IF(B1182&gt;=in_marketplace_from,d_hz_hlth_small*G1182,0)</f>
        <v/>
      </c>
      <c r="AG1182" s="14">
        <f>F1182*AF1182*in_hlth_small_ticket*in_hlth_small_comm*in_ins_partner_share+F1182*in_hlth_small_ticket*in_hlth_small_renew_comm*in_ins_partner_share*(in_hlth_small_renew^1*SUMIFS(AF1166:AF1201,B1166:B1201,B1182-12)+in_hlth_small_renew^2*SUMIFS(AF1166:AF1201,B1166:B1201,B1182-24)+in_hlth_small_renew^3*SUMIFS(AF1166:AF1201,B1166:B1201,B1182-36)+in_hlth_small_renew^4*SUMIFS(AF1166:AF1201,B1166:B1201,B1182-48))</f>
        <v/>
      </c>
      <c r="AH1182" s="40">
        <f>AH1181*(1-IF(B1181&gt;=in_marketplace_from,d_hz_hlth_family*G1181,0))</f>
        <v/>
      </c>
      <c r="AI1182" s="46">
        <f>AH1182*IF(B1182&gt;=in_marketplace_from,d_hz_hlth_family*G1182,0)</f>
        <v/>
      </c>
      <c r="AJ1182" s="14">
        <f>F1182*AI1182*in_hlth_family_ticket*in_hlth_family_comm*in_ins_partner_share+F1182*in_hlth_family_ticket*in_hlth_family_renew_comm*in_ins_partner_share*(in_hlth_family_renew^1*SUMIFS(AI1166:AI1201,B1166:B1201,B1182-12)+in_hlth_family_renew^2*SUMIFS(AI1166:AI1201,B1166:B1201,B1182-24)+in_hlth_family_renew^3*SUMIFS(AI1166:AI1201,B1166:B1201,B1182-36)+in_hlth_family_renew^4*SUMIFS(AI1166:AI1201,B1166:B1201,B1182-48))</f>
        <v/>
      </c>
      <c r="AK1182" s="40">
        <f>AK1181*(1-IF(B1181&gt;=in_marketplace_from,d_hz_life_term*G1181,0))</f>
        <v/>
      </c>
      <c r="AL1182" s="46">
        <f>AK1182*IF(B1182&gt;=in_marketplace_from,d_hz_life_term*G1182,0)</f>
        <v/>
      </c>
      <c r="AM1182" s="14">
        <f>F1182*AL1182*in_life_term_ticket*in_life_term_comm*in_ins_partner_share+F1182*in_life_term_ticket*in_life_term_renew_comm*in_ins_partner_share*(in_life_term_renew^1*SUMIFS(AL1166:AL1201,B1166:B1201,B1182-12)+in_life_term_renew^2*SUMIFS(AL1166:AL1201,B1166:B1201,B1182-24)+in_life_term_renew^3*SUMIFS(AL1166:AL1201,B1166:B1201,B1182-36)+in_life_term_renew^4*SUMIFS(AL1166:AL1201,B1166:B1201,B1182-48))</f>
        <v/>
      </c>
      <c r="AN1182" s="40">
        <f>AN1181*(1-IF(B1181&gt;=in_marketplace_from,d_hz_accident*G1181,0))</f>
        <v/>
      </c>
      <c r="AO1182" s="46">
        <f>AN1182*IF(B1182&gt;=in_marketplace_from,d_hz_accident*G1182,0)</f>
        <v/>
      </c>
      <c r="AP1182" s="14">
        <f>F1182*AO1182*in_accident_ticket*in_accident_comm*in_ins_partner_share+F1182*in_accident_ticket*in_accident_renew_comm*in_ins_partner_share*(in_accident_renew^1*SUMIFS(AO1166:AO1201,B1166:B1201,B1182-12)+in_accident_renew^2*SUMIFS(AO1166:AO1201,B1166:B1201,B1182-24)+in_accident_renew^3*SUMIFS(AO1166:AO1201,B1166:B1201,B1182-36)+in_accident_renew^4*SUMIFS(AO1166:AO1201,B1166:B1201,B1182-48))</f>
        <v/>
      </c>
      <c r="AQ1182" s="40">
        <f>AQ1181*(1-IF(B1181&gt;=in_marketplace_from,d_hz_two_wheeler*G1181,0))</f>
        <v/>
      </c>
      <c r="AR1182" s="46">
        <f>AQ1182*IF(B1182&gt;=in_marketplace_from,d_hz_two_wheeler*G1182,0)</f>
        <v/>
      </c>
      <c r="AS1182" s="14">
        <f>F1182*AR1182*in_two_wheeler_ticket*in_two_wheeler_comm*in_ins_partner_share+F1182*in_two_wheeler_ticket*in_two_wheeler_comm*in_ins_partner_share*(in_two_wheeler_renew^1*SUMIFS(AR1166:AR1201,B1166:B1201,B1182-12)+in_two_wheeler_renew^2*SUMIFS(AR1166:AR1201,B1166:B1201,B1182-24)+in_two_wheeler_renew^3*SUMIFS(AR1166:AR1201,B1166:B1201,B1182-36)+in_two_wheeler_renew^4*SUMIFS(AR1166:AR1201,B1166:B1201,B1182-48))</f>
        <v/>
      </c>
      <c r="AT1182" s="40">
        <f>AT1181*(1-IF(B1181&gt;=in_marketplace_from,d_hz_device*G1181,0))</f>
        <v/>
      </c>
      <c r="AU1182" s="14">
        <f>F1182*AT1182*IF(B1182&gt;=in_marketplace_from,d_hz_device*G1182,0)*in_device_ticket*in_device_comm*in_ins_partner_share</f>
        <v/>
      </c>
      <c r="AV1182" s="40">
        <f>AV1181*(1-IF(B1181&gt;=in_marketplace_from,d_hz_shop*G1181,0))</f>
        <v/>
      </c>
      <c r="AW1182" s="46">
        <f>AV1182*IF(B1182&gt;=in_marketplace_from,d_hz_shop*G1182,0)</f>
        <v/>
      </c>
      <c r="AX1182" s="14">
        <f>F1182*AW1182*in_shop_ticket*in_shop_comm*in_ins_partner_share+F1182*in_shop_ticket*in_shop_renew_comm*in_ins_partner_share*(in_shop_renew^1*SUMIFS(AW1166:AW1201,B1166:B1201,B1182-12)+in_shop_renew^2*SUMIFS(AW1166:AW1201,B1166:B1201,B1182-24)+in_shop_renew^3*SUMIFS(AW1166:AW1201,B1166:B1201,B1182-36)+in_shop_renew^4*SUMIFS(AW1166:AW1201,B1166:B1201,B1182-48))</f>
        <v/>
      </c>
      <c r="AY1182" s="40">
        <f>AY1181*(1-IF(B1181&gt;=in_marketplace_from,d_hz_sip*G1181,0))</f>
        <v/>
      </c>
      <c r="AZ1182" s="40">
        <f>AZ1181*d_rho_sip+AY1182*IF(B1182&gt;=in_marketplace_from,d_hz_sip*G1182,0)</f>
        <v/>
      </c>
      <c r="BA1182" s="40">
        <f>d_rho_sip*(BA1181+AZ1181)</f>
        <v/>
      </c>
      <c r="BB1182" s="14">
        <f>F1182*in_sip_ticket*(BA1182+0.5*AZ1182)*in_sip_comm/12</f>
        <v/>
      </c>
      <c r="BC1182" s="40">
        <f>BC1181*(1-IF(B1181&gt;=in_marketplace_from,d_hz_choti*G1181,0))</f>
        <v/>
      </c>
      <c r="BD1182" s="46">
        <f>BC1182*IF(B1182&gt;=in_marketplace_from,d_hz_choti*G1182,0)</f>
        <v/>
      </c>
      <c r="BE1182" s="14">
        <f>F1182*SUMIFS(BD1166:BD1201,B1166:B1201,B1182-in_choti_months)*in_choti_renew*in_choti_ticket</f>
        <v/>
      </c>
      <c r="BF1182" s="40">
        <f>BF1181*(1-IF(B1181&gt;=in_marketplace_from,d_hz_nps*G1181,0))</f>
        <v/>
      </c>
      <c r="BG1182" s="14">
        <f>F1182*BF1182*IF(B1182&gt;=in_marketplace_from,d_hz_nps*G1182,0)*in_nps_ticket*in_nps_comm</f>
        <v/>
      </c>
      <c r="BH1182" s="40">
        <f>BH1181*(1-IF(B1181&gt;=in_marketplace_from,d_hz_gold*G1181,0))</f>
        <v/>
      </c>
      <c r="BI1182" s="40">
        <f>BI1181*d_rho_gold+BH1182*IF(B1182&gt;=in_marketplace_from,d_hz_gold*G1182,0)</f>
        <v/>
      </c>
      <c r="BJ1182" s="14">
        <f>F1182*BI1182*in_gold_ticket*in_gold_comm</f>
        <v/>
      </c>
      <c r="BK1182" s="40">
        <f>BK1181*(1-IF(B1181&gt;=in_marketplace_from,d_hz_fd*G1181,0))</f>
        <v/>
      </c>
      <c r="BL1182" s="14">
        <f>F1182*BK1182*IF(B1182&gt;=in_marketplace_from,d_hz_fd*G1182,0)*in_fd_ticket*in_fd_comm</f>
        <v/>
      </c>
      <c r="BM1182" s="40">
        <f>BM1181*(1-IF(B1181&gt;=in_marketplace_from,d_hz_recharge*G1181,0))</f>
        <v/>
      </c>
      <c r="BN1182" s="40">
        <f>BN1181*d_rho_recharge+BM1182*IF(B1182&gt;=in_marketplace_from,d_hz_recharge*G1182,0)</f>
        <v/>
      </c>
      <c r="BO1182" s="14">
        <f>F1182*BN1182*in_recharge_ticket*in_recharge_comm/12</f>
        <v/>
      </c>
      <c r="BP1182" s="40">
        <f>BP1181*(1-IF(B1181&gt;=in_marketplace_from,d_hz_bills*G1181,0))</f>
        <v/>
      </c>
      <c r="BQ1182" s="40">
        <f>BQ1181*d_rho_bills+BP1182*IF(B1182&gt;=in_marketplace_from,d_hz_bills*G1182,0)</f>
        <v/>
      </c>
      <c r="BR1182" s="14">
        <f>F1182*BQ1182*in_bills_ticket*in_bills_comm/12</f>
        <v/>
      </c>
      <c r="BS1182" s="40">
        <f>BS1181*(1-IF(B1181&gt;=in_marketplace_from,d_hz_loan_gold*G1181,0))</f>
        <v/>
      </c>
      <c r="BT1182" s="14">
        <f>F1182*BS1182*IF(B1182&gt;=in_marketplace_from,d_hz_loan_gold*G1182,0)*in_loan_gold_ticket*in_loan_gold_comm</f>
        <v/>
      </c>
      <c r="BU1182" s="40">
        <f>BU1181*(1-IF(B1181&gt;=in_marketplace_from,d_hz_loan_cd*G1181,0))</f>
        <v/>
      </c>
      <c r="BV1182" s="14">
        <f>F1182*BU1182*IF(B1182&gt;=in_marketplace_from,d_hz_loan_cd*G1182,0)*in_loan_cd_ticket*in_loan_cd_comm</f>
        <v/>
      </c>
      <c r="BW1182" s="40">
        <f>BW1181*(1-IF(B1181&gt;=in_marketplace_from,d_hz_loan_vehicle*G1181,0))</f>
        <v/>
      </c>
      <c r="BX1182" s="14">
        <f>F1182*BW1182*IF(B1182&gt;=in_marketplace_from,d_hz_loan_vehicle*G1182,0)*in_loan_vehicle_ticket*in_loan_vehicle_comm</f>
        <v/>
      </c>
      <c r="BY1182" s="40">
        <f>BY1181*(1-IF(B1181&gt;=in_marketplace_from,d_hz_loan_home*G1181,0)*BZ1181)</f>
        <v/>
      </c>
      <c r="BZ1182" s="11">
        <f>MIN(in_approval_cap,in_loan_home_approval*INDEX('Age profile'!$O$2:$O$61,B1182)*(1+in_approval_growth)^(D1182-1))</f>
        <v/>
      </c>
      <c r="CA1182" s="14">
        <f>F1182*BY1182*IF(B1182&gt;=in_marketplace_from,d_hz_loan_home*G1182,0)*BZ1182*in_loan_home_ticket*in_loan_home_comm</f>
        <v/>
      </c>
      <c r="CB1182" s="40">
        <f>CB1181*(1-IF(B1181&gt;=in_marketplace_from,d_hz_loan_lap*G1181,0)*CC1181)</f>
        <v/>
      </c>
      <c r="CC1182" s="11">
        <f>MIN(in_approval_cap,in_loan_lap_approval*INDEX('Age profile'!$O$2:$O$61,B1182)*(1+in_approval_growth)^(D1182-1))</f>
        <v/>
      </c>
      <c r="CD1182" s="14">
        <f>F1182*CB1182*IF(B1182&gt;=in_marketplace_from,d_hz_loan_lap*G1182,0)*CC1182*in_loan_lap_ticket*in_loan_lap_comm</f>
        <v/>
      </c>
      <c r="CE1182" s="14">
        <f>AA1182+AB1182+AC1182+AD1182+AG1182+AJ1182+AM1182+AP1182+AS1182+AU1182+AX1182+BB1182+BE1182+BG1182+BJ1182+BL1182+BO1182+BR1182+BT1182+BV1182+BX1182+CA1182+CD1182</f>
        <v/>
      </c>
    </row>
    <row r="1183">
      <c r="A1183" s="39" t="n">
        <v>25</v>
      </c>
      <c r="B1183" s="39" t="n">
        <v>18</v>
      </c>
      <c r="C1183" s="39">
        <f>A1183+B1183-1</f>
        <v/>
      </c>
      <c r="D1183" s="39">
        <f>INT((C1183-1)/12)+1</f>
        <v/>
      </c>
      <c r="E1183" s="44">
        <f>INDEX(Monthly!$B$2:$B$61,A1183)</f>
        <v/>
      </c>
      <c r="F1183" s="44">
        <f>E1183*INDEX('Age profile'!$B$2:$B$61,B1183)</f>
        <v/>
      </c>
      <c r="G1183" s="45">
        <f>MIN(in_takeup_cap,INDEX('Age profile'!$N$2:$N$61,B1183)*(1+in_takeup_growth)^(D1183-1))</f>
        <v/>
      </c>
      <c r="H1183" s="11">
        <f>MIN(in_approval_cap,in_approved_first*INDEX('Age profile'!$O$2:$O$61,B1183)*(1+in_approval_growth)^(D1183-1))</f>
        <v/>
      </c>
      <c r="I1183" s="45">
        <f>G1183*MIN(in_takeup_cap,INDEX('Age profile'!$O$2:$O$61,B1183)*(1+in_approval_growth)^(D1183-1))</f>
        <v/>
      </c>
      <c r="J1183" s="40">
        <f>(J1182-L1182)*F1183/F1182</f>
        <v/>
      </c>
      <c r="K1183" s="40">
        <f>(K1182-M1182)*F1183/F1182+SUMIFS(O1166:O1182,B1166:B1182,B1183-1-d_T)*F1183</f>
        <v/>
      </c>
      <c r="L1183" s="40">
        <f>IF(B1183&gt;=in_marketplace_from,J1183*d_hz*G1183*in_eligible*H1183,0)</f>
        <v/>
      </c>
      <c r="M1183" s="40">
        <f>IF(B1183&gt;=in_marketplace_from,K1183*d_hz*G1183*in_eligible*in_approved_repeat,0)</f>
        <v/>
      </c>
      <c r="N1183" s="40">
        <f>L1183+M1183</f>
        <v/>
      </c>
      <c r="O1183" s="46">
        <f>N1183/F1183</f>
        <v/>
      </c>
      <c r="P1183" s="40">
        <f>F1183-J1183-K1183</f>
        <v/>
      </c>
      <c r="Q1183" s="40">
        <f>IF(B1183&gt;=in_marketplace_from,(J1183+K1183)*d_hz*G1183,0)</f>
        <v/>
      </c>
      <c r="R1183" s="40">
        <f>SUMIFS(N1166:N1201,B1166:B1201,"&gt;="&amp;(B1183-d_T),B1166:B1201,"&lt;="&amp;(B1183-1))</f>
        <v/>
      </c>
      <c r="S1183" s="46">
        <f>(1-d_u)*S1182+IF(d_T&gt;in_topup_lag,SUMIFS(O1166:O1201,B1166:B1201,B1183-in_topup_lag)-d_udrop*SUMIFS(O1166:O1201,B1166:B1201,B1183-d_T),0)</f>
        <v/>
      </c>
      <c r="T1183" s="40">
        <f>F1183*d_u*S1183</f>
        <v/>
      </c>
      <c r="U1183" s="9">
        <f>L1183*in_ticket+M1183*d_rep_ticket</f>
        <v/>
      </c>
      <c r="V1183" s="9">
        <f>U1183+T1183*d_topup_amt</f>
        <v/>
      </c>
      <c r="W1183" s="40">
        <f>N1183+T1183*d_topup_ratio</f>
        <v/>
      </c>
      <c r="X1183" s="40">
        <f>SUMIFS(W1166:W1201,B1166:B1201,B1183-in_dpd_lag)*d_cured</f>
        <v/>
      </c>
      <c r="Y1183" s="40">
        <f>SUMIFS(W1166:W1201,B1166:B1201,B1183-in_rec_lag)*d_recd</f>
        <v/>
      </c>
      <c r="Z1183" s="40">
        <f>IF(AND(B1183&gt;=in_marketplace_from,B1183&lt;in_marketplace_from+in_card_months),in_card_share/in_card_months*F1183*I1183,IF(AND(B1183&gt;=in_marketplace_from+in_card_months,B1183&lt;in_marketplace_from+2*in_card_months),in_card_share*d_card_rem/in_card_months*F1183*MIN(in_takeup_cap,(1+in_takeup_growth)^(D1183-1))*MIN(in_takeup_cap,(1+in_approval_growth)^(D1183-1)),0))</f>
        <v/>
      </c>
      <c r="AA1183" s="14">
        <f>V1183*in_fee*(1-in_taken_back)</f>
        <v/>
      </c>
      <c r="AB1183" s="14">
        <f>SUMIFS(W1166:W1201,B1166:B1201,B1183-in_dpd_lag)*d_dpd</f>
        <v/>
      </c>
      <c r="AC1183" s="14">
        <f>SUMIFS(W1166:W1201,B1166:B1201,B1183-in_rec_lag)*d_rec</f>
        <v/>
      </c>
      <c r="AD1183" s="14">
        <f>Z1183*in_card_fee</f>
        <v/>
      </c>
      <c r="AE1183" s="40">
        <f>AE1182*(1-IF(B1182&gt;=in_marketplace_from,d_hz_hlth_small*G1182,0))</f>
        <v/>
      </c>
      <c r="AF1183" s="46">
        <f>AE1183*IF(B1183&gt;=in_marketplace_from,d_hz_hlth_small*G1183,0)</f>
        <v/>
      </c>
      <c r="AG1183" s="14">
        <f>F1183*AF1183*in_hlth_small_ticket*in_hlth_small_comm*in_ins_partner_share+F1183*in_hlth_small_ticket*in_hlth_small_renew_comm*in_ins_partner_share*(in_hlth_small_renew^1*SUMIFS(AF1166:AF1201,B1166:B1201,B1183-12)+in_hlth_small_renew^2*SUMIFS(AF1166:AF1201,B1166:B1201,B1183-24)+in_hlth_small_renew^3*SUMIFS(AF1166:AF1201,B1166:B1201,B1183-36)+in_hlth_small_renew^4*SUMIFS(AF1166:AF1201,B1166:B1201,B1183-48))</f>
        <v/>
      </c>
      <c r="AH1183" s="40">
        <f>AH1182*(1-IF(B1182&gt;=in_marketplace_from,d_hz_hlth_family*G1182,0))</f>
        <v/>
      </c>
      <c r="AI1183" s="46">
        <f>AH1183*IF(B1183&gt;=in_marketplace_from,d_hz_hlth_family*G1183,0)</f>
        <v/>
      </c>
      <c r="AJ1183" s="14">
        <f>F1183*AI1183*in_hlth_family_ticket*in_hlth_family_comm*in_ins_partner_share+F1183*in_hlth_family_ticket*in_hlth_family_renew_comm*in_ins_partner_share*(in_hlth_family_renew^1*SUMIFS(AI1166:AI1201,B1166:B1201,B1183-12)+in_hlth_family_renew^2*SUMIFS(AI1166:AI1201,B1166:B1201,B1183-24)+in_hlth_family_renew^3*SUMIFS(AI1166:AI1201,B1166:B1201,B1183-36)+in_hlth_family_renew^4*SUMIFS(AI1166:AI1201,B1166:B1201,B1183-48))</f>
        <v/>
      </c>
      <c r="AK1183" s="40">
        <f>AK1182*(1-IF(B1182&gt;=in_marketplace_from,d_hz_life_term*G1182,0))</f>
        <v/>
      </c>
      <c r="AL1183" s="46">
        <f>AK1183*IF(B1183&gt;=in_marketplace_from,d_hz_life_term*G1183,0)</f>
        <v/>
      </c>
      <c r="AM1183" s="14">
        <f>F1183*AL1183*in_life_term_ticket*in_life_term_comm*in_ins_partner_share+F1183*in_life_term_ticket*in_life_term_renew_comm*in_ins_partner_share*(in_life_term_renew^1*SUMIFS(AL1166:AL1201,B1166:B1201,B1183-12)+in_life_term_renew^2*SUMIFS(AL1166:AL1201,B1166:B1201,B1183-24)+in_life_term_renew^3*SUMIFS(AL1166:AL1201,B1166:B1201,B1183-36)+in_life_term_renew^4*SUMIFS(AL1166:AL1201,B1166:B1201,B1183-48))</f>
        <v/>
      </c>
      <c r="AN1183" s="40">
        <f>AN1182*(1-IF(B1182&gt;=in_marketplace_from,d_hz_accident*G1182,0))</f>
        <v/>
      </c>
      <c r="AO1183" s="46">
        <f>AN1183*IF(B1183&gt;=in_marketplace_from,d_hz_accident*G1183,0)</f>
        <v/>
      </c>
      <c r="AP1183" s="14">
        <f>F1183*AO1183*in_accident_ticket*in_accident_comm*in_ins_partner_share+F1183*in_accident_ticket*in_accident_renew_comm*in_ins_partner_share*(in_accident_renew^1*SUMIFS(AO1166:AO1201,B1166:B1201,B1183-12)+in_accident_renew^2*SUMIFS(AO1166:AO1201,B1166:B1201,B1183-24)+in_accident_renew^3*SUMIFS(AO1166:AO1201,B1166:B1201,B1183-36)+in_accident_renew^4*SUMIFS(AO1166:AO1201,B1166:B1201,B1183-48))</f>
        <v/>
      </c>
      <c r="AQ1183" s="40">
        <f>AQ1182*(1-IF(B1182&gt;=in_marketplace_from,d_hz_two_wheeler*G1182,0))</f>
        <v/>
      </c>
      <c r="AR1183" s="46">
        <f>AQ1183*IF(B1183&gt;=in_marketplace_from,d_hz_two_wheeler*G1183,0)</f>
        <v/>
      </c>
      <c r="AS1183" s="14">
        <f>F1183*AR1183*in_two_wheeler_ticket*in_two_wheeler_comm*in_ins_partner_share+F1183*in_two_wheeler_ticket*in_two_wheeler_comm*in_ins_partner_share*(in_two_wheeler_renew^1*SUMIFS(AR1166:AR1201,B1166:B1201,B1183-12)+in_two_wheeler_renew^2*SUMIFS(AR1166:AR1201,B1166:B1201,B1183-24)+in_two_wheeler_renew^3*SUMIFS(AR1166:AR1201,B1166:B1201,B1183-36)+in_two_wheeler_renew^4*SUMIFS(AR1166:AR1201,B1166:B1201,B1183-48))</f>
        <v/>
      </c>
      <c r="AT1183" s="40">
        <f>AT1182*(1-IF(B1182&gt;=in_marketplace_from,d_hz_device*G1182,0))</f>
        <v/>
      </c>
      <c r="AU1183" s="14">
        <f>F1183*AT1183*IF(B1183&gt;=in_marketplace_from,d_hz_device*G1183,0)*in_device_ticket*in_device_comm*in_ins_partner_share</f>
        <v/>
      </c>
      <c r="AV1183" s="40">
        <f>AV1182*(1-IF(B1182&gt;=in_marketplace_from,d_hz_shop*G1182,0))</f>
        <v/>
      </c>
      <c r="AW1183" s="46">
        <f>AV1183*IF(B1183&gt;=in_marketplace_from,d_hz_shop*G1183,0)</f>
        <v/>
      </c>
      <c r="AX1183" s="14">
        <f>F1183*AW1183*in_shop_ticket*in_shop_comm*in_ins_partner_share+F1183*in_shop_ticket*in_shop_renew_comm*in_ins_partner_share*(in_shop_renew^1*SUMIFS(AW1166:AW1201,B1166:B1201,B1183-12)+in_shop_renew^2*SUMIFS(AW1166:AW1201,B1166:B1201,B1183-24)+in_shop_renew^3*SUMIFS(AW1166:AW1201,B1166:B1201,B1183-36)+in_shop_renew^4*SUMIFS(AW1166:AW1201,B1166:B1201,B1183-48))</f>
        <v/>
      </c>
      <c r="AY1183" s="40">
        <f>AY1182*(1-IF(B1182&gt;=in_marketplace_from,d_hz_sip*G1182,0))</f>
        <v/>
      </c>
      <c r="AZ1183" s="40">
        <f>AZ1182*d_rho_sip+AY1183*IF(B1183&gt;=in_marketplace_from,d_hz_sip*G1183,0)</f>
        <v/>
      </c>
      <c r="BA1183" s="40">
        <f>d_rho_sip*(BA1182+AZ1182)</f>
        <v/>
      </c>
      <c r="BB1183" s="14">
        <f>F1183*in_sip_ticket*(BA1183+0.5*AZ1183)*in_sip_comm/12</f>
        <v/>
      </c>
      <c r="BC1183" s="40">
        <f>BC1182*(1-IF(B1182&gt;=in_marketplace_from,d_hz_choti*G1182,0))</f>
        <v/>
      </c>
      <c r="BD1183" s="46">
        <f>BC1183*IF(B1183&gt;=in_marketplace_from,d_hz_choti*G1183,0)</f>
        <v/>
      </c>
      <c r="BE1183" s="14">
        <f>F1183*SUMIFS(BD1166:BD1201,B1166:B1201,B1183-in_choti_months)*in_choti_renew*in_choti_ticket</f>
        <v/>
      </c>
      <c r="BF1183" s="40">
        <f>BF1182*(1-IF(B1182&gt;=in_marketplace_from,d_hz_nps*G1182,0))</f>
        <v/>
      </c>
      <c r="BG1183" s="14">
        <f>F1183*BF1183*IF(B1183&gt;=in_marketplace_from,d_hz_nps*G1183,0)*in_nps_ticket*in_nps_comm</f>
        <v/>
      </c>
      <c r="BH1183" s="40">
        <f>BH1182*(1-IF(B1182&gt;=in_marketplace_from,d_hz_gold*G1182,0))</f>
        <v/>
      </c>
      <c r="BI1183" s="40">
        <f>BI1182*d_rho_gold+BH1183*IF(B1183&gt;=in_marketplace_from,d_hz_gold*G1183,0)</f>
        <v/>
      </c>
      <c r="BJ1183" s="14">
        <f>F1183*BI1183*in_gold_ticket*in_gold_comm</f>
        <v/>
      </c>
      <c r="BK1183" s="40">
        <f>BK1182*(1-IF(B1182&gt;=in_marketplace_from,d_hz_fd*G1182,0))</f>
        <v/>
      </c>
      <c r="BL1183" s="14">
        <f>F1183*BK1183*IF(B1183&gt;=in_marketplace_from,d_hz_fd*G1183,0)*in_fd_ticket*in_fd_comm</f>
        <v/>
      </c>
      <c r="BM1183" s="40">
        <f>BM1182*(1-IF(B1182&gt;=in_marketplace_from,d_hz_recharge*G1182,0))</f>
        <v/>
      </c>
      <c r="BN1183" s="40">
        <f>BN1182*d_rho_recharge+BM1183*IF(B1183&gt;=in_marketplace_from,d_hz_recharge*G1183,0)</f>
        <v/>
      </c>
      <c r="BO1183" s="14">
        <f>F1183*BN1183*in_recharge_ticket*in_recharge_comm/12</f>
        <v/>
      </c>
      <c r="BP1183" s="40">
        <f>BP1182*(1-IF(B1182&gt;=in_marketplace_from,d_hz_bills*G1182,0))</f>
        <v/>
      </c>
      <c r="BQ1183" s="40">
        <f>BQ1182*d_rho_bills+BP1183*IF(B1183&gt;=in_marketplace_from,d_hz_bills*G1183,0)</f>
        <v/>
      </c>
      <c r="BR1183" s="14">
        <f>F1183*BQ1183*in_bills_ticket*in_bills_comm/12</f>
        <v/>
      </c>
      <c r="BS1183" s="40">
        <f>BS1182*(1-IF(B1182&gt;=in_marketplace_from,d_hz_loan_gold*G1182,0))</f>
        <v/>
      </c>
      <c r="BT1183" s="14">
        <f>F1183*BS1183*IF(B1183&gt;=in_marketplace_from,d_hz_loan_gold*G1183,0)*in_loan_gold_ticket*in_loan_gold_comm</f>
        <v/>
      </c>
      <c r="BU1183" s="40">
        <f>BU1182*(1-IF(B1182&gt;=in_marketplace_from,d_hz_loan_cd*G1182,0))</f>
        <v/>
      </c>
      <c r="BV1183" s="14">
        <f>F1183*BU1183*IF(B1183&gt;=in_marketplace_from,d_hz_loan_cd*G1183,0)*in_loan_cd_ticket*in_loan_cd_comm</f>
        <v/>
      </c>
      <c r="BW1183" s="40">
        <f>BW1182*(1-IF(B1182&gt;=in_marketplace_from,d_hz_loan_vehicle*G1182,0))</f>
        <v/>
      </c>
      <c r="BX1183" s="14">
        <f>F1183*BW1183*IF(B1183&gt;=in_marketplace_from,d_hz_loan_vehicle*G1183,0)*in_loan_vehicle_ticket*in_loan_vehicle_comm</f>
        <v/>
      </c>
      <c r="BY1183" s="40">
        <f>BY1182*(1-IF(B1182&gt;=in_marketplace_from,d_hz_loan_home*G1182,0)*BZ1182)</f>
        <v/>
      </c>
      <c r="BZ1183" s="11">
        <f>MIN(in_approval_cap,in_loan_home_approval*INDEX('Age profile'!$O$2:$O$61,B1183)*(1+in_approval_growth)^(D1183-1))</f>
        <v/>
      </c>
      <c r="CA1183" s="14">
        <f>F1183*BY1183*IF(B1183&gt;=in_marketplace_from,d_hz_loan_home*G1183,0)*BZ1183*in_loan_home_ticket*in_loan_home_comm</f>
        <v/>
      </c>
      <c r="CB1183" s="40">
        <f>CB1182*(1-IF(B1182&gt;=in_marketplace_from,d_hz_loan_lap*G1182,0)*CC1182)</f>
        <v/>
      </c>
      <c r="CC1183" s="11">
        <f>MIN(in_approval_cap,in_loan_lap_approval*INDEX('Age profile'!$O$2:$O$61,B1183)*(1+in_approval_growth)^(D1183-1))</f>
        <v/>
      </c>
      <c r="CD1183" s="14">
        <f>F1183*CB1183*IF(B1183&gt;=in_marketplace_from,d_hz_loan_lap*G1183,0)*CC1183*in_loan_lap_ticket*in_loan_lap_comm</f>
        <v/>
      </c>
      <c r="CE1183" s="14">
        <f>AA1183+AB1183+AC1183+AD1183+AG1183+AJ1183+AM1183+AP1183+AS1183+AU1183+AX1183+BB1183+BE1183+BG1183+BJ1183+BL1183+BO1183+BR1183+BT1183+BV1183+BX1183+CA1183+CD1183</f>
        <v/>
      </c>
    </row>
    <row r="1184">
      <c r="A1184" s="39" t="n">
        <v>25</v>
      </c>
      <c r="B1184" s="39" t="n">
        <v>19</v>
      </c>
      <c r="C1184" s="39">
        <f>A1184+B1184-1</f>
        <v/>
      </c>
      <c r="D1184" s="39">
        <f>INT((C1184-1)/12)+1</f>
        <v/>
      </c>
      <c r="E1184" s="44">
        <f>INDEX(Monthly!$B$2:$B$61,A1184)</f>
        <v/>
      </c>
      <c r="F1184" s="44">
        <f>E1184*INDEX('Age profile'!$B$2:$B$61,B1184)</f>
        <v/>
      </c>
      <c r="G1184" s="45">
        <f>MIN(in_takeup_cap,INDEX('Age profile'!$N$2:$N$61,B1184)*(1+in_takeup_growth)^(D1184-1))</f>
        <v/>
      </c>
      <c r="H1184" s="11">
        <f>MIN(in_approval_cap,in_approved_first*INDEX('Age profile'!$O$2:$O$61,B1184)*(1+in_approval_growth)^(D1184-1))</f>
        <v/>
      </c>
      <c r="I1184" s="45">
        <f>G1184*MIN(in_takeup_cap,INDEX('Age profile'!$O$2:$O$61,B1184)*(1+in_approval_growth)^(D1184-1))</f>
        <v/>
      </c>
      <c r="J1184" s="40">
        <f>(J1183-L1183)*F1184/F1183</f>
        <v/>
      </c>
      <c r="K1184" s="40">
        <f>(K1183-M1183)*F1184/F1183+SUMIFS(O1166:O1183,B1166:B1183,B1184-1-d_T)*F1184</f>
        <v/>
      </c>
      <c r="L1184" s="40">
        <f>IF(B1184&gt;=in_marketplace_from,J1184*d_hz*G1184*in_eligible*H1184,0)</f>
        <v/>
      </c>
      <c r="M1184" s="40">
        <f>IF(B1184&gt;=in_marketplace_from,K1184*d_hz*G1184*in_eligible*in_approved_repeat,0)</f>
        <v/>
      </c>
      <c r="N1184" s="40">
        <f>L1184+M1184</f>
        <v/>
      </c>
      <c r="O1184" s="46">
        <f>N1184/F1184</f>
        <v/>
      </c>
      <c r="P1184" s="40">
        <f>F1184-J1184-K1184</f>
        <v/>
      </c>
      <c r="Q1184" s="40">
        <f>IF(B1184&gt;=in_marketplace_from,(J1184+K1184)*d_hz*G1184,0)</f>
        <v/>
      </c>
      <c r="R1184" s="40">
        <f>SUMIFS(N1166:N1201,B1166:B1201,"&gt;="&amp;(B1184-d_T),B1166:B1201,"&lt;="&amp;(B1184-1))</f>
        <v/>
      </c>
      <c r="S1184" s="46">
        <f>(1-d_u)*S1183+IF(d_T&gt;in_topup_lag,SUMIFS(O1166:O1201,B1166:B1201,B1184-in_topup_lag)-d_udrop*SUMIFS(O1166:O1201,B1166:B1201,B1184-d_T),0)</f>
        <v/>
      </c>
      <c r="T1184" s="40">
        <f>F1184*d_u*S1184</f>
        <v/>
      </c>
      <c r="U1184" s="9">
        <f>L1184*in_ticket+M1184*d_rep_ticket</f>
        <v/>
      </c>
      <c r="V1184" s="9">
        <f>U1184+T1184*d_topup_amt</f>
        <v/>
      </c>
      <c r="W1184" s="40">
        <f>N1184+T1184*d_topup_ratio</f>
        <v/>
      </c>
      <c r="X1184" s="40">
        <f>SUMIFS(W1166:W1201,B1166:B1201,B1184-in_dpd_lag)*d_cured</f>
        <v/>
      </c>
      <c r="Y1184" s="40">
        <f>SUMIFS(W1166:W1201,B1166:B1201,B1184-in_rec_lag)*d_recd</f>
        <v/>
      </c>
      <c r="Z1184" s="40">
        <f>IF(AND(B1184&gt;=in_marketplace_from,B1184&lt;in_marketplace_from+in_card_months),in_card_share/in_card_months*F1184*I1184,IF(AND(B1184&gt;=in_marketplace_from+in_card_months,B1184&lt;in_marketplace_from+2*in_card_months),in_card_share*d_card_rem/in_card_months*F1184*MIN(in_takeup_cap,(1+in_takeup_growth)^(D1184-1))*MIN(in_takeup_cap,(1+in_approval_growth)^(D1184-1)),0))</f>
        <v/>
      </c>
      <c r="AA1184" s="14">
        <f>V1184*in_fee*(1-in_taken_back)</f>
        <v/>
      </c>
      <c r="AB1184" s="14">
        <f>SUMIFS(W1166:W1201,B1166:B1201,B1184-in_dpd_lag)*d_dpd</f>
        <v/>
      </c>
      <c r="AC1184" s="14">
        <f>SUMIFS(W1166:W1201,B1166:B1201,B1184-in_rec_lag)*d_rec</f>
        <v/>
      </c>
      <c r="AD1184" s="14">
        <f>Z1184*in_card_fee</f>
        <v/>
      </c>
      <c r="AE1184" s="40">
        <f>AE1183*(1-IF(B1183&gt;=in_marketplace_from,d_hz_hlth_small*G1183,0))</f>
        <v/>
      </c>
      <c r="AF1184" s="46">
        <f>AE1184*IF(B1184&gt;=in_marketplace_from,d_hz_hlth_small*G1184,0)</f>
        <v/>
      </c>
      <c r="AG1184" s="14">
        <f>F1184*AF1184*in_hlth_small_ticket*in_hlth_small_comm*in_ins_partner_share+F1184*in_hlth_small_ticket*in_hlth_small_renew_comm*in_ins_partner_share*(in_hlth_small_renew^1*SUMIFS(AF1166:AF1201,B1166:B1201,B1184-12)+in_hlth_small_renew^2*SUMIFS(AF1166:AF1201,B1166:B1201,B1184-24)+in_hlth_small_renew^3*SUMIFS(AF1166:AF1201,B1166:B1201,B1184-36)+in_hlth_small_renew^4*SUMIFS(AF1166:AF1201,B1166:B1201,B1184-48))</f>
        <v/>
      </c>
      <c r="AH1184" s="40">
        <f>AH1183*(1-IF(B1183&gt;=in_marketplace_from,d_hz_hlth_family*G1183,0))</f>
        <v/>
      </c>
      <c r="AI1184" s="46">
        <f>AH1184*IF(B1184&gt;=in_marketplace_from,d_hz_hlth_family*G1184,0)</f>
        <v/>
      </c>
      <c r="AJ1184" s="14">
        <f>F1184*AI1184*in_hlth_family_ticket*in_hlth_family_comm*in_ins_partner_share+F1184*in_hlth_family_ticket*in_hlth_family_renew_comm*in_ins_partner_share*(in_hlth_family_renew^1*SUMIFS(AI1166:AI1201,B1166:B1201,B1184-12)+in_hlth_family_renew^2*SUMIFS(AI1166:AI1201,B1166:B1201,B1184-24)+in_hlth_family_renew^3*SUMIFS(AI1166:AI1201,B1166:B1201,B1184-36)+in_hlth_family_renew^4*SUMIFS(AI1166:AI1201,B1166:B1201,B1184-48))</f>
        <v/>
      </c>
      <c r="AK1184" s="40">
        <f>AK1183*(1-IF(B1183&gt;=in_marketplace_from,d_hz_life_term*G1183,0))</f>
        <v/>
      </c>
      <c r="AL1184" s="46">
        <f>AK1184*IF(B1184&gt;=in_marketplace_from,d_hz_life_term*G1184,0)</f>
        <v/>
      </c>
      <c r="AM1184" s="14">
        <f>F1184*AL1184*in_life_term_ticket*in_life_term_comm*in_ins_partner_share+F1184*in_life_term_ticket*in_life_term_renew_comm*in_ins_partner_share*(in_life_term_renew^1*SUMIFS(AL1166:AL1201,B1166:B1201,B1184-12)+in_life_term_renew^2*SUMIFS(AL1166:AL1201,B1166:B1201,B1184-24)+in_life_term_renew^3*SUMIFS(AL1166:AL1201,B1166:B1201,B1184-36)+in_life_term_renew^4*SUMIFS(AL1166:AL1201,B1166:B1201,B1184-48))</f>
        <v/>
      </c>
      <c r="AN1184" s="40">
        <f>AN1183*(1-IF(B1183&gt;=in_marketplace_from,d_hz_accident*G1183,0))</f>
        <v/>
      </c>
      <c r="AO1184" s="46">
        <f>AN1184*IF(B1184&gt;=in_marketplace_from,d_hz_accident*G1184,0)</f>
        <v/>
      </c>
      <c r="AP1184" s="14">
        <f>F1184*AO1184*in_accident_ticket*in_accident_comm*in_ins_partner_share+F1184*in_accident_ticket*in_accident_renew_comm*in_ins_partner_share*(in_accident_renew^1*SUMIFS(AO1166:AO1201,B1166:B1201,B1184-12)+in_accident_renew^2*SUMIFS(AO1166:AO1201,B1166:B1201,B1184-24)+in_accident_renew^3*SUMIFS(AO1166:AO1201,B1166:B1201,B1184-36)+in_accident_renew^4*SUMIFS(AO1166:AO1201,B1166:B1201,B1184-48))</f>
        <v/>
      </c>
      <c r="AQ1184" s="40">
        <f>AQ1183*(1-IF(B1183&gt;=in_marketplace_from,d_hz_two_wheeler*G1183,0))</f>
        <v/>
      </c>
      <c r="AR1184" s="46">
        <f>AQ1184*IF(B1184&gt;=in_marketplace_from,d_hz_two_wheeler*G1184,0)</f>
        <v/>
      </c>
      <c r="AS1184" s="14">
        <f>F1184*AR1184*in_two_wheeler_ticket*in_two_wheeler_comm*in_ins_partner_share+F1184*in_two_wheeler_ticket*in_two_wheeler_comm*in_ins_partner_share*(in_two_wheeler_renew^1*SUMIFS(AR1166:AR1201,B1166:B1201,B1184-12)+in_two_wheeler_renew^2*SUMIFS(AR1166:AR1201,B1166:B1201,B1184-24)+in_two_wheeler_renew^3*SUMIFS(AR1166:AR1201,B1166:B1201,B1184-36)+in_two_wheeler_renew^4*SUMIFS(AR1166:AR1201,B1166:B1201,B1184-48))</f>
        <v/>
      </c>
      <c r="AT1184" s="40">
        <f>AT1183*(1-IF(B1183&gt;=in_marketplace_from,d_hz_device*G1183,0))</f>
        <v/>
      </c>
      <c r="AU1184" s="14">
        <f>F1184*AT1184*IF(B1184&gt;=in_marketplace_from,d_hz_device*G1184,0)*in_device_ticket*in_device_comm*in_ins_partner_share</f>
        <v/>
      </c>
      <c r="AV1184" s="40">
        <f>AV1183*(1-IF(B1183&gt;=in_marketplace_from,d_hz_shop*G1183,0))</f>
        <v/>
      </c>
      <c r="AW1184" s="46">
        <f>AV1184*IF(B1184&gt;=in_marketplace_from,d_hz_shop*G1184,0)</f>
        <v/>
      </c>
      <c r="AX1184" s="14">
        <f>F1184*AW1184*in_shop_ticket*in_shop_comm*in_ins_partner_share+F1184*in_shop_ticket*in_shop_renew_comm*in_ins_partner_share*(in_shop_renew^1*SUMIFS(AW1166:AW1201,B1166:B1201,B1184-12)+in_shop_renew^2*SUMIFS(AW1166:AW1201,B1166:B1201,B1184-24)+in_shop_renew^3*SUMIFS(AW1166:AW1201,B1166:B1201,B1184-36)+in_shop_renew^4*SUMIFS(AW1166:AW1201,B1166:B1201,B1184-48))</f>
        <v/>
      </c>
      <c r="AY1184" s="40">
        <f>AY1183*(1-IF(B1183&gt;=in_marketplace_from,d_hz_sip*G1183,0))</f>
        <v/>
      </c>
      <c r="AZ1184" s="40">
        <f>AZ1183*d_rho_sip+AY1184*IF(B1184&gt;=in_marketplace_from,d_hz_sip*G1184,0)</f>
        <v/>
      </c>
      <c r="BA1184" s="40">
        <f>d_rho_sip*(BA1183+AZ1183)</f>
        <v/>
      </c>
      <c r="BB1184" s="14">
        <f>F1184*in_sip_ticket*(BA1184+0.5*AZ1184)*in_sip_comm/12</f>
        <v/>
      </c>
      <c r="BC1184" s="40">
        <f>BC1183*(1-IF(B1183&gt;=in_marketplace_from,d_hz_choti*G1183,0))</f>
        <v/>
      </c>
      <c r="BD1184" s="46">
        <f>BC1184*IF(B1184&gt;=in_marketplace_from,d_hz_choti*G1184,0)</f>
        <v/>
      </c>
      <c r="BE1184" s="14">
        <f>F1184*SUMIFS(BD1166:BD1201,B1166:B1201,B1184-in_choti_months)*in_choti_renew*in_choti_ticket</f>
        <v/>
      </c>
      <c r="BF1184" s="40">
        <f>BF1183*(1-IF(B1183&gt;=in_marketplace_from,d_hz_nps*G1183,0))</f>
        <v/>
      </c>
      <c r="BG1184" s="14">
        <f>F1184*BF1184*IF(B1184&gt;=in_marketplace_from,d_hz_nps*G1184,0)*in_nps_ticket*in_nps_comm</f>
        <v/>
      </c>
      <c r="BH1184" s="40">
        <f>BH1183*(1-IF(B1183&gt;=in_marketplace_from,d_hz_gold*G1183,0))</f>
        <v/>
      </c>
      <c r="BI1184" s="40">
        <f>BI1183*d_rho_gold+BH1184*IF(B1184&gt;=in_marketplace_from,d_hz_gold*G1184,0)</f>
        <v/>
      </c>
      <c r="BJ1184" s="14">
        <f>F1184*BI1184*in_gold_ticket*in_gold_comm</f>
        <v/>
      </c>
      <c r="BK1184" s="40">
        <f>BK1183*(1-IF(B1183&gt;=in_marketplace_from,d_hz_fd*G1183,0))</f>
        <v/>
      </c>
      <c r="BL1184" s="14">
        <f>F1184*BK1184*IF(B1184&gt;=in_marketplace_from,d_hz_fd*G1184,0)*in_fd_ticket*in_fd_comm</f>
        <v/>
      </c>
      <c r="BM1184" s="40">
        <f>BM1183*(1-IF(B1183&gt;=in_marketplace_from,d_hz_recharge*G1183,0))</f>
        <v/>
      </c>
      <c r="BN1184" s="40">
        <f>BN1183*d_rho_recharge+BM1184*IF(B1184&gt;=in_marketplace_from,d_hz_recharge*G1184,0)</f>
        <v/>
      </c>
      <c r="BO1184" s="14">
        <f>F1184*BN1184*in_recharge_ticket*in_recharge_comm/12</f>
        <v/>
      </c>
      <c r="BP1184" s="40">
        <f>BP1183*(1-IF(B1183&gt;=in_marketplace_from,d_hz_bills*G1183,0))</f>
        <v/>
      </c>
      <c r="BQ1184" s="40">
        <f>BQ1183*d_rho_bills+BP1184*IF(B1184&gt;=in_marketplace_from,d_hz_bills*G1184,0)</f>
        <v/>
      </c>
      <c r="BR1184" s="14">
        <f>F1184*BQ1184*in_bills_ticket*in_bills_comm/12</f>
        <v/>
      </c>
      <c r="BS1184" s="40">
        <f>BS1183*(1-IF(B1183&gt;=in_marketplace_from,d_hz_loan_gold*G1183,0))</f>
        <v/>
      </c>
      <c r="BT1184" s="14">
        <f>F1184*BS1184*IF(B1184&gt;=in_marketplace_from,d_hz_loan_gold*G1184,0)*in_loan_gold_ticket*in_loan_gold_comm</f>
        <v/>
      </c>
      <c r="BU1184" s="40">
        <f>BU1183*(1-IF(B1183&gt;=in_marketplace_from,d_hz_loan_cd*G1183,0))</f>
        <v/>
      </c>
      <c r="BV1184" s="14">
        <f>F1184*BU1184*IF(B1184&gt;=in_marketplace_from,d_hz_loan_cd*G1184,0)*in_loan_cd_ticket*in_loan_cd_comm</f>
        <v/>
      </c>
      <c r="BW1184" s="40">
        <f>BW1183*(1-IF(B1183&gt;=in_marketplace_from,d_hz_loan_vehicle*G1183,0))</f>
        <v/>
      </c>
      <c r="BX1184" s="14">
        <f>F1184*BW1184*IF(B1184&gt;=in_marketplace_from,d_hz_loan_vehicle*G1184,0)*in_loan_vehicle_ticket*in_loan_vehicle_comm</f>
        <v/>
      </c>
      <c r="BY1184" s="40">
        <f>BY1183*(1-IF(B1183&gt;=in_marketplace_from,d_hz_loan_home*G1183,0)*BZ1183)</f>
        <v/>
      </c>
      <c r="BZ1184" s="11">
        <f>MIN(in_approval_cap,in_loan_home_approval*INDEX('Age profile'!$O$2:$O$61,B1184)*(1+in_approval_growth)^(D1184-1))</f>
        <v/>
      </c>
      <c r="CA1184" s="14">
        <f>F1184*BY1184*IF(B1184&gt;=in_marketplace_from,d_hz_loan_home*G1184,0)*BZ1184*in_loan_home_ticket*in_loan_home_comm</f>
        <v/>
      </c>
      <c r="CB1184" s="40">
        <f>CB1183*(1-IF(B1183&gt;=in_marketplace_from,d_hz_loan_lap*G1183,0)*CC1183)</f>
        <v/>
      </c>
      <c r="CC1184" s="11">
        <f>MIN(in_approval_cap,in_loan_lap_approval*INDEX('Age profile'!$O$2:$O$61,B1184)*(1+in_approval_growth)^(D1184-1))</f>
        <v/>
      </c>
      <c r="CD1184" s="14">
        <f>F1184*CB1184*IF(B1184&gt;=in_marketplace_from,d_hz_loan_lap*G1184,0)*CC1184*in_loan_lap_ticket*in_loan_lap_comm</f>
        <v/>
      </c>
      <c r="CE1184" s="14">
        <f>AA1184+AB1184+AC1184+AD1184+AG1184+AJ1184+AM1184+AP1184+AS1184+AU1184+AX1184+BB1184+BE1184+BG1184+BJ1184+BL1184+BO1184+BR1184+BT1184+BV1184+BX1184+CA1184+CD1184</f>
        <v/>
      </c>
    </row>
    <row r="1185">
      <c r="A1185" s="39" t="n">
        <v>25</v>
      </c>
      <c r="B1185" s="39" t="n">
        <v>20</v>
      </c>
      <c r="C1185" s="39">
        <f>A1185+B1185-1</f>
        <v/>
      </c>
      <c r="D1185" s="39">
        <f>INT((C1185-1)/12)+1</f>
        <v/>
      </c>
      <c r="E1185" s="44">
        <f>INDEX(Monthly!$B$2:$B$61,A1185)</f>
        <v/>
      </c>
      <c r="F1185" s="44">
        <f>E1185*INDEX('Age profile'!$B$2:$B$61,B1185)</f>
        <v/>
      </c>
      <c r="G1185" s="45">
        <f>MIN(in_takeup_cap,INDEX('Age profile'!$N$2:$N$61,B1185)*(1+in_takeup_growth)^(D1185-1))</f>
        <v/>
      </c>
      <c r="H1185" s="11">
        <f>MIN(in_approval_cap,in_approved_first*INDEX('Age profile'!$O$2:$O$61,B1185)*(1+in_approval_growth)^(D1185-1))</f>
        <v/>
      </c>
      <c r="I1185" s="45">
        <f>G1185*MIN(in_takeup_cap,INDEX('Age profile'!$O$2:$O$61,B1185)*(1+in_approval_growth)^(D1185-1))</f>
        <v/>
      </c>
      <c r="J1185" s="40">
        <f>(J1184-L1184)*F1185/F1184</f>
        <v/>
      </c>
      <c r="K1185" s="40">
        <f>(K1184-M1184)*F1185/F1184+SUMIFS(O1166:O1184,B1166:B1184,B1185-1-d_T)*F1185</f>
        <v/>
      </c>
      <c r="L1185" s="40">
        <f>IF(B1185&gt;=in_marketplace_from,J1185*d_hz*G1185*in_eligible*H1185,0)</f>
        <v/>
      </c>
      <c r="M1185" s="40">
        <f>IF(B1185&gt;=in_marketplace_from,K1185*d_hz*G1185*in_eligible*in_approved_repeat,0)</f>
        <v/>
      </c>
      <c r="N1185" s="40">
        <f>L1185+M1185</f>
        <v/>
      </c>
      <c r="O1185" s="46">
        <f>N1185/F1185</f>
        <v/>
      </c>
      <c r="P1185" s="40">
        <f>F1185-J1185-K1185</f>
        <v/>
      </c>
      <c r="Q1185" s="40">
        <f>IF(B1185&gt;=in_marketplace_from,(J1185+K1185)*d_hz*G1185,0)</f>
        <v/>
      </c>
      <c r="R1185" s="40">
        <f>SUMIFS(N1166:N1201,B1166:B1201,"&gt;="&amp;(B1185-d_T),B1166:B1201,"&lt;="&amp;(B1185-1))</f>
        <v/>
      </c>
      <c r="S1185" s="46">
        <f>(1-d_u)*S1184+IF(d_T&gt;in_topup_lag,SUMIFS(O1166:O1201,B1166:B1201,B1185-in_topup_lag)-d_udrop*SUMIFS(O1166:O1201,B1166:B1201,B1185-d_T),0)</f>
        <v/>
      </c>
      <c r="T1185" s="40">
        <f>F1185*d_u*S1185</f>
        <v/>
      </c>
      <c r="U1185" s="9">
        <f>L1185*in_ticket+M1185*d_rep_ticket</f>
        <v/>
      </c>
      <c r="V1185" s="9">
        <f>U1185+T1185*d_topup_amt</f>
        <v/>
      </c>
      <c r="W1185" s="40">
        <f>N1185+T1185*d_topup_ratio</f>
        <v/>
      </c>
      <c r="X1185" s="40">
        <f>SUMIFS(W1166:W1201,B1166:B1201,B1185-in_dpd_lag)*d_cured</f>
        <v/>
      </c>
      <c r="Y1185" s="40">
        <f>SUMIFS(W1166:W1201,B1166:B1201,B1185-in_rec_lag)*d_recd</f>
        <v/>
      </c>
      <c r="Z1185" s="40">
        <f>IF(AND(B1185&gt;=in_marketplace_from,B1185&lt;in_marketplace_from+in_card_months),in_card_share/in_card_months*F1185*I1185,IF(AND(B1185&gt;=in_marketplace_from+in_card_months,B1185&lt;in_marketplace_from+2*in_card_months),in_card_share*d_card_rem/in_card_months*F1185*MIN(in_takeup_cap,(1+in_takeup_growth)^(D1185-1))*MIN(in_takeup_cap,(1+in_approval_growth)^(D1185-1)),0))</f>
        <v/>
      </c>
      <c r="AA1185" s="14">
        <f>V1185*in_fee*(1-in_taken_back)</f>
        <v/>
      </c>
      <c r="AB1185" s="14">
        <f>SUMIFS(W1166:W1201,B1166:B1201,B1185-in_dpd_lag)*d_dpd</f>
        <v/>
      </c>
      <c r="AC1185" s="14">
        <f>SUMIFS(W1166:W1201,B1166:B1201,B1185-in_rec_lag)*d_rec</f>
        <v/>
      </c>
      <c r="AD1185" s="14">
        <f>Z1185*in_card_fee</f>
        <v/>
      </c>
      <c r="AE1185" s="40">
        <f>AE1184*(1-IF(B1184&gt;=in_marketplace_from,d_hz_hlth_small*G1184,0))</f>
        <v/>
      </c>
      <c r="AF1185" s="46">
        <f>AE1185*IF(B1185&gt;=in_marketplace_from,d_hz_hlth_small*G1185,0)</f>
        <v/>
      </c>
      <c r="AG1185" s="14">
        <f>F1185*AF1185*in_hlth_small_ticket*in_hlth_small_comm*in_ins_partner_share+F1185*in_hlth_small_ticket*in_hlth_small_renew_comm*in_ins_partner_share*(in_hlth_small_renew^1*SUMIFS(AF1166:AF1201,B1166:B1201,B1185-12)+in_hlth_small_renew^2*SUMIFS(AF1166:AF1201,B1166:B1201,B1185-24)+in_hlth_small_renew^3*SUMIFS(AF1166:AF1201,B1166:B1201,B1185-36)+in_hlth_small_renew^4*SUMIFS(AF1166:AF1201,B1166:B1201,B1185-48))</f>
        <v/>
      </c>
      <c r="AH1185" s="40">
        <f>AH1184*(1-IF(B1184&gt;=in_marketplace_from,d_hz_hlth_family*G1184,0))</f>
        <v/>
      </c>
      <c r="AI1185" s="46">
        <f>AH1185*IF(B1185&gt;=in_marketplace_from,d_hz_hlth_family*G1185,0)</f>
        <v/>
      </c>
      <c r="AJ1185" s="14">
        <f>F1185*AI1185*in_hlth_family_ticket*in_hlth_family_comm*in_ins_partner_share+F1185*in_hlth_family_ticket*in_hlth_family_renew_comm*in_ins_partner_share*(in_hlth_family_renew^1*SUMIFS(AI1166:AI1201,B1166:B1201,B1185-12)+in_hlth_family_renew^2*SUMIFS(AI1166:AI1201,B1166:B1201,B1185-24)+in_hlth_family_renew^3*SUMIFS(AI1166:AI1201,B1166:B1201,B1185-36)+in_hlth_family_renew^4*SUMIFS(AI1166:AI1201,B1166:B1201,B1185-48))</f>
        <v/>
      </c>
      <c r="AK1185" s="40">
        <f>AK1184*(1-IF(B1184&gt;=in_marketplace_from,d_hz_life_term*G1184,0))</f>
        <v/>
      </c>
      <c r="AL1185" s="46">
        <f>AK1185*IF(B1185&gt;=in_marketplace_from,d_hz_life_term*G1185,0)</f>
        <v/>
      </c>
      <c r="AM1185" s="14">
        <f>F1185*AL1185*in_life_term_ticket*in_life_term_comm*in_ins_partner_share+F1185*in_life_term_ticket*in_life_term_renew_comm*in_ins_partner_share*(in_life_term_renew^1*SUMIFS(AL1166:AL1201,B1166:B1201,B1185-12)+in_life_term_renew^2*SUMIFS(AL1166:AL1201,B1166:B1201,B1185-24)+in_life_term_renew^3*SUMIFS(AL1166:AL1201,B1166:B1201,B1185-36)+in_life_term_renew^4*SUMIFS(AL1166:AL1201,B1166:B1201,B1185-48))</f>
        <v/>
      </c>
      <c r="AN1185" s="40">
        <f>AN1184*(1-IF(B1184&gt;=in_marketplace_from,d_hz_accident*G1184,0))</f>
        <v/>
      </c>
      <c r="AO1185" s="46">
        <f>AN1185*IF(B1185&gt;=in_marketplace_from,d_hz_accident*G1185,0)</f>
        <v/>
      </c>
      <c r="AP1185" s="14">
        <f>F1185*AO1185*in_accident_ticket*in_accident_comm*in_ins_partner_share+F1185*in_accident_ticket*in_accident_renew_comm*in_ins_partner_share*(in_accident_renew^1*SUMIFS(AO1166:AO1201,B1166:B1201,B1185-12)+in_accident_renew^2*SUMIFS(AO1166:AO1201,B1166:B1201,B1185-24)+in_accident_renew^3*SUMIFS(AO1166:AO1201,B1166:B1201,B1185-36)+in_accident_renew^4*SUMIFS(AO1166:AO1201,B1166:B1201,B1185-48))</f>
        <v/>
      </c>
      <c r="AQ1185" s="40">
        <f>AQ1184*(1-IF(B1184&gt;=in_marketplace_from,d_hz_two_wheeler*G1184,0))</f>
        <v/>
      </c>
      <c r="AR1185" s="46">
        <f>AQ1185*IF(B1185&gt;=in_marketplace_from,d_hz_two_wheeler*G1185,0)</f>
        <v/>
      </c>
      <c r="AS1185" s="14">
        <f>F1185*AR1185*in_two_wheeler_ticket*in_two_wheeler_comm*in_ins_partner_share+F1185*in_two_wheeler_ticket*in_two_wheeler_comm*in_ins_partner_share*(in_two_wheeler_renew^1*SUMIFS(AR1166:AR1201,B1166:B1201,B1185-12)+in_two_wheeler_renew^2*SUMIFS(AR1166:AR1201,B1166:B1201,B1185-24)+in_two_wheeler_renew^3*SUMIFS(AR1166:AR1201,B1166:B1201,B1185-36)+in_two_wheeler_renew^4*SUMIFS(AR1166:AR1201,B1166:B1201,B1185-48))</f>
        <v/>
      </c>
      <c r="AT1185" s="40">
        <f>AT1184*(1-IF(B1184&gt;=in_marketplace_from,d_hz_device*G1184,0))</f>
        <v/>
      </c>
      <c r="AU1185" s="14">
        <f>F1185*AT1185*IF(B1185&gt;=in_marketplace_from,d_hz_device*G1185,0)*in_device_ticket*in_device_comm*in_ins_partner_share</f>
        <v/>
      </c>
      <c r="AV1185" s="40">
        <f>AV1184*(1-IF(B1184&gt;=in_marketplace_from,d_hz_shop*G1184,0))</f>
        <v/>
      </c>
      <c r="AW1185" s="46">
        <f>AV1185*IF(B1185&gt;=in_marketplace_from,d_hz_shop*G1185,0)</f>
        <v/>
      </c>
      <c r="AX1185" s="14">
        <f>F1185*AW1185*in_shop_ticket*in_shop_comm*in_ins_partner_share+F1185*in_shop_ticket*in_shop_renew_comm*in_ins_partner_share*(in_shop_renew^1*SUMIFS(AW1166:AW1201,B1166:B1201,B1185-12)+in_shop_renew^2*SUMIFS(AW1166:AW1201,B1166:B1201,B1185-24)+in_shop_renew^3*SUMIFS(AW1166:AW1201,B1166:B1201,B1185-36)+in_shop_renew^4*SUMIFS(AW1166:AW1201,B1166:B1201,B1185-48))</f>
        <v/>
      </c>
      <c r="AY1185" s="40">
        <f>AY1184*(1-IF(B1184&gt;=in_marketplace_from,d_hz_sip*G1184,0))</f>
        <v/>
      </c>
      <c r="AZ1185" s="40">
        <f>AZ1184*d_rho_sip+AY1185*IF(B1185&gt;=in_marketplace_from,d_hz_sip*G1185,0)</f>
        <v/>
      </c>
      <c r="BA1185" s="40">
        <f>d_rho_sip*(BA1184+AZ1184)</f>
        <v/>
      </c>
      <c r="BB1185" s="14">
        <f>F1185*in_sip_ticket*(BA1185+0.5*AZ1185)*in_sip_comm/12</f>
        <v/>
      </c>
      <c r="BC1185" s="40">
        <f>BC1184*(1-IF(B1184&gt;=in_marketplace_from,d_hz_choti*G1184,0))</f>
        <v/>
      </c>
      <c r="BD1185" s="46">
        <f>BC1185*IF(B1185&gt;=in_marketplace_from,d_hz_choti*G1185,0)</f>
        <v/>
      </c>
      <c r="BE1185" s="14">
        <f>F1185*SUMIFS(BD1166:BD1201,B1166:B1201,B1185-in_choti_months)*in_choti_renew*in_choti_ticket</f>
        <v/>
      </c>
      <c r="BF1185" s="40">
        <f>BF1184*(1-IF(B1184&gt;=in_marketplace_from,d_hz_nps*G1184,0))</f>
        <v/>
      </c>
      <c r="BG1185" s="14">
        <f>F1185*BF1185*IF(B1185&gt;=in_marketplace_from,d_hz_nps*G1185,0)*in_nps_ticket*in_nps_comm</f>
        <v/>
      </c>
      <c r="BH1185" s="40">
        <f>BH1184*(1-IF(B1184&gt;=in_marketplace_from,d_hz_gold*G1184,0))</f>
        <v/>
      </c>
      <c r="BI1185" s="40">
        <f>BI1184*d_rho_gold+BH1185*IF(B1185&gt;=in_marketplace_from,d_hz_gold*G1185,0)</f>
        <v/>
      </c>
      <c r="BJ1185" s="14">
        <f>F1185*BI1185*in_gold_ticket*in_gold_comm</f>
        <v/>
      </c>
      <c r="BK1185" s="40">
        <f>BK1184*(1-IF(B1184&gt;=in_marketplace_from,d_hz_fd*G1184,0))</f>
        <v/>
      </c>
      <c r="BL1185" s="14">
        <f>F1185*BK1185*IF(B1185&gt;=in_marketplace_from,d_hz_fd*G1185,0)*in_fd_ticket*in_fd_comm</f>
        <v/>
      </c>
      <c r="BM1185" s="40">
        <f>BM1184*(1-IF(B1184&gt;=in_marketplace_from,d_hz_recharge*G1184,0))</f>
        <v/>
      </c>
      <c r="BN1185" s="40">
        <f>BN1184*d_rho_recharge+BM1185*IF(B1185&gt;=in_marketplace_from,d_hz_recharge*G1185,0)</f>
        <v/>
      </c>
      <c r="BO1185" s="14">
        <f>F1185*BN1185*in_recharge_ticket*in_recharge_comm/12</f>
        <v/>
      </c>
      <c r="BP1185" s="40">
        <f>BP1184*(1-IF(B1184&gt;=in_marketplace_from,d_hz_bills*G1184,0))</f>
        <v/>
      </c>
      <c r="BQ1185" s="40">
        <f>BQ1184*d_rho_bills+BP1185*IF(B1185&gt;=in_marketplace_from,d_hz_bills*G1185,0)</f>
        <v/>
      </c>
      <c r="BR1185" s="14">
        <f>F1185*BQ1185*in_bills_ticket*in_bills_comm/12</f>
        <v/>
      </c>
      <c r="BS1185" s="40">
        <f>BS1184*(1-IF(B1184&gt;=in_marketplace_from,d_hz_loan_gold*G1184,0))</f>
        <v/>
      </c>
      <c r="BT1185" s="14">
        <f>F1185*BS1185*IF(B1185&gt;=in_marketplace_from,d_hz_loan_gold*G1185,0)*in_loan_gold_ticket*in_loan_gold_comm</f>
        <v/>
      </c>
      <c r="BU1185" s="40">
        <f>BU1184*(1-IF(B1184&gt;=in_marketplace_from,d_hz_loan_cd*G1184,0))</f>
        <v/>
      </c>
      <c r="BV1185" s="14">
        <f>F1185*BU1185*IF(B1185&gt;=in_marketplace_from,d_hz_loan_cd*G1185,0)*in_loan_cd_ticket*in_loan_cd_comm</f>
        <v/>
      </c>
      <c r="BW1185" s="40">
        <f>BW1184*(1-IF(B1184&gt;=in_marketplace_from,d_hz_loan_vehicle*G1184,0))</f>
        <v/>
      </c>
      <c r="BX1185" s="14">
        <f>F1185*BW1185*IF(B1185&gt;=in_marketplace_from,d_hz_loan_vehicle*G1185,0)*in_loan_vehicle_ticket*in_loan_vehicle_comm</f>
        <v/>
      </c>
      <c r="BY1185" s="40">
        <f>BY1184*(1-IF(B1184&gt;=in_marketplace_from,d_hz_loan_home*G1184,0)*BZ1184)</f>
        <v/>
      </c>
      <c r="BZ1185" s="11">
        <f>MIN(in_approval_cap,in_loan_home_approval*INDEX('Age profile'!$O$2:$O$61,B1185)*(1+in_approval_growth)^(D1185-1))</f>
        <v/>
      </c>
      <c r="CA1185" s="14">
        <f>F1185*BY1185*IF(B1185&gt;=in_marketplace_from,d_hz_loan_home*G1185,0)*BZ1185*in_loan_home_ticket*in_loan_home_comm</f>
        <v/>
      </c>
      <c r="CB1185" s="40">
        <f>CB1184*(1-IF(B1184&gt;=in_marketplace_from,d_hz_loan_lap*G1184,0)*CC1184)</f>
        <v/>
      </c>
      <c r="CC1185" s="11">
        <f>MIN(in_approval_cap,in_loan_lap_approval*INDEX('Age profile'!$O$2:$O$61,B1185)*(1+in_approval_growth)^(D1185-1))</f>
        <v/>
      </c>
      <c r="CD1185" s="14">
        <f>F1185*CB1185*IF(B1185&gt;=in_marketplace_from,d_hz_loan_lap*G1185,0)*CC1185*in_loan_lap_ticket*in_loan_lap_comm</f>
        <v/>
      </c>
      <c r="CE1185" s="14">
        <f>AA1185+AB1185+AC1185+AD1185+AG1185+AJ1185+AM1185+AP1185+AS1185+AU1185+AX1185+BB1185+BE1185+BG1185+BJ1185+BL1185+BO1185+BR1185+BT1185+BV1185+BX1185+CA1185+CD1185</f>
        <v/>
      </c>
    </row>
    <row r="1186">
      <c r="A1186" s="39" t="n">
        <v>25</v>
      </c>
      <c r="B1186" s="39" t="n">
        <v>21</v>
      </c>
      <c r="C1186" s="39">
        <f>A1186+B1186-1</f>
        <v/>
      </c>
      <c r="D1186" s="39">
        <f>INT((C1186-1)/12)+1</f>
        <v/>
      </c>
      <c r="E1186" s="44">
        <f>INDEX(Monthly!$B$2:$B$61,A1186)</f>
        <v/>
      </c>
      <c r="F1186" s="44">
        <f>E1186*INDEX('Age profile'!$B$2:$B$61,B1186)</f>
        <v/>
      </c>
      <c r="G1186" s="45">
        <f>MIN(in_takeup_cap,INDEX('Age profile'!$N$2:$N$61,B1186)*(1+in_takeup_growth)^(D1186-1))</f>
        <v/>
      </c>
      <c r="H1186" s="11">
        <f>MIN(in_approval_cap,in_approved_first*INDEX('Age profile'!$O$2:$O$61,B1186)*(1+in_approval_growth)^(D1186-1))</f>
        <v/>
      </c>
      <c r="I1186" s="45">
        <f>G1186*MIN(in_takeup_cap,INDEX('Age profile'!$O$2:$O$61,B1186)*(1+in_approval_growth)^(D1186-1))</f>
        <v/>
      </c>
      <c r="J1186" s="40">
        <f>(J1185-L1185)*F1186/F1185</f>
        <v/>
      </c>
      <c r="K1186" s="40">
        <f>(K1185-M1185)*F1186/F1185+SUMIFS(O1166:O1185,B1166:B1185,B1186-1-d_T)*F1186</f>
        <v/>
      </c>
      <c r="L1186" s="40">
        <f>IF(B1186&gt;=in_marketplace_from,J1186*d_hz*G1186*in_eligible*H1186,0)</f>
        <v/>
      </c>
      <c r="M1186" s="40">
        <f>IF(B1186&gt;=in_marketplace_from,K1186*d_hz*G1186*in_eligible*in_approved_repeat,0)</f>
        <v/>
      </c>
      <c r="N1186" s="40">
        <f>L1186+M1186</f>
        <v/>
      </c>
      <c r="O1186" s="46">
        <f>N1186/F1186</f>
        <v/>
      </c>
      <c r="P1186" s="40">
        <f>F1186-J1186-K1186</f>
        <v/>
      </c>
      <c r="Q1186" s="40">
        <f>IF(B1186&gt;=in_marketplace_from,(J1186+K1186)*d_hz*G1186,0)</f>
        <v/>
      </c>
      <c r="R1186" s="40">
        <f>SUMIFS(N1166:N1201,B1166:B1201,"&gt;="&amp;(B1186-d_T),B1166:B1201,"&lt;="&amp;(B1186-1))</f>
        <v/>
      </c>
      <c r="S1186" s="46">
        <f>(1-d_u)*S1185+IF(d_T&gt;in_topup_lag,SUMIFS(O1166:O1201,B1166:B1201,B1186-in_topup_lag)-d_udrop*SUMIFS(O1166:O1201,B1166:B1201,B1186-d_T),0)</f>
        <v/>
      </c>
      <c r="T1186" s="40">
        <f>F1186*d_u*S1186</f>
        <v/>
      </c>
      <c r="U1186" s="9">
        <f>L1186*in_ticket+M1186*d_rep_ticket</f>
        <v/>
      </c>
      <c r="V1186" s="9">
        <f>U1186+T1186*d_topup_amt</f>
        <v/>
      </c>
      <c r="W1186" s="40">
        <f>N1186+T1186*d_topup_ratio</f>
        <v/>
      </c>
      <c r="X1186" s="40">
        <f>SUMIFS(W1166:W1201,B1166:B1201,B1186-in_dpd_lag)*d_cured</f>
        <v/>
      </c>
      <c r="Y1186" s="40">
        <f>SUMIFS(W1166:W1201,B1166:B1201,B1186-in_rec_lag)*d_recd</f>
        <v/>
      </c>
      <c r="Z1186" s="40">
        <f>IF(AND(B1186&gt;=in_marketplace_from,B1186&lt;in_marketplace_from+in_card_months),in_card_share/in_card_months*F1186*I1186,IF(AND(B1186&gt;=in_marketplace_from+in_card_months,B1186&lt;in_marketplace_from+2*in_card_months),in_card_share*d_card_rem/in_card_months*F1186*MIN(in_takeup_cap,(1+in_takeup_growth)^(D1186-1))*MIN(in_takeup_cap,(1+in_approval_growth)^(D1186-1)),0))</f>
        <v/>
      </c>
      <c r="AA1186" s="14">
        <f>V1186*in_fee*(1-in_taken_back)</f>
        <v/>
      </c>
      <c r="AB1186" s="14">
        <f>SUMIFS(W1166:W1201,B1166:B1201,B1186-in_dpd_lag)*d_dpd</f>
        <v/>
      </c>
      <c r="AC1186" s="14">
        <f>SUMIFS(W1166:W1201,B1166:B1201,B1186-in_rec_lag)*d_rec</f>
        <v/>
      </c>
      <c r="AD1186" s="14">
        <f>Z1186*in_card_fee</f>
        <v/>
      </c>
      <c r="AE1186" s="40">
        <f>AE1185*(1-IF(B1185&gt;=in_marketplace_from,d_hz_hlth_small*G1185,0))</f>
        <v/>
      </c>
      <c r="AF1186" s="46">
        <f>AE1186*IF(B1186&gt;=in_marketplace_from,d_hz_hlth_small*G1186,0)</f>
        <v/>
      </c>
      <c r="AG1186" s="14">
        <f>F1186*AF1186*in_hlth_small_ticket*in_hlth_small_comm*in_ins_partner_share+F1186*in_hlth_small_ticket*in_hlth_small_renew_comm*in_ins_partner_share*(in_hlth_small_renew^1*SUMIFS(AF1166:AF1201,B1166:B1201,B1186-12)+in_hlth_small_renew^2*SUMIFS(AF1166:AF1201,B1166:B1201,B1186-24)+in_hlth_small_renew^3*SUMIFS(AF1166:AF1201,B1166:B1201,B1186-36)+in_hlth_small_renew^4*SUMIFS(AF1166:AF1201,B1166:B1201,B1186-48))</f>
        <v/>
      </c>
      <c r="AH1186" s="40">
        <f>AH1185*(1-IF(B1185&gt;=in_marketplace_from,d_hz_hlth_family*G1185,0))</f>
        <v/>
      </c>
      <c r="AI1186" s="46">
        <f>AH1186*IF(B1186&gt;=in_marketplace_from,d_hz_hlth_family*G1186,0)</f>
        <v/>
      </c>
      <c r="AJ1186" s="14">
        <f>F1186*AI1186*in_hlth_family_ticket*in_hlth_family_comm*in_ins_partner_share+F1186*in_hlth_family_ticket*in_hlth_family_renew_comm*in_ins_partner_share*(in_hlth_family_renew^1*SUMIFS(AI1166:AI1201,B1166:B1201,B1186-12)+in_hlth_family_renew^2*SUMIFS(AI1166:AI1201,B1166:B1201,B1186-24)+in_hlth_family_renew^3*SUMIFS(AI1166:AI1201,B1166:B1201,B1186-36)+in_hlth_family_renew^4*SUMIFS(AI1166:AI1201,B1166:B1201,B1186-48))</f>
        <v/>
      </c>
      <c r="AK1186" s="40">
        <f>AK1185*(1-IF(B1185&gt;=in_marketplace_from,d_hz_life_term*G1185,0))</f>
        <v/>
      </c>
      <c r="AL1186" s="46">
        <f>AK1186*IF(B1186&gt;=in_marketplace_from,d_hz_life_term*G1186,0)</f>
        <v/>
      </c>
      <c r="AM1186" s="14">
        <f>F1186*AL1186*in_life_term_ticket*in_life_term_comm*in_ins_partner_share+F1186*in_life_term_ticket*in_life_term_renew_comm*in_ins_partner_share*(in_life_term_renew^1*SUMIFS(AL1166:AL1201,B1166:B1201,B1186-12)+in_life_term_renew^2*SUMIFS(AL1166:AL1201,B1166:B1201,B1186-24)+in_life_term_renew^3*SUMIFS(AL1166:AL1201,B1166:B1201,B1186-36)+in_life_term_renew^4*SUMIFS(AL1166:AL1201,B1166:B1201,B1186-48))</f>
        <v/>
      </c>
      <c r="AN1186" s="40">
        <f>AN1185*(1-IF(B1185&gt;=in_marketplace_from,d_hz_accident*G1185,0))</f>
        <v/>
      </c>
      <c r="AO1186" s="46">
        <f>AN1186*IF(B1186&gt;=in_marketplace_from,d_hz_accident*G1186,0)</f>
        <v/>
      </c>
      <c r="AP1186" s="14">
        <f>F1186*AO1186*in_accident_ticket*in_accident_comm*in_ins_partner_share+F1186*in_accident_ticket*in_accident_renew_comm*in_ins_partner_share*(in_accident_renew^1*SUMIFS(AO1166:AO1201,B1166:B1201,B1186-12)+in_accident_renew^2*SUMIFS(AO1166:AO1201,B1166:B1201,B1186-24)+in_accident_renew^3*SUMIFS(AO1166:AO1201,B1166:B1201,B1186-36)+in_accident_renew^4*SUMIFS(AO1166:AO1201,B1166:B1201,B1186-48))</f>
        <v/>
      </c>
      <c r="AQ1186" s="40">
        <f>AQ1185*(1-IF(B1185&gt;=in_marketplace_from,d_hz_two_wheeler*G1185,0))</f>
        <v/>
      </c>
      <c r="AR1186" s="46">
        <f>AQ1186*IF(B1186&gt;=in_marketplace_from,d_hz_two_wheeler*G1186,0)</f>
        <v/>
      </c>
      <c r="AS1186" s="14">
        <f>F1186*AR1186*in_two_wheeler_ticket*in_two_wheeler_comm*in_ins_partner_share+F1186*in_two_wheeler_ticket*in_two_wheeler_comm*in_ins_partner_share*(in_two_wheeler_renew^1*SUMIFS(AR1166:AR1201,B1166:B1201,B1186-12)+in_two_wheeler_renew^2*SUMIFS(AR1166:AR1201,B1166:B1201,B1186-24)+in_two_wheeler_renew^3*SUMIFS(AR1166:AR1201,B1166:B1201,B1186-36)+in_two_wheeler_renew^4*SUMIFS(AR1166:AR1201,B1166:B1201,B1186-48))</f>
        <v/>
      </c>
      <c r="AT1186" s="40">
        <f>AT1185*(1-IF(B1185&gt;=in_marketplace_from,d_hz_device*G1185,0))</f>
        <v/>
      </c>
      <c r="AU1186" s="14">
        <f>F1186*AT1186*IF(B1186&gt;=in_marketplace_from,d_hz_device*G1186,0)*in_device_ticket*in_device_comm*in_ins_partner_share</f>
        <v/>
      </c>
      <c r="AV1186" s="40">
        <f>AV1185*(1-IF(B1185&gt;=in_marketplace_from,d_hz_shop*G1185,0))</f>
        <v/>
      </c>
      <c r="AW1186" s="46">
        <f>AV1186*IF(B1186&gt;=in_marketplace_from,d_hz_shop*G1186,0)</f>
        <v/>
      </c>
      <c r="AX1186" s="14">
        <f>F1186*AW1186*in_shop_ticket*in_shop_comm*in_ins_partner_share+F1186*in_shop_ticket*in_shop_renew_comm*in_ins_partner_share*(in_shop_renew^1*SUMIFS(AW1166:AW1201,B1166:B1201,B1186-12)+in_shop_renew^2*SUMIFS(AW1166:AW1201,B1166:B1201,B1186-24)+in_shop_renew^3*SUMIFS(AW1166:AW1201,B1166:B1201,B1186-36)+in_shop_renew^4*SUMIFS(AW1166:AW1201,B1166:B1201,B1186-48))</f>
        <v/>
      </c>
      <c r="AY1186" s="40">
        <f>AY1185*(1-IF(B1185&gt;=in_marketplace_from,d_hz_sip*G1185,0))</f>
        <v/>
      </c>
      <c r="AZ1186" s="40">
        <f>AZ1185*d_rho_sip+AY1186*IF(B1186&gt;=in_marketplace_from,d_hz_sip*G1186,0)</f>
        <v/>
      </c>
      <c r="BA1186" s="40">
        <f>d_rho_sip*(BA1185+AZ1185)</f>
        <v/>
      </c>
      <c r="BB1186" s="14">
        <f>F1186*in_sip_ticket*(BA1186+0.5*AZ1186)*in_sip_comm/12</f>
        <v/>
      </c>
      <c r="BC1186" s="40">
        <f>BC1185*(1-IF(B1185&gt;=in_marketplace_from,d_hz_choti*G1185,0))</f>
        <v/>
      </c>
      <c r="BD1186" s="46">
        <f>BC1186*IF(B1186&gt;=in_marketplace_from,d_hz_choti*G1186,0)</f>
        <v/>
      </c>
      <c r="BE1186" s="14">
        <f>F1186*SUMIFS(BD1166:BD1201,B1166:B1201,B1186-in_choti_months)*in_choti_renew*in_choti_ticket</f>
        <v/>
      </c>
      <c r="BF1186" s="40">
        <f>BF1185*(1-IF(B1185&gt;=in_marketplace_from,d_hz_nps*G1185,0))</f>
        <v/>
      </c>
      <c r="BG1186" s="14">
        <f>F1186*BF1186*IF(B1186&gt;=in_marketplace_from,d_hz_nps*G1186,0)*in_nps_ticket*in_nps_comm</f>
        <v/>
      </c>
      <c r="BH1186" s="40">
        <f>BH1185*(1-IF(B1185&gt;=in_marketplace_from,d_hz_gold*G1185,0))</f>
        <v/>
      </c>
      <c r="BI1186" s="40">
        <f>BI1185*d_rho_gold+BH1186*IF(B1186&gt;=in_marketplace_from,d_hz_gold*G1186,0)</f>
        <v/>
      </c>
      <c r="BJ1186" s="14">
        <f>F1186*BI1186*in_gold_ticket*in_gold_comm</f>
        <v/>
      </c>
      <c r="BK1186" s="40">
        <f>BK1185*(1-IF(B1185&gt;=in_marketplace_from,d_hz_fd*G1185,0))</f>
        <v/>
      </c>
      <c r="BL1186" s="14">
        <f>F1186*BK1186*IF(B1186&gt;=in_marketplace_from,d_hz_fd*G1186,0)*in_fd_ticket*in_fd_comm</f>
        <v/>
      </c>
      <c r="BM1186" s="40">
        <f>BM1185*(1-IF(B1185&gt;=in_marketplace_from,d_hz_recharge*G1185,0))</f>
        <v/>
      </c>
      <c r="BN1186" s="40">
        <f>BN1185*d_rho_recharge+BM1186*IF(B1186&gt;=in_marketplace_from,d_hz_recharge*G1186,0)</f>
        <v/>
      </c>
      <c r="BO1186" s="14">
        <f>F1186*BN1186*in_recharge_ticket*in_recharge_comm/12</f>
        <v/>
      </c>
      <c r="BP1186" s="40">
        <f>BP1185*(1-IF(B1185&gt;=in_marketplace_from,d_hz_bills*G1185,0))</f>
        <v/>
      </c>
      <c r="BQ1186" s="40">
        <f>BQ1185*d_rho_bills+BP1186*IF(B1186&gt;=in_marketplace_from,d_hz_bills*G1186,0)</f>
        <v/>
      </c>
      <c r="BR1186" s="14">
        <f>F1186*BQ1186*in_bills_ticket*in_bills_comm/12</f>
        <v/>
      </c>
      <c r="BS1186" s="40">
        <f>BS1185*(1-IF(B1185&gt;=in_marketplace_from,d_hz_loan_gold*G1185,0))</f>
        <v/>
      </c>
      <c r="BT1186" s="14">
        <f>F1186*BS1186*IF(B1186&gt;=in_marketplace_from,d_hz_loan_gold*G1186,0)*in_loan_gold_ticket*in_loan_gold_comm</f>
        <v/>
      </c>
      <c r="BU1186" s="40">
        <f>BU1185*(1-IF(B1185&gt;=in_marketplace_from,d_hz_loan_cd*G1185,0))</f>
        <v/>
      </c>
      <c r="BV1186" s="14">
        <f>F1186*BU1186*IF(B1186&gt;=in_marketplace_from,d_hz_loan_cd*G1186,0)*in_loan_cd_ticket*in_loan_cd_comm</f>
        <v/>
      </c>
      <c r="BW1186" s="40">
        <f>BW1185*(1-IF(B1185&gt;=in_marketplace_from,d_hz_loan_vehicle*G1185,0))</f>
        <v/>
      </c>
      <c r="BX1186" s="14">
        <f>F1186*BW1186*IF(B1186&gt;=in_marketplace_from,d_hz_loan_vehicle*G1186,0)*in_loan_vehicle_ticket*in_loan_vehicle_comm</f>
        <v/>
      </c>
      <c r="BY1186" s="40">
        <f>BY1185*(1-IF(B1185&gt;=in_marketplace_from,d_hz_loan_home*G1185,0)*BZ1185)</f>
        <v/>
      </c>
      <c r="BZ1186" s="11">
        <f>MIN(in_approval_cap,in_loan_home_approval*INDEX('Age profile'!$O$2:$O$61,B1186)*(1+in_approval_growth)^(D1186-1))</f>
        <v/>
      </c>
      <c r="CA1186" s="14">
        <f>F1186*BY1186*IF(B1186&gt;=in_marketplace_from,d_hz_loan_home*G1186,0)*BZ1186*in_loan_home_ticket*in_loan_home_comm</f>
        <v/>
      </c>
      <c r="CB1186" s="40">
        <f>CB1185*(1-IF(B1185&gt;=in_marketplace_from,d_hz_loan_lap*G1185,0)*CC1185)</f>
        <v/>
      </c>
      <c r="CC1186" s="11">
        <f>MIN(in_approval_cap,in_loan_lap_approval*INDEX('Age profile'!$O$2:$O$61,B1186)*(1+in_approval_growth)^(D1186-1))</f>
        <v/>
      </c>
      <c r="CD1186" s="14">
        <f>F1186*CB1186*IF(B1186&gt;=in_marketplace_from,d_hz_loan_lap*G1186,0)*CC1186*in_loan_lap_ticket*in_loan_lap_comm</f>
        <v/>
      </c>
      <c r="CE1186" s="14">
        <f>AA1186+AB1186+AC1186+AD1186+AG1186+AJ1186+AM1186+AP1186+AS1186+AU1186+AX1186+BB1186+BE1186+BG1186+BJ1186+BL1186+BO1186+BR1186+BT1186+BV1186+BX1186+CA1186+CD1186</f>
        <v/>
      </c>
    </row>
    <row r="1187">
      <c r="A1187" s="39" t="n">
        <v>25</v>
      </c>
      <c r="B1187" s="39" t="n">
        <v>22</v>
      </c>
      <c r="C1187" s="39">
        <f>A1187+B1187-1</f>
        <v/>
      </c>
      <c r="D1187" s="39">
        <f>INT((C1187-1)/12)+1</f>
        <v/>
      </c>
      <c r="E1187" s="44">
        <f>INDEX(Monthly!$B$2:$B$61,A1187)</f>
        <v/>
      </c>
      <c r="F1187" s="44">
        <f>E1187*INDEX('Age profile'!$B$2:$B$61,B1187)</f>
        <v/>
      </c>
      <c r="G1187" s="45">
        <f>MIN(in_takeup_cap,INDEX('Age profile'!$N$2:$N$61,B1187)*(1+in_takeup_growth)^(D1187-1))</f>
        <v/>
      </c>
      <c r="H1187" s="11">
        <f>MIN(in_approval_cap,in_approved_first*INDEX('Age profile'!$O$2:$O$61,B1187)*(1+in_approval_growth)^(D1187-1))</f>
        <v/>
      </c>
      <c r="I1187" s="45">
        <f>G1187*MIN(in_takeup_cap,INDEX('Age profile'!$O$2:$O$61,B1187)*(1+in_approval_growth)^(D1187-1))</f>
        <v/>
      </c>
      <c r="J1187" s="40">
        <f>(J1186-L1186)*F1187/F1186</f>
        <v/>
      </c>
      <c r="K1187" s="40">
        <f>(K1186-M1186)*F1187/F1186+SUMIFS(O1166:O1186,B1166:B1186,B1187-1-d_T)*F1187</f>
        <v/>
      </c>
      <c r="L1187" s="40">
        <f>IF(B1187&gt;=in_marketplace_from,J1187*d_hz*G1187*in_eligible*H1187,0)</f>
        <v/>
      </c>
      <c r="M1187" s="40">
        <f>IF(B1187&gt;=in_marketplace_from,K1187*d_hz*G1187*in_eligible*in_approved_repeat,0)</f>
        <v/>
      </c>
      <c r="N1187" s="40">
        <f>L1187+M1187</f>
        <v/>
      </c>
      <c r="O1187" s="46">
        <f>N1187/F1187</f>
        <v/>
      </c>
      <c r="P1187" s="40">
        <f>F1187-J1187-K1187</f>
        <v/>
      </c>
      <c r="Q1187" s="40">
        <f>IF(B1187&gt;=in_marketplace_from,(J1187+K1187)*d_hz*G1187,0)</f>
        <v/>
      </c>
      <c r="R1187" s="40">
        <f>SUMIFS(N1166:N1201,B1166:B1201,"&gt;="&amp;(B1187-d_T),B1166:B1201,"&lt;="&amp;(B1187-1))</f>
        <v/>
      </c>
      <c r="S1187" s="46">
        <f>(1-d_u)*S1186+IF(d_T&gt;in_topup_lag,SUMIFS(O1166:O1201,B1166:B1201,B1187-in_topup_lag)-d_udrop*SUMIFS(O1166:O1201,B1166:B1201,B1187-d_T),0)</f>
        <v/>
      </c>
      <c r="T1187" s="40">
        <f>F1187*d_u*S1187</f>
        <v/>
      </c>
      <c r="U1187" s="9">
        <f>L1187*in_ticket+M1187*d_rep_ticket</f>
        <v/>
      </c>
      <c r="V1187" s="9">
        <f>U1187+T1187*d_topup_amt</f>
        <v/>
      </c>
      <c r="W1187" s="40">
        <f>N1187+T1187*d_topup_ratio</f>
        <v/>
      </c>
      <c r="X1187" s="40">
        <f>SUMIFS(W1166:W1201,B1166:B1201,B1187-in_dpd_lag)*d_cured</f>
        <v/>
      </c>
      <c r="Y1187" s="40">
        <f>SUMIFS(W1166:W1201,B1166:B1201,B1187-in_rec_lag)*d_recd</f>
        <v/>
      </c>
      <c r="Z1187" s="40">
        <f>IF(AND(B1187&gt;=in_marketplace_from,B1187&lt;in_marketplace_from+in_card_months),in_card_share/in_card_months*F1187*I1187,IF(AND(B1187&gt;=in_marketplace_from+in_card_months,B1187&lt;in_marketplace_from+2*in_card_months),in_card_share*d_card_rem/in_card_months*F1187*MIN(in_takeup_cap,(1+in_takeup_growth)^(D1187-1))*MIN(in_takeup_cap,(1+in_approval_growth)^(D1187-1)),0))</f>
        <v/>
      </c>
      <c r="AA1187" s="14">
        <f>V1187*in_fee*(1-in_taken_back)</f>
        <v/>
      </c>
      <c r="AB1187" s="14">
        <f>SUMIFS(W1166:W1201,B1166:B1201,B1187-in_dpd_lag)*d_dpd</f>
        <v/>
      </c>
      <c r="AC1187" s="14">
        <f>SUMIFS(W1166:W1201,B1166:B1201,B1187-in_rec_lag)*d_rec</f>
        <v/>
      </c>
      <c r="AD1187" s="14">
        <f>Z1187*in_card_fee</f>
        <v/>
      </c>
      <c r="AE1187" s="40">
        <f>AE1186*(1-IF(B1186&gt;=in_marketplace_from,d_hz_hlth_small*G1186,0))</f>
        <v/>
      </c>
      <c r="AF1187" s="46">
        <f>AE1187*IF(B1187&gt;=in_marketplace_from,d_hz_hlth_small*G1187,0)</f>
        <v/>
      </c>
      <c r="AG1187" s="14">
        <f>F1187*AF1187*in_hlth_small_ticket*in_hlth_small_comm*in_ins_partner_share+F1187*in_hlth_small_ticket*in_hlth_small_renew_comm*in_ins_partner_share*(in_hlth_small_renew^1*SUMIFS(AF1166:AF1201,B1166:B1201,B1187-12)+in_hlth_small_renew^2*SUMIFS(AF1166:AF1201,B1166:B1201,B1187-24)+in_hlth_small_renew^3*SUMIFS(AF1166:AF1201,B1166:B1201,B1187-36)+in_hlth_small_renew^4*SUMIFS(AF1166:AF1201,B1166:B1201,B1187-48))</f>
        <v/>
      </c>
      <c r="AH1187" s="40">
        <f>AH1186*(1-IF(B1186&gt;=in_marketplace_from,d_hz_hlth_family*G1186,0))</f>
        <v/>
      </c>
      <c r="AI1187" s="46">
        <f>AH1187*IF(B1187&gt;=in_marketplace_from,d_hz_hlth_family*G1187,0)</f>
        <v/>
      </c>
      <c r="AJ1187" s="14">
        <f>F1187*AI1187*in_hlth_family_ticket*in_hlth_family_comm*in_ins_partner_share+F1187*in_hlth_family_ticket*in_hlth_family_renew_comm*in_ins_partner_share*(in_hlth_family_renew^1*SUMIFS(AI1166:AI1201,B1166:B1201,B1187-12)+in_hlth_family_renew^2*SUMIFS(AI1166:AI1201,B1166:B1201,B1187-24)+in_hlth_family_renew^3*SUMIFS(AI1166:AI1201,B1166:B1201,B1187-36)+in_hlth_family_renew^4*SUMIFS(AI1166:AI1201,B1166:B1201,B1187-48))</f>
        <v/>
      </c>
      <c r="AK1187" s="40">
        <f>AK1186*(1-IF(B1186&gt;=in_marketplace_from,d_hz_life_term*G1186,0))</f>
        <v/>
      </c>
      <c r="AL1187" s="46">
        <f>AK1187*IF(B1187&gt;=in_marketplace_from,d_hz_life_term*G1187,0)</f>
        <v/>
      </c>
      <c r="AM1187" s="14">
        <f>F1187*AL1187*in_life_term_ticket*in_life_term_comm*in_ins_partner_share+F1187*in_life_term_ticket*in_life_term_renew_comm*in_ins_partner_share*(in_life_term_renew^1*SUMIFS(AL1166:AL1201,B1166:B1201,B1187-12)+in_life_term_renew^2*SUMIFS(AL1166:AL1201,B1166:B1201,B1187-24)+in_life_term_renew^3*SUMIFS(AL1166:AL1201,B1166:B1201,B1187-36)+in_life_term_renew^4*SUMIFS(AL1166:AL1201,B1166:B1201,B1187-48))</f>
        <v/>
      </c>
      <c r="AN1187" s="40">
        <f>AN1186*(1-IF(B1186&gt;=in_marketplace_from,d_hz_accident*G1186,0))</f>
        <v/>
      </c>
      <c r="AO1187" s="46">
        <f>AN1187*IF(B1187&gt;=in_marketplace_from,d_hz_accident*G1187,0)</f>
        <v/>
      </c>
      <c r="AP1187" s="14">
        <f>F1187*AO1187*in_accident_ticket*in_accident_comm*in_ins_partner_share+F1187*in_accident_ticket*in_accident_renew_comm*in_ins_partner_share*(in_accident_renew^1*SUMIFS(AO1166:AO1201,B1166:B1201,B1187-12)+in_accident_renew^2*SUMIFS(AO1166:AO1201,B1166:B1201,B1187-24)+in_accident_renew^3*SUMIFS(AO1166:AO1201,B1166:B1201,B1187-36)+in_accident_renew^4*SUMIFS(AO1166:AO1201,B1166:B1201,B1187-48))</f>
        <v/>
      </c>
      <c r="AQ1187" s="40">
        <f>AQ1186*(1-IF(B1186&gt;=in_marketplace_from,d_hz_two_wheeler*G1186,0))</f>
        <v/>
      </c>
      <c r="AR1187" s="46">
        <f>AQ1187*IF(B1187&gt;=in_marketplace_from,d_hz_two_wheeler*G1187,0)</f>
        <v/>
      </c>
      <c r="AS1187" s="14">
        <f>F1187*AR1187*in_two_wheeler_ticket*in_two_wheeler_comm*in_ins_partner_share+F1187*in_two_wheeler_ticket*in_two_wheeler_comm*in_ins_partner_share*(in_two_wheeler_renew^1*SUMIFS(AR1166:AR1201,B1166:B1201,B1187-12)+in_two_wheeler_renew^2*SUMIFS(AR1166:AR1201,B1166:B1201,B1187-24)+in_two_wheeler_renew^3*SUMIFS(AR1166:AR1201,B1166:B1201,B1187-36)+in_two_wheeler_renew^4*SUMIFS(AR1166:AR1201,B1166:B1201,B1187-48))</f>
        <v/>
      </c>
      <c r="AT1187" s="40">
        <f>AT1186*(1-IF(B1186&gt;=in_marketplace_from,d_hz_device*G1186,0))</f>
        <v/>
      </c>
      <c r="AU1187" s="14">
        <f>F1187*AT1187*IF(B1187&gt;=in_marketplace_from,d_hz_device*G1187,0)*in_device_ticket*in_device_comm*in_ins_partner_share</f>
        <v/>
      </c>
      <c r="AV1187" s="40">
        <f>AV1186*(1-IF(B1186&gt;=in_marketplace_from,d_hz_shop*G1186,0))</f>
        <v/>
      </c>
      <c r="AW1187" s="46">
        <f>AV1187*IF(B1187&gt;=in_marketplace_from,d_hz_shop*G1187,0)</f>
        <v/>
      </c>
      <c r="AX1187" s="14">
        <f>F1187*AW1187*in_shop_ticket*in_shop_comm*in_ins_partner_share+F1187*in_shop_ticket*in_shop_renew_comm*in_ins_partner_share*(in_shop_renew^1*SUMIFS(AW1166:AW1201,B1166:B1201,B1187-12)+in_shop_renew^2*SUMIFS(AW1166:AW1201,B1166:B1201,B1187-24)+in_shop_renew^3*SUMIFS(AW1166:AW1201,B1166:B1201,B1187-36)+in_shop_renew^4*SUMIFS(AW1166:AW1201,B1166:B1201,B1187-48))</f>
        <v/>
      </c>
      <c r="AY1187" s="40">
        <f>AY1186*(1-IF(B1186&gt;=in_marketplace_from,d_hz_sip*G1186,0))</f>
        <v/>
      </c>
      <c r="AZ1187" s="40">
        <f>AZ1186*d_rho_sip+AY1187*IF(B1187&gt;=in_marketplace_from,d_hz_sip*G1187,0)</f>
        <v/>
      </c>
      <c r="BA1187" s="40">
        <f>d_rho_sip*(BA1186+AZ1186)</f>
        <v/>
      </c>
      <c r="BB1187" s="14">
        <f>F1187*in_sip_ticket*(BA1187+0.5*AZ1187)*in_sip_comm/12</f>
        <v/>
      </c>
      <c r="BC1187" s="40">
        <f>BC1186*(1-IF(B1186&gt;=in_marketplace_from,d_hz_choti*G1186,0))</f>
        <v/>
      </c>
      <c r="BD1187" s="46">
        <f>BC1187*IF(B1187&gt;=in_marketplace_from,d_hz_choti*G1187,0)</f>
        <v/>
      </c>
      <c r="BE1187" s="14">
        <f>F1187*SUMIFS(BD1166:BD1201,B1166:B1201,B1187-in_choti_months)*in_choti_renew*in_choti_ticket</f>
        <v/>
      </c>
      <c r="BF1187" s="40">
        <f>BF1186*(1-IF(B1186&gt;=in_marketplace_from,d_hz_nps*G1186,0))</f>
        <v/>
      </c>
      <c r="BG1187" s="14">
        <f>F1187*BF1187*IF(B1187&gt;=in_marketplace_from,d_hz_nps*G1187,0)*in_nps_ticket*in_nps_comm</f>
        <v/>
      </c>
      <c r="BH1187" s="40">
        <f>BH1186*(1-IF(B1186&gt;=in_marketplace_from,d_hz_gold*G1186,0))</f>
        <v/>
      </c>
      <c r="BI1187" s="40">
        <f>BI1186*d_rho_gold+BH1187*IF(B1187&gt;=in_marketplace_from,d_hz_gold*G1187,0)</f>
        <v/>
      </c>
      <c r="BJ1187" s="14">
        <f>F1187*BI1187*in_gold_ticket*in_gold_comm</f>
        <v/>
      </c>
      <c r="BK1187" s="40">
        <f>BK1186*(1-IF(B1186&gt;=in_marketplace_from,d_hz_fd*G1186,0))</f>
        <v/>
      </c>
      <c r="BL1187" s="14">
        <f>F1187*BK1187*IF(B1187&gt;=in_marketplace_from,d_hz_fd*G1187,0)*in_fd_ticket*in_fd_comm</f>
        <v/>
      </c>
      <c r="BM1187" s="40">
        <f>BM1186*(1-IF(B1186&gt;=in_marketplace_from,d_hz_recharge*G1186,0))</f>
        <v/>
      </c>
      <c r="BN1187" s="40">
        <f>BN1186*d_rho_recharge+BM1187*IF(B1187&gt;=in_marketplace_from,d_hz_recharge*G1187,0)</f>
        <v/>
      </c>
      <c r="BO1187" s="14">
        <f>F1187*BN1187*in_recharge_ticket*in_recharge_comm/12</f>
        <v/>
      </c>
      <c r="BP1187" s="40">
        <f>BP1186*(1-IF(B1186&gt;=in_marketplace_from,d_hz_bills*G1186,0))</f>
        <v/>
      </c>
      <c r="BQ1187" s="40">
        <f>BQ1186*d_rho_bills+BP1187*IF(B1187&gt;=in_marketplace_from,d_hz_bills*G1187,0)</f>
        <v/>
      </c>
      <c r="BR1187" s="14">
        <f>F1187*BQ1187*in_bills_ticket*in_bills_comm/12</f>
        <v/>
      </c>
      <c r="BS1187" s="40">
        <f>BS1186*(1-IF(B1186&gt;=in_marketplace_from,d_hz_loan_gold*G1186,0))</f>
        <v/>
      </c>
      <c r="BT1187" s="14">
        <f>F1187*BS1187*IF(B1187&gt;=in_marketplace_from,d_hz_loan_gold*G1187,0)*in_loan_gold_ticket*in_loan_gold_comm</f>
        <v/>
      </c>
      <c r="BU1187" s="40">
        <f>BU1186*(1-IF(B1186&gt;=in_marketplace_from,d_hz_loan_cd*G1186,0))</f>
        <v/>
      </c>
      <c r="BV1187" s="14">
        <f>F1187*BU1187*IF(B1187&gt;=in_marketplace_from,d_hz_loan_cd*G1187,0)*in_loan_cd_ticket*in_loan_cd_comm</f>
        <v/>
      </c>
      <c r="BW1187" s="40">
        <f>BW1186*(1-IF(B1186&gt;=in_marketplace_from,d_hz_loan_vehicle*G1186,0))</f>
        <v/>
      </c>
      <c r="BX1187" s="14">
        <f>F1187*BW1187*IF(B1187&gt;=in_marketplace_from,d_hz_loan_vehicle*G1187,0)*in_loan_vehicle_ticket*in_loan_vehicle_comm</f>
        <v/>
      </c>
      <c r="BY1187" s="40">
        <f>BY1186*(1-IF(B1186&gt;=in_marketplace_from,d_hz_loan_home*G1186,0)*BZ1186)</f>
        <v/>
      </c>
      <c r="BZ1187" s="11">
        <f>MIN(in_approval_cap,in_loan_home_approval*INDEX('Age profile'!$O$2:$O$61,B1187)*(1+in_approval_growth)^(D1187-1))</f>
        <v/>
      </c>
      <c r="CA1187" s="14">
        <f>F1187*BY1187*IF(B1187&gt;=in_marketplace_from,d_hz_loan_home*G1187,0)*BZ1187*in_loan_home_ticket*in_loan_home_comm</f>
        <v/>
      </c>
      <c r="CB1187" s="40">
        <f>CB1186*(1-IF(B1186&gt;=in_marketplace_from,d_hz_loan_lap*G1186,0)*CC1186)</f>
        <v/>
      </c>
      <c r="CC1187" s="11">
        <f>MIN(in_approval_cap,in_loan_lap_approval*INDEX('Age profile'!$O$2:$O$61,B1187)*(1+in_approval_growth)^(D1187-1))</f>
        <v/>
      </c>
      <c r="CD1187" s="14">
        <f>F1187*CB1187*IF(B1187&gt;=in_marketplace_from,d_hz_loan_lap*G1187,0)*CC1187*in_loan_lap_ticket*in_loan_lap_comm</f>
        <v/>
      </c>
      <c r="CE1187" s="14">
        <f>AA1187+AB1187+AC1187+AD1187+AG1187+AJ1187+AM1187+AP1187+AS1187+AU1187+AX1187+BB1187+BE1187+BG1187+BJ1187+BL1187+BO1187+BR1187+BT1187+BV1187+BX1187+CA1187+CD1187</f>
        <v/>
      </c>
    </row>
    <row r="1188">
      <c r="A1188" s="39" t="n">
        <v>25</v>
      </c>
      <c r="B1188" s="39" t="n">
        <v>23</v>
      </c>
      <c r="C1188" s="39">
        <f>A1188+B1188-1</f>
        <v/>
      </c>
      <c r="D1188" s="39">
        <f>INT((C1188-1)/12)+1</f>
        <v/>
      </c>
      <c r="E1188" s="44">
        <f>INDEX(Monthly!$B$2:$B$61,A1188)</f>
        <v/>
      </c>
      <c r="F1188" s="44">
        <f>E1188*INDEX('Age profile'!$B$2:$B$61,B1188)</f>
        <v/>
      </c>
      <c r="G1188" s="45">
        <f>MIN(in_takeup_cap,INDEX('Age profile'!$N$2:$N$61,B1188)*(1+in_takeup_growth)^(D1188-1))</f>
        <v/>
      </c>
      <c r="H1188" s="11">
        <f>MIN(in_approval_cap,in_approved_first*INDEX('Age profile'!$O$2:$O$61,B1188)*(1+in_approval_growth)^(D1188-1))</f>
        <v/>
      </c>
      <c r="I1188" s="45">
        <f>G1188*MIN(in_takeup_cap,INDEX('Age profile'!$O$2:$O$61,B1188)*(1+in_approval_growth)^(D1188-1))</f>
        <v/>
      </c>
      <c r="J1188" s="40">
        <f>(J1187-L1187)*F1188/F1187</f>
        <v/>
      </c>
      <c r="K1188" s="40">
        <f>(K1187-M1187)*F1188/F1187+SUMIFS(O1166:O1187,B1166:B1187,B1188-1-d_T)*F1188</f>
        <v/>
      </c>
      <c r="L1188" s="40">
        <f>IF(B1188&gt;=in_marketplace_from,J1188*d_hz*G1188*in_eligible*H1188,0)</f>
        <v/>
      </c>
      <c r="M1188" s="40">
        <f>IF(B1188&gt;=in_marketplace_from,K1188*d_hz*G1188*in_eligible*in_approved_repeat,0)</f>
        <v/>
      </c>
      <c r="N1188" s="40">
        <f>L1188+M1188</f>
        <v/>
      </c>
      <c r="O1188" s="46">
        <f>N1188/F1188</f>
        <v/>
      </c>
      <c r="P1188" s="40">
        <f>F1188-J1188-K1188</f>
        <v/>
      </c>
      <c r="Q1188" s="40">
        <f>IF(B1188&gt;=in_marketplace_from,(J1188+K1188)*d_hz*G1188,0)</f>
        <v/>
      </c>
      <c r="R1188" s="40">
        <f>SUMIFS(N1166:N1201,B1166:B1201,"&gt;="&amp;(B1188-d_T),B1166:B1201,"&lt;="&amp;(B1188-1))</f>
        <v/>
      </c>
      <c r="S1188" s="46">
        <f>(1-d_u)*S1187+IF(d_T&gt;in_topup_lag,SUMIFS(O1166:O1201,B1166:B1201,B1188-in_topup_lag)-d_udrop*SUMIFS(O1166:O1201,B1166:B1201,B1188-d_T),0)</f>
        <v/>
      </c>
      <c r="T1188" s="40">
        <f>F1188*d_u*S1188</f>
        <v/>
      </c>
      <c r="U1188" s="9">
        <f>L1188*in_ticket+M1188*d_rep_ticket</f>
        <v/>
      </c>
      <c r="V1188" s="9">
        <f>U1188+T1188*d_topup_amt</f>
        <v/>
      </c>
      <c r="W1188" s="40">
        <f>N1188+T1188*d_topup_ratio</f>
        <v/>
      </c>
      <c r="X1188" s="40">
        <f>SUMIFS(W1166:W1201,B1166:B1201,B1188-in_dpd_lag)*d_cured</f>
        <v/>
      </c>
      <c r="Y1188" s="40">
        <f>SUMIFS(W1166:W1201,B1166:B1201,B1188-in_rec_lag)*d_recd</f>
        <v/>
      </c>
      <c r="Z1188" s="40">
        <f>IF(AND(B1188&gt;=in_marketplace_from,B1188&lt;in_marketplace_from+in_card_months),in_card_share/in_card_months*F1188*I1188,IF(AND(B1188&gt;=in_marketplace_from+in_card_months,B1188&lt;in_marketplace_from+2*in_card_months),in_card_share*d_card_rem/in_card_months*F1188*MIN(in_takeup_cap,(1+in_takeup_growth)^(D1188-1))*MIN(in_takeup_cap,(1+in_approval_growth)^(D1188-1)),0))</f>
        <v/>
      </c>
      <c r="AA1188" s="14">
        <f>V1188*in_fee*(1-in_taken_back)</f>
        <v/>
      </c>
      <c r="AB1188" s="14">
        <f>SUMIFS(W1166:W1201,B1166:B1201,B1188-in_dpd_lag)*d_dpd</f>
        <v/>
      </c>
      <c r="AC1188" s="14">
        <f>SUMIFS(W1166:W1201,B1166:B1201,B1188-in_rec_lag)*d_rec</f>
        <v/>
      </c>
      <c r="AD1188" s="14">
        <f>Z1188*in_card_fee</f>
        <v/>
      </c>
      <c r="AE1188" s="40">
        <f>AE1187*(1-IF(B1187&gt;=in_marketplace_from,d_hz_hlth_small*G1187,0))</f>
        <v/>
      </c>
      <c r="AF1188" s="46">
        <f>AE1188*IF(B1188&gt;=in_marketplace_from,d_hz_hlth_small*G1188,0)</f>
        <v/>
      </c>
      <c r="AG1188" s="14">
        <f>F1188*AF1188*in_hlth_small_ticket*in_hlth_small_comm*in_ins_partner_share+F1188*in_hlth_small_ticket*in_hlth_small_renew_comm*in_ins_partner_share*(in_hlth_small_renew^1*SUMIFS(AF1166:AF1201,B1166:B1201,B1188-12)+in_hlth_small_renew^2*SUMIFS(AF1166:AF1201,B1166:B1201,B1188-24)+in_hlth_small_renew^3*SUMIFS(AF1166:AF1201,B1166:B1201,B1188-36)+in_hlth_small_renew^4*SUMIFS(AF1166:AF1201,B1166:B1201,B1188-48))</f>
        <v/>
      </c>
      <c r="AH1188" s="40">
        <f>AH1187*(1-IF(B1187&gt;=in_marketplace_from,d_hz_hlth_family*G1187,0))</f>
        <v/>
      </c>
      <c r="AI1188" s="46">
        <f>AH1188*IF(B1188&gt;=in_marketplace_from,d_hz_hlth_family*G1188,0)</f>
        <v/>
      </c>
      <c r="AJ1188" s="14">
        <f>F1188*AI1188*in_hlth_family_ticket*in_hlth_family_comm*in_ins_partner_share+F1188*in_hlth_family_ticket*in_hlth_family_renew_comm*in_ins_partner_share*(in_hlth_family_renew^1*SUMIFS(AI1166:AI1201,B1166:B1201,B1188-12)+in_hlth_family_renew^2*SUMIFS(AI1166:AI1201,B1166:B1201,B1188-24)+in_hlth_family_renew^3*SUMIFS(AI1166:AI1201,B1166:B1201,B1188-36)+in_hlth_family_renew^4*SUMIFS(AI1166:AI1201,B1166:B1201,B1188-48))</f>
        <v/>
      </c>
      <c r="AK1188" s="40">
        <f>AK1187*(1-IF(B1187&gt;=in_marketplace_from,d_hz_life_term*G1187,0))</f>
        <v/>
      </c>
      <c r="AL1188" s="46">
        <f>AK1188*IF(B1188&gt;=in_marketplace_from,d_hz_life_term*G1188,0)</f>
        <v/>
      </c>
      <c r="AM1188" s="14">
        <f>F1188*AL1188*in_life_term_ticket*in_life_term_comm*in_ins_partner_share+F1188*in_life_term_ticket*in_life_term_renew_comm*in_ins_partner_share*(in_life_term_renew^1*SUMIFS(AL1166:AL1201,B1166:B1201,B1188-12)+in_life_term_renew^2*SUMIFS(AL1166:AL1201,B1166:B1201,B1188-24)+in_life_term_renew^3*SUMIFS(AL1166:AL1201,B1166:B1201,B1188-36)+in_life_term_renew^4*SUMIFS(AL1166:AL1201,B1166:B1201,B1188-48))</f>
        <v/>
      </c>
      <c r="AN1188" s="40">
        <f>AN1187*(1-IF(B1187&gt;=in_marketplace_from,d_hz_accident*G1187,0))</f>
        <v/>
      </c>
      <c r="AO1188" s="46">
        <f>AN1188*IF(B1188&gt;=in_marketplace_from,d_hz_accident*G1188,0)</f>
        <v/>
      </c>
      <c r="AP1188" s="14">
        <f>F1188*AO1188*in_accident_ticket*in_accident_comm*in_ins_partner_share+F1188*in_accident_ticket*in_accident_renew_comm*in_ins_partner_share*(in_accident_renew^1*SUMIFS(AO1166:AO1201,B1166:B1201,B1188-12)+in_accident_renew^2*SUMIFS(AO1166:AO1201,B1166:B1201,B1188-24)+in_accident_renew^3*SUMIFS(AO1166:AO1201,B1166:B1201,B1188-36)+in_accident_renew^4*SUMIFS(AO1166:AO1201,B1166:B1201,B1188-48))</f>
        <v/>
      </c>
      <c r="AQ1188" s="40">
        <f>AQ1187*(1-IF(B1187&gt;=in_marketplace_from,d_hz_two_wheeler*G1187,0))</f>
        <v/>
      </c>
      <c r="AR1188" s="46">
        <f>AQ1188*IF(B1188&gt;=in_marketplace_from,d_hz_two_wheeler*G1188,0)</f>
        <v/>
      </c>
      <c r="AS1188" s="14">
        <f>F1188*AR1188*in_two_wheeler_ticket*in_two_wheeler_comm*in_ins_partner_share+F1188*in_two_wheeler_ticket*in_two_wheeler_comm*in_ins_partner_share*(in_two_wheeler_renew^1*SUMIFS(AR1166:AR1201,B1166:B1201,B1188-12)+in_two_wheeler_renew^2*SUMIFS(AR1166:AR1201,B1166:B1201,B1188-24)+in_two_wheeler_renew^3*SUMIFS(AR1166:AR1201,B1166:B1201,B1188-36)+in_two_wheeler_renew^4*SUMIFS(AR1166:AR1201,B1166:B1201,B1188-48))</f>
        <v/>
      </c>
      <c r="AT1188" s="40">
        <f>AT1187*(1-IF(B1187&gt;=in_marketplace_from,d_hz_device*G1187,0))</f>
        <v/>
      </c>
      <c r="AU1188" s="14">
        <f>F1188*AT1188*IF(B1188&gt;=in_marketplace_from,d_hz_device*G1188,0)*in_device_ticket*in_device_comm*in_ins_partner_share</f>
        <v/>
      </c>
      <c r="AV1188" s="40">
        <f>AV1187*(1-IF(B1187&gt;=in_marketplace_from,d_hz_shop*G1187,0))</f>
        <v/>
      </c>
      <c r="AW1188" s="46">
        <f>AV1188*IF(B1188&gt;=in_marketplace_from,d_hz_shop*G1188,0)</f>
        <v/>
      </c>
      <c r="AX1188" s="14">
        <f>F1188*AW1188*in_shop_ticket*in_shop_comm*in_ins_partner_share+F1188*in_shop_ticket*in_shop_renew_comm*in_ins_partner_share*(in_shop_renew^1*SUMIFS(AW1166:AW1201,B1166:B1201,B1188-12)+in_shop_renew^2*SUMIFS(AW1166:AW1201,B1166:B1201,B1188-24)+in_shop_renew^3*SUMIFS(AW1166:AW1201,B1166:B1201,B1188-36)+in_shop_renew^4*SUMIFS(AW1166:AW1201,B1166:B1201,B1188-48))</f>
        <v/>
      </c>
      <c r="AY1188" s="40">
        <f>AY1187*(1-IF(B1187&gt;=in_marketplace_from,d_hz_sip*G1187,0))</f>
        <v/>
      </c>
      <c r="AZ1188" s="40">
        <f>AZ1187*d_rho_sip+AY1188*IF(B1188&gt;=in_marketplace_from,d_hz_sip*G1188,0)</f>
        <v/>
      </c>
      <c r="BA1188" s="40">
        <f>d_rho_sip*(BA1187+AZ1187)</f>
        <v/>
      </c>
      <c r="BB1188" s="14">
        <f>F1188*in_sip_ticket*(BA1188+0.5*AZ1188)*in_sip_comm/12</f>
        <v/>
      </c>
      <c r="BC1188" s="40">
        <f>BC1187*(1-IF(B1187&gt;=in_marketplace_from,d_hz_choti*G1187,0))</f>
        <v/>
      </c>
      <c r="BD1188" s="46">
        <f>BC1188*IF(B1188&gt;=in_marketplace_from,d_hz_choti*G1188,0)</f>
        <v/>
      </c>
      <c r="BE1188" s="14">
        <f>F1188*SUMIFS(BD1166:BD1201,B1166:B1201,B1188-in_choti_months)*in_choti_renew*in_choti_ticket</f>
        <v/>
      </c>
      <c r="BF1188" s="40">
        <f>BF1187*(1-IF(B1187&gt;=in_marketplace_from,d_hz_nps*G1187,0))</f>
        <v/>
      </c>
      <c r="BG1188" s="14">
        <f>F1188*BF1188*IF(B1188&gt;=in_marketplace_from,d_hz_nps*G1188,0)*in_nps_ticket*in_nps_comm</f>
        <v/>
      </c>
      <c r="BH1188" s="40">
        <f>BH1187*(1-IF(B1187&gt;=in_marketplace_from,d_hz_gold*G1187,0))</f>
        <v/>
      </c>
      <c r="BI1188" s="40">
        <f>BI1187*d_rho_gold+BH1188*IF(B1188&gt;=in_marketplace_from,d_hz_gold*G1188,0)</f>
        <v/>
      </c>
      <c r="BJ1188" s="14">
        <f>F1188*BI1188*in_gold_ticket*in_gold_comm</f>
        <v/>
      </c>
      <c r="BK1188" s="40">
        <f>BK1187*(1-IF(B1187&gt;=in_marketplace_from,d_hz_fd*G1187,0))</f>
        <v/>
      </c>
      <c r="BL1188" s="14">
        <f>F1188*BK1188*IF(B1188&gt;=in_marketplace_from,d_hz_fd*G1188,0)*in_fd_ticket*in_fd_comm</f>
        <v/>
      </c>
      <c r="BM1188" s="40">
        <f>BM1187*(1-IF(B1187&gt;=in_marketplace_from,d_hz_recharge*G1187,0))</f>
        <v/>
      </c>
      <c r="BN1188" s="40">
        <f>BN1187*d_rho_recharge+BM1188*IF(B1188&gt;=in_marketplace_from,d_hz_recharge*G1188,0)</f>
        <v/>
      </c>
      <c r="BO1188" s="14">
        <f>F1188*BN1188*in_recharge_ticket*in_recharge_comm/12</f>
        <v/>
      </c>
      <c r="BP1188" s="40">
        <f>BP1187*(1-IF(B1187&gt;=in_marketplace_from,d_hz_bills*G1187,0))</f>
        <v/>
      </c>
      <c r="BQ1188" s="40">
        <f>BQ1187*d_rho_bills+BP1188*IF(B1188&gt;=in_marketplace_from,d_hz_bills*G1188,0)</f>
        <v/>
      </c>
      <c r="BR1188" s="14">
        <f>F1188*BQ1188*in_bills_ticket*in_bills_comm/12</f>
        <v/>
      </c>
      <c r="BS1188" s="40">
        <f>BS1187*(1-IF(B1187&gt;=in_marketplace_from,d_hz_loan_gold*G1187,0))</f>
        <v/>
      </c>
      <c r="BT1188" s="14">
        <f>F1188*BS1188*IF(B1188&gt;=in_marketplace_from,d_hz_loan_gold*G1188,0)*in_loan_gold_ticket*in_loan_gold_comm</f>
        <v/>
      </c>
      <c r="BU1188" s="40">
        <f>BU1187*(1-IF(B1187&gt;=in_marketplace_from,d_hz_loan_cd*G1187,0))</f>
        <v/>
      </c>
      <c r="BV1188" s="14">
        <f>F1188*BU1188*IF(B1188&gt;=in_marketplace_from,d_hz_loan_cd*G1188,0)*in_loan_cd_ticket*in_loan_cd_comm</f>
        <v/>
      </c>
      <c r="BW1188" s="40">
        <f>BW1187*(1-IF(B1187&gt;=in_marketplace_from,d_hz_loan_vehicle*G1187,0))</f>
        <v/>
      </c>
      <c r="BX1188" s="14">
        <f>F1188*BW1188*IF(B1188&gt;=in_marketplace_from,d_hz_loan_vehicle*G1188,0)*in_loan_vehicle_ticket*in_loan_vehicle_comm</f>
        <v/>
      </c>
      <c r="BY1188" s="40">
        <f>BY1187*(1-IF(B1187&gt;=in_marketplace_from,d_hz_loan_home*G1187,0)*BZ1187)</f>
        <v/>
      </c>
      <c r="BZ1188" s="11">
        <f>MIN(in_approval_cap,in_loan_home_approval*INDEX('Age profile'!$O$2:$O$61,B1188)*(1+in_approval_growth)^(D1188-1))</f>
        <v/>
      </c>
      <c r="CA1188" s="14">
        <f>F1188*BY1188*IF(B1188&gt;=in_marketplace_from,d_hz_loan_home*G1188,0)*BZ1188*in_loan_home_ticket*in_loan_home_comm</f>
        <v/>
      </c>
      <c r="CB1188" s="40">
        <f>CB1187*(1-IF(B1187&gt;=in_marketplace_from,d_hz_loan_lap*G1187,0)*CC1187)</f>
        <v/>
      </c>
      <c r="CC1188" s="11">
        <f>MIN(in_approval_cap,in_loan_lap_approval*INDEX('Age profile'!$O$2:$O$61,B1188)*(1+in_approval_growth)^(D1188-1))</f>
        <v/>
      </c>
      <c r="CD1188" s="14">
        <f>F1188*CB1188*IF(B1188&gt;=in_marketplace_from,d_hz_loan_lap*G1188,0)*CC1188*in_loan_lap_ticket*in_loan_lap_comm</f>
        <v/>
      </c>
      <c r="CE1188" s="14">
        <f>AA1188+AB1188+AC1188+AD1188+AG1188+AJ1188+AM1188+AP1188+AS1188+AU1188+AX1188+BB1188+BE1188+BG1188+BJ1188+BL1188+BO1188+BR1188+BT1188+BV1188+BX1188+CA1188+CD1188</f>
        <v/>
      </c>
    </row>
    <row r="1189">
      <c r="A1189" s="39" t="n">
        <v>25</v>
      </c>
      <c r="B1189" s="39" t="n">
        <v>24</v>
      </c>
      <c r="C1189" s="39">
        <f>A1189+B1189-1</f>
        <v/>
      </c>
      <c r="D1189" s="39">
        <f>INT((C1189-1)/12)+1</f>
        <v/>
      </c>
      <c r="E1189" s="44">
        <f>INDEX(Monthly!$B$2:$B$61,A1189)</f>
        <v/>
      </c>
      <c r="F1189" s="44">
        <f>E1189*INDEX('Age profile'!$B$2:$B$61,B1189)</f>
        <v/>
      </c>
      <c r="G1189" s="45">
        <f>MIN(in_takeup_cap,INDEX('Age profile'!$N$2:$N$61,B1189)*(1+in_takeup_growth)^(D1189-1))</f>
        <v/>
      </c>
      <c r="H1189" s="11">
        <f>MIN(in_approval_cap,in_approved_first*INDEX('Age profile'!$O$2:$O$61,B1189)*(1+in_approval_growth)^(D1189-1))</f>
        <v/>
      </c>
      <c r="I1189" s="45">
        <f>G1189*MIN(in_takeup_cap,INDEX('Age profile'!$O$2:$O$61,B1189)*(1+in_approval_growth)^(D1189-1))</f>
        <v/>
      </c>
      <c r="J1189" s="40">
        <f>(J1188-L1188)*F1189/F1188</f>
        <v/>
      </c>
      <c r="K1189" s="40">
        <f>(K1188-M1188)*F1189/F1188+SUMIFS(O1166:O1188,B1166:B1188,B1189-1-d_T)*F1189</f>
        <v/>
      </c>
      <c r="L1189" s="40">
        <f>IF(B1189&gt;=in_marketplace_from,J1189*d_hz*G1189*in_eligible*H1189,0)</f>
        <v/>
      </c>
      <c r="M1189" s="40">
        <f>IF(B1189&gt;=in_marketplace_from,K1189*d_hz*G1189*in_eligible*in_approved_repeat,0)</f>
        <v/>
      </c>
      <c r="N1189" s="40">
        <f>L1189+M1189</f>
        <v/>
      </c>
      <c r="O1189" s="46">
        <f>N1189/F1189</f>
        <v/>
      </c>
      <c r="P1189" s="40">
        <f>F1189-J1189-K1189</f>
        <v/>
      </c>
      <c r="Q1189" s="40">
        <f>IF(B1189&gt;=in_marketplace_from,(J1189+K1189)*d_hz*G1189,0)</f>
        <v/>
      </c>
      <c r="R1189" s="40">
        <f>SUMIFS(N1166:N1201,B1166:B1201,"&gt;="&amp;(B1189-d_T),B1166:B1201,"&lt;="&amp;(B1189-1))</f>
        <v/>
      </c>
      <c r="S1189" s="46">
        <f>(1-d_u)*S1188+IF(d_T&gt;in_topup_lag,SUMIFS(O1166:O1201,B1166:B1201,B1189-in_topup_lag)-d_udrop*SUMIFS(O1166:O1201,B1166:B1201,B1189-d_T),0)</f>
        <v/>
      </c>
      <c r="T1189" s="40">
        <f>F1189*d_u*S1189</f>
        <v/>
      </c>
      <c r="U1189" s="9">
        <f>L1189*in_ticket+M1189*d_rep_ticket</f>
        <v/>
      </c>
      <c r="V1189" s="9">
        <f>U1189+T1189*d_topup_amt</f>
        <v/>
      </c>
      <c r="W1189" s="40">
        <f>N1189+T1189*d_topup_ratio</f>
        <v/>
      </c>
      <c r="X1189" s="40">
        <f>SUMIFS(W1166:W1201,B1166:B1201,B1189-in_dpd_lag)*d_cured</f>
        <v/>
      </c>
      <c r="Y1189" s="40">
        <f>SUMIFS(W1166:W1201,B1166:B1201,B1189-in_rec_lag)*d_recd</f>
        <v/>
      </c>
      <c r="Z1189" s="40">
        <f>IF(AND(B1189&gt;=in_marketplace_from,B1189&lt;in_marketplace_from+in_card_months),in_card_share/in_card_months*F1189*I1189,IF(AND(B1189&gt;=in_marketplace_from+in_card_months,B1189&lt;in_marketplace_from+2*in_card_months),in_card_share*d_card_rem/in_card_months*F1189*MIN(in_takeup_cap,(1+in_takeup_growth)^(D1189-1))*MIN(in_takeup_cap,(1+in_approval_growth)^(D1189-1)),0))</f>
        <v/>
      </c>
      <c r="AA1189" s="14">
        <f>V1189*in_fee*(1-in_taken_back)</f>
        <v/>
      </c>
      <c r="AB1189" s="14">
        <f>SUMIFS(W1166:W1201,B1166:B1201,B1189-in_dpd_lag)*d_dpd</f>
        <v/>
      </c>
      <c r="AC1189" s="14">
        <f>SUMIFS(W1166:W1201,B1166:B1201,B1189-in_rec_lag)*d_rec</f>
        <v/>
      </c>
      <c r="AD1189" s="14">
        <f>Z1189*in_card_fee</f>
        <v/>
      </c>
      <c r="AE1189" s="40">
        <f>AE1188*(1-IF(B1188&gt;=in_marketplace_from,d_hz_hlth_small*G1188,0))</f>
        <v/>
      </c>
      <c r="AF1189" s="46">
        <f>AE1189*IF(B1189&gt;=in_marketplace_from,d_hz_hlth_small*G1189,0)</f>
        <v/>
      </c>
      <c r="AG1189" s="14">
        <f>F1189*AF1189*in_hlth_small_ticket*in_hlth_small_comm*in_ins_partner_share+F1189*in_hlth_small_ticket*in_hlth_small_renew_comm*in_ins_partner_share*(in_hlth_small_renew^1*SUMIFS(AF1166:AF1201,B1166:B1201,B1189-12)+in_hlth_small_renew^2*SUMIFS(AF1166:AF1201,B1166:B1201,B1189-24)+in_hlth_small_renew^3*SUMIFS(AF1166:AF1201,B1166:B1201,B1189-36)+in_hlth_small_renew^4*SUMIFS(AF1166:AF1201,B1166:B1201,B1189-48))</f>
        <v/>
      </c>
      <c r="AH1189" s="40">
        <f>AH1188*(1-IF(B1188&gt;=in_marketplace_from,d_hz_hlth_family*G1188,0))</f>
        <v/>
      </c>
      <c r="AI1189" s="46">
        <f>AH1189*IF(B1189&gt;=in_marketplace_from,d_hz_hlth_family*G1189,0)</f>
        <v/>
      </c>
      <c r="AJ1189" s="14">
        <f>F1189*AI1189*in_hlth_family_ticket*in_hlth_family_comm*in_ins_partner_share+F1189*in_hlth_family_ticket*in_hlth_family_renew_comm*in_ins_partner_share*(in_hlth_family_renew^1*SUMIFS(AI1166:AI1201,B1166:B1201,B1189-12)+in_hlth_family_renew^2*SUMIFS(AI1166:AI1201,B1166:B1201,B1189-24)+in_hlth_family_renew^3*SUMIFS(AI1166:AI1201,B1166:B1201,B1189-36)+in_hlth_family_renew^4*SUMIFS(AI1166:AI1201,B1166:B1201,B1189-48))</f>
        <v/>
      </c>
      <c r="AK1189" s="40">
        <f>AK1188*(1-IF(B1188&gt;=in_marketplace_from,d_hz_life_term*G1188,0))</f>
        <v/>
      </c>
      <c r="AL1189" s="46">
        <f>AK1189*IF(B1189&gt;=in_marketplace_from,d_hz_life_term*G1189,0)</f>
        <v/>
      </c>
      <c r="AM1189" s="14">
        <f>F1189*AL1189*in_life_term_ticket*in_life_term_comm*in_ins_partner_share+F1189*in_life_term_ticket*in_life_term_renew_comm*in_ins_partner_share*(in_life_term_renew^1*SUMIFS(AL1166:AL1201,B1166:B1201,B1189-12)+in_life_term_renew^2*SUMIFS(AL1166:AL1201,B1166:B1201,B1189-24)+in_life_term_renew^3*SUMIFS(AL1166:AL1201,B1166:B1201,B1189-36)+in_life_term_renew^4*SUMIFS(AL1166:AL1201,B1166:B1201,B1189-48))</f>
        <v/>
      </c>
      <c r="AN1189" s="40">
        <f>AN1188*(1-IF(B1188&gt;=in_marketplace_from,d_hz_accident*G1188,0))</f>
        <v/>
      </c>
      <c r="AO1189" s="46">
        <f>AN1189*IF(B1189&gt;=in_marketplace_from,d_hz_accident*G1189,0)</f>
        <v/>
      </c>
      <c r="AP1189" s="14">
        <f>F1189*AO1189*in_accident_ticket*in_accident_comm*in_ins_partner_share+F1189*in_accident_ticket*in_accident_renew_comm*in_ins_partner_share*(in_accident_renew^1*SUMIFS(AO1166:AO1201,B1166:B1201,B1189-12)+in_accident_renew^2*SUMIFS(AO1166:AO1201,B1166:B1201,B1189-24)+in_accident_renew^3*SUMIFS(AO1166:AO1201,B1166:B1201,B1189-36)+in_accident_renew^4*SUMIFS(AO1166:AO1201,B1166:B1201,B1189-48))</f>
        <v/>
      </c>
      <c r="AQ1189" s="40">
        <f>AQ1188*(1-IF(B1188&gt;=in_marketplace_from,d_hz_two_wheeler*G1188,0))</f>
        <v/>
      </c>
      <c r="AR1189" s="46">
        <f>AQ1189*IF(B1189&gt;=in_marketplace_from,d_hz_two_wheeler*G1189,0)</f>
        <v/>
      </c>
      <c r="AS1189" s="14">
        <f>F1189*AR1189*in_two_wheeler_ticket*in_two_wheeler_comm*in_ins_partner_share+F1189*in_two_wheeler_ticket*in_two_wheeler_comm*in_ins_partner_share*(in_two_wheeler_renew^1*SUMIFS(AR1166:AR1201,B1166:B1201,B1189-12)+in_two_wheeler_renew^2*SUMIFS(AR1166:AR1201,B1166:B1201,B1189-24)+in_two_wheeler_renew^3*SUMIFS(AR1166:AR1201,B1166:B1201,B1189-36)+in_two_wheeler_renew^4*SUMIFS(AR1166:AR1201,B1166:B1201,B1189-48))</f>
        <v/>
      </c>
      <c r="AT1189" s="40">
        <f>AT1188*(1-IF(B1188&gt;=in_marketplace_from,d_hz_device*G1188,0))</f>
        <v/>
      </c>
      <c r="AU1189" s="14">
        <f>F1189*AT1189*IF(B1189&gt;=in_marketplace_from,d_hz_device*G1189,0)*in_device_ticket*in_device_comm*in_ins_partner_share</f>
        <v/>
      </c>
      <c r="AV1189" s="40">
        <f>AV1188*(1-IF(B1188&gt;=in_marketplace_from,d_hz_shop*G1188,0))</f>
        <v/>
      </c>
      <c r="AW1189" s="46">
        <f>AV1189*IF(B1189&gt;=in_marketplace_from,d_hz_shop*G1189,0)</f>
        <v/>
      </c>
      <c r="AX1189" s="14">
        <f>F1189*AW1189*in_shop_ticket*in_shop_comm*in_ins_partner_share+F1189*in_shop_ticket*in_shop_renew_comm*in_ins_partner_share*(in_shop_renew^1*SUMIFS(AW1166:AW1201,B1166:B1201,B1189-12)+in_shop_renew^2*SUMIFS(AW1166:AW1201,B1166:B1201,B1189-24)+in_shop_renew^3*SUMIFS(AW1166:AW1201,B1166:B1201,B1189-36)+in_shop_renew^4*SUMIFS(AW1166:AW1201,B1166:B1201,B1189-48))</f>
        <v/>
      </c>
      <c r="AY1189" s="40">
        <f>AY1188*(1-IF(B1188&gt;=in_marketplace_from,d_hz_sip*G1188,0))</f>
        <v/>
      </c>
      <c r="AZ1189" s="40">
        <f>AZ1188*d_rho_sip+AY1189*IF(B1189&gt;=in_marketplace_from,d_hz_sip*G1189,0)</f>
        <v/>
      </c>
      <c r="BA1189" s="40">
        <f>d_rho_sip*(BA1188+AZ1188)</f>
        <v/>
      </c>
      <c r="BB1189" s="14">
        <f>F1189*in_sip_ticket*(BA1189+0.5*AZ1189)*in_sip_comm/12</f>
        <v/>
      </c>
      <c r="BC1189" s="40">
        <f>BC1188*(1-IF(B1188&gt;=in_marketplace_from,d_hz_choti*G1188,0))</f>
        <v/>
      </c>
      <c r="BD1189" s="46">
        <f>BC1189*IF(B1189&gt;=in_marketplace_from,d_hz_choti*G1189,0)</f>
        <v/>
      </c>
      <c r="BE1189" s="14">
        <f>F1189*SUMIFS(BD1166:BD1201,B1166:B1201,B1189-in_choti_months)*in_choti_renew*in_choti_ticket</f>
        <v/>
      </c>
      <c r="BF1189" s="40">
        <f>BF1188*(1-IF(B1188&gt;=in_marketplace_from,d_hz_nps*G1188,0))</f>
        <v/>
      </c>
      <c r="BG1189" s="14">
        <f>F1189*BF1189*IF(B1189&gt;=in_marketplace_from,d_hz_nps*G1189,0)*in_nps_ticket*in_nps_comm</f>
        <v/>
      </c>
      <c r="BH1189" s="40">
        <f>BH1188*(1-IF(B1188&gt;=in_marketplace_from,d_hz_gold*G1188,0))</f>
        <v/>
      </c>
      <c r="BI1189" s="40">
        <f>BI1188*d_rho_gold+BH1189*IF(B1189&gt;=in_marketplace_from,d_hz_gold*G1189,0)</f>
        <v/>
      </c>
      <c r="BJ1189" s="14">
        <f>F1189*BI1189*in_gold_ticket*in_gold_comm</f>
        <v/>
      </c>
      <c r="BK1189" s="40">
        <f>BK1188*(1-IF(B1188&gt;=in_marketplace_from,d_hz_fd*G1188,0))</f>
        <v/>
      </c>
      <c r="BL1189" s="14">
        <f>F1189*BK1189*IF(B1189&gt;=in_marketplace_from,d_hz_fd*G1189,0)*in_fd_ticket*in_fd_comm</f>
        <v/>
      </c>
      <c r="BM1189" s="40">
        <f>BM1188*(1-IF(B1188&gt;=in_marketplace_from,d_hz_recharge*G1188,0))</f>
        <v/>
      </c>
      <c r="BN1189" s="40">
        <f>BN1188*d_rho_recharge+BM1189*IF(B1189&gt;=in_marketplace_from,d_hz_recharge*G1189,0)</f>
        <v/>
      </c>
      <c r="BO1189" s="14">
        <f>F1189*BN1189*in_recharge_ticket*in_recharge_comm/12</f>
        <v/>
      </c>
      <c r="BP1189" s="40">
        <f>BP1188*(1-IF(B1188&gt;=in_marketplace_from,d_hz_bills*G1188,0))</f>
        <v/>
      </c>
      <c r="BQ1189" s="40">
        <f>BQ1188*d_rho_bills+BP1189*IF(B1189&gt;=in_marketplace_from,d_hz_bills*G1189,0)</f>
        <v/>
      </c>
      <c r="BR1189" s="14">
        <f>F1189*BQ1189*in_bills_ticket*in_bills_comm/12</f>
        <v/>
      </c>
      <c r="BS1189" s="40">
        <f>BS1188*(1-IF(B1188&gt;=in_marketplace_from,d_hz_loan_gold*G1188,0))</f>
        <v/>
      </c>
      <c r="BT1189" s="14">
        <f>F1189*BS1189*IF(B1189&gt;=in_marketplace_from,d_hz_loan_gold*G1189,0)*in_loan_gold_ticket*in_loan_gold_comm</f>
        <v/>
      </c>
      <c r="BU1189" s="40">
        <f>BU1188*(1-IF(B1188&gt;=in_marketplace_from,d_hz_loan_cd*G1188,0))</f>
        <v/>
      </c>
      <c r="BV1189" s="14">
        <f>F1189*BU1189*IF(B1189&gt;=in_marketplace_from,d_hz_loan_cd*G1189,0)*in_loan_cd_ticket*in_loan_cd_comm</f>
        <v/>
      </c>
      <c r="BW1189" s="40">
        <f>BW1188*(1-IF(B1188&gt;=in_marketplace_from,d_hz_loan_vehicle*G1188,0))</f>
        <v/>
      </c>
      <c r="BX1189" s="14">
        <f>F1189*BW1189*IF(B1189&gt;=in_marketplace_from,d_hz_loan_vehicle*G1189,0)*in_loan_vehicle_ticket*in_loan_vehicle_comm</f>
        <v/>
      </c>
      <c r="BY1189" s="40">
        <f>BY1188*(1-IF(B1188&gt;=in_marketplace_from,d_hz_loan_home*G1188,0)*BZ1188)</f>
        <v/>
      </c>
      <c r="BZ1189" s="11">
        <f>MIN(in_approval_cap,in_loan_home_approval*INDEX('Age profile'!$O$2:$O$61,B1189)*(1+in_approval_growth)^(D1189-1))</f>
        <v/>
      </c>
      <c r="CA1189" s="14">
        <f>F1189*BY1189*IF(B1189&gt;=in_marketplace_from,d_hz_loan_home*G1189,0)*BZ1189*in_loan_home_ticket*in_loan_home_comm</f>
        <v/>
      </c>
      <c r="CB1189" s="40">
        <f>CB1188*(1-IF(B1188&gt;=in_marketplace_from,d_hz_loan_lap*G1188,0)*CC1188)</f>
        <v/>
      </c>
      <c r="CC1189" s="11">
        <f>MIN(in_approval_cap,in_loan_lap_approval*INDEX('Age profile'!$O$2:$O$61,B1189)*(1+in_approval_growth)^(D1189-1))</f>
        <v/>
      </c>
      <c r="CD1189" s="14">
        <f>F1189*CB1189*IF(B1189&gt;=in_marketplace_from,d_hz_loan_lap*G1189,0)*CC1189*in_loan_lap_ticket*in_loan_lap_comm</f>
        <v/>
      </c>
      <c r="CE1189" s="14">
        <f>AA1189+AB1189+AC1189+AD1189+AG1189+AJ1189+AM1189+AP1189+AS1189+AU1189+AX1189+BB1189+BE1189+BG1189+BJ1189+BL1189+BO1189+BR1189+BT1189+BV1189+BX1189+CA1189+CD1189</f>
        <v/>
      </c>
    </row>
    <row r="1190">
      <c r="A1190" s="39" t="n">
        <v>25</v>
      </c>
      <c r="B1190" s="39" t="n">
        <v>25</v>
      </c>
      <c r="C1190" s="39">
        <f>A1190+B1190-1</f>
        <v/>
      </c>
      <c r="D1190" s="39">
        <f>INT((C1190-1)/12)+1</f>
        <v/>
      </c>
      <c r="E1190" s="44">
        <f>INDEX(Monthly!$B$2:$B$61,A1190)</f>
        <v/>
      </c>
      <c r="F1190" s="44">
        <f>E1190*INDEX('Age profile'!$B$2:$B$61,B1190)</f>
        <v/>
      </c>
      <c r="G1190" s="45">
        <f>MIN(in_takeup_cap,INDEX('Age profile'!$N$2:$N$61,B1190)*(1+in_takeup_growth)^(D1190-1))</f>
        <v/>
      </c>
      <c r="H1190" s="11">
        <f>MIN(in_approval_cap,in_approved_first*INDEX('Age profile'!$O$2:$O$61,B1190)*(1+in_approval_growth)^(D1190-1))</f>
        <v/>
      </c>
      <c r="I1190" s="45">
        <f>G1190*MIN(in_takeup_cap,INDEX('Age profile'!$O$2:$O$61,B1190)*(1+in_approval_growth)^(D1190-1))</f>
        <v/>
      </c>
      <c r="J1190" s="40">
        <f>(J1189-L1189)*F1190/F1189</f>
        <v/>
      </c>
      <c r="K1190" s="40">
        <f>(K1189-M1189)*F1190/F1189+SUMIFS(O1166:O1189,B1166:B1189,B1190-1-d_T)*F1190</f>
        <v/>
      </c>
      <c r="L1190" s="40">
        <f>IF(B1190&gt;=in_marketplace_from,J1190*d_hz*G1190*in_eligible*H1190,0)</f>
        <v/>
      </c>
      <c r="M1190" s="40">
        <f>IF(B1190&gt;=in_marketplace_from,K1190*d_hz*G1190*in_eligible*in_approved_repeat,0)</f>
        <v/>
      </c>
      <c r="N1190" s="40">
        <f>L1190+M1190</f>
        <v/>
      </c>
      <c r="O1190" s="46">
        <f>N1190/F1190</f>
        <v/>
      </c>
      <c r="P1190" s="40">
        <f>F1190-J1190-K1190</f>
        <v/>
      </c>
      <c r="Q1190" s="40">
        <f>IF(B1190&gt;=in_marketplace_from,(J1190+K1190)*d_hz*G1190,0)</f>
        <v/>
      </c>
      <c r="R1190" s="40">
        <f>SUMIFS(N1166:N1201,B1166:B1201,"&gt;="&amp;(B1190-d_T),B1166:B1201,"&lt;="&amp;(B1190-1))</f>
        <v/>
      </c>
      <c r="S1190" s="46">
        <f>(1-d_u)*S1189+IF(d_T&gt;in_topup_lag,SUMIFS(O1166:O1201,B1166:B1201,B1190-in_topup_lag)-d_udrop*SUMIFS(O1166:O1201,B1166:B1201,B1190-d_T),0)</f>
        <v/>
      </c>
      <c r="T1190" s="40">
        <f>F1190*d_u*S1190</f>
        <v/>
      </c>
      <c r="U1190" s="9">
        <f>L1190*in_ticket+M1190*d_rep_ticket</f>
        <v/>
      </c>
      <c r="V1190" s="9">
        <f>U1190+T1190*d_topup_amt</f>
        <v/>
      </c>
      <c r="W1190" s="40">
        <f>N1190+T1190*d_topup_ratio</f>
        <v/>
      </c>
      <c r="X1190" s="40">
        <f>SUMIFS(W1166:W1201,B1166:B1201,B1190-in_dpd_lag)*d_cured</f>
        <v/>
      </c>
      <c r="Y1190" s="40">
        <f>SUMIFS(W1166:W1201,B1166:B1201,B1190-in_rec_lag)*d_recd</f>
        <v/>
      </c>
      <c r="Z1190" s="40">
        <f>IF(AND(B1190&gt;=in_marketplace_from,B1190&lt;in_marketplace_from+in_card_months),in_card_share/in_card_months*F1190*I1190,IF(AND(B1190&gt;=in_marketplace_from+in_card_months,B1190&lt;in_marketplace_from+2*in_card_months),in_card_share*d_card_rem/in_card_months*F1190*MIN(in_takeup_cap,(1+in_takeup_growth)^(D1190-1))*MIN(in_takeup_cap,(1+in_approval_growth)^(D1190-1)),0))</f>
        <v/>
      </c>
      <c r="AA1190" s="14">
        <f>V1190*in_fee*(1-in_taken_back)</f>
        <v/>
      </c>
      <c r="AB1190" s="14">
        <f>SUMIFS(W1166:W1201,B1166:B1201,B1190-in_dpd_lag)*d_dpd</f>
        <v/>
      </c>
      <c r="AC1190" s="14">
        <f>SUMIFS(W1166:W1201,B1166:B1201,B1190-in_rec_lag)*d_rec</f>
        <v/>
      </c>
      <c r="AD1190" s="14">
        <f>Z1190*in_card_fee</f>
        <v/>
      </c>
      <c r="AE1190" s="40">
        <f>AE1189*(1-IF(B1189&gt;=in_marketplace_from,d_hz_hlth_small*G1189,0))</f>
        <v/>
      </c>
      <c r="AF1190" s="46">
        <f>AE1190*IF(B1190&gt;=in_marketplace_from,d_hz_hlth_small*G1190,0)</f>
        <v/>
      </c>
      <c r="AG1190" s="14">
        <f>F1190*AF1190*in_hlth_small_ticket*in_hlth_small_comm*in_ins_partner_share+F1190*in_hlth_small_ticket*in_hlth_small_renew_comm*in_ins_partner_share*(in_hlth_small_renew^1*SUMIFS(AF1166:AF1201,B1166:B1201,B1190-12)+in_hlth_small_renew^2*SUMIFS(AF1166:AF1201,B1166:B1201,B1190-24)+in_hlth_small_renew^3*SUMIFS(AF1166:AF1201,B1166:B1201,B1190-36)+in_hlth_small_renew^4*SUMIFS(AF1166:AF1201,B1166:B1201,B1190-48))</f>
        <v/>
      </c>
      <c r="AH1190" s="40">
        <f>AH1189*(1-IF(B1189&gt;=in_marketplace_from,d_hz_hlth_family*G1189,0))</f>
        <v/>
      </c>
      <c r="AI1190" s="46">
        <f>AH1190*IF(B1190&gt;=in_marketplace_from,d_hz_hlth_family*G1190,0)</f>
        <v/>
      </c>
      <c r="AJ1190" s="14">
        <f>F1190*AI1190*in_hlth_family_ticket*in_hlth_family_comm*in_ins_partner_share+F1190*in_hlth_family_ticket*in_hlth_family_renew_comm*in_ins_partner_share*(in_hlth_family_renew^1*SUMIFS(AI1166:AI1201,B1166:B1201,B1190-12)+in_hlth_family_renew^2*SUMIFS(AI1166:AI1201,B1166:B1201,B1190-24)+in_hlth_family_renew^3*SUMIFS(AI1166:AI1201,B1166:B1201,B1190-36)+in_hlth_family_renew^4*SUMIFS(AI1166:AI1201,B1166:B1201,B1190-48))</f>
        <v/>
      </c>
      <c r="AK1190" s="40">
        <f>AK1189*(1-IF(B1189&gt;=in_marketplace_from,d_hz_life_term*G1189,0))</f>
        <v/>
      </c>
      <c r="AL1190" s="46">
        <f>AK1190*IF(B1190&gt;=in_marketplace_from,d_hz_life_term*G1190,0)</f>
        <v/>
      </c>
      <c r="AM1190" s="14">
        <f>F1190*AL1190*in_life_term_ticket*in_life_term_comm*in_ins_partner_share+F1190*in_life_term_ticket*in_life_term_renew_comm*in_ins_partner_share*(in_life_term_renew^1*SUMIFS(AL1166:AL1201,B1166:B1201,B1190-12)+in_life_term_renew^2*SUMIFS(AL1166:AL1201,B1166:B1201,B1190-24)+in_life_term_renew^3*SUMIFS(AL1166:AL1201,B1166:B1201,B1190-36)+in_life_term_renew^4*SUMIFS(AL1166:AL1201,B1166:B1201,B1190-48))</f>
        <v/>
      </c>
      <c r="AN1190" s="40">
        <f>AN1189*(1-IF(B1189&gt;=in_marketplace_from,d_hz_accident*G1189,0))</f>
        <v/>
      </c>
      <c r="AO1190" s="46">
        <f>AN1190*IF(B1190&gt;=in_marketplace_from,d_hz_accident*G1190,0)</f>
        <v/>
      </c>
      <c r="AP1190" s="14">
        <f>F1190*AO1190*in_accident_ticket*in_accident_comm*in_ins_partner_share+F1190*in_accident_ticket*in_accident_renew_comm*in_ins_partner_share*(in_accident_renew^1*SUMIFS(AO1166:AO1201,B1166:B1201,B1190-12)+in_accident_renew^2*SUMIFS(AO1166:AO1201,B1166:B1201,B1190-24)+in_accident_renew^3*SUMIFS(AO1166:AO1201,B1166:B1201,B1190-36)+in_accident_renew^4*SUMIFS(AO1166:AO1201,B1166:B1201,B1190-48))</f>
        <v/>
      </c>
      <c r="AQ1190" s="40">
        <f>AQ1189*(1-IF(B1189&gt;=in_marketplace_from,d_hz_two_wheeler*G1189,0))</f>
        <v/>
      </c>
      <c r="AR1190" s="46">
        <f>AQ1190*IF(B1190&gt;=in_marketplace_from,d_hz_two_wheeler*G1190,0)</f>
        <v/>
      </c>
      <c r="AS1190" s="14">
        <f>F1190*AR1190*in_two_wheeler_ticket*in_two_wheeler_comm*in_ins_partner_share+F1190*in_two_wheeler_ticket*in_two_wheeler_comm*in_ins_partner_share*(in_two_wheeler_renew^1*SUMIFS(AR1166:AR1201,B1166:B1201,B1190-12)+in_two_wheeler_renew^2*SUMIFS(AR1166:AR1201,B1166:B1201,B1190-24)+in_two_wheeler_renew^3*SUMIFS(AR1166:AR1201,B1166:B1201,B1190-36)+in_two_wheeler_renew^4*SUMIFS(AR1166:AR1201,B1166:B1201,B1190-48))</f>
        <v/>
      </c>
      <c r="AT1190" s="40">
        <f>AT1189*(1-IF(B1189&gt;=in_marketplace_from,d_hz_device*G1189,0))</f>
        <v/>
      </c>
      <c r="AU1190" s="14">
        <f>F1190*AT1190*IF(B1190&gt;=in_marketplace_from,d_hz_device*G1190,0)*in_device_ticket*in_device_comm*in_ins_partner_share</f>
        <v/>
      </c>
      <c r="AV1190" s="40">
        <f>AV1189*(1-IF(B1189&gt;=in_marketplace_from,d_hz_shop*G1189,0))</f>
        <v/>
      </c>
      <c r="AW1190" s="46">
        <f>AV1190*IF(B1190&gt;=in_marketplace_from,d_hz_shop*G1190,0)</f>
        <v/>
      </c>
      <c r="AX1190" s="14">
        <f>F1190*AW1190*in_shop_ticket*in_shop_comm*in_ins_partner_share+F1190*in_shop_ticket*in_shop_renew_comm*in_ins_partner_share*(in_shop_renew^1*SUMIFS(AW1166:AW1201,B1166:B1201,B1190-12)+in_shop_renew^2*SUMIFS(AW1166:AW1201,B1166:B1201,B1190-24)+in_shop_renew^3*SUMIFS(AW1166:AW1201,B1166:B1201,B1190-36)+in_shop_renew^4*SUMIFS(AW1166:AW1201,B1166:B1201,B1190-48))</f>
        <v/>
      </c>
      <c r="AY1190" s="40">
        <f>AY1189*(1-IF(B1189&gt;=in_marketplace_from,d_hz_sip*G1189,0))</f>
        <v/>
      </c>
      <c r="AZ1190" s="40">
        <f>AZ1189*d_rho_sip+AY1190*IF(B1190&gt;=in_marketplace_from,d_hz_sip*G1190,0)</f>
        <v/>
      </c>
      <c r="BA1190" s="40">
        <f>d_rho_sip*(BA1189+AZ1189)</f>
        <v/>
      </c>
      <c r="BB1190" s="14">
        <f>F1190*in_sip_ticket*(BA1190+0.5*AZ1190)*in_sip_comm/12</f>
        <v/>
      </c>
      <c r="BC1190" s="40">
        <f>BC1189*(1-IF(B1189&gt;=in_marketplace_from,d_hz_choti*G1189,0))</f>
        <v/>
      </c>
      <c r="BD1190" s="46">
        <f>BC1190*IF(B1190&gt;=in_marketplace_from,d_hz_choti*G1190,0)</f>
        <v/>
      </c>
      <c r="BE1190" s="14">
        <f>F1190*SUMIFS(BD1166:BD1201,B1166:B1201,B1190-in_choti_months)*in_choti_renew*in_choti_ticket</f>
        <v/>
      </c>
      <c r="BF1190" s="40">
        <f>BF1189*(1-IF(B1189&gt;=in_marketplace_from,d_hz_nps*G1189,0))</f>
        <v/>
      </c>
      <c r="BG1190" s="14">
        <f>F1190*BF1190*IF(B1190&gt;=in_marketplace_from,d_hz_nps*G1190,0)*in_nps_ticket*in_nps_comm</f>
        <v/>
      </c>
      <c r="BH1190" s="40">
        <f>BH1189*(1-IF(B1189&gt;=in_marketplace_from,d_hz_gold*G1189,0))</f>
        <v/>
      </c>
      <c r="BI1190" s="40">
        <f>BI1189*d_rho_gold+BH1190*IF(B1190&gt;=in_marketplace_from,d_hz_gold*G1190,0)</f>
        <v/>
      </c>
      <c r="BJ1190" s="14">
        <f>F1190*BI1190*in_gold_ticket*in_gold_comm</f>
        <v/>
      </c>
      <c r="BK1190" s="40">
        <f>BK1189*(1-IF(B1189&gt;=in_marketplace_from,d_hz_fd*G1189,0))</f>
        <v/>
      </c>
      <c r="BL1190" s="14">
        <f>F1190*BK1190*IF(B1190&gt;=in_marketplace_from,d_hz_fd*G1190,0)*in_fd_ticket*in_fd_comm</f>
        <v/>
      </c>
      <c r="BM1190" s="40">
        <f>BM1189*(1-IF(B1189&gt;=in_marketplace_from,d_hz_recharge*G1189,0))</f>
        <v/>
      </c>
      <c r="BN1190" s="40">
        <f>BN1189*d_rho_recharge+BM1190*IF(B1190&gt;=in_marketplace_from,d_hz_recharge*G1190,0)</f>
        <v/>
      </c>
      <c r="BO1190" s="14">
        <f>F1190*BN1190*in_recharge_ticket*in_recharge_comm/12</f>
        <v/>
      </c>
      <c r="BP1190" s="40">
        <f>BP1189*(1-IF(B1189&gt;=in_marketplace_from,d_hz_bills*G1189,0))</f>
        <v/>
      </c>
      <c r="BQ1190" s="40">
        <f>BQ1189*d_rho_bills+BP1190*IF(B1190&gt;=in_marketplace_from,d_hz_bills*G1190,0)</f>
        <v/>
      </c>
      <c r="BR1190" s="14">
        <f>F1190*BQ1190*in_bills_ticket*in_bills_comm/12</f>
        <v/>
      </c>
      <c r="BS1190" s="40">
        <f>BS1189*(1-IF(B1189&gt;=in_marketplace_from,d_hz_loan_gold*G1189,0))</f>
        <v/>
      </c>
      <c r="BT1190" s="14">
        <f>F1190*BS1190*IF(B1190&gt;=in_marketplace_from,d_hz_loan_gold*G1190,0)*in_loan_gold_ticket*in_loan_gold_comm</f>
        <v/>
      </c>
      <c r="BU1190" s="40">
        <f>BU1189*(1-IF(B1189&gt;=in_marketplace_from,d_hz_loan_cd*G1189,0))</f>
        <v/>
      </c>
      <c r="BV1190" s="14">
        <f>F1190*BU1190*IF(B1190&gt;=in_marketplace_from,d_hz_loan_cd*G1190,0)*in_loan_cd_ticket*in_loan_cd_comm</f>
        <v/>
      </c>
      <c r="BW1190" s="40">
        <f>BW1189*(1-IF(B1189&gt;=in_marketplace_from,d_hz_loan_vehicle*G1189,0))</f>
        <v/>
      </c>
      <c r="BX1190" s="14">
        <f>F1190*BW1190*IF(B1190&gt;=in_marketplace_from,d_hz_loan_vehicle*G1190,0)*in_loan_vehicle_ticket*in_loan_vehicle_comm</f>
        <v/>
      </c>
      <c r="BY1190" s="40">
        <f>BY1189*(1-IF(B1189&gt;=in_marketplace_from,d_hz_loan_home*G1189,0)*BZ1189)</f>
        <v/>
      </c>
      <c r="BZ1190" s="11">
        <f>MIN(in_approval_cap,in_loan_home_approval*INDEX('Age profile'!$O$2:$O$61,B1190)*(1+in_approval_growth)^(D1190-1))</f>
        <v/>
      </c>
      <c r="CA1190" s="14">
        <f>F1190*BY1190*IF(B1190&gt;=in_marketplace_from,d_hz_loan_home*G1190,0)*BZ1190*in_loan_home_ticket*in_loan_home_comm</f>
        <v/>
      </c>
      <c r="CB1190" s="40">
        <f>CB1189*(1-IF(B1189&gt;=in_marketplace_from,d_hz_loan_lap*G1189,0)*CC1189)</f>
        <v/>
      </c>
      <c r="CC1190" s="11">
        <f>MIN(in_approval_cap,in_loan_lap_approval*INDEX('Age profile'!$O$2:$O$61,B1190)*(1+in_approval_growth)^(D1190-1))</f>
        <v/>
      </c>
      <c r="CD1190" s="14">
        <f>F1190*CB1190*IF(B1190&gt;=in_marketplace_from,d_hz_loan_lap*G1190,0)*CC1190*in_loan_lap_ticket*in_loan_lap_comm</f>
        <v/>
      </c>
      <c r="CE1190" s="14">
        <f>AA1190+AB1190+AC1190+AD1190+AG1190+AJ1190+AM1190+AP1190+AS1190+AU1190+AX1190+BB1190+BE1190+BG1190+BJ1190+BL1190+BO1190+BR1190+BT1190+BV1190+BX1190+CA1190+CD1190</f>
        <v/>
      </c>
    </row>
    <row r="1191">
      <c r="A1191" s="39" t="n">
        <v>25</v>
      </c>
      <c r="B1191" s="39" t="n">
        <v>26</v>
      </c>
      <c r="C1191" s="39">
        <f>A1191+B1191-1</f>
        <v/>
      </c>
      <c r="D1191" s="39">
        <f>INT((C1191-1)/12)+1</f>
        <v/>
      </c>
      <c r="E1191" s="44">
        <f>INDEX(Monthly!$B$2:$B$61,A1191)</f>
        <v/>
      </c>
      <c r="F1191" s="44">
        <f>E1191*INDEX('Age profile'!$B$2:$B$61,B1191)</f>
        <v/>
      </c>
      <c r="G1191" s="45">
        <f>MIN(in_takeup_cap,INDEX('Age profile'!$N$2:$N$61,B1191)*(1+in_takeup_growth)^(D1191-1))</f>
        <v/>
      </c>
      <c r="H1191" s="11">
        <f>MIN(in_approval_cap,in_approved_first*INDEX('Age profile'!$O$2:$O$61,B1191)*(1+in_approval_growth)^(D1191-1))</f>
        <v/>
      </c>
      <c r="I1191" s="45">
        <f>G1191*MIN(in_takeup_cap,INDEX('Age profile'!$O$2:$O$61,B1191)*(1+in_approval_growth)^(D1191-1))</f>
        <v/>
      </c>
      <c r="J1191" s="40">
        <f>(J1190-L1190)*F1191/F1190</f>
        <v/>
      </c>
      <c r="K1191" s="40">
        <f>(K1190-M1190)*F1191/F1190+SUMIFS(O1166:O1190,B1166:B1190,B1191-1-d_T)*F1191</f>
        <v/>
      </c>
      <c r="L1191" s="40">
        <f>IF(B1191&gt;=in_marketplace_from,J1191*d_hz*G1191*in_eligible*H1191,0)</f>
        <v/>
      </c>
      <c r="M1191" s="40">
        <f>IF(B1191&gt;=in_marketplace_from,K1191*d_hz*G1191*in_eligible*in_approved_repeat,0)</f>
        <v/>
      </c>
      <c r="N1191" s="40">
        <f>L1191+M1191</f>
        <v/>
      </c>
      <c r="O1191" s="46">
        <f>N1191/F1191</f>
        <v/>
      </c>
      <c r="P1191" s="40">
        <f>F1191-J1191-K1191</f>
        <v/>
      </c>
      <c r="Q1191" s="40">
        <f>IF(B1191&gt;=in_marketplace_from,(J1191+K1191)*d_hz*G1191,0)</f>
        <v/>
      </c>
      <c r="R1191" s="40">
        <f>SUMIFS(N1166:N1201,B1166:B1201,"&gt;="&amp;(B1191-d_T),B1166:B1201,"&lt;="&amp;(B1191-1))</f>
        <v/>
      </c>
      <c r="S1191" s="46">
        <f>(1-d_u)*S1190+IF(d_T&gt;in_topup_lag,SUMIFS(O1166:O1201,B1166:B1201,B1191-in_topup_lag)-d_udrop*SUMIFS(O1166:O1201,B1166:B1201,B1191-d_T),0)</f>
        <v/>
      </c>
      <c r="T1191" s="40">
        <f>F1191*d_u*S1191</f>
        <v/>
      </c>
      <c r="U1191" s="9">
        <f>L1191*in_ticket+M1191*d_rep_ticket</f>
        <v/>
      </c>
      <c r="V1191" s="9">
        <f>U1191+T1191*d_topup_amt</f>
        <v/>
      </c>
      <c r="W1191" s="40">
        <f>N1191+T1191*d_topup_ratio</f>
        <v/>
      </c>
      <c r="X1191" s="40">
        <f>SUMIFS(W1166:W1201,B1166:B1201,B1191-in_dpd_lag)*d_cured</f>
        <v/>
      </c>
      <c r="Y1191" s="40">
        <f>SUMIFS(W1166:W1201,B1166:B1201,B1191-in_rec_lag)*d_recd</f>
        <v/>
      </c>
      <c r="Z1191" s="40">
        <f>IF(AND(B1191&gt;=in_marketplace_from,B1191&lt;in_marketplace_from+in_card_months),in_card_share/in_card_months*F1191*I1191,IF(AND(B1191&gt;=in_marketplace_from+in_card_months,B1191&lt;in_marketplace_from+2*in_card_months),in_card_share*d_card_rem/in_card_months*F1191*MIN(in_takeup_cap,(1+in_takeup_growth)^(D1191-1))*MIN(in_takeup_cap,(1+in_approval_growth)^(D1191-1)),0))</f>
        <v/>
      </c>
      <c r="AA1191" s="14">
        <f>V1191*in_fee*(1-in_taken_back)</f>
        <v/>
      </c>
      <c r="AB1191" s="14">
        <f>SUMIFS(W1166:W1201,B1166:B1201,B1191-in_dpd_lag)*d_dpd</f>
        <v/>
      </c>
      <c r="AC1191" s="14">
        <f>SUMIFS(W1166:W1201,B1166:B1201,B1191-in_rec_lag)*d_rec</f>
        <v/>
      </c>
      <c r="AD1191" s="14">
        <f>Z1191*in_card_fee</f>
        <v/>
      </c>
      <c r="AE1191" s="40">
        <f>AE1190*(1-IF(B1190&gt;=in_marketplace_from,d_hz_hlth_small*G1190,0))</f>
        <v/>
      </c>
      <c r="AF1191" s="46">
        <f>AE1191*IF(B1191&gt;=in_marketplace_from,d_hz_hlth_small*G1191,0)</f>
        <v/>
      </c>
      <c r="AG1191" s="14">
        <f>F1191*AF1191*in_hlth_small_ticket*in_hlth_small_comm*in_ins_partner_share+F1191*in_hlth_small_ticket*in_hlth_small_renew_comm*in_ins_partner_share*(in_hlth_small_renew^1*SUMIFS(AF1166:AF1201,B1166:B1201,B1191-12)+in_hlth_small_renew^2*SUMIFS(AF1166:AF1201,B1166:B1201,B1191-24)+in_hlth_small_renew^3*SUMIFS(AF1166:AF1201,B1166:B1201,B1191-36)+in_hlth_small_renew^4*SUMIFS(AF1166:AF1201,B1166:B1201,B1191-48))</f>
        <v/>
      </c>
      <c r="AH1191" s="40">
        <f>AH1190*(1-IF(B1190&gt;=in_marketplace_from,d_hz_hlth_family*G1190,0))</f>
        <v/>
      </c>
      <c r="AI1191" s="46">
        <f>AH1191*IF(B1191&gt;=in_marketplace_from,d_hz_hlth_family*G1191,0)</f>
        <v/>
      </c>
      <c r="AJ1191" s="14">
        <f>F1191*AI1191*in_hlth_family_ticket*in_hlth_family_comm*in_ins_partner_share+F1191*in_hlth_family_ticket*in_hlth_family_renew_comm*in_ins_partner_share*(in_hlth_family_renew^1*SUMIFS(AI1166:AI1201,B1166:B1201,B1191-12)+in_hlth_family_renew^2*SUMIFS(AI1166:AI1201,B1166:B1201,B1191-24)+in_hlth_family_renew^3*SUMIFS(AI1166:AI1201,B1166:B1201,B1191-36)+in_hlth_family_renew^4*SUMIFS(AI1166:AI1201,B1166:B1201,B1191-48))</f>
        <v/>
      </c>
      <c r="AK1191" s="40">
        <f>AK1190*(1-IF(B1190&gt;=in_marketplace_from,d_hz_life_term*G1190,0))</f>
        <v/>
      </c>
      <c r="AL1191" s="46">
        <f>AK1191*IF(B1191&gt;=in_marketplace_from,d_hz_life_term*G1191,0)</f>
        <v/>
      </c>
      <c r="AM1191" s="14">
        <f>F1191*AL1191*in_life_term_ticket*in_life_term_comm*in_ins_partner_share+F1191*in_life_term_ticket*in_life_term_renew_comm*in_ins_partner_share*(in_life_term_renew^1*SUMIFS(AL1166:AL1201,B1166:B1201,B1191-12)+in_life_term_renew^2*SUMIFS(AL1166:AL1201,B1166:B1201,B1191-24)+in_life_term_renew^3*SUMIFS(AL1166:AL1201,B1166:B1201,B1191-36)+in_life_term_renew^4*SUMIFS(AL1166:AL1201,B1166:B1201,B1191-48))</f>
        <v/>
      </c>
      <c r="AN1191" s="40">
        <f>AN1190*(1-IF(B1190&gt;=in_marketplace_from,d_hz_accident*G1190,0))</f>
        <v/>
      </c>
      <c r="AO1191" s="46">
        <f>AN1191*IF(B1191&gt;=in_marketplace_from,d_hz_accident*G1191,0)</f>
        <v/>
      </c>
      <c r="AP1191" s="14">
        <f>F1191*AO1191*in_accident_ticket*in_accident_comm*in_ins_partner_share+F1191*in_accident_ticket*in_accident_renew_comm*in_ins_partner_share*(in_accident_renew^1*SUMIFS(AO1166:AO1201,B1166:B1201,B1191-12)+in_accident_renew^2*SUMIFS(AO1166:AO1201,B1166:B1201,B1191-24)+in_accident_renew^3*SUMIFS(AO1166:AO1201,B1166:B1201,B1191-36)+in_accident_renew^4*SUMIFS(AO1166:AO1201,B1166:B1201,B1191-48))</f>
        <v/>
      </c>
      <c r="AQ1191" s="40">
        <f>AQ1190*(1-IF(B1190&gt;=in_marketplace_from,d_hz_two_wheeler*G1190,0))</f>
        <v/>
      </c>
      <c r="AR1191" s="46">
        <f>AQ1191*IF(B1191&gt;=in_marketplace_from,d_hz_two_wheeler*G1191,0)</f>
        <v/>
      </c>
      <c r="AS1191" s="14">
        <f>F1191*AR1191*in_two_wheeler_ticket*in_two_wheeler_comm*in_ins_partner_share+F1191*in_two_wheeler_ticket*in_two_wheeler_comm*in_ins_partner_share*(in_two_wheeler_renew^1*SUMIFS(AR1166:AR1201,B1166:B1201,B1191-12)+in_two_wheeler_renew^2*SUMIFS(AR1166:AR1201,B1166:B1201,B1191-24)+in_two_wheeler_renew^3*SUMIFS(AR1166:AR1201,B1166:B1201,B1191-36)+in_two_wheeler_renew^4*SUMIFS(AR1166:AR1201,B1166:B1201,B1191-48))</f>
        <v/>
      </c>
      <c r="AT1191" s="40">
        <f>AT1190*(1-IF(B1190&gt;=in_marketplace_from,d_hz_device*G1190,0))</f>
        <v/>
      </c>
      <c r="AU1191" s="14">
        <f>F1191*AT1191*IF(B1191&gt;=in_marketplace_from,d_hz_device*G1191,0)*in_device_ticket*in_device_comm*in_ins_partner_share</f>
        <v/>
      </c>
      <c r="AV1191" s="40">
        <f>AV1190*(1-IF(B1190&gt;=in_marketplace_from,d_hz_shop*G1190,0))</f>
        <v/>
      </c>
      <c r="AW1191" s="46">
        <f>AV1191*IF(B1191&gt;=in_marketplace_from,d_hz_shop*G1191,0)</f>
        <v/>
      </c>
      <c r="AX1191" s="14">
        <f>F1191*AW1191*in_shop_ticket*in_shop_comm*in_ins_partner_share+F1191*in_shop_ticket*in_shop_renew_comm*in_ins_partner_share*(in_shop_renew^1*SUMIFS(AW1166:AW1201,B1166:B1201,B1191-12)+in_shop_renew^2*SUMIFS(AW1166:AW1201,B1166:B1201,B1191-24)+in_shop_renew^3*SUMIFS(AW1166:AW1201,B1166:B1201,B1191-36)+in_shop_renew^4*SUMIFS(AW1166:AW1201,B1166:B1201,B1191-48))</f>
        <v/>
      </c>
      <c r="AY1191" s="40">
        <f>AY1190*(1-IF(B1190&gt;=in_marketplace_from,d_hz_sip*G1190,0))</f>
        <v/>
      </c>
      <c r="AZ1191" s="40">
        <f>AZ1190*d_rho_sip+AY1191*IF(B1191&gt;=in_marketplace_from,d_hz_sip*G1191,0)</f>
        <v/>
      </c>
      <c r="BA1191" s="40">
        <f>d_rho_sip*(BA1190+AZ1190)</f>
        <v/>
      </c>
      <c r="BB1191" s="14">
        <f>F1191*in_sip_ticket*(BA1191+0.5*AZ1191)*in_sip_comm/12</f>
        <v/>
      </c>
      <c r="BC1191" s="40">
        <f>BC1190*(1-IF(B1190&gt;=in_marketplace_from,d_hz_choti*G1190,0))</f>
        <v/>
      </c>
      <c r="BD1191" s="46">
        <f>BC1191*IF(B1191&gt;=in_marketplace_from,d_hz_choti*G1191,0)</f>
        <v/>
      </c>
      <c r="BE1191" s="14">
        <f>F1191*SUMIFS(BD1166:BD1201,B1166:B1201,B1191-in_choti_months)*in_choti_renew*in_choti_ticket</f>
        <v/>
      </c>
      <c r="BF1191" s="40">
        <f>BF1190*(1-IF(B1190&gt;=in_marketplace_from,d_hz_nps*G1190,0))</f>
        <v/>
      </c>
      <c r="BG1191" s="14">
        <f>F1191*BF1191*IF(B1191&gt;=in_marketplace_from,d_hz_nps*G1191,0)*in_nps_ticket*in_nps_comm</f>
        <v/>
      </c>
      <c r="BH1191" s="40">
        <f>BH1190*(1-IF(B1190&gt;=in_marketplace_from,d_hz_gold*G1190,0))</f>
        <v/>
      </c>
      <c r="BI1191" s="40">
        <f>BI1190*d_rho_gold+BH1191*IF(B1191&gt;=in_marketplace_from,d_hz_gold*G1191,0)</f>
        <v/>
      </c>
      <c r="BJ1191" s="14">
        <f>F1191*BI1191*in_gold_ticket*in_gold_comm</f>
        <v/>
      </c>
      <c r="BK1191" s="40">
        <f>BK1190*(1-IF(B1190&gt;=in_marketplace_from,d_hz_fd*G1190,0))</f>
        <v/>
      </c>
      <c r="BL1191" s="14">
        <f>F1191*BK1191*IF(B1191&gt;=in_marketplace_from,d_hz_fd*G1191,0)*in_fd_ticket*in_fd_comm</f>
        <v/>
      </c>
      <c r="BM1191" s="40">
        <f>BM1190*(1-IF(B1190&gt;=in_marketplace_from,d_hz_recharge*G1190,0))</f>
        <v/>
      </c>
      <c r="BN1191" s="40">
        <f>BN1190*d_rho_recharge+BM1191*IF(B1191&gt;=in_marketplace_from,d_hz_recharge*G1191,0)</f>
        <v/>
      </c>
      <c r="BO1191" s="14">
        <f>F1191*BN1191*in_recharge_ticket*in_recharge_comm/12</f>
        <v/>
      </c>
      <c r="BP1191" s="40">
        <f>BP1190*(1-IF(B1190&gt;=in_marketplace_from,d_hz_bills*G1190,0))</f>
        <v/>
      </c>
      <c r="BQ1191" s="40">
        <f>BQ1190*d_rho_bills+BP1191*IF(B1191&gt;=in_marketplace_from,d_hz_bills*G1191,0)</f>
        <v/>
      </c>
      <c r="BR1191" s="14">
        <f>F1191*BQ1191*in_bills_ticket*in_bills_comm/12</f>
        <v/>
      </c>
      <c r="BS1191" s="40">
        <f>BS1190*(1-IF(B1190&gt;=in_marketplace_from,d_hz_loan_gold*G1190,0))</f>
        <v/>
      </c>
      <c r="BT1191" s="14">
        <f>F1191*BS1191*IF(B1191&gt;=in_marketplace_from,d_hz_loan_gold*G1191,0)*in_loan_gold_ticket*in_loan_gold_comm</f>
        <v/>
      </c>
      <c r="BU1191" s="40">
        <f>BU1190*(1-IF(B1190&gt;=in_marketplace_from,d_hz_loan_cd*G1190,0))</f>
        <v/>
      </c>
      <c r="BV1191" s="14">
        <f>F1191*BU1191*IF(B1191&gt;=in_marketplace_from,d_hz_loan_cd*G1191,0)*in_loan_cd_ticket*in_loan_cd_comm</f>
        <v/>
      </c>
      <c r="BW1191" s="40">
        <f>BW1190*(1-IF(B1190&gt;=in_marketplace_from,d_hz_loan_vehicle*G1190,0))</f>
        <v/>
      </c>
      <c r="BX1191" s="14">
        <f>F1191*BW1191*IF(B1191&gt;=in_marketplace_from,d_hz_loan_vehicle*G1191,0)*in_loan_vehicle_ticket*in_loan_vehicle_comm</f>
        <v/>
      </c>
      <c r="BY1191" s="40">
        <f>BY1190*(1-IF(B1190&gt;=in_marketplace_from,d_hz_loan_home*G1190,0)*BZ1190)</f>
        <v/>
      </c>
      <c r="BZ1191" s="11">
        <f>MIN(in_approval_cap,in_loan_home_approval*INDEX('Age profile'!$O$2:$O$61,B1191)*(1+in_approval_growth)^(D1191-1))</f>
        <v/>
      </c>
      <c r="CA1191" s="14">
        <f>F1191*BY1191*IF(B1191&gt;=in_marketplace_from,d_hz_loan_home*G1191,0)*BZ1191*in_loan_home_ticket*in_loan_home_comm</f>
        <v/>
      </c>
      <c r="CB1191" s="40">
        <f>CB1190*(1-IF(B1190&gt;=in_marketplace_from,d_hz_loan_lap*G1190,0)*CC1190)</f>
        <v/>
      </c>
      <c r="CC1191" s="11">
        <f>MIN(in_approval_cap,in_loan_lap_approval*INDEX('Age profile'!$O$2:$O$61,B1191)*(1+in_approval_growth)^(D1191-1))</f>
        <v/>
      </c>
      <c r="CD1191" s="14">
        <f>F1191*CB1191*IF(B1191&gt;=in_marketplace_from,d_hz_loan_lap*G1191,0)*CC1191*in_loan_lap_ticket*in_loan_lap_comm</f>
        <v/>
      </c>
      <c r="CE1191" s="14">
        <f>AA1191+AB1191+AC1191+AD1191+AG1191+AJ1191+AM1191+AP1191+AS1191+AU1191+AX1191+BB1191+BE1191+BG1191+BJ1191+BL1191+BO1191+BR1191+BT1191+BV1191+BX1191+CA1191+CD1191</f>
        <v/>
      </c>
    </row>
    <row r="1192">
      <c r="A1192" s="39" t="n">
        <v>25</v>
      </c>
      <c r="B1192" s="39" t="n">
        <v>27</v>
      </c>
      <c r="C1192" s="39">
        <f>A1192+B1192-1</f>
        <v/>
      </c>
      <c r="D1192" s="39">
        <f>INT((C1192-1)/12)+1</f>
        <v/>
      </c>
      <c r="E1192" s="44">
        <f>INDEX(Monthly!$B$2:$B$61,A1192)</f>
        <v/>
      </c>
      <c r="F1192" s="44">
        <f>E1192*INDEX('Age profile'!$B$2:$B$61,B1192)</f>
        <v/>
      </c>
      <c r="G1192" s="45">
        <f>MIN(in_takeup_cap,INDEX('Age profile'!$N$2:$N$61,B1192)*(1+in_takeup_growth)^(D1192-1))</f>
        <v/>
      </c>
      <c r="H1192" s="11">
        <f>MIN(in_approval_cap,in_approved_first*INDEX('Age profile'!$O$2:$O$61,B1192)*(1+in_approval_growth)^(D1192-1))</f>
        <v/>
      </c>
      <c r="I1192" s="45">
        <f>G1192*MIN(in_takeup_cap,INDEX('Age profile'!$O$2:$O$61,B1192)*(1+in_approval_growth)^(D1192-1))</f>
        <v/>
      </c>
      <c r="J1192" s="40">
        <f>(J1191-L1191)*F1192/F1191</f>
        <v/>
      </c>
      <c r="K1192" s="40">
        <f>(K1191-M1191)*F1192/F1191+SUMIFS(O1166:O1191,B1166:B1191,B1192-1-d_T)*F1192</f>
        <v/>
      </c>
      <c r="L1192" s="40">
        <f>IF(B1192&gt;=in_marketplace_from,J1192*d_hz*G1192*in_eligible*H1192,0)</f>
        <v/>
      </c>
      <c r="M1192" s="40">
        <f>IF(B1192&gt;=in_marketplace_from,K1192*d_hz*G1192*in_eligible*in_approved_repeat,0)</f>
        <v/>
      </c>
      <c r="N1192" s="40">
        <f>L1192+M1192</f>
        <v/>
      </c>
      <c r="O1192" s="46">
        <f>N1192/F1192</f>
        <v/>
      </c>
      <c r="P1192" s="40">
        <f>F1192-J1192-K1192</f>
        <v/>
      </c>
      <c r="Q1192" s="40">
        <f>IF(B1192&gt;=in_marketplace_from,(J1192+K1192)*d_hz*G1192,0)</f>
        <v/>
      </c>
      <c r="R1192" s="40">
        <f>SUMIFS(N1166:N1201,B1166:B1201,"&gt;="&amp;(B1192-d_T),B1166:B1201,"&lt;="&amp;(B1192-1))</f>
        <v/>
      </c>
      <c r="S1192" s="46">
        <f>(1-d_u)*S1191+IF(d_T&gt;in_topup_lag,SUMIFS(O1166:O1201,B1166:B1201,B1192-in_topup_lag)-d_udrop*SUMIFS(O1166:O1201,B1166:B1201,B1192-d_T),0)</f>
        <v/>
      </c>
      <c r="T1192" s="40">
        <f>F1192*d_u*S1192</f>
        <v/>
      </c>
      <c r="U1192" s="9">
        <f>L1192*in_ticket+M1192*d_rep_ticket</f>
        <v/>
      </c>
      <c r="V1192" s="9">
        <f>U1192+T1192*d_topup_amt</f>
        <v/>
      </c>
      <c r="W1192" s="40">
        <f>N1192+T1192*d_topup_ratio</f>
        <v/>
      </c>
      <c r="X1192" s="40">
        <f>SUMIFS(W1166:W1201,B1166:B1201,B1192-in_dpd_lag)*d_cured</f>
        <v/>
      </c>
      <c r="Y1192" s="40">
        <f>SUMIFS(W1166:W1201,B1166:B1201,B1192-in_rec_lag)*d_recd</f>
        <v/>
      </c>
      <c r="Z1192" s="40">
        <f>IF(AND(B1192&gt;=in_marketplace_from,B1192&lt;in_marketplace_from+in_card_months),in_card_share/in_card_months*F1192*I1192,IF(AND(B1192&gt;=in_marketplace_from+in_card_months,B1192&lt;in_marketplace_from+2*in_card_months),in_card_share*d_card_rem/in_card_months*F1192*MIN(in_takeup_cap,(1+in_takeup_growth)^(D1192-1))*MIN(in_takeup_cap,(1+in_approval_growth)^(D1192-1)),0))</f>
        <v/>
      </c>
      <c r="AA1192" s="14">
        <f>V1192*in_fee*(1-in_taken_back)</f>
        <v/>
      </c>
      <c r="AB1192" s="14">
        <f>SUMIFS(W1166:W1201,B1166:B1201,B1192-in_dpd_lag)*d_dpd</f>
        <v/>
      </c>
      <c r="AC1192" s="14">
        <f>SUMIFS(W1166:W1201,B1166:B1201,B1192-in_rec_lag)*d_rec</f>
        <v/>
      </c>
      <c r="AD1192" s="14">
        <f>Z1192*in_card_fee</f>
        <v/>
      </c>
      <c r="AE1192" s="40">
        <f>AE1191*(1-IF(B1191&gt;=in_marketplace_from,d_hz_hlth_small*G1191,0))</f>
        <v/>
      </c>
      <c r="AF1192" s="46">
        <f>AE1192*IF(B1192&gt;=in_marketplace_from,d_hz_hlth_small*G1192,0)</f>
        <v/>
      </c>
      <c r="AG1192" s="14">
        <f>F1192*AF1192*in_hlth_small_ticket*in_hlth_small_comm*in_ins_partner_share+F1192*in_hlth_small_ticket*in_hlth_small_renew_comm*in_ins_partner_share*(in_hlth_small_renew^1*SUMIFS(AF1166:AF1201,B1166:B1201,B1192-12)+in_hlth_small_renew^2*SUMIFS(AF1166:AF1201,B1166:B1201,B1192-24)+in_hlth_small_renew^3*SUMIFS(AF1166:AF1201,B1166:B1201,B1192-36)+in_hlth_small_renew^4*SUMIFS(AF1166:AF1201,B1166:B1201,B1192-48))</f>
        <v/>
      </c>
      <c r="AH1192" s="40">
        <f>AH1191*(1-IF(B1191&gt;=in_marketplace_from,d_hz_hlth_family*G1191,0))</f>
        <v/>
      </c>
      <c r="AI1192" s="46">
        <f>AH1192*IF(B1192&gt;=in_marketplace_from,d_hz_hlth_family*G1192,0)</f>
        <v/>
      </c>
      <c r="AJ1192" s="14">
        <f>F1192*AI1192*in_hlth_family_ticket*in_hlth_family_comm*in_ins_partner_share+F1192*in_hlth_family_ticket*in_hlth_family_renew_comm*in_ins_partner_share*(in_hlth_family_renew^1*SUMIFS(AI1166:AI1201,B1166:B1201,B1192-12)+in_hlth_family_renew^2*SUMIFS(AI1166:AI1201,B1166:B1201,B1192-24)+in_hlth_family_renew^3*SUMIFS(AI1166:AI1201,B1166:B1201,B1192-36)+in_hlth_family_renew^4*SUMIFS(AI1166:AI1201,B1166:B1201,B1192-48))</f>
        <v/>
      </c>
      <c r="AK1192" s="40">
        <f>AK1191*(1-IF(B1191&gt;=in_marketplace_from,d_hz_life_term*G1191,0))</f>
        <v/>
      </c>
      <c r="AL1192" s="46">
        <f>AK1192*IF(B1192&gt;=in_marketplace_from,d_hz_life_term*G1192,0)</f>
        <v/>
      </c>
      <c r="AM1192" s="14">
        <f>F1192*AL1192*in_life_term_ticket*in_life_term_comm*in_ins_partner_share+F1192*in_life_term_ticket*in_life_term_renew_comm*in_ins_partner_share*(in_life_term_renew^1*SUMIFS(AL1166:AL1201,B1166:B1201,B1192-12)+in_life_term_renew^2*SUMIFS(AL1166:AL1201,B1166:B1201,B1192-24)+in_life_term_renew^3*SUMIFS(AL1166:AL1201,B1166:B1201,B1192-36)+in_life_term_renew^4*SUMIFS(AL1166:AL1201,B1166:B1201,B1192-48))</f>
        <v/>
      </c>
      <c r="AN1192" s="40">
        <f>AN1191*(1-IF(B1191&gt;=in_marketplace_from,d_hz_accident*G1191,0))</f>
        <v/>
      </c>
      <c r="AO1192" s="46">
        <f>AN1192*IF(B1192&gt;=in_marketplace_from,d_hz_accident*G1192,0)</f>
        <v/>
      </c>
      <c r="AP1192" s="14">
        <f>F1192*AO1192*in_accident_ticket*in_accident_comm*in_ins_partner_share+F1192*in_accident_ticket*in_accident_renew_comm*in_ins_partner_share*(in_accident_renew^1*SUMIFS(AO1166:AO1201,B1166:B1201,B1192-12)+in_accident_renew^2*SUMIFS(AO1166:AO1201,B1166:B1201,B1192-24)+in_accident_renew^3*SUMIFS(AO1166:AO1201,B1166:B1201,B1192-36)+in_accident_renew^4*SUMIFS(AO1166:AO1201,B1166:B1201,B1192-48))</f>
        <v/>
      </c>
      <c r="AQ1192" s="40">
        <f>AQ1191*(1-IF(B1191&gt;=in_marketplace_from,d_hz_two_wheeler*G1191,0))</f>
        <v/>
      </c>
      <c r="AR1192" s="46">
        <f>AQ1192*IF(B1192&gt;=in_marketplace_from,d_hz_two_wheeler*G1192,0)</f>
        <v/>
      </c>
      <c r="AS1192" s="14">
        <f>F1192*AR1192*in_two_wheeler_ticket*in_two_wheeler_comm*in_ins_partner_share+F1192*in_two_wheeler_ticket*in_two_wheeler_comm*in_ins_partner_share*(in_two_wheeler_renew^1*SUMIFS(AR1166:AR1201,B1166:B1201,B1192-12)+in_two_wheeler_renew^2*SUMIFS(AR1166:AR1201,B1166:B1201,B1192-24)+in_two_wheeler_renew^3*SUMIFS(AR1166:AR1201,B1166:B1201,B1192-36)+in_two_wheeler_renew^4*SUMIFS(AR1166:AR1201,B1166:B1201,B1192-48))</f>
        <v/>
      </c>
      <c r="AT1192" s="40">
        <f>AT1191*(1-IF(B1191&gt;=in_marketplace_from,d_hz_device*G1191,0))</f>
        <v/>
      </c>
      <c r="AU1192" s="14">
        <f>F1192*AT1192*IF(B1192&gt;=in_marketplace_from,d_hz_device*G1192,0)*in_device_ticket*in_device_comm*in_ins_partner_share</f>
        <v/>
      </c>
      <c r="AV1192" s="40">
        <f>AV1191*(1-IF(B1191&gt;=in_marketplace_from,d_hz_shop*G1191,0))</f>
        <v/>
      </c>
      <c r="AW1192" s="46">
        <f>AV1192*IF(B1192&gt;=in_marketplace_from,d_hz_shop*G1192,0)</f>
        <v/>
      </c>
      <c r="AX1192" s="14">
        <f>F1192*AW1192*in_shop_ticket*in_shop_comm*in_ins_partner_share+F1192*in_shop_ticket*in_shop_renew_comm*in_ins_partner_share*(in_shop_renew^1*SUMIFS(AW1166:AW1201,B1166:B1201,B1192-12)+in_shop_renew^2*SUMIFS(AW1166:AW1201,B1166:B1201,B1192-24)+in_shop_renew^3*SUMIFS(AW1166:AW1201,B1166:B1201,B1192-36)+in_shop_renew^4*SUMIFS(AW1166:AW1201,B1166:B1201,B1192-48))</f>
        <v/>
      </c>
      <c r="AY1192" s="40">
        <f>AY1191*(1-IF(B1191&gt;=in_marketplace_from,d_hz_sip*G1191,0))</f>
        <v/>
      </c>
      <c r="AZ1192" s="40">
        <f>AZ1191*d_rho_sip+AY1192*IF(B1192&gt;=in_marketplace_from,d_hz_sip*G1192,0)</f>
        <v/>
      </c>
      <c r="BA1192" s="40">
        <f>d_rho_sip*(BA1191+AZ1191)</f>
        <v/>
      </c>
      <c r="BB1192" s="14">
        <f>F1192*in_sip_ticket*(BA1192+0.5*AZ1192)*in_sip_comm/12</f>
        <v/>
      </c>
      <c r="BC1192" s="40">
        <f>BC1191*(1-IF(B1191&gt;=in_marketplace_from,d_hz_choti*G1191,0))</f>
        <v/>
      </c>
      <c r="BD1192" s="46">
        <f>BC1192*IF(B1192&gt;=in_marketplace_from,d_hz_choti*G1192,0)</f>
        <v/>
      </c>
      <c r="BE1192" s="14">
        <f>F1192*SUMIFS(BD1166:BD1201,B1166:B1201,B1192-in_choti_months)*in_choti_renew*in_choti_ticket</f>
        <v/>
      </c>
      <c r="BF1192" s="40">
        <f>BF1191*(1-IF(B1191&gt;=in_marketplace_from,d_hz_nps*G1191,0))</f>
        <v/>
      </c>
      <c r="BG1192" s="14">
        <f>F1192*BF1192*IF(B1192&gt;=in_marketplace_from,d_hz_nps*G1192,0)*in_nps_ticket*in_nps_comm</f>
        <v/>
      </c>
      <c r="BH1192" s="40">
        <f>BH1191*(1-IF(B1191&gt;=in_marketplace_from,d_hz_gold*G1191,0))</f>
        <v/>
      </c>
      <c r="BI1192" s="40">
        <f>BI1191*d_rho_gold+BH1192*IF(B1192&gt;=in_marketplace_from,d_hz_gold*G1192,0)</f>
        <v/>
      </c>
      <c r="BJ1192" s="14">
        <f>F1192*BI1192*in_gold_ticket*in_gold_comm</f>
        <v/>
      </c>
      <c r="BK1192" s="40">
        <f>BK1191*(1-IF(B1191&gt;=in_marketplace_from,d_hz_fd*G1191,0))</f>
        <v/>
      </c>
      <c r="BL1192" s="14">
        <f>F1192*BK1192*IF(B1192&gt;=in_marketplace_from,d_hz_fd*G1192,0)*in_fd_ticket*in_fd_comm</f>
        <v/>
      </c>
      <c r="BM1192" s="40">
        <f>BM1191*(1-IF(B1191&gt;=in_marketplace_from,d_hz_recharge*G1191,0))</f>
        <v/>
      </c>
      <c r="BN1192" s="40">
        <f>BN1191*d_rho_recharge+BM1192*IF(B1192&gt;=in_marketplace_from,d_hz_recharge*G1192,0)</f>
        <v/>
      </c>
      <c r="BO1192" s="14">
        <f>F1192*BN1192*in_recharge_ticket*in_recharge_comm/12</f>
        <v/>
      </c>
      <c r="BP1192" s="40">
        <f>BP1191*(1-IF(B1191&gt;=in_marketplace_from,d_hz_bills*G1191,0))</f>
        <v/>
      </c>
      <c r="BQ1192" s="40">
        <f>BQ1191*d_rho_bills+BP1192*IF(B1192&gt;=in_marketplace_from,d_hz_bills*G1192,0)</f>
        <v/>
      </c>
      <c r="BR1192" s="14">
        <f>F1192*BQ1192*in_bills_ticket*in_bills_comm/12</f>
        <v/>
      </c>
      <c r="BS1192" s="40">
        <f>BS1191*(1-IF(B1191&gt;=in_marketplace_from,d_hz_loan_gold*G1191,0))</f>
        <v/>
      </c>
      <c r="BT1192" s="14">
        <f>F1192*BS1192*IF(B1192&gt;=in_marketplace_from,d_hz_loan_gold*G1192,0)*in_loan_gold_ticket*in_loan_gold_comm</f>
        <v/>
      </c>
      <c r="BU1192" s="40">
        <f>BU1191*(1-IF(B1191&gt;=in_marketplace_from,d_hz_loan_cd*G1191,0))</f>
        <v/>
      </c>
      <c r="BV1192" s="14">
        <f>F1192*BU1192*IF(B1192&gt;=in_marketplace_from,d_hz_loan_cd*G1192,0)*in_loan_cd_ticket*in_loan_cd_comm</f>
        <v/>
      </c>
      <c r="BW1192" s="40">
        <f>BW1191*(1-IF(B1191&gt;=in_marketplace_from,d_hz_loan_vehicle*G1191,0))</f>
        <v/>
      </c>
      <c r="BX1192" s="14">
        <f>F1192*BW1192*IF(B1192&gt;=in_marketplace_from,d_hz_loan_vehicle*G1192,0)*in_loan_vehicle_ticket*in_loan_vehicle_comm</f>
        <v/>
      </c>
      <c r="BY1192" s="40">
        <f>BY1191*(1-IF(B1191&gt;=in_marketplace_from,d_hz_loan_home*G1191,0)*BZ1191)</f>
        <v/>
      </c>
      <c r="BZ1192" s="11">
        <f>MIN(in_approval_cap,in_loan_home_approval*INDEX('Age profile'!$O$2:$O$61,B1192)*(1+in_approval_growth)^(D1192-1))</f>
        <v/>
      </c>
      <c r="CA1192" s="14">
        <f>F1192*BY1192*IF(B1192&gt;=in_marketplace_from,d_hz_loan_home*G1192,0)*BZ1192*in_loan_home_ticket*in_loan_home_comm</f>
        <v/>
      </c>
      <c r="CB1192" s="40">
        <f>CB1191*(1-IF(B1191&gt;=in_marketplace_from,d_hz_loan_lap*G1191,0)*CC1191)</f>
        <v/>
      </c>
      <c r="CC1192" s="11">
        <f>MIN(in_approval_cap,in_loan_lap_approval*INDEX('Age profile'!$O$2:$O$61,B1192)*(1+in_approval_growth)^(D1192-1))</f>
        <v/>
      </c>
      <c r="CD1192" s="14">
        <f>F1192*CB1192*IF(B1192&gt;=in_marketplace_from,d_hz_loan_lap*G1192,0)*CC1192*in_loan_lap_ticket*in_loan_lap_comm</f>
        <v/>
      </c>
      <c r="CE1192" s="14">
        <f>AA1192+AB1192+AC1192+AD1192+AG1192+AJ1192+AM1192+AP1192+AS1192+AU1192+AX1192+BB1192+BE1192+BG1192+BJ1192+BL1192+BO1192+BR1192+BT1192+BV1192+BX1192+CA1192+CD1192</f>
        <v/>
      </c>
    </row>
    <row r="1193">
      <c r="A1193" s="39" t="n">
        <v>25</v>
      </c>
      <c r="B1193" s="39" t="n">
        <v>28</v>
      </c>
      <c r="C1193" s="39">
        <f>A1193+B1193-1</f>
        <v/>
      </c>
      <c r="D1193" s="39">
        <f>INT((C1193-1)/12)+1</f>
        <v/>
      </c>
      <c r="E1193" s="44">
        <f>INDEX(Monthly!$B$2:$B$61,A1193)</f>
        <v/>
      </c>
      <c r="F1193" s="44">
        <f>E1193*INDEX('Age profile'!$B$2:$B$61,B1193)</f>
        <v/>
      </c>
      <c r="G1193" s="45">
        <f>MIN(in_takeup_cap,INDEX('Age profile'!$N$2:$N$61,B1193)*(1+in_takeup_growth)^(D1193-1))</f>
        <v/>
      </c>
      <c r="H1193" s="11">
        <f>MIN(in_approval_cap,in_approved_first*INDEX('Age profile'!$O$2:$O$61,B1193)*(1+in_approval_growth)^(D1193-1))</f>
        <v/>
      </c>
      <c r="I1193" s="45">
        <f>G1193*MIN(in_takeup_cap,INDEX('Age profile'!$O$2:$O$61,B1193)*(1+in_approval_growth)^(D1193-1))</f>
        <v/>
      </c>
      <c r="J1193" s="40">
        <f>(J1192-L1192)*F1193/F1192</f>
        <v/>
      </c>
      <c r="K1193" s="40">
        <f>(K1192-M1192)*F1193/F1192+SUMIFS(O1166:O1192,B1166:B1192,B1193-1-d_T)*F1193</f>
        <v/>
      </c>
      <c r="L1193" s="40">
        <f>IF(B1193&gt;=in_marketplace_from,J1193*d_hz*G1193*in_eligible*H1193,0)</f>
        <v/>
      </c>
      <c r="M1193" s="40">
        <f>IF(B1193&gt;=in_marketplace_from,K1193*d_hz*G1193*in_eligible*in_approved_repeat,0)</f>
        <v/>
      </c>
      <c r="N1193" s="40">
        <f>L1193+M1193</f>
        <v/>
      </c>
      <c r="O1193" s="46">
        <f>N1193/F1193</f>
        <v/>
      </c>
      <c r="P1193" s="40">
        <f>F1193-J1193-K1193</f>
        <v/>
      </c>
      <c r="Q1193" s="40">
        <f>IF(B1193&gt;=in_marketplace_from,(J1193+K1193)*d_hz*G1193,0)</f>
        <v/>
      </c>
      <c r="R1193" s="40">
        <f>SUMIFS(N1166:N1201,B1166:B1201,"&gt;="&amp;(B1193-d_T),B1166:B1201,"&lt;="&amp;(B1193-1))</f>
        <v/>
      </c>
      <c r="S1193" s="46">
        <f>(1-d_u)*S1192+IF(d_T&gt;in_topup_lag,SUMIFS(O1166:O1201,B1166:B1201,B1193-in_topup_lag)-d_udrop*SUMIFS(O1166:O1201,B1166:B1201,B1193-d_T),0)</f>
        <v/>
      </c>
      <c r="T1193" s="40">
        <f>F1193*d_u*S1193</f>
        <v/>
      </c>
      <c r="U1193" s="9">
        <f>L1193*in_ticket+M1193*d_rep_ticket</f>
        <v/>
      </c>
      <c r="V1193" s="9">
        <f>U1193+T1193*d_topup_amt</f>
        <v/>
      </c>
      <c r="W1193" s="40">
        <f>N1193+T1193*d_topup_ratio</f>
        <v/>
      </c>
      <c r="X1193" s="40">
        <f>SUMIFS(W1166:W1201,B1166:B1201,B1193-in_dpd_lag)*d_cured</f>
        <v/>
      </c>
      <c r="Y1193" s="40">
        <f>SUMIFS(W1166:W1201,B1166:B1201,B1193-in_rec_lag)*d_recd</f>
        <v/>
      </c>
      <c r="Z1193" s="40">
        <f>IF(AND(B1193&gt;=in_marketplace_from,B1193&lt;in_marketplace_from+in_card_months),in_card_share/in_card_months*F1193*I1193,IF(AND(B1193&gt;=in_marketplace_from+in_card_months,B1193&lt;in_marketplace_from+2*in_card_months),in_card_share*d_card_rem/in_card_months*F1193*MIN(in_takeup_cap,(1+in_takeup_growth)^(D1193-1))*MIN(in_takeup_cap,(1+in_approval_growth)^(D1193-1)),0))</f>
        <v/>
      </c>
      <c r="AA1193" s="14">
        <f>V1193*in_fee*(1-in_taken_back)</f>
        <v/>
      </c>
      <c r="AB1193" s="14">
        <f>SUMIFS(W1166:W1201,B1166:B1201,B1193-in_dpd_lag)*d_dpd</f>
        <v/>
      </c>
      <c r="AC1193" s="14">
        <f>SUMIFS(W1166:W1201,B1166:B1201,B1193-in_rec_lag)*d_rec</f>
        <v/>
      </c>
      <c r="AD1193" s="14">
        <f>Z1193*in_card_fee</f>
        <v/>
      </c>
      <c r="AE1193" s="40">
        <f>AE1192*(1-IF(B1192&gt;=in_marketplace_from,d_hz_hlth_small*G1192,0))</f>
        <v/>
      </c>
      <c r="AF1193" s="46">
        <f>AE1193*IF(B1193&gt;=in_marketplace_from,d_hz_hlth_small*G1193,0)</f>
        <v/>
      </c>
      <c r="AG1193" s="14">
        <f>F1193*AF1193*in_hlth_small_ticket*in_hlth_small_comm*in_ins_partner_share+F1193*in_hlth_small_ticket*in_hlth_small_renew_comm*in_ins_partner_share*(in_hlth_small_renew^1*SUMIFS(AF1166:AF1201,B1166:B1201,B1193-12)+in_hlth_small_renew^2*SUMIFS(AF1166:AF1201,B1166:B1201,B1193-24)+in_hlth_small_renew^3*SUMIFS(AF1166:AF1201,B1166:B1201,B1193-36)+in_hlth_small_renew^4*SUMIFS(AF1166:AF1201,B1166:B1201,B1193-48))</f>
        <v/>
      </c>
      <c r="AH1193" s="40">
        <f>AH1192*(1-IF(B1192&gt;=in_marketplace_from,d_hz_hlth_family*G1192,0))</f>
        <v/>
      </c>
      <c r="AI1193" s="46">
        <f>AH1193*IF(B1193&gt;=in_marketplace_from,d_hz_hlth_family*G1193,0)</f>
        <v/>
      </c>
      <c r="AJ1193" s="14">
        <f>F1193*AI1193*in_hlth_family_ticket*in_hlth_family_comm*in_ins_partner_share+F1193*in_hlth_family_ticket*in_hlth_family_renew_comm*in_ins_partner_share*(in_hlth_family_renew^1*SUMIFS(AI1166:AI1201,B1166:B1201,B1193-12)+in_hlth_family_renew^2*SUMIFS(AI1166:AI1201,B1166:B1201,B1193-24)+in_hlth_family_renew^3*SUMIFS(AI1166:AI1201,B1166:B1201,B1193-36)+in_hlth_family_renew^4*SUMIFS(AI1166:AI1201,B1166:B1201,B1193-48))</f>
        <v/>
      </c>
      <c r="AK1193" s="40">
        <f>AK1192*(1-IF(B1192&gt;=in_marketplace_from,d_hz_life_term*G1192,0))</f>
        <v/>
      </c>
      <c r="AL1193" s="46">
        <f>AK1193*IF(B1193&gt;=in_marketplace_from,d_hz_life_term*G1193,0)</f>
        <v/>
      </c>
      <c r="AM1193" s="14">
        <f>F1193*AL1193*in_life_term_ticket*in_life_term_comm*in_ins_partner_share+F1193*in_life_term_ticket*in_life_term_renew_comm*in_ins_partner_share*(in_life_term_renew^1*SUMIFS(AL1166:AL1201,B1166:B1201,B1193-12)+in_life_term_renew^2*SUMIFS(AL1166:AL1201,B1166:B1201,B1193-24)+in_life_term_renew^3*SUMIFS(AL1166:AL1201,B1166:B1201,B1193-36)+in_life_term_renew^4*SUMIFS(AL1166:AL1201,B1166:B1201,B1193-48))</f>
        <v/>
      </c>
      <c r="AN1193" s="40">
        <f>AN1192*(1-IF(B1192&gt;=in_marketplace_from,d_hz_accident*G1192,0))</f>
        <v/>
      </c>
      <c r="AO1193" s="46">
        <f>AN1193*IF(B1193&gt;=in_marketplace_from,d_hz_accident*G1193,0)</f>
        <v/>
      </c>
      <c r="AP1193" s="14">
        <f>F1193*AO1193*in_accident_ticket*in_accident_comm*in_ins_partner_share+F1193*in_accident_ticket*in_accident_renew_comm*in_ins_partner_share*(in_accident_renew^1*SUMIFS(AO1166:AO1201,B1166:B1201,B1193-12)+in_accident_renew^2*SUMIFS(AO1166:AO1201,B1166:B1201,B1193-24)+in_accident_renew^3*SUMIFS(AO1166:AO1201,B1166:B1201,B1193-36)+in_accident_renew^4*SUMIFS(AO1166:AO1201,B1166:B1201,B1193-48))</f>
        <v/>
      </c>
      <c r="AQ1193" s="40">
        <f>AQ1192*(1-IF(B1192&gt;=in_marketplace_from,d_hz_two_wheeler*G1192,0))</f>
        <v/>
      </c>
      <c r="AR1193" s="46">
        <f>AQ1193*IF(B1193&gt;=in_marketplace_from,d_hz_two_wheeler*G1193,0)</f>
        <v/>
      </c>
      <c r="AS1193" s="14">
        <f>F1193*AR1193*in_two_wheeler_ticket*in_two_wheeler_comm*in_ins_partner_share+F1193*in_two_wheeler_ticket*in_two_wheeler_comm*in_ins_partner_share*(in_two_wheeler_renew^1*SUMIFS(AR1166:AR1201,B1166:B1201,B1193-12)+in_two_wheeler_renew^2*SUMIFS(AR1166:AR1201,B1166:B1201,B1193-24)+in_two_wheeler_renew^3*SUMIFS(AR1166:AR1201,B1166:B1201,B1193-36)+in_two_wheeler_renew^4*SUMIFS(AR1166:AR1201,B1166:B1201,B1193-48))</f>
        <v/>
      </c>
      <c r="AT1193" s="40">
        <f>AT1192*(1-IF(B1192&gt;=in_marketplace_from,d_hz_device*G1192,0))</f>
        <v/>
      </c>
      <c r="AU1193" s="14">
        <f>F1193*AT1193*IF(B1193&gt;=in_marketplace_from,d_hz_device*G1193,0)*in_device_ticket*in_device_comm*in_ins_partner_share</f>
        <v/>
      </c>
      <c r="AV1193" s="40">
        <f>AV1192*(1-IF(B1192&gt;=in_marketplace_from,d_hz_shop*G1192,0))</f>
        <v/>
      </c>
      <c r="AW1193" s="46">
        <f>AV1193*IF(B1193&gt;=in_marketplace_from,d_hz_shop*G1193,0)</f>
        <v/>
      </c>
      <c r="AX1193" s="14">
        <f>F1193*AW1193*in_shop_ticket*in_shop_comm*in_ins_partner_share+F1193*in_shop_ticket*in_shop_renew_comm*in_ins_partner_share*(in_shop_renew^1*SUMIFS(AW1166:AW1201,B1166:B1201,B1193-12)+in_shop_renew^2*SUMIFS(AW1166:AW1201,B1166:B1201,B1193-24)+in_shop_renew^3*SUMIFS(AW1166:AW1201,B1166:B1201,B1193-36)+in_shop_renew^4*SUMIFS(AW1166:AW1201,B1166:B1201,B1193-48))</f>
        <v/>
      </c>
      <c r="AY1193" s="40">
        <f>AY1192*(1-IF(B1192&gt;=in_marketplace_from,d_hz_sip*G1192,0))</f>
        <v/>
      </c>
      <c r="AZ1193" s="40">
        <f>AZ1192*d_rho_sip+AY1193*IF(B1193&gt;=in_marketplace_from,d_hz_sip*G1193,0)</f>
        <v/>
      </c>
      <c r="BA1193" s="40">
        <f>d_rho_sip*(BA1192+AZ1192)</f>
        <v/>
      </c>
      <c r="BB1193" s="14">
        <f>F1193*in_sip_ticket*(BA1193+0.5*AZ1193)*in_sip_comm/12</f>
        <v/>
      </c>
      <c r="BC1193" s="40">
        <f>BC1192*(1-IF(B1192&gt;=in_marketplace_from,d_hz_choti*G1192,0))</f>
        <v/>
      </c>
      <c r="BD1193" s="46">
        <f>BC1193*IF(B1193&gt;=in_marketplace_from,d_hz_choti*G1193,0)</f>
        <v/>
      </c>
      <c r="BE1193" s="14">
        <f>F1193*SUMIFS(BD1166:BD1201,B1166:B1201,B1193-in_choti_months)*in_choti_renew*in_choti_ticket</f>
        <v/>
      </c>
      <c r="BF1193" s="40">
        <f>BF1192*(1-IF(B1192&gt;=in_marketplace_from,d_hz_nps*G1192,0))</f>
        <v/>
      </c>
      <c r="BG1193" s="14">
        <f>F1193*BF1193*IF(B1193&gt;=in_marketplace_from,d_hz_nps*G1193,0)*in_nps_ticket*in_nps_comm</f>
        <v/>
      </c>
      <c r="BH1193" s="40">
        <f>BH1192*(1-IF(B1192&gt;=in_marketplace_from,d_hz_gold*G1192,0))</f>
        <v/>
      </c>
      <c r="BI1193" s="40">
        <f>BI1192*d_rho_gold+BH1193*IF(B1193&gt;=in_marketplace_from,d_hz_gold*G1193,0)</f>
        <v/>
      </c>
      <c r="BJ1193" s="14">
        <f>F1193*BI1193*in_gold_ticket*in_gold_comm</f>
        <v/>
      </c>
      <c r="BK1193" s="40">
        <f>BK1192*(1-IF(B1192&gt;=in_marketplace_from,d_hz_fd*G1192,0))</f>
        <v/>
      </c>
      <c r="BL1193" s="14">
        <f>F1193*BK1193*IF(B1193&gt;=in_marketplace_from,d_hz_fd*G1193,0)*in_fd_ticket*in_fd_comm</f>
        <v/>
      </c>
      <c r="BM1193" s="40">
        <f>BM1192*(1-IF(B1192&gt;=in_marketplace_from,d_hz_recharge*G1192,0))</f>
        <v/>
      </c>
      <c r="BN1193" s="40">
        <f>BN1192*d_rho_recharge+BM1193*IF(B1193&gt;=in_marketplace_from,d_hz_recharge*G1193,0)</f>
        <v/>
      </c>
      <c r="BO1193" s="14">
        <f>F1193*BN1193*in_recharge_ticket*in_recharge_comm/12</f>
        <v/>
      </c>
      <c r="BP1193" s="40">
        <f>BP1192*(1-IF(B1192&gt;=in_marketplace_from,d_hz_bills*G1192,0))</f>
        <v/>
      </c>
      <c r="BQ1193" s="40">
        <f>BQ1192*d_rho_bills+BP1193*IF(B1193&gt;=in_marketplace_from,d_hz_bills*G1193,0)</f>
        <v/>
      </c>
      <c r="BR1193" s="14">
        <f>F1193*BQ1193*in_bills_ticket*in_bills_comm/12</f>
        <v/>
      </c>
      <c r="BS1193" s="40">
        <f>BS1192*(1-IF(B1192&gt;=in_marketplace_from,d_hz_loan_gold*G1192,0))</f>
        <v/>
      </c>
      <c r="BT1193" s="14">
        <f>F1193*BS1193*IF(B1193&gt;=in_marketplace_from,d_hz_loan_gold*G1193,0)*in_loan_gold_ticket*in_loan_gold_comm</f>
        <v/>
      </c>
      <c r="BU1193" s="40">
        <f>BU1192*(1-IF(B1192&gt;=in_marketplace_from,d_hz_loan_cd*G1192,0))</f>
        <v/>
      </c>
      <c r="BV1193" s="14">
        <f>F1193*BU1193*IF(B1193&gt;=in_marketplace_from,d_hz_loan_cd*G1193,0)*in_loan_cd_ticket*in_loan_cd_comm</f>
        <v/>
      </c>
      <c r="BW1193" s="40">
        <f>BW1192*(1-IF(B1192&gt;=in_marketplace_from,d_hz_loan_vehicle*G1192,0))</f>
        <v/>
      </c>
      <c r="BX1193" s="14">
        <f>F1193*BW1193*IF(B1193&gt;=in_marketplace_from,d_hz_loan_vehicle*G1193,0)*in_loan_vehicle_ticket*in_loan_vehicle_comm</f>
        <v/>
      </c>
      <c r="BY1193" s="40">
        <f>BY1192*(1-IF(B1192&gt;=in_marketplace_from,d_hz_loan_home*G1192,0)*BZ1192)</f>
        <v/>
      </c>
      <c r="BZ1193" s="11">
        <f>MIN(in_approval_cap,in_loan_home_approval*INDEX('Age profile'!$O$2:$O$61,B1193)*(1+in_approval_growth)^(D1193-1))</f>
        <v/>
      </c>
      <c r="CA1193" s="14">
        <f>F1193*BY1193*IF(B1193&gt;=in_marketplace_from,d_hz_loan_home*G1193,0)*BZ1193*in_loan_home_ticket*in_loan_home_comm</f>
        <v/>
      </c>
      <c r="CB1193" s="40">
        <f>CB1192*(1-IF(B1192&gt;=in_marketplace_from,d_hz_loan_lap*G1192,0)*CC1192)</f>
        <v/>
      </c>
      <c r="CC1193" s="11">
        <f>MIN(in_approval_cap,in_loan_lap_approval*INDEX('Age profile'!$O$2:$O$61,B1193)*(1+in_approval_growth)^(D1193-1))</f>
        <v/>
      </c>
      <c r="CD1193" s="14">
        <f>F1193*CB1193*IF(B1193&gt;=in_marketplace_from,d_hz_loan_lap*G1193,0)*CC1193*in_loan_lap_ticket*in_loan_lap_comm</f>
        <v/>
      </c>
      <c r="CE1193" s="14">
        <f>AA1193+AB1193+AC1193+AD1193+AG1193+AJ1193+AM1193+AP1193+AS1193+AU1193+AX1193+BB1193+BE1193+BG1193+BJ1193+BL1193+BO1193+BR1193+BT1193+BV1193+BX1193+CA1193+CD1193</f>
        <v/>
      </c>
    </row>
    <row r="1194">
      <c r="A1194" s="39" t="n">
        <v>25</v>
      </c>
      <c r="B1194" s="39" t="n">
        <v>29</v>
      </c>
      <c r="C1194" s="39">
        <f>A1194+B1194-1</f>
        <v/>
      </c>
      <c r="D1194" s="39">
        <f>INT((C1194-1)/12)+1</f>
        <v/>
      </c>
      <c r="E1194" s="44">
        <f>INDEX(Monthly!$B$2:$B$61,A1194)</f>
        <v/>
      </c>
      <c r="F1194" s="44">
        <f>E1194*INDEX('Age profile'!$B$2:$B$61,B1194)</f>
        <v/>
      </c>
      <c r="G1194" s="45">
        <f>MIN(in_takeup_cap,INDEX('Age profile'!$N$2:$N$61,B1194)*(1+in_takeup_growth)^(D1194-1))</f>
        <v/>
      </c>
      <c r="H1194" s="11">
        <f>MIN(in_approval_cap,in_approved_first*INDEX('Age profile'!$O$2:$O$61,B1194)*(1+in_approval_growth)^(D1194-1))</f>
        <v/>
      </c>
      <c r="I1194" s="45">
        <f>G1194*MIN(in_takeup_cap,INDEX('Age profile'!$O$2:$O$61,B1194)*(1+in_approval_growth)^(D1194-1))</f>
        <v/>
      </c>
      <c r="J1194" s="40">
        <f>(J1193-L1193)*F1194/F1193</f>
        <v/>
      </c>
      <c r="K1194" s="40">
        <f>(K1193-M1193)*F1194/F1193+SUMIFS(O1166:O1193,B1166:B1193,B1194-1-d_T)*F1194</f>
        <v/>
      </c>
      <c r="L1194" s="40">
        <f>IF(B1194&gt;=in_marketplace_from,J1194*d_hz*G1194*in_eligible*H1194,0)</f>
        <v/>
      </c>
      <c r="M1194" s="40">
        <f>IF(B1194&gt;=in_marketplace_from,K1194*d_hz*G1194*in_eligible*in_approved_repeat,0)</f>
        <v/>
      </c>
      <c r="N1194" s="40">
        <f>L1194+M1194</f>
        <v/>
      </c>
      <c r="O1194" s="46">
        <f>N1194/F1194</f>
        <v/>
      </c>
      <c r="P1194" s="40">
        <f>F1194-J1194-K1194</f>
        <v/>
      </c>
      <c r="Q1194" s="40">
        <f>IF(B1194&gt;=in_marketplace_from,(J1194+K1194)*d_hz*G1194,0)</f>
        <v/>
      </c>
      <c r="R1194" s="40">
        <f>SUMIFS(N1166:N1201,B1166:B1201,"&gt;="&amp;(B1194-d_T),B1166:B1201,"&lt;="&amp;(B1194-1))</f>
        <v/>
      </c>
      <c r="S1194" s="46">
        <f>(1-d_u)*S1193+IF(d_T&gt;in_topup_lag,SUMIFS(O1166:O1201,B1166:B1201,B1194-in_topup_lag)-d_udrop*SUMIFS(O1166:O1201,B1166:B1201,B1194-d_T),0)</f>
        <v/>
      </c>
      <c r="T1194" s="40">
        <f>F1194*d_u*S1194</f>
        <v/>
      </c>
      <c r="U1194" s="9">
        <f>L1194*in_ticket+M1194*d_rep_ticket</f>
        <v/>
      </c>
      <c r="V1194" s="9">
        <f>U1194+T1194*d_topup_amt</f>
        <v/>
      </c>
      <c r="W1194" s="40">
        <f>N1194+T1194*d_topup_ratio</f>
        <v/>
      </c>
      <c r="X1194" s="40">
        <f>SUMIFS(W1166:W1201,B1166:B1201,B1194-in_dpd_lag)*d_cured</f>
        <v/>
      </c>
      <c r="Y1194" s="40">
        <f>SUMIFS(W1166:W1201,B1166:B1201,B1194-in_rec_lag)*d_recd</f>
        <v/>
      </c>
      <c r="Z1194" s="40">
        <f>IF(AND(B1194&gt;=in_marketplace_from,B1194&lt;in_marketplace_from+in_card_months),in_card_share/in_card_months*F1194*I1194,IF(AND(B1194&gt;=in_marketplace_from+in_card_months,B1194&lt;in_marketplace_from+2*in_card_months),in_card_share*d_card_rem/in_card_months*F1194*MIN(in_takeup_cap,(1+in_takeup_growth)^(D1194-1))*MIN(in_takeup_cap,(1+in_approval_growth)^(D1194-1)),0))</f>
        <v/>
      </c>
      <c r="AA1194" s="14">
        <f>V1194*in_fee*(1-in_taken_back)</f>
        <v/>
      </c>
      <c r="AB1194" s="14">
        <f>SUMIFS(W1166:W1201,B1166:B1201,B1194-in_dpd_lag)*d_dpd</f>
        <v/>
      </c>
      <c r="AC1194" s="14">
        <f>SUMIFS(W1166:W1201,B1166:B1201,B1194-in_rec_lag)*d_rec</f>
        <v/>
      </c>
      <c r="AD1194" s="14">
        <f>Z1194*in_card_fee</f>
        <v/>
      </c>
      <c r="AE1194" s="40">
        <f>AE1193*(1-IF(B1193&gt;=in_marketplace_from,d_hz_hlth_small*G1193,0))</f>
        <v/>
      </c>
      <c r="AF1194" s="46">
        <f>AE1194*IF(B1194&gt;=in_marketplace_from,d_hz_hlth_small*G1194,0)</f>
        <v/>
      </c>
      <c r="AG1194" s="14">
        <f>F1194*AF1194*in_hlth_small_ticket*in_hlth_small_comm*in_ins_partner_share+F1194*in_hlth_small_ticket*in_hlth_small_renew_comm*in_ins_partner_share*(in_hlth_small_renew^1*SUMIFS(AF1166:AF1201,B1166:B1201,B1194-12)+in_hlth_small_renew^2*SUMIFS(AF1166:AF1201,B1166:B1201,B1194-24)+in_hlth_small_renew^3*SUMIFS(AF1166:AF1201,B1166:B1201,B1194-36)+in_hlth_small_renew^4*SUMIFS(AF1166:AF1201,B1166:B1201,B1194-48))</f>
        <v/>
      </c>
      <c r="AH1194" s="40">
        <f>AH1193*(1-IF(B1193&gt;=in_marketplace_from,d_hz_hlth_family*G1193,0))</f>
        <v/>
      </c>
      <c r="AI1194" s="46">
        <f>AH1194*IF(B1194&gt;=in_marketplace_from,d_hz_hlth_family*G1194,0)</f>
        <v/>
      </c>
      <c r="AJ1194" s="14">
        <f>F1194*AI1194*in_hlth_family_ticket*in_hlth_family_comm*in_ins_partner_share+F1194*in_hlth_family_ticket*in_hlth_family_renew_comm*in_ins_partner_share*(in_hlth_family_renew^1*SUMIFS(AI1166:AI1201,B1166:B1201,B1194-12)+in_hlth_family_renew^2*SUMIFS(AI1166:AI1201,B1166:B1201,B1194-24)+in_hlth_family_renew^3*SUMIFS(AI1166:AI1201,B1166:B1201,B1194-36)+in_hlth_family_renew^4*SUMIFS(AI1166:AI1201,B1166:B1201,B1194-48))</f>
        <v/>
      </c>
      <c r="AK1194" s="40">
        <f>AK1193*(1-IF(B1193&gt;=in_marketplace_from,d_hz_life_term*G1193,0))</f>
        <v/>
      </c>
      <c r="AL1194" s="46">
        <f>AK1194*IF(B1194&gt;=in_marketplace_from,d_hz_life_term*G1194,0)</f>
        <v/>
      </c>
      <c r="AM1194" s="14">
        <f>F1194*AL1194*in_life_term_ticket*in_life_term_comm*in_ins_partner_share+F1194*in_life_term_ticket*in_life_term_renew_comm*in_ins_partner_share*(in_life_term_renew^1*SUMIFS(AL1166:AL1201,B1166:B1201,B1194-12)+in_life_term_renew^2*SUMIFS(AL1166:AL1201,B1166:B1201,B1194-24)+in_life_term_renew^3*SUMIFS(AL1166:AL1201,B1166:B1201,B1194-36)+in_life_term_renew^4*SUMIFS(AL1166:AL1201,B1166:B1201,B1194-48))</f>
        <v/>
      </c>
      <c r="AN1194" s="40">
        <f>AN1193*(1-IF(B1193&gt;=in_marketplace_from,d_hz_accident*G1193,0))</f>
        <v/>
      </c>
      <c r="AO1194" s="46">
        <f>AN1194*IF(B1194&gt;=in_marketplace_from,d_hz_accident*G1194,0)</f>
        <v/>
      </c>
      <c r="AP1194" s="14">
        <f>F1194*AO1194*in_accident_ticket*in_accident_comm*in_ins_partner_share+F1194*in_accident_ticket*in_accident_renew_comm*in_ins_partner_share*(in_accident_renew^1*SUMIFS(AO1166:AO1201,B1166:B1201,B1194-12)+in_accident_renew^2*SUMIFS(AO1166:AO1201,B1166:B1201,B1194-24)+in_accident_renew^3*SUMIFS(AO1166:AO1201,B1166:B1201,B1194-36)+in_accident_renew^4*SUMIFS(AO1166:AO1201,B1166:B1201,B1194-48))</f>
        <v/>
      </c>
      <c r="AQ1194" s="40">
        <f>AQ1193*(1-IF(B1193&gt;=in_marketplace_from,d_hz_two_wheeler*G1193,0))</f>
        <v/>
      </c>
      <c r="AR1194" s="46">
        <f>AQ1194*IF(B1194&gt;=in_marketplace_from,d_hz_two_wheeler*G1194,0)</f>
        <v/>
      </c>
      <c r="AS1194" s="14">
        <f>F1194*AR1194*in_two_wheeler_ticket*in_two_wheeler_comm*in_ins_partner_share+F1194*in_two_wheeler_ticket*in_two_wheeler_comm*in_ins_partner_share*(in_two_wheeler_renew^1*SUMIFS(AR1166:AR1201,B1166:B1201,B1194-12)+in_two_wheeler_renew^2*SUMIFS(AR1166:AR1201,B1166:B1201,B1194-24)+in_two_wheeler_renew^3*SUMIFS(AR1166:AR1201,B1166:B1201,B1194-36)+in_two_wheeler_renew^4*SUMIFS(AR1166:AR1201,B1166:B1201,B1194-48))</f>
        <v/>
      </c>
      <c r="AT1194" s="40">
        <f>AT1193*(1-IF(B1193&gt;=in_marketplace_from,d_hz_device*G1193,0))</f>
        <v/>
      </c>
      <c r="AU1194" s="14">
        <f>F1194*AT1194*IF(B1194&gt;=in_marketplace_from,d_hz_device*G1194,0)*in_device_ticket*in_device_comm*in_ins_partner_share</f>
        <v/>
      </c>
      <c r="AV1194" s="40">
        <f>AV1193*(1-IF(B1193&gt;=in_marketplace_from,d_hz_shop*G1193,0))</f>
        <v/>
      </c>
      <c r="AW1194" s="46">
        <f>AV1194*IF(B1194&gt;=in_marketplace_from,d_hz_shop*G1194,0)</f>
        <v/>
      </c>
      <c r="AX1194" s="14">
        <f>F1194*AW1194*in_shop_ticket*in_shop_comm*in_ins_partner_share+F1194*in_shop_ticket*in_shop_renew_comm*in_ins_partner_share*(in_shop_renew^1*SUMIFS(AW1166:AW1201,B1166:B1201,B1194-12)+in_shop_renew^2*SUMIFS(AW1166:AW1201,B1166:B1201,B1194-24)+in_shop_renew^3*SUMIFS(AW1166:AW1201,B1166:B1201,B1194-36)+in_shop_renew^4*SUMIFS(AW1166:AW1201,B1166:B1201,B1194-48))</f>
        <v/>
      </c>
      <c r="AY1194" s="40">
        <f>AY1193*(1-IF(B1193&gt;=in_marketplace_from,d_hz_sip*G1193,0))</f>
        <v/>
      </c>
      <c r="AZ1194" s="40">
        <f>AZ1193*d_rho_sip+AY1194*IF(B1194&gt;=in_marketplace_from,d_hz_sip*G1194,0)</f>
        <v/>
      </c>
      <c r="BA1194" s="40">
        <f>d_rho_sip*(BA1193+AZ1193)</f>
        <v/>
      </c>
      <c r="BB1194" s="14">
        <f>F1194*in_sip_ticket*(BA1194+0.5*AZ1194)*in_sip_comm/12</f>
        <v/>
      </c>
      <c r="BC1194" s="40">
        <f>BC1193*(1-IF(B1193&gt;=in_marketplace_from,d_hz_choti*G1193,0))</f>
        <v/>
      </c>
      <c r="BD1194" s="46">
        <f>BC1194*IF(B1194&gt;=in_marketplace_from,d_hz_choti*G1194,0)</f>
        <v/>
      </c>
      <c r="BE1194" s="14">
        <f>F1194*SUMIFS(BD1166:BD1201,B1166:B1201,B1194-in_choti_months)*in_choti_renew*in_choti_ticket</f>
        <v/>
      </c>
      <c r="BF1194" s="40">
        <f>BF1193*(1-IF(B1193&gt;=in_marketplace_from,d_hz_nps*G1193,0))</f>
        <v/>
      </c>
      <c r="BG1194" s="14">
        <f>F1194*BF1194*IF(B1194&gt;=in_marketplace_from,d_hz_nps*G1194,0)*in_nps_ticket*in_nps_comm</f>
        <v/>
      </c>
      <c r="BH1194" s="40">
        <f>BH1193*(1-IF(B1193&gt;=in_marketplace_from,d_hz_gold*G1193,0))</f>
        <v/>
      </c>
      <c r="BI1194" s="40">
        <f>BI1193*d_rho_gold+BH1194*IF(B1194&gt;=in_marketplace_from,d_hz_gold*G1194,0)</f>
        <v/>
      </c>
      <c r="BJ1194" s="14">
        <f>F1194*BI1194*in_gold_ticket*in_gold_comm</f>
        <v/>
      </c>
      <c r="BK1194" s="40">
        <f>BK1193*(1-IF(B1193&gt;=in_marketplace_from,d_hz_fd*G1193,0))</f>
        <v/>
      </c>
      <c r="BL1194" s="14">
        <f>F1194*BK1194*IF(B1194&gt;=in_marketplace_from,d_hz_fd*G1194,0)*in_fd_ticket*in_fd_comm</f>
        <v/>
      </c>
      <c r="BM1194" s="40">
        <f>BM1193*(1-IF(B1193&gt;=in_marketplace_from,d_hz_recharge*G1193,0))</f>
        <v/>
      </c>
      <c r="BN1194" s="40">
        <f>BN1193*d_rho_recharge+BM1194*IF(B1194&gt;=in_marketplace_from,d_hz_recharge*G1194,0)</f>
        <v/>
      </c>
      <c r="BO1194" s="14">
        <f>F1194*BN1194*in_recharge_ticket*in_recharge_comm/12</f>
        <v/>
      </c>
      <c r="BP1194" s="40">
        <f>BP1193*(1-IF(B1193&gt;=in_marketplace_from,d_hz_bills*G1193,0))</f>
        <v/>
      </c>
      <c r="BQ1194" s="40">
        <f>BQ1193*d_rho_bills+BP1194*IF(B1194&gt;=in_marketplace_from,d_hz_bills*G1194,0)</f>
        <v/>
      </c>
      <c r="BR1194" s="14">
        <f>F1194*BQ1194*in_bills_ticket*in_bills_comm/12</f>
        <v/>
      </c>
      <c r="BS1194" s="40">
        <f>BS1193*(1-IF(B1193&gt;=in_marketplace_from,d_hz_loan_gold*G1193,0))</f>
        <v/>
      </c>
      <c r="BT1194" s="14">
        <f>F1194*BS1194*IF(B1194&gt;=in_marketplace_from,d_hz_loan_gold*G1194,0)*in_loan_gold_ticket*in_loan_gold_comm</f>
        <v/>
      </c>
      <c r="BU1194" s="40">
        <f>BU1193*(1-IF(B1193&gt;=in_marketplace_from,d_hz_loan_cd*G1193,0))</f>
        <v/>
      </c>
      <c r="BV1194" s="14">
        <f>F1194*BU1194*IF(B1194&gt;=in_marketplace_from,d_hz_loan_cd*G1194,0)*in_loan_cd_ticket*in_loan_cd_comm</f>
        <v/>
      </c>
      <c r="BW1194" s="40">
        <f>BW1193*(1-IF(B1193&gt;=in_marketplace_from,d_hz_loan_vehicle*G1193,0))</f>
        <v/>
      </c>
      <c r="BX1194" s="14">
        <f>F1194*BW1194*IF(B1194&gt;=in_marketplace_from,d_hz_loan_vehicle*G1194,0)*in_loan_vehicle_ticket*in_loan_vehicle_comm</f>
        <v/>
      </c>
      <c r="BY1194" s="40">
        <f>BY1193*(1-IF(B1193&gt;=in_marketplace_from,d_hz_loan_home*G1193,0)*BZ1193)</f>
        <v/>
      </c>
      <c r="BZ1194" s="11">
        <f>MIN(in_approval_cap,in_loan_home_approval*INDEX('Age profile'!$O$2:$O$61,B1194)*(1+in_approval_growth)^(D1194-1))</f>
        <v/>
      </c>
      <c r="CA1194" s="14">
        <f>F1194*BY1194*IF(B1194&gt;=in_marketplace_from,d_hz_loan_home*G1194,0)*BZ1194*in_loan_home_ticket*in_loan_home_comm</f>
        <v/>
      </c>
      <c r="CB1194" s="40">
        <f>CB1193*(1-IF(B1193&gt;=in_marketplace_from,d_hz_loan_lap*G1193,0)*CC1193)</f>
        <v/>
      </c>
      <c r="CC1194" s="11">
        <f>MIN(in_approval_cap,in_loan_lap_approval*INDEX('Age profile'!$O$2:$O$61,B1194)*(1+in_approval_growth)^(D1194-1))</f>
        <v/>
      </c>
      <c r="CD1194" s="14">
        <f>F1194*CB1194*IF(B1194&gt;=in_marketplace_from,d_hz_loan_lap*G1194,0)*CC1194*in_loan_lap_ticket*in_loan_lap_comm</f>
        <v/>
      </c>
      <c r="CE1194" s="14">
        <f>AA1194+AB1194+AC1194+AD1194+AG1194+AJ1194+AM1194+AP1194+AS1194+AU1194+AX1194+BB1194+BE1194+BG1194+BJ1194+BL1194+BO1194+BR1194+BT1194+BV1194+BX1194+CA1194+CD1194</f>
        <v/>
      </c>
    </row>
    <row r="1195">
      <c r="A1195" s="39" t="n">
        <v>25</v>
      </c>
      <c r="B1195" s="39" t="n">
        <v>30</v>
      </c>
      <c r="C1195" s="39">
        <f>A1195+B1195-1</f>
        <v/>
      </c>
      <c r="D1195" s="39">
        <f>INT((C1195-1)/12)+1</f>
        <v/>
      </c>
      <c r="E1195" s="44">
        <f>INDEX(Monthly!$B$2:$B$61,A1195)</f>
        <v/>
      </c>
      <c r="F1195" s="44">
        <f>E1195*INDEX('Age profile'!$B$2:$B$61,B1195)</f>
        <v/>
      </c>
      <c r="G1195" s="45">
        <f>MIN(in_takeup_cap,INDEX('Age profile'!$N$2:$N$61,B1195)*(1+in_takeup_growth)^(D1195-1))</f>
        <v/>
      </c>
      <c r="H1195" s="11">
        <f>MIN(in_approval_cap,in_approved_first*INDEX('Age profile'!$O$2:$O$61,B1195)*(1+in_approval_growth)^(D1195-1))</f>
        <v/>
      </c>
      <c r="I1195" s="45">
        <f>G1195*MIN(in_takeup_cap,INDEX('Age profile'!$O$2:$O$61,B1195)*(1+in_approval_growth)^(D1195-1))</f>
        <v/>
      </c>
      <c r="J1195" s="40">
        <f>(J1194-L1194)*F1195/F1194</f>
        <v/>
      </c>
      <c r="K1195" s="40">
        <f>(K1194-M1194)*F1195/F1194+SUMIFS(O1166:O1194,B1166:B1194,B1195-1-d_T)*F1195</f>
        <v/>
      </c>
      <c r="L1195" s="40">
        <f>IF(B1195&gt;=in_marketplace_from,J1195*d_hz*G1195*in_eligible*H1195,0)</f>
        <v/>
      </c>
      <c r="M1195" s="40">
        <f>IF(B1195&gt;=in_marketplace_from,K1195*d_hz*G1195*in_eligible*in_approved_repeat,0)</f>
        <v/>
      </c>
      <c r="N1195" s="40">
        <f>L1195+M1195</f>
        <v/>
      </c>
      <c r="O1195" s="46">
        <f>N1195/F1195</f>
        <v/>
      </c>
      <c r="P1195" s="40">
        <f>F1195-J1195-K1195</f>
        <v/>
      </c>
      <c r="Q1195" s="40">
        <f>IF(B1195&gt;=in_marketplace_from,(J1195+K1195)*d_hz*G1195,0)</f>
        <v/>
      </c>
      <c r="R1195" s="40">
        <f>SUMIFS(N1166:N1201,B1166:B1201,"&gt;="&amp;(B1195-d_T),B1166:B1201,"&lt;="&amp;(B1195-1))</f>
        <v/>
      </c>
      <c r="S1195" s="46">
        <f>(1-d_u)*S1194+IF(d_T&gt;in_topup_lag,SUMIFS(O1166:O1201,B1166:B1201,B1195-in_topup_lag)-d_udrop*SUMIFS(O1166:O1201,B1166:B1201,B1195-d_T),0)</f>
        <v/>
      </c>
      <c r="T1195" s="40">
        <f>F1195*d_u*S1195</f>
        <v/>
      </c>
      <c r="U1195" s="9">
        <f>L1195*in_ticket+M1195*d_rep_ticket</f>
        <v/>
      </c>
      <c r="V1195" s="9">
        <f>U1195+T1195*d_topup_amt</f>
        <v/>
      </c>
      <c r="W1195" s="40">
        <f>N1195+T1195*d_topup_ratio</f>
        <v/>
      </c>
      <c r="X1195" s="40">
        <f>SUMIFS(W1166:W1201,B1166:B1201,B1195-in_dpd_lag)*d_cured</f>
        <v/>
      </c>
      <c r="Y1195" s="40">
        <f>SUMIFS(W1166:W1201,B1166:B1201,B1195-in_rec_lag)*d_recd</f>
        <v/>
      </c>
      <c r="Z1195" s="40">
        <f>IF(AND(B1195&gt;=in_marketplace_from,B1195&lt;in_marketplace_from+in_card_months),in_card_share/in_card_months*F1195*I1195,IF(AND(B1195&gt;=in_marketplace_from+in_card_months,B1195&lt;in_marketplace_from+2*in_card_months),in_card_share*d_card_rem/in_card_months*F1195*MIN(in_takeup_cap,(1+in_takeup_growth)^(D1195-1))*MIN(in_takeup_cap,(1+in_approval_growth)^(D1195-1)),0))</f>
        <v/>
      </c>
      <c r="AA1195" s="14">
        <f>V1195*in_fee*(1-in_taken_back)</f>
        <v/>
      </c>
      <c r="AB1195" s="14">
        <f>SUMIFS(W1166:W1201,B1166:B1201,B1195-in_dpd_lag)*d_dpd</f>
        <v/>
      </c>
      <c r="AC1195" s="14">
        <f>SUMIFS(W1166:W1201,B1166:B1201,B1195-in_rec_lag)*d_rec</f>
        <v/>
      </c>
      <c r="AD1195" s="14">
        <f>Z1195*in_card_fee</f>
        <v/>
      </c>
      <c r="AE1195" s="40">
        <f>AE1194*(1-IF(B1194&gt;=in_marketplace_from,d_hz_hlth_small*G1194,0))</f>
        <v/>
      </c>
      <c r="AF1195" s="46">
        <f>AE1195*IF(B1195&gt;=in_marketplace_from,d_hz_hlth_small*G1195,0)</f>
        <v/>
      </c>
      <c r="AG1195" s="14">
        <f>F1195*AF1195*in_hlth_small_ticket*in_hlth_small_comm*in_ins_partner_share+F1195*in_hlth_small_ticket*in_hlth_small_renew_comm*in_ins_partner_share*(in_hlth_small_renew^1*SUMIFS(AF1166:AF1201,B1166:B1201,B1195-12)+in_hlth_small_renew^2*SUMIFS(AF1166:AF1201,B1166:B1201,B1195-24)+in_hlth_small_renew^3*SUMIFS(AF1166:AF1201,B1166:B1201,B1195-36)+in_hlth_small_renew^4*SUMIFS(AF1166:AF1201,B1166:B1201,B1195-48))</f>
        <v/>
      </c>
      <c r="AH1195" s="40">
        <f>AH1194*(1-IF(B1194&gt;=in_marketplace_from,d_hz_hlth_family*G1194,0))</f>
        <v/>
      </c>
      <c r="AI1195" s="46">
        <f>AH1195*IF(B1195&gt;=in_marketplace_from,d_hz_hlth_family*G1195,0)</f>
        <v/>
      </c>
      <c r="AJ1195" s="14">
        <f>F1195*AI1195*in_hlth_family_ticket*in_hlth_family_comm*in_ins_partner_share+F1195*in_hlth_family_ticket*in_hlth_family_renew_comm*in_ins_partner_share*(in_hlth_family_renew^1*SUMIFS(AI1166:AI1201,B1166:B1201,B1195-12)+in_hlth_family_renew^2*SUMIFS(AI1166:AI1201,B1166:B1201,B1195-24)+in_hlth_family_renew^3*SUMIFS(AI1166:AI1201,B1166:B1201,B1195-36)+in_hlth_family_renew^4*SUMIFS(AI1166:AI1201,B1166:B1201,B1195-48))</f>
        <v/>
      </c>
      <c r="AK1195" s="40">
        <f>AK1194*(1-IF(B1194&gt;=in_marketplace_from,d_hz_life_term*G1194,0))</f>
        <v/>
      </c>
      <c r="AL1195" s="46">
        <f>AK1195*IF(B1195&gt;=in_marketplace_from,d_hz_life_term*G1195,0)</f>
        <v/>
      </c>
      <c r="AM1195" s="14">
        <f>F1195*AL1195*in_life_term_ticket*in_life_term_comm*in_ins_partner_share+F1195*in_life_term_ticket*in_life_term_renew_comm*in_ins_partner_share*(in_life_term_renew^1*SUMIFS(AL1166:AL1201,B1166:B1201,B1195-12)+in_life_term_renew^2*SUMIFS(AL1166:AL1201,B1166:B1201,B1195-24)+in_life_term_renew^3*SUMIFS(AL1166:AL1201,B1166:B1201,B1195-36)+in_life_term_renew^4*SUMIFS(AL1166:AL1201,B1166:B1201,B1195-48))</f>
        <v/>
      </c>
      <c r="AN1195" s="40">
        <f>AN1194*(1-IF(B1194&gt;=in_marketplace_from,d_hz_accident*G1194,0))</f>
        <v/>
      </c>
      <c r="AO1195" s="46">
        <f>AN1195*IF(B1195&gt;=in_marketplace_from,d_hz_accident*G1195,0)</f>
        <v/>
      </c>
      <c r="AP1195" s="14">
        <f>F1195*AO1195*in_accident_ticket*in_accident_comm*in_ins_partner_share+F1195*in_accident_ticket*in_accident_renew_comm*in_ins_partner_share*(in_accident_renew^1*SUMIFS(AO1166:AO1201,B1166:B1201,B1195-12)+in_accident_renew^2*SUMIFS(AO1166:AO1201,B1166:B1201,B1195-24)+in_accident_renew^3*SUMIFS(AO1166:AO1201,B1166:B1201,B1195-36)+in_accident_renew^4*SUMIFS(AO1166:AO1201,B1166:B1201,B1195-48))</f>
        <v/>
      </c>
      <c r="AQ1195" s="40">
        <f>AQ1194*(1-IF(B1194&gt;=in_marketplace_from,d_hz_two_wheeler*G1194,0))</f>
        <v/>
      </c>
      <c r="AR1195" s="46">
        <f>AQ1195*IF(B1195&gt;=in_marketplace_from,d_hz_two_wheeler*G1195,0)</f>
        <v/>
      </c>
      <c r="AS1195" s="14">
        <f>F1195*AR1195*in_two_wheeler_ticket*in_two_wheeler_comm*in_ins_partner_share+F1195*in_two_wheeler_ticket*in_two_wheeler_comm*in_ins_partner_share*(in_two_wheeler_renew^1*SUMIFS(AR1166:AR1201,B1166:B1201,B1195-12)+in_two_wheeler_renew^2*SUMIFS(AR1166:AR1201,B1166:B1201,B1195-24)+in_two_wheeler_renew^3*SUMIFS(AR1166:AR1201,B1166:B1201,B1195-36)+in_two_wheeler_renew^4*SUMIFS(AR1166:AR1201,B1166:B1201,B1195-48))</f>
        <v/>
      </c>
      <c r="AT1195" s="40">
        <f>AT1194*(1-IF(B1194&gt;=in_marketplace_from,d_hz_device*G1194,0))</f>
        <v/>
      </c>
      <c r="AU1195" s="14">
        <f>F1195*AT1195*IF(B1195&gt;=in_marketplace_from,d_hz_device*G1195,0)*in_device_ticket*in_device_comm*in_ins_partner_share</f>
        <v/>
      </c>
      <c r="AV1195" s="40">
        <f>AV1194*(1-IF(B1194&gt;=in_marketplace_from,d_hz_shop*G1194,0))</f>
        <v/>
      </c>
      <c r="AW1195" s="46">
        <f>AV1195*IF(B1195&gt;=in_marketplace_from,d_hz_shop*G1195,0)</f>
        <v/>
      </c>
      <c r="AX1195" s="14">
        <f>F1195*AW1195*in_shop_ticket*in_shop_comm*in_ins_partner_share+F1195*in_shop_ticket*in_shop_renew_comm*in_ins_partner_share*(in_shop_renew^1*SUMIFS(AW1166:AW1201,B1166:B1201,B1195-12)+in_shop_renew^2*SUMIFS(AW1166:AW1201,B1166:B1201,B1195-24)+in_shop_renew^3*SUMIFS(AW1166:AW1201,B1166:B1201,B1195-36)+in_shop_renew^4*SUMIFS(AW1166:AW1201,B1166:B1201,B1195-48))</f>
        <v/>
      </c>
      <c r="AY1195" s="40">
        <f>AY1194*(1-IF(B1194&gt;=in_marketplace_from,d_hz_sip*G1194,0))</f>
        <v/>
      </c>
      <c r="AZ1195" s="40">
        <f>AZ1194*d_rho_sip+AY1195*IF(B1195&gt;=in_marketplace_from,d_hz_sip*G1195,0)</f>
        <v/>
      </c>
      <c r="BA1195" s="40">
        <f>d_rho_sip*(BA1194+AZ1194)</f>
        <v/>
      </c>
      <c r="BB1195" s="14">
        <f>F1195*in_sip_ticket*(BA1195+0.5*AZ1195)*in_sip_comm/12</f>
        <v/>
      </c>
      <c r="BC1195" s="40">
        <f>BC1194*(1-IF(B1194&gt;=in_marketplace_from,d_hz_choti*G1194,0))</f>
        <v/>
      </c>
      <c r="BD1195" s="46">
        <f>BC1195*IF(B1195&gt;=in_marketplace_from,d_hz_choti*G1195,0)</f>
        <v/>
      </c>
      <c r="BE1195" s="14">
        <f>F1195*SUMIFS(BD1166:BD1201,B1166:B1201,B1195-in_choti_months)*in_choti_renew*in_choti_ticket</f>
        <v/>
      </c>
      <c r="BF1195" s="40">
        <f>BF1194*(1-IF(B1194&gt;=in_marketplace_from,d_hz_nps*G1194,0))</f>
        <v/>
      </c>
      <c r="BG1195" s="14">
        <f>F1195*BF1195*IF(B1195&gt;=in_marketplace_from,d_hz_nps*G1195,0)*in_nps_ticket*in_nps_comm</f>
        <v/>
      </c>
      <c r="BH1195" s="40">
        <f>BH1194*(1-IF(B1194&gt;=in_marketplace_from,d_hz_gold*G1194,0))</f>
        <v/>
      </c>
      <c r="BI1195" s="40">
        <f>BI1194*d_rho_gold+BH1195*IF(B1195&gt;=in_marketplace_from,d_hz_gold*G1195,0)</f>
        <v/>
      </c>
      <c r="BJ1195" s="14">
        <f>F1195*BI1195*in_gold_ticket*in_gold_comm</f>
        <v/>
      </c>
      <c r="BK1195" s="40">
        <f>BK1194*(1-IF(B1194&gt;=in_marketplace_from,d_hz_fd*G1194,0))</f>
        <v/>
      </c>
      <c r="BL1195" s="14">
        <f>F1195*BK1195*IF(B1195&gt;=in_marketplace_from,d_hz_fd*G1195,0)*in_fd_ticket*in_fd_comm</f>
        <v/>
      </c>
      <c r="BM1195" s="40">
        <f>BM1194*(1-IF(B1194&gt;=in_marketplace_from,d_hz_recharge*G1194,0))</f>
        <v/>
      </c>
      <c r="BN1195" s="40">
        <f>BN1194*d_rho_recharge+BM1195*IF(B1195&gt;=in_marketplace_from,d_hz_recharge*G1195,0)</f>
        <v/>
      </c>
      <c r="BO1195" s="14">
        <f>F1195*BN1195*in_recharge_ticket*in_recharge_comm/12</f>
        <v/>
      </c>
      <c r="BP1195" s="40">
        <f>BP1194*(1-IF(B1194&gt;=in_marketplace_from,d_hz_bills*G1194,0))</f>
        <v/>
      </c>
      <c r="BQ1195" s="40">
        <f>BQ1194*d_rho_bills+BP1195*IF(B1195&gt;=in_marketplace_from,d_hz_bills*G1195,0)</f>
        <v/>
      </c>
      <c r="BR1195" s="14">
        <f>F1195*BQ1195*in_bills_ticket*in_bills_comm/12</f>
        <v/>
      </c>
      <c r="BS1195" s="40">
        <f>BS1194*(1-IF(B1194&gt;=in_marketplace_from,d_hz_loan_gold*G1194,0))</f>
        <v/>
      </c>
      <c r="BT1195" s="14">
        <f>F1195*BS1195*IF(B1195&gt;=in_marketplace_from,d_hz_loan_gold*G1195,0)*in_loan_gold_ticket*in_loan_gold_comm</f>
        <v/>
      </c>
      <c r="BU1195" s="40">
        <f>BU1194*(1-IF(B1194&gt;=in_marketplace_from,d_hz_loan_cd*G1194,0))</f>
        <v/>
      </c>
      <c r="BV1195" s="14">
        <f>F1195*BU1195*IF(B1195&gt;=in_marketplace_from,d_hz_loan_cd*G1195,0)*in_loan_cd_ticket*in_loan_cd_comm</f>
        <v/>
      </c>
      <c r="BW1195" s="40">
        <f>BW1194*(1-IF(B1194&gt;=in_marketplace_from,d_hz_loan_vehicle*G1194,0))</f>
        <v/>
      </c>
      <c r="BX1195" s="14">
        <f>F1195*BW1195*IF(B1195&gt;=in_marketplace_from,d_hz_loan_vehicle*G1195,0)*in_loan_vehicle_ticket*in_loan_vehicle_comm</f>
        <v/>
      </c>
      <c r="BY1195" s="40">
        <f>BY1194*(1-IF(B1194&gt;=in_marketplace_from,d_hz_loan_home*G1194,0)*BZ1194)</f>
        <v/>
      </c>
      <c r="BZ1195" s="11">
        <f>MIN(in_approval_cap,in_loan_home_approval*INDEX('Age profile'!$O$2:$O$61,B1195)*(1+in_approval_growth)^(D1195-1))</f>
        <v/>
      </c>
      <c r="CA1195" s="14">
        <f>F1195*BY1195*IF(B1195&gt;=in_marketplace_from,d_hz_loan_home*G1195,0)*BZ1195*in_loan_home_ticket*in_loan_home_comm</f>
        <v/>
      </c>
      <c r="CB1195" s="40">
        <f>CB1194*(1-IF(B1194&gt;=in_marketplace_from,d_hz_loan_lap*G1194,0)*CC1194)</f>
        <v/>
      </c>
      <c r="CC1195" s="11">
        <f>MIN(in_approval_cap,in_loan_lap_approval*INDEX('Age profile'!$O$2:$O$61,B1195)*(1+in_approval_growth)^(D1195-1))</f>
        <v/>
      </c>
      <c r="CD1195" s="14">
        <f>F1195*CB1195*IF(B1195&gt;=in_marketplace_from,d_hz_loan_lap*G1195,0)*CC1195*in_loan_lap_ticket*in_loan_lap_comm</f>
        <v/>
      </c>
      <c r="CE1195" s="14">
        <f>AA1195+AB1195+AC1195+AD1195+AG1195+AJ1195+AM1195+AP1195+AS1195+AU1195+AX1195+BB1195+BE1195+BG1195+BJ1195+BL1195+BO1195+BR1195+BT1195+BV1195+BX1195+CA1195+CD1195</f>
        <v/>
      </c>
    </row>
    <row r="1196">
      <c r="A1196" s="39" t="n">
        <v>25</v>
      </c>
      <c r="B1196" s="39" t="n">
        <v>31</v>
      </c>
      <c r="C1196" s="39">
        <f>A1196+B1196-1</f>
        <v/>
      </c>
      <c r="D1196" s="39">
        <f>INT((C1196-1)/12)+1</f>
        <v/>
      </c>
      <c r="E1196" s="44">
        <f>INDEX(Monthly!$B$2:$B$61,A1196)</f>
        <v/>
      </c>
      <c r="F1196" s="44">
        <f>E1196*INDEX('Age profile'!$B$2:$B$61,B1196)</f>
        <v/>
      </c>
      <c r="G1196" s="45">
        <f>MIN(in_takeup_cap,INDEX('Age profile'!$N$2:$N$61,B1196)*(1+in_takeup_growth)^(D1196-1))</f>
        <v/>
      </c>
      <c r="H1196" s="11">
        <f>MIN(in_approval_cap,in_approved_first*INDEX('Age profile'!$O$2:$O$61,B1196)*(1+in_approval_growth)^(D1196-1))</f>
        <v/>
      </c>
      <c r="I1196" s="45">
        <f>G1196*MIN(in_takeup_cap,INDEX('Age profile'!$O$2:$O$61,B1196)*(1+in_approval_growth)^(D1196-1))</f>
        <v/>
      </c>
      <c r="J1196" s="40">
        <f>(J1195-L1195)*F1196/F1195</f>
        <v/>
      </c>
      <c r="K1196" s="40">
        <f>(K1195-M1195)*F1196/F1195+SUMIFS(O1166:O1195,B1166:B1195,B1196-1-d_T)*F1196</f>
        <v/>
      </c>
      <c r="L1196" s="40">
        <f>IF(B1196&gt;=in_marketplace_from,J1196*d_hz*G1196*in_eligible*H1196,0)</f>
        <v/>
      </c>
      <c r="M1196" s="40">
        <f>IF(B1196&gt;=in_marketplace_from,K1196*d_hz*G1196*in_eligible*in_approved_repeat,0)</f>
        <v/>
      </c>
      <c r="N1196" s="40">
        <f>L1196+M1196</f>
        <v/>
      </c>
      <c r="O1196" s="46">
        <f>N1196/F1196</f>
        <v/>
      </c>
      <c r="P1196" s="40">
        <f>F1196-J1196-K1196</f>
        <v/>
      </c>
      <c r="Q1196" s="40">
        <f>IF(B1196&gt;=in_marketplace_from,(J1196+K1196)*d_hz*G1196,0)</f>
        <v/>
      </c>
      <c r="R1196" s="40">
        <f>SUMIFS(N1166:N1201,B1166:B1201,"&gt;="&amp;(B1196-d_T),B1166:B1201,"&lt;="&amp;(B1196-1))</f>
        <v/>
      </c>
      <c r="S1196" s="46">
        <f>(1-d_u)*S1195+IF(d_T&gt;in_topup_lag,SUMIFS(O1166:O1201,B1166:B1201,B1196-in_topup_lag)-d_udrop*SUMIFS(O1166:O1201,B1166:B1201,B1196-d_T),0)</f>
        <v/>
      </c>
      <c r="T1196" s="40">
        <f>F1196*d_u*S1196</f>
        <v/>
      </c>
      <c r="U1196" s="9">
        <f>L1196*in_ticket+M1196*d_rep_ticket</f>
        <v/>
      </c>
      <c r="V1196" s="9">
        <f>U1196+T1196*d_topup_amt</f>
        <v/>
      </c>
      <c r="W1196" s="40">
        <f>N1196+T1196*d_topup_ratio</f>
        <v/>
      </c>
      <c r="X1196" s="40">
        <f>SUMIFS(W1166:W1201,B1166:B1201,B1196-in_dpd_lag)*d_cured</f>
        <v/>
      </c>
      <c r="Y1196" s="40">
        <f>SUMIFS(W1166:W1201,B1166:B1201,B1196-in_rec_lag)*d_recd</f>
        <v/>
      </c>
      <c r="Z1196" s="40">
        <f>IF(AND(B1196&gt;=in_marketplace_from,B1196&lt;in_marketplace_from+in_card_months),in_card_share/in_card_months*F1196*I1196,IF(AND(B1196&gt;=in_marketplace_from+in_card_months,B1196&lt;in_marketplace_from+2*in_card_months),in_card_share*d_card_rem/in_card_months*F1196*MIN(in_takeup_cap,(1+in_takeup_growth)^(D1196-1))*MIN(in_takeup_cap,(1+in_approval_growth)^(D1196-1)),0))</f>
        <v/>
      </c>
      <c r="AA1196" s="14">
        <f>V1196*in_fee*(1-in_taken_back)</f>
        <v/>
      </c>
      <c r="AB1196" s="14">
        <f>SUMIFS(W1166:W1201,B1166:B1201,B1196-in_dpd_lag)*d_dpd</f>
        <v/>
      </c>
      <c r="AC1196" s="14">
        <f>SUMIFS(W1166:W1201,B1166:B1201,B1196-in_rec_lag)*d_rec</f>
        <v/>
      </c>
      <c r="AD1196" s="14">
        <f>Z1196*in_card_fee</f>
        <v/>
      </c>
      <c r="AE1196" s="40">
        <f>AE1195*(1-IF(B1195&gt;=in_marketplace_from,d_hz_hlth_small*G1195,0))</f>
        <v/>
      </c>
      <c r="AF1196" s="46">
        <f>AE1196*IF(B1196&gt;=in_marketplace_from,d_hz_hlth_small*G1196,0)</f>
        <v/>
      </c>
      <c r="AG1196" s="14">
        <f>F1196*AF1196*in_hlth_small_ticket*in_hlth_small_comm*in_ins_partner_share+F1196*in_hlth_small_ticket*in_hlth_small_renew_comm*in_ins_partner_share*(in_hlth_small_renew^1*SUMIFS(AF1166:AF1201,B1166:B1201,B1196-12)+in_hlth_small_renew^2*SUMIFS(AF1166:AF1201,B1166:B1201,B1196-24)+in_hlth_small_renew^3*SUMIFS(AF1166:AF1201,B1166:B1201,B1196-36)+in_hlth_small_renew^4*SUMIFS(AF1166:AF1201,B1166:B1201,B1196-48))</f>
        <v/>
      </c>
      <c r="AH1196" s="40">
        <f>AH1195*(1-IF(B1195&gt;=in_marketplace_from,d_hz_hlth_family*G1195,0))</f>
        <v/>
      </c>
      <c r="AI1196" s="46">
        <f>AH1196*IF(B1196&gt;=in_marketplace_from,d_hz_hlth_family*G1196,0)</f>
        <v/>
      </c>
      <c r="AJ1196" s="14">
        <f>F1196*AI1196*in_hlth_family_ticket*in_hlth_family_comm*in_ins_partner_share+F1196*in_hlth_family_ticket*in_hlth_family_renew_comm*in_ins_partner_share*(in_hlth_family_renew^1*SUMIFS(AI1166:AI1201,B1166:B1201,B1196-12)+in_hlth_family_renew^2*SUMIFS(AI1166:AI1201,B1166:B1201,B1196-24)+in_hlth_family_renew^3*SUMIFS(AI1166:AI1201,B1166:B1201,B1196-36)+in_hlth_family_renew^4*SUMIFS(AI1166:AI1201,B1166:B1201,B1196-48))</f>
        <v/>
      </c>
      <c r="AK1196" s="40">
        <f>AK1195*(1-IF(B1195&gt;=in_marketplace_from,d_hz_life_term*G1195,0))</f>
        <v/>
      </c>
      <c r="AL1196" s="46">
        <f>AK1196*IF(B1196&gt;=in_marketplace_from,d_hz_life_term*G1196,0)</f>
        <v/>
      </c>
      <c r="AM1196" s="14">
        <f>F1196*AL1196*in_life_term_ticket*in_life_term_comm*in_ins_partner_share+F1196*in_life_term_ticket*in_life_term_renew_comm*in_ins_partner_share*(in_life_term_renew^1*SUMIFS(AL1166:AL1201,B1166:B1201,B1196-12)+in_life_term_renew^2*SUMIFS(AL1166:AL1201,B1166:B1201,B1196-24)+in_life_term_renew^3*SUMIFS(AL1166:AL1201,B1166:B1201,B1196-36)+in_life_term_renew^4*SUMIFS(AL1166:AL1201,B1166:B1201,B1196-48))</f>
        <v/>
      </c>
      <c r="AN1196" s="40">
        <f>AN1195*(1-IF(B1195&gt;=in_marketplace_from,d_hz_accident*G1195,0))</f>
        <v/>
      </c>
      <c r="AO1196" s="46">
        <f>AN1196*IF(B1196&gt;=in_marketplace_from,d_hz_accident*G1196,0)</f>
        <v/>
      </c>
      <c r="AP1196" s="14">
        <f>F1196*AO1196*in_accident_ticket*in_accident_comm*in_ins_partner_share+F1196*in_accident_ticket*in_accident_renew_comm*in_ins_partner_share*(in_accident_renew^1*SUMIFS(AO1166:AO1201,B1166:B1201,B1196-12)+in_accident_renew^2*SUMIFS(AO1166:AO1201,B1166:B1201,B1196-24)+in_accident_renew^3*SUMIFS(AO1166:AO1201,B1166:B1201,B1196-36)+in_accident_renew^4*SUMIFS(AO1166:AO1201,B1166:B1201,B1196-48))</f>
        <v/>
      </c>
      <c r="AQ1196" s="40">
        <f>AQ1195*(1-IF(B1195&gt;=in_marketplace_from,d_hz_two_wheeler*G1195,0))</f>
        <v/>
      </c>
      <c r="AR1196" s="46">
        <f>AQ1196*IF(B1196&gt;=in_marketplace_from,d_hz_two_wheeler*G1196,0)</f>
        <v/>
      </c>
      <c r="AS1196" s="14">
        <f>F1196*AR1196*in_two_wheeler_ticket*in_two_wheeler_comm*in_ins_partner_share+F1196*in_two_wheeler_ticket*in_two_wheeler_comm*in_ins_partner_share*(in_two_wheeler_renew^1*SUMIFS(AR1166:AR1201,B1166:B1201,B1196-12)+in_two_wheeler_renew^2*SUMIFS(AR1166:AR1201,B1166:B1201,B1196-24)+in_two_wheeler_renew^3*SUMIFS(AR1166:AR1201,B1166:B1201,B1196-36)+in_two_wheeler_renew^4*SUMIFS(AR1166:AR1201,B1166:B1201,B1196-48))</f>
        <v/>
      </c>
      <c r="AT1196" s="40">
        <f>AT1195*(1-IF(B1195&gt;=in_marketplace_from,d_hz_device*G1195,0))</f>
        <v/>
      </c>
      <c r="AU1196" s="14">
        <f>F1196*AT1196*IF(B1196&gt;=in_marketplace_from,d_hz_device*G1196,0)*in_device_ticket*in_device_comm*in_ins_partner_share</f>
        <v/>
      </c>
      <c r="AV1196" s="40">
        <f>AV1195*(1-IF(B1195&gt;=in_marketplace_from,d_hz_shop*G1195,0))</f>
        <v/>
      </c>
      <c r="AW1196" s="46">
        <f>AV1196*IF(B1196&gt;=in_marketplace_from,d_hz_shop*G1196,0)</f>
        <v/>
      </c>
      <c r="AX1196" s="14">
        <f>F1196*AW1196*in_shop_ticket*in_shop_comm*in_ins_partner_share+F1196*in_shop_ticket*in_shop_renew_comm*in_ins_partner_share*(in_shop_renew^1*SUMIFS(AW1166:AW1201,B1166:B1201,B1196-12)+in_shop_renew^2*SUMIFS(AW1166:AW1201,B1166:B1201,B1196-24)+in_shop_renew^3*SUMIFS(AW1166:AW1201,B1166:B1201,B1196-36)+in_shop_renew^4*SUMIFS(AW1166:AW1201,B1166:B1201,B1196-48))</f>
        <v/>
      </c>
      <c r="AY1196" s="40">
        <f>AY1195*(1-IF(B1195&gt;=in_marketplace_from,d_hz_sip*G1195,0))</f>
        <v/>
      </c>
      <c r="AZ1196" s="40">
        <f>AZ1195*d_rho_sip+AY1196*IF(B1196&gt;=in_marketplace_from,d_hz_sip*G1196,0)</f>
        <v/>
      </c>
      <c r="BA1196" s="40">
        <f>d_rho_sip*(BA1195+AZ1195)</f>
        <v/>
      </c>
      <c r="BB1196" s="14">
        <f>F1196*in_sip_ticket*(BA1196+0.5*AZ1196)*in_sip_comm/12</f>
        <v/>
      </c>
      <c r="BC1196" s="40">
        <f>BC1195*(1-IF(B1195&gt;=in_marketplace_from,d_hz_choti*G1195,0))</f>
        <v/>
      </c>
      <c r="BD1196" s="46">
        <f>BC1196*IF(B1196&gt;=in_marketplace_from,d_hz_choti*G1196,0)</f>
        <v/>
      </c>
      <c r="BE1196" s="14">
        <f>F1196*SUMIFS(BD1166:BD1201,B1166:B1201,B1196-in_choti_months)*in_choti_renew*in_choti_ticket</f>
        <v/>
      </c>
      <c r="BF1196" s="40">
        <f>BF1195*(1-IF(B1195&gt;=in_marketplace_from,d_hz_nps*G1195,0))</f>
        <v/>
      </c>
      <c r="BG1196" s="14">
        <f>F1196*BF1196*IF(B1196&gt;=in_marketplace_from,d_hz_nps*G1196,0)*in_nps_ticket*in_nps_comm</f>
        <v/>
      </c>
      <c r="BH1196" s="40">
        <f>BH1195*(1-IF(B1195&gt;=in_marketplace_from,d_hz_gold*G1195,0))</f>
        <v/>
      </c>
      <c r="BI1196" s="40">
        <f>BI1195*d_rho_gold+BH1196*IF(B1196&gt;=in_marketplace_from,d_hz_gold*G1196,0)</f>
        <v/>
      </c>
      <c r="BJ1196" s="14">
        <f>F1196*BI1196*in_gold_ticket*in_gold_comm</f>
        <v/>
      </c>
      <c r="BK1196" s="40">
        <f>BK1195*(1-IF(B1195&gt;=in_marketplace_from,d_hz_fd*G1195,0))</f>
        <v/>
      </c>
      <c r="BL1196" s="14">
        <f>F1196*BK1196*IF(B1196&gt;=in_marketplace_from,d_hz_fd*G1196,0)*in_fd_ticket*in_fd_comm</f>
        <v/>
      </c>
      <c r="BM1196" s="40">
        <f>BM1195*(1-IF(B1195&gt;=in_marketplace_from,d_hz_recharge*G1195,0))</f>
        <v/>
      </c>
      <c r="BN1196" s="40">
        <f>BN1195*d_rho_recharge+BM1196*IF(B1196&gt;=in_marketplace_from,d_hz_recharge*G1196,0)</f>
        <v/>
      </c>
      <c r="BO1196" s="14">
        <f>F1196*BN1196*in_recharge_ticket*in_recharge_comm/12</f>
        <v/>
      </c>
      <c r="BP1196" s="40">
        <f>BP1195*(1-IF(B1195&gt;=in_marketplace_from,d_hz_bills*G1195,0))</f>
        <v/>
      </c>
      <c r="BQ1196" s="40">
        <f>BQ1195*d_rho_bills+BP1196*IF(B1196&gt;=in_marketplace_from,d_hz_bills*G1196,0)</f>
        <v/>
      </c>
      <c r="BR1196" s="14">
        <f>F1196*BQ1196*in_bills_ticket*in_bills_comm/12</f>
        <v/>
      </c>
      <c r="BS1196" s="40">
        <f>BS1195*(1-IF(B1195&gt;=in_marketplace_from,d_hz_loan_gold*G1195,0))</f>
        <v/>
      </c>
      <c r="BT1196" s="14">
        <f>F1196*BS1196*IF(B1196&gt;=in_marketplace_from,d_hz_loan_gold*G1196,0)*in_loan_gold_ticket*in_loan_gold_comm</f>
        <v/>
      </c>
      <c r="BU1196" s="40">
        <f>BU1195*(1-IF(B1195&gt;=in_marketplace_from,d_hz_loan_cd*G1195,0))</f>
        <v/>
      </c>
      <c r="BV1196" s="14">
        <f>F1196*BU1196*IF(B1196&gt;=in_marketplace_from,d_hz_loan_cd*G1196,0)*in_loan_cd_ticket*in_loan_cd_comm</f>
        <v/>
      </c>
      <c r="BW1196" s="40">
        <f>BW1195*(1-IF(B1195&gt;=in_marketplace_from,d_hz_loan_vehicle*G1195,0))</f>
        <v/>
      </c>
      <c r="BX1196" s="14">
        <f>F1196*BW1196*IF(B1196&gt;=in_marketplace_from,d_hz_loan_vehicle*G1196,0)*in_loan_vehicle_ticket*in_loan_vehicle_comm</f>
        <v/>
      </c>
      <c r="BY1196" s="40">
        <f>BY1195*(1-IF(B1195&gt;=in_marketplace_from,d_hz_loan_home*G1195,0)*BZ1195)</f>
        <v/>
      </c>
      <c r="BZ1196" s="11">
        <f>MIN(in_approval_cap,in_loan_home_approval*INDEX('Age profile'!$O$2:$O$61,B1196)*(1+in_approval_growth)^(D1196-1))</f>
        <v/>
      </c>
      <c r="CA1196" s="14">
        <f>F1196*BY1196*IF(B1196&gt;=in_marketplace_from,d_hz_loan_home*G1196,0)*BZ1196*in_loan_home_ticket*in_loan_home_comm</f>
        <v/>
      </c>
      <c r="CB1196" s="40">
        <f>CB1195*(1-IF(B1195&gt;=in_marketplace_from,d_hz_loan_lap*G1195,0)*CC1195)</f>
        <v/>
      </c>
      <c r="CC1196" s="11">
        <f>MIN(in_approval_cap,in_loan_lap_approval*INDEX('Age profile'!$O$2:$O$61,B1196)*(1+in_approval_growth)^(D1196-1))</f>
        <v/>
      </c>
      <c r="CD1196" s="14">
        <f>F1196*CB1196*IF(B1196&gt;=in_marketplace_from,d_hz_loan_lap*G1196,0)*CC1196*in_loan_lap_ticket*in_loan_lap_comm</f>
        <v/>
      </c>
      <c r="CE1196" s="14">
        <f>AA1196+AB1196+AC1196+AD1196+AG1196+AJ1196+AM1196+AP1196+AS1196+AU1196+AX1196+BB1196+BE1196+BG1196+BJ1196+BL1196+BO1196+BR1196+BT1196+BV1196+BX1196+CA1196+CD1196</f>
        <v/>
      </c>
    </row>
    <row r="1197">
      <c r="A1197" s="39" t="n">
        <v>25</v>
      </c>
      <c r="B1197" s="39" t="n">
        <v>32</v>
      </c>
      <c r="C1197" s="39">
        <f>A1197+B1197-1</f>
        <v/>
      </c>
      <c r="D1197" s="39">
        <f>INT((C1197-1)/12)+1</f>
        <v/>
      </c>
      <c r="E1197" s="44">
        <f>INDEX(Monthly!$B$2:$B$61,A1197)</f>
        <v/>
      </c>
      <c r="F1197" s="44">
        <f>E1197*INDEX('Age profile'!$B$2:$B$61,B1197)</f>
        <v/>
      </c>
      <c r="G1197" s="45">
        <f>MIN(in_takeup_cap,INDEX('Age profile'!$N$2:$N$61,B1197)*(1+in_takeup_growth)^(D1197-1))</f>
        <v/>
      </c>
      <c r="H1197" s="11">
        <f>MIN(in_approval_cap,in_approved_first*INDEX('Age profile'!$O$2:$O$61,B1197)*(1+in_approval_growth)^(D1197-1))</f>
        <v/>
      </c>
      <c r="I1197" s="45">
        <f>G1197*MIN(in_takeup_cap,INDEX('Age profile'!$O$2:$O$61,B1197)*(1+in_approval_growth)^(D1197-1))</f>
        <v/>
      </c>
      <c r="J1197" s="40">
        <f>(J1196-L1196)*F1197/F1196</f>
        <v/>
      </c>
      <c r="K1197" s="40">
        <f>(K1196-M1196)*F1197/F1196+SUMIFS(O1166:O1196,B1166:B1196,B1197-1-d_T)*F1197</f>
        <v/>
      </c>
      <c r="L1197" s="40">
        <f>IF(B1197&gt;=in_marketplace_from,J1197*d_hz*G1197*in_eligible*H1197,0)</f>
        <v/>
      </c>
      <c r="M1197" s="40">
        <f>IF(B1197&gt;=in_marketplace_from,K1197*d_hz*G1197*in_eligible*in_approved_repeat,0)</f>
        <v/>
      </c>
      <c r="N1197" s="40">
        <f>L1197+M1197</f>
        <v/>
      </c>
      <c r="O1197" s="46">
        <f>N1197/F1197</f>
        <v/>
      </c>
      <c r="P1197" s="40">
        <f>F1197-J1197-K1197</f>
        <v/>
      </c>
      <c r="Q1197" s="40">
        <f>IF(B1197&gt;=in_marketplace_from,(J1197+K1197)*d_hz*G1197,0)</f>
        <v/>
      </c>
      <c r="R1197" s="40">
        <f>SUMIFS(N1166:N1201,B1166:B1201,"&gt;="&amp;(B1197-d_T),B1166:B1201,"&lt;="&amp;(B1197-1))</f>
        <v/>
      </c>
      <c r="S1197" s="46">
        <f>(1-d_u)*S1196+IF(d_T&gt;in_topup_lag,SUMIFS(O1166:O1201,B1166:B1201,B1197-in_topup_lag)-d_udrop*SUMIFS(O1166:O1201,B1166:B1201,B1197-d_T),0)</f>
        <v/>
      </c>
      <c r="T1197" s="40">
        <f>F1197*d_u*S1197</f>
        <v/>
      </c>
      <c r="U1197" s="9">
        <f>L1197*in_ticket+M1197*d_rep_ticket</f>
        <v/>
      </c>
      <c r="V1197" s="9">
        <f>U1197+T1197*d_topup_amt</f>
        <v/>
      </c>
      <c r="W1197" s="40">
        <f>N1197+T1197*d_topup_ratio</f>
        <v/>
      </c>
      <c r="X1197" s="40">
        <f>SUMIFS(W1166:W1201,B1166:B1201,B1197-in_dpd_lag)*d_cured</f>
        <v/>
      </c>
      <c r="Y1197" s="40">
        <f>SUMIFS(W1166:W1201,B1166:B1201,B1197-in_rec_lag)*d_recd</f>
        <v/>
      </c>
      <c r="Z1197" s="40">
        <f>IF(AND(B1197&gt;=in_marketplace_from,B1197&lt;in_marketplace_from+in_card_months),in_card_share/in_card_months*F1197*I1197,IF(AND(B1197&gt;=in_marketplace_from+in_card_months,B1197&lt;in_marketplace_from+2*in_card_months),in_card_share*d_card_rem/in_card_months*F1197*MIN(in_takeup_cap,(1+in_takeup_growth)^(D1197-1))*MIN(in_takeup_cap,(1+in_approval_growth)^(D1197-1)),0))</f>
        <v/>
      </c>
      <c r="AA1197" s="14">
        <f>V1197*in_fee*(1-in_taken_back)</f>
        <v/>
      </c>
      <c r="AB1197" s="14">
        <f>SUMIFS(W1166:W1201,B1166:B1201,B1197-in_dpd_lag)*d_dpd</f>
        <v/>
      </c>
      <c r="AC1197" s="14">
        <f>SUMIFS(W1166:W1201,B1166:B1201,B1197-in_rec_lag)*d_rec</f>
        <v/>
      </c>
      <c r="AD1197" s="14">
        <f>Z1197*in_card_fee</f>
        <v/>
      </c>
      <c r="AE1197" s="40">
        <f>AE1196*(1-IF(B1196&gt;=in_marketplace_from,d_hz_hlth_small*G1196,0))</f>
        <v/>
      </c>
      <c r="AF1197" s="46">
        <f>AE1197*IF(B1197&gt;=in_marketplace_from,d_hz_hlth_small*G1197,0)</f>
        <v/>
      </c>
      <c r="AG1197" s="14">
        <f>F1197*AF1197*in_hlth_small_ticket*in_hlth_small_comm*in_ins_partner_share+F1197*in_hlth_small_ticket*in_hlth_small_renew_comm*in_ins_partner_share*(in_hlth_small_renew^1*SUMIFS(AF1166:AF1201,B1166:B1201,B1197-12)+in_hlth_small_renew^2*SUMIFS(AF1166:AF1201,B1166:B1201,B1197-24)+in_hlth_small_renew^3*SUMIFS(AF1166:AF1201,B1166:B1201,B1197-36)+in_hlth_small_renew^4*SUMIFS(AF1166:AF1201,B1166:B1201,B1197-48))</f>
        <v/>
      </c>
      <c r="AH1197" s="40">
        <f>AH1196*(1-IF(B1196&gt;=in_marketplace_from,d_hz_hlth_family*G1196,0))</f>
        <v/>
      </c>
      <c r="AI1197" s="46">
        <f>AH1197*IF(B1197&gt;=in_marketplace_from,d_hz_hlth_family*G1197,0)</f>
        <v/>
      </c>
      <c r="AJ1197" s="14">
        <f>F1197*AI1197*in_hlth_family_ticket*in_hlth_family_comm*in_ins_partner_share+F1197*in_hlth_family_ticket*in_hlth_family_renew_comm*in_ins_partner_share*(in_hlth_family_renew^1*SUMIFS(AI1166:AI1201,B1166:B1201,B1197-12)+in_hlth_family_renew^2*SUMIFS(AI1166:AI1201,B1166:B1201,B1197-24)+in_hlth_family_renew^3*SUMIFS(AI1166:AI1201,B1166:B1201,B1197-36)+in_hlth_family_renew^4*SUMIFS(AI1166:AI1201,B1166:B1201,B1197-48))</f>
        <v/>
      </c>
      <c r="AK1197" s="40">
        <f>AK1196*(1-IF(B1196&gt;=in_marketplace_from,d_hz_life_term*G1196,0))</f>
        <v/>
      </c>
      <c r="AL1197" s="46">
        <f>AK1197*IF(B1197&gt;=in_marketplace_from,d_hz_life_term*G1197,0)</f>
        <v/>
      </c>
      <c r="AM1197" s="14">
        <f>F1197*AL1197*in_life_term_ticket*in_life_term_comm*in_ins_partner_share+F1197*in_life_term_ticket*in_life_term_renew_comm*in_ins_partner_share*(in_life_term_renew^1*SUMIFS(AL1166:AL1201,B1166:B1201,B1197-12)+in_life_term_renew^2*SUMIFS(AL1166:AL1201,B1166:B1201,B1197-24)+in_life_term_renew^3*SUMIFS(AL1166:AL1201,B1166:B1201,B1197-36)+in_life_term_renew^4*SUMIFS(AL1166:AL1201,B1166:B1201,B1197-48))</f>
        <v/>
      </c>
      <c r="AN1197" s="40">
        <f>AN1196*(1-IF(B1196&gt;=in_marketplace_from,d_hz_accident*G1196,0))</f>
        <v/>
      </c>
      <c r="AO1197" s="46">
        <f>AN1197*IF(B1197&gt;=in_marketplace_from,d_hz_accident*G1197,0)</f>
        <v/>
      </c>
      <c r="AP1197" s="14">
        <f>F1197*AO1197*in_accident_ticket*in_accident_comm*in_ins_partner_share+F1197*in_accident_ticket*in_accident_renew_comm*in_ins_partner_share*(in_accident_renew^1*SUMIFS(AO1166:AO1201,B1166:B1201,B1197-12)+in_accident_renew^2*SUMIFS(AO1166:AO1201,B1166:B1201,B1197-24)+in_accident_renew^3*SUMIFS(AO1166:AO1201,B1166:B1201,B1197-36)+in_accident_renew^4*SUMIFS(AO1166:AO1201,B1166:B1201,B1197-48))</f>
        <v/>
      </c>
      <c r="AQ1197" s="40">
        <f>AQ1196*(1-IF(B1196&gt;=in_marketplace_from,d_hz_two_wheeler*G1196,0))</f>
        <v/>
      </c>
      <c r="AR1197" s="46">
        <f>AQ1197*IF(B1197&gt;=in_marketplace_from,d_hz_two_wheeler*G1197,0)</f>
        <v/>
      </c>
      <c r="AS1197" s="14">
        <f>F1197*AR1197*in_two_wheeler_ticket*in_two_wheeler_comm*in_ins_partner_share+F1197*in_two_wheeler_ticket*in_two_wheeler_comm*in_ins_partner_share*(in_two_wheeler_renew^1*SUMIFS(AR1166:AR1201,B1166:B1201,B1197-12)+in_two_wheeler_renew^2*SUMIFS(AR1166:AR1201,B1166:B1201,B1197-24)+in_two_wheeler_renew^3*SUMIFS(AR1166:AR1201,B1166:B1201,B1197-36)+in_two_wheeler_renew^4*SUMIFS(AR1166:AR1201,B1166:B1201,B1197-48))</f>
        <v/>
      </c>
      <c r="AT1197" s="40">
        <f>AT1196*(1-IF(B1196&gt;=in_marketplace_from,d_hz_device*G1196,0))</f>
        <v/>
      </c>
      <c r="AU1197" s="14">
        <f>F1197*AT1197*IF(B1197&gt;=in_marketplace_from,d_hz_device*G1197,0)*in_device_ticket*in_device_comm*in_ins_partner_share</f>
        <v/>
      </c>
      <c r="AV1197" s="40">
        <f>AV1196*(1-IF(B1196&gt;=in_marketplace_from,d_hz_shop*G1196,0))</f>
        <v/>
      </c>
      <c r="AW1197" s="46">
        <f>AV1197*IF(B1197&gt;=in_marketplace_from,d_hz_shop*G1197,0)</f>
        <v/>
      </c>
      <c r="AX1197" s="14">
        <f>F1197*AW1197*in_shop_ticket*in_shop_comm*in_ins_partner_share+F1197*in_shop_ticket*in_shop_renew_comm*in_ins_partner_share*(in_shop_renew^1*SUMIFS(AW1166:AW1201,B1166:B1201,B1197-12)+in_shop_renew^2*SUMIFS(AW1166:AW1201,B1166:B1201,B1197-24)+in_shop_renew^3*SUMIFS(AW1166:AW1201,B1166:B1201,B1197-36)+in_shop_renew^4*SUMIFS(AW1166:AW1201,B1166:B1201,B1197-48))</f>
        <v/>
      </c>
      <c r="AY1197" s="40">
        <f>AY1196*(1-IF(B1196&gt;=in_marketplace_from,d_hz_sip*G1196,0))</f>
        <v/>
      </c>
      <c r="AZ1197" s="40">
        <f>AZ1196*d_rho_sip+AY1197*IF(B1197&gt;=in_marketplace_from,d_hz_sip*G1197,0)</f>
        <v/>
      </c>
      <c r="BA1197" s="40">
        <f>d_rho_sip*(BA1196+AZ1196)</f>
        <v/>
      </c>
      <c r="BB1197" s="14">
        <f>F1197*in_sip_ticket*(BA1197+0.5*AZ1197)*in_sip_comm/12</f>
        <v/>
      </c>
      <c r="BC1197" s="40">
        <f>BC1196*(1-IF(B1196&gt;=in_marketplace_from,d_hz_choti*G1196,0))</f>
        <v/>
      </c>
      <c r="BD1197" s="46">
        <f>BC1197*IF(B1197&gt;=in_marketplace_from,d_hz_choti*G1197,0)</f>
        <v/>
      </c>
      <c r="BE1197" s="14">
        <f>F1197*SUMIFS(BD1166:BD1201,B1166:B1201,B1197-in_choti_months)*in_choti_renew*in_choti_ticket</f>
        <v/>
      </c>
      <c r="BF1197" s="40">
        <f>BF1196*(1-IF(B1196&gt;=in_marketplace_from,d_hz_nps*G1196,0))</f>
        <v/>
      </c>
      <c r="BG1197" s="14">
        <f>F1197*BF1197*IF(B1197&gt;=in_marketplace_from,d_hz_nps*G1197,0)*in_nps_ticket*in_nps_comm</f>
        <v/>
      </c>
      <c r="BH1197" s="40">
        <f>BH1196*(1-IF(B1196&gt;=in_marketplace_from,d_hz_gold*G1196,0))</f>
        <v/>
      </c>
      <c r="BI1197" s="40">
        <f>BI1196*d_rho_gold+BH1197*IF(B1197&gt;=in_marketplace_from,d_hz_gold*G1197,0)</f>
        <v/>
      </c>
      <c r="BJ1197" s="14">
        <f>F1197*BI1197*in_gold_ticket*in_gold_comm</f>
        <v/>
      </c>
      <c r="BK1197" s="40">
        <f>BK1196*(1-IF(B1196&gt;=in_marketplace_from,d_hz_fd*G1196,0))</f>
        <v/>
      </c>
      <c r="BL1197" s="14">
        <f>F1197*BK1197*IF(B1197&gt;=in_marketplace_from,d_hz_fd*G1197,0)*in_fd_ticket*in_fd_comm</f>
        <v/>
      </c>
      <c r="BM1197" s="40">
        <f>BM1196*(1-IF(B1196&gt;=in_marketplace_from,d_hz_recharge*G1196,0))</f>
        <v/>
      </c>
      <c r="BN1197" s="40">
        <f>BN1196*d_rho_recharge+BM1197*IF(B1197&gt;=in_marketplace_from,d_hz_recharge*G1197,0)</f>
        <v/>
      </c>
      <c r="BO1197" s="14">
        <f>F1197*BN1197*in_recharge_ticket*in_recharge_comm/12</f>
        <v/>
      </c>
      <c r="BP1197" s="40">
        <f>BP1196*(1-IF(B1196&gt;=in_marketplace_from,d_hz_bills*G1196,0))</f>
        <v/>
      </c>
      <c r="BQ1197" s="40">
        <f>BQ1196*d_rho_bills+BP1197*IF(B1197&gt;=in_marketplace_from,d_hz_bills*G1197,0)</f>
        <v/>
      </c>
      <c r="BR1197" s="14">
        <f>F1197*BQ1197*in_bills_ticket*in_bills_comm/12</f>
        <v/>
      </c>
      <c r="BS1197" s="40">
        <f>BS1196*(1-IF(B1196&gt;=in_marketplace_from,d_hz_loan_gold*G1196,0))</f>
        <v/>
      </c>
      <c r="BT1197" s="14">
        <f>F1197*BS1197*IF(B1197&gt;=in_marketplace_from,d_hz_loan_gold*G1197,0)*in_loan_gold_ticket*in_loan_gold_comm</f>
        <v/>
      </c>
      <c r="BU1197" s="40">
        <f>BU1196*(1-IF(B1196&gt;=in_marketplace_from,d_hz_loan_cd*G1196,0))</f>
        <v/>
      </c>
      <c r="BV1197" s="14">
        <f>F1197*BU1197*IF(B1197&gt;=in_marketplace_from,d_hz_loan_cd*G1197,0)*in_loan_cd_ticket*in_loan_cd_comm</f>
        <v/>
      </c>
      <c r="BW1197" s="40">
        <f>BW1196*(1-IF(B1196&gt;=in_marketplace_from,d_hz_loan_vehicle*G1196,0))</f>
        <v/>
      </c>
      <c r="BX1197" s="14">
        <f>F1197*BW1197*IF(B1197&gt;=in_marketplace_from,d_hz_loan_vehicle*G1197,0)*in_loan_vehicle_ticket*in_loan_vehicle_comm</f>
        <v/>
      </c>
      <c r="BY1197" s="40">
        <f>BY1196*(1-IF(B1196&gt;=in_marketplace_from,d_hz_loan_home*G1196,0)*BZ1196)</f>
        <v/>
      </c>
      <c r="BZ1197" s="11">
        <f>MIN(in_approval_cap,in_loan_home_approval*INDEX('Age profile'!$O$2:$O$61,B1197)*(1+in_approval_growth)^(D1197-1))</f>
        <v/>
      </c>
      <c r="CA1197" s="14">
        <f>F1197*BY1197*IF(B1197&gt;=in_marketplace_from,d_hz_loan_home*G1197,0)*BZ1197*in_loan_home_ticket*in_loan_home_comm</f>
        <v/>
      </c>
      <c r="CB1197" s="40">
        <f>CB1196*(1-IF(B1196&gt;=in_marketplace_from,d_hz_loan_lap*G1196,0)*CC1196)</f>
        <v/>
      </c>
      <c r="CC1197" s="11">
        <f>MIN(in_approval_cap,in_loan_lap_approval*INDEX('Age profile'!$O$2:$O$61,B1197)*(1+in_approval_growth)^(D1197-1))</f>
        <v/>
      </c>
      <c r="CD1197" s="14">
        <f>F1197*CB1197*IF(B1197&gt;=in_marketplace_from,d_hz_loan_lap*G1197,0)*CC1197*in_loan_lap_ticket*in_loan_lap_comm</f>
        <v/>
      </c>
      <c r="CE1197" s="14">
        <f>AA1197+AB1197+AC1197+AD1197+AG1197+AJ1197+AM1197+AP1197+AS1197+AU1197+AX1197+BB1197+BE1197+BG1197+BJ1197+BL1197+BO1197+BR1197+BT1197+BV1197+BX1197+CA1197+CD1197</f>
        <v/>
      </c>
    </row>
    <row r="1198">
      <c r="A1198" s="39" t="n">
        <v>25</v>
      </c>
      <c r="B1198" s="39" t="n">
        <v>33</v>
      </c>
      <c r="C1198" s="39">
        <f>A1198+B1198-1</f>
        <v/>
      </c>
      <c r="D1198" s="39">
        <f>INT((C1198-1)/12)+1</f>
        <v/>
      </c>
      <c r="E1198" s="44">
        <f>INDEX(Monthly!$B$2:$B$61,A1198)</f>
        <v/>
      </c>
      <c r="F1198" s="44">
        <f>E1198*INDEX('Age profile'!$B$2:$B$61,B1198)</f>
        <v/>
      </c>
      <c r="G1198" s="45">
        <f>MIN(in_takeup_cap,INDEX('Age profile'!$N$2:$N$61,B1198)*(1+in_takeup_growth)^(D1198-1))</f>
        <v/>
      </c>
      <c r="H1198" s="11">
        <f>MIN(in_approval_cap,in_approved_first*INDEX('Age profile'!$O$2:$O$61,B1198)*(1+in_approval_growth)^(D1198-1))</f>
        <v/>
      </c>
      <c r="I1198" s="45">
        <f>G1198*MIN(in_takeup_cap,INDEX('Age profile'!$O$2:$O$61,B1198)*(1+in_approval_growth)^(D1198-1))</f>
        <v/>
      </c>
      <c r="J1198" s="40">
        <f>(J1197-L1197)*F1198/F1197</f>
        <v/>
      </c>
      <c r="K1198" s="40">
        <f>(K1197-M1197)*F1198/F1197+SUMIFS(O1166:O1197,B1166:B1197,B1198-1-d_T)*F1198</f>
        <v/>
      </c>
      <c r="L1198" s="40">
        <f>IF(B1198&gt;=in_marketplace_from,J1198*d_hz*G1198*in_eligible*H1198,0)</f>
        <v/>
      </c>
      <c r="M1198" s="40">
        <f>IF(B1198&gt;=in_marketplace_from,K1198*d_hz*G1198*in_eligible*in_approved_repeat,0)</f>
        <v/>
      </c>
      <c r="N1198" s="40">
        <f>L1198+M1198</f>
        <v/>
      </c>
      <c r="O1198" s="46">
        <f>N1198/F1198</f>
        <v/>
      </c>
      <c r="P1198" s="40">
        <f>F1198-J1198-K1198</f>
        <v/>
      </c>
      <c r="Q1198" s="40">
        <f>IF(B1198&gt;=in_marketplace_from,(J1198+K1198)*d_hz*G1198,0)</f>
        <v/>
      </c>
      <c r="R1198" s="40">
        <f>SUMIFS(N1166:N1201,B1166:B1201,"&gt;="&amp;(B1198-d_T),B1166:B1201,"&lt;="&amp;(B1198-1))</f>
        <v/>
      </c>
      <c r="S1198" s="46">
        <f>(1-d_u)*S1197+IF(d_T&gt;in_topup_lag,SUMIFS(O1166:O1201,B1166:B1201,B1198-in_topup_lag)-d_udrop*SUMIFS(O1166:O1201,B1166:B1201,B1198-d_T),0)</f>
        <v/>
      </c>
      <c r="T1198" s="40">
        <f>F1198*d_u*S1198</f>
        <v/>
      </c>
      <c r="U1198" s="9">
        <f>L1198*in_ticket+M1198*d_rep_ticket</f>
        <v/>
      </c>
      <c r="V1198" s="9">
        <f>U1198+T1198*d_topup_amt</f>
        <v/>
      </c>
      <c r="W1198" s="40">
        <f>N1198+T1198*d_topup_ratio</f>
        <v/>
      </c>
      <c r="X1198" s="40">
        <f>SUMIFS(W1166:W1201,B1166:B1201,B1198-in_dpd_lag)*d_cured</f>
        <v/>
      </c>
      <c r="Y1198" s="40">
        <f>SUMIFS(W1166:W1201,B1166:B1201,B1198-in_rec_lag)*d_recd</f>
        <v/>
      </c>
      <c r="Z1198" s="40">
        <f>IF(AND(B1198&gt;=in_marketplace_from,B1198&lt;in_marketplace_from+in_card_months),in_card_share/in_card_months*F1198*I1198,IF(AND(B1198&gt;=in_marketplace_from+in_card_months,B1198&lt;in_marketplace_from+2*in_card_months),in_card_share*d_card_rem/in_card_months*F1198*MIN(in_takeup_cap,(1+in_takeup_growth)^(D1198-1))*MIN(in_takeup_cap,(1+in_approval_growth)^(D1198-1)),0))</f>
        <v/>
      </c>
      <c r="AA1198" s="14">
        <f>V1198*in_fee*(1-in_taken_back)</f>
        <v/>
      </c>
      <c r="AB1198" s="14">
        <f>SUMIFS(W1166:W1201,B1166:B1201,B1198-in_dpd_lag)*d_dpd</f>
        <v/>
      </c>
      <c r="AC1198" s="14">
        <f>SUMIFS(W1166:W1201,B1166:B1201,B1198-in_rec_lag)*d_rec</f>
        <v/>
      </c>
      <c r="AD1198" s="14">
        <f>Z1198*in_card_fee</f>
        <v/>
      </c>
      <c r="AE1198" s="40">
        <f>AE1197*(1-IF(B1197&gt;=in_marketplace_from,d_hz_hlth_small*G1197,0))</f>
        <v/>
      </c>
      <c r="AF1198" s="46">
        <f>AE1198*IF(B1198&gt;=in_marketplace_from,d_hz_hlth_small*G1198,0)</f>
        <v/>
      </c>
      <c r="AG1198" s="14">
        <f>F1198*AF1198*in_hlth_small_ticket*in_hlth_small_comm*in_ins_partner_share+F1198*in_hlth_small_ticket*in_hlth_small_renew_comm*in_ins_partner_share*(in_hlth_small_renew^1*SUMIFS(AF1166:AF1201,B1166:B1201,B1198-12)+in_hlth_small_renew^2*SUMIFS(AF1166:AF1201,B1166:B1201,B1198-24)+in_hlth_small_renew^3*SUMIFS(AF1166:AF1201,B1166:B1201,B1198-36)+in_hlth_small_renew^4*SUMIFS(AF1166:AF1201,B1166:B1201,B1198-48))</f>
        <v/>
      </c>
      <c r="AH1198" s="40">
        <f>AH1197*(1-IF(B1197&gt;=in_marketplace_from,d_hz_hlth_family*G1197,0))</f>
        <v/>
      </c>
      <c r="AI1198" s="46">
        <f>AH1198*IF(B1198&gt;=in_marketplace_from,d_hz_hlth_family*G1198,0)</f>
        <v/>
      </c>
      <c r="AJ1198" s="14">
        <f>F1198*AI1198*in_hlth_family_ticket*in_hlth_family_comm*in_ins_partner_share+F1198*in_hlth_family_ticket*in_hlth_family_renew_comm*in_ins_partner_share*(in_hlth_family_renew^1*SUMIFS(AI1166:AI1201,B1166:B1201,B1198-12)+in_hlth_family_renew^2*SUMIFS(AI1166:AI1201,B1166:B1201,B1198-24)+in_hlth_family_renew^3*SUMIFS(AI1166:AI1201,B1166:B1201,B1198-36)+in_hlth_family_renew^4*SUMIFS(AI1166:AI1201,B1166:B1201,B1198-48))</f>
        <v/>
      </c>
      <c r="AK1198" s="40">
        <f>AK1197*(1-IF(B1197&gt;=in_marketplace_from,d_hz_life_term*G1197,0))</f>
        <v/>
      </c>
      <c r="AL1198" s="46">
        <f>AK1198*IF(B1198&gt;=in_marketplace_from,d_hz_life_term*G1198,0)</f>
        <v/>
      </c>
      <c r="AM1198" s="14">
        <f>F1198*AL1198*in_life_term_ticket*in_life_term_comm*in_ins_partner_share+F1198*in_life_term_ticket*in_life_term_renew_comm*in_ins_partner_share*(in_life_term_renew^1*SUMIFS(AL1166:AL1201,B1166:B1201,B1198-12)+in_life_term_renew^2*SUMIFS(AL1166:AL1201,B1166:B1201,B1198-24)+in_life_term_renew^3*SUMIFS(AL1166:AL1201,B1166:B1201,B1198-36)+in_life_term_renew^4*SUMIFS(AL1166:AL1201,B1166:B1201,B1198-48))</f>
        <v/>
      </c>
      <c r="AN1198" s="40">
        <f>AN1197*(1-IF(B1197&gt;=in_marketplace_from,d_hz_accident*G1197,0))</f>
        <v/>
      </c>
      <c r="AO1198" s="46">
        <f>AN1198*IF(B1198&gt;=in_marketplace_from,d_hz_accident*G1198,0)</f>
        <v/>
      </c>
      <c r="AP1198" s="14">
        <f>F1198*AO1198*in_accident_ticket*in_accident_comm*in_ins_partner_share+F1198*in_accident_ticket*in_accident_renew_comm*in_ins_partner_share*(in_accident_renew^1*SUMIFS(AO1166:AO1201,B1166:B1201,B1198-12)+in_accident_renew^2*SUMIFS(AO1166:AO1201,B1166:B1201,B1198-24)+in_accident_renew^3*SUMIFS(AO1166:AO1201,B1166:B1201,B1198-36)+in_accident_renew^4*SUMIFS(AO1166:AO1201,B1166:B1201,B1198-48))</f>
        <v/>
      </c>
      <c r="AQ1198" s="40">
        <f>AQ1197*(1-IF(B1197&gt;=in_marketplace_from,d_hz_two_wheeler*G1197,0))</f>
        <v/>
      </c>
      <c r="AR1198" s="46">
        <f>AQ1198*IF(B1198&gt;=in_marketplace_from,d_hz_two_wheeler*G1198,0)</f>
        <v/>
      </c>
      <c r="AS1198" s="14">
        <f>F1198*AR1198*in_two_wheeler_ticket*in_two_wheeler_comm*in_ins_partner_share+F1198*in_two_wheeler_ticket*in_two_wheeler_comm*in_ins_partner_share*(in_two_wheeler_renew^1*SUMIFS(AR1166:AR1201,B1166:B1201,B1198-12)+in_two_wheeler_renew^2*SUMIFS(AR1166:AR1201,B1166:B1201,B1198-24)+in_two_wheeler_renew^3*SUMIFS(AR1166:AR1201,B1166:B1201,B1198-36)+in_two_wheeler_renew^4*SUMIFS(AR1166:AR1201,B1166:B1201,B1198-48))</f>
        <v/>
      </c>
      <c r="AT1198" s="40">
        <f>AT1197*(1-IF(B1197&gt;=in_marketplace_from,d_hz_device*G1197,0))</f>
        <v/>
      </c>
      <c r="AU1198" s="14">
        <f>F1198*AT1198*IF(B1198&gt;=in_marketplace_from,d_hz_device*G1198,0)*in_device_ticket*in_device_comm*in_ins_partner_share</f>
        <v/>
      </c>
      <c r="AV1198" s="40">
        <f>AV1197*(1-IF(B1197&gt;=in_marketplace_from,d_hz_shop*G1197,0))</f>
        <v/>
      </c>
      <c r="AW1198" s="46">
        <f>AV1198*IF(B1198&gt;=in_marketplace_from,d_hz_shop*G1198,0)</f>
        <v/>
      </c>
      <c r="AX1198" s="14">
        <f>F1198*AW1198*in_shop_ticket*in_shop_comm*in_ins_partner_share+F1198*in_shop_ticket*in_shop_renew_comm*in_ins_partner_share*(in_shop_renew^1*SUMIFS(AW1166:AW1201,B1166:B1201,B1198-12)+in_shop_renew^2*SUMIFS(AW1166:AW1201,B1166:B1201,B1198-24)+in_shop_renew^3*SUMIFS(AW1166:AW1201,B1166:B1201,B1198-36)+in_shop_renew^4*SUMIFS(AW1166:AW1201,B1166:B1201,B1198-48))</f>
        <v/>
      </c>
      <c r="AY1198" s="40">
        <f>AY1197*(1-IF(B1197&gt;=in_marketplace_from,d_hz_sip*G1197,0))</f>
        <v/>
      </c>
      <c r="AZ1198" s="40">
        <f>AZ1197*d_rho_sip+AY1198*IF(B1198&gt;=in_marketplace_from,d_hz_sip*G1198,0)</f>
        <v/>
      </c>
      <c r="BA1198" s="40">
        <f>d_rho_sip*(BA1197+AZ1197)</f>
        <v/>
      </c>
      <c r="BB1198" s="14">
        <f>F1198*in_sip_ticket*(BA1198+0.5*AZ1198)*in_sip_comm/12</f>
        <v/>
      </c>
      <c r="BC1198" s="40">
        <f>BC1197*(1-IF(B1197&gt;=in_marketplace_from,d_hz_choti*G1197,0))</f>
        <v/>
      </c>
      <c r="BD1198" s="46">
        <f>BC1198*IF(B1198&gt;=in_marketplace_from,d_hz_choti*G1198,0)</f>
        <v/>
      </c>
      <c r="BE1198" s="14">
        <f>F1198*SUMIFS(BD1166:BD1201,B1166:B1201,B1198-in_choti_months)*in_choti_renew*in_choti_ticket</f>
        <v/>
      </c>
      <c r="BF1198" s="40">
        <f>BF1197*(1-IF(B1197&gt;=in_marketplace_from,d_hz_nps*G1197,0))</f>
        <v/>
      </c>
      <c r="BG1198" s="14">
        <f>F1198*BF1198*IF(B1198&gt;=in_marketplace_from,d_hz_nps*G1198,0)*in_nps_ticket*in_nps_comm</f>
        <v/>
      </c>
      <c r="BH1198" s="40">
        <f>BH1197*(1-IF(B1197&gt;=in_marketplace_from,d_hz_gold*G1197,0))</f>
        <v/>
      </c>
      <c r="BI1198" s="40">
        <f>BI1197*d_rho_gold+BH1198*IF(B1198&gt;=in_marketplace_from,d_hz_gold*G1198,0)</f>
        <v/>
      </c>
      <c r="BJ1198" s="14">
        <f>F1198*BI1198*in_gold_ticket*in_gold_comm</f>
        <v/>
      </c>
      <c r="BK1198" s="40">
        <f>BK1197*(1-IF(B1197&gt;=in_marketplace_from,d_hz_fd*G1197,0))</f>
        <v/>
      </c>
      <c r="BL1198" s="14">
        <f>F1198*BK1198*IF(B1198&gt;=in_marketplace_from,d_hz_fd*G1198,0)*in_fd_ticket*in_fd_comm</f>
        <v/>
      </c>
      <c r="BM1198" s="40">
        <f>BM1197*(1-IF(B1197&gt;=in_marketplace_from,d_hz_recharge*G1197,0))</f>
        <v/>
      </c>
      <c r="BN1198" s="40">
        <f>BN1197*d_rho_recharge+BM1198*IF(B1198&gt;=in_marketplace_from,d_hz_recharge*G1198,0)</f>
        <v/>
      </c>
      <c r="BO1198" s="14">
        <f>F1198*BN1198*in_recharge_ticket*in_recharge_comm/12</f>
        <v/>
      </c>
      <c r="BP1198" s="40">
        <f>BP1197*(1-IF(B1197&gt;=in_marketplace_from,d_hz_bills*G1197,0))</f>
        <v/>
      </c>
      <c r="BQ1198" s="40">
        <f>BQ1197*d_rho_bills+BP1198*IF(B1198&gt;=in_marketplace_from,d_hz_bills*G1198,0)</f>
        <v/>
      </c>
      <c r="BR1198" s="14">
        <f>F1198*BQ1198*in_bills_ticket*in_bills_comm/12</f>
        <v/>
      </c>
      <c r="BS1198" s="40">
        <f>BS1197*(1-IF(B1197&gt;=in_marketplace_from,d_hz_loan_gold*G1197,0))</f>
        <v/>
      </c>
      <c r="BT1198" s="14">
        <f>F1198*BS1198*IF(B1198&gt;=in_marketplace_from,d_hz_loan_gold*G1198,0)*in_loan_gold_ticket*in_loan_gold_comm</f>
        <v/>
      </c>
      <c r="BU1198" s="40">
        <f>BU1197*(1-IF(B1197&gt;=in_marketplace_from,d_hz_loan_cd*G1197,0))</f>
        <v/>
      </c>
      <c r="BV1198" s="14">
        <f>F1198*BU1198*IF(B1198&gt;=in_marketplace_from,d_hz_loan_cd*G1198,0)*in_loan_cd_ticket*in_loan_cd_comm</f>
        <v/>
      </c>
      <c r="BW1198" s="40">
        <f>BW1197*(1-IF(B1197&gt;=in_marketplace_from,d_hz_loan_vehicle*G1197,0))</f>
        <v/>
      </c>
      <c r="BX1198" s="14">
        <f>F1198*BW1198*IF(B1198&gt;=in_marketplace_from,d_hz_loan_vehicle*G1198,0)*in_loan_vehicle_ticket*in_loan_vehicle_comm</f>
        <v/>
      </c>
      <c r="BY1198" s="40">
        <f>BY1197*(1-IF(B1197&gt;=in_marketplace_from,d_hz_loan_home*G1197,0)*BZ1197)</f>
        <v/>
      </c>
      <c r="BZ1198" s="11">
        <f>MIN(in_approval_cap,in_loan_home_approval*INDEX('Age profile'!$O$2:$O$61,B1198)*(1+in_approval_growth)^(D1198-1))</f>
        <v/>
      </c>
      <c r="CA1198" s="14">
        <f>F1198*BY1198*IF(B1198&gt;=in_marketplace_from,d_hz_loan_home*G1198,0)*BZ1198*in_loan_home_ticket*in_loan_home_comm</f>
        <v/>
      </c>
      <c r="CB1198" s="40">
        <f>CB1197*(1-IF(B1197&gt;=in_marketplace_from,d_hz_loan_lap*G1197,0)*CC1197)</f>
        <v/>
      </c>
      <c r="CC1198" s="11">
        <f>MIN(in_approval_cap,in_loan_lap_approval*INDEX('Age profile'!$O$2:$O$61,B1198)*(1+in_approval_growth)^(D1198-1))</f>
        <v/>
      </c>
      <c r="CD1198" s="14">
        <f>F1198*CB1198*IF(B1198&gt;=in_marketplace_from,d_hz_loan_lap*G1198,0)*CC1198*in_loan_lap_ticket*in_loan_lap_comm</f>
        <v/>
      </c>
      <c r="CE1198" s="14">
        <f>AA1198+AB1198+AC1198+AD1198+AG1198+AJ1198+AM1198+AP1198+AS1198+AU1198+AX1198+BB1198+BE1198+BG1198+BJ1198+BL1198+BO1198+BR1198+BT1198+BV1198+BX1198+CA1198+CD1198</f>
        <v/>
      </c>
    </row>
    <row r="1199">
      <c r="A1199" s="39" t="n">
        <v>25</v>
      </c>
      <c r="B1199" s="39" t="n">
        <v>34</v>
      </c>
      <c r="C1199" s="39">
        <f>A1199+B1199-1</f>
        <v/>
      </c>
      <c r="D1199" s="39">
        <f>INT((C1199-1)/12)+1</f>
        <v/>
      </c>
      <c r="E1199" s="44">
        <f>INDEX(Monthly!$B$2:$B$61,A1199)</f>
        <v/>
      </c>
      <c r="F1199" s="44">
        <f>E1199*INDEX('Age profile'!$B$2:$B$61,B1199)</f>
        <v/>
      </c>
      <c r="G1199" s="45">
        <f>MIN(in_takeup_cap,INDEX('Age profile'!$N$2:$N$61,B1199)*(1+in_takeup_growth)^(D1199-1))</f>
        <v/>
      </c>
      <c r="H1199" s="11">
        <f>MIN(in_approval_cap,in_approved_first*INDEX('Age profile'!$O$2:$O$61,B1199)*(1+in_approval_growth)^(D1199-1))</f>
        <v/>
      </c>
      <c r="I1199" s="45">
        <f>G1199*MIN(in_takeup_cap,INDEX('Age profile'!$O$2:$O$61,B1199)*(1+in_approval_growth)^(D1199-1))</f>
        <v/>
      </c>
      <c r="J1199" s="40">
        <f>(J1198-L1198)*F1199/F1198</f>
        <v/>
      </c>
      <c r="K1199" s="40">
        <f>(K1198-M1198)*F1199/F1198+SUMIFS(O1166:O1198,B1166:B1198,B1199-1-d_T)*F1199</f>
        <v/>
      </c>
      <c r="L1199" s="40">
        <f>IF(B1199&gt;=in_marketplace_from,J1199*d_hz*G1199*in_eligible*H1199,0)</f>
        <v/>
      </c>
      <c r="M1199" s="40">
        <f>IF(B1199&gt;=in_marketplace_from,K1199*d_hz*G1199*in_eligible*in_approved_repeat,0)</f>
        <v/>
      </c>
      <c r="N1199" s="40">
        <f>L1199+M1199</f>
        <v/>
      </c>
      <c r="O1199" s="46">
        <f>N1199/F1199</f>
        <v/>
      </c>
      <c r="P1199" s="40">
        <f>F1199-J1199-K1199</f>
        <v/>
      </c>
      <c r="Q1199" s="40">
        <f>IF(B1199&gt;=in_marketplace_from,(J1199+K1199)*d_hz*G1199,0)</f>
        <v/>
      </c>
      <c r="R1199" s="40">
        <f>SUMIFS(N1166:N1201,B1166:B1201,"&gt;="&amp;(B1199-d_T),B1166:B1201,"&lt;="&amp;(B1199-1))</f>
        <v/>
      </c>
      <c r="S1199" s="46">
        <f>(1-d_u)*S1198+IF(d_T&gt;in_topup_lag,SUMIFS(O1166:O1201,B1166:B1201,B1199-in_topup_lag)-d_udrop*SUMIFS(O1166:O1201,B1166:B1201,B1199-d_T),0)</f>
        <v/>
      </c>
      <c r="T1199" s="40">
        <f>F1199*d_u*S1199</f>
        <v/>
      </c>
      <c r="U1199" s="9">
        <f>L1199*in_ticket+M1199*d_rep_ticket</f>
        <v/>
      </c>
      <c r="V1199" s="9">
        <f>U1199+T1199*d_topup_amt</f>
        <v/>
      </c>
      <c r="W1199" s="40">
        <f>N1199+T1199*d_topup_ratio</f>
        <v/>
      </c>
      <c r="X1199" s="40">
        <f>SUMIFS(W1166:W1201,B1166:B1201,B1199-in_dpd_lag)*d_cured</f>
        <v/>
      </c>
      <c r="Y1199" s="40">
        <f>SUMIFS(W1166:W1201,B1166:B1201,B1199-in_rec_lag)*d_recd</f>
        <v/>
      </c>
      <c r="Z1199" s="40">
        <f>IF(AND(B1199&gt;=in_marketplace_from,B1199&lt;in_marketplace_from+in_card_months),in_card_share/in_card_months*F1199*I1199,IF(AND(B1199&gt;=in_marketplace_from+in_card_months,B1199&lt;in_marketplace_from+2*in_card_months),in_card_share*d_card_rem/in_card_months*F1199*MIN(in_takeup_cap,(1+in_takeup_growth)^(D1199-1))*MIN(in_takeup_cap,(1+in_approval_growth)^(D1199-1)),0))</f>
        <v/>
      </c>
      <c r="AA1199" s="14">
        <f>V1199*in_fee*(1-in_taken_back)</f>
        <v/>
      </c>
      <c r="AB1199" s="14">
        <f>SUMIFS(W1166:W1201,B1166:B1201,B1199-in_dpd_lag)*d_dpd</f>
        <v/>
      </c>
      <c r="AC1199" s="14">
        <f>SUMIFS(W1166:W1201,B1166:B1201,B1199-in_rec_lag)*d_rec</f>
        <v/>
      </c>
      <c r="AD1199" s="14">
        <f>Z1199*in_card_fee</f>
        <v/>
      </c>
      <c r="AE1199" s="40">
        <f>AE1198*(1-IF(B1198&gt;=in_marketplace_from,d_hz_hlth_small*G1198,0))</f>
        <v/>
      </c>
      <c r="AF1199" s="46">
        <f>AE1199*IF(B1199&gt;=in_marketplace_from,d_hz_hlth_small*G1199,0)</f>
        <v/>
      </c>
      <c r="AG1199" s="14">
        <f>F1199*AF1199*in_hlth_small_ticket*in_hlth_small_comm*in_ins_partner_share+F1199*in_hlth_small_ticket*in_hlth_small_renew_comm*in_ins_partner_share*(in_hlth_small_renew^1*SUMIFS(AF1166:AF1201,B1166:B1201,B1199-12)+in_hlth_small_renew^2*SUMIFS(AF1166:AF1201,B1166:B1201,B1199-24)+in_hlth_small_renew^3*SUMIFS(AF1166:AF1201,B1166:B1201,B1199-36)+in_hlth_small_renew^4*SUMIFS(AF1166:AF1201,B1166:B1201,B1199-48))</f>
        <v/>
      </c>
      <c r="AH1199" s="40">
        <f>AH1198*(1-IF(B1198&gt;=in_marketplace_from,d_hz_hlth_family*G1198,0))</f>
        <v/>
      </c>
      <c r="AI1199" s="46">
        <f>AH1199*IF(B1199&gt;=in_marketplace_from,d_hz_hlth_family*G1199,0)</f>
        <v/>
      </c>
      <c r="AJ1199" s="14">
        <f>F1199*AI1199*in_hlth_family_ticket*in_hlth_family_comm*in_ins_partner_share+F1199*in_hlth_family_ticket*in_hlth_family_renew_comm*in_ins_partner_share*(in_hlth_family_renew^1*SUMIFS(AI1166:AI1201,B1166:B1201,B1199-12)+in_hlth_family_renew^2*SUMIFS(AI1166:AI1201,B1166:B1201,B1199-24)+in_hlth_family_renew^3*SUMIFS(AI1166:AI1201,B1166:B1201,B1199-36)+in_hlth_family_renew^4*SUMIFS(AI1166:AI1201,B1166:B1201,B1199-48))</f>
        <v/>
      </c>
      <c r="AK1199" s="40">
        <f>AK1198*(1-IF(B1198&gt;=in_marketplace_from,d_hz_life_term*G1198,0))</f>
        <v/>
      </c>
      <c r="AL1199" s="46">
        <f>AK1199*IF(B1199&gt;=in_marketplace_from,d_hz_life_term*G1199,0)</f>
        <v/>
      </c>
      <c r="AM1199" s="14">
        <f>F1199*AL1199*in_life_term_ticket*in_life_term_comm*in_ins_partner_share+F1199*in_life_term_ticket*in_life_term_renew_comm*in_ins_partner_share*(in_life_term_renew^1*SUMIFS(AL1166:AL1201,B1166:B1201,B1199-12)+in_life_term_renew^2*SUMIFS(AL1166:AL1201,B1166:B1201,B1199-24)+in_life_term_renew^3*SUMIFS(AL1166:AL1201,B1166:B1201,B1199-36)+in_life_term_renew^4*SUMIFS(AL1166:AL1201,B1166:B1201,B1199-48))</f>
        <v/>
      </c>
      <c r="AN1199" s="40">
        <f>AN1198*(1-IF(B1198&gt;=in_marketplace_from,d_hz_accident*G1198,0))</f>
        <v/>
      </c>
      <c r="AO1199" s="46">
        <f>AN1199*IF(B1199&gt;=in_marketplace_from,d_hz_accident*G1199,0)</f>
        <v/>
      </c>
      <c r="AP1199" s="14">
        <f>F1199*AO1199*in_accident_ticket*in_accident_comm*in_ins_partner_share+F1199*in_accident_ticket*in_accident_renew_comm*in_ins_partner_share*(in_accident_renew^1*SUMIFS(AO1166:AO1201,B1166:B1201,B1199-12)+in_accident_renew^2*SUMIFS(AO1166:AO1201,B1166:B1201,B1199-24)+in_accident_renew^3*SUMIFS(AO1166:AO1201,B1166:B1201,B1199-36)+in_accident_renew^4*SUMIFS(AO1166:AO1201,B1166:B1201,B1199-48))</f>
        <v/>
      </c>
      <c r="AQ1199" s="40">
        <f>AQ1198*(1-IF(B1198&gt;=in_marketplace_from,d_hz_two_wheeler*G1198,0))</f>
        <v/>
      </c>
      <c r="AR1199" s="46">
        <f>AQ1199*IF(B1199&gt;=in_marketplace_from,d_hz_two_wheeler*G1199,0)</f>
        <v/>
      </c>
      <c r="AS1199" s="14">
        <f>F1199*AR1199*in_two_wheeler_ticket*in_two_wheeler_comm*in_ins_partner_share+F1199*in_two_wheeler_ticket*in_two_wheeler_comm*in_ins_partner_share*(in_two_wheeler_renew^1*SUMIFS(AR1166:AR1201,B1166:B1201,B1199-12)+in_two_wheeler_renew^2*SUMIFS(AR1166:AR1201,B1166:B1201,B1199-24)+in_two_wheeler_renew^3*SUMIFS(AR1166:AR1201,B1166:B1201,B1199-36)+in_two_wheeler_renew^4*SUMIFS(AR1166:AR1201,B1166:B1201,B1199-48))</f>
        <v/>
      </c>
      <c r="AT1199" s="40">
        <f>AT1198*(1-IF(B1198&gt;=in_marketplace_from,d_hz_device*G1198,0))</f>
        <v/>
      </c>
      <c r="AU1199" s="14">
        <f>F1199*AT1199*IF(B1199&gt;=in_marketplace_from,d_hz_device*G1199,0)*in_device_ticket*in_device_comm*in_ins_partner_share</f>
        <v/>
      </c>
      <c r="AV1199" s="40">
        <f>AV1198*(1-IF(B1198&gt;=in_marketplace_from,d_hz_shop*G1198,0))</f>
        <v/>
      </c>
      <c r="AW1199" s="46">
        <f>AV1199*IF(B1199&gt;=in_marketplace_from,d_hz_shop*G1199,0)</f>
        <v/>
      </c>
      <c r="AX1199" s="14">
        <f>F1199*AW1199*in_shop_ticket*in_shop_comm*in_ins_partner_share+F1199*in_shop_ticket*in_shop_renew_comm*in_ins_partner_share*(in_shop_renew^1*SUMIFS(AW1166:AW1201,B1166:B1201,B1199-12)+in_shop_renew^2*SUMIFS(AW1166:AW1201,B1166:B1201,B1199-24)+in_shop_renew^3*SUMIFS(AW1166:AW1201,B1166:B1201,B1199-36)+in_shop_renew^4*SUMIFS(AW1166:AW1201,B1166:B1201,B1199-48))</f>
        <v/>
      </c>
      <c r="AY1199" s="40">
        <f>AY1198*(1-IF(B1198&gt;=in_marketplace_from,d_hz_sip*G1198,0))</f>
        <v/>
      </c>
      <c r="AZ1199" s="40">
        <f>AZ1198*d_rho_sip+AY1199*IF(B1199&gt;=in_marketplace_from,d_hz_sip*G1199,0)</f>
        <v/>
      </c>
      <c r="BA1199" s="40">
        <f>d_rho_sip*(BA1198+AZ1198)</f>
        <v/>
      </c>
      <c r="BB1199" s="14">
        <f>F1199*in_sip_ticket*(BA1199+0.5*AZ1199)*in_sip_comm/12</f>
        <v/>
      </c>
      <c r="BC1199" s="40">
        <f>BC1198*(1-IF(B1198&gt;=in_marketplace_from,d_hz_choti*G1198,0))</f>
        <v/>
      </c>
      <c r="BD1199" s="46">
        <f>BC1199*IF(B1199&gt;=in_marketplace_from,d_hz_choti*G1199,0)</f>
        <v/>
      </c>
      <c r="BE1199" s="14">
        <f>F1199*SUMIFS(BD1166:BD1201,B1166:B1201,B1199-in_choti_months)*in_choti_renew*in_choti_ticket</f>
        <v/>
      </c>
      <c r="BF1199" s="40">
        <f>BF1198*(1-IF(B1198&gt;=in_marketplace_from,d_hz_nps*G1198,0))</f>
        <v/>
      </c>
      <c r="BG1199" s="14">
        <f>F1199*BF1199*IF(B1199&gt;=in_marketplace_from,d_hz_nps*G1199,0)*in_nps_ticket*in_nps_comm</f>
        <v/>
      </c>
      <c r="BH1199" s="40">
        <f>BH1198*(1-IF(B1198&gt;=in_marketplace_from,d_hz_gold*G1198,0))</f>
        <v/>
      </c>
      <c r="BI1199" s="40">
        <f>BI1198*d_rho_gold+BH1199*IF(B1199&gt;=in_marketplace_from,d_hz_gold*G1199,0)</f>
        <v/>
      </c>
      <c r="BJ1199" s="14">
        <f>F1199*BI1199*in_gold_ticket*in_gold_comm</f>
        <v/>
      </c>
      <c r="BK1199" s="40">
        <f>BK1198*(1-IF(B1198&gt;=in_marketplace_from,d_hz_fd*G1198,0))</f>
        <v/>
      </c>
      <c r="BL1199" s="14">
        <f>F1199*BK1199*IF(B1199&gt;=in_marketplace_from,d_hz_fd*G1199,0)*in_fd_ticket*in_fd_comm</f>
        <v/>
      </c>
      <c r="BM1199" s="40">
        <f>BM1198*(1-IF(B1198&gt;=in_marketplace_from,d_hz_recharge*G1198,0))</f>
        <v/>
      </c>
      <c r="BN1199" s="40">
        <f>BN1198*d_rho_recharge+BM1199*IF(B1199&gt;=in_marketplace_from,d_hz_recharge*G1199,0)</f>
        <v/>
      </c>
      <c r="BO1199" s="14">
        <f>F1199*BN1199*in_recharge_ticket*in_recharge_comm/12</f>
        <v/>
      </c>
      <c r="BP1199" s="40">
        <f>BP1198*(1-IF(B1198&gt;=in_marketplace_from,d_hz_bills*G1198,0))</f>
        <v/>
      </c>
      <c r="BQ1199" s="40">
        <f>BQ1198*d_rho_bills+BP1199*IF(B1199&gt;=in_marketplace_from,d_hz_bills*G1199,0)</f>
        <v/>
      </c>
      <c r="BR1199" s="14">
        <f>F1199*BQ1199*in_bills_ticket*in_bills_comm/12</f>
        <v/>
      </c>
      <c r="BS1199" s="40">
        <f>BS1198*(1-IF(B1198&gt;=in_marketplace_from,d_hz_loan_gold*G1198,0))</f>
        <v/>
      </c>
      <c r="BT1199" s="14">
        <f>F1199*BS1199*IF(B1199&gt;=in_marketplace_from,d_hz_loan_gold*G1199,0)*in_loan_gold_ticket*in_loan_gold_comm</f>
        <v/>
      </c>
      <c r="BU1199" s="40">
        <f>BU1198*(1-IF(B1198&gt;=in_marketplace_from,d_hz_loan_cd*G1198,0))</f>
        <v/>
      </c>
      <c r="BV1199" s="14">
        <f>F1199*BU1199*IF(B1199&gt;=in_marketplace_from,d_hz_loan_cd*G1199,0)*in_loan_cd_ticket*in_loan_cd_comm</f>
        <v/>
      </c>
      <c r="BW1199" s="40">
        <f>BW1198*(1-IF(B1198&gt;=in_marketplace_from,d_hz_loan_vehicle*G1198,0))</f>
        <v/>
      </c>
      <c r="BX1199" s="14">
        <f>F1199*BW1199*IF(B1199&gt;=in_marketplace_from,d_hz_loan_vehicle*G1199,0)*in_loan_vehicle_ticket*in_loan_vehicle_comm</f>
        <v/>
      </c>
      <c r="BY1199" s="40">
        <f>BY1198*(1-IF(B1198&gt;=in_marketplace_from,d_hz_loan_home*G1198,0)*BZ1198)</f>
        <v/>
      </c>
      <c r="BZ1199" s="11">
        <f>MIN(in_approval_cap,in_loan_home_approval*INDEX('Age profile'!$O$2:$O$61,B1199)*(1+in_approval_growth)^(D1199-1))</f>
        <v/>
      </c>
      <c r="CA1199" s="14">
        <f>F1199*BY1199*IF(B1199&gt;=in_marketplace_from,d_hz_loan_home*G1199,0)*BZ1199*in_loan_home_ticket*in_loan_home_comm</f>
        <v/>
      </c>
      <c r="CB1199" s="40">
        <f>CB1198*(1-IF(B1198&gt;=in_marketplace_from,d_hz_loan_lap*G1198,0)*CC1198)</f>
        <v/>
      </c>
      <c r="CC1199" s="11">
        <f>MIN(in_approval_cap,in_loan_lap_approval*INDEX('Age profile'!$O$2:$O$61,B1199)*(1+in_approval_growth)^(D1199-1))</f>
        <v/>
      </c>
      <c r="CD1199" s="14">
        <f>F1199*CB1199*IF(B1199&gt;=in_marketplace_from,d_hz_loan_lap*G1199,0)*CC1199*in_loan_lap_ticket*in_loan_lap_comm</f>
        <v/>
      </c>
      <c r="CE1199" s="14">
        <f>AA1199+AB1199+AC1199+AD1199+AG1199+AJ1199+AM1199+AP1199+AS1199+AU1199+AX1199+BB1199+BE1199+BG1199+BJ1199+BL1199+BO1199+BR1199+BT1199+BV1199+BX1199+CA1199+CD1199</f>
        <v/>
      </c>
    </row>
    <row r="1200">
      <c r="A1200" s="39" t="n">
        <v>25</v>
      </c>
      <c r="B1200" s="39" t="n">
        <v>35</v>
      </c>
      <c r="C1200" s="39">
        <f>A1200+B1200-1</f>
        <v/>
      </c>
      <c r="D1200" s="39">
        <f>INT((C1200-1)/12)+1</f>
        <v/>
      </c>
      <c r="E1200" s="44">
        <f>INDEX(Monthly!$B$2:$B$61,A1200)</f>
        <v/>
      </c>
      <c r="F1200" s="44">
        <f>E1200*INDEX('Age profile'!$B$2:$B$61,B1200)</f>
        <v/>
      </c>
      <c r="G1200" s="45">
        <f>MIN(in_takeup_cap,INDEX('Age profile'!$N$2:$N$61,B1200)*(1+in_takeup_growth)^(D1200-1))</f>
        <v/>
      </c>
      <c r="H1200" s="11">
        <f>MIN(in_approval_cap,in_approved_first*INDEX('Age profile'!$O$2:$O$61,B1200)*(1+in_approval_growth)^(D1200-1))</f>
        <v/>
      </c>
      <c r="I1200" s="45">
        <f>G1200*MIN(in_takeup_cap,INDEX('Age profile'!$O$2:$O$61,B1200)*(1+in_approval_growth)^(D1200-1))</f>
        <v/>
      </c>
      <c r="J1200" s="40">
        <f>(J1199-L1199)*F1200/F1199</f>
        <v/>
      </c>
      <c r="K1200" s="40">
        <f>(K1199-M1199)*F1200/F1199+SUMIFS(O1166:O1199,B1166:B1199,B1200-1-d_T)*F1200</f>
        <v/>
      </c>
      <c r="L1200" s="40">
        <f>IF(B1200&gt;=in_marketplace_from,J1200*d_hz*G1200*in_eligible*H1200,0)</f>
        <v/>
      </c>
      <c r="M1200" s="40">
        <f>IF(B1200&gt;=in_marketplace_from,K1200*d_hz*G1200*in_eligible*in_approved_repeat,0)</f>
        <v/>
      </c>
      <c r="N1200" s="40">
        <f>L1200+M1200</f>
        <v/>
      </c>
      <c r="O1200" s="46">
        <f>N1200/F1200</f>
        <v/>
      </c>
      <c r="P1200" s="40">
        <f>F1200-J1200-K1200</f>
        <v/>
      </c>
      <c r="Q1200" s="40">
        <f>IF(B1200&gt;=in_marketplace_from,(J1200+K1200)*d_hz*G1200,0)</f>
        <v/>
      </c>
      <c r="R1200" s="40">
        <f>SUMIFS(N1166:N1201,B1166:B1201,"&gt;="&amp;(B1200-d_T),B1166:B1201,"&lt;="&amp;(B1200-1))</f>
        <v/>
      </c>
      <c r="S1200" s="46">
        <f>(1-d_u)*S1199+IF(d_T&gt;in_topup_lag,SUMIFS(O1166:O1201,B1166:B1201,B1200-in_topup_lag)-d_udrop*SUMIFS(O1166:O1201,B1166:B1201,B1200-d_T),0)</f>
        <v/>
      </c>
      <c r="T1200" s="40">
        <f>F1200*d_u*S1200</f>
        <v/>
      </c>
      <c r="U1200" s="9">
        <f>L1200*in_ticket+M1200*d_rep_ticket</f>
        <v/>
      </c>
      <c r="V1200" s="9">
        <f>U1200+T1200*d_topup_amt</f>
        <v/>
      </c>
      <c r="W1200" s="40">
        <f>N1200+T1200*d_topup_ratio</f>
        <v/>
      </c>
      <c r="X1200" s="40">
        <f>SUMIFS(W1166:W1201,B1166:B1201,B1200-in_dpd_lag)*d_cured</f>
        <v/>
      </c>
      <c r="Y1200" s="40">
        <f>SUMIFS(W1166:W1201,B1166:B1201,B1200-in_rec_lag)*d_recd</f>
        <v/>
      </c>
      <c r="Z1200" s="40">
        <f>IF(AND(B1200&gt;=in_marketplace_from,B1200&lt;in_marketplace_from+in_card_months),in_card_share/in_card_months*F1200*I1200,IF(AND(B1200&gt;=in_marketplace_from+in_card_months,B1200&lt;in_marketplace_from+2*in_card_months),in_card_share*d_card_rem/in_card_months*F1200*MIN(in_takeup_cap,(1+in_takeup_growth)^(D1200-1))*MIN(in_takeup_cap,(1+in_approval_growth)^(D1200-1)),0))</f>
        <v/>
      </c>
      <c r="AA1200" s="14">
        <f>V1200*in_fee*(1-in_taken_back)</f>
        <v/>
      </c>
      <c r="AB1200" s="14">
        <f>SUMIFS(W1166:W1201,B1166:B1201,B1200-in_dpd_lag)*d_dpd</f>
        <v/>
      </c>
      <c r="AC1200" s="14">
        <f>SUMIFS(W1166:W1201,B1166:B1201,B1200-in_rec_lag)*d_rec</f>
        <v/>
      </c>
      <c r="AD1200" s="14">
        <f>Z1200*in_card_fee</f>
        <v/>
      </c>
      <c r="AE1200" s="40">
        <f>AE1199*(1-IF(B1199&gt;=in_marketplace_from,d_hz_hlth_small*G1199,0))</f>
        <v/>
      </c>
      <c r="AF1200" s="46">
        <f>AE1200*IF(B1200&gt;=in_marketplace_from,d_hz_hlth_small*G1200,0)</f>
        <v/>
      </c>
      <c r="AG1200" s="14">
        <f>F1200*AF1200*in_hlth_small_ticket*in_hlth_small_comm*in_ins_partner_share+F1200*in_hlth_small_ticket*in_hlth_small_renew_comm*in_ins_partner_share*(in_hlth_small_renew^1*SUMIFS(AF1166:AF1201,B1166:B1201,B1200-12)+in_hlth_small_renew^2*SUMIFS(AF1166:AF1201,B1166:B1201,B1200-24)+in_hlth_small_renew^3*SUMIFS(AF1166:AF1201,B1166:B1201,B1200-36)+in_hlth_small_renew^4*SUMIFS(AF1166:AF1201,B1166:B1201,B1200-48))</f>
        <v/>
      </c>
      <c r="AH1200" s="40">
        <f>AH1199*(1-IF(B1199&gt;=in_marketplace_from,d_hz_hlth_family*G1199,0))</f>
        <v/>
      </c>
      <c r="AI1200" s="46">
        <f>AH1200*IF(B1200&gt;=in_marketplace_from,d_hz_hlth_family*G1200,0)</f>
        <v/>
      </c>
      <c r="AJ1200" s="14">
        <f>F1200*AI1200*in_hlth_family_ticket*in_hlth_family_comm*in_ins_partner_share+F1200*in_hlth_family_ticket*in_hlth_family_renew_comm*in_ins_partner_share*(in_hlth_family_renew^1*SUMIFS(AI1166:AI1201,B1166:B1201,B1200-12)+in_hlth_family_renew^2*SUMIFS(AI1166:AI1201,B1166:B1201,B1200-24)+in_hlth_family_renew^3*SUMIFS(AI1166:AI1201,B1166:B1201,B1200-36)+in_hlth_family_renew^4*SUMIFS(AI1166:AI1201,B1166:B1201,B1200-48))</f>
        <v/>
      </c>
      <c r="AK1200" s="40">
        <f>AK1199*(1-IF(B1199&gt;=in_marketplace_from,d_hz_life_term*G1199,0))</f>
        <v/>
      </c>
      <c r="AL1200" s="46">
        <f>AK1200*IF(B1200&gt;=in_marketplace_from,d_hz_life_term*G1200,0)</f>
        <v/>
      </c>
      <c r="AM1200" s="14">
        <f>F1200*AL1200*in_life_term_ticket*in_life_term_comm*in_ins_partner_share+F1200*in_life_term_ticket*in_life_term_renew_comm*in_ins_partner_share*(in_life_term_renew^1*SUMIFS(AL1166:AL1201,B1166:B1201,B1200-12)+in_life_term_renew^2*SUMIFS(AL1166:AL1201,B1166:B1201,B1200-24)+in_life_term_renew^3*SUMIFS(AL1166:AL1201,B1166:B1201,B1200-36)+in_life_term_renew^4*SUMIFS(AL1166:AL1201,B1166:B1201,B1200-48))</f>
        <v/>
      </c>
      <c r="AN1200" s="40">
        <f>AN1199*(1-IF(B1199&gt;=in_marketplace_from,d_hz_accident*G1199,0))</f>
        <v/>
      </c>
      <c r="AO1200" s="46">
        <f>AN1200*IF(B1200&gt;=in_marketplace_from,d_hz_accident*G1200,0)</f>
        <v/>
      </c>
      <c r="AP1200" s="14">
        <f>F1200*AO1200*in_accident_ticket*in_accident_comm*in_ins_partner_share+F1200*in_accident_ticket*in_accident_renew_comm*in_ins_partner_share*(in_accident_renew^1*SUMIFS(AO1166:AO1201,B1166:B1201,B1200-12)+in_accident_renew^2*SUMIFS(AO1166:AO1201,B1166:B1201,B1200-24)+in_accident_renew^3*SUMIFS(AO1166:AO1201,B1166:B1201,B1200-36)+in_accident_renew^4*SUMIFS(AO1166:AO1201,B1166:B1201,B1200-48))</f>
        <v/>
      </c>
      <c r="AQ1200" s="40">
        <f>AQ1199*(1-IF(B1199&gt;=in_marketplace_from,d_hz_two_wheeler*G1199,0))</f>
        <v/>
      </c>
      <c r="AR1200" s="46">
        <f>AQ1200*IF(B1200&gt;=in_marketplace_from,d_hz_two_wheeler*G1200,0)</f>
        <v/>
      </c>
      <c r="AS1200" s="14">
        <f>F1200*AR1200*in_two_wheeler_ticket*in_two_wheeler_comm*in_ins_partner_share+F1200*in_two_wheeler_ticket*in_two_wheeler_comm*in_ins_partner_share*(in_two_wheeler_renew^1*SUMIFS(AR1166:AR1201,B1166:B1201,B1200-12)+in_two_wheeler_renew^2*SUMIFS(AR1166:AR1201,B1166:B1201,B1200-24)+in_two_wheeler_renew^3*SUMIFS(AR1166:AR1201,B1166:B1201,B1200-36)+in_two_wheeler_renew^4*SUMIFS(AR1166:AR1201,B1166:B1201,B1200-48))</f>
        <v/>
      </c>
      <c r="AT1200" s="40">
        <f>AT1199*(1-IF(B1199&gt;=in_marketplace_from,d_hz_device*G1199,0))</f>
        <v/>
      </c>
      <c r="AU1200" s="14">
        <f>F1200*AT1200*IF(B1200&gt;=in_marketplace_from,d_hz_device*G1200,0)*in_device_ticket*in_device_comm*in_ins_partner_share</f>
        <v/>
      </c>
      <c r="AV1200" s="40">
        <f>AV1199*(1-IF(B1199&gt;=in_marketplace_from,d_hz_shop*G1199,0))</f>
        <v/>
      </c>
      <c r="AW1200" s="46">
        <f>AV1200*IF(B1200&gt;=in_marketplace_from,d_hz_shop*G1200,0)</f>
        <v/>
      </c>
      <c r="AX1200" s="14">
        <f>F1200*AW1200*in_shop_ticket*in_shop_comm*in_ins_partner_share+F1200*in_shop_ticket*in_shop_renew_comm*in_ins_partner_share*(in_shop_renew^1*SUMIFS(AW1166:AW1201,B1166:B1201,B1200-12)+in_shop_renew^2*SUMIFS(AW1166:AW1201,B1166:B1201,B1200-24)+in_shop_renew^3*SUMIFS(AW1166:AW1201,B1166:B1201,B1200-36)+in_shop_renew^4*SUMIFS(AW1166:AW1201,B1166:B1201,B1200-48))</f>
        <v/>
      </c>
      <c r="AY1200" s="40">
        <f>AY1199*(1-IF(B1199&gt;=in_marketplace_from,d_hz_sip*G1199,0))</f>
        <v/>
      </c>
      <c r="AZ1200" s="40">
        <f>AZ1199*d_rho_sip+AY1200*IF(B1200&gt;=in_marketplace_from,d_hz_sip*G1200,0)</f>
        <v/>
      </c>
      <c r="BA1200" s="40">
        <f>d_rho_sip*(BA1199+AZ1199)</f>
        <v/>
      </c>
      <c r="BB1200" s="14">
        <f>F1200*in_sip_ticket*(BA1200+0.5*AZ1200)*in_sip_comm/12</f>
        <v/>
      </c>
      <c r="BC1200" s="40">
        <f>BC1199*(1-IF(B1199&gt;=in_marketplace_from,d_hz_choti*G1199,0))</f>
        <v/>
      </c>
      <c r="BD1200" s="46">
        <f>BC1200*IF(B1200&gt;=in_marketplace_from,d_hz_choti*G1200,0)</f>
        <v/>
      </c>
      <c r="BE1200" s="14">
        <f>F1200*SUMIFS(BD1166:BD1201,B1166:B1201,B1200-in_choti_months)*in_choti_renew*in_choti_ticket</f>
        <v/>
      </c>
      <c r="BF1200" s="40">
        <f>BF1199*(1-IF(B1199&gt;=in_marketplace_from,d_hz_nps*G1199,0))</f>
        <v/>
      </c>
      <c r="BG1200" s="14">
        <f>F1200*BF1200*IF(B1200&gt;=in_marketplace_from,d_hz_nps*G1200,0)*in_nps_ticket*in_nps_comm</f>
        <v/>
      </c>
      <c r="BH1200" s="40">
        <f>BH1199*(1-IF(B1199&gt;=in_marketplace_from,d_hz_gold*G1199,0))</f>
        <v/>
      </c>
      <c r="BI1200" s="40">
        <f>BI1199*d_rho_gold+BH1200*IF(B1200&gt;=in_marketplace_from,d_hz_gold*G1200,0)</f>
        <v/>
      </c>
      <c r="BJ1200" s="14">
        <f>F1200*BI1200*in_gold_ticket*in_gold_comm</f>
        <v/>
      </c>
      <c r="BK1200" s="40">
        <f>BK1199*(1-IF(B1199&gt;=in_marketplace_from,d_hz_fd*G1199,0))</f>
        <v/>
      </c>
      <c r="BL1200" s="14">
        <f>F1200*BK1200*IF(B1200&gt;=in_marketplace_from,d_hz_fd*G1200,0)*in_fd_ticket*in_fd_comm</f>
        <v/>
      </c>
      <c r="BM1200" s="40">
        <f>BM1199*(1-IF(B1199&gt;=in_marketplace_from,d_hz_recharge*G1199,0))</f>
        <v/>
      </c>
      <c r="BN1200" s="40">
        <f>BN1199*d_rho_recharge+BM1200*IF(B1200&gt;=in_marketplace_from,d_hz_recharge*G1200,0)</f>
        <v/>
      </c>
      <c r="BO1200" s="14">
        <f>F1200*BN1200*in_recharge_ticket*in_recharge_comm/12</f>
        <v/>
      </c>
      <c r="BP1200" s="40">
        <f>BP1199*(1-IF(B1199&gt;=in_marketplace_from,d_hz_bills*G1199,0))</f>
        <v/>
      </c>
      <c r="BQ1200" s="40">
        <f>BQ1199*d_rho_bills+BP1200*IF(B1200&gt;=in_marketplace_from,d_hz_bills*G1200,0)</f>
        <v/>
      </c>
      <c r="BR1200" s="14">
        <f>F1200*BQ1200*in_bills_ticket*in_bills_comm/12</f>
        <v/>
      </c>
      <c r="BS1200" s="40">
        <f>BS1199*(1-IF(B1199&gt;=in_marketplace_from,d_hz_loan_gold*G1199,0))</f>
        <v/>
      </c>
      <c r="BT1200" s="14">
        <f>F1200*BS1200*IF(B1200&gt;=in_marketplace_from,d_hz_loan_gold*G1200,0)*in_loan_gold_ticket*in_loan_gold_comm</f>
        <v/>
      </c>
      <c r="BU1200" s="40">
        <f>BU1199*(1-IF(B1199&gt;=in_marketplace_from,d_hz_loan_cd*G1199,0))</f>
        <v/>
      </c>
      <c r="BV1200" s="14">
        <f>F1200*BU1200*IF(B1200&gt;=in_marketplace_from,d_hz_loan_cd*G1200,0)*in_loan_cd_ticket*in_loan_cd_comm</f>
        <v/>
      </c>
      <c r="BW1200" s="40">
        <f>BW1199*(1-IF(B1199&gt;=in_marketplace_from,d_hz_loan_vehicle*G1199,0))</f>
        <v/>
      </c>
      <c r="BX1200" s="14">
        <f>F1200*BW1200*IF(B1200&gt;=in_marketplace_from,d_hz_loan_vehicle*G1200,0)*in_loan_vehicle_ticket*in_loan_vehicle_comm</f>
        <v/>
      </c>
      <c r="BY1200" s="40">
        <f>BY1199*(1-IF(B1199&gt;=in_marketplace_from,d_hz_loan_home*G1199,0)*BZ1199)</f>
        <v/>
      </c>
      <c r="BZ1200" s="11">
        <f>MIN(in_approval_cap,in_loan_home_approval*INDEX('Age profile'!$O$2:$O$61,B1200)*(1+in_approval_growth)^(D1200-1))</f>
        <v/>
      </c>
      <c r="CA1200" s="14">
        <f>F1200*BY1200*IF(B1200&gt;=in_marketplace_from,d_hz_loan_home*G1200,0)*BZ1200*in_loan_home_ticket*in_loan_home_comm</f>
        <v/>
      </c>
      <c r="CB1200" s="40">
        <f>CB1199*(1-IF(B1199&gt;=in_marketplace_from,d_hz_loan_lap*G1199,0)*CC1199)</f>
        <v/>
      </c>
      <c r="CC1200" s="11">
        <f>MIN(in_approval_cap,in_loan_lap_approval*INDEX('Age profile'!$O$2:$O$61,B1200)*(1+in_approval_growth)^(D1200-1))</f>
        <v/>
      </c>
      <c r="CD1200" s="14">
        <f>F1200*CB1200*IF(B1200&gt;=in_marketplace_from,d_hz_loan_lap*G1200,0)*CC1200*in_loan_lap_ticket*in_loan_lap_comm</f>
        <v/>
      </c>
      <c r="CE1200" s="14">
        <f>AA1200+AB1200+AC1200+AD1200+AG1200+AJ1200+AM1200+AP1200+AS1200+AU1200+AX1200+BB1200+BE1200+BG1200+BJ1200+BL1200+BO1200+BR1200+BT1200+BV1200+BX1200+CA1200+CD1200</f>
        <v/>
      </c>
    </row>
    <row r="1201">
      <c r="A1201" s="39" t="n">
        <v>25</v>
      </c>
      <c r="B1201" s="39" t="n">
        <v>36</v>
      </c>
      <c r="C1201" s="39">
        <f>A1201+B1201-1</f>
        <v/>
      </c>
      <c r="D1201" s="39">
        <f>INT((C1201-1)/12)+1</f>
        <v/>
      </c>
      <c r="E1201" s="44">
        <f>INDEX(Monthly!$B$2:$B$61,A1201)</f>
        <v/>
      </c>
      <c r="F1201" s="44">
        <f>E1201*INDEX('Age profile'!$B$2:$B$61,B1201)</f>
        <v/>
      </c>
      <c r="G1201" s="45">
        <f>MIN(in_takeup_cap,INDEX('Age profile'!$N$2:$N$61,B1201)*(1+in_takeup_growth)^(D1201-1))</f>
        <v/>
      </c>
      <c r="H1201" s="11">
        <f>MIN(in_approval_cap,in_approved_first*INDEX('Age profile'!$O$2:$O$61,B1201)*(1+in_approval_growth)^(D1201-1))</f>
        <v/>
      </c>
      <c r="I1201" s="45">
        <f>G1201*MIN(in_takeup_cap,INDEX('Age profile'!$O$2:$O$61,B1201)*(1+in_approval_growth)^(D1201-1))</f>
        <v/>
      </c>
      <c r="J1201" s="40">
        <f>(J1200-L1200)*F1201/F1200</f>
        <v/>
      </c>
      <c r="K1201" s="40">
        <f>(K1200-M1200)*F1201/F1200+SUMIFS(O1166:O1200,B1166:B1200,B1201-1-d_T)*F1201</f>
        <v/>
      </c>
      <c r="L1201" s="40">
        <f>IF(B1201&gt;=in_marketplace_from,J1201*d_hz*G1201*in_eligible*H1201,0)</f>
        <v/>
      </c>
      <c r="M1201" s="40">
        <f>IF(B1201&gt;=in_marketplace_from,K1201*d_hz*G1201*in_eligible*in_approved_repeat,0)</f>
        <v/>
      </c>
      <c r="N1201" s="40">
        <f>L1201+M1201</f>
        <v/>
      </c>
      <c r="O1201" s="46">
        <f>N1201/F1201</f>
        <v/>
      </c>
      <c r="P1201" s="40">
        <f>F1201-J1201-K1201</f>
        <v/>
      </c>
      <c r="Q1201" s="40">
        <f>IF(B1201&gt;=in_marketplace_from,(J1201+K1201)*d_hz*G1201,0)</f>
        <v/>
      </c>
      <c r="R1201" s="40">
        <f>SUMIFS(N1166:N1201,B1166:B1201,"&gt;="&amp;(B1201-d_T),B1166:B1201,"&lt;="&amp;(B1201-1))</f>
        <v/>
      </c>
      <c r="S1201" s="46">
        <f>(1-d_u)*S1200+IF(d_T&gt;in_topup_lag,SUMIFS(O1166:O1201,B1166:B1201,B1201-in_topup_lag)-d_udrop*SUMIFS(O1166:O1201,B1166:B1201,B1201-d_T),0)</f>
        <v/>
      </c>
      <c r="T1201" s="40">
        <f>F1201*d_u*S1201</f>
        <v/>
      </c>
      <c r="U1201" s="9">
        <f>L1201*in_ticket+M1201*d_rep_ticket</f>
        <v/>
      </c>
      <c r="V1201" s="9">
        <f>U1201+T1201*d_topup_amt</f>
        <v/>
      </c>
      <c r="W1201" s="40">
        <f>N1201+T1201*d_topup_ratio</f>
        <v/>
      </c>
      <c r="X1201" s="40">
        <f>SUMIFS(W1166:W1201,B1166:B1201,B1201-in_dpd_lag)*d_cured</f>
        <v/>
      </c>
      <c r="Y1201" s="40">
        <f>SUMIFS(W1166:W1201,B1166:B1201,B1201-in_rec_lag)*d_recd</f>
        <v/>
      </c>
      <c r="Z1201" s="40">
        <f>IF(AND(B1201&gt;=in_marketplace_from,B1201&lt;in_marketplace_from+in_card_months),in_card_share/in_card_months*F1201*I1201,IF(AND(B1201&gt;=in_marketplace_from+in_card_months,B1201&lt;in_marketplace_from+2*in_card_months),in_card_share*d_card_rem/in_card_months*F1201*MIN(in_takeup_cap,(1+in_takeup_growth)^(D1201-1))*MIN(in_takeup_cap,(1+in_approval_growth)^(D1201-1)),0))</f>
        <v/>
      </c>
      <c r="AA1201" s="14">
        <f>V1201*in_fee*(1-in_taken_back)</f>
        <v/>
      </c>
      <c r="AB1201" s="14">
        <f>SUMIFS(W1166:W1201,B1166:B1201,B1201-in_dpd_lag)*d_dpd</f>
        <v/>
      </c>
      <c r="AC1201" s="14">
        <f>SUMIFS(W1166:W1201,B1166:B1201,B1201-in_rec_lag)*d_rec</f>
        <v/>
      </c>
      <c r="AD1201" s="14">
        <f>Z1201*in_card_fee</f>
        <v/>
      </c>
      <c r="AE1201" s="40">
        <f>AE1200*(1-IF(B1200&gt;=in_marketplace_from,d_hz_hlth_small*G1200,0))</f>
        <v/>
      </c>
      <c r="AF1201" s="46">
        <f>AE1201*IF(B1201&gt;=in_marketplace_from,d_hz_hlth_small*G1201,0)</f>
        <v/>
      </c>
      <c r="AG1201" s="14">
        <f>F1201*AF1201*in_hlth_small_ticket*in_hlth_small_comm*in_ins_partner_share+F1201*in_hlth_small_ticket*in_hlth_small_renew_comm*in_ins_partner_share*(in_hlth_small_renew^1*SUMIFS(AF1166:AF1201,B1166:B1201,B1201-12)+in_hlth_small_renew^2*SUMIFS(AF1166:AF1201,B1166:B1201,B1201-24)+in_hlth_small_renew^3*SUMIFS(AF1166:AF1201,B1166:B1201,B1201-36)+in_hlth_small_renew^4*SUMIFS(AF1166:AF1201,B1166:B1201,B1201-48))</f>
        <v/>
      </c>
      <c r="AH1201" s="40">
        <f>AH1200*(1-IF(B1200&gt;=in_marketplace_from,d_hz_hlth_family*G1200,0))</f>
        <v/>
      </c>
      <c r="AI1201" s="46">
        <f>AH1201*IF(B1201&gt;=in_marketplace_from,d_hz_hlth_family*G1201,0)</f>
        <v/>
      </c>
      <c r="AJ1201" s="14">
        <f>F1201*AI1201*in_hlth_family_ticket*in_hlth_family_comm*in_ins_partner_share+F1201*in_hlth_family_ticket*in_hlth_family_renew_comm*in_ins_partner_share*(in_hlth_family_renew^1*SUMIFS(AI1166:AI1201,B1166:B1201,B1201-12)+in_hlth_family_renew^2*SUMIFS(AI1166:AI1201,B1166:B1201,B1201-24)+in_hlth_family_renew^3*SUMIFS(AI1166:AI1201,B1166:B1201,B1201-36)+in_hlth_family_renew^4*SUMIFS(AI1166:AI1201,B1166:B1201,B1201-48))</f>
        <v/>
      </c>
      <c r="AK1201" s="40">
        <f>AK1200*(1-IF(B1200&gt;=in_marketplace_from,d_hz_life_term*G1200,0))</f>
        <v/>
      </c>
      <c r="AL1201" s="46">
        <f>AK1201*IF(B1201&gt;=in_marketplace_from,d_hz_life_term*G1201,0)</f>
        <v/>
      </c>
      <c r="AM1201" s="14">
        <f>F1201*AL1201*in_life_term_ticket*in_life_term_comm*in_ins_partner_share+F1201*in_life_term_ticket*in_life_term_renew_comm*in_ins_partner_share*(in_life_term_renew^1*SUMIFS(AL1166:AL1201,B1166:B1201,B1201-12)+in_life_term_renew^2*SUMIFS(AL1166:AL1201,B1166:B1201,B1201-24)+in_life_term_renew^3*SUMIFS(AL1166:AL1201,B1166:B1201,B1201-36)+in_life_term_renew^4*SUMIFS(AL1166:AL1201,B1166:B1201,B1201-48))</f>
        <v/>
      </c>
      <c r="AN1201" s="40">
        <f>AN1200*(1-IF(B1200&gt;=in_marketplace_from,d_hz_accident*G1200,0))</f>
        <v/>
      </c>
      <c r="AO1201" s="46">
        <f>AN1201*IF(B1201&gt;=in_marketplace_from,d_hz_accident*G1201,0)</f>
        <v/>
      </c>
      <c r="AP1201" s="14">
        <f>F1201*AO1201*in_accident_ticket*in_accident_comm*in_ins_partner_share+F1201*in_accident_ticket*in_accident_renew_comm*in_ins_partner_share*(in_accident_renew^1*SUMIFS(AO1166:AO1201,B1166:B1201,B1201-12)+in_accident_renew^2*SUMIFS(AO1166:AO1201,B1166:B1201,B1201-24)+in_accident_renew^3*SUMIFS(AO1166:AO1201,B1166:B1201,B1201-36)+in_accident_renew^4*SUMIFS(AO1166:AO1201,B1166:B1201,B1201-48))</f>
        <v/>
      </c>
      <c r="AQ1201" s="40">
        <f>AQ1200*(1-IF(B1200&gt;=in_marketplace_from,d_hz_two_wheeler*G1200,0))</f>
        <v/>
      </c>
      <c r="AR1201" s="46">
        <f>AQ1201*IF(B1201&gt;=in_marketplace_from,d_hz_two_wheeler*G1201,0)</f>
        <v/>
      </c>
      <c r="AS1201" s="14">
        <f>F1201*AR1201*in_two_wheeler_ticket*in_two_wheeler_comm*in_ins_partner_share+F1201*in_two_wheeler_ticket*in_two_wheeler_comm*in_ins_partner_share*(in_two_wheeler_renew^1*SUMIFS(AR1166:AR1201,B1166:B1201,B1201-12)+in_two_wheeler_renew^2*SUMIFS(AR1166:AR1201,B1166:B1201,B1201-24)+in_two_wheeler_renew^3*SUMIFS(AR1166:AR1201,B1166:B1201,B1201-36)+in_two_wheeler_renew^4*SUMIFS(AR1166:AR1201,B1166:B1201,B1201-48))</f>
        <v/>
      </c>
      <c r="AT1201" s="40">
        <f>AT1200*(1-IF(B1200&gt;=in_marketplace_from,d_hz_device*G1200,0))</f>
        <v/>
      </c>
      <c r="AU1201" s="14">
        <f>F1201*AT1201*IF(B1201&gt;=in_marketplace_from,d_hz_device*G1201,0)*in_device_ticket*in_device_comm*in_ins_partner_share</f>
        <v/>
      </c>
      <c r="AV1201" s="40">
        <f>AV1200*(1-IF(B1200&gt;=in_marketplace_from,d_hz_shop*G1200,0))</f>
        <v/>
      </c>
      <c r="AW1201" s="46">
        <f>AV1201*IF(B1201&gt;=in_marketplace_from,d_hz_shop*G1201,0)</f>
        <v/>
      </c>
      <c r="AX1201" s="14">
        <f>F1201*AW1201*in_shop_ticket*in_shop_comm*in_ins_partner_share+F1201*in_shop_ticket*in_shop_renew_comm*in_ins_partner_share*(in_shop_renew^1*SUMIFS(AW1166:AW1201,B1166:B1201,B1201-12)+in_shop_renew^2*SUMIFS(AW1166:AW1201,B1166:B1201,B1201-24)+in_shop_renew^3*SUMIFS(AW1166:AW1201,B1166:B1201,B1201-36)+in_shop_renew^4*SUMIFS(AW1166:AW1201,B1166:B1201,B1201-48))</f>
        <v/>
      </c>
      <c r="AY1201" s="40">
        <f>AY1200*(1-IF(B1200&gt;=in_marketplace_from,d_hz_sip*G1200,0))</f>
        <v/>
      </c>
      <c r="AZ1201" s="40">
        <f>AZ1200*d_rho_sip+AY1201*IF(B1201&gt;=in_marketplace_from,d_hz_sip*G1201,0)</f>
        <v/>
      </c>
      <c r="BA1201" s="40">
        <f>d_rho_sip*(BA1200+AZ1200)</f>
        <v/>
      </c>
      <c r="BB1201" s="14">
        <f>F1201*in_sip_ticket*(BA1201+0.5*AZ1201)*in_sip_comm/12</f>
        <v/>
      </c>
      <c r="BC1201" s="40">
        <f>BC1200*(1-IF(B1200&gt;=in_marketplace_from,d_hz_choti*G1200,0))</f>
        <v/>
      </c>
      <c r="BD1201" s="46">
        <f>BC1201*IF(B1201&gt;=in_marketplace_from,d_hz_choti*G1201,0)</f>
        <v/>
      </c>
      <c r="BE1201" s="14">
        <f>F1201*SUMIFS(BD1166:BD1201,B1166:B1201,B1201-in_choti_months)*in_choti_renew*in_choti_ticket</f>
        <v/>
      </c>
      <c r="BF1201" s="40">
        <f>BF1200*(1-IF(B1200&gt;=in_marketplace_from,d_hz_nps*G1200,0))</f>
        <v/>
      </c>
      <c r="BG1201" s="14">
        <f>F1201*BF1201*IF(B1201&gt;=in_marketplace_from,d_hz_nps*G1201,0)*in_nps_ticket*in_nps_comm</f>
        <v/>
      </c>
      <c r="BH1201" s="40">
        <f>BH1200*(1-IF(B1200&gt;=in_marketplace_from,d_hz_gold*G1200,0))</f>
        <v/>
      </c>
      <c r="BI1201" s="40">
        <f>BI1200*d_rho_gold+BH1201*IF(B1201&gt;=in_marketplace_from,d_hz_gold*G1201,0)</f>
        <v/>
      </c>
      <c r="BJ1201" s="14">
        <f>F1201*BI1201*in_gold_ticket*in_gold_comm</f>
        <v/>
      </c>
      <c r="BK1201" s="40">
        <f>BK1200*(1-IF(B1200&gt;=in_marketplace_from,d_hz_fd*G1200,0))</f>
        <v/>
      </c>
      <c r="BL1201" s="14">
        <f>F1201*BK1201*IF(B1201&gt;=in_marketplace_from,d_hz_fd*G1201,0)*in_fd_ticket*in_fd_comm</f>
        <v/>
      </c>
      <c r="BM1201" s="40">
        <f>BM1200*(1-IF(B1200&gt;=in_marketplace_from,d_hz_recharge*G1200,0))</f>
        <v/>
      </c>
      <c r="BN1201" s="40">
        <f>BN1200*d_rho_recharge+BM1201*IF(B1201&gt;=in_marketplace_from,d_hz_recharge*G1201,0)</f>
        <v/>
      </c>
      <c r="BO1201" s="14">
        <f>F1201*BN1201*in_recharge_ticket*in_recharge_comm/12</f>
        <v/>
      </c>
      <c r="BP1201" s="40">
        <f>BP1200*(1-IF(B1200&gt;=in_marketplace_from,d_hz_bills*G1200,0))</f>
        <v/>
      </c>
      <c r="BQ1201" s="40">
        <f>BQ1200*d_rho_bills+BP1201*IF(B1201&gt;=in_marketplace_from,d_hz_bills*G1201,0)</f>
        <v/>
      </c>
      <c r="BR1201" s="14">
        <f>F1201*BQ1201*in_bills_ticket*in_bills_comm/12</f>
        <v/>
      </c>
      <c r="BS1201" s="40">
        <f>BS1200*(1-IF(B1200&gt;=in_marketplace_from,d_hz_loan_gold*G1200,0))</f>
        <v/>
      </c>
      <c r="BT1201" s="14">
        <f>F1201*BS1201*IF(B1201&gt;=in_marketplace_from,d_hz_loan_gold*G1201,0)*in_loan_gold_ticket*in_loan_gold_comm</f>
        <v/>
      </c>
      <c r="BU1201" s="40">
        <f>BU1200*(1-IF(B1200&gt;=in_marketplace_from,d_hz_loan_cd*G1200,0))</f>
        <v/>
      </c>
      <c r="BV1201" s="14">
        <f>F1201*BU1201*IF(B1201&gt;=in_marketplace_from,d_hz_loan_cd*G1201,0)*in_loan_cd_ticket*in_loan_cd_comm</f>
        <v/>
      </c>
      <c r="BW1201" s="40">
        <f>BW1200*(1-IF(B1200&gt;=in_marketplace_from,d_hz_loan_vehicle*G1200,0))</f>
        <v/>
      </c>
      <c r="BX1201" s="14">
        <f>F1201*BW1201*IF(B1201&gt;=in_marketplace_from,d_hz_loan_vehicle*G1201,0)*in_loan_vehicle_ticket*in_loan_vehicle_comm</f>
        <v/>
      </c>
      <c r="BY1201" s="40">
        <f>BY1200*(1-IF(B1200&gt;=in_marketplace_from,d_hz_loan_home*G1200,0)*BZ1200)</f>
        <v/>
      </c>
      <c r="BZ1201" s="11">
        <f>MIN(in_approval_cap,in_loan_home_approval*INDEX('Age profile'!$O$2:$O$61,B1201)*(1+in_approval_growth)^(D1201-1))</f>
        <v/>
      </c>
      <c r="CA1201" s="14">
        <f>F1201*BY1201*IF(B1201&gt;=in_marketplace_from,d_hz_loan_home*G1201,0)*BZ1201*in_loan_home_ticket*in_loan_home_comm</f>
        <v/>
      </c>
      <c r="CB1201" s="40">
        <f>CB1200*(1-IF(B1200&gt;=in_marketplace_from,d_hz_loan_lap*G1200,0)*CC1200)</f>
        <v/>
      </c>
      <c r="CC1201" s="11">
        <f>MIN(in_approval_cap,in_loan_lap_approval*INDEX('Age profile'!$O$2:$O$61,B1201)*(1+in_approval_growth)^(D1201-1))</f>
        <v/>
      </c>
      <c r="CD1201" s="14">
        <f>F1201*CB1201*IF(B1201&gt;=in_marketplace_from,d_hz_loan_lap*G1201,0)*CC1201*in_loan_lap_ticket*in_loan_lap_comm</f>
        <v/>
      </c>
      <c r="CE1201" s="14">
        <f>AA1201+AB1201+AC1201+AD1201+AG1201+AJ1201+AM1201+AP1201+AS1201+AU1201+AX1201+BB1201+BE1201+BG1201+BJ1201+BL1201+BO1201+BR1201+BT1201+BV1201+BX1201+CA1201+CD1201</f>
        <v/>
      </c>
    </row>
    <row r="1202">
      <c r="A1202" s="39" t="n">
        <v>26</v>
      </c>
      <c r="B1202" s="39" t="n">
        <v>1</v>
      </c>
      <c r="C1202" s="39">
        <f>A1202+B1202-1</f>
        <v/>
      </c>
      <c r="D1202" s="39">
        <f>INT((C1202-1)/12)+1</f>
        <v/>
      </c>
      <c r="E1202" s="44">
        <f>INDEX(Monthly!$B$2:$B$61,A1202)</f>
        <v/>
      </c>
      <c r="F1202" s="44">
        <f>E1202*INDEX('Age profile'!$B$2:$B$61,B1202)</f>
        <v/>
      </c>
      <c r="G1202" s="45">
        <f>MIN(in_takeup_cap,INDEX('Age profile'!$N$2:$N$61,B1202)*(1+in_takeup_growth)^(D1202-1))</f>
        <v/>
      </c>
      <c r="H1202" s="11">
        <f>MIN(in_approval_cap,in_approved_first*INDEX('Age profile'!$O$2:$O$61,B1202)*(1+in_approval_growth)^(D1202-1))</f>
        <v/>
      </c>
      <c r="I1202" s="45">
        <f>G1202*MIN(in_takeup_cap,INDEX('Age profile'!$O$2:$O$61,B1202)*(1+in_approval_growth)^(D1202-1))</f>
        <v/>
      </c>
      <c r="J1202" s="40">
        <f>E1202</f>
        <v/>
      </c>
      <c r="K1202" s="40" t="n">
        <v>0</v>
      </c>
      <c r="L1202" s="40">
        <f>IF(B1202&gt;=in_marketplace_from,J1202*d_hz*G1202*in_eligible*H1202,0)</f>
        <v/>
      </c>
      <c r="M1202" s="40">
        <f>IF(B1202&gt;=in_marketplace_from,K1202*d_hz*G1202*in_eligible*in_approved_repeat,0)</f>
        <v/>
      </c>
      <c r="N1202" s="40">
        <f>L1202+M1202</f>
        <v/>
      </c>
      <c r="O1202" s="46">
        <f>N1202/F1202</f>
        <v/>
      </c>
      <c r="P1202" s="40">
        <f>F1202-J1202-K1202</f>
        <v/>
      </c>
      <c r="Q1202" s="40">
        <f>IF(B1202&gt;=in_marketplace_from,(J1202+K1202)*d_hz*G1202,0)</f>
        <v/>
      </c>
      <c r="R1202" s="40">
        <f>SUMIFS(N1202:N1236,B1202:B1236,"&gt;="&amp;(B1202-d_T),B1202:B1236,"&lt;="&amp;(B1202-1))</f>
        <v/>
      </c>
      <c r="S1202" s="46" t="n">
        <v>0</v>
      </c>
      <c r="T1202" s="40">
        <f>F1202*d_u*S1202</f>
        <v/>
      </c>
      <c r="U1202" s="9">
        <f>L1202*in_ticket+M1202*d_rep_ticket</f>
        <v/>
      </c>
      <c r="V1202" s="9">
        <f>U1202+T1202*d_topup_amt</f>
        <v/>
      </c>
      <c r="W1202" s="40">
        <f>N1202+T1202*d_topup_ratio</f>
        <v/>
      </c>
      <c r="X1202" s="40">
        <f>SUMIFS(W1202:W1236,B1202:B1236,B1202-in_dpd_lag)*d_cured</f>
        <v/>
      </c>
      <c r="Y1202" s="40">
        <f>SUMIFS(W1202:W1236,B1202:B1236,B1202-in_rec_lag)*d_recd</f>
        <v/>
      </c>
      <c r="Z1202" s="40">
        <f>IF(AND(B1202&gt;=in_marketplace_from,B1202&lt;in_marketplace_from+in_card_months),in_card_share/in_card_months*F1202*I1202,IF(AND(B1202&gt;=in_marketplace_from+in_card_months,B1202&lt;in_marketplace_from+2*in_card_months),in_card_share*d_card_rem/in_card_months*F1202*MIN(in_takeup_cap,(1+in_takeup_growth)^(D1202-1))*MIN(in_takeup_cap,(1+in_approval_growth)^(D1202-1)),0))</f>
        <v/>
      </c>
      <c r="AA1202" s="14">
        <f>V1202*in_fee*(1-in_taken_back)</f>
        <v/>
      </c>
      <c r="AB1202" s="14">
        <f>SUMIFS(W1202:W1236,B1202:B1236,B1202-in_dpd_lag)*d_dpd</f>
        <v/>
      </c>
      <c r="AC1202" s="14">
        <f>SUMIFS(W1202:W1236,B1202:B1236,B1202-in_rec_lag)*d_rec</f>
        <v/>
      </c>
      <c r="AD1202" s="14">
        <f>Z1202*in_card_fee</f>
        <v/>
      </c>
      <c r="AE1202" s="40" t="n">
        <v>1</v>
      </c>
      <c r="AF1202" s="46">
        <f>AE1202*IF(B1202&gt;=in_marketplace_from,d_hz_hlth_small*G1202,0)</f>
        <v/>
      </c>
      <c r="AG1202" s="14">
        <f>F1202*AF1202*in_hlth_small_ticket*in_hlth_small_comm*in_ins_partner_share+F1202*in_hlth_small_ticket*in_hlth_small_renew_comm*in_ins_partner_share*(in_hlth_small_renew^1*SUMIFS(AF1202:AF1236,B1202:B1236,B1202-12)+in_hlth_small_renew^2*SUMIFS(AF1202:AF1236,B1202:B1236,B1202-24)+in_hlth_small_renew^3*SUMIFS(AF1202:AF1236,B1202:B1236,B1202-36)+in_hlth_small_renew^4*SUMIFS(AF1202:AF1236,B1202:B1236,B1202-48))</f>
        <v/>
      </c>
      <c r="AH1202" s="40" t="n">
        <v>1</v>
      </c>
      <c r="AI1202" s="46">
        <f>AH1202*IF(B1202&gt;=in_marketplace_from,d_hz_hlth_family*G1202,0)</f>
        <v/>
      </c>
      <c r="AJ1202" s="14">
        <f>F1202*AI1202*in_hlth_family_ticket*in_hlth_family_comm*in_ins_partner_share+F1202*in_hlth_family_ticket*in_hlth_family_renew_comm*in_ins_partner_share*(in_hlth_family_renew^1*SUMIFS(AI1202:AI1236,B1202:B1236,B1202-12)+in_hlth_family_renew^2*SUMIFS(AI1202:AI1236,B1202:B1236,B1202-24)+in_hlth_family_renew^3*SUMIFS(AI1202:AI1236,B1202:B1236,B1202-36)+in_hlth_family_renew^4*SUMIFS(AI1202:AI1236,B1202:B1236,B1202-48))</f>
        <v/>
      </c>
      <c r="AK1202" s="40" t="n">
        <v>1</v>
      </c>
      <c r="AL1202" s="46">
        <f>AK1202*IF(B1202&gt;=in_marketplace_from,d_hz_life_term*G1202,0)</f>
        <v/>
      </c>
      <c r="AM1202" s="14">
        <f>F1202*AL1202*in_life_term_ticket*in_life_term_comm*in_ins_partner_share+F1202*in_life_term_ticket*in_life_term_renew_comm*in_ins_partner_share*(in_life_term_renew^1*SUMIFS(AL1202:AL1236,B1202:B1236,B1202-12)+in_life_term_renew^2*SUMIFS(AL1202:AL1236,B1202:B1236,B1202-24)+in_life_term_renew^3*SUMIFS(AL1202:AL1236,B1202:B1236,B1202-36)+in_life_term_renew^4*SUMIFS(AL1202:AL1236,B1202:B1236,B1202-48))</f>
        <v/>
      </c>
      <c r="AN1202" s="40" t="n">
        <v>1</v>
      </c>
      <c r="AO1202" s="46">
        <f>AN1202*IF(B1202&gt;=in_marketplace_from,d_hz_accident*G1202,0)</f>
        <v/>
      </c>
      <c r="AP1202" s="14">
        <f>F1202*AO1202*in_accident_ticket*in_accident_comm*in_ins_partner_share+F1202*in_accident_ticket*in_accident_renew_comm*in_ins_partner_share*(in_accident_renew^1*SUMIFS(AO1202:AO1236,B1202:B1236,B1202-12)+in_accident_renew^2*SUMIFS(AO1202:AO1236,B1202:B1236,B1202-24)+in_accident_renew^3*SUMIFS(AO1202:AO1236,B1202:B1236,B1202-36)+in_accident_renew^4*SUMIFS(AO1202:AO1236,B1202:B1236,B1202-48))</f>
        <v/>
      </c>
      <c r="AQ1202" s="40" t="n">
        <v>1</v>
      </c>
      <c r="AR1202" s="46">
        <f>AQ1202*IF(B1202&gt;=in_marketplace_from,d_hz_two_wheeler*G1202,0)</f>
        <v/>
      </c>
      <c r="AS1202" s="14">
        <f>F1202*AR1202*in_two_wheeler_ticket*in_two_wheeler_comm*in_ins_partner_share+F1202*in_two_wheeler_ticket*in_two_wheeler_comm*in_ins_partner_share*(in_two_wheeler_renew^1*SUMIFS(AR1202:AR1236,B1202:B1236,B1202-12)+in_two_wheeler_renew^2*SUMIFS(AR1202:AR1236,B1202:B1236,B1202-24)+in_two_wheeler_renew^3*SUMIFS(AR1202:AR1236,B1202:B1236,B1202-36)+in_two_wheeler_renew^4*SUMIFS(AR1202:AR1236,B1202:B1236,B1202-48))</f>
        <v/>
      </c>
      <c r="AT1202" s="40" t="n">
        <v>1</v>
      </c>
      <c r="AU1202" s="14">
        <f>F1202*AT1202*IF(B1202&gt;=in_marketplace_from,d_hz_device*G1202,0)*in_device_ticket*in_device_comm*in_ins_partner_share</f>
        <v/>
      </c>
      <c r="AV1202" s="40" t="n">
        <v>1</v>
      </c>
      <c r="AW1202" s="46">
        <f>AV1202*IF(B1202&gt;=in_marketplace_from,d_hz_shop*G1202,0)</f>
        <v/>
      </c>
      <c r="AX1202" s="14">
        <f>F1202*AW1202*in_shop_ticket*in_shop_comm*in_ins_partner_share+F1202*in_shop_ticket*in_shop_renew_comm*in_ins_partner_share*(in_shop_renew^1*SUMIFS(AW1202:AW1236,B1202:B1236,B1202-12)+in_shop_renew^2*SUMIFS(AW1202:AW1236,B1202:B1236,B1202-24)+in_shop_renew^3*SUMIFS(AW1202:AW1236,B1202:B1236,B1202-36)+in_shop_renew^4*SUMIFS(AW1202:AW1236,B1202:B1236,B1202-48))</f>
        <v/>
      </c>
      <c r="AY1202" s="40" t="n">
        <v>1</v>
      </c>
      <c r="AZ1202" s="40">
        <f>AY1202*IF(B1202&gt;=in_marketplace_from,d_hz_sip*G1202,0)</f>
        <v/>
      </c>
      <c r="BA1202" s="40" t="n">
        <v>0</v>
      </c>
      <c r="BB1202" s="14">
        <f>F1202*in_sip_ticket*(BA1202+0.5*AZ1202)*in_sip_comm/12</f>
        <v/>
      </c>
      <c r="BC1202" s="40" t="n">
        <v>1</v>
      </c>
      <c r="BD1202" s="46">
        <f>BC1202*IF(B1202&gt;=in_marketplace_from,d_hz_choti*G1202,0)</f>
        <v/>
      </c>
      <c r="BE1202" s="14">
        <f>F1202*SUMIFS(BD1202:BD1236,B1202:B1236,B1202-in_choti_months)*in_choti_renew*in_choti_ticket</f>
        <v/>
      </c>
      <c r="BF1202" s="40" t="n">
        <v>1</v>
      </c>
      <c r="BG1202" s="14">
        <f>F1202*BF1202*IF(B1202&gt;=in_marketplace_from,d_hz_nps*G1202,0)*in_nps_ticket*in_nps_comm</f>
        <v/>
      </c>
      <c r="BH1202" s="40" t="n">
        <v>1</v>
      </c>
      <c r="BI1202" s="40">
        <f>BH1202*IF(B1202&gt;=in_marketplace_from,d_hz_gold*G1202,0)</f>
        <v/>
      </c>
      <c r="BJ1202" s="14">
        <f>F1202*BI1202*in_gold_ticket*in_gold_comm</f>
        <v/>
      </c>
      <c r="BK1202" s="40" t="n">
        <v>1</v>
      </c>
      <c r="BL1202" s="14">
        <f>F1202*BK1202*IF(B1202&gt;=in_marketplace_from,d_hz_fd*G1202,0)*in_fd_ticket*in_fd_comm</f>
        <v/>
      </c>
      <c r="BM1202" s="40" t="n">
        <v>1</v>
      </c>
      <c r="BN1202" s="40">
        <f>BM1202*IF(B1202&gt;=in_marketplace_from,d_hz_recharge*G1202,0)</f>
        <v/>
      </c>
      <c r="BO1202" s="14">
        <f>F1202*BN1202*in_recharge_ticket*in_recharge_comm/12</f>
        <v/>
      </c>
      <c r="BP1202" s="40" t="n">
        <v>1</v>
      </c>
      <c r="BQ1202" s="40">
        <f>BP1202*IF(B1202&gt;=in_marketplace_from,d_hz_bills*G1202,0)</f>
        <v/>
      </c>
      <c r="BR1202" s="14">
        <f>F1202*BQ1202*in_bills_ticket*in_bills_comm/12</f>
        <v/>
      </c>
      <c r="BS1202" s="40" t="n">
        <v>1</v>
      </c>
      <c r="BT1202" s="14">
        <f>F1202*BS1202*IF(B1202&gt;=in_marketplace_from,d_hz_loan_gold*G1202,0)*in_loan_gold_ticket*in_loan_gold_comm</f>
        <v/>
      </c>
      <c r="BU1202" s="40" t="n">
        <v>1</v>
      </c>
      <c r="BV1202" s="14">
        <f>F1202*BU1202*IF(B1202&gt;=in_marketplace_from,d_hz_loan_cd*G1202,0)*in_loan_cd_ticket*in_loan_cd_comm</f>
        <v/>
      </c>
      <c r="BW1202" s="40" t="n">
        <v>1</v>
      </c>
      <c r="BX1202" s="14">
        <f>F1202*BW1202*IF(B1202&gt;=in_marketplace_from,d_hz_loan_vehicle*G1202,0)*in_loan_vehicle_ticket*in_loan_vehicle_comm</f>
        <v/>
      </c>
      <c r="BY1202" s="40" t="n">
        <v>1</v>
      </c>
      <c r="BZ1202" s="11">
        <f>MIN(in_approval_cap,in_loan_home_approval*INDEX('Age profile'!$O$2:$O$61,B1202)*(1+in_approval_growth)^(D1202-1))</f>
        <v/>
      </c>
      <c r="CA1202" s="14">
        <f>F1202*BY1202*IF(B1202&gt;=in_marketplace_from,d_hz_loan_home*G1202,0)*BZ1202*in_loan_home_ticket*in_loan_home_comm</f>
        <v/>
      </c>
      <c r="CB1202" s="40" t="n">
        <v>1</v>
      </c>
      <c r="CC1202" s="11">
        <f>MIN(in_approval_cap,in_loan_lap_approval*INDEX('Age profile'!$O$2:$O$61,B1202)*(1+in_approval_growth)^(D1202-1))</f>
        <v/>
      </c>
      <c r="CD1202" s="14">
        <f>F1202*CB1202*IF(B1202&gt;=in_marketplace_from,d_hz_loan_lap*G1202,0)*CC1202*in_loan_lap_ticket*in_loan_lap_comm</f>
        <v/>
      </c>
      <c r="CE1202" s="14">
        <f>AA1202+AB1202+AC1202+AD1202+AG1202+AJ1202+AM1202+AP1202+AS1202+AU1202+AX1202+BB1202+BE1202+BG1202+BJ1202+BL1202+BO1202+BR1202+BT1202+BV1202+BX1202+CA1202+CD1202</f>
        <v/>
      </c>
    </row>
    <row r="1203">
      <c r="A1203" s="39" t="n">
        <v>26</v>
      </c>
      <c r="B1203" s="39" t="n">
        <v>2</v>
      </c>
      <c r="C1203" s="39">
        <f>A1203+B1203-1</f>
        <v/>
      </c>
      <c r="D1203" s="39">
        <f>INT((C1203-1)/12)+1</f>
        <v/>
      </c>
      <c r="E1203" s="44">
        <f>INDEX(Monthly!$B$2:$B$61,A1203)</f>
        <v/>
      </c>
      <c r="F1203" s="44">
        <f>E1203*INDEX('Age profile'!$B$2:$B$61,B1203)</f>
        <v/>
      </c>
      <c r="G1203" s="45">
        <f>MIN(in_takeup_cap,INDEX('Age profile'!$N$2:$N$61,B1203)*(1+in_takeup_growth)^(D1203-1))</f>
        <v/>
      </c>
      <c r="H1203" s="11">
        <f>MIN(in_approval_cap,in_approved_first*INDEX('Age profile'!$O$2:$O$61,B1203)*(1+in_approval_growth)^(D1203-1))</f>
        <v/>
      </c>
      <c r="I1203" s="45">
        <f>G1203*MIN(in_takeup_cap,INDEX('Age profile'!$O$2:$O$61,B1203)*(1+in_approval_growth)^(D1203-1))</f>
        <v/>
      </c>
      <c r="J1203" s="40">
        <f>(J1202-L1202)*F1203/F1202</f>
        <v/>
      </c>
      <c r="K1203" s="40">
        <f>(K1202-M1202)*F1203/F1202+SUMIFS(O1202:O1202,B1202:B1202,B1203-1-d_T)*F1203</f>
        <v/>
      </c>
      <c r="L1203" s="40">
        <f>IF(B1203&gt;=in_marketplace_from,J1203*d_hz*G1203*in_eligible*H1203,0)</f>
        <v/>
      </c>
      <c r="M1203" s="40">
        <f>IF(B1203&gt;=in_marketplace_from,K1203*d_hz*G1203*in_eligible*in_approved_repeat,0)</f>
        <v/>
      </c>
      <c r="N1203" s="40">
        <f>L1203+M1203</f>
        <v/>
      </c>
      <c r="O1203" s="46">
        <f>N1203/F1203</f>
        <v/>
      </c>
      <c r="P1203" s="40">
        <f>F1203-J1203-K1203</f>
        <v/>
      </c>
      <c r="Q1203" s="40">
        <f>IF(B1203&gt;=in_marketplace_from,(J1203+K1203)*d_hz*G1203,0)</f>
        <v/>
      </c>
      <c r="R1203" s="40">
        <f>SUMIFS(N1202:N1236,B1202:B1236,"&gt;="&amp;(B1203-d_T),B1202:B1236,"&lt;="&amp;(B1203-1))</f>
        <v/>
      </c>
      <c r="S1203" s="46">
        <f>(1-d_u)*S1202+IF(d_T&gt;in_topup_lag,SUMIFS(O1202:O1236,B1202:B1236,B1203-in_topup_lag)-d_udrop*SUMIFS(O1202:O1236,B1202:B1236,B1203-d_T),0)</f>
        <v/>
      </c>
      <c r="T1203" s="40">
        <f>F1203*d_u*S1203</f>
        <v/>
      </c>
      <c r="U1203" s="9">
        <f>L1203*in_ticket+M1203*d_rep_ticket</f>
        <v/>
      </c>
      <c r="V1203" s="9">
        <f>U1203+T1203*d_topup_amt</f>
        <v/>
      </c>
      <c r="W1203" s="40">
        <f>N1203+T1203*d_topup_ratio</f>
        <v/>
      </c>
      <c r="X1203" s="40">
        <f>SUMIFS(W1202:W1236,B1202:B1236,B1203-in_dpd_lag)*d_cured</f>
        <v/>
      </c>
      <c r="Y1203" s="40">
        <f>SUMIFS(W1202:W1236,B1202:B1236,B1203-in_rec_lag)*d_recd</f>
        <v/>
      </c>
      <c r="Z1203" s="40">
        <f>IF(AND(B1203&gt;=in_marketplace_from,B1203&lt;in_marketplace_from+in_card_months),in_card_share/in_card_months*F1203*I1203,IF(AND(B1203&gt;=in_marketplace_from+in_card_months,B1203&lt;in_marketplace_from+2*in_card_months),in_card_share*d_card_rem/in_card_months*F1203*MIN(in_takeup_cap,(1+in_takeup_growth)^(D1203-1))*MIN(in_takeup_cap,(1+in_approval_growth)^(D1203-1)),0))</f>
        <v/>
      </c>
      <c r="AA1203" s="14">
        <f>V1203*in_fee*(1-in_taken_back)</f>
        <v/>
      </c>
      <c r="AB1203" s="14">
        <f>SUMIFS(W1202:W1236,B1202:B1236,B1203-in_dpd_lag)*d_dpd</f>
        <v/>
      </c>
      <c r="AC1203" s="14">
        <f>SUMIFS(W1202:W1236,B1202:B1236,B1203-in_rec_lag)*d_rec</f>
        <v/>
      </c>
      <c r="AD1203" s="14">
        <f>Z1203*in_card_fee</f>
        <v/>
      </c>
      <c r="AE1203" s="40">
        <f>AE1202*(1-IF(B1202&gt;=in_marketplace_from,d_hz_hlth_small*G1202,0))</f>
        <v/>
      </c>
      <c r="AF1203" s="46">
        <f>AE1203*IF(B1203&gt;=in_marketplace_from,d_hz_hlth_small*G1203,0)</f>
        <v/>
      </c>
      <c r="AG1203" s="14">
        <f>F1203*AF1203*in_hlth_small_ticket*in_hlth_small_comm*in_ins_partner_share+F1203*in_hlth_small_ticket*in_hlth_small_renew_comm*in_ins_partner_share*(in_hlth_small_renew^1*SUMIFS(AF1202:AF1236,B1202:B1236,B1203-12)+in_hlth_small_renew^2*SUMIFS(AF1202:AF1236,B1202:B1236,B1203-24)+in_hlth_small_renew^3*SUMIFS(AF1202:AF1236,B1202:B1236,B1203-36)+in_hlth_small_renew^4*SUMIFS(AF1202:AF1236,B1202:B1236,B1203-48))</f>
        <v/>
      </c>
      <c r="AH1203" s="40">
        <f>AH1202*(1-IF(B1202&gt;=in_marketplace_from,d_hz_hlth_family*G1202,0))</f>
        <v/>
      </c>
      <c r="AI1203" s="46">
        <f>AH1203*IF(B1203&gt;=in_marketplace_from,d_hz_hlth_family*G1203,0)</f>
        <v/>
      </c>
      <c r="AJ1203" s="14">
        <f>F1203*AI1203*in_hlth_family_ticket*in_hlth_family_comm*in_ins_partner_share+F1203*in_hlth_family_ticket*in_hlth_family_renew_comm*in_ins_partner_share*(in_hlth_family_renew^1*SUMIFS(AI1202:AI1236,B1202:B1236,B1203-12)+in_hlth_family_renew^2*SUMIFS(AI1202:AI1236,B1202:B1236,B1203-24)+in_hlth_family_renew^3*SUMIFS(AI1202:AI1236,B1202:B1236,B1203-36)+in_hlth_family_renew^4*SUMIFS(AI1202:AI1236,B1202:B1236,B1203-48))</f>
        <v/>
      </c>
      <c r="AK1203" s="40">
        <f>AK1202*(1-IF(B1202&gt;=in_marketplace_from,d_hz_life_term*G1202,0))</f>
        <v/>
      </c>
      <c r="AL1203" s="46">
        <f>AK1203*IF(B1203&gt;=in_marketplace_from,d_hz_life_term*G1203,0)</f>
        <v/>
      </c>
      <c r="AM1203" s="14">
        <f>F1203*AL1203*in_life_term_ticket*in_life_term_comm*in_ins_partner_share+F1203*in_life_term_ticket*in_life_term_renew_comm*in_ins_partner_share*(in_life_term_renew^1*SUMIFS(AL1202:AL1236,B1202:B1236,B1203-12)+in_life_term_renew^2*SUMIFS(AL1202:AL1236,B1202:B1236,B1203-24)+in_life_term_renew^3*SUMIFS(AL1202:AL1236,B1202:B1236,B1203-36)+in_life_term_renew^4*SUMIFS(AL1202:AL1236,B1202:B1236,B1203-48))</f>
        <v/>
      </c>
      <c r="AN1203" s="40">
        <f>AN1202*(1-IF(B1202&gt;=in_marketplace_from,d_hz_accident*G1202,0))</f>
        <v/>
      </c>
      <c r="AO1203" s="46">
        <f>AN1203*IF(B1203&gt;=in_marketplace_from,d_hz_accident*G1203,0)</f>
        <v/>
      </c>
      <c r="AP1203" s="14">
        <f>F1203*AO1203*in_accident_ticket*in_accident_comm*in_ins_partner_share+F1203*in_accident_ticket*in_accident_renew_comm*in_ins_partner_share*(in_accident_renew^1*SUMIFS(AO1202:AO1236,B1202:B1236,B1203-12)+in_accident_renew^2*SUMIFS(AO1202:AO1236,B1202:B1236,B1203-24)+in_accident_renew^3*SUMIFS(AO1202:AO1236,B1202:B1236,B1203-36)+in_accident_renew^4*SUMIFS(AO1202:AO1236,B1202:B1236,B1203-48))</f>
        <v/>
      </c>
      <c r="AQ1203" s="40">
        <f>AQ1202*(1-IF(B1202&gt;=in_marketplace_from,d_hz_two_wheeler*G1202,0))</f>
        <v/>
      </c>
      <c r="AR1203" s="46">
        <f>AQ1203*IF(B1203&gt;=in_marketplace_from,d_hz_two_wheeler*G1203,0)</f>
        <v/>
      </c>
      <c r="AS1203" s="14">
        <f>F1203*AR1203*in_two_wheeler_ticket*in_two_wheeler_comm*in_ins_partner_share+F1203*in_two_wheeler_ticket*in_two_wheeler_comm*in_ins_partner_share*(in_two_wheeler_renew^1*SUMIFS(AR1202:AR1236,B1202:B1236,B1203-12)+in_two_wheeler_renew^2*SUMIFS(AR1202:AR1236,B1202:B1236,B1203-24)+in_two_wheeler_renew^3*SUMIFS(AR1202:AR1236,B1202:B1236,B1203-36)+in_two_wheeler_renew^4*SUMIFS(AR1202:AR1236,B1202:B1236,B1203-48))</f>
        <v/>
      </c>
      <c r="AT1203" s="40">
        <f>AT1202*(1-IF(B1202&gt;=in_marketplace_from,d_hz_device*G1202,0))</f>
        <v/>
      </c>
      <c r="AU1203" s="14">
        <f>F1203*AT1203*IF(B1203&gt;=in_marketplace_from,d_hz_device*G1203,0)*in_device_ticket*in_device_comm*in_ins_partner_share</f>
        <v/>
      </c>
      <c r="AV1203" s="40">
        <f>AV1202*(1-IF(B1202&gt;=in_marketplace_from,d_hz_shop*G1202,0))</f>
        <v/>
      </c>
      <c r="AW1203" s="46">
        <f>AV1203*IF(B1203&gt;=in_marketplace_from,d_hz_shop*G1203,0)</f>
        <v/>
      </c>
      <c r="AX1203" s="14">
        <f>F1203*AW1203*in_shop_ticket*in_shop_comm*in_ins_partner_share+F1203*in_shop_ticket*in_shop_renew_comm*in_ins_partner_share*(in_shop_renew^1*SUMIFS(AW1202:AW1236,B1202:B1236,B1203-12)+in_shop_renew^2*SUMIFS(AW1202:AW1236,B1202:B1236,B1203-24)+in_shop_renew^3*SUMIFS(AW1202:AW1236,B1202:B1236,B1203-36)+in_shop_renew^4*SUMIFS(AW1202:AW1236,B1202:B1236,B1203-48))</f>
        <v/>
      </c>
      <c r="AY1203" s="40">
        <f>AY1202*(1-IF(B1202&gt;=in_marketplace_from,d_hz_sip*G1202,0))</f>
        <v/>
      </c>
      <c r="AZ1203" s="40">
        <f>AZ1202*d_rho_sip+AY1203*IF(B1203&gt;=in_marketplace_from,d_hz_sip*G1203,0)</f>
        <v/>
      </c>
      <c r="BA1203" s="40">
        <f>d_rho_sip*(BA1202+AZ1202)</f>
        <v/>
      </c>
      <c r="BB1203" s="14">
        <f>F1203*in_sip_ticket*(BA1203+0.5*AZ1203)*in_sip_comm/12</f>
        <v/>
      </c>
      <c r="BC1203" s="40">
        <f>BC1202*(1-IF(B1202&gt;=in_marketplace_from,d_hz_choti*G1202,0))</f>
        <v/>
      </c>
      <c r="BD1203" s="46">
        <f>BC1203*IF(B1203&gt;=in_marketplace_from,d_hz_choti*G1203,0)</f>
        <v/>
      </c>
      <c r="BE1203" s="14">
        <f>F1203*SUMIFS(BD1202:BD1236,B1202:B1236,B1203-in_choti_months)*in_choti_renew*in_choti_ticket</f>
        <v/>
      </c>
      <c r="BF1203" s="40">
        <f>BF1202*(1-IF(B1202&gt;=in_marketplace_from,d_hz_nps*G1202,0))</f>
        <v/>
      </c>
      <c r="BG1203" s="14">
        <f>F1203*BF1203*IF(B1203&gt;=in_marketplace_from,d_hz_nps*G1203,0)*in_nps_ticket*in_nps_comm</f>
        <v/>
      </c>
      <c r="BH1203" s="40">
        <f>BH1202*(1-IF(B1202&gt;=in_marketplace_from,d_hz_gold*G1202,0))</f>
        <v/>
      </c>
      <c r="BI1203" s="40">
        <f>BI1202*d_rho_gold+BH1203*IF(B1203&gt;=in_marketplace_from,d_hz_gold*G1203,0)</f>
        <v/>
      </c>
      <c r="BJ1203" s="14">
        <f>F1203*BI1203*in_gold_ticket*in_gold_comm</f>
        <v/>
      </c>
      <c r="BK1203" s="40">
        <f>BK1202*(1-IF(B1202&gt;=in_marketplace_from,d_hz_fd*G1202,0))</f>
        <v/>
      </c>
      <c r="BL1203" s="14">
        <f>F1203*BK1203*IF(B1203&gt;=in_marketplace_from,d_hz_fd*G1203,0)*in_fd_ticket*in_fd_comm</f>
        <v/>
      </c>
      <c r="BM1203" s="40">
        <f>BM1202*(1-IF(B1202&gt;=in_marketplace_from,d_hz_recharge*G1202,0))</f>
        <v/>
      </c>
      <c r="BN1203" s="40">
        <f>BN1202*d_rho_recharge+BM1203*IF(B1203&gt;=in_marketplace_from,d_hz_recharge*G1203,0)</f>
        <v/>
      </c>
      <c r="BO1203" s="14">
        <f>F1203*BN1203*in_recharge_ticket*in_recharge_comm/12</f>
        <v/>
      </c>
      <c r="BP1203" s="40">
        <f>BP1202*(1-IF(B1202&gt;=in_marketplace_from,d_hz_bills*G1202,0))</f>
        <v/>
      </c>
      <c r="BQ1203" s="40">
        <f>BQ1202*d_rho_bills+BP1203*IF(B1203&gt;=in_marketplace_from,d_hz_bills*G1203,0)</f>
        <v/>
      </c>
      <c r="BR1203" s="14">
        <f>F1203*BQ1203*in_bills_ticket*in_bills_comm/12</f>
        <v/>
      </c>
      <c r="BS1203" s="40">
        <f>BS1202*(1-IF(B1202&gt;=in_marketplace_from,d_hz_loan_gold*G1202,0))</f>
        <v/>
      </c>
      <c r="BT1203" s="14">
        <f>F1203*BS1203*IF(B1203&gt;=in_marketplace_from,d_hz_loan_gold*G1203,0)*in_loan_gold_ticket*in_loan_gold_comm</f>
        <v/>
      </c>
      <c r="BU1203" s="40">
        <f>BU1202*(1-IF(B1202&gt;=in_marketplace_from,d_hz_loan_cd*G1202,0))</f>
        <v/>
      </c>
      <c r="BV1203" s="14">
        <f>F1203*BU1203*IF(B1203&gt;=in_marketplace_from,d_hz_loan_cd*G1203,0)*in_loan_cd_ticket*in_loan_cd_comm</f>
        <v/>
      </c>
      <c r="BW1203" s="40">
        <f>BW1202*(1-IF(B1202&gt;=in_marketplace_from,d_hz_loan_vehicle*G1202,0))</f>
        <v/>
      </c>
      <c r="BX1203" s="14">
        <f>F1203*BW1203*IF(B1203&gt;=in_marketplace_from,d_hz_loan_vehicle*G1203,0)*in_loan_vehicle_ticket*in_loan_vehicle_comm</f>
        <v/>
      </c>
      <c r="BY1203" s="40">
        <f>BY1202*(1-IF(B1202&gt;=in_marketplace_from,d_hz_loan_home*G1202,0)*BZ1202)</f>
        <v/>
      </c>
      <c r="BZ1203" s="11">
        <f>MIN(in_approval_cap,in_loan_home_approval*INDEX('Age profile'!$O$2:$O$61,B1203)*(1+in_approval_growth)^(D1203-1))</f>
        <v/>
      </c>
      <c r="CA1203" s="14">
        <f>F1203*BY1203*IF(B1203&gt;=in_marketplace_from,d_hz_loan_home*G1203,0)*BZ1203*in_loan_home_ticket*in_loan_home_comm</f>
        <v/>
      </c>
      <c r="CB1203" s="40">
        <f>CB1202*(1-IF(B1202&gt;=in_marketplace_from,d_hz_loan_lap*G1202,0)*CC1202)</f>
        <v/>
      </c>
      <c r="CC1203" s="11">
        <f>MIN(in_approval_cap,in_loan_lap_approval*INDEX('Age profile'!$O$2:$O$61,B1203)*(1+in_approval_growth)^(D1203-1))</f>
        <v/>
      </c>
      <c r="CD1203" s="14">
        <f>F1203*CB1203*IF(B1203&gt;=in_marketplace_from,d_hz_loan_lap*G1203,0)*CC1203*in_loan_lap_ticket*in_loan_lap_comm</f>
        <v/>
      </c>
      <c r="CE1203" s="14">
        <f>AA1203+AB1203+AC1203+AD1203+AG1203+AJ1203+AM1203+AP1203+AS1203+AU1203+AX1203+BB1203+BE1203+BG1203+BJ1203+BL1203+BO1203+BR1203+BT1203+BV1203+BX1203+CA1203+CD1203</f>
        <v/>
      </c>
    </row>
    <row r="1204">
      <c r="A1204" s="39" t="n">
        <v>26</v>
      </c>
      <c r="B1204" s="39" t="n">
        <v>3</v>
      </c>
      <c r="C1204" s="39">
        <f>A1204+B1204-1</f>
        <v/>
      </c>
      <c r="D1204" s="39">
        <f>INT((C1204-1)/12)+1</f>
        <v/>
      </c>
      <c r="E1204" s="44">
        <f>INDEX(Monthly!$B$2:$B$61,A1204)</f>
        <v/>
      </c>
      <c r="F1204" s="44">
        <f>E1204*INDEX('Age profile'!$B$2:$B$61,B1204)</f>
        <v/>
      </c>
      <c r="G1204" s="45">
        <f>MIN(in_takeup_cap,INDEX('Age profile'!$N$2:$N$61,B1204)*(1+in_takeup_growth)^(D1204-1))</f>
        <v/>
      </c>
      <c r="H1204" s="11">
        <f>MIN(in_approval_cap,in_approved_first*INDEX('Age profile'!$O$2:$O$61,B1204)*(1+in_approval_growth)^(D1204-1))</f>
        <v/>
      </c>
      <c r="I1204" s="45">
        <f>G1204*MIN(in_takeup_cap,INDEX('Age profile'!$O$2:$O$61,B1204)*(1+in_approval_growth)^(D1204-1))</f>
        <v/>
      </c>
      <c r="J1204" s="40">
        <f>(J1203-L1203)*F1204/F1203</f>
        <v/>
      </c>
      <c r="K1204" s="40">
        <f>(K1203-M1203)*F1204/F1203+SUMIFS(O1202:O1203,B1202:B1203,B1204-1-d_T)*F1204</f>
        <v/>
      </c>
      <c r="L1204" s="40">
        <f>IF(B1204&gt;=in_marketplace_from,J1204*d_hz*G1204*in_eligible*H1204,0)</f>
        <v/>
      </c>
      <c r="M1204" s="40">
        <f>IF(B1204&gt;=in_marketplace_from,K1204*d_hz*G1204*in_eligible*in_approved_repeat,0)</f>
        <v/>
      </c>
      <c r="N1204" s="40">
        <f>L1204+M1204</f>
        <v/>
      </c>
      <c r="O1204" s="46">
        <f>N1204/F1204</f>
        <v/>
      </c>
      <c r="P1204" s="40">
        <f>F1204-J1204-K1204</f>
        <v/>
      </c>
      <c r="Q1204" s="40">
        <f>IF(B1204&gt;=in_marketplace_from,(J1204+K1204)*d_hz*G1204,0)</f>
        <v/>
      </c>
      <c r="R1204" s="40">
        <f>SUMIFS(N1202:N1236,B1202:B1236,"&gt;="&amp;(B1204-d_T),B1202:B1236,"&lt;="&amp;(B1204-1))</f>
        <v/>
      </c>
      <c r="S1204" s="46">
        <f>(1-d_u)*S1203+IF(d_T&gt;in_topup_lag,SUMIFS(O1202:O1236,B1202:B1236,B1204-in_topup_lag)-d_udrop*SUMIFS(O1202:O1236,B1202:B1236,B1204-d_T),0)</f>
        <v/>
      </c>
      <c r="T1204" s="40">
        <f>F1204*d_u*S1204</f>
        <v/>
      </c>
      <c r="U1204" s="9">
        <f>L1204*in_ticket+M1204*d_rep_ticket</f>
        <v/>
      </c>
      <c r="V1204" s="9">
        <f>U1204+T1204*d_topup_amt</f>
        <v/>
      </c>
      <c r="W1204" s="40">
        <f>N1204+T1204*d_topup_ratio</f>
        <v/>
      </c>
      <c r="X1204" s="40">
        <f>SUMIFS(W1202:W1236,B1202:B1236,B1204-in_dpd_lag)*d_cured</f>
        <v/>
      </c>
      <c r="Y1204" s="40">
        <f>SUMIFS(W1202:W1236,B1202:B1236,B1204-in_rec_lag)*d_recd</f>
        <v/>
      </c>
      <c r="Z1204" s="40">
        <f>IF(AND(B1204&gt;=in_marketplace_from,B1204&lt;in_marketplace_from+in_card_months),in_card_share/in_card_months*F1204*I1204,IF(AND(B1204&gt;=in_marketplace_from+in_card_months,B1204&lt;in_marketplace_from+2*in_card_months),in_card_share*d_card_rem/in_card_months*F1204*MIN(in_takeup_cap,(1+in_takeup_growth)^(D1204-1))*MIN(in_takeup_cap,(1+in_approval_growth)^(D1204-1)),0))</f>
        <v/>
      </c>
      <c r="AA1204" s="14">
        <f>V1204*in_fee*(1-in_taken_back)</f>
        <v/>
      </c>
      <c r="AB1204" s="14">
        <f>SUMIFS(W1202:W1236,B1202:B1236,B1204-in_dpd_lag)*d_dpd</f>
        <v/>
      </c>
      <c r="AC1204" s="14">
        <f>SUMIFS(W1202:W1236,B1202:B1236,B1204-in_rec_lag)*d_rec</f>
        <v/>
      </c>
      <c r="AD1204" s="14">
        <f>Z1204*in_card_fee</f>
        <v/>
      </c>
      <c r="AE1204" s="40">
        <f>AE1203*(1-IF(B1203&gt;=in_marketplace_from,d_hz_hlth_small*G1203,0))</f>
        <v/>
      </c>
      <c r="AF1204" s="46">
        <f>AE1204*IF(B1204&gt;=in_marketplace_from,d_hz_hlth_small*G1204,0)</f>
        <v/>
      </c>
      <c r="AG1204" s="14">
        <f>F1204*AF1204*in_hlth_small_ticket*in_hlth_small_comm*in_ins_partner_share+F1204*in_hlth_small_ticket*in_hlth_small_renew_comm*in_ins_partner_share*(in_hlth_small_renew^1*SUMIFS(AF1202:AF1236,B1202:B1236,B1204-12)+in_hlth_small_renew^2*SUMIFS(AF1202:AF1236,B1202:B1236,B1204-24)+in_hlth_small_renew^3*SUMIFS(AF1202:AF1236,B1202:B1236,B1204-36)+in_hlth_small_renew^4*SUMIFS(AF1202:AF1236,B1202:B1236,B1204-48))</f>
        <v/>
      </c>
      <c r="AH1204" s="40">
        <f>AH1203*(1-IF(B1203&gt;=in_marketplace_from,d_hz_hlth_family*G1203,0))</f>
        <v/>
      </c>
      <c r="AI1204" s="46">
        <f>AH1204*IF(B1204&gt;=in_marketplace_from,d_hz_hlth_family*G1204,0)</f>
        <v/>
      </c>
      <c r="AJ1204" s="14">
        <f>F1204*AI1204*in_hlth_family_ticket*in_hlth_family_comm*in_ins_partner_share+F1204*in_hlth_family_ticket*in_hlth_family_renew_comm*in_ins_partner_share*(in_hlth_family_renew^1*SUMIFS(AI1202:AI1236,B1202:B1236,B1204-12)+in_hlth_family_renew^2*SUMIFS(AI1202:AI1236,B1202:B1236,B1204-24)+in_hlth_family_renew^3*SUMIFS(AI1202:AI1236,B1202:B1236,B1204-36)+in_hlth_family_renew^4*SUMIFS(AI1202:AI1236,B1202:B1236,B1204-48))</f>
        <v/>
      </c>
      <c r="AK1204" s="40">
        <f>AK1203*(1-IF(B1203&gt;=in_marketplace_from,d_hz_life_term*G1203,0))</f>
        <v/>
      </c>
      <c r="AL1204" s="46">
        <f>AK1204*IF(B1204&gt;=in_marketplace_from,d_hz_life_term*G1204,0)</f>
        <v/>
      </c>
      <c r="AM1204" s="14">
        <f>F1204*AL1204*in_life_term_ticket*in_life_term_comm*in_ins_partner_share+F1204*in_life_term_ticket*in_life_term_renew_comm*in_ins_partner_share*(in_life_term_renew^1*SUMIFS(AL1202:AL1236,B1202:B1236,B1204-12)+in_life_term_renew^2*SUMIFS(AL1202:AL1236,B1202:B1236,B1204-24)+in_life_term_renew^3*SUMIFS(AL1202:AL1236,B1202:B1236,B1204-36)+in_life_term_renew^4*SUMIFS(AL1202:AL1236,B1202:B1236,B1204-48))</f>
        <v/>
      </c>
      <c r="AN1204" s="40">
        <f>AN1203*(1-IF(B1203&gt;=in_marketplace_from,d_hz_accident*G1203,0))</f>
        <v/>
      </c>
      <c r="AO1204" s="46">
        <f>AN1204*IF(B1204&gt;=in_marketplace_from,d_hz_accident*G1204,0)</f>
        <v/>
      </c>
      <c r="AP1204" s="14">
        <f>F1204*AO1204*in_accident_ticket*in_accident_comm*in_ins_partner_share+F1204*in_accident_ticket*in_accident_renew_comm*in_ins_partner_share*(in_accident_renew^1*SUMIFS(AO1202:AO1236,B1202:B1236,B1204-12)+in_accident_renew^2*SUMIFS(AO1202:AO1236,B1202:B1236,B1204-24)+in_accident_renew^3*SUMIFS(AO1202:AO1236,B1202:B1236,B1204-36)+in_accident_renew^4*SUMIFS(AO1202:AO1236,B1202:B1236,B1204-48))</f>
        <v/>
      </c>
      <c r="AQ1204" s="40">
        <f>AQ1203*(1-IF(B1203&gt;=in_marketplace_from,d_hz_two_wheeler*G1203,0))</f>
        <v/>
      </c>
      <c r="AR1204" s="46">
        <f>AQ1204*IF(B1204&gt;=in_marketplace_from,d_hz_two_wheeler*G1204,0)</f>
        <v/>
      </c>
      <c r="AS1204" s="14">
        <f>F1204*AR1204*in_two_wheeler_ticket*in_two_wheeler_comm*in_ins_partner_share+F1204*in_two_wheeler_ticket*in_two_wheeler_comm*in_ins_partner_share*(in_two_wheeler_renew^1*SUMIFS(AR1202:AR1236,B1202:B1236,B1204-12)+in_two_wheeler_renew^2*SUMIFS(AR1202:AR1236,B1202:B1236,B1204-24)+in_two_wheeler_renew^3*SUMIFS(AR1202:AR1236,B1202:B1236,B1204-36)+in_two_wheeler_renew^4*SUMIFS(AR1202:AR1236,B1202:B1236,B1204-48))</f>
        <v/>
      </c>
      <c r="AT1204" s="40">
        <f>AT1203*(1-IF(B1203&gt;=in_marketplace_from,d_hz_device*G1203,0))</f>
        <v/>
      </c>
      <c r="AU1204" s="14">
        <f>F1204*AT1204*IF(B1204&gt;=in_marketplace_from,d_hz_device*G1204,0)*in_device_ticket*in_device_comm*in_ins_partner_share</f>
        <v/>
      </c>
      <c r="AV1204" s="40">
        <f>AV1203*(1-IF(B1203&gt;=in_marketplace_from,d_hz_shop*G1203,0))</f>
        <v/>
      </c>
      <c r="AW1204" s="46">
        <f>AV1204*IF(B1204&gt;=in_marketplace_from,d_hz_shop*G1204,0)</f>
        <v/>
      </c>
      <c r="AX1204" s="14">
        <f>F1204*AW1204*in_shop_ticket*in_shop_comm*in_ins_partner_share+F1204*in_shop_ticket*in_shop_renew_comm*in_ins_partner_share*(in_shop_renew^1*SUMIFS(AW1202:AW1236,B1202:B1236,B1204-12)+in_shop_renew^2*SUMIFS(AW1202:AW1236,B1202:B1236,B1204-24)+in_shop_renew^3*SUMIFS(AW1202:AW1236,B1202:B1236,B1204-36)+in_shop_renew^4*SUMIFS(AW1202:AW1236,B1202:B1236,B1204-48))</f>
        <v/>
      </c>
      <c r="AY1204" s="40">
        <f>AY1203*(1-IF(B1203&gt;=in_marketplace_from,d_hz_sip*G1203,0))</f>
        <v/>
      </c>
      <c r="AZ1204" s="40">
        <f>AZ1203*d_rho_sip+AY1204*IF(B1204&gt;=in_marketplace_from,d_hz_sip*G1204,0)</f>
        <v/>
      </c>
      <c r="BA1204" s="40">
        <f>d_rho_sip*(BA1203+AZ1203)</f>
        <v/>
      </c>
      <c r="BB1204" s="14">
        <f>F1204*in_sip_ticket*(BA1204+0.5*AZ1204)*in_sip_comm/12</f>
        <v/>
      </c>
      <c r="BC1204" s="40">
        <f>BC1203*(1-IF(B1203&gt;=in_marketplace_from,d_hz_choti*G1203,0))</f>
        <v/>
      </c>
      <c r="BD1204" s="46">
        <f>BC1204*IF(B1204&gt;=in_marketplace_from,d_hz_choti*G1204,0)</f>
        <v/>
      </c>
      <c r="BE1204" s="14">
        <f>F1204*SUMIFS(BD1202:BD1236,B1202:B1236,B1204-in_choti_months)*in_choti_renew*in_choti_ticket</f>
        <v/>
      </c>
      <c r="BF1204" s="40">
        <f>BF1203*(1-IF(B1203&gt;=in_marketplace_from,d_hz_nps*G1203,0))</f>
        <v/>
      </c>
      <c r="BG1204" s="14">
        <f>F1204*BF1204*IF(B1204&gt;=in_marketplace_from,d_hz_nps*G1204,0)*in_nps_ticket*in_nps_comm</f>
        <v/>
      </c>
      <c r="BH1204" s="40">
        <f>BH1203*(1-IF(B1203&gt;=in_marketplace_from,d_hz_gold*G1203,0))</f>
        <v/>
      </c>
      <c r="BI1204" s="40">
        <f>BI1203*d_rho_gold+BH1204*IF(B1204&gt;=in_marketplace_from,d_hz_gold*G1204,0)</f>
        <v/>
      </c>
      <c r="BJ1204" s="14">
        <f>F1204*BI1204*in_gold_ticket*in_gold_comm</f>
        <v/>
      </c>
      <c r="BK1204" s="40">
        <f>BK1203*(1-IF(B1203&gt;=in_marketplace_from,d_hz_fd*G1203,0))</f>
        <v/>
      </c>
      <c r="BL1204" s="14">
        <f>F1204*BK1204*IF(B1204&gt;=in_marketplace_from,d_hz_fd*G1204,0)*in_fd_ticket*in_fd_comm</f>
        <v/>
      </c>
      <c r="BM1204" s="40">
        <f>BM1203*(1-IF(B1203&gt;=in_marketplace_from,d_hz_recharge*G1203,0))</f>
        <v/>
      </c>
      <c r="BN1204" s="40">
        <f>BN1203*d_rho_recharge+BM1204*IF(B1204&gt;=in_marketplace_from,d_hz_recharge*G1204,0)</f>
        <v/>
      </c>
      <c r="BO1204" s="14">
        <f>F1204*BN1204*in_recharge_ticket*in_recharge_comm/12</f>
        <v/>
      </c>
      <c r="BP1204" s="40">
        <f>BP1203*(1-IF(B1203&gt;=in_marketplace_from,d_hz_bills*G1203,0))</f>
        <v/>
      </c>
      <c r="BQ1204" s="40">
        <f>BQ1203*d_rho_bills+BP1204*IF(B1204&gt;=in_marketplace_from,d_hz_bills*G1204,0)</f>
        <v/>
      </c>
      <c r="BR1204" s="14">
        <f>F1204*BQ1204*in_bills_ticket*in_bills_comm/12</f>
        <v/>
      </c>
      <c r="BS1204" s="40">
        <f>BS1203*(1-IF(B1203&gt;=in_marketplace_from,d_hz_loan_gold*G1203,0))</f>
        <v/>
      </c>
      <c r="BT1204" s="14">
        <f>F1204*BS1204*IF(B1204&gt;=in_marketplace_from,d_hz_loan_gold*G1204,0)*in_loan_gold_ticket*in_loan_gold_comm</f>
        <v/>
      </c>
      <c r="BU1204" s="40">
        <f>BU1203*(1-IF(B1203&gt;=in_marketplace_from,d_hz_loan_cd*G1203,0))</f>
        <v/>
      </c>
      <c r="BV1204" s="14">
        <f>F1204*BU1204*IF(B1204&gt;=in_marketplace_from,d_hz_loan_cd*G1204,0)*in_loan_cd_ticket*in_loan_cd_comm</f>
        <v/>
      </c>
      <c r="BW1204" s="40">
        <f>BW1203*(1-IF(B1203&gt;=in_marketplace_from,d_hz_loan_vehicle*G1203,0))</f>
        <v/>
      </c>
      <c r="BX1204" s="14">
        <f>F1204*BW1204*IF(B1204&gt;=in_marketplace_from,d_hz_loan_vehicle*G1204,0)*in_loan_vehicle_ticket*in_loan_vehicle_comm</f>
        <v/>
      </c>
      <c r="BY1204" s="40">
        <f>BY1203*(1-IF(B1203&gt;=in_marketplace_from,d_hz_loan_home*G1203,0)*BZ1203)</f>
        <v/>
      </c>
      <c r="BZ1204" s="11">
        <f>MIN(in_approval_cap,in_loan_home_approval*INDEX('Age profile'!$O$2:$O$61,B1204)*(1+in_approval_growth)^(D1204-1))</f>
        <v/>
      </c>
      <c r="CA1204" s="14">
        <f>F1204*BY1204*IF(B1204&gt;=in_marketplace_from,d_hz_loan_home*G1204,0)*BZ1204*in_loan_home_ticket*in_loan_home_comm</f>
        <v/>
      </c>
      <c r="CB1204" s="40">
        <f>CB1203*(1-IF(B1203&gt;=in_marketplace_from,d_hz_loan_lap*G1203,0)*CC1203)</f>
        <v/>
      </c>
      <c r="CC1204" s="11">
        <f>MIN(in_approval_cap,in_loan_lap_approval*INDEX('Age profile'!$O$2:$O$61,B1204)*(1+in_approval_growth)^(D1204-1))</f>
        <v/>
      </c>
      <c r="CD1204" s="14">
        <f>F1204*CB1204*IF(B1204&gt;=in_marketplace_from,d_hz_loan_lap*G1204,0)*CC1204*in_loan_lap_ticket*in_loan_lap_comm</f>
        <v/>
      </c>
      <c r="CE1204" s="14">
        <f>AA1204+AB1204+AC1204+AD1204+AG1204+AJ1204+AM1204+AP1204+AS1204+AU1204+AX1204+BB1204+BE1204+BG1204+BJ1204+BL1204+BO1204+BR1204+BT1204+BV1204+BX1204+CA1204+CD1204</f>
        <v/>
      </c>
    </row>
    <row r="1205">
      <c r="A1205" s="39" t="n">
        <v>26</v>
      </c>
      <c r="B1205" s="39" t="n">
        <v>4</v>
      </c>
      <c r="C1205" s="39">
        <f>A1205+B1205-1</f>
        <v/>
      </c>
      <c r="D1205" s="39">
        <f>INT((C1205-1)/12)+1</f>
        <v/>
      </c>
      <c r="E1205" s="44">
        <f>INDEX(Monthly!$B$2:$B$61,A1205)</f>
        <v/>
      </c>
      <c r="F1205" s="44">
        <f>E1205*INDEX('Age profile'!$B$2:$B$61,B1205)</f>
        <v/>
      </c>
      <c r="G1205" s="45">
        <f>MIN(in_takeup_cap,INDEX('Age profile'!$N$2:$N$61,B1205)*(1+in_takeup_growth)^(D1205-1))</f>
        <v/>
      </c>
      <c r="H1205" s="11">
        <f>MIN(in_approval_cap,in_approved_first*INDEX('Age profile'!$O$2:$O$61,B1205)*(1+in_approval_growth)^(D1205-1))</f>
        <v/>
      </c>
      <c r="I1205" s="45">
        <f>G1205*MIN(in_takeup_cap,INDEX('Age profile'!$O$2:$O$61,B1205)*(1+in_approval_growth)^(D1205-1))</f>
        <v/>
      </c>
      <c r="J1205" s="40">
        <f>(J1204-L1204)*F1205/F1204</f>
        <v/>
      </c>
      <c r="K1205" s="40">
        <f>(K1204-M1204)*F1205/F1204+SUMIFS(O1202:O1204,B1202:B1204,B1205-1-d_T)*F1205</f>
        <v/>
      </c>
      <c r="L1205" s="40">
        <f>IF(B1205&gt;=in_marketplace_from,J1205*d_hz*G1205*in_eligible*H1205,0)</f>
        <v/>
      </c>
      <c r="M1205" s="40">
        <f>IF(B1205&gt;=in_marketplace_from,K1205*d_hz*G1205*in_eligible*in_approved_repeat,0)</f>
        <v/>
      </c>
      <c r="N1205" s="40">
        <f>L1205+M1205</f>
        <v/>
      </c>
      <c r="O1205" s="46">
        <f>N1205/F1205</f>
        <v/>
      </c>
      <c r="P1205" s="40">
        <f>F1205-J1205-K1205</f>
        <v/>
      </c>
      <c r="Q1205" s="40">
        <f>IF(B1205&gt;=in_marketplace_from,(J1205+K1205)*d_hz*G1205,0)</f>
        <v/>
      </c>
      <c r="R1205" s="40">
        <f>SUMIFS(N1202:N1236,B1202:B1236,"&gt;="&amp;(B1205-d_T),B1202:B1236,"&lt;="&amp;(B1205-1))</f>
        <v/>
      </c>
      <c r="S1205" s="46">
        <f>(1-d_u)*S1204+IF(d_T&gt;in_topup_lag,SUMIFS(O1202:O1236,B1202:B1236,B1205-in_topup_lag)-d_udrop*SUMIFS(O1202:O1236,B1202:B1236,B1205-d_T),0)</f>
        <v/>
      </c>
      <c r="T1205" s="40">
        <f>F1205*d_u*S1205</f>
        <v/>
      </c>
      <c r="U1205" s="9">
        <f>L1205*in_ticket+M1205*d_rep_ticket</f>
        <v/>
      </c>
      <c r="V1205" s="9">
        <f>U1205+T1205*d_topup_amt</f>
        <v/>
      </c>
      <c r="W1205" s="40">
        <f>N1205+T1205*d_topup_ratio</f>
        <v/>
      </c>
      <c r="X1205" s="40">
        <f>SUMIFS(W1202:W1236,B1202:B1236,B1205-in_dpd_lag)*d_cured</f>
        <v/>
      </c>
      <c r="Y1205" s="40">
        <f>SUMIFS(W1202:W1236,B1202:B1236,B1205-in_rec_lag)*d_recd</f>
        <v/>
      </c>
      <c r="Z1205" s="40">
        <f>IF(AND(B1205&gt;=in_marketplace_from,B1205&lt;in_marketplace_from+in_card_months),in_card_share/in_card_months*F1205*I1205,IF(AND(B1205&gt;=in_marketplace_from+in_card_months,B1205&lt;in_marketplace_from+2*in_card_months),in_card_share*d_card_rem/in_card_months*F1205*MIN(in_takeup_cap,(1+in_takeup_growth)^(D1205-1))*MIN(in_takeup_cap,(1+in_approval_growth)^(D1205-1)),0))</f>
        <v/>
      </c>
      <c r="AA1205" s="14">
        <f>V1205*in_fee*(1-in_taken_back)</f>
        <v/>
      </c>
      <c r="AB1205" s="14">
        <f>SUMIFS(W1202:W1236,B1202:B1236,B1205-in_dpd_lag)*d_dpd</f>
        <v/>
      </c>
      <c r="AC1205" s="14">
        <f>SUMIFS(W1202:W1236,B1202:B1236,B1205-in_rec_lag)*d_rec</f>
        <v/>
      </c>
      <c r="AD1205" s="14">
        <f>Z1205*in_card_fee</f>
        <v/>
      </c>
      <c r="AE1205" s="40">
        <f>AE1204*(1-IF(B1204&gt;=in_marketplace_from,d_hz_hlth_small*G1204,0))</f>
        <v/>
      </c>
      <c r="AF1205" s="46">
        <f>AE1205*IF(B1205&gt;=in_marketplace_from,d_hz_hlth_small*G1205,0)</f>
        <v/>
      </c>
      <c r="AG1205" s="14">
        <f>F1205*AF1205*in_hlth_small_ticket*in_hlth_small_comm*in_ins_partner_share+F1205*in_hlth_small_ticket*in_hlth_small_renew_comm*in_ins_partner_share*(in_hlth_small_renew^1*SUMIFS(AF1202:AF1236,B1202:B1236,B1205-12)+in_hlth_small_renew^2*SUMIFS(AF1202:AF1236,B1202:B1236,B1205-24)+in_hlth_small_renew^3*SUMIFS(AF1202:AF1236,B1202:B1236,B1205-36)+in_hlth_small_renew^4*SUMIFS(AF1202:AF1236,B1202:B1236,B1205-48))</f>
        <v/>
      </c>
      <c r="AH1205" s="40">
        <f>AH1204*(1-IF(B1204&gt;=in_marketplace_from,d_hz_hlth_family*G1204,0))</f>
        <v/>
      </c>
      <c r="AI1205" s="46">
        <f>AH1205*IF(B1205&gt;=in_marketplace_from,d_hz_hlth_family*G1205,0)</f>
        <v/>
      </c>
      <c r="AJ1205" s="14">
        <f>F1205*AI1205*in_hlth_family_ticket*in_hlth_family_comm*in_ins_partner_share+F1205*in_hlth_family_ticket*in_hlth_family_renew_comm*in_ins_partner_share*(in_hlth_family_renew^1*SUMIFS(AI1202:AI1236,B1202:B1236,B1205-12)+in_hlth_family_renew^2*SUMIFS(AI1202:AI1236,B1202:B1236,B1205-24)+in_hlth_family_renew^3*SUMIFS(AI1202:AI1236,B1202:B1236,B1205-36)+in_hlth_family_renew^4*SUMIFS(AI1202:AI1236,B1202:B1236,B1205-48))</f>
        <v/>
      </c>
      <c r="AK1205" s="40">
        <f>AK1204*(1-IF(B1204&gt;=in_marketplace_from,d_hz_life_term*G1204,0))</f>
        <v/>
      </c>
      <c r="AL1205" s="46">
        <f>AK1205*IF(B1205&gt;=in_marketplace_from,d_hz_life_term*G1205,0)</f>
        <v/>
      </c>
      <c r="AM1205" s="14">
        <f>F1205*AL1205*in_life_term_ticket*in_life_term_comm*in_ins_partner_share+F1205*in_life_term_ticket*in_life_term_renew_comm*in_ins_partner_share*(in_life_term_renew^1*SUMIFS(AL1202:AL1236,B1202:B1236,B1205-12)+in_life_term_renew^2*SUMIFS(AL1202:AL1236,B1202:B1236,B1205-24)+in_life_term_renew^3*SUMIFS(AL1202:AL1236,B1202:B1236,B1205-36)+in_life_term_renew^4*SUMIFS(AL1202:AL1236,B1202:B1236,B1205-48))</f>
        <v/>
      </c>
      <c r="AN1205" s="40">
        <f>AN1204*(1-IF(B1204&gt;=in_marketplace_from,d_hz_accident*G1204,0))</f>
        <v/>
      </c>
      <c r="AO1205" s="46">
        <f>AN1205*IF(B1205&gt;=in_marketplace_from,d_hz_accident*G1205,0)</f>
        <v/>
      </c>
      <c r="AP1205" s="14">
        <f>F1205*AO1205*in_accident_ticket*in_accident_comm*in_ins_partner_share+F1205*in_accident_ticket*in_accident_renew_comm*in_ins_partner_share*(in_accident_renew^1*SUMIFS(AO1202:AO1236,B1202:B1236,B1205-12)+in_accident_renew^2*SUMIFS(AO1202:AO1236,B1202:B1236,B1205-24)+in_accident_renew^3*SUMIFS(AO1202:AO1236,B1202:B1236,B1205-36)+in_accident_renew^4*SUMIFS(AO1202:AO1236,B1202:B1236,B1205-48))</f>
        <v/>
      </c>
      <c r="AQ1205" s="40">
        <f>AQ1204*(1-IF(B1204&gt;=in_marketplace_from,d_hz_two_wheeler*G1204,0))</f>
        <v/>
      </c>
      <c r="AR1205" s="46">
        <f>AQ1205*IF(B1205&gt;=in_marketplace_from,d_hz_two_wheeler*G1205,0)</f>
        <v/>
      </c>
      <c r="AS1205" s="14">
        <f>F1205*AR1205*in_two_wheeler_ticket*in_two_wheeler_comm*in_ins_partner_share+F1205*in_two_wheeler_ticket*in_two_wheeler_comm*in_ins_partner_share*(in_two_wheeler_renew^1*SUMIFS(AR1202:AR1236,B1202:B1236,B1205-12)+in_two_wheeler_renew^2*SUMIFS(AR1202:AR1236,B1202:B1236,B1205-24)+in_two_wheeler_renew^3*SUMIFS(AR1202:AR1236,B1202:B1236,B1205-36)+in_two_wheeler_renew^4*SUMIFS(AR1202:AR1236,B1202:B1236,B1205-48))</f>
        <v/>
      </c>
      <c r="AT1205" s="40">
        <f>AT1204*(1-IF(B1204&gt;=in_marketplace_from,d_hz_device*G1204,0))</f>
        <v/>
      </c>
      <c r="AU1205" s="14">
        <f>F1205*AT1205*IF(B1205&gt;=in_marketplace_from,d_hz_device*G1205,0)*in_device_ticket*in_device_comm*in_ins_partner_share</f>
        <v/>
      </c>
      <c r="AV1205" s="40">
        <f>AV1204*(1-IF(B1204&gt;=in_marketplace_from,d_hz_shop*G1204,0))</f>
        <v/>
      </c>
      <c r="AW1205" s="46">
        <f>AV1205*IF(B1205&gt;=in_marketplace_from,d_hz_shop*G1205,0)</f>
        <v/>
      </c>
      <c r="AX1205" s="14">
        <f>F1205*AW1205*in_shop_ticket*in_shop_comm*in_ins_partner_share+F1205*in_shop_ticket*in_shop_renew_comm*in_ins_partner_share*(in_shop_renew^1*SUMIFS(AW1202:AW1236,B1202:B1236,B1205-12)+in_shop_renew^2*SUMIFS(AW1202:AW1236,B1202:B1236,B1205-24)+in_shop_renew^3*SUMIFS(AW1202:AW1236,B1202:B1236,B1205-36)+in_shop_renew^4*SUMIFS(AW1202:AW1236,B1202:B1236,B1205-48))</f>
        <v/>
      </c>
      <c r="AY1205" s="40">
        <f>AY1204*(1-IF(B1204&gt;=in_marketplace_from,d_hz_sip*G1204,0))</f>
        <v/>
      </c>
      <c r="AZ1205" s="40">
        <f>AZ1204*d_rho_sip+AY1205*IF(B1205&gt;=in_marketplace_from,d_hz_sip*G1205,0)</f>
        <v/>
      </c>
      <c r="BA1205" s="40">
        <f>d_rho_sip*(BA1204+AZ1204)</f>
        <v/>
      </c>
      <c r="BB1205" s="14">
        <f>F1205*in_sip_ticket*(BA1205+0.5*AZ1205)*in_sip_comm/12</f>
        <v/>
      </c>
      <c r="BC1205" s="40">
        <f>BC1204*(1-IF(B1204&gt;=in_marketplace_from,d_hz_choti*G1204,0))</f>
        <v/>
      </c>
      <c r="BD1205" s="46">
        <f>BC1205*IF(B1205&gt;=in_marketplace_from,d_hz_choti*G1205,0)</f>
        <v/>
      </c>
      <c r="BE1205" s="14">
        <f>F1205*SUMIFS(BD1202:BD1236,B1202:B1236,B1205-in_choti_months)*in_choti_renew*in_choti_ticket</f>
        <v/>
      </c>
      <c r="BF1205" s="40">
        <f>BF1204*(1-IF(B1204&gt;=in_marketplace_from,d_hz_nps*G1204,0))</f>
        <v/>
      </c>
      <c r="BG1205" s="14">
        <f>F1205*BF1205*IF(B1205&gt;=in_marketplace_from,d_hz_nps*G1205,0)*in_nps_ticket*in_nps_comm</f>
        <v/>
      </c>
      <c r="BH1205" s="40">
        <f>BH1204*(1-IF(B1204&gt;=in_marketplace_from,d_hz_gold*G1204,0))</f>
        <v/>
      </c>
      <c r="BI1205" s="40">
        <f>BI1204*d_rho_gold+BH1205*IF(B1205&gt;=in_marketplace_from,d_hz_gold*G1205,0)</f>
        <v/>
      </c>
      <c r="BJ1205" s="14">
        <f>F1205*BI1205*in_gold_ticket*in_gold_comm</f>
        <v/>
      </c>
      <c r="BK1205" s="40">
        <f>BK1204*(1-IF(B1204&gt;=in_marketplace_from,d_hz_fd*G1204,0))</f>
        <v/>
      </c>
      <c r="BL1205" s="14">
        <f>F1205*BK1205*IF(B1205&gt;=in_marketplace_from,d_hz_fd*G1205,0)*in_fd_ticket*in_fd_comm</f>
        <v/>
      </c>
      <c r="BM1205" s="40">
        <f>BM1204*(1-IF(B1204&gt;=in_marketplace_from,d_hz_recharge*G1204,0))</f>
        <v/>
      </c>
      <c r="BN1205" s="40">
        <f>BN1204*d_rho_recharge+BM1205*IF(B1205&gt;=in_marketplace_from,d_hz_recharge*G1205,0)</f>
        <v/>
      </c>
      <c r="BO1205" s="14">
        <f>F1205*BN1205*in_recharge_ticket*in_recharge_comm/12</f>
        <v/>
      </c>
      <c r="BP1205" s="40">
        <f>BP1204*(1-IF(B1204&gt;=in_marketplace_from,d_hz_bills*G1204,0))</f>
        <v/>
      </c>
      <c r="BQ1205" s="40">
        <f>BQ1204*d_rho_bills+BP1205*IF(B1205&gt;=in_marketplace_from,d_hz_bills*G1205,0)</f>
        <v/>
      </c>
      <c r="BR1205" s="14">
        <f>F1205*BQ1205*in_bills_ticket*in_bills_comm/12</f>
        <v/>
      </c>
      <c r="BS1205" s="40">
        <f>BS1204*(1-IF(B1204&gt;=in_marketplace_from,d_hz_loan_gold*G1204,0))</f>
        <v/>
      </c>
      <c r="BT1205" s="14">
        <f>F1205*BS1205*IF(B1205&gt;=in_marketplace_from,d_hz_loan_gold*G1205,0)*in_loan_gold_ticket*in_loan_gold_comm</f>
        <v/>
      </c>
      <c r="BU1205" s="40">
        <f>BU1204*(1-IF(B1204&gt;=in_marketplace_from,d_hz_loan_cd*G1204,0))</f>
        <v/>
      </c>
      <c r="BV1205" s="14">
        <f>F1205*BU1205*IF(B1205&gt;=in_marketplace_from,d_hz_loan_cd*G1205,0)*in_loan_cd_ticket*in_loan_cd_comm</f>
        <v/>
      </c>
      <c r="BW1205" s="40">
        <f>BW1204*(1-IF(B1204&gt;=in_marketplace_from,d_hz_loan_vehicle*G1204,0))</f>
        <v/>
      </c>
      <c r="BX1205" s="14">
        <f>F1205*BW1205*IF(B1205&gt;=in_marketplace_from,d_hz_loan_vehicle*G1205,0)*in_loan_vehicle_ticket*in_loan_vehicle_comm</f>
        <v/>
      </c>
      <c r="BY1205" s="40">
        <f>BY1204*(1-IF(B1204&gt;=in_marketplace_from,d_hz_loan_home*G1204,0)*BZ1204)</f>
        <v/>
      </c>
      <c r="BZ1205" s="11">
        <f>MIN(in_approval_cap,in_loan_home_approval*INDEX('Age profile'!$O$2:$O$61,B1205)*(1+in_approval_growth)^(D1205-1))</f>
        <v/>
      </c>
      <c r="CA1205" s="14">
        <f>F1205*BY1205*IF(B1205&gt;=in_marketplace_from,d_hz_loan_home*G1205,0)*BZ1205*in_loan_home_ticket*in_loan_home_comm</f>
        <v/>
      </c>
      <c r="CB1205" s="40">
        <f>CB1204*(1-IF(B1204&gt;=in_marketplace_from,d_hz_loan_lap*G1204,0)*CC1204)</f>
        <v/>
      </c>
      <c r="CC1205" s="11">
        <f>MIN(in_approval_cap,in_loan_lap_approval*INDEX('Age profile'!$O$2:$O$61,B1205)*(1+in_approval_growth)^(D1205-1))</f>
        <v/>
      </c>
      <c r="CD1205" s="14">
        <f>F1205*CB1205*IF(B1205&gt;=in_marketplace_from,d_hz_loan_lap*G1205,0)*CC1205*in_loan_lap_ticket*in_loan_lap_comm</f>
        <v/>
      </c>
      <c r="CE1205" s="14">
        <f>AA1205+AB1205+AC1205+AD1205+AG1205+AJ1205+AM1205+AP1205+AS1205+AU1205+AX1205+BB1205+BE1205+BG1205+BJ1205+BL1205+BO1205+BR1205+BT1205+BV1205+BX1205+CA1205+CD1205</f>
        <v/>
      </c>
    </row>
    <row r="1206">
      <c r="A1206" s="39" t="n">
        <v>26</v>
      </c>
      <c r="B1206" s="39" t="n">
        <v>5</v>
      </c>
      <c r="C1206" s="39">
        <f>A1206+B1206-1</f>
        <v/>
      </c>
      <c r="D1206" s="39">
        <f>INT((C1206-1)/12)+1</f>
        <v/>
      </c>
      <c r="E1206" s="44">
        <f>INDEX(Monthly!$B$2:$B$61,A1206)</f>
        <v/>
      </c>
      <c r="F1206" s="44">
        <f>E1206*INDEX('Age profile'!$B$2:$B$61,B1206)</f>
        <v/>
      </c>
      <c r="G1206" s="45">
        <f>MIN(in_takeup_cap,INDEX('Age profile'!$N$2:$N$61,B1206)*(1+in_takeup_growth)^(D1206-1))</f>
        <v/>
      </c>
      <c r="H1206" s="11">
        <f>MIN(in_approval_cap,in_approved_first*INDEX('Age profile'!$O$2:$O$61,B1206)*(1+in_approval_growth)^(D1206-1))</f>
        <v/>
      </c>
      <c r="I1206" s="45">
        <f>G1206*MIN(in_takeup_cap,INDEX('Age profile'!$O$2:$O$61,B1206)*(1+in_approval_growth)^(D1206-1))</f>
        <v/>
      </c>
      <c r="J1206" s="40">
        <f>(J1205-L1205)*F1206/F1205</f>
        <v/>
      </c>
      <c r="K1206" s="40">
        <f>(K1205-M1205)*F1206/F1205+SUMIFS(O1202:O1205,B1202:B1205,B1206-1-d_T)*F1206</f>
        <v/>
      </c>
      <c r="L1206" s="40">
        <f>IF(B1206&gt;=in_marketplace_from,J1206*d_hz*G1206*in_eligible*H1206,0)</f>
        <v/>
      </c>
      <c r="M1206" s="40">
        <f>IF(B1206&gt;=in_marketplace_from,K1206*d_hz*G1206*in_eligible*in_approved_repeat,0)</f>
        <v/>
      </c>
      <c r="N1206" s="40">
        <f>L1206+M1206</f>
        <v/>
      </c>
      <c r="O1206" s="46">
        <f>N1206/F1206</f>
        <v/>
      </c>
      <c r="P1206" s="40">
        <f>F1206-J1206-K1206</f>
        <v/>
      </c>
      <c r="Q1206" s="40">
        <f>IF(B1206&gt;=in_marketplace_from,(J1206+K1206)*d_hz*G1206,0)</f>
        <v/>
      </c>
      <c r="R1206" s="40">
        <f>SUMIFS(N1202:N1236,B1202:B1236,"&gt;="&amp;(B1206-d_T),B1202:B1236,"&lt;="&amp;(B1206-1))</f>
        <v/>
      </c>
      <c r="S1206" s="46">
        <f>(1-d_u)*S1205+IF(d_T&gt;in_topup_lag,SUMIFS(O1202:O1236,B1202:B1236,B1206-in_topup_lag)-d_udrop*SUMIFS(O1202:O1236,B1202:B1236,B1206-d_T),0)</f>
        <v/>
      </c>
      <c r="T1206" s="40">
        <f>F1206*d_u*S1206</f>
        <v/>
      </c>
      <c r="U1206" s="9">
        <f>L1206*in_ticket+M1206*d_rep_ticket</f>
        <v/>
      </c>
      <c r="V1206" s="9">
        <f>U1206+T1206*d_topup_amt</f>
        <v/>
      </c>
      <c r="W1206" s="40">
        <f>N1206+T1206*d_topup_ratio</f>
        <v/>
      </c>
      <c r="X1206" s="40">
        <f>SUMIFS(W1202:W1236,B1202:B1236,B1206-in_dpd_lag)*d_cured</f>
        <v/>
      </c>
      <c r="Y1206" s="40">
        <f>SUMIFS(W1202:W1236,B1202:B1236,B1206-in_rec_lag)*d_recd</f>
        <v/>
      </c>
      <c r="Z1206" s="40">
        <f>IF(AND(B1206&gt;=in_marketplace_from,B1206&lt;in_marketplace_from+in_card_months),in_card_share/in_card_months*F1206*I1206,IF(AND(B1206&gt;=in_marketplace_from+in_card_months,B1206&lt;in_marketplace_from+2*in_card_months),in_card_share*d_card_rem/in_card_months*F1206*MIN(in_takeup_cap,(1+in_takeup_growth)^(D1206-1))*MIN(in_takeup_cap,(1+in_approval_growth)^(D1206-1)),0))</f>
        <v/>
      </c>
      <c r="AA1206" s="14">
        <f>V1206*in_fee*(1-in_taken_back)</f>
        <v/>
      </c>
      <c r="AB1206" s="14">
        <f>SUMIFS(W1202:W1236,B1202:B1236,B1206-in_dpd_lag)*d_dpd</f>
        <v/>
      </c>
      <c r="AC1206" s="14">
        <f>SUMIFS(W1202:W1236,B1202:B1236,B1206-in_rec_lag)*d_rec</f>
        <v/>
      </c>
      <c r="AD1206" s="14">
        <f>Z1206*in_card_fee</f>
        <v/>
      </c>
      <c r="AE1206" s="40">
        <f>AE1205*(1-IF(B1205&gt;=in_marketplace_from,d_hz_hlth_small*G1205,0))</f>
        <v/>
      </c>
      <c r="AF1206" s="46">
        <f>AE1206*IF(B1206&gt;=in_marketplace_from,d_hz_hlth_small*G1206,0)</f>
        <v/>
      </c>
      <c r="AG1206" s="14">
        <f>F1206*AF1206*in_hlth_small_ticket*in_hlth_small_comm*in_ins_partner_share+F1206*in_hlth_small_ticket*in_hlth_small_renew_comm*in_ins_partner_share*(in_hlth_small_renew^1*SUMIFS(AF1202:AF1236,B1202:B1236,B1206-12)+in_hlth_small_renew^2*SUMIFS(AF1202:AF1236,B1202:B1236,B1206-24)+in_hlth_small_renew^3*SUMIFS(AF1202:AF1236,B1202:B1236,B1206-36)+in_hlth_small_renew^4*SUMIFS(AF1202:AF1236,B1202:B1236,B1206-48))</f>
        <v/>
      </c>
      <c r="AH1206" s="40">
        <f>AH1205*(1-IF(B1205&gt;=in_marketplace_from,d_hz_hlth_family*G1205,0))</f>
        <v/>
      </c>
      <c r="AI1206" s="46">
        <f>AH1206*IF(B1206&gt;=in_marketplace_from,d_hz_hlth_family*G1206,0)</f>
        <v/>
      </c>
      <c r="AJ1206" s="14">
        <f>F1206*AI1206*in_hlth_family_ticket*in_hlth_family_comm*in_ins_partner_share+F1206*in_hlth_family_ticket*in_hlth_family_renew_comm*in_ins_partner_share*(in_hlth_family_renew^1*SUMIFS(AI1202:AI1236,B1202:B1236,B1206-12)+in_hlth_family_renew^2*SUMIFS(AI1202:AI1236,B1202:B1236,B1206-24)+in_hlth_family_renew^3*SUMIFS(AI1202:AI1236,B1202:B1236,B1206-36)+in_hlth_family_renew^4*SUMIFS(AI1202:AI1236,B1202:B1236,B1206-48))</f>
        <v/>
      </c>
      <c r="AK1206" s="40">
        <f>AK1205*(1-IF(B1205&gt;=in_marketplace_from,d_hz_life_term*G1205,0))</f>
        <v/>
      </c>
      <c r="AL1206" s="46">
        <f>AK1206*IF(B1206&gt;=in_marketplace_from,d_hz_life_term*G1206,0)</f>
        <v/>
      </c>
      <c r="AM1206" s="14">
        <f>F1206*AL1206*in_life_term_ticket*in_life_term_comm*in_ins_partner_share+F1206*in_life_term_ticket*in_life_term_renew_comm*in_ins_partner_share*(in_life_term_renew^1*SUMIFS(AL1202:AL1236,B1202:B1236,B1206-12)+in_life_term_renew^2*SUMIFS(AL1202:AL1236,B1202:B1236,B1206-24)+in_life_term_renew^3*SUMIFS(AL1202:AL1236,B1202:B1236,B1206-36)+in_life_term_renew^4*SUMIFS(AL1202:AL1236,B1202:B1236,B1206-48))</f>
        <v/>
      </c>
      <c r="AN1206" s="40">
        <f>AN1205*(1-IF(B1205&gt;=in_marketplace_from,d_hz_accident*G1205,0))</f>
        <v/>
      </c>
      <c r="AO1206" s="46">
        <f>AN1206*IF(B1206&gt;=in_marketplace_from,d_hz_accident*G1206,0)</f>
        <v/>
      </c>
      <c r="AP1206" s="14">
        <f>F1206*AO1206*in_accident_ticket*in_accident_comm*in_ins_partner_share+F1206*in_accident_ticket*in_accident_renew_comm*in_ins_partner_share*(in_accident_renew^1*SUMIFS(AO1202:AO1236,B1202:B1236,B1206-12)+in_accident_renew^2*SUMIFS(AO1202:AO1236,B1202:B1236,B1206-24)+in_accident_renew^3*SUMIFS(AO1202:AO1236,B1202:B1236,B1206-36)+in_accident_renew^4*SUMIFS(AO1202:AO1236,B1202:B1236,B1206-48))</f>
        <v/>
      </c>
      <c r="AQ1206" s="40">
        <f>AQ1205*(1-IF(B1205&gt;=in_marketplace_from,d_hz_two_wheeler*G1205,0))</f>
        <v/>
      </c>
      <c r="AR1206" s="46">
        <f>AQ1206*IF(B1206&gt;=in_marketplace_from,d_hz_two_wheeler*G1206,0)</f>
        <v/>
      </c>
      <c r="AS1206" s="14">
        <f>F1206*AR1206*in_two_wheeler_ticket*in_two_wheeler_comm*in_ins_partner_share+F1206*in_two_wheeler_ticket*in_two_wheeler_comm*in_ins_partner_share*(in_two_wheeler_renew^1*SUMIFS(AR1202:AR1236,B1202:B1236,B1206-12)+in_two_wheeler_renew^2*SUMIFS(AR1202:AR1236,B1202:B1236,B1206-24)+in_two_wheeler_renew^3*SUMIFS(AR1202:AR1236,B1202:B1236,B1206-36)+in_two_wheeler_renew^4*SUMIFS(AR1202:AR1236,B1202:B1236,B1206-48))</f>
        <v/>
      </c>
      <c r="AT1206" s="40">
        <f>AT1205*(1-IF(B1205&gt;=in_marketplace_from,d_hz_device*G1205,0))</f>
        <v/>
      </c>
      <c r="AU1206" s="14">
        <f>F1206*AT1206*IF(B1206&gt;=in_marketplace_from,d_hz_device*G1206,0)*in_device_ticket*in_device_comm*in_ins_partner_share</f>
        <v/>
      </c>
      <c r="AV1206" s="40">
        <f>AV1205*(1-IF(B1205&gt;=in_marketplace_from,d_hz_shop*G1205,0))</f>
        <v/>
      </c>
      <c r="AW1206" s="46">
        <f>AV1206*IF(B1206&gt;=in_marketplace_from,d_hz_shop*G1206,0)</f>
        <v/>
      </c>
      <c r="AX1206" s="14">
        <f>F1206*AW1206*in_shop_ticket*in_shop_comm*in_ins_partner_share+F1206*in_shop_ticket*in_shop_renew_comm*in_ins_partner_share*(in_shop_renew^1*SUMIFS(AW1202:AW1236,B1202:B1236,B1206-12)+in_shop_renew^2*SUMIFS(AW1202:AW1236,B1202:B1236,B1206-24)+in_shop_renew^3*SUMIFS(AW1202:AW1236,B1202:B1236,B1206-36)+in_shop_renew^4*SUMIFS(AW1202:AW1236,B1202:B1236,B1206-48))</f>
        <v/>
      </c>
      <c r="AY1206" s="40">
        <f>AY1205*(1-IF(B1205&gt;=in_marketplace_from,d_hz_sip*G1205,0))</f>
        <v/>
      </c>
      <c r="AZ1206" s="40">
        <f>AZ1205*d_rho_sip+AY1206*IF(B1206&gt;=in_marketplace_from,d_hz_sip*G1206,0)</f>
        <v/>
      </c>
      <c r="BA1206" s="40">
        <f>d_rho_sip*(BA1205+AZ1205)</f>
        <v/>
      </c>
      <c r="BB1206" s="14">
        <f>F1206*in_sip_ticket*(BA1206+0.5*AZ1206)*in_sip_comm/12</f>
        <v/>
      </c>
      <c r="BC1206" s="40">
        <f>BC1205*(1-IF(B1205&gt;=in_marketplace_from,d_hz_choti*G1205,0))</f>
        <v/>
      </c>
      <c r="BD1206" s="46">
        <f>BC1206*IF(B1206&gt;=in_marketplace_from,d_hz_choti*G1206,0)</f>
        <v/>
      </c>
      <c r="BE1206" s="14">
        <f>F1206*SUMIFS(BD1202:BD1236,B1202:B1236,B1206-in_choti_months)*in_choti_renew*in_choti_ticket</f>
        <v/>
      </c>
      <c r="BF1206" s="40">
        <f>BF1205*(1-IF(B1205&gt;=in_marketplace_from,d_hz_nps*G1205,0))</f>
        <v/>
      </c>
      <c r="BG1206" s="14">
        <f>F1206*BF1206*IF(B1206&gt;=in_marketplace_from,d_hz_nps*G1206,0)*in_nps_ticket*in_nps_comm</f>
        <v/>
      </c>
      <c r="BH1206" s="40">
        <f>BH1205*(1-IF(B1205&gt;=in_marketplace_from,d_hz_gold*G1205,0))</f>
        <v/>
      </c>
      <c r="BI1206" s="40">
        <f>BI1205*d_rho_gold+BH1206*IF(B1206&gt;=in_marketplace_from,d_hz_gold*G1206,0)</f>
        <v/>
      </c>
      <c r="BJ1206" s="14">
        <f>F1206*BI1206*in_gold_ticket*in_gold_comm</f>
        <v/>
      </c>
      <c r="BK1206" s="40">
        <f>BK1205*(1-IF(B1205&gt;=in_marketplace_from,d_hz_fd*G1205,0))</f>
        <v/>
      </c>
      <c r="BL1206" s="14">
        <f>F1206*BK1206*IF(B1206&gt;=in_marketplace_from,d_hz_fd*G1206,0)*in_fd_ticket*in_fd_comm</f>
        <v/>
      </c>
      <c r="BM1206" s="40">
        <f>BM1205*(1-IF(B1205&gt;=in_marketplace_from,d_hz_recharge*G1205,0))</f>
        <v/>
      </c>
      <c r="BN1206" s="40">
        <f>BN1205*d_rho_recharge+BM1206*IF(B1206&gt;=in_marketplace_from,d_hz_recharge*G1206,0)</f>
        <v/>
      </c>
      <c r="BO1206" s="14">
        <f>F1206*BN1206*in_recharge_ticket*in_recharge_comm/12</f>
        <v/>
      </c>
      <c r="BP1206" s="40">
        <f>BP1205*(1-IF(B1205&gt;=in_marketplace_from,d_hz_bills*G1205,0))</f>
        <v/>
      </c>
      <c r="BQ1206" s="40">
        <f>BQ1205*d_rho_bills+BP1206*IF(B1206&gt;=in_marketplace_from,d_hz_bills*G1206,0)</f>
        <v/>
      </c>
      <c r="BR1206" s="14">
        <f>F1206*BQ1206*in_bills_ticket*in_bills_comm/12</f>
        <v/>
      </c>
      <c r="BS1206" s="40">
        <f>BS1205*(1-IF(B1205&gt;=in_marketplace_from,d_hz_loan_gold*G1205,0))</f>
        <v/>
      </c>
      <c r="BT1206" s="14">
        <f>F1206*BS1206*IF(B1206&gt;=in_marketplace_from,d_hz_loan_gold*G1206,0)*in_loan_gold_ticket*in_loan_gold_comm</f>
        <v/>
      </c>
      <c r="BU1206" s="40">
        <f>BU1205*(1-IF(B1205&gt;=in_marketplace_from,d_hz_loan_cd*G1205,0))</f>
        <v/>
      </c>
      <c r="BV1206" s="14">
        <f>F1206*BU1206*IF(B1206&gt;=in_marketplace_from,d_hz_loan_cd*G1206,0)*in_loan_cd_ticket*in_loan_cd_comm</f>
        <v/>
      </c>
      <c r="BW1206" s="40">
        <f>BW1205*(1-IF(B1205&gt;=in_marketplace_from,d_hz_loan_vehicle*G1205,0))</f>
        <v/>
      </c>
      <c r="BX1206" s="14">
        <f>F1206*BW1206*IF(B1206&gt;=in_marketplace_from,d_hz_loan_vehicle*G1206,0)*in_loan_vehicle_ticket*in_loan_vehicle_comm</f>
        <v/>
      </c>
      <c r="BY1206" s="40">
        <f>BY1205*(1-IF(B1205&gt;=in_marketplace_from,d_hz_loan_home*G1205,0)*BZ1205)</f>
        <v/>
      </c>
      <c r="BZ1206" s="11">
        <f>MIN(in_approval_cap,in_loan_home_approval*INDEX('Age profile'!$O$2:$O$61,B1206)*(1+in_approval_growth)^(D1206-1))</f>
        <v/>
      </c>
      <c r="CA1206" s="14">
        <f>F1206*BY1206*IF(B1206&gt;=in_marketplace_from,d_hz_loan_home*G1206,0)*BZ1206*in_loan_home_ticket*in_loan_home_comm</f>
        <v/>
      </c>
      <c r="CB1206" s="40">
        <f>CB1205*(1-IF(B1205&gt;=in_marketplace_from,d_hz_loan_lap*G1205,0)*CC1205)</f>
        <v/>
      </c>
      <c r="CC1206" s="11">
        <f>MIN(in_approval_cap,in_loan_lap_approval*INDEX('Age profile'!$O$2:$O$61,B1206)*(1+in_approval_growth)^(D1206-1))</f>
        <v/>
      </c>
      <c r="CD1206" s="14">
        <f>F1206*CB1206*IF(B1206&gt;=in_marketplace_from,d_hz_loan_lap*G1206,0)*CC1206*in_loan_lap_ticket*in_loan_lap_comm</f>
        <v/>
      </c>
      <c r="CE1206" s="14">
        <f>AA1206+AB1206+AC1206+AD1206+AG1206+AJ1206+AM1206+AP1206+AS1206+AU1206+AX1206+BB1206+BE1206+BG1206+BJ1206+BL1206+BO1206+BR1206+BT1206+BV1206+BX1206+CA1206+CD1206</f>
        <v/>
      </c>
    </row>
    <row r="1207">
      <c r="A1207" s="39" t="n">
        <v>26</v>
      </c>
      <c r="B1207" s="39" t="n">
        <v>6</v>
      </c>
      <c r="C1207" s="39">
        <f>A1207+B1207-1</f>
        <v/>
      </c>
      <c r="D1207" s="39">
        <f>INT((C1207-1)/12)+1</f>
        <v/>
      </c>
      <c r="E1207" s="44">
        <f>INDEX(Monthly!$B$2:$B$61,A1207)</f>
        <v/>
      </c>
      <c r="F1207" s="44">
        <f>E1207*INDEX('Age profile'!$B$2:$B$61,B1207)</f>
        <v/>
      </c>
      <c r="G1207" s="45">
        <f>MIN(in_takeup_cap,INDEX('Age profile'!$N$2:$N$61,B1207)*(1+in_takeup_growth)^(D1207-1))</f>
        <v/>
      </c>
      <c r="H1207" s="11">
        <f>MIN(in_approval_cap,in_approved_first*INDEX('Age profile'!$O$2:$O$61,B1207)*(1+in_approval_growth)^(D1207-1))</f>
        <v/>
      </c>
      <c r="I1207" s="45">
        <f>G1207*MIN(in_takeup_cap,INDEX('Age profile'!$O$2:$O$61,B1207)*(1+in_approval_growth)^(D1207-1))</f>
        <v/>
      </c>
      <c r="J1207" s="40">
        <f>(J1206-L1206)*F1207/F1206</f>
        <v/>
      </c>
      <c r="K1207" s="40">
        <f>(K1206-M1206)*F1207/F1206+SUMIFS(O1202:O1206,B1202:B1206,B1207-1-d_T)*F1207</f>
        <v/>
      </c>
      <c r="L1207" s="40">
        <f>IF(B1207&gt;=in_marketplace_from,J1207*d_hz*G1207*in_eligible*H1207,0)</f>
        <v/>
      </c>
      <c r="M1207" s="40">
        <f>IF(B1207&gt;=in_marketplace_from,K1207*d_hz*G1207*in_eligible*in_approved_repeat,0)</f>
        <v/>
      </c>
      <c r="N1207" s="40">
        <f>L1207+M1207</f>
        <v/>
      </c>
      <c r="O1207" s="46">
        <f>N1207/F1207</f>
        <v/>
      </c>
      <c r="P1207" s="40">
        <f>F1207-J1207-K1207</f>
        <v/>
      </c>
      <c r="Q1207" s="40">
        <f>IF(B1207&gt;=in_marketplace_from,(J1207+K1207)*d_hz*G1207,0)</f>
        <v/>
      </c>
      <c r="R1207" s="40">
        <f>SUMIFS(N1202:N1236,B1202:B1236,"&gt;="&amp;(B1207-d_T),B1202:B1236,"&lt;="&amp;(B1207-1))</f>
        <v/>
      </c>
      <c r="S1207" s="46">
        <f>(1-d_u)*S1206+IF(d_T&gt;in_topup_lag,SUMIFS(O1202:O1236,B1202:B1236,B1207-in_topup_lag)-d_udrop*SUMIFS(O1202:O1236,B1202:B1236,B1207-d_T),0)</f>
        <v/>
      </c>
      <c r="T1207" s="40">
        <f>F1207*d_u*S1207</f>
        <v/>
      </c>
      <c r="U1207" s="9">
        <f>L1207*in_ticket+M1207*d_rep_ticket</f>
        <v/>
      </c>
      <c r="V1207" s="9">
        <f>U1207+T1207*d_topup_amt</f>
        <v/>
      </c>
      <c r="W1207" s="40">
        <f>N1207+T1207*d_topup_ratio</f>
        <v/>
      </c>
      <c r="X1207" s="40">
        <f>SUMIFS(W1202:W1236,B1202:B1236,B1207-in_dpd_lag)*d_cured</f>
        <v/>
      </c>
      <c r="Y1207" s="40">
        <f>SUMIFS(W1202:W1236,B1202:B1236,B1207-in_rec_lag)*d_recd</f>
        <v/>
      </c>
      <c r="Z1207" s="40">
        <f>IF(AND(B1207&gt;=in_marketplace_from,B1207&lt;in_marketplace_from+in_card_months),in_card_share/in_card_months*F1207*I1207,IF(AND(B1207&gt;=in_marketplace_from+in_card_months,B1207&lt;in_marketplace_from+2*in_card_months),in_card_share*d_card_rem/in_card_months*F1207*MIN(in_takeup_cap,(1+in_takeup_growth)^(D1207-1))*MIN(in_takeup_cap,(1+in_approval_growth)^(D1207-1)),0))</f>
        <v/>
      </c>
      <c r="AA1207" s="14">
        <f>V1207*in_fee*(1-in_taken_back)</f>
        <v/>
      </c>
      <c r="AB1207" s="14">
        <f>SUMIFS(W1202:W1236,B1202:B1236,B1207-in_dpd_lag)*d_dpd</f>
        <v/>
      </c>
      <c r="AC1207" s="14">
        <f>SUMIFS(W1202:W1236,B1202:B1236,B1207-in_rec_lag)*d_rec</f>
        <v/>
      </c>
      <c r="AD1207" s="14">
        <f>Z1207*in_card_fee</f>
        <v/>
      </c>
      <c r="AE1207" s="40">
        <f>AE1206*(1-IF(B1206&gt;=in_marketplace_from,d_hz_hlth_small*G1206,0))</f>
        <v/>
      </c>
      <c r="AF1207" s="46">
        <f>AE1207*IF(B1207&gt;=in_marketplace_from,d_hz_hlth_small*G1207,0)</f>
        <v/>
      </c>
      <c r="AG1207" s="14">
        <f>F1207*AF1207*in_hlth_small_ticket*in_hlth_small_comm*in_ins_partner_share+F1207*in_hlth_small_ticket*in_hlth_small_renew_comm*in_ins_partner_share*(in_hlth_small_renew^1*SUMIFS(AF1202:AF1236,B1202:B1236,B1207-12)+in_hlth_small_renew^2*SUMIFS(AF1202:AF1236,B1202:B1236,B1207-24)+in_hlth_small_renew^3*SUMIFS(AF1202:AF1236,B1202:B1236,B1207-36)+in_hlth_small_renew^4*SUMIFS(AF1202:AF1236,B1202:B1236,B1207-48))</f>
        <v/>
      </c>
      <c r="AH1207" s="40">
        <f>AH1206*(1-IF(B1206&gt;=in_marketplace_from,d_hz_hlth_family*G1206,0))</f>
        <v/>
      </c>
      <c r="AI1207" s="46">
        <f>AH1207*IF(B1207&gt;=in_marketplace_from,d_hz_hlth_family*G1207,0)</f>
        <v/>
      </c>
      <c r="AJ1207" s="14">
        <f>F1207*AI1207*in_hlth_family_ticket*in_hlth_family_comm*in_ins_partner_share+F1207*in_hlth_family_ticket*in_hlth_family_renew_comm*in_ins_partner_share*(in_hlth_family_renew^1*SUMIFS(AI1202:AI1236,B1202:B1236,B1207-12)+in_hlth_family_renew^2*SUMIFS(AI1202:AI1236,B1202:B1236,B1207-24)+in_hlth_family_renew^3*SUMIFS(AI1202:AI1236,B1202:B1236,B1207-36)+in_hlth_family_renew^4*SUMIFS(AI1202:AI1236,B1202:B1236,B1207-48))</f>
        <v/>
      </c>
      <c r="AK1207" s="40">
        <f>AK1206*(1-IF(B1206&gt;=in_marketplace_from,d_hz_life_term*G1206,0))</f>
        <v/>
      </c>
      <c r="AL1207" s="46">
        <f>AK1207*IF(B1207&gt;=in_marketplace_from,d_hz_life_term*G1207,0)</f>
        <v/>
      </c>
      <c r="AM1207" s="14">
        <f>F1207*AL1207*in_life_term_ticket*in_life_term_comm*in_ins_partner_share+F1207*in_life_term_ticket*in_life_term_renew_comm*in_ins_partner_share*(in_life_term_renew^1*SUMIFS(AL1202:AL1236,B1202:B1236,B1207-12)+in_life_term_renew^2*SUMIFS(AL1202:AL1236,B1202:B1236,B1207-24)+in_life_term_renew^3*SUMIFS(AL1202:AL1236,B1202:B1236,B1207-36)+in_life_term_renew^4*SUMIFS(AL1202:AL1236,B1202:B1236,B1207-48))</f>
        <v/>
      </c>
      <c r="AN1207" s="40">
        <f>AN1206*(1-IF(B1206&gt;=in_marketplace_from,d_hz_accident*G1206,0))</f>
        <v/>
      </c>
      <c r="AO1207" s="46">
        <f>AN1207*IF(B1207&gt;=in_marketplace_from,d_hz_accident*G1207,0)</f>
        <v/>
      </c>
      <c r="AP1207" s="14">
        <f>F1207*AO1207*in_accident_ticket*in_accident_comm*in_ins_partner_share+F1207*in_accident_ticket*in_accident_renew_comm*in_ins_partner_share*(in_accident_renew^1*SUMIFS(AO1202:AO1236,B1202:B1236,B1207-12)+in_accident_renew^2*SUMIFS(AO1202:AO1236,B1202:B1236,B1207-24)+in_accident_renew^3*SUMIFS(AO1202:AO1236,B1202:B1236,B1207-36)+in_accident_renew^4*SUMIFS(AO1202:AO1236,B1202:B1236,B1207-48))</f>
        <v/>
      </c>
      <c r="AQ1207" s="40">
        <f>AQ1206*(1-IF(B1206&gt;=in_marketplace_from,d_hz_two_wheeler*G1206,0))</f>
        <v/>
      </c>
      <c r="AR1207" s="46">
        <f>AQ1207*IF(B1207&gt;=in_marketplace_from,d_hz_two_wheeler*G1207,0)</f>
        <v/>
      </c>
      <c r="AS1207" s="14">
        <f>F1207*AR1207*in_two_wheeler_ticket*in_two_wheeler_comm*in_ins_partner_share+F1207*in_two_wheeler_ticket*in_two_wheeler_comm*in_ins_partner_share*(in_two_wheeler_renew^1*SUMIFS(AR1202:AR1236,B1202:B1236,B1207-12)+in_two_wheeler_renew^2*SUMIFS(AR1202:AR1236,B1202:B1236,B1207-24)+in_two_wheeler_renew^3*SUMIFS(AR1202:AR1236,B1202:B1236,B1207-36)+in_two_wheeler_renew^4*SUMIFS(AR1202:AR1236,B1202:B1236,B1207-48))</f>
        <v/>
      </c>
      <c r="AT1207" s="40">
        <f>AT1206*(1-IF(B1206&gt;=in_marketplace_from,d_hz_device*G1206,0))</f>
        <v/>
      </c>
      <c r="AU1207" s="14">
        <f>F1207*AT1207*IF(B1207&gt;=in_marketplace_from,d_hz_device*G1207,0)*in_device_ticket*in_device_comm*in_ins_partner_share</f>
        <v/>
      </c>
      <c r="AV1207" s="40">
        <f>AV1206*(1-IF(B1206&gt;=in_marketplace_from,d_hz_shop*G1206,0))</f>
        <v/>
      </c>
      <c r="AW1207" s="46">
        <f>AV1207*IF(B1207&gt;=in_marketplace_from,d_hz_shop*G1207,0)</f>
        <v/>
      </c>
      <c r="AX1207" s="14">
        <f>F1207*AW1207*in_shop_ticket*in_shop_comm*in_ins_partner_share+F1207*in_shop_ticket*in_shop_renew_comm*in_ins_partner_share*(in_shop_renew^1*SUMIFS(AW1202:AW1236,B1202:B1236,B1207-12)+in_shop_renew^2*SUMIFS(AW1202:AW1236,B1202:B1236,B1207-24)+in_shop_renew^3*SUMIFS(AW1202:AW1236,B1202:B1236,B1207-36)+in_shop_renew^4*SUMIFS(AW1202:AW1236,B1202:B1236,B1207-48))</f>
        <v/>
      </c>
      <c r="AY1207" s="40">
        <f>AY1206*(1-IF(B1206&gt;=in_marketplace_from,d_hz_sip*G1206,0))</f>
        <v/>
      </c>
      <c r="AZ1207" s="40">
        <f>AZ1206*d_rho_sip+AY1207*IF(B1207&gt;=in_marketplace_from,d_hz_sip*G1207,0)</f>
        <v/>
      </c>
      <c r="BA1207" s="40">
        <f>d_rho_sip*(BA1206+AZ1206)</f>
        <v/>
      </c>
      <c r="BB1207" s="14">
        <f>F1207*in_sip_ticket*(BA1207+0.5*AZ1207)*in_sip_comm/12</f>
        <v/>
      </c>
      <c r="BC1207" s="40">
        <f>BC1206*(1-IF(B1206&gt;=in_marketplace_from,d_hz_choti*G1206,0))</f>
        <v/>
      </c>
      <c r="BD1207" s="46">
        <f>BC1207*IF(B1207&gt;=in_marketplace_from,d_hz_choti*G1207,0)</f>
        <v/>
      </c>
      <c r="BE1207" s="14">
        <f>F1207*SUMIFS(BD1202:BD1236,B1202:B1236,B1207-in_choti_months)*in_choti_renew*in_choti_ticket</f>
        <v/>
      </c>
      <c r="BF1207" s="40">
        <f>BF1206*(1-IF(B1206&gt;=in_marketplace_from,d_hz_nps*G1206,0))</f>
        <v/>
      </c>
      <c r="BG1207" s="14">
        <f>F1207*BF1207*IF(B1207&gt;=in_marketplace_from,d_hz_nps*G1207,0)*in_nps_ticket*in_nps_comm</f>
        <v/>
      </c>
      <c r="BH1207" s="40">
        <f>BH1206*(1-IF(B1206&gt;=in_marketplace_from,d_hz_gold*G1206,0))</f>
        <v/>
      </c>
      <c r="BI1207" s="40">
        <f>BI1206*d_rho_gold+BH1207*IF(B1207&gt;=in_marketplace_from,d_hz_gold*G1207,0)</f>
        <v/>
      </c>
      <c r="BJ1207" s="14">
        <f>F1207*BI1207*in_gold_ticket*in_gold_comm</f>
        <v/>
      </c>
      <c r="BK1207" s="40">
        <f>BK1206*(1-IF(B1206&gt;=in_marketplace_from,d_hz_fd*G1206,0))</f>
        <v/>
      </c>
      <c r="BL1207" s="14">
        <f>F1207*BK1207*IF(B1207&gt;=in_marketplace_from,d_hz_fd*G1207,0)*in_fd_ticket*in_fd_comm</f>
        <v/>
      </c>
      <c r="BM1207" s="40">
        <f>BM1206*(1-IF(B1206&gt;=in_marketplace_from,d_hz_recharge*G1206,0))</f>
        <v/>
      </c>
      <c r="BN1207" s="40">
        <f>BN1206*d_rho_recharge+BM1207*IF(B1207&gt;=in_marketplace_from,d_hz_recharge*G1207,0)</f>
        <v/>
      </c>
      <c r="BO1207" s="14">
        <f>F1207*BN1207*in_recharge_ticket*in_recharge_comm/12</f>
        <v/>
      </c>
      <c r="BP1207" s="40">
        <f>BP1206*(1-IF(B1206&gt;=in_marketplace_from,d_hz_bills*G1206,0))</f>
        <v/>
      </c>
      <c r="BQ1207" s="40">
        <f>BQ1206*d_rho_bills+BP1207*IF(B1207&gt;=in_marketplace_from,d_hz_bills*G1207,0)</f>
        <v/>
      </c>
      <c r="BR1207" s="14">
        <f>F1207*BQ1207*in_bills_ticket*in_bills_comm/12</f>
        <v/>
      </c>
      <c r="BS1207" s="40">
        <f>BS1206*(1-IF(B1206&gt;=in_marketplace_from,d_hz_loan_gold*G1206,0))</f>
        <v/>
      </c>
      <c r="BT1207" s="14">
        <f>F1207*BS1207*IF(B1207&gt;=in_marketplace_from,d_hz_loan_gold*G1207,0)*in_loan_gold_ticket*in_loan_gold_comm</f>
        <v/>
      </c>
      <c r="BU1207" s="40">
        <f>BU1206*(1-IF(B1206&gt;=in_marketplace_from,d_hz_loan_cd*G1206,0))</f>
        <v/>
      </c>
      <c r="BV1207" s="14">
        <f>F1207*BU1207*IF(B1207&gt;=in_marketplace_from,d_hz_loan_cd*G1207,0)*in_loan_cd_ticket*in_loan_cd_comm</f>
        <v/>
      </c>
      <c r="BW1207" s="40">
        <f>BW1206*(1-IF(B1206&gt;=in_marketplace_from,d_hz_loan_vehicle*G1206,0))</f>
        <v/>
      </c>
      <c r="BX1207" s="14">
        <f>F1207*BW1207*IF(B1207&gt;=in_marketplace_from,d_hz_loan_vehicle*G1207,0)*in_loan_vehicle_ticket*in_loan_vehicle_comm</f>
        <v/>
      </c>
      <c r="BY1207" s="40">
        <f>BY1206*(1-IF(B1206&gt;=in_marketplace_from,d_hz_loan_home*G1206,0)*BZ1206)</f>
        <v/>
      </c>
      <c r="BZ1207" s="11">
        <f>MIN(in_approval_cap,in_loan_home_approval*INDEX('Age profile'!$O$2:$O$61,B1207)*(1+in_approval_growth)^(D1207-1))</f>
        <v/>
      </c>
      <c r="CA1207" s="14">
        <f>F1207*BY1207*IF(B1207&gt;=in_marketplace_from,d_hz_loan_home*G1207,0)*BZ1207*in_loan_home_ticket*in_loan_home_comm</f>
        <v/>
      </c>
      <c r="CB1207" s="40">
        <f>CB1206*(1-IF(B1206&gt;=in_marketplace_from,d_hz_loan_lap*G1206,0)*CC1206)</f>
        <v/>
      </c>
      <c r="CC1207" s="11">
        <f>MIN(in_approval_cap,in_loan_lap_approval*INDEX('Age profile'!$O$2:$O$61,B1207)*(1+in_approval_growth)^(D1207-1))</f>
        <v/>
      </c>
      <c r="CD1207" s="14">
        <f>F1207*CB1207*IF(B1207&gt;=in_marketplace_from,d_hz_loan_lap*G1207,0)*CC1207*in_loan_lap_ticket*in_loan_lap_comm</f>
        <v/>
      </c>
      <c r="CE1207" s="14">
        <f>AA1207+AB1207+AC1207+AD1207+AG1207+AJ1207+AM1207+AP1207+AS1207+AU1207+AX1207+BB1207+BE1207+BG1207+BJ1207+BL1207+BO1207+BR1207+BT1207+BV1207+BX1207+CA1207+CD1207</f>
        <v/>
      </c>
    </row>
    <row r="1208">
      <c r="A1208" s="39" t="n">
        <v>26</v>
      </c>
      <c r="B1208" s="39" t="n">
        <v>7</v>
      </c>
      <c r="C1208" s="39">
        <f>A1208+B1208-1</f>
        <v/>
      </c>
      <c r="D1208" s="39">
        <f>INT((C1208-1)/12)+1</f>
        <v/>
      </c>
      <c r="E1208" s="44">
        <f>INDEX(Monthly!$B$2:$B$61,A1208)</f>
        <v/>
      </c>
      <c r="F1208" s="44">
        <f>E1208*INDEX('Age profile'!$B$2:$B$61,B1208)</f>
        <v/>
      </c>
      <c r="G1208" s="45">
        <f>MIN(in_takeup_cap,INDEX('Age profile'!$N$2:$N$61,B1208)*(1+in_takeup_growth)^(D1208-1))</f>
        <v/>
      </c>
      <c r="H1208" s="11">
        <f>MIN(in_approval_cap,in_approved_first*INDEX('Age profile'!$O$2:$O$61,B1208)*(1+in_approval_growth)^(D1208-1))</f>
        <v/>
      </c>
      <c r="I1208" s="45">
        <f>G1208*MIN(in_takeup_cap,INDEX('Age profile'!$O$2:$O$61,B1208)*(1+in_approval_growth)^(D1208-1))</f>
        <v/>
      </c>
      <c r="J1208" s="40">
        <f>(J1207-L1207)*F1208/F1207</f>
        <v/>
      </c>
      <c r="K1208" s="40">
        <f>(K1207-M1207)*F1208/F1207+SUMIFS(O1202:O1207,B1202:B1207,B1208-1-d_T)*F1208</f>
        <v/>
      </c>
      <c r="L1208" s="40">
        <f>IF(B1208&gt;=in_marketplace_from,J1208*d_hz*G1208*in_eligible*H1208,0)</f>
        <v/>
      </c>
      <c r="M1208" s="40">
        <f>IF(B1208&gt;=in_marketplace_from,K1208*d_hz*G1208*in_eligible*in_approved_repeat,0)</f>
        <v/>
      </c>
      <c r="N1208" s="40">
        <f>L1208+M1208</f>
        <v/>
      </c>
      <c r="O1208" s="46">
        <f>N1208/F1208</f>
        <v/>
      </c>
      <c r="P1208" s="40">
        <f>F1208-J1208-K1208</f>
        <v/>
      </c>
      <c r="Q1208" s="40">
        <f>IF(B1208&gt;=in_marketplace_from,(J1208+K1208)*d_hz*G1208,0)</f>
        <v/>
      </c>
      <c r="R1208" s="40">
        <f>SUMIFS(N1202:N1236,B1202:B1236,"&gt;="&amp;(B1208-d_T),B1202:B1236,"&lt;="&amp;(B1208-1))</f>
        <v/>
      </c>
      <c r="S1208" s="46">
        <f>(1-d_u)*S1207+IF(d_T&gt;in_topup_lag,SUMIFS(O1202:O1236,B1202:B1236,B1208-in_topup_lag)-d_udrop*SUMIFS(O1202:O1236,B1202:B1236,B1208-d_T),0)</f>
        <v/>
      </c>
      <c r="T1208" s="40">
        <f>F1208*d_u*S1208</f>
        <v/>
      </c>
      <c r="U1208" s="9">
        <f>L1208*in_ticket+M1208*d_rep_ticket</f>
        <v/>
      </c>
      <c r="V1208" s="9">
        <f>U1208+T1208*d_topup_amt</f>
        <v/>
      </c>
      <c r="W1208" s="40">
        <f>N1208+T1208*d_topup_ratio</f>
        <v/>
      </c>
      <c r="X1208" s="40">
        <f>SUMIFS(W1202:W1236,B1202:B1236,B1208-in_dpd_lag)*d_cured</f>
        <v/>
      </c>
      <c r="Y1208" s="40">
        <f>SUMIFS(W1202:W1236,B1202:B1236,B1208-in_rec_lag)*d_recd</f>
        <v/>
      </c>
      <c r="Z1208" s="40">
        <f>IF(AND(B1208&gt;=in_marketplace_from,B1208&lt;in_marketplace_from+in_card_months),in_card_share/in_card_months*F1208*I1208,IF(AND(B1208&gt;=in_marketplace_from+in_card_months,B1208&lt;in_marketplace_from+2*in_card_months),in_card_share*d_card_rem/in_card_months*F1208*MIN(in_takeup_cap,(1+in_takeup_growth)^(D1208-1))*MIN(in_takeup_cap,(1+in_approval_growth)^(D1208-1)),0))</f>
        <v/>
      </c>
      <c r="AA1208" s="14">
        <f>V1208*in_fee*(1-in_taken_back)</f>
        <v/>
      </c>
      <c r="AB1208" s="14">
        <f>SUMIFS(W1202:W1236,B1202:B1236,B1208-in_dpd_lag)*d_dpd</f>
        <v/>
      </c>
      <c r="AC1208" s="14">
        <f>SUMIFS(W1202:W1236,B1202:B1236,B1208-in_rec_lag)*d_rec</f>
        <v/>
      </c>
      <c r="AD1208" s="14">
        <f>Z1208*in_card_fee</f>
        <v/>
      </c>
      <c r="AE1208" s="40">
        <f>AE1207*(1-IF(B1207&gt;=in_marketplace_from,d_hz_hlth_small*G1207,0))</f>
        <v/>
      </c>
      <c r="AF1208" s="46">
        <f>AE1208*IF(B1208&gt;=in_marketplace_from,d_hz_hlth_small*G1208,0)</f>
        <v/>
      </c>
      <c r="AG1208" s="14">
        <f>F1208*AF1208*in_hlth_small_ticket*in_hlth_small_comm*in_ins_partner_share+F1208*in_hlth_small_ticket*in_hlth_small_renew_comm*in_ins_partner_share*(in_hlth_small_renew^1*SUMIFS(AF1202:AF1236,B1202:B1236,B1208-12)+in_hlth_small_renew^2*SUMIFS(AF1202:AF1236,B1202:B1236,B1208-24)+in_hlth_small_renew^3*SUMIFS(AF1202:AF1236,B1202:B1236,B1208-36)+in_hlth_small_renew^4*SUMIFS(AF1202:AF1236,B1202:B1236,B1208-48))</f>
        <v/>
      </c>
      <c r="AH1208" s="40">
        <f>AH1207*(1-IF(B1207&gt;=in_marketplace_from,d_hz_hlth_family*G1207,0))</f>
        <v/>
      </c>
      <c r="AI1208" s="46">
        <f>AH1208*IF(B1208&gt;=in_marketplace_from,d_hz_hlth_family*G1208,0)</f>
        <v/>
      </c>
      <c r="AJ1208" s="14">
        <f>F1208*AI1208*in_hlth_family_ticket*in_hlth_family_comm*in_ins_partner_share+F1208*in_hlth_family_ticket*in_hlth_family_renew_comm*in_ins_partner_share*(in_hlth_family_renew^1*SUMIFS(AI1202:AI1236,B1202:B1236,B1208-12)+in_hlth_family_renew^2*SUMIFS(AI1202:AI1236,B1202:B1236,B1208-24)+in_hlth_family_renew^3*SUMIFS(AI1202:AI1236,B1202:B1236,B1208-36)+in_hlth_family_renew^4*SUMIFS(AI1202:AI1236,B1202:B1236,B1208-48))</f>
        <v/>
      </c>
      <c r="AK1208" s="40">
        <f>AK1207*(1-IF(B1207&gt;=in_marketplace_from,d_hz_life_term*G1207,0))</f>
        <v/>
      </c>
      <c r="AL1208" s="46">
        <f>AK1208*IF(B1208&gt;=in_marketplace_from,d_hz_life_term*G1208,0)</f>
        <v/>
      </c>
      <c r="AM1208" s="14">
        <f>F1208*AL1208*in_life_term_ticket*in_life_term_comm*in_ins_partner_share+F1208*in_life_term_ticket*in_life_term_renew_comm*in_ins_partner_share*(in_life_term_renew^1*SUMIFS(AL1202:AL1236,B1202:B1236,B1208-12)+in_life_term_renew^2*SUMIFS(AL1202:AL1236,B1202:B1236,B1208-24)+in_life_term_renew^3*SUMIFS(AL1202:AL1236,B1202:B1236,B1208-36)+in_life_term_renew^4*SUMIFS(AL1202:AL1236,B1202:B1236,B1208-48))</f>
        <v/>
      </c>
      <c r="AN1208" s="40">
        <f>AN1207*(1-IF(B1207&gt;=in_marketplace_from,d_hz_accident*G1207,0))</f>
        <v/>
      </c>
      <c r="AO1208" s="46">
        <f>AN1208*IF(B1208&gt;=in_marketplace_from,d_hz_accident*G1208,0)</f>
        <v/>
      </c>
      <c r="AP1208" s="14">
        <f>F1208*AO1208*in_accident_ticket*in_accident_comm*in_ins_partner_share+F1208*in_accident_ticket*in_accident_renew_comm*in_ins_partner_share*(in_accident_renew^1*SUMIFS(AO1202:AO1236,B1202:B1236,B1208-12)+in_accident_renew^2*SUMIFS(AO1202:AO1236,B1202:B1236,B1208-24)+in_accident_renew^3*SUMIFS(AO1202:AO1236,B1202:B1236,B1208-36)+in_accident_renew^4*SUMIFS(AO1202:AO1236,B1202:B1236,B1208-48))</f>
        <v/>
      </c>
      <c r="AQ1208" s="40">
        <f>AQ1207*(1-IF(B1207&gt;=in_marketplace_from,d_hz_two_wheeler*G1207,0))</f>
        <v/>
      </c>
      <c r="AR1208" s="46">
        <f>AQ1208*IF(B1208&gt;=in_marketplace_from,d_hz_two_wheeler*G1208,0)</f>
        <v/>
      </c>
      <c r="AS1208" s="14">
        <f>F1208*AR1208*in_two_wheeler_ticket*in_two_wheeler_comm*in_ins_partner_share+F1208*in_two_wheeler_ticket*in_two_wheeler_comm*in_ins_partner_share*(in_two_wheeler_renew^1*SUMIFS(AR1202:AR1236,B1202:B1236,B1208-12)+in_two_wheeler_renew^2*SUMIFS(AR1202:AR1236,B1202:B1236,B1208-24)+in_two_wheeler_renew^3*SUMIFS(AR1202:AR1236,B1202:B1236,B1208-36)+in_two_wheeler_renew^4*SUMIFS(AR1202:AR1236,B1202:B1236,B1208-48))</f>
        <v/>
      </c>
      <c r="AT1208" s="40">
        <f>AT1207*(1-IF(B1207&gt;=in_marketplace_from,d_hz_device*G1207,0))</f>
        <v/>
      </c>
      <c r="AU1208" s="14">
        <f>F1208*AT1208*IF(B1208&gt;=in_marketplace_from,d_hz_device*G1208,0)*in_device_ticket*in_device_comm*in_ins_partner_share</f>
        <v/>
      </c>
      <c r="AV1208" s="40">
        <f>AV1207*(1-IF(B1207&gt;=in_marketplace_from,d_hz_shop*G1207,0))</f>
        <v/>
      </c>
      <c r="AW1208" s="46">
        <f>AV1208*IF(B1208&gt;=in_marketplace_from,d_hz_shop*G1208,0)</f>
        <v/>
      </c>
      <c r="AX1208" s="14">
        <f>F1208*AW1208*in_shop_ticket*in_shop_comm*in_ins_partner_share+F1208*in_shop_ticket*in_shop_renew_comm*in_ins_partner_share*(in_shop_renew^1*SUMIFS(AW1202:AW1236,B1202:B1236,B1208-12)+in_shop_renew^2*SUMIFS(AW1202:AW1236,B1202:B1236,B1208-24)+in_shop_renew^3*SUMIFS(AW1202:AW1236,B1202:B1236,B1208-36)+in_shop_renew^4*SUMIFS(AW1202:AW1236,B1202:B1236,B1208-48))</f>
        <v/>
      </c>
      <c r="AY1208" s="40">
        <f>AY1207*(1-IF(B1207&gt;=in_marketplace_from,d_hz_sip*G1207,0))</f>
        <v/>
      </c>
      <c r="AZ1208" s="40">
        <f>AZ1207*d_rho_sip+AY1208*IF(B1208&gt;=in_marketplace_from,d_hz_sip*G1208,0)</f>
        <v/>
      </c>
      <c r="BA1208" s="40">
        <f>d_rho_sip*(BA1207+AZ1207)</f>
        <v/>
      </c>
      <c r="BB1208" s="14">
        <f>F1208*in_sip_ticket*(BA1208+0.5*AZ1208)*in_sip_comm/12</f>
        <v/>
      </c>
      <c r="BC1208" s="40">
        <f>BC1207*(1-IF(B1207&gt;=in_marketplace_from,d_hz_choti*G1207,0))</f>
        <v/>
      </c>
      <c r="BD1208" s="46">
        <f>BC1208*IF(B1208&gt;=in_marketplace_from,d_hz_choti*G1208,0)</f>
        <v/>
      </c>
      <c r="BE1208" s="14">
        <f>F1208*SUMIFS(BD1202:BD1236,B1202:B1236,B1208-in_choti_months)*in_choti_renew*in_choti_ticket</f>
        <v/>
      </c>
      <c r="BF1208" s="40">
        <f>BF1207*(1-IF(B1207&gt;=in_marketplace_from,d_hz_nps*G1207,0))</f>
        <v/>
      </c>
      <c r="BG1208" s="14">
        <f>F1208*BF1208*IF(B1208&gt;=in_marketplace_from,d_hz_nps*G1208,0)*in_nps_ticket*in_nps_comm</f>
        <v/>
      </c>
      <c r="BH1208" s="40">
        <f>BH1207*(1-IF(B1207&gt;=in_marketplace_from,d_hz_gold*G1207,0))</f>
        <v/>
      </c>
      <c r="BI1208" s="40">
        <f>BI1207*d_rho_gold+BH1208*IF(B1208&gt;=in_marketplace_from,d_hz_gold*G1208,0)</f>
        <v/>
      </c>
      <c r="BJ1208" s="14">
        <f>F1208*BI1208*in_gold_ticket*in_gold_comm</f>
        <v/>
      </c>
      <c r="BK1208" s="40">
        <f>BK1207*(1-IF(B1207&gt;=in_marketplace_from,d_hz_fd*G1207,0))</f>
        <v/>
      </c>
      <c r="BL1208" s="14">
        <f>F1208*BK1208*IF(B1208&gt;=in_marketplace_from,d_hz_fd*G1208,0)*in_fd_ticket*in_fd_comm</f>
        <v/>
      </c>
      <c r="BM1208" s="40">
        <f>BM1207*(1-IF(B1207&gt;=in_marketplace_from,d_hz_recharge*G1207,0))</f>
        <v/>
      </c>
      <c r="BN1208" s="40">
        <f>BN1207*d_rho_recharge+BM1208*IF(B1208&gt;=in_marketplace_from,d_hz_recharge*G1208,0)</f>
        <v/>
      </c>
      <c r="BO1208" s="14">
        <f>F1208*BN1208*in_recharge_ticket*in_recharge_comm/12</f>
        <v/>
      </c>
      <c r="BP1208" s="40">
        <f>BP1207*(1-IF(B1207&gt;=in_marketplace_from,d_hz_bills*G1207,0))</f>
        <v/>
      </c>
      <c r="BQ1208" s="40">
        <f>BQ1207*d_rho_bills+BP1208*IF(B1208&gt;=in_marketplace_from,d_hz_bills*G1208,0)</f>
        <v/>
      </c>
      <c r="BR1208" s="14">
        <f>F1208*BQ1208*in_bills_ticket*in_bills_comm/12</f>
        <v/>
      </c>
      <c r="BS1208" s="40">
        <f>BS1207*(1-IF(B1207&gt;=in_marketplace_from,d_hz_loan_gold*G1207,0))</f>
        <v/>
      </c>
      <c r="BT1208" s="14">
        <f>F1208*BS1208*IF(B1208&gt;=in_marketplace_from,d_hz_loan_gold*G1208,0)*in_loan_gold_ticket*in_loan_gold_comm</f>
        <v/>
      </c>
      <c r="BU1208" s="40">
        <f>BU1207*(1-IF(B1207&gt;=in_marketplace_from,d_hz_loan_cd*G1207,0))</f>
        <v/>
      </c>
      <c r="BV1208" s="14">
        <f>F1208*BU1208*IF(B1208&gt;=in_marketplace_from,d_hz_loan_cd*G1208,0)*in_loan_cd_ticket*in_loan_cd_comm</f>
        <v/>
      </c>
      <c r="BW1208" s="40">
        <f>BW1207*(1-IF(B1207&gt;=in_marketplace_from,d_hz_loan_vehicle*G1207,0))</f>
        <v/>
      </c>
      <c r="BX1208" s="14">
        <f>F1208*BW1208*IF(B1208&gt;=in_marketplace_from,d_hz_loan_vehicle*G1208,0)*in_loan_vehicle_ticket*in_loan_vehicle_comm</f>
        <v/>
      </c>
      <c r="BY1208" s="40">
        <f>BY1207*(1-IF(B1207&gt;=in_marketplace_from,d_hz_loan_home*G1207,0)*BZ1207)</f>
        <v/>
      </c>
      <c r="BZ1208" s="11">
        <f>MIN(in_approval_cap,in_loan_home_approval*INDEX('Age profile'!$O$2:$O$61,B1208)*(1+in_approval_growth)^(D1208-1))</f>
        <v/>
      </c>
      <c r="CA1208" s="14">
        <f>F1208*BY1208*IF(B1208&gt;=in_marketplace_from,d_hz_loan_home*G1208,0)*BZ1208*in_loan_home_ticket*in_loan_home_comm</f>
        <v/>
      </c>
      <c r="CB1208" s="40">
        <f>CB1207*(1-IF(B1207&gt;=in_marketplace_from,d_hz_loan_lap*G1207,0)*CC1207)</f>
        <v/>
      </c>
      <c r="CC1208" s="11">
        <f>MIN(in_approval_cap,in_loan_lap_approval*INDEX('Age profile'!$O$2:$O$61,B1208)*(1+in_approval_growth)^(D1208-1))</f>
        <v/>
      </c>
      <c r="CD1208" s="14">
        <f>F1208*CB1208*IF(B1208&gt;=in_marketplace_from,d_hz_loan_lap*G1208,0)*CC1208*in_loan_lap_ticket*in_loan_lap_comm</f>
        <v/>
      </c>
      <c r="CE1208" s="14">
        <f>AA1208+AB1208+AC1208+AD1208+AG1208+AJ1208+AM1208+AP1208+AS1208+AU1208+AX1208+BB1208+BE1208+BG1208+BJ1208+BL1208+BO1208+BR1208+BT1208+BV1208+BX1208+CA1208+CD1208</f>
        <v/>
      </c>
    </row>
    <row r="1209">
      <c r="A1209" s="39" t="n">
        <v>26</v>
      </c>
      <c r="B1209" s="39" t="n">
        <v>8</v>
      </c>
      <c r="C1209" s="39">
        <f>A1209+B1209-1</f>
        <v/>
      </c>
      <c r="D1209" s="39">
        <f>INT((C1209-1)/12)+1</f>
        <v/>
      </c>
      <c r="E1209" s="44">
        <f>INDEX(Monthly!$B$2:$B$61,A1209)</f>
        <v/>
      </c>
      <c r="F1209" s="44">
        <f>E1209*INDEX('Age profile'!$B$2:$B$61,B1209)</f>
        <v/>
      </c>
      <c r="G1209" s="45">
        <f>MIN(in_takeup_cap,INDEX('Age profile'!$N$2:$N$61,B1209)*(1+in_takeup_growth)^(D1209-1))</f>
        <v/>
      </c>
      <c r="H1209" s="11">
        <f>MIN(in_approval_cap,in_approved_first*INDEX('Age profile'!$O$2:$O$61,B1209)*(1+in_approval_growth)^(D1209-1))</f>
        <v/>
      </c>
      <c r="I1209" s="45">
        <f>G1209*MIN(in_takeup_cap,INDEX('Age profile'!$O$2:$O$61,B1209)*(1+in_approval_growth)^(D1209-1))</f>
        <v/>
      </c>
      <c r="J1209" s="40">
        <f>(J1208-L1208)*F1209/F1208</f>
        <v/>
      </c>
      <c r="K1209" s="40">
        <f>(K1208-M1208)*F1209/F1208+SUMIFS(O1202:O1208,B1202:B1208,B1209-1-d_T)*F1209</f>
        <v/>
      </c>
      <c r="L1209" s="40">
        <f>IF(B1209&gt;=in_marketplace_from,J1209*d_hz*G1209*in_eligible*H1209,0)</f>
        <v/>
      </c>
      <c r="M1209" s="40">
        <f>IF(B1209&gt;=in_marketplace_from,K1209*d_hz*G1209*in_eligible*in_approved_repeat,0)</f>
        <v/>
      </c>
      <c r="N1209" s="40">
        <f>L1209+M1209</f>
        <v/>
      </c>
      <c r="O1209" s="46">
        <f>N1209/F1209</f>
        <v/>
      </c>
      <c r="P1209" s="40">
        <f>F1209-J1209-K1209</f>
        <v/>
      </c>
      <c r="Q1209" s="40">
        <f>IF(B1209&gt;=in_marketplace_from,(J1209+K1209)*d_hz*G1209,0)</f>
        <v/>
      </c>
      <c r="R1209" s="40">
        <f>SUMIFS(N1202:N1236,B1202:B1236,"&gt;="&amp;(B1209-d_T),B1202:B1236,"&lt;="&amp;(B1209-1))</f>
        <v/>
      </c>
      <c r="S1209" s="46">
        <f>(1-d_u)*S1208+IF(d_T&gt;in_topup_lag,SUMIFS(O1202:O1236,B1202:B1236,B1209-in_topup_lag)-d_udrop*SUMIFS(O1202:O1236,B1202:B1236,B1209-d_T),0)</f>
        <v/>
      </c>
      <c r="T1209" s="40">
        <f>F1209*d_u*S1209</f>
        <v/>
      </c>
      <c r="U1209" s="9">
        <f>L1209*in_ticket+M1209*d_rep_ticket</f>
        <v/>
      </c>
      <c r="V1209" s="9">
        <f>U1209+T1209*d_topup_amt</f>
        <v/>
      </c>
      <c r="W1209" s="40">
        <f>N1209+T1209*d_topup_ratio</f>
        <v/>
      </c>
      <c r="X1209" s="40">
        <f>SUMIFS(W1202:W1236,B1202:B1236,B1209-in_dpd_lag)*d_cured</f>
        <v/>
      </c>
      <c r="Y1209" s="40">
        <f>SUMIFS(W1202:W1236,B1202:B1236,B1209-in_rec_lag)*d_recd</f>
        <v/>
      </c>
      <c r="Z1209" s="40">
        <f>IF(AND(B1209&gt;=in_marketplace_from,B1209&lt;in_marketplace_from+in_card_months),in_card_share/in_card_months*F1209*I1209,IF(AND(B1209&gt;=in_marketplace_from+in_card_months,B1209&lt;in_marketplace_from+2*in_card_months),in_card_share*d_card_rem/in_card_months*F1209*MIN(in_takeup_cap,(1+in_takeup_growth)^(D1209-1))*MIN(in_takeup_cap,(1+in_approval_growth)^(D1209-1)),0))</f>
        <v/>
      </c>
      <c r="AA1209" s="14">
        <f>V1209*in_fee*(1-in_taken_back)</f>
        <v/>
      </c>
      <c r="AB1209" s="14">
        <f>SUMIFS(W1202:W1236,B1202:B1236,B1209-in_dpd_lag)*d_dpd</f>
        <v/>
      </c>
      <c r="AC1209" s="14">
        <f>SUMIFS(W1202:W1236,B1202:B1236,B1209-in_rec_lag)*d_rec</f>
        <v/>
      </c>
      <c r="AD1209" s="14">
        <f>Z1209*in_card_fee</f>
        <v/>
      </c>
      <c r="AE1209" s="40">
        <f>AE1208*(1-IF(B1208&gt;=in_marketplace_from,d_hz_hlth_small*G1208,0))</f>
        <v/>
      </c>
      <c r="AF1209" s="46">
        <f>AE1209*IF(B1209&gt;=in_marketplace_from,d_hz_hlth_small*G1209,0)</f>
        <v/>
      </c>
      <c r="AG1209" s="14">
        <f>F1209*AF1209*in_hlth_small_ticket*in_hlth_small_comm*in_ins_partner_share+F1209*in_hlth_small_ticket*in_hlth_small_renew_comm*in_ins_partner_share*(in_hlth_small_renew^1*SUMIFS(AF1202:AF1236,B1202:B1236,B1209-12)+in_hlth_small_renew^2*SUMIFS(AF1202:AF1236,B1202:B1236,B1209-24)+in_hlth_small_renew^3*SUMIFS(AF1202:AF1236,B1202:B1236,B1209-36)+in_hlth_small_renew^4*SUMIFS(AF1202:AF1236,B1202:B1236,B1209-48))</f>
        <v/>
      </c>
      <c r="AH1209" s="40">
        <f>AH1208*(1-IF(B1208&gt;=in_marketplace_from,d_hz_hlth_family*G1208,0))</f>
        <v/>
      </c>
      <c r="AI1209" s="46">
        <f>AH1209*IF(B1209&gt;=in_marketplace_from,d_hz_hlth_family*G1209,0)</f>
        <v/>
      </c>
      <c r="AJ1209" s="14">
        <f>F1209*AI1209*in_hlth_family_ticket*in_hlth_family_comm*in_ins_partner_share+F1209*in_hlth_family_ticket*in_hlth_family_renew_comm*in_ins_partner_share*(in_hlth_family_renew^1*SUMIFS(AI1202:AI1236,B1202:B1236,B1209-12)+in_hlth_family_renew^2*SUMIFS(AI1202:AI1236,B1202:B1236,B1209-24)+in_hlth_family_renew^3*SUMIFS(AI1202:AI1236,B1202:B1236,B1209-36)+in_hlth_family_renew^4*SUMIFS(AI1202:AI1236,B1202:B1236,B1209-48))</f>
        <v/>
      </c>
      <c r="AK1209" s="40">
        <f>AK1208*(1-IF(B1208&gt;=in_marketplace_from,d_hz_life_term*G1208,0))</f>
        <v/>
      </c>
      <c r="AL1209" s="46">
        <f>AK1209*IF(B1209&gt;=in_marketplace_from,d_hz_life_term*G1209,0)</f>
        <v/>
      </c>
      <c r="AM1209" s="14">
        <f>F1209*AL1209*in_life_term_ticket*in_life_term_comm*in_ins_partner_share+F1209*in_life_term_ticket*in_life_term_renew_comm*in_ins_partner_share*(in_life_term_renew^1*SUMIFS(AL1202:AL1236,B1202:B1236,B1209-12)+in_life_term_renew^2*SUMIFS(AL1202:AL1236,B1202:B1236,B1209-24)+in_life_term_renew^3*SUMIFS(AL1202:AL1236,B1202:B1236,B1209-36)+in_life_term_renew^4*SUMIFS(AL1202:AL1236,B1202:B1236,B1209-48))</f>
        <v/>
      </c>
      <c r="AN1209" s="40">
        <f>AN1208*(1-IF(B1208&gt;=in_marketplace_from,d_hz_accident*G1208,0))</f>
        <v/>
      </c>
      <c r="AO1209" s="46">
        <f>AN1209*IF(B1209&gt;=in_marketplace_from,d_hz_accident*G1209,0)</f>
        <v/>
      </c>
      <c r="AP1209" s="14">
        <f>F1209*AO1209*in_accident_ticket*in_accident_comm*in_ins_partner_share+F1209*in_accident_ticket*in_accident_renew_comm*in_ins_partner_share*(in_accident_renew^1*SUMIFS(AO1202:AO1236,B1202:B1236,B1209-12)+in_accident_renew^2*SUMIFS(AO1202:AO1236,B1202:B1236,B1209-24)+in_accident_renew^3*SUMIFS(AO1202:AO1236,B1202:B1236,B1209-36)+in_accident_renew^4*SUMIFS(AO1202:AO1236,B1202:B1236,B1209-48))</f>
        <v/>
      </c>
      <c r="AQ1209" s="40">
        <f>AQ1208*(1-IF(B1208&gt;=in_marketplace_from,d_hz_two_wheeler*G1208,0))</f>
        <v/>
      </c>
      <c r="AR1209" s="46">
        <f>AQ1209*IF(B1209&gt;=in_marketplace_from,d_hz_two_wheeler*G1209,0)</f>
        <v/>
      </c>
      <c r="AS1209" s="14">
        <f>F1209*AR1209*in_two_wheeler_ticket*in_two_wheeler_comm*in_ins_partner_share+F1209*in_two_wheeler_ticket*in_two_wheeler_comm*in_ins_partner_share*(in_two_wheeler_renew^1*SUMIFS(AR1202:AR1236,B1202:B1236,B1209-12)+in_two_wheeler_renew^2*SUMIFS(AR1202:AR1236,B1202:B1236,B1209-24)+in_two_wheeler_renew^3*SUMIFS(AR1202:AR1236,B1202:B1236,B1209-36)+in_two_wheeler_renew^4*SUMIFS(AR1202:AR1236,B1202:B1236,B1209-48))</f>
        <v/>
      </c>
      <c r="AT1209" s="40">
        <f>AT1208*(1-IF(B1208&gt;=in_marketplace_from,d_hz_device*G1208,0))</f>
        <v/>
      </c>
      <c r="AU1209" s="14">
        <f>F1209*AT1209*IF(B1209&gt;=in_marketplace_from,d_hz_device*G1209,0)*in_device_ticket*in_device_comm*in_ins_partner_share</f>
        <v/>
      </c>
      <c r="AV1209" s="40">
        <f>AV1208*(1-IF(B1208&gt;=in_marketplace_from,d_hz_shop*G1208,0))</f>
        <v/>
      </c>
      <c r="AW1209" s="46">
        <f>AV1209*IF(B1209&gt;=in_marketplace_from,d_hz_shop*G1209,0)</f>
        <v/>
      </c>
      <c r="AX1209" s="14">
        <f>F1209*AW1209*in_shop_ticket*in_shop_comm*in_ins_partner_share+F1209*in_shop_ticket*in_shop_renew_comm*in_ins_partner_share*(in_shop_renew^1*SUMIFS(AW1202:AW1236,B1202:B1236,B1209-12)+in_shop_renew^2*SUMIFS(AW1202:AW1236,B1202:B1236,B1209-24)+in_shop_renew^3*SUMIFS(AW1202:AW1236,B1202:B1236,B1209-36)+in_shop_renew^4*SUMIFS(AW1202:AW1236,B1202:B1236,B1209-48))</f>
        <v/>
      </c>
      <c r="AY1209" s="40">
        <f>AY1208*(1-IF(B1208&gt;=in_marketplace_from,d_hz_sip*G1208,0))</f>
        <v/>
      </c>
      <c r="AZ1209" s="40">
        <f>AZ1208*d_rho_sip+AY1209*IF(B1209&gt;=in_marketplace_from,d_hz_sip*G1209,0)</f>
        <v/>
      </c>
      <c r="BA1209" s="40">
        <f>d_rho_sip*(BA1208+AZ1208)</f>
        <v/>
      </c>
      <c r="BB1209" s="14">
        <f>F1209*in_sip_ticket*(BA1209+0.5*AZ1209)*in_sip_comm/12</f>
        <v/>
      </c>
      <c r="BC1209" s="40">
        <f>BC1208*(1-IF(B1208&gt;=in_marketplace_from,d_hz_choti*G1208,0))</f>
        <v/>
      </c>
      <c r="BD1209" s="46">
        <f>BC1209*IF(B1209&gt;=in_marketplace_from,d_hz_choti*G1209,0)</f>
        <v/>
      </c>
      <c r="BE1209" s="14">
        <f>F1209*SUMIFS(BD1202:BD1236,B1202:B1236,B1209-in_choti_months)*in_choti_renew*in_choti_ticket</f>
        <v/>
      </c>
      <c r="BF1209" s="40">
        <f>BF1208*(1-IF(B1208&gt;=in_marketplace_from,d_hz_nps*G1208,0))</f>
        <v/>
      </c>
      <c r="BG1209" s="14">
        <f>F1209*BF1209*IF(B1209&gt;=in_marketplace_from,d_hz_nps*G1209,0)*in_nps_ticket*in_nps_comm</f>
        <v/>
      </c>
      <c r="BH1209" s="40">
        <f>BH1208*(1-IF(B1208&gt;=in_marketplace_from,d_hz_gold*G1208,0))</f>
        <v/>
      </c>
      <c r="BI1209" s="40">
        <f>BI1208*d_rho_gold+BH1209*IF(B1209&gt;=in_marketplace_from,d_hz_gold*G1209,0)</f>
        <v/>
      </c>
      <c r="BJ1209" s="14">
        <f>F1209*BI1209*in_gold_ticket*in_gold_comm</f>
        <v/>
      </c>
      <c r="BK1209" s="40">
        <f>BK1208*(1-IF(B1208&gt;=in_marketplace_from,d_hz_fd*G1208,0))</f>
        <v/>
      </c>
      <c r="BL1209" s="14">
        <f>F1209*BK1209*IF(B1209&gt;=in_marketplace_from,d_hz_fd*G1209,0)*in_fd_ticket*in_fd_comm</f>
        <v/>
      </c>
      <c r="BM1209" s="40">
        <f>BM1208*(1-IF(B1208&gt;=in_marketplace_from,d_hz_recharge*G1208,0))</f>
        <v/>
      </c>
      <c r="BN1209" s="40">
        <f>BN1208*d_rho_recharge+BM1209*IF(B1209&gt;=in_marketplace_from,d_hz_recharge*G1209,0)</f>
        <v/>
      </c>
      <c r="BO1209" s="14">
        <f>F1209*BN1209*in_recharge_ticket*in_recharge_comm/12</f>
        <v/>
      </c>
      <c r="BP1209" s="40">
        <f>BP1208*(1-IF(B1208&gt;=in_marketplace_from,d_hz_bills*G1208,0))</f>
        <v/>
      </c>
      <c r="BQ1209" s="40">
        <f>BQ1208*d_rho_bills+BP1209*IF(B1209&gt;=in_marketplace_from,d_hz_bills*G1209,0)</f>
        <v/>
      </c>
      <c r="BR1209" s="14">
        <f>F1209*BQ1209*in_bills_ticket*in_bills_comm/12</f>
        <v/>
      </c>
      <c r="BS1209" s="40">
        <f>BS1208*(1-IF(B1208&gt;=in_marketplace_from,d_hz_loan_gold*G1208,0))</f>
        <v/>
      </c>
      <c r="BT1209" s="14">
        <f>F1209*BS1209*IF(B1209&gt;=in_marketplace_from,d_hz_loan_gold*G1209,0)*in_loan_gold_ticket*in_loan_gold_comm</f>
        <v/>
      </c>
      <c r="BU1209" s="40">
        <f>BU1208*(1-IF(B1208&gt;=in_marketplace_from,d_hz_loan_cd*G1208,0))</f>
        <v/>
      </c>
      <c r="BV1209" s="14">
        <f>F1209*BU1209*IF(B1209&gt;=in_marketplace_from,d_hz_loan_cd*G1209,0)*in_loan_cd_ticket*in_loan_cd_comm</f>
        <v/>
      </c>
      <c r="BW1209" s="40">
        <f>BW1208*(1-IF(B1208&gt;=in_marketplace_from,d_hz_loan_vehicle*G1208,0))</f>
        <v/>
      </c>
      <c r="BX1209" s="14">
        <f>F1209*BW1209*IF(B1209&gt;=in_marketplace_from,d_hz_loan_vehicle*G1209,0)*in_loan_vehicle_ticket*in_loan_vehicle_comm</f>
        <v/>
      </c>
      <c r="BY1209" s="40">
        <f>BY1208*(1-IF(B1208&gt;=in_marketplace_from,d_hz_loan_home*G1208,0)*BZ1208)</f>
        <v/>
      </c>
      <c r="BZ1209" s="11">
        <f>MIN(in_approval_cap,in_loan_home_approval*INDEX('Age profile'!$O$2:$O$61,B1209)*(1+in_approval_growth)^(D1209-1))</f>
        <v/>
      </c>
      <c r="CA1209" s="14">
        <f>F1209*BY1209*IF(B1209&gt;=in_marketplace_from,d_hz_loan_home*G1209,0)*BZ1209*in_loan_home_ticket*in_loan_home_comm</f>
        <v/>
      </c>
      <c r="CB1209" s="40">
        <f>CB1208*(1-IF(B1208&gt;=in_marketplace_from,d_hz_loan_lap*G1208,0)*CC1208)</f>
        <v/>
      </c>
      <c r="CC1209" s="11">
        <f>MIN(in_approval_cap,in_loan_lap_approval*INDEX('Age profile'!$O$2:$O$61,B1209)*(1+in_approval_growth)^(D1209-1))</f>
        <v/>
      </c>
      <c r="CD1209" s="14">
        <f>F1209*CB1209*IF(B1209&gt;=in_marketplace_from,d_hz_loan_lap*G1209,0)*CC1209*in_loan_lap_ticket*in_loan_lap_comm</f>
        <v/>
      </c>
      <c r="CE1209" s="14">
        <f>AA1209+AB1209+AC1209+AD1209+AG1209+AJ1209+AM1209+AP1209+AS1209+AU1209+AX1209+BB1209+BE1209+BG1209+BJ1209+BL1209+BO1209+BR1209+BT1209+BV1209+BX1209+CA1209+CD1209</f>
        <v/>
      </c>
    </row>
    <row r="1210">
      <c r="A1210" s="39" t="n">
        <v>26</v>
      </c>
      <c r="B1210" s="39" t="n">
        <v>9</v>
      </c>
      <c r="C1210" s="39">
        <f>A1210+B1210-1</f>
        <v/>
      </c>
      <c r="D1210" s="39">
        <f>INT((C1210-1)/12)+1</f>
        <v/>
      </c>
      <c r="E1210" s="44">
        <f>INDEX(Monthly!$B$2:$B$61,A1210)</f>
        <v/>
      </c>
      <c r="F1210" s="44">
        <f>E1210*INDEX('Age profile'!$B$2:$B$61,B1210)</f>
        <v/>
      </c>
      <c r="G1210" s="45">
        <f>MIN(in_takeup_cap,INDEX('Age profile'!$N$2:$N$61,B1210)*(1+in_takeup_growth)^(D1210-1))</f>
        <v/>
      </c>
      <c r="H1210" s="11">
        <f>MIN(in_approval_cap,in_approved_first*INDEX('Age profile'!$O$2:$O$61,B1210)*(1+in_approval_growth)^(D1210-1))</f>
        <v/>
      </c>
      <c r="I1210" s="45">
        <f>G1210*MIN(in_takeup_cap,INDEX('Age profile'!$O$2:$O$61,B1210)*(1+in_approval_growth)^(D1210-1))</f>
        <v/>
      </c>
      <c r="J1210" s="40">
        <f>(J1209-L1209)*F1210/F1209</f>
        <v/>
      </c>
      <c r="K1210" s="40">
        <f>(K1209-M1209)*F1210/F1209+SUMIFS(O1202:O1209,B1202:B1209,B1210-1-d_T)*F1210</f>
        <v/>
      </c>
      <c r="L1210" s="40">
        <f>IF(B1210&gt;=in_marketplace_from,J1210*d_hz*G1210*in_eligible*H1210,0)</f>
        <v/>
      </c>
      <c r="M1210" s="40">
        <f>IF(B1210&gt;=in_marketplace_from,K1210*d_hz*G1210*in_eligible*in_approved_repeat,0)</f>
        <v/>
      </c>
      <c r="N1210" s="40">
        <f>L1210+M1210</f>
        <v/>
      </c>
      <c r="O1210" s="46">
        <f>N1210/F1210</f>
        <v/>
      </c>
      <c r="P1210" s="40">
        <f>F1210-J1210-K1210</f>
        <v/>
      </c>
      <c r="Q1210" s="40">
        <f>IF(B1210&gt;=in_marketplace_from,(J1210+K1210)*d_hz*G1210,0)</f>
        <v/>
      </c>
      <c r="R1210" s="40">
        <f>SUMIFS(N1202:N1236,B1202:B1236,"&gt;="&amp;(B1210-d_T),B1202:B1236,"&lt;="&amp;(B1210-1))</f>
        <v/>
      </c>
      <c r="S1210" s="46">
        <f>(1-d_u)*S1209+IF(d_T&gt;in_topup_lag,SUMIFS(O1202:O1236,B1202:B1236,B1210-in_topup_lag)-d_udrop*SUMIFS(O1202:O1236,B1202:B1236,B1210-d_T),0)</f>
        <v/>
      </c>
      <c r="T1210" s="40">
        <f>F1210*d_u*S1210</f>
        <v/>
      </c>
      <c r="U1210" s="9">
        <f>L1210*in_ticket+M1210*d_rep_ticket</f>
        <v/>
      </c>
      <c r="V1210" s="9">
        <f>U1210+T1210*d_topup_amt</f>
        <v/>
      </c>
      <c r="W1210" s="40">
        <f>N1210+T1210*d_topup_ratio</f>
        <v/>
      </c>
      <c r="X1210" s="40">
        <f>SUMIFS(W1202:W1236,B1202:B1236,B1210-in_dpd_lag)*d_cured</f>
        <v/>
      </c>
      <c r="Y1210" s="40">
        <f>SUMIFS(W1202:W1236,B1202:B1236,B1210-in_rec_lag)*d_recd</f>
        <v/>
      </c>
      <c r="Z1210" s="40">
        <f>IF(AND(B1210&gt;=in_marketplace_from,B1210&lt;in_marketplace_from+in_card_months),in_card_share/in_card_months*F1210*I1210,IF(AND(B1210&gt;=in_marketplace_from+in_card_months,B1210&lt;in_marketplace_from+2*in_card_months),in_card_share*d_card_rem/in_card_months*F1210*MIN(in_takeup_cap,(1+in_takeup_growth)^(D1210-1))*MIN(in_takeup_cap,(1+in_approval_growth)^(D1210-1)),0))</f>
        <v/>
      </c>
      <c r="AA1210" s="14">
        <f>V1210*in_fee*(1-in_taken_back)</f>
        <v/>
      </c>
      <c r="AB1210" s="14">
        <f>SUMIFS(W1202:W1236,B1202:B1236,B1210-in_dpd_lag)*d_dpd</f>
        <v/>
      </c>
      <c r="AC1210" s="14">
        <f>SUMIFS(W1202:W1236,B1202:B1236,B1210-in_rec_lag)*d_rec</f>
        <v/>
      </c>
      <c r="AD1210" s="14">
        <f>Z1210*in_card_fee</f>
        <v/>
      </c>
      <c r="AE1210" s="40">
        <f>AE1209*(1-IF(B1209&gt;=in_marketplace_from,d_hz_hlth_small*G1209,0))</f>
        <v/>
      </c>
      <c r="AF1210" s="46">
        <f>AE1210*IF(B1210&gt;=in_marketplace_from,d_hz_hlth_small*G1210,0)</f>
        <v/>
      </c>
      <c r="AG1210" s="14">
        <f>F1210*AF1210*in_hlth_small_ticket*in_hlth_small_comm*in_ins_partner_share+F1210*in_hlth_small_ticket*in_hlth_small_renew_comm*in_ins_partner_share*(in_hlth_small_renew^1*SUMIFS(AF1202:AF1236,B1202:B1236,B1210-12)+in_hlth_small_renew^2*SUMIFS(AF1202:AF1236,B1202:B1236,B1210-24)+in_hlth_small_renew^3*SUMIFS(AF1202:AF1236,B1202:B1236,B1210-36)+in_hlth_small_renew^4*SUMIFS(AF1202:AF1236,B1202:B1236,B1210-48))</f>
        <v/>
      </c>
      <c r="AH1210" s="40">
        <f>AH1209*(1-IF(B1209&gt;=in_marketplace_from,d_hz_hlth_family*G1209,0))</f>
        <v/>
      </c>
      <c r="AI1210" s="46">
        <f>AH1210*IF(B1210&gt;=in_marketplace_from,d_hz_hlth_family*G1210,0)</f>
        <v/>
      </c>
      <c r="AJ1210" s="14">
        <f>F1210*AI1210*in_hlth_family_ticket*in_hlth_family_comm*in_ins_partner_share+F1210*in_hlth_family_ticket*in_hlth_family_renew_comm*in_ins_partner_share*(in_hlth_family_renew^1*SUMIFS(AI1202:AI1236,B1202:B1236,B1210-12)+in_hlth_family_renew^2*SUMIFS(AI1202:AI1236,B1202:B1236,B1210-24)+in_hlth_family_renew^3*SUMIFS(AI1202:AI1236,B1202:B1236,B1210-36)+in_hlth_family_renew^4*SUMIFS(AI1202:AI1236,B1202:B1236,B1210-48))</f>
        <v/>
      </c>
      <c r="AK1210" s="40">
        <f>AK1209*(1-IF(B1209&gt;=in_marketplace_from,d_hz_life_term*G1209,0))</f>
        <v/>
      </c>
      <c r="AL1210" s="46">
        <f>AK1210*IF(B1210&gt;=in_marketplace_from,d_hz_life_term*G1210,0)</f>
        <v/>
      </c>
      <c r="AM1210" s="14">
        <f>F1210*AL1210*in_life_term_ticket*in_life_term_comm*in_ins_partner_share+F1210*in_life_term_ticket*in_life_term_renew_comm*in_ins_partner_share*(in_life_term_renew^1*SUMIFS(AL1202:AL1236,B1202:B1236,B1210-12)+in_life_term_renew^2*SUMIFS(AL1202:AL1236,B1202:B1236,B1210-24)+in_life_term_renew^3*SUMIFS(AL1202:AL1236,B1202:B1236,B1210-36)+in_life_term_renew^4*SUMIFS(AL1202:AL1236,B1202:B1236,B1210-48))</f>
        <v/>
      </c>
      <c r="AN1210" s="40">
        <f>AN1209*(1-IF(B1209&gt;=in_marketplace_from,d_hz_accident*G1209,0))</f>
        <v/>
      </c>
      <c r="AO1210" s="46">
        <f>AN1210*IF(B1210&gt;=in_marketplace_from,d_hz_accident*G1210,0)</f>
        <v/>
      </c>
      <c r="AP1210" s="14">
        <f>F1210*AO1210*in_accident_ticket*in_accident_comm*in_ins_partner_share+F1210*in_accident_ticket*in_accident_renew_comm*in_ins_partner_share*(in_accident_renew^1*SUMIFS(AO1202:AO1236,B1202:B1236,B1210-12)+in_accident_renew^2*SUMIFS(AO1202:AO1236,B1202:B1236,B1210-24)+in_accident_renew^3*SUMIFS(AO1202:AO1236,B1202:B1236,B1210-36)+in_accident_renew^4*SUMIFS(AO1202:AO1236,B1202:B1236,B1210-48))</f>
        <v/>
      </c>
      <c r="AQ1210" s="40">
        <f>AQ1209*(1-IF(B1209&gt;=in_marketplace_from,d_hz_two_wheeler*G1209,0))</f>
        <v/>
      </c>
      <c r="AR1210" s="46">
        <f>AQ1210*IF(B1210&gt;=in_marketplace_from,d_hz_two_wheeler*G1210,0)</f>
        <v/>
      </c>
      <c r="AS1210" s="14">
        <f>F1210*AR1210*in_two_wheeler_ticket*in_two_wheeler_comm*in_ins_partner_share+F1210*in_two_wheeler_ticket*in_two_wheeler_comm*in_ins_partner_share*(in_two_wheeler_renew^1*SUMIFS(AR1202:AR1236,B1202:B1236,B1210-12)+in_two_wheeler_renew^2*SUMIFS(AR1202:AR1236,B1202:B1236,B1210-24)+in_two_wheeler_renew^3*SUMIFS(AR1202:AR1236,B1202:B1236,B1210-36)+in_two_wheeler_renew^4*SUMIFS(AR1202:AR1236,B1202:B1236,B1210-48))</f>
        <v/>
      </c>
      <c r="AT1210" s="40">
        <f>AT1209*(1-IF(B1209&gt;=in_marketplace_from,d_hz_device*G1209,0))</f>
        <v/>
      </c>
      <c r="AU1210" s="14">
        <f>F1210*AT1210*IF(B1210&gt;=in_marketplace_from,d_hz_device*G1210,0)*in_device_ticket*in_device_comm*in_ins_partner_share</f>
        <v/>
      </c>
      <c r="AV1210" s="40">
        <f>AV1209*(1-IF(B1209&gt;=in_marketplace_from,d_hz_shop*G1209,0))</f>
        <v/>
      </c>
      <c r="AW1210" s="46">
        <f>AV1210*IF(B1210&gt;=in_marketplace_from,d_hz_shop*G1210,0)</f>
        <v/>
      </c>
      <c r="AX1210" s="14">
        <f>F1210*AW1210*in_shop_ticket*in_shop_comm*in_ins_partner_share+F1210*in_shop_ticket*in_shop_renew_comm*in_ins_partner_share*(in_shop_renew^1*SUMIFS(AW1202:AW1236,B1202:B1236,B1210-12)+in_shop_renew^2*SUMIFS(AW1202:AW1236,B1202:B1236,B1210-24)+in_shop_renew^3*SUMIFS(AW1202:AW1236,B1202:B1236,B1210-36)+in_shop_renew^4*SUMIFS(AW1202:AW1236,B1202:B1236,B1210-48))</f>
        <v/>
      </c>
      <c r="AY1210" s="40">
        <f>AY1209*(1-IF(B1209&gt;=in_marketplace_from,d_hz_sip*G1209,0))</f>
        <v/>
      </c>
      <c r="AZ1210" s="40">
        <f>AZ1209*d_rho_sip+AY1210*IF(B1210&gt;=in_marketplace_from,d_hz_sip*G1210,0)</f>
        <v/>
      </c>
      <c r="BA1210" s="40">
        <f>d_rho_sip*(BA1209+AZ1209)</f>
        <v/>
      </c>
      <c r="BB1210" s="14">
        <f>F1210*in_sip_ticket*(BA1210+0.5*AZ1210)*in_sip_comm/12</f>
        <v/>
      </c>
      <c r="BC1210" s="40">
        <f>BC1209*(1-IF(B1209&gt;=in_marketplace_from,d_hz_choti*G1209,0))</f>
        <v/>
      </c>
      <c r="BD1210" s="46">
        <f>BC1210*IF(B1210&gt;=in_marketplace_from,d_hz_choti*G1210,0)</f>
        <v/>
      </c>
      <c r="BE1210" s="14">
        <f>F1210*SUMIFS(BD1202:BD1236,B1202:B1236,B1210-in_choti_months)*in_choti_renew*in_choti_ticket</f>
        <v/>
      </c>
      <c r="BF1210" s="40">
        <f>BF1209*(1-IF(B1209&gt;=in_marketplace_from,d_hz_nps*G1209,0))</f>
        <v/>
      </c>
      <c r="BG1210" s="14">
        <f>F1210*BF1210*IF(B1210&gt;=in_marketplace_from,d_hz_nps*G1210,0)*in_nps_ticket*in_nps_comm</f>
        <v/>
      </c>
      <c r="BH1210" s="40">
        <f>BH1209*(1-IF(B1209&gt;=in_marketplace_from,d_hz_gold*G1209,0))</f>
        <v/>
      </c>
      <c r="BI1210" s="40">
        <f>BI1209*d_rho_gold+BH1210*IF(B1210&gt;=in_marketplace_from,d_hz_gold*G1210,0)</f>
        <v/>
      </c>
      <c r="BJ1210" s="14">
        <f>F1210*BI1210*in_gold_ticket*in_gold_comm</f>
        <v/>
      </c>
      <c r="BK1210" s="40">
        <f>BK1209*(1-IF(B1209&gt;=in_marketplace_from,d_hz_fd*G1209,0))</f>
        <v/>
      </c>
      <c r="BL1210" s="14">
        <f>F1210*BK1210*IF(B1210&gt;=in_marketplace_from,d_hz_fd*G1210,0)*in_fd_ticket*in_fd_comm</f>
        <v/>
      </c>
      <c r="BM1210" s="40">
        <f>BM1209*(1-IF(B1209&gt;=in_marketplace_from,d_hz_recharge*G1209,0))</f>
        <v/>
      </c>
      <c r="BN1210" s="40">
        <f>BN1209*d_rho_recharge+BM1210*IF(B1210&gt;=in_marketplace_from,d_hz_recharge*G1210,0)</f>
        <v/>
      </c>
      <c r="BO1210" s="14">
        <f>F1210*BN1210*in_recharge_ticket*in_recharge_comm/12</f>
        <v/>
      </c>
      <c r="BP1210" s="40">
        <f>BP1209*(1-IF(B1209&gt;=in_marketplace_from,d_hz_bills*G1209,0))</f>
        <v/>
      </c>
      <c r="BQ1210" s="40">
        <f>BQ1209*d_rho_bills+BP1210*IF(B1210&gt;=in_marketplace_from,d_hz_bills*G1210,0)</f>
        <v/>
      </c>
      <c r="BR1210" s="14">
        <f>F1210*BQ1210*in_bills_ticket*in_bills_comm/12</f>
        <v/>
      </c>
      <c r="BS1210" s="40">
        <f>BS1209*(1-IF(B1209&gt;=in_marketplace_from,d_hz_loan_gold*G1209,0))</f>
        <v/>
      </c>
      <c r="BT1210" s="14">
        <f>F1210*BS1210*IF(B1210&gt;=in_marketplace_from,d_hz_loan_gold*G1210,0)*in_loan_gold_ticket*in_loan_gold_comm</f>
        <v/>
      </c>
      <c r="BU1210" s="40">
        <f>BU1209*(1-IF(B1209&gt;=in_marketplace_from,d_hz_loan_cd*G1209,0))</f>
        <v/>
      </c>
      <c r="BV1210" s="14">
        <f>F1210*BU1210*IF(B1210&gt;=in_marketplace_from,d_hz_loan_cd*G1210,0)*in_loan_cd_ticket*in_loan_cd_comm</f>
        <v/>
      </c>
      <c r="BW1210" s="40">
        <f>BW1209*(1-IF(B1209&gt;=in_marketplace_from,d_hz_loan_vehicle*G1209,0))</f>
        <v/>
      </c>
      <c r="BX1210" s="14">
        <f>F1210*BW1210*IF(B1210&gt;=in_marketplace_from,d_hz_loan_vehicle*G1210,0)*in_loan_vehicle_ticket*in_loan_vehicle_comm</f>
        <v/>
      </c>
      <c r="BY1210" s="40">
        <f>BY1209*(1-IF(B1209&gt;=in_marketplace_from,d_hz_loan_home*G1209,0)*BZ1209)</f>
        <v/>
      </c>
      <c r="BZ1210" s="11">
        <f>MIN(in_approval_cap,in_loan_home_approval*INDEX('Age profile'!$O$2:$O$61,B1210)*(1+in_approval_growth)^(D1210-1))</f>
        <v/>
      </c>
      <c r="CA1210" s="14">
        <f>F1210*BY1210*IF(B1210&gt;=in_marketplace_from,d_hz_loan_home*G1210,0)*BZ1210*in_loan_home_ticket*in_loan_home_comm</f>
        <v/>
      </c>
      <c r="CB1210" s="40">
        <f>CB1209*(1-IF(B1209&gt;=in_marketplace_from,d_hz_loan_lap*G1209,0)*CC1209)</f>
        <v/>
      </c>
      <c r="CC1210" s="11">
        <f>MIN(in_approval_cap,in_loan_lap_approval*INDEX('Age profile'!$O$2:$O$61,B1210)*(1+in_approval_growth)^(D1210-1))</f>
        <v/>
      </c>
      <c r="CD1210" s="14">
        <f>F1210*CB1210*IF(B1210&gt;=in_marketplace_from,d_hz_loan_lap*G1210,0)*CC1210*in_loan_lap_ticket*in_loan_lap_comm</f>
        <v/>
      </c>
      <c r="CE1210" s="14">
        <f>AA1210+AB1210+AC1210+AD1210+AG1210+AJ1210+AM1210+AP1210+AS1210+AU1210+AX1210+BB1210+BE1210+BG1210+BJ1210+BL1210+BO1210+BR1210+BT1210+BV1210+BX1210+CA1210+CD1210</f>
        <v/>
      </c>
    </row>
    <row r="1211">
      <c r="A1211" s="39" t="n">
        <v>26</v>
      </c>
      <c r="B1211" s="39" t="n">
        <v>10</v>
      </c>
      <c r="C1211" s="39">
        <f>A1211+B1211-1</f>
        <v/>
      </c>
      <c r="D1211" s="39">
        <f>INT((C1211-1)/12)+1</f>
        <v/>
      </c>
      <c r="E1211" s="44">
        <f>INDEX(Monthly!$B$2:$B$61,A1211)</f>
        <v/>
      </c>
      <c r="F1211" s="44">
        <f>E1211*INDEX('Age profile'!$B$2:$B$61,B1211)</f>
        <v/>
      </c>
      <c r="G1211" s="45">
        <f>MIN(in_takeup_cap,INDEX('Age profile'!$N$2:$N$61,B1211)*(1+in_takeup_growth)^(D1211-1))</f>
        <v/>
      </c>
      <c r="H1211" s="11">
        <f>MIN(in_approval_cap,in_approved_first*INDEX('Age profile'!$O$2:$O$61,B1211)*(1+in_approval_growth)^(D1211-1))</f>
        <v/>
      </c>
      <c r="I1211" s="45">
        <f>G1211*MIN(in_takeup_cap,INDEX('Age profile'!$O$2:$O$61,B1211)*(1+in_approval_growth)^(D1211-1))</f>
        <v/>
      </c>
      <c r="J1211" s="40">
        <f>(J1210-L1210)*F1211/F1210</f>
        <v/>
      </c>
      <c r="K1211" s="40">
        <f>(K1210-M1210)*F1211/F1210+SUMIFS(O1202:O1210,B1202:B1210,B1211-1-d_T)*F1211</f>
        <v/>
      </c>
      <c r="L1211" s="40">
        <f>IF(B1211&gt;=in_marketplace_from,J1211*d_hz*G1211*in_eligible*H1211,0)</f>
        <v/>
      </c>
      <c r="M1211" s="40">
        <f>IF(B1211&gt;=in_marketplace_from,K1211*d_hz*G1211*in_eligible*in_approved_repeat,0)</f>
        <v/>
      </c>
      <c r="N1211" s="40">
        <f>L1211+M1211</f>
        <v/>
      </c>
      <c r="O1211" s="46">
        <f>N1211/F1211</f>
        <v/>
      </c>
      <c r="P1211" s="40">
        <f>F1211-J1211-K1211</f>
        <v/>
      </c>
      <c r="Q1211" s="40">
        <f>IF(B1211&gt;=in_marketplace_from,(J1211+K1211)*d_hz*G1211,0)</f>
        <v/>
      </c>
      <c r="R1211" s="40">
        <f>SUMIFS(N1202:N1236,B1202:B1236,"&gt;="&amp;(B1211-d_T),B1202:B1236,"&lt;="&amp;(B1211-1))</f>
        <v/>
      </c>
      <c r="S1211" s="46">
        <f>(1-d_u)*S1210+IF(d_T&gt;in_topup_lag,SUMIFS(O1202:O1236,B1202:B1236,B1211-in_topup_lag)-d_udrop*SUMIFS(O1202:O1236,B1202:B1236,B1211-d_T),0)</f>
        <v/>
      </c>
      <c r="T1211" s="40">
        <f>F1211*d_u*S1211</f>
        <v/>
      </c>
      <c r="U1211" s="9">
        <f>L1211*in_ticket+M1211*d_rep_ticket</f>
        <v/>
      </c>
      <c r="V1211" s="9">
        <f>U1211+T1211*d_topup_amt</f>
        <v/>
      </c>
      <c r="W1211" s="40">
        <f>N1211+T1211*d_topup_ratio</f>
        <v/>
      </c>
      <c r="X1211" s="40">
        <f>SUMIFS(W1202:W1236,B1202:B1236,B1211-in_dpd_lag)*d_cured</f>
        <v/>
      </c>
      <c r="Y1211" s="40">
        <f>SUMIFS(W1202:W1236,B1202:B1236,B1211-in_rec_lag)*d_recd</f>
        <v/>
      </c>
      <c r="Z1211" s="40">
        <f>IF(AND(B1211&gt;=in_marketplace_from,B1211&lt;in_marketplace_from+in_card_months),in_card_share/in_card_months*F1211*I1211,IF(AND(B1211&gt;=in_marketplace_from+in_card_months,B1211&lt;in_marketplace_from+2*in_card_months),in_card_share*d_card_rem/in_card_months*F1211*MIN(in_takeup_cap,(1+in_takeup_growth)^(D1211-1))*MIN(in_takeup_cap,(1+in_approval_growth)^(D1211-1)),0))</f>
        <v/>
      </c>
      <c r="AA1211" s="14">
        <f>V1211*in_fee*(1-in_taken_back)</f>
        <v/>
      </c>
      <c r="AB1211" s="14">
        <f>SUMIFS(W1202:W1236,B1202:B1236,B1211-in_dpd_lag)*d_dpd</f>
        <v/>
      </c>
      <c r="AC1211" s="14">
        <f>SUMIFS(W1202:W1236,B1202:B1236,B1211-in_rec_lag)*d_rec</f>
        <v/>
      </c>
      <c r="AD1211" s="14">
        <f>Z1211*in_card_fee</f>
        <v/>
      </c>
      <c r="AE1211" s="40">
        <f>AE1210*(1-IF(B1210&gt;=in_marketplace_from,d_hz_hlth_small*G1210,0))</f>
        <v/>
      </c>
      <c r="AF1211" s="46">
        <f>AE1211*IF(B1211&gt;=in_marketplace_from,d_hz_hlth_small*G1211,0)</f>
        <v/>
      </c>
      <c r="AG1211" s="14">
        <f>F1211*AF1211*in_hlth_small_ticket*in_hlth_small_comm*in_ins_partner_share+F1211*in_hlth_small_ticket*in_hlth_small_renew_comm*in_ins_partner_share*(in_hlth_small_renew^1*SUMIFS(AF1202:AF1236,B1202:B1236,B1211-12)+in_hlth_small_renew^2*SUMIFS(AF1202:AF1236,B1202:B1236,B1211-24)+in_hlth_small_renew^3*SUMIFS(AF1202:AF1236,B1202:B1236,B1211-36)+in_hlth_small_renew^4*SUMIFS(AF1202:AF1236,B1202:B1236,B1211-48))</f>
        <v/>
      </c>
      <c r="AH1211" s="40">
        <f>AH1210*(1-IF(B1210&gt;=in_marketplace_from,d_hz_hlth_family*G1210,0))</f>
        <v/>
      </c>
      <c r="AI1211" s="46">
        <f>AH1211*IF(B1211&gt;=in_marketplace_from,d_hz_hlth_family*G1211,0)</f>
        <v/>
      </c>
      <c r="AJ1211" s="14">
        <f>F1211*AI1211*in_hlth_family_ticket*in_hlth_family_comm*in_ins_partner_share+F1211*in_hlth_family_ticket*in_hlth_family_renew_comm*in_ins_partner_share*(in_hlth_family_renew^1*SUMIFS(AI1202:AI1236,B1202:B1236,B1211-12)+in_hlth_family_renew^2*SUMIFS(AI1202:AI1236,B1202:B1236,B1211-24)+in_hlth_family_renew^3*SUMIFS(AI1202:AI1236,B1202:B1236,B1211-36)+in_hlth_family_renew^4*SUMIFS(AI1202:AI1236,B1202:B1236,B1211-48))</f>
        <v/>
      </c>
      <c r="AK1211" s="40">
        <f>AK1210*(1-IF(B1210&gt;=in_marketplace_from,d_hz_life_term*G1210,0))</f>
        <v/>
      </c>
      <c r="AL1211" s="46">
        <f>AK1211*IF(B1211&gt;=in_marketplace_from,d_hz_life_term*G1211,0)</f>
        <v/>
      </c>
      <c r="AM1211" s="14">
        <f>F1211*AL1211*in_life_term_ticket*in_life_term_comm*in_ins_partner_share+F1211*in_life_term_ticket*in_life_term_renew_comm*in_ins_partner_share*(in_life_term_renew^1*SUMIFS(AL1202:AL1236,B1202:B1236,B1211-12)+in_life_term_renew^2*SUMIFS(AL1202:AL1236,B1202:B1236,B1211-24)+in_life_term_renew^3*SUMIFS(AL1202:AL1236,B1202:B1236,B1211-36)+in_life_term_renew^4*SUMIFS(AL1202:AL1236,B1202:B1236,B1211-48))</f>
        <v/>
      </c>
      <c r="AN1211" s="40">
        <f>AN1210*(1-IF(B1210&gt;=in_marketplace_from,d_hz_accident*G1210,0))</f>
        <v/>
      </c>
      <c r="AO1211" s="46">
        <f>AN1211*IF(B1211&gt;=in_marketplace_from,d_hz_accident*G1211,0)</f>
        <v/>
      </c>
      <c r="AP1211" s="14">
        <f>F1211*AO1211*in_accident_ticket*in_accident_comm*in_ins_partner_share+F1211*in_accident_ticket*in_accident_renew_comm*in_ins_partner_share*(in_accident_renew^1*SUMIFS(AO1202:AO1236,B1202:B1236,B1211-12)+in_accident_renew^2*SUMIFS(AO1202:AO1236,B1202:B1236,B1211-24)+in_accident_renew^3*SUMIFS(AO1202:AO1236,B1202:B1236,B1211-36)+in_accident_renew^4*SUMIFS(AO1202:AO1236,B1202:B1236,B1211-48))</f>
        <v/>
      </c>
      <c r="AQ1211" s="40">
        <f>AQ1210*(1-IF(B1210&gt;=in_marketplace_from,d_hz_two_wheeler*G1210,0))</f>
        <v/>
      </c>
      <c r="AR1211" s="46">
        <f>AQ1211*IF(B1211&gt;=in_marketplace_from,d_hz_two_wheeler*G1211,0)</f>
        <v/>
      </c>
      <c r="AS1211" s="14">
        <f>F1211*AR1211*in_two_wheeler_ticket*in_two_wheeler_comm*in_ins_partner_share+F1211*in_two_wheeler_ticket*in_two_wheeler_comm*in_ins_partner_share*(in_two_wheeler_renew^1*SUMIFS(AR1202:AR1236,B1202:B1236,B1211-12)+in_two_wheeler_renew^2*SUMIFS(AR1202:AR1236,B1202:B1236,B1211-24)+in_two_wheeler_renew^3*SUMIFS(AR1202:AR1236,B1202:B1236,B1211-36)+in_two_wheeler_renew^4*SUMIFS(AR1202:AR1236,B1202:B1236,B1211-48))</f>
        <v/>
      </c>
      <c r="AT1211" s="40">
        <f>AT1210*(1-IF(B1210&gt;=in_marketplace_from,d_hz_device*G1210,0))</f>
        <v/>
      </c>
      <c r="AU1211" s="14">
        <f>F1211*AT1211*IF(B1211&gt;=in_marketplace_from,d_hz_device*G1211,0)*in_device_ticket*in_device_comm*in_ins_partner_share</f>
        <v/>
      </c>
      <c r="AV1211" s="40">
        <f>AV1210*(1-IF(B1210&gt;=in_marketplace_from,d_hz_shop*G1210,0))</f>
        <v/>
      </c>
      <c r="AW1211" s="46">
        <f>AV1211*IF(B1211&gt;=in_marketplace_from,d_hz_shop*G1211,0)</f>
        <v/>
      </c>
      <c r="AX1211" s="14">
        <f>F1211*AW1211*in_shop_ticket*in_shop_comm*in_ins_partner_share+F1211*in_shop_ticket*in_shop_renew_comm*in_ins_partner_share*(in_shop_renew^1*SUMIFS(AW1202:AW1236,B1202:B1236,B1211-12)+in_shop_renew^2*SUMIFS(AW1202:AW1236,B1202:B1236,B1211-24)+in_shop_renew^3*SUMIFS(AW1202:AW1236,B1202:B1236,B1211-36)+in_shop_renew^4*SUMIFS(AW1202:AW1236,B1202:B1236,B1211-48))</f>
        <v/>
      </c>
      <c r="AY1211" s="40">
        <f>AY1210*(1-IF(B1210&gt;=in_marketplace_from,d_hz_sip*G1210,0))</f>
        <v/>
      </c>
      <c r="AZ1211" s="40">
        <f>AZ1210*d_rho_sip+AY1211*IF(B1211&gt;=in_marketplace_from,d_hz_sip*G1211,0)</f>
        <v/>
      </c>
      <c r="BA1211" s="40">
        <f>d_rho_sip*(BA1210+AZ1210)</f>
        <v/>
      </c>
      <c r="BB1211" s="14">
        <f>F1211*in_sip_ticket*(BA1211+0.5*AZ1211)*in_sip_comm/12</f>
        <v/>
      </c>
      <c r="BC1211" s="40">
        <f>BC1210*(1-IF(B1210&gt;=in_marketplace_from,d_hz_choti*G1210,0))</f>
        <v/>
      </c>
      <c r="BD1211" s="46">
        <f>BC1211*IF(B1211&gt;=in_marketplace_from,d_hz_choti*G1211,0)</f>
        <v/>
      </c>
      <c r="BE1211" s="14">
        <f>F1211*SUMIFS(BD1202:BD1236,B1202:B1236,B1211-in_choti_months)*in_choti_renew*in_choti_ticket</f>
        <v/>
      </c>
      <c r="BF1211" s="40">
        <f>BF1210*(1-IF(B1210&gt;=in_marketplace_from,d_hz_nps*G1210,0))</f>
        <v/>
      </c>
      <c r="BG1211" s="14">
        <f>F1211*BF1211*IF(B1211&gt;=in_marketplace_from,d_hz_nps*G1211,0)*in_nps_ticket*in_nps_comm</f>
        <v/>
      </c>
      <c r="BH1211" s="40">
        <f>BH1210*(1-IF(B1210&gt;=in_marketplace_from,d_hz_gold*G1210,0))</f>
        <v/>
      </c>
      <c r="BI1211" s="40">
        <f>BI1210*d_rho_gold+BH1211*IF(B1211&gt;=in_marketplace_from,d_hz_gold*G1211,0)</f>
        <v/>
      </c>
      <c r="BJ1211" s="14">
        <f>F1211*BI1211*in_gold_ticket*in_gold_comm</f>
        <v/>
      </c>
      <c r="BK1211" s="40">
        <f>BK1210*(1-IF(B1210&gt;=in_marketplace_from,d_hz_fd*G1210,0))</f>
        <v/>
      </c>
      <c r="BL1211" s="14">
        <f>F1211*BK1211*IF(B1211&gt;=in_marketplace_from,d_hz_fd*G1211,0)*in_fd_ticket*in_fd_comm</f>
        <v/>
      </c>
      <c r="BM1211" s="40">
        <f>BM1210*(1-IF(B1210&gt;=in_marketplace_from,d_hz_recharge*G1210,0))</f>
        <v/>
      </c>
      <c r="BN1211" s="40">
        <f>BN1210*d_rho_recharge+BM1211*IF(B1211&gt;=in_marketplace_from,d_hz_recharge*G1211,0)</f>
        <v/>
      </c>
      <c r="BO1211" s="14">
        <f>F1211*BN1211*in_recharge_ticket*in_recharge_comm/12</f>
        <v/>
      </c>
      <c r="BP1211" s="40">
        <f>BP1210*(1-IF(B1210&gt;=in_marketplace_from,d_hz_bills*G1210,0))</f>
        <v/>
      </c>
      <c r="BQ1211" s="40">
        <f>BQ1210*d_rho_bills+BP1211*IF(B1211&gt;=in_marketplace_from,d_hz_bills*G1211,0)</f>
        <v/>
      </c>
      <c r="BR1211" s="14">
        <f>F1211*BQ1211*in_bills_ticket*in_bills_comm/12</f>
        <v/>
      </c>
      <c r="BS1211" s="40">
        <f>BS1210*(1-IF(B1210&gt;=in_marketplace_from,d_hz_loan_gold*G1210,0))</f>
        <v/>
      </c>
      <c r="BT1211" s="14">
        <f>F1211*BS1211*IF(B1211&gt;=in_marketplace_from,d_hz_loan_gold*G1211,0)*in_loan_gold_ticket*in_loan_gold_comm</f>
        <v/>
      </c>
      <c r="BU1211" s="40">
        <f>BU1210*(1-IF(B1210&gt;=in_marketplace_from,d_hz_loan_cd*G1210,0))</f>
        <v/>
      </c>
      <c r="BV1211" s="14">
        <f>F1211*BU1211*IF(B1211&gt;=in_marketplace_from,d_hz_loan_cd*G1211,0)*in_loan_cd_ticket*in_loan_cd_comm</f>
        <v/>
      </c>
      <c r="BW1211" s="40">
        <f>BW1210*(1-IF(B1210&gt;=in_marketplace_from,d_hz_loan_vehicle*G1210,0))</f>
        <v/>
      </c>
      <c r="BX1211" s="14">
        <f>F1211*BW1211*IF(B1211&gt;=in_marketplace_from,d_hz_loan_vehicle*G1211,0)*in_loan_vehicle_ticket*in_loan_vehicle_comm</f>
        <v/>
      </c>
      <c r="BY1211" s="40">
        <f>BY1210*(1-IF(B1210&gt;=in_marketplace_from,d_hz_loan_home*G1210,0)*BZ1210)</f>
        <v/>
      </c>
      <c r="BZ1211" s="11">
        <f>MIN(in_approval_cap,in_loan_home_approval*INDEX('Age profile'!$O$2:$O$61,B1211)*(1+in_approval_growth)^(D1211-1))</f>
        <v/>
      </c>
      <c r="CA1211" s="14">
        <f>F1211*BY1211*IF(B1211&gt;=in_marketplace_from,d_hz_loan_home*G1211,0)*BZ1211*in_loan_home_ticket*in_loan_home_comm</f>
        <v/>
      </c>
      <c r="CB1211" s="40">
        <f>CB1210*(1-IF(B1210&gt;=in_marketplace_from,d_hz_loan_lap*G1210,0)*CC1210)</f>
        <v/>
      </c>
      <c r="CC1211" s="11">
        <f>MIN(in_approval_cap,in_loan_lap_approval*INDEX('Age profile'!$O$2:$O$61,B1211)*(1+in_approval_growth)^(D1211-1))</f>
        <v/>
      </c>
      <c r="CD1211" s="14">
        <f>F1211*CB1211*IF(B1211&gt;=in_marketplace_from,d_hz_loan_lap*G1211,0)*CC1211*in_loan_lap_ticket*in_loan_lap_comm</f>
        <v/>
      </c>
      <c r="CE1211" s="14">
        <f>AA1211+AB1211+AC1211+AD1211+AG1211+AJ1211+AM1211+AP1211+AS1211+AU1211+AX1211+BB1211+BE1211+BG1211+BJ1211+BL1211+BO1211+BR1211+BT1211+BV1211+BX1211+CA1211+CD1211</f>
        <v/>
      </c>
    </row>
    <row r="1212">
      <c r="A1212" s="39" t="n">
        <v>26</v>
      </c>
      <c r="B1212" s="39" t="n">
        <v>11</v>
      </c>
      <c r="C1212" s="39">
        <f>A1212+B1212-1</f>
        <v/>
      </c>
      <c r="D1212" s="39">
        <f>INT((C1212-1)/12)+1</f>
        <v/>
      </c>
      <c r="E1212" s="44">
        <f>INDEX(Monthly!$B$2:$B$61,A1212)</f>
        <v/>
      </c>
      <c r="F1212" s="44">
        <f>E1212*INDEX('Age profile'!$B$2:$B$61,B1212)</f>
        <v/>
      </c>
      <c r="G1212" s="45">
        <f>MIN(in_takeup_cap,INDEX('Age profile'!$N$2:$N$61,B1212)*(1+in_takeup_growth)^(D1212-1))</f>
        <v/>
      </c>
      <c r="H1212" s="11">
        <f>MIN(in_approval_cap,in_approved_first*INDEX('Age profile'!$O$2:$O$61,B1212)*(1+in_approval_growth)^(D1212-1))</f>
        <v/>
      </c>
      <c r="I1212" s="45">
        <f>G1212*MIN(in_takeup_cap,INDEX('Age profile'!$O$2:$O$61,B1212)*(1+in_approval_growth)^(D1212-1))</f>
        <v/>
      </c>
      <c r="J1212" s="40">
        <f>(J1211-L1211)*F1212/F1211</f>
        <v/>
      </c>
      <c r="K1212" s="40">
        <f>(K1211-M1211)*F1212/F1211+SUMIFS(O1202:O1211,B1202:B1211,B1212-1-d_T)*F1212</f>
        <v/>
      </c>
      <c r="L1212" s="40">
        <f>IF(B1212&gt;=in_marketplace_from,J1212*d_hz*G1212*in_eligible*H1212,0)</f>
        <v/>
      </c>
      <c r="M1212" s="40">
        <f>IF(B1212&gt;=in_marketplace_from,K1212*d_hz*G1212*in_eligible*in_approved_repeat,0)</f>
        <v/>
      </c>
      <c r="N1212" s="40">
        <f>L1212+M1212</f>
        <v/>
      </c>
      <c r="O1212" s="46">
        <f>N1212/F1212</f>
        <v/>
      </c>
      <c r="P1212" s="40">
        <f>F1212-J1212-K1212</f>
        <v/>
      </c>
      <c r="Q1212" s="40">
        <f>IF(B1212&gt;=in_marketplace_from,(J1212+K1212)*d_hz*G1212,0)</f>
        <v/>
      </c>
      <c r="R1212" s="40">
        <f>SUMIFS(N1202:N1236,B1202:B1236,"&gt;="&amp;(B1212-d_T),B1202:B1236,"&lt;="&amp;(B1212-1))</f>
        <v/>
      </c>
      <c r="S1212" s="46">
        <f>(1-d_u)*S1211+IF(d_T&gt;in_topup_lag,SUMIFS(O1202:O1236,B1202:B1236,B1212-in_topup_lag)-d_udrop*SUMIFS(O1202:O1236,B1202:B1236,B1212-d_T),0)</f>
        <v/>
      </c>
      <c r="T1212" s="40">
        <f>F1212*d_u*S1212</f>
        <v/>
      </c>
      <c r="U1212" s="9">
        <f>L1212*in_ticket+M1212*d_rep_ticket</f>
        <v/>
      </c>
      <c r="V1212" s="9">
        <f>U1212+T1212*d_topup_amt</f>
        <v/>
      </c>
      <c r="W1212" s="40">
        <f>N1212+T1212*d_topup_ratio</f>
        <v/>
      </c>
      <c r="X1212" s="40">
        <f>SUMIFS(W1202:W1236,B1202:B1236,B1212-in_dpd_lag)*d_cured</f>
        <v/>
      </c>
      <c r="Y1212" s="40">
        <f>SUMIFS(W1202:W1236,B1202:B1236,B1212-in_rec_lag)*d_recd</f>
        <v/>
      </c>
      <c r="Z1212" s="40">
        <f>IF(AND(B1212&gt;=in_marketplace_from,B1212&lt;in_marketplace_from+in_card_months),in_card_share/in_card_months*F1212*I1212,IF(AND(B1212&gt;=in_marketplace_from+in_card_months,B1212&lt;in_marketplace_from+2*in_card_months),in_card_share*d_card_rem/in_card_months*F1212*MIN(in_takeup_cap,(1+in_takeup_growth)^(D1212-1))*MIN(in_takeup_cap,(1+in_approval_growth)^(D1212-1)),0))</f>
        <v/>
      </c>
      <c r="AA1212" s="14">
        <f>V1212*in_fee*(1-in_taken_back)</f>
        <v/>
      </c>
      <c r="AB1212" s="14">
        <f>SUMIFS(W1202:W1236,B1202:B1236,B1212-in_dpd_lag)*d_dpd</f>
        <v/>
      </c>
      <c r="AC1212" s="14">
        <f>SUMIFS(W1202:W1236,B1202:B1236,B1212-in_rec_lag)*d_rec</f>
        <v/>
      </c>
      <c r="AD1212" s="14">
        <f>Z1212*in_card_fee</f>
        <v/>
      </c>
      <c r="AE1212" s="40">
        <f>AE1211*(1-IF(B1211&gt;=in_marketplace_from,d_hz_hlth_small*G1211,0))</f>
        <v/>
      </c>
      <c r="AF1212" s="46">
        <f>AE1212*IF(B1212&gt;=in_marketplace_from,d_hz_hlth_small*G1212,0)</f>
        <v/>
      </c>
      <c r="AG1212" s="14">
        <f>F1212*AF1212*in_hlth_small_ticket*in_hlth_small_comm*in_ins_partner_share+F1212*in_hlth_small_ticket*in_hlth_small_renew_comm*in_ins_partner_share*(in_hlth_small_renew^1*SUMIFS(AF1202:AF1236,B1202:B1236,B1212-12)+in_hlth_small_renew^2*SUMIFS(AF1202:AF1236,B1202:B1236,B1212-24)+in_hlth_small_renew^3*SUMIFS(AF1202:AF1236,B1202:B1236,B1212-36)+in_hlth_small_renew^4*SUMIFS(AF1202:AF1236,B1202:B1236,B1212-48))</f>
        <v/>
      </c>
      <c r="AH1212" s="40">
        <f>AH1211*(1-IF(B1211&gt;=in_marketplace_from,d_hz_hlth_family*G1211,0))</f>
        <v/>
      </c>
      <c r="AI1212" s="46">
        <f>AH1212*IF(B1212&gt;=in_marketplace_from,d_hz_hlth_family*G1212,0)</f>
        <v/>
      </c>
      <c r="AJ1212" s="14">
        <f>F1212*AI1212*in_hlth_family_ticket*in_hlth_family_comm*in_ins_partner_share+F1212*in_hlth_family_ticket*in_hlth_family_renew_comm*in_ins_partner_share*(in_hlth_family_renew^1*SUMIFS(AI1202:AI1236,B1202:B1236,B1212-12)+in_hlth_family_renew^2*SUMIFS(AI1202:AI1236,B1202:B1236,B1212-24)+in_hlth_family_renew^3*SUMIFS(AI1202:AI1236,B1202:B1236,B1212-36)+in_hlth_family_renew^4*SUMIFS(AI1202:AI1236,B1202:B1236,B1212-48))</f>
        <v/>
      </c>
      <c r="AK1212" s="40">
        <f>AK1211*(1-IF(B1211&gt;=in_marketplace_from,d_hz_life_term*G1211,0))</f>
        <v/>
      </c>
      <c r="AL1212" s="46">
        <f>AK1212*IF(B1212&gt;=in_marketplace_from,d_hz_life_term*G1212,0)</f>
        <v/>
      </c>
      <c r="AM1212" s="14">
        <f>F1212*AL1212*in_life_term_ticket*in_life_term_comm*in_ins_partner_share+F1212*in_life_term_ticket*in_life_term_renew_comm*in_ins_partner_share*(in_life_term_renew^1*SUMIFS(AL1202:AL1236,B1202:B1236,B1212-12)+in_life_term_renew^2*SUMIFS(AL1202:AL1236,B1202:B1236,B1212-24)+in_life_term_renew^3*SUMIFS(AL1202:AL1236,B1202:B1236,B1212-36)+in_life_term_renew^4*SUMIFS(AL1202:AL1236,B1202:B1236,B1212-48))</f>
        <v/>
      </c>
      <c r="AN1212" s="40">
        <f>AN1211*(1-IF(B1211&gt;=in_marketplace_from,d_hz_accident*G1211,0))</f>
        <v/>
      </c>
      <c r="AO1212" s="46">
        <f>AN1212*IF(B1212&gt;=in_marketplace_from,d_hz_accident*G1212,0)</f>
        <v/>
      </c>
      <c r="AP1212" s="14">
        <f>F1212*AO1212*in_accident_ticket*in_accident_comm*in_ins_partner_share+F1212*in_accident_ticket*in_accident_renew_comm*in_ins_partner_share*(in_accident_renew^1*SUMIFS(AO1202:AO1236,B1202:B1236,B1212-12)+in_accident_renew^2*SUMIFS(AO1202:AO1236,B1202:B1236,B1212-24)+in_accident_renew^3*SUMIFS(AO1202:AO1236,B1202:B1236,B1212-36)+in_accident_renew^4*SUMIFS(AO1202:AO1236,B1202:B1236,B1212-48))</f>
        <v/>
      </c>
      <c r="AQ1212" s="40">
        <f>AQ1211*(1-IF(B1211&gt;=in_marketplace_from,d_hz_two_wheeler*G1211,0))</f>
        <v/>
      </c>
      <c r="AR1212" s="46">
        <f>AQ1212*IF(B1212&gt;=in_marketplace_from,d_hz_two_wheeler*G1212,0)</f>
        <v/>
      </c>
      <c r="AS1212" s="14">
        <f>F1212*AR1212*in_two_wheeler_ticket*in_two_wheeler_comm*in_ins_partner_share+F1212*in_two_wheeler_ticket*in_two_wheeler_comm*in_ins_partner_share*(in_two_wheeler_renew^1*SUMIFS(AR1202:AR1236,B1202:B1236,B1212-12)+in_two_wheeler_renew^2*SUMIFS(AR1202:AR1236,B1202:B1236,B1212-24)+in_two_wheeler_renew^3*SUMIFS(AR1202:AR1236,B1202:B1236,B1212-36)+in_two_wheeler_renew^4*SUMIFS(AR1202:AR1236,B1202:B1236,B1212-48))</f>
        <v/>
      </c>
      <c r="AT1212" s="40">
        <f>AT1211*(1-IF(B1211&gt;=in_marketplace_from,d_hz_device*G1211,0))</f>
        <v/>
      </c>
      <c r="AU1212" s="14">
        <f>F1212*AT1212*IF(B1212&gt;=in_marketplace_from,d_hz_device*G1212,0)*in_device_ticket*in_device_comm*in_ins_partner_share</f>
        <v/>
      </c>
      <c r="AV1212" s="40">
        <f>AV1211*(1-IF(B1211&gt;=in_marketplace_from,d_hz_shop*G1211,0))</f>
        <v/>
      </c>
      <c r="AW1212" s="46">
        <f>AV1212*IF(B1212&gt;=in_marketplace_from,d_hz_shop*G1212,0)</f>
        <v/>
      </c>
      <c r="AX1212" s="14">
        <f>F1212*AW1212*in_shop_ticket*in_shop_comm*in_ins_partner_share+F1212*in_shop_ticket*in_shop_renew_comm*in_ins_partner_share*(in_shop_renew^1*SUMIFS(AW1202:AW1236,B1202:B1236,B1212-12)+in_shop_renew^2*SUMIFS(AW1202:AW1236,B1202:B1236,B1212-24)+in_shop_renew^3*SUMIFS(AW1202:AW1236,B1202:B1236,B1212-36)+in_shop_renew^4*SUMIFS(AW1202:AW1236,B1202:B1236,B1212-48))</f>
        <v/>
      </c>
      <c r="AY1212" s="40">
        <f>AY1211*(1-IF(B1211&gt;=in_marketplace_from,d_hz_sip*G1211,0))</f>
        <v/>
      </c>
      <c r="AZ1212" s="40">
        <f>AZ1211*d_rho_sip+AY1212*IF(B1212&gt;=in_marketplace_from,d_hz_sip*G1212,0)</f>
        <v/>
      </c>
      <c r="BA1212" s="40">
        <f>d_rho_sip*(BA1211+AZ1211)</f>
        <v/>
      </c>
      <c r="BB1212" s="14">
        <f>F1212*in_sip_ticket*(BA1212+0.5*AZ1212)*in_sip_comm/12</f>
        <v/>
      </c>
      <c r="BC1212" s="40">
        <f>BC1211*(1-IF(B1211&gt;=in_marketplace_from,d_hz_choti*G1211,0))</f>
        <v/>
      </c>
      <c r="BD1212" s="46">
        <f>BC1212*IF(B1212&gt;=in_marketplace_from,d_hz_choti*G1212,0)</f>
        <v/>
      </c>
      <c r="BE1212" s="14">
        <f>F1212*SUMIFS(BD1202:BD1236,B1202:B1236,B1212-in_choti_months)*in_choti_renew*in_choti_ticket</f>
        <v/>
      </c>
      <c r="BF1212" s="40">
        <f>BF1211*(1-IF(B1211&gt;=in_marketplace_from,d_hz_nps*G1211,0))</f>
        <v/>
      </c>
      <c r="BG1212" s="14">
        <f>F1212*BF1212*IF(B1212&gt;=in_marketplace_from,d_hz_nps*G1212,0)*in_nps_ticket*in_nps_comm</f>
        <v/>
      </c>
      <c r="BH1212" s="40">
        <f>BH1211*(1-IF(B1211&gt;=in_marketplace_from,d_hz_gold*G1211,0))</f>
        <v/>
      </c>
      <c r="BI1212" s="40">
        <f>BI1211*d_rho_gold+BH1212*IF(B1212&gt;=in_marketplace_from,d_hz_gold*G1212,0)</f>
        <v/>
      </c>
      <c r="BJ1212" s="14">
        <f>F1212*BI1212*in_gold_ticket*in_gold_comm</f>
        <v/>
      </c>
      <c r="BK1212" s="40">
        <f>BK1211*(1-IF(B1211&gt;=in_marketplace_from,d_hz_fd*G1211,0))</f>
        <v/>
      </c>
      <c r="BL1212" s="14">
        <f>F1212*BK1212*IF(B1212&gt;=in_marketplace_from,d_hz_fd*G1212,0)*in_fd_ticket*in_fd_comm</f>
        <v/>
      </c>
      <c r="BM1212" s="40">
        <f>BM1211*(1-IF(B1211&gt;=in_marketplace_from,d_hz_recharge*G1211,0))</f>
        <v/>
      </c>
      <c r="BN1212" s="40">
        <f>BN1211*d_rho_recharge+BM1212*IF(B1212&gt;=in_marketplace_from,d_hz_recharge*G1212,0)</f>
        <v/>
      </c>
      <c r="BO1212" s="14">
        <f>F1212*BN1212*in_recharge_ticket*in_recharge_comm/12</f>
        <v/>
      </c>
      <c r="BP1212" s="40">
        <f>BP1211*(1-IF(B1211&gt;=in_marketplace_from,d_hz_bills*G1211,0))</f>
        <v/>
      </c>
      <c r="BQ1212" s="40">
        <f>BQ1211*d_rho_bills+BP1212*IF(B1212&gt;=in_marketplace_from,d_hz_bills*G1212,0)</f>
        <v/>
      </c>
      <c r="BR1212" s="14">
        <f>F1212*BQ1212*in_bills_ticket*in_bills_comm/12</f>
        <v/>
      </c>
      <c r="BS1212" s="40">
        <f>BS1211*(1-IF(B1211&gt;=in_marketplace_from,d_hz_loan_gold*G1211,0))</f>
        <v/>
      </c>
      <c r="BT1212" s="14">
        <f>F1212*BS1212*IF(B1212&gt;=in_marketplace_from,d_hz_loan_gold*G1212,0)*in_loan_gold_ticket*in_loan_gold_comm</f>
        <v/>
      </c>
      <c r="BU1212" s="40">
        <f>BU1211*(1-IF(B1211&gt;=in_marketplace_from,d_hz_loan_cd*G1211,0))</f>
        <v/>
      </c>
      <c r="BV1212" s="14">
        <f>F1212*BU1212*IF(B1212&gt;=in_marketplace_from,d_hz_loan_cd*G1212,0)*in_loan_cd_ticket*in_loan_cd_comm</f>
        <v/>
      </c>
      <c r="BW1212" s="40">
        <f>BW1211*(1-IF(B1211&gt;=in_marketplace_from,d_hz_loan_vehicle*G1211,0))</f>
        <v/>
      </c>
      <c r="BX1212" s="14">
        <f>F1212*BW1212*IF(B1212&gt;=in_marketplace_from,d_hz_loan_vehicle*G1212,0)*in_loan_vehicle_ticket*in_loan_vehicle_comm</f>
        <v/>
      </c>
      <c r="BY1212" s="40">
        <f>BY1211*(1-IF(B1211&gt;=in_marketplace_from,d_hz_loan_home*G1211,0)*BZ1211)</f>
        <v/>
      </c>
      <c r="BZ1212" s="11">
        <f>MIN(in_approval_cap,in_loan_home_approval*INDEX('Age profile'!$O$2:$O$61,B1212)*(1+in_approval_growth)^(D1212-1))</f>
        <v/>
      </c>
      <c r="CA1212" s="14">
        <f>F1212*BY1212*IF(B1212&gt;=in_marketplace_from,d_hz_loan_home*G1212,0)*BZ1212*in_loan_home_ticket*in_loan_home_comm</f>
        <v/>
      </c>
      <c r="CB1212" s="40">
        <f>CB1211*(1-IF(B1211&gt;=in_marketplace_from,d_hz_loan_lap*G1211,0)*CC1211)</f>
        <v/>
      </c>
      <c r="CC1212" s="11">
        <f>MIN(in_approval_cap,in_loan_lap_approval*INDEX('Age profile'!$O$2:$O$61,B1212)*(1+in_approval_growth)^(D1212-1))</f>
        <v/>
      </c>
      <c r="CD1212" s="14">
        <f>F1212*CB1212*IF(B1212&gt;=in_marketplace_from,d_hz_loan_lap*G1212,0)*CC1212*in_loan_lap_ticket*in_loan_lap_comm</f>
        <v/>
      </c>
      <c r="CE1212" s="14">
        <f>AA1212+AB1212+AC1212+AD1212+AG1212+AJ1212+AM1212+AP1212+AS1212+AU1212+AX1212+BB1212+BE1212+BG1212+BJ1212+BL1212+BO1212+BR1212+BT1212+BV1212+BX1212+CA1212+CD1212</f>
        <v/>
      </c>
    </row>
    <row r="1213">
      <c r="A1213" s="39" t="n">
        <v>26</v>
      </c>
      <c r="B1213" s="39" t="n">
        <v>12</v>
      </c>
      <c r="C1213" s="39">
        <f>A1213+B1213-1</f>
        <v/>
      </c>
      <c r="D1213" s="39">
        <f>INT((C1213-1)/12)+1</f>
        <v/>
      </c>
      <c r="E1213" s="44">
        <f>INDEX(Monthly!$B$2:$B$61,A1213)</f>
        <v/>
      </c>
      <c r="F1213" s="44">
        <f>E1213*INDEX('Age profile'!$B$2:$B$61,B1213)</f>
        <v/>
      </c>
      <c r="G1213" s="45">
        <f>MIN(in_takeup_cap,INDEX('Age profile'!$N$2:$N$61,B1213)*(1+in_takeup_growth)^(D1213-1))</f>
        <v/>
      </c>
      <c r="H1213" s="11">
        <f>MIN(in_approval_cap,in_approved_first*INDEX('Age profile'!$O$2:$O$61,B1213)*(1+in_approval_growth)^(D1213-1))</f>
        <v/>
      </c>
      <c r="I1213" s="45">
        <f>G1213*MIN(in_takeup_cap,INDEX('Age profile'!$O$2:$O$61,B1213)*(1+in_approval_growth)^(D1213-1))</f>
        <v/>
      </c>
      <c r="J1213" s="40">
        <f>(J1212-L1212)*F1213/F1212</f>
        <v/>
      </c>
      <c r="K1213" s="40">
        <f>(K1212-M1212)*F1213/F1212+SUMIFS(O1202:O1212,B1202:B1212,B1213-1-d_T)*F1213</f>
        <v/>
      </c>
      <c r="L1213" s="40">
        <f>IF(B1213&gt;=in_marketplace_from,J1213*d_hz*G1213*in_eligible*H1213,0)</f>
        <v/>
      </c>
      <c r="M1213" s="40">
        <f>IF(B1213&gt;=in_marketplace_from,K1213*d_hz*G1213*in_eligible*in_approved_repeat,0)</f>
        <v/>
      </c>
      <c r="N1213" s="40">
        <f>L1213+M1213</f>
        <v/>
      </c>
      <c r="O1213" s="46">
        <f>N1213/F1213</f>
        <v/>
      </c>
      <c r="P1213" s="40">
        <f>F1213-J1213-K1213</f>
        <v/>
      </c>
      <c r="Q1213" s="40">
        <f>IF(B1213&gt;=in_marketplace_from,(J1213+K1213)*d_hz*G1213,0)</f>
        <v/>
      </c>
      <c r="R1213" s="40">
        <f>SUMIFS(N1202:N1236,B1202:B1236,"&gt;="&amp;(B1213-d_T),B1202:B1236,"&lt;="&amp;(B1213-1))</f>
        <v/>
      </c>
      <c r="S1213" s="46">
        <f>(1-d_u)*S1212+IF(d_T&gt;in_topup_lag,SUMIFS(O1202:O1236,B1202:B1236,B1213-in_topup_lag)-d_udrop*SUMIFS(O1202:O1236,B1202:B1236,B1213-d_T),0)</f>
        <v/>
      </c>
      <c r="T1213" s="40">
        <f>F1213*d_u*S1213</f>
        <v/>
      </c>
      <c r="U1213" s="9">
        <f>L1213*in_ticket+M1213*d_rep_ticket</f>
        <v/>
      </c>
      <c r="V1213" s="9">
        <f>U1213+T1213*d_topup_amt</f>
        <v/>
      </c>
      <c r="W1213" s="40">
        <f>N1213+T1213*d_topup_ratio</f>
        <v/>
      </c>
      <c r="X1213" s="40">
        <f>SUMIFS(W1202:W1236,B1202:B1236,B1213-in_dpd_lag)*d_cured</f>
        <v/>
      </c>
      <c r="Y1213" s="40">
        <f>SUMIFS(W1202:W1236,B1202:B1236,B1213-in_rec_lag)*d_recd</f>
        <v/>
      </c>
      <c r="Z1213" s="40">
        <f>IF(AND(B1213&gt;=in_marketplace_from,B1213&lt;in_marketplace_from+in_card_months),in_card_share/in_card_months*F1213*I1213,IF(AND(B1213&gt;=in_marketplace_from+in_card_months,B1213&lt;in_marketplace_from+2*in_card_months),in_card_share*d_card_rem/in_card_months*F1213*MIN(in_takeup_cap,(1+in_takeup_growth)^(D1213-1))*MIN(in_takeup_cap,(1+in_approval_growth)^(D1213-1)),0))</f>
        <v/>
      </c>
      <c r="AA1213" s="14">
        <f>V1213*in_fee*(1-in_taken_back)</f>
        <v/>
      </c>
      <c r="AB1213" s="14">
        <f>SUMIFS(W1202:W1236,B1202:B1236,B1213-in_dpd_lag)*d_dpd</f>
        <v/>
      </c>
      <c r="AC1213" s="14">
        <f>SUMIFS(W1202:W1236,B1202:B1236,B1213-in_rec_lag)*d_rec</f>
        <v/>
      </c>
      <c r="AD1213" s="14">
        <f>Z1213*in_card_fee</f>
        <v/>
      </c>
      <c r="AE1213" s="40">
        <f>AE1212*(1-IF(B1212&gt;=in_marketplace_from,d_hz_hlth_small*G1212,0))</f>
        <v/>
      </c>
      <c r="AF1213" s="46">
        <f>AE1213*IF(B1213&gt;=in_marketplace_from,d_hz_hlth_small*G1213,0)</f>
        <v/>
      </c>
      <c r="AG1213" s="14">
        <f>F1213*AF1213*in_hlth_small_ticket*in_hlth_small_comm*in_ins_partner_share+F1213*in_hlth_small_ticket*in_hlth_small_renew_comm*in_ins_partner_share*(in_hlth_small_renew^1*SUMIFS(AF1202:AF1236,B1202:B1236,B1213-12)+in_hlth_small_renew^2*SUMIFS(AF1202:AF1236,B1202:B1236,B1213-24)+in_hlth_small_renew^3*SUMIFS(AF1202:AF1236,B1202:B1236,B1213-36)+in_hlth_small_renew^4*SUMIFS(AF1202:AF1236,B1202:B1236,B1213-48))</f>
        <v/>
      </c>
      <c r="AH1213" s="40">
        <f>AH1212*(1-IF(B1212&gt;=in_marketplace_from,d_hz_hlth_family*G1212,0))</f>
        <v/>
      </c>
      <c r="AI1213" s="46">
        <f>AH1213*IF(B1213&gt;=in_marketplace_from,d_hz_hlth_family*G1213,0)</f>
        <v/>
      </c>
      <c r="AJ1213" s="14">
        <f>F1213*AI1213*in_hlth_family_ticket*in_hlth_family_comm*in_ins_partner_share+F1213*in_hlth_family_ticket*in_hlth_family_renew_comm*in_ins_partner_share*(in_hlth_family_renew^1*SUMIFS(AI1202:AI1236,B1202:B1236,B1213-12)+in_hlth_family_renew^2*SUMIFS(AI1202:AI1236,B1202:B1236,B1213-24)+in_hlth_family_renew^3*SUMIFS(AI1202:AI1236,B1202:B1236,B1213-36)+in_hlth_family_renew^4*SUMIFS(AI1202:AI1236,B1202:B1236,B1213-48))</f>
        <v/>
      </c>
      <c r="AK1213" s="40">
        <f>AK1212*(1-IF(B1212&gt;=in_marketplace_from,d_hz_life_term*G1212,0))</f>
        <v/>
      </c>
      <c r="AL1213" s="46">
        <f>AK1213*IF(B1213&gt;=in_marketplace_from,d_hz_life_term*G1213,0)</f>
        <v/>
      </c>
      <c r="AM1213" s="14">
        <f>F1213*AL1213*in_life_term_ticket*in_life_term_comm*in_ins_partner_share+F1213*in_life_term_ticket*in_life_term_renew_comm*in_ins_partner_share*(in_life_term_renew^1*SUMIFS(AL1202:AL1236,B1202:B1236,B1213-12)+in_life_term_renew^2*SUMIFS(AL1202:AL1236,B1202:B1236,B1213-24)+in_life_term_renew^3*SUMIFS(AL1202:AL1236,B1202:B1236,B1213-36)+in_life_term_renew^4*SUMIFS(AL1202:AL1236,B1202:B1236,B1213-48))</f>
        <v/>
      </c>
      <c r="AN1213" s="40">
        <f>AN1212*(1-IF(B1212&gt;=in_marketplace_from,d_hz_accident*G1212,0))</f>
        <v/>
      </c>
      <c r="AO1213" s="46">
        <f>AN1213*IF(B1213&gt;=in_marketplace_from,d_hz_accident*G1213,0)</f>
        <v/>
      </c>
      <c r="AP1213" s="14">
        <f>F1213*AO1213*in_accident_ticket*in_accident_comm*in_ins_partner_share+F1213*in_accident_ticket*in_accident_renew_comm*in_ins_partner_share*(in_accident_renew^1*SUMIFS(AO1202:AO1236,B1202:B1236,B1213-12)+in_accident_renew^2*SUMIFS(AO1202:AO1236,B1202:B1236,B1213-24)+in_accident_renew^3*SUMIFS(AO1202:AO1236,B1202:B1236,B1213-36)+in_accident_renew^4*SUMIFS(AO1202:AO1236,B1202:B1236,B1213-48))</f>
        <v/>
      </c>
      <c r="AQ1213" s="40">
        <f>AQ1212*(1-IF(B1212&gt;=in_marketplace_from,d_hz_two_wheeler*G1212,0))</f>
        <v/>
      </c>
      <c r="AR1213" s="46">
        <f>AQ1213*IF(B1213&gt;=in_marketplace_from,d_hz_two_wheeler*G1213,0)</f>
        <v/>
      </c>
      <c r="AS1213" s="14">
        <f>F1213*AR1213*in_two_wheeler_ticket*in_two_wheeler_comm*in_ins_partner_share+F1213*in_two_wheeler_ticket*in_two_wheeler_comm*in_ins_partner_share*(in_two_wheeler_renew^1*SUMIFS(AR1202:AR1236,B1202:B1236,B1213-12)+in_two_wheeler_renew^2*SUMIFS(AR1202:AR1236,B1202:B1236,B1213-24)+in_two_wheeler_renew^3*SUMIFS(AR1202:AR1236,B1202:B1236,B1213-36)+in_two_wheeler_renew^4*SUMIFS(AR1202:AR1236,B1202:B1236,B1213-48))</f>
        <v/>
      </c>
      <c r="AT1213" s="40">
        <f>AT1212*(1-IF(B1212&gt;=in_marketplace_from,d_hz_device*G1212,0))</f>
        <v/>
      </c>
      <c r="AU1213" s="14">
        <f>F1213*AT1213*IF(B1213&gt;=in_marketplace_from,d_hz_device*G1213,0)*in_device_ticket*in_device_comm*in_ins_partner_share</f>
        <v/>
      </c>
      <c r="AV1213" s="40">
        <f>AV1212*(1-IF(B1212&gt;=in_marketplace_from,d_hz_shop*G1212,0))</f>
        <v/>
      </c>
      <c r="AW1213" s="46">
        <f>AV1213*IF(B1213&gt;=in_marketplace_from,d_hz_shop*G1213,0)</f>
        <v/>
      </c>
      <c r="AX1213" s="14">
        <f>F1213*AW1213*in_shop_ticket*in_shop_comm*in_ins_partner_share+F1213*in_shop_ticket*in_shop_renew_comm*in_ins_partner_share*(in_shop_renew^1*SUMIFS(AW1202:AW1236,B1202:B1236,B1213-12)+in_shop_renew^2*SUMIFS(AW1202:AW1236,B1202:B1236,B1213-24)+in_shop_renew^3*SUMIFS(AW1202:AW1236,B1202:B1236,B1213-36)+in_shop_renew^4*SUMIFS(AW1202:AW1236,B1202:B1236,B1213-48))</f>
        <v/>
      </c>
      <c r="AY1213" s="40">
        <f>AY1212*(1-IF(B1212&gt;=in_marketplace_from,d_hz_sip*G1212,0))</f>
        <v/>
      </c>
      <c r="AZ1213" s="40">
        <f>AZ1212*d_rho_sip+AY1213*IF(B1213&gt;=in_marketplace_from,d_hz_sip*G1213,0)</f>
        <v/>
      </c>
      <c r="BA1213" s="40">
        <f>d_rho_sip*(BA1212+AZ1212)</f>
        <v/>
      </c>
      <c r="BB1213" s="14">
        <f>F1213*in_sip_ticket*(BA1213+0.5*AZ1213)*in_sip_comm/12</f>
        <v/>
      </c>
      <c r="BC1213" s="40">
        <f>BC1212*(1-IF(B1212&gt;=in_marketplace_from,d_hz_choti*G1212,0))</f>
        <v/>
      </c>
      <c r="BD1213" s="46">
        <f>BC1213*IF(B1213&gt;=in_marketplace_from,d_hz_choti*G1213,0)</f>
        <v/>
      </c>
      <c r="BE1213" s="14">
        <f>F1213*SUMIFS(BD1202:BD1236,B1202:B1236,B1213-in_choti_months)*in_choti_renew*in_choti_ticket</f>
        <v/>
      </c>
      <c r="BF1213" s="40">
        <f>BF1212*(1-IF(B1212&gt;=in_marketplace_from,d_hz_nps*G1212,0))</f>
        <v/>
      </c>
      <c r="BG1213" s="14">
        <f>F1213*BF1213*IF(B1213&gt;=in_marketplace_from,d_hz_nps*G1213,0)*in_nps_ticket*in_nps_comm</f>
        <v/>
      </c>
      <c r="BH1213" s="40">
        <f>BH1212*(1-IF(B1212&gt;=in_marketplace_from,d_hz_gold*G1212,0))</f>
        <v/>
      </c>
      <c r="BI1213" s="40">
        <f>BI1212*d_rho_gold+BH1213*IF(B1213&gt;=in_marketplace_from,d_hz_gold*G1213,0)</f>
        <v/>
      </c>
      <c r="BJ1213" s="14">
        <f>F1213*BI1213*in_gold_ticket*in_gold_comm</f>
        <v/>
      </c>
      <c r="BK1213" s="40">
        <f>BK1212*(1-IF(B1212&gt;=in_marketplace_from,d_hz_fd*G1212,0))</f>
        <v/>
      </c>
      <c r="BL1213" s="14">
        <f>F1213*BK1213*IF(B1213&gt;=in_marketplace_from,d_hz_fd*G1213,0)*in_fd_ticket*in_fd_comm</f>
        <v/>
      </c>
      <c r="BM1213" s="40">
        <f>BM1212*(1-IF(B1212&gt;=in_marketplace_from,d_hz_recharge*G1212,0))</f>
        <v/>
      </c>
      <c r="BN1213" s="40">
        <f>BN1212*d_rho_recharge+BM1213*IF(B1213&gt;=in_marketplace_from,d_hz_recharge*G1213,0)</f>
        <v/>
      </c>
      <c r="BO1213" s="14">
        <f>F1213*BN1213*in_recharge_ticket*in_recharge_comm/12</f>
        <v/>
      </c>
      <c r="BP1213" s="40">
        <f>BP1212*(1-IF(B1212&gt;=in_marketplace_from,d_hz_bills*G1212,0))</f>
        <v/>
      </c>
      <c r="BQ1213" s="40">
        <f>BQ1212*d_rho_bills+BP1213*IF(B1213&gt;=in_marketplace_from,d_hz_bills*G1213,0)</f>
        <v/>
      </c>
      <c r="BR1213" s="14">
        <f>F1213*BQ1213*in_bills_ticket*in_bills_comm/12</f>
        <v/>
      </c>
      <c r="BS1213" s="40">
        <f>BS1212*(1-IF(B1212&gt;=in_marketplace_from,d_hz_loan_gold*G1212,0))</f>
        <v/>
      </c>
      <c r="BT1213" s="14">
        <f>F1213*BS1213*IF(B1213&gt;=in_marketplace_from,d_hz_loan_gold*G1213,0)*in_loan_gold_ticket*in_loan_gold_comm</f>
        <v/>
      </c>
      <c r="BU1213" s="40">
        <f>BU1212*(1-IF(B1212&gt;=in_marketplace_from,d_hz_loan_cd*G1212,0))</f>
        <v/>
      </c>
      <c r="BV1213" s="14">
        <f>F1213*BU1213*IF(B1213&gt;=in_marketplace_from,d_hz_loan_cd*G1213,0)*in_loan_cd_ticket*in_loan_cd_comm</f>
        <v/>
      </c>
      <c r="BW1213" s="40">
        <f>BW1212*(1-IF(B1212&gt;=in_marketplace_from,d_hz_loan_vehicle*G1212,0))</f>
        <v/>
      </c>
      <c r="BX1213" s="14">
        <f>F1213*BW1213*IF(B1213&gt;=in_marketplace_from,d_hz_loan_vehicle*G1213,0)*in_loan_vehicle_ticket*in_loan_vehicle_comm</f>
        <v/>
      </c>
      <c r="BY1213" s="40">
        <f>BY1212*(1-IF(B1212&gt;=in_marketplace_from,d_hz_loan_home*G1212,0)*BZ1212)</f>
        <v/>
      </c>
      <c r="BZ1213" s="11">
        <f>MIN(in_approval_cap,in_loan_home_approval*INDEX('Age profile'!$O$2:$O$61,B1213)*(1+in_approval_growth)^(D1213-1))</f>
        <v/>
      </c>
      <c r="CA1213" s="14">
        <f>F1213*BY1213*IF(B1213&gt;=in_marketplace_from,d_hz_loan_home*G1213,0)*BZ1213*in_loan_home_ticket*in_loan_home_comm</f>
        <v/>
      </c>
      <c r="CB1213" s="40">
        <f>CB1212*(1-IF(B1212&gt;=in_marketplace_from,d_hz_loan_lap*G1212,0)*CC1212)</f>
        <v/>
      </c>
      <c r="CC1213" s="11">
        <f>MIN(in_approval_cap,in_loan_lap_approval*INDEX('Age profile'!$O$2:$O$61,B1213)*(1+in_approval_growth)^(D1213-1))</f>
        <v/>
      </c>
      <c r="CD1213" s="14">
        <f>F1213*CB1213*IF(B1213&gt;=in_marketplace_from,d_hz_loan_lap*G1213,0)*CC1213*in_loan_lap_ticket*in_loan_lap_comm</f>
        <v/>
      </c>
      <c r="CE1213" s="14">
        <f>AA1213+AB1213+AC1213+AD1213+AG1213+AJ1213+AM1213+AP1213+AS1213+AU1213+AX1213+BB1213+BE1213+BG1213+BJ1213+BL1213+BO1213+BR1213+BT1213+BV1213+BX1213+CA1213+CD1213</f>
        <v/>
      </c>
    </row>
    <row r="1214">
      <c r="A1214" s="39" t="n">
        <v>26</v>
      </c>
      <c r="B1214" s="39" t="n">
        <v>13</v>
      </c>
      <c r="C1214" s="39">
        <f>A1214+B1214-1</f>
        <v/>
      </c>
      <c r="D1214" s="39">
        <f>INT((C1214-1)/12)+1</f>
        <v/>
      </c>
      <c r="E1214" s="44">
        <f>INDEX(Monthly!$B$2:$B$61,A1214)</f>
        <v/>
      </c>
      <c r="F1214" s="44">
        <f>E1214*INDEX('Age profile'!$B$2:$B$61,B1214)</f>
        <v/>
      </c>
      <c r="G1214" s="45">
        <f>MIN(in_takeup_cap,INDEX('Age profile'!$N$2:$N$61,B1214)*(1+in_takeup_growth)^(D1214-1))</f>
        <v/>
      </c>
      <c r="H1214" s="11">
        <f>MIN(in_approval_cap,in_approved_first*INDEX('Age profile'!$O$2:$O$61,B1214)*(1+in_approval_growth)^(D1214-1))</f>
        <v/>
      </c>
      <c r="I1214" s="45">
        <f>G1214*MIN(in_takeup_cap,INDEX('Age profile'!$O$2:$O$61,B1214)*(1+in_approval_growth)^(D1214-1))</f>
        <v/>
      </c>
      <c r="J1214" s="40">
        <f>(J1213-L1213)*F1214/F1213</f>
        <v/>
      </c>
      <c r="K1214" s="40">
        <f>(K1213-M1213)*F1214/F1213+SUMIFS(O1202:O1213,B1202:B1213,B1214-1-d_T)*F1214</f>
        <v/>
      </c>
      <c r="L1214" s="40">
        <f>IF(B1214&gt;=in_marketplace_from,J1214*d_hz*G1214*in_eligible*H1214,0)</f>
        <v/>
      </c>
      <c r="M1214" s="40">
        <f>IF(B1214&gt;=in_marketplace_from,K1214*d_hz*G1214*in_eligible*in_approved_repeat,0)</f>
        <v/>
      </c>
      <c r="N1214" s="40">
        <f>L1214+M1214</f>
        <v/>
      </c>
      <c r="O1214" s="46">
        <f>N1214/F1214</f>
        <v/>
      </c>
      <c r="P1214" s="40">
        <f>F1214-J1214-K1214</f>
        <v/>
      </c>
      <c r="Q1214" s="40">
        <f>IF(B1214&gt;=in_marketplace_from,(J1214+K1214)*d_hz*G1214,0)</f>
        <v/>
      </c>
      <c r="R1214" s="40">
        <f>SUMIFS(N1202:N1236,B1202:B1236,"&gt;="&amp;(B1214-d_T),B1202:B1236,"&lt;="&amp;(B1214-1))</f>
        <v/>
      </c>
      <c r="S1214" s="46">
        <f>(1-d_u)*S1213+IF(d_T&gt;in_topup_lag,SUMIFS(O1202:O1236,B1202:B1236,B1214-in_topup_lag)-d_udrop*SUMIFS(O1202:O1236,B1202:B1236,B1214-d_T),0)</f>
        <v/>
      </c>
      <c r="T1214" s="40">
        <f>F1214*d_u*S1214</f>
        <v/>
      </c>
      <c r="U1214" s="9">
        <f>L1214*in_ticket+M1214*d_rep_ticket</f>
        <v/>
      </c>
      <c r="V1214" s="9">
        <f>U1214+T1214*d_topup_amt</f>
        <v/>
      </c>
      <c r="W1214" s="40">
        <f>N1214+T1214*d_topup_ratio</f>
        <v/>
      </c>
      <c r="X1214" s="40">
        <f>SUMIFS(W1202:W1236,B1202:B1236,B1214-in_dpd_lag)*d_cured</f>
        <v/>
      </c>
      <c r="Y1214" s="40">
        <f>SUMIFS(W1202:W1236,B1202:B1236,B1214-in_rec_lag)*d_recd</f>
        <v/>
      </c>
      <c r="Z1214" s="40">
        <f>IF(AND(B1214&gt;=in_marketplace_from,B1214&lt;in_marketplace_from+in_card_months),in_card_share/in_card_months*F1214*I1214,IF(AND(B1214&gt;=in_marketplace_from+in_card_months,B1214&lt;in_marketplace_from+2*in_card_months),in_card_share*d_card_rem/in_card_months*F1214*MIN(in_takeup_cap,(1+in_takeup_growth)^(D1214-1))*MIN(in_takeup_cap,(1+in_approval_growth)^(D1214-1)),0))</f>
        <v/>
      </c>
      <c r="AA1214" s="14">
        <f>V1214*in_fee*(1-in_taken_back)</f>
        <v/>
      </c>
      <c r="AB1214" s="14">
        <f>SUMIFS(W1202:W1236,B1202:B1236,B1214-in_dpd_lag)*d_dpd</f>
        <v/>
      </c>
      <c r="AC1214" s="14">
        <f>SUMIFS(W1202:W1236,B1202:B1236,B1214-in_rec_lag)*d_rec</f>
        <v/>
      </c>
      <c r="AD1214" s="14">
        <f>Z1214*in_card_fee</f>
        <v/>
      </c>
      <c r="AE1214" s="40">
        <f>AE1213*(1-IF(B1213&gt;=in_marketplace_from,d_hz_hlth_small*G1213,0))</f>
        <v/>
      </c>
      <c r="AF1214" s="46">
        <f>AE1214*IF(B1214&gt;=in_marketplace_from,d_hz_hlth_small*G1214,0)</f>
        <v/>
      </c>
      <c r="AG1214" s="14">
        <f>F1214*AF1214*in_hlth_small_ticket*in_hlth_small_comm*in_ins_partner_share+F1214*in_hlth_small_ticket*in_hlth_small_renew_comm*in_ins_partner_share*(in_hlth_small_renew^1*SUMIFS(AF1202:AF1236,B1202:B1236,B1214-12)+in_hlth_small_renew^2*SUMIFS(AF1202:AF1236,B1202:B1236,B1214-24)+in_hlth_small_renew^3*SUMIFS(AF1202:AF1236,B1202:B1236,B1214-36)+in_hlth_small_renew^4*SUMIFS(AF1202:AF1236,B1202:B1236,B1214-48))</f>
        <v/>
      </c>
      <c r="AH1214" s="40">
        <f>AH1213*(1-IF(B1213&gt;=in_marketplace_from,d_hz_hlth_family*G1213,0))</f>
        <v/>
      </c>
      <c r="AI1214" s="46">
        <f>AH1214*IF(B1214&gt;=in_marketplace_from,d_hz_hlth_family*G1214,0)</f>
        <v/>
      </c>
      <c r="AJ1214" s="14">
        <f>F1214*AI1214*in_hlth_family_ticket*in_hlth_family_comm*in_ins_partner_share+F1214*in_hlth_family_ticket*in_hlth_family_renew_comm*in_ins_partner_share*(in_hlth_family_renew^1*SUMIFS(AI1202:AI1236,B1202:B1236,B1214-12)+in_hlth_family_renew^2*SUMIFS(AI1202:AI1236,B1202:B1236,B1214-24)+in_hlth_family_renew^3*SUMIFS(AI1202:AI1236,B1202:B1236,B1214-36)+in_hlth_family_renew^4*SUMIFS(AI1202:AI1236,B1202:B1236,B1214-48))</f>
        <v/>
      </c>
      <c r="AK1214" s="40">
        <f>AK1213*(1-IF(B1213&gt;=in_marketplace_from,d_hz_life_term*G1213,0))</f>
        <v/>
      </c>
      <c r="AL1214" s="46">
        <f>AK1214*IF(B1214&gt;=in_marketplace_from,d_hz_life_term*G1214,0)</f>
        <v/>
      </c>
      <c r="AM1214" s="14">
        <f>F1214*AL1214*in_life_term_ticket*in_life_term_comm*in_ins_partner_share+F1214*in_life_term_ticket*in_life_term_renew_comm*in_ins_partner_share*(in_life_term_renew^1*SUMIFS(AL1202:AL1236,B1202:B1236,B1214-12)+in_life_term_renew^2*SUMIFS(AL1202:AL1236,B1202:B1236,B1214-24)+in_life_term_renew^3*SUMIFS(AL1202:AL1236,B1202:B1236,B1214-36)+in_life_term_renew^4*SUMIFS(AL1202:AL1236,B1202:B1236,B1214-48))</f>
        <v/>
      </c>
      <c r="AN1214" s="40">
        <f>AN1213*(1-IF(B1213&gt;=in_marketplace_from,d_hz_accident*G1213,0))</f>
        <v/>
      </c>
      <c r="AO1214" s="46">
        <f>AN1214*IF(B1214&gt;=in_marketplace_from,d_hz_accident*G1214,0)</f>
        <v/>
      </c>
      <c r="AP1214" s="14">
        <f>F1214*AO1214*in_accident_ticket*in_accident_comm*in_ins_partner_share+F1214*in_accident_ticket*in_accident_renew_comm*in_ins_partner_share*(in_accident_renew^1*SUMIFS(AO1202:AO1236,B1202:B1236,B1214-12)+in_accident_renew^2*SUMIFS(AO1202:AO1236,B1202:B1236,B1214-24)+in_accident_renew^3*SUMIFS(AO1202:AO1236,B1202:B1236,B1214-36)+in_accident_renew^4*SUMIFS(AO1202:AO1236,B1202:B1236,B1214-48))</f>
        <v/>
      </c>
      <c r="AQ1214" s="40">
        <f>AQ1213*(1-IF(B1213&gt;=in_marketplace_from,d_hz_two_wheeler*G1213,0))</f>
        <v/>
      </c>
      <c r="AR1214" s="46">
        <f>AQ1214*IF(B1214&gt;=in_marketplace_from,d_hz_two_wheeler*G1214,0)</f>
        <v/>
      </c>
      <c r="AS1214" s="14">
        <f>F1214*AR1214*in_two_wheeler_ticket*in_two_wheeler_comm*in_ins_partner_share+F1214*in_two_wheeler_ticket*in_two_wheeler_comm*in_ins_partner_share*(in_two_wheeler_renew^1*SUMIFS(AR1202:AR1236,B1202:B1236,B1214-12)+in_two_wheeler_renew^2*SUMIFS(AR1202:AR1236,B1202:B1236,B1214-24)+in_two_wheeler_renew^3*SUMIFS(AR1202:AR1236,B1202:B1236,B1214-36)+in_two_wheeler_renew^4*SUMIFS(AR1202:AR1236,B1202:B1236,B1214-48))</f>
        <v/>
      </c>
      <c r="AT1214" s="40">
        <f>AT1213*(1-IF(B1213&gt;=in_marketplace_from,d_hz_device*G1213,0))</f>
        <v/>
      </c>
      <c r="AU1214" s="14">
        <f>F1214*AT1214*IF(B1214&gt;=in_marketplace_from,d_hz_device*G1214,0)*in_device_ticket*in_device_comm*in_ins_partner_share</f>
        <v/>
      </c>
      <c r="AV1214" s="40">
        <f>AV1213*(1-IF(B1213&gt;=in_marketplace_from,d_hz_shop*G1213,0))</f>
        <v/>
      </c>
      <c r="AW1214" s="46">
        <f>AV1214*IF(B1214&gt;=in_marketplace_from,d_hz_shop*G1214,0)</f>
        <v/>
      </c>
      <c r="AX1214" s="14">
        <f>F1214*AW1214*in_shop_ticket*in_shop_comm*in_ins_partner_share+F1214*in_shop_ticket*in_shop_renew_comm*in_ins_partner_share*(in_shop_renew^1*SUMIFS(AW1202:AW1236,B1202:B1236,B1214-12)+in_shop_renew^2*SUMIFS(AW1202:AW1236,B1202:B1236,B1214-24)+in_shop_renew^3*SUMIFS(AW1202:AW1236,B1202:B1236,B1214-36)+in_shop_renew^4*SUMIFS(AW1202:AW1236,B1202:B1236,B1214-48))</f>
        <v/>
      </c>
      <c r="AY1214" s="40">
        <f>AY1213*(1-IF(B1213&gt;=in_marketplace_from,d_hz_sip*G1213,0))</f>
        <v/>
      </c>
      <c r="AZ1214" s="40">
        <f>AZ1213*d_rho_sip+AY1214*IF(B1214&gt;=in_marketplace_from,d_hz_sip*G1214,0)</f>
        <v/>
      </c>
      <c r="BA1214" s="40">
        <f>d_rho_sip*(BA1213+AZ1213)</f>
        <v/>
      </c>
      <c r="BB1214" s="14">
        <f>F1214*in_sip_ticket*(BA1214+0.5*AZ1214)*in_sip_comm/12</f>
        <v/>
      </c>
      <c r="BC1214" s="40">
        <f>BC1213*(1-IF(B1213&gt;=in_marketplace_from,d_hz_choti*G1213,0))</f>
        <v/>
      </c>
      <c r="BD1214" s="46">
        <f>BC1214*IF(B1214&gt;=in_marketplace_from,d_hz_choti*G1214,0)</f>
        <v/>
      </c>
      <c r="BE1214" s="14">
        <f>F1214*SUMIFS(BD1202:BD1236,B1202:B1236,B1214-in_choti_months)*in_choti_renew*in_choti_ticket</f>
        <v/>
      </c>
      <c r="BF1214" s="40">
        <f>BF1213*(1-IF(B1213&gt;=in_marketplace_from,d_hz_nps*G1213,0))</f>
        <v/>
      </c>
      <c r="BG1214" s="14">
        <f>F1214*BF1214*IF(B1214&gt;=in_marketplace_from,d_hz_nps*G1214,0)*in_nps_ticket*in_nps_comm</f>
        <v/>
      </c>
      <c r="BH1214" s="40">
        <f>BH1213*(1-IF(B1213&gt;=in_marketplace_from,d_hz_gold*G1213,0))</f>
        <v/>
      </c>
      <c r="BI1214" s="40">
        <f>BI1213*d_rho_gold+BH1214*IF(B1214&gt;=in_marketplace_from,d_hz_gold*G1214,0)</f>
        <v/>
      </c>
      <c r="BJ1214" s="14">
        <f>F1214*BI1214*in_gold_ticket*in_gold_comm</f>
        <v/>
      </c>
      <c r="BK1214" s="40">
        <f>BK1213*(1-IF(B1213&gt;=in_marketplace_from,d_hz_fd*G1213,0))</f>
        <v/>
      </c>
      <c r="BL1214" s="14">
        <f>F1214*BK1214*IF(B1214&gt;=in_marketplace_from,d_hz_fd*G1214,0)*in_fd_ticket*in_fd_comm</f>
        <v/>
      </c>
      <c r="BM1214" s="40">
        <f>BM1213*(1-IF(B1213&gt;=in_marketplace_from,d_hz_recharge*G1213,0))</f>
        <v/>
      </c>
      <c r="BN1214" s="40">
        <f>BN1213*d_rho_recharge+BM1214*IF(B1214&gt;=in_marketplace_from,d_hz_recharge*G1214,0)</f>
        <v/>
      </c>
      <c r="BO1214" s="14">
        <f>F1214*BN1214*in_recharge_ticket*in_recharge_comm/12</f>
        <v/>
      </c>
      <c r="BP1214" s="40">
        <f>BP1213*(1-IF(B1213&gt;=in_marketplace_from,d_hz_bills*G1213,0))</f>
        <v/>
      </c>
      <c r="BQ1214" s="40">
        <f>BQ1213*d_rho_bills+BP1214*IF(B1214&gt;=in_marketplace_from,d_hz_bills*G1214,0)</f>
        <v/>
      </c>
      <c r="BR1214" s="14">
        <f>F1214*BQ1214*in_bills_ticket*in_bills_comm/12</f>
        <v/>
      </c>
      <c r="BS1214" s="40">
        <f>BS1213*(1-IF(B1213&gt;=in_marketplace_from,d_hz_loan_gold*G1213,0))</f>
        <v/>
      </c>
      <c r="BT1214" s="14">
        <f>F1214*BS1214*IF(B1214&gt;=in_marketplace_from,d_hz_loan_gold*G1214,0)*in_loan_gold_ticket*in_loan_gold_comm</f>
        <v/>
      </c>
      <c r="BU1214" s="40">
        <f>BU1213*(1-IF(B1213&gt;=in_marketplace_from,d_hz_loan_cd*G1213,0))</f>
        <v/>
      </c>
      <c r="BV1214" s="14">
        <f>F1214*BU1214*IF(B1214&gt;=in_marketplace_from,d_hz_loan_cd*G1214,0)*in_loan_cd_ticket*in_loan_cd_comm</f>
        <v/>
      </c>
      <c r="BW1214" s="40">
        <f>BW1213*(1-IF(B1213&gt;=in_marketplace_from,d_hz_loan_vehicle*G1213,0))</f>
        <v/>
      </c>
      <c r="BX1214" s="14">
        <f>F1214*BW1214*IF(B1214&gt;=in_marketplace_from,d_hz_loan_vehicle*G1214,0)*in_loan_vehicle_ticket*in_loan_vehicle_comm</f>
        <v/>
      </c>
      <c r="BY1214" s="40">
        <f>BY1213*(1-IF(B1213&gt;=in_marketplace_from,d_hz_loan_home*G1213,0)*BZ1213)</f>
        <v/>
      </c>
      <c r="BZ1214" s="11">
        <f>MIN(in_approval_cap,in_loan_home_approval*INDEX('Age profile'!$O$2:$O$61,B1214)*(1+in_approval_growth)^(D1214-1))</f>
        <v/>
      </c>
      <c r="CA1214" s="14">
        <f>F1214*BY1214*IF(B1214&gt;=in_marketplace_from,d_hz_loan_home*G1214,0)*BZ1214*in_loan_home_ticket*in_loan_home_comm</f>
        <v/>
      </c>
      <c r="CB1214" s="40">
        <f>CB1213*(1-IF(B1213&gt;=in_marketplace_from,d_hz_loan_lap*G1213,0)*CC1213)</f>
        <v/>
      </c>
      <c r="CC1214" s="11">
        <f>MIN(in_approval_cap,in_loan_lap_approval*INDEX('Age profile'!$O$2:$O$61,B1214)*(1+in_approval_growth)^(D1214-1))</f>
        <v/>
      </c>
      <c r="CD1214" s="14">
        <f>F1214*CB1214*IF(B1214&gt;=in_marketplace_from,d_hz_loan_lap*G1214,0)*CC1214*in_loan_lap_ticket*in_loan_lap_comm</f>
        <v/>
      </c>
      <c r="CE1214" s="14">
        <f>AA1214+AB1214+AC1214+AD1214+AG1214+AJ1214+AM1214+AP1214+AS1214+AU1214+AX1214+BB1214+BE1214+BG1214+BJ1214+BL1214+BO1214+BR1214+BT1214+BV1214+BX1214+CA1214+CD1214</f>
        <v/>
      </c>
    </row>
    <row r="1215">
      <c r="A1215" s="39" t="n">
        <v>26</v>
      </c>
      <c r="B1215" s="39" t="n">
        <v>14</v>
      </c>
      <c r="C1215" s="39">
        <f>A1215+B1215-1</f>
        <v/>
      </c>
      <c r="D1215" s="39">
        <f>INT((C1215-1)/12)+1</f>
        <v/>
      </c>
      <c r="E1215" s="44">
        <f>INDEX(Monthly!$B$2:$B$61,A1215)</f>
        <v/>
      </c>
      <c r="F1215" s="44">
        <f>E1215*INDEX('Age profile'!$B$2:$B$61,B1215)</f>
        <v/>
      </c>
      <c r="G1215" s="45">
        <f>MIN(in_takeup_cap,INDEX('Age profile'!$N$2:$N$61,B1215)*(1+in_takeup_growth)^(D1215-1))</f>
        <v/>
      </c>
      <c r="H1215" s="11">
        <f>MIN(in_approval_cap,in_approved_first*INDEX('Age profile'!$O$2:$O$61,B1215)*(1+in_approval_growth)^(D1215-1))</f>
        <v/>
      </c>
      <c r="I1215" s="45">
        <f>G1215*MIN(in_takeup_cap,INDEX('Age profile'!$O$2:$O$61,B1215)*(1+in_approval_growth)^(D1215-1))</f>
        <v/>
      </c>
      <c r="J1215" s="40">
        <f>(J1214-L1214)*F1215/F1214</f>
        <v/>
      </c>
      <c r="K1215" s="40">
        <f>(K1214-M1214)*F1215/F1214+SUMIFS(O1202:O1214,B1202:B1214,B1215-1-d_T)*F1215</f>
        <v/>
      </c>
      <c r="L1215" s="40">
        <f>IF(B1215&gt;=in_marketplace_from,J1215*d_hz*G1215*in_eligible*H1215,0)</f>
        <v/>
      </c>
      <c r="M1215" s="40">
        <f>IF(B1215&gt;=in_marketplace_from,K1215*d_hz*G1215*in_eligible*in_approved_repeat,0)</f>
        <v/>
      </c>
      <c r="N1215" s="40">
        <f>L1215+M1215</f>
        <v/>
      </c>
      <c r="O1215" s="46">
        <f>N1215/F1215</f>
        <v/>
      </c>
      <c r="P1215" s="40">
        <f>F1215-J1215-K1215</f>
        <v/>
      </c>
      <c r="Q1215" s="40">
        <f>IF(B1215&gt;=in_marketplace_from,(J1215+K1215)*d_hz*G1215,0)</f>
        <v/>
      </c>
      <c r="R1215" s="40">
        <f>SUMIFS(N1202:N1236,B1202:B1236,"&gt;="&amp;(B1215-d_T),B1202:B1236,"&lt;="&amp;(B1215-1))</f>
        <v/>
      </c>
      <c r="S1215" s="46">
        <f>(1-d_u)*S1214+IF(d_T&gt;in_topup_lag,SUMIFS(O1202:O1236,B1202:B1236,B1215-in_topup_lag)-d_udrop*SUMIFS(O1202:O1236,B1202:B1236,B1215-d_T),0)</f>
        <v/>
      </c>
      <c r="T1215" s="40">
        <f>F1215*d_u*S1215</f>
        <v/>
      </c>
      <c r="U1215" s="9">
        <f>L1215*in_ticket+M1215*d_rep_ticket</f>
        <v/>
      </c>
      <c r="V1215" s="9">
        <f>U1215+T1215*d_topup_amt</f>
        <v/>
      </c>
      <c r="W1215" s="40">
        <f>N1215+T1215*d_topup_ratio</f>
        <v/>
      </c>
      <c r="X1215" s="40">
        <f>SUMIFS(W1202:W1236,B1202:B1236,B1215-in_dpd_lag)*d_cured</f>
        <v/>
      </c>
      <c r="Y1215" s="40">
        <f>SUMIFS(W1202:W1236,B1202:B1236,B1215-in_rec_lag)*d_recd</f>
        <v/>
      </c>
      <c r="Z1215" s="40">
        <f>IF(AND(B1215&gt;=in_marketplace_from,B1215&lt;in_marketplace_from+in_card_months),in_card_share/in_card_months*F1215*I1215,IF(AND(B1215&gt;=in_marketplace_from+in_card_months,B1215&lt;in_marketplace_from+2*in_card_months),in_card_share*d_card_rem/in_card_months*F1215*MIN(in_takeup_cap,(1+in_takeup_growth)^(D1215-1))*MIN(in_takeup_cap,(1+in_approval_growth)^(D1215-1)),0))</f>
        <v/>
      </c>
      <c r="AA1215" s="14">
        <f>V1215*in_fee*(1-in_taken_back)</f>
        <v/>
      </c>
      <c r="AB1215" s="14">
        <f>SUMIFS(W1202:W1236,B1202:B1236,B1215-in_dpd_lag)*d_dpd</f>
        <v/>
      </c>
      <c r="AC1215" s="14">
        <f>SUMIFS(W1202:W1236,B1202:B1236,B1215-in_rec_lag)*d_rec</f>
        <v/>
      </c>
      <c r="AD1215" s="14">
        <f>Z1215*in_card_fee</f>
        <v/>
      </c>
      <c r="AE1215" s="40">
        <f>AE1214*(1-IF(B1214&gt;=in_marketplace_from,d_hz_hlth_small*G1214,0))</f>
        <v/>
      </c>
      <c r="AF1215" s="46">
        <f>AE1215*IF(B1215&gt;=in_marketplace_from,d_hz_hlth_small*G1215,0)</f>
        <v/>
      </c>
      <c r="AG1215" s="14">
        <f>F1215*AF1215*in_hlth_small_ticket*in_hlth_small_comm*in_ins_partner_share+F1215*in_hlth_small_ticket*in_hlth_small_renew_comm*in_ins_partner_share*(in_hlth_small_renew^1*SUMIFS(AF1202:AF1236,B1202:B1236,B1215-12)+in_hlth_small_renew^2*SUMIFS(AF1202:AF1236,B1202:B1236,B1215-24)+in_hlth_small_renew^3*SUMIFS(AF1202:AF1236,B1202:B1236,B1215-36)+in_hlth_small_renew^4*SUMIFS(AF1202:AF1236,B1202:B1236,B1215-48))</f>
        <v/>
      </c>
      <c r="AH1215" s="40">
        <f>AH1214*(1-IF(B1214&gt;=in_marketplace_from,d_hz_hlth_family*G1214,0))</f>
        <v/>
      </c>
      <c r="AI1215" s="46">
        <f>AH1215*IF(B1215&gt;=in_marketplace_from,d_hz_hlth_family*G1215,0)</f>
        <v/>
      </c>
      <c r="AJ1215" s="14">
        <f>F1215*AI1215*in_hlth_family_ticket*in_hlth_family_comm*in_ins_partner_share+F1215*in_hlth_family_ticket*in_hlth_family_renew_comm*in_ins_partner_share*(in_hlth_family_renew^1*SUMIFS(AI1202:AI1236,B1202:B1236,B1215-12)+in_hlth_family_renew^2*SUMIFS(AI1202:AI1236,B1202:B1236,B1215-24)+in_hlth_family_renew^3*SUMIFS(AI1202:AI1236,B1202:B1236,B1215-36)+in_hlth_family_renew^4*SUMIFS(AI1202:AI1236,B1202:B1236,B1215-48))</f>
        <v/>
      </c>
      <c r="AK1215" s="40">
        <f>AK1214*(1-IF(B1214&gt;=in_marketplace_from,d_hz_life_term*G1214,0))</f>
        <v/>
      </c>
      <c r="AL1215" s="46">
        <f>AK1215*IF(B1215&gt;=in_marketplace_from,d_hz_life_term*G1215,0)</f>
        <v/>
      </c>
      <c r="AM1215" s="14">
        <f>F1215*AL1215*in_life_term_ticket*in_life_term_comm*in_ins_partner_share+F1215*in_life_term_ticket*in_life_term_renew_comm*in_ins_partner_share*(in_life_term_renew^1*SUMIFS(AL1202:AL1236,B1202:B1236,B1215-12)+in_life_term_renew^2*SUMIFS(AL1202:AL1236,B1202:B1236,B1215-24)+in_life_term_renew^3*SUMIFS(AL1202:AL1236,B1202:B1236,B1215-36)+in_life_term_renew^4*SUMIFS(AL1202:AL1236,B1202:B1236,B1215-48))</f>
        <v/>
      </c>
      <c r="AN1215" s="40">
        <f>AN1214*(1-IF(B1214&gt;=in_marketplace_from,d_hz_accident*G1214,0))</f>
        <v/>
      </c>
      <c r="AO1215" s="46">
        <f>AN1215*IF(B1215&gt;=in_marketplace_from,d_hz_accident*G1215,0)</f>
        <v/>
      </c>
      <c r="AP1215" s="14">
        <f>F1215*AO1215*in_accident_ticket*in_accident_comm*in_ins_partner_share+F1215*in_accident_ticket*in_accident_renew_comm*in_ins_partner_share*(in_accident_renew^1*SUMIFS(AO1202:AO1236,B1202:B1236,B1215-12)+in_accident_renew^2*SUMIFS(AO1202:AO1236,B1202:B1236,B1215-24)+in_accident_renew^3*SUMIFS(AO1202:AO1236,B1202:B1236,B1215-36)+in_accident_renew^4*SUMIFS(AO1202:AO1236,B1202:B1236,B1215-48))</f>
        <v/>
      </c>
      <c r="AQ1215" s="40">
        <f>AQ1214*(1-IF(B1214&gt;=in_marketplace_from,d_hz_two_wheeler*G1214,0))</f>
        <v/>
      </c>
      <c r="AR1215" s="46">
        <f>AQ1215*IF(B1215&gt;=in_marketplace_from,d_hz_two_wheeler*G1215,0)</f>
        <v/>
      </c>
      <c r="AS1215" s="14">
        <f>F1215*AR1215*in_two_wheeler_ticket*in_two_wheeler_comm*in_ins_partner_share+F1215*in_two_wheeler_ticket*in_two_wheeler_comm*in_ins_partner_share*(in_two_wheeler_renew^1*SUMIFS(AR1202:AR1236,B1202:B1236,B1215-12)+in_two_wheeler_renew^2*SUMIFS(AR1202:AR1236,B1202:B1236,B1215-24)+in_two_wheeler_renew^3*SUMIFS(AR1202:AR1236,B1202:B1236,B1215-36)+in_two_wheeler_renew^4*SUMIFS(AR1202:AR1236,B1202:B1236,B1215-48))</f>
        <v/>
      </c>
      <c r="AT1215" s="40">
        <f>AT1214*(1-IF(B1214&gt;=in_marketplace_from,d_hz_device*G1214,0))</f>
        <v/>
      </c>
      <c r="AU1215" s="14">
        <f>F1215*AT1215*IF(B1215&gt;=in_marketplace_from,d_hz_device*G1215,0)*in_device_ticket*in_device_comm*in_ins_partner_share</f>
        <v/>
      </c>
      <c r="AV1215" s="40">
        <f>AV1214*(1-IF(B1214&gt;=in_marketplace_from,d_hz_shop*G1214,0))</f>
        <v/>
      </c>
      <c r="AW1215" s="46">
        <f>AV1215*IF(B1215&gt;=in_marketplace_from,d_hz_shop*G1215,0)</f>
        <v/>
      </c>
      <c r="AX1215" s="14">
        <f>F1215*AW1215*in_shop_ticket*in_shop_comm*in_ins_partner_share+F1215*in_shop_ticket*in_shop_renew_comm*in_ins_partner_share*(in_shop_renew^1*SUMIFS(AW1202:AW1236,B1202:B1236,B1215-12)+in_shop_renew^2*SUMIFS(AW1202:AW1236,B1202:B1236,B1215-24)+in_shop_renew^3*SUMIFS(AW1202:AW1236,B1202:B1236,B1215-36)+in_shop_renew^4*SUMIFS(AW1202:AW1236,B1202:B1236,B1215-48))</f>
        <v/>
      </c>
      <c r="AY1215" s="40">
        <f>AY1214*(1-IF(B1214&gt;=in_marketplace_from,d_hz_sip*G1214,0))</f>
        <v/>
      </c>
      <c r="AZ1215" s="40">
        <f>AZ1214*d_rho_sip+AY1215*IF(B1215&gt;=in_marketplace_from,d_hz_sip*G1215,0)</f>
        <v/>
      </c>
      <c r="BA1215" s="40">
        <f>d_rho_sip*(BA1214+AZ1214)</f>
        <v/>
      </c>
      <c r="BB1215" s="14">
        <f>F1215*in_sip_ticket*(BA1215+0.5*AZ1215)*in_sip_comm/12</f>
        <v/>
      </c>
      <c r="BC1215" s="40">
        <f>BC1214*(1-IF(B1214&gt;=in_marketplace_from,d_hz_choti*G1214,0))</f>
        <v/>
      </c>
      <c r="BD1215" s="46">
        <f>BC1215*IF(B1215&gt;=in_marketplace_from,d_hz_choti*G1215,0)</f>
        <v/>
      </c>
      <c r="BE1215" s="14">
        <f>F1215*SUMIFS(BD1202:BD1236,B1202:B1236,B1215-in_choti_months)*in_choti_renew*in_choti_ticket</f>
        <v/>
      </c>
      <c r="BF1215" s="40">
        <f>BF1214*(1-IF(B1214&gt;=in_marketplace_from,d_hz_nps*G1214,0))</f>
        <v/>
      </c>
      <c r="BG1215" s="14">
        <f>F1215*BF1215*IF(B1215&gt;=in_marketplace_from,d_hz_nps*G1215,0)*in_nps_ticket*in_nps_comm</f>
        <v/>
      </c>
      <c r="BH1215" s="40">
        <f>BH1214*(1-IF(B1214&gt;=in_marketplace_from,d_hz_gold*G1214,0))</f>
        <v/>
      </c>
      <c r="BI1215" s="40">
        <f>BI1214*d_rho_gold+BH1215*IF(B1215&gt;=in_marketplace_from,d_hz_gold*G1215,0)</f>
        <v/>
      </c>
      <c r="BJ1215" s="14">
        <f>F1215*BI1215*in_gold_ticket*in_gold_comm</f>
        <v/>
      </c>
      <c r="BK1215" s="40">
        <f>BK1214*(1-IF(B1214&gt;=in_marketplace_from,d_hz_fd*G1214,0))</f>
        <v/>
      </c>
      <c r="BL1215" s="14">
        <f>F1215*BK1215*IF(B1215&gt;=in_marketplace_from,d_hz_fd*G1215,0)*in_fd_ticket*in_fd_comm</f>
        <v/>
      </c>
      <c r="BM1215" s="40">
        <f>BM1214*(1-IF(B1214&gt;=in_marketplace_from,d_hz_recharge*G1214,0))</f>
        <v/>
      </c>
      <c r="BN1215" s="40">
        <f>BN1214*d_rho_recharge+BM1215*IF(B1215&gt;=in_marketplace_from,d_hz_recharge*G1215,0)</f>
        <v/>
      </c>
      <c r="BO1215" s="14">
        <f>F1215*BN1215*in_recharge_ticket*in_recharge_comm/12</f>
        <v/>
      </c>
      <c r="BP1215" s="40">
        <f>BP1214*(1-IF(B1214&gt;=in_marketplace_from,d_hz_bills*G1214,0))</f>
        <v/>
      </c>
      <c r="BQ1215" s="40">
        <f>BQ1214*d_rho_bills+BP1215*IF(B1215&gt;=in_marketplace_from,d_hz_bills*G1215,0)</f>
        <v/>
      </c>
      <c r="BR1215" s="14">
        <f>F1215*BQ1215*in_bills_ticket*in_bills_comm/12</f>
        <v/>
      </c>
      <c r="BS1215" s="40">
        <f>BS1214*(1-IF(B1214&gt;=in_marketplace_from,d_hz_loan_gold*G1214,0))</f>
        <v/>
      </c>
      <c r="BT1215" s="14">
        <f>F1215*BS1215*IF(B1215&gt;=in_marketplace_from,d_hz_loan_gold*G1215,0)*in_loan_gold_ticket*in_loan_gold_comm</f>
        <v/>
      </c>
      <c r="BU1215" s="40">
        <f>BU1214*(1-IF(B1214&gt;=in_marketplace_from,d_hz_loan_cd*G1214,0))</f>
        <v/>
      </c>
      <c r="BV1215" s="14">
        <f>F1215*BU1215*IF(B1215&gt;=in_marketplace_from,d_hz_loan_cd*G1215,0)*in_loan_cd_ticket*in_loan_cd_comm</f>
        <v/>
      </c>
      <c r="BW1215" s="40">
        <f>BW1214*(1-IF(B1214&gt;=in_marketplace_from,d_hz_loan_vehicle*G1214,0))</f>
        <v/>
      </c>
      <c r="BX1215" s="14">
        <f>F1215*BW1215*IF(B1215&gt;=in_marketplace_from,d_hz_loan_vehicle*G1215,0)*in_loan_vehicle_ticket*in_loan_vehicle_comm</f>
        <v/>
      </c>
      <c r="BY1215" s="40">
        <f>BY1214*(1-IF(B1214&gt;=in_marketplace_from,d_hz_loan_home*G1214,0)*BZ1214)</f>
        <v/>
      </c>
      <c r="BZ1215" s="11">
        <f>MIN(in_approval_cap,in_loan_home_approval*INDEX('Age profile'!$O$2:$O$61,B1215)*(1+in_approval_growth)^(D1215-1))</f>
        <v/>
      </c>
      <c r="CA1215" s="14">
        <f>F1215*BY1215*IF(B1215&gt;=in_marketplace_from,d_hz_loan_home*G1215,0)*BZ1215*in_loan_home_ticket*in_loan_home_comm</f>
        <v/>
      </c>
      <c r="CB1215" s="40">
        <f>CB1214*(1-IF(B1214&gt;=in_marketplace_from,d_hz_loan_lap*G1214,0)*CC1214)</f>
        <v/>
      </c>
      <c r="CC1215" s="11">
        <f>MIN(in_approval_cap,in_loan_lap_approval*INDEX('Age profile'!$O$2:$O$61,B1215)*(1+in_approval_growth)^(D1215-1))</f>
        <v/>
      </c>
      <c r="CD1215" s="14">
        <f>F1215*CB1215*IF(B1215&gt;=in_marketplace_from,d_hz_loan_lap*G1215,0)*CC1215*in_loan_lap_ticket*in_loan_lap_comm</f>
        <v/>
      </c>
      <c r="CE1215" s="14">
        <f>AA1215+AB1215+AC1215+AD1215+AG1215+AJ1215+AM1215+AP1215+AS1215+AU1215+AX1215+BB1215+BE1215+BG1215+BJ1215+BL1215+BO1215+BR1215+BT1215+BV1215+BX1215+CA1215+CD1215</f>
        <v/>
      </c>
    </row>
    <row r="1216">
      <c r="A1216" s="39" t="n">
        <v>26</v>
      </c>
      <c r="B1216" s="39" t="n">
        <v>15</v>
      </c>
      <c r="C1216" s="39">
        <f>A1216+B1216-1</f>
        <v/>
      </c>
      <c r="D1216" s="39">
        <f>INT((C1216-1)/12)+1</f>
        <v/>
      </c>
      <c r="E1216" s="44">
        <f>INDEX(Monthly!$B$2:$B$61,A1216)</f>
        <v/>
      </c>
      <c r="F1216" s="44">
        <f>E1216*INDEX('Age profile'!$B$2:$B$61,B1216)</f>
        <v/>
      </c>
      <c r="G1216" s="45">
        <f>MIN(in_takeup_cap,INDEX('Age profile'!$N$2:$N$61,B1216)*(1+in_takeup_growth)^(D1216-1))</f>
        <v/>
      </c>
      <c r="H1216" s="11">
        <f>MIN(in_approval_cap,in_approved_first*INDEX('Age profile'!$O$2:$O$61,B1216)*(1+in_approval_growth)^(D1216-1))</f>
        <v/>
      </c>
      <c r="I1216" s="45">
        <f>G1216*MIN(in_takeup_cap,INDEX('Age profile'!$O$2:$O$61,B1216)*(1+in_approval_growth)^(D1216-1))</f>
        <v/>
      </c>
      <c r="J1216" s="40">
        <f>(J1215-L1215)*F1216/F1215</f>
        <v/>
      </c>
      <c r="K1216" s="40">
        <f>(K1215-M1215)*F1216/F1215+SUMIFS(O1202:O1215,B1202:B1215,B1216-1-d_T)*F1216</f>
        <v/>
      </c>
      <c r="L1216" s="40">
        <f>IF(B1216&gt;=in_marketplace_from,J1216*d_hz*G1216*in_eligible*H1216,0)</f>
        <v/>
      </c>
      <c r="M1216" s="40">
        <f>IF(B1216&gt;=in_marketplace_from,K1216*d_hz*G1216*in_eligible*in_approved_repeat,0)</f>
        <v/>
      </c>
      <c r="N1216" s="40">
        <f>L1216+M1216</f>
        <v/>
      </c>
      <c r="O1216" s="46">
        <f>N1216/F1216</f>
        <v/>
      </c>
      <c r="P1216" s="40">
        <f>F1216-J1216-K1216</f>
        <v/>
      </c>
      <c r="Q1216" s="40">
        <f>IF(B1216&gt;=in_marketplace_from,(J1216+K1216)*d_hz*G1216,0)</f>
        <v/>
      </c>
      <c r="R1216" s="40">
        <f>SUMIFS(N1202:N1236,B1202:B1236,"&gt;="&amp;(B1216-d_T),B1202:B1236,"&lt;="&amp;(B1216-1))</f>
        <v/>
      </c>
      <c r="S1216" s="46">
        <f>(1-d_u)*S1215+IF(d_T&gt;in_topup_lag,SUMIFS(O1202:O1236,B1202:B1236,B1216-in_topup_lag)-d_udrop*SUMIFS(O1202:O1236,B1202:B1236,B1216-d_T),0)</f>
        <v/>
      </c>
      <c r="T1216" s="40">
        <f>F1216*d_u*S1216</f>
        <v/>
      </c>
      <c r="U1216" s="9">
        <f>L1216*in_ticket+M1216*d_rep_ticket</f>
        <v/>
      </c>
      <c r="V1216" s="9">
        <f>U1216+T1216*d_topup_amt</f>
        <v/>
      </c>
      <c r="W1216" s="40">
        <f>N1216+T1216*d_topup_ratio</f>
        <v/>
      </c>
      <c r="X1216" s="40">
        <f>SUMIFS(W1202:W1236,B1202:B1236,B1216-in_dpd_lag)*d_cured</f>
        <v/>
      </c>
      <c r="Y1216" s="40">
        <f>SUMIFS(W1202:W1236,B1202:B1236,B1216-in_rec_lag)*d_recd</f>
        <v/>
      </c>
      <c r="Z1216" s="40">
        <f>IF(AND(B1216&gt;=in_marketplace_from,B1216&lt;in_marketplace_from+in_card_months),in_card_share/in_card_months*F1216*I1216,IF(AND(B1216&gt;=in_marketplace_from+in_card_months,B1216&lt;in_marketplace_from+2*in_card_months),in_card_share*d_card_rem/in_card_months*F1216*MIN(in_takeup_cap,(1+in_takeup_growth)^(D1216-1))*MIN(in_takeup_cap,(1+in_approval_growth)^(D1216-1)),0))</f>
        <v/>
      </c>
      <c r="AA1216" s="14">
        <f>V1216*in_fee*(1-in_taken_back)</f>
        <v/>
      </c>
      <c r="AB1216" s="14">
        <f>SUMIFS(W1202:W1236,B1202:B1236,B1216-in_dpd_lag)*d_dpd</f>
        <v/>
      </c>
      <c r="AC1216" s="14">
        <f>SUMIFS(W1202:W1236,B1202:B1236,B1216-in_rec_lag)*d_rec</f>
        <v/>
      </c>
      <c r="AD1216" s="14">
        <f>Z1216*in_card_fee</f>
        <v/>
      </c>
      <c r="AE1216" s="40">
        <f>AE1215*(1-IF(B1215&gt;=in_marketplace_from,d_hz_hlth_small*G1215,0))</f>
        <v/>
      </c>
      <c r="AF1216" s="46">
        <f>AE1216*IF(B1216&gt;=in_marketplace_from,d_hz_hlth_small*G1216,0)</f>
        <v/>
      </c>
      <c r="AG1216" s="14">
        <f>F1216*AF1216*in_hlth_small_ticket*in_hlth_small_comm*in_ins_partner_share+F1216*in_hlth_small_ticket*in_hlth_small_renew_comm*in_ins_partner_share*(in_hlth_small_renew^1*SUMIFS(AF1202:AF1236,B1202:B1236,B1216-12)+in_hlth_small_renew^2*SUMIFS(AF1202:AF1236,B1202:B1236,B1216-24)+in_hlth_small_renew^3*SUMIFS(AF1202:AF1236,B1202:B1236,B1216-36)+in_hlth_small_renew^4*SUMIFS(AF1202:AF1236,B1202:B1236,B1216-48))</f>
        <v/>
      </c>
      <c r="AH1216" s="40">
        <f>AH1215*(1-IF(B1215&gt;=in_marketplace_from,d_hz_hlth_family*G1215,0))</f>
        <v/>
      </c>
      <c r="AI1216" s="46">
        <f>AH1216*IF(B1216&gt;=in_marketplace_from,d_hz_hlth_family*G1216,0)</f>
        <v/>
      </c>
      <c r="AJ1216" s="14">
        <f>F1216*AI1216*in_hlth_family_ticket*in_hlth_family_comm*in_ins_partner_share+F1216*in_hlth_family_ticket*in_hlth_family_renew_comm*in_ins_partner_share*(in_hlth_family_renew^1*SUMIFS(AI1202:AI1236,B1202:B1236,B1216-12)+in_hlth_family_renew^2*SUMIFS(AI1202:AI1236,B1202:B1236,B1216-24)+in_hlth_family_renew^3*SUMIFS(AI1202:AI1236,B1202:B1236,B1216-36)+in_hlth_family_renew^4*SUMIFS(AI1202:AI1236,B1202:B1236,B1216-48))</f>
        <v/>
      </c>
      <c r="AK1216" s="40">
        <f>AK1215*(1-IF(B1215&gt;=in_marketplace_from,d_hz_life_term*G1215,0))</f>
        <v/>
      </c>
      <c r="AL1216" s="46">
        <f>AK1216*IF(B1216&gt;=in_marketplace_from,d_hz_life_term*G1216,0)</f>
        <v/>
      </c>
      <c r="AM1216" s="14">
        <f>F1216*AL1216*in_life_term_ticket*in_life_term_comm*in_ins_partner_share+F1216*in_life_term_ticket*in_life_term_renew_comm*in_ins_partner_share*(in_life_term_renew^1*SUMIFS(AL1202:AL1236,B1202:B1236,B1216-12)+in_life_term_renew^2*SUMIFS(AL1202:AL1236,B1202:B1236,B1216-24)+in_life_term_renew^3*SUMIFS(AL1202:AL1236,B1202:B1236,B1216-36)+in_life_term_renew^4*SUMIFS(AL1202:AL1236,B1202:B1236,B1216-48))</f>
        <v/>
      </c>
      <c r="AN1216" s="40">
        <f>AN1215*(1-IF(B1215&gt;=in_marketplace_from,d_hz_accident*G1215,0))</f>
        <v/>
      </c>
      <c r="AO1216" s="46">
        <f>AN1216*IF(B1216&gt;=in_marketplace_from,d_hz_accident*G1216,0)</f>
        <v/>
      </c>
      <c r="AP1216" s="14">
        <f>F1216*AO1216*in_accident_ticket*in_accident_comm*in_ins_partner_share+F1216*in_accident_ticket*in_accident_renew_comm*in_ins_partner_share*(in_accident_renew^1*SUMIFS(AO1202:AO1236,B1202:B1236,B1216-12)+in_accident_renew^2*SUMIFS(AO1202:AO1236,B1202:B1236,B1216-24)+in_accident_renew^3*SUMIFS(AO1202:AO1236,B1202:B1236,B1216-36)+in_accident_renew^4*SUMIFS(AO1202:AO1236,B1202:B1236,B1216-48))</f>
        <v/>
      </c>
      <c r="AQ1216" s="40">
        <f>AQ1215*(1-IF(B1215&gt;=in_marketplace_from,d_hz_two_wheeler*G1215,0))</f>
        <v/>
      </c>
      <c r="AR1216" s="46">
        <f>AQ1216*IF(B1216&gt;=in_marketplace_from,d_hz_two_wheeler*G1216,0)</f>
        <v/>
      </c>
      <c r="AS1216" s="14">
        <f>F1216*AR1216*in_two_wheeler_ticket*in_two_wheeler_comm*in_ins_partner_share+F1216*in_two_wheeler_ticket*in_two_wheeler_comm*in_ins_partner_share*(in_two_wheeler_renew^1*SUMIFS(AR1202:AR1236,B1202:B1236,B1216-12)+in_two_wheeler_renew^2*SUMIFS(AR1202:AR1236,B1202:B1236,B1216-24)+in_two_wheeler_renew^3*SUMIFS(AR1202:AR1236,B1202:B1236,B1216-36)+in_two_wheeler_renew^4*SUMIFS(AR1202:AR1236,B1202:B1236,B1216-48))</f>
        <v/>
      </c>
      <c r="AT1216" s="40">
        <f>AT1215*(1-IF(B1215&gt;=in_marketplace_from,d_hz_device*G1215,0))</f>
        <v/>
      </c>
      <c r="AU1216" s="14">
        <f>F1216*AT1216*IF(B1216&gt;=in_marketplace_from,d_hz_device*G1216,0)*in_device_ticket*in_device_comm*in_ins_partner_share</f>
        <v/>
      </c>
      <c r="AV1216" s="40">
        <f>AV1215*(1-IF(B1215&gt;=in_marketplace_from,d_hz_shop*G1215,0))</f>
        <v/>
      </c>
      <c r="AW1216" s="46">
        <f>AV1216*IF(B1216&gt;=in_marketplace_from,d_hz_shop*G1216,0)</f>
        <v/>
      </c>
      <c r="AX1216" s="14">
        <f>F1216*AW1216*in_shop_ticket*in_shop_comm*in_ins_partner_share+F1216*in_shop_ticket*in_shop_renew_comm*in_ins_partner_share*(in_shop_renew^1*SUMIFS(AW1202:AW1236,B1202:B1236,B1216-12)+in_shop_renew^2*SUMIFS(AW1202:AW1236,B1202:B1236,B1216-24)+in_shop_renew^3*SUMIFS(AW1202:AW1236,B1202:B1236,B1216-36)+in_shop_renew^4*SUMIFS(AW1202:AW1236,B1202:B1236,B1216-48))</f>
        <v/>
      </c>
      <c r="AY1216" s="40">
        <f>AY1215*(1-IF(B1215&gt;=in_marketplace_from,d_hz_sip*G1215,0))</f>
        <v/>
      </c>
      <c r="AZ1216" s="40">
        <f>AZ1215*d_rho_sip+AY1216*IF(B1216&gt;=in_marketplace_from,d_hz_sip*G1216,0)</f>
        <v/>
      </c>
      <c r="BA1216" s="40">
        <f>d_rho_sip*(BA1215+AZ1215)</f>
        <v/>
      </c>
      <c r="BB1216" s="14">
        <f>F1216*in_sip_ticket*(BA1216+0.5*AZ1216)*in_sip_comm/12</f>
        <v/>
      </c>
      <c r="BC1216" s="40">
        <f>BC1215*(1-IF(B1215&gt;=in_marketplace_from,d_hz_choti*G1215,0))</f>
        <v/>
      </c>
      <c r="BD1216" s="46">
        <f>BC1216*IF(B1216&gt;=in_marketplace_from,d_hz_choti*G1216,0)</f>
        <v/>
      </c>
      <c r="BE1216" s="14">
        <f>F1216*SUMIFS(BD1202:BD1236,B1202:B1236,B1216-in_choti_months)*in_choti_renew*in_choti_ticket</f>
        <v/>
      </c>
      <c r="BF1216" s="40">
        <f>BF1215*(1-IF(B1215&gt;=in_marketplace_from,d_hz_nps*G1215,0))</f>
        <v/>
      </c>
      <c r="BG1216" s="14">
        <f>F1216*BF1216*IF(B1216&gt;=in_marketplace_from,d_hz_nps*G1216,0)*in_nps_ticket*in_nps_comm</f>
        <v/>
      </c>
      <c r="BH1216" s="40">
        <f>BH1215*(1-IF(B1215&gt;=in_marketplace_from,d_hz_gold*G1215,0))</f>
        <v/>
      </c>
      <c r="BI1216" s="40">
        <f>BI1215*d_rho_gold+BH1216*IF(B1216&gt;=in_marketplace_from,d_hz_gold*G1216,0)</f>
        <v/>
      </c>
      <c r="BJ1216" s="14">
        <f>F1216*BI1216*in_gold_ticket*in_gold_comm</f>
        <v/>
      </c>
      <c r="BK1216" s="40">
        <f>BK1215*(1-IF(B1215&gt;=in_marketplace_from,d_hz_fd*G1215,0))</f>
        <v/>
      </c>
      <c r="BL1216" s="14">
        <f>F1216*BK1216*IF(B1216&gt;=in_marketplace_from,d_hz_fd*G1216,0)*in_fd_ticket*in_fd_comm</f>
        <v/>
      </c>
      <c r="BM1216" s="40">
        <f>BM1215*(1-IF(B1215&gt;=in_marketplace_from,d_hz_recharge*G1215,0))</f>
        <v/>
      </c>
      <c r="BN1216" s="40">
        <f>BN1215*d_rho_recharge+BM1216*IF(B1216&gt;=in_marketplace_from,d_hz_recharge*G1216,0)</f>
        <v/>
      </c>
      <c r="BO1216" s="14">
        <f>F1216*BN1216*in_recharge_ticket*in_recharge_comm/12</f>
        <v/>
      </c>
      <c r="BP1216" s="40">
        <f>BP1215*(1-IF(B1215&gt;=in_marketplace_from,d_hz_bills*G1215,0))</f>
        <v/>
      </c>
      <c r="BQ1216" s="40">
        <f>BQ1215*d_rho_bills+BP1216*IF(B1216&gt;=in_marketplace_from,d_hz_bills*G1216,0)</f>
        <v/>
      </c>
      <c r="BR1216" s="14">
        <f>F1216*BQ1216*in_bills_ticket*in_bills_comm/12</f>
        <v/>
      </c>
      <c r="BS1216" s="40">
        <f>BS1215*(1-IF(B1215&gt;=in_marketplace_from,d_hz_loan_gold*G1215,0))</f>
        <v/>
      </c>
      <c r="BT1216" s="14">
        <f>F1216*BS1216*IF(B1216&gt;=in_marketplace_from,d_hz_loan_gold*G1216,0)*in_loan_gold_ticket*in_loan_gold_comm</f>
        <v/>
      </c>
      <c r="BU1216" s="40">
        <f>BU1215*(1-IF(B1215&gt;=in_marketplace_from,d_hz_loan_cd*G1215,0))</f>
        <v/>
      </c>
      <c r="BV1216" s="14">
        <f>F1216*BU1216*IF(B1216&gt;=in_marketplace_from,d_hz_loan_cd*G1216,0)*in_loan_cd_ticket*in_loan_cd_comm</f>
        <v/>
      </c>
      <c r="BW1216" s="40">
        <f>BW1215*(1-IF(B1215&gt;=in_marketplace_from,d_hz_loan_vehicle*G1215,0))</f>
        <v/>
      </c>
      <c r="BX1216" s="14">
        <f>F1216*BW1216*IF(B1216&gt;=in_marketplace_from,d_hz_loan_vehicle*G1216,0)*in_loan_vehicle_ticket*in_loan_vehicle_comm</f>
        <v/>
      </c>
      <c r="BY1216" s="40">
        <f>BY1215*(1-IF(B1215&gt;=in_marketplace_from,d_hz_loan_home*G1215,0)*BZ1215)</f>
        <v/>
      </c>
      <c r="BZ1216" s="11">
        <f>MIN(in_approval_cap,in_loan_home_approval*INDEX('Age profile'!$O$2:$O$61,B1216)*(1+in_approval_growth)^(D1216-1))</f>
        <v/>
      </c>
      <c r="CA1216" s="14">
        <f>F1216*BY1216*IF(B1216&gt;=in_marketplace_from,d_hz_loan_home*G1216,0)*BZ1216*in_loan_home_ticket*in_loan_home_comm</f>
        <v/>
      </c>
      <c r="CB1216" s="40">
        <f>CB1215*(1-IF(B1215&gt;=in_marketplace_from,d_hz_loan_lap*G1215,0)*CC1215)</f>
        <v/>
      </c>
      <c r="CC1216" s="11">
        <f>MIN(in_approval_cap,in_loan_lap_approval*INDEX('Age profile'!$O$2:$O$61,B1216)*(1+in_approval_growth)^(D1216-1))</f>
        <v/>
      </c>
      <c r="CD1216" s="14">
        <f>F1216*CB1216*IF(B1216&gt;=in_marketplace_from,d_hz_loan_lap*G1216,0)*CC1216*in_loan_lap_ticket*in_loan_lap_comm</f>
        <v/>
      </c>
      <c r="CE1216" s="14">
        <f>AA1216+AB1216+AC1216+AD1216+AG1216+AJ1216+AM1216+AP1216+AS1216+AU1216+AX1216+BB1216+BE1216+BG1216+BJ1216+BL1216+BO1216+BR1216+BT1216+BV1216+BX1216+CA1216+CD1216</f>
        <v/>
      </c>
    </row>
    <row r="1217">
      <c r="A1217" s="39" t="n">
        <v>26</v>
      </c>
      <c r="B1217" s="39" t="n">
        <v>16</v>
      </c>
      <c r="C1217" s="39">
        <f>A1217+B1217-1</f>
        <v/>
      </c>
      <c r="D1217" s="39">
        <f>INT((C1217-1)/12)+1</f>
        <v/>
      </c>
      <c r="E1217" s="44">
        <f>INDEX(Monthly!$B$2:$B$61,A1217)</f>
        <v/>
      </c>
      <c r="F1217" s="44">
        <f>E1217*INDEX('Age profile'!$B$2:$B$61,B1217)</f>
        <v/>
      </c>
      <c r="G1217" s="45">
        <f>MIN(in_takeup_cap,INDEX('Age profile'!$N$2:$N$61,B1217)*(1+in_takeup_growth)^(D1217-1))</f>
        <v/>
      </c>
      <c r="H1217" s="11">
        <f>MIN(in_approval_cap,in_approved_first*INDEX('Age profile'!$O$2:$O$61,B1217)*(1+in_approval_growth)^(D1217-1))</f>
        <v/>
      </c>
      <c r="I1217" s="45">
        <f>G1217*MIN(in_takeup_cap,INDEX('Age profile'!$O$2:$O$61,B1217)*(1+in_approval_growth)^(D1217-1))</f>
        <v/>
      </c>
      <c r="J1217" s="40">
        <f>(J1216-L1216)*F1217/F1216</f>
        <v/>
      </c>
      <c r="K1217" s="40">
        <f>(K1216-M1216)*F1217/F1216+SUMIFS(O1202:O1216,B1202:B1216,B1217-1-d_T)*F1217</f>
        <v/>
      </c>
      <c r="L1217" s="40">
        <f>IF(B1217&gt;=in_marketplace_from,J1217*d_hz*G1217*in_eligible*H1217,0)</f>
        <v/>
      </c>
      <c r="M1217" s="40">
        <f>IF(B1217&gt;=in_marketplace_from,K1217*d_hz*G1217*in_eligible*in_approved_repeat,0)</f>
        <v/>
      </c>
      <c r="N1217" s="40">
        <f>L1217+M1217</f>
        <v/>
      </c>
      <c r="O1217" s="46">
        <f>N1217/F1217</f>
        <v/>
      </c>
      <c r="P1217" s="40">
        <f>F1217-J1217-K1217</f>
        <v/>
      </c>
      <c r="Q1217" s="40">
        <f>IF(B1217&gt;=in_marketplace_from,(J1217+K1217)*d_hz*G1217,0)</f>
        <v/>
      </c>
      <c r="R1217" s="40">
        <f>SUMIFS(N1202:N1236,B1202:B1236,"&gt;="&amp;(B1217-d_T),B1202:B1236,"&lt;="&amp;(B1217-1))</f>
        <v/>
      </c>
      <c r="S1217" s="46">
        <f>(1-d_u)*S1216+IF(d_T&gt;in_topup_lag,SUMIFS(O1202:O1236,B1202:B1236,B1217-in_topup_lag)-d_udrop*SUMIFS(O1202:O1236,B1202:B1236,B1217-d_T),0)</f>
        <v/>
      </c>
      <c r="T1217" s="40">
        <f>F1217*d_u*S1217</f>
        <v/>
      </c>
      <c r="U1217" s="9">
        <f>L1217*in_ticket+M1217*d_rep_ticket</f>
        <v/>
      </c>
      <c r="V1217" s="9">
        <f>U1217+T1217*d_topup_amt</f>
        <v/>
      </c>
      <c r="W1217" s="40">
        <f>N1217+T1217*d_topup_ratio</f>
        <v/>
      </c>
      <c r="X1217" s="40">
        <f>SUMIFS(W1202:W1236,B1202:B1236,B1217-in_dpd_lag)*d_cured</f>
        <v/>
      </c>
      <c r="Y1217" s="40">
        <f>SUMIFS(W1202:W1236,B1202:B1236,B1217-in_rec_lag)*d_recd</f>
        <v/>
      </c>
      <c r="Z1217" s="40">
        <f>IF(AND(B1217&gt;=in_marketplace_from,B1217&lt;in_marketplace_from+in_card_months),in_card_share/in_card_months*F1217*I1217,IF(AND(B1217&gt;=in_marketplace_from+in_card_months,B1217&lt;in_marketplace_from+2*in_card_months),in_card_share*d_card_rem/in_card_months*F1217*MIN(in_takeup_cap,(1+in_takeup_growth)^(D1217-1))*MIN(in_takeup_cap,(1+in_approval_growth)^(D1217-1)),0))</f>
        <v/>
      </c>
      <c r="AA1217" s="14">
        <f>V1217*in_fee*(1-in_taken_back)</f>
        <v/>
      </c>
      <c r="AB1217" s="14">
        <f>SUMIFS(W1202:W1236,B1202:B1236,B1217-in_dpd_lag)*d_dpd</f>
        <v/>
      </c>
      <c r="AC1217" s="14">
        <f>SUMIFS(W1202:W1236,B1202:B1236,B1217-in_rec_lag)*d_rec</f>
        <v/>
      </c>
      <c r="AD1217" s="14">
        <f>Z1217*in_card_fee</f>
        <v/>
      </c>
      <c r="AE1217" s="40">
        <f>AE1216*(1-IF(B1216&gt;=in_marketplace_from,d_hz_hlth_small*G1216,0))</f>
        <v/>
      </c>
      <c r="AF1217" s="46">
        <f>AE1217*IF(B1217&gt;=in_marketplace_from,d_hz_hlth_small*G1217,0)</f>
        <v/>
      </c>
      <c r="AG1217" s="14">
        <f>F1217*AF1217*in_hlth_small_ticket*in_hlth_small_comm*in_ins_partner_share+F1217*in_hlth_small_ticket*in_hlth_small_renew_comm*in_ins_partner_share*(in_hlth_small_renew^1*SUMIFS(AF1202:AF1236,B1202:B1236,B1217-12)+in_hlth_small_renew^2*SUMIFS(AF1202:AF1236,B1202:B1236,B1217-24)+in_hlth_small_renew^3*SUMIFS(AF1202:AF1236,B1202:B1236,B1217-36)+in_hlth_small_renew^4*SUMIFS(AF1202:AF1236,B1202:B1236,B1217-48))</f>
        <v/>
      </c>
      <c r="AH1217" s="40">
        <f>AH1216*(1-IF(B1216&gt;=in_marketplace_from,d_hz_hlth_family*G1216,0))</f>
        <v/>
      </c>
      <c r="AI1217" s="46">
        <f>AH1217*IF(B1217&gt;=in_marketplace_from,d_hz_hlth_family*G1217,0)</f>
        <v/>
      </c>
      <c r="AJ1217" s="14">
        <f>F1217*AI1217*in_hlth_family_ticket*in_hlth_family_comm*in_ins_partner_share+F1217*in_hlth_family_ticket*in_hlth_family_renew_comm*in_ins_partner_share*(in_hlth_family_renew^1*SUMIFS(AI1202:AI1236,B1202:B1236,B1217-12)+in_hlth_family_renew^2*SUMIFS(AI1202:AI1236,B1202:B1236,B1217-24)+in_hlth_family_renew^3*SUMIFS(AI1202:AI1236,B1202:B1236,B1217-36)+in_hlth_family_renew^4*SUMIFS(AI1202:AI1236,B1202:B1236,B1217-48))</f>
        <v/>
      </c>
      <c r="AK1217" s="40">
        <f>AK1216*(1-IF(B1216&gt;=in_marketplace_from,d_hz_life_term*G1216,0))</f>
        <v/>
      </c>
      <c r="AL1217" s="46">
        <f>AK1217*IF(B1217&gt;=in_marketplace_from,d_hz_life_term*G1217,0)</f>
        <v/>
      </c>
      <c r="AM1217" s="14">
        <f>F1217*AL1217*in_life_term_ticket*in_life_term_comm*in_ins_partner_share+F1217*in_life_term_ticket*in_life_term_renew_comm*in_ins_partner_share*(in_life_term_renew^1*SUMIFS(AL1202:AL1236,B1202:B1236,B1217-12)+in_life_term_renew^2*SUMIFS(AL1202:AL1236,B1202:B1236,B1217-24)+in_life_term_renew^3*SUMIFS(AL1202:AL1236,B1202:B1236,B1217-36)+in_life_term_renew^4*SUMIFS(AL1202:AL1236,B1202:B1236,B1217-48))</f>
        <v/>
      </c>
      <c r="AN1217" s="40">
        <f>AN1216*(1-IF(B1216&gt;=in_marketplace_from,d_hz_accident*G1216,0))</f>
        <v/>
      </c>
      <c r="AO1217" s="46">
        <f>AN1217*IF(B1217&gt;=in_marketplace_from,d_hz_accident*G1217,0)</f>
        <v/>
      </c>
      <c r="AP1217" s="14">
        <f>F1217*AO1217*in_accident_ticket*in_accident_comm*in_ins_partner_share+F1217*in_accident_ticket*in_accident_renew_comm*in_ins_partner_share*(in_accident_renew^1*SUMIFS(AO1202:AO1236,B1202:B1236,B1217-12)+in_accident_renew^2*SUMIFS(AO1202:AO1236,B1202:B1236,B1217-24)+in_accident_renew^3*SUMIFS(AO1202:AO1236,B1202:B1236,B1217-36)+in_accident_renew^4*SUMIFS(AO1202:AO1236,B1202:B1236,B1217-48))</f>
        <v/>
      </c>
      <c r="AQ1217" s="40">
        <f>AQ1216*(1-IF(B1216&gt;=in_marketplace_from,d_hz_two_wheeler*G1216,0))</f>
        <v/>
      </c>
      <c r="AR1217" s="46">
        <f>AQ1217*IF(B1217&gt;=in_marketplace_from,d_hz_two_wheeler*G1217,0)</f>
        <v/>
      </c>
      <c r="AS1217" s="14">
        <f>F1217*AR1217*in_two_wheeler_ticket*in_two_wheeler_comm*in_ins_partner_share+F1217*in_two_wheeler_ticket*in_two_wheeler_comm*in_ins_partner_share*(in_two_wheeler_renew^1*SUMIFS(AR1202:AR1236,B1202:B1236,B1217-12)+in_two_wheeler_renew^2*SUMIFS(AR1202:AR1236,B1202:B1236,B1217-24)+in_two_wheeler_renew^3*SUMIFS(AR1202:AR1236,B1202:B1236,B1217-36)+in_two_wheeler_renew^4*SUMIFS(AR1202:AR1236,B1202:B1236,B1217-48))</f>
        <v/>
      </c>
      <c r="AT1217" s="40">
        <f>AT1216*(1-IF(B1216&gt;=in_marketplace_from,d_hz_device*G1216,0))</f>
        <v/>
      </c>
      <c r="AU1217" s="14">
        <f>F1217*AT1217*IF(B1217&gt;=in_marketplace_from,d_hz_device*G1217,0)*in_device_ticket*in_device_comm*in_ins_partner_share</f>
        <v/>
      </c>
      <c r="AV1217" s="40">
        <f>AV1216*(1-IF(B1216&gt;=in_marketplace_from,d_hz_shop*G1216,0))</f>
        <v/>
      </c>
      <c r="AW1217" s="46">
        <f>AV1217*IF(B1217&gt;=in_marketplace_from,d_hz_shop*G1217,0)</f>
        <v/>
      </c>
      <c r="AX1217" s="14">
        <f>F1217*AW1217*in_shop_ticket*in_shop_comm*in_ins_partner_share+F1217*in_shop_ticket*in_shop_renew_comm*in_ins_partner_share*(in_shop_renew^1*SUMIFS(AW1202:AW1236,B1202:B1236,B1217-12)+in_shop_renew^2*SUMIFS(AW1202:AW1236,B1202:B1236,B1217-24)+in_shop_renew^3*SUMIFS(AW1202:AW1236,B1202:B1236,B1217-36)+in_shop_renew^4*SUMIFS(AW1202:AW1236,B1202:B1236,B1217-48))</f>
        <v/>
      </c>
      <c r="AY1217" s="40">
        <f>AY1216*(1-IF(B1216&gt;=in_marketplace_from,d_hz_sip*G1216,0))</f>
        <v/>
      </c>
      <c r="AZ1217" s="40">
        <f>AZ1216*d_rho_sip+AY1217*IF(B1217&gt;=in_marketplace_from,d_hz_sip*G1217,0)</f>
        <v/>
      </c>
      <c r="BA1217" s="40">
        <f>d_rho_sip*(BA1216+AZ1216)</f>
        <v/>
      </c>
      <c r="BB1217" s="14">
        <f>F1217*in_sip_ticket*(BA1217+0.5*AZ1217)*in_sip_comm/12</f>
        <v/>
      </c>
      <c r="BC1217" s="40">
        <f>BC1216*(1-IF(B1216&gt;=in_marketplace_from,d_hz_choti*G1216,0))</f>
        <v/>
      </c>
      <c r="BD1217" s="46">
        <f>BC1217*IF(B1217&gt;=in_marketplace_from,d_hz_choti*G1217,0)</f>
        <v/>
      </c>
      <c r="BE1217" s="14">
        <f>F1217*SUMIFS(BD1202:BD1236,B1202:B1236,B1217-in_choti_months)*in_choti_renew*in_choti_ticket</f>
        <v/>
      </c>
      <c r="BF1217" s="40">
        <f>BF1216*(1-IF(B1216&gt;=in_marketplace_from,d_hz_nps*G1216,0))</f>
        <v/>
      </c>
      <c r="BG1217" s="14">
        <f>F1217*BF1217*IF(B1217&gt;=in_marketplace_from,d_hz_nps*G1217,0)*in_nps_ticket*in_nps_comm</f>
        <v/>
      </c>
      <c r="BH1217" s="40">
        <f>BH1216*(1-IF(B1216&gt;=in_marketplace_from,d_hz_gold*G1216,0))</f>
        <v/>
      </c>
      <c r="BI1217" s="40">
        <f>BI1216*d_rho_gold+BH1217*IF(B1217&gt;=in_marketplace_from,d_hz_gold*G1217,0)</f>
        <v/>
      </c>
      <c r="BJ1217" s="14">
        <f>F1217*BI1217*in_gold_ticket*in_gold_comm</f>
        <v/>
      </c>
      <c r="BK1217" s="40">
        <f>BK1216*(1-IF(B1216&gt;=in_marketplace_from,d_hz_fd*G1216,0))</f>
        <v/>
      </c>
      <c r="BL1217" s="14">
        <f>F1217*BK1217*IF(B1217&gt;=in_marketplace_from,d_hz_fd*G1217,0)*in_fd_ticket*in_fd_comm</f>
        <v/>
      </c>
      <c r="BM1217" s="40">
        <f>BM1216*(1-IF(B1216&gt;=in_marketplace_from,d_hz_recharge*G1216,0))</f>
        <v/>
      </c>
      <c r="BN1217" s="40">
        <f>BN1216*d_rho_recharge+BM1217*IF(B1217&gt;=in_marketplace_from,d_hz_recharge*G1217,0)</f>
        <v/>
      </c>
      <c r="BO1217" s="14">
        <f>F1217*BN1217*in_recharge_ticket*in_recharge_comm/12</f>
        <v/>
      </c>
      <c r="BP1217" s="40">
        <f>BP1216*(1-IF(B1216&gt;=in_marketplace_from,d_hz_bills*G1216,0))</f>
        <v/>
      </c>
      <c r="BQ1217" s="40">
        <f>BQ1216*d_rho_bills+BP1217*IF(B1217&gt;=in_marketplace_from,d_hz_bills*G1217,0)</f>
        <v/>
      </c>
      <c r="BR1217" s="14">
        <f>F1217*BQ1217*in_bills_ticket*in_bills_comm/12</f>
        <v/>
      </c>
      <c r="BS1217" s="40">
        <f>BS1216*(1-IF(B1216&gt;=in_marketplace_from,d_hz_loan_gold*G1216,0))</f>
        <v/>
      </c>
      <c r="BT1217" s="14">
        <f>F1217*BS1217*IF(B1217&gt;=in_marketplace_from,d_hz_loan_gold*G1217,0)*in_loan_gold_ticket*in_loan_gold_comm</f>
        <v/>
      </c>
      <c r="BU1217" s="40">
        <f>BU1216*(1-IF(B1216&gt;=in_marketplace_from,d_hz_loan_cd*G1216,0))</f>
        <v/>
      </c>
      <c r="BV1217" s="14">
        <f>F1217*BU1217*IF(B1217&gt;=in_marketplace_from,d_hz_loan_cd*G1217,0)*in_loan_cd_ticket*in_loan_cd_comm</f>
        <v/>
      </c>
      <c r="BW1217" s="40">
        <f>BW1216*(1-IF(B1216&gt;=in_marketplace_from,d_hz_loan_vehicle*G1216,0))</f>
        <v/>
      </c>
      <c r="BX1217" s="14">
        <f>F1217*BW1217*IF(B1217&gt;=in_marketplace_from,d_hz_loan_vehicle*G1217,0)*in_loan_vehicle_ticket*in_loan_vehicle_comm</f>
        <v/>
      </c>
      <c r="BY1217" s="40">
        <f>BY1216*(1-IF(B1216&gt;=in_marketplace_from,d_hz_loan_home*G1216,0)*BZ1216)</f>
        <v/>
      </c>
      <c r="BZ1217" s="11">
        <f>MIN(in_approval_cap,in_loan_home_approval*INDEX('Age profile'!$O$2:$O$61,B1217)*(1+in_approval_growth)^(D1217-1))</f>
        <v/>
      </c>
      <c r="CA1217" s="14">
        <f>F1217*BY1217*IF(B1217&gt;=in_marketplace_from,d_hz_loan_home*G1217,0)*BZ1217*in_loan_home_ticket*in_loan_home_comm</f>
        <v/>
      </c>
      <c r="CB1217" s="40">
        <f>CB1216*(1-IF(B1216&gt;=in_marketplace_from,d_hz_loan_lap*G1216,0)*CC1216)</f>
        <v/>
      </c>
      <c r="CC1217" s="11">
        <f>MIN(in_approval_cap,in_loan_lap_approval*INDEX('Age profile'!$O$2:$O$61,B1217)*(1+in_approval_growth)^(D1217-1))</f>
        <v/>
      </c>
      <c r="CD1217" s="14">
        <f>F1217*CB1217*IF(B1217&gt;=in_marketplace_from,d_hz_loan_lap*G1217,0)*CC1217*in_loan_lap_ticket*in_loan_lap_comm</f>
        <v/>
      </c>
      <c r="CE1217" s="14">
        <f>AA1217+AB1217+AC1217+AD1217+AG1217+AJ1217+AM1217+AP1217+AS1217+AU1217+AX1217+BB1217+BE1217+BG1217+BJ1217+BL1217+BO1217+BR1217+BT1217+BV1217+BX1217+CA1217+CD1217</f>
        <v/>
      </c>
    </row>
    <row r="1218">
      <c r="A1218" s="39" t="n">
        <v>26</v>
      </c>
      <c r="B1218" s="39" t="n">
        <v>17</v>
      </c>
      <c r="C1218" s="39">
        <f>A1218+B1218-1</f>
        <v/>
      </c>
      <c r="D1218" s="39">
        <f>INT((C1218-1)/12)+1</f>
        <v/>
      </c>
      <c r="E1218" s="44">
        <f>INDEX(Monthly!$B$2:$B$61,A1218)</f>
        <v/>
      </c>
      <c r="F1218" s="44">
        <f>E1218*INDEX('Age profile'!$B$2:$B$61,B1218)</f>
        <v/>
      </c>
      <c r="G1218" s="45">
        <f>MIN(in_takeup_cap,INDEX('Age profile'!$N$2:$N$61,B1218)*(1+in_takeup_growth)^(D1218-1))</f>
        <v/>
      </c>
      <c r="H1218" s="11">
        <f>MIN(in_approval_cap,in_approved_first*INDEX('Age profile'!$O$2:$O$61,B1218)*(1+in_approval_growth)^(D1218-1))</f>
        <v/>
      </c>
      <c r="I1218" s="45">
        <f>G1218*MIN(in_takeup_cap,INDEX('Age profile'!$O$2:$O$61,B1218)*(1+in_approval_growth)^(D1218-1))</f>
        <v/>
      </c>
      <c r="J1218" s="40">
        <f>(J1217-L1217)*F1218/F1217</f>
        <v/>
      </c>
      <c r="K1218" s="40">
        <f>(K1217-M1217)*F1218/F1217+SUMIFS(O1202:O1217,B1202:B1217,B1218-1-d_T)*F1218</f>
        <v/>
      </c>
      <c r="L1218" s="40">
        <f>IF(B1218&gt;=in_marketplace_from,J1218*d_hz*G1218*in_eligible*H1218,0)</f>
        <v/>
      </c>
      <c r="M1218" s="40">
        <f>IF(B1218&gt;=in_marketplace_from,K1218*d_hz*G1218*in_eligible*in_approved_repeat,0)</f>
        <v/>
      </c>
      <c r="N1218" s="40">
        <f>L1218+M1218</f>
        <v/>
      </c>
      <c r="O1218" s="46">
        <f>N1218/F1218</f>
        <v/>
      </c>
      <c r="P1218" s="40">
        <f>F1218-J1218-K1218</f>
        <v/>
      </c>
      <c r="Q1218" s="40">
        <f>IF(B1218&gt;=in_marketplace_from,(J1218+K1218)*d_hz*G1218,0)</f>
        <v/>
      </c>
      <c r="R1218" s="40">
        <f>SUMIFS(N1202:N1236,B1202:B1236,"&gt;="&amp;(B1218-d_T),B1202:B1236,"&lt;="&amp;(B1218-1))</f>
        <v/>
      </c>
      <c r="S1218" s="46">
        <f>(1-d_u)*S1217+IF(d_T&gt;in_topup_lag,SUMIFS(O1202:O1236,B1202:B1236,B1218-in_topup_lag)-d_udrop*SUMIFS(O1202:O1236,B1202:B1236,B1218-d_T),0)</f>
        <v/>
      </c>
      <c r="T1218" s="40">
        <f>F1218*d_u*S1218</f>
        <v/>
      </c>
      <c r="U1218" s="9">
        <f>L1218*in_ticket+M1218*d_rep_ticket</f>
        <v/>
      </c>
      <c r="V1218" s="9">
        <f>U1218+T1218*d_topup_amt</f>
        <v/>
      </c>
      <c r="W1218" s="40">
        <f>N1218+T1218*d_topup_ratio</f>
        <v/>
      </c>
      <c r="X1218" s="40">
        <f>SUMIFS(W1202:W1236,B1202:B1236,B1218-in_dpd_lag)*d_cured</f>
        <v/>
      </c>
      <c r="Y1218" s="40">
        <f>SUMIFS(W1202:W1236,B1202:B1236,B1218-in_rec_lag)*d_recd</f>
        <v/>
      </c>
      <c r="Z1218" s="40">
        <f>IF(AND(B1218&gt;=in_marketplace_from,B1218&lt;in_marketplace_from+in_card_months),in_card_share/in_card_months*F1218*I1218,IF(AND(B1218&gt;=in_marketplace_from+in_card_months,B1218&lt;in_marketplace_from+2*in_card_months),in_card_share*d_card_rem/in_card_months*F1218*MIN(in_takeup_cap,(1+in_takeup_growth)^(D1218-1))*MIN(in_takeup_cap,(1+in_approval_growth)^(D1218-1)),0))</f>
        <v/>
      </c>
      <c r="AA1218" s="14">
        <f>V1218*in_fee*(1-in_taken_back)</f>
        <v/>
      </c>
      <c r="AB1218" s="14">
        <f>SUMIFS(W1202:W1236,B1202:B1236,B1218-in_dpd_lag)*d_dpd</f>
        <v/>
      </c>
      <c r="AC1218" s="14">
        <f>SUMIFS(W1202:W1236,B1202:B1236,B1218-in_rec_lag)*d_rec</f>
        <v/>
      </c>
      <c r="AD1218" s="14">
        <f>Z1218*in_card_fee</f>
        <v/>
      </c>
      <c r="AE1218" s="40">
        <f>AE1217*(1-IF(B1217&gt;=in_marketplace_from,d_hz_hlth_small*G1217,0))</f>
        <v/>
      </c>
      <c r="AF1218" s="46">
        <f>AE1218*IF(B1218&gt;=in_marketplace_from,d_hz_hlth_small*G1218,0)</f>
        <v/>
      </c>
      <c r="AG1218" s="14">
        <f>F1218*AF1218*in_hlth_small_ticket*in_hlth_small_comm*in_ins_partner_share+F1218*in_hlth_small_ticket*in_hlth_small_renew_comm*in_ins_partner_share*(in_hlth_small_renew^1*SUMIFS(AF1202:AF1236,B1202:B1236,B1218-12)+in_hlth_small_renew^2*SUMIFS(AF1202:AF1236,B1202:B1236,B1218-24)+in_hlth_small_renew^3*SUMIFS(AF1202:AF1236,B1202:B1236,B1218-36)+in_hlth_small_renew^4*SUMIFS(AF1202:AF1236,B1202:B1236,B1218-48))</f>
        <v/>
      </c>
      <c r="AH1218" s="40">
        <f>AH1217*(1-IF(B1217&gt;=in_marketplace_from,d_hz_hlth_family*G1217,0))</f>
        <v/>
      </c>
      <c r="AI1218" s="46">
        <f>AH1218*IF(B1218&gt;=in_marketplace_from,d_hz_hlth_family*G1218,0)</f>
        <v/>
      </c>
      <c r="AJ1218" s="14">
        <f>F1218*AI1218*in_hlth_family_ticket*in_hlth_family_comm*in_ins_partner_share+F1218*in_hlth_family_ticket*in_hlth_family_renew_comm*in_ins_partner_share*(in_hlth_family_renew^1*SUMIFS(AI1202:AI1236,B1202:B1236,B1218-12)+in_hlth_family_renew^2*SUMIFS(AI1202:AI1236,B1202:B1236,B1218-24)+in_hlth_family_renew^3*SUMIFS(AI1202:AI1236,B1202:B1236,B1218-36)+in_hlth_family_renew^4*SUMIFS(AI1202:AI1236,B1202:B1236,B1218-48))</f>
        <v/>
      </c>
      <c r="AK1218" s="40">
        <f>AK1217*(1-IF(B1217&gt;=in_marketplace_from,d_hz_life_term*G1217,0))</f>
        <v/>
      </c>
      <c r="AL1218" s="46">
        <f>AK1218*IF(B1218&gt;=in_marketplace_from,d_hz_life_term*G1218,0)</f>
        <v/>
      </c>
      <c r="AM1218" s="14">
        <f>F1218*AL1218*in_life_term_ticket*in_life_term_comm*in_ins_partner_share+F1218*in_life_term_ticket*in_life_term_renew_comm*in_ins_partner_share*(in_life_term_renew^1*SUMIFS(AL1202:AL1236,B1202:B1236,B1218-12)+in_life_term_renew^2*SUMIFS(AL1202:AL1236,B1202:B1236,B1218-24)+in_life_term_renew^3*SUMIFS(AL1202:AL1236,B1202:B1236,B1218-36)+in_life_term_renew^4*SUMIFS(AL1202:AL1236,B1202:B1236,B1218-48))</f>
        <v/>
      </c>
      <c r="AN1218" s="40">
        <f>AN1217*(1-IF(B1217&gt;=in_marketplace_from,d_hz_accident*G1217,0))</f>
        <v/>
      </c>
      <c r="AO1218" s="46">
        <f>AN1218*IF(B1218&gt;=in_marketplace_from,d_hz_accident*G1218,0)</f>
        <v/>
      </c>
      <c r="AP1218" s="14">
        <f>F1218*AO1218*in_accident_ticket*in_accident_comm*in_ins_partner_share+F1218*in_accident_ticket*in_accident_renew_comm*in_ins_partner_share*(in_accident_renew^1*SUMIFS(AO1202:AO1236,B1202:B1236,B1218-12)+in_accident_renew^2*SUMIFS(AO1202:AO1236,B1202:B1236,B1218-24)+in_accident_renew^3*SUMIFS(AO1202:AO1236,B1202:B1236,B1218-36)+in_accident_renew^4*SUMIFS(AO1202:AO1236,B1202:B1236,B1218-48))</f>
        <v/>
      </c>
      <c r="AQ1218" s="40">
        <f>AQ1217*(1-IF(B1217&gt;=in_marketplace_from,d_hz_two_wheeler*G1217,0))</f>
        <v/>
      </c>
      <c r="AR1218" s="46">
        <f>AQ1218*IF(B1218&gt;=in_marketplace_from,d_hz_two_wheeler*G1218,0)</f>
        <v/>
      </c>
      <c r="AS1218" s="14">
        <f>F1218*AR1218*in_two_wheeler_ticket*in_two_wheeler_comm*in_ins_partner_share+F1218*in_two_wheeler_ticket*in_two_wheeler_comm*in_ins_partner_share*(in_two_wheeler_renew^1*SUMIFS(AR1202:AR1236,B1202:B1236,B1218-12)+in_two_wheeler_renew^2*SUMIFS(AR1202:AR1236,B1202:B1236,B1218-24)+in_two_wheeler_renew^3*SUMIFS(AR1202:AR1236,B1202:B1236,B1218-36)+in_two_wheeler_renew^4*SUMIFS(AR1202:AR1236,B1202:B1236,B1218-48))</f>
        <v/>
      </c>
      <c r="AT1218" s="40">
        <f>AT1217*(1-IF(B1217&gt;=in_marketplace_from,d_hz_device*G1217,0))</f>
        <v/>
      </c>
      <c r="AU1218" s="14">
        <f>F1218*AT1218*IF(B1218&gt;=in_marketplace_from,d_hz_device*G1218,0)*in_device_ticket*in_device_comm*in_ins_partner_share</f>
        <v/>
      </c>
      <c r="AV1218" s="40">
        <f>AV1217*(1-IF(B1217&gt;=in_marketplace_from,d_hz_shop*G1217,0))</f>
        <v/>
      </c>
      <c r="AW1218" s="46">
        <f>AV1218*IF(B1218&gt;=in_marketplace_from,d_hz_shop*G1218,0)</f>
        <v/>
      </c>
      <c r="AX1218" s="14">
        <f>F1218*AW1218*in_shop_ticket*in_shop_comm*in_ins_partner_share+F1218*in_shop_ticket*in_shop_renew_comm*in_ins_partner_share*(in_shop_renew^1*SUMIFS(AW1202:AW1236,B1202:B1236,B1218-12)+in_shop_renew^2*SUMIFS(AW1202:AW1236,B1202:B1236,B1218-24)+in_shop_renew^3*SUMIFS(AW1202:AW1236,B1202:B1236,B1218-36)+in_shop_renew^4*SUMIFS(AW1202:AW1236,B1202:B1236,B1218-48))</f>
        <v/>
      </c>
      <c r="AY1218" s="40">
        <f>AY1217*(1-IF(B1217&gt;=in_marketplace_from,d_hz_sip*G1217,0))</f>
        <v/>
      </c>
      <c r="AZ1218" s="40">
        <f>AZ1217*d_rho_sip+AY1218*IF(B1218&gt;=in_marketplace_from,d_hz_sip*G1218,0)</f>
        <v/>
      </c>
      <c r="BA1218" s="40">
        <f>d_rho_sip*(BA1217+AZ1217)</f>
        <v/>
      </c>
      <c r="BB1218" s="14">
        <f>F1218*in_sip_ticket*(BA1218+0.5*AZ1218)*in_sip_comm/12</f>
        <v/>
      </c>
      <c r="BC1218" s="40">
        <f>BC1217*(1-IF(B1217&gt;=in_marketplace_from,d_hz_choti*G1217,0))</f>
        <v/>
      </c>
      <c r="BD1218" s="46">
        <f>BC1218*IF(B1218&gt;=in_marketplace_from,d_hz_choti*G1218,0)</f>
        <v/>
      </c>
      <c r="BE1218" s="14">
        <f>F1218*SUMIFS(BD1202:BD1236,B1202:B1236,B1218-in_choti_months)*in_choti_renew*in_choti_ticket</f>
        <v/>
      </c>
      <c r="BF1218" s="40">
        <f>BF1217*(1-IF(B1217&gt;=in_marketplace_from,d_hz_nps*G1217,0))</f>
        <v/>
      </c>
      <c r="BG1218" s="14">
        <f>F1218*BF1218*IF(B1218&gt;=in_marketplace_from,d_hz_nps*G1218,0)*in_nps_ticket*in_nps_comm</f>
        <v/>
      </c>
      <c r="BH1218" s="40">
        <f>BH1217*(1-IF(B1217&gt;=in_marketplace_from,d_hz_gold*G1217,0))</f>
        <v/>
      </c>
      <c r="BI1218" s="40">
        <f>BI1217*d_rho_gold+BH1218*IF(B1218&gt;=in_marketplace_from,d_hz_gold*G1218,0)</f>
        <v/>
      </c>
      <c r="BJ1218" s="14">
        <f>F1218*BI1218*in_gold_ticket*in_gold_comm</f>
        <v/>
      </c>
      <c r="BK1218" s="40">
        <f>BK1217*(1-IF(B1217&gt;=in_marketplace_from,d_hz_fd*G1217,0))</f>
        <v/>
      </c>
      <c r="BL1218" s="14">
        <f>F1218*BK1218*IF(B1218&gt;=in_marketplace_from,d_hz_fd*G1218,0)*in_fd_ticket*in_fd_comm</f>
        <v/>
      </c>
      <c r="BM1218" s="40">
        <f>BM1217*(1-IF(B1217&gt;=in_marketplace_from,d_hz_recharge*G1217,0))</f>
        <v/>
      </c>
      <c r="BN1218" s="40">
        <f>BN1217*d_rho_recharge+BM1218*IF(B1218&gt;=in_marketplace_from,d_hz_recharge*G1218,0)</f>
        <v/>
      </c>
      <c r="BO1218" s="14">
        <f>F1218*BN1218*in_recharge_ticket*in_recharge_comm/12</f>
        <v/>
      </c>
      <c r="BP1218" s="40">
        <f>BP1217*(1-IF(B1217&gt;=in_marketplace_from,d_hz_bills*G1217,0))</f>
        <v/>
      </c>
      <c r="BQ1218" s="40">
        <f>BQ1217*d_rho_bills+BP1218*IF(B1218&gt;=in_marketplace_from,d_hz_bills*G1218,0)</f>
        <v/>
      </c>
      <c r="BR1218" s="14">
        <f>F1218*BQ1218*in_bills_ticket*in_bills_comm/12</f>
        <v/>
      </c>
      <c r="BS1218" s="40">
        <f>BS1217*(1-IF(B1217&gt;=in_marketplace_from,d_hz_loan_gold*G1217,0))</f>
        <v/>
      </c>
      <c r="BT1218" s="14">
        <f>F1218*BS1218*IF(B1218&gt;=in_marketplace_from,d_hz_loan_gold*G1218,0)*in_loan_gold_ticket*in_loan_gold_comm</f>
        <v/>
      </c>
      <c r="BU1218" s="40">
        <f>BU1217*(1-IF(B1217&gt;=in_marketplace_from,d_hz_loan_cd*G1217,0))</f>
        <v/>
      </c>
      <c r="BV1218" s="14">
        <f>F1218*BU1218*IF(B1218&gt;=in_marketplace_from,d_hz_loan_cd*G1218,0)*in_loan_cd_ticket*in_loan_cd_comm</f>
        <v/>
      </c>
      <c r="BW1218" s="40">
        <f>BW1217*(1-IF(B1217&gt;=in_marketplace_from,d_hz_loan_vehicle*G1217,0))</f>
        <v/>
      </c>
      <c r="BX1218" s="14">
        <f>F1218*BW1218*IF(B1218&gt;=in_marketplace_from,d_hz_loan_vehicle*G1218,0)*in_loan_vehicle_ticket*in_loan_vehicle_comm</f>
        <v/>
      </c>
      <c r="BY1218" s="40">
        <f>BY1217*(1-IF(B1217&gt;=in_marketplace_from,d_hz_loan_home*G1217,0)*BZ1217)</f>
        <v/>
      </c>
      <c r="BZ1218" s="11">
        <f>MIN(in_approval_cap,in_loan_home_approval*INDEX('Age profile'!$O$2:$O$61,B1218)*(1+in_approval_growth)^(D1218-1))</f>
        <v/>
      </c>
      <c r="CA1218" s="14">
        <f>F1218*BY1218*IF(B1218&gt;=in_marketplace_from,d_hz_loan_home*G1218,0)*BZ1218*in_loan_home_ticket*in_loan_home_comm</f>
        <v/>
      </c>
      <c r="CB1218" s="40">
        <f>CB1217*(1-IF(B1217&gt;=in_marketplace_from,d_hz_loan_lap*G1217,0)*CC1217)</f>
        <v/>
      </c>
      <c r="CC1218" s="11">
        <f>MIN(in_approval_cap,in_loan_lap_approval*INDEX('Age profile'!$O$2:$O$61,B1218)*(1+in_approval_growth)^(D1218-1))</f>
        <v/>
      </c>
      <c r="CD1218" s="14">
        <f>F1218*CB1218*IF(B1218&gt;=in_marketplace_from,d_hz_loan_lap*G1218,0)*CC1218*in_loan_lap_ticket*in_loan_lap_comm</f>
        <v/>
      </c>
      <c r="CE1218" s="14">
        <f>AA1218+AB1218+AC1218+AD1218+AG1218+AJ1218+AM1218+AP1218+AS1218+AU1218+AX1218+BB1218+BE1218+BG1218+BJ1218+BL1218+BO1218+BR1218+BT1218+BV1218+BX1218+CA1218+CD1218</f>
        <v/>
      </c>
    </row>
    <row r="1219">
      <c r="A1219" s="39" t="n">
        <v>26</v>
      </c>
      <c r="B1219" s="39" t="n">
        <v>18</v>
      </c>
      <c r="C1219" s="39">
        <f>A1219+B1219-1</f>
        <v/>
      </c>
      <c r="D1219" s="39">
        <f>INT((C1219-1)/12)+1</f>
        <v/>
      </c>
      <c r="E1219" s="44">
        <f>INDEX(Monthly!$B$2:$B$61,A1219)</f>
        <v/>
      </c>
      <c r="F1219" s="44">
        <f>E1219*INDEX('Age profile'!$B$2:$B$61,B1219)</f>
        <v/>
      </c>
      <c r="G1219" s="45">
        <f>MIN(in_takeup_cap,INDEX('Age profile'!$N$2:$N$61,B1219)*(1+in_takeup_growth)^(D1219-1))</f>
        <v/>
      </c>
      <c r="H1219" s="11">
        <f>MIN(in_approval_cap,in_approved_first*INDEX('Age profile'!$O$2:$O$61,B1219)*(1+in_approval_growth)^(D1219-1))</f>
        <v/>
      </c>
      <c r="I1219" s="45">
        <f>G1219*MIN(in_takeup_cap,INDEX('Age profile'!$O$2:$O$61,B1219)*(1+in_approval_growth)^(D1219-1))</f>
        <v/>
      </c>
      <c r="J1219" s="40">
        <f>(J1218-L1218)*F1219/F1218</f>
        <v/>
      </c>
      <c r="K1219" s="40">
        <f>(K1218-M1218)*F1219/F1218+SUMIFS(O1202:O1218,B1202:B1218,B1219-1-d_T)*F1219</f>
        <v/>
      </c>
      <c r="L1219" s="40">
        <f>IF(B1219&gt;=in_marketplace_from,J1219*d_hz*G1219*in_eligible*H1219,0)</f>
        <v/>
      </c>
      <c r="M1219" s="40">
        <f>IF(B1219&gt;=in_marketplace_from,K1219*d_hz*G1219*in_eligible*in_approved_repeat,0)</f>
        <v/>
      </c>
      <c r="N1219" s="40">
        <f>L1219+M1219</f>
        <v/>
      </c>
      <c r="O1219" s="46">
        <f>N1219/F1219</f>
        <v/>
      </c>
      <c r="P1219" s="40">
        <f>F1219-J1219-K1219</f>
        <v/>
      </c>
      <c r="Q1219" s="40">
        <f>IF(B1219&gt;=in_marketplace_from,(J1219+K1219)*d_hz*G1219,0)</f>
        <v/>
      </c>
      <c r="R1219" s="40">
        <f>SUMIFS(N1202:N1236,B1202:B1236,"&gt;="&amp;(B1219-d_T),B1202:B1236,"&lt;="&amp;(B1219-1))</f>
        <v/>
      </c>
      <c r="S1219" s="46">
        <f>(1-d_u)*S1218+IF(d_T&gt;in_topup_lag,SUMIFS(O1202:O1236,B1202:B1236,B1219-in_topup_lag)-d_udrop*SUMIFS(O1202:O1236,B1202:B1236,B1219-d_T),0)</f>
        <v/>
      </c>
      <c r="T1219" s="40">
        <f>F1219*d_u*S1219</f>
        <v/>
      </c>
      <c r="U1219" s="9">
        <f>L1219*in_ticket+M1219*d_rep_ticket</f>
        <v/>
      </c>
      <c r="V1219" s="9">
        <f>U1219+T1219*d_topup_amt</f>
        <v/>
      </c>
      <c r="W1219" s="40">
        <f>N1219+T1219*d_topup_ratio</f>
        <v/>
      </c>
      <c r="X1219" s="40">
        <f>SUMIFS(W1202:W1236,B1202:B1236,B1219-in_dpd_lag)*d_cured</f>
        <v/>
      </c>
      <c r="Y1219" s="40">
        <f>SUMIFS(W1202:W1236,B1202:B1236,B1219-in_rec_lag)*d_recd</f>
        <v/>
      </c>
      <c r="Z1219" s="40">
        <f>IF(AND(B1219&gt;=in_marketplace_from,B1219&lt;in_marketplace_from+in_card_months),in_card_share/in_card_months*F1219*I1219,IF(AND(B1219&gt;=in_marketplace_from+in_card_months,B1219&lt;in_marketplace_from+2*in_card_months),in_card_share*d_card_rem/in_card_months*F1219*MIN(in_takeup_cap,(1+in_takeup_growth)^(D1219-1))*MIN(in_takeup_cap,(1+in_approval_growth)^(D1219-1)),0))</f>
        <v/>
      </c>
      <c r="AA1219" s="14">
        <f>V1219*in_fee*(1-in_taken_back)</f>
        <v/>
      </c>
      <c r="AB1219" s="14">
        <f>SUMIFS(W1202:W1236,B1202:B1236,B1219-in_dpd_lag)*d_dpd</f>
        <v/>
      </c>
      <c r="AC1219" s="14">
        <f>SUMIFS(W1202:W1236,B1202:B1236,B1219-in_rec_lag)*d_rec</f>
        <v/>
      </c>
      <c r="AD1219" s="14">
        <f>Z1219*in_card_fee</f>
        <v/>
      </c>
      <c r="AE1219" s="40">
        <f>AE1218*(1-IF(B1218&gt;=in_marketplace_from,d_hz_hlth_small*G1218,0))</f>
        <v/>
      </c>
      <c r="AF1219" s="46">
        <f>AE1219*IF(B1219&gt;=in_marketplace_from,d_hz_hlth_small*G1219,0)</f>
        <v/>
      </c>
      <c r="AG1219" s="14">
        <f>F1219*AF1219*in_hlth_small_ticket*in_hlth_small_comm*in_ins_partner_share+F1219*in_hlth_small_ticket*in_hlth_small_renew_comm*in_ins_partner_share*(in_hlth_small_renew^1*SUMIFS(AF1202:AF1236,B1202:B1236,B1219-12)+in_hlth_small_renew^2*SUMIFS(AF1202:AF1236,B1202:B1236,B1219-24)+in_hlth_small_renew^3*SUMIFS(AF1202:AF1236,B1202:B1236,B1219-36)+in_hlth_small_renew^4*SUMIFS(AF1202:AF1236,B1202:B1236,B1219-48))</f>
        <v/>
      </c>
      <c r="AH1219" s="40">
        <f>AH1218*(1-IF(B1218&gt;=in_marketplace_from,d_hz_hlth_family*G1218,0))</f>
        <v/>
      </c>
      <c r="AI1219" s="46">
        <f>AH1219*IF(B1219&gt;=in_marketplace_from,d_hz_hlth_family*G1219,0)</f>
        <v/>
      </c>
      <c r="AJ1219" s="14">
        <f>F1219*AI1219*in_hlth_family_ticket*in_hlth_family_comm*in_ins_partner_share+F1219*in_hlth_family_ticket*in_hlth_family_renew_comm*in_ins_partner_share*(in_hlth_family_renew^1*SUMIFS(AI1202:AI1236,B1202:B1236,B1219-12)+in_hlth_family_renew^2*SUMIFS(AI1202:AI1236,B1202:B1236,B1219-24)+in_hlth_family_renew^3*SUMIFS(AI1202:AI1236,B1202:B1236,B1219-36)+in_hlth_family_renew^4*SUMIFS(AI1202:AI1236,B1202:B1236,B1219-48))</f>
        <v/>
      </c>
      <c r="AK1219" s="40">
        <f>AK1218*(1-IF(B1218&gt;=in_marketplace_from,d_hz_life_term*G1218,0))</f>
        <v/>
      </c>
      <c r="AL1219" s="46">
        <f>AK1219*IF(B1219&gt;=in_marketplace_from,d_hz_life_term*G1219,0)</f>
        <v/>
      </c>
      <c r="AM1219" s="14">
        <f>F1219*AL1219*in_life_term_ticket*in_life_term_comm*in_ins_partner_share+F1219*in_life_term_ticket*in_life_term_renew_comm*in_ins_partner_share*(in_life_term_renew^1*SUMIFS(AL1202:AL1236,B1202:B1236,B1219-12)+in_life_term_renew^2*SUMIFS(AL1202:AL1236,B1202:B1236,B1219-24)+in_life_term_renew^3*SUMIFS(AL1202:AL1236,B1202:B1236,B1219-36)+in_life_term_renew^4*SUMIFS(AL1202:AL1236,B1202:B1236,B1219-48))</f>
        <v/>
      </c>
      <c r="AN1219" s="40">
        <f>AN1218*(1-IF(B1218&gt;=in_marketplace_from,d_hz_accident*G1218,0))</f>
        <v/>
      </c>
      <c r="AO1219" s="46">
        <f>AN1219*IF(B1219&gt;=in_marketplace_from,d_hz_accident*G1219,0)</f>
        <v/>
      </c>
      <c r="AP1219" s="14">
        <f>F1219*AO1219*in_accident_ticket*in_accident_comm*in_ins_partner_share+F1219*in_accident_ticket*in_accident_renew_comm*in_ins_partner_share*(in_accident_renew^1*SUMIFS(AO1202:AO1236,B1202:B1236,B1219-12)+in_accident_renew^2*SUMIFS(AO1202:AO1236,B1202:B1236,B1219-24)+in_accident_renew^3*SUMIFS(AO1202:AO1236,B1202:B1236,B1219-36)+in_accident_renew^4*SUMIFS(AO1202:AO1236,B1202:B1236,B1219-48))</f>
        <v/>
      </c>
      <c r="AQ1219" s="40">
        <f>AQ1218*(1-IF(B1218&gt;=in_marketplace_from,d_hz_two_wheeler*G1218,0))</f>
        <v/>
      </c>
      <c r="AR1219" s="46">
        <f>AQ1219*IF(B1219&gt;=in_marketplace_from,d_hz_two_wheeler*G1219,0)</f>
        <v/>
      </c>
      <c r="AS1219" s="14">
        <f>F1219*AR1219*in_two_wheeler_ticket*in_two_wheeler_comm*in_ins_partner_share+F1219*in_two_wheeler_ticket*in_two_wheeler_comm*in_ins_partner_share*(in_two_wheeler_renew^1*SUMIFS(AR1202:AR1236,B1202:B1236,B1219-12)+in_two_wheeler_renew^2*SUMIFS(AR1202:AR1236,B1202:B1236,B1219-24)+in_two_wheeler_renew^3*SUMIFS(AR1202:AR1236,B1202:B1236,B1219-36)+in_two_wheeler_renew^4*SUMIFS(AR1202:AR1236,B1202:B1236,B1219-48))</f>
        <v/>
      </c>
      <c r="AT1219" s="40">
        <f>AT1218*(1-IF(B1218&gt;=in_marketplace_from,d_hz_device*G1218,0))</f>
        <v/>
      </c>
      <c r="AU1219" s="14">
        <f>F1219*AT1219*IF(B1219&gt;=in_marketplace_from,d_hz_device*G1219,0)*in_device_ticket*in_device_comm*in_ins_partner_share</f>
        <v/>
      </c>
      <c r="AV1219" s="40">
        <f>AV1218*(1-IF(B1218&gt;=in_marketplace_from,d_hz_shop*G1218,0))</f>
        <v/>
      </c>
      <c r="AW1219" s="46">
        <f>AV1219*IF(B1219&gt;=in_marketplace_from,d_hz_shop*G1219,0)</f>
        <v/>
      </c>
      <c r="AX1219" s="14">
        <f>F1219*AW1219*in_shop_ticket*in_shop_comm*in_ins_partner_share+F1219*in_shop_ticket*in_shop_renew_comm*in_ins_partner_share*(in_shop_renew^1*SUMIFS(AW1202:AW1236,B1202:B1236,B1219-12)+in_shop_renew^2*SUMIFS(AW1202:AW1236,B1202:B1236,B1219-24)+in_shop_renew^3*SUMIFS(AW1202:AW1236,B1202:B1236,B1219-36)+in_shop_renew^4*SUMIFS(AW1202:AW1236,B1202:B1236,B1219-48))</f>
        <v/>
      </c>
      <c r="AY1219" s="40">
        <f>AY1218*(1-IF(B1218&gt;=in_marketplace_from,d_hz_sip*G1218,0))</f>
        <v/>
      </c>
      <c r="AZ1219" s="40">
        <f>AZ1218*d_rho_sip+AY1219*IF(B1219&gt;=in_marketplace_from,d_hz_sip*G1219,0)</f>
        <v/>
      </c>
      <c r="BA1219" s="40">
        <f>d_rho_sip*(BA1218+AZ1218)</f>
        <v/>
      </c>
      <c r="BB1219" s="14">
        <f>F1219*in_sip_ticket*(BA1219+0.5*AZ1219)*in_sip_comm/12</f>
        <v/>
      </c>
      <c r="BC1219" s="40">
        <f>BC1218*(1-IF(B1218&gt;=in_marketplace_from,d_hz_choti*G1218,0))</f>
        <v/>
      </c>
      <c r="BD1219" s="46">
        <f>BC1219*IF(B1219&gt;=in_marketplace_from,d_hz_choti*G1219,0)</f>
        <v/>
      </c>
      <c r="BE1219" s="14">
        <f>F1219*SUMIFS(BD1202:BD1236,B1202:B1236,B1219-in_choti_months)*in_choti_renew*in_choti_ticket</f>
        <v/>
      </c>
      <c r="BF1219" s="40">
        <f>BF1218*(1-IF(B1218&gt;=in_marketplace_from,d_hz_nps*G1218,0))</f>
        <v/>
      </c>
      <c r="BG1219" s="14">
        <f>F1219*BF1219*IF(B1219&gt;=in_marketplace_from,d_hz_nps*G1219,0)*in_nps_ticket*in_nps_comm</f>
        <v/>
      </c>
      <c r="BH1219" s="40">
        <f>BH1218*(1-IF(B1218&gt;=in_marketplace_from,d_hz_gold*G1218,0))</f>
        <v/>
      </c>
      <c r="BI1219" s="40">
        <f>BI1218*d_rho_gold+BH1219*IF(B1219&gt;=in_marketplace_from,d_hz_gold*G1219,0)</f>
        <v/>
      </c>
      <c r="BJ1219" s="14">
        <f>F1219*BI1219*in_gold_ticket*in_gold_comm</f>
        <v/>
      </c>
      <c r="BK1219" s="40">
        <f>BK1218*(1-IF(B1218&gt;=in_marketplace_from,d_hz_fd*G1218,0))</f>
        <v/>
      </c>
      <c r="BL1219" s="14">
        <f>F1219*BK1219*IF(B1219&gt;=in_marketplace_from,d_hz_fd*G1219,0)*in_fd_ticket*in_fd_comm</f>
        <v/>
      </c>
      <c r="BM1219" s="40">
        <f>BM1218*(1-IF(B1218&gt;=in_marketplace_from,d_hz_recharge*G1218,0))</f>
        <v/>
      </c>
      <c r="BN1219" s="40">
        <f>BN1218*d_rho_recharge+BM1219*IF(B1219&gt;=in_marketplace_from,d_hz_recharge*G1219,0)</f>
        <v/>
      </c>
      <c r="BO1219" s="14">
        <f>F1219*BN1219*in_recharge_ticket*in_recharge_comm/12</f>
        <v/>
      </c>
      <c r="BP1219" s="40">
        <f>BP1218*(1-IF(B1218&gt;=in_marketplace_from,d_hz_bills*G1218,0))</f>
        <v/>
      </c>
      <c r="BQ1219" s="40">
        <f>BQ1218*d_rho_bills+BP1219*IF(B1219&gt;=in_marketplace_from,d_hz_bills*G1219,0)</f>
        <v/>
      </c>
      <c r="BR1219" s="14">
        <f>F1219*BQ1219*in_bills_ticket*in_bills_comm/12</f>
        <v/>
      </c>
      <c r="BS1219" s="40">
        <f>BS1218*(1-IF(B1218&gt;=in_marketplace_from,d_hz_loan_gold*G1218,0))</f>
        <v/>
      </c>
      <c r="BT1219" s="14">
        <f>F1219*BS1219*IF(B1219&gt;=in_marketplace_from,d_hz_loan_gold*G1219,0)*in_loan_gold_ticket*in_loan_gold_comm</f>
        <v/>
      </c>
      <c r="BU1219" s="40">
        <f>BU1218*(1-IF(B1218&gt;=in_marketplace_from,d_hz_loan_cd*G1218,0))</f>
        <v/>
      </c>
      <c r="BV1219" s="14">
        <f>F1219*BU1219*IF(B1219&gt;=in_marketplace_from,d_hz_loan_cd*G1219,0)*in_loan_cd_ticket*in_loan_cd_comm</f>
        <v/>
      </c>
      <c r="BW1219" s="40">
        <f>BW1218*(1-IF(B1218&gt;=in_marketplace_from,d_hz_loan_vehicle*G1218,0))</f>
        <v/>
      </c>
      <c r="BX1219" s="14">
        <f>F1219*BW1219*IF(B1219&gt;=in_marketplace_from,d_hz_loan_vehicle*G1219,0)*in_loan_vehicle_ticket*in_loan_vehicle_comm</f>
        <v/>
      </c>
      <c r="BY1219" s="40">
        <f>BY1218*(1-IF(B1218&gt;=in_marketplace_from,d_hz_loan_home*G1218,0)*BZ1218)</f>
        <v/>
      </c>
      <c r="BZ1219" s="11">
        <f>MIN(in_approval_cap,in_loan_home_approval*INDEX('Age profile'!$O$2:$O$61,B1219)*(1+in_approval_growth)^(D1219-1))</f>
        <v/>
      </c>
      <c r="CA1219" s="14">
        <f>F1219*BY1219*IF(B1219&gt;=in_marketplace_from,d_hz_loan_home*G1219,0)*BZ1219*in_loan_home_ticket*in_loan_home_comm</f>
        <v/>
      </c>
      <c r="CB1219" s="40">
        <f>CB1218*(1-IF(B1218&gt;=in_marketplace_from,d_hz_loan_lap*G1218,0)*CC1218)</f>
        <v/>
      </c>
      <c r="CC1219" s="11">
        <f>MIN(in_approval_cap,in_loan_lap_approval*INDEX('Age profile'!$O$2:$O$61,B1219)*(1+in_approval_growth)^(D1219-1))</f>
        <v/>
      </c>
      <c r="CD1219" s="14">
        <f>F1219*CB1219*IF(B1219&gt;=in_marketplace_from,d_hz_loan_lap*G1219,0)*CC1219*in_loan_lap_ticket*in_loan_lap_comm</f>
        <v/>
      </c>
      <c r="CE1219" s="14">
        <f>AA1219+AB1219+AC1219+AD1219+AG1219+AJ1219+AM1219+AP1219+AS1219+AU1219+AX1219+BB1219+BE1219+BG1219+BJ1219+BL1219+BO1219+BR1219+BT1219+BV1219+BX1219+CA1219+CD1219</f>
        <v/>
      </c>
    </row>
    <row r="1220">
      <c r="A1220" s="39" t="n">
        <v>26</v>
      </c>
      <c r="B1220" s="39" t="n">
        <v>19</v>
      </c>
      <c r="C1220" s="39">
        <f>A1220+B1220-1</f>
        <v/>
      </c>
      <c r="D1220" s="39">
        <f>INT((C1220-1)/12)+1</f>
        <v/>
      </c>
      <c r="E1220" s="44">
        <f>INDEX(Monthly!$B$2:$B$61,A1220)</f>
        <v/>
      </c>
      <c r="F1220" s="44">
        <f>E1220*INDEX('Age profile'!$B$2:$B$61,B1220)</f>
        <v/>
      </c>
      <c r="G1220" s="45">
        <f>MIN(in_takeup_cap,INDEX('Age profile'!$N$2:$N$61,B1220)*(1+in_takeup_growth)^(D1220-1))</f>
        <v/>
      </c>
      <c r="H1220" s="11">
        <f>MIN(in_approval_cap,in_approved_first*INDEX('Age profile'!$O$2:$O$61,B1220)*(1+in_approval_growth)^(D1220-1))</f>
        <v/>
      </c>
      <c r="I1220" s="45">
        <f>G1220*MIN(in_takeup_cap,INDEX('Age profile'!$O$2:$O$61,B1220)*(1+in_approval_growth)^(D1220-1))</f>
        <v/>
      </c>
      <c r="J1220" s="40">
        <f>(J1219-L1219)*F1220/F1219</f>
        <v/>
      </c>
      <c r="K1220" s="40">
        <f>(K1219-M1219)*F1220/F1219+SUMIFS(O1202:O1219,B1202:B1219,B1220-1-d_T)*F1220</f>
        <v/>
      </c>
      <c r="L1220" s="40">
        <f>IF(B1220&gt;=in_marketplace_from,J1220*d_hz*G1220*in_eligible*H1220,0)</f>
        <v/>
      </c>
      <c r="M1220" s="40">
        <f>IF(B1220&gt;=in_marketplace_from,K1220*d_hz*G1220*in_eligible*in_approved_repeat,0)</f>
        <v/>
      </c>
      <c r="N1220" s="40">
        <f>L1220+M1220</f>
        <v/>
      </c>
      <c r="O1220" s="46">
        <f>N1220/F1220</f>
        <v/>
      </c>
      <c r="P1220" s="40">
        <f>F1220-J1220-K1220</f>
        <v/>
      </c>
      <c r="Q1220" s="40">
        <f>IF(B1220&gt;=in_marketplace_from,(J1220+K1220)*d_hz*G1220,0)</f>
        <v/>
      </c>
      <c r="R1220" s="40">
        <f>SUMIFS(N1202:N1236,B1202:B1236,"&gt;="&amp;(B1220-d_T),B1202:B1236,"&lt;="&amp;(B1220-1))</f>
        <v/>
      </c>
      <c r="S1220" s="46">
        <f>(1-d_u)*S1219+IF(d_T&gt;in_topup_lag,SUMIFS(O1202:O1236,B1202:B1236,B1220-in_topup_lag)-d_udrop*SUMIFS(O1202:O1236,B1202:B1236,B1220-d_T),0)</f>
        <v/>
      </c>
      <c r="T1220" s="40">
        <f>F1220*d_u*S1220</f>
        <v/>
      </c>
      <c r="U1220" s="9">
        <f>L1220*in_ticket+M1220*d_rep_ticket</f>
        <v/>
      </c>
      <c r="V1220" s="9">
        <f>U1220+T1220*d_topup_amt</f>
        <v/>
      </c>
      <c r="W1220" s="40">
        <f>N1220+T1220*d_topup_ratio</f>
        <v/>
      </c>
      <c r="X1220" s="40">
        <f>SUMIFS(W1202:W1236,B1202:B1236,B1220-in_dpd_lag)*d_cured</f>
        <v/>
      </c>
      <c r="Y1220" s="40">
        <f>SUMIFS(W1202:W1236,B1202:B1236,B1220-in_rec_lag)*d_recd</f>
        <v/>
      </c>
      <c r="Z1220" s="40">
        <f>IF(AND(B1220&gt;=in_marketplace_from,B1220&lt;in_marketplace_from+in_card_months),in_card_share/in_card_months*F1220*I1220,IF(AND(B1220&gt;=in_marketplace_from+in_card_months,B1220&lt;in_marketplace_from+2*in_card_months),in_card_share*d_card_rem/in_card_months*F1220*MIN(in_takeup_cap,(1+in_takeup_growth)^(D1220-1))*MIN(in_takeup_cap,(1+in_approval_growth)^(D1220-1)),0))</f>
        <v/>
      </c>
      <c r="AA1220" s="14">
        <f>V1220*in_fee*(1-in_taken_back)</f>
        <v/>
      </c>
      <c r="AB1220" s="14">
        <f>SUMIFS(W1202:W1236,B1202:B1236,B1220-in_dpd_lag)*d_dpd</f>
        <v/>
      </c>
      <c r="AC1220" s="14">
        <f>SUMIFS(W1202:W1236,B1202:B1236,B1220-in_rec_lag)*d_rec</f>
        <v/>
      </c>
      <c r="AD1220" s="14">
        <f>Z1220*in_card_fee</f>
        <v/>
      </c>
      <c r="AE1220" s="40">
        <f>AE1219*(1-IF(B1219&gt;=in_marketplace_from,d_hz_hlth_small*G1219,0))</f>
        <v/>
      </c>
      <c r="AF1220" s="46">
        <f>AE1220*IF(B1220&gt;=in_marketplace_from,d_hz_hlth_small*G1220,0)</f>
        <v/>
      </c>
      <c r="AG1220" s="14">
        <f>F1220*AF1220*in_hlth_small_ticket*in_hlth_small_comm*in_ins_partner_share+F1220*in_hlth_small_ticket*in_hlth_small_renew_comm*in_ins_partner_share*(in_hlth_small_renew^1*SUMIFS(AF1202:AF1236,B1202:B1236,B1220-12)+in_hlth_small_renew^2*SUMIFS(AF1202:AF1236,B1202:B1236,B1220-24)+in_hlth_small_renew^3*SUMIFS(AF1202:AF1236,B1202:B1236,B1220-36)+in_hlth_small_renew^4*SUMIFS(AF1202:AF1236,B1202:B1236,B1220-48))</f>
        <v/>
      </c>
      <c r="AH1220" s="40">
        <f>AH1219*(1-IF(B1219&gt;=in_marketplace_from,d_hz_hlth_family*G1219,0))</f>
        <v/>
      </c>
      <c r="AI1220" s="46">
        <f>AH1220*IF(B1220&gt;=in_marketplace_from,d_hz_hlth_family*G1220,0)</f>
        <v/>
      </c>
      <c r="AJ1220" s="14">
        <f>F1220*AI1220*in_hlth_family_ticket*in_hlth_family_comm*in_ins_partner_share+F1220*in_hlth_family_ticket*in_hlth_family_renew_comm*in_ins_partner_share*(in_hlth_family_renew^1*SUMIFS(AI1202:AI1236,B1202:B1236,B1220-12)+in_hlth_family_renew^2*SUMIFS(AI1202:AI1236,B1202:B1236,B1220-24)+in_hlth_family_renew^3*SUMIFS(AI1202:AI1236,B1202:B1236,B1220-36)+in_hlth_family_renew^4*SUMIFS(AI1202:AI1236,B1202:B1236,B1220-48))</f>
        <v/>
      </c>
      <c r="AK1220" s="40">
        <f>AK1219*(1-IF(B1219&gt;=in_marketplace_from,d_hz_life_term*G1219,0))</f>
        <v/>
      </c>
      <c r="AL1220" s="46">
        <f>AK1220*IF(B1220&gt;=in_marketplace_from,d_hz_life_term*G1220,0)</f>
        <v/>
      </c>
      <c r="AM1220" s="14">
        <f>F1220*AL1220*in_life_term_ticket*in_life_term_comm*in_ins_partner_share+F1220*in_life_term_ticket*in_life_term_renew_comm*in_ins_partner_share*(in_life_term_renew^1*SUMIFS(AL1202:AL1236,B1202:B1236,B1220-12)+in_life_term_renew^2*SUMIFS(AL1202:AL1236,B1202:B1236,B1220-24)+in_life_term_renew^3*SUMIFS(AL1202:AL1236,B1202:B1236,B1220-36)+in_life_term_renew^4*SUMIFS(AL1202:AL1236,B1202:B1236,B1220-48))</f>
        <v/>
      </c>
      <c r="AN1220" s="40">
        <f>AN1219*(1-IF(B1219&gt;=in_marketplace_from,d_hz_accident*G1219,0))</f>
        <v/>
      </c>
      <c r="AO1220" s="46">
        <f>AN1220*IF(B1220&gt;=in_marketplace_from,d_hz_accident*G1220,0)</f>
        <v/>
      </c>
      <c r="AP1220" s="14">
        <f>F1220*AO1220*in_accident_ticket*in_accident_comm*in_ins_partner_share+F1220*in_accident_ticket*in_accident_renew_comm*in_ins_partner_share*(in_accident_renew^1*SUMIFS(AO1202:AO1236,B1202:B1236,B1220-12)+in_accident_renew^2*SUMIFS(AO1202:AO1236,B1202:B1236,B1220-24)+in_accident_renew^3*SUMIFS(AO1202:AO1236,B1202:B1236,B1220-36)+in_accident_renew^4*SUMIFS(AO1202:AO1236,B1202:B1236,B1220-48))</f>
        <v/>
      </c>
      <c r="AQ1220" s="40">
        <f>AQ1219*(1-IF(B1219&gt;=in_marketplace_from,d_hz_two_wheeler*G1219,0))</f>
        <v/>
      </c>
      <c r="AR1220" s="46">
        <f>AQ1220*IF(B1220&gt;=in_marketplace_from,d_hz_two_wheeler*G1220,0)</f>
        <v/>
      </c>
      <c r="AS1220" s="14">
        <f>F1220*AR1220*in_two_wheeler_ticket*in_two_wheeler_comm*in_ins_partner_share+F1220*in_two_wheeler_ticket*in_two_wheeler_comm*in_ins_partner_share*(in_two_wheeler_renew^1*SUMIFS(AR1202:AR1236,B1202:B1236,B1220-12)+in_two_wheeler_renew^2*SUMIFS(AR1202:AR1236,B1202:B1236,B1220-24)+in_two_wheeler_renew^3*SUMIFS(AR1202:AR1236,B1202:B1236,B1220-36)+in_two_wheeler_renew^4*SUMIFS(AR1202:AR1236,B1202:B1236,B1220-48))</f>
        <v/>
      </c>
      <c r="AT1220" s="40">
        <f>AT1219*(1-IF(B1219&gt;=in_marketplace_from,d_hz_device*G1219,0))</f>
        <v/>
      </c>
      <c r="AU1220" s="14">
        <f>F1220*AT1220*IF(B1220&gt;=in_marketplace_from,d_hz_device*G1220,0)*in_device_ticket*in_device_comm*in_ins_partner_share</f>
        <v/>
      </c>
      <c r="AV1220" s="40">
        <f>AV1219*(1-IF(B1219&gt;=in_marketplace_from,d_hz_shop*G1219,0))</f>
        <v/>
      </c>
      <c r="AW1220" s="46">
        <f>AV1220*IF(B1220&gt;=in_marketplace_from,d_hz_shop*G1220,0)</f>
        <v/>
      </c>
      <c r="AX1220" s="14">
        <f>F1220*AW1220*in_shop_ticket*in_shop_comm*in_ins_partner_share+F1220*in_shop_ticket*in_shop_renew_comm*in_ins_partner_share*(in_shop_renew^1*SUMIFS(AW1202:AW1236,B1202:B1236,B1220-12)+in_shop_renew^2*SUMIFS(AW1202:AW1236,B1202:B1236,B1220-24)+in_shop_renew^3*SUMIFS(AW1202:AW1236,B1202:B1236,B1220-36)+in_shop_renew^4*SUMIFS(AW1202:AW1236,B1202:B1236,B1220-48))</f>
        <v/>
      </c>
      <c r="AY1220" s="40">
        <f>AY1219*(1-IF(B1219&gt;=in_marketplace_from,d_hz_sip*G1219,0))</f>
        <v/>
      </c>
      <c r="AZ1220" s="40">
        <f>AZ1219*d_rho_sip+AY1220*IF(B1220&gt;=in_marketplace_from,d_hz_sip*G1220,0)</f>
        <v/>
      </c>
      <c r="BA1220" s="40">
        <f>d_rho_sip*(BA1219+AZ1219)</f>
        <v/>
      </c>
      <c r="BB1220" s="14">
        <f>F1220*in_sip_ticket*(BA1220+0.5*AZ1220)*in_sip_comm/12</f>
        <v/>
      </c>
      <c r="BC1220" s="40">
        <f>BC1219*(1-IF(B1219&gt;=in_marketplace_from,d_hz_choti*G1219,0))</f>
        <v/>
      </c>
      <c r="BD1220" s="46">
        <f>BC1220*IF(B1220&gt;=in_marketplace_from,d_hz_choti*G1220,0)</f>
        <v/>
      </c>
      <c r="BE1220" s="14">
        <f>F1220*SUMIFS(BD1202:BD1236,B1202:B1236,B1220-in_choti_months)*in_choti_renew*in_choti_ticket</f>
        <v/>
      </c>
      <c r="BF1220" s="40">
        <f>BF1219*(1-IF(B1219&gt;=in_marketplace_from,d_hz_nps*G1219,0))</f>
        <v/>
      </c>
      <c r="BG1220" s="14">
        <f>F1220*BF1220*IF(B1220&gt;=in_marketplace_from,d_hz_nps*G1220,0)*in_nps_ticket*in_nps_comm</f>
        <v/>
      </c>
      <c r="BH1220" s="40">
        <f>BH1219*(1-IF(B1219&gt;=in_marketplace_from,d_hz_gold*G1219,0))</f>
        <v/>
      </c>
      <c r="BI1220" s="40">
        <f>BI1219*d_rho_gold+BH1220*IF(B1220&gt;=in_marketplace_from,d_hz_gold*G1220,0)</f>
        <v/>
      </c>
      <c r="BJ1220" s="14">
        <f>F1220*BI1220*in_gold_ticket*in_gold_comm</f>
        <v/>
      </c>
      <c r="BK1220" s="40">
        <f>BK1219*(1-IF(B1219&gt;=in_marketplace_from,d_hz_fd*G1219,0))</f>
        <v/>
      </c>
      <c r="BL1220" s="14">
        <f>F1220*BK1220*IF(B1220&gt;=in_marketplace_from,d_hz_fd*G1220,0)*in_fd_ticket*in_fd_comm</f>
        <v/>
      </c>
      <c r="BM1220" s="40">
        <f>BM1219*(1-IF(B1219&gt;=in_marketplace_from,d_hz_recharge*G1219,0))</f>
        <v/>
      </c>
      <c r="BN1220" s="40">
        <f>BN1219*d_rho_recharge+BM1220*IF(B1220&gt;=in_marketplace_from,d_hz_recharge*G1220,0)</f>
        <v/>
      </c>
      <c r="BO1220" s="14">
        <f>F1220*BN1220*in_recharge_ticket*in_recharge_comm/12</f>
        <v/>
      </c>
      <c r="BP1220" s="40">
        <f>BP1219*(1-IF(B1219&gt;=in_marketplace_from,d_hz_bills*G1219,0))</f>
        <v/>
      </c>
      <c r="BQ1220" s="40">
        <f>BQ1219*d_rho_bills+BP1220*IF(B1220&gt;=in_marketplace_from,d_hz_bills*G1220,0)</f>
        <v/>
      </c>
      <c r="BR1220" s="14">
        <f>F1220*BQ1220*in_bills_ticket*in_bills_comm/12</f>
        <v/>
      </c>
      <c r="BS1220" s="40">
        <f>BS1219*(1-IF(B1219&gt;=in_marketplace_from,d_hz_loan_gold*G1219,0))</f>
        <v/>
      </c>
      <c r="BT1220" s="14">
        <f>F1220*BS1220*IF(B1220&gt;=in_marketplace_from,d_hz_loan_gold*G1220,0)*in_loan_gold_ticket*in_loan_gold_comm</f>
        <v/>
      </c>
      <c r="BU1220" s="40">
        <f>BU1219*(1-IF(B1219&gt;=in_marketplace_from,d_hz_loan_cd*G1219,0))</f>
        <v/>
      </c>
      <c r="BV1220" s="14">
        <f>F1220*BU1220*IF(B1220&gt;=in_marketplace_from,d_hz_loan_cd*G1220,0)*in_loan_cd_ticket*in_loan_cd_comm</f>
        <v/>
      </c>
      <c r="BW1220" s="40">
        <f>BW1219*(1-IF(B1219&gt;=in_marketplace_from,d_hz_loan_vehicle*G1219,0))</f>
        <v/>
      </c>
      <c r="BX1220" s="14">
        <f>F1220*BW1220*IF(B1220&gt;=in_marketplace_from,d_hz_loan_vehicle*G1220,0)*in_loan_vehicle_ticket*in_loan_vehicle_comm</f>
        <v/>
      </c>
      <c r="BY1220" s="40">
        <f>BY1219*(1-IF(B1219&gt;=in_marketplace_from,d_hz_loan_home*G1219,0)*BZ1219)</f>
        <v/>
      </c>
      <c r="BZ1220" s="11">
        <f>MIN(in_approval_cap,in_loan_home_approval*INDEX('Age profile'!$O$2:$O$61,B1220)*(1+in_approval_growth)^(D1220-1))</f>
        <v/>
      </c>
      <c r="CA1220" s="14">
        <f>F1220*BY1220*IF(B1220&gt;=in_marketplace_from,d_hz_loan_home*G1220,0)*BZ1220*in_loan_home_ticket*in_loan_home_comm</f>
        <v/>
      </c>
      <c r="CB1220" s="40">
        <f>CB1219*(1-IF(B1219&gt;=in_marketplace_from,d_hz_loan_lap*G1219,0)*CC1219)</f>
        <v/>
      </c>
      <c r="CC1220" s="11">
        <f>MIN(in_approval_cap,in_loan_lap_approval*INDEX('Age profile'!$O$2:$O$61,B1220)*(1+in_approval_growth)^(D1220-1))</f>
        <v/>
      </c>
      <c r="CD1220" s="14">
        <f>F1220*CB1220*IF(B1220&gt;=in_marketplace_from,d_hz_loan_lap*G1220,0)*CC1220*in_loan_lap_ticket*in_loan_lap_comm</f>
        <v/>
      </c>
      <c r="CE1220" s="14">
        <f>AA1220+AB1220+AC1220+AD1220+AG1220+AJ1220+AM1220+AP1220+AS1220+AU1220+AX1220+BB1220+BE1220+BG1220+BJ1220+BL1220+BO1220+BR1220+BT1220+BV1220+BX1220+CA1220+CD1220</f>
        <v/>
      </c>
    </row>
    <row r="1221">
      <c r="A1221" s="39" t="n">
        <v>26</v>
      </c>
      <c r="B1221" s="39" t="n">
        <v>20</v>
      </c>
      <c r="C1221" s="39">
        <f>A1221+B1221-1</f>
        <v/>
      </c>
      <c r="D1221" s="39">
        <f>INT((C1221-1)/12)+1</f>
        <v/>
      </c>
      <c r="E1221" s="44">
        <f>INDEX(Monthly!$B$2:$B$61,A1221)</f>
        <v/>
      </c>
      <c r="F1221" s="44">
        <f>E1221*INDEX('Age profile'!$B$2:$B$61,B1221)</f>
        <v/>
      </c>
      <c r="G1221" s="45">
        <f>MIN(in_takeup_cap,INDEX('Age profile'!$N$2:$N$61,B1221)*(1+in_takeup_growth)^(D1221-1))</f>
        <v/>
      </c>
      <c r="H1221" s="11">
        <f>MIN(in_approval_cap,in_approved_first*INDEX('Age profile'!$O$2:$O$61,B1221)*(1+in_approval_growth)^(D1221-1))</f>
        <v/>
      </c>
      <c r="I1221" s="45">
        <f>G1221*MIN(in_takeup_cap,INDEX('Age profile'!$O$2:$O$61,B1221)*(1+in_approval_growth)^(D1221-1))</f>
        <v/>
      </c>
      <c r="J1221" s="40">
        <f>(J1220-L1220)*F1221/F1220</f>
        <v/>
      </c>
      <c r="K1221" s="40">
        <f>(K1220-M1220)*F1221/F1220+SUMIFS(O1202:O1220,B1202:B1220,B1221-1-d_T)*F1221</f>
        <v/>
      </c>
      <c r="L1221" s="40">
        <f>IF(B1221&gt;=in_marketplace_from,J1221*d_hz*G1221*in_eligible*H1221,0)</f>
        <v/>
      </c>
      <c r="M1221" s="40">
        <f>IF(B1221&gt;=in_marketplace_from,K1221*d_hz*G1221*in_eligible*in_approved_repeat,0)</f>
        <v/>
      </c>
      <c r="N1221" s="40">
        <f>L1221+M1221</f>
        <v/>
      </c>
      <c r="O1221" s="46">
        <f>N1221/F1221</f>
        <v/>
      </c>
      <c r="P1221" s="40">
        <f>F1221-J1221-K1221</f>
        <v/>
      </c>
      <c r="Q1221" s="40">
        <f>IF(B1221&gt;=in_marketplace_from,(J1221+K1221)*d_hz*G1221,0)</f>
        <v/>
      </c>
      <c r="R1221" s="40">
        <f>SUMIFS(N1202:N1236,B1202:B1236,"&gt;="&amp;(B1221-d_T),B1202:B1236,"&lt;="&amp;(B1221-1))</f>
        <v/>
      </c>
      <c r="S1221" s="46">
        <f>(1-d_u)*S1220+IF(d_T&gt;in_topup_lag,SUMIFS(O1202:O1236,B1202:B1236,B1221-in_topup_lag)-d_udrop*SUMIFS(O1202:O1236,B1202:B1236,B1221-d_T),0)</f>
        <v/>
      </c>
      <c r="T1221" s="40">
        <f>F1221*d_u*S1221</f>
        <v/>
      </c>
      <c r="U1221" s="9">
        <f>L1221*in_ticket+M1221*d_rep_ticket</f>
        <v/>
      </c>
      <c r="V1221" s="9">
        <f>U1221+T1221*d_topup_amt</f>
        <v/>
      </c>
      <c r="W1221" s="40">
        <f>N1221+T1221*d_topup_ratio</f>
        <v/>
      </c>
      <c r="X1221" s="40">
        <f>SUMIFS(W1202:W1236,B1202:B1236,B1221-in_dpd_lag)*d_cured</f>
        <v/>
      </c>
      <c r="Y1221" s="40">
        <f>SUMIFS(W1202:W1236,B1202:B1236,B1221-in_rec_lag)*d_recd</f>
        <v/>
      </c>
      <c r="Z1221" s="40">
        <f>IF(AND(B1221&gt;=in_marketplace_from,B1221&lt;in_marketplace_from+in_card_months),in_card_share/in_card_months*F1221*I1221,IF(AND(B1221&gt;=in_marketplace_from+in_card_months,B1221&lt;in_marketplace_from+2*in_card_months),in_card_share*d_card_rem/in_card_months*F1221*MIN(in_takeup_cap,(1+in_takeup_growth)^(D1221-1))*MIN(in_takeup_cap,(1+in_approval_growth)^(D1221-1)),0))</f>
        <v/>
      </c>
      <c r="AA1221" s="14">
        <f>V1221*in_fee*(1-in_taken_back)</f>
        <v/>
      </c>
      <c r="AB1221" s="14">
        <f>SUMIFS(W1202:W1236,B1202:B1236,B1221-in_dpd_lag)*d_dpd</f>
        <v/>
      </c>
      <c r="AC1221" s="14">
        <f>SUMIFS(W1202:W1236,B1202:B1236,B1221-in_rec_lag)*d_rec</f>
        <v/>
      </c>
      <c r="AD1221" s="14">
        <f>Z1221*in_card_fee</f>
        <v/>
      </c>
      <c r="AE1221" s="40">
        <f>AE1220*(1-IF(B1220&gt;=in_marketplace_from,d_hz_hlth_small*G1220,0))</f>
        <v/>
      </c>
      <c r="AF1221" s="46">
        <f>AE1221*IF(B1221&gt;=in_marketplace_from,d_hz_hlth_small*G1221,0)</f>
        <v/>
      </c>
      <c r="AG1221" s="14">
        <f>F1221*AF1221*in_hlth_small_ticket*in_hlth_small_comm*in_ins_partner_share+F1221*in_hlth_small_ticket*in_hlth_small_renew_comm*in_ins_partner_share*(in_hlth_small_renew^1*SUMIFS(AF1202:AF1236,B1202:B1236,B1221-12)+in_hlth_small_renew^2*SUMIFS(AF1202:AF1236,B1202:B1236,B1221-24)+in_hlth_small_renew^3*SUMIFS(AF1202:AF1236,B1202:B1236,B1221-36)+in_hlth_small_renew^4*SUMIFS(AF1202:AF1236,B1202:B1236,B1221-48))</f>
        <v/>
      </c>
      <c r="AH1221" s="40">
        <f>AH1220*(1-IF(B1220&gt;=in_marketplace_from,d_hz_hlth_family*G1220,0))</f>
        <v/>
      </c>
      <c r="AI1221" s="46">
        <f>AH1221*IF(B1221&gt;=in_marketplace_from,d_hz_hlth_family*G1221,0)</f>
        <v/>
      </c>
      <c r="AJ1221" s="14">
        <f>F1221*AI1221*in_hlth_family_ticket*in_hlth_family_comm*in_ins_partner_share+F1221*in_hlth_family_ticket*in_hlth_family_renew_comm*in_ins_partner_share*(in_hlth_family_renew^1*SUMIFS(AI1202:AI1236,B1202:B1236,B1221-12)+in_hlth_family_renew^2*SUMIFS(AI1202:AI1236,B1202:B1236,B1221-24)+in_hlth_family_renew^3*SUMIFS(AI1202:AI1236,B1202:B1236,B1221-36)+in_hlth_family_renew^4*SUMIFS(AI1202:AI1236,B1202:B1236,B1221-48))</f>
        <v/>
      </c>
      <c r="AK1221" s="40">
        <f>AK1220*(1-IF(B1220&gt;=in_marketplace_from,d_hz_life_term*G1220,0))</f>
        <v/>
      </c>
      <c r="AL1221" s="46">
        <f>AK1221*IF(B1221&gt;=in_marketplace_from,d_hz_life_term*G1221,0)</f>
        <v/>
      </c>
      <c r="AM1221" s="14">
        <f>F1221*AL1221*in_life_term_ticket*in_life_term_comm*in_ins_partner_share+F1221*in_life_term_ticket*in_life_term_renew_comm*in_ins_partner_share*(in_life_term_renew^1*SUMIFS(AL1202:AL1236,B1202:B1236,B1221-12)+in_life_term_renew^2*SUMIFS(AL1202:AL1236,B1202:B1236,B1221-24)+in_life_term_renew^3*SUMIFS(AL1202:AL1236,B1202:B1236,B1221-36)+in_life_term_renew^4*SUMIFS(AL1202:AL1236,B1202:B1236,B1221-48))</f>
        <v/>
      </c>
      <c r="AN1221" s="40">
        <f>AN1220*(1-IF(B1220&gt;=in_marketplace_from,d_hz_accident*G1220,0))</f>
        <v/>
      </c>
      <c r="AO1221" s="46">
        <f>AN1221*IF(B1221&gt;=in_marketplace_from,d_hz_accident*G1221,0)</f>
        <v/>
      </c>
      <c r="AP1221" s="14">
        <f>F1221*AO1221*in_accident_ticket*in_accident_comm*in_ins_partner_share+F1221*in_accident_ticket*in_accident_renew_comm*in_ins_partner_share*(in_accident_renew^1*SUMIFS(AO1202:AO1236,B1202:B1236,B1221-12)+in_accident_renew^2*SUMIFS(AO1202:AO1236,B1202:B1236,B1221-24)+in_accident_renew^3*SUMIFS(AO1202:AO1236,B1202:B1236,B1221-36)+in_accident_renew^4*SUMIFS(AO1202:AO1236,B1202:B1236,B1221-48))</f>
        <v/>
      </c>
      <c r="AQ1221" s="40">
        <f>AQ1220*(1-IF(B1220&gt;=in_marketplace_from,d_hz_two_wheeler*G1220,0))</f>
        <v/>
      </c>
      <c r="AR1221" s="46">
        <f>AQ1221*IF(B1221&gt;=in_marketplace_from,d_hz_two_wheeler*G1221,0)</f>
        <v/>
      </c>
      <c r="AS1221" s="14">
        <f>F1221*AR1221*in_two_wheeler_ticket*in_two_wheeler_comm*in_ins_partner_share+F1221*in_two_wheeler_ticket*in_two_wheeler_comm*in_ins_partner_share*(in_two_wheeler_renew^1*SUMIFS(AR1202:AR1236,B1202:B1236,B1221-12)+in_two_wheeler_renew^2*SUMIFS(AR1202:AR1236,B1202:B1236,B1221-24)+in_two_wheeler_renew^3*SUMIFS(AR1202:AR1236,B1202:B1236,B1221-36)+in_two_wheeler_renew^4*SUMIFS(AR1202:AR1236,B1202:B1236,B1221-48))</f>
        <v/>
      </c>
      <c r="AT1221" s="40">
        <f>AT1220*(1-IF(B1220&gt;=in_marketplace_from,d_hz_device*G1220,0))</f>
        <v/>
      </c>
      <c r="AU1221" s="14">
        <f>F1221*AT1221*IF(B1221&gt;=in_marketplace_from,d_hz_device*G1221,0)*in_device_ticket*in_device_comm*in_ins_partner_share</f>
        <v/>
      </c>
      <c r="AV1221" s="40">
        <f>AV1220*(1-IF(B1220&gt;=in_marketplace_from,d_hz_shop*G1220,0))</f>
        <v/>
      </c>
      <c r="AW1221" s="46">
        <f>AV1221*IF(B1221&gt;=in_marketplace_from,d_hz_shop*G1221,0)</f>
        <v/>
      </c>
      <c r="AX1221" s="14">
        <f>F1221*AW1221*in_shop_ticket*in_shop_comm*in_ins_partner_share+F1221*in_shop_ticket*in_shop_renew_comm*in_ins_partner_share*(in_shop_renew^1*SUMIFS(AW1202:AW1236,B1202:B1236,B1221-12)+in_shop_renew^2*SUMIFS(AW1202:AW1236,B1202:B1236,B1221-24)+in_shop_renew^3*SUMIFS(AW1202:AW1236,B1202:B1236,B1221-36)+in_shop_renew^4*SUMIFS(AW1202:AW1236,B1202:B1236,B1221-48))</f>
        <v/>
      </c>
      <c r="AY1221" s="40">
        <f>AY1220*(1-IF(B1220&gt;=in_marketplace_from,d_hz_sip*G1220,0))</f>
        <v/>
      </c>
      <c r="AZ1221" s="40">
        <f>AZ1220*d_rho_sip+AY1221*IF(B1221&gt;=in_marketplace_from,d_hz_sip*G1221,0)</f>
        <v/>
      </c>
      <c r="BA1221" s="40">
        <f>d_rho_sip*(BA1220+AZ1220)</f>
        <v/>
      </c>
      <c r="BB1221" s="14">
        <f>F1221*in_sip_ticket*(BA1221+0.5*AZ1221)*in_sip_comm/12</f>
        <v/>
      </c>
      <c r="BC1221" s="40">
        <f>BC1220*(1-IF(B1220&gt;=in_marketplace_from,d_hz_choti*G1220,0))</f>
        <v/>
      </c>
      <c r="BD1221" s="46">
        <f>BC1221*IF(B1221&gt;=in_marketplace_from,d_hz_choti*G1221,0)</f>
        <v/>
      </c>
      <c r="BE1221" s="14">
        <f>F1221*SUMIFS(BD1202:BD1236,B1202:B1236,B1221-in_choti_months)*in_choti_renew*in_choti_ticket</f>
        <v/>
      </c>
      <c r="BF1221" s="40">
        <f>BF1220*(1-IF(B1220&gt;=in_marketplace_from,d_hz_nps*G1220,0))</f>
        <v/>
      </c>
      <c r="BG1221" s="14">
        <f>F1221*BF1221*IF(B1221&gt;=in_marketplace_from,d_hz_nps*G1221,0)*in_nps_ticket*in_nps_comm</f>
        <v/>
      </c>
      <c r="BH1221" s="40">
        <f>BH1220*(1-IF(B1220&gt;=in_marketplace_from,d_hz_gold*G1220,0))</f>
        <v/>
      </c>
      <c r="BI1221" s="40">
        <f>BI1220*d_rho_gold+BH1221*IF(B1221&gt;=in_marketplace_from,d_hz_gold*G1221,0)</f>
        <v/>
      </c>
      <c r="BJ1221" s="14">
        <f>F1221*BI1221*in_gold_ticket*in_gold_comm</f>
        <v/>
      </c>
      <c r="BK1221" s="40">
        <f>BK1220*(1-IF(B1220&gt;=in_marketplace_from,d_hz_fd*G1220,0))</f>
        <v/>
      </c>
      <c r="BL1221" s="14">
        <f>F1221*BK1221*IF(B1221&gt;=in_marketplace_from,d_hz_fd*G1221,0)*in_fd_ticket*in_fd_comm</f>
        <v/>
      </c>
      <c r="BM1221" s="40">
        <f>BM1220*(1-IF(B1220&gt;=in_marketplace_from,d_hz_recharge*G1220,0))</f>
        <v/>
      </c>
      <c r="BN1221" s="40">
        <f>BN1220*d_rho_recharge+BM1221*IF(B1221&gt;=in_marketplace_from,d_hz_recharge*G1221,0)</f>
        <v/>
      </c>
      <c r="BO1221" s="14">
        <f>F1221*BN1221*in_recharge_ticket*in_recharge_comm/12</f>
        <v/>
      </c>
      <c r="BP1221" s="40">
        <f>BP1220*(1-IF(B1220&gt;=in_marketplace_from,d_hz_bills*G1220,0))</f>
        <v/>
      </c>
      <c r="BQ1221" s="40">
        <f>BQ1220*d_rho_bills+BP1221*IF(B1221&gt;=in_marketplace_from,d_hz_bills*G1221,0)</f>
        <v/>
      </c>
      <c r="BR1221" s="14">
        <f>F1221*BQ1221*in_bills_ticket*in_bills_comm/12</f>
        <v/>
      </c>
      <c r="BS1221" s="40">
        <f>BS1220*(1-IF(B1220&gt;=in_marketplace_from,d_hz_loan_gold*G1220,0))</f>
        <v/>
      </c>
      <c r="BT1221" s="14">
        <f>F1221*BS1221*IF(B1221&gt;=in_marketplace_from,d_hz_loan_gold*G1221,0)*in_loan_gold_ticket*in_loan_gold_comm</f>
        <v/>
      </c>
      <c r="BU1221" s="40">
        <f>BU1220*(1-IF(B1220&gt;=in_marketplace_from,d_hz_loan_cd*G1220,0))</f>
        <v/>
      </c>
      <c r="BV1221" s="14">
        <f>F1221*BU1221*IF(B1221&gt;=in_marketplace_from,d_hz_loan_cd*G1221,0)*in_loan_cd_ticket*in_loan_cd_comm</f>
        <v/>
      </c>
      <c r="BW1221" s="40">
        <f>BW1220*(1-IF(B1220&gt;=in_marketplace_from,d_hz_loan_vehicle*G1220,0))</f>
        <v/>
      </c>
      <c r="BX1221" s="14">
        <f>F1221*BW1221*IF(B1221&gt;=in_marketplace_from,d_hz_loan_vehicle*G1221,0)*in_loan_vehicle_ticket*in_loan_vehicle_comm</f>
        <v/>
      </c>
      <c r="BY1221" s="40">
        <f>BY1220*(1-IF(B1220&gt;=in_marketplace_from,d_hz_loan_home*G1220,0)*BZ1220)</f>
        <v/>
      </c>
      <c r="BZ1221" s="11">
        <f>MIN(in_approval_cap,in_loan_home_approval*INDEX('Age profile'!$O$2:$O$61,B1221)*(1+in_approval_growth)^(D1221-1))</f>
        <v/>
      </c>
      <c r="CA1221" s="14">
        <f>F1221*BY1221*IF(B1221&gt;=in_marketplace_from,d_hz_loan_home*G1221,0)*BZ1221*in_loan_home_ticket*in_loan_home_comm</f>
        <v/>
      </c>
      <c r="CB1221" s="40">
        <f>CB1220*(1-IF(B1220&gt;=in_marketplace_from,d_hz_loan_lap*G1220,0)*CC1220)</f>
        <v/>
      </c>
      <c r="CC1221" s="11">
        <f>MIN(in_approval_cap,in_loan_lap_approval*INDEX('Age profile'!$O$2:$O$61,B1221)*(1+in_approval_growth)^(D1221-1))</f>
        <v/>
      </c>
      <c r="CD1221" s="14">
        <f>F1221*CB1221*IF(B1221&gt;=in_marketplace_from,d_hz_loan_lap*G1221,0)*CC1221*in_loan_lap_ticket*in_loan_lap_comm</f>
        <v/>
      </c>
      <c r="CE1221" s="14">
        <f>AA1221+AB1221+AC1221+AD1221+AG1221+AJ1221+AM1221+AP1221+AS1221+AU1221+AX1221+BB1221+BE1221+BG1221+BJ1221+BL1221+BO1221+BR1221+BT1221+BV1221+BX1221+CA1221+CD1221</f>
        <v/>
      </c>
    </row>
    <row r="1222">
      <c r="A1222" s="39" t="n">
        <v>26</v>
      </c>
      <c r="B1222" s="39" t="n">
        <v>21</v>
      </c>
      <c r="C1222" s="39">
        <f>A1222+B1222-1</f>
        <v/>
      </c>
      <c r="D1222" s="39">
        <f>INT((C1222-1)/12)+1</f>
        <v/>
      </c>
      <c r="E1222" s="44">
        <f>INDEX(Monthly!$B$2:$B$61,A1222)</f>
        <v/>
      </c>
      <c r="F1222" s="44">
        <f>E1222*INDEX('Age profile'!$B$2:$B$61,B1222)</f>
        <v/>
      </c>
      <c r="G1222" s="45">
        <f>MIN(in_takeup_cap,INDEX('Age profile'!$N$2:$N$61,B1222)*(1+in_takeup_growth)^(D1222-1))</f>
        <v/>
      </c>
      <c r="H1222" s="11">
        <f>MIN(in_approval_cap,in_approved_first*INDEX('Age profile'!$O$2:$O$61,B1222)*(1+in_approval_growth)^(D1222-1))</f>
        <v/>
      </c>
      <c r="I1222" s="45">
        <f>G1222*MIN(in_takeup_cap,INDEX('Age profile'!$O$2:$O$61,B1222)*(1+in_approval_growth)^(D1222-1))</f>
        <v/>
      </c>
      <c r="J1222" s="40">
        <f>(J1221-L1221)*F1222/F1221</f>
        <v/>
      </c>
      <c r="K1222" s="40">
        <f>(K1221-M1221)*F1222/F1221+SUMIFS(O1202:O1221,B1202:B1221,B1222-1-d_T)*F1222</f>
        <v/>
      </c>
      <c r="L1222" s="40">
        <f>IF(B1222&gt;=in_marketplace_from,J1222*d_hz*G1222*in_eligible*H1222,0)</f>
        <v/>
      </c>
      <c r="M1222" s="40">
        <f>IF(B1222&gt;=in_marketplace_from,K1222*d_hz*G1222*in_eligible*in_approved_repeat,0)</f>
        <v/>
      </c>
      <c r="N1222" s="40">
        <f>L1222+M1222</f>
        <v/>
      </c>
      <c r="O1222" s="46">
        <f>N1222/F1222</f>
        <v/>
      </c>
      <c r="P1222" s="40">
        <f>F1222-J1222-K1222</f>
        <v/>
      </c>
      <c r="Q1222" s="40">
        <f>IF(B1222&gt;=in_marketplace_from,(J1222+K1222)*d_hz*G1222,0)</f>
        <v/>
      </c>
      <c r="R1222" s="40">
        <f>SUMIFS(N1202:N1236,B1202:B1236,"&gt;="&amp;(B1222-d_T),B1202:B1236,"&lt;="&amp;(B1222-1))</f>
        <v/>
      </c>
      <c r="S1222" s="46">
        <f>(1-d_u)*S1221+IF(d_T&gt;in_topup_lag,SUMIFS(O1202:O1236,B1202:B1236,B1222-in_topup_lag)-d_udrop*SUMIFS(O1202:O1236,B1202:B1236,B1222-d_T),0)</f>
        <v/>
      </c>
      <c r="T1222" s="40">
        <f>F1222*d_u*S1222</f>
        <v/>
      </c>
      <c r="U1222" s="9">
        <f>L1222*in_ticket+M1222*d_rep_ticket</f>
        <v/>
      </c>
      <c r="V1222" s="9">
        <f>U1222+T1222*d_topup_amt</f>
        <v/>
      </c>
      <c r="W1222" s="40">
        <f>N1222+T1222*d_topup_ratio</f>
        <v/>
      </c>
      <c r="X1222" s="40">
        <f>SUMIFS(W1202:W1236,B1202:B1236,B1222-in_dpd_lag)*d_cured</f>
        <v/>
      </c>
      <c r="Y1222" s="40">
        <f>SUMIFS(W1202:W1236,B1202:B1236,B1222-in_rec_lag)*d_recd</f>
        <v/>
      </c>
      <c r="Z1222" s="40">
        <f>IF(AND(B1222&gt;=in_marketplace_from,B1222&lt;in_marketplace_from+in_card_months),in_card_share/in_card_months*F1222*I1222,IF(AND(B1222&gt;=in_marketplace_from+in_card_months,B1222&lt;in_marketplace_from+2*in_card_months),in_card_share*d_card_rem/in_card_months*F1222*MIN(in_takeup_cap,(1+in_takeup_growth)^(D1222-1))*MIN(in_takeup_cap,(1+in_approval_growth)^(D1222-1)),0))</f>
        <v/>
      </c>
      <c r="AA1222" s="14">
        <f>V1222*in_fee*(1-in_taken_back)</f>
        <v/>
      </c>
      <c r="AB1222" s="14">
        <f>SUMIFS(W1202:W1236,B1202:B1236,B1222-in_dpd_lag)*d_dpd</f>
        <v/>
      </c>
      <c r="AC1222" s="14">
        <f>SUMIFS(W1202:W1236,B1202:B1236,B1222-in_rec_lag)*d_rec</f>
        <v/>
      </c>
      <c r="AD1222" s="14">
        <f>Z1222*in_card_fee</f>
        <v/>
      </c>
      <c r="AE1222" s="40">
        <f>AE1221*(1-IF(B1221&gt;=in_marketplace_from,d_hz_hlth_small*G1221,0))</f>
        <v/>
      </c>
      <c r="AF1222" s="46">
        <f>AE1222*IF(B1222&gt;=in_marketplace_from,d_hz_hlth_small*G1222,0)</f>
        <v/>
      </c>
      <c r="AG1222" s="14">
        <f>F1222*AF1222*in_hlth_small_ticket*in_hlth_small_comm*in_ins_partner_share+F1222*in_hlth_small_ticket*in_hlth_small_renew_comm*in_ins_partner_share*(in_hlth_small_renew^1*SUMIFS(AF1202:AF1236,B1202:B1236,B1222-12)+in_hlth_small_renew^2*SUMIFS(AF1202:AF1236,B1202:B1236,B1222-24)+in_hlth_small_renew^3*SUMIFS(AF1202:AF1236,B1202:B1236,B1222-36)+in_hlth_small_renew^4*SUMIFS(AF1202:AF1236,B1202:B1236,B1222-48))</f>
        <v/>
      </c>
      <c r="AH1222" s="40">
        <f>AH1221*(1-IF(B1221&gt;=in_marketplace_from,d_hz_hlth_family*G1221,0))</f>
        <v/>
      </c>
      <c r="AI1222" s="46">
        <f>AH1222*IF(B1222&gt;=in_marketplace_from,d_hz_hlth_family*G1222,0)</f>
        <v/>
      </c>
      <c r="AJ1222" s="14">
        <f>F1222*AI1222*in_hlth_family_ticket*in_hlth_family_comm*in_ins_partner_share+F1222*in_hlth_family_ticket*in_hlth_family_renew_comm*in_ins_partner_share*(in_hlth_family_renew^1*SUMIFS(AI1202:AI1236,B1202:B1236,B1222-12)+in_hlth_family_renew^2*SUMIFS(AI1202:AI1236,B1202:B1236,B1222-24)+in_hlth_family_renew^3*SUMIFS(AI1202:AI1236,B1202:B1236,B1222-36)+in_hlth_family_renew^4*SUMIFS(AI1202:AI1236,B1202:B1236,B1222-48))</f>
        <v/>
      </c>
      <c r="AK1222" s="40">
        <f>AK1221*(1-IF(B1221&gt;=in_marketplace_from,d_hz_life_term*G1221,0))</f>
        <v/>
      </c>
      <c r="AL1222" s="46">
        <f>AK1222*IF(B1222&gt;=in_marketplace_from,d_hz_life_term*G1222,0)</f>
        <v/>
      </c>
      <c r="AM1222" s="14">
        <f>F1222*AL1222*in_life_term_ticket*in_life_term_comm*in_ins_partner_share+F1222*in_life_term_ticket*in_life_term_renew_comm*in_ins_partner_share*(in_life_term_renew^1*SUMIFS(AL1202:AL1236,B1202:B1236,B1222-12)+in_life_term_renew^2*SUMIFS(AL1202:AL1236,B1202:B1236,B1222-24)+in_life_term_renew^3*SUMIFS(AL1202:AL1236,B1202:B1236,B1222-36)+in_life_term_renew^4*SUMIFS(AL1202:AL1236,B1202:B1236,B1222-48))</f>
        <v/>
      </c>
      <c r="AN1222" s="40">
        <f>AN1221*(1-IF(B1221&gt;=in_marketplace_from,d_hz_accident*G1221,0))</f>
        <v/>
      </c>
      <c r="AO1222" s="46">
        <f>AN1222*IF(B1222&gt;=in_marketplace_from,d_hz_accident*G1222,0)</f>
        <v/>
      </c>
      <c r="AP1222" s="14">
        <f>F1222*AO1222*in_accident_ticket*in_accident_comm*in_ins_partner_share+F1222*in_accident_ticket*in_accident_renew_comm*in_ins_partner_share*(in_accident_renew^1*SUMIFS(AO1202:AO1236,B1202:B1236,B1222-12)+in_accident_renew^2*SUMIFS(AO1202:AO1236,B1202:B1236,B1222-24)+in_accident_renew^3*SUMIFS(AO1202:AO1236,B1202:B1236,B1222-36)+in_accident_renew^4*SUMIFS(AO1202:AO1236,B1202:B1236,B1222-48))</f>
        <v/>
      </c>
      <c r="AQ1222" s="40">
        <f>AQ1221*(1-IF(B1221&gt;=in_marketplace_from,d_hz_two_wheeler*G1221,0))</f>
        <v/>
      </c>
      <c r="AR1222" s="46">
        <f>AQ1222*IF(B1222&gt;=in_marketplace_from,d_hz_two_wheeler*G1222,0)</f>
        <v/>
      </c>
      <c r="AS1222" s="14">
        <f>F1222*AR1222*in_two_wheeler_ticket*in_two_wheeler_comm*in_ins_partner_share+F1222*in_two_wheeler_ticket*in_two_wheeler_comm*in_ins_partner_share*(in_two_wheeler_renew^1*SUMIFS(AR1202:AR1236,B1202:B1236,B1222-12)+in_two_wheeler_renew^2*SUMIFS(AR1202:AR1236,B1202:B1236,B1222-24)+in_two_wheeler_renew^3*SUMIFS(AR1202:AR1236,B1202:B1236,B1222-36)+in_two_wheeler_renew^4*SUMIFS(AR1202:AR1236,B1202:B1236,B1222-48))</f>
        <v/>
      </c>
      <c r="AT1222" s="40">
        <f>AT1221*(1-IF(B1221&gt;=in_marketplace_from,d_hz_device*G1221,0))</f>
        <v/>
      </c>
      <c r="AU1222" s="14">
        <f>F1222*AT1222*IF(B1222&gt;=in_marketplace_from,d_hz_device*G1222,0)*in_device_ticket*in_device_comm*in_ins_partner_share</f>
        <v/>
      </c>
      <c r="AV1222" s="40">
        <f>AV1221*(1-IF(B1221&gt;=in_marketplace_from,d_hz_shop*G1221,0))</f>
        <v/>
      </c>
      <c r="AW1222" s="46">
        <f>AV1222*IF(B1222&gt;=in_marketplace_from,d_hz_shop*G1222,0)</f>
        <v/>
      </c>
      <c r="AX1222" s="14">
        <f>F1222*AW1222*in_shop_ticket*in_shop_comm*in_ins_partner_share+F1222*in_shop_ticket*in_shop_renew_comm*in_ins_partner_share*(in_shop_renew^1*SUMIFS(AW1202:AW1236,B1202:B1236,B1222-12)+in_shop_renew^2*SUMIFS(AW1202:AW1236,B1202:B1236,B1222-24)+in_shop_renew^3*SUMIFS(AW1202:AW1236,B1202:B1236,B1222-36)+in_shop_renew^4*SUMIFS(AW1202:AW1236,B1202:B1236,B1222-48))</f>
        <v/>
      </c>
      <c r="AY1222" s="40">
        <f>AY1221*(1-IF(B1221&gt;=in_marketplace_from,d_hz_sip*G1221,0))</f>
        <v/>
      </c>
      <c r="AZ1222" s="40">
        <f>AZ1221*d_rho_sip+AY1222*IF(B1222&gt;=in_marketplace_from,d_hz_sip*G1222,0)</f>
        <v/>
      </c>
      <c r="BA1222" s="40">
        <f>d_rho_sip*(BA1221+AZ1221)</f>
        <v/>
      </c>
      <c r="BB1222" s="14">
        <f>F1222*in_sip_ticket*(BA1222+0.5*AZ1222)*in_sip_comm/12</f>
        <v/>
      </c>
      <c r="BC1222" s="40">
        <f>BC1221*(1-IF(B1221&gt;=in_marketplace_from,d_hz_choti*G1221,0))</f>
        <v/>
      </c>
      <c r="BD1222" s="46">
        <f>BC1222*IF(B1222&gt;=in_marketplace_from,d_hz_choti*G1222,0)</f>
        <v/>
      </c>
      <c r="BE1222" s="14">
        <f>F1222*SUMIFS(BD1202:BD1236,B1202:B1236,B1222-in_choti_months)*in_choti_renew*in_choti_ticket</f>
        <v/>
      </c>
      <c r="BF1222" s="40">
        <f>BF1221*(1-IF(B1221&gt;=in_marketplace_from,d_hz_nps*G1221,0))</f>
        <v/>
      </c>
      <c r="BG1222" s="14">
        <f>F1222*BF1222*IF(B1222&gt;=in_marketplace_from,d_hz_nps*G1222,0)*in_nps_ticket*in_nps_comm</f>
        <v/>
      </c>
      <c r="BH1222" s="40">
        <f>BH1221*(1-IF(B1221&gt;=in_marketplace_from,d_hz_gold*G1221,0))</f>
        <v/>
      </c>
      <c r="BI1222" s="40">
        <f>BI1221*d_rho_gold+BH1222*IF(B1222&gt;=in_marketplace_from,d_hz_gold*G1222,0)</f>
        <v/>
      </c>
      <c r="BJ1222" s="14">
        <f>F1222*BI1222*in_gold_ticket*in_gold_comm</f>
        <v/>
      </c>
      <c r="BK1222" s="40">
        <f>BK1221*(1-IF(B1221&gt;=in_marketplace_from,d_hz_fd*G1221,0))</f>
        <v/>
      </c>
      <c r="BL1222" s="14">
        <f>F1222*BK1222*IF(B1222&gt;=in_marketplace_from,d_hz_fd*G1222,0)*in_fd_ticket*in_fd_comm</f>
        <v/>
      </c>
      <c r="BM1222" s="40">
        <f>BM1221*(1-IF(B1221&gt;=in_marketplace_from,d_hz_recharge*G1221,0))</f>
        <v/>
      </c>
      <c r="BN1222" s="40">
        <f>BN1221*d_rho_recharge+BM1222*IF(B1222&gt;=in_marketplace_from,d_hz_recharge*G1222,0)</f>
        <v/>
      </c>
      <c r="BO1222" s="14">
        <f>F1222*BN1222*in_recharge_ticket*in_recharge_comm/12</f>
        <v/>
      </c>
      <c r="BP1222" s="40">
        <f>BP1221*(1-IF(B1221&gt;=in_marketplace_from,d_hz_bills*G1221,0))</f>
        <v/>
      </c>
      <c r="BQ1222" s="40">
        <f>BQ1221*d_rho_bills+BP1222*IF(B1222&gt;=in_marketplace_from,d_hz_bills*G1222,0)</f>
        <v/>
      </c>
      <c r="BR1222" s="14">
        <f>F1222*BQ1222*in_bills_ticket*in_bills_comm/12</f>
        <v/>
      </c>
      <c r="BS1222" s="40">
        <f>BS1221*(1-IF(B1221&gt;=in_marketplace_from,d_hz_loan_gold*G1221,0))</f>
        <v/>
      </c>
      <c r="BT1222" s="14">
        <f>F1222*BS1222*IF(B1222&gt;=in_marketplace_from,d_hz_loan_gold*G1222,0)*in_loan_gold_ticket*in_loan_gold_comm</f>
        <v/>
      </c>
      <c r="BU1222" s="40">
        <f>BU1221*(1-IF(B1221&gt;=in_marketplace_from,d_hz_loan_cd*G1221,0))</f>
        <v/>
      </c>
      <c r="BV1222" s="14">
        <f>F1222*BU1222*IF(B1222&gt;=in_marketplace_from,d_hz_loan_cd*G1222,0)*in_loan_cd_ticket*in_loan_cd_comm</f>
        <v/>
      </c>
      <c r="BW1222" s="40">
        <f>BW1221*(1-IF(B1221&gt;=in_marketplace_from,d_hz_loan_vehicle*G1221,0))</f>
        <v/>
      </c>
      <c r="BX1222" s="14">
        <f>F1222*BW1222*IF(B1222&gt;=in_marketplace_from,d_hz_loan_vehicle*G1222,0)*in_loan_vehicle_ticket*in_loan_vehicle_comm</f>
        <v/>
      </c>
      <c r="BY1222" s="40">
        <f>BY1221*(1-IF(B1221&gt;=in_marketplace_from,d_hz_loan_home*G1221,0)*BZ1221)</f>
        <v/>
      </c>
      <c r="BZ1222" s="11">
        <f>MIN(in_approval_cap,in_loan_home_approval*INDEX('Age profile'!$O$2:$O$61,B1222)*(1+in_approval_growth)^(D1222-1))</f>
        <v/>
      </c>
      <c r="CA1222" s="14">
        <f>F1222*BY1222*IF(B1222&gt;=in_marketplace_from,d_hz_loan_home*G1222,0)*BZ1222*in_loan_home_ticket*in_loan_home_comm</f>
        <v/>
      </c>
      <c r="CB1222" s="40">
        <f>CB1221*(1-IF(B1221&gt;=in_marketplace_from,d_hz_loan_lap*G1221,0)*CC1221)</f>
        <v/>
      </c>
      <c r="CC1222" s="11">
        <f>MIN(in_approval_cap,in_loan_lap_approval*INDEX('Age profile'!$O$2:$O$61,B1222)*(1+in_approval_growth)^(D1222-1))</f>
        <v/>
      </c>
      <c r="CD1222" s="14">
        <f>F1222*CB1222*IF(B1222&gt;=in_marketplace_from,d_hz_loan_lap*G1222,0)*CC1222*in_loan_lap_ticket*in_loan_lap_comm</f>
        <v/>
      </c>
      <c r="CE1222" s="14">
        <f>AA1222+AB1222+AC1222+AD1222+AG1222+AJ1222+AM1222+AP1222+AS1222+AU1222+AX1222+BB1222+BE1222+BG1222+BJ1222+BL1222+BO1222+BR1222+BT1222+BV1222+BX1222+CA1222+CD1222</f>
        <v/>
      </c>
    </row>
    <row r="1223">
      <c r="A1223" s="39" t="n">
        <v>26</v>
      </c>
      <c r="B1223" s="39" t="n">
        <v>22</v>
      </c>
      <c r="C1223" s="39">
        <f>A1223+B1223-1</f>
        <v/>
      </c>
      <c r="D1223" s="39">
        <f>INT((C1223-1)/12)+1</f>
        <v/>
      </c>
      <c r="E1223" s="44">
        <f>INDEX(Monthly!$B$2:$B$61,A1223)</f>
        <v/>
      </c>
      <c r="F1223" s="44">
        <f>E1223*INDEX('Age profile'!$B$2:$B$61,B1223)</f>
        <v/>
      </c>
      <c r="G1223" s="45">
        <f>MIN(in_takeup_cap,INDEX('Age profile'!$N$2:$N$61,B1223)*(1+in_takeup_growth)^(D1223-1))</f>
        <v/>
      </c>
      <c r="H1223" s="11">
        <f>MIN(in_approval_cap,in_approved_first*INDEX('Age profile'!$O$2:$O$61,B1223)*(1+in_approval_growth)^(D1223-1))</f>
        <v/>
      </c>
      <c r="I1223" s="45">
        <f>G1223*MIN(in_takeup_cap,INDEX('Age profile'!$O$2:$O$61,B1223)*(1+in_approval_growth)^(D1223-1))</f>
        <v/>
      </c>
      <c r="J1223" s="40">
        <f>(J1222-L1222)*F1223/F1222</f>
        <v/>
      </c>
      <c r="K1223" s="40">
        <f>(K1222-M1222)*F1223/F1222+SUMIFS(O1202:O1222,B1202:B1222,B1223-1-d_T)*F1223</f>
        <v/>
      </c>
      <c r="L1223" s="40">
        <f>IF(B1223&gt;=in_marketplace_from,J1223*d_hz*G1223*in_eligible*H1223,0)</f>
        <v/>
      </c>
      <c r="M1223" s="40">
        <f>IF(B1223&gt;=in_marketplace_from,K1223*d_hz*G1223*in_eligible*in_approved_repeat,0)</f>
        <v/>
      </c>
      <c r="N1223" s="40">
        <f>L1223+M1223</f>
        <v/>
      </c>
      <c r="O1223" s="46">
        <f>N1223/F1223</f>
        <v/>
      </c>
      <c r="P1223" s="40">
        <f>F1223-J1223-K1223</f>
        <v/>
      </c>
      <c r="Q1223" s="40">
        <f>IF(B1223&gt;=in_marketplace_from,(J1223+K1223)*d_hz*G1223,0)</f>
        <v/>
      </c>
      <c r="R1223" s="40">
        <f>SUMIFS(N1202:N1236,B1202:B1236,"&gt;="&amp;(B1223-d_T),B1202:B1236,"&lt;="&amp;(B1223-1))</f>
        <v/>
      </c>
      <c r="S1223" s="46">
        <f>(1-d_u)*S1222+IF(d_T&gt;in_topup_lag,SUMIFS(O1202:O1236,B1202:B1236,B1223-in_topup_lag)-d_udrop*SUMIFS(O1202:O1236,B1202:B1236,B1223-d_T),0)</f>
        <v/>
      </c>
      <c r="T1223" s="40">
        <f>F1223*d_u*S1223</f>
        <v/>
      </c>
      <c r="U1223" s="9">
        <f>L1223*in_ticket+M1223*d_rep_ticket</f>
        <v/>
      </c>
      <c r="V1223" s="9">
        <f>U1223+T1223*d_topup_amt</f>
        <v/>
      </c>
      <c r="W1223" s="40">
        <f>N1223+T1223*d_topup_ratio</f>
        <v/>
      </c>
      <c r="X1223" s="40">
        <f>SUMIFS(W1202:W1236,B1202:B1236,B1223-in_dpd_lag)*d_cured</f>
        <v/>
      </c>
      <c r="Y1223" s="40">
        <f>SUMIFS(W1202:W1236,B1202:B1236,B1223-in_rec_lag)*d_recd</f>
        <v/>
      </c>
      <c r="Z1223" s="40">
        <f>IF(AND(B1223&gt;=in_marketplace_from,B1223&lt;in_marketplace_from+in_card_months),in_card_share/in_card_months*F1223*I1223,IF(AND(B1223&gt;=in_marketplace_from+in_card_months,B1223&lt;in_marketplace_from+2*in_card_months),in_card_share*d_card_rem/in_card_months*F1223*MIN(in_takeup_cap,(1+in_takeup_growth)^(D1223-1))*MIN(in_takeup_cap,(1+in_approval_growth)^(D1223-1)),0))</f>
        <v/>
      </c>
      <c r="AA1223" s="14">
        <f>V1223*in_fee*(1-in_taken_back)</f>
        <v/>
      </c>
      <c r="AB1223" s="14">
        <f>SUMIFS(W1202:W1236,B1202:B1236,B1223-in_dpd_lag)*d_dpd</f>
        <v/>
      </c>
      <c r="AC1223" s="14">
        <f>SUMIFS(W1202:W1236,B1202:B1236,B1223-in_rec_lag)*d_rec</f>
        <v/>
      </c>
      <c r="AD1223" s="14">
        <f>Z1223*in_card_fee</f>
        <v/>
      </c>
      <c r="AE1223" s="40">
        <f>AE1222*(1-IF(B1222&gt;=in_marketplace_from,d_hz_hlth_small*G1222,0))</f>
        <v/>
      </c>
      <c r="AF1223" s="46">
        <f>AE1223*IF(B1223&gt;=in_marketplace_from,d_hz_hlth_small*G1223,0)</f>
        <v/>
      </c>
      <c r="AG1223" s="14">
        <f>F1223*AF1223*in_hlth_small_ticket*in_hlth_small_comm*in_ins_partner_share+F1223*in_hlth_small_ticket*in_hlth_small_renew_comm*in_ins_partner_share*(in_hlth_small_renew^1*SUMIFS(AF1202:AF1236,B1202:B1236,B1223-12)+in_hlth_small_renew^2*SUMIFS(AF1202:AF1236,B1202:B1236,B1223-24)+in_hlth_small_renew^3*SUMIFS(AF1202:AF1236,B1202:B1236,B1223-36)+in_hlth_small_renew^4*SUMIFS(AF1202:AF1236,B1202:B1236,B1223-48))</f>
        <v/>
      </c>
      <c r="AH1223" s="40">
        <f>AH1222*(1-IF(B1222&gt;=in_marketplace_from,d_hz_hlth_family*G1222,0))</f>
        <v/>
      </c>
      <c r="AI1223" s="46">
        <f>AH1223*IF(B1223&gt;=in_marketplace_from,d_hz_hlth_family*G1223,0)</f>
        <v/>
      </c>
      <c r="AJ1223" s="14">
        <f>F1223*AI1223*in_hlth_family_ticket*in_hlth_family_comm*in_ins_partner_share+F1223*in_hlth_family_ticket*in_hlth_family_renew_comm*in_ins_partner_share*(in_hlth_family_renew^1*SUMIFS(AI1202:AI1236,B1202:B1236,B1223-12)+in_hlth_family_renew^2*SUMIFS(AI1202:AI1236,B1202:B1236,B1223-24)+in_hlth_family_renew^3*SUMIFS(AI1202:AI1236,B1202:B1236,B1223-36)+in_hlth_family_renew^4*SUMIFS(AI1202:AI1236,B1202:B1236,B1223-48))</f>
        <v/>
      </c>
      <c r="AK1223" s="40">
        <f>AK1222*(1-IF(B1222&gt;=in_marketplace_from,d_hz_life_term*G1222,0))</f>
        <v/>
      </c>
      <c r="AL1223" s="46">
        <f>AK1223*IF(B1223&gt;=in_marketplace_from,d_hz_life_term*G1223,0)</f>
        <v/>
      </c>
      <c r="AM1223" s="14">
        <f>F1223*AL1223*in_life_term_ticket*in_life_term_comm*in_ins_partner_share+F1223*in_life_term_ticket*in_life_term_renew_comm*in_ins_partner_share*(in_life_term_renew^1*SUMIFS(AL1202:AL1236,B1202:B1236,B1223-12)+in_life_term_renew^2*SUMIFS(AL1202:AL1236,B1202:B1236,B1223-24)+in_life_term_renew^3*SUMIFS(AL1202:AL1236,B1202:B1236,B1223-36)+in_life_term_renew^4*SUMIFS(AL1202:AL1236,B1202:B1236,B1223-48))</f>
        <v/>
      </c>
      <c r="AN1223" s="40">
        <f>AN1222*(1-IF(B1222&gt;=in_marketplace_from,d_hz_accident*G1222,0))</f>
        <v/>
      </c>
      <c r="AO1223" s="46">
        <f>AN1223*IF(B1223&gt;=in_marketplace_from,d_hz_accident*G1223,0)</f>
        <v/>
      </c>
      <c r="AP1223" s="14">
        <f>F1223*AO1223*in_accident_ticket*in_accident_comm*in_ins_partner_share+F1223*in_accident_ticket*in_accident_renew_comm*in_ins_partner_share*(in_accident_renew^1*SUMIFS(AO1202:AO1236,B1202:B1236,B1223-12)+in_accident_renew^2*SUMIFS(AO1202:AO1236,B1202:B1236,B1223-24)+in_accident_renew^3*SUMIFS(AO1202:AO1236,B1202:B1236,B1223-36)+in_accident_renew^4*SUMIFS(AO1202:AO1236,B1202:B1236,B1223-48))</f>
        <v/>
      </c>
      <c r="AQ1223" s="40">
        <f>AQ1222*(1-IF(B1222&gt;=in_marketplace_from,d_hz_two_wheeler*G1222,0))</f>
        <v/>
      </c>
      <c r="AR1223" s="46">
        <f>AQ1223*IF(B1223&gt;=in_marketplace_from,d_hz_two_wheeler*G1223,0)</f>
        <v/>
      </c>
      <c r="AS1223" s="14">
        <f>F1223*AR1223*in_two_wheeler_ticket*in_two_wheeler_comm*in_ins_partner_share+F1223*in_two_wheeler_ticket*in_two_wheeler_comm*in_ins_partner_share*(in_two_wheeler_renew^1*SUMIFS(AR1202:AR1236,B1202:B1236,B1223-12)+in_two_wheeler_renew^2*SUMIFS(AR1202:AR1236,B1202:B1236,B1223-24)+in_two_wheeler_renew^3*SUMIFS(AR1202:AR1236,B1202:B1236,B1223-36)+in_two_wheeler_renew^4*SUMIFS(AR1202:AR1236,B1202:B1236,B1223-48))</f>
        <v/>
      </c>
      <c r="AT1223" s="40">
        <f>AT1222*(1-IF(B1222&gt;=in_marketplace_from,d_hz_device*G1222,0))</f>
        <v/>
      </c>
      <c r="AU1223" s="14">
        <f>F1223*AT1223*IF(B1223&gt;=in_marketplace_from,d_hz_device*G1223,0)*in_device_ticket*in_device_comm*in_ins_partner_share</f>
        <v/>
      </c>
      <c r="AV1223" s="40">
        <f>AV1222*(1-IF(B1222&gt;=in_marketplace_from,d_hz_shop*G1222,0))</f>
        <v/>
      </c>
      <c r="AW1223" s="46">
        <f>AV1223*IF(B1223&gt;=in_marketplace_from,d_hz_shop*G1223,0)</f>
        <v/>
      </c>
      <c r="AX1223" s="14">
        <f>F1223*AW1223*in_shop_ticket*in_shop_comm*in_ins_partner_share+F1223*in_shop_ticket*in_shop_renew_comm*in_ins_partner_share*(in_shop_renew^1*SUMIFS(AW1202:AW1236,B1202:B1236,B1223-12)+in_shop_renew^2*SUMIFS(AW1202:AW1236,B1202:B1236,B1223-24)+in_shop_renew^3*SUMIFS(AW1202:AW1236,B1202:B1236,B1223-36)+in_shop_renew^4*SUMIFS(AW1202:AW1236,B1202:B1236,B1223-48))</f>
        <v/>
      </c>
      <c r="AY1223" s="40">
        <f>AY1222*(1-IF(B1222&gt;=in_marketplace_from,d_hz_sip*G1222,0))</f>
        <v/>
      </c>
      <c r="AZ1223" s="40">
        <f>AZ1222*d_rho_sip+AY1223*IF(B1223&gt;=in_marketplace_from,d_hz_sip*G1223,0)</f>
        <v/>
      </c>
      <c r="BA1223" s="40">
        <f>d_rho_sip*(BA1222+AZ1222)</f>
        <v/>
      </c>
      <c r="BB1223" s="14">
        <f>F1223*in_sip_ticket*(BA1223+0.5*AZ1223)*in_sip_comm/12</f>
        <v/>
      </c>
      <c r="BC1223" s="40">
        <f>BC1222*(1-IF(B1222&gt;=in_marketplace_from,d_hz_choti*G1222,0))</f>
        <v/>
      </c>
      <c r="BD1223" s="46">
        <f>BC1223*IF(B1223&gt;=in_marketplace_from,d_hz_choti*G1223,0)</f>
        <v/>
      </c>
      <c r="BE1223" s="14">
        <f>F1223*SUMIFS(BD1202:BD1236,B1202:B1236,B1223-in_choti_months)*in_choti_renew*in_choti_ticket</f>
        <v/>
      </c>
      <c r="BF1223" s="40">
        <f>BF1222*(1-IF(B1222&gt;=in_marketplace_from,d_hz_nps*G1222,0))</f>
        <v/>
      </c>
      <c r="BG1223" s="14">
        <f>F1223*BF1223*IF(B1223&gt;=in_marketplace_from,d_hz_nps*G1223,0)*in_nps_ticket*in_nps_comm</f>
        <v/>
      </c>
      <c r="BH1223" s="40">
        <f>BH1222*(1-IF(B1222&gt;=in_marketplace_from,d_hz_gold*G1222,0))</f>
        <v/>
      </c>
      <c r="BI1223" s="40">
        <f>BI1222*d_rho_gold+BH1223*IF(B1223&gt;=in_marketplace_from,d_hz_gold*G1223,0)</f>
        <v/>
      </c>
      <c r="BJ1223" s="14">
        <f>F1223*BI1223*in_gold_ticket*in_gold_comm</f>
        <v/>
      </c>
      <c r="BK1223" s="40">
        <f>BK1222*(1-IF(B1222&gt;=in_marketplace_from,d_hz_fd*G1222,0))</f>
        <v/>
      </c>
      <c r="BL1223" s="14">
        <f>F1223*BK1223*IF(B1223&gt;=in_marketplace_from,d_hz_fd*G1223,0)*in_fd_ticket*in_fd_comm</f>
        <v/>
      </c>
      <c r="BM1223" s="40">
        <f>BM1222*(1-IF(B1222&gt;=in_marketplace_from,d_hz_recharge*G1222,0))</f>
        <v/>
      </c>
      <c r="BN1223" s="40">
        <f>BN1222*d_rho_recharge+BM1223*IF(B1223&gt;=in_marketplace_from,d_hz_recharge*G1223,0)</f>
        <v/>
      </c>
      <c r="BO1223" s="14">
        <f>F1223*BN1223*in_recharge_ticket*in_recharge_comm/12</f>
        <v/>
      </c>
      <c r="BP1223" s="40">
        <f>BP1222*(1-IF(B1222&gt;=in_marketplace_from,d_hz_bills*G1222,0))</f>
        <v/>
      </c>
      <c r="BQ1223" s="40">
        <f>BQ1222*d_rho_bills+BP1223*IF(B1223&gt;=in_marketplace_from,d_hz_bills*G1223,0)</f>
        <v/>
      </c>
      <c r="BR1223" s="14">
        <f>F1223*BQ1223*in_bills_ticket*in_bills_comm/12</f>
        <v/>
      </c>
      <c r="BS1223" s="40">
        <f>BS1222*(1-IF(B1222&gt;=in_marketplace_from,d_hz_loan_gold*G1222,0))</f>
        <v/>
      </c>
      <c r="BT1223" s="14">
        <f>F1223*BS1223*IF(B1223&gt;=in_marketplace_from,d_hz_loan_gold*G1223,0)*in_loan_gold_ticket*in_loan_gold_comm</f>
        <v/>
      </c>
      <c r="BU1223" s="40">
        <f>BU1222*(1-IF(B1222&gt;=in_marketplace_from,d_hz_loan_cd*G1222,0))</f>
        <v/>
      </c>
      <c r="BV1223" s="14">
        <f>F1223*BU1223*IF(B1223&gt;=in_marketplace_from,d_hz_loan_cd*G1223,0)*in_loan_cd_ticket*in_loan_cd_comm</f>
        <v/>
      </c>
      <c r="BW1223" s="40">
        <f>BW1222*(1-IF(B1222&gt;=in_marketplace_from,d_hz_loan_vehicle*G1222,0))</f>
        <v/>
      </c>
      <c r="BX1223" s="14">
        <f>F1223*BW1223*IF(B1223&gt;=in_marketplace_from,d_hz_loan_vehicle*G1223,0)*in_loan_vehicle_ticket*in_loan_vehicle_comm</f>
        <v/>
      </c>
      <c r="BY1223" s="40">
        <f>BY1222*(1-IF(B1222&gt;=in_marketplace_from,d_hz_loan_home*G1222,0)*BZ1222)</f>
        <v/>
      </c>
      <c r="BZ1223" s="11">
        <f>MIN(in_approval_cap,in_loan_home_approval*INDEX('Age profile'!$O$2:$O$61,B1223)*(1+in_approval_growth)^(D1223-1))</f>
        <v/>
      </c>
      <c r="CA1223" s="14">
        <f>F1223*BY1223*IF(B1223&gt;=in_marketplace_from,d_hz_loan_home*G1223,0)*BZ1223*in_loan_home_ticket*in_loan_home_comm</f>
        <v/>
      </c>
      <c r="CB1223" s="40">
        <f>CB1222*(1-IF(B1222&gt;=in_marketplace_from,d_hz_loan_lap*G1222,0)*CC1222)</f>
        <v/>
      </c>
      <c r="CC1223" s="11">
        <f>MIN(in_approval_cap,in_loan_lap_approval*INDEX('Age profile'!$O$2:$O$61,B1223)*(1+in_approval_growth)^(D1223-1))</f>
        <v/>
      </c>
      <c r="CD1223" s="14">
        <f>F1223*CB1223*IF(B1223&gt;=in_marketplace_from,d_hz_loan_lap*G1223,0)*CC1223*in_loan_lap_ticket*in_loan_lap_comm</f>
        <v/>
      </c>
      <c r="CE1223" s="14">
        <f>AA1223+AB1223+AC1223+AD1223+AG1223+AJ1223+AM1223+AP1223+AS1223+AU1223+AX1223+BB1223+BE1223+BG1223+BJ1223+BL1223+BO1223+BR1223+BT1223+BV1223+BX1223+CA1223+CD1223</f>
        <v/>
      </c>
    </row>
    <row r="1224">
      <c r="A1224" s="39" t="n">
        <v>26</v>
      </c>
      <c r="B1224" s="39" t="n">
        <v>23</v>
      </c>
      <c r="C1224" s="39">
        <f>A1224+B1224-1</f>
        <v/>
      </c>
      <c r="D1224" s="39">
        <f>INT((C1224-1)/12)+1</f>
        <v/>
      </c>
      <c r="E1224" s="44">
        <f>INDEX(Monthly!$B$2:$B$61,A1224)</f>
        <v/>
      </c>
      <c r="F1224" s="44">
        <f>E1224*INDEX('Age profile'!$B$2:$B$61,B1224)</f>
        <v/>
      </c>
      <c r="G1224" s="45">
        <f>MIN(in_takeup_cap,INDEX('Age profile'!$N$2:$N$61,B1224)*(1+in_takeup_growth)^(D1224-1))</f>
        <v/>
      </c>
      <c r="H1224" s="11">
        <f>MIN(in_approval_cap,in_approved_first*INDEX('Age profile'!$O$2:$O$61,B1224)*(1+in_approval_growth)^(D1224-1))</f>
        <v/>
      </c>
      <c r="I1224" s="45">
        <f>G1224*MIN(in_takeup_cap,INDEX('Age profile'!$O$2:$O$61,B1224)*(1+in_approval_growth)^(D1224-1))</f>
        <v/>
      </c>
      <c r="J1224" s="40">
        <f>(J1223-L1223)*F1224/F1223</f>
        <v/>
      </c>
      <c r="K1224" s="40">
        <f>(K1223-M1223)*F1224/F1223+SUMIFS(O1202:O1223,B1202:B1223,B1224-1-d_T)*F1224</f>
        <v/>
      </c>
      <c r="L1224" s="40">
        <f>IF(B1224&gt;=in_marketplace_from,J1224*d_hz*G1224*in_eligible*H1224,0)</f>
        <v/>
      </c>
      <c r="M1224" s="40">
        <f>IF(B1224&gt;=in_marketplace_from,K1224*d_hz*G1224*in_eligible*in_approved_repeat,0)</f>
        <v/>
      </c>
      <c r="N1224" s="40">
        <f>L1224+M1224</f>
        <v/>
      </c>
      <c r="O1224" s="46">
        <f>N1224/F1224</f>
        <v/>
      </c>
      <c r="P1224" s="40">
        <f>F1224-J1224-K1224</f>
        <v/>
      </c>
      <c r="Q1224" s="40">
        <f>IF(B1224&gt;=in_marketplace_from,(J1224+K1224)*d_hz*G1224,0)</f>
        <v/>
      </c>
      <c r="R1224" s="40">
        <f>SUMIFS(N1202:N1236,B1202:B1236,"&gt;="&amp;(B1224-d_T),B1202:B1236,"&lt;="&amp;(B1224-1))</f>
        <v/>
      </c>
      <c r="S1224" s="46">
        <f>(1-d_u)*S1223+IF(d_T&gt;in_topup_lag,SUMIFS(O1202:O1236,B1202:B1236,B1224-in_topup_lag)-d_udrop*SUMIFS(O1202:O1236,B1202:B1236,B1224-d_T),0)</f>
        <v/>
      </c>
      <c r="T1224" s="40">
        <f>F1224*d_u*S1224</f>
        <v/>
      </c>
      <c r="U1224" s="9">
        <f>L1224*in_ticket+M1224*d_rep_ticket</f>
        <v/>
      </c>
      <c r="V1224" s="9">
        <f>U1224+T1224*d_topup_amt</f>
        <v/>
      </c>
      <c r="W1224" s="40">
        <f>N1224+T1224*d_topup_ratio</f>
        <v/>
      </c>
      <c r="X1224" s="40">
        <f>SUMIFS(W1202:W1236,B1202:B1236,B1224-in_dpd_lag)*d_cured</f>
        <v/>
      </c>
      <c r="Y1224" s="40">
        <f>SUMIFS(W1202:W1236,B1202:B1236,B1224-in_rec_lag)*d_recd</f>
        <v/>
      </c>
      <c r="Z1224" s="40">
        <f>IF(AND(B1224&gt;=in_marketplace_from,B1224&lt;in_marketplace_from+in_card_months),in_card_share/in_card_months*F1224*I1224,IF(AND(B1224&gt;=in_marketplace_from+in_card_months,B1224&lt;in_marketplace_from+2*in_card_months),in_card_share*d_card_rem/in_card_months*F1224*MIN(in_takeup_cap,(1+in_takeup_growth)^(D1224-1))*MIN(in_takeup_cap,(1+in_approval_growth)^(D1224-1)),0))</f>
        <v/>
      </c>
      <c r="AA1224" s="14">
        <f>V1224*in_fee*(1-in_taken_back)</f>
        <v/>
      </c>
      <c r="AB1224" s="14">
        <f>SUMIFS(W1202:W1236,B1202:B1236,B1224-in_dpd_lag)*d_dpd</f>
        <v/>
      </c>
      <c r="AC1224" s="14">
        <f>SUMIFS(W1202:W1236,B1202:B1236,B1224-in_rec_lag)*d_rec</f>
        <v/>
      </c>
      <c r="AD1224" s="14">
        <f>Z1224*in_card_fee</f>
        <v/>
      </c>
      <c r="AE1224" s="40">
        <f>AE1223*(1-IF(B1223&gt;=in_marketplace_from,d_hz_hlth_small*G1223,0))</f>
        <v/>
      </c>
      <c r="AF1224" s="46">
        <f>AE1224*IF(B1224&gt;=in_marketplace_from,d_hz_hlth_small*G1224,0)</f>
        <v/>
      </c>
      <c r="AG1224" s="14">
        <f>F1224*AF1224*in_hlth_small_ticket*in_hlth_small_comm*in_ins_partner_share+F1224*in_hlth_small_ticket*in_hlth_small_renew_comm*in_ins_partner_share*(in_hlth_small_renew^1*SUMIFS(AF1202:AF1236,B1202:B1236,B1224-12)+in_hlth_small_renew^2*SUMIFS(AF1202:AF1236,B1202:B1236,B1224-24)+in_hlth_small_renew^3*SUMIFS(AF1202:AF1236,B1202:B1236,B1224-36)+in_hlth_small_renew^4*SUMIFS(AF1202:AF1236,B1202:B1236,B1224-48))</f>
        <v/>
      </c>
      <c r="AH1224" s="40">
        <f>AH1223*(1-IF(B1223&gt;=in_marketplace_from,d_hz_hlth_family*G1223,0))</f>
        <v/>
      </c>
      <c r="AI1224" s="46">
        <f>AH1224*IF(B1224&gt;=in_marketplace_from,d_hz_hlth_family*G1224,0)</f>
        <v/>
      </c>
      <c r="AJ1224" s="14">
        <f>F1224*AI1224*in_hlth_family_ticket*in_hlth_family_comm*in_ins_partner_share+F1224*in_hlth_family_ticket*in_hlth_family_renew_comm*in_ins_partner_share*(in_hlth_family_renew^1*SUMIFS(AI1202:AI1236,B1202:B1236,B1224-12)+in_hlth_family_renew^2*SUMIFS(AI1202:AI1236,B1202:B1236,B1224-24)+in_hlth_family_renew^3*SUMIFS(AI1202:AI1236,B1202:B1236,B1224-36)+in_hlth_family_renew^4*SUMIFS(AI1202:AI1236,B1202:B1236,B1224-48))</f>
        <v/>
      </c>
      <c r="AK1224" s="40">
        <f>AK1223*(1-IF(B1223&gt;=in_marketplace_from,d_hz_life_term*G1223,0))</f>
        <v/>
      </c>
      <c r="AL1224" s="46">
        <f>AK1224*IF(B1224&gt;=in_marketplace_from,d_hz_life_term*G1224,0)</f>
        <v/>
      </c>
      <c r="AM1224" s="14">
        <f>F1224*AL1224*in_life_term_ticket*in_life_term_comm*in_ins_partner_share+F1224*in_life_term_ticket*in_life_term_renew_comm*in_ins_partner_share*(in_life_term_renew^1*SUMIFS(AL1202:AL1236,B1202:B1236,B1224-12)+in_life_term_renew^2*SUMIFS(AL1202:AL1236,B1202:B1236,B1224-24)+in_life_term_renew^3*SUMIFS(AL1202:AL1236,B1202:B1236,B1224-36)+in_life_term_renew^4*SUMIFS(AL1202:AL1236,B1202:B1236,B1224-48))</f>
        <v/>
      </c>
      <c r="AN1224" s="40">
        <f>AN1223*(1-IF(B1223&gt;=in_marketplace_from,d_hz_accident*G1223,0))</f>
        <v/>
      </c>
      <c r="AO1224" s="46">
        <f>AN1224*IF(B1224&gt;=in_marketplace_from,d_hz_accident*G1224,0)</f>
        <v/>
      </c>
      <c r="AP1224" s="14">
        <f>F1224*AO1224*in_accident_ticket*in_accident_comm*in_ins_partner_share+F1224*in_accident_ticket*in_accident_renew_comm*in_ins_partner_share*(in_accident_renew^1*SUMIFS(AO1202:AO1236,B1202:B1236,B1224-12)+in_accident_renew^2*SUMIFS(AO1202:AO1236,B1202:B1236,B1224-24)+in_accident_renew^3*SUMIFS(AO1202:AO1236,B1202:B1236,B1224-36)+in_accident_renew^4*SUMIFS(AO1202:AO1236,B1202:B1236,B1224-48))</f>
        <v/>
      </c>
      <c r="AQ1224" s="40">
        <f>AQ1223*(1-IF(B1223&gt;=in_marketplace_from,d_hz_two_wheeler*G1223,0))</f>
        <v/>
      </c>
      <c r="AR1224" s="46">
        <f>AQ1224*IF(B1224&gt;=in_marketplace_from,d_hz_two_wheeler*G1224,0)</f>
        <v/>
      </c>
      <c r="AS1224" s="14">
        <f>F1224*AR1224*in_two_wheeler_ticket*in_two_wheeler_comm*in_ins_partner_share+F1224*in_two_wheeler_ticket*in_two_wheeler_comm*in_ins_partner_share*(in_two_wheeler_renew^1*SUMIFS(AR1202:AR1236,B1202:B1236,B1224-12)+in_two_wheeler_renew^2*SUMIFS(AR1202:AR1236,B1202:B1236,B1224-24)+in_two_wheeler_renew^3*SUMIFS(AR1202:AR1236,B1202:B1236,B1224-36)+in_two_wheeler_renew^4*SUMIFS(AR1202:AR1236,B1202:B1236,B1224-48))</f>
        <v/>
      </c>
      <c r="AT1224" s="40">
        <f>AT1223*(1-IF(B1223&gt;=in_marketplace_from,d_hz_device*G1223,0))</f>
        <v/>
      </c>
      <c r="AU1224" s="14">
        <f>F1224*AT1224*IF(B1224&gt;=in_marketplace_from,d_hz_device*G1224,0)*in_device_ticket*in_device_comm*in_ins_partner_share</f>
        <v/>
      </c>
      <c r="AV1224" s="40">
        <f>AV1223*(1-IF(B1223&gt;=in_marketplace_from,d_hz_shop*G1223,0))</f>
        <v/>
      </c>
      <c r="AW1224" s="46">
        <f>AV1224*IF(B1224&gt;=in_marketplace_from,d_hz_shop*G1224,0)</f>
        <v/>
      </c>
      <c r="AX1224" s="14">
        <f>F1224*AW1224*in_shop_ticket*in_shop_comm*in_ins_partner_share+F1224*in_shop_ticket*in_shop_renew_comm*in_ins_partner_share*(in_shop_renew^1*SUMIFS(AW1202:AW1236,B1202:B1236,B1224-12)+in_shop_renew^2*SUMIFS(AW1202:AW1236,B1202:B1236,B1224-24)+in_shop_renew^3*SUMIFS(AW1202:AW1236,B1202:B1236,B1224-36)+in_shop_renew^4*SUMIFS(AW1202:AW1236,B1202:B1236,B1224-48))</f>
        <v/>
      </c>
      <c r="AY1224" s="40">
        <f>AY1223*(1-IF(B1223&gt;=in_marketplace_from,d_hz_sip*G1223,0))</f>
        <v/>
      </c>
      <c r="AZ1224" s="40">
        <f>AZ1223*d_rho_sip+AY1224*IF(B1224&gt;=in_marketplace_from,d_hz_sip*G1224,0)</f>
        <v/>
      </c>
      <c r="BA1224" s="40">
        <f>d_rho_sip*(BA1223+AZ1223)</f>
        <v/>
      </c>
      <c r="BB1224" s="14">
        <f>F1224*in_sip_ticket*(BA1224+0.5*AZ1224)*in_sip_comm/12</f>
        <v/>
      </c>
      <c r="BC1224" s="40">
        <f>BC1223*(1-IF(B1223&gt;=in_marketplace_from,d_hz_choti*G1223,0))</f>
        <v/>
      </c>
      <c r="BD1224" s="46">
        <f>BC1224*IF(B1224&gt;=in_marketplace_from,d_hz_choti*G1224,0)</f>
        <v/>
      </c>
      <c r="BE1224" s="14">
        <f>F1224*SUMIFS(BD1202:BD1236,B1202:B1236,B1224-in_choti_months)*in_choti_renew*in_choti_ticket</f>
        <v/>
      </c>
      <c r="BF1224" s="40">
        <f>BF1223*(1-IF(B1223&gt;=in_marketplace_from,d_hz_nps*G1223,0))</f>
        <v/>
      </c>
      <c r="BG1224" s="14">
        <f>F1224*BF1224*IF(B1224&gt;=in_marketplace_from,d_hz_nps*G1224,0)*in_nps_ticket*in_nps_comm</f>
        <v/>
      </c>
      <c r="BH1224" s="40">
        <f>BH1223*(1-IF(B1223&gt;=in_marketplace_from,d_hz_gold*G1223,0))</f>
        <v/>
      </c>
      <c r="BI1224" s="40">
        <f>BI1223*d_rho_gold+BH1224*IF(B1224&gt;=in_marketplace_from,d_hz_gold*G1224,0)</f>
        <v/>
      </c>
      <c r="BJ1224" s="14">
        <f>F1224*BI1224*in_gold_ticket*in_gold_comm</f>
        <v/>
      </c>
      <c r="BK1224" s="40">
        <f>BK1223*(1-IF(B1223&gt;=in_marketplace_from,d_hz_fd*G1223,0))</f>
        <v/>
      </c>
      <c r="BL1224" s="14">
        <f>F1224*BK1224*IF(B1224&gt;=in_marketplace_from,d_hz_fd*G1224,0)*in_fd_ticket*in_fd_comm</f>
        <v/>
      </c>
      <c r="BM1224" s="40">
        <f>BM1223*(1-IF(B1223&gt;=in_marketplace_from,d_hz_recharge*G1223,0))</f>
        <v/>
      </c>
      <c r="BN1224" s="40">
        <f>BN1223*d_rho_recharge+BM1224*IF(B1224&gt;=in_marketplace_from,d_hz_recharge*G1224,0)</f>
        <v/>
      </c>
      <c r="BO1224" s="14">
        <f>F1224*BN1224*in_recharge_ticket*in_recharge_comm/12</f>
        <v/>
      </c>
      <c r="BP1224" s="40">
        <f>BP1223*(1-IF(B1223&gt;=in_marketplace_from,d_hz_bills*G1223,0))</f>
        <v/>
      </c>
      <c r="BQ1224" s="40">
        <f>BQ1223*d_rho_bills+BP1224*IF(B1224&gt;=in_marketplace_from,d_hz_bills*G1224,0)</f>
        <v/>
      </c>
      <c r="BR1224" s="14">
        <f>F1224*BQ1224*in_bills_ticket*in_bills_comm/12</f>
        <v/>
      </c>
      <c r="BS1224" s="40">
        <f>BS1223*(1-IF(B1223&gt;=in_marketplace_from,d_hz_loan_gold*G1223,0))</f>
        <v/>
      </c>
      <c r="BT1224" s="14">
        <f>F1224*BS1224*IF(B1224&gt;=in_marketplace_from,d_hz_loan_gold*G1224,0)*in_loan_gold_ticket*in_loan_gold_comm</f>
        <v/>
      </c>
      <c r="BU1224" s="40">
        <f>BU1223*(1-IF(B1223&gt;=in_marketplace_from,d_hz_loan_cd*G1223,0))</f>
        <v/>
      </c>
      <c r="BV1224" s="14">
        <f>F1224*BU1224*IF(B1224&gt;=in_marketplace_from,d_hz_loan_cd*G1224,0)*in_loan_cd_ticket*in_loan_cd_comm</f>
        <v/>
      </c>
      <c r="BW1224" s="40">
        <f>BW1223*(1-IF(B1223&gt;=in_marketplace_from,d_hz_loan_vehicle*G1223,0))</f>
        <v/>
      </c>
      <c r="BX1224" s="14">
        <f>F1224*BW1224*IF(B1224&gt;=in_marketplace_from,d_hz_loan_vehicle*G1224,0)*in_loan_vehicle_ticket*in_loan_vehicle_comm</f>
        <v/>
      </c>
      <c r="BY1224" s="40">
        <f>BY1223*(1-IF(B1223&gt;=in_marketplace_from,d_hz_loan_home*G1223,0)*BZ1223)</f>
        <v/>
      </c>
      <c r="BZ1224" s="11">
        <f>MIN(in_approval_cap,in_loan_home_approval*INDEX('Age profile'!$O$2:$O$61,B1224)*(1+in_approval_growth)^(D1224-1))</f>
        <v/>
      </c>
      <c r="CA1224" s="14">
        <f>F1224*BY1224*IF(B1224&gt;=in_marketplace_from,d_hz_loan_home*G1224,0)*BZ1224*in_loan_home_ticket*in_loan_home_comm</f>
        <v/>
      </c>
      <c r="CB1224" s="40">
        <f>CB1223*(1-IF(B1223&gt;=in_marketplace_from,d_hz_loan_lap*G1223,0)*CC1223)</f>
        <v/>
      </c>
      <c r="CC1224" s="11">
        <f>MIN(in_approval_cap,in_loan_lap_approval*INDEX('Age profile'!$O$2:$O$61,B1224)*(1+in_approval_growth)^(D1224-1))</f>
        <v/>
      </c>
      <c r="CD1224" s="14">
        <f>F1224*CB1224*IF(B1224&gt;=in_marketplace_from,d_hz_loan_lap*G1224,0)*CC1224*in_loan_lap_ticket*in_loan_lap_comm</f>
        <v/>
      </c>
      <c r="CE1224" s="14">
        <f>AA1224+AB1224+AC1224+AD1224+AG1224+AJ1224+AM1224+AP1224+AS1224+AU1224+AX1224+BB1224+BE1224+BG1224+BJ1224+BL1224+BO1224+BR1224+BT1224+BV1224+BX1224+CA1224+CD1224</f>
        <v/>
      </c>
    </row>
    <row r="1225">
      <c r="A1225" s="39" t="n">
        <v>26</v>
      </c>
      <c r="B1225" s="39" t="n">
        <v>24</v>
      </c>
      <c r="C1225" s="39">
        <f>A1225+B1225-1</f>
        <v/>
      </c>
      <c r="D1225" s="39">
        <f>INT((C1225-1)/12)+1</f>
        <v/>
      </c>
      <c r="E1225" s="44">
        <f>INDEX(Monthly!$B$2:$B$61,A1225)</f>
        <v/>
      </c>
      <c r="F1225" s="44">
        <f>E1225*INDEX('Age profile'!$B$2:$B$61,B1225)</f>
        <v/>
      </c>
      <c r="G1225" s="45">
        <f>MIN(in_takeup_cap,INDEX('Age profile'!$N$2:$N$61,B1225)*(1+in_takeup_growth)^(D1225-1))</f>
        <v/>
      </c>
      <c r="H1225" s="11">
        <f>MIN(in_approval_cap,in_approved_first*INDEX('Age profile'!$O$2:$O$61,B1225)*(1+in_approval_growth)^(D1225-1))</f>
        <v/>
      </c>
      <c r="I1225" s="45">
        <f>G1225*MIN(in_takeup_cap,INDEX('Age profile'!$O$2:$O$61,B1225)*(1+in_approval_growth)^(D1225-1))</f>
        <v/>
      </c>
      <c r="J1225" s="40">
        <f>(J1224-L1224)*F1225/F1224</f>
        <v/>
      </c>
      <c r="K1225" s="40">
        <f>(K1224-M1224)*F1225/F1224+SUMIFS(O1202:O1224,B1202:B1224,B1225-1-d_T)*F1225</f>
        <v/>
      </c>
      <c r="L1225" s="40">
        <f>IF(B1225&gt;=in_marketplace_from,J1225*d_hz*G1225*in_eligible*H1225,0)</f>
        <v/>
      </c>
      <c r="M1225" s="40">
        <f>IF(B1225&gt;=in_marketplace_from,K1225*d_hz*G1225*in_eligible*in_approved_repeat,0)</f>
        <v/>
      </c>
      <c r="N1225" s="40">
        <f>L1225+M1225</f>
        <v/>
      </c>
      <c r="O1225" s="46">
        <f>N1225/F1225</f>
        <v/>
      </c>
      <c r="P1225" s="40">
        <f>F1225-J1225-K1225</f>
        <v/>
      </c>
      <c r="Q1225" s="40">
        <f>IF(B1225&gt;=in_marketplace_from,(J1225+K1225)*d_hz*G1225,0)</f>
        <v/>
      </c>
      <c r="R1225" s="40">
        <f>SUMIFS(N1202:N1236,B1202:B1236,"&gt;="&amp;(B1225-d_T),B1202:B1236,"&lt;="&amp;(B1225-1))</f>
        <v/>
      </c>
      <c r="S1225" s="46">
        <f>(1-d_u)*S1224+IF(d_T&gt;in_topup_lag,SUMIFS(O1202:O1236,B1202:B1236,B1225-in_topup_lag)-d_udrop*SUMIFS(O1202:O1236,B1202:B1236,B1225-d_T),0)</f>
        <v/>
      </c>
      <c r="T1225" s="40">
        <f>F1225*d_u*S1225</f>
        <v/>
      </c>
      <c r="U1225" s="9">
        <f>L1225*in_ticket+M1225*d_rep_ticket</f>
        <v/>
      </c>
      <c r="V1225" s="9">
        <f>U1225+T1225*d_topup_amt</f>
        <v/>
      </c>
      <c r="W1225" s="40">
        <f>N1225+T1225*d_topup_ratio</f>
        <v/>
      </c>
      <c r="X1225" s="40">
        <f>SUMIFS(W1202:W1236,B1202:B1236,B1225-in_dpd_lag)*d_cured</f>
        <v/>
      </c>
      <c r="Y1225" s="40">
        <f>SUMIFS(W1202:W1236,B1202:B1236,B1225-in_rec_lag)*d_recd</f>
        <v/>
      </c>
      <c r="Z1225" s="40">
        <f>IF(AND(B1225&gt;=in_marketplace_from,B1225&lt;in_marketplace_from+in_card_months),in_card_share/in_card_months*F1225*I1225,IF(AND(B1225&gt;=in_marketplace_from+in_card_months,B1225&lt;in_marketplace_from+2*in_card_months),in_card_share*d_card_rem/in_card_months*F1225*MIN(in_takeup_cap,(1+in_takeup_growth)^(D1225-1))*MIN(in_takeup_cap,(1+in_approval_growth)^(D1225-1)),0))</f>
        <v/>
      </c>
      <c r="AA1225" s="14">
        <f>V1225*in_fee*(1-in_taken_back)</f>
        <v/>
      </c>
      <c r="AB1225" s="14">
        <f>SUMIFS(W1202:W1236,B1202:B1236,B1225-in_dpd_lag)*d_dpd</f>
        <v/>
      </c>
      <c r="AC1225" s="14">
        <f>SUMIFS(W1202:W1236,B1202:B1236,B1225-in_rec_lag)*d_rec</f>
        <v/>
      </c>
      <c r="AD1225" s="14">
        <f>Z1225*in_card_fee</f>
        <v/>
      </c>
      <c r="AE1225" s="40">
        <f>AE1224*(1-IF(B1224&gt;=in_marketplace_from,d_hz_hlth_small*G1224,0))</f>
        <v/>
      </c>
      <c r="AF1225" s="46">
        <f>AE1225*IF(B1225&gt;=in_marketplace_from,d_hz_hlth_small*G1225,0)</f>
        <v/>
      </c>
      <c r="AG1225" s="14">
        <f>F1225*AF1225*in_hlth_small_ticket*in_hlth_small_comm*in_ins_partner_share+F1225*in_hlth_small_ticket*in_hlth_small_renew_comm*in_ins_partner_share*(in_hlth_small_renew^1*SUMIFS(AF1202:AF1236,B1202:B1236,B1225-12)+in_hlth_small_renew^2*SUMIFS(AF1202:AF1236,B1202:B1236,B1225-24)+in_hlth_small_renew^3*SUMIFS(AF1202:AF1236,B1202:B1236,B1225-36)+in_hlth_small_renew^4*SUMIFS(AF1202:AF1236,B1202:B1236,B1225-48))</f>
        <v/>
      </c>
      <c r="AH1225" s="40">
        <f>AH1224*(1-IF(B1224&gt;=in_marketplace_from,d_hz_hlth_family*G1224,0))</f>
        <v/>
      </c>
      <c r="AI1225" s="46">
        <f>AH1225*IF(B1225&gt;=in_marketplace_from,d_hz_hlth_family*G1225,0)</f>
        <v/>
      </c>
      <c r="AJ1225" s="14">
        <f>F1225*AI1225*in_hlth_family_ticket*in_hlth_family_comm*in_ins_partner_share+F1225*in_hlth_family_ticket*in_hlth_family_renew_comm*in_ins_partner_share*(in_hlth_family_renew^1*SUMIFS(AI1202:AI1236,B1202:B1236,B1225-12)+in_hlth_family_renew^2*SUMIFS(AI1202:AI1236,B1202:B1236,B1225-24)+in_hlth_family_renew^3*SUMIFS(AI1202:AI1236,B1202:B1236,B1225-36)+in_hlth_family_renew^4*SUMIFS(AI1202:AI1236,B1202:B1236,B1225-48))</f>
        <v/>
      </c>
      <c r="AK1225" s="40">
        <f>AK1224*(1-IF(B1224&gt;=in_marketplace_from,d_hz_life_term*G1224,0))</f>
        <v/>
      </c>
      <c r="AL1225" s="46">
        <f>AK1225*IF(B1225&gt;=in_marketplace_from,d_hz_life_term*G1225,0)</f>
        <v/>
      </c>
      <c r="AM1225" s="14">
        <f>F1225*AL1225*in_life_term_ticket*in_life_term_comm*in_ins_partner_share+F1225*in_life_term_ticket*in_life_term_renew_comm*in_ins_partner_share*(in_life_term_renew^1*SUMIFS(AL1202:AL1236,B1202:B1236,B1225-12)+in_life_term_renew^2*SUMIFS(AL1202:AL1236,B1202:B1236,B1225-24)+in_life_term_renew^3*SUMIFS(AL1202:AL1236,B1202:B1236,B1225-36)+in_life_term_renew^4*SUMIFS(AL1202:AL1236,B1202:B1236,B1225-48))</f>
        <v/>
      </c>
      <c r="AN1225" s="40">
        <f>AN1224*(1-IF(B1224&gt;=in_marketplace_from,d_hz_accident*G1224,0))</f>
        <v/>
      </c>
      <c r="AO1225" s="46">
        <f>AN1225*IF(B1225&gt;=in_marketplace_from,d_hz_accident*G1225,0)</f>
        <v/>
      </c>
      <c r="AP1225" s="14">
        <f>F1225*AO1225*in_accident_ticket*in_accident_comm*in_ins_partner_share+F1225*in_accident_ticket*in_accident_renew_comm*in_ins_partner_share*(in_accident_renew^1*SUMIFS(AO1202:AO1236,B1202:B1236,B1225-12)+in_accident_renew^2*SUMIFS(AO1202:AO1236,B1202:B1236,B1225-24)+in_accident_renew^3*SUMIFS(AO1202:AO1236,B1202:B1236,B1225-36)+in_accident_renew^4*SUMIFS(AO1202:AO1236,B1202:B1236,B1225-48))</f>
        <v/>
      </c>
      <c r="AQ1225" s="40">
        <f>AQ1224*(1-IF(B1224&gt;=in_marketplace_from,d_hz_two_wheeler*G1224,0))</f>
        <v/>
      </c>
      <c r="AR1225" s="46">
        <f>AQ1225*IF(B1225&gt;=in_marketplace_from,d_hz_two_wheeler*G1225,0)</f>
        <v/>
      </c>
      <c r="AS1225" s="14">
        <f>F1225*AR1225*in_two_wheeler_ticket*in_two_wheeler_comm*in_ins_partner_share+F1225*in_two_wheeler_ticket*in_two_wheeler_comm*in_ins_partner_share*(in_two_wheeler_renew^1*SUMIFS(AR1202:AR1236,B1202:B1236,B1225-12)+in_two_wheeler_renew^2*SUMIFS(AR1202:AR1236,B1202:B1236,B1225-24)+in_two_wheeler_renew^3*SUMIFS(AR1202:AR1236,B1202:B1236,B1225-36)+in_two_wheeler_renew^4*SUMIFS(AR1202:AR1236,B1202:B1236,B1225-48))</f>
        <v/>
      </c>
      <c r="AT1225" s="40">
        <f>AT1224*(1-IF(B1224&gt;=in_marketplace_from,d_hz_device*G1224,0))</f>
        <v/>
      </c>
      <c r="AU1225" s="14">
        <f>F1225*AT1225*IF(B1225&gt;=in_marketplace_from,d_hz_device*G1225,0)*in_device_ticket*in_device_comm*in_ins_partner_share</f>
        <v/>
      </c>
      <c r="AV1225" s="40">
        <f>AV1224*(1-IF(B1224&gt;=in_marketplace_from,d_hz_shop*G1224,0))</f>
        <v/>
      </c>
      <c r="AW1225" s="46">
        <f>AV1225*IF(B1225&gt;=in_marketplace_from,d_hz_shop*G1225,0)</f>
        <v/>
      </c>
      <c r="AX1225" s="14">
        <f>F1225*AW1225*in_shop_ticket*in_shop_comm*in_ins_partner_share+F1225*in_shop_ticket*in_shop_renew_comm*in_ins_partner_share*(in_shop_renew^1*SUMIFS(AW1202:AW1236,B1202:B1236,B1225-12)+in_shop_renew^2*SUMIFS(AW1202:AW1236,B1202:B1236,B1225-24)+in_shop_renew^3*SUMIFS(AW1202:AW1236,B1202:B1236,B1225-36)+in_shop_renew^4*SUMIFS(AW1202:AW1236,B1202:B1236,B1225-48))</f>
        <v/>
      </c>
      <c r="AY1225" s="40">
        <f>AY1224*(1-IF(B1224&gt;=in_marketplace_from,d_hz_sip*G1224,0))</f>
        <v/>
      </c>
      <c r="AZ1225" s="40">
        <f>AZ1224*d_rho_sip+AY1225*IF(B1225&gt;=in_marketplace_from,d_hz_sip*G1225,0)</f>
        <v/>
      </c>
      <c r="BA1225" s="40">
        <f>d_rho_sip*(BA1224+AZ1224)</f>
        <v/>
      </c>
      <c r="BB1225" s="14">
        <f>F1225*in_sip_ticket*(BA1225+0.5*AZ1225)*in_sip_comm/12</f>
        <v/>
      </c>
      <c r="BC1225" s="40">
        <f>BC1224*(1-IF(B1224&gt;=in_marketplace_from,d_hz_choti*G1224,0))</f>
        <v/>
      </c>
      <c r="BD1225" s="46">
        <f>BC1225*IF(B1225&gt;=in_marketplace_from,d_hz_choti*G1225,0)</f>
        <v/>
      </c>
      <c r="BE1225" s="14">
        <f>F1225*SUMIFS(BD1202:BD1236,B1202:B1236,B1225-in_choti_months)*in_choti_renew*in_choti_ticket</f>
        <v/>
      </c>
      <c r="BF1225" s="40">
        <f>BF1224*(1-IF(B1224&gt;=in_marketplace_from,d_hz_nps*G1224,0))</f>
        <v/>
      </c>
      <c r="BG1225" s="14">
        <f>F1225*BF1225*IF(B1225&gt;=in_marketplace_from,d_hz_nps*G1225,0)*in_nps_ticket*in_nps_comm</f>
        <v/>
      </c>
      <c r="BH1225" s="40">
        <f>BH1224*(1-IF(B1224&gt;=in_marketplace_from,d_hz_gold*G1224,0))</f>
        <v/>
      </c>
      <c r="BI1225" s="40">
        <f>BI1224*d_rho_gold+BH1225*IF(B1225&gt;=in_marketplace_from,d_hz_gold*G1225,0)</f>
        <v/>
      </c>
      <c r="BJ1225" s="14">
        <f>F1225*BI1225*in_gold_ticket*in_gold_comm</f>
        <v/>
      </c>
      <c r="BK1225" s="40">
        <f>BK1224*(1-IF(B1224&gt;=in_marketplace_from,d_hz_fd*G1224,0))</f>
        <v/>
      </c>
      <c r="BL1225" s="14">
        <f>F1225*BK1225*IF(B1225&gt;=in_marketplace_from,d_hz_fd*G1225,0)*in_fd_ticket*in_fd_comm</f>
        <v/>
      </c>
      <c r="BM1225" s="40">
        <f>BM1224*(1-IF(B1224&gt;=in_marketplace_from,d_hz_recharge*G1224,0))</f>
        <v/>
      </c>
      <c r="BN1225" s="40">
        <f>BN1224*d_rho_recharge+BM1225*IF(B1225&gt;=in_marketplace_from,d_hz_recharge*G1225,0)</f>
        <v/>
      </c>
      <c r="BO1225" s="14">
        <f>F1225*BN1225*in_recharge_ticket*in_recharge_comm/12</f>
        <v/>
      </c>
      <c r="BP1225" s="40">
        <f>BP1224*(1-IF(B1224&gt;=in_marketplace_from,d_hz_bills*G1224,0))</f>
        <v/>
      </c>
      <c r="BQ1225" s="40">
        <f>BQ1224*d_rho_bills+BP1225*IF(B1225&gt;=in_marketplace_from,d_hz_bills*G1225,0)</f>
        <v/>
      </c>
      <c r="BR1225" s="14">
        <f>F1225*BQ1225*in_bills_ticket*in_bills_comm/12</f>
        <v/>
      </c>
      <c r="BS1225" s="40">
        <f>BS1224*(1-IF(B1224&gt;=in_marketplace_from,d_hz_loan_gold*G1224,0))</f>
        <v/>
      </c>
      <c r="BT1225" s="14">
        <f>F1225*BS1225*IF(B1225&gt;=in_marketplace_from,d_hz_loan_gold*G1225,0)*in_loan_gold_ticket*in_loan_gold_comm</f>
        <v/>
      </c>
      <c r="BU1225" s="40">
        <f>BU1224*(1-IF(B1224&gt;=in_marketplace_from,d_hz_loan_cd*G1224,0))</f>
        <v/>
      </c>
      <c r="BV1225" s="14">
        <f>F1225*BU1225*IF(B1225&gt;=in_marketplace_from,d_hz_loan_cd*G1225,0)*in_loan_cd_ticket*in_loan_cd_comm</f>
        <v/>
      </c>
      <c r="BW1225" s="40">
        <f>BW1224*(1-IF(B1224&gt;=in_marketplace_from,d_hz_loan_vehicle*G1224,0))</f>
        <v/>
      </c>
      <c r="BX1225" s="14">
        <f>F1225*BW1225*IF(B1225&gt;=in_marketplace_from,d_hz_loan_vehicle*G1225,0)*in_loan_vehicle_ticket*in_loan_vehicle_comm</f>
        <v/>
      </c>
      <c r="BY1225" s="40">
        <f>BY1224*(1-IF(B1224&gt;=in_marketplace_from,d_hz_loan_home*G1224,0)*BZ1224)</f>
        <v/>
      </c>
      <c r="BZ1225" s="11">
        <f>MIN(in_approval_cap,in_loan_home_approval*INDEX('Age profile'!$O$2:$O$61,B1225)*(1+in_approval_growth)^(D1225-1))</f>
        <v/>
      </c>
      <c r="CA1225" s="14">
        <f>F1225*BY1225*IF(B1225&gt;=in_marketplace_from,d_hz_loan_home*G1225,0)*BZ1225*in_loan_home_ticket*in_loan_home_comm</f>
        <v/>
      </c>
      <c r="CB1225" s="40">
        <f>CB1224*(1-IF(B1224&gt;=in_marketplace_from,d_hz_loan_lap*G1224,0)*CC1224)</f>
        <v/>
      </c>
      <c r="CC1225" s="11">
        <f>MIN(in_approval_cap,in_loan_lap_approval*INDEX('Age profile'!$O$2:$O$61,B1225)*(1+in_approval_growth)^(D1225-1))</f>
        <v/>
      </c>
      <c r="CD1225" s="14">
        <f>F1225*CB1225*IF(B1225&gt;=in_marketplace_from,d_hz_loan_lap*G1225,0)*CC1225*in_loan_lap_ticket*in_loan_lap_comm</f>
        <v/>
      </c>
      <c r="CE1225" s="14">
        <f>AA1225+AB1225+AC1225+AD1225+AG1225+AJ1225+AM1225+AP1225+AS1225+AU1225+AX1225+BB1225+BE1225+BG1225+BJ1225+BL1225+BO1225+BR1225+BT1225+BV1225+BX1225+CA1225+CD1225</f>
        <v/>
      </c>
    </row>
    <row r="1226">
      <c r="A1226" s="39" t="n">
        <v>26</v>
      </c>
      <c r="B1226" s="39" t="n">
        <v>25</v>
      </c>
      <c r="C1226" s="39">
        <f>A1226+B1226-1</f>
        <v/>
      </c>
      <c r="D1226" s="39">
        <f>INT((C1226-1)/12)+1</f>
        <v/>
      </c>
      <c r="E1226" s="44">
        <f>INDEX(Monthly!$B$2:$B$61,A1226)</f>
        <v/>
      </c>
      <c r="F1226" s="44">
        <f>E1226*INDEX('Age profile'!$B$2:$B$61,B1226)</f>
        <v/>
      </c>
      <c r="G1226" s="45">
        <f>MIN(in_takeup_cap,INDEX('Age profile'!$N$2:$N$61,B1226)*(1+in_takeup_growth)^(D1226-1))</f>
        <v/>
      </c>
      <c r="H1226" s="11">
        <f>MIN(in_approval_cap,in_approved_first*INDEX('Age profile'!$O$2:$O$61,B1226)*(1+in_approval_growth)^(D1226-1))</f>
        <v/>
      </c>
      <c r="I1226" s="45">
        <f>G1226*MIN(in_takeup_cap,INDEX('Age profile'!$O$2:$O$61,B1226)*(1+in_approval_growth)^(D1226-1))</f>
        <v/>
      </c>
      <c r="J1226" s="40">
        <f>(J1225-L1225)*F1226/F1225</f>
        <v/>
      </c>
      <c r="K1226" s="40">
        <f>(K1225-M1225)*F1226/F1225+SUMIFS(O1202:O1225,B1202:B1225,B1226-1-d_T)*F1226</f>
        <v/>
      </c>
      <c r="L1226" s="40">
        <f>IF(B1226&gt;=in_marketplace_from,J1226*d_hz*G1226*in_eligible*H1226,0)</f>
        <v/>
      </c>
      <c r="M1226" s="40">
        <f>IF(B1226&gt;=in_marketplace_from,K1226*d_hz*G1226*in_eligible*in_approved_repeat,0)</f>
        <v/>
      </c>
      <c r="N1226" s="40">
        <f>L1226+M1226</f>
        <v/>
      </c>
      <c r="O1226" s="46">
        <f>N1226/F1226</f>
        <v/>
      </c>
      <c r="P1226" s="40">
        <f>F1226-J1226-K1226</f>
        <v/>
      </c>
      <c r="Q1226" s="40">
        <f>IF(B1226&gt;=in_marketplace_from,(J1226+K1226)*d_hz*G1226,0)</f>
        <v/>
      </c>
      <c r="R1226" s="40">
        <f>SUMIFS(N1202:N1236,B1202:B1236,"&gt;="&amp;(B1226-d_T),B1202:B1236,"&lt;="&amp;(B1226-1))</f>
        <v/>
      </c>
      <c r="S1226" s="46">
        <f>(1-d_u)*S1225+IF(d_T&gt;in_topup_lag,SUMIFS(O1202:O1236,B1202:B1236,B1226-in_topup_lag)-d_udrop*SUMIFS(O1202:O1236,B1202:B1236,B1226-d_T),0)</f>
        <v/>
      </c>
      <c r="T1226" s="40">
        <f>F1226*d_u*S1226</f>
        <v/>
      </c>
      <c r="U1226" s="9">
        <f>L1226*in_ticket+M1226*d_rep_ticket</f>
        <v/>
      </c>
      <c r="V1226" s="9">
        <f>U1226+T1226*d_topup_amt</f>
        <v/>
      </c>
      <c r="W1226" s="40">
        <f>N1226+T1226*d_topup_ratio</f>
        <v/>
      </c>
      <c r="X1226" s="40">
        <f>SUMIFS(W1202:W1236,B1202:B1236,B1226-in_dpd_lag)*d_cured</f>
        <v/>
      </c>
      <c r="Y1226" s="40">
        <f>SUMIFS(W1202:W1236,B1202:B1236,B1226-in_rec_lag)*d_recd</f>
        <v/>
      </c>
      <c r="Z1226" s="40">
        <f>IF(AND(B1226&gt;=in_marketplace_from,B1226&lt;in_marketplace_from+in_card_months),in_card_share/in_card_months*F1226*I1226,IF(AND(B1226&gt;=in_marketplace_from+in_card_months,B1226&lt;in_marketplace_from+2*in_card_months),in_card_share*d_card_rem/in_card_months*F1226*MIN(in_takeup_cap,(1+in_takeup_growth)^(D1226-1))*MIN(in_takeup_cap,(1+in_approval_growth)^(D1226-1)),0))</f>
        <v/>
      </c>
      <c r="AA1226" s="14">
        <f>V1226*in_fee*(1-in_taken_back)</f>
        <v/>
      </c>
      <c r="AB1226" s="14">
        <f>SUMIFS(W1202:W1236,B1202:B1236,B1226-in_dpd_lag)*d_dpd</f>
        <v/>
      </c>
      <c r="AC1226" s="14">
        <f>SUMIFS(W1202:W1236,B1202:B1236,B1226-in_rec_lag)*d_rec</f>
        <v/>
      </c>
      <c r="AD1226" s="14">
        <f>Z1226*in_card_fee</f>
        <v/>
      </c>
      <c r="AE1226" s="40">
        <f>AE1225*(1-IF(B1225&gt;=in_marketplace_from,d_hz_hlth_small*G1225,0))</f>
        <v/>
      </c>
      <c r="AF1226" s="46">
        <f>AE1226*IF(B1226&gt;=in_marketplace_from,d_hz_hlth_small*G1226,0)</f>
        <v/>
      </c>
      <c r="AG1226" s="14">
        <f>F1226*AF1226*in_hlth_small_ticket*in_hlth_small_comm*in_ins_partner_share+F1226*in_hlth_small_ticket*in_hlth_small_renew_comm*in_ins_partner_share*(in_hlth_small_renew^1*SUMIFS(AF1202:AF1236,B1202:B1236,B1226-12)+in_hlth_small_renew^2*SUMIFS(AF1202:AF1236,B1202:B1236,B1226-24)+in_hlth_small_renew^3*SUMIFS(AF1202:AF1236,B1202:B1236,B1226-36)+in_hlth_small_renew^4*SUMIFS(AF1202:AF1236,B1202:B1236,B1226-48))</f>
        <v/>
      </c>
      <c r="AH1226" s="40">
        <f>AH1225*(1-IF(B1225&gt;=in_marketplace_from,d_hz_hlth_family*G1225,0))</f>
        <v/>
      </c>
      <c r="AI1226" s="46">
        <f>AH1226*IF(B1226&gt;=in_marketplace_from,d_hz_hlth_family*G1226,0)</f>
        <v/>
      </c>
      <c r="AJ1226" s="14">
        <f>F1226*AI1226*in_hlth_family_ticket*in_hlth_family_comm*in_ins_partner_share+F1226*in_hlth_family_ticket*in_hlth_family_renew_comm*in_ins_partner_share*(in_hlth_family_renew^1*SUMIFS(AI1202:AI1236,B1202:B1236,B1226-12)+in_hlth_family_renew^2*SUMIFS(AI1202:AI1236,B1202:B1236,B1226-24)+in_hlth_family_renew^3*SUMIFS(AI1202:AI1236,B1202:B1236,B1226-36)+in_hlth_family_renew^4*SUMIFS(AI1202:AI1236,B1202:B1236,B1226-48))</f>
        <v/>
      </c>
      <c r="AK1226" s="40">
        <f>AK1225*(1-IF(B1225&gt;=in_marketplace_from,d_hz_life_term*G1225,0))</f>
        <v/>
      </c>
      <c r="AL1226" s="46">
        <f>AK1226*IF(B1226&gt;=in_marketplace_from,d_hz_life_term*G1226,0)</f>
        <v/>
      </c>
      <c r="AM1226" s="14">
        <f>F1226*AL1226*in_life_term_ticket*in_life_term_comm*in_ins_partner_share+F1226*in_life_term_ticket*in_life_term_renew_comm*in_ins_partner_share*(in_life_term_renew^1*SUMIFS(AL1202:AL1236,B1202:B1236,B1226-12)+in_life_term_renew^2*SUMIFS(AL1202:AL1236,B1202:B1236,B1226-24)+in_life_term_renew^3*SUMIFS(AL1202:AL1236,B1202:B1236,B1226-36)+in_life_term_renew^4*SUMIFS(AL1202:AL1236,B1202:B1236,B1226-48))</f>
        <v/>
      </c>
      <c r="AN1226" s="40">
        <f>AN1225*(1-IF(B1225&gt;=in_marketplace_from,d_hz_accident*G1225,0))</f>
        <v/>
      </c>
      <c r="AO1226" s="46">
        <f>AN1226*IF(B1226&gt;=in_marketplace_from,d_hz_accident*G1226,0)</f>
        <v/>
      </c>
      <c r="AP1226" s="14">
        <f>F1226*AO1226*in_accident_ticket*in_accident_comm*in_ins_partner_share+F1226*in_accident_ticket*in_accident_renew_comm*in_ins_partner_share*(in_accident_renew^1*SUMIFS(AO1202:AO1236,B1202:B1236,B1226-12)+in_accident_renew^2*SUMIFS(AO1202:AO1236,B1202:B1236,B1226-24)+in_accident_renew^3*SUMIFS(AO1202:AO1236,B1202:B1236,B1226-36)+in_accident_renew^4*SUMIFS(AO1202:AO1236,B1202:B1236,B1226-48))</f>
        <v/>
      </c>
      <c r="AQ1226" s="40">
        <f>AQ1225*(1-IF(B1225&gt;=in_marketplace_from,d_hz_two_wheeler*G1225,0))</f>
        <v/>
      </c>
      <c r="AR1226" s="46">
        <f>AQ1226*IF(B1226&gt;=in_marketplace_from,d_hz_two_wheeler*G1226,0)</f>
        <v/>
      </c>
      <c r="AS1226" s="14">
        <f>F1226*AR1226*in_two_wheeler_ticket*in_two_wheeler_comm*in_ins_partner_share+F1226*in_two_wheeler_ticket*in_two_wheeler_comm*in_ins_partner_share*(in_two_wheeler_renew^1*SUMIFS(AR1202:AR1236,B1202:B1236,B1226-12)+in_two_wheeler_renew^2*SUMIFS(AR1202:AR1236,B1202:B1236,B1226-24)+in_two_wheeler_renew^3*SUMIFS(AR1202:AR1236,B1202:B1236,B1226-36)+in_two_wheeler_renew^4*SUMIFS(AR1202:AR1236,B1202:B1236,B1226-48))</f>
        <v/>
      </c>
      <c r="AT1226" s="40">
        <f>AT1225*(1-IF(B1225&gt;=in_marketplace_from,d_hz_device*G1225,0))</f>
        <v/>
      </c>
      <c r="AU1226" s="14">
        <f>F1226*AT1226*IF(B1226&gt;=in_marketplace_from,d_hz_device*G1226,0)*in_device_ticket*in_device_comm*in_ins_partner_share</f>
        <v/>
      </c>
      <c r="AV1226" s="40">
        <f>AV1225*(1-IF(B1225&gt;=in_marketplace_from,d_hz_shop*G1225,0))</f>
        <v/>
      </c>
      <c r="AW1226" s="46">
        <f>AV1226*IF(B1226&gt;=in_marketplace_from,d_hz_shop*G1226,0)</f>
        <v/>
      </c>
      <c r="AX1226" s="14">
        <f>F1226*AW1226*in_shop_ticket*in_shop_comm*in_ins_partner_share+F1226*in_shop_ticket*in_shop_renew_comm*in_ins_partner_share*(in_shop_renew^1*SUMIFS(AW1202:AW1236,B1202:B1236,B1226-12)+in_shop_renew^2*SUMIFS(AW1202:AW1236,B1202:B1236,B1226-24)+in_shop_renew^3*SUMIFS(AW1202:AW1236,B1202:B1236,B1226-36)+in_shop_renew^4*SUMIFS(AW1202:AW1236,B1202:B1236,B1226-48))</f>
        <v/>
      </c>
      <c r="AY1226" s="40">
        <f>AY1225*(1-IF(B1225&gt;=in_marketplace_from,d_hz_sip*G1225,0))</f>
        <v/>
      </c>
      <c r="AZ1226" s="40">
        <f>AZ1225*d_rho_sip+AY1226*IF(B1226&gt;=in_marketplace_from,d_hz_sip*G1226,0)</f>
        <v/>
      </c>
      <c r="BA1226" s="40">
        <f>d_rho_sip*(BA1225+AZ1225)</f>
        <v/>
      </c>
      <c r="BB1226" s="14">
        <f>F1226*in_sip_ticket*(BA1226+0.5*AZ1226)*in_sip_comm/12</f>
        <v/>
      </c>
      <c r="BC1226" s="40">
        <f>BC1225*(1-IF(B1225&gt;=in_marketplace_from,d_hz_choti*G1225,0))</f>
        <v/>
      </c>
      <c r="BD1226" s="46">
        <f>BC1226*IF(B1226&gt;=in_marketplace_from,d_hz_choti*G1226,0)</f>
        <v/>
      </c>
      <c r="BE1226" s="14">
        <f>F1226*SUMIFS(BD1202:BD1236,B1202:B1236,B1226-in_choti_months)*in_choti_renew*in_choti_ticket</f>
        <v/>
      </c>
      <c r="BF1226" s="40">
        <f>BF1225*(1-IF(B1225&gt;=in_marketplace_from,d_hz_nps*G1225,0))</f>
        <v/>
      </c>
      <c r="BG1226" s="14">
        <f>F1226*BF1226*IF(B1226&gt;=in_marketplace_from,d_hz_nps*G1226,0)*in_nps_ticket*in_nps_comm</f>
        <v/>
      </c>
      <c r="BH1226" s="40">
        <f>BH1225*(1-IF(B1225&gt;=in_marketplace_from,d_hz_gold*G1225,0))</f>
        <v/>
      </c>
      <c r="BI1226" s="40">
        <f>BI1225*d_rho_gold+BH1226*IF(B1226&gt;=in_marketplace_from,d_hz_gold*G1226,0)</f>
        <v/>
      </c>
      <c r="BJ1226" s="14">
        <f>F1226*BI1226*in_gold_ticket*in_gold_comm</f>
        <v/>
      </c>
      <c r="BK1226" s="40">
        <f>BK1225*(1-IF(B1225&gt;=in_marketplace_from,d_hz_fd*G1225,0))</f>
        <v/>
      </c>
      <c r="BL1226" s="14">
        <f>F1226*BK1226*IF(B1226&gt;=in_marketplace_from,d_hz_fd*G1226,0)*in_fd_ticket*in_fd_comm</f>
        <v/>
      </c>
      <c r="BM1226" s="40">
        <f>BM1225*(1-IF(B1225&gt;=in_marketplace_from,d_hz_recharge*G1225,0))</f>
        <v/>
      </c>
      <c r="BN1226" s="40">
        <f>BN1225*d_rho_recharge+BM1226*IF(B1226&gt;=in_marketplace_from,d_hz_recharge*G1226,0)</f>
        <v/>
      </c>
      <c r="BO1226" s="14">
        <f>F1226*BN1226*in_recharge_ticket*in_recharge_comm/12</f>
        <v/>
      </c>
      <c r="BP1226" s="40">
        <f>BP1225*(1-IF(B1225&gt;=in_marketplace_from,d_hz_bills*G1225,0))</f>
        <v/>
      </c>
      <c r="BQ1226" s="40">
        <f>BQ1225*d_rho_bills+BP1226*IF(B1226&gt;=in_marketplace_from,d_hz_bills*G1226,0)</f>
        <v/>
      </c>
      <c r="BR1226" s="14">
        <f>F1226*BQ1226*in_bills_ticket*in_bills_comm/12</f>
        <v/>
      </c>
      <c r="BS1226" s="40">
        <f>BS1225*(1-IF(B1225&gt;=in_marketplace_from,d_hz_loan_gold*G1225,0))</f>
        <v/>
      </c>
      <c r="BT1226" s="14">
        <f>F1226*BS1226*IF(B1226&gt;=in_marketplace_from,d_hz_loan_gold*G1226,0)*in_loan_gold_ticket*in_loan_gold_comm</f>
        <v/>
      </c>
      <c r="BU1226" s="40">
        <f>BU1225*(1-IF(B1225&gt;=in_marketplace_from,d_hz_loan_cd*G1225,0))</f>
        <v/>
      </c>
      <c r="BV1226" s="14">
        <f>F1226*BU1226*IF(B1226&gt;=in_marketplace_from,d_hz_loan_cd*G1226,0)*in_loan_cd_ticket*in_loan_cd_comm</f>
        <v/>
      </c>
      <c r="BW1226" s="40">
        <f>BW1225*(1-IF(B1225&gt;=in_marketplace_from,d_hz_loan_vehicle*G1225,0))</f>
        <v/>
      </c>
      <c r="BX1226" s="14">
        <f>F1226*BW1226*IF(B1226&gt;=in_marketplace_from,d_hz_loan_vehicle*G1226,0)*in_loan_vehicle_ticket*in_loan_vehicle_comm</f>
        <v/>
      </c>
      <c r="BY1226" s="40">
        <f>BY1225*(1-IF(B1225&gt;=in_marketplace_from,d_hz_loan_home*G1225,0)*BZ1225)</f>
        <v/>
      </c>
      <c r="BZ1226" s="11">
        <f>MIN(in_approval_cap,in_loan_home_approval*INDEX('Age profile'!$O$2:$O$61,B1226)*(1+in_approval_growth)^(D1226-1))</f>
        <v/>
      </c>
      <c r="CA1226" s="14">
        <f>F1226*BY1226*IF(B1226&gt;=in_marketplace_from,d_hz_loan_home*G1226,0)*BZ1226*in_loan_home_ticket*in_loan_home_comm</f>
        <v/>
      </c>
      <c r="CB1226" s="40">
        <f>CB1225*(1-IF(B1225&gt;=in_marketplace_from,d_hz_loan_lap*G1225,0)*CC1225)</f>
        <v/>
      </c>
      <c r="CC1226" s="11">
        <f>MIN(in_approval_cap,in_loan_lap_approval*INDEX('Age profile'!$O$2:$O$61,B1226)*(1+in_approval_growth)^(D1226-1))</f>
        <v/>
      </c>
      <c r="CD1226" s="14">
        <f>F1226*CB1226*IF(B1226&gt;=in_marketplace_from,d_hz_loan_lap*G1226,0)*CC1226*in_loan_lap_ticket*in_loan_lap_comm</f>
        <v/>
      </c>
      <c r="CE1226" s="14">
        <f>AA1226+AB1226+AC1226+AD1226+AG1226+AJ1226+AM1226+AP1226+AS1226+AU1226+AX1226+BB1226+BE1226+BG1226+BJ1226+BL1226+BO1226+BR1226+BT1226+BV1226+BX1226+CA1226+CD1226</f>
        <v/>
      </c>
    </row>
    <row r="1227">
      <c r="A1227" s="39" t="n">
        <v>26</v>
      </c>
      <c r="B1227" s="39" t="n">
        <v>26</v>
      </c>
      <c r="C1227" s="39">
        <f>A1227+B1227-1</f>
        <v/>
      </c>
      <c r="D1227" s="39">
        <f>INT((C1227-1)/12)+1</f>
        <v/>
      </c>
      <c r="E1227" s="44">
        <f>INDEX(Monthly!$B$2:$B$61,A1227)</f>
        <v/>
      </c>
      <c r="F1227" s="44">
        <f>E1227*INDEX('Age profile'!$B$2:$B$61,B1227)</f>
        <v/>
      </c>
      <c r="G1227" s="45">
        <f>MIN(in_takeup_cap,INDEX('Age profile'!$N$2:$N$61,B1227)*(1+in_takeup_growth)^(D1227-1))</f>
        <v/>
      </c>
      <c r="H1227" s="11">
        <f>MIN(in_approval_cap,in_approved_first*INDEX('Age profile'!$O$2:$O$61,B1227)*(1+in_approval_growth)^(D1227-1))</f>
        <v/>
      </c>
      <c r="I1227" s="45">
        <f>G1227*MIN(in_takeup_cap,INDEX('Age profile'!$O$2:$O$61,B1227)*(1+in_approval_growth)^(D1227-1))</f>
        <v/>
      </c>
      <c r="J1227" s="40">
        <f>(J1226-L1226)*F1227/F1226</f>
        <v/>
      </c>
      <c r="K1227" s="40">
        <f>(K1226-M1226)*F1227/F1226+SUMIFS(O1202:O1226,B1202:B1226,B1227-1-d_T)*F1227</f>
        <v/>
      </c>
      <c r="L1227" s="40">
        <f>IF(B1227&gt;=in_marketplace_from,J1227*d_hz*G1227*in_eligible*H1227,0)</f>
        <v/>
      </c>
      <c r="M1227" s="40">
        <f>IF(B1227&gt;=in_marketplace_from,K1227*d_hz*G1227*in_eligible*in_approved_repeat,0)</f>
        <v/>
      </c>
      <c r="N1227" s="40">
        <f>L1227+M1227</f>
        <v/>
      </c>
      <c r="O1227" s="46">
        <f>N1227/F1227</f>
        <v/>
      </c>
      <c r="P1227" s="40">
        <f>F1227-J1227-K1227</f>
        <v/>
      </c>
      <c r="Q1227" s="40">
        <f>IF(B1227&gt;=in_marketplace_from,(J1227+K1227)*d_hz*G1227,0)</f>
        <v/>
      </c>
      <c r="R1227" s="40">
        <f>SUMIFS(N1202:N1236,B1202:B1236,"&gt;="&amp;(B1227-d_T),B1202:B1236,"&lt;="&amp;(B1227-1))</f>
        <v/>
      </c>
      <c r="S1227" s="46">
        <f>(1-d_u)*S1226+IF(d_T&gt;in_topup_lag,SUMIFS(O1202:O1236,B1202:B1236,B1227-in_topup_lag)-d_udrop*SUMIFS(O1202:O1236,B1202:B1236,B1227-d_T),0)</f>
        <v/>
      </c>
      <c r="T1227" s="40">
        <f>F1227*d_u*S1227</f>
        <v/>
      </c>
      <c r="U1227" s="9">
        <f>L1227*in_ticket+M1227*d_rep_ticket</f>
        <v/>
      </c>
      <c r="V1227" s="9">
        <f>U1227+T1227*d_topup_amt</f>
        <v/>
      </c>
      <c r="W1227" s="40">
        <f>N1227+T1227*d_topup_ratio</f>
        <v/>
      </c>
      <c r="X1227" s="40">
        <f>SUMIFS(W1202:W1236,B1202:B1236,B1227-in_dpd_lag)*d_cured</f>
        <v/>
      </c>
      <c r="Y1227" s="40">
        <f>SUMIFS(W1202:W1236,B1202:B1236,B1227-in_rec_lag)*d_recd</f>
        <v/>
      </c>
      <c r="Z1227" s="40">
        <f>IF(AND(B1227&gt;=in_marketplace_from,B1227&lt;in_marketplace_from+in_card_months),in_card_share/in_card_months*F1227*I1227,IF(AND(B1227&gt;=in_marketplace_from+in_card_months,B1227&lt;in_marketplace_from+2*in_card_months),in_card_share*d_card_rem/in_card_months*F1227*MIN(in_takeup_cap,(1+in_takeup_growth)^(D1227-1))*MIN(in_takeup_cap,(1+in_approval_growth)^(D1227-1)),0))</f>
        <v/>
      </c>
      <c r="AA1227" s="14">
        <f>V1227*in_fee*(1-in_taken_back)</f>
        <v/>
      </c>
      <c r="AB1227" s="14">
        <f>SUMIFS(W1202:W1236,B1202:B1236,B1227-in_dpd_lag)*d_dpd</f>
        <v/>
      </c>
      <c r="AC1227" s="14">
        <f>SUMIFS(W1202:W1236,B1202:B1236,B1227-in_rec_lag)*d_rec</f>
        <v/>
      </c>
      <c r="AD1227" s="14">
        <f>Z1227*in_card_fee</f>
        <v/>
      </c>
      <c r="AE1227" s="40">
        <f>AE1226*(1-IF(B1226&gt;=in_marketplace_from,d_hz_hlth_small*G1226,0))</f>
        <v/>
      </c>
      <c r="AF1227" s="46">
        <f>AE1227*IF(B1227&gt;=in_marketplace_from,d_hz_hlth_small*G1227,0)</f>
        <v/>
      </c>
      <c r="AG1227" s="14">
        <f>F1227*AF1227*in_hlth_small_ticket*in_hlth_small_comm*in_ins_partner_share+F1227*in_hlth_small_ticket*in_hlth_small_renew_comm*in_ins_partner_share*(in_hlth_small_renew^1*SUMIFS(AF1202:AF1236,B1202:B1236,B1227-12)+in_hlth_small_renew^2*SUMIFS(AF1202:AF1236,B1202:B1236,B1227-24)+in_hlth_small_renew^3*SUMIFS(AF1202:AF1236,B1202:B1236,B1227-36)+in_hlth_small_renew^4*SUMIFS(AF1202:AF1236,B1202:B1236,B1227-48))</f>
        <v/>
      </c>
      <c r="AH1227" s="40">
        <f>AH1226*(1-IF(B1226&gt;=in_marketplace_from,d_hz_hlth_family*G1226,0))</f>
        <v/>
      </c>
      <c r="AI1227" s="46">
        <f>AH1227*IF(B1227&gt;=in_marketplace_from,d_hz_hlth_family*G1227,0)</f>
        <v/>
      </c>
      <c r="AJ1227" s="14">
        <f>F1227*AI1227*in_hlth_family_ticket*in_hlth_family_comm*in_ins_partner_share+F1227*in_hlth_family_ticket*in_hlth_family_renew_comm*in_ins_partner_share*(in_hlth_family_renew^1*SUMIFS(AI1202:AI1236,B1202:B1236,B1227-12)+in_hlth_family_renew^2*SUMIFS(AI1202:AI1236,B1202:B1236,B1227-24)+in_hlth_family_renew^3*SUMIFS(AI1202:AI1236,B1202:B1236,B1227-36)+in_hlth_family_renew^4*SUMIFS(AI1202:AI1236,B1202:B1236,B1227-48))</f>
        <v/>
      </c>
      <c r="AK1227" s="40">
        <f>AK1226*(1-IF(B1226&gt;=in_marketplace_from,d_hz_life_term*G1226,0))</f>
        <v/>
      </c>
      <c r="AL1227" s="46">
        <f>AK1227*IF(B1227&gt;=in_marketplace_from,d_hz_life_term*G1227,0)</f>
        <v/>
      </c>
      <c r="AM1227" s="14">
        <f>F1227*AL1227*in_life_term_ticket*in_life_term_comm*in_ins_partner_share+F1227*in_life_term_ticket*in_life_term_renew_comm*in_ins_partner_share*(in_life_term_renew^1*SUMIFS(AL1202:AL1236,B1202:B1236,B1227-12)+in_life_term_renew^2*SUMIFS(AL1202:AL1236,B1202:B1236,B1227-24)+in_life_term_renew^3*SUMIFS(AL1202:AL1236,B1202:B1236,B1227-36)+in_life_term_renew^4*SUMIFS(AL1202:AL1236,B1202:B1236,B1227-48))</f>
        <v/>
      </c>
      <c r="AN1227" s="40">
        <f>AN1226*(1-IF(B1226&gt;=in_marketplace_from,d_hz_accident*G1226,0))</f>
        <v/>
      </c>
      <c r="AO1227" s="46">
        <f>AN1227*IF(B1227&gt;=in_marketplace_from,d_hz_accident*G1227,0)</f>
        <v/>
      </c>
      <c r="AP1227" s="14">
        <f>F1227*AO1227*in_accident_ticket*in_accident_comm*in_ins_partner_share+F1227*in_accident_ticket*in_accident_renew_comm*in_ins_partner_share*(in_accident_renew^1*SUMIFS(AO1202:AO1236,B1202:B1236,B1227-12)+in_accident_renew^2*SUMIFS(AO1202:AO1236,B1202:B1236,B1227-24)+in_accident_renew^3*SUMIFS(AO1202:AO1236,B1202:B1236,B1227-36)+in_accident_renew^4*SUMIFS(AO1202:AO1236,B1202:B1236,B1227-48))</f>
        <v/>
      </c>
      <c r="AQ1227" s="40">
        <f>AQ1226*(1-IF(B1226&gt;=in_marketplace_from,d_hz_two_wheeler*G1226,0))</f>
        <v/>
      </c>
      <c r="AR1227" s="46">
        <f>AQ1227*IF(B1227&gt;=in_marketplace_from,d_hz_two_wheeler*G1227,0)</f>
        <v/>
      </c>
      <c r="AS1227" s="14">
        <f>F1227*AR1227*in_two_wheeler_ticket*in_two_wheeler_comm*in_ins_partner_share+F1227*in_two_wheeler_ticket*in_two_wheeler_comm*in_ins_partner_share*(in_two_wheeler_renew^1*SUMIFS(AR1202:AR1236,B1202:B1236,B1227-12)+in_two_wheeler_renew^2*SUMIFS(AR1202:AR1236,B1202:B1236,B1227-24)+in_two_wheeler_renew^3*SUMIFS(AR1202:AR1236,B1202:B1236,B1227-36)+in_two_wheeler_renew^4*SUMIFS(AR1202:AR1236,B1202:B1236,B1227-48))</f>
        <v/>
      </c>
      <c r="AT1227" s="40">
        <f>AT1226*(1-IF(B1226&gt;=in_marketplace_from,d_hz_device*G1226,0))</f>
        <v/>
      </c>
      <c r="AU1227" s="14">
        <f>F1227*AT1227*IF(B1227&gt;=in_marketplace_from,d_hz_device*G1227,0)*in_device_ticket*in_device_comm*in_ins_partner_share</f>
        <v/>
      </c>
      <c r="AV1227" s="40">
        <f>AV1226*(1-IF(B1226&gt;=in_marketplace_from,d_hz_shop*G1226,0))</f>
        <v/>
      </c>
      <c r="AW1227" s="46">
        <f>AV1227*IF(B1227&gt;=in_marketplace_from,d_hz_shop*G1227,0)</f>
        <v/>
      </c>
      <c r="AX1227" s="14">
        <f>F1227*AW1227*in_shop_ticket*in_shop_comm*in_ins_partner_share+F1227*in_shop_ticket*in_shop_renew_comm*in_ins_partner_share*(in_shop_renew^1*SUMIFS(AW1202:AW1236,B1202:B1236,B1227-12)+in_shop_renew^2*SUMIFS(AW1202:AW1236,B1202:B1236,B1227-24)+in_shop_renew^3*SUMIFS(AW1202:AW1236,B1202:B1236,B1227-36)+in_shop_renew^4*SUMIFS(AW1202:AW1236,B1202:B1236,B1227-48))</f>
        <v/>
      </c>
      <c r="AY1227" s="40">
        <f>AY1226*(1-IF(B1226&gt;=in_marketplace_from,d_hz_sip*G1226,0))</f>
        <v/>
      </c>
      <c r="AZ1227" s="40">
        <f>AZ1226*d_rho_sip+AY1227*IF(B1227&gt;=in_marketplace_from,d_hz_sip*G1227,0)</f>
        <v/>
      </c>
      <c r="BA1227" s="40">
        <f>d_rho_sip*(BA1226+AZ1226)</f>
        <v/>
      </c>
      <c r="BB1227" s="14">
        <f>F1227*in_sip_ticket*(BA1227+0.5*AZ1227)*in_sip_comm/12</f>
        <v/>
      </c>
      <c r="BC1227" s="40">
        <f>BC1226*(1-IF(B1226&gt;=in_marketplace_from,d_hz_choti*G1226,0))</f>
        <v/>
      </c>
      <c r="BD1227" s="46">
        <f>BC1227*IF(B1227&gt;=in_marketplace_from,d_hz_choti*G1227,0)</f>
        <v/>
      </c>
      <c r="BE1227" s="14">
        <f>F1227*SUMIFS(BD1202:BD1236,B1202:B1236,B1227-in_choti_months)*in_choti_renew*in_choti_ticket</f>
        <v/>
      </c>
      <c r="BF1227" s="40">
        <f>BF1226*(1-IF(B1226&gt;=in_marketplace_from,d_hz_nps*G1226,0))</f>
        <v/>
      </c>
      <c r="BG1227" s="14">
        <f>F1227*BF1227*IF(B1227&gt;=in_marketplace_from,d_hz_nps*G1227,0)*in_nps_ticket*in_nps_comm</f>
        <v/>
      </c>
      <c r="BH1227" s="40">
        <f>BH1226*(1-IF(B1226&gt;=in_marketplace_from,d_hz_gold*G1226,0))</f>
        <v/>
      </c>
      <c r="BI1227" s="40">
        <f>BI1226*d_rho_gold+BH1227*IF(B1227&gt;=in_marketplace_from,d_hz_gold*G1227,0)</f>
        <v/>
      </c>
      <c r="BJ1227" s="14">
        <f>F1227*BI1227*in_gold_ticket*in_gold_comm</f>
        <v/>
      </c>
      <c r="BK1227" s="40">
        <f>BK1226*(1-IF(B1226&gt;=in_marketplace_from,d_hz_fd*G1226,0))</f>
        <v/>
      </c>
      <c r="BL1227" s="14">
        <f>F1227*BK1227*IF(B1227&gt;=in_marketplace_from,d_hz_fd*G1227,0)*in_fd_ticket*in_fd_comm</f>
        <v/>
      </c>
      <c r="BM1227" s="40">
        <f>BM1226*(1-IF(B1226&gt;=in_marketplace_from,d_hz_recharge*G1226,0))</f>
        <v/>
      </c>
      <c r="BN1227" s="40">
        <f>BN1226*d_rho_recharge+BM1227*IF(B1227&gt;=in_marketplace_from,d_hz_recharge*G1227,0)</f>
        <v/>
      </c>
      <c r="BO1227" s="14">
        <f>F1227*BN1227*in_recharge_ticket*in_recharge_comm/12</f>
        <v/>
      </c>
      <c r="BP1227" s="40">
        <f>BP1226*(1-IF(B1226&gt;=in_marketplace_from,d_hz_bills*G1226,0))</f>
        <v/>
      </c>
      <c r="BQ1227" s="40">
        <f>BQ1226*d_rho_bills+BP1227*IF(B1227&gt;=in_marketplace_from,d_hz_bills*G1227,0)</f>
        <v/>
      </c>
      <c r="BR1227" s="14">
        <f>F1227*BQ1227*in_bills_ticket*in_bills_comm/12</f>
        <v/>
      </c>
      <c r="BS1227" s="40">
        <f>BS1226*(1-IF(B1226&gt;=in_marketplace_from,d_hz_loan_gold*G1226,0))</f>
        <v/>
      </c>
      <c r="BT1227" s="14">
        <f>F1227*BS1227*IF(B1227&gt;=in_marketplace_from,d_hz_loan_gold*G1227,0)*in_loan_gold_ticket*in_loan_gold_comm</f>
        <v/>
      </c>
      <c r="BU1227" s="40">
        <f>BU1226*(1-IF(B1226&gt;=in_marketplace_from,d_hz_loan_cd*G1226,0))</f>
        <v/>
      </c>
      <c r="BV1227" s="14">
        <f>F1227*BU1227*IF(B1227&gt;=in_marketplace_from,d_hz_loan_cd*G1227,0)*in_loan_cd_ticket*in_loan_cd_comm</f>
        <v/>
      </c>
      <c r="BW1227" s="40">
        <f>BW1226*(1-IF(B1226&gt;=in_marketplace_from,d_hz_loan_vehicle*G1226,0))</f>
        <v/>
      </c>
      <c r="BX1227" s="14">
        <f>F1227*BW1227*IF(B1227&gt;=in_marketplace_from,d_hz_loan_vehicle*G1227,0)*in_loan_vehicle_ticket*in_loan_vehicle_comm</f>
        <v/>
      </c>
      <c r="BY1227" s="40">
        <f>BY1226*(1-IF(B1226&gt;=in_marketplace_from,d_hz_loan_home*G1226,0)*BZ1226)</f>
        <v/>
      </c>
      <c r="BZ1227" s="11">
        <f>MIN(in_approval_cap,in_loan_home_approval*INDEX('Age profile'!$O$2:$O$61,B1227)*(1+in_approval_growth)^(D1227-1))</f>
        <v/>
      </c>
      <c r="CA1227" s="14">
        <f>F1227*BY1227*IF(B1227&gt;=in_marketplace_from,d_hz_loan_home*G1227,0)*BZ1227*in_loan_home_ticket*in_loan_home_comm</f>
        <v/>
      </c>
      <c r="CB1227" s="40">
        <f>CB1226*(1-IF(B1226&gt;=in_marketplace_from,d_hz_loan_lap*G1226,0)*CC1226)</f>
        <v/>
      </c>
      <c r="CC1227" s="11">
        <f>MIN(in_approval_cap,in_loan_lap_approval*INDEX('Age profile'!$O$2:$O$61,B1227)*(1+in_approval_growth)^(D1227-1))</f>
        <v/>
      </c>
      <c r="CD1227" s="14">
        <f>F1227*CB1227*IF(B1227&gt;=in_marketplace_from,d_hz_loan_lap*G1227,0)*CC1227*in_loan_lap_ticket*in_loan_lap_comm</f>
        <v/>
      </c>
      <c r="CE1227" s="14">
        <f>AA1227+AB1227+AC1227+AD1227+AG1227+AJ1227+AM1227+AP1227+AS1227+AU1227+AX1227+BB1227+BE1227+BG1227+BJ1227+BL1227+BO1227+BR1227+BT1227+BV1227+BX1227+CA1227+CD1227</f>
        <v/>
      </c>
    </row>
    <row r="1228">
      <c r="A1228" s="39" t="n">
        <v>26</v>
      </c>
      <c r="B1228" s="39" t="n">
        <v>27</v>
      </c>
      <c r="C1228" s="39">
        <f>A1228+B1228-1</f>
        <v/>
      </c>
      <c r="D1228" s="39">
        <f>INT((C1228-1)/12)+1</f>
        <v/>
      </c>
      <c r="E1228" s="44">
        <f>INDEX(Monthly!$B$2:$B$61,A1228)</f>
        <v/>
      </c>
      <c r="F1228" s="44">
        <f>E1228*INDEX('Age profile'!$B$2:$B$61,B1228)</f>
        <v/>
      </c>
      <c r="G1228" s="45">
        <f>MIN(in_takeup_cap,INDEX('Age profile'!$N$2:$N$61,B1228)*(1+in_takeup_growth)^(D1228-1))</f>
        <v/>
      </c>
      <c r="H1228" s="11">
        <f>MIN(in_approval_cap,in_approved_first*INDEX('Age profile'!$O$2:$O$61,B1228)*(1+in_approval_growth)^(D1228-1))</f>
        <v/>
      </c>
      <c r="I1228" s="45">
        <f>G1228*MIN(in_takeup_cap,INDEX('Age profile'!$O$2:$O$61,B1228)*(1+in_approval_growth)^(D1228-1))</f>
        <v/>
      </c>
      <c r="J1228" s="40">
        <f>(J1227-L1227)*F1228/F1227</f>
        <v/>
      </c>
      <c r="K1228" s="40">
        <f>(K1227-M1227)*F1228/F1227+SUMIFS(O1202:O1227,B1202:B1227,B1228-1-d_T)*F1228</f>
        <v/>
      </c>
      <c r="L1228" s="40">
        <f>IF(B1228&gt;=in_marketplace_from,J1228*d_hz*G1228*in_eligible*H1228,0)</f>
        <v/>
      </c>
      <c r="M1228" s="40">
        <f>IF(B1228&gt;=in_marketplace_from,K1228*d_hz*G1228*in_eligible*in_approved_repeat,0)</f>
        <v/>
      </c>
      <c r="N1228" s="40">
        <f>L1228+M1228</f>
        <v/>
      </c>
      <c r="O1228" s="46">
        <f>N1228/F1228</f>
        <v/>
      </c>
      <c r="P1228" s="40">
        <f>F1228-J1228-K1228</f>
        <v/>
      </c>
      <c r="Q1228" s="40">
        <f>IF(B1228&gt;=in_marketplace_from,(J1228+K1228)*d_hz*G1228,0)</f>
        <v/>
      </c>
      <c r="R1228" s="40">
        <f>SUMIFS(N1202:N1236,B1202:B1236,"&gt;="&amp;(B1228-d_T),B1202:B1236,"&lt;="&amp;(B1228-1))</f>
        <v/>
      </c>
      <c r="S1228" s="46">
        <f>(1-d_u)*S1227+IF(d_T&gt;in_topup_lag,SUMIFS(O1202:O1236,B1202:B1236,B1228-in_topup_lag)-d_udrop*SUMIFS(O1202:O1236,B1202:B1236,B1228-d_T),0)</f>
        <v/>
      </c>
      <c r="T1228" s="40">
        <f>F1228*d_u*S1228</f>
        <v/>
      </c>
      <c r="U1228" s="9">
        <f>L1228*in_ticket+M1228*d_rep_ticket</f>
        <v/>
      </c>
      <c r="V1228" s="9">
        <f>U1228+T1228*d_topup_amt</f>
        <v/>
      </c>
      <c r="W1228" s="40">
        <f>N1228+T1228*d_topup_ratio</f>
        <v/>
      </c>
      <c r="X1228" s="40">
        <f>SUMIFS(W1202:W1236,B1202:B1236,B1228-in_dpd_lag)*d_cured</f>
        <v/>
      </c>
      <c r="Y1228" s="40">
        <f>SUMIFS(W1202:W1236,B1202:B1236,B1228-in_rec_lag)*d_recd</f>
        <v/>
      </c>
      <c r="Z1228" s="40">
        <f>IF(AND(B1228&gt;=in_marketplace_from,B1228&lt;in_marketplace_from+in_card_months),in_card_share/in_card_months*F1228*I1228,IF(AND(B1228&gt;=in_marketplace_from+in_card_months,B1228&lt;in_marketplace_from+2*in_card_months),in_card_share*d_card_rem/in_card_months*F1228*MIN(in_takeup_cap,(1+in_takeup_growth)^(D1228-1))*MIN(in_takeup_cap,(1+in_approval_growth)^(D1228-1)),0))</f>
        <v/>
      </c>
      <c r="AA1228" s="14">
        <f>V1228*in_fee*(1-in_taken_back)</f>
        <v/>
      </c>
      <c r="AB1228" s="14">
        <f>SUMIFS(W1202:W1236,B1202:B1236,B1228-in_dpd_lag)*d_dpd</f>
        <v/>
      </c>
      <c r="AC1228" s="14">
        <f>SUMIFS(W1202:W1236,B1202:B1236,B1228-in_rec_lag)*d_rec</f>
        <v/>
      </c>
      <c r="AD1228" s="14">
        <f>Z1228*in_card_fee</f>
        <v/>
      </c>
      <c r="AE1228" s="40">
        <f>AE1227*(1-IF(B1227&gt;=in_marketplace_from,d_hz_hlth_small*G1227,0))</f>
        <v/>
      </c>
      <c r="AF1228" s="46">
        <f>AE1228*IF(B1228&gt;=in_marketplace_from,d_hz_hlth_small*G1228,0)</f>
        <v/>
      </c>
      <c r="AG1228" s="14">
        <f>F1228*AF1228*in_hlth_small_ticket*in_hlth_small_comm*in_ins_partner_share+F1228*in_hlth_small_ticket*in_hlth_small_renew_comm*in_ins_partner_share*(in_hlth_small_renew^1*SUMIFS(AF1202:AF1236,B1202:B1236,B1228-12)+in_hlth_small_renew^2*SUMIFS(AF1202:AF1236,B1202:B1236,B1228-24)+in_hlth_small_renew^3*SUMIFS(AF1202:AF1236,B1202:B1236,B1228-36)+in_hlth_small_renew^4*SUMIFS(AF1202:AF1236,B1202:B1236,B1228-48))</f>
        <v/>
      </c>
      <c r="AH1228" s="40">
        <f>AH1227*(1-IF(B1227&gt;=in_marketplace_from,d_hz_hlth_family*G1227,0))</f>
        <v/>
      </c>
      <c r="AI1228" s="46">
        <f>AH1228*IF(B1228&gt;=in_marketplace_from,d_hz_hlth_family*G1228,0)</f>
        <v/>
      </c>
      <c r="AJ1228" s="14">
        <f>F1228*AI1228*in_hlth_family_ticket*in_hlth_family_comm*in_ins_partner_share+F1228*in_hlth_family_ticket*in_hlth_family_renew_comm*in_ins_partner_share*(in_hlth_family_renew^1*SUMIFS(AI1202:AI1236,B1202:B1236,B1228-12)+in_hlth_family_renew^2*SUMIFS(AI1202:AI1236,B1202:B1236,B1228-24)+in_hlth_family_renew^3*SUMIFS(AI1202:AI1236,B1202:B1236,B1228-36)+in_hlth_family_renew^4*SUMIFS(AI1202:AI1236,B1202:B1236,B1228-48))</f>
        <v/>
      </c>
      <c r="AK1228" s="40">
        <f>AK1227*(1-IF(B1227&gt;=in_marketplace_from,d_hz_life_term*G1227,0))</f>
        <v/>
      </c>
      <c r="AL1228" s="46">
        <f>AK1228*IF(B1228&gt;=in_marketplace_from,d_hz_life_term*G1228,0)</f>
        <v/>
      </c>
      <c r="AM1228" s="14">
        <f>F1228*AL1228*in_life_term_ticket*in_life_term_comm*in_ins_partner_share+F1228*in_life_term_ticket*in_life_term_renew_comm*in_ins_partner_share*(in_life_term_renew^1*SUMIFS(AL1202:AL1236,B1202:B1236,B1228-12)+in_life_term_renew^2*SUMIFS(AL1202:AL1236,B1202:B1236,B1228-24)+in_life_term_renew^3*SUMIFS(AL1202:AL1236,B1202:B1236,B1228-36)+in_life_term_renew^4*SUMIFS(AL1202:AL1236,B1202:B1236,B1228-48))</f>
        <v/>
      </c>
      <c r="AN1228" s="40">
        <f>AN1227*(1-IF(B1227&gt;=in_marketplace_from,d_hz_accident*G1227,0))</f>
        <v/>
      </c>
      <c r="AO1228" s="46">
        <f>AN1228*IF(B1228&gt;=in_marketplace_from,d_hz_accident*G1228,0)</f>
        <v/>
      </c>
      <c r="AP1228" s="14">
        <f>F1228*AO1228*in_accident_ticket*in_accident_comm*in_ins_partner_share+F1228*in_accident_ticket*in_accident_renew_comm*in_ins_partner_share*(in_accident_renew^1*SUMIFS(AO1202:AO1236,B1202:B1236,B1228-12)+in_accident_renew^2*SUMIFS(AO1202:AO1236,B1202:B1236,B1228-24)+in_accident_renew^3*SUMIFS(AO1202:AO1236,B1202:B1236,B1228-36)+in_accident_renew^4*SUMIFS(AO1202:AO1236,B1202:B1236,B1228-48))</f>
        <v/>
      </c>
      <c r="AQ1228" s="40">
        <f>AQ1227*(1-IF(B1227&gt;=in_marketplace_from,d_hz_two_wheeler*G1227,0))</f>
        <v/>
      </c>
      <c r="AR1228" s="46">
        <f>AQ1228*IF(B1228&gt;=in_marketplace_from,d_hz_two_wheeler*G1228,0)</f>
        <v/>
      </c>
      <c r="AS1228" s="14">
        <f>F1228*AR1228*in_two_wheeler_ticket*in_two_wheeler_comm*in_ins_partner_share+F1228*in_two_wheeler_ticket*in_two_wheeler_comm*in_ins_partner_share*(in_two_wheeler_renew^1*SUMIFS(AR1202:AR1236,B1202:B1236,B1228-12)+in_two_wheeler_renew^2*SUMIFS(AR1202:AR1236,B1202:B1236,B1228-24)+in_two_wheeler_renew^3*SUMIFS(AR1202:AR1236,B1202:B1236,B1228-36)+in_two_wheeler_renew^4*SUMIFS(AR1202:AR1236,B1202:B1236,B1228-48))</f>
        <v/>
      </c>
      <c r="AT1228" s="40">
        <f>AT1227*(1-IF(B1227&gt;=in_marketplace_from,d_hz_device*G1227,0))</f>
        <v/>
      </c>
      <c r="AU1228" s="14">
        <f>F1228*AT1228*IF(B1228&gt;=in_marketplace_from,d_hz_device*G1228,0)*in_device_ticket*in_device_comm*in_ins_partner_share</f>
        <v/>
      </c>
      <c r="AV1228" s="40">
        <f>AV1227*(1-IF(B1227&gt;=in_marketplace_from,d_hz_shop*G1227,0))</f>
        <v/>
      </c>
      <c r="AW1228" s="46">
        <f>AV1228*IF(B1228&gt;=in_marketplace_from,d_hz_shop*G1228,0)</f>
        <v/>
      </c>
      <c r="AX1228" s="14">
        <f>F1228*AW1228*in_shop_ticket*in_shop_comm*in_ins_partner_share+F1228*in_shop_ticket*in_shop_renew_comm*in_ins_partner_share*(in_shop_renew^1*SUMIFS(AW1202:AW1236,B1202:B1236,B1228-12)+in_shop_renew^2*SUMIFS(AW1202:AW1236,B1202:B1236,B1228-24)+in_shop_renew^3*SUMIFS(AW1202:AW1236,B1202:B1236,B1228-36)+in_shop_renew^4*SUMIFS(AW1202:AW1236,B1202:B1236,B1228-48))</f>
        <v/>
      </c>
      <c r="AY1228" s="40">
        <f>AY1227*(1-IF(B1227&gt;=in_marketplace_from,d_hz_sip*G1227,0))</f>
        <v/>
      </c>
      <c r="AZ1228" s="40">
        <f>AZ1227*d_rho_sip+AY1228*IF(B1228&gt;=in_marketplace_from,d_hz_sip*G1228,0)</f>
        <v/>
      </c>
      <c r="BA1228" s="40">
        <f>d_rho_sip*(BA1227+AZ1227)</f>
        <v/>
      </c>
      <c r="BB1228" s="14">
        <f>F1228*in_sip_ticket*(BA1228+0.5*AZ1228)*in_sip_comm/12</f>
        <v/>
      </c>
      <c r="BC1228" s="40">
        <f>BC1227*(1-IF(B1227&gt;=in_marketplace_from,d_hz_choti*G1227,0))</f>
        <v/>
      </c>
      <c r="BD1228" s="46">
        <f>BC1228*IF(B1228&gt;=in_marketplace_from,d_hz_choti*G1228,0)</f>
        <v/>
      </c>
      <c r="BE1228" s="14">
        <f>F1228*SUMIFS(BD1202:BD1236,B1202:B1236,B1228-in_choti_months)*in_choti_renew*in_choti_ticket</f>
        <v/>
      </c>
      <c r="BF1228" s="40">
        <f>BF1227*(1-IF(B1227&gt;=in_marketplace_from,d_hz_nps*G1227,0))</f>
        <v/>
      </c>
      <c r="BG1228" s="14">
        <f>F1228*BF1228*IF(B1228&gt;=in_marketplace_from,d_hz_nps*G1228,0)*in_nps_ticket*in_nps_comm</f>
        <v/>
      </c>
      <c r="BH1228" s="40">
        <f>BH1227*(1-IF(B1227&gt;=in_marketplace_from,d_hz_gold*G1227,0))</f>
        <v/>
      </c>
      <c r="BI1228" s="40">
        <f>BI1227*d_rho_gold+BH1228*IF(B1228&gt;=in_marketplace_from,d_hz_gold*G1228,0)</f>
        <v/>
      </c>
      <c r="BJ1228" s="14">
        <f>F1228*BI1228*in_gold_ticket*in_gold_comm</f>
        <v/>
      </c>
      <c r="BK1228" s="40">
        <f>BK1227*(1-IF(B1227&gt;=in_marketplace_from,d_hz_fd*G1227,0))</f>
        <v/>
      </c>
      <c r="BL1228" s="14">
        <f>F1228*BK1228*IF(B1228&gt;=in_marketplace_from,d_hz_fd*G1228,0)*in_fd_ticket*in_fd_comm</f>
        <v/>
      </c>
      <c r="BM1228" s="40">
        <f>BM1227*(1-IF(B1227&gt;=in_marketplace_from,d_hz_recharge*G1227,0))</f>
        <v/>
      </c>
      <c r="BN1228" s="40">
        <f>BN1227*d_rho_recharge+BM1228*IF(B1228&gt;=in_marketplace_from,d_hz_recharge*G1228,0)</f>
        <v/>
      </c>
      <c r="BO1228" s="14">
        <f>F1228*BN1228*in_recharge_ticket*in_recharge_comm/12</f>
        <v/>
      </c>
      <c r="BP1228" s="40">
        <f>BP1227*(1-IF(B1227&gt;=in_marketplace_from,d_hz_bills*G1227,0))</f>
        <v/>
      </c>
      <c r="BQ1228" s="40">
        <f>BQ1227*d_rho_bills+BP1228*IF(B1228&gt;=in_marketplace_from,d_hz_bills*G1228,0)</f>
        <v/>
      </c>
      <c r="BR1228" s="14">
        <f>F1228*BQ1228*in_bills_ticket*in_bills_comm/12</f>
        <v/>
      </c>
      <c r="BS1228" s="40">
        <f>BS1227*(1-IF(B1227&gt;=in_marketplace_from,d_hz_loan_gold*G1227,0))</f>
        <v/>
      </c>
      <c r="BT1228" s="14">
        <f>F1228*BS1228*IF(B1228&gt;=in_marketplace_from,d_hz_loan_gold*G1228,0)*in_loan_gold_ticket*in_loan_gold_comm</f>
        <v/>
      </c>
      <c r="BU1228" s="40">
        <f>BU1227*(1-IF(B1227&gt;=in_marketplace_from,d_hz_loan_cd*G1227,0))</f>
        <v/>
      </c>
      <c r="BV1228" s="14">
        <f>F1228*BU1228*IF(B1228&gt;=in_marketplace_from,d_hz_loan_cd*G1228,0)*in_loan_cd_ticket*in_loan_cd_comm</f>
        <v/>
      </c>
      <c r="BW1228" s="40">
        <f>BW1227*(1-IF(B1227&gt;=in_marketplace_from,d_hz_loan_vehicle*G1227,0))</f>
        <v/>
      </c>
      <c r="BX1228" s="14">
        <f>F1228*BW1228*IF(B1228&gt;=in_marketplace_from,d_hz_loan_vehicle*G1228,0)*in_loan_vehicle_ticket*in_loan_vehicle_comm</f>
        <v/>
      </c>
      <c r="BY1228" s="40">
        <f>BY1227*(1-IF(B1227&gt;=in_marketplace_from,d_hz_loan_home*G1227,0)*BZ1227)</f>
        <v/>
      </c>
      <c r="BZ1228" s="11">
        <f>MIN(in_approval_cap,in_loan_home_approval*INDEX('Age profile'!$O$2:$O$61,B1228)*(1+in_approval_growth)^(D1228-1))</f>
        <v/>
      </c>
      <c r="CA1228" s="14">
        <f>F1228*BY1228*IF(B1228&gt;=in_marketplace_from,d_hz_loan_home*G1228,0)*BZ1228*in_loan_home_ticket*in_loan_home_comm</f>
        <v/>
      </c>
      <c r="CB1228" s="40">
        <f>CB1227*(1-IF(B1227&gt;=in_marketplace_from,d_hz_loan_lap*G1227,0)*CC1227)</f>
        <v/>
      </c>
      <c r="CC1228" s="11">
        <f>MIN(in_approval_cap,in_loan_lap_approval*INDEX('Age profile'!$O$2:$O$61,B1228)*(1+in_approval_growth)^(D1228-1))</f>
        <v/>
      </c>
      <c r="CD1228" s="14">
        <f>F1228*CB1228*IF(B1228&gt;=in_marketplace_from,d_hz_loan_lap*G1228,0)*CC1228*in_loan_lap_ticket*in_loan_lap_comm</f>
        <v/>
      </c>
      <c r="CE1228" s="14">
        <f>AA1228+AB1228+AC1228+AD1228+AG1228+AJ1228+AM1228+AP1228+AS1228+AU1228+AX1228+BB1228+BE1228+BG1228+BJ1228+BL1228+BO1228+BR1228+BT1228+BV1228+BX1228+CA1228+CD1228</f>
        <v/>
      </c>
    </row>
    <row r="1229">
      <c r="A1229" s="39" t="n">
        <v>26</v>
      </c>
      <c r="B1229" s="39" t="n">
        <v>28</v>
      </c>
      <c r="C1229" s="39">
        <f>A1229+B1229-1</f>
        <v/>
      </c>
      <c r="D1229" s="39">
        <f>INT((C1229-1)/12)+1</f>
        <v/>
      </c>
      <c r="E1229" s="44">
        <f>INDEX(Monthly!$B$2:$B$61,A1229)</f>
        <v/>
      </c>
      <c r="F1229" s="44">
        <f>E1229*INDEX('Age profile'!$B$2:$B$61,B1229)</f>
        <v/>
      </c>
      <c r="G1229" s="45">
        <f>MIN(in_takeup_cap,INDEX('Age profile'!$N$2:$N$61,B1229)*(1+in_takeup_growth)^(D1229-1))</f>
        <v/>
      </c>
      <c r="H1229" s="11">
        <f>MIN(in_approval_cap,in_approved_first*INDEX('Age profile'!$O$2:$O$61,B1229)*(1+in_approval_growth)^(D1229-1))</f>
        <v/>
      </c>
      <c r="I1229" s="45">
        <f>G1229*MIN(in_takeup_cap,INDEX('Age profile'!$O$2:$O$61,B1229)*(1+in_approval_growth)^(D1229-1))</f>
        <v/>
      </c>
      <c r="J1229" s="40">
        <f>(J1228-L1228)*F1229/F1228</f>
        <v/>
      </c>
      <c r="K1229" s="40">
        <f>(K1228-M1228)*F1229/F1228+SUMIFS(O1202:O1228,B1202:B1228,B1229-1-d_T)*F1229</f>
        <v/>
      </c>
      <c r="L1229" s="40">
        <f>IF(B1229&gt;=in_marketplace_from,J1229*d_hz*G1229*in_eligible*H1229,0)</f>
        <v/>
      </c>
      <c r="M1229" s="40">
        <f>IF(B1229&gt;=in_marketplace_from,K1229*d_hz*G1229*in_eligible*in_approved_repeat,0)</f>
        <v/>
      </c>
      <c r="N1229" s="40">
        <f>L1229+M1229</f>
        <v/>
      </c>
      <c r="O1229" s="46">
        <f>N1229/F1229</f>
        <v/>
      </c>
      <c r="P1229" s="40">
        <f>F1229-J1229-K1229</f>
        <v/>
      </c>
      <c r="Q1229" s="40">
        <f>IF(B1229&gt;=in_marketplace_from,(J1229+K1229)*d_hz*G1229,0)</f>
        <v/>
      </c>
      <c r="R1229" s="40">
        <f>SUMIFS(N1202:N1236,B1202:B1236,"&gt;="&amp;(B1229-d_T),B1202:B1236,"&lt;="&amp;(B1229-1))</f>
        <v/>
      </c>
      <c r="S1229" s="46">
        <f>(1-d_u)*S1228+IF(d_T&gt;in_topup_lag,SUMIFS(O1202:O1236,B1202:B1236,B1229-in_topup_lag)-d_udrop*SUMIFS(O1202:O1236,B1202:B1236,B1229-d_T),0)</f>
        <v/>
      </c>
      <c r="T1229" s="40">
        <f>F1229*d_u*S1229</f>
        <v/>
      </c>
      <c r="U1229" s="9">
        <f>L1229*in_ticket+M1229*d_rep_ticket</f>
        <v/>
      </c>
      <c r="V1229" s="9">
        <f>U1229+T1229*d_topup_amt</f>
        <v/>
      </c>
      <c r="W1229" s="40">
        <f>N1229+T1229*d_topup_ratio</f>
        <v/>
      </c>
      <c r="X1229" s="40">
        <f>SUMIFS(W1202:W1236,B1202:B1236,B1229-in_dpd_lag)*d_cured</f>
        <v/>
      </c>
      <c r="Y1229" s="40">
        <f>SUMIFS(W1202:W1236,B1202:B1236,B1229-in_rec_lag)*d_recd</f>
        <v/>
      </c>
      <c r="Z1229" s="40">
        <f>IF(AND(B1229&gt;=in_marketplace_from,B1229&lt;in_marketplace_from+in_card_months),in_card_share/in_card_months*F1229*I1229,IF(AND(B1229&gt;=in_marketplace_from+in_card_months,B1229&lt;in_marketplace_from+2*in_card_months),in_card_share*d_card_rem/in_card_months*F1229*MIN(in_takeup_cap,(1+in_takeup_growth)^(D1229-1))*MIN(in_takeup_cap,(1+in_approval_growth)^(D1229-1)),0))</f>
        <v/>
      </c>
      <c r="AA1229" s="14">
        <f>V1229*in_fee*(1-in_taken_back)</f>
        <v/>
      </c>
      <c r="AB1229" s="14">
        <f>SUMIFS(W1202:W1236,B1202:B1236,B1229-in_dpd_lag)*d_dpd</f>
        <v/>
      </c>
      <c r="AC1229" s="14">
        <f>SUMIFS(W1202:W1236,B1202:B1236,B1229-in_rec_lag)*d_rec</f>
        <v/>
      </c>
      <c r="AD1229" s="14">
        <f>Z1229*in_card_fee</f>
        <v/>
      </c>
      <c r="AE1229" s="40">
        <f>AE1228*(1-IF(B1228&gt;=in_marketplace_from,d_hz_hlth_small*G1228,0))</f>
        <v/>
      </c>
      <c r="AF1229" s="46">
        <f>AE1229*IF(B1229&gt;=in_marketplace_from,d_hz_hlth_small*G1229,0)</f>
        <v/>
      </c>
      <c r="AG1229" s="14">
        <f>F1229*AF1229*in_hlth_small_ticket*in_hlth_small_comm*in_ins_partner_share+F1229*in_hlth_small_ticket*in_hlth_small_renew_comm*in_ins_partner_share*(in_hlth_small_renew^1*SUMIFS(AF1202:AF1236,B1202:B1236,B1229-12)+in_hlth_small_renew^2*SUMIFS(AF1202:AF1236,B1202:B1236,B1229-24)+in_hlth_small_renew^3*SUMIFS(AF1202:AF1236,B1202:B1236,B1229-36)+in_hlth_small_renew^4*SUMIFS(AF1202:AF1236,B1202:B1236,B1229-48))</f>
        <v/>
      </c>
      <c r="AH1229" s="40">
        <f>AH1228*(1-IF(B1228&gt;=in_marketplace_from,d_hz_hlth_family*G1228,0))</f>
        <v/>
      </c>
      <c r="AI1229" s="46">
        <f>AH1229*IF(B1229&gt;=in_marketplace_from,d_hz_hlth_family*G1229,0)</f>
        <v/>
      </c>
      <c r="AJ1229" s="14">
        <f>F1229*AI1229*in_hlth_family_ticket*in_hlth_family_comm*in_ins_partner_share+F1229*in_hlth_family_ticket*in_hlth_family_renew_comm*in_ins_partner_share*(in_hlth_family_renew^1*SUMIFS(AI1202:AI1236,B1202:B1236,B1229-12)+in_hlth_family_renew^2*SUMIFS(AI1202:AI1236,B1202:B1236,B1229-24)+in_hlth_family_renew^3*SUMIFS(AI1202:AI1236,B1202:B1236,B1229-36)+in_hlth_family_renew^4*SUMIFS(AI1202:AI1236,B1202:B1236,B1229-48))</f>
        <v/>
      </c>
      <c r="AK1229" s="40">
        <f>AK1228*(1-IF(B1228&gt;=in_marketplace_from,d_hz_life_term*G1228,0))</f>
        <v/>
      </c>
      <c r="AL1229" s="46">
        <f>AK1229*IF(B1229&gt;=in_marketplace_from,d_hz_life_term*G1229,0)</f>
        <v/>
      </c>
      <c r="AM1229" s="14">
        <f>F1229*AL1229*in_life_term_ticket*in_life_term_comm*in_ins_partner_share+F1229*in_life_term_ticket*in_life_term_renew_comm*in_ins_partner_share*(in_life_term_renew^1*SUMIFS(AL1202:AL1236,B1202:B1236,B1229-12)+in_life_term_renew^2*SUMIFS(AL1202:AL1236,B1202:B1236,B1229-24)+in_life_term_renew^3*SUMIFS(AL1202:AL1236,B1202:B1236,B1229-36)+in_life_term_renew^4*SUMIFS(AL1202:AL1236,B1202:B1236,B1229-48))</f>
        <v/>
      </c>
      <c r="AN1229" s="40">
        <f>AN1228*(1-IF(B1228&gt;=in_marketplace_from,d_hz_accident*G1228,0))</f>
        <v/>
      </c>
      <c r="AO1229" s="46">
        <f>AN1229*IF(B1229&gt;=in_marketplace_from,d_hz_accident*G1229,0)</f>
        <v/>
      </c>
      <c r="AP1229" s="14">
        <f>F1229*AO1229*in_accident_ticket*in_accident_comm*in_ins_partner_share+F1229*in_accident_ticket*in_accident_renew_comm*in_ins_partner_share*(in_accident_renew^1*SUMIFS(AO1202:AO1236,B1202:B1236,B1229-12)+in_accident_renew^2*SUMIFS(AO1202:AO1236,B1202:B1236,B1229-24)+in_accident_renew^3*SUMIFS(AO1202:AO1236,B1202:B1236,B1229-36)+in_accident_renew^4*SUMIFS(AO1202:AO1236,B1202:B1236,B1229-48))</f>
        <v/>
      </c>
      <c r="AQ1229" s="40">
        <f>AQ1228*(1-IF(B1228&gt;=in_marketplace_from,d_hz_two_wheeler*G1228,0))</f>
        <v/>
      </c>
      <c r="AR1229" s="46">
        <f>AQ1229*IF(B1229&gt;=in_marketplace_from,d_hz_two_wheeler*G1229,0)</f>
        <v/>
      </c>
      <c r="AS1229" s="14">
        <f>F1229*AR1229*in_two_wheeler_ticket*in_two_wheeler_comm*in_ins_partner_share+F1229*in_two_wheeler_ticket*in_two_wheeler_comm*in_ins_partner_share*(in_two_wheeler_renew^1*SUMIFS(AR1202:AR1236,B1202:B1236,B1229-12)+in_two_wheeler_renew^2*SUMIFS(AR1202:AR1236,B1202:B1236,B1229-24)+in_two_wheeler_renew^3*SUMIFS(AR1202:AR1236,B1202:B1236,B1229-36)+in_two_wheeler_renew^4*SUMIFS(AR1202:AR1236,B1202:B1236,B1229-48))</f>
        <v/>
      </c>
      <c r="AT1229" s="40">
        <f>AT1228*(1-IF(B1228&gt;=in_marketplace_from,d_hz_device*G1228,0))</f>
        <v/>
      </c>
      <c r="AU1229" s="14">
        <f>F1229*AT1229*IF(B1229&gt;=in_marketplace_from,d_hz_device*G1229,0)*in_device_ticket*in_device_comm*in_ins_partner_share</f>
        <v/>
      </c>
      <c r="AV1229" s="40">
        <f>AV1228*(1-IF(B1228&gt;=in_marketplace_from,d_hz_shop*G1228,0))</f>
        <v/>
      </c>
      <c r="AW1229" s="46">
        <f>AV1229*IF(B1229&gt;=in_marketplace_from,d_hz_shop*G1229,0)</f>
        <v/>
      </c>
      <c r="AX1229" s="14">
        <f>F1229*AW1229*in_shop_ticket*in_shop_comm*in_ins_partner_share+F1229*in_shop_ticket*in_shop_renew_comm*in_ins_partner_share*(in_shop_renew^1*SUMIFS(AW1202:AW1236,B1202:B1236,B1229-12)+in_shop_renew^2*SUMIFS(AW1202:AW1236,B1202:B1236,B1229-24)+in_shop_renew^3*SUMIFS(AW1202:AW1236,B1202:B1236,B1229-36)+in_shop_renew^4*SUMIFS(AW1202:AW1236,B1202:B1236,B1229-48))</f>
        <v/>
      </c>
      <c r="AY1229" s="40">
        <f>AY1228*(1-IF(B1228&gt;=in_marketplace_from,d_hz_sip*G1228,0))</f>
        <v/>
      </c>
      <c r="AZ1229" s="40">
        <f>AZ1228*d_rho_sip+AY1229*IF(B1229&gt;=in_marketplace_from,d_hz_sip*G1229,0)</f>
        <v/>
      </c>
      <c r="BA1229" s="40">
        <f>d_rho_sip*(BA1228+AZ1228)</f>
        <v/>
      </c>
      <c r="BB1229" s="14">
        <f>F1229*in_sip_ticket*(BA1229+0.5*AZ1229)*in_sip_comm/12</f>
        <v/>
      </c>
      <c r="BC1229" s="40">
        <f>BC1228*(1-IF(B1228&gt;=in_marketplace_from,d_hz_choti*G1228,0))</f>
        <v/>
      </c>
      <c r="BD1229" s="46">
        <f>BC1229*IF(B1229&gt;=in_marketplace_from,d_hz_choti*G1229,0)</f>
        <v/>
      </c>
      <c r="BE1229" s="14">
        <f>F1229*SUMIFS(BD1202:BD1236,B1202:B1236,B1229-in_choti_months)*in_choti_renew*in_choti_ticket</f>
        <v/>
      </c>
      <c r="BF1229" s="40">
        <f>BF1228*(1-IF(B1228&gt;=in_marketplace_from,d_hz_nps*G1228,0))</f>
        <v/>
      </c>
      <c r="BG1229" s="14">
        <f>F1229*BF1229*IF(B1229&gt;=in_marketplace_from,d_hz_nps*G1229,0)*in_nps_ticket*in_nps_comm</f>
        <v/>
      </c>
      <c r="BH1229" s="40">
        <f>BH1228*(1-IF(B1228&gt;=in_marketplace_from,d_hz_gold*G1228,0))</f>
        <v/>
      </c>
      <c r="BI1229" s="40">
        <f>BI1228*d_rho_gold+BH1229*IF(B1229&gt;=in_marketplace_from,d_hz_gold*G1229,0)</f>
        <v/>
      </c>
      <c r="BJ1229" s="14">
        <f>F1229*BI1229*in_gold_ticket*in_gold_comm</f>
        <v/>
      </c>
      <c r="BK1229" s="40">
        <f>BK1228*(1-IF(B1228&gt;=in_marketplace_from,d_hz_fd*G1228,0))</f>
        <v/>
      </c>
      <c r="BL1229" s="14">
        <f>F1229*BK1229*IF(B1229&gt;=in_marketplace_from,d_hz_fd*G1229,0)*in_fd_ticket*in_fd_comm</f>
        <v/>
      </c>
      <c r="BM1229" s="40">
        <f>BM1228*(1-IF(B1228&gt;=in_marketplace_from,d_hz_recharge*G1228,0))</f>
        <v/>
      </c>
      <c r="BN1229" s="40">
        <f>BN1228*d_rho_recharge+BM1229*IF(B1229&gt;=in_marketplace_from,d_hz_recharge*G1229,0)</f>
        <v/>
      </c>
      <c r="BO1229" s="14">
        <f>F1229*BN1229*in_recharge_ticket*in_recharge_comm/12</f>
        <v/>
      </c>
      <c r="BP1229" s="40">
        <f>BP1228*(1-IF(B1228&gt;=in_marketplace_from,d_hz_bills*G1228,0))</f>
        <v/>
      </c>
      <c r="BQ1229" s="40">
        <f>BQ1228*d_rho_bills+BP1229*IF(B1229&gt;=in_marketplace_from,d_hz_bills*G1229,0)</f>
        <v/>
      </c>
      <c r="BR1229" s="14">
        <f>F1229*BQ1229*in_bills_ticket*in_bills_comm/12</f>
        <v/>
      </c>
      <c r="BS1229" s="40">
        <f>BS1228*(1-IF(B1228&gt;=in_marketplace_from,d_hz_loan_gold*G1228,0))</f>
        <v/>
      </c>
      <c r="BT1229" s="14">
        <f>F1229*BS1229*IF(B1229&gt;=in_marketplace_from,d_hz_loan_gold*G1229,0)*in_loan_gold_ticket*in_loan_gold_comm</f>
        <v/>
      </c>
      <c r="BU1229" s="40">
        <f>BU1228*(1-IF(B1228&gt;=in_marketplace_from,d_hz_loan_cd*G1228,0))</f>
        <v/>
      </c>
      <c r="BV1229" s="14">
        <f>F1229*BU1229*IF(B1229&gt;=in_marketplace_from,d_hz_loan_cd*G1229,0)*in_loan_cd_ticket*in_loan_cd_comm</f>
        <v/>
      </c>
      <c r="BW1229" s="40">
        <f>BW1228*(1-IF(B1228&gt;=in_marketplace_from,d_hz_loan_vehicle*G1228,0))</f>
        <v/>
      </c>
      <c r="BX1229" s="14">
        <f>F1229*BW1229*IF(B1229&gt;=in_marketplace_from,d_hz_loan_vehicle*G1229,0)*in_loan_vehicle_ticket*in_loan_vehicle_comm</f>
        <v/>
      </c>
      <c r="BY1229" s="40">
        <f>BY1228*(1-IF(B1228&gt;=in_marketplace_from,d_hz_loan_home*G1228,0)*BZ1228)</f>
        <v/>
      </c>
      <c r="BZ1229" s="11">
        <f>MIN(in_approval_cap,in_loan_home_approval*INDEX('Age profile'!$O$2:$O$61,B1229)*(1+in_approval_growth)^(D1229-1))</f>
        <v/>
      </c>
      <c r="CA1229" s="14">
        <f>F1229*BY1229*IF(B1229&gt;=in_marketplace_from,d_hz_loan_home*G1229,0)*BZ1229*in_loan_home_ticket*in_loan_home_comm</f>
        <v/>
      </c>
      <c r="CB1229" s="40">
        <f>CB1228*(1-IF(B1228&gt;=in_marketplace_from,d_hz_loan_lap*G1228,0)*CC1228)</f>
        <v/>
      </c>
      <c r="CC1229" s="11">
        <f>MIN(in_approval_cap,in_loan_lap_approval*INDEX('Age profile'!$O$2:$O$61,B1229)*(1+in_approval_growth)^(D1229-1))</f>
        <v/>
      </c>
      <c r="CD1229" s="14">
        <f>F1229*CB1229*IF(B1229&gt;=in_marketplace_from,d_hz_loan_lap*G1229,0)*CC1229*in_loan_lap_ticket*in_loan_lap_comm</f>
        <v/>
      </c>
      <c r="CE1229" s="14">
        <f>AA1229+AB1229+AC1229+AD1229+AG1229+AJ1229+AM1229+AP1229+AS1229+AU1229+AX1229+BB1229+BE1229+BG1229+BJ1229+BL1229+BO1229+BR1229+BT1229+BV1229+BX1229+CA1229+CD1229</f>
        <v/>
      </c>
    </row>
    <row r="1230">
      <c r="A1230" s="39" t="n">
        <v>26</v>
      </c>
      <c r="B1230" s="39" t="n">
        <v>29</v>
      </c>
      <c r="C1230" s="39">
        <f>A1230+B1230-1</f>
        <v/>
      </c>
      <c r="D1230" s="39">
        <f>INT((C1230-1)/12)+1</f>
        <v/>
      </c>
      <c r="E1230" s="44">
        <f>INDEX(Monthly!$B$2:$B$61,A1230)</f>
        <v/>
      </c>
      <c r="F1230" s="44">
        <f>E1230*INDEX('Age profile'!$B$2:$B$61,B1230)</f>
        <v/>
      </c>
      <c r="G1230" s="45">
        <f>MIN(in_takeup_cap,INDEX('Age profile'!$N$2:$N$61,B1230)*(1+in_takeup_growth)^(D1230-1))</f>
        <v/>
      </c>
      <c r="H1230" s="11">
        <f>MIN(in_approval_cap,in_approved_first*INDEX('Age profile'!$O$2:$O$61,B1230)*(1+in_approval_growth)^(D1230-1))</f>
        <v/>
      </c>
      <c r="I1230" s="45">
        <f>G1230*MIN(in_takeup_cap,INDEX('Age profile'!$O$2:$O$61,B1230)*(1+in_approval_growth)^(D1230-1))</f>
        <v/>
      </c>
      <c r="J1230" s="40">
        <f>(J1229-L1229)*F1230/F1229</f>
        <v/>
      </c>
      <c r="K1230" s="40">
        <f>(K1229-M1229)*F1230/F1229+SUMIFS(O1202:O1229,B1202:B1229,B1230-1-d_T)*F1230</f>
        <v/>
      </c>
      <c r="L1230" s="40">
        <f>IF(B1230&gt;=in_marketplace_from,J1230*d_hz*G1230*in_eligible*H1230,0)</f>
        <v/>
      </c>
      <c r="M1230" s="40">
        <f>IF(B1230&gt;=in_marketplace_from,K1230*d_hz*G1230*in_eligible*in_approved_repeat,0)</f>
        <v/>
      </c>
      <c r="N1230" s="40">
        <f>L1230+M1230</f>
        <v/>
      </c>
      <c r="O1230" s="46">
        <f>N1230/F1230</f>
        <v/>
      </c>
      <c r="P1230" s="40">
        <f>F1230-J1230-K1230</f>
        <v/>
      </c>
      <c r="Q1230" s="40">
        <f>IF(B1230&gt;=in_marketplace_from,(J1230+K1230)*d_hz*G1230,0)</f>
        <v/>
      </c>
      <c r="R1230" s="40">
        <f>SUMIFS(N1202:N1236,B1202:B1236,"&gt;="&amp;(B1230-d_T),B1202:B1236,"&lt;="&amp;(B1230-1))</f>
        <v/>
      </c>
      <c r="S1230" s="46">
        <f>(1-d_u)*S1229+IF(d_T&gt;in_topup_lag,SUMIFS(O1202:O1236,B1202:B1236,B1230-in_topup_lag)-d_udrop*SUMIFS(O1202:O1236,B1202:B1236,B1230-d_T),0)</f>
        <v/>
      </c>
      <c r="T1230" s="40">
        <f>F1230*d_u*S1230</f>
        <v/>
      </c>
      <c r="U1230" s="9">
        <f>L1230*in_ticket+M1230*d_rep_ticket</f>
        <v/>
      </c>
      <c r="V1230" s="9">
        <f>U1230+T1230*d_topup_amt</f>
        <v/>
      </c>
      <c r="W1230" s="40">
        <f>N1230+T1230*d_topup_ratio</f>
        <v/>
      </c>
      <c r="X1230" s="40">
        <f>SUMIFS(W1202:W1236,B1202:B1236,B1230-in_dpd_lag)*d_cured</f>
        <v/>
      </c>
      <c r="Y1230" s="40">
        <f>SUMIFS(W1202:W1236,B1202:B1236,B1230-in_rec_lag)*d_recd</f>
        <v/>
      </c>
      <c r="Z1230" s="40">
        <f>IF(AND(B1230&gt;=in_marketplace_from,B1230&lt;in_marketplace_from+in_card_months),in_card_share/in_card_months*F1230*I1230,IF(AND(B1230&gt;=in_marketplace_from+in_card_months,B1230&lt;in_marketplace_from+2*in_card_months),in_card_share*d_card_rem/in_card_months*F1230*MIN(in_takeup_cap,(1+in_takeup_growth)^(D1230-1))*MIN(in_takeup_cap,(1+in_approval_growth)^(D1230-1)),0))</f>
        <v/>
      </c>
      <c r="AA1230" s="14">
        <f>V1230*in_fee*(1-in_taken_back)</f>
        <v/>
      </c>
      <c r="AB1230" s="14">
        <f>SUMIFS(W1202:W1236,B1202:B1236,B1230-in_dpd_lag)*d_dpd</f>
        <v/>
      </c>
      <c r="AC1230" s="14">
        <f>SUMIFS(W1202:W1236,B1202:B1236,B1230-in_rec_lag)*d_rec</f>
        <v/>
      </c>
      <c r="AD1230" s="14">
        <f>Z1230*in_card_fee</f>
        <v/>
      </c>
      <c r="AE1230" s="40">
        <f>AE1229*(1-IF(B1229&gt;=in_marketplace_from,d_hz_hlth_small*G1229,0))</f>
        <v/>
      </c>
      <c r="AF1230" s="46">
        <f>AE1230*IF(B1230&gt;=in_marketplace_from,d_hz_hlth_small*G1230,0)</f>
        <v/>
      </c>
      <c r="AG1230" s="14">
        <f>F1230*AF1230*in_hlth_small_ticket*in_hlth_small_comm*in_ins_partner_share+F1230*in_hlth_small_ticket*in_hlth_small_renew_comm*in_ins_partner_share*(in_hlth_small_renew^1*SUMIFS(AF1202:AF1236,B1202:B1236,B1230-12)+in_hlth_small_renew^2*SUMIFS(AF1202:AF1236,B1202:B1236,B1230-24)+in_hlth_small_renew^3*SUMIFS(AF1202:AF1236,B1202:B1236,B1230-36)+in_hlth_small_renew^4*SUMIFS(AF1202:AF1236,B1202:B1236,B1230-48))</f>
        <v/>
      </c>
      <c r="AH1230" s="40">
        <f>AH1229*(1-IF(B1229&gt;=in_marketplace_from,d_hz_hlth_family*G1229,0))</f>
        <v/>
      </c>
      <c r="AI1230" s="46">
        <f>AH1230*IF(B1230&gt;=in_marketplace_from,d_hz_hlth_family*G1230,0)</f>
        <v/>
      </c>
      <c r="AJ1230" s="14">
        <f>F1230*AI1230*in_hlth_family_ticket*in_hlth_family_comm*in_ins_partner_share+F1230*in_hlth_family_ticket*in_hlth_family_renew_comm*in_ins_partner_share*(in_hlth_family_renew^1*SUMIFS(AI1202:AI1236,B1202:B1236,B1230-12)+in_hlth_family_renew^2*SUMIFS(AI1202:AI1236,B1202:B1236,B1230-24)+in_hlth_family_renew^3*SUMIFS(AI1202:AI1236,B1202:B1236,B1230-36)+in_hlth_family_renew^4*SUMIFS(AI1202:AI1236,B1202:B1236,B1230-48))</f>
        <v/>
      </c>
      <c r="AK1230" s="40">
        <f>AK1229*(1-IF(B1229&gt;=in_marketplace_from,d_hz_life_term*G1229,0))</f>
        <v/>
      </c>
      <c r="AL1230" s="46">
        <f>AK1230*IF(B1230&gt;=in_marketplace_from,d_hz_life_term*G1230,0)</f>
        <v/>
      </c>
      <c r="AM1230" s="14">
        <f>F1230*AL1230*in_life_term_ticket*in_life_term_comm*in_ins_partner_share+F1230*in_life_term_ticket*in_life_term_renew_comm*in_ins_partner_share*(in_life_term_renew^1*SUMIFS(AL1202:AL1236,B1202:B1236,B1230-12)+in_life_term_renew^2*SUMIFS(AL1202:AL1236,B1202:B1236,B1230-24)+in_life_term_renew^3*SUMIFS(AL1202:AL1236,B1202:B1236,B1230-36)+in_life_term_renew^4*SUMIFS(AL1202:AL1236,B1202:B1236,B1230-48))</f>
        <v/>
      </c>
      <c r="AN1230" s="40">
        <f>AN1229*(1-IF(B1229&gt;=in_marketplace_from,d_hz_accident*G1229,0))</f>
        <v/>
      </c>
      <c r="AO1230" s="46">
        <f>AN1230*IF(B1230&gt;=in_marketplace_from,d_hz_accident*G1230,0)</f>
        <v/>
      </c>
      <c r="AP1230" s="14">
        <f>F1230*AO1230*in_accident_ticket*in_accident_comm*in_ins_partner_share+F1230*in_accident_ticket*in_accident_renew_comm*in_ins_partner_share*(in_accident_renew^1*SUMIFS(AO1202:AO1236,B1202:B1236,B1230-12)+in_accident_renew^2*SUMIFS(AO1202:AO1236,B1202:B1236,B1230-24)+in_accident_renew^3*SUMIFS(AO1202:AO1236,B1202:B1236,B1230-36)+in_accident_renew^4*SUMIFS(AO1202:AO1236,B1202:B1236,B1230-48))</f>
        <v/>
      </c>
      <c r="AQ1230" s="40">
        <f>AQ1229*(1-IF(B1229&gt;=in_marketplace_from,d_hz_two_wheeler*G1229,0))</f>
        <v/>
      </c>
      <c r="AR1230" s="46">
        <f>AQ1230*IF(B1230&gt;=in_marketplace_from,d_hz_two_wheeler*G1230,0)</f>
        <v/>
      </c>
      <c r="AS1230" s="14">
        <f>F1230*AR1230*in_two_wheeler_ticket*in_two_wheeler_comm*in_ins_partner_share+F1230*in_two_wheeler_ticket*in_two_wheeler_comm*in_ins_partner_share*(in_two_wheeler_renew^1*SUMIFS(AR1202:AR1236,B1202:B1236,B1230-12)+in_two_wheeler_renew^2*SUMIFS(AR1202:AR1236,B1202:B1236,B1230-24)+in_two_wheeler_renew^3*SUMIFS(AR1202:AR1236,B1202:B1236,B1230-36)+in_two_wheeler_renew^4*SUMIFS(AR1202:AR1236,B1202:B1236,B1230-48))</f>
        <v/>
      </c>
      <c r="AT1230" s="40">
        <f>AT1229*(1-IF(B1229&gt;=in_marketplace_from,d_hz_device*G1229,0))</f>
        <v/>
      </c>
      <c r="AU1230" s="14">
        <f>F1230*AT1230*IF(B1230&gt;=in_marketplace_from,d_hz_device*G1230,0)*in_device_ticket*in_device_comm*in_ins_partner_share</f>
        <v/>
      </c>
      <c r="AV1230" s="40">
        <f>AV1229*(1-IF(B1229&gt;=in_marketplace_from,d_hz_shop*G1229,0))</f>
        <v/>
      </c>
      <c r="AW1230" s="46">
        <f>AV1230*IF(B1230&gt;=in_marketplace_from,d_hz_shop*G1230,0)</f>
        <v/>
      </c>
      <c r="AX1230" s="14">
        <f>F1230*AW1230*in_shop_ticket*in_shop_comm*in_ins_partner_share+F1230*in_shop_ticket*in_shop_renew_comm*in_ins_partner_share*(in_shop_renew^1*SUMIFS(AW1202:AW1236,B1202:B1236,B1230-12)+in_shop_renew^2*SUMIFS(AW1202:AW1236,B1202:B1236,B1230-24)+in_shop_renew^3*SUMIFS(AW1202:AW1236,B1202:B1236,B1230-36)+in_shop_renew^4*SUMIFS(AW1202:AW1236,B1202:B1236,B1230-48))</f>
        <v/>
      </c>
      <c r="AY1230" s="40">
        <f>AY1229*(1-IF(B1229&gt;=in_marketplace_from,d_hz_sip*G1229,0))</f>
        <v/>
      </c>
      <c r="AZ1230" s="40">
        <f>AZ1229*d_rho_sip+AY1230*IF(B1230&gt;=in_marketplace_from,d_hz_sip*G1230,0)</f>
        <v/>
      </c>
      <c r="BA1230" s="40">
        <f>d_rho_sip*(BA1229+AZ1229)</f>
        <v/>
      </c>
      <c r="BB1230" s="14">
        <f>F1230*in_sip_ticket*(BA1230+0.5*AZ1230)*in_sip_comm/12</f>
        <v/>
      </c>
      <c r="BC1230" s="40">
        <f>BC1229*(1-IF(B1229&gt;=in_marketplace_from,d_hz_choti*G1229,0))</f>
        <v/>
      </c>
      <c r="BD1230" s="46">
        <f>BC1230*IF(B1230&gt;=in_marketplace_from,d_hz_choti*G1230,0)</f>
        <v/>
      </c>
      <c r="BE1230" s="14">
        <f>F1230*SUMIFS(BD1202:BD1236,B1202:B1236,B1230-in_choti_months)*in_choti_renew*in_choti_ticket</f>
        <v/>
      </c>
      <c r="BF1230" s="40">
        <f>BF1229*(1-IF(B1229&gt;=in_marketplace_from,d_hz_nps*G1229,0))</f>
        <v/>
      </c>
      <c r="BG1230" s="14">
        <f>F1230*BF1230*IF(B1230&gt;=in_marketplace_from,d_hz_nps*G1230,0)*in_nps_ticket*in_nps_comm</f>
        <v/>
      </c>
      <c r="BH1230" s="40">
        <f>BH1229*(1-IF(B1229&gt;=in_marketplace_from,d_hz_gold*G1229,0))</f>
        <v/>
      </c>
      <c r="BI1230" s="40">
        <f>BI1229*d_rho_gold+BH1230*IF(B1230&gt;=in_marketplace_from,d_hz_gold*G1230,0)</f>
        <v/>
      </c>
      <c r="BJ1230" s="14">
        <f>F1230*BI1230*in_gold_ticket*in_gold_comm</f>
        <v/>
      </c>
      <c r="BK1230" s="40">
        <f>BK1229*(1-IF(B1229&gt;=in_marketplace_from,d_hz_fd*G1229,0))</f>
        <v/>
      </c>
      <c r="BL1230" s="14">
        <f>F1230*BK1230*IF(B1230&gt;=in_marketplace_from,d_hz_fd*G1230,0)*in_fd_ticket*in_fd_comm</f>
        <v/>
      </c>
      <c r="BM1230" s="40">
        <f>BM1229*(1-IF(B1229&gt;=in_marketplace_from,d_hz_recharge*G1229,0))</f>
        <v/>
      </c>
      <c r="BN1230" s="40">
        <f>BN1229*d_rho_recharge+BM1230*IF(B1230&gt;=in_marketplace_from,d_hz_recharge*G1230,0)</f>
        <v/>
      </c>
      <c r="BO1230" s="14">
        <f>F1230*BN1230*in_recharge_ticket*in_recharge_comm/12</f>
        <v/>
      </c>
      <c r="BP1230" s="40">
        <f>BP1229*(1-IF(B1229&gt;=in_marketplace_from,d_hz_bills*G1229,0))</f>
        <v/>
      </c>
      <c r="BQ1230" s="40">
        <f>BQ1229*d_rho_bills+BP1230*IF(B1230&gt;=in_marketplace_from,d_hz_bills*G1230,0)</f>
        <v/>
      </c>
      <c r="BR1230" s="14">
        <f>F1230*BQ1230*in_bills_ticket*in_bills_comm/12</f>
        <v/>
      </c>
      <c r="BS1230" s="40">
        <f>BS1229*(1-IF(B1229&gt;=in_marketplace_from,d_hz_loan_gold*G1229,0))</f>
        <v/>
      </c>
      <c r="BT1230" s="14">
        <f>F1230*BS1230*IF(B1230&gt;=in_marketplace_from,d_hz_loan_gold*G1230,0)*in_loan_gold_ticket*in_loan_gold_comm</f>
        <v/>
      </c>
      <c r="BU1230" s="40">
        <f>BU1229*(1-IF(B1229&gt;=in_marketplace_from,d_hz_loan_cd*G1229,0))</f>
        <v/>
      </c>
      <c r="BV1230" s="14">
        <f>F1230*BU1230*IF(B1230&gt;=in_marketplace_from,d_hz_loan_cd*G1230,0)*in_loan_cd_ticket*in_loan_cd_comm</f>
        <v/>
      </c>
      <c r="BW1230" s="40">
        <f>BW1229*(1-IF(B1229&gt;=in_marketplace_from,d_hz_loan_vehicle*G1229,0))</f>
        <v/>
      </c>
      <c r="BX1230" s="14">
        <f>F1230*BW1230*IF(B1230&gt;=in_marketplace_from,d_hz_loan_vehicle*G1230,0)*in_loan_vehicle_ticket*in_loan_vehicle_comm</f>
        <v/>
      </c>
      <c r="BY1230" s="40">
        <f>BY1229*(1-IF(B1229&gt;=in_marketplace_from,d_hz_loan_home*G1229,0)*BZ1229)</f>
        <v/>
      </c>
      <c r="BZ1230" s="11">
        <f>MIN(in_approval_cap,in_loan_home_approval*INDEX('Age profile'!$O$2:$O$61,B1230)*(1+in_approval_growth)^(D1230-1))</f>
        <v/>
      </c>
      <c r="CA1230" s="14">
        <f>F1230*BY1230*IF(B1230&gt;=in_marketplace_from,d_hz_loan_home*G1230,0)*BZ1230*in_loan_home_ticket*in_loan_home_comm</f>
        <v/>
      </c>
      <c r="CB1230" s="40">
        <f>CB1229*(1-IF(B1229&gt;=in_marketplace_from,d_hz_loan_lap*G1229,0)*CC1229)</f>
        <v/>
      </c>
      <c r="CC1230" s="11">
        <f>MIN(in_approval_cap,in_loan_lap_approval*INDEX('Age profile'!$O$2:$O$61,B1230)*(1+in_approval_growth)^(D1230-1))</f>
        <v/>
      </c>
      <c r="CD1230" s="14">
        <f>F1230*CB1230*IF(B1230&gt;=in_marketplace_from,d_hz_loan_lap*G1230,0)*CC1230*in_loan_lap_ticket*in_loan_lap_comm</f>
        <v/>
      </c>
      <c r="CE1230" s="14">
        <f>AA1230+AB1230+AC1230+AD1230+AG1230+AJ1230+AM1230+AP1230+AS1230+AU1230+AX1230+BB1230+BE1230+BG1230+BJ1230+BL1230+BO1230+BR1230+BT1230+BV1230+BX1230+CA1230+CD1230</f>
        <v/>
      </c>
    </row>
    <row r="1231">
      <c r="A1231" s="39" t="n">
        <v>26</v>
      </c>
      <c r="B1231" s="39" t="n">
        <v>30</v>
      </c>
      <c r="C1231" s="39">
        <f>A1231+B1231-1</f>
        <v/>
      </c>
      <c r="D1231" s="39">
        <f>INT((C1231-1)/12)+1</f>
        <v/>
      </c>
      <c r="E1231" s="44">
        <f>INDEX(Monthly!$B$2:$B$61,A1231)</f>
        <v/>
      </c>
      <c r="F1231" s="44">
        <f>E1231*INDEX('Age profile'!$B$2:$B$61,B1231)</f>
        <v/>
      </c>
      <c r="G1231" s="45">
        <f>MIN(in_takeup_cap,INDEX('Age profile'!$N$2:$N$61,B1231)*(1+in_takeup_growth)^(D1231-1))</f>
        <v/>
      </c>
      <c r="H1231" s="11">
        <f>MIN(in_approval_cap,in_approved_first*INDEX('Age profile'!$O$2:$O$61,B1231)*(1+in_approval_growth)^(D1231-1))</f>
        <v/>
      </c>
      <c r="I1231" s="45">
        <f>G1231*MIN(in_takeup_cap,INDEX('Age profile'!$O$2:$O$61,B1231)*(1+in_approval_growth)^(D1231-1))</f>
        <v/>
      </c>
      <c r="J1231" s="40">
        <f>(J1230-L1230)*F1231/F1230</f>
        <v/>
      </c>
      <c r="K1231" s="40">
        <f>(K1230-M1230)*F1231/F1230+SUMIFS(O1202:O1230,B1202:B1230,B1231-1-d_T)*F1231</f>
        <v/>
      </c>
      <c r="L1231" s="40">
        <f>IF(B1231&gt;=in_marketplace_from,J1231*d_hz*G1231*in_eligible*H1231,0)</f>
        <v/>
      </c>
      <c r="M1231" s="40">
        <f>IF(B1231&gt;=in_marketplace_from,K1231*d_hz*G1231*in_eligible*in_approved_repeat,0)</f>
        <v/>
      </c>
      <c r="N1231" s="40">
        <f>L1231+M1231</f>
        <v/>
      </c>
      <c r="O1231" s="46">
        <f>N1231/F1231</f>
        <v/>
      </c>
      <c r="P1231" s="40">
        <f>F1231-J1231-K1231</f>
        <v/>
      </c>
      <c r="Q1231" s="40">
        <f>IF(B1231&gt;=in_marketplace_from,(J1231+K1231)*d_hz*G1231,0)</f>
        <v/>
      </c>
      <c r="R1231" s="40">
        <f>SUMIFS(N1202:N1236,B1202:B1236,"&gt;="&amp;(B1231-d_T),B1202:B1236,"&lt;="&amp;(B1231-1))</f>
        <v/>
      </c>
      <c r="S1231" s="46">
        <f>(1-d_u)*S1230+IF(d_T&gt;in_topup_lag,SUMIFS(O1202:O1236,B1202:B1236,B1231-in_topup_lag)-d_udrop*SUMIFS(O1202:O1236,B1202:B1236,B1231-d_T),0)</f>
        <v/>
      </c>
      <c r="T1231" s="40">
        <f>F1231*d_u*S1231</f>
        <v/>
      </c>
      <c r="U1231" s="9">
        <f>L1231*in_ticket+M1231*d_rep_ticket</f>
        <v/>
      </c>
      <c r="V1231" s="9">
        <f>U1231+T1231*d_topup_amt</f>
        <v/>
      </c>
      <c r="W1231" s="40">
        <f>N1231+T1231*d_topup_ratio</f>
        <v/>
      </c>
      <c r="X1231" s="40">
        <f>SUMIFS(W1202:W1236,B1202:B1236,B1231-in_dpd_lag)*d_cured</f>
        <v/>
      </c>
      <c r="Y1231" s="40">
        <f>SUMIFS(W1202:W1236,B1202:B1236,B1231-in_rec_lag)*d_recd</f>
        <v/>
      </c>
      <c r="Z1231" s="40">
        <f>IF(AND(B1231&gt;=in_marketplace_from,B1231&lt;in_marketplace_from+in_card_months),in_card_share/in_card_months*F1231*I1231,IF(AND(B1231&gt;=in_marketplace_from+in_card_months,B1231&lt;in_marketplace_from+2*in_card_months),in_card_share*d_card_rem/in_card_months*F1231*MIN(in_takeup_cap,(1+in_takeup_growth)^(D1231-1))*MIN(in_takeup_cap,(1+in_approval_growth)^(D1231-1)),0))</f>
        <v/>
      </c>
      <c r="AA1231" s="14">
        <f>V1231*in_fee*(1-in_taken_back)</f>
        <v/>
      </c>
      <c r="AB1231" s="14">
        <f>SUMIFS(W1202:W1236,B1202:B1236,B1231-in_dpd_lag)*d_dpd</f>
        <v/>
      </c>
      <c r="AC1231" s="14">
        <f>SUMIFS(W1202:W1236,B1202:B1236,B1231-in_rec_lag)*d_rec</f>
        <v/>
      </c>
      <c r="AD1231" s="14">
        <f>Z1231*in_card_fee</f>
        <v/>
      </c>
      <c r="AE1231" s="40">
        <f>AE1230*(1-IF(B1230&gt;=in_marketplace_from,d_hz_hlth_small*G1230,0))</f>
        <v/>
      </c>
      <c r="AF1231" s="46">
        <f>AE1231*IF(B1231&gt;=in_marketplace_from,d_hz_hlth_small*G1231,0)</f>
        <v/>
      </c>
      <c r="AG1231" s="14">
        <f>F1231*AF1231*in_hlth_small_ticket*in_hlth_small_comm*in_ins_partner_share+F1231*in_hlth_small_ticket*in_hlth_small_renew_comm*in_ins_partner_share*(in_hlth_small_renew^1*SUMIFS(AF1202:AF1236,B1202:B1236,B1231-12)+in_hlth_small_renew^2*SUMIFS(AF1202:AF1236,B1202:B1236,B1231-24)+in_hlth_small_renew^3*SUMIFS(AF1202:AF1236,B1202:B1236,B1231-36)+in_hlth_small_renew^4*SUMIFS(AF1202:AF1236,B1202:B1236,B1231-48))</f>
        <v/>
      </c>
      <c r="AH1231" s="40">
        <f>AH1230*(1-IF(B1230&gt;=in_marketplace_from,d_hz_hlth_family*G1230,0))</f>
        <v/>
      </c>
      <c r="AI1231" s="46">
        <f>AH1231*IF(B1231&gt;=in_marketplace_from,d_hz_hlth_family*G1231,0)</f>
        <v/>
      </c>
      <c r="AJ1231" s="14">
        <f>F1231*AI1231*in_hlth_family_ticket*in_hlth_family_comm*in_ins_partner_share+F1231*in_hlth_family_ticket*in_hlth_family_renew_comm*in_ins_partner_share*(in_hlth_family_renew^1*SUMIFS(AI1202:AI1236,B1202:B1236,B1231-12)+in_hlth_family_renew^2*SUMIFS(AI1202:AI1236,B1202:B1236,B1231-24)+in_hlth_family_renew^3*SUMIFS(AI1202:AI1236,B1202:B1236,B1231-36)+in_hlth_family_renew^4*SUMIFS(AI1202:AI1236,B1202:B1236,B1231-48))</f>
        <v/>
      </c>
      <c r="AK1231" s="40">
        <f>AK1230*(1-IF(B1230&gt;=in_marketplace_from,d_hz_life_term*G1230,0))</f>
        <v/>
      </c>
      <c r="AL1231" s="46">
        <f>AK1231*IF(B1231&gt;=in_marketplace_from,d_hz_life_term*G1231,0)</f>
        <v/>
      </c>
      <c r="AM1231" s="14">
        <f>F1231*AL1231*in_life_term_ticket*in_life_term_comm*in_ins_partner_share+F1231*in_life_term_ticket*in_life_term_renew_comm*in_ins_partner_share*(in_life_term_renew^1*SUMIFS(AL1202:AL1236,B1202:B1236,B1231-12)+in_life_term_renew^2*SUMIFS(AL1202:AL1236,B1202:B1236,B1231-24)+in_life_term_renew^3*SUMIFS(AL1202:AL1236,B1202:B1236,B1231-36)+in_life_term_renew^4*SUMIFS(AL1202:AL1236,B1202:B1236,B1231-48))</f>
        <v/>
      </c>
      <c r="AN1231" s="40">
        <f>AN1230*(1-IF(B1230&gt;=in_marketplace_from,d_hz_accident*G1230,0))</f>
        <v/>
      </c>
      <c r="AO1231" s="46">
        <f>AN1231*IF(B1231&gt;=in_marketplace_from,d_hz_accident*G1231,0)</f>
        <v/>
      </c>
      <c r="AP1231" s="14">
        <f>F1231*AO1231*in_accident_ticket*in_accident_comm*in_ins_partner_share+F1231*in_accident_ticket*in_accident_renew_comm*in_ins_partner_share*(in_accident_renew^1*SUMIFS(AO1202:AO1236,B1202:B1236,B1231-12)+in_accident_renew^2*SUMIFS(AO1202:AO1236,B1202:B1236,B1231-24)+in_accident_renew^3*SUMIFS(AO1202:AO1236,B1202:B1236,B1231-36)+in_accident_renew^4*SUMIFS(AO1202:AO1236,B1202:B1236,B1231-48))</f>
        <v/>
      </c>
      <c r="AQ1231" s="40">
        <f>AQ1230*(1-IF(B1230&gt;=in_marketplace_from,d_hz_two_wheeler*G1230,0))</f>
        <v/>
      </c>
      <c r="AR1231" s="46">
        <f>AQ1231*IF(B1231&gt;=in_marketplace_from,d_hz_two_wheeler*G1231,0)</f>
        <v/>
      </c>
      <c r="AS1231" s="14">
        <f>F1231*AR1231*in_two_wheeler_ticket*in_two_wheeler_comm*in_ins_partner_share+F1231*in_two_wheeler_ticket*in_two_wheeler_comm*in_ins_partner_share*(in_two_wheeler_renew^1*SUMIFS(AR1202:AR1236,B1202:B1236,B1231-12)+in_two_wheeler_renew^2*SUMIFS(AR1202:AR1236,B1202:B1236,B1231-24)+in_two_wheeler_renew^3*SUMIFS(AR1202:AR1236,B1202:B1236,B1231-36)+in_two_wheeler_renew^4*SUMIFS(AR1202:AR1236,B1202:B1236,B1231-48))</f>
        <v/>
      </c>
      <c r="AT1231" s="40">
        <f>AT1230*(1-IF(B1230&gt;=in_marketplace_from,d_hz_device*G1230,0))</f>
        <v/>
      </c>
      <c r="AU1231" s="14">
        <f>F1231*AT1231*IF(B1231&gt;=in_marketplace_from,d_hz_device*G1231,0)*in_device_ticket*in_device_comm*in_ins_partner_share</f>
        <v/>
      </c>
      <c r="AV1231" s="40">
        <f>AV1230*(1-IF(B1230&gt;=in_marketplace_from,d_hz_shop*G1230,0))</f>
        <v/>
      </c>
      <c r="AW1231" s="46">
        <f>AV1231*IF(B1231&gt;=in_marketplace_from,d_hz_shop*G1231,0)</f>
        <v/>
      </c>
      <c r="AX1231" s="14">
        <f>F1231*AW1231*in_shop_ticket*in_shop_comm*in_ins_partner_share+F1231*in_shop_ticket*in_shop_renew_comm*in_ins_partner_share*(in_shop_renew^1*SUMIFS(AW1202:AW1236,B1202:B1236,B1231-12)+in_shop_renew^2*SUMIFS(AW1202:AW1236,B1202:B1236,B1231-24)+in_shop_renew^3*SUMIFS(AW1202:AW1236,B1202:B1236,B1231-36)+in_shop_renew^4*SUMIFS(AW1202:AW1236,B1202:B1236,B1231-48))</f>
        <v/>
      </c>
      <c r="AY1231" s="40">
        <f>AY1230*(1-IF(B1230&gt;=in_marketplace_from,d_hz_sip*G1230,0))</f>
        <v/>
      </c>
      <c r="AZ1231" s="40">
        <f>AZ1230*d_rho_sip+AY1231*IF(B1231&gt;=in_marketplace_from,d_hz_sip*G1231,0)</f>
        <v/>
      </c>
      <c r="BA1231" s="40">
        <f>d_rho_sip*(BA1230+AZ1230)</f>
        <v/>
      </c>
      <c r="BB1231" s="14">
        <f>F1231*in_sip_ticket*(BA1231+0.5*AZ1231)*in_sip_comm/12</f>
        <v/>
      </c>
      <c r="BC1231" s="40">
        <f>BC1230*(1-IF(B1230&gt;=in_marketplace_from,d_hz_choti*G1230,0))</f>
        <v/>
      </c>
      <c r="BD1231" s="46">
        <f>BC1231*IF(B1231&gt;=in_marketplace_from,d_hz_choti*G1231,0)</f>
        <v/>
      </c>
      <c r="BE1231" s="14">
        <f>F1231*SUMIFS(BD1202:BD1236,B1202:B1236,B1231-in_choti_months)*in_choti_renew*in_choti_ticket</f>
        <v/>
      </c>
      <c r="BF1231" s="40">
        <f>BF1230*(1-IF(B1230&gt;=in_marketplace_from,d_hz_nps*G1230,0))</f>
        <v/>
      </c>
      <c r="BG1231" s="14">
        <f>F1231*BF1231*IF(B1231&gt;=in_marketplace_from,d_hz_nps*G1231,0)*in_nps_ticket*in_nps_comm</f>
        <v/>
      </c>
      <c r="BH1231" s="40">
        <f>BH1230*(1-IF(B1230&gt;=in_marketplace_from,d_hz_gold*G1230,0))</f>
        <v/>
      </c>
      <c r="BI1231" s="40">
        <f>BI1230*d_rho_gold+BH1231*IF(B1231&gt;=in_marketplace_from,d_hz_gold*G1231,0)</f>
        <v/>
      </c>
      <c r="BJ1231" s="14">
        <f>F1231*BI1231*in_gold_ticket*in_gold_comm</f>
        <v/>
      </c>
      <c r="BK1231" s="40">
        <f>BK1230*(1-IF(B1230&gt;=in_marketplace_from,d_hz_fd*G1230,0))</f>
        <v/>
      </c>
      <c r="BL1231" s="14">
        <f>F1231*BK1231*IF(B1231&gt;=in_marketplace_from,d_hz_fd*G1231,0)*in_fd_ticket*in_fd_comm</f>
        <v/>
      </c>
      <c r="BM1231" s="40">
        <f>BM1230*(1-IF(B1230&gt;=in_marketplace_from,d_hz_recharge*G1230,0))</f>
        <v/>
      </c>
      <c r="BN1231" s="40">
        <f>BN1230*d_rho_recharge+BM1231*IF(B1231&gt;=in_marketplace_from,d_hz_recharge*G1231,0)</f>
        <v/>
      </c>
      <c r="BO1231" s="14">
        <f>F1231*BN1231*in_recharge_ticket*in_recharge_comm/12</f>
        <v/>
      </c>
      <c r="BP1231" s="40">
        <f>BP1230*(1-IF(B1230&gt;=in_marketplace_from,d_hz_bills*G1230,0))</f>
        <v/>
      </c>
      <c r="BQ1231" s="40">
        <f>BQ1230*d_rho_bills+BP1231*IF(B1231&gt;=in_marketplace_from,d_hz_bills*G1231,0)</f>
        <v/>
      </c>
      <c r="BR1231" s="14">
        <f>F1231*BQ1231*in_bills_ticket*in_bills_comm/12</f>
        <v/>
      </c>
      <c r="BS1231" s="40">
        <f>BS1230*(1-IF(B1230&gt;=in_marketplace_from,d_hz_loan_gold*G1230,0))</f>
        <v/>
      </c>
      <c r="BT1231" s="14">
        <f>F1231*BS1231*IF(B1231&gt;=in_marketplace_from,d_hz_loan_gold*G1231,0)*in_loan_gold_ticket*in_loan_gold_comm</f>
        <v/>
      </c>
      <c r="BU1231" s="40">
        <f>BU1230*(1-IF(B1230&gt;=in_marketplace_from,d_hz_loan_cd*G1230,0))</f>
        <v/>
      </c>
      <c r="BV1231" s="14">
        <f>F1231*BU1231*IF(B1231&gt;=in_marketplace_from,d_hz_loan_cd*G1231,0)*in_loan_cd_ticket*in_loan_cd_comm</f>
        <v/>
      </c>
      <c r="BW1231" s="40">
        <f>BW1230*(1-IF(B1230&gt;=in_marketplace_from,d_hz_loan_vehicle*G1230,0))</f>
        <v/>
      </c>
      <c r="BX1231" s="14">
        <f>F1231*BW1231*IF(B1231&gt;=in_marketplace_from,d_hz_loan_vehicle*G1231,0)*in_loan_vehicle_ticket*in_loan_vehicle_comm</f>
        <v/>
      </c>
      <c r="BY1231" s="40">
        <f>BY1230*(1-IF(B1230&gt;=in_marketplace_from,d_hz_loan_home*G1230,0)*BZ1230)</f>
        <v/>
      </c>
      <c r="BZ1231" s="11">
        <f>MIN(in_approval_cap,in_loan_home_approval*INDEX('Age profile'!$O$2:$O$61,B1231)*(1+in_approval_growth)^(D1231-1))</f>
        <v/>
      </c>
      <c r="CA1231" s="14">
        <f>F1231*BY1231*IF(B1231&gt;=in_marketplace_from,d_hz_loan_home*G1231,0)*BZ1231*in_loan_home_ticket*in_loan_home_comm</f>
        <v/>
      </c>
      <c r="CB1231" s="40">
        <f>CB1230*(1-IF(B1230&gt;=in_marketplace_from,d_hz_loan_lap*G1230,0)*CC1230)</f>
        <v/>
      </c>
      <c r="CC1231" s="11">
        <f>MIN(in_approval_cap,in_loan_lap_approval*INDEX('Age profile'!$O$2:$O$61,B1231)*(1+in_approval_growth)^(D1231-1))</f>
        <v/>
      </c>
      <c r="CD1231" s="14">
        <f>F1231*CB1231*IF(B1231&gt;=in_marketplace_from,d_hz_loan_lap*G1231,0)*CC1231*in_loan_lap_ticket*in_loan_lap_comm</f>
        <v/>
      </c>
      <c r="CE1231" s="14">
        <f>AA1231+AB1231+AC1231+AD1231+AG1231+AJ1231+AM1231+AP1231+AS1231+AU1231+AX1231+BB1231+BE1231+BG1231+BJ1231+BL1231+BO1231+BR1231+BT1231+BV1231+BX1231+CA1231+CD1231</f>
        <v/>
      </c>
    </row>
    <row r="1232">
      <c r="A1232" s="39" t="n">
        <v>26</v>
      </c>
      <c r="B1232" s="39" t="n">
        <v>31</v>
      </c>
      <c r="C1232" s="39">
        <f>A1232+B1232-1</f>
        <v/>
      </c>
      <c r="D1232" s="39">
        <f>INT((C1232-1)/12)+1</f>
        <v/>
      </c>
      <c r="E1232" s="44">
        <f>INDEX(Monthly!$B$2:$B$61,A1232)</f>
        <v/>
      </c>
      <c r="F1232" s="44">
        <f>E1232*INDEX('Age profile'!$B$2:$B$61,B1232)</f>
        <v/>
      </c>
      <c r="G1232" s="45">
        <f>MIN(in_takeup_cap,INDEX('Age profile'!$N$2:$N$61,B1232)*(1+in_takeup_growth)^(D1232-1))</f>
        <v/>
      </c>
      <c r="H1232" s="11">
        <f>MIN(in_approval_cap,in_approved_first*INDEX('Age profile'!$O$2:$O$61,B1232)*(1+in_approval_growth)^(D1232-1))</f>
        <v/>
      </c>
      <c r="I1232" s="45">
        <f>G1232*MIN(in_takeup_cap,INDEX('Age profile'!$O$2:$O$61,B1232)*(1+in_approval_growth)^(D1232-1))</f>
        <v/>
      </c>
      <c r="J1232" s="40">
        <f>(J1231-L1231)*F1232/F1231</f>
        <v/>
      </c>
      <c r="K1232" s="40">
        <f>(K1231-M1231)*F1232/F1231+SUMIFS(O1202:O1231,B1202:B1231,B1232-1-d_T)*F1232</f>
        <v/>
      </c>
      <c r="L1232" s="40">
        <f>IF(B1232&gt;=in_marketplace_from,J1232*d_hz*G1232*in_eligible*H1232,0)</f>
        <v/>
      </c>
      <c r="M1232" s="40">
        <f>IF(B1232&gt;=in_marketplace_from,K1232*d_hz*G1232*in_eligible*in_approved_repeat,0)</f>
        <v/>
      </c>
      <c r="N1232" s="40">
        <f>L1232+M1232</f>
        <v/>
      </c>
      <c r="O1232" s="46">
        <f>N1232/F1232</f>
        <v/>
      </c>
      <c r="P1232" s="40">
        <f>F1232-J1232-K1232</f>
        <v/>
      </c>
      <c r="Q1232" s="40">
        <f>IF(B1232&gt;=in_marketplace_from,(J1232+K1232)*d_hz*G1232,0)</f>
        <v/>
      </c>
      <c r="R1232" s="40">
        <f>SUMIFS(N1202:N1236,B1202:B1236,"&gt;="&amp;(B1232-d_T),B1202:B1236,"&lt;="&amp;(B1232-1))</f>
        <v/>
      </c>
      <c r="S1232" s="46">
        <f>(1-d_u)*S1231+IF(d_T&gt;in_topup_lag,SUMIFS(O1202:O1236,B1202:B1236,B1232-in_topup_lag)-d_udrop*SUMIFS(O1202:O1236,B1202:B1236,B1232-d_T),0)</f>
        <v/>
      </c>
      <c r="T1232" s="40">
        <f>F1232*d_u*S1232</f>
        <v/>
      </c>
      <c r="U1232" s="9">
        <f>L1232*in_ticket+M1232*d_rep_ticket</f>
        <v/>
      </c>
      <c r="V1232" s="9">
        <f>U1232+T1232*d_topup_amt</f>
        <v/>
      </c>
      <c r="W1232" s="40">
        <f>N1232+T1232*d_topup_ratio</f>
        <v/>
      </c>
      <c r="X1232" s="40">
        <f>SUMIFS(W1202:W1236,B1202:B1236,B1232-in_dpd_lag)*d_cured</f>
        <v/>
      </c>
      <c r="Y1232" s="40">
        <f>SUMIFS(W1202:W1236,B1202:B1236,B1232-in_rec_lag)*d_recd</f>
        <v/>
      </c>
      <c r="Z1232" s="40">
        <f>IF(AND(B1232&gt;=in_marketplace_from,B1232&lt;in_marketplace_from+in_card_months),in_card_share/in_card_months*F1232*I1232,IF(AND(B1232&gt;=in_marketplace_from+in_card_months,B1232&lt;in_marketplace_from+2*in_card_months),in_card_share*d_card_rem/in_card_months*F1232*MIN(in_takeup_cap,(1+in_takeup_growth)^(D1232-1))*MIN(in_takeup_cap,(1+in_approval_growth)^(D1232-1)),0))</f>
        <v/>
      </c>
      <c r="AA1232" s="14">
        <f>V1232*in_fee*(1-in_taken_back)</f>
        <v/>
      </c>
      <c r="AB1232" s="14">
        <f>SUMIFS(W1202:W1236,B1202:B1236,B1232-in_dpd_lag)*d_dpd</f>
        <v/>
      </c>
      <c r="AC1232" s="14">
        <f>SUMIFS(W1202:W1236,B1202:B1236,B1232-in_rec_lag)*d_rec</f>
        <v/>
      </c>
      <c r="AD1232" s="14">
        <f>Z1232*in_card_fee</f>
        <v/>
      </c>
      <c r="AE1232" s="40">
        <f>AE1231*(1-IF(B1231&gt;=in_marketplace_from,d_hz_hlth_small*G1231,0))</f>
        <v/>
      </c>
      <c r="AF1232" s="46">
        <f>AE1232*IF(B1232&gt;=in_marketplace_from,d_hz_hlth_small*G1232,0)</f>
        <v/>
      </c>
      <c r="AG1232" s="14">
        <f>F1232*AF1232*in_hlth_small_ticket*in_hlth_small_comm*in_ins_partner_share+F1232*in_hlth_small_ticket*in_hlth_small_renew_comm*in_ins_partner_share*(in_hlth_small_renew^1*SUMIFS(AF1202:AF1236,B1202:B1236,B1232-12)+in_hlth_small_renew^2*SUMIFS(AF1202:AF1236,B1202:B1236,B1232-24)+in_hlth_small_renew^3*SUMIFS(AF1202:AF1236,B1202:B1236,B1232-36)+in_hlth_small_renew^4*SUMIFS(AF1202:AF1236,B1202:B1236,B1232-48))</f>
        <v/>
      </c>
      <c r="AH1232" s="40">
        <f>AH1231*(1-IF(B1231&gt;=in_marketplace_from,d_hz_hlth_family*G1231,0))</f>
        <v/>
      </c>
      <c r="AI1232" s="46">
        <f>AH1232*IF(B1232&gt;=in_marketplace_from,d_hz_hlth_family*G1232,0)</f>
        <v/>
      </c>
      <c r="AJ1232" s="14">
        <f>F1232*AI1232*in_hlth_family_ticket*in_hlth_family_comm*in_ins_partner_share+F1232*in_hlth_family_ticket*in_hlth_family_renew_comm*in_ins_partner_share*(in_hlth_family_renew^1*SUMIFS(AI1202:AI1236,B1202:B1236,B1232-12)+in_hlth_family_renew^2*SUMIFS(AI1202:AI1236,B1202:B1236,B1232-24)+in_hlth_family_renew^3*SUMIFS(AI1202:AI1236,B1202:B1236,B1232-36)+in_hlth_family_renew^4*SUMIFS(AI1202:AI1236,B1202:B1236,B1232-48))</f>
        <v/>
      </c>
      <c r="AK1232" s="40">
        <f>AK1231*(1-IF(B1231&gt;=in_marketplace_from,d_hz_life_term*G1231,0))</f>
        <v/>
      </c>
      <c r="AL1232" s="46">
        <f>AK1232*IF(B1232&gt;=in_marketplace_from,d_hz_life_term*G1232,0)</f>
        <v/>
      </c>
      <c r="AM1232" s="14">
        <f>F1232*AL1232*in_life_term_ticket*in_life_term_comm*in_ins_partner_share+F1232*in_life_term_ticket*in_life_term_renew_comm*in_ins_partner_share*(in_life_term_renew^1*SUMIFS(AL1202:AL1236,B1202:B1236,B1232-12)+in_life_term_renew^2*SUMIFS(AL1202:AL1236,B1202:B1236,B1232-24)+in_life_term_renew^3*SUMIFS(AL1202:AL1236,B1202:B1236,B1232-36)+in_life_term_renew^4*SUMIFS(AL1202:AL1236,B1202:B1236,B1232-48))</f>
        <v/>
      </c>
      <c r="AN1232" s="40">
        <f>AN1231*(1-IF(B1231&gt;=in_marketplace_from,d_hz_accident*G1231,0))</f>
        <v/>
      </c>
      <c r="AO1232" s="46">
        <f>AN1232*IF(B1232&gt;=in_marketplace_from,d_hz_accident*G1232,0)</f>
        <v/>
      </c>
      <c r="AP1232" s="14">
        <f>F1232*AO1232*in_accident_ticket*in_accident_comm*in_ins_partner_share+F1232*in_accident_ticket*in_accident_renew_comm*in_ins_partner_share*(in_accident_renew^1*SUMIFS(AO1202:AO1236,B1202:B1236,B1232-12)+in_accident_renew^2*SUMIFS(AO1202:AO1236,B1202:B1236,B1232-24)+in_accident_renew^3*SUMIFS(AO1202:AO1236,B1202:B1236,B1232-36)+in_accident_renew^4*SUMIFS(AO1202:AO1236,B1202:B1236,B1232-48))</f>
        <v/>
      </c>
      <c r="AQ1232" s="40">
        <f>AQ1231*(1-IF(B1231&gt;=in_marketplace_from,d_hz_two_wheeler*G1231,0))</f>
        <v/>
      </c>
      <c r="AR1232" s="46">
        <f>AQ1232*IF(B1232&gt;=in_marketplace_from,d_hz_two_wheeler*G1232,0)</f>
        <v/>
      </c>
      <c r="AS1232" s="14">
        <f>F1232*AR1232*in_two_wheeler_ticket*in_two_wheeler_comm*in_ins_partner_share+F1232*in_two_wheeler_ticket*in_two_wheeler_comm*in_ins_partner_share*(in_two_wheeler_renew^1*SUMIFS(AR1202:AR1236,B1202:B1236,B1232-12)+in_two_wheeler_renew^2*SUMIFS(AR1202:AR1236,B1202:B1236,B1232-24)+in_two_wheeler_renew^3*SUMIFS(AR1202:AR1236,B1202:B1236,B1232-36)+in_two_wheeler_renew^4*SUMIFS(AR1202:AR1236,B1202:B1236,B1232-48))</f>
        <v/>
      </c>
      <c r="AT1232" s="40">
        <f>AT1231*(1-IF(B1231&gt;=in_marketplace_from,d_hz_device*G1231,0))</f>
        <v/>
      </c>
      <c r="AU1232" s="14">
        <f>F1232*AT1232*IF(B1232&gt;=in_marketplace_from,d_hz_device*G1232,0)*in_device_ticket*in_device_comm*in_ins_partner_share</f>
        <v/>
      </c>
      <c r="AV1232" s="40">
        <f>AV1231*(1-IF(B1231&gt;=in_marketplace_from,d_hz_shop*G1231,0))</f>
        <v/>
      </c>
      <c r="AW1232" s="46">
        <f>AV1232*IF(B1232&gt;=in_marketplace_from,d_hz_shop*G1232,0)</f>
        <v/>
      </c>
      <c r="AX1232" s="14">
        <f>F1232*AW1232*in_shop_ticket*in_shop_comm*in_ins_partner_share+F1232*in_shop_ticket*in_shop_renew_comm*in_ins_partner_share*(in_shop_renew^1*SUMIFS(AW1202:AW1236,B1202:B1236,B1232-12)+in_shop_renew^2*SUMIFS(AW1202:AW1236,B1202:B1236,B1232-24)+in_shop_renew^3*SUMIFS(AW1202:AW1236,B1202:B1236,B1232-36)+in_shop_renew^4*SUMIFS(AW1202:AW1236,B1202:B1236,B1232-48))</f>
        <v/>
      </c>
      <c r="AY1232" s="40">
        <f>AY1231*(1-IF(B1231&gt;=in_marketplace_from,d_hz_sip*G1231,0))</f>
        <v/>
      </c>
      <c r="AZ1232" s="40">
        <f>AZ1231*d_rho_sip+AY1232*IF(B1232&gt;=in_marketplace_from,d_hz_sip*G1232,0)</f>
        <v/>
      </c>
      <c r="BA1232" s="40">
        <f>d_rho_sip*(BA1231+AZ1231)</f>
        <v/>
      </c>
      <c r="BB1232" s="14">
        <f>F1232*in_sip_ticket*(BA1232+0.5*AZ1232)*in_sip_comm/12</f>
        <v/>
      </c>
      <c r="BC1232" s="40">
        <f>BC1231*(1-IF(B1231&gt;=in_marketplace_from,d_hz_choti*G1231,0))</f>
        <v/>
      </c>
      <c r="BD1232" s="46">
        <f>BC1232*IF(B1232&gt;=in_marketplace_from,d_hz_choti*G1232,0)</f>
        <v/>
      </c>
      <c r="BE1232" s="14">
        <f>F1232*SUMIFS(BD1202:BD1236,B1202:B1236,B1232-in_choti_months)*in_choti_renew*in_choti_ticket</f>
        <v/>
      </c>
      <c r="BF1232" s="40">
        <f>BF1231*(1-IF(B1231&gt;=in_marketplace_from,d_hz_nps*G1231,0))</f>
        <v/>
      </c>
      <c r="BG1232" s="14">
        <f>F1232*BF1232*IF(B1232&gt;=in_marketplace_from,d_hz_nps*G1232,0)*in_nps_ticket*in_nps_comm</f>
        <v/>
      </c>
      <c r="BH1232" s="40">
        <f>BH1231*(1-IF(B1231&gt;=in_marketplace_from,d_hz_gold*G1231,0))</f>
        <v/>
      </c>
      <c r="BI1232" s="40">
        <f>BI1231*d_rho_gold+BH1232*IF(B1232&gt;=in_marketplace_from,d_hz_gold*G1232,0)</f>
        <v/>
      </c>
      <c r="BJ1232" s="14">
        <f>F1232*BI1232*in_gold_ticket*in_gold_comm</f>
        <v/>
      </c>
      <c r="BK1232" s="40">
        <f>BK1231*(1-IF(B1231&gt;=in_marketplace_from,d_hz_fd*G1231,0))</f>
        <v/>
      </c>
      <c r="BL1232" s="14">
        <f>F1232*BK1232*IF(B1232&gt;=in_marketplace_from,d_hz_fd*G1232,0)*in_fd_ticket*in_fd_comm</f>
        <v/>
      </c>
      <c r="BM1232" s="40">
        <f>BM1231*(1-IF(B1231&gt;=in_marketplace_from,d_hz_recharge*G1231,0))</f>
        <v/>
      </c>
      <c r="BN1232" s="40">
        <f>BN1231*d_rho_recharge+BM1232*IF(B1232&gt;=in_marketplace_from,d_hz_recharge*G1232,0)</f>
        <v/>
      </c>
      <c r="BO1232" s="14">
        <f>F1232*BN1232*in_recharge_ticket*in_recharge_comm/12</f>
        <v/>
      </c>
      <c r="BP1232" s="40">
        <f>BP1231*(1-IF(B1231&gt;=in_marketplace_from,d_hz_bills*G1231,0))</f>
        <v/>
      </c>
      <c r="BQ1232" s="40">
        <f>BQ1231*d_rho_bills+BP1232*IF(B1232&gt;=in_marketplace_from,d_hz_bills*G1232,0)</f>
        <v/>
      </c>
      <c r="BR1232" s="14">
        <f>F1232*BQ1232*in_bills_ticket*in_bills_comm/12</f>
        <v/>
      </c>
      <c r="BS1232" s="40">
        <f>BS1231*(1-IF(B1231&gt;=in_marketplace_from,d_hz_loan_gold*G1231,0))</f>
        <v/>
      </c>
      <c r="BT1232" s="14">
        <f>F1232*BS1232*IF(B1232&gt;=in_marketplace_from,d_hz_loan_gold*G1232,0)*in_loan_gold_ticket*in_loan_gold_comm</f>
        <v/>
      </c>
      <c r="BU1232" s="40">
        <f>BU1231*(1-IF(B1231&gt;=in_marketplace_from,d_hz_loan_cd*G1231,0))</f>
        <v/>
      </c>
      <c r="BV1232" s="14">
        <f>F1232*BU1232*IF(B1232&gt;=in_marketplace_from,d_hz_loan_cd*G1232,0)*in_loan_cd_ticket*in_loan_cd_comm</f>
        <v/>
      </c>
      <c r="BW1232" s="40">
        <f>BW1231*(1-IF(B1231&gt;=in_marketplace_from,d_hz_loan_vehicle*G1231,0))</f>
        <v/>
      </c>
      <c r="BX1232" s="14">
        <f>F1232*BW1232*IF(B1232&gt;=in_marketplace_from,d_hz_loan_vehicle*G1232,0)*in_loan_vehicle_ticket*in_loan_vehicle_comm</f>
        <v/>
      </c>
      <c r="BY1232" s="40">
        <f>BY1231*(1-IF(B1231&gt;=in_marketplace_from,d_hz_loan_home*G1231,0)*BZ1231)</f>
        <v/>
      </c>
      <c r="BZ1232" s="11">
        <f>MIN(in_approval_cap,in_loan_home_approval*INDEX('Age profile'!$O$2:$O$61,B1232)*(1+in_approval_growth)^(D1232-1))</f>
        <v/>
      </c>
      <c r="CA1232" s="14">
        <f>F1232*BY1232*IF(B1232&gt;=in_marketplace_from,d_hz_loan_home*G1232,0)*BZ1232*in_loan_home_ticket*in_loan_home_comm</f>
        <v/>
      </c>
      <c r="CB1232" s="40">
        <f>CB1231*(1-IF(B1231&gt;=in_marketplace_from,d_hz_loan_lap*G1231,0)*CC1231)</f>
        <v/>
      </c>
      <c r="CC1232" s="11">
        <f>MIN(in_approval_cap,in_loan_lap_approval*INDEX('Age profile'!$O$2:$O$61,B1232)*(1+in_approval_growth)^(D1232-1))</f>
        <v/>
      </c>
      <c r="CD1232" s="14">
        <f>F1232*CB1232*IF(B1232&gt;=in_marketplace_from,d_hz_loan_lap*G1232,0)*CC1232*in_loan_lap_ticket*in_loan_lap_comm</f>
        <v/>
      </c>
      <c r="CE1232" s="14">
        <f>AA1232+AB1232+AC1232+AD1232+AG1232+AJ1232+AM1232+AP1232+AS1232+AU1232+AX1232+BB1232+BE1232+BG1232+BJ1232+BL1232+BO1232+BR1232+BT1232+BV1232+BX1232+CA1232+CD1232</f>
        <v/>
      </c>
    </row>
    <row r="1233">
      <c r="A1233" s="39" t="n">
        <v>26</v>
      </c>
      <c r="B1233" s="39" t="n">
        <v>32</v>
      </c>
      <c r="C1233" s="39">
        <f>A1233+B1233-1</f>
        <v/>
      </c>
      <c r="D1233" s="39">
        <f>INT((C1233-1)/12)+1</f>
        <v/>
      </c>
      <c r="E1233" s="44">
        <f>INDEX(Monthly!$B$2:$B$61,A1233)</f>
        <v/>
      </c>
      <c r="F1233" s="44">
        <f>E1233*INDEX('Age profile'!$B$2:$B$61,B1233)</f>
        <v/>
      </c>
      <c r="G1233" s="45">
        <f>MIN(in_takeup_cap,INDEX('Age profile'!$N$2:$N$61,B1233)*(1+in_takeup_growth)^(D1233-1))</f>
        <v/>
      </c>
      <c r="H1233" s="11">
        <f>MIN(in_approval_cap,in_approved_first*INDEX('Age profile'!$O$2:$O$61,B1233)*(1+in_approval_growth)^(D1233-1))</f>
        <v/>
      </c>
      <c r="I1233" s="45">
        <f>G1233*MIN(in_takeup_cap,INDEX('Age profile'!$O$2:$O$61,B1233)*(1+in_approval_growth)^(D1233-1))</f>
        <v/>
      </c>
      <c r="J1233" s="40">
        <f>(J1232-L1232)*F1233/F1232</f>
        <v/>
      </c>
      <c r="K1233" s="40">
        <f>(K1232-M1232)*F1233/F1232+SUMIFS(O1202:O1232,B1202:B1232,B1233-1-d_T)*F1233</f>
        <v/>
      </c>
      <c r="L1233" s="40">
        <f>IF(B1233&gt;=in_marketplace_from,J1233*d_hz*G1233*in_eligible*H1233,0)</f>
        <v/>
      </c>
      <c r="M1233" s="40">
        <f>IF(B1233&gt;=in_marketplace_from,K1233*d_hz*G1233*in_eligible*in_approved_repeat,0)</f>
        <v/>
      </c>
      <c r="N1233" s="40">
        <f>L1233+M1233</f>
        <v/>
      </c>
      <c r="O1233" s="46">
        <f>N1233/F1233</f>
        <v/>
      </c>
      <c r="P1233" s="40">
        <f>F1233-J1233-K1233</f>
        <v/>
      </c>
      <c r="Q1233" s="40">
        <f>IF(B1233&gt;=in_marketplace_from,(J1233+K1233)*d_hz*G1233,0)</f>
        <v/>
      </c>
      <c r="R1233" s="40">
        <f>SUMIFS(N1202:N1236,B1202:B1236,"&gt;="&amp;(B1233-d_T),B1202:B1236,"&lt;="&amp;(B1233-1))</f>
        <v/>
      </c>
      <c r="S1233" s="46">
        <f>(1-d_u)*S1232+IF(d_T&gt;in_topup_lag,SUMIFS(O1202:O1236,B1202:B1236,B1233-in_topup_lag)-d_udrop*SUMIFS(O1202:O1236,B1202:B1236,B1233-d_T),0)</f>
        <v/>
      </c>
      <c r="T1233" s="40">
        <f>F1233*d_u*S1233</f>
        <v/>
      </c>
      <c r="U1233" s="9">
        <f>L1233*in_ticket+M1233*d_rep_ticket</f>
        <v/>
      </c>
      <c r="V1233" s="9">
        <f>U1233+T1233*d_topup_amt</f>
        <v/>
      </c>
      <c r="W1233" s="40">
        <f>N1233+T1233*d_topup_ratio</f>
        <v/>
      </c>
      <c r="X1233" s="40">
        <f>SUMIFS(W1202:W1236,B1202:B1236,B1233-in_dpd_lag)*d_cured</f>
        <v/>
      </c>
      <c r="Y1233" s="40">
        <f>SUMIFS(W1202:W1236,B1202:B1236,B1233-in_rec_lag)*d_recd</f>
        <v/>
      </c>
      <c r="Z1233" s="40">
        <f>IF(AND(B1233&gt;=in_marketplace_from,B1233&lt;in_marketplace_from+in_card_months),in_card_share/in_card_months*F1233*I1233,IF(AND(B1233&gt;=in_marketplace_from+in_card_months,B1233&lt;in_marketplace_from+2*in_card_months),in_card_share*d_card_rem/in_card_months*F1233*MIN(in_takeup_cap,(1+in_takeup_growth)^(D1233-1))*MIN(in_takeup_cap,(1+in_approval_growth)^(D1233-1)),0))</f>
        <v/>
      </c>
      <c r="AA1233" s="14">
        <f>V1233*in_fee*(1-in_taken_back)</f>
        <v/>
      </c>
      <c r="AB1233" s="14">
        <f>SUMIFS(W1202:W1236,B1202:B1236,B1233-in_dpd_lag)*d_dpd</f>
        <v/>
      </c>
      <c r="AC1233" s="14">
        <f>SUMIFS(W1202:W1236,B1202:B1236,B1233-in_rec_lag)*d_rec</f>
        <v/>
      </c>
      <c r="AD1233" s="14">
        <f>Z1233*in_card_fee</f>
        <v/>
      </c>
      <c r="AE1233" s="40">
        <f>AE1232*(1-IF(B1232&gt;=in_marketplace_from,d_hz_hlth_small*G1232,0))</f>
        <v/>
      </c>
      <c r="AF1233" s="46">
        <f>AE1233*IF(B1233&gt;=in_marketplace_from,d_hz_hlth_small*G1233,0)</f>
        <v/>
      </c>
      <c r="AG1233" s="14">
        <f>F1233*AF1233*in_hlth_small_ticket*in_hlth_small_comm*in_ins_partner_share+F1233*in_hlth_small_ticket*in_hlth_small_renew_comm*in_ins_partner_share*(in_hlth_small_renew^1*SUMIFS(AF1202:AF1236,B1202:B1236,B1233-12)+in_hlth_small_renew^2*SUMIFS(AF1202:AF1236,B1202:B1236,B1233-24)+in_hlth_small_renew^3*SUMIFS(AF1202:AF1236,B1202:B1236,B1233-36)+in_hlth_small_renew^4*SUMIFS(AF1202:AF1236,B1202:B1236,B1233-48))</f>
        <v/>
      </c>
      <c r="AH1233" s="40">
        <f>AH1232*(1-IF(B1232&gt;=in_marketplace_from,d_hz_hlth_family*G1232,0))</f>
        <v/>
      </c>
      <c r="AI1233" s="46">
        <f>AH1233*IF(B1233&gt;=in_marketplace_from,d_hz_hlth_family*G1233,0)</f>
        <v/>
      </c>
      <c r="AJ1233" s="14">
        <f>F1233*AI1233*in_hlth_family_ticket*in_hlth_family_comm*in_ins_partner_share+F1233*in_hlth_family_ticket*in_hlth_family_renew_comm*in_ins_partner_share*(in_hlth_family_renew^1*SUMIFS(AI1202:AI1236,B1202:B1236,B1233-12)+in_hlth_family_renew^2*SUMIFS(AI1202:AI1236,B1202:B1236,B1233-24)+in_hlth_family_renew^3*SUMIFS(AI1202:AI1236,B1202:B1236,B1233-36)+in_hlth_family_renew^4*SUMIFS(AI1202:AI1236,B1202:B1236,B1233-48))</f>
        <v/>
      </c>
      <c r="AK1233" s="40">
        <f>AK1232*(1-IF(B1232&gt;=in_marketplace_from,d_hz_life_term*G1232,0))</f>
        <v/>
      </c>
      <c r="AL1233" s="46">
        <f>AK1233*IF(B1233&gt;=in_marketplace_from,d_hz_life_term*G1233,0)</f>
        <v/>
      </c>
      <c r="AM1233" s="14">
        <f>F1233*AL1233*in_life_term_ticket*in_life_term_comm*in_ins_partner_share+F1233*in_life_term_ticket*in_life_term_renew_comm*in_ins_partner_share*(in_life_term_renew^1*SUMIFS(AL1202:AL1236,B1202:B1236,B1233-12)+in_life_term_renew^2*SUMIFS(AL1202:AL1236,B1202:B1236,B1233-24)+in_life_term_renew^3*SUMIFS(AL1202:AL1236,B1202:B1236,B1233-36)+in_life_term_renew^4*SUMIFS(AL1202:AL1236,B1202:B1236,B1233-48))</f>
        <v/>
      </c>
      <c r="AN1233" s="40">
        <f>AN1232*(1-IF(B1232&gt;=in_marketplace_from,d_hz_accident*G1232,0))</f>
        <v/>
      </c>
      <c r="AO1233" s="46">
        <f>AN1233*IF(B1233&gt;=in_marketplace_from,d_hz_accident*G1233,0)</f>
        <v/>
      </c>
      <c r="AP1233" s="14">
        <f>F1233*AO1233*in_accident_ticket*in_accident_comm*in_ins_partner_share+F1233*in_accident_ticket*in_accident_renew_comm*in_ins_partner_share*(in_accident_renew^1*SUMIFS(AO1202:AO1236,B1202:B1236,B1233-12)+in_accident_renew^2*SUMIFS(AO1202:AO1236,B1202:B1236,B1233-24)+in_accident_renew^3*SUMIFS(AO1202:AO1236,B1202:B1236,B1233-36)+in_accident_renew^4*SUMIFS(AO1202:AO1236,B1202:B1236,B1233-48))</f>
        <v/>
      </c>
      <c r="AQ1233" s="40">
        <f>AQ1232*(1-IF(B1232&gt;=in_marketplace_from,d_hz_two_wheeler*G1232,0))</f>
        <v/>
      </c>
      <c r="AR1233" s="46">
        <f>AQ1233*IF(B1233&gt;=in_marketplace_from,d_hz_two_wheeler*G1233,0)</f>
        <v/>
      </c>
      <c r="AS1233" s="14">
        <f>F1233*AR1233*in_two_wheeler_ticket*in_two_wheeler_comm*in_ins_partner_share+F1233*in_two_wheeler_ticket*in_two_wheeler_comm*in_ins_partner_share*(in_two_wheeler_renew^1*SUMIFS(AR1202:AR1236,B1202:B1236,B1233-12)+in_two_wheeler_renew^2*SUMIFS(AR1202:AR1236,B1202:B1236,B1233-24)+in_two_wheeler_renew^3*SUMIFS(AR1202:AR1236,B1202:B1236,B1233-36)+in_two_wheeler_renew^4*SUMIFS(AR1202:AR1236,B1202:B1236,B1233-48))</f>
        <v/>
      </c>
      <c r="AT1233" s="40">
        <f>AT1232*(1-IF(B1232&gt;=in_marketplace_from,d_hz_device*G1232,0))</f>
        <v/>
      </c>
      <c r="AU1233" s="14">
        <f>F1233*AT1233*IF(B1233&gt;=in_marketplace_from,d_hz_device*G1233,0)*in_device_ticket*in_device_comm*in_ins_partner_share</f>
        <v/>
      </c>
      <c r="AV1233" s="40">
        <f>AV1232*(1-IF(B1232&gt;=in_marketplace_from,d_hz_shop*G1232,0))</f>
        <v/>
      </c>
      <c r="AW1233" s="46">
        <f>AV1233*IF(B1233&gt;=in_marketplace_from,d_hz_shop*G1233,0)</f>
        <v/>
      </c>
      <c r="AX1233" s="14">
        <f>F1233*AW1233*in_shop_ticket*in_shop_comm*in_ins_partner_share+F1233*in_shop_ticket*in_shop_renew_comm*in_ins_partner_share*(in_shop_renew^1*SUMIFS(AW1202:AW1236,B1202:B1236,B1233-12)+in_shop_renew^2*SUMIFS(AW1202:AW1236,B1202:B1236,B1233-24)+in_shop_renew^3*SUMIFS(AW1202:AW1236,B1202:B1236,B1233-36)+in_shop_renew^4*SUMIFS(AW1202:AW1236,B1202:B1236,B1233-48))</f>
        <v/>
      </c>
      <c r="AY1233" s="40">
        <f>AY1232*(1-IF(B1232&gt;=in_marketplace_from,d_hz_sip*G1232,0))</f>
        <v/>
      </c>
      <c r="AZ1233" s="40">
        <f>AZ1232*d_rho_sip+AY1233*IF(B1233&gt;=in_marketplace_from,d_hz_sip*G1233,0)</f>
        <v/>
      </c>
      <c r="BA1233" s="40">
        <f>d_rho_sip*(BA1232+AZ1232)</f>
        <v/>
      </c>
      <c r="BB1233" s="14">
        <f>F1233*in_sip_ticket*(BA1233+0.5*AZ1233)*in_sip_comm/12</f>
        <v/>
      </c>
      <c r="BC1233" s="40">
        <f>BC1232*(1-IF(B1232&gt;=in_marketplace_from,d_hz_choti*G1232,0))</f>
        <v/>
      </c>
      <c r="BD1233" s="46">
        <f>BC1233*IF(B1233&gt;=in_marketplace_from,d_hz_choti*G1233,0)</f>
        <v/>
      </c>
      <c r="BE1233" s="14">
        <f>F1233*SUMIFS(BD1202:BD1236,B1202:B1236,B1233-in_choti_months)*in_choti_renew*in_choti_ticket</f>
        <v/>
      </c>
      <c r="BF1233" s="40">
        <f>BF1232*(1-IF(B1232&gt;=in_marketplace_from,d_hz_nps*G1232,0))</f>
        <v/>
      </c>
      <c r="BG1233" s="14">
        <f>F1233*BF1233*IF(B1233&gt;=in_marketplace_from,d_hz_nps*G1233,0)*in_nps_ticket*in_nps_comm</f>
        <v/>
      </c>
      <c r="BH1233" s="40">
        <f>BH1232*(1-IF(B1232&gt;=in_marketplace_from,d_hz_gold*G1232,0))</f>
        <v/>
      </c>
      <c r="BI1233" s="40">
        <f>BI1232*d_rho_gold+BH1233*IF(B1233&gt;=in_marketplace_from,d_hz_gold*G1233,0)</f>
        <v/>
      </c>
      <c r="BJ1233" s="14">
        <f>F1233*BI1233*in_gold_ticket*in_gold_comm</f>
        <v/>
      </c>
      <c r="BK1233" s="40">
        <f>BK1232*(1-IF(B1232&gt;=in_marketplace_from,d_hz_fd*G1232,0))</f>
        <v/>
      </c>
      <c r="BL1233" s="14">
        <f>F1233*BK1233*IF(B1233&gt;=in_marketplace_from,d_hz_fd*G1233,0)*in_fd_ticket*in_fd_comm</f>
        <v/>
      </c>
      <c r="BM1233" s="40">
        <f>BM1232*(1-IF(B1232&gt;=in_marketplace_from,d_hz_recharge*G1232,0))</f>
        <v/>
      </c>
      <c r="BN1233" s="40">
        <f>BN1232*d_rho_recharge+BM1233*IF(B1233&gt;=in_marketplace_from,d_hz_recharge*G1233,0)</f>
        <v/>
      </c>
      <c r="BO1233" s="14">
        <f>F1233*BN1233*in_recharge_ticket*in_recharge_comm/12</f>
        <v/>
      </c>
      <c r="BP1233" s="40">
        <f>BP1232*(1-IF(B1232&gt;=in_marketplace_from,d_hz_bills*G1232,0))</f>
        <v/>
      </c>
      <c r="BQ1233" s="40">
        <f>BQ1232*d_rho_bills+BP1233*IF(B1233&gt;=in_marketplace_from,d_hz_bills*G1233,0)</f>
        <v/>
      </c>
      <c r="BR1233" s="14">
        <f>F1233*BQ1233*in_bills_ticket*in_bills_comm/12</f>
        <v/>
      </c>
      <c r="BS1233" s="40">
        <f>BS1232*(1-IF(B1232&gt;=in_marketplace_from,d_hz_loan_gold*G1232,0))</f>
        <v/>
      </c>
      <c r="BT1233" s="14">
        <f>F1233*BS1233*IF(B1233&gt;=in_marketplace_from,d_hz_loan_gold*G1233,0)*in_loan_gold_ticket*in_loan_gold_comm</f>
        <v/>
      </c>
      <c r="BU1233" s="40">
        <f>BU1232*(1-IF(B1232&gt;=in_marketplace_from,d_hz_loan_cd*G1232,0))</f>
        <v/>
      </c>
      <c r="BV1233" s="14">
        <f>F1233*BU1233*IF(B1233&gt;=in_marketplace_from,d_hz_loan_cd*G1233,0)*in_loan_cd_ticket*in_loan_cd_comm</f>
        <v/>
      </c>
      <c r="BW1233" s="40">
        <f>BW1232*(1-IF(B1232&gt;=in_marketplace_from,d_hz_loan_vehicle*G1232,0))</f>
        <v/>
      </c>
      <c r="BX1233" s="14">
        <f>F1233*BW1233*IF(B1233&gt;=in_marketplace_from,d_hz_loan_vehicle*G1233,0)*in_loan_vehicle_ticket*in_loan_vehicle_comm</f>
        <v/>
      </c>
      <c r="BY1233" s="40">
        <f>BY1232*(1-IF(B1232&gt;=in_marketplace_from,d_hz_loan_home*G1232,0)*BZ1232)</f>
        <v/>
      </c>
      <c r="BZ1233" s="11">
        <f>MIN(in_approval_cap,in_loan_home_approval*INDEX('Age profile'!$O$2:$O$61,B1233)*(1+in_approval_growth)^(D1233-1))</f>
        <v/>
      </c>
      <c r="CA1233" s="14">
        <f>F1233*BY1233*IF(B1233&gt;=in_marketplace_from,d_hz_loan_home*G1233,0)*BZ1233*in_loan_home_ticket*in_loan_home_comm</f>
        <v/>
      </c>
      <c r="CB1233" s="40">
        <f>CB1232*(1-IF(B1232&gt;=in_marketplace_from,d_hz_loan_lap*G1232,0)*CC1232)</f>
        <v/>
      </c>
      <c r="CC1233" s="11">
        <f>MIN(in_approval_cap,in_loan_lap_approval*INDEX('Age profile'!$O$2:$O$61,B1233)*(1+in_approval_growth)^(D1233-1))</f>
        <v/>
      </c>
      <c r="CD1233" s="14">
        <f>F1233*CB1233*IF(B1233&gt;=in_marketplace_from,d_hz_loan_lap*G1233,0)*CC1233*in_loan_lap_ticket*in_loan_lap_comm</f>
        <v/>
      </c>
      <c r="CE1233" s="14">
        <f>AA1233+AB1233+AC1233+AD1233+AG1233+AJ1233+AM1233+AP1233+AS1233+AU1233+AX1233+BB1233+BE1233+BG1233+BJ1233+BL1233+BO1233+BR1233+BT1233+BV1233+BX1233+CA1233+CD1233</f>
        <v/>
      </c>
    </row>
    <row r="1234">
      <c r="A1234" s="39" t="n">
        <v>26</v>
      </c>
      <c r="B1234" s="39" t="n">
        <v>33</v>
      </c>
      <c r="C1234" s="39">
        <f>A1234+B1234-1</f>
        <v/>
      </c>
      <c r="D1234" s="39">
        <f>INT((C1234-1)/12)+1</f>
        <v/>
      </c>
      <c r="E1234" s="44">
        <f>INDEX(Monthly!$B$2:$B$61,A1234)</f>
        <v/>
      </c>
      <c r="F1234" s="44">
        <f>E1234*INDEX('Age profile'!$B$2:$B$61,B1234)</f>
        <v/>
      </c>
      <c r="G1234" s="45">
        <f>MIN(in_takeup_cap,INDEX('Age profile'!$N$2:$N$61,B1234)*(1+in_takeup_growth)^(D1234-1))</f>
        <v/>
      </c>
      <c r="H1234" s="11">
        <f>MIN(in_approval_cap,in_approved_first*INDEX('Age profile'!$O$2:$O$61,B1234)*(1+in_approval_growth)^(D1234-1))</f>
        <v/>
      </c>
      <c r="I1234" s="45">
        <f>G1234*MIN(in_takeup_cap,INDEX('Age profile'!$O$2:$O$61,B1234)*(1+in_approval_growth)^(D1234-1))</f>
        <v/>
      </c>
      <c r="J1234" s="40">
        <f>(J1233-L1233)*F1234/F1233</f>
        <v/>
      </c>
      <c r="K1234" s="40">
        <f>(K1233-M1233)*F1234/F1233+SUMIFS(O1202:O1233,B1202:B1233,B1234-1-d_T)*F1234</f>
        <v/>
      </c>
      <c r="L1234" s="40">
        <f>IF(B1234&gt;=in_marketplace_from,J1234*d_hz*G1234*in_eligible*H1234,0)</f>
        <v/>
      </c>
      <c r="M1234" s="40">
        <f>IF(B1234&gt;=in_marketplace_from,K1234*d_hz*G1234*in_eligible*in_approved_repeat,0)</f>
        <v/>
      </c>
      <c r="N1234" s="40">
        <f>L1234+M1234</f>
        <v/>
      </c>
      <c r="O1234" s="46">
        <f>N1234/F1234</f>
        <v/>
      </c>
      <c r="P1234" s="40">
        <f>F1234-J1234-K1234</f>
        <v/>
      </c>
      <c r="Q1234" s="40">
        <f>IF(B1234&gt;=in_marketplace_from,(J1234+K1234)*d_hz*G1234,0)</f>
        <v/>
      </c>
      <c r="R1234" s="40">
        <f>SUMIFS(N1202:N1236,B1202:B1236,"&gt;="&amp;(B1234-d_T),B1202:B1236,"&lt;="&amp;(B1234-1))</f>
        <v/>
      </c>
      <c r="S1234" s="46">
        <f>(1-d_u)*S1233+IF(d_T&gt;in_topup_lag,SUMIFS(O1202:O1236,B1202:B1236,B1234-in_topup_lag)-d_udrop*SUMIFS(O1202:O1236,B1202:B1236,B1234-d_T),0)</f>
        <v/>
      </c>
      <c r="T1234" s="40">
        <f>F1234*d_u*S1234</f>
        <v/>
      </c>
      <c r="U1234" s="9">
        <f>L1234*in_ticket+M1234*d_rep_ticket</f>
        <v/>
      </c>
      <c r="V1234" s="9">
        <f>U1234+T1234*d_topup_amt</f>
        <v/>
      </c>
      <c r="W1234" s="40">
        <f>N1234+T1234*d_topup_ratio</f>
        <v/>
      </c>
      <c r="X1234" s="40">
        <f>SUMIFS(W1202:W1236,B1202:B1236,B1234-in_dpd_lag)*d_cured</f>
        <v/>
      </c>
      <c r="Y1234" s="40">
        <f>SUMIFS(W1202:W1236,B1202:B1236,B1234-in_rec_lag)*d_recd</f>
        <v/>
      </c>
      <c r="Z1234" s="40">
        <f>IF(AND(B1234&gt;=in_marketplace_from,B1234&lt;in_marketplace_from+in_card_months),in_card_share/in_card_months*F1234*I1234,IF(AND(B1234&gt;=in_marketplace_from+in_card_months,B1234&lt;in_marketplace_from+2*in_card_months),in_card_share*d_card_rem/in_card_months*F1234*MIN(in_takeup_cap,(1+in_takeup_growth)^(D1234-1))*MIN(in_takeup_cap,(1+in_approval_growth)^(D1234-1)),0))</f>
        <v/>
      </c>
      <c r="AA1234" s="14">
        <f>V1234*in_fee*(1-in_taken_back)</f>
        <v/>
      </c>
      <c r="AB1234" s="14">
        <f>SUMIFS(W1202:W1236,B1202:B1236,B1234-in_dpd_lag)*d_dpd</f>
        <v/>
      </c>
      <c r="AC1234" s="14">
        <f>SUMIFS(W1202:W1236,B1202:B1236,B1234-in_rec_lag)*d_rec</f>
        <v/>
      </c>
      <c r="AD1234" s="14">
        <f>Z1234*in_card_fee</f>
        <v/>
      </c>
      <c r="AE1234" s="40">
        <f>AE1233*(1-IF(B1233&gt;=in_marketplace_from,d_hz_hlth_small*G1233,0))</f>
        <v/>
      </c>
      <c r="AF1234" s="46">
        <f>AE1234*IF(B1234&gt;=in_marketplace_from,d_hz_hlth_small*G1234,0)</f>
        <v/>
      </c>
      <c r="AG1234" s="14">
        <f>F1234*AF1234*in_hlth_small_ticket*in_hlth_small_comm*in_ins_partner_share+F1234*in_hlth_small_ticket*in_hlth_small_renew_comm*in_ins_partner_share*(in_hlth_small_renew^1*SUMIFS(AF1202:AF1236,B1202:B1236,B1234-12)+in_hlth_small_renew^2*SUMIFS(AF1202:AF1236,B1202:B1236,B1234-24)+in_hlth_small_renew^3*SUMIFS(AF1202:AF1236,B1202:B1236,B1234-36)+in_hlth_small_renew^4*SUMIFS(AF1202:AF1236,B1202:B1236,B1234-48))</f>
        <v/>
      </c>
      <c r="AH1234" s="40">
        <f>AH1233*(1-IF(B1233&gt;=in_marketplace_from,d_hz_hlth_family*G1233,0))</f>
        <v/>
      </c>
      <c r="AI1234" s="46">
        <f>AH1234*IF(B1234&gt;=in_marketplace_from,d_hz_hlth_family*G1234,0)</f>
        <v/>
      </c>
      <c r="AJ1234" s="14">
        <f>F1234*AI1234*in_hlth_family_ticket*in_hlth_family_comm*in_ins_partner_share+F1234*in_hlth_family_ticket*in_hlth_family_renew_comm*in_ins_partner_share*(in_hlth_family_renew^1*SUMIFS(AI1202:AI1236,B1202:B1236,B1234-12)+in_hlth_family_renew^2*SUMIFS(AI1202:AI1236,B1202:B1236,B1234-24)+in_hlth_family_renew^3*SUMIFS(AI1202:AI1236,B1202:B1236,B1234-36)+in_hlth_family_renew^4*SUMIFS(AI1202:AI1236,B1202:B1236,B1234-48))</f>
        <v/>
      </c>
      <c r="AK1234" s="40">
        <f>AK1233*(1-IF(B1233&gt;=in_marketplace_from,d_hz_life_term*G1233,0))</f>
        <v/>
      </c>
      <c r="AL1234" s="46">
        <f>AK1234*IF(B1234&gt;=in_marketplace_from,d_hz_life_term*G1234,0)</f>
        <v/>
      </c>
      <c r="AM1234" s="14">
        <f>F1234*AL1234*in_life_term_ticket*in_life_term_comm*in_ins_partner_share+F1234*in_life_term_ticket*in_life_term_renew_comm*in_ins_partner_share*(in_life_term_renew^1*SUMIFS(AL1202:AL1236,B1202:B1236,B1234-12)+in_life_term_renew^2*SUMIFS(AL1202:AL1236,B1202:B1236,B1234-24)+in_life_term_renew^3*SUMIFS(AL1202:AL1236,B1202:B1236,B1234-36)+in_life_term_renew^4*SUMIFS(AL1202:AL1236,B1202:B1236,B1234-48))</f>
        <v/>
      </c>
      <c r="AN1234" s="40">
        <f>AN1233*(1-IF(B1233&gt;=in_marketplace_from,d_hz_accident*G1233,0))</f>
        <v/>
      </c>
      <c r="AO1234" s="46">
        <f>AN1234*IF(B1234&gt;=in_marketplace_from,d_hz_accident*G1234,0)</f>
        <v/>
      </c>
      <c r="AP1234" s="14">
        <f>F1234*AO1234*in_accident_ticket*in_accident_comm*in_ins_partner_share+F1234*in_accident_ticket*in_accident_renew_comm*in_ins_partner_share*(in_accident_renew^1*SUMIFS(AO1202:AO1236,B1202:B1236,B1234-12)+in_accident_renew^2*SUMIFS(AO1202:AO1236,B1202:B1236,B1234-24)+in_accident_renew^3*SUMIFS(AO1202:AO1236,B1202:B1236,B1234-36)+in_accident_renew^4*SUMIFS(AO1202:AO1236,B1202:B1236,B1234-48))</f>
        <v/>
      </c>
      <c r="AQ1234" s="40">
        <f>AQ1233*(1-IF(B1233&gt;=in_marketplace_from,d_hz_two_wheeler*G1233,0))</f>
        <v/>
      </c>
      <c r="AR1234" s="46">
        <f>AQ1234*IF(B1234&gt;=in_marketplace_from,d_hz_two_wheeler*G1234,0)</f>
        <v/>
      </c>
      <c r="AS1234" s="14">
        <f>F1234*AR1234*in_two_wheeler_ticket*in_two_wheeler_comm*in_ins_partner_share+F1234*in_two_wheeler_ticket*in_two_wheeler_comm*in_ins_partner_share*(in_two_wheeler_renew^1*SUMIFS(AR1202:AR1236,B1202:B1236,B1234-12)+in_two_wheeler_renew^2*SUMIFS(AR1202:AR1236,B1202:B1236,B1234-24)+in_two_wheeler_renew^3*SUMIFS(AR1202:AR1236,B1202:B1236,B1234-36)+in_two_wheeler_renew^4*SUMIFS(AR1202:AR1236,B1202:B1236,B1234-48))</f>
        <v/>
      </c>
      <c r="AT1234" s="40">
        <f>AT1233*(1-IF(B1233&gt;=in_marketplace_from,d_hz_device*G1233,0))</f>
        <v/>
      </c>
      <c r="AU1234" s="14">
        <f>F1234*AT1234*IF(B1234&gt;=in_marketplace_from,d_hz_device*G1234,0)*in_device_ticket*in_device_comm*in_ins_partner_share</f>
        <v/>
      </c>
      <c r="AV1234" s="40">
        <f>AV1233*(1-IF(B1233&gt;=in_marketplace_from,d_hz_shop*G1233,0))</f>
        <v/>
      </c>
      <c r="AW1234" s="46">
        <f>AV1234*IF(B1234&gt;=in_marketplace_from,d_hz_shop*G1234,0)</f>
        <v/>
      </c>
      <c r="AX1234" s="14">
        <f>F1234*AW1234*in_shop_ticket*in_shop_comm*in_ins_partner_share+F1234*in_shop_ticket*in_shop_renew_comm*in_ins_partner_share*(in_shop_renew^1*SUMIFS(AW1202:AW1236,B1202:B1236,B1234-12)+in_shop_renew^2*SUMIFS(AW1202:AW1236,B1202:B1236,B1234-24)+in_shop_renew^3*SUMIFS(AW1202:AW1236,B1202:B1236,B1234-36)+in_shop_renew^4*SUMIFS(AW1202:AW1236,B1202:B1236,B1234-48))</f>
        <v/>
      </c>
      <c r="AY1234" s="40">
        <f>AY1233*(1-IF(B1233&gt;=in_marketplace_from,d_hz_sip*G1233,0))</f>
        <v/>
      </c>
      <c r="AZ1234" s="40">
        <f>AZ1233*d_rho_sip+AY1234*IF(B1234&gt;=in_marketplace_from,d_hz_sip*G1234,0)</f>
        <v/>
      </c>
      <c r="BA1234" s="40">
        <f>d_rho_sip*(BA1233+AZ1233)</f>
        <v/>
      </c>
      <c r="BB1234" s="14">
        <f>F1234*in_sip_ticket*(BA1234+0.5*AZ1234)*in_sip_comm/12</f>
        <v/>
      </c>
      <c r="BC1234" s="40">
        <f>BC1233*(1-IF(B1233&gt;=in_marketplace_from,d_hz_choti*G1233,0))</f>
        <v/>
      </c>
      <c r="BD1234" s="46">
        <f>BC1234*IF(B1234&gt;=in_marketplace_from,d_hz_choti*G1234,0)</f>
        <v/>
      </c>
      <c r="BE1234" s="14">
        <f>F1234*SUMIFS(BD1202:BD1236,B1202:B1236,B1234-in_choti_months)*in_choti_renew*in_choti_ticket</f>
        <v/>
      </c>
      <c r="BF1234" s="40">
        <f>BF1233*(1-IF(B1233&gt;=in_marketplace_from,d_hz_nps*G1233,0))</f>
        <v/>
      </c>
      <c r="BG1234" s="14">
        <f>F1234*BF1234*IF(B1234&gt;=in_marketplace_from,d_hz_nps*G1234,0)*in_nps_ticket*in_nps_comm</f>
        <v/>
      </c>
      <c r="BH1234" s="40">
        <f>BH1233*(1-IF(B1233&gt;=in_marketplace_from,d_hz_gold*G1233,0))</f>
        <v/>
      </c>
      <c r="BI1234" s="40">
        <f>BI1233*d_rho_gold+BH1234*IF(B1234&gt;=in_marketplace_from,d_hz_gold*G1234,0)</f>
        <v/>
      </c>
      <c r="BJ1234" s="14">
        <f>F1234*BI1234*in_gold_ticket*in_gold_comm</f>
        <v/>
      </c>
      <c r="BK1234" s="40">
        <f>BK1233*(1-IF(B1233&gt;=in_marketplace_from,d_hz_fd*G1233,0))</f>
        <v/>
      </c>
      <c r="BL1234" s="14">
        <f>F1234*BK1234*IF(B1234&gt;=in_marketplace_from,d_hz_fd*G1234,0)*in_fd_ticket*in_fd_comm</f>
        <v/>
      </c>
      <c r="BM1234" s="40">
        <f>BM1233*(1-IF(B1233&gt;=in_marketplace_from,d_hz_recharge*G1233,0))</f>
        <v/>
      </c>
      <c r="BN1234" s="40">
        <f>BN1233*d_rho_recharge+BM1234*IF(B1234&gt;=in_marketplace_from,d_hz_recharge*G1234,0)</f>
        <v/>
      </c>
      <c r="BO1234" s="14">
        <f>F1234*BN1234*in_recharge_ticket*in_recharge_comm/12</f>
        <v/>
      </c>
      <c r="BP1234" s="40">
        <f>BP1233*(1-IF(B1233&gt;=in_marketplace_from,d_hz_bills*G1233,0))</f>
        <v/>
      </c>
      <c r="BQ1234" s="40">
        <f>BQ1233*d_rho_bills+BP1234*IF(B1234&gt;=in_marketplace_from,d_hz_bills*G1234,0)</f>
        <v/>
      </c>
      <c r="BR1234" s="14">
        <f>F1234*BQ1234*in_bills_ticket*in_bills_comm/12</f>
        <v/>
      </c>
      <c r="BS1234" s="40">
        <f>BS1233*(1-IF(B1233&gt;=in_marketplace_from,d_hz_loan_gold*G1233,0))</f>
        <v/>
      </c>
      <c r="BT1234" s="14">
        <f>F1234*BS1234*IF(B1234&gt;=in_marketplace_from,d_hz_loan_gold*G1234,0)*in_loan_gold_ticket*in_loan_gold_comm</f>
        <v/>
      </c>
      <c r="BU1234" s="40">
        <f>BU1233*(1-IF(B1233&gt;=in_marketplace_from,d_hz_loan_cd*G1233,0))</f>
        <v/>
      </c>
      <c r="BV1234" s="14">
        <f>F1234*BU1234*IF(B1234&gt;=in_marketplace_from,d_hz_loan_cd*G1234,0)*in_loan_cd_ticket*in_loan_cd_comm</f>
        <v/>
      </c>
      <c r="BW1234" s="40">
        <f>BW1233*(1-IF(B1233&gt;=in_marketplace_from,d_hz_loan_vehicle*G1233,0))</f>
        <v/>
      </c>
      <c r="BX1234" s="14">
        <f>F1234*BW1234*IF(B1234&gt;=in_marketplace_from,d_hz_loan_vehicle*G1234,0)*in_loan_vehicle_ticket*in_loan_vehicle_comm</f>
        <v/>
      </c>
      <c r="BY1234" s="40">
        <f>BY1233*(1-IF(B1233&gt;=in_marketplace_from,d_hz_loan_home*G1233,0)*BZ1233)</f>
        <v/>
      </c>
      <c r="BZ1234" s="11">
        <f>MIN(in_approval_cap,in_loan_home_approval*INDEX('Age profile'!$O$2:$O$61,B1234)*(1+in_approval_growth)^(D1234-1))</f>
        <v/>
      </c>
      <c r="CA1234" s="14">
        <f>F1234*BY1234*IF(B1234&gt;=in_marketplace_from,d_hz_loan_home*G1234,0)*BZ1234*in_loan_home_ticket*in_loan_home_comm</f>
        <v/>
      </c>
      <c r="CB1234" s="40">
        <f>CB1233*(1-IF(B1233&gt;=in_marketplace_from,d_hz_loan_lap*G1233,0)*CC1233)</f>
        <v/>
      </c>
      <c r="CC1234" s="11">
        <f>MIN(in_approval_cap,in_loan_lap_approval*INDEX('Age profile'!$O$2:$O$61,B1234)*(1+in_approval_growth)^(D1234-1))</f>
        <v/>
      </c>
      <c r="CD1234" s="14">
        <f>F1234*CB1234*IF(B1234&gt;=in_marketplace_from,d_hz_loan_lap*G1234,0)*CC1234*in_loan_lap_ticket*in_loan_lap_comm</f>
        <v/>
      </c>
      <c r="CE1234" s="14">
        <f>AA1234+AB1234+AC1234+AD1234+AG1234+AJ1234+AM1234+AP1234+AS1234+AU1234+AX1234+BB1234+BE1234+BG1234+BJ1234+BL1234+BO1234+BR1234+BT1234+BV1234+BX1234+CA1234+CD1234</f>
        <v/>
      </c>
    </row>
    <row r="1235">
      <c r="A1235" s="39" t="n">
        <v>26</v>
      </c>
      <c r="B1235" s="39" t="n">
        <v>34</v>
      </c>
      <c r="C1235" s="39">
        <f>A1235+B1235-1</f>
        <v/>
      </c>
      <c r="D1235" s="39">
        <f>INT((C1235-1)/12)+1</f>
        <v/>
      </c>
      <c r="E1235" s="44">
        <f>INDEX(Monthly!$B$2:$B$61,A1235)</f>
        <v/>
      </c>
      <c r="F1235" s="44">
        <f>E1235*INDEX('Age profile'!$B$2:$B$61,B1235)</f>
        <v/>
      </c>
      <c r="G1235" s="45">
        <f>MIN(in_takeup_cap,INDEX('Age profile'!$N$2:$N$61,B1235)*(1+in_takeup_growth)^(D1235-1))</f>
        <v/>
      </c>
      <c r="H1235" s="11">
        <f>MIN(in_approval_cap,in_approved_first*INDEX('Age profile'!$O$2:$O$61,B1235)*(1+in_approval_growth)^(D1235-1))</f>
        <v/>
      </c>
      <c r="I1235" s="45">
        <f>G1235*MIN(in_takeup_cap,INDEX('Age profile'!$O$2:$O$61,B1235)*(1+in_approval_growth)^(D1235-1))</f>
        <v/>
      </c>
      <c r="J1235" s="40">
        <f>(J1234-L1234)*F1235/F1234</f>
        <v/>
      </c>
      <c r="K1235" s="40">
        <f>(K1234-M1234)*F1235/F1234+SUMIFS(O1202:O1234,B1202:B1234,B1235-1-d_T)*F1235</f>
        <v/>
      </c>
      <c r="L1235" s="40">
        <f>IF(B1235&gt;=in_marketplace_from,J1235*d_hz*G1235*in_eligible*H1235,0)</f>
        <v/>
      </c>
      <c r="M1235" s="40">
        <f>IF(B1235&gt;=in_marketplace_from,K1235*d_hz*G1235*in_eligible*in_approved_repeat,0)</f>
        <v/>
      </c>
      <c r="N1235" s="40">
        <f>L1235+M1235</f>
        <v/>
      </c>
      <c r="O1235" s="46">
        <f>N1235/F1235</f>
        <v/>
      </c>
      <c r="P1235" s="40">
        <f>F1235-J1235-K1235</f>
        <v/>
      </c>
      <c r="Q1235" s="40">
        <f>IF(B1235&gt;=in_marketplace_from,(J1235+K1235)*d_hz*G1235,0)</f>
        <v/>
      </c>
      <c r="R1235" s="40">
        <f>SUMIFS(N1202:N1236,B1202:B1236,"&gt;="&amp;(B1235-d_T),B1202:B1236,"&lt;="&amp;(B1235-1))</f>
        <v/>
      </c>
      <c r="S1235" s="46">
        <f>(1-d_u)*S1234+IF(d_T&gt;in_topup_lag,SUMIFS(O1202:O1236,B1202:B1236,B1235-in_topup_lag)-d_udrop*SUMIFS(O1202:O1236,B1202:B1236,B1235-d_T),0)</f>
        <v/>
      </c>
      <c r="T1235" s="40">
        <f>F1235*d_u*S1235</f>
        <v/>
      </c>
      <c r="U1235" s="9">
        <f>L1235*in_ticket+M1235*d_rep_ticket</f>
        <v/>
      </c>
      <c r="V1235" s="9">
        <f>U1235+T1235*d_topup_amt</f>
        <v/>
      </c>
      <c r="W1235" s="40">
        <f>N1235+T1235*d_topup_ratio</f>
        <v/>
      </c>
      <c r="X1235" s="40">
        <f>SUMIFS(W1202:W1236,B1202:B1236,B1235-in_dpd_lag)*d_cured</f>
        <v/>
      </c>
      <c r="Y1235" s="40">
        <f>SUMIFS(W1202:W1236,B1202:B1236,B1235-in_rec_lag)*d_recd</f>
        <v/>
      </c>
      <c r="Z1235" s="40">
        <f>IF(AND(B1235&gt;=in_marketplace_from,B1235&lt;in_marketplace_from+in_card_months),in_card_share/in_card_months*F1235*I1235,IF(AND(B1235&gt;=in_marketplace_from+in_card_months,B1235&lt;in_marketplace_from+2*in_card_months),in_card_share*d_card_rem/in_card_months*F1235*MIN(in_takeup_cap,(1+in_takeup_growth)^(D1235-1))*MIN(in_takeup_cap,(1+in_approval_growth)^(D1235-1)),0))</f>
        <v/>
      </c>
      <c r="AA1235" s="14">
        <f>V1235*in_fee*(1-in_taken_back)</f>
        <v/>
      </c>
      <c r="AB1235" s="14">
        <f>SUMIFS(W1202:W1236,B1202:B1236,B1235-in_dpd_lag)*d_dpd</f>
        <v/>
      </c>
      <c r="AC1235" s="14">
        <f>SUMIFS(W1202:W1236,B1202:B1236,B1235-in_rec_lag)*d_rec</f>
        <v/>
      </c>
      <c r="AD1235" s="14">
        <f>Z1235*in_card_fee</f>
        <v/>
      </c>
      <c r="AE1235" s="40">
        <f>AE1234*(1-IF(B1234&gt;=in_marketplace_from,d_hz_hlth_small*G1234,0))</f>
        <v/>
      </c>
      <c r="AF1235" s="46">
        <f>AE1235*IF(B1235&gt;=in_marketplace_from,d_hz_hlth_small*G1235,0)</f>
        <v/>
      </c>
      <c r="AG1235" s="14">
        <f>F1235*AF1235*in_hlth_small_ticket*in_hlth_small_comm*in_ins_partner_share+F1235*in_hlth_small_ticket*in_hlth_small_renew_comm*in_ins_partner_share*(in_hlth_small_renew^1*SUMIFS(AF1202:AF1236,B1202:B1236,B1235-12)+in_hlth_small_renew^2*SUMIFS(AF1202:AF1236,B1202:B1236,B1235-24)+in_hlth_small_renew^3*SUMIFS(AF1202:AF1236,B1202:B1236,B1235-36)+in_hlth_small_renew^4*SUMIFS(AF1202:AF1236,B1202:B1236,B1235-48))</f>
        <v/>
      </c>
      <c r="AH1235" s="40">
        <f>AH1234*(1-IF(B1234&gt;=in_marketplace_from,d_hz_hlth_family*G1234,0))</f>
        <v/>
      </c>
      <c r="AI1235" s="46">
        <f>AH1235*IF(B1235&gt;=in_marketplace_from,d_hz_hlth_family*G1235,0)</f>
        <v/>
      </c>
      <c r="AJ1235" s="14">
        <f>F1235*AI1235*in_hlth_family_ticket*in_hlth_family_comm*in_ins_partner_share+F1235*in_hlth_family_ticket*in_hlth_family_renew_comm*in_ins_partner_share*(in_hlth_family_renew^1*SUMIFS(AI1202:AI1236,B1202:B1236,B1235-12)+in_hlth_family_renew^2*SUMIFS(AI1202:AI1236,B1202:B1236,B1235-24)+in_hlth_family_renew^3*SUMIFS(AI1202:AI1236,B1202:B1236,B1235-36)+in_hlth_family_renew^4*SUMIFS(AI1202:AI1236,B1202:B1236,B1235-48))</f>
        <v/>
      </c>
      <c r="AK1235" s="40">
        <f>AK1234*(1-IF(B1234&gt;=in_marketplace_from,d_hz_life_term*G1234,0))</f>
        <v/>
      </c>
      <c r="AL1235" s="46">
        <f>AK1235*IF(B1235&gt;=in_marketplace_from,d_hz_life_term*G1235,0)</f>
        <v/>
      </c>
      <c r="AM1235" s="14">
        <f>F1235*AL1235*in_life_term_ticket*in_life_term_comm*in_ins_partner_share+F1235*in_life_term_ticket*in_life_term_renew_comm*in_ins_partner_share*(in_life_term_renew^1*SUMIFS(AL1202:AL1236,B1202:B1236,B1235-12)+in_life_term_renew^2*SUMIFS(AL1202:AL1236,B1202:B1236,B1235-24)+in_life_term_renew^3*SUMIFS(AL1202:AL1236,B1202:B1236,B1235-36)+in_life_term_renew^4*SUMIFS(AL1202:AL1236,B1202:B1236,B1235-48))</f>
        <v/>
      </c>
      <c r="AN1235" s="40">
        <f>AN1234*(1-IF(B1234&gt;=in_marketplace_from,d_hz_accident*G1234,0))</f>
        <v/>
      </c>
      <c r="AO1235" s="46">
        <f>AN1235*IF(B1235&gt;=in_marketplace_from,d_hz_accident*G1235,0)</f>
        <v/>
      </c>
      <c r="AP1235" s="14">
        <f>F1235*AO1235*in_accident_ticket*in_accident_comm*in_ins_partner_share+F1235*in_accident_ticket*in_accident_renew_comm*in_ins_partner_share*(in_accident_renew^1*SUMIFS(AO1202:AO1236,B1202:B1236,B1235-12)+in_accident_renew^2*SUMIFS(AO1202:AO1236,B1202:B1236,B1235-24)+in_accident_renew^3*SUMIFS(AO1202:AO1236,B1202:B1236,B1235-36)+in_accident_renew^4*SUMIFS(AO1202:AO1236,B1202:B1236,B1235-48))</f>
        <v/>
      </c>
      <c r="AQ1235" s="40">
        <f>AQ1234*(1-IF(B1234&gt;=in_marketplace_from,d_hz_two_wheeler*G1234,0))</f>
        <v/>
      </c>
      <c r="AR1235" s="46">
        <f>AQ1235*IF(B1235&gt;=in_marketplace_from,d_hz_two_wheeler*G1235,0)</f>
        <v/>
      </c>
      <c r="AS1235" s="14">
        <f>F1235*AR1235*in_two_wheeler_ticket*in_two_wheeler_comm*in_ins_partner_share+F1235*in_two_wheeler_ticket*in_two_wheeler_comm*in_ins_partner_share*(in_two_wheeler_renew^1*SUMIFS(AR1202:AR1236,B1202:B1236,B1235-12)+in_two_wheeler_renew^2*SUMIFS(AR1202:AR1236,B1202:B1236,B1235-24)+in_two_wheeler_renew^3*SUMIFS(AR1202:AR1236,B1202:B1236,B1235-36)+in_two_wheeler_renew^4*SUMIFS(AR1202:AR1236,B1202:B1236,B1235-48))</f>
        <v/>
      </c>
      <c r="AT1235" s="40">
        <f>AT1234*(1-IF(B1234&gt;=in_marketplace_from,d_hz_device*G1234,0))</f>
        <v/>
      </c>
      <c r="AU1235" s="14">
        <f>F1235*AT1235*IF(B1235&gt;=in_marketplace_from,d_hz_device*G1235,0)*in_device_ticket*in_device_comm*in_ins_partner_share</f>
        <v/>
      </c>
      <c r="AV1235" s="40">
        <f>AV1234*(1-IF(B1234&gt;=in_marketplace_from,d_hz_shop*G1234,0))</f>
        <v/>
      </c>
      <c r="AW1235" s="46">
        <f>AV1235*IF(B1235&gt;=in_marketplace_from,d_hz_shop*G1235,0)</f>
        <v/>
      </c>
      <c r="AX1235" s="14">
        <f>F1235*AW1235*in_shop_ticket*in_shop_comm*in_ins_partner_share+F1235*in_shop_ticket*in_shop_renew_comm*in_ins_partner_share*(in_shop_renew^1*SUMIFS(AW1202:AW1236,B1202:B1236,B1235-12)+in_shop_renew^2*SUMIFS(AW1202:AW1236,B1202:B1236,B1235-24)+in_shop_renew^3*SUMIFS(AW1202:AW1236,B1202:B1236,B1235-36)+in_shop_renew^4*SUMIFS(AW1202:AW1236,B1202:B1236,B1235-48))</f>
        <v/>
      </c>
      <c r="AY1235" s="40">
        <f>AY1234*(1-IF(B1234&gt;=in_marketplace_from,d_hz_sip*G1234,0))</f>
        <v/>
      </c>
      <c r="AZ1235" s="40">
        <f>AZ1234*d_rho_sip+AY1235*IF(B1235&gt;=in_marketplace_from,d_hz_sip*G1235,0)</f>
        <v/>
      </c>
      <c r="BA1235" s="40">
        <f>d_rho_sip*(BA1234+AZ1234)</f>
        <v/>
      </c>
      <c r="BB1235" s="14">
        <f>F1235*in_sip_ticket*(BA1235+0.5*AZ1235)*in_sip_comm/12</f>
        <v/>
      </c>
      <c r="BC1235" s="40">
        <f>BC1234*(1-IF(B1234&gt;=in_marketplace_from,d_hz_choti*G1234,0))</f>
        <v/>
      </c>
      <c r="BD1235" s="46">
        <f>BC1235*IF(B1235&gt;=in_marketplace_from,d_hz_choti*G1235,0)</f>
        <v/>
      </c>
      <c r="BE1235" s="14">
        <f>F1235*SUMIFS(BD1202:BD1236,B1202:B1236,B1235-in_choti_months)*in_choti_renew*in_choti_ticket</f>
        <v/>
      </c>
      <c r="BF1235" s="40">
        <f>BF1234*(1-IF(B1234&gt;=in_marketplace_from,d_hz_nps*G1234,0))</f>
        <v/>
      </c>
      <c r="BG1235" s="14">
        <f>F1235*BF1235*IF(B1235&gt;=in_marketplace_from,d_hz_nps*G1235,0)*in_nps_ticket*in_nps_comm</f>
        <v/>
      </c>
      <c r="BH1235" s="40">
        <f>BH1234*(1-IF(B1234&gt;=in_marketplace_from,d_hz_gold*G1234,0))</f>
        <v/>
      </c>
      <c r="BI1235" s="40">
        <f>BI1234*d_rho_gold+BH1235*IF(B1235&gt;=in_marketplace_from,d_hz_gold*G1235,0)</f>
        <v/>
      </c>
      <c r="BJ1235" s="14">
        <f>F1235*BI1235*in_gold_ticket*in_gold_comm</f>
        <v/>
      </c>
      <c r="BK1235" s="40">
        <f>BK1234*(1-IF(B1234&gt;=in_marketplace_from,d_hz_fd*G1234,0))</f>
        <v/>
      </c>
      <c r="BL1235" s="14">
        <f>F1235*BK1235*IF(B1235&gt;=in_marketplace_from,d_hz_fd*G1235,0)*in_fd_ticket*in_fd_comm</f>
        <v/>
      </c>
      <c r="BM1235" s="40">
        <f>BM1234*(1-IF(B1234&gt;=in_marketplace_from,d_hz_recharge*G1234,0))</f>
        <v/>
      </c>
      <c r="BN1235" s="40">
        <f>BN1234*d_rho_recharge+BM1235*IF(B1235&gt;=in_marketplace_from,d_hz_recharge*G1235,0)</f>
        <v/>
      </c>
      <c r="BO1235" s="14">
        <f>F1235*BN1235*in_recharge_ticket*in_recharge_comm/12</f>
        <v/>
      </c>
      <c r="BP1235" s="40">
        <f>BP1234*(1-IF(B1234&gt;=in_marketplace_from,d_hz_bills*G1234,0))</f>
        <v/>
      </c>
      <c r="BQ1235" s="40">
        <f>BQ1234*d_rho_bills+BP1235*IF(B1235&gt;=in_marketplace_from,d_hz_bills*G1235,0)</f>
        <v/>
      </c>
      <c r="BR1235" s="14">
        <f>F1235*BQ1235*in_bills_ticket*in_bills_comm/12</f>
        <v/>
      </c>
      <c r="BS1235" s="40">
        <f>BS1234*(1-IF(B1234&gt;=in_marketplace_from,d_hz_loan_gold*G1234,0))</f>
        <v/>
      </c>
      <c r="BT1235" s="14">
        <f>F1235*BS1235*IF(B1235&gt;=in_marketplace_from,d_hz_loan_gold*G1235,0)*in_loan_gold_ticket*in_loan_gold_comm</f>
        <v/>
      </c>
      <c r="BU1235" s="40">
        <f>BU1234*(1-IF(B1234&gt;=in_marketplace_from,d_hz_loan_cd*G1234,0))</f>
        <v/>
      </c>
      <c r="BV1235" s="14">
        <f>F1235*BU1235*IF(B1235&gt;=in_marketplace_from,d_hz_loan_cd*G1235,0)*in_loan_cd_ticket*in_loan_cd_comm</f>
        <v/>
      </c>
      <c r="BW1235" s="40">
        <f>BW1234*(1-IF(B1234&gt;=in_marketplace_from,d_hz_loan_vehicle*G1234,0))</f>
        <v/>
      </c>
      <c r="BX1235" s="14">
        <f>F1235*BW1235*IF(B1235&gt;=in_marketplace_from,d_hz_loan_vehicle*G1235,0)*in_loan_vehicle_ticket*in_loan_vehicle_comm</f>
        <v/>
      </c>
      <c r="BY1235" s="40">
        <f>BY1234*(1-IF(B1234&gt;=in_marketplace_from,d_hz_loan_home*G1234,0)*BZ1234)</f>
        <v/>
      </c>
      <c r="BZ1235" s="11">
        <f>MIN(in_approval_cap,in_loan_home_approval*INDEX('Age profile'!$O$2:$O$61,B1235)*(1+in_approval_growth)^(D1235-1))</f>
        <v/>
      </c>
      <c r="CA1235" s="14">
        <f>F1235*BY1235*IF(B1235&gt;=in_marketplace_from,d_hz_loan_home*G1235,0)*BZ1235*in_loan_home_ticket*in_loan_home_comm</f>
        <v/>
      </c>
      <c r="CB1235" s="40">
        <f>CB1234*(1-IF(B1234&gt;=in_marketplace_from,d_hz_loan_lap*G1234,0)*CC1234)</f>
        <v/>
      </c>
      <c r="CC1235" s="11">
        <f>MIN(in_approval_cap,in_loan_lap_approval*INDEX('Age profile'!$O$2:$O$61,B1235)*(1+in_approval_growth)^(D1235-1))</f>
        <v/>
      </c>
      <c r="CD1235" s="14">
        <f>F1235*CB1235*IF(B1235&gt;=in_marketplace_from,d_hz_loan_lap*G1235,0)*CC1235*in_loan_lap_ticket*in_loan_lap_comm</f>
        <v/>
      </c>
      <c r="CE1235" s="14">
        <f>AA1235+AB1235+AC1235+AD1235+AG1235+AJ1235+AM1235+AP1235+AS1235+AU1235+AX1235+BB1235+BE1235+BG1235+BJ1235+BL1235+BO1235+BR1235+BT1235+BV1235+BX1235+CA1235+CD1235</f>
        <v/>
      </c>
    </row>
    <row r="1236">
      <c r="A1236" s="39" t="n">
        <v>26</v>
      </c>
      <c r="B1236" s="39" t="n">
        <v>35</v>
      </c>
      <c r="C1236" s="39">
        <f>A1236+B1236-1</f>
        <v/>
      </c>
      <c r="D1236" s="39">
        <f>INT((C1236-1)/12)+1</f>
        <v/>
      </c>
      <c r="E1236" s="44">
        <f>INDEX(Monthly!$B$2:$B$61,A1236)</f>
        <v/>
      </c>
      <c r="F1236" s="44">
        <f>E1236*INDEX('Age profile'!$B$2:$B$61,B1236)</f>
        <v/>
      </c>
      <c r="G1236" s="45">
        <f>MIN(in_takeup_cap,INDEX('Age profile'!$N$2:$N$61,B1236)*(1+in_takeup_growth)^(D1236-1))</f>
        <v/>
      </c>
      <c r="H1236" s="11">
        <f>MIN(in_approval_cap,in_approved_first*INDEX('Age profile'!$O$2:$O$61,B1236)*(1+in_approval_growth)^(D1236-1))</f>
        <v/>
      </c>
      <c r="I1236" s="45">
        <f>G1236*MIN(in_takeup_cap,INDEX('Age profile'!$O$2:$O$61,B1236)*(1+in_approval_growth)^(D1236-1))</f>
        <v/>
      </c>
      <c r="J1236" s="40">
        <f>(J1235-L1235)*F1236/F1235</f>
        <v/>
      </c>
      <c r="K1236" s="40">
        <f>(K1235-M1235)*F1236/F1235+SUMIFS(O1202:O1235,B1202:B1235,B1236-1-d_T)*F1236</f>
        <v/>
      </c>
      <c r="L1236" s="40">
        <f>IF(B1236&gt;=in_marketplace_from,J1236*d_hz*G1236*in_eligible*H1236,0)</f>
        <v/>
      </c>
      <c r="M1236" s="40">
        <f>IF(B1236&gt;=in_marketplace_from,K1236*d_hz*G1236*in_eligible*in_approved_repeat,0)</f>
        <v/>
      </c>
      <c r="N1236" s="40">
        <f>L1236+M1236</f>
        <v/>
      </c>
      <c r="O1236" s="46">
        <f>N1236/F1236</f>
        <v/>
      </c>
      <c r="P1236" s="40">
        <f>F1236-J1236-K1236</f>
        <v/>
      </c>
      <c r="Q1236" s="40">
        <f>IF(B1236&gt;=in_marketplace_from,(J1236+K1236)*d_hz*G1236,0)</f>
        <v/>
      </c>
      <c r="R1236" s="40">
        <f>SUMIFS(N1202:N1236,B1202:B1236,"&gt;="&amp;(B1236-d_T),B1202:B1236,"&lt;="&amp;(B1236-1))</f>
        <v/>
      </c>
      <c r="S1236" s="46">
        <f>(1-d_u)*S1235+IF(d_T&gt;in_topup_lag,SUMIFS(O1202:O1236,B1202:B1236,B1236-in_topup_lag)-d_udrop*SUMIFS(O1202:O1236,B1202:B1236,B1236-d_T),0)</f>
        <v/>
      </c>
      <c r="T1236" s="40">
        <f>F1236*d_u*S1236</f>
        <v/>
      </c>
      <c r="U1236" s="9">
        <f>L1236*in_ticket+M1236*d_rep_ticket</f>
        <v/>
      </c>
      <c r="V1236" s="9">
        <f>U1236+T1236*d_topup_amt</f>
        <v/>
      </c>
      <c r="W1236" s="40">
        <f>N1236+T1236*d_topup_ratio</f>
        <v/>
      </c>
      <c r="X1236" s="40">
        <f>SUMIFS(W1202:W1236,B1202:B1236,B1236-in_dpd_lag)*d_cured</f>
        <v/>
      </c>
      <c r="Y1236" s="40">
        <f>SUMIFS(W1202:W1236,B1202:B1236,B1236-in_rec_lag)*d_recd</f>
        <v/>
      </c>
      <c r="Z1236" s="40">
        <f>IF(AND(B1236&gt;=in_marketplace_from,B1236&lt;in_marketplace_from+in_card_months),in_card_share/in_card_months*F1236*I1236,IF(AND(B1236&gt;=in_marketplace_from+in_card_months,B1236&lt;in_marketplace_from+2*in_card_months),in_card_share*d_card_rem/in_card_months*F1236*MIN(in_takeup_cap,(1+in_takeup_growth)^(D1236-1))*MIN(in_takeup_cap,(1+in_approval_growth)^(D1236-1)),0))</f>
        <v/>
      </c>
      <c r="AA1236" s="14">
        <f>V1236*in_fee*(1-in_taken_back)</f>
        <v/>
      </c>
      <c r="AB1236" s="14">
        <f>SUMIFS(W1202:W1236,B1202:B1236,B1236-in_dpd_lag)*d_dpd</f>
        <v/>
      </c>
      <c r="AC1236" s="14">
        <f>SUMIFS(W1202:W1236,B1202:B1236,B1236-in_rec_lag)*d_rec</f>
        <v/>
      </c>
      <c r="AD1236" s="14">
        <f>Z1236*in_card_fee</f>
        <v/>
      </c>
      <c r="AE1236" s="40">
        <f>AE1235*(1-IF(B1235&gt;=in_marketplace_from,d_hz_hlth_small*G1235,0))</f>
        <v/>
      </c>
      <c r="AF1236" s="46">
        <f>AE1236*IF(B1236&gt;=in_marketplace_from,d_hz_hlth_small*G1236,0)</f>
        <v/>
      </c>
      <c r="AG1236" s="14">
        <f>F1236*AF1236*in_hlth_small_ticket*in_hlth_small_comm*in_ins_partner_share+F1236*in_hlth_small_ticket*in_hlth_small_renew_comm*in_ins_partner_share*(in_hlth_small_renew^1*SUMIFS(AF1202:AF1236,B1202:B1236,B1236-12)+in_hlth_small_renew^2*SUMIFS(AF1202:AF1236,B1202:B1236,B1236-24)+in_hlth_small_renew^3*SUMIFS(AF1202:AF1236,B1202:B1236,B1236-36)+in_hlth_small_renew^4*SUMIFS(AF1202:AF1236,B1202:B1236,B1236-48))</f>
        <v/>
      </c>
      <c r="AH1236" s="40">
        <f>AH1235*(1-IF(B1235&gt;=in_marketplace_from,d_hz_hlth_family*G1235,0))</f>
        <v/>
      </c>
      <c r="AI1236" s="46">
        <f>AH1236*IF(B1236&gt;=in_marketplace_from,d_hz_hlth_family*G1236,0)</f>
        <v/>
      </c>
      <c r="AJ1236" s="14">
        <f>F1236*AI1236*in_hlth_family_ticket*in_hlth_family_comm*in_ins_partner_share+F1236*in_hlth_family_ticket*in_hlth_family_renew_comm*in_ins_partner_share*(in_hlth_family_renew^1*SUMIFS(AI1202:AI1236,B1202:B1236,B1236-12)+in_hlth_family_renew^2*SUMIFS(AI1202:AI1236,B1202:B1236,B1236-24)+in_hlth_family_renew^3*SUMIFS(AI1202:AI1236,B1202:B1236,B1236-36)+in_hlth_family_renew^4*SUMIFS(AI1202:AI1236,B1202:B1236,B1236-48))</f>
        <v/>
      </c>
      <c r="AK1236" s="40">
        <f>AK1235*(1-IF(B1235&gt;=in_marketplace_from,d_hz_life_term*G1235,0))</f>
        <v/>
      </c>
      <c r="AL1236" s="46">
        <f>AK1236*IF(B1236&gt;=in_marketplace_from,d_hz_life_term*G1236,0)</f>
        <v/>
      </c>
      <c r="AM1236" s="14">
        <f>F1236*AL1236*in_life_term_ticket*in_life_term_comm*in_ins_partner_share+F1236*in_life_term_ticket*in_life_term_renew_comm*in_ins_partner_share*(in_life_term_renew^1*SUMIFS(AL1202:AL1236,B1202:B1236,B1236-12)+in_life_term_renew^2*SUMIFS(AL1202:AL1236,B1202:B1236,B1236-24)+in_life_term_renew^3*SUMIFS(AL1202:AL1236,B1202:B1236,B1236-36)+in_life_term_renew^4*SUMIFS(AL1202:AL1236,B1202:B1236,B1236-48))</f>
        <v/>
      </c>
      <c r="AN1236" s="40">
        <f>AN1235*(1-IF(B1235&gt;=in_marketplace_from,d_hz_accident*G1235,0))</f>
        <v/>
      </c>
      <c r="AO1236" s="46">
        <f>AN1236*IF(B1236&gt;=in_marketplace_from,d_hz_accident*G1236,0)</f>
        <v/>
      </c>
      <c r="AP1236" s="14">
        <f>F1236*AO1236*in_accident_ticket*in_accident_comm*in_ins_partner_share+F1236*in_accident_ticket*in_accident_renew_comm*in_ins_partner_share*(in_accident_renew^1*SUMIFS(AO1202:AO1236,B1202:B1236,B1236-12)+in_accident_renew^2*SUMIFS(AO1202:AO1236,B1202:B1236,B1236-24)+in_accident_renew^3*SUMIFS(AO1202:AO1236,B1202:B1236,B1236-36)+in_accident_renew^4*SUMIFS(AO1202:AO1236,B1202:B1236,B1236-48))</f>
        <v/>
      </c>
      <c r="AQ1236" s="40">
        <f>AQ1235*(1-IF(B1235&gt;=in_marketplace_from,d_hz_two_wheeler*G1235,0))</f>
        <v/>
      </c>
      <c r="AR1236" s="46">
        <f>AQ1236*IF(B1236&gt;=in_marketplace_from,d_hz_two_wheeler*G1236,0)</f>
        <v/>
      </c>
      <c r="AS1236" s="14">
        <f>F1236*AR1236*in_two_wheeler_ticket*in_two_wheeler_comm*in_ins_partner_share+F1236*in_two_wheeler_ticket*in_two_wheeler_comm*in_ins_partner_share*(in_two_wheeler_renew^1*SUMIFS(AR1202:AR1236,B1202:B1236,B1236-12)+in_two_wheeler_renew^2*SUMIFS(AR1202:AR1236,B1202:B1236,B1236-24)+in_two_wheeler_renew^3*SUMIFS(AR1202:AR1236,B1202:B1236,B1236-36)+in_two_wheeler_renew^4*SUMIFS(AR1202:AR1236,B1202:B1236,B1236-48))</f>
        <v/>
      </c>
      <c r="AT1236" s="40">
        <f>AT1235*(1-IF(B1235&gt;=in_marketplace_from,d_hz_device*G1235,0))</f>
        <v/>
      </c>
      <c r="AU1236" s="14">
        <f>F1236*AT1236*IF(B1236&gt;=in_marketplace_from,d_hz_device*G1236,0)*in_device_ticket*in_device_comm*in_ins_partner_share</f>
        <v/>
      </c>
      <c r="AV1236" s="40">
        <f>AV1235*(1-IF(B1235&gt;=in_marketplace_from,d_hz_shop*G1235,0))</f>
        <v/>
      </c>
      <c r="AW1236" s="46">
        <f>AV1236*IF(B1236&gt;=in_marketplace_from,d_hz_shop*G1236,0)</f>
        <v/>
      </c>
      <c r="AX1236" s="14">
        <f>F1236*AW1236*in_shop_ticket*in_shop_comm*in_ins_partner_share+F1236*in_shop_ticket*in_shop_renew_comm*in_ins_partner_share*(in_shop_renew^1*SUMIFS(AW1202:AW1236,B1202:B1236,B1236-12)+in_shop_renew^2*SUMIFS(AW1202:AW1236,B1202:B1236,B1236-24)+in_shop_renew^3*SUMIFS(AW1202:AW1236,B1202:B1236,B1236-36)+in_shop_renew^4*SUMIFS(AW1202:AW1236,B1202:B1236,B1236-48))</f>
        <v/>
      </c>
      <c r="AY1236" s="40">
        <f>AY1235*(1-IF(B1235&gt;=in_marketplace_from,d_hz_sip*G1235,0))</f>
        <v/>
      </c>
      <c r="AZ1236" s="40">
        <f>AZ1235*d_rho_sip+AY1236*IF(B1236&gt;=in_marketplace_from,d_hz_sip*G1236,0)</f>
        <v/>
      </c>
      <c r="BA1236" s="40">
        <f>d_rho_sip*(BA1235+AZ1235)</f>
        <v/>
      </c>
      <c r="BB1236" s="14">
        <f>F1236*in_sip_ticket*(BA1236+0.5*AZ1236)*in_sip_comm/12</f>
        <v/>
      </c>
      <c r="BC1236" s="40">
        <f>BC1235*(1-IF(B1235&gt;=in_marketplace_from,d_hz_choti*G1235,0))</f>
        <v/>
      </c>
      <c r="BD1236" s="46">
        <f>BC1236*IF(B1236&gt;=in_marketplace_from,d_hz_choti*G1236,0)</f>
        <v/>
      </c>
      <c r="BE1236" s="14">
        <f>F1236*SUMIFS(BD1202:BD1236,B1202:B1236,B1236-in_choti_months)*in_choti_renew*in_choti_ticket</f>
        <v/>
      </c>
      <c r="BF1236" s="40">
        <f>BF1235*(1-IF(B1235&gt;=in_marketplace_from,d_hz_nps*G1235,0))</f>
        <v/>
      </c>
      <c r="BG1236" s="14">
        <f>F1236*BF1236*IF(B1236&gt;=in_marketplace_from,d_hz_nps*G1236,0)*in_nps_ticket*in_nps_comm</f>
        <v/>
      </c>
      <c r="BH1236" s="40">
        <f>BH1235*(1-IF(B1235&gt;=in_marketplace_from,d_hz_gold*G1235,0))</f>
        <v/>
      </c>
      <c r="BI1236" s="40">
        <f>BI1235*d_rho_gold+BH1236*IF(B1236&gt;=in_marketplace_from,d_hz_gold*G1236,0)</f>
        <v/>
      </c>
      <c r="BJ1236" s="14">
        <f>F1236*BI1236*in_gold_ticket*in_gold_comm</f>
        <v/>
      </c>
      <c r="BK1236" s="40">
        <f>BK1235*(1-IF(B1235&gt;=in_marketplace_from,d_hz_fd*G1235,0))</f>
        <v/>
      </c>
      <c r="BL1236" s="14">
        <f>F1236*BK1236*IF(B1236&gt;=in_marketplace_from,d_hz_fd*G1236,0)*in_fd_ticket*in_fd_comm</f>
        <v/>
      </c>
      <c r="BM1236" s="40">
        <f>BM1235*(1-IF(B1235&gt;=in_marketplace_from,d_hz_recharge*G1235,0))</f>
        <v/>
      </c>
      <c r="BN1236" s="40">
        <f>BN1235*d_rho_recharge+BM1236*IF(B1236&gt;=in_marketplace_from,d_hz_recharge*G1236,0)</f>
        <v/>
      </c>
      <c r="BO1236" s="14">
        <f>F1236*BN1236*in_recharge_ticket*in_recharge_comm/12</f>
        <v/>
      </c>
      <c r="BP1236" s="40">
        <f>BP1235*(1-IF(B1235&gt;=in_marketplace_from,d_hz_bills*G1235,0))</f>
        <v/>
      </c>
      <c r="BQ1236" s="40">
        <f>BQ1235*d_rho_bills+BP1236*IF(B1236&gt;=in_marketplace_from,d_hz_bills*G1236,0)</f>
        <v/>
      </c>
      <c r="BR1236" s="14">
        <f>F1236*BQ1236*in_bills_ticket*in_bills_comm/12</f>
        <v/>
      </c>
      <c r="BS1236" s="40">
        <f>BS1235*(1-IF(B1235&gt;=in_marketplace_from,d_hz_loan_gold*G1235,0))</f>
        <v/>
      </c>
      <c r="BT1236" s="14">
        <f>F1236*BS1236*IF(B1236&gt;=in_marketplace_from,d_hz_loan_gold*G1236,0)*in_loan_gold_ticket*in_loan_gold_comm</f>
        <v/>
      </c>
      <c r="BU1236" s="40">
        <f>BU1235*(1-IF(B1235&gt;=in_marketplace_from,d_hz_loan_cd*G1235,0))</f>
        <v/>
      </c>
      <c r="BV1236" s="14">
        <f>F1236*BU1236*IF(B1236&gt;=in_marketplace_from,d_hz_loan_cd*G1236,0)*in_loan_cd_ticket*in_loan_cd_comm</f>
        <v/>
      </c>
      <c r="BW1236" s="40">
        <f>BW1235*(1-IF(B1235&gt;=in_marketplace_from,d_hz_loan_vehicle*G1235,0))</f>
        <v/>
      </c>
      <c r="BX1236" s="14">
        <f>F1236*BW1236*IF(B1236&gt;=in_marketplace_from,d_hz_loan_vehicle*G1236,0)*in_loan_vehicle_ticket*in_loan_vehicle_comm</f>
        <v/>
      </c>
      <c r="BY1236" s="40">
        <f>BY1235*(1-IF(B1235&gt;=in_marketplace_from,d_hz_loan_home*G1235,0)*BZ1235)</f>
        <v/>
      </c>
      <c r="BZ1236" s="11">
        <f>MIN(in_approval_cap,in_loan_home_approval*INDEX('Age profile'!$O$2:$O$61,B1236)*(1+in_approval_growth)^(D1236-1))</f>
        <v/>
      </c>
      <c r="CA1236" s="14">
        <f>F1236*BY1236*IF(B1236&gt;=in_marketplace_from,d_hz_loan_home*G1236,0)*BZ1236*in_loan_home_ticket*in_loan_home_comm</f>
        <v/>
      </c>
      <c r="CB1236" s="40">
        <f>CB1235*(1-IF(B1235&gt;=in_marketplace_from,d_hz_loan_lap*G1235,0)*CC1235)</f>
        <v/>
      </c>
      <c r="CC1236" s="11">
        <f>MIN(in_approval_cap,in_loan_lap_approval*INDEX('Age profile'!$O$2:$O$61,B1236)*(1+in_approval_growth)^(D1236-1))</f>
        <v/>
      </c>
      <c r="CD1236" s="14">
        <f>F1236*CB1236*IF(B1236&gt;=in_marketplace_from,d_hz_loan_lap*G1236,0)*CC1236*in_loan_lap_ticket*in_loan_lap_comm</f>
        <v/>
      </c>
      <c r="CE1236" s="14">
        <f>AA1236+AB1236+AC1236+AD1236+AG1236+AJ1236+AM1236+AP1236+AS1236+AU1236+AX1236+BB1236+BE1236+BG1236+BJ1236+BL1236+BO1236+BR1236+BT1236+BV1236+BX1236+CA1236+CD1236</f>
        <v/>
      </c>
    </row>
    <row r="1237">
      <c r="A1237" s="39" t="n">
        <v>27</v>
      </c>
      <c r="B1237" s="39" t="n">
        <v>1</v>
      </c>
      <c r="C1237" s="39">
        <f>A1237+B1237-1</f>
        <v/>
      </c>
      <c r="D1237" s="39">
        <f>INT((C1237-1)/12)+1</f>
        <v/>
      </c>
      <c r="E1237" s="44">
        <f>INDEX(Monthly!$B$2:$B$61,A1237)</f>
        <v/>
      </c>
      <c r="F1237" s="44">
        <f>E1237*INDEX('Age profile'!$B$2:$B$61,B1237)</f>
        <v/>
      </c>
      <c r="G1237" s="45">
        <f>MIN(in_takeup_cap,INDEX('Age profile'!$N$2:$N$61,B1237)*(1+in_takeup_growth)^(D1237-1))</f>
        <v/>
      </c>
      <c r="H1237" s="11">
        <f>MIN(in_approval_cap,in_approved_first*INDEX('Age profile'!$O$2:$O$61,B1237)*(1+in_approval_growth)^(D1237-1))</f>
        <v/>
      </c>
      <c r="I1237" s="45">
        <f>G1237*MIN(in_takeup_cap,INDEX('Age profile'!$O$2:$O$61,B1237)*(1+in_approval_growth)^(D1237-1))</f>
        <v/>
      </c>
      <c r="J1237" s="40">
        <f>E1237</f>
        <v/>
      </c>
      <c r="K1237" s="40" t="n">
        <v>0</v>
      </c>
      <c r="L1237" s="40">
        <f>IF(B1237&gt;=in_marketplace_from,J1237*d_hz*G1237*in_eligible*H1237,0)</f>
        <v/>
      </c>
      <c r="M1237" s="40">
        <f>IF(B1237&gt;=in_marketplace_from,K1237*d_hz*G1237*in_eligible*in_approved_repeat,0)</f>
        <v/>
      </c>
      <c r="N1237" s="40">
        <f>L1237+M1237</f>
        <v/>
      </c>
      <c r="O1237" s="46">
        <f>N1237/F1237</f>
        <v/>
      </c>
      <c r="P1237" s="40">
        <f>F1237-J1237-K1237</f>
        <v/>
      </c>
      <c r="Q1237" s="40">
        <f>IF(B1237&gt;=in_marketplace_from,(J1237+K1237)*d_hz*G1237,0)</f>
        <v/>
      </c>
      <c r="R1237" s="40">
        <f>SUMIFS(N1237:N1270,B1237:B1270,"&gt;="&amp;(B1237-d_T),B1237:B1270,"&lt;="&amp;(B1237-1))</f>
        <v/>
      </c>
      <c r="S1237" s="46" t="n">
        <v>0</v>
      </c>
      <c r="T1237" s="40">
        <f>F1237*d_u*S1237</f>
        <v/>
      </c>
      <c r="U1237" s="9">
        <f>L1237*in_ticket+M1237*d_rep_ticket</f>
        <v/>
      </c>
      <c r="V1237" s="9">
        <f>U1237+T1237*d_topup_amt</f>
        <v/>
      </c>
      <c r="W1237" s="40">
        <f>N1237+T1237*d_topup_ratio</f>
        <v/>
      </c>
      <c r="X1237" s="40">
        <f>SUMIFS(W1237:W1270,B1237:B1270,B1237-in_dpd_lag)*d_cured</f>
        <v/>
      </c>
      <c r="Y1237" s="40">
        <f>SUMIFS(W1237:W1270,B1237:B1270,B1237-in_rec_lag)*d_recd</f>
        <v/>
      </c>
      <c r="Z1237" s="40">
        <f>IF(AND(B1237&gt;=in_marketplace_from,B1237&lt;in_marketplace_from+in_card_months),in_card_share/in_card_months*F1237*I1237,IF(AND(B1237&gt;=in_marketplace_from+in_card_months,B1237&lt;in_marketplace_from+2*in_card_months),in_card_share*d_card_rem/in_card_months*F1237*MIN(in_takeup_cap,(1+in_takeup_growth)^(D1237-1))*MIN(in_takeup_cap,(1+in_approval_growth)^(D1237-1)),0))</f>
        <v/>
      </c>
      <c r="AA1237" s="14">
        <f>V1237*in_fee*(1-in_taken_back)</f>
        <v/>
      </c>
      <c r="AB1237" s="14">
        <f>SUMIFS(W1237:W1270,B1237:B1270,B1237-in_dpd_lag)*d_dpd</f>
        <v/>
      </c>
      <c r="AC1237" s="14">
        <f>SUMIFS(W1237:W1270,B1237:B1270,B1237-in_rec_lag)*d_rec</f>
        <v/>
      </c>
      <c r="AD1237" s="14">
        <f>Z1237*in_card_fee</f>
        <v/>
      </c>
      <c r="AE1237" s="40" t="n">
        <v>1</v>
      </c>
      <c r="AF1237" s="46">
        <f>AE1237*IF(B1237&gt;=in_marketplace_from,d_hz_hlth_small*G1237,0)</f>
        <v/>
      </c>
      <c r="AG1237" s="14">
        <f>F1237*AF1237*in_hlth_small_ticket*in_hlth_small_comm*in_ins_partner_share+F1237*in_hlth_small_ticket*in_hlth_small_renew_comm*in_ins_partner_share*(in_hlth_small_renew^1*SUMIFS(AF1237:AF1270,B1237:B1270,B1237-12)+in_hlth_small_renew^2*SUMIFS(AF1237:AF1270,B1237:B1270,B1237-24)+in_hlth_small_renew^3*SUMIFS(AF1237:AF1270,B1237:B1270,B1237-36)+in_hlth_small_renew^4*SUMIFS(AF1237:AF1270,B1237:B1270,B1237-48))</f>
        <v/>
      </c>
      <c r="AH1237" s="40" t="n">
        <v>1</v>
      </c>
      <c r="AI1237" s="46">
        <f>AH1237*IF(B1237&gt;=in_marketplace_from,d_hz_hlth_family*G1237,0)</f>
        <v/>
      </c>
      <c r="AJ1237" s="14">
        <f>F1237*AI1237*in_hlth_family_ticket*in_hlth_family_comm*in_ins_partner_share+F1237*in_hlth_family_ticket*in_hlth_family_renew_comm*in_ins_partner_share*(in_hlth_family_renew^1*SUMIFS(AI1237:AI1270,B1237:B1270,B1237-12)+in_hlth_family_renew^2*SUMIFS(AI1237:AI1270,B1237:B1270,B1237-24)+in_hlth_family_renew^3*SUMIFS(AI1237:AI1270,B1237:B1270,B1237-36)+in_hlth_family_renew^4*SUMIFS(AI1237:AI1270,B1237:B1270,B1237-48))</f>
        <v/>
      </c>
      <c r="AK1237" s="40" t="n">
        <v>1</v>
      </c>
      <c r="AL1237" s="46">
        <f>AK1237*IF(B1237&gt;=in_marketplace_from,d_hz_life_term*G1237,0)</f>
        <v/>
      </c>
      <c r="AM1237" s="14">
        <f>F1237*AL1237*in_life_term_ticket*in_life_term_comm*in_ins_partner_share+F1237*in_life_term_ticket*in_life_term_renew_comm*in_ins_partner_share*(in_life_term_renew^1*SUMIFS(AL1237:AL1270,B1237:B1270,B1237-12)+in_life_term_renew^2*SUMIFS(AL1237:AL1270,B1237:B1270,B1237-24)+in_life_term_renew^3*SUMIFS(AL1237:AL1270,B1237:B1270,B1237-36)+in_life_term_renew^4*SUMIFS(AL1237:AL1270,B1237:B1270,B1237-48))</f>
        <v/>
      </c>
      <c r="AN1237" s="40" t="n">
        <v>1</v>
      </c>
      <c r="AO1237" s="46">
        <f>AN1237*IF(B1237&gt;=in_marketplace_from,d_hz_accident*G1237,0)</f>
        <v/>
      </c>
      <c r="AP1237" s="14">
        <f>F1237*AO1237*in_accident_ticket*in_accident_comm*in_ins_partner_share+F1237*in_accident_ticket*in_accident_renew_comm*in_ins_partner_share*(in_accident_renew^1*SUMIFS(AO1237:AO1270,B1237:B1270,B1237-12)+in_accident_renew^2*SUMIFS(AO1237:AO1270,B1237:B1270,B1237-24)+in_accident_renew^3*SUMIFS(AO1237:AO1270,B1237:B1270,B1237-36)+in_accident_renew^4*SUMIFS(AO1237:AO1270,B1237:B1270,B1237-48))</f>
        <v/>
      </c>
      <c r="AQ1237" s="40" t="n">
        <v>1</v>
      </c>
      <c r="AR1237" s="46">
        <f>AQ1237*IF(B1237&gt;=in_marketplace_from,d_hz_two_wheeler*G1237,0)</f>
        <v/>
      </c>
      <c r="AS1237" s="14">
        <f>F1237*AR1237*in_two_wheeler_ticket*in_two_wheeler_comm*in_ins_partner_share+F1237*in_two_wheeler_ticket*in_two_wheeler_comm*in_ins_partner_share*(in_two_wheeler_renew^1*SUMIFS(AR1237:AR1270,B1237:B1270,B1237-12)+in_two_wheeler_renew^2*SUMIFS(AR1237:AR1270,B1237:B1270,B1237-24)+in_two_wheeler_renew^3*SUMIFS(AR1237:AR1270,B1237:B1270,B1237-36)+in_two_wheeler_renew^4*SUMIFS(AR1237:AR1270,B1237:B1270,B1237-48))</f>
        <v/>
      </c>
      <c r="AT1237" s="40" t="n">
        <v>1</v>
      </c>
      <c r="AU1237" s="14">
        <f>F1237*AT1237*IF(B1237&gt;=in_marketplace_from,d_hz_device*G1237,0)*in_device_ticket*in_device_comm*in_ins_partner_share</f>
        <v/>
      </c>
      <c r="AV1237" s="40" t="n">
        <v>1</v>
      </c>
      <c r="AW1237" s="46">
        <f>AV1237*IF(B1237&gt;=in_marketplace_from,d_hz_shop*G1237,0)</f>
        <v/>
      </c>
      <c r="AX1237" s="14">
        <f>F1237*AW1237*in_shop_ticket*in_shop_comm*in_ins_partner_share+F1237*in_shop_ticket*in_shop_renew_comm*in_ins_partner_share*(in_shop_renew^1*SUMIFS(AW1237:AW1270,B1237:B1270,B1237-12)+in_shop_renew^2*SUMIFS(AW1237:AW1270,B1237:B1270,B1237-24)+in_shop_renew^3*SUMIFS(AW1237:AW1270,B1237:B1270,B1237-36)+in_shop_renew^4*SUMIFS(AW1237:AW1270,B1237:B1270,B1237-48))</f>
        <v/>
      </c>
      <c r="AY1237" s="40" t="n">
        <v>1</v>
      </c>
      <c r="AZ1237" s="40">
        <f>AY1237*IF(B1237&gt;=in_marketplace_from,d_hz_sip*G1237,0)</f>
        <v/>
      </c>
      <c r="BA1237" s="40" t="n">
        <v>0</v>
      </c>
      <c r="BB1237" s="14">
        <f>F1237*in_sip_ticket*(BA1237+0.5*AZ1237)*in_sip_comm/12</f>
        <v/>
      </c>
      <c r="BC1237" s="40" t="n">
        <v>1</v>
      </c>
      <c r="BD1237" s="46">
        <f>BC1237*IF(B1237&gt;=in_marketplace_from,d_hz_choti*G1237,0)</f>
        <v/>
      </c>
      <c r="BE1237" s="14">
        <f>F1237*SUMIFS(BD1237:BD1270,B1237:B1270,B1237-in_choti_months)*in_choti_renew*in_choti_ticket</f>
        <v/>
      </c>
      <c r="BF1237" s="40" t="n">
        <v>1</v>
      </c>
      <c r="BG1237" s="14">
        <f>F1237*BF1237*IF(B1237&gt;=in_marketplace_from,d_hz_nps*G1237,0)*in_nps_ticket*in_nps_comm</f>
        <v/>
      </c>
      <c r="BH1237" s="40" t="n">
        <v>1</v>
      </c>
      <c r="BI1237" s="40">
        <f>BH1237*IF(B1237&gt;=in_marketplace_from,d_hz_gold*G1237,0)</f>
        <v/>
      </c>
      <c r="BJ1237" s="14">
        <f>F1237*BI1237*in_gold_ticket*in_gold_comm</f>
        <v/>
      </c>
      <c r="BK1237" s="40" t="n">
        <v>1</v>
      </c>
      <c r="BL1237" s="14">
        <f>F1237*BK1237*IF(B1237&gt;=in_marketplace_from,d_hz_fd*G1237,0)*in_fd_ticket*in_fd_comm</f>
        <v/>
      </c>
      <c r="BM1237" s="40" t="n">
        <v>1</v>
      </c>
      <c r="BN1237" s="40">
        <f>BM1237*IF(B1237&gt;=in_marketplace_from,d_hz_recharge*G1237,0)</f>
        <v/>
      </c>
      <c r="BO1237" s="14">
        <f>F1237*BN1237*in_recharge_ticket*in_recharge_comm/12</f>
        <v/>
      </c>
      <c r="BP1237" s="40" t="n">
        <v>1</v>
      </c>
      <c r="BQ1237" s="40">
        <f>BP1237*IF(B1237&gt;=in_marketplace_from,d_hz_bills*G1237,0)</f>
        <v/>
      </c>
      <c r="BR1237" s="14">
        <f>F1237*BQ1237*in_bills_ticket*in_bills_comm/12</f>
        <v/>
      </c>
      <c r="BS1237" s="40" t="n">
        <v>1</v>
      </c>
      <c r="BT1237" s="14">
        <f>F1237*BS1237*IF(B1237&gt;=in_marketplace_from,d_hz_loan_gold*G1237,0)*in_loan_gold_ticket*in_loan_gold_comm</f>
        <v/>
      </c>
      <c r="BU1237" s="40" t="n">
        <v>1</v>
      </c>
      <c r="BV1237" s="14">
        <f>F1237*BU1237*IF(B1237&gt;=in_marketplace_from,d_hz_loan_cd*G1237,0)*in_loan_cd_ticket*in_loan_cd_comm</f>
        <v/>
      </c>
      <c r="BW1237" s="40" t="n">
        <v>1</v>
      </c>
      <c r="BX1237" s="14">
        <f>F1237*BW1237*IF(B1237&gt;=in_marketplace_from,d_hz_loan_vehicle*G1237,0)*in_loan_vehicle_ticket*in_loan_vehicle_comm</f>
        <v/>
      </c>
      <c r="BY1237" s="40" t="n">
        <v>1</v>
      </c>
      <c r="BZ1237" s="11">
        <f>MIN(in_approval_cap,in_loan_home_approval*INDEX('Age profile'!$O$2:$O$61,B1237)*(1+in_approval_growth)^(D1237-1))</f>
        <v/>
      </c>
      <c r="CA1237" s="14">
        <f>F1237*BY1237*IF(B1237&gt;=in_marketplace_from,d_hz_loan_home*G1237,0)*BZ1237*in_loan_home_ticket*in_loan_home_comm</f>
        <v/>
      </c>
      <c r="CB1237" s="40" t="n">
        <v>1</v>
      </c>
      <c r="CC1237" s="11">
        <f>MIN(in_approval_cap,in_loan_lap_approval*INDEX('Age profile'!$O$2:$O$61,B1237)*(1+in_approval_growth)^(D1237-1))</f>
        <v/>
      </c>
      <c r="CD1237" s="14">
        <f>F1237*CB1237*IF(B1237&gt;=in_marketplace_from,d_hz_loan_lap*G1237,0)*CC1237*in_loan_lap_ticket*in_loan_lap_comm</f>
        <v/>
      </c>
      <c r="CE1237" s="14">
        <f>AA1237+AB1237+AC1237+AD1237+AG1237+AJ1237+AM1237+AP1237+AS1237+AU1237+AX1237+BB1237+BE1237+BG1237+BJ1237+BL1237+BO1237+BR1237+BT1237+BV1237+BX1237+CA1237+CD1237</f>
        <v/>
      </c>
    </row>
    <row r="1238">
      <c r="A1238" s="39" t="n">
        <v>27</v>
      </c>
      <c r="B1238" s="39" t="n">
        <v>2</v>
      </c>
      <c r="C1238" s="39">
        <f>A1238+B1238-1</f>
        <v/>
      </c>
      <c r="D1238" s="39">
        <f>INT((C1238-1)/12)+1</f>
        <v/>
      </c>
      <c r="E1238" s="44">
        <f>INDEX(Monthly!$B$2:$B$61,A1238)</f>
        <v/>
      </c>
      <c r="F1238" s="44">
        <f>E1238*INDEX('Age profile'!$B$2:$B$61,B1238)</f>
        <v/>
      </c>
      <c r="G1238" s="45">
        <f>MIN(in_takeup_cap,INDEX('Age profile'!$N$2:$N$61,B1238)*(1+in_takeup_growth)^(D1238-1))</f>
        <v/>
      </c>
      <c r="H1238" s="11">
        <f>MIN(in_approval_cap,in_approved_first*INDEX('Age profile'!$O$2:$O$61,B1238)*(1+in_approval_growth)^(D1238-1))</f>
        <v/>
      </c>
      <c r="I1238" s="45">
        <f>G1238*MIN(in_takeup_cap,INDEX('Age profile'!$O$2:$O$61,B1238)*(1+in_approval_growth)^(D1238-1))</f>
        <v/>
      </c>
      <c r="J1238" s="40">
        <f>(J1237-L1237)*F1238/F1237</f>
        <v/>
      </c>
      <c r="K1238" s="40">
        <f>(K1237-M1237)*F1238/F1237+SUMIFS(O1237:O1237,B1237:B1237,B1238-1-d_T)*F1238</f>
        <v/>
      </c>
      <c r="L1238" s="40">
        <f>IF(B1238&gt;=in_marketplace_from,J1238*d_hz*G1238*in_eligible*H1238,0)</f>
        <v/>
      </c>
      <c r="M1238" s="40">
        <f>IF(B1238&gt;=in_marketplace_from,K1238*d_hz*G1238*in_eligible*in_approved_repeat,0)</f>
        <v/>
      </c>
      <c r="N1238" s="40">
        <f>L1238+M1238</f>
        <v/>
      </c>
      <c r="O1238" s="46">
        <f>N1238/F1238</f>
        <v/>
      </c>
      <c r="P1238" s="40">
        <f>F1238-J1238-K1238</f>
        <v/>
      </c>
      <c r="Q1238" s="40">
        <f>IF(B1238&gt;=in_marketplace_from,(J1238+K1238)*d_hz*G1238,0)</f>
        <v/>
      </c>
      <c r="R1238" s="40">
        <f>SUMIFS(N1237:N1270,B1237:B1270,"&gt;="&amp;(B1238-d_T),B1237:B1270,"&lt;="&amp;(B1238-1))</f>
        <v/>
      </c>
      <c r="S1238" s="46">
        <f>(1-d_u)*S1237+IF(d_T&gt;in_topup_lag,SUMIFS(O1237:O1270,B1237:B1270,B1238-in_topup_lag)-d_udrop*SUMIFS(O1237:O1270,B1237:B1270,B1238-d_T),0)</f>
        <v/>
      </c>
      <c r="T1238" s="40">
        <f>F1238*d_u*S1238</f>
        <v/>
      </c>
      <c r="U1238" s="9">
        <f>L1238*in_ticket+M1238*d_rep_ticket</f>
        <v/>
      </c>
      <c r="V1238" s="9">
        <f>U1238+T1238*d_topup_amt</f>
        <v/>
      </c>
      <c r="W1238" s="40">
        <f>N1238+T1238*d_topup_ratio</f>
        <v/>
      </c>
      <c r="X1238" s="40">
        <f>SUMIFS(W1237:W1270,B1237:B1270,B1238-in_dpd_lag)*d_cured</f>
        <v/>
      </c>
      <c r="Y1238" s="40">
        <f>SUMIFS(W1237:W1270,B1237:B1270,B1238-in_rec_lag)*d_recd</f>
        <v/>
      </c>
      <c r="Z1238" s="40">
        <f>IF(AND(B1238&gt;=in_marketplace_from,B1238&lt;in_marketplace_from+in_card_months),in_card_share/in_card_months*F1238*I1238,IF(AND(B1238&gt;=in_marketplace_from+in_card_months,B1238&lt;in_marketplace_from+2*in_card_months),in_card_share*d_card_rem/in_card_months*F1238*MIN(in_takeup_cap,(1+in_takeup_growth)^(D1238-1))*MIN(in_takeup_cap,(1+in_approval_growth)^(D1238-1)),0))</f>
        <v/>
      </c>
      <c r="AA1238" s="14">
        <f>V1238*in_fee*(1-in_taken_back)</f>
        <v/>
      </c>
      <c r="AB1238" s="14">
        <f>SUMIFS(W1237:W1270,B1237:B1270,B1238-in_dpd_lag)*d_dpd</f>
        <v/>
      </c>
      <c r="AC1238" s="14">
        <f>SUMIFS(W1237:W1270,B1237:B1270,B1238-in_rec_lag)*d_rec</f>
        <v/>
      </c>
      <c r="AD1238" s="14">
        <f>Z1238*in_card_fee</f>
        <v/>
      </c>
      <c r="AE1238" s="40">
        <f>AE1237*(1-IF(B1237&gt;=in_marketplace_from,d_hz_hlth_small*G1237,0))</f>
        <v/>
      </c>
      <c r="AF1238" s="46">
        <f>AE1238*IF(B1238&gt;=in_marketplace_from,d_hz_hlth_small*G1238,0)</f>
        <v/>
      </c>
      <c r="AG1238" s="14">
        <f>F1238*AF1238*in_hlth_small_ticket*in_hlth_small_comm*in_ins_partner_share+F1238*in_hlth_small_ticket*in_hlth_small_renew_comm*in_ins_partner_share*(in_hlth_small_renew^1*SUMIFS(AF1237:AF1270,B1237:B1270,B1238-12)+in_hlth_small_renew^2*SUMIFS(AF1237:AF1270,B1237:B1270,B1238-24)+in_hlth_small_renew^3*SUMIFS(AF1237:AF1270,B1237:B1270,B1238-36)+in_hlth_small_renew^4*SUMIFS(AF1237:AF1270,B1237:B1270,B1238-48))</f>
        <v/>
      </c>
      <c r="AH1238" s="40">
        <f>AH1237*(1-IF(B1237&gt;=in_marketplace_from,d_hz_hlth_family*G1237,0))</f>
        <v/>
      </c>
      <c r="AI1238" s="46">
        <f>AH1238*IF(B1238&gt;=in_marketplace_from,d_hz_hlth_family*G1238,0)</f>
        <v/>
      </c>
      <c r="AJ1238" s="14">
        <f>F1238*AI1238*in_hlth_family_ticket*in_hlth_family_comm*in_ins_partner_share+F1238*in_hlth_family_ticket*in_hlth_family_renew_comm*in_ins_partner_share*(in_hlth_family_renew^1*SUMIFS(AI1237:AI1270,B1237:B1270,B1238-12)+in_hlth_family_renew^2*SUMIFS(AI1237:AI1270,B1237:B1270,B1238-24)+in_hlth_family_renew^3*SUMIFS(AI1237:AI1270,B1237:B1270,B1238-36)+in_hlth_family_renew^4*SUMIFS(AI1237:AI1270,B1237:B1270,B1238-48))</f>
        <v/>
      </c>
      <c r="AK1238" s="40">
        <f>AK1237*(1-IF(B1237&gt;=in_marketplace_from,d_hz_life_term*G1237,0))</f>
        <v/>
      </c>
      <c r="AL1238" s="46">
        <f>AK1238*IF(B1238&gt;=in_marketplace_from,d_hz_life_term*G1238,0)</f>
        <v/>
      </c>
      <c r="AM1238" s="14">
        <f>F1238*AL1238*in_life_term_ticket*in_life_term_comm*in_ins_partner_share+F1238*in_life_term_ticket*in_life_term_renew_comm*in_ins_partner_share*(in_life_term_renew^1*SUMIFS(AL1237:AL1270,B1237:B1270,B1238-12)+in_life_term_renew^2*SUMIFS(AL1237:AL1270,B1237:B1270,B1238-24)+in_life_term_renew^3*SUMIFS(AL1237:AL1270,B1237:B1270,B1238-36)+in_life_term_renew^4*SUMIFS(AL1237:AL1270,B1237:B1270,B1238-48))</f>
        <v/>
      </c>
      <c r="AN1238" s="40">
        <f>AN1237*(1-IF(B1237&gt;=in_marketplace_from,d_hz_accident*G1237,0))</f>
        <v/>
      </c>
      <c r="AO1238" s="46">
        <f>AN1238*IF(B1238&gt;=in_marketplace_from,d_hz_accident*G1238,0)</f>
        <v/>
      </c>
      <c r="AP1238" s="14">
        <f>F1238*AO1238*in_accident_ticket*in_accident_comm*in_ins_partner_share+F1238*in_accident_ticket*in_accident_renew_comm*in_ins_partner_share*(in_accident_renew^1*SUMIFS(AO1237:AO1270,B1237:B1270,B1238-12)+in_accident_renew^2*SUMIFS(AO1237:AO1270,B1237:B1270,B1238-24)+in_accident_renew^3*SUMIFS(AO1237:AO1270,B1237:B1270,B1238-36)+in_accident_renew^4*SUMIFS(AO1237:AO1270,B1237:B1270,B1238-48))</f>
        <v/>
      </c>
      <c r="AQ1238" s="40">
        <f>AQ1237*(1-IF(B1237&gt;=in_marketplace_from,d_hz_two_wheeler*G1237,0))</f>
        <v/>
      </c>
      <c r="AR1238" s="46">
        <f>AQ1238*IF(B1238&gt;=in_marketplace_from,d_hz_two_wheeler*G1238,0)</f>
        <v/>
      </c>
      <c r="AS1238" s="14">
        <f>F1238*AR1238*in_two_wheeler_ticket*in_two_wheeler_comm*in_ins_partner_share+F1238*in_two_wheeler_ticket*in_two_wheeler_comm*in_ins_partner_share*(in_two_wheeler_renew^1*SUMIFS(AR1237:AR1270,B1237:B1270,B1238-12)+in_two_wheeler_renew^2*SUMIFS(AR1237:AR1270,B1237:B1270,B1238-24)+in_two_wheeler_renew^3*SUMIFS(AR1237:AR1270,B1237:B1270,B1238-36)+in_two_wheeler_renew^4*SUMIFS(AR1237:AR1270,B1237:B1270,B1238-48))</f>
        <v/>
      </c>
      <c r="AT1238" s="40">
        <f>AT1237*(1-IF(B1237&gt;=in_marketplace_from,d_hz_device*G1237,0))</f>
        <v/>
      </c>
      <c r="AU1238" s="14">
        <f>F1238*AT1238*IF(B1238&gt;=in_marketplace_from,d_hz_device*G1238,0)*in_device_ticket*in_device_comm*in_ins_partner_share</f>
        <v/>
      </c>
      <c r="AV1238" s="40">
        <f>AV1237*(1-IF(B1237&gt;=in_marketplace_from,d_hz_shop*G1237,0))</f>
        <v/>
      </c>
      <c r="AW1238" s="46">
        <f>AV1238*IF(B1238&gt;=in_marketplace_from,d_hz_shop*G1238,0)</f>
        <v/>
      </c>
      <c r="AX1238" s="14">
        <f>F1238*AW1238*in_shop_ticket*in_shop_comm*in_ins_partner_share+F1238*in_shop_ticket*in_shop_renew_comm*in_ins_partner_share*(in_shop_renew^1*SUMIFS(AW1237:AW1270,B1237:B1270,B1238-12)+in_shop_renew^2*SUMIFS(AW1237:AW1270,B1237:B1270,B1238-24)+in_shop_renew^3*SUMIFS(AW1237:AW1270,B1237:B1270,B1238-36)+in_shop_renew^4*SUMIFS(AW1237:AW1270,B1237:B1270,B1238-48))</f>
        <v/>
      </c>
      <c r="AY1238" s="40">
        <f>AY1237*(1-IF(B1237&gt;=in_marketplace_from,d_hz_sip*G1237,0))</f>
        <v/>
      </c>
      <c r="AZ1238" s="40">
        <f>AZ1237*d_rho_sip+AY1238*IF(B1238&gt;=in_marketplace_from,d_hz_sip*G1238,0)</f>
        <v/>
      </c>
      <c r="BA1238" s="40">
        <f>d_rho_sip*(BA1237+AZ1237)</f>
        <v/>
      </c>
      <c r="BB1238" s="14">
        <f>F1238*in_sip_ticket*(BA1238+0.5*AZ1238)*in_sip_comm/12</f>
        <v/>
      </c>
      <c r="BC1238" s="40">
        <f>BC1237*(1-IF(B1237&gt;=in_marketplace_from,d_hz_choti*G1237,0))</f>
        <v/>
      </c>
      <c r="BD1238" s="46">
        <f>BC1238*IF(B1238&gt;=in_marketplace_from,d_hz_choti*G1238,0)</f>
        <v/>
      </c>
      <c r="BE1238" s="14">
        <f>F1238*SUMIFS(BD1237:BD1270,B1237:B1270,B1238-in_choti_months)*in_choti_renew*in_choti_ticket</f>
        <v/>
      </c>
      <c r="BF1238" s="40">
        <f>BF1237*(1-IF(B1237&gt;=in_marketplace_from,d_hz_nps*G1237,0))</f>
        <v/>
      </c>
      <c r="BG1238" s="14">
        <f>F1238*BF1238*IF(B1238&gt;=in_marketplace_from,d_hz_nps*G1238,0)*in_nps_ticket*in_nps_comm</f>
        <v/>
      </c>
      <c r="BH1238" s="40">
        <f>BH1237*(1-IF(B1237&gt;=in_marketplace_from,d_hz_gold*G1237,0))</f>
        <v/>
      </c>
      <c r="BI1238" s="40">
        <f>BI1237*d_rho_gold+BH1238*IF(B1238&gt;=in_marketplace_from,d_hz_gold*G1238,0)</f>
        <v/>
      </c>
      <c r="BJ1238" s="14">
        <f>F1238*BI1238*in_gold_ticket*in_gold_comm</f>
        <v/>
      </c>
      <c r="BK1238" s="40">
        <f>BK1237*(1-IF(B1237&gt;=in_marketplace_from,d_hz_fd*G1237,0))</f>
        <v/>
      </c>
      <c r="BL1238" s="14">
        <f>F1238*BK1238*IF(B1238&gt;=in_marketplace_from,d_hz_fd*G1238,0)*in_fd_ticket*in_fd_comm</f>
        <v/>
      </c>
      <c r="BM1238" s="40">
        <f>BM1237*(1-IF(B1237&gt;=in_marketplace_from,d_hz_recharge*G1237,0))</f>
        <v/>
      </c>
      <c r="BN1238" s="40">
        <f>BN1237*d_rho_recharge+BM1238*IF(B1238&gt;=in_marketplace_from,d_hz_recharge*G1238,0)</f>
        <v/>
      </c>
      <c r="BO1238" s="14">
        <f>F1238*BN1238*in_recharge_ticket*in_recharge_comm/12</f>
        <v/>
      </c>
      <c r="BP1238" s="40">
        <f>BP1237*(1-IF(B1237&gt;=in_marketplace_from,d_hz_bills*G1237,0))</f>
        <v/>
      </c>
      <c r="BQ1238" s="40">
        <f>BQ1237*d_rho_bills+BP1238*IF(B1238&gt;=in_marketplace_from,d_hz_bills*G1238,0)</f>
        <v/>
      </c>
      <c r="BR1238" s="14">
        <f>F1238*BQ1238*in_bills_ticket*in_bills_comm/12</f>
        <v/>
      </c>
      <c r="BS1238" s="40">
        <f>BS1237*(1-IF(B1237&gt;=in_marketplace_from,d_hz_loan_gold*G1237,0))</f>
        <v/>
      </c>
      <c r="BT1238" s="14">
        <f>F1238*BS1238*IF(B1238&gt;=in_marketplace_from,d_hz_loan_gold*G1238,0)*in_loan_gold_ticket*in_loan_gold_comm</f>
        <v/>
      </c>
      <c r="BU1238" s="40">
        <f>BU1237*(1-IF(B1237&gt;=in_marketplace_from,d_hz_loan_cd*G1237,0))</f>
        <v/>
      </c>
      <c r="BV1238" s="14">
        <f>F1238*BU1238*IF(B1238&gt;=in_marketplace_from,d_hz_loan_cd*G1238,0)*in_loan_cd_ticket*in_loan_cd_comm</f>
        <v/>
      </c>
      <c r="BW1238" s="40">
        <f>BW1237*(1-IF(B1237&gt;=in_marketplace_from,d_hz_loan_vehicle*G1237,0))</f>
        <v/>
      </c>
      <c r="BX1238" s="14">
        <f>F1238*BW1238*IF(B1238&gt;=in_marketplace_from,d_hz_loan_vehicle*G1238,0)*in_loan_vehicle_ticket*in_loan_vehicle_comm</f>
        <v/>
      </c>
      <c r="BY1238" s="40">
        <f>BY1237*(1-IF(B1237&gt;=in_marketplace_from,d_hz_loan_home*G1237,0)*BZ1237)</f>
        <v/>
      </c>
      <c r="BZ1238" s="11">
        <f>MIN(in_approval_cap,in_loan_home_approval*INDEX('Age profile'!$O$2:$O$61,B1238)*(1+in_approval_growth)^(D1238-1))</f>
        <v/>
      </c>
      <c r="CA1238" s="14">
        <f>F1238*BY1238*IF(B1238&gt;=in_marketplace_from,d_hz_loan_home*G1238,0)*BZ1238*in_loan_home_ticket*in_loan_home_comm</f>
        <v/>
      </c>
      <c r="CB1238" s="40">
        <f>CB1237*(1-IF(B1237&gt;=in_marketplace_from,d_hz_loan_lap*G1237,0)*CC1237)</f>
        <v/>
      </c>
      <c r="CC1238" s="11">
        <f>MIN(in_approval_cap,in_loan_lap_approval*INDEX('Age profile'!$O$2:$O$61,B1238)*(1+in_approval_growth)^(D1238-1))</f>
        <v/>
      </c>
      <c r="CD1238" s="14">
        <f>F1238*CB1238*IF(B1238&gt;=in_marketplace_from,d_hz_loan_lap*G1238,0)*CC1238*in_loan_lap_ticket*in_loan_lap_comm</f>
        <v/>
      </c>
      <c r="CE1238" s="14">
        <f>AA1238+AB1238+AC1238+AD1238+AG1238+AJ1238+AM1238+AP1238+AS1238+AU1238+AX1238+BB1238+BE1238+BG1238+BJ1238+BL1238+BO1238+BR1238+BT1238+BV1238+BX1238+CA1238+CD1238</f>
        <v/>
      </c>
    </row>
    <row r="1239">
      <c r="A1239" s="39" t="n">
        <v>27</v>
      </c>
      <c r="B1239" s="39" t="n">
        <v>3</v>
      </c>
      <c r="C1239" s="39">
        <f>A1239+B1239-1</f>
        <v/>
      </c>
      <c r="D1239" s="39">
        <f>INT((C1239-1)/12)+1</f>
        <v/>
      </c>
      <c r="E1239" s="44">
        <f>INDEX(Monthly!$B$2:$B$61,A1239)</f>
        <v/>
      </c>
      <c r="F1239" s="44">
        <f>E1239*INDEX('Age profile'!$B$2:$B$61,B1239)</f>
        <v/>
      </c>
      <c r="G1239" s="45">
        <f>MIN(in_takeup_cap,INDEX('Age profile'!$N$2:$N$61,B1239)*(1+in_takeup_growth)^(D1239-1))</f>
        <v/>
      </c>
      <c r="H1239" s="11">
        <f>MIN(in_approval_cap,in_approved_first*INDEX('Age profile'!$O$2:$O$61,B1239)*(1+in_approval_growth)^(D1239-1))</f>
        <v/>
      </c>
      <c r="I1239" s="45">
        <f>G1239*MIN(in_takeup_cap,INDEX('Age profile'!$O$2:$O$61,B1239)*(1+in_approval_growth)^(D1239-1))</f>
        <v/>
      </c>
      <c r="J1239" s="40">
        <f>(J1238-L1238)*F1239/F1238</f>
        <v/>
      </c>
      <c r="K1239" s="40">
        <f>(K1238-M1238)*F1239/F1238+SUMIFS(O1237:O1238,B1237:B1238,B1239-1-d_T)*F1239</f>
        <v/>
      </c>
      <c r="L1239" s="40">
        <f>IF(B1239&gt;=in_marketplace_from,J1239*d_hz*G1239*in_eligible*H1239,0)</f>
        <v/>
      </c>
      <c r="M1239" s="40">
        <f>IF(B1239&gt;=in_marketplace_from,K1239*d_hz*G1239*in_eligible*in_approved_repeat,0)</f>
        <v/>
      </c>
      <c r="N1239" s="40">
        <f>L1239+M1239</f>
        <v/>
      </c>
      <c r="O1239" s="46">
        <f>N1239/F1239</f>
        <v/>
      </c>
      <c r="P1239" s="40">
        <f>F1239-J1239-K1239</f>
        <v/>
      </c>
      <c r="Q1239" s="40">
        <f>IF(B1239&gt;=in_marketplace_from,(J1239+K1239)*d_hz*G1239,0)</f>
        <v/>
      </c>
      <c r="R1239" s="40">
        <f>SUMIFS(N1237:N1270,B1237:B1270,"&gt;="&amp;(B1239-d_T),B1237:B1270,"&lt;="&amp;(B1239-1))</f>
        <v/>
      </c>
      <c r="S1239" s="46">
        <f>(1-d_u)*S1238+IF(d_T&gt;in_topup_lag,SUMIFS(O1237:O1270,B1237:B1270,B1239-in_topup_lag)-d_udrop*SUMIFS(O1237:O1270,B1237:B1270,B1239-d_T),0)</f>
        <v/>
      </c>
      <c r="T1239" s="40">
        <f>F1239*d_u*S1239</f>
        <v/>
      </c>
      <c r="U1239" s="9">
        <f>L1239*in_ticket+M1239*d_rep_ticket</f>
        <v/>
      </c>
      <c r="V1239" s="9">
        <f>U1239+T1239*d_topup_amt</f>
        <v/>
      </c>
      <c r="W1239" s="40">
        <f>N1239+T1239*d_topup_ratio</f>
        <v/>
      </c>
      <c r="X1239" s="40">
        <f>SUMIFS(W1237:W1270,B1237:B1270,B1239-in_dpd_lag)*d_cured</f>
        <v/>
      </c>
      <c r="Y1239" s="40">
        <f>SUMIFS(W1237:W1270,B1237:B1270,B1239-in_rec_lag)*d_recd</f>
        <v/>
      </c>
      <c r="Z1239" s="40">
        <f>IF(AND(B1239&gt;=in_marketplace_from,B1239&lt;in_marketplace_from+in_card_months),in_card_share/in_card_months*F1239*I1239,IF(AND(B1239&gt;=in_marketplace_from+in_card_months,B1239&lt;in_marketplace_from+2*in_card_months),in_card_share*d_card_rem/in_card_months*F1239*MIN(in_takeup_cap,(1+in_takeup_growth)^(D1239-1))*MIN(in_takeup_cap,(1+in_approval_growth)^(D1239-1)),0))</f>
        <v/>
      </c>
      <c r="AA1239" s="14">
        <f>V1239*in_fee*(1-in_taken_back)</f>
        <v/>
      </c>
      <c r="AB1239" s="14">
        <f>SUMIFS(W1237:W1270,B1237:B1270,B1239-in_dpd_lag)*d_dpd</f>
        <v/>
      </c>
      <c r="AC1239" s="14">
        <f>SUMIFS(W1237:W1270,B1237:B1270,B1239-in_rec_lag)*d_rec</f>
        <v/>
      </c>
      <c r="AD1239" s="14">
        <f>Z1239*in_card_fee</f>
        <v/>
      </c>
      <c r="AE1239" s="40">
        <f>AE1238*(1-IF(B1238&gt;=in_marketplace_from,d_hz_hlth_small*G1238,0))</f>
        <v/>
      </c>
      <c r="AF1239" s="46">
        <f>AE1239*IF(B1239&gt;=in_marketplace_from,d_hz_hlth_small*G1239,0)</f>
        <v/>
      </c>
      <c r="AG1239" s="14">
        <f>F1239*AF1239*in_hlth_small_ticket*in_hlth_small_comm*in_ins_partner_share+F1239*in_hlth_small_ticket*in_hlth_small_renew_comm*in_ins_partner_share*(in_hlth_small_renew^1*SUMIFS(AF1237:AF1270,B1237:B1270,B1239-12)+in_hlth_small_renew^2*SUMIFS(AF1237:AF1270,B1237:B1270,B1239-24)+in_hlth_small_renew^3*SUMIFS(AF1237:AF1270,B1237:B1270,B1239-36)+in_hlth_small_renew^4*SUMIFS(AF1237:AF1270,B1237:B1270,B1239-48))</f>
        <v/>
      </c>
      <c r="AH1239" s="40">
        <f>AH1238*(1-IF(B1238&gt;=in_marketplace_from,d_hz_hlth_family*G1238,0))</f>
        <v/>
      </c>
      <c r="AI1239" s="46">
        <f>AH1239*IF(B1239&gt;=in_marketplace_from,d_hz_hlth_family*G1239,0)</f>
        <v/>
      </c>
      <c r="AJ1239" s="14">
        <f>F1239*AI1239*in_hlth_family_ticket*in_hlth_family_comm*in_ins_partner_share+F1239*in_hlth_family_ticket*in_hlth_family_renew_comm*in_ins_partner_share*(in_hlth_family_renew^1*SUMIFS(AI1237:AI1270,B1237:B1270,B1239-12)+in_hlth_family_renew^2*SUMIFS(AI1237:AI1270,B1237:B1270,B1239-24)+in_hlth_family_renew^3*SUMIFS(AI1237:AI1270,B1237:B1270,B1239-36)+in_hlth_family_renew^4*SUMIFS(AI1237:AI1270,B1237:B1270,B1239-48))</f>
        <v/>
      </c>
      <c r="AK1239" s="40">
        <f>AK1238*(1-IF(B1238&gt;=in_marketplace_from,d_hz_life_term*G1238,0))</f>
        <v/>
      </c>
      <c r="AL1239" s="46">
        <f>AK1239*IF(B1239&gt;=in_marketplace_from,d_hz_life_term*G1239,0)</f>
        <v/>
      </c>
      <c r="AM1239" s="14">
        <f>F1239*AL1239*in_life_term_ticket*in_life_term_comm*in_ins_partner_share+F1239*in_life_term_ticket*in_life_term_renew_comm*in_ins_partner_share*(in_life_term_renew^1*SUMIFS(AL1237:AL1270,B1237:B1270,B1239-12)+in_life_term_renew^2*SUMIFS(AL1237:AL1270,B1237:B1270,B1239-24)+in_life_term_renew^3*SUMIFS(AL1237:AL1270,B1237:B1270,B1239-36)+in_life_term_renew^4*SUMIFS(AL1237:AL1270,B1237:B1270,B1239-48))</f>
        <v/>
      </c>
      <c r="AN1239" s="40">
        <f>AN1238*(1-IF(B1238&gt;=in_marketplace_from,d_hz_accident*G1238,0))</f>
        <v/>
      </c>
      <c r="AO1239" s="46">
        <f>AN1239*IF(B1239&gt;=in_marketplace_from,d_hz_accident*G1239,0)</f>
        <v/>
      </c>
      <c r="AP1239" s="14">
        <f>F1239*AO1239*in_accident_ticket*in_accident_comm*in_ins_partner_share+F1239*in_accident_ticket*in_accident_renew_comm*in_ins_partner_share*(in_accident_renew^1*SUMIFS(AO1237:AO1270,B1237:B1270,B1239-12)+in_accident_renew^2*SUMIFS(AO1237:AO1270,B1237:B1270,B1239-24)+in_accident_renew^3*SUMIFS(AO1237:AO1270,B1237:B1270,B1239-36)+in_accident_renew^4*SUMIFS(AO1237:AO1270,B1237:B1270,B1239-48))</f>
        <v/>
      </c>
      <c r="AQ1239" s="40">
        <f>AQ1238*(1-IF(B1238&gt;=in_marketplace_from,d_hz_two_wheeler*G1238,0))</f>
        <v/>
      </c>
      <c r="AR1239" s="46">
        <f>AQ1239*IF(B1239&gt;=in_marketplace_from,d_hz_two_wheeler*G1239,0)</f>
        <v/>
      </c>
      <c r="AS1239" s="14">
        <f>F1239*AR1239*in_two_wheeler_ticket*in_two_wheeler_comm*in_ins_partner_share+F1239*in_two_wheeler_ticket*in_two_wheeler_comm*in_ins_partner_share*(in_two_wheeler_renew^1*SUMIFS(AR1237:AR1270,B1237:B1270,B1239-12)+in_two_wheeler_renew^2*SUMIFS(AR1237:AR1270,B1237:B1270,B1239-24)+in_two_wheeler_renew^3*SUMIFS(AR1237:AR1270,B1237:B1270,B1239-36)+in_two_wheeler_renew^4*SUMIFS(AR1237:AR1270,B1237:B1270,B1239-48))</f>
        <v/>
      </c>
      <c r="AT1239" s="40">
        <f>AT1238*(1-IF(B1238&gt;=in_marketplace_from,d_hz_device*G1238,0))</f>
        <v/>
      </c>
      <c r="AU1239" s="14">
        <f>F1239*AT1239*IF(B1239&gt;=in_marketplace_from,d_hz_device*G1239,0)*in_device_ticket*in_device_comm*in_ins_partner_share</f>
        <v/>
      </c>
      <c r="AV1239" s="40">
        <f>AV1238*(1-IF(B1238&gt;=in_marketplace_from,d_hz_shop*G1238,0))</f>
        <v/>
      </c>
      <c r="AW1239" s="46">
        <f>AV1239*IF(B1239&gt;=in_marketplace_from,d_hz_shop*G1239,0)</f>
        <v/>
      </c>
      <c r="AX1239" s="14">
        <f>F1239*AW1239*in_shop_ticket*in_shop_comm*in_ins_partner_share+F1239*in_shop_ticket*in_shop_renew_comm*in_ins_partner_share*(in_shop_renew^1*SUMIFS(AW1237:AW1270,B1237:B1270,B1239-12)+in_shop_renew^2*SUMIFS(AW1237:AW1270,B1237:B1270,B1239-24)+in_shop_renew^3*SUMIFS(AW1237:AW1270,B1237:B1270,B1239-36)+in_shop_renew^4*SUMIFS(AW1237:AW1270,B1237:B1270,B1239-48))</f>
        <v/>
      </c>
      <c r="AY1239" s="40">
        <f>AY1238*(1-IF(B1238&gt;=in_marketplace_from,d_hz_sip*G1238,0))</f>
        <v/>
      </c>
      <c r="AZ1239" s="40">
        <f>AZ1238*d_rho_sip+AY1239*IF(B1239&gt;=in_marketplace_from,d_hz_sip*G1239,0)</f>
        <v/>
      </c>
      <c r="BA1239" s="40">
        <f>d_rho_sip*(BA1238+AZ1238)</f>
        <v/>
      </c>
      <c r="BB1239" s="14">
        <f>F1239*in_sip_ticket*(BA1239+0.5*AZ1239)*in_sip_comm/12</f>
        <v/>
      </c>
      <c r="BC1239" s="40">
        <f>BC1238*(1-IF(B1238&gt;=in_marketplace_from,d_hz_choti*G1238,0))</f>
        <v/>
      </c>
      <c r="BD1239" s="46">
        <f>BC1239*IF(B1239&gt;=in_marketplace_from,d_hz_choti*G1239,0)</f>
        <v/>
      </c>
      <c r="BE1239" s="14">
        <f>F1239*SUMIFS(BD1237:BD1270,B1237:B1270,B1239-in_choti_months)*in_choti_renew*in_choti_ticket</f>
        <v/>
      </c>
      <c r="BF1239" s="40">
        <f>BF1238*(1-IF(B1238&gt;=in_marketplace_from,d_hz_nps*G1238,0))</f>
        <v/>
      </c>
      <c r="BG1239" s="14">
        <f>F1239*BF1239*IF(B1239&gt;=in_marketplace_from,d_hz_nps*G1239,0)*in_nps_ticket*in_nps_comm</f>
        <v/>
      </c>
      <c r="BH1239" s="40">
        <f>BH1238*(1-IF(B1238&gt;=in_marketplace_from,d_hz_gold*G1238,0))</f>
        <v/>
      </c>
      <c r="BI1239" s="40">
        <f>BI1238*d_rho_gold+BH1239*IF(B1239&gt;=in_marketplace_from,d_hz_gold*G1239,0)</f>
        <v/>
      </c>
      <c r="BJ1239" s="14">
        <f>F1239*BI1239*in_gold_ticket*in_gold_comm</f>
        <v/>
      </c>
      <c r="BK1239" s="40">
        <f>BK1238*(1-IF(B1238&gt;=in_marketplace_from,d_hz_fd*G1238,0))</f>
        <v/>
      </c>
      <c r="BL1239" s="14">
        <f>F1239*BK1239*IF(B1239&gt;=in_marketplace_from,d_hz_fd*G1239,0)*in_fd_ticket*in_fd_comm</f>
        <v/>
      </c>
      <c r="BM1239" s="40">
        <f>BM1238*(1-IF(B1238&gt;=in_marketplace_from,d_hz_recharge*G1238,0))</f>
        <v/>
      </c>
      <c r="BN1239" s="40">
        <f>BN1238*d_rho_recharge+BM1239*IF(B1239&gt;=in_marketplace_from,d_hz_recharge*G1239,0)</f>
        <v/>
      </c>
      <c r="BO1239" s="14">
        <f>F1239*BN1239*in_recharge_ticket*in_recharge_comm/12</f>
        <v/>
      </c>
      <c r="BP1239" s="40">
        <f>BP1238*(1-IF(B1238&gt;=in_marketplace_from,d_hz_bills*G1238,0))</f>
        <v/>
      </c>
      <c r="BQ1239" s="40">
        <f>BQ1238*d_rho_bills+BP1239*IF(B1239&gt;=in_marketplace_from,d_hz_bills*G1239,0)</f>
        <v/>
      </c>
      <c r="BR1239" s="14">
        <f>F1239*BQ1239*in_bills_ticket*in_bills_comm/12</f>
        <v/>
      </c>
      <c r="BS1239" s="40">
        <f>BS1238*(1-IF(B1238&gt;=in_marketplace_from,d_hz_loan_gold*G1238,0))</f>
        <v/>
      </c>
      <c r="BT1239" s="14">
        <f>F1239*BS1239*IF(B1239&gt;=in_marketplace_from,d_hz_loan_gold*G1239,0)*in_loan_gold_ticket*in_loan_gold_comm</f>
        <v/>
      </c>
      <c r="BU1239" s="40">
        <f>BU1238*(1-IF(B1238&gt;=in_marketplace_from,d_hz_loan_cd*G1238,0))</f>
        <v/>
      </c>
      <c r="BV1239" s="14">
        <f>F1239*BU1239*IF(B1239&gt;=in_marketplace_from,d_hz_loan_cd*G1239,0)*in_loan_cd_ticket*in_loan_cd_comm</f>
        <v/>
      </c>
      <c r="BW1239" s="40">
        <f>BW1238*(1-IF(B1238&gt;=in_marketplace_from,d_hz_loan_vehicle*G1238,0))</f>
        <v/>
      </c>
      <c r="BX1239" s="14">
        <f>F1239*BW1239*IF(B1239&gt;=in_marketplace_from,d_hz_loan_vehicle*G1239,0)*in_loan_vehicle_ticket*in_loan_vehicle_comm</f>
        <v/>
      </c>
      <c r="BY1239" s="40">
        <f>BY1238*(1-IF(B1238&gt;=in_marketplace_from,d_hz_loan_home*G1238,0)*BZ1238)</f>
        <v/>
      </c>
      <c r="BZ1239" s="11">
        <f>MIN(in_approval_cap,in_loan_home_approval*INDEX('Age profile'!$O$2:$O$61,B1239)*(1+in_approval_growth)^(D1239-1))</f>
        <v/>
      </c>
      <c r="CA1239" s="14">
        <f>F1239*BY1239*IF(B1239&gt;=in_marketplace_from,d_hz_loan_home*G1239,0)*BZ1239*in_loan_home_ticket*in_loan_home_comm</f>
        <v/>
      </c>
      <c r="CB1239" s="40">
        <f>CB1238*(1-IF(B1238&gt;=in_marketplace_from,d_hz_loan_lap*G1238,0)*CC1238)</f>
        <v/>
      </c>
      <c r="CC1239" s="11">
        <f>MIN(in_approval_cap,in_loan_lap_approval*INDEX('Age profile'!$O$2:$O$61,B1239)*(1+in_approval_growth)^(D1239-1))</f>
        <v/>
      </c>
      <c r="CD1239" s="14">
        <f>F1239*CB1239*IF(B1239&gt;=in_marketplace_from,d_hz_loan_lap*G1239,0)*CC1239*in_loan_lap_ticket*in_loan_lap_comm</f>
        <v/>
      </c>
      <c r="CE1239" s="14">
        <f>AA1239+AB1239+AC1239+AD1239+AG1239+AJ1239+AM1239+AP1239+AS1239+AU1239+AX1239+BB1239+BE1239+BG1239+BJ1239+BL1239+BO1239+BR1239+BT1239+BV1239+BX1239+CA1239+CD1239</f>
        <v/>
      </c>
    </row>
    <row r="1240">
      <c r="A1240" s="39" t="n">
        <v>27</v>
      </c>
      <c r="B1240" s="39" t="n">
        <v>4</v>
      </c>
      <c r="C1240" s="39">
        <f>A1240+B1240-1</f>
        <v/>
      </c>
      <c r="D1240" s="39">
        <f>INT((C1240-1)/12)+1</f>
        <v/>
      </c>
      <c r="E1240" s="44">
        <f>INDEX(Monthly!$B$2:$B$61,A1240)</f>
        <v/>
      </c>
      <c r="F1240" s="44">
        <f>E1240*INDEX('Age profile'!$B$2:$B$61,B1240)</f>
        <v/>
      </c>
      <c r="G1240" s="45">
        <f>MIN(in_takeup_cap,INDEX('Age profile'!$N$2:$N$61,B1240)*(1+in_takeup_growth)^(D1240-1))</f>
        <v/>
      </c>
      <c r="H1240" s="11">
        <f>MIN(in_approval_cap,in_approved_first*INDEX('Age profile'!$O$2:$O$61,B1240)*(1+in_approval_growth)^(D1240-1))</f>
        <v/>
      </c>
      <c r="I1240" s="45">
        <f>G1240*MIN(in_takeup_cap,INDEX('Age profile'!$O$2:$O$61,B1240)*(1+in_approval_growth)^(D1240-1))</f>
        <v/>
      </c>
      <c r="J1240" s="40">
        <f>(J1239-L1239)*F1240/F1239</f>
        <v/>
      </c>
      <c r="K1240" s="40">
        <f>(K1239-M1239)*F1240/F1239+SUMIFS(O1237:O1239,B1237:B1239,B1240-1-d_T)*F1240</f>
        <v/>
      </c>
      <c r="L1240" s="40">
        <f>IF(B1240&gt;=in_marketplace_from,J1240*d_hz*G1240*in_eligible*H1240,0)</f>
        <v/>
      </c>
      <c r="M1240" s="40">
        <f>IF(B1240&gt;=in_marketplace_from,K1240*d_hz*G1240*in_eligible*in_approved_repeat,0)</f>
        <v/>
      </c>
      <c r="N1240" s="40">
        <f>L1240+M1240</f>
        <v/>
      </c>
      <c r="O1240" s="46">
        <f>N1240/F1240</f>
        <v/>
      </c>
      <c r="P1240" s="40">
        <f>F1240-J1240-K1240</f>
        <v/>
      </c>
      <c r="Q1240" s="40">
        <f>IF(B1240&gt;=in_marketplace_from,(J1240+K1240)*d_hz*G1240,0)</f>
        <v/>
      </c>
      <c r="R1240" s="40">
        <f>SUMIFS(N1237:N1270,B1237:B1270,"&gt;="&amp;(B1240-d_T),B1237:B1270,"&lt;="&amp;(B1240-1))</f>
        <v/>
      </c>
      <c r="S1240" s="46">
        <f>(1-d_u)*S1239+IF(d_T&gt;in_topup_lag,SUMIFS(O1237:O1270,B1237:B1270,B1240-in_topup_lag)-d_udrop*SUMIFS(O1237:O1270,B1237:B1270,B1240-d_T),0)</f>
        <v/>
      </c>
      <c r="T1240" s="40">
        <f>F1240*d_u*S1240</f>
        <v/>
      </c>
      <c r="U1240" s="9">
        <f>L1240*in_ticket+M1240*d_rep_ticket</f>
        <v/>
      </c>
      <c r="V1240" s="9">
        <f>U1240+T1240*d_topup_amt</f>
        <v/>
      </c>
      <c r="W1240" s="40">
        <f>N1240+T1240*d_topup_ratio</f>
        <v/>
      </c>
      <c r="X1240" s="40">
        <f>SUMIFS(W1237:W1270,B1237:B1270,B1240-in_dpd_lag)*d_cured</f>
        <v/>
      </c>
      <c r="Y1240" s="40">
        <f>SUMIFS(W1237:W1270,B1237:B1270,B1240-in_rec_lag)*d_recd</f>
        <v/>
      </c>
      <c r="Z1240" s="40">
        <f>IF(AND(B1240&gt;=in_marketplace_from,B1240&lt;in_marketplace_from+in_card_months),in_card_share/in_card_months*F1240*I1240,IF(AND(B1240&gt;=in_marketplace_from+in_card_months,B1240&lt;in_marketplace_from+2*in_card_months),in_card_share*d_card_rem/in_card_months*F1240*MIN(in_takeup_cap,(1+in_takeup_growth)^(D1240-1))*MIN(in_takeup_cap,(1+in_approval_growth)^(D1240-1)),0))</f>
        <v/>
      </c>
      <c r="AA1240" s="14">
        <f>V1240*in_fee*(1-in_taken_back)</f>
        <v/>
      </c>
      <c r="AB1240" s="14">
        <f>SUMIFS(W1237:W1270,B1237:B1270,B1240-in_dpd_lag)*d_dpd</f>
        <v/>
      </c>
      <c r="AC1240" s="14">
        <f>SUMIFS(W1237:W1270,B1237:B1270,B1240-in_rec_lag)*d_rec</f>
        <v/>
      </c>
      <c r="AD1240" s="14">
        <f>Z1240*in_card_fee</f>
        <v/>
      </c>
      <c r="AE1240" s="40">
        <f>AE1239*(1-IF(B1239&gt;=in_marketplace_from,d_hz_hlth_small*G1239,0))</f>
        <v/>
      </c>
      <c r="AF1240" s="46">
        <f>AE1240*IF(B1240&gt;=in_marketplace_from,d_hz_hlth_small*G1240,0)</f>
        <v/>
      </c>
      <c r="AG1240" s="14">
        <f>F1240*AF1240*in_hlth_small_ticket*in_hlth_small_comm*in_ins_partner_share+F1240*in_hlth_small_ticket*in_hlth_small_renew_comm*in_ins_partner_share*(in_hlth_small_renew^1*SUMIFS(AF1237:AF1270,B1237:B1270,B1240-12)+in_hlth_small_renew^2*SUMIFS(AF1237:AF1270,B1237:B1270,B1240-24)+in_hlth_small_renew^3*SUMIFS(AF1237:AF1270,B1237:B1270,B1240-36)+in_hlth_small_renew^4*SUMIFS(AF1237:AF1270,B1237:B1270,B1240-48))</f>
        <v/>
      </c>
      <c r="AH1240" s="40">
        <f>AH1239*(1-IF(B1239&gt;=in_marketplace_from,d_hz_hlth_family*G1239,0))</f>
        <v/>
      </c>
      <c r="AI1240" s="46">
        <f>AH1240*IF(B1240&gt;=in_marketplace_from,d_hz_hlth_family*G1240,0)</f>
        <v/>
      </c>
      <c r="AJ1240" s="14">
        <f>F1240*AI1240*in_hlth_family_ticket*in_hlth_family_comm*in_ins_partner_share+F1240*in_hlth_family_ticket*in_hlth_family_renew_comm*in_ins_partner_share*(in_hlth_family_renew^1*SUMIFS(AI1237:AI1270,B1237:B1270,B1240-12)+in_hlth_family_renew^2*SUMIFS(AI1237:AI1270,B1237:B1270,B1240-24)+in_hlth_family_renew^3*SUMIFS(AI1237:AI1270,B1237:B1270,B1240-36)+in_hlth_family_renew^4*SUMIFS(AI1237:AI1270,B1237:B1270,B1240-48))</f>
        <v/>
      </c>
      <c r="AK1240" s="40">
        <f>AK1239*(1-IF(B1239&gt;=in_marketplace_from,d_hz_life_term*G1239,0))</f>
        <v/>
      </c>
      <c r="AL1240" s="46">
        <f>AK1240*IF(B1240&gt;=in_marketplace_from,d_hz_life_term*G1240,0)</f>
        <v/>
      </c>
      <c r="AM1240" s="14">
        <f>F1240*AL1240*in_life_term_ticket*in_life_term_comm*in_ins_partner_share+F1240*in_life_term_ticket*in_life_term_renew_comm*in_ins_partner_share*(in_life_term_renew^1*SUMIFS(AL1237:AL1270,B1237:B1270,B1240-12)+in_life_term_renew^2*SUMIFS(AL1237:AL1270,B1237:B1270,B1240-24)+in_life_term_renew^3*SUMIFS(AL1237:AL1270,B1237:B1270,B1240-36)+in_life_term_renew^4*SUMIFS(AL1237:AL1270,B1237:B1270,B1240-48))</f>
        <v/>
      </c>
      <c r="AN1240" s="40">
        <f>AN1239*(1-IF(B1239&gt;=in_marketplace_from,d_hz_accident*G1239,0))</f>
        <v/>
      </c>
      <c r="AO1240" s="46">
        <f>AN1240*IF(B1240&gt;=in_marketplace_from,d_hz_accident*G1240,0)</f>
        <v/>
      </c>
      <c r="AP1240" s="14">
        <f>F1240*AO1240*in_accident_ticket*in_accident_comm*in_ins_partner_share+F1240*in_accident_ticket*in_accident_renew_comm*in_ins_partner_share*(in_accident_renew^1*SUMIFS(AO1237:AO1270,B1237:B1270,B1240-12)+in_accident_renew^2*SUMIFS(AO1237:AO1270,B1237:B1270,B1240-24)+in_accident_renew^3*SUMIFS(AO1237:AO1270,B1237:B1270,B1240-36)+in_accident_renew^4*SUMIFS(AO1237:AO1270,B1237:B1270,B1240-48))</f>
        <v/>
      </c>
      <c r="AQ1240" s="40">
        <f>AQ1239*(1-IF(B1239&gt;=in_marketplace_from,d_hz_two_wheeler*G1239,0))</f>
        <v/>
      </c>
      <c r="AR1240" s="46">
        <f>AQ1240*IF(B1240&gt;=in_marketplace_from,d_hz_two_wheeler*G1240,0)</f>
        <v/>
      </c>
      <c r="AS1240" s="14">
        <f>F1240*AR1240*in_two_wheeler_ticket*in_two_wheeler_comm*in_ins_partner_share+F1240*in_two_wheeler_ticket*in_two_wheeler_comm*in_ins_partner_share*(in_two_wheeler_renew^1*SUMIFS(AR1237:AR1270,B1237:B1270,B1240-12)+in_two_wheeler_renew^2*SUMIFS(AR1237:AR1270,B1237:B1270,B1240-24)+in_two_wheeler_renew^3*SUMIFS(AR1237:AR1270,B1237:B1270,B1240-36)+in_two_wheeler_renew^4*SUMIFS(AR1237:AR1270,B1237:B1270,B1240-48))</f>
        <v/>
      </c>
      <c r="AT1240" s="40">
        <f>AT1239*(1-IF(B1239&gt;=in_marketplace_from,d_hz_device*G1239,0))</f>
        <v/>
      </c>
      <c r="AU1240" s="14">
        <f>F1240*AT1240*IF(B1240&gt;=in_marketplace_from,d_hz_device*G1240,0)*in_device_ticket*in_device_comm*in_ins_partner_share</f>
        <v/>
      </c>
      <c r="AV1240" s="40">
        <f>AV1239*(1-IF(B1239&gt;=in_marketplace_from,d_hz_shop*G1239,0))</f>
        <v/>
      </c>
      <c r="AW1240" s="46">
        <f>AV1240*IF(B1240&gt;=in_marketplace_from,d_hz_shop*G1240,0)</f>
        <v/>
      </c>
      <c r="AX1240" s="14">
        <f>F1240*AW1240*in_shop_ticket*in_shop_comm*in_ins_partner_share+F1240*in_shop_ticket*in_shop_renew_comm*in_ins_partner_share*(in_shop_renew^1*SUMIFS(AW1237:AW1270,B1237:B1270,B1240-12)+in_shop_renew^2*SUMIFS(AW1237:AW1270,B1237:B1270,B1240-24)+in_shop_renew^3*SUMIFS(AW1237:AW1270,B1237:B1270,B1240-36)+in_shop_renew^4*SUMIFS(AW1237:AW1270,B1237:B1270,B1240-48))</f>
        <v/>
      </c>
      <c r="AY1240" s="40">
        <f>AY1239*(1-IF(B1239&gt;=in_marketplace_from,d_hz_sip*G1239,0))</f>
        <v/>
      </c>
      <c r="AZ1240" s="40">
        <f>AZ1239*d_rho_sip+AY1240*IF(B1240&gt;=in_marketplace_from,d_hz_sip*G1240,0)</f>
        <v/>
      </c>
      <c r="BA1240" s="40">
        <f>d_rho_sip*(BA1239+AZ1239)</f>
        <v/>
      </c>
      <c r="BB1240" s="14">
        <f>F1240*in_sip_ticket*(BA1240+0.5*AZ1240)*in_sip_comm/12</f>
        <v/>
      </c>
      <c r="BC1240" s="40">
        <f>BC1239*(1-IF(B1239&gt;=in_marketplace_from,d_hz_choti*G1239,0))</f>
        <v/>
      </c>
      <c r="BD1240" s="46">
        <f>BC1240*IF(B1240&gt;=in_marketplace_from,d_hz_choti*G1240,0)</f>
        <v/>
      </c>
      <c r="BE1240" s="14">
        <f>F1240*SUMIFS(BD1237:BD1270,B1237:B1270,B1240-in_choti_months)*in_choti_renew*in_choti_ticket</f>
        <v/>
      </c>
      <c r="BF1240" s="40">
        <f>BF1239*(1-IF(B1239&gt;=in_marketplace_from,d_hz_nps*G1239,0))</f>
        <v/>
      </c>
      <c r="BG1240" s="14">
        <f>F1240*BF1240*IF(B1240&gt;=in_marketplace_from,d_hz_nps*G1240,0)*in_nps_ticket*in_nps_comm</f>
        <v/>
      </c>
      <c r="BH1240" s="40">
        <f>BH1239*(1-IF(B1239&gt;=in_marketplace_from,d_hz_gold*G1239,0))</f>
        <v/>
      </c>
      <c r="BI1240" s="40">
        <f>BI1239*d_rho_gold+BH1240*IF(B1240&gt;=in_marketplace_from,d_hz_gold*G1240,0)</f>
        <v/>
      </c>
      <c r="BJ1240" s="14">
        <f>F1240*BI1240*in_gold_ticket*in_gold_comm</f>
        <v/>
      </c>
      <c r="BK1240" s="40">
        <f>BK1239*(1-IF(B1239&gt;=in_marketplace_from,d_hz_fd*G1239,0))</f>
        <v/>
      </c>
      <c r="BL1240" s="14">
        <f>F1240*BK1240*IF(B1240&gt;=in_marketplace_from,d_hz_fd*G1240,0)*in_fd_ticket*in_fd_comm</f>
        <v/>
      </c>
      <c r="BM1240" s="40">
        <f>BM1239*(1-IF(B1239&gt;=in_marketplace_from,d_hz_recharge*G1239,0))</f>
        <v/>
      </c>
      <c r="BN1240" s="40">
        <f>BN1239*d_rho_recharge+BM1240*IF(B1240&gt;=in_marketplace_from,d_hz_recharge*G1240,0)</f>
        <v/>
      </c>
      <c r="BO1240" s="14">
        <f>F1240*BN1240*in_recharge_ticket*in_recharge_comm/12</f>
        <v/>
      </c>
      <c r="BP1240" s="40">
        <f>BP1239*(1-IF(B1239&gt;=in_marketplace_from,d_hz_bills*G1239,0))</f>
        <v/>
      </c>
      <c r="BQ1240" s="40">
        <f>BQ1239*d_rho_bills+BP1240*IF(B1240&gt;=in_marketplace_from,d_hz_bills*G1240,0)</f>
        <v/>
      </c>
      <c r="BR1240" s="14">
        <f>F1240*BQ1240*in_bills_ticket*in_bills_comm/12</f>
        <v/>
      </c>
      <c r="BS1240" s="40">
        <f>BS1239*(1-IF(B1239&gt;=in_marketplace_from,d_hz_loan_gold*G1239,0))</f>
        <v/>
      </c>
      <c r="BT1240" s="14">
        <f>F1240*BS1240*IF(B1240&gt;=in_marketplace_from,d_hz_loan_gold*G1240,0)*in_loan_gold_ticket*in_loan_gold_comm</f>
        <v/>
      </c>
      <c r="BU1240" s="40">
        <f>BU1239*(1-IF(B1239&gt;=in_marketplace_from,d_hz_loan_cd*G1239,0))</f>
        <v/>
      </c>
      <c r="BV1240" s="14">
        <f>F1240*BU1240*IF(B1240&gt;=in_marketplace_from,d_hz_loan_cd*G1240,0)*in_loan_cd_ticket*in_loan_cd_comm</f>
        <v/>
      </c>
      <c r="BW1240" s="40">
        <f>BW1239*(1-IF(B1239&gt;=in_marketplace_from,d_hz_loan_vehicle*G1239,0))</f>
        <v/>
      </c>
      <c r="BX1240" s="14">
        <f>F1240*BW1240*IF(B1240&gt;=in_marketplace_from,d_hz_loan_vehicle*G1240,0)*in_loan_vehicle_ticket*in_loan_vehicle_comm</f>
        <v/>
      </c>
      <c r="BY1240" s="40">
        <f>BY1239*(1-IF(B1239&gt;=in_marketplace_from,d_hz_loan_home*G1239,0)*BZ1239)</f>
        <v/>
      </c>
      <c r="BZ1240" s="11">
        <f>MIN(in_approval_cap,in_loan_home_approval*INDEX('Age profile'!$O$2:$O$61,B1240)*(1+in_approval_growth)^(D1240-1))</f>
        <v/>
      </c>
      <c r="CA1240" s="14">
        <f>F1240*BY1240*IF(B1240&gt;=in_marketplace_from,d_hz_loan_home*G1240,0)*BZ1240*in_loan_home_ticket*in_loan_home_comm</f>
        <v/>
      </c>
      <c r="CB1240" s="40">
        <f>CB1239*(1-IF(B1239&gt;=in_marketplace_from,d_hz_loan_lap*G1239,0)*CC1239)</f>
        <v/>
      </c>
      <c r="CC1240" s="11">
        <f>MIN(in_approval_cap,in_loan_lap_approval*INDEX('Age profile'!$O$2:$O$61,B1240)*(1+in_approval_growth)^(D1240-1))</f>
        <v/>
      </c>
      <c r="CD1240" s="14">
        <f>F1240*CB1240*IF(B1240&gt;=in_marketplace_from,d_hz_loan_lap*G1240,0)*CC1240*in_loan_lap_ticket*in_loan_lap_comm</f>
        <v/>
      </c>
      <c r="CE1240" s="14">
        <f>AA1240+AB1240+AC1240+AD1240+AG1240+AJ1240+AM1240+AP1240+AS1240+AU1240+AX1240+BB1240+BE1240+BG1240+BJ1240+BL1240+BO1240+BR1240+BT1240+BV1240+BX1240+CA1240+CD1240</f>
        <v/>
      </c>
    </row>
    <row r="1241">
      <c r="A1241" s="39" t="n">
        <v>27</v>
      </c>
      <c r="B1241" s="39" t="n">
        <v>5</v>
      </c>
      <c r="C1241" s="39">
        <f>A1241+B1241-1</f>
        <v/>
      </c>
      <c r="D1241" s="39">
        <f>INT((C1241-1)/12)+1</f>
        <v/>
      </c>
      <c r="E1241" s="44">
        <f>INDEX(Monthly!$B$2:$B$61,A1241)</f>
        <v/>
      </c>
      <c r="F1241" s="44">
        <f>E1241*INDEX('Age profile'!$B$2:$B$61,B1241)</f>
        <v/>
      </c>
      <c r="G1241" s="45">
        <f>MIN(in_takeup_cap,INDEX('Age profile'!$N$2:$N$61,B1241)*(1+in_takeup_growth)^(D1241-1))</f>
        <v/>
      </c>
      <c r="H1241" s="11">
        <f>MIN(in_approval_cap,in_approved_first*INDEX('Age profile'!$O$2:$O$61,B1241)*(1+in_approval_growth)^(D1241-1))</f>
        <v/>
      </c>
      <c r="I1241" s="45">
        <f>G1241*MIN(in_takeup_cap,INDEX('Age profile'!$O$2:$O$61,B1241)*(1+in_approval_growth)^(D1241-1))</f>
        <v/>
      </c>
      <c r="J1241" s="40">
        <f>(J1240-L1240)*F1241/F1240</f>
        <v/>
      </c>
      <c r="K1241" s="40">
        <f>(K1240-M1240)*F1241/F1240+SUMIFS(O1237:O1240,B1237:B1240,B1241-1-d_T)*F1241</f>
        <v/>
      </c>
      <c r="L1241" s="40">
        <f>IF(B1241&gt;=in_marketplace_from,J1241*d_hz*G1241*in_eligible*H1241,0)</f>
        <v/>
      </c>
      <c r="M1241" s="40">
        <f>IF(B1241&gt;=in_marketplace_from,K1241*d_hz*G1241*in_eligible*in_approved_repeat,0)</f>
        <v/>
      </c>
      <c r="N1241" s="40">
        <f>L1241+M1241</f>
        <v/>
      </c>
      <c r="O1241" s="46">
        <f>N1241/F1241</f>
        <v/>
      </c>
      <c r="P1241" s="40">
        <f>F1241-J1241-K1241</f>
        <v/>
      </c>
      <c r="Q1241" s="40">
        <f>IF(B1241&gt;=in_marketplace_from,(J1241+K1241)*d_hz*G1241,0)</f>
        <v/>
      </c>
      <c r="R1241" s="40">
        <f>SUMIFS(N1237:N1270,B1237:B1270,"&gt;="&amp;(B1241-d_T),B1237:B1270,"&lt;="&amp;(B1241-1))</f>
        <v/>
      </c>
      <c r="S1241" s="46">
        <f>(1-d_u)*S1240+IF(d_T&gt;in_topup_lag,SUMIFS(O1237:O1270,B1237:B1270,B1241-in_topup_lag)-d_udrop*SUMIFS(O1237:O1270,B1237:B1270,B1241-d_T),0)</f>
        <v/>
      </c>
      <c r="T1241" s="40">
        <f>F1241*d_u*S1241</f>
        <v/>
      </c>
      <c r="U1241" s="9">
        <f>L1241*in_ticket+M1241*d_rep_ticket</f>
        <v/>
      </c>
      <c r="V1241" s="9">
        <f>U1241+T1241*d_topup_amt</f>
        <v/>
      </c>
      <c r="W1241" s="40">
        <f>N1241+T1241*d_topup_ratio</f>
        <v/>
      </c>
      <c r="X1241" s="40">
        <f>SUMIFS(W1237:W1270,B1237:B1270,B1241-in_dpd_lag)*d_cured</f>
        <v/>
      </c>
      <c r="Y1241" s="40">
        <f>SUMIFS(W1237:W1270,B1237:B1270,B1241-in_rec_lag)*d_recd</f>
        <v/>
      </c>
      <c r="Z1241" s="40">
        <f>IF(AND(B1241&gt;=in_marketplace_from,B1241&lt;in_marketplace_from+in_card_months),in_card_share/in_card_months*F1241*I1241,IF(AND(B1241&gt;=in_marketplace_from+in_card_months,B1241&lt;in_marketplace_from+2*in_card_months),in_card_share*d_card_rem/in_card_months*F1241*MIN(in_takeup_cap,(1+in_takeup_growth)^(D1241-1))*MIN(in_takeup_cap,(1+in_approval_growth)^(D1241-1)),0))</f>
        <v/>
      </c>
      <c r="AA1241" s="14">
        <f>V1241*in_fee*(1-in_taken_back)</f>
        <v/>
      </c>
      <c r="AB1241" s="14">
        <f>SUMIFS(W1237:W1270,B1237:B1270,B1241-in_dpd_lag)*d_dpd</f>
        <v/>
      </c>
      <c r="AC1241" s="14">
        <f>SUMIFS(W1237:W1270,B1237:B1270,B1241-in_rec_lag)*d_rec</f>
        <v/>
      </c>
      <c r="AD1241" s="14">
        <f>Z1241*in_card_fee</f>
        <v/>
      </c>
      <c r="AE1241" s="40">
        <f>AE1240*(1-IF(B1240&gt;=in_marketplace_from,d_hz_hlth_small*G1240,0))</f>
        <v/>
      </c>
      <c r="AF1241" s="46">
        <f>AE1241*IF(B1241&gt;=in_marketplace_from,d_hz_hlth_small*G1241,0)</f>
        <v/>
      </c>
      <c r="AG1241" s="14">
        <f>F1241*AF1241*in_hlth_small_ticket*in_hlth_small_comm*in_ins_partner_share+F1241*in_hlth_small_ticket*in_hlth_small_renew_comm*in_ins_partner_share*(in_hlth_small_renew^1*SUMIFS(AF1237:AF1270,B1237:B1270,B1241-12)+in_hlth_small_renew^2*SUMIFS(AF1237:AF1270,B1237:B1270,B1241-24)+in_hlth_small_renew^3*SUMIFS(AF1237:AF1270,B1237:B1270,B1241-36)+in_hlth_small_renew^4*SUMIFS(AF1237:AF1270,B1237:B1270,B1241-48))</f>
        <v/>
      </c>
      <c r="AH1241" s="40">
        <f>AH1240*(1-IF(B1240&gt;=in_marketplace_from,d_hz_hlth_family*G1240,0))</f>
        <v/>
      </c>
      <c r="AI1241" s="46">
        <f>AH1241*IF(B1241&gt;=in_marketplace_from,d_hz_hlth_family*G1241,0)</f>
        <v/>
      </c>
      <c r="AJ1241" s="14">
        <f>F1241*AI1241*in_hlth_family_ticket*in_hlth_family_comm*in_ins_partner_share+F1241*in_hlth_family_ticket*in_hlth_family_renew_comm*in_ins_partner_share*(in_hlth_family_renew^1*SUMIFS(AI1237:AI1270,B1237:B1270,B1241-12)+in_hlth_family_renew^2*SUMIFS(AI1237:AI1270,B1237:B1270,B1241-24)+in_hlth_family_renew^3*SUMIFS(AI1237:AI1270,B1237:B1270,B1241-36)+in_hlth_family_renew^4*SUMIFS(AI1237:AI1270,B1237:B1270,B1241-48))</f>
        <v/>
      </c>
      <c r="AK1241" s="40">
        <f>AK1240*(1-IF(B1240&gt;=in_marketplace_from,d_hz_life_term*G1240,0))</f>
        <v/>
      </c>
      <c r="AL1241" s="46">
        <f>AK1241*IF(B1241&gt;=in_marketplace_from,d_hz_life_term*G1241,0)</f>
        <v/>
      </c>
      <c r="AM1241" s="14">
        <f>F1241*AL1241*in_life_term_ticket*in_life_term_comm*in_ins_partner_share+F1241*in_life_term_ticket*in_life_term_renew_comm*in_ins_partner_share*(in_life_term_renew^1*SUMIFS(AL1237:AL1270,B1237:B1270,B1241-12)+in_life_term_renew^2*SUMIFS(AL1237:AL1270,B1237:B1270,B1241-24)+in_life_term_renew^3*SUMIFS(AL1237:AL1270,B1237:B1270,B1241-36)+in_life_term_renew^4*SUMIFS(AL1237:AL1270,B1237:B1270,B1241-48))</f>
        <v/>
      </c>
      <c r="AN1241" s="40">
        <f>AN1240*(1-IF(B1240&gt;=in_marketplace_from,d_hz_accident*G1240,0))</f>
        <v/>
      </c>
      <c r="AO1241" s="46">
        <f>AN1241*IF(B1241&gt;=in_marketplace_from,d_hz_accident*G1241,0)</f>
        <v/>
      </c>
      <c r="AP1241" s="14">
        <f>F1241*AO1241*in_accident_ticket*in_accident_comm*in_ins_partner_share+F1241*in_accident_ticket*in_accident_renew_comm*in_ins_partner_share*(in_accident_renew^1*SUMIFS(AO1237:AO1270,B1237:B1270,B1241-12)+in_accident_renew^2*SUMIFS(AO1237:AO1270,B1237:B1270,B1241-24)+in_accident_renew^3*SUMIFS(AO1237:AO1270,B1237:B1270,B1241-36)+in_accident_renew^4*SUMIFS(AO1237:AO1270,B1237:B1270,B1241-48))</f>
        <v/>
      </c>
      <c r="AQ1241" s="40">
        <f>AQ1240*(1-IF(B1240&gt;=in_marketplace_from,d_hz_two_wheeler*G1240,0))</f>
        <v/>
      </c>
      <c r="AR1241" s="46">
        <f>AQ1241*IF(B1241&gt;=in_marketplace_from,d_hz_two_wheeler*G1241,0)</f>
        <v/>
      </c>
      <c r="AS1241" s="14">
        <f>F1241*AR1241*in_two_wheeler_ticket*in_two_wheeler_comm*in_ins_partner_share+F1241*in_two_wheeler_ticket*in_two_wheeler_comm*in_ins_partner_share*(in_two_wheeler_renew^1*SUMIFS(AR1237:AR1270,B1237:B1270,B1241-12)+in_two_wheeler_renew^2*SUMIFS(AR1237:AR1270,B1237:B1270,B1241-24)+in_two_wheeler_renew^3*SUMIFS(AR1237:AR1270,B1237:B1270,B1241-36)+in_two_wheeler_renew^4*SUMIFS(AR1237:AR1270,B1237:B1270,B1241-48))</f>
        <v/>
      </c>
      <c r="AT1241" s="40">
        <f>AT1240*(1-IF(B1240&gt;=in_marketplace_from,d_hz_device*G1240,0))</f>
        <v/>
      </c>
      <c r="AU1241" s="14">
        <f>F1241*AT1241*IF(B1241&gt;=in_marketplace_from,d_hz_device*G1241,0)*in_device_ticket*in_device_comm*in_ins_partner_share</f>
        <v/>
      </c>
      <c r="AV1241" s="40">
        <f>AV1240*(1-IF(B1240&gt;=in_marketplace_from,d_hz_shop*G1240,0))</f>
        <v/>
      </c>
      <c r="AW1241" s="46">
        <f>AV1241*IF(B1241&gt;=in_marketplace_from,d_hz_shop*G1241,0)</f>
        <v/>
      </c>
      <c r="AX1241" s="14">
        <f>F1241*AW1241*in_shop_ticket*in_shop_comm*in_ins_partner_share+F1241*in_shop_ticket*in_shop_renew_comm*in_ins_partner_share*(in_shop_renew^1*SUMIFS(AW1237:AW1270,B1237:B1270,B1241-12)+in_shop_renew^2*SUMIFS(AW1237:AW1270,B1237:B1270,B1241-24)+in_shop_renew^3*SUMIFS(AW1237:AW1270,B1237:B1270,B1241-36)+in_shop_renew^4*SUMIFS(AW1237:AW1270,B1237:B1270,B1241-48))</f>
        <v/>
      </c>
      <c r="AY1241" s="40">
        <f>AY1240*(1-IF(B1240&gt;=in_marketplace_from,d_hz_sip*G1240,0))</f>
        <v/>
      </c>
      <c r="AZ1241" s="40">
        <f>AZ1240*d_rho_sip+AY1241*IF(B1241&gt;=in_marketplace_from,d_hz_sip*G1241,0)</f>
        <v/>
      </c>
      <c r="BA1241" s="40">
        <f>d_rho_sip*(BA1240+AZ1240)</f>
        <v/>
      </c>
      <c r="BB1241" s="14">
        <f>F1241*in_sip_ticket*(BA1241+0.5*AZ1241)*in_sip_comm/12</f>
        <v/>
      </c>
      <c r="BC1241" s="40">
        <f>BC1240*(1-IF(B1240&gt;=in_marketplace_from,d_hz_choti*G1240,0))</f>
        <v/>
      </c>
      <c r="BD1241" s="46">
        <f>BC1241*IF(B1241&gt;=in_marketplace_from,d_hz_choti*G1241,0)</f>
        <v/>
      </c>
      <c r="BE1241" s="14">
        <f>F1241*SUMIFS(BD1237:BD1270,B1237:B1270,B1241-in_choti_months)*in_choti_renew*in_choti_ticket</f>
        <v/>
      </c>
      <c r="BF1241" s="40">
        <f>BF1240*(1-IF(B1240&gt;=in_marketplace_from,d_hz_nps*G1240,0))</f>
        <v/>
      </c>
      <c r="BG1241" s="14">
        <f>F1241*BF1241*IF(B1241&gt;=in_marketplace_from,d_hz_nps*G1241,0)*in_nps_ticket*in_nps_comm</f>
        <v/>
      </c>
      <c r="BH1241" s="40">
        <f>BH1240*(1-IF(B1240&gt;=in_marketplace_from,d_hz_gold*G1240,0))</f>
        <v/>
      </c>
      <c r="BI1241" s="40">
        <f>BI1240*d_rho_gold+BH1241*IF(B1241&gt;=in_marketplace_from,d_hz_gold*G1241,0)</f>
        <v/>
      </c>
      <c r="BJ1241" s="14">
        <f>F1241*BI1241*in_gold_ticket*in_gold_comm</f>
        <v/>
      </c>
      <c r="BK1241" s="40">
        <f>BK1240*(1-IF(B1240&gt;=in_marketplace_from,d_hz_fd*G1240,0))</f>
        <v/>
      </c>
      <c r="BL1241" s="14">
        <f>F1241*BK1241*IF(B1241&gt;=in_marketplace_from,d_hz_fd*G1241,0)*in_fd_ticket*in_fd_comm</f>
        <v/>
      </c>
      <c r="BM1241" s="40">
        <f>BM1240*(1-IF(B1240&gt;=in_marketplace_from,d_hz_recharge*G1240,0))</f>
        <v/>
      </c>
      <c r="BN1241" s="40">
        <f>BN1240*d_rho_recharge+BM1241*IF(B1241&gt;=in_marketplace_from,d_hz_recharge*G1241,0)</f>
        <v/>
      </c>
      <c r="BO1241" s="14">
        <f>F1241*BN1241*in_recharge_ticket*in_recharge_comm/12</f>
        <v/>
      </c>
      <c r="BP1241" s="40">
        <f>BP1240*(1-IF(B1240&gt;=in_marketplace_from,d_hz_bills*G1240,0))</f>
        <v/>
      </c>
      <c r="BQ1241" s="40">
        <f>BQ1240*d_rho_bills+BP1241*IF(B1241&gt;=in_marketplace_from,d_hz_bills*G1241,0)</f>
        <v/>
      </c>
      <c r="BR1241" s="14">
        <f>F1241*BQ1241*in_bills_ticket*in_bills_comm/12</f>
        <v/>
      </c>
      <c r="BS1241" s="40">
        <f>BS1240*(1-IF(B1240&gt;=in_marketplace_from,d_hz_loan_gold*G1240,0))</f>
        <v/>
      </c>
      <c r="BT1241" s="14">
        <f>F1241*BS1241*IF(B1241&gt;=in_marketplace_from,d_hz_loan_gold*G1241,0)*in_loan_gold_ticket*in_loan_gold_comm</f>
        <v/>
      </c>
      <c r="BU1241" s="40">
        <f>BU1240*(1-IF(B1240&gt;=in_marketplace_from,d_hz_loan_cd*G1240,0))</f>
        <v/>
      </c>
      <c r="BV1241" s="14">
        <f>F1241*BU1241*IF(B1241&gt;=in_marketplace_from,d_hz_loan_cd*G1241,0)*in_loan_cd_ticket*in_loan_cd_comm</f>
        <v/>
      </c>
      <c r="BW1241" s="40">
        <f>BW1240*(1-IF(B1240&gt;=in_marketplace_from,d_hz_loan_vehicle*G1240,0))</f>
        <v/>
      </c>
      <c r="BX1241" s="14">
        <f>F1241*BW1241*IF(B1241&gt;=in_marketplace_from,d_hz_loan_vehicle*G1241,0)*in_loan_vehicle_ticket*in_loan_vehicle_comm</f>
        <v/>
      </c>
      <c r="BY1241" s="40">
        <f>BY1240*(1-IF(B1240&gt;=in_marketplace_from,d_hz_loan_home*G1240,0)*BZ1240)</f>
        <v/>
      </c>
      <c r="BZ1241" s="11">
        <f>MIN(in_approval_cap,in_loan_home_approval*INDEX('Age profile'!$O$2:$O$61,B1241)*(1+in_approval_growth)^(D1241-1))</f>
        <v/>
      </c>
      <c r="CA1241" s="14">
        <f>F1241*BY1241*IF(B1241&gt;=in_marketplace_from,d_hz_loan_home*G1241,0)*BZ1241*in_loan_home_ticket*in_loan_home_comm</f>
        <v/>
      </c>
      <c r="CB1241" s="40">
        <f>CB1240*(1-IF(B1240&gt;=in_marketplace_from,d_hz_loan_lap*G1240,0)*CC1240)</f>
        <v/>
      </c>
      <c r="CC1241" s="11">
        <f>MIN(in_approval_cap,in_loan_lap_approval*INDEX('Age profile'!$O$2:$O$61,B1241)*(1+in_approval_growth)^(D1241-1))</f>
        <v/>
      </c>
      <c r="CD1241" s="14">
        <f>F1241*CB1241*IF(B1241&gt;=in_marketplace_from,d_hz_loan_lap*G1241,0)*CC1241*in_loan_lap_ticket*in_loan_lap_comm</f>
        <v/>
      </c>
      <c r="CE1241" s="14">
        <f>AA1241+AB1241+AC1241+AD1241+AG1241+AJ1241+AM1241+AP1241+AS1241+AU1241+AX1241+BB1241+BE1241+BG1241+BJ1241+BL1241+BO1241+BR1241+BT1241+BV1241+BX1241+CA1241+CD1241</f>
        <v/>
      </c>
    </row>
    <row r="1242">
      <c r="A1242" s="39" t="n">
        <v>27</v>
      </c>
      <c r="B1242" s="39" t="n">
        <v>6</v>
      </c>
      <c r="C1242" s="39">
        <f>A1242+B1242-1</f>
        <v/>
      </c>
      <c r="D1242" s="39">
        <f>INT((C1242-1)/12)+1</f>
        <v/>
      </c>
      <c r="E1242" s="44">
        <f>INDEX(Monthly!$B$2:$B$61,A1242)</f>
        <v/>
      </c>
      <c r="F1242" s="44">
        <f>E1242*INDEX('Age profile'!$B$2:$B$61,B1242)</f>
        <v/>
      </c>
      <c r="G1242" s="45">
        <f>MIN(in_takeup_cap,INDEX('Age profile'!$N$2:$N$61,B1242)*(1+in_takeup_growth)^(D1242-1))</f>
        <v/>
      </c>
      <c r="H1242" s="11">
        <f>MIN(in_approval_cap,in_approved_first*INDEX('Age profile'!$O$2:$O$61,B1242)*(1+in_approval_growth)^(D1242-1))</f>
        <v/>
      </c>
      <c r="I1242" s="45">
        <f>G1242*MIN(in_takeup_cap,INDEX('Age profile'!$O$2:$O$61,B1242)*(1+in_approval_growth)^(D1242-1))</f>
        <v/>
      </c>
      <c r="J1242" s="40">
        <f>(J1241-L1241)*F1242/F1241</f>
        <v/>
      </c>
      <c r="K1242" s="40">
        <f>(K1241-M1241)*F1242/F1241+SUMIFS(O1237:O1241,B1237:B1241,B1242-1-d_T)*F1242</f>
        <v/>
      </c>
      <c r="L1242" s="40">
        <f>IF(B1242&gt;=in_marketplace_from,J1242*d_hz*G1242*in_eligible*H1242,0)</f>
        <v/>
      </c>
      <c r="M1242" s="40">
        <f>IF(B1242&gt;=in_marketplace_from,K1242*d_hz*G1242*in_eligible*in_approved_repeat,0)</f>
        <v/>
      </c>
      <c r="N1242" s="40">
        <f>L1242+M1242</f>
        <v/>
      </c>
      <c r="O1242" s="46">
        <f>N1242/F1242</f>
        <v/>
      </c>
      <c r="P1242" s="40">
        <f>F1242-J1242-K1242</f>
        <v/>
      </c>
      <c r="Q1242" s="40">
        <f>IF(B1242&gt;=in_marketplace_from,(J1242+K1242)*d_hz*G1242,0)</f>
        <v/>
      </c>
      <c r="R1242" s="40">
        <f>SUMIFS(N1237:N1270,B1237:B1270,"&gt;="&amp;(B1242-d_T),B1237:B1270,"&lt;="&amp;(B1242-1))</f>
        <v/>
      </c>
      <c r="S1242" s="46">
        <f>(1-d_u)*S1241+IF(d_T&gt;in_topup_lag,SUMIFS(O1237:O1270,B1237:B1270,B1242-in_topup_lag)-d_udrop*SUMIFS(O1237:O1270,B1237:B1270,B1242-d_T),0)</f>
        <v/>
      </c>
      <c r="T1242" s="40">
        <f>F1242*d_u*S1242</f>
        <v/>
      </c>
      <c r="U1242" s="9">
        <f>L1242*in_ticket+M1242*d_rep_ticket</f>
        <v/>
      </c>
      <c r="V1242" s="9">
        <f>U1242+T1242*d_topup_amt</f>
        <v/>
      </c>
      <c r="W1242" s="40">
        <f>N1242+T1242*d_topup_ratio</f>
        <v/>
      </c>
      <c r="X1242" s="40">
        <f>SUMIFS(W1237:W1270,B1237:B1270,B1242-in_dpd_lag)*d_cured</f>
        <v/>
      </c>
      <c r="Y1242" s="40">
        <f>SUMIFS(W1237:W1270,B1237:B1270,B1242-in_rec_lag)*d_recd</f>
        <v/>
      </c>
      <c r="Z1242" s="40">
        <f>IF(AND(B1242&gt;=in_marketplace_from,B1242&lt;in_marketplace_from+in_card_months),in_card_share/in_card_months*F1242*I1242,IF(AND(B1242&gt;=in_marketplace_from+in_card_months,B1242&lt;in_marketplace_from+2*in_card_months),in_card_share*d_card_rem/in_card_months*F1242*MIN(in_takeup_cap,(1+in_takeup_growth)^(D1242-1))*MIN(in_takeup_cap,(1+in_approval_growth)^(D1242-1)),0))</f>
        <v/>
      </c>
      <c r="AA1242" s="14">
        <f>V1242*in_fee*(1-in_taken_back)</f>
        <v/>
      </c>
      <c r="AB1242" s="14">
        <f>SUMIFS(W1237:W1270,B1237:B1270,B1242-in_dpd_lag)*d_dpd</f>
        <v/>
      </c>
      <c r="AC1242" s="14">
        <f>SUMIFS(W1237:W1270,B1237:B1270,B1242-in_rec_lag)*d_rec</f>
        <v/>
      </c>
      <c r="AD1242" s="14">
        <f>Z1242*in_card_fee</f>
        <v/>
      </c>
      <c r="AE1242" s="40">
        <f>AE1241*(1-IF(B1241&gt;=in_marketplace_from,d_hz_hlth_small*G1241,0))</f>
        <v/>
      </c>
      <c r="AF1242" s="46">
        <f>AE1242*IF(B1242&gt;=in_marketplace_from,d_hz_hlth_small*G1242,0)</f>
        <v/>
      </c>
      <c r="AG1242" s="14">
        <f>F1242*AF1242*in_hlth_small_ticket*in_hlth_small_comm*in_ins_partner_share+F1242*in_hlth_small_ticket*in_hlth_small_renew_comm*in_ins_partner_share*(in_hlth_small_renew^1*SUMIFS(AF1237:AF1270,B1237:B1270,B1242-12)+in_hlth_small_renew^2*SUMIFS(AF1237:AF1270,B1237:B1270,B1242-24)+in_hlth_small_renew^3*SUMIFS(AF1237:AF1270,B1237:B1270,B1242-36)+in_hlth_small_renew^4*SUMIFS(AF1237:AF1270,B1237:B1270,B1242-48))</f>
        <v/>
      </c>
      <c r="AH1242" s="40">
        <f>AH1241*(1-IF(B1241&gt;=in_marketplace_from,d_hz_hlth_family*G1241,0))</f>
        <v/>
      </c>
      <c r="AI1242" s="46">
        <f>AH1242*IF(B1242&gt;=in_marketplace_from,d_hz_hlth_family*G1242,0)</f>
        <v/>
      </c>
      <c r="AJ1242" s="14">
        <f>F1242*AI1242*in_hlth_family_ticket*in_hlth_family_comm*in_ins_partner_share+F1242*in_hlth_family_ticket*in_hlth_family_renew_comm*in_ins_partner_share*(in_hlth_family_renew^1*SUMIFS(AI1237:AI1270,B1237:B1270,B1242-12)+in_hlth_family_renew^2*SUMIFS(AI1237:AI1270,B1237:B1270,B1242-24)+in_hlth_family_renew^3*SUMIFS(AI1237:AI1270,B1237:B1270,B1242-36)+in_hlth_family_renew^4*SUMIFS(AI1237:AI1270,B1237:B1270,B1242-48))</f>
        <v/>
      </c>
      <c r="AK1242" s="40">
        <f>AK1241*(1-IF(B1241&gt;=in_marketplace_from,d_hz_life_term*G1241,0))</f>
        <v/>
      </c>
      <c r="AL1242" s="46">
        <f>AK1242*IF(B1242&gt;=in_marketplace_from,d_hz_life_term*G1242,0)</f>
        <v/>
      </c>
      <c r="AM1242" s="14">
        <f>F1242*AL1242*in_life_term_ticket*in_life_term_comm*in_ins_partner_share+F1242*in_life_term_ticket*in_life_term_renew_comm*in_ins_partner_share*(in_life_term_renew^1*SUMIFS(AL1237:AL1270,B1237:B1270,B1242-12)+in_life_term_renew^2*SUMIFS(AL1237:AL1270,B1237:B1270,B1242-24)+in_life_term_renew^3*SUMIFS(AL1237:AL1270,B1237:B1270,B1242-36)+in_life_term_renew^4*SUMIFS(AL1237:AL1270,B1237:B1270,B1242-48))</f>
        <v/>
      </c>
      <c r="AN1242" s="40">
        <f>AN1241*(1-IF(B1241&gt;=in_marketplace_from,d_hz_accident*G1241,0))</f>
        <v/>
      </c>
      <c r="AO1242" s="46">
        <f>AN1242*IF(B1242&gt;=in_marketplace_from,d_hz_accident*G1242,0)</f>
        <v/>
      </c>
      <c r="AP1242" s="14">
        <f>F1242*AO1242*in_accident_ticket*in_accident_comm*in_ins_partner_share+F1242*in_accident_ticket*in_accident_renew_comm*in_ins_partner_share*(in_accident_renew^1*SUMIFS(AO1237:AO1270,B1237:B1270,B1242-12)+in_accident_renew^2*SUMIFS(AO1237:AO1270,B1237:B1270,B1242-24)+in_accident_renew^3*SUMIFS(AO1237:AO1270,B1237:B1270,B1242-36)+in_accident_renew^4*SUMIFS(AO1237:AO1270,B1237:B1270,B1242-48))</f>
        <v/>
      </c>
      <c r="AQ1242" s="40">
        <f>AQ1241*(1-IF(B1241&gt;=in_marketplace_from,d_hz_two_wheeler*G1241,0))</f>
        <v/>
      </c>
      <c r="AR1242" s="46">
        <f>AQ1242*IF(B1242&gt;=in_marketplace_from,d_hz_two_wheeler*G1242,0)</f>
        <v/>
      </c>
      <c r="AS1242" s="14">
        <f>F1242*AR1242*in_two_wheeler_ticket*in_two_wheeler_comm*in_ins_partner_share+F1242*in_two_wheeler_ticket*in_two_wheeler_comm*in_ins_partner_share*(in_two_wheeler_renew^1*SUMIFS(AR1237:AR1270,B1237:B1270,B1242-12)+in_two_wheeler_renew^2*SUMIFS(AR1237:AR1270,B1237:B1270,B1242-24)+in_two_wheeler_renew^3*SUMIFS(AR1237:AR1270,B1237:B1270,B1242-36)+in_two_wheeler_renew^4*SUMIFS(AR1237:AR1270,B1237:B1270,B1242-48))</f>
        <v/>
      </c>
      <c r="AT1242" s="40">
        <f>AT1241*(1-IF(B1241&gt;=in_marketplace_from,d_hz_device*G1241,0))</f>
        <v/>
      </c>
      <c r="AU1242" s="14">
        <f>F1242*AT1242*IF(B1242&gt;=in_marketplace_from,d_hz_device*G1242,0)*in_device_ticket*in_device_comm*in_ins_partner_share</f>
        <v/>
      </c>
      <c r="AV1242" s="40">
        <f>AV1241*(1-IF(B1241&gt;=in_marketplace_from,d_hz_shop*G1241,0))</f>
        <v/>
      </c>
      <c r="AW1242" s="46">
        <f>AV1242*IF(B1242&gt;=in_marketplace_from,d_hz_shop*G1242,0)</f>
        <v/>
      </c>
      <c r="AX1242" s="14">
        <f>F1242*AW1242*in_shop_ticket*in_shop_comm*in_ins_partner_share+F1242*in_shop_ticket*in_shop_renew_comm*in_ins_partner_share*(in_shop_renew^1*SUMIFS(AW1237:AW1270,B1237:B1270,B1242-12)+in_shop_renew^2*SUMIFS(AW1237:AW1270,B1237:B1270,B1242-24)+in_shop_renew^3*SUMIFS(AW1237:AW1270,B1237:B1270,B1242-36)+in_shop_renew^4*SUMIFS(AW1237:AW1270,B1237:B1270,B1242-48))</f>
        <v/>
      </c>
      <c r="AY1242" s="40">
        <f>AY1241*(1-IF(B1241&gt;=in_marketplace_from,d_hz_sip*G1241,0))</f>
        <v/>
      </c>
      <c r="AZ1242" s="40">
        <f>AZ1241*d_rho_sip+AY1242*IF(B1242&gt;=in_marketplace_from,d_hz_sip*G1242,0)</f>
        <v/>
      </c>
      <c r="BA1242" s="40">
        <f>d_rho_sip*(BA1241+AZ1241)</f>
        <v/>
      </c>
      <c r="BB1242" s="14">
        <f>F1242*in_sip_ticket*(BA1242+0.5*AZ1242)*in_sip_comm/12</f>
        <v/>
      </c>
      <c r="BC1242" s="40">
        <f>BC1241*(1-IF(B1241&gt;=in_marketplace_from,d_hz_choti*G1241,0))</f>
        <v/>
      </c>
      <c r="BD1242" s="46">
        <f>BC1242*IF(B1242&gt;=in_marketplace_from,d_hz_choti*G1242,0)</f>
        <v/>
      </c>
      <c r="BE1242" s="14">
        <f>F1242*SUMIFS(BD1237:BD1270,B1237:B1270,B1242-in_choti_months)*in_choti_renew*in_choti_ticket</f>
        <v/>
      </c>
      <c r="BF1242" s="40">
        <f>BF1241*(1-IF(B1241&gt;=in_marketplace_from,d_hz_nps*G1241,0))</f>
        <v/>
      </c>
      <c r="BG1242" s="14">
        <f>F1242*BF1242*IF(B1242&gt;=in_marketplace_from,d_hz_nps*G1242,0)*in_nps_ticket*in_nps_comm</f>
        <v/>
      </c>
      <c r="BH1242" s="40">
        <f>BH1241*(1-IF(B1241&gt;=in_marketplace_from,d_hz_gold*G1241,0))</f>
        <v/>
      </c>
      <c r="BI1242" s="40">
        <f>BI1241*d_rho_gold+BH1242*IF(B1242&gt;=in_marketplace_from,d_hz_gold*G1242,0)</f>
        <v/>
      </c>
      <c r="BJ1242" s="14">
        <f>F1242*BI1242*in_gold_ticket*in_gold_comm</f>
        <v/>
      </c>
      <c r="BK1242" s="40">
        <f>BK1241*(1-IF(B1241&gt;=in_marketplace_from,d_hz_fd*G1241,0))</f>
        <v/>
      </c>
      <c r="BL1242" s="14">
        <f>F1242*BK1242*IF(B1242&gt;=in_marketplace_from,d_hz_fd*G1242,0)*in_fd_ticket*in_fd_comm</f>
        <v/>
      </c>
      <c r="BM1242" s="40">
        <f>BM1241*(1-IF(B1241&gt;=in_marketplace_from,d_hz_recharge*G1241,0))</f>
        <v/>
      </c>
      <c r="BN1242" s="40">
        <f>BN1241*d_rho_recharge+BM1242*IF(B1242&gt;=in_marketplace_from,d_hz_recharge*G1242,0)</f>
        <v/>
      </c>
      <c r="BO1242" s="14">
        <f>F1242*BN1242*in_recharge_ticket*in_recharge_comm/12</f>
        <v/>
      </c>
      <c r="BP1242" s="40">
        <f>BP1241*(1-IF(B1241&gt;=in_marketplace_from,d_hz_bills*G1241,0))</f>
        <v/>
      </c>
      <c r="BQ1242" s="40">
        <f>BQ1241*d_rho_bills+BP1242*IF(B1242&gt;=in_marketplace_from,d_hz_bills*G1242,0)</f>
        <v/>
      </c>
      <c r="BR1242" s="14">
        <f>F1242*BQ1242*in_bills_ticket*in_bills_comm/12</f>
        <v/>
      </c>
      <c r="BS1242" s="40">
        <f>BS1241*(1-IF(B1241&gt;=in_marketplace_from,d_hz_loan_gold*G1241,0))</f>
        <v/>
      </c>
      <c r="BT1242" s="14">
        <f>F1242*BS1242*IF(B1242&gt;=in_marketplace_from,d_hz_loan_gold*G1242,0)*in_loan_gold_ticket*in_loan_gold_comm</f>
        <v/>
      </c>
      <c r="BU1242" s="40">
        <f>BU1241*(1-IF(B1241&gt;=in_marketplace_from,d_hz_loan_cd*G1241,0))</f>
        <v/>
      </c>
      <c r="BV1242" s="14">
        <f>F1242*BU1242*IF(B1242&gt;=in_marketplace_from,d_hz_loan_cd*G1242,0)*in_loan_cd_ticket*in_loan_cd_comm</f>
        <v/>
      </c>
      <c r="BW1242" s="40">
        <f>BW1241*(1-IF(B1241&gt;=in_marketplace_from,d_hz_loan_vehicle*G1241,0))</f>
        <v/>
      </c>
      <c r="BX1242" s="14">
        <f>F1242*BW1242*IF(B1242&gt;=in_marketplace_from,d_hz_loan_vehicle*G1242,0)*in_loan_vehicle_ticket*in_loan_vehicle_comm</f>
        <v/>
      </c>
      <c r="BY1242" s="40">
        <f>BY1241*(1-IF(B1241&gt;=in_marketplace_from,d_hz_loan_home*G1241,0)*BZ1241)</f>
        <v/>
      </c>
      <c r="BZ1242" s="11">
        <f>MIN(in_approval_cap,in_loan_home_approval*INDEX('Age profile'!$O$2:$O$61,B1242)*(1+in_approval_growth)^(D1242-1))</f>
        <v/>
      </c>
      <c r="CA1242" s="14">
        <f>F1242*BY1242*IF(B1242&gt;=in_marketplace_from,d_hz_loan_home*G1242,0)*BZ1242*in_loan_home_ticket*in_loan_home_comm</f>
        <v/>
      </c>
      <c r="CB1242" s="40">
        <f>CB1241*(1-IF(B1241&gt;=in_marketplace_from,d_hz_loan_lap*G1241,0)*CC1241)</f>
        <v/>
      </c>
      <c r="CC1242" s="11">
        <f>MIN(in_approval_cap,in_loan_lap_approval*INDEX('Age profile'!$O$2:$O$61,B1242)*(1+in_approval_growth)^(D1242-1))</f>
        <v/>
      </c>
      <c r="CD1242" s="14">
        <f>F1242*CB1242*IF(B1242&gt;=in_marketplace_from,d_hz_loan_lap*G1242,0)*CC1242*in_loan_lap_ticket*in_loan_lap_comm</f>
        <v/>
      </c>
      <c r="CE1242" s="14">
        <f>AA1242+AB1242+AC1242+AD1242+AG1242+AJ1242+AM1242+AP1242+AS1242+AU1242+AX1242+BB1242+BE1242+BG1242+BJ1242+BL1242+BO1242+BR1242+BT1242+BV1242+BX1242+CA1242+CD1242</f>
        <v/>
      </c>
    </row>
    <row r="1243">
      <c r="A1243" s="39" t="n">
        <v>27</v>
      </c>
      <c r="B1243" s="39" t="n">
        <v>7</v>
      </c>
      <c r="C1243" s="39">
        <f>A1243+B1243-1</f>
        <v/>
      </c>
      <c r="D1243" s="39">
        <f>INT((C1243-1)/12)+1</f>
        <v/>
      </c>
      <c r="E1243" s="44">
        <f>INDEX(Monthly!$B$2:$B$61,A1243)</f>
        <v/>
      </c>
      <c r="F1243" s="44">
        <f>E1243*INDEX('Age profile'!$B$2:$B$61,B1243)</f>
        <v/>
      </c>
      <c r="G1243" s="45">
        <f>MIN(in_takeup_cap,INDEX('Age profile'!$N$2:$N$61,B1243)*(1+in_takeup_growth)^(D1243-1))</f>
        <v/>
      </c>
      <c r="H1243" s="11">
        <f>MIN(in_approval_cap,in_approved_first*INDEX('Age profile'!$O$2:$O$61,B1243)*(1+in_approval_growth)^(D1243-1))</f>
        <v/>
      </c>
      <c r="I1243" s="45">
        <f>G1243*MIN(in_takeup_cap,INDEX('Age profile'!$O$2:$O$61,B1243)*(1+in_approval_growth)^(D1243-1))</f>
        <v/>
      </c>
      <c r="J1243" s="40">
        <f>(J1242-L1242)*F1243/F1242</f>
        <v/>
      </c>
      <c r="K1243" s="40">
        <f>(K1242-M1242)*F1243/F1242+SUMIFS(O1237:O1242,B1237:B1242,B1243-1-d_T)*F1243</f>
        <v/>
      </c>
      <c r="L1243" s="40">
        <f>IF(B1243&gt;=in_marketplace_from,J1243*d_hz*G1243*in_eligible*H1243,0)</f>
        <v/>
      </c>
      <c r="M1243" s="40">
        <f>IF(B1243&gt;=in_marketplace_from,K1243*d_hz*G1243*in_eligible*in_approved_repeat,0)</f>
        <v/>
      </c>
      <c r="N1243" s="40">
        <f>L1243+M1243</f>
        <v/>
      </c>
      <c r="O1243" s="46">
        <f>N1243/F1243</f>
        <v/>
      </c>
      <c r="P1243" s="40">
        <f>F1243-J1243-K1243</f>
        <v/>
      </c>
      <c r="Q1243" s="40">
        <f>IF(B1243&gt;=in_marketplace_from,(J1243+K1243)*d_hz*G1243,0)</f>
        <v/>
      </c>
      <c r="R1243" s="40">
        <f>SUMIFS(N1237:N1270,B1237:B1270,"&gt;="&amp;(B1243-d_T),B1237:B1270,"&lt;="&amp;(B1243-1))</f>
        <v/>
      </c>
      <c r="S1243" s="46">
        <f>(1-d_u)*S1242+IF(d_T&gt;in_topup_lag,SUMIFS(O1237:O1270,B1237:B1270,B1243-in_topup_lag)-d_udrop*SUMIFS(O1237:O1270,B1237:B1270,B1243-d_T),0)</f>
        <v/>
      </c>
      <c r="T1243" s="40">
        <f>F1243*d_u*S1243</f>
        <v/>
      </c>
      <c r="U1243" s="9">
        <f>L1243*in_ticket+M1243*d_rep_ticket</f>
        <v/>
      </c>
      <c r="V1243" s="9">
        <f>U1243+T1243*d_topup_amt</f>
        <v/>
      </c>
      <c r="W1243" s="40">
        <f>N1243+T1243*d_topup_ratio</f>
        <v/>
      </c>
      <c r="X1243" s="40">
        <f>SUMIFS(W1237:W1270,B1237:B1270,B1243-in_dpd_lag)*d_cured</f>
        <v/>
      </c>
      <c r="Y1243" s="40">
        <f>SUMIFS(W1237:W1270,B1237:B1270,B1243-in_rec_lag)*d_recd</f>
        <v/>
      </c>
      <c r="Z1243" s="40">
        <f>IF(AND(B1243&gt;=in_marketplace_from,B1243&lt;in_marketplace_from+in_card_months),in_card_share/in_card_months*F1243*I1243,IF(AND(B1243&gt;=in_marketplace_from+in_card_months,B1243&lt;in_marketplace_from+2*in_card_months),in_card_share*d_card_rem/in_card_months*F1243*MIN(in_takeup_cap,(1+in_takeup_growth)^(D1243-1))*MIN(in_takeup_cap,(1+in_approval_growth)^(D1243-1)),0))</f>
        <v/>
      </c>
      <c r="AA1243" s="14">
        <f>V1243*in_fee*(1-in_taken_back)</f>
        <v/>
      </c>
      <c r="AB1243" s="14">
        <f>SUMIFS(W1237:W1270,B1237:B1270,B1243-in_dpd_lag)*d_dpd</f>
        <v/>
      </c>
      <c r="AC1243" s="14">
        <f>SUMIFS(W1237:W1270,B1237:B1270,B1243-in_rec_lag)*d_rec</f>
        <v/>
      </c>
      <c r="AD1243" s="14">
        <f>Z1243*in_card_fee</f>
        <v/>
      </c>
      <c r="AE1243" s="40">
        <f>AE1242*(1-IF(B1242&gt;=in_marketplace_from,d_hz_hlth_small*G1242,0))</f>
        <v/>
      </c>
      <c r="AF1243" s="46">
        <f>AE1243*IF(B1243&gt;=in_marketplace_from,d_hz_hlth_small*G1243,0)</f>
        <v/>
      </c>
      <c r="AG1243" s="14">
        <f>F1243*AF1243*in_hlth_small_ticket*in_hlth_small_comm*in_ins_partner_share+F1243*in_hlth_small_ticket*in_hlth_small_renew_comm*in_ins_partner_share*(in_hlth_small_renew^1*SUMIFS(AF1237:AF1270,B1237:B1270,B1243-12)+in_hlth_small_renew^2*SUMIFS(AF1237:AF1270,B1237:B1270,B1243-24)+in_hlth_small_renew^3*SUMIFS(AF1237:AF1270,B1237:B1270,B1243-36)+in_hlth_small_renew^4*SUMIFS(AF1237:AF1270,B1237:B1270,B1243-48))</f>
        <v/>
      </c>
      <c r="AH1243" s="40">
        <f>AH1242*(1-IF(B1242&gt;=in_marketplace_from,d_hz_hlth_family*G1242,0))</f>
        <v/>
      </c>
      <c r="AI1243" s="46">
        <f>AH1243*IF(B1243&gt;=in_marketplace_from,d_hz_hlth_family*G1243,0)</f>
        <v/>
      </c>
      <c r="AJ1243" s="14">
        <f>F1243*AI1243*in_hlth_family_ticket*in_hlth_family_comm*in_ins_partner_share+F1243*in_hlth_family_ticket*in_hlth_family_renew_comm*in_ins_partner_share*(in_hlth_family_renew^1*SUMIFS(AI1237:AI1270,B1237:B1270,B1243-12)+in_hlth_family_renew^2*SUMIFS(AI1237:AI1270,B1237:B1270,B1243-24)+in_hlth_family_renew^3*SUMIFS(AI1237:AI1270,B1237:B1270,B1243-36)+in_hlth_family_renew^4*SUMIFS(AI1237:AI1270,B1237:B1270,B1243-48))</f>
        <v/>
      </c>
      <c r="AK1243" s="40">
        <f>AK1242*(1-IF(B1242&gt;=in_marketplace_from,d_hz_life_term*G1242,0))</f>
        <v/>
      </c>
      <c r="AL1243" s="46">
        <f>AK1243*IF(B1243&gt;=in_marketplace_from,d_hz_life_term*G1243,0)</f>
        <v/>
      </c>
      <c r="AM1243" s="14">
        <f>F1243*AL1243*in_life_term_ticket*in_life_term_comm*in_ins_partner_share+F1243*in_life_term_ticket*in_life_term_renew_comm*in_ins_partner_share*(in_life_term_renew^1*SUMIFS(AL1237:AL1270,B1237:B1270,B1243-12)+in_life_term_renew^2*SUMIFS(AL1237:AL1270,B1237:B1270,B1243-24)+in_life_term_renew^3*SUMIFS(AL1237:AL1270,B1237:B1270,B1243-36)+in_life_term_renew^4*SUMIFS(AL1237:AL1270,B1237:B1270,B1243-48))</f>
        <v/>
      </c>
      <c r="AN1243" s="40">
        <f>AN1242*(1-IF(B1242&gt;=in_marketplace_from,d_hz_accident*G1242,0))</f>
        <v/>
      </c>
      <c r="AO1243" s="46">
        <f>AN1243*IF(B1243&gt;=in_marketplace_from,d_hz_accident*G1243,0)</f>
        <v/>
      </c>
      <c r="AP1243" s="14">
        <f>F1243*AO1243*in_accident_ticket*in_accident_comm*in_ins_partner_share+F1243*in_accident_ticket*in_accident_renew_comm*in_ins_partner_share*(in_accident_renew^1*SUMIFS(AO1237:AO1270,B1237:B1270,B1243-12)+in_accident_renew^2*SUMIFS(AO1237:AO1270,B1237:B1270,B1243-24)+in_accident_renew^3*SUMIFS(AO1237:AO1270,B1237:B1270,B1243-36)+in_accident_renew^4*SUMIFS(AO1237:AO1270,B1237:B1270,B1243-48))</f>
        <v/>
      </c>
      <c r="AQ1243" s="40">
        <f>AQ1242*(1-IF(B1242&gt;=in_marketplace_from,d_hz_two_wheeler*G1242,0))</f>
        <v/>
      </c>
      <c r="AR1243" s="46">
        <f>AQ1243*IF(B1243&gt;=in_marketplace_from,d_hz_two_wheeler*G1243,0)</f>
        <v/>
      </c>
      <c r="AS1243" s="14">
        <f>F1243*AR1243*in_two_wheeler_ticket*in_two_wheeler_comm*in_ins_partner_share+F1243*in_two_wheeler_ticket*in_two_wheeler_comm*in_ins_partner_share*(in_two_wheeler_renew^1*SUMIFS(AR1237:AR1270,B1237:B1270,B1243-12)+in_two_wheeler_renew^2*SUMIFS(AR1237:AR1270,B1237:B1270,B1243-24)+in_two_wheeler_renew^3*SUMIFS(AR1237:AR1270,B1237:B1270,B1243-36)+in_two_wheeler_renew^4*SUMIFS(AR1237:AR1270,B1237:B1270,B1243-48))</f>
        <v/>
      </c>
      <c r="AT1243" s="40">
        <f>AT1242*(1-IF(B1242&gt;=in_marketplace_from,d_hz_device*G1242,0))</f>
        <v/>
      </c>
      <c r="AU1243" s="14">
        <f>F1243*AT1243*IF(B1243&gt;=in_marketplace_from,d_hz_device*G1243,0)*in_device_ticket*in_device_comm*in_ins_partner_share</f>
        <v/>
      </c>
      <c r="AV1243" s="40">
        <f>AV1242*(1-IF(B1242&gt;=in_marketplace_from,d_hz_shop*G1242,0))</f>
        <v/>
      </c>
      <c r="AW1243" s="46">
        <f>AV1243*IF(B1243&gt;=in_marketplace_from,d_hz_shop*G1243,0)</f>
        <v/>
      </c>
      <c r="AX1243" s="14">
        <f>F1243*AW1243*in_shop_ticket*in_shop_comm*in_ins_partner_share+F1243*in_shop_ticket*in_shop_renew_comm*in_ins_partner_share*(in_shop_renew^1*SUMIFS(AW1237:AW1270,B1237:B1270,B1243-12)+in_shop_renew^2*SUMIFS(AW1237:AW1270,B1237:B1270,B1243-24)+in_shop_renew^3*SUMIFS(AW1237:AW1270,B1237:B1270,B1243-36)+in_shop_renew^4*SUMIFS(AW1237:AW1270,B1237:B1270,B1243-48))</f>
        <v/>
      </c>
      <c r="AY1243" s="40">
        <f>AY1242*(1-IF(B1242&gt;=in_marketplace_from,d_hz_sip*G1242,0))</f>
        <v/>
      </c>
      <c r="AZ1243" s="40">
        <f>AZ1242*d_rho_sip+AY1243*IF(B1243&gt;=in_marketplace_from,d_hz_sip*G1243,0)</f>
        <v/>
      </c>
      <c r="BA1243" s="40">
        <f>d_rho_sip*(BA1242+AZ1242)</f>
        <v/>
      </c>
      <c r="BB1243" s="14">
        <f>F1243*in_sip_ticket*(BA1243+0.5*AZ1243)*in_sip_comm/12</f>
        <v/>
      </c>
      <c r="BC1243" s="40">
        <f>BC1242*(1-IF(B1242&gt;=in_marketplace_from,d_hz_choti*G1242,0))</f>
        <v/>
      </c>
      <c r="BD1243" s="46">
        <f>BC1243*IF(B1243&gt;=in_marketplace_from,d_hz_choti*G1243,0)</f>
        <v/>
      </c>
      <c r="BE1243" s="14">
        <f>F1243*SUMIFS(BD1237:BD1270,B1237:B1270,B1243-in_choti_months)*in_choti_renew*in_choti_ticket</f>
        <v/>
      </c>
      <c r="BF1243" s="40">
        <f>BF1242*(1-IF(B1242&gt;=in_marketplace_from,d_hz_nps*G1242,0))</f>
        <v/>
      </c>
      <c r="BG1243" s="14">
        <f>F1243*BF1243*IF(B1243&gt;=in_marketplace_from,d_hz_nps*G1243,0)*in_nps_ticket*in_nps_comm</f>
        <v/>
      </c>
      <c r="BH1243" s="40">
        <f>BH1242*(1-IF(B1242&gt;=in_marketplace_from,d_hz_gold*G1242,0))</f>
        <v/>
      </c>
      <c r="BI1243" s="40">
        <f>BI1242*d_rho_gold+BH1243*IF(B1243&gt;=in_marketplace_from,d_hz_gold*G1243,0)</f>
        <v/>
      </c>
      <c r="BJ1243" s="14">
        <f>F1243*BI1243*in_gold_ticket*in_gold_comm</f>
        <v/>
      </c>
      <c r="BK1243" s="40">
        <f>BK1242*(1-IF(B1242&gt;=in_marketplace_from,d_hz_fd*G1242,0))</f>
        <v/>
      </c>
      <c r="BL1243" s="14">
        <f>F1243*BK1243*IF(B1243&gt;=in_marketplace_from,d_hz_fd*G1243,0)*in_fd_ticket*in_fd_comm</f>
        <v/>
      </c>
      <c r="BM1243" s="40">
        <f>BM1242*(1-IF(B1242&gt;=in_marketplace_from,d_hz_recharge*G1242,0))</f>
        <v/>
      </c>
      <c r="BN1243" s="40">
        <f>BN1242*d_rho_recharge+BM1243*IF(B1243&gt;=in_marketplace_from,d_hz_recharge*G1243,0)</f>
        <v/>
      </c>
      <c r="BO1243" s="14">
        <f>F1243*BN1243*in_recharge_ticket*in_recharge_comm/12</f>
        <v/>
      </c>
      <c r="BP1243" s="40">
        <f>BP1242*(1-IF(B1242&gt;=in_marketplace_from,d_hz_bills*G1242,0))</f>
        <v/>
      </c>
      <c r="BQ1243" s="40">
        <f>BQ1242*d_rho_bills+BP1243*IF(B1243&gt;=in_marketplace_from,d_hz_bills*G1243,0)</f>
        <v/>
      </c>
      <c r="BR1243" s="14">
        <f>F1243*BQ1243*in_bills_ticket*in_bills_comm/12</f>
        <v/>
      </c>
      <c r="BS1243" s="40">
        <f>BS1242*(1-IF(B1242&gt;=in_marketplace_from,d_hz_loan_gold*G1242,0))</f>
        <v/>
      </c>
      <c r="BT1243" s="14">
        <f>F1243*BS1243*IF(B1243&gt;=in_marketplace_from,d_hz_loan_gold*G1243,0)*in_loan_gold_ticket*in_loan_gold_comm</f>
        <v/>
      </c>
      <c r="BU1243" s="40">
        <f>BU1242*(1-IF(B1242&gt;=in_marketplace_from,d_hz_loan_cd*G1242,0))</f>
        <v/>
      </c>
      <c r="BV1243" s="14">
        <f>F1243*BU1243*IF(B1243&gt;=in_marketplace_from,d_hz_loan_cd*G1243,0)*in_loan_cd_ticket*in_loan_cd_comm</f>
        <v/>
      </c>
      <c r="BW1243" s="40">
        <f>BW1242*(1-IF(B1242&gt;=in_marketplace_from,d_hz_loan_vehicle*G1242,0))</f>
        <v/>
      </c>
      <c r="BX1243" s="14">
        <f>F1243*BW1243*IF(B1243&gt;=in_marketplace_from,d_hz_loan_vehicle*G1243,0)*in_loan_vehicle_ticket*in_loan_vehicle_comm</f>
        <v/>
      </c>
      <c r="BY1243" s="40">
        <f>BY1242*(1-IF(B1242&gt;=in_marketplace_from,d_hz_loan_home*G1242,0)*BZ1242)</f>
        <v/>
      </c>
      <c r="BZ1243" s="11">
        <f>MIN(in_approval_cap,in_loan_home_approval*INDEX('Age profile'!$O$2:$O$61,B1243)*(1+in_approval_growth)^(D1243-1))</f>
        <v/>
      </c>
      <c r="CA1243" s="14">
        <f>F1243*BY1243*IF(B1243&gt;=in_marketplace_from,d_hz_loan_home*G1243,0)*BZ1243*in_loan_home_ticket*in_loan_home_comm</f>
        <v/>
      </c>
      <c r="CB1243" s="40">
        <f>CB1242*(1-IF(B1242&gt;=in_marketplace_from,d_hz_loan_lap*G1242,0)*CC1242)</f>
        <v/>
      </c>
      <c r="CC1243" s="11">
        <f>MIN(in_approval_cap,in_loan_lap_approval*INDEX('Age profile'!$O$2:$O$61,B1243)*(1+in_approval_growth)^(D1243-1))</f>
        <v/>
      </c>
      <c r="CD1243" s="14">
        <f>F1243*CB1243*IF(B1243&gt;=in_marketplace_from,d_hz_loan_lap*G1243,0)*CC1243*in_loan_lap_ticket*in_loan_lap_comm</f>
        <v/>
      </c>
      <c r="CE1243" s="14">
        <f>AA1243+AB1243+AC1243+AD1243+AG1243+AJ1243+AM1243+AP1243+AS1243+AU1243+AX1243+BB1243+BE1243+BG1243+BJ1243+BL1243+BO1243+BR1243+BT1243+BV1243+BX1243+CA1243+CD1243</f>
        <v/>
      </c>
    </row>
    <row r="1244">
      <c r="A1244" s="39" t="n">
        <v>27</v>
      </c>
      <c r="B1244" s="39" t="n">
        <v>8</v>
      </c>
      <c r="C1244" s="39">
        <f>A1244+B1244-1</f>
        <v/>
      </c>
      <c r="D1244" s="39">
        <f>INT((C1244-1)/12)+1</f>
        <v/>
      </c>
      <c r="E1244" s="44">
        <f>INDEX(Monthly!$B$2:$B$61,A1244)</f>
        <v/>
      </c>
      <c r="F1244" s="44">
        <f>E1244*INDEX('Age profile'!$B$2:$B$61,B1244)</f>
        <v/>
      </c>
      <c r="G1244" s="45">
        <f>MIN(in_takeup_cap,INDEX('Age profile'!$N$2:$N$61,B1244)*(1+in_takeup_growth)^(D1244-1))</f>
        <v/>
      </c>
      <c r="H1244" s="11">
        <f>MIN(in_approval_cap,in_approved_first*INDEX('Age profile'!$O$2:$O$61,B1244)*(1+in_approval_growth)^(D1244-1))</f>
        <v/>
      </c>
      <c r="I1244" s="45">
        <f>G1244*MIN(in_takeup_cap,INDEX('Age profile'!$O$2:$O$61,B1244)*(1+in_approval_growth)^(D1244-1))</f>
        <v/>
      </c>
      <c r="J1244" s="40">
        <f>(J1243-L1243)*F1244/F1243</f>
        <v/>
      </c>
      <c r="K1244" s="40">
        <f>(K1243-M1243)*F1244/F1243+SUMIFS(O1237:O1243,B1237:B1243,B1244-1-d_T)*F1244</f>
        <v/>
      </c>
      <c r="L1244" s="40">
        <f>IF(B1244&gt;=in_marketplace_from,J1244*d_hz*G1244*in_eligible*H1244,0)</f>
        <v/>
      </c>
      <c r="M1244" s="40">
        <f>IF(B1244&gt;=in_marketplace_from,K1244*d_hz*G1244*in_eligible*in_approved_repeat,0)</f>
        <v/>
      </c>
      <c r="N1244" s="40">
        <f>L1244+M1244</f>
        <v/>
      </c>
      <c r="O1244" s="46">
        <f>N1244/F1244</f>
        <v/>
      </c>
      <c r="P1244" s="40">
        <f>F1244-J1244-K1244</f>
        <v/>
      </c>
      <c r="Q1244" s="40">
        <f>IF(B1244&gt;=in_marketplace_from,(J1244+K1244)*d_hz*G1244,0)</f>
        <v/>
      </c>
      <c r="R1244" s="40">
        <f>SUMIFS(N1237:N1270,B1237:B1270,"&gt;="&amp;(B1244-d_T),B1237:B1270,"&lt;="&amp;(B1244-1))</f>
        <v/>
      </c>
      <c r="S1244" s="46">
        <f>(1-d_u)*S1243+IF(d_T&gt;in_topup_lag,SUMIFS(O1237:O1270,B1237:B1270,B1244-in_topup_lag)-d_udrop*SUMIFS(O1237:O1270,B1237:B1270,B1244-d_T),0)</f>
        <v/>
      </c>
      <c r="T1244" s="40">
        <f>F1244*d_u*S1244</f>
        <v/>
      </c>
      <c r="U1244" s="9">
        <f>L1244*in_ticket+M1244*d_rep_ticket</f>
        <v/>
      </c>
      <c r="V1244" s="9">
        <f>U1244+T1244*d_topup_amt</f>
        <v/>
      </c>
      <c r="W1244" s="40">
        <f>N1244+T1244*d_topup_ratio</f>
        <v/>
      </c>
      <c r="X1244" s="40">
        <f>SUMIFS(W1237:W1270,B1237:B1270,B1244-in_dpd_lag)*d_cured</f>
        <v/>
      </c>
      <c r="Y1244" s="40">
        <f>SUMIFS(W1237:W1270,B1237:B1270,B1244-in_rec_lag)*d_recd</f>
        <v/>
      </c>
      <c r="Z1244" s="40">
        <f>IF(AND(B1244&gt;=in_marketplace_from,B1244&lt;in_marketplace_from+in_card_months),in_card_share/in_card_months*F1244*I1244,IF(AND(B1244&gt;=in_marketplace_from+in_card_months,B1244&lt;in_marketplace_from+2*in_card_months),in_card_share*d_card_rem/in_card_months*F1244*MIN(in_takeup_cap,(1+in_takeup_growth)^(D1244-1))*MIN(in_takeup_cap,(1+in_approval_growth)^(D1244-1)),0))</f>
        <v/>
      </c>
      <c r="AA1244" s="14">
        <f>V1244*in_fee*(1-in_taken_back)</f>
        <v/>
      </c>
      <c r="AB1244" s="14">
        <f>SUMIFS(W1237:W1270,B1237:B1270,B1244-in_dpd_lag)*d_dpd</f>
        <v/>
      </c>
      <c r="AC1244" s="14">
        <f>SUMIFS(W1237:W1270,B1237:B1270,B1244-in_rec_lag)*d_rec</f>
        <v/>
      </c>
      <c r="AD1244" s="14">
        <f>Z1244*in_card_fee</f>
        <v/>
      </c>
      <c r="AE1244" s="40">
        <f>AE1243*(1-IF(B1243&gt;=in_marketplace_from,d_hz_hlth_small*G1243,0))</f>
        <v/>
      </c>
      <c r="AF1244" s="46">
        <f>AE1244*IF(B1244&gt;=in_marketplace_from,d_hz_hlth_small*G1244,0)</f>
        <v/>
      </c>
      <c r="AG1244" s="14">
        <f>F1244*AF1244*in_hlth_small_ticket*in_hlth_small_comm*in_ins_partner_share+F1244*in_hlth_small_ticket*in_hlth_small_renew_comm*in_ins_partner_share*(in_hlth_small_renew^1*SUMIFS(AF1237:AF1270,B1237:B1270,B1244-12)+in_hlth_small_renew^2*SUMIFS(AF1237:AF1270,B1237:B1270,B1244-24)+in_hlth_small_renew^3*SUMIFS(AF1237:AF1270,B1237:B1270,B1244-36)+in_hlth_small_renew^4*SUMIFS(AF1237:AF1270,B1237:B1270,B1244-48))</f>
        <v/>
      </c>
      <c r="AH1244" s="40">
        <f>AH1243*(1-IF(B1243&gt;=in_marketplace_from,d_hz_hlth_family*G1243,0))</f>
        <v/>
      </c>
      <c r="AI1244" s="46">
        <f>AH1244*IF(B1244&gt;=in_marketplace_from,d_hz_hlth_family*G1244,0)</f>
        <v/>
      </c>
      <c r="AJ1244" s="14">
        <f>F1244*AI1244*in_hlth_family_ticket*in_hlth_family_comm*in_ins_partner_share+F1244*in_hlth_family_ticket*in_hlth_family_renew_comm*in_ins_partner_share*(in_hlth_family_renew^1*SUMIFS(AI1237:AI1270,B1237:B1270,B1244-12)+in_hlth_family_renew^2*SUMIFS(AI1237:AI1270,B1237:B1270,B1244-24)+in_hlth_family_renew^3*SUMIFS(AI1237:AI1270,B1237:B1270,B1244-36)+in_hlth_family_renew^4*SUMIFS(AI1237:AI1270,B1237:B1270,B1244-48))</f>
        <v/>
      </c>
      <c r="AK1244" s="40">
        <f>AK1243*(1-IF(B1243&gt;=in_marketplace_from,d_hz_life_term*G1243,0))</f>
        <v/>
      </c>
      <c r="AL1244" s="46">
        <f>AK1244*IF(B1244&gt;=in_marketplace_from,d_hz_life_term*G1244,0)</f>
        <v/>
      </c>
      <c r="AM1244" s="14">
        <f>F1244*AL1244*in_life_term_ticket*in_life_term_comm*in_ins_partner_share+F1244*in_life_term_ticket*in_life_term_renew_comm*in_ins_partner_share*(in_life_term_renew^1*SUMIFS(AL1237:AL1270,B1237:B1270,B1244-12)+in_life_term_renew^2*SUMIFS(AL1237:AL1270,B1237:B1270,B1244-24)+in_life_term_renew^3*SUMIFS(AL1237:AL1270,B1237:B1270,B1244-36)+in_life_term_renew^4*SUMIFS(AL1237:AL1270,B1237:B1270,B1244-48))</f>
        <v/>
      </c>
      <c r="AN1244" s="40">
        <f>AN1243*(1-IF(B1243&gt;=in_marketplace_from,d_hz_accident*G1243,0))</f>
        <v/>
      </c>
      <c r="AO1244" s="46">
        <f>AN1244*IF(B1244&gt;=in_marketplace_from,d_hz_accident*G1244,0)</f>
        <v/>
      </c>
      <c r="AP1244" s="14">
        <f>F1244*AO1244*in_accident_ticket*in_accident_comm*in_ins_partner_share+F1244*in_accident_ticket*in_accident_renew_comm*in_ins_partner_share*(in_accident_renew^1*SUMIFS(AO1237:AO1270,B1237:B1270,B1244-12)+in_accident_renew^2*SUMIFS(AO1237:AO1270,B1237:B1270,B1244-24)+in_accident_renew^3*SUMIFS(AO1237:AO1270,B1237:B1270,B1244-36)+in_accident_renew^4*SUMIFS(AO1237:AO1270,B1237:B1270,B1244-48))</f>
        <v/>
      </c>
      <c r="AQ1244" s="40">
        <f>AQ1243*(1-IF(B1243&gt;=in_marketplace_from,d_hz_two_wheeler*G1243,0))</f>
        <v/>
      </c>
      <c r="AR1244" s="46">
        <f>AQ1244*IF(B1244&gt;=in_marketplace_from,d_hz_two_wheeler*G1244,0)</f>
        <v/>
      </c>
      <c r="AS1244" s="14">
        <f>F1244*AR1244*in_two_wheeler_ticket*in_two_wheeler_comm*in_ins_partner_share+F1244*in_two_wheeler_ticket*in_two_wheeler_comm*in_ins_partner_share*(in_two_wheeler_renew^1*SUMIFS(AR1237:AR1270,B1237:B1270,B1244-12)+in_two_wheeler_renew^2*SUMIFS(AR1237:AR1270,B1237:B1270,B1244-24)+in_two_wheeler_renew^3*SUMIFS(AR1237:AR1270,B1237:B1270,B1244-36)+in_two_wheeler_renew^4*SUMIFS(AR1237:AR1270,B1237:B1270,B1244-48))</f>
        <v/>
      </c>
      <c r="AT1244" s="40">
        <f>AT1243*(1-IF(B1243&gt;=in_marketplace_from,d_hz_device*G1243,0))</f>
        <v/>
      </c>
      <c r="AU1244" s="14">
        <f>F1244*AT1244*IF(B1244&gt;=in_marketplace_from,d_hz_device*G1244,0)*in_device_ticket*in_device_comm*in_ins_partner_share</f>
        <v/>
      </c>
      <c r="AV1244" s="40">
        <f>AV1243*(1-IF(B1243&gt;=in_marketplace_from,d_hz_shop*G1243,0))</f>
        <v/>
      </c>
      <c r="AW1244" s="46">
        <f>AV1244*IF(B1244&gt;=in_marketplace_from,d_hz_shop*G1244,0)</f>
        <v/>
      </c>
      <c r="AX1244" s="14">
        <f>F1244*AW1244*in_shop_ticket*in_shop_comm*in_ins_partner_share+F1244*in_shop_ticket*in_shop_renew_comm*in_ins_partner_share*(in_shop_renew^1*SUMIFS(AW1237:AW1270,B1237:B1270,B1244-12)+in_shop_renew^2*SUMIFS(AW1237:AW1270,B1237:B1270,B1244-24)+in_shop_renew^3*SUMIFS(AW1237:AW1270,B1237:B1270,B1244-36)+in_shop_renew^4*SUMIFS(AW1237:AW1270,B1237:B1270,B1244-48))</f>
        <v/>
      </c>
      <c r="AY1244" s="40">
        <f>AY1243*(1-IF(B1243&gt;=in_marketplace_from,d_hz_sip*G1243,0))</f>
        <v/>
      </c>
      <c r="AZ1244" s="40">
        <f>AZ1243*d_rho_sip+AY1244*IF(B1244&gt;=in_marketplace_from,d_hz_sip*G1244,0)</f>
        <v/>
      </c>
      <c r="BA1244" s="40">
        <f>d_rho_sip*(BA1243+AZ1243)</f>
        <v/>
      </c>
      <c r="BB1244" s="14">
        <f>F1244*in_sip_ticket*(BA1244+0.5*AZ1244)*in_sip_comm/12</f>
        <v/>
      </c>
      <c r="BC1244" s="40">
        <f>BC1243*(1-IF(B1243&gt;=in_marketplace_from,d_hz_choti*G1243,0))</f>
        <v/>
      </c>
      <c r="BD1244" s="46">
        <f>BC1244*IF(B1244&gt;=in_marketplace_from,d_hz_choti*G1244,0)</f>
        <v/>
      </c>
      <c r="BE1244" s="14">
        <f>F1244*SUMIFS(BD1237:BD1270,B1237:B1270,B1244-in_choti_months)*in_choti_renew*in_choti_ticket</f>
        <v/>
      </c>
      <c r="BF1244" s="40">
        <f>BF1243*(1-IF(B1243&gt;=in_marketplace_from,d_hz_nps*G1243,0))</f>
        <v/>
      </c>
      <c r="BG1244" s="14">
        <f>F1244*BF1244*IF(B1244&gt;=in_marketplace_from,d_hz_nps*G1244,0)*in_nps_ticket*in_nps_comm</f>
        <v/>
      </c>
      <c r="BH1244" s="40">
        <f>BH1243*(1-IF(B1243&gt;=in_marketplace_from,d_hz_gold*G1243,0))</f>
        <v/>
      </c>
      <c r="BI1244" s="40">
        <f>BI1243*d_rho_gold+BH1244*IF(B1244&gt;=in_marketplace_from,d_hz_gold*G1244,0)</f>
        <v/>
      </c>
      <c r="BJ1244" s="14">
        <f>F1244*BI1244*in_gold_ticket*in_gold_comm</f>
        <v/>
      </c>
      <c r="BK1244" s="40">
        <f>BK1243*(1-IF(B1243&gt;=in_marketplace_from,d_hz_fd*G1243,0))</f>
        <v/>
      </c>
      <c r="BL1244" s="14">
        <f>F1244*BK1244*IF(B1244&gt;=in_marketplace_from,d_hz_fd*G1244,0)*in_fd_ticket*in_fd_comm</f>
        <v/>
      </c>
      <c r="BM1244" s="40">
        <f>BM1243*(1-IF(B1243&gt;=in_marketplace_from,d_hz_recharge*G1243,0))</f>
        <v/>
      </c>
      <c r="BN1244" s="40">
        <f>BN1243*d_rho_recharge+BM1244*IF(B1244&gt;=in_marketplace_from,d_hz_recharge*G1244,0)</f>
        <v/>
      </c>
      <c r="BO1244" s="14">
        <f>F1244*BN1244*in_recharge_ticket*in_recharge_comm/12</f>
        <v/>
      </c>
      <c r="BP1244" s="40">
        <f>BP1243*(1-IF(B1243&gt;=in_marketplace_from,d_hz_bills*G1243,0))</f>
        <v/>
      </c>
      <c r="BQ1244" s="40">
        <f>BQ1243*d_rho_bills+BP1244*IF(B1244&gt;=in_marketplace_from,d_hz_bills*G1244,0)</f>
        <v/>
      </c>
      <c r="BR1244" s="14">
        <f>F1244*BQ1244*in_bills_ticket*in_bills_comm/12</f>
        <v/>
      </c>
      <c r="BS1244" s="40">
        <f>BS1243*(1-IF(B1243&gt;=in_marketplace_from,d_hz_loan_gold*G1243,0))</f>
        <v/>
      </c>
      <c r="BT1244" s="14">
        <f>F1244*BS1244*IF(B1244&gt;=in_marketplace_from,d_hz_loan_gold*G1244,0)*in_loan_gold_ticket*in_loan_gold_comm</f>
        <v/>
      </c>
      <c r="BU1244" s="40">
        <f>BU1243*(1-IF(B1243&gt;=in_marketplace_from,d_hz_loan_cd*G1243,0))</f>
        <v/>
      </c>
      <c r="BV1244" s="14">
        <f>F1244*BU1244*IF(B1244&gt;=in_marketplace_from,d_hz_loan_cd*G1244,0)*in_loan_cd_ticket*in_loan_cd_comm</f>
        <v/>
      </c>
      <c r="BW1244" s="40">
        <f>BW1243*(1-IF(B1243&gt;=in_marketplace_from,d_hz_loan_vehicle*G1243,0))</f>
        <v/>
      </c>
      <c r="BX1244" s="14">
        <f>F1244*BW1244*IF(B1244&gt;=in_marketplace_from,d_hz_loan_vehicle*G1244,0)*in_loan_vehicle_ticket*in_loan_vehicle_comm</f>
        <v/>
      </c>
      <c r="BY1244" s="40">
        <f>BY1243*(1-IF(B1243&gt;=in_marketplace_from,d_hz_loan_home*G1243,0)*BZ1243)</f>
        <v/>
      </c>
      <c r="BZ1244" s="11">
        <f>MIN(in_approval_cap,in_loan_home_approval*INDEX('Age profile'!$O$2:$O$61,B1244)*(1+in_approval_growth)^(D1244-1))</f>
        <v/>
      </c>
      <c r="CA1244" s="14">
        <f>F1244*BY1244*IF(B1244&gt;=in_marketplace_from,d_hz_loan_home*G1244,0)*BZ1244*in_loan_home_ticket*in_loan_home_comm</f>
        <v/>
      </c>
      <c r="CB1244" s="40">
        <f>CB1243*(1-IF(B1243&gt;=in_marketplace_from,d_hz_loan_lap*G1243,0)*CC1243)</f>
        <v/>
      </c>
      <c r="CC1244" s="11">
        <f>MIN(in_approval_cap,in_loan_lap_approval*INDEX('Age profile'!$O$2:$O$61,B1244)*(1+in_approval_growth)^(D1244-1))</f>
        <v/>
      </c>
      <c r="CD1244" s="14">
        <f>F1244*CB1244*IF(B1244&gt;=in_marketplace_from,d_hz_loan_lap*G1244,0)*CC1244*in_loan_lap_ticket*in_loan_lap_comm</f>
        <v/>
      </c>
      <c r="CE1244" s="14">
        <f>AA1244+AB1244+AC1244+AD1244+AG1244+AJ1244+AM1244+AP1244+AS1244+AU1244+AX1244+BB1244+BE1244+BG1244+BJ1244+BL1244+BO1244+BR1244+BT1244+BV1244+BX1244+CA1244+CD1244</f>
        <v/>
      </c>
    </row>
    <row r="1245">
      <c r="A1245" s="39" t="n">
        <v>27</v>
      </c>
      <c r="B1245" s="39" t="n">
        <v>9</v>
      </c>
      <c r="C1245" s="39">
        <f>A1245+B1245-1</f>
        <v/>
      </c>
      <c r="D1245" s="39">
        <f>INT((C1245-1)/12)+1</f>
        <v/>
      </c>
      <c r="E1245" s="44">
        <f>INDEX(Monthly!$B$2:$B$61,A1245)</f>
        <v/>
      </c>
      <c r="F1245" s="44">
        <f>E1245*INDEX('Age profile'!$B$2:$B$61,B1245)</f>
        <v/>
      </c>
      <c r="G1245" s="45">
        <f>MIN(in_takeup_cap,INDEX('Age profile'!$N$2:$N$61,B1245)*(1+in_takeup_growth)^(D1245-1))</f>
        <v/>
      </c>
      <c r="H1245" s="11">
        <f>MIN(in_approval_cap,in_approved_first*INDEX('Age profile'!$O$2:$O$61,B1245)*(1+in_approval_growth)^(D1245-1))</f>
        <v/>
      </c>
      <c r="I1245" s="45">
        <f>G1245*MIN(in_takeup_cap,INDEX('Age profile'!$O$2:$O$61,B1245)*(1+in_approval_growth)^(D1245-1))</f>
        <v/>
      </c>
      <c r="J1245" s="40">
        <f>(J1244-L1244)*F1245/F1244</f>
        <v/>
      </c>
      <c r="K1245" s="40">
        <f>(K1244-M1244)*F1245/F1244+SUMIFS(O1237:O1244,B1237:B1244,B1245-1-d_T)*F1245</f>
        <v/>
      </c>
      <c r="L1245" s="40">
        <f>IF(B1245&gt;=in_marketplace_from,J1245*d_hz*G1245*in_eligible*H1245,0)</f>
        <v/>
      </c>
      <c r="M1245" s="40">
        <f>IF(B1245&gt;=in_marketplace_from,K1245*d_hz*G1245*in_eligible*in_approved_repeat,0)</f>
        <v/>
      </c>
      <c r="N1245" s="40">
        <f>L1245+M1245</f>
        <v/>
      </c>
      <c r="O1245" s="46">
        <f>N1245/F1245</f>
        <v/>
      </c>
      <c r="P1245" s="40">
        <f>F1245-J1245-K1245</f>
        <v/>
      </c>
      <c r="Q1245" s="40">
        <f>IF(B1245&gt;=in_marketplace_from,(J1245+K1245)*d_hz*G1245,0)</f>
        <v/>
      </c>
      <c r="R1245" s="40">
        <f>SUMIFS(N1237:N1270,B1237:B1270,"&gt;="&amp;(B1245-d_T),B1237:B1270,"&lt;="&amp;(B1245-1))</f>
        <v/>
      </c>
      <c r="S1245" s="46">
        <f>(1-d_u)*S1244+IF(d_T&gt;in_topup_lag,SUMIFS(O1237:O1270,B1237:B1270,B1245-in_topup_lag)-d_udrop*SUMIFS(O1237:O1270,B1237:B1270,B1245-d_T),0)</f>
        <v/>
      </c>
      <c r="T1245" s="40">
        <f>F1245*d_u*S1245</f>
        <v/>
      </c>
      <c r="U1245" s="9">
        <f>L1245*in_ticket+M1245*d_rep_ticket</f>
        <v/>
      </c>
      <c r="V1245" s="9">
        <f>U1245+T1245*d_topup_amt</f>
        <v/>
      </c>
      <c r="W1245" s="40">
        <f>N1245+T1245*d_topup_ratio</f>
        <v/>
      </c>
      <c r="X1245" s="40">
        <f>SUMIFS(W1237:W1270,B1237:B1270,B1245-in_dpd_lag)*d_cured</f>
        <v/>
      </c>
      <c r="Y1245" s="40">
        <f>SUMIFS(W1237:W1270,B1237:B1270,B1245-in_rec_lag)*d_recd</f>
        <v/>
      </c>
      <c r="Z1245" s="40">
        <f>IF(AND(B1245&gt;=in_marketplace_from,B1245&lt;in_marketplace_from+in_card_months),in_card_share/in_card_months*F1245*I1245,IF(AND(B1245&gt;=in_marketplace_from+in_card_months,B1245&lt;in_marketplace_from+2*in_card_months),in_card_share*d_card_rem/in_card_months*F1245*MIN(in_takeup_cap,(1+in_takeup_growth)^(D1245-1))*MIN(in_takeup_cap,(1+in_approval_growth)^(D1245-1)),0))</f>
        <v/>
      </c>
      <c r="AA1245" s="14">
        <f>V1245*in_fee*(1-in_taken_back)</f>
        <v/>
      </c>
      <c r="AB1245" s="14">
        <f>SUMIFS(W1237:W1270,B1237:B1270,B1245-in_dpd_lag)*d_dpd</f>
        <v/>
      </c>
      <c r="AC1245" s="14">
        <f>SUMIFS(W1237:W1270,B1237:B1270,B1245-in_rec_lag)*d_rec</f>
        <v/>
      </c>
      <c r="AD1245" s="14">
        <f>Z1245*in_card_fee</f>
        <v/>
      </c>
      <c r="AE1245" s="40">
        <f>AE1244*(1-IF(B1244&gt;=in_marketplace_from,d_hz_hlth_small*G1244,0))</f>
        <v/>
      </c>
      <c r="AF1245" s="46">
        <f>AE1245*IF(B1245&gt;=in_marketplace_from,d_hz_hlth_small*G1245,0)</f>
        <v/>
      </c>
      <c r="AG1245" s="14">
        <f>F1245*AF1245*in_hlth_small_ticket*in_hlth_small_comm*in_ins_partner_share+F1245*in_hlth_small_ticket*in_hlth_small_renew_comm*in_ins_partner_share*(in_hlth_small_renew^1*SUMIFS(AF1237:AF1270,B1237:B1270,B1245-12)+in_hlth_small_renew^2*SUMIFS(AF1237:AF1270,B1237:B1270,B1245-24)+in_hlth_small_renew^3*SUMIFS(AF1237:AF1270,B1237:B1270,B1245-36)+in_hlth_small_renew^4*SUMIFS(AF1237:AF1270,B1237:B1270,B1245-48))</f>
        <v/>
      </c>
      <c r="AH1245" s="40">
        <f>AH1244*(1-IF(B1244&gt;=in_marketplace_from,d_hz_hlth_family*G1244,0))</f>
        <v/>
      </c>
      <c r="AI1245" s="46">
        <f>AH1245*IF(B1245&gt;=in_marketplace_from,d_hz_hlth_family*G1245,0)</f>
        <v/>
      </c>
      <c r="AJ1245" s="14">
        <f>F1245*AI1245*in_hlth_family_ticket*in_hlth_family_comm*in_ins_partner_share+F1245*in_hlth_family_ticket*in_hlth_family_renew_comm*in_ins_partner_share*(in_hlth_family_renew^1*SUMIFS(AI1237:AI1270,B1237:B1270,B1245-12)+in_hlth_family_renew^2*SUMIFS(AI1237:AI1270,B1237:B1270,B1245-24)+in_hlth_family_renew^3*SUMIFS(AI1237:AI1270,B1237:B1270,B1245-36)+in_hlth_family_renew^4*SUMIFS(AI1237:AI1270,B1237:B1270,B1245-48))</f>
        <v/>
      </c>
      <c r="AK1245" s="40">
        <f>AK1244*(1-IF(B1244&gt;=in_marketplace_from,d_hz_life_term*G1244,0))</f>
        <v/>
      </c>
      <c r="AL1245" s="46">
        <f>AK1245*IF(B1245&gt;=in_marketplace_from,d_hz_life_term*G1245,0)</f>
        <v/>
      </c>
      <c r="AM1245" s="14">
        <f>F1245*AL1245*in_life_term_ticket*in_life_term_comm*in_ins_partner_share+F1245*in_life_term_ticket*in_life_term_renew_comm*in_ins_partner_share*(in_life_term_renew^1*SUMIFS(AL1237:AL1270,B1237:B1270,B1245-12)+in_life_term_renew^2*SUMIFS(AL1237:AL1270,B1237:B1270,B1245-24)+in_life_term_renew^3*SUMIFS(AL1237:AL1270,B1237:B1270,B1245-36)+in_life_term_renew^4*SUMIFS(AL1237:AL1270,B1237:B1270,B1245-48))</f>
        <v/>
      </c>
      <c r="AN1245" s="40">
        <f>AN1244*(1-IF(B1244&gt;=in_marketplace_from,d_hz_accident*G1244,0))</f>
        <v/>
      </c>
      <c r="AO1245" s="46">
        <f>AN1245*IF(B1245&gt;=in_marketplace_from,d_hz_accident*G1245,0)</f>
        <v/>
      </c>
      <c r="AP1245" s="14">
        <f>F1245*AO1245*in_accident_ticket*in_accident_comm*in_ins_partner_share+F1245*in_accident_ticket*in_accident_renew_comm*in_ins_partner_share*(in_accident_renew^1*SUMIFS(AO1237:AO1270,B1237:B1270,B1245-12)+in_accident_renew^2*SUMIFS(AO1237:AO1270,B1237:B1270,B1245-24)+in_accident_renew^3*SUMIFS(AO1237:AO1270,B1237:B1270,B1245-36)+in_accident_renew^4*SUMIFS(AO1237:AO1270,B1237:B1270,B1245-48))</f>
        <v/>
      </c>
      <c r="AQ1245" s="40">
        <f>AQ1244*(1-IF(B1244&gt;=in_marketplace_from,d_hz_two_wheeler*G1244,0))</f>
        <v/>
      </c>
      <c r="AR1245" s="46">
        <f>AQ1245*IF(B1245&gt;=in_marketplace_from,d_hz_two_wheeler*G1245,0)</f>
        <v/>
      </c>
      <c r="AS1245" s="14">
        <f>F1245*AR1245*in_two_wheeler_ticket*in_two_wheeler_comm*in_ins_partner_share+F1245*in_two_wheeler_ticket*in_two_wheeler_comm*in_ins_partner_share*(in_two_wheeler_renew^1*SUMIFS(AR1237:AR1270,B1237:B1270,B1245-12)+in_two_wheeler_renew^2*SUMIFS(AR1237:AR1270,B1237:B1270,B1245-24)+in_two_wheeler_renew^3*SUMIFS(AR1237:AR1270,B1237:B1270,B1245-36)+in_two_wheeler_renew^4*SUMIFS(AR1237:AR1270,B1237:B1270,B1245-48))</f>
        <v/>
      </c>
      <c r="AT1245" s="40">
        <f>AT1244*(1-IF(B1244&gt;=in_marketplace_from,d_hz_device*G1244,0))</f>
        <v/>
      </c>
      <c r="AU1245" s="14">
        <f>F1245*AT1245*IF(B1245&gt;=in_marketplace_from,d_hz_device*G1245,0)*in_device_ticket*in_device_comm*in_ins_partner_share</f>
        <v/>
      </c>
      <c r="AV1245" s="40">
        <f>AV1244*(1-IF(B1244&gt;=in_marketplace_from,d_hz_shop*G1244,0))</f>
        <v/>
      </c>
      <c r="AW1245" s="46">
        <f>AV1245*IF(B1245&gt;=in_marketplace_from,d_hz_shop*G1245,0)</f>
        <v/>
      </c>
      <c r="AX1245" s="14">
        <f>F1245*AW1245*in_shop_ticket*in_shop_comm*in_ins_partner_share+F1245*in_shop_ticket*in_shop_renew_comm*in_ins_partner_share*(in_shop_renew^1*SUMIFS(AW1237:AW1270,B1237:B1270,B1245-12)+in_shop_renew^2*SUMIFS(AW1237:AW1270,B1237:B1270,B1245-24)+in_shop_renew^3*SUMIFS(AW1237:AW1270,B1237:B1270,B1245-36)+in_shop_renew^4*SUMIFS(AW1237:AW1270,B1237:B1270,B1245-48))</f>
        <v/>
      </c>
      <c r="AY1245" s="40">
        <f>AY1244*(1-IF(B1244&gt;=in_marketplace_from,d_hz_sip*G1244,0))</f>
        <v/>
      </c>
      <c r="AZ1245" s="40">
        <f>AZ1244*d_rho_sip+AY1245*IF(B1245&gt;=in_marketplace_from,d_hz_sip*G1245,0)</f>
        <v/>
      </c>
      <c r="BA1245" s="40">
        <f>d_rho_sip*(BA1244+AZ1244)</f>
        <v/>
      </c>
      <c r="BB1245" s="14">
        <f>F1245*in_sip_ticket*(BA1245+0.5*AZ1245)*in_sip_comm/12</f>
        <v/>
      </c>
      <c r="BC1245" s="40">
        <f>BC1244*(1-IF(B1244&gt;=in_marketplace_from,d_hz_choti*G1244,0))</f>
        <v/>
      </c>
      <c r="BD1245" s="46">
        <f>BC1245*IF(B1245&gt;=in_marketplace_from,d_hz_choti*G1245,0)</f>
        <v/>
      </c>
      <c r="BE1245" s="14">
        <f>F1245*SUMIFS(BD1237:BD1270,B1237:B1270,B1245-in_choti_months)*in_choti_renew*in_choti_ticket</f>
        <v/>
      </c>
      <c r="BF1245" s="40">
        <f>BF1244*(1-IF(B1244&gt;=in_marketplace_from,d_hz_nps*G1244,0))</f>
        <v/>
      </c>
      <c r="BG1245" s="14">
        <f>F1245*BF1245*IF(B1245&gt;=in_marketplace_from,d_hz_nps*G1245,0)*in_nps_ticket*in_nps_comm</f>
        <v/>
      </c>
      <c r="BH1245" s="40">
        <f>BH1244*(1-IF(B1244&gt;=in_marketplace_from,d_hz_gold*G1244,0))</f>
        <v/>
      </c>
      <c r="BI1245" s="40">
        <f>BI1244*d_rho_gold+BH1245*IF(B1245&gt;=in_marketplace_from,d_hz_gold*G1245,0)</f>
        <v/>
      </c>
      <c r="BJ1245" s="14">
        <f>F1245*BI1245*in_gold_ticket*in_gold_comm</f>
        <v/>
      </c>
      <c r="BK1245" s="40">
        <f>BK1244*(1-IF(B1244&gt;=in_marketplace_from,d_hz_fd*G1244,0))</f>
        <v/>
      </c>
      <c r="BL1245" s="14">
        <f>F1245*BK1245*IF(B1245&gt;=in_marketplace_from,d_hz_fd*G1245,0)*in_fd_ticket*in_fd_comm</f>
        <v/>
      </c>
      <c r="BM1245" s="40">
        <f>BM1244*(1-IF(B1244&gt;=in_marketplace_from,d_hz_recharge*G1244,0))</f>
        <v/>
      </c>
      <c r="BN1245" s="40">
        <f>BN1244*d_rho_recharge+BM1245*IF(B1245&gt;=in_marketplace_from,d_hz_recharge*G1245,0)</f>
        <v/>
      </c>
      <c r="BO1245" s="14">
        <f>F1245*BN1245*in_recharge_ticket*in_recharge_comm/12</f>
        <v/>
      </c>
      <c r="BP1245" s="40">
        <f>BP1244*(1-IF(B1244&gt;=in_marketplace_from,d_hz_bills*G1244,0))</f>
        <v/>
      </c>
      <c r="BQ1245" s="40">
        <f>BQ1244*d_rho_bills+BP1245*IF(B1245&gt;=in_marketplace_from,d_hz_bills*G1245,0)</f>
        <v/>
      </c>
      <c r="BR1245" s="14">
        <f>F1245*BQ1245*in_bills_ticket*in_bills_comm/12</f>
        <v/>
      </c>
      <c r="BS1245" s="40">
        <f>BS1244*(1-IF(B1244&gt;=in_marketplace_from,d_hz_loan_gold*G1244,0))</f>
        <v/>
      </c>
      <c r="BT1245" s="14">
        <f>F1245*BS1245*IF(B1245&gt;=in_marketplace_from,d_hz_loan_gold*G1245,0)*in_loan_gold_ticket*in_loan_gold_comm</f>
        <v/>
      </c>
      <c r="BU1245" s="40">
        <f>BU1244*(1-IF(B1244&gt;=in_marketplace_from,d_hz_loan_cd*G1244,0))</f>
        <v/>
      </c>
      <c r="BV1245" s="14">
        <f>F1245*BU1245*IF(B1245&gt;=in_marketplace_from,d_hz_loan_cd*G1245,0)*in_loan_cd_ticket*in_loan_cd_comm</f>
        <v/>
      </c>
      <c r="BW1245" s="40">
        <f>BW1244*(1-IF(B1244&gt;=in_marketplace_from,d_hz_loan_vehicle*G1244,0))</f>
        <v/>
      </c>
      <c r="BX1245" s="14">
        <f>F1245*BW1245*IF(B1245&gt;=in_marketplace_from,d_hz_loan_vehicle*G1245,0)*in_loan_vehicle_ticket*in_loan_vehicle_comm</f>
        <v/>
      </c>
      <c r="BY1245" s="40">
        <f>BY1244*(1-IF(B1244&gt;=in_marketplace_from,d_hz_loan_home*G1244,0)*BZ1244)</f>
        <v/>
      </c>
      <c r="BZ1245" s="11">
        <f>MIN(in_approval_cap,in_loan_home_approval*INDEX('Age profile'!$O$2:$O$61,B1245)*(1+in_approval_growth)^(D1245-1))</f>
        <v/>
      </c>
      <c r="CA1245" s="14">
        <f>F1245*BY1245*IF(B1245&gt;=in_marketplace_from,d_hz_loan_home*G1245,0)*BZ1245*in_loan_home_ticket*in_loan_home_comm</f>
        <v/>
      </c>
      <c r="CB1245" s="40">
        <f>CB1244*(1-IF(B1244&gt;=in_marketplace_from,d_hz_loan_lap*G1244,0)*CC1244)</f>
        <v/>
      </c>
      <c r="CC1245" s="11">
        <f>MIN(in_approval_cap,in_loan_lap_approval*INDEX('Age profile'!$O$2:$O$61,B1245)*(1+in_approval_growth)^(D1245-1))</f>
        <v/>
      </c>
      <c r="CD1245" s="14">
        <f>F1245*CB1245*IF(B1245&gt;=in_marketplace_from,d_hz_loan_lap*G1245,0)*CC1245*in_loan_lap_ticket*in_loan_lap_comm</f>
        <v/>
      </c>
      <c r="CE1245" s="14">
        <f>AA1245+AB1245+AC1245+AD1245+AG1245+AJ1245+AM1245+AP1245+AS1245+AU1245+AX1245+BB1245+BE1245+BG1245+BJ1245+BL1245+BO1245+BR1245+BT1245+BV1245+BX1245+CA1245+CD1245</f>
        <v/>
      </c>
    </row>
    <row r="1246">
      <c r="A1246" s="39" t="n">
        <v>27</v>
      </c>
      <c r="B1246" s="39" t="n">
        <v>10</v>
      </c>
      <c r="C1246" s="39">
        <f>A1246+B1246-1</f>
        <v/>
      </c>
      <c r="D1246" s="39">
        <f>INT((C1246-1)/12)+1</f>
        <v/>
      </c>
      <c r="E1246" s="44">
        <f>INDEX(Monthly!$B$2:$B$61,A1246)</f>
        <v/>
      </c>
      <c r="F1246" s="44">
        <f>E1246*INDEX('Age profile'!$B$2:$B$61,B1246)</f>
        <v/>
      </c>
      <c r="G1246" s="45">
        <f>MIN(in_takeup_cap,INDEX('Age profile'!$N$2:$N$61,B1246)*(1+in_takeup_growth)^(D1246-1))</f>
        <v/>
      </c>
      <c r="H1246" s="11">
        <f>MIN(in_approval_cap,in_approved_first*INDEX('Age profile'!$O$2:$O$61,B1246)*(1+in_approval_growth)^(D1246-1))</f>
        <v/>
      </c>
      <c r="I1246" s="45">
        <f>G1246*MIN(in_takeup_cap,INDEX('Age profile'!$O$2:$O$61,B1246)*(1+in_approval_growth)^(D1246-1))</f>
        <v/>
      </c>
      <c r="J1246" s="40">
        <f>(J1245-L1245)*F1246/F1245</f>
        <v/>
      </c>
      <c r="K1246" s="40">
        <f>(K1245-M1245)*F1246/F1245+SUMIFS(O1237:O1245,B1237:B1245,B1246-1-d_T)*F1246</f>
        <v/>
      </c>
      <c r="L1246" s="40">
        <f>IF(B1246&gt;=in_marketplace_from,J1246*d_hz*G1246*in_eligible*H1246,0)</f>
        <v/>
      </c>
      <c r="M1246" s="40">
        <f>IF(B1246&gt;=in_marketplace_from,K1246*d_hz*G1246*in_eligible*in_approved_repeat,0)</f>
        <v/>
      </c>
      <c r="N1246" s="40">
        <f>L1246+M1246</f>
        <v/>
      </c>
      <c r="O1246" s="46">
        <f>N1246/F1246</f>
        <v/>
      </c>
      <c r="P1246" s="40">
        <f>F1246-J1246-K1246</f>
        <v/>
      </c>
      <c r="Q1246" s="40">
        <f>IF(B1246&gt;=in_marketplace_from,(J1246+K1246)*d_hz*G1246,0)</f>
        <v/>
      </c>
      <c r="R1246" s="40">
        <f>SUMIFS(N1237:N1270,B1237:B1270,"&gt;="&amp;(B1246-d_T),B1237:B1270,"&lt;="&amp;(B1246-1))</f>
        <v/>
      </c>
      <c r="S1246" s="46">
        <f>(1-d_u)*S1245+IF(d_T&gt;in_topup_lag,SUMIFS(O1237:O1270,B1237:B1270,B1246-in_topup_lag)-d_udrop*SUMIFS(O1237:O1270,B1237:B1270,B1246-d_T),0)</f>
        <v/>
      </c>
      <c r="T1246" s="40">
        <f>F1246*d_u*S1246</f>
        <v/>
      </c>
      <c r="U1246" s="9">
        <f>L1246*in_ticket+M1246*d_rep_ticket</f>
        <v/>
      </c>
      <c r="V1246" s="9">
        <f>U1246+T1246*d_topup_amt</f>
        <v/>
      </c>
      <c r="W1246" s="40">
        <f>N1246+T1246*d_topup_ratio</f>
        <v/>
      </c>
      <c r="X1246" s="40">
        <f>SUMIFS(W1237:W1270,B1237:B1270,B1246-in_dpd_lag)*d_cured</f>
        <v/>
      </c>
      <c r="Y1246" s="40">
        <f>SUMIFS(W1237:W1270,B1237:B1270,B1246-in_rec_lag)*d_recd</f>
        <v/>
      </c>
      <c r="Z1246" s="40">
        <f>IF(AND(B1246&gt;=in_marketplace_from,B1246&lt;in_marketplace_from+in_card_months),in_card_share/in_card_months*F1246*I1246,IF(AND(B1246&gt;=in_marketplace_from+in_card_months,B1246&lt;in_marketplace_from+2*in_card_months),in_card_share*d_card_rem/in_card_months*F1246*MIN(in_takeup_cap,(1+in_takeup_growth)^(D1246-1))*MIN(in_takeup_cap,(1+in_approval_growth)^(D1246-1)),0))</f>
        <v/>
      </c>
      <c r="AA1246" s="14">
        <f>V1246*in_fee*(1-in_taken_back)</f>
        <v/>
      </c>
      <c r="AB1246" s="14">
        <f>SUMIFS(W1237:W1270,B1237:B1270,B1246-in_dpd_lag)*d_dpd</f>
        <v/>
      </c>
      <c r="AC1246" s="14">
        <f>SUMIFS(W1237:W1270,B1237:B1270,B1246-in_rec_lag)*d_rec</f>
        <v/>
      </c>
      <c r="AD1246" s="14">
        <f>Z1246*in_card_fee</f>
        <v/>
      </c>
      <c r="AE1246" s="40">
        <f>AE1245*(1-IF(B1245&gt;=in_marketplace_from,d_hz_hlth_small*G1245,0))</f>
        <v/>
      </c>
      <c r="AF1246" s="46">
        <f>AE1246*IF(B1246&gt;=in_marketplace_from,d_hz_hlth_small*G1246,0)</f>
        <v/>
      </c>
      <c r="AG1246" s="14">
        <f>F1246*AF1246*in_hlth_small_ticket*in_hlth_small_comm*in_ins_partner_share+F1246*in_hlth_small_ticket*in_hlth_small_renew_comm*in_ins_partner_share*(in_hlth_small_renew^1*SUMIFS(AF1237:AF1270,B1237:B1270,B1246-12)+in_hlth_small_renew^2*SUMIFS(AF1237:AF1270,B1237:B1270,B1246-24)+in_hlth_small_renew^3*SUMIFS(AF1237:AF1270,B1237:B1270,B1246-36)+in_hlth_small_renew^4*SUMIFS(AF1237:AF1270,B1237:B1270,B1246-48))</f>
        <v/>
      </c>
      <c r="AH1246" s="40">
        <f>AH1245*(1-IF(B1245&gt;=in_marketplace_from,d_hz_hlth_family*G1245,0))</f>
        <v/>
      </c>
      <c r="AI1246" s="46">
        <f>AH1246*IF(B1246&gt;=in_marketplace_from,d_hz_hlth_family*G1246,0)</f>
        <v/>
      </c>
      <c r="AJ1246" s="14">
        <f>F1246*AI1246*in_hlth_family_ticket*in_hlth_family_comm*in_ins_partner_share+F1246*in_hlth_family_ticket*in_hlth_family_renew_comm*in_ins_partner_share*(in_hlth_family_renew^1*SUMIFS(AI1237:AI1270,B1237:B1270,B1246-12)+in_hlth_family_renew^2*SUMIFS(AI1237:AI1270,B1237:B1270,B1246-24)+in_hlth_family_renew^3*SUMIFS(AI1237:AI1270,B1237:B1270,B1246-36)+in_hlth_family_renew^4*SUMIFS(AI1237:AI1270,B1237:B1270,B1246-48))</f>
        <v/>
      </c>
      <c r="AK1246" s="40">
        <f>AK1245*(1-IF(B1245&gt;=in_marketplace_from,d_hz_life_term*G1245,0))</f>
        <v/>
      </c>
      <c r="AL1246" s="46">
        <f>AK1246*IF(B1246&gt;=in_marketplace_from,d_hz_life_term*G1246,0)</f>
        <v/>
      </c>
      <c r="AM1246" s="14">
        <f>F1246*AL1246*in_life_term_ticket*in_life_term_comm*in_ins_partner_share+F1246*in_life_term_ticket*in_life_term_renew_comm*in_ins_partner_share*(in_life_term_renew^1*SUMIFS(AL1237:AL1270,B1237:B1270,B1246-12)+in_life_term_renew^2*SUMIFS(AL1237:AL1270,B1237:B1270,B1246-24)+in_life_term_renew^3*SUMIFS(AL1237:AL1270,B1237:B1270,B1246-36)+in_life_term_renew^4*SUMIFS(AL1237:AL1270,B1237:B1270,B1246-48))</f>
        <v/>
      </c>
      <c r="AN1246" s="40">
        <f>AN1245*(1-IF(B1245&gt;=in_marketplace_from,d_hz_accident*G1245,0))</f>
        <v/>
      </c>
      <c r="AO1246" s="46">
        <f>AN1246*IF(B1246&gt;=in_marketplace_from,d_hz_accident*G1246,0)</f>
        <v/>
      </c>
      <c r="AP1246" s="14">
        <f>F1246*AO1246*in_accident_ticket*in_accident_comm*in_ins_partner_share+F1246*in_accident_ticket*in_accident_renew_comm*in_ins_partner_share*(in_accident_renew^1*SUMIFS(AO1237:AO1270,B1237:B1270,B1246-12)+in_accident_renew^2*SUMIFS(AO1237:AO1270,B1237:B1270,B1246-24)+in_accident_renew^3*SUMIFS(AO1237:AO1270,B1237:B1270,B1246-36)+in_accident_renew^4*SUMIFS(AO1237:AO1270,B1237:B1270,B1246-48))</f>
        <v/>
      </c>
      <c r="AQ1246" s="40">
        <f>AQ1245*(1-IF(B1245&gt;=in_marketplace_from,d_hz_two_wheeler*G1245,0))</f>
        <v/>
      </c>
      <c r="AR1246" s="46">
        <f>AQ1246*IF(B1246&gt;=in_marketplace_from,d_hz_two_wheeler*G1246,0)</f>
        <v/>
      </c>
      <c r="AS1246" s="14">
        <f>F1246*AR1246*in_two_wheeler_ticket*in_two_wheeler_comm*in_ins_partner_share+F1246*in_two_wheeler_ticket*in_two_wheeler_comm*in_ins_partner_share*(in_two_wheeler_renew^1*SUMIFS(AR1237:AR1270,B1237:B1270,B1246-12)+in_two_wheeler_renew^2*SUMIFS(AR1237:AR1270,B1237:B1270,B1246-24)+in_two_wheeler_renew^3*SUMIFS(AR1237:AR1270,B1237:B1270,B1246-36)+in_two_wheeler_renew^4*SUMIFS(AR1237:AR1270,B1237:B1270,B1246-48))</f>
        <v/>
      </c>
      <c r="AT1246" s="40">
        <f>AT1245*(1-IF(B1245&gt;=in_marketplace_from,d_hz_device*G1245,0))</f>
        <v/>
      </c>
      <c r="AU1246" s="14">
        <f>F1246*AT1246*IF(B1246&gt;=in_marketplace_from,d_hz_device*G1246,0)*in_device_ticket*in_device_comm*in_ins_partner_share</f>
        <v/>
      </c>
      <c r="AV1246" s="40">
        <f>AV1245*(1-IF(B1245&gt;=in_marketplace_from,d_hz_shop*G1245,0))</f>
        <v/>
      </c>
      <c r="AW1246" s="46">
        <f>AV1246*IF(B1246&gt;=in_marketplace_from,d_hz_shop*G1246,0)</f>
        <v/>
      </c>
      <c r="AX1246" s="14">
        <f>F1246*AW1246*in_shop_ticket*in_shop_comm*in_ins_partner_share+F1246*in_shop_ticket*in_shop_renew_comm*in_ins_partner_share*(in_shop_renew^1*SUMIFS(AW1237:AW1270,B1237:B1270,B1246-12)+in_shop_renew^2*SUMIFS(AW1237:AW1270,B1237:B1270,B1246-24)+in_shop_renew^3*SUMIFS(AW1237:AW1270,B1237:B1270,B1246-36)+in_shop_renew^4*SUMIFS(AW1237:AW1270,B1237:B1270,B1246-48))</f>
        <v/>
      </c>
      <c r="AY1246" s="40">
        <f>AY1245*(1-IF(B1245&gt;=in_marketplace_from,d_hz_sip*G1245,0))</f>
        <v/>
      </c>
      <c r="AZ1246" s="40">
        <f>AZ1245*d_rho_sip+AY1246*IF(B1246&gt;=in_marketplace_from,d_hz_sip*G1246,0)</f>
        <v/>
      </c>
      <c r="BA1246" s="40">
        <f>d_rho_sip*(BA1245+AZ1245)</f>
        <v/>
      </c>
      <c r="BB1246" s="14">
        <f>F1246*in_sip_ticket*(BA1246+0.5*AZ1246)*in_sip_comm/12</f>
        <v/>
      </c>
      <c r="BC1246" s="40">
        <f>BC1245*(1-IF(B1245&gt;=in_marketplace_from,d_hz_choti*G1245,0))</f>
        <v/>
      </c>
      <c r="BD1246" s="46">
        <f>BC1246*IF(B1246&gt;=in_marketplace_from,d_hz_choti*G1246,0)</f>
        <v/>
      </c>
      <c r="BE1246" s="14">
        <f>F1246*SUMIFS(BD1237:BD1270,B1237:B1270,B1246-in_choti_months)*in_choti_renew*in_choti_ticket</f>
        <v/>
      </c>
      <c r="BF1246" s="40">
        <f>BF1245*(1-IF(B1245&gt;=in_marketplace_from,d_hz_nps*G1245,0))</f>
        <v/>
      </c>
      <c r="BG1246" s="14">
        <f>F1246*BF1246*IF(B1246&gt;=in_marketplace_from,d_hz_nps*G1246,0)*in_nps_ticket*in_nps_comm</f>
        <v/>
      </c>
      <c r="BH1246" s="40">
        <f>BH1245*(1-IF(B1245&gt;=in_marketplace_from,d_hz_gold*G1245,0))</f>
        <v/>
      </c>
      <c r="BI1246" s="40">
        <f>BI1245*d_rho_gold+BH1246*IF(B1246&gt;=in_marketplace_from,d_hz_gold*G1246,0)</f>
        <v/>
      </c>
      <c r="BJ1246" s="14">
        <f>F1246*BI1246*in_gold_ticket*in_gold_comm</f>
        <v/>
      </c>
      <c r="BK1246" s="40">
        <f>BK1245*(1-IF(B1245&gt;=in_marketplace_from,d_hz_fd*G1245,0))</f>
        <v/>
      </c>
      <c r="BL1246" s="14">
        <f>F1246*BK1246*IF(B1246&gt;=in_marketplace_from,d_hz_fd*G1246,0)*in_fd_ticket*in_fd_comm</f>
        <v/>
      </c>
      <c r="BM1246" s="40">
        <f>BM1245*(1-IF(B1245&gt;=in_marketplace_from,d_hz_recharge*G1245,0))</f>
        <v/>
      </c>
      <c r="BN1246" s="40">
        <f>BN1245*d_rho_recharge+BM1246*IF(B1246&gt;=in_marketplace_from,d_hz_recharge*G1246,0)</f>
        <v/>
      </c>
      <c r="BO1246" s="14">
        <f>F1246*BN1246*in_recharge_ticket*in_recharge_comm/12</f>
        <v/>
      </c>
      <c r="BP1246" s="40">
        <f>BP1245*(1-IF(B1245&gt;=in_marketplace_from,d_hz_bills*G1245,0))</f>
        <v/>
      </c>
      <c r="BQ1246" s="40">
        <f>BQ1245*d_rho_bills+BP1246*IF(B1246&gt;=in_marketplace_from,d_hz_bills*G1246,0)</f>
        <v/>
      </c>
      <c r="BR1246" s="14">
        <f>F1246*BQ1246*in_bills_ticket*in_bills_comm/12</f>
        <v/>
      </c>
      <c r="BS1246" s="40">
        <f>BS1245*(1-IF(B1245&gt;=in_marketplace_from,d_hz_loan_gold*G1245,0))</f>
        <v/>
      </c>
      <c r="BT1246" s="14">
        <f>F1246*BS1246*IF(B1246&gt;=in_marketplace_from,d_hz_loan_gold*G1246,0)*in_loan_gold_ticket*in_loan_gold_comm</f>
        <v/>
      </c>
      <c r="BU1246" s="40">
        <f>BU1245*(1-IF(B1245&gt;=in_marketplace_from,d_hz_loan_cd*G1245,0))</f>
        <v/>
      </c>
      <c r="BV1246" s="14">
        <f>F1246*BU1246*IF(B1246&gt;=in_marketplace_from,d_hz_loan_cd*G1246,0)*in_loan_cd_ticket*in_loan_cd_comm</f>
        <v/>
      </c>
      <c r="BW1246" s="40">
        <f>BW1245*(1-IF(B1245&gt;=in_marketplace_from,d_hz_loan_vehicle*G1245,0))</f>
        <v/>
      </c>
      <c r="BX1246" s="14">
        <f>F1246*BW1246*IF(B1246&gt;=in_marketplace_from,d_hz_loan_vehicle*G1246,0)*in_loan_vehicle_ticket*in_loan_vehicle_comm</f>
        <v/>
      </c>
      <c r="BY1246" s="40">
        <f>BY1245*(1-IF(B1245&gt;=in_marketplace_from,d_hz_loan_home*G1245,0)*BZ1245)</f>
        <v/>
      </c>
      <c r="BZ1246" s="11">
        <f>MIN(in_approval_cap,in_loan_home_approval*INDEX('Age profile'!$O$2:$O$61,B1246)*(1+in_approval_growth)^(D1246-1))</f>
        <v/>
      </c>
      <c r="CA1246" s="14">
        <f>F1246*BY1246*IF(B1246&gt;=in_marketplace_from,d_hz_loan_home*G1246,0)*BZ1246*in_loan_home_ticket*in_loan_home_comm</f>
        <v/>
      </c>
      <c r="CB1246" s="40">
        <f>CB1245*(1-IF(B1245&gt;=in_marketplace_from,d_hz_loan_lap*G1245,0)*CC1245)</f>
        <v/>
      </c>
      <c r="CC1246" s="11">
        <f>MIN(in_approval_cap,in_loan_lap_approval*INDEX('Age profile'!$O$2:$O$61,B1246)*(1+in_approval_growth)^(D1246-1))</f>
        <v/>
      </c>
      <c r="CD1246" s="14">
        <f>F1246*CB1246*IF(B1246&gt;=in_marketplace_from,d_hz_loan_lap*G1246,0)*CC1246*in_loan_lap_ticket*in_loan_lap_comm</f>
        <v/>
      </c>
      <c r="CE1246" s="14">
        <f>AA1246+AB1246+AC1246+AD1246+AG1246+AJ1246+AM1246+AP1246+AS1246+AU1246+AX1246+BB1246+BE1246+BG1246+BJ1246+BL1246+BO1246+BR1246+BT1246+BV1246+BX1246+CA1246+CD1246</f>
        <v/>
      </c>
    </row>
    <row r="1247">
      <c r="A1247" s="39" t="n">
        <v>27</v>
      </c>
      <c r="B1247" s="39" t="n">
        <v>11</v>
      </c>
      <c r="C1247" s="39">
        <f>A1247+B1247-1</f>
        <v/>
      </c>
      <c r="D1247" s="39">
        <f>INT((C1247-1)/12)+1</f>
        <v/>
      </c>
      <c r="E1247" s="44">
        <f>INDEX(Monthly!$B$2:$B$61,A1247)</f>
        <v/>
      </c>
      <c r="F1247" s="44">
        <f>E1247*INDEX('Age profile'!$B$2:$B$61,B1247)</f>
        <v/>
      </c>
      <c r="G1247" s="45">
        <f>MIN(in_takeup_cap,INDEX('Age profile'!$N$2:$N$61,B1247)*(1+in_takeup_growth)^(D1247-1))</f>
        <v/>
      </c>
      <c r="H1247" s="11">
        <f>MIN(in_approval_cap,in_approved_first*INDEX('Age profile'!$O$2:$O$61,B1247)*(1+in_approval_growth)^(D1247-1))</f>
        <v/>
      </c>
      <c r="I1247" s="45">
        <f>G1247*MIN(in_takeup_cap,INDEX('Age profile'!$O$2:$O$61,B1247)*(1+in_approval_growth)^(D1247-1))</f>
        <v/>
      </c>
      <c r="J1247" s="40">
        <f>(J1246-L1246)*F1247/F1246</f>
        <v/>
      </c>
      <c r="K1247" s="40">
        <f>(K1246-M1246)*F1247/F1246+SUMIFS(O1237:O1246,B1237:B1246,B1247-1-d_T)*F1247</f>
        <v/>
      </c>
      <c r="L1247" s="40">
        <f>IF(B1247&gt;=in_marketplace_from,J1247*d_hz*G1247*in_eligible*H1247,0)</f>
        <v/>
      </c>
      <c r="M1247" s="40">
        <f>IF(B1247&gt;=in_marketplace_from,K1247*d_hz*G1247*in_eligible*in_approved_repeat,0)</f>
        <v/>
      </c>
      <c r="N1247" s="40">
        <f>L1247+M1247</f>
        <v/>
      </c>
      <c r="O1247" s="46">
        <f>N1247/F1247</f>
        <v/>
      </c>
      <c r="P1247" s="40">
        <f>F1247-J1247-K1247</f>
        <v/>
      </c>
      <c r="Q1247" s="40">
        <f>IF(B1247&gt;=in_marketplace_from,(J1247+K1247)*d_hz*G1247,0)</f>
        <v/>
      </c>
      <c r="R1247" s="40">
        <f>SUMIFS(N1237:N1270,B1237:B1270,"&gt;="&amp;(B1247-d_T),B1237:B1270,"&lt;="&amp;(B1247-1))</f>
        <v/>
      </c>
      <c r="S1247" s="46">
        <f>(1-d_u)*S1246+IF(d_T&gt;in_topup_lag,SUMIFS(O1237:O1270,B1237:B1270,B1247-in_topup_lag)-d_udrop*SUMIFS(O1237:O1270,B1237:B1270,B1247-d_T),0)</f>
        <v/>
      </c>
      <c r="T1247" s="40">
        <f>F1247*d_u*S1247</f>
        <v/>
      </c>
      <c r="U1247" s="9">
        <f>L1247*in_ticket+M1247*d_rep_ticket</f>
        <v/>
      </c>
      <c r="V1247" s="9">
        <f>U1247+T1247*d_topup_amt</f>
        <v/>
      </c>
      <c r="W1247" s="40">
        <f>N1247+T1247*d_topup_ratio</f>
        <v/>
      </c>
      <c r="X1247" s="40">
        <f>SUMIFS(W1237:W1270,B1237:B1270,B1247-in_dpd_lag)*d_cured</f>
        <v/>
      </c>
      <c r="Y1247" s="40">
        <f>SUMIFS(W1237:W1270,B1237:B1270,B1247-in_rec_lag)*d_recd</f>
        <v/>
      </c>
      <c r="Z1247" s="40">
        <f>IF(AND(B1247&gt;=in_marketplace_from,B1247&lt;in_marketplace_from+in_card_months),in_card_share/in_card_months*F1247*I1247,IF(AND(B1247&gt;=in_marketplace_from+in_card_months,B1247&lt;in_marketplace_from+2*in_card_months),in_card_share*d_card_rem/in_card_months*F1247*MIN(in_takeup_cap,(1+in_takeup_growth)^(D1247-1))*MIN(in_takeup_cap,(1+in_approval_growth)^(D1247-1)),0))</f>
        <v/>
      </c>
      <c r="AA1247" s="14">
        <f>V1247*in_fee*(1-in_taken_back)</f>
        <v/>
      </c>
      <c r="AB1247" s="14">
        <f>SUMIFS(W1237:W1270,B1237:B1270,B1247-in_dpd_lag)*d_dpd</f>
        <v/>
      </c>
      <c r="AC1247" s="14">
        <f>SUMIFS(W1237:W1270,B1237:B1270,B1247-in_rec_lag)*d_rec</f>
        <v/>
      </c>
      <c r="AD1247" s="14">
        <f>Z1247*in_card_fee</f>
        <v/>
      </c>
      <c r="AE1247" s="40">
        <f>AE1246*(1-IF(B1246&gt;=in_marketplace_from,d_hz_hlth_small*G1246,0))</f>
        <v/>
      </c>
      <c r="AF1247" s="46">
        <f>AE1247*IF(B1247&gt;=in_marketplace_from,d_hz_hlth_small*G1247,0)</f>
        <v/>
      </c>
      <c r="AG1247" s="14">
        <f>F1247*AF1247*in_hlth_small_ticket*in_hlth_small_comm*in_ins_partner_share+F1247*in_hlth_small_ticket*in_hlth_small_renew_comm*in_ins_partner_share*(in_hlth_small_renew^1*SUMIFS(AF1237:AF1270,B1237:B1270,B1247-12)+in_hlth_small_renew^2*SUMIFS(AF1237:AF1270,B1237:B1270,B1247-24)+in_hlth_small_renew^3*SUMIFS(AF1237:AF1270,B1237:B1270,B1247-36)+in_hlth_small_renew^4*SUMIFS(AF1237:AF1270,B1237:B1270,B1247-48))</f>
        <v/>
      </c>
      <c r="AH1247" s="40">
        <f>AH1246*(1-IF(B1246&gt;=in_marketplace_from,d_hz_hlth_family*G1246,0))</f>
        <v/>
      </c>
      <c r="AI1247" s="46">
        <f>AH1247*IF(B1247&gt;=in_marketplace_from,d_hz_hlth_family*G1247,0)</f>
        <v/>
      </c>
      <c r="AJ1247" s="14">
        <f>F1247*AI1247*in_hlth_family_ticket*in_hlth_family_comm*in_ins_partner_share+F1247*in_hlth_family_ticket*in_hlth_family_renew_comm*in_ins_partner_share*(in_hlth_family_renew^1*SUMIFS(AI1237:AI1270,B1237:B1270,B1247-12)+in_hlth_family_renew^2*SUMIFS(AI1237:AI1270,B1237:B1270,B1247-24)+in_hlth_family_renew^3*SUMIFS(AI1237:AI1270,B1237:B1270,B1247-36)+in_hlth_family_renew^4*SUMIFS(AI1237:AI1270,B1237:B1270,B1247-48))</f>
        <v/>
      </c>
      <c r="AK1247" s="40">
        <f>AK1246*(1-IF(B1246&gt;=in_marketplace_from,d_hz_life_term*G1246,0))</f>
        <v/>
      </c>
      <c r="AL1247" s="46">
        <f>AK1247*IF(B1247&gt;=in_marketplace_from,d_hz_life_term*G1247,0)</f>
        <v/>
      </c>
      <c r="AM1247" s="14">
        <f>F1247*AL1247*in_life_term_ticket*in_life_term_comm*in_ins_partner_share+F1247*in_life_term_ticket*in_life_term_renew_comm*in_ins_partner_share*(in_life_term_renew^1*SUMIFS(AL1237:AL1270,B1237:B1270,B1247-12)+in_life_term_renew^2*SUMIFS(AL1237:AL1270,B1237:B1270,B1247-24)+in_life_term_renew^3*SUMIFS(AL1237:AL1270,B1237:B1270,B1247-36)+in_life_term_renew^4*SUMIFS(AL1237:AL1270,B1237:B1270,B1247-48))</f>
        <v/>
      </c>
      <c r="AN1247" s="40">
        <f>AN1246*(1-IF(B1246&gt;=in_marketplace_from,d_hz_accident*G1246,0))</f>
        <v/>
      </c>
      <c r="AO1247" s="46">
        <f>AN1247*IF(B1247&gt;=in_marketplace_from,d_hz_accident*G1247,0)</f>
        <v/>
      </c>
      <c r="AP1247" s="14">
        <f>F1247*AO1247*in_accident_ticket*in_accident_comm*in_ins_partner_share+F1247*in_accident_ticket*in_accident_renew_comm*in_ins_partner_share*(in_accident_renew^1*SUMIFS(AO1237:AO1270,B1237:B1270,B1247-12)+in_accident_renew^2*SUMIFS(AO1237:AO1270,B1237:B1270,B1247-24)+in_accident_renew^3*SUMIFS(AO1237:AO1270,B1237:B1270,B1247-36)+in_accident_renew^4*SUMIFS(AO1237:AO1270,B1237:B1270,B1247-48))</f>
        <v/>
      </c>
      <c r="AQ1247" s="40">
        <f>AQ1246*(1-IF(B1246&gt;=in_marketplace_from,d_hz_two_wheeler*G1246,0))</f>
        <v/>
      </c>
      <c r="AR1247" s="46">
        <f>AQ1247*IF(B1247&gt;=in_marketplace_from,d_hz_two_wheeler*G1247,0)</f>
        <v/>
      </c>
      <c r="AS1247" s="14">
        <f>F1247*AR1247*in_two_wheeler_ticket*in_two_wheeler_comm*in_ins_partner_share+F1247*in_two_wheeler_ticket*in_two_wheeler_comm*in_ins_partner_share*(in_two_wheeler_renew^1*SUMIFS(AR1237:AR1270,B1237:B1270,B1247-12)+in_two_wheeler_renew^2*SUMIFS(AR1237:AR1270,B1237:B1270,B1247-24)+in_two_wheeler_renew^3*SUMIFS(AR1237:AR1270,B1237:B1270,B1247-36)+in_two_wheeler_renew^4*SUMIFS(AR1237:AR1270,B1237:B1270,B1247-48))</f>
        <v/>
      </c>
      <c r="AT1247" s="40">
        <f>AT1246*(1-IF(B1246&gt;=in_marketplace_from,d_hz_device*G1246,0))</f>
        <v/>
      </c>
      <c r="AU1247" s="14">
        <f>F1247*AT1247*IF(B1247&gt;=in_marketplace_from,d_hz_device*G1247,0)*in_device_ticket*in_device_comm*in_ins_partner_share</f>
        <v/>
      </c>
      <c r="AV1247" s="40">
        <f>AV1246*(1-IF(B1246&gt;=in_marketplace_from,d_hz_shop*G1246,0))</f>
        <v/>
      </c>
      <c r="AW1247" s="46">
        <f>AV1247*IF(B1247&gt;=in_marketplace_from,d_hz_shop*G1247,0)</f>
        <v/>
      </c>
      <c r="AX1247" s="14">
        <f>F1247*AW1247*in_shop_ticket*in_shop_comm*in_ins_partner_share+F1247*in_shop_ticket*in_shop_renew_comm*in_ins_partner_share*(in_shop_renew^1*SUMIFS(AW1237:AW1270,B1237:B1270,B1247-12)+in_shop_renew^2*SUMIFS(AW1237:AW1270,B1237:B1270,B1247-24)+in_shop_renew^3*SUMIFS(AW1237:AW1270,B1237:B1270,B1247-36)+in_shop_renew^4*SUMIFS(AW1237:AW1270,B1237:B1270,B1247-48))</f>
        <v/>
      </c>
      <c r="AY1247" s="40">
        <f>AY1246*(1-IF(B1246&gt;=in_marketplace_from,d_hz_sip*G1246,0))</f>
        <v/>
      </c>
      <c r="AZ1247" s="40">
        <f>AZ1246*d_rho_sip+AY1247*IF(B1247&gt;=in_marketplace_from,d_hz_sip*G1247,0)</f>
        <v/>
      </c>
      <c r="BA1247" s="40">
        <f>d_rho_sip*(BA1246+AZ1246)</f>
        <v/>
      </c>
      <c r="BB1247" s="14">
        <f>F1247*in_sip_ticket*(BA1247+0.5*AZ1247)*in_sip_comm/12</f>
        <v/>
      </c>
      <c r="BC1247" s="40">
        <f>BC1246*(1-IF(B1246&gt;=in_marketplace_from,d_hz_choti*G1246,0))</f>
        <v/>
      </c>
      <c r="BD1247" s="46">
        <f>BC1247*IF(B1247&gt;=in_marketplace_from,d_hz_choti*G1247,0)</f>
        <v/>
      </c>
      <c r="BE1247" s="14">
        <f>F1247*SUMIFS(BD1237:BD1270,B1237:B1270,B1247-in_choti_months)*in_choti_renew*in_choti_ticket</f>
        <v/>
      </c>
      <c r="BF1247" s="40">
        <f>BF1246*(1-IF(B1246&gt;=in_marketplace_from,d_hz_nps*G1246,0))</f>
        <v/>
      </c>
      <c r="BG1247" s="14">
        <f>F1247*BF1247*IF(B1247&gt;=in_marketplace_from,d_hz_nps*G1247,0)*in_nps_ticket*in_nps_comm</f>
        <v/>
      </c>
      <c r="BH1247" s="40">
        <f>BH1246*(1-IF(B1246&gt;=in_marketplace_from,d_hz_gold*G1246,0))</f>
        <v/>
      </c>
      <c r="BI1247" s="40">
        <f>BI1246*d_rho_gold+BH1247*IF(B1247&gt;=in_marketplace_from,d_hz_gold*G1247,0)</f>
        <v/>
      </c>
      <c r="BJ1247" s="14">
        <f>F1247*BI1247*in_gold_ticket*in_gold_comm</f>
        <v/>
      </c>
      <c r="BK1247" s="40">
        <f>BK1246*(1-IF(B1246&gt;=in_marketplace_from,d_hz_fd*G1246,0))</f>
        <v/>
      </c>
      <c r="BL1247" s="14">
        <f>F1247*BK1247*IF(B1247&gt;=in_marketplace_from,d_hz_fd*G1247,0)*in_fd_ticket*in_fd_comm</f>
        <v/>
      </c>
      <c r="BM1247" s="40">
        <f>BM1246*(1-IF(B1246&gt;=in_marketplace_from,d_hz_recharge*G1246,0))</f>
        <v/>
      </c>
      <c r="BN1247" s="40">
        <f>BN1246*d_rho_recharge+BM1247*IF(B1247&gt;=in_marketplace_from,d_hz_recharge*G1247,0)</f>
        <v/>
      </c>
      <c r="BO1247" s="14">
        <f>F1247*BN1247*in_recharge_ticket*in_recharge_comm/12</f>
        <v/>
      </c>
      <c r="BP1247" s="40">
        <f>BP1246*(1-IF(B1246&gt;=in_marketplace_from,d_hz_bills*G1246,0))</f>
        <v/>
      </c>
      <c r="BQ1247" s="40">
        <f>BQ1246*d_rho_bills+BP1247*IF(B1247&gt;=in_marketplace_from,d_hz_bills*G1247,0)</f>
        <v/>
      </c>
      <c r="BR1247" s="14">
        <f>F1247*BQ1247*in_bills_ticket*in_bills_comm/12</f>
        <v/>
      </c>
      <c r="BS1247" s="40">
        <f>BS1246*(1-IF(B1246&gt;=in_marketplace_from,d_hz_loan_gold*G1246,0))</f>
        <v/>
      </c>
      <c r="BT1247" s="14">
        <f>F1247*BS1247*IF(B1247&gt;=in_marketplace_from,d_hz_loan_gold*G1247,0)*in_loan_gold_ticket*in_loan_gold_comm</f>
        <v/>
      </c>
      <c r="BU1247" s="40">
        <f>BU1246*(1-IF(B1246&gt;=in_marketplace_from,d_hz_loan_cd*G1246,0))</f>
        <v/>
      </c>
      <c r="BV1247" s="14">
        <f>F1247*BU1247*IF(B1247&gt;=in_marketplace_from,d_hz_loan_cd*G1247,0)*in_loan_cd_ticket*in_loan_cd_comm</f>
        <v/>
      </c>
      <c r="BW1247" s="40">
        <f>BW1246*(1-IF(B1246&gt;=in_marketplace_from,d_hz_loan_vehicle*G1246,0))</f>
        <v/>
      </c>
      <c r="BX1247" s="14">
        <f>F1247*BW1247*IF(B1247&gt;=in_marketplace_from,d_hz_loan_vehicle*G1247,0)*in_loan_vehicle_ticket*in_loan_vehicle_comm</f>
        <v/>
      </c>
      <c r="BY1247" s="40">
        <f>BY1246*(1-IF(B1246&gt;=in_marketplace_from,d_hz_loan_home*G1246,0)*BZ1246)</f>
        <v/>
      </c>
      <c r="BZ1247" s="11">
        <f>MIN(in_approval_cap,in_loan_home_approval*INDEX('Age profile'!$O$2:$O$61,B1247)*(1+in_approval_growth)^(D1247-1))</f>
        <v/>
      </c>
      <c r="CA1247" s="14">
        <f>F1247*BY1247*IF(B1247&gt;=in_marketplace_from,d_hz_loan_home*G1247,0)*BZ1247*in_loan_home_ticket*in_loan_home_comm</f>
        <v/>
      </c>
      <c r="CB1247" s="40">
        <f>CB1246*(1-IF(B1246&gt;=in_marketplace_from,d_hz_loan_lap*G1246,0)*CC1246)</f>
        <v/>
      </c>
      <c r="CC1247" s="11">
        <f>MIN(in_approval_cap,in_loan_lap_approval*INDEX('Age profile'!$O$2:$O$61,B1247)*(1+in_approval_growth)^(D1247-1))</f>
        <v/>
      </c>
      <c r="CD1247" s="14">
        <f>F1247*CB1247*IF(B1247&gt;=in_marketplace_from,d_hz_loan_lap*G1247,0)*CC1247*in_loan_lap_ticket*in_loan_lap_comm</f>
        <v/>
      </c>
      <c r="CE1247" s="14">
        <f>AA1247+AB1247+AC1247+AD1247+AG1247+AJ1247+AM1247+AP1247+AS1247+AU1247+AX1247+BB1247+BE1247+BG1247+BJ1247+BL1247+BO1247+BR1247+BT1247+BV1247+BX1247+CA1247+CD1247</f>
        <v/>
      </c>
    </row>
    <row r="1248">
      <c r="A1248" s="39" t="n">
        <v>27</v>
      </c>
      <c r="B1248" s="39" t="n">
        <v>12</v>
      </c>
      <c r="C1248" s="39">
        <f>A1248+B1248-1</f>
        <v/>
      </c>
      <c r="D1248" s="39">
        <f>INT((C1248-1)/12)+1</f>
        <v/>
      </c>
      <c r="E1248" s="44">
        <f>INDEX(Monthly!$B$2:$B$61,A1248)</f>
        <v/>
      </c>
      <c r="F1248" s="44">
        <f>E1248*INDEX('Age profile'!$B$2:$B$61,B1248)</f>
        <v/>
      </c>
      <c r="G1248" s="45">
        <f>MIN(in_takeup_cap,INDEX('Age profile'!$N$2:$N$61,B1248)*(1+in_takeup_growth)^(D1248-1))</f>
        <v/>
      </c>
      <c r="H1248" s="11">
        <f>MIN(in_approval_cap,in_approved_first*INDEX('Age profile'!$O$2:$O$61,B1248)*(1+in_approval_growth)^(D1248-1))</f>
        <v/>
      </c>
      <c r="I1248" s="45">
        <f>G1248*MIN(in_takeup_cap,INDEX('Age profile'!$O$2:$O$61,B1248)*(1+in_approval_growth)^(D1248-1))</f>
        <v/>
      </c>
      <c r="J1248" s="40">
        <f>(J1247-L1247)*F1248/F1247</f>
        <v/>
      </c>
      <c r="K1248" s="40">
        <f>(K1247-M1247)*F1248/F1247+SUMIFS(O1237:O1247,B1237:B1247,B1248-1-d_T)*F1248</f>
        <v/>
      </c>
      <c r="L1248" s="40">
        <f>IF(B1248&gt;=in_marketplace_from,J1248*d_hz*G1248*in_eligible*H1248,0)</f>
        <v/>
      </c>
      <c r="M1248" s="40">
        <f>IF(B1248&gt;=in_marketplace_from,K1248*d_hz*G1248*in_eligible*in_approved_repeat,0)</f>
        <v/>
      </c>
      <c r="N1248" s="40">
        <f>L1248+M1248</f>
        <v/>
      </c>
      <c r="O1248" s="46">
        <f>N1248/F1248</f>
        <v/>
      </c>
      <c r="P1248" s="40">
        <f>F1248-J1248-K1248</f>
        <v/>
      </c>
      <c r="Q1248" s="40">
        <f>IF(B1248&gt;=in_marketplace_from,(J1248+K1248)*d_hz*G1248,0)</f>
        <v/>
      </c>
      <c r="R1248" s="40">
        <f>SUMIFS(N1237:N1270,B1237:B1270,"&gt;="&amp;(B1248-d_T),B1237:B1270,"&lt;="&amp;(B1248-1))</f>
        <v/>
      </c>
      <c r="S1248" s="46">
        <f>(1-d_u)*S1247+IF(d_T&gt;in_topup_lag,SUMIFS(O1237:O1270,B1237:B1270,B1248-in_topup_lag)-d_udrop*SUMIFS(O1237:O1270,B1237:B1270,B1248-d_T),0)</f>
        <v/>
      </c>
      <c r="T1248" s="40">
        <f>F1248*d_u*S1248</f>
        <v/>
      </c>
      <c r="U1248" s="9">
        <f>L1248*in_ticket+M1248*d_rep_ticket</f>
        <v/>
      </c>
      <c r="V1248" s="9">
        <f>U1248+T1248*d_topup_amt</f>
        <v/>
      </c>
      <c r="W1248" s="40">
        <f>N1248+T1248*d_topup_ratio</f>
        <v/>
      </c>
      <c r="X1248" s="40">
        <f>SUMIFS(W1237:W1270,B1237:B1270,B1248-in_dpd_lag)*d_cured</f>
        <v/>
      </c>
      <c r="Y1248" s="40">
        <f>SUMIFS(W1237:W1270,B1237:B1270,B1248-in_rec_lag)*d_recd</f>
        <v/>
      </c>
      <c r="Z1248" s="40">
        <f>IF(AND(B1248&gt;=in_marketplace_from,B1248&lt;in_marketplace_from+in_card_months),in_card_share/in_card_months*F1248*I1248,IF(AND(B1248&gt;=in_marketplace_from+in_card_months,B1248&lt;in_marketplace_from+2*in_card_months),in_card_share*d_card_rem/in_card_months*F1248*MIN(in_takeup_cap,(1+in_takeup_growth)^(D1248-1))*MIN(in_takeup_cap,(1+in_approval_growth)^(D1248-1)),0))</f>
        <v/>
      </c>
      <c r="AA1248" s="14">
        <f>V1248*in_fee*(1-in_taken_back)</f>
        <v/>
      </c>
      <c r="AB1248" s="14">
        <f>SUMIFS(W1237:W1270,B1237:B1270,B1248-in_dpd_lag)*d_dpd</f>
        <v/>
      </c>
      <c r="AC1248" s="14">
        <f>SUMIFS(W1237:W1270,B1237:B1270,B1248-in_rec_lag)*d_rec</f>
        <v/>
      </c>
      <c r="AD1248" s="14">
        <f>Z1248*in_card_fee</f>
        <v/>
      </c>
      <c r="AE1248" s="40">
        <f>AE1247*(1-IF(B1247&gt;=in_marketplace_from,d_hz_hlth_small*G1247,0))</f>
        <v/>
      </c>
      <c r="AF1248" s="46">
        <f>AE1248*IF(B1248&gt;=in_marketplace_from,d_hz_hlth_small*G1248,0)</f>
        <v/>
      </c>
      <c r="AG1248" s="14">
        <f>F1248*AF1248*in_hlth_small_ticket*in_hlth_small_comm*in_ins_partner_share+F1248*in_hlth_small_ticket*in_hlth_small_renew_comm*in_ins_partner_share*(in_hlth_small_renew^1*SUMIFS(AF1237:AF1270,B1237:B1270,B1248-12)+in_hlth_small_renew^2*SUMIFS(AF1237:AF1270,B1237:B1270,B1248-24)+in_hlth_small_renew^3*SUMIFS(AF1237:AF1270,B1237:B1270,B1248-36)+in_hlth_small_renew^4*SUMIFS(AF1237:AF1270,B1237:B1270,B1248-48))</f>
        <v/>
      </c>
      <c r="AH1248" s="40">
        <f>AH1247*(1-IF(B1247&gt;=in_marketplace_from,d_hz_hlth_family*G1247,0))</f>
        <v/>
      </c>
      <c r="AI1248" s="46">
        <f>AH1248*IF(B1248&gt;=in_marketplace_from,d_hz_hlth_family*G1248,0)</f>
        <v/>
      </c>
      <c r="AJ1248" s="14">
        <f>F1248*AI1248*in_hlth_family_ticket*in_hlth_family_comm*in_ins_partner_share+F1248*in_hlth_family_ticket*in_hlth_family_renew_comm*in_ins_partner_share*(in_hlth_family_renew^1*SUMIFS(AI1237:AI1270,B1237:B1270,B1248-12)+in_hlth_family_renew^2*SUMIFS(AI1237:AI1270,B1237:B1270,B1248-24)+in_hlth_family_renew^3*SUMIFS(AI1237:AI1270,B1237:B1270,B1248-36)+in_hlth_family_renew^4*SUMIFS(AI1237:AI1270,B1237:B1270,B1248-48))</f>
        <v/>
      </c>
      <c r="AK1248" s="40">
        <f>AK1247*(1-IF(B1247&gt;=in_marketplace_from,d_hz_life_term*G1247,0))</f>
        <v/>
      </c>
      <c r="AL1248" s="46">
        <f>AK1248*IF(B1248&gt;=in_marketplace_from,d_hz_life_term*G1248,0)</f>
        <v/>
      </c>
      <c r="AM1248" s="14">
        <f>F1248*AL1248*in_life_term_ticket*in_life_term_comm*in_ins_partner_share+F1248*in_life_term_ticket*in_life_term_renew_comm*in_ins_partner_share*(in_life_term_renew^1*SUMIFS(AL1237:AL1270,B1237:B1270,B1248-12)+in_life_term_renew^2*SUMIFS(AL1237:AL1270,B1237:B1270,B1248-24)+in_life_term_renew^3*SUMIFS(AL1237:AL1270,B1237:B1270,B1248-36)+in_life_term_renew^4*SUMIFS(AL1237:AL1270,B1237:B1270,B1248-48))</f>
        <v/>
      </c>
      <c r="AN1248" s="40">
        <f>AN1247*(1-IF(B1247&gt;=in_marketplace_from,d_hz_accident*G1247,0))</f>
        <v/>
      </c>
      <c r="AO1248" s="46">
        <f>AN1248*IF(B1248&gt;=in_marketplace_from,d_hz_accident*G1248,0)</f>
        <v/>
      </c>
      <c r="AP1248" s="14">
        <f>F1248*AO1248*in_accident_ticket*in_accident_comm*in_ins_partner_share+F1248*in_accident_ticket*in_accident_renew_comm*in_ins_partner_share*(in_accident_renew^1*SUMIFS(AO1237:AO1270,B1237:B1270,B1248-12)+in_accident_renew^2*SUMIFS(AO1237:AO1270,B1237:B1270,B1248-24)+in_accident_renew^3*SUMIFS(AO1237:AO1270,B1237:B1270,B1248-36)+in_accident_renew^4*SUMIFS(AO1237:AO1270,B1237:B1270,B1248-48))</f>
        <v/>
      </c>
      <c r="AQ1248" s="40">
        <f>AQ1247*(1-IF(B1247&gt;=in_marketplace_from,d_hz_two_wheeler*G1247,0))</f>
        <v/>
      </c>
      <c r="AR1248" s="46">
        <f>AQ1248*IF(B1248&gt;=in_marketplace_from,d_hz_two_wheeler*G1248,0)</f>
        <v/>
      </c>
      <c r="AS1248" s="14">
        <f>F1248*AR1248*in_two_wheeler_ticket*in_two_wheeler_comm*in_ins_partner_share+F1248*in_two_wheeler_ticket*in_two_wheeler_comm*in_ins_partner_share*(in_two_wheeler_renew^1*SUMIFS(AR1237:AR1270,B1237:B1270,B1248-12)+in_two_wheeler_renew^2*SUMIFS(AR1237:AR1270,B1237:B1270,B1248-24)+in_two_wheeler_renew^3*SUMIFS(AR1237:AR1270,B1237:B1270,B1248-36)+in_two_wheeler_renew^4*SUMIFS(AR1237:AR1270,B1237:B1270,B1248-48))</f>
        <v/>
      </c>
      <c r="AT1248" s="40">
        <f>AT1247*(1-IF(B1247&gt;=in_marketplace_from,d_hz_device*G1247,0))</f>
        <v/>
      </c>
      <c r="AU1248" s="14">
        <f>F1248*AT1248*IF(B1248&gt;=in_marketplace_from,d_hz_device*G1248,0)*in_device_ticket*in_device_comm*in_ins_partner_share</f>
        <v/>
      </c>
      <c r="AV1248" s="40">
        <f>AV1247*(1-IF(B1247&gt;=in_marketplace_from,d_hz_shop*G1247,0))</f>
        <v/>
      </c>
      <c r="AW1248" s="46">
        <f>AV1248*IF(B1248&gt;=in_marketplace_from,d_hz_shop*G1248,0)</f>
        <v/>
      </c>
      <c r="AX1248" s="14">
        <f>F1248*AW1248*in_shop_ticket*in_shop_comm*in_ins_partner_share+F1248*in_shop_ticket*in_shop_renew_comm*in_ins_partner_share*(in_shop_renew^1*SUMIFS(AW1237:AW1270,B1237:B1270,B1248-12)+in_shop_renew^2*SUMIFS(AW1237:AW1270,B1237:B1270,B1248-24)+in_shop_renew^3*SUMIFS(AW1237:AW1270,B1237:B1270,B1248-36)+in_shop_renew^4*SUMIFS(AW1237:AW1270,B1237:B1270,B1248-48))</f>
        <v/>
      </c>
      <c r="AY1248" s="40">
        <f>AY1247*(1-IF(B1247&gt;=in_marketplace_from,d_hz_sip*G1247,0))</f>
        <v/>
      </c>
      <c r="AZ1248" s="40">
        <f>AZ1247*d_rho_sip+AY1248*IF(B1248&gt;=in_marketplace_from,d_hz_sip*G1248,0)</f>
        <v/>
      </c>
      <c r="BA1248" s="40">
        <f>d_rho_sip*(BA1247+AZ1247)</f>
        <v/>
      </c>
      <c r="BB1248" s="14">
        <f>F1248*in_sip_ticket*(BA1248+0.5*AZ1248)*in_sip_comm/12</f>
        <v/>
      </c>
      <c r="BC1248" s="40">
        <f>BC1247*(1-IF(B1247&gt;=in_marketplace_from,d_hz_choti*G1247,0))</f>
        <v/>
      </c>
      <c r="BD1248" s="46">
        <f>BC1248*IF(B1248&gt;=in_marketplace_from,d_hz_choti*G1248,0)</f>
        <v/>
      </c>
      <c r="BE1248" s="14">
        <f>F1248*SUMIFS(BD1237:BD1270,B1237:B1270,B1248-in_choti_months)*in_choti_renew*in_choti_ticket</f>
        <v/>
      </c>
      <c r="BF1248" s="40">
        <f>BF1247*(1-IF(B1247&gt;=in_marketplace_from,d_hz_nps*G1247,0))</f>
        <v/>
      </c>
      <c r="BG1248" s="14">
        <f>F1248*BF1248*IF(B1248&gt;=in_marketplace_from,d_hz_nps*G1248,0)*in_nps_ticket*in_nps_comm</f>
        <v/>
      </c>
      <c r="BH1248" s="40">
        <f>BH1247*(1-IF(B1247&gt;=in_marketplace_from,d_hz_gold*G1247,0))</f>
        <v/>
      </c>
      <c r="BI1248" s="40">
        <f>BI1247*d_rho_gold+BH1248*IF(B1248&gt;=in_marketplace_from,d_hz_gold*G1248,0)</f>
        <v/>
      </c>
      <c r="BJ1248" s="14">
        <f>F1248*BI1248*in_gold_ticket*in_gold_comm</f>
        <v/>
      </c>
      <c r="BK1248" s="40">
        <f>BK1247*(1-IF(B1247&gt;=in_marketplace_from,d_hz_fd*G1247,0))</f>
        <v/>
      </c>
      <c r="BL1248" s="14">
        <f>F1248*BK1248*IF(B1248&gt;=in_marketplace_from,d_hz_fd*G1248,0)*in_fd_ticket*in_fd_comm</f>
        <v/>
      </c>
      <c r="BM1248" s="40">
        <f>BM1247*(1-IF(B1247&gt;=in_marketplace_from,d_hz_recharge*G1247,0))</f>
        <v/>
      </c>
      <c r="BN1248" s="40">
        <f>BN1247*d_rho_recharge+BM1248*IF(B1248&gt;=in_marketplace_from,d_hz_recharge*G1248,0)</f>
        <v/>
      </c>
      <c r="BO1248" s="14">
        <f>F1248*BN1248*in_recharge_ticket*in_recharge_comm/12</f>
        <v/>
      </c>
      <c r="BP1248" s="40">
        <f>BP1247*(1-IF(B1247&gt;=in_marketplace_from,d_hz_bills*G1247,0))</f>
        <v/>
      </c>
      <c r="BQ1248" s="40">
        <f>BQ1247*d_rho_bills+BP1248*IF(B1248&gt;=in_marketplace_from,d_hz_bills*G1248,0)</f>
        <v/>
      </c>
      <c r="BR1248" s="14">
        <f>F1248*BQ1248*in_bills_ticket*in_bills_comm/12</f>
        <v/>
      </c>
      <c r="BS1248" s="40">
        <f>BS1247*(1-IF(B1247&gt;=in_marketplace_from,d_hz_loan_gold*G1247,0))</f>
        <v/>
      </c>
      <c r="BT1248" s="14">
        <f>F1248*BS1248*IF(B1248&gt;=in_marketplace_from,d_hz_loan_gold*G1248,0)*in_loan_gold_ticket*in_loan_gold_comm</f>
        <v/>
      </c>
      <c r="BU1248" s="40">
        <f>BU1247*(1-IF(B1247&gt;=in_marketplace_from,d_hz_loan_cd*G1247,0))</f>
        <v/>
      </c>
      <c r="BV1248" s="14">
        <f>F1248*BU1248*IF(B1248&gt;=in_marketplace_from,d_hz_loan_cd*G1248,0)*in_loan_cd_ticket*in_loan_cd_comm</f>
        <v/>
      </c>
      <c r="BW1248" s="40">
        <f>BW1247*(1-IF(B1247&gt;=in_marketplace_from,d_hz_loan_vehicle*G1247,0))</f>
        <v/>
      </c>
      <c r="BX1248" s="14">
        <f>F1248*BW1248*IF(B1248&gt;=in_marketplace_from,d_hz_loan_vehicle*G1248,0)*in_loan_vehicle_ticket*in_loan_vehicle_comm</f>
        <v/>
      </c>
      <c r="BY1248" s="40">
        <f>BY1247*(1-IF(B1247&gt;=in_marketplace_from,d_hz_loan_home*G1247,0)*BZ1247)</f>
        <v/>
      </c>
      <c r="BZ1248" s="11">
        <f>MIN(in_approval_cap,in_loan_home_approval*INDEX('Age profile'!$O$2:$O$61,B1248)*(1+in_approval_growth)^(D1248-1))</f>
        <v/>
      </c>
      <c r="CA1248" s="14">
        <f>F1248*BY1248*IF(B1248&gt;=in_marketplace_from,d_hz_loan_home*G1248,0)*BZ1248*in_loan_home_ticket*in_loan_home_comm</f>
        <v/>
      </c>
      <c r="CB1248" s="40">
        <f>CB1247*(1-IF(B1247&gt;=in_marketplace_from,d_hz_loan_lap*G1247,0)*CC1247)</f>
        <v/>
      </c>
      <c r="CC1248" s="11">
        <f>MIN(in_approval_cap,in_loan_lap_approval*INDEX('Age profile'!$O$2:$O$61,B1248)*(1+in_approval_growth)^(D1248-1))</f>
        <v/>
      </c>
      <c r="CD1248" s="14">
        <f>F1248*CB1248*IF(B1248&gt;=in_marketplace_from,d_hz_loan_lap*G1248,0)*CC1248*in_loan_lap_ticket*in_loan_lap_comm</f>
        <v/>
      </c>
      <c r="CE1248" s="14">
        <f>AA1248+AB1248+AC1248+AD1248+AG1248+AJ1248+AM1248+AP1248+AS1248+AU1248+AX1248+BB1248+BE1248+BG1248+BJ1248+BL1248+BO1248+BR1248+BT1248+BV1248+BX1248+CA1248+CD1248</f>
        <v/>
      </c>
    </row>
    <row r="1249">
      <c r="A1249" s="39" t="n">
        <v>27</v>
      </c>
      <c r="B1249" s="39" t="n">
        <v>13</v>
      </c>
      <c r="C1249" s="39">
        <f>A1249+B1249-1</f>
        <v/>
      </c>
      <c r="D1249" s="39">
        <f>INT((C1249-1)/12)+1</f>
        <v/>
      </c>
      <c r="E1249" s="44">
        <f>INDEX(Monthly!$B$2:$B$61,A1249)</f>
        <v/>
      </c>
      <c r="F1249" s="44">
        <f>E1249*INDEX('Age profile'!$B$2:$B$61,B1249)</f>
        <v/>
      </c>
      <c r="G1249" s="45">
        <f>MIN(in_takeup_cap,INDEX('Age profile'!$N$2:$N$61,B1249)*(1+in_takeup_growth)^(D1249-1))</f>
        <v/>
      </c>
      <c r="H1249" s="11">
        <f>MIN(in_approval_cap,in_approved_first*INDEX('Age profile'!$O$2:$O$61,B1249)*(1+in_approval_growth)^(D1249-1))</f>
        <v/>
      </c>
      <c r="I1249" s="45">
        <f>G1249*MIN(in_takeup_cap,INDEX('Age profile'!$O$2:$O$61,B1249)*(1+in_approval_growth)^(D1249-1))</f>
        <v/>
      </c>
      <c r="J1249" s="40">
        <f>(J1248-L1248)*F1249/F1248</f>
        <v/>
      </c>
      <c r="K1249" s="40">
        <f>(K1248-M1248)*F1249/F1248+SUMIFS(O1237:O1248,B1237:B1248,B1249-1-d_T)*F1249</f>
        <v/>
      </c>
      <c r="L1249" s="40">
        <f>IF(B1249&gt;=in_marketplace_from,J1249*d_hz*G1249*in_eligible*H1249,0)</f>
        <v/>
      </c>
      <c r="M1249" s="40">
        <f>IF(B1249&gt;=in_marketplace_from,K1249*d_hz*G1249*in_eligible*in_approved_repeat,0)</f>
        <v/>
      </c>
      <c r="N1249" s="40">
        <f>L1249+M1249</f>
        <v/>
      </c>
      <c r="O1249" s="46">
        <f>N1249/F1249</f>
        <v/>
      </c>
      <c r="P1249" s="40">
        <f>F1249-J1249-K1249</f>
        <v/>
      </c>
      <c r="Q1249" s="40">
        <f>IF(B1249&gt;=in_marketplace_from,(J1249+K1249)*d_hz*G1249,0)</f>
        <v/>
      </c>
      <c r="R1249" s="40">
        <f>SUMIFS(N1237:N1270,B1237:B1270,"&gt;="&amp;(B1249-d_T),B1237:B1270,"&lt;="&amp;(B1249-1))</f>
        <v/>
      </c>
      <c r="S1249" s="46">
        <f>(1-d_u)*S1248+IF(d_T&gt;in_topup_lag,SUMIFS(O1237:O1270,B1237:B1270,B1249-in_topup_lag)-d_udrop*SUMIFS(O1237:O1270,B1237:B1270,B1249-d_T),0)</f>
        <v/>
      </c>
      <c r="T1249" s="40">
        <f>F1249*d_u*S1249</f>
        <v/>
      </c>
      <c r="U1249" s="9">
        <f>L1249*in_ticket+M1249*d_rep_ticket</f>
        <v/>
      </c>
      <c r="V1249" s="9">
        <f>U1249+T1249*d_topup_amt</f>
        <v/>
      </c>
      <c r="W1249" s="40">
        <f>N1249+T1249*d_topup_ratio</f>
        <v/>
      </c>
      <c r="X1249" s="40">
        <f>SUMIFS(W1237:W1270,B1237:B1270,B1249-in_dpd_lag)*d_cured</f>
        <v/>
      </c>
      <c r="Y1249" s="40">
        <f>SUMIFS(W1237:W1270,B1237:B1270,B1249-in_rec_lag)*d_recd</f>
        <v/>
      </c>
      <c r="Z1249" s="40">
        <f>IF(AND(B1249&gt;=in_marketplace_from,B1249&lt;in_marketplace_from+in_card_months),in_card_share/in_card_months*F1249*I1249,IF(AND(B1249&gt;=in_marketplace_from+in_card_months,B1249&lt;in_marketplace_from+2*in_card_months),in_card_share*d_card_rem/in_card_months*F1249*MIN(in_takeup_cap,(1+in_takeup_growth)^(D1249-1))*MIN(in_takeup_cap,(1+in_approval_growth)^(D1249-1)),0))</f>
        <v/>
      </c>
      <c r="AA1249" s="14">
        <f>V1249*in_fee*(1-in_taken_back)</f>
        <v/>
      </c>
      <c r="AB1249" s="14">
        <f>SUMIFS(W1237:W1270,B1237:B1270,B1249-in_dpd_lag)*d_dpd</f>
        <v/>
      </c>
      <c r="AC1249" s="14">
        <f>SUMIFS(W1237:W1270,B1237:B1270,B1249-in_rec_lag)*d_rec</f>
        <v/>
      </c>
      <c r="AD1249" s="14">
        <f>Z1249*in_card_fee</f>
        <v/>
      </c>
      <c r="AE1249" s="40">
        <f>AE1248*(1-IF(B1248&gt;=in_marketplace_from,d_hz_hlth_small*G1248,0))</f>
        <v/>
      </c>
      <c r="AF1249" s="46">
        <f>AE1249*IF(B1249&gt;=in_marketplace_from,d_hz_hlth_small*G1249,0)</f>
        <v/>
      </c>
      <c r="AG1249" s="14">
        <f>F1249*AF1249*in_hlth_small_ticket*in_hlth_small_comm*in_ins_partner_share+F1249*in_hlth_small_ticket*in_hlth_small_renew_comm*in_ins_partner_share*(in_hlth_small_renew^1*SUMIFS(AF1237:AF1270,B1237:B1270,B1249-12)+in_hlth_small_renew^2*SUMIFS(AF1237:AF1270,B1237:B1270,B1249-24)+in_hlth_small_renew^3*SUMIFS(AF1237:AF1270,B1237:B1270,B1249-36)+in_hlth_small_renew^4*SUMIFS(AF1237:AF1270,B1237:B1270,B1249-48))</f>
        <v/>
      </c>
      <c r="AH1249" s="40">
        <f>AH1248*(1-IF(B1248&gt;=in_marketplace_from,d_hz_hlth_family*G1248,0))</f>
        <v/>
      </c>
      <c r="AI1249" s="46">
        <f>AH1249*IF(B1249&gt;=in_marketplace_from,d_hz_hlth_family*G1249,0)</f>
        <v/>
      </c>
      <c r="AJ1249" s="14">
        <f>F1249*AI1249*in_hlth_family_ticket*in_hlth_family_comm*in_ins_partner_share+F1249*in_hlth_family_ticket*in_hlth_family_renew_comm*in_ins_partner_share*(in_hlth_family_renew^1*SUMIFS(AI1237:AI1270,B1237:B1270,B1249-12)+in_hlth_family_renew^2*SUMIFS(AI1237:AI1270,B1237:B1270,B1249-24)+in_hlth_family_renew^3*SUMIFS(AI1237:AI1270,B1237:B1270,B1249-36)+in_hlth_family_renew^4*SUMIFS(AI1237:AI1270,B1237:B1270,B1249-48))</f>
        <v/>
      </c>
      <c r="AK1249" s="40">
        <f>AK1248*(1-IF(B1248&gt;=in_marketplace_from,d_hz_life_term*G1248,0))</f>
        <v/>
      </c>
      <c r="AL1249" s="46">
        <f>AK1249*IF(B1249&gt;=in_marketplace_from,d_hz_life_term*G1249,0)</f>
        <v/>
      </c>
      <c r="AM1249" s="14">
        <f>F1249*AL1249*in_life_term_ticket*in_life_term_comm*in_ins_partner_share+F1249*in_life_term_ticket*in_life_term_renew_comm*in_ins_partner_share*(in_life_term_renew^1*SUMIFS(AL1237:AL1270,B1237:B1270,B1249-12)+in_life_term_renew^2*SUMIFS(AL1237:AL1270,B1237:B1270,B1249-24)+in_life_term_renew^3*SUMIFS(AL1237:AL1270,B1237:B1270,B1249-36)+in_life_term_renew^4*SUMIFS(AL1237:AL1270,B1237:B1270,B1249-48))</f>
        <v/>
      </c>
      <c r="AN1249" s="40">
        <f>AN1248*(1-IF(B1248&gt;=in_marketplace_from,d_hz_accident*G1248,0))</f>
        <v/>
      </c>
      <c r="AO1249" s="46">
        <f>AN1249*IF(B1249&gt;=in_marketplace_from,d_hz_accident*G1249,0)</f>
        <v/>
      </c>
      <c r="AP1249" s="14">
        <f>F1249*AO1249*in_accident_ticket*in_accident_comm*in_ins_partner_share+F1249*in_accident_ticket*in_accident_renew_comm*in_ins_partner_share*(in_accident_renew^1*SUMIFS(AO1237:AO1270,B1237:B1270,B1249-12)+in_accident_renew^2*SUMIFS(AO1237:AO1270,B1237:B1270,B1249-24)+in_accident_renew^3*SUMIFS(AO1237:AO1270,B1237:B1270,B1249-36)+in_accident_renew^4*SUMIFS(AO1237:AO1270,B1237:B1270,B1249-48))</f>
        <v/>
      </c>
      <c r="AQ1249" s="40">
        <f>AQ1248*(1-IF(B1248&gt;=in_marketplace_from,d_hz_two_wheeler*G1248,0))</f>
        <v/>
      </c>
      <c r="AR1249" s="46">
        <f>AQ1249*IF(B1249&gt;=in_marketplace_from,d_hz_two_wheeler*G1249,0)</f>
        <v/>
      </c>
      <c r="AS1249" s="14">
        <f>F1249*AR1249*in_two_wheeler_ticket*in_two_wheeler_comm*in_ins_partner_share+F1249*in_two_wheeler_ticket*in_two_wheeler_comm*in_ins_partner_share*(in_two_wheeler_renew^1*SUMIFS(AR1237:AR1270,B1237:B1270,B1249-12)+in_two_wheeler_renew^2*SUMIFS(AR1237:AR1270,B1237:B1270,B1249-24)+in_two_wheeler_renew^3*SUMIFS(AR1237:AR1270,B1237:B1270,B1249-36)+in_two_wheeler_renew^4*SUMIFS(AR1237:AR1270,B1237:B1270,B1249-48))</f>
        <v/>
      </c>
      <c r="AT1249" s="40">
        <f>AT1248*(1-IF(B1248&gt;=in_marketplace_from,d_hz_device*G1248,0))</f>
        <v/>
      </c>
      <c r="AU1249" s="14">
        <f>F1249*AT1249*IF(B1249&gt;=in_marketplace_from,d_hz_device*G1249,0)*in_device_ticket*in_device_comm*in_ins_partner_share</f>
        <v/>
      </c>
      <c r="AV1249" s="40">
        <f>AV1248*(1-IF(B1248&gt;=in_marketplace_from,d_hz_shop*G1248,0))</f>
        <v/>
      </c>
      <c r="AW1249" s="46">
        <f>AV1249*IF(B1249&gt;=in_marketplace_from,d_hz_shop*G1249,0)</f>
        <v/>
      </c>
      <c r="AX1249" s="14">
        <f>F1249*AW1249*in_shop_ticket*in_shop_comm*in_ins_partner_share+F1249*in_shop_ticket*in_shop_renew_comm*in_ins_partner_share*(in_shop_renew^1*SUMIFS(AW1237:AW1270,B1237:B1270,B1249-12)+in_shop_renew^2*SUMIFS(AW1237:AW1270,B1237:B1270,B1249-24)+in_shop_renew^3*SUMIFS(AW1237:AW1270,B1237:B1270,B1249-36)+in_shop_renew^4*SUMIFS(AW1237:AW1270,B1237:B1270,B1249-48))</f>
        <v/>
      </c>
      <c r="AY1249" s="40">
        <f>AY1248*(1-IF(B1248&gt;=in_marketplace_from,d_hz_sip*G1248,0))</f>
        <v/>
      </c>
      <c r="AZ1249" s="40">
        <f>AZ1248*d_rho_sip+AY1249*IF(B1249&gt;=in_marketplace_from,d_hz_sip*G1249,0)</f>
        <v/>
      </c>
      <c r="BA1249" s="40">
        <f>d_rho_sip*(BA1248+AZ1248)</f>
        <v/>
      </c>
      <c r="BB1249" s="14">
        <f>F1249*in_sip_ticket*(BA1249+0.5*AZ1249)*in_sip_comm/12</f>
        <v/>
      </c>
      <c r="BC1249" s="40">
        <f>BC1248*(1-IF(B1248&gt;=in_marketplace_from,d_hz_choti*G1248,0))</f>
        <v/>
      </c>
      <c r="BD1249" s="46">
        <f>BC1249*IF(B1249&gt;=in_marketplace_from,d_hz_choti*G1249,0)</f>
        <v/>
      </c>
      <c r="BE1249" s="14">
        <f>F1249*SUMIFS(BD1237:BD1270,B1237:B1270,B1249-in_choti_months)*in_choti_renew*in_choti_ticket</f>
        <v/>
      </c>
      <c r="BF1249" s="40">
        <f>BF1248*(1-IF(B1248&gt;=in_marketplace_from,d_hz_nps*G1248,0))</f>
        <v/>
      </c>
      <c r="BG1249" s="14">
        <f>F1249*BF1249*IF(B1249&gt;=in_marketplace_from,d_hz_nps*G1249,0)*in_nps_ticket*in_nps_comm</f>
        <v/>
      </c>
      <c r="BH1249" s="40">
        <f>BH1248*(1-IF(B1248&gt;=in_marketplace_from,d_hz_gold*G1248,0))</f>
        <v/>
      </c>
      <c r="BI1249" s="40">
        <f>BI1248*d_rho_gold+BH1249*IF(B1249&gt;=in_marketplace_from,d_hz_gold*G1249,0)</f>
        <v/>
      </c>
      <c r="BJ1249" s="14">
        <f>F1249*BI1249*in_gold_ticket*in_gold_comm</f>
        <v/>
      </c>
      <c r="BK1249" s="40">
        <f>BK1248*(1-IF(B1248&gt;=in_marketplace_from,d_hz_fd*G1248,0))</f>
        <v/>
      </c>
      <c r="BL1249" s="14">
        <f>F1249*BK1249*IF(B1249&gt;=in_marketplace_from,d_hz_fd*G1249,0)*in_fd_ticket*in_fd_comm</f>
        <v/>
      </c>
      <c r="BM1249" s="40">
        <f>BM1248*(1-IF(B1248&gt;=in_marketplace_from,d_hz_recharge*G1248,0))</f>
        <v/>
      </c>
      <c r="BN1249" s="40">
        <f>BN1248*d_rho_recharge+BM1249*IF(B1249&gt;=in_marketplace_from,d_hz_recharge*G1249,0)</f>
        <v/>
      </c>
      <c r="BO1249" s="14">
        <f>F1249*BN1249*in_recharge_ticket*in_recharge_comm/12</f>
        <v/>
      </c>
      <c r="BP1249" s="40">
        <f>BP1248*(1-IF(B1248&gt;=in_marketplace_from,d_hz_bills*G1248,0))</f>
        <v/>
      </c>
      <c r="BQ1249" s="40">
        <f>BQ1248*d_rho_bills+BP1249*IF(B1249&gt;=in_marketplace_from,d_hz_bills*G1249,0)</f>
        <v/>
      </c>
      <c r="BR1249" s="14">
        <f>F1249*BQ1249*in_bills_ticket*in_bills_comm/12</f>
        <v/>
      </c>
      <c r="BS1249" s="40">
        <f>BS1248*(1-IF(B1248&gt;=in_marketplace_from,d_hz_loan_gold*G1248,0))</f>
        <v/>
      </c>
      <c r="BT1249" s="14">
        <f>F1249*BS1249*IF(B1249&gt;=in_marketplace_from,d_hz_loan_gold*G1249,0)*in_loan_gold_ticket*in_loan_gold_comm</f>
        <v/>
      </c>
      <c r="BU1249" s="40">
        <f>BU1248*(1-IF(B1248&gt;=in_marketplace_from,d_hz_loan_cd*G1248,0))</f>
        <v/>
      </c>
      <c r="BV1249" s="14">
        <f>F1249*BU1249*IF(B1249&gt;=in_marketplace_from,d_hz_loan_cd*G1249,0)*in_loan_cd_ticket*in_loan_cd_comm</f>
        <v/>
      </c>
      <c r="BW1249" s="40">
        <f>BW1248*(1-IF(B1248&gt;=in_marketplace_from,d_hz_loan_vehicle*G1248,0))</f>
        <v/>
      </c>
      <c r="BX1249" s="14">
        <f>F1249*BW1249*IF(B1249&gt;=in_marketplace_from,d_hz_loan_vehicle*G1249,0)*in_loan_vehicle_ticket*in_loan_vehicle_comm</f>
        <v/>
      </c>
      <c r="BY1249" s="40">
        <f>BY1248*(1-IF(B1248&gt;=in_marketplace_from,d_hz_loan_home*G1248,0)*BZ1248)</f>
        <v/>
      </c>
      <c r="BZ1249" s="11">
        <f>MIN(in_approval_cap,in_loan_home_approval*INDEX('Age profile'!$O$2:$O$61,B1249)*(1+in_approval_growth)^(D1249-1))</f>
        <v/>
      </c>
      <c r="CA1249" s="14">
        <f>F1249*BY1249*IF(B1249&gt;=in_marketplace_from,d_hz_loan_home*G1249,0)*BZ1249*in_loan_home_ticket*in_loan_home_comm</f>
        <v/>
      </c>
      <c r="CB1249" s="40">
        <f>CB1248*(1-IF(B1248&gt;=in_marketplace_from,d_hz_loan_lap*G1248,0)*CC1248)</f>
        <v/>
      </c>
      <c r="CC1249" s="11">
        <f>MIN(in_approval_cap,in_loan_lap_approval*INDEX('Age profile'!$O$2:$O$61,B1249)*(1+in_approval_growth)^(D1249-1))</f>
        <v/>
      </c>
      <c r="CD1249" s="14">
        <f>F1249*CB1249*IF(B1249&gt;=in_marketplace_from,d_hz_loan_lap*G1249,0)*CC1249*in_loan_lap_ticket*in_loan_lap_comm</f>
        <v/>
      </c>
      <c r="CE1249" s="14">
        <f>AA1249+AB1249+AC1249+AD1249+AG1249+AJ1249+AM1249+AP1249+AS1249+AU1249+AX1249+BB1249+BE1249+BG1249+BJ1249+BL1249+BO1249+BR1249+BT1249+BV1249+BX1249+CA1249+CD1249</f>
        <v/>
      </c>
    </row>
    <row r="1250">
      <c r="A1250" s="39" t="n">
        <v>27</v>
      </c>
      <c r="B1250" s="39" t="n">
        <v>14</v>
      </c>
      <c r="C1250" s="39">
        <f>A1250+B1250-1</f>
        <v/>
      </c>
      <c r="D1250" s="39">
        <f>INT((C1250-1)/12)+1</f>
        <v/>
      </c>
      <c r="E1250" s="44">
        <f>INDEX(Monthly!$B$2:$B$61,A1250)</f>
        <v/>
      </c>
      <c r="F1250" s="44">
        <f>E1250*INDEX('Age profile'!$B$2:$B$61,B1250)</f>
        <v/>
      </c>
      <c r="G1250" s="45">
        <f>MIN(in_takeup_cap,INDEX('Age profile'!$N$2:$N$61,B1250)*(1+in_takeup_growth)^(D1250-1))</f>
        <v/>
      </c>
      <c r="H1250" s="11">
        <f>MIN(in_approval_cap,in_approved_first*INDEX('Age profile'!$O$2:$O$61,B1250)*(1+in_approval_growth)^(D1250-1))</f>
        <v/>
      </c>
      <c r="I1250" s="45">
        <f>G1250*MIN(in_takeup_cap,INDEX('Age profile'!$O$2:$O$61,B1250)*(1+in_approval_growth)^(D1250-1))</f>
        <v/>
      </c>
      <c r="J1250" s="40">
        <f>(J1249-L1249)*F1250/F1249</f>
        <v/>
      </c>
      <c r="K1250" s="40">
        <f>(K1249-M1249)*F1250/F1249+SUMIFS(O1237:O1249,B1237:B1249,B1250-1-d_T)*F1250</f>
        <v/>
      </c>
      <c r="L1250" s="40">
        <f>IF(B1250&gt;=in_marketplace_from,J1250*d_hz*G1250*in_eligible*H1250,0)</f>
        <v/>
      </c>
      <c r="M1250" s="40">
        <f>IF(B1250&gt;=in_marketplace_from,K1250*d_hz*G1250*in_eligible*in_approved_repeat,0)</f>
        <v/>
      </c>
      <c r="N1250" s="40">
        <f>L1250+M1250</f>
        <v/>
      </c>
      <c r="O1250" s="46">
        <f>N1250/F1250</f>
        <v/>
      </c>
      <c r="P1250" s="40">
        <f>F1250-J1250-K1250</f>
        <v/>
      </c>
      <c r="Q1250" s="40">
        <f>IF(B1250&gt;=in_marketplace_from,(J1250+K1250)*d_hz*G1250,0)</f>
        <v/>
      </c>
      <c r="R1250" s="40">
        <f>SUMIFS(N1237:N1270,B1237:B1270,"&gt;="&amp;(B1250-d_T),B1237:B1270,"&lt;="&amp;(B1250-1))</f>
        <v/>
      </c>
      <c r="S1250" s="46">
        <f>(1-d_u)*S1249+IF(d_T&gt;in_topup_lag,SUMIFS(O1237:O1270,B1237:B1270,B1250-in_topup_lag)-d_udrop*SUMIFS(O1237:O1270,B1237:B1270,B1250-d_T),0)</f>
        <v/>
      </c>
      <c r="T1250" s="40">
        <f>F1250*d_u*S1250</f>
        <v/>
      </c>
      <c r="U1250" s="9">
        <f>L1250*in_ticket+M1250*d_rep_ticket</f>
        <v/>
      </c>
      <c r="V1250" s="9">
        <f>U1250+T1250*d_topup_amt</f>
        <v/>
      </c>
      <c r="W1250" s="40">
        <f>N1250+T1250*d_topup_ratio</f>
        <v/>
      </c>
      <c r="X1250" s="40">
        <f>SUMIFS(W1237:W1270,B1237:B1270,B1250-in_dpd_lag)*d_cured</f>
        <v/>
      </c>
      <c r="Y1250" s="40">
        <f>SUMIFS(W1237:W1270,B1237:B1270,B1250-in_rec_lag)*d_recd</f>
        <v/>
      </c>
      <c r="Z1250" s="40">
        <f>IF(AND(B1250&gt;=in_marketplace_from,B1250&lt;in_marketplace_from+in_card_months),in_card_share/in_card_months*F1250*I1250,IF(AND(B1250&gt;=in_marketplace_from+in_card_months,B1250&lt;in_marketplace_from+2*in_card_months),in_card_share*d_card_rem/in_card_months*F1250*MIN(in_takeup_cap,(1+in_takeup_growth)^(D1250-1))*MIN(in_takeup_cap,(1+in_approval_growth)^(D1250-1)),0))</f>
        <v/>
      </c>
      <c r="AA1250" s="14">
        <f>V1250*in_fee*(1-in_taken_back)</f>
        <v/>
      </c>
      <c r="AB1250" s="14">
        <f>SUMIFS(W1237:W1270,B1237:B1270,B1250-in_dpd_lag)*d_dpd</f>
        <v/>
      </c>
      <c r="AC1250" s="14">
        <f>SUMIFS(W1237:W1270,B1237:B1270,B1250-in_rec_lag)*d_rec</f>
        <v/>
      </c>
      <c r="AD1250" s="14">
        <f>Z1250*in_card_fee</f>
        <v/>
      </c>
      <c r="AE1250" s="40">
        <f>AE1249*(1-IF(B1249&gt;=in_marketplace_from,d_hz_hlth_small*G1249,0))</f>
        <v/>
      </c>
      <c r="AF1250" s="46">
        <f>AE1250*IF(B1250&gt;=in_marketplace_from,d_hz_hlth_small*G1250,0)</f>
        <v/>
      </c>
      <c r="AG1250" s="14">
        <f>F1250*AF1250*in_hlth_small_ticket*in_hlth_small_comm*in_ins_partner_share+F1250*in_hlth_small_ticket*in_hlth_small_renew_comm*in_ins_partner_share*(in_hlth_small_renew^1*SUMIFS(AF1237:AF1270,B1237:B1270,B1250-12)+in_hlth_small_renew^2*SUMIFS(AF1237:AF1270,B1237:B1270,B1250-24)+in_hlth_small_renew^3*SUMIFS(AF1237:AF1270,B1237:B1270,B1250-36)+in_hlth_small_renew^4*SUMIFS(AF1237:AF1270,B1237:B1270,B1250-48))</f>
        <v/>
      </c>
      <c r="AH1250" s="40">
        <f>AH1249*(1-IF(B1249&gt;=in_marketplace_from,d_hz_hlth_family*G1249,0))</f>
        <v/>
      </c>
      <c r="AI1250" s="46">
        <f>AH1250*IF(B1250&gt;=in_marketplace_from,d_hz_hlth_family*G1250,0)</f>
        <v/>
      </c>
      <c r="AJ1250" s="14">
        <f>F1250*AI1250*in_hlth_family_ticket*in_hlth_family_comm*in_ins_partner_share+F1250*in_hlth_family_ticket*in_hlth_family_renew_comm*in_ins_partner_share*(in_hlth_family_renew^1*SUMIFS(AI1237:AI1270,B1237:B1270,B1250-12)+in_hlth_family_renew^2*SUMIFS(AI1237:AI1270,B1237:B1270,B1250-24)+in_hlth_family_renew^3*SUMIFS(AI1237:AI1270,B1237:B1270,B1250-36)+in_hlth_family_renew^4*SUMIFS(AI1237:AI1270,B1237:B1270,B1250-48))</f>
        <v/>
      </c>
      <c r="AK1250" s="40">
        <f>AK1249*(1-IF(B1249&gt;=in_marketplace_from,d_hz_life_term*G1249,0))</f>
        <v/>
      </c>
      <c r="AL1250" s="46">
        <f>AK1250*IF(B1250&gt;=in_marketplace_from,d_hz_life_term*G1250,0)</f>
        <v/>
      </c>
      <c r="AM1250" s="14">
        <f>F1250*AL1250*in_life_term_ticket*in_life_term_comm*in_ins_partner_share+F1250*in_life_term_ticket*in_life_term_renew_comm*in_ins_partner_share*(in_life_term_renew^1*SUMIFS(AL1237:AL1270,B1237:B1270,B1250-12)+in_life_term_renew^2*SUMIFS(AL1237:AL1270,B1237:B1270,B1250-24)+in_life_term_renew^3*SUMIFS(AL1237:AL1270,B1237:B1270,B1250-36)+in_life_term_renew^4*SUMIFS(AL1237:AL1270,B1237:B1270,B1250-48))</f>
        <v/>
      </c>
      <c r="AN1250" s="40">
        <f>AN1249*(1-IF(B1249&gt;=in_marketplace_from,d_hz_accident*G1249,0))</f>
        <v/>
      </c>
      <c r="AO1250" s="46">
        <f>AN1250*IF(B1250&gt;=in_marketplace_from,d_hz_accident*G1250,0)</f>
        <v/>
      </c>
      <c r="AP1250" s="14">
        <f>F1250*AO1250*in_accident_ticket*in_accident_comm*in_ins_partner_share+F1250*in_accident_ticket*in_accident_renew_comm*in_ins_partner_share*(in_accident_renew^1*SUMIFS(AO1237:AO1270,B1237:B1270,B1250-12)+in_accident_renew^2*SUMIFS(AO1237:AO1270,B1237:B1270,B1250-24)+in_accident_renew^3*SUMIFS(AO1237:AO1270,B1237:B1270,B1250-36)+in_accident_renew^4*SUMIFS(AO1237:AO1270,B1237:B1270,B1250-48))</f>
        <v/>
      </c>
      <c r="AQ1250" s="40">
        <f>AQ1249*(1-IF(B1249&gt;=in_marketplace_from,d_hz_two_wheeler*G1249,0))</f>
        <v/>
      </c>
      <c r="AR1250" s="46">
        <f>AQ1250*IF(B1250&gt;=in_marketplace_from,d_hz_two_wheeler*G1250,0)</f>
        <v/>
      </c>
      <c r="AS1250" s="14">
        <f>F1250*AR1250*in_two_wheeler_ticket*in_two_wheeler_comm*in_ins_partner_share+F1250*in_two_wheeler_ticket*in_two_wheeler_comm*in_ins_partner_share*(in_two_wheeler_renew^1*SUMIFS(AR1237:AR1270,B1237:B1270,B1250-12)+in_two_wheeler_renew^2*SUMIFS(AR1237:AR1270,B1237:B1270,B1250-24)+in_two_wheeler_renew^3*SUMIFS(AR1237:AR1270,B1237:B1270,B1250-36)+in_two_wheeler_renew^4*SUMIFS(AR1237:AR1270,B1237:B1270,B1250-48))</f>
        <v/>
      </c>
      <c r="AT1250" s="40">
        <f>AT1249*(1-IF(B1249&gt;=in_marketplace_from,d_hz_device*G1249,0))</f>
        <v/>
      </c>
      <c r="AU1250" s="14">
        <f>F1250*AT1250*IF(B1250&gt;=in_marketplace_from,d_hz_device*G1250,0)*in_device_ticket*in_device_comm*in_ins_partner_share</f>
        <v/>
      </c>
      <c r="AV1250" s="40">
        <f>AV1249*(1-IF(B1249&gt;=in_marketplace_from,d_hz_shop*G1249,0))</f>
        <v/>
      </c>
      <c r="AW1250" s="46">
        <f>AV1250*IF(B1250&gt;=in_marketplace_from,d_hz_shop*G1250,0)</f>
        <v/>
      </c>
      <c r="AX1250" s="14">
        <f>F1250*AW1250*in_shop_ticket*in_shop_comm*in_ins_partner_share+F1250*in_shop_ticket*in_shop_renew_comm*in_ins_partner_share*(in_shop_renew^1*SUMIFS(AW1237:AW1270,B1237:B1270,B1250-12)+in_shop_renew^2*SUMIFS(AW1237:AW1270,B1237:B1270,B1250-24)+in_shop_renew^3*SUMIFS(AW1237:AW1270,B1237:B1270,B1250-36)+in_shop_renew^4*SUMIFS(AW1237:AW1270,B1237:B1270,B1250-48))</f>
        <v/>
      </c>
      <c r="AY1250" s="40">
        <f>AY1249*(1-IF(B1249&gt;=in_marketplace_from,d_hz_sip*G1249,0))</f>
        <v/>
      </c>
      <c r="AZ1250" s="40">
        <f>AZ1249*d_rho_sip+AY1250*IF(B1250&gt;=in_marketplace_from,d_hz_sip*G1250,0)</f>
        <v/>
      </c>
      <c r="BA1250" s="40">
        <f>d_rho_sip*(BA1249+AZ1249)</f>
        <v/>
      </c>
      <c r="BB1250" s="14">
        <f>F1250*in_sip_ticket*(BA1250+0.5*AZ1250)*in_sip_comm/12</f>
        <v/>
      </c>
      <c r="BC1250" s="40">
        <f>BC1249*(1-IF(B1249&gt;=in_marketplace_from,d_hz_choti*G1249,0))</f>
        <v/>
      </c>
      <c r="BD1250" s="46">
        <f>BC1250*IF(B1250&gt;=in_marketplace_from,d_hz_choti*G1250,0)</f>
        <v/>
      </c>
      <c r="BE1250" s="14">
        <f>F1250*SUMIFS(BD1237:BD1270,B1237:B1270,B1250-in_choti_months)*in_choti_renew*in_choti_ticket</f>
        <v/>
      </c>
      <c r="BF1250" s="40">
        <f>BF1249*(1-IF(B1249&gt;=in_marketplace_from,d_hz_nps*G1249,0))</f>
        <v/>
      </c>
      <c r="BG1250" s="14">
        <f>F1250*BF1250*IF(B1250&gt;=in_marketplace_from,d_hz_nps*G1250,0)*in_nps_ticket*in_nps_comm</f>
        <v/>
      </c>
      <c r="BH1250" s="40">
        <f>BH1249*(1-IF(B1249&gt;=in_marketplace_from,d_hz_gold*G1249,0))</f>
        <v/>
      </c>
      <c r="BI1250" s="40">
        <f>BI1249*d_rho_gold+BH1250*IF(B1250&gt;=in_marketplace_from,d_hz_gold*G1250,0)</f>
        <v/>
      </c>
      <c r="BJ1250" s="14">
        <f>F1250*BI1250*in_gold_ticket*in_gold_comm</f>
        <v/>
      </c>
      <c r="BK1250" s="40">
        <f>BK1249*(1-IF(B1249&gt;=in_marketplace_from,d_hz_fd*G1249,0))</f>
        <v/>
      </c>
      <c r="BL1250" s="14">
        <f>F1250*BK1250*IF(B1250&gt;=in_marketplace_from,d_hz_fd*G1250,0)*in_fd_ticket*in_fd_comm</f>
        <v/>
      </c>
      <c r="BM1250" s="40">
        <f>BM1249*(1-IF(B1249&gt;=in_marketplace_from,d_hz_recharge*G1249,0))</f>
        <v/>
      </c>
      <c r="BN1250" s="40">
        <f>BN1249*d_rho_recharge+BM1250*IF(B1250&gt;=in_marketplace_from,d_hz_recharge*G1250,0)</f>
        <v/>
      </c>
      <c r="BO1250" s="14">
        <f>F1250*BN1250*in_recharge_ticket*in_recharge_comm/12</f>
        <v/>
      </c>
      <c r="BP1250" s="40">
        <f>BP1249*(1-IF(B1249&gt;=in_marketplace_from,d_hz_bills*G1249,0))</f>
        <v/>
      </c>
      <c r="BQ1250" s="40">
        <f>BQ1249*d_rho_bills+BP1250*IF(B1250&gt;=in_marketplace_from,d_hz_bills*G1250,0)</f>
        <v/>
      </c>
      <c r="BR1250" s="14">
        <f>F1250*BQ1250*in_bills_ticket*in_bills_comm/12</f>
        <v/>
      </c>
      <c r="BS1250" s="40">
        <f>BS1249*(1-IF(B1249&gt;=in_marketplace_from,d_hz_loan_gold*G1249,0))</f>
        <v/>
      </c>
      <c r="BT1250" s="14">
        <f>F1250*BS1250*IF(B1250&gt;=in_marketplace_from,d_hz_loan_gold*G1250,0)*in_loan_gold_ticket*in_loan_gold_comm</f>
        <v/>
      </c>
      <c r="BU1250" s="40">
        <f>BU1249*(1-IF(B1249&gt;=in_marketplace_from,d_hz_loan_cd*G1249,0))</f>
        <v/>
      </c>
      <c r="BV1250" s="14">
        <f>F1250*BU1250*IF(B1250&gt;=in_marketplace_from,d_hz_loan_cd*G1250,0)*in_loan_cd_ticket*in_loan_cd_comm</f>
        <v/>
      </c>
      <c r="BW1250" s="40">
        <f>BW1249*(1-IF(B1249&gt;=in_marketplace_from,d_hz_loan_vehicle*G1249,0))</f>
        <v/>
      </c>
      <c r="BX1250" s="14">
        <f>F1250*BW1250*IF(B1250&gt;=in_marketplace_from,d_hz_loan_vehicle*G1250,0)*in_loan_vehicle_ticket*in_loan_vehicle_comm</f>
        <v/>
      </c>
      <c r="BY1250" s="40">
        <f>BY1249*(1-IF(B1249&gt;=in_marketplace_from,d_hz_loan_home*G1249,0)*BZ1249)</f>
        <v/>
      </c>
      <c r="BZ1250" s="11">
        <f>MIN(in_approval_cap,in_loan_home_approval*INDEX('Age profile'!$O$2:$O$61,B1250)*(1+in_approval_growth)^(D1250-1))</f>
        <v/>
      </c>
      <c r="CA1250" s="14">
        <f>F1250*BY1250*IF(B1250&gt;=in_marketplace_from,d_hz_loan_home*G1250,0)*BZ1250*in_loan_home_ticket*in_loan_home_comm</f>
        <v/>
      </c>
      <c r="CB1250" s="40">
        <f>CB1249*(1-IF(B1249&gt;=in_marketplace_from,d_hz_loan_lap*G1249,0)*CC1249)</f>
        <v/>
      </c>
      <c r="CC1250" s="11">
        <f>MIN(in_approval_cap,in_loan_lap_approval*INDEX('Age profile'!$O$2:$O$61,B1250)*(1+in_approval_growth)^(D1250-1))</f>
        <v/>
      </c>
      <c r="CD1250" s="14">
        <f>F1250*CB1250*IF(B1250&gt;=in_marketplace_from,d_hz_loan_lap*G1250,0)*CC1250*in_loan_lap_ticket*in_loan_lap_comm</f>
        <v/>
      </c>
      <c r="CE1250" s="14">
        <f>AA1250+AB1250+AC1250+AD1250+AG1250+AJ1250+AM1250+AP1250+AS1250+AU1250+AX1250+BB1250+BE1250+BG1250+BJ1250+BL1250+BO1250+BR1250+BT1250+BV1250+BX1250+CA1250+CD1250</f>
        <v/>
      </c>
    </row>
    <row r="1251">
      <c r="A1251" s="39" t="n">
        <v>27</v>
      </c>
      <c r="B1251" s="39" t="n">
        <v>15</v>
      </c>
      <c r="C1251" s="39">
        <f>A1251+B1251-1</f>
        <v/>
      </c>
      <c r="D1251" s="39">
        <f>INT((C1251-1)/12)+1</f>
        <v/>
      </c>
      <c r="E1251" s="44">
        <f>INDEX(Monthly!$B$2:$B$61,A1251)</f>
        <v/>
      </c>
      <c r="F1251" s="44">
        <f>E1251*INDEX('Age profile'!$B$2:$B$61,B1251)</f>
        <v/>
      </c>
      <c r="G1251" s="45">
        <f>MIN(in_takeup_cap,INDEX('Age profile'!$N$2:$N$61,B1251)*(1+in_takeup_growth)^(D1251-1))</f>
        <v/>
      </c>
      <c r="H1251" s="11">
        <f>MIN(in_approval_cap,in_approved_first*INDEX('Age profile'!$O$2:$O$61,B1251)*(1+in_approval_growth)^(D1251-1))</f>
        <v/>
      </c>
      <c r="I1251" s="45">
        <f>G1251*MIN(in_takeup_cap,INDEX('Age profile'!$O$2:$O$61,B1251)*(1+in_approval_growth)^(D1251-1))</f>
        <v/>
      </c>
      <c r="J1251" s="40">
        <f>(J1250-L1250)*F1251/F1250</f>
        <v/>
      </c>
      <c r="K1251" s="40">
        <f>(K1250-M1250)*F1251/F1250+SUMIFS(O1237:O1250,B1237:B1250,B1251-1-d_T)*F1251</f>
        <v/>
      </c>
      <c r="L1251" s="40">
        <f>IF(B1251&gt;=in_marketplace_from,J1251*d_hz*G1251*in_eligible*H1251,0)</f>
        <v/>
      </c>
      <c r="M1251" s="40">
        <f>IF(B1251&gt;=in_marketplace_from,K1251*d_hz*G1251*in_eligible*in_approved_repeat,0)</f>
        <v/>
      </c>
      <c r="N1251" s="40">
        <f>L1251+M1251</f>
        <v/>
      </c>
      <c r="O1251" s="46">
        <f>N1251/F1251</f>
        <v/>
      </c>
      <c r="P1251" s="40">
        <f>F1251-J1251-K1251</f>
        <v/>
      </c>
      <c r="Q1251" s="40">
        <f>IF(B1251&gt;=in_marketplace_from,(J1251+K1251)*d_hz*G1251,0)</f>
        <v/>
      </c>
      <c r="R1251" s="40">
        <f>SUMIFS(N1237:N1270,B1237:B1270,"&gt;="&amp;(B1251-d_T),B1237:B1270,"&lt;="&amp;(B1251-1))</f>
        <v/>
      </c>
      <c r="S1251" s="46">
        <f>(1-d_u)*S1250+IF(d_T&gt;in_topup_lag,SUMIFS(O1237:O1270,B1237:B1270,B1251-in_topup_lag)-d_udrop*SUMIFS(O1237:O1270,B1237:B1270,B1251-d_T),0)</f>
        <v/>
      </c>
      <c r="T1251" s="40">
        <f>F1251*d_u*S1251</f>
        <v/>
      </c>
      <c r="U1251" s="9">
        <f>L1251*in_ticket+M1251*d_rep_ticket</f>
        <v/>
      </c>
      <c r="V1251" s="9">
        <f>U1251+T1251*d_topup_amt</f>
        <v/>
      </c>
      <c r="W1251" s="40">
        <f>N1251+T1251*d_topup_ratio</f>
        <v/>
      </c>
      <c r="X1251" s="40">
        <f>SUMIFS(W1237:W1270,B1237:B1270,B1251-in_dpd_lag)*d_cured</f>
        <v/>
      </c>
      <c r="Y1251" s="40">
        <f>SUMIFS(W1237:W1270,B1237:B1270,B1251-in_rec_lag)*d_recd</f>
        <v/>
      </c>
      <c r="Z1251" s="40">
        <f>IF(AND(B1251&gt;=in_marketplace_from,B1251&lt;in_marketplace_from+in_card_months),in_card_share/in_card_months*F1251*I1251,IF(AND(B1251&gt;=in_marketplace_from+in_card_months,B1251&lt;in_marketplace_from+2*in_card_months),in_card_share*d_card_rem/in_card_months*F1251*MIN(in_takeup_cap,(1+in_takeup_growth)^(D1251-1))*MIN(in_takeup_cap,(1+in_approval_growth)^(D1251-1)),0))</f>
        <v/>
      </c>
      <c r="AA1251" s="14">
        <f>V1251*in_fee*(1-in_taken_back)</f>
        <v/>
      </c>
      <c r="AB1251" s="14">
        <f>SUMIFS(W1237:W1270,B1237:B1270,B1251-in_dpd_lag)*d_dpd</f>
        <v/>
      </c>
      <c r="AC1251" s="14">
        <f>SUMIFS(W1237:W1270,B1237:B1270,B1251-in_rec_lag)*d_rec</f>
        <v/>
      </c>
      <c r="AD1251" s="14">
        <f>Z1251*in_card_fee</f>
        <v/>
      </c>
      <c r="AE1251" s="40">
        <f>AE1250*(1-IF(B1250&gt;=in_marketplace_from,d_hz_hlth_small*G1250,0))</f>
        <v/>
      </c>
      <c r="AF1251" s="46">
        <f>AE1251*IF(B1251&gt;=in_marketplace_from,d_hz_hlth_small*G1251,0)</f>
        <v/>
      </c>
      <c r="AG1251" s="14">
        <f>F1251*AF1251*in_hlth_small_ticket*in_hlth_small_comm*in_ins_partner_share+F1251*in_hlth_small_ticket*in_hlth_small_renew_comm*in_ins_partner_share*(in_hlth_small_renew^1*SUMIFS(AF1237:AF1270,B1237:B1270,B1251-12)+in_hlth_small_renew^2*SUMIFS(AF1237:AF1270,B1237:B1270,B1251-24)+in_hlth_small_renew^3*SUMIFS(AF1237:AF1270,B1237:B1270,B1251-36)+in_hlth_small_renew^4*SUMIFS(AF1237:AF1270,B1237:B1270,B1251-48))</f>
        <v/>
      </c>
      <c r="AH1251" s="40">
        <f>AH1250*(1-IF(B1250&gt;=in_marketplace_from,d_hz_hlth_family*G1250,0))</f>
        <v/>
      </c>
      <c r="AI1251" s="46">
        <f>AH1251*IF(B1251&gt;=in_marketplace_from,d_hz_hlth_family*G1251,0)</f>
        <v/>
      </c>
      <c r="AJ1251" s="14">
        <f>F1251*AI1251*in_hlth_family_ticket*in_hlth_family_comm*in_ins_partner_share+F1251*in_hlth_family_ticket*in_hlth_family_renew_comm*in_ins_partner_share*(in_hlth_family_renew^1*SUMIFS(AI1237:AI1270,B1237:B1270,B1251-12)+in_hlth_family_renew^2*SUMIFS(AI1237:AI1270,B1237:B1270,B1251-24)+in_hlth_family_renew^3*SUMIFS(AI1237:AI1270,B1237:B1270,B1251-36)+in_hlth_family_renew^4*SUMIFS(AI1237:AI1270,B1237:B1270,B1251-48))</f>
        <v/>
      </c>
      <c r="AK1251" s="40">
        <f>AK1250*(1-IF(B1250&gt;=in_marketplace_from,d_hz_life_term*G1250,0))</f>
        <v/>
      </c>
      <c r="AL1251" s="46">
        <f>AK1251*IF(B1251&gt;=in_marketplace_from,d_hz_life_term*G1251,0)</f>
        <v/>
      </c>
      <c r="AM1251" s="14">
        <f>F1251*AL1251*in_life_term_ticket*in_life_term_comm*in_ins_partner_share+F1251*in_life_term_ticket*in_life_term_renew_comm*in_ins_partner_share*(in_life_term_renew^1*SUMIFS(AL1237:AL1270,B1237:B1270,B1251-12)+in_life_term_renew^2*SUMIFS(AL1237:AL1270,B1237:B1270,B1251-24)+in_life_term_renew^3*SUMIFS(AL1237:AL1270,B1237:B1270,B1251-36)+in_life_term_renew^4*SUMIFS(AL1237:AL1270,B1237:B1270,B1251-48))</f>
        <v/>
      </c>
      <c r="AN1251" s="40">
        <f>AN1250*(1-IF(B1250&gt;=in_marketplace_from,d_hz_accident*G1250,0))</f>
        <v/>
      </c>
      <c r="AO1251" s="46">
        <f>AN1251*IF(B1251&gt;=in_marketplace_from,d_hz_accident*G1251,0)</f>
        <v/>
      </c>
      <c r="AP1251" s="14">
        <f>F1251*AO1251*in_accident_ticket*in_accident_comm*in_ins_partner_share+F1251*in_accident_ticket*in_accident_renew_comm*in_ins_partner_share*(in_accident_renew^1*SUMIFS(AO1237:AO1270,B1237:B1270,B1251-12)+in_accident_renew^2*SUMIFS(AO1237:AO1270,B1237:B1270,B1251-24)+in_accident_renew^3*SUMIFS(AO1237:AO1270,B1237:B1270,B1251-36)+in_accident_renew^4*SUMIFS(AO1237:AO1270,B1237:B1270,B1251-48))</f>
        <v/>
      </c>
      <c r="AQ1251" s="40">
        <f>AQ1250*(1-IF(B1250&gt;=in_marketplace_from,d_hz_two_wheeler*G1250,0))</f>
        <v/>
      </c>
      <c r="AR1251" s="46">
        <f>AQ1251*IF(B1251&gt;=in_marketplace_from,d_hz_two_wheeler*G1251,0)</f>
        <v/>
      </c>
      <c r="AS1251" s="14">
        <f>F1251*AR1251*in_two_wheeler_ticket*in_two_wheeler_comm*in_ins_partner_share+F1251*in_two_wheeler_ticket*in_two_wheeler_comm*in_ins_partner_share*(in_two_wheeler_renew^1*SUMIFS(AR1237:AR1270,B1237:B1270,B1251-12)+in_two_wheeler_renew^2*SUMIFS(AR1237:AR1270,B1237:B1270,B1251-24)+in_two_wheeler_renew^3*SUMIFS(AR1237:AR1270,B1237:B1270,B1251-36)+in_two_wheeler_renew^4*SUMIFS(AR1237:AR1270,B1237:B1270,B1251-48))</f>
        <v/>
      </c>
      <c r="AT1251" s="40">
        <f>AT1250*(1-IF(B1250&gt;=in_marketplace_from,d_hz_device*G1250,0))</f>
        <v/>
      </c>
      <c r="AU1251" s="14">
        <f>F1251*AT1251*IF(B1251&gt;=in_marketplace_from,d_hz_device*G1251,0)*in_device_ticket*in_device_comm*in_ins_partner_share</f>
        <v/>
      </c>
      <c r="AV1251" s="40">
        <f>AV1250*(1-IF(B1250&gt;=in_marketplace_from,d_hz_shop*G1250,0))</f>
        <v/>
      </c>
      <c r="AW1251" s="46">
        <f>AV1251*IF(B1251&gt;=in_marketplace_from,d_hz_shop*G1251,0)</f>
        <v/>
      </c>
      <c r="AX1251" s="14">
        <f>F1251*AW1251*in_shop_ticket*in_shop_comm*in_ins_partner_share+F1251*in_shop_ticket*in_shop_renew_comm*in_ins_partner_share*(in_shop_renew^1*SUMIFS(AW1237:AW1270,B1237:B1270,B1251-12)+in_shop_renew^2*SUMIFS(AW1237:AW1270,B1237:B1270,B1251-24)+in_shop_renew^3*SUMIFS(AW1237:AW1270,B1237:B1270,B1251-36)+in_shop_renew^4*SUMIFS(AW1237:AW1270,B1237:B1270,B1251-48))</f>
        <v/>
      </c>
      <c r="AY1251" s="40">
        <f>AY1250*(1-IF(B1250&gt;=in_marketplace_from,d_hz_sip*G1250,0))</f>
        <v/>
      </c>
      <c r="AZ1251" s="40">
        <f>AZ1250*d_rho_sip+AY1251*IF(B1251&gt;=in_marketplace_from,d_hz_sip*G1251,0)</f>
        <v/>
      </c>
      <c r="BA1251" s="40">
        <f>d_rho_sip*(BA1250+AZ1250)</f>
        <v/>
      </c>
      <c r="BB1251" s="14">
        <f>F1251*in_sip_ticket*(BA1251+0.5*AZ1251)*in_sip_comm/12</f>
        <v/>
      </c>
      <c r="BC1251" s="40">
        <f>BC1250*(1-IF(B1250&gt;=in_marketplace_from,d_hz_choti*G1250,0))</f>
        <v/>
      </c>
      <c r="BD1251" s="46">
        <f>BC1251*IF(B1251&gt;=in_marketplace_from,d_hz_choti*G1251,0)</f>
        <v/>
      </c>
      <c r="BE1251" s="14">
        <f>F1251*SUMIFS(BD1237:BD1270,B1237:B1270,B1251-in_choti_months)*in_choti_renew*in_choti_ticket</f>
        <v/>
      </c>
      <c r="BF1251" s="40">
        <f>BF1250*(1-IF(B1250&gt;=in_marketplace_from,d_hz_nps*G1250,0))</f>
        <v/>
      </c>
      <c r="BG1251" s="14">
        <f>F1251*BF1251*IF(B1251&gt;=in_marketplace_from,d_hz_nps*G1251,0)*in_nps_ticket*in_nps_comm</f>
        <v/>
      </c>
      <c r="BH1251" s="40">
        <f>BH1250*(1-IF(B1250&gt;=in_marketplace_from,d_hz_gold*G1250,0))</f>
        <v/>
      </c>
      <c r="BI1251" s="40">
        <f>BI1250*d_rho_gold+BH1251*IF(B1251&gt;=in_marketplace_from,d_hz_gold*G1251,0)</f>
        <v/>
      </c>
      <c r="BJ1251" s="14">
        <f>F1251*BI1251*in_gold_ticket*in_gold_comm</f>
        <v/>
      </c>
      <c r="BK1251" s="40">
        <f>BK1250*(1-IF(B1250&gt;=in_marketplace_from,d_hz_fd*G1250,0))</f>
        <v/>
      </c>
      <c r="BL1251" s="14">
        <f>F1251*BK1251*IF(B1251&gt;=in_marketplace_from,d_hz_fd*G1251,0)*in_fd_ticket*in_fd_comm</f>
        <v/>
      </c>
      <c r="BM1251" s="40">
        <f>BM1250*(1-IF(B1250&gt;=in_marketplace_from,d_hz_recharge*G1250,0))</f>
        <v/>
      </c>
      <c r="BN1251" s="40">
        <f>BN1250*d_rho_recharge+BM1251*IF(B1251&gt;=in_marketplace_from,d_hz_recharge*G1251,0)</f>
        <v/>
      </c>
      <c r="BO1251" s="14">
        <f>F1251*BN1251*in_recharge_ticket*in_recharge_comm/12</f>
        <v/>
      </c>
      <c r="BP1251" s="40">
        <f>BP1250*(1-IF(B1250&gt;=in_marketplace_from,d_hz_bills*G1250,0))</f>
        <v/>
      </c>
      <c r="BQ1251" s="40">
        <f>BQ1250*d_rho_bills+BP1251*IF(B1251&gt;=in_marketplace_from,d_hz_bills*G1251,0)</f>
        <v/>
      </c>
      <c r="BR1251" s="14">
        <f>F1251*BQ1251*in_bills_ticket*in_bills_comm/12</f>
        <v/>
      </c>
      <c r="BS1251" s="40">
        <f>BS1250*(1-IF(B1250&gt;=in_marketplace_from,d_hz_loan_gold*G1250,0))</f>
        <v/>
      </c>
      <c r="BT1251" s="14">
        <f>F1251*BS1251*IF(B1251&gt;=in_marketplace_from,d_hz_loan_gold*G1251,0)*in_loan_gold_ticket*in_loan_gold_comm</f>
        <v/>
      </c>
      <c r="BU1251" s="40">
        <f>BU1250*(1-IF(B1250&gt;=in_marketplace_from,d_hz_loan_cd*G1250,0))</f>
        <v/>
      </c>
      <c r="BV1251" s="14">
        <f>F1251*BU1251*IF(B1251&gt;=in_marketplace_from,d_hz_loan_cd*G1251,0)*in_loan_cd_ticket*in_loan_cd_comm</f>
        <v/>
      </c>
      <c r="BW1251" s="40">
        <f>BW1250*(1-IF(B1250&gt;=in_marketplace_from,d_hz_loan_vehicle*G1250,0))</f>
        <v/>
      </c>
      <c r="BX1251" s="14">
        <f>F1251*BW1251*IF(B1251&gt;=in_marketplace_from,d_hz_loan_vehicle*G1251,0)*in_loan_vehicle_ticket*in_loan_vehicle_comm</f>
        <v/>
      </c>
      <c r="BY1251" s="40">
        <f>BY1250*(1-IF(B1250&gt;=in_marketplace_from,d_hz_loan_home*G1250,0)*BZ1250)</f>
        <v/>
      </c>
      <c r="BZ1251" s="11">
        <f>MIN(in_approval_cap,in_loan_home_approval*INDEX('Age profile'!$O$2:$O$61,B1251)*(1+in_approval_growth)^(D1251-1))</f>
        <v/>
      </c>
      <c r="CA1251" s="14">
        <f>F1251*BY1251*IF(B1251&gt;=in_marketplace_from,d_hz_loan_home*G1251,0)*BZ1251*in_loan_home_ticket*in_loan_home_comm</f>
        <v/>
      </c>
      <c r="CB1251" s="40">
        <f>CB1250*(1-IF(B1250&gt;=in_marketplace_from,d_hz_loan_lap*G1250,0)*CC1250)</f>
        <v/>
      </c>
      <c r="CC1251" s="11">
        <f>MIN(in_approval_cap,in_loan_lap_approval*INDEX('Age profile'!$O$2:$O$61,B1251)*(1+in_approval_growth)^(D1251-1))</f>
        <v/>
      </c>
      <c r="CD1251" s="14">
        <f>F1251*CB1251*IF(B1251&gt;=in_marketplace_from,d_hz_loan_lap*G1251,0)*CC1251*in_loan_lap_ticket*in_loan_lap_comm</f>
        <v/>
      </c>
      <c r="CE1251" s="14">
        <f>AA1251+AB1251+AC1251+AD1251+AG1251+AJ1251+AM1251+AP1251+AS1251+AU1251+AX1251+BB1251+BE1251+BG1251+BJ1251+BL1251+BO1251+BR1251+BT1251+BV1251+BX1251+CA1251+CD1251</f>
        <v/>
      </c>
    </row>
    <row r="1252">
      <c r="A1252" s="39" t="n">
        <v>27</v>
      </c>
      <c r="B1252" s="39" t="n">
        <v>16</v>
      </c>
      <c r="C1252" s="39">
        <f>A1252+B1252-1</f>
        <v/>
      </c>
      <c r="D1252" s="39">
        <f>INT((C1252-1)/12)+1</f>
        <v/>
      </c>
      <c r="E1252" s="44">
        <f>INDEX(Monthly!$B$2:$B$61,A1252)</f>
        <v/>
      </c>
      <c r="F1252" s="44">
        <f>E1252*INDEX('Age profile'!$B$2:$B$61,B1252)</f>
        <v/>
      </c>
      <c r="G1252" s="45">
        <f>MIN(in_takeup_cap,INDEX('Age profile'!$N$2:$N$61,B1252)*(1+in_takeup_growth)^(D1252-1))</f>
        <v/>
      </c>
      <c r="H1252" s="11">
        <f>MIN(in_approval_cap,in_approved_first*INDEX('Age profile'!$O$2:$O$61,B1252)*(1+in_approval_growth)^(D1252-1))</f>
        <v/>
      </c>
      <c r="I1252" s="45">
        <f>G1252*MIN(in_takeup_cap,INDEX('Age profile'!$O$2:$O$61,B1252)*(1+in_approval_growth)^(D1252-1))</f>
        <v/>
      </c>
      <c r="J1252" s="40">
        <f>(J1251-L1251)*F1252/F1251</f>
        <v/>
      </c>
      <c r="K1252" s="40">
        <f>(K1251-M1251)*F1252/F1251+SUMIFS(O1237:O1251,B1237:B1251,B1252-1-d_T)*F1252</f>
        <v/>
      </c>
      <c r="L1252" s="40">
        <f>IF(B1252&gt;=in_marketplace_from,J1252*d_hz*G1252*in_eligible*H1252,0)</f>
        <v/>
      </c>
      <c r="M1252" s="40">
        <f>IF(B1252&gt;=in_marketplace_from,K1252*d_hz*G1252*in_eligible*in_approved_repeat,0)</f>
        <v/>
      </c>
      <c r="N1252" s="40">
        <f>L1252+M1252</f>
        <v/>
      </c>
      <c r="O1252" s="46">
        <f>N1252/F1252</f>
        <v/>
      </c>
      <c r="P1252" s="40">
        <f>F1252-J1252-K1252</f>
        <v/>
      </c>
      <c r="Q1252" s="40">
        <f>IF(B1252&gt;=in_marketplace_from,(J1252+K1252)*d_hz*G1252,0)</f>
        <v/>
      </c>
      <c r="R1252" s="40">
        <f>SUMIFS(N1237:N1270,B1237:B1270,"&gt;="&amp;(B1252-d_T),B1237:B1270,"&lt;="&amp;(B1252-1))</f>
        <v/>
      </c>
      <c r="S1252" s="46">
        <f>(1-d_u)*S1251+IF(d_T&gt;in_topup_lag,SUMIFS(O1237:O1270,B1237:B1270,B1252-in_topup_lag)-d_udrop*SUMIFS(O1237:O1270,B1237:B1270,B1252-d_T),0)</f>
        <v/>
      </c>
      <c r="T1252" s="40">
        <f>F1252*d_u*S1252</f>
        <v/>
      </c>
      <c r="U1252" s="9">
        <f>L1252*in_ticket+M1252*d_rep_ticket</f>
        <v/>
      </c>
      <c r="V1252" s="9">
        <f>U1252+T1252*d_topup_amt</f>
        <v/>
      </c>
      <c r="W1252" s="40">
        <f>N1252+T1252*d_topup_ratio</f>
        <v/>
      </c>
      <c r="X1252" s="40">
        <f>SUMIFS(W1237:W1270,B1237:B1270,B1252-in_dpd_lag)*d_cured</f>
        <v/>
      </c>
      <c r="Y1252" s="40">
        <f>SUMIFS(W1237:W1270,B1237:B1270,B1252-in_rec_lag)*d_recd</f>
        <v/>
      </c>
      <c r="Z1252" s="40">
        <f>IF(AND(B1252&gt;=in_marketplace_from,B1252&lt;in_marketplace_from+in_card_months),in_card_share/in_card_months*F1252*I1252,IF(AND(B1252&gt;=in_marketplace_from+in_card_months,B1252&lt;in_marketplace_from+2*in_card_months),in_card_share*d_card_rem/in_card_months*F1252*MIN(in_takeup_cap,(1+in_takeup_growth)^(D1252-1))*MIN(in_takeup_cap,(1+in_approval_growth)^(D1252-1)),0))</f>
        <v/>
      </c>
      <c r="AA1252" s="14">
        <f>V1252*in_fee*(1-in_taken_back)</f>
        <v/>
      </c>
      <c r="AB1252" s="14">
        <f>SUMIFS(W1237:W1270,B1237:B1270,B1252-in_dpd_lag)*d_dpd</f>
        <v/>
      </c>
      <c r="AC1252" s="14">
        <f>SUMIFS(W1237:W1270,B1237:B1270,B1252-in_rec_lag)*d_rec</f>
        <v/>
      </c>
      <c r="AD1252" s="14">
        <f>Z1252*in_card_fee</f>
        <v/>
      </c>
      <c r="AE1252" s="40">
        <f>AE1251*(1-IF(B1251&gt;=in_marketplace_from,d_hz_hlth_small*G1251,0))</f>
        <v/>
      </c>
      <c r="AF1252" s="46">
        <f>AE1252*IF(B1252&gt;=in_marketplace_from,d_hz_hlth_small*G1252,0)</f>
        <v/>
      </c>
      <c r="AG1252" s="14">
        <f>F1252*AF1252*in_hlth_small_ticket*in_hlth_small_comm*in_ins_partner_share+F1252*in_hlth_small_ticket*in_hlth_small_renew_comm*in_ins_partner_share*(in_hlth_small_renew^1*SUMIFS(AF1237:AF1270,B1237:B1270,B1252-12)+in_hlth_small_renew^2*SUMIFS(AF1237:AF1270,B1237:B1270,B1252-24)+in_hlth_small_renew^3*SUMIFS(AF1237:AF1270,B1237:B1270,B1252-36)+in_hlth_small_renew^4*SUMIFS(AF1237:AF1270,B1237:B1270,B1252-48))</f>
        <v/>
      </c>
      <c r="AH1252" s="40">
        <f>AH1251*(1-IF(B1251&gt;=in_marketplace_from,d_hz_hlth_family*G1251,0))</f>
        <v/>
      </c>
      <c r="AI1252" s="46">
        <f>AH1252*IF(B1252&gt;=in_marketplace_from,d_hz_hlth_family*G1252,0)</f>
        <v/>
      </c>
      <c r="AJ1252" s="14">
        <f>F1252*AI1252*in_hlth_family_ticket*in_hlth_family_comm*in_ins_partner_share+F1252*in_hlth_family_ticket*in_hlth_family_renew_comm*in_ins_partner_share*(in_hlth_family_renew^1*SUMIFS(AI1237:AI1270,B1237:B1270,B1252-12)+in_hlth_family_renew^2*SUMIFS(AI1237:AI1270,B1237:B1270,B1252-24)+in_hlth_family_renew^3*SUMIFS(AI1237:AI1270,B1237:B1270,B1252-36)+in_hlth_family_renew^4*SUMIFS(AI1237:AI1270,B1237:B1270,B1252-48))</f>
        <v/>
      </c>
      <c r="AK1252" s="40">
        <f>AK1251*(1-IF(B1251&gt;=in_marketplace_from,d_hz_life_term*G1251,0))</f>
        <v/>
      </c>
      <c r="AL1252" s="46">
        <f>AK1252*IF(B1252&gt;=in_marketplace_from,d_hz_life_term*G1252,0)</f>
        <v/>
      </c>
      <c r="AM1252" s="14">
        <f>F1252*AL1252*in_life_term_ticket*in_life_term_comm*in_ins_partner_share+F1252*in_life_term_ticket*in_life_term_renew_comm*in_ins_partner_share*(in_life_term_renew^1*SUMIFS(AL1237:AL1270,B1237:B1270,B1252-12)+in_life_term_renew^2*SUMIFS(AL1237:AL1270,B1237:B1270,B1252-24)+in_life_term_renew^3*SUMIFS(AL1237:AL1270,B1237:B1270,B1252-36)+in_life_term_renew^4*SUMIFS(AL1237:AL1270,B1237:B1270,B1252-48))</f>
        <v/>
      </c>
      <c r="AN1252" s="40">
        <f>AN1251*(1-IF(B1251&gt;=in_marketplace_from,d_hz_accident*G1251,0))</f>
        <v/>
      </c>
      <c r="AO1252" s="46">
        <f>AN1252*IF(B1252&gt;=in_marketplace_from,d_hz_accident*G1252,0)</f>
        <v/>
      </c>
      <c r="AP1252" s="14">
        <f>F1252*AO1252*in_accident_ticket*in_accident_comm*in_ins_partner_share+F1252*in_accident_ticket*in_accident_renew_comm*in_ins_partner_share*(in_accident_renew^1*SUMIFS(AO1237:AO1270,B1237:B1270,B1252-12)+in_accident_renew^2*SUMIFS(AO1237:AO1270,B1237:B1270,B1252-24)+in_accident_renew^3*SUMIFS(AO1237:AO1270,B1237:B1270,B1252-36)+in_accident_renew^4*SUMIFS(AO1237:AO1270,B1237:B1270,B1252-48))</f>
        <v/>
      </c>
      <c r="AQ1252" s="40">
        <f>AQ1251*(1-IF(B1251&gt;=in_marketplace_from,d_hz_two_wheeler*G1251,0))</f>
        <v/>
      </c>
      <c r="AR1252" s="46">
        <f>AQ1252*IF(B1252&gt;=in_marketplace_from,d_hz_two_wheeler*G1252,0)</f>
        <v/>
      </c>
      <c r="AS1252" s="14">
        <f>F1252*AR1252*in_two_wheeler_ticket*in_two_wheeler_comm*in_ins_partner_share+F1252*in_two_wheeler_ticket*in_two_wheeler_comm*in_ins_partner_share*(in_two_wheeler_renew^1*SUMIFS(AR1237:AR1270,B1237:B1270,B1252-12)+in_two_wheeler_renew^2*SUMIFS(AR1237:AR1270,B1237:B1270,B1252-24)+in_two_wheeler_renew^3*SUMIFS(AR1237:AR1270,B1237:B1270,B1252-36)+in_two_wheeler_renew^4*SUMIFS(AR1237:AR1270,B1237:B1270,B1252-48))</f>
        <v/>
      </c>
      <c r="AT1252" s="40">
        <f>AT1251*(1-IF(B1251&gt;=in_marketplace_from,d_hz_device*G1251,0))</f>
        <v/>
      </c>
      <c r="AU1252" s="14">
        <f>F1252*AT1252*IF(B1252&gt;=in_marketplace_from,d_hz_device*G1252,0)*in_device_ticket*in_device_comm*in_ins_partner_share</f>
        <v/>
      </c>
      <c r="AV1252" s="40">
        <f>AV1251*(1-IF(B1251&gt;=in_marketplace_from,d_hz_shop*G1251,0))</f>
        <v/>
      </c>
      <c r="AW1252" s="46">
        <f>AV1252*IF(B1252&gt;=in_marketplace_from,d_hz_shop*G1252,0)</f>
        <v/>
      </c>
      <c r="AX1252" s="14">
        <f>F1252*AW1252*in_shop_ticket*in_shop_comm*in_ins_partner_share+F1252*in_shop_ticket*in_shop_renew_comm*in_ins_partner_share*(in_shop_renew^1*SUMIFS(AW1237:AW1270,B1237:B1270,B1252-12)+in_shop_renew^2*SUMIFS(AW1237:AW1270,B1237:B1270,B1252-24)+in_shop_renew^3*SUMIFS(AW1237:AW1270,B1237:B1270,B1252-36)+in_shop_renew^4*SUMIFS(AW1237:AW1270,B1237:B1270,B1252-48))</f>
        <v/>
      </c>
      <c r="AY1252" s="40">
        <f>AY1251*(1-IF(B1251&gt;=in_marketplace_from,d_hz_sip*G1251,0))</f>
        <v/>
      </c>
      <c r="AZ1252" s="40">
        <f>AZ1251*d_rho_sip+AY1252*IF(B1252&gt;=in_marketplace_from,d_hz_sip*G1252,0)</f>
        <v/>
      </c>
      <c r="BA1252" s="40">
        <f>d_rho_sip*(BA1251+AZ1251)</f>
        <v/>
      </c>
      <c r="BB1252" s="14">
        <f>F1252*in_sip_ticket*(BA1252+0.5*AZ1252)*in_sip_comm/12</f>
        <v/>
      </c>
      <c r="BC1252" s="40">
        <f>BC1251*(1-IF(B1251&gt;=in_marketplace_from,d_hz_choti*G1251,0))</f>
        <v/>
      </c>
      <c r="BD1252" s="46">
        <f>BC1252*IF(B1252&gt;=in_marketplace_from,d_hz_choti*G1252,0)</f>
        <v/>
      </c>
      <c r="BE1252" s="14">
        <f>F1252*SUMIFS(BD1237:BD1270,B1237:B1270,B1252-in_choti_months)*in_choti_renew*in_choti_ticket</f>
        <v/>
      </c>
      <c r="BF1252" s="40">
        <f>BF1251*(1-IF(B1251&gt;=in_marketplace_from,d_hz_nps*G1251,0))</f>
        <v/>
      </c>
      <c r="BG1252" s="14">
        <f>F1252*BF1252*IF(B1252&gt;=in_marketplace_from,d_hz_nps*G1252,0)*in_nps_ticket*in_nps_comm</f>
        <v/>
      </c>
      <c r="BH1252" s="40">
        <f>BH1251*(1-IF(B1251&gt;=in_marketplace_from,d_hz_gold*G1251,0))</f>
        <v/>
      </c>
      <c r="BI1252" s="40">
        <f>BI1251*d_rho_gold+BH1252*IF(B1252&gt;=in_marketplace_from,d_hz_gold*G1252,0)</f>
        <v/>
      </c>
      <c r="BJ1252" s="14">
        <f>F1252*BI1252*in_gold_ticket*in_gold_comm</f>
        <v/>
      </c>
      <c r="BK1252" s="40">
        <f>BK1251*(1-IF(B1251&gt;=in_marketplace_from,d_hz_fd*G1251,0))</f>
        <v/>
      </c>
      <c r="BL1252" s="14">
        <f>F1252*BK1252*IF(B1252&gt;=in_marketplace_from,d_hz_fd*G1252,0)*in_fd_ticket*in_fd_comm</f>
        <v/>
      </c>
      <c r="BM1252" s="40">
        <f>BM1251*(1-IF(B1251&gt;=in_marketplace_from,d_hz_recharge*G1251,0))</f>
        <v/>
      </c>
      <c r="BN1252" s="40">
        <f>BN1251*d_rho_recharge+BM1252*IF(B1252&gt;=in_marketplace_from,d_hz_recharge*G1252,0)</f>
        <v/>
      </c>
      <c r="BO1252" s="14">
        <f>F1252*BN1252*in_recharge_ticket*in_recharge_comm/12</f>
        <v/>
      </c>
      <c r="BP1252" s="40">
        <f>BP1251*(1-IF(B1251&gt;=in_marketplace_from,d_hz_bills*G1251,0))</f>
        <v/>
      </c>
      <c r="BQ1252" s="40">
        <f>BQ1251*d_rho_bills+BP1252*IF(B1252&gt;=in_marketplace_from,d_hz_bills*G1252,0)</f>
        <v/>
      </c>
      <c r="BR1252" s="14">
        <f>F1252*BQ1252*in_bills_ticket*in_bills_comm/12</f>
        <v/>
      </c>
      <c r="BS1252" s="40">
        <f>BS1251*(1-IF(B1251&gt;=in_marketplace_from,d_hz_loan_gold*G1251,0))</f>
        <v/>
      </c>
      <c r="BT1252" s="14">
        <f>F1252*BS1252*IF(B1252&gt;=in_marketplace_from,d_hz_loan_gold*G1252,0)*in_loan_gold_ticket*in_loan_gold_comm</f>
        <v/>
      </c>
      <c r="BU1252" s="40">
        <f>BU1251*(1-IF(B1251&gt;=in_marketplace_from,d_hz_loan_cd*G1251,0))</f>
        <v/>
      </c>
      <c r="BV1252" s="14">
        <f>F1252*BU1252*IF(B1252&gt;=in_marketplace_from,d_hz_loan_cd*G1252,0)*in_loan_cd_ticket*in_loan_cd_comm</f>
        <v/>
      </c>
      <c r="BW1252" s="40">
        <f>BW1251*(1-IF(B1251&gt;=in_marketplace_from,d_hz_loan_vehicle*G1251,0))</f>
        <v/>
      </c>
      <c r="BX1252" s="14">
        <f>F1252*BW1252*IF(B1252&gt;=in_marketplace_from,d_hz_loan_vehicle*G1252,0)*in_loan_vehicle_ticket*in_loan_vehicle_comm</f>
        <v/>
      </c>
      <c r="BY1252" s="40">
        <f>BY1251*(1-IF(B1251&gt;=in_marketplace_from,d_hz_loan_home*G1251,0)*BZ1251)</f>
        <v/>
      </c>
      <c r="BZ1252" s="11">
        <f>MIN(in_approval_cap,in_loan_home_approval*INDEX('Age profile'!$O$2:$O$61,B1252)*(1+in_approval_growth)^(D1252-1))</f>
        <v/>
      </c>
      <c r="CA1252" s="14">
        <f>F1252*BY1252*IF(B1252&gt;=in_marketplace_from,d_hz_loan_home*G1252,0)*BZ1252*in_loan_home_ticket*in_loan_home_comm</f>
        <v/>
      </c>
      <c r="CB1252" s="40">
        <f>CB1251*(1-IF(B1251&gt;=in_marketplace_from,d_hz_loan_lap*G1251,0)*CC1251)</f>
        <v/>
      </c>
      <c r="CC1252" s="11">
        <f>MIN(in_approval_cap,in_loan_lap_approval*INDEX('Age profile'!$O$2:$O$61,B1252)*(1+in_approval_growth)^(D1252-1))</f>
        <v/>
      </c>
      <c r="CD1252" s="14">
        <f>F1252*CB1252*IF(B1252&gt;=in_marketplace_from,d_hz_loan_lap*G1252,0)*CC1252*in_loan_lap_ticket*in_loan_lap_comm</f>
        <v/>
      </c>
      <c r="CE1252" s="14">
        <f>AA1252+AB1252+AC1252+AD1252+AG1252+AJ1252+AM1252+AP1252+AS1252+AU1252+AX1252+BB1252+BE1252+BG1252+BJ1252+BL1252+BO1252+BR1252+BT1252+BV1252+BX1252+CA1252+CD1252</f>
        <v/>
      </c>
    </row>
    <row r="1253">
      <c r="A1253" s="39" t="n">
        <v>27</v>
      </c>
      <c r="B1253" s="39" t="n">
        <v>17</v>
      </c>
      <c r="C1253" s="39">
        <f>A1253+B1253-1</f>
        <v/>
      </c>
      <c r="D1253" s="39">
        <f>INT((C1253-1)/12)+1</f>
        <v/>
      </c>
      <c r="E1253" s="44">
        <f>INDEX(Monthly!$B$2:$B$61,A1253)</f>
        <v/>
      </c>
      <c r="F1253" s="44">
        <f>E1253*INDEX('Age profile'!$B$2:$B$61,B1253)</f>
        <v/>
      </c>
      <c r="G1253" s="45">
        <f>MIN(in_takeup_cap,INDEX('Age profile'!$N$2:$N$61,B1253)*(1+in_takeup_growth)^(D1253-1))</f>
        <v/>
      </c>
      <c r="H1253" s="11">
        <f>MIN(in_approval_cap,in_approved_first*INDEX('Age profile'!$O$2:$O$61,B1253)*(1+in_approval_growth)^(D1253-1))</f>
        <v/>
      </c>
      <c r="I1253" s="45">
        <f>G1253*MIN(in_takeup_cap,INDEX('Age profile'!$O$2:$O$61,B1253)*(1+in_approval_growth)^(D1253-1))</f>
        <v/>
      </c>
      <c r="J1253" s="40">
        <f>(J1252-L1252)*F1253/F1252</f>
        <v/>
      </c>
      <c r="K1253" s="40">
        <f>(K1252-M1252)*F1253/F1252+SUMIFS(O1237:O1252,B1237:B1252,B1253-1-d_T)*F1253</f>
        <v/>
      </c>
      <c r="L1253" s="40">
        <f>IF(B1253&gt;=in_marketplace_from,J1253*d_hz*G1253*in_eligible*H1253,0)</f>
        <v/>
      </c>
      <c r="M1253" s="40">
        <f>IF(B1253&gt;=in_marketplace_from,K1253*d_hz*G1253*in_eligible*in_approved_repeat,0)</f>
        <v/>
      </c>
      <c r="N1253" s="40">
        <f>L1253+M1253</f>
        <v/>
      </c>
      <c r="O1253" s="46">
        <f>N1253/F1253</f>
        <v/>
      </c>
      <c r="P1253" s="40">
        <f>F1253-J1253-K1253</f>
        <v/>
      </c>
      <c r="Q1253" s="40">
        <f>IF(B1253&gt;=in_marketplace_from,(J1253+K1253)*d_hz*G1253,0)</f>
        <v/>
      </c>
      <c r="R1253" s="40">
        <f>SUMIFS(N1237:N1270,B1237:B1270,"&gt;="&amp;(B1253-d_T),B1237:B1270,"&lt;="&amp;(B1253-1))</f>
        <v/>
      </c>
      <c r="S1253" s="46">
        <f>(1-d_u)*S1252+IF(d_T&gt;in_topup_lag,SUMIFS(O1237:O1270,B1237:B1270,B1253-in_topup_lag)-d_udrop*SUMIFS(O1237:O1270,B1237:B1270,B1253-d_T),0)</f>
        <v/>
      </c>
      <c r="T1253" s="40">
        <f>F1253*d_u*S1253</f>
        <v/>
      </c>
      <c r="U1253" s="9">
        <f>L1253*in_ticket+M1253*d_rep_ticket</f>
        <v/>
      </c>
      <c r="V1253" s="9">
        <f>U1253+T1253*d_topup_amt</f>
        <v/>
      </c>
      <c r="W1253" s="40">
        <f>N1253+T1253*d_topup_ratio</f>
        <v/>
      </c>
      <c r="X1253" s="40">
        <f>SUMIFS(W1237:W1270,B1237:B1270,B1253-in_dpd_lag)*d_cured</f>
        <v/>
      </c>
      <c r="Y1253" s="40">
        <f>SUMIFS(W1237:W1270,B1237:B1270,B1253-in_rec_lag)*d_recd</f>
        <v/>
      </c>
      <c r="Z1253" s="40">
        <f>IF(AND(B1253&gt;=in_marketplace_from,B1253&lt;in_marketplace_from+in_card_months),in_card_share/in_card_months*F1253*I1253,IF(AND(B1253&gt;=in_marketplace_from+in_card_months,B1253&lt;in_marketplace_from+2*in_card_months),in_card_share*d_card_rem/in_card_months*F1253*MIN(in_takeup_cap,(1+in_takeup_growth)^(D1253-1))*MIN(in_takeup_cap,(1+in_approval_growth)^(D1253-1)),0))</f>
        <v/>
      </c>
      <c r="AA1253" s="14">
        <f>V1253*in_fee*(1-in_taken_back)</f>
        <v/>
      </c>
      <c r="AB1253" s="14">
        <f>SUMIFS(W1237:W1270,B1237:B1270,B1253-in_dpd_lag)*d_dpd</f>
        <v/>
      </c>
      <c r="AC1253" s="14">
        <f>SUMIFS(W1237:W1270,B1237:B1270,B1253-in_rec_lag)*d_rec</f>
        <v/>
      </c>
      <c r="AD1253" s="14">
        <f>Z1253*in_card_fee</f>
        <v/>
      </c>
      <c r="AE1253" s="40">
        <f>AE1252*(1-IF(B1252&gt;=in_marketplace_from,d_hz_hlth_small*G1252,0))</f>
        <v/>
      </c>
      <c r="AF1253" s="46">
        <f>AE1253*IF(B1253&gt;=in_marketplace_from,d_hz_hlth_small*G1253,0)</f>
        <v/>
      </c>
      <c r="AG1253" s="14">
        <f>F1253*AF1253*in_hlth_small_ticket*in_hlth_small_comm*in_ins_partner_share+F1253*in_hlth_small_ticket*in_hlth_small_renew_comm*in_ins_partner_share*(in_hlth_small_renew^1*SUMIFS(AF1237:AF1270,B1237:B1270,B1253-12)+in_hlth_small_renew^2*SUMIFS(AF1237:AF1270,B1237:B1270,B1253-24)+in_hlth_small_renew^3*SUMIFS(AF1237:AF1270,B1237:B1270,B1253-36)+in_hlth_small_renew^4*SUMIFS(AF1237:AF1270,B1237:B1270,B1253-48))</f>
        <v/>
      </c>
      <c r="AH1253" s="40">
        <f>AH1252*(1-IF(B1252&gt;=in_marketplace_from,d_hz_hlth_family*G1252,0))</f>
        <v/>
      </c>
      <c r="AI1253" s="46">
        <f>AH1253*IF(B1253&gt;=in_marketplace_from,d_hz_hlth_family*G1253,0)</f>
        <v/>
      </c>
      <c r="AJ1253" s="14">
        <f>F1253*AI1253*in_hlth_family_ticket*in_hlth_family_comm*in_ins_partner_share+F1253*in_hlth_family_ticket*in_hlth_family_renew_comm*in_ins_partner_share*(in_hlth_family_renew^1*SUMIFS(AI1237:AI1270,B1237:B1270,B1253-12)+in_hlth_family_renew^2*SUMIFS(AI1237:AI1270,B1237:B1270,B1253-24)+in_hlth_family_renew^3*SUMIFS(AI1237:AI1270,B1237:B1270,B1253-36)+in_hlth_family_renew^4*SUMIFS(AI1237:AI1270,B1237:B1270,B1253-48))</f>
        <v/>
      </c>
      <c r="AK1253" s="40">
        <f>AK1252*(1-IF(B1252&gt;=in_marketplace_from,d_hz_life_term*G1252,0))</f>
        <v/>
      </c>
      <c r="AL1253" s="46">
        <f>AK1253*IF(B1253&gt;=in_marketplace_from,d_hz_life_term*G1253,0)</f>
        <v/>
      </c>
      <c r="AM1253" s="14">
        <f>F1253*AL1253*in_life_term_ticket*in_life_term_comm*in_ins_partner_share+F1253*in_life_term_ticket*in_life_term_renew_comm*in_ins_partner_share*(in_life_term_renew^1*SUMIFS(AL1237:AL1270,B1237:B1270,B1253-12)+in_life_term_renew^2*SUMIFS(AL1237:AL1270,B1237:B1270,B1253-24)+in_life_term_renew^3*SUMIFS(AL1237:AL1270,B1237:B1270,B1253-36)+in_life_term_renew^4*SUMIFS(AL1237:AL1270,B1237:B1270,B1253-48))</f>
        <v/>
      </c>
      <c r="AN1253" s="40">
        <f>AN1252*(1-IF(B1252&gt;=in_marketplace_from,d_hz_accident*G1252,0))</f>
        <v/>
      </c>
      <c r="AO1253" s="46">
        <f>AN1253*IF(B1253&gt;=in_marketplace_from,d_hz_accident*G1253,0)</f>
        <v/>
      </c>
      <c r="AP1253" s="14">
        <f>F1253*AO1253*in_accident_ticket*in_accident_comm*in_ins_partner_share+F1253*in_accident_ticket*in_accident_renew_comm*in_ins_partner_share*(in_accident_renew^1*SUMIFS(AO1237:AO1270,B1237:B1270,B1253-12)+in_accident_renew^2*SUMIFS(AO1237:AO1270,B1237:B1270,B1253-24)+in_accident_renew^3*SUMIFS(AO1237:AO1270,B1237:B1270,B1253-36)+in_accident_renew^4*SUMIFS(AO1237:AO1270,B1237:B1270,B1253-48))</f>
        <v/>
      </c>
      <c r="AQ1253" s="40">
        <f>AQ1252*(1-IF(B1252&gt;=in_marketplace_from,d_hz_two_wheeler*G1252,0))</f>
        <v/>
      </c>
      <c r="AR1253" s="46">
        <f>AQ1253*IF(B1253&gt;=in_marketplace_from,d_hz_two_wheeler*G1253,0)</f>
        <v/>
      </c>
      <c r="AS1253" s="14">
        <f>F1253*AR1253*in_two_wheeler_ticket*in_two_wheeler_comm*in_ins_partner_share+F1253*in_two_wheeler_ticket*in_two_wheeler_comm*in_ins_partner_share*(in_two_wheeler_renew^1*SUMIFS(AR1237:AR1270,B1237:B1270,B1253-12)+in_two_wheeler_renew^2*SUMIFS(AR1237:AR1270,B1237:B1270,B1253-24)+in_two_wheeler_renew^3*SUMIFS(AR1237:AR1270,B1237:B1270,B1253-36)+in_two_wheeler_renew^4*SUMIFS(AR1237:AR1270,B1237:B1270,B1253-48))</f>
        <v/>
      </c>
      <c r="AT1253" s="40">
        <f>AT1252*(1-IF(B1252&gt;=in_marketplace_from,d_hz_device*G1252,0))</f>
        <v/>
      </c>
      <c r="AU1253" s="14">
        <f>F1253*AT1253*IF(B1253&gt;=in_marketplace_from,d_hz_device*G1253,0)*in_device_ticket*in_device_comm*in_ins_partner_share</f>
        <v/>
      </c>
      <c r="AV1253" s="40">
        <f>AV1252*(1-IF(B1252&gt;=in_marketplace_from,d_hz_shop*G1252,0))</f>
        <v/>
      </c>
      <c r="AW1253" s="46">
        <f>AV1253*IF(B1253&gt;=in_marketplace_from,d_hz_shop*G1253,0)</f>
        <v/>
      </c>
      <c r="AX1253" s="14">
        <f>F1253*AW1253*in_shop_ticket*in_shop_comm*in_ins_partner_share+F1253*in_shop_ticket*in_shop_renew_comm*in_ins_partner_share*(in_shop_renew^1*SUMIFS(AW1237:AW1270,B1237:B1270,B1253-12)+in_shop_renew^2*SUMIFS(AW1237:AW1270,B1237:B1270,B1253-24)+in_shop_renew^3*SUMIFS(AW1237:AW1270,B1237:B1270,B1253-36)+in_shop_renew^4*SUMIFS(AW1237:AW1270,B1237:B1270,B1253-48))</f>
        <v/>
      </c>
      <c r="AY1253" s="40">
        <f>AY1252*(1-IF(B1252&gt;=in_marketplace_from,d_hz_sip*G1252,0))</f>
        <v/>
      </c>
      <c r="AZ1253" s="40">
        <f>AZ1252*d_rho_sip+AY1253*IF(B1253&gt;=in_marketplace_from,d_hz_sip*G1253,0)</f>
        <v/>
      </c>
      <c r="BA1253" s="40">
        <f>d_rho_sip*(BA1252+AZ1252)</f>
        <v/>
      </c>
      <c r="BB1253" s="14">
        <f>F1253*in_sip_ticket*(BA1253+0.5*AZ1253)*in_sip_comm/12</f>
        <v/>
      </c>
      <c r="BC1253" s="40">
        <f>BC1252*(1-IF(B1252&gt;=in_marketplace_from,d_hz_choti*G1252,0))</f>
        <v/>
      </c>
      <c r="BD1253" s="46">
        <f>BC1253*IF(B1253&gt;=in_marketplace_from,d_hz_choti*G1253,0)</f>
        <v/>
      </c>
      <c r="BE1253" s="14">
        <f>F1253*SUMIFS(BD1237:BD1270,B1237:B1270,B1253-in_choti_months)*in_choti_renew*in_choti_ticket</f>
        <v/>
      </c>
      <c r="BF1253" s="40">
        <f>BF1252*(1-IF(B1252&gt;=in_marketplace_from,d_hz_nps*G1252,0))</f>
        <v/>
      </c>
      <c r="BG1253" s="14">
        <f>F1253*BF1253*IF(B1253&gt;=in_marketplace_from,d_hz_nps*G1253,0)*in_nps_ticket*in_nps_comm</f>
        <v/>
      </c>
      <c r="BH1253" s="40">
        <f>BH1252*(1-IF(B1252&gt;=in_marketplace_from,d_hz_gold*G1252,0))</f>
        <v/>
      </c>
      <c r="BI1253" s="40">
        <f>BI1252*d_rho_gold+BH1253*IF(B1253&gt;=in_marketplace_from,d_hz_gold*G1253,0)</f>
        <v/>
      </c>
      <c r="BJ1253" s="14">
        <f>F1253*BI1253*in_gold_ticket*in_gold_comm</f>
        <v/>
      </c>
      <c r="BK1253" s="40">
        <f>BK1252*(1-IF(B1252&gt;=in_marketplace_from,d_hz_fd*G1252,0))</f>
        <v/>
      </c>
      <c r="BL1253" s="14">
        <f>F1253*BK1253*IF(B1253&gt;=in_marketplace_from,d_hz_fd*G1253,0)*in_fd_ticket*in_fd_comm</f>
        <v/>
      </c>
      <c r="BM1253" s="40">
        <f>BM1252*(1-IF(B1252&gt;=in_marketplace_from,d_hz_recharge*G1252,0))</f>
        <v/>
      </c>
      <c r="BN1253" s="40">
        <f>BN1252*d_rho_recharge+BM1253*IF(B1253&gt;=in_marketplace_from,d_hz_recharge*G1253,0)</f>
        <v/>
      </c>
      <c r="BO1253" s="14">
        <f>F1253*BN1253*in_recharge_ticket*in_recharge_comm/12</f>
        <v/>
      </c>
      <c r="BP1253" s="40">
        <f>BP1252*(1-IF(B1252&gt;=in_marketplace_from,d_hz_bills*G1252,0))</f>
        <v/>
      </c>
      <c r="BQ1253" s="40">
        <f>BQ1252*d_rho_bills+BP1253*IF(B1253&gt;=in_marketplace_from,d_hz_bills*G1253,0)</f>
        <v/>
      </c>
      <c r="BR1253" s="14">
        <f>F1253*BQ1253*in_bills_ticket*in_bills_comm/12</f>
        <v/>
      </c>
      <c r="BS1253" s="40">
        <f>BS1252*(1-IF(B1252&gt;=in_marketplace_from,d_hz_loan_gold*G1252,0))</f>
        <v/>
      </c>
      <c r="BT1253" s="14">
        <f>F1253*BS1253*IF(B1253&gt;=in_marketplace_from,d_hz_loan_gold*G1253,0)*in_loan_gold_ticket*in_loan_gold_comm</f>
        <v/>
      </c>
      <c r="BU1253" s="40">
        <f>BU1252*(1-IF(B1252&gt;=in_marketplace_from,d_hz_loan_cd*G1252,0))</f>
        <v/>
      </c>
      <c r="BV1253" s="14">
        <f>F1253*BU1253*IF(B1253&gt;=in_marketplace_from,d_hz_loan_cd*G1253,0)*in_loan_cd_ticket*in_loan_cd_comm</f>
        <v/>
      </c>
      <c r="BW1253" s="40">
        <f>BW1252*(1-IF(B1252&gt;=in_marketplace_from,d_hz_loan_vehicle*G1252,0))</f>
        <v/>
      </c>
      <c r="BX1253" s="14">
        <f>F1253*BW1253*IF(B1253&gt;=in_marketplace_from,d_hz_loan_vehicle*G1253,0)*in_loan_vehicle_ticket*in_loan_vehicle_comm</f>
        <v/>
      </c>
      <c r="BY1253" s="40">
        <f>BY1252*(1-IF(B1252&gt;=in_marketplace_from,d_hz_loan_home*G1252,0)*BZ1252)</f>
        <v/>
      </c>
      <c r="BZ1253" s="11">
        <f>MIN(in_approval_cap,in_loan_home_approval*INDEX('Age profile'!$O$2:$O$61,B1253)*(1+in_approval_growth)^(D1253-1))</f>
        <v/>
      </c>
      <c r="CA1253" s="14">
        <f>F1253*BY1253*IF(B1253&gt;=in_marketplace_from,d_hz_loan_home*G1253,0)*BZ1253*in_loan_home_ticket*in_loan_home_comm</f>
        <v/>
      </c>
      <c r="CB1253" s="40">
        <f>CB1252*(1-IF(B1252&gt;=in_marketplace_from,d_hz_loan_lap*G1252,0)*CC1252)</f>
        <v/>
      </c>
      <c r="CC1253" s="11">
        <f>MIN(in_approval_cap,in_loan_lap_approval*INDEX('Age profile'!$O$2:$O$61,B1253)*(1+in_approval_growth)^(D1253-1))</f>
        <v/>
      </c>
      <c r="CD1253" s="14">
        <f>F1253*CB1253*IF(B1253&gt;=in_marketplace_from,d_hz_loan_lap*G1253,0)*CC1253*in_loan_lap_ticket*in_loan_lap_comm</f>
        <v/>
      </c>
      <c r="CE1253" s="14">
        <f>AA1253+AB1253+AC1253+AD1253+AG1253+AJ1253+AM1253+AP1253+AS1253+AU1253+AX1253+BB1253+BE1253+BG1253+BJ1253+BL1253+BO1253+BR1253+BT1253+BV1253+BX1253+CA1253+CD1253</f>
        <v/>
      </c>
    </row>
    <row r="1254">
      <c r="A1254" s="39" t="n">
        <v>27</v>
      </c>
      <c r="B1254" s="39" t="n">
        <v>18</v>
      </c>
      <c r="C1254" s="39">
        <f>A1254+B1254-1</f>
        <v/>
      </c>
      <c r="D1254" s="39">
        <f>INT((C1254-1)/12)+1</f>
        <v/>
      </c>
      <c r="E1254" s="44">
        <f>INDEX(Monthly!$B$2:$B$61,A1254)</f>
        <v/>
      </c>
      <c r="F1254" s="44">
        <f>E1254*INDEX('Age profile'!$B$2:$B$61,B1254)</f>
        <v/>
      </c>
      <c r="G1254" s="45">
        <f>MIN(in_takeup_cap,INDEX('Age profile'!$N$2:$N$61,B1254)*(1+in_takeup_growth)^(D1254-1))</f>
        <v/>
      </c>
      <c r="H1254" s="11">
        <f>MIN(in_approval_cap,in_approved_first*INDEX('Age profile'!$O$2:$O$61,B1254)*(1+in_approval_growth)^(D1254-1))</f>
        <v/>
      </c>
      <c r="I1254" s="45">
        <f>G1254*MIN(in_takeup_cap,INDEX('Age profile'!$O$2:$O$61,B1254)*(1+in_approval_growth)^(D1254-1))</f>
        <v/>
      </c>
      <c r="J1254" s="40">
        <f>(J1253-L1253)*F1254/F1253</f>
        <v/>
      </c>
      <c r="K1254" s="40">
        <f>(K1253-M1253)*F1254/F1253+SUMIFS(O1237:O1253,B1237:B1253,B1254-1-d_T)*F1254</f>
        <v/>
      </c>
      <c r="L1254" s="40">
        <f>IF(B1254&gt;=in_marketplace_from,J1254*d_hz*G1254*in_eligible*H1254,0)</f>
        <v/>
      </c>
      <c r="M1254" s="40">
        <f>IF(B1254&gt;=in_marketplace_from,K1254*d_hz*G1254*in_eligible*in_approved_repeat,0)</f>
        <v/>
      </c>
      <c r="N1254" s="40">
        <f>L1254+M1254</f>
        <v/>
      </c>
      <c r="O1254" s="46">
        <f>N1254/F1254</f>
        <v/>
      </c>
      <c r="P1254" s="40">
        <f>F1254-J1254-K1254</f>
        <v/>
      </c>
      <c r="Q1254" s="40">
        <f>IF(B1254&gt;=in_marketplace_from,(J1254+K1254)*d_hz*G1254,0)</f>
        <v/>
      </c>
      <c r="R1254" s="40">
        <f>SUMIFS(N1237:N1270,B1237:B1270,"&gt;="&amp;(B1254-d_T),B1237:B1270,"&lt;="&amp;(B1254-1))</f>
        <v/>
      </c>
      <c r="S1254" s="46">
        <f>(1-d_u)*S1253+IF(d_T&gt;in_topup_lag,SUMIFS(O1237:O1270,B1237:B1270,B1254-in_topup_lag)-d_udrop*SUMIFS(O1237:O1270,B1237:B1270,B1254-d_T),0)</f>
        <v/>
      </c>
      <c r="T1254" s="40">
        <f>F1254*d_u*S1254</f>
        <v/>
      </c>
      <c r="U1254" s="9">
        <f>L1254*in_ticket+M1254*d_rep_ticket</f>
        <v/>
      </c>
      <c r="V1254" s="9">
        <f>U1254+T1254*d_topup_amt</f>
        <v/>
      </c>
      <c r="W1254" s="40">
        <f>N1254+T1254*d_topup_ratio</f>
        <v/>
      </c>
      <c r="X1254" s="40">
        <f>SUMIFS(W1237:W1270,B1237:B1270,B1254-in_dpd_lag)*d_cured</f>
        <v/>
      </c>
      <c r="Y1254" s="40">
        <f>SUMIFS(W1237:W1270,B1237:B1270,B1254-in_rec_lag)*d_recd</f>
        <v/>
      </c>
      <c r="Z1254" s="40">
        <f>IF(AND(B1254&gt;=in_marketplace_from,B1254&lt;in_marketplace_from+in_card_months),in_card_share/in_card_months*F1254*I1254,IF(AND(B1254&gt;=in_marketplace_from+in_card_months,B1254&lt;in_marketplace_from+2*in_card_months),in_card_share*d_card_rem/in_card_months*F1254*MIN(in_takeup_cap,(1+in_takeup_growth)^(D1254-1))*MIN(in_takeup_cap,(1+in_approval_growth)^(D1254-1)),0))</f>
        <v/>
      </c>
      <c r="AA1254" s="14">
        <f>V1254*in_fee*(1-in_taken_back)</f>
        <v/>
      </c>
      <c r="AB1254" s="14">
        <f>SUMIFS(W1237:W1270,B1237:B1270,B1254-in_dpd_lag)*d_dpd</f>
        <v/>
      </c>
      <c r="AC1254" s="14">
        <f>SUMIFS(W1237:W1270,B1237:B1270,B1254-in_rec_lag)*d_rec</f>
        <v/>
      </c>
      <c r="AD1254" s="14">
        <f>Z1254*in_card_fee</f>
        <v/>
      </c>
      <c r="AE1254" s="40">
        <f>AE1253*(1-IF(B1253&gt;=in_marketplace_from,d_hz_hlth_small*G1253,0))</f>
        <v/>
      </c>
      <c r="AF1254" s="46">
        <f>AE1254*IF(B1254&gt;=in_marketplace_from,d_hz_hlth_small*G1254,0)</f>
        <v/>
      </c>
      <c r="AG1254" s="14">
        <f>F1254*AF1254*in_hlth_small_ticket*in_hlth_small_comm*in_ins_partner_share+F1254*in_hlth_small_ticket*in_hlth_small_renew_comm*in_ins_partner_share*(in_hlth_small_renew^1*SUMIFS(AF1237:AF1270,B1237:B1270,B1254-12)+in_hlth_small_renew^2*SUMIFS(AF1237:AF1270,B1237:B1270,B1254-24)+in_hlth_small_renew^3*SUMIFS(AF1237:AF1270,B1237:B1270,B1254-36)+in_hlth_small_renew^4*SUMIFS(AF1237:AF1270,B1237:B1270,B1254-48))</f>
        <v/>
      </c>
      <c r="AH1254" s="40">
        <f>AH1253*(1-IF(B1253&gt;=in_marketplace_from,d_hz_hlth_family*G1253,0))</f>
        <v/>
      </c>
      <c r="AI1254" s="46">
        <f>AH1254*IF(B1254&gt;=in_marketplace_from,d_hz_hlth_family*G1254,0)</f>
        <v/>
      </c>
      <c r="AJ1254" s="14">
        <f>F1254*AI1254*in_hlth_family_ticket*in_hlth_family_comm*in_ins_partner_share+F1254*in_hlth_family_ticket*in_hlth_family_renew_comm*in_ins_partner_share*(in_hlth_family_renew^1*SUMIFS(AI1237:AI1270,B1237:B1270,B1254-12)+in_hlth_family_renew^2*SUMIFS(AI1237:AI1270,B1237:B1270,B1254-24)+in_hlth_family_renew^3*SUMIFS(AI1237:AI1270,B1237:B1270,B1254-36)+in_hlth_family_renew^4*SUMIFS(AI1237:AI1270,B1237:B1270,B1254-48))</f>
        <v/>
      </c>
      <c r="AK1254" s="40">
        <f>AK1253*(1-IF(B1253&gt;=in_marketplace_from,d_hz_life_term*G1253,0))</f>
        <v/>
      </c>
      <c r="AL1254" s="46">
        <f>AK1254*IF(B1254&gt;=in_marketplace_from,d_hz_life_term*G1254,0)</f>
        <v/>
      </c>
      <c r="AM1254" s="14">
        <f>F1254*AL1254*in_life_term_ticket*in_life_term_comm*in_ins_partner_share+F1254*in_life_term_ticket*in_life_term_renew_comm*in_ins_partner_share*(in_life_term_renew^1*SUMIFS(AL1237:AL1270,B1237:B1270,B1254-12)+in_life_term_renew^2*SUMIFS(AL1237:AL1270,B1237:B1270,B1254-24)+in_life_term_renew^3*SUMIFS(AL1237:AL1270,B1237:B1270,B1254-36)+in_life_term_renew^4*SUMIFS(AL1237:AL1270,B1237:B1270,B1254-48))</f>
        <v/>
      </c>
      <c r="AN1254" s="40">
        <f>AN1253*(1-IF(B1253&gt;=in_marketplace_from,d_hz_accident*G1253,0))</f>
        <v/>
      </c>
      <c r="AO1254" s="46">
        <f>AN1254*IF(B1254&gt;=in_marketplace_from,d_hz_accident*G1254,0)</f>
        <v/>
      </c>
      <c r="AP1254" s="14">
        <f>F1254*AO1254*in_accident_ticket*in_accident_comm*in_ins_partner_share+F1254*in_accident_ticket*in_accident_renew_comm*in_ins_partner_share*(in_accident_renew^1*SUMIFS(AO1237:AO1270,B1237:B1270,B1254-12)+in_accident_renew^2*SUMIFS(AO1237:AO1270,B1237:B1270,B1254-24)+in_accident_renew^3*SUMIFS(AO1237:AO1270,B1237:B1270,B1254-36)+in_accident_renew^4*SUMIFS(AO1237:AO1270,B1237:B1270,B1254-48))</f>
        <v/>
      </c>
      <c r="AQ1254" s="40">
        <f>AQ1253*(1-IF(B1253&gt;=in_marketplace_from,d_hz_two_wheeler*G1253,0))</f>
        <v/>
      </c>
      <c r="AR1254" s="46">
        <f>AQ1254*IF(B1254&gt;=in_marketplace_from,d_hz_two_wheeler*G1254,0)</f>
        <v/>
      </c>
      <c r="AS1254" s="14">
        <f>F1254*AR1254*in_two_wheeler_ticket*in_two_wheeler_comm*in_ins_partner_share+F1254*in_two_wheeler_ticket*in_two_wheeler_comm*in_ins_partner_share*(in_two_wheeler_renew^1*SUMIFS(AR1237:AR1270,B1237:B1270,B1254-12)+in_two_wheeler_renew^2*SUMIFS(AR1237:AR1270,B1237:B1270,B1254-24)+in_two_wheeler_renew^3*SUMIFS(AR1237:AR1270,B1237:B1270,B1254-36)+in_two_wheeler_renew^4*SUMIFS(AR1237:AR1270,B1237:B1270,B1254-48))</f>
        <v/>
      </c>
      <c r="AT1254" s="40">
        <f>AT1253*(1-IF(B1253&gt;=in_marketplace_from,d_hz_device*G1253,0))</f>
        <v/>
      </c>
      <c r="AU1254" s="14">
        <f>F1254*AT1254*IF(B1254&gt;=in_marketplace_from,d_hz_device*G1254,0)*in_device_ticket*in_device_comm*in_ins_partner_share</f>
        <v/>
      </c>
      <c r="AV1254" s="40">
        <f>AV1253*(1-IF(B1253&gt;=in_marketplace_from,d_hz_shop*G1253,0))</f>
        <v/>
      </c>
      <c r="AW1254" s="46">
        <f>AV1254*IF(B1254&gt;=in_marketplace_from,d_hz_shop*G1254,0)</f>
        <v/>
      </c>
      <c r="AX1254" s="14">
        <f>F1254*AW1254*in_shop_ticket*in_shop_comm*in_ins_partner_share+F1254*in_shop_ticket*in_shop_renew_comm*in_ins_partner_share*(in_shop_renew^1*SUMIFS(AW1237:AW1270,B1237:B1270,B1254-12)+in_shop_renew^2*SUMIFS(AW1237:AW1270,B1237:B1270,B1254-24)+in_shop_renew^3*SUMIFS(AW1237:AW1270,B1237:B1270,B1254-36)+in_shop_renew^4*SUMIFS(AW1237:AW1270,B1237:B1270,B1254-48))</f>
        <v/>
      </c>
      <c r="AY1254" s="40">
        <f>AY1253*(1-IF(B1253&gt;=in_marketplace_from,d_hz_sip*G1253,0))</f>
        <v/>
      </c>
      <c r="AZ1254" s="40">
        <f>AZ1253*d_rho_sip+AY1254*IF(B1254&gt;=in_marketplace_from,d_hz_sip*G1254,0)</f>
        <v/>
      </c>
      <c r="BA1254" s="40">
        <f>d_rho_sip*(BA1253+AZ1253)</f>
        <v/>
      </c>
      <c r="BB1254" s="14">
        <f>F1254*in_sip_ticket*(BA1254+0.5*AZ1254)*in_sip_comm/12</f>
        <v/>
      </c>
      <c r="BC1254" s="40">
        <f>BC1253*(1-IF(B1253&gt;=in_marketplace_from,d_hz_choti*G1253,0))</f>
        <v/>
      </c>
      <c r="BD1254" s="46">
        <f>BC1254*IF(B1254&gt;=in_marketplace_from,d_hz_choti*G1254,0)</f>
        <v/>
      </c>
      <c r="BE1254" s="14">
        <f>F1254*SUMIFS(BD1237:BD1270,B1237:B1270,B1254-in_choti_months)*in_choti_renew*in_choti_ticket</f>
        <v/>
      </c>
      <c r="BF1254" s="40">
        <f>BF1253*(1-IF(B1253&gt;=in_marketplace_from,d_hz_nps*G1253,0))</f>
        <v/>
      </c>
      <c r="BG1254" s="14">
        <f>F1254*BF1254*IF(B1254&gt;=in_marketplace_from,d_hz_nps*G1254,0)*in_nps_ticket*in_nps_comm</f>
        <v/>
      </c>
      <c r="BH1254" s="40">
        <f>BH1253*(1-IF(B1253&gt;=in_marketplace_from,d_hz_gold*G1253,0))</f>
        <v/>
      </c>
      <c r="BI1254" s="40">
        <f>BI1253*d_rho_gold+BH1254*IF(B1254&gt;=in_marketplace_from,d_hz_gold*G1254,0)</f>
        <v/>
      </c>
      <c r="BJ1254" s="14">
        <f>F1254*BI1254*in_gold_ticket*in_gold_comm</f>
        <v/>
      </c>
      <c r="BK1254" s="40">
        <f>BK1253*(1-IF(B1253&gt;=in_marketplace_from,d_hz_fd*G1253,0))</f>
        <v/>
      </c>
      <c r="BL1254" s="14">
        <f>F1254*BK1254*IF(B1254&gt;=in_marketplace_from,d_hz_fd*G1254,0)*in_fd_ticket*in_fd_comm</f>
        <v/>
      </c>
      <c r="BM1254" s="40">
        <f>BM1253*(1-IF(B1253&gt;=in_marketplace_from,d_hz_recharge*G1253,0))</f>
        <v/>
      </c>
      <c r="BN1254" s="40">
        <f>BN1253*d_rho_recharge+BM1254*IF(B1254&gt;=in_marketplace_from,d_hz_recharge*G1254,0)</f>
        <v/>
      </c>
      <c r="BO1254" s="14">
        <f>F1254*BN1254*in_recharge_ticket*in_recharge_comm/12</f>
        <v/>
      </c>
      <c r="BP1254" s="40">
        <f>BP1253*(1-IF(B1253&gt;=in_marketplace_from,d_hz_bills*G1253,0))</f>
        <v/>
      </c>
      <c r="BQ1254" s="40">
        <f>BQ1253*d_rho_bills+BP1254*IF(B1254&gt;=in_marketplace_from,d_hz_bills*G1254,0)</f>
        <v/>
      </c>
      <c r="BR1254" s="14">
        <f>F1254*BQ1254*in_bills_ticket*in_bills_comm/12</f>
        <v/>
      </c>
      <c r="BS1254" s="40">
        <f>BS1253*(1-IF(B1253&gt;=in_marketplace_from,d_hz_loan_gold*G1253,0))</f>
        <v/>
      </c>
      <c r="BT1254" s="14">
        <f>F1254*BS1254*IF(B1254&gt;=in_marketplace_from,d_hz_loan_gold*G1254,0)*in_loan_gold_ticket*in_loan_gold_comm</f>
        <v/>
      </c>
      <c r="BU1254" s="40">
        <f>BU1253*(1-IF(B1253&gt;=in_marketplace_from,d_hz_loan_cd*G1253,0))</f>
        <v/>
      </c>
      <c r="BV1254" s="14">
        <f>F1254*BU1254*IF(B1254&gt;=in_marketplace_from,d_hz_loan_cd*G1254,0)*in_loan_cd_ticket*in_loan_cd_comm</f>
        <v/>
      </c>
      <c r="BW1254" s="40">
        <f>BW1253*(1-IF(B1253&gt;=in_marketplace_from,d_hz_loan_vehicle*G1253,0))</f>
        <v/>
      </c>
      <c r="BX1254" s="14">
        <f>F1254*BW1254*IF(B1254&gt;=in_marketplace_from,d_hz_loan_vehicle*G1254,0)*in_loan_vehicle_ticket*in_loan_vehicle_comm</f>
        <v/>
      </c>
      <c r="BY1254" s="40">
        <f>BY1253*(1-IF(B1253&gt;=in_marketplace_from,d_hz_loan_home*G1253,0)*BZ1253)</f>
        <v/>
      </c>
      <c r="BZ1254" s="11">
        <f>MIN(in_approval_cap,in_loan_home_approval*INDEX('Age profile'!$O$2:$O$61,B1254)*(1+in_approval_growth)^(D1254-1))</f>
        <v/>
      </c>
      <c r="CA1254" s="14">
        <f>F1254*BY1254*IF(B1254&gt;=in_marketplace_from,d_hz_loan_home*G1254,0)*BZ1254*in_loan_home_ticket*in_loan_home_comm</f>
        <v/>
      </c>
      <c r="CB1254" s="40">
        <f>CB1253*(1-IF(B1253&gt;=in_marketplace_from,d_hz_loan_lap*G1253,0)*CC1253)</f>
        <v/>
      </c>
      <c r="CC1254" s="11">
        <f>MIN(in_approval_cap,in_loan_lap_approval*INDEX('Age profile'!$O$2:$O$61,B1254)*(1+in_approval_growth)^(D1254-1))</f>
        <v/>
      </c>
      <c r="CD1254" s="14">
        <f>F1254*CB1254*IF(B1254&gt;=in_marketplace_from,d_hz_loan_lap*G1254,0)*CC1254*in_loan_lap_ticket*in_loan_lap_comm</f>
        <v/>
      </c>
      <c r="CE1254" s="14">
        <f>AA1254+AB1254+AC1254+AD1254+AG1254+AJ1254+AM1254+AP1254+AS1254+AU1254+AX1254+BB1254+BE1254+BG1254+BJ1254+BL1254+BO1254+BR1254+BT1254+BV1254+BX1254+CA1254+CD1254</f>
        <v/>
      </c>
    </row>
    <row r="1255">
      <c r="A1255" s="39" t="n">
        <v>27</v>
      </c>
      <c r="B1255" s="39" t="n">
        <v>19</v>
      </c>
      <c r="C1255" s="39">
        <f>A1255+B1255-1</f>
        <v/>
      </c>
      <c r="D1255" s="39">
        <f>INT((C1255-1)/12)+1</f>
        <v/>
      </c>
      <c r="E1255" s="44">
        <f>INDEX(Monthly!$B$2:$B$61,A1255)</f>
        <v/>
      </c>
      <c r="F1255" s="44">
        <f>E1255*INDEX('Age profile'!$B$2:$B$61,B1255)</f>
        <v/>
      </c>
      <c r="G1255" s="45">
        <f>MIN(in_takeup_cap,INDEX('Age profile'!$N$2:$N$61,B1255)*(1+in_takeup_growth)^(D1255-1))</f>
        <v/>
      </c>
      <c r="H1255" s="11">
        <f>MIN(in_approval_cap,in_approved_first*INDEX('Age profile'!$O$2:$O$61,B1255)*(1+in_approval_growth)^(D1255-1))</f>
        <v/>
      </c>
      <c r="I1255" s="45">
        <f>G1255*MIN(in_takeup_cap,INDEX('Age profile'!$O$2:$O$61,B1255)*(1+in_approval_growth)^(D1255-1))</f>
        <v/>
      </c>
      <c r="J1255" s="40">
        <f>(J1254-L1254)*F1255/F1254</f>
        <v/>
      </c>
      <c r="K1255" s="40">
        <f>(K1254-M1254)*F1255/F1254+SUMIFS(O1237:O1254,B1237:B1254,B1255-1-d_T)*F1255</f>
        <v/>
      </c>
      <c r="L1255" s="40">
        <f>IF(B1255&gt;=in_marketplace_from,J1255*d_hz*G1255*in_eligible*H1255,0)</f>
        <v/>
      </c>
      <c r="M1255" s="40">
        <f>IF(B1255&gt;=in_marketplace_from,K1255*d_hz*G1255*in_eligible*in_approved_repeat,0)</f>
        <v/>
      </c>
      <c r="N1255" s="40">
        <f>L1255+M1255</f>
        <v/>
      </c>
      <c r="O1255" s="46">
        <f>N1255/F1255</f>
        <v/>
      </c>
      <c r="P1255" s="40">
        <f>F1255-J1255-K1255</f>
        <v/>
      </c>
      <c r="Q1255" s="40">
        <f>IF(B1255&gt;=in_marketplace_from,(J1255+K1255)*d_hz*G1255,0)</f>
        <v/>
      </c>
      <c r="R1255" s="40">
        <f>SUMIFS(N1237:N1270,B1237:B1270,"&gt;="&amp;(B1255-d_T),B1237:B1270,"&lt;="&amp;(B1255-1))</f>
        <v/>
      </c>
      <c r="S1255" s="46">
        <f>(1-d_u)*S1254+IF(d_T&gt;in_topup_lag,SUMIFS(O1237:O1270,B1237:B1270,B1255-in_topup_lag)-d_udrop*SUMIFS(O1237:O1270,B1237:B1270,B1255-d_T),0)</f>
        <v/>
      </c>
      <c r="T1255" s="40">
        <f>F1255*d_u*S1255</f>
        <v/>
      </c>
      <c r="U1255" s="9">
        <f>L1255*in_ticket+M1255*d_rep_ticket</f>
        <v/>
      </c>
      <c r="V1255" s="9">
        <f>U1255+T1255*d_topup_amt</f>
        <v/>
      </c>
      <c r="W1255" s="40">
        <f>N1255+T1255*d_topup_ratio</f>
        <v/>
      </c>
      <c r="X1255" s="40">
        <f>SUMIFS(W1237:W1270,B1237:B1270,B1255-in_dpd_lag)*d_cured</f>
        <v/>
      </c>
      <c r="Y1255" s="40">
        <f>SUMIFS(W1237:W1270,B1237:B1270,B1255-in_rec_lag)*d_recd</f>
        <v/>
      </c>
      <c r="Z1255" s="40">
        <f>IF(AND(B1255&gt;=in_marketplace_from,B1255&lt;in_marketplace_from+in_card_months),in_card_share/in_card_months*F1255*I1255,IF(AND(B1255&gt;=in_marketplace_from+in_card_months,B1255&lt;in_marketplace_from+2*in_card_months),in_card_share*d_card_rem/in_card_months*F1255*MIN(in_takeup_cap,(1+in_takeup_growth)^(D1255-1))*MIN(in_takeup_cap,(1+in_approval_growth)^(D1255-1)),0))</f>
        <v/>
      </c>
      <c r="AA1255" s="14">
        <f>V1255*in_fee*(1-in_taken_back)</f>
        <v/>
      </c>
      <c r="AB1255" s="14">
        <f>SUMIFS(W1237:W1270,B1237:B1270,B1255-in_dpd_lag)*d_dpd</f>
        <v/>
      </c>
      <c r="AC1255" s="14">
        <f>SUMIFS(W1237:W1270,B1237:B1270,B1255-in_rec_lag)*d_rec</f>
        <v/>
      </c>
      <c r="AD1255" s="14">
        <f>Z1255*in_card_fee</f>
        <v/>
      </c>
      <c r="AE1255" s="40">
        <f>AE1254*(1-IF(B1254&gt;=in_marketplace_from,d_hz_hlth_small*G1254,0))</f>
        <v/>
      </c>
      <c r="AF1255" s="46">
        <f>AE1255*IF(B1255&gt;=in_marketplace_from,d_hz_hlth_small*G1255,0)</f>
        <v/>
      </c>
      <c r="AG1255" s="14">
        <f>F1255*AF1255*in_hlth_small_ticket*in_hlth_small_comm*in_ins_partner_share+F1255*in_hlth_small_ticket*in_hlth_small_renew_comm*in_ins_partner_share*(in_hlth_small_renew^1*SUMIFS(AF1237:AF1270,B1237:B1270,B1255-12)+in_hlth_small_renew^2*SUMIFS(AF1237:AF1270,B1237:B1270,B1255-24)+in_hlth_small_renew^3*SUMIFS(AF1237:AF1270,B1237:B1270,B1255-36)+in_hlth_small_renew^4*SUMIFS(AF1237:AF1270,B1237:B1270,B1255-48))</f>
        <v/>
      </c>
      <c r="AH1255" s="40">
        <f>AH1254*(1-IF(B1254&gt;=in_marketplace_from,d_hz_hlth_family*G1254,0))</f>
        <v/>
      </c>
      <c r="AI1255" s="46">
        <f>AH1255*IF(B1255&gt;=in_marketplace_from,d_hz_hlth_family*G1255,0)</f>
        <v/>
      </c>
      <c r="AJ1255" s="14">
        <f>F1255*AI1255*in_hlth_family_ticket*in_hlth_family_comm*in_ins_partner_share+F1255*in_hlth_family_ticket*in_hlth_family_renew_comm*in_ins_partner_share*(in_hlth_family_renew^1*SUMIFS(AI1237:AI1270,B1237:B1270,B1255-12)+in_hlth_family_renew^2*SUMIFS(AI1237:AI1270,B1237:B1270,B1255-24)+in_hlth_family_renew^3*SUMIFS(AI1237:AI1270,B1237:B1270,B1255-36)+in_hlth_family_renew^4*SUMIFS(AI1237:AI1270,B1237:B1270,B1255-48))</f>
        <v/>
      </c>
      <c r="AK1255" s="40">
        <f>AK1254*(1-IF(B1254&gt;=in_marketplace_from,d_hz_life_term*G1254,0))</f>
        <v/>
      </c>
      <c r="AL1255" s="46">
        <f>AK1255*IF(B1255&gt;=in_marketplace_from,d_hz_life_term*G1255,0)</f>
        <v/>
      </c>
      <c r="AM1255" s="14">
        <f>F1255*AL1255*in_life_term_ticket*in_life_term_comm*in_ins_partner_share+F1255*in_life_term_ticket*in_life_term_renew_comm*in_ins_partner_share*(in_life_term_renew^1*SUMIFS(AL1237:AL1270,B1237:B1270,B1255-12)+in_life_term_renew^2*SUMIFS(AL1237:AL1270,B1237:B1270,B1255-24)+in_life_term_renew^3*SUMIFS(AL1237:AL1270,B1237:B1270,B1255-36)+in_life_term_renew^4*SUMIFS(AL1237:AL1270,B1237:B1270,B1255-48))</f>
        <v/>
      </c>
      <c r="AN1255" s="40">
        <f>AN1254*(1-IF(B1254&gt;=in_marketplace_from,d_hz_accident*G1254,0))</f>
        <v/>
      </c>
      <c r="AO1255" s="46">
        <f>AN1255*IF(B1255&gt;=in_marketplace_from,d_hz_accident*G1255,0)</f>
        <v/>
      </c>
      <c r="AP1255" s="14">
        <f>F1255*AO1255*in_accident_ticket*in_accident_comm*in_ins_partner_share+F1255*in_accident_ticket*in_accident_renew_comm*in_ins_partner_share*(in_accident_renew^1*SUMIFS(AO1237:AO1270,B1237:B1270,B1255-12)+in_accident_renew^2*SUMIFS(AO1237:AO1270,B1237:B1270,B1255-24)+in_accident_renew^3*SUMIFS(AO1237:AO1270,B1237:B1270,B1255-36)+in_accident_renew^4*SUMIFS(AO1237:AO1270,B1237:B1270,B1255-48))</f>
        <v/>
      </c>
      <c r="AQ1255" s="40">
        <f>AQ1254*(1-IF(B1254&gt;=in_marketplace_from,d_hz_two_wheeler*G1254,0))</f>
        <v/>
      </c>
      <c r="AR1255" s="46">
        <f>AQ1255*IF(B1255&gt;=in_marketplace_from,d_hz_two_wheeler*G1255,0)</f>
        <v/>
      </c>
      <c r="AS1255" s="14">
        <f>F1255*AR1255*in_two_wheeler_ticket*in_two_wheeler_comm*in_ins_partner_share+F1255*in_two_wheeler_ticket*in_two_wheeler_comm*in_ins_partner_share*(in_two_wheeler_renew^1*SUMIFS(AR1237:AR1270,B1237:B1270,B1255-12)+in_two_wheeler_renew^2*SUMIFS(AR1237:AR1270,B1237:B1270,B1255-24)+in_two_wheeler_renew^3*SUMIFS(AR1237:AR1270,B1237:B1270,B1255-36)+in_two_wheeler_renew^4*SUMIFS(AR1237:AR1270,B1237:B1270,B1255-48))</f>
        <v/>
      </c>
      <c r="AT1255" s="40">
        <f>AT1254*(1-IF(B1254&gt;=in_marketplace_from,d_hz_device*G1254,0))</f>
        <v/>
      </c>
      <c r="AU1255" s="14">
        <f>F1255*AT1255*IF(B1255&gt;=in_marketplace_from,d_hz_device*G1255,0)*in_device_ticket*in_device_comm*in_ins_partner_share</f>
        <v/>
      </c>
      <c r="AV1255" s="40">
        <f>AV1254*(1-IF(B1254&gt;=in_marketplace_from,d_hz_shop*G1254,0))</f>
        <v/>
      </c>
      <c r="AW1255" s="46">
        <f>AV1255*IF(B1255&gt;=in_marketplace_from,d_hz_shop*G1255,0)</f>
        <v/>
      </c>
      <c r="AX1255" s="14">
        <f>F1255*AW1255*in_shop_ticket*in_shop_comm*in_ins_partner_share+F1255*in_shop_ticket*in_shop_renew_comm*in_ins_partner_share*(in_shop_renew^1*SUMIFS(AW1237:AW1270,B1237:B1270,B1255-12)+in_shop_renew^2*SUMIFS(AW1237:AW1270,B1237:B1270,B1255-24)+in_shop_renew^3*SUMIFS(AW1237:AW1270,B1237:B1270,B1255-36)+in_shop_renew^4*SUMIFS(AW1237:AW1270,B1237:B1270,B1255-48))</f>
        <v/>
      </c>
      <c r="AY1255" s="40">
        <f>AY1254*(1-IF(B1254&gt;=in_marketplace_from,d_hz_sip*G1254,0))</f>
        <v/>
      </c>
      <c r="AZ1255" s="40">
        <f>AZ1254*d_rho_sip+AY1255*IF(B1255&gt;=in_marketplace_from,d_hz_sip*G1255,0)</f>
        <v/>
      </c>
      <c r="BA1255" s="40">
        <f>d_rho_sip*(BA1254+AZ1254)</f>
        <v/>
      </c>
      <c r="BB1255" s="14">
        <f>F1255*in_sip_ticket*(BA1255+0.5*AZ1255)*in_sip_comm/12</f>
        <v/>
      </c>
      <c r="BC1255" s="40">
        <f>BC1254*(1-IF(B1254&gt;=in_marketplace_from,d_hz_choti*G1254,0))</f>
        <v/>
      </c>
      <c r="BD1255" s="46">
        <f>BC1255*IF(B1255&gt;=in_marketplace_from,d_hz_choti*G1255,0)</f>
        <v/>
      </c>
      <c r="BE1255" s="14">
        <f>F1255*SUMIFS(BD1237:BD1270,B1237:B1270,B1255-in_choti_months)*in_choti_renew*in_choti_ticket</f>
        <v/>
      </c>
      <c r="BF1255" s="40">
        <f>BF1254*(1-IF(B1254&gt;=in_marketplace_from,d_hz_nps*G1254,0))</f>
        <v/>
      </c>
      <c r="BG1255" s="14">
        <f>F1255*BF1255*IF(B1255&gt;=in_marketplace_from,d_hz_nps*G1255,0)*in_nps_ticket*in_nps_comm</f>
        <v/>
      </c>
      <c r="BH1255" s="40">
        <f>BH1254*(1-IF(B1254&gt;=in_marketplace_from,d_hz_gold*G1254,0))</f>
        <v/>
      </c>
      <c r="BI1255" s="40">
        <f>BI1254*d_rho_gold+BH1255*IF(B1255&gt;=in_marketplace_from,d_hz_gold*G1255,0)</f>
        <v/>
      </c>
      <c r="BJ1255" s="14">
        <f>F1255*BI1255*in_gold_ticket*in_gold_comm</f>
        <v/>
      </c>
      <c r="BK1255" s="40">
        <f>BK1254*(1-IF(B1254&gt;=in_marketplace_from,d_hz_fd*G1254,0))</f>
        <v/>
      </c>
      <c r="BL1255" s="14">
        <f>F1255*BK1255*IF(B1255&gt;=in_marketplace_from,d_hz_fd*G1255,0)*in_fd_ticket*in_fd_comm</f>
        <v/>
      </c>
      <c r="BM1255" s="40">
        <f>BM1254*(1-IF(B1254&gt;=in_marketplace_from,d_hz_recharge*G1254,0))</f>
        <v/>
      </c>
      <c r="BN1255" s="40">
        <f>BN1254*d_rho_recharge+BM1255*IF(B1255&gt;=in_marketplace_from,d_hz_recharge*G1255,0)</f>
        <v/>
      </c>
      <c r="BO1255" s="14">
        <f>F1255*BN1255*in_recharge_ticket*in_recharge_comm/12</f>
        <v/>
      </c>
      <c r="BP1255" s="40">
        <f>BP1254*(1-IF(B1254&gt;=in_marketplace_from,d_hz_bills*G1254,0))</f>
        <v/>
      </c>
      <c r="BQ1255" s="40">
        <f>BQ1254*d_rho_bills+BP1255*IF(B1255&gt;=in_marketplace_from,d_hz_bills*G1255,0)</f>
        <v/>
      </c>
      <c r="BR1255" s="14">
        <f>F1255*BQ1255*in_bills_ticket*in_bills_comm/12</f>
        <v/>
      </c>
      <c r="BS1255" s="40">
        <f>BS1254*(1-IF(B1254&gt;=in_marketplace_from,d_hz_loan_gold*G1254,0))</f>
        <v/>
      </c>
      <c r="BT1255" s="14">
        <f>F1255*BS1255*IF(B1255&gt;=in_marketplace_from,d_hz_loan_gold*G1255,0)*in_loan_gold_ticket*in_loan_gold_comm</f>
        <v/>
      </c>
      <c r="BU1255" s="40">
        <f>BU1254*(1-IF(B1254&gt;=in_marketplace_from,d_hz_loan_cd*G1254,0))</f>
        <v/>
      </c>
      <c r="BV1255" s="14">
        <f>F1255*BU1255*IF(B1255&gt;=in_marketplace_from,d_hz_loan_cd*G1255,0)*in_loan_cd_ticket*in_loan_cd_comm</f>
        <v/>
      </c>
      <c r="BW1255" s="40">
        <f>BW1254*(1-IF(B1254&gt;=in_marketplace_from,d_hz_loan_vehicle*G1254,0))</f>
        <v/>
      </c>
      <c r="BX1255" s="14">
        <f>F1255*BW1255*IF(B1255&gt;=in_marketplace_from,d_hz_loan_vehicle*G1255,0)*in_loan_vehicle_ticket*in_loan_vehicle_comm</f>
        <v/>
      </c>
      <c r="BY1255" s="40">
        <f>BY1254*(1-IF(B1254&gt;=in_marketplace_from,d_hz_loan_home*G1254,0)*BZ1254)</f>
        <v/>
      </c>
      <c r="BZ1255" s="11">
        <f>MIN(in_approval_cap,in_loan_home_approval*INDEX('Age profile'!$O$2:$O$61,B1255)*(1+in_approval_growth)^(D1255-1))</f>
        <v/>
      </c>
      <c r="CA1255" s="14">
        <f>F1255*BY1255*IF(B1255&gt;=in_marketplace_from,d_hz_loan_home*G1255,0)*BZ1255*in_loan_home_ticket*in_loan_home_comm</f>
        <v/>
      </c>
      <c r="CB1255" s="40">
        <f>CB1254*(1-IF(B1254&gt;=in_marketplace_from,d_hz_loan_lap*G1254,0)*CC1254)</f>
        <v/>
      </c>
      <c r="CC1255" s="11">
        <f>MIN(in_approval_cap,in_loan_lap_approval*INDEX('Age profile'!$O$2:$O$61,B1255)*(1+in_approval_growth)^(D1255-1))</f>
        <v/>
      </c>
      <c r="CD1255" s="14">
        <f>F1255*CB1255*IF(B1255&gt;=in_marketplace_from,d_hz_loan_lap*G1255,0)*CC1255*in_loan_lap_ticket*in_loan_lap_comm</f>
        <v/>
      </c>
      <c r="CE1255" s="14">
        <f>AA1255+AB1255+AC1255+AD1255+AG1255+AJ1255+AM1255+AP1255+AS1255+AU1255+AX1255+BB1255+BE1255+BG1255+BJ1255+BL1255+BO1255+BR1255+BT1255+BV1255+BX1255+CA1255+CD1255</f>
        <v/>
      </c>
    </row>
    <row r="1256">
      <c r="A1256" s="39" t="n">
        <v>27</v>
      </c>
      <c r="B1256" s="39" t="n">
        <v>20</v>
      </c>
      <c r="C1256" s="39">
        <f>A1256+B1256-1</f>
        <v/>
      </c>
      <c r="D1256" s="39">
        <f>INT((C1256-1)/12)+1</f>
        <v/>
      </c>
      <c r="E1256" s="44">
        <f>INDEX(Monthly!$B$2:$B$61,A1256)</f>
        <v/>
      </c>
      <c r="F1256" s="44">
        <f>E1256*INDEX('Age profile'!$B$2:$B$61,B1256)</f>
        <v/>
      </c>
      <c r="G1256" s="45">
        <f>MIN(in_takeup_cap,INDEX('Age profile'!$N$2:$N$61,B1256)*(1+in_takeup_growth)^(D1256-1))</f>
        <v/>
      </c>
      <c r="H1256" s="11">
        <f>MIN(in_approval_cap,in_approved_first*INDEX('Age profile'!$O$2:$O$61,B1256)*(1+in_approval_growth)^(D1256-1))</f>
        <v/>
      </c>
      <c r="I1256" s="45">
        <f>G1256*MIN(in_takeup_cap,INDEX('Age profile'!$O$2:$O$61,B1256)*(1+in_approval_growth)^(D1256-1))</f>
        <v/>
      </c>
      <c r="J1256" s="40">
        <f>(J1255-L1255)*F1256/F1255</f>
        <v/>
      </c>
      <c r="K1256" s="40">
        <f>(K1255-M1255)*F1256/F1255+SUMIFS(O1237:O1255,B1237:B1255,B1256-1-d_T)*F1256</f>
        <v/>
      </c>
      <c r="L1256" s="40">
        <f>IF(B1256&gt;=in_marketplace_from,J1256*d_hz*G1256*in_eligible*H1256,0)</f>
        <v/>
      </c>
      <c r="M1256" s="40">
        <f>IF(B1256&gt;=in_marketplace_from,K1256*d_hz*G1256*in_eligible*in_approved_repeat,0)</f>
        <v/>
      </c>
      <c r="N1256" s="40">
        <f>L1256+M1256</f>
        <v/>
      </c>
      <c r="O1256" s="46">
        <f>N1256/F1256</f>
        <v/>
      </c>
      <c r="P1256" s="40">
        <f>F1256-J1256-K1256</f>
        <v/>
      </c>
      <c r="Q1256" s="40">
        <f>IF(B1256&gt;=in_marketplace_from,(J1256+K1256)*d_hz*G1256,0)</f>
        <v/>
      </c>
      <c r="R1256" s="40">
        <f>SUMIFS(N1237:N1270,B1237:B1270,"&gt;="&amp;(B1256-d_T),B1237:B1270,"&lt;="&amp;(B1256-1))</f>
        <v/>
      </c>
      <c r="S1256" s="46">
        <f>(1-d_u)*S1255+IF(d_T&gt;in_topup_lag,SUMIFS(O1237:O1270,B1237:B1270,B1256-in_topup_lag)-d_udrop*SUMIFS(O1237:O1270,B1237:B1270,B1256-d_T),0)</f>
        <v/>
      </c>
      <c r="T1256" s="40">
        <f>F1256*d_u*S1256</f>
        <v/>
      </c>
      <c r="U1256" s="9">
        <f>L1256*in_ticket+M1256*d_rep_ticket</f>
        <v/>
      </c>
      <c r="V1256" s="9">
        <f>U1256+T1256*d_topup_amt</f>
        <v/>
      </c>
      <c r="W1256" s="40">
        <f>N1256+T1256*d_topup_ratio</f>
        <v/>
      </c>
      <c r="X1256" s="40">
        <f>SUMIFS(W1237:W1270,B1237:B1270,B1256-in_dpd_lag)*d_cured</f>
        <v/>
      </c>
      <c r="Y1256" s="40">
        <f>SUMIFS(W1237:W1270,B1237:B1270,B1256-in_rec_lag)*d_recd</f>
        <v/>
      </c>
      <c r="Z1256" s="40">
        <f>IF(AND(B1256&gt;=in_marketplace_from,B1256&lt;in_marketplace_from+in_card_months),in_card_share/in_card_months*F1256*I1256,IF(AND(B1256&gt;=in_marketplace_from+in_card_months,B1256&lt;in_marketplace_from+2*in_card_months),in_card_share*d_card_rem/in_card_months*F1256*MIN(in_takeup_cap,(1+in_takeup_growth)^(D1256-1))*MIN(in_takeup_cap,(1+in_approval_growth)^(D1256-1)),0))</f>
        <v/>
      </c>
      <c r="AA1256" s="14">
        <f>V1256*in_fee*(1-in_taken_back)</f>
        <v/>
      </c>
      <c r="AB1256" s="14">
        <f>SUMIFS(W1237:W1270,B1237:B1270,B1256-in_dpd_lag)*d_dpd</f>
        <v/>
      </c>
      <c r="AC1256" s="14">
        <f>SUMIFS(W1237:W1270,B1237:B1270,B1256-in_rec_lag)*d_rec</f>
        <v/>
      </c>
      <c r="AD1256" s="14">
        <f>Z1256*in_card_fee</f>
        <v/>
      </c>
      <c r="AE1256" s="40">
        <f>AE1255*(1-IF(B1255&gt;=in_marketplace_from,d_hz_hlth_small*G1255,0))</f>
        <v/>
      </c>
      <c r="AF1256" s="46">
        <f>AE1256*IF(B1256&gt;=in_marketplace_from,d_hz_hlth_small*G1256,0)</f>
        <v/>
      </c>
      <c r="AG1256" s="14">
        <f>F1256*AF1256*in_hlth_small_ticket*in_hlth_small_comm*in_ins_partner_share+F1256*in_hlth_small_ticket*in_hlth_small_renew_comm*in_ins_partner_share*(in_hlth_small_renew^1*SUMIFS(AF1237:AF1270,B1237:B1270,B1256-12)+in_hlth_small_renew^2*SUMIFS(AF1237:AF1270,B1237:B1270,B1256-24)+in_hlth_small_renew^3*SUMIFS(AF1237:AF1270,B1237:B1270,B1256-36)+in_hlth_small_renew^4*SUMIFS(AF1237:AF1270,B1237:B1270,B1256-48))</f>
        <v/>
      </c>
      <c r="AH1256" s="40">
        <f>AH1255*(1-IF(B1255&gt;=in_marketplace_from,d_hz_hlth_family*G1255,0))</f>
        <v/>
      </c>
      <c r="AI1256" s="46">
        <f>AH1256*IF(B1256&gt;=in_marketplace_from,d_hz_hlth_family*G1256,0)</f>
        <v/>
      </c>
      <c r="AJ1256" s="14">
        <f>F1256*AI1256*in_hlth_family_ticket*in_hlth_family_comm*in_ins_partner_share+F1256*in_hlth_family_ticket*in_hlth_family_renew_comm*in_ins_partner_share*(in_hlth_family_renew^1*SUMIFS(AI1237:AI1270,B1237:B1270,B1256-12)+in_hlth_family_renew^2*SUMIFS(AI1237:AI1270,B1237:B1270,B1256-24)+in_hlth_family_renew^3*SUMIFS(AI1237:AI1270,B1237:B1270,B1256-36)+in_hlth_family_renew^4*SUMIFS(AI1237:AI1270,B1237:B1270,B1256-48))</f>
        <v/>
      </c>
      <c r="AK1256" s="40">
        <f>AK1255*(1-IF(B1255&gt;=in_marketplace_from,d_hz_life_term*G1255,0))</f>
        <v/>
      </c>
      <c r="AL1256" s="46">
        <f>AK1256*IF(B1256&gt;=in_marketplace_from,d_hz_life_term*G1256,0)</f>
        <v/>
      </c>
      <c r="AM1256" s="14">
        <f>F1256*AL1256*in_life_term_ticket*in_life_term_comm*in_ins_partner_share+F1256*in_life_term_ticket*in_life_term_renew_comm*in_ins_partner_share*(in_life_term_renew^1*SUMIFS(AL1237:AL1270,B1237:B1270,B1256-12)+in_life_term_renew^2*SUMIFS(AL1237:AL1270,B1237:B1270,B1256-24)+in_life_term_renew^3*SUMIFS(AL1237:AL1270,B1237:B1270,B1256-36)+in_life_term_renew^4*SUMIFS(AL1237:AL1270,B1237:B1270,B1256-48))</f>
        <v/>
      </c>
      <c r="AN1256" s="40">
        <f>AN1255*(1-IF(B1255&gt;=in_marketplace_from,d_hz_accident*G1255,0))</f>
        <v/>
      </c>
      <c r="AO1256" s="46">
        <f>AN1256*IF(B1256&gt;=in_marketplace_from,d_hz_accident*G1256,0)</f>
        <v/>
      </c>
      <c r="AP1256" s="14">
        <f>F1256*AO1256*in_accident_ticket*in_accident_comm*in_ins_partner_share+F1256*in_accident_ticket*in_accident_renew_comm*in_ins_partner_share*(in_accident_renew^1*SUMIFS(AO1237:AO1270,B1237:B1270,B1256-12)+in_accident_renew^2*SUMIFS(AO1237:AO1270,B1237:B1270,B1256-24)+in_accident_renew^3*SUMIFS(AO1237:AO1270,B1237:B1270,B1256-36)+in_accident_renew^4*SUMIFS(AO1237:AO1270,B1237:B1270,B1256-48))</f>
        <v/>
      </c>
      <c r="AQ1256" s="40">
        <f>AQ1255*(1-IF(B1255&gt;=in_marketplace_from,d_hz_two_wheeler*G1255,0))</f>
        <v/>
      </c>
      <c r="AR1256" s="46">
        <f>AQ1256*IF(B1256&gt;=in_marketplace_from,d_hz_two_wheeler*G1256,0)</f>
        <v/>
      </c>
      <c r="AS1256" s="14">
        <f>F1256*AR1256*in_two_wheeler_ticket*in_two_wheeler_comm*in_ins_partner_share+F1256*in_two_wheeler_ticket*in_two_wheeler_comm*in_ins_partner_share*(in_two_wheeler_renew^1*SUMIFS(AR1237:AR1270,B1237:B1270,B1256-12)+in_two_wheeler_renew^2*SUMIFS(AR1237:AR1270,B1237:B1270,B1256-24)+in_two_wheeler_renew^3*SUMIFS(AR1237:AR1270,B1237:B1270,B1256-36)+in_two_wheeler_renew^4*SUMIFS(AR1237:AR1270,B1237:B1270,B1256-48))</f>
        <v/>
      </c>
      <c r="AT1256" s="40">
        <f>AT1255*(1-IF(B1255&gt;=in_marketplace_from,d_hz_device*G1255,0))</f>
        <v/>
      </c>
      <c r="AU1256" s="14">
        <f>F1256*AT1256*IF(B1256&gt;=in_marketplace_from,d_hz_device*G1256,0)*in_device_ticket*in_device_comm*in_ins_partner_share</f>
        <v/>
      </c>
      <c r="AV1256" s="40">
        <f>AV1255*(1-IF(B1255&gt;=in_marketplace_from,d_hz_shop*G1255,0))</f>
        <v/>
      </c>
      <c r="AW1256" s="46">
        <f>AV1256*IF(B1256&gt;=in_marketplace_from,d_hz_shop*G1256,0)</f>
        <v/>
      </c>
      <c r="AX1256" s="14">
        <f>F1256*AW1256*in_shop_ticket*in_shop_comm*in_ins_partner_share+F1256*in_shop_ticket*in_shop_renew_comm*in_ins_partner_share*(in_shop_renew^1*SUMIFS(AW1237:AW1270,B1237:B1270,B1256-12)+in_shop_renew^2*SUMIFS(AW1237:AW1270,B1237:B1270,B1256-24)+in_shop_renew^3*SUMIFS(AW1237:AW1270,B1237:B1270,B1256-36)+in_shop_renew^4*SUMIFS(AW1237:AW1270,B1237:B1270,B1256-48))</f>
        <v/>
      </c>
      <c r="AY1256" s="40">
        <f>AY1255*(1-IF(B1255&gt;=in_marketplace_from,d_hz_sip*G1255,0))</f>
        <v/>
      </c>
      <c r="AZ1256" s="40">
        <f>AZ1255*d_rho_sip+AY1256*IF(B1256&gt;=in_marketplace_from,d_hz_sip*G1256,0)</f>
        <v/>
      </c>
      <c r="BA1256" s="40">
        <f>d_rho_sip*(BA1255+AZ1255)</f>
        <v/>
      </c>
      <c r="BB1256" s="14">
        <f>F1256*in_sip_ticket*(BA1256+0.5*AZ1256)*in_sip_comm/12</f>
        <v/>
      </c>
      <c r="BC1256" s="40">
        <f>BC1255*(1-IF(B1255&gt;=in_marketplace_from,d_hz_choti*G1255,0))</f>
        <v/>
      </c>
      <c r="BD1256" s="46">
        <f>BC1256*IF(B1256&gt;=in_marketplace_from,d_hz_choti*G1256,0)</f>
        <v/>
      </c>
      <c r="BE1256" s="14">
        <f>F1256*SUMIFS(BD1237:BD1270,B1237:B1270,B1256-in_choti_months)*in_choti_renew*in_choti_ticket</f>
        <v/>
      </c>
      <c r="BF1256" s="40">
        <f>BF1255*(1-IF(B1255&gt;=in_marketplace_from,d_hz_nps*G1255,0))</f>
        <v/>
      </c>
      <c r="BG1256" s="14">
        <f>F1256*BF1256*IF(B1256&gt;=in_marketplace_from,d_hz_nps*G1256,0)*in_nps_ticket*in_nps_comm</f>
        <v/>
      </c>
      <c r="BH1256" s="40">
        <f>BH1255*(1-IF(B1255&gt;=in_marketplace_from,d_hz_gold*G1255,0))</f>
        <v/>
      </c>
      <c r="BI1256" s="40">
        <f>BI1255*d_rho_gold+BH1256*IF(B1256&gt;=in_marketplace_from,d_hz_gold*G1256,0)</f>
        <v/>
      </c>
      <c r="BJ1256" s="14">
        <f>F1256*BI1256*in_gold_ticket*in_gold_comm</f>
        <v/>
      </c>
      <c r="BK1256" s="40">
        <f>BK1255*(1-IF(B1255&gt;=in_marketplace_from,d_hz_fd*G1255,0))</f>
        <v/>
      </c>
      <c r="BL1256" s="14">
        <f>F1256*BK1256*IF(B1256&gt;=in_marketplace_from,d_hz_fd*G1256,0)*in_fd_ticket*in_fd_comm</f>
        <v/>
      </c>
      <c r="BM1256" s="40">
        <f>BM1255*(1-IF(B1255&gt;=in_marketplace_from,d_hz_recharge*G1255,0))</f>
        <v/>
      </c>
      <c r="BN1256" s="40">
        <f>BN1255*d_rho_recharge+BM1256*IF(B1256&gt;=in_marketplace_from,d_hz_recharge*G1256,0)</f>
        <v/>
      </c>
      <c r="BO1256" s="14">
        <f>F1256*BN1256*in_recharge_ticket*in_recharge_comm/12</f>
        <v/>
      </c>
      <c r="BP1256" s="40">
        <f>BP1255*(1-IF(B1255&gt;=in_marketplace_from,d_hz_bills*G1255,0))</f>
        <v/>
      </c>
      <c r="BQ1256" s="40">
        <f>BQ1255*d_rho_bills+BP1256*IF(B1256&gt;=in_marketplace_from,d_hz_bills*G1256,0)</f>
        <v/>
      </c>
      <c r="BR1256" s="14">
        <f>F1256*BQ1256*in_bills_ticket*in_bills_comm/12</f>
        <v/>
      </c>
      <c r="BS1256" s="40">
        <f>BS1255*(1-IF(B1255&gt;=in_marketplace_from,d_hz_loan_gold*G1255,0))</f>
        <v/>
      </c>
      <c r="BT1256" s="14">
        <f>F1256*BS1256*IF(B1256&gt;=in_marketplace_from,d_hz_loan_gold*G1256,0)*in_loan_gold_ticket*in_loan_gold_comm</f>
        <v/>
      </c>
      <c r="BU1256" s="40">
        <f>BU1255*(1-IF(B1255&gt;=in_marketplace_from,d_hz_loan_cd*G1255,0))</f>
        <v/>
      </c>
      <c r="BV1256" s="14">
        <f>F1256*BU1256*IF(B1256&gt;=in_marketplace_from,d_hz_loan_cd*G1256,0)*in_loan_cd_ticket*in_loan_cd_comm</f>
        <v/>
      </c>
      <c r="BW1256" s="40">
        <f>BW1255*(1-IF(B1255&gt;=in_marketplace_from,d_hz_loan_vehicle*G1255,0))</f>
        <v/>
      </c>
      <c r="BX1256" s="14">
        <f>F1256*BW1256*IF(B1256&gt;=in_marketplace_from,d_hz_loan_vehicle*G1256,0)*in_loan_vehicle_ticket*in_loan_vehicle_comm</f>
        <v/>
      </c>
      <c r="BY1256" s="40">
        <f>BY1255*(1-IF(B1255&gt;=in_marketplace_from,d_hz_loan_home*G1255,0)*BZ1255)</f>
        <v/>
      </c>
      <c r="BZ1256" s="11">
        <f>MIN(in_approval_cap,in_loan_home_approval*INDEX('Age profile'!$O$2:$O$61,B1256)*(1+in_approval_growth)^(D1256-1))</f>
        <v/>
      </c>
      <c r="CA1256" s="14">
        <f>F1256*BY1256*IF(B1256&gt;=in_marketplace_from,d_hz_loan_home*G1256,0)*BZ1256*in_loan_home_ticket*in_loan_home_comm</f>
        <v/>
      </c>
      <c r="CB1256" s="40">
        <f>CB1255*(1-IF(B1255&gt;=in_marketplace_from,d_hz_loan_lap*G1255,0)*CC1255)</f>
        <v/>
      </c>
      <c r="CC1256" s="11">
        <f>MIN(in_approval_cap,in_loan_lap_approval*INDEX('Age profile'!$O$2:$O$61,B1256)*(1+in_approval_growth)^(D1256-1))</f>
        <v/>
      </c>
      <c r="CD1256" s="14">
        <f>F1256*CB1256*IF(B1256&gt;=in_marketplace_from,d_hz_loan_lap*G1256,0)*CC1256*in_loan_lap_ticket*in_loan_lap_comm</f>
        <v/>
      </c>
      <c r="CE1256" s="14">
        <f>AA1256+AB1256+AC1256+AD1256+AG1256+AJ1256+AM1256+AP1256+AS1256+AU1256+AX1256+BB1256+BE1256+BG1256+BJ1256+BL1256+BO1256+BR1256+BT1256+BV1256+BX1256+CA1256+CD1256</f>
        <v/>
      </c>
    </row>
    <row r="1257">
      <c r="A1257" s="39" t="n">
        <v>27</v>
      </c>
      <c r="B1257" s="39" t="n">
        <v>21</v>
      </c>
      <c r="C1257" s="39">
        <f>A1257+B1257-1</f>
        <v/>
      </c>
      <c r="D1257" s="39">
        <f>INT((C1257-1)/12)+1</f>
        <v/>
      </c>
      <c r="E1257" s="44">
        <f>INDEX(Monthly!$B$2:$B$61,A1257)</f>
        <v/>
      </c>
      <c r="F1257" s="44">
        <f>E1257*INDEX('Age profile'!$B$2:$B$61,B1257)</f>
        <v/>
      </c>
      <c r="G1257" s="45">
        <f>MIN(in_takeup_cap,INDEX('Age profile'!$N$2:$N$61,B1257)*(1+in_takeup_growth)^(D1257-1))</f>
        <v/>
      </c>
      <c r="H1257" s="11">
        <f>MIN(in_approval_cap,in_approved_first*INDEX('Age profile'!$O$2:$O$61,B1257)*(1+in_approval_growth)^(D1257-1))</f>
        <v/>
      </c>
      <c r="I1257" s="45">
        <f>G1257*MIN(in_takeup_cap,INDEX('Age profile'!$O$2:$O$61,B1257)*(1+in_approval_growth)^(D1257-1))</f>
        <v/>
      </c>
      <c r="J1257" s="40">
        <f>(J1256-L1256)*F1257/F1256</f>
        <v/>
      </c>
      <c r="K1257" s="40">
        <f>(K1256-M1256)*F1257/F1256+SUMIFS(O1237:O1256,B1237:B1256,B1257-1-d_T)*F1257</f>
        <v/>
      </c>
      <c r="L1257" s="40">
        <f>IF(B1257&gt;=in_marketplace_from,J1257*d_hz*G1257*in_eligible*H1257,0)</f>
        <v/>
      </c>
      <c r="M1257" s="40">
        <f>IF(B1257&gt;=in_marketplace_from,K1257*d_hz*G1257*in_eligible*in_approved_repeat,0)</f>
        <v/>
      </c>
      <c r="N1257" s="40">
        <f>L1257+M1257</f>
        <v/>
      </c>
      <c r="O1257" s="46">
        <f>N1257/F1257</f>
        <v/>
      </c>
      <c r="P1257" s="40">
        <f>F1257-J1257-K1257</f>
        <v/>
      </c>
      <c r="Q1257" s="40">
        <f>IF(B1257&gt;=in_marketplace_from,(J1257+K1257)*d_hz*G1257,0)</f>
        <v/>
      </c>
      <c r="R1257" s="40">
        <f>SUMIFS(N1237:N1270,B1237:B1270,"&gt;="&amp;(B1257-d_T),B1237:B1270,"&lt;="&amp;(B1257-1))</f>
        <v/>
      </c>
      <c r="S1257" s="46">
        <f>(1-d_u)*S1256+IF(d_T&gt;in_topup_lag,SUMIFS(O1237:O1270,B1237:B1270,B1257-in_topup_lag)-d_udrop*SUMIFS(O1237:O1270,B1237:B1270,B1257-d_T),0)</f>
        <v/>
      </c>
      <c r="T1257" s="40">
        <f>F1257*d_u*S1257</f>
        <v/>
      </c>
      <c r="U1257" s="9">
        <f>L1257*in_ticket+M1257*d_rep_ticket</f>
        <v/>
      </c>
      <c r="V1257" s="9">
        <f>U1257+T1257*d_topup_amt</f>
        <v/>
      </c>
      <c r="W1257" s="40">
        <f>N1257+T1257*d_topup_ratio</f>
        <v/>
      </c>
      <c r="X1257" s="40">
        <f>SUMIFS(W1237:W1270,B1237:B1270,B1257-in_dpd_lag)*d_cured</f>
        <v/>
      </c>
      <c r="Y1257" s="40">
        <f>SUMIFS(W1237:W1270,B1237:B1270,B1257-in_rec_lag)*d_recd</f>
        <v/>
      </c>
      <c r="Z1257" s="40">
        <f>IF(AND(B1257&gt;=in_marketplace_from,B1257&lt;in_marketplace_from+in_card_months),in_card_share/in_card_months*F1257*I1257,IF(AND(B1257&gt;=in_marketplace_from+in_card_months,B1257&lt;in_marketplace_from+2*in_card_months),in_card_share*d_card_rem/in_card_months*F1257*MIN(in_takeup_cap,(1+in_takeup_growth)^(D1257-1))*MIN(in_takeup_cap,(1+in_approval_growth)^(D1257-1)),0))</f>
        <v/>
      </c>
      <c r="AA1257" s="14">
        <f>V1257*in_fee*(1-in_taken_back)</f>
        <v/>
      </c>
      <c r="AB1257" s="14">
        <f>SUMIFS(W1237:W1270,B1237:B1270,B1257-in_dpd_lag)*d_dpd</f>
        <v/>
      </c>
      <c r="AC1257" s="14">
        <f>SUMIFS(W1237:W1270,B1237:B1270,B1257-in_rec_lag)*d_rec</f>
        <v/>
      </c>
      <c r="AD1257" s="14">
        <f>Z1257*in_card_fee</f>
        <v/>
      </c>
      <c r="AE1257" s="40">
        <f>AE1256*(1-IF(B1256&gt;=in_marketplace_from,d_hz_hlth_small*G1256,0))</f>
        <v/>
      </c>
      <c r="AF1257" s="46">
        <f>AE1257*IF(B1257&gt;=in_marketplace_from,d_hz_hlth_small*G1257,0)</f>
        <v/>
      </c>
      <c r="AG1257" s="14">
        <f>F1257*AF1257*in_hlth_small_ticket*in_hlth_small_comm*in_ins_partner_share+F1257*in_hlth_small_ticket*in_hlth_small_renew_comm*in_ins_partner_share*(in_hlth_small_renew^1*SUMIFS(AF1237:AF1270,B1237:B1270,B1257-12)+in_hlth_small_renew^2*SUMIFS(AF1237:AF1270,B1237:B1270,B1257-24)+in_hlth_small_renew^3*SUMIFS(AF1237:AF1270,B1237:B1270,B1257-36)+in_hlth_small_renew^4*SUMIFS(AF1237:AF1270,B1237:B1270,B1257-48))</f>
        <v/>
      </c>
      <c r="AH1257" s="40">
        <f>AH1256*(1-IF(B1256&gt;=in_marketplace_from,d_hz_hlth_family*G1256,0))</f>
        <v/>
      </c>
      <c r="AI1257" s="46">
        <f>AH1257*IF(B1257&gt;=in_marketplace_from,d_hz_hlth_family*G1257,0)</f>
        <v/>
      </c>
      <c r="AJ1257" s="14">
        <f>F1257*AI1257*in_hlth_family_ticket*in_hlth_family_comm*in_ins_partner_share+F1257*in_hlth_family_ticket*in_hlth_family_renew_comm*in_ins_partner_share*(in_hlth_family_renew^1*SUMIFS(AI1237:AI1270,B1237:B1270,B1257-12)+in_hlth_family_renew^2*SUMIFS(AI1237:AI1270,B1237:B1270,B1257-24)+in_hlth_family_renew^3*SUMIFS(AI1237:AI1270,B1237:B1270,B1257-36)+in_hlth_family_renew^4*SUMIFS(AI1237:AI1270,B1237:B1270,B1257-48))</f>
        <v/>
      </c>
      <c r="AK1257" s="40">
        <f>AK1256*(1-IF(B1256&gt;=in_marketplace_from,d_hz_life_term*G1256,0))</f>
        <v/>
      </c>
      <c r="AL1257" s="46">
        <f>AK1257*IF(B1257&gt;=in_marketplace_from,d_hz_life_term*G1257,0)</f>
        <v/>
      </c>
      <c r="AM1257" s="14">
        <f>F1257*AL1257*in_life_term_ticket*in_life_term_comm*in_ins_partner_share+F1257*in_life_term_ticket*in_life_term_renew_comm*in_ins_partner_share*(in_life_term_renew^1*SUMIFS(AL1237:AL1270,B1237:B1270,B1257-12)+in_life_term_renew^2*SUMIFS(AL1237:AL1270,B1237:B1270,B1257-24)+in_life_term_renew^3*SUMIFS(AL1237:AL1270,B1237:B1270,B1257-36)+in_life_term_renew^4*SUMIFS(AL1237:AL1270,B1237:B1270,B1257-48))</f>
        <v/>
      </c>
      <c r="AN1257" s="40">
        <f>AN1256*(1-IF(B1256&gt;=in_marketplace_from,d_hz_accident*G1256,0))</f>
        <v/>
      </c>
      <c r="AO1257" s="46">
        <f>AN1257*IF(B1257&gt;=in_marketplace_from,d_hz_accident*G1257,0)</f>
        <v/>
      </c>
      <c r="AP1257" s="14">
        <f>F1257*AO1257*in_accident_ticket*in_accident_comm*in_ins_partner_share+F1257*in_accident_ticket*in_accident_renew_comm*in_ins_partner_share*(in_accident_renew^1*SUMIFS(AO1237:AO1270,B1237:B1270,B1257-12)+in_accident_renew^2*SUMIFS(AO1237:AO1270,B1237:B1270,B1257-24)+in_accident_renew^3*SUMIFS(AO1237:AO1270,B1237:B1270,B1257-36)+in_accident_renew^4*SUMIFS(AO1237:AO1270,B1237:B1270,B1257-48))</f>
        <v/>
      </c>
      <c r="AQ1257" s="40">
        <f>AQ1256*(1-IF(B1256&gt;=in_marketplace_from,d_hz_two_wheeler*G1256,0))</f>
        <v/>
      </c>
      <c r="AR1257" s="46">
        <f>AQ1257*IF(B1257&gt;=in_marketplace_from,d_hz_two_wheeler*G1257,0)</f>
        <v/>
      </c>
      <c r="AS1257" s="14">
        <f>F1257*AR1257*in_two_wheeler_ticket*in_two_wheeler_comm*in_ins_partner_share+F1257*in_two_wheeler_ticket*in_two_wheeler_comm*in_ins_partner_share*(in_two_wheeler_renew^1*SUMIFS(AR1237:AR1270,B1237:B1270,B1257-12)+in_two_wheeler_renew^2*SUMIFS(AR1237:AR1270,B1237:B1270,B1257-24)+in_two_wheeler_renew^3*SUMIFS(AR1237:AR1270,B1237:B1270,B1257-36)+in_two_wheeler_renew^4*SUMIFS(AR1237:AR1270,B1237:B1270,B1257-48))</f>
        <v/>
      </c>
      <c r="AT1257" s="40">
        <f>AT1256*(1-IF(B1256&gt;=in_marketplace_from,d_hz_device*G1256,0))</f>
        <v/>
      </c>
      <c r="AU1257" s="14">
        <f>F1257*AT1257*IF(B1257&gt;=in_marketplace_from,d_hz_device*G1257,0)*in_device_ticket*in_device_comm*in_ins_partner_share</f>
        <v/>
      </c>
      <c r="AV1257" s="40">
        <f>AV1256*(1-IF(B1256&gt;=in_marketplace_from,d_hz_shop*G1256,0))</f>
        <v/>
      </c>
      <c r="AW1257" s="46">
        <f>AV1257*IF(B1257&gt;=in_marketplace_from,d_hz_shop*G1257,0)</f>
        <v/>
      </c>
      <c r="AX1257" s="14">
        <f>F1257*AW1257*in_shop_ticket*in_shop_comm*in_ins_partner_share+F1257*in_shop_ticket*in_shop_renew_comm*in_ins_partner_share*(in_shop_renew^1*SUMIFS(AW1237:AW1270,B1237:B1270,B1257-12)+in_shop_renew^2*SUMIFS(AW1237:AW1270,B1237:B1270,B1257-24)+in_shop_renew^3*SUMIFS(AW1237:AW1270,B1237:B1270,B1257-36)+in_shop_renew^4*SUMIFS(AW1237:AW1270,B1237:B1270,B1257-48))</f>
        <v/>
      </c>
      <c r="AY1257" s="40">
        <f>AY1256*(1-IF(B1256&gt;=in_marketplace_from,d_hz_sip*G1256,0))</f>
        <v/>
      </c>
      <c r="AZ1257" s="40">
        <f>AZ1256*d_rho_sip+AY1257*IF(B1257&gt;=in_marketplace_from,d_hz_sip*G1257,0)</f>
        <v/>
      </c>
      <c r="BA1257" s="40">
        <f>d_rho_sip*(BA1256+AZ1256)</f>
        <v/>
      </c>
      <c r="BB1257" s="14">
        <f>F1257*in_sip_ticket*(BA1257+0.5*AZ1257)*in_sip_comm/12</f>
        <v/>
      </c>
      <c r="BC1257" s="40">
        <f>BC1256*(1-IF(B1256&gt;=in_marketplace_from,d_hz_choti*G1256,0))</f>
        <v/>
      </c>
      <c r="BD1257" s="46">
        <f>BC1257*IF(B1257&gt;=in_marketplace_from,d_hz_choti*G1257,0)</f>
        <v/>
      </c>
      <c r="BE1257" s="14">
        <f>F1257*SUMIFS(BD1237:BD1270,B1237:B1270,B1257-in_choti_months)*in_choti_renew*in_choti_ticket</f>
        <v/>
      </c>
      <c r="BF1257" s="40">
        <f>BF1256*(1-IF(B1256&gt;=in_marketplace_from,d_hz_nps*G1256,0))</f>
        <v/>
      </c>
      <c r="BG1257" s="14">
        <f>F1257*BF1257*IF(B1257&gt;=in_marketplace_from,d_hz_nps*G1257,0)*in_nps_ticket*in_nps_comm</f>
        <v/>
      </c>
      <c r="BH1257" s="40">
        <f>BH1256*(1-IF(B1256&gt;=in_marketplace_from,d_hz_gold*G1256,0))</f>
        <v/>
      </c>
      <c r="BI1257" s="40">
        <f>BI1256*d_rho_gold+BH1257*IF(B1257&gt;=in_marketplace_from,d_hz_gold*G1257,0)</f>
        <v/>
      </c>
      <c r="BJ1257" s="14">
        <f>F1257*BI1257*in_gold_ticket*in_gold_comm</f>
        <v/>
      </c>
      <c r="BK1257" s="40">
        <f>BK1256*(1-IF(B1256&gt;=in_marketplace_from,d_hz_fd*G1256,0))</f>
        <v/>
      </c>
      <c r="BL1257" s="14">
        <f>F1257*BK1257*IF(B1257&gt;=in_marketplace_from,d_hz_fd*G1257,0)*in_fd_ticket*in_fd_comm</f>
        <v/>
      </c>
      <c r="BM1257" s="40">
        <f>BM1256*(1-IF(B1256&gt;=in_marketplace_from,d_hz_recharge*G1256,0))</f>
        <v/>
      </c>
      <c r="BN1257" s="40">
        <f>BN1256*d_rho_recharge+BM1257*IF(B1257&gt;=in_marketplace_from,d_hz_recharge*G1257,0)</f>
        <v/>
      </c>
      <c r="BO1257" s="14">
        <f>F1257*BN1257*in_recharge_ticket*in_recharge_comm/12</f>
        <v/>
      </c>
      <c r="BP1257" s="40">
        <f>BP1256*(1-IF(B1256&gt;=in_marketplace_from,d_hz_bills*G1256,0))</f>
        <v/>
      </c>
      <c r="BQ1257" s="40">
        <f>BQ1256*d_rho_bills+BP1257*IF(B1257&gt;=in_marketplace_from,d_hz_bills*G1257,0)</f>
        <v/>
      </c>
      <c r="BR1257" s="14">
        <f>F1257*BQ1257*in_bills_ticket*in_bills_comm/12</f>
        <v/>
      </c>
      <c r="BS1257" s="40">
        <f>BS1256*(1-IF(B1256&gt;=in_marketplace_from,d_hz_loan_gold*G1256,0))</f>
        <v/>
      </c>
      <c r="BT1257" s="14">
        <f>F1257*BS1257*IF(B1257&gt;=in_marketplace_from,d_hz_loan_gold*G1257,0)*in_loan_gold_ticket*in_loan_gold_comm</f>
        <v/>
      </c>
      <c r="BU1257" s="40">
        <f>BU1256*(1-IF(B1256&gt;=in_marketplace_from,d_hz_loan_cd*G1256,0))</f>
        <v/>
      </c>
      <c r="BV1257" s="14">
        <f>F1257*BU1257*IF(B1257&gt;=in_marketplace_from,d_hz_loan_cd*G1257,0)*in_loan_cd_ticket*in_loan_cd_comm</f>
        <v/>
      </c>
      <c r="BW1257" s="40">
        <f>BW1256*(1-IF(B1256&gt;=in_marketplace_from,d_hz_loan_vehicle*G1256,0))</f>
        <v/>
      </c>
      <c r="BX1257" s="14">
        <f>F1257*BW1257*IF(B1257&gt;=in_marketplace_from,d_hz_loan_vehicle*G1257,0)*in_loan_vehicle_ticket*in_loan_vehicle_comm</f>
        <v/>
      </c>
      <c r="BY1257" s="40">
        <f>BY1256*(1-IF(B1256&gt;=in_marketplace_from,d_hz_loan_home*G1256,0)*BZ1256)</f>
        <v/>
      </c>
      <c r="BZ1257" s="11">
        <f>MIN(in_approval_cap,in_loan_home_approval*INDEX('Age profile'!$O$2:$O$61,B1257)*(1+in_approval_growth)^(D1257-1))</f>
        <v/>
      </c>
      <c r="CA1257" s="14">
        <f>F1257*BY1257*IF(B1257&gt;=in_marketplace_from,d_hz_loan_home*G1257,0)*BZ1257*in_loan_home_ticket*in_loan_home_comm</f>
        <v/>
      </c>
      <c r="CB1257" s="40">
        <f>CB1256*(1-IF(B1256&gt;=in_marketplace_from,d_hz_loan_lap*G1256,0)*CC1256)</f>
        <v/>
      </c>
      <c r="CC1257" s="11">
        <f>MIN(in_approval_cap,in_loan_lap_approval*INDEX('Age profile'!$O$2:$O$61,B1257)*(1+in_approval_growth)^(D1257-1))</f>
        <v/>
      </c>
      <c r="CD1257" s="14">
        <f>F1257*CB1257*IF(B1257&gt;=in_marketplace_from,d_hz_loan_lap*G1257,0)*CC1257*in_loan_lap_ticket*in_loan_lap_comm</f>
        <v/>
      </c>
      <c r="CE1257" s="14">
        <f>AA1257+AB1257+AC1257+AD1257+AG1257+AJ1257+AM1257+AP1257+AS1257+AU1257+AX1257+BB1257+BE1257+BG1257+BJ1257+BL1257+BO1257+BR1257+BT1257+BV1257+BX1257+CA1257+CD1257</f>
        <v/>
      </c>
    </row>
    <row r="1258">
      <c r="A1258" s="39" t="n">
        <v>27</v>
      </c>
      <c r="B1258" s="39" t="n">
        <v>22</v>
      </c>
      <c r="C1258" s="39">
        <f>A1258+B1258-1</f>
        <v/>
      </c>
      <c r="D1258" s="39">
        <f>INT((C1258-1)/12)+1</f>
        <v/>
      </c>
      <c r="E1258" s="44">
        <f>INDEX(Monthly!$B$2:$B$61,A1258)</f>
        <v/>
      </c>
      <c r="F1258" s="44">
        <f>E1258*INDEX('Age profile'!$B$2:$B$61,B1258)</f>
        <v/>
      </c>
      <c r="G1258" s="45">
        <f>MIN(in_takeup_cap,INDEX('Age profile'!$N$2:$N$61,B1258)*(1+in_takeup_growth)^(D1258-1))</f>
        <v/>
      </c>
      <c r="H1258" s="11">
        <f>MIN(in_approval_cap,in_approved_first*INDEX('Age profile'!$O$2:$O$61,B1258)*(1+in_approval_growth)^(D1258-1))</f>
        <v/>
      </c>
      <c r="I1258" s="45">
        <f>G1258*MIN(in_takeup_cap,INDEX('Age profile'!$O$2:$O$61,B1258)*(1+in_approval_growth)^(D1258-1))</f>
        <v/>
      </c>
      <c r="J1258" s="40">
        <f>(J1257-L1257)*F1258/F1257</f>
        <v/>
      </c>
      <c r="K1258" s="40">
        <f>(K1257-M1257)*F1258/F1257+SUMIFS(O1237:O1257,B1237:B1257,B1258-1-d_T)*F1258</f>
        <v/>
      </c>
      <c r="L1258" s="40">
        <f>IF(B1258&gt;=in_marketplace_from,J1258*d_hz*G1258*in_eligible*H1258,0)</f>
        <v/>
      </c>
      <c r="M1258" s="40">
        <f>IF(B1258&gt;=in_marketplace_from,K1258*d_hz*G1258*in_eligible*in_approved_repeat,0)</f>
        <v/>
      </c>
      <c r="N1258" s="40">
        <f>L1258+M1258</f>
        <v/>
      </c>
      <c r="O1258" s="46">
        <f>N1258/F1258</f>
        <v/>
      </c>
      <c r="P1258" s="40">
        <f>F1258-J1258-K1258</f>
        <v/>
      </c>
      <c r="Q1258" s="40">
        <f>IF(B1258&gt;=in_marketplace_from,(J1258+K1258)*d_hz*G1258,0)</f>
        <v/>
      </c>
      <c r="R1258" s="40">
        <f>SUMIFS(N1237:N1270,B1237:B1270,"&gt;="&amp;(B1258-d_T),B1237:B1270,"&lt;="&amp;(B1258-1))</f>
        <v/>
      </c>
      <c r="S1258" s="46">
        <f>(1-d_u)*S1257+IF(d_T&gt;in_topup_lag,SUMIFS(O1237:O1270,B1237:B1270,B1258-in_topup_lag)-d_udrop*SUMIFS(O1237:O1270,B1237:B1270,B1258-d_T),0)</f>
        <v/>
      </c>
      <c r="T1258" s="40">
        <f>F1258*d_u*S1258</f>
        <v/>
      </c>
      <c r="U1258" s="9">
        <f>L1258*in_ticket+M1258*d_rep_ticket</f>
        <v/>
      </c>
      <c r="V1258" s="9">
        <f>U1258+T1258*d_topup_amt</f>
        <v/>
      </c>
      <c r="W1258" s="40">
        <f>N1258+T1258*d_topup_ratio</f>
        <v/>
      </c>
      <c r="X1258" s="40">
        <f>SUMIFS(W1237:W1270,B1237:B1270,B1258-in_dpd_lag)*d_cured</f>
        <v/>
      </c>
      <c r="Y1258" s="40">
        <f>SUMIFS(W1237:W1270,B1237:B1270,B1258-in_rec_lag)*d_recd</f>
        <v/>
      </c>
      <c r="Z1258" s="40">
        <f>IF(AND(B1258&gt;=in_marketplace_from,B1258&lt;in_marketplace_from+in_card_months),in_card_share/in_card_months*F1258*I1258,IF(AND(B1258&gt;=in_marketplace_from+in_card_months,B1258&lt;in_marketplace_from+2*in_card_months),in_card_share*d_card_rem/in_card_months*F1258*MIN(in_takeup_cap,(1+in_takeup_growth)^(D1258-1))*MIN(in_takeup_cap,(1+in_approval_growth)^(D1258-1)),0))</f>
        <v/>
      </c>
      <c r="AA1258" s="14">
        <f>V1258*in_fee*(1-in_taken_back)</f>
        <v/>
      </c>
      <c r="AB1258" s="14">
        <f>SUMIFS(W1237:W1270,B1237:B1270,B1258-in_dpd_lag)*d_dpd</f>
        <v/>
      </c>
      <c r="AC1258" s="14">
        <f>SUMIFS(W1237:W1270,B1237:B1270,B1258-in_rec_lag)*d_rec</f>
        <v/>
      </c>
      <c r="AD1258" s="14">
        <f>Z1258*in_card_fee</f>
        <v/>
      </c>
      <c r="AE1258" s="40">
        <f>AE1257*(1-IF(B1257&gt;=in_marketplace_from,d_hz_hlth_small*G1257,0))</f>
        <v/>
      </c>
      <c r="AF1258" s="46">
        <f>AE1258*IF(B1258&gt;=in_marketplace_from,d_hz_hlth_small*G1258,0)</f>
        <v/>
      </c>
      <c r="AG1258" s="14">
        <f>F1258*AF1258*in_hlth_small_ticket*in_hlth_small_comm*in_ins_partner_share+F1258*in_hlth_small_ticket*in_hlth_small_renew_comm*in_ins_partner_share*(in_hlth_small_renew^1*SUMIFS(AF1237:AF1270,B1237:B1270,B1258-12)+in_hlth_small_renew^2*SUMIFS(AF1237:AF1270,B1237:B1270,B1258-24)+in_hlth_small_renew^3*SUMIFS(AF1237:AF1270,B1237:B1270,B1258-36)+in_hlth_small_renew^4*SUMIFS(AF1237:AF1270,B1237:B1270,B1258-48))</f>
        <v/>
      </c>
      <c r="AH1258" s="40">
        <f>AH1257*(1-IF(B1257&gt;=in_marketplace_from,d_hz_hlth_family*G1257,0))</f>
        <v/>
      </c>
      <c r="AI1258" s="46">
        <f>AH1258*IF(B1258&gt;=in_marketplace_from,d_hz_hlth_family*G1258,0)</f>
        <v/>
      </c>
      <c r="AJ1258" s="14">
        <f>F1258*AI1258*in_hlth_family_ticket*in_hlth_family_comm*in_ins_partner_share+F1258*in_hlth_family_ticket*in_hlth_family_renew_comm*in_ins_partner_share*(in_hlth_family_renew^1*SUMIFS(AI1237:AI1270,B1237:B1270,B1258-12)+in_hlth_family_renew^2*SUMIFS(AI1237:AI1270,B1237:B1270,B1258-24)+in_hlth_family_renew^3*SUMIFS(AI1237:AI1270,B1237:B1270,B1258-36)+in_hlth_family_renew^4*SUMIFS(AI1237:AI1270,B1237:B1270,B1258-48))</f>
        <v/>
      </c>
      <c r="AK1258" s="40">
        <f>AK1257*(1-IF(B1257&gt;=in_marketplace_from,d_hz_life_term*G1257,0))</f>
        <v/>
      </c>
      <c r="AL1258" s="46">
        <f>AK1258*IF(B1258&gt;=in_marketplace_from,d_hz_life_term*G1258,0)</f>
        <v/>
      </c>
      <c r="AM1258" s="14">
        <f>F1258*AL1258*in_life_term_ticket*in_life_term_comm*in_ins_partner_share+F1258*in_life_term_ticket*in_life_term_renew_comm*in_ins_partner_share*(in_life_term_renew^1*SUMIFS(AL1237:AL1270,B1237:B1270,B1258-12)+in_life_term_renew^2*SUMIFS(AL1237:AL1270,B1237:B1270,B1258-24)+in_life_term_renew^3*SUMIFS(AL1237:AL1270,B1237:B1270,B1258-36)+in_life_term_renew^4*SUMIFS(AL1237:AL1270,B1237:B1270,B1258-48))</f>
        <v/>
      </c>
      <c r="AN1258" s="40">
        <f>AN1257*(1-IF(B1257&gt;=in_marketplace_from,d_hz_accident*G1257,0))</f>
        <v/>
      </c>
      <c r="AO1258" s="46">
        <f>AN1258*IF(B1258&gt;=in_marketplace_from,d_hz_accident*G1258,0)</f>
        <v/>
      </c>
      <c r="AP1258" s="14">
        <f>F1258*AO1258*in_accident_ticket*in_accident_comm*in_ins_partner_share+F1258*in_accident_ticket*in_accident_renew_comm*in_ins_partner_share*(in_accident_renew^1*SUMIFS(AO1237:AO1270,B1237:B1270,B1258-12)+in_accident_renew^2*SUMIFS(AO1237:AO1270,B1237:B1270,B1258-24)+in_accident_renew^3*SUMIFS(AO1237:AO1270,B1237:B1270,B1258-36)+in_accident_renew^4*SUMIFS(AO1237:AO1270,B1237:B1270,B1258-48))</f>
        <v/>
      </c>
      <c r="AQ1258" s="40">
        <f>AQ1257*(1-IF(B1257&gt;=in_marketplace_from,d_hz_two_wheeler*G1257,0))</f>
        <v/>
      </c>
      <c r="AR1258" s="46">
        <f>AQ1258*IF(B1258&gt;=in_marketplace_from,d_hz_two_wheeler*G1258,0)</f>
        <v/>
      </c>
      <c r="AS1258" s="14">
        <f>F1258*AR1258*in_two_wheeler_ticket*in_two_wheeler_comm*in_ins_partner_share+F1258*in_two_wheeler_ticket*in_two_wheeler_comm*in_ins_partner_share*(in_two_wheeler_renew^1*SUMIFS(AR1237:AR1270,B1237:B1270,B1258-12)+in_two_wheeler_renew^2*SUMIFS(AR1237:AR1270,B1237:B1270,B1258-24)+in_two_wheeler_renew^3*SUMIFS(AR1237:AR1270,B1237:B1270,B1258-36)+in_two_wheeler_renew^4*SUMIFS(AR1237:AR1270,B1237:B1270,B1258-48))</f>
        <v/>
      </c>
      <c r="AT1258" s="40">
        <f>AT1257*(1-IF(B1257&gt;=in_marketplace_from,d_hz_device*G1257,0))</f>
        <v/>
      </c>
      <c r="AU1258" s="14">
        <f>F1258*AT1258*IF(B1258&gt;=in_marketplace_from,d_hz_device*G1258,0)*in_device_ticket*in_device_comm*in_ins_partner_share</f>
        <v/>
      </c>
      <c r="AV1258" s="40">
        <f>AV1257*(1-IF(B1257&gt;=in_marketplace_from,d_hz_shop*G1257,0))</f>
        <v/>
      </c>
      <c r="AW1258" s="46">
        <f>AV1258*IF(B1258&gt;=in_marketplace_from,d_hz_shop*G1258,0)</f>
        <v/>
      </c>
      <c r="AX1258" s="14">
        <f>F1258*AW1258*in_shop_ticket*in_shop_comm*in_ins_partner_share+F1258*in_shop_ticket*in_shop_renew_comm*in_ins_partner_share*(in_shop_renew^1*SUMIFS(AW1237:AW1270,B1237:B1270,B1258-12)+in_shop_renew^2*SUMIFS(AW1237:AW1270,B1237:B1270,B1258-24)+in_shop_renew^3*SUMIFS(AW1237:AW1270,B1237:B1270,B1258-36)+in_shop_renew^4*SUMIFS(AW1237:AW1270,B1237:B1270,B1258-48))</f>
        <v/>
      </c>
      <c r="AY1258" s="40">
        <f>AY1257*(1-IF(B1257&gt;=in_marketplace_from,d_hz_sip*G1257,0))</f>
        <v/>
      </c>
      <c r="AZ1258" s="40">
        <f>AZ1257*d_rho_sip+AY1258*IF(B1258&gt;=in_marketplace_from,d_hz_sip*G1258,0)</f>
        <v/>
      </c>
      <c r="BA1258" s="40">
        <f>d_rho_sip*(BA1257+AZ1257)</f>
        <v/>
      </c>
      <c r="BB1258" s="14">
        <f>F1258*in_sip_ticket*(BA1258+0.5*AZ1258)*in_sip_comm/12</f>
        <v/>
      </c>
      <c r="BC1258" s="40">
        <f>BC1257*(1-IF(B1257&gt;=in_marketplace_from,d_hz_choti*G1257,0))</f>
        <v/>
      </c>
      <c r="BD1258" s="46">
        <f>BC1258*IF(B1258&gt;=in_marketplace_from,d_hz_choti*G1258,0)</f>
        <v/>
      </c>
      <c r="BE1258" s="14">
        <f>F1258*SUMIFS(BD1237:BD1270,B1237:B1270,B1258-in_choti_months)*in_choti_renew*in_choti_ticket</f>
        <v/>
      </c>
      <c r="BF1258" s="40">
        <f>BF1257*(1-IF(B1257&gt;=in_marketplace_from,d_hz_nps*G1257,0))</f>
        <v/>
      </c>
      <c r="BG1258" s="14">
        <f>F1258*BF1258*IF(B1258&gt;=in_marketplace_from,d_hz_nps*G1258,0)*in_nps_ticket*in_nps_comm</f>
        <v/>
      </c>
      <c r="BH1258" s="40">
        <f>BH1257*(1-IF(B1257&gt;=in_marketplace_from,d_hz_gold*G1257,0))</f>
        <v/>
      </c>
      <c r="BI1258" s="40">
        <f>BI1257*d_rho_gold+BH1258*IF(B1258&gt;=in_marketplace_from,d_hz_gold*G1258,0)</f>
        <v/>
      </c>
      <c r="BJ1258" s="14">
        <f>F1258*BI1258*in_gold_ticket*in_gold_comm</f>
        <v/>
      </c>
      <c r="BK1258" s="40">
        <f>BK1257*(1-IF(B1257&gt;=in_marketplace_from,d_hz_fd*G1257,0))</f>
        <v/>
      </c>
      <c r="BL1258" s="14">
        <f>F1258*BK1258*IF(B1258&gt;=in_marketplace_from,d_hz_fd*G1258,0)*in_fd_ticket*in_fd_comm</f>
        <v/>
      </c>
      <c r="BM1258" s="40">
        <f>BM1257*(1-IF(B1257&gt;=in_marketplace_from,d_hz_recharge*G1257,0))</f>
        <v/>
      </c>
      <c r="BN1258" s="40">
        <f>BN1257*d_rho_recharge+BM1258*IF(B1258&gt;=in_marketplace_from,d_hz_recharge*G1258,0)</f>
        <v/>
      </c>
      <c r="BO1258" s="14">
        <f>F1258*BN1258*in_recharge_ticket*in_recharge_comm/12</f>
        <v/>
      </c>
      <c r="BP1258" s="40">
        <f>BP1257*(1-IF(B1257&gt;=in_marketplace_from,d_hz_bills*G1257,0))</f>
        <v/>
      </c>
      <c r="BQ1258" s="40">
        <f>BQ1257*d_rho_bills+BP1258*IF(B1258&gt;=in_marketplace_from,d_hz_bills*G1258,0)</f>
        <v/>
      </c>
      <c r="BR1258" s="14">
        <f>F1258*BQ1258*in_bills_ticket*in_bills_comm/12</f>
        <v/>
      </c>
      <c r="BS1258" s="40">
        <f>BS1257*(1-IF(B1257&gt;=in_marketplace_from,d_hz_loan_gold*G1257,0))</f>
        <v/>
      </c>
      <c r="BT1258" s="14">
        <f>F1258*BS1258*IF(B1258&gt;=in_marketplace_from,d_hz_loan_gold*G1258,0)*in_loan_gold_ticket*in_loan_gold_comm</f>
        <v/>
      </c>
      <c r="BU1258" s="40">
        <f>BU1257*(1-IF(B1257&gt;=in_marketplace_from,d_hz_loan_cd*G1257,0))</f>
        <v/>
      </c>
      <c r="BV1258" s="14">
        <f>F1258*BU1258*IF(B1258&gt;=in_marketplace_from,d_hz_loan_cd*G1258,0)*in_loan_cd_ticket*in_loan_cd_comm</f>
        <v/>
      </c>
      <c r="BW1258" s="40">
        <f>BW1257*(1-IF(B1257&gt;=in_marketplace_from,d_hz_loan_vehicle*G1257,0))</f>
        <v/>
      </c>
      <c r="BX1258" s="14">
        <f>F1258*BW1258*IF(B1258&gt;=in_marketplace_from,d_hz_loan_vehicle*G1258,0)*in_loan_vehicle_ticket*in_loan_vehicle_comm</f>
        <v/>
      </c>
      <c r="BY1258" s="40">
        <f>BY1257*(1-IF(B1257&gt;=in_marketplace_from,d_hz_loan_home*G1257,0)*BZ1257)</f>
        <v/>
      </c>
      <c r="BZ1258" s="11">
        <f>MIN(in_approval_cap,in_loan_home_approval*INDEX('Age profile'!$O$2:$O$61,B1258)*(1+in_approval_growth)^(D1258-1))</f>
        <v/>
      </c>
      <c r="CA1258" s="14">
        <f>F1258*BY1258*IF(B1258&gt;=in_marketplace_from,d_hz_loan_home*G1258,0)*BZ1258*in_loan_home_ticket*in_loan_home_comm</f>
        <v/>
      </c>
      <c r="CB1258" s="40">
        <f>CB1257*(1-IF(B1257&gt;=in_marketplace_from,d_hz_loan_lap*G1257,0)*CC1257)</f>
        <v/>
      </c>
      <c r="CC1258" s="11">
        <f>MIN(in_approval_cap,in_loan_lap_approval*INDEX('Age profile'!$O$2:$O$61,B1258)*(1+in_approval_growth)^(D1258-1))</f>
        <v/>
      </c>
      <c r="CD1258" s="14">
        <f>F1258*CB1258*IF(B1258&gt;=in_marketplace_from,d_hz_loan_lap*G1258,0)*CC1258*in_loan_lap_ticket*in_loan_lap_comm</f>
        <v/>
      </c>
      <c r="CE1258" s="14">
        <f>AA1258+AB1258+AC1258+AD1258+AG1258+AJ1258+AM1258+AP1258+AS1258+AU1258+AX1258+BB1258+BE1258+BG1258+BJ1258+BL1258+BO1258+BR1258+BT1258+BV1258+BX1258+CA1258+CD1258</f>
        <v/>
      </c>
    </row>
    <row r="1259">
      <c r="A1259" s="39" t="n">
        <v>27</v>
      </c>
      <c r="B1259" s="39" t="n">
        <v>23</v>
      </c>
      <c r="C1259" s="39">
        <f>A1259+B1259-1</f>
        <v/>
      </c>
      <c r="D1259" s="39">
        <f>INT((C1259-1)/12)+1</f>
        <v/>
      </c>
      <c r="E1259" s="44">
        <f>INDEX(Monthly!$B$2:$B$61,A1259)</f>
        <v/>
      </c>
      <c r="F1259" s="44">
        <f>E1259*INDEX('Age profile'!$B$2:$B$61,B1259)</f>
        <v/>
      </c>
      <c r="G1259" s="45">
        <f>MIN(in_takeup_cap,INDEX('Age profile'!$N$2:$N$61,B1259)*(1+in_takeup_growth)^(D1259-1))</f>
        <v/>
      </c>
      <c r="H1259" s="11">
        <f>MIN(in_approval_cap,in_approved_first*INDEX('Age profile'!$O$2:$O$61,B1259)*(1+in_approval_growth)^(D1259-1))</f>
        <v/>
      </c>
      <c r="I1259" s="45">
        <f>G1259*MIN(in_takeup_cap,INDEX('Age profile'!$O$2:$O$61,B1259)*(1+in_approval_growth)^(D1259-1))</f>
        <v/>
      </c>
      <c r="J1259" s="40">
        <f>(J1258-L1258)*F1259/F1258</f>
        <v/>
      </c>
      <c r="K1259" s="40">
        <f>(K1258-M1258)*F1259/F1258+SUMIFS(O1237:O1258,B1237:B1258,B1259-1-d_T)*F1259</f>
        <v/>
      </c>
      <c r="L1259" s="40">
        <f>IF(B1259&gt;=in_marketplace_from,J1259*d_hz*G1259*in_eligible*H1259,0)</f>
        <v/>
      </c>
      <c r="M1259" s="40">
        <f>IF(B1259&gt;=in_marketplace_from,K1259*d_hz*G1259*in_eligible*in_approved_repeat,0)</f>
        <v/>
      </c>
      <c r="N1259" s="40">
        <f>L1259+M1259</f>
        <v/>
      </c>
      <c r="O1259" s="46">
        <f>N1259/F1259</f>
        <v/>
      </c>
      <c r="P1259" s="40">
        <f>F1259-J1259-K1259</f>
        <v/>
      </c>
      <c r="Q1259" s="40">
        <f>IF(B1259&gt;=in_marketplace_from,(J1259+K1259)*d_hz*G1259,0)</f>
        <v/>
      </c>
      <c r="R1259" s="40">
        <f>SUMIFS(N1237:N1270,B1237:B1270,"&gt;="&amp;(B1259-d_T),B1237:B1270,"&lt;="&amp;(B1259-1))</f>
        <v/>
      </c>
      <c r="S1259" s="46">
        <f>(1-d_u)*S1258+IF(d_T&gt;in_topup_lag,SUMIFS(O1237:O1270,B1237:B1270,B1259-in_topup_lag)-d_udrop*SUMIFS(O1237:O1270,B1237:B1270,B1259-d_T),0)</f>
        <v/>
      </c>
      <c r="T1259" s="40">
        <f>F1259*d_u*S1259</f>
        <v/>
      </c>
      <c r="U1259" s="9">
        <f>L1259*in_ticket+M1259*d_rep_ticket</f>
        <v/>
      </c>
      <c r="V1259" s="9">
        <f>U1259+T1259*d_topup_amt</f>
        <v/>
      </c>
      <c r="W1259" s="40">
        <f>N1259+T1259*d_topup_ratio</f>
        <v/>
      </c>
      <c r="X1259" s="40">
        <f>SUMIFS(W1237:W1270,B1237:B1270,B1259-in_dpd_lag)*d_cured</f>
        <v/>
      </c>
      <c r="Y1259" s="40">
        <f>SUMIFS(W1237:W1270,B1237:B1270,B1259-in_rec_lag)*d_recd</f>
        <v/>
      </c>
      <c r="Z1259" s="40">
        <f>IF(AND(B1259&gt;=in_marketplace_from,B1259&lt;in_marketplace_from+in_card_months),in_card_share/in_card_months*F1259*I1259,IF(AND(B1259&gt;=in_marketplace_from+in_card_months,B1259&lt;in_marketplace_from+2*in_card_months),in_card_share*d_card_rem/in_card_months*F1259*MIN(in_takeup_cap,(1+in_takeup_growth)^(D1259-1))*MIN(in_takeup_cap,(1+in_approval_growth)^(D1259-1)),0))</f>
        <v/>
      </c>
      <c r="AA1259" s="14">
        <f>V1259*in_fee*(1-in_taken_back)</f>
        <v/>
      </c>
      <c r="AB1259" s="14">
        <f>SUMIFS(W1237:W1270,B1237:B1270,B1259-in_dpd_lag)*d_dpd</f>
        <v/>
      </c>
      <c r="AC1259" s="14">
        <f>SUMIFS(W1237:W1270,B1237:B1270,B1259-in_rec_lag)*d_rec</f>
        <v/>
      </c>
      <c r="AD1259" s="14">
        <f>Z1259*in_card_fee</f>
        <v/>
      </c>
      <c r="AE1259" s="40">
        <f>AE1258*(1-IF(B1258&gt;=in_marketplace_from,d_hz_hlth_small*G1258,0))</f>
        <v/>
      </c>
      <c r="AF1259" s="46">
        <f>AE1259*IF(B1259&gt;=in_marketplace_from,d_hz_hlth_small*G1259,0)</f>
        <v/>
      </c>
      <c r="AG1259" s="14">
        <f>F1259*AF1259*in_hlth_small_ticket*in_hlth_small_comm*in_ins_partner_share+F1259*in_hlth_small_ticket*in_hlth_small_renew_comm*in_ins_partner_share*(in_hlth_small_renew^1*SUMIFS(AF1237:AF1270,B1237:B1270,B1259-12)+in_hlth_small_renew^2*SUMIFS(AF1237:AF1270,B1237:B1270,B1259-24)+in_hlth_small_renew^3*SUMIFS(AF1237:AF1270,B1237:B1270,B1259-36)+in_hlth_small_renew^4*SUMIFS(AF1237:AF1270,B1237:B1270,B1259-48))</f>
        <v/>
      </c>
      <c r="AH1259" s="40">
        <f>AH1258*(1-IF(B1258&gt;=in_marketplace_from,d_hz_hlth_family*G1258,0))</f>
        <v/>
      </c>
      <c r="AI1259" s="46">
        <f>AH1259*IF(B1259&gt;=in_marketplace_from,d_hz_hlth_family*G1259,0)</f>
        <v/>
      </c>
      <c r="AJ1259" s="14">
        <f>F1259*AI1259*in_hlth_family_ticket*in_hlth_family_comm*in_ins_partner_share+F1259*in_hlth_family_ticket*in_hlth_family_renew_comm*in_ins_partner_share*(in_hlth_family_renew^1*SUMIFS(AI1237:AI1270,B1237:B1270,B1259-12)+in_hlth_family_renew^2*SUMIFS(AI1237:AI1270,B1237:B1270,B1259-24)+in_hlth_family_renew^3*SUMIFS(AI1237:AI1270,B1237:B1270,B1259-36)+in_hlth_family_renew^4*SUMIFS(AI1237:AI1270,B1237:B1270,B1259-48))</f>
        <v/>
      </c>
      <c r="AK1259" s="40">
        <f>AK1258*(1-IF(B1258&gt;=in_marketplace_from,d_hz_life_term*G1258,0))</f>
        <v/>
      </c>
      <c r="AL1259" s="46">
        <f>AK1259*IF(B1259&gt;=in_marketplace_from,d_hz_life_term*G1259,0)</f>
        <v/>
      </c>
      <c r="AM1259" s="14">
        <f>F1259*AL1259*in_life_term_ticket*in_life_term_comm*in_ins_partner_share+F1259*in_life_term_ticket*in_life_term_renew_comm*in_ins_partner_share*(in_life_term_renew^1*SUMIFS(AL1237:AL1270,B1237:B1270,B1259-12)+in_life_term_renew^2*SUMIFS(AL1237:AL1270,B1237:B1270,B1259-24)+in_life_term_renew^3*SUMIFS(AL1237:AL1270,B1237:B1270,B1259-36)+in_life_term_renew^4*SUMIFS(AL1237:AL1270,B1237:B1270,B1259-48))</f>
        <v/>
      </c>
      <c r="AN1259" s="40">
        <f>AN1258*(1-IF(B1258&gt;=in_marketplace_from,d_hz_accident*G1258,0))</f>
        <v/>
      </c>
      <c r="AO1259" s="46">
        <f>AN1259*IF(B1259&gt;=in_marketplace_from,d_hz_accident*G1259,0)</f>
        <v/>
      </c>
      <c r="AP1259" s="14">
        <f>F1259*AO1259*in_accident_ticket*in_accident_comm*in_ins_partner_share+F1259*in_accident_ticket*in_accident_renew_comm*in_ins_partner_share*(in_accident_renew^1*SUMIFS(AO1237:AO1270,B1237:B1270,B1259-12)+in_accident_renew^2*SUMIFS(AO1237:AO1270,B1237:B1270,B1259-24)+in_accident_renew^3*SUMIFS(AO1237:AO1270,B1237:B1270,B1259-36)+in_accident_renew^4*SUMIFS(AO1237:AO1270,B1237:B1270,B1259-48))</f>
        <v/>
      </c>
      <c r="AQ1259" s="40">
        <f>AQ1258*(1-IF(B1258&gt;=in_marketplace_from,d_hz_two_wheeler*G1258,0))</f>
        <v/>
      </c>
      <c r="AR1259" s="46">
        <f>AQ1259*IF(B1259&gt;=in_marketplace_from,d_hz_two_wheeler*G1259,0)</f>
        <v/>
      </c>
      <c r="AS1259" s="14">
        <f>F1259*AR1259*in_two_wheeler_ticket*in_two_wheeler_comm*in_ins_partner_share+F1259*in_two_wheeler_ticket*in_two_wheeler_comm*in_ins_partner_share*(in_two_wheeler_renew^1*SUMIFS(AR1237:AR1270,B1237:B1270,B1259-12)+in_two_wheeler_renew^2*SUMIFS(AR1237:AR1270,B1237:B1270,B1259-24)+in_two_wheeler_renew^3*SUMIFS(AR1237:AR1270,B1237:B1270,B1259-36)+in_two_wheeler_renew^4*SUMIFS(AR1237:AR1270,B1237:B1270,B1259-48))</f>
        <v/>
      </c>
      <c r="AT1259" s="40">
        <f>AT1258*(1-IF(B1258&gt;=in_marketplace_from,d_hz_device*G1258,0))</f>
        <v/>
      </c>
      <c r="AU1259" s="14">
        <f>F1259*AT1259*IF(B1259&gt;=in_marketplace_from,d_hz_device*G1259,0)*in_device_ticket*in_device_comm*in_ins_partner_share</f>
        <v/>
      </c>
      <c r="AV1259" s="40">
        <f>AV1258*(1-IF(B1258&gt;=in_marketplace_from,d_hz_shop*G1258,0))</f>
        <v/>
      </c>
      <c r="AW1259" s="46">
        <f>AV1259*IF(B1259&gt;=in_marketplace_from,d_hz_shop*G1259,0)</f>
        <v/>
      </c>
      <c r="AX1259" s="14">
        <f>F1259*AW1259*in_shop_ticket*in_shop_comm*in_ins_partner_share+F1259*in_shop_ticket*in_shop_renew_comm*in_ins_partner_share*(in_shop_renew^1*SUMIFS(AW1237:AW1270,B1237:B1270,B1259-12)+in_shop_renew^2*SUMIFS(AW1237:AW1270,B1237:B1270,B1259-24)+in_shop_renew^3*SUMIFS(AW1237:AW1270,B1237:B1270,B1259-36)+in_shop_renew^4*SUMIFS(AW1237:AW1270,B1237:B1270,B1259-48))</f>
        <v/>
      </c>
      <c r="AY1259" s="40">
        <f>AY1258*(1-IF(B1258&gt;=in_marketplace_from,d_hz_sip*G1258,0))</f>
        <v/>
      </c>
      <c r="AZ1259" s="40">
        <f>AZ1258*d_rho_sip+AY1259*IF(B1259&gt;=in_marketplace_from,d_hz_sip*G1259,0)</f>
        <v/>
      </c>
      <c r="BA1259" s="40">
        <f>d_rho_sip*(BA1258+AZ1258)</f>
        <v/>
      </c>
      <c r="BB1259" s="14">
        <f>F1259*in_sip_ticket*(BA1259+0.5*AZ1259)*in_sip_comm/12</f>
        <v/>
      </c>
      <c r="BC1259" s="40">
        <f>BC1258*(1-IF(B1258&gt;=in_marketplace_from,d_hz_choti*G1258,0))</f>
        <v/>
      </c>
      <c r="BD1259" s="46">
        <f>BC1259*IF(B1259&gt;=in_marketplace_from,d_hz_choti*G1259,0)</f>
        <v/>
      </c>
      <c r="BE1259" s="14">
        <f>F1259*SUMIFS(BD1237:BD1270,B1237:B1270,B1259-in_choti_months)*in_choti_renew*in_choti_ticket</f>
        <v/>
      </c>
      <c r="BF1259" s="40">
        <f>BF1258*(1-IF(B1258&gt;=in_marketplace_from,d_hz_nps*G1258,0))</f>
        <v/>
      </c>
      <c r="BG1259" s="14">
        <f>F1259*BF1259*IF(B1259&gt;=in_marketplace_from,d_hz_nps*G1259,0)*in_nps_ticket*in_nps_comm</f>
        <v/>
      </c>
      <c r="BH1259" s="40">
        <f>BH1258*(1-IF(B1258&gt;=in_marketplace_from,d_hz_gold*G1258,0))</f>
        <v/>
      </c>
      <c r="BI1259" s="40">
        <f>BI1258*d_rho_gold+BH1259*IF(B1259&gt;=in_marketplace_from,d_hz_gold*G1259,0)</f>
        <v/>
      </c>
      <c r="BJ1259" s="14">
        <f>F1259*BI1259*in_gold_ticket*in_gold_comm</f>
        <v/>
      </c>
      <c r="BK1259" s="40">
        <f>BK1258*(1-IF(B1258&gt;=in_marketplace_from,d_hz_fd*G1258,0))</f>
        <v/>
      </c>
      <c r="BL1259" s="14">
        <f>F1259*BK1259*IF(B1259&gt;=in_marketplace_from,d_hz_fd*G1259,0)*in_fd_ticket*in_fd_comm</f>
        <v/>
      </c>
      <c r="BM1259" s="40">
        <f>BM1258*(1-IF(B1258&gt;=in_marketplace_from,d_hz_recharge*G1258,0))</f>
        <v/>
      </c>
      <c r="BN1259" s="40">
        <f>BN1258*d_rho_recharge+BM1259*IF(B1259&gt;=in_marketplace_from,d_hz_recharge*G1259,0)</f>
        <v/>
      </c>
      <c r="BO1259" s="14">
        <f>F1259*BN1259*in_recharge_ticket*in_recharge_comm/12</f>
        <v/>
      </c>
      <c r="BP1259" s="40">
        <f>BP1258*(1-IF(B1258&gt;=in_marketplace_from,d_hz_bills*G1258,0))</f>
        <v/>
      </c>
      <c r="BQ1259" s="40">
        <f>BQ1258*d_rho_bills+BP1259*IF(B1259&gt;=in_marketplace_from,d_hz_bills*G1259,0)</f>
        <v/>
      </c>
      <c r="BR1259" s="14">
        <f>F1259*BQ1259*in_bills_ticket*in_bills_comm/12</f>
        <v/>
      </c>
      <c r="BS1259" s="40">
        <f>BS1258*(1-IF(B1258&gt;=in_marketplace_from,d_hz_loan_gold*G1258,0))</f>
        <v/>
      </c>
      <c r="BT1259" s="14">
        <f>F1259*BS1259*IF(B1259&gt;=in_marketplace_from,d_hz_loan_gold*G1259,0)*in_loan_gold_ticket*in_loan_gold_comm</f>
        <v/>
      </c>
      <c r="BU1259" s="40">
        <f>BU1258*(1-IF(B1258&gt;=in_marketplace_from,d_hz_loan_cd*G1258,0))</f>
        <v/>
      </c>
      <c r="BV1259" s="14">
        <f>F1259*BU1259*IF(B1259&gt;=in_marketplace_from,d_hz_loan_cd*G1259,0)*in_loan_cd_ticket*in_loan_cd_comm</f>
        <v/>
      </c>
      <c r="BW1259" s="40">
        <f>BW1258*(1-IF(B1258&gt;=in_marketplace_from,d_hz_loan_vehicle*G1258,0))</f>
        <v/>
      </c>
      <c r="BX1259" s="14">
        <f>F1259*BW1259*IF(B1259&gt;=in_marketplace_from,d_hz_loan_vehicle*G1259,0)*in_loan_vehicle_ticket*in_loan_vehicle_comm</f>
        <v/>
      </c>
      <c r="BY1259" s="40">
        <f>BY1258*(1-IF(B1258&gt;=in_marketplace_from,d_hz_loan_home*G1258,0)*BZ1258)</f>
        <v/>
      </c>
      <c r="BZ1259" s="11">
        <f>MIN(in_approval_cap,in_loan_home_approval*INDEX('Age profile'!$O$2:$O$61,B1259)*(1+in_approval_growth)^(D1259-1))</f>
        <v/>
      </c>
      <c r="CA1259" s="14">
        <f>F1259*BY1259*IF(B1259&gt;=in_marketplace_from,d_hz_loan_home*G1259,0)*BZ1259*in_loan_home_ticket*in_loan_home_comm</f>
        <v/>
      </c>
      <c r="CB1259" s="40">
        <f>CB1258*(1-IF(B1258&gt;=in_marketplace_from,d_hz_loan_lap*G1258,0)*CC1258)</f>
        <v/>
      </c>
      <c r="CC1259" s="11">
        <f>MIN(in_approval_cap,in_loan_lap_approval*INDEX('Age profile'!$O$2:$O$61,B1259)*(1+in_approval_growth)^(D1259-1))</f>
        <v/>
      </c>
      <c r="CD1259" s="14">
        <f>F1259*CB1259*IF(B1259&gt;=in_marketplace_from,d_hz_loan_lap*G1259,0)*CC1259*in_loan_lap_ticket*in_loan_lap_comm</f>
        <v/>
      </c>
      <c r="CE1259" s="14">
        <f>AA1259+AB1259+AC1259+AD1259+AG1259+AJ1259+AM1259+AP1259+AS1259+AU1259+AX1259+BB1259+BE1259+BG1259+BJ1259+BL1259+BO1259+BR1259+BT1259+BV1259+BX1259+CA1259+CD1259</f>
        <v/>
      </c>
    </row>
    <row r="1260">
      <c r="A1260" s="39" t="n">
        <v>27</v>
      </c>
      <c r="B1260" s="39" t="n">
        <v>24</v>
      </c>
      <c r="C1260" s="39">
        <f>A1260+B1260-1</f>
        <v/>
      </c>
      <c r="D1260" s="39">
        <f>INT((C1260-1)/12)+1</f>
        <v/>
      </c>
      <c r="E1260" s="44">
        <f>INDEX(Monthly!$B$2:$B$61,A1260)</f>
        <v/>
      </c>
      <c r="F1260" s="44">
        <f>E1260*INDEX('Age profile'!$B$2:$B$61,B1260)</f>
        <v/>
      </c>
      <c r="G1260" s="45">
        <f>MIN(in_takeup_cap,INDEX('Age profile'!$N$2:$N$61,B1260)*(1+in_takeup_growth)^(D1260-1))</f>
        <v/>
      </c>
      <c r="H1260" s="11">
        <f>MIN(in_approval_cap,in_approved_first*INDEX('Age profile'!$O$2:$O$61,B1260)*(1+in_approval_growth)^(D1260-1))</f>
        <v/>
      </c>
      <c r="I1260" s="45">
        <f>G1260*MIN(in_takeup_cap,INDEX('Age profile'!$O$2:$O$61,B1260)*(1+in_approval_growth)^(D1260-1))</f>
        <v/>
      </c>
      <c r="J1260" s="40">
        <f>(J1259-L1259)*F1260/F1259</f>
        <v/>
      </c>
      <c r="K1260" s="40">
        <f>(K1259-M1259)*F1260/F1259+SUMIFS(O1237:O1259,B1237:B1259,B1260-1-d_T)*F1260</f>
        <v/>
      </c>
      <c r="L1260" s="40">
        <f>IF(B1260&gt;=in_marketplace_from,J1260*d_hz*G1260*in_eligible*H1260,0)</f>
        <v/>
      </c>
      <c r="M1260" s="40">
        <f>IF(B1260&gt;=in_marketplace_from,K1260*d_hz*G1260*in_eligible*in_approved_repeat,0)</f>
        <v/>
      </c>
      <c r="N1260" s="40">
        <f>L1260+M1260</f>
        <v/>
      </c>
      <c r="O1260" s="46">
        <f>N1260/F1260</f>
        <v/>
      </c>
      <c r="P1260" s="40">
        <f>F1260-J1260-K1260</f>
        <v/>
      </c>
      <c r="Q1260" s="40">
        <f>IF(B1260&gt;=in_marketplace_from,(J1260+K1260)*d_hz*G1260,0)</f>
        <v/>
      </c>
      <c r="R1260" s="40">
        <f>SUMIFS(N1237:N1270,B1237:B1270,"&gt;="&amp;(B1260-d_T),B1237:B1270,"&lt;="&amp;(B1260-1))</f>
        <v/>
      </c>
      <c r="S1260" s="46">
        <f>(1-d_u)*S1259+IF(d_T&gt;in_topup_lag,SUMIFS(O1237:O1270,B1237:B1270,B1260-in_topup_lag)-d_udrop*SUMIFS(O1237:O1270,B1237:B1270,B1260-d_T),0)</f>
        <v/>
      </c>
      <c r="T1260" s="40">
        <f>F1260*d_u*S1260</f>
        <v/>
      </c>
      <c r="U1260" s="9">
        <f>L1260*in_ticket+M1260*d_rep_ticket</f>
        <v/>
      </c>
      <c r="V1260" s="9">
        <f>U1260+T1260*d_topup_amt</f>
        <v/>
      </c>
      <c r="W1260" s="40">
        <f>N1260+T1260*d_topup_ratio</f>
        <v/>
      </c>
      <c r="X1260" s="40">
        <f>SUMIFS(W1237:W1270,B1237:B1270,B1260-in_dpd_lag)*d_cured</f>
        <v/>
      </c>
      <c r="Y1260" s="40">
        <f>SUMIFS(W1237:W1270,B1237:B1270,B1260-in_rec_lag)*d_recd</f>
        <v/>
      </c>
      <c r="Z1260" s="40">
        <f>IF(AND(B1260&gt;=in_marketplace_from,B1260&lt;in_marketplace_from+in_card_months),in_card_share/in_card_months*F1260*I1260,IF(AND(B1260&gt;=in_marketplace_from+in_card_months,B1260&lt;in_marketplace_from+2*in_card_months),in_card_share*d_card_rem/in_card_months*F1260*MIN(in_takeup_cap,(1+in_takeup_growth)^(D1260-1))*MIN(in_takeup_cap,(1+in_approval_growth)^(D1260-1)),0))</f>
        <v/>
      </c>
      <c r="AA1260" s="14">
        <f>V1260*in_fee*(1-in_taken_back)</f>
        <v/>
      </c>
      <c r="AB1260" s="14">
        <f>SUMIFS(W1237:W1270,B1237:B1270,B1260-in_dpd_lag)*d_dpd</f>
        <v/>
      </c>
      <c r="AC1260" s="14">
        <f>SUMIFS(W1237:W1270,B1237:B1270,B1260-in_rec_lag)*d_rec</f>
        <v/>
      </c>
      <c r="AD1260" s="14">
        <f>Z1260*in_card_fee</f>
        <v/>
      </c>
      <c r="AE1260" s="40">
        <f>AE1259*(1-IF(B1259&gt;=in_marketplace_from,d_hz_hlth_small*G1259,0))</f>
        <v/>
      </c>
      <c r="AF1260" s="46">
        <f>AE1260*IF(B1260&gt;=in_marketplace_from,d_hz_hlth_small*G1260,0)</f>
        <v/>
      </c>
      <c r="AG1260" s="14">
        <f>F1260*AF1260*in_hlth_small_ticket*in_hlth_small_comm*in_ins_partner_share+F1260*in_hlth_small_ticket*in_hlth_small_renew_comm*in_ins_partner_share*(in_hlth_small_renew^1*SUMIFS(AF1237:AF1270,B1237:B1270,B1260-12)+in_hlth_small_renew^2*SUMIFS(AF1237:AF1270,B1237:B1270,B1260-24)+in_hlth_small_renew^3*SUMIFS(AF1237:AF1270,B1237:B1270,B1260-36)+in_hlth_small_renew^4*SUMIFS(AF1237:AF1270,B1237:B1270,B1260-48))</f>
        <v/>
      </c>
      <c r="AH1260" s="40">
        <f>AH1259*(1-IF(B1259&gt;=in_marketplace_from,d_hz_hlth_family*G1259,0))</f>
        <v/>
      </c>
      <c r="AI1260" s="46">
        <f>AH1260*IF(B1260&gt;=in_marketplace_from,d_hz_hlth_family*G1260,0)</f>
        <v/>
      </c>
      <c r="AJ1260" s="14">
        <f>F1260*AI1260*in_hlth_family_ticket*in_hlth_family_comm*in_ins_partner_share+F1260*in_hlth_family_ticket*in_hlth_family_renew_comm*in_ins_partner_share*(in_hlth_family_renew^1*SUMIFS(AI1237:AI1270,B1237:B1270,B1260-12)+in_hlth_family_renew^2*SUMIFS(AI1237:AI1270,B1237:B1270,B1260-24)+in_hlth_family_renew^3*SUMIFS(AI1237:AI1270,B1237:B1270,B1260-36)+in_hlth_family_renew^4*SUMIFS(AI1237:AI1270,B1237:B1270,B1260-48))</f>
        <v/>
      </c>
      <c r="AK1260" s="40">
        <f>AK1259*(1-IF(B1259&gt;=in_marketplace_from,d_hz_life_term*G1259,0))</f>
        <v/>
      </c>
      <c r="AL1260" s="46">
        <f>AK1260*IF(B1260&gt;=in_marketplace_from,d_hz_life_term*G1260,0)</f>
        <v/>
      </c>
      <c r="AM1260" s="14">
        <f>F1260*AL1260*in_life_term_ticket*in_life_term_comm*in_ins_partner_share+F1260*in_life_term_ticket*in_life_term_renew_comm*in_ins_partner_share*(in_life_term_renew^1*SUMIFS(AL1237:AL1270,B1237:B1270,B1260-12)+in_life_term_renew^2*SUMIFS(AL1237:AL1270,B1237:B1270,B1260-24)+in_life_term_renew^3*SUMIFS(AL1237:AL1270,B1237:B1270,B1260-36)+in_life_term_renew^4*SUMIFS(AL1237:AL1270,B1237:B1270,B1260-48))</f>
        <v/>
      </c>
      <c r="AN1260" s="40">
        <f>AN1259*(1-IF(B1259&gt;=in_marketplace_from,d_hz_accident*G1259,0))</f>
        <v/>
      </c>
      <c r="AO1260" s="46">
        <f>AN1260*IF(B1260&gt;=in_marketplace_from,d_hz_accident*G1260,0)</f>
        <v/>
      </c>
      <c r="AP1260" s="14">
        <f>F1260*AO1260*in_accident_ticket*in_accident_comm*in_ins_partner_share+F1260*in_accident_ticket*in_accident_renew_comm*in_ins_partner_share*(in_accident_renew^1*SUMIFS(AO1237:AO1270,B1237:B1270,B1260-12)+in_accident_renew^2*SUMIFS(AO1237:AO1270,B1237:B1270,B1260-24)+in_accident_renew^3*SUMIFS(AO1237:AO1270,B1237:B1270,B1260-36)+in_accident_renew^4*SUMIFS(AO1237:AO1270,B1237:B1270,B1260-48))</f>
        <v/>
      </c>
      <c r="AQ1260" s="40">
        <f>AQ1259*(1-IF(B1259&gt;=in_marketplace_from,d_hz_two_wheeler*G1259,0))</f>
        <v/>
      </c>
      <c r="AR1260" s="46">
        <f>AQ1260*IF(B1260&gt;=in_marketplace_from,d_hz_two_wheeler*G1260,0)</f>
        <v/>
      </c>
      <c r="AS1260" s="14">
        <f>F1260*AR1260*in_two_wheeler_ticket*in_two_wheeler_comm*in_ins_partner_share+F1260*in_two_wheeler_ticket*in_two_wheeler_comm*in_ins_partner_share*(in_two_wheeler_renew^1*SUMIFS(AR1237:AR1270,B1237:B1270,B1260-12)+in_two_wheeler_renew^2*SUMIFS(AR1237:AR1270,B1237:B1270,B1260-24)+in_two_wheeler_renew^3*SUMIFS(AR1237:AR1270,B1237:B1270,B1260-36)+in_two_wheeler_renew^4*SUMIFS(AR1237:AR1270,B1237:B1270,B1260-48))</f>
        <v/>
      </c>
      <c r="AT1260" s="40">
        <f>AT1259*(1-IF(B1259&gt;=in_marketplace_from,d_hz_device*G1259,0))</f>
        <v/>
      </c>
      <c r="AU1260" s="14">
        <f>F1260*AT1260*IF(B1260&gt;=in_marketplace_from,d_hz_device*G1260,0)*in_device_ticket*in_device_comm*in_ins_partner_share</f>
        <v/>
      </c>
      <c r="AV1260" s="40">
        <f>AV1259*(1-IF(B1259&gt;=in_marketplace_from,d_hz_shop*G1259,0))</f>
        <v/>
      </c>
      <c r="AW1260" s="46">
        <f>AV1260*IF(B1260&gt;=in_marketplace_from,d_hz_shop*G1260,0)</f>
        <v/>
      </c>
      <c r="AX1260" s="14">
        <f>F1260*AW1260*in_shop_ticket*in_shop_comm*in_ins_partner_share+F1260*in_shop_ticket*in_shop_renew_comm*in_ins_partner_share*(in_shop_renew^1*SUMIFS(AW1237:AW1270,B1237:B1270,B1260-12)+in_shop_renew^2*SUMIFS(AW1237:AW1270,B1237:B1270,B1260-24)+in_shop_renew^3*SUMIFS(AW1237:AW1270,B1237:B1270,B1260-36)+in_shop_renew^4*SUMIFS(AW1237:AW1270,B1237:B1270,B1260-48))</f>
        <v/>
      </c>
      <c r="AY1260" s="40">
        <f>AY1259*(1-IF(B1259&gt;=in_marketplace_from,d_hz_sip*G1259,0))</f>
        <v/>
      </c>
      <c r="AZ1260" s="40">
        <f>AZ1259*d_rho_sip+AY1260*IF(B1260&gt;=in_marketplace_from,d_hz_sip*G1260,0)</f>
        <v/>
      </c>
      <c r="BA1260" s="40">
        <f>d_rho_sip*(BA1259+AZ1259)</f>
        <v/>
      </c>
      <c r="BB1260" s="14">
        <f>F1260*in_sip_ticket*(BA1260+0.5*AZ1260)*in_sip_comm/12</f>
        <v/>
      </c>
      <c r="BC1260" s="40">
        <f>BC1259*(1-IF(B1259&gt;=in_marketplace_from,d_hz_choti*G1259,0))</f>
        <v/>
      </c>
      <c r="BD1260" s="46">
        <f>BC1260*IF(B1260&gt;=in_marketplace_from,d_hz_choti*G1260,0)</f>
        <v/>
      </c>
      <c r="BE1260" s="14">
        <f>F1260*SUMIFS(BD1237:BD1270,B1237:B1270,B1260-in_choti_months)*in_choti_renew*in_choti_ticket</f>
        <v/>
      </c>
      <c r="BF1260" s="40">
        <f>BF1259*(1-IF(B1259&gt;=in_marketplace_from,d_hz_nps*G1259,0))</f>
        <v/>
      </c>
      <c r="BG1260" s="14">
        <f>F1260*BF1260*IF(B1260&gt;=in_marketplace_from,d_hz_nps*G1260,0)*in_nps_ticket*in_nps_comm</f>
        <v/>
      </c>
      <c r="BH1260" s="40">
        <f>BH1259*(1-IF(B1259&gt;=in_marketplace_from,d_hz_gold*G1259,0))</f>
        <v/>
      </c>
      <c r="BI1260" s="40">
        <f>BI1259*d_rho_gold+BH1260*IF(B1260&gt;=in_marketplace_from,d_hz_gold*G1260,0)</f>
        <v/>
      </c>
      <c r="BJ1260" s="14">
        <f>F1260*BI1260*in_gold_ticket*in_gold_comm</f>
        <v/>
      </c>
      <c r="BK1260" s="40">
        <f>BK1259*(1-IF(B1259&gt;=in_marketplace_from,d_hz_fd*G1259,0))</f>
        <v/>
      </c>
      <c r="BL1260" s="14">
        <f>F1260*BK1260*IF(B1260&gt;=in_marketplace_from,d_hz_fd*G1260,0)*in_fd_ticket*in_fd_comm</f>
        <v/>
      </c>
      <c r="BM1260" s="40">
        <f>BM1259*(1-IF(B1259&gt;=in_marketplace_from,d_hz_recharge*G1259,0))</f>
        <v/>
      </c>
      <c r="BN1260" s="40">
        <f>BN1259*d_rho_recharge+BM1260*IF(B1260&gt;=in_marketplace_from,d_hz_recharge*G1260,0)</f>
        <v/>
      </c>
      <c r="BO1260" s="14">
        <f>F1260*BN1260*in_recharge_ticket*in_recharge_comm/12</f>
        <v/>
      </c>
      <c r="BP1260" s="40">
        <f>BP1259*(1-IF(B1259&gt;=in_marketplace_from,d_hz_bills*G1259,0))</f>
        <v/>
      </c>
      <c r="BQ1260" s="40">
        <f>BQ1259*d_rho_bills+BP1260*IF(B1260&gt;=in_marketplace_from,d_hz_bills*G1260,0)</f>
        <v/>
      </c>
      <c r="BR1260" s="14">
        <f>F1260*BQ1260*in_bills_ticket*in_bills_comm/12</f>
        <v/>
      </c>
      <c r="BS1260" s="40">
        <f>BS1259*(1-IF(B1259&gt;=in_marketplace_from,d_hz_loan_gold*G1259,0))</f>
        <v/>
      </c>
      <c r="BT1260" s="14">
        <f>F1260*BS1260*IF(B1260&gt;=in_marketplace_from,d_hz_loan_gold*G1260,0)*in_loan_gold_ticket*in_loan_gold_comm</f>
        <v/>
      </c>
      <c r="BU1260" s="40">
        <f>BU1259*(1-IF(B1259&gt;=in_marketplace_from,d_hz_loan_cd*G1259,0))</f>
        <v/>
      </c>
      <c r="BV1260" s="14">
        <f>F1260*BU1260*IF(B1260&gt;=in_marketplace_from,d_hz_loan_cd*G1260,0)*in_loan_cd_ticket*in_loan_cd_comm</f>
        <v/>
      </c>
      <c r="BW1260" s="40">
        <f>BW1259*(1-IF(B1259&gt;=in_marketplace_from,d_hz_loan_vehicle*G1259,0))</f>
        <v/>
      </c>
      <c r="BX1260" s="14">
        <f>F1260*BW1260*IF(B1260&gt;=in_marketplace_from,d_hz_loan_vehicle*G1260,0)*in_loan_vehicle_ticket*in_loan_vehicle_comm</f>
        <v/>
      </c>
      <c r="BY1260" s="40">
        <f>BY1259*(1-IF(B1259&gt;=in_marketplace_from,d_hz_loan_home*G1259,0)*BZ1259)</f>
        <v/>
      </c>
      <c r="BZ1260" s="11">
        <f>MIN(in_approval_cap,in_loan_home_approval*INDEX('Age profile'!$O$2:$O$61,B1260)*(1+in_approval_growth)^(D1260-1))</f>
        <v/>
      </c>
      <c r="CA1260" s="14">
        <f>F1260*BY1260*IF(B1260&gt;=in_marketplace_from,d_hz_loan_home*G1260,0)*BZ1260*in_loan_home_ticket*in_loan_home_comm</f>
        <v/>
      </c>
      <c r="CB1260" s="40">
        <f>CB1259*(1-IF(B1259&gt;=in_marketplace_from,d_hz_loan_lap*G1259,0)*CC1259)</f>
        <v/>
      </c>
      <c r="CC1260" s="11">
        <f>MIN(in_approval_cap,in_loan_lap_approval*INDEX('Age profile'!$O$2:$O$61,B1260)*(1+in_approval_growth)^(D1260-1))</f>
        <v/>
      </c>
      <c r="CD1260" s="14">
        <f>F1260*CB1260*IF(B1260&gt;=in_marketplace_from,d_hz_loan_lap*G1260,0)*CC1260*in_loan_lap_ticket*in_loan_lap_comm</f>
        <v/>
      </c>
      <c r="CE1260" s="14">
        <f>AA1260+AB1260+AC1260+AD1260+AG1260+AJ1260+AM1260+AP1260+AS1260+AU1260+AX1260+BB1260+BE1260+BG1260+BJ1260+BL1260+BO1260+BR1260+BT1260+BV1260+BX1260+CA1260+CD1260</f>
        <v/>
      </c>
    </row>
    <row r="1261">
      <c r="A1261" s="39" t="n">
        <v>27</v>
      </c>
      <c r="B1261" s="39" t="n">
        <v>25</v>
      </c>
      <c r="C1261" s="39">
        <f>A1261+B1261-1</f>
        <v/>
      </c>
      <c r="D1261" s="39">
        <f>INT((C1261-1)/12)+1</f>
        <v/>
      </c>
      <c r="E1261" s="44">
        <f>INDEX(Monthly!$B$2:$B$61,A1261)</f>
        <v/>
      </c>
      <c r="F1261" s="44">
        <f>E1261*INDEX('Age profile'!$B$2:$B$61,B1261)</f>
        <v/>
      </c>
      <c r="G1261" s="45">
        <f>MIN(in_takeup_cap,INDEX('Age profile'!$N$2:$N$61,B1261)*(1+in_takeup_growth)^(D1261-1))</f>
        <v/>
      </c>
      <c r="H1261" s="11">
        <f>MIN(in_approval_cap,in_approved_first*INDEX('Age profile'!$O$2:$O$61,B1261)*(1+in_approval_growth)^(D1261-1))</f>
        <v/>
      </c>
      <c r="I1261" s="45">
        <f>G1261*MIN(in_takeup_cap,INDEX('Age profile'!$O$2:$O$61,B1261)*(1+in_approval_growth)^(D1261-1))</f>
        <v/>
      </c>
      <c r="J1261" s="40">
        <f>(J1260-L1260)*F1261/F1260</f>
        <v/>
      </c>
      <c r="K1261" s="40">
        <f>(K1260-M1260)*F1261/F1260+SUMIFS(O1237:O1260,B1237:B1260,B1261-1-d_T)*F1261</f>
        <v/>
      </c>
      <c r="L1261" s="40">
        <f>IF(B1261&gt;=in_marketplace_from,J1261*d_hz*G1261*in_eligible*H1261,0)</f>
        <v/>
      </c>
      <c r="M1261" s="40">
        <f>IF(B1261&gt;=in_marketplace_from,K1261*d_hz*G1261*in_eligible*in_approved_repeat,0)</f>
        <v/>
      </c>
      <c r="N1261" s="40">
        <f>L1261+M1261</f>
        <v/>
      </c>
      <c r="O1261" s="46">
        <f>N1261/F1261</f>
        <v/>
      </c>
      <c r="P1261" s="40">
        <f>F1261-J1261-K1261</f>
        <v/>
      </c>
      <c r="Q1261" s="40">
        <f>IF(B1261&gt;=in_marketplace_from,(J1261+K1261)*d_hz*G1261,0)</f>
        <v/>
      </c>
      <c r="R1261" s="40">
        <f>SUMIFS(N1237:N1270,B1237:B1270,"&gt;="&amp;(B1261-d_T),B1237:B1270,"&lt;="&amp;(B1261-1))</f>
        <v/>
      </c>
      <c r="S1261" s="46">
        <f>(1-d_u)*S1260+IF(d_T&gt;in_topup_lag,SUMIFS(O1237:O1270,B1237:B1270,B1261-in_topup_lag)-d_udrop*SUMIFS(O1237:O1270,B1237:B1270,B1261-d_T),0)</f>
        <v/>
      </c>
      <c r="T1261" s="40">
        <f>F1261*d_u*S1261</f>
        <v/>
      </c>
      <c r="U1261" s="9">
        <f>L1261*in_ticket+M1261*d_rep_ticket</f>
        <v/>
      </c>
      <c r="V1261" s="9">
        <f>U1261+T1261*d_topup_amt</f>
        <v/>
      </c>
      <c r="W1261" s="40">
        <f>N1261+T1261*d_topup_ratio</f>
        <v/>
      </c>
      <c r="X1261" s="40">
        <f>SUMIFS(W1237:W1270,B1237:B1270,B1261-in_dpd_lag)*d_cured</f>
        <v/>
      </c>
      <c r="Y1261" s="40">
        <f>SUMIFS(W1237:W1270,B1237:B1270,B1261-in_rec_lag)*d_recd</f>
        <v/>
      </c>
      <c r="Z1261" s="40">
        <f>IF(AND(B1261&gt;=in_marketplace_from,B1261&lt;in_marketplace_from+in_card_months),in_card_share/in_card_months*F1261*I1261,IF(AND(B1261&gt;=in_marketplace_from+in_card_months,B1261&lt;in_marketplace_from+2*in_card_months),in_card_share*d_card_rem/in_card_months*F1261*MIN(in_takeup_cap,(1+in_takeup_growth)^(D1261-1))*MIN(in_takeup_cap,(1+in_approval_growth)^(D1261-1)),0))</f>
        <v/>
      </c>
      <c r="AA1261" s="14">
        <f>V1261*in_fee*(1-in_taken_back)</f>
        <v/>
      </c>
      <c r="AB1261" s="14">
        <f>SUMIFS(W1237:W1270,B1237:B1270,B1261-in_dpd_lag)*d_dpd</f>
        <v/>
      </c>
      <c r="AC1261" s="14">
        <f>SUMIFS(W1237:W1270,B1237:B1270,B1261-in_rec_lag)*d_rec</f>
        <v/>
      </c>
      <c r="AD1261" s="14">
        <f>Z1261*in_card_fee</f>
        <v/>
      </c>
      <c r="AE1261" s="40">
        <f>AE1260*(1-IF(B1260&gt;=in_marketplace_from,d_hz_hlth_small*G1260,0))</f>
        <v/>
      </c>
      <c r="AF1261" s="46">
        <f>AE1261*IF(B1261&gt;=in_marketplace_from,d_hz_hlth_small*G1261,0)</f>
        <v/>
      </c>
      <c r="AG1261" s="14">
        <f>F1261*AF1261*in_hlth_small_ticket*in_hlth_small_comm*in_ins_partner_share+F1261*in_hlth_small_ticket*in_hlth_small_renew_comm*in_ins_partner_share*(in_hlth_small_renew^1*SUMIFS(AF1237:AF1270,B1237:B1270,B1261-12)+in_hlth_small_renew^2*SUMIFS(AF1237:AF1270,B1237:B1270,B1261-24)+in_hlth_small_renew^3*SUMIFS(AF1237:AF1270,B1237:B1270,B1261-36)+in_hlth_small_renew^4*SUMIFS(AF1237:AF1270,B1237:B1270,B1261-48))</f>
        <v/>
      </c>
      <c r="AH1261" s="40">
        <f>AH1260*(1-IF(B1260&gt;=in_marketplace_from,d_hz_hlth_family*G1260,0))</f>
        <v/>
      </c>
      <c r="AI1261" s="46">
        <f>AH1261*IF(B1261&gt;=in_marketplace_from,d_hz_hlth_family*G1261,0)</f>
        <v/>
      </c>
      <c r="AJ1261" s="14">
        <f>F1261*AI1261*in_hlth_family_ticket*in_hlth_family_comm*in_ins_partner_share+F1261*in_hlth_family_ticket*in_hlth_family_renew_comm*in_ins_partner_share*(in_hlth_family_renew^1*SUMIFS(AI1237:AI1270,B1237:B1270,B1261-12)+in_hlth_family_renew^2*SUMIFS(AI1237:AI1270,B1237:B1270,B1261-24)+in_hlth_family_renew^3*SUMIFS(AI1237:AI1270,B1237:B1270,B1261-36)+in_hlth_family_renew^4*SUMIFS(AI1237:AI1270,B1237:B1270,B1261-48))</f>
        <v/>
      </c>
      <c r="AK1261" s="40">
        <f>AK1260*(1-IF(B1260&gt;=in_marketplace_from,d_hz_life_term*G1260,0))</f>
        <v/>
      </c>
      <c r="AL1261" s="46">
        <f>AK1261*IF(B1261&gt;=in_marketplace_from,d_hz_life_term*G1261,0)</f>
        <v/>
      </c>
      <c r="AM1261" s="14">
        <f>F1261*AL1261*in_life_term_ticket*in_life_term_comm*in_ins_partner_share+F1261*in_life_term_ticket*in_life_term_renew_comm*in_ins_partner_share*(in_life_term_renew^1*SUMIFS(AL1237:AL1270,B1237:B1270,B1261-12)+in_life_term_renew^2*SUMIFS(AL1237:AL1270,B1237:B1270,B1261-24)+in_life_term_renew^3*SUMIFS(AL1237:AL1270,B1237:B1270,B1261-36)+in_life_term_renew^4*SUMIFS(AL1237:AL1270,B1237:B1270,B1261-48))</f>
        <v/>
      </c>
      <c r="AN1261" s="40">
        <f>AN1260*(1-IF(B1260&gt;=in_marketplace_from,d_hz_accident*G1260,0))</f>
        <v/>
      </c>
      <c r="AO1261" s="46">
        <f>AN1261*IF(B1261&gt;=in_marketplace_from,d_hz_accident*G1261,0)</f>
        <v/>
      </c>
      <c r="AP1261" s="14">
        <f>F1261*AO1261*in_accident_ticket*in_accident_comm*in_ins_partner_share+F1261*in_accident_ticket*in_accident_renew_comm*in_ins_partner_share*(in_accident_renew^1*SUMIFS(AO1237:AO1270,B1237:B1270,B1261-12)+in_accident_renew^2*SUMIFS(AO1237:AO1270,B1237:B1270,B1261-24)+in_accident_renew^3*SUMIFS(AO1237:AO1270,B1237:B1270,B1261-36)+in_accident_renew^4*SUMIFS(AO1237:AO1270,B1237:B1270,B1261-48))</f>
        <v/>
      </c>
      <c r="AQ1261" s="40">
        <f>AQ1260*(1-IF(B1260&gt;=in_marketplace_from,d_hz_two_wheeler*G1260,0))</f>
        <v/>
      </c>
      <c r="AR1261" s="46">
        <f>AQ1261*IF(B1261&gt;=in_marketplace_from,d_hz_two_wheeler*G1261,0)</f>
        <v/>
      </c>
      <c r="AS1261" s="14">
        <f>F1261*AR1261*in_two_wheeler_ticket*in_two_wheeler_comm*in_ins_partner_share+F1261*in_two_wheeler_ticket*in_two_wheeler_comm*in_ins_partner_share*(in_two_wheeler_renew^1*SUMIFS(AR1237:AR1270,B1237:B1270,B1261-12)+in_two_wheeler_renew^2*SUMIFS(AR1237:AR1270,B1237:B1270,B1261-24)+in_two_wheeler_renew^3*SUMIFS(AR1237:AR1270,B1237:B1270,B1261-36)+in_two_wheeler_renew^4*SUMIFS(AR1237:AR1270,B1237:B1270,B1261-48))</f>
        <v/>
      </c>
      <c r="AT1261" s="40">
        <f>AT1260*(1-IF(B1260&gt;=in_marketplace_from,d_hz_device*G1260,0))</f>
        <v/>
      </c>
      <c r="AU1261" s="14">
        <f>F1261*AT1261*IF(B1261&gt;=in_marketplace_from,d_hz_device*G1261,0)*in_device_ticket*in_device_comm*in_ins_partner_share</f>
        <v/>
      </c>
      <c r="AV1261" s="40">
        <f>AV1260*(1-IF(B1260&gt;=in_marketplace_from,d_hz_shop*G1260,0))</f>
        <v/>
      </c>
      <c r="AW1261" s="46">
        <f>AV1261*IF(B1261&gt;=in_marketplace_from,d_hz_shop*G1261,0)</f>
        <v/>
      </c>
      <c r="AX1261" s="14">
        <f>F1261*AW1261*in_shop_ticket*in_shop_comm*in_ins_partner_share+F1261*in_shop_ticket*in_shop_renew_comm*in_ins_partner_share*(in_shop_renew^1*SUMIFS(AW1237:AW1270,B1237:B1270,B1261-12)+in_shop_renew^2*SUMIFS(AW1237:AW1270,B1237:B1270,B1261-24)+in_shop_renew^3*SUMIFS(AW1237:AW1270,B1237:B1270,B1261-36)+in_shop_renew^4*SUMIFS(AW1237:AW1270,B1237:B1270,B1261-48))</f>
        <v/>
      </c>
      <c r="AY1261" s="40">
        <f>AY1260*(1-IF(B1260&gt;=in_marketplace_from,d_hz_sip*G1260,0))</f>
        <v/>
      </c>
      <c r="AZ1261" s="40">
        <f>AZ1260*d_rho_sip+AY1261*IF(B1261&gt;=in_marketplace_from,d_hz_sip*G1261,0)</f>
        <v/>
      </c>
      <c r="BA1261" s="40">
        <f>d_rho_sip*(BA1260+AZ1260)</f>
        <v/>
      </c>
      <c r="BB1261" s="14">
        <f>F1261*in_sip_ticket*(BA1261+0.5*AZ1261)*in_sip_comm/12</f>
        <v/>
      </c>
      <c r="BC1261" s="40">
        <f>BC1260*(1-IF(B1260&gt;=in_marketplace_from,d_hz_choti*G1260,0))</f>
        <v/>
      </c>
      <c r="BD1261" s="46">
        <f>BC1261*IF(B1261&gt;=in_marketplace_from,d_hz_choti*G1261,0)</f>
        <v/>
      </c>
      <c r="BE1261" s="14">
        <f>F1261*SUMIFS(BD1237:BD1270,B1237:B1270,B1261-in_choti_months)*in_choti_renew*in_choti_ticket</f>
        <v/>
      </c>
      <c r="BF1261" s="40">
        <f>BF1260*(1-IF(B1260&gt;=in_marketplace_from,d_hz_nps*G1260,0))</f>
        <v/>
      </c>
      <c r="BG1261" s="14">
        <f>F1261*BF1261*IF(B1261&gt;=in_marketplace_from,d_hz_nps*G1261,0)*in_nps_ticket*in_nps_comm</f>
        <v/>
      </c>
      <c r="BH1261" s="40">
        <f>BH1260*(1-IF(B1260&gt;=in_marketplace_from,d_hz_gold*G1260,0))</f>
        <v/>
      </c>
      <c r="BI1261" s="40">
        <f>BI1260*d_rho_gold+BH1261*IF(B1261&gt;=in_marketplace_from,d_hz_gold*G1261,0)</f>
        <v/>
      </c>
      <c r="BJ1261" s="14">
        <f>F1261*BI1261*in_gold_ticket*in_gold_comm</f>
        <v/>
      </c>
      <c r="BK1261" s="40">
        <f>BK1260*(1-IF(B1260&gt;=in_marketplace_from,d_hz_fd*G1260,0))</f>
        <v/>
      </c>
      <c r="BL1261" s="14">
        <f>F1261*BK1261*IF(B1261&gt;=in_marketplace_from,d_hz_fd*G1261,0)*in_fd_ticket*in_fd_comm</f>
        <v/>
      </c>
      <c r="BM1261" s="40">
        <f>BM1260*(1-IF(B1260&gt;=in_marketplace_from,d_hz_recharge*G1260,0))</f>
        <v/>
      </c>
      <c r="BN1261" s="40">
        <f>BN1260*d_rho_recharge+BM1261*IF(B1261&gt;=in_marketplace_from,d_hz_recharge*G1261,0)</f>
        <v/>
      </c>
      <c r="BO1261" s="14">
        <f>F1261*BN1261*in_recharge_ticket*in_recharge_comm/12</f>
        <v/>
      </c>
      <c r="BP1261" s="40">
        <f>BP1260*(1-IF(B1260&gt;=in_marketplace_from,d_hz_bills*G1260,0))</f>
        <v/>
      </c>
      <c r="BQ1261" s="40">
        <f>BQ1260*d_rho_bills+BP1261*IF(B1261&gt;=in_marketplace_from,d_hz_bills*G1261,0)</f>
        <v/>
      </c>
      <c r="BR1261" s="14">
        <f>F1261*BQ1261*in_bills_ticket*in_bills_comm/12</f>
        <v/>
      </c>
      <c r="BS1261" s="40">
        <f>BS1260*(1-IF(B1260&gt;=in_marketplace_from,d_hz_loan_gold*G1260,0))</f>
        <v/>
      </c>
      <c r="BT1261" s="14">
        <f>F1261*BS1261*IF(B1261&gt;=in_marketplace_from,d_hz_loan_gold*G1261,0)*in_loan_gold_ticket*in_loan_gold_comm</f>
        <v/>
      </c>
      <c r="BU1261" s="40">
        <f>BU1260*(1-IF(B1260&gt;=in_marketplace_from,d_hz_loan_cd*G1260,0))</f>
        <v/>
      </c>
      <c r="BV1261" s="14">
        <f>F1261*BU1261*IF(B1261&gt;=in_marketplace_from,d_hz_loan_cd*G1261,0)*in_loan_cd_ticket*in_loan_cd_comm</f>
        <v/>
      </c>
      <c r="BW1261" s="40">
        <f>BW1260*(1-IF(B1260&gt;=in_marketplace_from,d_hz_loan_vehicle*G1260,0))</f>
        <v/>
      </c>
      <c r="BX1261" s="14">
        <f>F1261*BW1261*IF(B1261&gt;=in_marketplace_from,d_hz_loan_vehicle*G1261,0)*in_loan_vehicle_ticket*in_loan_vehicle_comm</f>
        <v/>
      </c>
      <c r="BY1261" s="40">
        <f>BY1260*(1-IF(B1260&gt;=in_marketplace_from,d_hz_loan_home*G1260,0)*BZ1260)</f>
        <v/>
      </c>
      <c r="BZ1261" s="11">
        <f>MIN(in_approval_cap,in_loan_home_approval*INDEX('Age profile'!$O$2:$O$61,B1261)*(1+in_approval_growth)^(D1261-1))</f>
        <v/>
      </c>
      <c r="CA1261" s="14">
        <f>F1261*BY1261*IF(B1261&gt;=in_marketplace_from,d_hz_loan_home*G1261,0)*BZ1261*in_loan_home_ticket*in_loan_home_comm</f>
        <v/>
      </c>
      <c r="CB1261" s="40">
        <f>CB1260*(1-IF(B1260&gt;=in_marketplace_from,d_hz_loan_lap*G1260,0)*CC1260)</f>
        <v/>
      </c>
      <c r="CC1261" s="11">
        <f>MIN(in_approval_cap,in_loan_lap_approval*INDEX('Age profile'!$O$2:$O$61,B1261)*(1+in_approval_growth)^(D1261-1))</f>
        <v/>
      </c>
      <c r="CD1261" s="14">
        <f>F1261*CB1261*IF(B1261&gt;=in_marketplace_from,d_hz_loan_lap*G1261,0)*CC1261*in_loan_lap_ticket*in_loan_lap_comm</f>
        <v/>
      </c>
      <c r="CE1261" s="14">
        <f>AA1261+AB1261+AC1261+AD1261+AG1261+AJ1261+AM1261+AP1261+AS1261+AU1261+AX1261+BB1261+BE1261+BG1261+BJ1261+BL1261+BO1261+BR1261+BT1261+BV1261+BX1261+CA1261+CD1261</f>
        <v/>
      </c>
    </row>
    <row r="1262">
      <c r="A1262" s="39" t="n">
        <v>27</v>
      </c>
      <c r="B1262" s="39" t="n">
        <v>26</v>
      </c>
      <c r="C1262" s="39">
        <f>A1262+B1262-1</f>
        <v/>
      </c>
      <c r="D1262" s="39">
        <f>INT((C1262-1)/12)+1</f>
        <v/>
      </c>
      <c r="E1262" s="44">
        <f>INDEX(Monthly!$B$2:$B$61,A1262)</f>
        <v/>
      </c>
      <c r="F1262" s="44">
        <f>E1262*INDEX('Age profile'!$B$2:$B$61,B1262)</f>
        <v/>
      </c>
      <c r="G1262" s="45">
        <f>MIN(in_takeup_cap,INDEX('Age profile'!$N$2:$N$61,B1262)*(1+in_takeup_growth)^(D1262-1))</f>
        <v/>
      </c>
      <c r="H1262" s="11">
        <f>MIN(in_approval_cap,in_approved_first*INDEX('Age profile'!$O$2:$O$61,B1262)*(1+in_approval_growth)^(D1262-1))</f>
        <v/>
      </c>
      <c r="I1262" s="45">
        <f>G1262*MIN(in_takeup_cap,INDEX('Age profile'!$O$2:$O$61,B1262)*(1+in_approval_growth)^(D1262-1))</f>
        <v/>
      </c>
      <c r="J1262" s="40">
        <f>(J1261-L1261)*F1262/F1261</f>
        <v/>
      </c>
      <c r="K1262" s="40">
        <f>(K1261-M1261)*F1262/F1261+SUMIFS(O1237:O1261,B1237:B1261,B1262-1-d_T)*F1262</f>
        <v/>
      </c>
      <c r="L1262" s="40">
        <f>IF(B1262&gt;=in_marketplace_from,J1262*d_hz*G1262*in_eligible*H1262,0)</f>
        <v/>
      </c>
      <c r="M1262" s="40">
        <f>IF(B1262&gt;=in_marketplace_from,K1262*d_hz*G1262*in_eligible*in_approved_repeat,0)</f>
        <v/>
      </c>
      <c r="N1262" s="40">
        <f>L1262+M1262</f>
        <v/>
      </c>
      <c r="O1262" s="46">
        <f>N1262/F1262</f>
        <v/>
      </c>
      <c r="P1262" s="40">
        <f>F1262-J1262-K1262</f>
        <v/>
      </c>
      <c r="Q1262" s="40">
        <f>IF(B1262&gt;=in_marketplace_from,(J1262+K1262)*d_hz*G1262,0)</f>
        <v/>
      </c>
      <c r="R1262" s="40">
        <f>SUMIFS(N1237:N1270,B1237:B1270,"&gt;="&amp;(B1262-d_T),B1237:B1270,"&lt;="&amp;(B1262-1))</f>
        <v/>
      </c>
      <c r="S1262" s="46">
        <f>(1-d_u)*S1261+IF(d_T&gt;in_topup_lag,SUMIFS(O1237:O1270,B1237:B1270,B1262-in_topup_lag)-d_udrop*SUMIFS(O1237:O1270,B1237:B1270,B1262-d_T),0)</f>
        <v/>
      </c>
      <c r="T1262" s="40">
        <f>F1262*d_u*S1262</f>
        <v/>
      </c>
      <c r="U1262" s="9">
        <f>L1262*in_ticket+M1262*d_rep_ticket</f>
        <v/>
      </c>
      <c r="V1262" s="9">
        <f>U1262+T1262*d_topup_amt</f>
        <v/>
      </c>
      <c r="W1262" s="40">
        <f>N1262+T1262*d_topup_ratio</f>
        <v/>
      </c>
      <c r="X1262" s="40">
        <f>SUMIFS(W1237:W1270,B1237:B1270,B1262-in_dpd_lag)*d_cured</f>
        <v/>
      </c>
      <c r="Y1262" s="40">
        <f>SUMIFS(W1237:W1270,B1237:B1270,B1262-in_rec_lag)*d_recd</f>
        <v/>
      </c>
      <c r="Z1262" s="40">
        <f>IF(AND(B1262&gt;=in_marketplace_from,B1262&lt;in_marketplace_from+in_card_months),in_card_share/in_card_months*F1262*I1262,IF(AND(B1262&gt;=in_marketplace_from+in_card_months,B1262&lt;in_marketplace_from+2*in_card_months),in_card_share*d_card_rem/in_card_months*F1262*MIN(in_takeup_cap,(1+in_takeup_growth)^(D1262-1))*MIN(in_takeup_cap,(1+in_approval_growth)^(D1262-1)),0))</f>
        <v/>
      </c>
      <c r="AA1262" s="14">
        <f>V1262*in_fee*(1-in_taken_back)</f>
        <v/>
      </c>
      <c r="AB1262" s="14">
        <f>SUMIFS(W1237:W1270,B1237:B1270,B1262-in_dpd_lag)*d_dpd</f>
        <v/>
      </c>
      <c r="AC1262" s="14">
        <f>SUMIFS(W1237:W1270,B1237:B1270,B1262-in_rec_lag)*d_rec</f>
        <v/>
      </c>
      <c r="AD1262" s="14">
        <f>Z1262*in_card_fee</f>
        <v/>
      </c>
      <c r="AE1262" s="40">
        <f>AE1261*(1-IF(B1261&gt;=in_marketplace_from,d_hz_hlth_small*G1261,0))</f>
        <v/>
      </c>
      <c r="AF1262" s="46">
        <f>AE1262*IF(B1262&gt;=in_marketplace_from,d_hz_hlth_small*G1262,0)</f>
        <v/>
      </c>
      <c r="AG1262" s="14">
        <f>F1262*AF1262*in_hlth_small_ticket*in_hlth_small_comm*in_ins_partner_share+F1262*in_hlth_small_ticket*in_hlth_small_renew_comm*in_ins_partner_share*(in_hlth_small_renew^1*SUMIFS(AF1237:AF1270,B1237:B1270,B1262-12)+in_hlth_small_renew^2*SUMIFS(AF1237:AF1270,B1237:B1270,B1262-24)+in_hlth_small_renew^3*SUMIFS(AF1237:AF1270,B1237:B1270,B1262-36)+in_hlth_small_renew^4*SUMIFS(AF1237:AF1270,B1237:B1270,B1262-48))</f>
        <v/>
      </c>
      <c r="AH1262" s="40">
        <f>AH1261*(1-IF(B1261&gt;=in_marketplace_from,d_hz_hlth_family*G1261,0))</f>
        <v/>
      </c>
      <c r="AI1262" s="46">
        <f>AH1262*IF(B1262&gt;=in_marketplace_from,d_hz_hlth_family*G1262,0)</f>
        <v/>
      </c>
      <c r="AJ1262" s="14">
        <f>F1262*AI1262*in_hlth_family_ticket*in_hlth_family_comm*in_ins_partner_share+F1262*in_hlth_family_ticket*in_hlth_family_renew_comm*in_ins_partner_share*(in_hlth_family_renew^1*SUMIFS(AI1237:AI1270,B1237:B1270,B1262-12)+in_hlth_family_renew^2*SUMIFS(AI1237:AI1270,B1237:B1270,B1262-24)+in_hlth_family_renew^3*SUMIFS(AI1237:AI1270,B1237:B1270,B1262-36)+in_hlth_family_renew^4*SUMIFS(AI1237:AI1270,B1237:B1270,B1262-48))</f>
        <v/>
      </c>
      <c r="AK1262" s="40">
        <f>AK1261*(1-IF(B1261&gt;=in_marketplace_from,d_hz_life_term*G1261,0))</f>
        <v/>
      </c>
      <c r="AL1262" s="46">
        <f>AK1262*IF(B1262&gt;=in_marketplace_from,d_hz_life_term*G1262,0)</f>
        <v/>
      </c>
      <c r="AM1262" s="14">
        <f>F1262*AL1262*in_life_term_ticket*in_life_term_comm*in_ins_partner_share+F1262*in_life_term_ticket*in_life_term_renew_comm*in_ins_partner_share*(in_life_term_renew^1*SUMIFS(AL1237:AL1270,B1237:B1270,B1262-12)+in_life_term_renew^2*SUMIFS(AL1237:AL1270,B1237:B1270,B1262-24)+in_life_term_renew^3*SUMIFS(AL1237:AL1270,B1237:B1270,B1262-36)+in_life_term_renew^4*SUMIFS(AL1237:AL1270,B1237:B1270,B1262-48))</f>
        <v/>
      </c>
      <c r="AN1262" s="40">
        <f>AN1261*(1-IF(B1261&gt;=in_marketplace_from,d_hz_accident*G1261,0))</f>
        <v/>
      </c>
      <c r="AO1262" s="46">
        <f>AN1262*IF(B1262&gt;=in_marketplace_from,d_hz_accident*G1262,0)</f>
        <v/>
      </c>
      <c r="AP1262" s="14">
        <f>F1262*AO1262*in_accident_ticket*in_accident_comm*in_ins_partner_share+F1262*in_accident_ticket*in_accident_renew_comm*in_ins_partner_share*(in_accident_renew^1*SUMIFS(AO1237:AO1270,B1237:B1270,B1262-12)+in_accident_renew^2*SUMIFS(AO1237:AO1270,B1237:B1270,B1262-24)+in_accident_renew^3*SUMIFS(AO1237:AO1270,B1237:B1270,B1262-36)+in_accident_renew^4*SUMIFS(AO1237:AO1270,B1237:B1270,B1262-48))</f>
        <v/>
      </c>
      <c r="AQ1262" s="40">
        <f>AQ1261*(1-IF(B1261&gt;=in_marketplace_from,d_hz_two_wheeler*G1261,0))</f>
        <v/>
      </c>
      <c r="AR1262" s="46">
        <f>AQ1262*IF(B1262&gt;=in_marketplace_from,d_hz_two_wheeler*G1262,0)</f>
        <v/>
      </c>
      <c r="AS1262" s="14">
        <f>F1262*AR1262*in_two_wheeler_ticket*in_two_wheeler_comm*in_ins_partner_share+F1262*in_two_wheeler_ticket*in_two_wheeler_comm*in_ins_partner_share*(in_two_wheeler_renew^1*SUMIFS(AR1237:AR1270,B1237:B1270,B1262-12)+in_two_wheeler_renew^2*SUMIFS(AR1237:AR1270,B1237:B1270,B1262-24)+in_two_wheeler_renew^3*SUMIFS(AR1237:AR1270,B1237:B1270,B1262-36)+in_two_wheeler_renew^4*SUMIFS(AR1237:AR1270,B1237:B1270,B1262-48))</f>
        <v/>
      </c>
      <c r="AT1262" s="40">
        <f>AT1261*(1-IF(B1261&gt;=in_marketplace_from,d_hz_device*G1261,0))</f>
        <v/>
      </c>
      <c r="AU1262" s="14">
        <f>F1262*AT1262*IF(B1262&gt;=in_marketplace_from,d_hz_device*G1262,0)*in_device_ticket*in_device_comm*in_ins_partner_share</f>
        <v/>
      </c>
      <c r="AV1262" s="40">
        <f>AV1261*(1-IF(B1261&gt;=in_marketplace_from,d_hz_shop*G1261,0))</f>
        <v/>
      </c>
      <c r="AW1262" s="46">
        <f>AV1262*IF(B1262&gt;=in_marketplace_from,d_hz_shop*G1262,0)</f>
        <v/>
      </c>
      <c r="AX1262" s="14">
        <f>F1262*AW1262*in_shop_ticket*in_shop_comm*in_ins_partner_share+F1262*in_shop_ticket*in_shop_renew_comm*in_ins_partner_share*(in_shop_renew^1*SUMIFS(AW1237:AW1270,B1237:B1270,B1262-12)+in_shop_renew^2*SUMIFS(AW1237:AW1270,B1237:B1270,B1262-24)+in_shop_renew^3*SUMIFS(AW1237:AW1270,B1237:B1270,B1262-36)+in_shop_renew^4*SUMIFS(AW1237:AW1270,B1237:B1270,B1262-48))</f>
        <v/>
      </c>
      <c r="AY1262" s="40">
        <f>AY1261*(1-IF(B1261&gt;=in_marketplace_from,d_hz_sip*G1261,0))</f>
        <v/>
      </c>
      <c r="AZ1262" s="40">
        <f>AZ1261*d_rho_sip+AY1262*IF(B1262&gt;=in_marketplace_from,d_hz_sip*G1262,0)</f>
        <v/>
      </c>
      <c r="BA1262" s="40">
        <f>d_rho_sip*(BA1261+AZ1261)</f>
        <v/>
      </c>
      <c r="BB1262" s="14">
        <f>F1262*in_sip_ticket*(BA1262+0.5*AZ1262)*in_sip_comm/12</f>
        <v/>
      </c>
      <c r="BC1262" s="40">
        <f>BC1261*(1-IF(B1261&gt;=in_marketplace_from,d_hz_choti*G1261,0))</f>
        <v/>
      </c>
      <c r="BD1262" s="46">
        <f>BC1262*IF(B1262&gt;=in_marketplace_from,d_hz_choti*G1262,0)</f>
        <v/>
      </c>
      <c r="BE1262" s="14">
        <f>F1262*SUMIFS(BD1237:BD1270,B1237:B1270,B1262-in_choti_months)*in_choti_renew*in_choti_ticket</f>
        <v/>
      </c>
      <c r="BF1262" s="40">
        <f>BF1261*(1-IF(B1261&gt;=in_marketplace_from,d_hz_nps*G1261,0))</f>
        <v/>
      </c>
      <c r="BG1262" s="14">
        <f>F1262*BF1262*IF(B1262&gt;=in_marketplace_from,d_hz_nps*G1262,0)*in_nps_ticket*in_nps_comm</f>
        <v/>
      </c>
      <c r="BH1262" s="40">
        <f>BH1261*(1-IF(B1261&gt;=in_marketplace_from,d_hz_gold*G1261,0))</f>
        <v/>
      </c>
      <c r="BI1262" s="40">
        <f>BI1261*d_rho_gold+BH1262*IF(B1262&gt;=in_marketplace_from,d_hz_gold*G1262,0)</f>
        <v/>
      </c>
      <c r="BJ1262" s="14">
        <f>F1262*BI1262*in_gold_ticket*in_gold_comm</f>
        <v/>
      </c>
      <c r="BK1262" s="40">
        <f>BK1261*(1-IF(B1261&gt;=in_marketplace_from,d_hz_fd*G1261,0))</f>
        <v/>
      </c>
      <c r="BL1262" s="14">
        <f>F1262*BK1262*IF(B1262&gt;=in_marketplace_from,d_hz_fd*G1262,0)*in_fd_ticket*in_fd_comm</f>
        <v/>
      </c>
      <c r="BM1262" s="40">
        <f>BM1261*(1-IF(B1261&gt;=in_marketplace_from,d_hz_recharge*G1261,0))</f>
        <v/>
      </c>
      <c r="BN1262" s="40">
        <f>BN1261*d_rho_recharge+BM1262*IF(B1262&gt;=in_marketplace_from,d_hz_recharge*G1262,0)</f>
        <v/>
      </c>
      <c r="BO1262" s="14">
        <f>F1262*BN1262*in_recharge_ticket*in_recharge_comm/12</f>
        <v/>
      </c>
      <c r="BP1262" s="40">
        <f>BP1261*(1-IF(B1261&gt;=in_marketplace_from,d_hz_bills*G1261,0))</f>
        <v/>
      </c>
      <c r="BQ1262" s="40">
        <f>BQ1261*d_rho_bills+BP1262*IF(B1262&gt;=in_marketplace_from,d_hz_bills*G1262,0)</f>
        <v/>
      </c>
      <c r="BR1262" s="14">
        <f>F1262*BQ1262*in_bills_ticket*in_bills_comm/12</f>
        <v/>
      </c>
      <c r="BS1262" s="40">
        <f>BS1261*(1-IF(B1261&gt;=in_marketplace_from,d_hz_loan_gold*G1261,0))</f>
        <v/>
      </c>
      <c r="BT1262" s="14">
        <f>F1262*BS1262*IF(B1262&gt;=in_marketplace_from,d_hz_loan_gold*G1262,0)*in_loan_gold_ticket*in_loan_gold_comm</f>
        <v/>
      </c>
      <c r="BU1262" s="40">
        <f>BU1261*(1-IF(B1261&gt;=in_marketplace_from,d_hz_loan_cd*G1261,0))</f>
        <v/>
      </c>
      <c r="BV1262" s="14">
        <f>F1262*BU1262*IF(B1262&gt;=in_marketplace_from,d_hz_loan_cd*G1262,0)*in_loan_cd_ticket*in_loan_cd_comm</f>
        <v/>
      </c>
      <c r="BW1262" s="40">
        <f>BW1261*(1-IF(B1261&gt;=in_marketplace_from,d_hz_loan_vehicle*G1261,0))</f>
        <v/>
      </c>
      <c r="BX1262" s="14">
        <f>F1262*BW1262*IF(B1262&gt;=in_marketplace_from,d_hz_loan_vehicle*G1262,0)*in_loan_vehicle_ticket*in_loan_vehicle_comm</f>
        <v/>
      </c>
      <c r="BY1262" s="40">
        <f>BY1261*(1-IF(B1261&gt;=in_marketplace_from,d_hz_loan_home*G1261,0)*BZ1261)</f>
        <v/>
      </c>
      <c r="BZ1262" s="11">
        <f>MIN(in_approval_cap,in_loan_home_approval*INDEX('Age profile'!$O$2:$O$61,B1262)*(1+in_approval_growth)^(D1262-1))</f>
        <v/>
      </c>
      <c r="CA1262" s="14">
        <f>F1262*BY1262*IF(B1262&gt;=in_marketplace_from,d_hz_loan_home*G1262,0)*BZ1262*in_loan_home_ticket*in_loan_home_comm</f>
        <v/>
      </c>
      <c r="CB1262" s="40">
        <f>CB1261*(1-IF(B1261&gt;=in_marketplace_from,d_hz_loan_lap*G1261,0)*CC1261)</f>
        <v/>
      </c>
      <c r="CC1262" s="11">
        <f>MIN(in_approval_cap,in_loan_lap_approval*INDEX('Age profile'!$O$2:$O$61,B1262)*(1+in_approval_growth)^(D1262-1))</f>
        <v/>
      </c>
      <c r="CD1262" s="14">
        <f>F1262*CB1262*IF(B1262&gt;=in_marketplace_from,d_hz_loan_lap*G1262,0)*CC1262*in_loan_lap_ticket*in_loan_lap_comm</f>
        <v/>
      </c>
      <c r="CE1262" s="14">
        <f>AA1262+AB1262+AC1262+AD1262+AG1262+AJ1262+AM1262+AP1262+AS1262+AU1262+AX1262+BB1262+BE1262+BG1262+BJ1262+BL1262+BO1262+BR1262+BT1262+BV1262+BX1262+CA1262+CD1262</f>
        <v/>
      </c>
    </row>
    <row r="1263">
      <c r="A1263" s="39" t="n">
        <v>27</v>
      </c>
      <c r="B1263" s="39" t="n">
        <v>27</v>
      </c>
      <c r="C1263" s="39">
        <f>A1263+B1263-1</f>
        <v/>
      </c>
      <c r="D1263" s="39">
        <f>INT((C1263-1)/12)+1</f>
        <v/>
      </c>
      <c r="E1263" s="44">
        <f>INDEX(Monthly!$B$2:$B$61,A1263)</f>
        <v/>
      </c>
      <c r="F1263" s="44">
        <f>E1263*INDEX('Age profile'!$B$2:$B$61,B1263)</f>
        <v/>
      </c>
      <c r="G1263" s="45">
        <f>MIN(in_takeup_cap,INDEX('Age profile'!$N$2:$N$61,B1263)*(1+in_takeup_growth)^(D1263-1))</f>
        <v/>
      </c>
      <c r="H1263" s="11">
        <f>MIN(in_approval_cap,in_approved_first*INDEX('Age profile'!$O$2:$O$61,B1263)*(1+in_approval_growth)^(D1263-1))</f>
        <v/>
      </c>
      <c r="I1263" s="45">
        <f>G1263*MIN(in_takeup_cap,INDEX('Age profile'!$O$2:$O$61,B1263)*(1+in_approval_growth)^(D1263-1))</f>
        <v/>
      </c>
      <c r="J1263" s="40">
        <f>(J1262-L1262)*F1263/F1262</f>
        <v/>
      </c>
      <c r="K1263" s="40">
        <f>(K1262-M1262)*F1263/F1262+SUMIFS(O1237:O1262,B1237:B1262,B1263-1-d_T)*F1263</f>
        <v/>
      </c>
      <c r="L1263" s="40">
        <f>IF(B1263&gt;=in_marketplace_from,J1263*d_hz*G1263*in_eligible*H1263,0)</f>
        <v/>
      </c>
      <c r="M1263" s="40">
        <f>IF(B1263&gt;=in_marketplace_from,K1263*d_hz*G1263*in_eligible*in_approved_repeat,0)</f>
        <v/>
      </c>
      <c r="N1263" s="40">
        <f>L1263+M1263</f>
        <v/>
      </c>
      <c r="O1263" s="46">
        <f>N1263/F1263</f>
        <v/>
      </c>
      <c r="P1263" s="40">
        <f>F1263-J1263-K1263</f>
        <v/>
      </c>
      <c r="Q1263" s="40">
        <f>IF(B1263&gt;=in_marketplace_from,(J1263+K1263)*d_hz*G1263,0)</f>
        <v/>
      </c>
      <c r="R1263" s="40">
        <f>SUMIFS(N1237:N1270,B1237:B1270,"&gt;="&amp;(B1263-d_T),B1237:B1270,"&lt;="&amp;(B1263-1))</f>
        <v/>
      </c>
      <c r="S1263" s="46">
        <f>(1-d_u)*S1262+IF(d_T&gt;in_topup_lag,SUMIFS(O1237:O1270,B1237:B1270,B1263-in_topup_lag)-d_udrop*SUMIFS(O1237:O1270,B1237:B1270,B1263-d_T),0)</f>
        <v/>
      </c>
      <c r="T1263" s="40">
        <f>F1263*d_u*S1263</f>
        <v/>
      </c>
      <c r="U1263" s="9">
        <f>L1263*in_ticket+M1263*d_rep_ticket</f>
        <v/>
      </c>
      <c r="V1263" s="9">
        <f>U1263+T1263*d_topup_amt</f>
        <v/>
      </c>
      <c r="W1263" s="40">
        <f>N1263+T1263*d_topup_ratio</f>
        <v/>
      </c>
      <c r="X1263" s="40">
        <f>SUMIFS(W1237:W1270,B1237:B1270,B1263-in_dpd_lag)*d_cured</f>
        <v/>
      </c>
      <c r="Y1263" s="40">
        <f>SUMIFS(W1237:W1270,B1237:B1270,B1263-in_rec_lag)*d_recd</f>
        <v/>
      </c>
      <c r="Z1263" s="40">
        <f>IF(AND(B1263&gt;=in_marketplace_from,B1263&lt;in_marketplace_from+in_card_months),in_card_share/in_card_months*F1263*I1263,IF(AND(B1263&gt;=in_marketplace_from+in_card_months,B1263&lt;in_marketplace_from+2*in_card_months),in_card_share*d_card_rem/in_card_months*F1263*MIN(in_takeup_cap,(1+in_takeup_growth)^(D1263-1))*MIN(in_takeup_cap,(1+in_approval_growth)^(D1263-1)),0))</f>
        <v/>
      </c>
      <c r="AA1263" s="14">
        <f>V1263*in_fee*(1-in_taken_back)</f>
        <v/>
      </c>
      <c r="AB1263" s="14">
        <f>SUMIFS(W1237:W1270,B1237:B1270,B1263-in_dpd_lag)*d_dpd</f>
        <v/>
      </c>
      <c r="AC1263" s="14">
        <f>SUMIFS(W1237:W1270,B1237:B1270,B1263-in_rec_lag)*d_rec</f>
        <v/>
      </c>
      <c r="AD1263" s="14">
        <f>Z1263*in_card_fee</f>
        <v/>
      </c>
      <c r="AE1263" s="40">
        <f>AE1262*(1-IF(B1262&gt;=in_marketplace_from,d_hz_hlth_small*G1262,0))</f>
        <v/>
      </c>
      <c r="AF1263" s="46">
        <f>AE1263*IF(B1263&gt;=in_marketplace_from,d_hz_hlth_small*G1263,0)</f>
        <v/>
      </c>
      <c r="AG1263" s="14">
        <f>F1263*AF1263*in_hlth_small_ticket*in_hlth_small_comm*in_ins_partner_share+F1263*in_hlth_small_ticket*in_hlth_small_renew_comm*in_ins_partner_share*(in_hlth_small_renew^1*SUMIFS(AF1237:AF1270,B1237:B1270,B1263-12)+in_hlth_small_renew^2*SUMIFS(AF1237:AF1270,B1237:B1270,B1263-24)+in_hlth_small_renew^3*SUMIFS(AF1237:AF1270,B1237:B1270,B1263-36)+in_hlth_small_renew^4*SUMIFS(AF1237:AF1270,B1237:B1270,B1263-48))</f>
        <v/>
      </c>
      <c r="AH1263" s="40">
        <f>AH1262*(1-IF(B1262&gt;=in_marketplace_from,d_hz_hlth_family*G1262,0))</f>
        <v/>
      </c>
      <c r="AI1263" s="46">
        <f>AH1263*IF(B1263&gt;=in_marketplace_from,d_hz_hlth_family*G1263,0)</f>
        <v/>
      </c>
      <c r="AJ1263" s="14">
        <f>F1263*AI1263*in_hlth_family_ticket*in_hlth_family_comm*in_ins_partner_share+F1263*in_hlth_family_ticket*in_hlth_family_renew_comm*in_ins_partner_share*(in_hlth_family_renew^1*SUMIFS(AI1237:AI1270,B1237:B1270,B1263-12)+in_hlth_family_renew^2*SUMIFS(AI1237:AI1270,B1237:B1270,B1263-24)+in_hlth_family_renew^3*SUMIFS(AI1237:AI1270,B1237:B1270,B1263-36)+in_hlth_family_renew^4*SUMIFS(AI1237:AI1270,B1237:B1270,B1263-48))</f>
        <v/>
      </c>
      <c r="AK1263" s="40">
        <f>AK1262*(1-IF(B1262&gt;=in_marketplace_from,d_hz_life_term*G1262,0))</f>
        <v/>
      </c>
      <c r="AL1263" s="46">
        <f>AK1263*IF(B1263&gt;=in_marketplace_from,d_hz_life_term*G1263,0)</f>
        <v/>
      </c>
      <c r="AM1263" s="14">
        <f>F1263*AL1263*in_life_term_ticket*in_life_term_comm*in_ins_partner_share+F1263*in_life_term_ticket*in_life_term_renew_comm*in_ins_partner_share*(in_life_term_renew^1*SUMIFS(AL1237:AL1270,B1237:B1270,B1263-12)+in_life_term_renew^2*SUMIFS(AL1237:AL1270,B1237:B1270,B1263-24)+in_life_term_renew^3*SUMIFS(AL1237:AL1270,B1237:B1270,B1263-36)+in_life_term_renew^4*SUMIFS(AL1237:AL1270,B1237:B1270,B1263-48))</f>
        <v/>
      </c>
      <c r="AN1263" s="40">
        <f>AN1262*(1-IF(B1262&gt;=in_marketplace_from,d_hz_accident*G1262,0))</f>
        <v/>
      </c>
      <c r="AO1263" s="46">
        <f>AN1263*IF(B1263&gt;=in_marketplace_from,d_hz_accident*G1263,0)</f>
        <v/>
      </c>
      <c r="AP1263" s="14">
        <f>F1263*AO1263*in_accident_ticket*in_accident_comm*in_ins_partner_share+F1263*in_accident_ticket*in_accident_renew_comm*in_ins_partner_share*(in_accident_renew^1*SUMIFS(AO1237:AO1270,B1237:B1270,B1263-12)+in_accident_renew^2*SUMIFS(AO1237:AO1270,B1237:B1270,B1263-24)+in_accident_renew^3*SUMIFS(AO1237:AO1270,B1237:B1270,B1263-36)+in_accident_renew^4*SUMIFS(AO1237:AO1270,B1237:B1270,B1263-48))</f>
        <v/>
      </c>
      <c r="AQ1263" s="40">
        <f>AQ1262*(1-IF(B1262&gt;=in_marketplace_from,d_hz_two_wheeler*G1262,0))</f>
        <v/>
      </c>
      <c r="AR1263" s="46">
        <f>AQ1263*IF(B1263&gt;=in_marketplace_from,d_hz_two_wheeler*G1263,0)</f>
        <v/>
      </c>
      <c r="AS1263" s="14">
        <f>F1263*AR1263*in_two_wheeler_ticket*in_two_wheeler_comm*in_ins_partner_share+F1263*in_two_wheeler_ticket*in_two_wheeler_comm*in_ins_partner_share*(in_two_wheeler_renew^1*SUMIFS(AR1237:AR1270,B1237:B1270,B1263-12)+in_two_wheeler_renew^2*SUMIFS(AR1237:AR1270,B1237:B1270,B1263-24)+in_two_wheeler_renew^3*SUMIFS(AR1237:AR1270,B1237:B1270,B1263-36)+in_two_wheeler_renew^4*SUMIFS(AR1237:AR1270,B1237:B1270,B1263-48))</f>
        <v/>
      </c>
      <c r="AT1263" s="40">
        <f>AT1262*(1-IF(B1262&gt;=in_marketplace_from,d_hz_device*G1262,0))</f>
        <v/>
      </c>
      <c r="AU1263" s="14">
        <f>F1263*AT1263*IF(B1263&gt;=in_marketplace_from,d_hz_device*G1263,0)*in_device_ticket*in_device_comm*in_ins_partner_share</f>
        <v/>
      </c>
      <c r="AV1263" s="40">
        <f>AV1262*(1-IF(B1262&gt;=in_marketplace_from,d_hz_shop*G1262,0))</f>
        <v/>
      </c>
      <c r="AW1263" s="46">
        <f>AV1263*IF(B1263&gt;=in_marketplace_from,d_hz_shop*G1263,0)</f>
        <v/>
      </c>
      <c r="AX1263" s="14">
        <f>F1263*AW1263*in_shop_ticket*in_shop_comm*in_ins_partner_share+F1263*in_shop_ticket*in_shop_renew_comm*in_ins_partner_share*(in_shop_renew^1*SUMIFS(AW1237:AW1270,B1237:B1270,B1263-12)+in_shop_renew^2*SUMIFS(AW1237:AW1270,B1237:B1270,B1263-24)+in_shop_renew^3*SUMIFS(AW1237:AW1270,B1237:B1270,B1263-36)+in_shop_renew^4*SUMIFS(AW1237:AW1270,B1237:B1270,B1263-48))</f>
        <v/>
      </c>
      <c r="AY1263" s="40">
        <f>AY1262*(1-IF(B1262&gt;=in_marketplace_from,d_hz_sip*G1262,0))</f>
        <v/>
      </c>
      <c r="AZ1263" s="40">
        <f>AZ1262*d_rho_sip+AY1263*IF(B1263&gt;=in_marketplace_from,d_hz_sip*G1263,0)</f>
        <v/>
      </c>
      <c r="BA1263" s="40">
        <f>d_rho_sip*(BA1262+AZ1262)</f>
        <v/>
      </c>
      <c r="BB1263" s="14">
        <f>F1263*in_sip_ticket*(BA1263+0.5*AZ1263)*in_sip_comm/12</f>
        <v/>
      </c>
      <c r="BC1263" s="40">
        <f>BC1262*(1-IF(B1262&gt;=in_marketplace_from,d_hz_choti*G1262,0))</f>
        <v/>
      </c>
      <c r="BD1263" s="46">
        <f>BC1263*IF(B1263&gt;=in_marketplace_from,d_hz_choti*G1263,0)</f>
        <v/>
      </c>
      <c r="BE1263" s="14">
        <f>F1263*SUMIFS(BD1237:BD1270,B1237:B1270,B1263-in_choti_months)*in_choti_renew*in_choti_ticket</f>
        <v/>
      </c>
      <c r="BF1263" s="40">
        <f>BF1262*(1-IF(B1262&gt;=in_marketplace_from,d_hz_nps*G1262,0))</f>
        <v/>
      </c>
      <c r="BG1263" s="14">
        <f>F1263*BF1263*IF(B1263&gt;=in_marketplace_from,d_hz_nps*G1263,0)*in_nps_ticket*in_nps_comm</f>
        <v/>
      </c>
      <c r="BH1263" s="40">
        <f>BH1262*(1-IF(B1262&gt;=in_marketplace_from,d_hz_gold*G1262,0))</f>
        <v/>
      </c>
      <c r="BI1263" s="40">
        <f>BI1262*d_rho_gold+BH1263*IF(B1263&gt;=in_marketplace_from,d_hz_gold*G1263,0)</f>
        <v/>
      </c>
      <c r="BJ1263" s="14">
        <f>F1263*BI1263*in_gold_ticket*in_gold_comm</f>
        <v/>
      </c>
      <c r="BK1263" s="40">
        <f>BK1262*(1-IF(B1262&gt;=in_marketplace_from,d_hz_fd*G1262,0))</f>
        <v/>
      </c>
      <c r="BL1263" s="14">
        <f>F1263*BK1263*IF(B1263&gt;=in_marketplace_from,d_hz_fd*G1263,0)*in_fd_ticket*in_fd_comm</f>
        <v/>
      </c>
      <c r="BM1263" s="40">
        <f>BM1262*(1-IF(B1262&gt;=in_marketplace_from,d_hz_recharge*G1262,0))</f>
        <v/>
      </c>
      <c r="BN1263" s="40">
        <f>BN1262*d_rho_recharge+BM1263*IF(B1263&gt;=in_marketplace_from,d_hz_recharge*G1263,0)</f>
        <v/>
      </c>
      <c r="BO1263" s="14">
        <f>F1263*BN1263*in_recharge_ticket*in_recharge_comm/12</f>
        <v/>
      </c>
      <c r="BP1263" s="40">
        <f>BP1262*(1-IF(B1262&gt;=in_marketplace_from,d_hz_bills*G1262,0))</f>
        <v/>
      </c>
      <c r="BQ1263" s="40">
        <f>BQ1262*d_rho_bills+BP1263*IF(B1263&gt;=in_marketplace_from,d_hz_bills*G1263,0)</f>
        <v/>
      </c>
      <c r="BR1263" s="14">
        <f>F1263*BQ1263*in_bills_ticket*in_bills_comm/12</f>
        <v/>
      </c>
      <c r="BS1263" s="40">
        <f>BS1262*(1-IF(B1262&gt;=in_marketplace_from,d_hz_loan_gold*G1262,0))</f>
        <v/>
      </c>
      <c r="BT1263" s="14">
        <f>F1263*BS1263*IF(B1263&gt;=in_marketplace_from,d_hz_loan_gold*G1263,0)*in_loan_gold_ticket*in_loan_gold_comm</f>
        <v/>
      </c>
      <c r="BU1263" s="40">
        <f>BU1262*(1-IF(B1262&gt;=in_marketplace_from,d_hz_loan_cd*G1262,0))</f>
        <v/>
      </c>
      <c r="BV1263" s="14">
        <f>F1263*BU1263*IF(B1263&gt;=in_marketplace_from,d_hz_loan_cd*G1263,0)*in_loan_cd_ticket*in_loan_cd_comm</f>
        <v/>
      </c>
      <c r="BW1263" s="40">
        <f>BW1262*(1-IF(B1262&gt;=in_marketplace_from,d_hz_loan_vehicle*G1262,0))</f>
        <v/>
      </c>
      <c r="BX1263" s="14">
        <f>F1263*BW1263*IF(B1263&gt;=in_marketplace_from,d_hz_loan_vehicle*G1263,0)*in_loan_vehicle_ticket*in_loan_vehicle_comm</f>
        <v/>
      </c>
      <c r="BY1263" s="40">
        <f>BY1262*(1-IF(B1262&gt;=in_marketplace_from,d_hz_loan_home*G1262,0)*BZ1262)</f>
        <v/>
      </c>
      <c r="BZ1263" s="11">
        <f>MIN(in_approval_cap,in_loan_home_approval*INDEX('Age profile'!$O$2:$O$61,B1263)*(1+in_approval_growth)^(D1263-1))</f>
        <v/>
      </c>
      <c r="CA1263" s="14">
        <f>F1263*BY1263*IF(B1263&gt;=in_marketplace_from,d_hz_loan_home*G1263,0)*BZ1263*in_loan_home_ticket*in_loan_home_comm</f>
        <v/>
      </c>
      <c r="CB1263" s="40">
        <f>CB1262*(1-IF(B1262&gt;=in_marketplace_from,d_hz_loan_lap*G1262,0)*CC1262)</f>
        <v/>
      </c>
      <c r="CC1263" s="11">
        <f>MIN(in_approval_cap,in_loan_lap_approval*INDEX('Age profile'!$O$2:$O$61,B1263)*(1+in_approval_growth)^(D1263-1))</f>
        <v/>
      </c>
      <c r="CD1263" s="14">
        <f>F1263*CB1263*IF(B1263&gt;=in_marketplace_from,d_hz_loan_lap*G1263,0)*CC1263*in_loan_lap_ticket*in_loan_lap_comm</f>
        <v/>
      </c>
      <c r="CE1263" s="14">
        <f>AA1263+AB1263+AC1263+AD1263+AG1263+AJ1263+AM1263+AP1263+AS1263+AU1263+AX1263+BB1263+BE1263+BG1263+BJ1263+BL1263+BO1263+BR1263+BT1263+BV1263+BX1263+CA1263+CD1263</f>
        <v/>
      </c>
    </row>
    <row r="1264">
      <c r="A1264" s="39" t="n">
        <v>27</v>
      </c>
      <c r="B1264" s="39" t="n">
        <v>28</v>
      </c>
      <c r="C1264" s="39">
        <f>A1264+B1264-1</f>
        <v/>
      </c>
      <c r="D1264" s="39">
        <f>INT((C1264-1)/12)+1</f>
        <v/>
      </c>
      <c r="E1264" s="44">
        <f>INDEX(Monthly!$B$2:$B$61,A1264)</f>
        <v/>
      </c>
      <c r="F1264" s="44">
        <f>E1264*INDEX('Age profile'!$B$2:$B$61,B1264)</f>
        <v/>
      </c>
      <c r="G1264" s="45">
        <f>MIN(in_takeup_cap,INDEX('Age profile'!$N$2:$N$61,B1264)*(1+in_takeup_growth)^(D1264-1))</f>
        <v/>
      </c>
      <c r="H1264" s="11">
        <f>MIN(in_approval_cap,in_approved_first*INDEX('Age profile'!$O$2:$O$61,B1264)*(1+in_approval_growth)^(D1264-1))</f>
        <v/>
      </c>
      <c r="I1264" s="45">
        <f>G1264*MIN(in_takeup_cap,INDEX('Age profile'!$O$2:$O$61,B1264)*(1+in_approval_growth)^(D1264-1))</f>
        <v/>
      </c>
      <c r="J1264" s="40">
        <f>(J1263-L1263)*F1264/F1263</f>
        <v/>
      </c>
      <c r="K1264" s="40">
        <f>(K1263-M1263)*F1264/F1263+SUMIFS(O1237:O1263,B1237:B1263,B1264-1-d_T)*F1264</f>
        <v/>
      </c>
      <c r="L1264" s="40">
        <f>IF(B1264&gt;=in_marketplace_from,J1264*d_hz*G1264*in_eligible*H1264,0)</f>
        <v/>
      </c>
      <c r="M1264" s="40">
        <f>IF(B1264&gt;=in_marketplace_from,K1264*d_hz*G1264*in_eligible*in_approved_repeat,0)</f>
        <v/>
      </c>
      <c r="N1264" s="40">
        <f>L1264+M1264</f>
        <v/>
      </c>
      <c r="O1264" s="46">
        <f>N1264/F1264</f>
        <v/>
      </c>
      <c r="P1264" s="40">
        <f>F1264-J1264-K1264</f>
        <v/>
      </c>
      <c r="Q1264" s="40">
        <f>IF(B1264&gt;=in_marketplace_from,(J1264+K1264)*d_hz*G1264,0)</f>
        <v/>
      </c>
      <c r="R1264" s="40">
        <f>SUMIFS(N1237:N1270,B1237:B1270,"&gt;="&amp;(B1264-d_T),B1237:B1270,"&lt;="&amp;(B1264-1))</f>
        <v/>
      </c>
      <c r="S1264" s="46">
        <f>(1-d_u)*S1263+IF(d_T&gt;in_topup_lag,SUMIFS(O1237:O1270,B1237:B1270,B1264-in_topup_lag)-d_udrop*SUMIFS(O1237:O1270,B1237:B1270,B1264-d_T),0)</f>
        <v/>
      </c>
      <c r="T1264" s="40">
        <f>F1264*d_u*S1264</f>
        <v/>
      </c>
      <c r="U1264" s="9">
        <f>L1264*in_ticket+M1264*d_rep_ticket</f>
        <v/>
      </c>
      <c r="V1264" s="9">
        <f>U1264+T1264*d_topup_amt</f>
        <v/>
      </c>
      <c r="W1264" s="40">
        <f>N1264+T1264*d_topup_ratio</f>
        <v/>
      </c>
      <c r="X1264" s="40">
        <f>SUMIFS(W1237:W1270,B1237:B1270,B1264-in_dpd_lag)*d_cured</f>
        <v/>
      </c>
      <c r="Y1264" s="40">
        <f>SUMIFS(W1237:W1270,B1237:B1270,B1264-in_rec_lag)*d_recd</f>
        <v/>
      </c>
      <c r="Z1264" s="40">
        <f>IF(AND(B1264&gt;=in_marketplace_from,B1264&lt;in_marketplace_from+in_card_months),in_card_share/in_card_months*F1264*I1264,IF(AND(B1264&gt;=in_marketplace_from+in_card_months,B1264&lt;in_marketplace_from+2*in_card_months),in_card_share*d_card_rem/in_card_months*F1264*MIN(in_takeup_cap,(1+in_takeup_growth)^(D1264-1))*MIN(in_takeup_cap,(1+in_approval_growth)^(D1264-1)),0))</f>
        <v/>
      </c>
      <c r="AA1264" s="14">
        <f>V1264*in_fee*(1-in_taken_back)</f>
        <v/>
      </c>
      <c r="AB1264" s="14">
        <f>SUMIFS(W1237:W1270,B1237:B1270,B1264-in_dpd_lag)*d_dpd</f>
        <v/>
      </c>
      <c r="AC1264" s="14">
        <f>SUMIFS(W1237:W1270,B1237:B1270,B1264-in_rec_lag)*d_rec</f>
        <v/>
      </c>
      <c r="AD1264" s="14">
        <f>Z1264*in_card_fee</f>
        <v/>
      </c>
      <c r="AE1264" s="40">
        <f>AE1263*(1-IF(B1263&gt;=in_marketplace_from,d_hz_hlth_small*G1263,0))</f>
        <v/>
      </c>
      <c r="AF1264" s="46">
        <f>AE1264*IF(B1264&gt;=in_marketplace_from,d_hz_hlth_small*G1264,0)</f>
        <v/>
      </c>
      <c r="AG1264" s="14">
        <f>F1264*AF1264*in_hlth_small_ticket*in_hlth_small_comm*in_ins_partner_share+F1264*in_hlth_small_ticket*in_hlth_small_renew_comm*in_ins_partner_share*(in_hlth_small_renew^1*SUMIFS(AF1237:AF1270,B1237:B1270,B1264-12)+in_hlth_small_renew^2*SUMIFS(AF1237:AF1270,B1237:B1270,B1264-24)+in_hlth_small_renew^3*SUMIFS(AF1237:AF1270,B1237:B1270,B1264-36)+in_hlth_small_renew^4*SUMIFS(AF1237:AF1270,B1237:B1270,B1264-48))</f>
        <v/>
      </c>
      <c r="AH1264" s="40">
        <f>AH1263*(1-IF(B1263&gt;=in_marketplace_from,d_hz_hlth_family*G1263,0))</f>
        <v/>
      </c>
      <c r="AI1264" s="46">
        <f>AH1264*IF(B1264&gt;=in_marketplace_from,d_hz_hlth_family*G1264,0)</f>
        <v/>
      </c>
      <c r="AJ1264" s="14">
        <f>F1264*AI1264*in_hlth_family_ticket*in_hlth_family_comm*in_ins_partner_share+F1264*in_hlth_family_ticket*in_hlth_family_renew_comm*in_ins_partner_share*(in_hlth_family_renew^1*SUMIFS(AI1237:AI1270,B1237:B1270,B1264-12)+in_hlth_family_renew^2*SUMIFS(AI1237:AI1270,B1237:B1270,B1264-24)+in_hlth_family_renew^3*SUMIFS(AI1237:AI1270,B1237:B1270,B1264-36)+in_hlth_family_renew^4*SUMIFS(AI1237:AI1270,B1237:B1270,B1264-48))</f>
        <v/>
      </c>
      <c r="AK1264" s="40">
        <f>AK1263*(1-IF(B1263&gt;=in_marketplace_from,d_hz_life_term*G1263,0))</f>
        <v/>
      </c>
      <c r="AL1264" s="46">
        <f>AK1264*IF(B1264&gt;=in_marketplace_from,d_hz_life_term*G1264,0)</f>
        <v/>
      </c>
      <c r="AM1264" s="14">
        <f>F1264*AL1264*in_life_term_ticket*in_life_term_comm*in_ins_partner_share+F1264*in_life_term_ticket*in_life_term_renew_comm*in_ins_partner_share*(in_life_term_renew^1*SUMIFS(AL1237:AL1270,B1237:B1270,B1264-12)+in_life_term_renew^2*SUMIFS(AL1237:AL1270,B1237:B1270,B1264-24)+in_life_term_renew^3*SUMIFS(AL1237:AL1270,B1237:B1270,B1264-36)+in_life_term_renew^4*SUMIFS(AL1237:AL1270,B1237:B1270,B1264-48))</f>
        <v/>
      </c>
      <c r="AN1264" s="40">
        <f>AN1263*(1-IF(B1263&gt;=in_marketplace_from,d_hz_accident*G1263,0))</f>
        <v/>
      </c>
      <c r="AO1264" s="46">
        <f>AN1264*IF(B1264&gt;=in_marketplace_from,d_hz_accident*G1264,0)</f>
        <v/>
      </c>
      <c r="AP1264" s="14">
        <f>F1264*AO1264*in_accident_ticket*in_accident_comm*in_ins_partner_share+F1264*in_accident_ticket*in_accident_renew_comm*in_ins_partner_share*(in_accident_renew^1*SUMIFS(AO1237:AO1270,B1237:B1270,B1264-12)+in_accident_renew^2*SUMIFS(AO1237:AO1270,B1237:B1270,B1264-24)+in_accident_renew^3*SUMIFS(AO1237:AO1270,B1237:B1270,B1264-36)+in_accident_renew^4*SUMIFS(AO1237:AO1270,B1237:B1270,B1264-48))</f>
        <v/>
      </c>
      <c r="AQ1264" s="40">
        <f>AQ1263*(1-IF(B1263&gt;=in_marketplace_from,d_hz_two_wheeler*G1263,0))</f>
        <v/>
      </c>
      <c r="AR1264" s="46">
        <f>AQ1264*IF(B1264&gt;=in_marketplace_from,d_hz_two_wheeler*G1264,0)</f>
        <v/>
      </c>
      <c r="AS1264" s="14">
        <f>F1264*AR1264*in_two_wheeler_ticket*in_two_wheeler_comm*in_ins_partner_share+F1264*in_two_wheeler_ticket*in_two_wheeler_comm*in_ins_partner_share*(in_two_wheeler_renew^1*SUMIFS(AR1237:AR1270,B1237:B1270,B1264-12)+in_two_wheeler_renew^2*SUMIFS(AR1237:AR1270,B1237:B1270,B1264-24)+in_two_wheeler_renew^3*SUMIFS(AR1237:AR1270,B1237:B1270,B1264-36)+in_two_wheeler_renew^4*SUMIFS(AR1237:AR1270,B1237:B1270,B1264-48))</f>
        <v/>
      </c>
      <c r="AT1264" s="40">
        <f>AT1263*(1-IF(B1263&gt;=in_marketplace_from,d_hz_device*G1263,0))</f>
        <v/>
      </c>
      <c r="AU1264" s="14">
        <f>F1264*AT1264*IF(B1264&gt;=in_marketplace_from,d_hz_device*G1264,0)*in_device_ticket*in_device_comm*in_ins_partner_share</f>
        <v/>
      </c>
      <c r="AV1264" s="40">
        <f>AV1263*(1-IF(B1263&gt;=in_marketplace_from,d_hz_shop*G1263,0))</f>
        <v/>
      </c>
      <c r="AW1264" s="46">
        <f>AV1264*IF(B1264&gt;=in_marketplace_from,d_hz_shop*G1264,0)</f>
        <v/>
      </c>
      <c r="AX1264" s="14">
        <f>F1264*AW1264*in_shop_ticket*in_shop_comm*in_ins_partner_share+F1264*in_shop_ticket*in_shop_renew_comm*in_ins_partner_share*(in_shop_renew^1*SUMIFS(AW1237:AW1270,B1237:B1270,B1264-12)+in_shop_renew^2*SUMIFS(AW1237:AW1270,B1237:B1270,B1264-24)+in_shop_renew^3*SUMIFS(AW1237:AW1270,B1237:B1270,B1264-36)+in_shop_renew^4*SUMIFS(AW1237:AW1270,B1237:B1270,B1264-48))</f>
        <v/>
      </c>
      <c r="AY1264" s="40">
        <f>AY1263*(1-IF(B1263&gt;=in_marketplace_from,d_hz_sip*G1263,0))</f>
        <v/>
      </c>
      <c r="AZ1264" s="40">
        <f>AZ1263*d_rho_sip+AY1264*IF(B1264&gt;=in_marketplace_from,d_hz_sip*G1264,0)</f>
        <v/>
      </c>
      <c r="BA1264" s="40">
        <f>d_rho_sip*(BA1263+AZ1263)</f>
        <v/>
      </c>
      <c r="BB1264" s="14">
        <f>F1264*in_sip_ticket*(BA1264+0.5*AZ1264)*in_sip_comm/12</f>
        <v/>
      </c>
      <c r="BC1264" s="40">
        <f>BC1263*(1-IF(B1263&gt;=in_marketplace_from,d_hz_choti*G1263,0))</f>
        <v/>
      </c>
      <c r="BD1264" s="46">
        <f>BC1264*IF(B1264&gt;=in_marketplace_from,d_hz_choti*G1264,0)</f>
        <v/>
      </c>
      <c r="BE1264" s="14">
        <f>F1264*SUMIFS(BD1237:BD1270,B1237:B1270,B1264-in_choti_months)*in_choti_renew*in_choti_ticket</f>
        <v/>
      </c>
      <c r="BF1264" s="40">
        <f>BF1263*(1-IF(B1263&gt;=in_marketplace_from,d_hz_nps*G1263,0))</f>
        <v/>
      </c>
      <c r="BG1264" s="14">
        <f>F1264*BF1264*IF(B1264&gt;=in_marketplace_from,d_hz_nps*G1264,0)*in_nps_ticket*in_nps_comm</f>
        <v/>
      </c>
      <c r="BH1264" s="40">
        <f>BH1263*(1-IF(B1263&gt;=in_marketplace_from,d_hz_gold*G1263,0))</f>
        <v/>
      </c>
      <c r="BI1264" s="40">
        <f>BI1263*d_rho_gold+BH1264*IF(B1264&gt;=in_marketplace_from,d_hz_gold*G1264,0)</f>
        <v/>
      </c>
      <c r="BJ1264" s="14">
        <f>F1264*BI1264*in_gold_ticket*in_gold_comm</f>
        <v/>
      </c>
      <c r="BK1264" s="40">
        <f>BK1263*(1-IF(B1263&gt;=in_marketplace_from,d_hz_fd*G1263,0))</f>
        <v/>
      </c>
      <c r="BL1264" s="14">
        <f>F1264*BK1264*IF(B1264&gt;=in_marketplace_from,d_hz_fd*G1264,0)*in_fd_ticket*in_fd_comm</f>
        <v/>
      </c>
      <c r="BM1264" s="40">
        <f>BM1263*(1-IF(B1263&gt;=in_marketplace_from,d_hz_recharge*G1263,0))</f>
        <v/>
      </c>
      <c r="BN1264" s="40">
        <f>BN1263*d_rho_recharge+BM1264*IF(B1264&gt;=in_marketplace_from,d_hz_recharge*G1264,0)</f>
        <v/>
      </c>
      <c r="BO1264" s="14">
        <f>F1264*BN1264*in_recharge_ticket*in_recharge_comm/12</f>
        <v/>
      </c>
      <c r="BP1264" s="40">
        <f>BP1263*(1-IF(B1263&gt;=in_marketplace_from,d_hz_bills*G1263,0))</f>
        <v/>
      </c>
      <c r="BQ1264" s="40">
        <f>BQ1263*d_rho_bills+BP1264*IF(B1264&gt;=in_marketplace_from,d_hz_bills*G1264,0)</f>
        <v/>
      </c>
      <c r="BR1264" s="14">
        <f>F1264*BQ1264*in_bills_ticket*in_bills_comm/12</f>
        <v/>
      </c>
      <c r="BS1264" s="40">
        <f>BS1263*(1-IF(B1263&gt;=in_marketplace_from,d_hz_loan_gold*G1263,0))</f>
        <v/>
      </c>
      <c r="BT1264" s="14">
        <f>F1264*BS1264*IF(B1264&gt;=in_marketplace_from,d_hz_loan_gold*G1264,0)*in_loan_gold_ticket*in_loan_gold_comm</f>
        <v/>
      </c>
      <c r="BU1264" s="40">
        <f>BU1263*(1-IF(B1263&gt;=in_marketplace_from,d_hz_loan_cd*G1263,0))</f>
        <v/>
      </c>
      <c r="BV1264" s="14">
        <f>F1264*BU1264*IF(B1264&gt;=in_marketplace_from,d_hz_loan_cd*G1264,0)*in_loan_cd_ticket*in_loan_cd_comm</f>
        <v/>
      </c>
      <c r="BW1264" s="40">
        <f>BW1263*(1-IF(B1263&gt;=in_marketplace_from,d_hz_loan_vehicle*G1263,0))</f>
        <v/>
      </c>
      <c r="BX1264" s="14">
        <f>F1264*BW1264*IF(B1264&gt;=in_marketplace_from,d_hz_loan_vehicle*G1264,0)*in_loan_vehicle_ticket*in_loan_vehicle_comm</f>
        <v/>
      </c>
      <c r="BY1264" s="40">
        <f>BY1263*(1-IF(B1263&gt;=in_marketplace_from,d_hz_loan_home*G1263,0)*BZ1263)</f>
        <v/>
      </c>
      <c r="BZ1264" s="11">
        <f>MIN(in_approval_cap,in_loan_home_approval*INDEX('Age profile'!$O$2:$O$61,B1264)*(1+in_approval_growth)^(D1264-1))</f>
        <v/>
      </c>
      <c r="CA1264" s="14">
        <f>F1264*BY1264*IF(B1264&gt;=in_marketplace_from,d_hz_loan_home*G1264,0)*BZ1264*in_loan_home_ticket*in_loan_home_comm</f>
        <v/>
      </c>
      <c r="CB1264" s="40">
        <f>CB1263*(1-IF(B1263&gt;=in_marketplace_from,d_hz_loan_lap*G1263,0)*CC1263)</f>
        <v/>
      </c>
      <c r="CC1264" s="11">
        <f>MIN(in_approval_cap,in_loan_lap_approval*INDEX('Age profile'!$O$2:$O$61,B1264)*(1+in_approval_growth)^(D1264-1))</f>
        <v/>
      </c>
      <c r="CD1264" s="14">
        <f>F1264*CB1264*IF(B1264&gt;=in_marketplace_from,d_hz_loan_lap*G1264,0)*CC1264*in_loan_lap_ticket*in_loan_lap_comm</f>
        <v/>
      </c>
      <c r="CE1264" s="14">
        <f>AA1264+AB1264+AC1264+AD1264+AG1264+AJ1264+AM1264+AP1264+AS1264+AU1264+AX1264+BB1264+BE1264+BG1264+BJ1264+BL1264+BO1264+BR1264+BT1264+BV1264+BX1264+CA1264+CD1264</f>
        <v/>
      </c>
    </row>
    <row r="1265">
      <c r="A1265" s="39" t="n">
        <v>27</v>
      </c>
      <c r="B1265" s="39" t="n">
        <v>29</v>
      </c>
      <c r="C1265" s="39">
        <f>A1265+B1265-1</f>
        <v/>
      </c>
      <c r="D1265" s="39">
        <f>INT((C1265-1)/12)+1</f>
        <v/>
      </c>
      <c r="E1265" s="44">
        <f>INDEX(Monthly!$B$2:$B$61,A1265)</f>
        <v/>
      </c>
      <c r="F1265" s="44">
        <f>E1265*INDEX('Age profile'!$B$2:$B$61,B1265)</f>
        <v/>
      </c>
      <c r="G1265" s="45">
        <f>MIN(in_takeup_cap,INDEX('Age profile'!$N$2:$N$61,B1265)*(1+in_takeup_growth)^(D1265-1))</f>
        <v/>
      </c>
      <c r="H1265" s="11">
        <f>MIN(in_approval_cap,in_approved_first*INDEX('Age profile'!$O$2:$O$61,B1265)*(1+in_approval_growth)^(D1265-1))</f>
        <v/>
      </c>
      <c r="I1265" s="45">
        <f>G1265*MIN(in_takeup_cap,INDEX('Age profile'!$O$2:$O$61,B1265)*(1+in_approval_growth)^(D1265-1))</f>
        <v/>
      </c>
      <c r="J1265" s="40">
        <f>(J1264-L1264)*F1265/F1264</f>
        <v/>
      </c>
      <c r="K1265" s="40">
        <f>(K1264-M1264)*F1265/F1264+SUMIFS(O1237:O1264,B1237:B1264,B1265-1-d_T)*F1265</f>
        <v/>
      </c>
      <c r="L1265" s="40">
        <f>IF(B1265&gt;=in_marketplace_from,J1265*d_hz*G1265*in_eligible*H1265,0)</f>
        <v/>
      </c>
      <c r="M1265" s="40">
        <f>IF(B1265&gt;=in_marketplace_from,K1265*d_hz*G1265*in_eligible*in_approved_repeat,0)</f>
        <v/>
      </c>
      <c r="N1265" s="40">
        <f>L1265+M1265</f>
        <v/>
      </c>
      <c r="O1265" s="46">
        <f>N1265/F1265</f>
        <v/>
      </c>
      <c r="P1265" s="40">
        <f>F1265-J1265-K1265</f>
        <v/>
      </c>
      <c r="Q1265" s="40">
        <f>IF(B1265&gt;=in_marketplace_from,(J1265+K1265)*d_hz*G1265,0)</f>
        <v/>
      </c>
      <c r="R1265" s="40">
        <f>SUMIFS(N1237:N1270,B1237:B1270,"&gt;="&amp;(B1265-d_T),B1237:B1270,"&lt;="&amp;(B1265-1))</f>
        <v/>
      </c>
      <c r="S1265" s="46">
        <f>(1-d_u)*S1264+IF(d_T&gt;in_topup_lag,SUMIFS(O1237:O1270,B1237:B1270,B1265-in_topup_lag)-d_udrop*SUMIFS(O1237:O1270,B1237:B1270,B1265-d_T),0)</f>
        <v/>
      </c>
      <c r="T1265" s="40">
        <f>F1265*d_u*S1265</f>
        <v/>
      </c>
      <c r="U1265" s="9">
        <f>L1265*in_ticket+M1265*d_rep_ticket</f>
        <v/>
      </c>
      <c r="V1265" s="9">
        <f>U1265+T1265*d_topup_amt</f>
        <v/>
      </c>
      <c r="W1265" s="40">
        <f>N1265+T1265*d_topup_ratio</f>
        <v/>
      </c>
      <c r="X1265" s="40">
        <f>SUMIFS(W1237:W1270,B1237:B1270,B1265-in_dpd_lag)*d_cured</f>
        <v/>
      </c>
      <c r="Y1265" s="40">
        <f>SUMIFS(W1237:W1270,B1237:B1270,B1265-in_rec_lag)*d_recd</f>
        <v/>
      </c>
      <c r="Z1265" s="40">
        <f>IF(AND(B1265&gt;=in_marketplace_from,B1265&lt;in_marketplace_from+in_card_months),in_card_share/in_card_months*F1265*I1265,IF(AND(B1265&gt;=in_marketplace_from+in_card_months,B1265&lt;in_marketplace_from+2*in_card_months),in_card_share*d_card_rem/in_card_months*F1265*MIN(in_takeup_cap,(1+in_takeup_growth)^(D1265-1))*MIN(in_takeup_cap,(1+in_approval_growth)^(D1265-1)),0))</f>
        <v/>
      </c>
      <c r="AA1265" s="14">
        <f>V1265*in_fee*(1-in_taken_back)</f>
        <v/>
      </c>
      <c r="AB1265" s="14">
        <f>SUMIFS(W1237:W1270,B1237:B1270,B1265-in_dpd_lag)*d_dpd</f>
        <v/>
      </c>
      <c r="AC1265" s="14">
        <f>SUMIFS(W1237:W1270,B1237:B1270,B1265-in_rec_lag)*d_rec</f>
        <v/>
      </c>
      <c r="AD1265" s="14">
        <f>Z1265*in_card_fee</f>
        <v/>
      </c>
      <c r="AE1265" s="40">
        <f>AE1264*(1-IF(B1264&gt;=in_marketplace_from,d_hz_hlth_small*G1264,0))</f>
        <v/>
      </c>
      <c r="AF1265" s="46">
        <f>AE1265*IF(B1265&gt;=in_marketplace_from,d_hz_hlth_small*G1265,0)</f>
        <v/>
      </c>
      <c r="AG1265" s="14">
        <f>F1265*AF1265*in_hlth_small_ticket*in_hlth_small_comm*in_ins_partner_share+F1265*in_hlth_small_ticket*in_hlth_small_renew_comm*in_ins_partner_share*(in_hlth_small_renew^1*SUMIFS(AF1237:AF1270,B1237:B1270,B1265-12)+in_hlth_small_renew^2*SUMIFS(AF1237:AF1270,B1237:B1270,B1265-24)+in_hlth_small_renew^3*SUMIFS(AF1237:AF1270,B1237:B1270,B1265-36)+in_hlth_small_renew^4*SUMIFS(AF1237:AF1270,B1237:B1270,B1265-48))</f>
        <v/>
      </c>
      <c r="AH1265" s="40">
        <f>AH1264*(1-IF(B1264&gt;=in_marketplace_from,d_hz_hlth_family*G1264,0))</f>
        <v/>
      </c>
      <c r="AI1265" s="46">
        <f>AH1265*IF(B1265&gt;=in_marketplace_from,d_hz_hlth_family*G1265,0)</f>
        <v/>
      </c>
      <c r="AJ1265" s="14">
        <f>F1265*AI1265*in_hlth_family_ticket*in_hlth_family_comm*in_ins_partner_share+F1265*in_hlth_family_ticket*in_hlth_family_renew_comm*in_ins_partner_share*(in_hlth_family_renew^1*SUMIFS(AI1237:AI1270,B1237:B1270,B1265-12)+in_hlth_family_renew^2*SUMIFS(AI1237:AI1270,B1237:B1270,B1265-24)+in_hlth_family_renew^3*SUMIFS(AI1237:AI1270,B1237:B1270,B1265-36)+in_hlth_family_renew^4*SUMIFS(AI1237:AI1270,B1237:B1270,B1265-48))</f>
        <v/>
      </c>
      <c r="AK1265" s="40">
        <f>AK1264*(1-IF(B1264&gt;=in_marketplace_from,d_hz_life_term*G1264,0))</f>
        <v/>
      </c>
      <c r="AL1265" s="46">
        <f>AK1265*IF(B1265&gt;=in_marketplace_from,d_hz_life_term*G1265,0)</f>
        <v/>
      </c>
      <c r="AM1265" s="14">
        <f>F1265*AL1265*in_life_term_ticket*in_life_term_comm*in_ins_partner_share+F1265*in_life_term_ticket*in_life_term_renew_comm*in_ins_partner_share*(in_life_term_renew^1*SUMIFS(AL1237:AL1270,B1237:B1270,B1265-12)+in_life_term_renew^2*SUMIFS(AL1237:AL1270,B1237:B1270,B1265-24)+in_life_term_renew^3*SUMIFS(AL1237:AL1270,B1237:B1270,B1265-36)+in_life_term_renew^4*SUMIFS(AL1237:AL1270,B1237:B1270,B1265-48))</f>
        <v/>
      </c>
      <c r="AN1265" s="40">
        <f>AN1264*(1-IF(B1264&gt;=in_marketplace_from,d_hz_accident*G1264,0))</f>
        <v/>
      </c>
      <c r="AO1265" s="46">
        <f>AN1265*IF(B1265&gt;=in_marketplace_from,d_hz_accident*G1265,0)</f>
        <v/>
      </c>
      <c r="AP1265" s="14">
        <f>F1265*AO1265*in_accident_ticket*in_accident_comm*in_ins_partner_share+F1265*in_accident_ticket*in_accident_renew_comm*in_ins_partner_share*(in_accident_renew^1*SUMIFS(AO1237:AO1270,B1237:B1270,B1265-12)+in_accident_renew^2*SUMIFS(AO1237:AO1270,B1237:B1270,B1265-24)+in_accident_renew^3*SUMIFS(AO1237:AO1270,B1237:B1270,B1265-36)+in_accident_renew^4*SUMIFS(AO1237:AO1270,B1237:B1270,B1265-48))</f>
        <v/>
      </c>
      <c r="AQ1265" s="40">
        <f>AQ1264*(1-IF(B1264&gt;=in_marketplace_from,d_hz_two_wheeler*G1264,0))</f>
        <v/>
      </c>
      <c r="AR1265" s="46">
        <f>AQ1265*IF(B1265&gt;=in_marketplace_from,d_hz_two_wheeler*G1265,0)</f>
        <v/>
      </c>
      <c r="AS1265" s="14">
        <f>F1265*AR1265*in_two_wheeler_ticket*in_two_wheeler_comm*in_ins_partner_share+F1265*in_two_wheeler_ticket*in_two_wheeler_comm*in_ins_partner_share*(in_two_wheeler_renew^1*SUMIFS(AR1237:AR1270,B1237:B1270,B1265-12)+in_two_wheeler_renew^2*SUMIFS(AR1237:AR1270,B1237:B1270,B1265-24)+in_two_wheeler_renew^3*SUMIFS(AR1237:AR1270,B1237:B1270,B1265-36)+in_two_wheeler_renew^4*SUMIFS(AR1237:AR1270,B1237:B1270,B1265-48))</f>
        <v/>
      </c>
      <c r="AT1265" s="40">
        <f>AT1264*(1-IF(B1264&gt;=in_marketplace_from,d_hz_device*G1264,0))</f>
        <v/>
      </c>
      <c r="AU1265" s="14">
        <f>F1265*AT1265*IF(B1265&gt;=in_marketplace_from,d_hz_device*G1265,0)*in_device_ticket*in_device_comm*in_ins_partner_share</f>
        <v/>
      </c>
      <c r="AV1265" s="40">
        <f>AV1264*(1-IF(B1264&gt;=in_marketplace_from,d_hz_shop*G1264,0))</f>
        <v/>
      </c>
      <c r="AW1265" s="46">
        <f>AV1265*IF(B1265&gt;=in_marketplace_from,d_hz_shop*G1265,0)</f>
        <v/>
      </c>
      <c r="AX1265" s="14">
        <f>F1265*AW1265*in_shop_ticket*in_shop_comm*in_ins_partner_share+F1265*in_shop_ticket*in_shop_renew_comm*in_ins_partner_share*(in_shop_renew^1*SUMIFS(AW1237:AW1270,B1237:B1270,B1265-12)+in_shop_renew^2*SUMIFS(AW1237:AW1270,B1237:B1270,B1265-24)+in_shop_renew^3*SUMIFS(AW1237:AW1270,B1237:B1270,B1265-36)+in_shop_renew^4*SUMIFS(AW1237:AW1270,B1237:B1270,B1265-48))</f>
        <v/>
      </c>
      <c r="AY1265" s="40">
        <f>AY1264*(1-IF(B1264&gt;=in_marketplace_from,d_hz_sip*G1264,0))</f>
        <v/>
      </c>
      <c r="AZ1265" s="40">
        <f>AZ1264*d_rho_sip+AY1265*IF(B1265&gt;=in_marketplace_from,d_hz_sip*G1265,0)</f>
        <v/>
      </c>
      <c r="BA1265" s="40">
        <f>d_rho_sip*(BA1264+AZ1264)</f>
        <v/>
      </c>
      <c r="BB1265" s="14">
        <f>F1265*in_sip_ticket*(BA1265+0.5*AZ1265)*in_sip_comm/12</f>
        <v/>
      </c>
      <c r="BC1265" s="40">
        <f>BC1264*(1-IF(B1264&gt;=in_marketplace_from,d_hz_choti*G1264,0))</f>
        <v/>
      </c>
      <c r="BD1265" s="46">
        <f>BC1265*IF(B1265&gt;=in_marketplace_from,d_hz_choti*G1265,0)</f>
        <v/>
      </c>
      <c r="BE1265" s="14">
        <f>F1265*SUMIFS(BD1237:BD1270,B1237:B1270,B1265-in_choti_months)*in_choti_renew*in_choti_ticket</f>
        <v/>
      </c>
      <c r="BF1265" s="40">
        <f>BF1264*(1-IF(B1264&gt;=in_marketplace_from,d_hz_nps*G1264,0))</f>
        <v/>
      </c>
      <c r="BG1265" s="14">
        <f>F1265*BF1265*IF(B1265&gt;=in_marketplace_from,d_hz_nps*G1265,0)*in_nps_ticket*in_nps_comm</f>
        <v/>
      </c>
      <c r="BH1265" s="40">
        <f>BH1264*(1-IF(B1264&gt;=in_marketplace_from,d_hz_gold*G1264,0))</f>
        <v/>
      </c>
      <c r="BI1265" s="40">
        <f>BI1264*d_rho_gold+BH1265*IF(B1265&gt;=in_marketplace_from,d_hz_gold*G1265,0)</f>
        <v/>
      </c>
      <c r="BJ1265" s="14">
        <f>F1265*BI1265*in_gold_ticket*in_gold_comm</f>
        <v/>
      </c>
      <c r="BK1265" s="40">
        <f>BK1264*(1-IF(B1264&gt;=in_marketplace_from,d_hz_fd*G1264,0))</f>
        <v/>
      </c>
      <c r="BL1265" s="14">
        <f>F1265*BK1265*IF(B1265&gt;=in_marketplace_from,d_hz_fd*G1265,0)*in_fd_ticket*in_fd_comm</f>
        <v/>
      </c>
      <c r="BM1265" s="40">
        <f>BM1264*(1-IF(B1264&gt;=in_marketplace_from,d_hz_recharge*G1264,0))</f>
        <v/>
      </c>
      <c r="BN1265" s="40">
        <f>BN1264*d_rho_recharge+BM1265*IF(B1265&gt;=in_marketplace_from,d_hz_recharge*G1265,0)</f>
        <v/>
      </c>
      <c r="BO1265" s="14">
        <f>F1265*BN1265*in_recharge_ticket*in_recharge_comm/12</f>
        <v/>
      </c>
      <c r="BP1265" s="40">
        <f>BP1264*(1-IF(B1264&gt;=in_marketplace_from,d_hz_bills*G1264,0))</f>
        <v/>
      </c>
      <c r="BQ1265" s="40">
        <f>BQ1264*d_rho_bills+BP1265*IF(B1265&gt;=in_marketplace_from,d_hz_bills*G1265,0)</f>
        <v/>
      </c>
      <c r="BR1265" s="14">
        <f>F1265*BQ1265*in_bills_ticket*in_bills_comm/12</f>
        <v/>
      </c>
      <c r="BS1265" s="40">
        <f>BS1264*(1-IF(B1264&gt;=in_marketplace_from,d_hz_loan_gold*G1264,0))</f>
        <v/>
      </c>
      <c r="BT1265" s="14">
        <f>F1265*BS1265*IF(B1265&gt;=in_marketplace_from,d_hz_loan_gold*G1265,0)*in_loan_gold_ticket*in_loan_gold_comm</f>
        <v/>
      </c>
      <c r="BU1265" s="40">
        <f>BU1264*(1-IF(B1264&gt;=in_marketplace_from,d_hz_loan_cd*G1264,0))</f>
        <v/>
      </c>
      <c r="BV1265" s="14">
        <f>F1265*BU1265*IF(B1265&gt;=in_marketplace_from,d_hz_loan_cd*G1265,0)*in_loan_cd_ticket*in_loan_cd_comm</f>
        <v/>
      </c>
      <c r="BW1265" s="40">
        <f>BW1264*(1-IF(B1264&gt;=in_marketplace_from,d_hz_loan_vehicle*G1264,0))</f>
        <v/>
      </c>
      <c r="BX1265" s="14">
        <f>F1265*BW1265*IF(B1265&gt;=in_marketplace_from,d_hz_loan_vehicle*G1265,0)*in_loan_vehicle_ticket*in_loan_vehicle_comm</f>
        <v/>
      </c>
      <c r="BY1265" s="40">
        <f>BY1264*(1-IF(B1264&gt;=in_marketplace_from,d_hz_loan_home*G1264,0)*BZ1264)</f>
        <v/>
      </c>
      <c r="BZ1265" s="11">
        <f>MIN(in_approval_cap,in_loan_home_approval*INDEX('Age profile'!$O$2:$O$61,B1265)*(1+in_approval_growth)^(D1265-1))</f>
        <v/>
      </c>
      <c r="CA1265" s="14">
        <f>F1265*BY1265*IF(B1265&gt;=in_marketplace_from,d_hz_loan_home*G1265,0)*BZ1265*in_loan_home_ticket*in_loan_home_comm</f>
        <v/>
      </c>
      <c r="CB1265" s="40">
        <f>CB1264*(1-IF(B1264&gt;=in_marketplace_from,d_hz_loan_lap*G1264,0)*CC1264)</f>
        <v/>
      </c>
      <c r="CC1265" s="11">
        <f>MIN(in_approval_cap,in_loan_lap_approval*INDEX('Age profile'!$O$2:$O$61,B1265)*(1+in_approval_growth)^(D1265-1))</f>
        <v/>
      </c>
      <c r="CD1265" s="14">
        <f>F1265*CB1265*IF(B1265&gt;=in_marketplace_from,d_hz_loan_lap*G1265,0)*CC1265*in_loan_lap_ticket*in_loan_lap_comm</f>
        <v/>
      </c>
      <c r="CE1265" s="14">
        <f>AA1265+AB1265+AC1265+AD1265+AG1265+AJ1265+AM1265+AP1265+AS1265+AU1265+AX1265+BB1265+BE1265+BG1265+BJ1265+BL1265+BO1265+BR1265+BT1265+BV1265+BX1265+CA1265+CD1265</f>
        <v/>
      </c>
    </row>
    <row r="1266">
      <c r="A1266" s="39" t="n">
        <v>27</v>
      </c>
      <c r="B1266" s="39" t="n">
        <v>30</v>
      </c>
      <c r="C1266" s="39">
        <f>A1266+B1266-1</f>
        <v/>
      </c>
      <c r="D1266" s="39">
        <f>INT((C1266-1)/12)+1</f>
        <v/>
      </c>
      <c r="E1266" s="44">
        <f>INDEX(Monthly!$B$2:$B$61,A1266)</f>
        <v/>
      </c>
      <c r="F1266" s="44">
        <f>E1266*INDEX('Age profile'!$B$2:$B$61,B1266)</f>
        <v/>
      </c>
      <c r="G1266" s="45">
        <f>MIN(in_takeup_cap,INDEX('Age profile'!$N$2:$N$61,B1266)*(1+in_takeup_growth)^(D1266-1))</f>
        <v/>
      </c>
      <c r="H1266" s="11">
        <f>MIN(in_approval_cap,in_approved_first*INDEX('Age profile'!$O$2:$O$61,B1266)*(1+in_approval_growth)^(D1266-1))</f>
        <v/>
      </c>
      <c r="I1266" s="45">
        <f>G1266*MIN(in_takeup_cap,INDEX('Age profile'!$O$2:$O$61,B1266)*(1+in_approval_growth)^(D1266-1))</f>
        <v/>
      </c>
      <c r="J1266" s="40">
        <f>(J1265-L1265)*F1266/F1265</f>
        <v/>
      </c>
      <c r="K1266" s="40">
        <f>(K1265-M1265)*F1266/F1265+SUMIFS(O1237:O1265,B1237:B1265,B1266-1-d_T)*F1266</f>
        <v/>
      </c>
      <c r="L1266" s="40">
        <f>IF(B1266&gt;=in_marketplace_from,J1266*d_hz*G1266*in_eligible*H1266,0)</f>
        <v/>
      </c>
      <c r="M1266" s="40">
        <f>IF(B1266&gt;=in_marketplace_from,K1266*d_hz*G1266*in_eligible*in_approved_repeat,0)</f>
        <v/>
      </c>
      <c r="N1266" s="40">
        <f>L1266+M1266</f>
        <v/>
      </c>
      <c r="O1266" s="46">
        <f>N1266/F1266</f>
        <v/>
      </c>
      <c r="P1266" s="40">
        <f>F1266-J1266-K1266</f>
        <v/>
      </c>
      <c r="Q1266" s="40">
        <f>IF(B1266&gt;=in_marketplace_from,(J1266+K1266)*d_hz*G1266,0)</f>
        <v/>
      </c>
      <c r="R1266" s="40">
        <f>SUMIFS(N1237:N1270,B1237:B1270,"&gt;="&amp;(B1266-d_T),B1237:B1270,"&lt;="&amp;(B1266-1))</f>
        <v/>
      </c>
      <c r="S1266" s="46">
        <f>(1-d_u)*S1265+IF(d_T&gt;in_topup_lag,SUMIFS(O1237:O1270,B1237:B1270,B1266-in_topup_lag)-d_udrop*SUMIFS(O1237:O1270,B1237:B1270,B1266-d_T),0)</f>
        <v/>
      </c>
      <c r="T1266" s="40">
        <f>F1266*d_u*S1266</f>
        <v/>
      </c>
      <c r="U1266" s="9">
        <f>L1266*in_ticket+M1266*d_rep_ticket</f>
        <v/>
      </c>
      <c r="V1266" s="9">
        <f>U1266+T1266*d_topup_amt</f>
        <v/>
      </c>
      <c r="W1266" s="40">
        <f>N1266+T1266*d_topup_ratio</f>
        <v/>
      </c>
      <c r="X1266" s="40">
        <f>SUMIFS(W1237:W1270,B1237:B1270,B1266-in_dpd_lag)*d_cured</f>
        <v/>
      </c>
      <c r="Y1266" s="40">
        <f>SUMIFS(W1237:W1270,B1237:B1270,B1266-in_rec_lag)*d_recd</f>
        <v/>
      </c>
      <c r="Z1266" s="40">
        <f>IF(AND(B1266&gt;=in_marketplace_from,B1266&lt;in_marketplace_from+in_card_months),in_card_share/in_card_months*F1266*I1266,IF(AND(B1266&gt;=in_marketplace_from+in_card_months,B1266&lt;in_marketplace_from+2*in_card_months),in_card_share*d_card_rem/in_card_months*F1266*MIN(in_takeup_cap,(1+in_takeup_growth)^(D1266-1))*MIN(in_takeup_cap,(1+in_approval_growth)^(D1266-1)),0))</f>
        <v/>
      </c>
      <c r="AA1266" s="14">
        <f>V1266*in_fee*(1-in_taken_back)</f>
        <v/>
      </c>
      <c r="AB1266" s="14">
        <f>SUMIFS(W1237:W1270,B1237:B1270,B1266-in_dpd_lag)*d_dpd</f>
        <v/>
      </c>
      <c r="AC1266" s="14">
        <f>SUMIFS(W1237:W1270,B1237:B1270,B1266-in_rec_lag)*d_rec</f>
        <v/>
      </c>
      <c r="AD1266" s="14">
        <f>Z1266*in_card_fee</f>
        <v/>
      </c>
      <c r="AE1266" s="40">
        <f>AE1265*(1-IF(B1265&gt;=in_marketplace_from,d_hz_hlth_small*G1265,0))</f>
        <v/>
      </c>
      <c r="AF1266" s="46">
        <f>AE1266*IF(B1266&gt;=in_marketplace_from,d_hz_hlth_small*G1266,0)</f>
        <v/>
      </c>
      <c r="AG1266" s="14">
        <f>F1266*AF1266*in_hlth_small_ticket*in_hlth_small_comm*in_ins_partner_share+F1266*in_hlth_small_ticket*in_hlth_small_renew_comm*in_ins_partner_share*(in_hlth_small_renew^1*SUMIFS(AF1237:AF1270,B1237:B1270,B1266-12)+in_hlth_small_renew^2*SUMIFS(AF1237:AF1270,B1237:B1270,B1266-24)+in_hlth_small_renew^3*SUMIFS(AF1237:AF1270,B1237:B1270,B1266-36)+in_hlth_small_renew^4*SUMIFS(AF1237:AF1270,B1237:B1270,B1266-48))</f>
        <v/>
      </c>
      <c r="AH1266" s="40">
        <f>AH1265*(1-IF(B1265&gt;=in_marketplace_from,d_hz_hlth_family*G1265,0))</f>
        <v/>
      </c>
      <c r="AI1266" s="46">
        <f>AH1266*IF(B1266&gt;=in_marketplace_from,d_hz_hlth_family*G1266,0)</f>
        <v/>
      </c>
      <c r="AJ1266" s="14">
        <f>F1266*AI1266*in_hlth_family_ticket*in_hlth_family_comm*in_ins_partner_share+F1266*in_hlth_family_ticket*in_hlth_family_renew_comm*in_ins_partner_share*(in_hlth_family_renew^1*SUMIFS(AI1237:AI1270,B1237:B1270,B1266-12)+in_hlth_family_renew^2*SUMIFS(AI1237:AI1270,B1237:B1270,B1266-24)+in_hlth_family_renew^3*SUMIFS(AI1237:AI1270,B1237:B1270,B1266-36)+in_hlth_family_renew^4*SUMIFS(AI1237:AI1270,B1237:B1270,B1266-48))</f>
        <v/>
      </c>
      <c r="AK1266" s="40">
        <f>AK1265*(1-IF(B1265&gt;=in_marketplace_from,d_hz_life_term*G1265,0))</f>
        <v/>
      </c>
      <c r="AL1266" s="46">
        <f>AK1266*IF(B1266&gt;=in_marketplace_from,d_hz_life_term*G1266,0)</f>
        <v/>
      </c>
      <c r="AM1266" s="14">
        <f>F1266*AL1266*in_life_term_ticket*in_life_term_comm*in_ins_partner_share+F1266*in_life_term_ticket*in_life_term_renew_comm*in_ins_partner_share*(in_life_term_renew^1*SUMIFS(AL1237:AL1270,B1237:B1270,B1266-12)+in_life_term_renew^2*SUMIFS(AL1237:AL1270,B1237:B1270,B1266-24)+in_life_term_renew^3*SUMIFS(AL1237:AL1270,B1237:B1270,B1266-36)+in_life_term_renew^4*SUMIFS(AL1237:AL1270,B1237:B1270,B1266-48))</f>
        <v/>
      </c>
      <c r="AN1266" s="40">
        <f>AN1265*(1-IF(B1265&gt;=in_marketplace_from,d_hz_accident*G1265,0))</f>
        <v/>
      </c>
      <c r="AO1266" s="46">
        <f>AN1266*IF(B1266&gt;=in_marketplace_from,d_hz_accident*G1266,0)</f>
        <v/>
      </c>
      <c r="AP1266" s="14">
        <f>F1266*AO1266*in_accident_ticket*in_accident_comm*in_ins_partner_share+F1266*in_accident_ticket*in_accident_renew_comm*in_ins_partner_share*(in_accident_renew^1*SUMIFS(AO1237:AO1270,B1237:B1270,B1266-12)+in_accident_renew^2*SUMIFS(AO1237:AO1270,B1237:B1270,B1266-24)+in_accident_renew^3*SUMIFS(AO1237:AO1270,B1237:B1270,B1266-36)+in_accident_renew^4*SUMIFS(AO1237:AO1270,B1237:B1270,B1266-48))</f>
        <v/>
      </c>
      <c r="AQ1266" s="40">
        <f>AQ1265*(1-IF(B1265&gt;=in_marketplace_from,d_hz_two_wheeler*G1265,0))</f>
        <v/>
      </c>
      <c r="AR1266" s="46">
        <f>AQ1266*IF(B1266&gt;=in_marketplace_from,d_hz_two_wheeler*G1266,0)</f>
        <v/>
      </c>
      <c r="AS1266" s="14">
        <f>F1266*AR1266*in_two_wheeler_ticket*in_two_wheeler_comm*in_ins_partner_share+F1266*in_two_wheeler_ticket*in_two_wheeler_comm*in_ins_partner_share*(in_two_wheeler_renew^1*SUMIFS(AR1237:AR1270,B1237:B1270,B1266-12)+in_two_wheeler_renew^2*SUMIFS(AR1237:AR1270,B1237:B1270,B1266-24)+in_two_wheeler_renew^3*SUMIFS(AR1237:AR1270,B1237:B1270,B1266-36)+in_two_wheeler_renew^4*SUMIFS(AR1237:AR1270,B1237:B1270,B1266-48))</f>
        <v/>
      </c>
      <c r="AT1266" s="40">
        <f>AT1265*(1-IF(B1265&gt;=in_marketplace_from,d_hz_device*G1265,0))</f>
        <v/>
      </c>
      <c r="AU1266" s="14">
        <f>F1266*AT1266*IF(B1266&gt;=in_marketplace_from,d_hz_device*G1266,0)*in_device_ticket*in_device_comm*in_ins_partner_share</f>
        <v/>
      </c>
      <c r="AV1266" s="40">
        <f>AV1265*(1-IF(B1265&gt;=in_marketplace_from,d_hz_shop*G1265,0))</f>
        <v/>
      </c>
      <c r="AW1266" s="46">
        <f>AV1266*IF(B1266&gt;=in_marketplace_from,d_hz_shop*G1266,0)</f>
        <v/>
      </c>
      <c r="AX1266" s="14">
        <f>F1266*AW1266*in_shop_ticket*in_shop_comm*in_ins_partner_share+F1266*in_shop_ticket*in_shop_renew_comm*in_ins_partner_share*(in_shop_renew^1*SUMIFS(AW1237:AW1270,B1237:B1270,B1266-12)+in_shop_renew^2*SUMIFS(AW1237:AW1270,B1237:B1270,B1266-24)+in_shop_renew^3*SUMIFS(AW1237:AW1270,B1237:B1270,B1266-36)+in_shop_renew^4*SUMIFS(AW1237:AW1270,B1237:B1270,B1266-48))</f>
        <v/>
      </c>
      <c r="AY1266" s="40">
        <f>AY1265*(1-IF(B1265&gt;=in_marketplace_from,d_hz_sip*G1265,0))</f>
        <v/>
      </c>
      <c r="AZ1266" s="40">
        <f>AZ1265*d_rho_sip+AY1266*IF(B1266&gt;=in_marketplace_from,d_hz_sip*G1266,0)</f>
        <v/>
      </c>
      <c r="BA1266" s="40">
        <f>d_rho_sip*(BA1265+AZ1265)</f>
        <v/>
      </c>
      <c r="BB1266" s="14">
        <f>F1266*in_sip_ticket*(BA1266+0.5*AZ1266)*in_sip_comm/12</f>
        <v/>
      </c>
      <c r="BC1266" s="40">
        <f>BC1265*(1-IF(B1265&gt;=in_marketplace_from,d_hz_choti*G1265,0))</f>
        <v/>
      </c>
      <c r="BD1266" s="46">
        <f>BC1266*IF(B1266&gt;=in_marketplace_from,d_hz_choti*G1266,0)</f>
        <v/>
      </c>
      <c r="BE1266" s="14">
        <f>F1266*SUMIFS(BD1237:BD1270,B1237:B1270,B1266-in_choti_months)*in_choti_renew*in_choti_ticket</f>
        <v/>
      </c>
      <c r="BF1266" s="40">
        <f>BF1265*(1-IF(B1265&gt;=in_marketplace_from,d_hz_nps*G1265,0))</f>
        <v/>
      </c>
      <c r="BG1266" s="14">
        <f>F1266*BF1266*IF(B1266&gt;=in_marketplace_from,d_hz_nps*G1266,0)*in_nps_ticket*in_nps_comm</f>
        <v/>
      </c>
      <c r="BH1266" s="40">
        <f>BH1265*(1-IF(B1265&gt;=in_marketplace_from,d_hz_gold*G1265,0))</f>
        <v/>
      </c>
      <c r="BI1266" s="40">
        <f>BI1265*d_rho_gold+BH1266*IF(B1266&gt;=in_marketplace_from,d_hz_gold*G1266,0)</f>
        <v/>
      </c>
      <c r="BJ1266" s="14">
        <f>F1266*BI1266*in_gold_ticket*in_gold_comm</f>
        <v/>
      </c>
      <c r="BK1266" s="40">
        <f>BK1265*(1-IF(B1265&gt;=in_marketplace_from,d_hz_fd*G1265,0))</f>
        <v/>
      </c>
      <c r="BL1266" s="14">
        <f>F1266*BK1266*IF(B1266&gt;=in_marketplace_from,d_hz_fd*G1266,0)*in_fd_ticket*in_fd_comm</f>
        <v/>
      </c>
      <c r="BM1266" s="40">
        <f>BM1265*(1-IF(B1265&gt;=in_marketplace_from,d_hz_recharge*G1265,0))</f>
        <v/>
      </c>
      <c r="BN1266" s="40">
        <f>BN1265*d_rho_recharge+BM1266*IF(B1266&gt;=in_marketplace_from,d_hz_recharge*G1266,0)</f>
        <v/>
      </c>
      <c r="BO1266" s="14">
        <f>F1266*BN1266*in_recharge_ticket*in_recharge_comm/12</f>
        <v/>
      </c>
      <c r="BP1266" s="40">
        <f>BP1265*(1-IF(B1265&gt;=in_marketplace_from,d_hz_bills*G1265,0))</f>
        <v/>
      </c>
      <c r="BQ1266" s="40">
        <f>BQ1265*d_rho_bills+BP1266*IF(B1266&gt;=in_marketplace_from,d_hz_bills*G1266,0)</f>
        <v/>
      </c>
      <c r="BR1266" s="14">
        <f>F1266*BQ1266*in_bills_ticket*in_bills_comm/12</f>
        <v/>
      </c>
      <c r="BS1266" s="40">
        <f>BS1265*(1-IF(B1265&gt;=in_marketplace_from,d_hz_loan_gold*G1265,0))</f>
        <v/>
      </c>
      <c r="BT1266" s="14">
        <f>F1266*BS1266*IF(B1266&gt;=in_marketplace_from,d_hz_loan_gold*G1266,0)*in_loan_gold_ticket*in_loan_gold_comm</f>
        <v/>
      </c>
      <c r="BU1266" s="40">
        <f>BU1265*(1-IF(B1265&gt;=in_marketplace_from,d_hz_loan_cd*G1265,0))</f>
        <v/>
      </c>
      <c r="BV1266" s="14">
        <f>F1266*BU1266*IF(B1266&gt;=in_marketplace_from,d_hz_loan_cd*G1266,0)*in_loan_cd_ticket*in_loan_cd_comm</f>
        <v/>
      </c>
      <c r="BW1266" s="40">
        <f>BW1265*(1-IF(B1265&gt;=in_marketplace_from,d_hz_loan_vehicle*G1265,0))</f>
        <v/>
      </c>
      <c r="BX1266" s="14">
        <f>F1266*BW1266*IF(B1266&gt;=in_marketplace_from,d_hz_loan_vehicle*G1266,0)*in_loan_vehicle_ticket*in_loan_vehicle_comm</f>
        <v/>
      </c>
      <c r="BY1266" s="40">
        <f>BY1265*(1-IF(B1265&gt;=in_marketplace_from,d_hz_loan_home*G1265,0)*BZ1265)</f>
        <v/>
      </c>
      <c r="BZ1266" s="11">
        <f>MIN(in_approval_cap,in_loan_home_approval*INDEX('Age profile'!$O$2:$O$61,B1266)*(1+in_approval_growth)^(D1266-1))</f>
        <v/>
      </c>
      <c r="CA1266" s="14">
        <f>F1266*BY1266*IF(B1266&gt;=in_marketplace_from,d_hz_loan_home*G1266,0)*BZ1266*in_loan_home_ticket*in_loan_home_comm</f>
        <v/>
      </c>
      <c r="CB1266" s="40">
        <f>CB1265*(1-IF(B1265&gt;=in_marketplace_from,d_hz_loan_lap*G1265,0)*CC1265)</f>
        <v/>
      </c>
      <c r="CC1266" s="11">
        <f>MIN(in_approval_cap,in_loan_lap_approval*INDEX('Age profile'!$O$2:$O$61,B1266)*(1+in_approval_growth)^(D1266-1))</f>
        <v/>
      </c>
      <c r="CD1266" s="14">
        <f>F1266*CB1266*IF(B1266&gt;=in_marketplace_from,d_hz_loan_lap*G1266,0)*CC1266*in_loan_lap_ticket*in_loan_lap_comm</f>
        <v/>
      </c>
      <c r="CE1266" s="14">
        <f>AA1266+AB1266+AC1266+AD1266+AG1266+AJ1266+AM1266+AP1266+AS1266+AU1266+AX1266+BB1266+BE1266+BG1266+BJ1266+BL1266+BO1266+BR1266+BT1266+BV1266+BX1266+CA1266+CD1266</f>
        <v/>
      </c>
    </row>
    <row r="1267">
      <c r="A1267" s="39" t="n">
        <v>27</v>
      </c>
      <c r="B1267" s="39" t="n">
        <v>31</v>
      </c>
      <c r="C1267" s="39">
        <f>A1267+B1267-1</f>
        <v/>
      </c>
      <c r="D1267" s="39">
        <f>INT((C1267-1)/12)+1</f>
        <v/>
      </c>
      <c r="E1267" s="44">
        <f>INDEX(Monthly!$B$2:$B$61,A1267)</f>
        <v/>
      </c>
      <c r="F1267" s="44">
        <f>E1267*INDEX('Age profile'!$B$2:$B$61,B1267)</f>
        <v/>
      </c>
      <c r="G1267" s="45">
        <f>MIN(in_takeup_cap,INDEX('Age profile'!$N$2:$N$61,B1267)*(1+in_takeup_growth)^(D1267-1))</f>
        <v/>
      </c>
      <c r="H1267" s="11">
        <f>MIN(in_approval_cap,in_approved_first*INDEX('Age profile'!$O$2:$O$61,B1267)*(1+in_approval_growth)^(D1267-1))</f>
        <v/>
      </c>
      <c r="I1267" s="45">
        <f>G1267*MIN(in_takeup_cap,INDEX('Age profile'!$O$2:$O$61,B1267)*(1+in_approval_growth)^(D1267-1))</f>
        <v/>
      </c>
      <c r="J1267" s="40">
        <f>(J1266-L1266)*F1267/F1266</f>
        <v/>
      </c>
      <c r="K1267" s="40">
        <f>(K1266-M1266)*F1267/F1266+SUMIFS(O1237:O1266,B1237:B1266,B1267-1-d_T)*F1267</f>
        <v/>
      </c>
      <c r="L1267" s="40">
        <f>IF(B1267&gt;=in_marketplace_from,J1267*d_hz*G1267*in_eligible*H1267,0)</f>
        <v/>
      </c>
      <c r="M1267" s="40">
        <f>IF(B1267&gt;=in_marketplace_from,K1267*d_hz*G1267*in_eligible*in_approved_repeat,0)</f>
        <v/>
      </c>
      <c r="N1267" s="40">
        <f>L1267+M1267</f>
        <v/>
      </c>
      <c r="O1267" s="46">
        <f>N1267/F1267</f>
        <v/>
      </c>
      <c r="P1267" s="40">
        <f>F1267-J1267-K1267</f>
        <v/>
      </c>
      <c r="Q1267" s="40">
        <f>IF(B1267&gt;=in_marketplace_from,(J1267+K1267)*d_hz*G1267,0)</f>
        <v/>
      </c>
      <c r="R1267" s="40">
        <f>SUMIFS(N1237:N1270,B1237:B1270,"&gt;="&amp;(B1267-d_T),B1237:B1270,"&lt;="&amp;(B1267-1))</f>
        <v/>
      </c>
      <c r="S1267" s="46">
        <f>(1-d_u)*S1266+IF(d_T&gt;in_topup_lag,SUMIFS(O1237:O1270,B1237:B1270,B1267-in_topup_lag)-d_udrop*SUMIFS(O1237:O1270,B1237:B1270,B1267-d_T),0)</f>
        <v/>
      </c>
      <c r="T1267" s="40">
        <f>F1267*d_u*S1267</f>
        <v/>
      </c>
      <c r="U1267" s="9">
        <f>L1267*in_ticket+M1267*d_rep_ticket</f>
        <v/>
      </c>
      <c r="V1267" s="9">
        <f>U1267+T1267*d_topup_amt</f>
        <v/>
      </c>
      <c r="W1267" s="40">
        <f>N1267+T1267*d_topup_ratio</f>
        <v/>
      </c>
      <c r="X1267" s="40">
        <f>SUMIFS(W1237:W1270,B1237:B1270,B1267-in_dpd_lag)*d_cured</f>
        <v/>
      </c>
      <c r="Y1267" s="40">
        <f>SUMIFS(W1237:W1270,B1237:B1270,B1267-in_rec_lag)*d_recd</f>
        <v/>
      </c>
      <c r="Z1267" s="40">
        <f>IF(AND(B1267&gt;=in_marketplace_from,B1267&lt;in_marketplace_from+in_card_months),in_card_share/in_card_months*F1267*I1267,IF(AND(B1267&gt;=in_marketplace_from+in_card_months,B1267&lt;in_marketplace_from+2*in_card_months),in_card_share*d_card_rem/in_card_months*F1267*MIN(in_takeup_cap,(1+in_takeup_growth)^(D1267-1))*MIN(in_takeup_cap,(1+in_approval_growth)^(D1267-1)),0))</f>
        <v/>
      </c>
      <c r="AA1267" s="14">
        <f>V1267*in_fee*(1-in_taken_back)</f>
        <v/>
      </c>
      <c r="AB1267" s="14">
        <f>SUMIFS(W1237:W1270,B1237:B1270,B1267-in_dpd_lag)*d_dpd</f>
        <v/>
      </c>
      <c r="AC1267" s="14">
        <f>SUMIFS(W1237:W1270,B1237:B1270,B1267-in_rec_lag)*d_rec</f>
        <v/>
      </c>
      <c r="AD1267" s="14">
        <f>Z1267*in_card_fee</f>
        <v/>
      </c>
      <c r="AE1267" s="40">
        <f>AE1266*(1-IF(B1266&gt;=in_marketplace_from,d_hz_hlth_small*G1266,0))</f>
        <v/>
      </c>
      <c r="AF1267" s="46">
        <f>AE1267*IF(B1267&gt;=in_marketplace_from,d_hz_hlth_small*G1267,0)</f>
        <v/>
      </c>
      <c r="AG1267" s="14">
        <f>F1267*AF1267*in_hlth_small_ticket*in_hlth_small_comm*in_ins_partner_share+F1267*in_hlth_small_ticket*in_hlth_small_renew_comm*in_ins_partner_share*(in_hlth_small_renew^1*SUMIFS(AF1237:AF1270,B1237:B1270,B1267-12)+in_hlth_small_renew^2*SUMIFS(AF1237:AF1270,B1237:B1270,B1267-24)+in_hlth_small_renew^3*SUMIFS(AF1237:AF1270,B1237:B1270,B1267-36)+in_hlth_small_renew^4*SUMIFS(AF1237:AF1270,B1237:B1270,B1267-48))</f>
        <v/>
      </c>
      <c r="AH1267" s="40">
        <f>AH1266*(1-IF(B1266&gt;=in_marketplace_from,d_hz_hlth_family*G1266,0))</f>
        <v/>
      </c>
      <c r="AI1267" s="46">
        <f>AH1267*IF(B1267&gt;=in_marketplace_from,d_hz_hlth_family*G1267,0)</f>
        <v/>
      </c>
      <c r="AJ1267" s="14">
        <f>F1267*AI1267*in_hlth_family_ticket*in_hlth_family_comm*in_ins_partner_share+F1267*in_hlth_family_ticket*in_hlth_family_renew_comm*in_ins_partner_share*(in_hlth_family_renew^1*SUMIFS(AI1237:AI1270,B1237:B1270,B1267-12)+in_hlth_family_renew^2*SUMIFS(AI1237:AI1270,B1237:B1270,B1267-24)+in_hlth_family_renew^3*SUMIFS(AI1237:AI1270,B1237:B1270,B1267-36)+in_hlth_family_renew^4*SUMIFS(AI1237:AI1270,B1237:B1270,B1267-48))</f>
        <v/>
      </c>
      <c r="AK1267" s="40">
        <f>AK1266*(1-IF(B1266&gt;=in_marketplace_from,d_hz_life_term*G1266,0))</f>
        <v/>
      </c>
      <c r="AL1267" s="46">
        <f>AK1267*IF(B1267&gt;=in_marketplace_from,d_hz_life_term*G1267,0)</f>
        <v/>
      </c>
      <c r="AM1267" s="14">
        <f>F1267*AL1267*in_life_term_ticket*in_life_term_comm*in_ins_partner_share+F1267*in_life_term_ticket*in_life_term_renew_comm*in_ins_partner_share*(in_life_term_renew^1*SUMIFS(AL1237:AL1270,B1237:B1270,B1267-12)+in_life_term_renew^2*SUMIFS(AL1237:AL1270,B1237:B1270,B1267-24)+in_life_term_renew^3*SUMIFS(AL1237:AL1270,B1237:B1270,B1267-36)+in_life_term_renew^4*SUMIFS(AL1237:AL1270,B1237:B1270,B1267-48))</f>
        <v/>
      </c>
      <c r="AN1267" s="40">
        <f>AN1266*(1-IF(B1266&gt;=in_marketplace_from,d_hz_accident*G1266,0))</f>
        <v/>
      </c>
      <c r="AO1267" s="46">
        <f>AN1267*IF(B1267&gt;=in_marketplace_from,d_hz_accident*G1267,0)</f>
        <v/>
      </c>
      <c r="AP1267" s="14">
        <f>F1267*AO1267*in_accident_ticket*in_accident_comm*in_ins_partner_share+F1267*in_accident_ticket*in_accident_renew_comm*in_ins_partner_share*(in_accident_renew^1*SUMIFS(AO1237:AO1270,B1237:B1270,B1267-12)+in_accident_renew^2*SUMIFS(AO1237:AO1270,B1237:B1270,B1267-24)+in_accident_renew^3*SUMIFS(AO1237:AO1270,B1237:B1270,B1267-36)+in_accident_renew^4*SUMIFS(AO1237:AO1270,B1237:B1270,B1267-48))</f>
        <v/>
      </c>
      <c r="AQ1267" s="40">
        <f>AQ1266*(1-IF(B1266&gt;=in_marketplace_from,d_hz_two_wheeler*G1266,0))</f>
        <v/>
      </c>
      <c r="AR1267" s="46">
        <f>AQ1267*IF(B1267&gt;=in_marketplace_from,d_hz_two_wheeler*G1267,0)</f>
        <v/>
      </c>
      <c r="AS1267" s="14">
        <f>F1267*AR1267*in_two_wheeler_ticket*in_two_wheeler_comm*in_ins_partner_share+F1267*in_two_wheeler_ticket*in_two_wheeler_comm*in_ins_partner_share*(in_two_wheeler_renew^1*SUMIFS(AR1237:AR1270,B1237:B1270,B1267-12)+in_two_wheeler_renew^2*SUMIFS(AR1237:AR1270,B1237:B1270,B1267-24)+in_two_wheeler_renew^3*SUMIFS(AR1237:AR1270,B1237:B1270,B1267-36)+in_two_wheeler_renew^4*SUMIFS(AR1237:AR1270,B1237:B1270,B1267-48))</f>
        <v/>
      </c>
      <c r="AT1267" s="40">
        <f>AT1266*(1-IF(B1266&gt;=in_marketplace_from,d_hz_device*G1266,0))</f>
        <v/>
      </c>
      <c r="AU1267" s="14">
        <f>F1267*AT1267*IF(B1267&gt;=in_marketplace_from,d_hz_device*G1267,0)*in_device_ticket*in_device_comm*in_ins_partner_share</f>
        <v/>
      </c>
      <c r="AV1267" s="40">
        <f>AV1266*(1-IF(B1266&gt;=in_marketplace_from,d_hz_shop*G1266,0))</f>
        <v/>
      </c>
      <c r="AW1267" s="46">
        <f>AV1267*IF(B1267&gt;=in_marketplace_from,d_hz_shop*G1267,0)</f>
        <v/>
      </c>
      <c r="AX1267" s="14">
        <f>F1267*AW1267*in_shop_ticket*in_shop_comm*in_ins_partner_share+F1267*in_shop_ticket*in_shop_renew_comm*in_ins_partner_share*(in_shop_renew^1*SUMIFS(AW1237:AW1270,B1237:B1270,B1267-12)+in_shop_renew^2*SUMIFS(AW1237:AW1270,B1237:B1270,B1267-24)+in_shop_renew^3*SUMIFS(AW1237:AW1270,B1237:B1270,B1267-36)+in_shop_renew^4*SUMIFS(AW1237:AW1270,B1237:B1270,B1267-48))</f>
        <v/>
      </c>
      <c r="AY1267" s="40">
        <f>AY1266*(1-IF(B1266&gt;=in_marketplace_from,d_hz_sip*G1266,0))</f>
        <v/>
      </c>
      <c r="AZ1267" s="40">
        <f>AZ1266*d_rho_sip+AY1267*IF(B1267&gt;=in_marketplace_from,d_hz_sip*G1267,0)</f>
        <v/>
      </c>
      <c r="BA1267" s="40">
        <f>d_rho_sip*(BA1266+AZ1266)</f>
        <v/>
      </c>
      <c r="BB1267" s="14">
        <f>F1267*in_sip_ticket*(BA1267+0.5*AZ1267)*in_sip_comm/12</f>
        <v/>
      </c>
      <c r="BC1267" s="40">
        <f>BC1266*(1-IF(B1266&gt;=in_marketplace_from,d_hz_choti*G1266,0))</f>
        <v/>
      </c>
      <c r="BD1267" s="46">
        <f>BC1267*IF(B1267&gt;=in_marketplace_from,d_hz_choti*G1267,0)</f>
        <v/>
      </c>
      <c r="BE1267" s="14">
        <f>F1267*SUMIFS(BD1237:BD1270,B1237:B1270,B1267-in_choti_months)*in_choti_renew*in_choti_ticket</f>
        <v/>
      </c>
      <c r="BF1267" s="40">
        <f>BF1266*(1-IF(B1266&gt;=in_marketplace_from,d_hz_nps*G1266,0))</f>
        <v/>
      </c>
      <c r="BG1267" s="14">
        <f>F1267*BF1267*IF(B1267&gt;=in_marketplace_from,d_hz_nps*G1267,0)*in_nps_ticket*in_nps_comm</f>
        <v/>
      </c>
      <c r="BH1267" s="40">
        <f>BH1266*(1-IF(B1266&gt;=in_marketplace_from,d_hz_gold*G1266,0))</f>
        <v/>
      </c>
      <c r="BI1267" s="40">
        <f>BI1266*d_rho_gold+BH1267*IF(B1267&gt;=in_marketplace_from,d_hz_gold*G1267,0)</f>
        <v/>
      </c>
      <c r="BJ1267" s="14">
        <f>F1267*BI1267*in_gold_ticket*in_gold_comm</f>
        <v/>
      </c>
      <c r="BK1267" s="40">
        <f>BK1266*(1-IF(B1266&gt;=in_marketplace_from,d_hz_fd*G1266,0))</f>
        <v/>
      </c>
      <c r="BL1267" s="14">
        <f>F1267*BK1267*IF(B1267&gt;=in_marketplace_from,d_hz_fd*G1267,0)*in_fd_ticket*in_fd_comm</f>
        <v/>
      </c>
      <c r="BM1267" s="40">
        <f>BM1266*(1-IF(B1266&gt;=in_marketplace_from,d_hz_recharge*G1266,0))</f>
        <v/>
      </c>
      <c r="BN1267" s="40">
        <f>BN1266*d_rho_recharge+BM1267*IF(B1267&gt;=in_marketplace_from,d_hz_recharge*G1267,0)</f>
        <v/>
      </c>
      <c r="BO1267" s="14">
        <f>F1267*BN1267*in_recharge_ticket*in_recharge_comm/12</f>
        <v/>
      </c>
      <c r="BP1267" s="40">
        <f>BP1266*(1-IF(B1266&gt;=in_marketplace_from,d_hz_bills*G1266,0))</f>
        <v/>
      </c>
      <c r="BQ1267" s="40">
        <f>BQ1266*d_rho_bills+BP1267*IF(B1267&gt;=in_marketplace_from,d_hz_bills*G1267,0)</f>
        <v/>
      </c>
      <c r="BR1267" s="14">
        <f>F1267*BQ1267*in_bills_ticket*in_bills_comm/12</f>
        <v/>
      </c>
      <c r="BS1267" s="40">
        <f>BS1266*(1-IF(B1266&gt;=in_marketplace_from,d_hz_loan_gold*G1266,0))</f>
        <v/>
      </c>
      <c r="BT1267" s="14">
        <f>F1267*BS1267*IF(B1267&gt;=in_marketplace_from,d_hz_loan_gold*G1267,0)*in_loan_gold_ticket*in_loan_gold_comm</f>
        <v/>
      </c>
      <c r="BU1267" s="40">
        <f>BU1266*(1-IF(B1266&gt;=in_marketplace_from,d_hz_loan_cd*G1266,0))</f>
        <v/>
      </c>
      <c r="BV1267" s="14">
        <f>F1267*BU1267*IF(B1267&gt;=in_marketplace_from,d_hz_loan_cd*G1267,0)*in_loan_cd_ticket*in_loan_cd_comm</f>
        <v/>
      </c>
      <c r="BW1267" s="40">
        <f>BW1266*(1-IF(B1266&gt;=in_marketplace_from,d_hz_loan_vehicle*G1266,0))</f>
        <v/>
      </c>
      <c r="BX1267" s="14">
        <f>F1267*BW1267*IF(B1267&gt;=in_marketplace_from,d_hz_loan_vehicle*G1267,0)*in_loan_vehicle_ticket*in_loan_vehicle_comm</f>
        <v/>
      </c>
      <c r="BY1267" s="40">
        <f>BY1266*(1-IF(B1266&gt;=in_marketplace_from,d_hz_loan_home*G1266,0)*BZ1266)</f>
        <v/>
      </c>
      <c r="BZ1267" s="11">
        <f>MIN(in_approval_cap,in_loan_home_approval*INDEX('Age profile'!$O$2:$O$61,B1267)*(1+in_approval_growth)^(D1267-1))</f>
        <v/>
      </c>
      <c r="CA1267" s="14">
        <f>F1267*BY1267*IF(B1267&gt;=in_marketplace_from,d_hz_loan_home*G1267,0)*BZ1267*in_loan_home_ticket*in_loan_home_comm</f>
        <v/>
      </c>
      <c r="CB1267" s="40">
        <f>CB1266*(1-IF(B1266&gt;=in_marketplace_from,d_hz_loan_lap*G1266,0)*CC1266)</f>
        <v/>
      </c>
      <c r="CC1267" s="11">
        <f>MIN(in_approval_cap,in_loan_lap_approval*INDEX('Age profile'!$O$2:$O$61,B1267)*(1+in_approval_growth)^(D1267-1))</f>
        <v/>
      </c>
      <c r="CD1267" s="14">
        <f>F1267*CB1267*IF(B1267&gt;=in_marketplace_from,d_hz_loan_lap*G1267,0)*CC1267*in_loan_lap_ticket*in_loan_lap_comm</f>
        <v/>
      </c>
      <c r="CE1267" s="14">
        <f>AA1267+AB1267+AC1267+AD1267+AG1267+AJ1267+AM1267+AP1267+AS1267+AU1267+AX1267+BB1267+BE1267+BG1267+BJ1267+BL1267+BO1267+BR1267+BT1267+BV1267+BX1267+CA1267+CD1267</f>
        <v/>
      </c>
    </row>
    <row r="1268">
      <c r="A1268" s="39" t="n">
        <v>27</v>
      </c>
      <c r="B1268" s="39" t="n">
        <v>32</v>
      </c>
      <c r="C1268" s="39">
        <f>A1268+B1268-1</f>
        <v/>
      </c>
      <c r="D1268" s="39">
        <f>INT((C1268-1)/12)+1</f>
        <v/>
      </c>
      <c r="E1268" s="44">
        <f>INDEX(Monthly!$B$2:$B$61,A1268)</f>
        <v/>
      </c>
      <c r="F1268" s="44">
        <f>E1268*INDEX('Age profile'!$B$2:$B$61,B1268)</f>
        <v/>
      </c>
      <c r="G1268" s="45">
        <f>MIN(in_takeup_cap,INDEX('Age profile'!$N$2:$N$61,B1268)*(1+in_takeup_growth)^(D1268-1))</f>
        <v/>
      </c>
      <c r="H1268" s="11">
        <f>MIN(in_approval_cap,in_approved_first*INDEX('Age profile'!$O$2:$O$61,B1268)*(1+in_approval_growth)^(D1268-1))</f>
        <v/>
      </c>
      <c r="I1268" s="45">
        <f>G1268*MIN(in_takeup_cap,INDEX('Age profile'!$O$2:$O$61,B1268)*(1+in_approval_growth)^(D1268-1))</f>
        <v/>
      </c>
      <c r="J1268" s="40">
        <f>(J1267-L1267)*F1268/F1267</f>
        <v/>
      </c>
      <c r="K1268" s="40">
        <f>(K1267-M1267)*F1268/F1267+SUMIFS(O1237:O1267,B1237:B1267,B1268-1-d_T)*F1268</f>
        <v/>
      </c>
      <c r="L1268" s="40">
        <f>IF(B1268&gt;=in_marketplace_from,J1268*d_hz*G1268*in_eligible*H1268,0)</f>
        <v/>
      </c>
      <c r="M1268" s="40">
        <f>IF(B1268&gt;=in_marketplace_from,K1268*d_hz*G1268*in_eligible*in_approved_repeat,0)</f>
        <v/>
      </c>
      <c r="N1268" s="40">
        <f>L1268+M1268</f>
        <v/>
      </c>
      <c r="O1268" s="46">
        <f>N1268/F1268</f>
        <v/>
      </c>
      <c r="P1268" s="40">
        <f>F1268-J1268-K1268</f>
        <v/>
      </c>
      <c r="Q1268" s="40">
        <f>IF(B1268&gt;=in_marketplace_from,(J1268+K1268)*d_hz*G1268,0)</f>
        <v/>
      </c>
      <c r="R1268" s="40">
        <f>SUMIFS(N1237:N1270,B1237:B1270,"&gt;="&amp;(B1268-d_T),B1237:B1270,"&lt;="&amp;(B1268-1))</f>
        <v/>
      </c>
      <c r="S1268" s="46">
        <f>(1-d_u)*S1267+IF(d_T&gt;in_topup_lag,SUMIFS(O1237:O1270,B1237:B1270,B1268-in_topup_lag)-d_udrop*SUMIFS(O1237:O1270,B1237:B1270,B1268-d_T),0)</f>
        <v/>
      </c>
      <c r="T1268" s="40">
        <f>F1268*d_u*S1268</f>
        <v/>
      </c>
      <c r="U1268" s="9">
        <f>L1268*in_ticket+M1268*d_rep_ticket</f>
        <v/>
      </c>
      <c r="V1268" s="9">
        <f>U1268+T1268*d_topup_amt</f>
        <v/>
      </c>
      <c r="W1268" s="40">
        <f>N1268+T1268*d_topup_ratio</f>
        <v/>
      </c>
      <c r="X1268" s="40">
        <f>SUMIFS(W1237:W1270,B1237:B1270,B1268-in_dpd_lag)*d_cured</f>
        <v/>
      </c>
      <c r="Y1268" s="40">
        <f>SUMIFS(W1237:W1270,B1237:B1270,B1268-in_rec_lag)*d_recd</f>
        <v/>
      </c>
      <c r="Z1268" s="40">
        <f>IF(AND(B1268&gt;=in_marketplace_from,B1268&lt;in_marketplace_from+in_card_months),in_card_share/in_card_months*F1268*I1268,IF(AND(B1268&gt;=in_marketplace_from+in_card_months,B1268&lt;in_marketplace_from+2*in_card_months),in_card_share*d_card_rem/in_card_months*F1268*MIN(in_takeup_cap,(1+in_takeup_growth)^(D1268-1))*MIN(in_takeup_cap,(1+in_approval_growth)^(D1268-1)),0))</f>
        <v/>
      </c>
      <c r="AA1268" s="14">
        <f>V1268*in_fee*(1-in_taken_back)</f>
        <v/>
      </c>
      <c r="AB1268" s="14">
        <f>SUMIFS(W1237:W1270,B1237:B1270,B1268-in_dpd_lag)*d_dpd</f>
        <v/>
      </c>
      <c r="AC1268" s="14">
        <f>SUMIFS(W1237:W1270,B1237:B1270,B1268-in_rec_lag)*d_rec</f>
        <v/>
      </c>
      <c r="AD1268" s="14">
        <f>Z1268*in_card_fee</f>
        <v/>
      </c>
      <c r="AE1268" s="40">
        <f>AE1267*(1-IF(B1267&gt;=in_marketplace_from,d_hz_hlth_small*G1267,0))</f>
        <v/>
      </c>
      <c r="AF1268" s="46">
        <f>AE1268*IF(B1268&gt;=in_marketplace_from,d_hz_hlth_small*G1268,0)</f>
        <v/>
      </c>
      <c r="AG1268" s="14">
        <f>F1268*AF1268*in_hlth_small_ticket*in_hlth_small_comm*in_ins_partner_share+F1268*in_hlth_small_ticket*in_hlth_small_renew_comm*in_ins_partner_share*(in_hlth_small_renew^1*SUMIFS(AF1237:AF1270,B1237:B1270,B1268-12)+in_hlth_small_renew^2*SUMIFS(AF1237:AF1270,B1237:B1270,B1268-24)+in_hlth_small_renew^3*SUMIFS(AF1237:AF1270,B1237:B1270,B1268-36)+in_hlth_small_renew^4*SUMIFS(AF1237:AF1270,B1237:B1270,B1268-48))</f>
        <v/>
      </c>
      <c r="AH1268" s="40">
        <f>AH1267*(1-IF(B1267&gt;=in_marketplace_from,d_hz_hlth_family*G1267,0))</f>
        <v/>
      </c>
      <c r="AI1268" s="46">
        <f>AH1268*IF(B1268&gt;=in_marketplace_from,d_hz_hlth_family*G1268,0)</f>
        <v/>
      </c>
      <c r="AJ1268" s="14">
        <f>F1268*AI1268*in_hlth_family_ticket*in_hlth_family_comm*in_ins_partner_share+F1268*in_hlth_family_ticket*in_hlth_family_renew_comm*in_ins_partner_share*(in_hlth_family_renew^1*SUMIFS(AI1237:AI1270,B1237:B1270,B1268-12)+in_hlth_family_renew^2*SUMIFS(AI1237:AI1270,B1237:B1270,B1268-24)+in_hlth_family_renew^3*SUMIFS(AI1237:AI1270,B1237:B1270,B1268-36)+in_hlth_family_renew^4*SUMIFS(AI1237:AI1270,B1237:B1270,B1268-48))</f>
        <v/>
      </c>
      <c r="AK1268" s="40">
        <f>AK1267*(1-IF(B1267&gt;=in_marketplace_from,d_hz_life_term*G1267,0))</f>
        <v/>
      </c>
      <c r="AL1268" s="46">
        <f>AK1268*IF(B1268&gt;=in_marketplace_from,d_hz_life_term*G1268,0)</f>
        <v/>
      </c>
      <c r="AM1268" s="14">
        <f>F1268*AL1268*in_life_term_ticket*in_life_term_comm*in_ins_partner_share+F1268*in_life_term_ticket*in_life_term_renew_comm*in_ins_partner_share*(in_life_term_renew^1*SUMIFS(AL1237:AL1270,B1237:B1270,B1268-12)+in_life_term_renew^2*SUMIFS(AL1237:AL1270,B1237:B1270,B1268-24)+in_life_term_renew^3*SUMIFS(AL1237:AL1270,B1237:B1270,B1268-36)+in_life_term_renew^4*SUMIFS(AL1237:AL1270,B1237:B1270,B1268-48))</f>
        <v/>
      </c>
      <c r="AN1268" s="40">
        <f>AN1267*(1-IF(B1267&gt;=in_marketplace_from,d_hz_accident*G1267,0))</f>
        <v/>
      </c>
      <c r="AO1268" s="46">
        <f>AN1268*IF(B1268&gt;=in_marketplace_from,d_hz_accident*G1268,0)</f>
        <v/>
      </c>
      <c r="AP1268" s="14">
        <f>F1268*AO1268*in_accident_ticket*in_accident_comm*in_ins_partner_share+F1268*in_accident_ticket*in_accident_renew_comm*in_ins_partner_share*(in_accident_renew^1*SUMIFS(AO1237:AO1270,B1237:B1270,B1268-12)+in_accident_renew^2*SUMIFS(AO1237:AO1270,B1237:B1270,B1268-24)+in_accident_renew^3*SUMIFS(AO1237:AO1270,B1237:B1270,B1268-36)+in_accident_renew^4*SUMIFS(AO1237:AO1270,B1237:B1270,B1268-48))</f>
        <v/>
      </c>
      <c r="AQ1268" s="40">
        <f>AQ1267*(1-IF(B1267&gt;=in_marketplace_from,d_hz_two_wheeler*G1267,0))</f>
        <v/>
      </c>
      <c r="AR1268" s="46">
        <f>AQ1268*IF(B1268&gt;=in_marketplace_from,d_hz_two_wheeler*G1268,0)</f>
        <v/>
      </c>
      <c r="AS1268" s="14">
        <f>F1268*AR1268*in_two_wheeler_ticket*in_two_wheeler_comm*in_ins_partner_share+F1268*in_two_wheeler_ticket*in_two_wheeler_comm*in_ins_partner_share*(in_two_wheeler_renew^1*SUMIFS(AR1237:AR1270,B1237:B1270,B1268-12)+in_two_wheeler_renew^2*SUMIFS(AR1237:AR1270,B1237:B1270,B1268-24)+in_two_wheeler_renew^3*SUMIFS(AR1237:AR1270,B1237:B1270,B1268-36)+in_two_wheeler_renew^4*SUMIFS(AR1237:AR1270,B1237:B1270,B1268-48))</f>
        <v/>
      </c>
      <c r="AT1268" s="40">
        <f>AT1267*(1-IF(B1267&gt;=in_marketplace_from,d_hz_device*G1267,0))</f>
        <v/>
      </c>
      <c r="AU1268" s="14">
        <f>F1268*AT1268*IF(B1268&gt;=in_marketplace_from,d_hz_device*G1268,0)*in_device_ticket*in_device_comm*in_ins_partner_share</f>
        <v/>
      </c>
      <c r="AV1268" s="40">
        <f>AV1267*(1-IF(B1267&gt;=in_marketplace_from,d_hz_shop*G1267,0))</f>
        <v/>
      </c>
      <c r="AW1268" s="46">
        <f>AV1268*IF(B1268&gt;=in_marketplace_from,d_hz_shop*G1268,0)</f>
        <v/>
      </c>
      <c r="AX1268" s="14">
        <f>F1268*AW1268*in_shop_ticket*in_shop_comm*in_ins_partner_share+F1268*in_shop_ticket*in_shop_renew_comm*in_ins_partner_share*(in_shop_renew^1*SUMIFS(AW1237:AW1270,B1237:B1270,B1268-12)+in_shop_renew^2*SUMIFS(AW1237:AW1270,B1237:B1270,B1268-24)+in_shop_renew^3*SUMIFS(AW1237:AW1270,B1237:B1270,B1268-36)+in_shop_renew^4*SUMIFS(AW1237:AW1270,B1237:B1270,B1268-48))</f>
        <v/>
      </c>
      <c r="AY1268" s="40">
        <f>AY1267*(1-IF(B1267&gt;=in_marketplace_from,d_hz_sip*G1267,0))</f>
        <v/>
      </c>
      <c r="AZ1268" s="40">
        <f>AZ1267*d_rho_sip+AY1268*IF(B1268&gt;=in_marketplace_from,d_hz_sip*G1268,0)</f>
        <v/>
      </c>
      <c r="BA1268" s="40">
        <f>d_rho_sip*(BA1267+AZ1267)</f>
        <v/>
      </c>
      <c r="BB1268" s="14">
        <f>F1268*in_sip_ticket*(BA1268+0.5*AZ1268)*in_sip_comm/12</f>
        <v/>
      </c>
      <c r="BC1268" s="40">
        <f>BC1267*(1-IF(B1267&gt;=in_marketplace_from,d_hz_choti*G1267,0))</f>
        <v/>
      </c>
      <c r="BD1268" s="46">
        <f>BC1268*IF(B1268&gt;=in_marketplace_from,d_hz_choti*G1268,0)</f>
        <v/>
      </c>
      <c r="BE1268" s="14">
        <f>F1268*SUMIFS(BD1237:BD1270,B1237:B1270,B1268-in_choti_months)*in_choti_renew*in_choti_ticket</f>
        <v/>
      </c>
      <c r="BF1268" s="40">
        <f>BF1267*(1-IF(B1267&gt;=in_marketplace_from,d_hz_nps*G1267,0))</f>
        <v/>
      </c>
      <c r="BG1268" s="14">
        <f>F1268*BF1268*IF(B1268&gt;=in_marketplace_from,d_hz_nps*G1268,0)*in_nps_ticket*in_nps_comm</f>
        <v/>
      </c>
      <c r="BH1268" s="40">
        <f>BH1267*(1-IF(B1267&gt;=in_marketplace_from,d_hz_gold*G1267,0))</f>
        <v/>
      </c>
      <c r="BI1268" s="40">
        <f>BI1267*d_rho_gold+BH1268*IF(B1268&gt;=in_marketplace_from,d_hz_gold*G1268,0)</f>
        <v/>
      </c>
      <c r="BJ1268" s="14">
        <f>F1268*BI1268*in_gold_ticket*in_gold_comm</f>
        <v/>
      </c>
      <c r="BK1268" s="40">
        <f>BK1267*(1-IF(B1267&gt;=in_marketplace_from,d_hz_fd*G1267,0))</f>
        <v/>
      </c>
      <c r="BL1268" s="14">
        <f>F1268*BK1268*IF(B1268&gt;=in_marketplace_from,d_hz_fd*G1268,0)*in_fd_ticket*in_fd_comm</f>
        <v/>
      </c>
      <c r="BM1268" s="40">
        <f>BM1267*(1-IF(B1267&gt;=in_marketplace_from,d_hz_recharge*G1267,0))</f>
        <v/>
      </c>
      <c r="BN1268" s="40">
        <f>BN1267*d_rho_recharge+BM1268*IF(B1268&gt;=in_marketplace_from,d_hz_recharge*G1268,0)</f>
        <v/>
      </c>
      <c r="BO1268" s="14">
        <f>F1268*BN1268*in_recharge_ticket*in_recharge_comm/12</f>
        <v/>
      </c>
      <c r="BP1268" s="40">
        <f>BP1267*(1-IF(B1267&gt;=in_marketplace_from,d_hz_bills*G1267,0))</f>
        <v/>
      </c>
      <c r="BQ1268" s="40">
        <f>BQ1267*d_rho_bills+BP1268*IF(B1268&gt;=in_marketplace_from,d_hz_bills*G1268,0)</f>
        <v/>
      </c>
      <c r="BR1268" s="14">
        <f>F1268*BQ1268*in_bills_ticket*in_bills_comm/12</f>
        <v/>
      </c>
      <c r="BS1268" s="40">
        <f>BS1267*(1-IF(B1267&gt;=in_marketplace_from,d_hz_loan_gold*G1267,0))</f>
        <v/>
      </c>
      <c r="BT1268" s="14">
        <f>F1268*BS1268*IF(B1268&gt;=in_marketplace_from,d_hz_loan_gold*G1268,0)*in_loan_gold_ticket*in_loan_gold_comm</f>
        <v/>
      </c>
      <c r="BU1268" s="40">
        <f>BU1267*(1-IF(B1267&gt;=in_marketplace_from,d_hz_loan_cd*G1267,0))</f>
        <v/>
      </c>
      <c r="BV1268" s="14">
        <f>F1268*BU1268*IF(B1268&gt;=in_marketplace_from,d_hz_loan_cd*G1268,0)*in_loan_cd_ticket*in_loan_cd_comm</f>
        <v/>
      </c>
      <c r="BW1268" s="40">
        <f>BW1267*(1-IF(B1267&gt;=in_marketplace_from,d_hz_loan_vehicle*G1267,0))</f>
        <v/>
      </c>
      <c r="BX1268" s="14">
        <f>F1268*BW1268*IF(B1268&gt;=in_marketplace_from,d_hz_loan_vehicle*G1268,0)*in_loan_vehicle_ticket*in_loan_vehicle_comm</f>
        <v/>
      </c>
      <c r="BY1268" s="40">
        <f>BY1267*(1-IF(B1267&gt;=in_marketplace_from,d_hz_loan_home*G1267,0)*BZ1267)</f>
        <v/>
      </c>
      <c r="BZ1268" s="11">
        <f>MIN(in_approval_cap,in_loan_home_approval*INDEX('Age profile'!$O$2:$O$61,B1268)*(1+in_approval_growth)^(D1268-1))</f>
        <v/>
      </c>
      <c r="CA1268" s="14">
        <f>F1268*BY1268*IF(B1268&gt;=in_marketplace_from,d_hz_loan_home*G1268,0)*BZ1268*in_loan_home_ticket*in_loan_home_comm</f>
        <v/>
      </c>
      <c r="CB1268" s="40">
        <f>CB1267*(1-IF(B1267&gt;=in_marketplace_from,d_hz_loan_lap*G1267,0)*CC1267)</f>
        <v/>
      </c>
      <c r="CC1268" s="11">
        <f>MIN(in_approval_cap,in_loan_lap_approval*INDEX('Age profile'!$O$2:$O$61,B1268)*(1+in_approval_growth)^(D1268-1))</f>
        <v/>
      </c>
      <c r="CD1268" s="14">
        <f>F1268*CB1268*IF(B1268&gt;=in_marketplace_from,d_hz_loan_lap*G1268,0)*CC1268*in_loan_lap_ticket*in_loan_lap_comm</f>
        <v/>
      </c>
      <c r="CE1268" s="14">
        <f>AA1268+AB1268+AC1268+AD1268+AG1268+AJ1268+AM1268+AP1268+AS1268+AU1268+AX1268+BB1268+BE1268+BG1268+BJ1268+BL1268+BO1268+BR1268+BT1268+BV1268+BX1268+CA1268+CD1268</f>
        <v/>
      </c>
    </row>
    <row r="1269">
      <c r="A1269" s="39" t="n">
        <v>27</v>
      </c>
      <c r="B1269" s="39" t="n">
        <v>33</v>
      </c>
      <c r="C1269" s="39">
        <f>A1269+B1269-1</f>
        <v/>
      </c>
      <c r="D1269" s="39">
        <f>INT((C1269-1)/12)+1</f>
        <v/>
      </c>
      <c r="E1269" s="44">
        <f>INDEX(Monthly!$B$2:$B$61,A1269)</f>
        <v/>
      </c>
      <c r="F1269" s="44">
        <f>E1269*INDEX('Age profile'!$B$2:$B$61,B1269)</f>
        <v/>
      </c>
      <c r="G1269" s="45">
        <f>MIN(in_takeup_cap,INDEX('Age profile'!$N$2:$N$61,B1269)*(1+in_takeup_growth)^(D1269-1))</f>
        <v/>
      </c>
      <c r="H1269" s="11">
        <f>MIN(in_approval_cap,in_approved_first*INDEX('Age profile'!$O$2:$O$61,B1269)*(1+in_approval_growth)^(D1269-1))</f>
        <v/>
      </c>
      <c r="I1269" s="45">
        <f>G1269*MIN(in_takeup_cap,INDEX('Age profile'!$O$2:$O$61,B1269)*(1+in_approval_growth)^(D1269-1))</f>
        <v/>
      </c>
      <c r="J1269" s="40">
        <f>(J1268-L1268)*F1269/F1268</f>
        <v/>
      </c>
      <c r="K1269" s="40">
        <f>(K1268-M1268)*F1269/F1268+SUMIFS(O1237:O1268,B1237:B1268,B1269-1-d_T)*F1269</f>
        <v/>
      </c>
      <c r="L1269" s="40">
        <f>IF(B1269&gt;=in_marketplace_from,J1269*d_hz*G1269*in_eligible*H1269,0)</f>
        <v/>
      </c>
      <c r="M1269" s="40">
        <f>IF(B1269&gt;=in_marketplace_from,K1269*d_hz*G1269*in_eligible*in_approved_repeat,0)</f>
        <v/>
      </c>
      <c r="N1269" s="40">
        <f>L1269+M1269</f>
        <v/>
      </c>
      <c r="O1269" s="46">
        <f>N1269/F1269</f>
        <v/>
      </c>
      <c r="P1269" s="40">
        <f>F1269-J1269-K1269</f>
        <v/>
      </c>
      <c r="Q1269" s="40">
        <f>IF(B1269&gt;=in_marketplace_from,(J1269+K1269)*d_hz*G1269,0)</f>
        <v/>
      </c>
      <c r="R1269" s="40">
        <f>SUMIFS(N1237:N1270,B1237:B1270,"&gt;="&amp;(B1269-d_T),B1237:B1270,"&lt;="&amp;(B1269-1))</f>
        <v/>
      </c>
      <c r="S1269" s="46">
        <f>(1-d_u)*S1268+IF(d_T&gt;in_topup_lag,SUMIFS(O1237:O1270,B1237:B1270,B1269-in_topup_lag)-d_udrop*SUMIFS(O1237:O1270,B1237:B1270,B1269-d_T),0)</f>
        <v/>
      </c>
      <c r="T1269" s="40">
        <f>F1269*d_u*S1269</f>
        <v/>
      </c>
      <c r="U1269" s="9">
        <f>L1269*in_ticket+M1269*d_rep_ticket</f>
        <v/>
      </c>
      <c r="V1269" s="9">
        <f>U1269+T1269*d_topup_amt</f>
        <v/>
      </c>
      <c r="W1269" s="40">
        <f>N1269+T1269*d_topup_ratio</f>
        <v/>
      </c>
      <c r="X1269" s="40">
        <f>SUMIFS(W1237:W1270,B1237:B1270,B1269-in_dpd_lag)*d_cured</f>
        <v/>
      </c>
      <c r="Y1269" s="40">
        <f>SUMIFS(W1237:W1270,B1237:B1270,B1269-in_rec_lag)*d_recd</f>
        <v/>
      </c>
      <c r="Z1269" s="40">
        <f>IF(AND(B1269&gt;=in_marketplace_from,B1269&lt;in_marketplace_from+in_card_months),in_card_share/in_card_months*F1269*I1269,IF(AND(B1269&gt;=in_marketplace_from+in_card_months,B1269&lt;in_marketplace_from+2*in_card_months),in_card_share*d_card_rem/in_card_months*F1269*MIN(in_takeup_cap,(1+in_takeup_growth)^(D1269-1))*MIN(in_takeup_cap,(1+in_approval_growth)^(D1269-1)),0))</f>
        <v/>
      </c>
      <c r="AA1269" s="14">
        <f>V1269*in_fee*(1-in_taken_back)</f>
        <v/>
      </c>
      <c r="AB1269" s="14">
        <f>SUMIFS(W1237:W1270,B1237:B1270,B1269-in_dpd_lag)*d_dpd</f>
        <v/>
      </c>
      <c r="AC1269" s="14">
        <f>SUMIFS(W1237:W1270,B1237:B1270,B1269-in_rec_lag)*d_rec</f>
        <v/>
      </c>
      <c r="AD1269" s="14">
        <f>Z1269*in_card_fee</f>
        <v/>
      </c>
      <c r="AE1269" s="40">
        <f>AE1268*(1-IF(B1268&gt;=in_marketplace_from,d_hz_hlth_small*G1268,0))</f>
        <v/>
      </c>
      <c r="AF1269" s="46">
        <f>AE1269*IF(B1269&gt;=in_marketplace_from,d_hz_hlth_small*G1269,0)</f>
        <v/>
      </c>
      <c r="AG1269" s="14">
        <f>F1269*AF1269*in_hlth_small_ticket*in_hlth_small_comm*in_ins_partner_share+F1269*in_hlth_small_ticket*in_hlth_small_renew_comm*in_ins_partner_share*(in_hlth_small_renew^1*SUMIFS(AF1237:AF1270,B1237:B1270,B1269-12)+in_hlth_small_renew^2*SUMIFS(AF1237:AF1270,B1237:B1270,B1269-24)+in_hlth_small_renew^3*SUMIFS(AF1237:AF1270,B1237:B1270,B1269-36)+in_hlth_small_renew^4*SUMIFS(AF1237:AF1270,B1237:B1270,B1269-48))</f>
        <v/>
      </c>
      <c r="AH1269" s="40">
        <f>AH1268*(1-IF(B1268&gt;=in_marketplace_from,d_hz_hlth_family*G1268,0))</f>
        <v/>
      </c>
      <c r="AI1269" s="46">
        <f>AH1269*IF(B1269&gt;=in_marketplace_from,d_hz_hlth_family*G1269,0)</f>
        <v/>
      </c>
      <c r="AJ1269" s="14">
        <f>F1269*AI1269*in_hlth_family_ticket*in_hlth_family_comm*in_ins_partner_share+F1269*in_hlth_family_ticket*in_hlth_family_renew_comm*in_ins_partner_share*(in_hlth_family_renew^1*SUMIFS(AI1237:AI1270,B1237:B1270,B1269-12)+in_hlth_family_renew^2*SUMIFS(AI1237:AI1270,B1237:B1270,B1269-24)+in_hlth_family_renew^3*SUMIFS(AI1237:AI1270,B1237:B1270,B1269-36)+in_hlth_family_renew^4*SUMIFS(AI1237:AI1270,B1237:B1270,B1269-48))</f>
        <v/>
      </c>
      <c r="AK1269" s="40">
        <f>AK1268*(1-IF(B1268&gt;=in_marketplace_from,d_hz_life_term*G1268,0))</f>
        <v/>
      </c>
      <c r="AL1269" s="46">
        <f>AK1269*IF(B1269&gt;=in_marketplace_from,d_hz_life_term*G1269,0)</f>
        <v/>
      </c>
      <c r="AM1269" s="14">
        <f>F1269*AL1269*in_life_term_ticket*in_life_term_comm*in_ins_partner_share+F1269*in_life_term_ticket*in_life_term_renew_comm*in_ins_partner_share*(in_life_term_renew^1*SUMIFS(AL1237:AL1270,B1237:B1270,B1269-12)+in_life_term_renew^2*SUMIFS(AL1237:AL1270,B1237:B1270,B1269-24)+in_life_term_renew^3*SUMIFS(AL1237:AL1270,B1237:B1270,B1269-36)+in_life_term_renew^4*SUMIFS(AL1237:AL1270,B1237:B1270,B1269-48))</f>
        <v/>
      </c>
      <c r="AN1269" s="40">
        <f>AN1268*(1-IF(B1268&gt;=in_marketplace_from,d_hz_accident*G1268,0))</f>
        <v/>
      </c>
      <c r="AO1269" s="46">
        <f>AN1269*IF(B1269&gt;=in_marketplace_from,d_hz_accident*G1269,0)</f>
        <v/>
      </c>
      <c r="AP1269" s="14">
        <f>F1269*AO1269*in_accident_ticket*in_accident_comm*in_ins_partner_share+F1269*in_accident_ticket*in_accident_renew_comm*in_ins_partner_share*(in_accident_renew^1*SUMIFS(AO1237:AO1270,B1237:B1270,B1269-12)+in_accident_renew^2*SUMIFS(AO1237:AO1270,B1237:B1270,B1269-24)+in_accident_renew^3*SUMIFS(AO1237:AO1270,B1237:B1270,B1269-36)+in_accident_renew^4*SUMIFS(AO1237:AO1270,B1237:B1270,B1269-48))</f>
        <v/>
      </c>
      <c r="AQ1269" s="40">
        <f>AQ1268*(1-IF(B1268&gt;=in_marketplace_from,d_hz_two_wheeler*G1268,0))</f>
        <v/>
      </c>
      <c r="AR1269" s="46">
        <f>AQ1269*IF(B1269&gt;=in_marketplace_from,d_hz_two_wheeler*G1269,0)</f>
        <v/>
      </c>
      <c r="AS1269" s="14">
        <f>F1269*AR1269*in_two_wheeler_ticket*in_two_wheeler_comm*in_ins_partner_share+F1269*in_two_wheeler_ticket*in_two_wheeler_comm*in_ins_partner_share*(in_two_wheeler_renew^1*SUMIFS(AR1237:AR1270,B1237:B1270,B1269-12)+in_two_wheeler_renew^2*SUMIFS(AR1237:AR1270,B1237:B1270,B1269-24)+in_two_wheeler_renew^3*SUMIFS(AR1237:AR1270,B1237:B1270,B1269-36)+in_two_wheeler_renew^4*SUMIFS(AR1237:AR1270,B1237:B1270,B1269-48))</f>
        <v/>
      </c>
      <c r="AT1269" s="40">
        <f>AT1268*(1-IF(B1268&gt;=in_marketplace_from,d_hz_device*G1268,0))</f>
        <v/>
      </c>
      <c r="AU1269" s="14">
        <f>F1269*AT1269*IF(B1269&gt;=in_marketplace_from,d_hz_device*G1269,0)*in_device_ticket*in_device_comm*in_ins_partner_share</f>
        <v/>
      </c>
      <c r="AV1269" s="40">
        <f>AV1268*(1-IF(B1268&gt;=in_marketplace_from,d_hz_shop*G1268,0))</f>
        <v/>
      </c>
      <c r="AW1269" s="46">
        <f>AV1269*IF(B1269&gt;=in_marketplace_from,d_hz_shop*G1269,0)</f>
        <v/>
      </c>
      <c r="AX1269" s="14">
        <f>F1269*AW1269*in_shop_ticket*in_shop_comm*in_ins_partner_share+F1269*in_shop_ticket*in_shop_renew_comm*in_ins_partner_share*(in_shop_renew^1*SUMIFS(AW1237:AW1270,B1237:B1270,B1269-12)+in_shop_renew^2*SUMIFS(AW1237:AW1270,B1237:B1270,B1269-24)+in_shop_renew^3*SUMIFS(AW1237:AW1270,B1237:B1270,B1269-36)+in_shop_renew^4*SUMIFS(AW1237:AW1270,B1237:B1270,B1269-48))</f>
        <v/>
      </c>
      <c r="AY1269" s="40">
        <f>AY1268*(1-IF(B1268&gt;=in_marketplace_from,d_hz_sip*G1268,0))</f>
        <v/>
      </c>
      <c r="AZ1269" s="40">
        <f>AZ1268*d_rho_sip+AY1269*IF(B1269&gt;=in_marketplace_from,d_hz_sip*G1269,0)</f>
        <v/>
      </c>
      <c r="BA1269" s="40">
        <f>d_rho_sip*(BA1268+AZ1268)</f>
        <v/>
      </c>
      <c r="BB1269" s="14">
        <f>F1269*in_sip_ticket*(BA1269+0.5*AZ1269)*in_sip_comm/12</f>
        <v/>
      </c>
      <c r="BC1269" s="40">
        <f>BC1268*(1-IF(B1268&gt;=in_marketplace_from,d_hz_choti*G1268,0))</f>
        <v/>
      </c>
      <c r="BD1269" s="46">
        <f>BC1269*IF(B1269&gt;=in_marketplace_from,d_hz_choti*G1269,0)</f>
        <v/>
      </c>
      <c r="BE1269" s="14">
        <f>F1269*SUMIFS(BD1237:BD1270,B1237:B1270,B1269-in_choti_months)*in_choti_renew*in_choti_ticket</f>
        <v/>
      </c>
      <c r="BF1269" s="40">
        <f>BF1268*(1-IF(B1268&gt;=in_marketplace_from,d_hz_nps*G1268,0))</f>
        <v/>
      </c>
      <c r="BG1269" s="14">
        <f>F1269*BF1269*IF(B1269&gt;=in_marketplace_from,d_hz_nps*G1269,0)*in_nps_ticket*in_nps_comm</f>
        <v/>
      </c>
      <c r="BH1269" s="40">
        <f>BH1268*(1-IF(B1268&gt;=in_marketplace_from,d_hz_gold*G1268,0))</f>
        <v/>
      </c>
      <c r="BI1269" s="40">
        <f>BI1268*d_rho_gold+BH1269*IF(B1269&gt;=in_marketplace_from,d_hz_gold*G1269,0)</f>
        <v/>
      </c>
      <c r="BJ1269" s="14">
        <f>F1269*BI1269*in_gold_ticket*in_gold_comm</f>
        <v/>
      </c>
      <c r="BK1269" s="40">
        <f>BK1268*(1-IF(B1268&gt;=in_marketplace_from,d_hz_fd*G1268,0))</f>
        <v/>
      </c>
      <c r="BL1269" s="14">
        <f>F1269*BK1269*IF(B1269&gt;=in_marketplace_from,d_hz_fd*G1269,0)*in_fd_ticket*in_fd_comm</f>
        <v/>
      </c>
      <c r="BM1269" s="40">
        <f>BM1268*(1-IF(B1268&gt;=in_marketplace_from,d_hz_recharge*G1268,0))</f>
        <v/>
      </c>
      <c r="BN1269" s="40">
        <f>BN1268*d_rho_recharge+BM1269*IF(B1269&gt;=in_marketplace_from,d_hz_recharge*G1269,0)</f>
        <v/>
      </c>
      <c r="BO1269" s="14">
        <f>F1269*BN1269*in_recharge_ticket*in_recharge_comm/12</f>
        <v/>
      </c>
      <c r="BP1269" s="40">
        <f>BP1268*(1-IF(B1268&gt;=in_marketplace_from,d_hz_bills*G1268,0))</f>
        <v/>
      </c>
      <c r="BQ1269" s="40">
        <f>BQ1268*d_rho_bills+BP1269*IF(B1269&gt;=in_marketplace_from,d_hz_bills*G1269,0)</f>
        <v/>
      </c>
      <c r="BR1269" s="14">
        <f>F1269*BQ1269*in_bills_ticket*in_bills_comm/12</f>
        <v/>
      </c>
      <c r="BS1269" s="40">
        <f>BS1268*(1-IF(B1268&gt;=in_marketplace_from,d_hz_loan_gold*G1268,0))</f>
        <v/>
      </c>
      <c r="BT1269" s="14">
        <f>F1269*BS1269*IF(B1269&gt;=in_marketplace_from,d_hz_loan_gold*G1269,0)*in_loan_gold_ticket*in_loan_gold_comm</f>
        <v/>
      </c>
      <c r="BU1269" s="40">
        <f>BU1268*(1-IF(B1268&gt;=in_marketplace_from,d_hz_loan_cd*G1268,0))</f>
        <v/>
      </c>
      <c r="BV1269" s="14">
        <f>F1269*BU1269*IF(B1269&gt;=in_marketplace_from,d_hz_loan_cd*G1269,0)*in_loan_cd_ticket*in_loan_cd_comm</f>
        <v/>
      </c>
      <c r="BW1269" s="40">
        <f>BW1268*(1-IF(B1268&gt;=in_marketplace_from,d_hz_loan_vehicle*G1268,0))</f>
        <v/>
      </c>
      <c r="BX1269" s="14">
        <f>F1269*BW1269*IF(B1269&gt;=in_marketplace_from,d_hz_loan_vehicle*G1269,0)*in_loan_vehicle_ticket*in_loan_vehicle_comm</f>
        <v/>
      </c>
      <c r="BY1269" s="40">
        <f>BY1268*(1-IF(B1268&gt;=in_marketplace_from,d_hz_loan_home*G1268,0)*BZ1268)</f>
        <v/>
      </c>
      <c r="BZ1269" s="11">
        <f>MIN(in_approval_cap,in_loan_home_approval*INDEX('Age profile'!$O$2:$O$61,B1269)*(1+in_approval_growth)^(D1269-1))</f>
        <v/>
      </c>
      <c r="CA1269" s="14">
        <f>F1269*BY1269*IF(B1269&gt;=in_marketplace_from,d_hz_loan_home*G1269,0)*BZ1269*in_loan_home_ticket*in_loan_home_comm</f>
        <v/>
      </c>
      <c r="CB1269" s="40">
        <f>CB1268*(1-IF(B1268&gt;=in_marketplace_from,d_hz_loan_lap*G1268,0)*CC1268)</f>
        <v/>
      </c>
      <c r="CC1269" s="11">
        <f>MIN(in_approval_cap,in_loan_lap_approval*INDEX('Age profile'!$O$2:$O$61,B1269)*(1+in_approval_growth)^(D1269-1))</f>
        <v/>
      </c>
      <c r="CD1269" s="14">
        <f>F1269*CB1269*IF(B1269&gt;=in_marketplace_from,d_hz_loan_lap*G1269,0)*CC1269*in_loan_lap_ticket*in_loan_lap_comm</f>
        <v/>
      </c>
      <c r="CE1269" s="14">
        <f>AA1269+AB1269+AC1269+AD1269+AG1269+AJ1269+AM1269+AP1269+AS1269+AU1269+AX1269+BB1269+BE1269+BG1269+BJ1269+BL1269+BO1269+BR1269+BT1269+BV1269+BX1269+CA1269+CD1269</f>
        <v/>
      </c>
    </row>
    <row r="1270">
      <c r="A1270" s="39" t="n">
        <v>27</v>
      </c>
      <c r="B1270" s="39" t="n">
        <v>34</v>
      </c>
      <c r="C1270" s="39">
        <f>A1270+B1270-1</f>
        <v/>
      </c>
      <c r="D1270" s="39">
        <f>INT((C1270-1)/12)+1</f>
        <v/>
      </c>
      <c r="E1270" s="44">
        <f>INDEX(Monthly!$B$2:$B$61,A1270)</f>
        <v/>
      </c>
      <c r="F1270" s="44">
        <f>E1270*INDEX('Age profile'!$B$2:$B$61,B1270)</f>
        <v/>
      </c>
      <c r="G1270" s="45">
        <f>MIN(in_takeup_cap,INDEX('Age profile'!$N$2:$N$61,B1270)*(1+in_takeup_growth)^(D1270-1))</f>
        <v/>
      </c>
      <c r="H1270" s="11">
        <f>MIN(in_approval_cap,in_approved_first*INDEX('Age profile'!$O$2:$O$61,B1270)*(1+in_approval_growth)^(D1270-1))</f>
        <v/>
      </c>
      <c r="I1270" s="45">
        <f>G1270*MIN(in_takeup_cap,INDEX('Age profile'!$O$2:$O$61,B1270)*(1+in_approval_growth)^(D1270-1))</f>
        <v/>
      </c>
      <c r="J1270" s="40">
        <f>(J1269-L1269)*F1270/F1269</f>
        <v/>
      </c>
      <c r="K1270" s="40">
        <f>(K1269-M1269)*F1270/F1269+SUMIFS(O1237:O1269,B1237:B1269,B1270-1-d_T)*F1270</f>
        <v/>
      </c>
      <c r="L1270" s="40">
        <f>IF(B1270&gt;=in_marketplace_from,J1270*d_hz*G1270*in_eligible*H1270,0)</f>
        <v/>
      </c>
      <c r="M1270" s="40">
        <f>IF(B1270&gt;=in_marketplace_from,K1270*d_hz*G1270*in_eligible*in_approved_repeat,0)</f>
        <v/>
      </c>
      <c r="N1270" s="40">
        <f>L1270+M1270</f>
        <v/>
      </c>
      <c r="O1270" s="46">
        <f>N1270/F1270</f>
        <v/>
      </c>
      <c r="P1270" s="40">
        <f>F1270-J1270-K1270</f>
        <v/>
      </c>
      <c r="Q1270" s="40">
        <f>IF(B1270&gt;=in_marketplace_from,(J1270+K1270)*d_hz*G1270,0)</f>
        <v/>
      </c>
      <c r="R1270" s="40">
        <f>SUMIFS(N1237:N1270,B1237:B1270,"&gt;="&amp;(B1270-d_T),B1237:B1270,"&lt;="&amp;(B1270-1))</f>
        <v/>
      </c>
      <c r="S1270" s="46">
        <f>(1-d_u)*S1269+IF(d_T&gt;in_topup_lag,SUMIFS(O1237:O1270,B1237:B1270,B1270-in_topup_lag)-d_udrop*SUMIFS(O1237:O1270,B1237:B1270,B1270-d_T),0)</f>
        <v/>
      </c>
      <c r="T1270" s="40">
        <f>F1270*d_u*S1270</f>
        <v/>
      </c>
      <c r="U1270" s="9">
        <f>L1270*in_ticket+M1270*d_rep_ticket</f>
        <v/>
      </c>
      <c r="V1270" s="9">
        <f>U1270+T1270*d_topup_amt</f>
        <v/>
      </c>
      <c r="W1270" s="40">
        <f>N1270+T1270*d_topup_ratio</f>
        <v/>
      </c>
      <c r="X1270" s="40">
        <f>SUMIFS(W1237:W1270,B1237:B1270,B1270-in_dpd_lag)*d_cured</f>
        <v/>
      </c>
      <c r="Y1270" s="40">
        <f>SUMIFS(W1237:W1270,B1237:B1270,B1270-in_rec_lag)*d_recd</f>
        <v/>
      </c>
      <c r="Z1270" s="40">
        <f>IF(AND(B1270&gt;=in_marketplace_from,B1270&lt;in_marketplace_from+in_card_months),in_card_share/in_card_months*F1270*I1270,IF(AND(B1270&gt;=in_marketplace_from+in_card_months,B1270&lt;in_marketplace_from+2*in_card_months),in_card_share*d_card_rem/in_card_months*F1270*MIN(in_takeup_cap,(1+in_takeup_growth)^(D1270-1))*MIN(in_takeup_cap,(1+in_approval_growth)^(D1270-1)),0))</f>
        <v/>
      </c>
      <c r="AA1270" s="14">
        <f>V1270*in_fee*(1-in_taken_back)</f>
        <v/>
      </c>
      <c r="AB1270" s="14">
        <f>SUMIFS(W1237:W1270,B1237:B1270,B1270-in_dpd_lag)*d_dpd</f>
        <v/>
      </c>
      <c r="AC1270" s="14">
        <f>SUMIFS(W1237:W1270,B1237:B1270,B1270-in_rec_lag)*d_rec</f>
        <v/>
      </c>
      <c r="AD1270" s="14">
        <f>Z1270*in_card_fee</f>
        <v/>
      </c>
      <c r="AE1270" s="40">
        <f>AE1269*(1-IF(B1269&gt;=in_marketplace_from,d_hz_hlth_small*G1269,0))</f>
        <v/>
      </c>
      <c r="AF1270" s="46">
        <f>AE1270*IF(B1270&gt;=in_marketplace_from,d_hz_hlth_small*G1270,0)</f>
        <v/>
      </c>
      <c r="AG1270" s="14">
        <f>F1270*AF1270*in_hlth_small_ticket*in_hlth_small_comm*in_ins_partner_share+F1270*in_hlth_small_ticket*in_hlth_small_renew_comm*in_ins_partner_share*(in_hlth_small_renew^1*SUMIFS(AF1237:AF1270,B1237:B1270,B1270-12)+in_hlth_small_renew^2*SUMIFS(AF1237:AF1270,B1237:B1270,B1270-24)+in_hlth_small_renew^3*SUMIFS(AF1237:AF1270,B1237:B1270,B1270-36)+in_hlth_small_renew^4*SUMIFS(AF1237:AF1270,B1237:B1270,B1270-48))</f>
        <v/>
      </c>
      <c r="AH1270" s="40">
        <f>AH1269*(1-IF(B1269&gt;=in_marketplace_from,d_hz_hlth_family*G1269,0))</f>
        <v/>
      </c>
      <c r="AI1270" s="46">
        <f>AH1270*IF(B1270&gt;=in_marketplace_from,d_hz_hlth_family*G1270,0)</f>
        <v/>
      </c>
      <c r="AJ1270" s="14">
        <f>F1270*AI1270*in_hlth_family_ticket*in_hlth_family_comm*in_ins_partner_share+F1270*in_hlth_family_ticket*in_hlth_family_renew_comm*in_ins_partner_share*(in_hlth_family_renew^1*SUMIFS(AI1237:AI1270,B1237:B1270,B1270-12)+in_hlth_family_renew^2*SUMIFS(AI1237:AI1270,B1237:B1270,B1270-24)+in_hlth_family_renew^3*SUMIFS(AI1237:AI1270,B1237:B1270,B1270-36)+in_hlth_family_renew^4*SUMIFS(AI1237:AI1270,B1237:B1270,B1270-48))</f>
        <v/>
      </c>
      <c r="AK1270" s="40">
        <f>AK1269*(1-IF(B1269&gt;=in_marketplace_from,d_hz_life_term*G1269,0))</f>
        <v/>
      </c>
      <c r="AL1270" s="46">
        <f>AK1270*IF(B1270&gt;=in_marketplace_from,d_hz_life_term*G1270,0)</f>
        <v/>
      </c>
      <c r="AM1270" s="14">
        <f>F1270*AL1270*in_life_term_ticket*in_life_term_comm*in_ins_partner_share+F1270*in_life_term_ticket*in_life_term_renew_comm*in_ins_partner_share*(in_life_term_renew^1*SUMIFS(AL1237:AL1270,B1237:B1270,B1270-12)+in_life_term_renew^2*SUMIFS(AL1237:AL1270,B1237:B1270,B1270-24)+in_life_term_renew^3*SUMIFS(AL1237:AL1270,B1237:B1270,B1270-36)+in_life_term_renew^4*SUMIFS(AL1237:AL1270,B1237:B1270,B1270-48))</f>
        <v/>
      </c>
      <c r="AN1270" s="40">
        <f>AN1269*(1-IF(B1269&gt;=in_marketplace_from,d_hz_accident*G1269,0))</f>
        <v/>
      </c>
      <c r="AO1270" s="46">
        <f>AN1270*IF(B1270&gt;=in_marketplace_from,d_hz_accident*G1270,0)</f>
        <v/>
      </c>
      <c r="AP1270" s="14">
        <f>F1270*AO1270*in_accident_ticket*in_accident_comm*in_ins_partner_share+F1270*in_accident_ticket*in_accident_renew_comm*in_ins_partner_share*(in_accident_renew^1*SUMIFS(AO1237:AO1270,B1237:B1270,B1270-12)+in_accident_renew^2*SUMIFS(AO1237:AO1270,B1237:B1270,B1270-24)+in_accident_renew^3*SUMIFS(AO1237:AO1270,B1237:B1270,B1270-36)+in_accident_renew^4*SUMIFS(AO1237:AO1270,B1237:B1270,B1270-48))</f>
        <v/>
      </c>
      <c r="AQ1270" s="40">
        <f>AQ1269*(1-IF(B1269&gt;=in_marketplace_from,d_hz_two_wheeler*G1269,0))</f>
        <v/>
      </c>
      <c r="AR1270" s="46">
        <f>AQ1270*IF(B1270&gt;=in_marketplace_from,d_hz_two_wheeler*G1270,0)</f>
        <v/>
      </c>
      <c r="AS1270" s="14">
        <f>F1270*AR1270*in_two_wheeler_ticket*in_two_wheeler_comm*in_ins_partner_share+F1270*in_two_wheeler_ticket*in_two_wheeler_comm*in_ins_partner_share*(in_two_wheeler_renew^1*SUMIFS(AR1237:AR1270,B1237:B1270,B1270-12)+in_two_wheeler_renew^2*SUMIFS(AR1237:AR1270,B1237:B1270,B1270-24)+in_two_wheeler_renew^3*SUMIFS(AR1237:AR1270,B1237:B1270,B1270-36)+in_two_wheeler_renew^4*SUMIFS(AR1237:AR1270,B1237:B1270,B1270-48))</f>
        <v/>
      </c>
      <c r="AT1270" s="40">
        <f>AT1269*(1-IF(B1269&gt;=in_marketplace_from,d_hz_device*G1269,0))</f>
        <v/>
      </c>
      <c r="AU1270" s="14">
        <f>F1270*AT1270*IF(B1270&gt;=in_marketplace_from,d_hz_device*G1270,0)*in_device_ticket*in_device_comm*in_ins_partner_share</f>
        <v/>
      </c>
      <c r="AV1270" s="40">
        <f>AV1269*(1-IF(B1269&gt;=in_marketplace_from,d_hz_shop*G1269,0))</f>
        <v/>
      </c>
      <c r="AW1270" s="46">
        <f>AV1270*IF(B1270&gt;=in_marketplace_from,d_hz_shop*G1270,0)</f>
        <v/>
      </c>
      <c r="AX1270" s="14">
        <f>F1270*AW1270*in_shop_ticket*in_shop_comm*in_ins_partner_share+F1270*in_shop_ticket*in_shop_renew_comm*in_ins_partner_share*(in_shop_renew^1*SUMIFS(AW1237:AW1270,B1237:B1270,B1270-12)+in_shop_renew^2*SUMIFS(AW1237:AW1270,B1237:B1270,B1270-24)+in_shop_renew^3*SUMIFS(AW1237:AW1270,B1237:B1270,B1270-36)+in_shop_renew^4*SUMIFS(AW1237:AW1270,B1237:B1270,B1270-48))</f>
        <v/>
      </c>
      <c r="AY1270" s="40">
        <f>AY1269*(1-IF(B1269&gt;=in_marketplace_from,d_hz_sip*G1269,0))</f>
        <v/>
      </c>
      <c r="AZ1270" s="40">
        <f>AZ1269*d_rho_sip+AY1270*IF(B1270&gt;=in_marketplace_from,d_hz_sip*G1270,0)</f>
        <v/>
      </c>
      <c r="BA1270" s="40">
        <f>d_rho_sip*(BA1269+AZ1269)</f>
        <v/>
      </c>
      <c r="BB1270" s="14">
        <f>F1270*in_sip_ticket*(BA1270+0.5*AZ1270)*in_sip_comm/12</f>
        <v/>
      </c>
      <c r="BC1270" s="40">
        <f>BC1269*(1-IF(B1269&gt;=in_marketplace_from,d_hz_choti*G1269,0))</f>
        <v/>
      </c>
      <c r="BD1270" s="46">
        <f>BC1270*IF(B1270&gt;=in_marketplace_from,d_hz_choti*G1270,0)</f>
        <v/>
      </c>
      <c r="BE1270" s="14">
        <f>F1270*SUMIFS(BD1237:BD1270,B1237:B1270,B1270-in_choti_months)*in_choti_renew*in_choti_ticket</f>
        <v/>
      </c>
      <c r="BF1270" s="40">
        <f>BF1269*(1-IF(B1269&gt;=in_marketplace_from,d_hz_nps*G1269,0))</f>
        <v/>
      </c>
      <c r="BG1270" s="14">
        <f>F1270*BF1270*IF(B1270&gt;=in_marketplace_from,d_hz_nps*G1270,0)*in_nps_ticket*in_nps_comm</f>
        <v/>
      </c>
      <c r="BH1270" s="40">
        <f>BH1269*(1-IF(B1269&gt;=in_marketplace_from,d_hz_gold*G1269,0))</f>
        <v/>
      </c>
      <c r="BI1270" s="40">
        <f>BI1269*d_rho_gold+BH1270*IF(B1270&gt;=in_marketplace_from,d_hz_gold*G1270,0)</f>
        <v/>
      </c>
      <c r="BJ1270" s="14">
        <f>F1270*BI1270*in_gold_ticket*in_gold_comm</f>
        <v/>
      </c>
      <c r="BK1270" s="40">
        <f>BK1269*(1-IF(B1269&gt;=in_marketplace_from,d_hz_fd*G1269,0))</f>
        <v/>
      </c>
      <c r="BL1270" s="14">
        <f>F1270*BK1270*IF(B1270&gt;=in_marketplace_from,d_hz_fd*G1270,0)*in_fd_ticket*in_fd_comm</f>
        <v/>
      </c>
      <c r="BM1270" s="40">
        <f>BM1269*(1-IF(B1269&gt;=in_marketplace_from,d_hz_recharge*G1269,0))</f>
        <v/>
      </c>
      <c r="BN1270" s="40">
        <f>BN1269*d_rho_recharge+BM1270*IF(B1270&gt;=in_marketplace_from,d_hz_recharge*G1270,0)</f>
        <v/>
      </c>
      <c r="BO1270" s="14">
        <f>F1270*BN1270*in_recharge_ticket*in_recharge_comm/12</f>
        <v/>
      </c>
      <c r="BP1270" s="40">
        <f>BP1269*(1-IF(B1269&gt;=in_marketplace_from,d_hz_bills*G1269,0))</f>
        <v/>
      </c>
      <c r="BQ1270" s="40">
        <f>BQ1269*d_rho_bills+BP1270*IF(B1270&gt;=in_marketplace_from,d_hz_bills*G1270,0)</f>
        <v/>
      </c>
      <c r="BR1270" s="14">
        <f>F1270*BQ1270*in_bills_ticket*in_bills_comm/12</f>
        <v/>
      </c>
      <c r="BS1270" s="40">
        <f>BS1269*(1-IF(B1269&gt;=in_marketplace_from,d_hz_loan_gold*G1269,0))</f>
        <v/>
      </c>
      <c r="BT1270" s="14">
        <f>F1270*BS1270*IF(B1270&gt;=in_marketplace_from,d_hz_loan_gold*G1270,0)*in_loan_gold_ticket*in_loan_gold_comm</f>
        <v/>
      </c>
      <c r="BU1270" s="40">
        <f>BU1269*(1-IF(B1269&gt;=in_marketplace_from,d_hz_loan_cd*G1269,0))</f>
        <v/>
      </c>
      <c r="BV1270" s="14">
        <f>F1270*BU1270*IF(B1270&gt;=in_marketplace_from,d_hz_loan_cd*G1270,0)*in_loan_cd_ticket*in_loan_cd_comm</f>
        <v/>
      </c>
      <c r="BW1270" s="40">
        <f>BW1269*(1-IF(B1269&gt;=in_marketplace_from,d_hz_loan_vehicle*G1269,0))</f>
        <v/>
      </c>
      <c r="BX1270" s="14">
        <f>F1270*BW1270*IF(B1270&gt;=in_marketplace_from,d_hz_loan_vehicle*G1270,0)*in_loan_vehicle_ticket*in_loan_vehicle_comm</f>
        <v/>
      </c>
      <c r="BY1270" s="40">
        <f>BY1269*(1-IF(B1269&gt;=in_marketplace_from,d_hz_loan_home*G1269,0)*BZ1269)</f>
        <v/>
      </c>
      <c r="BZ1270" s="11">
        <f>MIN(in_approval_cap,in_loan_home_approval*INDEX('Age profile'!$O$2:$O$61,B1270)*(1+in_approval_growth)^(D1270-1))</f>
        <v/>
      </c>
      <c r="CA1270" s="14">
        <f>F1270*BY1270*IF(B1270&gt;=in_marketplace_from,d_hz_loan_home*G1270,0)*BZ1270*in_loan_home_ticket*in_loan_home_comm</f>
        <v/>
      </c>
      <c r="CB1270" s="40">
        <f>CB1269*(1-IF(B1269&gt;=in_marketplace_from,d_hz_loan_lap*G1269,0)*CC1269)</f>
        <v/>
      </c>
      <c r="CC1270" s="11">
        <f>MIN(in_approval_cap,in_loan_lap_approval*INDEX('Age profile'!$O$2:$O$61,B1270)*(1+in_approval_growth)^(D1270-1))</f>
        <v/>
      </c>
      <c r="CD1270" s="14">
        <f>F1270*CB1270*IF(B1270&gt;=in_marketplace_from,d_hz_loan_lap*G1270,0)*CC1270*in_loan_lap_ticket*in_loan_lap_comm</f>
        <v/>
      </c>
      <c r="CE1270" s="14">
        <f>AA1270+AB1270+AC1270+AD1270+AG1270+AJ1270+AM1270+AP1270+AS1270+AU1270+AX1270+BB1270+BE1270+BG1270+BJ1270+BL1270+BO1270+BR1270+BT1270+BV1270+BX1270+CA1270+CD1270</f>
        <v/>
      </c>
    </row>
    <row r="1271">
      <c r="A1271" s="39" t="n">
        <v>28</v>
      </c>
      <c r="B1271" s="39" t="n">
        <v>1</v>
      </c>
      <c r="C1271" s="39">
        <f>A1271+B1271-1</f>
        <v/>
      </c>
      <c r="D1271" s="39">
        <f>INT((C1271-1)/12)+1</f>
        <v/>
      </c>
      <c r="E1271" s="44">
        <f>INDEX(Monthly!$B$2:$B$61,A1271)</f>
        <v/>
      </c>
      <c r="F1271" s="44">
        <f>E1271*INDEX('Age profile'!$B$2:$B$61,B1271)</f>
        <v/>
      </c>
      <c r="G1271" s="45">
        <f>MIN(in_takeup_cap,INDEX('Age profile'!$N$2:$N$61,B1271)*(1+in_takeup_growth)^(D1271-1))</f>
        <v/>
      </c>
      <c r="H1271" s="11">
        <f>MIN(in_approval_cap,in_approved_first*INDEX('Age profile'!$O$2:$O$61,B1271)*(1+in_approval_growth)^(D1271-1))</f>
        <v/>
      </c>
      <c r="I1271" s="45">
        <f>G1271*MIN(in_takeup_cap,INDEX('Age profile'!$O$2:$O$61,B1271)*(1+in_approval_growth)^(D1271-1))</f>
        <v/>
      </c>
      <c r="J1271" s="40">
        <f>E1271</f>
        <v/>
      </c>
      <c r="K1271" s="40" t="n">
        <v>0</v>
      </c>
      <c r="L1271" s="40">
        <f>IF(B1271&gt;=in_marketplace_from,J1271*d_hz*G1271*in_eligible*H1271,0)</f>
        <v/>
      </c>
      <c r="M1271" s="40">
        <f>IF(B1271&gt;=in_marketplace_from,K1271*d_hz*G1271*in_eligible*in_approved_repeat,0)</f>
        <v/>
      </c>
      <c r="N1271" s="40">
        <f>L1271+M1271</f>
        <v/>
      </c>
      <c r="O1271" s="46">
        <f>N1271/F1271</f>
        <v/>
      </c>
      <c r="P1271" s="40">
        <f>F1271-J1271-K1271</f>
        <v/>
      </c>
      <c r="Q1271" s="40">
        <f>IF(B1271&gt;=in_marketplace_from,(J1271+K1271)*d_hz*G1271,0)</f>
        <v/>
      </c>
      <c r="R1271" s="40">
        <f>SUMIFS(N1271:N1303,B1271:B1303,"&gt;="&amp;(B1271-d_T),B1271:B1303,"&lt;="&amp;(B1271-1))</f>
        <v/>
      </c>
      <c r="S1271" s="46" t="n">
        <v>0</v>
      </c>
      <c r="T1271" s="40">
        <f>F1271*d_u*S1271</f>
        <v/>
      </c>
      <c r="U1271" s="9">
        <f>L1271*in_ticket+M1271*d_rep_ticket</f>
        <v/>
      </c>
      <c r="V1271" s="9">
        <f>U1271+T1271*d_topup_amt</f>
        <v/>
      </c>
      <c r="W1271" s="40">
        <f>N1271+T1271*d_topup_ratio</f>
        <v/>
      </c>
      <c r="X1271" s="40">
        <f>SUMIFS(W1271:W1303,B1271:B1303,B1271-in_dpd_lag)*d_cured</f>
        <v/>
      </c>
      <c r="Y1271" s="40">
        <f>SUMIFS(W1271:W1303,B1271:B1303,B1271-in_rec_lag)*d_recd</f>
        <v/>
      </c>
      <c r="Z1271" s="40">
        <f>IF(AND(B1271&gt;=in_marketplace_from,B1271&lt;in_marketplace_from+in_card_months),in_card_share/in_card_months*F1271*I1271,IF(AND(B1271&gt;=in_marketplace_from+in_card_months,B1271&lt;in_marketplace_from+2*in_card_months),in_card_share*d_card_rem/in_card_months*F1271*MIN(in_takeup_cap,(1+in_takeup_growth)^(D1271-1))*MIN(in_takeup_cap,(1+in_approval_growth)^(D1271-1)),0))</f>
        <v/>
      </c>
      <c r="AA1271" s="14">
        <f>V1271*in_fee*(1-in_taken_back)</f>
        <v/>
      </c>
      <c r="AB1271" s="14">
        <f>SUMIFS(W1271:W1303,B1271:B1303,B1271-in_dpd_lag)*d_dpd</f>
        <v/>
      </c>
      <c r="AC1271" s="14">
        <f>SUMIFS(W1271:W1303,B1271:B1303,B1271-in_rec_lag)*d_rec</f>
        <v/>
      </c>
      <c r="AD1271" s="14">
        <f>Z1271*in_card_fee</f>
        <v/>
      </c>
      <c r="AE1271" s="40" t="n">
        <v>1</v>
      </c>
      <c r="AF1271" s="46">
        <f>AE1271*IF(B1271&gt;=in_marketplace_from,d_hz_hlth_small*G1271,0)</f>
        <v/>
      </c>
      <c r="AG1271" s="14">
        <f>F1271*AF1271*in_hlth_small_ticket*in_hlth_small_comm*in_ins_partner_share+F1271*in_hlth_small_ticket*in_hlth_small_renew_comm*in_ins_partner_share*(in_hlth_small_renew^1*SUMIFS(AF1271:AF1303,B1271:B1303,B1271-12)+in_hlth_small_renew^2*SUMIFS(AF1271:AF1303,B1271:B1303,B1271-24)+in_hlth_small_renew^3*SUMIFS(AF1271:AF1303,B1271:B1303,B1271-36)+in_hlth_small_renew^4*SUMIFS(AF1271:AF1303,B1271:B1303,B1271-48))</f>
        <v/>
      </c>
      <c r="AH1271" s="40" t="n">
        <v>1</v>
      </c>
      <c r="AI1271" s="46">
        <f>AH1271*IF(B1271&gt;=in_marketplace_from,d_hz_hlth_family*G1271,0)</f>
        <v/>
      </c>
      <c r="AJ1271" s="14">
        <f>F1271*AI1271*in_hlth_family_ticket*in_hlth_family_comm*in_ins_partner_share+F1271*in_hlth_family_ticket*in_hlth_family_renew_comm*in_ins_partner_share*(in_hlth_family_renew^1*SUMIFS(AI1271:AI1303,B1271:B1303,B1271-12)+in_hlth_family_renew^2*SUMIFS(AI1271:AI1303,B1271:B1303,B1271-24)+in_hlth_family_renew^3*SUMIFS(AI1271:AI1303,B1271:B1303,B1271-36)+in_hlth_family_renew^4*SUMIFS(AI1271:AI1303,B1271:B1303,B1271-48))</f>
        <v/>
      </c>
      <c r="AK1271" s="40" t="n">
        <v>1</v>
      </c>
      <c r="AL1271" s="46">
        <f>AK1271*IF(B1271&gt;=in_marketplace_from,d_hz_life_term*G1271,0)</f>
        <v/>
      </c>
      <c r="AM1271" s="14">
        <f>F1271*AL1271*in_life_term_ticket*in_life_term_comm*in_ins_partner_share+F1271*in_life_term_ticket*in_life_term_renew_comm*in_ins_partner_share*(in_life_term_renew^1*SUMIFS(AL1271:AL1303,B1271:B1303,B1271-12)+in_life_term_renew^2*SUMIFS(AL1271:AL1303,B1271:B1303,B1271-24)+in_life_term_renew^3*SUMIFS(AL1271:AL1303,B1271:B1303,B1271-36)+in_life_term_renew^4*SUMIFS(AL1271:AL1303,B1271:B1303,B1271-48))</f>
        <v/>
      </c>
      <c r="AN1271" s="40" t="n">
        <v>1</v>
      </c>
      <c r="AO1271" s="46">
        <f>AN1271*IF(B1271&gt;=in_marketplace_from,d_hz_accident*G1271,0)</f>
        <v/>
      </c>
      <c r="AP1271" s="14">
        <f>F1271*AO1271*in_accident_ticket*in_accident_comm*in_ins_partner_share+F1271*in_accident_ticket*in_accident_renew_comm*in_ins_partner_share*(in_accident_renew^1*SUMIFS(AO1271:AO1303,B1271:B1303,B1271-12)+in_accident_renew^2*SUMIFS(AO1271:AO1303,B1271:B1303,B1271-24)+in_accident_renew^3*SUMIFS(AO1271:AO1303,B1271:B1303,B1271-36)+in_accident_renew^4*SUMIFS(AO1271:AO1303,B1271:B1303,B1271-48))</f>
        <v/>
      </c>
      <c r="AQ1271" s="40" t="n">
        <v>1</v>
      </c>
      <c r="AR1271" s="46">
        <f>AQ1271*IF(B1271&gt;=in_marketplace_from,d_hz_two_wheeler*G1271,0)</f>
        <v/>
      </c>
      <c r="AS1271" s="14">
        <f>F1271*AR1271*in_two_wheeler_ticket*in_two_wheeler_comm*in_ins_partner_share+F1271*in_two_wheeler_ticket*in_two_wheeler_comm*in_ins_partner_share*(in_two_wheeler_renew^1*SUMIFS(AR1271:AR1303,B1271:B1303,B1271-12)+in_two_wheeler_renew^2*SUMIFS(AR1271:AR1303,B1271:B1303,B1271-24)+in_two_wheeler_renew^3*SUMIFS(AR1271:AR1303,B1271:B1303,B1271-36)+in_two_wheeler_renew^4*SUMIFS(AR1271:AR1303,B1271:B1303,B1271-48))</f>
        <v/>
      </c>
      <c r="AT1271" s="40" t="n">
        <v>1</v>
      </c>
      <c r="AU1271" s="14">
        <f>F1271*AT1271*IF(B1271&gt;=in_marketplace_from,d_hz_device*G1271,0)*in_device_ticket*in_device_comm*in_ins_partner_share</f>
        <v/>
      </c>
      <c r="AV1271" s="40" t="n">
        <v>1</v>
      </c>
      <c r="AW1271" s="46">
        <f>AV1271*IF(B1271&gt;=in_marketplace_from,d_hz_shop*G1271,0)</f>
        <v/>
      </c>
      <c r="AX1271" s="14">
        <f>F1271*AW1271*in_shop_ticket*in_shop_comm*in_ins_partner_share+F1271*in_shop_ticket*in_shop_renew_comm*in_ins_partner_share*(in_shop_renew^1*SUMIFS(AW1271:AW1303,B1271:B1303,B1271-12)+in_shop_renew^2*SUMIFS(AW1271:AW1303,B1271:B1303,B1271-24)+in_shop_renew^3*SUMIFS(AW1271:AW1303,B1271:B1303,B1271-36)+in_shop_renew^4*SUMIFS(AW1271:AW1303,B1271:B1303,B1271-48))</f>
        <v/>
      </c>
      <c r="AY1271" s="40" t="n">
        <v>1</v>
      </c>
      <c r="AZ1271" s="40">
        <f>AY1271*IF(B1271&gt;=in_marketplace_from,d_hz_sip*G1271,0)</f>
        <v/>
      </c>
      <c r="BA1271" s="40" t="n">
        <v>0</v>
      </c>
      <c r="BB1271" s="14">
        <f>F1271*in_sip_ticket*(BA1271+0.5*AZ1271)*in_sip_comm/12</f>
        <v/>
      </c>
      <c r="BC1271" s="40" t="n">
        <v>1</v>
      </c>
      <c r="BD1271" s="46">
        <f>BC1271*IF(B1271&gt;=in_marketplace_from,d_hz_choti*G1271,0)</f>
        <v/>
      </c>
      <c r="BE1271" s="14">
        <f>F1271*SUMIFS(BD1271:BD1303,B1271:B1303,B1271-in_choti_months)*in_choti_renew*in_choti_ticket</f>
        <v/>
      </c>
      <c r="BF1271" s="40" t="n">
        <v>1</v>
      </c>
      <c r="BG1271" s="14">
        <f>F1271*BF1271*IF(B1271&gt;=in_marketplace_from,d_hz_nps*G1271,0)*in_nps_ticket*in_nps_comm</f>
        <v/>
      </c>
      <c r="BH1271" s="40" t="n">
        <v>1</v>
      </c>
      <c r="BI1271" s="40">
        <f>BH1271*IF(B1271&gt;=in_marketplace_from,d_hz_gold*G1271,0)</f>
        <v/>
      </c>
      <c r="BJ1271" s="14">
        <f>F1271*BI1271*in_gold_ticket*in_gold_comm</f>
        <v/>
      </c>
      <c r="BK1271" s="40" t="n">
        <v>1</v>
      </c>
      <c r="BL1271" s="14">
        <f>F1271*BK1271*IF(B1271&gt;=in_marketplace_from,d_hz_fd*G1271,0)*in_fd_ticket*in_fd_comm</f>
        <v/>
      </c>
      <c r="BM1271" s="40" t="n">
        <v>1</v>
      </c>
      <c r="BN1271" s="40">
        <f>BM1271*IF(B1271&gt;=in_marketplace_from,d_hz_recharge*G1271,0)</f>
        <v/>
      </c>
      <c r="BO1271" s="14">
        <f>F1271*BN1271*in_recharge_ticket*in_recharge_comm/12</f>
        <v/>
      </c>
      <c r="BP1271" s="40" t="n">
        <v>1</v>
      </c>
      <c r="BQ1271" s="40">
        <f>BP1271*IF(B1271&gt;=in_marketplace_from,d_hz_bills*G1271,0)</f>
        <v/>
      </c>
      <c r="BR1271" s="14">
        <f>F1271*BQ1271*in_bills_ticket*in_bills_comm/12</f>
        <v/>
      </c>
      <c r="BS1271" s="40" t="n">
        <v>1</v>
      </c>
      <c r="BT1271" s="14">
        <f>F1271*BS1271*IF(B1271&gt;=in_marketplace_from,d_hz_loan_gold*G1271,0)*in_loan_gold_ticket*in_loan_gold_comm</f>
        <v/>
      </c>
      <c r="BU1271" s="40" t="n">
        <v>1</v>
      </c>
      <c r="BV1271" s="14">
        <f>F1271*BU1271*IF(B1271&gt;=in_marketplace_from,d_hz_loan_cd*G1271,0)*in_loan_cd_ticket*in_loan_cd_comm</f>
        <v/>
      </c>
      <c r="BW1271" s="40" t="n">
        <v>1</v>
      </c>
      <c r="BX1271" s="14">
        <f>F1271*BW1271*IF(B1271&gt;=in_marketplace_from,d_hz_loan_vehicle*G1271,0)*in_loan_vehicle_ticket*in_loan_vehicle_comm</f>
        <v/>
      </c>
      <c r="BY1271" s="40" t="n">
        <v>1</v>
      </c>
      <c r="BZ1271" s="11">
        <f>MIN(in_approval_cap,in_loan_home_approval*INDEX('Age profile'!$O$2:$O$61,B1271)*(1+in_approval_growth)^(D1271-1))</f>
        <v/>
      </c>
      <c r="CA1271" s="14">
        <f>F1271*BY1271*IF(B1271&gt;=in_marketplace_from,d_hz_loan_home*G1271,0)*BZ1271*in_loan_home_ticket*in_loan_home_comm</f>
        <v/>
      </c>
      <c r="CB1271" s="40" t="n">
        <v>1</v>
      </c>
      <c r="CC1271" s="11">
        <f>MIN(in_approval_cap,in_loan_lap_approval*INDEX('Age profile'!$O$2:$O$61,B1271)*(1+in_approval_growth)^(D1271-1))</f>
        <v/>
      </c>
      <c r="CD1271" s="14">
        <f>F1271*CB1271*IF(B1271&gt;=in_marketplace_from,d_hz_loan_lap*G1271,0)*CC1271*in_loan_lap_ticket*in_loan_lap_comm</f>
        <v/>
      </c>
      <c r="CE1271" s="14">
        <f>AA1271+AB1271+AC1271+AD1271+AG1271+AJ1271+AM1271+AP1271+AS1271+AU1271+AX1271+BB1271+BE1271+BG1271+BJ1271+BL1271+BO1271+BR1271+BT1271+BV1271+BX1271+CA1271+CD1271</f>
        <v/>
      </c>
    </row>
    <row r="1272">
      <c r="A1272" s="39" t="n">
        <v>28</v>
      </c>
      <c r="B1272" s="39" t="n">
        <v>2</v>
      </c>
      <c r="C1272" s="39">
        <f>A1272+B1272-1</f>
        <v/>
      </c>
      <c r="D1272" s="39">
        <f>INT((C1272-1)/12)+1</f>
        <v/>
      </c>
      <c r="E1272" s="44">
        <f>INDEX(Monthly!$B$2:$B$61,A1272)</f>
        <v/>
      </c>
      <c r="F1272" s="44">
        <f>E1272*INDEX('Age profile'!$B$2:$B$61,B1272)</f>
        <v/>
      </c>
      <c r="G1272" s="45">
        <f>MIN(in_takeup_cap,INDEX('Age profile'!$N$2:$N$61,B1272)*(1+in_takeup_growth)^(D1272-1))</f>
        <v/>
      </c>
      <c r="H1272" s="11">
        <f>MIN(in_approval_cap,in_approved_first*INDEX('Age profile'!$O$2:$O$61,B1272)*(1+in_approval_growth)^(D1272-1))</f>
        <v/>
      </c>
      <c r="I1272" s="45">
        <f>G1272*MIN(in_takeup_cap,INDEX('Age profile'!$O$2:$O$61,B1272)*(1+in_approval_growth)^(D1272-1))</f>
        <v/>
      </c>
      <c r="J1272" s="40">
        <f>(J1271-L1271)*F1272/F1271</f>
        <v/>
      </c>
      <c r="K1272" s="40">
        <f>(K1271-M1271)*F1272/F1271+SUMIFS(O1271:O1271,B1271:B1271,B1272-1-d_T)*F1272</f>
        <v/>
      </c>
      <c r="L1272" s="40">
        <f>IF(B1272&gt;=in_marketplace_from,J1272*d_hz*G1272*in_eligible*H1272,0)</f>
        <v/>
      </c>
      <c r="M1272" s="40">
        <f>IF(B1272&gt;=in_marketplace_from,K1272*d_hz*G1272*in_eligible*in_approved_repeat,0)</f>
        <v/>
      </c>
      <c r="N1272" s="40">
        <f>L1272+M1272</f>
        <v/>
      </c>
      <c r="O1272" s="46">
        <f>N1272/F1272</f>
        <v/>
      </c>
      <c r="P1272" s="40">
        <f>F1272-J1272-K1272</f>
        <v/>
      </c>
      <c r="Q1272" s="40">
        <f>IF(B1272&gt;=in_marketplace_from,(J1272+K1272)*d_hz*G1272,0)</f>
        <v/>
      </c>
      <c r="R1272" s="40">
        <f>SUMIFS(N1271:N1303,B1271:B1303,"&gt;="&amp;(B1272-d_T),B1271:B1303,"&lt;="&amp;(B1272-1))</f>
        <v/>
      </c>
      <c r="S1272" s="46">
        <f>(1-d_u)*S1271+IF(d_T&gt;in_topup_lag,SUMIFS(O1271:O1303,B1271:B1303,B1272-in_topup_lag)-d_udrop*SUMIFS(O1271:O1303,B1271:B1303,B1272-d_T),0)</f>
        <v/>
      </c>
      <c r="T1272" s="40">
        <f>F1272*d_u*S1272</f>
        <v/>
      </c>
      <c r="U1272" s="9">
        <f>L1272*in_ticket+M1272*d_rep_ticket</f>
        <v/>
      </c>
      <c r="V1272" s="9">
        <f>U1272+T1272*d_topup_amt</f>
        <v/>
      </c>
      <c r="W1272" s="40">
        <f>N1272+T1272*d_topup_ratio</f>
        <v/>
      </c>
      <c r="X1272" s="40">
        <f>SUMIFS(W1271:W1303,B1271:B1303,B1272-in_dpd_lag)*d_cured</f>
        <v/>
      </c>
      <c r="Y1272" s="40">
        <f>SUMIFS(W1271:W1303,B1271:B1303,B1272-in_rec_lag)*d_recd</f>
        <v/>
      </c>
      <c r="Z1272" s="40">
        <f>IF(AND(B1272&gt;=in_marketplace_from,B1272&lt;in_marketplace_from+in_card_months),in_card_share/in_card_months*F1272*I1272,IF(AND(B1272&gt;=in_marketplace_from+in_card_months,B1272&lt;in_marketplace_from+2*in_card_months),in_card_share*d_card_rem/in_card_months*F1272*MIN(in_takeup_cap,(1+in_takeup_growth)^(D1272-1))*MIN(in_takeup_cap,(1+in_approval_growth)^(D1272-1)),0))</f>
        <v/>
      </c>
      <c r="AA1272" s="14">
        <f>V1272*in_fee*(1-in_taken_back)</f>
        <v/>
      </c>
      <c r="AB1272" s="14">
        <f>SUMIFS(W1271:W1303,B1271:B1303,B1272-in_dpd_lag)*d_dpd</f>
        <v/>
      </c>
      <c r="AC1272" s="14">
        <f>SUMIFS(W1271:W1303,B1271:B1303,B1272-in_rec_lag)*d_rec</f>
        <v/>
      </c>
      <c r="AD1272" s="14">
        <f>Z1272*in_card_fee</f>
        <v/>
      </c>
      <c r="AE1272" s="40">
        <f>AE1271*(1-IF(B1271&gt;=in_marketplace_from,d_hz_hlth_small*G1271,0))</f>
        <v/>
      </c>
      <c r="AF1272" s="46">
        <f>AE1272*IF(B1272&gt;=in_marketplace_from,d_hz_hlth_small*G1272,0)</f>
        <v/>
      </c>
      <c r="AG1272" s="14">
        <f>F1272*AF1272*in_hlth_small_ticket*in_hlth_small_comm*in_ins_partner_share+F1272*in_hlth_small_ticket*in_hlth_small_renew_comm*in_ins_partner_share*(in_hlth_small_renew^1*SUMIFS(AF1271:AF1303,B1271:B1303,B1272-12)+in_hlth_small_renew^2*SUMIFS(AF1271:AF1303,B1271:B1303,B1272-24)+in_hlth_small_renew^3*SUMIFS(AF1271:AF1303,B1271:B1303,B1272-36)+in_hlth_small_renew^4*SUMIFS(AF1271:AF1303,B1271:B1303,B1272-48))</f>
        <v/>
      </c>
      <c r="AH1272" s="40">
        <f>AH1271*(1-IF(B1271&gt;=in_marketplace_from,d_hz_hlth_family*G1271,0))</f>
        <v/>
      </c>
      <c r="AI1272" s="46">
        <f>AH1272*IF(B1272&gt;=in_marketplace_from,d_hz_hlth_family*G1272,0)</f>
        <v/>
      </c>
      <c r="AJ1272" s="14">
        <f>F1272*AI1272*in_hlth_family_ticket*in_hlth_family_comm*in_ins_partner_share+F1272*in_hlth_family_ticket*in_hlth_family_renew_comm*in_ins_partner_share*(in_hlth_family_renew^1*SUMIFS(AI1271:AI1303,B1271:B1303,B1272-12)+in_hlth_family_renew^2*SUMIFS(AI1271:AI1303,B1271:B1303,B1272-24)+in_hlth_family_renew^3*SUMIFS(AI1271:AI1303,B1271:B1303,B1272-36)+in_hlth_family_renew^4*SUMIFS(AI1271:AI1303,B1271:B1303,B1272-48))</f>
        <v/>
      </c>
      <c r="AK1272" s="40">
        <f>AK1271*(1-IF(B1271&gt;=in_marketplace_from,d_hz_life_term*G1271,0))</f>
        <v/>
      </c>
      <c r="AL1272" s="46">
        <f>AK1272*IF(B1272&gt;=in_marketplace_from,d_hz_life_term*G1272,0)</f>
        <v/>
      </c>
      <c r="AM1272" s="14">
        <f>F1272*AL1272*in_life_term_ticket*in_life_term_comm*in_ins_partner_share+F1272*in_life_term_ticket*in_life_term_renew_comm*in_ins_partner_share*(in_life_term_renew^1*SUMIFS(AL1271:AL1303,B1271:B1303,B1272-12)+in_life_term_renew^2*SUMIFS(AL1271:AL1303,B1271:B1303,B1272-24)+in_life_term_renew^3*SUMIFS(AL1271:AL1303,B1271:B1303,B1272-36)+in_life_term_renew^4*SUMIFS(AL1271:AL1303,B1271:B1303,B1272-48))</f>
        <v/>
      </c>
      <c r="AN1272" s="40">
        <f>AN1271*(1-IF(B1271&gt;=in_marketplace_from,d_hz_accident*G1271,0))</f>
        <v/>
      </c>
      <c r="AO1272" s="46">
        <f>AN1272*IF(B1272&gt;=in_marketplace_from,d_hz_accident*G1272,0)</f>
        <v/>
      </c>
      <c r="AP1272" s="14">
        <f>F1272*AO1272*in_accident_ticket*in_accident_comm*in_ins_partner_share+F1272*in_accident_ticket*in_accident_renew_comm*in_ins_partner_share*(in_accident_renew^1*SUMIFS(AO1271:AO1303,B1271:B1303,B1272-12)+in_accident_renew^2*SUMIFS(AO1271:AO1303,B1271:B1303,B1272-24)+in_accident_renew^3*SUMIFS(AO1271:AO1303,B1271:B1303,B1272-36)+in_accident_renew^4*SUMIFS(AO1271:AO1303,B1271:B1303,B1272-48))</f>
        <v/>
      </c>
      <c r="AQ1272" s="40">
        <f>AQ1271*(1-IF(B1271&gt;=in_marketplace_from,d_hz_two_wheeler*G1271,0))</f>
        <v/>
      </c>
      <c r="AR1272" s="46">
        <f>AQ1272*IF(B1272&gt;=in_marketplace_from,d_hz_two_wheeler*G1272,0)</f>
        <v/>
      </c>
      <c r="AS1272" s="14">
        <f>F1272*AR1272*in_two_wheeler_ticket*in_two_wheeler_comm*in_ins_partner_share+F1272*in_two_wheeler_ticket*in_two_wheeler_comm*in_ins_partner_share*(in_two_wheeler_renew^1*SUMIFS(AR1271:AR1303,B1271:B1303,B1272-12)+in_two_wheeler_renew^2*SUMIFS(AR1271:AR1303,B1271:B1303,B1272-24)+in_two_wheeler_renew^3*SUMIFS(AR1271:AR1303,B1271:B1303,B1272-36)+in_two_wheeler_renew^4*SUMIFS(AR1271:AR1303,B1271:B1303,B1272-48))</f>
        <v/>
      </c>
      <c r="AT1272" s="40">
        <f>AT1271*(1-IF(B1271&gt;=in_marketplace_from,d_hz_device*G1271,0))</f>
        <v/>
      </c>
      <c r="AU1272" s="14">
        <f>F1272*AT1272*IF(B1272&gt;=in_marketplace_from,d_hz_device*G1272,0)*in_device_ticket*in_device_comm*in_ins_partner_share</f>
        <v/>
      </c>
      <c r="AV1272" s="40">
        <f>AV1271*(1-IF(B1271&gt;=in_marketplace_from,d_hz_shop*G1271,0))</f>
        <v/>
      </c>
      <c r="AW1272" s="46">
        <f>AV1272*IF(B1272&gt;=in_marketplace_from,d_hz_shop*G1272,0)</f>
        <v/>
      </c>
      <c r="AX1272" s="14">
        <f>F1272*AW1272*in_shop_ticket*in_shop_comm*in_ins_partner_share+F1272*in_shop_ticket*in_shop_renew_comm*in_ins_partner_share*(in_shop_renew^1*SUMIFS(AW1271:AW1303,B1271:B1303,B1272-12)+in_shop_renew^2*SUMIFS(AW1271:AW1303,B1271:B1303,B1272-24)+in_shop_renew^3*SUMIFS(AW1271:AW1303,B1271:B1303,B1272-36)+in_shop_renew^4*SUMIFS(AW1271:AW1303,B1271:B1303,B1272-48))</f>
        <v/>
      </c>
      <c r="AY1272" s="40">
        <f>AY1271*(1-IF(B1271&gt;=in_marketplace_from,d_hz_sip*G1271,0))</f>
        <v/>
      </c>
      <c r="AZ1272" s="40">
        <f>AZ1271*d_rho_sip+AY1272*IF(B1272&gt;=in_marketplace_from,d_hz_sip*G1272,0)</f>
        <v/>
      </c>
      <c r="BA1272" s="40">
        <f>d_rho_sip*(BA1271+AZ1271)</f>
        <v/>
      </c>
      <c r="BB1272" s="14">
        <f>F1272*in_sip_ticket*(BA1272+0.5*AZ1272)*in_sip_comm/12</f>
        <v/>
      </c>
      <c r="BC1272" s="40">
        <f>BC1271*(1-IF(B1271&gt;=in_marketplace_from,d_hz_choti*G1271,0))</f>
        <v/>
      </c>
      <c r="BD1272" s="46">
        <f>BC1272*IF(B1272&gt;=in_marketplace_from,d_hz_choti*G1272,0)</f>
        <v/>
      </c>
      <c r="BE1272" s="14">
        <f>F1272*SUMIFS(BD1271:BD1303,B1271:B1303,B1272-in_choti_months)*in_choti_renew*in_choti_ticket</f>
        <v/>
      </c>
      <c r="BF1272" s="40">
        <f>BF1271*(1-IF(B1271&gt;=in_marketplace_from,d_hz_nps*G1271,0))</f>
        <v/>
      </c>
      <c r="BG1272" s="14">
        <f>F1272*BF1272*IF(B1272&gt;=in_marketplace_from,d_hz_nps*G1272,0)*in_nps_ticket*in_nps_comm</f>
        <v/>
      </c>
      <c r="BH1272" s="40">
        <f>BH1271*(1-IF(B1271&gt;=in_marketplace_from,d_hz_gold*G1271,0))</f>
        <v/>
      </c>
      <c r="BI1272" s="40">
        <f>BI1271*d_rho_gold+BH1272*IF(B1272&gt;=in_marketplace_from,d_hz_gold*G1272,0)</f>
        <v/>
      </c>
      <c r="BJ1272" s="14">
        <f>F1272*BI1272*in_gold_ticket*in_gold_comm</f>
        <v/>
      </c>
      <c r="BK1272" s="40">
        <f>BK1271*(1-IF(B1271&gt;=in_marketplace_from,d_hz_fd*G1271,0))</f>
        <v/>
      </c>
      <c r="BL1272" s="14">
        <f>F1272*BK1272*IF(B1272&gt;=in_marketplace_from,d_hz_fd*G1272,0)*in_fd_ticket*in_fd_comm</f>
        <v/>
      </c>
      <c r="BM1272" s="40">
        <f>BM1271*(1-IF(B1271&gt;=in_marketplace_from,d_hz_recharge*G1271,0))</f>
        <v/>
      </c>
      <c r="BN1272" s="40">
        <f>BN1271*d_rho_recharge+BM1272*IF(B1272&gt;=in_marketplace_from,d_hz_recharge*G1272,0)</f>
        <v/>
      </c>
      <c r="BO1272" s="14">
        <f>F1272*BN1272*in_recharge_ticket*in_recharge_comm/12</f>
        <v/>
      </c>
      <c r="BP1272" s="40">
        <f>BP1271*(1-IF(B1271&gt;=in_marketplace_from,d_hz_bills*G1271,0))</f>
        <v/>
      </c>
      <c r="BQ1272" s="40">
        <f>BQ1271*d_rho_bills+BP1272*IF(B1272&gt;=in_marketplace_from,d_hz_bills*G1272,0)</f>
        <v/>
      </c>
      <c r="BR1272" s="14">
        <f>F1272*BQ1272*in_bills_ticket*in_bills_comm/12</f>
        <v/>
      </c>
      <c r="BS1272" s="40">
        <f>BS1271*(1-IF(B1271&gt;=in_marketplace_from,d_hz_loan_gold*G1271,0))</f>
        <v/>
      </c>
      <c r="BT1272" s="14">
        <f>F1272*BS1272*IF(B1272&gt;=in_marketplace_from,d_hz_loan_gold*G1272,0)*in_loan_gold_ticket*in_loan_gold_comm</f>
        <v/>
      </c>
      <c r="BU1272" s="40">
        <f>BU1271*(1-IF(B1271&gt;=in_marketplace_from,d_hz_loan_cd*G1271,0))</f>
        <v/>
      </c>
      <c r="BV1272" s="14">
        <f>F1272*BU1272*IF(B1272&gt;=in_marketplace_from,d_hz_loan_cd*G1272,0)*in_loan_cd_ticket*in_loan_cd_comm</f>
        <v/>
      </c>
      <c r="BW1272" s="40">
        <f>BW1271*(1-IF(B1271&gt;=in_marketplace_from,d_hz_loan_vehicle*G1271,0))</f>
        <v/>
      </c>
      <c r="BX1272" s="14">
        <f>F1272*BW1272*IF(B1272&gt;=in_marketplace_from,d_hz_loan_vehicle*G1272,0)*in_loan_vehicle_ticket*in_loan_vehicle_comm</f>
        <v/>
      </c>
      <c r="BY1272" s="40">
        <f>BY1271*(1-IF(B1271&gt;=in_marketplace_from,d_hz_loan_home*G1271,0)*BZ1271)</f>
        <v/>
      </c>
      <c r="BZ1272" s="11">
        <f>MIN(in_approval_cap,in_loan_home_approval*INDEX('Age profile'!$O$2:$O$61,B1272)*(1+in_approval_growth)^(D1272-1))</f>
        <v/>
      </c>
      <c r="CA1272" s="14">
        <f>F1272*BY1272*IF(B1272&gt;=in_marketplace_from,d_hz_loan_home*G1272,0)*BZ1272*in_loan_home_ticket*in_loan_home_comm</f>
        <v/>
      </c>
      <c r="CB1272" s="40">
        <f>CB1271*(1-IF(B1271&gt;=in_marketplace_from,d_hz_loan_lap*G1271,0)*CC1271)</f>
        <v/>
      </c>
      <c r="CC1272" s="11">
        <f>MIN(in_approval_cap,in_loan_lap_approval*INDEX('Age profile'!$O$2:$O$61,B1272)*(1+in_approval_growth)^(D1272-1))</f>
        <v/>
      </c>
      <c r="CD1272" s="14">
        <f>F1272*CB1272*IF(B1272&gt;=in_marketplace_from,d_hz_loan_lap*G1272,0)*CC1272*in_loan_lap_ticket*in_loan_lap_comm</f>
        <v/>
      </c>
      <c r="CE1272" s="14">
        <f>AA1272+AB1272+AC1272+AD1272+AG1272+AJ1272+AM1272+AP1272+AS1272+AU1272+AX1272+BB1272+BE1272+BG1272+BJ1272+BL1272+BO1272+BR1272+BT1272+BV1272+BX1272+CA1272+CD1272</f>
        <v/>
      </c>
    </row>
    <row r="1273">
      <c r="A1273" s="39" t="n">
        <v>28</v>
      </c>
      <c r="B1273" s="39" t="n">
        <v>3</v>
      </c>
      <c r="C1273" s="39">
        <f>A1273+B1273-1</f>
        <v/>
      </c>
      <c r="D1273" s="39">
        <f>INT((C1273-1)/12)+1</f>
        <v/>
      </c>
      <c r="E1273" s="44">
        <f>INDEX(Monthly!$B$2:$B$61,A1273)</f>
        <v/>
      </c>
      <c r="F1273" s="44">
        <f>E1273*INDEX('Age profile'!$B$2:$B$61,B1273)</f>
        <v/>
      </c>
      <c r="G1273" s="45">
        <f>MIN(in_takeup_cap,INDEX('Age profile'!$N$2:$N$61,B1273)*(1+in_takeup_growth)^(D1273-1))</f>
        <v/>
      </c>
      <c r="H1273" s="11">
        <f>MIN(in_approval_cap,in_approved_first*INDEX('Age profile'!$O$2:$O$61,B1273)*(1+in_approval_growth)^(D1273-1))</f>
        <v/>
      </c>
      <c r="I1273" s="45">
        <f>G1273*MIN(in_takeup_cap,INDEX('Age profile'!$O$2:$O$61,B1273)*(1+in_approval_growth)^(D1273-1))</f>
        <v/>
      </c>
      <c r="J1273" s="40">
        <f>(J1272-L1272)*F1273/F1272</f>
        <v/>
      </c>
      <c r="K1273" s="40">
        <f>(K1272-M1272)*F1273/F1272+SUMIFS(O1271:O1272,B1271:B1272,B1273-1-d_T)*F1273</f>
        <v/>
      </c>
      <c r="L1273" s="40">
        <f>IF(B1273&gt;=in_marketplace_from,J1273*d_hz*G1273*in_eligible*H1273,0)</f>
        <v/>
      </c>
      <c r="M1273" s="40">
        <f>IF(B1273&gt;=in_marketplace_from,K1273*d_hz*G1273*in_eligible*in_approved_repeat,0)</f>
        <v/>
      </c>
      <c r="N1273" s="40">
        <f>L1273+M1273</f>
        <v/>
      </c>
      <c r="O1273" s="46">
        <f>N1273/F1273</f>
        <v/>
      </c>
      <c r="P1273" s="40">
        <f>F1273-J1273-K1273</f>
        <v/>
      </c>
      <c r="Q1273" s="40">
        <f>IF(B1273&gt;=in_marketplace_from,(J1273+K1273)*d_hz*G1273,0)</f>
        <v/>
      </c>
      <c r="R1273" s="40">
        <f>SUMIFS(N1271:N1303,B1271:B1303,"&gt;="&amp;(B1273-d_T),B1271:B1303,"&lt;="&amp;(B1273-1))</f>
        <v/>
      </c>
      <c r="S1273" s="46">
        <f>(1-d_u)*S1272+IF(d_T&gt;in_topup_lag,SUMIFS(O1271:O1303,B1271:B1303,B1273-in_topup_lag)-d_udrop*SUMIFS(O1271:O1303,B1271:B1303,B1273-d_T),0)</f>
        <v/>
      </c>
      <c r="T1273" s="40">
        <f>F1273*d_u*S1273</f>
        <v/>
      </c>
      <c r="U1273" s="9">
        <f>L1273*in_ticket+M1273*d_rep_ticket</f>
        <v/>
      </c>
      <c r="V1273" s="9">
        <f>U1273+T1273*d_topup_amt</f>
        <v/>
      </c>
      <c r="W1273" s="40">
        <f>N1273+T1273*d_topup_ratio</f>
        <v/>
      </c>
      <c r="X1273" s="40">
        <f>SUMIFS(W1271:W1303,B1271:B1303,B1273-in_dpd_lag)*d_cured</f>
        <v/>
      </c>
      <c r="Y1273" s="40">
        <f>SUMIFS(W1271:W1303,B1271:B1303,B1273-in_rec_lag)*d_recd</f>
        <v/>
      </c>
      <c r="Z1273" s="40">
        <f>IF(AND(B1273&gt;=in_marketplace_from,B1273&lt;in_marketplace_from+in_card_months),in_card_share/in_card_months*F1273*I1273,IF(AND(B1273&gt;=in_marketplace_from+in_card_months,B1273&lt;in_marketplace_from+2*in_card_months),in_card_share*d_card_rem/in_card_months*F1273*MIN(in_takeup_cap,(1+in_takeup_growth)^(D1273-1))*MIN(in_takeup_cap,(1+in_approval_growth)^(D1273-1)),0))</f>
        <v/>
      </c>
      <c r="AA1273" s="14">
        <f>V1273*in_fee*(1-in_taken_back)</f>
        <v/>
      </c>
      <c r="AB1273" s="14">
        <f>SUMIFS(W1271:W1303,B1271:B1303,B1273-in_dpd_lag)*d_dpd</f>
        <v/>
      </c>
      <c r="AC1273" s="14">
        <f>SUMIFS(W1271:W1303,B1271:B1303,B1273-in_rec_lag)*d_rec</f>
        <v/>
      </c>
      <c r="AD1273" s="14">
        <f>Z1273*in_card_fee</f>
        <v/>
      </c>
      <c r="AE1273" s="40">
        <f>AE1272*(1-IF(B1272&gt;=in_marketplace_from,d_hz_hlth_small*G1272,0))</f>
        <v/>
      </c>
      <c r="AF1273" s="46">
        <f>AE1273*IF(B1273&gt;=in_marketplace_from,d_hz_hlth_small*G1273,0)</f>
        <v/>
      </c>
      <c r="AG1273" s="14">
        <f>F1273*AF1273*in_hlth_small_ticket*in_hlth_small_comm*in_ins_partner_share+F1273*in_hlth_small_ticket*in_hlth_small_renew_comm*in_ins_partner_share*(in_hlth_small_renew^1*SUMIFS(AF1271:AF1303,B1271:B1303,B1273-12)+in_hlth_small_renew^2*SUMIFS(AF1271:AF1303,B1271:B1303,B1273-24)+in_hlth_small_renew^3*SUMIFS(AF1271:AF1303,B1271:B1303,B1273-36)+in_hlth_small_renew^4*SUMIFS(AF1271:AF1303,B1271:B1303,B1273-48))</f>
        <v/>
      </c>
      <c r="AH1273" s="40">
        <f>AH1272*(1-IF(B1272&gt;=in_marketplace_from,d_hz_hlth_family*G1272,0))</f>
        <v/>
      </c>
      <c r="AI1273" s="46">
        <f>AH1273*IF(B1273&gt;=in_marketplace_from,d_hz_hlth_family*G1273,0)</f>
        <v/>
      </c>
      <c r="AJ1273" s="14">
        <f>F1273*AI1273*in_hlth_family_ticket*in_hlth_family_comm*in_ins_partner_share+F1273*in_hlth_family_ticket*in_hlth_family_renew_comm*in_ins_partner_share*(in_hlth_family_renew^1*SUMIFS(AI1271:AI1303,B1271:B1303,B1273-12)+in_hlth_family_renew^2*SUMIFS(AI1271:AI1303,B1271:B1303,B1273-24)+in_hlth_family_renew^3*SUMIFS(AI1271:AI1303,B1271:B1303,B1273-36)+in_hlth_family_renew^4*SUMIFS(AI1271:AI1303,B1271:B1303,B1273-48))</f>
        <v/>
      </c>
      <c r="AK1273" s="40">
        <f>AK1272*(1-IF(B1272&gt;=in_marketplace_from,d_hz_life_term*G1272,0))</f>
        <v/>
      </c>
      <c r="AL1273" s="46">
        <f>AK1273*IF(B1273&gt;=in_marketplace_from,d_hz_life_term*G1273,0)</f>
        <v/>
      </c>
      <c r="AM1273" s="14">
        <f>F1273*AL1273*in_life_term_ticket*in_life_term_comm*in_ins_partner_share+F1273*in_life_term_ticket*in_life_term_renew_comm*in_ins_partner_share*(in_life_term_renew^1*SUMIFS(AL1271:AL1303,B1271:B1303,B1273-12)+in_life_term_renew^2*SUMIFS(AL1271:AL1303,B1271:B1303,B1273-24)+in_life_term_renew^3*SUMIFS(AL1271:AL1303,B1271:B1303,B1273-36)+in_life_term_renew^4*SUMIFS(AL1271:AL1303,B1271:B1303,B1273-48))</f>
        <v/>
      </c>
      <c r="AN1273" s="40">
        <f>AN1272*(1-IF(B1272&gt;=in_marketplace_from,d_hz_accident*G1272,0))</f>
        <v/>
      </c>
      <c r="AO1273" s="46">
        <f>AN1273*IF(B1273&gt;=in_marketplace_from,d_hz_accident*G1273,0)</f>
        <v/>
      </c>
      <c r="AP1273" s="14">
        <f>F1273*AO1273*in_accident_ticket*in_accident_comm*in_ins_partner_share+F1273*in_accident_ticket*in_accident_renew_comm*in_ins_partner_share*(in_accident_renew^1*SUMIFS(AO1271:AO1303,B1271:B1303,B1273-12)+in_accident_renew^2*SUMIFS(AO1271:AO1303,B1271:B1303,B1273-24)+in_accident_renew^3*SUMIFS(AO1271:AO1303,B1271:B1303,B1273-36)+in_accident_renew^4*SUMIFS(AO1271:AO1303,B1271:B1303,B1273-48))</f>
        <v/>
      </c>
      <c r="AQ1273" s="40">
        <f>AQ1272*(1-IF(B1272&gt;=in_marketplace_from,d_hz_two_wheeler*G1272,0))</f>
        <v/>
      </c>
      <c r="AR1273" s="46">
        <f>AQ1273*IF(B1273&gt;=in_marketplace_from,d_hz_two_wheeler*G1273,0)</f>
        <v/>
      </c>
      <c r="AS1273" s="14">
        <f>F1273*AR1273*in_two_wheeler_ticket*in_two_wheeler_comm*in_ins_partner_share+F1273*in_two_wheeler_ticket*in_two_wheeler_comm*in_ins_partner_share*(in_two_wheeler_renew^1*SUMIFS(AR1271:AR1303,B1271:B1303,B1273-12)+in_two_wheeler_renew^2*SUMIFS(AR1271:AR1303,B1271:B1303,B1273-24)+in_two_wheeler_renew^3*SUMIFS(AR1271:AR1303,B1271:B1303,B1273-36)+in_two_wheeler_renew^4*SUMIFS(AR1271:AR1303,B1271:B1303,B1273-48))</f>
        <v/>
      </c>
      <c r="AT1273" s="40">
        <f>AT1272*(1-IF(B1272&gt;=in_marketplace_from,d_hz_device*G1272,0))</f>
        <v/>
      </c>
      <c r="AU1273" s="14">
        <f>F1273*AT1273*IF(B1273&gt;=in_marketplace_from,d_hz_device*G1273,0)*in_device_ticket*in_device_comm*in_ins_partner_share</f>
        <v/>
      </c>
      <c r="AV1273" s="40">
        <f>AV1272*(1-IF(B1272&gt;=in_marketplace_from,d_hz_shop*G1272,0))</f>
        <v/>
      </c>
      <c r="AW1273" s="46">
        <f>AV1273*IF(B1273&gt;=in_marketplace_from,d_hz_shop*G1273,0)</f>
        <v/>
      </c>
      <c r="AX1273" s="14">
        <f>F1273*AW1273*in_shop_ticket*in_shop_comm*in_ins_partner_share+F1273*in_shop_ticket*in_shop_renew_comm*in_ins_partner_share*(in_shop_renew^1*SUMIFS(AW1271:AW1303,B1271:B1303,B1273-12)+in_shop_renew^2*SUMIFS(AW1271:AW1303,B1271:B1303,B1273-24)+in_shop_renew^3*SUMIFS(AW1271:AW1303,B1271:B1303,B1273-36)+in_shop_renew^4*SUMIFS(AW1271:AW1303,B1271:B1303,B1273-48))</f>
        <v/>
      </c>
      <c r="AY1273" s="40">
        <f>AY1272*(1-IF(B1272&gt;=in_marketplace_from,d_hz_sip*G1272,0))</f>
        <v/>
      </c>
      <c r="AZ1273" s="40">
        <f>AZ1272*d_rho_sip+AY1273*IF(B1273&gt;=in_marketplace_from,d_hz_sip*G1273,0)</f>
        <v/>
      </c>
      <c r="BA1273" s="40">
        <f>d_rho_sip*(BA1272+AZ1272)</f>
        <v/>
      </c>
      <c r="BB1273" s="14">
        <f>F1273*in_sip_ticket*(BA1273+0.5*AZ1273)*in_sip_comm/12</f>
        <v/>
      </c>
      <c r="BC1273" s="40">
        <f>BC1272*(1-IF(B1272&gt;=in_marketplace_from,d_hz_choti*G1272,0))</f>
        <v/>
      </c>
      <c r="BD1273" s="46">
        <f>BC1273*IF(B1273&gt;=in_marketplace_from,d_hz_choti*G1273,0)</f>
        <v/>
      </c>
      <c r="BE1273" s="14">
        <f>F1273*SUMIFS(BD1271:BD1303,B1271:B1303,B1273-in_choti_months)*in_choti_renew*in_choti_ticket</f>
        <v/>
      </c>
      <c r="BF1273" s="40">
        <f>BF1272*(1-IF(B1272&gt;=in_marketplace_from,d_hz_nps*G1272,0))</f>
        <v/>
      </c>
      <c r="BG1273" s="14">
        <f>F1273*BF1273*IF(B1273&gt;=in_marketplace_from,d_hz_nps*G1273,0)*in_nps_ticket*in_nps_comm</f>
        <v/>
      </c>
      <c r="BH1273" s="40">
        <f>BH1272*(1-IF(B1272&gt;=in_marketplace_from,d_hz_gold*G1272,0))</f>
        <v/>
      </c>
      <c r="BI1273" s="40">
        <f>BI1272*d_rho_gold+BH1273*IF(B1273&gt;=in_marketplace_from,d_hz_gold*G1273,0)</f>
        <v/>
      </c>
      <c r="BJ1273" s="14">
        <f>F1273*BI1273*in_gold_ticket*in_gold_comm</f>
        <v/>
      </c>
      <c r="BK1273" s="40">
        <f>BK1272*(1-IF(B1272&gt;=in_marketplace_from,d_hz_fd*G1272,0))</f>
        <v/>
      </c>
      <c r="BL1273" s="14">
        <f>F1273*BK1273*IF(B1273&gt;=in_marketplace_from,d_hz_fd*G1273,0)*in_fd_ticket*in_fd_comm</f>
        <v/>
      </c>
      <c r="BM1273" s="40">
        <f>BM1272*(1-IF(B1272&gt;=in_marketplace_from,d_hz_recharge*G1272,0))</f>
        <v/>
      </c>
      <c r="BN1273" s="40">
        <f>BN1272*d_rho_recharge+BM1273*IF(B1273&gt;=in_marketplace_from,d_hz_recharge*G1273,0)</f>
        <v/>
      </c>
      <c r="BO1273" s="14">
        <f>F1273*BN1273*in_recharge_ticket*in_recharge_comm/12</f>
        <v/>
      </c>
      <c r="BP1273" s="40">
        <f>BP1272*(1-IF(B1272&gt;=in_marketplace_from,d_hz_bills*G1272,0))</f>
        <v/>
      </c>
      <c r="BQ1273" s="40">
        <f>BQ1272*d_rho_bills+BP1273*IF(B1273&gt;=in_marketplace_from,d_hz_bills*G1273,0)</f>
        <v/>
      </c>
      <c r="BR1273" s="14">
        <f>F1273*BQ1273*in_bills_ticket*in_bills_comm/12</f>
        <v/>
      </c>
      <c r="BS1273" s="40">
        <f>BS1272*(1-IF(B1272&gt;=in_marketplace_from,d_hz_loan_gold*G1272,0))</f>
        <v/>
      </c>
      <c r="BT1273" s="14">
        <f>F1273*BS1273*IF(B1273&gt;=in_marketplace_from,d_hz_loan_gold*G1273,0)*in_loan_gold_ticket*in_loan_gold_comm</f>
        <v/>
      </c>
      <c r="BU1273" s="40">
        <f>BU1272*(1-IF(B1272&gt;=in_marketplace_from,d_hz_loan_cd*G1272,0))</f>
        <v/>
      </c>
      <c r="BV1273" s="14">
        <f>F1273*BU1273*IF(B1273&gt;=in_marketplace_from,d_hz_loan_cd*G1273,0)*in_loan_cd_ticket*in_loan_cd_comm</f>
        <v/>
      </c>
      <c r="BW1273" s="40">
        <f>BW1272*(1-IF(B1272&gt;=in_marketplace_from,d_hz_loan_vehicle*G1272,0))</f>
        <v/>
      </c>
      <c r="BX1273" s="14">
        <f>F1273*BW1273*IF(B1273&gt;=in_marketplace_from,d_hz_loan_vehicle*G1273,0)*in_loan_vehicle_ticket*in_loan_vehicle_comm</f>
        <v/>
      </c>
      <c r="BY1273" s="40">
        <f>BY1272*(1-IF(B1272&gt;=in_marketplace_from,d_hz_loan_home*G1272,0)*BZ1272)</f>
        <v/>
      </c>
      <c r="BZ1273" s="11">
        <f>MIN(in_approval_cap,in_loan_home_approval*INDEX('Age profile'!$O$2:$O$61,B1273)*(1+in_approval_growth)^(D1273-1))</f>
        <v/>
      </c>
      <c r="CA1273" s="14">
        <f>F1273*BY1273*IF(B1273&gt;=in_marketplace_from,d_hz_loan_home*G1273,0)*BZ1273*in_loan_home_ticket*in_loan_home_comm</f>
        <v/>
      </c>
      <c r="CB1273" s="40">
        <f>CB1272*(1-IF(B1272&gt;=in_marketplace_from,d_hz_loan_lap*G1272,0)*CC1272)</f>
        <v/>
      </c>
      <c r="CC1273" s="11">
        <f>MIN(in_approval_cap,in_loan_lap_approval*INDEX('Age profile'!$O$2:$O$61,B1273)*(1+in_approval_growth)^(D1273-1))</f>
        <v/>
      </c>
      <c r="CD1273" s="14">
        <f>F1273*CB1273*IF(B1273&gt;=in_marketplace_from,d_hz_loan_lap*G1273,0)*CC1273*in_loan_lap_ticket*in_loan_lap_comm</f>
        <v/>
      </c>
      <c r="CE1273" s="14">
        <f>AA1273+AB1273+AC1273+AD1273+AG1273+AJ1273+AM1273+AP1273+AS1273+AU1273+AX1273+BB1273+BE1273+BG1273+BJ1273+BL1273+BO1273+BR1273+BT1273+BV1273+BX1273+CA1273+CD1273</f>
        <v/>
      </c>
    </row>
    <row r="1274">
      <c r="A1274" s="39" t="n">
        <v>28</v>
      </c>
      <c r="B1274" s="39" t="n">
        <v>4</v>
      </c>
      <c r="C1274" s="39">
        <f>A1274+B1274-1</f>
        <v/>
      </c>
      <c r="D1274" s="39">
        <f>INT((C1274-1)/12)+1</f>
        <v/>
      </c>
      <c r="E1274" s="44">
        <f>INDEX(Monthly!$B$2:$B$61,A1274)</f>
        <v/>
      </c>
      <c r="F1274" s="44">
        <f>E1274*INDEX('Age profile'!$B$2:$B$61,B1274)</f>
        <v/>
      </c>
      <c r="G1274" s="45">
        <f>MIN(in_takeup_cap,INDEX('Age profile'!$N$2:$N$61,B1274)*(1+in_takeup_growth)^(D1274-1))</f>
        <v/>
      </c>
      <c r="H1274" s="11">
        <f>MIN(in_approval_cap,in_approved_first*INDEX('Age profile'!$O$2:$O$61,B1274)*(1+in_approval_growth)^(D1274-1))</f>
        <v/>
      </c>
      <c r="I1274" s="45">
        <f>G1274*MIN(in_takeup_cap,INDEX('Age profile'!$O$2:$O$61,B1274)*(1+in_approval_growth)^(D1274-1))</f>
        <v/>
      </c>
      <c r="J1274" s="40">
        <f>(J1273-L1273)*F1274/F1273</f>
        <v/>
      </c>
      <c r="K1274" s="40">
        <f>(K1273-M1273)*F1274/F1273+SUMIFS(O1271:O1273,B1271:B1273,B1274-1-d_T)*F1274</f>
        <v/>
      </c>
      <c r="L1274" s="40">
        <f>IF(B1274&gt;=in_marketplace_from,J1274*d_hz*G1274*in_eligible*H1274,0)</f>
        <v/>
      </c>
      <c r="M1274" s="40">
        <f>IF(B1274&gt;=in_marketplace_from,K1274*d_hz*G1274*in_eligible*in_approved_repeat,0)</f>
        <v/>
      </c>
      <c r="N1274" s="40">
        <f>L1274+M1274</f>
        <v/>
      </c>
      <c r="O1274" s="46">
        <f>N1274/F1274</f>
        <v/>
      </c>
      <c r="P1274" s="40">
        <f>F1274-J1274-K1274</f>
        <v/>
      </c>
      <c r="Q1274" s="40">
        <f>IF(B1274&gt;=in_marketplace_from,(J1274+K1274)*d_hz*G1274,0)</f>
        <v/>
      </c>
      <c r="R1274" s="40">
        <f>SUMIFS(N1271:N1303,B1271:B1303,"&gt;="&amp;(B1274-d_T),B1271:B1303,"&lt;="&amp;(B1274-1))</f>
        <v/>
      </c>
      <c r="S1274" s="46">
        <f>(1-d_u)*S1273+IF(d_T&gt;in_topup_lag,SUMIFS(O1271:O1303,B1271:B1303,B1274-in_topup_lag)-d_udrop*SUMIFS(O1271:O1303,B1271:B1303,B1274-d_T),0)</f>
        <v/>
      </c>
      <c r="T1274" s="40">
        <f>F1274*d_u*S1274</f>
        <v/>
      </c>
      <c r="U1274" s="9">
        <f>L1274*in_ticket+M1274*d_rep_ticket</f>
        <v/>
      </c>
      <c r="V1274" s="9">
        <f>U1274+T1274*d_topup_amt</f>
        <v/>
      </c>
      <c r="W1274" s="40">
        <f>N1274+T1274*d_topup_ratio</f>
        <v/>
      </c>
      <c r="X1274" s="40">
        <f>SUMIFS(W1271:W1303,B1271:B1303,B1274-in_dpd_lag)*d_cured</f>
        <v/>
      </c>
      <c r="Y1274" s="40">
        <f>SUMIFS(W1271:W1303,B1271:B1303,B1274-in_rec_lag)*d_recd</f>
        <v/>
      </c>
      <c r="Z1274" s="40">
        <f>IF(AND(B1274&gt;=in_marketplace_from,B1274&lt;in_marketplace_from+in_card_months),in_card_share/in_card_months*F1274*I1274,IF(AND(B1274&gt;=in_marketplace_from+in_card_months,B1274&lt;in_marketplace_from+2*in_card_months),in_card_share*d_card_rem/in_card_months*F1274*MIN(in_takeup_cap,(1+in_takeup_growth)^(D1274-1))*MIN(in_takeup_cap,(1+in_approval_growth)^(D1274-1)),0))</f>
        <v/>
      </c>
      <c r="AA1274" s="14">
        <f>V1274*in_fee*(1-in_taken_back)</f>
        <v/>
      </c>
      <c r="AB1274" s="14">
        <f>SUMIFS(W1271:W1303,B1271:B1303,B1274-in_dpd_lag)*d_dpd</f>
        <v/>
      </c>
      <c r="AC1274" s="14">
        <f>SUMIFS(W1271:W1303,B1271:B1303,B1274-in_rec_lag)*d_rec</f>
        <v/>
      </c>
      <c r="AD1274" s="14">
        <f>Z1274*in_card_fee</f>
        <v/>
      </c>
      <c r="AE1274" s="40">
        <f>AE1273*(1-IF(B1273&gt;=in_marketplace_from,d_hz_hlth_small*G1273,0))</f>
        <v/>
      </c>
      <c r="AF1274" s="46">
        <f>AE1274*IF(B1274&gt;=in_marketplace_from,d_hz_hlth_small*G1274,0)</f>
        <v/>
      </c>
      <c r="AG1274" s="14">
        <f>F1274*AF1274*in_hlth_small_ticket*in_hlth_small_comm*in_ins_partner_share+F1274*in_hlth_small_ticket*in_hlth_small_renew_comm*in_ins_partner_share*(in_hlth_small_renew^1*SUMIFS(AF1271:AF1303,B1271:B1303,B1274-12)+in_hlth_small_renew^2*SUMIFS(AF1271:AF1303,B1271:B1303,B1274-24)+in_hlth_small_renew^3*SUMIFS(AF1271:AF1303,B1271:B1303,B1274-36)+in_hlth_small_renew^4*SUMIFS(AF1271:AF1303,B1271:B1303,B1274-48))</f>
        <v/>
      </c>
      <c r="AH1274" s="40">
        <f>AH1273*(1-IF(B1273&gt;=in_marketplace_from,d_hz_hlth_family*G1273,0))</f>
        <v/>
      </c>
      <c r="AI1274" s="46">
        <f>AH1274*IF(B1274&gt;=in_marketplace_from,d_hz_hlth_family*G1274,0)</f>
        <v/>
      </c>
      <c r="AJ1274" s="14">
        <f>F1274*AI1274*in_hlth_family_ticket*in_hlth_family_comm*in_ins_partner_share+F1274*in_hlth_family_ticket*in_hlth_family_renew_comm*in_ins_partner_share*(in_hlth_family_renew^1*SUMIFS(AI1271:AI1303,B1271:B1303,B1274-12)+in_hlth_family_renew^2*SUMIFS(AI1271:AI1303,B1271:B1303,B1274-24)+in_hlth_family_renew^3*SUMIFS(AI1271:AI1303,B1271:B1303,B1274-36)+in_hlth_family_renew^4*SUMIFS(AI1271:AI1303,B1271:B1303,B1274-48))</f>
        <v/>
      </c>
      <c r="AK1274" s="40">
        <f>AK1273*(1-IF(B1273&gt;=in_marketplace_from,d_hz_life_term*G1273,0))</f>
        <v/>
      </c>
      <c r="AL1274" s="46">
        <f>AK1274*IF(B1274&gt;=in_marketplace_from,d_hz_life_term*G1274,0)</f>
        <v/>
      </c>
      <c r="AM1274" s="14">
        <f>F1274*AL1274*in_life_term_ticket*in_life_term_comm*in_ins_partner_share+F1274*in_life_term_ticket*in_life_term_renew_comm*in_ins_partner_share*(in_life_term_renew^1*SUMIFS(AL1271:AL1303,B1271:B1303,B1274-12)+in_life_term_renew^2*SUMIFS(AL1271:AL1303,B1271:B1303,B1274-24)+in_life_term_renew^3*SUMIFS(AL1271:AL1303,B1271:B1303,B1274-36)+in_life_term_renew^4*SUMIFS(AL1271:AL1303,B1271:B1303,B1274-48))</f>
        <v/>
      </c>
      <c r="AN1274" s="40">
        <f>AN1273*(1-IF(B1273&gt;=in_marketplace_from,d_hz_accident*G1273,0))</f>
        <v/>
      </c>
      <c r="AO1274" s="46">
        <f>AN1274*IF(B1274&gt;=in_marketplace_from,d_hz_accident*G1274,0)</f>
        <v/>
      </c>
      <c r="AP1274" s="14">
        <f>F1274*AO1274*in_accident_ticket*in_accident_comm*in_ins_partner_share+F1274*in_accident_ticket*in_accident_renew_comm*in_ins_partner_share*(in_accident_renew^1*SUMIFS(AO1271:AO1303,B1271:B1303,B1274-12)+in_accident_renew^2*SUMIFS(AO1271:AO1303,B1271:B1303,B1274-24)+in_accident_renew^3*SUMIFS(AO1271:AO1303,B1271:B1303,B1274-36)+in_accident_renew^4*SUMIFS(AO1271:AO1303,B1271:B1303,B1274-48))</f>
        <v/>
      </c>
      <c r="AQ1274" s="40">
        <f>AQ1273*(1-IF(B1273&gt;=in_marketplace_from,d_hz_two_wheeler*G1273,0))</f>
        <v/>
      </c>
      <c r="AR1274" s="46">
        <f>AQ1274*IF(B1274&gt;=in_marketplace_from,d_hz_two_wheeler*G1274,0)</f>
        <v/>
      </c>
      <c r="AS1274" s="14">
        <f>F1274*AR1274*in_two_wheeler_ticket*in_two_wheeler_comm*in_ins_partner_share+F1274*in_two_wheeler_ticket*in_two_wheeler_comm*in_ins_partner_share*(in_two_wheeler_renew^1*SUMIFS(AR1271:AR1303,B1271:B1303,B1274-12)+in_two_wheeler_renew^2*SUMIFS(AR1271:AR1303,B1271:B1303,B1274-24)+in_two_wheeler_renew^3*SUMIFS(AR1271:AR1303,B1271:B1303,B1274-36)+in_two_wheeler_renew^4*SUMIFS(AR1271:AR1303,B1271:B1303,B1274-48))</f>
        <v/>
      </c>
      <c r="AT1274" s="40">
        <f>AT1273*(1-IF(B1273&gt;=in_marketplace_from,d_hz_device*G1273,0))</f>
        <v/>
      </c>
      <c r="AU1274" s="14">
        <f>F1274*AT1274*IF(B1274&gt;=in_marketplace_from,d_hz_device*G1274,0)*in_device_ticket*in_device_comm*in_ins_partner_share</f>
        <v/>
      </c>
      <c r="AV1274" s="40">
        <f>AV1273*(1-IF(B1273&gt;=in_marketplace_from,d_hz_shop*G1273,0))</f>
        <v/>
      </c>
      <c r="AW1274" s="46">
        <f>AV1274*IF(B1274&gt;=in_marketplace_from,d_hz_shop*G1274,0)</f>
        <v/>
      </c>
      <c r="AX1274" s="14">
        <f>F1274*AW1274*in_shop_ticket*in_shop_comm*in_ins_partner_share+F1274*in_shop_ticket*in_shop_renew_comm*in_ins_partner_share*(in_shop_renew^1*SUMIFS(AW1271:AW1303,B1271:B1303,B1274-12)+in_shop_renew^2*SUMIFS(AW1271:AW1303,B1271:B1303,B1274-24)+in_shop_renew^3*SUMIFS(AW1271:AW1303,B1271:B1303,B1274-36)+in_shop_renew^4*SUMIFS(AW1271:AW1303,B1271:B1303,B1274-48))</f>
        <v/>
      </c>
      <c r="AY1274" s="40">
        <f>AY1273*(1-IF(B1273&gt;=in_marketplace_from,d_hz_sip*G1273,0))</f>
        <v/>
      </c>
      <c r="AZ1274" s="40">
        <f>AZ1273*d_rho_sip+AY1274*IF(B1274&gt;=in_marketplace_from,d_hz_sip*G1274,0)</f>
        <v/>
      </c>
      <c r="BA1274" s="40">
        <f>d_rho_sip*(BA1273+AZ1273)</f>
        <v/>
      </c>
      <c r="BB1274" s="14">
        <f>F1274*in_sip_ticket*(BA1274+0.5*AZ1274)*in_sip_comm/12</f>
        <v/>
      </c>
      <c r="BC1274" s="40">
        <f>BC1273*(1-IF(B1273&gt;=in_marketplace_from,d_hz_choti*G1273,0))</f>
        <v/>
      </c>
      <c r="BD1274" s="46">
        <f>BC1274*IF(B1274&gt;=in_marketplace_from,d_hz_choti*G1274,0)</f>
        <v/>
      </c>
      <c r="BE1274" s="14">
        <f>F1274*SUMIFS(BD1271:BD1303,B1271:B1303,B1274-in_choti_months)*in_choti_renew*in_choti_ticket</f>
        <v/>
      </c>
      <c r="BF1274" s="40">
        <f>BF1273*(1-IF(B1273&gt;=in_marketplace_from,d_hz_nps*G1273,0))</f>
        <v/>
      </c>
      <c r="BG1274" s="14">
        <f>F1274*BF1274*IF(B1274&gt;=in_marketplace_from,d_hz_nps*G1274,0)*in_nps_ticket*in_nps_comm</f>
        <v/>
      </c>
      <c r="BH1274" s="40">
        <f>BH1273*(1-IF(B1273&gt;=in_marketplace_from,d_hz_gold*G1273,0))</f>
        <v/>
      </c>
      <c r="BI1274" s="40">
        <f>BI1273*d_rho_gold+BH1274*IF(B1274&gt;=in_marketplace_from,d_hz_gold*G1274,0)</f>
        <v/>
      </c>
      <c r="BJ1274" s="14">
        <f>F1274*BI1274*in_gold_ticket*in_gold_comm</f>
        <v/>
      </c>
      <c r="BK1274" s="40">
        <f>BK1273*(1-IF(B1273&gt;=in_marketplace_from,d_hz_fd*G1273,0))</f>
        <v/>
      </c>
      <c r="BL1274" s="14">
        <f>F1274*BK1274*IF(B1274&gt;=in_marketplace_from,d_hz_fd*G1274,0)*in_fd_ticket*in_fd_comm</f>
        <v/>
      </c>
      <c r="BM1274" s="40">
        <f>BM1273*(1-IF(B1273&gt;=in_marketplace_from,d_hz_recharge*G1273,0))</f>
        <v/>
      </c>
      <c r="BN1274" s="40">
        <f>BN1273*d_rho_recharge+BM1274*IF(B1274&gt;=in_marketplace_from,d_hz_recharge*G1274,0)</f>
        <v/>
      </c>
      <c r="BO1274" s="14">
        <f>F1274*BN1274*in_recharge_ticket*in_recharge_comm/12</f>
        <v/>
      </c>
      <c r="BP1274" s="40">
        <f>BP1273*(1-IF(B1273&gt;=in_marketplace_from,d_hz_bills*G1273,0))</f>
        <v/>
      </c>
      <c r="BQ1274" s="40">
        <f>BQ1273*d_rho_bills+BP1274*IF(B1274&gt;=in_marketplace_from,d_hz_bills*G1274,0)</f>
        <v/>
      </c>
      <c r="BR1274" s="14">
        <f>F1274*BQ1274*in_bills_ticket*in_bills_comm/12</f>
        <v/>
      </c>
      <c r="BS1274" s="40">
        <f>BS1273*(1-IF(B1273&gt;=in_marketplace_from,d_hz_loan_gold*G1273,0))</f>
        <v/>
      </c>
      <c r="BT1274" s="14">
        <f>F1274*BS1274*IF(B1274&gt;=in_marketplace_from,d_hz_loan_gold*G1274,0)*in_loan_gold_ticket*in_loan_gold_comm</f>
        <v/>
      </c>
      <c r="BU1274" s="40">
        <f>BU1273*(1-IF(B1273&gt;=in_marketplace_from,d_hz_loan_cd*G1273,0))</f>
        <v/>
      </c>
      <c r="BV1274" s="14">
        <f>F1274*BU1274*IF(B1274&gt;=in_marketplace_from,d_hz_loan_cd*G1274,0)*in_loan_cd_ticket*in_loan_cd_comm</f>
        <v/>
      </c>
      <c r="BW1274" s="40">
        <f>BW1273*(1-IF(B1273&gt;=in_marketplace_from,d_hz_loan_vehicle*G1273,0))</f>
        <v/>
      </c>
      <c r="BX1274" s="14">
        <f>F1274*BW1274*IF(B1274&gt;=in_marketplace_from,d_hz_loan_vehicle*G1274,0)*in_loan_vehicle_ticket*in_loan_vehicle_comm</f>
        <v/>
      </c>
      <c r="BY1274" s="40">
        <f>BY1273*(1-IF(B1273&gt;=in_marketplace_from,d_hz_loan_home*G1273,0)*BZ1273)</f>
        <v/>
      </c>
      <c r="BZ1274" s="11">
        <f>MIN(in_approval_cap,in_loan_home_approval*INDEX('Age profile'!$O$2:$O$61,B1274)*(1+in_approval_growth)^(D1274-1))</f>
        <v/>
      </c>
      <c r="CA1274" s="14">
        <f>F1274*BY1274*IF(B1274&gt;=in_marketplace_from,d_hz_loan_home*G1274,0)*BZ1274*in_loan_home_ticket*in_loan_home_comm</f>
        <v/>
      </c>
      <c r="CB1274" s="40">
        <f>CB1273*(1-IF(B1273&gt;=in_marketplace_from,d_hz_loan_lap*G1273,0)*CC1273)</f>
        <v/>
      </c>
      <c r="CC1274" s="11">
        <f>MIN(in_approval_cap,in_loan_lap_approval*INDEX('Age profile'!$O$2:$O$61,B1274)*(1+in_approval_growth)^(D1274-1))</f>
        <v/>
      </c>
      <c r="CD1274" s="14">
        <f>F1274*CB1274*IF(B1274&gt;=in_marketplace_from,d_hz_loan_lap*G1274,0)*CC1274*in_loan_lap_ticket*in_loan_lap_comm</f>
        <v/>
      </c>
      <c r="CE1274" s="14">
        <f>AA1274+AB1274+AC1274+AD1274+AG1274+AJ1274+AM1274+AP1274+AS1274+AU1274+AX1274+BB1274+BE1274+BG1274+BJ1274+BL1274+BO1274+BR1274+BT1274+BV1274+BX1274+CA1274+CD1274</f>
        <v/>
      </c>
    </row>
    <row r="1275">
      <c r="A1275" s="39" t="n">
        <v>28</v>
      </c>
      <c r="B1275" s="39" t="n">
        <v>5</v>
      </c>
      <c r="C1275" s="39">
        <f>A1275+B1275-1</f>
        <v/>
      </c>
      <c r="D1275" s="39">
        <f>INT((C1275-1)/12)+1</f>
        <v/>
      </c>
      <c r="E1275" s="44">
        <f>INDEX(Monthly!$B$2:$B$61,A1275)</f>
        <v/>
      </c>
      <c r="F1275" s="44">
        <f>E1275*INDEX('Age profile'!$B$2:$B$61,B1275)</f>
        <v/>
      </c>
      <c r="G1275" s="45">
        <f>MIN(in_takeup_cap,INDEX('Age profile'!$N$2:$N$61,B1275)*(1+in_takeup_growth)^(D1275-1))</f>
        <v/>
      </c>
      <c r="H1275" s="11">
        <f>MIN(in_approval_cap,in_approved_first*INDEX('Age profile'!$O$2:$O$61,B1275)*(1+in_approval_growth)^(D1275-1))</f>
        <v/>
      </c>
      <c r="I1275" s="45">
        <f>G1275*MIN(in_takeup_cap,INDEX('Age profile'!$O$2:$O$61,B1275)*(1+in_approval_growth)^(D1275-1))</f>
        <v/>
      </c>
      <c r="J1275" s="40">
        <f>(J1274-L1274)*F1275/F1274</f>
        <v/>
      </c>
      <c r="K1275" s="40">
        <f>(K1274-M1274)*F1275/F1274+SUMIFS(O1271:O1274,B1271:B1274,B1275-1-d_T)*F1275</f>
        <v/>
      </c>
      <c r="L1275" s="40">
        <f>IF(B1275&gt;=in_marketplace_from,J1275*d_hz*G1275*in_eligible*H1275,0)</f>
        <v/>
      </c>
      <c r="M1275" s="40">
        <f>IF(B1275&gt;=in_marketplace_from,K1275*d_hz*G1275*in_eligible*in_approved_repeat,0)</f>
        <v/>
      </c>
      <c r="N1275" s="40">
        <f>L1275+M1275</f>
        <v/>
      </c>
      <c r="O1275" s="46">
        <f>N1275/F1275</f>
        <v/>
      </c>
      <c r="P1275" s="40">
        <f>F1275-J1275-K1275</f>
        <v/>
      </c>
      <c r="Q1275" s="40">
        <f>IF(B1275&gt;=in_marketplace_from,(J1275+K1275)*d_hz*G1275,0)</f>
        <v/>
      </c>
      <c r="R1275" s="40">
        <f>SUMIFS(N1271:N1303,B1271:B1303,"&gt;="&amp;(B1275-d_T),B1271:B1303,"&lt;="&amp;(B1275-1))</f>
        <v/>
      </c>
      <c r="S1275" s="46">
        <f>(1-d_u)*S1274+IF(d_T&gt;in_topup_lag,SUMIFS(O1271:O1303,B1271:B1303,B1275-in_topup_lag)-d_udrop*SUMIFS(O1271:O1303,B1271:B1303,B1275-d_T),0)</f>
        <v/>
      </c>
      <c r="T1275" s="40">
        <f>F1275*d_u*S1275</f>
        <v/>
      </c>
      <c r="U1275" s="9">
        <f>L1275*in_ticket+M1275*d_rep_ticket</f>
        <v/>
      </c>
      <c r="V1275" s="9">
        <f>U1275+T1275*d_topup_amt</f>
        <v/>
      </c>
      <c r="W1275" s="40">
        <f>N1275+T1275*d_topup_ratio</f>
        <v/>
      </c>
      <c r="X1275" s="40">
        <f>SUMIFS(W1271:W1303,B1271:B1303,B1275-in_dpd_lag)*d_cured</f>
        <v/>
      </c>
      <c r="Y1275" s="40">
        <f>SUMIFS(W1271:W1303,B1271:B1303,B1275-in_rec_lag)*d_recd</f>
        <v/>
      </c>
      <c r="Z1275" s="40">
        <f>IF(AND(B1275&gt;=in_marketplace_from,B1275&lt;in_marketplace_from+in_card_months),in_card_share/in_card_months*F1275*I1275,IF(AND(B1275&gt;=in_marketplace_from+in_card_months,B1275&lt;in_marketplace_from+2*in_card_months),in_card_share*d_card_rem/in_card_months*F1275*MIN(in_takeup_cap,(1+in_takeup_growth)^(D1275-1))*MIN(in_takeup_cap,(1+in_approval_growth)^(D1275-1)),0))</f>
        <v/>
      </c>
      <c r="AA1275" s="14">
        <f>V1275*in_fee*(1-in_taken_back)</f>
        <v/>
      </c>
      <c r="AB1275" s="14">
        <f>SUMIFS(W1271:W1303,B1271:B1303,B1275-in_dpd_lag)*d_dpd</f>
        <v/>
      </c>
      <c r="AC1275" s="14">
        <f>SUMIFS(W1271:W1303,B1271:B1303,B1275-in_rec_lag)*d_rec</f>
        <v/>
      </c>
      <c r="AD1275" s="14">
        <f>Z1275*in_card_fee</f>
        <v/>
      </c>
      <c r="AE1275" s="40">
        <f>AE1274*(1-IF(B1274&gt;=in_marketplace_from,d_hz_hlth_small*G1274,0))</f>
        <v/>
      </c>
      <c r="AF1275" s="46">
        <f>AE1275*IF(B1275&gt;=in_marketplace_from,d_hz_hlth_small*G1275,0)</f>
        <v/>
      </c>
      <c r="AG1275" s="14">
        <f>F1275*AF1275*in_hlth_small_ticket*in_hlth_small_comm*in_ins_partner_share+F1275*in_hlth_small_ticket*in_hlth_small_renew_comm*in_ins_partner_share*(in_hlth_small_renew^1*SUMIFS(AF1271:AF1303,B1271:B1303,B1275-12)+in_hlth_small_renew^2*SUMIFS(AF1271:AF1303,B1271:B1303,B1275-24)+in_hlth_small_renew^3*SUMIFS(AF1271:AF1303,B1271:B1303,B1275-36)+in_hlth_small_renew^4*SUMIFS(AF1271:AF1303,B1271:B1303,B1275-48))</f>
        <v/>
      </c>
      <c r="AH1275" s="40">
        <f>AH1274*(1-IF(B1274&gt;=in_marketplace_from,d_hz_hlth_family*G1274,0))</f>
        <v/>
      </c>
      <c r="AI1275" s="46">
        <f>AH1275*IF(B1275&gt;=in_marketplace_from,d_hz_hlth_family*G1275,0)</f>
        <v/>
      </c>
      <c r="AJ1275" s="14">
        <f>F1275*AI1275*in_hlth_family_ticket*in_hlth_family_comm*in_ins_partner_share+F1275*in_hlth_family_ticket*in_hlth_family_renew_comm*in_ins_partner_share*(in_hlth_family_renew^1*SUMIFS(AI1271:AI1303,B1271:B1303,B1275-12)+in_hlth_family_renew^2*SUMIFS(AI1271:AI1303,B1271:B1303,B1275-24)+in_hlth_family_renew^3*SUMIFS(AI1271:AI1303,B1271:B1303,B1275-36)+in_hlth_family_renew^4*SUMIFS(AI1271:AI1303,B1271:B1303,B1275-48))</f>
        <v/>
      </c>
      <c r="AK1275" s="40">
        <f>AK1274*(1-IF(B1274&gt;=in_marketplace_from,d_hz_life_term*G1274,0))</f>
        <v/>
      </c>
      <c r="AL1275" s="46">
        <f>AK1275*IF(B1275&gt;=in_marketplace_from,d_hz_life_term*G1275,0)</f>
        <v/>
      </c>
      <c r="AM1275" s="14">
        <f>F1275*AL1275*in_life_term_ticket*in_life_term_comm*in_ins_partner_share+F1275*in_life_term_ticket*in_life_term_renew_comm*in_ins_partner_share*(in_life_term_renew^1*SUMIFS(AL1271:AL1303,B1271:B1303,B1275-12)+in_life_term_renew^2*SUMIFS(AL1271:AL1303,B1271:B1303,B1275-24)+in_life_term_renew^3*SUMIFS(AL1271:AL1303,B1271:B1303,B1275-36)+in_life_term_renew^4*SUMIFS(AL1271:AL1303,B1271:B1303,B1275-48))</f>
        <v/>
      </c>
      <c r="AN1275" s="40">
        <f>AN1274*(1-IF(B1274&gt;=in_marketplace_from,d_hz_accident*G1274,0))</f>
        <v/>
      </c>
      <c r="AO1275" s="46">
        <f>AN1275*IF(B1275&gt;=in_marketplace_from,d_hz_accident*G1275,0)</f>
        <v/>
      </c>
      <c r="AP1275" s="14">
        <f>F1275*AO1275*in_accident_ticket*in_accident_comm*in_ins_partner_share+F1275*in_accident_ticket*in_accident_renew_comm*in_ins_partner_share*(in_accident_renew^1*SUMIFS(AO1271:AO1303,B1271:B1303,B1275-12)+in_accident_renew^2*SUMIFS(AO1271:AO1303,B1271:B1303,B1275-24)+in_accident_renew^3*SUMIFS(AO1271:AO1303,B1271:B1303,B1275-36)+in_accident_renew^4*SUMIFS(AO1271:AO1303,B1271:B1303,B1275-48))</f>
        <v/>
      </c>
      <c r="AQ1275" s="40">
        <f>AQ1274*(1-IF(B1274&gt;=in_marketplace_from,d_hz_two_wheeler*G1274,0))</f>
        <v/>
      </c>
      <c r="AR1275" s="46">
        <f>AQ1275*IF(B1275&gt;=in_marketplace_from,d_hz_two_wheeler*G1275,0)</f>
        <v/>
      </c>
      <c r="AS1275" s="14">
        <f>F1275*AR1275*in_two_wheeler_ticket*in_two_wheeler_comm*in_ins_partner_share+F1275*in_two_wheeler_ticket*in_two_wheeler_comm*in_ins_partner_share*(in_two_wheeler_renew^1*SUMIFS(AR1271:AR1303,B1271:B1303,B1275-12)+in_two_wheeler_renew^2*SUMIFS(AR1271:AR1303,B1271:B1303,B1275-24)+in_two_wheeler_renew^3*SUMIFS(AR1271:AR1303,B1271:B1303,B1275-36)+in_two_wheeler_renew^4*SUMIFS(AR1271:AR1303,B1271:B1303,B1275-48))</f>
        <v/>
      </c>
      <c r="AT1275" s="40">
        <f>AT1274*(1-IF(B1274&gt;=in_marketplace_from,d_hz_device*G1274,0))</f>
        <v/>
      </c>
      <c r="AU1275" s="14">
        <f>F1275*AT1275*IF(B1275&gt;=in_marketplace_from,d_hz_device*G1275,0)*in_device_ticket*in_device_comm*in_ins_partner_share</f>
        <v/>
      </c>
      <c r="AV1275" s="40">
        <f>AV1274*(1-IF(B1274&gt;=in_marketplace_from,d_hz_shop*G1274,0))</f>
        <v/>
      </c>
      <c r="AW1275" s="46">
        <f>AV1275*IF(B1275&gt;=in_marketplace_from,d_hz_shop*G1275,0)</f>
        <v/>
      </c>
      <c r="AX1275" s="14">
        <f>F1275*AW1275*in_shop_ticket*in_shop_comm*in_ins_partner_share+F1275*in_shop_ticket*in_shop_renew_comm*in_ins_partner_share*(in_shop_renew^1*SUMIFS(AW1271:AW1303,B1271:B1303,B1275-12)+in_shop_renew^2*SUMIFS(AW1271:AW1303,B1271:B1303,B1275-24)+in_shop_renew^3*SUMIFS(AW1271:AW1303,B1271:B1303,B1275-36)+in_shop_renew^4*SUMIFS(AW1271:AW1303,B1271:B1303,B1275-48))</f>
        <v/>
      </c>
      <c r="AY1275" s="40">
        <f>AY1274*(1-IF(B1274&gt;=in_marketplace_from,d_hz_sip*G1274,0))</f>
        <v/>
      </c>
      <c r="AZ1275" s="40">
        <f>AZ1274*d_rho_sip+AY1275*IF(B1275&gt;=in_marketplace_from,d_hz_sip*G1275,0)</f>
        <v/>
      </c>
      <c r="BA1275" s="40">
        <f>d_rho_sip*(BA1274+AZ1274)</f>
        <v/>
      </c>
      <c r="BB1275" s="14">
        <f>F1275*in_sip_ticket*(BA1275+0.5*AZ1275)*in_sip_comm/12</f>
        <v/>
      </c>
      <c r="BC1275" s="40">
        <f>BC1274*(1-IF(B1274&gt;=in_marketplace_from,d_hz_choti*G1274,0))</f>
        <v/>
      </c>
      <c r="BD1275" s="46">
        <f>BC1275*IF(B1275&gt;=in_marketplace_from,d_hz_choti*G1275,0)</f>
        <v/>
      </c>
      <c r="BE1275" s="14">
        <f>F1275*SUMIFS(BD1271:BD1303,B1271:B1303,B1275-in_choti_months)*in_choti_renew*in_choti_ticket</f>
        <v/>
      </c>
      <c r="BF1275" s="40">
        <f>BF1274*(1-IF(B1274&gt;=in_marketplace_from,d_hz_nps*G1274,0))</f>
        <v/>
      </c>
      <c r="BG1275" s="14">
        <f>F1275*BF1275*IF(B1275&gt;=in_marketplace_from,d_hz_nps*G1275,0)*in_nps_ticket*in_nps_comm</f>
        <v/>
      </c>
      <c r="BH1275" s="40">
        <f>BH1274*(1-IF(B1274&gt;=in_marketplace_from,d_hz_gold*G1274,0))</f>
        <v/>
      </c>
      <c r="BI1275" s="40">
        <f>BI1274*d_rho_gold+BH1275*IF(B1275&gt;=in_marketplace_from,d_hz_gold*G1275,0)</f>
        <v/>
      </c>
      <c r="BJ1275" s="14">
        <f>F1275*BI1275*in_gold_ticket*in_gold_comm</f>
        <v/>
      </c>
      <c r="BK1275" s="40">
        <f>BK1274*(1-IF(B1274&gt;=in_marketplace_from,d_hz_fd*G1274,0))</f>
        <v/>
      </c>
      <c r="BL1275" s="14">
        <f>F1275*BK1275*IF(B1275&gt;=in_marketplace_from,d_hz_fd*G1275,0)*in_fd_ticket*in_fd_comm</f>
        <v/>
      </c>
      <c r="BM1275" s="40">
        <f>BM1274*(1-IF(B1274&gt;=in_marketplace_from,d_hz_recharge*G1274,0))</f>
        <v/>
      </c>
      <c r="BN1275" s="40">
        <f>BN1274*d_rho_recharge+BM1275*IF(B1275&gt;=in_marketplace_from,d_hz_recharge*G1275,0)</f>
        <v/>
      </c>
      <c r="BO1275" s="14">
        <f>F1275*BN1275*in_recharge_ticket*in_recharge_comm/12</f>
        <v/>
      </c>
      <c r="BP1275" s="40">
        <f>BP1274*(1-IF(B1274&gt;=in_marketplace_from,d_hz_bills*G1274,0))</f>
        <v/>
      </c>
      <c r="BQ1275" s="40">
        <f>BQ1274*d_rho_bills+BP1275*IF(B1275&gt;=in_marketplace_from,d_hz_bills*G1275,0)</f>
        <v/>
      </c>
      <c r="BR1275" s="14">
        <f>F1275*BQ1275*in_bills_ticket*in_bills_comm/12</f>
        <v/>
      </c>
      <c r="BS1275" s="40">
        <f>BS1274*(1-IF(B1274&gt;=in_marketplace_from,d_hz_loan_gold*G1274,0))</f>
        <v/>
      </c>
      <c r="BT1275" s="14">
        <f>F1275*BS1275*IF(B1275&gt;=in_marketplace_from,d_hz_loan_gold*G1275,0)*in_loan_gold_ticket*in_loan_gold_comm</f>
        <v/>
      </c>
      <c r="BU1275" s="40">
        <f>BU1274*(1-IF(B1274&gt;=in_marketplace_from,d_hz_loan_cd*G1274,0))</f>
        <v/>
      </c>
      <c r="BV1275" s="14">
        <f>F1275*BU1275*IF(B1275&gt;=in_marketplace_from,d_hz_loan_cd*G1275,0)*in_loan_cd_ticket*in_loan_cd_comm</f>
        <v/>
      </c>
      <c r="BW1275" s="40">
        <f>BW1274*(1-IF(B1274&gt;=in_marketplace_from,d_hz_loan_vehicle*G1274,0))</f>
        <v/>
      </c>
      <c r="BX1275" s="14">
        <f>F1275*BW1275*IF(B1275&gt;=in_marketplace_from,d_hz_loan_vehicle*G1275,0)*in_loan_vehicle_ticket*in_loan_vehicle_comm</f>
        <v/>
      </c>
      <c r="BY1275" s="40">
        <f>BY1274*(1-IF(B1274&gt;=in_marketplace_from,d_hz_loan_home*G1274,0)*BZ1274)</f>
        <v/>
      </c>
      <c r="BZ1275" s="11">
        <f>MIN(in_approval_cap,in_loan_home_approval*INDEX('Age profile'!$O$2:$O$61,B1275)*(1+in_approval_growth)^(D1275-1))</f>
        <v/>
      </c>
      <c r="CA1275" s="14">
        <f>F1275*BY1275*IF(B1275&gt;=in_marketplace_from,d_hz_loan_home*G1275,0)*BZ1275*in_loan_home_ticket*in_loan_home_comm</f>
        <v/>
      </c>
      <c r="CB1275" s="40">
        <f>CB1274*(1-IF(B1274&gt;=in_marketplace_from,d_hz_loan_lap*G1274,0)*CC1274)</f>
        <v/>
      </c>
      <c r="CC1275" s="11">
        <f>MIN(in_approval_cap,in_loan_lap_approval*INDEX('Age profile'!$O$2:$O$61,B1275)*(1+in_approval_growth)^(D1275-1))</f>
        <v/>
      </c>
      <c r="CD1275" s="14">
        <f>F1275*CB1275*IF(B1275&gt;=in_marketplace_from,d_hz_loan_lap*G1275,0)*CC1275*in_loan_lap_ticket*in_loan_lap_comm</f>
        <v/>
      </c>
      <c r="CE1275" s="14">
        <f>AA1275+AB1275+AC1275+AD1275+AG1275+AJ1275+AM1275+AP1275+AS1275+AU1275+AX1275+BB1275+BE1275+BG1275+BJ1275+BL1275+BO1275+BR1275+BT1275+BV1275+BX1275+CA1275+CD1275</f>
        <v/>
      </c>
    </row>
    <row r="1276">
      <c r="A1276" s="39" t="n">
        <v>28</v>
      </c>
      <c r="B1276" s="39" t="n">
        <v>6</v>
      </c>
      <c r="C1276" s="39">
        <f>A1276+B1276-1</f>
        <v/>
      </c>
      <c r="D1276" s="39">
        <f>INT((C1276-1)/12)+1</f>
        <v/>
      </c>
      <c r="E1276" s="44">
        <f>INDEX(Monthly!$B$2:$B$61,A1276)</f>
        <v/>
      </c>
      <c r="F1276" s="44">
        <f>E1276*INDEX('Age profile'!$B$2:$B$61,B1276)</f>
        <v/>
      </c>
      <c r="G1276" s="45">
        <f>MIN(in_takeup_cap,INDEX('Age profile'!$N$2:$N$61,B1276)*(1+in_takeup_growth)^(D1276-1))</f>
        <v/>
      </c>
      <c r="H1276" s="11">
        <f>MIN(in_approval_cap,in_approved_first*INDEX('Age profile'!$O$2:$O$61,B1276)*(1+in_approval_growth)^(D1276-1))</f>
        <v/>
      </c>
      <c r="I1276" s="45">
        <f>G1276*MIN(in_takeup_cap,INDEX('Age profile'!$O$2:$O$61,B1276)*(1+in_approval_growth)^(D1276-1))</f>
        <v/>
      </c>
      <c r="J1276" s="40">
        <f>(J1275-L1275)*F1276/F1275</f>
        <v/>
      </c>
      <c r="K1276" s="40">
        <f>(K1275-M1275)*F1276/F1275+SUMIFS(O1271:O1275,B1271:B1275,B1276-1-d_T)*F1276</f>
        <v/>
      </c>
      <c r="L1276" s="40">
        <f>IF(B1276&gt;=in_marketplace_from,J1276*d_hz*G1276*in_eligible*H1276,0)</f>
        <v/>
      </c>
      <c r="M1276" s="40">
        <f>IF(B1276&gt;=in_marketplace_from,K1276*d_hz*G1276*in_eligible*in_approved_repeat,0)</f>
        <v/>
      </c>
      <c r="N1276" s="40">
        <f>L1276+M1276</f>
        <v/>
      </c>
      <c r="O1276" s="46">
        <f>N1276/F1276</f>
        <v/>
      </c>
      <c r="P1276" s="40">
        <f>F1276-J1276-K1276</f>
        <v/>
      </c>
      <c r="Q1276" s="40">
        <f>IF(B1276&gt;=in_marketplace_from,(J1276+K1276)*d_hz*G1276,0)</f>
        <v/>
      </c>
      <c r="R1276" s="40">
        <f>SUMIFS(N1271:N1303,B1271:B1303,"&gt;="&amp;(B1276-d_T),B1271:B1303,"&lt;="&amp;(B1276-1))</f>
        <v/>
      </c>
      <c r="S1276" s="46">
        <f>(1-d_u)*S1275+IF(d_T&gt;in_topup_lag,SUMIFS(O1271:O1303,B1271:B1303,B1276-in_topup_lag)-d_udrop*SUMIFS(O1271:O1303,B1271:B1303,B1276-d_T),0)</f>
        <v/>
      </c>
      <c r="T1276" s="40">
        <f>F1276*d_u*S1276</f>
        <v/>
      </c>
      <c r="U1276" s="9">
        <f>L1276*in_ticket+M1276*d_rep_ticket</f>
        <v/>
      </c>
      <c r="V1276" s="9">
        <f>U1276+T1276*d_topup_amt</f>
        <v/>
      </c>
      <c r="W1276" s="40">
        <f>N1276+T1276*d_topup_ratio</f>
        <v/>
      </c>
      <c r="X1276" s="40">
        <f>SUMIFS(W1271:W1303,B1271:B1303,B1276-in_dpd_lag)*d_cured</f>
        <v/>
      </c>
      <c r="Y1276" s="40">
        <f>SUMIFS(W1271:W1303,B1271:B1303,B1276-in_rec_lag)*d_recd</f>
        <v/>
      </c>
      <c r="Z1276" s="40">
        <f>IF(AND(B1276&gt;=in_marketplace_from,B1276&lt;in_marketplace_from+in_card_months),in_card_share/in_card_months*F1276*I1276,IF(AND(B1276&gt;=in_marketplace_from+in_card_months,B1276&lt;in_marketplace_from+2*in_card_months),in_card_share*d_card_rem/in_card_months*F1276*MIN(in_takeup_cap,(1+in_takeup_growth)^(D1276-1))*MIN(in_takeup_cap,(1+in_approval_growth)^(D1276-1)),0))</f>
        <v/>
      </c>
      <c r="AA1276" s="14">
        <f>V1276*in_fee*(1-in_taken_back)</f>
        <v/>
      </c>
      <c r="AB1276" s="14">
        <f>SUMIFS(W1271:W1303,B1271:B1303,B1276-in_dpd_lag)*d_dpd</f>
        <v/>
      </c>
      <c r="AC1276" s="14">
        <f>SUMIFS(W1271:W1303,B1271:B1303,B1276-in_rec_lag)*d_rec</f>
        <v/>
      </c>
      <c r="AD1276" s="14">
        <f>Z1276*in_card_fee</f>
        <v/>
      </c>
      <c r="AE1276" s="40">
        <f>AE1275*(1-IF(B1275&gt;=in_marketplace_from,d_hz_hlth_small*G1275,0))</f>
        <v/>
      </c>
      <c r="AF1276" s="46">
        <f>AE1276*IF(B1276&gt;=in_marketplace_from,d_hz_hlth_small*G1276,0)</f>
        <v/>
      </c>
      <c r="AG1276" s="14">
        <f>F1276*AF1276*in_hlth_small_ticket*in_hlth_small_comm*in_ins_partner_share+F1276*in_hlth_small_ticket*in_hlth_small_renew_comm*in_ins_partner_share*(in_hlth_small_renew^1*SUMIFS(AF1271:AF1303,B1271:B1303,B1276-12)+in_hlth_small_renew^2*SUMIFS(AF1271:AF1303,B1271:B1303,B1276-24)+in_hlth_small_renew^3*SUMIFS(AF1271:AF1303,B1271:B1303,B1276-36)+in_hlth_small_renew^4*SUMIFS(AF1271:AF1303,B1271:B1303,B1276-48))</f>
        <v/>
      </c>
      <c r="AH1276" s="40">
        <f>AH1275*(1-IF(B1275&gt;=in_marketplace_from,d_hz_hlth_family*G1275,0))</f>
        <v/>
      </c>
      <c r="AI1276" s="46">
        <f>AH1276*IF(B1276&gt;=in_marketplace_from,d_hz_hlth_family*G1276,0)</f>
        <v/>
      </c>
      <c r="AJ1276" s="14">
        <f>F1276*AI1276*in_hlth_family_ticket*in_hlth_family_comm*in_ins_partner_share+F1276*in_hlth_family_ticket*in_hlth_family_renew_comm*in_ins_partner_share*(in_hlth_family_renew^1*SUMIFS(AI1271:AI1303,B1271:B1303,B1276-12)+in_hlth_family_renew^2*SUMIFS(AI1271:AI1303,B1271:B1303,B1276-24)+in_hlth_family_renew^3*SUMIFS(AI1271:AI1303,B1271:B1303,B1276-36)+in_hlth_family_renew^4*SUMIFS(AI1271:AI1303,B1271:B1303,B1276-48))</f>
        <v/>
      </c>
      <c r="AK1276" s="40">
        <f>AK1275*(1-IF(B1275&gt;=in_marketplace_from,d_hz_life_term*G1275,0))</f>
        <v/>
      </c>
      <c r="AL1276" s="46">
        <f>AK1276*IF(B1276&gt;=in_marketplace_from,d_hz_life_term*G1276,0)</f>
        <v/>
      </c>
      <c r="AM1276" s="14">
        <f>F1276*AL1276*in_life_term_ticket*in_life_term_comm*in_ins_partner_share+F1276*in_life_term_ticket*in_life_term_renew_comm*in_ins_partner_share*(in_life_term_renew^1*SUMIFS(AL1271:AL1303,B1271:B1303,B1276-12)+in_life_term_renew^2*SUMIFS(AL1271:AL1303,B1271:B1303,B1276-24)+in_life_term_renew^3*SUMIFS(AL1271:AL1303,B1271:B1303,B1276-36)+in_life_term_renew^4*SUMIFS(AL1271:AL1303,B1271:B1303,B1276-48))</f>
        <v/>
      </c>
      <c r="AN1276" s="40">
        <f>AN1275*(1-IF(B1275&gt;=in_marketplace_from,d_hz_accident*G1275,0))</f>
        <v/>
      </c>
      <c r="AO1276" s="46">
        <f>AN1276*IF(B1276&gt;=in_marketplace_from,d_hz_accident*G1276,0)</f>
        <v/>
      </c>
      <c r="AP1276" s="14">
        <f>F1276*AO1276*in_accident_ticket*in_accident_comm*in_ins_partner_share+F1276*in_accident_ticket*in_accident_renew_comm*in_ins_partner_share*(in_accident_renew^1*SUMIFS(AO1271:AO1303,B1271:B1303,B1276-12)+in_accident_renew^2*SUMIFS(AO1271:AO1303,B1271:B1303,B1276-24)+in_accident_renew^3*SUMIFS(AO1271:AO1303,B1271:B1303,B1276-36)+in_accident_renew^4*SUMIFS(AO1271:AO1303,B1271:B1303,B1276-48))</f>
        <v/>
      </c>
      <c r="AQ1276" s="40">
        <f>AQ1275*(1-IF(B1275&gt;=in_marketplace_from,d_hz_two_wheeler*G1275,0))</f>
        <v/>
      </c>
      <c r="AR1276" s="46">
        <f>AQ1276*IF(B1276&gt;=in_marketplace_from,d_hz_two_wheeler*G1276,0)</f>
        <v/>
      </c>
      <c r="AS1276" s="14">
        <f>F1276*AR1276*in_two_wheeler_ticket*in_two_wheeler_comm*in_ins_partner_share+F1276*in_two_wheeler_ticket*in_two_wheeler_comm*in_ins_partner_share*(in_two_wheeler_renew^1*SUMIFS(AR1271:AR1303,B1271:B1303,B1276-12)+in_two_wheeler_renew^2*SUMIFS(AR1271:AR1303,B1271:B1303,B1276-24)+in_two_wheeler_renew^3*SUMIFS(AR1271:AR1303,B1271:B1303,B1276-36)+in_two_wheeler_renew^4*SUMIFS(AR1271:AR1303,B1271:B1303,B1276-48))</f>
        <v/>
      </c>
      <c r="AT1276" s="40">
        <f>AT1275*(1-IF(B1275&gt;=in_marketplace_from,d_hz_device*G1275,0))</f>
        <v/>
      </c>
      <c r="AU1276" s="14">
        <f>F1276*AT1276*IF(B1276&gt;=in_marketplace_from,d_hz_device*G1276,0)*in_device_ticket*in_device_comm*in_ins_partner_share</f>
        <v/>
      </c>
      <c r="AV1276" s="40">
        <f>AV1275*(1-IF(B1275&gt;=in_marketplace_from,d_hz_shop*G1275,0))</f>
        <v/>
      </c>
      <c r="AW1276" s="46">
        <f>AV1276*IF(B1276&gt;=in_marketplace_from,d_hz_shop*G1276,0)</f>
        <v/>
      </c>
      <c r="AX1276" s="14">
        <f>F1276*AW1276*in_shop_ticket*in_shop_comm*in_ins_partner_share+F1276*in_shop_ticket*in_shop_renew_comm*in_ins_partner_share*(in_shop_renew^1*SUMIFS(AW1271:AW1303,B1271:B1303,B1276-12)+in_shop_renew^2*SUMIFS(AW1271:AW1303,B1271:B1303,B1276-24)+in_shop_renew^3*SUMIFS(AW1271:AW1303,B1271:B1303,B1276-36)+in_shop_renew^4*SUMIFS(AW1271:AW1303,B1271:B1303,B1276-48))</f>
        <v/>
      </c>
      <c r="AY1276" s="40">
        <f>AY1275*(1-IF(B1275&gt;=in_marketplace_from,d_hz_sip*G1275,0))</f>
        <v/>
      </c>
      <c r="AZ1276" s="40">
        <f>AZ1275*d_rho_sip+AY1276*IF(B1276&gt;=in_marketplace_from,d_hz_sip*G1276,0)</f>
        <v/>
      </c>
      <c r="BA1276" s="40">
        <f>d_rho_sip*(BA1275+AZ1275)</f>
        <v/>
      </c>
      <c r="BB1276" s="14">
        <f>F1276*in_sip_ticket*(BA1276+0.5*AZ1276)*in_sip_comm/12</f>
        <v/>
      </c>
      <c r="BC1276" s="40">
        <f>BC1275*(1-IF(B1275&gt;=in_marketplace_from,d_hz_choti*G1275,0))</f>
        <v/>
      </c>
      <c r="BD1276" s="46">
        <f>BC1276*IF(B1276&gt;=in_marketplace_from,d_hz_choti*G1276,0)</f>
        <v/>
      </c>
      <c r="BE1276" s="14">
        <f>F1276*SUMIFS(BD1271:BD1303,B1271:B1303,B1276-in_choti_months)*in_choti_renew*in_choti_ticket</f>
        <v/>
      </c>
      <c r="BF1276" s="40">
        <f>BF1275*(1-IF(B1275&gt;=in_marketplace_from,d_hz_nps*G1275,0))</f>
        <v/>
      </c>
      <c r="BG1276" s="14">
        <f>F1276*BF1276*IF(B1276&gt;=in_marketplace_from,d_hz_nps*G1276,0)*in_nps_ticket*in_nps_comm</f>
        <v/>
      </c>
      <c r="BH1276" s="40">
        <f>BH1275*(1-IF(B1275&gt;=in_marketplace_from,d_hz_gold*G1275,0))</f>
        <v/>
      </c>
      <c r="BI1276" s="40">
        <f>BI1275*d_rho_gold+BH1276*IF(B1276&gt;=in_marketplace_from,d_hz_gold*G1276,0)</f>
        <v/>
      </c>
      <c r="BJ1276" s="14">
        <f>F1276*BI1276*in_gold_ticket*in_gold_comm</f>
        <v/>
      </c>
      <c r="BK1276" s="40">
        <f>BK1275*(1-IF(B1275&gt;=in_marketplace_from,d_hz_fd*G1275,0))</f>
        <v/>
      </c>
      <c r="BL1276" s="14">
        <f>F1276*BK1276*IF(B1276&gt;=in_marketplace_from,d_hz_fd*G1276,0)*in_fd_ticket*in_fd_comm</f>
        <v/>
      </c>
      <c r="BM1276" s="40">
        <f>BM1275*(1-IF(B1275&gt;=in_marketplace_from,d_hz_recharge*G1275,0))</f>
        <v/>
      </c>
      <c r="BN1276" s="40">
        <f>BN1275*d_rho_recharge+BM1276*IF(B1276&gt;=in_marketplace_from,d_hz_recharge*G1276,0)</f>
        <v/>
      </c>
      <c r="BO1276" s="14">
        <f>F1276*BN1276*in_recharge_ticket*in_recharge_comm/12</f>
        <v/>
      </c>
      <c r="BP1276" s="40">
        <f>BP1275*(1-IF(B1275&gt;=in_marketplace_from,d_hz_bills*G1275,0))</f>
        <v/>
      </c>
      <c r="BQ1276" s="40">
        <f>BQ1275*d_rho_bills+BP1276*IF(B1276&gt;=in_marketplace_from,d_hz_bills*G1276,0)</f>
        <v/>
      </c>
      <c r="BR1276" s="14">
        <f>F1276*BQ1276*in_bills_ticket*in_bills_comm/12</f>
        <v/>
      </c>
      <c r="BS1276" s="40">
        <f>BS1275*(1-IF(B1275&gt;=in_marketplace_from,d_hz_loan_gold*G1275,0))</f>
        <v/>
      </c>
      <c r="BT1276" s="14">
        <f>F1276*BS1276*IF(B1276&gt;=in_marketplace_from,d_hz_loan_gold*G1276,0)*in_loan_gold_ticket*in_loan_gold_comm</f>
        <v/>
      </c>
      <c r="BU1276" s="40">
        <f>BU1275*(1-IF(B1275&gt;=in_marketplace_from,d_hz_loan_cd*G1275,0))</f>
        <v/>
      </c>
      <c r="BV1276" s="14">
        <f>F1276*BU1276*IF(B1276&gt;=in_marketplace_from,d_hz_loan_cd*G1276,0)*in_loan_cd_ticket*in_loan_cd_comm</f>
        <v/>
      </c>
      <c r="BW1276" s="40">
        <f>BW1275*(1-IF(B1275&gt;=in_marketplace_from,d_hz_loan_vehicle*G1275,0))</f>
        <v/>
      </c>
      <c r="BX1276" s="14">
        <f>F1276*BW1276*IF(B1276&gt;=in_marketplace_from,d_hz_loan_vehicle*G1276,0)*in_loan_vehicle_ticket*in_loan_vehicle_comm</f>
        <v/>
      </c>
      <c r="BY1276" s="40">
        <f>BY1275*(1-IF(B1275&gt;=in_marketplace_from,d_hz_loan_home*G1275,0)*BZ1275)</f>
        <v/>
      </c>
      <c r="BZ1276" s="11">
        <f>MIN(in_approval_cap,in_loan_home_approval*INDEX('Age profile'!$O$2:$O$61,B1276)*(1+in_approval_growth)^(D1276-1))</f>
        <v/>
      </c>
      <c r="CA1276" s="14">
        <f>F1276*BY1276*IF(B1276&gt;=in_marketplace_from,d_hz_loan_home*G1276,0)*BZ1276*in_loan_home_ticket*in_loan_home_comm</f>
        <v/>
      </c>
      <c r="CB1276" s="40">
        <f>CB1275*(1-IF(B1275&gt;=in_marketplace_from,d_hz_loan_lap*G1275,0)*CC1275)</f>
        <v/>
      </c>
      <c r="CC1276" s="11">
        <f>MIN(in_approval_cap,in_loan_lap_approval*INDEX('Age profile'!$O$2:$O$61,B1276)*(1+in_approval_growth)^(D1276-1))</f>
        <v/>
      </c>
      <c r="CD1276" s="14">
        <f>F1276*CB1276*IF(B1276&gt;=in_marketplace_from,d_hz_loan_lap*G1276,0)*CC1276*in_loan_lap_ticket*in_loan_lap_comm</f>
        <v/>
      </c>
      <c r="CE1276" s="14">
        <f>AA1276+AB1276+AC1276+AD1276+AG1276+AJ1276+AM1276+AP1276+AS1276+AU1276+AX1276+BB1276+BE1276+BG1276+BJ1276+BL1276+BO1276+BR1276+BT1276+BV1276+BX1276+CA1276+CD1276</f>
        <v/>
      </c>
    </row>
    <row r="1277">
      <c r="A1277" s="39" t="n">
        <v>28</v>
      </c>
      <c r="B1277" s="39" t="n">
        <v>7</v>
      </c>
      <c r="C1277" s="39">
        <f>A1277+B1277-1</f>
        <v/>
      </c>
      <c r="D1277" s="39">
        <f>INT((C1277-1)/12)+1</f>
        <v/>
      </c>
      <c r="E1277" s="44">
        <f>INDEX(Monthly!$B$2:$B$61,A1277)</f>
        <v/>
      </c>
      <c r="F1277" s="44">
        <f>E1277*INDEX('Age profile'!$B$2:$B$61,B1277)</f>
        <v/>
      </c>
      <c r="G1277" s="45">
        <f>MIN(in_takeup_cap,INDEX('Age profile'!$N$2:$N$61,B1277)*(1+in_takeup_growth)^(D1277-1))</f>
        <v/>
      </c>
      <c r="H1277" s="11">
        <f>MIN(in_approval_cap,in_approved_first*INDEX('Age profile'!$O$2:$O$61,B1277)*(1+in_approval_growth)^(D1277-1))</f>
        <v/>
      </c>
      <c r="I1277" s="45">
        <f>G1277*MIN(in_takeup_cap,INDEX('Age profile'!$O$2:$O$61,B1277)*(1+in_approval_growth)^(D1277-1))</f>
        <v/>
      </c>
      <c r="J1277" s="40">
        <f>(J1276-L1276)*F1277/F1276</f>
        <v/>
      </c>
      <c r="K1277" s="40">
        <f>(K1276-M1276)*F1277/F1276+SUMIFS(O1271:O1276,B1271:B1276,B1277-1-d_T)*F1277</f>
        <v/>
      </c>
      <c r="L1277" s="40">
        <f>IF(B1277&gt;=in_marketplace_from,J1277*d_hz*G1277*in_eligible*H1277,0)</f>
        <v/>
      </c>
      <c r="M1277" s="40">
        <f>IF(B1277&gt;=in_marketplace_from,K1277*d_hz*G1277*in_eligible*in_approved_repeat,0)</f>
        <v/>
      </c>
      <c r="N1277" s="40">
        <f>L1277+M1277</f>
        <v/>
      </c>
      <c r="O1277" s="46">
        <f>N1277/F1277</f>
        <v/>
      </c>
      <c r="P1277" s="40">
        <f>F1277-J1277-K1277</f>
        <v/>
      </c>
      <c r="Q1277" s="40">
        <f>IF(B1277&gt;=in_marketplace_from,(J1277+K1277)*d_hz*G1277,0)</f>
        <v/>
      </c>
      <c r="R1277" s="40">
        <f>SUMIFS(N1271:N1303,B1271:B1303,"&gt;="&amp;(B1277-d_T),B1271:B1303,"&lt;="&amp;(B1277-1))</f>
        <v/>
      </c>
      <c r="S1277" s="46">
        <f>(1-d_u)*S1276+IF(d_T&gt;in_topup_lag,SUMIFS(O1271:O1303,B1271:B1303,B1277-in_topup_lag)-d_udrop*SUMIFS(O1271:O1303,B1271:B1303,B1277-d_T),0)</f>
        <v/>
      </c>
      <c r="T1277" s="40">
        <f>F1277*d_u*S1277</f>
        <v/>
      </c>
      <c r="U1277" s="9">
        <f>L1277*in_ticket+M1277*d_rep_ticket</f>
        <v/>
      </c>
      <c r="V1277" s="9">
        <f>U1277+T1277*d_topup_amt</f>
        <v/>
      </c>
      <c r="W1277" s="40">
        <f>N1277+T1277*d_topup_ratio</f>
        <v/>
      </c>
      <c r="X1277" s="40">
        <f>SUMIFS(W1271:W1303,B1271:B1303,B1277-in_dpd_lag)*d_cured</f>
        <v/>
      </c>
      <c r="Y1277" s="40">
        <f>SUMIFS(W1271:W1303,B1271:B1303,B1277-in_rec_lag)*d_recd</f>
        <v/>
      </c>
      <c r="Z1277" s="40">
        <f>IF(AND(B1277&gt;=in_marketplace_from,B1277&lt;in_marketplace_from+in_card_months),in_card_share/in_card_months*F1277*I1277,IF(AND(B1277&gt;=in_marketplace_from+in_card_months,B1277&lt;in_marketplace_from+2*in_card_months),in_card_share*d_card_rem/in_card_months*F1277*MIN(in_takeup_cap,(1+in_takeup_growth)^(D1277-1))*MIN(in_takeup_cap,(1+in_approval_growth)^(D1277-1)),0))</f>
        <v/>
      </c>
      <c r="AA1277" s="14">
        <f>V1277*in_fee*(1-in_taken_back)</f>
        <v/>
      </c>
      <c r="AB1277" s="14">
        <f>SUMIFS(W1271:W1303,B1271:B1303,B1277-in_dpd_lag)*d_dpd</f>
        <v/>
      </c>
      <c r="AC1277" s="14">
        <f>SUMIFS(W1271:W1303,B1271:B1303,B1277-in_rec_lag)*d_rec</f>
        <v/>
      </c>
      <c r="AD1277" s="14">
        <f>Z1277*in_card_fee</f>
        <v/>
      </c>
      <c r="AE1277" s="40">
        <f>AE1276*(1-IF(B1276&gt;=in_marketplace_from,d_hz_hlth_small*G1276,0))</f>
        <v/>
      </c>
      <c r="AF1277" s="46">
        <f>AE1277*IF(B1277&gt;=in_marketplace_from,d_hz_hlth_small*G1277,0)</f>
        <v/>
      </c>
      <c r="AG1277" s="14">
        <f>F1277*AF1277*in_hlth_small_ticket*in_hlth_small_comm*in_ins_partner_share+F1277*in_hlth_small_ticket*in_hlth_small_renew_comm*in_ins_partner_share*(in_hlth_small_renew^1*SUMIFS(AF1271:AF1303,B1271:B1303,B1277-12)+in_hlth_small_renew^2*SUMIFS(AF1271:AF1303,B1271:B1303,B1277-24)+in_hlth_small_renew^3*SUMIFS(AF1271:AF1303,B1271:B1303,B1277-36)+in_hlth_small_renew^4*SUMIFS(AF1271:AF1303,B1271:B1303,B1277-48))</f>
        <v/>
      </c>
      <c r="AH1277" s="40">
        <f>AH1276*(1-IF(B1276&gt;=in_marketplace_from,d_hz_hlth_family*G1276,0))</f>
        <v/>
      </c>
      <c r="AI1277" s="46">
        <f>AH1277*IF(B1277&gt;=in_marketplace_from,d_hz_hlth_family*G1277,0)</f>
        <v/>
      </c>
      <c r="AJ1277" s="14">
        <f>F1277*AI1277*in_hlth_family_ticket*in_hlth_family_comm*in_ins_partner_share+F1277*in_hlth_family_ticket*in_hlth_family_renew_comm*in_ins_partner_share*(in_hlth_family_renew^1*SUMIFS(AI1271:AI1303,B1271:B1303,B1277-12)+in_hlth_family_renew^2*SUMIFS(AI1271:AI1303,B1271:B1303,B1277-24)+in_hlth_family_renew^3*SUMIFS(AI1271:AI1303,B1271:B1303,B1277-36)+in_hlth_family_renew^4*SUMIFS(AI1271:AI1303,B1271:B1303,B1277-48))</f>
        <v/>
      </c>
      <c r="AK1277" s="40">
        <f>AK1276*(1-IF(B1276&gt;=in_marketplace_from,d_hz_life_term*G1276,0))</f>
        <v/>
      </c>
      <c r="AL1277" s="46">
        <f>AK1277*IF(B1277&gt;=in_marketplace_from,d_hz_life_term*G1277,0)</f>
        <v/>
      </c>
      <c r="AM1277" s="14">
        <f>F1277*AL1277*in_life_term_ticket*in_life_term_comm*in_ins_partner_share+F1277*in_life_term_ticket*in_life_term_renew_comm*in_ins_partner_share*(in_life_term_renew^1*SUMIFS(AL1271:AL1303,B1271:B1303,B1277-12)+in_life_term_renew^2*SUMIFS(AL1271:AL1303,B1271:B1303,B1277-24)+in_life_term_renew^3*SUMIFS(AL1271:AL1303,B1271:B1303,B1277-36)+in_life_term_renew^4*SUMIFS(AL1271:AL1303,B1271:B1303,B1277-48))</f>
        <v/>
      </c>
      <c r="AN1277" s="40">
        <f>AN1276*(1-IF(B1276&gt;=in_marketplace_from,d_hz_accident*G1276,0))</f>
        <v/>
      </c>
      <c r="AO1277" s="46">
        <f>AN1277*IF(B1277&gt;=in_marketplace_from,d_hz_accident*G1277,0)</f>
        <v/>
      </c>
      <c r="AP1277" s="14">
        <f>F1277*AO1277*in_accident_ticket*in_accident_comm*in_ins_partner_share+F1277*in_accident_ticket*in_accident_renew_comm*in_ins_partner_share*(in_accident_renew^1*SUMIFS(AO1271:AO1303,B1271:B1303,B1277-12)+in_accident_renew^2*SUMIFS(AO1271:AO1303,B1271:B1303,B1277-24)+in_accident_renew^3*SUMIFS(AO1271:AO1303,B1271:B1303,B1277-36)+in_accident_renew^4*SUMIFS(AO1271:AO1303,B1271:B1303,B1277-48))</f>
        <v/>
      </c>
      <c r="AQ1277" s="40">
        <f>AQ1276*(1-IF(B1276&gt;=in_marketplace_from,d_hz_two_wheeler*G1276,0))</f>
        <v/>
      </c>
      <c r="AR1277" s="46">
        <f>AQ1277*IF(B1277&gt;=in_marketplace_from,d_hz_two_wheeler*G1277,0)</f>
        <v/>
      </c>
      <c r="AS1277" s="14">
        <f>F1277*AR1277*in_two_wheeler_ticket*in_two_wheeler_comm*in_ins_partner_share+F1277*in_two_wheeler_ticket*in_two_wheeler_comm*in_ins_partner_share*(in_two_wheeler_renew^1*SUMIFS(AR1271:AR1303,B1271:B1303,B1277-12)+in_two_wheeler_renew^2*SUMIFS(AR1271:AR1303,B1271:B1303,B1277-24)+in_two_wheeler_renew^3*SUMIFS(AR1271:AR1303,B1271:B1303,B1277-36)+in_two_wheeler_renew^4*SUMIFS(AR1271:AR1303,B1271:B1303,B1277-48))</f>
        <v/>
      </c>
      <c r="AT1277" s="40">
        <f>AT1276*(1-IF(B1276&gt;=in_marketplace_from,d_hz_device*G1276,0))</f>
        <v/>
      </c>
      <c r="AU1277" s="14">
        <f>F1277*AT1277*IF(B1277&gt;=in_marketplace_from,d_hz_device*G1277,0)*in_device_ticket*in_device_comm*in_ins_partner_share</f>
        <v/>
      </c>
      <c r="AV1277" s="40">
        <f>AV1276*(1-IF(B1276&gt;=in_marketplace_from,d_hz_shop*G1276,0))</f>
        <v/>
      </c>
      <c r="AW1277" s="46">
        <f>AV1277*IF(B1277&gt;=in_marketplace_from,d_hz_shop*G1277,0)</f>
        <v/>
      </c>
      <c r="AX1277" s="14">
        <f>F1277*AW1277*in_shop_ticket*in_shop_comm*in_ins_partner_share+F1277*in_shop_ticket*in_shop_renew_comm*in_ins_partner_share*(in_shop_renew^1*SUMIFS(AW1271:AW1303,B1271:B1303,B1277-12)+in_shop_renew^2*SUMIFS(AW1271:AW1303,B1271:B1303,B1277-24)+in_shop_renew^3*SUMIFS(AW1271:AW1303,B1271:B1303,B1277-36)+in_shop_renew^4*SUMIFS(AW1271:AW1303,B1271:B1303,B1277-48))</f>
        <v/>
      </c>
      <c r="AY1277" s="40">
        <f>AY1276*(1-IF(B1276&gt;=in_marketplace_from,d_hz_sip*G1276,0))</f>
        <v/>
      </c>
      <c r="AZ1277" s="40">
        <f>AZ1276*d_rho_sip+AY1277*IF(B1277&gt;=in_marketplace_from,d_hz_sip*G1277,0)</f>
        <v/>
      </c>
      <c r="BA1277" s="40">
        <f>d_rho_sip*(BA1276+AZ1276)</f>
        <v/>
      </c>
      <c r="BB1277" s="14">
        <f>F1277*in_sip_ticket*(BA1277+0.5*AZ1277)*in_sip_comm/12</f>
        <v/>
      </c>
      <c r="BC1277" s="40">
        <f>BC1276*(1-IF(B1276&gt;=in_marketplace_from,d_hz_choti*G1276,0))</f>
        <v/>
      </c>
      <c r="BD1277" s="46">
        <f>BC1277*IF(B1277&gt;=in_marketplace_from,d_hz_choti*G1277,0)</f>
        <v/>
      </c>
      <c r="BE1277" s="14">
        <f>F1277*SUMIFS(BD1271:BD1303,B1271:B1303,B1277-in_choti_months)*in_choti_renew*in_choti_ticket</f>
        <v/>
      </c>
      <c r="BF1277" s="40">
        <f>BF1276*(1-IF(B1276&gt;=in_marketplace_from,d_hz_nps*G1276,0))</f>
        <v/>
      </c>
      <c r="BG1277" s="14">
        <f>F1277*BF1277*IF(B1277&gt;=in_marketplace_from,d_hz_nps*G1277,0)*in_nps_ticket*in_nps_comm</f>
        <v/>
      </c>
      <c r="BH1277" s="40">
        <f>BH1276*(1-IF(B1276&gt;=in_marketplace_from,d_hz_gold*G1276,0))</f>
        <v/>
      </c>
      <c r="BI1277" s="40">
        <f>BI1276*d_rho_gold+BH1277*IF(B1277&gt;=in_marketplace_from,d_hz_gold*G1277,0)</f>
        <v/>
      </c>
      <c r="BJ1277" s="14">
        <f>F1277*BI1277*in_gold_ticket*in_gold_comm</f>
        <v/>
      </c>
      <c r="BK1277" s="40">
        <f>BK1276*(1-IF(B1276&gt;=in_marketplace_from,d_hz_fd*G1276,0))</f>
        <v/>
      </c>
      <c r="BL1277" s="14">
        <f>F1277*BK1277*IF(B1277&gt;=in_marketplace_from,d_hz_fd*G1277,0)*in_fd_ticket*in_fd_comm</f>
        <v/>
      </c>
      <c r="BM1277" s="40">
        <f>BM1276*(1-IF(B1276&gt;=in_marketplace_from,d_hz_recharge*G1276,0))</f>
        <v/>
      </c>
      <c r="BN1277" s="40">
        <f>BN1276*d_rho_recharge+BM1277*IF(B1277&gt;=in_marketplace_from,d_hz_recharge*G1277,0)</f>
        <v/>
      </c>
      <c r="BO1277" s="14">
        <f>F1277*BN1277*in_recharge_ticket*in_recharge_comm/12</f>
        <v/>
      </c>
      <c r="BP1277" s="40">
        <f>BP1276*(1-IF(B1276&gt;=in_marketplace_from,d_hz_bills*G1276,0))</f>
        <v/>
      </c>
      <c r="BQ1277" s="40">
        <f>BQ1276*d_rho_bills+BP1277*IF(B1277&gt;=in_marketplace_from,d_hz_bills*G1277,0)</f>
        <v/>
      </c>
      <c r="BR1277" s="14">
        <f>F1277*BQ1277*in_bills_ticket*in_bills_comm/12</f>
        <v/>
      </c>
      <c r="BS1277" s="40">
        <f>BS1276*(1-IF(B1276&gt;=in_marketplace_from,d_hz_loan_gold*G1276,0))</f>
        <v/>
      </c>
      <c r="BT1277" s="14">
        <f>F1277*BS1277*IF(B1277&gt;=in_marketplace_from,d_hz_loan_gold*G1277,0)*in_loan_gold_ticket*in_loan_gold_comm</f>
        <v/>
      </c>
      <c r="BU1277" s="40">
        <f>BU1276*(1-IF(B1276&gt;=in_marketplace_from,d_hz_loan_cd*G1276,0))</f>
        <v/>
      </c>
      <c r="BV1277" s="14">
        <f>F1277*BU1277*IF(B1277&gt;=in_marketplace_from,d_hz_loan_cd*G1277,0)*in_loan_cd_ticket*in_loan_cd_comm</f>
        <v/>
      </c>
      <c r="BW1277" s="40">
        <f>BW1276*(1-IF(B1276&gt;=in_marketplace_from,d_hz_loan_vehicle*G1276,0))</f>
        <v/>
      </c>
      <c r="BX1277" s="14">
        <f>F1277*BW1277*IF(B1277&gt;=in_marketplace_from,d_hz_loan_vehicle*G1277,0)*in_loan_vehicle_ticket*in_loan_vehicle_comm</f>
        <v/>
      </c>
      <c r="BY1277" s="40">
        <f>BY1276*(1-IF(B1276&gt;=in_marketplace_from,d_hz_loan_home*G1276,0)*BZ1276)</f>
        <v/>
      </c>
      <c r="BZ1277" s="11">
        <f>MIN(in_approval_cap,in_loan_home_approval*INDEX('Age profile'!$O$2:$O$61,B1277)*(1+in_approval_growth)^(D1277-1))</f>
        <v/>
      </c>
      <c r="CA1277" s="14">
        <f>F1277*BY1277*IF(B1277&gt;=in_marketplace_from,d_hz_loan_home*G1277,0)*BZ1277*in_loan_home_ticket*in_loan_home_comm</f>
        <v/>
      </c>
      <c r="CB1277" s="40">
        <f>CB1276*(1-IF(B1276&gt;=in_marketplace_from,d_hz_loan_lap*G1276,0)*CC1276)</f>
        <v/>
      </c>
      <c r="CC1277" s="11">
        <f>MIN(in_approval_cap,in_loan_lap_approval*INDEX('Age profile'!$O$2:$O$61,B1277)*(1+in_approval_growth)^(D1277-1))</f>
        <v/>
      </c>
      <c r="CD1277" s="14">
        <f>F1277*CB1277*IF(B1277&gt;=in_marketplace_from,d_hz_loan_lap*G1277,0)*CC1277*in_loan_lap_ticket*in_loan_lap_comm</f>
        <v/>
      </c>
      <c r="CE1277" s="14">
        <f>AA1277+AB1277+AC1277+AD1277+AG1277+AJ1277+AM1277+AP1277+AS1277+AU1277+AX1277+BB1277+BE1277+BG1277+BJ1277+BL1277+BO1277+BR1277+BT1277+BV1277+BX1277+CA1277+CD1277</f>
        <v/>
      </c>
    </row>
    <row r="1278">
      <c r="A1278" s="39" t="n">
        <v>28</v>
      </c>
      <c r="B1278" s="39" t="n">
        <v>8</v>
      </c>
      <c r="C1278" s="39">
        <f>A1278+B1278-1</f>
        <v/>
      </c>
      <c r="D1278" s="39">
        <f>INT((C1278-1)/12)+1</f>
        <v/>
      </c>
      <c r="E1278" s="44">
        <f>INDEX(Monthly!$B$2:$B$61,A1278)</f>
        <v/>
      </c>
      <c r="F1278" s="44">
        <f>E1278*INDEX('Age profile'!$B$2:$B$61,B1278)</f>
        <v/>
      </c>
      <c r="G1278" s="45">
        <f>MIN(in_takeup_cap,INDEX('Age profile'!$N$2:$N$61,B1278)*(1+in_takeup_growth)^(D1278-1))</f>
        <v/>
      </c>
      <c r="H1278" s="11">
        <f>MIN(in_approval_cap,in_approved_first*INDEX('Age profile'!$O$2:$O$61,B1278)*(1+in_approval_growth)^(D1278-1))</f>
        <v/>
      </c>
      <c r="I1278" s="45">
        <f>G1278*MIN(in_takeup_cap,INDEX('Age profile'!$O$2:$O$61,B1278)*(1+in_approval_growth)^(D1278-1))</f>
        <v/>
      </c>
      <c r="J1278" s="40">
        <f>(J1277-L1277)*F1278/F1277</f>
        <v/>
      </c>
      <c r="K1278" s="40">
        <f>(K1277-M1277)*F1278/F1277+SUMIFS(O1271:O1277,B1271:B1277,B1278-1-d_T)*F1278</f>
        <v/>
      </c>
      <c r="L1278" s="40">
        <f>IF(B1278&gt;=in_marketplace_from,J1278*d_hz*G1278*in_eligible*H1278,0)</f>
        <v/>
      </c>
      <c r="M1278" s="40">
        <f>IF(B1278&gt;=in_marketplace_from,K1278*d_hz*G1278*in_eligible*in_approved_repeat,0)</f>
        <v/>
      </c>
      <c r="N1278" s="40">
        <f>L1278+M1278</f>
        <v/>
      </c>
      <c r="O1278" s="46">
        <f>N1278/F1278</f>
        <v/>
      </c>
      <c r="P1278" s="40">
        <f>F1278-J1278-K1278</f>
        <v/>
      </c>
      <c r="Q1278" s="40">
        <f>IF(B1278&gt;=in_marketplace_from,(J1278+K1278)*d_hz*G1278,0)</f>
        <v/>
      </c>
      <c r="R1278" s="40">
        <f>SUMIFS(N1271:N1303,B1271:B1303,"&gt;="&amp;(B1278-d_T),B1271:B1303,"&lt;="&amp;(B1278-1))</f>
        <v/>
      </c>
      <c r="S1278" s="46">
        <f>(1-d_u)*S1277+IF(d_T&gt;in_topup_lag,SUMIFS(O1271:O1303,B1271:B1303,B1278-in_topup_lag)-d_udrop*SUMIFS(O1271:O1303,B1271:B1303,B1278-d_T),0)</f>
        <v/>
      </c>
      <c r="T1278" s="40">
        <f>F1278*d_u*S1278</f>
        <v/>
      </c>
      <c r="U1278" s="9">
        <f>L1278*in_ticket+M1278*d_rep_ticket</f>
        <v/>
      </c>
      <c r="V1278" s="9">
        <f>U1278+T1278*d_topup_amt</f>
        <v/>
      </c>
      <c r="W1278" s="40">
        <f>N1278+T1278*d_topup_ratio</f>
        <v/>
      </c>
      <c r="X1278" s="40">
        <f>SUMIFS(W1271:W1303,B1271:B1303,B1278-in_dpd_lag)*d_cured</f>
        <v/>
      </c>
      <c r="Y1278" s="40">
        <f>SUMIFS(W1271:W1303,B1271:B1303,B1278-in_rec_lag)*d_recd</f>
        <v/>
      </c>
      <c r="Z1278" s="40">
        <f>IF(AND(B1278&gt;=in_marketplace_from,B1278&lt;in_marketplace_from+in_card_months),in_card_share/in_card_months*F1278*I1278,IF(AND(B1278&gt;=in_marketplace_from+in_card_months,B1278&lt;in_marketplace_from+2*in_card_months),in_card_share*d_card_rem/in_card_months*F1278*MIN(in_takeup_cap,(1+in_takeup_growth)^(D1278-1))*MIN(in_takeup_cap,(1+in_approval_growth)^(D1278-1)),0))</f>
        <v/>
      </c>
      <c r="AA1278" s="14">
        <f>V1278*in_fee*(1-in_taken_back)</f>
        <v/>
      </c>
      <c r="AB1278" s="14">
        <f>SUMIFS(W1271:W1303,B1271:B1303,B1278-in_dpd_lag)*d_dpd</f>
        <v/>
      </c>
      <c r="AC1278" s="14">
        <f>SUMIFS(W1271:W1303,B1271:B1303,B1278-in_rec_lag)*d_rec</f>
        <v/>
      </c>
      <c r="AD1278" s="14">
        <f>Z1278*in_card_fee</f>
        <v/>
      </c>
      <c r="AE1278" s="40">
        <f>AE1277*(1-IF(B1277&gt;=in_marketplace_from,d_hz_hlth_small*G1277,0))</f>
        <v/>
      </c>
      <c r="AF1278" s="46">
        <f>AE1278*IF(B1278&gt;=in_marketplace_from,d_hz_hlth_small*G1278,0)</f>
        <v/>
      </c>
      <c r="AG1278" s="14">
        <f>F1278*AF1278*in_hlth_small_ticket*in_hlth_small_comm*in_ins_partner_share+F1278*in_hlth_small_ticket*in_hlth_small_renew_comm*in_ins_partner_share*(in_hlth_small_renew^1*SUMIFS(AF1271:AF1303,B1271:B1303,B1278-12)+in_hlth_small_renew^2*SUMIFS(AF1271:AF1303,B1271:B1303,B1278-24)+in_hlth_small_renew^3*SUMIFS(AF1271:AF1303,B1271:B1303,B1278-36)+in_hlth_small_renew^4*SUMIFS(AF1271:AF1303,B1271:B1303,B1278-48))</f>
        <v/>
      </c>
      <c r="AH1278" s="40">
        <f>AH1277*(1-IF(B1277&gt;=in_marketplace_from,d_hz_hlth_family*G1277,0))</f>
        <v/>
      </c>
      <c r="AI1278" s="46">
        <f>AH1278*IF(B1278&gt;=in_marketplace_from,d_hz_hlth_family*G1278,0)</f>
        <v/>
      </c>
      <c r="AJ1278" s="14">
        <f>F1278*AI1278*in_hlth_family_ticket*in_hlth_family_comm*in_ins_partner_share+F1278*in_hlth_family_ticket*in_hlth_family_renew_comm*in_ins_partner_share*(in_hlth_family_renew^1*SUMIFS(AI1271:AI1303,B1271:B1303,B1278-12)+in_hlth_family_renew^2*SUMIFS(AI1271:AI1303,B1271:B1303,B1278-24)+in_hlth_family_renew^3*SUMIFS(AI1271:AI1303,B1271:B1303,B1278-36)+in_hlth_family_renew^4*SUMIFS(AI1271:AI1303,B1271:B1303,B1278-48))</f>
        <v/>
      </c>
      <c r="AK1278" s="40">
        <f>AK1277*(1-IF(B1277&gt;=in_marketplace_from,d_hz_life_term*G1277,0))</f>
        <v/>
      </c>
      <c r="AL1278" s="46">
        <f>AK1278*IF(B1278&gt;=in_marketplace_from,d_hz_life_term*G1278,0)</f>
        <v/>
      </c>
      <c r="AM1278" s="14">
        <f>F1278*AL1278*in_life_term_ticket*in_life_term_comm*in_ins_partner_share+F1278*in_life_term_ticket*in_life_term_renew_comm*in_ins_partner_share*(in_life_term_renew^1*SUMIFS(AL1271:AL1303,B1271:B1303,B1278-12)+in_life_term_renew^2*SUMIFS(AL1271:AL1303,B1271:B1303,B1278-24)+in_life_term_renew^3*SUMIFS(AL1271:AL1303,B1271:B1303,B1278-36)+in_life_term_renew^4*SUMIFS(AL1271:AL1303,B1271:B1303,B1278-48))</f>
        <v/>
      </c>
      <c r="AN1278" s="40">
        <f>AN1277*(1-IF(B1277&gt;=in_marketplace_from,d_hz_accident*G1277,0))</f>
        <v/>
      </c>
      <c r="AO1278" s="46">
        <f>AN1278*IF(B1278&gt;=in_marketplace_from,d_hz_accident*G1278,0)</f>
        <v/>
      </c>
      <c r="AP1278" s="14">
        <f>F1278*AO1278*in_accident_ticket*in_accident_comm*in_ins_partner_share+F1278*in_accident_ticket*in_accident_renew_comm*in_ins_partner_share*(in_accident_renew^1*SUMIFS(AO1271:AO1303,B1271:B1303,B1278-12)+in_accident_renew^2*SUMIFS(AO1271:AO1303,B1271:B1303,B1278-24)+in_accident_renew^3*SUMIFS(AO1271:AO1303,B1271:B1303,B1278-36)+in_accident_renew^4*SUMIFS(AO1271:AO1303,B1271:B1303,B1278-48))</f>
        <v/>
      </c>
      <c r="AQ1278" s="40">
        <f>AQ1277*(1-IF(B1277&gt;=in_marketplace_from,d_hz_two_wheeler*G1277,0))</f>
        <v/>
      </c>
      <c r="AR1278" s="46">
        <f>AQ1278*IF(B1278&gt;=in_marketplace_from,d_hz_two_wheeler*G1278,0)</f>
        <v/>
      </c>
      <c r="AS1278" s="14">
        <f>F1278*AR1278*in_two_wheeler_ticket*in_two_wheeler_comm*in_ins_partner_share+F1278*in_two_wheeler_ticket*in_two_wheeler_comm*in_ins_partner_share*(in_two_wheeler_renew^1*SUMIFS(AR1271:AR1303,B1271:B1303,B1278-12)+in_two_wheeler_renew^2*SUMIFS(AR1271:AR1303,B1271:B1303,B1278-24)+in_two_wheeler_renew^3*SUMIFS(AR1271:AR1303,B1271:B1303,B1278-36)+in_two_wheeler_renew^4*SUMIFS(AR1271:AR1303,B1271:B1303,B1278-48))</f>
        <v/>
      </c>
      <c r="AT1278" s="40">
        <f>AT1277*(1-IF(B1277&gt;=in_marketplace_from,d_hz_device*G1277,0))</f>
        <v/>
      </c>
      <c r="AU1278" s="14">
        <f>F1278*AT1278*IF(B1278&gt;=in_marketplace_from,d_hz_device*G1278,0)*in_device_ticket*in_device_comm*in_ins_partner_share</f>
        <v/>
      </c>
      <c r="AV1278" s="40">
        <f>AV1277*(1-IF(B1277&gt;=in_marketplace_from,d_hz_shop*G1277,0))</f>
        <v/>
      </c>
      <c r="AW1278" s="46">
        <f>AV1278*IF(B1278&gt;=in_marketplace_from,d_hz_shop*G1278,0)</f>
        <v/>
      </c>
      <c r="AX1278" s="14">
        <f>F1278*AW1278*in_shop_ticket*in_shop_comm*in_ins_partner_share+F1278*in_shop_ticket*in_shop_renew_comm*in_ins_partner_share*(in_shop_renew^1*SUMIFS(AW1271:AW1303,B1271:B1303,B1278-12)+in_shop_renew^2*SUMIFS(AW1271:AW1303,B1271:B1303,B1278-24)+in_shop_renew^3*SUMIFS(AW1271:AW1303,B1271:B1303,B1278-36)+in_shop_renew^4*SUMIFS(AW1271:AW1303,B1271:B1303,B1278-48))</f>
        <v/>
      </c>
      <c r="AY1278" s="40">
        <f>AY1277*(1-IF(B1277&gt;=in_marketplace_from,d_hz_sip*G1277,0))</f>
        <v/>
      </c>
      <c r="AZ1278" s="40">
        <f>AZ1277*d_rho_sip+AY1278*IF(B1278&gt;=in_marketplace_from,d_hz_sip*G1278,0)</f>
        <v/>
      </c>
      <c r="BA1278" s="40">
        <f>d_rho_sip*(BA1277+AZ1277)</f>
        <v/>
      </c>
      <c r="BB1278" s="14">
        <f>F1278*in_sip_ticket*(BA1278+0.5*AZ1278)*in_sip_comm/12</f>
        <v/>
      </c>
      <c r="BC1278" s="40">
        <f>BC1277*(1-IF(B1277&gt;=in_marketplace_from,d_hz_choti*G1277,0))</f>
        <v/>
      </c>
      <c r="BD1278" s="46">
        <f>BC1278*IF(B1278&gt;=in_marketplace_from,d_hz_choti*G1278,0)</f>
        <v/>
      </c>
      <c r="BE1278" s="14">
        <f>F1278*SUMIFS(BD1271:BD1303,B1271:B1303,B1278-in_choti_months)*in_choti_renew*in_choti_ticket</f>
        <v/>
      </c>
      <c r="BF1278" s="40">
        <f>BF1277*(1-IF(B1277&gt;=in_marketplace_from,d_hz_nps*G1277,0))</f>
        <v/>
      </c>
      <c r="BG1278" s="14">
        <f>F1278*BF1278*IF(B1278&gt;=in_marketplace_from,d_hz_nps*G1278,0)*in_nps_ticket*in_nps_comm</f>
        <v/>
      </c>
      <c r="BH1278" s="40">
        <f>BH1277*(1-IF(B1277&gt;=in_marketplace_from,d_hz_gold*G1277,0))</f>
        <v/>
      </c>
      <c r="BI1278" s="40">
        <f>BI1277*d_rho_gold+BH1278*IF(B1278&gt;=in_marketplace_from,d_hz_gold*G1278,0)</f>
        <v/>
      </c>
      <c r="BJ1278" s="14">
        <f>F1278*BI1278*in_gold_ticket*in_gold_comm</f>
        <v/>
      </c>
      <c r="BK1278" s="40">
        <f>BK1277*(1-IF(B1277&gt;=in_marketplace_from,d_hz_fd*G1277,0))</f>
        <v/>
      </c>
      <c r="BL1278" s="14">
        <f>F1278*BK1278*IF(B1278&gt;=in_marketplace_from,d_hz_fd*G1278,0)*in_fd_ticket*in_fd_comm</f>
        <v/>
      </c>
      <c r="BM1278" s="40">
        <f>BM1277*(1-IF(B1277&gt;=in_marketplace_from,d_hz_recharge*G1277,0))</f>
        <v/>
      </c>
      <c r="BN1278" s="40">
        <f>BN1277*d_rho_recharge+BM1278*IF(B1278&gt;=in_marketplace_from,d_hz_recharge*G1278,0)</f>
        <v/>
      </c>
      <c r="BO1278" s="14">
        <f>F1278*BN1278*in_recharge_ticket*in_recharge_comm/12</f>
        <v/>
      </c>
      <c r="BP1278" s="40">
        <f>BP1277*(1-IF(B1277&gt;=in_marketplace_from,d_hz_bills*G1277,0))</f>
        <v/>
      </c>
      <c r="BQ1278" s="40">
        <f>BQ1277*d_rho_bills+BP1278*IF(B1278&gt;=in_marketplace_from,d_hz_bills*G1278,0)</f>
        <v/>
      </c>
      <c r="BR1278" s="14">
        <f>F1278*BQ1278*in_bills_ticket*in_bills_comm/12</f>
        <v/>
      </c>
      <c r="BS1278" s="40">
        <f>BS1277*(1-IF(B1277&gt;=in_marketplace_from,d_hz_loan_gold*G1277,0))</f>
        <v/>
      </c>
      <c r="BT1278" s="14">
        <f>F1278*BS1278*IF(B1278&gt;=in_marketplace_from,d_hz_loan_gold*G1278,0)*in_loan_gold_ticket*in_loan_gold_comm</f>
        <v/>
      </c>
      <c r="BU1278" s="40">
        <f>BU1277*(1-IF(B1277&gt;=in_marketplace_from,d_hz_loan_cd*G1277,0))</f>
        <v/>
      </c>
      <c r="BV1278" s="14">
        <f>F1278*BU1278*IF(B1278&gt;=in_marketplace_from,d_hz_loan_cd*G1278,0)*in_loan_cd_ticket*in_loan_cd_comm</f>
        <v/>
      </c>
      <c r="BW1278" s="40">
        <f>BW1277*(1-IF(B1277&gt;=in_marketplace_from,d_hz_loan_vehicle*G1277,0))</f>
        <v/>
      </c>
      <c r="BX1278" s="14">
        <f>F1278*BW1278*IF(B1278&gt;=in_marketplace_from,d_hz_loan_vehicle*G1278,0)*in_loan_vehicle_ticket*in_loan_vehicle_comm</f>
        <v/>
      </c>
      <c r="BY1278" s="40">
        <f>BY1277*(1-IF(B1277&gt;=in_marketplace_from,d_hz_loan_home*G1277,0)*BZ1277)</f>
        <v/>
      </c>
      <c r="BZ1278" s="11">
        <f>MIN(in_approval_cap,in_loan_home_approval*INDEX('Age profile'!$O$2:$O$61,B1278)*(1+in_approval_growth)^(D1278-1))</f>
        <v/>
      </c>
      <c r="CA1278" s="14">
        <f>F1278*BY1278*IF(B1278&gt;=in_marketplace_from,d_hz_loan_home*G1278,0)*BZ1278*in_loan_home_ticket*in_loan_home_comm</f>
        <v/>
      </c>
      <c r="CB1278" s="40">
        <f>CB1277*(1-IF(B1277&gt;=in_marketplace_from,d_hz_loan_lap*G1277,0)*CC1277)</f>
        <v/>
      </c>
      <c r="CC1278" s="11">
        <f>MIN(in_approval_cap,in_loan_lap_approval*INDEX('Age profile'!$O$2:$O$61,B1278)*(1+in_approval_growth)^(D1278-1))</f>
        <v/>
      </c>
      <c r="CD1278" s="14">
        <f>F1278*CB1278*IF(B1278&gt;=in_marketplace_from,d_hz_loan_lap*G1278,0)*CC1278*in_loan_lap_ticket*in_loan_lap_comm</f>
        <v/>
      </c>
      <c r="CE1278" s="14">
        <f>AA1278+AB1278+AC1278+AD1278+AG1278+AJ1278+AM1278+AP1278+AS1278+AU1278+AX1278+BB1278+BE1278+BG1278+BJ1278+BL1278+BO1278+BR1278+BT1278+BV1278+BX1278+CA1278+CD1278</f>
        <v/>
      </c>
    </row>
    <row r="1279">
      <c r="A1279" s="39" t="n">
        <v>28</v>
      </c>
      <c r="B1279" s="39" t="n">
        <v>9</v>
      </c>
      <c r="C1279" s="39">
        <f>A1279+B1279-1</f>
        <v/>
      </c>
      <c r="D1279" s="39">
        <f>INT((C1279-1)/12)+1</f>
        <v/>
      </c>
      <c r="E1279" s="44">
        <f>INDEX(Monthly!$B$2:$B$61,A1279)</f>
        <v/>
      </c>
      <c r="F1279" s="44">
        <f>E1279*INDEX('Age profile'!$B$2:$B$61,B1279)</f>
        <v/>
      </c>
      <c r="G1279" s="45">
        <f>MIN(in_takeup_cap,INDEX('Age profile'!$N$2:$N$61,B1279)*(1+in_takeup_growth)^(D1279-1))</f>
        <v/>
      </c>
      <c r="H1279" s="11">
        <f>MIN(in_approval_cap,in_approved_first*INDEX('Age profile'!$O$2:$O$61,B1279)*(1+in_approval_growth)^(D1279-1))</f>
        <v/>
      </c>
      <c r="I1279" s="45">
        <f>G1279*MIN(in_takeup_cap,INDEX('Age profile'!$O$2:$O$61,B1279)*(1+in_approval_growth)^(D1279-1))</f>
        <v/>
      </c>
      <c r="J1279" s="40">
        <f>(J1278-L1278)*F1279/F1278</f>
        <v/>
      </c>
      <c r="K1279" s="40">
        <f>(K1278-M1278)*F1279/F1278+SUMIFS(O1271:O1278,B1271:B1278,B1279-1-d_T)*F1279</f>
        <v/>
      </c>
      <c r="L1279" s="40">
        <f>IF(B1279&gt;=in_marketplace_from,J1279*d_hz*G1279*in_eligible*H1279,0)</f>
        <v/>
      </c>
      <c r="M1279" s="40">
        <f>IF(B1279&gt;=in_marketplace_from,K1279*d_hz*G1279*in_eligible*in_approved_repeat,0)</f>
        <v/>
      </c>
      <c r="N1279" s="40">
        <f>L1279+M1279</f>
        <v/>
      </c>
      <c r="O1279" s="46">
        <f>N1279/F1279</f>
        <v/>
      </c>
      <c r="P1279" s="40">
        <f>F1279-J1279-K1279</f>
        <v/>
      </c>
      <c r="Q1279" s="40">
        <f>IF(B1279&gt;=in_marketplace_from,(J1279+K1279)*d_hz*G1279,0)</f>
        <v/>
      </c>
      <c r="R1279" s="40">
        <f>SUMIFS(N1271:N1303,B1271:B1303,"&gt;="&amp;(B1279-d_T),B1271:B1303,"&lt;="&amp;(B1279-1))</f>
        <v/>
      </c>
      <c r="S1279" s="46">
        <f>(1-d_u)*S1278+IF(d_T&gt;in_topup_lag,SUMIFS(O1271:O1303,B1271:B1303,B1279-in_topup_lag)-d_udrop*SUMIFS(O1271:O1303,B1271:B1303,B1279-d_T),0)</f>
        <v/>
      </c>
      <c r="T1279" s="40">
        <f>F1279*d_u*S1279</f>
        <v/>
      </c>
      <c r="U1279" s="9">
        <f>L1279*in_ticket+M1279*d_rep_ticket</f>
        <v/>
      </c>
      <c r="V1279" s="9">
        <f>U1279+T1279*d_topup_amt</f>
        <v/>
      </c>
      <c r="W1279" s="40">
        <f>N1279+T1279*d_topup_ratio</f>
        <v/>
      </c>
      <c r="X1279" s="40">
        <f>SUMIFS(W1271:W1303,B1271:B1303,B1279-in_dpd_lag)*d_cured</f>
        <v/>
      </c>
      <c r="Y1279" s="40">
        <f>SUMIFS(W1271:W1303,B1271:B1303,B1279-in_rec_lag)*d_recd</f>
        <v/>
      </c>
      <c r="Z1279" s="40">
        <f>IF(AND(B1279&gt;=in_marketplace_from,B1279&lt;in_marketplace_from+in_card_months),in_card_share/in_card_months*F1279*I1279,IF(AND(B1279&gt;=in_marketplace_from+in_card_months,B1279&lt;in_marketplace_from+2*in_card_months),in_card_share*d_card_rem/in_card_months*F1279*MIN(in_takeup_cap,(1+in_takeup_growth)^(D1279-1))*MIN(in_takeup_cap,(1+in_approval_growth)^(D1279-1)),0))</f>
        <v/>
      </c>
      <c r="AA1279" s="14">
        <f>V1279*in_fee*(1-in_taken_back)</f>
        <v/>
      </c>
      <c r="AB1279" s="14">
        <f>SUMIFS(W1271:W1303,B1271:B1303,B1279-in_dpd_lag)*d_dpd</f>
        <v/>
      </c>
      <c r="AC1279" s="14">
        <f>SUMIFS(W1271:W1303,B1271:B1303,B1279-in_rec_lag)*d_rec</f>
        <v/>
      </c>
      <c r="AD1279" s="14">
        <f>Z1279*in_card_fee</f>
        <v/>
      </c>
      <c r="AE1279" s="40">
        <f>AE1278*(1-IF(B1278&gt;=in_marketplace_from,d_hz_hlth_small*G1278,0))</f>
        <v/>
      </c>
      <c r="AF1279" s="46">
        <f>AE1279*IF(B1279&gt;=in_marketplace_from,d_hz_hlth_small*G1279,0)</f>
        <v/>
      </c>
      <c r="AG1279" s="14">
        <f>F1279*AF1279*in_hlth_small_ticket*in_hlth_small_comm*in_ins_partner_share+F1279*in_hlth_small_ticket*in_hlth_small_renew_comm*in_ins_partner_share*(in_hlth_small_renew^1*SUMIFS(AF1271:AF1303,B1271:B1303,B1279-12)+in_hlth_small_renew^2*SUMIFS(AF1271:AF1303,B1271:B1303,B1279-24)+in_hlth_small_renew^3*SUMIFS(AF1271:AF1303,B1271:B1303,B1279-36)+in_hlth_small_renew^4*SUMIFS(AF1271:AF1303,B1271:B1303,B1279-48))</f>
        <v/>
      </c>
      <c r="AH1279" s="40">
        <f>AH1278*(1-IF(B1278&gt;=in_marketplace_from,d_hz_hlth_family*G1278,0))</f>
        <v/>
      </c>
      <c r="AI1279" s="46">
        <f>AH1279*IF(B1279&gt;=in_marketplace_from,d_hz_hlth_family*G1279,0)</f>
        <v/>
      </c>
      <c r="AJ1279" s="14">
        <f>F1279*AI1279*in_hlth_family_ticket*in_hlth_family_comm*in_ins_partner_share+F1279*in_hlth_family_ticket*in_hlth_family_renew_comm*in_ins_partner_share*(in_hlth_family_renew^1*SUMIFS(AI1271:AI1303,B1271:B1303,B1279-12)+in_hlth_family_renew^2*SUMIFS(AI1271:AI1303,B1271:B1303,B1279-24)+in_hlth_family_renew^3*SUMIFS(AI1271:AI1303,B1271:B1303,B1279-36)+in_hlth_family_renew^4*SUMIFS(AI1271:AI1303,B1271:B1303,B1279-48))</f>
        <v/>
      </c>
      <c r="AK1279" s="40">
        <f>AK1278*(1-IF(B1278&gt;=in_marketplace_from,d_hz_life_term*G1278,0))</f>
        <v/>
      </c>
      <c r="AL1279" s="46">
        <f>AK1279*IF(B1279&gt;=in_marketplace_from,d_hz_life_term*G1279,0)</f>
        <v/>
      </c>
      <c r="AM1279" s="14">
        <f>F1279*AL1279*in_life_term_ticket*in_life_term_comm*in_ins_partner_share+F1279*in_life_term_ticket*in_life_term_renew_comm*in_ins_partner_share*(in_life_term_renew^1*SUMIFS(AL1271:AL1303,B1271:B1303,B1279-12)+in_life_term_renew^2*SUMIFS(AL1271:AL1303,B1271:B1303,B1279-24)+in_life_term_renew^3*SUMIFS(AL1271:AL1303,B1271:B1303,B1279-36)+in_life_term_renew^4*SUMIFS(AL1271:AL1303,B1271:B1303,B1279-48))</f>
        <v/>
      </c>
      <c r="AN1279" s="40">
        <f>AN1278*(1-IF(B1278&gt;=in_marketplace_from,d_hz_accident*G1278,0))</f>
        <v/>
      </c>
      <c r="AO1279" s="46">
        <f>AN1279*IF(B1279&gt;=in_marketplace_from,d_hz_accident*G1279,0)</f>
        <v/>
      </c>
      <c r="AP1279" s="14">
        <f>F1279*AO1279*in_accident_ticket*in_accident_comm*in_ins_partner_share+F1279*in_accident_ticket*in_accident_renew_comm*in_ins_partner_share*(in_accident_renew^1*SUMIFS(AO1271:AO1303,B1271:B1303,B1279-12)+in_accident_renew^2*SUMIFS(AO1271:AO1303,B1271:B1303,B1279-24)+in_accident_renew^3*SUMIFS(AO1271:AO1303,B1271:B1303,B1279-36)+in_accident_renew^4*SUMIFS(AO1271:AO1303,B1271:B1303,B1279-48))</f>
        <v/>
      </c>
      <c r="AQ1279" s="40">
        <f>AQ1278*(1-IF(B1278&gt;=in_marketplace_from,d_hz_two_wheeler*G1278,0))</f>
        <v/>
      </c>
      <c r="AR1279" s="46">
        <f>AQ1279*IF(B1279&gt;=in_marketplace_from,d_hz_two_wheeler*G1279,0)</f>
        <v/>
      </c>
      <c r="AS1279" s="14">
        <f>F1279*AR1279*in_two_wheeler_ticket*in_two_wheeler_comm*in_ins_partner_share+F1279*in_two_wheeler_ticket*in_two_wheeler_comm*in_ins_partner_share*(in_two_wheeler_renew^1*SUMIFS(AR1271:AR1303,B1271:B1303,B1279-12)+in_two_wheeler_renew^2*SUMIFS(AR1271:AR1303,B1271:B1303,B1279-24)+in_two_wheeler_renew^3*SUMIFS(AR1271:AR1303,B1271:B1303,B1279-36)+in_two_wheeler_renew^4*SUMIFS(AR1271:AR1303,B1271:B1303,B1279-48))</f>
        <v/>
      </c>
      <c r="AT1279" s="40">
        <f>AT1278*(1-IF(B1278&gt;=in_marketplace_from,d_hz_device*G1278,0))</f>
        <v/>
      </c>
      <c r="AU1279" s="14">
        <f>F1279*AT1279*IF(B1279&gt;=in_marketplace_from,d_hz_device*G1279,0)*in_device_ticket*in_device_comm*in_ins_partner_share</f>
        <v/>
      </c>
      <c r="AV1279" s="40">
        <f>AV1278*(1-IF(B1278&gt;=in_marketplace_from,d_hz_shop*G1278,0))</f>
        <v/>
      </c>
      <c r="AW1279" s="46">
        <f>AV1279*IF(B1279&gt;=in_marketplace_from,d_hz_shop*G1279,0)</f>
        <v/>
      </c>
      <c r="AX1279" s="14">
        <f>F1279*AW1279*in_shop_ticket*in_shop_comm*in_ins_partner_share+F1279*in_shop_ticket*in_shop_renew_comm*in_ins_partner_share*(in_shop_renew^1*SUMIFS(AW1271:AW1303,B1271:B1303,B1279-12)+in_shop_renew^2*SUMIFS(AW1271:AW1303,B1271:B1303,B1279-24)+in_shop_renew^3*SUMIFS(AW1271:AW1303,B1271:B1303,B1279-36)+in_shop_renew^4*SUMIFS(AW1271:AW1303,B1271:B1303,B1279-48))</f>
        <v/>
      </c>
      <c r="AY1279" s="40">
        <f>AY1278*(1-IF(B1278&gt;=in_marketplace_from,d_hz_sip*G1278,0))</f>
        <v/>
      </c>
      <c r="AZ1279" s="40">
        <f>AZ1278*d_rho_sip+AY1279*IF(B1279&gt;=in_marketplace_from,d_hz_sip*G1279,0)</f>
        <v/>
      </c>
      <c r="BA1279" s="40">
        <f>d_rho_sip*(BA1278+AZ1278)</f>
        <v/>
      </c>
      <c r="BB1279" s="14">
        <f>F1279*in_sip_ticket*(BA1279+0.5*AZ1279)*in_sip_comm/12</f>
        <v/>
      </c>
      <c r="BC1279" s="40">
        <f>BC1278*(1-IF(B1278&gt;=in_marketplace_from,d_hz_choti*G1278,0))</f>
        <v/>
      </c>
      <c r="BD1279" s="46">
        <f>BC1279*IF(B1279&gt;=in_marketplace_from,d_hz_choti*G1279,0)</f>
        <v/>
      </c>
      <c r="BE1279" s="14">
        <f>F1279*SUMIFS(BD1271:BD1303,B1271:B1303,B1279-in_choti_months)*in_choti_renew*in_choti_ticket</f>
        <v/>
      </c>
      <c r="BF1279" s="40">
        <f>BF1278*(1-IF(B1278&gt;=in_marketplace_from,d_hz_nps*G1278,0))</f>
        <v/>
      </c>
      <c r="BG1279" s="14">
        <f>F1279*BF1279*IF(B1279&gt;=in_marketplace_from,d_hz_nps*G1279,0)*in_nps_ticket*in_nps_comm</f>
        <v/>
      </c>
      <c r="BH1279" s="40">
        <f>BH1278*(1-IF(B1278&gt;=in_marketplace_from,d_hz_gold*G1278,0))</f>
        <v/>
      </c>
      <c r="BI1279" s="40">
        <f>BI1278*d_rho_gold+BH1279*IF(B1279&gt;=in_marketplace_from,d_hz_gold*G1279,0)</f>
        <v/>
      </c>
      <c r="BJ1279" s="14">
        <f>F1279*BI1279*in_gold_ticket*in_gold_comm</f>
        <v/>
      </c>
      <c r="BK1279" s="40">
        <f>BK1278*(1-IF(B1278&gt;=in_marketplace_from,d_hz_fd*G1278,0))</f>
        <v/>
      </c>
      <c r="BL1279" s="14">
        <f>F1279*BK1279*IF(B1279&gt;=in_marketplace_from,d_hz_fd*G1279,0)*in_fd_ticket*in_fd_comm</f>
        <v/>
      </c>
      <c r="BM1279" s="40">
        <f>BM1278*(1-IF(B1278&gt;=in_marketplace_from,d_hz_recharge*G1278,0))</f>
        <v/>
      </c>
      <c r="BN1279" s="40">
        <f>BN1278*d_rho_recharge+BM1279*IF(B1279&gt;=in_marketplace_from,d_hz_recharge*G1279,0)</f>
        <v/>
      </c>
      <c r="BO1279" s="14">
        <f>F1279*BN1279*in_recharge_ticket*in_recharge_comm/12</f>
        <v/>
      </c>
      <c r="BP1279" s="40">
        <f>BP1278*(1-IF(B1278&gt;=in_marketplace_from,d_hz_bills*G1278,0))</f>
        <v/>
      </c>
      <c r="BQ1279" s="40">
        <f>BQ1278*d_rho_bills+BP1279*IF(B1279&gt;=in_marketplace_from,d_hz_bills*G1279,0)</f>
        <v/>
      </c>
      <c r="BR1279" s="14">
        <f>F1279*BQ1279*in_bills_ticket*in_bills_comm/12</f>
        <v/>
      </c>
      <c r="BS1279" s="40">
        <f>BS1278*(1-IF(B1278&gt;=in_marketplace_from,d_hz_loan_gold*G1278,0))</f>
        <v/>
      </c>
      <c r="BT1279" s="14">
        <f>F1279*BS1279*IF(B1279&gt;=in_marketplace_from,d_hz_loan_gold*G1279,0)*in_loan_gold_ticket*in_loan_gold_comm</f>
        <v/>
      </c>
      <c r="BU1279" s="40">
        <f>BU1278*(1-IF(B1278&gt;=in_marketplace_from,d_hz_loan_cd*G1278,0))</f>
        <v/>
      </c>
      <c r="BV1279" s="14">
        <f>F1279*BU1279*IF(B1279&gt;=in_marketplace_from,d_hz_loan_cd*G1279,0)*in_loan_cd_ticket*in_loan_cd_comm</f>
        <v/>
      </c>
      <c r="BW1279" s="40">
        <f>BW1278*(1-IF(B1278&gt;=in_marketplace_from,d_hz_loan_vehicle*G1278,0))</f>
        <v/>
      </c>
      <c r="BX1279" s="14">
        <f>F1279*BW1279*IF(B1279&gt;=in_marketplace_from,d_hz_loan_vehicle*G1279,0)*in_loan_vehicle_ticket*in_loan_vehicle_comm</f>
        <v/>
      </c>
      <c r="BY1279" s="40">
        <f>BY1278*(1-IF(B1278&gt;=in_marketplace_from,d_hz_loan_home*G1278,0)*BZ1278)</f>
        <v/>
      </c>
      <c r="BZ1279" s="11">
        <f>MIN(in_approval_cap,in_loan_home_approval*INDEX('Age profile'!$O$2:$O$61,B1279)*(1+in_approval_growth)^(D1279-1))</f>
        <v/>
      </c>
      <c r="CA1279" s="14">
        <f>F1279*BY1279*IF(B1279&gt;=in_marketplace_from,d_hz_loan_home*G1279,0)*BZ1279*in_loan_home_ticket*in_loan_home_comm</f>
        <v/>
      </c>
      <c r="CB1279" s="40">
        <f>CB1278*(1-IF(B1278&gt;=in_marketplace_from,d_hz_loan_lap*G1278,0)*CC1278)</f>
        <v/>
      </c>
      <c r="CC1279" s="11">
        <f>MIN(in_approval_cap,in_loan_lap_approval*INDEX('Age profile'!$O$2:$O$61,B1279)*(1+in_approval_growth)^(D1279-1))</f>
        <v/>
      </c>
      <c r="CD1279" s="14">
        <f>F1279*CB1279*IF(B1279&gt;=in_marketplace_from,d_hz_loan_lap*G1279,0)*CC1279*in_loan_lap_ticket*in_loan_lap_comm</f>
        <v/>
      </c>
      <c r="CE1279" s="14">
        <f>AA1279+AB1279+AC1279+AD1279+AG1279+AJ1279+AM1279+AP1279+AS1279+AU1279+AX1279+BB1279+BE1279+BG1279+BJ1279+BL1279+BO1279+BR1279+BT1279+BV1279+BX1279+CA1279+CD1279</f>
        <v/>
      </c>
    </row>
    <row r="1280">
      <c r="A1280" s="39" t="n">
        <v>28</v>
      </c>
      <c r="B1280" s="39" t="n">
        <v>10</v>
      </c>
      <c r="C1280" s="39">
        <f>A1280+B1280-1</f>
        <v/>
      </c>
      <c r="D1280" s="39">
        <f>INT((C1280-1)/12)+1</f>
        <v/>
      </c>
      <c r="E1280" s="44">
        <f>INDEX(Monthly!$B$2:$B$61,A1280)</f>
        <v/>
      </c>
      <c r="F1280" s="44">
        <f>E1280*INDEX('Age profile'!$B$2:$B$61,B1280)</f>
        <v/>
      </c>
      <c r="G1280" s="45">
        <f>MIN(in_takeup_cap,INDEX('Age profile'!$N$2:$N$61,B1280)*(1+in_takeup_growth)^(D1280-1))</f>
        <v/>
      </c>
      <c r="H1280" s="11">
        <f>MIN(in_approval_cap,in_approved_first*INDEX('Age profile'!$O$2:$O$61,B1280)*(1+in_approval_growth)^(D1280-1))</f>
        <v/>
      </c>
      <c r="I1280" s="45">
        <f>G1280*MIN(in_takeup_cap,INDEX('Age profile'!$O$2:$O$61,B1280)*(1+in_approval_growth)^(D1280-1))</f>
        <v/>
      </c>
      <c r="J1280" s="40">
        <f>(J1279-L1279)*F1280/F1279</f>
        <v/>
      </c>
      <c r="K1280" s="40">
        <f>(K1279-M1279)*F1280/F1279+SUMIFS(O1271:O1279,B1271:B1279,B1280-1-d_T)*F1280</f>
        <v/>
      </c>
      <c r="L1280" s="40">
        <f>IF(B1280&gt;=in_marketplace_from,J1280*d_hz*G1280*in_eligible*H1280,0)</f>
        <v/>
      </c>
      <c r="M1280" s="40">
        <f>IF(B1280&gt;=in_marketplace_from,K1280*d_hz*G1280*in_eligible*in_approved_repeat,0)</f>
        <v/>
      </c>
      <c r="N1280" s="40">
        <f>L1280+M1280</f>
        <v/>
      </c>
      <c r="O1280" s="46">
        <f>N1280/F1280</f>
        <v/>
      </c>
      <c r="P1280" s="40">
        <f>F1280-J1280-K1280</f>
        <v/>
      </c>
      <c r="Q1280" s="40">
        <f>IF(B1280&gt;=in_marketplace_from,(J1280+K1280)*d_hz*G1280,0)</f>
        <v/>
      </c>
      <c r="R1280" s="40">
        <f>SUMIFS(N1271:N1303,B1271:B1303,"&gt;="&amp;(B1280-d_T),B1271:B1303,"&lt;="&amp;(B1280-1))</f>
        <v/>
      </c>
      <c r="S1280" s="46">
        <f>(1-d_u)*S1279+IF(d_T&gt;in_topup_lag,SUMIFS(O1271:O1303,B1271:B1303,B1280-in_topup_lag)-d_udrop*SUMIFS(O1271:O1303,B1271:B1303,B1280-d_T),0)</f>
        <v/>
      </c>
      <c r="T1280" s="40">
        <f>F1280*d_u*S1280</f>
        <v/>
      </c>
      <c r="U1280" s="9">
        <f>L1280*in_ticket+M1280*d_rep_ticket</f>
        <v/>
      </c>
      <c r="V1280" s="9">
        <f>U1280+T1280*d_topup_amt</f>
        <v/>
      </c>
      <c r="W1280" s="40">
        <f>N1280+T1280*d_topup_ratio</f>
        <v/>
      </c>
      <c r="X1280" s="40">
        <f>SUMIFS(W1271:W1303,B1271:B1303,B1280-in_dpd_lag)*d_cured</f>
        <v/>
      </c>
      <c r="Y1280" s="40">
        <f>SUMIFS(W1271:W1303,B1271:B1303,B1280-in_rec_lag)*d_recd</f>
        <v/>
      </c>
      <c r="Z1280" s="40">
        <f>IF(AND(B1280&gt;=in_marketplace_from,B1280&lt;in_marketplace_from+in_card_months),in_card_share/in_card_months*F1280*I1280,IF(AND(B1280&gt;=in_marketplace_from+in_card_months,B1280&lt;in_marketplace_from+2*in_card_months),in_card_share*d_card_rem/in_card_months*F1280*MIN(in_takeup_cap,(1+in_takeup_growth)^(D1280-1))*MIN(in_takeup_cap,(1+in_approval_growth)^(D1280-1)),0))</f>
        <v/>
      </c>
      <c r="AA1280" s="14">
        <f>V1280*in_fee*(1-in_taken_back)</f>
        <v/>
      </c>
      <c r="AB1280" s="14">
        <f>SUMIFS(W1271:W1303,B1271:B1303,B1280-in_dpd_lag)*d_dpd</f>
        <v/>
      </c>
      <c r="AC1280" s="14">
        <f>SUMIFS(W1271:W1303,B1271:B1303,B1280-in_rec_lag)*d_rec</f>
        <v/>
      </c>
      <c r="AD1280" s="14">
        <f>Z1280*in_card_fee</f>
        <v/>
      </c>
      <c r="AE1280" s="40">
        <f>AE1279*(1-IF(B1279&gt;=in_marketplace_from,d_hz_hlth_small*G1279,0))</f>
        <v/>
      </c>
      <c r="AF1280" s="46">
        <f>AE1280*IF(B1280&gt;=in_marketplace_from,d_hz_hlth_small*G1280,0)</f>
        <v/>
      </c>
      <c r="AG1280" s="14">
        <f>F1280*AF1280*in_hlth_small_ticket*in_hlth_small_comm*in_ins_partner_share+F1280*in_hlth_small_ticket*in_hlth_small_renew_comm*in_ins_partner_share*(in_hlth_small_renew^1*SUMIFS(AF1271:AF1303,B1271:B1303,B1280-12)+in_hlth_small_renew^2*SUMIFS(AF1271:AF1303,B1271:B1303,B1280-24)+in_hlth_small_renew^3*SUMIFS(AF1271:AF1303,B1271:B1303,B1280-36)+in_hlth_small_renew^4*SUMIFS(AF1271:AF1303,B1271:B1303,B1280-48))</f>
        <v/>
      </c>
      <c r="AH1280" s="40">
        <f>AH1279*(1-IF(B1279&gt;=in_marketplace_from,d_hz_hlth_family*G1279,0))</f>
        <v/>
      </c>
      <c r="AI1280" s="46">
        <f>AH1280*IF(B1280&gt;=in_marketplace_from,d_hz_hlth_family*G1280,0)</f>
        <v/>
      </c>
      <c r="AJ1280" s="14">
        <f>F1280*AI1280*in_hlth_family_ticket*in_hlth_family_comm*in_ins_partner_share+F1280*in_hlth_family_ticket*in_hlth_family_renew_comm*in_ins_partner_share*(in_hlth_family_renew^1*SUMIFS(AI1271:AI1303,B1271:B1303,B1280-12)+in_hlth_family_renew^2*SUMIFS(AI1271:AI1303,B1271:B1303,B1280-24)+in_hlth_family_renew^3*SUMIFS(AI1271:AI1303,B1271:B1303,B1280-36)+in_hlth_family_renew^4*SUMIFS(AI1271:AI1303,B1271:B1303,B1280-48))</f>
        <v/>
      </c>
      <c r="AK1280" s="40">
        <f>AK1279*(1-IF(B1279&gt;=in_marketplace_from,d_hz_life_term*G1279,0))</f>
        <v/>
      </c>
      <c r="AL1280" s="46">
        <f>AK1280*IF(B1280&gt;=in_marketplace_from,d_hz_life_term*G1280,0)</f>
        <v/>
      </c>
      <c r="AM1280" s="14">
        <f>F1280*AL1280*in_life_term_ticket*in_life_term_comm*in_ins_partner_share+F1280*in_life_term_ticket*in_life_term_renew_comm*in_ins_partner_share*(in_life_term_renew^1*SUMIFS(AL1271:AL1303,B1271:B1303,B1280-12)+in_life_term_renew^2*SUMIFS(AL1271:AL1303,B1271:B1303,B1280-24)+in_life_term_renew^3*SUMIFS(AL1271:AL1303,B1271:B1303,B1280-36)+in_life_term_renew^4*SUMIFS(AL1271:AL1303,B1271:B1303,B1280-48))</f>
        <v/>
      </c>
      <c r="AN1280" s="40">
        <f>AN1279*(1-IF(B1279&gt;=in_marketplace_from,d_hz_accident*G1279,0))</f>
        <v/>
      </c>
      <c r="AO1280" s="46">
        <f>AN1280*IF(B1280&gt;=in_marketplace_from,d_hz_accident*G1280,0)</f>
        <v/>
      </c>
      <c r="AP1280" s="14">
        <f>F1280*AO1280*in_accident_ticket*in_accident_comm*in_ins_partner_share+F1280*in_accident_ticket*in_accident_renew_comm*in_ins_partner_share*(in_accident_renew^1*SUMIFS(AO1271:AO1303,B1271:B1303,B1280-12)+in_accident_renew^2*SUMIFS(AO1271:AO1303,B1271:B1303,B1280-24)+in_accident_renew^3*SUMIFS(AO1271:AO1303,B1271:B1303,B1280-36)+in_accident_renew^4*SUMIFS(AO1271:AO1303,B1271:B1303,B1280-48))</f>
        <v/>
      </c>
      <c r="AQ1280" s="40">
        <f>AQ1279*(1-IF(B1279&gt;=in_marketplace_from,d_hz_two_wheeler*G1279,0))</f>
        <v/>
      </c>
      <c r="AR1280" s="46">
        <f>AQ1280*IF(B1280&gt;=in_marketplace_from,d_hz_two_wheeler*G1280,0)</f>
        <v/>
      </c>
      <c r="AS1280" s="14">
        <f>F1280*AR1280*in_two_wheeler_ticket*in_two_wheeler_comm*in_ins_partner_share+F1280*in_two_wheeler_ticket*in_two_wheeler_comm*in_ins_partner_share*(in_two_wheeler_renew^1*SUMIFS(AR1271:AR1303,B1271:B1303,B1280-12)+in_two_wheeler_renew^2*SUMIFS(AR1271:AR1303,B1271:B1303,B1280-24)+in_two_wheeler_renew^3*SUMIFS(AR1271:AR1303,B1271:B1303,B1280-36)+in_two_wheeler_renew^4*SUMIFS(AR1271:AR1303,B1271:B1303,B1280-48))</f>
        <v/>
      </c>
      <c r="AT1280" s="40">
        <f>AT1279*(1-IF(B1279&gt;=in_marketplace_from,d_hz_device*G1279,0))</f>
        <v/>
      </c>
      <c r="AU1280" s="14">
        <f>F1280*AT1280*IF(B1280&gt;=in_marketplace_from,d_hz_device*G1280,0)*in_device_ticket*in_device_comm*in_ins_partner_share</f>
        <v/>
      </c>
      <c r="AV1280" s="40">
        <f>AV1279*(1-IF(B1279&gt;=in_marketplace_from,d_hz_shop*G1279,0))</f>
        <v/>
      </c>
      <c r="AW1280" s="46">
        <f>AV1280*IF(B1280&gt;=in_marketplace_from,d_hz_shop*G1280,0)</f>
        <v/>
      </c>
      <c r="AX1280" s="14">
        <f>F1280*AW1280*in_shop_ticket*in_shop_comm*in_ins_partner_share+F1280*in_shop_ticket*in_shop_renew_comm*in_ins_partner_share*(in_shop_renew^1*SUMIFS(AW1271:AW1303,B1271:B1303,B1280-12)+in_shop_renew^2*SUMIFS(AW1271:AW1303,B1271:B1303,B1280-24)+in_shop_renew^3*SUMIFS(AW1271:AW1303,B1271:B1303,B1280-36)+in_shop_renew^4*SUMIFS(AW1271:AW1303,B1271:B1303,B1280-48))</f>
        <v/>
      </c>
      <c r="AY1280" s="40">
        <f>AY1279*(1-IF(B1279&gt;=in_marketplace_from,d_hz_sip*G1279,0))</f>
        <v/>
      </c>
      <c r="AZ1280" s="40">
        <f>AZ1279*d_rho_sip+AY1280*IF(B1280&gt;=in_marketplace_from,d_hz_sip*G1280,0)</f>
        <v/>
      </c>
      <c r="BA1280" s="40">
        <f>d_rho_sip*(BA1279+AZ1279)</f>
        <v/>
      </c>
      <c r="BB1280" s="14">
        <f>F1280*in_sip_ticket*(BA1280+0.5*AZ1280)*in_sip_comm/12</f>
        <v/>
      </c>
      <c r="BC1280" s="40">
        <f>BC1279*(1-IF(B1279&gt;=in_marketplace_from,d_hz_choti*G1279,0))</f>
        <v/>
      </c>
      <c r="BD1280" s="46">
        <f>BC1280*IF(B1280&gt;=in_marketplace_from,d_hz_choti*G1280,0)</f>
        <v/>
      </c>
      <c r="BE1280" s="14">
        <f>F1280*SUMIFS(BD1271:BD1303,B1271:B1303,B1280-in_choti_months)*in_choti_renew*in_choti_ticket</f>
        <v/>
      </c>
      <c r="BF1280" s="40">
        <f>BF1279*(1-IF(B1279&gt;=in_marketplace_from,d_hz_nps*G1279,0))</f>
        <v/>
      </c>
      <c r="BG1280" s="14">
        <f>F1280*BF1280*IF(B1280&gt;=in_marketplace_from,d_hz_nps*G1280,0)*in_nps_ticket*in_nps_comm</f>
        <v/>
      </c>
      <c r="BH1280" s="40">
        <f>BH1279*(1-IF(B1279&gt;=in_marketplace_from,d_hz_gold*G1279,0))</f>
        <v/>
      </c>
      <c r="BI1280" s="40">
        <f>BI1279*d_rho_gold+BH1280*IF(B1280&gt;=in_marketplace_from,d_hz_gold*G1280,0)</f>
        <v/>
      </c>
      <c r="BJ1280" s="14">
        <f>F1280*BI1280*in_gold_ticket*in_gold_comm</f>
        <v/>
      </c>
      <c r="BK1280" s="40">
        <f>BK1279*(1-IF(B1279&gt;=in_marketplace_from,d_hz_fd*G1279,0))</f>
        <v/>
      </c>
      <c r="BL1280" s="14">
        <f>F1280*BK1280*IF(B1280&gt;=in_marketplace_from,d_hz_fd*G1280,0)*in_fd_ticket*in_fd_comm</f>
        <v/>
      </c>
      <c r="BM1280" s="40">
        <f>BM1279*(1-IF(B1279&gt;=in_marketplace_from,d_hz_recharge*G1279,0))</f>
        <v/>
      </c>
      <c r="BN1280" s="40">
        <f>BN1279*d_rho_recharge+BM1280*IF(B1280&gt;=in_marketplace_from,d_hz_recharge*G1280,0)</f>
        <v/>
      </c>
      <c r="BO1280" s="14">
        <f>F1280*BN1280*in_recharge_ticket*in_recharge_comm/12</f>
        <v/>
      </c>
      <c r="BP1280" s="40">
        <f>BP1279*(1-IF(B1279&gt;=in_marketplace_from,d_hz_bills*G1279,0))</f>
        <v/>
      </c>
      <c r="BQ1280" s="40">
        <f>BQ1279*d_rho_bills+BP1280*IF(B1280&gt;=in_marketplace_from,d_hz_bills*G1280,0)</f>
        <v/>
      </c>
      <c r="BR1280" s="14">
        <f>F1280*BQ1280*in_bills_ticket*in_bills_comm/12</f>
        <v/>
      </c>
      <c r="BS1280" s="40">
        <f>BS1279*(1-IF(B1279&gt;=in_marketplace_from,d_hz_loan_gold*G1279,0))</f>
        <v/>
      </c>
      <c r="BT1280" s="14">
        <f>F1280*BS1280*IF(B1280&gt;=in_marketplace_from,d_hz_loan_gold*G1280,0)*in_loan_gold_ticket*in_loan_gold_comm</f>
        <v/>
      </c>
      <c r="BU1280" s="40">
        <f>BU1279*(1-IF(B1279&gt;=in_marketplace_from,d_hz_loan_cd*G1279,0))</f>
        <v/>
      </c>
      <c r="BV1280" s="14">
        <f>F1280*BU1280*IF(B1280&gt;=in_marketplace_from,d_hz_loan_cd*G1280,0)*in_loan_cd_ticket*in_loan_cd_comm</f>
        <v/>
      </c>
      <c r="BW1280" s="40">
        <f>BW1279*(1-IF(B1279&gt;=in_marketplace_from,d_hz_loan_vehicle*G1279,0))</f>
        <v/>
      </c>
      <c r="BX1280" s="14">
        <f>F1280*BW1280*IF(B1280&gt;=in_marketplace_from,d_hz_loan_vehicle*G1280,0)*in_loan_vehicle_ticket*in_loan_vehicle_comm</f>
        <v/>
      </c>
      <c r="BY1280" s="40">
        <f>BY1279*(1-IF(B1279&gt;=in_marketplace_from,d_hz_loan_home*G1279,0)*BZ1279)</f>
        <v/>
      </c>
      <c r="BZ1280" s="11">
        <f>MIN(in_approval_cap,in_loan_home_approval*INDEX('Age profile'!$O$2:$O$61,B1280)*(1+in_approval_growth)^(D1280-1))</f>
        <v/>
      </c>
      <c r="CA1280" s="14">
        <f>F1280*BY1280*IF(B1280&gt;=in_marketplace_from,d_hz_loan_home*G1280,0)*BZ1280*in_loan_home_ticket*in_loan_home_comm</f>
        <v/>
      </c>
      <c r="CB1280" s="40">
        <f>CB1279*(1-IF(B1279&gt;=in_marketplace_from,d_hz_loan_lap*G1279,0)*CC1279)</f>
        <v/>
      </c>
      <c r="CC1280" s="11">
        <f>MIN(in_approval_cap,in_loan_lap_approval*INDEX('Age profile'!$O$2:$O$61,B1280)*(1+in_approval_growth)^(D1280-1))</f>
        <v/>
      </c>
      <c r="CD1280" s="14">
        <f>F1280*CB1280*IF(B1280&gt;=in_marketplace_from,d_hz_loan_lap*G1280,0)*CC1280*in_loan_lap_ticket*in_loan_lap_comm</f>
        <v/>
      </c>
      <c r="CE1280" s="14">
        <f>AA1280+AB1280+AC1280+AD1280+AG1280+AJ1280+AM1280+AP1280+AS1280+AU1280+AX1280+BB1280+BE1280+BG1280+BJ1280+BL1280+BO1280+BR1280+BT1280+BV1280+BX1280+CA1280+CD1280</f>
        <v/>
      </c>
    </row>
    <row r="1281">
      <c r="A1281" s="39" t="n">
        <v>28</v>
      </c>
      <c r="B1281" s="39" t="n">
        <v>11</v>
      </c>
      <c r="C1281" s="39">
        <f>A1281+B1281-1</f>
        <v/>
      </c>
      <c r="D1281" s="39">
        <f>INT((C1281-1)/12)+1</f>
        <v/>
      </c>
      <c r="E1281" s="44">
        <f>INDEX(Monthly!$B$2:$B$61,A1281)</f>
        <v/>
      </c>
      <c r="F1281" s="44">
        <f>E1281*INDEX('Age profile'!$B$2:$B$61,B1281)</f>
        <v/>
      </c>
      <c r="G1281" s="45">
        <f>MIN(in_takeup_cap,INDEX('Age profile'!$N$2:$N$61,B1281)*(1+in_takeup_growth)^(D1281-1))</f>
        <v/>
      </c>
      <c r="H1281" s="11">
        <f>MIN(in_approval_cap,in_approved_first*INDEX('Age profile'!$O$2:$O$61,B1281)*(1+in_approval_growth)^(D1281-1))</f>
        <v/>
      </c>
      <c r="I1281" s="45">
        <f>G1281*MIN(in_takeup_cap,INDEX('Age profile'!$O$2:$O$61,B1281)*(1+in_approval_growth)^(D1281-1))</f>
        <v/>
      </c>
      <c r="J1281" s="40">
        <f>(J1280-L1280)*F1281/F1280</f>
        <v/>
      </c>
      <c r="K1281" s="40">
        <f>(K1280-M1280)*F1281/F1280+SUMIFS(O1271:O1280,B1271:B1280,B1281-1-d_T)*F1281</f>
        <v/>
      </c>
      <c r="L1281" s="40">
        <f>IF(B1281&gt;=in_marketplace_from,J1281*d_hz*G1281*in_eligible*H1281,0)</f>
        <v/>
      </c>
      <c r="M1281" s="40">
        <f>IF(B1281&gt;=in_marketplace_from,K1281*d_hz*G1281*in_eligible*in_approved_repeat,0)</f>
        <v/>
      </c>
      <c r="N1281" s="40">
        <f>L1281+M1281</f>
        <v/>
      </c>
      <c r="O1281" s="46">
        <f>N1281/F1281</f>
        <v/>
      </c>
      <c r="P1281" s="40">
        <f>F1281-J1281-K1281</f>
        <v/>
      </c>
      <c r="Q1281" s="40">
        <f>IF(B1281&gt;=in_marketplace_from,(J1281+K1281)*d_hz*G1281,0)</f>
        <v/>
      </c>
      <c r="R1281" s="40">
        <f>SUMIFS(N1271:N1303,B1271:B1303,"&gt;="&amp;(B1281-d_T),B1271:B1303,"&lt;="&amp;(B1281-1))</f>
        <v/>
      </c>
      <c r="S1281" s="46">
        <f>(1-d_u)*S1280+IF(d_T&gt;in_topup_lag,SUMIFS(O1271:O1303,B1271:B1303,B1281-in_topup_lag)-d_udrop*SUMIFS(O1271:O1303,B1271:B1303,B1281-d_T),0)</f>
        <v/>
      </c>
      <c r="T1281" s="40">
        <f>F1281*d_u*S1281</f>
        <v/>
      </c>
      <c r="U1281" s="9">
        <f>L1281*in_ticket+M1281*d_rep_ticket</f>
        <v/>
      </c>
      <c r="V1281" s="9">
        <f>U1281+T1281*d_topup_amt</f>
        <v/>
      </c>
      <c r="W1281" s="40">
        <f>N1281+T1281*d_topup_ratio</f>
        <v/>
      </c>
      <c r="X1281" s="40">
        <f>SUMIFS(W1271:W1303,B1271:B1303,B1281-in_dpd_lag)*d_cured</f>
        <v/>
      </c>
      <c r="Y1281" s="40">
        <f>SUMIFS(W1271:W1303,B1271:B1303,B1281-in_rec_lag)*d_recd</f>
        <v/>
      </c>
      <c r="Z1281" s="40">
        <f>IF(AND(B1281&gt;=in_marketplace_from,B1281&lt;in_marketplace_from+in_card_months),in_card_share/in_card_months*F1281*I1281,IF(AND(B1281&gt;=in_marketplace_from+in_card_months,B1281&lt;in_marketplace_from+2*in_card_months),in_card_share*d_card_rem/in_card_months*F1281*MIN(in_takeup_cap,(1+in_takeup_growth)^(D1281-1))*MIN(in_takeup_cap,(1+in_approval_growth)^(D1281-1)),0))</f>
        <v/>
      </c>
      <c r="AA1281" s="14">
        <f>V1281*in_fee*(1-in_taken_back)</f>
        <v/>
      </c>
      <c r="AB1281" s="14">
        <f>SUMIFS(W1271:W1303,B1271:B1303,B1281-in_dpd_lag)*d_dpd</f>
        <v/>
      </c>
      <c r="AC1281" s="14">
        <f>SUMIFS(W1271:W1303,B1271:B1303,B1281-in_rec_lag)*d_rec</f>
        <v/>
      </c>
      <c r="AD1281" s="14">
        <f>Z1281*in_card_fee</f>
        <v/>
      </c>
      <c r="AE1281" s="40">
        <f>AE1280*(1-IF(B1280&gt;=in_marketplace_from,d_hz_hlth_small*G1280,0))</f>
        <v/>
      </c>
      <c r="AF1281" s="46">
        <f>AE1281*IF(B1281&gt;=in_marketplace_from,d_hz_hlth_small*G1281,0)</f>
        <v/>
      </c>
      <c r="AG1281" s="14">
        <f>F1281*AF1281*in_hlth_small_ticket*in_hlth_small_comm*in_ins_partner_share+F1281*in_hlth_small_ticket*in_hlth_small_renew_comm*in_ins_partner_share*(in_hlth_small_renew^1*SUMIFS(AF1271:AF1303,B1271:B1303,B1281-12)+in_hlth_small_renew^2*SUMIFS(AF1271:AF1303,B1271:B1303,B1281-24)+in_hlth_small_renew^3*SUMIFS(AF1271:AF1303,B1271:B1303,B1281-36)+in_hlth_small_renew^4*SUMIFS(AF1271:AF1303,B1271:B1303,B1281-48))</f>
        <v/>
      </c>
      <c r="AH1281" s="40">
        <f>AH1280*(1-IF(B1280&gt;=in_marketplace_from,d_hz_hlth_family*G1280,0))</f>
        <v/>
      </c>
      <c r="AI1281" s="46">
        <f>AH1281*IF(B1281&gt;=in_marketplace_from,d_hz_hlth_family*G1281,0)</f>
        <v/>
      </c>
      <c r="AJ1281" s="14">
        <f>F1281*AI1281*in_hlth_family_ticket*in_hlth_family_comm*in_ins_partner_share+F1281*in_hlth_family_ticket*in_hlth_family_renew_comm*in_ins_partner_share*(in_hlth_family_renew^1*SUMIFS(AI1271:AI1303,B1271:B1303,B1281-12)+in_hlth_family_renew^2*SUMIFS(AI1271:AI1303,B1271:B1303,B1281-24)+in_hlth_family_renew^3*SUMIFS(AI1271:AI1303,B1271:B1303,B1281-36)+in_hlth_family_renew^4*SUMIFS(AI1271:AI1303,B1271:B1303,B1281-48))</f>
        <v/>
      </c>
      <c r="AK1281" s="40">
        <f>AK1280*(1-IF(B1280&gt;=in_marketplace_from,d_hz_life_term*G1280,0))</f>
        <v/>
      </c>
      <c r="AL1281" s="46">
        <f>AK1281*IF(B1281&gt;=in_marketplace_from,d_hz_life_term*G1281,0)</f>
        <v/>
      </c>
      <c r="AM1281" s="14">
        <f>F1281*AL1281*in_life_term_ticket*in_life_term_comm*in_ins_partner_share+F1281*in_life_term_ticket*in_life_term_renew_comm*in_ins_partner_share*(in_life_term_renew^1*SUMIFS(AL1271:AL1303,B1271:B1303,B1281-12)+in_life_term_renew^2*SUMIFS(AL1271:AL1303,B1271:B1303,B1281-24)+in_life_term_renew^3*SUMIFS(AL1271:AL1303,B1271:B1303,B1281-36)+in_life_term_renew^4*SUMIFS(AL1271:AL1303,B1271:B1303,B1281-48))</f>
        <v/>
      </c>
      <c r="AN1281" s="40">
        <f>AN1280*(1-IF(B1280&gt;=in_marketplace_from,d_hz_accident*G1280,0))</f>
        <v/>
      </c>
      <c r="AO1281" s="46">
        <f>AN1281*IF(B1281&gt;=in_marketplace_from,d_hz_accident*G1281,0)</f>
        <v/>
      </c>
      <c r="AP1281" s="14">
        <f>F1281*AO1281*in_accident_ticket*in_accident_comm*in_ins_partner_share+F1281*in_accident_ticket*in_accident_renew_comm*in_ins_partner_share*(in_accident_renew^1*SUMIFS(AO1271:AO1303,B1271:B1303,B1281-12)+in_accident_renew^2*SUMIFS(AO1271:AO1303,B1271:B1303,B1281-24)+in_accident_renew^3*SUMIFS(AO1271:AO1303,B1271:B1303,B1281-36)+in_accident_renew^4*SUMIFS(AO1271:AO1303,B1271:B1303,B1281-48))</f>
        <v/>
      </c>
      <c r="AQ1281" s="40">
        <f>AQ1280*(1-IF(B1280&gt;=in_marketplace_from,d_hz_two_wheeler*G1280,0))</f>
        <v/>
      </c>
      <c r="AR1281" s="46">
        <f>AQ1281*IF(B1281&gt;=in_marketplace_from,d_hz_two_wheeler*G1281,0)</f>
        <v/>
      </c>
      <c r="AS1281" s="14">
        <f>F1281*AR1281*in_two_wheeler_ticket*in_two_wheeler_comm*in_ins_partner_share+F1281*in_two_wheeler_ticket*in_two_wheeler_comm*in_ins_partner_share*(in_two_wheeler_renew^1*SUMIFS(AR1271:AR1303,B1271:B1303,B1281-12)+in_two_wheeler_renew^2*SUMIFS(AR1271:AR1303,B1271:B1303,B1281-24)+in_two_wheeler_renew^3*SUMIFS(AR1271:AR1303,B1271:B1303,B1281-36)+in_two_wheeler_renew^4*SUMIFS(AR1271:AR1303,B1271:B1303,B1281-48))</f>
        <v/>
      </c>
      <c r="AT1281" s="40">
        <f>AT1280*(1-IF(B1280&gt;=in_marketplace_from,d_hz_device*G1280,0))</f>
        <v/>
      </c>
      <c r="AU1281" s="14">
        <f>F1281*AT1281*IF(B1281&gt;=in_marketplace_from,d_hz_device*G1281,0)*in_device_ticket*in_device_comm*in_ins_partner_share</f>
        <v/>
      </c>
      <c r="AV1281" s="40">
        <f>AV1280*(1-IF(B1280&gt;=in_marketplace_from,d_hz_shop*G1280,0))</f>
        <v/>
      </c>
      <c r="AW1281" s="46">
        <f>AV1281*IF(B1281&gt;=in_marketplace_from,d_hz_shop*G1281,0)</f>
        <v/>
      </c>
      <c r="AX1281" s="14">
        <f>F1281*AW1281*in_shop_ticket*in_shop_comm*in_ins_partner_share+F1281*in_shop_ticket*in_shop_renew_comm*in_ins_partner_share*(in_shop_renew^1*SUMIFS(AW1271:AW1303,B1271:B1303,B1281-12)+in_shop_renew^2*SUMIFS(AW1271:AW1303,B1271:B1303,B1281-24)+in_shop_renew^3*SUMIFS(AW1271:AW1303,B1271:B1303,B1281-36)+in_shop_renew^4*SUMIFS(AW1271:AW1303,B1271:B1303,B1281-48))</f>
        <v/>
      </c>
      <c r="AY1281" s="40">
        <f>AY1280*(1-IF(B1280&gt;=in_marketplace_from,d_hz_sip*G1280,0))</f>
        <v/>
      </c>
      <c r="AZ1281" s="40">
        <f>AZ1280*d_rho_sip+AY1281*IF(B1281&gt;=in_marketplace_from,d_hz_sip*G1281,0)</f>
        <v/>
      </c>
      <c r="BA1281" s="40">
        <f>d_rho_sip*(BA1280+AZ1280)</f>
        <v/>
      </c>
      <c r="BB1281" s="14">
        <f>F1281*in_sip_ticket*(BA1281+0.5*AZ1281)*in_sip_comm/12</f>
        <v/>
      </c>
      <c r="BC1281" s="40">
        <f>BC1280*(1-IF(B1280&gt;=in_marketplace_from,d_hz_choti*G1280,0))</f>
        <v/>
      </c>
      <c r="BD1281" s="46">
        <f>BC1281*IF(B1281&gt;=in_marketplace_from,d_hz_choti*G1281,0)</f>
        <v/>
      </c>
      <c r="BE1281" s="14">
        <f>F1281*SUMIFS(BD1271:BD1303,B1271:B1303,B1281-in_choti_months)*in_choti_renew*in_choti_ticket</f>
        <v/>
      </c>
      <c r="BF1281" s="40">
        <f>BF1280*(1-IF(B1280&gt;=in_marketplace_from,d_hz_nps*G1280,0))</f>
        <v/>
      </c>
      <c r="BG1281" s="14">
        <f>F1281*BF1281*IF(B1281&gt;=in_marketplace_from,d_hz_nps*G1281,0)*in_nps_ticket*in_nps_comm</f>
        <v/>
      </c>
      <c r="BH1281" s="40">
        <f>BH1280*(1-IF(B1280&gt;=in_marketplace_from,d_hz_gold*G1280,0))</f>
        <v/>
      </c>
      <c r="BI1281" s="40">
        <f>BI1280*d_rho_gold+BH1281*IF(B1281&gt;=in_marketplace_from,d_hz_gold*G1281,0)</f>
        <v/>
      </c>
      <c r="BJ1281" s="14">
        <f>F1281*BI1281*in_gold_ticket*in_gold_comm</f>
        <v/>
      </c>
      <c r="BK1281" s="40">
        <f>BK1280*(1-IF(B1280&gt;=in_marketplace_from,d_hz_fd*G1280,0))</f>
        <v/>
      </c>
      <c r="BL1281" s="14">
        <f>F1281*BK1281*IF(B1281&gt;=in_marketplace_from,d_hz_fd*G1281,0)*in_fd_ticket*in_fd_comm</f>
        <v/>
      </c>
      <c r="BM1281" s="40">
        <f>BM1280*(1-IF(B1280&gt;=in_marketplace_from,d_hz_recharge*G1280,0))</f>
        <v/>
      </c>
      <c r="BN1281" s="40">
        <f>BN1280*d_rho_recharge+BM1281*IF(B1281&gt;=in_marketplace_from,d_hz_recharge*G1281,0)</f>
        <v/>
      </c>
      <c r="BO1281" s="14">
        <f>F1281*BN1281*in_recharge_ticket*in_recharge_comm/12</f>
        <v/>
      </c>
      <c r="BP1281" s="40">
        <f>BP1280*(1-IF(B1280&gt;=in_marketplace_from,d_hz_bills*G1280,0))</f>
        <v/>
      </c>
      <c r="BQ1281" s="40">
        <f>BQ1280*d_rho_bills+BP1281*IF(B1281&gt;=in_marketplace_from,d_hz_bills*G1281,0)</f>
        <v/>
      </c>
      <c r="BR1281" s="14">
        <f>F1281*BQ1281*in_bills_ticket*in_bills_comm/12</f>
        <v/>
      </c>
      <c r="BS1281" s="40">
        <f>BS1280*(1-IF(B1280&gt;=in_marketplace_from,d_hz_loan_gold*G1280,0))</f>
        <v/>
      </c>
      <c r="BT1281" s="14">
        <f>F1281*BS1281*IF(B1281&gt;=in_marketplace_from,d_hz_loan_gold*G1281,0)*in_loan_gold_ticket*in_loan_gold_comm</f>
        <v/>
      </c>
      <c r="BU1281" s="40">
        <f>BU1280*(1-IF(B1280&gt;=in_marketplace_from,d_hz_loan_cd*G1280,0))</f>
        <v/>
      </c>
      <c r="BV1281" s="14">
        <f>F1281*BU1281*IF(B1281&gt;=in_marketplace_from,d_hz_loan_cd*G1281,0)*in_loan_cd_ticket*in_loan_cd_comm</f>
        <v/>
      </c>
      <c r="BW1281" s="40">
        <f>BW1280*(1-IF(B1280&gt;=in_marketplace_from,d_hz_loan_vehicle*G1280,0))</f>
        <v/>
      </c>
      <c r="BX1281" s="14">
        <f>F1281*BW1281*IF(B1281&gt;=in_marketplace_from,d_hz_loan_vehicle*G1281,0)*in_loan_vehicle_ticket*in_loan_vehicle_comm</f>
        <v/>
      </c>
      <c r="BY1281" s="40">
        <f>BY1280*(1-IF(B1280&gt;=in_marketplace_from,d_hz_loan_home*G1280,0)*BZ1280)</f>
        <v/>
      </c>
      <c r="BZ1281" s="11">
        <f>MIN(in_approval_cap,in_loan_home_approval*INDEX('Age profile'!$O$2:$O$61,B1281)*(1+in_approval_growth)^(D1281-1))</f>
        <v/>
      </c>
      <c r="CA1281" s="14">
        <f>F1281*BY1281*IF(B1281&gt;=in_marketplace_from,d_hz_loan_home*G1281,0)*BZ1281*in_loan_home_ticket*in_loan_home_comm</f>
        <v/>
      </c>
      <c r="CB1281" s="40">
        <f>CB1280*(1-IF(B1280&gt;=in_marketplace_from,d_hz_loan_lap*G1280,0)*CC1280)</f>
        <v/>
      </c>
      <c r="CC1281" s="11">
        <f>MIN(in_approval_cap,in_loan_lap_approval*INDEX('Age profile'!$O$2:$O$61,B1281)*(1+in_approval_growth)^(D1281-1))</f>
        <v/>
      </c>
      <c r="CD1281" s="14">
        <f>F1281*CB1281*IF(B1281&gt;=in_marketplace_from,d_hz_loan_lap*G1281,0)*CC1281*in_loan_lap_ticket*in_loan_lap_comm</f>
        <v/>
      </c>
      <c r="CE1281" s="14">
        <f>AA1281+AB1281+AC1281+AD1281+AG1281+AJ1281+AM1281+AP1281+AS1281+AU1281+AX1281+BB1281+BE1281+BG1281+BJ1281+BL1281+BO1281+BR1281+BT1281+BV1281+BX1281+CA1281+CD1281</f>
        <v/>
      </c>
    </row>
    <row r="1282">
      <c r="A1282" s="39" t="n">
        <v>28</v>
      </c>
      <c r="B1282" s="39" t="n">
        <v>12</v>
      </c>
      <c r="C1282" s="39">
        <f>A1282+B1282-1</f>
        <v/>
      </c>
      <c r="D1282" s="39">
        <f>INT((C1282-1)/12)+1</f>
        <v/>
      </c>
      <c r="E1282" s="44">
        <f>INDEX(Monthly!$B$2:$B$61,A1282)</f>
        <v/>
      </c>
      <c r="F1282" s="44">
        <f>E1282*INDEX('Age profile'!$B$2:$B$61,B1282)</f>
        <v/>
      </c>
      <c r="G1282" s="45">
        <f>MIN(in_takeup_cap,INDEX('Age profile'!$N$2:$N$61,B1282)*(1+in_takeup_growth)^(D1282-1))</f>
        <v/>
      </c>
      <c r="H1282" s="11">
        <f>MIN(in_approval_cap,in_approved_first*INDEX('Age profile'!$O$2:$O$61,B1282)*(1+in_approval_growth)^(D1282-1))</f>
        <v/>
      </c>
      <c r="I1282" s="45">
        <f>G1282*MIN(in_takeup_cap,INDEX('Age profile'!$O$2:$O$61,B1282)*(1+in_approval_growth)^(D1282-1))</f>
        <v/>
      </c>
      <c r="J1282" s="40">
        <f>(J1281-L1281)*F1282/F1281</f>
        <v/>
      </c>
      <c r="K1282" s="40">
        <f>(K1281-M1281)*F1282/F1281+SUMIFS(O1271:O1281,B1271:B1281,B1282-1-d_T)*F1282</f>
        <v/>
      </c>
      <c r="L1282" s="40">
        <f>IF(B1282&gt;=in_marketplace_from,J1282*d_hz*G1282*in_eligible*H1282,0)</f>
        <v/>
      </c>
      <c r="M1282" s="40">
        <f>IF(B1282&gt;=in_marketplace_from,K1282*d_hz*G1282*in_eligible*in_approved_repeat,0)</f>
        <v/>
      </c>
      <c r="N1282" s="40">
        <f>L1282+M1282</f>
        <v/>
      </c>
      <c r="O1282" s="46">
        <f>N1282/F1282</f>
        <v/>
      </c>
      <c r="P1282" s="40">
        <f>F1282-J1282-K1282</f>
        <v/>
      </c>
      <c r="Q1282" s="40">
        <f>IF(B1282&gt;=in_marketplace_from,(J1282+K1282)*d_hz*G1282,0)</f>
        <v/>
      </c>
      <c r="R1282" s="40">
        <f>SUMIFS(N1271:N1303,B1271:B1303,"&gt;="&amp;(B1282-d_T),B1271:B1303,"&lt;="&amp;(B1282-1))</f>
        <v/>
      </c>
      <c r="S1282" s="46">
        <f>(1-d_u)*S1281+IF(d_T&gt;in_topup_lag,SUMIFS(O1271:O1303,B1271:B1303,B1282-in_topup_lag)-d_udrop*SUMIFS(O1271:O1303,B1271:B1303,B1282-d_T),0)</f>
        <v/>
      </c>
      <c r="T1282" s="40">
        <f>F1282*d_u*S1282</f>
        <v/>
      </c>
      <c r="U1282" s="9">
        <f>L1282*in_ticket+M1282*d_rep_ticket</f>
        <v/>
      </c>
      <c r="V1282" s="9">
        <f>U1282+T1282*d_topup_amt</f>
        <v/>
      </c>
      <c r="W1282" s="40">
        <f>N1282+T1282*d_topup_ratio</f>
        <v/>
      </c>
      <c r="X1282" s="40">
        <f>SUMIFS(W1271:W1303,B1271:B1303,B1282-in_dpd_lag)*d_cured</f>
        <v/>
      </c>
      <c r="Y1282" s="40">
        <f>SUMIFS(W1271:W1303,B1271:B1303,B1282-in_rec_lag)*d_recd</f>
        <v/>
      </c>
      <c r="Z1282" s="40">
        <f>IF(AND(B1282&gt;=in_marketplace_from,B1282&lt;in_marketplace_from+in_card_months),in_card_share/in_card_months*F1282*I1282,IF(AND(B1282&gt;=in_marketplace_from+in_card_months,B1282&lt;in_marketplace_from+2*in_card_months),in_card_share*d_card_rem/in_card_months*F1282*MIN(in_takeup_cap,(1+in_takeup_growth)^(D1282-1))*MIN(in_takeup_cap,(1+in_approval_growth)^(D1282-1)),0))</f>
        <v/>
      </c>
      <c r="AA1282" s="14">
        <f>V1282*in_fee*(1-in_taken_back)</f>
        <v/>
      </c>
      <c r="AB1282" s="14">
        <f>SUMIFS(W1271:W1303,B1271:B1303,B1282-in_dpd_lag)*d_dpd</f>
        <v/>
      </c>
      <c r="AC1282" s="14">
        <f>SUMIFS(W1271:W1303,B1271:B1303,B1282-in_rec_lag)*d_rec</f>
        <v/>
      </c>
      <c r="AD1282" s="14">
        <f>Z1282*in_card_fee</f>
        <v/>
      </c>
      <c r="AE1282" s="40">
        <f>AE1281*(1-IF(B1281&gt;=in_marketplace_from,d_hz_hlth_small*G1281,0))</f>
        <v/>
      </c>
      <c r="AF1282" s="46">
        <f>AE1282*IF(B1282&gt;=in_marketplace_from,d_hz_hlth_small*G1282,0)</f>
        <v/>
      </c>
      <c r="AG1282" s="14">
        <f>F1282*AF1282*in_hlth_small_ticket*in_hlth_small_comm*in_ins_partner_share+F1282*in_hlth_small_ticket*in_hlth_small_renew_comm*in_ins_partner_share*(in_hlth_small_renew^1*SUMIFS(AF1271:AF1303,B1271:B1303,B1282-12)+in_hlth_small_renew^2*SUMIFS(AF1271:AF1303,B1271:B1303,B1282-24)+in_hlth_small_renew^3*SUMIFS(AF1271:AF1303,B1271:B1303,B1282-36)+in_hlth_small_renew^4*SUMIFS(AF1271:AF1303,B1271:B1303,B1282-48))</f>
        <v/>
      </c>
      <c r="AH1282" s="40">
        <f>AH1281*(1-IF(B1281&gt;=in_marketplace_from,d_hz_hlth_family*G1281,0))</f>
        <v/>
      </c>
      <c r="AI1282" s="46">
        <f>AH1282*IF(B1282&gt;=in_marketplace_from,d_hz_hlth_family*G1282,0)</f>
        <v/>
      </c>
      <c r="AJ1282" s="14">
        <f>F1282*AI1282*in_hlth_family_ticket*in_hlth_family_comm*in_ins_partner_share+F1282*in_hlth_family_ticket*in_hlth_family_renew_comm*in_ins_partner_share*(in_hlth_family_renew^1*SUMIFS(AI1271:AI1303,B1271:B1303,B1282-12)+in_hlth_family_renew^2*SUMIFS(AI1271:AI1303,B1271:B1303,B1282-24)+in_hlth_family_renew^3*SUMIFS(AI1271:AI1303,B1271:B1303,B1282-36)+in_hlth_family_renew^4*SUMIFS(AI1271:AI1303,B1271:B1303,B1282-48))</f>
        <v/>
      </c>
      <c r="AK1282" s="40">
        <f>AK1281*(1-IF(B1281&gt;=in_marketplace_from,d_hz_life_term*G1281,0))</f>
        <v/>
      </c>
      <c r="AL1282" s="46">
        <f>AK1282*IF(B1282&gt;=in_marketplace_from,d_hz_life_term*G1282,0)</f>
        <v/>
      </c>
      <c r="AM1282" s="14">
        <f>F1282*AL1282*in_life_term_ticket*in_life_term_comm*in_ins_partner_share+F1282*in_life_term_ticket*in_life_term_renew_comm*in_ins_partner_share*(in_life_term_renew^1*SUMIFS(AL1271:AL1303,B1271:B1303,B1282-12)+in_life_term_renew^2*SUMIFS(AL1271:AL1303,B1271:B1303,B1282-24)+in_life_term_renew^3*SUMIFS(AL1271:AL1303,B1271:B1303,B1282-36)+in_life_term_renew^4*SUMIFS(AL1271:AL1303,B1271:B1303,B1282-48))</f>
        <v/>
      </c>
      <c r="AN1282" s="40">
        <f>AN1281*(1-IF(B1281&gt;=in_marketplace_from,d_hz_accident*G1281,0))</f>
        <v/>
      </c>
      <c r="AO1282" s="46">
        <f>AN1282*IF(B1282&gt;=in_marketplace_from,d_hz_accident*G1282,0)</f>
        <v/>
      </c>
      <c r="AP1282" s="14">
        <f>F1282*AO1282*in_accident_ticket*in_accident_comm*in_ins_partner_share+F1282*in_accident_ticket*in_accident_renew_comm*in_ins_partner_share*(in_accident_renew^1*SUMIFS(AO1271:AO1303,B1271:B1303,B1282-12)+in_accident_renew^2*SUMIFS(AO1271:AO1303,B1271:B1303,B1282-24)+in_accident_renew^3*SUMIFS(AO1271:AO1303,B1271:B1303,B1282-36)+in_accident_renew^4*SUMIFS(AO1271:AO1303,B1271:B1303,B1282-48))</f>
        <v/>
      </c>
      <c r="AQ1282" s="40">
        <f>AQ1281*(1-IF(B1281&gt;=in_marketplace_from,d_hz_two_wheeler*G1281,0))</f>
        <v/>
      </c>
      <c r="AR1282" s="46">
        <f>AQ1282*IF(B1282&gt;=in_marketplace_from,d_hz_two_wheeler*G1282,0)</f>
        <v/>
      </c>
      <c r="AS1282" s="14">
        <f>F1282*AR1282*in_two_wheeler_ticket*in_two_wheeler_comm*in_ins_partner_share+F1282*in_two_wheeler_ticket*in_two_wheeler_comm*in_ins_partner_share*(in_two_wheeler_renew^1*SUMIFS(AR1271:AR1303,B1271:B1303,B1282-12)+in_two_wheeler_renew^2*SUMIFS(AR1271:AR1303,B1271:B1303,B1282-24)+in_two_wheeler_renew^3*SUMIFS(AR1271:AR1303,B1271:B1303,B1282-36)+in_two_wheeler_renew^4*SUMIFS(AR1271:AR1303,B1271:B1303,B1282-48))</f>
        <v/>
      </c>
      <c r="AT1282" s="40">
        <f>AT1281*(1-IF(B1281&gt;=in_marketplace_from,d_hz_device*G1281,0))</f>
        <v/>
      </c>
      <c r="AU1282" s="14">
        <f>F1282*AT1282*IF(B1282&gt;=in_marketplace_from,d_hz_device*G1282,0)*in_device_ticket*in_device_comm*in_ins_partner_share</f>
        <v/>
      </c>
      <c r="AV1282" s="40">
        <f>AV1281*(1-IF(B1281&gt;=in_marketplace_from,d_hz_shop*G1281,0))</f>
        <v/>
      </c>
      <c r="AW1282" s="46">
        <f>AV1282*IF(B1282&gt;=in_marketplace_from,d_hz_shop*G1282,0)</f>
        <v/>
      </c>
      <c r="AX1282" s="14">
        <f>F1282*AW1282*in_shop_ticket*in_shop_comm*in_ins_partner_share+F1282*in_shop_ticket*in_shop_renew_comm*in_ins_partner_share*(in_shop_renew^1*SUMIFS(AW1271:AW1303,B1271:B1303,B1282-12)+in_shop_renew^2*SUMIFS(AW1271:AW1303,B1271:B1303,B1282-24)+in_shop_renew^3*SUMIFS(AW1271:AW1303,B1271:B1303,B1282-36)+in_shop_renew^4*SUMIFS(AW1271:AW1303,B1271:B1303,B1282-48))</f>
        <v/>
      </c>
      <c r="AY1282" s="40">
        <f>AY1281*(1-IF(B1281&gt;=in_marketplace_from,d_hz_sip*G1281,0))</f>
        <v/>
      </c>
      <c r="AZ1282" s="40">
        <f>AZ1281*d_rho_sip+AY1282*IF(B1282&gt;=in_marketplace_from,d_hz_sip*G1282,0)</f>
        <v/>
      </c>
      <c r="BA1282" s="40">
        <f>d_rho_sip*(BA1281+AZ1281)</f>
        <v/>
      </c>
      <c r="BB1282" s="14">
        <f>F1282*in_sip_ticket*(BA1282+0.5*AZ1282)*in_sip_comm/12</f>
        <v/>
      </c>
      <c r="BC1282" s="40">
        <f>BC1281*(1-IF(B1281&gt;=in_marketplace_from,d_hz_choti*G1281,0))</f>
        <v/>
      </c>
      <c r="BD1282" s="46">
        <f>BC1282*IF(B1282&gt;=in_marketplace_from,d_hz_choti*G1282,0)</f>
        <v/>
      </c>
      <c r="BE1282" s="14">
        <f>F1282*SUMIFS(BD1271:BD1303,B1271:B1303,B1282-in_choti_months)*in_choti_renew*in_choti_ticket</f>
        <v/>
      </c>
      <c r="BF1282" s="40">
        <f>BF1281*(1-IF(B1281&gt;=in_marketplace_from,d_hz_nps*G1281,0))</f>
        <v/>
      </c>
      <c r="BG1282" s="14">
        <f>F1282*BF1282*IF(B1282&gt;=in_marketplace_from,d_hz_nps*G1282,0)*in_nps_ticket*in_nps_comm</f>
        <v/>
      </c>
      <c r="BH1282" s="40">
        <f>BH1281*(1-IF(B1281&gt;=in_marketplace_from,d_hz_gold*G1281,0))</f>
        <v/>
      </c>
      <c r="BI1282" s="40">
        <f>BI1281*d_rho_gold+BH1282*IF(B1282&gt;=in_marketplace_from,d_hz_gold*G1282,0)</f>
        <v/>
      </c>
      <c r="BJ1282" s="14">
        <f>F1282*BI1282*in_gold_ticket*in_gold_comm</f>
        <v/>
      </c>
      <c r="BK1282" s="40">
        <f>BK1281*(1-IF(B1281&gt;=in_marketplace_from,d_hz_fd*G1281,0))</f>
        <v/>
      </c>
      <c r="BL1282" s="14">
        <f>F1282*BK1282*IF(B1282&gt;=in_marketplace_from,d_hz_fd*G1282,0)*in_fd_ticket*in_fd_comm</f>
        <v/>
      </c>
      <c r="BM1282" s="40">
        <f>BM1281*(1-IF(B1281&gt;=in_marketplace_from,d_hz_recharge*G1281,0))</f>
        <v/>
      </c>
      <c r="BN1282" s="40">
        <f>BN1281*d_rho_recharge+BM1282*IF(B1282&gt;=in_marketplace_from,d_hz_recharge*G1282,0)</f>
        <v/>
      </c>
      <c r="BO1282" s="14">
        <f>F1282*BN1282*in_recharge_ticket*in_recharge_comm/12</f>
        <v/>
      </c>
      <c r="BP1282" s="40">
        <f>BP1281*(1-IF(B1281&gt;=in_marketplace_from,d_hz_bills*G1281,0))</f>
        <v/>
      </c>
      <c r="BQ1282" s="40">
        <f>BQ1281*d_rho_bills+BP1282*IF(B1282&gt;=in_marketplace_from,d_hz_bills*G1282,0)</f>
        <v/>
      </c>
      <c r="BR1282" s="14">
        <f>F1282*BQ1282*in_bills_ticket*in_bills_comm/12</f>
        <v/>
      </c>
      <c r="BS1282" s="40">
        <f>BS1281*(1-IF(B1281&gt;=in_marketplace_from,d_hz_loan_gold*G1281,0))</f>
        <v/>
      </c>
      <c r="BT1282" s="14">
        <f>F1282*BS1282*IF(B1282&gt;=in_marketplace_from,d_hz_loan_gold*G1282,0)*in_loan_gold_ticket*in_loan_gold_comm</f>
        <v/>
      </c>
      <c r="BU1282" s="40">
        <f>BU1281*(1-IF(B1281&gt;=in_marketplace_from,d_hz_loan_cd*G1281,0))</f>
        <v/>
      </c>
      <c r="BV1282" s="14">
        <f>F1282*BU1282*IF(B1282&gt;=in_marketplace_from,d_hz_loan_cd*G1282,0)*in_loan_cd_ticket*in_loan_cd_comm</f>
        <v/>
      </c>
      <c r="BW1282" s="40">
        <f>BW1281*(1-IF(B1281&gt;=in_marketplace_from,d_hz_loan_vehicle*G1281,0))</f>
        <v/>
      </c>
      <c r="BX1282" s="14">
        <f>F1282*BW1282*IF(B1282&gt;=in_marketplace_from,d_hz_loan_vehicle*G1282,0)*in_loan_vehicle_ticket*in_loan_vehicle_comm</f>
        <v/>
      </c>
      <c r="BY1282" s="40">
        <f>BY1281*(1-IF(B1281&gt;=in_marketplace_from,d_hz_loan_home*G1281,0)*BZ1281)</f>
        <v/>
      </c>
      <c r="BZ1282" s="11">
        <f>MIN(in_approval_cap,in_loan_home_approval*INDEX('Age profile'!$O$2:$O$61,B1282)*(1+in_approval_growth)^(D1282-1))</f>
        <v/>
      </c>
      <c r="CA1282" s="14">
        <f>F1282*BY1282*IF(B1282&gt;=in_marketplace_from,d_hz_loan_home*G1282,0)*BZ1282*in_loan_home_ticket*in_loan_home_comm</f>
        <v/>
      </c>
      <c r="CB1282" s="40">
        <f>CB1281*(1-IF(B1281&gt;=in_marketplace_from,d_hz_loan_lap*G1281,0)*CC1281)</f>
        <v/>
      </c>
      <c r="CC1282" s="11">
        <f>MIN(in_approval_cap,in_loan_lap_approval*INDEX('Age profile'!$O$2:$O$61,B1282)*(1+in_approval_growth)^(D1282-1))</f>
        <v/>
      </c>
      <c r="CD1282" s="14">
        <f>F1282*CB1282*IF(B1282&gt;=in_marketplace_from,d_hz_loan_lap*G1282,0)*CC1282*in_loan_lap_ticket*in_loan_lap_comm</f>
        <v/>
      </c>
      <c r="CE1282" s="14">
        <f>AA1282+AB1282+AC1282+AD1282+AG1282+AJ1282+AM1282+AP1282+AS1282+AU1282+AX1282+BB1282+BE1282+BG1282+BJ1282+BL1282+BO1282+BR1282+BT1282+BV1282+BX1282+CA1282+CD1282</f>
        <v/>
      </c>
    </row>
    <row r="1283">
      <c r="A1283" s="39" t="n">
        <v>28</v>
      </c>
      <c r="B1283" s="39" t="n">
        <v>13</v>
      </c>
      <c r="C1283" s="39">
        <f>A1283+B1283-1</f>
        <v/>
      </c>
      <c r="D1283" s="39">
        <f>INT((C1283-1)/12)+1</f>
        <v/>
      </c>
      <c r="E1283" s="44">
        <f>INDEX(Monthly!$B$2:$B$61,A1283)</f>
        <v/>
      </c>
      <c r="F1283" s="44">
        <f>E1283*INDEX('Age profile'!$B$2:$B$61,B1283)</f>
        <v/>
      </c>
      <c r="G1283" s="45">
        <f>MIN(in_takeup_cap,INDEX('Age profile'!$N$2:$N$61,B1283)*(1+in_takeup_growth)^(D1283-1))</f>
        <v/>
      </c>
      <c r="H1283" s="11">
        <f>MIN(in_approval_cap,in_approved_first*INDEX('Age profile'!$O$2:$O$61,B1283)*(1+in_approval_growth)^(D1283-1))</f>
        <v/>
      </c>
      <c r="I1283" s="45">
        <f>G1283*MIN(in_takeup_cap,INDEX('Age profile'!$O$2:$O$61,B1283)*(1+in_approval_growth)^(D1283-1))</f>
        <v/>
      </c>
      <c r="J1283" s="40">
        <f>(J1282-L1282)*F1283/F1282</f>
        <v/>
      </c>
      <c r="K1283" s="40">
        <f>(K1282-M1282)*F1283/F1282+SUMIFS(O1271:O1282,B1271:B1282,B1283-1-d_T)*F1283</f>
        <v/>
      </c>
      <c r="L1283" s="40">
        <f>IF(B1283&gt;=in_marketplace_from,J1283*d_hz*G1283*in_eligible*H1283,0)</f>
        <v/>
      </c>
      <c r="M1283" s="40">
        <f>IF(B1283&gt;=in_marketplace_from,K1283*d_hz*G1283*in_eligible*in_approved_repeat,0)</f>
        <v/>
      </c>
      <c r="N1283" s="40">
        <f>L1283+M1283</f>
        <v/>
      </c>
      <c r="O1283" s="46">
        <f>N1283/F1283</f>
        <v/>
      </c>
      <c r="P1283" s="40">
        <f>F1283-J1283-K1283</f>
        <v/>
      </c>
      <c r="Q1283" s="40">
        <f>IF(B1283&gt;=in_marketplace_from,(J1283+K1283)*d_hz*G1283,0)</f>
        <v/>
      </c>
      <c r="R1283" s="40">
        <f>SUMIFS(N1271:N1303,B1271:B1303,"&gt;="&amp;(B1283-d_T),B1271:B1303,"&lt;="&amp;(B1283-1))</f>
        <v/>
      </c>
      <c r="S1283" s="46">
        <f>(1-d_u)*S1282+IF(d_T&gt;in_topup_lag,SUMIFS(O1271:O1303,B1271:B1303,B1283-in_topup_lag)-d_udrop*SUMIFS(O1271:O1303,B1271:B1303,B1283-d_T),0)</f>
        <v/>
      </c>
      <c r="T1283" s="40">
        <f>F1283*d_u*S1283</f>
        <v/>
      </c>
      <c r="U1283" s="9">
        <f>L1283*in_ticket+M1283*d_rep_ticket</f>
        <v/>
      </c>
      <c r="V1283" s="9">
        <f>U1283+T1283*d_topup_amt</f>
        <v/>
      </c>
      <c r="W1283" s="40">
        <f>N1283+T1283*d_topup_ratio</f>
        <v/>
      </c>
      <c r="X1283" s="40">
        <f>SUMIFS(W1271:W1303,B1271:B1303,B1283-in_dpd_lag)*d_cured</f>
        <v/>
      </c>
      <c r="Y1283" s="40">
        <f>SUMIFS(W1271:W1303,B1271:B1303,B1283-in_rec_lag)*d_recd</f>
        <v/>
      </c>
      <c r="Z1283" s="40">
        <f>IF(AND(B1283&gt;=in_marketplace_from,B1283&lt;in_marketplace_from+in_card_months),in_card_share/in_card_months*F1283*I1283,IF(AND(B1283&gt;=in_marketplace_from+in_card_months,B1283&lt;in_marketplace_from+2*in_card_months),in_card_share*d_card_rem/in_card_months*F1283*MIN(in_takeup_cap,(1+in_takeup_growth)^(D1283-1))*MIN(in_takeup_cap,(1+in_approval_growth)^(D1283-1)),0))</f>
        <v/>
      </c>
      <c r="AA1283" s="14">
        <f>V1283*in_fee*(1-in_taken_back)</f>
        <v/>
      </c>
      <c r="AB1283" s="14">
        <f>SUMIFS(W1271:W1303,B1271:B1303,B1283-in_dpd_lag)*d_dpd</f>
        <v/>
      </c>
      <c r="AC1283" s="14">
        <f>SUMIFS(W1271:W1303,B1271:B1303,B1283-in_rec_lag)*d_rec</f>
        <v/>
      </c>
      <c r="AD1283" s="14">
        <f>Z1283*in_card_fee</f>
        <v/>
      </c>
      <c r="AE1283" s="40">
        <f>AE1282*(1-IF(B1282&gt;=in_marketplace_from,d_hz_hlth_small*G1282,0))</f>
        <v/>
      </c>
      <c r="AF1283" s="46">
        <f>AE1283*IF(B1283&gt;=in_marketplace_from,d_hz_hlth_small*G1283,0)</f>
        <v/>
      </c>
      <c r="AG1283" s="14">
        <f>F1283*AF1283*in_hlth_small_ticket*in_hlth_small_comm*in_ins_partner_share+F1283*in_hlth_small_ticket*in_hlth_small_renew_comm*in_ins_partner_share*(in_hlth_small_renew^1*SUMIFS(AF1271:AF1303,B1271:B1303,B1283-12)+in_hlth_small_renew^2*SUMIFS(AF1271:AF1303,B1271:B1303,B1283-24)+in_hlth_small_renew^3*SUMIFS(AF1271:AF1303,B1271:B1303,B1283-36)+in_hlth_small_renew^4*SUMIFS(AF1271:AF1303,B1271:B1303,B1283-48))</f>
        <v/>
      </c>
      <c r="AH1283" s="40">
        <f>AH1282*(1-IF(B1282&gt;=in_marketplace_from,d_hz_hlth_family*G1282,0))</f>
        <v/>
      </c>
      <c r="AI1283" s="46">
        <f>AH1283*IF(B1283&gt;=in_marketplace_from,d_hz_hlth_family*G1283,0)</f>
        <v/>
      </c>
      <c r="AJ1283" s="14">
        <f>F1283*AI1283*in_hlth_family_ticket*in_hlth_family_comm*in_ins_partner_share+F1283*in_hlth_family_ticket*in_hlth_family_renew_comm*in_ins_partner_share*(in_hlth_family_renew^1*SUMIFS(AI1271:AI1303,B1271:B1303,B1283-12)+in_hlth_family_renew^2*SUMIFS(AI1271:AI1303,B1271:B1303,B1283-24)+in_hlth_family_renew^3*SUMIFS(AI1271:AI1303,B1271:B1303,B1283-36)+in_hlth_family_renew^4*SUMIFS(AI1271:AI1303,B1271:B1303,B1283-48))</f>
        <v/>
      </c>
      <c r="AK1283" s="40">
        <f>AK1282*(1-IF(B1282&gt;=in_marketplace_from,d_hz_life_term*G1282,0))</f>
        <v/>
      </c>
      <c r="AL1283" s="46">
        <f>AK1283*IF(B1283&gt;=in_marketplace_from,d_hz_life_term*G1283,0)</f>
        <v/>
      </c>
      <c r="AM1283" s="14">
        <f>F1283*AL1283*in_life_term_ticket*in_life_term_comm*in_ins_partner_share+F1283*in_life_term_ticket*in_life_term_renew_comm*in_ins_partner_share*(in_life_term_renew^1*SUMIFS(AL1271:AL1303,B1271:B1303,B1283-12)+in_life_term_renew^2*SUMIFS(AL1271:AL1303,B1271:B1303,B1283-24)+in_life_term_renew^3*SUMIFS(AL1271:AL1303,B1271:B1303,B1283-36)+in_life_term_renew^4*SUMIFS(AL1271:AL1303,B1271:B1303,B1283-48))</f>
        <v/>
      </c>
      <c r="AN1283" s="40">
        <f>AN1282*(1-IF(B1282&gt;=in_marketplace_from,d_hz_accident*G1282,0))</f>
        <v/>
      </c>
      <c r="AO1283" s="46">
        <f>AN1283*IF(B1283&gt;=in_marketplace_from,d_hz_accident*G1283,0)</f>
        <v/>
      </c>
      <c r="AP1283" s="14">
        <f>F1283*AO1283*in_accident_ticket*in_accident_comm*in_ins_partner_share+F1283*in_accident_ticket*in_accident_renew_comm*in_ins_partner_share*(in_accident_renew^1*SUMIFS(AO1271:AO1303,B1271:B1303,B1283-12)+in_accident_renew^2*SUMIFS(AO1271:AO1303,B1271:B1303,B1283-24)+in_accident_renew^3*SUMIFS(AO1271:AO1303,B1271:B1303,B1283-36)+in_accident_renew^4*SUMIFS(AO1271:AO1303,B1271:B1303,B1283-48))</f>
        <v/>
      </c>
      <c r="AQ1283" s="40">
        <f>AQ1282*(1-IF(B1282&gt;=in_marketplace_from,d_hz_two_wheeler*G1282,0))</f>
        <v/>
      </c>
      <c r="AR1283" s="46">
        <f>AQ1283*IF(B1283&gt;=in_marketplace_from,d_hz_two_wheeler*G1283,0)</f>
        <v/>
      </c>
      <c r="AS1283" s="14">
        <f>F1283*AR1283*in_two_wheeler_ticket*in_two_wheeler_comm*in_ins_partner_share+F1283*in_two_wheeler_ticket*in_two_wheeler_comm*in_ins_partner_share*(in_two_wheeler_renew^1*SUMIFS(AR1271:AR1303,B1271:B1303,B1283-12)+in_two_wheeler_renew^2*SUMIFS(AR1271:AR1303,B1271:B1303,B1283-24)+in_two_wheeler_renew^3*SUMIFS(AR1271:AR1303,B1271:B1303,B1283-36)+in_two_wheeler_renew^4*SUMIFS(AR1271:AR1303,B1271:B1303,B1283-48))</f>
        <v/>
      </c>
      <c r="AT1283" s="40">
        <f>AT1282*(1-IF(B1282&gt;=in_marketplace_from,d_hz_device*G1282,0))</f>
        <v/>
      </c>
      <c r="AU1283" s="14">
        <f>F1283*AT1283*IF(B1283&gt;=in_marketplace_from,d_hz_device*G1283,0)*in_device_ticket*in_device_comm*in_ins_partner_share</f>
        <v/>
      </c>
      <c r="AV1283" s="40">
        <f>AV1282*(1-IF(B1282&gt;=in_marketplace_from,d_hz_shop*G1282,0))</f>
        <v/>
      </c>
      <c r="AW1283" s="46">
        <f>AV1283*IF(B1283&gt;=in_marketplace_from,d_hz_shop*G1283,0)</f>
        <v/>
      </c>
      <c r="AX1283" s="14">
        <f>F1283*AW1283*in_shop_ticket*in_shop_comm*in_ins_partner_share+F1283*in_shop_ticket*in_shop_renew_comm*in_ins_partner_share*(in_shop_renew^1*SUMIFS(AW1271:AW1303,B1271:B1303,B1283-12)+in_shop_renew^2*SUMIFS(AW1271:AW1303,B1271:B1303,B1283-24)+in_shop_renew^3*SUMIFS(AW1271:AW1303,B1271:B1303,B1283-36)+in_shop_renew^4*SUMIFS(AW1271:AW1303,B1271:B1303,B1283-48))</f>
        <v/>
      </c>
      <c r="AY1283" s="40">
        <f>AY1282*(1-IF(B1282&gt;=in_marketplace_from,d_hz_sip*G1282,0))</f>
        <v/>
      </c>
      <c r="AZ1283" s="40">
        <f>AZ1282*d_rho_sip+AY1283*IF(B1283&gt;=in_marketplace_from,d_hz_sip*G1283,0)</f>
        <v/>
      </c>
      <c r="BA1283" s="40">
        <f>d_rho_sip*(BA1282+AZ1282)</f>
        <v/>
      </c>
      <c r="BB1283" s="14">
        <f>F1283*in_sip_ticket*(BA1283+0.5*AZ1283)*in_sip_comm/12</f>
        <v/>
      </c>
      <c r="BC1283" s="40">
        <f>BC1282*(1-IF(B1282&gt;=in_marketplace_from,d_hz_choti*G1282,0))</f>
        <v/>
      </c>
      <c r="BD1283" s="46">
        <f>BC1283*IF(B1283&gt;=in_marketplace_from,d_hz_choti*G1283,0)</f>
        <v/>
      </c>
      <c r="BE1283" s="14">
        <f>F1283*SUMIFS(BD1271:BD1303,B1271:B1303,B1283-in_choti_months)*in_choti_renew*in_choti_ticket</f>
        <v/>
      </c>
      <c r="BF1283" s="40">
        <f>BF1282*(1-IF(B1282&gt;=in_marketplace_from,d_hz_nps*G1282,0))</f>
        <v/>
      </c>
      <c r="BG1283" s="14">
        <f>F1283*BF1283*IF(B1283&gt;=in_marketplace_from,d_hz_nps*G1283,0)*in_nps_ticket*in_nps_comm</f>
        <v/>
      </c>
      <c r="BH1283" s="40">
        <f>BH1282*(1-IF(B1282&gt;=in_marketplace_from,d_hz_gold*G1282,0))</f>
        <v/>
      </c>
      <c r="BI1283" s="40">
        <f>BI1282*d_rho_gold+BH1283*IF(B1283&gt;=in_marketplace_from,d_hz_gold*G1283,0)</f>
        <v/>
      </c>
      <c r="BJ1283" s="14">
        <f>F1283*BI1283*in_gold_ticket*in_gold_comm</f>
        <v/>
      </c>
      <c r="BK1283" s="40">
        <f>BK1282*(1-IF(B1282&gt;=in_marketplace_from,d_hz_fd*G1282,0))</f>
        <v/>
      </c>
      <c r="BL1283" s="14">
        <f>F1283*BK1283*IF(B1283&gt;=in_marketplace_from,d_hz_fd*G1283,0)*in_fd_ticket*in_fd_comm</f>
        <v/>
      </c>
      <c r="BM1283" s="40">
        <f>BM1282*(1-IF(B1282&gt;=in_marketplace_from,d_hz_recharge*G1282,0))</f>
        <v/>
      </c>
      <c r="BN1283" s="40">
        <f>BN1282*d_rho_recharge+BM1283*IF(B1283&gt;=in_marketplace_from,d_hz_recharge*G1283,0)</f>
        <v/>
      </c>
      <c r="BO1283" s="14">
        <f>F1283*BN1283*in_recharge_ticket*in_recharge_comm/12</f>
        <v/>
      </c>
      <c r="BP1283" s="40">
        <f>BP1282*(1-IF(B1282&gt;=in_marketplace_from,d_hz_bills*G1282,0))</f>
        <v/>
      </c>
      <c r="BQ1283" s="40">
        <f>BQ1282*d_rho_bills+BP1283*IF(B1283&gt;=in_marketplace_from,d_hz_bills*G1283,0)</f>
        <v/>
      </c>
      <c r="BR1283" s="14">
        <f>F1283*BQ1283*in_bills_ticket*in_bills_comm/12</f>
        <v/>
      </c>
      <c r="BS1283" s="40">
        <f>BS1282*(1-IF(B1282&gt;=in_marketplace_from,d_hz_loan_gold*G1282,0))</f>
        <v/>
      </c>
      <c r="BT1283" s="14">
        <f>F1283*BS1283*IF(B1283&gt;=in_marketplace_from,d_hz_loan_gold*G1283,0)*in_loan_gold_ticket*in_loan_gold_comm</f>
        <v/>
      </c>
      <c r="BU1283" s="40">
        <f>BU1282*(1-IF(B1282&gt;=in_marketplace_from,d_hz_loan_cd*G1282,0))</f>
        <v/>
      </c>
      <c r="BV1283" s="14">
        <f>F1283*BU1283*IF(B1283&gt;=in_marketplace_from,d_hz_loan_cd*G1283,0)*in_loan_cd_ticket*in_loan_cd_comm</f>
        <v/>
      </c>
      <c r="BW1283" s="40">
        <f>BW1282*(1-IF(B1282&gt;=in_marketplace_from,d_hz_loan_vehicle*G1282,0))</f>
        <v/>
      </c>
      <c r="BX1283" s="14">
        <f>F1283*BW1283*IF(B1283&gt;=in_marketplace_from,d_hz_loan_vehicle*G1283,0)*in_loan_vehicle_ticket*in_loan_vehicle_comm</f>
        <v/>
      </c>
      <c r="BY1283" s="40">
        <f>BY1282*(1-IF(B1282&gt;=in_marketplace_from,d_hz_loan_home*G1282,0)*BZ1282)</f>
        <v/>
      </c>
      <c r="BZ1283" s="11">
        <f>MIN(in_approval_cap,in_loan_home_approval*INDEX('Age profile'!$O$2:$O$61,B1283)*(1+in_approval_growth)^(D1283-1))</f>
        <v/>
      </c>
      <c r="CA1283" s="14">
        <f>F1283*BY1283*IF(B1283&gt;=in_marketplace_from,d_hz_loan_home*G1283,0)*BZ1283*in_loan_home_ticket*in_loan_home_comm</f>
        <v/>
      </c>
      <c r="CB1283" s="40">
        <f>CB1282*(1-IF(B1282&gt;=in_marketplace_from,d_hz_loan_lap*G1282,0)*CC1282)</f>
        <v/>
      </c>
      <c r="CC1283" s="11">
        <f>MIN(in_approval_cap,in_loan_lap_approval*INDEX('Age profile'!$O$2:$O$61,B1283)*(1+in_approval_growth)^(D1283-1))</f>
        <v/>
      </c>
      <c r="CD1283" s="14">
        <f>F1283*CB1283*IF(B1283&gt;=in_marketplace_from,d_hz_loan_lap*G1283,0)*CC1283*in_loan_lap_ticket*in_loan_lap_comm</f>
        <v/>
      </c>
      <c r="CE1283" s="14">
        <f>AA1283+AB1283+AC1283+AD1283+AG1283+AJ1283+AM1283+AP1283+AS1283+AU1283+AX1283+BB1283+BE1283+BG1283+BJ1283+BL1283+BO1283+BR1283+BT1283+BV1283+BX1283+CA1283+CD1283</f>
        <v/>
      </c>
    </row>
    <row r="1284">
      <c r="A1284" s="39" t="n">
        <v>28</v>
      </c>
      <c r="B1284" s="39" t="n">
        <v>14</v>
      </c>
      <c r="C1284" s="39">
        <f>A1284+B1284-1</f>
        <v/>
      </c>
      <c r="D1284" s="39">
        <f>INT((C1284-1)/12)+1</f>
        <v/>
      </c>
      <c r="E1284" s="44">
        <f>INDEX(Monthly!$B$2:$B$61,A1284)</f>
        <v/>
      </c>
      <c r="F1284" s="44">
        <f>E1284*INDEX('Age profile'!$B$2:$B$61,B1284)</f>
        <v/>
      </c>
      <c r="G1284" s="45">
        <f>MIN(in_takeup_cap,INDEX('Age profile'!$N$2:$N$61,B1284)*(1+in_takeup_growth)^(D1284-1))</f>
        <v/>
      </c>
      <c r="H1284" s="11">
        <f>MIN(in_approval_cap,in_approved_first*INDEX('Age profile'!$O$2:$O$61,B1284)*(1+in_approval_growth)^(D1284-1))</f>
        <v/>
      </c>
      <c r="I1284" s="45">
        <f>G1284*MIN(in_takeup_cap,INDEX('Age profile'!$O$2:$O$61,B1284)*(1+in_approval_growth)^(D1284-1))</f>
        <v/>
      </c>
      <c r="J1284" s="40">
        <f>(J1283-L1283)*F1284/F1283</f>
        <v/>
      </c>
      <c r="K1284" s="40">
        <f>(K1283-M1283)*F1284/F1283+SUMIFS(O1271:O1283,B1271:B1283,B1284-1-d_T)*F1284</f>
        <v/>
      </c>
      <c r="L1284" s="40">
        <f>IF(B1284&gt;=in_marketplace_from,J1284*d_hz*G1284*in_eligible*H1284,0)</f>
        <v/>
      </c>
      <c r="M1284" s="40">
        <f>IF(B1284&gt;=in_marketplace_from,K1284*d_hz*G1284*in_eligible*in_approved_repeat,0)</f>
        <v/>
      </c>
      <c r="N1284" s="40">
        <f>L1284+M1284</f>
        <v/>
      </c>
      <c r="O1284" s="46">
        <f>N1284/F1284</f>
        <v/>
      </c>
      <c r="P1284" s="40">
        <f>F1284-J1284-K1284</f>
        <v/>
      </c>
      <c r="Q1284" s="40">
        <f>IF(B1284&gt;=in_marketplace_from,(J1284+K1284)*d_hz*G1284,0)</f>
        <v/>
      </c>
      <c r="R1284" s="40">
        <f>SUMIFS(N1271:N1303,B1271:B1303,"&gt;="&amp;(B1284-d_T),B1271:B1303,"&lt;="&amp;(B1284-1))</f>
        <v/>
      </c>
      <c r="S1284" s="46">
        <f>(1-d_u)*S1283+IF(d_T&gt;in_topup_lag,SUMIFS(O1271:O1303,B1271:B1303,B1284-in_topup_lag)-d_udrop*SUMIFS(O1271:O1303,B1271:B1303,B1284-d_T),0)</f>
        <v/>
      </c>
      <c r="T1284" s="40">
        <f>F1284*d_u*S1284</f>
        <v/>
      </c>
      <c r="U1284" s="9">
        <f>L1284*in_ticket+M1284*d_rep_ticket</f>
        <v/>
      </c>
      <c r="V1284" s="9">
        <f>U1284+T1284*d_topup_amt</f>
        <v/>
      </c>
      <c r="W1284" s="40">
        <f>N1284+T1284*d_topup_ratio</f>
        <v/>
      </c>
      <c r="X1284" s="40">
        <f>SUMIFS(W1271:W1303,B1271:B1303,B1284-in_dpd_lag)*d_cured</f>
        <v/>
      </c>
      <c r="Y1284" s="40">
        <f>SUMIFS(W1271:W1303,B1271:B1303,B1284-in_rec_lag)*d_recd</f>
        <v/>
      </c>
      <c r="Z1284" s="40">
        <f>IF(AND(B1284&gt;=in_marketplace_from,B1284&lt;in_marketplace_from+in_card_months),in_card_share/in_card_months*F1284*I1284,IF(AND(B1284&gt;=in_marketplace_from+in_card_months,B1284&lt;in_marketplace_from+2*in_card_months),in_card_share*d_card_rem/in_card_months*F1284*MIN(in_takeup_cap,(1+in_takeup_growth)^(D1284-1))*MIN(in_takeup_cap,(1+in_approval_growth)^(D1284-1)),0))</f>
        <v/>
      </c>
      <c r="AA1284" s="14">
        <f>V1284*in_fee*(1-in_taken_back)</f>
        <v/>
      </c>
      <c r="AB1284" s="14">
        <f>SUMIFS(W1271:W1303,B1271:B1303,B1284-in_dpd_lag)*d_dpd</f>
        <v/>
      </c>
      <c r="AC1284" s="14">
        <f>SUMIFS(W1271:W1303,B1271:B1303,B1284-in_rec_lag)*d_rec</f>
        <v/>
      </c>
      <c r="AD1284" s="14">
        <f>Z1284*in_card_fee</f>
        <v/>
      </c>
      <c r="AE1284" s="40">
        <f>AE1283*(1-IF(B1283&gt;=in_marketplace_from,d_hz_hlth_small*G1283,0))</f>
        <v/>
      </c>
      <c r="AF1284" s="46">
        <f>AE1284*IF(B1284&gt;=in_marketplace_from,d_hz_hlth_small*G1284,0)</f>
        <v/>
      </c>
      <c r="AG1284" s="14">
        <f>F1284*AF1284*in_hlth_small_ticket*in_hlth_small_comm*in_ins_partner_share+F1284*in_hlth_small_ticket*in_hlth_small_renew_comm*in_ins_partner_share*(in_hlth_small_renew^1*SUMIFS(AF1271:AF1303,B1271:B1303,B1284-12)+in_hlth_small_renew^2*SUMIFS(AF1271:AF1303,B1271:B1303,B1284-24)+in_hlth_small_renew^3*SUMIFS(AF1271:AF1303,B1271:B1303,B1284-36)+in_hlth_small_renew^4*SUMIFS(AF1271:AF1303,B1271:B1303,B1284-48))</f>
        <v/>
      </c>
      <c r="AH1284" s="40">
        <f>AH1283*(1-IF(B1283&gt;=in_marketplace_from,d_hz_hlth_family*G1283,0))</f>
        <v/>
      </c>
      <c r="AI1284" s="46">
        <f>AH1284*IF(B1284&gt;=in_marketplace_from,d_hz_hlth_family*G1284,0)</f>
        <v/>
      </c>
      <c r="AJ1284" s="14">
        <f>F1284*AI1284*in_hlth_family_ticket*in_hlth_family_comm*in_ins_partner_share+F1284*in_hlth_family_ticket*in_hlth_family_renew_comm*in_ins_partner_share*(in_hlth_family_renew^1*SUMIFS(AI1271:AI1303,B1271:B1303,B1284-12)+in_hlth_family_renew^2*SUMIFS(AI1271:AI1303,B1271:B1303,B1284-24)+in_hlth_family_renew^3*SUMIFS(AI1271:AI1303,B1271:B1303,B1284-36)+in_hlth_family_renew^4*SUMIFS(AI1271:AI1303,B1271:B1303,B1284-48))</f>
        <v/>
      </c>
      <c r="AK1284" s="40">
        <f>AK1283*(1-IF(B1283&gt;=in_marketplace_from,d_hz_life_term*G1283,0))</f>
        <v/>
      </c>
      <c r="AL1284" s="46">
        <f>AK1284*IF(B1284&gt;=in_marketplace_from,d_hz_life_term*G1284,0)</f>
        <v/>
      </c>
      <c r="AM1284" s="14">
        <f>F1284*AL1284*in_life_term_ticket*in_life_term_comm*in_ins_partner_share+F1284*in_life_term_ticket*in_life_term_renew_comm*in_ins_partner_share*(in_life_term_renew^1*SUMIFS(AL1271:AL1303,B1271:B1303,B1284-12)+in_life_term_renew^2*SUMIFS(AL1271:AL1303,B1271:B1303,B1284-24)+in_life_term_renew^3*SUMIFS(AL1271:AL1303,B1271:B1303,B1284-36)+in_life_term_renew^4*SUMIFS(AL1271:AL1303,B1271:B1303,B1284-48))</f>
        <v/>
      </c>
      <c r="AN1284" s="40">
        <f>AN1283*(1-IF(B1283&gt;=in_marketplace_from,d_hz_accident*G1283,0))</f>
        <v/>
      </c>
      <c r="AO1284" s="46">
        <f>AN1284*IF(B1284&gt;=in_marketplace_from,d_hz_accident*G1284,0)</f>
        <v/>
      </c>
      <c r="AP1284" s="14">
        <f>F1284*AO1284*in_accident_ticket*in_accident_comm*in_ins_partner_share+F1284*in_accident_ticket*in_accident_renew_comm*in_ins_partner_share*(in_accident_renew^1*SUMIFS(AO1271:AO1303,B1271:B1303,B1284-12)+in_accident_renew^2*SUMIFS(AO1271:AO1303,B1271:B1303,B1284-24)+in_accident_renew^3*SUMIFS(AO1271:AO1303,B1271:B1303,B1284-36)+in_accident_renew^4*SUMIFS(AO1271:AO1303,B1271:B1303,B1284-48))</f>
        <v/>
      </c>
      <c r="AQ1284" s="40">
        <f>AQ1283*(1-IF(B1283&gt;=in_marketplace_from,d_hz_two_wheeler*G1283,0))</f>
        <v/>
      </c>
      <c r="AR1284" s="46">
        <f>AQ1284*IF(B1284&gt;=in_marketplace_from,d_hz_two_wheeler*G1284,0)</f>
        <v/>
      </c>
      <c r="AS1284" s="14">
        <f>F1284*AR1284*in_two_wheeler_ticket*in_two_wheeler_comm*in_ins_partner_share+F1284*in_two_wheeler_ticket*in_two_wheeler_comm*in_ins_partner_share*(in_two_wheeler_renew^1*SUMIFS(AR1271:AR1303,B1271:B1303,B1284-12)+in_two_wheeler_renew^2*SUMIFS(AR1271:AR1303,B1271:B1303,B1284-24)+in_two_wheeler_renew^3*SUMIFS(AR1271:AR1303,B1271:B1303,B1284-36)+in_two_wheeler_renew^4*SUMIFS(AR1271:AR1303,B1271:B1303,B1284-48))</f>
        <v/>
      </c>
      <c r="AT1284" s="40">
        <f>AT1283*(1-IF(B1283&gt;=in_marketplace_from,d_hz_device*G1283,0))</f>
        <v/>
      </c>
      <c r="AU1284" s="14">
        <f>F1284*AT1284*IF(B1284&gt;=in_marketplace_from,d_hz_device*G1284,0)*in_device_ticket*in_device_comm*in_ins_partner_share</f>
        <v/>
      </c>
      <c r="AV1284" s="40">
        <f>AV1283*(1-IF(B1283&gt;=in_marketplace_from,d_hz_shop*G1283,0))</f>
        <v/>
      </c>
      <c r="AW1284" s="46">
        <f>AV1284*IF(B1284&gt;=in_marketplace_from,d_hz_shop*G1284,0)</f>
        <v/>
      </c>
      <c r="AX1284" s="14">
        <f>F1284*AW1284*in_shop_ticket*in_shop_comm*in_ins_partner_share+F1284*in_shop_ticket*in_shop_renew_comm*in_ins_partner_share*(in_shop_renew^1*SUMIFS(AW1271:AW1303,B1271:B1303,B1284-12)+in_shop_renew^2*SUMIFS(AW1271:AW1303,B1271:B1303,B1284-24)+in_shop_renew^3*SUMIFS(AW1271:AW1303,B1271:B1303,B1284-36)+in_shop_renew^4*SUMIFS(AW1271:AW1303,B1271:B1303,B1284-48))</f>
        <v/>
      </c>
      <c r="AY1284" s="40">
        <f>AY1283*(1-IF(B1283&gt;=in_marketplace_from,d_hz_sip*G1283,0))</f>
        <v/>
      </c>
      <c r="AZ1284" s="40">
        <f>AZ1283*d_rho_sip+AY1284*IF(B1284&gt;=in_marketplace_from,d_hz_sip*G1284,0)</f>
        <v/>
      </c>
      <c r="BA1284" s="40">
        <f>d_rho_sip*(BA1283+AZ1283)</f>
        <v/>
      </c>
      <c r="BB1284" s="14">
        <f>F1284*in_sip_ticket*(BA1284+0.5*AZ1284)*in_sip_comm/12</f>
        <v/>
      </c>
      <c r="BC1284" s="40">
        <f>BC1283*(1-IF(B1283&gt;=in_marketplace_from,d_hz_choti*G1283,0))</f>
        <v/>
      </c>
      <c r="BD1284" s="46">
        <f>BC1284*IF(B1284&gt;=in_marketplace_from,d_hz_choti*G1284,0)</f>
        <v/>
      </c>
      <c r="BE1284" s="14">
        <f>F1284*SUMIFS(BD1271:BD1303,B1271:B1303,B1284-in_choti_months)*in_choti_renew*in_choti_ticket</f>
        <v/>
      </c>
      <c r="BF1284" s="40">
        <f>BF1283*(1-IF(B1283&gt;=in_marketplace_from,d_hz_nps*G1283,0))</f>
        <v/>
      </c>
      <c r="BG1284" s="14">
        <f>F1284*BF1284*IF(B1284&gt;=in_marketplace_from,d_hz_nps*G1284,0)*in_nps_ticket*in_nps_comm</f>
        <v/>
      </c>
      <c r="BH1284" s="40">
        <f>BH1283*(1-IF(B1283&gt;=in_marketplace_from,d_hz_gold*G1283,0))</f>
        <v/>
      </c>
      <c r="BI1284" s="40">
        <f>BI1283*d_rho_gold+BH1284*IF(B1284&gt;=in_marketplace_from,d_hz_gold*G1284,0)</f>
        <v/>
      </c>
      <c r="BJ1284" s="14">
        <f>F1284*BI1284*in_gold_ticket*in_gold_comm</f>
        <v/>
      </c>
      <c r="BK1284" s="40">
        <f>BK1283*(1-IF(B1283&gt;=in_marketplace_from,d_hz_fd*G1283,0))</f>
        <v/>
      </c>
      <c r="BL1284" s="14">
        <f>F1284*BK1284*IF(B1284&gt;=in_marketplace_from,d_hz_fd*G1284,0)*in_fd_ticket*in_fd_comm</f>
        <v/>
      </c>
      <c r="BM1284" s="40">
        <f>BM1283*(1-IF(B1283&gt;=in_marketplace_from,d_hz_recharge*G1283,0))</f>
        <v/>
      </c>
      <c r="BN1284" s="40">
        <f>BN1283*d_rho_recharge+BM1284*IF(B1284&gt;=in_marketplace_from,d_hz_recharge*G1284,0)</f>
        <v/>
      </c>
      <c r="BO1284" s="14">
        <f>F1284*BN1284*in_recharge_ticket*in_recharge_comm/12</f>
        <v/>
      </c>
      <c r="BP1284" s="40">
        <f>BP1283*(1-IF(B1283&gt;=in_marketplace_from,d_hz_bills*G1283,0))</f>
        <v/>
      </c>
      <c r="BQ1284" s="40">
        <f>BQ1283*d_rho_bills+BP1284*IF(B1284&gt;=in_marketplace_from,d_hz_bills*G1284,0)</f>
        <v/>
      </c>
      <c r="BR1284" s="14">
        <f>F1284*BQ1284*in_bills_ticket*in_bills_comm/12</f>
        <v/>
      </c>
      <c r="BS1284" s="40">
        <f>BS1283*(1-IF(B1283&gt;=in_marketplace_from,d_hz_loan_gold*G1283,0))</f>
        <v/>
      </c>
      <c r="BT1284" s="14">
        <f>F1284*BS1284*IF(B1284&gt;=in_marketplace_from,d_hz_loan_gold*G1284,0)*in_loan_gold_ticket*in_loan_gold_comm</f>
        <v/>
      </c>
      <c r="BU1284" s="40">
        <f>BU1283*(1-IF(B1283&gt;=in_marketplace_from,d_hz_loan_cd*G1283,0))</f>
        <v/>
      </c>
      <c r="BV1284" s="14">
        <f>F1284*BU1284*IF(B1284&gt;=in_marketplace_from,d_hz_loan_cd*G1284,0)*in_loan_cd_ticket*in_loan_cd_comm</f>
        <v/>
      </c>
      <c r="BW1284" s="40">
        <f>BW1283*(1-IF(B1283&gt;=in_marketplace_from,d_hz_loan_vehicle*G1283,0))</f>
        <v/>
      </c>
      <c r="BX1284" s="14">
        <f>F1284*BW1284*IF(B1284&gt;=in_marketplace_from,d_hz_loan_vehicle*G1284,0)*in_loan_vehicle_ticket*in_loan_vehicle_comm</f>
        <v/>
      </c>
      <c r="BY1284" s="40">
        <f>BY1283*(1-IF(B1283&gt;=in_marketplace_from,d_hz_loan_home*G1283,0)*BZ1283)</f>
        <v/>
      </c>
      <c r="BZ1284" s="11">
        <f>MIN(in_approval_cap,in_loan_home_approval*INDEX('Age profile'!$O$2:$O$61,B1284)*(1+in_approval_growth)^(D1284-1))</f>
        <v/>
      </c>
      <c r="CA1284" s="14">
        <f>F1284*BY1284*IF(B1284&gt;=in_marketplace_from,d_hz_loan_home*G1284,0)*BZ1284*in_loan_home_ticket*in_loan_home_comm</f>
        <v/>
      </c>
      <c r="CB1284" s="40">
        <f>CB1283*(1-IF(B1283&gt;=in_marketplace_from,d_hz_loan_lap*G1283,0)*CC1283)</f>
        <v/>
      </c>
      <c r="CC1284" s="11">
        <f>MIN(in_approval_cap,in_loan_lap_approval*INDEX('Age profile'!$O$2:$O$61,B1284)*(1+in_approval_growth)^(D1284-1))</f>
        <v/>
      </c>
      <c r="CD1284" s="14">
        <f>F1284*CB1284*IF(B1284&gt;=in_marketplace_from,d_hz_loan_lap*G1284,0)*CC1284*in_loan_lap_ticket*in_loan_lap_comm</f>
        <v/>
      </c>
      <c r="CE1284" s="14">
        <f>AA1284+AB1284+AC1284+AD1284+AG1284+AJ1284+AM1284+AP1284+AS1284+AU1284+AX1284+BB1284+BE1284+BG1284+BJ1284+BL1284+BO1284+BR1284+BT1284+BV1284+BX1284+CA1284+CD1284</f>
        <v/>
      </c>
    </row>
    <row r="1285">
      <c r="A1285" s="39" t="n">
        <v>28</v>
      </c>
      <c r="B1285" s="39" t="n">
        <v>15</v>
      </c>
      <c r="C1285" s="39">
        <f>A1285+B1285-1</f>
        <v/>
      </c>
      <c r="D1285" s="39">
        <f>INT((C1285-1)/12)+1</f>
        <v/>
      </c>
      <c r="E1285" s="44">
        <f>INDEX(Monthly!$B$2:$B$61,A1285)</f>
        <v/>
      </c>
      <c r="F1285" s="44">
        <f>E1285*INDEX('Age profile'!$B$2:$B$61,B1285)</f>
        <v/>
      </c>
      <c r="G1285" s="45">
        <f>MIN(in_takeup_cap,INDEX('Age profile'!$N$2:$N$61,B1285)*(1+in_takeup_growth)^(D1285-1))</f>
        <v/>
      </c>
      <c r="H1285" s="11">
        <f>MIN(in_approval_cap,in_approved_first*INDEX('Age profile'!$O$2:$O$61,B1285)*(1+in_approval_growth)^(D1285-1))</f>
        <v/>
      </c>
      <c r="I1285" s="45">
        <f>G1285*MIN(in_takeup_cap,INDEX('Age profile'!$O$2:$O$61,B1285)*(1+in_approval_growth)^(D1285-1))</f>
        <v/>
      </c>
      <c r="J1285" s="40">
        <f>(J1284-L1284)*F1285/F1284</f>
        <v/>
      </c>
      <c r="K1285" s="40">
        <f>(K1284-M1284)*F1285/F1284+SUMIFS(O1271:O1284,B1271:B1284,B1285-1-d_T)*F1285</f>
        <v/>
      </c>
      <c r="L1285" s="40">
        <f>IF(B1285&gt;=in_marketplace_from,J1285*d_hz*G1285*in_eligible*H1285,0)</f>
        <v/>
      </c>
      <c r="M1285" s="40">
        <f>IF(B1285&gt;=in_marketplace_from,K1285*d_hz*G1285*in_eligible*in_approved_repeat,0)</f>
        <v/>
      </c>
      <c r="N1285" s="40">
        <f>L1285+M1285</f>
        <v/>
      </c>
      <c r="O1285" s="46">
        <f>N1285/F1285</f>
        <v/>
      </c>
      <c r="P1285" s="40">
        <f>F1285-J1285-K1285</f>
        <v/>
      </c>
      <c r="Q1285" s="40">
        <f>IF(B1285&gt;=in_marketplace_from,(J1285+K1285)*d_hz*G1285,0)</f>
        <v/>
      </c>
      <c r="R1285" s="40">
        <f>SUMIFS(N1271:N1303,B1271:B1303,"&gt;="&amp;(B1285-d_T),B1271:B1303,"&lt;="&amp;(B1285-1))</f>
        <v/>
      </c>
      <c r="S1285" s="46">
        <f>(1-d_u)*S1284+IF(d_T&gt;in_topup_lag,SUMIFS(O1271:O1303,B1271:B1303,B1285-in_topup_lag)-d_udrop*SUMIFS(O1271:O1303,B1271:B1303,B1285-d_T),0)</f>
        <v/>
      </c>
      <c r="T1285" s="40">
        <f>F1285*d_u*S1285</f>
        <v/>
      </c>
      <c r="U1285" s="9">
        <f>L1285*in_ticket+M1285*d_rep_ticket</f>
        <v/>
      </c>
      <c r="V1285" s="9">
        <f>U1285+T1285*d_topup_amt</f>
        <v/>
      </c>
      <c r="W1285" s="40">
        <f>N1285+T1285*d_topup_ratio</f>
        <v/>
      </c>
      <c r="X1285" s="40">
        <f>SUMIFS(W1271:W1303,B1271:B1303,B1285-in_dpd_lag)*d_cured</f>
        <v/>
      </c>
      <c r="Y1285" s="40">
        <f>SUMIFS(W1271:W1303,B1271:B1303,B1285-in_rec_lag)*d_recd</f>
        <v/>
      </c>
      <c r="Z1285" s="40">
        <f>IF(AND(B1285&gt;=in_marketplace_from,B1285&lt;in_marketplace_from+in_card_months),in_card_share/in_card_months*F1285*I1285,IF(AND(B1285&gt;=in_marketplace_from+in_card_months,B1285&lt;in_marketplace_from+2*in_card_months),in_card_share*d_card_rem/in_card_months*F1285*MIN(in_takeup_cap,(1+in_takeup_growth)^(D1285-1))*MIN(in_takeup_cap,(1+in_approval_growth)^(D1285-1)),0))</f>
        <v/>
      </c>
      <c r="AA1285" s="14">
        <f>V1285*in_fee*(1-in_taken_back)</f>
        <v/>
      </c>
      <c r="AB1285" s="14">
        <f>SUMIFS(W1271:W1303,B1271:B1303,B1285-in_dpd_lag)*d_dpd</f>
        <v/>
      </c>
      <c r="AC1285" s="14">
        <f>SUMIFS(W1271:W1303,B1271:B1303,B1285-in_rec_lag)*d_rec</f>
        <v/>
      </c>
      <c r="AD1285" s="14">
        <f>Z1285*in_card_fee</f>
        <v/>
      </c>
      <c r="AE1285" s="40">
        <f>AE1284*(1-IF(B1284&gt;=in_marketplace_from,d_hz_hlth_small*G1284,0))</f>
        <v/>
      </c>
      <c r="AF1285" s="46">
        <f>AE1285*IF(B1285&gt;=in_marketplace_from,d_hz_hlth_small*G1285,0)</f>
        <v/>
      </c>
      <c r="AG1285" s="14">
        <f>F1285*AF1285*in_hlth_small_ticket*in_hlth_small_comm*in_ins_partner_share+F1285*in_hlth_small_ticket*in_hlth_small_renew_comm*in_ins_partner_share*(in_hlth_small_renew^1*SUMIFS(AF1271:AF1303,B1271:B1303,B1285-12)+in_hlth_small_renew^2*SUMIFS(AF1271:AF1303,B1271:B1303,B1285-24)+in_hlth_small_renew^3*SUMIFS(AF1271:AF1303,B1271:B1303,B1285-36)+in_hlth_small_renew^4*SUMIFS(AF1271:AF1303,B1271:B1303,B1285-48))</f>
        <v/>
      </c>
      <c r="AH1285" s="40">
        <f>AH1284*(1-IF(B1284&gt;=in_marketplace_from,d_hz_hlth_family*G1284,0))</f>
        <v/>
      </c>
      <c r="AI1285" s="46">
        <f>AH1285*IF(B1285&gt;=in_marketplace_from,d_hz_hlth_family*G1285,0)</f>
        <v/>
      </c>
      <c r="AJ1285" s="14">
        <f>F1285*AI1285*in_hlth_family_ticket*in_hlth_family_comm*in_ins_partner_share+F1285*in_hlth_family_ticket*in_hlth_family_renew_comm*in_ins_partner_share*(in_hlth_family_renew^1*SUMIFS(AI1271:AI1303,B1271:B1303,B1285-12)+in_hlth_family_renew^2*SUMIFS(AI1271:AI1303,B1271:B1303,B1285-24)+in_hlth_family_renew^3*SUMIFS(AI1271:AI1303,B1271:B1303,B1285-36)+in_hlth_family_renew^4*SUMIFS(AI1271:AI1303,B1271:B1303,B1285-48))</f>
        <v/>
      </c>
      <c r="AK1285" s="40">
        <f>AK1284*(1-IF(B1284&gt;=in_marketplace_from,d_hz_life_term*G1284,0))</f>
        <v/>
      </c>
      <c r="AL1285" s="46">
        <f>AK1285*IF(B1285&gt;=in_marketplace_from,d_hz_life_term*G1285,0)</f>
        <v/>
      </c>
      <c r="AM1285" s="14">
        <f>F1285*AL1285*in_life_term_ticket*in_life_term_comm*in_ins_partner_share+F1285*in_life_term_ticket*in_life_term_renew_comm*in_ins_partner_share*(in_life_term_renew^1*SUMIFS(AL1271:AL1303,B1271:B1303,B1285-12)+in_life_term_renew^2*SUMIFS(AL1271:AL1303,B1271:B1303,B1285-24)+in_life_term_renew^3*SUMIFS(AL1271:AL1303,B1271:B1303,B1285-36)+in_life_term_renew^4*SUMIFS(AL1271:AL1303,B1271:B1303,B1285-48))</f>
        <v/>
      </c>
      <c r="AN1285" s="40">
        <f>AN1284*(1-IF(B1284&gt;=in_marketplace_from,d_hz_accident*G1284,0))</f>
        <v/>
      </c>
      <c r="AO1285" s="46">
        <f>AN1285*IF(B1285&gt;=in_marketplace_from,d_hz_accident*G1285,0)</f>
        <v/>
      </c>
      <c r="AP1285" s="14">
        <f>F1285*AO1285*in_accident_ticket*in_accident_comm*in_ins_partner_share+F1285*in_accident_ticket*in_accident_renew_comm*in_ins_partner_share*(in_accident_renew^1*SUMIFS(AO1271:AO1303,B1271:B1303,B1285-12)+in_accident_renew^2*SUMIFS(AO1271:AO1303,B1271:B1303,B1285-24)+in_accident_renew^3*SUMIFS(AO1271:AO1303,B1271:B1303,B1285-36)+in_accident_renew^4*SUMIFS(AO1271:AO1303,B1271:B1303,B1285-48))</f>
        <v/>
      </c>
      <c r="AQ1285" s="40">
        <f>AQ1284*(1-IF(B1284&gt;=in_marketplace_from,d_hz_two_wheeler*G1284,0))</f>
        <v/>
      </c>
      <c r="AR1285" s="46">
        <f>AQ1285*IF(B1285&gt;=in_marketplace_from,d_hz_two_wheeler*G1285,0)</f>
        <v/>
      </c>
      <c r="AS1285" s="14">
        <f>F1285*AR1285*in_two_wheeler_ticket*in_two_wheeler_comm*in_ins_partner_share+F1285*in_two_wheeler_ticket*in_two_wheeler_comm*in_ins_partner_share*(in_two_wheeler_renew^1*SUMIFS(AR1271:AR1303,B1271:B1303,B1285-12)+in_two_wheeler_renew^2*SUMIFS(AR1271:AR1303,B1271:B1303,B1285-24)+in_two_wheeler_renew^3*SUMIFS(AR1271:AR1303,B1271:B1303,B1285-36)+in_two_wheeler_renew^4*SUMIFS(AR1271:AR1303,B1271:B1303,B1285-48))</f>
        <v/>
      </c>
      <c r="AT1285" s="40">
        <f>AT1284*(1-IF(B1284&gt;=in_marketplace_from,d_hz_device*G1284,0))</f>
        <v/>
      </c>
      <c r="AU1285" s="14">
        <f>F1285*AT1285*IF(B1285&gt;=in_marketplace_from,d_hz_device*G1285,0)*in_device_ticket*in_device_comm*in_ins_partner_share</f>
        <v/>
      </c>
      <c r="AV1285" s="40">
        <f>AV1284*(1-IF(B1284&gt;=in_marketplace_from,d_hz_shop*G1284,0))</f>
        <v/>
      </c>
      <c r="AW1285" s="46">
        <f>AV1285*IF(B1285&gt;=in_marketplace_from,d_hz_shop*G1285,0)</f>
        <v/>
      </c>
      <c r="AX1285" s="14">
        <f>F1285*AW1285*in_shop_ticket*in_shop_comm*in_ins_partner_share+F1285*in_shop_ticket*in_shop_renew_comm*in_ins_partner_share*(in_shop_renew^1*SUMIFS(AW1271:AW1303,B1271:B1303,B1285-12)+in_shop_renew^2*SUMIFS(AW1271:AW1303,B1271:B1303,B1285-24)+in_shop_renew^3*SUMIFS(AW1271:AW1303,B1271:B1303,B1285-36)+in_shop_renew^4*SUMIFS(AW1271:AW1303,B1271:B1303,B1285-48))</f>
        <v/>
      </c>
      <c r="AY1285" s="40">
        <f>AY1284*(1-IF(B1284&gt;=in_marketplace_from,d_hz_sip*G1284,0))</f>
        <v/>
      </c>
      <c r="AZ1285" s="40">
        <f>AZ1284*d_rho_sip+AY1285*IF(B1285&gt;=in_marketplace_from,d_hz_sip*G1285,0)</f>
        <v/>
      </c>
      <c r="BA1285" s="40">
        <f>d_rho_sip*(BA1284+AZ1284)</f>
        <v/>
      </c>
      <c r="BB1285" s="14">
        <f>F1285*in_sip_ticket*(BA1285+0.5*AZ1285)*in_sip_comm/12</f>
        <v/>
      </c>
      <c r="BC1285" s="40">
        <f>BC1284*(1-IF(B1284&gt;=in_marketplace_from,d_hz_choti*G1284,0))</f>
        <v/>
      </c>
      <c r="BD1285" s="46">
        <f>BC1285*IF(B1285&gt;=in_marketplace_from,d_hz_choti*G1285,0)</f>
        <v/>
      </c>
      <c r="BE1285" s="14">
        <f>F1285*SUMIFS(BD1271:BD1303,B1271:B1303,B1285-in_choti_months)*in_choti_renew*in_choti_ticket</f>
        <v/>
      </c>
      <c r="BF1285" s="40">
        <f>BF1284*(1-IF(B1284&gt;=in_marketplace_from,d_hz_nps*G1284,0))</f>
        <v/>
      </c>
      <c r="BG1285" s="14">
        <f>F1285*BF1285*IF(B1285&gt;=in_marketplace_from,d_hz_nps*G1285,0)*in_nps_ticket*in_nps_comm</f>
        <v/>
      </c>
      <c r="BH1285" s="40">
        <f>BH1284*(1-IF(B1284&gt;=in_marketplace_from,d_hz_gold*G1284,0))</f>
        <v/>
      </c>
      <c r="BI1285" s="40">
        <f>BI1284*d_rho_gold+BH1285*IF(B1285&gt;=in_marketplace_from,d_hz_gold*G1285,0)</f>
        <v/>
      </c>
      <c r="BJ1285" s="14">
        <f>F1285*BI1285*in_gold_ticket*in_gold_comm</f>
        <v/>
      </c>
      <c r="BK1285" s="40">
        <f>BK1284*(1-IF(B1284&gt;=in_marketplace_from,d_hz_fd*G1284,0))</f>
        <v/>
      </c>
      <c r="BL1285" s="14">
        <f>F1285*BK1285*IF(B1285&gt;=in_marketplace_from,d_hz_fd*G1285,0)*in_fd_ticket*in_fd_comm</f>
        <v/>
      </c>
      <c r="BM1285" s="40">
        <f>BM1284*(1-IF(B1284&gt;=in_marketplace_from,d_hz_recharge*G1284,0))</f>
        <v/>
      </c>
      <c r="BN1285" s="40">
        <f>BN1284*d_rho_recharge+BM1285*IF(B1285&gt;=in_marketplace_from,d_hz_recharge*G1285,0)</f>
        <v/>
      </c>
      <c r="BO1285" s="14">
        <f>F1285*BN1285*in_recharge_ticket*in_recharge_comm/12</f>
        <v/>
      </c>
      <c r="BP1285" s="40">
        <f>BP1284*(1-IF(B1284&gt;=in_marketplace_from,d_hz_bills*G1284,0))</f>
        <v/>
      </c>
      <c r="BQ1285" s="40">
        <f>BQ1284*d_rho_bills+BP1285*IF(B1285&gt;=in_marketplace_from,d_hz_bills*G1285,0)</f>
        <v/>
      </c>
      <c r="BR1285" s="14">
        <f>F1285*BQ1285*in_bills_ticket*in_bills_comm/12</f>
        <v/>
      </c>
      <c r="BS1285" s="40">
        <f>BS1284*(1-IF(B1284&gt;=in_marketplace_from,d_hz_loan_gold*G1284,0))</f>
        <v/>
      </c>
      <c r="BT1285" s="14">
        <f>F1285*BS1285*IF(B1285&gt;=in_marketplace_from,d_hz_loan_gold*G1285,0)*in_loan_gold_ticket*in_loan_gold_comm</f>
        <v/>
      </c>
      <c r="BU1285" s="40">
        <f>BU1284*(1-IF(B1284&gt;=in_marketplace_from,d_hz_loan_cd*G1284,0))</f>
        <v/>
      </c>
      <c r="BV1285" s="14">
        <f>F1285*BU1285*IF(B1285&gt;=in_marketplace_from,d_hz_loan_cd*G1285,0)*in_loan_cd_ticket*in_loan_cd_comm</f>
        <v/>
      </c>
      <c r="BW1285" s="40">
        <f>BW1284*(1-IF(B1284&gt;=in_marketplace_from,d_hz_loan_vehicle*G1284,0))</f>
        <v/>
      </c>
      <c r="BX1285" s="14">
        <f>F1285*BW1285*IF(B1285&gt;=in_marketplace_from,d_hz_loan_vehicle*G1285,0)*in_loan_vehicle_ticket*in_loan_vehicle_comm</f>
        <v/>
      </c>
      <c r="BY1285" s="40">
        <f>BY1284*(1-IF(B1284&gt;=in_marketplace_from,d_hz_loan_home*G1284,0)*BZ1284)</f>
        <v/>
      </c>
      <c r="BZ1285" s="11">
        <f>MIN(in_approval_cap,in_loan_home_approval*INDEX('Age profile'!$O$2:$O$61,B1285)*(1+in_approval_growth)^(D1285-1))</f>
        <v/>
      </c>
      <c r="CA1285" s="14">
        <f>F1285*BY1285*IF(B1285&gt;=in_marketplace_from,d_hz_loan_home*G1285,0)*BZ1285*in_loan_home_ticket*in_loan_home_comm</f>
        <v/>
      </c>
      <c r="CB1285" s="40">
        <f>CB1284*(1-IF(B1284&gt;=in_marketplace_from,d_hz_loan_lap*G1284,0)*CC1284)</f>
        <v/>
      </c>
      <c r="CC1285" s="11">
        <f>MIN(in_approval_cap,in_loan_lap_approval*INDEX('Age profile'!$O$2:$O$61,B1285)*(1+in_approval_growth)^(D1285-1))</f>
        <v/>
      </c>
      <c r="CD1285" s="14">
        <f>F1285*CB1285*IF(B1285&gt;=in_marketplace_from,d_hz_loan_lap*G1285,0)*CC1285*in_loan_lap_ticket*in_loan_lap_comm</f>
        <v/>
      </c>
      <c r="CE1285" s="14">
        <f>AA1285+AB1285+AC1285+AD1285+AG1285+AJ1285+AM1285+AP1285+AS1285+AU1285+AX1285+BB1285+BE1285+BG1285+BJ1285+BL1285+BO1285+BR1285+BT1285+BV1285+BX1285+CA1285+CD1285</f>
        <v/>
      </c>
    </row>
    <row r="1286">
      <c r="A1286" s="39" t="n">
        <v>28</v>
      </c>
      <c r="B1286" s="39" t="n">
        <v>16</v>
      </c>
      <c r="C1286" s="39">
        <f>A1286+B1286-1</f>
        <v/>
      </c>
      <c r="D1286" s="39">
        <f>INT((C1286-1)/12)+1</f>
        <v/>
      </c>
      <c r="E1286" s="44">
        <f>INDEX(Monthly!$B$2:$B$61,A1286)</f>
        <v/>
      </c>
      <c r="F1286" s="44">
        <f>E1286*INDEX('Age profile'!$B$2:$B$61,B1286)</f>
        <v/>
      </c>
      <c r="G1286" s="45">
        <f>MIN(in_takeup_cap,INDEX('Age profile'!$N$2:$N$61,B1286)*(1+in_takeup_growth)^(D1286-1))</f>
        <v/>
      </c>
      <c r="H1286" s="11">
        <f>MIN(in_approval_cap,in_approved_first*INDEX('Age profile'!$O$2:$O$61,B1286)*(1+in_approval_growth)^(D1286-1))</f>
        <v/>
      </c>
      <c r="I1286" s="45">
        <f>G1286*MIN(in_takeup_cap,INDEX('Age profile'!$O$2:$O$61,B1286)*(1+in_approval_growth)^(D1286-1))</f>
        <v/>
      </c>
      <c r="J1286" s="40">
        <f>(J1285-L1285)*F1286/F1285</f>
        <v/>
      </c>
      <c r="K1286" s="40">
        <f>(K1285-M1285)*F1286/F1285+SUMIFS(O1271:O1285,B1271:B1285,B1286-1-d_T)*F1286</f>
        <v/>
      </c>
      <c r="L1286" s="40">
        <f>IF(B1286&gt;=in_marketplace_from,J1286*d_hz*G1286*in_eligible*H1286,0)</f>
        <v/>
      </c>
      <c r="M1286" s="40">
        <f>IF(B1286&gt;=in_marketplace_from,K1286*d_hz*G1286*in_eligible*in_approved_repeat,0)</f>
        <v/>
      </c>
      <c r="N1286" s="40">
        <f>L1286+M1286</f>
        <v/>
      </c>
      <c r="O1286" s="46">
        <f>N1286/F1286</f>
        <v/>
      </c>
      <c r="P1286" s="40">
        <f>F1286-J1286-K1286</f>
        <v/>
      </c>
      <c r="Q1286" s="40">
        <f>IF(B1286&gt;=in_marketplace_from,(J1286+K1286)*d_hz*G1286,0)</f>
        <v/>
      </c>
      <c r="R1286" s="40">
        <f>SUMIFS(N1271:N1303,B1271:B1303,"&gt;="&amp;(B1286-d_T),B1271:B1303,"&lt;="&amp;(B1286-1))</f>
        <v/>
      </c>
      <c r="S1286" s="46">
        <f>(1-d_u)*S1285+IF(d_T&gt;in_topup_lag,SUMIFS(O1271:O1303,B1271:B1303,B1286-in_topup_lag)-d_udrop*SUMIFS(O1271:O1303,B1271:B1303,B1286-d_T),0)</f>
        <v/>
      </c>
      <c r="T1286" s="40">
        <f>F1286*d_u*S1286</f>
        <v/>
      </c>
      <c r="U1286" s="9">
        <f>L1286*in_ticket+M1286*d_rep_ticket</f>
        <v/>
      </c>
      <c r="V1286" s="9">
        <f>U1286+T1286*d_topup_amt</f>
        <v/>
      </c>
      <c r="W1286" s="40">
        <f>N1286+T1286*d_topup_ratio</f>
        <v/>
      </c>
      <c r="X1286" s="40">
        <f>SUMIFS(W1271:W1303,B1271:B1303,B1286-in_dpd_lag)*d_cured</f>
        <v/>
      </c>
      <c r="Y1286" s="40">
        <f>SUMIFS(W1271:W1303,B1271:B1303,B1286-in_rec_lag)*d_recd</f>
        <v/>
      </c>
      <c r="Z1286" s="40">
        <f>IF(AND(B1286&gt;=in_marketplace_from,B1286&lt;in_marketplace_from+in_card_months),in_card_share/in_card_months*F1286*I1286,IF(AND(B1286&gt;=in_marketplace_from+in_card_months,B1286&lt;in_marketplace_from+2*in_card_months),in_card_share*d_card_rem/in_card_months*F1286*MIN(in_takeup_cap,(1+in_takeup_growth)^(D1286-1))*MIN(in_takeup_cap,(1+in_approval_growth)^(D1286-1)),0))</f>
        <v/>
      </c>
      <c r="AA1286" s="14">
        <f>V1286*in_fee*(1-in_taken_back)</f>
        <v/>
      </c>
      <c r="AB1286" s="14">
        <f>SUMIFS(W1271:W1303,B1271:B1303,B1286-in_dpd_lag)*d_dpd</f>
        <v/>
      </c>
      <c r="AC1286" s="14">
        <f>SUMIFS(W1271:W1303,B1271:B1303,B1286-in_rec_lag)*d_rec</f>
        <v/>
      </c>
      <c r="AD1286" s="14">
        <f>Z1286*in_card_fee</f>
        <v/>
      </c>
      <c r="AE1286" s="40">
        <f>AE1285*(1-IF(B1285&gt;=in_marketplace_from,d_hz_hlth_small*G1285,0))</f>
        <v/>
      </c>
      <c r="AF1286" s="46">
        <f>AE1286*IF(B1286&gt;=in_marketplace_from,d_hz_hlth_small*G1286,0)</f>
        <v/>
      </c>
      <c r="AG1286" s="14">
        <f>F1286*AF1286*in_hlth_small_ticket*in_hlth_small_comm*in_ins_partner_share+F1286*in_hlth_small_ticket*in_hlth_small_renew_comm*in_ins_partner_share*(in_hlth_small_renew^1*SUMIFS(AF1271:AF1303,B1271:B1303,B1286-12)+in_hlth_small_renew^2*SUMIFS(AF1271:AF1303,B1271:B1303,B1286-24)+in_hlth_small_renew^3*SUMIFS(AF1271:AF1303,B1271:B1303,B1286-36)+in_hlth_small_renew^4*SUMIFS(AF1271:AF1303,B1271:B1303,B1286-48))</f>
        <v/>
      </c>
      <c r="AH1286" s="40">
        <f>AH1285*(1-IF(B1285&gt;=in_marketplace_from,d_hz_hlth_family*G1285,0))</f>
        <v/>
      </c>
      <c r="AI1286" s="46">
        <f>AH1286*IF(B1286&gt;=in_marketplace_from,d_hz_hlth_family*G1286,0)</f>
        <v/>
      </c>
      <c r="AJ1286" s="14">
        <f>F1286*AI1286*in_hlth_family_ticket*in_hlth_family_comm*in_ins_partner_share+F1286*in_hlth_family_ticket*in_hlth_family_renew_comm*in_ins_partner_share*(in_hlth_family_renew^1*SUMIFS(AI1271:AI1303,B1271:B1303,B1286-12)+in_hlth_family_renew^2*SUMIFS(AI1271:AI1303,B1271:B1303,B1286-24)+in_hlth_family_renew^3*SUMIFS(AI1271:AI1303,B1271:B1303,B1286-36)+in_hlth_family_renew^4*SUMIFS(AI1271:AI1303,B1271:B1303,B1286-48))</f>
        <v/>
      </c>
      <c r="AK1286" s="40">
        <f>AK1285*(1-IF(B1285&gt;=in_marketplace_from,d_hz_life_term*G1285,0))</f>
        <v/>
      </c>
      <c r="AL1286" s="46">
        <f>AK1286*IF(B1286&gt;=in_marketplace_from,d_hz_life_term*G1286,0)</f>
        <v/>
      </c>
      <c r="AM1286" s="14">
        <f>F1286*AL1286*in_life_term_ticket*in_life_term_comm*in_ins_partner_share+F1286*in_life_term_ticket*in_life_term_renew_comm*in_ins_partner_share*(in_life_term_renew^1*SUMIFS(AL1271:AL1303,B1271:B1303,B1286-12)+in_life_term_renew^2*SUMIFS(AL1271:AL1303,B1271:B1303,B1286-24)+in_life_term_renew^3*SUMIFS(AL1271:AL1303,B1271:B1303,B1286-36)+in_life_term_renew^4*SUMIFS(AL1271:AL1303,B1271:B1303,B1286-48))</f>
        <v/>
      </c>
      <c r="AN1286" s="40">
        <f>AN1285*(1-IF(B1285&gt;=in_marketplace_from,d_hz_accident*G1285,0))</f>
        <v/>
      </c>
      <c r="AO1286" s="46">
        <f>AN1286*IF(B1286&gt;=in_marketplace_from,d_hz_accident*G1286,0)</f>
        <v/>
      </c>
      <c r="AP1286" s="14">
        <f>F1286*AO1286*in_accident_ticket*in_accident_comm*in_ins_partner_share+F1286*in_accident_ticket*in_accident_renew_comm*in_ins_partner_share*(in_accident_renew^1*SUMIFS(AO1271:AO1303,B1271:B1303,B1286-12)+in_accident_renew^2*SUMIFS(AO1271:AO1303,B1271:B1303,B1286-24)+in_accident_renew^3*SUMIFS(AO1271:AO1303,B1271:B1303,B1286-36)+in_accident_renew^4*SUMIFS(AO1271:AO1303,B1271:B1303,B1286-48))</f>
        <v/>
      </c>
      <c r="AQ1286" s="40">
        <f>AQ1285*(1-IF(B1285&gt;=in_marketplace_from,d_hz_two_wheeler*G1285,0))</f>
        <v/>
      </c>
      <c r="AR1286" s="46">
        <f>AQ1286*IF(B1286&gt;=in_marketplace_from,d_hz_two_wheeler*G1286,0)</f>
        <v/>
      </c>
      <c r="AS1286" s="14">
        <f>F1286*AR1286*in_two_wheeler_ticket*in_two_wheeler_comm*in_ins_partner_share+F1286*in_two_wheeler_ticket*in_two_wheeler_comm*in_ins_partner_share*(in_two_wheeler_renew^1*SUMIFS(AR1271:AR1303,B1271:B1303,B1286-12)+in_two_wheeler_renew^2*SUMIFS(AR1271:AR1303,B1271:B1303,B1286-24)+in_two_wheeler_renew^3*SUMIFS(AR1271:AR1303,B1271:B1303,B1286-36)+in_two_wheeler_renew^4*SUMIFS(AR1271:AR1303,B1271:B1303,B1286-48))</f>
        <v/>
      </c>
      <c r="AT1286" s="40">
        <f>AT1285*(1-IF(B1285&gt;=in_marketplace_from,d_hz_device*G1285,0))</f>
        <v/>
      </c>
      <c r="AU1286" s="14">
        <f>F1286*AT1286*IF(B1286&gt;=in_marketplace_from,d_hz_device*G1286,0)*in_device_ticket*in_device_comm*in_ins_partner_share</f>
        <v/>
      </c>
      <c r="AV1286" s="40">
        <f>AV1285*(1-IF(B1285&gt;=in_marketplace_from,d_hz_shop*G1285,0))</f>
        <v/>
      </c>
      <c r="AW1286" s="46">
        <f>AV1286*IF(B1286&gt;=in_marketplace_from,d_hz_shop*G1286,0)</f>
        <v/>
      </c>
      <c r="AX1286" s="14">
        <f>F1286*AW1286*in_shop_ticket*in_shop_comm*in_ins_partner_share+F1286*in_shop_ticket*in_shop_renew_comm*in_ins_partner_share*(in_shop_renew^1*SUMIFS(AW1271:AW1303,B1271:B1303,B1286-12)+in_shop_renew^2*SUMIFS(AW1271:AW1303,B1271:B1303,B1286-24)+in_shop_renew^3*SUMIFS(AW1271:AW1303,B1271:B1303,B1286-36)+in_shop_renew^4*SUMIFS(AW1271:AW1303,B1271:B1303,B1286-48))</f>
        <v/>
      </c>
      <c r="AY1286" s="40">
        <f>AY1285*(1-IF(B1285&gt;=in_marketplace_from,d_hz_sip*G1285,0))</f>
        <v/>
      </c>
      <c r="AZ1286" s="40">
        <f>AZ1285*d_rho_sip+AY1286*IF(B1286&gt;=in_marketplace_from,d_hz_sip*G1286,0)</f>
        <v/>
      </c>
      <c r="BA1286" s="40">
        <f>d_rho_sip*(BA1285+AZ1285)</f>
        <v/>
      </c>
      <c r="BB1286" s="14">
        <f>F1286*in_sip_ticket*(BA1286+0.5*AZ1286)*in_sip_comm/12</f>
        <v/>
      </c>
      <c r="BC1286" s="40">
        <f>BC1285*(1-IF(B1285&gt;=in_marketplace_from,d_hz_choti*G1285,0))</f>
        <v/>
      </c>
      <c r="BD1286" s="46">
        <f>BC1286*IF(B1286&gt;=in_marketplace_from,d_hz_choti*G1286,0)</f>
        <v/>
      </c>
      <c r="BE1286" s="14">
        <f>F1286*SUMIFS(BD1271:BD1303,B1271:B1303,B1286-in_choti_months)*in_choti_renew*in_choti_ticket</f>
        <v/>
      </c>
      <c r="BF1286" s="40">
        <f>BF1285*(1-IF(B1285&gt;=in_marketplace_from,d_hz_nps*G1285,0))</f>
        <v/>
      </c>
      <c r="BG1286" s="14">
        <f>F1286*BF1286*IF(B1286&gt;=in_marketplace_from,d_hz_nps*G1286,0)*in_nps_ticket*in_nps_comm</f>
        <v/>
      </c>
      <c r="BH1286" s="40">
        <f>BH1285*(1-IF(B1285&gt;=in_marketplace_from,d_hz_gold*G1285,0))</f>
        <v/>
      </c>
      <c r="BI1286" s="40">
        <f>BI1285*d_rho_gold+BH1286*IF(B1286&gt;=in_marketplace_from,d_hz_gold*G1286,0)</f>
        <v/>
      </c>
      <c r="BJ1286" s="14">
        <f>F1286*BI1286*in_gold_ticket*in_gold_comm</f>
        <v/>
      </c>
      <c r="BK1286" s="40">
        <f>BK1285*(1-IF(B1285&gt;=in_marketplace_from,d_hz_fd*G1285,0))</f>
        <v/>
      </c>
      <c r="BL1286" s="14">
        <f>F1286*BK1286*IF(B1286&gt;=in_marketplace_from,d_hz_fd*G1286,0)*in_fd_ticket*in_fd_comm</f>
        <v/>
      </c>
      <c r="BM1286" s="40">
        <f>BM1285*(1-IF(B1285&gt;=in_marketplace_from,d_hz_recharge*G1285,0))</f>
        <v/>
      </c>
      <c r="BN1286" s="40">
        <f>BN1285*d_rho_recharge+BM1286*IF(B1286&gt;=in_marketplace_from,d_hz_recharge*G1286,0)</f>
        <v/>
      </c>
      <c r="BO1286" s="14">
        <f>F1286*BN1286*in_recharge_ticket*in_recharge_comm/12</f>
        <v/>
      </c>
      <c r="BP1286" s="40">
        <f>BP1285*(1-IF(B1285&gt;=in_marketplace_from,d_hz_bills*G1285,0))</f>
        <v/>
      </c>
      <c r="BQ1286" s="40">
        <f>BQ1285*d_rho_bills+BP1286*IF(B1286&gt;=in_marketplace_from,d_hz_bills*G1286,0)</f>
        <v/>
      </c>
      <c r="BR1286" s="14">
        <f>F1286*BQ1286*in_bills_ticket*in_bills_comm/12</f>
        <v/>
      </c>
      <c r="BS1286" s="40">
        <f>BS1285*(1-IF(B1285&gt;=in_marketplace_from,d_hz_loan_gold*G1285,0))</f>
        <v/>
      </c>
      <c r="BT1286" s="14">
        <f>F1286*BS1286*IF(B1286&gt;=in_marketplace_from,d_hz_loan_gold*G1286,0)*in_loan_gold_ticket*in_loan_gold_comm</f>
        <v/>
      </c>
      <c r="BU1286" s="40">
        <f>BU1285*(1-IF(B1285&gt;=in_marketplace_from,d_hz_loan_cd*G1285,0))</f>
        <v/>
      </c>
      <c r="BV1286" s="14">
        <f>F1286*BU1286*IF(B1286&gt;=in_marketplace_from,d_hz_loan_cd*G1286,0)*in_loan_cd_ticket*in_loan_cd_comm</f>
        <v/>
      </c>
      <c r="BW1286" s="40">
        <f>BW1285*(1-IF(B1285&gt;=in_marketplace_from,d_hz_loan_vehicle*G1285,0))</f>
        <v/>
      </c>
      <c r="BX1286" s="14">
        <f>F1286*BW1286*IF(B1286&gt;=in_marketplace_from,d_hz_loan_vehicle*G1286,0)*in_loan_vehicle_ticket*in_loan_vehicle_comm</f>
        <v/>
      </c>
      <c r="BY1286" s="40">
        <f>BY1285*(1-IF(B1285&gt;=in_marketplace_from,d_hz_loan_home*G1285,0)*BZ1285)</f>
        <v/>
      </c>
      <c r="BZ1286" s="11">
        <f>MIN(in_approval_cap,in_loan_home_approval*INDEX('Age profile'!$O$2:$O$61,B1286)*(1+in_approval_growth)^(D1286-1))</f>
        <v/>
      </c>
      <c r="CA1286" s="14">
        <f>F1286*BY1286*IF(B1286&gt;=in_marketplace_from,d_hz_loan_home*G1286,0)*BZ1286*in_loan_home_ticket*in_loan_home_comm</f>
        <v/>
      </c>
      <c r="CB1286" s="40">
        <f>CB1285*(1-IF(B1285&gt;=in_marketplace_from,d_hz_loan_lap*G1285,0)*CC1285)</f>
        <v/>
      </c>
      <c r="CC1286" s="11">
        <f>MIN(in_approval_cap,in_loan_lap_approval*INDEX('Age profile'!$O$2:$O$61,B1286)*(1+in_approval_growth)^(D1286-1))</f>
        <v/>
      </c>
      <c r="CD1286" s="14">
        <f>F1286*CB1286*IF(B1286&gt;=in_marketplace_from,d_hz_loan_lap*G1286,0)*CC1286*in_loan_lap_ticket*in_loan_lap_comm</f>
        <v/>
      </c>
      <c r="CE1286" s="14">
        <f>AA1286+AB1286+AC1286+AD1286+AG1286+AJ1286+AM1286+AP1286+AS1286+AU1286+AX1286+BB1286+BE1286+BG1286+BJ1286+BL1286+BO1286+BR1286+BT1286+BV1286+BX1286+CA1286+CD1286</f>
        <v/>
      </c>
    </row>
    <row r="1287">
      <c r="A1287" s="39" t="n">
        <v>28</v>
      </c>
      <c r="B1287" s="39" t="n">
        <v>17</v>
      </c>
      <c r="C1287" s="39">
        <f>A1287+B1287-1</f>
        <v/>
      </c>
      <c r="D1287" s="39">
        <f>INT((C1287-1)/12)+1</f>
        <v/>
      </c>
      <c r="E1287" s="44">
        <f>INDEX(Monthly!$B$2:$B$61,A1287)</f>
        <v/>
      </c>
      <c r="F1287" s="44">
        <f>E1287*INDEX('Age profile'!$B$2:$B$61,B1287)</f>
        <v/>
      </c>
      <c r="G1287" s="45">
        <f>MIN(in_takeup_cap,INDEX('Age profile'!$N$2:$N$61,B1287)*(1+in_takeup_growth)^(D1287-1))</f>
        <v/>
      </c>
      <c r="H1287" s="11">
        <f>MIN(in_approval_cap,in_approved_first*INDEX('Age profile'!$O$2:$O$61,B1287)*(1+in_approval_growth)^(D1287-1))</f>
        <v/>
      </c>
      <c r="I1287" s="45">
        <f>G1287*MIN(in_takeup_cap,INDEX('Age profile'!$O$2:$O$61,B1287)*(1+in_approval_growth)^(D1287-1))</f>
        <v/>
      </c>
      <c r="J1287" s="40">
        <f>(J1286-L1286)*F1287/F1286</f>
        <v/>
      </c>
      <c r="K1287" s="40">
        <f>(K1286-M1286)*F1287/F1286+SUMIFS(O1271:O1286,B1271:B1286,B1287-1-d_T)*F1287</f>
        <v/>
      </c>
      <c r="L1287" s="40">
        <f>IF(B1287&gt;=in_marketplace_from,J1287*d_hz*G1287*in_eligible*H1287,0)</f>
        <v/>
      </c>
      <c r="M1287" s="40">
        <f>IF(B1287&gt;=in_marketplace_from,K1287*d_hz*G1287*in_eligible*in_approved_repeat,0)</f>
        <v/>
      </c>
      <c r="N1287" s="40">
        <f>L1287+M1287</f>
        <v/>
      </c>
      <c r="O1287" s="46">
        <f>N1287/F1287</f>
        <v/>
      </c>
      <c r="P1287" s="40">
        <f>F1287-J1287-K1287</f>
        <v/>
      </c>
      <c r="Q1287" s="40">
        <f>IF(B1287&gt;=in_marketplace_from,(J1287+K1287)*d_hz*G1287,0)</f>
        <v/>
      </c>
      <c r="R1287" s="40">
        <f>SUMIFS(N1271:N1303,B1271:B1303,"&gt;="&amp;(B1287-d_T),B1271:B1303,"&lt;="&amp;(B1287-1))</f>
        <v/>
      </c>
      <c r="S1287" s="46">
        <f>(1-d_u)*S1286+IF(d_T&gt;in_topup_lag,SUMIFS(O1271:O1303,B1271:B1303,B1287-in_topup_lag)-d_udrop*SUMIFS(O1271:O1303,B1271:B1303,B1287-d_T),0)</f>
        <v/>
      </c>
      <c r="T1287" s="40">
        <f>F1287*d_u*S1287</f>
        <v/>
      </c>
      <c r="U1287" s="9">
        <f>L1287*in_ticket+M1287*d_rep_ticket</f>
        <v/>
      </c>
      <c r="V1287" s="9">
        <f>U1287+T1287*d_topup_amt</f>
        <v/>
      </c>
      <c r="W1287" s="40">
        <f>N1287+T1287*d_topup_ratio</f>
        <v/>
      </c>
      <c r="X1287" s="40">
        <f>SUMIFS(W1271:W1303,B1271:B1303,B1287-in_dpd_lag)*d_cured</f>
        <v/>
      </c>
      <c r="Y1287" s="40">
        <f>SUMIFS(W1271:W1303,B1271:B1303,B1287-in_rec_lag)*d_recd</f>
        <v/>
      </c>
      <c r="Z1287" s="40">
        <f>IF(AND(B1287&gt;=in_marketplace_from,B1287&lt;in_marketplace_from+in_card_months),in_card_share/in_card_months*F1287*I1287,IF(AND(B1287&gt;=in_marketplace_from+in_card_months,B1287&lt;in_marketplace_from+2*in_card_months),in_card_share*d_card_rem/in_card_months*F1287*MIN(in_takeup_cap,(1+in_takeup_growth)^(D1287-1))*MIN(in_takeup_cap,(1+in_approval_growth)^(D1287-1)),0))</f>
        <v/>
      </c>
      <c r="AA1287" s="14">
        <f>V1287*in_fee*(1-in_taken_back)</f>
        <v/>
      </c>
      <c r="AB1287" s="14">
        <f>SUMIFS(W1271:W1303,B1271:B1303,B1287-in_dpd_lag)*d_dpd</f>
        <v/>
      </c>
      <c r="AC1287" s="14">
        <f>SUMIFS(W1271:W1303,B1271:B1303,B1287-in_rec_lag)*d_rec</f>
        <v/>
      </c>
      <c r="AD1287" s="14">
        <f>Z1287*in_card_fee</f>
        <v/>
      </c>
      <c r="AE1287" s="40">
        <f>AE1286*(1-IF(B1286&gt;=in_marketplace_from,d_hz_hlth_small*G1286,0))</f>
        <v/>
      </c>
      <c r="AF1287" s="46">
        <f>AE1287*IF(B1287&gt;=in_marketplace_from,d_hz_hlth_small*G1287,0)</f>
        <v/>
      </c>
      <c r="AG1287" s="14">
        <f>F1287*AF1287*in_hlth_small_ticket*in_hlth_small_comm*in_ins_partner_share+F1287*in_hlth_small_ticket*in_hlth_small_renew_comm*in_ins_partner_share*(in_hlth_small_renew^1*SUMIFS(AF1271:AF1303,B1271:B1303,B1287-12)+in_hlth_small_renew^2*SUMIFS(AF1271:AF1303,B1271:B1303,B1287-24)+in_hlth_small_renew^3*SUMIFS(AF1271:AF1303,B1271:B1303,B1287-36)+in_hlth_small_renew^4*SUMIFS(AF1271:AF1303,B1271:B1303,B1287-48))</f>
        <v/>
      </c>
      <c r="AH1287" s="40">
        <f>AH1286*(1-IF(B1286&gt;=in_marketplace_from,d_hz_hlth_family*G1286,0))</f>
        <v/>
      </c>
      <c r="AI1287" s="46">
        <f>AH1287*IF(B1287&gt;=in_marketplace_from,d_hz_hlth_family*G1287,0)</f>
        <v/>
      </c>
      <c r="AJ1287" s="14">
        <f>F1287*AI1287*in_hlth_family_ticket*in_hlth_family_comm*in_ins_partner_share+F1287*in_hlth_family_ticket*in_hlth_family_renew_comm*in_ins_partner_share*(in_hlth_family_renew^1*SUMIFS(AI1271:AI1303,B1271:B1303,B1287-12)+in_hlth_family_renew^2*SUMIFS(AI1271:AI1303,B1271:B1303,B1287-24)+in_hlth_family_renew^3*SUMIFS(AI1271:AI1303,B1271:B1303,B1287-36)+in_hlth_family_renew^4*SUMIFS(AI1271:AI1303,B1271:B1303,B1287-48))</f>
        <v/>
      </c>
      <c r="AK1287" s="40">
        <f>AK1286*(1-IF(B1286&gt;=in_marketplace_from,d_hz_life_term*G1286,0))</f>
        <v/>
      </c>
      <c r="AL1287" s="46">
        <f>AK1287*IF(B1287&gt;=in_marketplace_from,d_hz_life_term*G1287,0)</f>
        <v/>
      </c>
      <c r="AM1287" s="14">
        <f>F1287*AL1287*in_life_term_ticket*in_life_term_comm*in_ins_partner_share+F1287*in_life_term_ticket*in_life_term_renew_comm*in_ins_partner_share*(in_life_term_renew^1*SUMIFS(AL1271:AL1303,B1271:B1303,B1287-12)+in_life_term_renew^2*SUMIFS(AL1271:AL1303,B1271:B1303,B1287-24)+in_life_term_renew^3*SUMIFS(AL1271:AL1303,B1271:B1303,B1287-36)+in_life_term_renew^4*SUMIFS(AL1271:AL1303,B1271:B1303,B1287-48))</f>
        <v/>
      </c>
      <c r="AN1287" s="40">
        <f>AN1286*(1-IF(B1286&gt;=in_marketplace_from,d_hz_accident*G1286,0))</f>
        <v/>
      </c>
      <c r="AO1287" s="46">
        <f>AN1287*IF(B1287&gt;=in_marketplace_from,d_hz_accident*G1287,0)</f>
        <v/>
      </c>
      <c r="AP1287" s="14">
        <f>F1287*AO1287*in_accident_ticket*in_accident_comm*in_ins_partner_share+F1287*in_accident_ticket*in_accident_renew_comm*in_ins_partner_share*(in_accident_renew^1*SUMIFS(AO1271:AO1303,B1271:B1303,B1287-12)+in_accident_renew^2*SUMIFS(AO1271:AO1303,B1271:B1303,B1287-24)+in_accident_renew^3*SUMIFS(AO1271:AO1303,B1271:B1303,B1287-36)+in_accident_renew^4*SUMIFS(AO1271:AO1303,B1271:B1303,B1287-48))</f>
        <v/>
      </c>
      <c r="AQ1287" s="40">
        <f>AQ1286*(1-IF(B1286&gt;=in_marketplace_from,d_hz_two_wheeler*G1286,0))</f>
        <v/>
      </c>
      <c r="AR1287" s="46">
        <f>AQ1287*IF(B1287&gt;=in_marketplace_from,d_hz_two_wheeler*G1287,0)</f>
        <v/>
      </c>
      <c r="AS1287" s="14">
        <f>F1287*AR1287*in_two_wheeler_ticket*in_two_wheeler_comm*in_ins_partner_share+F1287*in_two_wheeler_ticket*in_two_wheeler_comm*in_ins_partner_share*(in_two_wheeler_renew^1*SUMIFS(AR1271:AR1303,B1271:B1303,B1287-12)+in_two_wheeler_renew^2*SUMIFS(AR1271:AR1303,B1271:B1303,B1287-24)+in_two_wheeler_renew^3*SUMIFS(AR1271:AR1303,B1271:B1303,B1287-36)+in_two_wheeler_renew^4*SUMIFS(AR1271:AR1303,B1271:B1303,B1287-48))</f>
        <v/>
      </c>
      <c r="AT1287" s="40">
        <f>AT1286*(1-IF(B1286&gt;=in_marketplace_from,d_hz_device*G1286,0))</f>
        <v/>
      </c>
      <c r="AU1287" s="14">
        <f>F1287*AT1287*IF(B1287&gt;=in_marketplace_from,d_hz_device*G1287,0)*in_device_ticket*in_device_comm*in_ins_partner_share</f>
        <v/>
      </c>
      <c r="AV1287" s="40">
        <f>AV1286*(1-IF(B1286&gt;=in_marketplace_from,d_hz_shop*G1286,0))</f>
        <v/>
      </c>
      <c r="AW1287" s="46">
        <f>AV1287*IF(B1287&gt;=in_marketplace_from,d_hz_shop*G1287,0)</f>
        <v/>
      </c>
      <c r="AX1287" s="14">
        <f>F1287*AW1287*in_shop_ticket*in_shop_comm*in_ins_partner_share+F1287*in_shop_ticket*in_shop_renew_comm*in_ins_partner_share*(in_shop_renew^1*SUMIFS(AW1271:AW1303,B1271:B1303,B1287-12)+in_shop_renew^2*SUMIFS(AW1271:AW1303,B1271:B1303,B1287-24)+in_shop_renew^3*SUMIFS(AW1271:AW1303,B1271:B1303,B1287-36)+in_shop_renew^4*SUMIFS(AW1271:AW1303,B1271:B1303,B1287-48))</f>
        <v/>
      </c>
      <c r="AY1287" s="40">
        <f>AY1286*(1-IF(B1286&gt;=in_marketplace_from,d_hz_sip*G1286,0))</f>
        <v/>
      </c>
      <c r="AZ1287" s="40">
        <f>AZ1286*d_rho_sip+AY1287*IF(B1287&gt;=in_marketplace_from,d_hz_sip*G1287,0)</f>
        <v/>
      </c>
      <c r="BA1287" s="40">
        <f>d_rho_sip*(BA1286+AZ1286)</f>
        <v/>
      </c>
      <c r="BB1287" s="14">
        <f>F1287*in_sip_ticket*(BA1287+0.5*AZ1287)*in_sip_comm/12</f>
        <v/>
      </c>
      <c r="BC1287" s="40">
        <f>BC1286*(1-IF(B1286&gt;=in_marketplace_from,d_hz_choti*G1286,0))</f>
        <v/>
      </c>
      <c r="BD1287" s="46">
        <f>BC1287*IF(B1287&gt;=in_marketplace_from,d_hz_choti*G1287,0)</f>
        <v/>
      </c>
      <c r="BE1287" s="14">
        <f>F1287*SUMIFS(BD1271:BD1303,B1271:B1303,B1287-in_choti_months)*in_choti_renew*in_choti_ticket</f>
        <v/>
      </c>
      <c r="BF1287" s="40">
        <f>BF1286*(1-IF(B1286&gt;=in_marketplace_from,d_hz_nps*G1286,0))</f>
        <v/>
      </c>
      <c r="BG1287" s="14">
        <f>F1287*BF1287*IF(B1287&gt;=in_marketplace_from,d_hz_nps*G1287,0)*in_nps_ticket*in_nps_comm</f>
        <v/>
      </c>
      <c r="BH1287" s="40">
        <f>BH1286*(1-IF(B1286&gt;=in_marketplace_from,d_hz_gold*G1286,0))</f>
        <v/>
      </c>
      <c r="BI1287" s="40">
        <f>BI1286*d_rho_gold+BH1287*IF(B1287&gt;=in_marketplace_from,d_hz_gold*G1287,0)</f>
        <v/>
      </c>
      <c r="BJ1287" s="14">
        <f>F1287*BI1287*in_gold_ticket*in_gold_comm</f>
        <v/>
      </c>
      <c r="BK1287" s="40">
        <f>BK1286*(1-IF(B1286&gt;=in_marketplace_from,d_hz_fd*G1286,0))</f>
        <v/>
      </c>
      <c r="BL1287" s="14">
        <f>F1287*BK1287*IF(B1287&gt;=in_marketplace_from,d_hz_fd*G1287,0)*in_fd_ticket*in_fd_comm</f>
        <v/>
      </c>
      <c r="BM1287" s="40">
        <f>BM1286*(1-IF(B1286&gt;=in_marketplace_from,d_hz_recharge*G1286,0))</f>
        <v/>
      </c>
      <c r="BN1287" s="40">
        <f>BN1286*d_rho_recharge+BM1287*IF(B1287&gt;=in_marketplace_from,d_hz_recharge*G1287,0)</f>
        <v/>
      </c>
      <c r="BO1287" s="14">
        <f>F1287*BN1287*in_recharge_ticket*in_recharge_comm/12</f>
        <v/>
      </c>
      <c r="BP1287" s="40">
        <f>BP1286*(1-IF(B1286&gt;=in_marketplace_from,d_hz_bills*G1286,0))</f>
        <v/>
      </c>
      <c r="BQ1287" s="40">
        <f>BQ1286*d_rho_bills+BP1287*IF(B1287&gt;=in_marketplace_from,d_hz_bills*G1287,0)</f>
        <v/>
      </c>
      <c r="BR1287" s="14">
        <f>F1287*BQ1287*in_bills_ticket*in_bills_comm/12</f>
        <v/>
      </c>
      <c r="BS1287" s="40">
        <f>BS1286*(1-IF(B1286&gt;=in_marketplace_from,d_hz_loan_gold*G1286,0))</f>
        <v/>
      </c>
      <c r="BT1287" s="14">
        <f>F1287*BS1287*IF(B1287&gt;=in_marketplace_from,d_hz_loan_gold*G1287,0)*in_loan_gold_ticket*in_loan_gold_comm</f>
        <v/>
      </c>
      <c r="BU1287" s="40">
        <f>BU1286*(1-IF(B1286&gt;=in_marketplace_from,d_hz_loan_cd*G1286,0))</f>
        <v/>
      </c>
      <c r="BV1287" s="14">
        <f>F1287*BU1287*IF(B1287&gt;=in_marketplace_from,d_hz_loan_cd*G1287,0)*in_loan_cd_ticket*in_loan_cd_comm</f>
        <v/>
      </c>
      <c r="BW1287" s="40">
        <f>BW1286*(1-IF(B1286&gt;=in_marketplace_from,d_hz_loan_vehicle*G1286,0))</f>
        <v/>
      </c>
      <c r="BX1287" s="14">
        <f>F1287*BW1287*IF(B1287&gt;=in_marketplace_from,d_hz_loan_vehicle*G1287,0)*in_loan_vehicle_ticket*in_loan_vehicle_comm</f>
        <v/>
      </c>
      <c r="BY1287" s="40">
        <f>BY1286*(1-IF(B1286&gt;=in_marketplace_from,d_hz_loan_home*G1286,0)*BZ1286)</f>
        <v/>
      </c>
      <c r="BZ1287" s="11">
        <f>MIN(in_approval_cap,in_loan_home_approval*INDEX('Age profile'!$O$2:$O$61,B1287)*(1+in_approval_growth)^(D1287-1))</f>
        <v/>
      </c>
      <c r="CA1287" s="14">
        <f>F1287*BY1287*IF(B1287&gt;=in_marketplace_from,d_hz_loan_home*G1287,0)*BZ1287*in_loan_home_ticket*in_loan_home_comm</f>
        <v/>
      </c>
      <c r="CB1287" s="40">
        <f>CB1286*(1-IF(B1286&gt;=in_marketplace_from,d_hz_loan_lap*G1286,0)*CC1286)</f>
        <v/>
      </c>
      <c r="CC1287" s="11">
        <f>MIN(in_approval_cap,in_loan_lap_approval*INDEX('Age profile'!$O$2:$O$61,B1287)*(1+in_approval_growth)^(D1287-1))</f>
        <v/>
      </c>
      <c r="CD1287" s="14">
        <f>F1287*CB1287*IF(B1287&gt;=in_marketplace_from,d_hz_loan_lap*G1287,0)*CC1287*in_loan_lap_ticket*in_loan_lap_comm</f>
        <v/>
      </c>
      <c r="CE1287" s="14">
        <f>AA1287+AB1287+AC1287+AD1287+AG1287+AJ1287+AM1287+AP1287+AS1287+AU1287+AX1287+BB1287+BE1287+BG1287+BJ1287+BL1287+BO1287+BR1287+BT1287+BV1287+BX1287+CA1287+CD1287</f>
        <v/>
      </c>
    </row>
    <row r="1288">
      <c r="A1288" s="39" t="n">
        <v>28</v>
      </c>
      <c r="B1288" s="39" t="n">
        <v>18</v>
      </c>
      <c r="C1288" s="39">
        <f>A1288+B1288-1</f>
        <v/>
      </c>
      <c r="D1288" s="39">
        <f>INT((C1288-1)/12)+1</f>
        <v/>
      </c>
      <c r="E1288" s="44">
        <f>INDEX(Monthly!$B$2:$B$61,A1288)</f>
        <v/>
      </c>
      <c r="F1288" s="44">
        <f>E1288*INDEX('Age profile'!$B$2:$B$61,B1288)</f>
        <v/>
      </c>
      <c r="G1288" s="45">
        <f>MIN(in_takeup_cap,INDEX('Age profile'!$N$2:$N$61,B1288)*(1+in_takeup_growth)^(D1288-1))</f>
        <v/>
      </c>
      <c r="H1288" s="11">
        <f>MIN(in_approval_cap,in_approved_first*INDEX('Age profile'!$O$2:$O$61,B1288)*(1+in_approval_growth)^(D1288-1))</f>
        <v/>
      </c>
      <c r="I1288" s="45">
        <f>G1288*MIN(in_takeup_cap,INDEX('Age profile'!$O$2:$O$61,B1288)*(1+in_approval_growth)^(D1288-1))</f>
        <v/>
      </c>
      <c r="J1288" s="40">
        <f>(J1287-L1287)*F1288/F1287</f>
        <v/>
      </c>
      <c r="K1288" s="40">
        <f>(K1287-M1287)*F1288/F1287+SUMIFS(O1271:O1287,B1271:B1287,B1288-1-d_T)*F1288</f>
        <v/>
      </c>
      <c r="L1288" s="40">
        <f>IF(B1288&gt;=in_marketplace_from,J1288*d_hz*G1288*in_eligible*H1288,0)</f>
        <v/>
      </c>
      <c r="M1288" s="40">
        <f>IF(B1288&gt;=in_marketplace_from,K1288*d_hz*G1288*in_eligible*in_approved_repeat,0)</f>
        <v/>
      </c>
      <c r="N1288" s="40">
        <f>L1288+M1288</f>
        <v/>
      </c>
      <c r="O1288" s="46">
        <f>N1288/F1288</f>
        <v/>
      </c>
      <c r="P1288" s="40">
        <f>F1288-J1288-K1288</f>
        <v/>
      </c>
      <c r="Q1288" s="40">
        <f>IF(B1288&gt;=in_marketplace_from,(J1288+K1288)*d_hz*G1288,0)</f>
        <v/>
      </c>
      <c r="R1288" s="40">
        <f>SUMIFS(N1271:N1303,B1271:B1303,"&gt;="&amp;(B1288-d_T),B1271:B1303,"&lt;="&amp;(B1288-1))</f>
        <v/>
      </c>
      <c r="S1288" s="46">
        <f>(1-d_u)*S1287+IF(d_T&gt;in_topup_lag,SUMIFS(O1271:O1303,B1271:B1303,B1288-in_topup_lag)-d_udrop*SUMIFS(O1271:O1303,B1271:B1303,B1288-d_T),0)</f>
        <v/>
      </c>
      <c r="T1288" s="40">
        <f>F1288*d_u*S1288</f>
        <v/>
      </c>
      <c r="U1288" s="9">
        <f>L1288*in_ticket+M1288*d_rep_ticket</f>
        <v/>
      </c>
      <c r="V1288" s="9">
        <f>U1288+T1288*d_topup_amt</f>
        <v/>
      </c>
      <c r="W1288" s="40">
        <f>N1288+T1288*d_topup_ratio</f>
        <v/>
      </c>
      <c r="X1288" s="40">
        <f>SUMIFS(W1271:W1303,B1271:B1303,B1288-in_dpd_lag)*d_cured</f>
        <v/>
      </c>
      <c r="Y1288" s="40">
        <f>SUMIFS(W1271:W1303,B1271:B1303,B1288-in_rec_lag)*d_recd</f>
        <v/>
      </c>
      <c r="Z1288" s="40">
        <f>IF(AND(B1288&gt;=in_marketplace_from,B1288&lt;in_marketplace_from+in_card_months),in_card_share/in_card_months*F1288*I1288,IF(AND(B1288&gt;=in_marketplace_from+in_card_months,B1288&lt;in_marketplace_from+2*in_card_months),in_card_share*d_card_rem/in_card_months*F1288*MIN(in_takeup_cap,(1+in_takeup_growth)^(D1288-1))*MIN(in_takeup_cap,(1+in_approval_growth)^(D1288-1)),0))</f>
        <v/>
      </c>
      <c r="AA1288" s="14">
        <f>V1288*in_fee*(1-in_taken_back)</f>
        <v/>
      </c>
      <c r="AB1288" s="14">
        <f>SUMIFS(W1271:W1303,B1271:B1303,B1288-in_dpd_lag)*d_dpd</f>
        <v/>
      </c>
      <c r="AC1288" s="14">
        <f>SUMIFS(W1271:W1303,B1271:B1303,B1288-in_rec_lag)*d_rec</f>
        <v/>
      </c>
      <c r="AD1288" s="14">
        <f>Z1288*in_card_fee</f>
        <v/>
      </c>
      <c r="AE1288" s="40">
        <f>AE1287*(1-IF(B1287&gt;=in_marketplace_from,d_hz_hlth_small*G1287,0))</f>
        <v/>
      </c>
      <c r="AF1288" s="46">
        <f>AE1288*IF(B1288&gt;=in_marketplace_from,d_hz_hlth_small*G1288,0)</f>
        <v/>
      </c>
      <c r="AG1288" s="14">
        <f>F1288*AF1288*in_hlth_small_ticket*in_hlth_small_comm*in_ins_partner_share+F1288*in_hlth_small_ticket*in_hlth_small_renew_comm*in_ins_partner_share*(in_hlth_small_renew^1*SUMIFS(AF1271:AF1303,B1271:B1303,B1288-12)+in_hlth_small_renew^2*SUMIFS(AF1271:AF1303,B1271:B1303,B1288-24)+in_hlth_small_renew^3*SUMIFS(AF1271:AF1303,B1271:B1303,B1288-36)+in_hlth_small_renew^4*SUMIFS(AF1271:AF1303,B1271:B1303,B1288-48))</f>
        <v/>
      </c>
      <c r="AH1288" s="40">
        <f>AH1287*(1-IF(B1287&gt;=in_marketplace_from,d_hz_hlth_family*G1287,0))</f>
        <v/>
      </c>
      <c r="AI1288" s="46">
        <f>AH1288*IF(B1288&gt;=in_marketplace_from,d_hz_hlth_family*G1288,0)</f>
        <v/>
      </c>
      <c r="AJ1288" s="14">
        <f>F1288*AI1288*in_hlth_family_ticket*in_hlth_family_comm*in_ins_partner_share+F1288*in_hlth_family_ticket*in_hlth_family_renew_comm*in_ins_partner_share*(in_hlth_family_renew^1*SUMIFS(AI1271:AI1303,B1271:B1303,B1288-12)+in_hlth_family_renew^2*SUMIFS(AI1271:AI1303,B1271:B1303,B1288-24)+in_hlth_family_renew^3*SUMIFS(AI1271:AI1303,B1271:B1303,B1288-36)+in_hlth_family_renew^4*SUMIFS(AI1271:AI1303,B1271:B1303,B1288-48))</f>
        <v/>
      </c>
      <c r="AK1288" s="40">
        <f>AK1287*(1-IF(B1287&gt;=in_marketplace_from,d_hz_life_term*G1287,0))</f>
        <v/>
      </c>
      <c r="AL1288" s="46">
        <f>AK1288*IF(B1288&gt;=in_marketplace_from,d_hz_life_term*G1288,0)</f>
        <v/>
      </c>
      <c r="AM1288" s="14">
        <f>F1288*AL1288*in_life_term_ticket*in_life_term_comm*in_ins_partner_share+F1288*in_life_term_ticket*in_life_term_renew_comm*in_ins_partner_share*(in_life_term_renew^1*SUMIFS(AL1271:AL1303,B1271:B1303,B1288-12)+in_life_term_renew^2*SUMIFS(AL1271:AL1303,B1271:B1303,B1288-24)+in_life_term_renew^3*SUMIFS(AL1271:AL1303,B1271:B1303,B1288-36)+in_life_term_renew^4*SUMIFS(AL1271:AL1303,B1271:B1303,B1288-48))</f>
        <v/>
      </c>
      <c r="AN1288" s="40">
        <f>AN1287*(1-IF(B1287&gt;=in_marketplace_from,d_hz_accident*G1287,0))</f>
        <v/>
      </c>
      <c r="AO1288" s="46">
        <f>AN1288*IF(B1288&gt;=in_marketplace_from,d_hz_accident*G1288,0)</f>
        <v/>
      </c>
      <c r="AP1288" s="14">
        <f>F1288*AO1288*in_accident_ticket*in_accident_comm*in_ins_partner_share+F1288*in_accident_ticket*in_accident_renew_comm*in_ins_partner_share*(in_accident_renew^1*SUMIFS(AO1271:AO1303,B1271:B1303,B1288-12)+in_accident_renew^2*SUMIFS(AO1271:AO1303,B1271:B1303,B1288-24)+in_accident_renew^3*SUMIFS(AO1271:AO1303,B1271:B1303,B1288-36)+in_accident_renew^4*SUMIFS(AO1271:AO1303,B1271:B1303,B1288-48))</f>
        <v/>
      </c>
      <c r="AQ1288" s="40">
        <f>AQ1287*(1-IF(B1287&gt;=in_marketplace_from,d_hz_two_wheeler*G1287,0))</f>
        <v/>
      </c>
      <c r="AR1288" s="46">
        <f>AQ1288*IF(B1288&gt;=in_marketplace_from,d_hz_two_wheeler*G1288,0)</f>
        <v/>
      </c>
      <c r="AS1288" s="14">
        <f>F1288*AR1288*in_two_wheeler_ticket*in_two_wheeler_comm*in_ins_partner_share+F1288*in_two_wheeler_ticket*in_two_wheeler_comm*in_ins_partner_share*(in_two_wheeler_renew^1*SUMIFS(AR1271:AR1303,B1271:B1303,B1288-12)+in_two_wheeler_renew^2*SUMIFS(AR1271:AR1303,B1271:B1303,B1288-24)+in_two_wheeler_renew^3*SUMIFS(AR1271:AR1303,B1271:B1303,B1288-36)+in_two_wheeler_renew^4*SUMIFS(AR1271:AR1303,B1271:B1303,B1288-48))</f>
        <v/>
      </c>
      <c r="AT1288" s="40">
        <f>AT1287*(1-IF(B1287&gt;=in_marketplace_from,d_hz_device*G1287,0))</f>
        <v/>
      </c>
      <c r="AU1288" s="14">
        <f>F1288*AT1288*IF(B1288&gt;=in_marketplace_from,d_hz_device*G1288,0)*in_device_ticket*in_device_comm*in_ins_partner_share</f>
        <v/>
      </c>
      <c r="AV1288" s="40">
        <f>AV1287*(1-IF(B1287&gt;=in_marketplace_from,d_hz_shop*G1287,0))</f>
        <v/>
      </c>
      <c r="AW1288" s="46">
        <f>AV1288*IF(B1288&gt;=in_marketplace_from,d_hz_shop*G1288,0)</f>
        <v/>
      </c>
      <c r="AX1288" s="14">
        <f>F1288*AW1288*in_shop_ticket*in_shop_comm*in_ins_partner_share+F1288*in_shop_ticket*in_shop_renew_comm*in_ins_partner_share*(in_shop_renew^1*SUMIFS(AW1271:AW1303,B1271:B1303,B1288-12)+in_shop_renew^2*SUMIFS(AW1271:AW1303,B1271:B1303,B1288-24)+in_shop_renew^3*SUMIFS(AW1271:AW1303,B1271:B1303,B1288-36)+in_shop_renew^4*SUMIFS(AW1271:AW1303,B1271:B1303,B1288-48))</f>
        <v/>
      </c>
      <c r="AY1288" s="40">
        <f>AY1287*(1-IF(B1287&gt;=in_marketplace_from,d_hz_sip*G1287,0))</f>
        <v/>
      </c>
      <c r="AZ1288" s="40">
        <f>AZ1287*d_rho_sip+AY1288*IF(B1288&gt;=in_marketplace_from,d_hz_sip*G1288,0)</f>
        <v/>
      </c>
      <c r="BA1288" s="40">
        <f>d_rho_sip*(BA1287+AZ1287)</f>
        <v/>
      </c>
      <c r="BB1288" s="14">
        <f>F1288*in_sip_ticket*(BA1288+0.5*AZ1288)*in_sip_comm/12</f>
        <v/>
      </c>
      <c r="BC1288" s="40">
        <f>BC1287*(1-IF(B1287&gt;=in_marketplace_from,d_hz_choti*G1287,0))</f>
        <v/>
      </c>
      <c r="BD1288" s="46">
        <f>BC1288*IF(B1288&gt;=in_marketplace_from,d_hz_choti*G1288,0)</f>
        <v/>
      </c>
      <c r="BE1288" s="14">
        <f>F1288*SUMIFS(BD1271:BD1303,B1271:B1303,B1288-in_choti_months)*in_choti_renew*in_choti_ticket</f>
        <v/>
      </c>
      <c r="BF1288" s="40">
        <f>BF1287*(1-IF(B1287&gt;=in_marketplace_from,d_hz_nps*G1287,0))</f>
        <v/>
      </c>
      <c r="BG1288" s="14">
        <f>F1288*BF1288*IF(B1288&gt;=in_marketplace_from,d_hz_nps*G1288,0)*in_nps_ticket*in_nps_comm</f>
        <v/>
      </c>
      <c r="BH1288" s="40">
        <f>BH1287*(1-IF(B1287&gt;=in_marketplace_from,d_hz_gold*G1287,0))</f>
        <v/>
      </c>
      <c r="BI1288" s="40">
        <f>BI1287*d_rho_gold+BH1288*IF(B1288&gt;=in_marketplace_from,d_hz_gold*G1288,0)</f>
        <v/>
      </c>
      <c r="BJ1288" s="14">
        <f>F1288*BI1288*in_gold_ticket*in_gold_comm</f>
        <v/>
      </c>
      <c r="BK1288" s="40">
        <f>BK1287*(1-IF(B1287&gt;=in_marketplace_from,d_hz_fd*G1287,0))</f>
        <v/>
      </c>
      <c r="BL1288" s="14">
        <f>F1288*BK1288*IF(B1288&gt;=in_marketplace_from,d_hz_fd*G1288,0)*in_fd_ticket*in_fd_comm</f>
        <v/>
      </c>
      <c r="BM1288" s="40">
        <f>BM1287*(1-IF(B1287&gt;=in_marketplace_from,d_hz_recharge*G1287,0))</f>
        <v/>
      </c>
      <c r="BN1288" s="40">
        <f>BN1287*d_rho_recharge+BM1288*IF(B1288&gt;=in_marketplace_from,d_hz_recharge*G1288,0)</f>
        <v/>
      </c>
      <c r="BO1288" s="14">
        <f>F1288*BN1288*in_recharge_ticket*in_recharge_comm/12</f>
        <v/>
      </c>
      <c r="BP1288" s="40">
        <f>BP1287*(1-IF(B1287&gt;=in_marketplace_from,d_hz_bills*G1287,0))</f>
        <v/>
      </c>
      <c r="BQ1288" s="40">
        <f>BQ1287*d_rho_bills+BP1288*IF(B1288&gt;=in_marketplace_from,d_hz_bills*G1288,0)</f>
        <v/>
      </c>
      <c r="BR1288" s="14">
        <f>F1288*BQ1288*in_bills_ticket*in_bills_comm/12</f>
        <v/>
      </c>
      <c r="BS1288" s="40">
        <f>BS1287*(1-IF(B1287&gt;=in_marketplace_from,d_hz_loan_gold*G1287,0))</f>
        <v/>
      </c>
      <c r="BT1288" s="14">
        <f>F1288*BS1288*IF(B1288&gt;=in_marketplace_from,d_hz_loan_gold*G1288,0)*in_loan_gold_ticket*in_loan_gold_comm</f>
        <v/>
      </c>
      <c r="BU1288" s="40">
        <f>BU1287*(1-IF(B1287&gt;=in_marketplace_from,d_hz_loan_cd*G1287,0))</f>
        <v/>
      </c>
      <c r="BV1288" s="14">
        <f>F1288*BU1288*IF(B1288&gt;=in_marketplace_from,d_hz_loan_cd*G1288,0)*in_loan_cd_ticket*in_loan_cd_comm</f>
        <v/>
      </c>
      <c r="BW1288" s="40">
        <f>BW1287*(1-IF(B1287&gt;=in_marketplace_from,d_hz_loan_vehicle*G1287,0))</f>
        <v/>
      </c>
      <c r="BX1288" s="14">
        <f>F1288*BW1288*IF(B1288&gt;=in_marketplace_from,d_hz_loan_vehicle*G1288,0)*in_loan_vehicle_ticket*in_loan_vehicle_comm</f>
        <v/>
      </c>
      <c r="BY1288" s="40">
        <f>BY1287*(1-IF(B1287&gt;=in_marketplace_from,d_hz_loan_home*G1287,0)*BZ1287)</f>
        <v/>
      </c>
      <c r="BZ1288" s="11">
        <f>MIN(in_approval_cap,in_loan_home_approval*INDEX('Age profile'!$O$2:$O$61,B1288)*(1+in_approval_growth)^(D1288-1))</f>
        <v/>
      </c>
      <c r="CA1288" s="14">
        <f>F1288*BY1288*IF(B1288&gt;=in_marketplace_from,d_hz_loan_home*G1288,0)*BZ1288*in_loan_home_ticket*in_loan_home_comm</f>
        <v/>
      </c>
      <c r="CB1288" s="40">
        <f>CB1287*(1-IF(B1287&gt;=in_marketplace_from,d_hz_loan_lap*G1287,0)*CC1287)</f>
        <v/>
      </c>
      <c r="CC1288" s="11">
        <f>MIN(in_approval_cap,in_loan_lap_approval*INDEX('Age profile'!$O$2:$O$61,B1288)*(1+in_approval_growth)^(D1288-1))</f>
        <v/>
      </c>
      <c r="CD1288" s="14">
        <f>F1288*CB1288*IF(B1288&gt;=in_marketplace_from,d_hz_loan_lap*G1288,0)*CC1288*in_loan_lap_ticket*in_loan_lap_comm</f>
        <v/>
      </c>
      <c r="CE1288" s="14">
        <f>AA1288+AB1288+AC1288+AD1288+AG1288+AJ1288+AM1288+AP1288+AS1288+AU1288+AX1288+BB1288+BE1288+BG1288+BJ1288+BL1288+BO1288+BR1288+BT1288+BV1288+BX1288+CA1288+CD1288</f>
        <v/>
      </c>
    </row>
    <row r="1289">
      <c r="A1289" s="39" t="n">
        <v>28</v>
      </c>
      <c r="B1289" s="39" t="n">
        <v>19</v>
      </c>
      <c r="C1289" s="39">
        <f>A1289+B1289-1</f>
        <v/>
      </c>
      <c r="D1289" s="39">
        <f>INT((C1289-1)/12)+1</f>
        <v/>
      </c>
      <c r="E1289" s="44">
        <f>INDEX(Monthly!$B$2:$B$61,A1289)</f>
        <v/>
      </c>
      <c r="F1289" s="44">
        <f>E1289*INDEX('Age profile'!$B$2:$B$61,B1289)</f>
        <v/>
      </c>
      <c r="G1289" s="45">
        <f>MIN(in_takeup_cap,INDEX('Age profile'!$N$2:$N$61,B1289)*(1+in_takeup_growth)^(D1289-1))</f>
        <v/>
      </c>
      <c r="H1289" s="11">
        <f>MIN(in_approval_cap,in_approved_first*INDEX('Age profile'!$O$2:$O$61,B1289)*(1+in_approval_growth)^(D1289-1))</f>
        <v/>
      </c>
      <c r="I1289" s="45">
        <f>G1289*MIN(in_takeup_cap,INDEX('Age profile'!$O$2:$O$61,B1289)*(1+in_approval_growth)^(D1289-1))</f>
        <v/>
      </c>
      <c r="J1289" s="40">
        <f>(J1288-L1288)*F1289/F1288</f>
        <v/>
      </c>
      <c r="K1289" s="40">
        <f>(K1288-M1288)*F1289/F1288+SUMIFS(O1271:O1288,B1271:B1288,B1289-1-d_T)*F1289</f>
        <v/>
      </c>
      <c r="L1289" s="40">
        <f>IF(B1289&gt;=in_marketplace_from,J1289*d_hz*G1289*in_eligible*H1289,0)</f>
        <v/>
      </c>
      <c r="M1289" s="40">
        <f>IF(B1289&gt;=in_marketplace_from,K1289*d_hz*G1289*in_eligible*in_approved_repeat,0)</f>
        <v/>
      </c>
      <c r="N1289" s="40">
        <f>L1289+M1289</f>
        <v/>
      </c>
      <c r="O1289" s="46">
        <f>N1289/F1289</f>
        <v/>
      </c>
      <c r="P1289" s="40">
        <f>F1289-J1289-K1289</f>
        <v/>
      </c>
      <c r="Q1289" s="40">
        <f>IF(B1289&gt;=in_marketplace_from,(J1289+K1289)*d_hz*G1289,0)</f>
        <v/>
      </c>
      <c r="R1289" s="40">
        <f>SUMIFS(N1271:N1303,B1271:B1303,"&gt;="&amp;(B1289-d_T),B1271:B1303,"&lt;="&amp;(B1289-1))</f>
        <v/>
      </c>
      <c r="S1289" s="46">
        <f>(1-d_u)*S1288+IF(d_T&gt;in_topup_lag,SUMIFS(O1271:O1303,B1271:B1303,B1289-in_topup_lag)-d_udrop*SUMIFS(O1271:O1303,B1271:B1303,B1289-d_T),0)</f>
        <v/>
      </c>
      <c r="T1289" s="40">
        <f>F1289*d_u*S1289</f>
        <v/>
      </c>
      <c r="U1289" s="9">
        <f>L1289*in_ticket+M1289*d_rep_ticket</f>
        <v/>
      </c>
      <c r="V1289" s="9">
        <f>U1289+T1289*d_topup_amt</f>
        <v/>
      </c>
      <c r="W1289" s="40">
        <f>N1289+T1289*d_topup_ratio</f>
        <v/>
      </c>
      <c r="X1289" s="40">
        <f>SUMIFS(W1271:W1303,B1271:B1303,B1289-in_dpd_lag)*d_cured</f>
        <v/>
      </c>
      <c r="Y1289" s="40">
        <f>SUMIFS(W1271:W1303,B1271:B1303,B1289-in_rec_lag)*d_recd</f>
        <v/>
      </c>
      <c r="Z1289" s="40">
        <f>IF(AND(B1289&gt;=in_marketplace_from,B1289&lt;in_marketplace_from+in_card_months),in_card_share/in_card_months*F1289*I1289,IF(AND(B1289&gt;=in_marketplace_from+in_card_months,B1289&lt;in_marketplace_from+2*in_card_months),in_card_share*d_card_rem/in_card_months*F1289*MIN(in_takeup_cap,(1+in_takeup_growth)^(D1289-1))*MIN(in_takeup_cap,(1+in_approval_growth)^(D1289-1)),0))</f>
        <v/>
      </c>
      <c r="AA1289" s="14">
        <f>V1289*in_fee*(1-in_taken_back)</f>
        <v/>
      </c>
      <c r="AB1289" s="14">
        <f>SUMIFS(W1271:W1303,B1271:B1303,B1289-in_dpd_lag)*d_dpd</f>
        <v/>
      </c>
      <c r="AC1289" s="14">
        <f>SUMIFS(W1271:W1303,B1271:B1303,B1289-in_rec_lag)*d_rec</f>
        <v/>
      </c>
      <c r="AD1289" s="14">
        <f>Z1289*in_card_fee</f>
        <v/>
      </c>
      <c r="AE1289" s="40">
        <f>AE1288*(1-IF(B1288&gt;=in_marketplace_from,d_hz_hlth_small*G1288,0))</f>
        <v/>
      </c>
      <c r="AF1289" s="46">
        <f>AE1289*IF(B1289&gt;=in_marketplace_from,d_hz_hlth_small*G1289,0)</f>
        <v/>
      </c>
      <c r="AG1289" s="14">
        <f>F1289*AF1289*in_hlth_small_ticket*in_hlth_small_comm*in_ins_partner_share+F1289*in_hlth_small_ticket*in_hlth_small_renew_comm*in_ins_partner_share*(in_hlth_small_renew^1*SUMIFS(AF1271:AF1303,B1271:B1303,B1289-12)+in_hlth_small_renew^2*SUMIFS(AF1271:AF1303,B1271:B1303,B1289-24)+in_hlth_small_renew^3*SUMIFS(AF1271:AF1303,B1271:B1303,B1289-36)+in_hlth_small_renew^4*SUMIFS(AF1271:AF1303,B1271:B1303,B1289-48))</f>
        <v/>
      </c>
      <c r="AH1289" s="40">
        <f>AH1288*(1-IF(B1288&gt;=in_marketplace_from,d_hz_hlth_family*G1288,0))</f>
        <v/>
      </c>
      <c r="AI1289" s="46">
        <f>AH1289*IF(B1289&gt;=in_marketplace_from,d_hz_hlth_family*G1289,0)</f>
        <v/>
      </c>
      <c r="AJ1289" s="14">
        <f>F1289*AI1289*in_hlth_family_ticket*in_hlth_family_comm*in_ins_partner_share+F1289*in_hlth_family_ticket*in_hlth_family_renew_comm*in_ins_partner_share*(in_hlth_family_renew^1*SUMIFS(AI1271:AI1303,B1271:B1303,B1289-12)+in_hlth_family_renew^2*SUMIFS(AI1271:AI1303,B1271:B1303,B1289-24)+in_hlth_family_renew^3*SUMIFS(AI1271:AI1303,B1271:B1303,B1289-36)+in_hlth_family_renew^4*SUMIFS(AI1271:AI1303,B1271:B1303,B1289-48))</f>
        <v/>
      </c>
      <c r="AK1289" s="40">
        <f>AK1288*(1-IF(B1288&gt;=in_marketplace_from,d_hz_life_term*G1288,0))</f>
        <v/>
      </c>
      <c r="AL1289" s="46">
        <f>AK1289*IF(B1289&gt;=in_marketplace_from,d_hz_life_term*G1289,0)</f>
        <v/>
      </c>
      <c r="AM1289" s="14">
        <f>F1289*AL1289*in_life_term_ticket*in_life_term_comm*in_ins_partner_share+F1289*in_life_term_ticket*in_life_term_renew_comm*in_ins_partner_share*(in_life_term_renew^1*SUMIFS(AL1271:AL1303,B1271:B1303,B1289-12)+in_life_term_renew^2*SUMIFS(AL1271:AL1303,B1271:B1303,B1289-24)+in_life_term_renew^3*SUMIFS(AL1271:AL1303,B1271:B1303,B1289-36)+in_life_term_renew^4*SUMIFS(AL1271:AL1303,B1271:B1303,B1289-48))</f>
        <v/>
      </c>
      <c r="AN1289" s="40">
        <f>AN1288*(1-IF(B1288&gt;=in_marketplace_from,d_hz_accident*G1288,0))</f>
        <v/>
      </c>
      <c r="AO1289" s="46">
        <f>AN1289*IF(B1289&gt;=in_marketplace_from,d_hz_accident*G1289,0)</f>
        <v/>
      </c>
      <c r="AP1289" s="14">
        <f>F1289*AO1289*in_accident_ticket*in_accident_comm*in_ins_partner_share+F1289*in_accident_ticket*in_accident_renew_comm*in_ins_partner_share*(in_accident_renew^1*SUMIFS(AO1271:AO1303,B1271:B1303,B1289-12)+in_accident_renew^2*SUMIFS(AO1271:AO1303,B1271:B1303,B1289-24)+in_accident_renew^3*SUMIFS(AO1271:AO1303,B1271:B1303,B1289-36)+in_accident_renew^4*SUMIFS(AO1271:AO1303,B1271:B1303,B1289-48))</f>
        <v/>
      </c>
      <c r="AQ1289" s="40">
        <f>AQ1288*(1-IF(B1288&gt;=in_marketplace_from,d_hz_two_wheeler*G1288,0))</f>
        <v/>
      </c>
      <c r="AR1289" s="46">
        <f>AQ1289*IF(B1289&gt;=in_marketplace_from,d_hz_two_wheeler*G1289,0)</f>
        <v/>
      </c>
      <c r="AS1289" s="14">
        <f>F1289*AR1289*in_two_wheeler_ticket*in_two_wheeler_comm*in_ins_partner_share+F1289*in_two_wheeler_ticket*in_two_wheeler_comm*in_ins_partner_share*(in_two_wheeler_renew^1*SUMIFS(AR1271:AR1303,B1271:B1303,B1289-12)+in_two_wheeler_renew^2*SUMIFS(AR1271:AR1303,B1271:B1303,B1289-24)+in_two_wheeler_renew^3*SUMIFS(AR1271:AR1303,B1271:B1303,B1289-36)+in_two_wheeler_renew^4*SUMIFS(AR1271:AR1303,B1271:B1303,B1289-48))</f>
        <v/>
      </c>
      <c r="AT1289" s="40">
        <f>AT1288*(1-IF(B1288&gt;=in_marketplace_from,d_hz_device*G1288,0))</f>
        <v/>
      </c>
      <c r="AU1289" s="14">
        <f>F1289*AT1289*IF(B1289&gt;=in_marketplace_from,d_hz_device*G1289,0)*in_device_ticket*in_device_comm*in_ins_partner_share</f>
        <v/>
      </c>
      <c r="AV1289" s="40">
        <f>AV1288*(1-IF(B1288&gt;=in_marketplace_from,d_hz_shop*G1288,0))</f>
        <v/>
      </c>
      <c r="AW1289" s="46">
        <f>AV1289*IF(B1289&gt;=in_marketplace_from,d_hz_shop*G1289,0)</f>
        <v/>
      </c>
      <c r="AX1289" s="14">
        <f>F1289*AW1289*in_shop_ticket*in_shop_comm*in_ins_partner_share+F1289*in_shop_ticket*in_shop_renew_comm*in_ins_partner_share*(in_shop_renew^1*SUMIFS(AW1271:AW1303,B1271:B1303,B1289-12)+in_shop_renew^2*SUMIFS(AW1271:AW1303,B1271:B1303,B1289-24)+in_shop_renew^3*SUMIFS(AW1271:AW1303,B1271:B1303,B1289-36)+in_shop_renew^4*SUMIFS(AW1271:AW1303,B1271:B1303,B1289-48))</f>
        <v/>
      </c>
      <c r="AY1289" s="40">
        <f>AY1288*(1-IF(B1288&gt;=in_marketplace_from,d_hz_sip*G1288,0))</f>
        <v/>
      </c>
      <c r="AZ1289" s="40">
        <f>AZ1288*d_rho_sip+AY1289*IF(B1289&gt;=in_marketplace_from,d_hz_sip*G1289,0)</f>
        <v/>
      </c>
      <c r="BA1289" s="40">
        <f>d_rho_sip*(BA1288+AZ1288)</f>
        <v/>
      </c>
      <c r="BB1289" s="14">
        <f>F1289*in_sip_ticket*(BA1289+0.5*AZ1289)*in_sip_comm/12</f>
        <v/>
      </c>
      <c r="BC1289" s="40">
        <f>BC1288*(1-IF(B1288&gt;=in_marketplace_from,d_hz_choti*G1288,0))</f>
        <v/>
      </c>
      <c r="BD1289" s="46">
        <f>BC1289*IF(B1289&gt;=in_marketplace_from,d_hz_choti*G1289,0)</f>
        <v/>
      </c>
      <c r="BE1289" s="14">
        <f>F1289*SUMIFS(BD1271:BD1303,B1271:B1303,B1289-in_choti_months)*in_choti_renew*in_choti_ticket</f>
        <v/>
      </c>
      <c r="BF1289" s="40">
        <f>BF1288*(1-IF(B1288&gt;=in_marketplace_from,d_hz_nps*G1288,0))</f>
        <v/>
      </c>
      <c r="BG1289" s="14">
        <f>F1289*BF1289*IF(B1289&gt;=in_marketplace_from,d_hz_nps*G1289,0)*in_nps_ticket*in_nps_comm</f>
        <v/>
      </c>
      <c r="BH1289" s="40">
        <f>BH1288*(1-IF(B1288&gt;=in_marketplace_from,d_hz_gold*G1288,0))</f>
        <v/>
      </c>
      <c r="BI1289" s="40">
        <f>BI1288*d_rho_gold+BH1289*IF(B1289&gt;=in_marketplace_from,d_hz_gold*G1289,0)</f>
        <v/>
      </c>
      <c r="BJ1289" s="14">
        <f>F1289*BI1289*in_gold_ticket*in_gold_comm</f>
        <v/>
      </c>
      <c r="BK1289" s="40">
        <f>BK1288*(1-IF(B1288&gt;=in_marketplace_from,d_hz_fd*G1288,0))</f>
        <v/>
      </c>
      <c r="BL1289" s="14">
        <f>F1289*BK1289*IF(B1289&gt;=in_marketplace_from,d_hz_fd*G1289,0)*in_fd_ticket*in_fd_comm</f>
        <v/>
      </c>
      <c r="BM1289" s="40">
        <f>BM1288*(1-IF(B1288&gt;=in_marketplace_from,d_hz_recharge*G1288,0))</f>
        <v/>
      </c>
      <c r="BN1289" s="40">
        <f>BN1288*d_rho_recharge+BM1289*IF(B1289&gt;=in_marketplace_from,d_hz_recharge*G1289,0)</f>
        <v/>
      </c>
      <c r="BO1289" s="14">
        <f>F1289*BN1289*in_recharge_ticket*in_recharge_comm/12</f>
        <v/>
      </c>
      <c r="BP1289" s="40">
        <f>BP1288*(1-IF(B1288&gt;=in_marketplace_from,d_hz_bills*G1288,0))</f>
        <v/>
      </c>
      <c r="BQ1289" s="40">
        <f>BQ1288*d_rho_bills+BP1289*IF(B1289&gt;=in_marketplace_from,d_hz_bills*G1289,0)</f>
        <v/>
      </c>
      <c r="BR1289" s="14">
        <f>F1289*BQ1289*in_bills_ticket*in_bills_comm/12</f>
        <v/>
      </c>
      <c r="BS1289" s="40">
        <f>BS1288*(1-IF(B1288&gt;=in_marketplace_from,d_hz_loan_gold*G1288,0))</f>
        <v/>
      </c>
      <c r="BT1289" s="14">
        <f>F1289*BS1289*IF(B1289&gt;=in_marketplace_from,d_hz_loan_gold*G1289,0)*in_loan_gold_ticket*in_loan_gold_comm</f>
        <v/>
      </c>
      <c r="BU1289" s="40">
        <f>BU1288*(1-IF(B1288&gt;=in_marketplace_from,d_hz_loan_cd*G1288,0))</f>
        <v/>
      </c>
      <c r="BV1289" s="14">
        <f>F1289*BU1289*IF(B1289&gt;=in_marketplace_from,d_hz_loan_cd*G1289,0)*in_loan_cd_ticket*in_loan_cd_comm</f>
        <v/>
      </c>
      <c r="BW1289" s="40">
        <f>BW1288*(1-IF(B1288&gt;=in_marketplace_from,d_hz_loan_vehicle*G1288,0))</f>
        <v/>
      </c>
      <c r="BX1289" s="14">
        <f>F1289*BW1289*IF(B1289&gt;=in_marketplace_from,d_hz_loan_vehicle*G1289,0)*in_loan_vehicle_ticket*in_loan_vehicle_comm</f>
        <v/>
      </c>
      <c r="BY1289" s="40">
        <f>BY1288*(1-IF(B1288&gt;=in_marketplace_from,d_hz_loan_home*G1288,0)*BZ1288)</f>
        <v/>
      </c>
      <c r="BZ1289" s="11">
        <f>MIN(in_approval_cap,in_loan_home_approval*INDEX('Age profile'!$O$2:$O$61,B1289)*(1+in_approval_growth)^(D1289-1))</f>
        <v/>
      </c>
      <c r="CA1289" s="14">
        <f>F1289*BY1289*IF(B1289&gt;=in_marketplace_from,d_hz_loan_home*G1289,0)*BZ1289*in_loan_home_ticket*in_loan_home_comm</f>
        <v/>
      </c>
      <c r="CB1289" s="40">
        <f>CB1288*(1-IF(B1288&gt;=in_marketplace_from,d_hz_loan_lap*G1288,0)*CC1288)</f>
        <v/>
      </c>
      <c r="CC1289" s="11">
        <f>MIN(in_approval_cap,in_loan_lap_approval*INDEX('Age profile'!$O$2:$O$61,B1289)*(1+in_approval_growth)^(D1289-1))</f>
        <v/>
      </c>
      <c r="CD1289" s="14">
        <f>F1289*CB1289*IF(B1289&gt;=in_marketplace_from,d_hz_loan_lap*G1289,0)*CC1289*in_loan_lap_ticket*in_loan_lap_comm</f>
        <v/>
      </c>
      <c r="CE1289" s="14">
        <f>AA1289+AB1289+AC1289+AD1289+AG1289+AJ1289+AM1289+AP1289+AS1289+AU1289+AX1289+BB1289+BE1289+BG1289+BJ1289+BL1289+BO1289+BR1289+BT1289+BV1289+BX1289+CA1289+CD1289</f>
        <v/>
      </c>
    </row>
    <row r="1290">
      <c r="A1290" s="39" t="n">
        <v>28</v>
      </c>
      <c r="B1290" s="39" t="n">
        <v>20</v>
      </c>
      <c r="C1290" s="39">
        <f>A1290+B1290-1</f>
        <v/>
      </c>
      <c r="D1290" s="39">
        <f>INT((C1290-1)/12)+1</f>
        <v/>
      </c>
      <c r="E1290" s="44">
        <f>INDEX(Monthly!$B$2:$B$61,A1290)</f>
        <v/>
      </c>
      <c r="F1290" s="44">
        <f>E1290*INDEX('Age profile'!$B$2:$B$61,B1290)</f>
        <v/>
      </c>
      <c r="G1290" s="45">
        <f>MIN(in_takeup_cap,INDEX('Age profile'!$N$2:$N$61,B1290)*(1+in_takeup_growth)^(D1290-1))</f>
        <v/>
      </c>
      <c r="H1290" s="11">
        <f>MIN(in_approval_cap,in_approved_first*INDEX('Age profile'!$O$2:$O$61,B1290)*(1+in_approval_growth)^(D1290-1))</f>
        <v/>
      </c>
      <c r="I1290" s="45">
        <f>G1290*MIN(in_takeup_cap,INDEX('Age profile'!$O$2:$O$61,B1290)*(1+in_approval_growth)^(D1290-1))</f>
        <v/>
      </c>
      <c r="J1290" s="40">
        <f>(J1289-L1289)*F1290/F1289</f>
        <v/>
      </c>
      <c r="K1290" s="40">
        <f>(K1289-M1289)*F1290/F1289+SUMIFS(O1271:O1289,B1271:B1289,B1290-1-d_T)*F1290</f>
        <v/>
      </c>
      <c r="L1290" s="40">
        <f>IF(B1290&gt;=in_marketplace_from,J1290*d_hz*G1290*in_eligible*H1290,0)</f>
        <v/>
      </c>
      <c r="M1290" s="40">
        <f>IF(B1290&gt;=in_marketplace_from,K1290*d_hz*G1290*in_eligible*in_approved_repeat,0)</f>
        <v/>
      </c>
      <c r="N1290" s="40">
        <f>L1290+M1290</f>
        <v/>
      </c>
      <c r="O1290" s="46">
        <f>N1290/F1290</f>
        <v/>
      </c>
      <c r="P1290" s="40">
        <f>F1290-J1290-K1290</f>
        <v/>
      </c>
      <c r="Q1290" s="40">
        <f>IF(B1290&gt;=in_marketplace_from,(J1290+K1290)*d_hz*G1290,0)</f>
        <v/>
      </c>
      <c r="R1290" s="40">
        <f>SUMIFS(N1271:N1303,B1271:B1303,"&gt;="&amp;(B1290-d_T),B1271:B1303,"&lt;="&amp;(B1290-1))</f>
        <v/>
      </c>
      <c r="S1290" s="46">
        <f>(1-d_u)*S1289+IF(d_T&gt;in_topup_lag,SUMIFS(O1271:O1303,B1271:B1303,B1290-in_topup_lag)-d_udrop*SUMIFS(O1271:O1303,B1271:B1303,B1290-d_T),0)</f>
        <v/>
      </c>
      <c r="T1290" s="40">
        <f>F1290*d_u*S1290</f>
        <v/>
      </c>
      <c r="U1290" s="9">
        <f>L1290*in_ticket+M1290*d_rep_ticket</f>
        <v/>
      </c>
      <c r="V1290" s="9">
        <f>U1290+T1290*d_topup_amt</f>
        <v/>
      </c>
      <c r="W1290" s="40">
        <f>N1290+T1290*d_topup_ratio</f>
        <v/>
      </c>
      <c r="X1290" s="40">
        <f>SUMIFS(W1271:W1303,B1271:B1303,B1290-in_dpd_lag)*d_cured</f>
        <v/>
      </c>
      <c r="Y1290" s="40">
        <f>SUMIFS(W1271:W1303,B1271:B1303,B1290-in_rec_lag)*d_recd</f>
        <v/>
      </c>
      <c r="Z1290" s="40">
        <f>IF(AND(B1290&gt;=in_marketplace_from,B1290&lt;in_marketplace_from+in_card_months),in_card_share/in_card_months*F1290*I1290,IF(AND(B1290&gt;=in_marketplace_from+in_card_months,B1290&lt;in_marketplace_from+2*in_card_months),in_card_share*d_card_rem/in_card_months*F1290*MIN(in_takeup_cap,(1+in_takeup_growth)^(D1290-1))*MIN(in_takeup_cap,(1+in_approval_growth)^(D1290-1)),0))</f>
        <v/>
      </c>
      <c r="AA1290" s="14">
        <f>V1290*in_fee*(1-in_taken_back)</f>
        <v/>
      </c>
      <c r="AB1290" s="14">
        <f>SUMIFS(W1271:W1303,B1271:B1303,B1290-in_dpd_lag)*d_dpd</f>
        <v/>
      </c>
      <c r="AC1290" s="14">
        <f>SUMIFS(W1271:W1303,B1271:B1303,B1290-in_rec_lag)*d_rec</f>
        <v/>
      </c>
      <c r="AD1290" s="14">
        <f>Z1290*in_card_fee</f>
        <v/>
      </c>
      <c r="AE1290" s="40">
        <f>AE1289*(1-IF(B1289&gt;=in_marketplace_from,d_hz_hlth_small*G1289,0))</f>
        <v/>
      </c>
      <c r="AF1290" s="46">
        <f>AE1290*IF(B1290&gt;=in_marketplace_from,d_hz_hlth_small*G1290,0)</f>
        <v/>
      </c>
      <c r="AG1290" s="14">
        <f>F1290*AF1290*in_hlth_small_ticket*in_hlth_small_comm*in_ins_partner_share+F1290*in_hlth_small_ticket*in_hlth_small_renew_comm*in_ins_partner_share*(in_hlth_small_renew^1*SUMIFS(AF1271:AF1303,B1271:B1303,B1290-12)+in_hlth_small_renew^2*SUMIFS(AF1271:AF1303,B1271:B1303,B1290-24)+in_hlth_small_renew^3*SUMIFS(AF1271:AF1303,B1271:B1303,B1290-36)+in_hlth_small_renew^4*SUMIFS(AF1271:AF1303,B1271:B1303,B1290-48))</f>
        <v/>
      </c>
      <c r="AH1290" s="40">
        <f>AH1289*(1-IF(B1289&gt;=in_marketplace_from,d_hz_hlth_family*G1289,0))</f>
        <v/>
      </c>
      <c r="AI1290" s="46">
        <f>AH1290*IF(B1290&gt;=in_marketplace_from,d_hz_hlth_family*G1290,0)</f>
        <v/>
      </c>
      <c r="AJ1290" s="14">
        <f>F1290*AI1290*in_hlth_family_ticket*in_hlth_family_comm*in_ins_partner_share+F1290*in_hlth_family_ticket*in_hlth_family_renew_comm*in_ins_partner_share*(in_hlth_family_renew^1*SUMIFS(AI1271:AI1303,B1271:B1303,B1290-12)+in_hlth_family_renew^2*SUMIFS(AI1271:AI1303,B1271:B1303,B1290-24)+in_hlth_family_renew^3*SUMIFS(AI1271:AI1303,B1271:B1303,B1290-36)+in_hlth_family_renew^4*SUMIFS(AI1271:AI1303,B1271:B1303,B1290-48))</f>
        <v/>
      </c>
      <c r="AK1290" s="40">
        <f>AK1289*(1-IF(B1289&gt;=in_marketplace_from,d_hz_life_term*G1289,0))</f>
        <v/>
      </c>
      <c r="AL1290" s="46">
        <f>AK1290*IF(B1290&gt;=in_marketplace_from,d_hz_life_term*G1290,0)</f>
        <v/>
      </c>
      <c r="AM1290" s="14">
        <f>F1290*AL1290*in_life_term_ticket*in_life_term_comm*in_ins_partner_share+F1290*in_life_term_ticket*in_life_term_renew_comm*in_ins_partner_share*(in_life_term_renew^1*SUMIFS(AL1271:AL1303,B1271:B1303,B1290-12)+in_life_term_renew^2*SUMIFS(AL1271:AL1303,B1271:B1303,B1290-24)+in_life_term_renew^3*SUMIFS(AL1271:AL1303,B1271:B1303,B1290-36)+in_life_term_renew^4*SUMIFS(AL1271:AL1303,B1271:B1303,B1290-48))</f>
        <v/>
      </c>
      <c r="AN1290" s="40">
        <f>AN1289*(1-IF(B1289&gt;=in_marketplace_from,d_hz_accident*G1289,0))</f>
        <v/>
      </c>
      <c r="AO1290" s="46">
        <f>AN1290*IF(B1290&gt;=in_marketplace_from,d_hz_accident*G1290,0)</f>
        <v/>
      </c>
      <c r="AP1290" s="14">
        <f>F1290*AO1290*in_accident_ticket*in_accident_comm*in_ins_partner_share+F1290*in_accident_ticket*in_accident_renew_comm*in_ins_partner_share*(in_accident_renew^1*SUMIFS(AO1271:AO1303,B1271:B1303,B1290-12)+in_accident_renew^2*SUMIFS(AO1271:AO1303,B1271:B1303,B1290-24)+in_accident_renew^3*SUMIFS(AO1271:AO1303,B1271:B1303,B1290-36)+in_accident_renew^4*SUMIFS(AO1271:AO1303,B1271:B1303,B1290-48))</f>
        <v/>
      </c>
      <c r="AQ1290" s="40">
        <f>AQ1289*(1-IF(B1289&gt;=in_marketplace_from,d_hz_two_wheeler*G1289,0))</f>
        <v/>
      </c>
      <c r="AR1290" s="46">
        <f>AQ1290*IF(B1290&gt;=in_marketplace_from,d_hz_two_wheeler*G1290,0)</f>
        <v/>
      </c>
      <c r="AS1290" s="14">
        <f>F1290*AR1290*in_two_wheeler_ticket*in_two_wheeler_comm*in_ins_partner_share+F1290*in_two_wheeler_ticket*in_two_wheeler_comm*in_ins_partner_share*(in_two_wheeler_renew^1*SUMIFS(AR1271:AR1303,B1271:B1303,B1290-12)+in_two_wheeler_renew^2*SUMIFS(AR1271:AR1303,B1271:B1303,B1290-24)+in_two_wheeler_renew^3*SUMIFS(AR1271:AR1303,B1271:B1303,B1290-36)+in_two_wheeler_renew^4*SUMIFS(AR1271:AR1303,B1271:B1303,B1290-48))</f>
        <v/>
      </c>
      <c r="AT1290" s="40">
        <f>AT1289*(1-IF(B1289&gt;=in_marketplace_from,d_hz_device*G1289,0))</f>
        <v/>
      </c>
      <c r="AU1290" s="14">
        <f>F1290*AT1290*IF(B1290&gt;=in_marketplace_from,d_hz_device*G1290,0)*in_device_ticket*in_device_comm*in_ins_partner_share</f>
        <v/>
      </c>
      <c r="AV1290" s="40">
        <f>AV1289*(1-IF(B1289&gt;=in_marketplace_from,d_hz_shop*G1289,0))</f>
        <v/>
      </c>
      <c r="AW1290" s="46">
        <f>AV1290*IF(B1290&gt;=in_marketplace_from,d_hz_shop*G1290,0)</f>
        <v/>
      </c>
      <c r="AX1290" s="14">
        <f>F1290*AW1290*in_shop_ticket*in_shop_comm*in_ins_partner_share+F1290*in_shop_ticket*in_shop_renew_comm*in_ins_partner_share*(in_shop_renew^1*SUMIFS(AW1271:AW1303,B1271:B1303,B1290-12)+in_shop_renew^2*SUMIFS(AW1271:AW1303,B1271:B1303,B1290-24)+in_shop_renew^3*SUMIFS(AW1271:AW1303,B1271:B1303,B1290-36)+in_shop_renew^4*SUMIFS(AW1271:AW1303,B1271:B1303,B1290-48))</f>
        <v/>
      </c>
      <c r="AY1290" s="40">
        <f>AY1289*(1-IF(B1289&gt;=in_marketplace_from,d_hz_sip*G1289,0))</f>
        <v/>
      </c>
      <c r="AZ1290" s="40">
        <f>AZ1289*d_rho_sip+AY1290*IF(B1290&gt;=in_marketplace_from,d_hz_sip*G1290,0)</f>
        <v/>
      </c>
      <c r="BA1290" s="40">
        <f>d_rho_sip*(BA1289+AZ1289)</f>
        <v/>
      </c>
      <c r="BB1290" s="14">
        <f>F1290*in_sip_ticket*(BA1290+0.5*AZ1290)*in_sip_comm/12</f>
        <v/>
      </c>
      <c r="BC1290" s="40">
        <f>BC1289*(1-IF(B1289&gt;=in_marketplace_from,d_hz_choti*G1289,0))</f>
        <v/>
      </c>
      <c r="BD1290" s="46">
        <f>BC1290*IF(B1290&gt;=in_marketplace_from,d_hz_choti*G1290,0)</f>
        <v/>
      </c>
      <c r="BE1290" s="14">
        <f>F1290*SUMIFS(BD1271:BD1303,B1271:B1303,B1290-in_choti_months)*in_choti_renew*in_choti_ticket</f>
        <v/>
      </c>
      <c r="BF1290" s="40">
        <f>BF1289*(1-IF(B1289&gt;=in_marketplace_from,d_hz_nps*G1289,0))</f>
        <v/>
      </c>
      <c r="BG1290" s="14">
        <f>F1290*BF1290*IF(B1290&gt;=in_marketplace_from,d_hz_nps*G1290,0)*in_nps_ticket*in_nps_comm</f>
        <v/>
      </c>
      <c r="BH1290" s="40">
        <f>BH1289*(1-IF(B1289&gt;=in_marketplace_from,d_hz_gold*G1289,0))</f>
        <v/>
      </c>
      <c r="BI1290" s="40">
        <f>BI1289*d_rho_gold+BH1290*IF(B1290&gt;=in_marketplace_from,d_hz_gold*G1290,0)</f>
        <v/>
      </c>
      <c r="BJ1290" s="14">
        <f>F1290*BI1290*in_gold_ticket*in_gold_comm</f>
        <v/>
      </c>
      <c r="BK1290" s="40">
        <f>BK1289*(1-IF(B1289&gt;=in_marketplace_from,d_hz_fd*G1289,0))</f>
        <v/>
      </c>
      <c r="BL1290" s="14">
        <f>F1290*BK1290*IF(B1290&gt;=in_marketplace_from,d_hz_fd*G1290,0)*in_fd_ticket*in_fd_comm</f>
        <v/>
      </c>
      <c r="BM1290" s="40">
        <f>BM1289*(1-IF(B1289&gt;=in_marketplace_from,d_hz_recharge*G1289,0))</f>
        <v/>
      </c>
      <c r="BN1290" s="40">
        <f>BN1289*d_rho_recharge+BM1290*IF(B1290&gt;=in_marketplace_from,d_hz_recharge*G1290,0)</f>
        <v/>
      </c>
      <c r="BO1290" s="14">
        <f>F1290*BN1290*in_recharge_ticket*in_recharge_comm/12</f>
        <v/>
      </c>
      <c r="BP1290" s="40">
        <f>BP1289*(1-IF(B1289&gt;=in_marketplace_from,d_hz_bills*G1289,0))</f>
        <v/>
      </c>
      <c r="BQ1290" s="40">
        <f>BQ1289*d_rho_bills+BP1290*IF(B1290&gt;=in_marketplace_from,d_hz_bills*G1290,0)</f>
        <v/>
      </c>
      <c r="BR1290" s="14">
        <f>F1290*BQ1290*in_bills_ticket*in_bills_comm/12</f>
        <v/>
      </c>
      <c r="BS1290" s="40">
        <f>BS1289*(1-IF(B1289&gt;=in_marketplace_from,d_hz_loan_gold*G1289,0))</f>
        <v/>
      </c>
      <c r="BT1290" s="14">
        <f>F1290*BS1290*IF(B1290&gt;=in_marketplace_from,d_hz_loan_gold*G1290,0)*in_loan_gold_ticket*in_loan_gold_comm</f>
        <v/>
      </c>
      <c r="BU1290" s="40">
        <f>BU1289*(1-IF(B1289&gt;=in_marketplace_from,d_hz_loan_cd*G1289,0))</f>
        <v/>
      </c>
      <c r="BV1290" s="14">
        <f>F1290*BU1290*IF(B1290&gt;=in_marketplace_from,d_hz_loan_cd*G1290,0)*in_loan_cd_ticket*in_loan_cd_comm</f>
        <v/>
      </c>
      <c r="BW1290" s="40">
        <f>BW1289*(1-IF(B1289&gt;=in_marketplace_from,d_hz_loan_vehicle*G1289,0))</f>
        <v/>
      </c>
      <c r="BX1290" s="14">
        <f>F1290*BW1290*IF(B1290&gt;=in_marketplace_from,d_hz_loan_vehicle*G1290,0)*in_loan_vehicle_ticket*in_loan_vehicle_comm</f>
        <v/>
      </c>
      <c r="BY1290" s="40">
        <f>BY1289*(1-IF(B1289&gt;=in_marketplace_from,d_hz_loan_home*G1289,0)*BZ1289)</f>
        <v/>
      </c>
      <c r="BZ1290" s="11">
        <f>MIN(in_approval_cap,in_loan_home_approval*INDEX('Age profile'!$O$2:$O$61,B1290)*(1+in_approval_growth)^(D1290-1))</f>
        <v/>
      </c>
      <c r="CA1290" s="14">
        <f>F1290*BY1290*IF(B1290&gt;=in_marketplace_from,d_hz_loan_home*G1290,0)*BZ1290*in_loan_home_ticket*in_loan_home_comm</f>
        <v/>
      </c>
      <c r="CB1290" s="40">
        <f>CB1289*(1-IF(B1289&gt;=in_marketplace_from,d_hz_loan_lap*G1289,0)*CC1289)</f>
        <v/>
      </c>
      <c r="CC1290" s="11">
        <f>MIN(in_approval_cap,in_loan_lap_approval*INDEX('Age profile'!$O$2:$O$61,B1290)*(1+in_approval_growth)^(D1290-1))</f>
        <v/>
      </c>
      <c r="CD1290" s="14">
        <f>F1290*CB1290*IF(B1290&gt;=in_marketplace_from,d_hz_loan_lap*G1290,0)*CC1290*in_loan_lap_ticket*in_loan_lap_comm</f>
        <v/>
      </c>
      <c r="CE1290" s="14">
        <f>AA1290+AB1290+AC1290+AD1290+AG1290+AJ1290+AM1290+AP1290+AS1290+AU1290+AX1290+BB1290+BE1290+BG1290+BJ1290+BL1290+BO1290+BR1290+BT1290+BV1290+BX1290+CA1290+CD1290</f>
        <v/>
      </c>
    </row>
    <row r="1291">
      <c r="A1291" s="39" t="n">
        <v>28</v>
      </c>
      <c r="B1291" s="39" t="n">
        <v>21</v>
      </c>
      <c r="C1291" s="39">
        <f>A1291+B1291-1</f>
        <v/>
      </c>
      <c r="D1291" s="39">
        <f>INT((C1291-1)/12)+1</f>
        <v/>
      </c>
      <c r="E1291" s="44">
        <f>INDEX(Monthly!$B$2:$B$61,A1291)</f>
        <v/>
      </c>
      <c r="F1291" s="44">
        <f>E1291*INDEX('Age profile'!$B$2:$B$61,B1291)</f>
        <v/>
      </c>
      <c r="G1291" s="45">
        <f>MIN(in_takeup_cap,INDEX('Age profile'!$N$2:$N$61,B1291)*(1+in_takeup_growth)^(D1291-1))</f>
        <v/>
      </c>
      <c r="H1291" s="11">
        <f>MIN(in_approval_cap,in_approved_first*INDEX('Age profile'!$O$2:$O$61,B1291)*(1+in_approval_growth)^(D1291-1))</f>
        <v/>
      </c>
      <c r="I1291" s="45">
        <f>G1291*MIN(in_takeup_cap,INDEX('Age profile'!$O$2:$O$61,B1291)*(1+in_approval_growth)^(D1291-1))</f>
        <v/>
      </c>
      <c r="J1291" s="40">
        <f>(J1290-L1290)*F1291/F1290</f>
        <v/>
      </c>
      <c r="K1291" s="40">
        <f>(K1290-M1290)*F1291/F1290+SUMIFS(O1271:O1290,B1271:B1290,B1291-1-d_T)*F1291</f>
        <v/>
      </c>
      <c r="L1291" s="40">
        <f>IF(B1291&gt;=in_marketplace_from,J1291*d_hz*G1291*in_eligible*H1291,0)</f>
        <v/>
      </c>
      <c r="M1291" s="40">
        <f>IF(B1291&gt;=in_marketplace_from,K1291*d_hz*G1291*in_eligible*in_approved_repeat,0)</f>
        <v/>
      </c>
      <c r="N1291" s="40">
        <f>L1291+M1291</f>
        <v/>
      </c>
      <c r="O1291" s="46">
        <f>N1291/F1291</f>
        <v/>
      </c>
      <c r="P1291" s="40">
        <f>F1291-J1291-K1291</f>
        <v/>
      </c>
      <c r="Q1291" s="40">
        <f>IF(B1291&gt;=in_marketplace_from,(J1291+K1291)*d_hz*G1291,0)</f>
        <v/>
      </c>
      <c r="R1291" s="40">
        <f>SUMIFS(N1271:N1303,B1271:B1303,"&gt;="&amp;(B1291-d_T),B1271:B1303,"&lt;="&amp;(B1291-1))</f>
        <v/>
      </c>
      <c r="S1291" s="46">
        <f>(1-d_u)*S1290+IF(d_T&gt;in_topup_lag,SUMIFS(O1271:O1303,B1271:B1303,B1291-in_topup_lag)-d_udrop*SUMIFS(O1271:O1303,B1271:B1303,B1291-d_T),0)</f>
        <v/>
      </c>
      <c r="T1291" s="40">
        <f>F1291*d_u*S1291</f>
        <v/>
      </c>
      <c r="U1291" s="9">
        <f>L1291*in_ticket+M1291*d_rep_ticket</f>
        <v/>
      </c>
      <c r="V1291" s="9">
        <f>U1291+T1291*d_topup_amt</f>
        <v/>
      </c>
      <c r="W1291" s="40">
        <f>N1291+T1291*d_topup_ratio</f>
        <v/>
      </c>
      <c r="X1291" s="40">
        <f>SUMIFS(W1271:W1303,B1271:B1303,B1291-in_dpd_lag)*d_cured</f>
        <v/>
      </c>
      <c r="Y1291" s="40">
        <f>SUMIFS(W1271:W1303,B1271:B1303,B1291-in_rec_lag)*d_recd</f>
        <v/>
      </c>
      <c r="Z1291" s="40">
        <f>IF(AND(B1291&gt;=in_marketplace_from,B1291&lt;in_marketplace_from+in_card_months),in_card_share/in_card_months*F1291*I1291,IF(AND(B1291&gt;=in_marketplace_from+in_card_months,B1291&lt;in_marketplace_from+2*in_card_months),in_card_share*d_card_rem/in_card_months*F1291*MIN(in_takeup_cap,(1+in_takeup_growth)^(D1291-1))*MIN(in_takeup_cap,(1+in_approval_growth)^(D1291-1)),0))</f>
        <v/>
      </c>
      <c r="AA1291" s="14">
        <f>V1291*in_fee*(1-in_taken_back)</f>
        <v/>
      </c>
      <c r="AB1291" s="14">
        <f>SUMIFS(W1271:W1303,B1271:B1303,B1291-in_dpd_lag)*d_dpd</f>
        <v/>
      </c>
      <c r="AC1291" s="14">
        <f>SUMIFS(W1271:W1303,B1271:B1303,B1291-in_rec_lag)*d_rec</f>
        <v/>
      </c>
      <c r="AD1291" s="14">
        <f>Z1291*in_card_fee</f>
        <v/>
      </c>
      <c r="AE1291" s="40">
        <f>AE1290*(1-IF(B1290&gt;=in_marketplace_from,d_hz_hlth_small*G1290,0))</f>
        <v/>
      </c>
      <c r="AF1291" s="46">
        <f>AE1291*IF(B1291&gt;=in_marketplace_from,d_hz_hlth_small*G1291,0)</f>
        <v/>
      </c>
      <c r="AG1291" s="14">
        <f>F1291*AF1291*in_hlth_small_ticket*in_hlth_small_comm*in_ins_partner_share+F1291*in_hlth_small_ticket*in_hlth_small_renew_comm*in_ins_partner_share*(in_hlth_small_renew^1*SUMIFS(AF1271:AF1303,B1271:B1303,B1291-12)+in_hlth_small_renew^2*SUMIFS(AF1271:AF1303,B1271:B1303,B1291-24)+in_hlth_small_renew^3*SUMIFS(AF1271:AF1303,B1271:B1303,B1291-36)+in_hlth_small_renew^4*SUMIFS(AF1271:AF1303,B1271:B1303,B1291-48))</f>
        <v/>
      </c>
      <c r="AH1291" s="40">
        <f>AH1290*(1-IF(B1290&gt;=in_marketplace_from,d_hz_hlth_family*G1290,0))</f>
        <v/>
      </c>
      <c r="AI1291" s="46">
        <f>AH1291*IF(B1291&gt;=in_marketplace_from,d_hz_hlth_family*G1291,0)</f>
        <v/>
      </c>
      <c r="AJ1291" s="14">
        <f>F1291*AI1291*in_hlth_family_ticket*in_hlth_family_comm*in_ins_partner_share+F1291*in_hlth_family_ticket*in_hlth_family_renew_comm*in_ins_partner_share*(in_hlth_family_renew^1*SUMIFS(AI1271:AI1303,B1271:B1303,B1291-12)+in_hlth_family_renew^2*SUMIFS(AI1271:AI1303,B1271:B1303,B1291-24)+in_hlth_family_renew^3*SUMIFS(AI1271:AI1303,B1271:B1303,B1291-36)+in_hlth_family_renew^4*SUMIFS(AI1271:AI1303,B1271:B1303,B1291-48))</f>
        <v/>
      </c>
      <c r="AK1291" s="40">
        <f>AK1290*(1-IF(B1290&gt;=in_marketplace_from,d_hz_life_term*G1290,0))</f>
        <v/>
      </c>
      <c r="AL1291" s="46">
        <f>AK1291*IF(B1291&gt;=in_marketplace_from,d_hz_life_term*G1291,0)</f>
        <v/>
      </c>
      <c r="AM1291" s="14">
        <f>F1291*AL1291*in_life_term_ticket*in_life_term_comm*in_ins_partner_share+F1291*in_life_term_ticket*in_life_term_renew_comm*in_ins_partner_share*(in_life_term_renew^1*SUMIFS(AL1271:AL1303,B1271:B1303,B1291-12)+in_life_term_renew^2*SUMIFS(AL1271:AL1303,B1271:B1303,B1291-24)+in_life_term_renew^3*SUMIFS(AL1271:AL1303,B1271:B1303,B1291-36)+in_life_term_renew^4*SUMIFS(AL1271:AL1303,B1271:B1303,B1291-48))</f>
        <v/>
      </c>
      <c r="AN1291" s="40">
        <f>AN1290*(1-IF(B1290&gt;=in_marketplace_from,d_hz_accident*G1290,0))</f>
        <v/>
      </c>
      <c r="AO1291" s="46">
        <f>AN1291*IF(B1291&gt;=in_marketplace_from,d_hz_accident*G1291,0)</f>
        <v/>
      </c>
      <c r="AP1291" s="14">
        <f>F1291*AO1291*in_accident_ticket*in_accident_comm*in_ins_partner_share+F1291*in_accident_ticket*in_accident_renew_comm*in_ins_partner_share*(in_accident_renew^1*SUMIFS(AO1271:AO1303,B1271:B1303,B1291-12)+in_accident_renew^2*SUMIFS(AO1271:AO1303,B1271:B1303,B1291-24)+in_accident_renew^3*SUMIFS(AO1271:AO1303,B1271:B1303,B1291-36)+in_accident_renew^4*SUMIFS(AO1271:AO1303,B1271:B1303,B1291-48))</f>
        <v/>
      </c>
      <c r="AQ1291" s="40">
        <f>AQ1290*(1-IF(B1290&gt;=in_marketplace_from,d_hz_two_wheeler*G1290,0))</f>
        <v/>
      </c>
      <c r="AR1291" s="46">
        <f>AQ1291*IF(B1291&gt;=in_marketplace_from,d_hz_two_wheeler*G1291,0)</f>
        <v/>
      </c>
      <c r="AS1291" s="14">
        <f>F1291*AR1291*in_two_wheeler_ticket*in_two_wheeler_comm*in_ins_partner_share+F1291*in_two_wheeler_ticket*in_two_wheeler_comm*in_ins_partner_share*(in_two_wheeler_renew^1*SUMIFS(AR1271:AR1303,B1271:B1303,B1291-12)+in_two_wheeler_renew^2*SUMIFS(AR1271:AR1303,B1271:B1303,B1291-24)+in_two_wheeler_renew^3*SUMIFS(AR1271:AR1303,B1271:B1303,B1291-36)+in_two_wheeler_renew^4*SUMIFS(AR1271:AR1303,B1271:B1303,B1291-48))</f>
        <v/>
      </c>
      <c r="AT1291" s="40">
        <f>AT1290*(1-IF(B1290&gt;=in_marketplace_from,d_hz_device*G1290,0))</f>
        <v/>
      </c>
      <c r="AU1291" s="14">
        <f>F1291*AT1291*IF(B1291&gt;=in_marketplace_from,d_hz_device*G1291,0)*in_device_ticket*in_device_comm*in_ins_partner_share</f>
        <v/>
      </c>
      <c r="AV1291" s="40">
        <f>AV1290*(1-IF(B1290&gt;=in_marketplace_from,d_hz_shop*G1290,0))</f>
        <v/>
      </c>
      <c r="AW1291" s="46">
        <f>AV1291*IF(B1291&gt;=in_marketplace_from,d_hz_shop*G1291,0)</f>
        <v/>
      </c>
      <c r="AX1291" s="14">
        <f>F1291*AW1291*in_shop_ticket*in_shop_comm*in_ins_partner_share+F1291*in_shop_ticket*in_shop_renew_comm*in_ins_partner_share*(in_shop_renew^1*SUMIFS(AW1271:AW1303,B1271:B1303,B1291-12)+in_shop_renew^2*SUMIFS(AW1271:AW1303,B1271:B1303,B1291-24)+in_shop_renew^3*SUMIFS(AW1271:AW1303,B1271:B1303,B1291-36)+in_shop_renew^4*SUMIFS(AW1271:AW1303,B1271:B1303,B1291-48))</f>
        <v/>
      </c>
      <c r="AY1291" s="40">
        <f>AY1290*(1-IF(B1290&gt;=in_marketplace_from,d_hz_sip*G1290,0))</f>
        <v/>
      </c>
      <c r="AZ1291" s="40">
        <f>AZ1290*d_rho_sip+AY1291*IF(B1291&gt;=in_marketplace_from,d_hz_sip*G1291,0)</f>
        <v/>
      </c>
      <c r="BA1291" s="40">
        <f>d_rho_sip*(BA1290+AZ1290)</f>
        <v/>
      </c>
      <c r="BB1291" s="14">
        <f>F1291*in_sip_ticket*(BA1291+0.5*AZ1291)*in_sip_comm/12</f>
        <v/>
      </c>
      <c r="BC1291" s="40">
        <f>BC1290*(1-IF(B1290&gt;=in_marketplace_from,d_hz_choti*G1290,0))</f>
        <v/>
      </c>
      <c r="BD1291" s="46">
        <f>BC1291*IF(B1291&gt;=in_marketplace_from,d_hz_choti*G1291,0)</f>
        <v/>
      </c>
      <c r="BE1291" s="14">
        <f>F1291*SUMIFS(BD1271:BD1303,B1271:B1303,B1291-in_choti_months)*in_choti_renew*in_choti_ticket</f>
        <v/>
      </c>
      <c r="BF1291" s="40">
        <f>BF1290*(1-IF(B1290&gt;=in_marketplace_from,d_hz_nps*G1290,0))</f>
        <v/>
      </c>
      <c r="BG1291" s="14">
        <f>F1291*BF1291*IF(B1291&gt;=in_marketplace_from,d_hz_nps*G1291,0)*in_nps_ticket*in_nps_comm</f>
        <v/>
      </c>
      <c r="BH1291" s="40">
        <f>BH1290*(1-IF(B1290&gt;=in_marketplace_from,d_hz_gold*G1290,0))</f>
        <v/>
      </c>
      <c r="BI1291" s="40">
        <f>BI1290*d_rho_gold+BH1291*IF(B1291&gt;=in_marketplace_from,d_hz_gold*G1291,0)</f>
        <v/>
      </c>
      <c r="BJ1291" s="14">
        <f>F1291*BI1291*in_gold_ticket*in_gold_comm</f>
        <v/>
      </c>
      <c r="BK1291" s="40">
        <f>BK1290*(1-IF(B1290&gt;=in_marketplace_from,d_hz_fd*G1290,0))</f>
        <v/>
      </c>
      <c r="BL1291" s="14">
        <f>F1291*BK1291*IF(B1291&gt;=in_marketplace_from,d_hz_fd*G1291,0)*in_fd_ticket*in_fd_comm</f>
        <v/>
      </c>
      <c r="BM1291" s="40">
        <f>BM1290*(1-IF(B1290&gt;=in_marketplace_from,d_hz_recharge*G1290,0))</f>
        <v/>
      </c>
      <c r="BN1291" s="40">
        <f>BN1290*d_rho_recharge+BM1291*IF(B1291&gt;=in_marketplace_from,d_hz_recharge*G1291,0)</f>
        <v/>
      </c>
      <c r="BO1291" s="14">
        <f>F1291*BN1291*in_recharge_ticket*in_recharge_comm/12</f>
        <v/>
      </c>
      <c r="BP1291" s="40">
        <f>BP1290*(1-IF(B1290&gt;=in_marketplace_from,d_hz_bills*G1290,0))</f>
        <v/>
      </c>
      <c r="BQ1291" s="40">
        <f>BQ1290*d_rho_bills+BP1291*IF(B1291&gt;=in_marketplace_from,d_hz_bills*G1291,0)</f>
        <v/>
      </c>
      <c r="BR1291" s="14">
        <f>F1291*BQ1291*in_bills_ticket*in_bills_comm/12</f>
        <v/>
      </c>
      <c r="BS1291" s="40">
        <f>BS1290*(1-IF(B1290&gt;=in_marketplace_from,d_hz_loan_gold*G1290,0))</f>
        <v/>
      </c>
      <c r="BT1291" s="14">
        <f>F1291*BS1291*IF(B1291&gt;=in_marketplace_from,d_hz_loan_gold*G1291,0)*in_loan_gold_ticket*in_loan_gold_comm</f>
        <v/>
      </c>
      <c r="BU1291" s="40">
        <f>BU1290*(1-IF(B1290&gt;=in_marketplace_from,d_hz_loan_cd*G1290,0))</f>
        <v/>
      </c>
      <c r="BV1291" s="14">
        <f>F1291*BU1291*IF(B1291&gt;=in_marketplace_from,d_hz_loan_cd*G1291,0)*in_loan_cd_ticket*in_loan_cd_comm</f>
        <v/>
      </c>
      <c r="BW1291" s="40">
        <f>BW1290*(1-IF(B1290&gt;=in_marketplace_from,d_hz_loan_vehicle*G1290,0))</f>
        <v/>
      </c>
      <c r="BX1291" s="14">
        <f>F1291*BW1291*IF(B1291&gt;=in_marketplace_from,d_hz_loan_vehicle*G1291,0)*in_loan_vehicle_ticket*in_loan_vehicle_comm</f>
        <v/>
      </c>
      <c r="BY1291" s="40">
        <f>BY1290*(1-IF(B1290&gt;=in_marketplace_from,d_hz_loan_home*G1290,0)*BZ1290)</f>
        <v/>
      </c>
      <c r="BZ1291" s="11">
        <f>MIN(in_approval_cap,in_loan_home_approval*INDEX('Age profile'!$O$2:$O$61,B1291)*(1+in_approval_growth)^(D1291-1))</f>
        <v/>
      </c>
      <c r="CA1291" s="14">
        <f>F1291*BY1291*IF(B1291&gt;=in_marketplace_from,d_hz_loan_home*G1291,0)*BZ1291*in_loan_home_ticket*in_loan_home_comm</f>
        <v/>
      </c>
      <c r="CB1291" s="40">
        <f>CB1290*(1-IF(B1290&gt;=in_marketplace_from,d_hz_loan_lap*G1290,0)*CC1290)</f>
        <v/>
      </c>
      <c r="CC1291" s="11">
        <f>MIN(in_approval_cap,in_loan_lap_approval*INDEX('Age profile'!$O$2:$O$61,B1291)*(1+in_approval_growth)^(D1291-1))</f>
        <v/>
      </c>
      <c r="CD1291" s="14">
        <f>F1291*CB1291*IF(B1291&gt;=in_marketplace_from,d_hz_loan_lap*G1291,0)*CC1291*in_loan_lap_ticket*in_loan_lap_comm</f>
        <v/>
      </c>
      <c r="CE1291" s="14">
        <f>AA1291+AB1291+AC1291+AD1291+AG1291+AJ1291+AM1291+AP1291+AS1291+AU1291+AX1291+BB1291+BE1291+BG1291+BJ1291+BL1291+BO1291+BR1291+BT1291+BV1291+BX1291+CA1291+CD1291</f>
        <v/>
      </c>
    </row>
    <row r="1292">
      <c r="A1292" s="39" t="n">
        <v>28</v>
      </c>
      <c r="B1292" s="39" t="n">
        <v>22</v>
      </c>
      <c r="C1292" s="39">
        <f>A1292+B1292-1</f>
        <v/>
      </c>
      <c r="D1292" s="39">
        <f>INT((C1292-1)/12)+1</f>
        <v/>
      </c>
      <c r="E1292" s="44">
        <f>INDEX(Monthly!$B$2:$B$61,A1292)</f>
        <v/>
      </c>
      <c r="F1292" s="44">
        <f>E1292*INDEX('Age profile'!$B$2:$B$61,B1292)</f>
        <v/>
      </c>
      <c r="G1292" s="45">
        <f>MIN(in_takeup_cap,INDEX('Age profile'!$N$2:$N$61,B1292)*(1+in_takeup_growth)^(D1292-1))</f>
        <v/>
      </c>
      <c r="H1292" s="11">
        <f>MIN(in_approval_cap,in_approved_first*INDEX('Age profile'!$O$2:$O$61,B1292)*(1+in_approval_growth)^(D1292-1))</f>
        <v/>
      </c>
      <c r="I1292" s="45">
        <f>G1292*MIN(in_takeup_cap,INDEX('Age profile'!$O$2:$O$61,B1292)*(1+in_approval_growth)^(D1292-1))</f>
        <v/>
      </c>
      <c r="J1292" s="40">
        <f>(J1291-L1291)*F1292/F1291</f>
        <v/>
      </c>
      <c r="K1292" s="40">
        <f>(K1291-M1291)*F1292/F1291+SUMIFS(O1271:O1291,B1271:B1291,B1292-1-d_T)*F1292</f>
        <v/>
      </c>
      <c r="L1292" s="40">
        <f>IF(B1292&gt;=in_marketplace_from,J1292*d_hz*G1292*in_eligible*H1292,0)</f>
        <v/>
      </c>
      <c r="M1292" s="40">
        <f>IF(B1292&gt;=in_marketplace_from,K1292*d_hz*G1292*in_eligible*in_approved_repeat,0)</f>
        <v/>
      </c>
      <c r="N1292" s="40">
        <f>L1292+M1292</f>
        <v/>
      </c>
      <c r="O1292" s="46">
        <f>N1292/F1292</f>
        <v/>
      </c>
      <c r="P1292" s="40">
        <f>F1292-J1292-K1292</f>
        <v/>
      </c>
      <c r="Q1292" s="40">
        <f>IF(B1292&gt;=in_marketplace_from,(J1292+K1292)*d_hz*G1292,0)</f>
        <v/>
      </c>
      <c r="R1292" s="40">
        <f>SUMIFS(N1271:N1303,B1271:B1303,"&gt;="&amp;(B1292-d_T),B1271:B1303,"&lt;="&amp;(B1292-1))</f>
        <v/>
      </c>
      <c r="S1292" s="46">
        <f>(1-d_u)*S1291+IF(d_T&gt;in_topup_lag,SUMIFS(O1271:O1303,B1271:B1303,B1292-in_topup_lag)-d_udrop*SUMIFS(O1271:O1303,B1271:B1303,B1292-d_T),0)</f>
        <v/>
      </c>
      <c r="T1292" s="40">
        <f>F1292*d_u*S1292</f>
        <v/>
      </c>
      <c r="U1292" s="9">
        <f>L1292*in_ticket+M1292*d_rep_ticket</f>
        <v/>
      </c>
      <c r="V1292" s="9">
        <f>U1292+T1292*d_topup_amt</f>
        <v/>
      </c>
      <c r="W1292" s="40">
        <f>N1292+T1292*d_topup_ratio</f>
        <v/>
      </c>
      <c r="X1292" s="40">
        <f>SUMIFS(W1271:W1303,B1271:B1303,B1292-in_dpd_lag)*d_cured</f>
        <v/>
      </c>
      <c r="Y1292" s="40">
        <f>SUMIFS(W1271:W1303,B1271:B1303,B1292-in_rec_lag)*d_recd</f>
        <v/>
      </c>
      <c r="Z1292" s="40">
        <f>IF(AND(B1292&gt;=in_marketplace_from,B1292&lt;in_marketplace_from+in_card_months),in_card_share/in_card_months*F1292*I1292,IF(AND(B1292&gt;=in_marketplace_from+in_card_months,B1292&lt;in_marketplace_from+2*in_card_months),in_card_share*d_card_rem/in_card_months*F1292*MIN(in_takeup_cap,(1+in_takeup_growth)^(D1292-1))*MIN(in_takeup_cap,(1+in_approval_growth)^(D1292-1)),0))</f>
        <v/>
      </c>
      <c r="AA1292" s="14">
        <f>V1292*in_fee*(1-in_taken_back)</f>
        <v/>
      </c>
      <c r="AB1292" s="14">
        <f>SUMIFS(W1271:W1303,B1271:B1303,B1292-in_dpd_lag)*d_dpd</f>
        <v/>
      </c>
      <c r="AC1292" s="14">
        <f>SUMIFS(W1271:W1303,B1271:B1303,B1292-in_rec_lag)*d_rec</f>
        <v/>
      </c>
      <c r="AD1292" s="14">
        <f>Z1292*in_card_fee</f>
        <v/>
      </c>
      <c r="AE1292" s="40">
        <f>AE1291*(1-IF(B1291&gt;=in_marketplace_from,d_hz_hlth_small*G1291,0))</f>
        <v/>
      </c>
      <c r="AF1292" s="46">
        <f>AE1292*IF(B1292&gt;=in_marketplace_from,d_hz_hlth_small*G1292,0)</f>
        <v/>
      </c>
      <c r="AG1292" s="14">
        <f>F1292*AF1292*in_hlth_small_ticket*in_hlth_small_comm*in_ins_partner_share+F1292*in_hlth_small_ticket*in_hlth_small_renew_comm*in_ins_partner_share*(in_hlth_small_renew^1*SUMIFS(AF1271:AF1303,B1271:B1303,B1292-12)+in_hlth_small_renew^2*SUMIFS(AF1271:AF1303,B1271:B1303,B1292-24)+in_hlth_small_renew^3*SUMIFS(AF1271:AF1303,B1271:B1303,B1292-36)+in_hlth_small_renew^4*SUMIFS(AF1271:AF1303,B1271:B1303,B1292-48))</f>
        <v/>
      </c>
      <c r="AH1292" s="40">
        <f>AH1291*(1-IF(B1291&gt;=in_marketplace_from,d_hz_hlth_family*G1291,0))</f>
        <v/>
      </c>
      <c r="AI1292" s="46">
        <f>AH1292*IF(B1292&gt;=in_marketplace_from,d_hz_hlth_family*G1292,0)</f>
        <v/>
      </c>
      <c r="AJ1292" s="14">
        <f>F1292*AI1292*in_hlth_family_ticket*in_hlth_family_comm*in_ins_partner_share+F1292*in_hlth_family_ticket*in_hlth_family_renew_comm*in_ins_partner_share*(in_hlth_family_renew^1*SUMIFS(AI1271:AI1303,B1271:B1303,B1292-12)+in_hlth_family_renew^2*SUMIFS(AI1271:AI1303,B1271:B1303,B1292-24)+in_hlth_family_renew^3*SUMIFS(AI1271:AI1303,B1271:B1303,B1292-36)+in_hlth_family_renew^4*SUMIFS(AI1271:AI1303,B1271:B1303,B1292-48))</f>
        <v/>
      </c>
      <c r="AK1292" s="40">
        <f>AK1291*(1-IF(B1291&gt;=in_marketplace_from,d_hz_life_term*G1291,0))</f>
        <v/>
      </c>
      <c r="AL1292" s="46">
        <f>AK1292*IF(B1292&gt;=in_marketplace_from,d_hz_life_term*G1292,0)</f>
        <v/>
      </c>
      <c r="AM1292" s="14">
        <f>F1292*AL1292*in_life_term_ticket*in_life_term_comm*in_ins_partner_share+F1292*in_life_term_ticket*in_life_term_renew_comm*in_ins_partner_share*(in_life_term_renew^1*SUMIFS(AL1271:AL1303,B1271:B1303,B1292-12)+in_life_term_renew^2*SUMIFS(AL1271:AL1303,B1271:B1303,B1292-24)+in_life_term_renew^3*SUMIFS(AL1271:AL1303,B1271:B1303,B1292-36)+in_life_term_renew^4*SUMIFS(AL1271:AL1303,B1271:B1303,B1292-48))</f>
        <v/>
      </c>
      <c r="AN1292" s="40">
        <f>AN1291*(1-IF(B1291&gt;=in_marketplace_from,d_hz_accident*G1291,0))</f>
        <v/>
      </c>
      <c r="AO1292" s="46">
        <f>AN1292*IF(B1292&gt;=in_marketplace_from,d_hz_accident*G1292,0)</f>
        <v/>
      </c>
      <c r="AP1292" s="14">
        <f>F1292*AO1292*in_accident_ticket*in_accident_comm*in_ins_partner_share+F1292*in_accident_ticket*in_accident_renew_comm*in_ins_partner_share*(in_accident_renew^1*SUMIFS(AO1271:AO1303,B1271:B1303,B1292-12)+in_accident_renew^2*SUMIFS(AO1271:AO1303,B1271:B1303,B1292-24)+in_accident_renew^3*SUMIFS(AO1271:AO1303,B1271:B1303,B1292-36)+in_accident_renew^4*SUMIFS(AO1271:AO1303,B1271:B1303,B1292-48))</f>
        <v/>
      </c>
      <c r="AQ1292" s="40">
        <f>AQ1291*(1-IF(B1291&gt;=in_marketplace_from,d_hz_two_wheeler*G1291,0))</f>
        <v/>
      </c>
      <c r="AR1292" s="46">
        <f>AQ1292*IF(B1292&gt;=in_marketplace_from,d_hz_two_wheeler*G1292,0)</f>
        <v/>
      </c>
      <c r="AS1292" s="14">
        <f>F1292*AR1292*in_two_wheeler_ticket*in_two_wheeler_comm*in_ins_partner_share+F1292*in_two_wheeler_ticket*in_two_wheeler_comm*in_ins_partner_share*(in_two_wheeler_renew^1*SUMIFS(AR1271:AR1303,B1271:B1303,B1292-12)+in_two_wheeler_renew^2*SUMIFS(AR1271:AR1303,B1271:B1303,B1292-24)+in_two_wheeler_renew^3*SUMIFS(AR1271:AR1303,B1271:B1303,B1292-36)+in_two_wheeler_renew^4*SUMIFS(AR1271:AR1303,B1271:B1303,B1292-48))</f>
        <v/>
      </c>
      <c r="AT1292" s="40">
        <f>AT1291*(1-IF(B1291&gt;=in_marketplace_from,d_hz_device*G1291,0))</f>
        <v/>
      </c>
      <c r="AU1292" s="14">
        <f>F1292*AT1292*IF(B1292&gt;=in_marketplace_from,d_hz_device*G1292,0)*in_device_ticket*in_device_comm*in_ins_partner_share</f>
        <v/>
      </c>
      <c r="AV1292" s="40">
        <f>AV1291*(1-IF(B1291&gt;=in_marketplace_from,d_hz_shop*G1291,0))</f>
        <v/>
      </c>
      <c r="AW1292" s="46">
        <f>AV1292*IF(B1292&gt;=in_marketplace_from,d_hz_shop*G1292,0)</f>
        <v/>
      </c>
      <c r="AX1292" s="14">
        <f>F1292*AW1292*in_shop_ticket*in_shop_comm*in_ins_partner_share+F1292*in_shop_ticket*in_shop_renew_comm*in_ins_partner_share*(in_shop_renew^1*SUMIFS(AW1271:AW1303,B1271:B1303,B1292-12)+in_shop_renew^2*SUMIFS(AW1271:AW1303,B1271:B1303,B1292-24)+in_shop_renew^3*SUMIFS(AW1271:AW1303,B1271:B1303,B1292-36)+in_shop_renew^4*SUMIFS(AW1271:AW1303,B1271:B1303,B1292-48))</f>
        <v/>
      </c>
      <c r="AY1292" s="40">
        <f>AY1291*(1-IF(B1291&gt;=in_marketplace_from,d_hz_sip*G1291,0))</f>
        <v/>
      </c>
      <c r="AZ1292" s="40">
        <f>AZ1291*d_rho_sip+AY1292*IF(B1292&gt;=in_marketplace_from,d_hz_sip*G1292,0)</f>
        <v/>
      </c>
      <c r="BA1292" s="40">
        <f>d_rho_sip*(BA1291+AZ1291)</f>
        <v/>
      </c>
      <c r="BB1292" s="14">
        <f>F1292*in_sip_ticket*(BA1292+0.5*AZ1292)*in_sip_comm/12</f>
        <v/>
      </c>
      <c r="BC1292" s="40">
        <f>BC1291*(1-IF(B1291&gt;=in_marketplace_from,d_hz_choti*G1291,0))</f>
        <v/>
      </c>
      <c r="BD1292" s="46">
        <f>BC1292*IF(B1292&gt;=in_marketplace_from,d_hz_choti*G1292,0)</f>
        <v/>
      </c>
      <c r="BE1292" s="14">
        <f>F1292*SUMIFS(BD1271:BD1303,B1271:B1303,B1292-in_choti_months)*in_choti_renew*in_choti_ticket</f>
        <v/>
      </c>
      <c r="BF1292" s="40">
        <f>BF1291*(1-IF(B1291&gt;=in_marketplace_from,d_hz_nps*G1291,0))</f>
        <v/>
      </c>
      <c r="BG1292" s="14">
        <f>F1292*BF1292*IF(B1292&gt;=in_marketplace_from,d_hz_nps*G1292,0)*in_nps_ticket*in_nps_comm</f>
        <v/>
      </c>
      <c r="BH1292" s="40">
        <f>BH1291*(1-IF(B1291&gt;=in_marketplace_from,d_hz_gold*G1291,0))</f>
        <v/>
      </c>
      <c r="BI1292" s="40">
        <f>BI1291*d_rho_gold+BH1292*IF(B1292&gt;=in_marketplace_from,d_hz_gold*G1292,0)</f>
        <v/>
      </c>
      <c r="BJ1292" s="14">
        <f>F1292*BI1292*in_gold_ticket*in_gold_comm</f>
        <v/>
      </c>
      <c r="BK1292" s="40">
        <f>BK1291*(1-IF(B1291&gt;=in_marketplace_from,d_hz_fd*G1291,0))</f>
        <v/>
      </c>
      <c r="BL1292" s="14">
        <f>F1292*BK1292*IF(B1292&gt;=in_marketplace_from,d_hz_fd*G1292,0)*in_fd_ticket*in_fd_comm</f>
        <v/>
      </c>
      <c r="BM1292" s="40">
        <f>BM1291*(1-IF(B1291&gt;=in_marketplace_from,d_hz_recharge*G1291,0))</f>
        <v/>
      </c>
      <c r="BN1292" s="40">
        <f>BN1291*d_rho_recharge+BM1292*IF(B1292&gt;=in_marketplace_from,d_hz_recharge*G1292,0)</f>
        <v/>
      </c>
      <c r="BO1292" s="14">
        <f>F1292*BN1292*in_recharge_ticket*in_recharge_comm/12</f>
        <v/>
      </c>
      <c r="BP1292" s="40">
        <f>BP1291*(1-IF(B1291&gt;=in_marketplace_from,d_hz_bills*G1291,0))</f>
        <v/>
      </c>
      <c r="BQ1292" s="40">
        <f>BQ1291*d_rho_bills+BP1292*IF(B1292&gt;=in_marketplace_from,d_hz_bills*G1292,0)</f>
        <v/>
      </c>
      <c r="BR1292" s="14">
        <f>F1292*BQ1292*in_bills_ticket*in_bills_comm/12</f>
        <v/>
      </c>
      <c r="BS1292" s="40">
        <f>BS1291*(1-IF(B1291&gt;=in_marketplace_from,d_hz_loan_gold*G1291,0))</f>
        <v/>
      </c>
      <c r="BT1292" s="14">
        <f>F1292*BS1292*IF(B1292&gt;=in_marketplace_from,d_hz_loan_gold*G1292,0)*in_loan_gold_ticket*in_loan_gold_comm</f>
        <v/>
      </c>
      <c r="BU1292" s="40">
        <f>BU1291*(1-IF(B1291&gt;=in_marketplace_from,d_hz_loan_cd*G1291,0))</f>
        <v/>
      </c>
      <c r="BV1292" s="14">
        <f>F1292*BU1292*IF(B1292&gt;=in_marketplace_from,d_hz_loan_cd*G1292,0)*in_loan_cd_ticket*in_loan_cd_comm</f>
        <v/>
      </c>
      <c r="BW1292" s="40">
        <f>BW1291*(1-IF(B1291&gt;=in_marketplace_from,d_hz_loan_vehicle*G1291,0))</f>
        <v/>
      </c>
      <c r="BX1292" s="14">
        <f>F1292*BW1292*IF(B1292&gt;=in_marketplace_from,d_hz_loan_vehicle*G1292,0)*in_loan_vehicle_ticket*in_loan_vehicle_comm</f>
        <v/>
      </c>
      <c r="BY1292" s="40">
        <f>BY1291*(1-IF(B1291&gt;=in_marketplace_from,d_hz_loan_home*G1291,0)*BZ1291)</f>
        <v/>
      </c>
      <c r="BZ1292" s="11">
        <f>MIN(in_approval_cap,in_loan_home_approval*INDEX('Age profile'!$O$2:$O$61,B1292)*(1+in_approval_growth)^(D1292-1))</f>
        <v/>
      </c>
      <c r="CA1292" s="14">
        <f>F1292*BY1292*IF(B1292&gt;=in_marketplace_from,d_hz_loan_home*G1292,0)*BZ1292*in_loan_home_ticket*in_loan_home_comm</f>
        <v/>
      </c>
      <c r="CB1292" s="40">
        <f>CB1291*(1-IF(B1291&gt;=in_marketplace_from,d_hz_loan_lap*G1291,0)*CC1291)</f>
        <v/>
      </c>
      <c r="CC1292" s="11">
        <f>MIN(in_approval_cap,in_loan_lap_approval*INDEX('Age profile'!$O$2:$O$61,B1292)*(1+in_approval_growth)^(D1292-1))</f>
        <v/>
      </c>
      <c r="CD1292" s="14">
        <f>F1292*CB1292*IF(B1292&gt;=in_marketplace_from,d_hz_loan_lap*G1292,0)*CC1292*in_loan_lap_ticket*in_loan_lap_comm</f>
        <v/>
      </c>
      <c r="CE1292" s="14">
        <f>AA1292+AB1292+AC1292+AD1292+AG1292+AJ1292+AM1292+AP1292+AS1292+AU1292+AX1292+BB1292+BE1292+BG1292+BJ1292+BL1292+BO1292+BR1292+BT1292+BV1292+BX1292+CA1292+CD1292</f>
        <v/>
      </c>
    </row>
    <row r="1293">
      <c r="A1293" s="39" t="n">
        <v>28</v>
      </c>
      <c r="B1293" s="39" t="n">
        <v>23</v>
      </c>
      <c r="C1293" s="39">
        <f>A1293+B1293-1</f>
        <v/>
      </c>
      <c r="D1293" s="39">
        <f>INT((C1293-1)/12)+1</f>
        <v/>
      </c>
      <c r="E1293" s="44">
        <f>INDEX(Monthly!$B$2:$B$61,A1293)</f>
        <v/>
      </c>
      <c r="F1293" s="44">
        <f>E1293*INDEX('Age profile'!$B$2:$B$61,B1293)</f>
        <v/>
      </c>
      <c r="G1293" s="45">
        <f>MIN(in_takeup_cap,INDEX('Age profile'!$N$2:$N$61,B1293)*(1+in_takeup_growth)^(D1293-1))</f>
        <v/>
      </c>
      <c r="H1293" s="11">
        <f>MIN(in_approval_cap,in_approved_first*INDEX('Age profile'!$O$2:$O$61,B1293)*(1+in_approval_growth)^(D1293-1))</f>
        <v/>
      </c>
      <c r="I1293" s="45">
        <f>G1293*MIN(in_takeup_cap,INDEX('Age profile'!$O$2:$O$61,B1293)*(1+in_approval_growth)^(D1293-1))</f>
        <v/>
      </c>
      <c r="J1293" s="40">
        <f>(J1292-L1292)*F1293/F1292</f>
        <v/>
      </c>
      <c r="K1293" s="40">
        <f>(K1292-M1292)*F1293/F1292+SUMIFS(O1271:O1292,B1271:B1292,B1293-1-d_T)*F1293</f>
        <v/>
      </c>
      <c r="L1293" s="40">
        <f>IF(B1293&gt;=in_marketplace_from,J1293*d_hz*G1293*in_eligible*H1293,0)</f>
        <v/>
      </c>
      <c r="M1293" s="40">
        <f>IF(B1293&gt;=in_marketplace_from,K1293*d_hz*G1293*in_eligible*in_approved_repeat,0)</f>
        <v/>
      </c>
      <c r="N1293" s="40">
        <f>L1293+M1293</f>
        <v/>
      </c>
      <c r="O1293" s="46">
        <f>N1293/F1293</f>
        <v/>
      </c>
      <c r="P1293" s="40">
        <f>F1293-J1293-K1293</f>
        <v/>
      </c>
      <c r="Q1293" s="40">
        <f>IF(B1293&gt;=in_marketplace_from,(J1293+K1293)*d_hz*G1293,0)</f>
        <v/>
      </c>
      <c r="R1293" s="40">
        <f>SUMIFS(N1271:N1303,B1271:B1303,"&gt;="&amp;(B1293-d_T),B1271:B1303,"&lt;="&amp;(B1293-1))</f>
        <v/>
      </c>
      <c r="S1293" s="46">
        <f>(1-d_u)*S1292+IF(d_T&gt;in_topup_lag,SUMIFS(O1271:O1303,B1271:B1303,B1293-in_topup_lag)-d_udrop*SUMIFS(O1271:O1303,B1271:B1303,B1293-d_T),0)</f>
        <v/>
      </c>
      <c r="T1293" s="40">
        <f>F1293*d_u*S1293</f>
        <v/>
      </c>
      <c r="U1293" s="9">
        <f>L1293*in_ticket+M1293*d_rep_ticket</f>
        <v/>
      </c>
      <c r="V1293" s="9">
        <f>U1293+T1293*d_topup_amt</f>
        <v/>
      </c>
      <c r="W1293" s="40">
        <f>N1293+T1293*d_topup_ratio</f>
        <v/>
      </c>
      <c r="X1293" s="40">
        <f>SUMIFS(W1271:W1303,B1271:B1303,B1293-in_dpd_lag)*d_cured</f>
        <v/>
      </c>
      <c r="Y1293" s="40">
        <f>SUMIFS(W1271:W1303,B1271:B1303,B1293-in_rec_lag)*d_recd</f>
        <v/>
      </c>
      <c r="Z1293" s="40">
        <f>IF(AND(B1293&gt;=in_marketplace_from,B1293&lt;in_marketplace_from+in_card_months),in_card_share/in_card_months*F1293*I1293,IF(AND(B1293&gt;=in_marketplace_from+in_card_months,B1293&lt;in_marketplace_from+2*in_card_months),in_card_share*d_card_rem/in_card_months*F1293*MIN(in_takeup_cap,(1+in_takeup_growth)^(D1293-1))*MIN(in_takeup_cap,(1+in_approval_growth)^(D1293-1)),0))</f>
        <v/>
      </c>
      <c r="AA1293" s="14">
        <f>V1293*in_fee*(1-in_taken_back)</f>
        <v/>
      </c>
      <c r="AB1293" s="14">
        <f>SUMIFS(W1271:W1303,B1271:B1303,B1293-in_dpd_lag)*d_dpd</f>
        <v/>
      </c>
      <c r="AC1293" s="14">
        <f>SUMIFS(W1271:W1303,B1271:B1303,B1293-in_rec_lag)*d_rec</f>
        <v/>
      </c>
      <c r="AD1293" s="14">
        <f>Z1293*in_card_fee</f>
        <v/>
      </c>
      <c r="AE1293" s="40">
        <f>AE1292*(1-IF(B1292&gt;=in_marketplace_from,d_hz_hlth_small*G1292,0))</f>
        <v/>
      </c>
      <c r="AF1293" s="46">
        <f>AE1293*IF(B1293&gt;=in_marketplace_from,d_hz_hlth_small*G1293,0)</f>
        <v/>
      </c>
      <c r="AG1293" s="14">
        <f>F1293*AF1293*in_hlth_small_ticket*in_hlth_small_comm*in_ins_partner_share+F1293*in_hlth_small_ticket*in_hlth_small_renew_comm*in_ins_partner_share*(in_hlth_small_renew^1*SUMIFS(AF1271:AF1303,B1271:B1303,B1293-12)+in_hlth_small_renew^2*SUMIFS(AF1271:AF1303,B1271:B1303,B1293-24)+in_hlth_small_renew^3*SUMIFS(AF1271:AF1303,B1271:B1303,B1293-36)+in_hlth_small_renew^4*SUMIFS(AF1271:AF1303,B1271:B1303,B1293-48))</f>
        <v/>
      </c>
      <c r="AH1293" s="40">
        <f>AH1292*(1-IF(B1292&gt;=in_marketplace_from,d_hz_hlth_family*G1292,0))</f>
        <v/>
      </c>
      <c r="AI1293" s="46">
        <f>AH1293*IF(B1293&gt;=in_marketplace_from,d_hz_hlth_family*G1293,0)</f>
        <v/>
      </c>
      <c r="AJ1293" s="14">
        <f>F1293*AI1293*in_hlth_family_ticket*in_hlth_family_comm*in_ins_partner_share+F1293*in_hlth_family_ticket*in_hlth_family_renew_comm*in_ins_partner_share*(in_hlth_family_renew^1*SUMIFS(AI1271:AI1303,B1271:B1303,B1293-12)+in_hlth_family_renew^2*SUMIFS(AI1271:AI1303,B1271:B1303,B1293-24)+in_hlth_family_renew^3*SUMIFS(AI1271:AI1303,B1271:B1303,B1293-36)+in_hlth_family_renew^4*SUMIFS(AI1271:AI1303,B1271:B1303,B1293-48))</f>
        <v/>
      </c>
      <c r="AK1293" s="40">
        <f>AK1292*(1-IF(B1292&gt;=in_marketplace_from,d_hz_life_term*G1292,0))</f>
        <v/>
      </c>
      <c r="AL1293" s="46">
        <f>AK1293*IF(B1293&gt;=in_marketplace_from,d_hz_life_term*G1293,0)</f>
        <v/>
      </c>
      <c r="AM1293" s="14">
        <f>F1293*AL1293*in_life_term_ticket*in_life_term_comm*in_ins_partner_share+F1293*in_life_term_ticket*in_life_term_renew_comm*in_ins_partner_share*(in_life_term_renew^1*SUMIFS(AL1271:AL1303,B1271:B1303,B1293-12)+in_life_term_renew^2*SUMIFS(AL1271:AL1303,B1271:B1303,B1293-24)+in_life_term_renew^3*SUMIFS(AL1271:AL1303,B1271:B1303,B1293-36)+in_life_term_renew^4*SUMIFS(AL1271:AL1303,B1271:B1303,B1293-48))</f>
        <v/>
      </c>
      <c r="AN1293" s="40">
        <f>AN1292*(1-IF(B1292&gt;=in_marketplace_from,d_hz_accident*G1292,0))</f>
        <v/>
      </c>
      <c r="AO1293" s="46">
        <f>AN1293*IF(B1293&gt;=in_marketplace_from,d_hz_accident*G1293,0)</f>
        <v/>
      </c>
      <c r="AP1293" s="14">
        <f>F1293*AO1293*in_accident_ticket*in_accident_comm*in_ins_partner_share+F1293*in_accident_ticket*in_accident_renew_comm*in_ins_partner_share*(in_accident_renew^1*SUMIFS(AO1271:AO1303,B1271:B1303,B1293-12)+in_accident_renew^2*SUMIFS(AO1271:AO1303,B1271:B1303,B1293-24)+in_accident_renew^3*SUMIFS(AO1271:AO1303,B1271:B1303,B1293-36)+in_accident_renew^4*SUMIFS(AO1271:AO1303,B1271:B1303,B1293-48))</f>
        <v/>
      </c>
      <c r="AQ1293" s="40">
        <f>AQ1292*(1-IF(B1292&gt;=in_marketplace_from,d_hz_two_wheeler*G1292,0))</f>
        <v/>
      </c>
      <c r="AR1293" s="46">
        <f>AQ1293*IF(B1293&gt;=in_marketplace_from,d_hz_two_wheeler*G1293,0)</f>
        <v/>
      </c>
      <c r="AS1293" s="14">
        <f>F1293*AR1293*in_two_wheeler_ticket*in_two_wheeler_comm*in_ins_partner_share+F1293*in_two_wheeler_ticket*in_two_wheeler_comm*in_ins_partner_share*(in_two_wheeler_renew^1*SUMIFS(AR1271:AR1303,B1271:B1303,B1293-12)+in_two_wheeler_renew^2*SUMIFS(AR1271:AR1303,B1271:B1303,B1293-24)+in_two_wheeler_renew^3*SUMIFS(AR1271:AR1303,B1271:B1303,B1293-36)+in_two_wheeler_renew^4*SUMIFS(AR1271:AR1303,B1271:B1303,B1293-48))</f>
        <v/>
      </c>
      <c r="AT1293" s="40">
        <f>AT1292*(1-IF(B1292&gt;=in_marketplace_from,d_hz_device*G1292,0))</f>
        <v/>
      </c>
      <c r="AU1293" s="14">
        <f>F1293*AT1293*IF(B1293&gt;=in_marketplace_from,d_hz_device*G1293,0)*in_device_ticket*in_device_comm*in_ins_partner_share</f>
        <v/>
      </c>
      <c r="AV1293" s="40">
        <f>AV1292*(1-IF(B1292&gt;=in_marketplace_from,d_hz_shop*G1292,0))</f>
        <v/>
      </c>
      <c r="AW1293" s="46">
        <f>AV1293*IF(B1293&gt;=in_marketplace_from,d_hz_shop*G1293,0)</f>
        <v/>
      </c>
      <c r="AX1293" s="14">
        <f>F1293*AW1293*in_shop_ticket*in_shop_comm*in_ins_partner_share+F1293*in_shop_ticket*in_shop_renew_comm*in_ins_partner_share*(in_shop_renew^1*SUMIFS(AW1271:AW1303,B1271:B1303,B1293-12)+in_shop_renew^2*SUMIFS(AW1271:AW1303,B1271:B1303,B1293-24)+in_shop_renew^3*SUMIFS(AW1271:AW1303,B1271:B1303,B1293-36)+in_shop_renew^4*SUMIFS(AW1271:AW1303,B1271:B1303,B1293-48))</f>
        <v/>
      </c>
      <c r="AY1293" s="40">
        <f>AY1292*(1-IF(B1292&gt;=in_marketplace_from,d_hz_sip*G1292,0))</f>
        <v/>
      </c>
      <c r="AZ1293" s="40">
        <f>AZ1292*d_rho_sip+AY1293*IF(B1293&gt;=in_marketplace_from,d_hz_sip*G1293,0)</f>
        <v/>
      </c>
      <c r="BA1293" s="40">
        <f>d_rho_sip*(BA1292+AZ1292)</f>
        <v/>
      </c>
      <c r="BB1293" s="14">
        <f>F1293*in_sip_ticket*(BA1293+0.5*AZ1293)*in_sip_comm/12</f>
        <v/>
      </c>
      <c r="BC1293" s="40">
        <f>BC1292*(1-IF(B1292&gt;=in_marketplace_from,d_hz_choti*G1292,0))</f>
        <v/>
      </c>
      <c r="BD1293" s="46">
        <f>BC1293*IF(B1293&gt;=in_marketplace_from,d_hz_choti*G1293,0)</f>
        <v/>
      </c>
      <c r="BE1293" s="14">
        <f>F1293*SUMIFS(BD1271:BD1303,B1271:B1303,B1293-in_choti_months)*in_choti_renew*in_choti_ticket</f>
        <v/>
      </c>
      <c r="BF1293" s="40">
        <f>BF1292*(1-IF(B1292&gt;=in_marketplace_from,d_hz_nps*G1292,0))</f>
        <v/>
      </c>
      <c r="BG1293" s="14">
        <f>F1293*BF1293*IF(B1293&gt;=in_marketplace_from,d_hz_nps*G1293,0)*in_nps_ticket*in_nps_comm</f>
        <v/>
      </c>
      <c r="BH1293" s="40">
        <f>BH1292*(1-IF(B1292&gt;=in_marketplace_from,d_hz_gold*G1292,0))</f>
        <v/>
      </c>
      <c r="BI1293" s="40">
        <f>BI1292*d_rho_gold+BH1293*IF(B1293&gt;=in_marketplace_from,d_hz_gold*G1293,0)</f>
        <v/>
      </c>
      <c r="BJ1293" s="14">
        <f>F1293*BI1293*in_gold_ticket*in_gold_comm</f>
        <v/>
      </c>
      <c r="BK1293" s="40">
        <f>BK1292*(1-IF(B1292&gt;=in_marketplace_from,d_hz_fd*G1292,0))</f>
        <v/>
      </c>
      <c r="BL1293" s="14">
        <f>F1293*BK1293*IF(B1293&gt;=in_marketplace_from,d_hz_fd*G1293,0)*in_fd_ticket*in_fd_comm</f>
        <v/>
      </c>
      <c r="BM1293" s="40">
        <f>BM1292*(1-IF(B1292&gt;=in_marketplace_from,d_hz_recharge*G1292,0))</f>
        <v/>
      </c>
      <c r="BN1293" s="40">
        <f>BN1292*d_rho_recharge+BM1293*IF(B1293&gt;=in_marketplace_from,d_hz_recharge*G1293,0)</f>
        <v/>
      </c>
      <c r="BO1293" s="14">
        <f>F1293*BN1293*in_recharge_ticket*in_recharge_comm/12</f>
        <v/>
      </c>
      <c r="BP1293" s="40">
        <f>BP1292*(1-IF(B1292&gt;=in_marketplace_from,d_hz_bills*G1292,0))</f>
        <v/>
      </c>
      <c r="BQ1293" s="40">
        <f>BQ1292*d_rho_bills+BP1293*IF(B1293&gt;=in_marketplace_from,d_hz_bills*G1293,0)</f>
        <v/>
      </c>
      <c r="BR1293" s="14">
        <f>F1293*BQ1293*in_bills_ticket*in_bills_comm/12</f>
        <v/>
      </c>
      <c r="BS1293" s="40">
        <f>BS1292*(1-IF(B1292&gt;=in_marketplace_from,d_hz_loan_gold*G1292,0))</f>
        <v/>
      </c>
      <c r="BT1293" s="14">
        <f>F1293*BS1293*IF(B1293&gt;=in_marketplace_from,d_hz_loan_gold*G1293,0)*in_loan_gold_ticket*in_loan_gold_comm</f>
        <v/>
      </c>
      <c r="BU1293" s="40">
        <f>BU1292*(1-IF(B1292&gt;=in_marketplace_from,d_hz_loan_cd*G1292,0))</f>
        <v/>
      </c>
      <c r="BV1293" s="14">
        <f>F1293*BU1293*IF(B1293&gt;=in_marketplace_from,d_hz_loan_cd*G1293,0)*in_loan_cd_ticket*in_loan_cd_comm</f>
        <v/>
      </c>
      <c r="BW1293" s="40">
        <f>BW1292*(1-IF(B1292&gt;=in_marketplace_from,d_hz_loan_vehicle*G1292,0))</f>
        <v/>
      </c>
      <c r="BX1293" s="14">
        <f>F1293*BW1293*IF(B1293&gt;=in_marketplace_from,d_hz_loan_vehicle*G1293,0)*in_loan_vehicle_ticket*in_loan_vehicle_comm</f>
        <v/>
      </c>
      <c r="BY1293" s="40">
        <f>BY1292*(1-IF(B1292&gt;=in_marketplace_from,d_hz_loan_home*G1292,0)*BZ1292)</f>
        <v/>
      </c>
      <c r="BZ1293" s="11">
        <f>MIN(in_approval_cap,in_loan_home_approval*INDEX('Age profile'!$O$2:$O$61,B1293)*(1+in_approval_growth)^(D1293-1))</f>
        <v/>
      </c>
      <c r="CA1293" s="14">
        <f>F1293*BY1293*IF(B1293&gt;=in_marketplace_from,d_hz_loan_home*G1293,0)*BZ1293*in_loan_home_ticket*in_loan_home_comm</f>
        <v/>
      </c>
      <c r="CB1293" s="40">
        <f>CB1292*(1-IF(B1292&gt;=in_marketplace_from,d_hz_loan_lap*G1292,0)*CC1292)</f>
        <v/>
      </c>
      <c r="CC1293" s="11">
        <f>MIN(in_approval_cap,in_loan_lap_approval*INDEX('Age profile'!$O$2:$O$61,B1293)*(1+in_approval_growth)^(D1293-1))</f>
        <v/>
      </c>
      <c r="CD1293" s="14">
        <f>F1293*CB1293*IF(B1293&gt;=in_marketplace_from,d_hz_loan_lap*G1293,0)*CC1293*in_loan_lap_ticket*in_loan_lap_comm</f>
        <v/>
      </c>
      <c r="CE1293" s="14">
        <f>AA1293+AB1293+AC1293+AD1293+AG1293+AJ1293+AM1293+AP1293+AS1293+AU1293+AX1293+BB1293+BE1293+BG1293+BJ1293+BL1293+BO1293+BR1293+BT1293+BV1293+BX1293+CA1293+CD1293</f>
        <v/>
      </c>
    </row>
    <row r="1294">
      <c r="A1294" s="39" t="n">
        <v>28</v>
      </c>
      <c r="B1294" s="39" t="n">
        <v>24</v>
      </c>
      <c r="C1294" s="39">
        <f>A1294+B1294-1</f>
        <v/>
      </c>
      <c r="D1294" s="39">
        <f>INT((C1294-1)/12)+1</f>
        <v/>
      </c>
      <c r="E1294" s="44">
        <f>INDEX(Monthly!$B$2:$B$61,A1294)</f>
        <v/>
      </c>
      <c r="F1294" s="44">
        <f>E1294*INDEX('Age profile'!$B$2:$B$61,B1294)</f>
        <v/>
      </c>
      <c r="G1294" s="45">
        <f>MIN(in_takeup_cap,INDEX('Age profile'!$N$2:$N$61,B1294)*(1+in_takeup_growth)^(D1294-1))</f>
        <v/>
      </c>
      <c r="H1294" s="11">
        <f>MIN(in_approval_cap,in_approved_first*INDEX('Age profile'!$O$2:$O$61,B1294)*(1+in_approval_growth)^(D1294-1))</f>
        <v/>
      </c>
      <c r="I1294" s="45">
        <f>G1294*MIN(in_takeup_cap,INDEX('Age profile'!$O$2:$O$61,B1294)*(1+in_approval_growth)^(D1294-1))</f>
        <v/>
      </c>
      <c r="J1294" s="40">
        <f>(J1293-L1293)*F1294/F1293</f>
        <v/>
      </c>
      <c r="K1294" s="40">
        <f>(K1293-M1293)*F1294/F1293+SUMIFS(O1271:O1293,B1271:B1293,B1294-1-d_T)*F1294</f>
        <v/>
      </c>
      <c r="L1294" s="40">
        <f>IF(B1294&gt;=in_marketplace_from,J1294*d_hz*G1294*in_eligible*H1294,0)</f>
        <v/>
      </c>
      <c r="M1294" s="40">
        <f>IF(B1294&gt;=in_marketplace_from,K1294*d_hz*G1294*in_eligible*in_approved_repeat,0)</f>
        <v/>
      </c>
      <c r="N1294" s="40">
        <f>L1294+M1294</f>
        <v/>
      </c>
      <c r="O1294" s="46">
        <f>N1294/F1294</f>
        <v/>
      </c>
      <c r="P1294" s="40">
        <f>F1294-J1294-K1294</f>
        <v/>
      </c>
      <c r="Q1294" s="40">
        <f>IF(B1294&gt;=in_marketplace_from,(J1294+K1294)*d_hz*G1294,0)</f>
        <v/>
      </c>
      <c r="R1294" s="40">
        <f>SUMIFS(N1271:N1303,B1271:B1303,"&gt;="&amp;(B1294-d_T),B1271:B1303,"&lt;="&amp;(B1294-1))</f>
        <v/>
      </c>
      <c r="S1294" s="46">
        <f>(1-d_u)*S1293+IF(d_T&gt;in_topup_lag,SUMIFS(O1271:O1303,B1271:B1303,B1294-in_topup_lag)-d_udrop*SUMIFS(O1271:O1303,B1271:B1303,B1294-d_T),0)</f>
        <v/>
      </c>
      <c r="T1294" s="40">
        <f>F1294*d_u*S1294</f>
        <v/>
      </c>
      <c r="U1294" s="9">
        <f>L1294*in_ticket+M1294*d_rep_ticket</f>
        <v/>
      </c>
      <c r="V1294" s="9">
        <f>U1294+T1294*d_topup_amt</f>
        <v/>
      </c>
      <c r="W1294" s="40">
        <f>N1294+T1294*d_topup_ratio</f>
        <v/>
      </c>
      <c r="X1294" s="40">
        <f>SUMIFS(W1271:W1303,B1271:B1303,B1294-in_dpd_lag)*d_cured</f>
        <v/>
      </c>
      <c r="Y1294" s="40">
        <f>SUMIFS(W1271:W1303,B1271:B1303,B1294-in_rec_lag)*d_recd</f>
        <v/>
      </c>
      <c r="Z1294" s="40">
        <f>IF(AND(B1294&gt;=in_marketplace_from,B1294&lt;in_marketplace_from+in_card_months),in_card_share/in_card_months*F1294*I1294,IF(AND(B1294&gt;=in_marketplace_from+in_card_months,B1294&lt;in_marketplace_from+2*in_card_months),in_card_share*d_card_rem/in_card_months*F1294*MIN(in_takeup_cap,(1+in_takeup_growth)^(D1294-1))*MIN(in_takeup_cap,(1+in_approval_growth)^(D1294-1)),0))</f>
        <v/>
      </c>
      <c r="AA1294" s="14">
        <f>V1294*in_fee*(1-in_taken_back)</f>
        <v/>
      </c>
      <c r="AB1294" s="14">
        <f>SUMIFS(W1271:W1303,B1271:B1303,B1294-in_dpd_lag)*d_dpd</f>
        <v/>
      </c>
      <c r="AC1294" s="14">
        <f>SUMIFS(W1271:W1303,B1271:B1303,B1294-in_rec_lag)*d_rec</f>
        <v/>
      </c>
      <c r="AD1294" s="14">
        <f>Z1294*in_card_fee</f>
        <v/>
      </c>
      <c r="AE1294" s="40">
        <f>AE1293*(1-IF(B1293&gt;=in_marketplace_from,d_hz_hlth_small*G1293,0))</f>
        <v/>
      </c>
      <c r="AF1294" s="46">
        <f>AE1294*IF(B1294&gt;=in_marketplace_from,d_hz_hlth_small*G1294,0)</f>
        <v/>
      </c>
      <c r="AG1294" s="14">
        <f>F1294*AF1294*in_hlth_small_ticket*in_hlth_small_comm*in_ins_partner_share+F1294*in_hlth_small_ticket*in_hlth_small_renew_comm*in_ins_partner_share*(in_hlth_small_renew^1*SUMIFS(AF1271:AF1303,B1271:B1303,B1294-12)+in_hlth_small_renew^2*SUMIFS(AF1271:AF1303,B1271:B1303,B1294-24)+in_hlth_small_renew^3*SUMIFS(AF1271:AF1303,B1271:B1303,B1294-36)+in_hlth_small_renew^4*SUMIFS(AF1271:AF1303,B1271:B1303,B1294-48))</f>
        <v/>
      </c>
      <c r="AH1294" s="40">
        <f>AH1293*(1-IF(B1293&gt;=in_marketplace_from,d_hz_hlth_family*G1293,0))</f>
        <v/>
      </c>
      <c r="AI1294" s="46">
        <f>AH1294*IF(B1294&gt;=in_marketplace_from,d_hz_hlth_family*G1294,0)</f>
        <v/>
      </c>
      <c r="AJ1294" s="14">
        <f>F1294*AI1294*in_hlth_family_ticket*in_hlth_family_comm*in_ins_partner_share+F1294*in_hlth_family_ticket*in_hlth_family_renew_comm*in_ins_partner_share*(in_hlth_family_renew^1*SUMIFS(AI1271:AI1303,B1271:B1303,B1294-12)+in_hlth_family_renew^2*SUMIFS(AI1271:AI1303,B1271:B1303,B1294-24)+in_hlth_family_renew^3*SUMIFS(AI1271:AI1303,B1271:B1303,B1294-36)+in_hlth_family_renew^4*SUMIFS(AI1271:AI1303,B1271:B1303,B1294-48))</f>
        <v/>
      </c>
      <c r="AK1294" s="40">
        <f>AK1293*(1-IF(B1293&gt;=in_marketplace_from,d_hz_life_term*G1293,0))</f>
        <v/>
      </c>
      <c r="AL1294" s="46">
        <f>AK1294*IF(B1294&gt;=in_marketplace_from,d_hz_life_term*G1294,0)</f>
        <v/>
      </c>
      <c r="AM1294" s="14">
        <f>F1294*AL1294*in_life_term_ticket*in_life_term_comm*in_ins_partner_share+F1294*in_life_term_ticket*in_life_term_renew_comm*in_ins_partner_share*(in_life_term_renew^1*SUMIFS(AL1271:AL1303,B1271:B1303,B1294-12)+in_life_term_renew^2*SUMIFS(AL1271:AL1303,B1271:B1303,B1294-24)+in_life_term_renew^3*SUMIFS(AL1271:AL1303,B1271:B1303,B1294-36)+in_life_term_renew^4*SUMIFS(AL1271:AL1303,B1271:B1303,B1294-48))</f>
        <v/>
      </c>
      <c r="AN1294" s="40">
        <f>AN1293*(1-IF(B1293&gt;=in_marketplace_from,d_hz_accident*G1293,0))</f>
        <v/>
      </c>
      <c r="AO1294" s="46">
        <f>AN1294*IF(B1294&gt;=in_marketplace_from,d_hz_accident*G1294,0)</f>
        <v/>
      </c>
      <c r="AP1294" s="14">
        <f>F1294*AO1294*in_accident_ticket*in_accident_comm*in_ins_partner_share+F1294*in_accident_ticket*in_accident_renew_comm*in_ins_partner_share*(in_accident_renew^1*SUMIFS(AO1271:AO1303,B1271:B1303,B1294-12)+in_accident_renew^2*SUMIFS(AO1271:AO1303,B1271:B1303,B1294-24)+in_accident_renew^3*SUMIFS(AO1271:AO1303,B1271:B1303,B1294-36)+in_accident_renew^4*SUMIFS(AO1271:AO1303,B1271:B1303,B1294-48))</f>
        <v/>
      </c>
      <c r="AQ1294" s="40">
        <f>AQ1293*(1-IF(B1293&gt;=in_marketplace_from,d_hz_two_wheeler*G1293,0))</f>
        <v/>
      </c>
      <c r="AR1294" s="46">
        <f>AQ1294*IF(B1294&gt;=in_marketplace_from,d_hz_two_wheeler*G1294,0)</f>
        <v/>
      </c>
      <c r="AS1294" s="14">
        <f>F1294*AR1294*in_two_wheeler_ticket*in_two_wheeler_comm*in_ins_partner_share+F1294*in_two_wheeler_ticket*in_two_wheeler_comm*in_ins_partner_share*(in_two_wheeler_renew^1*SUMIFS(AR1271:AR1303,B1271:B1303,B1294-12)+in_two_wheeler_renew^2*SUMIFS(AR1271:AR1303,B1271:B1303,B1294-24)+in_two_wheeler_renew^3*SUMIFS(AR1271:AR1303,B1271:B1303,B1294-36)+in_two_wheeler_renew^4*SUMIFS(AR1271:AR1303,B1271:B1303,B1294-48))</f>
        <v/>
      </c>
      <c r="AT1294" s="40">
        <f>AT1293*(1-IF(B1293&gt;=in_marketplace_from,d_hz_device*G1293,0))</f>
        <v/>
      </c>
      <c r="AU1294" s="14">
        <f>F1294*AT1294*IF(B1294&gt;=in_marketplace_from,d_hz_device*G1294,0)*in_device_ticket*in_device_comm*in_ins_partner_share</f>
        <v/>
      </c>
      <c r="AV1294" s="40">
        <f>AV1293*(1-IF(B1293&gt;=in_marketplace_from,d_hz_shop*G1293,0))</f>
        <v/>
      </c>
      <c r="AW1294" s="46">
        <f>AV1294*IF(B1294&gt;=in_marketplace_from,d_hz_shop*G1294,0)</f>
        <v/>
      </c>
      <c r="AX1294" s="14">
        <f>F1294*AW1294*in_shop_ticket*in_shop_comm*in_ins_partner_share+F1294*in_shop_ticket*in_shop_renew_comm*in_ins_partner_share*(in_shop_renew^1*SUMIFS(AW1271:AW1303,B1271:B1303,B1294-12)+in_shop_renew^2*SUMIFS(AW1271:AW1303,B1271:B1303,B1294-24)+in_shop_renew^3*SUMIFS(AW1271:AW1303,B1271:B1303,B1294-36)+in_shop_renew^4*SUMIFS(AW1271:AW1303,B1271:B1303,B1294-48))</f>
        <v/>
      </c>
      <c r="AY1294" s="40">
        <f>AY1293*(1-IF(B1293&gt;=in_marketplace_from,d_hz_sip*G1293,0))</f>
        <v/>
      </c>
      <c r="AZ1294" s="40">
        <f>AZ1293*d_rho_sip+AY1294*IF(B1294&gt;=in_marketplace_from,d_hz_sip*G1294,0)</f>
        <v/>
      </c>
      <c r="BA1294" s="40">
        <f>d_rho_sip*(BA1293+AZ1293)</f>
        <v/>
      </c>
      <c r="BB1294" s="14">
        <f>F1294*in_sip_ticket*(BA1294+0.5*AZ1294)*in_sip_comm/12</f>
        <v/>
      </c>
      <c r="BC1294" s="40">
        <f>BC1293*(1-IF(B1293&gt;=in_marketplace_from,d_hz_choti*G1293,0))</f>
        <v/>
      </c>
      <c r="BD1294" s="46">
        <f>BC1294*IF(B1294&gt;=in_marketplace_from,d_hz_choti*G1294,0)</f>
        <v/>
      </c>
      <c r="BE1294" s="14">
        <f>F1294*SUMIFS(BD1271:BD1303,B1271:B1303,B1294-in_choti_months)*in_choti_renew*in_choti_ticket</f>
        <v/>
      </c>
      <c r="BF1294" s="40">
        <f>BF1293*(1-IF(B1293&gt;=in_marketplace_from,d_hz_nps*G1293,0))</f>
        <v/>
      </c>
      <c r="BG1294" s="14">
        <f>F1294*BF1294*IF(B1294&gt;=in_marketplace_from,d_hz_nps*G1294,0)*in_nps_ticket*in_nps_comm</f>
        <v/>
      </c>
      <c r="BH1294" s="40">
        <f>BH1293*(1-IF(B1293&gt;=in_marketplace_from,d_hz_gold*G1293,0))</f>
        <v/>
      </c>
      <c r="BI1294" s="40">
        <f>BI1293*d_rho_gold+BH1294*IF(B1294&gt;=in_marketplace_from,d_hz_gold*G1294,0)</f>
        <v/>
      </c>
      <c r="BJ1294" s="14">
        <f>F1294*BI1294*in_gold_ticket*in_gold_comm</f>
        <v/>
      </c>
      <c r="BK1294" s="40">
        <f>BK1293*(1-IF(B1293&gt;=in_marketplace_from,d_hz_fd*G1293,0))</f>
        <v/>
      </c>
      <c r="BL1294" s="14">
        <f>F1294*BK1294*IF(B1294&gt;=in_marketplace_from,d_hz_fd*G1294,0)*in_fd_ticket*in_fd_comm</f>
        <v/>
      </c>
      <c r="BM1294" s="40">
        <f>BM1293*(1-IF(B1293&gt;=in_marketplace_from,d_hz_recharge*G1293,0))</f>
        <v/>
      </c>
      <c r="BN1294" s="40">
        <f>BN1293*d_rho_recharge+BM1294*IF(B1294&gt;=in_marketplace_from,d_hz_recharge*G1294,0)</f>
        <v/>
      </c>
      <c r="BO1294" s="14">
        <f>F1294*BN1294*in_recharge_ticket*in_recharge_comm/12</f>
        <v/>
      </c>
      <c r="BP1294" s="40">
        <f>BP1293*(1-IF(B1293&gt;=in_marketplace_from,d_hz_bills*G1293,0))</f>
        <v/>
      </c>
      <c r="BQ1294" s="40">
        <f>BQ1293*d_rho_bills+BP1294*IF(B1294&gt;=in_marketplace_from,d_hz_bills*G1294,0)</f>
        <v/>
      </c>
      <c r="BR1294" s="14">
        <f>F1294*BQ1294*in_bills_ticket*in_bills_comm/12</f>
        <v/>
      </c>
      <c r="BS1294" s="40">
        <f>BS1293*(1-IF(B1293&gt;=in_marketplace_from,d_hz_loan_gold*G1293,0))</f>
        <v/>
      </c>
      <c r="BT1294" s="14">
        <f>F1294*BS1294*IF(B1294&gt;=in_marketplace_from,d_hz_loan_gold*G1294,0)*in_loan_gold_ticket*in_loan_gold_comm</f>
        <v/>
      </c>
      <c r="BU1294" s="40">
        <f>BU1293*(1-IF(B1293&gt;=in_marketplace_from,d_hz_loan_cd*G1293,0))</f>
        <v/>
      </c>
      <c r="BV1294" s="14">
        <f>F1294*BU1294*IF(B1294&gt;=in_marketplace_from,d_hz_loan_cd*G1294,0)*in_loan_cd_ticket*in_loan_cd_comm</f>
        <v/>
      </c>
      <c r="BW1294" s="40">
        <f>BW1293*(1-IF(B1293&gt;=in_marketplace_from,d_hz_loan_vehicle*G1293,0))</f>
        <v/>
      </c>
      <c r="BX1294" s="14">
        <f>F1294*BW1294*IF(B1294&gt;=in_marketplace_from,d_hz_loan_vehicle*G1294,0)*in_loan_vehicle_ticket*in_loan_vehicle_comm</f>
        <v/>
      </c>
      <c r="BY1294" s="40">
        <f>BY1293*(1-IF(B1293&gt;=in_marketplace_from,d_hz_loan_home*G1293,0)*BZ1293)</f>
        <v/>
      </c>
      <c r="BZ1294" s="11">
        <f>MIN(in_approval_cap,in_loan_home_approval*INDEX('Age profile'!$O$2:$O$61,B1294)*(1+in_approval_growth)^(D1294-1))</f>
        <v/>
      </c>
      <c r="CA1294" s="14">
        <f>F1294*BY1294*IF(B1294&gt;=in_marketplace_from,d_hz_loan_home*G1294,0)*BZ1294*in_loan_home_ticket*in_loan_home_comm</f>
        <v/>
      </c>
      <c r="CB1294" s="40">
        <f>CB1293*(1-IF(B1293&gt;=in_marketplace_from,d_hz_loan_lap*G1293,0)*CC1293)</f>
        <v/>
      </c>
      <c r="CC1294" s="11">
        <f>MIN(in_approval_cap,in_loan_lap_approval*INDEX('Age profile'!$O$2:$O$61,B1294)*(1+in_approval_growth)^(D1294-1))</f>
        <v/>
      </c>
      <c r="CD1294" s="14">
        <f>F1294*CB1294*IF(B1294&gt;=in_marketplace_from,d_hz_loan_lap*G1294,0)*CC1294*in_loan_lap_ticket*in_loan_lap_comm</f>
        <v/>
      </c>
      <c r="CE1294" s="14">
        <f>AA1294+AB1294+AC1294+AD1294+AG1294+AJ1294+AM1294+AP1294+AS1294+AU1294+AX1294+BB1294+BE1294+BG1294+BJ1294+BL1294+BO1294+BR1294+BT1294+BV1294+BX1294+CA1294+CD1294</f>
        <v/>
      </c>
    </row>
    <row r="1295">
      <c r="A1295" s="39" t="n">
        <v>28</v>
      </c>
      <c r="B1295" s="39" t="n">
        <v>25</v>
      </c>
      <c r="C1295" s="39">
        <f>A1295+B1295-1</f>
        <v/>
      </c>
      <c r="D1295" s="39">
        <f>INT((C1295-1)/12)+1</f>
        <v/>
      </c>
      <c r="E1295" s="44">
        <f>INDEX(Monthly!$B$2:$B$61,A1295)</f>
        <v/>
      </c>
      <c r="F1295" s="44">
        <f>E1295*INDEX('Age profile'!$B$2:$B$61,B1295)</f>
        <v/>
      </c>
      <c r="G1295" s="45">
        <f>MIN(in_takeup_cap,INDEX('Age profile'!$N$2:$N$61,B1295)*(1+in_takeup_growth)^(D1295-1))</f>
        <v/>
      </c>
      <c r="H1295" s="11">
        <f>MIN(in_approval_cap,in_approved_first*INDEX('Age profile'!$O$2:$O$61,B1295)*(1+in_approval_growth)^(D1295-1))</f>
        <v/>
      </c>
      <c r="I1295" s="45">
        <f>G1295*MIN(in_takeup_cap,INDEX('Age profile'!$O$2:$O$61,B1295)*(1+in_approval_growth)^(D1295-1))</f>
        <v/>
      </c>
      <c r="J1295" s="40">
        <f>(J1294-L1294)*F1295/F1294</f>
        <v/>
      </c>
      <c r="K1295" s="40">
        <f>(K1294-M1294)*F1295/F1294+SUMIFS(O1271:O1294,B1271:B1294,B1295-1-d_T)*F1295</f>
        <v/>
      </c>
      <c r="L1295" s="40">
        <f>IF(B1295&gt;=in_marketplace_from,J1295*d_hz*G1295*in_eligible*H1295,0)</f>
        <v/>
      </c>
      <c r="M1295" s="40">
        <f>IF(B1295&gt;=in_marketplace_from,K1295*d_hz*G1295*in_eligible*in_approved_repeat,0)</f>
        <v/>
      </c>
      <c r="N1295" s="40">
        <f>L1295+M1295</f>
        <v/>
      </c>
      <c r="O1295" s="46">
        <f>N1295/F1295</f>
        <v/>
      </c>
      <c r="P1295" s="40">
        <f>F1295-J1295-K1295</f>
        <v/>
      </c>
      <c r="Q1295" s="40">
        <f>IF(B1295&gt;=in_marketplace_from,(J1295+K1295)*d_hz*G1295,0)</f>
        <v/>
      </c>
      <c r="R1295" s="40">
        <f>SUMIFS(N1271:N1303,B1271:B1303,"&gt;="&amp;(B1295-d_T),B1271:B1303,"&lt;="&amp;(B1295-1))</f>
        <v/>
      </c>
      <c r="S1295" s="46">
        <f>(1-d_u)*S1294+IF(d_T&gt;in_topup_lag,SUMIFS(O1271:O1303,B1271:B1303,B1295-in_topup_lag)-d_udrop*SUMIFS(O1271:O1303,B1271:B1303,B1295-d_T),0)</f>
        <v/>
      </c>
      <c r="T1295" s="40">
        <f>F1295*d_u*S1295</f>
        <v/>
      </c>
      <c r="U1295" s="9">
        <f>L1295*in_ticket+M1295*d_rep_ticket</f>
        <v/>
      </c>
      <c r="V1295" s="9">
        <f>U1295+T1295*d_topup_amt</f>
        <v/>
      </c>
      <c r="W1295" s="40">
        <f>N1295+T1295*d_topup_ratio</f>
        <v/>
      </c>
      <c r="X1295" s="40">
        <f>SUMIFS(W1271:W1303,B1271:B1303,B1295-in_dpd_lag)*d_cured</f>
        <v/>
      </c>
      <c r="Y1295" s="40">
        <f>SUMIFS(W1271:W1303,B1271:B1303,B1295-in_rec_lag)*d_recd</f>
        <v/>
      </c>
      <c r="Z1295" s="40">
        <f>IF(AND(B1295&gt;=in_marketplace_from,B1295&lt;in_marketplace_from+in_card_months),in_card_share/in_card_months*F1295*I1295,IF(AND(B1295&gt;=in_marketplace_from+in_card_months,B1295&lt;in_marketplace_from+2*in_card_months),in_card_share*d_card_rem/in_card_months*F1295*MIN(in_takeup_cap,(1+in_takeup_growth)^(D1295-1))*MIN(in_takeup_cap,(1+in_approval_growth)^(D1295-1)),0))</f>
        <v/>
      </c>
      <c r="AA1295" s="14">
        <f>V1295*in_fee*(1-in_taken_back)</f>
        <v/>
      </c>
      <c r="AB1295" s="14">
        <f>SUMIFS(W1271:W1303,B1271:B1303,B1295-in_dpd_lag)*d_dpd</f>
        <v/>
      </c>
      <c r="AC1295" s="14">
        <f>SUMIFS(W1271:W1303,B1271:B1303,B1295-in_rec_lag)*d_rec</f>
        <v/>
      </c>
      <c r="AD1295" s="14">
        <f>Z1295*in_card_fee</f>
        <v/>
      </c>
      <c r="AE1295" s="40">
        <f>AE1294*(1-IF(B1294&gt;=in_marketplace_from,d_hz_hlth_small*G1294,0))</f>
        <v/>
      </c>
      <c r="AF1295" s="46">
        <f>AE1295*IF(B1295&gt;=in_marketplace_from,d_hz_hlth_small*G1295,0)</f>
        <v/>
      </c>
      <c r="AG1295" s="14">
        <f>F1295*AF1295*in_hlth_small_ticket*in_hlth_small_comm*in_ins_partner_share+F1295*in_hlth_small_ticket*in_hlth_small_renew_comm*in_ins_partner_share*(in_hlth_small_renew^1*SUMIFS(AF1271:AF1303,B1271:B1303,B1295-12)+in_hlth_small_renew^2*SUMIFS(AF1271:AF1303,B1271:B1303,B1295-24)+in_hlth_small_renew^3*SUMIFS(AF1271:AF1303,B1271:B1303,B1295-36)+in_hlth_small_renew^4*SUMIFS(AF1271:AF1303,B1271:B1303,B1295-48))</f>
        <v/>
      </c>
      <c r="AH1295" s="40">
        <f>AH1294*(1-IF(B1294&gt;=in_marketplace_from,d_hz_hlth_family*G1294,0))</f>
        <v/>
      </c>
      <c r="AI1295" s="46">
        <f>AH1295*IF(B1295&gt;=in_marketplace_from,d_hz_hlth_family*G1295,0)</f>
        <v/>
      </c>
      <c r="AJ1295" s="14">
        <f>F1295*AI1295*in_hlth_family_ticket*in_hlth_family_comm*in_ins_partner_share+F1295*in_hlth_family_ticket*in_hlth_family_renew_comm*in_ins_partner_share*(in_hlth_family_renew^1*SUMIFS(AI1271:AI1303,B1271:B1303,B1295-12)+in_hlth_family_renew^2*SUMIFS(AI1271:AI1303,B1271:B1303,B1295-24)+in_hlth_family_renew^3*SUMIFS(AI1271:AI1303,B1271:B1303,B1295-36)+in_hlth_family_renew^4*SUMIFS(AI1271:AI1303,B1271:B1303,B1295-48))</f>
        <v/>
      </c>
      <c r="AK1295" s="40">
        <f>AK1294*(1-IF(B1294&gt;=in_marketplace_from,d_hz_life_term*G1294,0))</f>
        <v/>
      </c>
      <c r="AL1295" s="46">
        <f>AK1295*IF(B1295&gt;=in_marketplace_from,d_hz_life_term*G1295,0)</f>
        <v/>
      </c>
      <c r="AM1295" s="14">
        <f>F1295*AL1295*in_life_term_ticket*in_life_term_comm*in_ins_partner_share+F1295*in_life_term_ticket*in_life_term_renew_comm*in_ins_partner_share*(in_life_term_renew^1*SUMIFS(AL1271:AL1303,B1271:B1303,B1295-12)+in_life_term_renew^2*SUMIFS(AL1271:AL1303,B1271:B1303,B1295-24)+in_life_term_renew^3*SUMIFS(AL1271:AL1303,B1271:B1303,B1295-36)+in_life_term_renew^4*SUMIFS(AL1271:AL1303,B1271:B1303,B1295-48))</f>
        <v/>
      </c>
      <c r="AN1295" s="40">
        <f>AN1294*(1-IF(B1294&gt;=in_marketplace_from,d_hz_accident*G1294,0))</f>
        <v/>
      </c>
      <c r="AO1295" s="46">
        <f>AN1295*IF(B1295&gt;=in_marketplace_from,d_hz_accident*G1295,0)</f>
        <v/>
      </c>
      <c r="AP1295" s="14">
        <f>F1295*AO1295*in_accident_ticket*in_accident_comm*in_ins_partner_share+F1295*in_accident_ticket*in_accident_renew_comm*in_ins_partner_share*(in_accident_renew^1*SUMIFS(AO1271:AO1303,B1271:B1303,B1295-12)+in_accident_renew^2*SUMIFS(AO1271:AO1303,B1271:B1303,B1295-24)+in_accident_renew^3*SUMIFS(AO1271:AO1303,B1271:B1303,B1295-36)+in_accident_renew^4*SUMIFS(AO1271:AO1303,B1271:B1303,B1295-48))</f>
        <v/>
      </c>
      <c r="AQ1295" s="40">
        <f>AQ1294*(1-IF(B1294&gt;=in_marketplace_from,d_hz_two_wheeler*G1294,0))</f>
        <v/>
      </c>
      <c r="AR1295" s="46">
        <f>AQ1295*IF(B1295&gt;=in_marketplace_from,d_hz_two_wheeler*G1295,0)</f>
        <v/>
      </c>
      <c r="AS1295" s="14">
        <f>F1295*AR1295*in_two_wheeler_ticket*in_two_wheeler_comm*in_ins_partner_share+F1295*in_two_wheeler_ticket*in_two_wheeler_comm*in_ins_partner_share*(in_two_wheeler_renew^1*SUMIFS(AR1271:AR1303,B1271:B1303,B1295-12)+in_two_wheeler_renew^2*SUMIFS(AR1271:AR1303,B1271:B1303,B1295-24)+in_two_wheeler_renew^3*SUMIFS(AR1271:AR1303,B1271:B1303,B1295-36)+in_two_wheeler_renew^4*SUMIFS(AR1271:AR1303,B1271:B1303,B1295-48))</f>
        <v/>
      </c>
      <c r="AT1295" s="40">
        <f>AT1294*(1-IF(B1294&gt;=in_marketplace_from,d_hz_device*G1294,0))</f>
        <v/>
      </c>
      <c r="AU1295" s="14">
        <f>F1295*AT1295*IF(B1295&gt;=in_marketplace_from,d_hz_device*G1295,0)*in_device_ticket*in_device_comm*in_ins_partner_share</f>
        <v/>
      </c>
      <c r="AV1295" s="40">
        <f>AV1294*(1-IF(B1294&gt;=in_marketplace_from,d_hz_shop*G1294,0))</f>
        <v/>
      </c>
      <c r="AW1295" s="46">
        <f>AV1295*IF(B1295&gt;=in_marketplace_from,d_hz_shop*G1295,0)</f>
        <v/>
      </c>
      <c r="AX1295" s="14">
        <f>F1295*AW1295*in_shop_ticket*in_shop_comm*in_ins_partner_share+F1295*in_shop_ticket*in_shop_renew_comm*in_ins_partner_share*(in_shop_renew^1*SUMIFS(AW1271:AW1303,B1271:B1303,B1295-12)+in_shop_renew^2*SUMIFS(AW1271:AW1303,B1271:B1303,B1295-24)+in_shop_renew^3*SUMIFS(AW1271:AW1303,B1271:B1303,B1295-36)+in_shop_renew^4*SUMIFS(AW1271:AW1303,B1271:B1303,B1295-48))</f>
        <v/>
      </c>
      <c r="AY1295" s="40">
        <f>AY1294*(1-IF(B1294&gt;=in_marketplace_from,d_hz_sip*G1294,0))</f>
        <v/>
      </c>
      <c r="AZ1295" s="40">
        <f>AZ1294*d_rho_sip+AY1295*IF(B1295&gt;=in_marketplace_from,d_hz_sip*G1295,0)</f>
        <v/>
      </c>
      <c r="BA1295" s="40">
        <f>d_rho_sip*(BA1294+AZ1294)</f>
        <v/>
      </c>
      <c r="BB1295" s="14">
        <f>F1295*in_sip_ticket*(BA1295+0.5*AZ1295)*in_sip_comm/12</f>
        <v/>
      </c>
      <c r="BC1295" s="40">
        <f>BC1294*(1-IF(B1294&gt;=in_marketplace_from,d_hz_choti*G1294,0))</f>
        <v/>
      </c>
      <c r="BD1295" s="46">
        <f>BC1295*IF(B1295&gt;=in_marketplace_from,d_hz_choti*G1295,0)</f>
        <v/>
      </c>
      <c r="BE1295" s="14">
        <f>F1295*SUMIFS(BD1271:BD1303,B1271:B1303,B1295-in_choti_months)*in_choti_renew*in_choti_ticket</f>
        <v/>
      </c>
      <c r="BF1295" s="40">
        <f>BF1294*(1-IF(B1294&gt;=in_marketplace_from,d_hz_nps*G1294,0))</f>
        <v/>
      </c>
      <c r="BG1295" s="14">
        <f>F1295*BF1295*IF(B1295&gt;=in_marketplace_from,d_hz_nps*G1295,0)*in_nps_ticket*in_nps_comm</f>
        <v/>
      </c>
      <c r="BH1295" s="40">
        <f>BH1294*(1-IF(B1294&gt;=in_marketplace_from,d_hz_gold*G1294,0))</f>
        <v/>
      </c>
      <c r="BI1295" s="40">
        <f>BI1294*d_rho_gold+BH1295*IF(B1295&gt;=in_marketplace_from,d_hz_gold*G1295,0)</f>
        <v/>
      </c>
      <c r="BJ1295" s="14">
        <f>F1295*BI1295*in_gold_ticket*in_gold_comm</f>
        <v/>
      </c>
      <c r="BK1295" s="40">
        <f>BK1294*(1-IF(B1294&gt;=in_marketplace_from,d_hz_fd*G1294,0))</f>
        <v/>
      </c>
      <c r="BL1295" s="14">
        <f>F1295*BK1295*IF(B1295&gt;=in_marketplace_from,d_hz_fd*G1295,0)*in_fd_ticket*in_fd_comm</f>
        <v/>
      </c>
      <c r="BM1295" s="40">
        <f>BM1294*(1-IF(B1294&gt;=in_marketplace_from,d_hz_recharge*G1294,0))</f>
        <v/>
      </c>
      <c r="BN1295" s="40">
        <f>BN1294*d_rho_recharge+BM1295*IF(B1295&gt;=in_marketplace_from,d_hz_recharge*G1295,0)</f>
        <v/>
      </c>
      <c r="BO1295" s="14">
        <f>F1295*BN1295*in_recharge_ticket*in_recharge_comm/12</f>
        <v/>
      </c>
      <c r="BP1295" s="40">
        <f>BP1294*(1-IF(B1294&gt;=in_marketplace_from,d_hz_bills*G1294,0))</f>
        <v/>
      </c>
      <c r="BQ1295" s="40">
        <f>BQ1294*d_rho_bills+BP1295*IF(B1295&gt;=in_marketplace_from,d_hz_bills*G1295,0)</f>
        <v/>
      </c>
      <c r="BR1295" s="14">
        <f>F1295*BQ1295*in_bills_ticket*in_bills_comm/12</f>
        <v/>
      </c>
      <c r="BS1295" s="40">
        <f>BS1294*(1-IF(B1294&gt;=in_marketplace_from,d_hz_loan_gold*G1294,0))</f>
        <v/>
      </c>
      <c r="BT1295" s="14">
        <f>F1295*BS1295*IF(B1295&gt;=in_marketplace_from,d_hz_loan_gold*G1295,0)*in_loan_gold_ticket*in_loan_gold_comm</f>
        <v/>
      </c>
      <c r="BU1295" s="40">
        <f>BU1294*(1-IF(B1294&gt;=in_marketplace_from,d_hz_loan_cd*G1294,0))</f>
        <v/>
      </c>
      <c r="BV1295" s="14">
        <f>F1295*BU1295*IF(B1295&gt;=in_marketplace_from,d_hz_loan_cd*G1295,0)*in_loan_cd_ticket*in_loan_cd_comm</f>
        <v/>
      </c>
      <c r="BW1295" s="40">
        <f>BW1294*(1-IF(B1294&gt;=in_marketplace_from,d_hz_loan_vehicle*G1294,0))</f>
        <v/>
      </c>
      <c r="BX1295" s="14">
        <f>F1295*BW1295*IF(B1295&gt;=in_marketplace_from,d_hz_loan_vehicle*G1295,0)*in_loan_vehicle_ticket*in_loan_vehicle_comm</f>
        <v/>
      </c>
      <c r="BY1295" s="40">
        <f>BY1294*(1-IF(B1294&gt;=in_marketplace_from,d_hz_loan_home*G1294,0)*BZ1294)</f>
        <v/>
      </c>
      <c r="BZ1295" s="11">
        <f>MIN(in_approval_cap,in_loan_home_approval*INDEX('Age profile'!$O$2:$O$61,B1295)*(1+in_approval_growth)^(D1295-1))</f>
        <v/>
      </c>
      <c r="CA1295" s="14">
        <f>F1295*BY1295*IF(B1295&gt;=in_marketplace_from,d_hz_loan_home*G1295,0)*BZ1295*in_loan_home_ticket*in_loan_home_comm</f>
        <v/>
      </c>
      <c r="CB1295" s="40">
        <f>CB1294*(1-IF(B1294&gt;=in_marketplace_from,d_hz_loan_lap*G1294,0)*CC1294)</f>
        <v/>
      </c>
      <c r="CC1295" s="11">
        <f>MIN(in_approval_cap,in_loan_lap_approval*INDEX('Age profile'!$O$2:$O$61,B1295)*(1+in_approval_growth)^(D1295-1))</f>
        <v/>
      </c>
      <c r="CD1295" s="14">
        <f>F1295*CB1295*IF(B1295&gt;=in_marketplace_from,d_hz_loan_lap*G1295,0)*CC1295*in_loan_lap_ticket*in_loan_lap_comm</f>
        <v/>
      </c>
      <c r="CE1295" s="14">
        <f>AA1295+AB1295+AC1295+AD1295+AG1295+AJ1295+AM1295+AP1295+AS1295+AU1295+AX1295+BB1295+BE1295+BG1295+BJ1295+BL1295+BO1295+BR1295+BT1295+BV1295+BX1295+CA1295+CD1295</f>
        <v/>
      </c>
    </row>
    <row r="1296">
      <c r="A1296" s="39" t="n">
        <v>28</v>
      </c>
      <c r="B1296" s="39" t="n">
        <v>26</v>
      </c>
      <c r="C1296" s="39">
        <f>A1296+B1296-1</f>
        <v/>
      </c>
      <c r="D1296" s="39">
        <f>INT((C1296-1)/12)+1</f>
        <v/>
      </c>
      <c r="E1296" s="44">
        <f>INDEX(Monthly!$B$2:$B$61,A1296)</f>
        <v/>
      </c>
      <c r="F1296" s="44">
        <f>E1296*INDEX('Age profile'!$B$2:$B$61,B1296)</f>
        <v/>
      </c>
      <c r="G1296" s="45">
        <f>MIN(in_takeup_cap,INDEX('Age profile'!$N$2:$N$61,B1296)*(1+in_takeup_growth)^(D1296-1))</f>
        <v/>
      </c>
      <c r="H1296" s="11">
        <f>MIN(in_approval_cap,in_approved_first*INDEX('Age profile'!$O$2:$O$61,B1296)*(1+in_approval_growth)^(D1296-1))</f>
        <v/>
      </c>
      <c r="I1296" s="45">
        <f>G1296*MIN(in_takeup_cap,INDEX('Age profile'!$O$2:$O$61,B1296)*(1+in_approval_growth)^(D1296-1))</f>
        <v/>
      </c>
      <c r="J1296" s="40">
        <f>(J1295-L1295)*F1296/F1295</f>
        <v/>
      </c>
      <c r="K1296" s="40">
        <f>(K1295-M1295)*F1296/F1295+SUMIFS(O1271:O1295,B1271:B1295,B1296-1-d_T)*F1296</f>
        <v/>
      </c>
      <c r="L1296" s="40">
        <f>IF(B1296&gt;=in_marketplace_from,J1296*d_hz*G1296*in_eligible*H1296,0)</f>
        <v/>
      </c>
      <c r="M1296" s="40">
        <f>IF(B1296&gt;=in_marketplace_from,K1296*d_hz*G1296*in_eligible*in_approved_repeat,0)</f>
        <v/>
      </c>
      <c r="N1296" s="40">
        <f>L1296+M1296</f>
        <v/>
      </c>
      <c r="O1296" s="46">
        <f>N1296/F1296</f>
        <v/>
      </c>
      <c r="P1296" s="40">
        <f>F1296-J1296-K1296</f>
        <v/>
      </c>
      <c r="Q1296" s="40">
        <f>IF(B1296&gt;=in_marketplace_from,(J1296+K1296)*d_hz*G1296,0)</f>
        <v/>
      </c>
      <c r="R1296" s="40">
        <f>SUMIFS(N1271:N1303,B1271:B1303,"&gt;="&amp;(B1296-d_T),B1271:B1303,"&lt;="&amp;(B1296-1))</f>
        <v/>
      </c>
      <c r="S1296" s="46">
        <f>(1-d_u)*S1295+IF(d_T&gt;in_topup_lag,SUMIFS(O1271:O1303,B1271:B1303,B1296-in_topup_lag)-d_udrop*SUMIFS(O1271:O1303,B1271:B1303,B1296-d_T),0)</f>
        <v/>
      </c>
      <c r="T1296" s="40">
        <f>F1296*d_u*S1296</f>
        <v/>
      </c>
      <c r="U1296" s="9">
        <f>L1296*in_ticket+M1296*d_rep_ticket</f>
        <v/>
      </c>
      <c r="V1296" s="9">
        <f>U1296+T1296*d_topup_amt</f>
        <v/>
      </c>
      <c r="W1296" s="40">
        <f>N1296+T1296*d_topup_ratio</f>
        <v/>
      </c>
      <c r="X1296" s="40">
        <f>SUMIFS(W1271:W1303,B1271:B1303,B1296-in_dpd_lag)*d_cured</f>
        <v/>
      </c>
      <c r="Y1296" s="40">
        <f>SUMIFS(W1271:W1303,B1271:B1303,B1296-in_rec_lag)*d_recd</f>
        <v/>
      </c>
      <c r="Z1296" s="40">
        <f>IF(AND(B1296&gt;=in_marketplace_from,B1296&lt;in_marketplace_from+in_card_months),in_card_share/in_card_months*F1296*I1296,IF(AND(B1296&gt;=in_marketplace_from+in_card_months,B1296&lt;in_marketplace_from+2*in_card_months),in_card_share*d_card_rem/in_card_months*F1296*MIN(in_takeup_cap,(1+in_takeup_growth)^(D1296-1))*MIN(in_takeup_cap,(1+in_approval_growth)^(D1296-1)),0))</f>
        <v/>
      </c>
      <c r="AA1296" s="14">
        <f>V1296*in_fee*(1-in_taken_back)</f>
        <v/>
      </c>
      <c r="AB1296" s="14">
        <f>SUMIFS(W1271:W1303,B1271:B1303,B1296-in_dpd_lag)*d_dpd</f>
        <v/>
      </c>
      <c r="AC1296" s="14">
        <f>SUMIFS(W1271:W1303,B1271:B1303,B1296-in_rec_lag)*d_rec</f>
        <v/>
      </c>
      <c r="AD1296" s="14">
        <f>Z1296*in_card_fee</f>
        <v/>
      </c>
      <c r="AE1296" s="40">
        <f>AE1295*(1-IF(B1295&gt;=in_marketplace_from,d_hz_hlth_small*G1295,0))</f>
        <v/>
      </c>
      <c r="AF1296" s="46">
        <f>AE1296*IF(B1296&gt;=in_marketplace_from,d_hz_hlth_small*G1296,0)</f>
        <v/>
      </c>
      <c r="AG1296" s="14">
        <f>F1296*AF1296*in_hlth_small_ticket*in_hlth_small_comm*in_ins_partner_share+F1296*in_hlth_small_ticket*in_hlth_small_renew_comm*in_ins_partner_share*(in_hlth_small_renew^1*SUMIFS(AF1271:AF1303,B1271:B1303,B1296-12)+in_hlth_small_renew^2*SUMIFS(AF1271:AF1303,B1271:B1303,B1296-24)+in_hlth_small_renew^3*SUMIFS(AF1271:AF1303,B1271:B1303,B1296-36)+in_hlth_small_renew^4*SUMIFS(AF1271:AF1303,B1271:B1303,B1296-48))</f>
        <v/>
      </c>
      <c r="AH1296" s="40">
        <f>AH1295*(1-IF(B1295&gt;=in_marketplace_from,d_hz_hlth_family*G1295,0))</f>
        <v/>
      </c>
      <c r="AI1296" s="46">
        <f>AH1296*IF(B1296&gt;=in_marketplace_from,d_hz_hlth_family*G1296,0)</f>
        <v/>
      </c>
      <c r="AJ1296" s="14">
        <f>F1296*AI1296*in_hlth_family_ticket*in_hlth_family_comm*in_ins_partner_share+F1296*in_hlth_family_ticket*in_hlth_family_renew_comm*in_ins_partner_share*(in_hlth_family_renew^1*SUMIFS(AI1271:AI1303,B1271:B1303,B1296-12)+in_hlth_family_renew^2*SUMIFS(AI1271:AI1303,B1271:B1303,B1296-24)+in_hlth_family_renew^3*SUMIFS(AI1271:AI1303,B1271:B1303,B1296-36)+in_hlth_family_renew^4*SUMIFS(AI1271:AI1303,B1271:B1303,B1296-48))</f>
        <v/>
      </c>
      <c r="AK1296" s="40">
        <f>AK1295*(1-IF(B1295&gt;=in_marketplace_from,d_hz_life_term*G1295,0))</f>
        <v/>
      </c>
      <c r="AL1296" s="46">
        <f>AK1296*IF(B1296&gt;=in_marketplace_from,d_hz_life_term*G1296,0)</f>
        <v/>
      </c>
      <c r="AM1296" s="14">
        <f>F1296*AL1296*in_life_term_ticket*in_life_term_comm*in_ins_partner_share+F1296*in_life_term_ticket*in_life_term_renew_comm*in_ins_partner_share*(in_life_term_renew^1*SUMIFS(AL1271:AL1303,B1271:B1303,B1296-12)+in_life_term_renew^2*SUMIFS(AL1271:AL1303,B1271:B1303,B1296-24)+in_life_term_renew^3*SUMIFS(AL1271:AL1303,B1271:B1303,B1296-36)+in_life_term_renew^4*SUMIFS(AL1271:AL1303,B1271:B1303,B1296-48))</f>
        <v/>
      </c>
      <c r="AN1296" s="40">
        <f>AN1295*(1-IF(B1295&gt;=in_marketplace_from,d_hz_accident*G1295,0))</f>
        <v/>
      </c>
      <c r="AO1296" s="46">
        <f>AN1296*IF(B1296&gt;=in_marketplace_from,d_hz_accident*G1296,0)</f>
        <v/>
      </c>
      <c r="AP1296" s="14">
        <f>F1296*AO1296*in_accident_ticket*in_accident_comm*in_ins_partner_share+F1296*in_accident_ticket*in_accident_renew_comm*in_ins_partner_share*(in_accident_renew^1*SUMIFS(AO1271:AO1303,B1271:B1303,B1296-12)+in_accident_renew^2*SUMIFS(AO1271:AO1303,B1271:B1303,B1296-24)+in_accident_renew^3*SUMIFS(AO1271:AO1303,B1271:B1303,B1296-36)+in_accident_renew^4*SUMIFS(AO1271:AO1303,B1271:B1303,B1296-48))</f>
        <v/>
      </c>
      <c r="AQ1296" s="40">
        <f>AQ1295*(1-IF(B1295&gt;=in_marketplace_from,d_hz_two_wheeler*G1295,0))</f>
        <v/>
      </c>
      <c r="AR1296" s="46">
        <f>AQ1296*IF(B1296&gt;=in_marketplace_from,d_hz_two_wheeler*G1296,0)</f>
        <v/>
      </c>
      <c r="AS1296" s="14">
        <f>F1296*AR1296*in_two_wheeler_ticket*in_two_wheeler_comm*in_ins_partner_share+F1296*in_two_wheeler_ticket*in_two_wheeler_comm*in_ins_partner_share*(in_two_wheeler_renew^1*SUMIFS(AR1271:AR1303,B1271:B1303,B1296-12)+in_two_wheeler_renew^2*SUMIFS(AR1271:AR1303,B1271:B1303,B1296-24)+in_two_wheeler_renew^3*SUMIFS(AR1271:AR1303,B1271:B1303,B1296-36)+in_two_wheeler_renew^4*SUMIFS(AR1271:AR1303,B1271:B1303,B1296-48))</f>
        <v/>
      </c>
      <c r="AT1296" s="40">
        <f>AT1295*(1-IF(B1295&gt;=in_marketplace_from,d_hz_device*G1295,0))</f>
        <v/>
      </c>
      <c r="AU1296" s="14">
        <f>F1296*AT1296*IF(B1296&gt;=in_marketplace_from,d_hz_device*G1296,0)*in_device_ticket*in_device_comm*in_ins_partner_share</f>
        <v/>
      </c>
      <c r="AV1296" s="40">
        <f>AV1295*(1-IF(B1295&gt;=in_marketplace_from,d_hz_shop*G1295,0))</f>
        <v/>
      </c>
      <c r="AW1296" s="46">
        <f>AV1296*IF(B1296&gt;=in_marketplace_from,d_hz_shop*G1296,0)</f>
        <v/>
      </c>
      <c r="AX1296" s="14">
        <f>F1296*AW1296*in_shop_ticket*in_shop_comm*in_ins_partner_share+F1296*in_shop_ticket*in_shop_renew_comm*in_ins_partner_share*(in_shop_renew^1*SUMIFS(AW1271:AW1303,B1271:B1303,B1296-12)+in_shop_renew^2*SUMIFS(AW1271:AW1303,B1271:B1303,B1296-24)+in_shop_renew^3*SUMIFS(AW1271:AW1303,B1271:B1303,B1296-36)+in_shop_renew^4*SUMIFS(AW1271:AW1303,B1271:B1303,B1296-48))</f>
        <v/>
      </c>
      <c r="AY1296" s="40">
        <f>AY1295*(1-IF(B1295&gt;=in_marketplace_from,d_hz_sip*G1295,0))</f>
        <v/>
      </c>
      <c r="AZ1296" s="40">
        <f>AZ1295*d_rho_sip+AY1296*IF(B1296&gt;=in_marketplace_from,d_hz_sip*G1296,0)</f>
        <v/>
      </c>
      <c r="BA1296" s="40">
        <f>d_rho_sip*(BA1295+AZ1295)</f>
        <v/>
      </c>
      <c r="BB1296" s="14">
        <f>F1296*in_sip_ticket*(BA1296+0.5*AZ1296)*in_sip_comm/12</f>
        <v/>
      </c>
      <c r="BC1296" s="40">
        <f>BC1295*(1-IF(B1295&gt;=in_marketplace_from,d_hz_choti*G1295,0))</f>
        <v/>
      </c>
      <c r="BD1296" s="46">
        <f>BC1296*IF(B1296&gt;=in_marketplace_from,d_hz_choti*G1296,0)</f>
        <v/>
      </c>
      <c r="BE1296" s="14">
        <f>F1296*SUMIFS(BD1271:BD1303,B1271:B1303,B1296-in_choti_months)*in_choti_renew*in_choti_ticket</f>
        <v/>
      </c>
      <c r="BF1296" s="40">
        <f>BF1295*(1-IF(B1295&gt;=in_marketplace_from,d_hz_nps*G1295,0))</f>
        <v/>
      </c>
      <c r="BG1296" s="14">
        <f>F1296*BF1296*IF(B1296&gt;=in_marketplace_from,d_hz_nps*G1296,0)*in_nps_ticket*in_nps_comm</f>
        <v/>
      </c>
      <c r="BH1296" s="40">
        <f>BH1295*(1-IF(B1295&gt;=in_marketplace_from,d_hz_gold*G1295,0))</f>
        <v/>
      </c>
      <c r="BI1296" s="40">
        <f>BI1295*d_rho_gold+BH1296*IF(B1296&gt;=in_marketplace_from,d_hz_gold*G1296,0)</f>
        <v/>
      </c>
      <c r="BJ1296" s="14">
        <f>F1296*BI1296*in_gold_ticket*in_gold_comm</f>
        <v/>
      </c>
      <c r="BK1296" s="40">
        <f>BK1295*(1-IF(B1295&gt;=in_marketplace_from,d_hz_fd*G1295,0))</f>
        <v/>
      </c>
      <c r="BL1296" s="14">
        <f>F1296*BK1296*IF(B1296&gt;=in_marketplace_from,d_hz_fd*G1296,0)*in_fd_ticket*in_fd_comm</f>
        <v/>
      </c>
      <c r="BM1296" s="40">
        <f>BM1295*(1-IF(B1295&gt;=in_marketplace_from,d_hz_recharge*G1295,0))</f>
        <v/>
      </c>
      <c r="BN1296" s="40">
        <f>BN1295*d_rho_recharge+BM1296*IF(B1296&gt;=in_marketplace_from,d_hz_recharge*G1296,0)</f>
        <v/>
      </c>
      <c r="BO1296" s="14">
        <f>F1296*BN1296*in_recharge_ticket*in_recharge_comm/12</f>
        <v/>
      </c>
      <c r="BP1296" s="40">
        <f>BP1295*(1-IF(B1295&gt;=in_marketplace_from,d_hz_bills*G1295,0))</f>
        <v/>
      </c>
      <c r="BQ1296" s="40">
        <f>BQ1295*d_rho_bills+BP1296*IF(B1296&gt;=in_marketplace_from,d_hz_bills*G1296,0)</f>
        <v/>
      </c>
      <c r="BR1296" s="14">
        <f>F1296*BQ1296*in_bills_ticket*in_bills_comm/12</f>
        <v/>
      </c>
      <c r="BS1296" s="40">
        <f>BS1295*(1-IF(B1295&gt;=in_marketplace_from,d_hz_loan_gold*G1295,0))</f>
        <v/>
      </c>
      <c r="BT1296" s="14">
        <f>F1296*BS1296*IF(B1296&gt;=in_marketplace_from,d_hz_loan_gold*G1296,0)*in_loan_gold_ticket*in_loan_gold_comm</f>
        <v/>
      </c>
      <c r="BU1296" s="40">
        <f>BU1295*(1-IF(B1295&gt;=in_marketplace_from,d_hz_loan_cd*G1295,0))</f>
        <v/>
      </c>
      <c r="BV1296" s="14">
        <f>F1296*BU1296*IF(B1296&gt;=in_marketplace_from,d_hz_loan_cd*G1296,0)*in_loan_cd_ticket*in_loan_cd_comm</f>
        <v/>
      </c>
      <c r="BW1296" s="40">
        <f>BW1295*(1-IF(B1295&gt;=in_marketplace_from,d_hz_loan_vehicle*G1295,0))</f>
        <v/>
      </c>
      <c r="BX1296" s="14">
        <f>F1296*BW1296*IF(B1296&gt;=in_marketplace_from,d_hz_loan_vehicle*G1296,0)*in_loan_vehicle_ticket*in_loan_vehicle_comm</f>
        <v/>
      </c>
      <c r="BY1296" s="40">
        <f>BY1295*(1-IF(B1295&gt;=in_marketplace_from,d_hz_loan_home*G1295,0)*BZ1295)</f>
        <v/>
      </c>
      <c r="BZ1296" s="11">
        <f>MIN(in_approval_cap,in_loan_home_approval*INDEX('Age profile'!$O$2:$O$61,B1296)*(1+in_approval_growth)^(D1296-1))</f>
        <v/>
      </c>
      <c r="CA1296" s="14">
        <f>F1296*BY1296*IF(B1296&gt;=in_marketplace_from,d_hz_loan_home*G1296,0)*BZ1296*in_loan_home_ticket*in_loan_home_comm</f>
        <v/>
      </c>
      <c r="CB1296" s="40">
        <f>CB1295*(1-IF(B1295&gt;=in_marketplace_from,d_hz_loan_lap*G1295,0)*CC1295)</f>
        <v/>
      </c>
      <c r="CC1296" s="11">
        <f>MIN(in_approval_cap,in_loan_lap_approval*INDEX('Age profile'!$O$2:$O$61,B1296)*(1+in_approval_growth)^(D1296-1))</f>
        <v/>
      </c>
      <c r="CD1296" s="14">
        <f>F1296*CB1296*IF(B1296&gt;=in_marketplace_from,d_hz_loan_lap*G1296,0)*CC1296*in_loan_lap_ticket*in_loan_lap_comm</f>
        <v/>
      </c>
      <c r="CE1296" s="14">
        <f>AA1296+AB1296+AC1296+AD1296+AG1296+AJ1296+AM1296+AP1296+AS1296+AU1296+AX1296+BB1296+BE1296+BG1296+BJ1296+BL1296+BO1296+BR1296+BT1296+BV1296+BX1296+CA1296+CD1296</f>
        <v/>
      </c>
    </row>
    <row r="1297">
      <c r="A1297" s="39" t="n">
        <v>28</v>
      </c>
      <c r="B1297" s="39" t="n">
        <v>27</v>
      </c>
      <c r="C1297" s="39">
        <f>A1297+B1297-1</f>
        <v/>
      </c>
      <c r="D1297" s="39">
        <f>INT((C1297-1)/12)+1</f>
        <v/>
      </c>
      <c r="E1297" s="44">
        <f>INDEX(Monthly!$B$2:$B$61,A1297)</f>
        <v/>
      </c>
      <c r="F1297" s="44">
        <f>E1297*INDEX('Age profile'!$B$2:$B$61,B1297)</f>
        <v/>
      </c>
      <c r="G1297" s="45">
        <f>MIN(in_takeup_cap,INDEX('Age profile'!$N$2:$N$61,B1297)*(1+in_takeup_growth)^(D1297-1))</f>
        <v/>
      </c>
      <c r="H1297" s="11">
        <f>MIN(in_approval_cap,in_approved_first*INDEX('Age profile'!$O$2:$O$61,B1297)*(1+in_approval_growth)^(D1297-1))</f>
        <v/>
      </c>
      <c r="I1297" s="45">
        <f>G1297*MIN(in_takeup_cap,INDEX('Age profile'!$O$2:$O$61,B1297)*(1+in_approval_growth)^(D1297-1))</f>
        <v/>
      </c>
      <c r="J1297" s="40">
        <f>(J1296-L1296)*F1297/F1296</f>
        <v/>
      </c>
      <c r="K1297" s="40">
        <f>(K1296-M1296)*F1297/F1296+SUMIFS(O1271:O1296,B1271:B1296,B1297-1-d_T)*F1297</f>
        <v/>
      </c>
      <c r="L1297" s="40">
        <f>IF(B1297&gt;=in_marketplace_from,J1297*d_hz*G1297*in_eligible*H1297,0)</f>
        <v/>
      </c>
      <c r="M1297" s="40">
        <f>IF(B1297&gt;=in_marketplace_from,K1297*d_hz*G1297*in_eligible*in_approved_repeat,0)</f>
        <v/>
      </c>
      <c r="N1297" s="40">
        <f>L1297+M1297</f>
        <v/>
      </c>
      <c r="O1297" s="46">
        <f>N1297/F1297</f>
        <v/>
      </c>
      <c r="P1297" s="40">
        <f>F1297-J1297-K1297</f>
        <v/>
      </c>
      <c r="Q1297" s="40">
        <f>IF(B1297&gt;=in_marketplace_from,(J1297+K1297)*d_hz*G1297,0)</f>
        <v/>
      </c>
      <c r="R1297" s="40">
        <f>SUMIFS(N1271:N1303,B1271:B1303,"&gt;="&amp;(B1297-d_T),B1271:B1303,"&lt;="&amp;(B1297-1))</f>
        <v/>
      </c>
      <c r="S1297" s="46">
        <f>(1-d_u)*S1296+IF(d_T&gt;in_topup_lag,SUMIFS(O1271:O1303,B1271:B1303,B1297-in_topup_lag)-d_udrop*SUMIFS(O1271:O1303,B1271:B1303,B1297-d_T),0)</f>
        <v/>
      </c>
      <c r="T1297" s="40">
        <f>F1297*d_u*S1297</f>
        <v/>
      </c>
      <c r="U1297" s="9">
        <f>L1297*in_ticket+M1297*d_rep_ticket</f>
        <v/>
      </c>
      <c r="V1297" s="9">
        <f>U1297+T1297*d_topup_amt</f>
        <v/>
      </c>
      <c r="W1297" s="40">
        <f>N1297+T1297*d_topup_ratio</f>
        <v/>
      </c>
      <c r="X1297" s="40">
        <f>SUMIFS(W1271:W1303,B1271:B1303,B1297-in_dpd_lag)*d_cured</f>
        <v/>
      </c>
      <c r="Y1297" s="40">
        <f>SUMIFS(W1271:W1303,B1271:B1303,B1297-in_rec_lag)*d_recd</f>
        <v/>
      </c>
      <c r="Z1297" s="40">
        <f>IF(AND(B1297&gt;=in_marketplace_from,B1297&lt;in_marketplace_from+in_card_months),in_card_share/in_card_months*F1297*I1297,IF(AND(B1297&gt;=in_marketplace_from+in_card_months,B1297&lt;in_marketplace_from+2*in_card_months),in_card_share*d_card_rem/in_card_months*F1297*MIN(in_takeup_cap,(1+in_takeup_growth)^(D1297-1))*MIN(in_takeup_cap,(1+in_approval_growth)^(D1297-1)),0))</f>
        <v/>
      </c>
      <c r="AA1297" s="14">
        <f>V1297*in_fee*(1-in_taken_back)</f>
        <v/>
      </c>
      <c r="AB1297" s="14">
        <f>SUMIFS(W1271:W1303,B1271:B1303,B1297-in_dpd_lag)*d_dpd</f>
        <v/>
      </c>
      <c r="AC1297" s="14">
        <f>SUMIFS(W1271:W1303,B1271:B1303,B1297-in_rec_lag)*d_rec</f>
        <v/>
      </c>
      <c r="AD1297" s="14">
        <f>Z1297*in_card_fee</f>
        <v/>
      </c>
      <c r="AE1297" s="40">
        <f>AE1296*(1-IF(B1296&gt;=in_marketplace_from,d_hz_hlth_small*G1296,0))</f>
        <v/>
      </c>
      <c r="AF1297" s="46">
        <f>AE1297*IF(B1297&gt;=in_marketplace_from,d_hz_hlth_small*G1297,0)</f>
        <v/>
      </c>
      <c r="AG1297" s="14">
        <f>F1297*AF1297*in_hlth_small_ticket*in_hlth_small_comm*in_ins_partner_share+F1297*in_hlth_small_ticket*in_hlth_small_renew_comm*in_ins_partner_share*(in_hlth_small_renew^1*SUMIFS(AF1271:AF1303,B1271:B1303,B1297-12)+in_hlth_small_renew^2*SUMIFS(AF1271:AF1303,B1271:B1303,B1297-24)+in_hlth_small_renew^3*SUMIFS(AF1271:AF1303,B1271:B1303,B1297-36)+in_hlth_small_renew^4*SUMIFS(AF1271:AF1303,B1271:B1303,B1297-48))</f>
        <v/>
      </c>
      <c r="AH1297" s="40">
        <f>AH1296*(1-IF(B1296&gt;=in_marketplace_from,d_hz_hlth_family*G1296,0))</f>
        <v/>
      </c>
      <c r="AI1297" s="46">
        <f>AH1297*IF(B1297&gt;=in_marketplace_from,d_hz_hlth_family*G1297,0)</f>
        <v/>
      </c>
      <c r="AJ1297" s="14">
        <f>F1297*AI1297*in_hlth_family_ticket*in_hlth_family_comm*in_ins_partner_share+F1297*in_hlth_family_ticket*in_hlth_family_renew_comm*in_ins_partner_share*(in_hlth_family_renew^1*SUMIFS(AI1271:AI1303,B1271:B1303,B1297-12)+in_hlth_family_renew^2*SUMIFS(AI1271:AI1303,B1271:B1303,B1297-24)+in_hlth_family_renew^3*SUMIFS(AI1271:AI1303,B1271:B1303,B1297-36)+in_hlth_family_renew^4*SUMIFS(AI1271:AI1303,B1271:B1303,B1297-48))</f>
        <v/>
      </c>
      <c r="AK1297" s="40">
        <f>AK1296*(1-IF(B1296&gt;=in_marketplace_from,d_hz_life_term*G1296,0))</f>
        <v/>
      </c>
      <c r="AL1297" s="46">
        <f>AK1297*IF(B1297&gt;=in_marketplace_from,d_hz_life_term*G1297,0)</f>
        <v/>
      </c>
      <c r="AM1297" s="14">
        <f>F1297*AL1297*in_life_term_ticket*in_life_term_comm*in_ins_partner_share+F1297*in_life_term_ticket*in_life_term_renew_comm*in_ins_partner_share*(in_life_term_renew^1*SUMIFS(AL1271:AL1303,B1271:B1303,B1297-12)+in_life_term_renew^2*SUMIFS(AL1271:AL1303,B1271:B1303,B1297-24)+in_life_term_renew^3*SUMIFS(AL1271:AL1303,B1271:B1303,B1297-36)+in_life_term_renew^4*SUMIFS(AL1271:AL1303,B1271:B1303,B1297-48))</f>
        <v/>
      </c>
      <c r="AN1297" s="40">
        <f>AN1296*(1-IF(B1296&gt;=in_marketplace_from,d_hz_accident*G1296,0))</f>
        <v/>
      </c>
      <c r="AO1297" s="46">
        <f>AN1297*IF(B1297&gt;=in_marketplace_from,d_hz_accident*G1297,0)</f>
        <v/>
      </c>
      <c r="AP1297" s="14">
        <f>F1297*AO1297*in_accident_ticket*in_accident_comm*in_ins_partner_share+F1297*in_accident_ticket*in_accident_renew_comm*in_ins_partner_share*(in_accident_renew^1*SUMIFS(AO1271:AO1303,B1271:B1303,B1297-12)+in_accident_renew^2*SUMIFS(AO1271:AO1303,B1271:B1303,B1297-24)+in_accident_renew^3*SUMIFS(AO1271:AO1303,B1271:B1303,B1297-36)+in_accident_renew^4*SUMIFS(AO1271:AO1303,B1271:B1303,B1297-48))</f>
        <v/>
      </c>
      <c r="AQ1297" s="40">
        <f>AQ1296*(1-IF(B1296&gt;=in_marketplace_from,d_hz_two_wheeler*G1296,0))</f>
        <v/>
      </c>
      <c r="AR1297" s="46">
        <f>AQ1297*IF(B1297&gt;=in_marketplace_from,d_hz_two_wheeler*G1297,0)</f>
        <v/>
      </c>
      <c r="AS1297" s="14">
        <f>F1297*AR1297*in_two_wheeler_ticket*in_two_wheeler_comm*in_ins_partner_share+F1297*in_two_wheeler_ticket*in_two_wheeler_comm*in_ins_partner_share*(in_two_wheeler_renew^1*SUMIFS(AR1271:AR1303,B1271:B1303,B1297-12)+in_two_wheeler_renew^2*SUMIFS(AR1271:AR1303,B1271:B1303,B1297-24)+in_two_wheeler_renew^3*SUMIFS(AR1271:AR1303,B1271:B1303,B1297-36)+in_two_wheeler_renew^4*SUMIFS(AR1271:AR1303,B1271:B1303,B1297-48))</f>
        <v/>
      </c>
      <c r="AT1297" s="40">
        <f>AT1296*(1-IF(B1296&gt;=in_marketplace_from,d_hz_device*G1296,0))</f>
        <v/>
      </c>
      <c r="AU1297" s="14">
        <f>F1297*AT1297*IF(B1297&gt;=in_marketplace_from,d_hz_device*G1297,0)*in_device_ticket*in_device_comm*in_ins_partner_share</f>
        <v/>
      </c>
      <c r="AV1297" s="40">
        <f>AV1296*(1-IF(B1296&gt;=in_marketplace_from,d_hz_shop*G1296,0))</f>
        <v/>
      </c>
      <c r="AW1297" s="46">
        <f>AV1297*IF(B1297&gt;=in_marketplace_from,d_hz_shop*G1297,0)</f>
        <v/>
      </c>
      <c r="AX1297" s="14">
        <f>F1297*AW1297*in_shop_ticket*in_shop_comm*in_ins_partner_share+F1297*in_shop_ticket*in_shop_renew_comm*in_ins_partner_share*(in_shop_renew^1*SUMIFS(AW1271:AW1303,B1271:B1303,B1297-12)+in_shop_renew^2*SUMIFS(AW1271:AW1303,B1271:B1303,B1297-24)+in_shop_renew^3*SUMIFS(AW1271:AW1303,B1271:B1303,B1297-36)+in_shop_renew^4*SUMIFS(AW1271:AW1303,B1271:B1303,B1297-48))</f>
        <v/>
      </c>
      <c r="AY1297" s="40">
        <f>AY1296*(1-IF(B1296&gt;=in_marketplace_from,d_hz_sip*G1296,0))</f>
        <v/>
      </c>
      <c r="AZ1297" s="40">
        <f>AZ1296*d_rho_sip+AY1297*IF(B1297&gt;=in_marketplace_from,d_hz_sip*G1297,0)</f>
        <v/>
      </c>
      <c r="BA1297" s="40">
        <f>d_rho_sip*(BA1296+AZ1296)</f>
        <v/>
      </c>
      <c r="BB1297" s="14">
        <f>F1297*in_sip_ticket*(BA1297+0.5*AZ1297)*in_sip_comm/12</f>
        <v/>
      </c>
      <c r="BC1297" s="40">
        <f>BC1296*(1-IF(B1296&gt;=in_marketplace_from,d_hz_choti*G1296,0))</f>
        <v/>
      </c>
      <c r="BD1297" s="46">
        <f>BC1297*IF(B1297&gt;=in_marketplace_from,d_hz_choti*G1297,0)</f>
        <v/>
      </c>
      <c r="BE1297" s="14">
        <f>F1297*SUMIFS(BD1271:BD1303,B1271:B1303,B1297-in_choti_months)*in_choti_renew*in_choti_ticket</f>
        <v/>
      </c>
      <c r="BF1297" s="40">
        <f>BF1296*(1-IF(B1296&gt;=in_marketplace_from,d_hz_nps*G1296,0))</f>
        <v/>
      </c>
      <c r="BG1297" s="14">
        <f>F1297*BF1297*IF(B1297&gt;=in_marketplace_from,d_hz_nps*G1297,0)*in_nps_ticket*in_nps_comm</f>
        <v/>
      </c>
      <c r="BH1297" s="40">
        <f>BH1296*(1-IF(B1296&gt;=in_marketplace_from,d_hz_gold*G1296,0))</f>
        <v/>
      </c>
      <c r="BI1297" s="40">
        <f>BI1296*d_rho_gold+BH1297*IF(B1297&gt;=in_marketplace_from,d_hz_gold*G1297,0)</f>
        <v/>
      </c>
      <c r="BJ1297" s="14">
        <f>F1297*BI1297*in_gold_ticket*in_gold_comm</f>
        <v/>
      </c>
      <c r="BK1297" s="40">
        <f>BK1296*(1-IF(B1296&gt;=in_marketplace_from,d_hz_fd*G1296,0))</f>
        <v/>
      </c>
      <c r="BL1297" s="14">
        <f>F1297*BK1297*IF(B1297&gt;=in_marketplace_from,d_hz_fd*G1297,0)*in_fd_ticket*in_fd_comm</f>
        <v/>
      </c>
      <c r="BM1297" s="40">
        <f>BM1296*(1-IF(B1296&gt;=in_marketplace_from,d_hz_recharge*G1296,0))</f>
        <v/>
      </c>
      <c r="BN1297" s="40">
        <f>BN1296*d_rho_recharge+BM1297*IF(B1297&gt;=in_marketplace_from,d_hz_recharge*G1297,0)</f>
        <v/>
      </c>
      <c r="BO1297" s="14">
        <f>F1297*BN1297*in_recharge_ticket*in_recharge_comm/12</f>
        <v/>
      </c>
      <c r="BP1297" s="40">
        <f>BP1296*(1-IF(B1296&gt;=in_marketplace_from,d_hz_bills*G1296,0))</f>
        <v/>
      </c>
      <c r="BQ1297" s="40">
        <f>BQ1296*d_rho_bills+BP1297*IF(B1297&gt;=in_marketplace_from,d_hz_bills*G1297,0)</f>
        <v/>
      </c>
      <c r="BR1297" s="14">
        <f>F1297*BQ1297*in_bills_ticket*in_bills_comm/12</f>
        <v/>
      </c>
      <c r="BS1297" s="40">
        <f>BS1296*(1-IF(B1296&gt;=in_marketplace_from,d_hz_loan_gold*G1296,0))</f>
        <v/>
      </c>
      <c r="BT1297" s="14">
        <f>F1297*BS1297*IF(B1297&gt;=in_marketplace_from,d_hz_loan_gold*G1297,0)*in_loan_gold_ticket*in_loan_gold_comm</f>
        <v/>
      </c>
      <c r="BU1297" s="40">
        <f>BU1296*(1-IF(B1296&gt;=in_marketplace_from,d_hz_loan_cd*G1296,0))</f>
        <v/>
      </c>
      <c r="BV1297" s="14">
        <f>F1297*BU1297*IF(B1297&gt;=in_marketplace_from,d_hz_loan_cd*G1297,0)*in_loan_cd_ticket*in_loan_cd_comm</f>
        <v/>
      </c>
      <c r="BW1297" s="40">
        <f>BW1296*(1-IF(B1296&gt;=in_marketplace_from,d_hz_loan_vehicle*G1296,0))</f>
        <v/>
      </c>
      <c r="BX1297" s="14">
        <f>F1297*BW1297*IF(B1297&gt;=in_marketplace_from,d_hz_loan_vehicle*G1297,0)*in_loan_vehicle_ticket*in_loan_vehicle_comm</f>
        <v/>
      </c>
      <c r="BY1297" s="40">
        <f>BY1296*(1-IF(B1296&gt;=in_marketplace_from,d_hz_loan_home*G1296,0)*BZ1296)</f>
        <v/>
      </c>
      <c r="BZ1297" s="11">
        <f>MIN(in_approval_cap,in_loan_home_approval*INDEX('Age profile'!$O$2:$O$61,B1297)*(1+in_approval_growth)^(D1297-1))</f>
        <v/>
      </c>
      <c r="CA1297" s="14">
        <f>F1297*BY1297*IF(B1297&gt;=in_marketplace_from,d_hz_loan_home*G1297,0)*BZ1297*in_loan_home_ticket*in_loan_home_comm</f>
        <v/>
      </c>
      <c r="CB1297" s="40">
        <f>CB1296*(1-IF(B1296&gt;=in_marketplace_from,d_hz_loan_lap*G1296,0)*CC1296)</f>
        <v/>
      </c>
      <c r="CC1297" s="11">
        <f>MIN(in_approval_cap,in_loan_lap_approval*INDEX('Age profile'!$O$2:$O$61,B1297)*(1+in_approval_growth)^(D1297-1))</f>
        <v/>
      </c>
      <c r="CD1297" s="14">
        <f>F1297*CB1297*IF(B1297&gt;=in_marketplace_from,d_hz_loan_lap*G1297,0)*CC1297*in_loan_lap_ticket*in_loan_lap_comm</f>
        <v/>
      </c>
      <c r="CE1297" s="14">
        <f>AA1297+AB1297+AC1297+AD1297+AG1297+AJ1297+AM1297+AP1297+AS1297+AU1297+AX1297+BB1297+BE1297+BG1297+BJ1297+BL1297+BO1297+BR1297+BT1297+BV1297+BX1297+CA1297+CD1297</f>
        <v/>
      </c>
    </row>
    <row r="1298">
      <c r="A1298" s="39" t="n">
        <v>28</v>
      </c>
      <c r="B1298" s="39" t="n">
        <v>28</v>
      </c>
      <c r="C1298" s="39">
        <f>A1298+B1298-1</f>
        <v/>
      </c>
      <c r="D1298" s="39">
        <f>INT((C1298-1)/12)+1</f>
        <v/>
      </c>
      <c r="E1298" s="44">
        <f>INDEX(Monthly!$B$2:$B$61,A1298)</f>
        <v/>
      </c>
      <c r="F1298" s="44">
        <f>E1298*INDEX('Age profile'!$B$2:$B$61,B1298)</f>
        <v/>
      </c>
      <c r="G1298" s="45">
        <f>MIN(in_takeup_cap,INDEX('Age profile'!$N$2:$N$61,B1298)*(1+in_takeup_growth)^(D1298-1))</f>
        <v/>
      </c>
      <c r="H1298" s="11">
        <f>MIN(in_approval_cap,in_approved_first*INDEX('Age profile'!$O$2:$O$61,B1298)*(1+in_approval_growth)^(D1298-1))</f>
        <v/>
      </c>
      <c r="I1298" s="45">
        <f>G1298*MIN(in_takeup_cap,INDEX('Age profile'!$O$2:$O$61,B1298)*(1+in_approval_growth)^(D1298-1))</f>
        <v/>
      </c>
      <c r="J1298" s="40">
        <f>(J1297-L1297)*F1298/F1297</f>
        <v/>
      </c>
      <c r="K1298" s="40">
        <f>(K1297-M1297)*F1298/F1297+SUMIFS(O1271:O1297,B1271:B1297,B1298-1-d_T)*F1298</f>
        <v/>
      </c>
      <c r="L1298" s="40">
        <f>IF(B1298&gt;=in_marketplace_from,J1298*d_hz*G1298*in_eligible*H1298,0)</f>
        <v/>
      </c>
      <c r="M1298" s="40">
        <f>IF(B1298&gt;=in_marketplace_from,K1298*d_hz*G1298*in_eligible*in_approved_repeat,0)</f>
        <v/>
      </c>
      <c r="N1298" s="40">
        <f>L1298+M1298</f>
        <v/>
      </c>
      <c r="O1298" s="46">
        <f>N1298/F1298</f>
        <v/>
      </c>
      <c r="P1298" s="40">
        <f>F1298-J1298-K1298</f>
        <v/>
      </c>
      <c r="Q1298" s="40">
        <f>IF(B1298&gt;=in_marketplace_from,(J1298+K1298)*d_hz*G1298,0)</f>
        <v/>
      </c>
      <c r="R1298" s="40">
        <f>SUMIFS(N1271:N1303,B1271:B1303,"&gt;="&amp;(B1298-d_T),B1271:B1303,"&lt;="&amp;(B1298-1))</f>
        <v/>
      </c>
      <c r="S1298" s="46">
        <f>(1-d_u)*S1297+IF(d_T&gt;in_topup_lag,SUMIFS(O1271:O1303,B1271:B1303,B1298-in_topup_lag)-d_udrop*SUMIFS(O1271:O1303,B1271:B1303,B1298-d_T),0)</f>
        <v/>
      </c>
      <c r="T1298" s="40">
        <f>F1298*d_u*S1298</f>
        <v/>
      </c>
      <c r="U1298" s="9">
        <f>L1298*in_ticket+M1298*d_rep_ticket</f>
        <v/>
      </c>
      <c r="V1298" s="9">
        <f>U1298+T1298*d_topup_amt</f>
        <v/>
      </c>
      <c r="W1298" s="40">
        <f>N1298+T1298*d_topup_ratio</f>
        <v/>
      </c>
      <c r="X1298" s="40">
        <f>SUMIFS(W1271:W1303,B1271:B1303,B1298-in_dpd_lag)*d_cured</f>
        <v/>
      </c>
      <c r="Y1298" s="40">
        <f>SUMIFS(W1271:W1303,B1271:B1303,B1298-in_rec_lag)*d_recd</f>
        <v/>
      </c>
      <c r="Z1298" s="40">
        <f>IF(AND(B1298&gt;=in_marketplace_from,B1298&lt;in_marketplace_from+in_card_months),in_card_share/in_card_months*F1298*I1298,IF(AND(B1298&gt;=in_marketplace_from+in_card_months,B1298&lt;in_marketplace_from+2*in_card_months),in_card_share*d_card_rem/in_card_months*F1298*MIN(in_takeup_cap,(1+in_takeup_growth)^(D1298-1))*MIN(in_takeup_cap,(1+in_approval_growth)^(D1298-1)),0))</f>
        <v/>
      </c>
      <c r="AA1298" s="14">
        <f>V1298*in_fee*(1-in_taken_back)</f>
        <v/>
      </c>
      <c r="AB1298" s="14">
        <f>SUMIFS(W1271:W1303,B1271:B1303,B1298-in_dpd_lag)*d_dpd</f>
        <v/>
      </c>
      <c r="AC1298" s="14">
        <f>SUMIFS(W1271:W1303,B1271:B1303,B1298-in_rec_lag)*d_rec</f>
        <v/>
      </c>
      <c r="AD1298" s="14">
        <f>Z1298*in_card_fee</f>
        <v/>
      </c>
      <c r="AE1298" s="40">
        <f>AE1297*(1-IF(B1297&gt;=in_marketplace_from,d_hz_hlth_small*G1297,0))</f>
        <v/>
      </c>
      <c r="AF1298" s="46">
        <f>AE1298*IF(B1298&gt;=in_marketplace_from,d_hz_hlth_small*G1298,0)</f>
        <v/>
      </c>
      <c r="AG1298" s="14">
        <f>F1298*AF1298*in_hlth_small_ticket*in_hlth_small_comm*in_ins_partner_share+F1298*in_hlth_small_ticket*in_hlth_small_renew_comm*in_ins_partner_share*(in_hlth_small_renew^1*SUMIFS(AF1271:AF1303,B1271:B1303,B1298-12)+in_hlth_small_renew^2*SUMIFS(AF1271:AF1303,B1271:B1303,B1298-24)+in_hlth_small_renew^3*SUMIFS(AF1271:AF1303,B1271:B1303,B1298-36)+in_hlth_small_renew^4*SUMIFS(AF1271:AF1303,B1271:B1303,B1298-48))</f>
        <v/>
      </c>
      <c r="AH1298" s="40">
        <f>AH1297*(1-IF(B1297&gt;=in_marketplace_from,d_hz_hlth_family*G1297,0))</f>
        <v/>
      </c>
      <c r="AI1298" s="46">
        <f>AH1298*IF(B1298&gt;=in_marketplace_from,d_hz_hlth_family*G1298,0)</f>
        <v/>
      </c>
      <c r="AJ1298" s="14">
        <f>F1298*AI1298*in_hlth_family_ticket*in_hlth_family_comm*in_ins_partner_share+F1298*in_hlth_family_ticket*in_hlth_family_renew_comm*in_ins_partner_share*(in_hlth_family_renew^1*SUMIFS(AI1271:AI1303,B1271:B1303,B1298-12)+in_hlth_family_renew^2*SUMIFS(AI1271:AI1303,B1271:B1303,B1298-24)+in_hlth_family_renew^3*SUMIFS(AI1271:AI1303,B1271:B1303,B1298-36)+in_hlth_family_renew^4*SUMIFS(AI1271:AI1303,B1271:B1303,B1298-48))</f>
        <v/>
      </c>
      <c r="AK1298" s="40">
        <f>AK1297*(1-IF(B1297&gt;=in_marketplace_from,d_hz_life_term*G1297,0))</f>
        <v/>
      </c>
      <c r="AL1298" s="46">
        <f>AK1298*IF(B1298&gt;=in_marketplace_from,d_hz_life_term*G1298,0)</f>
        <v/>
      </c>
      <c r="AM1298" s="14">
        <f>F1298*AL1298*in_life_term_ticket*in_life_term_comm*in_ins_partner_share+F1298*in_life_term_ticket*in_life_term_renew_comm*in_ins_partner_share*(in_life_term_renew^1*SUMIFS(AL1271:AL1303,B1271:B1303,B1298-12)+in_life_term_renew^2*SUMIFS(AL1271:AL1303,B1271:B1303,B1298-24)+in_life_term_renew^3*SUMIFS(AL1271:AL1303,B1271:B1303,B1298-36)+in_life_term_renew^4*SUMIFS(AL1271:AL1303,B1271:B1303,B1298-48))</f>
        <v/>
      </c>
      <c r="AN1298" s="40">
        <f>AN1297*(1-IF(B1297&gt;=in_marketplace_from,d_hz_accident*G1297,0))</f>
        <v/>
      </c>
      <c r="AO1298" s="46">
        <f>AN1298*IF(B1298&gt;=in_marketplace_from,d_hz_accident*G1298,0)</f>
        <v/>
      </c>
      <c r="AP1298" s="14">
        <f>F1298*AO1298*in_accident_ticket*in_accident_comm*in_ins_partner_share+F1298*in_accident_ticket*in_accident_renew_comm*in_ins_partner_share*(in_accident_renew^1*SUMIFS(AO1271:AO1303,B1271:B1303,B1298-12)+in_accident_renew^2*SUMIFS(AO1271:AO1303,B1271:B1303,B1298-24)+in_accident_renew^3*SUMIFS(AO1271:AO1303,B1271:B1303,B1298-36)+in_accident_renew^4*SUMIFS(AO1271:AO1303,B1271:B1303,B1298-48))</f>
        <v/>
      </c>
      <c r="AQ1298" s="40">
        <f>AQ1297*(1-IF(B1297&gt;=in_marketplace_from,d_hz_two_wheeler*G1297,0))</f>
        <v/>
      </c>
      <c r="AR1298" s="46">
        <f>AQ1298*IF(B1298&gt;=in_marketplace_from,d_hz_two_wheeler*G1298,0)</f>
        <v/>
      </c>
      <c r="AS1298" s="14">
        <f>F1298*AR1298*in_two_wheeler_ticket*in_two_wheeler_comm*in_ins_partner_share+F1298*in_two_wheeler_ticket*in_two_wheeler_comm*in_ins_partner_share*(in_two_wheeler_renew^1*SUMIFS(AR1271:AR1303,B1271:B1303,B1298-12)+in_two_wheeler_renew^2*SUMIFS(AR1271:AR1303,B1271:B1303,B1298-24)+in_two_wheeler_renew^3*SUMIFS(AR1271:AR1303,B1271:B1303,B1298-36)+in_two_wheeler_renew^4*SUMIFS(AR1271:AR1303,B1271:B1303,B1298-48))</f>
        <v/>
      </c>
      <c r="AT1298" s="40">
        <f>AT1297*(1-IF(B1297&gt;=in_marketplace_from,d_hz_device*G1297,0))</f>
        <v/>
      </c>
      <c r="AU1298" s="14">
        <f>F1298*AT1298*IF(B1298&gt;=in_marketplace_from,d_hz_device*G1298,0)*in_device_ticket*in_device_comm*in_ins_partner_share</f>
        <v/>
      </c>
      <c r="AV1298" s="40">
        <f>AV1297*(1-IF(B1297&gt;=in_marketplace_from,d_hz_shop*G1297,0))</f>
        <v/>
      </c>
      <c r="AW1298" s="46">
        <f>AV1298*IF(B1298&gt;=in_marketplace_from,d_hz_shop*G1298,0)</f>
        <v/>
      </c>
      <c r="AX1298" s="14">
        <f>F1298*AW1298*in_shop_ticket*in_shop_comm*in_ins_partner_share+F1298*in_shop_ticket*in_shop_renew_comm*in_ins_partner_share*(in_shop_renew^1*SUMIFS(AW1271:AW1303,B1271:B1303,B1298-12)+in_shop_renew^2*SUMIFS(AW1271:AW1303,B1271:B1303,B1298-24)+in_shop_renew^3*SUMIFS(AW1271:AW1303,B1271:B1303,B1298-36)+in_shop_renew^4*SUMIFS(AW1271:AW1303,B1271:B1303,B1298-48))</f>
        <v/>
      </c>
      <c r="AY1298" s="40">
        <f>AY1297*(1-IF(B1297&gt;=in_marketplace_from,d_hz_sip*G1297,0))</f>
        <v/>
      </c>
      <c r="AZ1298" s="40">
        <f>AZ1297*d_rho_sip+AY1298*IF(B1298&gt;=in_marketplace_from,d_hz_sip*G1298,0)</f>
        <v/>
      </c>
      <c r="BA1298" s="40">
        <f>d_rho_sip*(BA1297+AZ1297)</f>
        <v/>
      </c>
      <c r="BB1298" s="14">
        <f>F1298*in_sip_ticket*(BA1298+0.5*AZ1298)*in_sip_comm/12</f>
        <v/>
      </c>
      <c r="BC1298" s="40">
        <f>BC1297*(1-IF(B1297&gt;=in_marketplace_from,d_hz_choti*G1297,0))</f>
        <v/>
      </c>
      <c r="BD1298" s="46">
        <f>BC1298*IF(B1298&gt;=in_marketplace_from,d_hz_choti*G1298,0)</f>
        <v/>
      </c>
      <c r="BE1298" s="14">
        <f>F1298*SUMIFS(BD1271:BD1303,B1271:B1303,B1298-in_choti_months)*in_choti_renew*in_choti_ticket</f>
        <v/>
      </c>
      <c r="BF1298" s="40">
        <f>BF1297*(1-IF(B1297&gt;=in_marketplace_from,d_hz_nps*G1297,0))</f>
        <v/>
      </c>
      <c r="BG1298" s="14">
        <f>F1298*BF1298*IF(B1298&gt;=in_marketplace_from,d_hz_nps*G1298,0)*in_nps_ticket*in_nps_comm</f>
        <v/>
      </c>
      <c r="BH1298" s="40">
        <f>BH1297*(1-IF(B1297&gt;=in_marketplace_from,d_hz_gold*G1297,0))</f>
        <v/>
      </c>
      <c r="BI1298" s="40">
        <f>BI1297*d_rho_gold+BH1298*IF(B1298&gt;=in_marketplace_from,d_hz_gold*G1298,0)</f>
        <v/>
      </c>
      <c r="BJ1298" s="14">
        <f>F1298*BI1298*in_gold_ticket*in_gold_comm</f>
        <v/>
      </c>
      <c r="BK1298" s="40">
        <f>BK1297*(1-IF(B1297&gt;=in_marketplace_from,d_hz_fd*G1297,0))</f>
        <v/>
      </c>
      <c r="BL1298" s="14">
        <f>F1298*BK1298*IF(B1298&gt;=in_marketplace_from,d_hz_fd*G1298,0)*in_fd_ticket*in_fd_comm</f>
        <v/>
      </c>
      <c r="BM1298" s="40">
        <f>BM1297*(1-IF(B1297&gt;=in_marketplace_from,d_hz_recharge*G1297,0))</f>
        <v/>
      </c>
      <c r="BN1298" s="40">
        <f>BN1297*d_rho_recharge+BM1298*IF(B1298&gt;=in_marketplace_from,d_hz_recharge*G1298,0)</f>
        <v/>
      </c>
      <c r="BO1298" s="14">
        <f>F1298*BN1298*in_recharge_ticket*in_recharge_comm/12</f>
        <v/>
      </c>
      <c r="BP1298" s="40">
        <f>BP1297*(1-IF(B1297&gt;=in_marketplace_from,d_hz_bills*G1297,0))</f>
        <v/>
      </c>
      <c r="BQ1298" s="40">
        <f>BQ1297*d_rho_bills+BP1298*IF(B1298&gt;=in_marketplace_from,d_hz_bills*G1298,0)</f>
        <v/>
      </c>
      <c r="BR1298" s="14">
        <f>F1298*BQ1298*in_bills_ticket*in_bills_comm/12</f>
        <v/>
      </c>
      <c r="BS1298" s="40">
        <f>BS1297*(1-IF(B1297&gt;=in_marketplace_from,d_hz_loan_gold*G1297,0))</f>
        <v/>
      </c>
      <c r="BT1298" s="14">
        <f>F1298*BS1298*IF(B1298&gt;=in_marketplace_from,d_hz_loan_gold*G1298,0)*in_loan_gold_ticket*in_loan_gold_comm</f>
        <v/>
      </c>
      <c r="BU1298" s="40">
        <f>BU1297*(1-IF(B1297&gt;=in_marketplace_from,d_hz_loan_cd*G1297,0))</f>
        <v/>
      </c>
      <c r="BV1298" s="14">
        <f>F1298*BU1298*IF(B1298&gt;=in_marketplace_from,d_hz_loan_cd*G1298,0)*in_loan_cd_ticket*in_loan_cd_comm</f>
        <v/>
      </c>
      <c r="BW1298" s="40">
        <f>BW1297*(1-IF(B1297&gt;=in_marketplace_from,d_hz_loan_vehicle*G1297,0))</f>
        <v/>
      </c>
      <c r="BX1298" s="14">
        <f>F1298*BW1298*IF(B1298&gt;=in_marketplace_from,d_hz_loan_vehicle*G1298,0)*in_loan_vehicle_ticket*in_loan_vehicle_comm</f>
        <v/>
      </c>
      <c r="BY1298" s="40">
        <f>BY1297*(1-IF(B1297&gt;=in_marketplace_from,d_hz_loan_home*G1297,0)*BZ1297)</f>
        <v/>
      </c>
      <c r="BZ1298" s="11">
        <f>MIN(in_approval_cap,in_loan_home_approval*INDEX('Age profile'!$O$2:$O$61,B1298)*(1+in_approval_growth)^(D1298-1))</f>
        <v/>
      </c>
      <c r="CA1298" s="14">
        <f>F1298*BY1298*IF(B1298&gt;=in_marketplace_from,d_hz_loan_home*G1298,0)*BZ1298*in_loan_home_ticket*in_loan_home_comm</f>
        <v/>
      </c>
      <c r="CB1298" s="40">
        <f>CB1297*(1-IF(B1297&gt;=in_marketplace_from,d_hz_loan_lap*G1297,0)*CC1297)</f>
        <v/>
      </c>
      <c r="CC1298" s="11">
        <f>MIN(in_approval_cap,in_loan_lap_approval*INDEX('Age profile'!$O$2:$O$61,B1298)*(1+in_approval_growth)^(D1298-1))</f>
        <v/>
      </c>
      <c r="CD1298" s="14">
        <f>F1298*CB1298*IF(B1298&gt;=in_marketplace_from,d_hz_loan_lap*G1298,0)*CC1298*in_loan_lap_ticket*in_loan_lap_comm</f>
        <v/>
      </c>
      <c r="CE1298" s="14">
        <f>AA1298+AB1298+AC1298+AD1298+AG1298+AJ1298+AM1298+AP1298+AS1298+AU1298+AX1298+BB1298+BE1298+BG1298+BJ1298+BL1298+BO1298+BR1298+BT1298+BV1298+BX1298+CA1298+CD1298</f>
        <v/>
      </c>
    </row>
    <row r="1299">
      <c r="A1299" s="39" t="n">
        <v>28</v>
      </c>
      <c r="B1299" s="39" t="n">
        <v>29</v>
      </c>
      <c r="C1299" s="39">
        <f>A1299+B1299-1</f>
        <v/>
      </c>
      <c r="D1299" s="39">
        <f>INT((C1299-1)/12)+1</f>
        <v/>
      </c>
      <c r="E1299" s="44">
        <f>INDEX(Monthly!$B$2:$B$61,A1299)</f>
        <v/>
      </c>
      <c r="F1299" s="44">
        <f>E1299*INDEX('Age profile'!$B$2:$B$61,B1299)</f>
        <v/>
      </c>
      <c r="G1299" s="45">
        <f>MIN(in_takeup_cap,INDEX('Age profile'!$N$2:$N$61,B1299)*(1+in_takeup_growth)^(D1299-1))</f>
        <v/>
      </c>
      <c r="H1299" s="11">
        <f>MIN(in_approval_cap,in_approved_first*INDEX('Age profile'!$O$2:$O$61,B1299)*(1+in_approval_growth)^(D1299-1))</f>
        <v/>
      </c>
      <c r="I1299" s="45">
        <f>G1299*MIN(in_takeup_cap,INDEX('Age profile'!$O$2:$O$61,B1299)*(1+in_approval_growth)^(D1299-1))</f>
        <v/>
      </c>
      <c r="J1299" s="40">
        <f>(J1298-L1298)*F1299/F1298</f>
        <v/>
      </c>
      <c r="K1299" s="40">
        <f>(K1298-M1298)*F1299/F1298+SUMIFS(O1271:O1298,B1271:B1298,B1299-1-d_T)*F1299</f>
        <v/>
      </c>
      <c r="L1299" s="40">
        <f>IF(B1299&gt;=in_marketplace_from,J1299*d_hz*G1299*in_eligible*H1299,0)</f>
        <v/>
      </c>
      <c r="M1299" s="40">
        <f>IF(B1299&gt;=in_marketplace_from,K1299*d_hz*G1299*in_eligible*in_approved_repeat,0)</f>
        <v/>
      </c>
      <c r="N1299" s="40">
        <f>L1299+M1299</f>
        <v/>
      </c>
      <c r="O1299" s="46">
        <f>N1299/F1299</f>
        <v/>
      </c>
      <c r="P1299" s="40">
        <f>F1299-J1299-K1299</f>
        <v/>
      </c>
      <c r="Q1299" s="40">
        <f>IF(B1299&gt;=in_marketplace_from,(J1299+K1299)*d_hz*G1299,0)</f>
        <v/>
      </c>
      <c r="R1299" s="40">
        <f>SUMIFS(N1271:N1303,B1271:B1303,"&gt;="&amp;(B1299-d_T),B1271:B1303,"&lt;="&amp;(B1299-1))</f>
        <v/>
      </c>
      <c r="S1299" s="46">
        <f>(1-d_u)*S1298+IF(d_T&gt;in_topup_lag,SUMIFS(O1271:O1303,B1271:B1303,B1299-in_topup_lag)-d_udrop*SUMIFS(O1271:O1303,B1271:B1303,B1299-d_T),0)</f>
        <v/>
      </c>
      <c r="T1299" s="40">
        <f>F1299*d_u*S1299</f>
        <v/>
      </c>
      <c r="U1299" s="9">
        <f>L1299*in_ticket+M1299*d_rep_ticket</f>
        <v/>
      </c>
      <c r="V1299" s="9">
        <f>U1299+T1299*d_topup_amt</f>
        <v/>
      </c>
      <c r="W1299" s="40">
        <f>N1299+T1299*d_topup_ratio</f>
        <v/>
      </c>
      <c r="X1299" s="40">
        <f>SUMIFS(W1271:W1303,B1271:B1303,B1299-in_dpd_lag)*d_cured</f>
        <v/>
      </c>
      <c r="Y1299" s="40">
        <f>SUMIFS(W1271:W1303,B1271:B1303,B1299-in_rec_lag)*d_recd</f>
        <v/>
      </c>
      <c r="Z1299" s="40">
        <f>IF(AND(B1299&gt;=in_marketplace_from,B1299&lt;in_marketplace_from+in_card_months),in_card_share/in_card_months*F1299*I1299,IF(AND(B1299&gt;=in_marketplace_from+in_card_months,B1299&lt;in_marketplace_from+2*in_card_months),in_card_share*d_card_rem/in_card_months*F1299*MIN(in_takeup_cap,(1+in_takeup_growth)^(D1299-1))*MIN(in_takeup_cap,(1+in_approval_growth)^(D1299-1)),0))</f>
        <v/>
      </c>
      <c r="AA1299" s="14">
        <f>V1299*in_fee*(1-in_taken_back)</f>
        <v/>
      </c>
      <c r="AB1299" s="14">
        <f>SUMIFS(W1271:W1303,B1271:B1303,B1299-in_dpd_lag)*d_dpd</f>
        <v/>
      </c>
      <c r="AC1299" s="14">
        <f>SUMIFS(W1271:W1303,B1271:B1303,B1299-in_rec_lag)*d_rec</f>
        <v/>
      </c>
      <c r="AD1299" s="14">
        <f>Z1299*in_card_fee</f>
        <v/>
      </c>
      <c r="AE1299" s="40">
        <f>AE1298*(1-IF(B1298&gt;=in_marketplace_from,d_hz_hlth_small*G1298,0))</f>
        <v/>
      </c>
      <c r="AF1299" s="46">
        <f>AE1299*IF(B1299&gt;=in_marketplace_from,d_hz_hlth_small*G1299,0)</f>
        <v/>
      </c>
      <c r="AG1299" s="14">
        <f>F1299*AF1299*in_hlth_small_ticket*in_hlth_small_comm*in_ins_partner_share+F1299*in_hlth_small_ticket*in_hlth_small_renew_comm*in_ins_partner_share*(in_hlth_small_renew^1*SUMIFS(AF1271:AF1303,B1271:B1303,B1299-12)+in_hlth_small_renew^2*SUMIFS(AF1271:AF1303,B1271:B1303,B1299-24)+in_hlth_small_renew^3*SUMIFS(AF1271:AF1303,B1271:B1303,B1299-36)+in_hlth_small_renew^4*SUMIFS(AF1271:AF1303,B1271:B1303,B1299-48))</f>
        <v/>
      </c>
      <c r="AH1299" s="40">
        <f>AH1298*(1-IF(B1298&gt;=in_marketplace_from,d_hz_hlth_family*G1298,0))</f>
        <v/>
      </c>
      <c r="AI1299" s="46">
        <f>AH1299*IF(B1299&gt;=in_marketplace_from,d_hz_hlth_family*G1299,0)</f>
        <v/>
      </c>
      <c r="AJ1299" s="14">
        <f>F1299*AI1299*in_hlth_family_ticket*in_hlth_family_comm*in_ins_partner_share+F1299*in_hlth_family_ticket*in_hlth_family_renew_comm*in_ins_partner_share*(in_hlth_family_renew^1*SUMIFS(AI1271:AI1303,B1271:B1303,B1299-12)+in_hlth_family_renew^2*SUMIFS(AI1271:AI1303,B1271:B1303,B1299-24)+in_hlth_family_renew^3*SUMIFS(AI1271:AI1303,B1271:B1303,B1299-36)+in_hlth_family_renew^4*SUMIFS(AI1271:AI1303,B1271:B1303,B1299-48))</f>
        <v/>
      </c>
      <c r="AK1299" s="40">
        <f>AK1298*(1-IF(B1298&gt;=in_marketplace_from,d_hz_life_term*G1298,0))</f>
        <v/>
      </c>
      <c r="AL1299" s="46">
        <f>AK1299*IF(B1299&gt;=in_marketplace_from,d_hz_life_term*G1299,0)</f>
        <v/>
      </c>
      <c r="AM1299" s="14">
        <f>F1299*AL1299*in_life_term_ticket*in_life_term_comm*in_ins_partner_share+F1299*in_life_term_ticket*in_life_term_renew_comm*in_ins_partner_share*(in_life_term_renew^1*SUMIFS(AL1271:AL1303,B1271:B1303,B1299-12)+in_life_term_renew^2*SUMIFS(AL1271:AL1303,B1271:B1303,B1299-24)+in_life_term_renew^3*SUMIFS(AL1271:AL1303,B1271:B1303,B1299-36)+in_life_term_renew^4*SUMIFS(AL1271:AL1303,B1271:B1303,B1299-48))</f>
        <v/>
      </c>
      <c r="AN1299" s="40">
        <f>AN1298*(1-IF(B1298&gt;=in_marketplace_from,d_hz_accident*G1298,0))</f>
        <v/>
      </c>
      <c r="AO1299" s="46">
        <f>AN1299*IF(B1299&gt;=in_marketplace_from,d_hz_accident*G1299,0)</f>
        <v/>
      </c>
      <c r="AP1299" s="14">
        <f>F1299*AO1299*in_accident_ticket*in_accident_comm*in_ins_partner_share+F1299*in_accident_ticket*in_accident_renew_comm*in_ins_partner_share*(in_accident_renew^1*SUMIFS(AO1271:AO1303,B1271:B1303,B1299-12)+in_accident_renew^2*SUMIFS(AO1271:AO1303,B1271:B1303,B1299-24)+in_accident_renew^3*SUMIFS(AO1271:AO1303,B1271:B1303,B1299-36)+in_accident_renew^4*SUMIFS(AO1271:AO1303,B1271:B1303,B1299-48))</f>
        <v/>
      </c>
      <c r="AQ1299" s="40">
        <f>AQ1298*(1-IF(B1298&gt;=in_marketplace_from,d_hz_two_wheeler*G1298,0))</f>
        <v/>
      </c>
      <c r="AR1299" s="46">
        <f>AQ1299*IF(B1299&gt;=in_marketplace_from,d_hz_two_wheeler*G1299,0)</f>
        <v/>
      </c>
      <c r="AS1299" s="14">
        <f>F1299*AR1299*in_two_wheeler_ticket*in_two_wheeler_comm*in_ins_partner_share+F1299*in_two_wheeler_ticket*in_two_wheeler_comm*in_ins_partner_share*(in_two_wheeler_renew^1*SUMIFS(AR1271:AR1303,B1271:B1303,B1299-12)+in_two_wheeler_renew^2*SUMIFS(AR1271:AR1303,B1271:B1303,B1299-24)+in_two_wheeler_renew^3*SUMIFS(AR1271:AR1303,B1271:B1303,B1299-36)+in_two_wheeler_renew^4*SUMIFS(AR1271:AR1303,B1271:B1303,B1299-48))</f>
        <v/>
      </c>
      <c r="AT1299" s="40">
        <f>AT1298*(1-IF(B1298&gt;=in_marketplace_from,d_hz_device*G1298,0))</f>
        <v/>
      </c>
      <c r="AU1299" s="14">
        <f>F1299*AT1299*IF(B1299&gt;=in_marketplace_from,d_hz_device*G1299,0)*in_device_ticket*in_device_comm*in_ins_partner_share</f>
        <v/>
      </c>
      <c r="AV1299" s="40">
        <f>AV1298*(1-IF(B1298&gt;=in_marketplace_from,d_hz_shop*G1298,0))</f>
        <v/>
      </c>
      <c r="AW1299" s="46">
        <f>AV1299*IF(B1299&gt;=in_marketplace_from,d_hz_shop*G1299,0)</f>
        <v/>
      </c>
      <c r="AX1299" s="14">
        <f>F1299*AW1299*in_shop_ticket*in_shop_comm*in_ins_partner_share+F1299*in_shop_ticket*in_shop_renew_comm*in_ins_partner_share*(in_shop_renew^1*SUMIFS(AW1271:AW1303,B1271:B1303,B1299-12)+in_shop_renew^2*SUMIFS(AW1271:AW1303,B1271:B1303,B1299-24)+in_shop_renew^3*SUMIFS(AW1271:AW1303,B1271:B1303,B1299-36)+in_shop_renew^4*SUMIFS(AW1271:AW1303,B1271:B1303,B1299-48))</f>
        <v/>
      </c>
      <c r="AY1299" s="40">
        <f>AY1298*(1-IF(B1298&gt;=in_marketplace_from,d_hz_sip*G1298,0))</f>
        <v/>
      </c>
      <c r="AZ1299" s="40">
        <f>AZ1298*d_rho_sip+AY1299*IF(B1299&gt;=in_marketplace_from,d_hz_sip*G1299,0)</f>
        <v/>
      </c>
      <c r="BA1299" s="40">
        <f>d_rho_sip*(BA1298+AZ1298)</f>
        <v/>
      </c>
      <c r="BB1299" s="14">
        <f>F1299*in_sip_ticket*(BA1299+0.5*AZ1299)*in_sip_comm/12</f>
        <v/>
      </c>
      <c r="BC1299" s="40">
        <f>BC1298*(1-IF(B1298&gt;=in_marketplace_from,d_hz_choti*G1298,0))</f>
        <v/>
      </c>
      <c r="BD1299" s="46">
        <f>BC1299*IF(B1299&gt;=in_marketplace_from,d_hz_choti*G1299,0)</f>
        <v/>
      </c>
      <c r="BE1299" s="14">
        <f>F1299*SUMIFS(BD1271:BD1303,B1271:B1303,B1299-in_choti_months)*in_choti_renew*in_choti_ticket</f>
        <v/>
      </c>
      <c r="BF1299" s="40">
        <f>BF1298*(1-IF(B1298&gt;=in_marketplace_from,d_hz_nps*G1298,0))</f>
        <v/>
      </c>
      <c r="BG1299" s="14">
        <f>F1299*BF1299*IF(B1299&gt;=in_marketplace_from,d_hz_nps*G1299,0)*in_nps_ticket*in_nps_comm</f>
        <v/>
      </c>
      <c r="BH1299" s="40">
        <f>BH1298*(1-IF(B1298&gt;=in_marketplace_from,d_hz_gold*G1298,0))</f>
        <v/>
      </c>
      <c r="BI1299" s="40">
        <f>BI1298*d_rho_gold+BH1299*IF(B1299&gt;=in_marketplace_from,d_hz_gold*G1299,0)</f>
        <v/>
      </c>
      <c r="BJ1299" s="14">
        <f>F1299*BI1299*in_gold_ticket*in_gold_comm</f>
        <v/>
      </c>
      <c r="BK1299" s="40">
        <f>BK1298*(1-IF(B1298&gt;=in_marketplace_from,d_hz_fd*G1298,0))</f>
        <v/>
      </c>
      <c r="BL1299" s="14">
        <f>F1299*BK1299*IF(B1299&gt;=in_marketplace_from,d_hz_fd*G1299,0)*in_fd_ticket*in_fd_comm</f>
        <v/>
      </c>
      <c r="BM1299" s="40">
        <f>BM1298*(1-IF(B1298&gt;=in_marketplace_from,d_hz_recharge*G1298,0))</f>
        <v/>
      </c>
      <c r="BN1299" s="40">
        <f>BN1298*d_rho_recharge+BM1299*IF(B1299&gt;=in_marketplace_from,d_hz_recharge*G1299,0)</f>
        <v/>
      </c>
      <c r="BO1299" s="14">
        <f>F1299*BN1299*in_recharge_ticket*in_recharge_comm/12</f>
        <v/>
      </c>
      <c r="BP1299" s="40">
        <f>BP1298*(1-IF(B1298&gt;=in_marketplace_from,d_hz_bills*G1298,0))</f>
        <v/>
      </c>
      <c r="BQ1299" s="40">
        <f>BQ1298*d_rho_bills+BP1299*IF(B1299&gt;=in_marketplace_from,d_hz_bills*G1299,0)</f>
        <v/>
      </c>
      <c r="BR1299" s="14">
        <f>F1299*BQ1299*in_bills_ticket*in_bills_comm/12</f>
        <v/>
      </c>
      <c r="BS1299" s="40">
        <f>BS1298*(1-IF(B1298&gt;=in_marketplace_from,d_hz_loan_gold*G1298,0))</f>
        <v/>
      </c>
      <c r="BT1299" s="14">
        <f>F1299*BS1299*IF(B1299&gt;=in_marketplace_from,d_hz_loan_gold*G1299,0)*in_loan_gold_ticket*in_loan_gold_comm</f>
        <v/>
      </c>
      <c r="BU1299" s="40">
        <f>BU1298*(1-IF(B1298&gt;=in_marketplace_from,d_hz_loan_cd*G1298,0))</f>
        <v/>
      </c>
      <c r="BV1299" s="14">
        <f>F1299*BU1299*IF(B1299&gt;=in_marketplace_from,d_hz_loan_cd*G1299,0)*in_loan_cd_ticket*in_loan_cd_comm</f>
        <v/>
      </c>
      <c r="BW1299" s="40">
        <f>BW1298*(1-IF(B1298&gt;=in_marketplace_from,d_hz_loan_vehicle*G1298,0))</f>
        <v/>
      </c>
      <c r="BX1299" s="14">
        <f>F1299*BW1299*IF(B1299&gt;=in_marketplace_from,d_hz_loan_vehicle*G1299,0)*in_loan_vehicle_ticket*in_loan_vehicle_comm</f>
        <v/>
      </c>
      <c r="BY1299" s="40">
        <f>BY1298*(1-IF(B1298&gt;=in_marketplace_from,d_hz_loan_home*G1298,0)*BZ1298)</f>
        <v/>
      </c>
      <c r="BZ1299" s="11">
        <f>MIN(in_approval_cap,in_loan_home_approval*INDEX('Age profile'!$O$2:$O$61,B1299)*(1+in_approval_growth)^(D1299-1))</f>
        <v/>
      </c>
      <c r="CA1299" s="14">
        <f>F1299*BY1299*IF(B1299&gt;=in_marketplace_from,d_hz_loan_home*G1299,0)*BZ1299*in_loan_home_ticket*in_loan_home_comm</f>
        <v/>
      </c>
      <c r="CB1299" s="40">
        <f>CB1298*(1-IF(B1298&gt;=in_marketplace_from,d_hz_loan_lap*G1298,0)*CC1298)</f>
        <v/>
      </c>
      <c r="CC1299" s="11">
        <f>MIN(in_approval_cap,in_loan_lap_approval*INDEX('Age profile'!$O$2:$O$61,B1299)*(1+in_approval_growth)^(D1299-1))</f>
        <v/>
      </c>
      <c r="CD1299" s="14">
        <f>F1299*CB1299*IF(B1299&gt;=in_marketplace_from,d_hz_loan_lap*G1299,0)*CC1299*in_loan_lap_ticket*in_loan_lap_comm</f>
        <v/>
      </c>
      <c r="CE1299" s="14">
        <f>AA1299+AB1299+AC1299+AD1299+AG1299+AJ1299+AM1299+AP1299+AS1299+AU1299+AX1299+BB1299+BE1299+BG1299+BJ1299+BL1299+BO1299+BR1299+BT1299+BV1299+BX1299+CA1299+CD1299</f>
        <v/>
      </c>
    </row>
    <row r="1300">
      <c r="A1300" s="39" t="n">
        <v>28</v>
      </c>
      <c r="B1300" s="39" t="n">
        <v>30</v>
      </c>
      <c r="C1300" s="39">
        <f>A1300+B1300-1</f>
        <v/>
      </c>
      <c r="D1300" s="39">
        <f>INT((C1300-1)/12)+1</f>
        <v/>
      </c>
      <c r="E1300" s="44">
        <f>INDEX(Monthly!$B$2:$B$61,A1300)</f>
        <v/>
      </c>
      <c r="F1300" s="44">
        <f>E1300*INDEX('Age profile'!$B$2:$B$61,B1300)</f>
        <v/>
      </c>
      <c r="G1300" s="45">
        <f>MIN(in_takeup_cap,INDEX('Age profile'!$N$2:$N$61,B1300)*(1+in_takeup_growth)^(D1300-1))</f>
        <v/>
      </c>
      <c r="H1300" s="11">
        <f>MIN(in_approval_cap,in_approved_first*INDEX('Age profile'!$O$2:$O$61,B1300)*(1+in_approval_growth)^(D1300-1))</f>
        <v/>
      </c>
      <c r="I1300" s="45">
        <f>G1300*MIN(in_takeup_cap,INDEX('Age profile'!$O$2:$O$61,B1300)*(1+in_approval_growth)^(D1300-1))</f>
        <v/>
      </c>
      <c r="J1300" s="40">
        <f>(J1299-L1299)*F1300/F1299</f>
        <v/>
      </c>
      <c r="K1300" s="40">
        <f>(K1299-M1299)*F1300/F1299+SUMIFS(O1271:O1299,B1271:B1299,B1300-1-d_T)*F1300</f>
        <v/>
      </c>
      <c r="L1300" s="40">
        <f>IF(B1300&gt;=in_marketplace_from,J1300*d_hz*G1300*in_eligible*H1300,0)</f>
        <v/>
      </c>
      <c r="M1300" s="40">
        <f>IF(B1300&gt;=in_marketplace_from,K1300*d_hz*G1300*in_eligible*in_approved_repeat,0)</f>
        <v/>
      </c>
      <c r="N1300" s="40">
        <f>L1300+M1300</f>
        <v/>
      </c>
      <c r="O1300" s="46">
        <f>N1300/F1300</f>
        <v/>
      </c>
      <c r="P1300" s="40">
        <f>F1300-J1300-K1300</f>
        <v/>
      </c>
      <c r="Q1300" s="40">
        <f>IF(B1300&gt;=in_marketplace_from,(J1300+K1300)*d_hz*G1300,0)</f>
        <v/>
      </c>
      <c r="R1300" s="40">
        <f>SUMIFS(N1271:N1303,B1271:B1303,"&gt;="&amp;(B1300-d_T),B1271:B1303,"&lt;="&amp;(B1300-1))</f>
        <v/>
      </c>
      <c r="S1300" s="46">
        <f>(1-d_u)*S1299+IF(d_T&gt;in_topup_lag,SUMIFS(O1271:O1303,B1271:B1303,B1300-in_topup_lag)-d_udrop*SUMIFS(O1271:O1303,B1271:B1303,B1300-d_T),0)</f>
        <v/>
      </c>
      <c r="T1300" s="40">
        <f>F1300*d_u*S1300</f>
        <v/>
      </c>
      <c r="U1300" s="9">
        <f>L1300*in_ticket+M1300*d_rep_ticket</f>
        <v/>
      </c>
      <c r="V1300" s="9">
        <f>U1300+T1300*d_topup_amt</f>
        <v/>
      </c>
      <c r="W1300" s="40">
        <f>N1300+T1300*d_topup_ratio</f>
        <v/>
      </c>
      <c r="X1300" s="40">
        <f>SUMIFS(W1271:W1303,B1271:B1303,B1300-in_dpd_lag)*d_cured</f>
        <v/>
      </c>
      <c r="Y1300" s="40">
        <f>SUMIFS(W1271:W1303,B1271:B1303,B1300-in_rec_lag)*d_recd</f>
        <v/>
      </c>
      <c r="Z1300" s="40">
        <f>IF(AND(B1300&gt;=in_marketplace_from,B1300&lt;in_marketplace_from+in_card_months),in_card_share/in_card_months*F1300*I1300,IF(AND(B1300&gt;=in_marketplace_from+in_card_months,B1300&lt;in_marketplace_from+2*in_card_months),in_card_share*d_card_rem/in_card_months*F1300*MIN(in_takeup_cap,(1+in_takeup_growth)^(D1300-1))*MIN(in_takeup_cap,(1+in_approval_growth)^(D1300-1)),0))</f>
        <v/>
      </c>
      <c r="AA1300" s="14">
        <f>V1300*in_fee*(1-in_taken_back)</f>
        <v/>
      </c>
      <c r="AB1300" s="14">
        <f>SUMIFS(W1271:W1303,B1271:B1303,B1300-in_dpd_lag)*d_dpd</f>
        <v/>
      </c>
      <c r="AC1300" s="14">
        <f>SUMIFS(W1271:W1303,B1271:B1303,B1300-in_rec_lag)*d_rec</f>
        <v/>
      </c>
      <c r="AD1300" s="14">
        <f>Z1300*in_card_fee</f>
        <v/>
      </c>
      <c r="AE1300" s="40">
        <f>AE1299*(1-IF(B1299&gt;=in_marketplace_from,d_hz_hlth_small*G1299,0))</f>
        <v/>
      </c>
      <c r="AF1300" s="46">
        <f>AE1300*IF(B1300&gt;=in_marketplace_from,d_hz_hlth_small*G1300,0)</f>
        <v/>
      </c>
      <c r="AG1300" s="14">
        <f>F1300*AF1300*in_hlth_small_ticket*in_hlth_small_comm*in_ins_partner_share+F1300*in_hlth_small_ticket*in_hlth_small_renew_comm*in_ins_partner_share*(in_hlth_small_renew^1*SUMIFS(AF1271:AF1303,B1271:B1303,B1300-12)+in_hlth_small_renew^2*SUMIFS(AF1271:AF1303,B1271:B1303,B1300-24)+in_hlth_small_renew^3*SUMIFS(AF1271:AF1303,B1271:B1303,B1300-36)+in_hlth_small_renew^4*SUMIFS(AF1271:AF1303,B1271:B1303,B1300-48))</f>
        <v/>
      </c>
      <c r="AH1300" s="40">
        <f>AH1299*(1-IF(B1299&gt;=in_marketplace_from,d_hz_hlth_family*G1299,0))</f>
        <v/>
      </c>
      <c r="AI1300" s="46">
        <f>AH1300*IF(B1300&gt;=in_marketplace_from,d_hz_hlth_family*G1300,0)</f>
        <v/>
      </c>
      <c r="AJ1300" s="14">
        <f>F1300*AI1300*in_hlth_family_ticket*in_hlth_family_comm*in_ins_partner_share+F1300*in_hlth_family_ticket*in_hlth_family_renew_comm*in_ins_partner_share*(in_hlth_family_renew^1*SUMIFS(AI1271:AI1303,B1271:B1303,B1300-12)+in_hlth_family_renew^2*SUMIFS(AI1271:AI1303,B1271:B1303,B1300-24)+in_hlth_family_renew^3*SUMIFS(AI1271:AI1303,B1271:B1303,B1300-36)+in_hlth_family_renew^4*SUMIFS(AI1271:AI1303,B1271:B1303,B1300-48))</f>
        <v/>
      </c>
      <c r="AK1300" s="40">
        <f>AK1299*(1-IF(B1299&gt;=in_marketplace_from,d_hz_life_term*G1299,0))</f>
        <v/>
      </c>
      <c r="AL1300" s="46">
        <f>AK1300*IF(B1300&gt;=in_marketplace_from,d_hz_life_term*G1300,0)</f>
        <v/>
      </c>
      <c r="AM1300" s="14">
        <f>F1300*AL1300*in_life_term_ticket*in_life_term_comm*in_ins_partner_share+F1300*in_life_term_ticket*in_life_term_renew_comm*in_ins_partner_share*(in_life_term_renew^1*SUMIFS(AL1271:AL1303,B1271:B1303,B1300-12)+in_life_term_renew^2*SUMIFS(AL1271:AL1303,B1271:B1303,B1300-24)+in_life_term_renew^3*SUMIFS(AL1271:AL1303,B1271:B1303,B1300-36)+in_life_term_renew^4*SUMIFS(AL1271:AL1303,B1271:B1303,B1300-48))</f>
        <v/>
      </c>
      <c r="AN1300" s="40">
        <f>AN1299*(1-IF(B1299&gt;=in_marketplace_from,d_hz_accident*G1299,0))</f>
        <v/>
      </c>
      <c r="AO1300" s="46">
        <f>AN1300*IF(B1300&gt;=in_marketplace_from,d_hz_accident*G1300,0)</f>
        <v/>
      </c>
      <c r="AP1300" s="14">
        <f>F1300*AO1300*in_accident_ticket*in_accident_comm*in_ins_partner_share+F1300*in_accident_ticket*in_accident_renew_comm*in_ins_partner_share*(in_accident_renew^1*SUMIFS(AO1271:AO1303,B1271:B1303,B1300-12)+in_accident_renew^2*SUMIFS(AO1271:AO1303,B1271:B1303,B1300-24)+in_accident_renew^3*SUMIFS(AO1271:AO1303,B1271:B1303,B1300-36)+in_accident_renew^4*SUMIFS(AO1271:AO1303,B1271:B1303,B1300-48))</f>
        <v/>
      </c>
      <c r="AQ1300" s="40">
        <f>AQ1299*(1-IF(B1299&gt;=in_marketplace_from,d_hz_two_wheeler*G1299,0))</f>
        <v/>
      </c>
      <c r="AR1300" s="46">
        <f>AQ1300*IF(B1300&gt;=in_marketplace_from,d_hz_two_wheeler*G1300,0)</f>
        <v/>
      </c>
      <c r="AS1300" s="14">
        <f>F1300*AR1300*in_two_wheeler_ticket*in_two_wheeler_comm*in_ins_partner_share+F1300*in_two_wheeler_ticket*in_two_wheeler_comm*in_ins_partner_share*(in_two_wheeler_renew^1*SUMIFS(AR1271:AR1303,B1271:B1303,B1300-12)+in_two_wheeler_renew^2*SUMIFS(AR1271:AR1303,B1271:B1303,B1300-24)+in_two_wheeler_renew^3*SUMIFS(AR1271:AR1303,B1271:B1303,B1300-36)+in_two_wheeler_renew^4*SUMIFS(AR1271:AR1303,B1271:B1303,B1300-48))</f>
        <v/>
      </c>
      <c r="AT1300" s="40">
        <f>AT1299*(1-IF(B1299&gt;=in_marketplace_from,d_hz_device*G1299,0))</f>
        <v/>
      </c>
      <c r="AU1300" s="14">
        <f>F1300*AT1300*IF(B1300&gt;=in_marketplace_from,d_hz_device*G1300,0)*in_device_ticket*in_device_comm*in_ins_partner_share</f>
        <v/>
      </c>
      <c r="AV1300" s="40">
        <f>AV1299*(1-IF(B1299&gt;=in_marketplace_from,d_hz_shop*G1299,0))</f>
        <v/>
      </c>
      <c r="AW1300" s="46">
        <f>AV1300*IF(B1300&gt;=in_marketplace_from,d_hz_shop*G1300,0)</f>
        <v/>
      </c>
      <c r="AX1300" s="14">
        <f>F1300*AW1300*in_shop_ticket*in_shop_comm*in_ins_partner_share+F1300*in_shop_ticket*in_shop_renew_comm*in_ins_partner_share*(in_shop_renew^1*SUMIFS(AW1271:AW1303,B1271:B1303,B1300-12)+in_shop_renew^2*SUMIFS(AW1271:AW1303,B1271:B1303,B1300-24)+in_shop_renew^3*SUMIFS(AW1271:AW1303,B1271:B1303,B1300-36)+in_shop_renew^4*SUMIFS(AW1271:AW1303,B1271:B1303,B1300-48))</f>
        <v/>
      </c>
      <c r="AY1300" s="40">
        <f>AY1299*(1-IF(B1299&gt;=in_marketplace_from,d_hz_sip*G1299,0))</f>
        <v/>
      </c>
      <c r="AZ1300" s="40">
        <f>AZ1299*d_rho_sip+AY1300*IF(B1300&gt;=in_marketplace_from,d_hz_sip*G1300,0)</f>
        <v/>
      </c>
      <c r="BA1300" s="40">
        <f>d_rho_sip*(BA1299+AZ1299)</f>
        <v/>
      </c>
      <c r="BB1300" s="14">
        <f>F1300*in_sip_ticket*(BA1300+0.5*AZ1300)*in_sip_comm/12</f>
        <v/>
      </c>
      <c r="BC1300" s="40">
        <f>BC1299*(1-IF(B1299&gt;=in_marketplace_from,d_hz_choti*G1299,0))</f>
        <v/>
      </c>
      <c r="BD1300" s="46">
        <f>BC1300*IF(B1300&gt;=in_marketplace_from,d_hz_choti*G1300,0)</f>
        <v/>
      </c>
      <c r="BE1300" s="14">
        <f>F1300*SUMIFS(BD1271:BD1303,B1271:B1303,B1300-in_choti_months)*in_choti_renew*in_choti_ticket</f>
        <v/>
      </c>
      <c r="BF1300" s="40">
        <f>BF1299*(1-IF(B1299&gt;=in_marketplace_from,d_hz_nps*G1299,0))</f>
        <v/>
      </c>
      <c r="BG1300" s="14">
        <f>F1300*BF1300*IF(B1300&gt;=in_marketplace_from,d_hz_nps*G1300,0)*in_nps_ticket*in_nps_comm</f>
        <v/>
      </c>
      <c r="BH1300" s="40">
        <f>BH1299*(1-IF(B1299&gt;=in_marketplace_from,d_hz_gold*G1299,0))</f>
        <v/>
      </c>
      <c r="BI1300" s="40">
        <f>BI1299*d_rho_gold+BH1300*IF(B1300&gt;=in_marketplace_from,d_hz_gold*G1300,0)</f>
        <v/>
      </c>
      <c r="BJ1300" s="14">
        <f>F1300*BI1300*in_gold_ticket*in_gold_comm</f>
        <v/>
      </c>
      <c r="BK1300" s="40">
        <f>BK1299*(1-IF(B1299&gt;=in_marketplace_from,d_hz_fd*G1299,0))</f>
        <v/>
      </c>
      <c r="BL1300" s="14">
        <f>F1300*BK1300*IF(B1300&gt;=in_marketplace_from,d_hz_fd*G1300,0)*in_fd_ticket*in_fd_comm</f>
        <v/>
      </c>
      <c r="BM1300" s="40">
        <f>BM1299*(1-IF(B1299&gt;=in_marketplace_from,d_hz_recharge*G1299,0))</f>
        <v/>
      </c>
      <c r="BN1300" s="40">
        <f>BN1299*d_rho_recharge+BM1300*IF(B1300&gt;=in_marketplace_from,d_hz_recharge*G1300,0)</f>
        <v/>
      </c>
      <c r="BO1300" s="14">
        <f>F1300*BN1300*in_recharge_ticket*in_recharge_comm/12</f>
        <v/>
      </c>
      <c r="BP1300" s="40">
        <f>BP1299*(1-IF(B1299&gt;=in_marketplace_from,d_hz_bills*G1299,0))</f>
        <v/>
      </c>
      <c r="BQ1300" s="40">
        <f>BQ1299*d_rho_bills+BP1300*IF(B1300&gt;=in_marketplace_from,d_hz_bills*G1300,0)</f>
        <v/>
      </c>
      <c r="BR1300" s="14">
        <f>F1300*BQ1300*in_bills_ticket*in_bills_comm/12</f>
        <v/>
      </c>
      <c r="BS1300" s="40">
        <f>BS1299*(1-IF(B1299&gt;=in_marketplace_from,d_hz_loan_gold*G1299,0))</f>
        <v/>
      </c>
      <c r="BT1300" s="14">
        <f>F1300*BS1300*IF(B1300&gt;=in_marketplace_from,d_hz_loan_gold*G1300,0)*in_loan_gold_ticket*in_loan_gold_comm</f>
        <v/>
      </c>
      <c r="BU1300" s="40">
        <f>BU1299*(1-IF(B1299&gt;=in_marketplace_from,d_hz_loan_cd*G1299,0))</f>
        <v/>
      </c>
      <c r="BV1300" s="14">
        <f>F1300*BU1300*IF(B1300&gt;=in_marketplace_from,d_hz_loan_cd*G1300,0)*in_loan_cd_ticket*in_loan_cd_comm</f>
        <v/>
      </c>
      <c r="BW1300" s="40">
        <f>BW1299*(1-IF(B1299&gt;=in_marketplace_from,d_hz_loan_vehicle*G1299,0))</f>
        <v/>
      </c>
      <c r="BX1300" s="14">
        <f>F1300*BW1300*IF(B1300&gt;=in_marketplace_from,d_hz_loan_vehicle*G1300,0)*in_loan_vehicle_ticket*in_loan_vehicle_comm</f>
        <v/>
      </c>
      <c r="BY1300" s="40">
        <f>BY1299*(1-IF(B1299&gt;=in_marketplace_from,d_hz_loan_home*G1299,0)*BZ1299)</f>
        <v/>
      </c>
      <c r="BZ1300" s="11">
        <f>MIN(in_approval_cap,in_loan_home_approval*INDEX('Age profile'!$O$2:$O$61,B1300)*(1+in_approval_growth)^(D1300-1))</f>
        <v/>
      </c>
      <c r="CA1300" s="14">
        <f>F1300*BY1300*IF(B1300&gt;=in_marketplace_from,d_hz_loan_home*G1300,0)*BZ1300*in_loan_home_ticket*in_loan_home_comm</f>
        <v/>
      </c>
      <c r="CB1300" s="40">
        <f>CB1299*(1-IF(B1299&gt;=in_marketplace_from,d_hz_loan_lap*G1299,0)*CC1299)</f>
        <v/>
      </c>
      <c r="CC1300" s="11">
        <f>MIN(in_approval_cap,in_loan_lap_approval*INDEX('Age profile'!$O$2:$O$61,B1300)*(1+in_approval_growth)^(D1300-1))</f>
        <v/>
      </c>
      <c r="CD1300" s="14">
        <f>F1300*CB1300*IF(B1300&gt;=in_marketplace_from,d_hz_loan_lap*G1300,0)*CC1300*in_loan_lap_ticket*in_loan_lap_comm</f>
        <v/>
      </c>
      <c r="CE1300" s="14">
        <f>AA1300+AB1300+AC1300+AD1300+AG1300+AJ1300+AM1300+AP1300+AS1300+AU1300+AX1300+BB1300+BE1300+BG1300+BJ1300+BL1300+BO1300+BR1300+BT1300+BV1300+BX1300+CA1300+CD1300</f>
        <v/>
      </c>
    </row>
    <row r="1301">
      <c r="A1301" s="39" t="n">
        <v>28</v>
      </c>
      <c r="B1301" s="39" t="n">
        <v>31</v>
      </c>
      <c r="C1301" s="39">
        <f>A1301+B1301-1</f>
        <v/>
      </c>
      <c r="D1301" s="39">
        <f>INT((C1301-1)/12)+1</f>
        <v/>
      </c>
      <c r="E1301" s="44">
        <f>INDEX(Monthly!$B$2:$B$61,A1301)</f>
        <v/>
      </c>
      <c r="F1301" s="44">
        <f>E1301*INDEX('Age profile'!$B$2:$B$61,B1301)</f>
        <v/>
      </c>
      <c r="G1301" s="45">
        <f>MIN(in_takeup_cap,INDEX('Age profile'!$N$2:$N$61,B1301)*(1+in_takeup_growth)^(D1301-1))</f>
        <v/>
      </c>
      <c r="H1301" s="11">
        <f>MIN(in_approval_cap,in_approved_first*INDEX('Age profile'!$O$2:$O$61,B1301)*(1+in_approval_growth)^(D1301-1))</f>
        <v/>
      </c>
      <c r="I1301" s="45">
        <f>G1301*MIN(in_takeup_cap,INDEX('Age profile'!$O$2:$O$61,B1301)*(1+in_approval_growth)^(D1301-1))</f>
        <v/>
      </c>
      <c r="J1301" s="40">
        <f>(J1300-L1300)*F1301/F1300</f>
        <v/>
      </c>
      <c r="K1301" s="40">
        <f>(K1300-M1300)*F1301/F1300+SUMIFS(O1271:O1300,B1271:B1300,B1301-1-d_T)*F1301</f>
        <v/>
      </c>
      <c r="L1301" s="40">
        <f>IF(B1301&gt;=in_marketplace_from,J1301*d_hz*G1301*in_eligible*H1301,0)</f>
        <v/>
      </c>
      <c r="M1301" s="40">
        <f>IF(B1301&gt;=in_marketplace_from,K1301*d_hz*G1301*in_eligible*in_approved_repeat,0)</f>
        <v/>
      </c>
      <c r="N1301" s="40">
        <f>L1301+M1301</f>
        <v/>
      </c>
      <c r="O1301" s="46">
        <f>N1301/F1301</f>
        <v/>
      </c>
      <c r="P1301" s="40">
        <f>F1301-J1301-K1301</f>
        <v/>
      </c>
      <c r="Q1301" s="40">
        <f>IF(B1301&gt;=in_marketplace_from,(J1301+K1301)*d_hz*G1301,0)</f>
        <v/>
      </c>
      <c r="R1301" s="40">
        <f>SUMIFS(N1271:N1303,B1271:B1303,"&gt;="&amp;(B1301-d_T),B1271:B1303,"&lt;="&amp;(B1301-1))</f>
        <v/>
      </c>
      <c r="S1301" s="46">
        <f>(1-d_u)*S1300+IF(d_T&gt;in_topup_lag,SUMIFS(O1271:O1303,B1271:B1303,B1301-in_topup_lag)-d_udrop*SUMIFS(O1271:O1303,B1271:B1303,B1301-d_T),0)</f>
        <v/>
      </c>
      <c r="T1301" s="40">
        <f>F1301*d_u*S1301</f>
        <v/>
      </c>
      <c r="U1301" s="9">
        <f>L1301*in_ticket+M1301*d_rep_ticket</f>
        <v/>
      </c>
      <c r="V1301" s="9">
        <f>U1301+T1301*d_topup_amt</f>
        <v/>
      </c>
      <c r="W1301" s="40">
        <f>N1301+T1301*d_topup_ratio</f>
        <v/>
      </c>
      <c r="X1301" s="40">
        <f>SUMIFS(W1271:W1303,B1271:B1303,B1301-in_dpd_lag)*d_cured</f>
        <v/>
      </c>
      <c r="Y1301" s="40">
        <f>SUMIFS(W1271:W1303,B1271:B1303,B1301-in_rec_lag)*d_recd</f>
        <v/>
      </c>
      <c r="Z1301" s="40">
        <f>IF(AND(B1301&gt;=in_marketplace_from,B1301&lt;in_marketplace_from+in_card_months),in_card_share/in_card_months*F1301*I1301,IF(AND(B1301&gt;=in_marketplace_from+in_card_months,B1301&lt;in_marketplace_from+2*in_card_months),in_card_share*d_card_rem/in_card_months*F1301*MIN(in_takeup_cap,(1+in_takeup_growth)^(D1301-1))*MIN(in_takeup_cap,(1+in_approval_growth)^(D1301-1)),0))</f>
        <v/>
      </c>
      <c r="AA1301" s="14">
        <f>V1301*in_fee*(1-in_taken_back)</f>
        <v/>
      </c>
      <c r="AB1301" s="14">
        <f>SUMIFS(W1271:W1303,B1271:B1303,B1301-in_dpd_lag)*d_dpd</f>
        <v/>
      </c>
      <c r="AC1301" s="14">
        <f>SUMIFS(W1271:W1303,B1271:B1303,B1301-in_rec_lag)*d_rec</f>
        <v/>
      </c>
      <c r="AD1301" s="14">
        <f>Z1301*in_card_fee</f>
        <v/>
      </c>
      <c r="AE1301" s="40">
        <f>AE1300*(1-IF(B1300&gt;=in_marketplace_from,d_hz_hlth_small*G1300,0))</f>
        <v/>
      </c>
      <c r="AF1301" s="46">
        <f>AE1301*IF(B1301&gt;=in_marketplace_from,d_hz_hlth_small*G1301,0)</f>
        <v/>
      </c>
      <c r="AG1301" s="14">
        <f>F1301*AF1301*in_hlth_small_ticket*in_hlth_small_comm*in_ins_partner_share+F1301*in_hlth_small_ticket*in_hlth_small_renew_comm*in_ins_partner_share*(in_hlth_small_renew^1*SUMIFS(AF1271:AF1303,B1271:B1303,B1301-12)+in_hlth_small_renew^2*SUMIFS(AF1271:AF1303,B1271:B1303,B1301-24)+in_hlth_small_renew^3*SUMIFS(AF1271:AF1303,B1271:B1303,B1301-36)+in_hlth_small_renew^4*SUMIFS(AF1271:AF1303,B1271:B1303,B1301-48))</f>
        <v/>
      </c>
      <c r="AH1301" s="40">
        <f>AH1300*(1-IF(B1300&gt;=in_marketplace_from,d_hz_hlth_family*G1300,0))</f>
        <v/>
      </c>
      <c r="AI1301" s="46">
        <f>AH1301*IF(B1301&gt;=in_marketplace_from,d_hz_hlth_family*G1301,0)</f>
        <v/>
      </c>
      <c r="AJ1301" s="14">
        <f>F1301*AI1301*in_hlth_family_ticket*in_hlth_family_comm*in_ins_partner_share+F1301*in_hlth_family_ticket*in_hlth_family_renew_comm*in_ins_partner_share*(in_hlth_family_renew^1*SUMIFS(AI1271:AI1303,B1271:B1303,B1301-12)+in_hlth_family_renew^2*SUMIFS(AI1271:AI1303,B1271:B1303,B1301-24)+in_hlth_family_renew^3*SUMIFS(AI1271:AI1303,B1271:B1303,B1301-36)+in_hlth_family_renew^4*SUMIFS(AI1271:AI1303,B1271:B1303,B1301-48))</f>
        <v/>
      </c>
      <c r="AK1301" s="40">
        <f>AK1300*(1-IF(B1300&gt;=in_marketplace_from,d_hz_life_term*G1300,0))</f>
        <v/>
      </c>
      <c r="AL1301" s="46">
        <f>AK1301*IF(B1301&gt;=in_marketplace_from,d_hz_life_term*G1301,0)</f>
        <v/>
      </c>
      <c r="AM1301" s="14">
        <f>F1301*AL1301*in_life_term_ticket*in_life_term_comm*in_ins_partner_share+F1301*in_life_term_ticket*in_life_term_renew_comm*in_ins_partner_share*(in_life_term_renew^1*SUMIFS(AL1271:AL1303,B1271:B1303,B1301-12)+in_life_term_renew^2*SUMIFS(AL1271:AL1303,B1271:B1303,B1301-24)+in_life_term_renew^3*SUMIFS(AL1271:AL1303,B1271:B1303,B1301-36)+in_life_term_renew^4*SUMIFS(AL1271:AL1303,B1271:B1303,B1301-48))</f>
        <v/>
      </c>
      <c r="AN1301" s="40">
        <f>AN1300*(1-IF(B1300&gt;=in_marketplace_from,d_hz_accident*G1300,0))</f>
        <v/>
      </c>
      <c r="AO1301" s="46">
        <f>AN1301*IF(B1301&gt;=in_marketplace_from,d_hz_accident*G1301,0)</f>
        <v/>
      </c>
      <c r="AP1301" s="14">
        <f>F1301*AO1301*in_accident_ticket*in_accident_comm*in_ins_partner_share+F1301*in_accident_ticket*in_accident_renew_comm*in_ins_partner_share*(in_accident_renew^1*SUMIFS(AO1271:AO1303,B1271:B1303,B1301-12)+in_accident_renew^2*SUMIFS(AO1271:AO1303,B1271:B1303,B1301-24)+in_accident_renew^3*SUMIFS(AO1271:AO1303,B1271:B1303,B1301-36)+in_accident_renew^4*SUMIFS(AO1271:AO1303,B1271:B1303,B1301-48))</f>
        <v/>
      </c>
      <c r="AQ1301" s="40">
        <f>AQ1300*(1-IF(B1300&gt;=in_marketplace_from,d_hz_two_wheeler*G1300,0))</f>
        <v/>
      </c>
      <c r="AR1301" s="46">
        <f>AQ1301*IF(B1301&gt;=in_marketplace_from,d_hz_two_wheeler*G1301,0)</f>
        <v/>
      </c>
      <c r="AS1301" s="14">
        <f>F1301*AR1301*in_two_wheeler_ticket*in_two_wheeler_comm*in_ins_partner_share+F1301*in_two_wheeler_ticket*in_two_wheeler_comm*in_ins_partner_share*(in_two_wheeler_renew^1*SUMIFS(AR1271:AR1303,B1271:B1303,B1301-12)+in_two_wheeler_renew^2*SUMIFS(AR1271:AR1303,B1271:B1303,B1301-24)+in_two_wheeler_renew^3*SUMIFS(AR1271:AR1303,B1271:B1303,B1301-36)+in_two_wheeler_renew^4*SUMIFS(AR1271:AR1303,B1271:B1303,B1301-48))</f>
        <v/>
      </c>
      <c r="AT1301" s="40">
        <f>AT1300*(1-IF(B1300&gt;=in_marketplace_from,d_hz_device*G1300,0))</f>
        <v/>
      </c>
      <c r="AU1301" s="14">
        <f>F1301*AT1301*IF(B1301&gt;=in_marketplace_from,d_hz_device*G1301,0)*in_device_ticket*in_device_comm*in_ins_partner_share</f>
        <v/>
      </c>
      <c r="AV1301" s="40">
        <f>AV1300*(1-IF(B1300&gt;=in_marketplace_from,d_hz_shop*G1300,0))</f>
        <v/>
      </c>
      <c r="AW1301" s="46">
        <f>AV1301*IF(B1301&gt;=in_marketplace_from,d_hz_shop*G1301,0)</f>
        <v/>
      </c>
      <c r="AX1301" s="14">
        <f>F1301*AW1301*in_shop_ticket*in_shop_comm*in_ins_partner_share+F1301*in_shop_ticket*in_shop_renew_comm*in_ins_partner_share*(in_shop_renew^1*SUMIFS(AW1271:AW1303,B1271:B1303,B1301-12)+in_shop_renew^2*SUMIFS(AW1271:AW1303,B1271:B1303,B1301-24)+in_shop_renew^3*SUMIFS(AW1271:AW1303,B1271:B1303,B1301-36)+in_shop_renew^4*SUMIFS(AW1271:AW1303,B1271:B1303,B1301-48))</f>
        <v/>
      </c>
      <c r="AY1301" s="40">
        <f>AY1300*(1-IF(B1300&gt;=in_marketplace_from,d_hz_sip*G1300,0))</f>
        <v/>
      </c>
      <c r="AZ1301" s="40">
        <f>AZ1300*d_rho_sip+AY1301*IF(B1301&gt;=in_marketplace_from,d_hz_sip*G1301,0)</f>
        <v/>
      </c>
      <c r="BA1301" s="40">
        <f>d_rho_sip*(BA1300+AZ1300)</f>
        <v/>
      </c>
      <c r="BB1301" s="14">
        <f>F1301*in_sip_ticket*(BA1301+0.5*AZ1301)*in_sip_comm/12</f>
        <v/>
      </c>
      <c r="BC1301" s="40">
        <f>BC1300*(1-IF(B1300&gt;=in_marketplace_from,d_hz_choti*G1300,0))</f>
        <v/>
      </c>
      <c r="BD1301" s="46">
        <f>BC1301*IF(B1301&gt;=in_marketplace_from,d_hz_choti*G1301,0)</f>
        <v/>
      </c>
      <c r="BE1301" s="14">
        <f>F1301*SUMIFS(BD1271:BD1303,B1271:B1303,B1301-in_choti_months)*in_choti_renew*in_choti_ticket</f>
        <v/>
      </c>
      <c r="BF1301" s="40">
        <f>BF1300*(1-IF(B1300&gt;=in_marketplace_from,d_hz_nps*G1300,0))</f>
        <v/>
      </c>
      <c r="BG1301" s="14">
        <f>F1301*BF1301*IF(B1301&gt;=in_marketplace_from,d_hz_nps*G1301,0)*in_nps_ticket*in_nps_comm</f>
        <v/>
      </c>
      <c r="BH1301" s="40">
        <f>BH1300*(1-IF(B1300&gt;=in_marketplace_from,d_hz_gold*G1300,0))</f>
        <v/>
      </c>
      <c r="BI1301" s="40">
        <f>BI1300*d_rho_gold+BH1301*IF(B1301&gt;=in_marketplace_from,d_hz_gold*G1301,0)</f>
        <v/>
      </c>
      <c r="BJ1301" s="14">
        <f>F1301*BI1301*in_gold_ticket*in_gold_comm</f>
        <v/>
      </c>
      <c r="BK1301" s="40">
        <f>BK1300*(1-IF(B1300&gt;=in_marketplace_from,d_hz_fd*G1300,0))</f>
        <v/>
      </c>
      <c r="BL1301" s="14">
        <f>F1301*BK1301*IF(B1301&gt;=in_marketplace_from,d_hz_fd*G1301,0)*in_fd_ticket*in_fd_comm</f>
        <v/>
      </c>
      <c r="BM1301" s="40">
        <f>BM1300*(1-IF(B1300&gt;=in_marketplace_from,d_hz_recharge*G1300,0))</f>
        <v/>
      </c>
      <c r="BN1301" s="40">
        <f>BN1300*d_rho_recharge+BM1301*IF(B1301&gt;=in_marketplace_from,d_hz_recharge*G1301,0)</f>
        <v/>
      </c>
      <c r="BO1301" s="14">
        <f>F1301*BN1301*in_recharge_ticket*in_recharge_comm/12</f>
        <v/>
      </c>
      <c r="BP1301" s="40">
        <f>BP1300*(1-IF(B1300&gt;=in_marketplace_from,d_hz_bills*G1300,0))</f>
        <v/>
      </c>
      <c r="BQ1301" s="40">
        <f>BQ1300*d_rho_bills+BP1301*IF(B1301&gt;=in_marketplace_from,d_hz_bills*G1301,0)</f>
        <v/>
      </c>
      <c r="BR1301" s="14">
        <f>F1301*BQ1301*in_bills_ticket*in_bills_comm/12</f>
        <v/>
      </c>
      <c r="BS1301" s="40">
        <f>BS1300*(1-IF(B1300&gt;=in_marketplace_from,d_hz_loan_gold*G1300,0))</f>
        <v/>
      </c>
      <c r="BT1301" s="14">
        <f>F1301*BS1301*IF(B1301&gt;=in_marketplace_from,d_hz_loan_gold*G1301,0)*in_loan_gold_ticket*in_loan_gold_comm</f>
        <v/>
      </c>
      <c r="BU1301" s="40">
        <f>BU1300*(1-IF(B1300&gt;=in_marketplace_from,d_hz_loan_cd*G1300,0))</f>
        <v/>
      </c>
      <c r="BV1301" s="14">
        <f>F1301*BU1301*IF(B1301&gt;=in_marketplace_from,d_hz_loan_cd*G1301,0)*in_loan_cd_ticket*in_loan_cd_comm</f>
        <v/>
      </c>
      <c r="BW1301" s="40">
        <f>BW1300*(1-IF(B1300&gt;=in_marketplace_from,d_hz_loan_vehicle*G1300,0))</f>
        <v/>
      </c>
      <c r="BX1301" s="14">
        <f>F1301*BW1301*IF(B1301&gt;=in_marketplace_from,d_hz_loan_vehicle*G1301,0)*in_loan_vehicle_ticket*in_loan_vehicle_comm</f>
        <v/>
      </c>
      <c r="BY1301" s="40">
        <f>BY1300*(1-IF(B1300&gt;=in_marketplace_from,d_hz_loan_home*G1300,0)*BZ1300)</f>
        <v/>
      </c>
      <c r="BZ1301" s="11">
        <f>MIN(in_approval_cap,in_loan_home_approval*INDEX('Age profile'!$O$2:$O$61,B1301)*(1+in_approval_growth)^(D1301-1))</f>
        <v/>
      </c>
      <c r="CA1301" s="14">
        <f>F1301*BY1301*IF(B1301&gt;=in_marketplace_from,d_hz_loan_home*G1301,0)*BZ1301*in_loan_home_ticket*in_loan_home_comm</f>
        <v/>
      </c>
      <c r="CB1301" s="40">
        <f>CB1300*(1-IF(B1300&gt;=in_marketplace_from,d_hz_loan_lap*G1300,0)*CC1300)</f>
        <v/>
      </c>
      <c r="CC1301" s="11">
        <f>MIN(in_approval_cap,in_loan_lap_approval*INDEX('Age profile'!$O$2:$O$61,B1301)*(1+in_approval_growth)^(D1301-1))</f>
        <v/>
      </c>
      <c r="CD1301" s="14">
        <f>F1301*CB1301*IF(B1301&gt;=in_marketplace_from,d_hz_loan_lap*G1301,0)*CC1301*in_loan_lap_ticket*in_loan_lap_comm</f>
        <v/>
      </c>
      <c r="CE1301" s="14">
        <f>AA1301+AB1301+AC1301+AD1301+AG1301+AJ1301+AM1301+AP1301+AS1301+AU1301+AX1301+BB1301+BE1301+BG1301+BJ1301+BL1301+BO1301+BR1301+BT1301+BV1301+BX1301+CA1301+CD1301</f>
        <v/>
      </c>
    </row>
    <row r="1302">
      <c r="A1302" s="39" t="n">
        <v>28</v>
      </c>
      <c r="B1302" s="39" t="n">
        <v>32</v>
      </c>
      <c r="C1302" s="39">
        <f>A1302+B1302-1</f>
        <v/>
      </c>
      <c r="D1302" s="39">
        <f>INT((C1302-1)/12)+1</f>
        <v/>
      </c>
      <c r="E1302" s="44">
        <f>INDEX(Monthly!$B$2:$B$61,A1302)</f>
        <v/>
      </c>
      <c r="F1302" s="44">
        <f>E1302*INDEX('Age profile'!$B$2:$B$61,B1302)</f>
        <v/>
      </c>
      <c r="G1302" s="45">
        <f>MIN(in_takeup_cap,INDEX('Age profile'!$N$2:$N$61,B1302)*(1+in_takeup_growth)^(D1302-1))</f>
        <v/>
      </c>
      <c r="H1302" s="11">
        <f>MIN(in_approval_cap,in_approved_first*INDEX('Age profile'!$O$2:$O$61,B1302)*(1+in_approval_growth)^(D1302-1))</f>
        <v/>
      </c>
      <c r="I1302" s="45">
        <f>G1302*MIN(in_takeup_cap,INDEX('Age profile'!$O$2:$O$61,B1302)*(1+in_approval_growth)^(D1302-1))</f>
        <v/>
      </c>
      <c r="J1302" s="40">
        <f>(J1301-L1301)*F1302/F1301</f>
        <v/>
      </c>
      <c r="K1302" s="40">
        <f>(K1301-M1301)*F1302/F1301+SUMIFS(O1271:O1301,B1271:B1301,B1302-1-d_T)*F1302</f>
        <v/>
      </c>
      <c r="L1302" s="40">
        <f>IF(B1302&gt;=in_marketplace_from,J1302*d_hz*G1302*in_eligible*H1302,0)</f>
        <v/>
      </c>
      <c r="M1302" s="40">
        <f>IF(B1302&gt;=in_marketplace_from,K1302*d_hz*G1302*in_eligible*in_approved_repeat,0)</f>
        <v/>
      </c>
      <c r="N1302" s="40">
        <f>L1302+M1302</f>
        <v/>
      </c>
      <c r="O1302" s="46">
        <f>N1302/F1302</f>
        <v/>
      </c>
      <c r="P1302" s="40">
        <f>F1302-J1302-K1302</f>
        <v/>
      </c>
      <c r="Q1302" s="40">
        <f>IF(B1302&gt;=in_marketplace_from,(J1302+K1302)*d_hz*G1302,0)</f>
        <v/>
      </c>
      <c r="R1302" s="40">
        <f>SUMIFS(N1271:N1303,B1271:B1303,"&gt;="&amp;(B1302-d_T),B1271:B1303,"&lt;="&amp;(B1302-1))</f>
        <v/>
      </c>
      <c r="S1302" s="46">
        <f>(1-d_u)*S1301+IF(d_T&gt;in_topup_lag,SUMIFS(O1271:O1303,B1271:B1303,B1302-in_topup_lag)-d_udrop*SUMIFS(O1271:O1303,B1271:B1303,B1302-d_T),0)</f>
        <v/>
      </c>
      <c r="T1302" s="40">
        <f>F1302*d_u*S1302</f>
        <v/>
      </c>
      <c r="U1302" s="9">
        <f>L1302*in_ticket+M1302*d_rep_ticket</f>
        <v/>
      </c>
      <c r="V1302" s="9">
        <f>U1302+T1302*d_topup_amt</f>
        <v/>
      </c>
      <c r="W1302" s="40">
        <f>N1302+T1302*d_topup_ratio</f>
        <v/>
      </c>
      <c r="X1302" s="40">
        <f>SUMIFS(W1271:W1303,B1271:B1303,B1302-in_dpd_lag)*d_cured</f>
        <v/>
      </c>
      <c r="Y1302" s="40">
        <f>SUMIFS(W1271:W1303,B1271:B1303,B1302-in_rec_lag)*d_recd</f>
        <v/>
      </c>
      <c r="Z1302" s="40">
        <f>IF(AND(B1302&gt;=in_marketplace_from,B1302&lt;in_marketplace_from+in_card_months),in_card_share/in_card_months*F1302*I1302,IF(AND(B1302&gt;=in_marketplace_from+in_card_months,B1302&lt;in_marketplace_from+2*in_card_months),in_card_share*d_card_rem/in_card_months*F1302*MIN(in_takeup_cap,(1+in_takeup_growth)^(D1302-1))*MIN(in_takeup_cap,(1+in_approval_growth)^(D1302-1)),0))</f>
        <v/>
      </c>
      <c r="AA1302" s="14">
        <f>V1302*in_fee*(1-in_taken_back)</f>
        <v/>
      </c>
      <c r="AB1302" s="14">
        <f>SUMIFS(W1271:W1303,B1271:B1303,B1302-in_dpd_lag)*d_dpd</f>
        <v/>
      </c>
      <c r="AC1302" s="14">
        <f>SUMIFS(W1271:W1303,B1271:B1303,B1302-in_rec_lag)*d_rec</f>
        <v/>
      </c>
      <c r="AD1302" s="14">
        <f>Z1302*in_card_fee</f>
        <v/>
      </c>
      <c r="AE1302" s="40">
        <f>AE1301*(1-IF(B1301&gt;=in_marketplace_from,d_hz_hlth_small*G1301,0))</f>
        <v/>
      </c>
      <c r="AF1302" s="46">
        <f>AE1302*IF(B1302&gt;=in_marketplace_from,d_hz_hlth_small*G1302,0)</f>
        <v/>
      </c>
      <c r="AG1302" s="14">
        <f>F1302*AF1302*in_hlth_small_ticket*in_hlth_small_comm*in_ins_partner_share+F1302*in_hlth_small_ticket*in_hlth_small_renew_comm*in_ins_partner_share*(in_hlth_small_renew^1*SUMIFS(AF1271:AF1303,B1271:B1303,B1302-12)+in_hlth_small_renew^2*SUMIFS(AF1271:AF1303,B1271:B1303,B1302-24)+in_hlth_small_renew^3*SUMIFS(AF1271:AF1303,B1271:B1303,B1302-36)+in_hlth_small_renew^4*SUMIFS(AF1271:AF1303,B1271:B1303,B1302-48))</f>
        <v/>
      </c>
      <c r="AH1302" s="40">
        <f>AH1301*(1-IF(B1301&gt;=in_marketplace_from,d_hz_hlth_family*G1301,0))</f>
        <v/>
      </c>
      <c r="AI1302" s="46">
        <f>AH1302*IF(B1302&gt;=in_marketplace_from,d_hz_hlth_family*G1302,0)</f>
        <v/>
      </c>
      <c r="AJ1302" s="14">
        <f>F1302*AI1302*in_hlth_family_ticket*in_hlth_family_comm*in_ins_partner_share+F1302*in_hlth_family_ticket*in_hlth_family_renew_comm*in_ins_partner_share*(in_hlth_family_renew^1*SUMIFS(AI1271:AI1303,B1271:B1303,B1302-12)+in_hlth_family_renew^2*SUMIFS(AI1271:AI1303,B1271:B1303,B1302-24)+in_hlth_family_renew^3*SUMIFS(AI1271:AI1303,B1271:B1303,B1302-36)+in_hlth_family_renew^4*SUMIFS(AI1271:AI1303,B1271:B1303,B1302-48))</f>
        <v/>
      </c>
      <c r="AK1302" s="40">
        <f>AK1301*(1-IF(B1301&gt;=in_marketplace_from,d_hz_life_term*G1301,0))</f>
        <v/>
      </c>
      <c r="AL1302" s="46">
        <f>AK1302*IF(B1302&gt;=in_marketplace_from,d_hz_life_term*G1302,0)</f>
        <v/>
      </c>
      <c r="AM1302" s="14">
        <f>F1302*AL1302*in_life_term_ticket*in_life_term_comm*in_ins_partner_share+F1302*in_life_term_ticket*in_life_term_renew_comm*in_ins_partner_share*(in_life_term_renew^1*SUMIFS(AL1271:AL1303,B1271:B1303,B1302-12)+in_life_term_renew^2*SUMIFS(AL1271:AL1303,B1271:B1303,B1302-24)+in_life_term_renew^3*SUMIFS(AL1271:AL1303,B1271:B1303,B1302-36)+in_life_term_renew^4*SUMIFS(AL1271:AL1303,B1271:B1303,B1302-48))</f>
        <v/>
      </c>
      <c r="AN1302" s="40">
        <f>AN1301*(1-IF(B1301&gt;=in_marketplace_from,d_hz_accident*G1301,0))</f>
        <v/>
      </c>
      <c r="AO1302" s="46">
        <f>AN1302*IF(B1302&gt;=in_marketplace_from,d_hz_accident*G1302,0)</f>
        <v/>
      </c>
      <c r="AP1302" s="14">
        <f>F1302*AO1302*in_accident_ticket*in_accident_comm*in_ins_partner_share+F1302*in_accident_ticket*in_accident_renew_comm*in_ins_partner_share*(in_accident_renew^1*SUMIFS(AO1271:AO1303,B1271:B1303,B1302-12)+in_accident_renew^2*SUMIFS(AO1271:AO1303,B1271:B1303,B1302-24)+in_accident_renew^3*SUMIFS(AO1271:AO1303,B1271:B1303,B1302-36)+in_accident_renew^4*SUMIFS(AO1271:AO1303,B1271:B1303,B1302-48))</f>
        <v/>
      </c>
      <c r="AQ1302" s="40">
        <f>AQ1301*(1-IF(B1301&gt;=in_marketplace_from,d_hz_two_wheeler*G1301,0))</f>
        <v/>
      </c>
      <c r="AR1302" s="46">
        <f>AQ1302*IF(B1302&gt;=in_marketplace_from,d_hz_two_wheeler*G1302,0)</f>
        <v/>
      </c>
      <c r="AS1302" s="14">
        <f>F1302*AR1302*in_two_wheeler_ticket*in_two_wheeler_comm*in_ins_partner_share+F1302*in_two_wheeler_ticket*in_two_wheeler_comm*in_ins_partner_share*(in_two_wheeler_renew^1*SUMIFS(AR1271:AR1303,B1271:B1303,B1302-12)+in_two_wheeler_renew^2*SUMIFS(AR1271:AR1303,B1271:B1303,B1302-24)+in_two_wheeler_renew^3*SUMIFS(AR1271:AR1303,B1271:B1303,B1302-36)+in_two_wheeler_renew^4*SUMIFS(AR1271:AR1303,B1271:B1303,B1302-48))</f>
        <v/>
      </c>
      <c r="AT1302" s="40">
        <f>AT1301*(1-IF(B1301&gt;=in_marketplace_from,d_hz_device*G1301,0))</f>
        <v/>
      </c>
      <c r="AU1302" s="14">
        <f>F1302*AT1302*IF(B1302&gt;=in_marketplace_from,d_hz_device*G1302,0)*in_device_ticket*in_device_comm*in_ins_partner_share</f>
        <v/>
      </c>
      <c r="AV1302" s="40">
        <f>AV1301*(1-IF(B1301&gt;=in_marketplace_from,d_hz_shop*G1301,0))</f>
        <v/>
      </c>
      <c r="AW1302" s="46">
        <f>AV1302*IF(B1302&gt;=in_marketplace_from,d_hz_shop*G1302,0)</f>
        <v/>
      </c>
      <c r="AX1302" s="14">
        <f>F1302*AW1302*in_shop_ticket*in_shop_comm*in_ins_partner_share+F1302*in_shop_ticket*in_shop_renew_comm*in_ins_partner_share*(in_shop_renew^1*SUMIFS(AW1271:AW1303,B1271:B1303,B1302-12)+in_shop_renew^2*SUMIFS(AW1271:AW1303,B1271:B1303,B1302-24)+in_shop_renew^3*SUMIFS(AW1271:AW1303,B1271:B1303,B1302-36)+in_shop_renew^4*SUMIFS(AW1271:AW1303,B1271:B1303,B1302-48))</f>
        <v/>
      </c>
      <c r="AY1302" s="40">
        <f>AY1301*(1-IF(B1301&gt;=in_marketplace_from,d_hz_sip*G1301,0))</f>
        <v/>
      </c>
      <c r="AZ1302" s="40">
        <f>AZ1301*d_rho_sip+AY1302*IF(B1302&gt;=in_marketplace_from,d_hz_sip*G1302,0)</f>
        <v/>
      </c>
      <c r="BA1302" s="40">
        <f>d_rho_sip*(BA1301+AZ1301)</f>
        <v/>
      </c>
      <c r="BB1302" s="14">
        <f>F1302*in_sip_ticket*(BA1302+0.5*AZ1302)*in_sip_comm/12</f>
        <v/>
      </c>
      <c r="BC1302" s="40">
        <f>BC1301*(1-IF(B1301&gt;=in_marketplace_from,d_hz_choti*G1301,0))</f>
        <v/>
      </c>
      <c r="BD1302" s="46">
        <f>BC1302*IF(B1302&gt;=in_marketplace_from,d_hz_choti*G1302,0)</f>
        <v/>
      </c>
      <c r="BE1302" s="14">
        <f>F1302*SUMIFS(BD1271:BD1303,B1271:B1303,B1302-in_choti_months)*in_choti_renew*in_choti_ticket</f>
        <v/>
      </c>
      <c r="BF1302" s="40">
        <f>BF1301*(1-IF(B1301&gt;=in_marketplace_from,d_hz_nps*G1301,0))</f>
        <v/>
      </c>
      <c r="BG1302" s="14">
        <f>F1302*BF1302*IF(B1302&gt;=in_marketplace_from,d_hz_nps*G1302,0)*in_nps_ticket*in_nps_comm</f>
        <v/>
      </c>
      <c r="BH1302" s="40">
        <f>BH1301*(1-IF(B1301&gt;=in_marketplace_from,d_hz_gold*G1301,0))</f>
        <v/>
      </c>
      <c r="BI1302" s="40">
        <f>BI1301*d_rho_gold+BH1302*IF(B1302&gt;=in_marketplace_from,d_hz_gold*G1302,0)</f>
        <v/>
      </c>
      <c r="BJ1302" s="14">
        <f>F1302*BI1302*in_gold_ticket*in_gold_comm</f>
        <v/>
      </c>
      <c r="BK1302" s="40">
        <f>BK1301*(1-IF(B1301&gt;=in_marketplace_from,d_hz_fd*G1301,0))</f>
        <v/>
      </c>
      <c r="BL1302" s="14">
        <f>F1302*BK1302*IF(B1302&gt;=in_marketplace_from,d_hz_fd*G1302,0)*in_fd_ticket*in_fd_comm</f>
        <v/>
      </c>
      <c r="BM1302" s="40">
        <f>BM1301*(1-IF(B1301&gt;=in_marketplace_from,d_hz_recharge*G1301,0))</f>
        <v/>
      </c>
      <c r="BN1302" s="40">
        <f>BN1301*d_rho_recharge+BM1302*IF(B1302&gt;=in_marketplace_from,d_hz_recharge*G1302,0)</f>
        <v/>
      </c>
      <c r="BO1302" s="14">
        <f>F1302*BN1302*in_recharge_ticket*in_recharge_comm/12</f>
        <v/>
      </c>
      <c r="BP1302" s="40">
        <f>BP1301*(1-IF(B1301&gt;=in_marketplace_from,d_hz_bills*G1301,0))</f>
        <v/>
      </c>
      <c r="BQ1302" s="40">
        <f>BQ1301*d_rho_bills+BP1302*IF(B1302&gt;=in_marketplace_from,d_hz_bills*G1302,0)</f>
        <v/>
      </c>
      <c r="BR1302" s="14">
        <f>F1302*BQ1302*in_bills_ticket*in_bills_comm/12</f>
        <v/>
      </c>
      <c r="BS1302" s="40">
        <f>BS1301*(1-IF(B1301&gt;=in_marketplace_from,d_hz_loan_gold*G1301,0))</f>
        <v/>
      </c>
      <c r="BT1302" s="14">
        <f>F1302*BS1302*IF(B1302&gt;=in_marketplace_from,d_hz_loan_gold*G1302,0)*in_loan_gold_ticket*in_loan_gold_comm</f>
        <v/>
      </c>
      <c r="BU1302" s="40">
        <f>BU1301*(1-IF(B1301&gt;=in_marketplace_from,d_hz_loan_cd*G1301,0))</f>
        <v/>
      </c>
      <c r="BV1302" s="14">
        <f>F1302*BU1302*IF(B1302&gt;=in_marketplace_from,d_hz_loan_cd*G1302,0)*in_loan_cd_ticket*in_loan_cd_comm</f>
        <v/>
      </c>
      <c r="BW1302" s="40">
        <f>BW1301*(1-IF(B1301&gt;=in_marketplace_from,d_hz_loan_vehicle*G1301,0))</f>
        <v/>
      </c>
      <c r="BX1302" s="14">
        <f>F1302*BW1302*IF(B1302&gt;=in_marketplace_from,d_hz_loan_vehicle*G1302,0)*in_loan_vehicle_ticket*in_loan_vehicle_comm</f>
        <v/>
      </c>
      <c r="BY1302" s="40">
        <f>BY1301*(1-IF(B1301&gt;=in_marketplace_from,d_hz_loan_home*G1301,0)*BZ1301)</f>
        <v/>
      </c>
      <c r="BZ1302" s="11">
        <f>MIN(in_approval_cap,in_loan_home_approval*INDEX('Age profile'!$O$2:$O$61,B1302)*(1+in_approval_growth)^(D1302-1))</f>
        <v/>
      </c>
      <c r="CA1302" s="14">
        <f>F1302*BY1302*IF(B1302&gt;=in_marketplace_from,d_hz_loan_home*G1302,0)*BZ1302*in_loan_home_ticket*in_loan_home_comm</f>
        <v/>
      </c>
      <c r="CB1302" s="40">
        <f>CB1301*(1-IF(B1301&gt;=in_marketplace_from,d_hz_loan_lap*G1301,0)*CC1301)</f>
        <v/>
      </c>
      <c r="CC1302" s="11">
        <f>MIN(in_approval_cap,in_loan_lap_approval*INDEX('Age profile'!$O$2:$O$61,B1302)*(1+in_approval_growth)^(D1302-1))</f>
        <v/>
      </c>
      <c r="CD1302" s="14">
        <f>F1302*CB1302*IF(B1302&gt;=in_marketplace_from,d_hz_loan_lap*G1302,0)*CC1302*in_loan_lap_ticket*in_loan_lap_comm</f>
        <v/>
      </c>
      <c r="CE1302" s="14">
        <f>AA1302+AB1302+AC1302+AD1302+AG1302+AJ1302+AM1302+AP1302+AS1302+AU1302+AX1302+BB1302+BE1302+BG1302+BJ1302+BL1302+BO1302+BR1302+BT1302+BV1302+BX1302+CA1302+CD1302</f>
        <v/>
      </c>
    </row>
    <row r="1303">
      <c r="A1303" s="39" t="n">
        <v>28</v>
      </c>
      <c r="B1303" s="39" t="n">
        <v>33</v>
      </c>
      <c r="C1303" s="39">
        <f>A1303+B1303-1</f>
        <v/>
      </c>
      <c r="D1303" s="39">
        <f>INT((C1303-1)/12)+1</f>
        <v/>
      </c>
      <c r="E1303" s="44">
        <f>INDEX(Monthly!$B$2:$B$61,A1303)</f>
        <v/>
      </c>
      <c r="F1303" s="44">
        <f>E1303*INDEX('Age profile'!$B$2:$B$61,B1303)</f>
        <v/>
      </c>
      <c r="G1303" s="45">
        <f>MIN(in_takeup_cap,INDEX('Age profile'!$N$2:$N$61,B1303)*(1+in_takeup_growth)^(D1303-1))</f>
        <v/>
      </c>
      <c r="H1303" s="11">
        <f>MIN(in_approval_cap,in_approved_first*INDEX('Age profile'!$O$2:$O$61,B1303)*(1+in_approval_growth)^(D1303-1))</f>
        <v/>
      </c>
      <c r="I1303" s="45">
        <f>G1303*MIN(in_takeup_cap,INDEX('Age profile'!$O$2:$O$61,B1303)*(1+in_approval_growth)^(D1303-1))</f>
        <v/>
      </c>
      <c r="J1303" s="40">
        <f>(J1302-L1302)*F1303/F1302</f>
        <v/>
      </c>
      <c r="K1303" s="40">
        <f>(K1302-M1302)*F1303/F1302+SUMIFS(O1271:O1302,B1271:B1302,B1303-1-d_T)*F1303</f>
        <v/>
      </c>
      <c r="L1303" s="40">
        <f>IF(B1303&gt;=in_marketplace_from,J1303*d_hz*G1303*in_eligible*H1303,0)</f>
        <v/>
      </c>
      <c r="M1303" s="40">
        <f>IF(B1303&gt;=in_marketplace_from,K1303*d_hz*G1303*in_eligible*in_approved_repeat,0)</f>
        <v/>
      </c>
      <c r="N1303" s="40">
        <f>L1303+M1303</f>
        <v/>
      </c>
      <c r="O1303" s="46">
        <f>N1303/F1303</f>
        <v/>
      </c>
      <c r="P1303" s="40">
        <f>F1303-J1303-K1303</f>
        <v/>
      </c>
      <c r="Q1303" s="40">
        <f>IF(B1303&gt;=in_marketplace_from,(J1303+K1303)*d_hz*G1303,0)</f>
        <v/>
      </c>
      <c r="R1303" s="40">
        <f>SUMIFS(N1271:N1303,B1271:B1303,"&gt;="&amp;(B1303-d_T),B1271:B1303,"&lt;="&amp;(B1303-1))</f>
        <v/>
      </c>
      <c r="S1303" s="46">
        <f>(1-d_u)*S1302+IF(d_T&gt;in_topup_lag,SUMIFS(O1271:O1303,B1271:B1303,B1303-in_topup_lag)-d_udrop*SUMIFS(O1271:O1303,B1271:B1303,B1303-d_T),0)</f>
        <v/>
      </c>
      <c r="T1303" s="40">
        <f>F1303*d_u*S1303</f>
        <v/>
      </c>
      <c r="U1303" s="9">
        <f>L1303*in_ticket+M1303*d_rep_ticket</f>
        <v/>
      </c>
      <c r="V1303" s="9">
        <f>U1303+T1303*d_topup_amt</f>
        <v/>
      </c>
      <c r="W1303" s="40">
        <f>N1303+T1303*d_topup_ratio</f>
        <v/>
      </c>
      <c r="X1303" s="40">
        <f>SUMIFS(W1271:W1303,B1271:B1303,B1303-in_dpd_lag)*d_cured</f>
        <v/>
      </c>
      <c r="Y1303" s="40">
        <f>SUMIFS(W1271:W1303,B1271:B1303,B1303-in_rec_lag)*d_recd</f>
        <v/>
      </c>
      <c r="Z1303" s="40">
        <f>IF(AND(B1303&gt;=in_marketplace_from,B1303&lt;in_marketplace_from+in_card_months),in_card_share/in_card_months*F1303*I1303,IF(AND(B1303&gt;=in_marketplace_from+in_card_months,B1303&lt;in_marketplace_from+2*in_card_months),in_card_share*d_card_rem/in_card_months*F1303*MIN(in_takeup_cap,(1+in_takeup_growth)^(D1303-1))*MIN(in_takeup_cap,(1+in_approval_growth)^(D1303-1)),0))</f>
        <v/>
      </c>
      <c r="AA1303" s="14">
        <f>V1303*in_fee*(1-in_taken_back)</f>
        <v/>
      </c>
      <c r="AB1303" s="14">
        <f>SUMIFS(W1271:W1303,B1271:B1303,B1303-in_dpd_lag)*d_dpd</f>
        <v/>
      </c>
      <c r="AC1303" s="14">
        <f>SUMIFS(W1271:W1303,B1271:B1303,B1303-in_rec_lag)*d_rec</f>
        <v/>
      </c>
      <c r="AD1303" s="14">
        <f>Z1303*in_card_fee</f>
        <v/>
      </c>
      <c r="AE1303" s="40">
        <f>AE1302*(1-IF(B1302&gt;=in_marketplace_from,d_hz_hlth_small*G1302,0))</f>
        <v/>
      </c>
      <c r="AF1303" s="46">
        <f>AE1303*IF(B1303&gt;=in_marketplace_from,d_hz_hlth_small*G1303,0)</f>
        <v/>
      </c>
      <c r="AG1303" s="14">
        <f>F1303*AF1303*in_hlth_small_ticket*in_hlth_small_comm*in_ins_partner_share+F1303*in_hlth_small_ticket*in_hlth_small_renew_comm*in_ins_partner_share*(in_hlth_small_renew^1*SUMIFS(AF1271:AF1303,B1271:B1303,B1303-12)+in_hlth_small_renew^2*SUMIFS(AF1271:AF1303,B1271:B1303,B1303-24)+in_hlth_small_renew^3*SUMIFS(AF1271:AF1303,B1271:B1303,B1303-36)+in_hlth_small_renew^4*SUMIFS(AF1271:AF1303,B1271:B1303,B1303-48))</f>
        <v/>
      </c>
      <c r="AH1303" s="40">
        <f>AH1302*(1-IF(B1302&gt;=in_marketplace_from,d_hz_hlth_family*G1302,0))</f>
        <v/>
      </c>
      <c r="AI1303" s="46">
        <f>AH1303*IF(B1303&gt;=in_marketplace_from,d_hz_hlth_family*G1303,0)</f>
        <v/>
      </c>
      <c r="AJ1303" s="14">
        <f>F1303*AI1303*in_hlth_family_ticket*in_hlth_family_comm*in_ins_partner_share+F1303*in_hlth_family_ticket*in_hlth_family_renew_comm*in_ins_partner_share*(in_hlth_family_renew^1*SUMIFS(AI1271:AI1303,B1271:B1303,B1303-12)+in_hlth_family_renew^2*SUMIFS(AI1271:AI1303,B1271:B1303,B1303-24)+in_hlth_family_renew^3*SUMIFS(AI1271:AI1303,B1271:B1303,B1303-36)+in_hlth_family_renew^4*SUMIFS(AI1271:AI1303,B1271:B1303,B1303-48))</f>
        <v/>
      </c>
      <c r="AK1303" s="40">
        <f>AK1302*(1-IF(B1302&gt;=in_marketplace_from,d_hz_life_term*G1302,0))</f>
        <v/>
      </c>
      <c r="AL1303" s="46">
        <f>AK1303*IF(B1303&gt;=in_marketplace_from,d_hz_life_term*G1303,0)</f>
        <v/>
      </c>
      <c r="AM1303" s="14">
        <f>F1303*AL1303*in_life_term_ticket*in_life_term_comm*in_ins_partner_share+F1303*in_life_term_ticket*in_life_term_renew_comm*in_ins_partner_share*(in_life_term_renew^1*SUMIFS(AL1271:AL1303,B1271:B1303,B1303-12)+in_life_term_renew^2*SUMIFS(AL1271:AL1303,B1271:B1303,B1303-24)+in_life_term_renew^3*SUMIFS(AL1271:AL1303,B1271:B1303,B1303-36)+in_life_term_renew^4*SUMIFS(AL1271:AL1303,B1271:B1303,B1303-48))</f>
        <v/>
      </c>
      <c r="AN1303" s="40">
        <f>AN1302*(1-IF(B1302&gt;=in_marketplace_from,d_hz_accident*G1302,0))</f>
        <v/>
      </c>
      <c r="AO1303" s="46">
        <f>AN1303*IF(B1303&gt;=in_marketplace_from,d_hz_accident*G1303,0)</f>
        <v/>
      </c>
      <c r="AP1303" s="14">
        <f>F1303*AO1303*in_accident_ticket*in_accident_comm*in_ins_partner_share+F1303*in_accident_ticket*in_accident_renew_comm*in_ins_partner_share*(in_accident_renew^1*SUMIFS(AO1271:AO1303,B1271:B1303,B1303-12)+in_accident_renew^2*SUMIFS(AO1271:AO1303,B1271:B1303,B1303-24)+in_accident_renew^3*SUMIFS(AO1271:AO1303,B1271:B1303,B1303-36)+in_accident_renew^4*SUMIFS(AO1271:AO1303,B1271:B1303,B1303-48))</f>
        <v/>
      </c>
      <c r="AQ1303" s="40">
        <f>AQ1302*(1-IF(B1302&gt;=in_marketplace_from,d_hz_two_wheeler*G1302,0))</f>
        <v/>
      </c>
      <c r="AR1303" s="46">
        <f>AQ1303*IF(B1303&gt;=in_marketplace_from,d_hz_two_wheeler*G1303,0)</f>
        <v/>
      </c>
      <c r="AS1303" s="14">
        <f>F1303*AR1303*in_two_wheeler_ticket*in_two_wheeler_comm*in_ins_partner_share+F1303*in_two_wheeler_ticket*in_two_wheeler_comm*in_ins_partner_share*(in_two_wheeler_renew^1*SUMIFS(AR1271:AR1303,B1271:B1303,B1303-12)+in_two_wheeler_renew^2*SUMIFS(AR1271:AR1303,B1271:B1303,B1303-24)+in_two_wheeler_renew^3*SUMIFS(AR1271:AR1303,B1271:B1303,B1303-36)+in_two_wheeler_renew^4*SUMIFS(AR1271:AR1303,B1271:B1303,B1303-48))</f>
        <v/>
      </c>
      <c r="AT1303" s="40">
        <f>AT1302*(1-IF(B1302&gt;=in_marketplace_from,d_hz_device*G1302,0))</f>
        <v/>
      </c>
      <c r="AU1303" s="14">
        <f>F1303*AT1303*IF(B1303&gt;=in_marketplace_from,d_hz_device*G1303,0)*in_device_ticket*in_device_comm*in_ins_partner_share</f>
        <v/>
      </c>
      <c r="AV1303" s="40">
        <f>AV1302*(1-IF(B1302&gt;=in_marketplace_from,d_hz_shop*G1302,0))</f>
        <v/>
      </c>
      <c r="AW1303" s="46">
        <f>AV1303*IF(B1303&gt;=in_marketplace_from,d_hz_shop*G1303,0)</f>
        <v/>
      </c>
      <c r="AX1303" s="14">
        <f>F1303*AW1303*in_shop_ticket*in_shop_comm*in_ins_partner_share+F1303*in_shop_ticket*in_shop_renew_comm*in_ins_partner_share*(in_shop_renew^1*SUMIFS(AW1271:AW1303,B1271:B1303,B1303-12)+in_shop_renew^2*SUMIFS(AW1271:AW1303,B1271:B1303,B1303-24)+in_shop_renew^3*SUMIFS(AW1271:AW1303,B1271:B1303,B1303-36)+in_shop_renew^4*SUMIFS(AW1271:AW1303,B1271:B1303,B1303-48))</f>
        <v/>
      </c>
      <c r="AY1303" s="40">
        <f>AY1302*(1-IF(B1302&gt;=in_marketplace_from,d_hz_sip*G1302,0))</f>
        <v/>
      </c>
      <c r="AZ1303" s="40">
        <f>AZ1302*d_rho_sip+AY1303*IF(B1303&gt;=in_marketplace_from,d_hz_sip*G1303,0)</f>
        <v/>
      </c>
      <c r="BA1303" s="40">
        <f>d_rho_sip*(BA1302+AZ1302)</f>
        <v/>
      </c>
      <c r="BB1303" s="14">
        <f>F1303*in_sip_ticket*(BA1303+0.5*AZ1303)*in_sip_comm/12</f>
        <v/>
      </c>
      <c r="BC1303" s="40">
        <f>BC1302*(1-IF(B1302&gt;=in_marketplace_from,d_hz_choti*G1302,0))</f>
        <v/>
      </c>
      <c r="BD1303" s="46">
        <f>BC1303*IF(B1303&gt;=in_marketplace_from,d_hz_choti*G1303,0)</f>
        <v/>
      </c>
      <c r="BE1303" s="14">
        <f>F1303*SUMIFS(BD1271:BD1303,B1271:B1303,B1303-in_choti_months)*in_choti_renew*in_choti_ticket</f>
        <v/>
      </c>
      <c r="BF1303" s="40">
        <f>BF1302*(1-IF(B1302&gt;=in_marketplace_from,d_hz_nps*G1302,0))</f>
        <v/>
      </c>
      <c r="BG1303" s="14">
        <f>F1303*BF1303*IF(B1303&gt;=in_marketplace_from,d_hz_nps*G1303,0)*in_nps_ticket*in_nps_comm</f>
        <v/>
      </c>
      <c r="BH1303" s="40">
        <f>BH1302*(1-IF(B1302&gt;=in_marketplace_from,d_hz_gold*G1302,0))</f>
        <v/>
      </c>
      <c r="BI1303" s="40">
        <f>BI1302*d_rho_gold+BH1303*IF(B1303&gt;=in_marketplace_from,d_hz_gold*G1303,0)</f>
        <v/>
      </c>
      <c r="BJ1303" s="14">
        <f>F1303*BI1303*in_gold_ticket*in_gold_comm</f>
        <v/>
      </c>
      <c r="BK1303" s="40">
        <f>BK1302*(1-IF(B1302&gt;=in_marketplace_from,d_hz_fd*G1302,0))</f>
        <v/>
      </c>
      <c r="BL1303" s="14">
        <f>F1303*BK1303*IF(B1303&gt;=in_marketplace_from,d_hz_fd*G1303,0)*in_fd_ticket*in_fd_comm</f>
        <v/>
      </c>
      <c r="BM1303" s="40">
        <f>BM1302*(1-IF(B1302&gt;=in_marketplace_from,d_hz_recharge*G1302,0))</f>
        <v/>
      </c>
      <c r="BN1303" s="40">
        <f>BN1302*d_rho_recharge+BM1303*IF(B1303&gt;=in_marketplace_from,d_hz_recharge*G1303,0)</f>
        <v/>
      </c>
      <c r="BO1303" s="14">
        <f>F1303*BN1303*in_recharge_ticket*in_recharge_comm/12</f>
        <v/>
      </c>
      <c r="BP1303" s="40">
        <f>BP1302*(1-IF(B1302&gt;=in_marketplace_from,d_hz_bills*G1302,0))</f>
        <v/>
      </c>
      <c r="BQ1303" s="40">
        <f>BQ1302*d_rho_bills+BP1303*IF(B1303&gt;=in_marketplace_from,d_hz_bills*G1303,0)</f>
        <v/>
      </c>
      <c r="BR1303" s="14">
        <f>F1303*BQ1303*in_bills_ticket*in_bills_comm/12</f>
        <v/>
      </c>
      <c r="BS1303" s="40">
        <f>BS1302*(1-IF(B1302&gt;=in_marketplace_from,d_hz_loan_gold*G1302,0))</f>
        <v/>
      </c>
      <c r="BT1303" s="14">
        <f>F1303*BS1303*IF(B1303&gt;=in_marketplace_from,d_hz_loan_gold*G1303,0)*in_loan_gold_ticket*in_loan_gold_comm</f>
        <v/>
      </c>
      <c r="BU1303" s="40">
        <f>BU1302*(1-IF(B1302&gt;=in_marketplace_from,d_hz_loan_cd*G1302,0))</f>
        <v/>
      </c>
      <c r="BV1303" s="14">
        <f>F1303*BU1303*IF(B1303&gt;=in_marketplace_from,d_hz_loan_cd*G1303,0)*in_loan_cd_ticket*in_loan_cd_comm</f>
        <v/>
      </c>
      <c r="BW1303" s="40">
        <f>BW1302*(1-IF(B1302&gt;=in_marketplace_from,d_hz_loan_vehicle*G1302,0))</f>
        <v/>
      </c>
      <c r="BX1303" s="14">
        <f>F1303*BW1303*IF(B1303&gt;=in_marketplace_from,d_hz_loan_vehicle*G1303,0)*in_loan_vehicle_ticket*in_loan_vehicle_comm</f>
        <v/>
      </c>
      <c r="BY1303" s="40">
        <f>BY1302*(1-IF(B1302&gt;=in_marketplace_from,d_hz_loan_home*G1302,0)*BZ1302)</f>
        <v/>
      </c>
      <c r="BZ1303" s="11">
        <f>MIN(in_approval_cap,in_loan_home_approval*INDEX('Age profile'!$O$2:$O$61,B1303)*(1+in_approval_growth)^(D1303-1))</f>
        <v/>
      </c>
      <c r="CA1303" s="14">
        <f>F1303*BY1303*IF(B1303&gt;=in_marketplace_from,d_hz_loan_home*G1303,0)*BZ1303*in_loan_home_ticket*in_loan_home_comm</f>
        <v/>
      </c>
      <c r="CB1303" s="40">
        <f>CB1302*(1-IF(B1302&gt;=in_marketplace_from,d_hz_loan_lap*G1302,0)*CC1302)</f>
        <v/>
      </c>
      <c r="CC1303" s="11">
        <f>MIN(in_approval_cap,in_loan_lap_approval*INDEX('Age profile'!$O$2:$O$61,B1303)*(1+in_approval_growth)^(D1303-1))</f>
        <v/>
      </c>
      <c r="CD1303" s="14">
        <f>F1303*CB1303*IF(B1303&gt;=in_marketplace_from,d_hz_loan_lap*G1303,0)*CC1303*in_loan_lap_ticket*in_loan_lap_comm</f>
        <v/>
      </c>
      <c r="CE1303" s="14">
        <f>AA1303+AB1303+AC1303+AD1303+AG1303+AJ1303+AM1303+AP1303+AS1303+AU1303+AX1303+BB1303+BE1303+BG1303+BJ1303+BL1303+BO1303+BR1303+BT1303+BV1303+BX1303+CA1303+CD1303</f>
        <v/>
      </c>
    </row>
    <row r="1304">
      <c r="A1304" s="39" t="n">
        <v>29</v>
      </c>
      <c r="B1304" s="39" t="n">
        <v>1</v>
      </c>
      <c r="C1304" s="39">
        <f>A1304+B1304-1</f>
        <v/>
      </c>
      <c r="D1304" s="39">
        <f>INT((C1304-1)/12)+1</f>
        <v/>
      </c>
      <c r="E1304" s="44">
        <f>INDEX(Monthly!$B$2:$B$61,A1304)</f>
        <v/>
      </c>
      <c r="F1304" s="44">
        <f>E1304*INDEX('Age profile'!$B$2:$B$61,B1304)</f>
        <v/>
      </c>
      <c r="G1304" s="45">
        <f>MIN(in_takeup_cap,INDEX('Age profile'!$N$2:$N$61,B1304)*(1+in_takeup_growth)^(D1304-1))</f>
        <v/>
      </c>
      <c r="H1304" s="11">
        <f>MIN(in_approval_cap,in_approved_first*INDEX('Age profile'!$O$2:$O$61,B1304)*(1+in_approval_growth)^(D1304-1))</f>
        <v/>
      </c>
      <c r="I1304" s="45">
        <f>G1304*MIN(in_takeup_cap,INDEX('Age profile'!$O$2:$O$61,B1304)*(1+in_approval_growth)^(D1304-1))</f>
        <v/>
      </c>
      <c r="J1304" s="40">
        <f>E1304</f>
        <v/>
      </c>
      <c r="K1304" s="40" t="n">
        <v>0</v>
      </c>
      <c r="L1304" s="40">
        <f>IF(B1304&gt;=in_marketplace_from,J1304*d_hz*G1304*in_eligible*H1304,0)</f>
        <v/>
      </c>
      <c r="M1304" s="40">
        <f>IF(B1304&gt;=in_marketplace_from,K1304*d_hz*G1304*in_eligible*in_approved_repeat,0)</f>
        <v/>
      </c>
      <c r="N1304" s="40">
        <f>L1304+M1304</f>
        <v/>
      </c>
      <c r="O1304" s="46">
        <f>N1304/F1304</f>
        <v/>
      </c>
      <c r="P1304" s="40">
        <f>F1304-J1304-K1304</f>
        <v/>
      </c>
      <c r="Q1304" s="40">
        <f>IF(B1304&gt;=in_marketplace_from,(J1304+K1304)*d_hz*G1304,0)</f>
        <v/>
      </c>
      <c r="R1304" s="40">
        <f>SUMIFS(N1304:N1335,B1304:B1335,"&gt;="&amp;(B1304-d_T),B1304:B1335,"&lt;="&amp;(B1304-1))</f>
        <v/>
      </c>
      <c r="S1304" s="46" t="n">
        <v>0</v>
      </c>
      <c r="T1304" s="40">
        <f>F1304*d_u*S1304</f>
        <v/>
      </c>
      <c r="U1304" s="9">
        <f>L1304*in_ticket+M1304*d_rep_ticket</f>
        <v/>
      </c>
      <c r="V1304" s="9">
        <f>U1304+T1304*d_topup_amt</f>
        <v/>
      </c>
      <c r="W1304" s="40">
        <f>N1304+T1304*d_topup_ratio</f>
        <v/>
      </c>
      <c r="X1304" s="40">
        <f>SUMIFS(W1304:W1335,B1304:B1335,B1304-in_dpd_lag)*d_cured</f>
        <v/>
      </c>
      <c r="Y1304" s="40">
        <f>SUMIFS(W1304:W1335,B1304:B1335,B1304-in_rec_lag)*d_recd</f>
        <v/>
      </c>
      <c r="Z1304" s="40">
        <f>IF(AND(B1304&gt;=in_marketplace_from,B1304&lt;in_marketplace_from+in_card_months),in_card_share/in_card_months*F1304*I1304,IF(AND(B1304&gt;=in_marketplace_from+in_card_months,B1304&lt;in_marketplace_from+2*in_card_months),in_card_share*d_card_rem/in_card_months*F1304*MIN(in_takeup_cap,(1+in_takeup_growth)^(D1304-1))*MIN(in_takeup_cap,(1+in_approval_growth)^(D1304-1)),0))</f>
        <v/>
      </c>
      <c r="AA1304" s="14">
        <f>V1304*in_fee*(1-in_taken_back)</f>
        <v/>
      </c>
      <c r="AB1304" s="14">
        <f>SUMIFS(W1304:W1335,B1304:B1335,B1304-in_dpd_lag)*d_dpd</f>
        <v/>
      </c>
      <c r="AC1304" s="14">
        <f>SUMIFS(W1304:W1335,B1304:B1335,B1304-in_rec_lag)*d_rec</f>
        <v/>
      </c>
      <c r="AD1304" s="14">
        <f>Z1304*in_card_fee</f>
        <v/>
      </c>
      <c r="AE1304" s="40" t="n">
        <v>1</v>
      </c>
      <c r="AF1304" s="46">
        <f>AE1304*IF(B1304&gt;=in_marketplace_from,d_hz_hlth_small*G1304,0)</f>
        <v/>
      </c>
      <c r="AG1304" s="14">
        <f>F1304*AF1304*in_hlth_small_ticket*in_hlth_small_comm*in_ins_partner_share+F1304*in_hlth_small_ticket*in_hlth_small_renew_comm*in_ins_partner_share*(in_hlth_small_renew^1*SUMIFS(AF1304:AF1335,B1304:B1335,B1304-12)+in_hlth_small_renew^2*SUMIFS(AF1304:AF1335,B1304:B1335,B1304-24)+in_hlth_small_renew^3*SUMIFS(AF1304:AF1335,B1304:B1335,B1304-36)+in_hlth_small_renew^4*SUMIFS(AF1304:AF1335,B1304:B1335,B1304-48))</f>
        <v/>
      </c>
      <c r="AH1304" s="40" t="n">
        <v>1</v>
      </c>
      <c r="AI1304" s="46">
        <f>AH1304*IF(B1304&gt;=in_marketplace_from,d_hz_hlth_family*G1304,0)</f>
        <v/>
      </c>
      <c r="AJ1304" s="14">
        <f>F1304*AI1304*in_hlth_family_ticket*in_hlth_family_comm*in_ins_partner_share+F1304*in_hlth_family_ticket*in_hlth_family_renew_comm*in_ins_partner_share*(in_hlth_family_renew^1*SUMIFS(AI1304:AI1335,B1304:B1335,B1304-12)+in_hlth_family_renew^2*SUMIFS(AI1304:AI1335,B1304:B1335,B1304-24)+in_hlth_family_renew^3*SUMIFS(AI1304:AI1335,B1304:B1335,B1304-36)+in_hlth_family_renew^4*SUMIFS(AI1304:AI1335,B1304:B1335,B1304-48))</f>
        <v/>
      </c>
      <c r="AK1304" s="40" t="n">
        <v>1</v>
      </c>
      <c r="AL1304" s="46">
        <f>AK1304*IF(B1304&gt;=in_marketplace_from,d_hz_life_term*G1304,0)</f>
        <v/>
      </c>
      <c r="AM1304" s="14">
        <f>F1304*AL1304*in_life_term_ticket*in_life_term_comm*in_ins_partner_share+F1304*in_life_term_ticket*in_life_term_renew_comm*in_ins_partner_share*(in_life_term_renew^1*SUMIFS(AL1304:AL1335,B1304:B1335,B1304-12)+in_life_term_renew^2*SUMIFS(AL1304:AL1335,B1304:B1335,B1304-24)+in_life_term_renew^3*SUMIFS(AL1304:AL1335,B1304:B1335,B1304-36)+in_life_term_renew^4*SUMIFS(AL1304:AL1335,B1304:B1335,B1304-48))</f>
        <v/>
      </c>
      <c r="AN1304" s="40" t="n">
        <v>1</v>
      </c>
      <c r="AO1304" s="46">
        <f>AN1304*IF(B1304&gt;=in_marketplace_from,d_hz_accident*G1304,0)</f>
        <v/>
      </c>
      <c r="AP1304" s="14">
        <f>F1304*AO1304*in_accident_ticket*in_accident_comm*in_ins_partner_share+F1304*in_accident_ticket*in_accident_renew_comm*in_ins_partner_share*(in_accident_renew^1*SUMIFS(AO1304:AO1335,B1304:B1335,B1304-12)+in_accident_renew^2*SUMIFS(AO1304:AO1335,B1304:B1335,B1304-24)+in_accident_renew^3*SUMIFS(AO1304:AO1335,B1304:B1335,B1304-36)+in_accident_renew^4*SUMIFS(AO1304:AO1335,B1304:B1335,B1304-48))</f>
        <v/>
      </c>
      <c r="AQ1304" s="40" t="n">
        <v>1</v>
      </c>
      <c r="AR1304" s="46">
        <f>AQ1304*IF(B1304&gt;=in_marketplace_from,d_hz_two_wheeler*G1304,0)</f>
        <v/>
      </c>
      <c r="AS1304" s="14">
        <f>F1304*AR1304*in_two_wheeler_ticket*in_two_wheeler_comm*in_ins_partner_share+F1304*in_two_wheeler_ticket*in_two_wheeler_comm*in_ins_partner_share*(in_two_wheeler_renew^1*SUMIFS(AR1304:AR1335,B1304:B1335,B1304-12)+in_two_wheeler_renew^2*SUMIFS(AR1304:AR1335,B1304:B1335,B1304-24)+in_two_wheeler_renew^3*SUMIFS(AR1304:AR1335,B1304:B1335,B1304-36)+in_two_wheeler_renew^4*SUMIFS(AR1304:AR1335,B1304:B1335,B1304-48))</f>
        <v/>
      </c>
      <c r="AT1304" s="40" t="n">
        <v>1</v>
      </c>
      <c r="AU1304" s="14">
        <f>F1304*AT1304*IF(B1304&gt;=in_marketplace_from,d_hz_device*G1304,0)*in_device_ticket*in_device_comm*in_ins_partner_share</f>
        <v/>
      </c>
      <c r="AV1304" s="40" t="n">
        <v>1</v>
      </c>
      <c r="AW1304" s="46">
        <f>AV1304*IF(B1304&gt;=in_marketplace_from,d_hz_shop*G1304,0)</f>
        <v/>
      </c>
      <c r="AX1304" s="14">
        <f>F1304*AW1304*in_shop_ticket*in_shop_comm*in_ins_partner_share+F1304*in_shop_ticket*in_shop_renew_comm*in_ins_partner_share*(in_shop_renew^1*SUMIFS(AW1304:AW1335,B1304:B1335,B1304-12)+in_shop_renew^2*SUMIFS(AW1304:AW1335,B1304:B1335,B1304-24)+in_shop_renew^3*SUMIFS(AW1304:AW1335,B1304:B1335,B1304-36)+in_shop_renew^4*SUMIFS(AW1304:AW1335,B1304:B1335,B1304-48))</f>
        <v/>
      </c>
      <c r="AY1304" s="40" t="n">
        <v>1</v>
      </c>
      <c r="AZ1304" s="40">
        <f>AY1304*IF(B1304&gt;=in_marketplace_from,d_hz_sip*G1304,0)</f>
        <v/>
      </c>
      <c r="BA1304" s="40" t="n">
        <v>0</v>
      </c>
      <c r="BB1304" s="14">
        <f>F1304*in_sip_ticket*(BA1304+0.5*AZ1304)*in_sip_comm/12</f>
        <v/>
      </c>
      <c r="BC1304" s="40" t="n">
        <v>1</v>
      </c>
      <c r="BD1304" s="46">
        <f>BC1304*IF(B1304&gt;=in_marketplace_from,d_hz_choti*G1304,0)</f>
        <v/>
      </c>
      <c r="BE1304" s="14">
        <f>F1304*SUMIFS(BD1304:BD1335,B1304:B1335,B1304-in_choti_months)*in_choti_renew*in_choti_ticket</f>
        <v/>
      </c>
      <c r="BF1304" s="40" t="n">
        <v>1</v>
      </c>
      <c r="BG1304" s="14">
        <f>F1304*BF1304*IF(B1304&gt;=in_marketplace_from,d_hz_nps*G1304,0)*in_nps_ticket*in_nps_comm</f>
        <v/>
      </c>
      <c r="BH1304" s="40" t="n">
        <v>1</v>
      </c>
      <c r="BI1304" s="40">
        <f>BH1304*IF(B1304&gt;=in_marketplace_from,d_hz_gold*G1304,0)</f>
        <v/>
      </c>
      <c r="BJ1304" s="14">
        <f>F1304*BI1304*in_gold_ticket*in_gold_comm</f>
        <v/>
      </c>
      <c r="BK1304" s="40" t="n">
        <v>1</v>
      </c>
      <c r="BL1304" s="14">
        <f>F1304*BK1304*IF(B1304&gt;=in_marketplace_from,d_hz_fd*G1304,0)*in_fd_ticket*in_fd_comm</f>
        <v/>
      </c>
      <c r="BM1304" s="40" t="n">
        <v>1</v>
      </c>
      <c r="BN1304" s="40">
        <f>BM1304*IF(B1304&gt;=in_marketplace_from,d_hz_recharge*G1304,0)</f>
        <v/>
      </c>
      <c r="BO1304" s="14">
        <f>F1304*BN1304*in_recharge_ticket*in_recharge_comm/12</f>
        <v/>
      </c>
      <c r="BP1304" s="40" t="n">
        <v>1</v>
      </c>
      <c r="BQ1304" s="40">
        <f>BP1304*IF(B1304&gt;=in_marketplace_from,d_hz_bills*G1304,0)</f>
        <v/>
      </c>
      <c r="BR1304" s="14">
        <f>F1304*BQ1304*in_bills_ticket*in_bills_comm/12</f>
        <v/>
      </c>
      <c r="BS1304" s="40" t="n">
        <v>1</v>
      </c>
      <c r="BT1304" s="14">
        <f>F1304*BS1304*IF(B1304&gt;=in_marketplace_from,d_hz_loan_gold*G1304,0)*in_loan_gold_ticket*in_loan_gold_comm</f>
        <v/>
      </c>
      <c r="BU1304" s="40" t="n">
        <v>1</v>
      </c>
      <c r="BV1304" s="14">
        <f>F1304*BU1304*IF(B1304&gt;=in_marketplace_from,d_hz_loan_cd*G1304,0)*in_loan_cd_ticket*in_loan_cd_comm</f>
        <v/>
      </c>
      <c r="BW1304" s="40" t="n">
        <v>1</v>
      </c>
      <c r="BX1304" s="14">
        <f>F1304*BW1304*IF(B1304&gt;=in_marketplace_from,d_hz_loan_vehicle*G1304,0)*in_loan_vehicle_ticket*in_loan_vehicle_comm</f>
        <v/>
      </c>
      <c r="BY1304" s="40" t="n">
        <v>1</v>
      </c>
      <c r="BZ1304" s="11">
        <f>MIN(in_approval_cap,in_loan_home_approval*INDEX('Age profile'!$O$2:$O$61,B1304)*(1+in_approval_growth)^(D1304-1))</f>
        <v/>
      </c>
      <c r="CA1304" s="14">
        <f>F1304*BY1304*IF(B1304&gt;=in_marketplace_from,d_hz_loan_home*G1304,0)*BZ1304*in_loan_home_ticket*in_loan_home_comm</f>
        <v/>
      </c>
      <c r="CB1304" s="40" t="n">
        <v>1</v>
      </c>
      <c r="CC1304" s="11">
        <f>MIN(in_approval_cap,in_loan_lap_approval*INDEX('Age profile'!$O$2:$O$61,B1304)*(1+in_approval_growth)^(D1304-1))</f>
        <v/>
      </c>
      <c r="CD1304" s="14">
        <f>F1304*CB1304*IF(B1304&gt;=in_marketplace_from,d_hz_loan_lap*G1304,0)*CC1304*in_loan_lap_ticket*in_loan_lap_comm</f>
        <v/>
      </c>
      <c r="CE1304" s="14">
        <f>AA1304+AB1304+AC1304+AD1304+AG1304+AJ1304+AM1304+AP1304+AS1304+AU1304+AX1304+BB1304+BE1304+BG1304+BJ1304+BL1304+BO1304+BR1304+BT1304+BV1304+BX1304+CA1304+CD1304</f>
        <v/>
      </c>
    </row>
    <row r="1305">
      <c r="A1305" s="39" t="n">
        <v>29</v>
      </c>
      <c r="B1305" s="39" t="n">
        <v>2</v>
      </c>
      <c r="C1305" s="39">
        <f>A1305+B1305-1</f>
        <v/>
      </c>
      <c r="D1305" s="39">
        <f>INT((C1305-1)/12)+1</f>
        <v/>
      </c>
      <c r="E1305" s="44">
        <f>INDEX(Monthly!$B$2:$B$61,A1305)</f>
        <v/>
      </c>
      <c r="F1305" s="44">
        <f>E1305*INDEX('Age profile'!$B$2:$B$61,B1305)</f>
        <v/>
      </c>
      <c r="G1305" s="45">
        <f>MIN(in_takeup_cap,INDEX('Age profile'!$N$2:$N$61,B1305)*(1+in_takeup_growth)^(D1305-1))</f>
        <v/>
      </c>
      <c r="H1305" s="11">
        <f>MIN(in_approval_cap,in_approved_first*INDEX('Age profile'!$O$2:$O$61,B1305)*(1+in_approval_growth)^(D1305-1))</f>
        <v/>
      </c>
      <c r="I1305" s="45">
        <f>G1305*MIN(in_takeup_cap,INDEX('Age profile'!$O$2:$O$61,B1305)*(1+in_approval_growth)^(D1305-1))</f>
        <v/>
      </c>
      <c r="J1305" s="40">
        <f>(J1304-L1304)*F1305/F1304</f>
        <v/>
      </c>
      <c r="K1305" s="40">
        <f>(K1304-M1304)*F1305/F1304+SUMIFS(O1304:O1304,B1304:B1304,B1305-1-d_T)*F1305</f>
        <v/>
      </c>
      <c r="L1305" s="40">
        <f>IF(B1305&gt;=in_marketplace_from,J1305*d_hz*G1305*in_eligible*H1305,0)</f>
        <v/>
      </c>
      <c r="M1305" s="40">
        <f>IF(B1305&gt;=in_marketplace_from,K1305*d_hz*G1305*in_eligible*in_approved_repeat,0)</f>
        <v/>
      </c>
      <c r="N1305" s="40">
        <f>L1305+M1305</f>
        <v/>
      </c>
      <c r="O1305" s="46">
        <f>N1305/F1305</f>
        <v/>
      </c>
      <c r="P1305" s="40">
        <f>F1305-J1305-K1305</f>
        <v/>
      </c>
      <c r="Q1305" s="40">
        <f>IF(B1305&gt;=in_marketplace_from,(J1305+K1305)*d_hz*G1305,0)</f>
        <v/>
      </c>
      <c r="R1305" s="40">
        <f>SUMIFS(N1304:N1335,B1304:B1335,"&gt;="&amp;(B1305-d_T),B1304:B1335,"&lt;="&amp;(B1305-1))</f>
        <v/>
      </c>
      <c r="S1305" s="46">
        <f>(1-d_u)*S1304+IF(d_T&gt;in_topup_lag,SUMIFS(O1304:O1335,B1304:B1335,B1305-in_topup_lag)-d_udrop*SUMIFS(O1304:O1335,B1304:B1335,B1305-d_T),0)</f>
        <v/>
      </c>
      <c r="T1305" s="40">
        <f>F1305*d_u*S1305</f>
        <v/>
      </c>
      <c r="U1305" s="9">
        <f>L1305*in_ticket+M1305*d_rep_ticket</f>
        <v/>
      </c>
      <c r="V1305" s="9">
        <f>U1305+T1305*d_topup_amt</f>
        <v/>
      </c>
      <c r="W1305" s="40">
        <f>N1305+T1305*d_topup_ratio</f>
        <v/>
      </c>
      <c r="X1305" s="40">
        <f>SUMIFS(W1304:W1335,B1304:B1335,B1305-in_dpd_lag)*d_cured</f>
        <v/>
      </c>
      <c r="Y1305" s="40">
        <f>SUMIFS(W1304:W1335,B1304:B1335,B1305-in_rec_lag)*d_recd</f>
        <v/>
      </c>
      <c r="Z1305" s="40">
        <f>IF(AND(B1305&gt;=in_marketplace_from,B1305&lt;in_marketplace_from+in_card_months),in_card_share/in_card_months*F1305*I1305,IF(AND(B1305&gt;=in_marketplace_from+in_card_months,B1305&lt;in_marketplace_from+2*in_card_months),in_card_share*d_card_rem/in_card_months*F1305*MIN(in_takeup_cap,(1+in_takeup_growth)^(D1305-1))*MIN(in_takeup_cap,(1+in_approval_growth)^(D1305-1)),0))</f>
        <v/>
      </c>
      <c r="AA1305" s="14">
        <f>V1305*in_fee*(1-in_taken_back)</f>
        <v/>
      </c>
      <c r="AB1305" s="14">
        <f>SUMIFS(W1304:W1335,B1304:B1335,B1305-in_dpd_lag)*d_dpd</f>
        <v/>
      </c>
      <c r="AC1305" s="14">
        <f>SUMIFS(W1304:W1335,B1304:B1335,B1305-in_rec_lag)*d_rec</f>
        <v/>
      </c>
      <c r="AD1305" s="14">
        <f>Z1305*in_card_fee</f>
        <v/>
      </c>
      <c r="AE1305" s="40">
        <f>AE1304*(1-IF(B1304&gt;=in_marketplace_from,d_hz_hlth_small*G1304,0))</f>
        <v/>
      </c>
      <c r="AF1305" s="46">
        <f>AE1305*IF(B1305&gt;=in_marketplace_from,d_hz_hlth_small*G1305,0)</f>
        <v/>
      </c>
      <c r="AG1305" s="14">
        <f>F1305*AF1305*in_hlth_small_ticket*in_hlth_small_comm*in_ins_partner_share+F1305*in_hlth_small_ticket*in_hlth_small_renew_comm*in_ins_partner_share*(in_hlth_small_renew^1*SUMIFS(AF1304:AF1335,B1304:B1335,B1305-12)+in_hlth_small_renew^2*SUMIFS(AF1304:AF1335,B1304:B1335,B1305-24)+in_hlth_small_renew^3*SUMIFS(AF1304:AF1335,B1304:B1335,B1305-36)+in_hlth_small_renew^4*SUMIFS(AF1304:AF1335,B1304:B1335,B1305-48))</f>
        <v/>
      </c>
      <c r="AH1305" s="40">
        <f>AH1304*(1-IF(B1304&gt;=in_marketplace_from,d_hz_hlth_family*G1304,0))</f>
        <v/>
      </c>
      <c r="AI1305" s="46">
        <f>AH1305*IF(B1305&gt;=in_marketplace_from,d_hz_hlth_family*G1305,0)</f>
        <v/>
      </c>
      <c r="AJ1305" s="14">
        <f>F1305*AI1305*in_hlth_family_ticket*in_hlth_family_comm*in_ins_partner_share+F1305*in_hlth_family_ticket*in_hlth_family_renew_comm*in_ins_partner_share*(in_hlth_family_renew^1*SUMIFS(AI1304:AI1335,B1304:B1335,B1305-12)+in_hlth_family_renew^2*SUMIFS(AI1304:AI1335,B1304:B1335,B1305-24)+in_hlth_family_renew^3*SUMIFS(AI1304:AI1335,B1304:B1335,B1305-36)+in_hlth_family_renew^4*SUMIFS(AI1304:AI1335,B1304:B1335,B1305-48))</f>
        <v/>
      </c>
      <c r="AK1305" s="40">
        <f>AK1304*(1-IF(B1304&gt;=in_marketplace_from,d_hz_life_term*G1304,0))</f>
        <v/>
      </c>
      <c r="AL1305" s="46">
        <f>AK1305*IF(B1305&gt;=in_marketplace_from,d_hz_life_term*G1305,0)</f>
        <v/>
      </c>
      <c r="AM1305" s="14">
        <f>F1305*AL1305*in_life_term_ticket*in_life_term_comm*in_ins_partner_share+F1305*in_life_term_ticket*in_life_term_renew_comm*in_ins_partner_share*(in_life_term_renew^1*SUMIFS(AL1304:AL1335,B1304:B1335,B1305-12)+in_life_term_renew^2*SUMIFS(AL1304:AL1335,B1304:B1335,B1305-24)+in_life_term_renew^3*SUMIFS(AL1304:AL1335,B1304:B1335,B1305-36)+in_life_term_renew^4*SUMIFS(AL1304:AL1335,B1304:B1335,B1305-48))</f>
        <v/>
      </c>
      <c r="AN1305" s="40">
        <f>AN1304*(1-IF(B1304&gt;=in_marketplace_from,d_hz_accident*G1304,0))</f>
        <v/>
      </c>
      <c r="AO1305" s="46">
        <f>AN1305*IF(B1305&gt;=in_marketplace_from,d_hz_accident*G1305,0)</f>
        <v/>
      </c>
      <c r="AP1305" s="14">
        <f>F1305*AO1305*in_accident_ticket*in_accident_comm*in_ins_partner_share+F1305*in_accident_ticket*in_accident_renew_comm*in_ins_partner_share*(in_accident_renew^1*SUMIFS(AO1304:AO1335,B1304:B1335,B1305-12)+in_accident_renew^2*SUMIFS(AO1304:AO1335,B1304:B1335,B1305-24)+in_accident_renew^3*SUMIFS(AO1304:AO1335,B1304:B1335,B1305-36)+in_accident_renew^4*SUMIFS(AO1304:AO1335,B1304:B1335,B1305-48))</f>
        <v/>
      </c>
      <c r="AQ1305" s="40">
        <f>AQ1304*(1-IF(B1304&gt;=in_marketplace_from,d_hz_two_wheeler*G1304,0))</f>
        <v/>
      </c>
      <c r="AR1305" s="46">
        <f>AQ1305*IF(B1305&gt;=in_marketplace_from,d_hz_two_wheeler*G1305,0)</f>
        <v/>
      </c>
      <c r="AS1305" s="14">
        <f>F1305*AR1305*in_two_wheeler_ticket*in_two_wheeler_comm*in_ins_partner_share+F1305*in_two_wheeler_ticket*in_two_wheeler_comm*in_ins_partner_share*(in_two_wheeler_renew^1*SUMIFS(AR1304:AR1335,B1304:B1335,B1305-12)+in_two_wheeler_renew^2*SUMIFS(AR1304:AR1335,B1304:B1335,B1305-24)+in_two_wheeler_renew^3*SUMIFS(AR1304:AR1335,B1304:B1335,B1305-36)+in_two_wheeler_renew^4*SUMIFS(AR1304:AR1335,B1304:B1335,B1305-48))</f>
        <v/>
      </c>
      <c r="AT1305" s="40">
        <f>AT1304*(1-IF(B1304&gt;=in_marketplace_from,d_hz_device*G1304,0))</f>
        <v/>
      </c>
      <c r="AU1305" s="14">
        <f>F1305*AT1305*IF(B1305&gt;=in_marketplace_from,d_hz_device*G1305,0)*in_device_ticket*in_device_comm*in_ins_partner_share</f>
        <v/>
      </c>
      <c r="AV1305" s="40">
        <f>AV1304*(1-IF(B1304&gt;=in_marketplace_from,d_hz_shop*G1304,0))</f>
        <v/>
      </c>
      <c r="AW1305" s="46">
        <f>AV1305*IF(B1305&gt;=in_marketplace_from,d_hz_shop*G1305,0)</f>
        <v/>
      </c>
      <c r="AX1305" s="14">
        <f>F1305*AW1305*in_shop_ticket*in_shop_comm*in_ins_partner_share+F1305*in_shop_ticket*in_shop_renew_comm*in_ins_partner_share*(in_shop_renew^1*SUMIFS(AW1304:AW1335,B1304:B1335,B1305-12)+in_shop_renew^2*SUMIFS(AW1304:AW1335,B1304:B1335,B1305-24)+in_shop_renew^3*SUMIFS(AW1304:AW1335,B1304:B1335,B1305-36)+in_shop_renew^4*SUMIFS(AW1304:AW1335,B1304:B1335,B1305-48))</f>
        <v/>
      </c>
      <c r="AY1305" s="40">
        <f>AY1304*(1-IF(B1304&gt;=in_marketplace_from,d_hz_sip*G1304,0))</f>
        <v/>
      </c>
      <c r="AZ1305" s="40">
        <f>AZ1304*d_rho_sip+AY1305*IF(B1305&gt;=in_marketplace_from,d_hz_sip*G1305,0)</f>
        <v/>
      </c>
      <c r="BA1305" s="40">
        <f>d_rho_sip*(BA1304+AZ1304)</f>
        <v/>
      </c>
      <c r="BB1305" s="14">
        <f>F1305*in_sip_ticket*(BA1305+0.5*AZ1305)*in_sip_comm/12</f>
        <v/>
      </c>
      <c r="BC1305" s="40">
        <f>BC1304*(1-IF(B1304&gt;=in_marketplace_from,d_hz_choti*G1304,0))</f>
        <v/>
      </c>
      <c r="BD1305" s="46">
        <f>BC1305*IF(B1305&gt;=in_marketplace_from,d_hz_choti*G1305,0)</f>
        <v/>
      </c>
      <c r="BE1305" s="14">
        <f>F1305*SUMIFS(BD1304:BD1335,B1304:B1335,B1305-in_choti_months)*in_choti_renew*in_choti_ticket</f>
        <v/>
      </c>
      <c r="BF1305" s="40">
        <f>BF1304*(1-IF(B1304&gt;=in_marketplace_from,d_hz_nps*G1304,0))</f>
        <v/>
      </c>
      <c r="BG1305" s="14">
        <f>F1305*BF1305*IF(B1305&gt;=in_marketplace_from,d_hz_nps*G1305,0)*in_nps_ticket*in_nps_comm</f>
        <v/>
      </c>
      <c r="BH1305" s="40">
        <f>BH1304*(1-IF(B1304&gt;=in_marketplace_from,d_hz_gold*G1304,0))</f>
        <v/>
      </c>
      <c r="BI1305" s="40">
        <f>BI1304*d_rho_gold+BH1305*IF(B1305&gt;=in_marketplace_from,d_hz_gold*G1305,0)</f>
        <v/>
      </c>
      <c r="BJ1305" s="14">
        <f>F1305*BI1305*in_gold_ticket*in_gold_comm</f>
        <v/>
      </c>
      <c r="BK1305" s="40">
        <f>BK1304*(1-IF(B1304&gt;=in_marketplace_from,d_hz_fd*G1304,0))</f>
        <v/>
      </c>
      <c r="BL1305" s="14">
        <f>F1305*BK1305*IF(B1305&gt;=in_marketplace_from,d_hz_fd*G1305,0)*in_fd_ticket*in_fd_comm</f>
        <v/>
      </c>
      <c r="BM1305" s="40">
        <f>BM1304*(1-IF(B1304&gt;=in_marketplace_from,d_hz_recharge*G1304,0))</f>
        <v/>
      </c>
      <c r="BN1305" s="40">
        <f>BN1304*d_rho_recharge+BM1305*IF(B1305&gt;=in_marketplace_from,d_hz_recharge*G1305,0)</f>
        <v/>
      </c>
      <c r="BO1305" s="14">
        <f>F1305*BN1305*in_recharge_ticket*in_recharge_comm/12</f>
        <v/>
      </c>
      <c r="BP1305" s="40">
        <f>BP1304*(1-IF(B1304&gt;=in_marketplace_from,d_hz_bills*G1304,0))</f>
        <v/>
      </c>
      <c r="BQ1305" s="40">
        <f>BQ1304*d_rho_bills+BP1305*IF(B1305&gt;=in_marketplace_from,d_hz_bills*G1305,0)</f>
        <v/>
      </c>
      <c r="BR1305" s="14">
        <f>F1305*BQ1305*in_bills_ticket*in_bills_comm/12</f>
        <v/>
      </c>
      <c r="BS1305" s="40">
        <f>BS1304*(1-IF(B1304&gt;=in_marketplace_from,d_hz_loan_gold*G1304,0))</f>
        <v/>
      </c>
      <c r="BT1305" s="14">
        <f>F1305*BS1305*IF(B1305&gt;=in_marketplace_from,d_hz_loan_gold*G1305,0)*in_loan_gold_ticket*in_loan_gold_comm</f>
        <v/>
      </c>
      <c r="BU1305" s="40">
        <f>BU1304*(1-IF(B1304&gt;=in_marketplace_from,d_hz_loan_cd*G1304,0))</f>
        <v/>
      </c>
      <c r="BV1305" s="14">
        <f>F1305*BU1305*IF(B1305&gt;=in_marketplace_from,d_hz_loan_cd*G1305,0)*in_loan_cd_ticket*in_loan_cd_comm</f>
        <v/>
      </c>
      <c r="BW1305" s="40">
        <f>BW1304*(1-IF(B1304&gt;=in_marketplace_from,d_hz_loan_vehicle*G1304,0))</f>
        <v/>
      </c>
      <c r="BX1305" s="14">
        <f>F1305*BW1305*IF(B1305&gt;=in_marketplace_from,d_hz_loan_vehicle*G1305,0)*in_loan_vehicle_ticket*in_loan_vehicle_comm</f>
        <v/>
      </c>
      <c r="BY1305" s="40">
        <f>BY1304*(1-IF(B1304&gt;=in_marketplace_from,d_hz_loan_home*G1304,0)*BZ1304)</f>
        <v/>
      </c>
      <c r="BZ1305" s="11">
        <f>MIN(in_approval_cap,in_loan_home_approval*INDEX('Age profile'!$O$2:$O$61,B1305)*(1+in_approval_growth)^(D1305-1))</f>
        <v/>
      </c>
      <c r="CA1305" s="14">
        <f>F1305*BY1305*IF(B1305&gt;=in_marketplace_from,d_hz_loan_home*G1305,0)*BZ1305*in_loan_home_ticket*in_loan_home_comm</f>
        <v/>
      </c>
      <c r="CB1305" s="40">
        <f>CB1304*(1-IF(B1304&gt;=in_marketplace_from,d_hz_loan_lap*G1304,0)*CC1304)</f>
        <v/>
      </c>
      <c r="CC1305" s="11">
        <f>MIN(in_approval_cap,in_loan_lap_approval*INDEX('Age profile'!$O$2:$O$61,B1305)*(1+in_approval_growth)^(D1305-1))</f>
        <v/>
      </c>
      <c r="CD1305" s="14">
        <f>F1305*CB1305*IF(B1305&gt;=in_marketplace_from,d_hz_loan_lap*G1305,0)*CC1305*in_loan_lap_ticket*in_loan_lap_comm</f>
        <v/>
      </c>
      <c r="CE1305" s="14">
        <f>AA1305+AB1305+AC1305+AD1305+AG1305+AJ1305+AM1305+AP1305+AS1305+AU1305+AX1305+BB1305+BE1305+BG1305+BJ1305+BL1305+BO1305+BR1305+BT1305+BV1305+BX1305+CA1305+CD1305</f>
        <v/>
      </c>
    </row>
    <row r="1306">
      <c r="A1306" s="39" t="n">
        <v>29</v>
      </c>
      <c r="B1306" s="39" t="n">
        <v>3</v>
      </c>
      <c r="C1306" s="39">
        <f>A1306+B1306-1</f>
        <v/>
      </c>
      <c r="D1306" s="39">
        <f>INT((C1306-1)/12)+1</f>
        <v/>
      </c>
      <c r="E1306" s="44">
        <f>INDEX(Monthly!$B$2:$B$61,A1306)</f>
        <v/>
      </c>
      <c r="F1306" s="44">
        <f>E1306*INDEX('Age profile'!$B$2:$B$61,B1306)</f>
        <v/>
      </c>
      <c r="G1306" s="45">
        <f>MIN(in_takeup_cap,INDEX('Age profile'!$N$2:$N$61,B1306)*(1+in_takeup_growth)^(D1306-1))</f>
        <v/>
      </c>
      <c r="H1306" s="11">
        <f>MIN(in_approval_cap,in_approved_first*INDEX('Age profile'!$O$2:$O$61,B1306)*(1+in_approval_growth)^(D1306-1))</f>
        <v/>
      </c>
      <c r="I1306" s="45">
        <f>G1306*MIN(in_takeup_cap,INDEX('Age profile'!$O$2:$O$61,B1306)*(1+in_approval_growth)^(D1306-1))</f>
        <v/>
      </c>
      <c r="J1306" s="40">
        <f>(J1305-L1305)*F1306/F1305</f>
        <v/>
      </c>
      <c r="K1306" s="40">
        <f>(K1305-M1305)*F1306/F1305+SUMIFS(O1304:O1305,B1304:B1305,B1306-1-d_T)*F1306</f>
        <v/>
      </c>
      <c r="L1306" s="40">
        <f>IF(B1306&gt;=in_marketplace_from,J1306*d_hz*G1306*in_eligible*H1306,0)</f>
        <v/>
      </c>
      <c r="M1306" s="40">
        <f>IF(B1306&gt;=in_marketplace_from,K1306*d_hz*G1306*in_eligible*in_approved_repeat,0)</f>
        <v/>
      </c>
      <c r="N1306" s="40">
        <f>L1306+M1306</f>
        <v/>
      </c>
      <c r="O1306" s="46">
        <f>N1306/F1306</f>
        <v/>
      </c>
      <c r="P1306" s="40">
        <f>F1306-J1306-K1306</f>
        <v/>
      </c>
      <c r="Q1306" s="40">
        <f>IF(B1306&gt;=in_marketplace_from,(J1306+K1306)*d_hz*G1306,0)</f>
        <v/>
      </c>
      <c r="R1306" s="40">
        <f>SUMIFS(N1304:N1335,B1304:B1335,"&gt;="&amp;(B1306-d_T),B1304:B1335,"&lt;="&amp;(B1306-1))</f>
        <v/>
      </c>
      <c r="S1306" s="46">
        <f>(1-d_u)*S1305+IF(d_T&gt;in_topup_lag,SUMIFS(O1304:O1335,B1304:B1335,B1306-in_topup_lag)-d_udrop*SUMIFS(O1304:O1335,B1304:B1335,B1306-d_T),0)</f>
        <v/>
      </c>
      <c r="T1306" s="40">
        <f>F1306*d_u*S1306</f>
        <v/>
      </c>
      <c r="U1306" s="9">
        <f>L1306*in_ticket+M1306*d_rep_ticket</f>
        <v/>
      </c>
      <c r="V1306" s="9">
        <f>U1306+T1306*d_topup_amt</f>
        <v/>
      </c>
      <c r="W1306" s="40">
        <f>N1306+T1306*d_topup_ratio</f>
        <v/>
      </c>
      <c r="X1306" s="40">
        <f>SUMIFS(W1304:W1335,B1304:B1335,B1306-in_dpd_lag)*d_cured</f>
        <v/>
      </c>
      <c r="Y1306" s="40">
        <f>SUMIFS(W1304:W1335,B1304:B1335,B1306-in_rec_lag)*d_recd</f>
        <v/>
      </c>
      <c r="Z1306" s="40">
        <f>IF(AND(B1306&gt;=in_marketplace_from,B1306&lt;in_marketplace_from+in_card_months),in_card_share/in_card_months*F1306*I1306,IF(AND(B1306&gt;=in_marketplace_from+in_card_months,B1306&lt;in_marketplace_from+2*in_card_months),in_card_share*d_card_rem/in_card_months*F1306*MIN(in_takeup_cap,(1+in_takeup_growth)^(D1306-1))*MIN(in_takeup_cap,(1+in_approval_growth)^(D1306-1)),0))</f>
        <v/>
      </c>
      <c r="AA1306" s="14">
        <f>V1306*in_fee*(1-in_taken_back)</f>
        <v/>
      </c>
      <c r="AB1306" s="14">
        <f>SUMIFS(W1304:W1335,B1304:B1335,B1306-in_dpd_lag)*d_dpd</f>
        <v/>
      </c>
      <c r="AC1306" s="14">
        <f>SUMIFS(W1304:W1335,B1304:B1335,B1306-in_rec_lag)*d_rec</f>
        <v/>
      </c>
      <c r="AD1306" s="14">
        <f>Z1306*in_card_fee</f>
        <v/>
      </c>
      <c r="AE1306" s="40">
        <f>AE1305*(1-IF(B1305&gt;=in_marketplace_from,d_hz_hlth_small*G1305,0))</f>
        <v/>
      </c>
      <c r="AF1306" s="46">
        <f>AE1306*IF(B1306&gt;=in_marketplace_from,d_hz_hlth_small*G1306,0)</f>
        <v/>
      </c>
      <c r="AG1306" s="14">
        <f>F1306*AF1306*in_hlth_small_ticket*in_hlth_small_comm*in_ins_partner_share+F1306*in_hlth_small_ticket*in_hlth_small_renew_comm*in_ins_partner_share*(in_hlth_small_renew^1*SUMIFS(AF1304:AF1335,B1304:B1335,B1306-12)+in_hlth_small_renew^2*SUMIFS(AF1304:AF1335,B1304:B1335,B1306-24)+in_hlth_small_renew^3*SUMIFS(AF1304:AF1335,B1304:B1335,B1306-36)+in_hlth_small_renew^4*SUMIFS(AF1304:AF1335,B1304:B1335,B1306-48))</f>
        <v/>
      </c>
      <c r="AH1306" s="40">
        <f>AH1305*(1-IF(B1305&gt;=in_marketplace_from,d_hz_hlth_family*G1305,0))</f>
        <v/>
      </c>
      <c r="AI1306" s="46">
        <f>AH1306*IF(B1306&gt;=in_marketplace_from,d_hz_hlth_family*G1306,0)</f>
        <v/>
      </c>
      <c r="AJ1306" s="14">
        <f>F1306*AI1306*in_hlth_family_ticket*in_hlth_family_comm*in_ins_partner_share+F1306*in_hlth_family_ticket*in_hlth_family_renew_comm*in_ins_partner_share*(in_hlth_family_renew^1*SUMIFS(AI1304:AI1335,B1304:B1335,B1306-12)+in_hlth_family_renew^2*SUMIFS(AI1304:AI1335,B1304:B1335,B1306-24)+in_hlth_family_renew^3*SUMIFS(AI1304:AI1335,B1304:B1335,B1306-36)+in_hlth_family_renew^4*SUMIFS(AI1304:AI1335,B1304:B1335,B1306-48))</f>
        <v/>
      </c>
      <c r="AK1306" s="40">
        <f>AK1305*(1-IF(B1305&gt;=in_marketplace_from,d_hz_life_term*G1305,0))</f>
        <v/>
      </c>
      <c r="AL1306" s="46">
        <f>AK1306*IF(B1306&gt;=in_marketplace_from,d_hz_life_term*G1306,0)</f>
        <v/>
      </c>
      <c r="AM1306" s="14">
        <f>F1306*AL1306*in_life_term_ticket*in_life_term_comm*in_ins_partner_share+F1306*in_life_term_ticket*in_life_term_renew_comm*in_ins_partner_share*(in_life_term_renew^1*SUMIFS(AL1304:AL1335,B1304:B1335,B1306-12)+in_life_term_renew^2*SUMIFS(AL1304:AL1335,B1304:B1335,B1306-24)+in_life_term_renew^3*SUMIFS(AL1304:AL1335,B1304:B1335,B1306-36)+in_life_term_renew^4*SUMIFS(AL1304:AL1335,B1304:B1335,B1306-48))</f>
        <v/>
      </c>
      <c r="AN1306" s="40">
        <f>AN1305*(1-IF(B1305&gt;=in_marketplace_from,d_hz_accident*G1305,0))</f>
        <v/>
      </c>
      <c r="AO1306" s="46">
        <f>AN1306*IF(B1306&gt;=in_marketplace_from,d_hz_accident*G1306,0)</f>
        <v/>
      </c>
      <c r="AP1306" s="14">
        <f>F1306*AO1306*in_accident_ticket*in_accident_comm*in_ins_partner_share+F1306*in_accident_ticket*in_accident_renew_comm*in_ins_partner_share*(in_accident_renew^1*SUMIFS(AO1304:AO1335,B1304:B1335,B1306-12)+in_accident_renew^2*SUMIFS(AO1304:AO1335,B1304:B1335,B1306-24)+in_accident_renew^3*SUMIFS(AO1304:AO1335,B1304:B1335,B1306-36)+in_accident_renew^4*SUMIFS(AO1304:AO1335,B1304:B1335,B1306-48))</f>
        <v/>
      </c>
      <c r="AQ1306" s="40">
        <f>AQ1305*(1-IF(B1305&gt;=in_marketplace_from,d_hz_two_wheeler*G1305,0))</f>
        <v/>
      </c>
      <c r="AR1306" s="46">
        <f>AQ1306*IF(B1306&gt;=in_marketplace_from,d_hz_two_wheeler*G1306,0)</f>
        <v/>
      </c>
      <c r="AS1306" s="14">
        <f>F1306*AR1306*in_two_wheeler_ticket*in_two_wheeler_comm*in_ins_partner_share+F1306*in_two_wheeler_ticket*in_two_wheeler_comm*in_ins_partner_share*(in_two_wheeler_renew^1*SUMIFS(AR1304:AR1335,B1304:B1335,B1306-12)+in_two_wheeler_renew^2*SUMIFS(AR1304:AR1335,B1304:B1335,B1306-24)+in_two_wheeler_renew^3*SUMIFS(AR1304:AR1335,B1304:B1335,B1306-36)+in_two_wheeler_renew^4*SUMIFS(AR1304:AR1335,B1304:B1335,B1306-48))</f>
        <v/>
      </c>
      <c r="AT1306" s="40">
        <f>AT1305*(1-IF(B1305&gt;=in_marketplace_from,d_hz_device*G1305,0))</f>
        <v/>
      </c>
      <c r="AU1306" s="14">
        <f>F1306*AT1306*IF(B1306&gt;=in_marketplace_from,d_hz_device*G1306,0)*in_device_ticket*in_device_comm*in_ins_partner_share</f>
        <v/>
      </c>
      <c r="AV1306" s="40">
        <f>AV1305*(1-IF(B1305&gt;=in_marketplace_from,d_hz_shop*G1305,0))</f>
        <v/>
      </c>
      <c r="AW1306" s="46">
        <f>AV1306*IF(B1306&gt;=in_marketplace_from,d_hz_shop*G1306,0)</f>
        <v/>
      </c>
      <c r="AX1306" s="14">
        <f>F1306*AW1306*in_shop_ticket*in_shop_comm*in_ins_partner_share+F1306*in_shop_ticket*in_shop_renew_comm*in_ins_partner_share*(in_shop_renew^1*SUMIFS(AW1304:AW1335,B1304:B1335,B1306-12)+in_shop_renew^2*SUMIFS(AW1304:AW1335,B1304:B1335,B1306-24)+in_shop_renew^3*SUMIFS(AW1304:AW1335,B1304:B1335,B1306-36)+in_shop_renew^4*SUMIFS(AW1304:AW1335,B1304:B1335,B1306-48))</f>
        <v/>
      </c>
      <c r="AY1306" s="40">
        <f>AY1305*(1-IF(B1305&gt;=in_marketplace_from,d_hz_sip*G1305,0))</f>
        <v/>
      </c>
      <c r="AZ1306" s="40">
        <f>AZ1305*d_rho_sip+AY1306*IF(B1306&gt;=in_marketplace_from,d_hz_sip*G1306,0)</f>
        <v/>
      </c>
      <c r="BA1306" s="40">
        <f>d_rho_sip*(BA1305+AZ1305)</f>
        <v/>
      </c>
      <c r="BB1306" s="14">
        <f>F1306*in_sip_ticket*(BA1306+0.5*AZ1306)*in_sip_comm/12</f>
        <v/>
      </c>
      <c r="BC1306" s="40">
        <f>BC1305*(1-IF(B1305&gt;=in_marketplace_from,d_hz_choti*G1305,0))</f>
        <v/>
      </c>
      <c r="BD1306" s="46">
        <f>BC1306*IF(B1306&gt;=in_marketplace_from,d_hz_choti*G1306,0)</f>
        <v/>
      </c>
      <c r="BE1306" s="14">
        <f>F1306*SUMIFS(BD1304:BD1335,B1304:B1335,B1306-in_choti_months)*in_choti_renew*in_choti_ticket</f>
        <v/>
      </c>
      <c r="BF1306" s="40">
        <f>BF1305*(1-IF(B1305&gt;=in_marketplace_from,d_hz_nps*G1305,0))</f>
        <v/>
      </c>
      <c r="BG1306" s="14">
        <f>F1306*BF1306*IF(B1306&gt;=in_marketplace_from,d_hz_nps*G1306,0)*in_nps_ticket*in_nps_comm</f>
        <v/>
      </c>
      <c r="BH1306" s="40">
        <f>BH1305*(1-IF(B1305&gt;=in_marketplace_from,d_hz_gold*G1305,0))</f>
        <v/>
      </c>
      <c r="BI1306" s="40">
        <f>BI1305*d_rho_gold+BH1306*IF(B1306&gt;=in_marketplace_from,d_hz_gold*G1306,0)</f>
        <v/>
      </c>
      <c r="BJ1306" s="14">
        <f>F1306*BI1306*in_gold_ticket*in_gold_comm</f>
        <v/>
      </c>
      <c r="BK1306" s="40">
        <f>BK1305*(1-IF(B1305&gt;=in_marketplace_from,d_hz_fd*G1305,0))</f>
        <v/>
      </c>
      <c r="BL1306" s="14">
        <f>F1306*BK1306*IF(B1306&gt;=in_marketplace_from,d_hz_fd*G1306,0)*in_fd_ticket*in_fd_comm</f>
        <v/>
      </c>
      <c r="BM1306" s="40">
        <f>BM1305*(1-IF(B1305&gt;=in_marketplace_from,d_hz_recharge*G1305,0))</f>
        <v/>
      </c>
      <c r="BN1306" s="40">
        <f>BN1305*d_rho_recharge+BM1306*IF(B1306&gt;=in_marketplace_from,d_hz_recharge*G1306,0)</f>
        <v/>
      </c>
      <c r="BO1306" s="14">
        <f>F1306*BN1306*in_recharge_ticket*in_recharge_comm/12</f>
        <v/>
      </c>
      <c r="BP1306" s="40">
        <f>BP1305*(1-IF(B1305&gt;=in_marketplace_from,d_hz_bills*G1305,0))</f>
        <v/>
      </c>
      <c r="BQ1306" s="40">
        <f>BQ1305*d_rho_bills+BP1306*IF(B1306&gt;=in_marketplace_from,d_hz_bills*G1306,0)</f>
        <v/>
      </c>
      <c r="BR1306" s="14">
        <f>F1306*BQ1306*in_bills_ticket*in_bills_comm/12</f>
        <v/>
      </c>
      <c r="BS1306" s="40">
        <f>BS1305*(1-IF(B1305&gt;=in_marketplace_from,d_hz_loan_gold*G1305,0))</f>
        <v/>
      </c>
      <c r="BT1306" s="14">
        <f>F1306*BS1306*IF(B1306&gt;=in_marketplace_from,d_hz_loan_gold*G1306,0)*in_loan_gold_ticket*in_loan_gold_comm</f>
        <v/>
      </c>
      <c r="BU1306" s="40">
        <f>BU1305*(1-IF(B1305&gt;=in_marketplace_from,d_hz_loan_cd*G1305,0))</f>
        <v/>
      </c>
      <c r="BV1306" s="14">
        <f>F1306*BU1306*IF(B1306&gt;=in_marketplace_from,d_hz_loan_cd*G1306,0)*in_loan_cd_ticket*in_loan_cd_comm</f>
        <v/>
      </c>
      <c r="BW1306" s="40">
        <f>BW1305*(1-IF(B1305&gt;=in_marketplace_from,d_hz_loan_vehicle*G1305,0))</f>
        <v/>
      </c>
      <c r="BX1306" s="14">
        <f>F1306*BW1306*IF(B1306&gt;=in_marketplace_from,d_hz_loan_vehicle*G1306,0)*in_loan_vehicle_ticket*in_loan_vehicle_comm</f>
        <v/>
      </c>
      <c r="BY1306" s="40">
        <f>BY1305*(1-IF(B1305&gt;=in_marketplace_from,d_hz_loan_home*G1305,0)*BZ1305)</f>
        <v/>
      </c>
      <c r="BZ1306" s="11">
        <f>MIN(in_approval_cap,in_loan_home_approval*INDEX('Age profile'!$O$2:$O$61,B1306)*(1+in_approval_growth)^(D1306-1))</f>
        <v/>
      </c>
      <c r="CA1306" s="14">
        <f>F1306*BY1306*IF(B1306&gt;=in_marketplace_from,d_hz_loan_home*G1306,0)*BZ1306*in_loan_home_ticket*in_loan_home_comm</f>
        <v/>
      </c>
      <c r="CB1306" s="40">
        <f>CB1305*(1-IF(B1305&gt;=in_marketplace_from,d_hz_loan_lap*G1305,0)*CC1305)</f>
        <v/>
      </c>
      <c r="CC1306" s="11">
        <f>MIN(in_approval_cap,in_loan_lap_approval*INDEX('Age profile'!$O$2:$O$61,B1306)*(1+in_approval_growth)^(D1306-1))</f>
        <v/>
      </c>
      <c r="CD1306" s="14">
        <f>F1306*CB1306*IF(B1306&gt;=in_marketplace_from,d_hz_loan_lap*G1306,0)*CC1306*in_loan_lap_ticket*in_loan_lap_comm</f>
        <v/>
      </c>
      <c r="CE1306" s="14">
        <f>AA1306+AB1306+AC1306+AD1306+AG1306+AJ1306+AM1306+AP1306+AS1306+AU1306+AX1306+BB1306+BE1306+BG1306+BJ1306+BL1306+BO1306+BR1306+BT1306+BV1306+BX1306+CA1306+CD1306</f>
        <v/>
      </c>
    </row>
    <row r="1307">
      <c r="A1307" s="39" t="n">
        <v>29</v>
      </c>
      <c r="B1307" s="39" t="n">
        <v>4</v>
      </c>
      <c r="C1307" s="39">
        <f>A1307+B1307-1</f>
        <v/>
      </c>
      <c r="D1307" s="39">
        <f>INT((C1307-1)/12)+1</f>
        <v/>
      </c>
      <c r="E1307" s="44">
        <f>INDEX(Monthly!$B$2:$B$61,A1307)</f>
        <v/>
      </c>
      <c r="F1307" s="44">
        <f>E1307*INDEX('Age profile'!$B$2:$B$61,B1307)</f>
        <v/>
      </c>
      <c r="G1307" s="45">
        <f>MIN(in_takeup_cap,INDEX('Age profile'!$N$2:$N$61,B1307)*(1+in_takeup_growth)^(D1307-1))</f>
        <v/>
      </c>
      <c r="H1307" s="11">
        <f>MIN(in_approval_cap,in_approved_first*INDEX('Age profile'!$O$2:$O$61,B1307)*(1+in_approval_growth)^(D1307-1))</f>
        <v/>
      </c>
      <c r="I1307" s="45">
        <f>G1307*MIN(in_takeup_cap,INDEX('Age profile'!$O$2:$O$61,B1307)*(1+in_approval_growth)^(D1307-1))</f>
        <v/>
      </c>
      <c r="J1307" s="40">
        <f>(J1306-L1306)*F1307/F1306</f>
        <v/>
      </c>
      <c r="K1307" s="40">
        <f>(K1306-M1306)*F1307/F1306+SUMIFS(O1304:O1306,B1304:B1306,B1307-1-d_T)*F1307</f>
        <v/>
      </c>
      <c r="L1307" s="40">
        <f>IF(B1307&gt;=in_marketplace_from,J1307*d_hz*G1307*in_eligible*H1307,0)</f>
        <v/>
      </c>
      <c r="M1307" s="40">
        <f>IF(B1307&gt;=in_marketplace_from,K1307*d_hz*G1307*in_eligible*in_approved_repeat,0)</f>
        <v/>
      </c>
      <c r="N1307" s="40">
        <f>L1307+M1307</f>
        <v/>
      </c>
      <c r="O1307" s="46">
        <f>N1307/F1307</f>
        <v/>
      </c>
      <c r="P1307" s="40">
        <f>F1307-J1307-K1307</f>
        <v/>
      </c>
      <c r="Q1307" s="40">
        <f>IF(B1307&gt;=in_marketplace_from,(J1307+K1307)*d_hz*G1307,0)</f>
        <v/>
      </c>
      <c r="R1307" s="40">
        <f>SUMIFS(N1304:N1335,B1304:B1335,"&gt;="&amp;(B1307-d_T),B1304:B1335,"&lt;="&amp;(B1307-1))</f>
        <v/>
      </c>
      <c r="S1307" s="46">
        <f>(1-d_u)*S1306+IF(d_T&gt;in_topup_lag,SUMIFS(O1304:O1335,B1304:B1335,B1307-in_topup_lag)-d_udrop*SUMIFS(O1304:O1335,B1304:B1335,B1307-d_T),0)</f>
        <v/>
      </c>
      <c r="T1307" s="40">
        <f>F1307*d_u*S1307</f>
        <v/>
      </c>
      <c r="U1307" s="9">
        <f>L1307*in_ticket+M1307*d_rep_ticket</f>
        <v/>
      </c>
      <c r="V1307" s="9">
        <f>U1307+T1307*d_topup_amt</f>
        <v/>
      </c>
      <c r="W1307" s="40">
        <f>N1307+T1307*d_topup_ratio</f>
        <v/>
      </c>
      <c r="X1307" s="40">
        <f>SUMIFS(W1304:W1335,B1304:B1335,B1307-in_dpd_lag)*d_cured</f>
        <v/>
      </c>
      <c r="Y1307" s="40">
        <f>SUMIFS(W1304:W1335,B1304:B1335,B1307-in_rec_lag)*d_recd</f>
        <v/>
      </c>
      <c r="Z1307" s="40">
        <f>IF(AND(B1307&gt;=in_marketplace_from,B1307&lt;in_marketplace_from+in_card_months),in_card_share/in_card_months*F1307*I1307,IF(AND(B1307&gt;=in_marketplace_from+in_card_months,B1307&lt;in_marketplace_from+2*in_card_months),in_card_share*d_card_rem/in_card_months*F1307*MIN(in_takeup_cap,(1+in_takeup_growth)^(D1307-1))*MIN(in_takeup_cap,(1+in_approval_growth)^(D1307-1)),0))</f>
        <v/>
      </c>
      <c r="AA1307" s="14">
        <f>V1307*in_fee*(1-in_taken_back)</f>
        <v/>
      </c>
      <c r="AB1307" s="14">
        <f>SUMIFS(W1304:W1335,B1304:B1335,B1307-in_dpd_lag)*d_dpd</f>
        <v/>
      </c>
      <c r="AC1307" s="14">
        <f>SUMIFS(W1304:W1335,B1304:B1335,B1307-in_rec_lag)*d_rec</f>
        <v/>
      </c>
      <c r="AD1307" s="14">
        <f>Z1307*in_card_fee</f>
        <v/>
      </c>
      <c r="AE1307" s="40">
        <f>AE1306*(1-IF(B1306&gt;=in_marketplace_from,d_hz_hlth_small*G1306,0))</f>
        <v/>
      </c>
      <c r="AF1307" s="46">
        <f>AE1307*IF(B1307&gt;=in_marketplace_from,d_hz_hlth_small*G1307,0)</f>
        <v/>
      </c>
      <c r="AG1307" s="14">
        <f>F1307*AF1307*in_hlth_small_ticket*in_hlth_small_comm*in_ins_partner_share+F1307*in_hlth_small_ticket*in_hlth_small_renew_comm*in_ins_partner_share*(in_hlth_small_renew^1*SUMIFS(AF1304:AF1335,B1304:B1335,B1307-12)+in_hlth_small_renew^2*SUMIFS(AF1304:AF1335,B1304:B1335,B1307-24)+in_hlth_small_renew^3*SUMIFS(AF1304:AF1335,B1304:B1335,B1307-36)+in_hlth_small_renew^4*SUMIFS(AF1304:AF1335,B1304:B1335,B1307-48))</f>
        <v/>
      </c>
      <c r="AH1307" s="40">
        <f>AH1306*(1-IF(B1306&gt;=in_marketplace_from,d_hz_hlth_family*G1306,0))</f>
        <v/>
      </c>
      <c r="AI1307" s="46">
        <f>AH1307*IF(B1307&gt;=in_marketplace_from,d_hz_hlth_family*G1307,0)</f>
        <v/>
      </c>
      <c r="AJ1307" s="14">
        <f>F1307*AI1307*in_hlth_family_ticket*in_hlth_family_comm*in_ins_partner_share+F1307*in_hlth_family_ticket*in_hlth_family_renew_comm*in_ins_partner_share*(in_hlth_family_renew^1*SUMIFS(AI1304:AI1335,B1304:B1335,B1307-12)+in_hlth_family_renew^2*SUMIFS(AI1304:AI1335,B1304:B1335,B1307-24)+in_hlth_family_renew^3*SUMIFS(AI1304:AI1335,B1304:B1335,B1307-36)+in_hlth_family_renew^4*SUMIFS(AI1304:AI1335,B1304:B1335,B1307-48))</f>
        <v/>
      </c>
      <c r="AK1307" s="40">
        <f>AK1306*(1-IF(B1306&gt;=in_marketplace_from,d_hz_life_term*G1306,0))</f>
        <v/>
      </c>
      <c r="AL1307" s="46">
        <f>AK1307*IF(B1307&gt;=in_marketplace_from,d_hz_life_term*G1307,0)</f>
        <v/>
      </c>
      <c r="AM1307" s="14">
        <f>F1307*AL1307*in_life_term_ticket*in_life_term_comm*in_ins_partner_share+F1307*in_life_term_ticket*in_life_term_renew_comm*in_ins_partner_share*(in_life_term_renew^1*SUMIFS(AL1304:AL1335,B1304:B1335,B1307-12)+in_life_term_renew^2*SUMIFS(AL1304:AL1335,B1304:B1335,B1307-24)+in_life_term_renew^3*SUMIFS(AL1304:AL1335,B1304:B1335,B1307-36)+in_life_term_renew^4*SUMIFS(AL1304:AL1335,B1304:B1335,B1307-48))</f>
        <v/>
      </c>
      <c r="AN1307" s="40">
        <f>AN1306*(1-IF(B1306&gt;=in_marketplace_from,d_hz_accident*G1306,0))</f>
        <v/>
      </c>
      <c r="AO1307" s="46">
        <f>AN1307*IF(B1307&gt;=in_marketplace_from,d_hz_accident*G1307,0)</f>
        <v/>
      </c>
      <c r="AP1307" s="14">
        <f>F1307*AO1307*in_accident_ticket*in_accident_comm*in_ins_partner_share+F1307*in_accident_ticket*in_accident_renew_comm*in_ins_partner_share*(in_accident_renew^1*SUMIFS(AO1304:AO1335,B1304:B1335,B1307-12)+in_accident_renew^2*SUMIFS(AO1304:AO1335,B1304:B1335,B1307-24)+in_accident_renew^3*SUMIFS(AO1304:AO1335,B1304:B1335,B1307-36)+in_accident_renew^4*SUMIFS(AO1304:AO1335,B1304:B1335,B1307-48))</f>
        <v/>
      </c>
      <c r="AQ1307" s="40">
        <f>AQ1306*(1-IF(B1306&gt;=in_marketplace_from,d_hz_two_wheeler*G1306,0))</f>
        <v/>
      </c>
      <c r="AR1307" s="46">
        <f>AQ1307*IF(B1307&gt;=in_marketplace_from,d_hz_two_wheeler*G1307,0)</f>
        <v/>
      </c>
      <c r="AS1307" s="14">
        <f>F1307*AR1307*in_two_wheeler_ticket*in_two_wheeler_comm*in_ins_partner_share+F1307*in_two_wheeler_ticket*in_two_wheeler_comm*in_ins_partner_share*(in_two_wheeler_renew^1*SUMIFS(AR1304:AR1335,B1304:B1335,B1307-12)+in_two_wheeler_renew^2*SUMIFS(AR1304:AR1335,B1304:B1335,B1307-24)+in_two_wheeler_renew^3*SUMIFS(AR1304:AR1335,B1304:B1335,B1307-36)+in_two_wheeler_renew^4*SUMIFS(AR1304:AR1335,B1304:B1335,B1307-48))</f>
        <v/>
      </c>
      <c r="AT1307" s="40">
        <f>AT1306*(1-IF(B1306&gt;=in_marketplace_from,d_hz_device*G1306,0))</f>
        <v/>
      </c>
      <c r="AU1307" s="14">
        <f>F1307*AT1307*IF(B1307&gt;=in_marketplace_from,d_hz_device*G1307,0)*in_device_ticket*in_device_comm*in_ins_partner_share</f>
        <v/>
      </c>
      <c r="AV1307" s="40">
        <f>AV1306*(1-IF(B1306&gt;=in_marketplace_from,d_hz_shop*G1306,0))</f>
        <v/>
      </c>
      <c r="AW1307" s="46">
        <f>AV1307*IF(B1307&gt;=in_marketplace_from,d_hz_shop*G1307,0)</f>
        <v/>
      </c>
      <c r="AX1307" s="14">
        <f>F1307*AW1307*in_shop_ticket*in_shop_comm*in_ins_partner_share+F1307*in_shop_ticket*in_shop_renew_comm*in_ins_partner_share*(in_shop_renew^1*SUMIFS(AW1304:AW1335,B1304:B1335,B1307-12)+in_shop_renew^2*SUMIFS(AW1304:AW1335,B1304:B1335,B1307-24)+in_shop_renew^3*SUMIFS(AW1304:AW1335,B1304:B1335,B1307-36)+in_shop_renew^4*SUMIFS(AW1304:AW1335,B1304:B1335,B1307-48))</f>
        <v/>
      </c>
      <c r="AY1307" s="40">
        <f>AY1306*(1-IF(B1306&gt;=in_marketplace_from,d_hz_sip*G1306,0))</f>
        <v/>
      </c>
      <c r="AZ1307" s="40">
        <f>AZ1306*d_rho_sip+AY1307*IF(B1307&gt;=in_marketplace_from,d_hz_sip*G1307,0)</f>
        <v/>
      </c>
      <c r="BA1307" s="40">
        <f>d_rho_sip*(BA1306+AZ1306)</f>
        <v/>
      </c>
      <c r="BB1307" s="14">
        <f>F1307*in_sip_ticket*(BA1307+0.5*AZ1307)*in_sip_comm/12</f>
        <v/>
      </c>
      <c r="BC1307" s="40">
        <f>BC1306*(1-IF(B1306&gt;=in_marketplace_from,d_hz_choti*G1306,0))</f>
        <v/>
      </c>
      <c r="BD1307" s="46">
        <f>BC1307*IF(B1307&gt;=in_marketplace_from,d_hz_choti*G1307,0)</f>
        <v/>
      </c>
      <c r="BE1307" s="14">
        <f>F1307*SUMIFS(BD1304:BD1335,B1304:B1335,B1307-in_choti_months)*in_choti_renew*in_choti_ticket</f>
        <v/>
      </c>
      <c r="BF1307" s="40">
        <f>BF1306*(1-IF(B1306&gt;=in_marketplace_from,d_hz_nps*G1306,0))</f>
        <v/>
      </c>
      <c r="BG1307" s="14">
        <f>F1307*BF1307*IF(B1307&gt;=in_marketplace_from,d_hz_nps*G1307,0)*in_nps_ticket*in_nps_comm</f>
        <v/>
      </c>
      <c r="BH1307" s="40">
        <f>BH1306*(1-IF(B1306&gt;=in_marketplace_from,d_hz_gold*G1306,0))</f>
        <v/>
      </c>
      <c r="BI1307" s="40">
        <f>BI1306*d_rho_gold+BH1307*IF(B1307&gt;=in_marketplace_from,d_hz_gold*G1307,0)</f>
        <v/>
      </c>
      <c r="BJ1307" s="14">
        <f>F1307*BI1307*in_gold_ticket*in_gold_comm</f>
        <v/>
      </c>
      <c r="BK1307" s="40">
        <f>BK1306*(1-IF(B1306&gt;=in_marketplace_from,d_hz_fd*G1306,0))</f>
        <v/>
      </c>
      <c r="BL1307" s="14">
        <f>F1307*BK1307*IF(B1307&gt;=in_marketplace_from,d_hz_fd*G1307,0)*in_fd_ticket*in_fd_comm</f>
        <v/>
      </c>
      <c r="BM1307" s="40">
        <f>BM1306*(1-IF(B1306&gt;=in_marketplace_from,d_hz_recharge*G1306,0))</f>
        <v/>
      </c>
      <c r="BN1307" s="40">
        <f>BN1306*d_rho_recharge+BM1307*IF(B1307&gt;=in_marketplace_from,d_hz_recharge*G1307,0)</f>
        <v/>
      </c>
      <c r="BO1307" s="14">
        <f>F1307*BN1307*in_recharge_ticket*in_recharge_comm/12</f>
        <v/>
      </c>
      <c r="BP1307" s="40">
        <f>BP1306*(1-IF(B1306&gt;=in_marketplace_from,d_hz_bills*G1306,0))</f>
        <v/>
      </c>
      <c r="BQ1307" s="40">
        <f>BQ1306*d_rho_bills+BP1307*IF(B1307&gt;=in_marketplace_from,d_hz_bills*G1307,0)</f>
        <v/>
      </c>
      <c r="BR1307" s="14">
        <f>F1307*BQ1307*in_bills_ticket*in_bills_comm/12</f>
        <v/>
      </c>
      <c r="BS1307" s="40">
        <f>BS1306*(1-IF(B1306&gt;=in_marketplace_from,d_hz_loan_gold*G1306,0))</f>
        <v/>
      </c>
      <c r="BT1307" s="14">
        <f>F1307*BS1307*IF(B1307&gt;=in_marketplace_from,d_hz_loan_gold*G1307,0)*in_loan_gold_ticket*in_loan_gold_comm</f>
        <v/>
      </c>
      <c r="BU1307" s="40">
        <f>BU1306*(1-IF(B1306&gt;=in_marketplace_from,d_hz_loan_cd*G1306,0))</f>
        <v/>
      </c>
      <c r="BV1307" s="14">
        <f>F1307*BU1307*IF(B1307&gt;=in_marketplace_from,d_hz_loan_cd*G1307,0)*in_loan_cd_ticket*in_loan_cd_comm</f>
        <v/>
      </c>
      <c r="BW1307" s="40">
        <f>BW1306*(1-IF(B1306&gt;=in_marketplace_from,d_hz_loan_vehicle*G1306,0))</f>
        <v/>
      </c>
      <c r="BX1307" s="14">
        <f>F1307*BW1307*IF(B1307&gt;=in_marketplace_from,d_hz_loan_vehicle*G1307,0)*in_loan_vehicle_ticket*in_loan_vehicle_comm</f>
        <v/>
      </c>
      <c r="BY1307" s="40">
        <f>BY1306*(1-IF(B1306&gt;=in_marketplace_from,d_hz_loan_home*G1306,0)*BZ1306)</f>
        <v/>
      </c>
      <c r="BZ1307" s="11">
        <f>MIN(in_approval_cap,in_loan_home_approval*INDEX('Age profile'!$O$2:$O$61,B1307)*(1+in_approval_growth)^(D1307-1))</f>
        <v/>
      </c>
      <c r="CA1307" s="14">
        <f>F1307*BY1307*IF(B1307&gt;=in_marketplace_from,d_hz_loan_home*G1307,0)*BZ1307*in_loan_home_ticket*in_loan_home_comm</f>
        <v/>
      </c>
      <c r="CB1307" s="40">
        <f>CB1306*(1-IF(B1306&gt;=in_marketplace_from,d_hz_loan_lap*G1306,0)*CC1306)</f>
        <v/>
      </c>
      <c r="CC1307" s="11">
        <f>MIN(in_approval_cap,in_loan_lap_approval*INDEX('Age profile'!$O$2:$O$61,B1307)*(1+in_approval_growth)^(D1307-1))</f>
        <v/>
      </c>
      <c r="CD1307" s="14">
        <f>F1307*CB1307*IF(B1307&gt;=in_marketplace_from,d_hz_loan_lap*G1307,0)*CC1307*in_loan_lap_ticket*in_loan_lap_comm</f>
        <v/>
      </c>
      <c r="CE1307" s="14">
        <f>AA1307+AB1307+AC1307+AD1307+AG1307+AJ1307+AM1307+AP1307+AS1307+AU1307+AX1307+BB1307+BE1307+BG1307+BJ1307+BL1307+BO1307+BR1307+BT1307+BV1307+BX1307+CA1307+CD1307</f>
        <v/>
      </c>
    </row>
    <row r="1308">
      <c r="A1308" s="39" t="n">
        <v>29</v>
      </c>
      <c r="B1308" s="39" t="n">
        <v>5</v>
      </c>
      <c r="C1308" s="39">
        <f>A1308+B1308-1</f>
        <v/>
      </c>
      <c r="D1308" s="39">
        <f>INT((C1308-1)/12)+1</f>
        <v/>
      </c>
      <c r="E1308" s="44">
        <f>INDEX(Monthly!$B$2:$B$61,A1308)</f>
        <v/>
      </c>
      <c r="F1308" s="44">
        <f>E1308*INDEX('Age profile'!$B$2:$B$61,B1308)</f>
        <v/>
      </c>
      <c r="G1308" s="45">
        <f>MIN(in_takeup_cap,INDEX('Age profile'!$N$2:$N$61,B1308)*(1+in_takeup_growth)^(D1308-1))</f>
        <v/>
      </c>
      <c r="H1308" s="11">
        <f>MIN(in_approval_cap,in_approved_first*INDEX('Age profile'!$O$2:$O$61,B1308)*(1+in_approval_growth)^(D1308-1))</f>
        <v/>
      </c>
      <c r="I1308" s="45">
        <f>G1308*MIN(in_takeup_cap,INDEX('Age profile'!$O$2:$O$61,B1308)*(1+in_approval_growth)^(D1308-1))</f>
        <v/>
      </c>
      <c r="J1308" s="40">
        <f>(J1307-L1307)*F1308/F1307</f>
        <v/>
      </c>
      <c r="K1308" s="40">
        <f>(K1307-M1307)*F1308/F1307+SUMIFS(O1304:O1307,B1304:B1307,B1308-1-d_T)*F1308</f>
        <v/>
      </c>
      <c r="L1308" s="40">
        <f>IF(B1308&gt;=in_marketplace_from,J1308*d_hz*G1308*in_eligible*H1308,0)</f>
        <v/>
      </c>
      <c r="M1308" s="40">
        <f>IF(B1308&gt;=in_marketplace_from,K1308*d_hz*G1308*in_eligible*in_approved_repeat,0)</f>
        <v/>
      </c>
      <c r="N1308" s="40">
        <f>L1308+M1308</f>
        <v/>
      </c>
      <c r="O1308" s="46">
        <f>N1308/F1308</f>
        <v/>
      </c>
      <c r="P1308" s="40">
        <f>F1308-J1308-K1308</f>
        <v/>
      </c>
      <c r="Q1308" s="40">
        <f>IF(B1308&gt;=in_marketplace_from,(J1308+K1308)*d_hz*G1308,0)</f>
        <v/>
      </c>
      <c r="R1308" s="40">
        <f>SUMIFS(N1304:N1335,B1304:B1335,"&gt;="&amp;(B1308-d_T),B1304:B1335,"&lt;="&amp;(B1308-1))</f>
        <v/>
      </c>
      <c r="S1308" s="46">
        <f>(1-d_u)*S1307+IF(d_T&gt;in_topup_lag,SUMIFS(O1304:O1335,B1304:B1335,B1308-in_topup_lag)-d_udrop*SUMIFS(O1304:O1335,B1304:B1335,B1308-d_T),0)</f>
        <v/>
      </c>
      <c r="T1308" s="40">
        <f>F1308*d_u*S1308</f>
        <v/>
      </c>
      <c r="U1308" s="9">
        <f>L1308*in_ticket+M1308*d_rep_ticket</f>
        <v/>
      </c>
      <c r="V1308" s="9">
        <f>U1308+T1308*d_topup_amt</f>
        <v/>
      </c>
      <c r="W1308" s="40">
        <f>N1308+T1308*d_topup_ratio</f>
        <v/>
      </c>
      <c r="X1308" s="40">
        <f>SUMIFS(W1304:W1335,B1304:B1335,B1308-in_dpd_lag)*d_cured</f>
        <v/>
      </c>
      <c r="Y1308" s="40">
        <f>SUMIFS(W1304:W1335,B1304:B1335,B1308-in_rec_lag)*d_recd</f>
        <v/>
      </c>
      <c r="Z1308" s="40">
        <f>IF(AND(B1308&gt;=in_marketplace_from,B1308&lt;in_marketplace_from+in_card_months),in_card_share/in_card_months*F1308*I1308,IF(AND(B1308&gt;=in_marketplace_from+in_card_months,B1308&lt;in_marketplace_from+2*in_card_months),in_card_share*d_card_rem/in_card_months*F1308*MIN(in_takeup_cap,(1+in_takeup_growth)^(D1308-1))*MIN(in_takeup_cap,(1+in_approval_growth)^(D1308-1)),0))</f>
        <v/>
      </c>
      <c r="AA1308" s="14">
        <f>V1308*in_fee*(1-in_taken_back)</f>
        <v/>
      </c>
      <c r="AB1308" s="14">
        <f>SUMIFS(W1304:W1335,B1304:B1335,B1308-in_dpd_lag)*d_dpd</f>
        <v/>
      </c>
      <c r="AC1308" s="14">
        <f>SUMIFS(W1304:W1335,B1304:B1335,B1308-in_rec_lag)*d_rec</f>
        <v/>
      </c>
      <c r="AD1308" s="14">
        <f>Z1308*in_card_fee</f>
        <v/>
      </c>
      <c r="AE1308" s="40">
        <f>AE1307*(1-IF(B1307&gt;=in_marketplace_from,d_hz_hlth_small*G1307,0))</f>
        <v/>
      </c>
      <c r="AF1308" s="46">
        <f>AE1308*IF(B1308&gt;=in_marketplace_from,d_hz_hlth_small*G1308,0)</f>
        <v/>
      </c>
      <c r="AG1308" s="14">
        <f>F1308*AF1308*in_hlth_small_ticket*in_hlth_small_comm*in_ins_partner_share+F1308*in_hlth_small_ticket*in_hlth_small_renew_comm*in_ins_partner_share*(in_hlth_small_renew^1*SUMIFS(AF1304:AF1335,B1304:B1335,B1308-12)+in_hlth_small_renew^2*SUMIFS(AF1304:AF1335,B1304:B1335,B1308-24)+in_hlth_small_renew^3*SUMIFS(AF1304:AF1335,B1304:B1335,B1308-36)+in_hlth_small_renew^4*SUMIFS(AF1304:AF1335,B1304:B1335,B1308-48))</f>
        <v/>
      </c>
      <c r="AH1308" s="40">
        <f>AH1307*(1-IF(B1307&gt;=in_marketplace_from,d_hz_hlth_family*G1307,0))</f>
        <v/>
      </c>
      <c r="AI1308" s="46">
        <f>AH1308*IF(B1308&gt;=in_marketplace_from,d_hz_hlth_family*G1308,0)</f>
        <v/>
      </c>
      <c r="AJ1308" s="14">
        <f>F1308*AI1308*in_hlth_family_ticket*in_hlth_family_comm*in_ins_partner_share+F1308*in_hlth_family_ticket*in_hlth_family_renew_comm*in_ins_partner_share*(in_hlth_family_renew^1*SUMIFS(AI1304:AI1335,B1304:B1335,B1308-12)+in_hlth_family_renew^2*SUMIFS(AI1304:AI1335,B1304:B1335,B1308-24)+in_hlth_family_renew^3*SUMIFS(AI1304:AI1335,B1304:B1335,B1308-36)+in_hlth_family_renew^4*SUMIFS(AI1304:AI1335,B1304:B1335,B1308-48))</f>
        <v/>
      </c>
      <c r="AK1308" s="40">
        <f>AK1307*(1-IF(B1307&gt;=in_marketplace_from,d_hz_life_term*G1307,0))</f>
        <v/>
      </c>
      <c r="AL1308" s="46">
        <f>AK1308*IF(B1308&gt;=in_marketplace_from,d_hz_life_term*G1308,0)</f>
        <v/>
      </c>
      <c r="AM1308" s="14">
        <f>F1308*AL1308*in_life_term_ticket*in_life_term_comm*in_ins_partner_share+F1308*in_life_term_ticket*in_life_term_renew_comm*in_ins_partner_share*(in_life_term_renew^1*SUMIFS(AL1304:AL1335,B1304:B1335,B1308-12)+in_life_term_renew^2*SUMIFS(AL1304:AL1335,B1304:B1335,B1308-24)+in_life_term_renew^3*SUMIFS(AL1304:AL1335,B1304:B1335,B1308-36)+in_life_term_renew^4*SUMIFS(AL1304:AL1335,B1304:B1335,B1308-48))</f>
        <v/>
      </c>
      <c r="AN1308" s="40">
        <f>AN1307*(1-IF(B1307&gt;=in_marketplace_from,d_hz_accident*G1307,0))</f>
        <v/>
      </c>
      <c r="AO1308" s="46">
        <f>AN1308*IF(B1308&gt;=in_marketplace_from,d_hz_accident*G1308,0)</f>
        <v/>
      </c>
      <c r="AP1308" s="14">
        <f>F1308*AO1308*in_accident_ticket*in_accident_comm*in_ins_partner_share+F1308*in_accident_ticket*in_accident_renew_comm*in_ins_partner_share*(in_accident_renew^1*SUMIFS(AO1304:AO1335,B1304:B1335,B1308-12)+in_accident_renew^2*SUMIFS(AO1304:AO1335,B1304:B1335,B1308-24)+in_accident_renew^3*SUMIFS(AO1304:AO1335,B1304:B1335,B1308-36)+in_accident_renew^4*SUMIFS(AO1304:AO1335,B1304:B1335,B1308-48))</f>
        <v/>
      </c>
      <c r="AQ1308" s="40">
        <f>AQ1307*(1-IF(B1307&gt;=in_marketplace_from,d_hz_two_wheeler*G1307,0))</f>
        <v/>
      </c>
      <c r="AR1308" s="46">
        <f>AQ1308*IF(B1308&gt;=in_marketplace_from,d_hz_two_wheeler*G1308,0)</f>
        <v/>
      </c>
      <c r="AS1308" s="14">
        <f>F1308*AR1308*in_two_wheeler_ticket*in_two_wheeler_comm*in_ins_partner_share+F1308*in_two_wheeler_ticket*in_two_wheeler_comm*in_ins_partner_share*(in_two_wheeler_renew^1*SUMIFS(AR1304:AR1335,B1304:B1335,B1308-12)+in_two_wheeler_renew^2*SUMIFS(AR1304:AR1335,B1304:B1335,B1308-24)+in_two_wheeler_renew^3*SUMIFS(AR1304:AR1335,B1304:B1335,B1308-36)+in_two_wheeler_renew^4*SUMIFS(AR1304:AR1335,B1304:B1335,B1308-48))</f>
        <v/>
      </c>
      <c r="AT1308" s="40">
        <f>AT1307*(1-IF(B1307&gt;=in_marketplace_from,d_hz_device*G1307,0))</f>
        <v/>
      </c>
      <c r="AU1308" s="14">
        <f>F1308*AT1308*IF(B1308&gt;=in_marketplace_from,d_hz_device*G1308,0)*in_device_ticket*in_device_comm*in_ins_partner_share</f>
        <v/>
      </c>
      <c r="AV1308" s="40">
        <f>AV1307*(1-IF(B1307&gt;=in_marketplace_from,d_hz_shop*G1307,0))</f>
        <v/>
      </c>
      <c r="AW1308" s="46">
        <f>AV1308*IF(B1308&gt;=in_marketplace_from,d_hz_shop*G1308,0)</f>
        <v/>
      </c>
      <c r="AX1308" s="14">
        <f>F1308*AW1308*in_shop_ticket*in_shop_comm*in_ins_partner_share+F1308*in_shop_ticket*in_shop_renew_comm*in_ins_partner_share*(in_shop_renew^1*SUMIFS(AW1304:AW1335,B1304:B1335,B1308-12)+in_shop_renew^2*SUMIFS(AW1304:AW1335,B1304:B1335,B1308-24)+in_shop_renew^3*SUMIFS(AW1304:AW1335,B1304:B1335,B1308-36)+in_shop_renew^4*SUMIFS(AW1304:AW1335,B1304:B1335,B1308-48))</f>
        <v/>
      </c>
      <c r="AY1308" s="40">
        <f>AY1307*(1-IF(B1307&gt;=in_marketplace_from,d_hz_sip*G1307,0))</f>
        <v/>
      </c>
      <c r="AZ1308" s="40">
        <f>AZ1307*d_rho_sip+AY1308*IF(B1308&gt;=in_marketplace_from,d_hz_sip*G1308,0)</f>
        <v/>
      </c>
      <c r="BA1308" s="40">
        <f>d_rho_sip*(BA1307+AZ1307)</f>
        <v/>
      </c>
      <c r="BB1308" s="14">
        <f>F1308*in_sip_ticket*(BA1308+0.5*AZ1308)*in_sip_comm/12</f>
        <v/>
      </c>
      <c r="BC1308" s="40">
        <f>BC1307*(1-IF(B1307&gt;=in_marketplace_from,d_hz_choti*G1307,0))</f>
        <v/>
      </c>
      <c r="BD1308" s="46">
        <f>BC1308*IF(B1308&gt;=in_marketplace_from,d_hz_choti*G1308,0)</f>
        <v/>
      </c>
      <c r="BE1308" s="14">
        <f>F1308*SUMIFS(BD1304:BD1335,B1304:B1335,B1308-in_choti_months)*in_choti_renew*in_choti_ticket</f>
        <v/>
      </c>
      <c r="BF1308" s="40">
        <f>BF1307*(1-IF(B1307&gt;=in_marketplace_from,d_hz_nps*G1307,0))</f>
        <v/>
      </c>
      <c r="BG1308" s="14">
        <f>F1308*BF1308*IF(B1308&gt;=in_marketplace_from,d_hz_nps*G1308,0)*in_nps_ticket*in_nps_comm</f>
        <v/>
      </c>
      <c r="BH1308" s="40">
        <f>BH1307*(1-IF(B1307&gt;=in_marketplace_from,d_hz_gold*G1307,0))</f>
        <v/>
      </c>
      <c r="BI1308" s="40">
        <f>BI1307*d_rho_gold+BH1308*IF(B1308&gt;=in_marketplace_from,d_hz_gold*G1308,0)</f>
        <v/>
      </c>
      <c r="BJ1308" s="14">
        <f>F1308*BI1308*in_gold_ticket*in_gold_comm</f>
        <v/>
      </c>
      <c r="BK1308" s="40">
        <f>BK1307*(1-IF(B1307&gt;=in_marketplace_from,d_hz_fd*G1307,0))</f>
        <v/>
      </c>
      <c r="BL1308" s="14">
        <f>F1308*BK1308*IF(B1308&gt;=in_marketplace_from,d_hz_fd*G1308,0)*in_fd_ticket*in_fd_comm</f>
        <v/>
      </c>
      <c r="BM1308" s="40">
        <f>BM1307*(1-IF(B1307&gt;=in_marketplace_from,d_hz_recharge*G1307,0))</f>
        <v/>
      </c>
      <c r="BN1308" s="40">
        <f>BN1307*d_rho_recharge+BM1308*IF(B1308&gt;=in_marketplace_from,d_hz_recharge*G1308,0)</f>
        <v/>
      </c>
      <c r="BO1308" s="14">
        <f>F1308*BN1308*in_recharge_ticket*in_recharge_comm/12</f>
        <v/>
      </c>
      <c r="BP1308" s="40">
        <f>BP1307*(1-IF(B1307&gt;=in_marketplace_from,d_hz_bills*G1307,0))</f>
        <v/>
      </c>
      <c r="BQ1308" s="40">
        <f>BQ1307*d_rho_bills+BP1308*IF(B1308&gt;=in_marketplace_from,d_hz_bills*G1308,0)</f>
        <v/>
      </c>
      <c r="BR1308" s="14">
        <f>F1308*BQ1308*in_bills_ticket*in_bills_comm/12</f>
        <v/>
      </c>
      <c r="BS1308" s="40">
        <f>BS1307*(1-IF(B1307&gt;=in_marketplace_from,d_hz_loan_gold*G1307,0))</f>
        <v/>
      </c>
      <c r="BT1308" s="14">
        <f>F1308*BS1308*IF(B1308&gt;=in_marketplace_from,d_hz_loan_gold*G1308,0)*in_loan_gold_ticket*in_loan_gold_comm</f>
        <v/>
      </c>
      <c r="BU1308" s="40">
        <f>BU1307*(1-IF(B1307&gt;=in_marketplace_from,d_hz_loan_cd*G1307,0))</f>
        <v/>
      </c>
      <c r="BV1308" s="14">
        <f>F1308*BU1308*IF(B1308&gt;=in_marketplace_from,d_hz_loan_cd*G1308,0)*in_loan_cd_ticket*in_loan_cd_comm</f>
        <v/>
      </c>
      <c r="BW1308" s="40">
        <f>BW1307*(1-IF(B1307&gt;=in_marketplace_from,d_hz_loan_vehicle*G1307,0))</f>
        <v/>
      </c>
      <c r="BX1308" s="14">
        <f>F1308*BW1308*IF(B1308&gt;=in_marketplace_from,d_hz_loan_vehicle*G1308,0)*in_loan_vehicle_ticket*in_loan_vehicle_comm</f>
        <v/>
      </c>
      <c r="BY1308" s="40">
        <f>BY1307*(1-IF(B1307&gt;=in_marketplace_from,d_hz_loan_home*G1307,0)*BZ1307)</f>
        <v/>
      </c>
      <c r="BZ1308" s="11">
        <f>MIN(in_approval_cap,in_loan_home_approval*INDEX('Age profile'!$O$2:$O$61,B1308)*(1+in_approval_growth)^(D1308-1))</f>
        <v/>
      </c>
      <c r="CA1308" s="14">
        <f>F1308*BY1308*IF(B1308&gt;=in_marketplace_from,d_hz_loan_home*G1308,0)*BZ1308*in_loan_home_ticket*in_loan_home_comm</f>
        <v/>
      </c>
      <c r="CB1308" s="40">
        <f>CB1307*(1-IF(B1307&gt;=in_marketplace_from,d_hz_loan_lap*G1307,0)*CC1307)</f>
        <v/>
      </c>
      <c r="CC1308" s="11">
        <f>MIN(in_approval_cap,in_loan_lap_approval*INDEX('Age profile'!$O$2:$O$61,B1308)*(1+in_approval_growth)^(D1308-1))</f>
        <v/>
      </c>
      <c r="CD1308" s="14">
        <f>F1308*CB1308*IF(B1308&gt;=in_marketplace_from,d_hz_loan_lap*G1308,0)*CC1308*in_loan_lap_ticket*in_loan_lap_comm</f>
        <v/>
      </c>
      <c r="CE1308" s="14">
        <f>AA1308+AB1308+AC1308+AD1308+AG1308+AJ1308+AM1308+AP1308+AS1308+AU1308+AX1308+BB1308+BE1308+BG1308+BJ1308+BL1308+BO1308+BR1308+BT1308+BV1308+BX1308+CA1308+CD1308</f>
        <v/>
      </c>
    </row>
    <row r="1309">
      <c r="A1309" s="39" t="n">
        <v>29</v>
      </c>
      <c r="B1309" s="39" t="n">
        <v>6</v>
      </c>
      <c r="C1309" s="39">
        <f>A1309+B1309-1</f>
        <v/>
      </c>
      <c r="D1309" s="39">
        <f>INT((C1309-1)/12)+1</f>
        <v/>
      </c>
      <c r="E1309" s="44">
        <f>INDEX(Monthly!$B$2:$B$61,A1309)</f>
        <v/>
      </c>
      <c r="F1309" s="44">
        <f>E1309*INDEX('Age profile'!$B$2:$B$61,B1309)</f>
        <v/>
      </c>
      <c r="G1309" s="45">
        <f>MIN(in_takeup_cap,INDEX('Age profile'!$N$2:$N$61,B1309)*(1+in_takeup_growth)^(D1309-1))</f>
        <v/>
      </c>
      <c r="H1309" s="11">
        <f>MIN(in_approval_cap,in_approved_first*INDEX('Age profile'!$O$2:$O$61,B1309)*(1+in_approval_growth)^(D1309-1))</f>
        <v/>
      </c>
      <c r="I1309" s="45">
        <f>G1309*MIN(in_takeup_cap,INDEX('Age profile'!$O$2:$O$61,B1309)*(1+in_approval_growth)^(D1309-1))</f>
        <v/>
      </c>
      <c r="J1309" s="40">
        <f>(J1308-L1308)*F1309/F1308</f>
        <v/>
      </c>
      <c r="K1309" s="40">
        <f>(K1308-M1308)*F1309/F1308+SUMIFS(O1304:O1308,B1304:B1308,B1309-1-d_T)*F1309</f>
        <v/>
      </c>
      <c r="L1309" s="40">
        <f>IF(B1309&gt;=in_marketplace_from,J1309*d_hz*G1309*in_eligible*H1309,0)</f>
        <v/>
      </c>
      <c r="M1309" s="40">
        <f>IF(B1309&gt;=in_marketplace_from,K1309*d_hz*G1309*in_eligible*in_approved_repeat,0)</f>
        <v/>
      </c>
      <c r="N1309" s="40">
        <f>L1309+M1309</f>
        <v/>
      </c>
      <c r="O1309" s="46">
        <f>N1309/F1309</f>
        <v/>
      </c>
      <c r="P1309" s="40">
        <f>F1309-J1309-K1309</f>
        <v/>
      </c>
      <c r="Q1309" s="40">
        <f>IF(B1309&gt;=in_marketplace_from,(J1309+K1309)*d_hz*G1309,0)</f>
        <v/>
      </c>
      <c r="R1309" s="40">
        <f>SUMIFS(N1304:N1335,B1304:B1335,"&gt;="&amp;(B1309-d_T),B1304:B1335,"&lt;="&amp;(B1309-1))</f>
        <v/>
      </c>
      <c r="S1309" s="46">
        <f>(1-d_u)*S1308+IF(d_T&gt;in_topup_lag,SUMIFS(O1304:O1335,B1304:B1335,B1309-in_topup_lag)-d_udrop*SUMIFS(O1304:O1335,B1304:B1335,B1309-d_T),0)</f>
        <v/>
      </c>
      <c r="T1309" s="40">
        <f>F1309*d_u*S1309</f>
        <v/>
      </c>
      <c r="U1309" s="9">
        <f>L1309*in_ticket+M1309*d_rep_ticket</f>
        <v/>
      </c>
      <c r="V1309" s="9">
        <f>U1309+T1309*d_topup_amt</f>
        <v/>
      </c>
      <c r="W1309" s="40">
        <f>N1309+T1309*d_topup_ratio</f>
        <v/>
      </c>
      <c r="X1309" s="40">
        <f>SUMIFS(W1304:W1335,B1304:B1335,B1309-in_dpd_lag)*d_cured</f>
        <v/>
      </c>
      <c r="Y1309" s="40">
        <f>SUMIFS(W1304:W1335,B1304:B1335,B1309-in_rec_lag)*d_recd</f>
        <v/>
      </c>
      <c r="Z1309" s="40">
        <f>IF(AND(B1309&gt;=in_marketplace_from,B1309&lt;in_marketplace_from+in_card_months),in_card_share/in_card_months*F1309*I1309,IF(AND(B1309&gt;=in_marketplace_from+in_card_months,B1309&lt;in_marketplace_from+2*in_card_months),in_card_share*d_card_rem/in_card_months*F1309*MIN(in_takeup_cap,(1+in_takeup_growth)^(D1309-1))*MIN(in_takeup_cap,(1+in_approval_growth)^(D1309-1)),0))</f>
        <v/>
      </c>
      <c r="AA1309" s="14">
        <f>V1309*in_fee*(1-in_taken_back)</f>
        <v/>
      </c>
      <c r="AB1309" s="14">
        <f>SUMIFS(W1304:W1335,B1304:B1335,B1309-in_dpd_lag)*d_dpd</f>
        <v/>
      </c>
      <c r="AC1309" s="14">
        <f>SUMIFS(W1304:W1335,B1304:B1335,B1309-in_rec_lag)*d_rec</f>
        <v/>
      </c>
      <c r="AD1309" s="14">
        <f>Z1309*in_card_fee</f>
        <v/>
      </c>
      <c r="AE1309" s="40">
        <f>AE1308*(1-IF(B1308&gt;=in_marketplace_from,d_hz_hlth_small*G1308,0))</f>
        <v/>
      </c>
      <c r="AF1309" s="46">
        <f>AE1309*IF(B1309&gt;=in_marketplace_from,d_hz_hlth_small*G1309,0)</f>
        <v/>
      </c>
      <c r="AG1309" s="14">
        <f>F1309*AF1309*in_hlth_small_ticket*in_hlth_small_comm*in_ins_partner_share+F1309*in_hlth_small_ticket*in_hlth_small_renew_comm*in_ins_partner_share*(in_hlth_small_renew^1*SUMIFS(AF1304:AF1335,B1304:B1335,B1309-12)+in_hlth_small_renew^2*SUMIFS(AF1304:AF1335,B1304:B1335,B1309-24)+in_hlth_small_renew^3*SUMIFS(AF1304:AF1335,B1304:B1335,B1309-36)+in_hlth_small_renew^4*SUMIFS(AF1304:AF1335,B1304:B1335,B1309-48))</f>
        <v/>
      </c>
      <c r="AH1309" s="40">
        <f>AH1308*(1-IF(B1308&gt;=in_marketplace_from,d_hz_hlth_family*G1308,0))</f>
        <v/>
      </c>
      <c r="AI1309" s="46">
        <f>AH1309*IF(B1309&gt;=in_marketplace_from,d_hz_hlth_family*G1309,0)</f>
        <v/>
      </c>
      <c r="AJ1309" s="14">
        <f>F1309*AI1309*in_hlth_family_ticket*in_hlth_family_comm*in_ins_partner_share+F1309*in_hlth_family_ticket*in_hlth_family_renew_comm*in_ins_partner_share*(in_hlth_family_renew^1*SUMIFS(AI1304:AI1335,B1304:B1335,B1309-12)+in_hlth_family_renew^2*SUMIFS(AI1304:AI1335,B1304:B1335,B1309-24)+in_hlth_family_renew^3*SUMIFS(AI1304:AI1335,B1304:B1335,B1309-36)+in_hlth_family_renew^4*SUMIFS(AI1304:AI1335,B1304:B1335,B1309-48))</f>
        <v/>
      </c>
      <c r="AK1309" s="40">
        <f>AK1308*(1-IF(B1308&gt;=in_marketplace_from,d_hz_life_term*G1308,0))</f>
        <v/>
      </c>
      <c r="AL1309" s="46">
        <f>AK1309*IF(B1309&gt;=in_marketplace_from,d_hz_life_term*G1309,0)</f>
        <v/>
      </c>
      <c r="AM1309" s="14">
        <f>F1309*AL1309*in_life_term_ticket*in_life_term_comm*in_ins_partner_share+F1309*in_life_term_ticket*in_life_term_renew_comm*in_ins_partner_share*(in_life_term_renew^1*SUMIFS(AL1304:AL1335,B1304:B1335,B1309-12)+in_life_term_renew^2*SUMIFS(AL1304:AL1335,B1304:B1335,B1309-24)+in_life_term_renew^3*SUMIFS(AL1304:AL1335,B1304:B1335,B1309-36)+in_life_term_renew^4*SUMIFS(AL1304:AL1335,B1304:B1335,B1309-48))</f>
        <v/>
      </c>
      <c r="AN1309" s="40">
        <f>AN1308*(1-IF(B1308&gt;=in_marketplace_from,d_hz_accident*G1308,0))</f>
        <v/>
      </c>
      <c r="AO1309" s="46">
        <f>AN1309*IF(B1309&gt;=in_marketplace_from,d_hz_accident*G1309,0)</f>
        <v/>
      </c>
      <c r="AP1309" s="14">
        <f>F1309*AO1309*in_accident_ticket*in_accident_comm*in_ins_partner_share+F1309*in_accident_ticket*in_accident_renew_comm*in_ins_partner_share*(in_accident_renew^1*SUMIFS(AO1304:AO1335,B1304:B1335,B1309-12)+in_accident_renew^2*SUMIFS(AO1304:AO1335,B1304:B1335,B1309-24)+in_accident_renew^3*SUMIFS(AO1304:AO1335,B1304:B1335,B1309-36)+in_accident_renew^4*SUMIFS(AO1304:AO1335,B1304:B1335,B1309-48))</f>
        <v/>
      </c>
      <c r="AQ1309" s="40">
        <f>AQ1308*(1-IF(B1308&gt;=in_marketplace_from,d_hz_two_wheeler*G1308,0))</f>
        <v/>
      </c>
      <c r="AR1309" s="46">
        <f>AQ1309*IF(B1309&gt;=in_marketplace_from,d_hz_two_wheeler*G1309,0)</f>
        <v/>
      </c>
      <c r="AS1309" s="14">
        <f>F1309*AR1309*in_two_wheeler_ticket*in_two_wheeler_comm*in_ins_partner_share+F1309*in_two_wheeler_ticket*in_two_wheeler_comm*in_ins_partner_share*(in_two_wheeler_renew^1*SUMIFS(AR1304:AR1335,B1304:B1335,B1309-12)+in_two_wheeler_renew^2*SUMIFS(AR1304:AR1335,B1304:B1335,B1309-24)+in_two_wheeler_renew^3*SUMIFS(AR1304:AR1335,B1304:B1335,B1309-36)+in_two_wheeler_renew^4*SUMIFS(AR1304:AR1335,B1304:B1335,B1309-48))</f>
        <v/>
      </c>
      <c r="AT1309" s="40">
        <f>AT1308*(1-IF(B1308&gt;=in_marketplace_from,d_hz_device*G1308,0))</f>
        <v/>
      </c>
      <c r="AU1309" s="14">
        <f>F1309*AT1309*IF(B1309&gt;=in_marketplace_from,d_hz_device*G1309,0)*in_device_ticket*in_device_comm*in_ins_partner_share</f>
        <v/>
      </c>
      <c r="AV1309" s="40">
        <f>AV1308*(1-IF(B1308&gt;=in_marketplace_from,d_hz_shop*G1308,0))</f>
        <v/>
      </c>
      <c r="AW1309" s="46">
        <f>AV1309*IF(B1309&gt;=in_marketplace_from,d_hz_shop*G1309,0)</f>
        <v/>
      </c>
      <c r="AX1309" s="14">
        <f>F1309*AW1309*in_shop_ticket*in_shop_comm*in_ins_partner_share+F1309*in_shop_ticket*in_shop_renew_comm*in_ins_partner_share*(in_shop_renew^1*SUMIFS(AW1304:AW1335,B1304:B1335,B1309-12)+in_shop_renew^2*SUMIFS(AW1304:AW1335,B1304:B1335,B1309-24)+in_shop_renew^3*SUMIFS(AW1304:AW1335,B1304:B1335,B1309-36)+in_shop_renew^4*SUMIFS(AW1304:AW1335,B1304:B1335,B1309-48))</f>
        <v/>
      </c>
      <c r="AY1309" s="40">
        <f>AY1308*(1-IF(B1308&gt;=in_marketplace_from,d_hz_sip*G1308,0))</f>
        <v/>
      </c>
      <c r="AZ1309" s="40">
        <f>AZ1308*d_rho_sip+AY1309*IF(B1309&gt;=in_marketplace_from,d_hz_sip*G1309,0)</f>
        <v/>
      </c>
      <c r="BA1309" s="40">
        <f>d_rho_sip*(BA1308+AZ1308)</f>
        <v/>
      </c>
      <c r="BB1309" s="14">
        <f>F1309*in_sip_ticket*(BA1309+0.5*AZ1309)*in_sip_comm/12</f>
        <v/>
      </c>
      <c r="BC1309" s="40">
        <f>BC1308*(1-IF(B1308&gt;=in_marketplace_from,d_hz_choti*G1308,0))</f>
        <v/>
      </c>
      <c r="BD1309" s="46">
        <f>BC1309*IF(B1309&gt;=in_marketplace_from,d_hz_choti*G1309,0)</f>
        <v/>
      </c>
      <c r="BE1309" s="14">
        <f>F1309*SUMIFS(BD1304:BD1335,B1304:B1335,B1309-in_choti_months)*in_choti_renew*in_choti_ticket</f>
        <v/>
      </c>
      <c r="BF1309" s="40">
        <f>BF1308*(1-IF(B1308&gt;=in_marketplace_from,d_hz_nps*G1308,0))</f>
        <v/>
      </c>
      <c r="BG1309" s="14">
        <f>F1309*BF1309*IF(B1309&gt;=in_marketplace_from,d_hz_nps*G1309,0)*in_nps_ticket*in_nps_comm</f>
        <v/>
      </c>
      <c r="BH1309" s="40">
        <f>BH1308*(1-IF(B1308&gt;=in_marketplace_from,d_hz_gold*G1308,0))</f>
        <v/>
      </c>
      <c r="BI1309" s="40">
        <f>BI1308*d_rho_gold+BH1309*IF(B1309&gt;=in_marketplace_from,d_hz_gold*G1309,0)</f>
        <v/>
      </c>
      <c r="BJ1309" s="14">
        <f>F1309*BI1309*in_gold_ticket*in_gold_comm</f>
        <v/>
      </c>
      <c r="BK1309" s="40">
        <f>BK1308*(1-IF(B1308&gt;=in_marketplace_from,d_hz_fd*G1308,0))</f>
        <v/>
      </c>
      <c r="BL1309" s="14">
        <f>F1309*BK1309*IF(B1309&gt;=in_marketplace_from,d_hz_fd*G1309,0)*in_fd_ticket*in_fd_comm</f>
        <v/>
      </c>
      <c r="BM1309" s="40">
        <f>BM1308*(1-IF(B1308&gt;=in_marketplace_from,d_hz_recharge*G1308,0))</f>
        <v/>
      </c>
      <c r="BN1309" s="40">
        <f>BN1308*d_rho_recharge+BM1309*IF(B1309&gt;=in_marketplace_from,d_hz_recharge*G1309,0)</f>
        <v/>
      </c>
      <c r="BO1309" s="14">
        <f>F1309*BN1309*in_recharge_ticket*in_recharge_comm/12</f>
        <v/>
      </c>
      <c r="BP1309" s="40">
        <f>BP1308*(1-IF(B1308&gt;=in_marketplace_from,d_hz_bills*G1308,0))</f>
        <v/>
      </c>
      <c r="BQ1309" s="40">
        <f>BQ1308*d_rho_bills+BP1309*IF(B1309&gt;=in_marketplace_from,d_hz_bills*G1309,0)</f>
        <v/>
      </c>
      <c r="BR1309" s="14">
        <f>F1309*BQ1309*in_bills_ticket*in_bills_comm/12</f>
        <v/>
      </c>
      <c r="BS1309" s="40">
        <f>BS1308*(1-IF(B1308&gt;=in_marketplace_from,d_hz_loan_gold*G1308,0))</f>
        <v/>
      </c>
      <c r="BT1309" s="14">
        <f>F1309*BS1309*IF(B1309&gt;=in_marketplace_from,d_hz_loan_gold*G1309,0)*in_loan_gold_ticket*in_loan_gold_comm</f>
        <v/>
      </c>
      <c r="BU1309" s="40">
        <f>BU1308*(1-IF(B1308&gt;=in_marketplace_from,d_hz_loan_cd*G1308,0))</f>
        <v/>
      </c>
      <c r="BV1309" s="14">
        <f>F1309*BU1309*IF(B1309&gt;=in_marketplace_from,d_hz_loan_cd*G1309,0)*in_loan_cd_ticket*in_loan_cd_comm</f>
        <v/>
      </c>
      <c r="BW1309" s="40">
        <f>BW1308*(1-IF(B1308&gt;=in_marketplace_from,d_hz_loan_vehicle*G1308,0))</f>
        <v/>
      </c>
      <c r="BX1309" s="14">
        <f>F1309*BW1309*IF(B1309&gt;=in_marketplace_from,d_hz_loan_vehicle*G1309,0)*in_loan_vehicle_ticket*in_loan_vehicle_comm</f>
        <v/>
      </c>
      <c r="BY1309" s="40">
        <f>BY1308*(1-IF(B1308&gt;=in_marketplace_from,d_hz_loan_home*G1308,0)*BZ1308)</f>
        <v/>
      </c>
      <c r="BZ1309" s="11">
        <f>MIN(in_approval_cap,in_loan_home_approval*INDEX('Age profile'!$O$2:$O$61,B1309)*(1+in_approval_growth)^(D1309-1))</f>
        <v/>
      </c>
      <c r="CA1309" s="14">
        <f>F1309*BY1309*IF(B1309&gt;=in_marketplace_from,d_hz_loan_home*G1309,0)*BZ1309*in_loan_home_ticket*in_loan_home_comm</f>
        <v/>
      </c>
      <c r="CB1309" s="40">
        <f>CB1308*(1-IF(B1308&gt;=in_marketplace_from,d_hz_loan_lap*G1308,0)*CC1308)</f>
        <v/>
      </c>
      <c r="CC1309" s="11">
        <f>MIN(in_approval_cap,in_loan_lap_approval*INDEX('Age profile'!$O$2:$O$61,B1309)*(1+in_approval_growth)^(D1309-1))</f>
        <v/>
      </c>
      <c r="CD1309" s="14">
        <f>F1309*CB1309*IF(B1309&gt;=in_marketplace_from,d_hz_loan_lap*G1309,0)*CC1309*in_loan_lap_ticket*in_loan_lap_comm</f>
        <v/>
      </c>
      <c r="CE1309" s="14">
        <f>AA1309+AB1309+AC1309+AD1309+AG1309+AJ1309+AM1309+AP1309+AS1309+AU1309+AX1309+BB1309+BE1309+BG1309+BJ1309+BL1309+BO1309+BR1309+BT1309+BV1309+BX1309+CA1309+CD1309</f>
        <v/>
      </c>
    </row>
    <row r="1310">
      <c r="A1310" s="39" t="n">
        <v>29</v>
      </c>
      <c r="B1310" s="39" t="n">
        <v>7</v>
      </c>
      <c r="C1310" s="39">
        <f>A1310+B1310-1</f>
        <v/>
      </c>
      <c r="D1310" s="39">
        <f>INT((C1310-1)/12)+1</f>
        <v/>
      </c>
      <c r="E1310" s="44">
        <f>INDEX(Monthly!$B$2:$B$61,A1310)</f>
        <v/>
      </c>
      <c r="F1310" s="44">
        <f>E1310*INDEX('Age profile'!$B$2:$B$61,B1310)</f>
        <v/>
      </c>
      <c r="G1310" s="45">
        <f>MIN(in_takeup_cap,INDEX('Age profile'!$N$2:$N$61,B1310)*(1+in_takeup_growth)^(D1310-1))</f>
        <v/>
      </c>
      <c r="H1310" s="11">
        <f>MIN(in_approval_cap,in_approved_first*INDEX('Age profile'!$O$2:$O$61,B1310)*(1+in_approval_growth)^(D1310-1))</f>
        <v/>
      </c>
      <c r="I1310" s="45">
        <f>G1310*MIN(in_takeup_cap,INDEX('Age profile'!$O$2:$O$61,B1310)*(1+in_approval_growth)^(D1310-1))</f>
        <v/>
      </c>
      <c r="J1310" s="40">
        <f>(J1309-L1309)*F1310/F1309</f>
        <v/>
      </c>
      <c r="K1310" s="40">
        <f>(K1309-M1309)*F1310/F1309+SUMIFS(O1304:O1309,B1304:B1309,B1310-1-d_T)*F1310</f>
        <v/>
      </c>
      <c r="L1310" s="40">
        <f>IF(B1310&gt;=in_marketplace_from,J1310*d_hz*G1310*in_eligible*H1310,0)</f>
        <v/>
      </c>
      <c r="M1310" s="40">
        <f>IF(B1310&gt;=in_marketplace_from,K1310*d_hz*G1310*in_eligible*in_approved_repeat,0)</f>
        <v/>
      </c>
      <c r="N1310" s="40">
        <f>L1310+M1310</f>
        <v/>
      </c>
      <c r="O1310" s="46">
        <f>N1310/F1310</f>
        <v/>
      </c>
      <c r="P1310" s="40">
        <f>F1310-J1310-K1310</f>
        <v/>
      </c>
      <c r="Q1310" s="40">
        <f>IF(B1310&gt;=in_marketplace_from,(J1310+K1310)*d_hz*G1310,0)</f>
        <v/>
      </c>
      <c r="R1310" s="40">
        <f>SUMIFS(N1304:N1335,B1304:B1335,"&gt;="&amp;(B1310-d_T),B1304:B1335,"&lt;="&amp;(B1310-1))</f>
        <v/>
      </c>
      <c r="S1310" s="46">
        <f>(1-d_u)*S1309+IF(d_T&gt;in_topup_lag,SUMIFS(O1304:O1335,B1304:B1335,B1310-in_topup_lag)-d_udrop*SUMIFS(O1304:O1335,B1304:B1335,B1310-d_T),0)</f>
        <v/>
      </c>
      <c r="T1310" s="40">
        <f>F1310*d_u*S1310</f>
        <v/>
      </c>
      <c r="U1310" s="9">
        <f>L1310*in_ticket+M1310*d_rep_ticket</f>
        <v/>
      </c>
      <c r="V1310" s="9">
        <f>U1310+T1310*d_topup_amt</f>
        <v/>
      </c>
      <c r="W1310" s="40">
        <f>N1310+T1310*d_topup_ratio</f>
        <v/>
      </c>
      <c r="X1310" s="40">
        <f>SUMIFS(W1304:W1335,B1304:B1335,B1310-in_dpd_lag)*d_cured</f>
        <v/>
      </c>
      <c r="Y1310" s="40">
        <f>SUMIFS(W1304:W1335,B1304:B1335,B1310-in_rec_lag)*d_recd</f>
        <v/>
      </c>
      <c r="Z1310" s="40">
        <f>IF(AND(B1310&gt;=in_marketplace_from,B1310&lt;in_marketplace_from+in_card_months),in_card_share/in_card_months*F1310*I1310,IF(AND(B1310&gt;=in_marketplace_from+in_card_months,B1310&lt;in_marketplace_from+2*in_card_months),in_card_share*d_card_rem/in_card_months*F1310*MIN(in_takeup_cap,(1+in_takeup_growth)^(D1310-1))*MIN(in_takeup_cap,(1+in_approval_growth)^(D1310-1)),0))</f>
        <v/>
      </c>
      <c r="AA1310" s="14">
        <f>V1310*in_fee*(1-in_taken_back)</f>
        <v/>
      </c>
      <c r="AB1310" s="14">
        <f>SUMIFS(W1304:W1335,B1304:B1335,B1310-in_dpd_lag)*d_dpd</f>
        <v/>
      </c>
      <c r="AC1310" s="14">
        <f>SUMIFS(W1304:W1335,B1304:B1335,B1310-in_rec_lag)*d_rec</f>
        <v/>
      </c>
      <c r="AD1310" s="14">
        <f>Z1310*in_card_fee</f>
        <v/>
      </c>
      <c r="AE1310" s="40">
        <f>AE1309*(1-IF(B1309&gt;=in_marketplace_from,d_hz_hlth_small*G1309,0))</f>
        <v/>
      </c>
      <c r="AF1310" s="46">
        <f>AE1310*IF(B1310&gt;=in_marketplace_from,d_hz_hlth_small*G1310,0)</f>
        <v/>
      </c>
      <c r="AG1310" s="14">
        <f>F1310*AF1310*in_hlth_small_ticket*in_hlth_small_comm*in_ins_partner_share+F1310*in_hlth_small_ticket*in_hlth_small_renew_comm*in_ins_partner_share*(in_hlth_small_renew^1*SUMIFS(AF1304:AF1335,B1304:B1335,B1310-12)+in_hlth_small_renew^2*SUMIFS(AF1304:AF1335,B1304:B1335,B1310-24)+in_hlth_small_renew^3*SUMIFS(AF1304:AF1335,B1304:B1335,B1310-36)+in_hlth_small_renew^4*SUMIFS(AF1304:AF1335,B1304:B1335,B1310-48))</f>
        <v/>
      </c>
      <c r="AH1310" s="40">
        <f>AH1309*(1-IF(B1309&gt;=in_marketplace_from,d_hz_hlth_family*G1309,0))</f>
        <v/>
      </c>
      <c r="AI1310" s="46">
        <f>AH1310*IF(B1310&gt;=in_marketplace_from,d_hz_hlth_family*G1310,0)</f>
        <v/>
      </c>
      <c r="AJ1310" s="14">
        <f>F1310*AI1310*in_hlth_family_ticket*in_hlth_family_comm*in_ins_partner_share+F1310*in_hlth_family_ticket*in_hlth_family_renew_comm*in_ins_partner_share*(in_hlth_family_renew^1*SUMIFS(AI1304:AI1335,B1304:B1335,B1310-12)+in_hlth_family_renew^2*SUMIFS(AI1304:AI1335,B1304:B1335,B1310-24)+in_hlth_family_renew^3*SUMIFS(AI1304:AI1335,B1304:B1335,B1310-36)+in_hlth_family_renew^4*SUMIFS(AI1304:AI1335,B1304:B1335,B1310-48))</f>
        <v/>
      </c>
      <c r="AK1310" s="40">
        <f>AK1309*(1-IF(B1309&gt;=in_marketplace_from,d_hz_life_term*G1309,0))</f>
        <v/>
      </c>
      <c r="AL1310" s="46">
        <f>AK1310*IF(B1310&gt;=in_marketplace_from,d_hz_life_term*G1310,0)</f>
        <v/>
      </c>
      <c r="AM1310" s="14">
        <f>F1310*AL1310*in_life_term_ticket*in_life_term_comm*in_ins_partner_share+F1310*in_life_term_ticket*in_life_term_renew_comm*in_ins_partner_share*(in_life_term_renew^1*SUMIFS(AL1304:AL1335,B1304:B1335,B1310-12)+in_life_term_renew^2*SUMIFS(AL1304:AL1335,B1304:B1335,B1310-24)+in_life_term_renew^3*SUMIFS(AL1304:AL1335,B1304:B1335,B1310-36)+in_life_term_renew^4*SUMIFS(AL1304:AL1335,B1304:B1335,B1310-48))</f>
        <v/>
      </c>
      <c r="AN1310" s="40">
        <f>AN1309*(1-IF(B1309&gt;=in_marketplace_from,d_hz_accident*G1309,0))</f>
        <v/>
      </c>
      <c r="AO1310" s="46">
        <f>AN1310*IF(B1310&gt;=in_marketplace_from,d_hz_accident*G1310,0)</f>
        <v/>
      </c>
      <c r="AP1310" s="14">
        <f>F1310*AO1310*in_accident_ticket*in_accident_comm*in_ins_partner_share+F1310*in_accident_ticket*in_accident_renew_comm*in_ins_partner_share*(in_accident_renew^1*SUMIFS(AO1304:AO1335,B1304:B1335,B1310-12)+in_accident_renew^2*SUMIFS(AO1304:AO1335,B1304:B1335,B1310-24)+in_accident_renew^3*SUMIFS(AO1304:AO1335,B1304:B1335,B1310-36)+in_accident_renew^4*SUMIFS(AO1304:AO1335,B1304:B1335,B1310-48))</f>
        <v/>
      </c>
      <c r="AQ1310" s="40">
        <f>AQ1309*(1-IF(B1309&gt;=in_marketplace_from,d_hz_two_wheeler*G1309,0))</f>
        <v/>
      </c>
      <c r="AR1310" s="46">
        <f>AQ1310*IF(B1310&gt;=in_marketplace_from,d_hz_two_wheeler*G1310,0)</f>
        <v/>
      </c>
      <c r="AS1310" s="14">
        <f>F1310*AR1310*in_two_wheeler_ticket*in_two_wheeler_comm*in_ins_partner_share+F1310*in_two_wheeler_ticket*in_two_wheeler_comm*in_ins_partner_share*(in_two_wheeler_renew^1*SUMIFS(AR1304:AR1335,B1304:B1335,B1310-12)+in_two_wheeler_renew^2*SUMIFS(AR1304:AR1335,B1304:B1335,B1310-24)+in_two_wheeler_renew^3*SUMIFS(AR1304:AR1335,B1304:B1335,B1310-36)+in_two_wheeler_renew^4*SUMIFS(AR1304:AR1335,B1304:B1335,B1310-48))</f>
        <v/>
      </c>
      <c r="AT1310" s="40">
        <f>AT1309*(1-IF(B1309&gt;=in_marketplace_from,d_hz_device*G1309,0))</f>
        <v/>
      </c>
      <c r="AU1310" s="14">
        <f>F1310*AT1310*IF(B1310&gt;=in_marketplace_from,d_hz_device*G1310,0)*in_device_ticket*in_device_comm*in_ins_partner_share</f>
        <v/>
      </c>
      <c r="AV1310" s="40">
        <f>AV1309*(1-IF(B1309&gt;=in_marketplace_from,d_hz_shop*G1309,0))</f>
        <v/>
      </c>
      <c r="AW1310" s="46">
        <f>AV1310*IF(B1310&gt;=in_marketplace_from,d_hz_shop*G1310,0)</f>
        <v/>
      </c>
      <c r="AX1310" s="14">
        <f>F1310*AW1310*in_shop_ticket*in_shop_comm*in_ins_partner_share+F1310*in_shop_ticket*in_shop_renew_comm*in_ins_partner_share*(in_shop_renew^1*SUMIFS(AW1304:AW1335,B1304:B1335,B1310-12)+in_shop_renew^2*SUMIFS(AW1304:AW1335,B1304:B1335,B1310-24)+in_shop_renew^3*SUMIFS(AW1304:AW1335,B1304:B1335,B1310-36)+in_shop_renew^4*SUMIFS(AW1304:AW1335,B1304:B1335,B1310-48))</f>
        <v/>
      </c>
      <c r="AY1310" s="40">
        <f>AY1309*(1-IF(B1309&gt;=in_marketplace_from,d_hz_sip*G1309,0))</f>
        <v/>
      </c>
      <c r="AZ1310" s="40">
        <f>AZ1309*d_rho_sip+AY1310*IF(B1310&gt;=in_marketplace_from,d_hz_sip*G1310,0)</f>
        <v/>
      </c>
      <c r="BA1310" s="40">
        <f>d_rho_sip*(BA1309+AZ1309)</f>
        <v/>
      </c>
      <c r="BB1310" s="14">
        <f>F1310*in_sip_ticket*(BA1310+0.5*AZ1310)*in_sip_comm/12</f>
        <v/>
      </c>
      <c r="BC1310" s="40">
        <f>BC1309*(1-IF(B1309&gt;=in_marketplace_from,d_hz_choti*G1309,0))</f>
        <v/>
      </c>
      <c r="BD1310" s="46">
        <f>BC1310*IF(B1310&gt;=in_marketplace_from,d_hz_choti*G1310,0)</f>
        <v/>
      </c>
      <c r="BE1310" s="14">
        <f>F1310*SUMIFS(BD1304:BD1335,B1304:B1335,B1310-in_choti_months)*in_choti_renew*in_choti_ticket</f>
        <v/>
      </c>
      <c r="BF1310" s="40">
        <f>BF1309*(1-IF(B1309&gt;=in_marketplace_from,d_hz_nps*G1309,0))</f>
        <v/>
      </c>
      <c r="BG1310" s="14">
        <f>F1310*BF1310*IF(B1310&gt;=in_marketplace_from,d_hz_nps*G1310,0)*in_nps_ticket*in_nps_comm</f>
        <v/>
      </c>
      <c r="BH1310" s="40">
        <f>BH1309*(1-IF(B1309&gt;=in_marketplace_from,d_hz_gold*G1309,0))</f>
        <v/>
      </c>
      <c r="BI1310" s="40">
        <f>BI1309*d_rho_gold+BH1310*IF(B1310&gt;=in_marketplace_from,d_hz_gold*G1310,0)</f>
        <v/>
      </c>
      <c r="BJ1310" s="14">
        <f>F1310*BI1310*in_gold_ticket*in_gold_comm</f>
        <v/>
      </c>
      <c r="BK1310" s="40">
        <f>BK1309*(1-IF(B1309&gt;=in_marketplace_from,d_hz_fd*G1309,0))</f>
        <v/>
      </c>
      <c r="BL1310" s="14">
        <f>F1310*BK1310*IF(B1310&gt;=in_marketplace_from,d_hz_fd*G1310,0)*in_fd_ticket*in_fd_comm</f>
        <v/>
      </c>
      <c r="BM1310" s="40">
        <f>BM1309*(1-IF(B1309&gt;=in_marketplace_from,d_hz_recharge*G1309,0))</f>
        <v/>
      </c>
      <c r="BN1310" s="40">
        <f>BN1309*d_rho_recharge+BM1310*IF(B1310&gt;=in_marketplace_from,d_hz_recharge*G1310,0)</f>
        <v/>
      </c>
      <c r="BO1310" s="14">
        <f>F1310*BN1310*in_recharge_ticket*in_recharge_comm/12</f>
        <v/>
      </c>
      <c r="BP1310" s="40">
        <f>BP1309*(1-IF(B1309&gt;=in_marketplace_from,d_hz_bills*G1309,0))</f>
        <v/>
      </c>
      <c r="BQ1310" s="40">
        <f>BQ1309*d_rho_bills+BP1310*IF(B1310&gt;=in_marketplace_from,d_hz_bills*G1310,0)</f>
        <v/>
      </c>
      <c r="BR1310" s="14">
        <f>F1310*BQ1310*in_bills_ticket*in_bills_comm/12</f>
        <v/>
      </c>
      <c r="BS1310" s="40">
        <f>BS1309*(1-IF(B1309&gt;=in_marketplace_from,d_hz_loan_gold*G1309,0))</f>
        <v/>
      </c>
      <c r="BT1310" s="14">
        <f>F1310*BS1310*IF(B1310&gt;=in_marketplace_from,d_hz_loan_gold*G1310,0)*in_loan_gold_ticket*in_loan_gold_comm</f>
        <v/>
      </c>
      <c r="BU1310" s="40">
        <f>BU1309*(1-IF(B1309&gt;=in_marketplace_from,d_hz_loan_cd*G1309,0))</f>
        <v/>
      </c>
      <c r="BV1310" s="14">
        <f>F1310*BU1310*IF(B1310&gt;=in_marketplace_from,d_hz_loan_cd*G1310,0)*in_loan_cd_ticket*in_loan_cd_comm</f>
        <v/>
      </c>
      <c r="BW1310" s="40">
        <f>BW1309*(1-IF(B1309&gt;=in_marketplace_from,d_hz_loan_vehicle*G1309,0))</f>
        <v/>
      </c>
      <c r="BX1310" s="14">
        <f>F1310*BW1310*IF(B1310&gt;=in_marketplace_from,d_hz_loan_vehicle*G1310,0)*in_loan_vehicle_ticket*in_loan_vehicle_comm</f>
        <v/>
      </c>
      <c r="BY1310" s="40">
        <f>BY1309*(1-IF(B1309&gt;=in_marketplace_from,d_hz_loan_home*G1309,0)*BZ1309)</f>
        <v/>
      </c>
      <c r="BZ1310" s="11">
        <f>MIN(in_approval_cap,in_loan_home_approval*INDEX('Age profile'!$O$2:$O$61,B1310)*(1+in_approval_growth)^(D1310-1))</f>
        <v/>
      </c>
      <c r="CA1310" s="14">
        <f>F1310*BY1310*IF(B1310&gt;=in_marketplace_from,d_hz_loan_home*G1310,0)*BZ1310*in_loan_home_ticket*in_loan_home_comm</f>
        <v/>
      </c>
      <c r="CB1310" s="40">
        <f>CB1309*(1-IF(B1309&gt;=in_marketplace_from,d_hz_loan_lap*G1309,0)*CC1309)</f>
        <v/>
      </c>
      <c r="CC1310" s="11">
        <f>MIN(in_approval_cap,in_loan_lap_approval*INDEX('Age profile'!$O$2:$O$61,B1310)*(1+in_approval_growth)^(D1310-1))</f>
        <v/>
      </c>
      <c r="CD1310" s="14">
        <f>F1310*CB1310*IF(B1310&gt;=in_marketplace_from,d_hz_loan_lap*G1310,0)*CC1310*in_loan_lap_ticket*in_loan_lap_comm</f>
        <v/>
      </c>
      <c r="CE1310" s="14">
        <f>AA1310+AB1310+AC1310+AD1310+AG1310+AJ1310+AM1310+AP1310+AS1310+AU1310+AX1310+BB1310+BE1310+BG1310+BJ1310+BL1310+BO1310+BR1310+BT1310+BV1310+BX1310+CA1310+CD1310</f>
        <v/>
      </c>
    </row>
    <row r="1311">
      <c r="A1311" s="39" t="n">
        <v>29</v>
      </c>
      <c r="B1311" s="39" t="n">
        <v>8</v>
      </c>
      <c r="C1311" s="39">
        <f>A1311+B1311-1</f>
        <v/>
      </c>
      <c r="D1311" s="39">
        <f>INT((C1311-1)/12)+1</f>
        <v/>
      </c>
      <c r="E1311" s="44">
        <f>INDEX(Monthly!$B$2:$B$61,A1311)</f>
        <v/>
      </c>
      <c r="F1311" s="44">
        <f>E1311*INDEX('Age profile'!$B$2:$B$61,B1311)</f>
        <v/>
      </c>
      <c r="G1311" s="45">
        <f>MIN(in_takeup_cap,INDEX('Age profile'!$N$2:$N$61,B1311)*(1+in_takeup_growth)^(D1311-1))</f>
        <v/>
      </c>
      <c r="H1311" s="11">
        <f>MIN(in_approval_cap,in_approved_first*INDEX('Age profile'!$O$2:$O$61,B1311)*(1+in_approval_growth)^(D1311-1))</f>
        <v/>
      </c>
      <c r="I1311" s="45">
        <f>G1311*MIN(in_takeup_cap,INDEX('Age profile'!$O$2:$O$61,B1311)*(1+in_approval_growth)^(D1311-1))</f>
        <v/>
      </c>
      <c r="J1311" s="40">
        <f>(J1310-L1310)*F1311/F1310</f>
        <v/>
      </c>
      <c r="K1311" s="40">
        <f>(K1310-M1310)*F1311/F1310+SUMIFS(O1304:O1310,B1304:B1310,B1311-1-d_T)*F1311</f>
        <v/>
      </c>
      <c r="L1311" s="40">
        <f>IF(B1311&gt;=in_marketplace_from,J1311*d_hz*G1311*in_eligible*H1311,0)</f>
        <v/>
      </c>
      <c r="M1311" s="40">
        <f>IF(B1311&gt;=in_marketplace_from,K1311*d_hz*G1311*in_eligible*in_approved_repeat,0)</f>
        <v/>
      </c>
      <c r="N1311" s="40">
        <f>L1311+M1311</f>
        <v/>
      </c>
      <c r="O1311" s="46">
        <f>N1311/F1311</f>
        <v/>
      </c>
      <c r="P1311" s="40">
        <f>F1311-J1311-K1311</f>
        <v/>
      </c>
      <c r="Q1311" s="40">
        <f>IF(B1311&gt;=in_marketplace_from,(J1311+K1311)*d_hz*G1311,0)</f>
        <v/>
      </c>
      <c r="R1311" s="40">
        <f>SUMIFS(N1304:N1335,B1304:B1335,"&gt;="&amp;(B1311-d_T),B1304:B1335,"&lt;="&amp;(B1311-1))</f>
        <v/>
      </c>
      <c r="S1311" s="46">
        <f>(1-d_u)*S1310+IF(d_T&gt;in_topup_lag,SUMIFS(O1304:O1335,B1304:B1335,B1311-in_topup_lag)-d_udrop*SUMIFS(O1304:O1335,B1304:B1335,B1311-d_T),0)</f>
        <v/>
      </c>
      <c r="T1311" s="40">
        <f>F1311*d_u*S1311</f>
        <v/>
      </c>
      <c r="U1311" s="9">
        <f>L1311*in_ticket+M1311*d_rep_ticket</f>
        <v/>
      </c>
      <c r="V1311" s="9">
        <f>U1311+T1311*d_topup_amt</f>
        <v/>
      </c>
      <c r="W1311" s="40">
        <f>N1311+T1311*d_topup_ratio</f>
        <v/>
      </c>
      <c r="X1311" s="40">
        <f>SUMIFS(W1304:W1335,B1304:B1335,B1311-in_dpd_lag)*d_cured</f>
        <v/>
      </c>
      <c r="Y1311" s="40">
        <f>SUMIFS(W1304:W1335,B1304:B1335,B1311-in_rec_lag)*d_recd</f>
        <v/>
      </c>
      <c r="Z1311" s="40">
        <f>IF(AND(B1311&gt;=in_marketplace_from,B1311&lt;in_marketplace_from+in_card_months),in_card_share/in_card_months*F1311*I1311,IF(AND(B1311&gt;=in_marketplace_from+in_card_months,B1311&lt;in_marketplace_from+2*in_card_months),in_card_share*d_card_rem/in_card_months*F1311*MIN(in_takeup_cap,(1+in_takeup_growth)^(D1311-1))*MIN(in_takeup_cap,(1+in_approval_growth)^(D1311-1)),0))</f>
        <v/>
      </c>
      <c r="AA1311" s="14">
        <f>V1311*in_fee*(1-in_taken_back)</f>
        <v/>
      </c>
      <c r="AB1311" s="14">
        <f>SUMIFS(W1304:W1335,B1304:B1335,B1311-in_dpd_lag)*d_dpd</f>
        <v/>
      </c>
      <c r="AC1311" s="14">
        <f>SUMIFS(W1304:W1335,B1304:B1335,B1311-in_rec_lag)*d_rec</f>
        <v/>
      </c>
      <c r="AD1311" s="14">
        <f>Z1311*in_card_fee</f>
        <v/>
      </c>
      <c r="AE1311" s="40">
        <f>AE1310*(1-IF(B1310&gt;=in_marketplace_from,d_hz_hlth_small*G1310,0))</f>
        <v/>
      </c>
      <c r="AF1311" s="46">
        <f>AE1311*IF(B1311&gt;=in_marketplace_from,d_hz_hlth_small*G1311,0)</f>
        <v/>
      </c>
      <c r="AG1311" s="14">
        <f>F1311*AF1311*in_hlth_small_ticket*in_hlth_small_comm*in_ins_partner_share+F1311*in_hlth_small_ticket*in_hlth_small_renew_comm*in_ins_partner_share*(in_hlth_small_renew^1*SUMIFS(AF1304:AF1335,B1304:B1335,B1311-12)+in_hlth_small_renew^2*SUMIFS(AF1304:AF1335,B1304:B1335,B1311-24)+in_hlth_small_renew^3*SUMIFS(AF1304:AF1335,B1304:B1335,B1311-36)+in_hlth_small_renew^4*SUMIFS(AF1304:AF1335,B1304:B1335,B1311-48))</f>
        <v/>
      </c>
      <c r="AH1311" s="40">
        <f>AH1310*(1-IF(B1310&gt;=in_marketplace_from,d_hz_hlth_family*G1310,0))</f>
        <v/>
      </c>
      <c r="AI1311" s="46">
        <f>AH1311*IF(B1311&gt;=in_marketplace_from,d_hz_hlth_family*G1311,0)</f>
        <v/>
      </c>
      <c r="AJ1311" s="14">
        <f>F1311*AI1311*in_hlth_family_ticket*in_hlth_family_comm*in_ins_partner_share+F1311*in_hlth_family_ticket*in_hlth_family_renew_comm*in_ins_partner_share*(in_hlth_family_renew^1*SUMIFS(AI1304:AI1335,B1304:B1335,B1311-12)+in_hlth_family_renew^2*SUMIFS(AI1304:AI1335,B1304:B1335,B1311-24)+in_hlth_family_renew^3*SUMIFS(AI1304:AI1335,B1304:B1335,B1311-36)+in_hlth_family_renew^4*SUMIFS(AI1304:AI1335,B1304:B1335,B1311-48))</f>
        <v/>
      </c>
      <c r="AK1311" s="40">
        <f>AK1310*(1-IF(B1310&gt;=in_marketplace_from,d_hz_life_term*G1310,0))</f>
        <v/>
      </c>
      <c r="AL1311" s="46">
        <f>AK1311*IF(B1311&gt;=in_marketplace_from,d_hz_life_term*G1311,0)</f>
        <v/>
      </c>
      <c r="AM1311" s="14">
        <f>F1311*AL1311*in_life_term_ticket*in_life_term_comm*in_ins_partner_share+F1311*in_life_term_ticket*in_life_term_renew_comm*in_ins_partner_share*(in_life_term_renew^1*SUMIFS(AL1304:AL1335,B1304:B1335,B1311-12)+in_life_term_renew^2*SUMIFS(AL1304:AL1335,B1304:B1335,B1311-24)+in_life_term_renew^3*SUMIFS(AL1304:AL1335,B1304:B1335,B1311-36)+in_life_term_renew^4*SUMIFS(AL1304:AL1335,B1304:B1335,B1311-48))</f>
        <v/>
      </c>
      <c r="AN1311" s="40">
        <f>AN1310*(1-IF(B1310&gt;=in_marketplace_from,d_hz_accident*G1310,0))</f>
        <v/>
      </c>
      <c r="AO1311" s="46">
        <f>AN1311*IF(B1311&gt;=in_marketplace_from,d_hz_accident*G1311,0)</f>
        <v/>
      </c>
      <c r="AP1311" s="14">
        <f>F1311*AO1311*in_accident_ticket*in_accident_comm*in_ins_partner_share+F1311*in_accident_ticket*in_accident_renew_comm*in_ins_partner_share*(in_accident_renew^1*SUMIFS(AO1304:AO1335,B1304:B1335,B1311-12)+in_accident_renew^2*SUMIFS(AO1304:AO1335,B1304:B1335,B1311-24)+in_accident_renew^3*SUMIFS(AO1304:AO1335,B1304:B1335,B1311-36)+in_accident_renew^4*SUMIFS(AO1304:AO1335,B1304:B1335,B1311-48))</f>
        <v/>
      </c>
      <c r="AQ1311" s="40">
        <f>AQ1310*(1-IF(B1310&gt;=in_marketplace_from,d_hz_two_wheeler*G1310,0))</f>
        <v/>
      </c>
      <c r="AR1311" s="46">
        <f>AQ1311*IF(B1311&gt;=in_marketplace_from,d_hz_two_wheeler*G1311,0)</f>
        <v/>
      </c>
      <c r="AS1311" s="14">
        <f>F1311*AR1311*in_two_wheeler_ticket*in_two_wheeler_comm*in_ins_partner_share+F1311*in_two_wheeler_ticket*in_two_wheeler_comm*in_ins_partner_share*(in_two_wheeler_renew^1*SUMIFS(AR1304:AR1335,B1304:B1335,B1311-12)+in_two_wheeler_renew^2*SUMIFS(AR1304:AR1335,B1304:B1335,B1311-24)+in_two_wheeler_renew^3*SUMIFS(AR1304:AR1335,B1304:B1335,B1311-36)+in_two_wheeler_renew^4*SUMIFS(AR1304:AR1335,B1304:B1335,B1311-48))</f>
        <v/>
      </c>
      <c r="AT1311" s="40">
        <f>AT1310*(1-IF(B1310&gt;=in_marketplace_from,d_hz_device*G1310,0))</f>
        <v/>
      </c>
      <c r="AU1311" s="14">
        <f>F1311*AT1311*IF(B1311&gt;=in_marketplace_from,d_hz_device*G1311,0)*in_device_ticket*in_device_comm*in_ins_partner_share</f>
        <v/>
      </c>
      <c r="AV1311" s="40">
        <f>AV1310*(1-IF(B1310&gt;=in_marketplace_from,d_hz_shop*G1310,0))</f>
        <v/>
      </c>
      <c r="AW1311" s="46">
        <f>AV1311*IF(B1311&gt;=in_marketplace_from,d_hz_shop*G1311,0)</f>
        <v/>
      </c>
      <c r="AX1311" s="14">
        <f>F1311*AW1311*in_shop_ticket*in_shop_comm*in_ins_partner_share+F1311*in_shop_ticket*in_shop_renew_comm*in_ins_partner_share*(in_shop_renew^1*SUMIFS(AW1304:AW1335,B1304:B1335,B1311-12)+in_shop_renew^2*SUMIFS(AW1304:AW1335,B1304:B1335,B1311-24)+in_shop_renew^3*SUMIFS(AW1304:AW1335,B1304:B1335,B1311-36)+in_shop_renew^4*SUMIFS(AW1304:AW1335,B1304:B1335,B1311-48))</f>
        <v/>
      </c>
      <c r="AY1311" s="40">
        <f>AY1310*(1-IF(B1310&gt;=in_marketplace_from,d_hz_sip*G1310,0))</f>
        <v/>
      </c>
      <c r="AZ1311" s="40">
        <f>AZ1310*d_rho_sip+AY1311*IF(B1311&gt;=in_marketplace_from,d_hz_sip*G1311,0)</f>
        <v/>
      </c>
      <c r="BA1311" s="40">
        <f>d_rho_sip*(BA1310+AZ1310)</f>
        <v/>
      </c>
      <c r="BB1311" s="14">
        <f>F1311*in_sip_ticket*(BA1311+0.5*AZ1311)*in_sip_comm/12</f>
        <v/>
      </c>
      <c r="BC1311" s="40">
        <f>BC1310*(1-IF(B1310&gt;=in_marketplace_from,d_hz_choti*G1310,0))</f>
        <v/>
      </c>
      <c r="BD1311" s="46">
        <f>BC1311*IF(B1311&gt;=in_marketplace_from,d_hz_choti*G1311,0)</f>
        <v/>
      </c>
      <c r="BE1311" s="14">
        <f>F1311*SUMIFS(BD1304:BD1335,B1304:B1335,B1311-in_choti_months)*in_choti_renew*in_choti_ticket</f>
        <v/>
      </c>
      <c r="BF1311" s="40">
        <f>BF1310*(1-IF(B1310&gt;=in_marketplace_from,d_hz_nps*G1310,0))</f>
        <v/>
      </c>
      <c r="BG1311" s="14">
        <f>F1311*BF1311*IF(B1311&gt;=in_marketplace_from,d_hz_nps*G1311,0)*in_nps_ticket*in_nps_comm</f>
        <v/>
      </c>
      <c r="BH1311" s="40">
        <f>BH1310*(1-IF(B1310&gt;=in_marketplace_from,d_hz_gold*G1310,0))</f>
        <v/>
      </c>
      <c r="BI1311" s="40">
        <f>BI1310*d_rho_gold+BH1311*IF(B1311&gt;=in_marketplace_from,d_hz_gold*G1311,0)</f>
        <v/>
      </c>
      <c r="BJ1311" s="14">
        <f>F1311*BI1311*in_gold_ticket*in_gold_comm</f>
        <v/>
      </c>
      <c r="BK1311" s="40">
        <f>BK1310*(1-IF(B1310&gt;=in_marketplace_from,d_hz_fd*G1310,0))</f>
        <v/>
      </c>
      <c r="BL1311" s="14">
        <f>F1311*BK1311*IF(B1311&gt;=in_marketplace_from,d_hz_fd*G1311,0)*in_fd_ticket*in_fd_comm</f>
        <v/>
      </c>
      <c r="BM1311" s="40">
        <f>BM1310*(1-IF(B1310&gt;=in_marketplace_from,d_hz_recharge*G1310,0))</f>
        <v/>
      </c>
      <c r="BN1311" s="40">
        <f>BN1310*d_rho_recharge+BM1311*IF(B1311&gt;=in_marketplace_from,d_hz_recharge*G1311,0)</f>
        <v/>
      </c>
      <c r="BO1311" s="14">
        <f>F1311*BN1311*in_recharge_ticket*in_recharge_comm/12</f>
        <v/>
      </c>
      <c r="BP1311" s="40">
        <f>BP1310*(1-IF(B1310&gt;=in_marketplace_from,d_hz_bills*G1310,0))</f>
        <v/>
      </c>
      <c r="BQ1311" s="40">
        <f>BQ1310*d_rho_bills+BP1311*IF(B1311&gt;=in_marketplace_from,d_hz_bills*G1311,0)</f>
        <v/>
      </c>
      <c r="BR1311" s="14">
        <f>F1311*BQ1311*in_bills_ticket*in_bills_comm/12</f>
        <v/>
      </c>
      <c r="BS1311" s="40">
        <f>BS1310*(1-IF(B1310&gt;=in_marketplace_from,d_hz_loan_gold*G1310,0))</f>
        <v/>
      </c>
      <c r="BT1311" s="14">
        <f>F1311*BS1311*IF(B1311&gt;=in_marketplace_from,d_hz_loan_gold*G1311,0)*in_loan_gold_ticket*in_loan_gold_comm</f>
        <v/>
      </c>
      <c r="BU1311" s="40">
        <f>BU1310*(1-IF(B1310&gt;=in_marketplace_from,d_hz_loan_cd*G1310,0))</f>
        <v/>
      </c>
      <c r="BV1311" s="14">
        <f>F1311*BU1311*IF(B1311&gt;=in_marketplace_from,d_hz_loan_cd*G1311,0)*in_loan_cd_ticket*in_loan_cd_comm</f>
        <v/>
      </c>
      <c r="BW1311" s="40">
        <f>BW1310*(1-IF(B1310&gt;=in_marketplace_from,d_hz_loan_vehicle*G1310,0))</f>
        <v/>
      </c>
      <c r="BX1311" s="14">
        <f>F1311*BW1311*IF(B1311&gt;=in_marketplace_from,d_hz_loan_vehicle*G1311,0)*in_loan_vehicle_ticket*in_loan_vehicle_comm</f>
        <v/>
      </c>
      <c r="BY1311" s="40">
        <f>BY1310*(1-IF(B1310&gt;=in_marketplace_from,d_hz_loan_home*G1310,0)*BZ1310)</f>
        <v/>
      </c>
      <c r="BZ1311" s="11">
        <f>MIN(in_approval_cap,in_loan_home_approval*INDEX('Age profile'!$O$2:$O$61,B1311)*(1+in_approval_growth)^(D1311-1))</f>
        <v/>
      </c>
      <c r="CA1311" s="14">
        <f>F1311*BY1311*IF(B1311&gt;=in_marketplace_from,d_hz_loan_home*G1311,0)*BZ1311*in_loan_home_ticket*in_loan_home_comm</f>
        <v/>
      </c>
      <c r="CB1311" s="40">
        <f>CB1310*(1-IF(B1310&gt;=in_marketplace_from,d_hz_loan_lap*G1310,0)*CC1310)</f>
        <v/>
      </c>
      <c r="CC1311" s="11">
        <f>MIN(in_approval_cap,in_loan_lap_approval*INDEX('Age profile'!$O$2:$O$61,B1311)*(1+in_approval_growth)^(D1311-1))</f>
        <v/>
      </c>
      <c r="CD1311" s="14">
        <f>F1311*CB1311*IF(B1311&gt;=in_marketplace_from,d_hz_loan_lap*G1311,0)*CC1311*in_loan_lap_ticket*in_loan_lap_comm</f>
        <v/>
      </c>
      <c r="CE1311" s="14">
        <f>AA1311+AB1311+AC1311+AD1311+AG1311+AJ1311+AM1311+AP1311+AS1311+AU1311+AX1311+BB1311+BE1311+BG1311+BJ1311+BL1311+BO1311+BR1311+BT1311+BV1311+BX1311+CA1311+CD1311</f>
        <v/>
      </c>
    </row>
    <row r="1312">
      <c r="A1312" s="39" t="n">
        <v>29</v>
      </c>
      <c r="B1312" s="39" t="n">
        <v>9</v>
      </c>
      <c r="C1312" s="39">
        <f>A1312+B1312-1</f>
        <v/>
      </c>
      <c r="D1312" s="39">
        <f>INT((C1312-1)/12)+1</f>
        <v/>
      </c>
      <c r="E1312" s="44">
        <f>INDEX(Monthly!$B$2:$B$61,A1312)</f>
        <v/>
      </c>
      <c r="F1312" s="44">
        <f>E1312*INDEX('Age profile'!$B$2:$B$61,B1312)</f>
        <v/>
      </c>
      <c r="G1312" s="45">
        <f>MIN(in_takeup_cap,INDEX('Age profile'!$N$2:$N$61,B1312)*(1+in_takeup_growth)^(D1312-1))</f>
        <v/>
      </c>
      <c r="H1312" s="11">
        <f>MIN(in_approval_cap,in_approved_first*INDEX('Age profile'!$O$2:$O$61,B1312)*(1+in_approval_growth)^(D1312-1))</f>
        <v/>
      </c>
      <c r="I1312" s="45">
        <f>G1312*MIN(in_takeup_cap,INDEX('Age profile'!$O$2:$O$61,B1312)*(1+in_approval_growth)^(D1312-1))</f>
        <v/>
      </c>
      <c r="J1312" s="40">
        <f>(J1311-L1311)*F1312/F1311</f>
        <v/>
      </c>
      <c r="K1312" s="40">
        <f>(K1311-M1311)*F1312/F1311+SUMIFS(O1304:O1311,B1304:B1311,B1312-1-d_T)*F1312</f>
        <v/>
      </c>
      <c r="L1312" s="40">
        <f>IF(B1312&gt;=in_marketplace_from,J1312*d_hz*G1312*in_eligible*H1312,0)</f>
        <v/>
      </c>
      <c r="M1312" s="40">
        <f>IF(B1312&gt;=in_marketplace_from,K1312*d_hz*G1312*in_eligible*in_approved_repeat,0)</f>
        <v/>
      </c>
      <c r="N1312" s="40">
        <f>L1312+M1312</f>
        <v/>
      </c>
      <c r="O1312" s="46">
        <f>N1312/F1312</f>
        <v/>
      </c>
      <c r="P1312" s="40">
        <f>F1312-J1312-K1312</f>
        <v/>
      </c>
      <c r="Q1312" s="40">
        <f>IF(B1312&gt;=in_marketplace_from,(J1312+K1312)*d_hz*G1312,0)</f>
        <v/>
      </c>
      <c r="R1312" s="40">
        <f>SUMIFS(N1304:N1335,B1304:B1335,"&gt;="&amp;(B1312-d_T),B1304:B1335,"&lt;="&amp;(B1312-1))</f>
        <v/>
      </c>
      <c r="S1312" s="46">
        <f>(1-d_u)*S1311+IF(d_T&gt;in_topup_lag,SUMIFS(O1304:O1335,B1304:B1335,B1312-in_topup_lag)-d_udrop*SUMIFS(O1304:O1335,B1304:B1335,B1312-d_T),0)</f>
        <v/>
      </c>
      <c r="T1312" s="40">
        <f>F1312*d_u*S1312</f>
        <v/>
      </c>
      <c r="U1312" s="9">
        <f>L1312*in_ticket+M1312*d_rep_ticket</f>
        <v/>
      </c>
      <c r="V1312" s="9">
        <f>U1312+T1312*d_topup_amt</f>
        <v/>
      </c>
      <c r="W1312" s="40">
        <f>N1312+T1312*d_topup_ratio</f>
        <v/>
      </c>
      <c r="X1312" s="40">
        <f>SUMIFS(W1304:W1335,B1304:B1335,B1312-in_dpd_lag)*d_cured</f>
        <v/>
      </c>
      <c r="Y1312" s="40">
        <f>SUMIFS(W1304:W1335,B1304:B1335,B1312-in_rec_lag)*d_recd</f>
        <v/>
      </c>
      <c r="Z1312" s="40">
        <f>IF(AND(B1312&gt;=in_marketplace_from,B1312&lt;in_marketplace_from+in_card_months),in_card_share/in_card_months*F1312*I1312,IF(AND(B1312&gt;=in_marketplace_from+in_card_months,B1312&lt;in_marketplace_from+2*in_card_months),in_card_share*d_card_rem/in_card_months*F1312*MIN(in_takeup_cap,(1+in_takeup_growth)^(D1312-1))*MIN(in_takeup_cap,(1+in_approval_growth)^(D1312-1)),0))</f>
        <v/>
      </c>
      <c r="AA1312" s="14">
        <f>V1312*in_fee*(1-in_taken_back)</f>
        <v/>
      </c>
      <c r="AB1312" s="14">
        <f>SUMIFS(W1304:W1335,B1304:B1335,B1312-in_dpd_lag)*d_dpd</f>
        <v/>
      </c>
      <c r="AC1312" s="14">
        <f>SUMIFS(W1304:W1335,B1304:B1335,B1312-in_rec_lag)*d_rec</f>
        <v/>
      </c>
      <c r="AD1312" s="14">
        <f>Z1312*in_card_fee</f>
        <v/>
      </c>
      <c r="AE1312" s="40">
        <f>AE1311*(1-IF(B1311&gt;=in_marketplace_from,d_hz_hlth_small*G1311,0))</f>
        <v/>
      </c>
      <c r="AF1312" s="46">
        <f>AE1312*IF(B1312&gt;=in_marketplace_from,d_hz_hlth_small*G1312,0)</f>
        <v/>
      </c>
      <c r="AG1312" s="14">
        <f>F1312*AF1312*in_hlth_small_ticket*in_hlth_small_comm*in_ins_partner_share+F1312*in_hlth_small_ticket*in_hlth_small_renew_comm*in_ins_partner_share*(in_hlth_small_renew^1*SUMIFS(AF1304:AF1335,B1304:B1335,B1312-12)+in_hlth_small_renew^2*SUMIFS(AF1304:AF1335,B1304:B1335,B1312-24)+in_hlth_small_renew^3*SUMIFS(AF1304:AF1335,B1304:B1335,B1312-36)+in_hlth_small_renew^4*SUMIFS(AF1304:AF1335,B1304:B1335,B1312-48))</f>
        <v/>
      </c>
      <c r="AH1312" s="40">
        <f>AH1311*(1-IF(B1311&gt;=in_marketplace_from,d_hz_hlth_family*G1311,0))</f>
        <v/>
      </c>
      <c r="AI1312" s="46">
        <f>AH1312*IF(B1312&gt;=in_marketplace_from,d_hz_hlth_family*G1312,0)</f>
        <v/>
      </c>
      <c r="AJ1312" s="14">
        <f>F1312*AI1312*in_hlth_family_ticket*in_hlth_family_comm*in_ins_partner_share+F1312*in_hlth_family_ticket*in_hlth_family_renew_comm*in_ins_partner_share*(in_hlth_family_renew^1*SUMIFS(AI1304:AI1335,B1304:B1335,B1312-12)+in_hlth_family_renew^2*SUMIFS(AI1304:AI1335,B1304:B1335,B1312-24)+in_hlth_family_renew^3*SUMIFS(AI1304:AI1335,B1304:B1335,B1312-36)+in_hlth_family_renew^4*SUMIFS(AI1304:AI1335,B1304:B1335,B1312-48))</f>
        <v/>
      </c>
      <c r="AK1312" s="40">
        <f>AK1311*(1-IF(B1311&gt;=in_marketplace_from,d_hz_life_term*G1311,0))</f>
        <v/>
      </c>
      <c r="AL1312" s="46">
        <f>AK1312*IF(B1312&gt;=in_marketplace_from,d_hz_life_term*G1312,0)</f>
        <v/>
      </c>
      <c r="AM1312" s="14">
        <f>F1312*AL1312*in_life_term_ticket*in_life_term_comm*in_ins_partner_share+F1312*in_life_term_ticket*in_life_term_renew_comm*in_ins_partner_share*(in_life_term_renew^1*SUMIFS(AL1304:AL1335,B1304:B1335,B1312-12)+in_life_term_renew^2*SUMIFS(AL1304:AL1335,B1304:B1335,B1312-24)+in_life_term_renew^3*SUMIFS(AL1304:AL1335,B1304:B1335,B1312-36)+in_life_term_renew^4*SUMIFS(AL1304:AL1335,B1304:B1335,B1312-48))</f>
        <v/>
      </c>
      <c r="AN1312" s="40">
        <f>AN1311*(1-IF(B1311&gt;=in_marketplace_from,d_hz_accident*G1311,0))</f>
        <v/>
      </c>
      <c r="AO1312" s="46">
        <f>AN1312*IF(B1312&gt;=in_marketplace_from,d_hz_accident*G1312,0)</f>
        <v/>
      </c>
      <c r="AP1312" s="14">
        <f>F1312*AO1312*in_accident_ticket*in_accident_comm*in_ins_partner_share+F1312*in_accident_ticket*in_accident_renew_comm*in_ins_partner_share*(in_accident_renew^1*SUMIFS(AO1304:AO1335,B1304:B1335,B1312-12)+in_accident_renew^2*SUMIFS(AO1304:AO1335,B1304:B1335,B1312-24)+in_accident_renew^3*SUMIFS(AO1304:AO1335,B1304:B1335,B1312-36)+in_accident_renew^4*SUMIFS(AO1304:AO1335,B1304:B1335,B1312-48))</f>
        <v/>
      </c>
      <c r="AQ1312" s="40">
        <f>AQ1311*(1-IF(B1311&gt;=in_marketplace_from,d_hz_two_wheeler*G1311,0))</f>
        <v/>
      </c>
      <c r="AR1312" s="46">
        <f>AQ1312*IF(B1312&gt;=in_marketplace_from,d_hz_two_wheeler*G1312,0)</f>
        <v/>
      </c>
      <c r="AS1312" s="14">
        <f>F1312*AR1312*in_two_wheeler_ticket*in_two_wheeler_comm*in_ins_partner_share+F1312*in_two_wheeler_ticket*in_two_wheeler_comm*in_ins_partner_share*(in_two_wheeler_renew^1*SUMIFS(AR1304:AR1335,B1304:B1335,B1312-12)+in_two_wheeler_renew^2*SUMIFS(AR1304:AR1335,B1304:B1335,B1312-24)+in_two_wheeler_renew^3*SUMIFS(AR1304:AR1335,B1304:B1335,B1312-36)+in_two_wheeler_renew^4*SUMIFS(AR1304:AR1335,B1304:B1335,B1312-48))</f>
        <v/>
      </c>
      <c r="AT1312" s="40">
        <f>AT1311*(1-IF(B1311&gt;=in_marketplace_from,d_hz_device*G1311,0))</f>
        <v/>
      </c>
      <c r="AU1312" s="14">
        <f>F1312*AT1312*IF(B1312&gt;=in_marketplace_from,d_hz_device*G1312,0)*in_device_ticket*in_device_comm*in_ins_partner_share</f>
        <v/>
      </c>
      <c r="AV1312" s="40">
        <f>AV1311*(1-IF(B1311&gt;=in_marketplace_from,d_hz_shop*G1311,0))</f>
        <v/>
      </c>
      <c r="AW1312" s="46">
        <f>AV1312*IF(B1312&gt;=in_marketplace_from,d_hz_shop*G1312,0)</f>
        <v/>
      </c>
      <c r="AX1312" s="14">
        <f>F1312*AW1312*in_shop_ticket*in_shop_comm*in_ins_partner_share+F1312*in_shop_ticket*in_shop_renew_comm*in_ins_partner_share*(in_shop_renew^1*SUMIFS(AW1304:AW1335,B1304:B1335,B1312-12)+in_shop_renew^2*SUMIFS(AW1304:AW1335,B1304:B1335,B1312-24)+in_shop_renew^3*SUMIFS(AW1304:AW1335,B1304:B1335,B1312-36)+in_shop_renew^4*SUMIFS(AW1304:AW1335,B1304:B1335,B1312-48))</f>
        <v/>
      </c>
      <c r="AY1312" s="40">
        <f>AY1311*(1-IF(B1311&gt;=in_marketplace_from,d_hz_sip*G1311,0))</f>
        <v/>
      </c>
      <c r="AZ1312" s="40">
        <f>AZ1311*d_rho_sip+AY1312*IF(B1312&gt;=in_marketplace_from,d_hz_sip*G1312,0)</f>
        <v/>
      </c>
      <c r="BA1312" s="40">
        <f>d_rho_sip*(BA1311+AZ1311)</f>
        <v/>
      </c>
      <c r="BB1312" s="14">
        <f>F1312*in_sip_ticket*(BA1312+0.5*AZ1312)*in_sip_comm/12</f>
        <v/>
      </c>
      <c r="BC1312" s="40">
        <f>BC1311*(1-IF(B1311&gt;=in_marketplace_from,d_hz_choti*G1311,0))</f>
        <v/>
      </c>
      <c r="BD1312" s="46">
        <f>BC1312*IF(B1312&gt;=in_marketplace_from,d_hz_choti*G1312,0)</f>
        <v/>
      </c>
      <c r="BE1312" s="14">
        <f>F1312*SUMIFS(BD1304:BD1335,B1304:B1335,B1312-in_choti_months)*in_choti_renew*in_choti_ticket</f>
        <v/>
      </c>
      <c r="BF1312" s="40">
        <f>BF1311*(1-IF(B1311&gt;=in_marketplace_from,d_hz_nps*G1311,0))</f>
        <v/>
      </c>
      <c r="BG1312" s="14">
        <f>F1312*BF1312*IF(B1312&gt;=in_marketplace_from,d_hz_nps*G1312,0)*in_nps_ticket*in_nps_comm</f>
        <v/>
      </c>
      <c r="BH1312" s="40">
        <f>BH1311*(1-IF(B1311&gt;=in_marketplace_from,d_hz_gold*G1311,0))</f>
        <v/>
      </c>
      <c r="BI1312" s="40">
        <f>BI1311*d_rho_gold+BH1312*IF(B1312&gt;=in_marketplace_from,d_hz_gold*G1312,0)</f>
        <v/>
      </c>
      <c r="BJ1312" s="14">
        <f>F1312*BI1312*in_gold_ticket*in_gold_comm</f>
        <v/>
      </c>
      <c r="BK1312" s="40">
        <f>BK1311*(1-IF(B1311&gt;=in_marketplace_from,d_hz_fd*G1311,0))</f>
        <v/>
      </c>
      <c r="BL1312" s="14">
        <f>F1312*BK1312*IF(B1312&gt;=in_marketplace_from,d_hz_fd*G1312,0)*in_fd_ticket*in_fd_comm</f>
        <v/>
      </c>
      <c r="BM1312" s="40">
        <f>BM1311*(1-IF(B1311&gt;=in_marketplace_from,d_hz_recharge*G1311,0))</f>
        <v/>
      </c>
      <c r="BN1312" s="40">
        <f>BN1311*d_rho_recharge+BM1312*IF(B1312&gt;=in_marketplace_from,d_hz_recharge*G1312,0)</f>
        <v/>
      </c>
      <c r="BO1312" s="14">
        <f>F1312*BN1312*in_recharge_ticket*in_recharge_comm/12</f>
        <v/>
      </c>
      <c r="BP1312" s="40">
        <f>BP1311*(1-IF(B1311&gt;=in_marketplace_from,d_hz_bills*G1311,0))</f>
        <v/>
      </c>
      <c r="BQ1312" s="40">
        <f>BQ1311*d_rho_bills+BP1312*IF(B1312&gt;=in_marketplace_from,d_hz_bills*G1312,0)</f>
        <v/>
      </c>
      <c r="BR1312" s="14">
        <f>F1312*BQ1312*in_bills_ticket*in_bills_comm/12</f>
        <v/>
      </c>
      <c r="BS1312" s="40">
        <f>BS1311*(1-IF(B1311&gt;=in_marketplace_from,d_hz_loan_gold*G1311,0))</f>
        <v/>
      </c>
      <c r="BT1312" s="14">
        <f>F1312*BS1312*IF(B1312&gt;=in_marketplace_from,d_hz_loan_gold*G1312,0)*in_loan_gold_ticket*in_loan_gold_comm</f>
        <v/>
      </c>
      <c r="BU1312" s="40">
        <f>BU1311*(1-IF(B1311&gt;=in_marketplace_from,d_hz_loan_cd*G1311,0))</f>
        <v/>
      </c>
      <c r="BV1312" s="14">
        <f>F1312*BU1312*IF(B1312&gt;=in_marketplace_from,d_hz_loan_cd*G1312,0)*in_loan_cd_ticket*in_loan_cd_comm</f>
        <v/>
      </c>
      <c r="BW1312" s="40">
        <f>BW1311*(1-IF(B1311&gt;=in_marketplace_from,d_hz_loan_vehicle*G1311,0))</f>
        <v/>
      </c>
      <c r="BX1312" s="14">
        <f>F1312*BW1312*IF(B1312&gt;=in_marketplace_from,d_hz_loan_vehicle*G1312,0)*in_loan_vehicle_ticket*in_loan_vehicle_comm</f>
        <v/>
      </c>
      <c r="BY1312" s="40">
        <f>BY1311*(1-IF(B1311&gt;=in_marketplace_from,d_hz_loan_home*G1311,0)*BZ1311)</f>
        <v/>
      </c>
      <c r="BZ1312" s="11">
        <f>MIN(in_approval_cap,in_loan_home_approval*INDEX('Age profile'!$O$2:$O$61,B1312)*(1+in_approval_growth)^(D1312-1))</f>
        <v/>
      </c>
      <c r="CA1312" s="14">
        <f>F1312*BY1312*IF(B1312&gt;=in_marketplace_from,d_hz_loan_home*G1312,0)*BZ1312*in_loan_home_ticket*in_loan_home_comm</f>
        <v/>
      </c>
      <c r="CB1312" s="40">
        <f>CB1311*(1-IF(B1311&gt;=in_marketplace_from,d_hz_loan_lap*G1311,0)*CC1311)</f>
        <v/>
      </c>
      <c r="CC1312" s="11">
        <f>MIN(in_approval_cap,in_loan_lap_approval*INDEX('Age profile'!$O$2:$O$61,B1312)*(1+in_approval_growth)^(D1312-1))</f>
        <v/>
      </c>
      <c r="CD1312" s="14">
        <f>F1312*CB1312*IF(B1312&gt;=in_marketplace_from,d_hz_loan_lap*G1312,0)*CC1312*in_loan_lap_ticket*in_loan_lap_comm</f>
        <v/>
      </c>
      <c r="CE1312" s="14">
        <f>AA1312+AB1312+AC1312+AD1312+AG1312+AJ1312+AM1312+AP1312+AS1312+AU1312+AX1312+BB1312+BE1312+BG1312+BJ1312+BL1312+BO1312+BR1312+BT1312+BV1312+BX1312+CA1312+CD1312</f>
        <v/>
      </c>
    </row>
    <row r="1313">
      <c r="A1313" s="39" t="n">
        <v>29</v>
      </c>
      <c r="B1313" s="39" t="n">
        <v>10</v>
      </c>
      <c r="C1313" s="39">
        <f>A1313+B1313-1</f>
        <v/>
      </c>
      <c r="D1313" s="39">
        <f>INT((C1313-1)/12)+1</f>
        <v/>
      </c>
      <c r="E1313" s="44">
        <f>INDEX(Monthly!$B$2:$B$61,A1313)</f>
        <v/>
      </c>
      <c r="F1313" s="44">
        <f>E1313*INDEX('Age profile'!$B$2:$B$61,B1313)</f>
        <v/>
      </c>
      <c r="G1313" s="45">
        <f>MIN(in_takeup_cap,INDEX('Age profile'!$N$2:$N$61,B1313)*(1+in_takeup_growth)^(D1313-1))</f>
        <v/>
      </c>
      <c r="H1313" s="11">
        <f>MIN(in_approval_cap,in_approved_first*INDEX('Age profile'!$O$2:$O$61,B1313)*(1+in_approval_growth)^(D1313-1))</f>
        <v/>
      </c>
      <c r="I1313" s="45">
        <f>G1313*MIN(in_takeup_cap,INDEX('Age profile'!$O$2:$O$61,B1313)*(1+in_approval_growth)^(D1313-1))</f>
        <v/>
      </c>
      <c r="J1313" s="40">
        <f>(J1312-L1312)*F1313/F1312</f>
        <v/>
      </c>
      <c r="K1313" s="40">
        <f>(K1312-M1312)*F1313/F1312+SUMIFS(O1304:O1312,B1304:B1312,B1313-1-d_T)*F1313</f>
        <v/>
      </c>
      <c r="L1313" s="40">
        <f>IF(B1313&gt;=in_marketplace_from,J1313*d_hz*G1313*in_eligible*H1313,0)</f>
        <v/>
      </c>
      <c r="M1313" s="40">
        <f>IF(B1313&gt;=in_marketplace_from,K1313*d_hz*G1313*in_eligible*in_approved_repeat,0)</f>
        <v/>
      </c>
      <c r="N1313" s="40">
        <f>L1313+M1313</f>
        <v/>
      </c>
      <c r="O1313" s="46">
        <f>N1313/F1313</f>
        <v/>
      </c>
      <c r="P1313" s="40">
        <f>F1313-J1313-K1313</f>
        <v/>
      </c>
      <c r="Q1313" s="40">
        <f>IF(B1313&gt;=in_marketplace_from,(J1313+K1313)*d_hz*G1313,0)</f>
        <v/>
      </c>
      <c r="R1313" s="40">
        <f>SUMIFS(N1304:N1335,B1304:B1335,"&gt;="&amp;(B1313-d_T),B1304:B1335,"&lt;="&amp;(B1313-1))</f>
        <v/>
      </c>
      <c r="S1313" s="46">
        <f>(1-d_u)*S1312+IF(d_T&gt;in_topup_lag,SUMIFS(O1304:O1335,B1304:B1335,B1313-in_topup_lag)-d_udrop*SUMIFS(O1304:O1335,B1304:B1335,B1313-d_T),0)</f>
        <v/>
      </c>
      <c r="T1313" s="40">
        <f>F1313*d_u*S1313</f>
        <v/>
      </c>
      <c r="U1313" s="9">
        <f>L1313*in_ticket+M1313*d_rep_ticket</f>
        <v/>
      </c>
      <c r="V1313" s="9">
        <f>U1313+T1313*d_topup_amt</f>
        <v/>
      </c>
      <c r="W1313" s="40">
        <f>N1313+T1313*d_topup_ratio</f>
        <v/>
      </c>
      <c r="X1313" s="40">
        <f>SUMIFS(W1304:W1335,B1304:B1335,B1313-in_dpd_lag)*d_cured</f>
        <v/>
      </c>
      <c r="Y1313" s="40">
        <f>SUMIFS(W1304:W1335,B1304:B1335,B1313-in_rec_lag)*d_recd</f>
        <v/>
      </c>
      <c r="Z1313" s="40">
        <f>IF(AND(B1313&gt;=in_marketplace_from,B1313&lt;in_marketplace_from+in_card_months),in_card_share/in_card_months*F1313*I1313,IF(AND(B1313&gt;=in_marketplace_from+in_card_months,B1313&lt;in_marketplace_from+2*in_card_months),in_card_share*d_card_rem/in_card_months*F1313*MIN(in_takeup_cap,(1+in_takeup_growth)^(D1313-1))*MIN(in_takeup_cap,(1+in_approval_growth)^(D1313-1)),0))</f>
        <v/>
      </c>
      <c r="AA1313" s="14">
        <f>V1313*in_fee*(1-in_taken_back)</f>
        <v/>
      </c>
      <c r="AB1313" s="14">
        <f>SUMIFS(W1304:W1335,B1304:B1335,B1313-in_dpd_lag)*d_dpd</f>
        <v/>
      </c>
      <c r="AC1313" s="14">
        <f>SUMIFS(W1304:W1335,B1304:B1335,B1313-in_rec_lag)*d_rec</f>
        <v/>
      </c>
      <c r="AD1313" s="14">
        <f>Z1313*in_card_fee</f>
        <v/>
      </c>
      <c r="AE1313" s="40">
        <f>AE1312*(1-IF(B1312&gt;=in_marketplace_from,d_hz_hlth_small*G1312,0))</f>
        <v/>
      </c>
      <c r="AF1313" s="46">
        <f>AE1313*IF(B1313&gt;=in_marketplace_from,d_hz_hlth_small*G1313,0)</f>
        <v/>
      </c>
      <c r="AG1313" s="14">
        <f>F1313*AF1313*in_hlth_small_ticket*in_hlth_small_comm*in_ins_partner_share+F1313*in_hlth_small_ticket*in_hlth_small_renew_comm*in_ins_partner_share*(in_hlth_small_renew^1*SUMIFS(AF1304:AF1335,B1304:B1335,B1313-12)+in_hlth_small_renew^2*SUMIFS(AF1304:AF1335,B1304:B1335,B1313-24)+in_hlth_small_renew^3*SUMIFS(AF1304:AF1335,B1304:B1335,B1313-36)+in_hlth_small_renew^4*SUMIFS(AF1304:AF1335,B1304:B1335,B1313-48))</f>
        <v/>
      </c>
      <c r="AH1313" s="40">
        <f>AH1312*(1-IF(B1312&gt;=in_marketplace_from,d_hz_hlth_family*G1312,0))</f>
        <v/>
      </c>
      <c r="AI1313" s="46">
        <f>AH1313*IF(B1313&gt;=in_marketplace_from,d_hz_hlth_family*G1313,0)</f>
        <v/>
      </c>
      <c r="AJ1313" s="14">
        <f>F1313*AI1313*in_hlth_family_ticket*in_hlth_family_comm*in_ins_partner_share+F1313*in_hlth_family_ticket*in_hlth_family_renew_comm*in_ins_partner_share*(in_hlth_family_renew^1*SUMIFS(AI1304:AI1335,B1304:B1335,B1313-12)+in_hlth_family_renew^2*SUMIFS(AI1304:AI1335,B1304:B1335,B1313-24)+in_hlth_family_renew^3*SUMIFS(AI1304:AI1335,B1304:B1335,B1313-36)+in_hlth_family_renew^4*SUMIFS(AI1304:AI1335,B1304:B1335,B1313-48))</f>
        <v/>
      </c>
      <c r="AK1313" s="40">
        <f>AK1312*(1-IF(B1312&gt;=in_marketplace_from,d_hz_life_term*G1312,0))</f>
        <v/>
      </c>
      <c r="AL1313" s="46">
        <f>AK1313*IF(B1313&gt;=in_marketplace_from,d_hz_life_term*G1313,0)</f>
        <v/>
      </c>
      <c r="AM1313" s="14">
        <f>F1313*AL1313*in_life_term_ticket*in_life_term_comm*in_ins_partner_share+F1313*in_life_term_ticket*in_life_term_renew_comm*in_ins_partner_share*(in_life_term_renew^1*SUMIFS(AL1304:AL1335,B1304:B1335,B1313-12)+in_life_term_renew^2*SUMIFS(AL1304:AL1335,B1304:B1335,B1313-24)+in_life_term_renew^3*SUMIFS(AL1304:AL1335,B1304:B1335,B1313-36)+in_life_term_renew^4*SUMIFS(AL1304:AL1335,B1304:B1335,B1313-48))</f>
        <v/>
      </c>
      <c r="AN1313" s="40">
        <f>AN1312*(1-IF(B1312&gt;=in_marketplace_from,d_hz_accident*G1312,0))</f>
        <v/>
      </c>
      <c r="AO1313" s="46">
        <f>AN1313*IF(B1313&gt;=in_marketplace_from,d_hz_accident*G1313,0)</f>
        <v/>
      </c>
      <c r="AP1313" s="14">
        <f>F1313*AO1313*in_accident_ticket*in_accident_comm*in_ins_partner_share+F1313*in_accident_ticket*in_accident_renew_comm*in_ins_partner_share*(in_accident_renew^1*SUMIFS(AO1304:AO1335,B1304:B1335,B1313-12)+in_accident_renew^2*SUMIFS(AO1304:AO1335,B1304:B1335,B1313-24)+in_accident_renew^3*SUMIFS(AO1304:AO1335,B1304:B1335,B1313-36)+in_accident_renew^4*SUMIFS(AO1304:AO1335,B1304:B1335,B1313-48))</f>
        <v/>
      </c>
      <c r="AQ1313" s="40">
        <f>AQ1312*(1-IF(B1312&gt;=in_marketplace_from,d_hz_two_wheeler*G1312,0))</f>
        <v/>
      </c>
      <c r="AR1313" s="46">
        <f>AQ1313*IF(B1313&gt;=in_marketplace_from,d_hz_two_wheeler*G1313,0)</f>
        <v/>
      </c>
      <c r="AS1313" s="14">
        <f>F1313*AR1313*in_two_wheeler_ticket*in_two_wheeler_comm*in_ins_partner_share+F1313*in_two_wheeler_ticket*in_two_wheeler_comm*in_ins_partner_share*(in_two_wheeler_renew^1*SUMIFS(AR1304:AR1335,B1304:B1335,B1313-12)+in_two_wheeler_renew^2*SUMIFS(AR1304:AR1335,B1304:B1335,B1313-24)+in_two_wheeler_renew^3*SUMIFS(AR1304:AR1335,B1304:B1335,B1313-36)+in_two_wheeler_renew^4*SUMIFS(AR1304:AR1335,B1304:B1335,B1313-48))</f>
        <v/>
      </c>
      <c r="AT1313" s="40">
        <f>AT1312*(1-IF(B1312&gt;=in_marketplace_from,d_hz_device*G1312,0))</f>
        <v/>
      </c>
      <c r="AU1313" s="14">
        <f>F1313*AT1313*IF(B1313&gt;=in_marketplace_from,d_hz_device*G1313,0)*in_device_ticket*in_device_comm*in_ins_partner_share</f>
        <v/>
      </c>
      <c r="AV1313" s="40">
        <f>AV1312*(1-IF(B1312&gt;=in_marketplace_from,d_hz_shop*G1312,0))</f>
        <v/>
      </c>
      <c r="AW1313" s="46">
        <f>AV1313*IF(B1313&gt;=in_marketplace_from,d_hz_shop*G1313,0)</f>
        <v/>
      </c>
      <c r="AX1313" s="14">
        <f>F1313*AW1313*in_shop_ticket*in_shop_comm*in_ins_partner_share+F1313*in_shop_ticket*in_shop_renew_comm*in_ins_partner_share*(in_shop_renew^1*SUMIFS(AW1304:AW1335,B1304:B1335,B1313-12)+in_shop_renew^2*SUMIFS(AW1304:AW1335,B1304:B1335,B1313-24)+in_shop_renew^3*SUMIFS(AW1304:AW1335,B1304:B1335,B1313-36)+in_shop_renew^4*SUMIFS(AW1304:AW1335,B1304:B1335,B1313-48))</f>
        <v/>
      </c>
      <c r="AY1313" s="40">
        <f>AY1312*(1-IF(B1312&gt;=in_marketplace_from,d_hz_sip*G1312,0))</f>
        <v/>
      </c>
      <c r="AZ1313" s="40">
        <f>AZ1312*d_rho_sip+AY1313*IF(B1313&gt;=in_marketplace_from,d_hz_sip*G1313,0)</f>
        <v/>
      </c>
      <c r="BA1313" s="40">
        <f>d_rho_sip*(BA1312+AZ1312)</f>
        <v/>
      </c>
      <c r="BB1313" s="14">
        <f>F1313*in_sip_ticket*(BA1313+0.5*AZ1313)*in_sip_comm/12</f>
        <v/>
      </c>
      <c r="BC1313" s="40">
        <f>BC1312*(1-IF(B1312&gt;=in_marketplace_from,d_hz_choti*G1312,0))</f>
        <v/>
      </c>
      <c r="BD1313" s="46">
        <f>BC1313*IF(B1313&gt;=in_marketplace_from,d_hz_choti*G1313,0)</f>
        <v/>
      </c>
      <c r="BE1313" s="14">
        <f>F1313*SUMIFS(BD1304:BD1335,B1304:B1335,B1313-in_choti_months)*in_choti_renew*in_choti_ticket</f>
        <v/>
      </c>
      <c r="BF1313" s="40">
        <f>BF1312*(1-IF(B1312&gt;=in_marketplace_from,d_hz_nps*G1312,0))</f>
        <v/>
      </c>
      <c r="BG1313" s="14">
        <f>F1313*BF1313*IF(B1313&gt;=in_marketplace_from,d_hz_nps*G1313,0)*in_nps_ticket*in_nps_comm</f>
        <v/>
      </c>
      <c r="BH1313" s="40">
        <f>BH1312*(1-IF(B1312&gt;=in_marketplace_from,d_hz_gold*G1312,0))</f>
        <v/>
      </c>
      <c r="BI1313" s="40">
        <f>BI1312*d_rho_gold+BH1313*IF(B1313&gt;=in_marketplace_from,d_hz_gold*G1313,0)</f>
        <v/>
      </c>
      <c r="BJ1313" s="14">
        <f>F1313*BI1313*in_gold_ticket*in_gold_comm</f>
        <v/>
      </c>
      <c r="BK1313" s="40">
        <f>BK1312*(1-IF(B1312&gt;=in_marketplace_from,d_hz_fd*G1312,0))</f>
        <v/>
      </c>
      <c r="BL1313" s="14">
        <f>F1313*BK1313*IF(B1313&gt;=in_marketplace_from,d_hz_fd*G1313,0)*in_fd_ticket*in_fd_comm</f>
        <v/>
      </c>
      <c r="BM1313" s="40">
        <f>BM1312*(1-IF(B1312&gt;=in_marketplace_from,d_hz_recharge*G1312,0))</f>
        <v/>
      </c>
      <c r="BN1313" s="40">
        <f>BN1312*d_rho_recharge+BM1313*IF(B1313&gt;=in_marketplace_from,d_hz_recharge*G1313,0)</f>
        <v/>
      </c>
      <c r="BO1313" s="14">
        <f>F1313*BN1313*in_recharge_ticket*in_recharge_comm/12</f>
        <v/>
      </c>
      <c r="BP1313" s="40">
        <f>BP1312*(1-IF(B1312&gt;=in_marketplace_from,d_hz_bills*G1312,0))</f>
        <v/>
      </c>
      <c r="BQ1313" s="40">
        <f>BQ1312*d_rho_bills+BP1313*IF(B1313&gt;=in_marketplace_from,d_hz_bills*G1313,0)</f>
        <v/>
      </c>
      <c r="BR1313" s="14">
        <f>F1313*BQ1313*in_bills_ticket*in_bills_comm/12</f>
        <v/>
      </c>
      <c r="BS1313" s="40">
        <f>BS1312*(1-IF(B1312&gt;=in_marketplace_from,d_hz_loan_gold*G1312,0))</f>
        <v/>
      </c>
      <c r="BT1313" s="14">
        <f>F1313*BS1313*IF(B1313&gt;=in_marketplace_from,d_hz_loan_gold*G1313,0)*in_loan_gold_ticket*in_loan_gold_comm</f>
        <v/>
      </c>
      <c r="BU1313" s="40">
        <f>BU1312*(1-IF(B1312&gt;=in_marketplace_from,d_hz_loan_cd*G1312,0))</f>
        <v/>
      </c>
      <c r="BV1313" s="14">
        <f>F1313*BU1313*IF(B1313&gt;=in_marketplace_from,d_hz_loan_cd*G1313,0)*in_loan_cd_ticket*in_loan_cd_comm</f>
        <v/>
      </c>
      <c r="BW1313" s="40">
        <f>BW1312*(1-IF(B1312&gt;=in_marketplace_from,d_hz_loan_vehicle*G1312,0))</f>
        <v/>
      </c>
      <c r="BX1313" s="14">
        <f>F1313*BW1313*IF(B1313&gt;=in_marketplace_from,d_hz_loan_vehicle*G1313,0)*in_loan_vehicle_ticket*in_loan_vehicle_comm</f>
        <v/>
      </c>
      <c r="BY1313" s="40">
        <f>BY1312*(1-IF(B1312&gt;=in_marketplace_from,d_hz_loan_home*G1312,0)*BZ1312)</f>
        <v/>
      </c>
      <c r="BZ1313" s="11">
        <f>MIN(in_approval_cap,in_loan_home_approval*INDEX('Age profile'!$O$2:$O$61,B1313)*(1+in_approval_growth)^(D1313-1))</f>
        <v/>
      </c>
      <c r="CA1313" s="14">
        <f>F1313*BY1313*IF(B1313&gt;=in_marketplace_from,d_hz_loan_home*G1313,0)*BZ1313*in_loan_home_ticket*in_loan_home_comm</f>
        <v/>
      </c>
      <c r="CB1313" s="40">
        <f>CB1312*(1-IF(B1312&gt;=in_marketplace_from,d_hz_loan_lap*G1312,0)*CC1312)</f>
        <v/>
      </c>
      <c r="CC1313" s="11">
        <f>MIN(in_approval_cap,in_loan_lap_approval*INDEX('Age profile'!$O$2:$O$61,B1313)*(1+in_approval_growth)^(D1313-1))</f>
        <v/>
      </c>
      <c r="CD1313" s="14">
        <f>F1313*CB1313*IF(B1313&gt;=in_marketplace_from,d_hz_loan_lap*G1313,0)*CC1313*in_loan_lap_ticket*in_loan_lap_comm</f>
        <v/>
      </c>
      <c r="CE1313" s="14">
        <f>AA1313+AB1313+AC1313+AD1313+AG1313+AJ1313+AM1313+AP1313+AS1313+AU1313+AX1313+BB1313+BE1313+BG1313+BJ1313+BL1313+BO1313+BR1313+BT1313+BV1313+BX1313+CA1313+CD1313</f>
        <v/>
      </c>
    </row>
    <row r="1314">
      <c r="A1314" s="39" t="n">
        <v>29</v>
      </c>
      <c r="B1314" s="39" t="n">
        <v>11</v>
      </c>
      <c r="C1314" s="39">
        <f>A1314+B1314-1</f>
        <v/>
      </c>
      <c r="D1314" s="39">
        <f>INT((C1314-1)/12)+1</f>
        <v/>
      </c>
      <c r="E1314" s="44">
        <f>INDEX(Monthly!$B$2:$B$61,A1314)</f>
        <v/>
      </c>
      <c r="F1314" s="44">
        <f>E1314*INDEX('Age profile'!$B$2:$B$61,B1314)</f>
        <v/>
      </c>
      <c r="G1314" s="45">
        <f>MIN(in_takeup_cap,INDEX('Age profile'!$N$2:$N$61,B1314)*(1+in_takeup_growth)^(D1314-1))</f>
        <v/>
      </c>
      <c r="H1314" s="11">
        <f>MIN(in_approval_cap,in_approved_first*INDEX('Age profile'!$O$2:$O$61,B1314)*(1+in_approval_growth)^(D1314-1))</f>
        <v/>
      </c>
      <c r="I1314" s="45">
        <f>G1314*MIN(in_takeup_cap,INDEX('Age profile'!$O$2:$O$61,B1314)*(1+in_approval_growth)^(D1314-1))</f>
        <v/>
      </c>
      <c r="J1314" s="40">
        <f>(J1313-L1313)*F1314/F1313</f>
        <v/>
      </c>
      <c r="K1314" s="40">
        <f>(K1313-M1313)*F1314/F1313+SUMIFS(O1304:O1313,B1304:B1313,B1314-1-d_T)*F1314</f>
        <v/>
      </c>
      <c r="L1314" s="40">
        <f>IF(B1314&gt;=in_marketplace_from,J1314*d_hz*G1314*in_eligible*H1314,0)</f>
        <v/>
      </c>
      <c r="M1314" s="40">
        <f>IF(B1314&gt;=in_marketplace_from,K1314*d_hz*G1314*in_eligible*in_approved_repeat,0)</f>
        <v/>
      </c>
      <c r="N1314" s="40">
        <f>L1314+M1314</f>
        <v/>
      </c>
      <c r="O1314" s="46">
        <f>N1314/F1314</f>
        <v/>
      </c>
      <c r="P1314" s="40">
        <f>F1314-J1314-K1314</f>
        <v/>
      </c>
      <c r="Q1314" s="40">
        <f>IF(B1314&gt;=in_marketplace_from,(J1314+K1314)*d_hz*G1314,0)</f>
        <v/>
      </c>
      <c r="R1314" s="40">
        <f>SUMIFS(N1304:N1335,B1304:B1335,"&gt;="&amp;(B1314-d_T),B1304:B1335,"&lt;="&amp;(B1314-1))</f>
        <v/>
      </c>
      <c r="S1314" s="46">
        <f>(1-d_u)*S1313+IF(d_T&gt;in_topup_lag,SUMIFS(O1304:O1335,B1304:B1335,B1314-in_topup_lag)-d_udrop*SUMIFS(O1304:O1335,B1304:B1335,B1314-d_T),0)</f>
        <v/>
      </c>
      <c r="T1314" s="40">
        <f>F1314*d_u*S1314</f>
        <v/>
      </c>
      <c r="U1314" s="9">
        <f>L1314*in_ticket+M1314*d_rep_ticket</f>
        <v/>
      </c>
      <c r="V1314" s="9">
        <f>U1314+T1314*d_topup_amt</f>
        <v/>
      </c>
      <c r="W1314" s="40">
        <f>N1314+T1314*d_topup_ratio</f>
        <v/>
      </c>
      <c r="X1314" s="40">
        <f>SUMIFS(W1304:W1335,B1304:B1335,B1314-in_dpd_lag)*d_cured</f>
        <v/>
      </c>
      <c r="Y1314" s="40">
        <f>SUMIFS(W1304:W1335,B1304:B1335,B1314-in_rec_lag)*d_recd</f>
        <v/>
      </c>
      <c r="Z1314" s="40">
        <f>IF(AND(B1314&gt;=in_marketplace_from,B1314&lt;in_marketplace_from+in_card_months),in_card_share/in_card_months*F1314*I1314,IF(AND(B1314&gt;=in_marketplace_from+in_card_months,B1314&lt;in_marketplace_from+2*in_card_months),in_card_share*d_card_rem/in_card_months*F1314*MIN(in_takeup_cap,(1+in_takeup_growth)^(D1314-1))*MIN(in_takeup_cap,(1+in_approval_growth)^(D1314-1)),0))</f>
        <v/>
      </c>
      <c r="AA1314" s="14">
        <f>V1314*in_fee*(1-in_taken_back)</f>
        <v/>
      </c>
      <c r="AB1314" s="14">
        <f>SUMIFS(W1304:W1335,B1304:B1335,B1314-in_dpd_lag)*d_dpd</f>
        <v/>
      </c>
      <c r="AC1314" s="14">
        <f>SUMIFS(W1304:W1335,B1304:B1335,B1314-in_rec_lag)*d_rec</f>
        <v/>
      </c>
      <c r="AD1314" s="14">
        <f>Z1314*in_card_fee</f>
        <v/>
      </c>
      <c r="AE1314" s="40">
        <f>AE1313*(1-IF(B1313&gt;=in_marketplace_from,d_hz_hlth_small*G1313,0))</f>
        <v/>
      </c>
      <c r="AF1314" s="46">
        <f>AE1314*IF(B1314&gt;=in_marketplace_from,d_hz_hlth_small*G1314,0)</f>
        <v/>
      </c>
      <c r="AG1314" s="14">
        <f>F1314*AF1314*in_hlth_small_ticket*in_hlth_small_comm*in_ins_partner_share+F1314*in_hlth_small_ticket*in_hlth_small_renew_comm*in_ins_partner_share*(in_hlth_small_renew^1*SUMIFS(AF1304:AF1335,B1304:B1335,B1314-12)+in_hlth_small_renew^2*SUMIFS(AF1304:AF1335,B1304:B1335,B1314-24)+in_hlth_small_renew^3*SUMIFS(AF1304:AF1335,B1304:B1335,B1314-36)+in_hlth_small_renew^4*SUMIFS(AF1304:AF1335,B1304:B1335,B1314-48))</f>
        <v/>
      </c>
      <c r="AH1314" s="40">
        <f>AH1313*(1-IF(B1313&gt;=in_marketplace_from,d_hz_hlth_family*G1313,0))</f>
        <v/>
      </c>
      <c r="AI1314" s="46">
        <f>AH1314*IF(B1314&gt;=in_marketplace_from,d_hz_hlth_family*G1314,0)</f>
        <v/>
      </c>
      <c r="AJ1314" s="14">
        <f>F1314*AI1314*in_hlth_family_ticket*in_hlth_family_comm*in_ins_partner_share+F1314*in_hlth_family_ticket*in_hlth_family_renew_comm*in_ins_partner_share*(in_hlth_family_renew^1*SUMIFS(AI1304:AI1335,B1304:B1335,B1314-12)+in_hlth_family_renew^2*SUMIFS(AI1304:AI1335,B1304:B1335,B1314-24)+in_hlth_family_renew^3*SUMIFS(AI1304:AI1335,B1304:B1335,B1314-36)+in_hlth_family_renew^4*SUMIFS(AI1304:AI1335,B1304:B1335,B1314-48))</f>
        <v/>
      </c>
      <c r="AK1314" s="40">
        <f>AK1313*(1-IF(B1313&gt;=in_marketplace_from,d_hz_life_term*G1313,0))</f>
        <v/>
      </c>
      <c r="AL1314" s="46">
        <f>AK1314*IF(B1314&gt;=in_marketplace_from,d_hz_life_term*G1314,0)</f>
        <v/>
      </c>
      <c r="AM1314" s="14">
        <f>F1314*AL1314*in_life_term_ticket*in_life_term_comm*in_ins_partner_share+F1314*in_life_term_ticket*in_life_term_renew_comm*in_ins_partner_share*(in_life_term_renew^1*SUMIFS(AL1304:AL1335,B1304:B1335,B1314-12)+in_life_term_renew^2*SUMIFS(AL1304:AL1335,B1304:B1335,B1314-24)+in_life_term_renew^3*SUMIFS(AL1304:AL1335,B1304:B1335,B1314-36)+in_life_term_renew^4*SUMIFS(AL1304:AL1335,B1304:B1335,B1314-48))</f>
        <v/>
      </c>
      <c r="AN1314" s="40">
        <f>AN1313*(1-IF(B1313&gt;=in_marketplace_from,d_hz_accident*G1313,0))</f>
        <v/>
      </c>
      <c r="AO1314" s="46">
        <f>AN1314*IF(B1314&gt;=in_marketplace_from,d_hz_accident*G1314,0)</f>
        <v/>
      </c>
      <c r="AP1314" s="14">
        <f>F1314*AO1314*in_accident_ticket*in_accident_comm*in_ins_partner_share+F1314*in_accident_ticket*in_accident_renew_comm*in_ins_partner_share*(in_accident_renew^1*SUMIFS(AO1304:AO1335,B1304:B1335,B1314-12)+in_accident_renew^2*SUMIFS(AO1304:AO1335,B1304:B1335,B1314-24)+in_accident_renew^3*SUMIFS(AO1304:AO1335,B1304:B1335,B1314-36)+in_accident_renew^4*SUMIFS(AO1304:AO1335,B1304:B1335,B1314-48))</f>
        <v/>
      </c>
      <c r="AQ1314" s="40">
        <f>AQ1313*(1-IF(B1313&gt;=in_marketplace_from,d_hz_two_wheeler*G1313,0))</f>
        <v/>
      </c>
      <c r="AR1314" s="46">
        <f>AQ1314*IF(B1314&gt;=in_marketplace_from,d_hz_two_wheeler*G1314,0)</f>
        <v/>
      </c>
      <c r="AS1314" s="14">
        <f>F1314*AR1314*in_two_wheeler_ticket*in_two_wheeler_comm*in_ins_partner_share+F1314*in_two_wheeler_ticket*in_two_wheeler_comm*in_ins_partner_share*(in_two_wheeler_renew^1*SUMIFS(AR1304:AR1335,B1304:B1335,B1314-12)+in_two_wheeler_renew^2*SUMIFS(AR1304:AR1335,B1304:B1335,B1314-24)+in_two_wheeler_renew^3*SUMIFS(AR1304:AR1335,B1304:B1335,B1314-36)+in_two_wheeler_renew^4*SUMIFS(AR1304:AR1335,B1304:B1335,B1314-48))</f>
        <v/>
      </c>
      <c r="AT1314" s="40">
        <f>AT1313*(1-IF(B1313&gt;=in_marketplace_from,d_hz_device*G1313,0))</f>
        <v/>
      </c>
      <c r="AU1314" s="14">
        <f>F1314*AT1314*IF(B1314&gt;=in_marketplace_from,d_hz_device*G1314,0)*in_device_ticket*in_device_comm*in_ins_partner_share</f>
        <v/>
      </c>
      <c r="AV1314" s="40">
        <f>AV1313*(1-IF(B1313&gt;=in_marketplace_from,d_hz_shop*G1313,0))</f>
        <v/>
      </c>
      <c r="AW1314" s="46">
        <f>AV1314*IF(B1314&gt;=in_marketplace_from,d_hz_shop*G1314,0)</f>
        <v/>
      </c>
      <c r="AX1314" s="14">
        <f>F1314*AW1314*in_shop_ticket*in_shop_comm*in_ins_partner_share+F1314*in_shop_ticket*in_shop_renew_comm*in_ins_partner_share*(in_shop_renew^1*SUMIFS(AW1304:AW1335,B1304:B1335,B1314-12)+in_shop_renew^2*SUMIFS(AW1304:AW1335,B1304:B1335,B1314-24)+in_shop_renew^3*SUMIFS(AW1304:AW1335,B1304:B1335,B1314-36)+in_shop_renew^4*SUMIFS(AW1304:AW1335,B1304:B1335,B1314-48))</f>
        <v/>
      </c>
      <c r="AY1314" s="40">
        <f>AY1313*(1-IF(B1313&gt;=in_marketplace_from,d_hz_sip*G1313,0))</f>
        <v/>
      </c>
      <c r="AZ1314" s="40">
        <f>AZ1313*d_rho_sip+AY1314*IF(B1314&gt;=in_marketplace_from,d_hz_sip*G1314,0)</f>
        <v/>
      </c>
      <c r="BA1314" s="40">
        <f>d_rho_sip*(BA1313+AZ1313)</f>
        <v/>
      </c>
      <c r="BB1314" s="14">
        <f>F1314*in_sip_ticket*(BA1314+0.5*AZ1314)*in_sip_comm/12</f>
        <v/>
      </c>
      <c r="BC1314" s="40">
        <f>BC1313*(1-IF(B1313&gt;=in_marketplace_from,d_hz_choti*G1313,0))</f>
        <v/>
      </c>
      <c r="BD1314" s="46">
        <f>BC1314*IF(B1314&gt;=in_marketplace_from,d_hz_choti*G1314,0)</f>
        <v/>
      </c>
      <c r="BE1314" s="14">
        <f>F1314*SUMIFS(BD1304:BD1335,B1304:B1335,B1314-in_choti_months)*in_choti_renew*in_choti_ticket</f>
        <v/>
      </c>
      <c r="BF1314" s="40">
        <f>BF1313*(1-IF(B1313&gt;=in_marketplace_from,d_hz_nps*G1313,0))</f>
        <v/>
      </c>
      <c r="BG1314" s="14">
        <f>F1314*BF1314*IF(B1314&gt;=in_marketplace_from,d_hz_nps*G1314,0)*in_nps_ticket*in_nps_comm</f>
        <v/>
      </c>
      <c r="BH1314" s="40">
        <f>BH1313*(1-IF(B1313&gt;=in_marketplace_from,d_hz_gold*G1313,0))</f>
        <v/>
      </c>
      <c r="BI1314" s="40">
        <f>BI1313*d_rho_gold+BH1314*IF(B1314&gt;=in_marketplace_from,d_hz_gold*G1314,0)</f>
        <v/>
      </c>
      <c r="BJ1314" s="14">
        <f>F1314*BI1314*in_gold_ticket*in_gold_comm</f>
        <v/>
      </c>
      <c r="BK1314" s="40">
        <f>BK1313*(1-IF(B1313&gt;=in_marketplace_from,d_hz_fd*G1313,0))</f>
        <v/>
      </c>
      <c r="BL1314" s="14">
        <f>F1314*BK1314*IF(B1314&gt;=in_marketplace_from,d_hz_fd*G1314,0)*in_fd_ticket*in_fd_comm</f>
        <v/>
      </c>
      <c r="BM1314" s="40">
        <f>BM1313*(1-IF(B1313&gt;=in_marketplace_from,d_hz_recharge*G1313,0))</f>
        <v/>
      </c>
      <c r="BN1314" s="40">
        <f>BN1313*d_rho_recharge+BM1314*IF(B1314&gt;=in_marketplace_from,d_hz_recharge*G1314,0)</f>
        <v/>
      </c>
      <c r="BO1314" s="14">
        <f>F1314*BN1314*in_recharge_ticket*in_recharge_comm/12</f>
        <v/>
      </c>
      <c r="BP1314" s="40">
        <f>BP1313*(1-IF(B1313&gt;=in_marketplace_from,d_hz_bills*G1313,0))</f>
        <v/>
      </c>
      <c r="BQ1314" s="40">
        <f>BQ1313*d_rho_bills+BP1314*IF(B1314&gt;=in_marketplace_from,d_hz_bills*G1314,0)</f>
        <v/>
      </c>
      <c r="BR1314" s="14">
        <f>F1314*BQ1314*in_bills_ticket*in_bills_comm/12</f>
        <v/>
      </c>
      <c r="BS1314" s="40">
        <f>BS1313*(1-IF(B1313&gt;=in_marketplace_from,d_hz_loan_gold*G1313,0))</f>
        <v/>
      </c>
      <c r="BT1314" s="14">
        <f>F1314*BS1314*IF(B1314&gt;=in_marketplace_from,d_hz_loan_gold*G1314,0)*in_loan_gold_ticket*in_loan_gold_comm</f>
        <v/>
      </c>
      <c r="BU1314" s="40">
        <f>BU1313*(1-IF(B1313&gt;=in_marketplace_from,d_hz_loan_cd*G1313,0))</f>
        <v/>
      </c>
      <c r="BV1314" s="14">
        <f>F1314*BU1314*IF(B1314&gt;=in_marketplace_from,d_hz_loan_cd*G1314,0)*in_loan_cd_ticket*in_loan_cd_comm</f>
        <v/>
      </c>
      <c r="BW1314" s="40">
        <f>BW1313*(1-IF(B1313&gt;=in_marketplace_from,d_hz_loan_vehicle*G1313,0))</f>
        <v/>
      </c>
      <c r="BX1314" s="14">
        <f>F1314*BW1314*IF(B1314&gt;=in_marketplace_from,d_hz_loan_vehicle*G1314,0)*in_loan_vehicle_ticket*in_loan_vehicle_comm</f>
        <v/>
      </c>
      <c r="BY1314" s="40">
        <f>BY1313*(1-IF(B1313&gt;=in_marketplace_from,d_hz_loan_home*G1313,0)*BZ1313)</f>
        <v/>
      </c>
      <c r="BZ1314" s="11">
        <f>MIN(in_approval_cap,in_loan_home_approval*INDEX('Age profile'!$O$2:$O$61,B1314)*(1+in_approval_growth)^(D1314-1))</f>
        <v/>
      </c>
      <c r="CA1314" s="14">
        <f>F1314*BY1314*IF(B1314&gt;=in_marketplace_from,d_hz_loan_home*G1314,0)*BZ1314*in_loan_home_ticket*in_loan_home_comm</f>
        <v/>
      </c>
      <c r="CB1314" s="40">
        <f>CB1313*(1-IF(B1313&gt;=in_marketplace_from,d_hz_loan_lap*G1313,0)*CC1313)</f>
        <v/>
      </c>
      <c r="CC1314" s="11">
        <f>MIN(in_approval_cap,in_loan_lap_approval*INDEX('Age profile'!$O$2:$O$61,B1314)*(1+in_approval_growth)^(D1314-1))</f>
        <v/>
      </c>
      <c r="CD1314" s="14">
        <f>F1314*CB1314*IF(B1314&gt;=in_marketplace_from,d_hz_loan_lap*G1314,0)*CC1314*in_loan_lap_ticket*in_loan_lap_comm</f>
        <v/>
      </c>
      <c r="CE1314" s="14">
        <f>AA1314+AB1314+AC1314+AD1314+AG1314+AJ1314+AM1314+AP1314+AS1314+AU1314+AX1314+BB1314+BE1314+BG1314+BJ1314+BL1314+BO1314+BR1314+BT1314+BV1314+BX1314+CA1314+CD1314</f>
        <v/>
      </c>
    </row>
    <row r="1315">
      <c r="A1315" s="39" t="n">
        <v>29</v>
      </c>
      <c r="B1315" s="39" t="n">
        <v>12</v>
      </c>
      <c r="C1315" s="39">
        <f>A1315+B1315-1</f>
        <v/>
      </c>
      <c r="D1315" s="39">
        <f>INT((C1315-1)/12)+1</f>
        <v/>
      </c>
      <c r="E1315" s="44">
        <f>INDEX(Monthly!$B$2:$B$61,A1315)</f>
        <v/>
      </c>
      <c r="F1315" s="44">
        <f>E1315*INDEX('Age profile'!$B$2:$B$61,B1315)</f>
        <v/>
      </c>
      <c r="G1315" s="45">
        <f>MIN(in_takeup_cap,INDEX('Age profile'!$N$2:$N$61,B1315)*(1+in_takeup_growth)^(D1315-1))</f>
        <v/>
      </c>
      <c r="H1315" s="11">
        <f>MIN(in_approval_cap,in_approved_first*INDEX('Age profile'!$O$2:$O$61,B1315)*(1+in_approval_growth)^(D1315-1))</f>
        <v/>
      </c>
      <c r="I1315" s="45">
        <f>G1315*MIN(in_takeup_cap,INDEX('Age profile'!$O$2:$O$61,B1315)*(1+in_approval_growth)^(D1315-1))</f>
        <v/>
      </c>
      <c r="J1315" s="40">
        <f>(J1314-L1314)*F1315/F1314</f>
        <v/>
      </c>
      <c r="K1315" s="40">
        <f>(K1314-M1314)*F1315/F1314+SUMIFS(O1304:O1314,B1304:B1314,B1315-1-d_T)*F1315</f>
        <v/>
      </c>
      <c r="L1315" s="40">
        <f>IF(B1315&gt;=in_marketplace_from,J1315*d_hz*G1315*in_eligible*H1315,0)</f>
        <v/>
      </c>
      <c r="M1315" s="40">
        <f>IF(B1315&gt;=in_marketplace_from,K1315*d_hz*G1315*in_eligible*in_approved_repeat,0)</f>
        <v/>
      </c>
      <c r="N1315" s="40">
        <f>L1315+M1315</f>
        <v/>
      </c>
      <c r="O1315" s="46">
        <f>N1315/F1315</f>
        <v/>
      </c>
      <c r="P1315" s="40">
        <f>F1315-J1315-K1315</f>
        <v/>
      </c>
      <c r="Q1315" s="40">
        <f>IF(B1315&gt;=in_marketplace_from,(J1315+K1315)*d_hz*G1315,0)</f>
        <v/>
      </c>
      <c r="R1315" s="40">
        <f>SUMIFS(N1304:N1335,B1304:B1335,"&gt;="&amp;(B1315-d_T),B1304:B1335,"&lt;="&amp;(B1315-1))</f>
        <v/>
      </c>
      <c r="S1315" s="46">
        <f>(1-d_u)*S1314+IF(d_T&gt;in_topup_lag,SUMIFS(O1304:O1335,B1304:B1335,B1315-in_topup_lag)-d_udrop*SUMIFS(O1304:O1335,B1304:B1335,B1315-d_T),0)</f>
        <v/>
      </c>
      <c r="T1315" s="40">
        <f>F1315*d_u*S1315</f>
        <v/>
      </c>
      <c r="U1315" s="9">
        <f>L1315*in_ticket+M1315*d_rep_ticket</f>
        <v/>
      </c>
      <c r="V1315" s="9">
        <f>U1315+T1315*d_topup_amt</f>
        <v/>
      </c>
      <c r="W1315" s="40">
        <f>N1315+T1315*d_topup_ratio</f>
        <v/>
      </c>
      <c r="X1315" s="40">
        <f>SUMIFS(W1304:W1335,B1304:B1335,B1315-in_dpd_lag)*d_cured</f>
        <v/>
      </c>
      <c r="Y1315" s="40">
        <f>SUMIFS(W1304:W1335,B1304:B1335,B1315-in_rec_lag)*d_recd</f>
        <v/>
      </c>
      <c r="Z1315" s="40">
        <f>IF(AND(B1315&gt;=in_marketplace_from,B1315&lt;in_marketplace_from+in_card_months),in_card_share/in_card_months*F1315*I1315,IF(AND(B1315&gt;=in_marketplace_from+in_card_months,B1315&lt;in_marketplace_from+2*in_card_months),in_card_share*d_card_rem/in_card_months*F1315*MIN(in_takeup_cap,(1+in_takeup_growth)^(D1315-1))*MIN(in_takeup_cap,(1+in_approval_growth)^(D1315-1)),0))</f>
        <v/>
      </c>
      <c r="AA1315" s="14">
        <f>V1315*in_fee*(1-in_taken_back)</f>
        <v/>
      </c>
      <c r="AB1315" s="14">
        <f>SUMIFS(W1304:W1335,B1304:B1335,B1315-in_dpd_lag)*d_dpd</f>
        <v/>
      </c>
      <c r="AC1315" s="14">
        <f>SUMIFS(W1304:W1335,B1304:B1335,B1315-in_rec_lag)*d_rec</f>
        <v/>
      </c>
      <c r="AD1315" s="14">
        <f>Z1315*in_card_fee</f>
        <v/>
      </c>
      <c r="AE1315" s="40">
        <f>AE1314*(1-IF(B1314&gt;=in_marketplace_from,d_hz_hlth_small*G1314,0))</f>
        <v/>
      </c>
      <c r="AF1315" s="46">
        <f>AE1315*IF(B1315&gt;=in_marketplace_from,d_hz_hlth_small*G1315,0)</f>
        <v/>
      </c>
      <c r="AG1315" s="14">
        <f>F1315*AF1315*in_hlth_small_ticket*in_hlth_small_comm*in_ins_partner_share+F1315*in_hlth_small_ticket*in_hlth_small_renew_comm*in_ins_partner_share*(in_hlth_small_renew^1*SUMIFS(AF1304:AF1335,B1304:B1335,B1315-12)+in_hlth_small_renew^2*SUMIFS(AF1304:AF1335,B1304:B1335,B1315-24)+in_hlth_small_renew^3*SUMIFS(AF1304:AF1335,B1304:B1335,B1315-36)+in_hlth_small_renew^4*SUMIFS(AF1304:AF1335,B1304:B1335,B1315-48))</f>
        <v/>
      </c>
      <c r="AH1315" s="40">
        <f>AH1314*(1-IF(B1314&gt;=in_marketplace_from,d_hz_hlth_family*G1314,0))</f>
        <v/>
      </c>
      <c r="AI1315" s="46">
        <f>AH1315*IF(B1315&gt;=in_marketplace_from,d_hz_hlth_family*G1315,0)</f>
        <v/>
      </c>
      <c r="AJ1315" s="14">
        <f>F1315*AI1315*in_hlth_family_ticket*in_hlth_family_comm*in_ins_partner_share+F1315*in_hlth_family_ticket*in_hlth_family_renew_comm*in_ins_partner_share*(in_hlth_family_renew^1*SUMIFS(AI1304:AI1335,B1304:B1335,B1315-12)+in_hlth_family_renew^2*SUMIFS(AI1304:AI1335,B1304:B1335,B1315-24)+in_hlth_family_renew^3*SUMIFS(AI1304:AI1335,B1304:B1335,B1315-36)+in_hlth_family_renew^4*SUMIFS(AI1304:AI1335,B1304:B1335,B1315-48))</f>
        <v/>
      </c>
      <c r="AK1315" s="40">
        <f>AK1314*(1-IF(B1314&gt;=in_marketplace_from,d_hz_life_term*G1314,0))</f>
        <v/>
      </c>
      <c r="AL1315" s="46">
        <f>AK1315*IF(B1315&gt;=in_marketplace_from,d_hz_life_term*G1315,0)</f>
        <v/>
      </c>
      <c r="AM1315" s="14">
        <f>F1315*AL1315*in_life_term_ticket*in_life_term_comm*in_ins_partner_share+F1315*in_life_term_ticket*in_life_term_renew_comm*in_ins_partner_share*(in_life_term_renew^1*SUMIFS(AL1304:AL1335,B1304:B1335,B1315-12)+in_life_term_renew^2*SUMIFS(AL1304:AL1335,B1304:B1335,B1315-24)+in_life_term_renew^3*SUMIFS(AL1304:AL1335,B1304:B1335,B1315-36)+in_life_term_renew^4*SUMIFS(AL1304:AL1335,B1304:B1335,B1315-48))</f>
        <v/>
      </c>
      <c r="AN1315" s="40">
        <f>AN1314*(1-IF(B1314&gt;=in_marketplace_from,d_hz_accident*G1314,0))</f>
        <v/>
      </c>
      <c r="AO1315" s="46">
        <f>AN1315*IF(B1315&gt;=in_marketplace_from,d_hz_accident*G1315,0)</f>
        <v/>
      </c>
      <c r="AP1315" s="14">
        <f>F1315*AO1315*in_accident_ticket*in_accident_comm*in_ins_partner_share+F1315*in_accident_ticket*in_accident_renew_comm*in_ins_partner_share*(in_accident_renew^1*SUMIFS(AO1304:AO1335,B1304:B1335,B1315-12)+in_accident_renew^2*SUMIFS(AO1304:AO1335,B1304:B1335,B1315-24)+in_accident_renew^3*SUMIFS(AO1304:AO1335,B1304:B1335,B1315-36)+in_accident_renew^4*SUMIFS(AO1304:AO1335,B1304:B1335,B1315-48))</f>
        <v/>
      </c>
      <c r="AQ1315" s="40">
        <f>AQ1314*(1-IF(B1314&gt;=in_marketplace_from,d_hz_two_wheeler*G1314,0))</f>
        <v/>
      </c>
      <c r="AR1315" s="46">
        <f>AQ1315*IF(B1315&gt;=in_marketplace_from,d_hz_two_wheeler*G1315,0)</f>
        <v/>
      </c>
      <c r="AS1315" s="14">
        <f>F1315*AR1315*in_two_wheeler_ticket*in_two_wheeler_comm*in_ins_partner_share+F1315*in_two_wheeler_ticket*in_two_wheeler_comm*in_ins_partner_share*(in_two_wheeler_renew^1*SUMIFS(AR1304:AR1335,B1304:B1335,B1315-12)+in_two_wheeler_renew^2*SUMIFS(AR1304:AR1335,B1304:B1335,B1315-24)+in_two_wheeler_renew^3*SUMIFS(AR1304:AR1335,B1304:B1335,B1315-36)+in_two_wheeler_renew^4*SUMIFS(AR1304:AR1335,B1304:B1335,B1315-48))</f>
        <v/>
      </c>
      <c r="AT1315" s="40">
        <f>AT1314*(1-IF(B1314&gt;=in_marketplace_from,d_hz_device*G1314,0))</f>
        <v/>
      </c>
      <c r="AU1315" s="14">
        <f>F1315*AT1315*IF(B1315&gt;=in_marketplace_from,d_hz_device*G1315,0)*in_device_ticket*in_device_comm*in_ins_partner_share</f>
        <v/>
      </c>
      <c r="AV1315" s="40">
        <f>AV1314*(1-IF(B1314&gt;=in_marketplace_from,d_hz_shop*G1314,0))</f>
        <v/>
      </c>
      <c r="AW1315" s="46">
        <f>AV1315*IF(B1315&gt;=in_marketplace_from,d_hz_shop*G1315,0)</f>
        <v/>
      </c>
      <c r="AX1315" s="14">
        <f>F1315*AW1315*in_shop_ticket*in_shop_comm*in_ins_partner_share+F1315*in_shop_ticket*in_shop_renew_comm*in_ins_partner_share*(in_shop_renew^1*SUMIFS(AW1304:AW1335,B1304:B1335,B1315-12)+in_shop_renew^2*SUMIFS(AW1304:AW1335,B1304:B1335,B1315-24)+in_shop_renew^3*SUMIFS(AW1304:AW1335,B1304:B1335,B1315-36)+in_shop_renew^4*SUMIFS(AW1304:AW1335,B1304:B1335,B1315-48))</f>
        <v/>
      </c>
      <c r="AY1315" s="40">
        <f>AY1314*(1-IF(B1314&gt;=in_marketplace_from,d_hz_sip*G1314,0))</f>
        <v/>
      </c>
      <c r="AZ1315" s="40">
        <f>AZ1314*d_rho_sip+AY1315*IF(B1315&gt;=in_marketplace_from,d_hz_sip*G1315,0)</f>
        <v/>
      </c>
      <c r="BA1315" s="40">
        <f>d_rho_sip*(BA1314+AZ1314)</f>
        <v/>
      </c>
      <c r="BB1315" s="14">
        <f>F1315*in_sip_ticket*(BA1315+0.5*AZ1315)*in_sip_comm/12</f>
        <v/>
      </c>
      <c r="BC1315" s="40">
        <f>BC1314*(1-IF(B1314&gt;=in_marketplace_from,d_hz_choti*G1314,0))</f>
        <v/>
      </c>
      <c r="BD1315" s="46">
        <f>BC1315*IF(B1315&gt;=in_marketplace_from,d_hz_choti*G1315,0)</f>
        <v/>
      </c>
      <c r="BE1315" s="14">
        <f>F1315*SUMIFS(BD1304:BD1335,B1304:B1335,B1315-in_choti_months)*in_choti_renew*in_choti_ticket</f>
        <v/>
      </c>
      <c r="BF1315" s="40">
        <f>BF1314*(1-IF(B1314&gt;=in_marketplace_from,d_hz_nps*G1314,0))</f>
        <v/>
      </c>
      <c r="BG1315" s="14">
        <f>F1315*BF1315*IF(B1315&gt;=in_marketplace_from,d_hz_nps*G1315,0)*in_nps_ticket*in_nps_comm</f>
        <v/>
      </c>
      <c r="BH1315" s="40">
        <f>BH1314*(1-IF(B1314&gt;=in_marketplace_from,d_hz_gold*G1314,0))</f>
        <v/>
      </c>
      <c r="BI1315" s="40">
        <f>BI1314*d_rho_gold+BH1315*IF(B1315&gt;=in_marketplace_from,d_hz_gold*G1315,0)</f>
        <v/>
      </c>
      <c r="BJ1315" s="14">
        <f>F1315*BI1315*in_gold_ticket*in_gold_comm</f>
        <v/>
      </c>
      <c r="BK1315" s="40">
        <f>BK1314*(1-IF(B1314&gt;=in_marketplace_from,d_hz_fd*G1314,0))</f>
        <v/>
      </c>
      <c r="BL1315" s="14">
        <f>F1315*BK1315*IF(B1315&gt;=in_marketplace_from,d_hz_fd*G1315,0)*in_fd_ticket*in_fd_comm</f>
        <v/>
      </c>
      <c r="BM1315" s="40">
        <f>BM1314*(1-IF(B1314&gt;=in_marketplace_from,d_hz_recharge*G1314,0))</f>
        <v/>
      </c>
      <c r="BN1315" s="40">
        <f>BN1314*d_rho_recharge+BM1315*IF(B1315&gt;=in_marketplace_from,d_hz_recharge*G1315,0)</f>
        <v/>
      </c>
      <c r="BO1315" s="14">
        <f>F1315*BN1315*in_recharge_ticket*in_recharge_comm/12</f>
        <v/>
      </c>
      <c r="BP1315" s="40">
        <f>BP1314*(1-IF(B1314&gt;=in_marketplace_from,d_hz_bills*G1314,0))</f>
        <v/>
      </c>
      <c r="BQ1315" s="40">
        <f>BQ1314*d_rho_bills+BP1315*IF(B1315&gt;=in_marketplace_from,d_hz_bills*G1315,0)</f>
        <v/>
      </c>
      <c r="BR1315" s="14">
        <f>F1315*BQ1315*in_bills_ticket*in_bills_comm/12</f>
        <v/>
      </c>
      <c r="BS1315" s="40">
        <f>BS1314*(1-IF(B1314&gt;=in_marketplace_from,d_hz_loan_gold*G1314,0))</f>
        <v/>
      </c>
      <c r="BT1315" s="14">
        <f>F1315*BS1315*IF(B1315&gt;=in_marketplace_from,d_hz_loan_gold*G1315,0)*in_loan_gold_ticket*in_loan_gold_comm</f>
        <v/>
      </c>
      <c r="BU1315" s="40">
        <f>BU1314*(1-IF(B1314&gt;=in_marketplace_from,d_hz_loan_cd*G1314,0))</f>
        <v/>
      </c>
      <c r="BV1315" s="14">
        <f>F1315*BU1315*IF(B1315&gt;=in_marketplace_from,d_hz_loan_cd*G1315,0)*in_loan_cd_ticket*in_loan_cd_comm</f>
        <v/>
      </c>
      <c r="BW1315" s="40">
        <f>BW1314*(1-IF(B1314&gt;=in_marketplace_from,d_hz_loan_vehicle*G1314,0))</f>
        <v/>
      </c>
      <c r="BX1315" s="14">
        <f>F1315*BW1315*IF(B1315&gt;=in_marketplace_from,d_hz_loan_vehicle*G1315,0)*in_loan_vehicle_ticket*in_loan_vehicle_comm</f>
        <v/>
      </c>
      <c r="BY1315" s="40">
        <f>BY1314*(1-IF(B1314&gt;=in_marketplace_from,d_hz_loan_home*G1314,0)*BZ1314)</f>
        <v/>
      </c>
      <c r="BZ1315" s="11">
        <f>MIN(in_approval_cap,in_loan_home_approval*INDEX('Age profile'!$O$2:$O$61,B1315)*(1+in_approval_growth)^(D1315-1))</f>
        <v/>
      </c>
      <c r="CA1315" s="14">
        <f>F1315*BY1315*IF(B1315&gt;=in_marketplace_from,d_hz_loan_home*G1315,0)*BZ1315*in_loan_home_ticket*in_loan_home_comm</f>
        <v/>
      </c>
      <c r="CB1315" s="40">
        <f>CB1314*(1-IF(B1314&gt;=in_marketplace_from,d_hz_loan_lap*G1314,0)*CC1314)</f>
        <v/>
      </c>
      <c r="CC1315" s="11">
        <f>MIN(in_approval_cap,in_loan_lap_approval*INDEX('Age profile'!$O$2:$O$61,B1315)*(1+in_approval_growth)^(D1315-1))</f>
        <v/>
      </c>
      <c r="CD1315" s="14">
        <f>F1315*CB1315*IF(B1315&gt;=in_marketplace_from,d_hz_loan_lap*G1315,0)*CC1315*in_loan_lap_ticket*in_loan_lap_comm</f>
        <v/>
      </c>
      <c r="CE1315" s="14">
        <f>AA1315+AB1315+AC1315+AD1315+AG1315+AJ1315+AM1315+AP1315+AS1315+AU1315+AX1315+BB1315+BE1315+BG1315+BJ1315+BL1315+BO1315+BR1315+BT1315+BV1315+BX1315+CA1315+CD1315</f>
        <v/>
      </c>
    </row>
    <row r="1316">
      <c r="A1316" s="39" t="n">
        <v>29</v>
      </c>
      <c r="B1316" s="39" t="n">
        <v>13</v>
      </c>
      <c r="C1316" s="39">
        <f>A1316+B1316-1</f>
        <v/>
      </c>
      <c r="D1316" s="39">
        <f>INT((C1316-1)/12)+1</f>
        <v/>
      </c>
      <c r="E1316" s="44">
        <f>INDEX(Monthly!$B$2:$B$61,A1316)</f>
        <v/>
      </c>
      <c r="F1316" s="44">
        <f>E1316*INDEX('Age profile'!$B$2:$B$61,B1316)</f>
        <v/>
      </c>
      <c r="G1316" s="45">
        <f>MIN(in_takeup_cap,INDEX('Age profile'!$N$2:$N$61,B1316)*(1+in_takeup_growth)^(D1316-1))</f>
        <v/>
      </c>
      <c r="H1316" s="11">
        <f>MIN(in_approval_cap,in_approved_first*INDEX('Age profile'!$O$2:$O$61,B1316)*(1+in_approval_growth)^(D1316-1))</f>
        <v/>
      </c>
      <c r="I1316" s="45">
        <f>G1316*MIN(in_takeup_cap,INDEX('Age profile'!$O$2:$O$61,B1316)*(1+in_approval_growth)^(D1316-1))</f>
        <v/>
      </c>
      <c r="J1316" s="40">
        <f>(J1315-L1315)*F1316/F1315</f>
        <v/>
      </c>
      <c r="K1316" s="40">
        <f>(K1315-M1315)*F1316/F1315+SUMIFS(O1304:O1315,B1304:B1315,B1316-1-d_T)*F1316</f>
        <v/>
      </c>
      <c r="L1316" s="40">
        <f>IF(B1316&gt;=in_marketplace_from,J1316*d_hz*G1316*in_eligible*H1316,0)</f>
        <v/>
      </c>
      <c r="M1316" s="40">
        <f>IF(B1316&gt;=in_marketplace_from,K1316*d_hz*G1316*in_eligible*in_approved_repeat,0)</f>
        <v/>
      </c>
      <c r="N1316" s="40">
        <f>L1316+M1316</f>
        <v/>
      </c>
      <c r="O1316" s="46">
        <f>N1316/F1316</f>
        <v/>
      </c>
      <c r="P1316" s="40">
        <f>F1316-J1316-K1316</f>
        <v/>
      </c>
      <c r="Q1316" s="40">
        <f>IF(B1316&gt;=in_marketplace_from,(J1316+K1316)*d_hz*G1316,0)</f>
        <v/>
      </c>
      <c r="R1316" s="40">
        <f>SUMIFS(N1304:N1335,B1304:B1335,"&gt;="&amp;(B1316-d_T),B1304:B1335,"&lt;="&amp;(B1316-1))</f>
        <v/>
      </c>
      <c r="S1316" s="46">
        <f>(1-d_u)*S1315+IF(d_T&gt;in_topup_lag,SUMIFS(O1304:O1335,B1304:B1335,B1316-in_topup_lag)-d_udrop*SUMIFS(O1304:O1335,B1304:B1335,B1316-d_T),0)</f>
        <v/>
      </c>
      <c r="T1316" s="40">
        <f>F1316*d_u*S1316</f>
        <v/>
      </c>
      <c r="U1316" s="9">
        <f>L1316*in_ticket+M1316*d_rep_ticket</f>
        <v/>
      </c>
      <c r="V1316" s="9">
        <f>U1316+T1316*d_topup_amt</f>
        <v/>
      </c>
      <c r="W1316" s="40">
        <f>N1316+T1316*d_topup_ratio</f>
        <v/>
      </c>
      <c r="X1316" s="40">
        <f>SUMIFS(W1304:W1335,B1304:B1335,B1316-in_dpd_lag)*d_cured</f>
        <v/>
      </c>
      <c r="Y1316" s="40">
        <f>SUMIFS(W1304:W1335,B1304:B1335,B1316-in_rec_lag)*d_recd</f>
        <v/>
      </c>
      <c r="Z1316" s="40">
        <f>IF(AND(B1316&gt;=in_marketplace_from,B1316&lt;in_marketplace_from+in_card_months),in_card_share/in_card_months*F1316*I1316,IF(AND(B1316&gt;=in_marketplace_from+in_card_months,B1316&lt;in_marketplace_from+2*in_card_months),in_card_share*d_card_rem/in_card_months*F1316*MIN(in_takeup_cap,(1+in_takeup_growth)^(D1316-1))*MIN(in_takeup_cap,(1+in_approval_growth)^(D1316-1)),0))</f>
        <v/>
      </c>
      <c r="AA1316" s="14">
        <f>V1316*in_fee*(1-in_taken_back)</f>
        <v/>
      </c>
      <c r="AB1316" s="14">
        <f>SUMIFS(W1304:W1335,B1304:B1335,B1316-in_dpd_lag)*d_dpd</f>
        <v/>
      </c>
      <c r="AC1316" s="14">
        <f>SUMIFS(W1304:W1335,B1304:B1335,B1316-in_rec_lag)*d_rec</f>
        <v/>
      </c>
      <c r="AD1316" s="14">
        <f>Z1316*in_card_fee</f>
        <v/>
      </c>
      <c r="AE1316" s="40">
        <f>AE1315*(1-IF(B1315&gt;=in_marketplace_from,d_hz_hlth_small*G1315,0))</f>
        <v/>
      </c>
      <c r="AF1316" s="46">
        <f>AE1316*IF(B1316&gt;=in_marketplace_from,d_hz_hlth_small*G1316,0)</f>
        <v/>
      </c>
      <c r="AG1316" s="14">
        <f>F1316*AF1316*in_hlth_small_ticket*in_hlth_small_comm*in_ins_partner_share+F1316*in_hlth_small_ticket*in_hlth_small_renew_comm*in_ins_partner_share*(in_hlth_small_renew^1*SUMIFS(AF1304:AF1335,B1304:B1335,B1316-12)+in_hlth_small_renew^2*SUMIFS(AF1304:AF1335,B1304:B1335,B1316-24)+in_hlth_small_renew^3*SUMIFS(AF1304:AF1335,B1304:B1335,B1316-36)+in_hlth_small_renew^4*SUMIFS(AF1304:AF1335,B1304:B1335,B1316-48))</f>
        <v/>
      </c>
      <c r="AH1316" s="40">
        <f>AH1315*(1-IF(B1315&gt;=in_marketplace_from,d_hz_hlth_family*G1315,0))</f>
        <v/>
      </c>
      <c r="AI1316" s="46">
        <f>AH1316*IF(B1316&gt;=in_marketplace_from,d_hz_hlth_family*G1316,0)</f>
        <v/>
      </c>
      <c r="AJ1316" s="14">
        <f>F1316*AI1316*in_hlth_family_ticket*in_hlth_family_comm*in_ins_partner_share+F1316*in_hlth_family_ticket*in_hlth_family_renew_comm*in_ins_partner_share*(in_hlth_family_renew^1*SUMIFS(AI1304:AI1335,B1304:B1335,B1316-12)+in_hlth_family_renew^2*SUMIFS(AI1304:AI1335,B1304:B1335,B1316-24)+in_hlth_family_renew^3*SUMIFS(AI1304:AI1335,B1304:B1335,B1316-36)+in_hlth_family_renew^4*SUMIFS(AI1304:AI1335,B1304:B1335,B1316-48))</f>
        <v/>
      </c>
      <c r="AK1316" s="40">
        <f>AK1315*(1-IF(B1315&gt;=in_marketplace_from,d_hz_life_term*G1315,0))</f>
        <v/>
      </c>
      <c r="AL1316" s="46">
        <f>AK1316*IF(B1316&gt;=in_marketplace_from,d_hz_life_term*G1316,0)</f>
        <v/>
      </c>
      <c r="AM1316" s="14">
        <f>F1316*AL1316*in_life_term_ticket*in_life_term_comm*in_ins_partner_share+F1316*in_life_term_ticket*in_life_term_renew_comm*in_ins_partner_share*(in_life_term_renew^1*SUMIFS(AL1304:AL1335,B1304:B1335,B1316-12)+in_life_term_renew^2*SUMIFS(AL1304:AL1335,B1304:B1335,B1316-24)+in_life_term_renew^3*SUMIFS(AL1304:AL1335,B1304:B1335,B1316-36)+in_life_term_renew^4*SUMIFS(AL1304:AL1335,B1304:B1335,B1316-48))</f>
        <v/>
      </c>
      <c r="AN1316" s="40">
        <f>AN1315*(1-IF(B1315&gt;=in_marketplace_from,d_hz_accident*G1315,0))</f>
        <v/>
      </c>
      <c r="AO1316" s="46">
        <f>AN1316*IF(B1316&gt;=in_marketplace_from,d_hz_accident*G1316,0)</f>
        <v/>
      </c>
      <c r="AP1316" s="14">
        <f>F1316*AO1316*in_accident_ticket*in_accident_comm*in_ins_partner_share+F1316*in_accident_ticket*in_accident_renew_comm*in_ins_partner_share*(in_accident_renew^1*SUMIFS(AO1304:AO1335,B1304:B1335,B1316-12)+in_accident_renew^2*SUMIFS(AO1304:AO1335,B1304:B1335,B1316-24)+in_accident_renew^3*SUMIFS(AO1304:AO1335,B1304:B1335,B1316-36)+in_accident_renew^4*SUMIFS(AO1304:AO1335,B1304:B1335,B1316-48))</f>
        <v/>
      </c>
      <c r="AQ1316" s="40">
        <f>AQ1315*(1-IF(B1315&gt;=in_marketplace_from,d_hz_two_wheeler*G1315,0))</f>
        <v/>
      </c>
      <c r="AR1316" s="46">
        <f>AQ1316*IF(B1316&gt;=in_marketplace_from,d_hz_two_wheeler*G1316,0)</f>
        <v/>
      </c>
      <c r="AS1316" s="14">
        <f>F1316*AR1316*in_two_wheeler_ticket*in_two_wheeler_comm*in_ins_partner_share+F1316*in_two_wheeler_ticket*in_two_wheeler_comm*in_ins_partner_share*(in_two_wheeler_renew^1*SUMIFS(AR1304:AR1335,B1304:B1335,B1316-12)+in_two_wheeler_renew^2*SUMIFS(AR1304:AR1335,B1304:B1335,B1316-24)+in_two_wheeler_renew^3*SUMIFS(AR1304:AR1335,B1304:B1335,B1316-36)+in_two_wheeler_renew^4*SUMIFS(AR1304:AR1335,B1304:B1335,B1316-48))</f>
        <v/>
      </c>
      <c r="AT1316" s="40">
        <f>AT1315*(1-IF(B1315&gt;=in_marketplace_from,d_hz_device*G1315,0))</f>
        <v/>
      </c>
      <c r="AU1316" s="14">
        <f>F1316*AT1316*IF(B1316&gt;=in_marketplace_from,d_hz_device*G1316,0)*in_device_ticket*in_device_comm*in_ins_partner_share</f>
        <v/>
      </c>
      <c r="AV1316" s="40">
        <f>AV1315*(1-IF(B1315&gt;=in_marketplace_from,d_hz_shop*G1315,0))</f>
        <v/>
      </c>
      <c r="AW1316" s="46">
        <f>AV1316*IF(B1316&gt;=in_marketplace_from,d_hz_shop*G1316,0)</f>
        <v/>
      </c>
      <c r="AX1316" s="14">
        <f>F1316*AW1316*in_shop_ticket*in_shop_comm*in_ins_partner_share+F1316*in_shop_ticket*in_shop_renew_comm*in_ins_partner_share*(in_shop_renew^1*SUMIFS(AW1304:AW1335,B1304:B1335,B1316-12)+in_shop_renew^2*SUMIFS(AW1304:AW1335,B1304:B1335,B1316-24)+in_shop_renew^3*SUMIFS(AW1304:AW1335,B1304:B1335,B1316-36)+in_shop_renew^4*SUMIFS(AW1304:AW1335,B1304:B1335,B1316-48))</f>
        <v/>
      </c>
      <c r="AY1316" s="40">
        <f>AY1315*(1-IF(B1315&gt;=in_marketplace_from,d_hz_sip*G1315,0))</f>
        <v/>
      </c>
      <c r="AZ1316" s="40">
        <f>AZ1315*d_rho_sip+AY1316*IF(B1316&gt;=in_marketplace_from,d_hz_sip*G1316,0)</f>
        <v/>
      </c>
      <c r="BA1316" s="40">
        <f>d_rho_sip*(BA1315+AZ1315)</f>
        <v/>
      </c>
      <c r="BB1316" s="14">
        <f>F1316*in_sip_ticket*(BA1316+0.5*AZ1316)*in_sip_comm/12</f>
        <v/>
      </c>
      <c r="BC1316" s="40">
        <f>BC1315*(1-IF(B1315&gt;=in_marketplace_from,d_hz_choti*G1315,0))</f>
        <v/>
      </c>
      <c r="BD1316" s="46">
        <f>BC1316*IF(B1316&gt;=in_marketplace_from,d_hz_choti*G1316,0)</f>
        <v/>
      </c>
      <c r="BE1316" s="14">
        <f>F1316*SUMIFS(BD1304:BD1335,B1304:B1335,B1316-in_choti_months)*in_choti_renew*in_choti_ticket</f>
        <v/>
      </c>
      <c r="BF1316" s="40">
        <f>BF1315*(1-IF(B1315&gt;=in_marketplace_from,d_hz_nps*G1315,0))</f>
        <v/>
      </c>
      <c r="BG1316" s="14">
        <f>F1316*BF1316*IF(B1316&gt;=in_marketplace_from,d_hz_nps*G1316,0)*in_nps_ticket*in_nps_comm</f>
        <v/>
      </c>
      <c r="BH1316" s="40">
        <f>BH1315*(1-IF(B1315&gt;=in_marketplace_from,d_hz_gold*G1315,0))</f>
        <v/>
      </c>
      <c r="BI1316" s="40">
        <f>BI1315*d_rho_gold+BH1316*IF(B1316&gt;=in_marketplace_from,d_hz_gold*G1316,0)</f>
        <v/>
      </c>
      <c r="BJ1316" s="14">
        <f>F1316*BI1316*in_gold_ticket*in_gold_comm</f>
        <v/>
      </c>
      <c r="BK1316" s="40">
        <f>BK1315*(1-IF(B1315&gt;=in_marketplace_from,d_hz_fd*G1315,0))</f>
        <v/>
      </c>
      <c r="BL1316" s="14">
        <f>F1316*BK1316*IF(B1316&gt;=in_marketplace_from,d_hz_fd*G1316,0)*in_fd_ticket*in_fd_comm</f>
        <v/>
      </c>
      <c r="BM1316" s="40">
        <f>BM1315*(1-IF(B1315&gt;=in_marketplace_from,d_hz_recharge*G1315,0))</f>
        <v/>
      </c>
      <c r="BN1316" s="40">
        <f>BN1315*d_rho_recharge+BM1316*IF(B1316&gt;=in_marketplace_from,d_hz_recharge*G1316,0)</f>
        <v/>
      </c>
      <c r="BO1316" s="14">
        <f>F1316*BN1316*in_recharge_ticket*in_recharge_comm/12</f>
        <v/>
      </c>
      <c r="BP1316" s="40">
        <f>BP1315*(1-IF(B1315&gt;=in_marketplace_from,d_hz_bills*G1315,0))</f>
        <v/>
      </c>
      <c r="BQ1316" s="40">
        <f>BQ1315*d_rho_bills+BP1316*IF(B1316&gt;=in_marketplace_from,d_hz_bills*G1316,0)</f>
        <v/>
      </c>
      <c r="BR1316" s="14">
        <f>F1316*BQ1316*in_bills_ticket*in_bills_comm/12</f>
        <v/>
      </c>
      <c r="BS1316" s="40">
        <f>BS1315*(1-IF(B1315&gt;=in_marketplace_from,d_hz_loan_gold*G1315,0))</f>
        <v/>
      </c>
      <c r="BT1316" s="14">
        <f>F1316*BS1316*IF(B1316&gt;=in_marketplace_from,d_hz_loan_gold*G1316,0)*in_loan_gold_ticket*in_loan_gold_comm</f>
        <v/>
      </c>
      <c r="BU1316" s="40">
        <f>BU1315*(1-IF(B1315&gt;=in_marketplace_from,d_hz_loan_cd*G1315,0))</f>
        <v/>
      </c>
      <c r="BV1316" s="14">
        <f>F1316*BU1316*IF(B1316&gt;=in_marketplace_from,d_hz_loan_cd*G1316,0)*in_loan_cd_ticket*in_loan_cd_comm</f>
        <v/>
      </c>
      <c r="BW1316" s="40">
        <f>BW1315*(1-IF(B1315&gt;=in_marketplace_from,d_hz_loan_vehicle*G1315,0))</f>
        <v/>
      </c>
      <c r="BX1316" s="14">
        <f>F1316*BW1316*IF(B1316&gt;=in_marketplace_from,d_hz_loan_vehicle*G1316,0)*in_loan_vehicle_ticket*in_loan_vehicle_comm</f>
        <v/>
      </c>
      <c r="BY1316" s="40">
        <f>BY1315*(1-IF(B1315&gt;=in_marketplace_from,d_hz_loan_home*G1315,0)*BZ1315)</f>
        <v/>
      </c>
      <c r="BZ1316" s="11">
        <f>MIN(in_approval_cap,in_loan_home_approval*INDEX('Age profile'!$O$2:$O$61,B1316)*(1+in_approval_growth)^(D1316-1))</f>
        <v/>
      </c>
      <c r="CA1316" s="14">
        <f>F1316*BY1316*IF(B1316&gt;=in_marketplace_from,d_hz_loan_home*G1316,0)*BZ1316*in_loan_home_ticket*in_loan_home_comm</f>
        <v/>
      </c>
      <c r="CB1316" s="40">
        <f>CB1315*(1-IF(B1315&gt;=in_marketplace_from,d_hz_loan_lap*G1315,0)*CC1315)</f>
        <v/>
      </c>
      <c r="CC1316" s="11">
        <f>MIN(in_approval_cap,in_loan_lap_approval*INDEX('Age profile'!$O$2:$O$61,B1316)*(1+in_approval_growth)^(D1316-1))</f>
        <v/>
      </c>
      <c r="CD1316" s="14">
        <f>F1316*CB1316*IF(B1316&gt;=in_marketplace_from,d_hz_loan_lap*G1316,0)*CC1316*in_loan_lap_ticket*in_loan_lap_comm</f>
        <v/>
      </c>
      <c r="CE1316" s="14">
        <f>AA1316+AB1316+AC1316+AD1316+AG1316+AJ1316+AM1316+AP1316+AS1316+AU1316+AX1316+BB1316+BE1316+BG1316+BJ1316+BL1316+BO1316+BR1316+BT1316+BV1316+BX1316+CA1316+CD1316</f>
        <v/>
      </c>
    </row>
    <row r="1317">
      <c r="A1317" s="39" t="n">
        <v>29</v>
      </c>
      <c r="B1317" s="39" t="n">
        <v>14</v>
      </c>
      <c r="C1317" s="39">
        <f>A1317+B1317-1</f>
        <v/>
      </c>
      <c r="D1317" s="39">
        <f>INT((C1317-1)/12)+1</f>
        <v/>
      </c>
      <c r="E1317" s="44">
        <f>INDEX(Monthly!$B$2:$B$61,A1317)</f>
        <v/>
      </c>
      <c r="F1317" s="44">
        <f>E1317*INDEX('Age profile'!$B$2:$B$61,B1317)</f>
        <v/>
      </c>
      <c r="G1317" s="45">
        <f>MIN(in_takeup_cap,INDEX('Age profile'!$N$2:$N$61,B1317)*(1+in_takeup_growth)^(D1317-1))</f>
        <v/>
      </c>
      <c r="H1317" s="11">
        <f>MIN(in_approval_cap,in_approved_first*INDEX('Age profile'!$O$2:$O$61,B1317)*(1+in_approval_growth)^(D1317-1))</f>
        <v/>
      </c>
      <c r="I1317" s="45">
        <f>G1317*MIN(in_takeup_cap,INDEX('Age profile'!$O$2:$O$61,B1317)*(1+in_approval_growth)^(D1317-1))</f>
        <v/>
      </c>
      <c r="J1317" s="40">
        <f>(J1316-L1316)*F1317/F1316</f>
        <v/>
      </c>
      <c r="K1317" s="40">
        <f>(K1316-M1316)*F1317/F1316+SUMIFS(O1304:O1316,B1304:B1316,B1317-1-d_T)*F1317</f>
        <v/>
      </c>
      <c r="L1317" s="40">
        <f>IF(B1317&gt;=in_marketplace_from,J1317*d_hz*G1317*in_eligible*H1317,0)</f>
        <v/>
      </c>
      <c r="M1317" s="40">
        <f>IF(B1317&gt;=in_marketplace_from,K1317*d_hz*G1317*in_eligible*in_approved_repeat,0)</f>
        <v/>
      </c>
      <c r="N1317" s="40">
        <f>L1317+M1317</f>
        <v/>
      </c>
      <c r="O1317" s="46">
        <f>N1317/F1317</f>
        <v/>
      </c>
      <c r="P1317" s="40">
        <f>F1317-J1317-K1317</f>
        <v/>
      </c>
      <c r="Q1317" s="40">
        <f>IF(B1317&gt;=in_marketplace_from,(J1317+K1317)*d_hz*G1317,0)</f>
        <v/>
      </c>
      <c r="R1317" s="40">
        <f>SUMIFS(N1304:N1335,B1304:B1335,"&gt;="&amp;(B1317-d_T),B1304:B1335,"&lt;="&amp;(B1317-1))</f>
        <v/>
      </c>
      <c r="S1317" s="46">
        <f>(1-d_u)*S1316+IF(d_T&gt;in_topup_lag,SUMIFS(O1304:O1335,B1304:B1335,B1317-in_topup_lag)-d_udrop*SUMIFS(O1304:O1335,B1304:B1335,B1317-d_T),0)</f>
        <v/>
      </c>
      <c r="T1317" s="40">
        <f>F1317*d_u*S1317</f>
        <v/>
      </c>
      <c r="U1317" s="9">
        <f>L1317*in_ticket+M1317*d_rep_ticket</f>
        <v/>
      </c>
      <c r="V1317" s="9">
        <f>U1317+T1317*d_topup_amt</f>
        <v/>
      </c>
      <c r="W1317" s="40">
        <f>N1317+T1317*d_topup_ratio</f>
        <v/>
      </c>
      <c r="X1317" s="40">
        <f>SUMIFS(W1304:W1335,B1304:B1335,B1317-in_dpd_lag)*d_cured</f>
        <v/>
      </c>
      <c r="Y1317" s="40">
        <f>SUMIFS(W1304:W1335,B1304:B1335,B1317-in_rec_lag)*d_recd</f>
        <v/>
      </c>
      <c r="Z1317" s="40">
        <f>IF(AND(B1317&gt;=in_marketplace_from,B1317&lt;in_marketplace_from+in_card_months),in_card_share/in_card_months*F1317*I1317,IF(AND(B1317&gt;=in_marketplace_from+in_card_months,B1317&lt;in_marketplace_from+2*in_card_months),in_card_share*d_card_rem/in_card_months*F1317*MIN(in_takeup_cap,(1+in_takeup_growth)^(D1317-1))*MIN(in_takeup_cap,(1+in_approval_growth)^(D1317-1)),0))</f>
        <v/>
      </c>
      <c r="AA1317" s="14">
        <f>V1317*in_fee*(1-in_taken_back)</f>
        <v/>
      </c>
      <c r="AB1317" s="14">
        <f>SUMIFS(W1304:W1335,B1304:B1335,B1317-in_dpd_lag)*d_dpd</f>
        <v/>
      </c>
      <c r="AC1317" s="14">
        <f>SUMIFS(W1304:W1335,B1304:B1335,B1317-in_rec_lag)*d_rec</f>
        <v/>
      </c>
      <c r="AD1317" s="14">
        <f>Z1317*in_card_fee</f>
        <v/>
      </c>
      <c r="AE1317" s="40">
        <f>AE1316*(1-IF(B1316&gt;=in_marketplace_from,d_hz_hlth_small*G1316,0))</f>
        <v/>
      </c>
      <c r="AF1317" s="46">
        <f>AE1317*IF(B1317&gt;=in_marketplace_from,d_hz_hlth_small*G1317,0)</f>
        <v/>
      </c>
      <c r="AG1317" s="14">
        <f>F1317*AF1317*in_hlth_small_ticket*in_hlth_small_comm*in_ins_partner_share+F1317*in_hlth_small_ticket*in_hlth_small_renew_comm*in_ins_partner_share*(in_hlth_small_renew^1*SUMIFS(AF1304:AF1335,B1304:B1335,B1317-12)+in_hlth_small_renew^2*SUMIFS(AF1304:AF1335,B1304:B1335,B1317-24)+in_hlth_small_renew^3*SUMIFS(AF1304:AF1335,B1304:B1335,B1317-36)+in_hlth_small_renew^4*SUMIFS(AF1304:AF1335,B1304:B1335,B1317-48))</f>
        <v/>
      </c>
      <c r="AH1317" s="40">
        <f>AH1316*(1-IF(B1316&gt;=in_marketplace_from,d_hz_hlth_family*G1316,0))</f>
        <v/>
      </c>
      <c r="AI1317" s="46">
        <f>AH1317*IF(B1317&gt;=in_marketplace_from,d_hz_hlth_family*G1317,0)</f>
        <v/>
      </c>
      <c r="AJ1317" s="14">
        <f>F1317*AI1317*in_hlth_family_ticket*in_hlth_family_comm*in_ins_partner_share+F1317*in_hlth_family_ticket*in_hlth_family_renew_comm*in_ins_partner_share*(in_hlth_family_renew^1*SUMIFS(AI1304:AI1335,B1304:B1335,B1317-12)+in_hlth_family_renew^2*SUMIFS(AI1304:AI1335,B1304:B1335,B1317-24)+in_hlth_family_renew^3*SUMIFS(AI1304:AI1335,B1304:B1335,B1317-36)+in_hlth_family_renew^4*SUMIFS(AI1304:AI1335,B1304:B1335,B1317-48))</f>
        <v/>
      </c>
      <c r="AK1317" s="40">
        <f>AK1316*(1-IF(B1316&gt;=in_marketplace_from,d_hz_life_term*G1316,0))</f>
        <v/>
      </c>
      <c r="AL1317" s="46">
        <f>AK1317*IF(B1317&gt;=in_marketplace_from,d_hz_life_term*G1317,0)</f>
        <v/>
      </c>
      <c r="AM1317" s="14">
        <f>F1317*AL1317*in_life_term_ticket*in_life_term_comm*in_ins_partner_share+F1317*in_life_term_ticket*in_life_term_renew_comm*in_ins_partner_share*(in_life_term_renew^1*SUMIFS(AL1304:AL1335,B1304:B1335,B1317-12)+in_life_term_renew^2*SUMIFS(AL1304:AL1335,B1304:B1335,B1317-24)+in_life_term_renew^3*SUMIFS(AL1304:AL1335,B1304:B1335,B1317-36)+in_life_term_renew^4*SUMIFS(AL1304:AL1335,B1304:B1335,B1317-48))</f>
        <v/>
      </c>
      <c r="AN1317" s="40">
        <f>AN1316*(1-IF(B1316&gt;=in_marketplace_from,d_hz_accident*G1316,0))</f>
        <v/>
      </c>
      <c r="AO1317" s="46">
        <f>AN1317*IF(B1317&gt;=in_marketplace_from,d_hz_accident*G1317,0)</f>
        <v/>
      </c>
      <c r="AP1317" s="14">
        <f>F1317*AO1317*in_accident_ticket*in_accident_comm*in_ins_partner_share+F1317*in_accident_ticket*in_accident_renew_comm*in_ins_partner_share*(in_accident_renew^1*SUMIFS(AO1304:AO1335,B1304:B1335,B1317-12)+in_accident_renew^2*SUMIFS(AO1304:AO1335,B1304:B1335,B1317-24)+in_accident_renew^3*SUMIFS(AO1304:AO1335,B1304:B1335,B1317-36)+in_accident_renew^4*SUMIFS(AO1304:AO1335,B1304:B1335,B1317-48))</f>
        <v/>
      </c>
      <c r="AQ1317" s="40">
        <f>AQ1316*(1-IF(B1316&gt;=in_marketplace_from,d_hz_two_wheeler*G1316,0))</f>
        <v/>
      </c>
      <c r="AR1317" s="46">
        <f>AQ1317*IF(B1317&gt;=in_marketplace_from,d_hz_two_wheeler*G1317,0)</f>
        <v/>
      </c>
      <c r="AS1317" s="14">
        <f>F1317*AR1317*in_two_wheeler_ticket*in_two_wheeler_comm*in_ins_partner_share+F1317*in_two_wheeler_ticket*in_two_wheeler_comm*in_ins_partner_share*(in_two_wheeler_renew^1*SUMIFS(AR1304:AR1335,B1304:B1335,B1317-12)+in_two_wheeler_renew^2*SUMIFS(AR1304:AR1335,B1304:B1335,B1317-24)+in_two_wheeler_renew^3*SUMIFS(AR1304:AR1335,B1304:B1335,B1317-36)+in_two_wheeler_renew^4*SUMIFS(AR1304:AR1335,B1304:B1335,B1317-48))</f>
        <v/>
      </c>
      <c r="AT1317" s="40">
        <f>AT1316*(1-IF(B1316&gt;=in_marketplace_from,d_hz_device*G1316,0))</f>
        <v/>
      </c>
      <c r="AU1317" s="14">
        <f>F1317*AT1317*IF(B1317&gt;=in_marketplace_from,d_hz_device*G1317,0)*in_device_ticket*in_device_comm*in_ins_partner_share</f>
        <v/>
      </c>
      <c r="AV1317" s="40">
        <f>AV1316*(1-IF(B1316&gt;=in_marketplace_from,d_hz_shop*G1316,0))</f>
        <v/>
      </c>
      <c r="AW1317" s="46">
        <f>AV1317*IF(B1317&gt;=in_marketplace_from,d_hz_shop*G1317,0)</f>
        <v/>
      </c>
      <c r="AX1317" s="14">
        <f>F1317*AW1317*in_shop_ticket*in_shop_comm*in_ins_partner_share+F1317*in_shop_ticket*in_shop_renew_comm*in_ins_partner_share*(in_shop_renew^1*SUMIFS(AW1304:AW1335,B1304:B1335,B1317-12)+in_shop_renew^2*SUMIFS(AW1304:AW1335,B1304:B1335,B1317-24)+in_shop_renew^3*SUMIFS(AW1304:AW1335,B1304:B1335,B1317-36)+in_shop_renew^4*SUMIFS(AW1304:AW1335,B1304:B1335,B1317-48))</f>
        <v/>
      </c>
      <c r="AY1317" s="40">
        <f>AY1316*(1-IF(B1316&gt;=in_marketplace_from,d_hz_sip*G1316,0))</f>
        <v/>
      </c>
      <c r="AZ1317" s="40">
        <f>AZ1316*d_rho_sip+AY1317*IF(B1317&gt;=in_marketplace_from,d_hz_sip*G1317,0)</f>
        <v/>
      </c>
      <c r="BA1317" s="40">
        <f>d_rho_sip*(BA1316+AZ1316)</f>
        <v/>
      </c>
      <c r="BB1317" s="14">
        <f>F1317*in_sip_ticket*(BA1317+0.5*AZ1317)*in_sip_comm/12</f>
        <v/>
      </c>
      <c r="BC1317" s="40">
        <f>BC1316*(1-IF(B1316&gt;=in_marketplace_from,d_hz_choti*G1316,0))</f>
        <v/>
      </c>
      <c r="BD1317" s="46">
        <f>BC1317*IF(B1317&gt;=in_marketplace_from,d_hz_choti*G1317,0)</f>
        <v/>
      </c>
      <c r="BE1317" s="14">
        <f>F1317*SUMIFS(BD1304:BD1335,B1304:B1335,B1317-in_choti_months)*in_choti_renew*in_choti_ticket</f>
        <v/>
      </c>
      <c r="BF1317" s="40">
        <f>BF1316*(1-IF(B1316&gt;=in_marketplace_from,d_hz_nps*G1316,0))</f>
        <v/>
      </c>
      <c r="BG1317" s="14">
        <f>F1317*BF1317*IF(B1317&gt;=in_marketplace_from,d_hz_nps*G1317,0)*in_nps_ticket*in_nps_comm</f>
        <v/>
      </c>
      <c r="BH1317" s="40">
        <f>BH1316*(1-IF(B1316&gt;=in_marketplace_from,d_hz_gold*G1316,0))</f>
        <v/>
      </c>
      <c r="BI1317" s="40">
        <f>BI1316*d_rho_gold+BH1317*IF(B1317&gt;=in_marketplace_from,d_hz_gold*G1317,0)</f>
        <v/>
      </c>
      <c r="BJ1317" s="14">
        <f>F1317*BI1317*in_gold_ticket*in_gold_comm</f>
        <v/>
      </c>
      <c r="BK1317" s="40">
        <f>BK1316*(1-IF(B1316&gt;=in_marketplace_from,d_hz_fd*G1316,0))</f>
        <v/>
      </c>
      <c r="BL1317" s="14">
        <f>F1317*BK1317*IF(B1317&gt;=in_marketplace_from,d_hz_fd*G1317,0)*in_fd_ticket*in_fd_comm</f>
        <v/>
      </c>
      <c r="BM1317" s="40">
        <f>BM1316*(1-IF(B1316&gt;=in_marketplace_from,d_hz_recharge*G1316,0))</f>
        <v/>
      </c>
      <c r="BN1317" s="40">
        <f>BN1316*d_rho_recharge+BM1317*IF(B1317&gt;=in_marketplace_from,d_hz_recharge*G1317,0)</f>
        <v/>
      </c>
      <c r="BO1317" s="14">
        <f>F1317*BN1317*in_recharge_ticket*in_recharge_comm/12</f>
        <v/>
      </c>
      <c r="BP1317" s="40">
        <f>BP1316*(1-IF(B1316&gt;=in_marketplace_from,d_hz_bills*G1316,0))</f>
        <v/>
      </c>
      <c r="BQ1317" s="40">
        <f>BQ1316*d_rho_bills+BP1317*IF(B1317&gt;=in_marketplace_from,d_hz_bills*G1317,0)</f>
        <v/>
      </c>
      <c r="BR1317" s="14">
        <f>F1317*BQ1317*in_bills_ticket*in_bills_comm/12</f>
        <v/>
      </c>
      <c r="BS1317" s="40">
        <f>BS1316*(1-IF(B1316&gt;=in_marketplace_from,d_hz_loan_gold*G1316,0))</f>
        <v/>
      </c>
      <c r="BT1317" s="14">
        <f>F1317*BS1317*IF(B1317&gt;=in_marketplace_from,d_hz_loan_gold*G1317,0)*in_loan_gold_ticket*in_loan_gold_comm</f>
        <v/>
      </c>
      <c r="BU1317" s="40">
        <f>BU1316*(1-IF(B1316&gt;=in_marketplace_from,d_hz_loan_cd*G1316,0))</f>
        <v/>
      </c>
      <c r="BV1317" s="14">
        <f>F1317*BU1317*IF(B1317&gt;=in_marketplace_from,d_hz_loan_cd*G1317,0)*in_loan_cd_ticket*in_loan_cd_comm</f>
        <v/>
      </c>
      <c r="BW1317" s="40">
        <f>BW1316*(1-IF(B1316&gt;=in_marketplace_from,d_hz_loan_vehicle*G1316,0))</f>
        <v/>
      </c>
      <c r="BX1317" s="14">
        <f>F1317*BW1317*IF(B1317&gt;=in_marketplace_from,d_hz_loan_vehicle*G1317,0)*in_loan_vehicle_ticket*in_loan_vehicle_comm</f>
        <v/>
      </c>
      <c r="BY1317" s="40">
        <f>BY1316*(1-IF(B1316&gt;=in_marketplace_from,d_hz_loan_home*G1316,0)*BZ1316)</f>
        <v/>
      </c>
      <c r="BZ1317" s="11">
        <f>MIN(in_approval_cap,in_loan_home_approval*INDEX('Age profile'!$O$2:$O$61,B1317)*(1+in_approval_growth)^(D1317-1))</f>
        <v/>
      </c>
      <c r="CA1317" s="14">
        <f>F1317*BY1317*IF(B1317&gt;=in_marketplace_from,d_hz_loan_home*G1317,0)*BZ1317*in_loan_home_ticket*in_loan_home_comm</f>
        <v/>
      </c>
      <c r="CB1317" s="40">
        <f>CB1316*(1-IF(B1316&gt;=in_marketplace_from,d_hz_loan_lap*G1316,0)*CC1316)</f>
        <v/>
      </c>
      <c r="CC1317" s="11">
        <f>MIN(in_approval_cap,in_loan_lap_approval*INDEX('Age profile'!$O$2:$O$61,B1317)*(1+in_approval_growth)^(D1317-1))</f>
        <v/>
      </c>
      <c r="CD1317" s="14">
        <f>F1317*CB1317*IF(B1317&gt;=in_marketplace_from,d_hz_loan_lap*G1317,0)*CC1317*in_loan_lap_ticket*in_loan_lap_comm</f>
        <v/>
      </c>
      <c r="CE1317" s="14">
        <f>AA1317+AB1317+AC1317+AD1317+AG1317+AJ1317+AM1317+AP1317+AS1317+AU1317+AX1317+BB1317+BE1317+BG1317+BJ1317+BL1317+BO1317+BR1317+BT1317+BV1317+BX1317+CA1317+CD1317</f>
        <v/>
      </c>
    </row>
    <row r="1318">
      <c r="A1318" s="39" t="n">
        <v>29</v>
      </c>
      <c r="B1318" s="39" t="n">
        <v>15</v>
      </c>
      <c r="C1318" s="39">
        <f>A1318+B1318-1</f>
        <v/>
      </c>
      <c r="D1318" s="39">
        <f>INT((C1318-1)/12)+1</f>
        <v/>
      </c>
      <c r="E1318" s="44">
        <f>INDEX(Monthly!$B$2:$B$61,A1318)</f>
        <v/>
      </c>
      <c r="F1318" s="44">
        <f>E1318*INDEX('Age profile'!$B$2:$B$61,B1318)</f>
        <v/>
      </c>
      <c r="G1318" s="45">
        <f>MIN(in_takeup_cap,INDEX('Age profile'!$N$2:$N$61,B1318)*(1+in_takeup_growth)^(D1318-1))</f>
        <v/>
      </c>
      <c r="H1318" s="11">
        <f>MIN(in_approval_cap,in_approved_first*INDEX('Age profile'!$O$2:$O$61,B1318)*(1+in_approval_growth)^(D1318-1))</f>
        <v/>
      </c>
      <c r="I1318" s="45">
        <f>G1318*MIN(in_takeup_cap,INDEX('Age profile'!$O$2:$O$61,B1318)*(1+in_approval_growth)^(D1318-1))</f>
        <v/>
      </c>
      <c r="J1318" s="40">
        <f>(J1317-L1317)*F1318/F1317</f>
        <v/>
      </c>
      <c r="K1318" s="40">
        <f>(K1317-M1317)*F1318/F1317+SUMIFS(O1304:O1317,B1304:B1317,B1318-1-d_T)*F1318</f>
        <v/>
      </c>
      <c r="L1318" s="40">
        <f>IF(B1318&gt;=in_marketplace_from,J1318*d_hz*G1318*in_eligible*H1318,0)</f>
        <v/>
      </c>
      <c r="M1318" s="40">
        <f>IF(B1318&gt;=in_marketplace_from,K1318*d_hz*G1318*in_eligible*in_approved_repeat,0)</f>
        <v/>
      </c>
      <c r="N1318" s="40">
        <f>L1318+M1318</f>
        <v/>
      </c>
      <c r="O1318" s="46">
        <f>N1318/F1318</f>
        <v/>
      </c>
      <c r="P1318" s="40">
        <f>F1318-J1318-K1318</f>
        <v/>
      </c>
      <c r="Q1318" s="40">
        <f>IF(B1318&gt;=in_marketplace_from,(J1318+K1318)*d_hz*G1318,0)</f>
        <v/>
      </c>
      <c r="R1318" s="40">
        <f>SUMIFS(N1304:N1335,B1304:B1335,"&gt;="&amp;(B1318-d_T),B1304:B1335,"&lt;="&amp;(B1318-1))</f>
        <v/>
      </c>
      <c r="S1318" s="46">
        <f>(1-d_u)*S1317+IF(d_T&gt;in_topup_lag,SUMIFS(O1304:O1335,B1304:B1335,B1318-in_topup_lag)-d_udrop*SUMIFS(O1304:O1335,B1304:B1335,B1318-d_T),0)</f>
        <v/>
      </c>
      <c r="T1318" s="40">
        <f>F1318*d_u*S1318</f>
        <v/>
      </c>
      <c r="U1318" s="9">
        <f>L1318*in_ticket+M1318*d_rep_ticket</f>
        <v/>
      </c>
      <c r="V1318" s="9">
        <f>U1318+T1318*d_topup_amt</f>
        <v/>
      </c>
      <c r="W1318" s="40">
        <f>N1318+T1318*d_topup_ratio</f>
        <v/>
      </c>
      <c r="X1318" s="40">
        <f>SUMIFS(W1304:W1335,B1304:B1335,B1318-in_dpd_lag)*d_cured</f>
        <v/>
      </c>
      <c r="Y1318" s="40">
        <f>SUMIFS(W1304:W1335,B1304:B1335,B1318-in_rec_lag)*d_recd</f>
        <v/>
      </c>
      <c r="Z1318" s="40">
        <f>IF(AND(B1318&gt;=in_marketplace_from,B1318&lt;in_marketplace_from+in_card_months),in_card_share/in_card_months*F1318*I1318,IF(AND(B1318&gt;=in_marketplace_from+in_card_months,B1318&lt;in_marketplace_from+2*in_card_months),in_card_share*d_card_rem/in_card_months*F1318*MIN(in_takeup_cap,(1+in_takeup_growth)^(D1318-1))*MIN(in_takeup_cap,(1+in_approval_growth)^(D1318-1)),0))</f>
        <v/>
      </c>
      <c r="AA1318" s="14">
        <f>V1318*in_fee*(1-in_taken_back)</f>
        <v/>
      </c>
      <c r="AB1318" s="14">
        <f>SUMIFS(W1304:W1335,B1304:B1335,B1318-in_dpd_lag)*d_dpd</f>
        <v/>
      </c>
      <c r="AC1318" s="14">
        <f>SUMIFS(W1304:W1335,B1304:B1335,B1318-in_rec_lag)*d_rec</f>
        <v/>
      </c>
      <c r="AD1318" s="14">
        <f>Z1318*in_card_fee</f>
        <v/>
      </c>
      <c r="AE1318" s="40">
        <f>AE1317*(1-IF(B1317&gt;=in_marketplace_from,d_hz_hlth_small*G1317,0))</f>
        <v/>
      </c>
      <c r="AF1318" s="46">
        <f>AE1318*IF(B1318&gt;=in_marketplace_from,d_hz_hlth_small*G1318,0)</f>
        <v/>
      </c>
      <c r="AG1318" s="14">
        <f>F1318*AF1318*in_hlth_small_ticket*in_hlth_small_comm*in_ins_partner_share+F1318*in_hlth_small_ticket*in_hlth_small_renew_comm*in_ins_partner_share*(in_hlth_small_renew^1*SUMIFS(AF1304:AF1335,B1304:B1335,B1318-12)+in_hlth_small_renew^2*SUMIFS(AF1304:AF1335,B1304:B1335,B1318-24)+in_hlth_small_renew^3*SUMIFS(AF1304:AF1335,B1304:B1335,B1318-36)+in_hlth_small_renew^4*SUMIFS(AF1304:AF1335,B1304:B1335,B1318-48))</f>
        <v/>
      </c>
      <c r="AH1318" s="40">
        <f>AH1317*(1-IF(B1317&gt;=in_marketplace_from,d_hz_hlth_family*G1317,0))</f>
        <v/>
      </c>
      <c r="AI1318" s="46">
        <f>AH1318*IF(B1318&gt;=in_marketplace_from,d_hz_hlth_family*G1318,0)</f>
        <v/>
      </c>
      <c r="AJ1318" s="14">
        <f>F1318*AI1318*in_hlth_family_ticket*in_hlth_family_comm*in_ins_partner_share+F1318*in_hlth_family_ticket*in_hlth_family_renew_comm*in_ins_partner_share*(in_hlth_family_renew^1*SUMIFS(AI1304:AI1335,B1304:B1335,B1318-12)+in_hlth_family_renew^2*SUMIFS(AI1304:AI1335,B1304:B1335,B1318-24)+in_hlth_family_renew^3*SUMIFS(AI1304:AI1335,B1304:B1335,B1318-36)+in_hlth_family_renew^4*SUMIFS(AI1304:AI1335,B1304:B1335,B1318-48))</f>
        <v/>
      </c>
      <c r="AK1318" s="40">
        <f>AK1317*(1-IF(B1317&gt;=in_marketplace_from,d_hz_life_term*G1317,0))</f>
        <v/>
      </c>
      <c r="AL1318" s="46">
        <f>AK1318*IF(B1318&gt;=in_marketplace_from,d_hz_life_term*G1318,0)</f>
        <v/>
      </c>
      <c r="AM1318" s="14">
        <f>F1318*AL1318*in_life_term_ticket*in_life_term_comm*in_ins_partner_share+F1318*in_life_term_ticket*in_life_term_renew_comm*in_ins_partner_share*(in_life_term_renew^1*SUMIFS(AL1304:AL1335,B1304:B1335,B1318-12)+in_life_term_renew^2*SUMIFS(AL1304:AL1335,B1304:B1335,B1318-24)+in_life_term_renew^3*SUMIFS(AL1304:AL1335,B1304:B1335,B1318-36)+in_life_term_renew^4*SUMIFS(AL1304:AL1335,B1304:B1335,B1318-48))</f>
        <v/>
      </c>
      <c r="AN1318" s="40">
        <f>AN1317*(1-IF(B1317&gt;=in_marketplace_from,d_hz_accident*G1317,0))</f>
        <v/>
      </c>
      <c r="AO1318" s="46">
        <f>AN1318*IF(B1318&gt;=in_marketplace_from,d_hz_accident*G1318,0)</f>
        <v/>
      </c>
      <c r="AP1318" s="14">
        <f>F1318*AO1318*in_accident_ticket*in_accident_comm*in_ins_partner_share+F1318*in_accident_ticket*in_accident_renew_comm*in_ins_partner_share*(in_accident_renew^1*SUMIFS(AO1304:AO1335,B1304:B1335,B1318-12)+in_accident_renew^2*SUMIFS(AO1304:AO1335,B1304:B1335,B1318-24)+in_accident_renew^3*SUMIFS(AO1304:AO1335,B1304:B1335,B1318-36)+in_accident_renew^4*SUMIFS(AO1304:AO1335,B1304:B1335,B1318-48))</f>
        <v/>
      </c>
      <c r="AQ1318" s="40">
        <f>AQ1317*(1-IF(B1317&gt;=in_marketplace_from,d_hz_two_wheeler*G1317,0))</f>
        <v/>
      </c>
      <c r="AR1318" s="46">
        <f>AQ1318*IF(B1318&gt;=in_marketplace_from,d_hz_two_wheeler*G1318,0)</f>
        <v/>
      </c>
      <c r="AS1318" s="14">
        <f>F1318*AR1318*in_two_wheeler_ticket*in_two_wheeler_comm*in_ins_partner_share+F1318*in_two_wheeler_ticket*in_two_wheeler_comm*in_ins_partner_share*(in_two_wheeler_renew^1*SUMIFS(AR1304:AR1335,B1304:B1335,B1318-12)+in_two_wheeler_renew^2*SUMIFS(AR1304:AR1335,B1304:B1335,B1318-24)+in_two_wheeler_renew^3*SUMIFS(AR1304:AR1335,B1304:B1335,B1318-36)+in_two_wheeler_renew^4*SUMIFS(AR1304:AR1335,B1304:B1335,B1318-48))</f>
        <v/>
      </c>
      <c r="AT1318" s="40">
        <f>AT1317*(1-IF(B1317&gt;=in_marketplace_from,d_hz_device*G1317,0))</f>
        <v/>
      </c>
      <c r="AU1318" s="14">
        <f>F1318*AT1318*IF(B1318&gt;=in_marketplace_from,d_hz_device*G1318,0)*in_device_ticket*in_device_comm*in_ins_partner_share</f>
        <v/>
      </c>
      <c r="AV1318" s="40">
        <f>AV1317*(1-IF(B1317&gt;=in_marketplace_from,d_hz_shop*G1317,0))</f>
        <v/>
      </c>
      <c r="AW1318" s="46">
        <f>AV1318*IF(B1318&gt;=in_marketplace_from,d_hz_shop*G1318,0)</f>
        <v/>
      </c>
      <c r="AX1318" s="14">
        <f>F1318*AW1318*in_shop_ticket*in_shop_comm*in_ins_partner_share+F1318*in_shop_ticket*in_shop_renew_comm*in_ins_partner_share*(in_shop_renew^1*SUMIFS(AW1304:AW1335,B1304:B1335,B1318-12)+in_shop_renew^2*SUMIFS(AW1304:AW1335,B1304:B1335,B1318-24)+in_shop_renew^3*SUMIFS(AW1304:AW1335,B1304:B1335,B1318-36)+in_shop_renew^4*SUMIFS(AW1304:AW1335,B1304:B1335,B1318-48))</f>
        <v/>
      </c>
      <c r="AY1318" s="40">
        <f>AY1317*(1-IF(B1317&gt;=in_marketplace_from,d_hz_sip*G1317,0))</f>
        <v/>
      </c>
      <c r="AZ1318" s="40">
        <f>AZ1317*d_rho_sip+AY1318*IF(B1318&gt;=in_marketplace_from,d_hz_sip*G1318,0)</f>
        <v/>
      </c>
      <c r="BA1318" s="40">
        <f>d_rho_sip*(BA1317+AZ1317)</f>
        <v/>
      </c>
      <c r="BB1318" s="14">
        <f>F1318*in_sip_ticket*(BA1318+0.5*AZ1318)*in_sip_comm/12</f>
        <v/>
      </c>
      <c r="BC1318" s="40">
        <f>BC1317*(1-IF(B1317&gt;=in_marketplace_from,d_hz_choti*G1317,0))</f>
        <v/>
      </c>
      <c r="BD1318" s="46">
        <f>BC1318*IF(B1318&gt;=in_marketplace_from,d_hz_choti*G1318,0)</f>
        <v/>
      </c>
      <c r="BE1318" s="14">
        <f>F1318*SUMIFS(BD1304:BD1335,B1304:B1335,B1318-in_choti_months)*in_choti_renew*in_choti_ticket</f>
        <v/>
      </c>
      <c r="BF1318" s="40">
        <f>BF1317*(1-IF(B1317&gt;=in_marketplace_from,d_hz_nps*G1317,0))</f>
        <v/>
      </c>
      <c r="BG1318" s="14">
        <f>F1318*BF1318*IF(B1318&gt;=in_marketplace_from,d_hz_nps*G1318,0)*in_nps_ticket*in_nps_comm</f>
        <v/>
      </c>
      <c r="BH1318" s="40">
        <f>BH1317*(1-IF(B1317&gt;=in_marketplace_from,d_hz_gold*G1317,0))</f>
        <v/>
      </c>
      <c r="BI1318" s="40">
        <f>BI1317*d_rho_gold+BH1318*IF(B1318&gt;=in_marketplace_from,d_hz_gold*G1318,0)</f>
        <v/>
      </c>
      <c r="BJ1318" s="14">
        <f>F1318*BI1318*in_gold_ticket*in_gold_comm</f>
        <v/>
      </c>
      <c r="BK1318" s="40">
        <f>BK1317*(1-IF(B1317&gt;=in_marketplace_from,d_hz_fd*G1317,0))</f>
        <v/>
      </c>
      <c r="BL1318" s="14">
        <f>F1318*BK1318*IF(B1318&gt;=in_marketplace_from,d_hz_fd*G1318,0)*in_fd_ticket*in_fd_comm</f>
        <v/>
      </c>
      <c r="BM1318" s="40">
        <f>BM1317*(1-IF(B1317&gt;=in_marketplace_from,d_hz_recharge*G1317,0))</f>
        <v/>
      </c>
      <c r="BN1318" s="40">
        <f>BN1317*d_rho_recharge+BM1318*IF(B1318&gt;=in_marketplace_from,d_hz_recharge*G1318,0)</f>
        <v/>
      </c>
      <c r="BO1318" s="14">
        <f>F1318*BN1318*in_recharge_ticket*in_recharge_comm/12</f>
        <v/>
      </c>
      <c r="BP1318" s="40">
        <f>BP1317*(1-IF(B1317&gt;=in_marketplace_from,d_hz_bills*G1317,0))</f>
        <v/>
      </c>
      <c r="BQ1318" s="40">
        <f>BQ1317*d_rho_bills+BP1318*IF(B1318&gt;=in_marketplace_from,d_hz_bills*G1318,0)</f>
        <v/>
      </c>
      <c r="BR1318" s="14">
        <f>F1318*BQ1318*in_bills_ticket*in_bills_comm/12</f>
        <v/>
      </c>
      <c r="BS1318" s="40">
        <f>BS1317*(1-IF(B1317&gt;=in_marketplace_from,d_hz_loan_gold*G1317,0))</f>
        <v/>
      </c>
      <c r="BT1318" s="14">
        <f>F1318*BS1318*IF(B1318&gt;=in_marketplace_from,d_hz_loan_gold*G1318,0)*in_loan_gold_ticket*in_loan_gold_comm</f>
        <v/>
      </c>
      <c r="BU1318" s="40">
        <f>BU1317*(1-IF(B1317&gt;=in_marketplace_from,d_hz_loan_cd*G1317,0))</f>
        <v/>
      </c>
      <c r="BV1318" s="14">
        <f>F1318*BU1318*IF(B1318&gt;=in_marketplace_from,d_hz_loan_cd*G1318,0)*in_loan_cd_ticket*in_loan_cd_comm</f>
        <v/>
      </c>
      <c r="BW1318" s="40">
        <f>BW1317*(1-IF(B1317&gt;=in_marketplace_from,d_hz_loan_vehicle*G1317,0))</f>
        <v/>
      </c>
      <c r="BX1318" s="14">
        <f>F1318*BW1318*IF(B1318&gt;=in_marketplace_from,d_hz_loan_vehicle*G1318,0)*in_loan_vehicle_ticket*in_loan_vehicle_comm</f>
        <v/>
      </c>
      <c r="BY1318" s="40">
        <f>BY1317*(1-IF(B1317&gt;=in_marketplace_from,d_hz_loan_home*G1317,0)*BZ1317)</f>
        <v/>
      </c>
      <c r="BZ1318" s="11">
        <f>MIN(in_approval_cap,in_loan_home_approval*INDEX('Age profile'!$O$2:$O$61,B1318)*(1+in_approval_growth)^(D1318-1))</f>
        <v/>
      </c>
      <c r="CA1318" s="14">
        <f>F1318*BY1318*IF(B1318&gt;=in_marketplace_from,d_hz_loan_home*G1318,0)*BZ1318*in_loan_home_ticket*in_loan_home_comm</f>
        <v/>
      </c>
      <c r="CB1318" s="40">
        <f>CB1317*(1-IF(B1317&gt;=in_marketplace_from,d_hz_loan_lap*G1317,0)*CC1317)</f>
        <v/>
      </c>
      <c r="CC1318" s="11">
        <f>MIN(in_approval_cap,in_loan_lap_approval*INDEX('Age profile'!$O$2:$O$61,B1318)*(1+in_approval_growth)^(D1318-1))</f>
        <v/>
      </c>
      <c r="CD1318" s="14">
        <f>F1318*CB1318*IF(B1318&gt;=in_marketplace_from,d_hz_loan_lap*G1318,0)*CC1318*in_loan_lap_ticket*in_loan_lap_comm</f>
        <v/>
      </c>
      <c r="CE1318" s="14">
        <f>AA1318+AB1318+AC1318+AD1318+AG1318+AJ1318+AM1318+AP1318+AS1318+AU1318+AX1318+BB1318+BE1318+BG1318+BJ1318+BL1318+BO1318+BR1318+BT1318+BV1318+BX1318+CA1318+CD1318</f>
        <v/>
      </c>
    </row>
    <row r="1319">
      <c r="A1319" s="39" t="n">
        <v>29</v>
      </c>
      <c r="B1319" s="39" t="n">
        <v>16</v>
      </c>
      <c r="C1319" s="39">
        <f>A1319+B1319-1</f>
        <v/>
      </c>
      <c r="D1319" s="39">
        <f>INT((C1319-1)/12)+1</f>
        <v/>
      </c>
      <c r="E1319" s="44">
        <f>INDEX(Monthly!$B$2:$B$61,A1319)</f>
        <v/>
      </c>
      <c r="F1319" s="44">
        <f>E1319*INDEX('Age profile'!$B$2:$B$61,B1319)</f>
        <v/>
      </c>
      <c r="G1319" s="45">
        <f>MIN(in_takeup_cap,INDEX('Age profile'!$N$2:$N$61,B1319)*(1+in_takeup_growth)^(D1319-1))</f>
        <v/>
      </c>
      <c r="H1319" s="11">
        <f>MIN(in_approval_cap,in_approved_first*INDEX('Age profile'!$O$2:$O$61,B1319)*(1+in_approval_growth)^(D1319-1))</f>
        <v/>
      </c>
      <c r="I1319" s="45">
        <f>G1319*MIN(in_takeup_cap,INDEX('Age profile'!$O$2:$O$61,B1319)*(1+in_approval_growth)^(D1319-1))</f>
        <v/>
      </c>
      <c r="J1319" s="40">
        <f>(J1318-L1318)*F1319/F1318</f>
        <v/>
      </c>
      <c r="K1319" s="40">
        <f>(K1318-M1318)*F1319/F1318+SUMIFS(O1304:O1318,B1304:B1318,B1319-1-d_T)*F1319</f>
        <v/>
      </c>
      <c r="L1319" s="40">
        <f>IF(B1319&gt;=in_marketplace_from,J1319*d_hz*G1319*in_eligible*H1319,0)</f>
        <v/>
      </c>
      <c r="M1319" s="40">
        <f>IF(B1319&gt;=in_marketplace_from,K1319*d_hz*G1319*in_eligible*in_approved_repeat,0)</f>
        <v/>
      </c>
      <c r="N1319" s="40">
        <f>L1319+M1319</f>
        <v/>
      </c>
      <c r="O1319" s="46">
        <f>N1319/F1319</f>
        <v/>
      </c>
      <c r="P1319" s="40">
        <f>F1319-J1319-K1319</f>
        <v/>
      </c>
      <c r="Q1319" s="40">
        <f>IF(B1319&gt;=in_marketplace_from,(J1319+K1319)*d_hz*G1319,0)</f>
        <v/>
      </c>
      <c r="R1319" s="40">
        <f>SUMIFS(N1304:N1335,B1304:B1335,"&gt;="&amp;(B1319-d_T),B1304:B1335,"&lt;="&amp;(B1319-1))</f>
        <v/>
      </c>
      <c r="S1319" s="46">
        <f>(1-d_u)*S1318+IF(d_T&gt;in_topup_lag,SUMIFS(O1304:O1335,B1304:B1335,B1319-in_topup_lag)-d_udrop*SUMIFS(O1304:O1335,B1304:B1335,B1319-d_T),0)</f>
        <v/>
      </c>
      <c r="T1319" s="40">
        <f>F1319*d_u*S1319</f>
        <v/>
      </c>
      <c r="U1319" s="9">
        <f>L1319*in_ticket+M1319*d_rep_ticket</f>
        <v/>
      </c>
      <c r="V1319" s="9">
        <f>U1319+T1319*d_topup_amt</f>
        <v/>
      </c>
      <c r="W1319" s="40">
        <f>N1319+T1319*d_topup_ratio</f>
        <v/>
      </c>
      <c r="X1319" s="40">
        <f>SUMIFS(W1304:W1335,B1304:B1335,B1319-in_dpd_lag)*d_cured</f>
        <v/>
      </c>
      <c r="Y1319" s="40">
        <f>SUMIFS(W1304:W1335,B1304:B1335,B1319-in_rec_lag)*d_recd</f>
        <v/>
      </c>
      <c r="Z1319" s="40">
        <f>IF(AND(B1319&gt;=in_marketplace_from,B1319&lt;in_marketplace_from+in_card_months),in_card_share/in_card_months*F1319*I1319,IF(AND(B1319&gt;=in_marketplace_from+in_card_months,B1319&lt;in_marketplace_from+2*in_card_months),in_card_share*d_card_rem/in_card_months*F1319*MIN(in_takeup_cap,(1+in_takeup_growth)^(D1319-1))*MIN(in_takeup_cap,(1+in_approval_growth)^(D1319-1)),0))</f>
        <v/>
      </c>
      <c r="AA1319" s="14">
        <f>V1319*in_fee*(1-in_taken_back)</f>
        <v/>
      </c>
      <c r="AB1319" s="14">
        <f>SUMIFS(W1304:W1335,B1304:B1335,B1319-in_dpd_lag)*d_dpd</f>
        <v/>
      </c>
      <c r="AC1319" s="14">
        <f>SUMIFS(W1304:W1335,B1304:B1335,B1319-in_rec_lag)*d_rec</f>
        <v/>
      </c>
      <c r="AD1319" s="14">
        <f>Z1319*in_card_fee</f>
        <v/>
      </c>
      <c r="AE1319" s="40">
        <f>AE1318*(1-IF(B1318&gt;=in_marketplace_from,d_hz_hlth_small*G1318,0))</f>
        <v/>
      </c>
      <c r="AF1319" s="46">
        <f>AE1319*IF(B1319&gt;=in_marketplace_from,d_hz_hlth_small*G1319,0)</f>
        <v/>
      </c>
      <c r="AG1319" s="14">
        <f>F1319*AF1319*in_hlth_small_ticket*in_hlth_small_comm*in_ins_partner_share+F1319*in_hlth_small_ticket*in_hlth_small_renew_comm*in_ins_partner_share*(in_hlth_small_renew^1*SUMIFS(AF1304:AF1335,B1304:B1335,B1319-12)+in_hlth_small_renew^2*SUMIFS(AF1304:AF1335,B1304:B1335,B1319-24)+in_hlth_small_renew^3*SUMIFS(AF1304:AF1335,B1304:B1335,B1319-36)+in_hlth_small_renew^4*SUMIFS(AF1304:AF1335,B1304:B1335,B1319-48))</f>
        <v/>
      </c>
      <c r="AH1319" s="40">
        <f>AH1318*(1-IF(B1318&gt;=in_marketplace_from,d_hz_hlth_family*G1318,0))</f>
        <v/>
      </c>
      <c r="AI1319" s="46">
        <f>AH1319*IF(B1319&gt;=in_marketplace_from,d_hz_hlth_family*G1319,0)</f>
        <v/>
      </c>
      <c r="AJ1319" s="14">
        <f>F1319*AI1319*in_hlth_family_ticket*in_hlth_family_comm*in_ins_partner_share+F1319*in_hlth_family_ticket*in_hlth_family_renew_comm*in_ins_partner_share*(in_hlth_family_renew^1*SUMIFS(AI1304:AI1335,B1304:B1335,B1319-12)+in_hlth_family_renew^2*SUMIFS(AI1304:AI1335,B1304:B1335,B1319-24)+in_hlth_family_renew^3*SUMIFS(AI1304:AI1335,B1304:B1335,B1319-36)+in_hlth_family_renew^4*SUMIFS(AI1304:AI1335,B1304:B1335,B1319-48))</f>
        <v/>
      </c>
      <c r="AK1319" s="40">
        <f>AK1318*(1-IF(B1318&gt;=in_marketplace_from,d_hz_life_term*G1318,0))</f>
        <v/>
      </c>
      <c r="AL1319" s="46">
        <f>AK1319*IF(B1319&gt;=in_marketplace_from,d_hz_life_term*G1319,0)</f>
        <v/>
      </c>
      <c r="AM1319" s="14">
        <f>F1319*AL1319*in_life_term_ticket*in_life_term_comm*in_ins_partner_share+F1319*in_life_term_ticket*in_life_term_renew_comm*in_ins_partner_share*(in_life_term_renew^1*SUMIFS(AL1304:AL1335,B1304:B1335,B1319-12)+in_life_term_renew^2*SUMIFS(AL1304:AL1335,B1304:B1335,B1319-24)+in_life_term_renew^3*SUMIFS(AL1304:AL1335,B1304:B1335,B1319-36)+in_life_term_renew^4*SUMIFS(AL1304:AL1335,B1304:B1335,B1319-48))</f>
        <v/>
      </c>
      <c r="AN1319" s="40">
        <f>AN1318*(1-IF(B1318&gt;=in_marketplace_from,d_hz_accident*G1318,0))</f>
        <v/>
      </c>
      <c r="AO1319" s="46">
        <f>AN1319*IF(B1319&gt;=in_marketplace_from,d_hz_accident*G1319,0)</f>
        <v/>
      </c>
      <c r="AP1319" s="14">
        <f>F1319*AO1319*in_accident_ticket*in_accident_comm*in_ins_partner_share+F1319*in_accident_ticket*in_accident_renew_comm*in_ins_partner_share*(in_accident_renew^1*SUMIFS(AO1304:AO1335,B1304:B1335,B1319-12)+in_accident_renew^2*SUMIFS(AO1304:AO1335,B1304:B1335,B1319-24)+in_accident_renew^3*SUMIFS(AO1304:AO1335,B1304:B1335,B1319-36)+in_accident_renew^4*SUMIFS(AO1304:AO1335,B1304:B1335,B1319-48))</f>
        <v/>
      </c>
      <c r="AQ1319" s="40">
        <f>AQ1318*(1-IF(B1318&gt;=in_marketplace_from,d_hz_two_wheeler*G1318,0))</f>
        <v/>
      </c>
      <c r="AR1319" s="46">
        <f>AQ1319*IF(B1319&gt;=in_marketplace_from,d_hz_two_wheeler*G1319,0)</f>
        <v/>
      </c>
      <c r="AS1319" s="14">
        <f>F1319*AR1319*in_two_wheeler_ticket*in_two_wheeler_comm*in_ins_partner_share+F1319*in_two_wheeler_ticket*in_two_wheeler_comm*in_ins_partner_share*(in_two_wheeler_renew^1*SUMIFS(AR1304:AR1335,B1304:B1335,B1319-12)+in_two_wheeler_renew^2*SUMIFS(AR1304:AR1335,B1304:B1335,B1319-24)+in_two_wheeler_renew^3*SUMIFS(AR1304:AR1335,B1304:B1335,B1319-36)+in_two_wheeler_renew^4*SUMIFS(AR1304:AR1335,B1304:B1335,B1319-48))</f>
        <v/>
      </c>
      <c r="AT1319" s="40">
        <f>AT1318*(1-IF(B1318&gt;=in_marketplace_from,d_hz_device*G1318,0))</f>
        <v/>
      </c>
      <c r="AU1319" s="14">
        <f>F1319*AT1319*IF(B1319&gt;=in_marketplace_from,d_hz_device*G1319,0)*in_device_ticket*in_device_comm*in_ins_partner_share</f>
        <v/>
      </c>
      <c r="AV1319" s="40">
        <f>AV1318*(1-IF(B1318&gt;=in_marketplace_from,d_hz_shop*G1318,0))</f>
        <v/>
      </c>
      <c r="AW1319" s="46">
        <f>AV1319*IF(B1319&gt;=in_marketplace_from,d_hz_shop*G1319,0)</f>
        <v/>
      </c>
      <c r="AX1319" s="14">
        <f>F1319*AW1319*in_shop_ticket*in_shop_comm*in_ins_partner_share+F1319*in_shop_ticket*in_shop_renew_comm*in_ins_partner_share*(in_shop_renew^1*SUMIFS(AW1304:AW1335,B1304:B1335,B1319-12)+in_shop_renew^2*SUMIFS(AW1304:AW1335,B1304:B1335,B1319-24)+in_shop_renew^3*SUMIFS(AW1304:AW1335,B1304:B1335,B1319-36)+in_shop_renew^4*SUMIFS(AW1304:AW1335,B1304:B1335,B1319-48))</f>
        <v/>
      </c>
      <c r="AY1319" s="40">
        <f>AY1318*(1-IF(B1318&gt;=in_marketplace_from,d_hz_sip*G1318,0))</f>
        <v/>
      </c>
      <c r="AZ1319" s="40">
        <f>AZ1318*d_rho_sip+AY1319*IF(B1319&gt;=in_marketplace_from,d_hz_sip*G1319,0)</f>
        <v/>
      </c>
      <c r="BA1319" s="40">
        <f>d_rho_sip*(BA1318+AZ1318)</f>
        <v/>
      </c>
      <c r="BB1319" s="14">
        <f>F1319*in_sip_ticket*(BA1319+0.5*AZ1319)*in_sip_comm/12</f>
        <v/>
      </c>
      <c r="BC1319" s="40">
        <f>BC1318*(1-IF(B1318&gt;=in_marketplace_from,d_hz_choti*G1318,0))</f>
        <v/>
      </c>
      <c r="BD1319" s="46">
        <f>BC1319*IF(B1319&gt;=in_marketplace_from,d_hz_choti*G1319,0)</f>
        <v/>
      </c>
      <c r="BE1319" s="14">
        <f>F1319*SUMIFS(BD1304:BD1335,B1304:B1335,B1319-in_choti_months)*in_choti_renew*in_choti_ticket</f>
        <v/>
      </c>
      <c r="BF1319" s="40">
        <f>BF1318*(1-IF(B1318&gt;=in_marketplace_from,d_hz_nps*G1318,0))</f>
        <v/>
      </c>
      <c r="BG1319" s="14">
        <f>F1319*BF1319*IF(B1319&gt;=in_marketplace_from,d_hz_nps*G1319,0)*in_nps_ticket*in_nps_comm</f>
        <v/>
      </c>
      <c r="BH1319" s="40">
        <f>BH1318*(1-IF(B1318&gt;=in_marketplace_from,d_hz_gold*G1318,0))</f>
        <v/>
      </c>
      <c r="BI1319" s="40">
        <f>BI1318*d_rho_gold+BH1319*IF(B1319&gt;=in_marketplace_from,d_hz_gold*G1319,0)</f>
        <v/>
      </c>
      <c r="BJ1319" s="14">
        <f>F1319*BI1319*in_gold_ticket*in_gold_comm</f>
        <v/>
      </c>
      <c r="BK1319" s="40">
        <f>BK1318*(1-IF(B1318&gt;=in_marketplace_from,d_hz_fd*G1318,0))</f>
        <v/>
      </c>
      <c r="BL1319" s="14">
        <f>F1319*BK1319*IF(B1319&gt;=in_marketplace_from,d_hz_fd*G1319,0)*in_fd_ticket*in_fd_comm</f>
        <v/>
      </c>
      <c r="BM1319" s="40">
        <f>BM1318*(1-IF(B1318&gt;=in_marketplace_from,d_hz_recharge*G1318,0))</f>
        <v/>
      </c>
      <c r="BN1319" s="40">
        <f>BN1318*d_rho_recharge+BM1319*IF(B1319&gt;=in_marketplace_from,d_hz_recharge*G1319,0)</f>
        <v/>
      </c>
      <c r="BO1319" s="14">
        <f>F1319*BN1319*in_recharge_ticket*in_recharge_comm/12</f>
        <v/>
      </c>
      <c r="BP1319" s="40">
        <f>BP1318*(1-IF(B1318&gt;=in_marketplace_from,d_hz_bills*G1318,0))</f>
        <v/>
      </c>
      <c r="BQ1319" s="40">
        <f>BQ1318*d_rho_bills+BP1319*IF(B1319&gt;=in_marketplace_from,d_hz_bills*G1319,0)</f>
        <v/>
      </c>
      <c r="BR1319" s="14">
        <f>F1319*BQ1319*in_bills_ticket*in_bills_comm/12</f>
        <v/>
      </c>
      <c r="BS1319" s="40">
        <f>BS1318*(1-IF(B1318&gt;=in_marketplace_from,d_hz_loan_gold*G1318,0))</f>
        <v/>
      </c>
      <c r="BT1319" s="14">
        <f>F1319*BS1319*IF(B1319&gt;=in_marketplace_from,d_hz_loan_gold*G1319,0)*in_loan_gold_ticket*in_loan_gold_comm</f>
        <v/>
      </c>
      <c r="BU1319" s="40">
        <f>BU1318*(1-IF(B1318&gt;=in_marketplace_from,d_hz_loan_cd*G1318,0))</f>
        <v/>
      </c>
      <c r="BV1319" s="14">
        <f>F1319*BU1319*IF(B1319&gt;=in_marketplace_from,d_hz_loan_cd*G1319,0)*in_loan_cd_ticket*in_loan_cd_comm</f>
        <v/>
      </c>
      <c r="BW1319" s="40">
        <f>BW1318*(1-IF(B1318&gt;=in_marketplace_from,d_hz_loan_vehicle*G1318,0))</f>
        <v/>
      </c>
      <c r="BX1319" s="14">
        <f>F1319*BW1319*IF(B1319&gt;=in_marketplace_from,d_hz_loan_vehicle*G1319,0)*in_loan_vehicle_ticket*in_loan_vehicle_comm</f>
        <v/>
      </c>
      <c r="BY1319" s="40">
        <f>BY1318*(1-IF(B1318&gt;=in_marketplace_from,d_hz_loan_home*G1318,0)*BZ1318)</f>
        <v/>
      </c>
      <c r="BZ1319" s="11">
        <f>MIN(in_approval_cap,in_loan_home_approval*INDEX('Age profile'!$O$2:$O$61,B1319)*(1+in_approval_growth)^(D1319-1))</f>
        <v/>
      </c>
      <c r="CA1319" s="14">
        <f>F1319*BY1319*IF(B1319&gt;=in_marketplace_from,d_hz_loan_home*G1319,0)*BZ1319*in_loan_home_ticket*in_loan_home_comm</f>
        <v/>
      </c>
      <c r="CB1319" s="40">
        <f>CB1318*(1-IF(B1318&gt;=in_marketplace_from,d_hz_loan_lap*G1318,0)*CC1318)</f>
        <v/>
      </c>
      <c r="CC1319" s="11">
        <f>MIN(in_approval_cap,in_loan_lap_approval*INDEX('Age profile'!$O$2:$O$61,B1319)*(1+in_approval_growth)^(D1319-1))</f>
        <v/>
      </c>
      <c r="CD1319" s="14">
        <f>F1319*CB1319*IF(B1319&gt;=in_marketplace_from,d_hz_loan_lap*G1319,0)*CC1319*in_loan_lap_ticket*in_loan_lap_comm</f>
        <v/>
      </c>
      <c r="CE1319" s="14">
        <f>AA1319+AB1319+AC1319+AD1319+AG1319+AJ1319+AM1319+AP1319+AS1319+AU1319+AX1319+BB1319+BE1319+BG1319+BJ1319+BL1319+BO1319+BR1319+BT1319+BV1319+BX1319+CA1319+CD1319</f>
        <v/>
      </c>
    </row>
    <row r="1320">
      <c r="A1320" s="39" t="n">
        <v>29</v>
      </c>
      <c r="B1320" s="39" t="n">
        <v>17</v>
      </c>
      <c r="C1320" s="39">
        <f>A1320+B1320-1</f>
        <v/>
      </c>
      <c r="D1320" s="39">
        <f>INT((C1320-1)/12)+1</f>
        <v/>
      </c>
      <c r="E1320" s="44">
        <f>INDEX(Monthly!$B$2:$B$61,A1320)</f>
        <v/>
      </c>
      <c r="F1320" s="44">
        <f>E1320*INDEX('Age profile'!$B$2:$B$61,B1320)</f>
        <v/>
      </c>
      <c r="G1320" s="45">
        <f>MIN(in_takeup_cap,INDEX('Age profile'!$N$2:$N$61,B1320)*(1+in_takeup_growth)^(D1320-1))</f>
        <v/>
      </c>
      <c r="H1320" s="11">
        <f>MIN(in_approval_cap,in_approved_first*INDEX('Age profile'!$O$2:$O$61,B1320)*(1+in_approval_growth)^(D1320-1))</f>
        <v/>
      </c>
      <c r="I1320" s="45">
        <f>G1320*MIN(in_takeup_cap,INDEX('Age profile'!$O$2:$O$61,B1320)*(1+in_approval_growth)^(D1320-1))</f>
        <v/>
      </c>
      <c r="J1320" s="40">
        <f>(J1319-L1319)*F1320/F1319</f>
        <v/>
      </c>
      <c r="K1320" s="40">
        <f>(K1319-M1319)*F1320/F1319+SUMIFS(O1304:O1319,B1304:B1319,B1320-1-d_T)*F1320</f>
        <v/>
      </c>
      <c r="L1320" s="40">
        <f>IF(B1320&gt;=in_marketplace_from,J1320*d_hz*G1320*in_eligible*H1320,0)</f>
        <v/>
      </c>
      <c r="M1320" s="40">
        <f>IF(B1320&gt;=in_marketplace_from,K1320*d_hz*G1320*in_eligible*in_approved_repeat,0)</f>
        <v/>
      </c>
      <c r="N1320" s="40">
        <f>L1320+M1320</f>
        <v/>
      </c>
      <c r="O1320" s="46">
        <f>N1320/F1320</f>
        <v/>
      </c>
      <c r="P1320" s="40">
        <f>F1320-J1320-K1320</f>
        <v/>
      </c>
      <c r="Q1320" s="40">
        <f>IF(B1320&gt;=in_marketplace_from,(J1320+K1320)*d_hz*G1320,0)</f>
        <v/>
      </c>
      <c r="R1320" s="40">
        <f>SUMIFS(N1304:N1335,B1304:B1335,"&gt;="&amp;(B1320-d_T),B1304:B1335,"&lt;="&amp;(B1320-1))</f>
        <v/>
      </c>
      <c r="S1320" s="46">
        <f>(1-d_u)*S1319+IF(d_T&gt;in_topup_lag,SUMIFS(O1304:O1335,B1304:B1335,B1320-in_topup_lag)-d_udrop*SUMIFS(O1304:O1335,B1304:B1335,B1320-d_T),0)</f>
        <v/>
      </c>
      <c r="T1320" s="40">
        <f>F1320*d_u*S1320</f>
        <v/>
      </c>
      <c r="U1320" s="9">
        <f>L1320*in_ticket+M1320*d_rep_ticket</f>
        <v/>
      </c>
      <c r="V1320" s="9">
        <f>U1320+T1320*d_topup_amt</f>
        <v/>
      </c>
      <c r="W1320" s="40">
        <f>N1320+T1320*d_topup_ratio</f>
        <v/>
      </c>
      <c r="X1320" s="40">
        <f>SUMIFS(W1304:W1335,B1304:B1335,B1320-in_dpd_lag)*d_cured</f>
        <v/>
      </c>
      <c r="Y1320" s="40">
        <f>SUMIFS(W1304:W1335,B1304:B1335,B1320-in_rec_lag)*d_recd</f>
        <v/>
      </c>
      <c r="Z1320" s="40">
        <f>IF(AND(B1320&gt;=in_marketplace_from,B1320&lt;in_marketplace_from+in_card_months),in_card_share/in_card_months*F1320*I1320,IF(AND(B1320&gt;=in_marketplace_from+in_card_months,B1320&lt;in_marketplace_from+2*in_card_months),in_card_share*d_card_rem/in_card_months*F1320*MIN(in_takeup_cap,(1+in_takeup_growth)^(D1320-1))*MIN(in_takeup_cap,(1+in_approval_growth)^(D1320-1)),0))</f>
        <v/>
      </c>
      <c r="AA1320" s="14">
        <f>V1320*in_fee*(1-in_taken_back)</f>
        <v/>
      </c>
      <c r="AB1320" s="14">
        <f>SUMIFS(W1304:W1335,B1304:B1335,B1320-in_dpd_lag)*d_dpd</f>
        <v/>
      </c>
      <c r="AC1320" s="14">
        <f>SUMIFS(W1304:W1335,B1304:B1335,B1320-in_rec_lag)*d_rec</f>
        <v/>
      </c>
      <c r="AD1320" s="14">
        <f>Z1320*in_card_fee</f>
        <v/>
      </c>
      <c r="AE1320" s="40">
        <f>AE1319*(1-IF(B1319&gt;=in_marketplace_from,d_hz_hlth_small*G1319,0))</f>
        <v/>
      </c>
      <c r="AF1320" s="46">
        <f>AE1320*IF(B1320&gt;=in_marketplace_from,d_hz_hlth_small*G1320,0)</f>
        <v/>
      </c>
      <c r="AG1320" s="14">
        <f>F1320*AF1320*in_hlth_small_ticket*in_hlth_small_comm*in_ins_partner_share+F1320*in_hlth_small_ticket*in_hlth_small_renew_comm*in_ins_partner_share*(in_hlth_small_renew^1*SUMIFS(AF1304:AF1335,B1304:B1335,B1320-12)+in_hlth_small_renew^2*SUMIFS(AF1304:AF1335,B1304:B1335,B1320-24)+in_hlth_small_renew^3*SUMIFS(AF1304:AF1335,B1304:B1335,B1320-36)+in_hlth_small_renew^4*SUMIFS(AF1304:AF1335,B1304:B1335,B1320-48))</f>
        <v/>
      </c>
      <c r="AH1320" s="40">
        <f>AH1319*(1-IF(B1319&gt;=in_marketplace_from,d_hz_hlth_family*G1319,0))</f>
        <v/>
      </c>
      <c r="AI1320" s="46">
        <f>AH1320*IF(B1320&gt;=in_marketplace_from,d_hz_hlth_family*G1320,0)</f>
        <v/>
      </c>
      <c r="AJ1320" s="14">
        <f>F1320*AI1320*in_hlth_family_ticket*in_hlth_family_comm*in_ins_partner_share+F1320*in_hlth_family_ticket*in_hlth_family_renew_comm*in_ins_partner_share*(in_hlth_family_renew^1*SUMIFS(AI1304:AI1335,B1304:B1335,B1320-12)+in_hlth_family_renew^2*SUMIFS(AI1304:AI1335,B1304:B1335,B1320-24)+in_hlth_family_renew^3*SUMIFS(AI1304:AI1335,B1304:B1335,B1320-36)+in_hlth_family_renew^4*SUMIFS(AI1304:AI1335,B1304:B1335,B1320-48))</f>
        <v/>
      </c>
      <c r="AK1320" s="40">
        <f>AK1319*(1-IF(B1319&gt;=in_marketplace_from,d_hz_life_term*G1319,0))</f>
        <v/>
      </c>
      <c r="AL1320" s="46">
        <f>AK1320*IF(B1320&gt;=in_marketplace_from,d_hz_life_term*G1320,0)</f>
        <v/>
      </c>
      <c r="AM1320" s="14">
        <f>F1320*AL1320*in_life_term_ticket*in_life_term_comm*in_ins_partner_share+F1320*in_life_term_ticket*in_life_term_renew_comm*in_ins_partner_share*(in_life_term_renew^1*SUMIFS(AL1304:AL1335,B1304:B1335,B1320-12)+in_life_term_renew^2*SUMIFS(AL1304:AL1335,B1304:B1335,B1320-24)+in_life_term_renew^3*SUMIFS(AL1304:AL1335,B1304:B1335,B1320-36)+in_life_term_renew^4*SUMIFS(AL1304:AL1335,B1304:B1335,B1320-48))</f>
        <v/>
      </c>
      <c r="AN1320" s="40">
        <f>AN1319*(1-IF(B1319&gt;=in_marketplace_from,d_hz_accident*G1319,0))</f>
        <v/>
      </c>
      <c r="AO1320" s="46">
        <f>AN1320*IF(B1320&gt;=in_marketplace_from,d_hz_accident*G1320,0)</f>
        <v/>
      </c>
      <c r="AP1320" s="14">
        <f>F1320*AO1320*in_accident_ticket*in_accident_comm*in_ins_partner_share+F1320*in_accident_ticket*in_accident_renew_comm*in_ins_partner_share*(in_accident_renew^1*SUMIFS(AO1304:AO1335,B1304:B1335,B1320-12)+in_accident_renew^2*SUMIFS(AO1304:AO1335,B1304:B1335,B1320-24)+in_accident_renew^3*SUMIFS(AO1304:AO1335,B1304:B1335,B1320-36)+in_accident_renew^4*SUMIFS(AO1304:AO1335,B1304:B1335,B1320-48))</f>
        <v/>
      </c>
      <c r="AQ1320" s="40">
        <f>AQ1319*(1-IF(B1319&gt;=in_marketplace_from,d_hz_two_wheeler*G1319,0))</f>
        <v/>
      </c>
      <c r="AR1320" s="46">
        <f>AQ1320*IF(B1320&gt;=in_marketplace_from,d_hz_two_wheeler*G1320,0)</f>
        <v/>
      </c>
      <c r="AS1320" s="14">
        <f>F1320*AR1320*in_two_wheeler_ticket*in_two_wheeler_comm*in_ins_partner_share+F1320*in_two_wheeler_ticket*in_two_wheeler_comm*in_ins_partner_share*(in_two_wheeler_renew^1*SUMIFS(AR1304:AR1335,B1304:B1335,B1320-12)+in_two_wheeler_renew^2*SUMIFS(AR1304:AR1335,B1304:B1335,B1320-24)+in_two_wheeler_renew^3*SUMIFS(AR1304:AR1335,B1304:B1335,B1320-36)+in_two_wheeler_renew^4*SUMIFS(AR1304:AR1335,B1304:B1335,B1320-48))</f>
        <v/>
      </c>
      <c r="AT1320" s="40">
        <f>AT1319*(1-IF(B1319&gt;=in_marketplace_from,d_hz_device*G1319,0))</f>
        <v/>
      </c>
      <c r="AU1320" s="14">
        <f>F1320*AT1320*IF(B1320&gt;=in_marketplace_from,d_hz_device*G1320,0)*in_device_ticket*in_device_comm*in_ins_partner_share</f>
        <v/>
      </c>
      <c r="AV1320" s="40">
        <f>AV1319*(1-IF(B1319&gt;=in_marketplace_from,d_hz_shop*G1319,0))</f>
        <v/>
      </c>
      <c r="AW1320" s="46">
        <f>AV1320*IF(B1320&gt;=in_marketplace_from,d_hz_shop*G1320,0)</f>
        <v/>
      </c>
      <c r="AX1320" s="14">
        <f>F1320*AW1320*in_shop_ticket*in_shop_comm*in_ins_partner_share+F1320*in_shop_ticket*in_shop_renew_comm*in_ins_partner_share*(in_shop_renew^1*SUMIFS(AW1304:AW1335,B1304:B1335,B1320-12)+in_shop_renew^2*SUMIFS(AW1304:AW1335,B1304:B1335,B1320-24)+in_shop_renew^3*SUMIFS(AW1304:AW1335,B1304:B1335,B1320-36)+in_shop_renew^4*SUMIFS(AW1304:AW1335,B1304:B1335,B1320-48))</f>
        <v/>
      </c>
      <c r="AY1320" s="40">
        <f>AY1319*(1-IF(B1319&gt;=in_marketplace_from,d_hz_sip*G1319,0))</f>
        <v/>
      </c>
      <c r="AZ1320" s="40">
        <f>AZ1319*d_rho_sip+AY1320*IF(B1320&gt;=in_marketplace_from,d_hz_sip*G1320,0)</f>
        <v/>
      </c>
      <c r="BA1320" s="40">
        <f>d_rho_sip*(BA1319+AZ1319)</f>
        <v/>
      </c>
      <c r="BB1320" s="14">
        <f>F1320*in_sip_ticket*(BA1320+0.5*AZ1320)*in_sip_comm/12</f>
        <v/>
      </c>
      <c r="BC1320" s="40">
        <f>BC1319*(1-IF(B1319&gt;=in_marketplace_from,d_hz_choti*G1319,0))</f>
        <v/>
      </c>
      <c r="BD1320" s="46">
        <f>BC1320*IF(B1320&gt;=in_marketplace_from,d_hz_choti*G1320,0)</f>
        <v/>
      </c>
      <c r="BE1320" s="14">
        <f>F1320*SUMIFS(BD1304:BD1335,B1304:B1335,B1320-in_choti_months)*in_choti_renew*in_choti_ticket</f>
        <v/>
      </c>
      <c r="BF1320" s="40">
        <f>BF1319*(1-IF(B1319&gt;=in_marketplace_from,d_hz_nps*G1319,0))</f>
        <v/>
      </c>
      <c r="BG1320" s="14">
        <f>F1320*BF1320*IF(B1320&gt;=in_marketplace_from,d_hz_nps*G1320,0)*in_nps_ticket*in_nps_comm</f>
        <v/>
      </c>
      <c r="BH1320" s="40">
        <f>BH1319*(1-IF(B1319&gt;=in_marketplace_from,d_hz_gold*G1319,0))</f>
        <v/>
      </c>
      <c r="BI1320" s="40">
        <f>BI1319*d_rho_gold+BH1320*IF(B1320&gt;=in_marketplace_from,d_hz_gold*G1320,0)</f>
        <v/>
      </c>
      <c r="BJ1320" s="14">
        <f>F1320*BI1320*in_gold_ticket*in_gold_comm</f>
        <v/>
      </c>
      <c r="BK1320" s="40">
        <f>BK1319*(1-IF(B1319&gt;=in_marketplace_from,d_hz_fd*G1319,0))</f>
        <v/>
      </c>
      <c r="BL1320" s="14">
        <f>F1320*BK1320*IF(B1320&gt;=in_marketplace_from,d_hz_fd*G1320,0)*in_fd_ticket*in_fd_comm</f>
        <v/>
      </c>
      <c r="BM1320" s="40">
        <f>BM1319*(1-IF(B1319&gt;=in_marketplace_from,d_hz_recharge*G1319,0))</f>
        <v/>
      </c>
      <c r="BN1320" s="40">
        <f>BN1319*d_rho_recharge+BM1320*IF(B1320&gt;=in_marketplace_from,d_hz_recharge*G1320,0)</f>
        <v/>
      </c>
      <c r="BO1320" s="14">
        <f>F1320*BN1320*in_recharge_ticket*in_recharge_comm/12</f>
        <v/>
      </c>
      <c r="BP1320" s="40">
        <f>BP1319*(1-IF(B1319&gt;=in_marketplace_from,d_hz_bills*G1319,0))</f>
        <v/>
      </c>
      <c r="BQ1320" s="40">
        <f>BQ1319*d_rho_bills+BP1320*IF(B1320&gt;=in_marketplace_from,d_hz_bills*G1320,0)</f>
        <v/>
      </c>
      <c r="BR1320" s="14">
        <f>F1320*BQ1320*in_bills_ticket*in_bills_comm/12</f>
        <v/>
      </c>
      <c r="BS1320" s="40">
        <f>BS1319*(1-IF(B1319&gt;=in_marketplace_from,d_hz_loan_gold*G1319,0))</f>
        <v/>
      </c>
      <c r="BT1320" s="14">
        <f>F1320*BS1320*IF(B1320&gt;=in_marketplace_from,d_hz_loan_gold*G1320,0)*in_loan_gold_ticket*in_loan_gold_comm</f>
        <v/>
      </c>
      <c r="BU1320" s="40">
        <f>BU1319*(1-IF(B1319&gt;=in_marketplace_from,d_hz_loan_cd*G1319,0))</f>
        <v/>
      </c>
      <c r="BV1320" s="14">
        <f>F1320*BU1320*IF(B1320&gt;=in_marketplace_from,d_hz_loan_cd*G1320,0)*in_loan_cd_ticket*in_loan_cd_comm</f>
        <v/>
      </c>
      <c r="BW1320" s="40">
        <f>BW1319*(1-IF(B1319&gt;=in_marketplace_from,d_hz_loan_vehicle*G1319,0))</f>
        <v/>
      </c>
      <c r="BX1320" s="14">
        <f>F1320*BW1320*IF(B1320&gt;=in_marketplace_from,d_hz_loan_vehicle*G1320,0)*in_loan_vehicle_ticket*in_loan_vehicle_comm</f>
        <v/>
      </c>
      <c r="BY1320" s="40">
        <f>BY1319*(1-IF(B1319&gt;=in_marketplace_from,d_hz_loan_home*G1319,0)*BZ1319)</f>
        <v/>
      </c>
      <c r="BZ1320" s="11">
        <f>MIN(in_approval_cap,in_loan_home_approval*INDEX('Age profile'!$O$2:$O$61,B1320)*(1+in_approval_growth)^(D1320-1))</f>
        <v/>
      </c>
      <c r="CA1320" s="14">
        <f>F1320*BY1320*IF(B1320&gt;=in_marketplace_from,d_hz_loan_home*G1320,0)*BZ1320*in_loan_home_ticket*in_loan_home_comm</f>
        <v/>
      </c>
      <c r="CB1320" s="40">
        <f>CB1319*(1-IF(B1319&gt;=in_marketplace_from,d_hz_loan_lap*G1319,0)*CC1319)</f>
        <v/>
      </c>
      <c r="CC1320" s="11">
        <f>MIN(in_approval_cap,in_loan_lap_approval*INDEX('Age profile'!$O$2:$O$61,B1320)*(1+in_approval_growth)^(D1320-1))</f>
        <v/>
      </c>
      <c r="CD1320" s="14">
        <f>F1320*CB1320*IF(B1320&gt;=in_marketplace_from,d_hz_loan_lap*G1320,0)*CC1320*in_loan_lap_ticket*in_loan_lap_comm</f>
        <v/>
      </c>
      <c r="CE1320" s="14">
        <f>AA1320+AB1320+AC1320+AD1320+AG1320+AJ1320+AM1320+AP1320+AS1320+AU1320+AX1320+BB1320+BE1320+BG1320+BJ1320+BL1320+BO1320+BR1320+BT1320+BV1320+BX1320+CA1320+CD1320</f>
        <v/>
      </c>
    </row>
    <row r="1321">
      <c r="A1321" s="39" t="n">
        <v>29</v>
      </c>
      <c r="B1321" s="39" t="n">
        <v>18</v>
      </c>
      <c r="C1321" s="39">
        <f>A1321+B1321-1</f>
        <v/>
      </c>
      <c r="D1321" s="39">
        <f>INT((C1321-1)/12)+1</f>
        <v/>
      </c>
      <c r="E1321" s="44">
        <f>INDEX(Monthly!$B$2:$B$61,A1321)</f>
        <v/>
      </c>
      <c r="F1321" s="44">
        <f>E1321*INDEX('Age profile'!$B$2:$B$61,B1321)</f>
        <v/>
      </c>
      <c r="G1321" s="45">
        <f>MIN(in_takeup_cap,INDEX('Age profile'!$N$2:$N$61,B1321)*(1+in_takeup_growth)^(D1321-1))</f>
        <v/>
      </c>
      <c r="H1321" s="11">
        <f>MIN(in_approval_cap,in_approved_first*INDEX('Age profile'!$O$2:$O$61,B1321)*(1+in_approval_growth)^(D1321-1))</f>
        <v/>
      </c>
      <c r="I1321" s="45">
        <f>G1321*MIN(in_takeup_cap,INDEX('Age profile'!$O$2:$O$61,B1321)*(1+in_approval_growth)^(D1321-1))</f>
        <v/>
      </c>
      <c r="J1321" s="40">
        <f>(J1320-L1320)*F1321/F1320</f>
        <v/>
      </c>
      <c r="K1321" s="40">
        <f>(K1320-M1320)*F1321/F1320+SUMIFS(O1304:O1320,B1304:B1320,B1321-1-d_T)*F1321</f>
        <v/>
      </c>
      <c r="L1321" s="40">
        <f>IF(B1321&gt;=in_marketplace_from,J1321*d_hz*G1321*in_eligible*H1321,0)</f>
        <v/>
      </c>
      <c r="M1321" s="40">
        <f>IF(B1321&gt;=in_marketplace_from,K1321*d_hz*G1321*in_eligible*in_approved_repeat,0)</f>
        <v/>
      </c>
      <c r="N1321" s="40">
        <f>L1321+M1321</f>
        <v/>
      </c>
      <c r="O1321" s="46">
        <f>N1321/F1321</f>
        <v/>
      </c>
      <c r="P1321" s="40">
        <f>F1321-J1321-K1321</f>
        <v/>
      </c>
      <c r="Q1321" s="40">
        <f>IF(B1321&gt;=in_marketplace_from,(J1321+K1321)*d_hz*G1321,0)</f>
        <v/>
      </c>
      <c r="R1321" s="40">
        <f>SUMIFS(N1304:N1335,B1304:B1335,"&gt;="&amp;(B1321-d_T),B1304:B1335,"&lt;="&amp;(B1321-1))</f>
        <v/>
      </c>
      <c r="S1321" s="46">
        <f>(1-d_u)*S1320+IF(d_T&gt;in_topup_lag,SUMIFS(O1304:O1335,B1304:B1335,B1321-in_topup_lag)-d_udrop*SUMIFS(O1304:O1335,B1304:B1335,B1321-d_T),0)</f>
        <v/>
      </c>
      <c r="T1321" s="40">
        <f>F1321*d_u*S1321</f>
        <v/>
      </c>
      <c r="U1321" s="9">
        <f>L1321*in_ticket+M1321*d_rep_ticket</f>
        <v/>
      </c>
      <c r="V1321" s="9">
        <f>U1321+T1321*d_topup_amt</f>
        <v/>
      </c>
      <c r="W1321" s="40">
        <f>N1321+T1321*d_topup_ratio</f>
        <v/>
      </c>
      <c r="X1321" s="40">
        <f>SUMIFS(W1304:W1335,B1304:B1335,B1321-in_dpd_lag)*d_cured</f>
        <v/>
      </c>
      <c r="Y1321" s="40">
        <f>SUMIFS(W1304:W1335,B1304:B1335,B1321-in_rec_lag)*d_recd</f>
        <v/>
      </c>
      <c r="Z1321" s="40">
        <f>IF(AND(B1321&gt;=in_marketplace_from,B1321&lt;in_marketplace_from+in_card_months),in_card_share/in_card_months*F1321*I1321,IF(AND(B1321&gt;=in_marketplace_from+in_card_months,B1321&lt;in_marketplace_from+2*in_card_months),in_card_share*d_card_rem/in_card_months*F1321*MIN(in_takeup_cap,(1+in_takeup_growth)^(D1321-1))*MIN(in_takeup_cap,(1+in_approval_growth)^(D1321-1)),0))</f>
        <v/>
      </c>
      <c r="AA1321" s="14">
        <f>V1321*in_fee*(1-in_taken_back)</f>
        <v/>
      </c>
      <c r="AB1321" s="14">
        <f>SUMIFS(W1304:W1335,B1304:B1335,B1321-in_dpd_lag)*d_dpd</f>
        <v/>
      </c>
      <c r="AC1321" s="14">
        <f>SUMIFS(W1304:W1335,B1304:B1335,B1321-in_rec_lag)*d_rec</f>
        <v/>
      </c>
      <c r="AD1321" s="14">
        <f>Z1321*in_card_fee</f>
        <v/>
      </c>
      <c r="AE1321" s="40">
        <f>AE1320*(1-IF(B1320&gt;=in_marketplace_from,d_hz_hlth_small*G1320,0))</f>
        <v/>
      </c>
      <c r="AF1321" s="46">
        <f>AE1321*IF(B1321&gt;=in_marketplace_from,d_hz_hlth_small*G1321,0)</f>
        <v/>
      </c>
      <c r="AG1321" s="14">
        <f>F1321*AF1321*in_hlth_small_ticket*in_hlth_small_comm*in_ins_partner_share+F1321*in_hlth_small_ticket*in_hlth_small_renew_comm*in_ins_partner_share*(in_hlth_small_renew^1*SUMIFS(AF1304:AF1335,B1304:B1335,B1321-12)+in_hlth_small_renew^2*SUMIFS(AF1304:AF1335,B1304:B1335,B1321-24)+in_hlth_small_renew^3*SUMIFS(AF1304:AF1335,B1304:B1335,B1321-36)+in_hlth_small_renew^4*SUMIFS(AF1304:AF1335,B1304:B1335,B1321-48))</f>
        <v/>
      </c>
      <c r="AH1321" s="40">
        <f>AH1320*(1-IF(B1320&gt;=in_marketplace_from,d_hz_hlth_family*G1320,0))</f>
        <v/>
      </c>
      <c r="AI1321" s="46">
        <f>AH1321*IF(B1321&gt;=in_marketplace_from,d_hz_hlth_family*G1321,0)</f>
        <v/>
      </c>
      <c r="AJ1321" s="14">
        <f>F1321*AI1321*in_hlth_family_ticket*in_hlth_family_comm*in_ins_partner_share+F1321*in_hlth_family_ticket*in_hlth_family_renew_comm*in_ins_partner_share*(in_hlth_family_renew^1*SUMIFS(AI1304:AI1335,B1304:B1335,B1321-12)+in_hlth_family_renew^2*SUMIFS(AI1304:AI1335,B1304:B1335,B1321-24)+in_hlth_family_renew^3*SUMIFS(AI1304:AI1335,B1304:B1335,B1321-36)+in_hlth_family_renew^4*SUMIFS(AI1304:AI1335,B1304:B1335,B1321-48))</f>
        <v/>
      </c>
      <c r="AK1321" s="40">
        <f>AK1320*(1-IF(B1320&gt;=in_marketplace_from,d_hz_life_term*G1320,0))</f>
        <v/>
      </c>
      <c r="AL1321" s="46">
        <f>AK1321*IF(B1321&gt;=in_marketplace_from,d_hz_life_term*G1321,0)</f>
        <v/>
      </c>
      <c r="AM1321" s="14">
        <f>F1321*AL1321*in_life_term_ticket*in_life_term_comm*in_ins_partner_share+F1321*in_life_term_ticket*in_life_term_renew_comm*in_ins_partner_share*(in_life_term_renew^1*SUMIFS(AL1304:AL1335,B1304:B1335,B1321-12)+in_life_term_renew^2*SUMIFS(AL1304:AL1335,B1304:B1335,B1321-24)+in_life_term_renew^3*SUMIFS(AL1304:AL1335,B1304:B1335,B1321-36)+in_life_term_renew^4*SUMIFS(AL1304:AL1335,B1304:B1335,B1321-48))</f>
        <v/>
      </c>
      <c r="AN1321" s="40">
        <f>AN1320*(1-IF(B1320&gt;=in_marketplace_from,d_hz_accident*G1320,0))</f>
        <v/>
      </c>
      <c r="AO1321" s="46">
        <f>AN1321*IF(B1321&gt;=in_marketplace_from,d_hz_accident*G1321,0)</f>
        <v/>
      </c>
      <c r="AP1321" s="14">
        <f>F1321*AO1321*in_accident_ticket*in_accident_comm*in_ins_partner_share+F1321*in_accident_ticket*in_accident_renew_comm*in_ins_partner_share*(in_accident_renew^1*SUMIFS(AO1304:AO1335,B1304:B1335,B1321-12)+in_accident_renew^2*SUMIFS(AO1304:AO1335,B1304:B1335,B1321-24)+in_accident_renew^3*SUMIFS(AO1304:AO1335,B1304:B1335,B1321-36)+in_accident_renew^4*SUMIFS(AO1304:AO1335,B1304:B1335,B1321-48))</f>
        <v/>
      </c>
      <c r="AQ1321" s="40">
        <f>AQ1320*(1-IF(B1320&gt;=in_marketplace_from,d_hz_two_wheeler*G1320,0))</f>
        <v/>
      </c>
      <c r="AR1321" s="46">
        <f>AQ1321*IF(B1321&gt;=in_marketplace_from,d_hz_two_wheeler*G1321,0)</f>
        <v/>
      </c>
      <c r="AS1321" s="14">
        <f>F1321*AR1321*in_two_wheeler_ticket*in_two_wheeler_comm*in_ins_partner_share+F1321*in_two_wheeler_ticket*in_two_wheeler_comm*in_ins_partner_share*(in_two_wheeler_renew^1*SUMIFS(AR1304:AR1335,B1304:B1335,B1321-12)+in_two_wheeler_renew^2*SUMIFS(AR1304:AR1335,B1304:B1335,B1321-24)+in_two_wheeler_renew^3*SUMIFS(AR1304:AR1335,B1304:B1335,B1321-36)+in_two_wheeler_renew^4*SUMIFS(AR1304:AR1335,B1304:B1335,B1321-48))</f>
        <v/>
      </c>
      <c r="AT1321" s="40">
        <f>AT1320*(1-IF(B1320&gt;=in_marketplace_from,d_hz_device*G1320,0))</f>
        <v/>
      </c>
      <c r="AU1321" s="14">
        <f>F1321*AT1321*IF(B1321&gt;=in_marketplace_from,d_hz_device*G1321,0)*in_device_ticket*in_device_comm*in_ins_partner_share</f>
        <v/>
      </c>
      <c r="AV1321" s="40">
        <f>AV1320*(1-IF(B1320&gt;=in_marketplace_from,d_hz_shop*G1320,0))</f>
        <v/>
      </c>
      <c r="AW1321" s="46">
        <f>AV1321*IF(B1321&gt;=in_marketplace_from,d_hz_shop*G1321,0)</f>
        <v/>
      </c>
      <c r="AX1321" s="14">
        <f>F1321*AW1321*in_shop_ticket*in_shop_comm*in_ins_partner_share+F1321*in_shop_ticket*in_shop_renew_comm*in_ins_partner_share*(in_shop_renew^1*SUMIFS(AW1304:AW1335,B1304:B1335,B1321-12)+in_shop_renew^2*SUMIFS(AW1304:AW1335,B1304:B1335,B1321-24)+in_shop_renew^3*SUMIFS(AW1304:AW1335,B1304:B1335,B1321-36)+in_shop_renew^4*SUMIFS(AW1304:AW1335,B1304:B1335,B1321-48))</f>
        <v/>
      </c>
      <c r="AY1321" s="40">
        <f>AY1320*(1-IF(B1320&gt;=in_marketplace_from,d_hz_sip*G1320,0))</f>
        <v/>
      </c>
      <c r="AZ1321" s="40">
        <f>AZ1320*d_rho_sip+AY1321*IF(B1321&gt;=in_marketplace_from,d_hz_sip*G1321,0)</f>
        <v/>
      </c>
      <c r="BA1321" s="40">
        <f>d_rho_sip*(BA1320+AZ1320)</f>
        <v/>
      </c>
      <c r="BB1321" s="14">
        <f>F1321*in_sip_ticket*(BA1321+0.5*AZ1321)*in_sip_comm/12</f>
        <v/>
      </c>
      <c r="BC1321" s="40">
        <f>BC1320*(1-IF(B1320&gt;=in_marketplace_from,d_hz_choti*G1320,0))</f>
        <v/>
      </c>
      <c r="BD1321" s="46">
        <f>BC1321*IF(B1321&gt;=in_marketplace_from,d_hz_choti*G1321,0)</f>
        <v/>
      </c>
      <c r="BE1321" s="14">
        <f>F1321*SUMIFS(BD1304:BD1335,B1304:B1335,B1321-in_choti_months)*in_choti_renew*in_choti_ticket</f>
        <v/>
      </c>
      <c r="BF1321" s="40">
        <f>BF1320*(1-IF(B1320&gt;=in_marketplace_from,d_hz_nps*G1320,0))</f>
        <v/>
      </c>
      <c r="BG1321" s="14">
        <f>F1321*BF1321*IF(B1321&gt;=in_marketplace_from,d_hz_nps*G1321,0)*in_nps_ticket*in_nps_comm</f>
        <v/>
      </c>
      <c r="BH1321" s="40">
        <f>BH1320*(1-IF(B1320&gt;=in_marketplace_from,d_hz_gold*G1320,0))</f>
        <v/>
      </c>
      <c r="BI1321" s="40">
        <f>BI1320*d_rho_gold+BH1321*IF(B1321&gt;=in_marketplace_from,d_hz_gold*G1321,0)</f>
        <v/>
      </c>
      <c r="BJ1321" s="14">
        <f>F1321*BI1321*in_gold_ticket*in_gold_comm</f>
        <v/>
      </c>
      <c r="BK1321" s="40">
        <f>BK1320*(1-IF(B1320&gt;=in_marketplace_from,d_hz_fd*G1320,0))</f>
        <v/>
      </c>
      <c r="BL1321" s="14">
        <f>F1321*BK1321*IF(B1321&gt;=in_marketplace_from,d_hz_fd*G1321,0)*in_fd_ticket*in_fd_comm</f>
        <v/>
      </c>
      <c r="BM1321" s="40">
        <f>BM1320*(1-IF(B1320&gt;=in_marketplace_from,d_hz_recharge*G1320,0))</f>
        <v/>
      </c>
      <c r="BN1321" s="40">
        <f>BN1320*d_rho_recharge+BM1321*IF(B1321&gt;=in_marketplace_from,d_hz_recharge*G1321,0)</f>
        <v/>
      </c>
      <c r="BO1321" s="14">
        <f>F1321*BN1321*in_recharge_ticket*in_recharge_comm/12</f>
        <v/>
      </c>
      <c r="BP1321" s="40">
        <f>BP1320*(1-IF(B1320&gt;=in_marketplace_from,d_hz_bills*G1320,0))</f>
        <v/>
      </c>
      <c r="BQ1321" s="40">
        <f>BQ1320*d_rho_bills+BP1321*IF(B1321&gt;=in_marketplace_from,d_hz_bills*G1321,0)</f>
        <v/>
      </c>
      <c r="BR1321" s="14">
        <f>F1321*BQ1321*in_bills_ticket*in_bills_comm/12</f>
        <v/>
      </c>
      <c r="BS1321" s="40">
        <f>BS1320*(1-IF(B1320&gt;=in_marketplace_from,d_hz_loan_gold*G1320,0))</f>
        <v/>
      </c>
      <c r="BT1321" s="14">
        <f>F1321*BS1321*IF(B1321&gt;=in_marketplace_from,d_hz_loan_gold*G1321,0)*in_loan_gold_ticket*in_loan_gold_comm</f>
        <v/>
      </c>
      <c r="BU1321" s="40">
        <f>BU1320*(1-IF(B1320&gt;=in_marketplace_from,d_hz_loan_cd*G1320,0))</f>
        <v/>
      </c>
      <c r="BV1321" s="14">
        <f>F1321*BU1321*IF(B1321&gt;=in_marketplace_from,d_hz_loan_cd*G1321,0)*in_loan_cd_ticket*in_loan_cd_comm</f>
        <v/>
      </c>
      <c r="BW1321" s="40">
        <f>BW1320*(1-IF(B1320&gt;=in_marketplace_from,d_hz_loan_vehicle*G1320,0))</f>
        <v/>
      </c>
      <c r="BX1321" s="14">
        <f>F1321*BW1321*IF(B1321&gt;=in_marketplace_from,d_hz_loan_vehicle*G1321,0)*in_loan_vehicle_ticket*in_loan_vehicle_comm</f>
        <v/>
      </c>
      <c r="BY1321" s="40">
        <f>BY1320*(1-IF(B1320&gt;=in_marketplace_from,d_hz_loan_home*G1320,0)*BZ1320)</f>
        <v/>
      </c>
      <c r="BZ1321" s="11">
        <f>MIN(in_approval_cap,in_loan_home_approval*INDEX('Age profile'!$O$2:$O$61,B1321)*(1+in_approval_growth)^(D1321-1))</f>
        <v/>
      </c>
      <c r="CA1321" s="14">
        <f>F1321*BY1321*IF(B1321&gt;=in_marketplace_from,d_hz_loan_home*G1321,0)*BZ1321*in_loan_home_ticket*in_loan_home_comm</f>
        <v/>
      </c>
      <c r="CB1321" s="40">
        <f>CB1320*(1-IF(B1320&gt;=in_marketplace_from,d_hz_loan_lap*G1320,0)*CC1320)</f>
        <v/>
      </c>
      <c r="CC1321" s="11">
        <f>MIN(in_approval_cap,in_loan_lap_approval*INDEX('Age profile'!$O$2:$O$61,B1321)*(1+in_approval_growth)^(D1321-1))</f>
        <v/>
      </c>
      <c r="CD1321" s="14">
        <f>F1321*CB1321*IF(B1321&gt;=in_marketplace_from,d_hz_loan_lap*G1321,0)*CC1321*in_loan_lap_ticket*in_loan_lap_comm</f>
        <v/>
      </c>
      <c r="CE1321" s="14">
        <f>AA1321+AB1321+AC1321+AD1321+AG1321+AJ1321+AM1321+AP1321+AS1321+AU1321+AX1321+BB1321+BE1321+BG1321+BJ1321+BL1321+BO1321+BR1321+BT1321+BV1321+BX1321+CA1321+CD1321</f>
        <v/>
      </c>
    </row>
    <row r="1322">
      <c r="A1322" s="39" t="n">
        <v>29</v>
      </c>
      <c r="B1322" s="39" t="n">
        <v>19</v>
      </c>
      <c r="C1322" s="39">
        <f>A1322+B1322-1</f>
        <v/>
      </c>
      <c r="D1322" s="39">
        <f>INT((C1322-1)/12)+1</f>
        <v/>
      </c>
      <c r="E1322" s="44">
        <f>INDEX(Monthly!$B$2:$B$61,A1322)</f>
        <v/>
      </c>
      <c r="F1322" s="44">
        <f>E1322*INDEX('Age profile'!$B$2:$B$61,B1322)</f>
        <v/>
      </c>
      <c r="G1322" s="45">
        <f>MIN(in_takeup_cap,INDEX('Age profile'!$N$2:$N$61,B1322)*(1+in_takeup_growth)^(D1322-1))</f>
        <v/>
      </c>
      <c r="H1322" s="11">
        <f>MIN(in_approval_cap,in_approved_first*INDEX('Age profile'!$O$2:$O$61,B1322)*(1+in_approval_growth)^(D1322-1))</f>
        <v/>
      </c>
      <c r="I1322" s="45">
        <f>G1322*MIN(in_takeup_cap,INDEX('Age profile'!$O$2:$O$61,B1322)*(1+in_approval_growth)^(D1322-1))</f>
        <v/>
      </c>
      <c r="J1322" s="40">
        <f>(J1321-L1321)*F1322/F1321</f>
        <v/>
      </c>
      <c r="K1322" s="40">
        <f>(K1321-M1321)*F1322/F1321+SUMIFS(O1304:O1321,B1304:B1321,B1322-1-d_T)*F1322</f>
        <v/>
      </c>
      <c r="L1322" s="40">
        <f>IF(B1322&gt;=in_marketplace_from,J1322*d_hz*G1322*in_eligible*H1322,0)</f>
        <v/>
      </c>
      <c r="M1322" s="40">
        <f>IF(B1322&gt;=in_marketplace_from,K1322*d_hz*G1322*in_eligible*in_approved_repeat,0)</f>
        <v/>
      </c>
      <c r="N1322" s="40">
        <f>L1322+M1322</f>
        <v/>
      </c>
      <c r="O1322" s="46">
        <f>N1322/F1322</f>
        <v/>
      </c>
      <c r="P1322" s="40">
        <f>F1322-J1322-K1322</f>
        <v/>
      </c>
      <c r="Q1322" s="40">
        <f>IF(B1322&gt;=in_marketplace_from,(J1322+K1322)*d_hz*G1322,0)</f>
        <v/>
      </c>
      <c r="R1322" s="40">
        <f>SUMIFS(N1304:N1335,B1304:B1335,"&gt;="&amp;(B1322-d_T),B1304:B1335,"&lt;="&amp;(B1322-1))</f>
        <v/>
      </c>
      <c r="S1322" s="46">
        <f>(1-d_u)*S1321+IF(d_T&gt;in_topup_lag,SUMIFS(O1304:O1335,B1304:B1335,B1322-in_topup_lag)-d_udrop*SUMIFS(O1304:O1335,B1304:B1335,B1322-d_T),0)</f>
        <v/>
      </c>
      <c r="T1322" s="40">
        <f>F1322*d_u*S1322</f>
        <v/>
      </c>
      <c r="U1322" s="9">
        <f>L1322*in_ticket+M1322*d_rep_ticket</f>
        <v/>
      </c>
      <c r="V1322" s="9">
        <f>U1322+T1322*d_topup_amt</f>
        <v/>
      </c>
      <c r="W1322" s="40">
        <f>N1322+T1322*d_topup_ratio</f>
        <v/>
      </c>
      <c r="X1322" s="40">
        <f>SUMIFS(W1304:W1335,B1304:B1335,B1322-in_dpd_lag)*d_cured</f>
        <v/>
      </c>
      <c r="Y1322" s="40">
        <f>SUMIFS(W1304:W1335,B1304:B1335,B1322-in_rec_lag)*d_recd</f>
        <v/>
      </c>
      <c r="Z1322" s="40">
        <f>IF(AND(B1322&gt;=in_marketplace_from,B1322&lt;in_marketplace_from+in_card_months),in_card_share/in_card_months*F1322*I1322,IF(AND(B1322&gt;=in_marketplace_from+in_card_months,B1322&lt;in_marketplace_from+2*in_card_months),in_card_share*d_card_rem/in_card_months*F1322*MIN(in_takeup_cap,(1+in_takeup_growth)^(D1322-1))*MIN(in_takeup_cap,(1+in_approval_growth)^(D1322-1)),0))</f>
        <v/>
      </c>
      <c r="AA1322" s="14">
        <f>V1322*in_fee*(1-in_taken_back)</f>
        <v/>
      </c>
      <c r="AB1322" s="14">
        <f>SUMIFS(W1304:W1335,B1304:B1335,B1322-in_dpd_lag)*d_dpd</f>
        <v/>
      </c>
      <c r="AC1322" s="14">
        <f>SUMIFS(W1304:W1335,B1304:B1335,B1322-in_rec_lag)*d_rec</f>
        <v/>
      </c>
      <c r="AD1322" s="14">
        <f>Z1322*in_card_fee</f>
        <v/>
      </c>
      <c r="AE1322" s="40">
        <f>AE1321*(1-IF(B1321&gt;=in_marketplace_from,d_hz_hlth_small*G1321,0))</f>
        <v/>
      </c>
      <c r="AF1322" s="46">
        <f>AE1322*IF(B1322&gt;=in_marketplace_from,d_hz_hlth_small*G1322,0)</f>
        <v/>
      </c>
      <c r="AG1322" s="14">
        <f>F1322*AF1322*in_hlth_small_ticket*in_hlth_small_comm*in_ins_partner_share+F1322*in_hlth_small_ticket*in_hlth_small_renew_comm*in_ins_partner_share*(in_hlth_small_renew^1*SUMIFS(AF1304:AF1335,B1304:B1335,B1322-12)+in_hlth_small_renew^2*SUMIFS(AF1304:AF1335,B1304:B1335,B1322-24)+in_hlth_small_renew^3*SUMIFS(AF1304:AF1335,B1304:B1335,B1322-36)+in_hlth_small_renew^4*SUMIFS(AF1304:AF1335,B1304:B1335,B1322-48))</f>
        <v/>
      </c>
      <c r="AH1322" s="40">
        <f>AH1321*(1-IF(B1321&gt;=in_marketplace_from,d_hz_hlth_family*G1321,0))</f>
        <v/>
      </c>
      <c r="AI1322" s="46">
        <f>AH1322*IF(B1322&gt;=in_marketplace_from,d_hz_hlth_family*G1322,0)</f>
        <v/>
      </c>
      <c r="AJ1322" s="14">
        <f>F1322*AI1322*in_hlth_family_ticket*in_hlth_family_comm*in_ins_partner_share+F1322*in_hlth_family_ticket*in_hlth_family_renew_comm*in_ins_partner_share*(in_hlth_family_renew^1*SUMIFS(AI1304:AI1335,B1304:B1335,B1322-12)+in_hlth_family_renew^2*SUMIFS(AI1304:AI1335,B1304:B1335,B1322-24)+in_hlth_family_renew^3*SUMIFS(AI1304:AI1335,B1304:B1335,B1322-36)+in_hlth_family_renew^4*SUMIFS(AI1304:AI1335,B1304:B1335,B1322-48))</f>
        <v/>
      </c>
      <c r="AK1322" s="40">
        <f>AK1321*(1-IF(B1321&gt;=in_marketplace_from,d_hz_life_term*G1321,0))</f>
        <v/>
      </c>
      <c r="AL1322" s="46">
        <f>AK1322*IF(B1322&gt;=in_marketplace_from,d_hz_life_term*G1322,0)</f>
        <v/>
      </c>
      <c r="AM1322" s="14">
        <f>F1322*AL1322*in_life_term_ticket*in_life_term_comm*in_ins_partner_share+F1322*in_life_term_ticket*in_life_term_renew_comm*in_ins_partner_share*(in_life_term_renew^1*SUMIFS(AL1304:AL1335,B1304:B1335,B1322-12)+in_life_term_renew^2*SUMIFS(AL1304:AL1335,B1304:B1335,B1322-24)+in_life_term_renew^3*SUMIFS(AL1304:AL1335,B1304:B1335,B1322-36)+in_life_term_renew^4*SUMIFS(AL1304:AL1335,B1304:B1335,B1322-48))</f>
        <v/>
      </c>
      <c r="AN1322" s="40">
        <f>AN1321*(1-IF(B1321&gt;=in_marketplace_from,d_hz_accident*G1321,0))</f>
        <v/>
      </c>
      <c r="AO1322" s="46">
        <f>AN1322*IF(B1322&gt;=in_marketplace_from,d_hz_accident*G1322,0)</f>
        <v/>
      </c>
      <c r="AP1322" s="14">
        <f>F1322*AO1322*in_accident_ticket*in_accident_comm*in_ins_partner_share+F1322*in_accident_ticket*in_accident_renew_comm*in_ins_partner_share*(in_accident_renew^1*SUMIFS(AO1304:AO1335,B1304:B1335,B1322-12)+in_accident_renew^2*SUMIFS(AO1304:AO1335,B1304:B1335,B1322-24)+in_accident_renew^3*SUMIFS(AO1304:AO1335,B1304:B1335,B1322-36)+in_accident_renew^4*SUMIFS(AO1304:AO1335,B1304:B1335,B1322-48))</f>
        <v/>
      </c>
      <c r="AQ1322" s="40">
        <f>AQ1321*(1-IF(B1321&gt;=in_marketplace_from,d_hz_two_wheeler*G1321,0))</f>
        <v/>
      </c>
      <c r="AR1322" s="46">
        <f>AQ1322*IF(B1322&gt;=in_marketplace_from,d_hz_two_wheeler*G1322,0)</f>
        <v/>
      </c>
      <c r="AS1322" s="14">
        <f>F1322*AR1322*in_two_wheeler_ticket*in_two_wheeler_comm*in_ins_partner_share+F1322*in_two_wheeler_ticket*in_two_wheeler_comm*in_ins_partner_share*(in_two_wheeler_renew^1*SUMIFS(AR1304:AR1335,B1304:B1335,B1322-12)+in_two_wheeler_renew^2*SUMIFS(AR1304:AR1335,B1304:B1335,B1322-24)+in_two_wheeler_renew^3*SUMIFS(AR1304:AR1335,B1304:B1335,B1322-36)+in_two_wheeler_renew^4*SUMIFS(AR1304:AR1335,B1304:B1335,B1322-48))</f>
        <v/>
      </c>
      <c r="AT1322" s="40">
        <f>AT1321*(1-IF(B1321&gt;=in_marketplace_from,d_hz_device*G1321,0))</f>
        <v/>
      </c>
      <c r="AU1322" s="14">
        <f>F1322*AT1322*IF(B1322&gt;=in_marketplace_from,d_hz_device*G1322,0)*in_device_ticket*in_device_comm*in_ins_partner_share</f>
        <v/>
      </c>
      <c r="AV1322" s="40">
        <f>AV1321*(1-IF(B1321&gt;=in_marketplace_from,d_hz_shop*G1321,0))</f>
        <v/>
      </c>
      <c r="AW1322" s="46">
        <f>AV1322*IF(B1322&gt;=in_marketplace_from,d_hz_shop*G1322,0)</f>
        <v/>
      </c>
      <c r="AX1322" s="14">
        <f>F1322*AW1322*in_shop_ticket*in_shop_comm*in_ins_partner_share+F1322*in_shop_ticket*in_shop_renew_comm*in_ins_partner_share*(in_shop_renew^1*SUMIFS(AW1304:AW1335,B1304:B1335,B1322-12)+in_shop_renew^2*SUMIFS(AW1304:AW1335,B1304:B1335,B1322-24)+in_shop_renew^3*SUMIFS(AW1304:AW1335,B1304:B1335,B1322-36)+in_shop_renew^4*SUMIFS(AW1304:AW1335,B1304:B1335,B1322-48))</f>
        <v/>
      </c>
      <c r="AY1322" s="40">
        <f>AY1321*(1-IF(B1321&gt;=in_marketplace_from,d_hz_sip*G1321,0))</f>
        <v/>
      </c>
      <c r="AZ1322" s="40">
        <f>AZ1321*d_rho_sip+AY1322*IF(B1322&gt;=in_marketplace_from,d_hz_sip*G1322,0)</f>
        <v/>
      </c>
      <c r="BA1322" s="40">
        <f>d_rho_sip*(BA1321+AZ1321)</f>
        <v/>
      </c>
      <c r="BB1322" s="14">
        <f>F1322*in_sip_ticket*(BA1322+0.5*AZ1322)*in_sip_comm/12</f>
        <v/>
      </c>
      <c r="BC1322" s="40">
        <f>BC1321*(1-IF(B1321&gt;=in_marketplace_from,d_hz_choti*G1321,0))</f>
        <v/>
      </c>
      <c r="BD1322" s="46">
        <f>BC1322*IF(B1322&gt;=in_marketplace_from,d_hz_choti*G1322,0)</f>
        <v/>
      </c>
      <c r="BE1322" s="14">
        <f>F1322*SUMIFS(BD1304:BD1335,B1304:B1335,B1322-in_choti_months)*in_choti_renew*in_choti_ticket</f>
        <v/>
      </c>
      <c r="BF1322" s="40">
        <f>BF1321*(1-IF(B1321&gt;=in_marketplace_from,d_hz_nps*G1321,0))</f>
        <v/>
      </c>
      <c r="BG1322" s="14">
        <f>F1322*BF1322*IF(B1322&gt;=in_marketplace_from,d_hz_nps*G1322,0)*in_nps_ticket*in_nps_comm</f>
        <v/>
      </c>
      <c r="BH1322" s="40">
        <f>BH1321*(1-IF(B1321&gt;=in_marketplace_from,d_hz_gold*G1321,0))</f>
        <v/>
      </c>
      <c r="BI1322" s="40">
        <f>BI1321*d_rho_gold+BH1322*IF(B1322&gt;=in_marketplace_from,d_hz_gold*G1322,0)</f>
        <v/>
      </c>
      <c r="BJ1322" s="14">
        <f>F1322*BI1322*in_gold_ticket*in_gold_comm</f>
        <v/>
      </c>
      <c r="BK1322" s="40">
        <f>BK1321*(1-IF(B1321&gt;=in_marketplace_from,d_hz_fd*G1321,0))</f>
        <v/>
      </c>
      <c r="BL1322" s="14">
        <f>F1322*BK1322*IF(B1322&gt;=in_marketplace_from,d_hz_fd*G1322,0)*in_fd_ticket*in_fd_comm</f>
        <v/>
      </c>
      <c r="BM1322" s="40">
        <f>BM1321*(1-IF(B1321&gt;=in_marketplace_from,d_hz_recharge*G1321,0))</f>
        <v/>
      </c>
      <c r="BN1322" s="40">
        <f>BN1321*d_rho_recharge+BM1322*IF(B1322&gt;=in_marketplace_from,d_hz_recharge*G1322,0)</f>
        <v/>
      </c>
      <c r="BO1322" s="14">
        <f>F1322*BN1322*in_recharge_ticket*in_recharge_comm/12</f>
        <v/>
      </c>
      <c r="BP1322" s="40">
        <f>BP1321*(1-IF(B1321&gt;=in_marketplace_from,d_hz_bills*G1321,0))</f>
        <v/>
      </c>
      <c r="BQ1322" s="40">
        <f>BQ1321*d_rho_bills+BP1322*IF(B1322&gt;=in_marketplace_from,d_hz_bills*G1322,0)</f>
        <v/>
      </c>
      <c r="BR1322" s="14">
        <f>F1322*BQ1322*in_bills_ticket*in_bills_comm/12</f>
        <v/>
      </c>
      <c r="BS1322" s="40">
        <f>BS1321*(1-IF(B1321&gt;=in_marketplace_from,d_hz_loan_gold*G1321,0))</f>
        <v/>
      </c>
      <c r="BT1322" s="14">
        <f>F1322*BS1322*IF(B1322&gt;=in_marketplace_from,d_hz_loan_gold*G1322,0)*in_loan_gold_ticket*in_loan_gold_comm</f>
        <v/>
      </c>
      <c r="BU1322" s="40">
        <f>BU1321*(1-IF(B1321&gt;=in_marketplace_from,d_hz_loan_cd*G1321,0))</f>
        <v/>
      </c>
      <c r="BV1322" s="14">
        <f>F1322*BU1322*IF(B1322&gt;=in_marketplace_from,d_hz_loan_cd*G1322,0)*in_loan_cd_ticket*in_loan_cd_comm</f>
        <v/>
      </c>
      <c r="BW1322" s="40">
        <f>BW1321*(1-IF(B1321&gt;=in_marketplace_from,d_hz_loan_vehicle*G1321,0))</f>
        <v/>
      </c>
      <c r="BX1322" s="14">
        <f>F1322*BW1322*IF(B1322&gt;=in_marketplace_from,d_hz_loan_vehicle*G1322,0)*in_loan_vehicle_ticket*in_loan_vehicle_comm</f>
        <v/>
      </c>
      <c r="BY1322" s="40">
        <f>BY1321*(1-IF(B1321&gt;=in_marketplace_from,d_hz_loan_home*G1321,0)*BZ1321)</f>
        <v/>
      </c>
      <c r="BZ1322" s="11">
        <f>MIN(in_approval_cap,in_loan_home_approval*INDEX('Age profile'!$O$2:$O$61,B1322)*(1+in_approval_growth)^(D1322-1))</f>
        <v/>
      </c>
      <c r="CA1322" s="14">
        <f>F1322*BY1322*IF(B1322&gt;=in_marketplace_from,d_hz_loan_home*G1322,0)*BZ1322*in_loan_home_ticket*in_loan_home_comm</f>
        <v/>
      </c>
      <c r="CB1322" s="40">
        <f>CB1321*(1-IF(B1321&gt;=in_marketplace_from,d_hz_loan_lap*G1321,0)*CC1321)</f>
        <v/>
      </c>
      <c r="CC1322" s="11">
        <f>MIN(in_approval_cap,in_loan_lap_approval*INDEX('Age profile'!$O$2:$O$61,B1322)*(1+in_approval_growth)^(D1322-1))</f>
        <v/>
      </c>
      <c r="CD1322" s="14">
        <f>F1322*CB1322*IF(B1322&gt;=in_marketplace_from,d_hz_loan_lap*G1322,0)*CC1322*in_loan_lap_ticket*in_loan_lap_comm</f>
        <v/>
      </c>
      <c r="CE1322" s="14">
        <f>AA1322+AB1322+AC1322+AD1322+AG1322+AJ1322+AM1322+AP1322+AS1322+AU1322+AX1322+BB1322+BE1322+BG1322+BJ1322+BL1322+BO1322+BR1322+BT1322+BV1322+BX1322+CA1322+CD1322</f>
        <v/>
      </c>
    </row>
    <row r="1323">
      <c r="A1323" s="39" t="n">
        <v>29</v>
      </c>
      <c r="B1323" s="39" t="n">
        <v>20</v>
      </c>
      <c r="C1323" s="39">
        <f>A1323+B1323-1</f>
        <v/>
      </c>
      <c r="D1323" s="39">
        <f>INT((C1323-1)/12)+1</f>
        <v/>
      </c>
      <c r="E1323" s="44">
        <f>INDEX(Monthly!$B$2:$B$61,A1323)</f>
        <v/>
      </c>
      <c r="F1323" s="44">
        <f>E1323*INDEX('Age profile'!$B$2:$B$61,B1323)</f>
        <v/>
      </c>
      <c r="G1323" s="45">
        <f>MIN(in_takeup_cap,INDEX('Age profile'!$N$2:$N$61,B1323)*(1+in_takeup_growth)^(D1323-1))</f>
        <v/>
      </c>
      <c r="H1323" s="11">
        <f>MIN(in_approval_cap,in_approved_first*INDEX('Age profile'!$O$2:$O$61,B1323)*(1+in_approval_growth)^(D1323-1))</f>
        <v/>
      </c>
      <c r="I1323" s="45">
        <f>G1323*MIN(in_takeup_cap,INDEX('Age profile'!$O$2:$O$61,B1323)*(1+in_approval_growth)^(D1323-1))</f>
        <v/>
      </c>
      <c r="J1323" s="40">
        <f>(J1322-L1322)*F1323/F1322</f>
        <v/>
      </c>
      <c r="K1323" s="40">
        <f>(K1322-M1322)*F1323/F1322+SUMIFS(O1304:O1322,B1304:B1322,B1323-1-d_T)*F1323</f>
        <v/>
      </c>
      <c r="L1323" s="40">
        <f>IF(B1323&gt;=in_marketplace_from,J1323*d_hz*G1323*in_eligible*H1323,0)</f>
        <v/>
      </c>
      <c r="M1323" s="40">
        <f>IF(B1323&gt;=in_marketplace_from,K1323*d_hz*G1323*in_eligible*in_approved_repeat,0)</f>
        <v/>
      </c>
      <c r="N1323" s="40">
        <f>L1323+M1323</f>
        <v/>
      </c>
      <c r="O1323" s="46">
        <f>N1323/F1323</f>
        <v/>
      </c>
      <c r="P1323" s="40">
        <f>F1323-J1323-K1323</f>
        <v/>
      </c>
      <c r="Q1323" s="40">
        <f>IF(B1323&gt;=in_marketplace_from,(J1323+K1323)*d_hz*G1323,0)</f>
        <v/>
      </c>
      <c r="R1323" s="40">
        <f>SUMIFS(N1304:N1335,B1304:B1335,"&gt;="&amp;(B1323-d_T),B1304:B1335,"&lt;="&amp;(B1323-1))</f>
        <v/>
      </c>
      <c r="S1323" s="46">
        <f>(1-d_u)*S1322+IF(d_T&gt;in_topup_lag,SUMIFS(O1304:O1335,B1304:B1335,B1323-in_topup_lag)-d_udrop*SUMIFS(O1304:O1335,B1304:B1335,B1323-d_T),0)</f>
        <v/>
      </c>
      <c r="T1323" s="40">
        <f>F1323*d_u*S1323</f>
        <v/>
      </c>
      <c r="U1323" s="9">
        <f>L1323*in_ticket+M1323*d_rep_ticket</f>
        <v/>
      </c>
      <c r="V1323" s="9">
        <f>U1323+T1323*d_topup_amt</f>
        <v/>
      </c>
      <c r="W1323" s="40">
        <f>N1323+T1323*d_topup_ratio</f>
        <v/>
      </c>
      <c r="X1323" s="40">
        <f>SUMIFS(W1304:W1335,B1304:B1335,B1323-in_dpd_lag)*d_cured</f>
        <v/>
      </c>
      <c r="Y1323" s="40">
        <f>SUMIFS(W1304:W1335,B1304:B1335,B1323-in_rec_lag)*d_recd</f>
        <v/>
      </c>
      <c r="Z1323" s="40">
        <f>IF(AND(B1323&gt;=in_marketplace_from,B1323&lt;in_marketplace_from+in_card_months),in_card_share/in_card_months*F1323*I1323,IF(AND(B1323&gt;=in_marketplace_from+in_card_months,B1323&lt;in_marketplace_from+2*in_card_months),in_card_share*d_card_rem/in_card_months*F1323*MIN(in_takeup_cap,(1+in_takeup_growth)^(D1323-1))*MIN(in_takeup_cap,(1+in_approval_growth)^(D1323-1)),0))</f>
        <v/>
      </c>
      <c r="AA1323" s="14">
        <f>V1323*in_fee*(1-in_taken_back)</f>
        <v/>
      </c>
      <c r="AB1323" s="14">
        <f>SUMIFS(W1304:W1335,B1304:B1335,B1323-in_dpd_lag)*d_dpd</f>
        <v/>
      </c>
      <c r="AC1323" s="14">
        <f>SUMIFS(W1304:W1335,B1304:B1335,B1323-in_rec_lag)*d_rec</f>
        <v/>
      </c>
      <c r="AD1323" s="14">
        <f>Z1323*in_card_fee</f>
        <v/>
      </c>
      <c r="AE1323" s="40">
        <f>AE1322*(1-IF(B1322&gt;=in_marketplace_from,d_hz_hlth_small*G1322,0))</f>
        <v/>
      </c>
      <c r="AF1323" s="46">
        <f>AE1323*IF(B1323&gt;=in_marketplace_from,d_hz_hlth_small*G1323,0)</f>
        <v/>
      </c>
      <c r="AG1323" s="14">
        <f>F1323*AF1323*in_hlth_small_ticket*in_hlth_small_comm*in_ins_partner_share+F1323*in_hlth_small_ticket*in_hlth_small_renew_comm*in_ins_partner_share*(in_hlth_small_renew^1*SUMIFS(AF1304:AF1335,B1304:B1335,B1323-12)+in_hlth_small_renew^2*SUMIFS(AF1304:AF1335,B1304:B1335,B1323-24)+in_hlth_small_renew^3*SUMIFS(AF1304:AF1335,B1304:B1335,B1323-36)+in_hlth_small_renew^4*SUMIFS(AF1304:AF1335,B1304:B1335,B1323-48))</f>
        <v/>
      </c>
      <c r="AH1323" s="40">
        <f>AH1322*(1-IF(B1322&gt;=in_marketplace_from,d_hz_hlth_family*G1322,0))</f>
        <v/>
      </c>
      <c r="AI1323" s="46">
        <f>AH1323*IF(B1323&gt;=in_marketplace_from,d_hz_hlth_family*G1323,0)</f>
        <v/>
      </c>
      <c r="AJ1323" s="14">
        <f>F1323*AI1323*in_hlth_family_ticket*in_hlth_family_comm*in_ins_partner_share+F1323*in_hlth_family_ticket*in_hlth_family_renew_comm*in_ins_partner_share*(in_hlth_family_renew^1*SUMIFS(AI1304:AI1335,B1304:B1335,B1323-12)+in_hlth_family_renew^2*SUMIFS(AI1304:AI1335,B1304:B1335,B1323-24)+in_hlth_family_renew^3*SUMIFS(AI1304:AI1335,B1304:B1335,B1323-36)+in_hlth_family_renew^4*SUMIFS(AI1304:AI1335,B1304:B1335,B1323-48))</f>
        <v/>
      </c>
      <c r="AK1323" s="40">
        <f>AK1322*(1-IF(B1322&gt;=in_marketplace_from,d_hz_life_term*G1322,0))</f>
        <v/>
      </c>
      <c r="AL1323" s="46">
        <f>AK1323*IF(B1323&gt;=in_marketplace_from,d_hz_life_term*G1323,0)</f>
        <v/>
      </c>
      <c r="AM1323" s="14">
        <f>F1323*AL1323*in_life_term_ticket*in_life_term_comm*in_ins_partner_share+F1323*in_life_term_ticket*in_life_term_renew_comm*in_ins_partner_share*(in_life_term_renew^1*SUMIFS(AL1304:AL1335,B1304:B1335,B1323-12)+in_life_term_renew^2*SUMIFS(AL1304:AL1335,B1304:B1335,B1323-24)+in_life_term_renew^3*SUMIFS(AL1304:AL1335,B1304:B1335,B1323-36)+in_life_term_renew^4*SUMIFS(AL1304:AL1335,B1304:B1335,B1323-48))</f>
        <v/>
      </c>
      <c r="AN1323" s="40">
        <f>AN1322*(1-IF(B1322&gt;=in_marketplace_from,d_hz_accident*G1322,0))</f>
        <v/>
      </c>
      <c r="AO1323" s="46">
        <f>AN1323*IF(B1323&gt;=in_marketplace_from,d_hz_accident*G1323,0)</f>
        <v/>
      </c>
      <c r="AP1323" s="14">
        <f>F1323*AO1323*in_accident_ticket*in_accident_comm*in_ins_partner_share+F1323*in_accident_ticket*in_accident_renew_comm*in_ins_partner_share*(in_accident_renew^1*SUMIFS(AO1304:AO1335,B1304:B1335,B1323-12)+in_accident_renew^2*SUMIFS(AO1304:AO1335,B1304:B1335,B1323-24)+in_accident_renew^3*SUMIFS(AO1304:AO1335,B1304:B1335,B1323-36)+in_accident_renew^4*SUMIFS(AO1304:AO1335,B1304:B1335,B1323-48))</f>
        <v/>
      </c>
      <c r="AQ1323" s="40">
        <f>AQ1322*(1-IF(B1322&gt;=in_marketplace_from,d_hz_two_wheeler*G1322,0))</f>
        <v/>
      </c>
      <c r="AR1323" s="46">
        <f>AQ1323*IF(B1323&gt;=in_marketplace_from,d_hz_two_wheeler*G1323,0)</f>
        <v/>
      </c>
      <c r="AS1323" s="14">
        <f>F1323*AR1323*in_two_wheeler_ticket*in_two_wheeler_comm*in_ins_partner_share+F1323*in_two_wheeler_ticket*in_two_wheeler_comm*in_ins_partner_share*(in_two_wheeler_renew^1*SUMIFS(AR1304:AR1335,B1304:B1335,B1323-12)+in_two_wheeler_renew^2*SUMIFS(AR1304:AR1335,B1304:B1335,B1323-24)+in_two_wheeler_renew^3*SUMIFS(AR1304:AR1335,B1304:B1335,B1323-36)+in_two_wheeler_renew^4*SUMIFS(AR1304:AR1335,B1304:B1335,B1323-48))</f>
        <v/>
      </c>
      <c r="AT1323" s="40">
        <f>AT1322*(1-IF(B1322&gt;=in_marketplace_from,d_hz_device*G1322,0))</f>
        <v/>
      </c>
      <c r="AU1323" s="14">
        <f>F1323*AT1323*IF(B1323&gt;=in_marketplace_from,d_hz_device*G1323,0)*in_device_ticket*in_device_comm*in_ins_partner_share</f>
        <v/>
      </c>
      <c r="AV1323" s="40">
        <f>AV1322*(1-IF(B1322&gt;=in_marketplace_from,d_hz_shop*G1322,0))</f>
        <v/>
      </c>
      <c r="AW1323" s="46">
        <f>AV1323*IF(B1323&gt;=in_marketplace_from,d_hz_shop*G1323,0)</f>
        <v/>
      </c>
      <c r="AX1323" s="14">
        <f>F1323*AW1323*in_shop_ticket*in_shop_comm*in_ins_partner_share+F1323*in_shop_ticket*in_shop_renew_comm*in_ins_partner_share*(in_shop_renew^1*SUMIFS(AW1304:AW1335,B1304:B1335,B1323-12)+in_shop_renew^2*SUMIFS(AW1304:AW1335,B1304:B1335,B1323-24)+in_shop_renew^3*SUMIFS(AW1304:AW1335,B1304:B1335,B1323-36)+in_shop_renew^4*SUMIFS(AW1304:AW1335,B1304:B1335,B1323-48))</f>
        <v/>
      </c>
      <c r="AY1323" s="40">
        <f>AY1322*(1-IF(B1322&gt;=in_marketplace_from,d_hz_sip*G1322,0))</f>
        <v/>
      </c>
      <c r="AZ1323" s="40">
        <f>AZ1322*d_rho_sip+AY1323*IF(B1323&gt;=in_marketplace_from,d_hz_sip*G1323,0)</f>
        <v/>
      </c>
      <c r="BA1323" s="40">
        <f>d_rho_sip*(BA1322+AZ1322)</f>
        <v/>
      </c>
      <c r="BB1323" s="14">
        <f>F1323*in_sip_ticket*(BA1323+0.5*AZ1323)*in_sip_comm/12</f>
        <v/>
      </c>
      <c r="BC1323" s="40">
        <f>BC1322*(1-IF(B1322&gt;=in_marketplace_from,d_hz_choti*G1322,0))</f>
        <v/>
      </c>
      <c r="BD1323" s="46">
        <f>BC1323*IF(B1323&gt;=in_marketplace_from,d_hz_choti*G1323,0)</f>
        <v/>
      </c>
      <c r="BE1323" s="14">
        <f>F1323*SUMIFS(BD1304:BD1335,B1304:B1335,B1323-in_choti_months)*in_choti_renew*in_choti_ticket</f>
        <v/>
      </c>
      <c r="BF1323" s="40">
        <f>BF1322*(1-IF(B1322&gt;=in_marketplace_from,d_hz_nps*G1322,0))</f>
        <v/>
      </c>
      <c r="BG1323" s="14">
        <f>F1323*BF1323*IF(B1323&gt;=in_marketplace_from,d_hz_nps*G1323,0)*in_nps_ticket*in_nps_comm</f>
        <v/>
      </c>
      <c r="BH1323" s="40">
        <f>BH1322*(1-IF(B1322&gt;=in_marketplace_from,d_hz_gold*G1322,0))</f>
        <v/>
      </c>
      <c r="BI1323" s="40">
        <f>BI1322*d_rho_gold+BH1323*IF(B1323&gt;=in_marketplace_from,d_hz_gold*G1323,0)</f>
        <v/>
      </c>
      <c r="BJ1323" s="14">
        <f>F1323*BI1323*in_gold_ticket*in_gold_comm</f>
        <v/>
      </c>
      <c r="BK1323" s="40">
        <f>BK1322*(1-IF(B1322&gt;=in_marketplace_from,d_hz_fd*G1322,0))</f>
        <v/>
      </c>
      <c r="BL1323" s="14">
        <f>F1323*BK1323*IF(B1323&gt;=in_marketplace_from,d_hz_fd*G1323,0)*in_fd_ticket*in_fd_comm</f>
        <v/>
      </c>
      <c r="BM1323" s="40">
        <f>BM1322*(1-IF(B1322&gt;=in_marketplace_from,d_hz_recharge*G1322,0))</f>
        <v/>
      </c>
      <c r="BN1323" s="40">
        <f>BN1322*d_rho_recharge+BM1323*IF(B1323&gt;=in_marketplace_from,d_hz_recharge*G1323,0)</f>
        <v/>
      </c>
      <c r="BO1323" s="14">
        <f>F1323*BN1323*in_recharge_ticket*in_recharge_comm/12</f>
        <v/>
      </c>
      <c r="BP1323" s="40">
        <f>BP1322*(1-IF(B1322&gt;=in_marketplace_from,d_hz_bills*G1322,0))</f>
        <v/>
      </c>
      <c r="BQ1323" s="40">
        <f>BQ1322*d_rho_bills+BP1323*IF(B1323&gt;=in_marketplace_from,d_hz_bills*G1323,0)</f>
        <v/>
      </c>
      <c r="BR1323" s="14">
        <f>F1323*BQ1323*in_bills_ticket*in_bills_comm/12</f>
        <v/>
      </c>
      <c r="BS1323" s="40">
        <f>BS1322*(1-IF(B1322&gt;=in_marketplace_from,d_hz_loan_gold*G1322,0))</f>
        <v/>
      </c>
      <c r="BT1323" s="14">
        <f>F1323*BS1323*IF(B1323&gt;=in_marketplace_from,d_hz_loan_gold*G1323,0)*in_loan_gold_ticket*in_loan_gold_comm</f>
        <v/>
      </c>
      <c r="BU1323" s="40">
        <f>BU1322*(1-IF(B1322&gt;=in_marketplace_from,d_hz_loan_cd*G1322,0))</f>
        <v/>
      </c>
      <c r="BV1323" s="14">
        <f>F1323*BU1323*IF(B1323&gt;=in_marketplace_from,d_hz_loan_cd*G1323,0)*in_loan_cd_ticket*in_loan_cd_comm</f>
        <v/>
      </c>
      <c r="BW1323" s="40">
        <f>BW1322*(1-IF(B1322&gt;=in_marketplace_from,d_hz_loan_vehicle*G1322,0))</f>
        <v/>
      </c>
      <c r="BX1323" s="14">
        <f>F1323*BW1323*IF(B1323&gt;=in_marketplace_from,d_hz_loan_vehicle*G1323,0)*in_loan_vehicle_ticket*in_loan_vehicle_comm</f>
        <v/>
      </c>
      <c r="BY1323" s="40">
        <f>BY1322*(1-IF(B1322&gt;=in_marketplace_from,d_hz_loan_home*G1322,0)*BZ1322)</f>
        <v/>
      </c>
      <c r="BZ1323" s="11">
        <f>MIN(in_approval_cap,in_loan_home_approval*INDEX('Age profile'!$O$2:$O$61,B1323)*(1+in_approval_growth)^(D1323-1))</f>
        <v/>
      </c>
      <c r="CA1323" s="14">
        <f>F1323*BY1323*IF(B1323&gt;=in_marketplace_from,d_hz_loan_home*G1323,0)*BZ1323*in_loan_home_ticket*in_loan_home_comm</f>
        <v/>
      </c>
      <c r="CB1323" s="40">
        <f>CB1322*(1-IF(B1322&gt;=in_marketplace_from,d_hz_loan_lap*G1322,0)*CC1322)</f>
        <v/>
      </c>
      <c r="CC1323" s="11">
        <f>MIN(in_approval_cap,in_loan_lap_approval*INDEX('Age profile'!$O$2:$O$61,B1323)*(1+in_approval_growth)^(D1323-1))</f>
        <v/>
      </c>
      <c r="CD1323" s="14">
        <f>F1323*CB1323*IF(B1323&gt;=in_marketplace_from,d_hz_loan_lap*G1323,0)*CC1323*in_loan_lap_ticket*in_loan_lap_comm</f>
        <v/>
      </c>
      <c r="CE1323" s="14">
        <f>AA1323+AB1323+AC1323+AD1323+AG1323+AJ1323+AM1323+AP1323+AS1323+AU1323+AX1323+BB1323+BE1323+BG1323+BJ1323+BL1323+BO1323+BR1323+BT1323+BV1323+BX1323+CA1323+CD1323</f>
        <v/>
      </c>
    </row>
    <row r="1324">
      <c r="A1324" s="39" t="n">
        <v>29</v>
      </c>
      <c r="B1324" s="39" t="n">
        <v>21</v>
      </c>
      <c r="C1324" s="39">
        <f>A1324+B1324-1</f>
        <v/>
      </c>
      <c r="D1324" s="39">
        <f>INT((C1324-1)/12)+1</f>
        <v/>
      </c>
      <c r="E1324" s="44">
        <f>INDEX(Monthly!$B$2:$B$61,A1324)</f>
        <v/>
      </c>
      <c r="F1324" s="44">
        <f>E1324*INDEX('Age profile'!$B$2:$B$61,B1324)</f>
        <v/>
      </c>
      <c r="G1324" s="45">
        <f>MIN(in_takeup_cap,INDEX('Age profile'!$N$2:$N$61,B1324)*(1+in_takeup_growth)^(D1324-1))</f>
        <v/>
      </c>
      <c r="H1324" s="11">
        <f>MIN(in_approval_cap,in_approved_first*INDEX('Age profile'!$O$2:$O$61,B1324)*(1+in_approval_growth)^(D1324-1))</f>
        <v/>
      </c>
      <c r="I1324" s="45">
        <f>G1324*MIN(in_takeup_cap,INDEX('Age profile'!$O$2:$O$61,B1324)*(1+in_approval_growth)^(D1324-1))</f>
        <v/>
      </c>
      <c r="J1324" s="40">
        <f>(J1323-L1323)*F1324/F1323</f>
        <v/>
      </c>
      <c r="K1324" s="40">
        <f>(K1323-M1323)*F1324/F1323+SUMIFS(O1304:O1323,B1304:B1323,B1324-1-d_T)*F1324</f>
        <v/>
      </c>
      <c r="L1324" s="40">
        <f>IF(B1324&gt;=in_marketplace_from,J1324*d_hz*G1324*in_eligible*H1324,0)</f>
        <v/>
      </c>
      <c r="M1324" s="40">
        <f>IF(B1324&gt;=in_marketplace_from,K1324*d_hz*G1324*in_eligible*in_approved_repeat,0)</f>
        <v/>
      </c>
      <c r="N1324" s="40">
        <f>L1324+M1324</f>
        <v/>
      </c>
      <c r="O1324" s="46">
        <f>N1324/F1324</f>
        <v/>
      </c>
      <c r="P1324" s="40">
        <f>F1324-J1324-K1324</f>
        <v/>
      </c>
      <c r="Q1324" s="40">
        <f>IF(B1324&gt;=in_marketplace_from,(J1324+K1324)*d_hz*G1324,0)</f>
        <v/>
      </c>
      <c r="R1324" s="40">
        <f>SUMIFS(N1304:N1335,B1304:B1335,"&gt;="&amp;(B1324-d_T),B1304:B1335,"&lt;="&amp;(B1324-1))</f>
        <v/>
      </c>
      <c r="S1324" s="46">
        <f>(1-d_u)*S1323+IF(d_T&gt;in_topup_lag,SUMIFS(O1304:O1335,B1304:B1335,B1324-in_topup_lag)-d_udrop*SUMIFS(O1304:O1335,B1304:B1335,B1324-d_T),0)</f>
        <v/>
      </c>
      <c r="T1324" s="40">
        <f>F1324*d_u*S1324</f>
        <v/>
      </c>
      <c r="U1324" s="9">
        <f>L1324*in_ticket+M1324*d_rep_ticket</f>
        <v/>
      </c>
      <c r="V1324" s="9">
        <f>U1324+T1324*d_topup_amt</f>
        <v/>
      </c>
      <c r="W1324" s="40">
        <f>N1324+T1324*d_topup_ratio</f>
        <v/>
      </c>
      <c r="X1324" s="40">
        <f>SUMIFS(W1304:W1335,B1304:B1335,B1324-in_dpd_lag)*d_cured</f>
        <v/>
      </c>
      <c r="Y1324" s="40">
        <f>SUMIFS(W1304:W1335,B1304:B1335,B1324-in_rec_lag)*d_recd</f>
        <v/>
      </c>
      <c r="Z1324" s="40">
        <f>IF(AND(B1324&gt;=in_marketplace_from,B1324&lt;in_marketplace_from+in_card_months),in_card_share/in_card_months*F1324*I1324,IF(AND(B1324&gt;=in_marketplace_from+in_card_months,B1324&lt;in_marketplace_from+2*in_card_months),in_card_share*d_card_rem/in_card_months*F1324*MIN(in_takeup_cap,(1+in_takeup_growth)^(D1324-1))*MIN(in_takeup_cap,(1+in_approval_growth)^(D1324-1)),0))</f>
        <v/>
      </c>
      <c r="AA1324" s="14">
        <f>V1324*in_fee*(1-in_taken_back)</f>
        <v/>
      </c>
      <c r="AB1324" s="14">
        <f>SUMIFS(W1304:W1335,B1304:B1335,B1324-in_dpd_lag)*d_dpd</f>
        <v/>
      </c>
      <c r="AC1324" s="14">
        <f>SUMIFS(W1304:W1335,B1304:B1335,B1324-in_rec_lag)*d_rec</f>
        <v/>
      </c>
      <c r="AD1324" s="14">
        <f>Z1324*in_card_fee</f>
        <v/>
      </c>
      <c r="AE1324" s="40">
        <f>AE1323*(1-IF(B1323&gt;=in_marketplace_from,d_hz_hlth_small*G1323,0))</f>
        <v/>
      </c>
      <c r="AF1324" s="46">
        <f>AE1324*IF(B1324&gt;=in_marketplace_from,d_hz_hlth_small*G1324,0)</f>
        <v/>
      </c>
      <c r="AG1324" s="14">
        <f>F1324*AF1324*in_hlth_small_ticket*in_hlth_small_comm*in_ins_partner_share+F1324*in_hlth_small_ticket*in_hlth_small_renew_comm*in_ins_partner_share*(in_hlth_small_renew^1*SUMIFS(AF1304:AF1335,B1304:B1335,B1324-12)+in_hlth_small_renew^2*SUMIFS(AF1304:AF1335,B1304:B1335,B1324-24)+in_hlth_small_renew^3*SUMIFS(AF1304:AF1335,B1304:B1335,B1324-36)+in_hlth_small_renew^4*SUMIFS(AF1304:AF1335,B1304:B1335,B1324-48))</f>
        <v/>
      </c>
      <c r="AH1324" s="40">
        <f>AH1323*(1-IF(B1323&gt;=in_marketplace_from,d_hz_hlth_family*G1323,0))</f>
        <v/>
      </c>
      <c r="AI1324" s="46">
        <f>AH1324*IF(B1324&gt;=in_marketplace_from,d_hz_hlth_family*G1324,0)</f>
        <v/>
      </c>
      <c r="AJ1324" s="14">
        <f>F1324*AI1324*in_hlth_family_ticket*in_hlth_family_comm*in_ins_partner_share+F1324*in_hlth_family_ticket*in_hlth_family_renew_comm*in_ins_partner_share*(in_hlth_family_renew^1*SUMIFS(AI1304:AI1335,B1304:B1335,B1324-12)+in_hlth_family_renew^2*SUMIFS(AI1304:AI1335,B1304:B1335,B1324-24)+in_hlth_family_renew^3*SUMIFS(AI1304:AI1335,B1304:B1335,B1324-36)+in_hlth_family_renew^4*SUMIFS(AI1304:AI1335,B1304:B1335,B1324-48))</f>
        <v/>
      </c>
      <c r="AK1324" s="40">
        <f>AK1323*(1-IF(B1323&gt;=in_marketplace_from,d_hz_life_term*G1323,0))</f>
        <v/>
      </c>
      <c r="AL1324" s="46">
        <f>AK1324*IF(B1324&gt;=in_marketplace_from,d_hz_life_term*G1324,0)</f>
        <v/>
      </c>
      <c r="AM1324" s="14">
        <f>F1324*AL1324*in_life_term_ticket*in_life_term_comm*in_ins_partner_share+F1324*in_life_term_ticket*in_life_term_renew_comm*in_ins_partner_share*(in_life_term_renew^1*SUMIFS(AL1304:AL1335,B1304:B1335,B1324-12)+in_life_term_renew^2*SUMIFS(AL1304:AL1335,B1304:B1335,B1324-24)+in_life_term_renew^3*SUMIFS(AL1304:AL1335,B1304:B1335,B1324-36)+in_life_term_renew^4*SUMIFS(AL1304:AL1335,B1304:B1335,B1324-48))</f>
        <v/>
      </c>
      <c r="AN1324" s="40">
        <f>AN1323*(1-IF(B1323&gt;=in_marketplace_from,d_hz_accident*G1323,0))</f>
        <v/>
      </c>
      <c r="AO1324" s="46">
        <f>AN1324*IF(B1324&gt;=in_marketplace_from,d_hz_accident*G1324,0)</f>
        <v/>
      </c>
      <c r="AP1324" s="14">
        <f>F1324*AO1324*in_accident_ticket*in_accident_comm*in_ins_partner_share+F1324*in_accident_ticket*in_accident_renew_comm*in_ins_partner_share*(in_accident_renew^1*SUMIFS(AO1304:AO1335,B1304:B1335,B1324-12)+in_accident_renew^2*SUMIFS(AO1304:AO1335,B1304:B1335,B1324-24)+in_accident_renew^3*SUMIFS(AO1304:AO1335,B1304:B1335,B1324-36)+in_accident_renew^4*SUMIFS(AO1304:AO1335,B1304:B1335,B1324-48))</f>
        <v/>
      </c>
      <c r="AQ1324" s="40">
        <f>AQ1323*(1-IF(B1323&gt;=in_marketplace_from,d_hz_two_wheeler*G1323,0))</f>
        <v/>
      </c>
      <c r="AR1324" s="46">
        <f>AQ1324*IF(B1324&gt;=in_marketplace_from,d_hz_two_wheeler*G1324,0)</f>
        <v/>
      </c>
      <c r="AS1324" s="14">
        <f>F1324*AR1324*in_two_wheeler_ticket*in_two_wheeler_comm*in_ins_partner_share+F1324*in_two_wheeler_ticket*in_two_wheeler_comm*in_ins_partner_share*(in_two_wheeler_renew^1*SUMIFS(AR1304:AR1335,B1304:B1335,B1324-12)+in_two_wheeler_renew^2*SUMIFS(AR1304:AR1335,B1304:B1335,B1324-24)+in_two_wheeler_renew^3*SUMIFS(AR1304:AR1335,B1304:B1335,B1324-36)+in_two_wheeler_renew^4*SUMIFS(AR1304:AR1335,B1304:B1335,B1324-48))</f>
        <v/>
      </c>
      <c r="AT1324" s="40">
        <f>AT1323*(1-IF(B1323&gt;=in_marketplace_from,d_hz_device*G1323,0))</f>
        <v/>
      </c>
      <c r="AU1324" s="14">
        <f>F1324*AT1324*IF(B1324&gt;=in_marketplace_from,d_hz_device*G1324,0)*in_device_ticket*in_device_comm*in_ins_partner_share</f>
        <v/>
      </c>
      <c r="AV1324" s="40">
        <f>AV1323*(1-IF(B1323&gt;=in_marketplace_from,d_hz_shop*G1323,0))</f>
        <v/>
      </c>
      <c r="AW1324" s="46">
        <f>AV1324*IF(B1324&gt;=in_marketplace_from,d_hz_shop*G1324,0)</f>
        <v/>
      </c>
      <c r="AX1324" s="14">
        <f>F1324*AW1324*in_shop_ticket*in_shop_comm*in_ins_partner_share+F1324*in_shop_ticket*in_shop_renew_comm*in_ins_partner_share*(in_shop_renew^1*SUMIFS(AW1304:AW1335,B1304:B1335,B1324-12)+in_shop_renew^2*SUMIFS(AW1304:AW1335,B1304:B1335,B1324-24)+in_shop_renew^3*SUMIFS(AW1304:AW1335,B1304:B1335,B1324-36)+in_shop_renew^4*SUMIFS(AW1304:AW1335,B1304:B1335,B1324-48))</f>
        <v/>
      </c>
      <c r="AY1324" s="40">
        <f>AY1323*(1-IF(B1323&gt;=in_marketplace_from,d_hz_sip*G1323,0))</f>
        <v/>
      </c>
      <c r="AZ1324" s="40">
        <f>AZ1323*d_rho_sip+AY1324*IF(B1324&gt;=in_marketplace_from,d_hz_sip*G1324,0)</f>
        <v/>
      </c>
      <c r="BA1324" s="40">
        <f>d_rho_sip*(BA1323+AZ1323)</f>
        <v/>
      </c>
      <c r="BB1324" s="14">
        <f>F1324*in_sip_ticket*(BA1324+0.5*AZ1324)*in_sip_comm/12</f>
        <v/>
      </c>
      <c r="BC1324" s="40">
        <f>BC1323*(1-IF(B1323&gt;=in_marketplace_from,d_hz_choti*G1323,0))</f>
        <v/>
      </c>
      <c r="BD1324" s="46">
        <f>BC1324*IF(B1324&gt;=in_marketplace_from,d_hz_choti*G1324,0)</f>
        <v/>
      </c>
      <c r="BE1324" s="14">
        <f>F1324*SUMIFS(BD1304:BD1335,B1304:B1335,B1324-in_choti_months)*in_choti_renew*in_choti_ticket</f>
        <v/>
      </c>
      <c r="BF1324" s="40">
        <f>BF1323*(1-IF(B1323&gt;=in_marketplace_from,d_hz_nps*G1323,0))</f>
        <v/>
      </c>
      <c r="BG1324" s="14">
        <f>F1324*BF1324*IF(B1324&gt;=in_marketplace_from,d_hz_nps*G1324,0)*in_nps_ticket*in_nps_comm</f>
        <v/>
      </c>
      <c r="BH1324" s="40">
        <f>BH1323*(1-IF(B1323&gt;=in_marketplace_from,d_hz_gold*G1323,0))</f>
        <v/>
      </c>
      <c r="BI1324" s="40">
        <f>BI1323*d_rho_gold+BH1324*IF(B1324&gt;=in_marketplace_from,d_hz_gold*G1324,0)</f>
        <v/>
      </c>
      <c r="BJ1324" s="14">
        <f>F1324*BI1324*in_gold_ticket*in_gold_comm</f>
        <v/>
      </c>
      <c r="BK1324" s="40">
        <f>BK1323*(1-IF(B1323&gt;=in_marketplace_from,d_hz_fd*G1323,0))</f>
        <v/>
      </c>
      <c r="BL1324" s="14">
        <f>F1324*BK1324*IF(B1324&gt;=in_marketplace_from,d_hz_fd*G1324,0)*in_fd_ticket*in_fd_comm</f>
        <v/>
      </c>
      <c r="BM1324" s="40">
        <f>BM1323*(1-IF(B1323&gt;=in_marketplace_from,d_hz_recharge*G1323,0))</f>
        <v/>
      </c>
      <c r="BN1324" s="40">
        <f>BN1323*d_rho_recharge+BM1324*IF(B1324&gt;=in_marketplace_from,d_hz_recharge*G1324,0)</f>
        <v/>
      </c>
      <c r="BO1324" s="14">
        <f>F1324*BN1324*in_recharge_ticket*in_recharge_comm/12</f>
        <v/>
      </c>
      <c r="BP1324" s="40">
        <f>BP1323*(1-IF(B1323&gt;=in_marketplace_from,d_hz_bills*G1323,0))</f>
        <v/>
      </c>
      <c r="BQ1324" s="40">
        <f>BQ1323*d_rho_bills+BP1324*IF(B1324&gt;=in_marketplace_from,d_hz_bills*G1324,0)</f>
        <v/>
      </c>
      <c r="BR1324" s="14">
        <f>F1324*BQ1324*in_bills_ticket*in_bills_comm/12</f>
        <v/>
      </c>
      <c r="BS1324" s="40">
        <f>BS1323*(1-IF(B1323&gt;=in_marketplace_from,d_hz_loan_gold*G1323,0))</f>
        <v/>
      </c>
      <c r="BT1324" s="14">
        <f>F1324*BS1324*IF(B1324&gt;=in_marketplace_from,d_hz_loan_gold*G1324,0)*in_loan_gold_ticket*in_loan_gold_comm</f>
        <v/>
      </c>
      <c r="BU1324" s="40">
        <f>BU1323*(1-IF(B1323&gt;=in_marketplace_from,d_hz_loan_cd*G1323,0))</f>
        <v/>
      </c>
      <c r="BV1324" s="14">
        <f>F1324*BU1324*IF(B1324&gt;=in_marketplace_from,d_hz_loan_cd*G1324,0)*in_loan_cd_ticket*in_loan_cd_comm</f>
        <v/>
      </c>
      <c r="BW1324" s="40">
        <f>BW1323*(1-IF(B1323&gt;=in_marketplace_from,d_hz_loan_vehicle*G1323,0))</f>
        <v/>
      </c>
      <c r="BX1324" s="14">
        <f>F1324*BW1324*IF(B1324&gt;=in_marketplace_from,d_hz_loan_vehicle*G1324,0)*in_loan_vehicle_ticket*in_loan_vehicle_comm</f>
        <v/>
      </c>
      <c r="BY1324" s="40">
        <f>BY1323*(1-IF(B1323&gt;=in_marketplace_from,d_hz_loan_home*G1323,0)*BZ1323)</f>
        <v/>
      </c>
      <c r="BZ1324" s="11">
        <f>MIN(in_approval_cap,in_loan_home_approval*INDEX('Age profile'!$O$2:$O$61,B1324)*(1+in_approval_growth)^(D1324-1))</f>
        <v/>
      </c>
      <c r="CA1324" s="14">
        <f>F1324*BY1324*IF(B1324&gt;=in_marketplace_from,d_hz_loan_home*G1324,0)*BZ1324*in_loan_home_ticket*in_loan_home_comm</f>
        <v/>
      </c>
      <c r="CB1324" s="40">
        <f>CB1323*(1-IF(B1323&gt;=in_marketplace_from,d_hz_loan_lap*G1323,0)*CC1323)</f>
        <v/>
      </c>
      <c r="CC1324" s="11">
        <f>MIN(in_approval_cap,in_loan_lap_approval*INDEX('Age profile'!$O$2:$O$61,B1324)*(1+in_approval_growth)^(D1324-1))</f>
        <v/>
      </c>
      <c r="CD1324" s="14">
        <f>F1324*CB1324*IF(B1324&gt;=in_marketplace_from,d_hz_loan_lap*G1324,0)*CC1324*in_loan_lap_ticket*in_loan_lap_comm</f>
        <v/>
      </c>
      <c r="CE1324" s="14">
        <f>AA1324+AB1324+AC1324+AD1324+AG1324+AJ1324+AM1324+AP1324+AS1324+AU1324+AX1324+BB1324+BE1324+BG1324+BJ1324+BL1324+BO1324+BR1324+BT1324+BV1324+BX1324+CA1324+CD1324</f>
        <v/>
      </c>
    </row>
    <row r="1325">
      <c r="A1325" s="39" t="n">
        <v>29</v>
      </c>
      <c r="B1325" s="39" t="n">
        <v>22</v>
      </c>
      <c r="C1325" s="39">
        <f>A1325+B1325-1</f>
        <v/>
      </c>
      <c r="D1325" s="39">
        <f>INT((C1325-1)/12)+1</f>
        <v/>
      </c>
      <c r="E1325" s="44">
        <f>INDEX(Monthly!$B$2:$B$61,A1325)</f>
        <v/>
      </c>
      <c r="F1325" s="44">
        <f>E1325*INDEX('Age profile'!$B$2:$B$61,B1325)</f>
        <v/>
      </c>
      <c r="G1325" s="45">
        <f>MIN(in_takeup_cap,INDEX('Age profile'!$N$2:$N$61,B1325)*(1+in_takeup_growth)^(D1325-1))</f>
        <v/>
      </c>
      <c r="H1325" s="11">
        <f>MIN(in_approval_cap,in_approved_first*INDEX('Age profile'!$O$2:$O$61,B1325)*(1+in_approval_growth)^(D1325-1))</f>
        <v/>
      </c>
      <c r="I1325" s="45">
        <f>G1325*MIN(in_takeup_cap,INDEX('Age profile'!$O$2:$O$61,B1325)*(1+in_approval_growth)^(D1325-1))</f>
        <v/>
      </c>
      <c r="J1325" s="40">
        <f>(J1324-L1324)*F1325/F1324</f>
        <v/>
      </c>
      <c r="K1325" s="40">
        <f>(K1324-M1324)*F1325/F1324+SUMIFS(O1304:O1324,B1304:B1324,B1325-1-d_T)*F1325</f>
        <v/>
      </c>
      <c r="L1325" s="40">
        <f>IF(B1325&gt;=in_marketplace_from,J1325*d_hz*G1325*in_eligible*H1325,0)</f>
        <v/>
      </c>
      <c r="M1325" s="40">
        <f>IF(B1325&gt;=in_marketplace_from,K1325*d_hz*G1325*in_eligible*in_approved_repeat,0)</f>
        <v/>
      </c>
      <c r="N1325" s="40">
        <f>L1325+M1325</f>
        <v/>
      </c>
      <c r="O1325" s="46">
        <f>N1325/F1325</f>
        <v/>
      </c>
      <c r="P1325" s="40">
        <f>F1325-J1325-K1325</f>
        <v/>
      </c>
      <c r="Q1325" s="40">
        <f>IF(B1325&gt;=in_marketplace_from,(J1325+K1325)*d_hz*G1325,0)</f>
        <v/>
      </c>
      <c r="R1325" s="40">
        <f>SUMIFS(N1304:N1335,B1304:B1335,"&gt;="&amp;(B1325-d_T),B1304:B1335,"&lt;="&amp;(B1325-1))</f>
        <v/>
      </c>
      <c r="S1325" s="46">
        <f>(1-d_u)*S1324+IF(d_T&gt;in_topup_lag,SUMIFS(O1304:O1335,B1304:B1335,B1325-in_topup_lag)-d_udrop*SUMIFS(O1304:O1335,B1304:B1335,B1325-d_T),0)</f>
        <v/>
      </c>
      <c r="T1325" s="40">
        <f>F1325*d_u*S1325</f>
        <v/>
      </c>
      <c r="U1325" s="9">
        <f>L1325*in_ticket+M1325*d_rep_ticket</f>
        <v/>
      </c>
      <c r="V1325" s="9">
        <f>U1325+T1325*d_topup_amt</f>
        <v/>
      </c>
      <c r="W1325" s="40">
        <f>N1325+T1325*d_topup_ratio</f>
        <v/>
      </c>
      <c r="X1325" s="40">
        <f>SUMIFS(W1304:W1335,B1304:B1335,B1325-in_dpd_lag)*d_cured</f>
        <v/>
      </c>
      <c r="Y1325" s="40">
        <f>SUMIFS(W1304:W1335,B1304:B1335,B1325-in_rec_lag)*d_recd</f>
        <v/>
      </c>
      <c r="Z1325" s="40">
        <f>IF(AND(B1325&gt;=in_marketplace_from,B1325&lt;in_marketplace_from+in_card_months),in_card_share/in_card_months*F1325*I1325,IF(AND(B1325&gt;=in_marketplace_from+in_card_months,B1325&lt;in_marketplace_from+2*in_card_months),in_card_share*d_card_rem/in_card_months*F1325*MIN(in_takeup_cap,(1+in_takeup_growth)^(D1325-1))*MIN(in_takeup_cap,(1+in_approval_growth)^(D1325-1)),0))</f>
        <v/>
      </c>
      <c r="AA1325" s="14">
        <f>V1325*in_fee*(1-in_taken_back)</f>
        <v/>
      </c>
      <c r="AB1325" s="14">
        <f>SUMIFS(W1304:W1335,B1304:B1335,B1325-in_dpd_lag)*d_dpd</f>
        <v/>
      </c>
      <c r="AC1325" s="14">
        <f>SUMIFS(W1304:W1335,B1304:B1335,B1325-in_rec_lag)*d_rec</f>
        <v/>
      </c>
      <c r="AD1325" s="14">
        <f>Z1325*in_card_fee</f>
        <v/>
      </c>
      <c r="AE1325" s="40">
        <f>AE1324*(1-IF(B1324&gt;=in_marketplace_from,d_hz_hlth_small*G1324,0))</f>
        <v/>
      </c>
      <c r="AF1325" s="46">
        <f>AE1325*IF(B1325&gt;=in_marketplace_from,d_hz_hlth_small*G1325,0)</f>
        <v/>
      </c>
      <c r="AG1325" s="14">
        <f>F1325*AF1325*in_hlth_small_ticket*in_hlth_small_comm*in_ins_partner_share+F1325*in_hlth_small_ticket*in_hlth_small_renew_comm*in_ins_partner_share*(in_hlth_small_renew^1*SUMIFS(AF1304:AF1335,B1304:B1335,B1325-12)+in_hlth_small_renew^2*SUMIFS(AF1304:AF1335,B1304:B1335,B1325-24)+in_hlth_small_renew^3*SUMIFS(AF1304:AF1335,B1304:B1335,B1325-36)+in_hlth_small_renew^4*SUMIFS(AF1304:AF1335,B1304:B1335,B1325-48))</f>
        <v/>
      </c>
      <c r="AH1325" s="40">
        <f>AH1324*(1-IF(B1324&gt;=in_marketplace_from,d_hz_hlth_family*G1324,0))</f>
        <v/>
      </c>
      <c r="AI1325" s="46">
        <f>AH1325*IF(B1325&gt;=in_marketplace_from,d_hz_hlth_family*G1325,0)</f>
        <v/>
      </c>
      <c r="AJ1325" s="14">
        <f>F1325*AI1325*in_hlth_family_ticket*in_hlth_family_comm*in_ins_partner_share+F1325*in_hlth_family_ticket*in_hlth_family_renew_comm*in_ins_partner_share*(in_hlth_family_renew^1*SUMIFS(AI1304:AI1335,B1304:B1335,B1325-12)+in_hlth_family_renew^2*SUMIFS(AI1304:AI1335,B1304:B1335,B1325-24)+in_hlth_family_renew^3*SUMIFS(AI1304:AI1335,B1304:B1335,B1325-36)+in_hlth_family_renew^4*SUMIFS(AI1304:AI1335,B1304:B1335,B1325-48))</f>
        <v/>
      </c>
      <c r="AK1325" s="40">
        <f>AK1324*(1-IF(B1324&gt;=in_marketplace_from,d_hz_life_term*G1324,0))</f>
        <v/>
      </c>
      <c r="AL1325" s="46">
        <f>AK1325*IF(B1325&gt;=in_marketplace_from,d_hz_life_term*G1325,0)</f>
        <v/>
      </c>
      <c r="AM1325" s="14">
        <f>F1325*AL1325*in_life_term_ticket*in_life_term_comm*in_ins_partner_share+F1325*in_life_term_ticket*in_life_term_renew_comm*in_ins_partner_share*(in_life_term_renew^1*SUMIFS(AL1304:AL1335,B1304:B1335,B1325-12)+in_life_term_renew^2*SUMIFS(AL1304:AL1335,B1304:B1335,B1325-24)+in_life_term_renew^3*SUMIFS(AL1304:AL1335,B1304:B1335,B1325-36)+in_life_term_renew^4*SUMIFS(AL1304:AL1335,B1304:B1335,B1325-48))</f>
        <v/>
      </c>
      <c r="AN1325" s="40">
        <f>AN1324*(1-IF(B1324&gt;=in_marketplace_from,d_hz_accident*G1324,0))</f>
        <v/>
      </c>
      <c r="AO1325" s="46">
        <f>AN1325*IF(B1325&gt;=in_marketplace_from,d_hz_accident*G1325,0)</f>
        <v/>
      </c>
      <c r="AP1325" s="14">
        <f>F1325*AO1325*in_accident_ticket*in_accident_comm*in_ins_partner_share+F1325*in_accident_ticket*in_accident_renew_comm*in_ins_partner_share*(in_accident_renew^1*SUMIFS(AO1304:AO1335,B1304:B1335,B1325-12)+in_accident_renew^2*SUMIFS(AO1304:AO1335,B1304:B1335,B1325-24)+in_accident_renew^3*SUMIFS(AO1304:AO1335,B1304:B1335,B1325-36)+in_accident_renew^4*SUMIFS(AO1304:AO1335,B1304:B1335,B1325-48))</f>
        <v/>
      </c>
      <c r="AQ1325" s="40">
        <f>AQ1324*(1-IF(B1324&gt;=in_marketplace_from,d_hz_two_wheeler*G1324,0))</f>
        <v/>
      </c>
      <c r="AR1325" s="46">
        <f>AQ1325*IF(B1325&gt;=in_marketplace_from,d_hz_two_wheeler*G1325,0)</f>
        <v/>
      </c>
      <c r="AS1325" s="14">
        <f>F1325*AR1325*in_two_wheeler_ticket*in_two_wheeler_comm*in_ins_partner_share+F1325*in_two_wheeler_ticket*in_two_wheeler_comm*in_ins_partner_share*(in_two_wheeler_renew^1*SUMIFS(AR1304:AR1335,B1304:B1335,B1325-12)+in_two_wheeler_renew^2*SUMIFS(AR1304:AR1335,B1304:B1335,B1325-24)+in_two_wheeler_renew^3*SUMIFS(AR1304:AR1335,B1304:B1335,B1325-36)+in_two_wheeler_renew^4*SUMIFS(AR1304:AR1335,B1304:B1335,B1325-48))</f>
        <v/>
      </c>
      <c r="AT1325" s="40">
        <f>AT1324*(1-IF(B1324&gt;=in_marketplace_from,d_hz_device*G1324,0))</f>
        <v/>
      </c>
      <c r="AU1325" s="14">
        <f>F1325*AT1325*IF(B1325&gt;=in_marketplace_from,d_hz_device*G1325,0)*in_device_ticket*in_device_comm*in_ins_partner_share</f>
        <v/>
      </c>
      <c r="AV1325" s="40">
        <f>AV1324*(1-IF(B1324&gt;=in_marketplace_from,d_hz_shop*G1324,0))</f>
        <v/>
      </c>
      <c r="AW1325" s="46">
        <f>AV1325*IF(B1325&gt;=in_marketplace_from,d_hz_shop*G1325,0)</f>
        <v/>
      </c>
      <c r="AX1325" s="14">
        <f>F1325*AW1325*in_shop_ticket*in_shop_comm*in_ins_partner_share+F1325*in_shop_ticket*in_shop_renew_comm*in_ins_partner_share*(in_shop_renew^1*SUMIFS(AW1304:AW1335,B1304:B1335,B1325-12)+in_shop_renew^2*SUMIFS(AW1304:AW1335,B1304:B1335,B1325-24)+in_shop_renew^3*SUMIFS(AW1304:AW1335,B1304:B1335,B1325-36)+in_shop_renew^4*SUMIFS(AW1304:AW1335,B1304:B1335,B1325-48))</f>
        <v/>
      </c>
      <c r="AY1325" s="40">
        <f>AY1324*(1-IF(B1324&gt;=in_marketplace_from,d_hz_sip*G1324,0))</f>
        <v/>
      </c>
      <c r="AZ1325" s="40">
        <f>AZ1324*d_rho_sip+AY1325*IF(B1325&gt;=in_marketplace_from,d_hz_sip*G1325,0)</f>
        <v/>
      </c>
      <c r="BA1325" s="40">
        <f>d_rho_sip*(BA1324+AZ1324)</f>
        <v/>
      </c>
      <c r="BB1325" s="14">
        <f>F1325*in_sip_ticket*(BA1325+0.5*AZ1325)*in_sip_comm/12</f>
        <v/>
      </c>
      <c r="BC1325" s="40">
        <f>BC1324*(1-IF(B1324&gt;=in_marketplace_from,d_hz_choti*G1324,0))</f>
        <v/>
      </c>
      <c r="BD1325" s="46">
        <f>BC1325*IF(B1325&gt;=in_marketplace_from,d_hz_choti*G1325,0)</f>
        <v/>
      </c>
      <c r="BE1325" s="14">
        <f>F1325*SUMIFS(BD1304:BD1335,B1304:B1335,B1325-in_choti_months)*in_choti_renew*in_choti_ticket</f>
        <v/>
      </c>
      <c r="BF1325" s="40">
        <f>BF1324*(1-IF(B1324&gt;=in_marketplace_from,d_hz_nps*G1324,0))</f>
        <v/>
      </c>
      <c r="BG1325" s="14">
        <f>F1325*BF1325*IF(B1325&gt;=in_marketplace_from,d_hz_nps*G1325,0)*in_nps_ticket*in_nps_comm</f>
        <v/>
      </c>
      <c r="BH1325" s="40">
        <f>BH1324*(1-IF(B1324&gt;=in_marketplace_from,d_hz_gold*G1324,0))</f>
        <v/>
      </c>
      <c r="BI1325" s="40">
        <f>BI1324*d_rho_gold+BH1325*IF(B1325&gt;=in_marketplace_from,d_hz_gold*G1325,0)</f>
        <v/>
      </c>
      <c r="BJ1325" s="14">
        <f>F1325*BI1325*in_gold_ticket*in_gold_comm</f>
        <v/>
      </c>
      <c r="BK1325" s="40">
        <f>BK1324*(1-IF(B1324&gt;=in_marketplace_from,d_hz_fd*G1324,0))</f>
        <v/>
      </c>
      <c r="BL1325" s="14">
        <f>F1325*BK1325*IF(B1325&gt;=in_marketplace_from,d_hz_fd*G1325,0)*in_fd_ticket*in_fd_comm</f>
        <v/>
      </c>
      <c r="BM1325" s="40">
        <f>BM1324*(1-IF(B1324&gt;=in_marketplace_from,d_hz_recharge*G1324,0))</f>
        <v/>
      </c>
      <c r="BN1325" s="40">
        <f>BN1324*d_rho_recharge+BM1325*IF(B1325&gt;=in_marketplace_from,d_hz_recharge*G1325,0)</f>
        <v/>
      </c>
      <c r="BO1325" s="14">
        <f>F1325*BN1325*in_recharge_ticket*in_recharge_comm/12</f>
        <v/>
      </c>
      <c r="BP1325" s="40">
        <f>BP1324*(1-IF(B1324&gt;=in_marketplace_from,d_hz_bills*G1324,0))</f>
        <v/>
      </c>
      <c r="BQ1325" s="40">
        <f>BQ1324*d_rho_bills+BP1325*IF(B1325&gt;=in_marketplace_from,d_hz_bills*G1325,0)</f>
        <v/>
      </c>
      <c r="BR1325" s="14">
        <f>F1325*BQ1325*in_bills_ticket*in_bills_comm/12</f>
        <v/>
      </c>
      <c r="BS1325" s="40">
        <f>BS1324*(1-IF(B1324&gt;=in_marketplace_from,d_hz_loan_gold*G1324,0))</f>
        <v/>
      </c>
      <c r="BT1325" s="14">
        <f>F1325*BS1325*IF(B1325&gt;=in_marketplace_from,d_hz_loan_gold*G1325,0)*in_loan_gold_ticket*in_loan_gold_comm</f>
        <v/>
      </c>
      <c r="BU1325" s="40">
        <f>BU1324*(1-IF(B1324&gt;=in_marketplace_from,d_hz_loan_cd*G1324,0))</f>
        <v/>
      </c>
      <c r="BV1325" s="14">
        <f>F1325*BU1325*IF(B1325&gt;=in_marketplace_from,d_hz_loan_cd*G1325,0)*in_loan_cd_ticket*in_loan_cd_comm</f>
        <v/>
      </c>
      <c r="BW1325" s="40">
        <f>BW1324*(1-IF(B1324&gt;=in_marketplace_from,d_hz_loan_vehicle*G1324,0))</f>
        <v/>
      </c>
      <c r="BX1325" s="14">
        <f>F1325*BW1325*IF(B1325&gt;=in_marketplace_from,d_hz_loan_vehicle*G1325,0)*in_loan_vehicle_ticket*in_loan_vehicle_comm</f>
        <v/>
      </c>
      <c r="BY1325" s="40">
        <f>BY1324*(1-IF(B1324&gt;=in_marketplace_from,d_hz_loan_home*G1324,0)*BZ1324)</f>
        <v/>
      </c>
      <c r="BZ1325" s="11">
        <f>MIN(in_approval_cap,in_loan_home_approval*INDEX('Age profile'!$O$2:$O$61,B1325)*(1+in_approval_growth)^(D1325-1))</f>
        <v/>
      </c>
      <c r="CA1325" s="14">
        <f>F1325*BY1325*IF(B1325&gt;=in_marketplace_from,d_hz_loan_home*G1325,0)*BZ1325*in_loan_home_ticket*in_loan_home_comm</f>
        <v/>
      </c>
      <c r="CB1325" s="40">
        <f>CB1324*(1-IF(B1324&gt;=in_marketplace_from,d_hz_loan_lap*G1324,0)*CC1324)</f>
        <v/>
      </c>
      <c r="CC1325" s="11">
        <f>MIN(in_approval_cap,in_loan_lap_approval*INDEX('Age profile'!$O$2:$O$61,B1325)*(1+in_approval_growth)^(D1325-1))</f>
        <v/>
      </c>
      <c r="CD1325" s="14">
        <f>F1325*CB1325*IF(B1325&gt;=in_marketplace_from,d_hz_loan_lap*G1325,0)*CC1325*in_loan_lap_ticket*in_loan_lap_comm</f>
        <v/>
      </c>
      <c r="CE1325" s="14">
        <f>AA1325+AB1325+AC1325+AD1325+AG1325+AJ1325+AM1325+AP1325+AS1325+AU1325+AX1325+BB1325+BE1325+BG1325+BJ1325+BL1325+BO1325+BR1325+BT1325+BV1325+BX1325+CA1325+CD1325</f>
        <v/>
      </c>
    </row>
    <row r="1326">
      <c r="A1326" s="39" t="n">
        <v>29</v>
      </c>
      <c r="B1326" s="39" t="n">
        <v>23</v>
      </c>
      <c r="C1326" s="39">
        <f>A1326+B1326-1</f>
        <v/>
      </c>
      <c r="D1326" s="39">
        <f>INT((C1326-1)/12)+1</f>
        <v/>
      </c>
      <c r="E1326" s="44">
        <f>INDEX(Monthly!$B$2:$B$61,A1326)</f>
        <v/>
      </c>
      <c r="F1326" s="44">
        <f>E1326*INDEX('Age profile'!$B$2:$B$61,B1326)</f>
        <v/>
      </c>
      <c r="G1326" s="45">
        <f>MIN(in_takeup_cap,INDEX('Age profile'!$N$2:$N$61,B1326)*(1+in_takeup_growth)^(D1326-1))</f>
        <v/>
      </c>
      <c r="H1326" s="11">
        <f>MIN(in_approval_cap,in_approved_first*INDEX('Age profile'!$O$2:$O$61,B1326)*(1+in_approval_growth)^(D1326-1))</f>
        <v/>
      </c>
      <c r="I1326" s="45">
        <f>G1326*MIN(in_takeup_cap,INDEX('Age profile'!$O$2:$O$61,B1326)*(1+in_approval_growth)^(D1326-1))</f>
        <v/>
      </c>
      <c r="J1326" s="40">
        <f>(J1325-L1325)*F1326/F1325</f>
        <v/>
      </c>
      <c r="K1326" s="40">
        <f>(K1325-M1325)*F1326/F1325+SUMIFS(O1304:O1325,B1304:B1325,B1326-1-d_T)*F1326</f>
        <v/>
      </c>
      <c r="L1326" s="40">
        <f>IF(B1326&gt;=in_marketplace_from,J1326*d_hz*G1326*in_eligible*H1326,0)</f>
        <v/>
      </c>
      <c r="M1326" s="40">
        <f>IF(B1326&gt;=in_marketplace_from,K1326*d_hz*G1326*in_eligible*in_approved_repeat,0)</f>
        <v/>
      </c>
      <c r="N1326" s="40">
        <f>L1326+M1326</f>
        <v/>
      </c>
      <c r="O1326" s="46">
        <f>N1326/F1326</f>
        <v/>
      </c>
      <c r="P1326" s="40">
        <f>F1326-J1326-K1326</f>
        <v/>
      </c>
      <c r="Q1326" s="40">
        <f>IF(B1326&gt;=in_marketplace_from,(J1326+K1326)*d_hz*G1326,0)</f>
        <v/>
      </c>
      <c r="R1326" s="40">
        <f>SUMIFS(N1304:N1335,B1304:B1335,"&gt;="&amp;(B1326-d_T),B1304:B1335,"&lt;="&amp;(B1326-1))</f>
        <v/>
      </c>
      <c r="S1326" s="46">
        <f>(1-d_u)*S1325+IF(d_T&gt;in_topup_lag,SUMIFS(O1304:O1335,B1304:B1335,B1326-in_topup_lag)-d_udrop*SUMIFS(O1304:O1335,B1304:B1335,B1326-d_T),0)</f>
        <v/>
      </c>
      <c r="T1326" s="40">
        <f>F1326*d_u*S1326</f>
        <v/>
      </c>
      <c r="U1326" s="9">
        <f>L1326*in_ticket+M1326*d_rep_ticket</f>
        <v/>
      </c>
      <c r="V1326" s="9">
        <f>U1326+T1326*d_topup_amt</f>
        <v/>
      </c>
      <c r="W1326" s="40">
        <f>N1326+T1326*d_topup_ratio</f>
        <v/>
      </c>
      <c r="X1326" s="40">
        <f>SUMIFS(W1304:W1335,B1304:B1335,B1326-in_dpd_lag)*d_cured</f>
        <v/>
      </c>
      <c r="Y1326" s="40">
        <f>SUMIFS(W1304:W1335,B1304:B1335,B1326-in_rec_lag)*d_recd</f>
        <v/>
      </c>
      <c r="Z1326" s="40">
        <f>IF(AND(B1326&gt;=in_marketplace_from,B1326&lt;in_marketplace_from+in_card_months),in_card_share/in_card_months*F1326*I1326,IF(AND(B1326&gt;=in_marketplace_from+in_card_months,B1326&lt;in_marketplace_from+2*in_card_months),in_card_share*d_card_rem/in_card_months*F1326*MIN(in_takeup_cap,(1+in_takeup_growth)^(D1326-1))*MIN(in_takeup_cap,(1+in_approval_growth)^(D1326-1)),0))</f>
        <v/>
      </c>
      <c r="AA1326" s="14">
        <f>V1326*in_fee*(1-in_taken_back)</f>
        <v/>
      </c>
      <c r="AB1326" s="14">
        <f>SUMIFS(W1304:W1335,B1304:B1335,B1326-in_dpd_lag)*d_dpd</f>
        <v/>
      </c>
      <c r="AC1326" s="14">
        <f>SUMIFS(W1304:W1335,B1304:B1335,B1326-in_rec_lag)*d_rec</f>
        <v/>
      </c>
      <c r="AD1326" s="14">
        <f>Z1326*in_card_fee</f>
        <v/>
      </c>
      <c r="AE1326" s="40">
        <f>AE1325*(1-IF(B1325&gt;=in_marketplace_from,d_hz_hlth_small*G1325,0))</f>
        <v/>
      </c>
      <c r="AF1326" s="46">
        <f>AE1326*IF(B1326&gt;=in_marketplace_from,d_hz_hlth_small*G1326,0)</f>
        <v/>
      </c>
      <c r="AG1326" s="14">
        <f>F1326*AF1326*in_hlth_small_ticket*in_hlth_small_comm*in_ins_partner_share+F1326*in_hlth_small_ticket*in_hlth_small_renew_comm*in_ins_partner_share*(in_hlth_small_renew^1*SUMIFS(AF1304:AF1335,B1304:B1335,B1326-12)+in_hlth_small_renew^2*SUMIFS(AF1304:AF1335,B1304:B1335,B1326-24)+in_hlth_small_renew^3*SUMIFS(AF1304:AF1335,B1304:B1335,B1326-36)+in_hlth_small_renew^4*SUMIFS(AF1304:AF1335,B1304:B1335,B1326-48))</f>
        <v/>
      </c>
      <c r="AH1326" s="40">
        <f>AH1325*(1-IF(B1325&gt;=in_marketplace_from,d_hz_hlth_family*G1325,0))</f>
        <v/>
      </c>
      <c r="AI1326" s="46">
        <f>AH1326*IF(B1326&gt;=in_marketplace_from,d_hz_hlth_family*G1326,0)</f>
        <v/>
      </c>
      <c r="AJ1326" s="14">
        <f>F1326*AI1326*in_hlth_family_ticket*in_hlth_family_comm*in_ins_partner_share+F1326*in_hlth_family_ticket*in_hlth_family_renew_comm*in_ins_partner_share*(in_hlth_family_renew^1*SUMIFS(AI1304:AI1335,B1304:B1335,B1326-12)+in_hlth_family_renew^2*SUMIFS(AI1304:AI1335,B1304:B1335,B1326-24)+in_hlth_family_renew^3*SUMIFS(AI1304:AI1335,B1304:B1335,B1326-36)+in_hlth_family_renew^4*SUMIFS(AI1304:AI1335,B1304:B1335,B1326-48))</f>
        <v/>
      </c>
      <c r="AK1326" s="40">
        <f>AK1325*(1-IF(B1325&gt;=in_marketplace_from,d_hz_life_term*G1325,0))</f>
        <v/>
      </c>
      <c r="AL1326" s="46">
        <f>AK1326*IF(B1326&gt;=in_marketplace_from,d_hz_life_term*G1326,0)</f>
        <v/>
      </c>
      <c r="AM1326" s="14">
        <f>F1326*AL1326*in_life_term_ticket*in_life_term_comm*in_ins_partner_share+F1326*in_life_term_ticket*in_life_term_renew_comm*in_ins_partner_share*(in_life_term_renew^1*SUMIFS(AL1304:AL1335,B1304:B1335,B1326-12)+in_life_term_renew^2*SUMIFS(AL1304:AL1335,B1304:B1335,B1326-24)+in_life_term_renew^3*SUMIFS(AL1304:AL1335,B1304:B1335,B1326-36)+in_life_term_renew^4*SUMIFS(AL1304:AL1335,B1304:B1335,B1326-48))</f>
        <v/>
      </c>
      <c r="AN1326" s="40">
        <f>AN1325*(1-IF(B1325&gt;=in_marketplace_from,d_hz_accident*G1325,0))</f>
        <v/>
      </c>
      <c r="AO1326" s="46">
        <f>AN1326*IF(B1326&gt;=in_marketplace_from,d_hz_accident*G1326,0)</f>
        <v/>
      </c>
      <c r="AP1326" s="14">
        <f>F1326*AO1326*in_accident_ticket*in_accident_comm*in_ins_partner_share+F1326*in_accident_ticket*in_accident_renew_comm*in_ins_partner_share*(in_accident_renew^1*SUMIFS(AO1304:AO1335,B1304:B1335,B1326-12)+in_accident_renew^2*SUMIFS(AO1304:AO1335,B1304:B1335,B1326-24)+in_accident_renew^3*SUMIFS(AO1304:AO1335,B1304:B1335,B1326-36)+in_accident_renew^4*SUMIFS(AO1304:AO1335,B1304:B1335,B1326-48))</f>
        <v/>
      </c>
      <c r="AQ1326" s="40">
        <f>AQ1325*(1-IF(B1325&gt;=in_marketplace_from,d_hz_two_wheeler*G1325,0))</f>
        <v/>
      </c>
      <c r="AR1326" s="46">
        <f>AQ1326*IF(B1326&gt;=in_marketplace_from,d_hz_two_wheeler*G1326,0)</f>
        <v/>
      </c>
      <c r="AS1326" s="14">
        <f>F1326*AR1326*in_two_wheeler_ticket*in_two_wheeler_comm*in_ins_partner_share+F1326*in_two_wheeler_ticket*in_two_wheeler_comm*in_ins_partner_share*(in_two_wheeler_renew^1*SUMIFS(AR1304:AR1335,B1304:B1335,B1326-12)+in_two_wheeler_renew^2*SUMIFS(AR1304:AR1335,B1304:B1335,B1326-24)+in_two_wheeler_renew^3*SUMIFS(AR1304:AR1335,B1304:B1335,B1326-36)+in_two_wheeler_renew^4*SUMIFS(AR1304:AR1335,B1304:B1335,B1326-48))</f>
        <v/>
      </c>
      <c r="AT1326" s="40">
        <f>AT1325*(1-IF(B1325&gt;=in_marketplace_from,d_hz_device*G1325,0))</f>
        <v/>
      </c>
      <c r="AU1326" s="14">
        <f>F1326*AT1326*IF(B1326&gt;=in_marketplace_from,d_hz_device*G1326,0)*in_device_ticket*in_device_comm*in_ins_partner_share</f>
        <v/>
      </c>
      <c r="AV1326" s="40">
        <f>AV1325*(1-IF(B1325&gt;=in_marketplace_from,d_hz_shop*G1325,0))</f>
        <v/>
      </c>
      <c r="AW1326" s="46">
        <f>AV1326*IF(B1326&gt;=in_marketplace_from,d_hz_shop*G1326,0)</f>
        <v/>
      </c>
      <c r="AX1326" s="14">
        <f>F1326*AW1326*in_shop_ticket*in_shop_comm*in_ins_partner_share+F1326*in_shop_ticket*in_shop_renew_comm*in_ins_partner_share*(in_shop_renew^1*SUMIFS(AW1304:AW1335,B1304:B1335,B1326-12)+in_shop_renew^2*SUMIFS(AW1304:AW1335,B1304:B1335,B1326-24)+in_shop_renew^3*SUMIFS(AW1304:AW1335,B1304:B1335,B1326-36)+in_shop_renew^4*SUMIFS(AW1304:AW1335,B1304:B1335,B1326-48))</f>
        <v/>
      </c>
      <c r="AY1326" s="40">
        <f>AY1325*(1-IF(B1325&gt;=in_marketplace_from,d_hz_sip*G1325,0))</f>
        <v/>
      </c>
      <c r="AZ1326" s="40">
        <f>AZ1325*d_rho_sip+AY1326*IF(B1326&gt;=in_marketplace_from,d_hz_sip*G1326,0)</f>
        <v/>
      </c>
      <c r="BA1326" s="40">
        <f>d_rho_sip*(BA1325+AZ1325)</f>
        <v/>
      </c>
      <c r="BB1326" s="14">
        <f>F1326*in_sip_ticket*(BA1326+0.5*AZ1326)*in_sip_comm/12</f>
        <v/>
      </c>
      <c r="BC1326" s="40">
        <f>BC1325*(1-IF(B1325&gt;=in_marketplace_from,d_hz_choti*G1325,0))</f>
        <v/>
      </c>
      <c r="BD1326" s="46">
        <f>BC1326*IF(B1326&gt;=in_marketplace_from,d_hz_choti*G1326,0)</f>
        <v/>
      </c>
      <c r="BE1326" s="14">
        <f>F1326*SUMIFS(BD1304:BD1335,B1304:B1335,B1326-in_choti_months)*in_choti_renew*in_choti_ticket</f>
        <v/>
      </c>
      <c r="BF1326" s="40">
        <f>BF1325*(1-IF(B1325&gt;=in_marketplace_from,d_hz_nps*G1325,0))</f>
        <v/>
      </c>
      <c r="BG1326" s="14">
        <f>F1326*BF1326*IF(B1326&gt;=in_marketplace_from,d_hz_nps*G1326,0)*in_nps_ticket*in_nps_comm</f>
        <v/>
      </c>
      <c r="BH1326" s="40">
        <f>BH1325*(1-IF(B1325&gt;=in_marketplace_from,d_hz_gold*G1325,0))</f>
        <v/>
      </c>
      <c r="BI1326" s="40">
        <f>BI1325*d_rho_gold+BH1326*IF(B1326&gt;=in_marketplace_from,d_hz_gold*G1326,0)</f>
        <v/>
      </c>
      <c r="BJ1326" s="14">
        <f>F1326*BI1326*in_gold_ticket*in_gold_comm</f>
        <v/>
      </c>
      <c r="BK1326" s="40">
        <f>BK1325*(1-IF(B1325&gt;=in_marketplace_from,d_hz_fd*G1325,0))</f>
        <v/>
      </c>
      <c r="BL1326" s="14">
        <f>F1326*BK1326*IF(B1326&gt;=in_marketplace_from,d_hz_fd*G1326,0)*in_fd_ticket*in_fd_comm</f>
        <v/>
      </c>
      <c r="BM1326" s="40">
        <f>BM1325*(1-IF(B1325&gt;=in_marketplace_from,d_hz_recharge*G1325,0))</f>
        <v/>
      </c>
      <c r="BN1326" s="40">
        <f>BN1325*d_rho_recharge+BM1326*IF(B1326&gt;=in_marketplace_from,d_hz_recharge*G1326,0)</f>
        <v/>
      </c>
      <c r="BO1326" s="14">
        <f>F1326*BN1326*in_recharge_ticket*in_recharge_comm/12</f>
        <v/>
      </c>
      <c r="BP1326" s="40">
        <f>BP1325*(1-IF(B1325&gt;=in_marketplace_from,d_hz_bills*G1325,0))</f>
        <v/>
      </c>
      <c r="BQ1326" s="40">
        <f>BQ1325*d_rho_bills+BP1326*IF(B1326&gt;=in_marketplace_from,d_hz_bills*G1326,0)</f>
        <v/>
      </c>
      <c r="BR1326" s="14">
        <f>F1326*BQ1326*in_bills_ticket*in_bills_comm/12</f>
        <v/>
      </c>
      <c r="BS1326" s="40">
        <f>BS1325*(1-IF(B1325&gt;=in_marketplace_from,d_hz_loan_gold*G1325,0))</f>
        <v/>
      </c>
      <c r="BT1326" s="14">
        <f>F1326*BS1326*IF(B1326&gt;=in_marketplace_from,d_hz_loan_gold*G1326,0)*in_loan_gold_ticket*in_loan_gold_comm</f>
        <v/>
      </c>
      <c r="BU1326" s="40">
        <f>BU1325*(1-IF(B1325&gt;=in_marketplace_from,d_hz_loan_cd*G1325,0))</f>
        <v/>
      </c>
      <c r="BV1326" s="14">
        <f>F1326*BU1326*IF(B1326&gt;=in_marketplace_from,d_hz_loan_cd*G1326,0)*in_loan_cd_ticket*in_loan_cd_comm</f>
        <v/>
      </c>
      <c r="BW1326" s="40">
        <f>BW1325*(1-IF(B1325&gt;=in_marketplace_from,d_hz_loan_vehicle*G1325,0))</f>
        <v/>
      </c>
      <c r="BX1326" s="14">
        <f>F1326*BW1326*IF(B1326&gt;=in_marketplace_from,d_hz_loan_vehicle*G1326,0)*in_loan_vehicle_ticket*in_loan_vehicle_comm</f>
        <v/>
      </c>
      <c r="BY1326" s="40">
        <f>BY1325*(1-IF(B1325&gt;=in_marketplace_from,d_hz_loan_home*G1325,0)*BZ1325)</f>
        <v/>
      </c>
      <c r="BZ1326" s="11">
        <f>MIN(in_approval_cap,in_loan_home_approval*INDEX('Age profile'!$O$2:$O$61,B1326)*(1+in_approval_growth)^(D1326-1))</f>
        <v/>
      </c>
      <c r="CA1326" s="14">
        <f>F1326*BY1326*IF(B1326&gt;=in_marketplace_from,d_hz_loan_home*G1326,0)*BZ1326*in_loan_home_ticket*in_loan_home_comm</f>
        <v/>
      </c>
      <c r="CB1326" s="40">
        <f>CB1325*(1-IF(B1325&gt;=in_marketplace_from,d_hz_loan_lap*G1325,0)*CC1325)</f>
        <v/>
      </c>
      <c r="CC1326" s="11">
        <f>MIN(in_approval_cap,in_loan_lap_approval*INDEX('Age profile'!$O$2:$O$61,B1326)*(1+in_approval_growth)^(D1326-1))</f>
        <v/>
      </c>
      <c r="CD1326" s="14">
        <f>F1326*CB1326*IF(B1326&gt;=in_marketplace_from,d_hz_loan_lap*G1326,0)*CC1326*in_loan_lap_ticket*in_loan_lap_comm</f>
        <v/>
      </c>
      <c r="CE1326" s="14">
        <f>AA1326+AB1326+AC1326+AD1326+AG1326+AJ1326+AM1326+AP1326+AS1326+AU1326+AX1326+BB1326+BE1326+BG1326+BJ1326+BL1326+BO1326+BR1326+BT1326+BV1326+BX1326+CA1326+CD1326</f>
        <v/>
      </c>
    </row>
    <row r="1327">
      <c r="A1327" s="39" t="n">
        <v>29</v>
      </c>
      <c r="B1327" s="39" t="n">
        <v>24</v>
      </c>
      <c r="C1327" s="39">
        <f>A1327+B1327-1</f>
        <v/>
      </c>
      <c r="D1327" s="39">
        <f>INT((C1327-1)/12)+1</f>
        <v/>
      </c>
      <c r="E1327" s="44">
        <f>INDEX(Monthly!$B$2:$B$61,A1327)</f>
        <v/>
      </c>
      <c r="F1327" s="44">
        <f>E1327*INDEX('Age profile'!$B$2:$B$61,B1327)</f>
        <v/>
      </c>
      <c r="G1327" s="45">
        <f>MIN(in_takeup_cap,INDEX('Age profile'!$N$2:$N$61,B1327)*(1+in_takeup_growth)^(D1327-1))</f>
        <v/>
      </c>
      <c r="H1327" s="11">
        <f>MIN(in_approval_cap,in_approved_first*INDEX('Age profile'!$O$2:$O$61,B1327)*(1+in_approval_growth)^(D1327-1))</f>
        <v/>
      </c>
      <c r="I1327" s="45">
        <f>G1327*MIN(in_takeup_cap,INDEX('Age profile'!$O$2:$O$61,B1327)*(1+in_approval_growth)^(D1327-1))</f>
        <v/>
      </c>
      <c r="J1327" s="40">
        <f>(J1326-L1326)*F1327/F1326</f>
        <v/>
      </c>
      <c r="K1327" s="40">
        <f>(K1326-M1326)*F1327/F1326+SUMIFS(O1304:O1326,B1304:B1326,B1327-1-d_T)*F1327</f>
        <v/>
      </c>
      <c r="L1327" s="40">
        <f>IF(B1327&gt;=in_marketplace_from,J1327*d_hz*G1327*in_eligible*H1327,0)</f>
        <v/>
      </c>
      <c r="M1327" s="40">
        <f>IF(B1327&gt;=in_marketplace_from,K1327*d_hz*G1327*in_eligible*in_approved_repeat,0)</f>
        <v/>
      </c>
      <c r="N1327" s="40">
        <f>L1327+M1327</f>
        <v/>
      </c>
      <c r="O1327" s="46">
        <f>N1327/F1327</f>
        <v/>
      </c>
      <c r="P1327" s="40">
        <f>F1327-J1327-K1327</f>
        <v/>
      </c>
      <c r="Q1327" s="40">
        <f>IF(B1327&gt;=in_marketplace_from,(J1327+K1327)*d_hz*G1327,0)</f>
        <v/>
      </c>
      <c r="R1327" s="40">
        <f>SUMIFS(N1304:N1335,B1304:B1335,"&gt;="&amp;(B1327-d_T),B1304:B1335,"&lt;="&amp;(B1327-1))</f>
        <v/>
      </c>
      <c r="S1327" s="46">
        <f>(1-d_u)*S1326+IF(d_T&gt;in_topup_lag,SUMIFS(O1304:O1335,B1304:B1335,B1327-in_topup_lag)-d_udrop*SUMIFS(O1304:O1335,B1304:B1335,B1327-d_T),0)</f>
        <v/>
      </c>
      <c r="T1327" s="40">
        <f>F1327*d_u*S1327</f>
        <v/>
      </c>
      <c r="U1327" s="9">
        <f>L1327*in_ticket+M1327*d_rep_ticket</f>
        <v/>
      </c>
      <c r="V1327" s="9">
        <f>U1327+T1327*d_topup_amt</f>
        <v/>
      </c>
      <c r="W1327" s="40">
        <f>N1327+T1327*d_topup_ratio</f>
        <v/>
      </c>
      <c r="X1327" s="40">
        <f>SUMIFS(W1304:W1335,B1304:B1335,B1327-in_dpd_lag)*d_cured</f>
        <v/>
      </c>
      <c r="Y1327" s="40">
        <f>SUMIFS(W1304:W1335,B1304:B1335,B1327-in_rec_lag)*d_recd</f>
        <v/>
      </c>
      <c r="Z1327" s="40">
        <f>IF(AND(B1327&gt;=in_marketplace_from,B1327&lt;in_marketplace_from+in_card_months),in_card_share/in_card_months*F1327*I1327,IF(AND(B1327&gt;=in_marketplace_from+in_card_months,B1327&lt;in_marketplace_from+2*in_card_months),in_card_share*d_card_rem/in_card_months*F1327*MIN(in_takeup_cap,(1+in_takeup_growth)^(D1327-1))*MIN(in_takeup_cap,(1+in_approval_growth)^(D1327-1)),0))</f>
        <v/>
      </c>
      <c r="AA1327" s="14">
        <f>V1327*in_fee*(1-in_taken_back)</f>
        <v/>
      </c>
      <c r="AB1327" s="14">
        <f>SUMIFS(W1304:W1335,B1304:B1335,B1327-in_dpd_lag)*d_dpd</f>
        <v/>
      </c>
      <c r="AC1327" s="14">
        <f>SUMIFS(W1304:W1335,B1304:B1335,B1327-in_rec_lag)*d_rec</f>
        <v/>
      </c>
      <c r="AD1327" s="14">
        <f>Z1327*in_card_fee</f>
        <v/>
      </c>
      <c r="AE1327" s="40">
        <f>AE1326*(1-IF(B1326&gt;=in_marketplace_from,d_hz_hlth_small*G1326,0))</f>
        <v/>
      </c>
      <c r="AF1327" s="46">
        <f>AE1327*IF(B1327&gt;=in_marketplace_from,d_hz_hlth_small*G1327,0)</f>
        <v/>
      </c>
      <c r="AG1327" s="14">
        <f>F1327*AF1327*in_hlth_small_ticket*in_hlth_small_comm*in_ins_partner_share+F1327*in_hlth_small_ticket*in_hlth_small_renew_comm*in_ins_partner_share*(in_hlth_small_renew^1*SUMIFS(AF1304:AF1335,B1304:B1335,B1327-12)+in_hlth_small_renew^2*SUMIFS(AF1304:AF1335,B1304:B1335,B1327-24)+in_hlth_small_renew^3*SUMIFS(AF1304:AF1335,B1304:B1335,B1327-36)+in_hlth_small_renew^4*SUMIFS(AF1304:AF1335,B1304:B1335,B1327-48))</f>
        <v/>
      </c>
      <c r="AH1327" s="40">
        <f>AH1326*(1-IF(B1326&gt;=in_marketplace_from,d_hz_hlth_family*G1326,0))</f>
        <v/>
      </c>
      <c r="AI1327" s="46">
        <f>AH1327*IF(B1327&gt;=in_marketplace_from,d_hz_hlth_family*G1327,0)</f>
        <v/>
      </c>
      <c r="AJ1327" s="14">
        <f>F1327*AI1327*in_hlth_family_ticket*in_hlth_family_comm*in_ins_partner_share+F1327*in_hlth_family_ticket*in_hlth_family_renew_comm*in_ins_partner_share*(in_hlth_family_renew^1*SUMIFS(AI1304:AI1335,B1304:B1335,B1327-12)+in_hlth_family_renew^2*SUMIFS(AI1304:AI1335,B1304:B1335,B1327-24)+in_hlth_family_renew^3*SUMIFS(AI1304:AI1335,B1304:B1335,B1327-36)+in_hlth_family_renew^4*SUMIFS(AI1304:AI1335,B1304:B1335,B1327-48))</f>
        <v/>
      </c>
      <c r="AK1327" s="40">
        <f>AK1326*(1-IF(B1326&gt;=in_marketplace_from,d_hz_life_term*G1326,0))</f>
        <v/>
      </c>
      <c r="AL1327" s="46">
        <f>AK1327*IF(B1327&gt;=in_marketplace_from,d_hz_life_term*G1327,0)</f>
        <v/>
      </c>
      <c r="AM1327" s="14">
        <f>F1327*AL1327*in_life_term_ticket*in_life_term_comm*in_ins_partner_share+F1327*in_life_term_ticket*in_life_term_renew_comm*in_ins_partner_share*(in_life_term_renew^1*SUMIFS(AL1304:AL1335,B1304:B1335,B1327-12)+in_life_term_renew^2*SUMIFS(AL1304:AL1335,B1304:B1335,B1327-24)+in_life_term_renew^3*SUMIFS(AL1304:AL1335,B1304:B1335,B1327-36)+in_life_term_renew^4*SUMIFS(AL1304:AL1335,B1304:B1335,B1327-48))</f>
        <v/>
      </c>
      <c r="AN1327" s="40">
        <f>AN1326*(1-IF(B1326&gt;=in_marketplace_from,d_hz_accident*G1326,0))</f>
        <v/>
      </c>
      <c r="AO1327" s="46">
        <f>AN1327*IF(B1327&gt;=in_marketplace_from,d_hz_accident*G1327,0)</f>
        <v/>
      </c>
      <c r="AP1327" s="14">
        <f>F1327*AO1327*in_accident_ticket*in_accident_comm*in_ins_partner_share+F1327*in_accident_ticket*in_accident_renew_comm*in_ins_partner_share*(in_accident_renew^1*SUMIFS(AO1304:AO1335,B1304:B1335,B1327-12)+in_accident_renew^2*SUMIFS(AO1304:AO1335,B1304:B1335,B1327-24)+in_accident_renew^3*SUMIFS(AO1304:AO1335,B1304:B1335,B1327-36)+in_accident_renew^4*SUMIFS(AO1304:AO1335,B1304:B1335,B1327-48))</f>
        <v/>
      </c>
      <c r="AQ1327" s="40">
        <f>AQ1326*(1-IF(B1326&gt;=in_marketplace_from,d_hz_two_wheeler*G1326,0))</f>
        <v/>
      </c>
      <c r="AR1327" s="46">
        <f>AQ1327*IF(B1327&gt;=in_marketplace_from,d_hz_two_wheeler*G1327,0)</f>
        <v/>
      </c>
      <c r="AS1327" s="14">
        <f>F1327*AR1327*in_two_wheeler_ticket*in_two_wheeler_comm*in_ins_partner_share+F1327*in_two_wheeler_ticket*in_two_wheeler_comm*in_ins_partner_share*(in_two_wheeler_renew^1*SUMIFS(AR1304:AR1335,B1304:B1335,B1327-12)+in_two_wheeler_renew^2*SUMIFS(AR1304:AR1335,B1304:B1335,B1327-24)+in_two_wheeler_renew^3*SUMIFS(AR1304:AR1335,B1304:B1335,B1327-36)+in_two_wheeler_renew^4*SUMIFS(AR1304:AR1335,B1304:B1335,B1327-48))</f>
        <v/>
      </c>
      <c r="AT1327" s="40">
        <f>AT1326*(1-IF(B1326&gt;=in_marketplace_from,d_hz_device*G1326,0))</f>
        <v/>
      </c>
      <c r="AU1327" s="14">
        <f>F1327*AT1327*IF(B1327&gt;=in_marketplace_from,d_hz_device*G1327,0)*in_device_ticket*in_device_comm*in_ins_partner_share</f>
        <v/>
      </c>
      <c r="AV1327" s="40">
        <f>AV1326*(1-IF(B1326&gt;=in_marketplace_from,d_hz_shop*G1326,0))</f>
        <v/>
      </c>
      <c r="AW1327" s="46">
        <f>AV1327*IF(B1327&gt;=in_marketplace_from,d_hz_shop*G1327,0)</f>
        <v/>
      </c>
      <c r="AX1327" s="14">
        <f>F1327*AW1327*in_shop_ticket*in_shop_comm*in_ins_partner_share+F1327*in_shop_ticket*in_shop_renew_comm*in_ins_partner_share*(in_shop_renew^1*SUMIFS(AW1304:AW1335,B1304:B1335,B1327-12)+in_shop_renew^2*SUMIFS(AW1304:AW1335,B1304:B1335,B1327-24)+in_shop_renew^3*SUMIFS(AW1304:AW1335,B1304:B1335,B1327-36)+in_shop_renew^4*SUMIFS(AW1304:AW1335,B1304:B1335,B1327-48))</f>
        <v/>
      </c>
      <c r="AY1327" s="40">
        <f>AY1326*(1-IF(B1326&gt;=in_marketplace_from,d_hz_sip*G1326,0))</f>
        <v/>
      </c>
      <c r="AZ1327" s="40">
        <f>AZ1326*d_rho_sip+AY1327*IF(B1327&gt;=in_marketplace_from,d_hz_sip*G1327,0)</f>
        <v/>
      </c>
      <c r="BA1327" s="40">
        <f>d_rho_sip*(BA1326+AZ1326)</f>
        <v/>
      </c>
      <c r="BB1327" s="14">
        <f>F1327*in_sip_ticket*(BA1327+0.5*AZ1327)*in_sip_comm/12</f>
        <v/>
      </c>
      <c r="BC1327" s="40">
        <f>BC1326*(1-IF(B1326&gt;=in_marketplace_from,d_hz_choti*G1326,0))</f>
        <v/>
      </c>
      <c r="BD1327" s="46">
        <f>BC1327*IF(B1327&gt;=in_marketplace_from,d_hz_choti*G1327,0)</f>
        <v/>
      </c>
      <c r="BE1327" s="14">
        <f>F1327*SUMIFS(BD1304:BD1335,B1304:B1335,B1327-in_choti_months)*in_choti_renew*in_choti_ticket</f>
        <v/>
      </c>
      <c r="BF1327" s="40">
        <f>BF1326*(1-IF(B1326&gt;=in_marketplace_from,d_hz_nps*G1326,0))</f>
        <v/>
      </c>
      <c r="BG1327" s="14">
        <f>F1327*BF1327*IF(B1327&gt;=in_marketplace_from,d_hz_nps*G1327,0)*in_nps_ticket*in_nps_comm</f>
        <v/>
      </c>
      <c r="BH1327" s="40">
        <f>BH1326*(1-IF(B1326&gt;=in_marketplace_from,d_hz_gold*G1326,0))</f>
        <v/>
      </c>
      <c r="BI1327" s="40">
        <f>BI1326*d_rho_gold+BH1327*IF(B1327&gt;=in_marketplace_from,d_hz_gold*G1327,0)</f>
        <v/>
      </c>
      <c r="BJ1327" s="14">
        <f>F1327*BI1327*in_gold_ticket*in_gold_comm</f>
        <v/>
      </c>
      <c r="BK1327" s="40">
        <f>BK1326*(1-IF(B1326&gt;=in_marketplace_from,d_hz_fd*G1326,0))</f>
        <v/>
      </c>
      <c r="BL1327" s="14">
        <f>F1327*BK1327*IF(B1327&gt;=in_marketplace_from,d_hz_fd*G1327,0)*in_fd_ticket*in_fd_comm</f>
        <v/>
      </c>
      <c r="BM1327" s="40">
        <f>BM1326*(1-IF(B1326&gt;=in_marketplace_from,d_hz_recharge*G1326,0))</f>
        <v/>
      </c>
      <c r="BN1327" s="40">
        <f>BN1326*d_rho_recharge+BM1327*IF(B1327&gt;=in_marketplace_from,d_hz_recharge*G1327,0)</f>
        <v/>
      </c>
      <c r="BO1327" s="14">
        <f>F1327*BN1327*in_recharge_ticket*in_recharge_comm/12</f>
        <v/>
      </c>
      <c r="BP1327" s="40">
        <f>BP1326*(1-IF(B1326&gt;=in_marketplace_from,d_hz_bills*G1326,0))</f>
        <v/>
      </c>
      <c r="BQ1327" s="40">
        <f>BQ1326*d_rho_bills+BP1327*IF(B1327&gt;=in_marketplace_from,d_hz_bills*G1327,0)</f>
        <v/>
      </c>
      <c r="BR1327" s="14">
        <f>F1327*BQ1327*in_bills_ticket*in_bills_comm/12</f>
        <v/>
      </c>
      <c r="BS1327" s="40">
        <f>BS1326*(1-IF(B1326&gt;=in_marketplace_from,d_hz_loan_gold*G1326,0))</f>
        <v/>
      </c>
      <c r="BT1327" s="14">
        <f>F1327*BS1327*IF(B1327&gt;=in_marketplace_from,d_hz_loan_gold*G1327,0)*in_loan_gold_ticket*in_loan_gold_comm</f>
        <v/>
      </c>
      <c r="BU1327" s="40">
        <f>BU1326*(1-IF(B1326&gt;=in_marketplace_from,d_hz_loan_cd*G1326,0))</f>
        <v/>
      </c>
      <c r="BV1327" s="14">
        <f>F1327*BU1327*IF(B1327&gt;=in_marketplace_from,d_hz_loan_cd*G1327,0)*in_loan_cd_ticket*in_loan_cd_comm</f>
        <v/>
      </c>
      <c r="BW1327" s="40">
        <f>BW1326*(1-IF(B1326&gt;=in_marketplace_from,d_hz_loan_vehicle*G1326,0))</f>
        <v/>
      </c>
      <c r="BX1327" s="14">
        <f>F1327*BW1327*IF(B1327&gt;=in_marketplace_from,d_hz_loan_vehicle*G1327,0)*in_loan_vehicle_ticket*in_loan_vehicle_comm</f>
        <v/>
      </c>
      <c r="BY1327" s="40">
        <f>BY1326*(1-IF(B1326&gt;=in_marketplace_from,d_hz_loan_home*G1326,0)*BZ1326)</f>
        <v/>
      </c>
      <c r="BZ1327" s="11">
        <f>MIN(in_approval_cap,in_loan_home_approval*INDEX('Age profile'!$O$2:$O$61,B1327)*(1+in_approval_growth)^(D1327-1))</f>
        <v/>
      </c>
      <c r="CA1327" s="14">
        <f>F1327*BY1327*IF(B1327&gt;=in_marketplace_from,d_hz_loan_home*G1327,0)*BZ1327*in_loan_home_ticket*in_loan_home_comm</f>
        <v/>
      </c>
      <c r="CB1327" s="40">
        <f>CB1326*(1-IF(B1326&gt;=in_marketplace_from,d_hz_loan_lap*G1326,0)*CC1326)</f>
        <v/>
      </c>
      <c r="CC1327" s="11">
        <f>MIN(in_approval_cap,in_loan_lap_approval*INDEX('Age profile'!$O$2:$O$61,B1327)*(1+in_approval_growth)^(D1327-1))</f>
        <v/>
      </c>
      <c r="CD1327" s="14">
        <f>F1327*CB1327*IF(B1327&gt;=in_marketplace_from,d_hz_loan_lap*G1327,0)*CC1327*in_loan_lap_ticket*in_loan_lap_comm</f>
        <v/>
      </c>
      <c r="CE1327" s="14">
        <f>AA1327+AB1327+AC1327+AD1327+AG1327+AJ1327+AM1327+AP1327+AS1327+AU1327+AX1327+BB1327+BE1327+BG1327+BJ1327+BL1327+BO1327+BR1327+BT1327+BV1327+BX1327+CA1327+CD1327</f>
        <v/>
      </c>
    </row>
    <row r="1328">
      <c r="A1328" s="39" t="n">
        <v>29</v>
      </c>
      <c r="B1328" s="39" t="n">
        <v>25</v>
      </c>
      <c r="C1328" s="39">
        <f>A1328+B1328-1</f>
        <v/>
      </c>
      <c r="D1328" s="39">
        <f>INT((C1328-1)/12)+1</f>
        <v/>
      </c>
      <c r="E1328" s="44">
        <f>INDEX(Monthly!$B$2:$B$61,A1328)</f>
        <v/>
      </c>
      <c r="F1328" s="44">
        <f>E1328*INDEX('Age profile'!$B$2:$B$61,B1328)</f>
        <v/>
      </c>
      <c r="G1328" s="45">
        <f>MIN(in_takeup_cap,INDEX('Age profile'!$N$2:$N$61,B1328)*(1+in_takeup_growth)^(D1328-1))</f>
        <v/>
      </c>
      <c r="H1328" s="11">
        <f>MIN(in_approval_cap,in_approved_first*INDEX('Age profile'!$O$2:$O$61,B1328)*(1+in_approval_growth)^(D1328-1))</f>
        <v/>
      </c>
      <c r="I1328" s="45">
        <f>G1328*MIN(in_takeup_cap,INDEX('Age profile'!$O$2:$O$61,B1328)*(1+in_approval_growth)^(D1328-1))</f>
        <v/>
      </c>
      <c r="J1328" s="40">
        <f>(J1327-L1327)*F1328/F1327</f>
        <v/>
      </c>
      <c r="K1328" s="40">
        <f>(K1327-M1327)*F1328/F1327+SUMIFS(O1304:O1327,B1304:B1327,B1328-1-d_T)*F1328</f>
        <v/>
      </c>
      <c r="L1328" s="40">
        <f>IF(B1328&gt;=in_marketplace_from,J1328*d_hz*G1328*in_eligible*H1328,0)</f>
        <v/>
      </c>
      <c r="M1328" s="40">
        <f>IF(B1328&gt;=in_marketplace_from,K1328*d_hz*G1328*in_eligible*in_approved_repeat,0)</f>
        <v/>
      </c>
      <c r="N1328" s="40">
        <f>L1328+M1328</f>
        <v/>
      </c>
      <c r="O1328" s="46">
        <f>N1328/F1328</f>
        <v/>
      </c>
      <c r="P1328" s="40">
        <f>F1328-J1328-K1328</f>
        <v/>
      </c>
      <c r="Q1328" s="40">
        <f>IF(B1328&gt;=in_marketplace_from,(J1328+K1328)*d_hz*G1328,0)</f>
        <v/>
      </c>
      <c r="R1328" s="40">
        <f>SUMIFS(N1304:N1335,B1304:B1335,"&gt;="&amp;(B1328-d_T),B1304:B1335,"&lt;="&amp;(B1328-1))</f>
        <v/>
      </c>
      <c r="S1328" s="46">
        <f>(1-d_u)*S1327+IF(d_T&gt;in_topup_lag,SUMIFS(O1304:O1335,B1304:B1335,B1328-in_topup_lag)-d_udrop*SUMIFS(O1304:O1335,B1304:B1335,B1328-d_T),0)</f>
        <v/>
      </c>
      <c r="T1328" s="40">
        <f>F1328*d_u*S1328</f>
        <v/>
      </c>
      <c r="U1328" s="9">
        <f>L1328*in_ticket+M1328*d_rep_ticket</f>
        <v/>
      </c>
      <c r="V1328" s="9">
        <f>U1328+T1328*d_topup_amt</f>
        <v/>
      </c>
      <c r="W1328" s="40">
        <f>N1328+T1328*d_topup_ratio</f>
        <v/>
      </c>
      <c r="X1328" s="40">
        <f>SUMIFS(W1304:W1335,B1304:B1335,B1328-in_dpd_lag)*d_cured</f>
        <v/>
      </c>
      <c r="Y1328" s="40">
        <f>SUMIFS(W1304:W1335,B1304:B1335,B1328-in_rec_lag)*d_recd</f>
        <v/>
      </c>
      <c r="Z1328" s="40">
        <f>IF(AND(B1328&gt;=in_marketplace_from,B1328&lt;in_marketplace_from+in_card_months),in_card_share/in_card_months*F1328*I1328,IF(AND(B1328&gt;=in_marketplace_from+in_card_months,B1328&lt;in_marketplace_from+2*in_card_months),in_card_share*d_card_rem/in_card_months*F1328*MIN(in_takeup_cap,(1+in_takeup_growth)^(D1328-1))*MIN(in_takeup_cap,(1+in_approval_growth)^(D1328-1)),0))</f>
        <v/>
      </c>
      <c r="AA1328" s="14">
        <f>V1328*in_fee*(1-in_taken_back)</f>
        <v/>
      </c>
      <c r="AB1328" s="14">
        <f>SUMIFS(W1304:W1335,B1304:B1335,B1328-in_dpd_lag)*d_dpd</f>
        <v/>
      </c>
      <c r="AC1328" s="14">
        <f>SUMIFS(W1304:W1335,B1304:B1335,B1328-in_rec_lag)*d_rec</f>
        <v/>
      </c>
      <c r="AD1328" s="14">
        <f>Z1328*in_card_fee</f>
        <v/>
      </c>
      <c r="AE1328" s="40">
        <f>AE1327*(1-IF(B1327&gt;=in_marketplace_from,d_hz_hlth_small*G1327,0))</f>
        <v/>
      </c>
      <c r="AF1328" s="46">
        <f>AE1328*IF(B1328&gt;=in_marketplace_from,d_hz_hlth_small*G1328,0)</f>
        <v/>
      </c>
      <c r="AG1328" s="14">
        <f>F1328*AF1328*in_hlth_small_ticket*in_hlth_small_comm*in_ins_partner_share+F1328*in_hlth_small_ticket*in_hlth_small_renew_comm*in_ins_partner_share*(in_hlth_small_renew^1*SUMIFS(AF1304:AF1335,B1304:B1335,B1328-12)+in_hlth_small_renew^2*SUMIFS(AF1304:AF1335,B1304:B1335,B1328-24)+in_hlth_small_renew^3*SUMIFS(AF1304:AF1335,B1304:B1335,B1328-36)+in_hlth_small_renew^4*SUMIFS(AF1304:AF1335,B1304:B1335,B1328-48))</f>
        <v/>
      </c>
      <c r="AH1328" s="40">
        <f>AH1327*(1-IF(B1327&gt;=in_marketplace_from,d_hz_hlth_family*G1327,0))</f>
        <v/>
      </c>
      <c r="AI1328" s="46">
        <f>AH1328*IF(B1328&gt;=in_marketplace_from,d_hz_hlth_family*G1328,0)</f>
        <v/>
      </c>
      <c r="AJ1328" s="14">
        <f>F1328*AI1328*in_hlth_family_ticket*in_hlth_family_comm*in_ins_partner_share+F1328*in_hlth_family_ticket*in_hlth_family_renew_comm*in_ins_partner_share*(in_hlth_family_renew^1*SUMIFS(AI1304:AI1335,B1304:B1335,B1328-12)+in_hlth_family_renew^2*SUMIFS(AI1304:AI1335,B1304:B1335,B1328-24)+in_hlth_family_renew^3*SUMIFS(AI1304:AI1335,B1304:B1335,B1328-36)+in_hlth_family_renew^4*SUMIFS(AI1304:AI1335,B1304:B1335,B1328-48))</f>
        <v/>
      </c>
      <c r="AK1328" s="40">
        <f>AK1327*(1-IF(B1327&gt;=in_marketplace_from,d_hz_life_term*G1327,0))</f>
        <v/>
      </c>
      <c r="AL1328" s="46">
        <f>AK1328*IF(B1328&gt;=in_marketplace_from,d_hz_life_term*G1328,0)</f>
        <v/>
      </c>
      <c r="AM1328" s="14">
        <f>F1328*AL1328*in_life_term_ticket*in_life_term_comm*in_ins_partner_share+F1328*in_life_term_ticket*in_life_term_renew_comm*in_ins_partner_share*(in_life_term_renew^1*SUMIFS(AL1304:AL1335,B1304:B1335,B1328-12)+in_life_term_renew^2*SUMIFS(AL1304:AL1335,B1304:B1335,B1328-24)+in_life_term_renew^3*SUMIFS(AL1304:AL1335,B1304:B1335,B1328-36)+in_life_term_renew^4*SUMIFS(AL1304:AL1335,B1304:B1335,B1328-48))</f>
        <v/>
      </c>
      <c r="AN1328" s="40">
        <f>AN1327*(1-IF(B1327&gt;=in_marketplace_from,d_hz_accident*G1327,0))</f>
        <v/>
      </c>
      <c r="AO1328" s="46">
        <f>AN1328*IF(B1328&gt;=in_marketplace_from,d_hz_accident*G1328,0)</f>
        <v/>
      </c>
      <c r="AP1328" s="14">
        <f>F1328*AO1328*in_accident_ticket*in_accident_comm*in_ins_partner_share+F1328*in_accident_ticket*in_accident_renew_comm*in_ins_partner_share*(in_accident_renew^1*SUMIFS(AO1304:AO1335,B1304:B1335,B1328-12)+in_accident_renew^2*SUMIFS(AO1304:AO1335,B1304:B1335,B1328-24)+in_accident_renew^3*SUMIFS(AO1304:AO1335,B1304:B1335,B1328-36)+in_accident_renew^4*SUMIFS(AO1304:AO1335,B1304:B1335,B1328-48))</f>
        <v/>
      </c>
      <c r="AQ1328" s="40">
        <f>AQ1327*(1-IF(B1327&gt;=in_marketplace_from,d_hz_two_wheeler*G1327,0))</f>
        <v/>
      </c>
      <c r="AR1328" s="46">
        <f>AQ1328*IF(B1328&gt;=in_marketplace_from,d_hz_two_wheeler*G1328,0)</f>
        <v/>
      </c>
      <c r="AS1328" s="14">
        <f>F1328*AR1328*in_two_wheeler_ticket*in_two_wheeler_comm*in_ins_partner_share+F1328*in_two_wheeler_ticket*in_two_wheeler_comm*in_ins_partner_share*(in_two_wheeler_renew^1*SUMIFS(AR1304:AR1335,B1304:B1335,B1328-12)+in_two_wheeler_renew^2*SUMIFS(AR1304:AR1335,B1304:B1335,B1328-24)+in_two_wheeler_renew^3*SUMIFS(AR1304:AR1335,B1304:B1335,B1328-36)+in_two_wheeler_renew^4*SUMIFS(AR1304:AR1335,B1304:B1335,B1328-48))</f>
        <v/>
      </c>
      <c r="AT1328" s="40">
        <f>AT1327*(1-IF(B1327&gt;=in_marketplace_from,d_hz_device*G1327,0))</f>
        <v/>
      </c>
      <c r="AU1328" s="14">
        <f>F1328*AT1328*IF(B1328&gt;=in_marketplace_from,d_hz_device*G1328,0)*in_device_ticket*in_device_comm*in_ins_partner_share</f>
        <v/>
      </c>
      <c r="AV1328" s="40">
        <f>AV1327*(1-IF(B1327&gt;=in_marketplace_from,d_hz_shop*G1327,0))</f>
        <v/>
      </c>
      <c r="AW1328" s="46">
        <f>AV1328*IF(B1328&gt;=in_marketplace_from,d_hz_shop*G1328,0)</f>
        <v/>
      </c>
      <c r="AX1328" s="14">
        <f>F1328*AW1328*in_shop_ticket*in_shop_comm*in_ins_partner_share+F1328*in_shop_ticket*in_shop_renew_comm*in_ins_partner_share*(in_shop_renew^1*SUMIFS(AW1304:AW1335,B1304:B1335,B1328-12)+in_shop_renew^2*SUMIFS(AW1304:AW1335,B1304:B1335,B1328-24)+in_shop_renew^3*SUMIFS(AW1304:AW1335,B1304:B1335,B1328-36)+in_shop_renew^4*SUMIFS(AW1304:AW1335,B1304:B1335,B1328-48))</f>
        <v/>
      </c>
      <c r="AY1328" s="40">
        <f>AY1327*(1-IF(B1327&gt;=in_marketplace_from,d_hz_sip*G1327,0))</f>
        <v/>
      </c>
      <c r="AZ1328" s="40">
        <f>AZ1327*d_rho_sip+AY1328*IF(B1328&gt;=in_marketplace_from,d_hz_sip*G1328,0)</f>
        <v/>
      </c>
      <c r="BA1328" s="40">
        <f>d_rho_sip*(BA1327+AZ1327)</f>
        <v/>
      </c>
      <c r="BB1328" s="14">
        <f>F1328*in_sip_ticket*(BA1328+0.5*AZ1328)*in_sip_comm/12</f>
        <v/>
      </c>
      <c r="BC1328" s="40">
        <f>BC1327*(1-IF(B1327&gt;=in_marketplace_from,d_hz_choti*G1327,0))</f>
        <v/>
      </c>
      <c r="BD1328" s="46">
        <f>BC1328*IF(B1328&gt;=in_marketplace_from,d_hz_choti*G1328,0)</f>
        <v/>
      </c>
      <c r="BE1328" s="14">
        <f>F1328*SUMIFS(BD1304:BD1335,B1304:B1335,B1328-in_choti_months)*in_choti_renew*in_choti_ticket</f>
        <v/>
      </c>
      <c r="BF1328" s="40">
        <f>BF1327*(1-IF(B1327&gt;=in_marketplace_from,d_hz_nps*G1327,0))</f>
        <v/>
      </c>
      <c r="BG1328" s="14">
        <f>F1328*BF1328*IF(B1328&gt;=in_marketplace_from,d_hz_nps*G1328,0)*in_nps_ticket*in_nps_comm</f>
        <v/>
      </c>
      <c r="BH1328" s="40">
        <f>BH1327*(1-IF(B1327&gt;=in_marketplace_from,d_hz_gold*G1327,0))</f>
        <v/>
      </c>
      <c r="BI1328" s="40">
        <f>BI1327*d_rho_gold+BH1328*IF(B1328&gt;=in_marketplace_from,d_hz_gold*G1328,0)</f>
        <v/>
      </c>
      <c r="BJ1328" s="14">
        <f>F1328*BI1328*in_gold_ticket*in_gold_comm</f>
        <v/>
      </c>
      <c r="BK1328" s="40">
        <f>BK1327*(1-IF(B1327&gt;=in_marketplace_from,d_hz_fd*G1327,0))</f>
        <v/>
      </c>
      <c r="BL1328" s="14">
        <f>F1328*BK1328*IF(B1328&gt;=in_marketplace_from,d_hz_fd*G1328,0)*in_fd_ticket*in_fd_comm</f>
        <v/>
      </c>
      <c r="BM1328" s="40">
        <f>BM1327*(1-IF(B1327&gt;=in_marketplace_from,d_hz_recharge*G1327,0))</f>
        <v/>
      </c>
      <c r="BN1328" s="40">
        <f>BN1327*d_rho_recharge+BM1328*IF(B1328&gt;=in_marketplace_from,d_hz_recharge*G1328,0)</f>
        <v/>
      </c>
      <c r="BO1328" s="14">
        <f>F1328*BN1328*in_recharge_ticket*in_recharge_comm/12</f>
        <v/>
      </c>
      <c r="BP1328" s="40">
        <f>BP1327*(1-IF(B1327&gt;=in_marketplace_from,d_hz_bills*G1327,0))</f>
        <v/>
      </c>
      <c r="BQ1328" s="40">
        <f>BQ1327*d_rho_bills+BP1328*IF(B1328&gt;=in_marketplace_from,d_hz_bills*G1328,0)</f>
        <v/>
      </c>
      <c r="BR1328" s="14">
        <f>F1328*BQ1328*in_bills_ticket*in_bills_comm/12</f>
        <v/>
      </c>
      <c r="BS1328" s="40">
        <f>BS1327*(1-IF(B1327&gt;=in_marketplace_from,d_hz_loan_gold*G1327,0))</f>
        <v/>
      </c>
      <c r="BT1328" s="14">
        <f>F1328*BS1328*IF(B1328&gt;=in_marketplace_from,d_hz_loan_gold*G1328,0)*in_loan_gold_ticket*in_loan_gold_comm</f>
        <v/>
      </c>
      <c r="BU1328" s="40">
        <f>BU1327*(1-IF(B1327&gt;=in_marketplace_from,d_hz_loan_cd*G1327,0))</f>
        <v/>
      </c>
      <c r="BV1328" s="14">
        <f>F1328*BU1328*IF(B1328&gt;=in_marketplace_from,d_hz_loan_cd*G1328,0)*in_loan_cd_ticket*in_loan_cd_comm</f>
        <v/>
      </c>
      <c r="BW1328" s="40">
        <f>BW1327*(1-IF(B1327&gt;=in_marketplace_from,d_hz_loan_vehicle*G1327,0))</f>
        <v/>
      </c>
      <c r="BX1328" s="14">
        <f>F1328*BW1328*IF(B1328&gt;=in_marketplace_from,d_hz_loan_vehicle*G1328,0)*in_loan_vehicle_ticket*in_loan_vehicle_comm</f>
        <v/>
      </c>
      <c r="BY1328" s="40">
        <f>BY1327*(1-IF(B1327&gt;=in_marketplace_from,d_hz_loan_home*G1327,0)*BZ1327)</f>
        <v/>
      </c>
      <c r="BZ1328" s="11">
        <f>MIN(in_approval_cap,in_loan_home_approval*INDEX('Age profile'!$O$2:$O$61,B1328)*(1+in_approval_growth)^(D1328-1))</f>
        <v/>
      </c>
      <c r="CA1328" s="14">
        <f>F1328*BY1328*IF(B1328&gt;=in_marketplace_from,d_hz_loan_home*G1328,0)*BZ1328*in_loan_home_ticket*in_loan_home_comm</f>
        <v/>
      </c>
      <c r="CB1328" s="40">
        <f>CB1327*(1-IF(B1327&gt;=in_marketplace_from,d_hz_loan_lap*G1327,0)*CC1327)</f>
        <v/>
      </c>
      <c r="CC1328" s="11">
        <f>MIN(in_approval_cap,in_loan_lap_approval*INDEX('Age profile'!$O$2:$O$61,B1328)*(1+in_approval_growth)^(D1328-1))</f>
        <v/>
      </c>
      <c r="CD1328" s="14">
        <f>F1328*CB1328*IF(B1328&gt;=in_marketplace_from,d_hz_loan_lap*G1328,0)*CC1328*in_loan_lap_ticket*in_loan_lap_comm</f>
        <v/>
      </c>
      <c r="CE1328" s="14">
        <f>AA1328+AB1328+AC1328+AD1328+AG1328+AJ1328+AM1328+AP1328+AS1328+AU1328+AX1328+BB1328+BE1328+BG1328+BJ1328+BL1328+BO1328+BR1328+BT1328+BV1328+BX1328+CA1328+CD1328</f>
        <v/>
      </c>
    </row>
    <row r="1329">
      <c r="A1329" s="39" t="n">
        <v>29</v>
      </c>
      <c r="B1329" s="39" t="n">
        <v>26</v>
      </c>
      <c r="C1329" s="39">
        <f>A1329+B1329-1</f>
        <v/>
      </c>
      <c r="D1329" s="39">
        <f>INT((C1329-1)/12)+1</f>
        <v/>
      </c>
      <c r="E1329" s="44">
        <f>INDEX(Monthly!$B$2:$B$61,A1329)</f>
        <v/>
      </c>
      <c r="F1329" s="44">
        <f>E1329*INDEX('Age profile'!$B$2:$B$61,B1329)</f>
        <v/>
      </c>
      <c r="G1329" s="45">
        <f>MIN(in_takeup_cap,INDEX('Age profile'!$N$2:$N$61,B1329)*(1+in_takeup_growth)^(D1329-1))</f>
        <v/>
      </c>
      <c r="H1329" s="11">
        <f>MIN(in_approval_cap,in_approved_first*INDEX('Age profile'!$O$2:$O$61,B1329)*(1+in_approval_growth)^(D1329-1))</f>
        <v/>
      </c>
      <c r="I1329" s="45">
        <f>G1329*MIN(in_takeup_cap,INDEX('Age profile'!$O$2:$O$61,B1329)*(1+in_approval_growth)^(D1329-1))</f>
        <v/>
      </c>
      <c r="J1329" s="40">
        <f>(J1328-L1328)*F1329/F1328</f>
        <v/>
      </c>
      <c r="K1329" s="40">
        <f>(K1328-M1328)*F1329/F1328+SUMIFS(O1304:O1328,B1304:B1328,B1329-1-d_T)*F1329</f>
        <v/>
      </c>
      <c r="L1329" s="40">
        <f>IF(B1329&gt;=in_marketplace_from,J1329*d_hz*G1329*in_eligible*H1329,0)</f>
        <v/>
      </c>
      <c r="M1329" s="40">
        <f>IF(B1329&gt;=in_marketplace_from,K1329*d_hz*G1329*in_eligible*in_approved_repeat,0)</f>
        <v/>
      </c>
      <c r="N1329" s="40">
        <f>L1329+M1329</f>
        <v/>
      </c>
      <c r="O1329" s="46">
        <f>N1329/F1329</f>
        <v/>
      </c>
      <c r="P1329" s="40">
        <f>F1329-J1329-K1329</f>
        <v/>
      </c>
      <c r="Q1329" s="40">
        <f>IF(B1329&gt;=in_marketplace_from,(J1329+K1329)*d_hz*G1329,0)</f>
        <v/>
      </c>
      <c r="R1329" s="40">
        <f>SUMIFS(N1304:N1335,B1304:B1335,"&gt;="&amp;(B1329-d_T),B1304:B1335,"&lt;="&amp;(B1329-1))</f>
        <v/>
      </c>
      <c r="S1329" s="46">
        <f>(1-d_u)*S1328+IF(d_T&gt;in_topup_lag,SUMIFS(O1304:O1335,B1304:B1335,B1329-in_topup_lag)-d_udrop*SUMIFS(O1304:O1335,B1304:B1335,B1329-d_T),0)</f>
        <v/>
      </c>
      <c r="T1329" s="40">
        <f>F1329*d_u*S1329</f>
        <v/>
      </c>
      <c r="U1329" s="9">
        <f>L1329*in_ticket+M1329*d_rep_ticket</f>
        <v/>
      </c>
      <c r="V1329" s="9">
        <f>U1329+T1329*d_topup_amt</f>
        <v/>
      </c>
      <c r="W1329" s="40">
        <f>N1329+T1329*d_topup_ratio</f>
        <v/>
      </c>
      <c r="X1329" s="40">
        <f>SUMIFS(W1304:W1335,B1304:B1335,B1329-in_dpd_lag)*d_cured</f>
        <v/>
      </c>
      <c r="Y1329" s="40">
        <f>SUMIFS(W1304:W1335,B1304:B1335,B1329-in_rec_lag)*d_recd</f>
        <v/>
      </c>
      <c r="Z1329" s="40">
        <f>IF(AND(B1329&gt;=in_marketplace_from,B1329&lt;in_marketplace_from+in_card_months),in_card_share/in_card_months*F1329*I1329,IF(AND(B1329&gt;=in_marketplace_from+in_card_months,B1329&lt;in_marketplace_from+2*in_card_months),in_card_share*d_card_rem/in_card_months*F1329*MIN(in_takeup_cap,(1+in_takeup_growth)^(D1329-1))*MIN(in_takeup_cap,(1+in_approval_growth)^(D1329-1)),0))</f>
        <v/>
      </c>
      <c r="AA1329" s="14">
        <f>V1329*in_fee*(1-in_taken_back)</f>
        <v/>
      </c>
      <c r="AB1329" s="14">
        <f>SUMIFS(W1304:W1335,B1304:B1335,B1329-in_dpd_lag)*d_dpd</f>
        <v/>
      </c>
      <c r="AC1329" s="14">
        <f>SUMIFS(W1304:W1335,B1304:B1335,B1329-in_rec_lag)*d_rec</f>
        <v/>
      </c>
      <c r="AD1329" s="14">
        <f>Z1329*in_card_fee</f>
        <v/>
      </c>
      <c r="AE1329" s="40">
        <f>AE1328*(1-IF(B1328&gt;=in_marketplace_from,d_hz_hlth_small*G1328,0))</f>
        <v/>
      </c>
      <c r="AF1329" s="46">
        <f>AE1329*IF(B1329&gt;=in_marketplace_from,d_hz_hlth_small*G1329,0)</f>
        <v/>
      </c>
      <c r="AG1329" s="14">
        <f>F1329*AF1329*in_hlth_small_ticket*in_hlth_small_comm*in_ins_partner_share+F1329*in_hlth_small_ticket*in_hlth_small_renew_comm*in_ins_partner_share*(in_hlth_small_renew^1*SUMIFS(AF1304:AF1335,B1304:B1335,B1329-12)+in_hlth_small_renew^2*SUMIFS(AF1304:AF1335,B1304:B1335,B1329-24)+in_hlth_small_renew^3*SUMIFS(AF1304:AF1335,B1304:B1335,B1329-36)+in_hlth_small_renew^4*SUMIFS(AF1304:AF1335,B1304:B1335,B1329-48))</f>
        <v/>
      </c>
      <c r="AH1329" s="40">
        <f>AH1328*(1-IF(B1328&gt;=in_marketplace_from,d_hz_hlth_family*G1328,0))</f>
        <v/>
      </c>
      <c r="AI1329" s="46">
        <f>AH1329*IF(B1329&gt;=in_marketplace_from,d_hz_hlth_family*G1329,0)</f>
        <v/>
      </c>
      <c r="AJ1329" s="14">
        <f>F1329*AI1329*in_hlth_family_ticket*in_hlth_family_comm*in_ins_partner_share+F1329*in_hlth_family_ticket*in_hlth_family_renew_comm*in_ins_partner_share*(in_hlth_family_renew^1*SUMIFS(AI1304:AI1335,B1304:B1335,B1329-12)+in_hlth_family_renew^2*SUMIFS(AI1304:AI1335,B1304:B1335,B1329-24)+in_hlth_family_renew^3*SUMIFS(AI1304:AI1335,B1304:B1335,B1329-36)+in_hlth_family_renew^4*SUMIFS(AI1304:AI1335,B1304:B1335,B1329-48))</f>
        <v/>
      </c>
      <c r="AK1329" s="40">
        <f>AK1328*(1-IF(B1328&gt;=in_marketplace_from,d_hz_life_term*G1328,0))</f>
        <v/>
      </c>
      <c r="AL1329" s="46">
        <f>AK1329*IF(B1329&gt;=in_marketplace_from,d_hz_life_term*G1329,0)</f>
        <v/>
      </c>
      <c r="AM1329" s="14">
        <f>F1329*AL1329*in_life_term_ticket*in_life_term_comm*in_ins_partner_share+F1329*in_life_term_ticket*in_life_term_renew_comm*in_ins_partner_share*(in_life_term_renew^1*SUMIFS(AL1304:AL1335,B1304:B1335,B1329-12)+in_life_term_renew^2*SUMIFS(AL1304:AL1335,B1304:B1335,B1329-24)+in_life_term_renew^3*SUMIFS(AL1304:AL1335,B1304:B1335,B1329-36)+in_life_term_renew^4*SUMIFS(AL1304:AL1335,B1304:B1335,B1329-48))</f>
        <v/>
      </c>
      <c r="AN1329" s="40">
        <f>AN1328*(1-IF(B1328&gt;=in_marketplace_from,d_hz_accident*G1328,0))</f>
        <v/>
      </c>
      <c r="AO1329" s="46">
        <f>AN1329*IF(B1329&gt;=in_marketplace_from,d_hz_accident*G1329,0)</f>
        <v/>
      </c>
      <c r="AP1329" s="14">
        <f>F1329*AO1329*in_accident_ticket*in_accident_comm*in_ins_partner_share+F1329*in_accident_ticket*in_accident_renew_comm*in_ins_partner_share*(in_accident_renew^1*SUMIFS(AO1304:AO1335,B1304:B1335,B1329-12)+in_accident_renew^2*SUMIFS(AO1304:AO1335,B1304:B1335,B1329-24)+in_accident_renew^3*SUMIFS(AO1304:AO1335,B1304:B1335,B1329-36)+in_accident_renew^4*SUMIFS(AO1304:AO1335,B1304:B1335,B1329-48))</f>
        <v/>
      </c>
      <c r="AQ1329" s="40">
        <f>AQ1328*(1-IF(B1328&gt;=in_marketplace_from,d_hz_two_wheeler*G1328,0))</f>
        <v/>
      </c>
      <c r="AR1329" s="46">
        <f>AQ1329*IF(B1329&gt;=in_marketplace_from,d_hz_two_wheeler*G1329,0)</f>
        <v/>
      </c>
      <c r="AS1329" s="14">
        <f>F1329*AR1329*in_two_wheeler_ticket*in_two_wheeler_comm*in_ins_partner_share+F1329*in_two_wheeler_ticket*in_two_wheeler_comm*in_ins_partner_share*(in_two_wheeler_renew^1*SUMIFS(AR1304:AR1335,B1304:B1335,B1329-12)+in_two_wheeler_renew^2*SUMIFS(AR1304:AR1335,B1304:B1335,B1329-24)+in_two_wheeler_renew^3*SUMIFS(AR1304:AR1335,B1304:B1335,B1329-36)+in_two_wheeler_renew^4*SUMIFS(AR1304:AR1335,B1304:B1335,B1329-48))</f>
        <v/>
      </c>
      <c r="AT1329" s="40">
        <f>AT1328*(1-IF(B1328&gt;=in_marketplace_from,d_hz_device*G1328,0))</f>
        <v/>
      </c>
      <c r="AU1329" s="14">
        <f>F1329*AT1329*IF(B1329&gt;=in_marketplace_from,d_hz_device*G1329,0)*in_device_ticket*in_device_comm*in_ins_partner_share</f>
        <v/>
      </c>
      <c r="AV1329" s="40">
        <f>AV1328*(1-IF(B1328&gt;=in_marketplace_from,d_hz_shop*G1328,0))</f>
        <v/>
      </c>
      <c r="AW1329" s="46">
        <f>AV1329*IF(B1329&gt;=in_marketplace_from,d_hz_shop*G1329,0)</f>
        <v/>
      </c>
      <c r="AX1329" s="14">
        <f>F1329*AW1329*in_shop_ticket*in_shop_comm*in_ins_partner_share+F1329*in_shop_ticket*in_shop_renew_comm*in_ins_partner_share*(in_shop_renew^1*SUMIFS(AW1304:AW1335,B1304:B1335,B1329-12)+in_shop_renew^2*SUMIFS(AW1304:AW1335,B1304:B1335,B1329-24)+in_shop_renew^3*SUMIFS(AW1304:AW1335,B1304:B1335,B1329-36)+in_shop_renew^4*SUMIFS(AW1304:AW1335,B1304:B1335,B1329-48))</f>
        <v/>
      </c>
      <c r="AY1329" s="40">
        <f>AY1328*(1-IF(B1328&gt;=in_marketplace_from,d_hz_sip*G1328,0))</f>
        <v/>
      </c>
      <c r="AZ1329" s="40">
        <f>AZ1328*d_rho_sip+AY1329*IF(B1329&gt;=in_marketplace_from,d_hz_sip*G1329,0)</f>
        <v/>
      </c>
      <c r="BA1329" s="40">
        <f>d_rho_sip*(BA1328+AZ1328)</f>
        <v/>
      </c>
      <c r="BB1329" s="14">
        <f>F1329*in_sip_ticket*(BA1329+0.5*AZ1329)*in_sip_comm/12</f>
        <v/>
      </c>
      <c r="BC1329" s="40">
        <f>BC1328*(1-IF(B1328&gt;=in_marketplace_from,d_hz_choti*G1328,0))</f>
        <v/>
      </c>
      <c r="BD1329" s="46">
        <f>BC1329*IF(B1329&gt;=in_marketplace_from,d_hz_choti*G1329,0)</f>
        <v/>
      </c>
      <c r="BE1329" s="14">
        <f>F1329*SUMIFS(BD1304:BD1335,B1304:B1335,B1329-in_choti_months)*in_choti_renew*in_choti_ticket</f>
        <v/>
      </c>
      <c r="BF1329" s="40">
        <f>BF1328*(1-IF(B1328&gt;=in_marketplace_from,d_hz_nps*G1328,0))</f>
        <v/>
      </c>
      <c r="BG1329" s="14">
        <f>F1329*BF1329*IF(B1329&gt;=in_marketplace_from,d_hz_nps*G1329,0)*in_nps_ticket*in_nps_comm</f>
        <v/>
      </c>
      <c r="BH1329" s="40">
        <f>BH1328*(1-IF(B1328&gt;=in_marketplace_from,d_hz_gold*G1328,0))</f>
        <v/>
      </c>
      <c r="BI1329" s="40">
        <f>BI1328*d_rho_gold+BH1329*IF(B1329&gt;=in_marketplace_from,d_hz_gold*G1329,0)</f>
        <v/>
      </c>
      <c r="BJ1329" s="14">
        <f>F1329*BI1329*in_gold_ticket*in_gold_comm</f>
        <v/>
      </c>
      <c r="BK1329" s="40">
        <f>BK1328*(1-IF(B1328&gt;=in_marketplace_from,d_hz_fd*G1328,0))</f>
        <v/>
      </c>
      <c r="BL1329" s="14">
        <f>F1329*BK1329*IF(B1329&gt;=in_marketplace_from,d_hz_fd*G1329,0)*in_fd_ticket*in_fd_comm</f>
        <v/>
      </c>
      <c r="BM1329" s="40">
        <f>BM1328*(1-IF(B1328&gt;=in_marketplace_from,d_hz_recharge*G1328,0))</f>
        <v/>
      </c>
      <c r="BN1329" s="40">
        <f>BN1328*d_rho_recharge+BM1329*IF(B1329&gt;=in_marketplace_from,d_hz_recharge*G1329,0)</f>
        <v/>
      </c>
      <c r="BO1329" s="14">
        <f>F1329*BN1329*in_recharge_ticket*in_recharge_comm/12</f>
        <v/>
      </c>
      <c r="BP1329" s="40">
        <f>BP1328*(1-IF(B1328&gt;=in_marketplace_from,d_hz_bills*G1328,0))</f>
        <v/>
      </c>
      <c r="BQ1329" s="40">
        <f>BQ1328*d_rho_bills+BP1329*IF(B1329&gt;=in_marketplace_from,d_hz_bills*G1329,0)</f>
        <v/>
      </c>
      <c r="BR1329" s="14">
        <f>F1329*BQ1329*in_bills_ticket*in_bills_comm/12</f>
        <v/>
      </c>
      <c r="BS1329" s="40">
        <f>BS1328*(1-IF(B1328&gt;=in_marketplace_from,d_hz_loan_gold*G1328,0))</f>
        <v/>
      </c>
      <c r="BT1329" s="14">
        <f>F1329*BS1329*IF(B1329&gt;=in_marketplace_from,d_hz_loan_gold*G1329,0)*in_loan_gold_ticket*in_loan_gold_comm</f>
        <v/>
      </c>
      <c r="BU1329" s="40">
        <f>BU1328*(1-IF(B1328&gt;=in_marketplace_from,d_hz_loan_cd*G1328,0))</f>
        <v/>
      </c>
      <c r="BV1329" s="14">
        <f>F1329*BU1329*IF(B1329&gt;=in_marketplace_from,d_hz_loan_cd*G1329,0)*in_loan_cd_ticket*in_loan_cd_comm</f>
        <v/>
      </c>
      <c r="BW1329" s="40">
        <f>BW1328*(1-IF(B1328&gt;=in_marketplace_from,d_hz_loan_vehicle*G1328,0))</f>
        <v/>
      </c>
      <c r="BX1329" s="14">
        <f>F1329*BW1329*IF(B1329&gt;=in_marketplace_from,d_hz_loan_vehicle*G1329,0)*in_loan_vehicle_ticket*in_loan_vehicle_comm</f>
        <v/>
      </c>
      <c r="BY1329" s="40">
        <f>BY1328*(1-IF(B1328&gt;=in_marketplace_from,d_hz_loan_home*G1328,0)*BZ1328)</f>
        <v/>
      </c>
      <c r="BZ1329" s="11">
        <f>MIN(in_approval_cap,in_loan_home_approval*INDEX('Age profile'!$O$2:$O$61,B1329)*(1+in_approval_growth)^(D1329-1))</f>
        <v/>
      </c>
      <c r="CA1329" s="14">
        <f>F1329*BY1329*IF(B1329&gt;=in_marketplace_from,d_hz_loan_home*G1329,0)*BZ1329*in_loan_home_ticket*in_loan_home_comm</f>
        <v/>
      </c>
      <c r="CB1329" s="40">
        <f>CB1328*(1-IF(B1328&gt;=in_marketplace_from,d_hz_loan_lap*G1328,0)*CC1328)</f>
        <v/>
      </c>
      <c r="CC1329" s="11">
        <f>MIN(in_approval_cap,in_loan_lap_approval*INDEX('Age profile'!$O$2:$O$61,B1329)*(1+in_approval_growth)^(D1329-1))</f>
        <v/>
      </c>
      <c r="CD1329" s="14">
        <f>F1329*CB1329*IF(B1329&gt;=in_marketplace_from,d_hz_loan_lap*G1329,0)*CC1329*in_loan_lap_ticket*in_loan_lap_comm</f>
        <v/>
      </c>
      <c r="CE1329" s="14">
        <f>AA1329+AB1329+AC1329+AD1329+AG1329+AJ1329+AM1329+AP1329+AS1329+AU1329+AX1329+BB1329+BE1329+BG1329+BJ1329+BL1329+BO1329+BR1329+BT1329+BV1329+BX1329+CA1329+CD1329</f>
        <v/>
      </c>
    </row>
    <row r="1330">
      <c r="A1330" s="39" t="n">
        <v>29</v>
      </c>
      <c r="B1330" s="39" t="n">
        <v>27</v>
      </c>
      <c r="C1330" s="39">
        <f>A1330+B1330-1</f>
        <v/>
      </c>
      <c r="D1330" s="39">
        <f>INT((C1330-1)/12)+1</f>
        <v/>
      </c>
      <c r="E1330" s="44">
        <f>INDEX(Monthly!$B$2:$B$61,A1330)</f>
        <v/>
      </c>
      <c r="F1330" s="44">
        <f>E1330*INDEX('Age profile'!$B$2:$B$61,B1330)</f>
        <v/>
      </c>
      <c r="G1330" s="45">
        <f>MIN(in_takeup_cap,INDEX('Age profile'!$N$2:$N$61,B1330)*(1+in_takeup_growth)^(D1330-1))</f>
        <v/>
      </c>
      <c r="H1330" s="11">
        <f>MIN(in_approval_cap,in_approved_first*INDEX('Age profile'!$O$2:$O$61,B1330)*(1+in_approval_growth)^(D1330-1))</f>
        <v/>
      </c>
      <c r="I1330" s="45">
        <f>G1330*MIN(in_takeup_cap,INDEX('Age profile'!$O$2:$O$61,B1330)*(1+in_approval_growth)^(D1330-1))</f>
        <v/>
      </c>
      <c r="J1330" s="40">
        <f>(J1329-L1329)*F1330/F1329</f>
        <v/>
      </c>
      <c r="K1330" s="40">
        <f>(K1329-M1329)*F1330/F1329+SUMIFS(O1304:O1329,B1304:B1329,B1330-1-d_T)*F1330</f>
        <v/>
      </c>
      <c r="L1330" s="40">
        <f>IF(B1330&gt;=in_marketplace_from,J1330*d_hz*G1330*in_eligible*H1330,0)</f>
        <v/>
      </c>
      <c r="M1330" s="40">
        <f>IF(B1330&gt;=in_marketplace_from,K1330*d_hz*G1330*in_eligible*in_approved_repeat,0)</f>
        <v/>
      </c>
      <c r="N1330" s="40">
        <f>L1330+M1330</f>
        <v/>
      </c>
      <c r="O1330" s="46">
        <f>N1330/F1330</f>
        <v/>
      </c>
      <c r="P1330" s="40">
        <f>F1330-J1330-K1330</f>
        <v/>
      </c>
      <c r="Q1330" s="40">
        <f>IF(B1330&gt;=in_marketplace_from,(J1330+K1330)*d_hz*G1330,0)</f>
        <v/>
      </c>
      <c r="R1330" s="40">
        <f>SUMIFS(N1304:N1335,B1304:B1335,"&gt;="&amp;(B1330-d_T),B1304:B1335,"&lt;="&amp;(B1330-1))</f>
        <v/>
      </c>
      <c r="S1330" s="46">
        <f>(1-d_u)*S1329+IF(d_T&gt;in_topup_lag,SUMIFS(O1304:O1335,B1304:B1335,B1330-in_topup_lag)-d_udrop*SUMIFS(O1304:O1335,B1304:B1335,B1330-d_T),0)</f>
        <v/>
      </c>
      <c r="T1330" s="40">
        <f>F1330*d_u*S1330</f>
        <v/>
      </c>
      <c r="U1330" s="9">
        <f>L1330*in_ticket+M1330*d_rep_ticket</f>
        <v/>
      </c>
      <c r="V1330" s="9">
        <f>U1330+T1330*d_topup_amt</f>
        <v/>
      </c>
      <c r="W1330" s="40">
        <f>N1330+T1330*d_topup_ratio</f>
        <v/>
      </c>
      <c r="X1330" s="40">
        <f>SUMIFS(W1304:W1335,B1304:B1335,B1330-in_dpd_lag)*d_cured</f>
        <v/>
      </c>
      <c r="Y1330" s="40">
        <f>SUMIFS(W1304:W1335,B1304:B1335,B1330-in_rec_lag)*d_recd</f>
        <v/>
      </c>
      <c r="Z1330" s="40">
        <f>IF(AND(B1330&gt;=in_marketplace_from,B1330&lt;in_marketplace_from+in_card_months),in_card_share/in_card_months*F1330*I1330,IF(AND(B1330&gt;=in_marketplace_from+in_card_months,B1330&lt;in_marketplace_from+2*in_card_months),in_card_share*d_card_rem/in_card_months*F1330*MIN(in_takeup_cap,(1+in_takeup_growth)^(D1330-1))*MIN(in_takeup_cap,(1+in_approval_growth)^(D1330-1)),0))</f>
        <v/>
      </c>
      <c r="AA1330" s="14">
        <f>V1330*in_fee*(1-in_taken_back)</f>
        <v/>
      </c>
      <c r="AB1330" s="14">
        <f>SUMIFS(W1304:W1335,B1304:B1335,B1330-in_dpd_lag)*d_dpd</f>
        <v/>
      </c>
      <c r="AC1330" s="14">
        <f>SUMIFS(W1304:W1335,B1304:B1335,B1330-in_rec_lag)*d_rec</f>
        <v/>
      </c>
      <c r="AD1330" s="14">
        <f>Z1330*in_card_fee</f>
        <v/>
      </c>
      <c r="AE1330" s="40">
        <f>AE1329*(1-IF(B1329&gt;=in_marketplace_from,d_hz_hlth_small*G1329,0))</f>
        <v/>
      </c>
      <c r="AF1330" s="46">
        <f>AE1330*IF(B1330&gt;=in_marketplace_from,d_hz_hlth_small*G1330,0)</f>
        <v/>
      </c>
      <c r="AG1330" s="14">
        <f>F1330*AF1330*in_hlth_small_ticket*in_hlth_small_comm*in_ins_partner_share+F1330*in_hlth_small_ticket*in_hlth_small_renew_comm*in_ins_partner_share*(in_hlth_small_renew^1*SUMIFS(AF1304:AF1335,B1304:B1335,B1330-12)+in_hlth_small_renew^2*SUMIFS(AF1304:AF1335,B1304:B1335,B1330-24)+in_hlth_small_renew^3*SUMIFS(AF1304:AF1335,B1304:B1335,B1330-36)+in_hlth_small_renew^4*SUMIFS(AF1304:AF1335,B1304:B1335,B1330-48))</f>
        <v/>
      </c>
      <c r="AH1330" s="40">
        <f>AH1329*(1-IF(B1329&gt;=in_marketplace_from,d_hz_hlth_family*G1329,0))</f>
        <v/>
      </c>
      <c r="AI1330" s="46">
        <f>AH1330*IF(B1330&gt;=in_marketplace_from,d_hz_hlth_family*G1330,0)</f>
        <v/>
      </c>
      <c r="AJ1330" s="14">
        <f>F1330*AI1330*in_hlth_family_ticket*in_hlth_family_comm*in_ins_partner_share+F1330*in_hlth_family_ticket*in_hlth_family_renew_comm*in_ins_partner_share*(in_hlth_family_renew^1*SUMIFS(AI1304:AI1335,B1304:B1335,B1330-12)+in_hlth_family_renew^2*SUMIFS(AI1304:AI1335,B1304:B1335,B1330-24)+in_hlth_family_renew^3*SUMIFS(AI1304:AI1335,B1304:B1335,B1330-36)+in_hlth_family_renew^4*SUMIFS(AI1304:AI1335,B1304:B1335,B1330-48))</f>
        <v/>
      </c>
      <c r="AK1330" s="40">
        <f>AK1329*(1-IF(B1329&gt;=in_marketplace_from,d_hz_life_term*G1329,0))</f>
        <v/>
      </c>
      <c r="AL1330" s="46">
        <f>AK1330*IF(B1330&gt;=in_marketplace_from,d_hz_life_term*G1330,0)</f>
        <v/>
      </c>
      <c r="AM1330" s="14">
        <f>F1330*AL1330*in_life_term_ticket*in_life_term_comm*in_ins_partner_share+F1330*in_life_term_ticket*in_life_term_renew_comm*in_ins_partner_share*(in_life_term_renew^1*SUMIFS(AL1304:AL1335,B1304:B1335,B1330-12)+in_life_term_renew^2*SUMIFS(AL1304:AL1335,B1304:B1335,B1330-24)+in_life_term_renew^3*SUMIFS(AL1304:AL1335,B1304:B1335,B1330-36)+in_life_term_renew^4*SUMIFS(AL1304:AL1335,B1304:B1335,B1330-48))</f>
        <v/>
      </c>
      <c r="AN1330" s="40">
        <f>AN1329*(1-IF(B1329&gt;=in_marketplace_from,d_hz_accident*G1329,0))</f>
        <v/>
      </c>
      <c r="AO1330" s="46">
        <f>AN1330*IF(B1330&gt;=in_marketplace_from,d_hz_accident*G1330,0)</f>
        <v/>
      </c>
      <c r="AP1330" s="14">
        <f>F1330*AO1330*in_accident_ticket*in_accident_comm*in_ins_partner_share+F1330*in_accident_ticket*in_accident_renew_comm*in_ins_partner_share*(in_accident_renew^1*SUMIFS(AO1304:AO1335,B1304:B1335,B1330-12)+in_accident_renew^2*SUMIFS(AO1304:AO1335,B1304:B1335,B1330-24)+in_accident_renew^3*SUMIFS(AO1304:AO1335,B1304:B1335,B1330-36)+in_accident_renew^4*SUMIFS(AO1304:AO1335,B1304:B1335,B1330-48))</f>
        <v/>
      </c>
      <c r="AQ1330" s="40">
        <f>AQ1329*(1-IF(B1329&gt;=in_marketplace_from,d_hz_two_wheeler*G1329,0))</f>
        <v/>
      </c>
      <c r="AR1330" s="46">
        <f>AQ1330*IF(B1330&gt;=in_marketplace_from,d_hz_two_wheeler*G1330,0)</f>
        <v/>
      </c>
      <c r="AS1330" s="14">
        <f>F1330*AR1330*in_two_wheeler_ticket*in_two_wheeler_comm*in_ins_partner_share+F1330*in_two_wheeler_ticket*in_two_wheeler_comm*in_ins_partner_share*(in_two_wheeler_renew^1*SUMIFS(AR1304:AR1335,B1304:B1335,B1330-12)+in_two_wheeler_renew^2*SUMIFS(AR1304:AR1335,B1304:B1335,B1330-24)+in_two_wheeler_renew^3*SUMIFS(AR1304:AR1335,B1304:B1335,B1330-36)+in_two_wheeler_renew^4*SUMIFS(AR1304:AR1335,B1304:B1335,B1330-48))</f>
        <v/>
      </c>
      <c r="AT1330" s="40">
        <f>AT1329*(1-IF(B1329&gt;=in_marketplace_from,d_hz_device*G1329,0))</f>
        <v/>
      </c>
      <c r="AU1330" s="14">
        <f>F1330*AT1330*IF(B1330&gt;=in_marketplace_from,d_hz_device*G1330,0)*in_device_ticket*in_device_comm*in_ins_partner_share</f>
        <v/>
      </c>
      <c r="AV1330" s="40">
        <f>AV1329*(1-IF(B1329&gt;=in_marketplace_from,d_hz_shop*G1329,0))</f>
        <v/>
      </c>
      <c r="AW1330" s="46">
        <f>AV1330*IF(B1330&gt;=in_marketplace_from,d_hz_shop*G1330,0)</f>
        <v/>
      </c>
      <c r="AX1330" s="14">
        <f>F1330*AW1330*in_shop_ticket*in_shop_comm*in_ins_partner_share+F1330*in_shop_ticket*in_shop_renew_comm*in_ins_partner_share*(in_shop_renew^1*SUMIFS(AW1304:AW1335,B1304:B1335,B1330-12)+in_shop_renew^2*SUMIFS(AW1304:AW1335,B1304:B1335,B1330-24)+in_shop_renew^3*SUMIFS(AW1304:AW1335,B1304:B1335,B1330-36)+in_shop_renew^4*SUMIFS(AW1304:AW1335,B1304:B1335,B1330-48))</f>
        <v/>
      </c>
      <c r="AY1330" s="40">
        <f>AY1329*(1-IF(B1329&gt;=in_marketplace_from,d_hz_sip*G1329,0))</f>
        <v/>
      </c>
      <c r="AZ1330" s="40">
        <f>AZ1329*d_rho_sip+AY1330*IF(B1330&gt;=in_marketplace_from,d_hz_sip*G1330,0)</f>
        <v/>
      </c>
      <c r="BA1330" s="40">
        <f>d_rho_sip*(BA1329+AZ1329)</f>
        <v/>
      </c>
      <c r="BB1330" s="14">
        <f>F1330*in_sip_ticket*(BA1330+0.5*AZ1330)*in_sip_comm/12</f>
        <v/>
      </c>
      <c r="BC1330" s="40">
        <f>BC1329*(1-IF(B1329&gt;=in_marketplace_from,d_hz_choti*G1329,0))</f>
        <v/>
      </c>
      <c r="BD1330" s="46">
        <f>BC1330*IF(B1330&gt;=in_marketplace_from,d_hz_choti*G1330,0)</f>
        <v/>
      </c>
      <c r="BE1330" s="14">
        <f>F1330*SUMIFS(BD1304:BD1335,B1304:B1335,B1330-in_choti_months)*in_choti_renew*in_choti_ticket</f>
        <v/>
      </c>
      <c r="BF1330" s="40">
        <f>BF1329*(1-IF(B1329&gt;=in_marketplace_from,d_hz_nps*G1329,0))</f>
        <v/>
      </c>
      <c r="BG1330" s="14">
        <f>F1330*BF1330*IF(B1330&gt;=in_marketplace_from,d_hz_nps*G1330,0)*in_nps_ticket*in_nps_comm</f>
        <v/>
      </c>
      <c r="BH1330" s="40">
        <f>BH1329*(1-IF(B1329&gt;=in_marketplace_from,d_hz_gold*G1329,0))</f>
        <v/>
      </c>
      <c r="BI1330" s="40">
        <f>BI1329*d_rho_gold+BH1330*IF(B1330&gt;=in_marketplace_from,d_hz_gold*G1330,0)</f>
        <v/>
      </c>
      <c r="BJ1330" s="14">
        <f>F1330*BI1330*in_gold_ticket*in_gold_comm</f>
        <v/>
      </c>
      <c r="BK1330" s="40">
        <f>BK1329*(1-IF(B1329&gt;=in_marketplace_from,d_hz_fd*G1329,0))</f>
        <v/>
      </c>
      <c r="BL1330" s="14">
        <f>F1330*BK1330*IF(B1330&gt;=in_marketplace_from,d_hz_fd*G1330,0)*in_fd_ticket*in_fd_comm</f>
        <v/>
      </c>
      <c r="BM1330" s="40">
        <f>BM1329*(1-IF(B1329&gt;=in_marketplace_from,d_hz_recharge*G1329,0))</f>
        <v/>
      </c>
      <c r="BN1330" s="40">
        <f>BN1329*d_rho_recharge+BM1330*IF(B1330&gt;=in_marketplace_from,d_hz_recharge*G1330,0)</f>
        <v/>
      </c>
      <c r="BO1330" s="14">
        <f>F1330*BN1330*in_recharge_ticket*in_recharge_comm/12</f>
        <v/>
      </c>
      <c r="BP1330" s="40">
        <f>BP1329*(1-IF(B1329&gt;=in_marketplace_from,d_hz_bills*G1329,0))</f>
        <v/>
      </c>
      <c r="BQ1330" s="40">
        <f>BQ1329*d_rho_bills+BP1330*IF(B1330&gt;=in_marketplace_from,d_hz_bills*G1330,0)</f>
        <v/>
      </c>
      <c r="BR1330" s="14">
        <f>F1330*BQ1330*in_bills_ticket*in_bills_comm/12</f>
        <v/>
      </c>
      <c r="BS1330" s="40">
        <f>BS1329*(1-IF(B1329&gt;=in_marketplace_from,d_hz_loan_gold*G1329,0))</f>
        <v/>
      </c>
      <c r="BT1330" s="14">
        <f>F1330*BS1330*IF(B1330&gt;=in_marketplace_from,d_hz_loan_gold*G1330,0)*in_loan_gold_ticket*in_loan_gold_comm</f>
        <v/>
      </c>
      <c r="BU1330" s="40">
        <f>BU1329*(1-IF(B1329&gt;=in_marketplace_from,d_hz_loan_cd*G1329,0))</f>
        <v/>
      </c>
      <c r="BV1330" s="14">
        <f>F1330*BU1330*IF(B1330&gt;=in_marketplace_from,d_hz_loan_cd*G1330,0)*in_loan_cd_ticket*in_loan_cd_comm</f>
        <v/>
      </c>
      <c r="BW1330" s="40">
        <f>BW1329*(1-IF(B1329&gt;=in_marketplace_from,d_hz_loan_vehicle*G1329,0))</f>
        <v/>
      </c>
      <c r="BX1330" s="14">
        <f>F1330*BW1330*IF(B1330&gt;=in_marketplace_from,d_hz_loan_vehicle*G1330,0)*in_loan_vehicle_ticket*in_loan_vehicle_comm</f>
        <v/>
      </c>
      <c r="BY1330" s="40">
        <f>BY1329*(1-IF(B1329&gt;=in_marketplace_from,d_hz_loan_home*G1329,0)*BZ1329)</f>
        <v/>
      </c>
      <c r="BZ1330" s="11">
        <f>MIN(in_approval_cap,in_loan_home_approval*INDEX('Age profile'!$O$2:$O$61,B1330)*(1+in_approval_growth)^(D1330-1))</f>
        <v/>
      </c>
      <c r="CA1330" s="14">
        <f>F1330*BY1330*IF(B1330&gt;=in_marketplace_from,d_hz_loan_home*G1330,0)*BZ1330*in_loan_home_ticket*in_loan_home_comm</f>
        <v/>
      </c>
      <c r="CB1330" s="40">
        <f>CB1329*(1-IF(B1329&gt;=in_marketplace_from,d_hz_loan_lap*G1329,0)*CC1329)</f>
        <v/>
      </c>
      <c r="CC1330" s="11">
        <f>MIN(in_approval_cap,in_loan_lap_approval*INDEX('Age profile'!$O$2:$O$61,B1330)*(1+in_approval_growth)^(D1330-1))</f>
        <v/>
      </c>
      <c r="CD1330" s="14">
        <f>F1330*CB1330*IF(B1330&gt;=in_marketplace_from,d_hz_loan_lap*G1330,0)*CC1330*in_loan_lap_ticket*in_loan_lap_comm</f>
        <v/>
      </c>
      <c r="CE1330" s="14">
        <f>AA1330+AB1330+AC1330+AD1330+AG1330+AJ1330+AM1330+AP1330+AS1330+AU1330+AX1330+BB1330+BE1330+BG1330+BJ1330+BL1330+BO1330+BR1330+BT1330+BV1330+BX1330+CA1330+CD1330</f>
        <v/>
      </c>
    </row>
    <row r="1331">
      <c r="A1331" s="39" t="n">
        <v>29</v>
      </c>
      <c r="B1331" s="39" t="n">
        <v>28</v>
      </c>
      <c r="C1331" s="39">
        <f>A1331+B1331-1</f>
        <v/>
      </c>
      <c r="D1331" s="39">
        <f>INT((C1331-1)/12)+1</f>
        <v/>
      </c>
      <c r="E1331" s="44">
        <f>INDEX(Monthly!$B$2:$B$61,A1331)</f>
        <v/>
      </c>
      <c r="F1331" s="44">
        <f>E1331*INDEX('Age profile'!$B$2:$B$61,B1331)</f>
        <v/>
      </c>
      <c r="G1331" s="45">
        <f>MIN(in_takeup_cap,INDEX('Age profile'!$N$2:$N$61,B1331)*(1+in_takeup_growth)^(D1331-1))</f>
        <v/>
      </c>
      <c r="H1331" s="11">
        <f>MIN(in_approval_cap,in_approved_first*INDEX('Age profile'!$O$2:$O$61,B1331)*(1+in_approval_growth)^(D1331-1))</f>
        <v/>
      </c>
      <c r="I1331" s="45">
        <f>G1331*MIN(in_takeup_cap,INDEX('Age profile'!$O$2:$O$61,B1331)*(1+in_approval_growth)^(D1331-1))</f>
        <v/>
      </c>
      <c r="J1331" s="40">
        <f>(J1330-L1330)*F1331/F1330</f>
        <v/>
      </c>
      <c r="K1331" s="40">
        <f>(K1330-M1330)*F1331/F1330+SUMIFS(O1304:O1330,B1304:B1330,B1331-1-d_T)*F1331</f>
        <v/>
      </c>
      <c r="L1331" s="40">
        <f>IF(B1331&gt;=in_marketplace_from,J1331*d_hz*G1331*in_eligible*H1331,0)</f>
        <v/>
      </c>
      <c r="M1331" s="40">
        <f>IF(B1331&gt;=in_marketplace_from,K1331*d_hz*G1331*in_eligible*in_approved_repeat,0)</f>
        <v/>
      </c>
      <c r="N1331" s="40">
        <f>L1331+M1331</f>
        <v/>
      </c>
      <c r="O1331" s="46">
        <f>N1331/F1331</f>
        <v/>
      </c>
      <c r="P1331" s="40">
        <f>F1331-J1331-K1331</f>
        <v/>
      </c>
      <c r="Q1331" s="40">
        <f>IF(B1331&gt;=in_marketplace_from,(J1331+K1331)*d_hz*G1331,0)</f>
        <v/>
      </c>
      <c r="R1331" s="40">
        <f>SUMIFS(N1304:N1335,B1304:B1335,"&gt;="&amp;(B1331-d_T),B1304:B1335,"&lt;="&amp;(B1331-1))</f>
        <v/>
      </c>
      <c r="S1331" s="46">
        <f>(1-d_u)*S1330+IF(d_T&gt;in_topup_lag,SUMIFS(O1304:O1335,B1304:B1335,B1331-in_topup_lag)-d_udrop*SUMIFS(O1304:O1335,B1304:B1335,B1331-d_T),0)</f>
        <v/>
      </c>
      <c r="T1331" s="40">
        <f>F1331*d_u*S1331</f>
        <v/>
      </c>
      <c r="U1331" s="9">
        <f>L1331*in_ticket+M1331*d_rep_ticket</f>
        <v/>
      </c>
      <c r="V1331" s="9">
        <f>U1331+T1331*d_topup_amt</f>
        <v/>
      </c>
      <c r="W1331" s="40">
        <f>N1331+T1331*d_topup_ratio</f>
        <v/>
      </c>
      <c r="X1331" s="40">
        <f>SUMIFS(W1304:W1335,B1304:B1335,B1331-in_dpd_lag)*d_cured</f>
        <v/>
      </c>
      <c r="Y1331" s="40">
        <f>SUMIFS(W1304:W1335,B1304:B1335,B1331-in_rec_lag)*d_recd</f>
        <v/>
      </c>
      <c r="Z1331" s="40">
        <f>IF(AND(B1331&gt;=in_marketplace_from,B1331&lt;in_marketplace_from+in_card_months),in_card_share/in_card_months*F1331*I1331,IF(AND(B1331&gt;=in_marketplace_from+in_card_months,B1331&lt;in_marketplace_from+2*in_card_months),in_card_share*d_card_rem/in_card_months*F1331*MIN(in_takeup_cap,(1+in_takeup_growth)^(D1331-1))*MIN(in_takeup_cap,(1+in_approval_growth)^(D1331-1)),0))</f>
        <v/>
      </c>
      <c r="AA1331" s="14">
        <f>V1331*in_fee*(1-in_taken_back)</f>
        <v/>
      </c>
      <c r="AB1331" s="14">
        <f>SUMIFS(W1304:W1335,B1304:B1335,B1331-in_dpd_lag)*d_dpd</f>
        <v/>
      </c>
      <c r="AC1331" s="14">
        <f>SUMIFS(W1304:W1335,B1304:B1335,B1331-in_rec_lag)*d_rec</f>
        <v/>
      </c>
      <c r="AD1331" s="14">
        <f>Z1331*in_card_fee</f>
        <v/>
      </c>
      <c r="AE1331" s="40">
        <f>AE1330*(1-IF(B1330&gt;=in_marketplace_from,d_hz_hlth_small*G1330,0))</f>
        <v/>
      </c>
      <c r="AF1331" s="46">
        <f>AE1331*IF(B1331&gt;=in_marketplace_from,d_hz_hlth_small*G1331,0)</f>
        <v/>
      </c>
      <c r="AG1331" s="14">
        <f>F1331*AF1331*in_hlth_small_ticket*in_hlth_small_comm*in_ins_partner_share+F1331*in_hlth_small_ticket*in_hlth_small_renew_comm*in_ins_partner_share*(in_hlth_small_renew^1*SUMIFS(AF1304:AF1335,B1304:B1335,B1331-12)+in_hlth_small_renew^2*SUMIFS(AF1304:AF1335,B1304:B1335,B1331-24)+in_hlth_small_renew^3*SUMIFS(AF1304:AF1335,B1304:B1335,B1331-36)+in_hlth_small_renew^4*SUMIFS(AF1304:AF1335,B1304:B1335,B1331-48))</f>
        <v/>
      </c>
      <c r="AH1331" s="40">
        <f>AH1330*(1-IF(B1330&gt;=in_marketplace_from,d_hz_hlth_family*G1330,0))</f>
        <v/>
      </c>
      <c r="AI1331" s="46">
        <f>AH1331*IF(B1331&gt;=in_marketplace_from,d_hz_hlth_family*G1331,0)</f>
        <v/>
      </c>
      <c r="AJ1331" s="14">
        <f>F1331*AI1331*in_hlth_family_ticket*in_hlth_family_comm*in_ins_partner_share+F1331*in_hlth_family_ticket*in_hlth_family_renew_comm*in_ins_partner_share*(in_hlth_family_renew^1*SUMIFS(AI1304:AI1335,B1304:B1335,B1331-12)+in_hlth_family_renew^2*SUMIFS(AI1304:AI1335,B1304:B1335,B1331-24)+in_hlth_family_renew^3*SUMIFS(AI1304:AI1335,B1304:B1335,B1331-36)+in_hlth_family_renew^4*SUMIFS(AI1304:AI1335,B1304:B1335,B1331-48))</f>
        <v/>
      </c>
      <c r="AK1331" s="40">
        <f>AK1330*(1-IF(B1330&gt;=in_marketplace_from,d_hz_life_term*G1330,0))</f>
        <v/>
      </c>
      <c r="AL1331" s="46">
        <f>AK1331*IF(B1331&gt;=in_marketplace_from,d_hz_life_term*G1331,0)</f>
        <v/>
      </c>
      <c r="AM1331" s="14">
        <f>F1331*AL1331*in_life_term_ticket*in_life_term_comm*in_ins_partner_share+F1331*in_life_term_ticket*in_life_term_renew_comm*in_ins_partner_share*(in_life_term_renew^1*SUMIFS(AL1304:AL1335,B1304:B1335,B1331-12)+in_life_term_renew^2*SUMIFS(AL1304:AL1335,B1304:B1335,B1331-24)+in_life_term_renew^3*SUMIFS(AL1304:AL1335,B1304:B1335,B1331-36)+in_life_term_renew^4*SUMIFS(AL1304:AL1335,B1304:B1335,B1331-48))</f>
        <v/>
      </c>
      <c r="AN1331" s="40">
        <f>AN1330*(1-IF(B1330&gt;=in_marketplace_from,d_hz_accident*G1330,0))</f>
        <v/>
      </c>
      <c r="AO1331" s="46">
        <f>AN1331*IF(B1331&gt;=in_marketplace_from,d_hz_accident*G1331,0)</f>
        <v/>
      </c>
      <c r="AP1331" s="14">
        <f>F1331*AO1331*in_accident_ticket*in_accident_comm*in_ins_partner_share+F1331*in_accident_ticket*in_accident_renew_comm*in_ins_partner_share*(in_accident_renew^1*SUMIFS(AO1304:AO1335,B1304:B1335,B1331-12)+in_accident_renew^2*SUMIFS(AO1304:AO1335,B1304:B1335,B1331-24)+in_accident_renew^3*SUMIFS(AO1304:AO1335,B1304:B1335,B1331-36)+in_accident_renew^4*SUMIFS(AO1304:AO1335,B1304:B1335,B1331-48))</f>
        <v/>
      </c>
      <c r="AQ1331" s="40">
        <f>AQ1330*(1-IF(B1330&gt;=in_marketplace_from,d_hz_two_wheeler*G1330,0))</f>
        <v/>
      </c>
      <c r="AR1331" s="46">
        <f>AQ1331*IF(B1331&gt;=in_marketplace_from,d_hz_two_wheeler*G1331,0)</f>
        <v/>
      </c>
      <c r="AS1331" s="14">
        <f>F1331*AR1331*in_two_wheeler_ticket*in_two_wheeler_comm*in_ins_partner_share+F1331*in_two_wheeler_ticket*in_two_wheeler_comm*in_ins_partner_share*(in_two_wheeler_renew^1*SUMIFS(AR1304:AR1335,B1304:B1335,B1331-12)+in_two_wheeler_renew^2*SUMIFS(AR1304:AR1335,B1304:B1335,B1331-24)+in_two_wheeler_renew^3*SUMIFS(AR1304:AR1335,B1304:B1335,B1331-36)+in_two_wheeler_renew^4*SUMIFS(AR1304:AR1335,B1304:B1335,B1331-48))</f>
        <v/>
      </c>
      <c r="AT1331" s="40">
        <f>AT1330*(1-IF(B1330&gt;=in_marketplace_from,d_hz_device*G1330,0))</f>
        <v/>
      </c>
      <c r="AU1331" s="14">
        <f>F1331*AT1331*IF(B1331&gt;=in_marketplace_from,d_hz_device*G1331,0)*in_device_ticket*in_device_comm*in_ins_partner_share</f>
        <v/>
      </c>
      <c r="AV1331" s="40">
        <f>AV1330*(1-IF(B1330&gt;=in_marketplace_from,d_hz_shop*G1330,0))</f>
        <v/>
      </c>
      <c r="AW1331" s="46">
        <f>AV1331*IF(B1331&gt;=in_marketplace_from,d_hz_shop*G1331,0)</f>
        <v/>
      </c>
      <c r="AX1331" s="14">
        <f>F1331*AW1331*in_shop_ticket*in_shop_comm*in_ins_partner_share+F1331*in_shop_ticket*in_shop_renew_comm*in_ins_partner_share*(in_shop_renew^1*SUMIFS(AW1304:AW1335,B1304:B1335,B1331-12)+in_shop_renew^2*SUMIFS(AW1304:AW1335,B1304:B1335,B1331-24)+in_shop_renew^3*SUMIFS(AW1304:AW1335,B1304:B1335,B1331-36)+in_shop_renew^4*SUMIFS(AW1304:AW1335,B1304:B1335,B1331-48))</f>
        <v/>
      </c>
      <c r="AY1331" s="40">
        <f>AY1330*(1-IF(B1330&gt;=in_marketplace_from,d_hz_sip*G1330,0))</f>
        <v/>
      </c>
      <c r="AZ1331" s="40">
        <f>AZ1330*d_rho_sip+AY1331*IF(B1331&gt;=in_marketplace_from,d_hz_sip*G1331,0)</f>
        <v/>
      </c>
      <c r="BA1331" s="40">
        <f>d_rho_sip*(BA1330+AZ1330)</f>
        <v/>
      </c>
      <c r="BB1331" s="14">
        <f>F1331*in_sip_ticket*(BA1331+0.5*AZ1331)*in_sip_comm/12</f>
        <v/>
      </c>
      <c r="BC1331" s="40">
        <f>BC1330*(1-IF(B1330&gt;=in_marketplace_from,d_hz_choti*G1330,0))</f>
        <v/>
      </c>
      <c r="BD1331" s="46">
        <f>BC1331*IF(B1331&gt;=in_marketplace_from,d_hz_choti*G1331,0)</f>
        <v/>
      </c>
      <c r="BE1331" s="14">
        <f>F1331*SUMIFS(BD1304:BD1335,B1304:B1335,B1331-in_choti_months)*in_choti_renew*in_choti_ticket</f>
        <v/>
      </c>
      <c r="BF1331" s="40">
        <f>BF1330*(1-IF(B1330&gt;=in_marketplace_from,d_hz_nps*G1330,0))</f>
        <v/>
      </c>
      <c r="BG1331" s="14">
        <f>F1331*BF1331*IF(B1331&gt;=in_marketplace_from,d_hz_nps*G1331,0)*in_nps_ticket*in_nps_comm</f>
        <v/>
      </c>
      <c r="BH1331" s="40">
        <f>BH1330*(1-IF(B1330&gt;=in_marketplace_from,d_hz_gold*G1330,0))</f>
        <v/>
      </c>
      <c r="BI1331" s="40">
        <f>BI1330*d_rho_gold+BH1331*IF(B1331&gt;=in_marketplace_from,d_hz_gold*G1331,0)</f>
        <v/>
      </c>
      <c r="BJ1331" s="14">
        <f>F1331*BI1331*in_gold_ticket*in_gold_comm</f>
        <v/>
      </c>
      <c r="BK1331" s="40">
        <f>BK1330*(1-IF(B1330&gt;=in_marketplace_from,d_hz_fd*G1330,0))</f>
        <v/>
      </c>
      <c r="BL1331" s="14">
        <f>F1331*BK1331*IF(B1331&gt;=in_marketplace_from,d_hz_fd*G1331,0)*in_fd_ticket*in_fd_comm</f>
        <v/>
      </c>
      <c r="BM1331" s="40">
        <f>BM1330*(1-IF(B1330&gt;=in_marketplace_from,d_hz_recharge*G1330,0))</f>
        <v/>
      </c>
      <c r="BN1331" s="40">
        <f>BN1330*d_rho_recharge+BM1331*IF(B1331&gt;=in_marketplace_from,d_hz_recharge*G1331,0)</f>
        <v/>
      </c>
      <c r="BO1331" s="14">
        <f>F1331*BN1331*in_recharge_ticket*in_recharge_comm/12</f>
        <v/>
      </c>
      <c r="BP1331" s="40">
        <f>BP1330*(1-IF(B1330&gt;=in_marketplace_from,d_hz_bills*G1330,0))</f>
        <v/>
      </c>
      <c r="BQ1331" s="40">
        <f>BQ1330*d_rho_bills+BP1331*IF(B1331&gt;=in_marketplace_from,d_hz_bills*G1331,0)</f>
        <v/>
      </c>
      <c r="BR1331" s="14">
        <f>F1331*BQ1331*in_bills_ticket*in_bills_comm/12</f>
        <v/>
      </c>
      <c r="BS1331" s="40">
        <f>BS1330*(1-IF(B1330&gt;=in_marketplace_from,d_hz_loan_gold*G1330,0))</f>
        <v/>
      </c>
      <c r="BT1331" s="14">
        <f>F1331*BS1331*IF(B1331&gt;=in_marketplace_from,d_hz_loan_gold*G1331,0)*in_loan_gold_ticket*in_loan_gold_comm</f>
        <v/>
      </c>
      <c r="BU1331" s="40">
        <f>BU1330*(1-IF(B1330&gt;=in_marketplace_from,d_hz_loan_cd*G1330,0))</f>
        <v/>
      </c>
      <c r="BV1331" s="14">
        <f>F1331*BU1331*IF(B1331&gt;=in_marketplace_from,d_hz_loan_cd*G1331,0)*in_loan_cd_ticket*in_loan_cd_comm</f>
        <v/>
      </c>
      <c r="BW1331" s="40">
        <f>BW1330*(1-IF(B1330&gt;=in_marketplace_from,d_hz_loan_vehicle*G1330,0))</f>
        <v/>
      </c>
      <c r="BX1331" s="14">
        <f>F1331*BW1331*IF(B1331&gt;=in_marketplace_from,d_hz_loan_vehicle*G1331,0)*in_loan_vehicle_ticket*in_loan_vehicle_comm</f>
        <v/>
      </c>
      <c r="BY1331" s="40">
        <f>BY1330*(1-IF(B1330&gt;=in_marketplace_from,d_hz_loan_home*G1330,0)*BZ1330)</f>
        <v/>
      </c>
      <c r="BZ1331" s="11">
        <f>MIN(in_approval_cap,in_loan_home_approval*INDEX('Age profile'!$O$2:$O$61,B1331)*(1+in_approval_growth)^(D1331-1))</f>
        <v/>
      </c>
      <c r="CA1331" s="14">
        <f>F1331*BY1331*IF(B1331&gt;=in_marketplace_from,d_hz_loan_home*G1331,0)*BZ1331*in_loan_home_ticket*in_loan_home_comm</f>
        <v/>
      </c>
      <c r="CB1331" s="40">
        <f>CB1330*(1-IF(B1330&gt;=in_marketplace_from,d_hz_loan_lap*G1330,0)*CC1330)</f>
        <v/>
      </c>
      <c r="CC1331" s="11">
        <f>MIN(in_approval_cap,in_loan_lap_approval*INDEX('Age profile'!$O$2:$O$61,B1331)*(1+in_approval_growth)^(D1331-1))</f>
        <v/>
      </c>
      <c r="CD1331" s="14">
        <f>F1331*CB1331*IF(B1331&gt;=in_marketplace_from,d_hz_loan_lap*G1331,0)*CC1331*in_loan_lap_ticket*in_loan_lap_comm</f>
        <v/>
      </c>
      <c r="CE1331" s="14">
        <f>AA1331+AB1331+AC1331+AD1331+AG1331+AJ1331+AM1331+AP1331+AS1331+AU1331+AX1331+BB1331+BE1331+BG1331+BJ1331+BL1331+BO1331+BR1331+BT1331+BV1331+BX1331+CA1331+CD1331</f>
        <v/>
      </c>
    </row>
    <row r="1332">
      <c r="A1332" s="39" t="n">
        <v>29</v>
      </c>
      <c r="B1332" s="39" t="n">
        <v>29</v>
      </c>
      <c r="C1332" s="39">
        <f>A1332+B1332-1</f>
        <v/>
      </c>
      <c r="D1332" s="39">
        <f>INT((C1332-1)/12)+1</f>
        <v/>
      </c>
      <c r="E1332" s="44">
        <f>INDEX(Monthly!$B$2:$B$61,A1332)</f>
        <v/>
      </c>
      <c r="F1332" s="44">
        <f>E1332*INDEX('Age profile'!$B$2:$B$61,B1332)</f>
        <v/>
      </c>
      <c r="G1332" s="45">
        <f>MIN(in_takeup_cap,INDEX('Age profile'!$N$2:$N$61,B1332)*(1+in_takeup_growth)^(D1332-1))</f>
        <v/>
      </c>
      <c r="H1332" s="11">
        <f>MIN(in_approval_cap,in_approved_first*INDEX('Age profile'!$O$2:$O$61,B1332)*(1+in_approval_growth)^(D1332-1))</f>
        <v/>
      </c>
      <c r="I1332" s="45">
        <f>G1332*MIN(in_takeup_cap,INDEX('Age profile'!$O$2:$O$61,B1332)*(1+in_approval_growth)^(D1332-1))</f>
        <v/>
      </c>
      <c r="J1332" s="40">
        <f>(J1331-L1331)*F1332/F1331</f>
        <v/>
      </c>
      <c r="K1332" s="40">
        <f>(K1331-M1331)*F1332/F1331+SUMIFS(O1304:O1331,B1304:B1331,B1332-1-d_T)*F1332</f>
        <v/>
      </c>
      <c r="L1332" s="40">
        <f>IF(B1332&gt;=in_marketplace_from,J1332*d_hz*G1332*in_eligible*H1332,0)</f>
        <v/>
      </c>
      <c r="M1332" s="40">
        <f>IF(B1332&gt;=in_marketplace_from,K1332*d_hz*G1332*in_eligible*in_approved_repeat,0)</f>
        <v/>
      </c>
      <c r="N1332" s="40">
        <f>L1332+M1332</f>
        <v/>
      </c>
      <c r="O1332" s="46">
        <f>N1332/F1332</f>
        <v/>
      </c>
      <c r="P1332" s="40">
        <f>F1332-J1332-K1332</f>
        <v/>
      </c>
      <c r="Q1332" s="40">
        <f>IF(B1332&gt;=in_marketplace_from,(J1332+K1332)*d_hz*G1332,0)</f>
        <v/>
      </c>
      <c r="R1332" s="40">
        <f>SUMIFS(N1304:N1335,B1304:B1335,"&gt;="&amp;(B1332-d_T),B1304:B1335,"&lt;="&amp;(B1332-1))</f>
        <v/>
      </c>
      <c r="S1332" s="46">
        <f>(1-d_u)*S1331+IF(d_T&gt;in_topup_lag,SUMIFS(O1304:O1335,B1304:B1335,B1332-in_topup_lag)-d_udrop*SUMIFS(O1304:O1335,B1304:B1335,B1332-d_T),0)</f>
        <v/>
      </c>
      <c r="T1332" s="40">
        <f>F1332*d_u*S1332</f>
        <v/>
      </c>
      <c r="U1332" s="9">
        <f>L1332*in_ticket+M1332*d_rep_ticket</f>
        <v/>
      </c>
      <c r="V1332" s="9">
        <f>U1332+T1332*d_topup_amt</f>
        <v/>
      </c>
      <c r="W1332" s="40">
        <f>N1332+T1332*d_topup_ratio</f>
        <v/>
      </c>
      <c r="X1332" s="40">
        <f>SUMIFS(W1304:W1335,B1304:B1335,B1332-in_dpd_lag)*d_cured</f>
        <v/>
      </c>
      <c r="Y1332" s="40">
        <f>SUMIFS(W1304:W1335,B1304:B1335,B1332-in_rec_lag)*d_recd</f>
        <v/>
      </c>
      <c r="Z1332" s="40">
        <f>IF(AND(B1332&gt;=in_marketplace_from,B1332&lt;in_marketplace_from+in_card_months),in_card_share/in_card_months*F1332*I1332,IF(AND(B1332&gt;=in_marketplace_from+in_card_months,B1332&lt;in_marketplace_from+2*in_card_months),in_card_share*d_card_rem/in_card_months*F1332*MIN(in_takeup_cap,(1+in_takeup_growth)^(D1332-1))*MIN(in_takeup_cap,(1+in_approval_growth)^(D1332-1)),0))</f>
        <v/>
      </c>
      <c r="AA1332" s="14">
        <f>V1332*in_fee*(1-in_taken_back)</f>
        <v/>
      </c>
      <c r="AB1332" s="14">
        <f>SUMIFS(W1304:W1335,B1304:B1335,B1332-in_dpd_lag)*d_dpd</f>
        <v/>
      </c>
      <c r="AC1332" s="14">
        <f>SUMIFS(W1304:W1335,B1304:B1335,B1332-in_rec_lag)*d_rec</f>
        <v/>
      </c>
      <c r="AD1332" s="14">
        <f>Z1332*in_card_fee</f>
        <v/>
      </c>
      <c r="AE1332" s="40">
        <f>AE1331*(1-IF(B1331&gt;=in_marketplace_from,d_hz_hlth_small*G1331,0))</f>
        <v/>
      </c>
      <c r="AF1332" s="46">
        <f>AE1332*IF(B1332&gt;=in_marketplace_from,d_hz_hlth_small*G1332,0)</f>
        <v/>
      </c>
      <c r="AG1332" s="14">
        <f>F1332*AF1332*in_hlth_small_ticket*in_hlth_small_comm*in_ins_partner_share+F1332*in_hlth_small_ticket*in_hlth_small_renew_comm*in_ins_partner_share*(in_hlth_small_renew^1*SUMIFS(AF1304:AF1335,B1304:B1335,B1332-12)+in_hlth_small_renew^2*SUMIFS(AF1304:AF1335,B1304:B1335,B1332-24)+in_hlth_small_renew^3*SUMIFS(AF1304:AF1335,B1304:B1335,B1332-36)+in_hlth_small_renew^4*SUMIFS(AF1304:AF1335,B1304:B1335,B1332-48))</f>
        <v/>
      </c>
      <c r="AH1332" s="40">
        <f>AH1331*(1-IF(B1331&gt;=in_marketplace_from,d_hz_hlth_family*G1331,0))</f>
        <v/>
      </c>
      <c r="AI1332" s="46">
        <f>AH1332*IF(B1332&gt;=in_marketplace_from,d_hz_hlth_family*G1332,0)</f>
        <v/>
      </c>
      <c r="AJ1332" s="14">
        <f>F1332*AI1332*in_hlth_family_ticket*in_hlth_family_comm*in_ins_partner_share+F1332*in_hlth_family_ticket*in_hlth_family_renew_comm*in_ins_partner_share*(in_hlth_family_renew^1*SUMIFS(AI1304:AI1335,B1304:B1335,B1332-12)+in_hlth_family_renew^2*SUMIFS(AI1304:AI1335,B1304:B1335,B1332-24)+in_hlth_family_renew^3*SUMIFS(AI1304:AI1335,B1304:B1335,B1332-36)+in_hlth_family_renew^4*SUMIFS(AI1304:AI1335,B1304:B1335,B1332-48))</f>
        <v/>
      </c>
      <c r="AK1332" s="40">
        <f>AK1331*(1-IF(B1331&gt;=in_marketplace_from,d_hz_life_term*G1331,0))</f>
        <v/>
      </c>
      <c r="AL1332" s="46">
        <f>AK1332*IF(B1332&gt;=in_marketplace_from,d_hz_life_term*G1332,0)</f>
        <v/>
      </c>
      <c r="AM1332" s="14">
        <f>F1332*AL1332*in_life_term_ticket*in_life_term_comm*in_ins_partner_share+F1332*in_life_term_ticket*in_life_term_renew_comm*in_ins_partner_share*(in_life_term_renew^1*SUMIFS(AL1304:AL1335,B1304:B1335,B1332-12)+in_life_term_renew^2*SUMIFS(AL1304:AL1335,B1304:B1335,B1332-24)+in_life_term_renew^3*SUMIFS(AL1304:AL1335,B1304:B1335,B1332-36)+in_life_term_renew^4*SUMIFS(AL1304:AL1335,B1304:B1335,B1332-48))</f>
        <v/>
      </c>
      <c r="AN1332" s="40">
        <f>AN1331*(1-IF(B1331&gt;=in_marketplace_from,d_hz_accident*G1331,0))</f>
        <v/>
      </c>
      <c r="AO1332" s="46">
        <f>AN1332*IF(B1332&gt;=in_marketplace_from,d_hz_accident*G1332,0)</f>
        <v/>
      </c>
      <c r="AP1332" s="14">
        <f>F1332*AO1332*in_accident_ticket*in_accident_comm*in_ins_partner_share+F1332*in_accident_ticket*in_accident_renew_comm*in_ins_partner_share*(in_accident_renew^1*SUMIFS(AO1304:AO1335,B1304:B1335,B1332-12)+in_accident_renew^2*SUMIFS(AO1304:AO1335,B1304:B1335,B1332-24)+in_accident_renew^3*SUMIFS(AO1304:AO1335,B1304:B1335,B1332-36)+in_accident_renew^4*SUMIFS(AO1304:AO1335,B1304:B1335,B1332-48))</f>
        <v/>
      </c>
      <c r="AQ1332" s="40">
        <f>AQ1331*(1-IF(B1331&gt;=in_marketplace_from,d_hz_two_wheeler*G1331,0))</f>
        <v/>
      </c>
      <c r="AR1332" s="46">
        <f>AQ1332*IF(B1332&gt;=in_marketplace_from,d_hz_two_wheeler*G1332,0)</f>
        <v/>
      </c>
      <c r="AS1332" s="14">
        <f>F1332*AR1332*in_two_wheeler_ticket*in_two_wheeler_comm*in_ins_partner_share+F1332*in_two_wheeler_ticket*in_two_wheeler_comm*in_ins_partner_share*(in_two_wheeler_renew^1*SUMIFS(AR1304:AR1335,B1304:B1335,B1332-12)+in_two_wheeler_renew^2*SUMIFS(AR1304:AR1335,B1304:B1335,B1332-24)+in_two_wheeler_renew^3*SUMIFS(AR1304:AR1335,B1304:B1335,B1332-36)+in_two_wheeler_renew^4*SUMIFS(AR1304:AR1335,B1304:B1335,B1332-48))</f>
        <v/>
      </c>
      <c r="AT1332" s="40">
        <f>AT1331*(1-IF(B1331&gt;=in_marketplace_from,d_hz_device*G1331,0))</f>
        <v/>
      </c>
      <c r="AU1332" s="14">
        <f>F1332*AT1332*IF(B1332&gt;=in_marketplace_from,d_hz_device*G1332,0)*in_device_ticket*in_device_comm*in_ins_partner_share</f>
        <v/>
      </c>
      <c r="AV1332" s="40">
        <f>AV1331*(1-IF(B1331&gt;=in_marketplace_from,d_hz_shop*G1331,0))</f>
        <v/>
      </c>
      <c r="AW1332" s="46">
        <f>AV1332*IF(B1332&gt;=in_marketplace_from,d_hz_shop*G1332,0)</f>
        <v/>
      </c>
      <c r="AX1332" s="14">
        <f>F1332*AW1332*in_shop_ticket*in_shop_comm*in_ins_partner_share+F1332*in_shop_ticket*in_shop_renew_comm*in_ins_partner_share*(in_shop_renew^1*SUMIFS(AW1304:AW1335,B1304:B1335,B1332-12)+in_shop_renew^2*SUMIFS(AW1304:AW1335,B1304:B1335,B1332-24)+in_shop_renew^3*SUMIFS(AW1304:AW1335,B1304:B1335,B1332-36)+in_shop_renew^4*SUMIFS(AW1304:AW1335,B1304:B1335,B1332-48))</f>
        <v/>
      </c>
      <c r="AY1332" s="40">
        <f>AY1331*(1-IF(B1331&gt;=in_marketplace_from,d_hz_sip*G1331,0))</f>
        <v/>
      </c>
      <c r="AZ1332" s="40">
        <f>AZ1331*d_rho_sip+AY1332*IF(B1332&gt;=in_marketplace_from,d_hz_sip*G1332,0)</f>
        <v/>
      </c>
      <c r="BA1332" s="40">
        <f>d_rho_sip*(BA1331+AZ1331)</f>
        <v/>
      </c>
      <c r="BB1332" s="14">
        <f>F1332*in_sip_ticket*(BA1332+0.5*AZ1332)*in_sip_comm/12</f>
        <v/>
      </c>
      <c r="BC1332" s="40">
        <f>BC1331*(1-IF(B1331&gt;=in_marketplace_from,d_hz_choti*G1331,0))</f>
        <v/>
      </c>
      <c r="BD1332" s="46">
        <f>BC1332*IF(B1332&gt;=in_marketplace_from,d_hz_choti*G1332,0)</f>
        <v/>
      </c>
      <c r="BE1332" s="14">
        <f>F1332*SUMIFS(BD1304:BD1335,B1304:B1335,B1332-in_choti_months)*in_choti_renew*in_choti_ticket</f>
        <v/>
      </c>
      <c r="BF1332" s="40">
        <f>BF1331*(1-IF(B1331&gt;=in_marketplace_from,d_hz_nps*G1331,0))</f>
        <v/>
      </c>
      <c r="BG1332" s="14">
        <f>F1332*BF1332*IF(B1332&gt;=in_marketplace_from,d_hz_nps*G1332,0)*in_nps_ticket*in_nps_comm</f>
        <v/>
      </c>
      <c r="BH1332" s="40">
        <f>BH1331*(1-IF(B1331&gt;=in_marketplace_from,d_hz_gold*G1331,0))</f>
        <v/>
      </c>
      <c r="BI1332" s="40">
        <f>BI1331*d_rho_gold+BH1332*IF(B1332&gt;=in_marketplace_from,d_hz_gold*G1332,0)</f>
        <v/>
      </c>
      <c r="BJ1332" s="14">
        <f>F1332*BI1332*in_gold_ticket*in_gold_comm</f>
        <v/>
      </c>
      <c r="BK1332" s="40">
        <f>BK1331*(1-IF(B1331&gt;=in_marketplace_from,d_hz_fd*G1331,0))</f>
        <v/>
      </c>
      <c r="BL1332" s="14">
        <f>F1332*BK1332*IF(B1332&gt;=in_marketplace_from,d_hz_fd*G1332,0)*in_fd_ticket*in_fd_comm</f>
        <v/>
      </c>
      <c r="BM1332" s="40">
        <f>BM1331*(1-IF(B1331&gt;=in_marketplace_from,d_hz_recharge*G1331,0))</f>
        <v/>
      </c>
      <c r="BN1332" s="40">
        <f>BN1331*d_rho_recharge+BM1332*IF(B1332&gt;=in_marketplace_from,d_hz_recharge*G1332,0)</f>
        <v/>
      </c>
      <c r="BO1332" s="14">
        <f>F1332*BN1332*in_recharge_ticket*in_recharge_comm/12</f>
        <v/>
      </c>
      <c r="BP1332" s="40">
        <f>BP1331*(1-IF(B1331&gt;=in_marketplace_from,d_hz_bills*G1331,0))</f>
        <v/>
      </c>
      <c r="BQ1332" s="40">
        <f>BQ1331*d_rho_bills+BP1332*IF(B1332&gt;=in_marketplace_from,d_hz_bills*G1332,0)</f>
        <v/>
      </c>
      <c r="BR1332" s="14">
        <f>F1332*BQ1332*in_bills_ticket*in_bills_comm/12</f>
        <v/>
      </c>
      <c r="BS1332" s="40">
        <f>BS1331*(1-IF(B1331&gt;=in_marketplace_from,d_hz_loan_gold*G1331,0))</f>
        <v/>
      </c>
      <c r="BT1332" s="14">
        <f>F1332*BS1332*IF(B1332&gt;=in_marketplace_from,d_hz_loan_gold*G1332,0)*in_loan_gold_ticket*in_loan_gold_comm</f>
        <v/>
      </c>
      <c r="BU1332" s="40">
        <f>BU1331*(1-IF(B1331&gt;=in_marketplace_from,d_hz_loan_cd*G1331,0))</f>
        <v/>
      </c>
      <c r="BV1332" s="14">
        <f>F1332*BU1332*IF(B1332&gt;=in_marketplace_from,d_hz_loan_cd*G1332,0)*in_loan_cd_ticket*in_loan_cd_comm</f>
        <v/>
      </c>
      <c r="BW1332" s="40">
        <f>BW1331*(1-IF(B1331&gt;=in_marketplace_from,d_hz_loan_vehicle*G1331,0))</f>
        <v/>
      </c>
      <c r="BX1332" s="14">
        <f>F1332*BW1332*IF(B1332&gt;=in_marketplace_from,d_hz_loan_vehicle*G1332,0)*in_loan_vehicle_ticket*in_loan_vehicle_comm</f>
        <v/>
      </c>
      <c r="BY1332" s="40">
        <f>BY1331*(1-IF(B1331&gt;=in_marketplace_from,d_hz_loan_home*G1331,0)*BZ1331)</f>
        <v/>
      </c>
      <c r="BZ1332" s="11">
        <f>MIN(in_approval_cap,in_loan_home_approval*INDEX('Age profile'!$O$2:$O$61,B1332)*(1+in_approval_growth)^(D1332-1))</f>
        <v/>
      </c>
      <c r="CA1332" s="14">
        <f>F1332*BY1332*IF(B1332&gt;=in_marketplace_from,d_hz_loan_home*G1332,0)*BZ1332*in_loan_home_ticket*in_loan_home_comm</f>
        <v/>
      </c>
      <c r="CB1332" s="40">
        <f>CB1331*(1-IF(B1331&gt;=in_marketplace_from,d_hz_loan_lap*G1331,0)*CC1331)</f>
        <v/>
      </c>
      <c r="CC1332" s="11">
        <f>MIN(in_approval_cap,in_loan_lap_approval*INDEX('Age profile'!$O$2:$O$61,B1332)*(1+in_approval_growth)^(D1332-1))</f>
        <v/>
      </c>
      <c r="CD1332" s="14">
        <f>F1332*CB1332*IF(B1332&gt;=in_marketplace_from,d_hz_loan_lap*G1332,0)*CC1332*in_loan_lap_ticket*in_loan_lap_comm</f>
        <v/>
      </c>
      <c r="CE1332" s="14">
        <f>AA1332+AB1332+AC1332+AD1332+AG1332+AJ1332+AM1332+AP1332+AS1332+AU1332+AX1332+BB1332+BE1332+BG1332+BJ1332+BL1332+BO1332+BR1332+BT1332+BV1332+BX1332+CA1332+CD1332</f>
        <v/>
      </c>
    </row>
    <row r="1333">
      <c r="A1333" s="39" t="n">
        <v>29</v>
      </c>
      <c r="B1333" s="39" t="n">
        <v>30</v>
      </c>
      <c r="C1333" s="39">
        <f>A1333+B1333-1</f>
        <v/>
      </c>
      <c r="D1333" s="39">
        <f>INT((C1333-1)/12)+1</f>
        <v/>
      </c>
      <c r="E1333" s="44">
        <f>INDEX(Monthly!$B$2:$B$61,A1333)</f>
        <v/>
      </c>
      <c r="F1333" s="44">
        <f>E1333*INDEX('Age profile'!$B$2:$B$61,B1333)</f>
        <v/>
      </c>
      <c r="G1333" s="45">
        <f>MIN(in_takeup_cap,INDEX('Age profile'!$N$2:$N$61,B1333)*(1+in_takeup_growth)^(D1333-1))</f>
        <v/>
      </c>
      <c r="H1333" s="11">
        <f>MIN(in_approval_cap,in_approved_first*INDEX('Age profile'!$O$2:$O$61,B1333)*(1+in_approval_growth)^(D1333-1))</f>
        <v/>
      </c>
      <c r="I1333" s="45">
        <f>G1333*MIN(in_takeup_cap,INDEX('Age profile'!$O$2:$O$61,B1333)*(1+in_approval_growth)^(D1333-1))</f>
        <v/>
      </c>
      <c r="J1333" s="40">
        <f>(J1332-L1332)*F1333/F1332</f>
        <v/>
      </c>
      <c r="K1333" s="40">
        <f>(K1332-M1332)*F1333/F1332+SUMIFS(O1304:O1332,B1304:B1332,B1333-1-d_T)*F1333</f>
        <v/>
      </c>
      <c r="L1333" s="40">
        <f>IF(B1333&gt;=in_marketplace_from,J1333*d_hz*G1333*in_eligible*H1333,0)</f>
        <v/>
      </c>
      <c r="M1333" s="40">
        <f>IF(B1333&gt;=in_marketplace_from,K1333*d_hz*G1333*in_eligible*in_approved_repeat,0)</f>
        <v/>
      </c>
      <c r="N1333" s="40">
        <f>L1333+M1333</f>
        <v/>
      </c>
      <c r="O1333" s="46">
        <f>N1333/F1333</f>
        <v/>
      </c>
      <c r="P1333" s="40">
        <f>F1333-J1333-K1333</f>
        <v/>
      </c>
      <c r="Q1333" s="40">
        <f>IF(B1333&gt;=in_marketplace_from,(J1333+K1333)*d_hz*G1333,0)</f>
        <v/>
      </c>
      <c r="R1333" s="40">
        <f>SUMIFS(N1304:N1335,B1304:B1335,"&gt;="&amp;(B1333-d_T),B1304:B1335,"&lt;="&amp;(B1333-1))</f>
        <v/>
      </c>
      <c r="S1333" s="46">
        <f>(1-d_u)*S1332+IF(d_T&gt;in_topup_lag,SUMIFS(O1304:O1335,B1304:B1335,B1333-in_topup_lag)-d_udrop*SUMIFS(O1304:O1335,B1304:B1335,B1333-d_T),0)</f>
        <v/>
      </c>
      <c r="T1333" s="40">
        <f>F1333*d_u*S1333</f>
        <v/>
      </c>
      <c r="U1333" s="9">
        <f>L1333*in_ticket+M1333*d_rep_ticket</f>
        <v/>
      </c>
      <c r="V1333" s="9">
        <f>U1333+T1333*d_topup_amt</f>
        <v/>
      </c>
      <c r="W1333" s="40">
        <f>N1333+T1333*d_topup_ratio</f>
        <v/>
      </c>
      <c r="X1333" s="40">
        <f>SUMIFS(W1304:W1335,B1304:B1335,B1333-in_dpd_lag)*d_cured</f>
        <v/>
      </c>
      <c r="Y1333" s="40">
        <f>SUMIFS(W1304:W1335,B1304:B1335,B1333-in_rec_lag)*d_recd</f>
        <v/>
      </c>
      <c r="Z1333" s="40">
        <f>IF(AND(B1333&gt;=in_marketplace_from,B1333&lt;in_marketplace_from+in_card_months),in_card_share/in_card_months*F1333*I1333,IF(AND(B1333&gt;=in_marketplace_from+in_card_months,B1333&lt;in_marketplace_from+2*in_card_months),in_card_share*d_card_rem/in_card_months*F1333*MIN(in_takeup_cap,(1+in_takeup_growth)^(D1333-1))*MIN(in_takeup_cap,(1+in_approval_growth)^(D1333-1)),0))</f>
        <v/>
      </c>
      <c r="AA1333" s="14">
        <f>V1333*in_fee*(1-in_taken_back)</f>
        <v/>
      </c>
      <c r="AB1333" s="14">
        <f>SUMIFS(W1304:W1335,B1304:B1335,B1333-in_dpd_lag)*d_dpd</f>
        <v/>
      </c>
      <c r="AC1333" s="14">
        <f>SUMIFS(W1304:W1335,B1304:B1335,B1333-in_rec_lag)*d_rec</f>
        <v/>
      </c>
      <c r="AD1333" s="14">
        <f>Z1333*in_card_fee</f>
        <v/>
      </c>
      <c r="AE1333" s="40">
        <f>AE1332*(1-IF(B1332&gt;=in_marketplace_from,d_hz_hlth_small*G1332,0))</f>
        <v/>
      </c>
      <c r="AF1333" s="46">
        <f>AE1333*IF(B1333&gt;=in_marketplace_from,d_hz_hlth_small*G1333,0)</f>
        <v/>
      </c>
      <c r="AG1333" s="14">
        <f>F1333*AF1333*in_hlth_small_ticket*in_hlth_small_comm*in_ins_partner_share+F1333*in_hlth_small_ticket*in_hlth_small_renew_comm*in_ins_partner_share*(in_hlth_small_renew^1*SUMIFS(AF1304:AF1335,B1304:B1335,B1333-12)+in_hlth_small_renew^2*SUMIFS(AF1304:AF1335,B1304:B1335,B1333-24)+in_hlth_small_renew^3*SUMIFS(AF1304:AF1335,B1304:B1335,B1333-36)+in_hlth_small_renew^4*SUMIFS(AF1304:AF1335,B1304:B1335,B1333-48))</f>
        <v/>
      </c>
      <c r="AH1333" s="40">
        <f>AH1332*(1-IF(B1332&gt;=in_marketplace_from,d_hz_hlth_family*G1332,0))</f>
        <v/>
      </c>
      <c r="AI1333" s="46">
        <f>AH1333*IF(B1333&gt;=in_marketplace_from,d_hz_hlth_family*G1333,0)</f>
        <v/>
      </c>
      <c r="AJ1333" s="14">
        <f>F1333*AI1333*in_hlth_family_ticket*in_hlth_family_comm*in_ins_partner_share+F1333*in_hlth_family_ticket*in_hlth_family_renew_comm*in_ins_partner_share*(in_hlth_family_renew^1*SUMIFS(AI1304:AI1335,B1304:B1335,B1333-12)+in_hlth_family_renew^2*SUMIFS(AI1304:AI1335,B1304:B1335,B1333-24)+in_hlth_family_renew^3*SUMIFS(AI1304:AI1335,B1304:B1335,B1333-36)+in_hlth_family_renew^4*SUMIFS(AI1304:AI1335,B1304:B1335,B1333-48))</f>
        <v/>
      </c>
      <c r="AK1333" s="40">
        <f>AK1332*(1-IF(B1332&gt;=in_marketplace_from,d_hz_life_term*G1332,0))</f>
        <v/>
      </c>
      <c r="AL1333" s="46">
        <f>AK1333*IF(B1333&gt;=in_marketplace_from,d_hz_life_term*G1333,0)</f>
        <v/>
      </c>
      <c r="AM1333" s="14">
        <f>F1333*AL1333*in_life_term_ticket*in_life_term_comm*in_ins_partner_share+F1333*in_life_term_ticket*in_life_term_renew_comm*in_ins_partner_share*(in_life_term_renew^1*SUMIFS(AL1304:AL1335,B1304:B1335,B1333-12)+in_life_term_renew^2*SUMIFS(AL1304:AL1335,B1304:B1335,B1333-24)+in_life_term_renew^3*SUMIFS(AL1304:AL1335,B1304:B1335,B1333-36)+in_life_term_renew^4*SUMIFS(AL1304:AL1335,B1304:B1335,B1333-48))</f>
        <v/>
      </c>
      <c r="AN1333" s="40">
        <f>AN1332*(1-IF(B1332&gt;=in_marketplace_from,d_hz_accident*G1332,0))</f>
        <v/>
      </c>
      <c r="AO1333" s="46">
        <f>AN1333*IF(B1333&gt;=in_marketplace_from,d_hz_accident*G1333,0)</f>
        <v/>
      </c>
      <c r="AP1333" s="14">
        <f>F1333*AO1333*in_accident_ticket*in_accident_comm*in_ins_partner_share+F1333*in_accident_ticket*in_accident_renew_comm*in_ins_partner_share*(in_accident_renew^1*SUMIFS(AO1304:AO1335,B1304:B1335,B1333-12)+in_accident_renew^2*SUMIFS(AO1304:AO1335,B1304:B1335,B1333-24)+in_accident_renew^3*SUMIFS(AO1304:AO1335,B1304:B1335,B1333-36)+in_accident_renew^4*SUMIFS(AO1304:AO1335,B1304:B1335,B1333-48))</f>
        <v/>
      </c>
      <c r="AQ1333" s="40">
        <f>AQ1332*(1-IF(B1332&gt;=in_marketplace_from,d_hz_two_wheeler*G1332,0))</f>
        <v/>
      </c>
      <c r="AR1333" s="46">
        <f>AQ1333*IF(B1333&gt;=in_marketplace_from,d_hz_two_wheeler*G1333,0)</f>
        <v/>
      </c>
      <c r="AS1333" s="14">
        <f>F1333*AR1333*in_two_wheeler_ticket*in_two_wheeler_comm*in_ins_partner_share+F1333*in_two_wheeler_ticket*in_two_wheeler_comm*in_ins_partner_share*(in_two_wheeler_renew^1*SUMIFS(AR1304:AR1335,B1304:B1335,B1333-12)+in_two_wheeler_renew^2*SUMIFS(AR1304:AR1335,B1304:B1335,B1333-24)+in_two_wheeler_renew^3*SUMIFS(AR1304:AR1335,B1304:B1335,B1333-36)+in_two_wheeler_renew^4*SUMIFS(AR1304:AR1335,B1304:B1335,B1333-48))</f>
        <v/>
      </c>
      <c r="AT1333" s="40">
        <f>AT1332*(1-IF(B1332&gt;=in_marketplace_from,d_hz_device*G1332,0))</f>
        <v/>
      </c>
      <c r="AU1333" s="14">
        <f>F1333*AT1333*IF(B1333&gt;=in_marketplace_from,d_hz_device*G1333,0)*in_device_ticket*in_device_comm*in_ins_partner_share</f>
        <v/>
      </c>
      <c r="AV1333" s="40">
        <f>AV1332*(1-IF(B1332&gt;=in_marketplace_from,d_hz_shop*G1332,0))</f>
        <v/>
      </c>
      <c r="AW1333" s="46">
        <f>AV1333*IF(B1333&gt;=in_marketplace_from,d_hz_shop*G1333,0)</f>
        <v/>
      </c>
      <c r="AX1333" s="14">
        <f>F1333*AW1333*in_shop_ticket*in_shop_comm*in_ins_partner_share+F1333*in_shop_ticket*in_shop_renew_comm*in_ins_partner_share*(in_shop_renew^1*SUMIFS(AW1304:AW1335,B1304:B1335,B1333-12)+in_shop_renew^2*SUMIFS(AW1304:AW1335,B1304:B1335,B1333-24)+in_shop_renew^3*SUMIFS(AW1304:AW1335,B1304:B1335,B1333-36)+in_shop_renew^4*SUMIFS(AW1304:AW1335,B1304:B1335,B1333-48))</f>
        <v/>
      </c>
      <c r="AY1333" s="40">
        <f>AY1332*(1-IF(B1332&gt;=in_marketplace_from,d_hz_sip*G1332,0))</f>
        <v/>
      </c>
      <c r="AZ1333" s="40">
        <f>AZ1332*d_rho_sip+AY1333*IF(B1333&gt;=in_marketplace_from,d_hz_sip*G1333,0)</f>
        <v/>
      </c>
      <c r="BA1333" s="40">
        <f>d_rho_sip*(BA1332+AZ1332)</f>
        <v/>
      </c>
      <c r="BB1333" s="14">
        <f>F1333*in_sip_ticket*(BA1333+0.5*AZ1333)*in_sip_comm/12</f>
        <v/>
      </c>
      <c r="BC1333" s="40">
        <f>BC1332*(1-IF(B1332&gt;=in_marketplace_from,d_hz_choti*G1332,0))</f>
        <v/>
      </c>
      <c r="BD1333" s="46">
        <f>BC1333*IF(B1333&gt;=in_marketplace_from,d_hz_choti*G1333,0)</f>
        <v/>
      </c>
      <c r="BE1333" s="14">
        <f>F1333*SUMIFS(BD1304:BD1335,B1304:B1335,B1333-in_choti_months)*in_choti_renew*in_choti_ticket</f>
        <v/>
      </c>
      <c r="BF1333" s="40">
        <f>BF1332*(1-IF(B1332&gt;=in_marketplace_from,d_hz_nps*G1332,0))</f>
        <v/>
      </c>
      <c r="BG1333" s="14">
        <f>F1333*BF1333*IF(B1333&gt;=in_marketplace_from,d_hz_nps*G1333,0)*in_nps_ticket*in_nps_comm</f>
        <v/>
      </c>
      <c r="BH1333" s="40">
        <f>BH1332*(1-IF(B1332&gt;=in_marketplace_from,d_hz_gold*G1332,0))</f>
        <v/>
      </c>
      <c r="BI1333" s="40">
        <f>BI1332*d_rho_gold+BH1333*IF(B1333&gt;=in_marketplace_from,d_hz_gold*G1333,0)</f>
        <v/>
      </c>
      <c r="BJ1333" s="14">
        <f>F1333*BI1333*in_gold_ticket*in_gold_comm</f>
        <v/>
      </c>
      <c r="BK1333" s="40">
        <f>BK1332*(1-IF(B1332&gt;=in_marketplace_from,d_hz_fd*G1332,0))</f>
        <v/>
      </c>
      <c r="BL1333" s="14">
        <f>F1333*BK1333*IF(B1333&gt;=in_marketplace_from,d_hz_fd*G1333,0)*in_fd_ticket*in_fd_comm</f>
        <v/>
      </c>
      <c r="BM1333" s="40">
        <f>BM1332*(1-IF(B1332&gt;=in_marketplace_from,d_hz_recharge*G1332,0))</f>
        <v/>
      </c>
      <c r="BN1333" s="40">
        <f>BN1332*d_rho_recharge+BM1333*IF(B1333&gt;=in_marketplace_from,d_hz_recharge*G1333,0)</f>
        <v/>
      </c>
      <c r="BO1333" s="14">
        <f>F1333*BN1333*in_recharge_ticket*in_recharge_comm/12</f>
        <v/>
      </c>
      <c r="BP1333" s="40">
        <f>BP1332*(1-IF(B1332&gt;=in_marketplace_from,d_hz_bills*G1332,0))</f>
        <v/>
      </c>
      <c r="BQ1333" s="40">
        <f>BQ1332*d_rho_bills+BP1333*IF(B1333&gt;=in_marketplace_from,d_hz_bills*G1333,0)</f>
        <v/>
      </c>
      <c r="BR1333" s="14">
        <f>F1333*BQ1333*in_bills_ticket*in_bills_comm/12</f>
        <v/>
      </c>
      <c r="BS1333" s="40">
        <f>BS1332*(1-IF(B1332&gt;=in_marketplace_from,d_hz_loan_gold*G1332,0))</f>
        <v/>
      </c>
      <c r="BT1333" s="14">
        <f>F1333*BS1333*IF(B1333&gt;=in_marketplace_from,d_hz_loan_gold*G1333,0)*in_loan_gold_ticket*in_loan_gold_comm</f>
        <v/>
      </c>
      <c r="BU1333" s="40">
        <f>BU1332*(1-IF(B1332&gt;=in_marketplace_from,d_hz_loan_cd*G1332,0))</f>
        <v/>
      </c>
      <c r="BV1333" s="14">
        <f>F1333*BU1333*IF(B1333&gt;=in_marketplace_from,d_hz_loan_cd*G1333,0)*in_loan_cd_ticket*in_loan_cd_comm</f>
        <v/>
      </c>
      <c r="BW1333" s="40">
        <f>BW1332*(1-IF(B1332&gt;=in_marketplace_from,d_hz_loan_vehicle*G1332,0))</f>
        <v/>
      </c>
      <c r="BX1333" s="14">
        <f>F1333*BW1333*IF(B1333&gt;=in_marketplace_from,d_hz_loan_vehicle*G1333,0)*in_loan_vehicle_ticket*in_loan_vehicle_comm</f>
        <v/>
      </c>
      <c r="BY1333" s="40">
        <f>BY1332*(1-IF(B1332&gt;=in_marketplace_from,d_hz_loan_home*G1332,0)*BZ1332)</f>
        <v/>
      </c>
      <c r="BZ1333" s="11">
        <f>MIN(in_approval_cap,in_loan_home_approval*INDEX('Age profile'!$O$2:$O$61,B1333)*(1+in_approval_growth)^(D1333-1))</f>
        <v/>
      </c>
      <c r="CA1333" s="14">
        <f>F1333*BY1333*IF(B1333&gt;=in_marketplace_from,d_hz_loan_home*G1333,0)*BZ1333*in_loan_home_ticket*in_loan_home_comm</f>
        <v/>
      </c>
      <c r="CB1333" s="40">
        <f>CB1332*(1-IF(B1332&gt;=in_marketplace_from,d_hz_loan_lap*G1332,0)*CC1332)</f>
        <v/>
      </c>
      <c r="CC1333" s="11">
        <f>MIN(in_approval_cap,in_loan_lap_approval*INDEX('Age profile'!$O$2:$O$61,B1333)*(1+in_approval_growth)^(D1333-1))</f>
        <v/>
      </c>
      <c r="CD1333" s="14">
        <f>F1333*CB1333*IF(B1333&gt;=in_marketplace_from,d_hz_loan_lap*G1333,0)*CC1333*in_loan_lap_ticket*in_loan_lap_comm</f>
        <v/>
      </c>
      <c r="CE1333" s="14">
        <f>AA1333+AB1333+AC1333+AD1333+AG1333+AJ1333+AM1333+AP1333+AS1333+AU1333+AX1333+BB1333+BE1333+BG1333+BJ1333+BL1333+BO1333+BR1333+BT1333+BV1333+BX1333+CA1333+CD1333</f>
        <v/>
      </c>
    </row>
    <row r="1334">
      <c r="A1334" s="39" t="n">
        <v>29</v>
      </c>
      <c r="B1334" s="39" t="n">
        <v>31</v>
      </c>
      <c r="C1334" s="39">
        <f>A1334+B1334-1</f>
        <v/>
      </c>
      <c r="D1334" s="39">
        <f>INT((C1334-1)/12)+1</f>
        <v/>
      </c>
      <c r="E1334" s="44">
        <f>INDEX(Monthly!$B$2:$B$61,A1334)</f>
        <v/>
      </c>
      <c r="F1334" s="44">
        <f>E1334*INDEX('Age profile'!$B$2:$B$61,B1334)</f>
        <v/>
      </c>
      <c r="G1334" s="45">
        <f>MIN(in_takeup_cap,INDEX('Age profile'!$N$2:$N$61,B1334)*(1+in_takeup_growth)^(D1334-1))</f>
        <v/>
      </c>
      <c r="H1334" s="11">
        <f>MIN(in_approval_cap,in_approved_first*INDEX('Age profile'!$O$2:$O$61,B1334)*(1+in_approval_growth)^(D1334-1))</f>
        <v/>
      </c>
      <c r="I1334" s="45">
        <f>G1334*MIN(in_takeup_cap,INDEX('Age profile'!$O$2:$O$61,B1334)*(1+in_approval_growth)^(D1334-1))</f>
        <v/>
      </c>
      <c r="J1334" s="40">
        <f>(J1333-L1333)*F1334/F1333</f>
        <v/>
      </c>
      <c r="K1334" s="40">
        <f>(K1333-M1333)*F1334/F1333+SUMIFS(O1304:O1333,B1304:B1333,B1334-1-d_T)*F1334</f>
        <v/>
      </c>
      <c r="L1334" s="40">
        <f>IF(B1334&gt;=in_marketplace_from,J1334*d_hz*G1334*in_eligible*H1334,0)</f>
        <v/>
      </c>
      <c r="M1334" s="40">
        <f>IF(B1334&gt;=in_marketplace_from,K1334*d_hz*G1334*in_eligible*in_approved_repeat,0)</f>
        <v/>
      </c>
      <c r="N1334" s="40">
        <f>L1334+M1334</f>
        <v/>
      </c>
      <c r="O1334" s="46">
        <f>N1334/F1334</f>
        <v/>
      </c>
      <c r="P1334" s="40">
        <f>F1334-J1334-K1334</f>
        <v/>
      </c>
      <c r="Q1334" s="40">
        <f>IF(B1334&gt;=in_marketplace_from,(J1334+K1334)*d_hz*G1334,0)</f>
        <v/>
      </c>
      <c r="R1334" s="40">
        <f>SUMIFS(N1304:N1335,B1304:B1335,"&gt;="&amp;(B1334-d_T),B1304:B1335,"&lt;="&amp;(B1334-1))</f>
        <v/>
      </c>
      <c r="S1334" s="46">
        <f>(1-d_u)*S1333+IF(d_T&gt;in_topup_lag,SUMIFS(O1304:O1335,B1304:B1335,B1334-in_topup_lag)-d_udrop*SUMIFS(O1304:O1335,B1304:B1335,B1334-d_T),0)</f>
        <v/>
      </c>
      <c r="T1334" s="40">
        <f>F1334*d_u*S1334</f>
        <v/>
      </c>
      <c r="U1334" s="9">
        <f>L1334*in_ticket+M1334*d_rep_ticket</f>
        <v/>
      </c>
      <c r="V1334" s="9">
        <f>U1334+T1334*d_topup_amt</f>
        <v/>
      </c>
      <c r="W1334" s="40">
        <f>N1334+T1334*d_topup_ratio</f>
        <v/>
      </c>
      <c r="X1334" s="40">
        <f>SUMIFS(W1304:W1335,B1304:B1335,B1334-in_dpd_lag)*d_cured</f>
        <v/>
      </c>
      <c r="Y1334" s="40">
        <f>SUMIFS(W1304:W1335,B1304:B1335,B1334-in_rec_lag)*d_recd</f>
        <v/>
      </c>
      <c r="Z1334" s="40">
        <f>IF(AND(B1334&gt;=in_marketplace_from,B1334&lt;in_marketplace_from+in_card_months),in_card_share/in_card_months*F1334*I1334,IF(AND(B1334&gt;=in_marketplace_from+in_card_months,B1334&lt;in_marketplace_from+2*in_card_months),in_card_share*d_card_rem/in_card_months*F1334*MIN(in_takeup_cap,(1+in_takeup_growth)^(D1334-1))*MIN(in_takeup_cap,(1+in_approval_growth)^(D1334-1)),0))</f>
        <v/>
      </c>
      <c r="AA1334" s="14">
        <f>V1334*in_fee*(1-in_taken_back)</f>
        <v/>
      </c>
      <c r="AB1334" s="14">
        <f>SUMIFS(W1304:W1335,B1304:B1335,B1334-in_dpd_lag)*d_dpd</f>
        <v/>
      </c>
      <c r="AC1334" s="14">
        <f>SUMIFS(W1304:W1335,B1304:B1335,B1334-in_rec_lag)*d_rec</f>
        <v/>
      </c>
      <c r="AD1334" s="14">
        <f>Z1334*in_card_fee</f>
        <v/>
      </c>
      <c r="AE1334" s="40">
        <f>AE1333*(1-IF(B1333&gt;=in_marketplace_from,d_hz_hlth_small*G1333,0))</f>
        <v/>
      </c>
      <c r="AF1334" s="46">
        <f>AE1334*IF(B1334&gt;=in_marketplace_from,d_hz_hlth_small*G1334,0)</f>
        <v/>
      </c>
      <c r="AG1334" s="14">
        <f>F1334*AF1334*in_hlth_small_ticket*in_hlth_small_comm*in_ins_partner_share+F1334*in_hlth_small_ticket*in_hlth_small_renew_comm*in_ins_partner_share*(in_hlth_small_renew^1*SUMIFS(AF1304:AF1335,B1304:B1335,B1334-12)+in_hlth_small_renew^2*SUMIFS(AF1304:AF1335,B1304:B1335,B1334-24)+in_hlth_small_renew^3*SUMIFS(AF1304:AF1335,B1304:B1335,B1334-36)+in_hlth_small_renew^4*SUMIFS(AF1304:AF1335,B1304:B1335,B1334-48))</f>
        <v/>
      </c>
      <c r="AH1334" s="40">
        <f>AH1333*(1-IF(B1333&gt;=in_marketplace_from,d_hz_hlth_family*G1333,0))</f>
        <v/>
      </c>
      <c r="AI1334" s="46">
        <f>AH1334*IF(B1334&gt;=in_marketplace_from,d_hz_hlth_family*G1334,0)</f>
        <v/>
      </c>
      <c r="AJ1334" s="14">
        <f>F1334*AI1334*in_hlth_family_ticket*in_hlth_family_comm*in_ins_partner_share+F1334*in_hlth_family_ticket*in_hlth_family_renew_comm*in_ins_partner_share*(in_hlth_family_renew^1*SUMIFS(AI1304:AI1335,B1304:B1335,B1334-12)+in_hlth_family_renew^2*SUMIFS(AI1304:AI1335,B1304:B1335,B1334-24)+in_hlth_family_renew^3*SUMIFS(AI1304:AI1335,B1304:B1335,B1334-36)+in_hlth_family_renew^4*SUMIFS(AI1304:AI1335,B1304:B1335,B1334-48))</f>
        <v/>
      </c>
      <c r="AK1334" s="40">
        <f>AK1333*(1-IF(B1333&gt;=in_marketplace_from,d_hz_life_term*G1333,0))</f>
        <v/>
      </c>
      <c r="AL1334" s="46">
        <f>AK1334*IF(B1334&gt;=in_marketplace_from,d_hz_life_term*G1334,0)</f>
        <v/>
      </c>
      <c r="AM1334" s="14">
        <f>F1334*AL1334*in_life_term_ticket*in_life_term_comm*in_ins_partner_share+F1334*in_life_term_ticket*in_life_term_renew_comm*in_ins_partner_share*(in_life_term_renew^1*SUMIFS(AL1304:AL1335,B1304:B1335,B1334-12)+in_life_term_renew^2*SUMIFS(AL1304:AL1335,B1304:B1335,B1334-24)+in_life_term_renew^3*SUMIFS(AL1304:AL1335,B1304:B1335,B1334-36)+in_life_term_renew^4*SUMIFS(AL1304:AL1335,B1304:B1335,B1334-48))</f>
        <v/>
      </c>
      <c r="AN1334" s="40">
        <f>AN1333*(1-IF(B1333&gt;=in_marketplace_from,d_hz_accident*G1333,0))</f>
        <v/>
      </c>
      <c r="AO1334" s="46">
        <f>AN1334*IF(B1334&gt;=in_marketplace_from,d_hz_accident*G1334,0)</f>
        <v/>
      </c>
      <c r="AP1334" s="14">
        <f>F1334*AO1334*in_accident_ticket*in_accident_comm*in_ins_partner_share+F1334*in_accident_ticket*in_accident_renew_comm*in_ins_partner_share*(in_accident_renew^1*SUMIFS(AO1304:AO1335,B1304:B1335,B1334-12)+in_accident_renew^2*SUMIFS(AO1304:AO1335,B1304:B1335,B1334-24)+in_accident_renew^3*SUMIFS(AO1304:AO1335,B1304:B1335,B1334-36)+in_accident_renew^4*SUMIFS(AO1304:AO1335,B1304:B1335,B1334-48))</f>
        <v/>
      </c>
      <c r="AQ1334" s="40">
        <f>AQ1333*(1-IF(B1333&gt;=in_marketplace_from,d_hz_two_wheeler*G1333,0))</f>
        <v/>
      </c>
      <c r="AR1334" s="46">
        <f>AQ1334*IF(B1334&gt;=in_marketplace_from,d_hz_two_wheeler*G1334,0)</f>
        <v/>
      </c>
      <c r="AS1334" s="14">
        <f>F1334*AR1334*in_two_wheeler_ticket*in_two_wheeler_comm*in_ins_partner_share+F1334*in_two_wheeler_ticket*in_two_wheeler_comm*in_ins_partner_share*(in_two_wheeler_renew^1*SUMIFS(AR1304:AR1335,B1304:B1335,B1334-12)+in_two_wheeler_renew^2*SUMIFS(AR1304:AR1335,B1304:B1335,B1334-24)+in_two_wheeler_renew^3*SUMIFS(AR1304:AR1335,B1304:B1335,B1334-36)+in_two_wheeler_renew^4*SUMIFS(AR1304:AR1335,B1304:B1335,B1334-48))</f>
        <v/>
      </c>
      <c r="AT1334" s="40">
        <f>AT1333*(1-IF(B1333&gt;=in_marketplace_from,d_hz_device*G1333,0))</f>
        <v/>
      </c>
      <c r="AU1334" s="14">
        <f>F1334*AT1334*IF(B1334&gt;=in_marketplace_from,d_hz_device*G1334,0)*in_device_ticket*in_device_comm*in_ins_partner_share</f>
        <v/>
      </c>
      <c r="AV1334" s="40">
        <f>AV1333*(1-IF(B1333&gt;=in_marketplace_from,d_hz_shop*G1333,0))</f>
        <v/>
      </c>
      <c r="AW1334" s="46">
        <f>AV1334*IF(B1334&gt;=in_marketplace_from,d_hz_shop*G1334,0)</f>
        <v/>
      </c>
      <c r="AX1334" s="14">
        <f>F1334*AW1334*in_shop_ticket*in_shop_comm*in_ins_partner_share+F1334*in_shop_ticket*in_shop_renew_comm*in_ins_partner_share*(in_shop_renew^1*SUMIFS(AW1304:AW1335,B1304:B1335,B1334-12)+in_shop_renew^2*SUMIFS(AW1304:AW1335,B1304:B1335,B1334-24)+in_shop_renew^3*SUMIFS(AW1304:AW1335,B1304:B1335,B1334-36)+in_shop_renew^4*SUMIFS(AW1304:AW1335,B1304:B1335,B1334-48))</f>
        <v/>
      </c>
      <c r="AY1334" s="40">
        <f>AY1333*(1-IF(B1333&gt;=in_marketplace_from,d_hz_sip*G1333,0))</f>
        <v/>
      </c>
      <c r="AZ1334" s="40">
        <f>AZ1333*d_rho_sip+AY1334*IF(B1334&gt;=in_marketplace_from,d_hz_sip*G1334,0)</f>
        <v/>
      </c>
      <c r="BA1334" s="40">
        <f>d_rho_sip*(BA1333+AZ1333)</f>
        <v/>
      </c>
      <c r="BB1334" s="14">
        <f>F1334*in_sip_ticket*(BA1334+0.5*AZ1334)*in_sip_comm/12</f>
        <v/>
      </c>
      <c r="BC1334" s="40">
        <f>BC1333*(1-IF(B1333&gt;=in_marketplace_from,d_hz_choti*G1333,0))</f>
        <v/>
      </c>
      <c r="BD1334" s="46">
        <f>BC1334*IF(B1334&gt;=in_marketplace_from,d_hz_choti*G1334,0)</f>
        <v/>
      </c>
      <c r="BE1334" s="14">
        <f>F1334*SUMIFS(BD1304:BD1335,B1304:B1335,B1334-in_choti_months)*in_choti_renew*in_choti_ticket</f>
        <v/>
      </c>
      <c r="BF1334" s="40">
        <f>BF1333*(1-IF(B1333&gt;=in_marketplace_from,d_hz_nps*G1333,0))</f>
        <v/>
      </c>
      <c r="BG1334" s="14">
        <f>F1334*BF1334*IF(B1334&gt;=in_marketplace_from,d_hz_nps*G1334,0)*in_nps_ticket*in_nps_comm</f>
        <v/>
      </c>
      <c r="BH1334" s="40">
        <f>BH1333*(1-IF(B1333&gt;=in_marketplace_from,d_hz_gold*G1333,0))</f>
        <v/>
      </c>
      <c r="BI1334" s="40">
        <f>BI1333*d_rho_gold+BH1334*IF(B1334&gt;=in_marketplace_from,d_hz_gold*G1334,0)</f>
        <v/>
      </c>
      <c r="BJ1334" s="14">
        <f>F1334*BI1334*in_gold_ticket*in_gold_comm</f>
        <v/>
      </c>
      <c r="BK1334" s="40">
        <f>BK1333*(1-IF(B1333&gt;=in_marketplace_from,d_hz_fd*G1333,0))</f>
        <v/>
      </c>
      <c r="BL1334" s="14">
        <f>F1334*BK1334*IF(B1334&gt;=in_marketplace_from,d_hz_fd*G1334,0)*in_fd_ticket*in_fd_comm</f>
        <v/>
      </c>
      <c r="BM1334" s="40">
        <f>BM1333*(1-IF(B1333&gt;=in_marketplace_from,d_hz_recharge*G1333,0))</f>
        <v/>
      </c>
      <c r="BN1334" s="40">
        <f>BN1333*d_rho_recharge+BM1334*IF(B1334&gt;=in_marketplace_from,d_hz_recharge*G1334,0)</f>
        <v/>
      </c>
      <c r="BO1334" s="14">
        <f>F1334*BN1334*in_recharge_ticket*in_recharge_comm/12</f>
        <v/>
      </c>
      <c r="BP1334" s="40">
        <f>BP1333*(1-IF(B1333&gt;=in_marketplace_from,d_hz_bills*G1333,0))</f>
        <v/>
      </c>
      <c r="BQ1334" s="40">
        <f>BQ1333*d_rho_bills+BP1334*IF(B1334&gt;=in_marketplace_from,d_hz_bills*G1334,0)</f>
        <v/>
      </c>
      <c r="BR1334" s="14">
        <f>F1334*BQ1334*in_bills_ticket*in_bills_comm/12</f>
        <v/>
      </c>
      <c r="BS1334" s="40">
        <f>BS1333*(1-IF(B1333&gt;=in_marketplace_from,d_hz_loan_gold*G1333,0))</f>
        <v/>
      </c>
      <c r="BT1334" s="14">
        <f>F1334*BS1334*IF(B1334&gt;=in_marketplace_from,d_hz_loan_gold*G1334,0)*in_loan_gold_ticket*in_loan_gold_comm</f>
        <v/>
      </c>
      <c r="BU1334" s="40">
        <f>BU1333*(1-IF(B1333&gt;=in_marketplace_from,d_hz_loan_cd*G1333,0))</f>
        <v/>
      </c>
      <c r="BV1334" s="14">
        <f>F1334*BU1334*IF(B1334&gt;=in_marketplace_from,d_hz_loan_cd*G1334,0)*in_loan_cd_ticket*in_loan_cd_comm</f>
        <v/>
      </c>
      <c r="BW1334" s="40">
        <f>BW1333*(1-IF(B1333&gt;=in_marketplace_from,d_hz_loan_vehicle*G1333,0))</f>
        <v/>
      </c>
      <c r="BX1334" s="14">
        <f>F1334*BW1334*IF(B1334&gt;=in_marketplace_from,d_hz_loan_vehicle*G1334,0)*in_loan_vehicle_ticket*in_loan_vehicle_comm</f>
        <v/>
      </c>
      <c r="BY1334" s="40">
        <f>BY1333*(1-IF(B1333&gt;=in_marketplace_from,d_hz_loan_home*G1333,0)*BZ1333)</f>
        <v/>
      </c>
      <c r="BZ1334" s="11">
        <f>MIN(in_approval_cap,in_loan_home_approval*INDEX('Age profile'!$O$2:$O$61,B1334)*(1+in_approval_growth)^(D1334-1))</f>
        <v/>
      </c>
      <c r="CA1334" s="14">
        <f>F1334*BY1334*IF(B1334&gt;=in_marketplace_from,d_hz_loan_home*G1334,0)*BZ1334*in_loan_home_ticket*in_loan_home_comm</f>
        <v/>
      </c>
      <c r="CB1334" s="40">
        <f>CB1333*(1-IF(B1333&gt;=in_marketplace_from,d_hz_loan_lap*G1333,0)*CC1333)</f>
        <v/>
      </c>
      <c r="CC1334" s="11">
        <f>MIN(in_approval_cap,in_loan_lap_approval*INDEX('Age profile'!$O$2:$O$61,B1334)*(1+in_approval_growth)^(D1334-1))</f>
        <v/>
      </c>
      <c r="CD1334" s="14">
        <f>F1334*CB1334*IF(B1334&gt;=in_marketplace_from,d_hz_loan_lap*G1334,0)*CC1334*in_loan_lap_ticket*in_loan_lap_comm</f>
        <v/>
      </c>
      <c r="CE1334" s="14">
        <f>AA1334+AB1334+AC1334+AD1334+AG1334+AJ1334+AM1334+AP1334+AS1334+AU1334+AX1334+BB1334+BE1334+BG1334+BJ1334+BL1334+BO1334+BR1334+BT1334+BV1334+BX1334+CA1334+CD1334</f>
        <v/>
      </c>
    </row>
    <row r="1335">
      <c r="A1335" s="39" t="n">
        <v>29</v>
      </c>
      <c r="B1335" s="39" t="n">
        <v>32</v>
      </c>
      <c r="C1335" s="39">
        <f>A1335+B1335-1</f>
        <v/>
      </c>
      <c r="D1335" s="39">
        <f>INT((C1335-1)/12)+1</f>
        <v/>
      </c>
      <c r="E1335" s="44">
        <f>INDEX(Monthly!$B$2:$B$61,A1335)</f>
        <v/>
      </c>
      <c r="F1335" s="44">
        <f>E1335*INDEX('Age profile'!$B$2:$B$61,B1335)</f>
        <v/>
      </c>
      <c r="G1335" s="45">
        <f>MIN(in_takeup_cap,INDEX('Age profile'!$N$2:$N$61,B1335)*(1+in_takeup_growth)^(D1335-1))</f>
        <v/>
      </c>
      <c r="H1335" s="11">
        <f>MIN(in_approval_cap,in_approved_first*INDEX('Age profile'!$O$2:$O$61,B1335)*(1+in_approval_growth)^(D1335-1))</f>
        <v/>
      </c>
      <c r="I1335" s="45">
        <f>G1335*MIN(in_takeup_cap,INDEX('Age profile'!$O$2:$O$61,B1335)*(1+in_approval_growth)^(D1335-1))</f>
        <v/>
      </c>
      <c r="J1335" s="40">
        <f>(J1334-L1334)*F1335/F1334</f>
        <v/>
      </c>
      <c r="K1335" s="40">
        <f>(K1334-M1334)*F1335/F1334+SUMIFS(O1304:O1334,B1304:B1334,B1335-1-d_T)*F1335</f>
        <v/>
      </c>
      <c r="L1335" s="40">
        <f>IF(B1335&gt;=in_marketplace_from,J1335*d_hz*G1335*in_eligible*H1335,0)</f>
        <v/>
      </c>
      <c r="M1335" s="40">
        <f>IF(B1335&gt;=in_marketplace_from,K1335*d_hz*G1335*in_eligible*in_approved_repeat,0)</f>
        <v/>
      </c>
      <c r="N1335" s="40">
        <f>L1335+M1335</f>
        <v/>
      </c>
      <c r="O1335" s="46">
        <f>N1335/F1335</f>
        <v/>
      </c>
      <c r="P1335" s="40">
        <f>F1335-J1335-K1335</f>
        <v/>
      </c>
      <c r="Q1335" s="40">
        <f>IF(B1335&gt;=in_marketplace_from,(J1335+K1335)*d_hz*G1335,0)</f>
        <v/>
      </c>
      <c r="R1335" s="40">
        <f>SUMIFS(N1304:N1335,B1304:B1335,"&gt;="&amp;(B1335-d_T),B1304:B1335,"&lt;="&amp;(B1335-1))</f>
        <v/>
      </c>
      <c r="S1335" s="46">
        <f>(1-d_u)*S1334+IF(d_T&gt;in_topup_lag,SUMIFS(O1304:O1335,B1304:B1335,B1335-in_topup_lag)-d_udrop*SUMIFS(O1304:O1335,B1304:B1335,B1335-d_T),0)</f>
        <v/>
      </c>
      <c r="T1335" s="40">
        <f>F1335*d_u*S1335</f>
        <v/>
      </c>
      <c r="U1335" s="9">
        <f>L1335*in_ticket+M1335*d_rep_ticket</f>
        <v/>
      </c>
      <c r="V1335" s="9">
        <f>U1335+T1335*d_topup_amt</f>
        <v/>
      </c>
      <c r="W1335" s="40">
        <f>N1335+T1335*d_topup_ratio</f>
        <v/>
      </c>
      <c r="X1335" s="40">
        <f>SUMIFS(W1304:W1335,B1304:B1335,B1335-in_dpd_lag)*d_cured</f>
        <v/>
      </c>
      <c r="Y1335" s="40">
        <f>SUMIFS(W1304:W1335,B1304:B1335,B1335-in_rec_lag)*d_recd</f>
        <v/>
      </c>
      <c r="Z1335" s="40">
        <f>IF(AND(B1335&gt;=in_marketplace_from,B1335&lt;in_marketplace_from+in_card_months),in_card_share/in_card_months*F1335*I1335,IF(AND(B1335&gt;=in_marketplace_from+in_card_months,B1335&lt;in_marketplace_from+2*in_card_months),in_card_share*d_card_rem/in_card_months*F1335*MIN(in_takeup_cap,(1+in_takeup_growth)^(D1335-1))*MIN(in_takeup_cap,(1+in_approval_growth)^(D1335-1)),0))</f>
        <v/>
      </c>
      <c r="AA1335" s="14">
        <f>V1335*in_fee*(1-in_taken_back)</f>
        <v/>
      </c>
      <c r="AB1335" s="14">
        <f>SUMIFS(W1304:W1335,B1304:B1335,B1335-in_dpd_lag)*d_dpd</f>
        <v/>
      </c>
      <c r="AC1335" s="14">
        <f>SUMIFS(W1304:W1335,B1304:B1335,B1335-in_rec_lag)*d_rec</f>
        <v/>
      </c>
      <c r="AD1335" s="14">
        <f>Z1335*in_card_fee</f>
        <v/>
      </c>
      <c r="AE1335" s="40">
        <f>AE1334*(1-IF(B1334&gt;=in_marketplace_from,d_hz_hlth_small*G1334,0))</f>
        <v/>
      </c>
      <c r="AF1335" s="46">
        <f>AE1335*IF(B1335&gt;=in_marketplace_from,d_hz_hlth_small*G1335,0)</f>
        <v/>
      </c>
      <c r="AG1335" s="14">
        <f>F1335*AF1335*in_hlth_small_ticket*in_hlth_small_comm*in_ins_partner_share+F1335*in_hlth_small_ticket*in_hlth_small_renew_comm*in_ins_partner_share*(in_hlth_small_renew^1*SUMIFS(AF1304:AF1335,B1304:B1335,B1335-12)+in_hlth_small_renew^2*SUMIFS(AF1304:AF1335,B1304:B1335,B1335-24)+in_hlth_small_renew^3*SUMIFS(AF1304:AF1335,B1304:B1335,B1335-36)+in_hlth_small_renew^4*SUMIFS(AF1304:AF1335,B1304:B1335,B1335-48))</f>
        <v/>
      </c>
      <c r="AH1335" s="40">
        <f>AH1334*(1-IF(B1334&gt;=in_marketplace_from,d_hz_hlth_family*G1334,0))</f>
        <v/>
      </c>
      <c r="AI1335" s="46">
        <f>AH1335*IF(B1335&gt;=in_marketplace_from,d_hz_hlth_family*G1335,0)</f>
        <v/>
      </c>
      <c r="AJ1335" s="14">
        <f>F1335*AI1335*in_hlth_family_ticket*in_hlth_family_comm*in_ins_partner_share+F1335*in_hlth_family_ticket*in_hlth_family_renew_comm*in_ins_partner_share*(in_hlth_family_renew^1*SUMIFS(AI1304:AI1335,B1304:B1335,B1335-12)+in_hlth_family_renew^2*SUMIFS(AI1304:AI1335,B1304:B1335,B1335-24)+in_hlth_family_renew^3*SUMIFS(AI1304:AI1335,B1304:B1335,B1335-36)+in_hlth_family_renew^4*SUMIFS(AI1304:AI1335,B1304:B1335,B1335-48))</f>
        <v/>
      </c>
      <c r="AK1335" s="40">
        <f>AK1334*(1-IF(B1334&gt;=in_marketplace_from,d_hz_life_term*G1334,0))</f>
        <v/>
      </c>
      <c r="AL1335" s="46">
        <f>AK1335*IF(B1335&gt;=in_marketplace_from,d_hz_life_term*G1335,0)</f>
        <v/>
      </c>
      <c r="AM1335" s="14">
        <f>F1335*AL1335*in_life_term_ticket*in_life_term_comm*in_ins_partner_share+F1335*in_life_term_ticket*in_life_term_renew_comm*in_ins_partner_share*(in_life_term_renew^1*SUMIFS(AL1304:AL1335,B1304:B1335,B1335-12)+in_life_term_renew^2*SUMIFS(AL1304:AL1335,B1304:B1335,B1335-24)+in_life_term_renew^3*SUMIFS(AL1304:AL1335,B1304:B1335,B1335-36)+in_life_term_renew^4*SUMIFS(AL1304:AL1335,B1304:B1335,B1335-48))</f>
        <v/>
      </c>
      <c r="AN1335" s="40">
        <f>AN1334*(1-IF(B1334&gt;=in_marketplace_from,d_hz_accident*G1334,0))</f>
        <v/>
      </c>
      <c r="AO1335" s="46">
        <f>AN1335*IF(B1335&gt;=in_marketplace_from,d_hz_accident*G1335,0)</f>
        <v/>
      </c>
      <c r="AP1335" s="14">
        <f>F1335*AO1335*in_accident_ticket*in_accident_comm*in_ins_partner_share+F1335*in_accident_ticket*in_accident_renew_comm*in_ins_partner_share*(in_accident_renew^1*SUMIFS(AO1304:AO1335,B1304:B1335,B1335-12)+in_accident_renew^2*SUMIFS(AO1304:AO1335,B1304:B1335,B1335-24)+in_accident_renew^3*SUMIFS(AO1304:AO1335,B1304:B1335,B1335-36)+in_accident_renew^4*SUMIFS(AO1304:AO1335,B1304:B1335,B1335-48))</f>
        <v/>
      </c>
      <c r="AQ1335" s="40">
        <f>AQ1334*(1-IF(B1334&gt;=in_marketplace_from,d_hz_two_wheeler*G1334,0))</f>
        <v/>
      </c>
      <c r="AR1335" s="46">
        <f>AQ1335*IF(B1335&gt;=in_marketplace_from,d_hz_two_wheeler*G1335,0)</f>
        <v/>
      </c>
      <c r="AS1335" s="14">
        <f>F1335*AR1335*in_two_wheeler_ticket*in_two_wheeler_comm*in_ins_partner_share+F1335*in_two_wheeler_ticket*in_two_wheeler_comm*in_ins_partner_share*(in_two_wheeler_renew^1*SUMIFS(AR1304:AR1335,B1304:B1335,B1335-12)+in_two_wheeler_renew^2*SUMIFS(AR1304:AR1335,B1304:B1335,B1335-24)+in_two_wheeler_renew^3*SUMIFS(AR1304:AR1335,B1304:B1335,B1335-36)+in_two_wheeler_renew^4*SUMIFS(AR1304:AR1335,B1304:B1335,B1335-48))</f>
        <v/>
      </c>
      <c r="AT1335" s="40">
        <f>AT1334*(1-IF(B1334&gt;=in_marketplace_from,d_hz_device*G1334,0))</f>
        <v/>
      </c>
      <c r="AU1335" s="14">
        <f>F1335*AT1335*IF(B1335&gt;=in_marketplace_from,d_hz_device*G1335,0)*in_device_ticket*in_device_comm*in_ins_partner_share</f>
        <v/>
      </c>
      <c r="AV1335" s="40">
        <f>AV1334*(1-IF(B1334&gt;=in_marketplace_from,d_hz_shop*G1334,0))</f>
        <v/>
      </c>
      <c r="AW1335" s="46">
        <f>AV1335*IF(B1335&gt;=in_marketplace_from,d_hz_shop*G1335,0)</f>
        <v/>
      </c>
      <c r="AX1335" s="14">
        <f>F1335*AW1335*in_shop_ticket*in_shop_comm*in_ins_partner_share+F1335*in_shop_ticket*in_shop_renew_comm*in_ins_partner_share*(in_shop_renew^1*SUMIFS(AW1304:AW1335,B1304:B1335,B1335-12)+in_shop_renew^2*SUMIFS(AW1304:AW1335,B1304:B1335,B1335-24)+in_shop_renew^3*SUMIFS(AW1304:AW1335,B1304:B1335,B1335-36)+in_shop_renew^4*SUMIFS(AW1304:AW1335,B1304:B1335,B1335-48))</f>
        <v/>
      </c>
      <c r="AY1335" s="40">
        <f>AY1334*(1-IF(B1334&gt;=in_marketplace_from,d_hz_sip*G1334,0))</f>
        <v/>
      </c>
      <c r="AZ1335" s="40">
        <f>AZ1334*d_rho_sip+AY1335*IF(B1335&gt;=in_marketplace_from,d_hz_sip*G1335,0)</f>
        <v/>
      </c>
      <c r="BA1335" s="40">
        <f>d_rho_sip*(BA1334+AZ1334)</f>
        <v/>
      </c>
      <c r="BB1335" s="14">
        <f>F1335*in_sip_ticket*(BA1335+0.5*AZ1335)*in_sip_comm/12</f>
        <v/>
      </c>
      <c r="BC1335" s="40">
        <f>BC1334*(1-IF(B1334&gt;=in_marketplace_from,d_hz_choti*G1334,0))</f>
        <v/>
      </c>
      <c r="BD1335" s="46">
        <f>BC1335*IF(B1335&gt;=in_marketplace_from,d_hz_choti*G1335,0)</f>
        <v/>
      </c>
      <c r="BE1335" s="14">
        <f>F1335*SUMIFS(BD1304:BD1335,B1304:B1335,B1335-in_choti_months)*in_choti_renew*in_choti_ticket</f>
        <v/>
      </c>
      <c r="BF1335" s="40">
        <f>BF1334*(1-IF(B1334&gt;=in_marketplace_from,d_hz_nps*G1334,0))</f>
        <v/>
      </c>
      <c r="BG1335" s="14">
        <f>F1335*BF1335*IF(B1335&gt;=in_marketplace_from,d_hz_nps*G1335,0)*in_nps_ticket*in_nps_comm</f>
        <v/>
      </c>
      <c r="BH1335" s="40">
        <f>BH1334*(1-IF(B1334&gt;=in_marketplace_from,d_hz_gold*G1334,0))</f>
        <v/>
      </c>
      <c r="BI1335" s="40">
        <f>BI1334*d_rho_gold+BH1335*IF(B1335&gt;=in_marketplace_from,d_hz_gold*G1335,0)</f>
        <v/>
      </c>
      <c r="BJ1335" s="14">
        <f>F1335*BI1335*in_gold_ticket*in_gold_comm</f>
        <v/>
      </c>
      <c r="BK1335" s="40">
        <f>BK1334*(1-IF(B1334&gt;=in_marketplace_from,d_hz_fd*G1334,0))</f>
        <v/>
      </c>
      <c r="BL1335" s="14">
        <f>F1335*BK1335*IF(B1335&gt;=in_marketplace_from,d_hz_fd*G1335,0)*in_fd_ticket*in_fd_comm</f>
        <v/>
      </c>
      <c r="BM1335" s="40">
        <f>BM1334*(1-IF(B1334&gt;=in_marketplace_from,d_hz_recharge*G1334,0))</f>
        <v/>
      </c>
      <c r="BN1335" s="40">
        <f>BN1334*d_rho_recharge+BM1335*IF(B1335&gt;=in_marketplace_from,d_hz_recharge*G1335,0)</f>
        <v/>
      </c>
      <c r="BO1335" s="14">
        <f>F1335*BN1335*in_recharge_ticket*in_recharge_comm/12</f>
        <v/>
      </c>
      <c r="BP1335" s="40">
        <f>BP1334*(1-IF(B1334&gt;=in_marketplace_from,d_hz_bills*G1334,0))</f>
        <v/>
      </c>
      <c r="BQ1335" s="40">
        <f>BQ1334*d_rho_bills+BP1335*IF(B1335&gt;=in_marketplace_from,d_hz_bills*G1335,0)</f>
        <v/>
      </c>
      <c r="BR1335" s="14">
        <f>F1335*BQ1335*in_bills_ticket*in_bills_comm/12</f>
        <v/>
      </c>
      <c r="BS1335" s="40">
        <f>BS1334*(1-IF(B1334&gt;=in_marketplace_from,d_hz_loan_gold*G1334,0))</f>
        <v/>
      </c>
      <c r="BT1335" s="14">
        <f>F1335*BS1335*IF(B1335&gt;=in_marketplace_from,d_hz_loan_gold*G1335,0)*in_loan_gold_ticket*in_loan_gold_comm</f>
        <v/>
      </c>
      <c r="BU1335" s="40">
        <f>BU1334*(1-IF(B1334&gt;=in_marketplace_from,d_hz_loan_cd*G1334,0))</f>
        <v/>
      </c>
      <c r="BV1335" s="14">
        <f>F1335*BU1335*IF(B1335&gt;=in_marketplace_from,d_hz_loan_cd*G1335,0)*in_loan_cd_ticket*in_loan_cd_comm</f>
        <v/>
      </c>
      <c r="BW1335" s="40">
        <f>BW1334*(1-IF(B1334&gt;=in_marketplace_from,d_hz_loan_vehicle*G1334,0))</f>
        <v/>
      </c>
      <c r="BX1335" s="14">
        <f>F1335*BW1335*IF(B1335&gt;=in_marketplace_from,d_hz_loan_vehicle*G1335,0)*in_loan_vehicle_ticket*in_loan_vehicle_comm</f>
        <v/>
      </c>
      <c r="BY1335" s="40">
        <f>BY1334*(1-IF(B1334&gt;=in_marketplace_from,d_hz_loan_home*G1334,0)*BZ1334)</f>
        <v/>
      </c>
      <c r="BZ1335" s="11">
        <f>MIN(in_approval_cap,in_loan_home_approval*INDEX('Age profile'!$O$2:$O$61,B1335)*(1+in_approval_growth)^(D1335-1))</f>
        <v/>
      </c>
      <c r="CA1335" s="14">
        <f>F1335*BY1335*IF(B1335&gt;=in_marketplace_from,d_hz_loan_home*G1335,0)*BZ1335*in_loan_home_ticket*in_loan_home_comm</f>
        <v/>
      </c>
      <c r="CB1335" s="40">
        <f>CB1334*(1-IF(B1334&gt;=in_marketplace_from,d_hz_loan_lap*G1334,0)*CC1334)</f>
        <v/>
      </c>
      <c r="CC1335" s="11">
        <f>MIN(in_approval_cap,in_loan_lap_approval*INDEX('Age profile'!$O$2:$O$61,B1335)*(1+in_approval_growth)^(D1335-1))</f>
        <v/>
      </c>
      <c r="CD1335" s="14">
        <f>F1335*CB1335*IF(B1335&gt;=in_marketplace_from,d_hz_loan_lap*G1335,0)*CC1335*in_loan_lap_ticket*in_loan_lap_comm</f>
        <v/>
      </c>
      <c r="CE1335" s="14">
        <f>AA1335+AB1335+AC1335+AD1335+AG1335+AJ1335+AM1335+AP1335+AS1335+AU1335+AX1335+BB1335+BE1335+BG1335+BJ1335+BL1335+BO1335+BR1335+BT1335+BV1335+BX1335+CA1335+CD1335</f>
        <v/>
      </c>
    </row>
    <row r="1336">
      <c r="A1336" s="39" t="n">
        <v>30</v>
      </c>
      <c r="B1336" s="39" t="n">
        <v>1</v>
      </c>
      <c r="C1336" s="39">
        <f>A1336+B1336-1</f>
        <v/>
      </c>
      <c r="D1336" s="39">
        <f>INT((C1336-1)/12)+1</f>
        <v/>
      </c>
      <c r="E1336" s="44">
        <f>INDEX(Monthly!$B$2:$B$61,A1336)</f>
        <v/>
      </c>
      <c r="F1336" s="44">
        <f>E1336*INDEX('Age profile'!$B$2:$B$61,B1336)</f>
        <v/>
      </c>
      <c r="G1336" s="45">
        <f>MIN(in_takeup_cap,INDEX('Age profile'!$N$2:$N$61,B1336)*(1+in_takeup_growth)^(D1336-1))</f>
        <v/>
      </c>
      <c r="H1336" s="11">
        <f>MIN(in_approval_cap,in_approved_first*INDEX('Age profile'!$O$2:$O$61,B1336)*(1+in_approval_growth)^(D1336-1))</f>
        <v/>
      </c>
      <c r="I1336" s="45">
        <f>G1336*MIN(in_takeup_cap,INDEX('Age profile'!$O$2:$O$61,B1336)*(1+in_approval_growth)^(D1336-1))</f>
        <v/>
      </c>
      <c r="J1336" s="40">
        <f>E1336</f>
        <v/>
      </c>
      <c r="K1336" s="40" t="n">
        <v>0</v>
      </c>
      <c r="L1336" s="40">
        <f>IF(B1336&gt;=in_marketplace_from,J1336*d_hz*G1336*in_eligible*H1336,0)</f>
        <v/>
      </c>
      <c r="M1336" s="40">
        <f>IF(B1336&gt;=in_marketplace_from,K1336*d_hz*G1336*in_eligible*in_approved_repeat,0)</f>
        <v/>
      </c>
      <c r="N1336" s="40">
        <f>L1336+M1336</f>
        <v/>
      </c>
      <c r="O1336" s="46">
        <f>N1336/F1336</f>
        <v/>
      </c>
      <c r="P1336" s="40">
        <f>F1336-J1336-K1336</f>
        <v/>
      </c>
      <c r="Q1336" s="40">
        <f>IF(B1336&gt;=in_marketplace_from,(J1336+K1336)*d_hz*G1336,0)</f>
        <v/>
      </c>
      <c r="R1336" s="40">
        <f>SUMIFS(N1336:N1366,B1336:B1366,"&gt;="&amp;(B1336-d_T),B1336:B1366,"&lt;="&amp;(B1336-1))</f>
        <v/>
      </c>
      <c r="S1336" s="46" t="n">
        <v>0</v>
      </c>
      <c r="T1336" s="40">
        <f>F1336*d_u*S1336</f>
        <v/>
      </c>
      <c r="U1336" s="9">
        <f>L1336*in_ticket+M1336*d_rep_ticket</f>
        <v/>
      </c>
      <c r="V1336" s="9">
        <f>U1336+T1336*d_topup_amt</f>
        <v/>
      </c>
      <c r="W1336" s="40">
        <f>N1336+T1336*d_topup_ratio</f>
        <v/>
      </c>
      <c r="X1336" s="40">
        <f>SUMIFS(W1336:W1366,B1336:B1366,B1336-in_dpd_lag)*d_cured</f>
        <v/>
      </c>
      <c r="Y1336" s="40">
        <f>SUMIFS(W1336:W1366,B1336:B1366,B1336-in_rec_lag)*d_recd</f>
        <v/>
      </c>
      <c r="Z1336" s="40">
        <f>IF(AND(B1336&gt;=in_marketplace_from,B1336&lt;in_marketplace_from+in_card_months),in_card_share/in_card_months*F1336*I1336,IF(AND(B1336&gt;=in_marketplace_from+in_card_months,B1336&lt;in_marketplace_from+2*in_card_months),in_card_share*d_card_rem/in_card_months*F1336*MIN(in_takeup_cap,(1+in_takeup_growth)^(D1336-1))*MIN(in_takeup_cap,(1+in_approval_growth)^(D1336-1)),0))</f>
        <v/>
      </c>
      <c r="AA1336" s="14">
        <f>V1336*in_fee*(1-in_taken_back)</f>
        <v/>
      </c>
      <c r="AB1336" s="14">
        <f>SUMIFS(W1336:W1366,B1336:B1366,B1336-in_dpd_lag)*d_dpd</f>
        <v/>
      </c>
      <c r="AC1336" s="14">
        <f>SUMIFS(W1336:W1366,B1336:B1366,B1336-in_rec_lag)*d_rec</f>
        <v/>
      </c>
      <c r="AD1336" s="14">
        <f>Z1336*in_card_fee</f>
        <v/>
      </c>
      <c r="AE1336" s="40" t="n">
        <v>1</v>
      </c>
      <c r="AF1336" s="46">
        <f>AE1336*IF(B1336&gt;=in_marketplace_from,d_hz_hlth_small*G1336,0)</f>
        <v/>
      </c>
      <c r="AG1336" s="14">
        <f>F1336*AF1336*in_hlth_small_ticket*in_hlth_small_comm*in_ins_partner_share+F1336*in_hlth_small_ticket*in_hlth_small_renew_comm*in_ins_partner_share*(in_hlth_small_renew^1*SUMIFS(AF1336:AF1366,B1336:B1366,B1336-12)+in_hlth_small_renew^2*SUMIFS(AF1336:AF1366,B1336:B1366,B1336-24)+in_hlth_small_renew^3*SUMIFS(AF1336:AF1366,B1336:B1366,B1336-36)+in_hlth_small_renew^4*SUMIFS(AF1336:AF1366,B1336:B1366,B1336-48))</f>
        <v/>
      </c>
      <c r="AH1336" s="40" t="n">
        <v>1</v>
      </c>
      <c r="AI1336" s="46">
        <f>AH1336*IF(B1336&gt;=in_marketplace_from,d_hz_hlth_family*G1336,0)</f>
        <v/>
      </c>
      <c r="AJ1336" s="14">
        <f>F1336*AI1336*in_hlth_family_ticket*in_hlth_family_comm*in_ins_partner_share+F1336*in_hlth_family_ticket*in_hlth_family_renew_comm*in_ins_partner_share*(in_hlth_family_renew^1*SUMIFS(AI1336:AI1366,B1336:B1366,B1336-12)+in_hlth_family_renew^2*SUMIFS(AI1336:AI1366,B1336:B1366,B1336-24)+in_hlth_family_renew^3*SUMIFS(AI1336:AI1366,B1336:B1366,B1336-36)+in_hlth_family_renew^4*SUMIFS(AI1336:AI1366,B1336:B1366,B1336-48))</f>
        <v/>
      </c>
      <c r="AK1336" s="40" t="n">
        <v>1</v>
      </c>
      <c r="AL1336" s="46">
        <f>AK1336*IF(B1336&gt;=in_marketplace_from,d_hz_life_term*G1336,0)</f>
        <v/>
      </c>
      <c r="AM1336" s="14">
        <f>F1336*AL1336*in_life_term_ticket*in_life_term_comm*in_ins_partner_share+F1336*in_life_term_ticket*in_life_term_renew_comm*in_ins_partner_share*(in_life_term_renew^1*SUMIFS(AL1336:AL1366,B1336:B1366,B1336-12)+in_life_term_renew^2*SUMIFS(AL1336:AL1366,B1336:B1366,B1336-24)+in_life_term_renew^3*SUMIFS(AL1336:AL1366,B1336:B1366,B1336-36)+in_life_term_renew^4*SUMIFS(AL1336:AL1366,B1336:B1366,B1336-48))</f>
        <v/>
      </c>
      <c r="AN1336" s="40" t="n">
        <v>1</v>
      </c>
      <c r="AO1336" s="46">
        <f>AN1336*IF(B1336&gt;=in_marketplace_from,d_hz_accident*G1336,0)</f>
        <v/>
      </c>
      <c r="AP1336" s="14">
        <f>F1336*AO1336*in_accident_ticket*in_accident_comm*in_ins_partner_share+F1336*in_accident_ticket*in_accident_renew_comm*in_ins_partner_share*(in_accident_renew^1*SUMIFS(AO1336:AO1366,B1336:B1366,B1336-12)+in_accident_renew^2*SUMIFS(AO1336:AO1366,B1336:B1366,B1336-24)+in_accident_renew^3*SUMIFS(AO1336:AO1366,B1336:B1366,B1336-36)+in_accident_renew^4*SUMIFS(AO1336:AO1366,B1336:B1366,B1336-48))</f>
        <v/>
      </c>
      <c r="AQ1336" s="40" t="n">
        <v>1</v>
      </c>
      <c r="AR1336" s="46">
        <f>AQ1336*IF(B1336&gt;=in_marketplace_from,d_hz_two_wheeler*G1336,0)</f>
        <v/>
      </c>
      <c r="AS1336" s="14">
        <f>F1336*AR1336*in_two_wheeler_ticket*in_two_wheeler_comm*in_ins_partner_share+F1336*in_two_wheeler_ticket*in_two_wheeler_comm*in_ins_partner_share*(in_two_wheeler_renew^1*SUMIFS(AR1336:AR1366,B1336:B1366,B1336-12)+in_two_wheeler_renew^2*SUMIFS(AR1336:AR1366,B1336:B1366,B1336-24)+in_two_wheeler_renew^3*SUMIFS(AR1336:AR1366,B1336:B1366,B1336-36)+in_two_wheeler_renew^4*SUMIFS(AR1336:AR1366,B1336:B1366,B1336-48))</f>
        <v/>
      </c>
      <c r="AT1336" s="40" t="n">
        <v>1</v>
      </c>
      <c r="AU1336" s="14">
        <f>F1336*AT1336*IF(B1336&gt;=in_marketplace_from,d_hz_device*G1336,0)*in_device_ticket*in_device_comm*in_ins_partner_share</f>
        <v/>
      </c>
      <c r="AV1336" s="40" t="n">
        <v>1</v>
      </c>
      <c r="AW1336" s="46">
        <f>AV1336*IF(B1336&gt;=in_marketplace_from,d_hz_shop*G1336,0)</f>
        <v/>
      </c>
      <c r="AX1336" s="14">
        <f>F1336*AW1336*in_shop_ticket*in_shop_comm*in_ins_partner_share+F1336*in_shop_ticket*in_shop_renew_comm*in_ins_partner_share*(in_shop_renew^1*SUMIFS(AW1336:AW1366,B1336:B1366,B1336-12)+in_shop_renew^2*SUMIFS(AW1336:AW1366,B1336:B1366,B1336-24)+in_shop_renew^3*SUMIFS(AW1336:AW1366,B1336:B1366,B1336-36)+in_shop_renew^4*SUMIFS(AW1336:AW1366,B1336:B1366,B1336-48))</f>
        <v/>
      </c>
      <c r="AY1336" s="40" t="n">
        <v>1</v>
      </c>
      <c r="AZ1336" s="40">
        <f>AY1336*IF(B1336&gt;=in_marketplace_from,d_hz_sip*G1336,0)</f>
        <v/>
      </c>
      <c r="BA1336" s="40" t="n">
        <v>0</v>
      </c>
      <c r="BB1336" s="14">
        <f>F1336*in_sip_ticket*(BA1336+0.5*AZ1336)*in_sip_comm/12</f>
        <v/>
      </c>
      <c r="BC1336" s="40" t="n">
        <v>1</v>
      </c>
      <c r="BD1336" s="46">
        <f>BC1336*IF(B1336&gt;=in_marketplace_from,d_hz_choti*G1336,0)</f>
        <v/>
      </c>
      <c r="BE1336" s="14">
        <f>F1336*SUMIFS(BD1336:BD1366,B1336:B1366,B1336-in_choti_months)*in_choti_renew*in_choti_ticket</f>
        <v/>
      </c>
      <c r="BF1336" s="40" t="n">
        <v>1</v>
      </c>
      <c r="BG1336" s="14">
        <f>F1336*BF1336*IF(B1336&gt;=in_marketplace_from,d_hz_nps*G1336,0)*in_nps_ticket*in_nps_comm</f>
        <v/>
      </c>
      <c r="BH1336" s="40" t="n">
        <v>1</v>
      </c>
      <c r="BI1336" s="40">
        <f>BH1336*IF(B1336&gt;=in_marketplace_from,d_hz_gold*G1336,0)</f>
        <v/>
      </c>
      <c r="BJ1336" s="14">
        <f>F1336*BI1336*in_gold_ticket*in_gold_comm</f>
        <v/>
      </c>
      <c r="BK1336" s="40" t="n">
        <v>1</v>
      </c>
      <c r="BL1336" s="14">
        <f>F1336*BK1336*IF(B1336&gt;=in_marketplace_from,d_hz_fd*G1336,0)*in_fd_ticket*in_fd_comm</f>
        <v/>
      </c>
      <c r="BM1336" s="40" t="n">
        <v>1</v>
      </c>
      <c r="BN1336" s="40">
        <f>BM1336*IF(B1336&gt;=in_marketplace_from,d_hz_recharge*G1336,0)</f>
        <v/>
      </c>
      <c r="BO1336" s="14">
        <f>F1336*BN1336*in_recharge_ticket*in_recharge_comm/12</f>
        <v/>
      </c>
      <c r="BP1336" s="40" t="n">
        <v>1</v>
      </c>
      <c r="BQ1336" s="40">
        <f>BP1336*IF(B1336&gt;=in_marketplace_from,d_hz_bills*G1336,0)</f>
        <v/>
      </c>
      <c r="BR1336" s="14">
        <f>F1336*BQ1336*in_bills_ticket*in_bills_comm/12</f>
        <v/>
      </c>
      <c r="BS1336" s="40" t="n">
        <v>1</v>
      </c>
      <c r="BT1336" s="14">
        <f>F1336*BS1336*IF(B1336&gt;=in_marketplace_from,d_hz_loan_gold*G1336,0)*in_loan_gold_ticket*in_loan_gold_comm</f>
        <v/>
      </c>
      <c r="BU1336" s="40" t="n">
        <v>1</v>
      </c>
      <c r="BV1336" s="14">
        <f>F1336*BU1336*IF(B1336&gt;=in_marketplace_from,d_hz_loan_cd*G1336,0)*in_loan_cd_ticket*in_loan_cd_comm</f>
        <v/>
      </c>
      <c r="BW1336" s="40" t="n">
        <v>1</v>
      </c>
      <c r="BX1336" s="14">
        <f>F1336*BW1336*IF(B1336&gt;=in_marketplace_from,d_hz_loan_vehicle*G1336,0)*in_loan_vehicle_ticket*in_loan_vehicle_comm</f>
        <v/>
      </c>
      <c r="BY1336" s="40" t="n">
        <v>1</v>
      </c>
      <c r="BZ1336" s="11">
        <f>MIN(in_approval_cap,in_loan_home_approval*INDEX('Age profile'!$O$2:$O$61,B1336)*(1+in_approval_growth)^(D1336-1))</f>
        <v/>
      </c>
      <c r="CA1336" s="14">
        <f>F1336*BY1336*IF(B1336&gt;=in_marketplace_from,d_hz_loan_home*G1336,0)*BZ1336*in_loan_home_ticket*in_loan_home_comm</f>
        <v/>
      </c>
      <c r="CB1336" s="40" t="n">
        <v>1</v>
      </c>
      <c r="CC1336" s="11">
        <f>MIN(in_approval_cap,in_loan_lap_approval*INDEX('Age profile'!$O$2:$O$61,B1336)*(1+in_approval_growth)^(D1336-1))</f>
        <v/>
      </c>
      <c r="CD1336" s="14">
        <f>F1336*CB1336*IF(B1336&gt;=in_marketplace_from,d_hz_loan_lap*G1336,0)*CC1336*in_loan_lap_ticket*in_loan_lap_comm</f>
        <v/>
      </c>
      <c r="CE1336" s="14">
        <f>AA1336+AB1336+AC1336+AD1336+AG1336+AJ1336+AM1336+AP1336+AS1336+AU1336+AX1336+BB1336+BE1336+BG1336+BJ1336+BL1336+BO1336+BR1336+BT1336+BV1336+BX1336+CA1336+CD1336</f>
        <v/>
      </c>
    </row>
    <row r="1337">
      <c r="A1337" s="39" t="n">
        <v>30</v>
      </c>
      <c r="B1337" s="39" t="n">
        <v>2</v>
      </c>
      <c r="C1337" s="39">
        <f>A1337+B1337-1</f>
        <v/>
      </c>
      <c r="D1337" s="39">
        <f>INT((C1337-1)/12)+1</f>
        <v/>
      </c>
      <c r="E1337" s="44">
        <f>INDEX(Monthly!$B$2:$B$61,A1337)</f>
        <v/>
      </c>
      <c r="F1337" s="44">
        <f>E1337*INDEX('Age profile'!$B$2:$B$61,B1337)</f>
        <v/>
      </c>
      <c r="G1337" s="45">
        <f>MIN(in_takeup_cap,INDEX('Age profile'!$N$2:$N$61,B1337)*(1+in_takeup_growth)^(D1337-1))</f>
        <v/>
      </c>
      <c r="H1337" s="11">
        <f>MIN(in_approval_cap,in_approved_first*INDEX('Age profile'!$O$2:$O$61,B1337)*(1+in_approval_growth)^(D1337-1))</f>
        <v/>
      </c>
      <c r="I1337" s="45">
        <f>G1337*MIN(in_takeup_cap,INDEX('Age profile'!$O$2:$O$61,B1337)*(1+in_approval_growth)^(D1337-1))</f>
        <v/>
      </c>
      <c r="J1337" s="40">
        <f>(J1336-L1336)*F1337/F1336</f>
        <v/>
      </c>
      <c r="K1337" s="40">
        <f>(K1336-M1336)*F1337/F1336+SUMIFS(O1336:O1336,B1336:B1336,B1337-1-d_T)*F1337</f>
        <v/>
      </c>
      <c r="L1337" s="40">
        <f>IF(B1337&gt;=in_marketplace_from,J1337*d_hz*G1337*in_eligible*H1337,0)</f>
        <v/>
      </c>
      <c r="M1337" s="40">
        <f>IF(B1337&gt;=in_marketplace_from,K1337*d_hz*G1337*in_eligible*in_approved_repeat,0)</f>
        <v/>
      </c>
      <c r="N1337" s="40">
        <f>L1337+M1337</f>
        <v/>
      </c>
      <c r="O1337" s="46">
        <f>N1337/F1337</f>
        <v/>
      </c>
      <c r="P1337" s="40">
        <f>F1337-J1337-K1337</f>
        <v/>
      </c>
      <c r="Q1337" s="40">
        <f>IF(B1337&gt;=in_marketplace_from,(J1337+K1337)*d_hz*G1337,0)</f>
        <v/>
      </c>
      <c r="R1337" s="40">
        <f>SUMIFS(N1336:N1366,B1336:B1366,"&gt;="&amp;(B1337-d_T),B1336:B1366,"&lt;="&amp;(B1337-1))</f>
        <v/>
      </c>
      <c r="S1337" s="46">
        <f>(1-d_u)*S1336+IF(d_T&gt;in_topup_lag,SUMIFS(O1336:O1366,B1336:B1366,B1337-in_topup_lag)-d_udrop*SUMIFS(O1336:O1366,B1336:B1366,B1337-d_T),0)</f>
        <v/>
      </c>
      <c r="T1337" s="40">
        <f>F1337*d_u*S1337</f>
        <v/>
      </c>
      <c r="U1337" s="9">
        <f>L1337*in_ticket+M1337*d_rep_ticket</f>
        <v/>
      </c>
      <c r="V1337" s="9">
        <f>U1337+T1337*d_topup_amt</f>
        <v/>
      </c>
      <c r="W1337" s="40">
        <f>N1337+T1337*d_topup_ratio</f>
        <v/>
      </c>
      <c r="X1337" s="40">
        <f>SUMIFS(W1336:W1366,B1336:B1366,B1337-in_dpd_lag)*d_cured</f>
        <v/>
      </c>
      <c r="Y1337" s="40">
        <f>SUMIFS(W1336:W1366,B1336:B1366,B1337-in_rec_lag)*d_recd</f>
        <v/>
      </c>
      <c r="Z1337" s="40">
        <f>IF(AND(B1337&gt;=in_marketplace_from,B1337&lt;in_marketplace_from+in_card_months),in_card_share/in_card_months*F1337*I1337,IF(AND(B1337&gt;=in_marketplace_from+in_card_months,B1337&lt;in_marketplace_from+2*in_card_months),in_card_share*d_card_rem/in_card_months*F1337*MIN(in_takeup_cap,(1+in_takeup_growth)^(D1337-1))*MIN(in_takeup_cap,(1+in_approval_growth)^(D1337-1)),0))</f>
        <v/>
      </c>
      <c r="AA1337" s="14">
        <f>V1337*in_fee*(1-in_taken_back)</f>
        <v/>
      </c>
      <c r="AB1337" s="14">
        <f>SUMIFS(W1336:W1366,B1336:B1366,B1337-in_dpd_lag)*d_dpd</f>
        <v/>
      </c>
      <c r="AC1337" s="14">
        <f>SUMIFS(W1336:W1366,B1336:B1366,B1337-in_rec_lag)*d_rec</f>
        <v/>
      </c>
      <c r="AD1337" s="14">
        <f>Z1337*in_card_fee</f>
        <v/>
      </c>
      <c r="AE1337" s="40">
        <f>AE1336*(1-IF(B1336&gt;=in_marketplace_from,d_hz_hlth_small*G1336,0))</f>
        <v/>
      </c>
      <c r="AF1337" s="46">
        <f>AE1337*IF(B1337&gt;=in_marketplace_from,d_hz_hlth_small*G1337,0)</f>
        <v/>
      </c>
      <c r="AG1337" s="14">
        <f>F1337*AF1337*in_hlth_small_ticket*in_hlth_small_comm*in_ins_partner_share+F1337*in_hlth_small_ticket*in_hlth_small_renew_comm*in_ins_partner_share*(in_hlth_small_renew^1*SUMIFS(AF1336:AF1366,B1336:B1366,B1337-12)+in_hlth_small_renew^2*SUMIFS(AF1336:AF1366,B1336:B1366,B1337-24)+in_hlth_small_renew^3*SUMIFS(AF1336:AF1366,B1336:B1366,B1337-36)+in_hlth_small_renew^4*SUMIFS(AF1336:AF1366,B1336:B1366,B1337-48))</f>
        <v/>
      </c>
      <c r="AH1337" s="40">
        <f>AH1336*(1-IF(B1336&gt;=in_marketplace_from,d_hz_hlth_family*G1336,0))</f>
        <v/>
      </c>
      <c r="AI1337" s="46">
        <f>AH1337*IF(B1337&gt;=in_marketplace_from,d_hz_hlth_family*G1337,0)</f>
        <v/>
      </c>
      <c r="AJ1337" s="14">
        <f>F1337*AI1337*in_hlth_family_ticket*in_hlth_family_comm*in_ins_partner_share+F1337*in_hlth_family_ticket*in_hlth_family_renew_comm*in_ins_partner_share*(in_hlth_family_renew^1*SUMIFS(AI1336:AI1366,B1336:B1366,B1337-12)+in_hlth_family_renew^2*SUMIFS(AI1336:AI1366,B1336:B1366,B1337-24)+in_hlth_family_renew^3*SUMIFS(AI1336:AI1366,B1336:B1366,B1337-36)+in_hlth_family_renew^4*SUMIFS(AI1336:AI1366,B1336:B1366,B1337-48))</f>
        <v/>
      </c>
      <c r="AK1337" s="40">
        <f>AK1336*(1-IF(B1336&gt;=in_marketplace_from,d_hz_life_term*G1336,0))</f>
        <v/>
      </c>
      <c r="AL1337" s="46">
        <f>AK1337*IF(B1337&gt;=in_marketplace_from,d_hz_life_term*G1337,0)</f>
        <v/>
      </c>
      <c r="AM1337" s="14">
        <f>F1337*AL1337*in_life_term_ticket*in_life_term_comm*in_ins_partner_share+F1337*in_life_term_ticket*in_life_term_renew_comm*in_ins_partner_share*(in_life_term_renew^1*SUMIFS(AL1336:AL1366,B1336:B1366,B1337-12)+in_life_term_renew^2*SUMIFS(AL1336:AL1366,B1336:B1366,B1337-24)+in_life_term_renew^3*SUMIFS(AL1336:AL1366,B1336:B1366,B1337-36)+in_life_term_renew^4*SUMIFS(AL1336:AL1366,B1336:B1366,B1337-48))</f>
        <v/>
      </c>
      <c r="AN1337" s="40">
        <f>AN1336*(1-IF(B1336&gt;=in_marketplace_from,d_hz_accident*G1336,0))</f>
        <v/>
      </c>
      <c r="AO1337" s="46">
        <f>AN1337*IF(B1337&gt;=in_marketplace_from,d_hz_accident*G1337,0)</f>
        <v/>
      </c>
      <c r="AP1337" s="14">
        <f>F1337*AO1337*in_accident_ticket*in_accident_comm*in_ins_partner_share+F1337*in_accident_ticket*in_accident_renew_comm*in_ins_partner_share*(in_accident_renew^1*SUMIFS(AO1336:AO1366,B1336:B1366,B1337-12)+in_accident_renew^2*SUMIFS(AO1336:AO1366,B1336:B1366,B1337-24)+in_accident_renew^3*SUMIFS(AO1336:AO1366,B1336:B1366,B1337-36)+in_accident_renew^4*SUMIFS(AO1336:AO1366,B1336:B1366,B1337-48))</f>
        <v/>
      </c>
      <c r="AQ1337" s="40">
        <f>AQ1336*(1-IF(B1336&gt;=in_marketplace_from,d_hz_two_wheeler*G1336,0))</f>
        <v/>
      </c>
      <c r="AR1337" s="46">
        <f>AQ1337*IF(B1337&gt;=in_marketplace_from,d_hz_two_wheeler*G1337,0)</f>
        <v/>
      </c>
      <c r="AS1337" s="14">
        <f>F1337*AR1337*in_two_wheeler_ticket*in_two_wheeler_comm*in_ins_partner_share+F1337*in_two_wheeler_ticket*in_two_wheeler_comm*in_ins_partner_share*(in_two_wheeler_renew^1*SUMIFS(AR1336:AR1366,B1336:B1366,B1337-12)+in_two_wheeler_renew^2*SUMIFS(AR1336:AR1366,B1336:B1366,B1337-24)+in_two_wheeler_renew^3*SUMIFS(AR1336:AR1366,B1336:B1366,B1337-36)+in_two_wheeler_renew^4*SUMIFS(AR1336:AR1366,B1336:B1366,B1337-48))</f>
        <v/>
      </c>
      <c r="AT1337" s="40">
        <f>AT1336*(1-IF(B1336&gt;=in_marketplace_from,d_hz_device*G1336,0))</f>
        <v/>
      </c>
      <c r="AU1337" s="14">
        <f>F1337*AT1337*IF(B1337&gt;=in_marketplace_from,d_hz_device*G1337,0)*in_device_ticket*in_device_comm*in_ins_partner_share</f>
        <v/>
      </c>
      <c r="AV1337" s="40">
        <f>AV1336*(1-IF(B1336&gt;=in_marketplace_from,d_hz_shop*G1336,0))</f>
        <v/>
      </c>
      <c r="AW1337" s="46">
        <f>AV1337*IF(B1337&gt;=in_marketplace_from,d_hz_shop*G1337,0)</f>
        <v/>
      </c>
      <c r="AX1337" s="14">
        <f>F1337*AW1337*in_shop_ticket*in_shop_comm*in_ins_partner_share+F1337*in_shop_ticket*in_shop_renew_comm*in_ins_partner_share*(in_shop_renew^1*SUMIFS(AW1336:AW1366,B1336:B1366,B1337-12)+in_shop_renew^2*SUMIFS(AW1336:AW1366,B1336:B1366,B1337-24)+in_shop_renew^3*SUMIFS(AW1336:AW1366,B1336:B1366,B1337-36)+in_shop_renew^4*SUMIFS(AW1336:AW1366,B1336:B1366,B1337-48))</f>
        <v/>
      </c>
      <c r="AY1337" s="40">
        <f>AY1336*(1-IF(B1336&gt;=in_marketplace_from,d_hz_sip*G1336,0))</f>
        <v/>
      </c>
      <c r="AZ1337" s="40">
        <f>AZ1336*d_rho_sip+AY1337*IF(B1337&gt;=in_marketplace_from,d_hz_sip*G1337,0)</f>
        <v/>
      </c>
      <c r="BA1337" s="40">
        <f>d_rho_sip*(BA1336+AZ1336)</f>
        <v/>
      </c>
      <c r="BB1337" s="14">
        <f>F1337*in_sip_ticket*(BA1337+0.5*AZ1337)*in_sip_comm/12</f>
        <v/>
      </c>
      <c r="BC1337" s="40">
        <f>BC1336*(1-IF(B1336&gt;=in_marketplace_from,d_hz_choti*G1336,0))</f>
        <v/>
      </c>
      <c r="BD1337" s="46">
        <f>BC1337*IF(B1337&gt;=in_marketplace_from,d_hz_choti*G1337,0)</f>
        <v/>
      </c>
      <c r="BE1337" s="14">
        <f>F1337*SUMIFS(BD1336:BD1366,B1336:B1366,B1337-in_choti_months)*in_choti_renew*in_choti_ticket</f>
        <v/>
      </c>
      <c r="BF1337" s="40">
        <f>BF1336*(1-IF(B1336&gt;=in_marketplace_from,d_hz_nps*G1336,0))</f>
        <v/>
      </c>
      <c r="BG1337" s="14">
        <f>F1337*BF1337*IF(B1337&gt;=in_marketplace_from,d_hz_nps*G1337,0)*in_nps_ticket*in_nps_comm</f>
        <v/>
      </c>
      <c r="BH1337" s="40">
        <f>BH1336*(1-IF(B1336&gt;=in_marketplace_from,d_hz_gold*G1336,0))</f>
        <v/>
      </c>
      <c r="BI1337" s="40">
        <f>BI1336*d_rho_gold+BH1337*IF(B1337&gt;=in_marketplace_from,d_hz_gold*G1337,0)</f>
        <v/>
      </c>
      <c r="BJ1337" s="14">
        <f>F1337*BI1337*in_gold_ticket*in_gold_comm</f>
        <v/>
      </c>
      <c r="BK1337" s="40">
        <f>BK1336*(1-IF(B1336&gt;=in_marketplace_from,d_hz_fd*G1336,0))</f>
        <v/>
      </c>
      <c r="BL1337" s="14">
        <f>F1337*BK1337*IF(B1337&gt;=in_marketplace_from,d_hz_fd*G1337,0)*in_fd_ticket*in_fd_comm</f>
        <v/>
      </c>
      <c r="BM1337" s="40">
        <f>BM1336*(1-IF(B1336&gt;=in_marketplace_from,d_hz_recharge*G1336,0))</f>
        <v/>
      </c>
      <c r="BN1337" s="40">
        <f>BN1336*d_rho_recharge+BM1337*IF(B1337&gt;=in_marketplace_from,d_hz_recharge*G1337,0)</f>
        <v/>
      </c>
      <c r="BO1337" s="14">
        <f>F1337*BN1337*in_recharge_ticket*in_recharge_comm/12</f>
        <v/>
      </c>
      <c r="BP1337" s="40">
        <f>BP1336*(1-IF(B1336&gt;=in_marketplace_from,d_hz_bills*G1336,0))</f>
        <v/>
      </c>
      <c r="BQ1337" s="40">
        <f>BQ1336*d_rho_bills+BP1337*IF(B1337&gt;=in_marketplace_from,d_hz_bills*G1337,0)</f>
        <v/>
      </c>
      <c r="BR1337" s="14">
        <f>F1337*BQ1337*in_bills_ticket*in_bills_comm/12</f>
        <v/>
      </c>
      <c r="BS1337" s="40">
        <f>BS1336*(1-IF(B1336&gt;=in_marketplace_from,d_hz_loan_gold*G1336,0))</f>
        <v/>
      </c>
      <c r="BT1337" s="14">
        <f>F1337*BS1337*IF(B1337&gt;=in_marketplace_from,d_hz_loan_gold*G1337,0)*in_loan_gold_ticket*in_loan_gold_comm</f>
        <v/>
      </c>
      <c r="BU1337" s="40">
        <f>BU1336*(1-IF(B1336&gt;=in_marketplace_from,d_hz_loan_cd*G1336,0))</f>
        <v/>
      </c>
      <c r="BV1337" s="14">
        <f>F1337*BU1337*IF(B1337&gt;=in_marketplace_from,d_hz_loan_cd*G1337,0)*in_loan_cd_ticket*in_loan_cd_comm</f>
        <v/>
      </c>
      <c r="BW1337" s="40">
        <f>BW1336*(1-IF(B1336&gt;=in_marketplace_from,d_hz_loan_vehicle*G1336,0))</f>
        <v/>
      </c>
      <c r="BX1337" s="14">
        <f>F1337*BW1337*IF(B1337&gt;=in_marketplace_from,d_hz_loan_vehicle*G1337,0)*in_loan_vehicle_ticket*in_loan_vehicle_comm</f>
        <v/>
      </c>
      <c r="BY1337" s="40">
        <f>BY1336*(1-IF(B1336&gt;=in_marketplace_from,d_hz_loan_home*G1336,0)*BZ1336)</f>
        <v/>
      </c>
      <c r="BZ1337" s="11">
        <f>MIN(in_approval_cap,in_loan_home_approval*INDEX('Age profile'!$O$2:$O$61,B1337)*(1+in_approval_growth)^(D1337-1))</f>
        <v/>
      </c>
      <c r="CA1337" s="14">
        <f>F1337*BY1337*IF(B1337&gt;=in_marketplace_from,d_hz_loan_home*G1337,0)*BZ1337*in_loan_home_ticket*in_loan_home_comm</f>
        <v/>
      </c>
      <c r="CB1337" s="40">
        <f>CB1336*(1-IF(B1336&gt;=in_marketplace_from,d_hz_loan_lap*G1336,0)*CC1336)</f>
        <v/>
      </c>
      <c r="CC1337" s="11">
        <f>MIN(in_approval_cap,in_loan_lap_approval*INDEX('Age profile'!$O$2:$O$61,B1337)*(1+in_approval_growth)^(D1337-1))</f>
        <v/>
      </c>
      <c r="CD1337" s="14">
        <f>F1337*CB1337*IF(B1337&gt;=in_marketplace_from,d_hz_loan_lap*G1337,0)*CC1337*in_loan_lap_ticket*in_loan_lap_comm</f>
        <v/>
      </c>
      <c r="CE1337" s="14">
        <f>AA1337+AB1337+AC1337+AD1337+AG1337+AJ1337+AM1337+AP1337+AS1337+AU1337+AX1337+BB1337+BE1337+BG1337+BJ1337+BL1337+BO1337+BR1337+BT1337+BV1337+BX1337+CA1337+CD1337</f>
        <v/>
      </c>
    </row>
    <row r="1338">
      <c r="A1338" s="39" t="n">
        <v>30</v>
      </c>
      <c r="B1338" s="39" t="n">
        <v>3</v>
      </c>
      <c r="C1338" s="39">
        <f>A1338+B1338-1</f>
        <v/>
      </c>
      <c r="D1338" s="39">
        <f>INT((C1338-1)/12)+1</f>
        <v/>
      </c>
      <c r="E1338" s="44">
        <f>INDEX(Monthly!$B$2:$B$61,A1338)</f>
        <v/>
      </c>
      <c r="F1338" s="44">
        <f>E1338*INDEX('Age profile'!$B$2:$B$61,B1338)</f>
        <v/>
      </c>
      <c r="G1338" s="45">
        <f>MIN(in_takeup_cap,INDEX('Age profile'!$N$2:$N$61,B1338)*(1+in_takeup_growth)^(D1338-1))</f>
        <v/>
      </c>
      <c r="H1338" s="11">
        <f>MIN(in_approval_cap,in_approved_first*INDEX('Age profile'!$O$2:$O$61,B1338)*(1+in_approval_growth)^(D1338-1))</f>
        <v/>
      </c>
      <c r="I1338" s="45">
        <f>G1338*MIN(in_takeup_cap,INDEX('Age profile'!$O$2:$O$61,B1338)*(1+in_approval_growth)^(D1338-1))</f>
        <v/>
      </c>
      <c r="J1338" s="40">
        <f>(J1337-L1337)*F1338/F1337</f>
        <v/>
      </c>
      <c r="K1338" s="40">
        <f>(K1337-M1337)*F1338/F1337+SUMIFS(O1336:O1337,B1336:B1337,B1338-1-d_T)*F1338</f>
        <v/>
      </c>
      <c r="L1338" s="40">
        <f>IF(B1338&gt;=in_marketplace_from,J1338*d_hz*G1338*in_eligible*H1338,0)</f>
        <v/>
      </c>
      <c r="M1338" s="40">
        <f>IF(B1338&gt;=in_marketplace_from,K1338*d_hz*G1338*in_eligible*in_approved_repeat,0)</f>
        <v/>
      </c>
      <c r="N1338" s="40">
        <f>L1338+M1338</f>
        <v/>
      </c>
      <c r="O1338" s="46">
        <f>N1338/F1338</f>
        <v/>
      </c>
      <c r="P1338" s="40">
        <f>F1338-J1338-K1338</f>
        <v/>
      </c>
      <c r="Q1338" s="40">
        <f>IF(B1338&gt;=in_marketplace_from,(J1338+K1338)*d_hz*G1338,0)</f>
        <v/>
      </c>
      <c r="R1338" s="40">
        <f>SUMIFS(N1336:N1366,B1336:B1366,"&gt;="&amp;(B1338-d_T),B1336:B1366,"&lt;="&amp;(B1338-1))</f>
        <v/>
      </c>
      <c r="S1338" s="46">
        <f>(1-d_u)*S1337+IF(d_T&gt;in_topup_lag,SUMIFS(O1336:O1366,B1336:B1366,B1338-in_topup_lag)-d_udrop*SUMIFS(O1336:O1366,B1336:B1366,B1338-d_T),0)</f>
        <v/>
      </c>
      <c r="T1338" s="40">
        <f>F1338*d_u*S1338</f>
        <v/>
      </c>
      <c r="U1338" s="9">
        <f>L1338*in_ticket+M1338*d_rep_ticket</f>
        <v/>
      </c>
      <c r="V1338" s="9">
        <f>U1338+T1338*d_topup_amt</f>
        <v/>
      </c>
      <c r="W1338" s="40">
        <f>N1338+T1338*d_topup_ratio</f>
        <v/>
      </c>
      <c r="X1338" s="40">
        <f>SUMIFS(W1336:W1366,B1336:B1366,B1338-in_dpd_lag)*d_cured</f>
        <v/>
      </c>
      <c r="Y1338" s="40">
        <f>SUMIFS(W1336:W1366,B1336:B1366,B1338-in_rec_lag)*d_recd</f>
        <v/>
      </c>
      <c r="Z1338" s="40">
        <f>IF(AND(B1338&gt;=in_marketplace_from,B1338&lt;in_marketplace_from+in_card_months),in_card_share/in_card_months*F1338*I1338,IF(AND(B1338&gt;=in_marketplace_from+in_card_months,B1338&lt;in_marketplace_from+2*in_card_months),in_card_share*d_card_rem/in_card_months*F1338*MIN(in_takeup_cap,(1+in_takeup_growth)^(D1338-1))*MIN(in_takeup_cap,(1+in_approval_growth)^(D1338-1)),0))</f>
        <v/>
      </c>
      <c r="AA1338" s="14">
        <f>V1338*in_fee*(1-in_taken_back)</f>
        <v/>
      </c>
      <c r="AB1338" s="14">
        <f>SUMIFS(W1336:W1366,B1336:B1366,B1338-in_dpd_lag)*d_dpd</f>
        <v/>
      </c>
      <c r="AC1338" s="14">
        <f>SUMIFS(W1336:W1366,B1336:B1366,B1338-in_rec_lag)*d_rec</f>
        <v/>
      </c>
      <c r="AD1338" s="14">
        <f>Z1338*in_card_fee</f>
        <v/>
      </c>
      <c r="AE1338" s="40">
        <f>AE1337*(1-IF(B1337&gt;=in_marketplace_from,d_hz_hlth_small*G1337,0))</f>
        <v/>
      </c>
      <c r="AF1338" s="46">
        <f>AE1338*IF(B1338&gt;=in_marketplace_from,d_hz_hlth_small*G1338,0)</f>
        <v/>
      </c>
      <c r="AG1338" s="14">
        <f>F1338*AF1338*in_hlth_small_ticket*in_hlth_small_comm*in_ins_partner_share+F1338*in_hlth_small_ticket*in_hlth_small_renew_comm*in_ins_partner_share*(in_hlth_small_renew^1*SUMIFS(AF1336:AF1366,B1336:B1366,B1338-12)+in_hlth_small_renew^2*SUMIFS(AF1336:AF1366,B1336:B1366,B1338-24)+in_hlth_small_renew^3*SUMIFS(AF1336:AF1366,B1336:B1366,B1338-36)+in_hlth_small_renew^4*SUMIFS(AF1336:AF1366,B1336:B1366,B1338-48))</f>
        <v/>
      </c>
      <c r="AH1338" s="40">
        <f>AH1337*(1-IF(B1337&gt;=in_marketplace_from,d_hz_hlth_family*G1337,0))</f>
        <v/>
      </c>
      <c r="AI1338" s="46">
        <f>AH1338*IF(B1338&gt;=in_marketplace_from,d_hz_hlth_family*G1338,0)</f>
        <v/>
      </c>
      <c r="AJ1338" s="14">
        <f>F1338*AI1338*in_hlth_family_ticket*in_hlth_family_comm*in_ins_partner_share+F1338*in_hlth_family_ticket*in_hlth_family_renew_comm*in_ins_partner_share*(in_hlth_family_renew^1*SUMIFS(AI1336:AI1366,B1336:B1366,B1338-12)+in_hlth_family_renew^2*SUMIFS(AI1336:AI1366,B1336:B1366,B1338-24)+in_hlth_family_renew^3*SUMIFS(AI1336:AI1366,B1336:B1366,B1338-36)+in_hlth_family_renew^4*SUMIFS(AI1336:AI1366,B1336:B1366,B1338-48))</f>
        <v/>
      </c>
      <c r="AK1338" s="40">
        <f>AK1337*(1-IF(B1337&gt;=in_marketplace_from,d_hz_life_term*G1337,0))</f>
        <v/>
      </c>
      <c r="AL1338" s="46">
        <f>AK1338*IF(B1338&gt;=in_marketplace_from,d_hz_life_term*G1338,0)</f>
        <v/>
      </c>
      <c r="AM1338" s="14">
        <f>F1338*AL1338*in_life_term_ticket*in_life_term_comm*in_ins_partner_share+F1338*in_life_term_ticket*in_life_term_renew_comm*in_ins_partner_share*(in_life_term_renew^1*SUMIFS(AL1336:AL1366,B1336:B1366,B1338-12)+in_life_term_renew^2*SUMIFS(AL1336:AL1366,B1336:B1366,B1338-24)+in_life_term_renew^3*SUMIFS(AL1336:AL1366,B1336:B1366,B1338-36)+in_life_term_renew^4*SUMIFS(AL1336:AL1366,B1336:B1366,B1338-48))</f>
        <v/>
      </c>
      <c r="AN1338" s="40">
        <f>AN1337*(1-IF(B1337&gt;=in_marketplace_from,d_hz_accident*G1337,0))</f>
        <v/>
      </c>
      <c r="AO1338" s="46">
        <f>AN1338*IF(B1338&gt;=in_marketplace_from,d_hz_accident*G1338,0)</f>
        <v/>
      </c>
      <c r="AP1338" s="14">
        <f>F1338*AO1338*in_accident_ticket*in_accident_comm*in_ins_partner_share+F1338*in_accident_ticket*in_accident_renew_comm*in_ins_partner_share*(in_accident_renew^1*SUMIFS(AO1336:AO1366,B1336:B1366,B1338-12)+in_accident_renew^2*SUMIFS(AO1336:AO1366,B1336:B1366,B1338-24)+in_accident_renew^3*SUMIFS(AO1336:AO1366,B1336:B1366,B1338-36)+in_accident_renew^4*SUMIFS(AO1336:AO1366,B1336:B1366,B1338-48))</f>
        <v/>
      </c>
      <c r="AQ1338" s="40">
        <f>AQ1337*(1-IF(B1337&gt;=in_marketplace_from,d_hz_two_wheeler*G1337,0))</f>
        <v/>
      </c>
      <c r="AR1338" s="46">
        <f>AQ1338*IF(B1338&gt;=in_marketplace_from,d_hz_two_wheeler*G1338,0)</f>
        <v/>
      </c>
      <c r="AS1338" s="14">
        <f>F1338*AR1338*in_two_wheeler_ticket*in_two_wheeler_comm*in_ins_partner_share+F1338*in_two_wheeler_ticket*in_two_wheeler_comm*in_ins_partner_share*(in_two_wheeler_renew^1*SUMIFS(AR1336:AR1366,B1336:B1366,B1338-12)+in_two_wheeler_renew^2*SUMIFS(AR1336:AR1366,B1336:B1366,B1338-24)+in_two_wheeler_renew^3*SUMIFS(AR1336:AR1366,B1336:B1366,B1338-36)+in_two_wheeler_renew^4*SUMIFS(AR1336:AR1366,B1336:B1366,B1338-48))</f>
        <v/>
      </c>
      <c r="AT1338" s="40">
        <f>AT1337*(1-IF(B1337&gt;=in_marketplace_from,d_hz_device*G1337,0))</f>
        <v/>
      </c>
      <c r="AU1338" s="14">
        <f>F1338*AT1338*IF(B1338&gt;=in_marketplace_from,d_hz_device*G1338,0)*in_device_ticket*in_device_comm*in_ins_partner_share</f>
        <v/>
      </c>
      <c r="AV1338" s="40">
        <f>AV1337*(1-IF(B1337&gt;=in_marketplace_from,d_hz_shop*G1337,0))</f>
        <v/>
      </c>
      <c r="AW1338" s="46">
        <f>AV1338*IF(B1338&gt;=in_marketplace_from,d_hz_shop*G1338,0)</f>
        <v/>
      </c>
      <c r="AX1338" s="14">
        <f>F1338*AW1338*in_shop_ticket*in_shop_comm*in_ins_partner_share+F1338*in_shop_ticket*in_shop_renew_comm*in_ins_partner_share*(in_shop_renew^1*SUMIFS(AW1336:AW1366,B1336:B1366,B1338-12)+in_shop_renew^2*SUMIFS(AW1336:AW1366,B1336:B1366,B1338-24)+in_shop_renew^3*SUMIFS(AW1336:AW1366,B1336:B1366,B1338-36)+in_shop_renew^4*SUMIFS(AW1336:AW1366,B1336:B1366,B1338-48))</f>
        <v/>
      </c>
      <c r="AY1338" s="40">
        <f>AY1337*(1-IF(B1337&gt;=in_marketplace_from,d_hz_sip*G1337,0))</f>
        <v/>
      </c>
      <c r="AZ1338" s="40">
        <f>AZ1337*d_rho_sip+AY1338*IF(B1338&gt;=in_marketplace_from,d_hz_sip*G1338,0)</f>
        <v/>
      </c>
      <c r="BA1338" s="40">
        <f>d_rho_sip*(BA1337+AZ1337)</f>
        <v/>
      </c>
      <c r="BB1338" s="14">
        <f>F1338*in_sip_ticket*(BA1338+0.5*AZ1338)*in_sip_comm/12</f>
        <v/>
      </c>
      <c r="BC1338" s="40">
        <f>BC1337*(1-IF(B1337&gt;=in_marketplace_from,d_hz_choti*G1337,0))</f>
        <v/>
      </c>
      <c r="BD1338" s="46">
        <f>BC1338*IF(B1338&gt;=in_marketplace_from,d_hz_choti*G1338,0)</f>
        <v/>
      </c>
      <c r="BE1338" s="14">
        <f>F1338*SUMIFS(BD1336:BD1366,B1336:B1366,B1338-in_choti_months)*in_choti_renew*in_choti_ticket</f>
        <v/>
      </c>
      <c r="BF1338" s="40">
        <f>BF1337*(1-IF(B1337&gt;=in_marketplace_from,d_hz_nps*G1337,0))</f>
        <v/>
      </c>
      <c r="BG1338" s="14">
        <f>F1338*BF1338*IF(B1338&gt;=in_marketplace_from,d_hz_nps*G1338,0)*in_nps_ticket*in_nps_comm</f>
        <v/>
      </c>
      <c r="BH1338" s="40">
        <f>BH1337*(1-IF(B1337&gt;=in_marketplace_from,d_hz_gold*G1337,0))</f>
        <v/>
      </c>
      <c r="BI1338" s="40">
        <f>BI1337*d_rho_gold+BH1338*IF(B1338&gt;=in_marketplace_from,d_hz_gold*G1338,0)</f>
        <v/>
      </c>
      <c r="BJ1338" s="14">
        <f>F1338*BI1338*in_gold_ticket*in_gold_comm</f>
        <v/>
      </c>
      <c r="BK1338" s="40">
        <f>BK1337*(1-IF(B1337&gt;=in_marketplace_from,d_hz_fd*G1337,0))</f>
        <v/>
      </c>
      <c r="BL1338" s="14">
        <f>F1338*BK1338*IF(B1338&gt;=in_marketplace_from,d_hz_fd*G1338,0)*in_fd_ticket*in_fd_comm</f>
        <v/>
      </c>
      <c r="BM1338" s="40">
        <f>BM1337*(1-IF(B1337&gt;=in_marketplace_from,d_hz_recharge*G1337,0))</f>
        <v/>
      </c>
      <c r="BN1338" s="40">
        <f>BN1337*d_rho_recharge+BM1338*IF(B1338&gt;=in_marketplace_from,d_hz_recharge*G1338,0)</f>
        <v/>
      </c>
      <c r="BO1338" s="14">
        <f>F1338*BN1338*in_recharge_ticket*in_recharge_comm/12</f>
        <v/>
      </c>
      <c r="BP1338" s="40">
        <f>BP1337*(1-IF(B1337&gt;=in_marketplace_from,d_hz_bills*G1337,0))</f>
        <v/>
      </c>
      <c r="BQ1338" s="40">
        <f>BQ1337*d_rho_bills+BP1338*IF(B1338&gt;=in_marketplace_from,d_hz_bills*G1338,0)</f>
        <v/>
      </c>
      <c r="BR1338" s="14">
        <f>F1338*BQ1338*in_bills_ticket*in_bills_comm/12</f>
        <v/>
      </c>
      <c r="BS1338" s="40">
        <f>BS1337*(1-IF(B1337&gt;=in_marketplace_from,d_hz_loan_gold*G1337,0))</f>
        <v/>
      </c>
      <c r="BT1338" s="14">
        <f>F1338*BS1338*IF(B1338&gt;=in_marketplace_from,d_hz_loan_gold*G1338,0)*in_loan_gold_ticket*in_loan_gold_comm</f>
        <v/>
      </c>
      <c r="BU1338" s="40">
        <f>BU1337*(1-IF(B1337&gt;=in_marketplace_from,d_hz_loan_cd*G1337,0))</f>
        <v/>
      </c>
      <c r="BV1338" s="14">
        <f>F1338*BU1338*IF(B1338&gt;=in_marketplace_from,d_hz_loan_cd*G1338,0)*in_loan_cd_ticket*in_loan_cd_comm</f>
        <v/>
      </c>
      <c r="BW1338" s="40">
        <f>BW1337*(1-IF(B1337&gt;=in_marketplace_from,d_hz_loan_vehicle*G1337,0))</f>
        <v/>
      </c>
      <c r="BX1338" s="14">
        <f>F1338*BW1338*IF(B1338&gt;=in_marketplace_from,d_hz_loan_vehicle*G1338,0)*in_loan_vehicle_ticket*in_loan_vehicle_comm</f>
        <v/>
      </c>
      <c r="BY1338" s="40">
        <f>BY1337*(1-IF(B1337&gt;=in_marketplace_from,d_hz_loan_home*G1337,0)*BZ1337)</f>
        <v/>
      </c>
      <c r="BZ1338" s="11">
        <f>MIN(in_approval_cap,in_loan_home_approval*INDEX('Age profile'!$O$2:$O$61,B1338)*(1+in_approval_growth)^(D1338-1))</f>
        <v/>
      </c>
      <c r="CA1338" s="14">
        <f>F1338*BY1338*IF(B1338&gt;=in_marketplace_from,d_hz_loan_home*G1338,0)*BZ1338*in_loan_home_ticket*in_loan_home_comm</f>
        <v/>
      </c>
      <c r="CB1338" s="40">
        <f>CB1337*(1-IF(B1337&gt;=in_marketplace_from,d_hz_loan_lap*G1337,0)*CC1337)</f>
        <v/>
      </c>
      <c r="CC1338" s="11">
        <f>MIN(in_approval_cap,in_loan_lap_approval*INDEX('Age profile'!$O$2:$O$61,B1338)*(1+in_approval_growth)^(D1338-1))</f>
        <v/>
      </c>
      <c r="CD1338" s="14">
        <f>F1338*CB1338*IF(B1338&gt;=in_marketplace_from,d_hz_loan_lap*G1338,0)*CC1338*in_loan_lap_ticket*in_loan_lap_comm</f>
        <v/>
      </c>
      <c r="CE1338" s="14">
        <f>AA1338+AB1338+AC1338+AD1338+AG1338+AJ1338+AM1338+AP1338+AS1338+AU1338+AX1338+BB1338+BE1338+BG1338+BJ1338+BL1338+BO1338+BR1338+BT1338+BV1338+BX1338+CA1338+CD1338</f>
        <v/>
      </c>
    </row>
    <row r="1339">
      <c r="A1339" s="39" t="n">
        <v>30</v>
      </c>
      <c r="B1339" s="39" t="n">
        <v>4</v>
      </c>
      <c r="C1339" s="39">
        <f>A1339+B1339-1</f>
        <v/>
      </c>
      <c r="D1339" s="39">
        <f>INT((C1339-1)/12)+1</f>
        <v/>
      </c>
      <c r="E1339" s="44">
        <f>INDEX(Monthly!$B$2:$B$61,A1339)</f>
        <v/>
      </c>
      <c r="F1339" s="44">
        <f>E1339*INDEX('Age profile'!$B$2:$B$61,B1339)</f>
        <v/>
      </c>
      <c r="G1339" s="45">
        <f>MIN(in_takeup_cap,INDEX('Age profile'!$N$2:$N$61,B1339)*(1+in_takeup_growth)^(D1339-1))</f>
        <v/>
      </c>
      <c r="H1339" s="11">
        <f>MIN(in_approval_cap,in_approved_first*INDEX('Age profile'!$O$2:$O$61,B1339)*(1+in_approval_growth)^(D1339-1))</f>
        <v/>
      </c>
      <c r="I1339" s="45">
        <f>G1339*MIN(in_takeup_cap,INDEX('Age profile'!$O$2:$O$61,B1339)*(1+in_approval_growth)^(D1339-1))</f>
        <v/>
      </c>
      <c r="J1339" s="40">
        <f>(J1338-L1338)*F1339/F1338</f>
        <v/>
      </c>
      <c r="K1339" s="40">
        <f>(K1338-M1338)*F1339/F1338+SUMIFS(O1336:O1338,B1336:B1338,B1339-1-d_T)*F1339</f>
        <v/>
      </c>
      <c r="L1339" s="40">
        <f>IF(B1339&gt;=in_marketplace_from,J1339*d_hz*G1339*in_eligible*H1339,0)</f>
        <v/>
      </c>
      <c r="M1339" s="40">
        <f>IF(B1339&gt;=in_marketplace_from,K1339*d_hz*G1339*in_eligible*in_approved_repeat,0)</f>
        <v/>
      </c>
      <c r="N1339" s="40">
        <f>L1339+M1339</f>
        <v/>
      </c>
      <c r="O1339" s="46">
        <f>N1339/F1339</f>
        <v/>
      </c>
      <c r="P1339" s="40">
        <f>F1339-J1339-K1339</f>
        <v/>
      </c>
      <c r="Q1339" s="40">
        <f>IF(B1339&gt;=in_marketplace_from,(J1339+K1339)*d_hz*G1339,0)</f>
        <v/>
      </c>
      <c r="R1339" s="40">
        <f>SUMIFS(N1336:N1366,B1336:B1366,"&gt;="&amp;(B1339-d_T),B1336:B1366,"&lt;="&amp;(B1339-1))</f>
        <v/>
      </c>
      <c r="S1339" s="46">
        <f>(1-d_u)*S1338+IF(d_T&gt;in_topup_lag,SUMIFS(O1336:O1366,B1336:B1366,B1339-in_topup_lag)-d_udrop*SUMIFS(O1336:O1366,B1336:B1366,B1339-d_T),0)</f>
        <v/>
      </c>
      <c r="T1339" s="40">
        <f>F1339*d_u*S1339</f>
        <v/>
      </c>
      <c r="U1339" s="9">
        <f>L1339*in_ticket+M1339*d_rep_ticket</f>
        <v/>
      </c>
      <c r="V1339" s="9">
        <f>U1339+T1339*d_topup_amt</f>
        <v/>
      </c>
      <c r="W1339" s="40">
        <f>N1339+T1339*d_topup_ratio</f>
        <v/>
      </c>
      <c r="X1339" s="40">
        <f>SUMIFS(W1336:W1366,B1336:B1366,B1339-in_dpd_lag)*d_cured</f>
        <v/>
      </c>
      <c r="Y1339" s="40">
        <f>SUMIFS(W1336:W1366,B1336:B1366,B1339-in_rec_lag)*d_recd</f>
        <v/>
      </c>
      <c r="Z1339" s="40">
        <f>IF(AND(B1339&gt;=in_marketplace_from,B1339&lt;in_marketplace_from+in_card_months),in_card_share/in_card_months*F1339*I1339,IF(AND(B1339&gt;=in_marketplace_from+in_card_months,B1339&lt;in_marketplace_from+2*in_card_months),in_card_share*d_card_rem/in_card_months*F1339*MIN(in_takeup_cap,(1+in_takeup_growth)^(D1339-1))*MIN(in_takeup_cap,(1+in_approval_growth)^(D1339-1)),0))</f>
        <v/>
      </c>
      <c r="AA1339" s="14">
        <f>V1339*in_fee*(1-in_taken_back)</f>
        <v/>
      </c>
      <c r="AB1339" s="14">
        <f>SUMIFS(W1336:W1366,B1336:B1366,B1339-in_dpd_lag)*d_dpd</f>
        <v/>
      </c>
      <c r="AC1339" s="14">
        <f>SUMIFS(W1336:W1366,B1336:B1366,B1339-in_rec_lag)*d_rec</f>
        <v/>
      </c>
      <c r="AD1339" s="14">
        <f>Z1339*in_card_fee</f>
        <v/>
      </c>
      <c r="AE1339" s="40">
        <f>AE1338*(1-IF(B1338&gt;=in_marketplace_from,d_hz_hlth_small*G1338,0))</f>
        <v/>
      </c>
      <c r="AF1339" s="46">
        <f>AE1339*IF(B1339&gt;=in_marketplace_from,d_hz_hlth_small*G1339,0)</f>
        <v/>
      </c>
      <c r="AG1339" s="14">
        <f>F1339*AF1339*in_hlth_small_ticket*in_hlth_small_comm*in_ins_partner_share+F1339*in_hlth_small_ticket*in_hlth_small_renew_comm*in_ins_partner_share*(in_hlth_small_renew^1*SUMIFS(AF1336:AF1366,B1336:B1366,B1339-12)+in_hlth_small_renew^2*SUMIFS(AF1336:AF1366,B1336:B1366,B1339-24)+in_hlth_small_renew^3*SUMIFS(AF1336:AF1366,B1336:B1366,B1339-36)+in_hlth_small_renew^4*SUMIFS(AF1336:AF1366,B1336:B1366,B1339-48))</f>
        <v/>
      </c>
      <c r="AH1339" s="40">
        <f>AH1338*(1-IF(B1338&gt;=in_marketplace_from,d_hz_hlth_family*G1338,0))</f>
        <v/>
      </c>
      <c r="AI1339" s="46">
        <f>AH1339*IF(B1339&gt;=in_marketplace_from,d_hz_hlth_family*G1339,0)</f>
        <v/>
      </c>
      <c r="AJ1339" s="14">
        <f>F1339*AI1339*in_hlth_family_ticket*in_hlth_family_comm*in_ins_partner_share+F1339*in_hlth_family_ticket*in_hlth_family_renew_comm*in_ins_partner_share*(in_hlth_family_renew^1*SUMIFS(AI1336:AI1366,B1336:B1366,B1339-12)+in_hlth_family_renew^2*SUMIFS(AI1336:AI1366,B1336:B1366,B1339-24)+in_hlth_family_renew^3*SUMIFS(AI1336:AI1366,B1336:B1366,B1339-36)+in_hlth_family_renew^4*SUMIFS(AI1336:AI1366,B1336:B1366,B1339-48))</f>
        <v/>
      </c>
      <c r="AK1339" s="40">
        <f>AK1338*(1-IF(B1338&gt;=in_marketplace_from,d_hz_life_term*G1338,0))</f>
        <v/>
      </c>
      <c r="AL1339" s="46">
        <f>AK1339*IF(B1339&gt;=in_marketplace_from,d_hz_life_term*G1339,0)</f>
        <v/>
      </c>
      <c r="AM1339" s="14">
        <f>F1339*AL1339*in_life_term_ticket*in_life_term_comm*in_ins_partner_share+F1339*in_life_term_ticket*in_life_term_renew_comm*in_ins_partner_share*(in_life_term_renew^1*SUMIFS(AL1336:AL1366,B1336:B1366,B1339-12)+in_life_term_renew^2*SUMIFS(AL1336:AL1366,B1336:B1366,B1339-24)+in_life_term_renew^3*SUMIFS(AL1336:AL1366,B1336:B1366,B1339-36)+in_life_term_renew^4*SUMIFS(AL1336:AL1366,B1336:B1366,B1339-48))</f>
        <v/>
      </c>
      <c r="AN1339" s="40">
        <f>AN1338*(1-IF(B1338&gt;=in_marketplace_from,d_hz_accident*G1338,0))</f>
        <v/>
      </c>
      <c r="AO1339" s="46">
        <f>AN1339*IF(B1339&gt;=in_marketplace_from,d_hz_accident*G1339,0)</f>
        <v/>
      </c>
      <c r="AP1339" s="14">
        <f>F1339*AO1339*in_accident_ticket*in_accident_comm*in_ins_partner_share+F1339*in_accident_ticket*in_accident_renew_comm*in_ins_partner_share*(in_accident_renew^1*SUMIFS(AO1336:AO1366,B1336:B1366,B1339-12)+in_accident_renew^2*SUMIFS(AO1336:AO1366,B1336:B1366,B1339-24)+in_accident_renew^3*SUMIFS(AO1336:AO1366,B1336:B1366,B1339-36)+in_accident_renew^4*SUMIFS(AO1336:AO1366,B1336:B1366,B1339-48))</f>
        <v/>
      </c>
      <c r="AQ1339" s="40">
        <f>AQ1338*(1-IF(B1338&gt;=in_marketplace_from,d_hz_two_wheeler*G1338,0))</f>
        <v/>
      </c>
      <c r="AR1339" s="46">
        <f>AQ1339*IF(B1339&gt;=in_marketplace_from,d_hz_two_wheeler*G1339,0)</f>
        <v/>
      </c>
      <c r="AS1339" s="14">
        <f>F1339*AR1339*in_two_wheeler_ticket*in_two_wheeler_comm*in_ins_partner_share+F1339*in_two_wheeler_ticket*in_two_wheeler_comm*in_ins_partner_share*(in_two_wheeler_renew^1*SUMIFS(AR1336:AR1366,B1336:B1366,B1339-12)+in_two_wheeler_renew^2*SUMIFS(AR1336:AR1366,B1336:B1366,B1339-24)+in_two_wheeler_renew^3*SUMIFS(AR1336:AR1366,B1336:B1366,B1339-36)+in_two_wheeler_renew^4*SUMIFS(AR1336:AR1366,B1336:B1366,B1339-48))</f>
        <v/>
      </c>
      <c r="AT1339" s="40">
        <f>AT1338*(1-IF(B1338&gt;=in_marketplace_from,d_hz_device*G1338,0))</f>
        <v/>
      </c>
      <c r="AU1339" s="14">
        <f>F1339*AT1339*IF(B1339&gt;=in_marketplace_from,d_hz_device*G1339,0)*in_device_ticket*in_device_comm*in_ins_partner_share</f>
        <v/>
      </c>
      <c r="AV1339" s="40">
        <f>AV1338*(1-IF(B1338&gt;=in_marketplace_from,d_hz_shop*G1338,0))</f>
        <v/>
      </c>
      <c r="AW1339" s="46">
        <f>AV1339*IF(B1339&gt;=in_marketplace_from,d_hz_shop*G1339,0)</f>
        <v/>
      </c>
      <c r="AX1339" s="14">
        <f>F1339*AW1339*in_shop_ticket*in_shop_comm*in_ins_partner_share+F1339*in_shop_ticket*in_shop_renew_comm*in_ins_partner_share*(in_shop_renew^1*SUMIFS(AW1336:AW1366,B1336:B1366,B1339-12)+in_shop_renew^2*SUMIFS(AW1336:AW1366,B1336:B1366,B1339-24)+in_shop_renew^3*SUMIFS(AW1336:AW1366,B1336:B1366,B1339-36)+in_shop_renew^4*SUMIFS(AW1336:AW1366,B1336:B1366,B1339-48))</f>
        <v/>
      </c>
      <c r="AY1339" s="40">
        <f>AY1338*(1-IF(B1338&gt;=in_marketplace_from,d_hz_sip*G1338,0))</f>
        <v/>
      </c>
      <c r="AZ1339" s="40">
        <f>AZ1338*d_rho_sip+AY1339*IF(B1339&gt;=in_marketplace_from,d_hz_sip*G1339,0)</f>
        <v/>
      </c>
      <c r="BA1339" s="40">
        <f>d_rho_sip*(BA1338+AZ1338)</f>
        <v/>
      </c>
      <c r="BB1339" s="14">
        <f>F1339*in_sip_ticket*(BA1339+0.5*AZ1339)*in_sip_comm/12</f>
        <v/>
      </c>
      <c r="BC1339" s="40">
        <f>BC1338*(1-IF(B1338&gt;=in_marketplace_from,d_hz_choti*G1338,0))</f>
        <v/>
      </c>
      <c r="BD1339" s="46">
        <f>BC1339*IF(B1339&gt;=in_marketplace_from,d_hz_choti*G1339,0)</f>
        <v/>
      </c>
      <c r="BE1339" s="14">
        <f>F1339*SUMIFS(BD1336:BD1366,B1336:B1366,B1339-in_choti_months)*in_choti_renew*in_choti_ticket</f>
        <v/>
      </c>
      <c r="BF1339" s="40">
        <f>BF1338*(1-IF(B1338&gt;=in_marketplace_from,d_hz_nps*G1338,0))</f>
        <v/>
      </c>
      <c r="BG1339" s="14">
        <f>F1339*BF1339*IF(B1339&gt;=in_marketplace_from,d_hz_nps*G1339,0)*in_nps_ticket*in_nps_comm</f>
        <v/>
      </c>
      <c r="BH1339" s="40">
        <f>BH1338*(1-IF(B1338&gt;=in_marketplace_from,d_hz_gold*G1338,0))</f>
        <v/>
      </c>
      <c r="BI1339" s="40">
        <f>BI1338*d_rho_gold+BH1339*IF(B1339&gt;=in_marketplace_from,d_hz_gold*G1339,0)</f>
        <v/>
      </c>
      <c r="BJ1339" s="14">
        <f>F1339*BI1339*in_gold_ticket*in_gold_comm</f>
        <v/>
      </c>
      <c r="BK1339" s="40">
        <f>BK1338*(1-IF(B1338&gt;=in_marketplace_from,d_hz_fd*G1338,0))</f>
        <v/>
      </c>
      <c r="BL1339" s="14">
        <f>F1339*BK1339*IF(B1339&gt;=in_marketplace_from,d_hz_fd*G1339,0)*in_fd_ticket*in_fd_comm</f>
        <v/>
      </c>
      <c r="BM1339" s="40">
        <f>BM1338*(1-IF(B1338&gt;=in_marketplace_from,d_hz_recharge*G1338,0))</f>
        <v/>
      </c>
      <c r="BN1339" s="40">
        <f>BN1338*d_rho_recharge+BM1339*IF(B1339&gt;=in_marketplace_from,d_hz_recharge*G1339,0)</f>
        <v/>
      </c>
      <c r="BO1339" s="14">
        <f>F1339*BN1339*in_recharge_ticket*in_recharge_comm/12</f>
        <v/>
      </c>
      <c r="BP1339" s="40">
        <f>BP1338*(1-IF(B1338&gt;=in_marketplace_from,d_hz_bills*G1338,0))</f>
        <v/>
      </c>
      <c r="BQ1339" s="40">
        <f>BQ1338*d_rho_bills+BP1339*IF(B1339&gt;=in_marketplace_from,d_hz_bills*G1339,0)</f>
        <v/>
      </c>
      <c r="BR1339" s="14">
        <f>F1339*BQ1339*in_bills_ticket*in_bills_comm/12</f>
        <v/>
      </c>
      <c r="BS1339" s="40">
        <f>BS1338*(1-IF(B1338&gt;=in_marketplace_from,d_hz_loan_gold*G1338,0))</f>
        <v/>
      </c>
      <c r="BT1339" s="14">
        <f>F1339*BS1339*IF(B1339&gt;=in_marketplace_from,d_hz_loan_gold*G1339,0)*in_loan_gold_ticket*in_loan_gold_comm</f>
        <v/>
      </c>
      <c r="BU1339" s="40">
        <f>BU1338*(1-IF(B1338&gt;=in_marketplace_from,d_hz_loan_cd*G1338,0))</f>
        <v/>
      </c>
      <c r="BV1339" s="14">
        <f>F1339*BU1339*IF(B1339&gt;=in_marketplace_from,d_hz_loan_cd*G1339,0)*in_loan_cd_ticket*in_loan_cd_comm</f>
        <v/>
      </c>
      <c r="BW1339" s="40">
        <f>BW1338*(1-IF(B1338&gt;=in_marketplace_from,d_hz_loan_vehicle*G1338,0))</f>
        <v/>
      </c>
      <c r="BX1339" s="14">
        <f>F1339*BW1339*IF(B1339&gt;=in_marketplace_from,d_hz_loan_vehicle*G1339,0)*in_loan_vehicle_ticket*in_loan_vehicle_comm</f>
        <v/>
      </c>
      <c r="BY1339" s="40">
        <f>BY1338*(1-IF(B1338&gt;=in_marketplace_from,d_hz_loan_home*G1338,0)*BZ1338)</f>
        <v/>
      </c>
      <c r="BZ1339" s="11">
        <f>MIN(in_approval_cap,in_loan_home_approval*INDEX('Age profile'!$O$2:$O$61,B1339)*(1+in_approval_growth)^(D1339-1))</f>
        <v/>
      </c>
      <c r="CA1339" s="14">
        <f>F1339*BY1339*IF(B1339&gt;=in_marketplace_from,d_hz_loan_home*G1339,0)*BZ1339*in_loan_home_ticket*in_loan_home_comm</f>
        <v/>
      </c>
      <c r="CB1339" s="40">
        <f>CB1338*(1-IF(B1338&gt;=in_marketplace_from,d_hz_loan_lap*G1338,0)*CC1338)</f>
        <v/>
      </c>
      <c r="CC1339" s="11">
        <f>MIN(in_approval_cap,in_loan_lap_approval*INDEX('Age profile'!$O$2:$O$61,B1339)*(1+in_approval_growth)^(D1339-1))</f>
        <v/>
      </c>
      <c r="CD1339" s="14">
        <f>F1339*CB1339*IF(B1339&gt;=in_marketplace_from,d_hz_loan_lap*G1339,0)*CC1339*in_loan_lap_ticket*in_loan_lap_comm</f>
        <v/>
      </c>
      <c r="CE1339" s="14">
        <f>AA1339+AB1339+AC1339+AD1339+AG1339+AJ1339+AM1339+AP1339+AS1339+AU1339+AX1339+BB1339+BE1339+BG1339+BJ1339+BL1339+BO1339+BR1339+BT1339+BV1339+BX1339+CA1339+CD1339</f>
        <v/>
      </c>
    </row>
    <row r="1340">
      <c r="A1340" s="39" t="n">
        <v>30</v>
      </c>
      <c r="B1340" s="39" t="n">
        <v>5</v>
      </c>
      <c r="C1340" s="39">
        <f>A1340+B1340-1</f>
        <v/>
      </c>
      <c r="D1340" s="39">
        <f>INT((C1340-1)/12)+1</f>
        <v/>
      </c>
      <c r="E1340" s="44">
        <f>INDEX(Monthly!$B$2:$B$61,A1340)</f>
        <v/>
      </c>
      <c r="F1340" s="44">
        <f>E1340*INDEX('Age profile'!$B$2:$B$61,B1340)</f>
        <v/>
      </c>
      <c r="G1340" s="45">
        <f>MIN(in_takeup_cap,INDEX('Age profile'!$N$2:$N$61,B1340)*(1+in_takeup_growth)^(D1340-1))</f>
        <v/>
      </c>
      <c r="H1340" s="11">
        <f>MIN(in_approval_cap,in_approved_first*INDEX('Age profile'!$O$2:$O$61,B1340)*(1+in_approval_growth)^(D1340-1))</f>
        <v/>
      </c>
      <c r="I1340" s="45">
        <f>G1340*MIN(in_takeup_cap,INDEX('Age profile'!$O$2:$O$61,B1340)*(1+in_approval_growth)^(D1340-1))</f>
        <v/>
      </c>
      <c r="J1340" s="40">
        <f>(J1339-L1339)*F1340/F1339</f>
        <v/>
      </c>
      <c r="K1340" s="40">
        <f>(K1339-M1339)*F1340/F1339+SUMIFS(O1336:O1339,B1336:B1339,B1340-1-d_T)*F1340</f>
        <v/>
      </c>
      <c r="L1340" s="40">
        <f>IF(B1340&gt;=in_marketplace_from,J1340*d_hz*G1340*in_eligible*H1340,0)</f>
        <v/>
      </c>
      <c r="M1340" s="40">
        <f>IF(B1340&gt;=in_marketplace_from,K1340*d_hz*G1340*in_eligible*in_approved_repeat,0)</f>
        <v/>
      </c>
      <c r="N1340" s="40">
        <f>L1340+M1340</f>
        <v/>
      </c>
      <c r="O1340" s="46">
        <f>N1340/F1340</f>
        <v/>
      </c>
      <c r="P1340" s="40">
        <f>F1340-J1340-K1340</f>
        <v/>
      </c>
      <c r="Q1340" s="40">
        <f>IF(B1340&gt;=in_marketplace_from,(J1340+K1340)*d_hz*G1340,0)</f>
        <v/>
      </c>
      <c r="R1340" s="40">
        <f>SUMIFS(N1336:N1366,B1336:B1366,"&gt;="&amp;(B1340-d_T),B1336:B1366,"&lt;="&amp;(B1340-1))</f>
        <v/>
      </c>
      <c r="S1340" s="46">
        <f>(1-d_u)*S1339+IF(d_T&gt;in_topup_lag,SUMIFS(O1336:O1366,B1336:B1366,B1340-in_topup_lag)-d_udrop*SUMIFS(O1336:O1366,B1336:B1366,B1340-d_T),0)</f>
        <v/>
      </c>
      <c r="T1340" s="40">
        <f>F1340*d_u*S1340</f>
        <v/>
      </c>
      <c r="U1340" s="9">
        <f>L1340*in_ticket+M1340*d_rep_ticket</f>
        <v/>
      </c>
      <c r="V1340" s="9">
        <f>U1340+T1340*d_topup_amt</f>
        <v/>
      </c>
      <c r="W1340" s="40">
        <f>N1340+T1340*d_topup_ratio</f>
        <v/>
      </c>
      <c r="X1340" s="40">
        <f>SUMIFS(W1336:W1366,B1336:B1366,B1340-in_dpd_lag)*d_cured</f>
        <v/>
      </c>
      <c r="Y1340" s="40">
        <f>SUMIFS(W1336:W1366,B1336:B1366,B1340-in_rec_lag)*d_recd</f>
        <v/>
      </c>
      <c r="Z1340" s="40">
        <f>IF(AND(B1340&gt;=in_marketplace_from,B1340&lt;in_marketplace_from+in_card_months),in_card_share/in_card_months*F1340*I1340,IF(AND(B1340&gt;=in_marketplace_from+in_card_months,B1340&lt;in_marketplace_from+2*in_card_months),in_card_share*d_card_rem/in_card_months*F1340*MIN(in_takeup_cap,(1+in_takeup_growth)^(D1340-1))*MIN(in_takeup_cap,(1+in_approval_growth)^(D1340-1)),0))</f>
        <v/>
      </c>
      <c r="AA1340" s="14">
        <f>V1340*in_fee*(1-in_taken_back)</f>
        <v/>
      </c>
      <c r="AB1340" s="14">
        <f>SUMIFS(W1336:W1366,B1336:B1366,B1340-in_dpd_lag)*d_dpd</f>
        <v/>
      </c>
      <c r="AC1340" s="14">
        <f>SUMIFS(W1336:W1366,B1336:B1366,B1340-in_rec_lag)*d_rec</f>
        <v/>
      </c>
      <c r="AD1340" s="14">
        <f>Z1340*in_card_fee</f>
        <v/>
      </c>
      <c r="AE1340" s="40">
        <f>AE1339*(1-IF(B1339&gt;=in_marketplace_from,d_hz_hlth_small*G1339,0))</f>
        <v/>
      </c>
      <c r="AF1340" s="46">
        <f>AE1340*IF(B1340&gt;=in_marketplace_from,d_hz_hlth_small*G1340,0)</f>
        <v/>
      </c>
      <c r="AG1340" s="14">
        <f>F1340*AF1340*in_hlth_small_ticket*in_hlth_small_comm*in_ins_partner_share+F1340*in_hlth_small_ticket*in_hlth_small_renew_comm*in_ins_partner_share*(in_hlth_small_renew^1*SUMIFS(AF1336:AF1366,B1336:B1366,B1340-12)+in_hlth_small_renew^2*SUMIFS(AF1336:AF1366,B1336:B1366,B1340-24)+in_hlth_small_renew^3*SUMIFS(AF1336:AF1366,B1336:B1366,B1340-36)+in_hlth_small_renew^4*SUMIFS(AF1336:AF1366,B1336:B1366,B1340-48))</f>
        <v/>
      </c>
      <c r="AH1340" s="40">
        <f>AH1339*(1-IF(B1339&gt;=in_marketplace_from,d_hz_hlth_family*G1339,0))</f>
        <v/>
      </c>
      <c r="AI1340" s="46">
        <f>AH1340*IF(B1340&gt;=in_marketplace_from,d_hz_hlth_family*G1340,0)</f>
        <v/>
      </c>
      <c r="AJ1340" s="14">
        <f>F1340*AI1340*in_hlth_family_ticket*in_hlth_family_comm*in_ins_partner_share+F1340*in_hlth_family_ticket*in_hlth_family_renew_comm*in_ins_partner_share*(in_hlth_family_renew^1*SUMIFS(AI1336:AI1366,B1336:B1366,B1340-12)+in_hlth_family_renew^2*SUMIFS(AI1336:AI1366,B1336:B1366,B1340-24)+in_hlth_family_renew^3*SUMIFS(AI1336:AI1366,B1336:B1366,B1340-36)+in_hlth_family_renew^4*SUMIFS(AI1336:AI1366,B1336:B1366,B1340-48))</f>
        <v/>
      </c>
      <c r="AK1340" s="40">
        <f>AK1339*(1-IF(B1339&gt;=in_marketplace_from,d_hz_life_term*G1339,0))</f>
        <v/>
      </c>
      <c r="AL1340" s="46">
        <f>AK1340*IF(B1340&gt;=in_marketplace_from,d_hz_life_term*G1340,0)</f>
        <v/>
      </c>
      <c r="AM1340" s="14">
        <f>F1340*AL1340*in_life_term_ticket*in_life_term_comm*in_ins_partner_share+F1340*in_life_term_ticket*in_life_term_renew_comm*in_ins_partner_share*(in_life_term_renew^1*SUMIFS(AL1336:AL1366,B1336:B1366,B1340-12)+in_life_term_renew^2*SUMIFS(AL1336:AL1366,B1336:B1366,B1340-24)+in_life_term_renew^3*SUMIFS(AL1336:AL1366,B1336:B1366,B1340-36)+in_life_term_renew^4*SUMIFS(AL1336:AL1366,B1336:B1366,B1340-48))</f>
        <v/>
      </c>
      <c r="AN1340" s="40">
        <f>AN1339*(1-IF(B1339&gt;=in_marketplace_from,d_hz_accident*G1339,0))</f>
        <v/>
      </c>
      <c r="AO1340" s="46">
        <f>AN1340*IF(B1340&gt;=in_marketplace_from,d_hz_accident*G1340,0)</f>
        <v/>
      </c>
      <c r="AP1340" s="14">
        <f>F1340*AO1340*in_accident_ticket*in_accident_comm*in_ins_partner_share+F1340*in_accident_ticket*in_accident_renew_comm*in_ins_partner_share*(in_accident_renew^1*SUMIFS(AO1336:AO1366,B1336:B1366,B1340-12)+in_accident_renew^2*SUMIFS(AO1336:AO1366,B1336:B1366,B1340-24)+in_accident_renew^3*SUMIFS(AO1336:AO1366,B1336:B1366,B1340-36)+in_accident_renew^4*SUMIFS(AO1336:AO1366,B1336:B1366,B1340-48))</f>
        <v/>
      </c>
      <c r="AQ1340" s="40">
        <f>AQ1339*(1-IF(B1339&gt;=in_marketplace_from,d_hz_two_wheeler*G1339,0))</f>
        <v/>
      </c>
      <c r="AR1340" s="46">
        <f>AQ1340*IF(B1340&gt;=in_marketplace_from,d_hz_two_wheeler*G1340,0)</f>
        <v/>
      </c>
      <c r="AS1340" s="14">
        <f>F1340*AR1340*in_two_wheeler_ticket*in_two_wheeler_comm*in_ins_partner_share+F1340*in_two_wheeler_ticket*in_two_wheeler_comm*in_ins_partner_share*(in_two_wheeler_renew^1*SUMIFS(AR1336:AR1366,B1336:B1366,B1340-12)+in_two_wheeler_renew^2*SUMIFS(AR1336:AR1366,B1336:B1366,B1340-24)+in_two_wheeler_renew^3*SUMIFS(AR1336:AR1366,B1336:B1366,B1340-36)+in_two_wheeler_renew^4*SUMIFS(AR1336:AR1366,B1336:B1366,B1340-48))</f>
        <v/>
      </c>
      <c r="AT1340" s="40">
        <f>AT1339*(1-IF(B1339&gt;=in_marketplace_from,d_hz_device*G1339,0))</f>
        <v/>
      </c>
      <c r="AU1340" s="14">
        <f>F1340*AT1340*IF(B1340&gt;=in_marketplace_from,d_hz_device*G1340,0)*in_device_ticket*in_device_comm*in_ins_partner_share</f>
        <v/>
      </c>
      <c r="AV1340" s="40">
        <f>AV1339*(1-IF(B1339&gt;=in_marketplace_from,d_hz_shop*G1339,0))</f>
        <v/>
      </c>
      <c r="AW1340" s="46">
        <f>AV1340*IF(B1340&gt;=in_marketplace_from,d_hz_shop*G1340,0)</f>
        <v/>
      </c>
      <c r="AX1340" s="14">
        <f>F1340*AW1340*in_shop_ticket*in_shop_comm*in_ins_partner_share+F1340*in_shop_ticket*in_shop_renew_comm*in_ins_partner_share*(in_shop_renew^1*SUMIFS(AW1336:AW1366,B1336:B1366,B1340-12)+in_shop_renew^2*SUMIFS(AW1336:AW1366,B1336:B1366,B1340-24)+in_shop_renew^3*SUMIFS(AW1336:AW1366,B1336:B1366,B1340-36)+in_shop_renew^4*SUMIFS(AW1336:AW1366,B1336:B1366,B1340-48))</f>
        <v/>
      </c>
      <c r="AY1340" s="40">
        <f>AY1339*(1-IF(B1339&gt;=in_marketplace_from,d_hz_sip*G1339,0))</f>
        <v/>
      </c>
      <c r="AZ1340" s="40">
        <f>AZ1339*d_rho_sip+AY1340*IF(B1340&gt;=in_marketplace_from,d_hz_sip*G1340,0)</f>
        <v/>
      </c>
      <c r="BA1340" s="40">
        <f>d_rho_sip*(BA1339+AZ1339)</f>
        <v/>
      </c>
      <c r="BB1340" s="14">
        <f>F1340*in_sip_ticket*(BA1340+0.5*AZ1340)*in_sip_comm/12</f>
        <v/>
      </c>
      <c r="BC1340" s="40">
        <f>BC1339*(1-IF(B1339&gt;=in_marketplace_from,d_hz_choti*G1339,0))</f>
        <v/>
      </c>
      <c r="BD1340" s="46">
        <f>BC1340*IF(B1340&gt;=in_marketplace_from,d_hz_choti*G1340,0)</f>
        <v/>
      </c>
      <c r="BE1340" s="14">
        <f>F1340*SUMIFS(BD1336:BD1366,B1336:B1366,B1340-in_choti_months)*in_choti_renew*in_choti_ticket</f>
        <v/>
      </c>
      <c r="BF1340" s="40">
        <f>BF1339*(1-IF(B1339&gt;=in_marketplace_from,d_hz_nps*G1339,0))</f>
        <v/>
      </c>
      <c r="BG1340" s="14">
        <f>F1340*BF1340*IF(B1340&gt;=in_marketplace_from,d_hz_nps*G1340,0)*in_nps_ticket*in_nps_comm</f>
        <v/>
      </c>
      <c r="BH1340" s="40">
        <f>BH1339*(1-IF(B1339&gt;=in_marketplace_from,d_hz_gold*G1339,0))</f>
        <v/>
      </c>
      <c r="BI1340" s="40">
        <f>BI1339*d_rho_gold+BH1340*IF(B1340&gt;=in_marketplace_from,d_hz_gold*G1340,0)</f>
        <v/>
      </c>
      <c r="BJ1340" s="14">
        <f>F1340*BI1340*in_gold_ticket*in_gold_comm</f>
        <v/>
      </c>
      <c r="BK1340" s="40">
        <f>BK1339*(1-IF(B1339&gt;=in_marketplace_from,d_hz_fd*G1339,0))</f>
        <v/>
      </c>
      <c r="BL1340" s="14">
        <f>F1340*BK1340*IF(B1340&gt;=in_marketplace_from,d_hz_fd*G1340,0)*in_fd_ticket*in_fd_comm</f>
        <v/>
      </c>
      <c r="BM1340" s="40">
        <f>BM1339*(1-IF(B1339&gt;=in_marketplace_from,d_hz_recharge*G1339,0))</f>
        <v/>
      </c>
      <c r="BN1340" s="40">
        <f>BN1339*d_rho_recharge+BM1340*IF(B1340&gt;=in_marketplace_from,d_hz_recharge*G1340,0)</f>
        <v/>
      </c>
      <c r="BO1340" s="14">
        <f>F1340*BN1340*in_recharge_ticket*in_recharge_comm/12</f>
        <v/>
      </c>
      <c r="BP1340" s="40">
        <f>BP1339*(1-IF(B1339&gt;=in_marketplace_from,d_hz_bills*G1339,0))</f>
        <v/>
      </c>
      <c r="BQ1340" s="40">
        <f>BQ1339*d_rho_bills+BP1340*IF(B1340&gt;=in_marketplace_from,d_hz_bills*G1340,0)</f>
        <v/>
      </c>
      <c r="BR1340" s="14">
        <f>F1340*BQ1340*in_bills_ticket*in_bills_comm/12</f>
        <v/>
      </c>
      <c r="BS1340" s="40">
        <f>BS1339*(1-IF(B1339&gt;=in_marketplace_from,d_hz_loan_gold*G1339,0))</f>
        <v/>
      </c>
      <c r="BT1340" s="14">
        <f>F1340*BS1340*IF(B1340&gt;=in_marketplace_from,d_hz_loan_gold*G1340,0)*in_loan_gold_ticket*in_loan_gold_comm</f>
        <v/>
      </c>
      <c r="BU1340" s="40">
        <f>BU1339*(1-IF(B1339&gt;=in_marketplace_from,d_hz_loan_cd*G1339,0))</f>
        <v/>
      </c>
      <c r="BV1340" s="14">
        <f>F1340*BU1340*IF(B1340&gt;=in_marketplace_from,d_hz_loan_cd*G1340,0)*in_loan_cd_ticket*in_loan_cd_comm</f>
        <v/>
      </c>
      <c r="BW1340" s="40">
        <f>BW1339*(1-IF(B1339&gt;=in_marketplace_from,d_hz_loan_vehicle*G1339,0))</f>
        <v/>
      </c>
      <c r="BX1340" s="14">
        <f>F1340*BW1340*IF(B1340&gt;=in_marketplace_from,d_hz_loan_vehicle*G1340,0)*in_loan_vehicle_ticket*in_loan_vehicle_comm</f>
        <v/>
      </c>
      <c r="BY1340" s="40">
        <f>BY1339*(1-IF(B1339&gt;=in_marketplace_from,d_hz_loan_home*G1339,0)*BZ1339)</f>
        <v/>
      </c>
      <c r="BZ1340" s="11">
        <f>MIN(in_approval_cap,in_loan_home_approval*INDEX('Age profile'!$O$2:$O$61,B1340)*(1+in_approval_growth)^(D1340-1))</f>
        <v/>
      </c>
      <c r="CA1340" s="14">
        <f>F1340*BY1340*IF(B1340&gt;=in_marketplace_from,d_hz_loan_home*G1340,0)*BZ1340*in_loan_home_ticket*in_loan_home_comm</f>
        <v/>
      </c>
      <c r="CB1340" s="40">
        <f>CB1339*(1-IF(B1339&gt;=in_marketplace_from,d_hz_loan_lap*G1339,0)*CC1339)</f>
        <v/>
      </c>
      <c r="CC1340" s="11">
        <f>MIN(in_approval_cap,in_loan_lap_approval*INDEX('Age profile'!$O$2:$O$61,B1340)*(1+in_approval_growth)^(D1340-1))</f>
        <v/>
      </c>
      <c r="CD1340" s="14">
        <f>F1340*CB1340*IF(B1340&gt;=in_marketplace_from,d_hz_loan_lap*G1340,0)*CC1340*in_loan_lap_ticket*in_loan_lap_comm</f>
        <v/>
      </c>
      <c r="CE1340" s="14">
        <f>AA1340+AB1340+AC1340+AD1340+AG1340+AJ1340+AM1340+AP1340+AS1340+AU1340+AX1340+BB1340+BE1340+BG1340+BJ1340+BL1340+BO1340+BR1340+BT1340+BV1340+BX1340+CA1340+CD1340</f>
        <v/>
      </c>
    </row>
    <row r="1341">
      <c r="A1341" s="39" t="n">
        <v>30</v>
      </c>
      <c r="B1341" s="39" t="n">
        <v>6</v>
      </c>
      <c r="C1341" s="39">
        <f>A1341+B1341-1</f>
        <v/>
      </c>
      <c r="D1341" s="39">
        <f>INT((C1341-1)/12)+1</f>
        <v/>
      </c>
      <c r="E1341" s="44">
        <f>INDEX(Monthly!$B$2:$B$61,A1341)</f>
        <v/>
      </c>
      <c r="F1341" s="44">
        <f>E1341*INDEX('Age profile'!$B$2:$B$61,B1341)</f>
        <v/>
      </c>
      <c r="G1341" s="45">
        <f>MIN(in_takeup_cap,INDEX('Age profile'!$N$2:$N$61,B1341)*(1+in_takeup_growth)^(D1341-1))</f>
        <v/>
      </c>
      <c r="H1341" s="11">
        <f>MIN(in_approval_cap,in_approved_first*INDEX('Age profile'!$O$2:$O$61,B1341)*(1+in_approval_growth)^(D1341-1))</f>
        <v/>
      </c>
      <c r="I1341" s="45">
        <f>G1341*MIN(in_takeup_cap,INDEX('Age profile'!$O$2:$O$61,B1341)*(1+in_approval_growth)^(D1341-1))</f>
        <v/>
      </c>
      <c r="J1341" s="40">
        <f>(J1340-L1340)*F1341/F1340</f>
        <v/>
      </c>
      <c r="K1341" s="40">
        <f>(K1340-M1340)*F1341/F1340+SUMIFS(O1336:O1340,B1336:B1340,B1341-1-d_T)*F1341</f>
        <v/>
      </c>
      <c r="L1341" s="40">
        <f>IF(B1341&gt;=in_marketplace_from,J1341*d_hz*G1341*in_eligible*H1341,0)</f>
        <v/>
      </c>
      <c r="M1341" s="40">
        <f>IF(B1341&gt;=in_marketplace_from,K1341*d_hz*G1341*in_eligible*in_approved_repeat,0)</f>
        <v/>
      </c>
      <c r="N1341" s="40">
        <f>L1341+M1341</f>
        <v/>
      </c>
      <c r="O1341" s="46">
        <f>N1341/F1341</f>
        <v/>
      </c>
      <c r="P1341" s="40">
        <f>F1341-J1341-K1341</f>
        <v/>
      </c>
      <c r="Q1341" s="40">
        <f>IF(B1341&gt;=in_marketplace_from,(J1341+K1341)*d_hz*G1341,0)</f>
        <v/>
      </c>
      <c r="R1341" s="40">
        <f>SUMIFS(N1336:N1366,B1336:B1366,"&gt;="&amp;(B1341-d_T),B1336:B1366,"&lt;="&amp;(B1341-1))</f>
        <v/>
      </c>
      <c r="S1341" s="46">
        <f>(1-d_u)*S1340+IF(d_T&gt;in_topup_lag,SUMIFS(O1336:O1366,B1336:B1366,B1341-in_topup_lag)-d_udrop*SUMIFS(O1336:O1366,B1336:B1366,B1341-d_T),0)</f>
        <v/>
      </c>
      <c r="T1341" s="40">
        <f>F1341*d_u*S1341</f>
        <v/>
      </c>
      <c r="U1341" s="9">
        <f>L1341*in_ticket+M1341*d_rep_ticket</f>
        <v/>
      </c>
      <c r="V1341" s="9">
        <f>U1341+T1341*d_topup_amt</f>
        <v/>
      </c>
      <c r="W1341" s="40">
        <f>N1341+T1341*d_topup_ratio</f>
        <v/>
      </c>
      <c r="X1341" s="40">
        <f>SUMIFS(W1336:W1366,B1336:B1366,B1341-in_dpd_lag)*d_cured</f>
        <v/>
      </c>
      <c r="Y1341" s="40">
        <f>SUMIFS(W1336:W1366,B1336:B1366,B1341-in_rec_lag)*d_recd</f>
        <v/>
      </c>
      <c r="Z1341" s="40">
        <f>IF(AND(B1341&gt;=in_marketplace_from,B1341&lt;in_marketplace_from+in_card_months),in_card_share/in_card_months*F1341*I1341,IF(AND(B1341&gt;=in_marketplace_from+in_card_months,B1341&lt;in_marketplace_from+2*in_card_months),in_card_share*d_card_rem/in_card_months*F1341*MIN(in_takeup_cap,(1+in_takeup_growth)^(D1341-1))*MIN(in_takeup_cap,(1+in_approval_growth)^(D1341-1)),0))</f>
        <v/>
      </c>
      <c r="AA1341" s="14">
        <f>V1341*in_fee*(1-in_taken_back)</f>
        <v/>
      </c>
      <c r="AB1341" s="14">
        <f>SUMIFS(W1336:W1366,B1336:B1366,B1341-in_dpd_lag)*d_dpd</f>
        <v/>
      </c>
      <c r="AC1341" s="14">
        <f>SUMIFS(W1336:W1366,B1336:B1366,B1341-in_rec_lag)*d_rec</f>
        <v/>
      </c>
      <c r="AD1341" s="14">
        <f>Z1341*in_card_fee</f>
        <v/>
      </c>
      <c r="AE1341" s="40">
        <f>AE1340*(1-IF(B1340&gt;=in_marketplace_from,d_hz_hlth_small*G1340,0))</f>
        <v/>
      </c>
      <c r="AF1341" s="46">
        <f>AE1341*IF(B1341&gt;=in_marketplace_from,d_hz_hlth_small*G1341,0)</f>
        <v/>
      </c>
      <c r="AG1341" s="14">
        <f>F1341*AF1341*in_hlth_small_ticket*in_hlth_small_comm*in_ins_partner_share+F1341*in_hlth_small_ticket*in_hlth_small_renew_comm*in_ins_partner_share*(in_hlth_small_renew^1*SUMIFS(AF1336:AF1366,B1336:B1366,B1341-12)+in_hlth_small_renew^2*SUMIFS(AF1336:AF1366,B1336:B1366,B1341-24)+in_hlth_small_renew^3*SUMIFS(AF1336:AF1366,B1336:B1366,B1341-36)+in_hlth_small_renew^4*SUMIFS(AF1336:AF1366,B1336:B1366,B1341-48))</f>
        <v/>
      </c>
      <c r="AH1341" s="40">
        <f>AH1340*(1-IF(B1340&gt;=in_marketplace_from,d_hz_hlth_family*G1340,0))</f>
        <v/>
      </c>
      <c r="AI1341" s="46">
        <f>AH1341*IF(B1341&gt;=in_marketplace_from,d_hz_hlth_family*G1341,0)</f>
        <v/>
      </c>
      <c r="AJ1341" s="14">
        <f>F1341*AI1341*in_hlth_family_ticket*in_hlth_family_comm*in_ins_partner_share+F1341*in_hlth_family_ticket*in_hlth_family_renew_comm*in_ins_partner_share*(in_hlth_family_renew^1*SUMIFS(AI1336:AI1366,B1336:B1366,B1341-12)+in_hlth_family_renew^2*SUMIFS(AI1336:AI1366,B1336:B1366,B1341-24)+in_hlth_family_renew^3*SUMIFS(AI1336:AI1366,B1336:B1366,B1341-36)+in_hlth_family_renew^4*SUMIFS(AI1336:AI1366,B1336:B1366,B1341-48))</f>
        <v/>
      </c>
      <c r="AK1341" s="40">
        <f>AK1340*(1-IF(B1340&gt;=in_marketplace_from,d_hz_life_term*G1340,0))</f>
        <v/>
      </c>
      <c r="AL1341" s="46">
        <f>AK1341*IF(B1341&gt;=in_marketplace_from,d_hz_life_term*G1341,0)</f>
        <v/>
      </c>
      <c r="AM1341" s="14">
        <f>F1341*AL1341*in_life_term_ticket*in_life_term_comm*in_ins_partner_share+F1341*in_life_term_ticket*in_life_term_renew_comm*in_ins_partner_share*(in_life_term_renew^1*SUMIFS(AL1336:AL1366,B1336:B1366,B1341-12)+in_life_term_renew^2*SUMIFS(AL1336:AL1366,B1336:B1366,B1341-24)+in_life_term_renew^3*SUMIFS(AL1336:AL1366,B1336:B1366,B1341-36)+in_life_term_renew^4*SUMIFS(AL1336:AL1366,B1336:B1366,B1341-48))</f>
        <v/>
      </c>
      <c r="AN1341" s="40">
        <f>AN1340*(1-IF(B1340&gt;=in_marketplace_from,d_hz_accident*G1340,0))</f>
        <v/>
      </c>
      <c r="AO1341" s="46">
        <f>AN1341*IF(B1341&gt;=in_marketplace_from,d_hz_accident*G1341,0)</f>
        <v/>
      </c>
      <c r="AP1341" s="14">
        <f>F1341*AO1341*in_accident_ticket*in_accident_comm*in_ins_partner_share+F1341*in_accident_ticket*in_accident_renew_comm*in_ins_partner_share*(in_accident_renew^1*SUMIFS(AO1336:AO1366,B1336:B1366,B1341-12)+in_accident_renew^2*SUMIFS(AO1336:AO1366,B1336:B1366,B1341-24)+in_accident_renew^3*SUMIFS(AO1336:AO1366,B1336:B1366,B1341-36)+in_accident_renew^4*SUMIFS(AO1336:AO1366,B1336:B1366,B1341-48))</f>
        <v/>
      </c>
      <c r="AQ1341" s="40">
        <f>AQ1340*(1-IF(B1340&gt;=in_marketplace_from,d_hz_two_wheeler*G1340,0))</f>
        <v/>
      </c>
      <c r="AR1341" s="46">
        <f>AQ1341*IF(B1341&gt;=in_marketplace_from,d_hz_two_wheeler*G1341,0)</f>
        <v/>
      </c>
      <c r="AS1341" s="14">
        <f>F1341*AR1341*in_two_wheeler_ticket*in_two_wheeler_comm*in_ins_partner_share+F1341*in_two_wheeler_ticket*in_two_wheeler_comm*in_ins_partner_share*(in_two_wheeler_renew^1*SUMIFS(AR1336:AR1366,B1336:B1366,B1341-12)+in_two_wheeler_renew^2*SUMIFS(AR1336:AR1366,B1336:B1366,B1341-24)+in_two_wheeler_renew^3*SUMIFS(AR1336:AR1366,B1336:B1366,B1341-36)+in_two_wheeler_renew^4*SUMIFS(AR1336:AR1366,B1336:B1366,B1341-48))</f>
        <v/>
      </c>
      <c r="AT1341" s="40">
        <f>AT1340*(1-IF(B1340&gt;=in_marketplace_from,d_hz_device*G1340,0))</f>
        <v/>
      </c>
      <c r="AU1341" s="14">
        <f>F1341*AT1341*IF(B1341&gt;=in_marketplace_from,d_hz_device*G1341,0)*in_device_ticket*in_device_comm*in_ins_partner_share</f>
        <v/>
      </c>
      <c r="AV1341" s="40">
        <f>AV1340*(1-IF(B1340&gt;=in_marketplace_from,d_hz_shop*G1340,0))</f>
        <v/>
      </c>
      <c r="AW1341" s="46">
        <f>AV1341*IF(B1341&gt;=in_marketplace_from,d_hz_shop*G1341,0)</f>
        <v/>
      </c>
      <c r="AX1341" s="14">
        <f>F1341*AW1341*in_shop_ticket*in_shop_comm*in_ins_partner_share+F1341*in_shop_ticket*in_shop_renew_comm*in_ins_partner_share*(in_shop_renew^1*SUMIFS(AW1336:AW1366,B1336:B1366,B1341-12)+in_shop_renew^2*SUMIFS(AW1336:AW1366,B1336:B1366,B1341-24)+in_shop_renew^3*SUMIFS(AW1336:AW1366,B1336:B1366,B1341-36)+in_shop_renew^4*SUMIFS(AW1336:AW1366,B1336:B1366,B1341-48))</f>
        <v/>
      </c>
      <c r="AY1341" s="40">
        <f>AY1340*(1-IF(B1340&gt;=in_marketplace_from,d_hz_sip*G1340,0))</f>
        <v/>
      </c>
      <c r="AZ1341" s="40">
        <f>AZ1340*d_rho_sip+AY1341*IF(B1341&gt;=in_marketplace_from,d_hz_sip*G1341,0)</f>
        <v/>
      </c>
      <c r="BA1341" s="40">
        <f>d_rho_sip*(BA1340+AZ1340)</f>
        <v/>
      </c>
      <c r="BB1341" s="14">
        <f>F1341*in_sip_ticket*(BA1341+0.5*AZ1341)*in_sip_comm/12</f>
        <v/>
      </c>
      <c r="BC1341" s="40">
        <f>BC1340*(1-IF(B1340&gt;=in_marketplace_from,d_hz_choti*G1340,0))</f>
        <v/>
      </c>
      <c r="BD1341" s="46">
        <f>BC1341*IF(B1341&gt;=in_marketplace_from,d_hz_choti*G1341,0)</f>
        <v/>
      </c>
      <c r="BE1341" s="14">
        <f>F1341*SUMIFS(BD1336:BD1366,B1336:B1366,B1341-in_choti_months)*in_choti_renew*in_choti_ticket</f>
        <v/>
      </c>
      <c r="BF1341" s="40">
        <f>BF1340*(1-IF(B1340&gt;=in_marketplace_from,d_hz_nps*G1340,0))</f>
        <v/>
      </c>
      <c r="BG1341" s="14">
        <f>F1341*BF1341*IF(B1341&gt;=in_marketplace_from,d_hz_nps*G1341,0)*in_nps_ticket*in_nps_comm</f>
        <v/>
      </c>
      <c r="BH1341" s="40">
        <f>BH1340*(1-IF(B1340&gt;=in_marketplace_from,d_hz_gold*G1340,0))</f>
        <v/>
      </c>
      <c r="BI1341" s="40">
        <f>BI1340*d_rho_gold+BH1341*IF(B1341&gt;=in_marketplace_from,d_hz_gold*G1341,0)</f>
        <v/>
      </c>
      <c r="BJ1341" s="14">
        <f>F1341*BI1341*in_gold_ticket*in_gold_comm</f>
        <v/>
      </c>
      <c r="BK1341" s="40">
        <f>BK1340*(1-IF(B1340&gt;=in_marketplace_from,d_hz_fd*G1340,0))</f>
        <v/>
      </c>
      <c r="BL1341" s="14">
        <f>F1341*BK1341*IF(B1341&gt;=in_marketplace_from,d_hz_fd*G1341,0)*in_fd_ticket*in_fd_comm</f>
        <v/>
      </c>
      <c r="BM1341" s="40">
        <f>BM1340*(1-IF(B1340&gt;=in_marketplace_from,d_hz_recharge*G1340,0))</f>
        <v/>
      </c>
      <c r="BN1341" s="40">
        <f>BN1340*d_rho_recharge+BM1341*IF(B1341&gt;=in_marketplace_from,d_hz_recharge*G1341,0)</f>
        <v/>
      </c>
      <c r="BO1341" s="14">
        <f>F1341*BN1341*in_recharge_ticket*in_recharge_comm/12</f>
        <v/>
      </c>
      <c r="BP1341" s="40">
        <f>BP1340*(1-IF(B1340&gt;=in_marketplace_from,d_hz_bills*G1340,0))</f>
        <v/>
      </c>
      <c r="BQ1341" s="40">
        <f>BQ1340*d_rho_bills+BP1341*IF(B1341&gt;=in_marketplace_from,d_hz_bills*G1341,0)</f>
        <v/>
      </c>
      <c r="BR1341" s="14">
        <f>F1341*BQ1341*in_bills_ticket*in_bills_comm/12</f>
        <v/>
      </c>
      <c r="BS1341" s="40">
        <f>BS1340*(1-IF(B1340&gt;=in_marketplace_from,d_hz_loan_gold*G1340,0))</f>
        <v/>
      </c>
      <c r="BT1341" s="14">
        <f>F1341*BS1341*IF(B1341&gt;=in_marketplace_from,d_hz_loan_gold*G1341,0)*in_loan_gold_ticket*in_loan_gold_comm</f>
        <v/>
      </c>
      <c r="BU1341" s="40">
        <f>BU1340*(1-IF(B1340&gt;=in_marketplace_from,d_hz_loan_cd*G1340,0))</f>
        <v/>
      </c>
      <c r="BV1341" s="14">
        <f>F1341*BU1341*IF(B1341&gt;=in_marketplace_from,d_hz_loan_cd*G1341,0)*in_loan_cd_ticket*in_loan_cd_comm</f>
        <v/>
      </c>
      <c r="BW1341" s="40">
        <f>BW1340*(1-IF(B1340&gt;=in_marketplace_from,d_hz_loan_vehicle*G1340,0))</f>
        <v/>
      </c>
      <c r="BX1341" s="14">
        <f>F1341*BW1341*IF(B1341&gt;=in_marketplace_from,d_hz_loan_vehicle*G1341,0)*in_loan_vehicle_ticket*in_loan_vehicle_comm</f>
        <v/>
      </c>
      <c r="BY1341" s="40">
        <f>BY1340*(1-IF(B1340&gt;=in_marketplace_from,d_hz_loan_home*G1340,0)*BZ1340)</f>
        <v/>
      </c>
      <c r="BZ1341" s="11">
        <f>MIN(in_approval_cap,in_loan_home_approval*INDEX('Age profile'!$O$2:$O$61,B1341)*(1+in_approval_growth)^(D1341-1))</f>
        <v/>
      </c>
      <c r="CA1341" s="14">
        <f>F1341*BY1341*IF(B1341&gt;=in_marketplace_from,d_hz_loan_home*G1341,0)*BZ1341*in_loan_home_ticket*in_loan_home_comm</f>
        <v/>
      </c>
      <c r="CB1341" s="40">
        <f>CB1340*(1-IF(B1340&gt;=in_marketplace_from,d_hz_loan_lap*G1340,0)*CC1340)</f>
        <v/>
      </c>
      <c r="CC1341" s="11">
        <f>MIN(in_approval_cap,in_loan_lap_approval*INDEX('Age profile'!$O$2:$O$61,B1341)*(1+in_approval_growth)^(D1341-1))</f>
        <v/>
      </c>
      <c r="CD1341" s="14">
        <f>F1341*CB1341*IF(B1341&gt;=in_marketplace_from,d_hz_loan_lap*G1341,0)*CC1341*in_loan_lap_ticket*in_loan_lap_comm</f>
        <v/>
      </c>
      <c r="CE1341" s="14">
        <f>AA1341+AB1341+AC1341+AD1341+AG1341+AJ1341+AM1341+AP1341+AS1341+AU1341+AX1341+BB1341+BE1341+BG1341+BJ1341+BL1341+BO1341+BR1341+BT1341+BV1341+BX1341+CA1341+CD1341</f>
        <v/>
      </c>
    </row>
    <row r="1342">
      <c r="A1342" s="39" t="n">
        <v>30</v>
      </c>
      <c r="B1342" s="39" t="n">
        <v>7</v>
      </c>
      <c r="C1342" s="39">
        <f>A1342+B1342-1</f>
        <v/>
      </c>
      <c r="D1342" s="39">
        <f>INT((C1342-1)/12)+1</f>
        <v/>
      </c>
      <c r="E1342" s="44">
        <f>INDEX(Monthly!$B$2:$B$61,A1342)</f>
        <v/>
      </c>
      <c r="F1342" s="44">
        <f>E1342*INDEX('Age profile'!$B$2:$B$61,B1342)</f>
        <v/>
      </c>
      <c r="G1342" s="45">
        <f>MIN(in_takeup_cap,INDEX('Age profile'!$N$2:$N$61,B1342)*(1+in_takeup_growth)^(D1342-1))</f>
        <v/>
      </c>
      <c r="H1342" s="11">
        <f>MIN(in_approval_cap,in_approved_first*INDEX('Age profile'!$O$2:$O$61,B1342)*(1+in_approval_growth)^(D1342-1))</f>
        <v/>
      </c>
      <c r="I1342" s="45">
        <f>G1342*MIN(in_takeup_cap,INDEX('Age profile'!$O$2:$O$61,B1342)*(1+in_approval_growth)^(D1342-1))</f>
        <v/>
      </c>
      <c r="J1342" s="40">
        <f>(J1341-L1341)*F1342/F1341</f>
        <v/>
      </c>
      <c r="K1342" s="40">
        <f>(K1341-M1341)*F1342/F1341+SUMIFS(O1336:O1341,B1336:B1341,B1342-1-d_T)*F1342</f>
        <v/>
      </c>
      <c r="L1342" s="40">
        <f>IF(B1342&gt;=in_marketplace_from,J1342*d_hz*G1342*in_eligible*H1342,0)</f>
        <v/>
      </c>
      <c r="M1342" s="40">
        <f>IF(B1342&gt;=in_marketplace_from,K1342*d_hz*G1342*in_eligible*in_approved_repeat,0)</f>
        <v/>
      </c>
      <c r="N1342" s="40">
        <f>L1342+M1342</f>
        <v/>
      </c>
      <c r="O1342" s="46">
        <f>N1342/F1342</f>
        <v/>
      </c>
      <c r="P1342" s="40">
        <f>F1342-J1342-K1342</f>
        <v/>
      </c>
      <c r="Q1342" s="40">
        <f>IF(B1342&gt;=in_marketplace_from,(J1342+K1342)*d_hz*G1342,0)</f>
        <v/>
      </c>
      <c r="R1342" s="40">
        <f>SUMIFS(N1336:N1366,B1336:B1366,"&gt;="&amp;(B1342-d_T),B1336:B1366,"&lt;="&amp;(B1342-1))</f>
        <v/>
      </c>
      <c r="S1342" s="46">
        <f>(1-d_u)*S1341+IF(d_T&gt;in_topup_lag,SUMIFS(O1336:O1366,B1336:B1366,B1342-in_topup_lag)-d_udrop*SUMIFS(O1336:O1366,B1336:B1366,B1342-d_T),0)</f>
        <v/>
      </c>
      <c r="T1342" s="40">
        <f>F1342*d_u*S1342</f>
        <v/>
      </c>
      <c r="U1342" s="9">
        <f>L1342*in_ticket+M1342*d_rep_ticket</f>
        <v/>
      </c>
      <c r="V1342" s="9">
        <f>U1342+T1342*d_topup_amt</f>
        <v/>
      </c>
      <c r="W1342" s="40">
        <f>N1342+T1342*d_topup_ratio</f>
        <v/>
      </c>
      <c r="X1342" s="40">
        <f>SUMIFS(W1336:W1366,B1336:B1366,B1342-in_dpd_lag)*d_cured</f>
        <v/>
      </c>
      <c r="Y1342" s="40">
        <f>SUMIFS(W1336:W1366,B1336:B1366,B1342-in_rec_lag)*d_recd</f>
        <v/>
      </c>
      <c r="Z1342" s="40">
        <f>IF(AND(B1342&gt;=in_marketplace_from,B1342&lt;in_marketplace_from+in_card_months),in_card_share/in_card_months*F1342*I1342,IF(AND(B1342&gt;=in_marketplace_from+in_card_months,B1342&lt;in_marketplace_from+2*in_card_months),in_card_share*d_card_rem/in_card_months*F1342*MIN(in_takeup_cap,(1+in_takeup_growth)^(D1342-1))*MIN(in_takeup_cap,(1+in_approval_growth)^(D1342-1)),0))</f>
        <v/>
      </c>
      <c r="AA1342" s="14">
        <f>V1342*in_fee*(1-in_taken_back)</f>
        <v/>
      </c>
      <c r="AB1342" s="14">
        <f>SUMIFS(W1336:W1366,B1336:B1366,B1342-in_dpd_lag)*d_dpd</f>
        <v/>
      </c>
      <c r="AC1342" s="14">
        <f>SUMIFS(W1336:W1366,B1336:B1366,B1342-in_rec_lag)*d_rec</f>
        <v/>
      </c>
      <c r="AD1342" s="14">
        <f>Z1342*in_card_fee</f>
        <v/>
      </c>
      <c r="AE1342" s="40">
        <f>AE1341*(1-IF(B1341&gt;=in_marketplace_from,d_hz_hlth_small*G1341,0))</f>
        <v/>
      </c>
      <c r="AF1342" s="46">
        <f>AE1342*IF(B1342&gt;=in_marketplace_from,d_hz_hlth_small*G1342,0)</f>
        <v/>
      </c>
      <c r="AG1342" s="14">
        <f>F1342*AF1342*in_hlth_small_ticket*in_hlth_small_comm*in_ins_partner_share+F1342*in_hlth_small_ticket*in_hlth_small_renew_comm*in_ins_partner_share*(in_hlth_small_renew^1*SUMIFS(AF1336:AF1366,B1336:B1366,B1342-12)+in_hlth_small_renew^2*SUMIFS(AF1336:AF1366,B1336:B1366,B1342-24)+in_hlth_small_renew^3*SUMIFS(AF1336:AF1366,B1336:B1366,B1342-36)+in_hlth_small_renew^4*SUMIFS(AF1336:AF1366,B1336:B1366,B1342-48))</f>
        <v/>
      </c>
      <c r="AH1342" s="40">
        <f>AH1341*(1-IF(B1341&gt;=in_marketplace_from,d_hz_hlth_family*G1341,0))</f>
        <v/>
      </c>
      <c r="AI1342" s="46">
        <f>AH1342*IF(B1342&gt;=in_marketplace_from,d_hz_hlth_family*G1342,0)</f>
        <v/>
      </c>
      <c r="AJ1342" s="14">
        <f>F1342*AI1342*in_hlth_family_ticket*in_hlth_family_comm*in_ins_partner_share+F1342*in_hlth_family_ticket*in_hlth_family_renew_comm*in_ins_partner_share*(in_hlth_family_renew^1*SUMIFS(AI1336:AI1366,B1336:B1366,B1342-12)+in_hlth_family_renew^2*SUMIFS(AI1336:AI1366,B1336:B1366,B1342-24)+in_hlth_family_renew^3*SUMIFS(AI1336:AI1366,B1336:B1366,B1342-36)+in_hlth_family_renew^4*SUMIFS(AI1336:AI1366,B1336:B1366,B1342-48))</f>
        <v/>
      </c>
      <c r="AK1342" s="40">
        <f>AK1341*(1-IF(B1341&gt;=in_marketplace_from,d_hz_life_term*G1341,0))</f>
        <v/>
      </c>
      <c r="AL1342" s="46">
        <f>AK1342*IF(B1342&gt;=in_marketplace_from,d_hz_life_term*G1342,0)</f>
        <v/>
      </c>
      <c r="AM1342" s="14">
        <f>F1342*AL1342*in_life_term_ticket*in_life_term_comm*in_ins_partner_share+F1342*in_life_term_ticket*in_life_term_renew_comm*in_ins_partner_share*(in_life_term_renew^1*SUMIFS(AL1336:AL1366,B1336:B1366,B1342-12)+in_life_term_renew^2*SUMIFS(AL1336:AL1366,B1336:B1366,B1342-24)+in_life_term_renew^3*SUMIFS(AL1336:AL1366,B1336:B1366,B1342-36)+in_life_term_renew^4*SUMIFS(AL1336:AL1366,B1336:B1366,B1342-48))</f>
        <v/>
      </c>
      <c r="AN1342" s="40">
        <f>AN1341*(1-IF(B1341&gt;=in_marketplace_from,d_hz_accident*G1341,0))</f>
        <v/>
      </c>
      <c r="AO1342" s="46">
        <f>AN1342*IF(B1342&gt;=in_marketplace_from,d_hz_accident*G1342,0)</f>
        <v/>
      </c>
      <c r="AP1342" s="14">
        <f>F1342*AO1342*in_accident_ticket*in_accident_comm*in_ins_partner_share+F1342*in_accident_ticket*in_accident_renew_comm*in_ins_partner_share*(in_accident_renew^1*SUMIFS(AO1336:AO1366,B1336:B1366,B1342-12)+in_accident_renew^2*SUMIFS(AO1336:AO1366,B1336:B1366,B1342-24)+in_accident_renew^3*SUMIFS(AO1336:AO1366,B1336:B1366,B1342-36)+in_accident_renew^4*SUMIFS(AO1336:AO1366,B1336:B1366,B1342-48))</f>
        <v/>
      </c>
      <c r="AQ1342" s="40">
        <f>AQ1341*(1-IF(B1341&gt;=in_marketplace_from,d_hz_two_wheeler*G1341,0))</f>
        <v/>
      </c>
      <c r="AR1342" s="46">
        <f>AQ1342*IF(B1342&gt;=in_marketplace_from,d_hz_two_wheeler*G1342,0)</f>
        <v/>
      </c>
      <c r="AS1342" s="14">
        <f>F1342*AR1342*in_two_wheeler_ticket*in_two_wheeler_comm*in_ins_partner_share+F1342*in_two_wheeler_ticket*in_two_wheeler_comm*in_ins_partner_share*(in_two_wheeler_renew^1*SUMIFS(AR1336:AR1366,B1336:B1366,B1342-12)+in_two_wheeler_renew^2*SUMIFS(AR1336:AR1366,B1336:B1366,B1342-24)+in_two_wheeler_renew^3*SUMIFS(AR1336:AR1366,B1336:B1366,B1342-36)+in_two_wheeler_renew^4*SUMIFS(AR1336:AR1366,B1336:B1366,B1342-48))</f>
        <v/>
      </c>
      <c r="AT1342" s="40">
        <f>AT1341*(1-IF(B1341&gt;=in_marketplace_from,d_hz_device*G1341,0))</f>
        <v/>
      </c>
      <c r="AU1342" s="14">
        <f>F1342*AT1342*IF(B1342&gt;=in_marketplace_from,d_hz_device*G1342,0)*in_device_ticket*in_device_comm*in_ins_partner_share</f>
        <v/>
      </c>
      <c r="AV1342" s="40">
        <f>AV1341*(1-IF(B1341&gt;=in_marketplace_from,d_hz_shop*G1341,0))</f>
        <v/>
      </c>
      <c r="AW1342" s="46">
        <f>AV1342*IF(B1342&gt;=in_marketplace_from,d_hz_shop*G1342,0)</f>
        <v/>
      </c>
      <c r="AX1342" s="14">
        <f>F1342*AW1342*in_shop_ticket*in_shop_comm*in_ins_partner_share+F1342*in_shop_ticket*in_shop_renew_comm*in_ins_partner_share*(in_shop_renew^1*SUMIFS(AW1336:AW1366,B1336:B1366,B1342-12)+in_shop_renew^2*SUMIFS(AW1336:AW1366,B1336:B1366,B1342-24)+in_shop_renew^3*SUMIFS(AW1336:AW1366,B1336:B1366,B1342-36)+in_shop_renew^4*SUMIFS(AW1336:AW1366,B1336:B1366,B1342-48))</f>
        <v/>
      </c>
      <c r="AY1342" s="40">
        <f>AY1341*(1-IF(B1341&gt;=in_marketplace_from,d_hz_sip*G1341,0))</f>
        <v/>
      </c>
      <c r="AZ1342" s="40">
        <f>AZ1341*d_rho_sip+AY1342*IF(B1342&gt;=in_marketplace_from,d_hz_sip*G1342,0)</f>
        <v/>
      </c>
      <c r="BA1342" s="40">
        <f>d_rho_sip*(BA1341+AZ1341)</f>
        <v/>
      </c>
      <c r="BB1342" s="14">
        <f>F1342*in_sip_ticket*(BA1342+0.5*AZ1342)*in_sip_comm/12</f>
        <v/>
      </c>
      <c r="BC1342" s="40">
        <f>BC1341*(1-IF(B1341&gt;=in_marketplace_from,d_hz_choti*G1341,0))</f>
        <v/>
      </c>
      <c r="BD1342" s="46">
        <f>BC1342*IF(B1342&gt;=in_marketplace_from,d_hz_choti*G1342,0)</f>
        <v/>
      </c>
      <c r="BE1342" s="14">
        <f>F1342*SUMIFS(BD1336:BD1366,B1336:B1366,B1342-in_choti_months)*in_choti_renew*in_choti_ticket</f>
        <v/>
      </c>
      <c r="BF1342" s="40">
        <f>BF1341*(1-IF(B1341&gt;=in_marketplace_from,d_hz_nps*G1341,0))</f>
        <v/>
      </c>
      <c r="BG1342" s="14">
        <f>F1342*BF1342*IF(B1342&gt;=in_marketplace_from,d_hz_nps*G1342,0)*in_nps_ticket*in_nps_comm</f>
        <v/>
      </c>
      <c r="BH1342" s="40">
        <f>BH1341*(1-IF(B1341&gt;=in_marketplace_from,d_hz_gold*G1341,0))</f>
        <v/>
      </c>
      <c r="BI1342" s="40">
        <f>BI1341*d_rho_gold+BH1342*IF(B1342&gt;=in_marketplace_from,d_hz_gold*G1342,0)</f>
        <v/>
      </c>
      <c r="BJ1342" s="14">
        <f>F1342*BI1342*in_gold_ticket*in_gold_comm</f>
        <v/>
      </c>
      <c r="BK1342" s="40">
        <f>BK1341*(1-IF(B1341&gt;=in_marketplace_from,d_hz_fd*G1341,0))</f>
        <v/>
      </c>
      <c r="BL1342" s="14">
        <f>F1342*BK1342*IF(B1342&gt;=in_marketplace_from,d_hz_fd*G1342,0)*in_fd_ticket*in_fd_comm</f>
        <v/>
      </c>
      <c r="BM1342" s="40">
        <f>BM1341*(1-IF(B1341&gt;=in_marketplace_from,d_hz_recharge*G1341,0))</f>
        <v/>
      </c>
      <c r="BN1342" s="40">
        <f>BN1341*d_rho_recharge+BM1342*IF(B1342&gt;=in_marketplace_from,d_hz_recharge*G1342,0)</f>
        <v/>
      </c>
      <c r="BO1342" s="14">
        <f>F1342*BN1342*in_recharge_ticket*in_recharge_comm/12</f>
        <v/>
      </c>
      <c r="BP1342" s="40">
        <f>BP1341*(1-IF(B1341&gt;=in_marketplace_from,d_hz_bills*G1341,0))</f>
        <v/>
      </c>
      <c r="BQ1342" s="40">
        <f>BQ1341*d_rho_bills+BP1342*IF(B1342&gt;=in_marketplace_from,d_hz_bills*G1342,0)</f>
        <v/>
      </c>
      <c r="BR1342" s="14">
        <f>F1342*BQ1342*in_bills_ticket*in_bills_comm/12</f>
        <v/>
      </c>
      <c r="BS1342" s="40">
        <f>BS1341*(1-IF(B1341&gt;=in_marketplace_from,d_hz_loan_gold*G1341,0))</f>
        <v/>
      </c>
      <c r="BT1342" s="14">
        <f>F1342*BS1342*IF(B1342&gt;=in_marketplace_from,d_hz_loan_gold*G1342,0)*in_loan_gold_ticket*in_loan_gold_comm</f>
        <v/>
      </c>
      <c r="BU1342" s="40">
        <f>BU1341*(1-IF(B1341&gt;=in_marketplace_from,d_hz_loan_cd*G1341,0))</f>
        <v/>
      </c>
      <c r="BV1342" s="14">
        <f>F1342*BU1342*IF(B1342&gt;=in_marketplace_from,d_hz_loan_cd*G1342,0)*in_loan_cd_ticket*in_loan_cd_comm</f>
        <v/>
      </c>
      <c r="BW1342" s="40">
        <f>BW1341*(1-IF(B1341&gt;=in_marketplace_from,d_hz_loan_vehicle*G1341,0))</f>
        <v/>
      </c>
      <c r="BX1342" s="14">
        <f>F1342*BW1342*IF(B1342&gt;=in_marketplace_from,d_hz_loan_vehicle*G1342,0)*in_loan_vehicle_ticket*in_loan_vehicle_comm</f>
        <v/>
      </c>
      <c r="BY1342" s="40">
        <f>BY1341*(1-IF(B1341&gt;=in_marketplace_from,d_hz_loan_home*G1341,0)*BZ1341)</f>
        <v/>
      </c>
      <c r="BZ1342" s="11">
        <f>MIN(in_approval_cap,in_loan_home_approval*INDEX('Age profile'!$O$2:$O$61,B1342)*(1+in_approval_growth)^(D1342-1))</f>
        <v/>
      </c>
      <c r="CA1342" s="14">
        <f>F1342*BY1342*IF(B1342&gt;=in_marketplace_from,d_hz_loan_home*G1342,0)*BZ1342*in_loan_home_ticket*in_loan_home_comm</f>
        <v/>
      </c>
      <c r="CB1342" s="40">
        <f>CB1341*(1-IF(B1341&gt;=in_marketplace_from,d_hz_loan_lap*G1341,0)*CC1341)</f>
        <v/>
      </c>
      <c r="CC1342" s="11">
        <f>MIN(in_approval_cap,in_loan_lap_approval*INDEX('Age profile'!$O$2:$O$61,B1342)*(1+in_approval_growth)^(D1342-1))</f>
        <v/>
      </c>
      <c r="CD1342" s="14">
        <f>F1342*CB1342*IF(B1342&gt;=in_marketplace_from,d_hz_loan_lap*G1342,0)*CC1342*in_loan_lap_ticket*in_loan_lap_comm</f>
        <v/>
      </c>
      <c r="CE1342" s="14">
        <f>AA1342+AB1342+AC1342+AD1342+AG1342+AJ1342+AM1342+AP1342+AS1342+AU1342+AX1342+BB1342+BE1342+BG1342+BJ1342+BL1342+BO1342+BR1342+BT1342+BV1342+BX1342+CA1342+CD1342</f>
        <v/>
      </c>
    </row>
    <row r="1343">
      <c r="A1343" s="39" t="n">
        <v>30</v>
      </c>
      <c r="B1343" s="39" t="n">
        <v>8</v>
      </c>
      <c r="C1343" s="39">
        <f>A1343+B1343-1</f>
        <v/>
      </c>
      <c r="D1343" s="39">
        <f>INT((C1343-1)/12)+1</f>
        <v/>
      </c>
      <c r="E1343" s="44">
        <f>INDEX(Monthly!$B$2:$B$61,A1343)</f>
        <v/>
      </c>
      <c r="F1343" s="44">
        <f>E1343*INDEX('Age profile'!$B$2:$B$61,B1343)</f>
        <v/>
      </c>
      <c r="G1343" s="45">
        <f>MIN(in_takeup_cap,INDEX('Age profile'!$N$2:$N$61,B1343)*(1+in_takeup_growth)^(D1343-1))</f>
        <v/>
      </c>
      <c r="H1343" s="11">
        <f>MIN(in_approval_cap,in_approved_first*INDEX('Age profile'!$O$2:$O$61,B1343)*(1+in_approval_growth)^(D1343-1))</f>
        <v/>
      </c>
      <c r="I1343" s="45">
        <f>G1343*MIN(in_takeup_cap,INDEX('Age profile'!$O$2:$O$61,B1343)*(1+in_approval_growth)^(D1343-1))</f>
        <v/>
      </c>
      <c r="J1343" s="40">
        <f>(J1342-L1342)*F1343/F1342</f>
        <v/>
      </c>
      <c r="K1343" s="40">
        <f>(K1342-M1342)*F1343/F1342+SUMIFS(O1336:O1342,B1336:B1342,B1343-1-d_T)*F1343</f>
        <v/>
      </c>
      <c r="L1343" s="40">
        <f>IF(B1343&gt;=in_marketplace_from,J1343*d_hz*G1343*in_eligible*H1343,0)</f>
        <v/>
      </c>
      <c r="M1343" s="40">
        <f>IF(B1343&gt;=in_marketplace_from,K1343*d_hz*G1343*in_eligible*in_approved_repeat,0)</f>
        <v/>
      </c>
      <c r="N1343" s="40">
        <f>L1343+M1343</f>
        <v/>
      </c>
      <c r="O1343" s="46">
        <f>N1343/F1343</f>
        <v/>
      </c>
      <c r="P1343" s="40">
        <f>F1343-J1343-K1343</f>
        <v/>
      </c>
      <c r="Q1343" s="40">
        <f>IF(B1343&gt;=in_marketplace_from,(J1343+K1343)*d_hz*G1343,0)</f>
        <v/>
      </c>
      <c r="R1343" s="40">
        <f>SUMIFS(N1336:N1366,B1336:B1366,"&gt;="&amp;(B1343-d_T),B1336:B1366,"&lt;="&amp;(B1343-1))</f>
        <v/>
      </c>
      <c r="S1343" s="46">
        <f>(1-d_u)*S1342+IF(d_T&gt;in_topup_lag,SUMIFS(O1336:O1366,B1336:B1366,B1343-in_topup_lag)-d_udrop*SUMIFS(O1336:O1366,B1336:B1366,B1343-d_T),0)</f>
        <v/>
      </c>
      <c r="T1343" s="40">
        <f>F1343*d_u*S1343</f>
        <v/>
      </c>
      <c r="U1343" s="9">
        <f>L1343*in_ticket+M1343*d_rep_ticket</f>
        <v/>
      </c>
      <c r="V1343" s="9">
        <f>U1343+T1343*d_topup_amt</f>
        <v/>
      </c>
      <c r="W1343" s="40">
        <f>N1343+T1343*d_topup_ratio</f>
        <v/>
      </c>
      <c r="X1343" s="40">
        <f>SUMIFS(W1336:W1366,B1336:B1366,B1343-in_dpd_lag)*d_cured</f>
        <v/>
      </c>
      <c r="Y1343" s="40">
        <f>SUMIFS(W1336:W1366,B1336:B1366,B1343-in_rec_lag)*d_recd</f>
        <v/>
      </c>
      <c r="Z1343" s="40">
        <f>IF(AND(B1343&gt;=in_marketplace_from,B1343&lt;in_marketplace_from+in_card_months),in_card_share/in_card_months*F1343*I1343,IF(AND(B1343&gt;=in_marketplace_from+in_card_months,B1343&lt;in_marketplace_from+2*in_card_months),in_card_share*d_card_rem/in_card_months*F1343*MIN(in_takeup_cap,(1+in_takeup_growth)^(D1343-1))*MIN(in_takeup_cap,(1+in_approval_growth)^(D1343-1)),0))</f>
        <v/>
      </c>
      <c r="AA1343" s="14">
        <f>V1343*in_fee*(1-in_taken_back)</f>
        <v/>
      </c>
      <c r="AB1343" s="14">
        <f>SUMIFS(W1336:W1366,B1336:B1366,B1343-in_dpd_lag)*d_dpd</f>
        <v/>
      </c>
      <c r="AC1343" s="14">
        <f>SUMIFS(W1336:W1366,B1336:B1366,B1343-in_rec_lag)*d_rec</f>
        <v/>
      </c>
      <c r="AD1343" s="14">
        <f>Z1343*in_card_fee</f>
        <v/>
      </c>
      <c r="AE1343" s="40">
        <f>AE1342*(1-IF(B1342&gt;=in_marketplace_from,d_hz_hlth_small*G1342,0))</f>
        <v/>
      </c>
      <c r="AF1343" s="46">
        <f>AE1343*IF(B1343&gt;=in_marketplace_from,d_hz_hlth_small*G1343,0)</f>
        <v/>
      </c>
      <c r="AG1343" s="14">
        <f>F1343*AF1343*in_hlth_small_ticket*in_hlth_small_comm*in_ins_partner_share+F1343*in_hlth_small_ticket*in_hlth_small_renew_comm*in_ins_partner_share*(in_hlth_small_renew^1*SUMIFS(AF1336:AF1366,B1336:B1366,B1343-12)+in_hlth_small_renew^2*SUMIFS(AF1336:AF1366,B1336:B1366,B1343-24)+in_hlth_small_renew^3*SUMIFS(AF1336:AF1366,B1336:B1366,B1343-36)+in_hlth_small_renew^4*SUMIFS(AF1336:AF1366,B1336:B1366,B1343-48))</f>
        <v/>
      </c>
      <c r="AH1343" s="40">
        <f>AH1342*(1-IF(B1342&gt;=in_marketplace_from,d_hz_hlth_family*G1342,0))</f>
        <v/>
      </c>
      <c r="AI1343" s="46">
        <f>AH1343*IF(B1343&gt;=in_marketplace_from,d_hz_hlth_family*G1343,0)</f>
        <v/>
      </c>
      <c r="AJ1343" s="14">
        <f>F1343*AI1343*in_hlth_family_ticket*in_hlth_family_comm*in_ins_partner_share+F1343*in_hlth_family_ticket*in_hlth_family_renew_comm*in_ins_partner_share*(in_hlth_family_renew^1*SUMIFS(AI1336:AI1366,B1336:B1366,B1343-12)+in_hlth_family_renew^2*SUMIFS(AI1336:AI1366,B1336:B1366,B1343-24)+in_hlth_family_renew^3*SUMIFS(AI1336:AI1366,B1336:B1366,B1343-36)+in_hlth_family_renew^4*SUMIFS(AI1336:AI1366,B1336:B1366,B1343-48))</f>
        <v/>
      </c>
      <c r="AK1343" s="40">
        <f>AK1342*(1-IF(B1342&gt;=in_marketplace_from,d_hz_life_term*G1342,0))</f>
        <v/>
      </c>
      <c r="AL1343" s="46">
        <f>AK1343*IF(B1343&gt;=in_marketplace_from,d_hz_life_term*G1343,0)</f>
        <v/>
      </c>
      <c r="AM1343" s="14">
        <f>F1343*AL1343*in_life_term_ticket*in_life_term_comm*in_ins_partner_share+F1343*in_life_term_ticket*in_life_term_renew_comm*in_ins_partner_share*(in_life_term_renew^1*SUMIFS(AL1336:AL1366,B1336:B1366,B1343-12)+in_life_term_renew^2*SUMIFS(AL1336:AL1366,B1336:B1366,B1343-24)+in_life_term_renew^3*SUMIFS(AL1336:AL1366,B1336:B1366,B1343-36)+in_life_term_renew^4*SUMIFS(AL1336:AL1366,B1336:B1366,B1343-48))</f>
        <v/>
      </c>
      <c r="AN1343" s="40">
        <f>AN1342*(1-IF(B1342&gt;=in_marketplace_from,d_hz_accident*G1342,0))</f>
        <v/>
      </c>
      <c r="AO1343" s="46">
        <f>AN1343*IF(B1343&gt;=in_marketplace_from,d_hz_accident*G1343,0)</f>
        <v/>
      </c>
      <c r="AP1343" s="14">
        <f>F1343*AO1343*in_accident_ticket*in_accident_comm*in_ins_partner_share+F1343*in_accident_ticket*in_accident_renew_comm*in_ins_partner_share*(in_accident_renew^1*SUMIFS(AO1336:AO1366,B1336:B1366,B1343-12)+in_accident_renew^2*SUMIFS(AO1336:AO1366,B1336:B1366,B1343-24)+in_accident_renew^3*SUMIFS(AO1336:AO1366,B1336:B1366,B1343-36)+in_accident_renew^4*SUMIFS(AO1336:AO1366,B1336:B1366,B1343-48))</f>
        <v/>
      </c>
      <c r="AQ1343" s="40">
        <f>AQ1342*(1-IF(B1342&gt;=in_marketplace_from,d_hz_two_wheeler*G1342,0))</f>
        <v/>
      </c>
      <c r="AR1343" s="46">
        <f>AQ1343*IF(B1343&gt;=in_marketplace_from,d_hz_two_wheeler*G1343,0)</f>
        <v/>
      </c>
      <c r="AS1343" s="14">
        <f>F1343*AR1343*in_two_wheeler_ticket*in_two_wheeler_comm*in_ins_partner_share+F1343*in_two_wheeler_ticket*in_two_wheeler_comm*in_ins_partner_share*(in_two_wheeler_renew^1*SUMIFS(AR1336:AR1366,B1336:B1366,B1343-12)+in_two_wheeler_renew^2*SUMIFS(AR1336:AR1366,B1336:B1366,B1343-24)+in_two_wheeler_renew^3*SUMIFS(AR1336:AR1366,B1336:B1366,B1343-36)+in_two_wheeler_renew^4*SUMIFS(AR1336:AR1366,B1336:B1366,B1343-48))</f>
        <v/>
      </c>
      <c r="AT1343" s="40">
        <f>AT1342*(1-IF(B1342&gt;=in_marketplace_from,d_hz_device*G1342,0))</f>
        <v/>
      </c>
      <c r="AU1343" s="14">
        <f>F1343*AT1343*IF(B1343&gt;=in_marketplace_from,d_hz_device*G1343,0)*in_device_ticket*in_device_comm*in_ins_partner_share</f>
        <v/>
      </c>
      <c r="AV1343" s="40">
        <f>AV1342*(1-IF(B1342&gt;=in_marketplace_from,d_hz_shop*G1342,0))</f>
        <v/>
      </c>
      <c r="AW1343" s="46">
        <f>AV1343*IF(B1343&gt;=in_marketplace_from,d_hz_shop*G1343,0)</f>
        <v/>
      </c>
      <c r="AX1343" s="14">
        <f>F1343*AW1343*in_shop_ticket*in_shop_comm*in_ins_partner_share+F1343*in_shop_ticket*in_shop_renew_comm*in_ins_partner_share*(in_shop_renew^1*SUMIFS(AW1336:AW1366,B1336:B1366,B1343-12)+in_shop_renew^2*SUMIFS(AW1336:AW1366,B1336:B1366,B1343-24)+in_shop_renew^3*SUMIFS(AW1336:AW1366,B1336:B1366,B1343-36)+in_shop_renew^4*SUMIFS(AW1336:AW1366,B1336:B1366,B1343-48))</f>
        <v/>
      </c>
      <c r="AY1343" s="40">
        <f>AY1342*(1-IF(B1342&gt;=in_marketplace_from,d_hz_sip*G1342,0))</f>
        <v/>
      </c>
      <c r="AZ1343" s="40">
        <f>AZ1342*d_rho_sip+AY1343*IF(B1343&gt;=in_marketplace_from,d_hz_sip*G1343,0)</f>
        <v/>
      </c>
      <c r="BA1343" s="40">
        <f>d_rho_sip*(BA1342+AZ1342)</f>
        <v/>
      </c>
      <c r="BB1343" s="14">
        <f>F1343*in_sip_ticket*(BA1343+0.5*AZ1343)*in_sip_comm/12</f>
        <v/>
      </c>
      <c r="BC1343" s="40">
        <f>BC1342*(1-IF(B1342&gt;=in_marketplace_from,d_hz_choti*G1342,0))</f>
        <v/>
      </c>
      <c r="BD1343" s="46">
        <f>BC1343*IF(B1343&gt;=in_marketplace_from,d_hz_choti*G1343,0)</f>
        <v/>
      </c>
      <c r="BE1343" s="14">
        <f>F1343*SUMIFS(BD1336:BD1366,B1336:B1366,B1343-in_choti_months)*in_choti_renew*in_choti_ticket</f>
        <v/>
      </c>
      <c r="BF1343" s="40">
        <f>BF1342*(1-IF(B1342&gt;=in_marketplace_from,d_hz_nps*G1342,0))</f>
        <v/>
      </c>
      <c r="BG1343" s="14">
        <f>F1343*BF1343*IF(B1343&gt;=in_marketplace_from,d_hz_nps*G1343,0)*in_nps_ticket*in_nps_comm</f>
        <v/>
      </c>
      <c r="BH1343" s="40">
        <f>BH1342*(1-IF(B1342&gt;=in_marketplace_from,d_hz_gold*G1342,0))</f>
        <v/>
      </c>
      <c r="BI1343" s="40">
        <f>BI1342*d_rho_gold+BH1343*IF(B1343&gt;=in_marketplace_from,d_hz_gold*G1343,0)</f>
        <v/>
      </c>
      <c r="BJ1343" s="14">
        <f>F1343*BI1343*in_gold_ticket*in_gold_comm</f>
        <v/>
      </c>
      <c r="BK1343" s="40">
        <f>BK1342*(1-IF(B1342&gt;=in_marketplace_from,d_hz_fd*G1342,0))</f>
        <v/>
      </c>
      <c r="BL1343" s="14">
        <f>F1343*BK1343*IF(B1343&gt;=in_marketplace_from,d_hz_fd*G1343,0)*in_fd_ticket*in_fd_comm</f>
        <v/>
      </c>
      <c r="BM1343" s="40">
        <f>BM1342*(1-IF(B1342&gt;=in_marketplace_from,d_hz_recharge*G1342,0))</f>
        <v/>
      </c>
      <c r="BN1343" s="40">
        <f>BN1342*d_rho_recharge+BM1343*IF(B1343&gt;=in_marketplace_from,d_hz_recharge*G1343,0)</f>
        <v/>
      </c>
      <c r="BO1343" s="14">
        <f>F1343*BN1343*in_recharge_ticket*in_recharge_comm/12</f>
        <v/>
      </c>
      <c r="BP1343" s="40">
        <f>BP1342*(1-IF(B1342&gt;=in_marketplace_from,d_hz_bills*G1342,0))</f>
        <v/>
      </c>
      <c r="BQ1343" s="40">
        <f>BQ1342*d_rho_bills+BP1343*IF(B1343&gt;=in_marketplace_from,d_hz_bills*G1343,0)</f>
        <v/>
      </c>
      <c r="BR1343" s="14">
        <f>F1343*BQ1343*in_bills_ticket*in_bills_comm/12</f>
        <v/>
      </c>
      <c r="BS1343" s="40">
        <f>BS1342*(1-IF(B1342&gt;=in_marketplace_from,d_hz_loan_gold*G1342,0))</f>
        <v/>
      </c>
      <c r="BT1343" s="14">
        <f>F1343*BS1343*IF(B1343&gt;=in_marketplace_from,d_hz_loan_gold*G1343,0)*in_loan_gold_ticket*in_loan_gold_comm</f>
        <v/>
      </c>
      <c r="BU1343" s="40">
        <f>BU1342*(1-IF(B1342&gt;=in_marketplace_from,d_hz_loan_cd*G1342,0))</f>
        <v/>
      </c>
      <c r="BV1343" s="14">
        <f>F1343*BU1343*IF(B1343&gt;=in_marketplace_from,d_hz_loan_cd*G1343,0)*in_loan_cd_ticket*in_loan_cd_comm</f>
        <v/>
      </c>
      <c r="BW1343" s="40">
        <f>BW1342*(1-IF(B1342&gt;=in_marketplace_from,d_hz_loan_vehicle*G1342,0))</f>
        <v/>
      </c>
      <c r="BX1343" s="14">
        <f>F1343*BW1343*IF(B1343&gt;=in_marketplace_from,d_hz_loan_vehicle*G1343,0)*in_loan_vehicle_ticket*in_loan_vehicle_comm</f>
        <v/>
      </c>
      <c r="BY1343" s="40">
        <f>BY1342*(1-IF(B1342&gt;=in_marketplace_from,d_hz_loan_home*G1342,0)*BZ1342)</f>
        <v/>
      </c>
      <c r="BZ1343" s="11">
        <f>MIN(in_approval_cap,in_loan_home_approval*INDEX('Age profile'!$O$2:$O$61,B1343)*(1+in_approval_growth)^(D1343-1))</f>
        <v/>
      </c>
      <c r="CA1343" s="14">
        <f>F1343*BY1343*IF(B1343&gt;=in_marketplace_from,d_hz_loan_home*G1343,0)*BZ1343*in_loan_home_ticket*in_loan_home_comm</f>
        <v/>
      </c>
      <c r="CB1343" s="40">
        <f>CB1342*(1-IF(B1342&gt;=in_marketplace_from,d_hz_loan_lap*G1342,0)*CC1342)</f>
        <v/>
      </c>
      <c r="CC1343" s="11">
        <f>MIN(in_approval_cap,in_loan_lap_approval*INDEX('Age profile'!$O$2:$O$61,B1343)*(1+in_approval_growth)^(D1343-1))</f>
        <v/>
      </c>
      <c r="CD1343" s="14">
        <f>F1343*CB1343*IF(B1343&gt;=in_marketplace_from,d_hz_loan_lap*G1343,0)*CC1343*in_loan_lap_ticket*in_loan_lap_comm</f>
        <v/>
      </c>
      <c r="CE1343" s="14">
        <f>AA1343+AB1343+AC1343+AD1343+AG1343+AJ1343+AM1343+AP1343+AS1343+AU1343+AX1343+BB1343+BE1343+BG1343+BJ1343+BL1343+BO1343+BR1343+BT1343+BV1343+BX1343+CA1343+CD1343</f>
        <v/>
      </c>
    </row>
    <row r="1344">
      <c r="A1344" s="39" t="n">
        <v>30</v>
      </c>
      <c r="B1344" s="39" t="n">
        <v>9</v>
      </c>
      <c r="C1344" s="39">
        <f>A1344+B1344-1</f>
        <v/>
      </c>
      <c r="D1344" s="39">
        <f>INT((C1344-1)/12)+1</f>
        <v/>
      </c>
      <c r="E1344" s="44">
        <f>INDEX(Monthly!$B$2:$B$61,A1344)</f>
        <v/>
      </c>
      <c r="F1344" s="44">
        <f>E1344*INDEX('Age profile'!$B$2:$B$61,B1344)</f>
        <v/>
      </c>
      <c r="G1344" s="45">
        <f>MIN(in_takeup_cap,INDEX('Age profile'!$N$2:$N$61,B1344)*(1+in_takeup_growth)^(D1344-1))</f>
        <v/>
      </c>
      <c r="H1344" s="11">
        <f>MIN(in_approval_cap,in_approved_first*INDEX('Age profile'!$O$2:$O$61,B1344)*(1+in_approval_growth)^(D1344-1))</f>
        <v/>
      </c>
      <c r="I1344" s="45">
        <f>G1344*MIN(in_takeup_cap,INDEX('Age profile'!$O$2:$O$61,B1344)*(1+in_approval_growth)^(D1344-1))</f>
        <v/>
      </c>
      <c r="J1344" s="40">
        <f>(J1343-L1343)*F1344/F1343</f>
        <v/>
      </c>
      <c r="K1344" s="40">
        <f>(K1343-M1343)*F1344/F1343+SUMIFS(O1336:O1343,B1336:B1343,B1344-1-d_T)*F1344</f>
        <v/>
      </c>
      <c r="L1344" s="40">
        <f>IF(B1344&gt;=in_marketplace_from,J1344*d_hz*G1344*in_eligible*H1344,0)</f>
        <v/>
      </c>
      <c r="M1344" s="40">
        <f>IF(B1344&gt;=in_marketplace_from,K1344*d_hz*G1344*in_eligible*in_approved_repeat,0)</f>
        <v/>
      </c>
      <c r="N1344" s="40">
        <f>L1344+M1344</f>
        <v/>
      </c>
      <c r="O1344" s="46">
        <f>N1344/F1344</f>
        <v/>
      </c>
      <c r="P1344" s="40">
        <f>F1344-J1344-K1344</f>
        <v/>
      </c>
      <c r="Q1344" s="40">
        <f>IF(B1344&gt;=in_marketplace_from,(J1344+K1344)*d_hz*G1344,0)</f>
        <v/>
      </c>
      <c r="R1344" s="40">
        <f>SUMIFS(N1336:N1366,B1336:B1366,"&gt;="&amp;(B1344-d_T),B1336:B1366,"&lt;="&amp;(B1344-1))</f>
        <v/>
      </c>
      <c r="S1344" s="46">
        <f>(1-d_u)*S1343+IF(d_T&gt;in_topup_lag,SUMIFS(O1336:O1366,B1336:B1366,B1344-in_topup_lag)-d_udrop*SUMIFS(O1336:O1366,B1336:B1366,B1344-d_T),0)</f>
        <v/>
      </c>
      <c r="T1344" s="40">
        <f>F1344*d_u*S1344</f>
        <v/>
      </c>
      <c r="U1344" s="9">
        <f>L1344*in_ticket+M1344*d_rep_ticket</f>
        <v/>
      </c>
      <c r="V1344" s="9">
        <f>U1344+T1344*d_topup_amt</f>
        <v/>
      </c>
      <c r="W1344" s="40">
        <f>N1344+T1344*d_topup_ratio</f>
        <v/>
      </c>
      <c r="X1344" s="40">
        <f>SUMIFS(W1336:W1366,B1336:B1366,B1344-in_dpd_lag)*d_cured</f>
        <v/>
      </c>
      <c r="Y1344" s="40">
        <f>SUMIFS(W1336:W1366,B1336:B1366,B1344-in_rec_lag)*d_recd</f>
        <v/>
      </c>
      <c r="Z1344" s="40">
        <f>IF(AND(B1344&gt;=in_marketplace_from,B1344&lt;in_marketplace_from+in_card_months),in_card_share/in_card_months*F1344*I1344,IF(AND(B1344&gt;=in_marketplace_from+in_card_months,B1344&lt;in_marketplace_from+2*in_card_months),in_card_share*d_card_rem/in_card_months*F1344*MIN(in_takeup_cap,(1+in_takeup_growth)^(D1344-1))*MIN(in_takeup_cap,(1+in_approval_growth)^(D1344-1)),0))</f>
        <v/>
      </c>
      <c r="AA1344" s="14">
        <f>V1344*in_fee*(1-in_taken_back)</f>
        <v/>
      </c>
      <c r="AB1344" s="14">
        <f>SUMIFS(W1336:W1366,B1336:B1366,B1344-in_dpd_lag)*d_dpd</f>
        <v/>
      </c>
      <c r="AC1344" s="14">
        <f>SUMIFS(W1336:W1366,B1336:B1366,B1344-in_rec_lag)*d_rec</f>
        <v/>
      </c>
      <c r="AD1344" s="14">
        <f>Z1344*in_card_fee</f>
        <v/>
      </c>
      <c r="AE1344" s="40">
        <f>AE1343*(1-IF(B1343&gt;=in_marketplace_from,d_hz_hlth_small*G1343,0))</f>
        <v/>
      </c>
      <c r="AF1344" s="46">
        <f>AE1344*IF(B1344&gt;=in_marketplace_from,d_hz_hlth_small*G1344,0)</f>
        <v/>
      </c>
      <c r="AG1344" s="14">
        <f>F1344*AF1344*in_hlth_small_ticket*in_hlth_small_comm*in_ins_partner_share+F1344*in_hlth_small_ticket*in_hlth_small_renew_comm*in_ins_partner_share*(in_hlth_small_renew^1*SUMIFS(AF1336:AF1366,B1336:B1366,B1344-12)+in_hlth_small_renew^2*SUMIFS(AF1336:AF1366,B1336:B1366,B1344-24)+in_hlth_small_renew^3*SUMIFS(AF1336:AF1366,B1336:B1366,B1344-36)+in_hlth_small_renew^4*SUMIFS(AF1336:AF1366,B1336:B1366,B1344-48))</f>
        <v/>
      </c>
      <c r="AH1344" s="40">
        <f>AH1343*(1-IF(B1343&gt;=in_marketplace_from,d_hz_hlth_family*G1343,0))</f>
        <v/>
      </c>
      <c r="AI1344" s="46">
        <f>AH1344*IF(B1344&gt;=in_marketplace_from,d_hz_hlth_family*G1344,0)</f>
        <v/>
      </c>
      <c r="AJ1344" s="14">
        <f>F1344*AI1344*in_hlth_family_ticket*in_hlth_family_comm*in_ins_partner_share+F1344*in_hlth_family_ticket*in_hlth_family_renew_comm*in_ins_partner_share*(in_hlth_family_renew^1*SUMIFS(AI1336:AI1366,B1336:B1366,B1344-12)+in_hlth_family_renew^2*SUMIFS(AI1336:AI1366,B1336:B1366,B1344-24)+in_hlth_family_renew^3*SUMIFS(AI1336:AI1366,B1336:B1366,B1344-36)+in_hlth_family_renew^4*SUMIFS(AI1336:AI1366,B1336:B1366,B1344-48))</f>
        <v/>
      </c>
      <c r="AK1344" s="40">
        <f>AK1343*(1-IF(B1343&gt;=in_marketplace_from,d_hz_life_term*G1343,0))</f>
        <v/>
      </c>
      <c r="AL1344" s="46">
        <f>AK1344*IF(B1344&gt;=in_marketplace_from,d_hz_life_term*G1344,0)</f>
        <v/>
      </c>
      <c r="AM1344" s="14">
        <f>F1344*AL1344*in_life_term_ticket*in_life_term_comm*in_ins_partner_share+F1344*in_life_term_ticket*in_life_term_renew_comm*in_ins_partner_share*(in_life_term_renew^1*SUMIFS(AL1336:AL1366,B1336:B1366,B1344-12)+in_life_term_renew^2*SUMIFS(AL1336:AL1366,B1336:B1366,B1344-24)+in_life_term_renew^3*SUMIFS(AL1336:AL1366,B1336:B1366,B1344-36)+in_life_term_renew^4*SUMIFS(AL1336:AL1366,B1336:B1366,B1344-48))</f>
        <v/>
      </c>
      <c r="AN1344" s="40">
        <f>AN1343*(1-IF(B1343&gt;=in_marketplace_from,d_hz_accident*G1343,0))</f>
        <v/>
      </c>
      <c r="AO1344" s="46">
        <f>AN1344*IF(B1344&gt;=in_marketplace_from,d_hz_accident*G1344,0)</f>
        <v/>
      </c>
      <c r="AP1344" s="14">
        <f>F1344*AO1344*in_accident_ticket*in_accident_comm*in_ins_partner_share+F1344*in_accident_ticket*in_accident_renew_comm*in_ins_partner_share*(in_accident_renew^1*SUMIFS(AO1336:AO1366,B1336:B1366,B1344-12)+in_accident_renew^2*SUMIFS(AO1336:AO1366,B1336:B1366,B1344-24)+in_accident_renew^3*SUMIFS(AO1336:AO1366,B1336:B1366,B1344-36)+in_accident_renew^4*SUMIFS(AO1336:AO1366,B1336:B1366,B1344-48))</f>
        <v/>
      </c>
      <c r="AQ1344" s="40">
        <f>AQ1343*(1-IF(B1343&gt;=in_marketplace_from,d_hz_two_wheeler*G1343,0))</f>
        <v/>
      </c>
      <c r="AR1344" s="46">
        <f>AQ1344*IF(B1344&gt;=in_marketplace_from,d_hz_two_wheeler*G1344,0)</f>
        <v/>
      </c>
      <c r="AS1344" s="14">
        <f>F1344*AR1344*in_two_wheeler_ticket*in_two_wheeler_comm*in_ins_partner_share+F1344*in_two_wheeler_ticket*in_two_wheeler_comm*in_ins_partner_share*(in_two_wheeler_renew^1*SUMIFS(AR1336:AR1366,B1336:B1366,B1344-12)+in_two_wheeler_renew^2*SUMIFS(AR1336:AR1366,B1336:B1366,B1344-24)+in_two_wheeler_renew^3*SUMIFS(AR1336:AR1366,B1336:B1366,B1344-36)+in_two_wheeler_renew^4*SUMIFS(AR1336:AR1366,B1336:B1366,B1344-48))</f>
        <v/>
      </c>
      <c r="AT1344" s="40">
        <f>AT1343*(1-IF(B1343&gt;=in_marketplace_from,d_hz_device*G1343,0))</f>
        <v/>
      </c>
      <c r="AU1344" s="14">
        <f>F1344*AT1344*IF(B1344&gt;=in_marketplace_from,d_hz_device*G1344,0)*in_device_ticket*in_device_comm*in_ins_partner_share</f>
        <v/>
      </c>
      <c r="AV1344" s="40">
        <f>AV1343*(1-IF(B1343&gt;=in_marketplace_from,d_hz_shop*G1343,0))</f>
        <v/>
      </c>
      <c r="AW1344" s="46">
        <f>AV1344*IF(B1344&gt;=in_marketplace_from,d_hz_shop*G1344,0)</f>
        <v/>
      </c>
      <c r="AX1344" s="14">
        <f>F1344*AW1344*in_shop_ticket*in_shop_comm*in_ins_partner_share+F1344*in_shop_ticket*in_shop_renew_comm*in_ins_partner_share*(in_shop_renew^1*SUMIFS(AW1336:AW1366,B1336:B1366,B1344-12)+in_shop_renew^2*SUMIFS(AW1336:AW1366,B1336:B1366,B1344-24)+in_shop_renew^3*SUMIFS(AW1336:AW1366,B1336:B1366,B1344-36)+in_shop_renew^4*SUMIFS(AW1336:AW1366,B1336:B1366,B1344-48))</f>
        <v/>
      </c>
      <c r="AY1344" s="40">
        <f>AY1343*(1-IF(B1343&gt;=in_marketplace_from,d_hz_sip*G1343,0))</f>
        <v/>
      </c>
      <c r="AZ1344" s="40">
        <f>AZ1343*d_rho_sip+AY1344*IF(B1344&gt;=in_marketplace_from,d_hz_sip*G1344,0)</f>
        <v/>
      </c>
      <c r="BA1344" s="40">
        <f>d_rho_sip*(BA1343+AZ1343)</f>
        <v/>
      </c>
      <c r="BB1344" s="14">
        <f>F1344*in_sip_ticket*(BA1344+0.5*AZ1344)*in_sip_comm/12</f>
        <v/>
      </c>
      <c r="BC1344" s="40">
        <f>BC1343*(1-IF(B1343&gt;=in_marketplace_from,d_hz_choti*G1343,0))</f>
        <v/>
      </c>
      <c r="BD1344" s="46">
        <f>BC1344*IF(B1344&gt;=in_marketplace_from,d_hz_choti*G1344,0)</f>
        <v/>
      </c>
      <c r="BE1344" s="14">
        <f>F1344*SUMIFS(BD1336:BD1366,B1336:B1366,B1344-in_choti_months)*in_choti_renew*in_choti_ticket</f>
        <v/>
      </c>
      <c r="BF1344" s="40">
        <f>BF1343*(1-IF(B1343&gt;=in_marketplace_from,d_hz_nps*G1343,0))</f>
        <v/>
      </c>
      <c r="BG1344" s="14">
        <f>F1344*BF1344*IF(B1344&gt;=in_marketplace_from,d_hz_nps*G1344,0)*in_nps_ticket*in_nps_comm</f>
        <v/>
      </c>
      <c r="BH1344" s="40">
        <f>BH1343*(1-IF(B1343&gt;=in_marketplace_from,d_hz_gold*G1343,0))</f>
        <v/>
      </c>
      <c r="BI1344" s="40">
        <f>BI1343*d_rho_gold+BH1344*IF(B1344&gt;=in_marketplace_from,d_hz_gold*G1344,0)</f>
        <v/>
      </c>
      <c r="BJ1344" s="14">
        <f>F1344*BI1344*in_gold_ticket*in_gold_comm</f>
        <v/>
      </c>
      <c r="BK1344" s="40">
        <f>BK1343*(1-IF(B1343&gt;=in_marketplace_from,d_hz_fd*G1343,0))</f>
        <v/>
      </c>
      <c r="BL1344" s="14">
        <f>F1344*BK1344*IF(B1344&gt;=in_marketplace_from,d_hz_fd*G1344,0)*in_fd_ticket*in_fd_comm</f>
        <v/>
      </c>
      <c r="BM1344" s="40">
        <f>BM1343*(1-IF(B1343&gt;=in_marketplace_from,d_hz_recharge*G1343,0))</f>
        <v/>
      </c>
      <c r="BN1344" s="40">
        <f>BN1343*d_rho_recharge+BM1344*IF(B1344&gt;=in_marketplace_from,d_hz_recharge*G1344,0)</f>
        <v/>
      </c>
      <c r="BO1344" s="14">
        <f>F1344*BN1344*in_recharge_ticket*in_recharge_comm/12</f>
        <v/>
      </c>
      <c r="BP1344" s="40">
        <f>BP1343*(1-IF(B1343&gt;=in_marketplace_from,d_hz_bills*G1343,0))</f>
        <v/>
      </c>
      <c r="BQ1344" s="40">
        <f>BQ1343*d_rho_bills+BP1344*IF(B1344&gt;=in_marketplace_from,d_hz_bills*G1344,0)</f>
        <v/>
      </c>
      <c r="BR1344" s="14">
        <f>F1344*BQ1344*in_bills_ticket*in_bills_comm/12</f>
        <v/>
      </c>
      <c r="BS1344" s="40">
        <f>BS1343*(1-IF(B1343&gt;=in_marketplace_from,d_hz_loan_gold*G1343,0))</f>
        <v/>
      </c>
      <c r="BT1344" s="14">
        <f>F1344*BS1344*IF(B1344&gt;=in_marketplace_from,d_hz_loan_gold*G1344,0)*in_loan_gold_ticket*in_loan_gold_comm</f>
        <v/>
      </c>
      <c r="BU1344" s="40">
        <f>BU1343*(1-IF(B1343&gt;=in_marketplace_from,d_hz_loan_cd*G1343,0))</f>
        <v/>
      </c>
      <c r="BV1344" s="14">
        <f>F1344*BU1344*IF(B1344&gt;=in_marketplace_from,d_hz_loan_cd*G1344,0)*in_loan_cd_ticket*in_loan_cd_comm</f>
        <v/>
      </c>
      <c r="BW1344" s="40">
        <f>BW1343*(1-IF(B1343&gt;=in_marketplace_from,d_hz_loan_vehicle*G1343,0))</f>
        <v/>
      </c>
      <c r="BX1344" s="14">
        <f>F1344*BW1344*IF(B1344&gt;=in_marketplace_from,d_hz_loan_vehicle*G1344,0)*in_loan_vehicle_ticket*in_loan_vehicle_comm</f>
        <v/>
      </c>
      <c r="BY1344" s="40">
        <f>BY1343*(1-IF(B1343&gt;=in_marketplace_from,d_hz_loan_home*G1343,0)*BZ1343)</f>
        <v/>
      </c>
      <c r="BZ1344" s="11">
        <f>MIN(in_approval_cap,in_loan_home_approval*INDEX('Age profile'!$O$2:$O$61,B1344)*(1+in_approval_growth)^(D1344-1))</f>
        <v/>
      </c>
      <c r="CA1344" s="14">
        <f>F1344*BY1344*IF(B1344&gt;=in_marketplace_from,d_hz_loan_home*G1344,0)*BZ1344*in_loan_home_ticket*in_loan_home_comm</f>
        <v/>
      </c>
      <c r="CB1344" s="40">
        <f>CB1343*(1-IF(B1343&gt;=in_marketplace_from,d_hz_loan_lap*G1343,0)*CC1343)</f>
        <v/>
      </c>
      <c r="CC1344" s="11">
        <f>MIN(in_approval_cap,in_loan_lap_approval*INDEX('Age profile'!$O$2:$O$61,B1344)*(1+in_approval_growth)^(D1344-1))</f>
        <v/>
      </c>
      <c r="CD1344" s="14">
        <f>F1344*CB1344*IF(B1344&gt;=in_marketplace_from,d_hz_loan_lap*G1344,0)*CC1344*in_loan_lap_ticket*in_loan_lap_comm</f>
        <v/>
      </c>
      <c r="CE1344" s="14">
        <f>AA1344+AB1344+AC1344+AD1344+AG1344+AJ1344+AM1344+AP1344+AS1344+AU1344+AX1344+BB1344+BE1344+BG1344+BJ1344+BL1344+BO1344+BR1344+BT1344+BV1344+BX1344+CA1344+CD1344</f>
        <v/>
      </c>
    </row>
    <row r="1345">
      <c r="A1345" s="39" t="n">
        <v>30</v>
      </c>
      <c r="B1345" s="39" t="n">
        <v>10</v>
      </c>
      <c r="C1345" s="39">
        <f>A1345+B1345-1</f>
        <v/>
      </c>
      <c r="D1345" s="39">
        <f>INT((C1345-1)/12)+1</f>
        <v/>
      </c>
      <c r="E1345" s="44">
        <f>INDEX(Monthly!$B$2:$B$61,A1345)</f>
        <v/>
      </c>
      <c r="F1345" s="44">
        <f>E1345*INDEX('Age profile'!$B$2:$B$61,B1345)</f>
        <v/>
      </c>
      <c r="G1345" s="45">
        <f>MIN(in_takeup_cap,INDEX('Age profile'!$N$2:$N$61,B1345)*(1+in_takeup_growth)^(D1345-1))</f>
        <v/>
      </c>
      <c r="H1345" s="11">
        <f>MIN(in_approval_cap,in_approved_first*INDEX('Age profile'!$O$2:$O$61,B1345)*(1+in_approval_growth)^(D1345-1))</f>
        <v/>
      </c>
      <c r="I1345" s="45">
        <f>G1345*MIN(in_takeup_cap,INDEX('Age profile'!$O$2:$O$61,B1345)*(1+in_approval_growth)^(D1345-1))</f>
        <v/>
      </c>
      <c r="J1345" s="40">
        <f>(J1344-L1344)*F1345/F1344</f>
        <v/>
      </c>
      <c r="K1345" s="40">
        <f>(K1344-M1344)*F1345/F1344+SUMIFS(O1336:O1344,B1336:B1344,B1345-1-d_T)*F1345</f>
        <v/>
      </c>
      <c r="L1345" s="40">
        <f>IF(B1345&gt;=in_marketplace_from,J1345*d_hz*G1345*in_eligible*H1345,0)</f>
        <v/>
      </c>
      <c r="M1345" s="40">
        <f>IF(B1345&gt;=in_marketplace_from,K1345*d_hz*G1345*in_eligible*in_approved_repeat,0)</f>
        <v/>
      </c>
      <c r="N1345" s="40">
        <f>L1345+M1345</f>
        <v/>
      </c>
      <c r="O1345" s="46">
        <f>N1345/F1345</f>
        <v/>
      </c>
      <c r="P1345" s="40">
        <f>F1345-J1345-K1345</f>
        <v/>
      </c>
      <c r="Q1345" s="40">
        <f>IF(B1345&gt;=in_marketplace_from,(J1345+K1345)*d_hz*G1345,0)</f>
        <v/>
      </c>
      <c r="R1345" s="40">
        <f>SUMIFS(N1336:N1366,B1336:B1366,"&gt;="&amp;(B1345-d_T),B1336:B1366,"&lt;="&amp;(B1345-1))</f>
        <v/>
      </c>
      <c r="S1345" s="46">
        <f>(1-d_u)*S1344+IF(d_T&gt;in_topup_lag,SUMIFS(O1336:O1366,B1336:B1366,B1345-in_topup_lag)-d_udrop*SUMIFS(O1336:O1366,B1336:B1366,B1345-d_T),0)</f>
        <v/>
      </c>
      <c r="T1345" s="40">
        <f>F1345*d_u*S1345</f>
        <v/>
      </c>
      <c r="U1345" s="9">
        <f>L1345*in_ticket+M1345*d_rep_ticket</f>
        <v/>
      </c>
      <c r="V1345" s="9">
        <f>U1345+T1345*d_topup_amt</f>
        <v/>
      </c>
      <c r="W1345" s="40">
        <f>N1345+T1345*d_topup_ratio</f>
        <v/>
      </c>
      <c r="X1345" s="40">
        <f>SUMIFS(W1336:W1366,B1336:B1366,B1345-in_dpd_lag)*d_cured</f>
        <v/>
      </c>
      <c r="Y1345" s="40">
        <f>SUMIFS(W1336:W1366,B1336:B1366,B1345-in_rec_lag)*d_recd</f>
        <v/>
      </c>
      <c r="Z1345" s="40">
        <f>IF(AND(B1345&gt;=in_marketplace_from,B1345&lt;in_marketplace_from+in_card_months),in_card_share/in_card_months*F1345*I1345,IF(AND(B1345&gt;=in_marketplace_from+in_card_months,B1345&lt;in_marketplace_from+2*in_card_months),in_card_share*d_card_rem/in_card_months*F1345*MIN(in_takeup_cap,(1+in_takeup_growth)^(D1345-1))*MIN(in_takeup_cap,(1+in_approval_growth)^(D1345-1)),0))</f>
        <v/>
      </c>
      <c r="AA1345" s="14">
        <f>V1345*in_fee*(1-in_taken_back)</f>
        <v/>
      </c>
      <c r="AB1345" s="14">
        <f>SUMIFS(W1336:W1366,B1336:B1366,B1345-in_dpd_lag)*d_dpd</f>
        <v/>
      </c>
      <c r="AC1345" s="14">
        <f>SUMIFS(W1336:W1366,B1336:B1366,B1345-in_rec_lag)*d_rec</f>
        <v/>
      </c>
      <c r="AD1345" s="14">
        <f>Z1345*in_card_fee</f>
        <v/>
      </c>
      <c r="AE1345" s="40">
        <f>AE1344*(1-IF(B1344&gt;=in_marketplace_from,d_hz_hlth_small*G1344,0))</f>
        <v/>
      </c>
      <c r="AF1345" s="46">
        <f>AE1345*IF(B1345&gt;=in_marketplace_from,d_hz_hlth_small*G1345,0)</f>
        <v/>
      </c>
      <c r="AG1345" s="14">
        <f>F1345*AF1345*in_hlth_small_ticket*in_hlth_small_comm*in_ins_partner_share+F1345*in_hlth_small_ticket*in_hlth_small_renew_comm*in_ins_partner_share*(in_hlth_small_renew^1*SUMIFS(AF1336:AF1366,B1336:B1366,B1345-12)+in_hlth_small_renew^2*SUMIFS(AF1336:AF1366,B1336:B1366,B1345-24)+in_hlth_small_renew^3*SUMIFS(AF1336:AF1366,B1336:B1366,B1345-36)+in_hlth_small_renew^4*SUMIFS(AF1336:AF1366,B1336:B1366,B1345-48))</f>
        <v/>
      </c>
      <c r="AH1345" s="40">
        <f>AH1344*(1-IF(B1344&gt;=in_marketplace_from,d_hz_hlth_family*G1344,0))</f>
        <v/>
      </c>
      <c r="AI1345" s="46">
        <f>AH1345*IF(B1345&gt;=in_marketplace_from,d_hz_hlth_family*G1345,0)</f>
        <v/>
      </c>
      <c r="AJ1345" s="14">
        <f>F1345*AI1345*in_hlth_family_ticket*in_hlth_family_comm*in_ins_partner_share+F1345*in_hlth_family_ticket*in_hlth_family_renew_comm*in_ins_partner_share*(in_hlth_family_renew^1*SUMIFS(AI1336:AI1366,B1336:B1366,B1345-12)+in_hlth_family_renew^2*SUMIFS(AI1336:AI1366,B1336:B1366,B1345-24)+in_hlth_family_renew^3*SUMIFS(AI1336:AI1366,B1336:B1366,B1345-36)+in_hlth_family_renew^4*SUMIFS(AI1336:AI1366,B1336:B1366,B1345-48))</f>
        <v/>
      </c>
      <c r="AK1345" s="40">
        <f>AK1344*(1-IF(B1344&gt;=in_marketplace_from,d_hz_life_term*G1344,0))</f>
        <v/>
      </c>
      <c r="AL1345" s="46">
        <f>AK1345*IF(B1345&gt;=in_marketplace_from,d_hz_life_term*G1345,0)</f>
        <v/>
      </c>
      <c r="AM1345" s="14">
        <f>F1345*AL1345*in_life_term_ticket*in_life_term_comm*in_ins_partner_share+F1345*in_life_term_ticket*in_life_term_renew_comm*in_ins_partner_share*(in_life_term_renew^1*SUMIFS(AL1336:AL1366,B1336:B1366,B1345-12)+in_life_term_renew^2*SUMIFS(AL1336:AL1366,B1336:B1366,B1345-24)+in_life_term_renew^3*SUMIFS(AL1336:AL1366,B1336:B1366,B1345-36)+in_life_term_renew^4*SUMIFS(AL1336:AL1366,B1336:B1366,B1345-48))</f>
        <v/>
      </c>
      <c r="AN1345" s="40">
        <f>AN1344*(1-IF(B1344&gt;=in_marketplace_from,d_hz_accident*G1344,0))</f>
        <v/>
      </c>
      <c r="AO1345" s="46">
        <f>AN1345*IF(B1345&gt;=in_marketplace_from,d_hz_accident*G1345,0)</f>
        <v/>
      </c>
      <c r="AP1345" s="14">
        <f>F1345*AO1345*in_accident_ticket*in_accident_comm*in_ins_partner_share+F1345*in_accident_ticket*in_accident_renew_comm*in_ins_partner_share*(in_accident_renew^1*SUMIFS(AO1336:AO1366,B1336:B1366,B1345-12)+in_accident_renew^2*SUMIFS(AO1336:AO1366,B1336:B1366,B1345-24)+in_accident_renew^3*SUMIFS(AO1336:AO1366,B1336:B1366,B1345-36)+in_accident_renew^4*SUMIFS(AO1336:AO1366,B1336:B1366,B1345-48))</f>
        <v/>
      </c>
      <c r="AQ1345" s="40">
        <f>AQ1344*(1-IF(B1344&gt;=in_marketplace_from,d_hz_two_wheeler*G1344,0))</f>
        <v/>
      </c>
      <c r="AR1345" s="46">
        <f>AQ1345*IF(B1345&gt;=in_marketplace_from,d_hz_two_wheeler*G1345,0)</f>
        <v/>
      </c>
      <c r="AS1345" s="14">
        <f>F1345*AR1345*in_two_wheeler_ticket*in_two_wheeler_comm*in_ins_partner_share+F1345*in_two_wheeler_ticket*in_two_wheeler_comm*in_ins_partner_share*(in_two_wheeler_renew^1*SUMIFS(AR1336:AR1366,B1336:B1366,B1345-12)+in_two_wheeler_renew^2*SUMIFS(AR1336:AR1366,B1336:B1366,B1345-24)+in_two_wheeler_renew^3*SUMIFS(AR1336:AR1366,B1336:B1366,B1345-36)+in_two_wheeler_renew^4*SUMIFS(AR1336:AR1366,B1336:B1366,B1345-48))</f>
        <v/>
      </c>
      <c r="AT1345" s="40">
        <f>AT1344*(1-IF(B1344&gt;=in_marketplace_from,d_hz_device*G1344,0))</f>
        <v/>
      </c>
      <c r="AU1345" s="14">
        <f>F1345*AT1345*IF(B1345&gt;=in_marketplace_from,d_hz_device*G1345,0)*in_device_ticket*in_device_comm*in_ins_partner_share</f>
        <v/>
      </c>
      <c r="AV1345" s="40">
        <f>AV1344*(1-IF(B1344&gt;=in_marketplace_from,d_hz_shop*G1344,0))</f>
        <v/>
      </c>
      <c r="AW1345" s="46">
        <f>AV1345*IF(B1345&gt;=in_marketplace_from,d_hz_shop*G1345,0)</f>
        <v/>
      </c>
      <c r="AX1345" s="14">
        <f>F1345*AW1345*in_shop_ticket*in_shop_comm*in_ins_partner_share+F1345*in_shop_ticket*in_shop_renew_comm*in_ins_partner_share*(in_shop_renew^1*SUMIFS(AW1336:AW1366,B1336:B1366,B1345-12)+in_shop_renew^2*SUMIFS(AW1336:AW1366,B1336:B1366,B1345-24)+in_shop_renew^3*SUMIFS(AW1336:AW1366,B1336:B1366,B1345-36)+in_shop_renew^4*SUMIFS(AW1336:AW1366,B1336:B1366,B1345-48))</f>
        <v/>
      </c>
      <c r="AY1345" s="40">
        <f>AY1344*(1-IF(B1344&gt;=in_marketplace_from,d_hz_sip*G1344,0))</f>
        <v/>
      </c>
      <c r="AZ1345" s="40">
        <f>AZ1344*d_rho_sip+AY1345*IF(B1345&gt;=in_marketplace_from,d_hz_sip*G1345,0)</f>
        <v/>
      </c>
      <c r="BA1345" s="40">
        <f>d_rho_sip*(BA1344+AZ1344)</f>
        <v/>
      </c>
      <c r="BB1345" s="14">
        <f>F1345*in_sip_ticket*(BA1345+0.5*AZ1345)*in_sip_comm/12</f>
        <v/>
      </c>
      <c r="BC1345" s="40">
        <f>BC1344*(1-IF(B1344&gt;=in_marketplace_from,d_hz_choti*G1344,0))</f>
        <v/>
      </c>
      <c r="BD1345" s="46">
        <f>BC1345*IF(B1345&gt;=in_marketplace_from,d_hz_choti*G1345,0)</f>
        <v/>
      </c>
      <c r="BE1345" s="14">
        <f>F1345*SUMIFS(BD1336:BD1366,B1336:B1366,B1345-in_choti_months)*in_choti_renew*in_choti_ticket</f>
        <v/>
      </c>
      <c r="BF1345" s="40">
        <f>BF1344*(1-IF(B1344&gt;=in_marketplace_from,d_hz_nps*G1344,0))</f>
        <v/>
      </c>
      <c r="BG1345" s="14">
        <f>F1345*BF1345*IF(B1345&gt;=in_marketplace_from,d_hz_nps*G1345,0)*in_nps_ticket*in_nps_comm</f>
        <v/>
      </c>
      <c r="BH1345" s="40">
        <f>BH1344*(1-IF(B1344&gt;=in_marketplace_from,d_hz_gold*G1344,0))</f>
        <v/>
      </c>
      <c r="BI1345" s="40">
        <f>BI1344*d_rho_gold+BH1345*IF(B1345&gt;=in_marketplace_from,d_hz_gold*G1345,0)</f>
        <v/>
      </c>
      <c r="BJ1345" s="14">
        <f>F1345*BI1345*in_gold_ticket*in_gold_comm</f>
        <v/>
      </c>
      <c r="BK1345" s="40">
        <f>BK1344*(1-IF(B1344&gt;=in_marketplace_from,d_hz_fd*G1344,0))</f>
        <v/>
      </c>
      <c r="BL1345" s="14">
        <f>F1345*BK1345*IF(B1345&gt;=in_marketplace_from,d_hz_fd*G1345,0)*in_fd_ticket*in_fd_comm</f>
        <v/>
      </c>
      <c r="BM1345" s="40">
        <f>BM1344*(1-IF(B1344&gt;=in_marketplace_from,d_hz_recharge*G1344,0))</f>
        <v/>
      </c>
      <c r="BN1345" s="40">
        <f>BN1344*d_rho_recharge+BM1345*IF(B1345&gt;=in_marketplace_from,d_hz_recharge*G1345,0)</f>
        <v/>
      </c>
      <c r="BO1345" s="14">
        <f>F1345*BN1345*in_recharge_ticket*in_recharge_comm/12</f>
        <v/>
      </c>
      <c r="BP1345" s="40">
        <f>BP1344*(1-IF(B1344&gt;=in_marketplace_from,d_hz_bills*G1344,0))</f>
        <v/>
      </c>
      <c r="BQ1345" s="40">
        <f>BQ1344*d_rho_bills+BP1345*IF(B1345&gt;=in_marketplace_from,d_hz_bills*G1345,0)</f>
        <v/>
      </c>
      <c r="BR1345" s="14">
        <f>F1345*BQ1345*in_bills_ticket*in_bills_comm/12</f>
        <v/>
      </c>
      <c r="BS1345" s="40">
        <f>BS1344*(1-IF(B1344&gt;=in_marketplace_from,d_hz_loan_gold*G1344,0))</f>
        <v/>
      </c>
      <c r="BT1345" s="14">
        <f>F1345*BS1345*IF(B1345&gt;=in_marketplace_from,d_hz_loan_gold*G1345,0)*in_loan_gold_ticket*in_loan_gold_comm</f>
        <v/>
      </c>
      <c r="BU1345" s="40">
        <f>BU1344*(1-IF(B1344&gt;=in_marketplace_from,d_hz_loan_cd*G1344,0))</f>
        <v/>
      </c>
      <c r="BV1345" s="14">
        <f>F1345*BU1345*IF(B1345&gt;=in_marketplace_from,d_hz_loan_cd*G1345,0)*in_loan_cd_ticket*in_loan_cd_comm</f>
        <v/>
      </c>
      <c r="BW1345" s="40">
        <f>BW1344*(1-IF(B1344&gt;=in_marketplace_from,d_hz_loan_vehicle*G1344,0))</f>
        <v/>
      </c>
      <c r="BX1345" s="14">
        <f>F1345*BW1345*IF(B1345&gt;=in_marketplace_from,d_hz_loan_vehicle*G1345,0)*in_loan_vehicle_ticket*in_loan_vehicle_comm</f>
        <v/>
      </c>
      <c r="BY1345" s="40">
        <f>BY1344*(1-IF(B1344&gt;=in_marketplace_from,d_hz_loan_home*G1344,0)*BZ1344)</f>
        <v/>
      </c>
      <c r="BZ1345" s="11">
        <f>MIN(in_approval_cap,in_loan_home_approval*INDEX('Age profile'!$O$2:$O$61,B1345)*(1+in_approval_growth)^(D1345-1))</f>
        <v/>
      </c>
      <c r="CA1345" s="14">
        <f>F1345*BY1345*IF(B1345&gt;=in_marketplace_from,d_hz_loan_home*G1345,0)*BZ1345*in_loan_home_ticket*in_loan_home_comm</f>
        <v/>
      </c>
      <c r="CB1345" s="40">
        <f>CB1344*(1-IF(B1344&gt;=in_marketplace_from,d_hz_loan_lap*G1344,0)*CC1344)</f>
        <v/>
      </c>
      <c r="CC1345" s="11">
        <f>MIN(in_approval_cap,in_loan_lap_approval*INDEX('Age profile'!$O$2:$O$61,B1345)*(1+in_approval_growth)^(D1345-1))</f>
        <v/>
      </c>
      <c r="CD1345" s="14">
        <f>F1345*CB1345*IF(B1345&gt;=in_marketplace_from,d_hz_loan_lap*G1345,0)*CC1345*in_loan_lap_ticket*in_loan_lap_comm</f>
        <v/>
      </c>
      <c r="CE1345" s="14">
        <f>AA1345+AB1345+AC1345+AD1345+AG1345+AJ1345+AM1345+AP1345+AS1345+AU1345+AX1345+BB1345+BE1345+BG1345+BJ1345+BL1345+BO1345+BR1345+BT1345+BV1345+BX1345+CA1345+CD1345</f>
        <v/>
      </c>
    </row>
    <row r="1346">
      <c r="A1346" s="39" t="n">
        <v>30</v>
      </c>
      <c r="B1346" s="39" t="n">
        <v>11</v>
      </c>
      <c r="C1346" s="39">
        <f>A1346+B1346-1</f>
        <v/>
      </c>
      <c r="D1346" s="39">
        <f>INT((C1346-1)/12)+1</f>
        <v/>
      </c>
      <c r="E1346" s="44">
        <f>INDEX(Monthly!$B$2:$B$61,A1346)</f>
        <v/>
      </c>
      <c r="F1346" s="44">
        <f>E1346*INDEX('Age profile'!$B$2:$B$61,B1346)</f>
        <v/>
      </c>
      <c r="G1346" s="45">
        <f>MIN(in_takeup_cap,INDEX('Age profile'!$N$2:$N$61,B1346)*(1+in_takeup_growth)^(D1346-1))</f>
        <v/>
      </c>
      <c r="H1346" s="11">
        <f>MIN(in_approval_cap,in_approved_first*INDEX('Age profile'!$O$2:$O$61,B1346)*(1+in_approval_growth)^(D1346-1))</f>
        <v/>
      </c>
      <c r="I1346" s="45">
        <f>G1346*MIN(in_takeup_cap,INDEX('Age profile'!$O$2:$O$61,B1346)*(1+in_approval_growth)^(D1346-1))</f>
        <v/>
      </c>
      <c r="J1346" s="40">
        <f>(J1345-L1345)*F1346/F1345</f>
        <v/>
      </c>
      <c r="K1346" s="40">
        <f>(K1345-M1345)*F1346/F1345+SUMIFS(O1336:O1345,B1336:B1345,B1346-1-d_T)*F1346</f>
        <v/>
      </c>
      <c r="L1346" s="40">
        <f>IF(B1346&gt;=in_marketplace_from,J1346*d_hz*G1346*in_eligible*H1346,0)</f>
        <v/>
      </c>
      <c r="M1346" s="40">
        <f>IF(B1346&gt;=in_marketplace_from,K1346*d_hz*G1346*in_eligible*in_approved_repeat,0)</f>
        <v/>
      </c>
      <c r="N1346" s="40">
        <f>L1346+M1346</f>
        <v/>
      </c>
      <c r="O1346" s="46">
        <f>N1346/F1346</f>
        <v/>
      </c>
      <c r="P1346" s="40">
        <f>F1346-J1346-K1346</f>
        <v/>
      </c>
      <c r="Q1346" s="40">
        <f>IF(B1346&gt;=in_marketplace_from,(J1346+K1346)*d_hz*G1346,0)</f>
        <v/>
      </c>
      <c r="R1346" s="40">
        <f>SUMIFS(N1336:N1366,B1336:B1366,"&gt;="&amp;(B1346-d_T),B1336:B1366,"&lt;="&amp;(B1346-1))</f>
        <v/>
      </c>
      <c r="S1346" s="46">
        <f>(1-d_u)*S1345+IF(d_T&gt;in_topup_lag,SUMIFS(O1336:O1366,B1336:B1366,B1346-in_topup_lag)-d_udrop*SUMIFS(O1336:O1366,B1336:B1366,B1346-d_T),0)</f>
        <v/>
      </c>
      <c r="T1346" s="40">
        <f>F1346*d_u*S1346</f>
        <v/>
      </c>
      <c r="U1346" s="9">
        <f>L1346*in_ticket+M1346*d_rep_ticket</f>
        <v/>
      </c>
      <c r="V1346" s="9">
        <f>U1346+T1346*d_topup_amt</f>
        <v/>
      </c>
      <c r="W1346" s="40">
        <f>N1346+T1346*d_topup_ratio</f>
        <v/>
      </c>
      <c r="X1346" s="40">
        <f>SUMIFS(W1336:W1366,B1336:B1366,B1346-in_dpd_lag)*d_cured</f>
        <v/>
      </c>
      <c r="Y1346" s="40">
        <f>SUMIFS(W1336:W1366,B1336:B1366,B1346-in_rec_lag)*d_recd</f>
        <v/>
      </c>
      <c r="Z1346" s="40">
        <f>IF(AND(B1346&gt;=in_marketplace_from,B1346&lt;in_marketplace_from+in_card_months),in_card_share/in_card_months*F1346*I1346,IF(AND(B1346&gt;=in_marketplace_from+in_card_months,B1346&lt;in_marketplace_from+2*in_card_months),in_card_share*d_card_rem/in_card_months*F1346*MIN(in_takeup_cap,(1+in_takeup_growth)^(D1346-1))*MIN(in_takeup_cap,(1+in_approval_growth)^(D1346-1)),0))</f>
        <v/>
      </c>
      <c r="AA1346" s="14">
        <f>V1346*in_fee*(1-in_taken_back)</f>
        <v/>
      </c>
      <c r="AB1346" s="14">
        <f>SUMIFS(W1336:W1366,B1336:B1366,B1346-in_dpd_lag)*d_dpd</f>
        <v/>
      </c>
      <c r="AC1346" s="14">
        <f>SUMIFS(W1336:W1366,B1336:B1366,B1346-in_rec_lag)*d_rec</f>
        <v/>
      </c>
      <c r="AD1346" s="14">
        <f>Z1346*in_card_fee</f>
        <v/>
      </c>
      <c r="AE1346" s="40">
        <f>AE1345*(1-IF(B1345&gt;=in_marketplace_from,d_hz_hlth_small*G1345,0))</f>
        <v/>
      </c>
      <c r="AF1346" s="46">
        <f>AE1346*IF(B1346&gt;=in_marketplace_from,d_hz_hlth_small*G1346,0)</f>
        <v/>
      </c>
      <c r="AG1346" s="14">
        <f>F1346*AF1346*in_hlth_small_ticket*in_hlth_small_comm*in_ins_partner_share+F1346*in_hlth_small_ticket*in_hlth_small_renew_comm*in_ins_partner_share*(in_hlth_small_renew^1*SUMIFS(AF1336:AF1366,B1336:B1366,B1346-12)+in_hlth_small_renew^2*SUMIFS(AF1336:AF1366,B1336:B1366,B1346-24)+in_hlth_small_renew^3*SUMIFS(AF1336:AF1366,B1336:B1366,B1346-36)+in_hlth_small_renew^4*SUMIFS(AF1336:AF1366,B1336:B1366,B1346-48))</f>
        <v/>
      </c>
      <c r="AH1346" s="40">
        <f>AH1345*(1-IF(B1345&gt;=in_marketplace_from,d_hz_hlth_family*G1345,0))</f>
        <v/>
      </c>
      <c r="AI1346" s="46">
        <f>AH1346*IF(B1346&gt;=in_marketplace_from,d_hz_hlth_family*G1346,0)</f>
        <v/>
      </c>
      <c r="AJ1346" s="14">
        <f>F1346*AI1346*in_hlth_family_ticket*in_hlth_family_comm*in_ins_partner_share+F1346*in_hlth_family_ticket*in_hlth_family_renew_comm*in_ins_partner_share*(in_hlth_family_renew^1*SUMIFS(AI1336:AI1366,B1336:B1366,B1346-12)+in_hlth_family_renew^2*SUMIFS(AI1336:AI1366,B1336:B1366,B1346-24)+in_hlth_family_renew^3*SUMIFS(AI1336:AI1366,B1336:B1366,B1346-36)+in_hlth_family_renew^4*SUMIFS(AI1336:AI1366,B1336:B1366,B1346-48))</f>
        <v/>
      </c>
      <c r="AK1346" s="40">
        <f>AK1345*(1-IF(B1345&gt;=in_marketplace_from,d_hz_life_term*G1345,0))</f>
        <v/>
      </c>
      <c r="AL1346" s="46">
        <f>AK1346*IF(B1346&gt;=in_marketplace_from,d_hz_life_term*G1346,0)</f>
        <v/>
      </c>
      <c r="AM1346" s="14">
        <f>F1346*AL1346*in_life_term_ticket*in_life_term_comm*in_ins_partner_share+F1346*in_life_term_ticket*in_life_term_renew_comm*in_ins_partner_share*(in_life_term_renew^1*SUMIFS(AL1336:AL1366,B1336:B1366,B1346-12)+in_life_term_renew^2*SUMIFS(AL1336:AL1366,B1336:B1366,B1346-24)+in_life_term_renew^3*SUMIFS(AL1336:AL1366,B1336:B1366,B1346-36)+in_life_term_renew^4*SUMIFS(AL1336:AL1366,B1336:B1366,B1346-48))</f>
        <v/>
      </c>
      <c r="AN1346" s="40">
        <f>AN1345*(1-IF(B1345&gt;=in_marketplace_from,d_hz_accident*G1345,0))</f>
        <v/>
      </c>
      <c r="AO1346" s="46">
        <f>AN1346*IF(B1346&gt;=in_marketplace_from,d_hz_accident*G1346,0)</f>
        <v/>
      </c>
      <c r="AP1346" s="14">
        <f>F1346*AO1346*in_accident_ticket*in_accident_comm*in_ins_partner_share+F1346*in_accident_ticket*in_accident_renew_comm*in_ins_partner_share*(in_accident_renew^1*SUMIFS(AO1336:AO1366,B1336:B1366,B1346-12)+in_accident_renew^2*SUMIFS(AO1336:AO1366,B1336:B1366,B1346-24)+in_accident_renew^3*SUMIFS(AO1336:AO1366,B1336:B1366,B1346-36)+in_accident_renew^4*SUMIFS(AO1336:AO1366,B1336:B1366,B1346-48))</f>
        <v/>
      </c>
      <c r="AQ1346" s="40">
        <f>AQ1345*(1-IF(B1345&gt;=in_marketplace_from,d_hz_two_wheeler*G1345,0))</f>
        <v/>
      </c>
      <c r="AR1346" s="46">
        <f>AQ1346*IF(B1346&gt;=in_marketplace_from,d_hz_two_wheeler*G1346,0)</f>
        <v/>
      </c>
      <c r="AS1346" s="14">
        <f>F1346*AR1346*in_two_wheeler_ticket*in_two_wheeler_comm*in_ins_partner_share+F1346*in_two_wheeler_ticket*in_two_wheeler_comm*in_ins_partner_share*(in_two_wheeler_renew^1*SUMIFS(AR1336:AR1366,B1336:B1366,B1346-12)+in_two_wheeler_renew^2*SUMIFS(AR1336:AR1366,B1336:B1366,B1346-24)+in_two_wheeler_renew^3*SUMIFS(AR1336:AR1366,B1336:B1366,B1346-36)+in_two_wheeler_renew^4*SUMIFS(AR1336:AR1366,B1336:B1366,B1346-48))</f>
        <v/>
      </c>
      <c r="AT1346" s="40">
        <f>AT1345*(1-IF(B1345&gt;=in_marketplace_from,d_hz_device*G1345,0))</f>
        <v/>
      </c>
      <c r="AU1346" s="14">
        <f>F1346*AT1346*IF(B1346&gt;=in_marketplace_from,d_hz_device*G1346,0)*in_device_ticket*in_device_comm*in_ins_partner_share</f>
        <v/>
      </c>
      <c r="AV1346" s="40">
        <f>AV1345*(1-IF(B1345&gt;=in_marketplace_from,d_hz_shop*G1345,0))</f>
        <v/>
      </c>
      <c r="AW1346" s="46">
        <f>AV1346*IF(B1346&gt;=in_marketplace_from,d_hz_shop*G1346,0)</f>
        <v/>
      </c>
      <c r="AX1346" s="14">
        <f>F1346*AW1346*in_shop_ticket*in_shop_comm*in_ins_partner_share+F1346*in_shop_ticket*in_shop_renew_comm*in_ins_partner_share*(in_shop_renew^1*SUMIFS(AW1336:AW1366,B1336:B1366,B1346-12)+in_shop_renew^2*SUMIFS(AW1336:AW1366,B1336:B1366,B1346-24)+in_shop_renew^3*SUMIFS(AW1336:AW1366,B1336:B1366,B1346-36)+in_shop_renew^4*SUMIFS(AW1336:AW1366,B1336:B1366,B1346-48))</f>
        <v/>
      </c>
      <c r="AY1346" s="40">
        <f>AY1345*(1-IF(B1345&gt;=in_marketplace_from,d_hz_sip*G1345,0))</f>
        <v/>
      </c>
      <c r="AZ1346" s="40">
        <f>AZ1345*d_rho_sip+AY1346*IF(B1346&gt;=in_marketplace_from,d_hz_sip*G1346,0)</f>
        <v/>
      </c>
      <c r="BA1346" s="40">
        <f>d_rho_sip*(BA1345+AZ1345)</f>
        <v/>
      </c>
      <c r="BB1346" s="14">
        <f>F1346*in_sip_ticket*(BA1346+0.5*AZ1346)*in_sip_comm/12</f>
        <v/>
      </c>
      <c r="BC1346" s="40">
        <f>BC1345*(1-IF(B1345&gt;=in_marketplace_from,d_hz_choti*G1345,0))</f>
        <v/>
      </c>
      <c r="BD1346" s="46">
        <f>BC1346*IF(B1346&gt;=in_marketplace_from,d_hz_choti*G1346,0)</f>
        <v/>
      </c>
      <c r="BE1346" s="14">
        <f>F1346*SUMIFS(BD1336:BD1366,B1336:B1366,B1346-in_choti_months)*in_choti_renew*in_choti_ticket</f>
        <v/>
      </c>
      <c r="BF1346" s="40">
        <f>BF1345*(1-IF(B1345&gt;=in_marketplace_from,d_hz_nps*G1345,0))</f>
        <v/>
      </c>
      <c r="BG1346" s="14">
        <f>F1346*BF1346*IF(B1346&gt;=in_marketplace_from,d_hz_nps*G1346,0)*in_nps_ticket*in_nps_comm</f>
        <v/>
      </c>
      <c r="BH1346" s="40">
        <f>BH1345*(1-IF(B1345&gt;=in_marketplace_from,d_hz_gold*G1345,0))</f>
        <v/>
      </c>
      <c r="BI1346" s="40">
        <f>BI1345*d_rho_gold+BH1346*IF(B1346&gt;=in_marketplace_from,d_hz_gold*G1346,0)</f>
        <v/>
      </c>
      <c r="BJ1346" s="14">
        <f>F1346*BI1346*in_gold_ticket*in_gold_comm</f>
        <v/>
      </c>
      <c r="BK1346" s="40">
        <f>BK1345*(1-IF(B1345&gt;=in_marketplace_from,d_hz_fd*G1345,0))</f>
        <v/>
      </c>
      <c r="BL1346" s="14">
        <f>F1346*BK1346*IF(B1346&gt;=in_marketplace_from,d_hz_fd*G1346,0)*in_fd_ticket*in_fd_comm</f>
        <v/>
      </c>
      <c r="BM1346" s="40">
        <f>BM1345*(1-IF(B1345&gt;=in_marketplace_from,d_hz_recharge*G1345,0))</f>
        <v/>
      </c>
      <c r="BN1346" s="40">
        <f>BN1345*d_rho_recharge+BM1346*IF(B1346&gt;=in_marketplace_from,d_hz_recharge*G1346,0)</f>
        <v/>
      </c>
      <c r="BO1346" s="14">
        <f>F1346*BN1346*in_recharge_ticket*in_recharge_comm/12</f>
        <v/>
      </c>
      <c r="BP1346" s="40">
        <f>BP1345*(1-IF(B1345&gt;=in_marketplace_from,d_hz_bills*G1345,0))</f>
        <v/>
      </c>
      <c r="BQ1346" s="40">
        <f>BQ1345*d_rho_bills+BP1346*IF(B1346&gt;=in_marketplace_from,d_hz_bills*G1346,0)</f>
        <v/>
      </c>
      <c r="BR1346" s="14">
        <f>F1346*BQ1346*in_bills_ticket*in_bills_comm/12</f>
        <v/>
      </c>
      <c r="BS1346" s="40">
        <f>BS1345*(1-IF(B1345&gt;=in_marketplace_from,d_hz_loan_gold*G1345,0))</f>
        <v/>
      </c>
      <c r="BT1346" s="14">
        <f>F1346*BS1346*IF(B1346&gt;=in_marketplace_from,d_hz_loan_gold*G1346,0)*in_loan_gold_ticket*in_loan_gold_comm</f>
        <v/>
      </c>
      <c r="BU1346" s="40">
        <f>BU1345*(1-IF(B1345&gt;=in_marketplace_from,d_hz_loan_cd*G1345,0))</f>
        <v/>
      </c>
      <c r="BV1346" s="14">
        <f>F1346*BU1346*IF(B1346&gt;=in_marketplace_from,d_hz_loan_cd*G1346,0)*in_loan_cd_ticket*in_loan_cd_comm</f>
        <v/>
      </c>
      <c r="BW1346" s="40">
        <f>BW1345*(1-IF(B1345&gt;=in_marketplace_from,d_hz_loan_vehicle*G1345,0))</f>
        <v/>
      </c>
      <c r="BX1346" s="14">
        <f>F1346*BW1346*IF(B1346&gt;=in_marketplace_from,d_hz_loan_vehicle*G1346,0)*in_loan_vehicle_ticket*in_loan_vehicle_comm</f>
        <v/>
      </c>
      <c r="BY1346" s="40">
        <f>BY1345*(1-IF(B1345&gt;=in_marketplace_from,d_hz_loan_home*G1345,0)*BZ1345)</f>
        <v/>
      </c>
      <c r="BZ1346" s="11">
        <f>MIN(in_approval_cap,in_loan_home_approval*INDEX('Age profile'!$O$2:$O$61,B1346)*(1+in_approval_growth)^(D1346-1))</f>
        <v/>
      </c>
      <c r="CA1346" s="14">
        <f>F1346*BY1346*IF(B1346&gt;=in_marketplace_from,d_hz_loan_home*G1346,0)*BZ1346*in_loan_home_ticket*in_loan_home_comm</f>
        <v/>
      </c>
      <c r="CB1346" s="40">
        <f>CB1345*(1-IF(B1345&gt;=in_marketplace_from,d_hz_loan_lap*G1345,0)*CC1345)</f>
        <v/>
      </c>
      <c r="CC1346" s="11">
        <f>MIN(in_approval_cap,in_loan_lap_approval*INDEX('Age profile'!$O$2:$O$61,B1346)*(1+in_approval_growth)^(D1346-1))</f>
        <v/>
      </c>
      <c r="CD1346" s="14">
        <f>F1346*CB1346*IF(B1346&gt;=in_marketplace_from,d_hz_loan_lap*G1346,0)*CC1346*in_loan_lap_ticket*in_loan_lap_comm</f>
        <v/>
      </c>
      <c r="CE1346" s="14">
        <f>AA1346+AB1346+AC1346+AD1346+AG1346+AJ1346+AM1346+AP1346+AS1346+AU1346+AX1346+BB1346+BE1346+BG1346+BJ1346+BL1346+BO1346+BR1346+BT1346+BV1346+BX1346+CA1346+CD1346</f>
        <v/>
      </c>
    </row>
    <row r="1347">
      <c r="A1347" s="39" t="n">
        <v>30</v>
      </c>
      <c r="B1347" s="39" t="n">
        <v>12</v>
      </c>
      <c r="C1347" s="39">
        <f>A1347+B1347-1</f>
        <v/>
      </c>
      <c r="D1347" s="39">
        <f>INT((C1347-1)/12)+1</f>
        <v/>
      </c>
      <c r="E1347" s="44">
        <f>INDEX(Monthly!$B$2:$B$61,A1347)</f>
        <v/>
      </c>
      <c r="F1347" s="44">
        <f>E1347*INDEX('Age profile'!$B$2:$B$61,B1347)</f>
        <v/>
      </c>
      <c r="G1347" s="45">
        <f>MIN(in_takeup_cap,INDEX('Age profile'!$N$2:$N$61,B1347)*(1+in_takeup_growth)^(D1347-1))</f>
        <v/>
      </c>
      <c r="H1347" s="11">
        <f>MIN(in_approval_cap,in_approved_first*INDEX('Age profile'!$O$2:$O$61,B1347)*(1+in_approval_growth)^(D1347-1))</f>
        <v/>
      </c>
      <c r="I1347" s="45">
        <f>G1347*MIN(in_takeup_cap,INDEX('Age profile'!$O$2:$O$61,B1347)*(1+in_approval_growth)^(D1347-1))</f>
        <v/>
      </c>
      <c r="J1347" s="40">
        <f>(J1346-L1346)*F1347/F1346</f>
        <v/>
      </c>
      <c r="K1347" s="40">
        <f>(K1346-M1346)*F1347/F1346+SUMIFS(O1336:O1346,B1336:B1346,B1347-1-d_T)*F1347</f>
        <v/>
      </c>
      <c r="L1347" s="40">
        <f>IF(B1347&gt;=in_marketplace_from,J1347*d_hz*G1347*in_eligible*H1347,0)</f>
        <v/>
      </c>
      <c r="M1347" s="40">
        <f>IF(B1347&gt;=in_marketplace_from,K1347*d_hz*G1347*in_eligible*in_approved_repeat,0)</f>
        <v/>
      </c>
      <c r="N1347" s="40">
        <f>L1347+M1347</f>
        <v/>
      </c>
      <c r="O1347" s="46">
        <f>N1347/F1347</f>
        <v/>
      </c>
      <c r="P1347" s="40">
        <f>F1347-J1347-K1347</f>
        <v/>
      </c>
      <c r="Q1347" s="40">
        <f>IF(B1347&gt;=in_marketplace_from,(J1347+K1347)*d_hz*G1347,0)</f>
        <v/>
      </c>
      <c r="R1347" s="40">
        <f>SUMIFS(N1336:N1366,B1336:B1366,"&gt;="&amp;(B1347-d_T),B1336:B1366,"&lt;="&amp;(B1347-1))</f>
        <v/>
      </c>
      <c r="S1347" s="46">
        <f>(1-d_u)*S1346+IF(d_T&gt;in_topup_lag,SUMIFS(O1336:O1366,B1336:B1366,B1347-in_topup_lag)-d_udrop*SUMIFS(O1336:O1366,B1336:B1366,B1347-d_T),0)</f>
        <v/>
      </c>
      <c r="T1347" s="40">
        <f>F1347*d_u*S1347</f>
        <v/>
      </c>
      <c r="U1347" s="9">
        <f>L1347*in_ticket+M1347*d_rep_ticket</f>
        <v/>
      </c>
      <c r="V1347" s="9">
        <f>U1347+T1347*d_topup_amt</f>
        <v/>
      </c>
      <c r="W1347" s="40">
        <f>N1347+T1347*d_topup_ratio</f>
        <v/>
      </c>
      <c r="X1347" s="40">
        <f>SUMIFS(W1336:W1366,B1336:B1366,B1347-in_dpd_lag)*d_cured</f>
        <v/>
      </c>
      <c r="Y1347" s="40">
        <f>SUMIFS(W1336:W1366,B1336:B1366,B1347-in_rec_lag)*d_recd</f>
        <v/>
      </c>
      <c r="Z1347" s="40">
        <f>IF(AND(B1347&gt;=in_marketplace_from,B1347&lt;in_marketplace_from+in_card_months),in_card_share/in_card_months*F1347*I1347,IF(AND(B1347&gt;=in_marketplace_from+in_card_months,B1347&lt;in_marketplace_from+2*in_card_months),in_card_share*d_card_rem/in_card_months*F1347*MIN(in_takeup_cap,(1+in_takeup_growth)^(D1347-1))*MIN(in_takeup_cap,(1+in_approval_growth)^(D1347-1)),0))</f>
        <v/>
      </c>
      <c r="AA1347" s="14">
        <f>V1347*in_fee*(1-in_taken_back)</f>
        <v/>
      </c>
      <c r="AB1347" s="14">
        <f>SUMIFS(W1336:W1366,B1336:B1366,B1347-in_dpd_lag)*d_dpd</f>
        <v/>
      </c>
      <c r="AC1347" s="14">
        <f>SUMIFS(W1336:W1366,B1336:B1366,B1347-in_rec_lag)*d_rec</f>
        <v/>
      </c>
      <c r="AD1347" s="14">
        <f>Z1347*in_card_fee</f>
        <v/>
      </c>
      <c r="AE1347" s="40">
        <f>AE1346*(1-IF(B1346&gt;=in_marketplace_from,d_hz_hlth_small*G1346,0))</f>
        <v/>
      </c>
      <c r="AF1347" s="46">
        <f>AE1347*IF(B1347&gt;=in_marketplace_from,d_hz_hlth_small*G1347,0)</f>
        <v/>
      </c>
      <c r="AG1347" s="14">
        <f>F1347*AF1347*in_hlth_small_ticket*in_hlth_small_comm*in_ins_partner_share+F1347*in_hlth_small_ticket*in_hlth_small_renew_comm*in_ins_partner_share*(in_hlth_small_renew^1*SUMIFS(AF1336:AF1366,B1336:B1366,B1347-12)+in_hlth_small_renew^2*SUMIFS(AF1336:AF1366,B1336:B1366,B1347-24)+in_hlth_small_renew^3*SUMIFS(AF1336:AF1366,B1336:B1366,B1347-36)+in_hlth_small_renew^4*SUMIFS(AF1336:AF1366,B1336:B1366,B1347-48))</f>
        <v/>
      </c>
      <c r="AH1347" s="40">
        <f>AH1346*(1-IF(B1346&gt;=in_marketplace_from,d_hz_hlth_family*G1346,0))</f>
        <v/>
      </c>
      <c r="AI1347" s="46">
        <f>AH1347*IF(B1347&gt;=in_marketplace_from,d_hz_hlth_family*G1347,0)</f>
        <v/>
      </c>
      <c r="AJ1347" s="14">
        <f>F1347*AI1347*in_hlth_family_ticket*in_hlth_family_comm*in_ins_partner_share+F1347*in_hlth_family_ticket*in_hlth_family_renew_comm*in_ins_partner_share*(in_hlth_family_renew^1*SUMIFS(AI1336:AI1366,B1336:B1366,B1347-12)+in_hlth_family_renew^2*SUMIFS(AI1336:AI1366,B1336:B1366,B1347-24)+in_hlth_family_renew^3*SUMIFS(AI1336:AI1366,B1336:B1366,B1347-36)+in_hlth_family_renew^4*SUMIFS(AI1336:AI1366,B1336:B1366,B1347-48))</f>
        <v/>
      </c>
      <c r="AK1347" s="40">
        <f>AK1346*(1-IF(B1346&gt;=in_marketplace_from,d_hz_life_term*G1346,0))</f>
        <v/>
      </c>
      <c r="AL1347" s="46">
        <f>AK1347*IF(B1347&gt;=in_marketplace_from,d_hz_life_term*G1347,0)</f>
        <v/>
      </c>
      <c r="AM1347" s="14">
        <f>F1347*AL1347*in_life_term_ticket*in_life_term_comm*in_ins_partner_share+F1347*in_life_term_ticket*in_life_term_renew_comm*in_ins_partner_share*(in_life_term_renew^1*SUMIFS(AL1336:AL1366,B1336:B1366,B1347-12)+in_life_term_renew^2*SUMIFS(AL1336:AL1366,B1336:B1366,B1347-24)+in_life_term_renew^3*SUMIFS(AL1336:AL1366,B1336:B1366,B1347-36)+in_life_term_renew^4*SUMIFS(AL1336:AL1366,B1336:B1366,B1347-48))</f>
        <v/>
      </c>
      <c r="AN1347" s="40">
        <f>AN1346*(1-IF(B1346&gt;=in_marketplace_from,d_hz_accident*G1346,0))</f>
        <v/>
      </c>
      <c r="AO1347" s="46">
        <f>AN1347*IF(B1347&gt;=in_marketplace_from,d_hz_accident*G1347,0)</f>
        <v/>
      </c>
      <c r="AP1347" s="14">
        <f>F1347*AO1347*in_accident_ticket*in_accident_comm*in_ins_partner_share+F1347*in_accident_ticket*in_accident_renew_comm*in_ins_partner_share*(in_accident_renew^1*SUMIFS(AO1336:AO1366,B1336:B1366,B1347-12)+in_accident_renew^2*SUMIFS(AO1336:AO1366,B1336:B1366,B1347-24)+in_accident_renew^3*SUMIFS(AO1336:AO1366,B1336:B1366,B1347-36)+in_accident_renew^4*SUMIFS(AO1336:AO1366,B1336:B1366,B1347-48))</f>
        <v/>
      </c>
      <c r="AQ1347" s="40">
        <f>AQ1346*(1-IF(B1346&gt;=in_marketplace_from,d_hz_two_wheeler*G1346,0))</f>
        <v/>
      </c>
      <c r="AR1347" s="46">
        <f>AQ1347*IF(B1347&gt;=in_marketplace_from,d_hz_two_wheeler*G1347,0)</f>
        <v/>
      </c>
      <c r="AS1347" s="14">
        <f>F1347*AR1347*in_two_wheeler_ticket*in_two_wheeler_comm*in_ins_partner_share+F1347*in_two_wheeler_ticket*in_two_wheeler_comm*in_ins_partner_share*(in_two_wheeler_renew^1*SUMIFS(AR1336:AR1366,B1336:B1366,B1347-12)+in_two_wheeler_renew^2*SUMIFS(AR1336:AR1366,B1336:B1366,B1347-24)+in_two_wheeler_renew^3*SUMIFS(AR1336:AR1366,B1336:B1366,B1347-36)+in_two_wheeler_renew^4*SUMIFS(AR1336:AR1366,B1336:B1366,B1347-48))</f>
        <v/>
      </c>
      <c r="AT1347" s="40">
        <f>AT1346*(1-IF(B1346&gt;=in_marketplace_from,d_hz_device*G1346,0))</f>
        <v/>
      </c>
      <c r="AU1347" s="14">
        <f>F1347*AT1347*IF(B1347&gt;=in_marketplace_from,d_hz_device*G1347,0)*in_device_ticket*in_device_comm*in_ins_partner_share</f>
        <v/>
      </c>
      <c r="AV1347" s="40">
        <f>AV1346*(1-IF(B1346&gt;=in_marketplace_from,d_hz_shop*G1346,0))</f>
        <v/>
      </c>
      <c r="AW1347" s="46">
        <f>AV1347*IF(B1347&gt;=in_marketplace_from,d_hz_shop*G1347,0)</f>
        <v/>
      </c>
      <c r="AX1347" s="14">
        <f>F1347*AW1347*in_shop_ticket*in_shop_comm*in_ins_partner_share+F1347*in_shop_ticket*in_shop_renew_comm*in_ins_partner_share*(in_shop_renew^1*SUMIFS(AW1336:AW1366,B1336:B1366,B1347-12)+in_shop_renew^2*SUMIFS(AW1336:AW1366,B1336:B1366,B1347-24)+in_shop_renew^3*SUMIFS(AW1336:AW1366,B1336:B1366,B1347-36)+in_shop_renew^4*SUMIFS(AW1336:AW1366,B1336:B1366,B1347-48))</f>
        <v/>
      </c>
      <c r="AY1347" s="40">
        <f>AY1346*(1-IF(B1346&gt;=in_marketplace_from,d_hz_sip*G1346,0))</f>
        <v/>
      </c>
      <c r="AZ1347" s="40">
        <f>AZ1346*d_rho_sip+AY1347*IF(B1347&gt;=in_marketplace_from,d_hz_sip*G1347,0)</f>
        <v/>
      </c>
      <c r="BA1347" s="40">
        <f>d_rho_sip*(BA1346+AZ1346)</f>
        <v/>
      </c>
      <c r="BB1347" s="14">
        <f>F1347*in_sip_ticket*(BA1347+0.5*AZ1347)*in_sip_comm/12</f>
        <v/>
      </c>
      <c r="BC1347" s="40">
        <f>BC1346*(1-IF(B1346&gt;=in_marketplace_from,d_hz_choti*G1346,0))</f>
        <v/>
      </c>
      <c r="BD1347" s="46">
        <f>BC1347*IF(B1347&gt;=in_marketplace_from,d_hz_choti*G1347,0)</f>
        <v/>
      </c>
      <c r="BE1347" s="14">
        <f>F1347*SUMIFS(BD1336:BD1366,B1336:B1366,B1347-in_choti_months)*in_choti_renew*in_choti_ticket</f>
        <v/>
      </c>
      <c r="BF1347" s="40">
        <f>BF1346*(1-IF(B1346&gt;=in_marketplace_from,d_hz_nps*G1346,0))</f>
        <v/>
      </c>
      <c r="BG1347" s="14">
        <f>F1347*BF1347*IF(B1347&gt;=in_marketplace_from,d_hz_nps*G1347,0)*in_nps_ticket*in_nps_comm</f>
        <v/>
      </c>
      <c r="BH1347" s="40">
        <f>BH1346*(1-IF(B1346&gt;=in_marketplace_from,d_hz_gold*G1346,0))</f>
        <v/>
      </c>
      <c r="BI1347" s="40">
        <f>BI1346*d_rho_gold+BH1347*IF(B1347&gt;=in_marketplace_from,d_hz_gold*G1347,0)</f>
        <v/>
      </c>
      <c r="BJ1347" s="14">
        <f>F1347*BI1347*in_gold_ticket*in_gold_comm</f>
        <v/>
      </c>
      <c r="BK1347" s="40">
        <f>BK1346*(1-IF(B1346&gt;=in_marketplace_from,d_hz_fd*G1346,0))</f>
        <v/>
      </c>
      <c r="BL1347" s="14">
        <f>F1347*BK1347*IF(B1347&gt;=in_marketplace_from,d_hz_fd*G1347,0)*in_fd_ticket*in_fd_comm</f>
        <v/>
      </c>
      <c r="BM1347" s="40">
        <f>BM1346*(1-IF(B1346&gt;=in_marketplace_from,d_hz_recharge*G1346,0))</f>
        <v/>
      </c>
      <c r="BN1347" s="40">
        <f>BN1346*d_rho_recharge+BM1347*IF(B1347&gt;=in_marketplace_from,d_hz_recharge*G1347,0)</f>
        <v/>
      </c>
      <c r="BO1347" s="14">
        <f>F1347*BN1347*in_recharge_ticket*in_recharge_comm/12</f>
        <v/>
      </c>
      <c r="BP1347" s="40">
        <f>BP1346*(1-IF(B1346&gt;=in_marketplace_from,d_hz_bills*G1346,0))</f>
        <v/>
      </c>
      <c r="BQ1347" s="40">
        <f>BQ1346*d_rho_bills+BP1347*IF(B1347&gt;=in_marketplace_from,d_hz_bills*G1347,0)</f>
        <v/>
      </c>
      <c r="BR1347" s="14">
        <f>F1347*BQ1347*in_bills_ticket*in_bills_comm/12</f>
        <v/>
      </c>
      <c r="BS1347" s="40">
        <f>BS1346*(1-IF(B1346&gt;=in_marketplace_from,d_hz_loan_gold*G1346,0))</f>
        <v/>
      </c>
      <c r="BT1347" s="14">
        <f>F1347*BS1347*IF(B1347&gt;=in_marketplace_from,d_hz_loan_gold*G1347,0)*in_loan_gold_ticket*in_loan_gold_comm</f>
        <v/>
      </c>
      <c r="BU1347" s="40">
        <f>BU1346*(1-IF(B1346&gt;=in_marketplace_from,d_hz_loan_cd*G1346,0))</f>
        <v/>
      </c>
      <c r="BV1347" s="14">
        <f>F1347*BU1347*IF(B1347&gt;=in_marketplace_from,d_hz_loan_cd*G1347,0)*in_loan_cd_ticket*in_loan_cd_comm</f>
        <v/>
      </c>
      <c r="BW1347" s="40">
        <f>BW1346*(1-IF(B1346&gt;=in_marketplace_from,d_hz_loan_vehicle*G1346,0))</f>
        <v/>
      </c>
      <c r="BX1347" s="14">
        <f>F1347*BW1347*IF(B1347&gt;=in_marketplace_from,d_hz_loan_vehicle*G1347,0)*in_loan_vehicle_ticket*in_loan_vehicle_comm</f>
        <v/>
      </c>
      <c r="BY1347" s="40">
        <f>BY1346*(1-IF(B1346&gt;=in_marketplace_from,d_hz_loan_home*G1346,0)*BZ1346)</f>
        <v/>
      </c>
      <c r="BZ1347" s="11">
        <f>MIN(in_approval_cap,in_loan_home_approval*INDEX('Age profile'!$O$2:$O$61,B1347)*(1+in_approval_growth)^(D1347-1))</f>
        <v/>
      </c>
      <c r="CA1347" s="14">
        <f>F1347*BY1347*IF(B1347&gt;=in_marketplace_from,d_hz_loan_home*G1347,0)*BZ1347*in_loan_home_ticket*in_loan_home_comm</f>
        <v/>
      </c>
      <c r="CB1347" s="40">
        <f>CB1346*(1-IF(B1346&gt;=in_marketplace_from,d_hz_loan_lap*G1346,0)*CC1346)</f>
        <v/>
      </c>
      <c r="CC1347" s="11">
        <f>MIN(in_approval_cap,in_loan_lap_approval*INDEX('Age profile'!$O$2:$O$61,B1347)*(1+in_approval_growth)^(D1347-1))</f>
        <v/>
      </c>
      <c r="CD1347" s="14">
        <f>F1347*CB1347*IF(B1347&gt;=in_marketplace_from,d_hz_loan_lap*G1347,0)*CC1347*in_loan_lap_ticket*in_loan_lap_comm</f>
        <v/>
      </c>
      <c r="CE1347" s="14">
        <f>AA1347+AB1347+AC1347+AD1347+AG1347+AJ1347+AM1347+AP1347+AS1347+AU1347+AX1347+BB1347+BE1347+BG1347+BJ1347+BL1347+BO1347+BR1347+BT1347+BV1347+BX1347+CA1347+CD1347</f>
        <v/>
      </c>
    </row>
    <row r="1348">
      <c r="A1348" s="39" t="n">
        <v>30</v>
      </c>
      <c r="B1348" s="39" t="n">
        <v>13</v>
      </c>
      <c r="C1348" s="39">
        <f>A1348+B1348-1</f>
        <v/>
      </c>
      <c r="D1348" s="39">
        <f>INT((C1348-1)/12)+1</f>
        <v/>
      </c>
      <c r="E1348" s="44">
        <f>INDEX(Monthly!$B$2:$B$61,A1348)</f>
        <v/>
      </c>
      <c r="F1348" s="44">
        <f>E1348*INDEX('Age profile'!$B$2:$B$61,B1348)</f>
        <v/>
      </c>
      <c r="G1348" s="45">
        <f>MIN(in_takeup_cap,INDEX('Age profile'!$N$2:$N$61,B1348)*(1+in_takeup_growth)^(D1348-1))</f>
        <v/>
      </c>
      <c r="H1348" s="11">
        <f>MIN(in_approval_cap,in_approved_first*INDEX('Age profile'!$O$2:$O$61,B1348)*(1+in_approval_growth)^(D1348-1))</f>
        <v/>
      </c>
      <c r="I1348" s="45">
        <f>G1348*MIN(in_takeup_cap,INDEX('Age profile'!$O$2:$O$61,B1348)*(1+in_approval_growth)^(D1348-1))</f>
        <v/>
      </c>
      <c r="J1348" s="40">
        <f>(J1347-L1347)*F1348/F1347</f>
        <v/>
      </c>
      <c r="K1348" s="40">
        <f>(K1347-M1347)*F1348/F1347+SUMIFS(O1336:O1347,B1336:B1347,B1348-1-d_T)*F1348</f>
        <v/>
      </c>
      <c r="L1348" s="40">
        <f>IF(B1348&gt;=in_marketplace_from,J1348*d_hz*G1348*in_eligible*H1348,0)</f>
        <v/>
      </c>
      <c r="M1348" s="40">
        <f>IF(B1348&gt;=in_marketplace_from,K1348*d_hz*G1348*in_eligible*in_approved_repeat,0)</f>
        <v/>
      </c>
      <c r="N1348" s="40">
        <f>L1348+M1348</f>
        <v/>
      </c>
      <c r="O1348" s="46">
        <f>N1348/F1348</f>
        <v/>
      </c>
      <c r="P1348" s="40">
        <f>F1348-J1348-K1348</f>
        <v/>
      </c>
      <c r="Q1348" s="40">
        <f>IF(B1348&gt;=in_marketplace_from,(J1348+K1348)*d_hz*G1348,0)</f>
        <v/>
      </c>
      <c r="R1348" s="40">
        <f>SUMIFS(N1336:N1366,B1336:B1366,"&gt;="&amp;(B1348-d_T),B1336:B1366,"&lt;="&amp;(B1348-1))</f>
        <v/>
      </c>
      <c r="S1348" s="46">
        <f>(1-d_u)*S1347+IF(d_T&gt;in_topup_lag,SUMIFS(O1336:O1366,B1336:B1366,B1348-in_topup_lag)-d_udrop*SUMIFS(O1336:O1366,B1336:B1366,B1348-d_T),0)</f>
        <v/>
      </c>
      <c r="T1348" s="40">
        <f>F1348*d_u*S1348</f>
        <v/>
      </c>
      <c r="U1348" s="9">
        <f>L1348*in_ticket+M1348*d_rep_ticket</f>
        <v/>
      </c>
      <c r="V1348" s="9">
        <f>U1348+T1348*d_topup_amt</f>
        <v/>
      </c>
      <c r="W1348" s="40">
        <f>N1348+T1348*d_topup_ratio</f>
        <v/>
      </c>
      <c r="X1348" s="40">
        <f>SUMIFS(W1336:W1366,B1336:B1366,B1348-in_dpd_lag)*d_cured</f>
        <v/>
      </c>
      <c r="Y1348" s="40">
        <f>SUMIFS(W1336:W1366,B1336:B1366,B1348-in_rec_lag)*d_recd</f>
        <v/>
      </c>
      <c r="Z1348" s="40">
        <f>IF(AND(B1348&gt;=in_marketplace_from,B1348&lt;in_marketplace_from+in_card_months),in_card_share/in_card_months*F1348*I1348,IF(AND(B1348&gt;=in_marketplace_from+in_card_months,B1348&lt;in_marketplace_from+2*in_card_months),in_card_share*d_card_rem/in_card_months*F1348*MIN(in_takeup_cap,(1+in_takeup_growth)^(D1348-1))*MIN(in_takeup_cap,(1+in_approval_growth)^(D1348-1)),0))</f>
        <v/>
      </c>
      <c r="AA1348" s="14">
        <f>V1348*in_fee*(1-in_taken_back)</f>
        <v/>
      </c>
      <c r="AB1348" s="14">
        <f>SUMIFS(W1336:W1366,B1336:B1366,B1348-in_dpd_lag)*d_dpd</f>
        <v/>
      </c>
      <c r="AC1348" s="14">
        <f>SUMIFS(W1336:W1366,B1336:B1366,B1348-in_rec_lag)*d_rec</f>
        <v/>
      </c>
      <c r="AD1348" s="14">
        <f>Z1348*in_card_fee</f>
        <v/>
      </c>
      <c r="AE1348" s="40">
        <f>AE1347*(1-IF(B1347&gt;=in_marketplace_from,d_hz_hlth_small*G1347,0))</f>
        <v/>
      </c>
      <c r="AF1348" s="46">
        <f>AE1348*IF(B1348&gt;=in_marketplace_from,d_hz_hlth_small*G1348,0)</f>
        <v/>
      </c>
      <c r="AG1348" s="14">
        <f>F1348*AF1348*in_hlth_small_ticket*in_hlth_small_comm*in_ins_partner_share+F1348*in_hlth_small_ticket*in_hlth_small_renew_comm*in_ins_partner_share*(in_hlth_small_renew^1*SUMIFS(AF1336:AF1366,B1336:B1366,B1348-12)+in_hlth_small_renew^2*SUMIFS(AF1336:AF1366,B1336:B1366,B1348-24)+in_hlth_small_renew^3*SUMIFS(AF1336:AF1366,B1336:B1366,B1348-36)+in_hlth_small_renew^4*SUMIFS(AF1336:AF1366,B1336:B1366,B1348-48))</f>
        <v/>
      </c>
      <c r="AH1348" s="40">
        <f>AH1347*(1-IF(B1347&gt;=in_marketplace_from,d_hz_hlth_family*G1347,0))</f>
        <v/>
      </c>
      <c r="AI1348" s="46">
        <f>AH1348*IF(B1348&gt;=in_marketplace_from,d_hz_hlth_family*G1348,0)</f>
        <v/>
      </c>
      <c r="AJ1348" s="14">
        <f>F1348*AI1348*in_hlth_family_ticket*in_hlth_family_comm*in_ins_partner_share+F1348*in_hlth_family_ticket*in_hlth_family_renew_comm*in_ins_partner_share*(in_hlth_family_renew^1*SUMIFS(AI1336:AI1366,B1336:B1366,B1348-12)+in_hlth_family_renew^2*SUMIFS(AI1336:AI1366,B1336:B1366,B1348-24)+in_hlth_family_renew^3*SUMIFS(AI1336:AI1366,B1336:B1366,B1348-36)+in_hlth_family_renew^4*SUMIFS(AI1336:AI1366,B1336:B1366,B1348-48))</f>
        <v/>
      </c>
      <c r="AK1348" s="40">
        <f>AK1347*(1-IF(B1347&gt;=in_marketplace_from,d_hz_life_term*G1347,0))</f>
        <v/>
      </c>
      <c r="AL1348" s="46">
        <f>AK1348*IF(B1348&gt;=in_marketplace_from,d_hz_life_term*G1348,0)</f>
        <v/>
      </c>
      <c r="AM1348" s="14">
        <f>F1348*AL1348*in_life_term_ticket*in_life_term_comm*in_ins_partner_share+F1348*in_life_term_ticket*in_life_term_renew_comm*in_ins_partner_share*(in_life_term_renew^1*SUMIFS(AL1336:AL1366,B1336:B1366,B1348-12)+in_life_term_renew^2*SUMIFS(AL1336:AL1366,B1336:B1366,B1348-24)+in_life_term_renew^3*SUMIFS(AL1336:AL1366,B1336:B1366,B1348-36)+in_life_term_renew^4*SUMIFS(AL1336:AL1366,B1336:B1366,B1348-48))</f>
        <v/>
      </c>
      <c r="AN1348" s="40">
        <f>AN1347*(1-IF(B1347&gt;=in_marketplace_from,d_hz_accident*G1347,0))</f>
        <v/>
      </c>
      <c r="AO1348" s="46">
        <f>AN1348*IF(B1348&gt;=in_marketplace_from,d_hz_accident*G1348,0)</f>
        <v/>
      </c>
      <c r="AP1348" s="14">
        <f>F1348*AO1348*in_accident_ticket*in_accident_comm*in_ins_partner_share+F1348*in_accident_ticket*in_accident_renew_comm*in_ins_partner_share*(in_accident_renew^1*SUMIFS(AO1336:AO1366,B1336:B1366,B1348-12)+in_accident_renew^2*SUMIFS(AO1336:AO1366,B1336:B1366,B1348-24)+in_accident_renew^3*SUMIFS(AO1336:AO1366,B1336:B1366,B1348-36)+in_accident_renew^4*SUMIFS(AO1336:AO1366,B1336:B1366,B1348-48))</f>
        <v/>
      </c>
      <c r="AQ1348" s="40">
        <f>AQ1347*(1-IF(B1347&gt;=in_marketplace_from,d_hz_two_wheeler*G1347,0))</f>
        <v/>
      </c>
      <c r="AR1348" s="46">
        <f>AQ1348*IF(B1348&gt;=in_marketplace_from,d_hz_two_wheeler*G1348,0)</f>
        <v/>
      </c>
      <c r="AS1348" s="14">
        <f>F1348*AR1348*in_two_wheeler_ticket*in_two_wheeler_comm*in_ins_partner_share+F1348*in_two_wheeler_ticket*in_two_wheeler_comm*in_ins_partner_share*(in_two_wheeler_renew^1*SUMIFS(AR1336:AR1366,B1336:B1366,B1348-12)+in_two_wheeler_renew^2*SUMIFS(AR1336:AR1366,B1336:B1366,B1348-24)+in_two_wheeler_renew^3*SUMIFS(AR1336:AR1366,B1336:B1366,B1348-36)+in_two_wheeler_renew^4*SUMIFS(AR1336:AR1366,B1336:B1366,B1348-48))</f>
        <v/>
      </c>
      <c r="AT1348" s="40">
        <f>AT1347*(1-IF(B1347&gt;=in_marketplace_from,d_hz_device*G1347,0))</f>
        <v/>
      </c>
      <c r="AU1348" s="14">
        <f>F1348*AT1348*IF(B1348&gt;=in_marketplace_from,d_hz_device*G1348,0)*in_device_ticket*in_device_comm*in_ins_partner_share</f>
        <v/>
      </c>
      <c r="AV1348" s="40">
        <f>AV1347*(1-IF(B1347&gt;=in_marketplace_from,d_hz_shop*G1347,0))</f>
        <v/>
      </c>
      <c r="AW1348" s="46">
        <f>AV1348*IF(B1348&gt;=in_marketplace_from,d_hz_shop*G1348,0)</f>
        <v/>
      </c>
      <c r="AX1348" s="14">
        <f>F1348*AW1348*in_shop_ticket*in_shop_comm*in_ins_partner_share+F1348*in_shop_ticket*in_shop_renew_comm*in_ins_partner_share*(in_shop_renew^1*SUMIFS(AW1336:AW1366,B1336:B1366,B1348-12)+in_shop_renew^2*SUMIFS(AW1336:AW1366,B1336:B1366,B1348-24)+in_shop_renew^3*SUMIFS(AW1336:AW1366,B1336:B1366,B1348-36)+in_shop_renew^4*SUMIFS(AW1336:AW1366,B1336:B1366,B1348-48))</f>
        <v/>
      </c>
      <c r="AY1348" s="40">
        <f>AY1347*(1-IF(B1347&gt;=in_marketplace_from,d_hz_sip*G1347,0))</f>
        <v/>
      </c>
      <c r="AZ1348" s="40">
        <f>AZ1347*d_rho_sip+AY1348*IF(B1348&gt;=in_marketplace_from,d_hz_sip*G1348,0)</f>
        <v/>
      </c>
      <c r="BA1348" s="40">
        <f>d_rho_sip*(BA1347+AZ1347)</f>
        <v/>
      </c>
      <c r="BB1348" s="14">
        <f>F1348*in_sip_ticket*(BA1348+0.5*AZ1348)*in_sip_comm/12</f>
        <v/>
      </c>
      <c r="BC1348" s="40">
        <f>BC1347*(1-IF(B1347&gt;=in_marketplace_from,d_hz_choti*G1347,0))</f>
        <v/>
      </c>
      <c r="BD1348" s="46">
        <f>BC1348*IF(B1348&gt;=in_marketplace_from,d_hz_choti*G1348,0)</f>
        <v/>
      </c>
      <c r="BE1348" s="14">
        <f>F1348*SUMIFS(BD1336:BD1366,B1336:B1366,B1348-in_choti_months)*in_choti_renew*in_choti_ticket</f>
        <v/>
      </c>
      <c r="BF1348" s="40">
        <f>BF1347*(1-IF(B1347&gt;=in_marketplace_from,d_hz_nps*G1347,0))</f>
        <v/>
      </c>
      <c r="BG1348" s="14">
        <f>F1348*BF1348*IF(B1348&gt;=in_marketplace_from,d_hz_nps*G1348,0)*in_nps_ticket*in_nps_comm</f>
        <v/>
      </c>
      <c r="BH1348" s="40">
        <f>BH1347*(1-IF(B1347&gt;=in_marketplace_from,d_hz_gold*G1347,0))</f>
        <v/>
      </c>
      <c r="BI1348" s="40">
        <f>BI1347*d_rho_gold+BH1348*IF(B1348&gt;=in_marketplace_from,d_hz_gold*G1348,0)</f>
        <v/>
      </c>
      <c r="BJ1348" s="14">
        <f>F1348*BI1348*in_gold_ticket*in_gold_comm</f>
        <v/>
      </c>
      <c r="BK1348" s="40">
        <f>BK1347*(1-IF(B1347&gt;=in_marketplace_from,d_hz_fd*G1347,0))</f>
        <v/>
      </c>
      <c r="BL1348" s="14">
        <f>F1348*BK1348*IF(B1348&gt;=in_marketplace_from,d_hz_fd*G1348,0)*in_fd_ticket*in_fd_comm</f>
        <v/>
      </c>
      <c r="BM1348" s="40">
        <f>BM1347*(1-IF(B1347&gt;=in_marketplace_from,d_hz_recharge*G1347,0))</f>
        <v/>
      </c>
      <c r="BN1348" s="40">
        <f>BN1347*d_rho_recharge+BM1348*IF(B1348&gt;=in_marketplace_from,d_hz_recharge*G1348,0)</f>
        <v/>
      </c>
      <c r="BO1348" s="14">
        <f>F1348*BN1348*in_recharge_ticket*in_recharge_comm/12</f>
        <v/>
      </c>
      <c r="BP1348" s="40">
        <f>BP1347*(1-IF(B1347&gt;=in_marketplace_from,d_hz_bills*G1347,0))</f>
        <v/>
      </c>
      <c r="BQ1348" s="40">
        <f>BQ1347*d_rho_bills+BP1348*IF(B1348&gt;=in_marketplace_from,d_hz_bills*G1348,0)</f>
        <v/>
      </c>
      <c r="BR1348" s="14">
        <f>F1348*BQ1348*in_bills_ticket*in_bills_comm/12</f>
        <v/>
      </c>
      <c r="BS1348" s="40">
        <f>BS1347*(1-IF(B1347&gt;=in_marketplace_from,d_hz_loan_gold*G1347,0))</f>
        <v/>
      </c>
      <c r="BT1348" s="14">
        <f>F1348*BS1348*IF(B1348&gt;=in_marketplace_from,d_hz_loan_gold*G1348,0)*in_loan_gold_ticket*in_loan_gold_comm</f>
        <v/>
      </c>
      <c r="BU1348" s="40">
        <f>BU1347*(1-IF(B1347&gt;=in_marketplace_from,d_hz_loan_cd*G1347,0))</f>
        <v/>
      </c>
      <c r="BV1348" s="14">
        <f>F1348*BU1348*IF(B1348&gt;=in_marketplace_from,d_hz_loan_cd*G1348,0)*in_loan_cd_ticket*in_loan_cd_comm</f>
        <v/>
      </c>
      <c r="BW1348" s="40">
        <f>BW1347*(1-IF(B1347&gt;=in_marketplace_from,d_hz_loan_vehicle*G1347,0))</f>
        <v/>
      </c>
      <c r="BX1348" s="14">
        <f>F1348*BW1348*IF(B1348&gt;=in_marketplace_from,d_hz_loan_vehicle*G1348,0)*in_loan_vehicle_ticket*in_loan_vehicle_comm</f>
        <v/>
      </c>
      <c r="BY1348" s="40">
        <f>BY1347*(1-IF(B1347&gt;=in_marketplace_from,d_hz_loan_home*G1347,0)*BZ1347)</f>
        <v/>
      </c>
      <c r="BZ1348" s="11">
        <f>MIN(in_approval_cap,in_loan_home_approval*INDEX('Age profile'!$O$2:$O$61,B1348)*(1+in_approval_growth)^(D1348-1))</f>
        <v/>
      </c>
      <c r="CA1348" s="14">
        <f>F1348*BY1348*IF(B1348&gt;=in_marketplace_from,d_hz_loan_home*G1348,0)*BZ1348*in_loan_home_ticket*in_loan_home_comm</f>
        <v/>
      </c>
      <c r="CB1348" s="40">
        <f>CB1347*(1-IF(B1347&gt;=in_marketplace_from,d_hz_loan_lap*G1347,0)*CC1347)</f>
        <v/>
      </c>
      <c r="CC1348" s="11">
        <f>MIN(in_approval_cap,in_loan_lap_approval*INDEX('Age profile'!$O$2:$O$61,B1348)*(1+in_approval_growth)^(D1348-1))</f>
        <v/>
      </c>
      <c r="CD1348" s="14">
        <f>F1348*CB1348*IF(B1348&gt;=in_marketplace_from,d_hz_loan_lap*G1348,0)*CC1348*in_loan_lap_ticket*in_loan_lap_comm</f>
        <v/>
      </c>
      <c r="CE1348" s="14">
        <f>AA1348+AB1348+AC1348+AD1348+AG1348+AJ1348+AM1348+AP1348+AS1348+AU1348+AX1348+BB1348+BE1348+BG1348+BJ1348+BL1348+BO1348+BR1348+BT1348+BV1348+BX1348+CA1348+CD1348</f>
        <v/>
      </c>
    </row>
    <row r="1349">
      <c r="A1349" s="39" t="n">
        <v>30</v>
      </c>
      <c r="B1349" s="39" t="n">
        <v>14</v>
      </c>
      <c r="C1349" s="39">
        <f>A1349+B1349-1</f>
        <v/>
      </c>
      <c r="D1349" s="39">
        <f>INT((C1349-1)/12)+1</f>
        <v/>
      </c>
      <c r="E1349" s="44">
        <f>INDEX(Monthly!$B$2:$B$61,A1349)</f>
        <v/>
      </c>
      <c r="F1349" s="44">
        <f>E1349*INDEX('Age profile'!$B$2:$B$61,B1349)</f>
        <v/>
      </c>
      <c r="G1349" s="45">
        <f>MIN(in_takeup_cap,INDEX('Age profile'!$N$2:$N$61,B1349)*(1+in_takeup_growth)^(D1349-1))</f>
        <v/>
      </c>
      <c r="H1349" s="11">
        <f>MIN(in_approval_cap,in_approved_first*INDEX('Age profile'!$O$2:$O$61,B1349)*(1+in_approval_growth)^(D1349-1))</f>
        <v/>
      </c>
      <c r="I1349" s="45">
        <f>G1349*MIN(in_takeup_cap,INDEX('Age profile'!$O$2:$O$61,B1349)*(1+in_approval_growth)^(D1349-1))</f>
        <v/>
      </c>
      <c r="J1349" s="40">
        <f>(J1348-L1348)*F1349/F1348</f>
        <v/>
      </c>
      <c r="K1349" s="40">
        <f>(K1348-M1348)*F1349/F1348+SUMIFS(O1336:O1348,B1336:B1348,B1349-1-d_T)*F1349</f>
        <v/>
      </c>
      <c r="L1349" s="40">
        <f>IF(B1349&gt;=in_marketplace_from,J1349*d_hz*G1349*in_eligible*H1349,0)</f>
        <v/>
      </c>
      <c r="M1349" s="40">
        <f>IF(B1349&gt;=in_marketplace_from,K1349*d_hz*G1349*in_eligible*in_approved_repeat,0)</f>
        <v/>
      </c>
      <c r="N1349" s="40">
        <f>L1349+M1349</f>
        <v/>
      </c>
      <c r="O1349" s="46">
        <f>N1349/F1349</f>
        <v/>
      </c>
      <c r="P1349" s="40">
        <f>F1349-J1349-K1349</f>
        <v/>
      </c>
      <c r="Q1349" s="40">
        <f>IF(B1349&gt;=in_marketplace_from,(J1349+K1349)*d_hz*G1349,0)</f>
        <v/>
      </c>
      <c r="R1349" s="40">
        <f>SUMIFS(N1336:N1366,B1336:B1366,"&gt;="&amp;(B1349-d_T),B1336:B1366,"&lt;="&amp;(B1349-1))</f>
        <v/>
      </c>
      <c r="S1349" s="46">
        <f>(1-d_u)*S1348+IF(d_T&gt;in_topup_lag,SUMIFS(O1336:O1366,B1336:B1366,B1349-in_topup_lag)-d_udrop*SUMIFS(O1336:O1366,B1336:B1366,B1349-d_T),0)</f>
        <v/>
      </c>
      <c r="T1349" s="40">
        <f>F1349*d_u*S1349</f>
        <v/>
      </c>
      <c r="U1349" s="9">
        <f>L1349*in_ticket+M1349*d_rep_ticket</f>
        <v/>
      </c>
      <c r="V1349" s="9">
        <f>U1349+T1349*d_topup_amt</f>
        <v/>
      </c>
      <c r="W1349" s="40">
        <f>N1349+T1349*d_topup_ratio</f>
        <v/>
      </c>
      <c r="X1349" s="40">
        <f>SUMIFS(W1336:W1366,B1336:B1366,B1349-in_dpd_lag)*d_cured</f>
        <v/>
      </c>
      <c r="Y1349" s="40">
        <f>SUMIFS(W1336:W1366,B1336:B1366,B1349-in_rec_lag)*d_recd</f>
        <v/>
      </c>
      <c r="Z1349" s="40">
        <f>IF(AND(B1349&gt;=in_marketplace_from,B1349&lt;in_marketplace_from+in_card_months),in_card_share/in_card_months*F1349*I1349,IF(AND(B1349&gt;=in_marketplace_from+in_card_months,B1349&lt;in_marketplace_from+2*in_card_months),in_card_share*d_card_rem/in_card_months*F1349*MIN(in_takeup_cap,(1+in_takeup_growth)^(D1349-1))*MIN(in_takeup_cap,(1+in_approval_growth)^(D1349-1)),0))</f>
        <v/>
      </c>
      <c r="AA1349" s="14">
        <f>V1349*in_fee*(1-in_taken_back)</f>
        <v/>
      </c>
      <c r="AB1349" s="14">
        <f>SUMIFS(W1336:W1366,B1336:B1366,B1349-in_dpd_lag)*d_dpd</f>
        <v/>
      </c>
      <c r="AC1349" s="14">
        <f>SUMIFS(W1336:W1366,B1336:B1366,B1349-in_rec_lag)*d_rec</f>
        <v/>
      </c>
      <c r="AD1349" s="14">
        <f>Z1349*in_card_fee</f>
        <v/>
      </c>
      <c r="AE1349" s="40">
        <f>AE1348*(1-IF(B1348&gt;=in_marketplace_from,d_hz_hlth_small*G1348,0))</f>
        <v/>
      </c>
      <c r="AF1349" s="46">
        <f>AE1349*IF(B1349&gt;=in_marketplace_from,d_hz_hlth_small*G1349,0)</f>
        <v/>
      </c>
      <c r="AG1349" s="14">
        <f>F1349*AF1349*in_hlth_small_ticket*in_hlth_small_comm*in_ins_partner_share+F1349*in_hlth_small_ticket*in_hlth_small_renew_comm*in_ins_partner_share*(in_hlth_small_renew^1*SUMIFS(AF1336:AF1366,B1336:B1366,B1349-12)+in_hlth_small_renew^2*SUMIFS(AF1336:AF1366,B1336:B1366,B1349-24)+in_hlth_small_renew^3*SUMIFS(AF1336:AF1366,B1336:B1366,B1349-36)+in_hlth_small_renew^4*SUMIFS(AF1336:AF1366,B1336:B1366,B1349-48))</f>
        <v/>
      </c>
      <c r="AH1349" s="40">
        <f>AH1348*(1-IF(B1348&gt;=in_marketplace_from,d_hz_hlth_family*G1348,0))</f>
        <v/>
      </c>
      <c r="AI1349" s="46">
        <f>AH1349*IF(B1349&gt;=in_marketplace_from,d_hz_hlth_family*G1349,0)</f>
        <v/>
      </c>
      <c r="AJ1349" s="14">
        <f>F1349*AI1349*in_hlth_family_ticket*in_hlth_family_comm*in_ins_partner_share+F1349*in_hlth_family_ticket*in_hlth_family_renew_comm*in_ins_partner_share*(in_hlth_family_renew^1*SUMIFS(AI1336:AI1366,B1336:B1366,B1349-12)+in_hlth_family_renew^2*SUMIFS(AI1336:AI1366,B1336:B1366,B1349-24)+in_hlth_family_renew^3*SUMIFS(AI1336:AI1366,B1336:B1366,B1349-36)+in_hlth_family_renew^4*SUMIFS(AI1336:AI1366,B1336:B1366,B1349-48))</f>
        <v/>
      </c>
      <c r="AK1349" s="40">
        <f>AK1348*(1-IF(B1348&gt;=in_marketplace_from,d_hz_life_term*G1348,0))</f>
        <v/>
      </c>
      <c r="AL1349" s="46">
        <f>AK1349*IF(B1349&gt;=in_marketplace_from,d_hz_life_term*G1349,0)</f>
        <v/>
      </c>
      <c r="AM1349" s="14">
        <f>F1349*AL1349*in_life_term_ticket*in_life_term_comm*in_ins_partner_share+F1349*in_life_term_ticket*in_life_term_renew_comm*in_ins_partner_share*(in_life_term_renew^1*SUMIFS(AL1336:AL1366,B1336:B1366,B1349-12)+in_life_term_renew^2*SUMIFS(AL1336:AL1366,B1336:B1366,B1349-24)+in_life_term_renew^3*SUMIFS(AL1336:AL1366,B1336:B1366,B1349-36)+in_life_term_renew^4*SUMIFS(AL1336:AL1366,B1336:B1366,B1349-48))</f>
        <v/>
      </c>
      <c r="AN1349" s="40">
        <f>AN1348*(1-IF(B1348&gt;=in_marketplace_from,d_hz_accident*G1348,0))</f>
        <v/>
      </c>
      <c r="AO1349" s="46">
        <f>AN1349*IF(B1349&gt;=in_marketplace_from,d_hz_accident*G1349,0)</f>
        <v/>
      </c>
      <c r="AP1349" s="14">
        <f>F1349*AO1349*in_accident_ticket*in_accident_comm*in_ins_partner_share+F1349*in_accident_ticket*in_accident_renew_comm*in_ins_partner_share*(in_accident_renew^1*SUMIFS(AO1336:AO1366,B1336:B1366,B1349-12)+in_accident_renew^2*SUMIFS(AO1336:AO1366,B1336:B1366,B1349-24)+in_accident_renew^3*SUMIFS(AO1336:AO1366,B1336:B1366,B1349-36)+in_accident_renew^4*SUMIFS(AO1336:AO1366,B1336:B1366,B1349-48))</f>
        <v/>
      </c>
      <c r="AQ1349" s="40">
        <f>AQ1348*(1-IF(B1348&gt;=in_marketplace_from,d_hz_two_wheeler*G1348,0))</f>
        <v/>
      </c>
      <c r="AR1349" s="46">
        <f>AQ1349*IF(B1349&gt;=in_marketplace_from,d_hz_two_wheeler*G1349,0)</f>
        <v/>
      </c>
      <c r="AS1349" s="14">
        <f>F1349*AR1349*in_two_wheeler_ticket*in_two_wheeler_comm*in_ins_partner_share+F1349*in_two_wheeler_ticket*in_two_wheeler_comm*in_ins_partner_share*(in_two_wheeler_renew^1*SUMIFS(AR1336:AR1366,B1336:B1366,B1349-12)+in_two_wheeler_renew^2*SUMIFS(AR1336:AR1366,B1336:B1366,B1349-24)+in_two_wheeler_renew^3*SUMIFS(AR1336:AR1366,B1336:B1366,B1349-36)+in_two_wheeler_renew^4*SUMIFS(AR1336:AR1366,B1336:B1366,B1349-48))</f>
        <v/>
      </c>
      <c r="AT1349" s="40">
        <f>AT1348*(1-IF(B1348&gt;=in_marketplace_from,d_hz_device*G1348,0))</f>
        <v/>
      </c>
      <c r="AU1349" s="14">
        <f>F1349*AT1349*IF(B1349&gt;=in_marketplace_from,d_hz_device*G1349,0)*in_device_ticket*in_device_comm*in_ins_partner_share</f>
        <v/>
      </c>
      <c r="AV1349" s="40">
        <f>AV1348*(1-IF(B1348&gt;=in_marketplace_from,d_hz_shop*G1348,0))</f>
        <v/>
      </c>
      <c r="AW1349" s="46">
        <f>AV1349*IF(B1349&gt;=in_marketplace_from,d_hz_shop*G1349,0)</f>
        <v/>
      </c>
      <c r="AX1349" s="14">
        <f>F1349*AW1349*in_shop_ticket*in_shop_comm*in_ins_partner_share+F1349*in_shop_ticket*in_shop_renew_comm*in_ins_partner_share*(in_shop_renew^1*SUMIFS(AW1336:AW1366,B1336:B1366,B1349-12)+in_shop_renew^2*SUMIFS(AW1336:AW1366,B1336:B1366,B1349-24)+in_shop_renew^3*SUMIFS(AW1336:AW1366,B1336:B1366,B1349-36)+in_shop_renew^4*SUMIFS(AW1336:AW1366,B1336:B1366,B1349-48))</f>
        <v/>
      </c>
      <c r="AY1349" s="40">
        <f>AY1348*(1-IF(B1348&gt;=in_marketplace_from,d_hz_sip*G1348,0))</f>
        <v/>
      </c>
      <c r="AZ1349" s="40">
        <f>AZ1348*d_rho_sip+AY1349*IF(B1349&gt;=in_marketplace_from,d_hz_sip*G1349,0)</f>
        <v/>
      </c>
      <c r="BA1349" s="40">
        <f>d_rho_sip*(BA1348+AZ1348)</f>
        <v/>
      </c>
      <c r="BB1349" s="14">
        <f>F1349*in_sip_ticket*(BA1349+0.5*AZ1349)*in_sip_comm/12</f>
        <v/>
      </c>
      <c r="BC1349" s="40">
        <f>BC1348*(1-IF(B1348&gt;=in_marketplace_from,d_hz_choti*G1348,0))</f>
        <v/>
      </c>
      <c r="BD1349" s="46">
        <f>BC1349*IF(B1349&gt;=in_marketplace_from,d_hz_choti*G1349,0)</f>
        <v/>
      </c>
      <c r="BE1349" s="14">
        <f>F1349*SUMIFS(BD1336:BD1366,B1336:B1366,B1349-in_choti_months)*in_choti_renew*in_choti_ticket</f>
        <v/>
      </c>
      <c r="BF1349" s="40">
        <f>BF1348*(1-IF(B1348&gt;=in_marketplace_from,d_hz_nps*G1348,0))</f>
        <v/>
      </c>
      <c r="BG1349" s="14">
        <f>F1349*BF1349*IF(B1349&gt;=in_marketplace_from,d_hz_nps*G1349,0)*in_nps_ticket*in_nps_comm</f>
        <v/>
      </c>
      <c r="BH1349" s="40">
        <f>BH1348*(1-IF(B1348&gt;=in_marketplace_from,d_hz_gold*G1348,0))</f>
        <v/>
      </c>
      <c r="BI1349" s="40">
        <f>BI1348*d_rho_gold+BH1349*IF(B1349&gt;=in_marketplace_from,d_hz_gold*G1349,0)</f>
        <v/>
      </c>
      <c r="BJ1349" s="14">
        <f>F1349*BI1349*in_gold_ticket*in_gold_comm</f>
        <v/>
      </c>
      <c r="BK1349" s="40">
        <f>BK1348*(1-IF(B1348&gt;=in_marketplace_from,d_hz_fd*G1348,0))</f>
        <v/>
      </c>
      <c r="BL1349" s="14">
        <f>F1349*BK1349*IF(B1349&gt;=in_marketplace_from,d_hz_fd*G1349,0)*in_fd_ticket*in_fd_comm</f>
        <v/>
      </c>
      <c r="BM1349" s="40">
        <f>BM1348*(1-IF(B1348&gt;=in_marketplace_from,d_hz_recharge*G1348,0))</f>
        <v/>
      </c>
      <c r="BN1349" s="40">
        <f>BN1348*d_rho_recharge+BM1349*IF(B1349&gt;=in_marketplace_from,d_hz_recharge*G1349,0)</f>
        <v/>
      </c>
      <c r="BO1349" s="14">
        <f>F1349*BN1349*in_recharge_ticket*in_recharge_comm/12</f>
        <v/>
      </c>
      <c r="BP1349" s="40">
        <f>BP1348*(1-IF(B1348&gt;=in_marketplace_from,d_hz_bills*G1348,0))</f>
        <v/>
      </c>
      <c r="BQ1349" s="40">
        <f>BQ1348*d_rho_bills+BP1349*IF(B1349&gt;=in_marketplace_from,d_hz_bills*G1349,0)</f>
        <v/>
      </c>
      <c r="BR1349" s="14">
        <f>F1349*BQ1349*in_bills_ticket*in_bills_comm/12</f>
        <v/>
      </c>
      <c r="BS1349" s="40">
        <f>BS1348*(1-IF(B1348&gt;=in_marketplace_from,d_hz_loan_gold*G1348,0))</f>
        <v/>
      </c>
      <c r="BT1349" s="14">
        <f>F1349*BS1349*IF(B1349&gt;=in_marketplace_from,d_hz_loan_gold*G1349,0)*in_loan_gold_ticket*in_loan_gold_comm</f>
        <v/>
      </c>
      <c r="BU1349" s="40">
        <f>BU1348*(1-IF(B1348&gt;=in_marketplace_from,d_hz_loan_cd*G1348,0))</f>
        <v/>
      </c>
      <c r="BV1349" s="14">
        <f>F1349*BU1349*IF(B1349&gt;=in_marketplace_from,d_hz_loan_cd*G1349,0)*in_loan_cd_ticket*in_loan_cd_comm</f>
        <v/>
      </c>
      <c r="BW1349" s="40">
        <f>BW1348*(1-IF(B1348&gt;=in_marketplace_from,d_hz_loan_vehicle*G1348,0))</f>
        <v/>
      </c>
      <c r="BX1349" s="14">
        <f>F1349*BW1349*IF(B1349&gt;=in_marketplace_from,d_hz_loan_vehicle*G1349,0)*in_loan_vehicle_ticket*in_loan_vehicle_comm</f>
        <v/>
      </c>
      <c r="BY1349" s="40">
        <f>BY1348*(1-IF(B1348&gt;=in_marketplace_from,d_hz_loan_home*G1348,0)*BZ1348)</f>
        <v/>
      </c>
      <c r="BZ1349" s="11">
        <f>MIN(in_approval_cap,in_loan_home_approval*INDEX('Age profile'!$O$2:$O$61,B1349)*(1+in_approval_growth)^(D1349-1))</f>
        <v/>
      </c>
      <c r="CA1349" s="14">
        <f>F1349*BY1349*IF(B1349&gt;=in_marketplace_from,d_hz_loan_home*G1349,0)*BZ1349*in_loan_home_ticket*in_loan_home_comm</f>
        <v/>
      </c>
      <c r="CB1349" s="40">
        <f>CB1348*(1-IF(B1348&gt;=in_marketplace_from,d_hz_loan_lap*G1348,0)*CC1348)</f>
        <v/>
      </c>
      <c r="CC1349" s="11">
        <f>MIN(in_approval_cap,in_loan_lap_approval*INDEX('Age profile'!$O$2:$O$61,B1349)*(1+in_approval_growth)^(D1349-1))</f>
        <v/>
      </c>
      <c r="CD1349" s="14">
        <f>F1349*CB1349*IF(B1349&gt;=in_marketplace_from,d_hz_loan_lap*G1349,0)*CC1349*in_loan_lap_ticket*in_loan_lap_comm</f>
        <v/>
      </c>
      <c r="CE1349" s="14">
        <f>AA1349+AB1349+AC1349+AD1349+AG1349+AJ1349+AM1349+AP1349+AS1349+AU1349+AX1349+BB1349+BE1349+BG1349+BJ1349+BL1349+BO1349+BR1349+BT1349+BV1349+BX1349+CA1349+CD1349</f>
        <v/>
      </c>
    </row>
    <row r="1350">
      <c r="A1350" s="39" t="n">
        <v>30</v>
      </c>
      <c r="B1350" s="39" t="n">
        <v>15</v>
      </c>
      <c r="C1350" s="39">
        <f>A1350+B1350-1</f>
        <v/>
      </c>
      <c r="D1350" s="39">
        <f>INT((C1350-1)/12)+1</f>
        <v/>
      </c>
      <c r="E1350" s="44">
        <f>INDEX(Monthly!$B$2:$B$61,A1350)</f>
        <v/>
      </c>
      <c r="F1350" s="44">
        <f>E1350*INDEX('Age profile'!$B$2:$B$61,B1350)</f>
        <v/>
      </c>
      <c r="G1350" s="45">
        <f>MIN(in_takeup_cap,INDEX('Age profile'!$N$2:$N$61,B1350)*(1+in_takeup_growth)^(D1350-1))</f>
        <v/>
      </c>
      <c r="H1350" s="11">
        <f>MIN(in_approval_cap,in_approved_first*INDEX('Age profile'!$O$2:$O$61,B1350)*(1+in_approval_growth)^(D1350-1))</f>
        <v/>
      </c>
      <c r="I1350" s="45">
        <f>G1350*MIN(in_takeup_cap,INDEX('Age profile'!$O$2:$O$61,B1350)*(1+in_approval_growth)^(D1350-1))</f>
        <v/>
      </c>
      <c r="J1350" s="40">
        <f>(J1349-L1349)*F1350/F1349</f>
        <v/>
      </c>
      <c r="K1350" s="40">
        <f>(K1349-M1349)*F1350/F1349+SUMIFS(O1336:O1349,B1336:B1349,B1350-1-d_T)*F1350</f>
        <v/>
      </c>
      <c r="L1350" s="40">
        <f>IF(B1350&gt;=in_marketplace_from,J1350*d_hz*G1350*in_eligible*H1350,0)</f>
        <v/>
      </c>
      <c r="M1350" s="40">
        <f>IF(B1350&gt;=in_marketplace_from,K1350*d_hz*G1350*in_eligible*in_approved_repeat,0)</f>
        <v/>
      </c>
      <c r="N1350" s="40">
        <f>L1350+M1350</f>
        <v/>
      </c>
      <c r="O1350" s="46">
        <f>N1350/F1350</f>
        <v/>
      </c>
      <c r="P1350" s="40">
        <f>F1350-J1350-K1350</f>
        <v/>
      </c>
      <c r="Q1350" s="40">
        <f>IF(B1350&gt;=in_marketplace_from,(J1350+K1350)*d_hz*G1350,0)</f>
        <v/>
      </c>
      <c r="R1350" s="40">
        <f>SUMIFS(N1336:N1366,B1336:B1366,"&gt;="&amp;(B1350-d_T),B1336:B1366,"&lt;="&amp;(B1350-1))</f>
        <v/>
      </c>
      <c r="S1350" s="46">
        <f>(1-d_u)*S1349+IF(d_T&gt;in_topup_lag,SUMIFS(O1336:O1366,B1336:B1366,B1350-in_topup_lag)-d_udrop*SUMIFS(O1336:O1366,B1336:B1366,B1350-d_T),0)</f>
        <v/>
      </c>
      <c r="T1350" s="40">
        <f>F1350*d_u*S1350</f>
        <v/>
      </c>
      <c r="U1350" s="9">
        <f>L1350*in_ticket+M1350*d_rep_ticket</f>
        <v/>
      </c>
      <c r="V1350" s="9">
        <f>U1350+T1350*d_topup_amt</f>
        <v/>
      </c>
      <c r="W1350" s="40">
        <f>N1350+T1350*d_topup_ratio</f>
        <v/>
      </c>
      <c r="X1350" s="40">
        <f>SUMIFS(W1336:W1366,B1336:B1366,B1350-in_dpd_lag)*d_cured</f>
        <v/>
      </c>
      <c r="Y1350" s="40">
        <f>SUMIFS(W1336:W1366,B1336:B1366,B1350-in_rec_lag)*d_recd</f>
        <v/>
      </c>
      <c r="Z1350" s="40">
        <f>IF(AND(B1350&gt;=in_marketplace_from,B1350&lt;in_marketplace_from+in_card_months),in_card_share/in_card_months*F1350*I1350,IF(AND(B1350&gt;=in_marketplace_from+in_card_months,B1350&lt;in_marketplace_from+2*in_card_months),in_card_share*d_card_rem/in_card_months*F1350*MIN(in_takeup_cap,(1+in_takeup_growth)^(D1350-1))*MIN(in_takeup_cap,(1+in_approval_growth)^(D1350-1)),0))</f>
        <v/>
      </c>
      <c r="AA1350" s="14">
        <f>V1350*in_fee*(1-in_taken_back)</f>
        <v/>
      </c>
      <c r="AB1350" s="14">
        <f>SUMIFS(W1336:W1366,B1336:B1366,B1350-in_dpd_lag)*d_dpd</f>
        <v/>
      </c>
      <c r="AC1350" s="14">
        <f>SUMIFS(W1336:W1366,B1336:B1366,B1350-in_rec_lag)*d_rec</f>
        <v/>
      </c>
      <c r="AD1350" s="14">
        <f>Z1350*in_card_fee</f>
        <v/>
      </c>
      <c r="AE1350" s="40">
        <f>AE1349*(1-IF(B1349&gt;=in_marketplace_from,d_hz_hlth_small*G1349,0))</f>
        <v/>
      </c>
      <c r="AF1350" s="46">
        <f>AE1350*IF(B1350&gt;=in_marketplace_from,d_hz_hlth_small*G1350,0)</f>
        <v/>
      </c>
      <c r="AG1350" s="14">
        <f>F1350*AF1350*in_hlth_small_ticket*in_hlth_small_comm*in_ins_partner_share+F1350*in_hlth_small_ticket*in_hlth_small_renew_comm*in_ins_partner_share*(in_hlth_small_renew^1*SUMIFS(AF1336:AF1366,B1336:B1366,B1350-12)+in_hlth_small_renew^2*SUMIFS(AF1336:AF1366,B1336:B1366,B1350-24)+in_hlth_small_renew^3*SUMIFS(AF1336:AF1366,B1336:B1366,B1350-36)+in_hlth_small_renew^4*SUMIFS(AF1336:AF1366,B1336:B1366,B1350-48))</f>
        <v/>
      </c>
      <c r="AH1350" s="40">
        <f>AH1349*(1-IF(B1349&gt;=in_marketplace_from,d_hz_hlth_family*G1349,0))</f>
        <v/>
      </c>
      <c r="AI1350" s="46">
        <f>AH1350*IF(B1350&gt;=in_marketplace_from,d_hz_hlth_family*G1350,0)</f>
        <v/>
      </c>
      <c r="AJ1350" s="14">
        <f>F1350*AI1350*in_hlth_family_ticket*in_hlth_family_comm*in_ins_partner_share+F1350*in_hlth_family_ticket*in_hlth_family_renew_comm*in_ins_partner_share*(in_hlth_family_renew^1*SUMIFS(AI1336:AI1366,B1336:B1366,B1350-12)+in_hlth_family_renew^2*SUMIFS(AI1336:AI1366,B1336:B1366,B1350-24)+in_hlth_family_renew^3*SUMIFS(AI1336:AI1366,B1336:B1366,B1350-36)+in_hlth_family_renew^4*SUMIFS(AI1336:AI1366,B1336:B1366,B1350-48))</f>
        <v/>
      </c>
      <c r="AK1350" s="40">
        <f>AK1349*(1-IF(B1349&gt;=in_marketplace_from,d_hz_life_term*G1349,0))</f>
        <v/>
      </c>
      <c r="AL1350" s="46">
        <f>AK1350*IF(B1350&gt;=in_marketplace_from,d_hz_life_term*G1350,0)</f>
        <v/>
      </c>
      <c r="AM1350" s="14">
        <f>F1350*AL1350*in_life_term_ticket*in_life_term_comm*in_ins_partner_share+F1350*in_life_term_ticket*in_life_term_renew_comm*in_ins_partner_share*(in_life_term_renew^1*SUMIFS(AL1336:AL1366,B1336:B1366,B1350-12)+in_life_term_renew^2*SUMIFS(AL1336:AL1366,B1336:B1366,B1350-24)+in_life_term_renew^3*SUMIFS(AL1336:AL1366,B1336:B1366,B1350-36)+in_life_term_renew^4*SUMIFS(AL1336:AL1366,B1336:B1366,B1350-48))</f>
        <v/>
      </c>
      <c r="AN1350" s="40">
        <f>AN1349*(1-IF(B1349&gt;=in_marketplace_from,d_hz_accident*G1349,0))</f>
        <v/>
      </c>
      <c r="AO1350" s="46">
        <f>AN1350*IF(B1350&gt;=in_marketplace_from,d_hz_accident*G1350,0)</f>
        <v/>
      </c>
      <c r="AP1350" s="14">
        <f>F1350*AO1350*in_accident_ticket*in_accident_comm*in_ins_partner_share+F1350*in_accident_ticket*in_accident_renew_comm*in_ins_partner_share*(in_accident_renew^1*SUMIFS(AO1336:AO1366,B1336:B1366,B1350-12)+in_accident_renew^2*SUMIFS(AO1336:AO1366,B1336:B1366,B1350-24)+in_accident_renew^3*SUMIFS(AO1336:AO1366,B1336:B1366,B1350-36)+in_accident_renew^4*SUMIFS(AO1336:AO1366,B1336:B1366,B1350-48))</f>
        <v/>
      </c>
      <c r="AQ1350" s="40">
        <f>AQ1349*(1-IF(B1349&gt;=in_marketplace_from,d_hz_two_wheeler*G1349,0))</f>
        <v/>
      </c>
      <c r="AR1350" s="46">
        <f>AQ1350*IF(B1350&gt;=in_marketplace_from,d_hz_two_wheeler*G1350,0)</f>
        <v/>
      </c>
      <c r="AS1350" s="14">
        <f>F1350*AR1350*in_two_wheeler_ticket*in_two_wheeler_comm*in_ins_partner_share+F1350*in_two_wheeler_ticket*in_two_wheeler_comm*in_ins_partner_share*(in_two_wheeler_renew^1*SUMIFS(AR1336:AR1366,B1336:B1366,B1350-12)+in_two_wheeler_renew^2*SUMIFS(AR1336:AR1366,B1336:B1366,B1350-24)+in_two_wheeler_renew^3*SUMIFS(AR1336:AR1366,B1336:B1366,B1350-36)+in_two_wheeler_renew^4*SUMIFS(AR1336:AR1366,B1336:B1366,B1350-48))</f>
        <v/>
      </c>
      <c r="AT1350" s="40">
        <f>AT1349*(1-IF(B1349&gt;=in_marketplace_from,d_hz_device*G1349,0))</f>
        <v/>
      </c>
      <c r="AU1350" s="14">
        <f>F1350*AT1350*IF(B1350&gt;=in_marketplace_from,d_hz_device*G1350,0)*in_device_ticket*in_device_comm*in_ins_partner_share</f>
        <v/>
      </c>
      <c r="AV1350" s="40">
        <f>AV1349*(1-IF(B1349&gt;=in_marketplace_from,d_hz_shop*G1349,0))</f>
        <v/>
      </c>
      <c r="AW1350" s="46">
        <f>AV1350*IF(B1350&gt;=in_marketplace_from,d_hz_shop*G1350,0)</f>
        <v/>
      </c>
      <c r="AX1350" s="14">
        <f>F1350*AW1350*in_shop_ticket*in_shop_comm*in_ins_partner_share+F1350*in_shop_ticket*in_shop_renew_comm*in_ins_partner_share*(in_shop_renew^1*SUMIFS(AW1336:AW1366,B1336:B1366,B1350-12)+in_shop_renew^2*SUMIFS(AW1336:AW1366,B1336:B1366,B1350-24)+in_shop_renew^3*SUMIFS(AW1336:AW1366,B1336:B1366,B1350-36)+in_shop_renew^4*SUMIFS(AW1336:AW1366,B1336:B1366,B1350-48))</f>
        <v/>
      </c>
      <c r="AY1350" s="40">
        <f>AY1349*(1-IF(B1349&gt;=in_marketplace_from,d_hz_sip*G1349,0))</f>
        <v/>
      </c>
      <c r="AZ1350" s="40">
        <f>AZ1349*d_rho_sip+AY1350*IF(B1350&gt;=in_marketplace_from,d_hz_sip*G1350,0)</f>
        <v/>
      </c>
      <c r="BA1350" s="40">
        <f>d_rho_sip*(BA1349+AZ1349)</f>
        <v/>
      </c>
      <c r="BB1350" s="14">
        <f>F1350*in_sip_ticket*(BA1350+0.5*AZ1350)*in_sip_comm/12</f>
        <v/>
      </c>
      <c r="BC1350" s="40">
        <f>BC1349*(1-IF(B1349&gt;=in_marketplace_from,d_hz_choti*G1349,0))</f>
        <v/>
      </c>
      <c r="BD1350" s="46">
        <f>BC1350*IF(B1350&gt;=in_marketplace_from,d_hz_choti*G1350,0)</f>
        <v/>
      </c>
      <c r="BE1350" s="14">
        <f>F1350*SUMIFS(BD1336:BD1366,B1336:B1366,B1350-in_choti_months)*in_choti_renew*in_choti_ticket</f>
        <v/>
      </c>
      <c r="BF1350" s="40">
        <f>BF1349*(1-IF(B1349&gt;=in_marketplace_from,d_hz_nps*G1349,0))</f>
        <v/>
      </c>
      <c r="BG1350" s="14">
        <f>F1350*BF1350*IF(B1350&gt;=in_marketplace_from,d_hz_nps*G1350,0)*in_nps_ticket*in_nps_comm</f>
        <v/>
      </c>
      <c r="BH1350" s="40">
        <f>BH1349*(1-IF(B1349&gt;=in_marketplace_from,d_hz_gold*G1349,0))</f>
        <v/>
      </c>
      <c r="BI1350" s="40">
        <f>BI1349*d_rho_gold+BH1350*IF(B1350&gt;=in_marketplace_from,d_hz_gold*G1350,0)</f>
        <v/>
      </c>
      <c r="BJ1350" s="14">
        <f>F1350*BI1350*in_gold_ticket*in_gold_comm</f>
        <v/>
      </c>
      <c r="BK1350" s="40">
        <f>BK1349*(1-IF(B1349&gt;=in_marketplace_from,d_hz_fd*G1349,0))</f>
        <v/>
      </c>
      <c r="BL1350" s="14">
        <f>F1350*BK1350*IF(B1350&gt;=in_marketplace_from,d_hz_fd*G1350,0)*in_fd_ticket*in_fd_comm</f>
        <v/>
      </c>
      <c r="BM1350" s="40">
        <f>BM1349*(1-IF(B1349&gt;=in_marketplace_from,d_hz_recharge*G1349,0))</f>
        <v/>
      </c>
      <c r="BN1350" s="40">
        <f>BN1349*d_rho_recharge+BM1350*IF(B1350&gt;=in_marketplace_from,d_hz_recharge*G1350,0)</f>
        <v/>
      </c>
      <c r="BO1350" s="14">
        <f>F1350*BN1350*in_recharge_ticket*in_recharge_comm/12</f>
        <v/>
      </c>
      <c r="BP1350" s="40">
        <f>BP1349*(1-IF(B1349&gt;=in_marketplace_from,d_hz_bills*G1349,0))</f>
        <v/>
      </c>
      <c r="BQ1350" s="40">
        <f>BQ1349*d_rho_bills+BP1350*IF(B1350&gt;=in_marketplace_from,d_hz_bills*G1350,0)</f>
        <v/>
      </c>
      <c r="BR1350" s="14">
        <f>F1350*BQ1350*in_bills_ticket*in_bills_comm/12</f>
        <v/>
      </c>
      <c r="BS1350" s="40">
        <f>BS1349*(1-IF(B1349&gt;=in_marketplace_from,d_hz_loan_gold*G1349,0))</f>
        <v/>
      </c>
      <c r="BT1350" s="14">
        <f>F1350*BS1350*IF(B1350&gt;=in_marketplace_from,d_hz_loan_gold*G1350,0)*in_loan_gold_ticket*in_loan_gold_comm</f>
        <v/>
      </c>
      <c r="BU1350" s="40">
        <f>BU1349*(1-IF(B1349&gt;=in_marketplace_from,d_hz_loan_cd*G1349,0))</f>
        <v/>
      </c>
      <c r="BV1350" s="14">
        <f>F1350*BU1350*IF(B1350&gt;=in_marketplace_from,d_hz_loan_cd*G1350,0)*in_loan_cd_ticket*in_loan_cd_comm</f>
        <v/>
      </c>
      <c r="BW1350" s="40">
        <f>BW1349*(1-IF(B1349&gt;=in_marketplace_from,d_hz_loan_vehicle*G1349,0))</f>
        <v/>
      </c>
      <c r="BX1350" s="14">
        <f>F1350*BW1350*IF(B1350&gt;=in_marketplace_from,d_hz_loan_vehicle*G1350,0)*in_loan_vehicle_ticket*in_loan_vehicle_comm</f>
        <v/>
      </c>
      <c r="BY1350" s="40">
        <f>BY1349*(1-IF(B1349&gt;=in_marketplace_from,d_hz_loan_home*G1349,0)*BZ1349)</f>
        <v/>
      </c>
      <c r="BZ1350" s="11">
        <f>MIN(in_approval_cap,in_loan_home_approval*INDEX('Age profile'!$O$2:$O$61,B1350)*(1+in_approval_growth)^(D1350-1))</f>
        <v/>
      </c>
      <c r="CA1350" s="14">
        <f>F1350*BY1350*IF(B1350&gt;=in_marketplace_from,d_hz_loan_home*G1350,0)*BZ1350*in_loan_home_ticket*in_loan_home_comm</f>
        <v/>
      </c>
      <c r="CB1350" s="40">
        <f>CB1349*(1-IF(B1349&gt;=in_marketplace_from,d_hz_loan_lap*G1349,0)*CC1349)</f>
        <v/>
      </c>
      <c r="CC1350" s="11">
        <f>MIN(in_approval_cap,in_loan_lap_approval*INDEX('Age profile'!$O$2:$O$61,B1350)*(1+in_approval_growth)^(D1350-1))</f>
        <v/>
      </c>
      <c r="CD1350" s="14">
        <f>F1350*CB1350*IF(B1350&gt;=in_marketplace_from,d_hz_loan_lap*G1350,0)*CC1350*in_loan_lap_ticket*in_loan_lap_comm</f>
        <v/>
      </c>
      <c r="CE1350" s="14">
        <f>AA1350+AB1350+AC1350+AD1350+AG1350+AJ1350+AM1350+AP1350+AS1350+AU1350+AX1350+BB1350+BE1350+BG1350+BJ1350+BL1350+BO1350+BR1350+BT1350+BV1350+BX1350+CA1350+CD1350</f>
        <v/>
      </c>
    </row>
    <row r="1351">
      <c r="A1351" s="39" t="n">
        <v>30</v>
      </c>
      <c r="B1351" s="39" t="n">
        <v>16</v>
      </c>
      <c r="C1351" s="39">
        <f>A1351+B1351-1</f>
        <v/>
      </c>
      <c r="D1351" s="39">
        <f>INT((C1351-1)/12)+1</f>
        <v/>
      </c>
      <c r="E1351" s="44">
        <f>INDEX(Monthly!$B$2:$B$61,A1351)</f>
        <v/>
      </c>
      <c r="F1351" s="44">
        <f>E1351*INDEX('Age profile'!$B$2:$B$61,B1351)</f>
        <v/>
      </c>
      <c r="G1351" s="45">
        <f>MIN(in_takeup_cap,INDEX('Age profile'!$N$2:$N$61,B1351)*(1+in_takeup_growth)^(D1351-1))</f>
        <v/>
      </c>
      <c r="H1351" s="11">
        <f>MIN(in_approval_cap,in_approved_first*INDEX('Age profile'!$O$2:$O$61,B1351)*(1+in_approval_growth)^(D1351-1))</f>
        <v/>
      </c>
      <c r="I1351" s="45">
        <f>G1351*MIN(in_takeup_cap,INDEX('Age profile'!$O$2:$O$61,B1351)*(1+in_approval_growth)^(D1351-1))</f>
        <v/>
      </c>
      <c r="J1351" s="40">
        <f>(J1350-L1350)*F1351/F1350</f>
        <v/>
      </c>
      <c r="K1351" s="40">
        <f>(K1350-M1350)*F1351/F1350+SUMIFS(O1336:O1350,B1336:B1350,B1351-1-d_T)*F1351</f>
        <v/>
      </c>
      <c r="L1351" s="40">
        <f>IF(B1351&gt;=in_marketplace_from,J1351*d_hz*G1351*in_eligible*H1351,0)</f>
        <v/>
      </c>
      <c r="M1351" s="40">
        <f>IF(B1351&gt;=in_marketplace_from,K1351*d_hz*G1351*in_eligible*in_approved_repeat,0)</f>
        <v/>
      </c>
      <c r="N1351" s="40">
        <f>L1351+M1351</f>
        <v/>
      </c>
      <c r="O1351" s="46">
        <f>N1351/F1351</f>
        <v/>
      </c>
      <c r="P1351" s="40">
        <f>F1351-J1351-K1351</f>
        <v/>
      </c>
      <c r="Q1351" s="40">
        <f>IF(B1351&gt;=in_marketplace_from,(J1351+K1351)*d_hz*G1351,0)</f>
        <v/>
      </c>
      <c r="R1351" s="40">
        <f>SUMIFS(N1336:N1366,B1336:B1366,"&gt;="&amp;(B1351-d_T),B1336:B1366,"&lt;="&amp;(B1351-1))</f>
        <v/>
      </c>
      <c r="S1351" s="46">
        <f>(1-d_u)*S1350+IF(d_T&gt;in_topup_lag,SUMIFS(O1336:O1366,B1336:B1366,B1351-in_topup_lag)-d_udrop*SUMIFS(O1336:O1366,B1336:B1366,B1351-d_T),0)</f>
        <v/>
      </c>
      <c r="T1351" s="40">
        <f>F1351*d_u*S1351</f>
        <v/>
      </c>
      <c r="U1351" s="9">
        <f>L1351*in_ticket+M1351*d_rep_ticket</f>
        <v/>
      </c>
      <c r="V1351" s="9">
        <f>U1351+T1351*d_topup_amt</f>
        <v/>
      </c>
      <c r="W1351" s="40">
        <f>N1351+T1351*d_topup_ratio</f>
        <v/>
      </c>
      <c r="X1351" s="40">
        <f>SUMIFS(W1336:W1366,B1336:B1366,B1351-in_dpd_lag)*d_cured</f>
        <v/>
      </c>
      <c r="Y1351" s="40">
        <f>SUMIFS(W1336:W1366,B1336:B1366,B1351-in_rec_lag)*d_recd</f>
        <v/>
      </c>
      <c r="Z1351" s="40">
        <f>IF(AND(B1351&gt;=in_marketplace_from,B1351&lt;in_marketplace_from+in_card_months),in_card_share/in_card_months*F1351*I1351,IF(AND(B1351&gt;=in_marketplace_from+in_card_months,B1351&lt;in_marketplace_from+2*in_card_months),in_card_share*d_card_rem/in_card_months*F1351*MIN(in_takeup_cap,(1+in_takeup_growth)^(D1351-1))*MIN(in_takeup_cap,(1+in_approval_growth)^(D1351-1)),0))</f>
        <v/>
      </c>
      <c r="AA1351" s="14">
        <f>V1351*in_fee*(1-in_taken_back)</f>
        <v/>
      </c>
      <c r="AB1351" s="14">
        <f>SUMIFS(W1336:W1366,B1336:B1366,B1351-in_dpd_lag)*d_dpd</f>
        <v/>
      </c>
      <c r="AC1351" s="14">
        <f>SUMIFS(W1336:W1366,B1336:B1366,B1351-in_rec_lag)*d_rec</f>
        <v/>
      </c>
      <c r="AD1351" s="14">
        <f>Z1351*in_card_fee</f>
        <v/>
      </c>
      <c r="AE1351" s="40">
        <f>AE1350*(1-IF(B1350&gt;=in_marketplace_from,d_hz_hlth_small*G1350,0))</f>
        <v/>
      </c>
      <c r="AF1351" s="46">
        <f>AE1351*IF(B1351&gt;=in_marketplace_from,d_hz_hlth_small*G1351,0)</f>
        <v/>
      </c>
      <c r="AG1351" s="14">
        <f>F1351*AF1351*in_hlth_small_ticket*in_hlth_small_comm*in_ins_partner_share+F1351*in_hlth_small_ticket*in_hlth_small_renew_comm*in_ins_partner_share*(in_hlth_small_renew^1*SUMIFS(AF1336:AF1366,B1336:B1366,B1351-12)+in_hlth_small_renew^2*SUMIFS(AF1336:AF1366,B1336:B1366,B1351-24)+in_hlth_small_renew^3*SUMIFS(AF1336:AF1366,B1336:B1366,B1351-36)+in_hlth_small_renew^4*SUMIFS(AF1336:AF1366,B1336:B1366,B1351-48))</f>
        <v/>
      </c>
      <c r="AH1351" s="40">
        <f>AH1350*(1-IF(B1350&gt;=in_marketplace_from,d_hz_hlth_family*G1350,0))</f>
        <v/>
      </c>
      <c r="AI1351" s="46">
        <f>AH1351*IF(B1351&gt;=in_marketplace_from,d_hz_hlth_family*G1351,0)</f>
        <v/>
      </c>
      <c r="AJ1351" s="14">
        <f>F1351*AI1351*in_hlth_family_ticket*in_hlth_family_comm*in_ins_partner_share+F1351*in_hlth_family_ticket*in_hlth_family_renew_comm*in_ins_partner_share*(in_hlth_family_renew^1*SUMIFS(AI1336:AI1366,B1336:B1366,B1351-12)+in_hlth_family_renew^2*SUMIFS(AI1336:AI1366,B1336:B1366,B1351-24)+in_hlth_family_renew^3*SUMIFS(AI1336:AI1366,B1336:B1366,B1351-36)+in_hlth_family_renew^4*SUMIFS(AI1336:AI1366,B1336:B1366,B1351-48))</f>
        <v/>
      </c>
      <c r="AK1351" s="40">
        <f>AK1350*(1-IF(B1350&gt;=in_marketplace_from,d_hz_life_term*G1350,0))</f>
        <v/>
      </c>
      <c r="AL1351" s="46">
        <f>AK1351*IF(B1351&gt;=in_marketplace_from,d_hz_life_term*G1351,0)</f>
        <v/>
      </c>
      <c r="AM1351" s="14">
        <f>F1351*AL1351*in_life_term_ticket*in_life_term_comm*in_ins_partner_share+F1351*in_life_term_ticket*in_life_term_renew_comm*in_ins_partner_share*(in_life_term_renew^1*SUMIFS(AL1336:AL1366,B1336:B1366,B1351-12)+in_life_term_renew^2*SUMIFS(AL1336:AL1366,B1336:B1366,B1351-24)+in_life_term_renew^3*SUMIFS(AL1336:AL1366,B1336:B1366,B1351-36)+in_life_term_renew^4*SUMIFS(AL1336:AL1366,B1336:B1366,B1351-48))</f>
        <v/>
      </c>
      <c r="AN1351" s="40">
        <f>AN1350*(1-IF(B1350&gt;=in_marketplace_from,d_hz_accident*G1350,0))</f>
        <v/>
      </c>
      <c r="AO1351" s="46">
        <f>AN1351*IF(B1351&gt;=in_marketplace_from,d_hz_accident*G1351,0)</f>
        <v/>
      </c>
      <c r="AP1351" s="14">
        <f>F1351*AO1351*in_accident_ticket*in_accident_comm*in_ins_partner_share+F1351*in_accident_ticket*in_accident_renew_comm*in_ins_partner_share*(in_accident_renew^1*SUMIFS(AO1336:AO1366,B1336:B1366,B1351-12)+in_accident_renew^2*SUMIFS(AO1336:AO1366,B1336:B1366,B1351-24)+in_accident_renew^3*SUMIFS(AO1336:AO1366,B1336:B1366,B1351-36)+in_accident_renew^4*SUMIFS(AO1336:AO1366,B1336:B1366,B1351-48))</f>
        <v/>
      </c>
      <c r="AQ1351" s="40">
        <f>AQ1350*(1-IF(B1350&gt;=in_marketplace_from,d_hz_two_wheeler*G1350,0))</f>
        <v/>
      </c>
      <c r="AR1351" s="46">
        <f>AQ1351*IF(B1351&gt;=in_marketplace_from,d_hz_two_wheeler*G1351,0)</f>
        <v/>
      </c>
      <c r="AS1351" s="14">
        <f>F1351*AR1351*in_two_wheeler_ticket*in_two_wheeler_comm*in_ins_partner_share+F1351*in_two_wheeler_ticket*in_two_wheeler_comm*in_ins_partner_share*(in_two_wheeler_renew^1*SUMIFS(AR1336:AR1366,B1336:B1366,B1351-12)+in_two_wheeler_renew^2*SUMIFS(AR1336:AR1366,B1336:B1366,B1351-24)+in_two_wheeler_renew^3*SUMIFS(AR1336:AR1366,B1336:B1366,B1351-36)+in_two_wheeler_renew^4*SUMIFS(AR1336:AR1366,B1336:B1366,B1351-48))</f>
        <v/>
      </c>
      <c r="AT1351" s="40">
        <f>AT1350*(1-IF(B1350&gt;=in_marketplace_from,d_hz_device*G1350,0))</f>
        <v/>
      </c>
      <c r="AU1351" s="14">
        <f>F1351*AT1351*IF(B1351&gt;=in_marketplace_from,d_hz_device*G1351,0)*in_device_ticket*in_device_comm*in_ins_partner_share</f>
        <v/>
      </c>
      <c r="AV1351" s="40">
        <f>AV1350*(1-IF(B1350&gt;=in_marketplace_from,d_hz_shop*G1350,0))</f>
        <v/>
      </c>
      <c r="AW1351" s="46">
        <f>AV1351*IF(B1351&gt;=in_marketplace_from,d_hz_shop*G1351,0)</f>
        <v/>
      </c>
      <c r="AX1351" s="14">
        <f>F1351*AW1351*in_shop_ticket*in_shop_comm*in_ins_partner_share+F1351*in_shop_ticket*in_shop_renew_comm*in_ins_partner_share*(in_shop_renew^1*SUMIFS(AW1336:AW1366,B1336:B1366,B1351-12)+in_shop_renew^2*SUMIFS(AW1336:AW1366,B1336:B1366,B1351-24)+in_shop_renew^3*SUMIFS(AW1336:AW1366,B1336:B1366,B1351-36)+in_shop_renew^4*SUMIFS(AW1336:AW1366,B1336:B1366,B1351-48))</f>
        <v/>
      </c>
      <c r="AY1351" s="40">
        <f>AY1350*(1-IF(B1350&gt;=in_marketplace_from,d_hz_sip*G1350,0))</f>
        <v/>
      </c>
      <c r="AZ1351" s="40">
        <f>AZ1350*d_rho_sip+AY1351*IF(B1351&gt;=in_marketplace_from,d_hz_sip*G1351,0)</f>
        <v/>
      </c>
      <c r="BA1351" s="40">
        <f>d_rho_sip*(BA1350+AZ1350)</f>
        <v/>
      </c>
      <c r="BB1351" s="14">
        <f>F1351*in_sip_ticket*(BA1351+0.5*AZ1351)*in_sip_comm/12</f>
        <v/>
      </c>
      <c r="BC1351" s="40">
        <f>BC1350*(1-IF(B1350&gt;=in_marketplace_from,d_hz_choti*G1350,0))</f>
        <v/>
      </c>
      <c r="BD1351" s="46">
        <f>BC1351*IF(B1351&gt;=in_marketplace_from,d_hz_choti*G1351,0)</f>
        <v/>
      </c>
      <c r="BE1351" s="14">
        <f>F1351*SUMIFS(BD1336:BD1366,B1336:B1366,B1351-in_choti_months)*in_choti_renew*in_choti_ticket</f>
        <v/>
      </c>
      <c r="BF1351" s="40">
        <f>BF1350*(1-IF(B1350&gt;=in_marketplace_from,d_hz_nps*G1350,0))</f>
        <v/>
      </c>
      <c r="BG1351" s="14">
        <f>F1351*BF1351*IF(B1351&gt;=in_marketplace_from,d_hz_nps*G1351,0)*in_nps_ticket*in_nps_comm</f>
        <v/>
      </c>
      <c r="BH1351" s="40">
        <f>BH1350*(1-IF(B1350&gt;=in_marketplace_from,d_hz_gold*G1350,0))</f>
        <v/>
      </c>
      <c r="BI1351" s="40">
        <f>BI1350*d_rho_gold+BH1351*IF(B1351&gt;=in_marketplace_from,d_hz_gold*G1351,0)</f>
        <v/>
      </c>
      <c r="BJ1351" s="14">
        <f>F1351*BI1351*in_gold_ticket*in_gold_comm</f>
        <v/>
      </c>
      <c r="BK1351" s="40">
        <f>BK1350*(1-IF(B1350&gt;=in_marketplace_from,d_hz_fd*G1350,0))</f>
        <v/>
      </c>
      <c r="BL1351" s="14">
        <f>F1351*BK1351*IF(B1351&gt;=in_marketplace_from,d_hz_fd*G1351,0)*in_fd_ticket*in_fd_comm</f>
        <v/>
      </c>
      <c r="BM1351" s="40">
        <f>BM1350*(1-IF(B1350&gt;=in_marketplace_from,d_hz_recharge*G1350,0))</f>
        <v/>
      </c>
      <c r="BN1351" s="40">
        <f>BN1350*d_rho_recharge+BM1351*IF(B1351&gt;=in_marketplace_from,d_hz_recharge*G1351,0)</f>
        <v/>
      </c>
      <c r="BO1351" s="14">
        <f>F1351*BN1351*in_recharge_ticket*in_recharge_comm/12</f>
        <v/>
      </c>
      <c r="BP1351" s="40">
        <f>BP1350*(1-IF(B1350&gt;=in_marketplace_from,d_hz_bills*G1350,0))</f>
        <v/>
      </c>
      <c r="BQ1351" s="40">
        <f>BQ1350*d_rho_bills+BP1351*IF(B1351&gt;=in_marketplace_from,d_hz_bills*G1351,0)</f>
        <v/>
      </c>
      <c r="BR1351" s="14">
        <f>F1351*BQ1351*in_bills_ticket*in_bills_comm/12</f>
        <v/>
      </c>
      <c r="BS1351" s="40">
        <f>BS1350*(1-IF(B1350&gt;=in_marketplace_from,d_hz_loan_gold*G1350,0))</f>
        <v/>
      </c>
      <c r="BT1351" s="14">
        <f>F1351*BS1351*IF(B1351&gt;=in_marketplace_from,d_hz_loan_gold*G1351,0)*in_loan_gold_ticket*in_loan_gold_comm</f>
        <v/>
      </c>
      <c r="BU1351" s="40">
        <f>BU1350*(1-IF(B1350&gt;=in_marketplace_from,d_hz_loan_cd*G1350,0))</f>
        <v/>
      </c>
      <c r="BV1351" s="14">
        <f>F1351*BU1351*IF(B1351&gt;=in_marketplace_from,d_hz_loan_cd*G1351,0)*in_loan_cd_ticket*in_loan_cd_comm</f>
        <v/>
      </c>
      <c r="BW1351" s="40">
        <f>BW1350*(1-IF(B1350&gt;=in_marketplace_from,d_hz_loan_vehicle*G1350,0))</f>
        <v/>
      </c>
      <c r="BX1351" s="14">
        <f>F1351*BW1351*IF(B1351&gt;=in_marketplace_from,d_hz_loan_vehicle*G1351,0)*in_loan_vehicle_ticket*in_loan_vehicle_comm</f>
        <v/>
      </c>
      <c r="BY1351" s="40">
        <f>BY1350*(1-IF(B1350&gt;=in_marketplace_from,d_hz_loan_home*G1350,0)*BZ1350)</f>
        <v/>
      </c>
      <c r="BZ1351" s="11">
        <f>MIN(in_approval_cap,in_loan_home_approval*INDEX('Age profile'!$O$2:$O$61,B1351)*(1+in_approval_growth)^(D1351-1))</f>
        <v/>
      </c>
      <c r="CA1351" s="14">
        <f>F1351*BY1351*IF(B1351&gt;=in_marketplace_from,d_hz_loan_home*G1351,0)*BZ1351*in_loan_home_ticket*in_loan_home_comm</f>
        <v/>
      </c>
      <c r="CB1351" s="40">
        <f>CB1350*(1-IF(B1350&gt;=in_marketplace_from,d_hz_loan_lap*G1350,0)*CC1350)</f>
        <v/>
      </c>
      <c r="CC1351" s="11">
        <f>MIN(in_approval_cap,in_loan_lap_approval*INDEX('Age profile'!$O$2:$O$61,B1351)*(1+in_approval_growth)^(D1351-1))</f>
        <v/>
      </c>
      <c r="CD1351" s="14">
        <f>F1351*CB1351*IF(B1351&gt;=in_marketplace_from,d_hz_loan_lap*G1351,0)*CC1351*in_loan_lap_ticket*in_loan_lap_comm</f>
        <v/>
      </c>
      <c r="CE1351" s="14">
        <f>AA1351+AB1351+AC1351+AD1351+AG1351+AJ1351+AM1351+AP1351+AS1351+AU1351+AX1351+BB1351+BE1351+BG1351+BJ1351+BL1351+BO1351+BR1351+BT1351+BV1351+BX1351+CA1351+CD1351</f>
        <v/>
      </c>
    </row>
    <row r="1352">
      <c r="A1352" s="39" t="n">
        <v>30</v>
      </c>
      <c r="B1352" s="39" t="n">
        <v>17</v>
      </c>
      <c r="C1352" s="39">
        <f>A1352+B1352-1</f>
        <v/>
      </c>
      <c r="D1352" s="39">
        <f>INT((C1352-1)/12)+1</f>
        <v/>
      </c>
      <c r="E1352" s="44">
        <f>INDEX(Monthly!$B$2:$B$61,A1352)</f>
        <v/>
      </c>
      <c r="F1352" s="44">
        <f>E1352*INDEX('Age profile'!$B$2:$B$61,B1352)</f>
        <v/>
      </c>
      <c r="G1352" s="45">
        <f>MIN(in_takeup_cap,INDEX('Age profile'!$N$2:$N$61,B1352)*(1+in_takeup_growth)^(D1352-1))</f>
        <v/>
      </c>
      <c r="H1352" s="11">
        <f>MIN(in_approval_cap,in_approved_first*INDEX('Age profile'!$O$2:$O$61,B1352)*(1+in_approval_growth)^(D1352-1))</f>
        <v/>
      </c>
      <c r="I1352" s="45">
        <f>G1352*MIN(in_takeup_cap,INDEX('Age profile'!$O$2:$O$61,B1352)*(1+in_approval_growth)^(D1352-1))</f>
        <v/>
      </c>
      <c r="J1352" s="40">
        <f>(J1351-L1351)*F1352/F1351</f>
        <v/>
      </c>
      <c r="K1352" s="40">
        <f>(K1351-M1351)*F1352/F1351+SUMIFS(O1336:O1351,B1336:B1351,B1352-1-d_T)*F1352</f>
        <v/>
      </c>
      <c r="L1352" s="40">
        <f>IF(B1352&gt;=in_marketplace_from,J1352*d_hz*G1352*in_eligible*H1352,0)</f>
        <v/>
      </c>
      <c r="M1352" s="40">
        <f>IF(B1352&gt;=in_marketplace_from,K1352*d_hz*G1352*in_eligible*in_approved_repeat,0)</f>
        <v/>
      </c>
      <c r="N1352" s="40">
        <f>L1352+M1352</f>
        <v/>
      </c>
      <c r="O1352" s="46">
        <f>N1352/F1352</f>
        <v/>
      </c>
      <c r="P1352" s="40">
        <f>F1352-J1352-K1352</f>
        <v/>
      </c>
      <c r="Q1352" s="40">
        <f>IF(B1352&gt;=in_marketplace_from,(J1352+K1352)*d_hz*G1352,0)</f>
        <v/>
      </c>
      <c r="R1352" s="40">
        <f>SUMIFS(N1336:N1366,B1336:B1366,"&gt;="&amp;(B1352-d_T),B1336:B1366,"&lt;="&amp;(B1352-1))</f>
        <v/>
      </c>
      <c r="S1352" s="46">
        <f>(1-d_u)*S1351+IF(d_T&gt;in_topup_lag,SUMIFS(O1336:O1366,B1336:B1366,B1352-in_topup_lag)-d_udrop*SUMIFS(O1336:O1366,B1336:B1366,B1352-d_T),0)</f>
        <v/>
      </c>
      <c r="T1352" s="40">
        <f>F1352*d_u*S1352</f>
        <v/>
      </c>
      <c r="U1352" s="9">
        <f>L1352*in_ticket+M1352*d_rep_ticket</f>
        <v/>
      </c>
      <c r="V1352" s="9">
        <f>U1352+T1352*d_topup_amt</f>
        <v/>
      </c>
      <c r="W1352" s="40">
        <f>N1352+T1352*d_topup_ratio</f>
        <v/>
      </c>
      <c r="X1352" s="40">
        <f>SUMIFS(W1336:W1366,B1336:B1366,B1352-in_dpd_lag)*d_cured</f>
        <v/>
      </c>
      <c r="Y1352" s="40">
        <f>SUMIFS(W1336:W1366,B1336:B1366,B1352-in_rec_lag)*d_recd</f>
        <v/>
      </c>
      <c r="Z1352" s="40">
        <f>IF(AND(B1352&gt;=in_marketplace_from,B1352&lt;in_marketplace_from+in_card_months),in_card_share/in_card_months*F1352*I1352,IF(AND(B1352&gt;=in_marketplace_from+in_card_months,B1352&lt;in_marketplace_from+2*in_card_months),in_card_share*d_card_rem/in_card_months*F1352*MIN(in_takeup_cap,(1+in_takeup_growth)^(D1352-1))*MIN(in_takeup_cap,(1+in_approval_growth)^(D1352-1)),0))</f>
        <v/>
      </c>
      <c r="AA1352" s="14">
        <f>V1352*in_fee*(1-in_taken_back)</f>
        <v/>
      </c>
      <c r="AB1352" s="14">
        <f>SUMIFS(W1336:W1366,B1336:B1366,B1352-in_dpd_lag)*d_dpd</f>
        <v/>
      </c>
      <c r="AC1352" s="14">
        <f>SUMIFS(W1336:W1366,B1336:B1366,B1352-in_rec_lag)*d_rec</f>
        <v/>
      </c>
      <c r="AD1352" s="14">
        <f>Z1352*in_card_fee</f>
        <v/>
      </c>
      <c r="AE1352" s="40">
        <f>AE1351*(1-IF(B1351&gt;=in_marketplace_from,d_hz_hlth_small*G1351,0))</f>
        <v/>
      </c>
      <c r="AF1352" s="46">
        <f>AE1352*IF(B1352&gt;=in_marketplace_from,d_hz_hlth_small*G1352,0)</f>
        <v/>
      </c>
      <c r="AG1352" s="14">
        <f>F1352*AF1352*in_hlth_small_ticket*in_hlth_small_comm*in_ins_partner_share+F1352*in_hlth_small_ticket*in_hlth_small_renew_comm*in_ins_partner_share*(in_hlth_small_renew^1*SUMIFS(AF1336:AF1366,B1336:B1366,B1352-12)+in_hlth_small_renew^2*SUMIFS(AF1336:AF1366,B1336:B1366,B1352-24)+in_hlth_small_renew^3*SUMIFS(AF1336:AF1366,B1336:B1366,B1352-36)+in_hlth_small_renew^4*SUMIFS(AF1336:AF1366,B1336:B1366,B1352-48))</f>
        <v/>
      </c>
      <c r="AH1352" s="40">
        <f>AH1351*(1-IF(B1351&gt;=in_marketplace_from,d_hz_hlth_family*G1351,0))</f>
        <v/>
      </c>
      <c r="AI1352" s="46">
        <f>AH1352*IF(B1352&gt;=in_marketplace_from,d_hz_hlth_family*G1352,0)</f>
        <v/>
      </c>
      <c r="AJ1352" s="14">
        <f>F1352*AI1352*in_hlth_family_ticket*in_hlth_family_comm*in_ins_partner_share+F1352*in_hlth_family_ticket*in_hlth_family_renew_comm*in_ins_partner_share*(in_hlth_family_renew^1*SUMIFS(AI1336:AI1366,B1336:B1366,B1352-12)+in_hlth_family_renew^2*SUMIFS(AI1336:AI1366,B1336:B1366,B1352-24)+in_hlth_family_renew^3*SUMIFS(AI1336:AI1366,B1336:B1366,B1352-36)+in_hlth_family_renew^4*SUMIFS(AI1336:AI1366,B1336:B1366,B1352-48))</f>
        <v/>
      </c>
      <c r="AK1352" s="40">
        <f>AK1351*(1-IF(B1351&gt;=in_marketplace_from,d_hz_life_term*G1351,0))</f>
        <v/>
      </c>
      <c r="AL1352" s="46">
        <f>AK1352*IF(B1352&gt;=in_marketplace_from,d_hz_life_term*G1352,0)</f>
        <v/>
      </c>
      <c r="AM1352" s="14">
        <f>F1352*AL1352*in_life_term_ticket*in_life_term_comm*in_ins_partner_share+F1352*in_life_term_ticket*in_life_term_renew_comm*in_ins_partner_share*(in_life_term_renew^1*SUMIFS(AL1336:AL1366,B1336:B1366,B1352-12)+in_life_term_renew^2*SUMIFS(AL1336:AL1366,B1336:B1366,B1352-24)+in_life_term_renew^3*SUMIFS(AL1336:AL1366,B1336:B1366,B1352-36)+in_life_term_renew^4*SUMIFS(AL1336:AL1366,B1336:B1366,B1352-48))</f>
        <v/>
      </c>
      <c r="AN1352" s="40">
        <f>AN1351*(1-IF(B1351&gt;=in_marketplace_from,d_hz_accident*G1351,0))</f>
        <v/>
      </c>
      <c r="AO1352" s="46">
        <f>AN1352*IF(B1352&gt;=in_marketplace_from,d_hz_accident*G1352,0)</f>
        <v/>
      </c>
      <c r="AP1352" s="14">
        <f>F1352*AO1352*in_accident_ticket*in_accident_comm*in_ins_partner_share+F1352*in_accident_ticket*in_accident_renew_comm*in_ins_partner_share*(in_accident_renew^1*SUMIFS(AO1336:AO1366,B1336:B1366,B1352-12)+in_accident_renew^2*SUMIFS(AO1336:AO1366,B1336:B1366,B1352-24)+in_accident_renew^3*SUMIFS(AO1336:AO1366,B1336:B1366,B1352-36)+in_accident_renew^4*SUMIFS(AO1336:AO1366,B1336:B1366,B1352-48))</f>
        <v/>
      </c>
      <c r="AQ1352" s="40">
        <f>AQ1351*(1-IF(B1351&gt;=in_marketplace_from,d_hz_two_wheeler*G1351,0))</f>
        <v/>
      </c>
      <c r="AR1352" s="46">
        <f>AQ1352*IF(B1352&gt;=in_marketplace_from,d_hz_two_wheeler*G1352,0)</f>
        <v/>
      </c>
      <c r="AS1352" s="14">
        <f>F1352*AR1352*in_two_wheeler_ticket*in_two_wheeler_comm*in_ins_partner_share+F1352*in_two_wheeler_ticket*in_two_wheeler_comm*in_ins_partner_share*(in_two_wheeler_renew^1*SUMIFS(AR1336:AR1366,B1336:B1366,B1352-12)+in_two_wheeler_renew^2*SUMIFS(AR1336:AR1366,B1336:B1366,B1352-24)+in_two_wheeler_renew^3*SUMIFS(AR1336:AR1366,B1336:B1366,B1352-36)+in_two_wheeler_renew^4*SUMIFS(AR1336:AR1366,B1336:B1366,B1352-48))</f>
        <v/>
      </c>
      <c r="AT1352" s="40">
        <f>AT1351*(1-IF(B1351&gt;=in_marketplace_from,d_hz_device*G1351,0))</f>
        <v/>
      </c>
      <c r="AU1352" s="14">
        <f>F1352*AT1352*IF(B1352&gt;=in_marketplace_from,d_hz_device*G1352,0)*in_device_ticket*in_device_comm*in_ins_partner_share</f>
        <v/>
      </c>
      <c r="AV1352" s="40">
        <f>AV1351*(1-IF(B1351&gt;=in_marketplace_from,d_hz_shop*G1351,0))</f>
        <v/>
      </c>
      <c r="AW1352" s="46">
        <f>AV1352*IF(B1352&gt;=in_marketplace_from,d_hz_shop*G1352,0)</f>
        <v/>
      </c>
      <c r="AX1352" s="14">
        <f>F1352*AW1352*in_shop_ticket*in_shop_comm*in_ins_partner_share+F1352*in_shop_ticket*in_shop_renew_comm*in_ins_partner_share*(in_shop_renew^1*SUMIFS(AW1336:AW1366,B1336:B1366,B1352-12)+in_shop_renew^2*SUMIFS(AW1336:AW1366,B1336:B1366,B1352-24)+in_shop_renew^3*SUMIFS(AW1336:AW1366,B1336:B1366,B1352-36)+in_shop_renew^4*SUMIFS(AW1336:AW1366,B1336:B1366,B1352-48))</f>
        <v/>
      </c>
      <c r="AY1352" s="40">
        <f>AY1351*(1-IF(B1351&gt;=in_marketplace_from,d_hz_sip*G1351,0))</f>
        <v/>
      </c>
      <c r="AZ1352" s="40">
        <f>AZ1351*d_rho_sip+AY1352*IF(B1352&gt;=in_marketplace_from,d_hz_sip*G1352,0)</f>
        <v/>
      </c>
      <c r="BA1352" s="40">
        <f>d_rho_sip*(BA1351+AZ1351)</f>
        <v/>
      </c>
      <c r="BB1352" s="14">
        <f>F1352*in_sip_ticket*(BA1352+0.5*AZ1352)*in_sip_comm/12</f>
        <v/>
      </c>
      <c r="BC1352" s="40">
        <f>BC1351*(1-IF(B1351&gt;=in_marketplace_from,d_hz_choti*G1351,0))</f>
        <v/>
      </c>
      <c r="BD1352" s="46">
        <f>BC1352*IF(B1352&gt;=in_marketplace_from,d_hz_choti*G1352,0)</f>
        <v/>
      </c>
      <c r="BE1352" s="14">
        <f>F1352*SUMIFS(BD1336:BD1366,B1336:B1366,B1352-in_choti_months)*in_choti_renew*in_choti_ticket</f>
        <v/>
      </c>
      <c r="BF1352" s="40">
        <f>BF1351*(1-IF(B1351&gt;=in_marketplace_from,d_hz_nps*G1351,0))</f>
        <v/>
      </c>
      <c r="BG1352" s="14">
        <f>F1352*BF1352*IF(B1352&gt;=in_marketplace_from,d_hz_nps*G1352,0)*in_nps_ticket*in_nps_comm</f>
        <v/>
      </c>
      <c r="BH1352" s="40">
        <f>BH1351*(1-IF(B1351&gt;=in_marketplace_from,d_hz_gold*G1351,0))</f>
        <v/>
      </c>
      <c r="BI1352" s="40">
        <f>BI1351*d_rho_gold+BH1352*IF(B1352&gt;=in_marketplace_from,d_hz_gold*G1352,0)</f>
        <v/>
      </c>
      <c r="BJ1352" s="14">
        <f>F1352*BI1352*in_gold_ticket*in_gold_comm</f>
        <v/>
      </c>
      <c r="BK1352" s="40">
        <f>BK1351*(1-IF(B1351&gt;=in_marketplace_from,d_hz_fd*G1351,0))</f>
        <v/>
      </c>
      <c r="BL1352" s="14">
        <f>F1352*BK1352*IF(B1352&gt;=in_marketplace_from,d_hz_fd*G1352,0)*in_fd_ticket*in_fd_comm</f>
        <v/>
      </c>
      <c r="BM1352" s="40">
        <f>BM1351*(1-IF(B1351&gt;=in_marketplace_from,d_hz_recharge*G1351,0))</f>
        <v/>
      </c>
      <c r="BN1352" s="40">
        <f>BN1351*d_rho_recharge+BM1352*IF(B1352&gt;=in_marketplace_from,d_hz_recharge*G1352,0)</f>
        <v/>
      </c>
      <c r="BO1352" s="14">
        <f>F1352*BN1352*in_recharge_ticket*in_recharge_comm/12</f>
        <v/>
      </c>
      <c r="BP1352" s="40">
        <f>BP1351*(1-IF(B1351&gt;=in_marketplace_from,d_hz_bills*G1351,0))</f>
        <v/>
      </c>
      <c r="BQ1352" s="40">
        <f>BQ1351*d_rho_bills+BP1352*IF(B1352&gt;=in_marketplace_from,d_hz_bills*G1352,0)</f>
        <v/>
      </c>
      <c r="BR1352" s="14">
        <f>F1352*BQ1352*in_bills_ticket*in_bills_comm/12</f>
        <v/>
      </c>
      <c r="BS1352" s="40">
        <f>BS1351*(1-IF(B1351&gt;=in_marketplace_from,d_hz_loan_gold*G1351,0))</f>
        <v/>
      </c>
      <c r="BT1352" s="14">
        <f>F1352*BS1352*IF(B1352&gt;=in_marketplace_from,d_hz_loan_gold*G1352,0)*in_loan_gold_ticket*in_loan_gold_comm</f>
        <v/>
      </c>
      <c r="BU1352" s="40">
        <f>BU1351*(1-IF(B1351&gt;=in_marketplace_from,d_hz_loan_cd*G1351,0))</f>
        <v/>
      </c>
      <c r="BV1352" s="14">
        <f>F1352*BU1352*IF(B1352&gt;=in_marketplace_from,d_hz_loan_cd*G1352,0)*in_loan_cd_ticket*in_loan_cd_comm</f>
        <v/>
      </c>
      <c r="BW1352" s="40">
        <f>BW1351*(1-IF(B1351&gt;=in_marketplace_from,d_hz_loan_vehicle*G1351,0))</f>
        <v/>
      </c>
      <c r="BX1352" s="14">
        <f>F1352*BW1352*IF(B1352&gt;=in_marketplace_from,d_hz_loan_vehicle*G1352,0)*in_loan_vehicle_ticket*in_loan_vehicle_comm</f>
        <v/>
      </c>
      <c r="BY1352" s="40">
        <f>BY1351*(1-IF(B1351&gt;=in_marketplace_from,d_hz_loan_home*G1351,0)*BZ1351)</f>
        <v/>
      </c>
      <c r="BZ1352" s="11">
        <f>MIN(in_approval_cap,in_loan_home_approval*INDEX('Age profile'!$O$2:$O$61,B1352)*(1+in_approval_growth)^(D1352-1))</f>
        <v/>
      </c>
      <c r="CA1352" s="14">
        <f>F1352*BY1352*IF(B1352&gt;=in_marketplace_from,d_hz_loan_home*G1352,0)*BZ1352*in_loan_home_ticket*in_loan_home_comm</f>
        <v/>
      </c>
      <c r="CB1352" s="40">
        <f>CB1351*(1-IF(B1351&gt;=in_marketplace_from,d_hz_loan_lap*G1351,0)*CC1351)</f>
        <v/>
      </c>
      <c r="CC1352" s="11">
        <f>MIN(in_approval_cap,in_loan_lap_approval*INDEX('Age profile'!$O$2:$O$61,B1352)*(1+in_approval_growth)^(D1352-1))</f>
        <v/>
      </c>
      <c r="CD1352" s="14">
        <f>F1352*CB1352*IF(B1352&gt;=in_marketplace_from,d_hz_loan_lap*G1352,0)*CC1352*in_loan_lap_ticket*in_loan_lap_comm</f>
        <v/>
      </c>
      <c r="CE1352" s="14">
        <f>AA1352+AB1352+AC1352+AD1352+AG1352+AJ1352+AM1352+AP1352+AS1352+AU1352+AX1352+BB1352+BE1352+BG1352+BJ1352+BL1352+BO1352+BR1352+BT1352+BV1352+BX1352+CA1352+CD1352</f>
        <v/>
      </c>
    </row>
    <row r="1353">
      <c r="A1353" s="39" t="n">
        <v>30</v>
      </c>
      <c r="B1353" s="39" t="n">
        <v>18</v>
      </c>
      <c r="C1353" s="39">
        <f>A1353+B1353-1</f>
        <v/>
      </c>
      <c r="D1353" s="39">
        <f>INT((C1353-1)/12)+1</f>
        <v/>
      </c>
      <c r="E1353" s="44">
        <f>INDEX(Monthly!$B$2:$B$61,A1353)</f>
        <v/>
      </c>
      <c r="F1353" s="44">
        <f>E1353*INDEX('Age profile'!$B$2:$B$61,B1353)</f>
        <v/>
      </c>
      <c r="G1353" s="45">
        <f>MIN(in_takeup_cap,INDEX('Age profile'!$N$2:$N$61,B1353)*(1+in_takeup_growth)^(D1353-1))</f>
        <v/>
      </c>
      <c r="H1353" s="11">
        <f>MIN(in_approval_cap,in_approved_first*INDEX('Age profile'!$O$2:$O$61,B1353)*(1+in_approval_growth)^(D1353-1))</f>
        <v/>
      </c>
      <c r="I1353" s="45">
        <f>G1353*MIN(in_takeup_cap,INDEX('Age profile'!$O$2:$O$61,B1353)*(1+in_approval_growth)^(D1353-1))</f>
        <v/>
      </c>
      <c r="J1353" s="40">
        <f>(J1352-L1352)*F1353/F1352</f>
        <v/>
      </c>
      <c r="K1353" s="40">
        <f>(K1352-M1352)*F1353/F1352+SUMIFS(O1336:O1352,B1336:B1352,B1353-1-d_T)*F1353</f>
        <v/>
      </c>
      <c r="L1353" s="40">
        <f>IF(B1353&gt;=in_marketplace_from,J1353*d_hz*G1353*in_eligible*H1353,0)</f>
        <v/>
      </c>
      <c r="M1353" s="40">
        <f>IF(B1353&gt;=in_marketplace_from,K1353*d_hz*G1353*in_eligible*in_approved_repeat,0)</f>
        <v/>
      </c>
      <c r="N1353" s="40">
        <f>L1353+M1353</f>
        <v/>
      </c>
      <c r="O1353" s="46">
        <f>N1353/F1353</f>
        <v/>
      </c>
      <c r="P1353" s="40">
        <f>F1353-J1353-K1353</f>
        <v/>
      </c>
      <c r="Q1353" s="40">
        <f>IF(B1353&gt;=in_marketplace_from,(J1353+K1353)*d_hz*G1353,0)</f>
        <v/>
      </c>
      <c r="R1353" s="40">
        <f>SUMIFS(N1336:N1366,B1336:B1366,"&gt;="&amp;(B1353-d_T),B1336:B1366,"&lt;="&amp;(B1353-1))</f>
        <v/>
      </c>
      <c r="S1353" s="46">
        <f>(1-d_u)*S1352+IF(d_T&gt;in_topup_lag,SUMIFS(O1336:O1366,B1336:B1366,B1353-in_topup_lag)-d_udrop*SUMIFS(O1336:O1366,B1336:B1366,B1353-d_T),0)</f>
        <v/>
      </c>
      <c r="T1353" s="40">
        <f>F1353*d_u*S1353</f>
        <v/>
      </c>
      <c r="U1353" s="9">
        <f>L1353*in_ticket+M1353*d_rep_ticket</f>
        <v/>
      </c>
      <c r="V1353" s="9">
        <f>U1353+T1353*d_topup_amt</f>
        <v/>
      </c>
      <c r="W1353" s="40">
        <f>N1353+T1353*d_topup_ratio</f>
        <v/>
      </c>
      <c r="X1353" s="40">
        <f>SUMIFS(W1336:W1366,B1336:B1366,B1353-in_dpd_lag)*d_cured</f>
        <v/>
      </c>
      <c r="Y1353" s="40">
        <f>SUMIFS(W1336:W1366,B1336:B1366,B1353-in_rec_lag)*d_recd</f>
        <v/>
      </c>
      <c r="Z1353" s="40">
        <f>IF(AND(B1353&gt;=in_marketplace_from,B1353&lt;in_marketplace_from+in_card_months),in_card_share/in_card_months*F1353*I1353,IF(AND(B1353&gt;=in_marketplace_from+in_card_months,B1353&lt;in_marketplace_from+2*in_card_months),in_card_share*d_card_rem/in_card_months*F1353*MIN(in_takeup_cap,(1+in_takeup_growth)^(D1353-1))*MIN(in_takeup_cap,(1+in_approval_growth)^(D1353-1)),0))</f>
        <v/>
      </c>
      <c r="AA1353" s="14">
        <f>V1353*in_fee*(1-in_taken_back)</f>
        <v/>
      </c>
      <c r="AB1353" s="14">
        <f>SUMIFS(W1336:W1366,B1336:B1366,B1353-in_dpd_lag)*d_dpd</f>
        <v/>
      </c>
      <c r="AC1353" s="14">
        <f>SUMIFS(W1336:W1366,B1336:B1366,B1353-in_rec_lag)*d_rec</f>
        <v/>
      </c>
      <c r="AD1353" s="14">
        <f>Z1353*in_card_fee</f>
        <v/>
      </c>
      <c r="AE1353" s="40">
        <f>AE1352*(1-IF(B1352&gt;=in_marketplace_from,d_hz_hlth_small*G1352,0))</f>
        <v/>
      </c>
      <c r="AF1353" s="46">
        <f>AE1353*IF(B1353&gt;=in_marketplace_from,d_hz_hlth_small*G1353,0)</f>
        <v/>
      </c>
      <c r="AG1353" s="14">
        <f>F1353*AF1353*in_hlth_small_ticket*in_hlth_small_comm*in_ins_partner_share+F1353*in_hlth_small_ticket*in_hlth_small_renew_comm*in_ins_partner_share*(in_hlth_small_renew^1*SUMIFS(AF1336:AF1366,B1336:B1366,B1353-12)+in_hlth_small_renew^2*SUMIFS(AF1336:AF1366,B1336:B1366,B1353-24)+in_hlth_small_renew^3*SUMIFS(AF1336:AF1366,B1336:B1366,B1353-36)+in_hlth_small_renew^4*SUMIFS(AF1336:AF1366,B1336:B1366,B1353-48))</f>
        <v/>
      </c>
      <c r="AH1353" s="40">
        <f>AH1352*(1-IF(B1352&gt;=in_marketplace_from,d_hz_hlth_family*G1352,0))</f>
        <v/>
      </c>
      <c r="AI1353" s="46">
        <f>AH1353*IF(B1353&gt;=in_marketplace_from,d_hz_hlth_family*G1353,0)</f>
        <v/>
      </c>
      <c r="AJ1353" s="14">
        <f>F1353*AI1353*in_hlth_family_ticket*in_hlth_family_comm*in_ins_partner_share+F1353*in_hlth_family_ticket*in_hlth_family_renew_comm*in_ins_partner_share*(in_hlth_family_renew^1*SUMIFS(AI1336:AI1366,B1336:B1366,B1353-12)+in_hlth_family_renew^2*SUMIFS(AI1336:AI1366,B1336:B1366,B1353-24)+in_hlth_family_renew^3*SUMIFS(AI1336:AI1366,B1336:B1366,B1353-36)+in_hlth_family_renew^4*SUMIFS(AI1336:AI1366,B1336:B1366,B1353-48))</f>
        <v/>
      </c>
      <c r="AK1353" s="40">
        <f>AK1352*(1-IF(B1352&gt;=in_marketplace_from,d_hz_life_term*G1352,0))</f>
        <v/>
      </c>
      <c r="AL1353" s="46">
        <f>AK1353*IF(B1353&gt;=in_marketplace_from,d_hz_life_term*G1353,0)</f>
        <v/>
      </c>
      <c r="AM1353" s="14">
        <f>F1353*AL1353*in_life_term_ticket*in_life_term_comm*in_ins_partner_share+F1353*in_life_term_ticket*in_life_term_renew_comm*in_ins_partner_share*(in_life_term_renew^1*SUMIFS(AL1336:AL1366,B1336:B1366,B1353-12)+in_life_term_renew^2*SUMIFS(AL1336:AL1366,B1336:B1366,B1353-24)+in_life_term_renew^3*SUMIFS(AL1336:AL1366,B1336:B1366,B1353-36)+in_life_term_renew^4*SUMIFS(AL1336:AL1366,B1336:B1366,B1353-48))</f>
        <v/>
      </c>
      <c r="AN1353" s="40">
        <f>AN1352*(1-IF(B1352&gt;=in_marketplace_from,d_hz_accident*G1352,0))</f>
        <v/>
      </c>
      <c r="AO1353" s="46">
        <f>AN1353*IF(B1353&gt;=in_marketplace_from,d_hz_accident*G1353,0)</f>
        <v/>
      </c>
      <c r="AP1353" s="14">
        <f>F1353*AO1353*in_accident_ticket*in_accident_comm*in_ins_partner_share+F1353*in_accident_ticket*in_accident_renew_comm*in_ins_partner_share*(in_accident_renew^1*SUMIFS(AO1336:AO1366,B1336:B1366,B1353-12)+in_accident_renew^2*SUMIFS(AO1336:AO1366,B1336:B1366,B1353-24)+in_accident_renew^3*SUMIFS(AO1336:AO1366,B1336:B1366,B1353-36)+in_accident_renew^4*SUMIFS(AO1336:AO1366,B1336:B1366,B1353-48))</f>
        <v/>
      </c>
      <c r="AQ1353" s="40">
        <f>AQ1352*(1-IF(B1352&gt;=in_marketplace_from,d_hz_two_wheeler*G1352,0))</f>
        <v/>
      </c>
      <c r="AR1353" s="46">
        <f>AQ1353*IF(B1353&gt;=in_marketplace_from,d_hz_two_wheeler*G1353,0)</f>
        <v/>
      </c>
      <c r="AS1353" s="14">
        <f>F1353*AR1353*in_two_wheeler_ticket*in_two_wheeler_comm*in_ins_partner_share+F1353*in_two_wheeler_ticket*in_two_wheeler_comm*in_ins_partner_share*(in_two_wheeler_renew^1*SUMIFS(AR1336:AR1366,B1336:B1366,B1353-12)+in_two_wheeler_renew^2*SUMIFS(AR1336:AR1366,B1336:B1366,B1353-24)+in_two_wheeler_renew^3*SUMIFS(AR1336:AR1366,B1336:B1366,B1353-36)+in_two_wheeler_renew^4*SUMIFS(AR1336:AR1366,B1336:B1366,B1353-48))</f>
        <v/>
      </c>
      <c r="AT1353" s="40">
        <f>AT1352*(1-IF(B1352&gt;=in_marketplace_from,d_hz_device*G1352,0))</f>
        <v/>
      </c>
      <c r="AU1353" s="14">
        <f>F1353*AT1353*IF(B1353&gt;=in_marketplace_from,d_hz_device*G1353,0)*in_device_ticket*in_device_comm*in_ins_partner_share</f>
        <v/>
      </c>
      <c r="AV1353" s="40">
        <f>AV1352*(1-IF(B1352&gt;=in_marketplace_from,d_hz_shop*G1352,0))</f>
        <v/>
      </c>
      <c r="AW1353" s="46">
        <f>AV1353*IF(B1353&gt;=in_marketplace_from,d_hz_shop*G1353,0)</f>
        <v/>
      </c>
      <c r="AX1353" s="14">
        <f>F1353*AW1353*in_shop_ticket*in_shop_comm*in_ins_partner_share+F1353*in_shop_ticket*in_shop_renew_comm*in_ins_partner_share*(in_shop_renew^1*SUMIFS(AW1336:AW1366,B1336:B1366,B1353-12)+in_shop_renew^2*SUMIFS(AW1336:AW1366,B1336:B1366,B1353-24)+in_shop_renew^3*SUMIFS(AW1336:AW1366,B1336:B1366,B1353-36)+in_shop_renew^4*SUMIFS(AW1336:AW1366,B1336:B1366,B1353-48))</f>
        <v/>
      </c>
      <c r="AY1353" s="40">
        <f>AY1352*(1-IF(B1352&gt;=in_marketplace_from,d_hz_sip*G1352,0))</f>
        <v/>
      </c>
      <c r="AZ1353" s="40">
        <f>AZ1352*d_rho_sip+AY1353*IF(B1353&gt;=in_marketplace_from,d_hz_sip*G1353,0)</f>
        <v/>
      </c>
      <c r="BA1353" s="40">
        <f>d_rho_sip*(BA1352+AZ1352)</f>
        <v/>
      </c>
      <c r="BB1353" s="14">
        <f>F1353*in_sip_ticket*(BA1353+0.5*AZ1353)*in_sip_comm/12</f>
        <v/>
      </c>
      <c r="BC1353" s="40">
        <f>BC1352*(1-IF(B1352&gt;=in_marketplace_from,d_hz_choti*G1352,0))</f>
        <v/>
      </c>
      <c r="BD1353" s="46">
        <f>BC1353*IF(B1353&gt;=in_marketplace_from,d_hz_choti*G1353,0)</f>
        <v/>
      </c>
      <c r="BE1353" s="14">
        <f>F1353*SUMIFS(BD1336:BD1366,B1336:B1366,B1353-in_choti_months)*in_choti_renew*in_choti_ticket</f>
        <v/>
      </c>
      <c r="BF1353" s="40">
        <f>BF1352*(1-IF(B1352&gt;=in_marketplace_from,d_hz_nps*G1352,0))</f>
        <v/>
      </c>
      <c r="BG1353" s="14">
        <f>F1353*BF1353*IF(B1353&gt;=in_marketplace_from,d_hz_nps*G1353,0)*in_nps_ticket*in_nps_comm</f>
        <v/>
      </c>
      <c r="BH1353" s="40">
        <f>BH1352*(1-IF(B1352&gt;=in_marketplace_from,d_hz_gold*G1352,0))</f>
        <v/>
      </c>
      <c r="BI1353" s="40">
        <f>BI1352*d_rho_gold+BH1353*IF(B1353&gt;=in_marketplace_from,d_hz_gold*G1353,0)</f>
        <v/>
      </c>
      <c r="BJ1353" s="14">
        <f>F1353*BI1353*in_gold_ticket*in_gold_comm</f>
        <v/>
      </c>
      <c r="BK1353" s="40">
        <f>BK1352*(1-IF(B1352&gt;=in_marketplace_from,d_hz_fd*G1352,0))</f>
        <v/>
      </c>
      <c r="BL1353" s="14">
        <f>F1353*BK1353*IF(B1353&gt;=in_marketplace_from,d_hz_fd*G1353,0)*in_fd_ticket*in_fd_comm</f>
        <v/>
      </c>
      <c r="BM1353" s="40">
        <f>BM1352*(1-IF(B1352&gt;=in_marketplace_from,d_hz_recharge*G1352,0))</f>
        <v/>
      </c>
      <c r="BN1353" s="40">
        <f>BN1352*d_rho_recharge+BM1353*IF(B1353&gt;=in_marketplace_from,d_hz_recharge*G1353,0)</f>
        <v/>
      </c>
      <c r="BO1353" s="14">
        <f>F1353*BN1353*in_recharge_ticket*in_recharge_comm/12</f>
        <v/>
      </c>
      <c r="BP1353" s="40">
        <f>BP1352*(1-IF(B1352&gt;=in_marketplace_from,d_hz_bills*G1352,0))</f>
        <v/>
      </c>
      <c r="BQ1353" s="40">
        <f>BQ1352*d_rho_bills+BP1353*IF(B1353&gt;=in_marketplace_from,d_hz_bills*G1353,0)</f>
        <v/>
      </c>
      <c r="BR1353" s="14">
        <f>F1353*BQ1353*in_bills_ticket*in_bills_comm/12</f>
        <v/>
      </c>
      <c r="BS1353" s="40">
        <f>BS1352*(1-IF(B1352&gt;=in_marketplace_from,d_hz_loan_gold*G1352,0))</f>
        <v/>
      </c>
      <c r="BT1353" s="14">
        <f>F1353*BS1353*IF(B1353&gt;=in_marketplace_from,d_hz_loan_gold*G1353,0)*in_loan_gold_ticket*in_loan_gold_comm</f>
        <v/>
      </c>
      <c r="BU1353" s="40">
        <f>BU1352*(1-IF(B1352&gt;=in_marketplace_from,d_hz_loan_cd*G1352,0))</f>
        <v/>
      </c>
      <c r="BV1353" s="14">
        <f>F1353*BU1353*IF(B1353&gt;=in_marketplace_from,d_hz_loan_cd*G1353,0)*in_loan_cd_ticket*in_loan_cd_comm</f>
        <v/>
      </c>
      <c r="BW1353" s="40">
        <f>BW1352*(1-IF(B1352&gt;=in_marketplace_from,d_hz_loan_vehicle*G1352,0))</f>
        <v/>
      </c>
      <c r="BX1353" s="14">
        <f>F1353*BW1353*IF(B1353&gt;=in_marketplace_from,d_hz_loan_vehicle*G1353,0)*in_loan_vehicle_ticket*in_loan_vehicle_comm</f>
        <v/>
      </c>
      <c r="BY1353" s="40">
        <f>BY1352*(1-IF(B1352&gt;=in_marketplace_from,d_hz_loan_home*G1352,0)*BZ1352)</f>
        <v/>
      </c>
      <c r="BZ1353" s="11">
        <f>MIN(in_approval_cap,in_loan_home_approval*INDEX('Age profile'!$O$2:$O$61,B1353)*(1+in_approval_growth)^(D1353-1))</f>
        <v/>
      </c>
      <c r="CA1353" s="14">
        <f>F1353*BY1353*IF(B1353&gt;=in_marketplace_from,d_hz_loan_home*G1353,0)*BZ1353*in_loan_home_ticket*in_loan_home_comm</f>
        <v/>
      </c>
      <c r="CB1353" s="40">
        <f>CB1352*(1-IF(B1352&gt;=in_marketplace_from,d_hz_loan_lap*G1352,0)*CC1352)</f>
        <v/>
      </c>
      <c r="CC1353" s="11">
        <f>MIN(in_approval_cap,in_loan_lap_approval*INDEX('Age profile'!$O$2:$O$61,B1353)*(1+in_approval_growth)^(D1353-1))</f>
        <v/>
      </c>
      <c r="CD1353" s="14">
        <f>F1353*CB1353*IF(B1353&gt;=in_marketplace_from,d_hz_loan_lap*G1353,0)*CC1353*in_loan_lap_ticket*in_loan_lap_comm</f>
        <v/>
      </c>
      <c r="CE1353" s="14">
        <f>AA1353+AB1353+AC1353+AD1353+AG1353+AJ1353+AM1353+AP1353+AS1353+AU1353+AX1353+BB1353+BE1353+BG1353+BJ1353+BL1353+BO1353+BR1353+BT1353+BV1353+BX1353+CA1353+CD1353</f>
        <v/>
      </c>
    </row>
    <row r="1354">
      <c r="A1354" s="39" t="n">
        <v>30</v>
      </c>
      <c r="B1354" s="39" t="n">
        <v>19</v>
      </c>
      <c r="C1354" s="39">
        <f>A1354+B1354-1</f>
        <v/>
      </c>
      <c r="D1354" s="39">
        <f>INT((C1354-1)/12)+1</f>
        <v/>
      </c>
      <c r="E1354" s="44">
        <f>INDEX(Monthly!$B$2:$B$61,A1354)</f>
        <v/>
      </c>
      <c r="F1354" s="44">
        <f>E1354*INDEX('Age profile'!$B$2:$B$61,B1354)</f>
        <v/>
      </c>
      <c r="G1354" s="45">
        <f>MIN(in_takeup_cap,INDEX('Age profile'!$N$2:$N$61,B1354)*(1+in_takeup_growth)^(D1354-1))</f>
        <v/>
      </c>
      <c r="H1354" s="11">
        <f>MIN(in_approval_cap,in_approved_first*INDEX('Age profile'!$O$2:$O$61,B1354)*(1+in_approval_growth)^(D1354-1))</f>
        <v/>
      </c>
      <c r="I1354" s="45">
        <f>G1354*MIN(in_takeup_cap,INDEX('Age profile'!$O$2:$O$61,B1354)*(1+in_approval_growth)^(D1354-1))</f>
        <v/>
      </c>
      <c r="J1354" s="40">
        <f>(J1353-L1353)*F1354/F1353</f>
        <v/>
      </c>
      <c r="K1354" s="40">
        <f>(K1353-M1353)*F1354/F1353+SUMIFS(O1336:O1353,B1336:B1353,B1354-1-d_T)*F1354</f>
        <v/>
      </c>
      <c r="L1354" s="40">
        <f>IF(B1354&gt;=in_marketplace_from,J1354*d_hz*G1354*in_eligible*H1354,0)</f>
        <v/>
      </c>
      <c r="M1354" s="40">
        <f>IF(B1354&gt;=in_marketplace_from,K1354*d_hz*G1354*in_eligible*in_approved_repeat,0)</f>
        <v/>
      </c>
      <c r="N1354" s="40">
        <f>L1354+M1354</f>
        <v/>
      </c>
      <c r="O1354" s="46">
        <f>N1354/F1354</f>
        <v/>
      </c>
      <c r="P1354" s="40">
        <f>F1354-J1354-K1354</f>
        <v/>
      </c>
      <c r="Q1354" s="40">
        <f>IF(B1354&gt;=in_marketplace_from,(J1354+K1354)*d_hz*G1354,0)</f>
        <v/>
      </c>
      <c r="R1354" s="40">
        <f>SUMIFS(N1336:N1366,B1336:B1366,"&gt;="&amp;(B1354-d_T),B1336:B1366,"&lt;="&amp;(B1354-1))</f>
        <v/>
      </c>
      <c r="S1354" s="46">
        <f>(1-d_u)*S1353+IF(d_T&gt;in_topup_lag,SUMIFS(O1336:O1366,B1336:B1366,B1354-in_topup_lag)-d_udrop*SUMIFS(O1336:O1366,B1336:B1366,B1354-d_T),0)</f>
        <v/>
      </c>
      <c r="T1354" s="40">
        <f>F1354*d_u*S1354</f>
        <v/>
      </c>
      <c r="U1354" s="9">
        <f>L1354*in_ticket+M1354*d_rep_ticket</f>
        <v/>
      </c>
      <c r="V1354" s="9">
        <f>U1354+T1354*d_topup_amt</f>
        <v/>
      </c>
      <c r="W1354" s="40">
        <f>N1354+T1354*d_topup_ratio</f>
        <v/>
      </c>
      <c r="X1354" s="40">
        <f>SUMIFS(W1336:W1366,B1336:B1366,B1354-in_dpd_lag)*d_cured</f>
        <v/>
      </c>
      <c r="Y1354" s="40">
        <f>SUMIFS(W1336:W1366,B1336:B1366,B1354-in_rec_lag)*d_recd</f>
        <v/>
      </c>
      <c r="Z1354" s="40">
        <f>IF(AND(B1354&gt;=in_marketplace_from,B1354&lt;in_marketplace_from+in_card_months),in_card_share/in_card_months*F1354*I1354,IF(AND(B1354&gt;=in_marketplace_from+in_card_months,B1354&lt;in_marketplace_from+2*in_card_months),in_card_share*d_card_rem/in_card_months*F1354*MIN(in_takeup_cap,(1+in_takeup_growth)^(D1354-1))*MIN(in_takeup_cap,(1+in_approval_growth)^(D1354-1)),0))</f>
        <v/>
      </c>
      <c r="AA1354" s="14">
        <f>V1354*in_fee*(1-in_taken_back)</f>
        <v/>
      </c>
      <c r="AB1354" s="14">
        <f>SUMIFS(W1336:W1366,B1336:B1366,B1354-in_dpd_lag)*d_dpd</f>
        <v/>
      </c>
      <c r="AC1354" s="14">
        <f>SUMIFS(W1336:W1366,B1336:B1366,B1354-in_rec_lag)*d_rec</f>
        <v/>
      </c>
      <c r="AD1354" s="14">
        <f>Z1354*in_card_fee</f>
        <v/>
      </c>
      <c r="AE1354" s="40">
        <f>AE1353*(1-IF(B1353&gt;=in_marketplace_from,d_hz_hlth_small*G1353,0))</f>
        <v/>
      </c>
      <c r="AF1354" s="46">
        <f>AE1354*IF(B1354&gt;=in_marketplace_from,d_hz_hlth_small*G1354,0)</f>
        <v/>
      </c>
      <c r="AG1354" s="14">
        <f>F1354*AF1354*in_hlth_small_ticket*in_hlth_small_comm*in_ins_partner_share+F1354*in_hlth_small_ticket*in_hlth_small_renew_comm*in_ins_partner_share*(in_hlth_small_renew^1*SUMIFS(AF1336:AF1366,B1336:B1366,B1354-12)+in_hlth_small_renew^2*SUMIFS(AF1336:AF1366,B1336:B1366,B1354-24)+in_hlth_small_renew^3*SUMIFS(AF1336:AF1366,B1336:B1366,B1354-36)+in_hlth_small_renew^4*SUMIFS(AF1336:AF1366,B1336:B1366,B1354-48))</f>
        <v/>
      </c>
      <c r="AH1354" s="40">
        <f>AH1353*(1-IF(B1353&gt;=in_marketplace_from,d_hz_hlth_family*G1353,0))</f>
        <v/>
      </c>
      <c r="AI1354" s="46">
        <f>AH1354*IF(B1354&gt;=in_marketplace_from,d_hz_hlth_family*G1354,0)</f>
        <v/>
      </c>
      <c r="AJ1354" s="14">
        <f>F1354*AI1354*in_hlth_family_ticket*in_hlth_family_comm*in_ins_partner_share+F1354*in_hlth_family_ticket*in_hlth_family_renew_comm*in_ins_partner_share*(in_hlth_family_renew^1*SUMIFS(AI1336:AI1366,B1336:B1366,B1354-12)+in_hlth_family_renew^2*SUMIFS(AI1336:AI1366,B1336:B1366,B1354-24)+in_hlth_family_renew^3*SUMIFS(AI1336:AI1366,B1336:B1366,B1354-36)+in_hlth_family_renew^4*SUMIFS(AI1336:AI1366,B1336:B1366,B1354-48))</f>
        <v/>
      </c>
      <c r="AK1354" s="40">
        <f>AK1353*(1-IF(B1353&gt;=in_marketplace_from,d_hz_life_term*G1353,0))</f>
        <v/>
      </c>
      <c r="AL1354" s="46">
        <f>AK1354*IF(B1354&gt;=in_marketplace_from,d_hz_life_term*G1354,0)</f>
        <v/>
      </c>
      <c r="AM1354" s="14">
        <f>F1354*AL1354*in_life_term_ticket*in_life_term_comm*in_ins_partner_share+F1354*in_life_term_ticket*in_life_term_renew_comm*in_ins_partner_share*(in_life_term_renew^1*SUMIFS(AL1336:AL1366,B1336:B1366,B1354-12)+in_life_term_renew^2*SUMIFS(AL1336:AL1366,B1336:B1366,B1354-24)+in_life_term_renew^3*SUMIFS(AL1336:AL1366,B1336:B1366,B1354-36)+in_life_term_renew^4*SUMIFS(AL1336:AL1366,B1336:B1366,B1354-48))</f>
        <v/>
      </c>
      <c r="AN1354" s="40">
        <f>AN1353*(1-IF(B1353&gt;=in_marketplace_from,d_hz_accident*G1353,0))</f>
        <v/>
      </c>
      <c r="AO1354" s="46">
        <f>AN1354*IF(B1354&gt;=in_marketplace_from,d_hz_accident*G1354,0)</f>
        <v/>
      </c>
      <c r="AP1354" s="14">
        <f>F1354*AO1354*in_accident_ticket*in_accident_comm*in_ins_partner_share+F1354*in_accident_ticket*in_accident_renew_comm*in_ins_partner_share*(in_accident_renew^1*SUMIFS(AO1336:AO1366,B1336:B1366,B1354-12)+in_accident_renew^2*SUMIFS(AO1336:AO1366,B1336:B1366,B1354-24)+in_accident_renew^3*SUMIFS(AO1336:AO1366,B1336:B1366,B1354-36)+in_accident_renew^4*SUMIFS(AO1336:AO1366,B1336:B1366,B1354-48))</f>
        <v/>
      </c>
      <c r="AQ1354" s="40">
        <f>AQ1353*(1-IF(B1353&gt;=in_marketplace_from,d_hz_two_wheeler*G1353,0))</f>
        <v/>
      </c>
      <c r="AR1354" s="46">
        <f>AQ1354*IF(B1354&gt;=in_marketplace_from,d_hz_two_wheeler*G1354,0)</f>
        <v/>
      </c>
      <c r="AS1354" s="14">
        <f>F1354*AR1354*in_two_wheeler_ticket*in_two_wheeler_comm*in_ins_partner_share+F1354*in_two_wheeler_ticket*in_two_wheeler_comm*in_ins_partner_share*(in_two_wheeler_renew^1*SUMIFS(AR1336:AR1366,B1336:B1366,B1354-12)+in_two_wheeler_renew^2*SUMIFS(AR1336:AR1366,B1336:B1366,B1354-24)+in_two_wheeler_renew^3*SUMIFS(AR1336:AR1366,B1336:B1366,B1354-36)+in_two_wheeler_renew^4*SUMIFS(AR1336:AR1366,B1336:B1366,B1354-48))</f>
        <v/>
      </c>
      <c r="AT1354" s="40">
        <f>AT1353*(1-IF(B1353&gt;=in_marketplace_from,d_hz_device*G1353,0))</f>
        <v/>
      </c>
      <c r="AU1354" s="14">
        <f>F1354*AT1354*IF(B1354&gt;=in_marketplace_from,d_hz_device*G1354,0)*in_device_ticket*in_device_comm*in_ins_partner_share</f>
        <v/>
      </c>
      <c r="AV1354" s="40">
        <f>AV1353*(1-IF(B1353&gt;=in_marketplace_from,d_hz_shop*G1353,0))</f>
        <v/>
      </c>
      <c r="AW1354" s="46">
        <f>AV1354*IF(B1354&gt;=in_marketplace_from,d_hz_shop*G1354,0)</f>
        <v/>
      </c>
      <c r="AX1354" s="14">
        <f>F1354*AW1354*in_shop_ticket*in_shop_comm*in_ins_partner_share+F1354*in_shop_ticket*in_shop_renew_comm*in_ins_partner_share*(in_shop_renew^1*SUMIFS(AW1336:AW1366,B1336:B1366,B1354-12)+in_shop_renew^2*SUMIFS(AW1336:AW1366,B1336:B1366,B1354-24)+in_shop_renew^3*SUMIFS(AW1336:AW1366,B1336:B1366,B1354-36)+in_shop_renew^4*SUMIFS(AW1336:AW1366,B1336:B1366,B1354-48))</f>
        <v/>
      </c>
      <c r="AY1354" s="40">
        <f>AY1353*(1-IF(B1353&gt;=in_marketplace_from,d_hz_sip*G1353,0))</f>
        <v/>
      </c>
      <c r="AZ1354" s="40">
        <f>AZ1353*d_rho_sip+AY1354*IF(B1354&gt;=in_marketplace_from,d_hz_sip*G1354,0)</f>
        <v/>
      </c>
      <c r="BA1354" s="40">
        <f>d_rho_sip*(BA1353+AZ1353)</f>
        <v/>
      </c>
      <c r="BB1354" s="14">
        <f>F1354*in_sip_ticket*(BA1354+0.5*AZ1354)*in_sip_comm/12</f>
        <v/>
      </c>
      <c r="BC1354" s="40">
        <f>BC1353*(1-IF(B1353&gt;=in_marketplace_from,d_hz_choti*G1353,0))</f>
        <v/>
      </c>
      <c r="BD1354" s="46">
        <f>BC1354*IF(B1354&gt;=in_marketplace_from,d_hz_choti*G1354,0)</f>
        <v/>
      </c>
      <c r="BE1354" s="14">
        <f>F1354*SUMIFS(BD1336:BD1366,B1336:B1366,B1354-in_choti_months)*in_choti_renew*in_choti_ticket</f>
        <v/>
      </c>
      <c r="BF1354" s="40">
        <f>BF1353*(1-IF(B1353&gt;=in_marketplace_from,d_hz_nps*G1353,0))</f>
        <v/>
      </c>
      <c r="BG1354" s="14">
        <f>F1354*BF1354*IF(B1354&gt;=in_marketplace_from,d_hz_nps*G1354,0)*in_nps_ticket*in_nps_comm</f>
        <v/>
      </c>
      <c r="BH1354" s="40">
        <f>BH1353*(1-IF(B1353&gt;=in_marketplace_from,d_hz_gold*G1353,0))</f>
        <v/>
      </c>
      <c r="BI1354" s="40">
        <f>BI1353*d_rho_gold+BH1354*IF(B1354&gt;=in_marketplace_from,d_hz_gold*G1354,0)</f>
        <v/>
      </c>
      <c r="BJ1354" s="14">
        <f>F1354*BI1354*in_gold_ticket*in_gold_comm</f>
        <v/>
      </c>
      <c r="BK1354" s="40">
        <f>BK1353*(1-IF(B1353&gt;=in_marketplace_from,d_hz_fd*G1353,0))</f>
        <v/>
      </c>
      <c r="BL1354" s="14">
        <f>F1354*BK1354*IF(B1354&gt;=in_marketplace_from,d_hz_fd*G1354,0)*in_fd_ticket*in_fd_comm</f>
        <v/>
      </c>
      <c r="BM1354" s="40">
        <f>BM1353*(1-IF(B1353&gt;=in_marketplace_from,d_hz_recharge*G1353,0))</f>
        <v/>
      </c>
      <c r="BN1354" s="40">
        <f>BN1353*d_rho_recharge+BM1354*IF(B1354&gt;=in_marketplace_from,d_hz_recharge*G1354,0)</f>
        <v/>
      </c>
      <c r="BO1354" s="14">
        <f>F1354*BN1354*in_recharge_ticket*in_recharge_comm/12</f>
        <v/>
      </c>
      <c r="BP1354" s="40">
        <f>BP1353*(1-IF(B1353&gt;=in_marketplace_from,d_hz_bills*G1353,0))</f>
        <v/>
      </c>
      <c r="BQ1354" s="40">
        <f>BQ1353*d_rho_bills+BP1354*IF(B1354&gt;=in_marketplace_from,d_hz_bills*G1354,0)</f>
        <v/>
      </c>
      <c r="BR1354" s="14">
        <f>F1354*BQ1354*in_bills_ticket*in_bills_comm/12</f>
        <v/>
      </c>
      <c r="BS1354" s="40">
        <f>BS1353*(1-IF(B1353&gt;=in_marketplace_from,d_hz_loan_gold*G1353,0))</f>
        <v/>
      </c>
      <c r="BT1354" s="14">
        <f>F1354*BS1354*IF(B1354&gt;=in_marketplace_from,d_hz_loan_gold*G1354,0)*in_loan_gold_ticket*in_loan_gold_comm</f>
        <v/>
      </c>
      <c r="BU1354" s="40">
        <f>BU1353*(1-IF(B1353&gt;=in_marketplace_from,d_hz_loan_cd*G1353,0))</f>
        <v/>
      </c>
      <c r="BV1354" s="14">
        <f>F1354*BU1354*IF(B1354&gt;=in_marketplace_from,d_hz_loan_cd*G1354,0)*in_loan_cd_ticket*in_loan_cd_comm</f>
        <v/>
      </c>
      <c r="BW1354" s="40">
        <f>BW1353*(1-IF(B1353&gt;=in_marketplace_from,d_hz_loan_vehicle*G1353,0))</f>
        <v/>
      </c>
      <c r="BX1354" s="14">
        <f>F1354*BW1354*IF(B1354&gt;=in_marketplace_from,d_hz_loan_vehicle*G1354,0)*in_loan_vehicle_ticket*in_loan_vehicle_comm</f>
        <v/>
      </c>
      <c r="BY1354" s="40">
        <f>BY1353*(1-IF(B1353&gt;=in_marketplace_from,d_hz_loan_home*G1353,0)*BZ1353)</f>
        <v/>
      </c>
      <c r="BZ1354" s="11">
        <f>MIN(in_approval_cap,in_loan_home_approval*INDEX('Age profile'!$O$2:$O$61,B1354)*(1+in_approval_growth)^(D1354-1))</f>
        <v/>
      </c>
      <c r="CA1354" s="14">
        <f>F1354*BY1354*IF(B1354&gt;=in_marketplace_from,d_hz_loan_home*G1354,0)*BZ1354*in_loan_home_ticket*in_loan_home_comm</f>
        <v/>
      </c>
      <c r="CB1354" s="40">
        <f>CB1353*(1-IF(B1353&gt;=in_marketplace_from,d_hz_loan_lap*G1353,0)*CC1353)</f>
        <v/>
      </c>
      <c r="CC1354" s="11">
        <f>MIN(in_approval_cap,in_loan_lap_approval*INDEX('Age profile'!$O$2:$O$61,B1354)*(1+in_approval_growth)^(D1354-1))</f>
        <v/>
      </c>
      <c r="CD1354" s="14">
        <f>F1354*CB1354*IF(B1354&gt;=in_marketplace_from,d_hz_loan_lap*G1354,0)*CC1354*in_loan_lap_ticket*in_loan_lap_comm</f>
        <v/>
      </c>
      <c r="CE1354" s="14">
        <f>AA1354+AB1354+AC1354+AD1354+AG1354+AJ1354+AM1354+AP1354+AS1354+AU1354+AX1354+BB1354+BE1354+BG1354+BJ1354+BL1354+BO1354+BR1354+BT1354+BV1354+BX1354+CA1354+CD1354</f>
        <v/>
      </c>
    </row>
    <row r="1355">
      <c r="A1355" s="39" t="n">
        <v>30</v>
      </c>
      <c r="B1355" s="39" t="n">
        <v>20</v>
      </c>
      <c r="C1355" s="39">
        <f>A1355+B1355-1</f>
        <v/>
      </c>
      <c r="D1355" s="39">
        <f>INT((C1355-1)/12)+1</f>
        <v/>
      </c>
      <c r="E1355" s="44">
        <f>INDEX(Monthly!$B$2:$B$61,A1355)</f>
        <v/>
      </c>
      <c r="F1355" s="44">
        <f>E1355*INDEX('Age profile'!$B$2:$B$61,B1355)</f>
        <v/>
      </c>
      <c r="G1355" s="45">
        <f>MIN(in_takeup_cap,INDEX('Age profile'!$N$2:$N$61,B1355)*(1+in_takeup_growth)^(D1355-1))</f>
        <v/>
      </c>
      <c r="H1355" s="11">
        <f>MIN(in_approval_cap,in_approved_first*INDEX('Age profile'!$O$2:$O$61,B1355)*(1+in_approval_growth)^(D1355-1))</f>
        <v/>
      </c>
      <c r="I1355" s="45">
        <f>G1355*MIN(in_takeup_cap,INDEX('Age profile'!$O$2:$O$61,B1355)*(1+in_approval_growth)^(D1355-1))</f>
        <v/>
      </c>
      <c r="J1355" s="40">
        <f>(J1354-L1354)*F1355/F1354</f>
        <v/>
      </c>
      <c r="K1355" s="40">
        <f>(K1354-M1354)*F1355/F1354+SUMIFS(O1336:O1354,B1336:B1354,B1355-1-d_T)*F1355</f>
        <v/>
      </c>
      <c r="L1355" s="40">
        <f>IF(B1355&gt;=in_marketplace_from,J1355*d_hz*G1355*in_eligible*H1355,0)</f>
        <v/>
      </c>
      <c r="M1355" s="40">
        <f>IF(B1355&gt;=in_marketplace_from,K1355*d_hz*G1355*in_eligible*in_approved_repeat,0)</f>
        <v/>
      </c>
      <c r="N1355" s="40">
        <f>L1355+M1355</f>
        <v/>
      </c>
      <c r="O1355" s="46">
        <f>N1355/F1355</f>
        <v/>
      </c>
      <c r="P1355" s="40">
        <f>F1355-J1355-K1355</f>
        <v/>
      </c>
      <c r="Q1355" s="40">
        <f>IF(B1355&gt;=in_marketplace_from,(J1355+K1355)*d_hz*G1355,0)</f>
        <v/>
      </c>
      <c r="R1355" s="40">
        <f>SUMIFS(N1336:N1366,B1336:B1366,"&gt;="&amp;(B1355-d_T),B1336:B1366,"&lt;="&amp;(B1355-1))</f>
        <v/>
      </c>
      <c r="S1355" s="46">
        <f>(1-d_u)*S1354+IF(d_T&gt;in_topup_lag,SUMIFS(O1336:O1366,B1336:B1366,B1355-in_topup_lag)-d_udrop*SUMIFS(O1336:O1366,B1336:B1366,B1355-d_T),0)</f>
        <v/>
      </c>
      <c r="T1355" s="40">
        <f>F1355*d_u*S1355</f>
        <v/>
      </c>
      <c r="U1355" s="9">
        <f>L1355*in_ticket+M1355*d_rep_ticket</f>
        <v/>
      </c>
      <c r="V1355" s="9">
        <f>U1355+T1355*d_topup_amt</f>
        <v/>
      </c>
      <c r="W1355" s="40">
        <f>N1355+T1355*d_topup_ratio</f>
        <v/>
      </c>
      <c r="X1355" s="40">
        <f>SUMIFS(W1336:W1366,B1336:B1366,B1355-in_dpd_lag)*d_cured</f>
        <v/>
      </c>
      <c r="Y1355" s="40">
        <f>SUMIFS(W1336:W1366,B1336:B1366,B1355-in_rec_lag)*d_recd</f>
        <v/>
      </c>
      <c r="Z1355" s="40">
        <f>IF(AND(B1355&gt;=in_marketplace_from,B1355&lt;in_marketplace_from+in_card_months),in_card_share/in_card_months*F1355*I1355,IF(AND(B1355&gt;=in_marketplace_from+in_card_months,B1355&lt;in_marketplace_from+2*in_card_months),in_card_share*d_card_rem/in_card_months*F1355*MIN(in_takeup_cap,(1+in_takeup_growth)^(D1355-1))*MIN(in_takeup_cap,(1+in_approval_growth)^(D1355-1)),0))</f>
        <v/>
      </c>
      <c r="AA1355" s="14">
        <f>V1355*in_fee*(1-in_taken_back)</f>
        <v/>
      </c>
      <c r="AB1355" s="14">
        <f>SUMIFS(W1336:W1366,B1336:B1366,B1355-in_dpd_lag)*d_dpd</f>
        <v/>
      </c>
      <c r="AC1355" s="14">
        <f>SUMIFS(W1336:W1366,B1336:B1366,B1355-in_rec_lag)*d_rec</f>
        <v/>
      </c>
      <c r="AD1355" s="14">
        <f>Z1355*in_card_fee</f>
        <v/>
      </c>
      <c r="AE1355" s="40">
        <f>AE1354*(1-IF(B1354&gt;=in_marketplace_from,d_hz_hlth_small*G1354,0))</f>
        <v/>
      </c>
      <c r="AF1355" s="46">
        <f>AE1355*IF(B1355&gt;=in_marketplace_from,d_hz_hlth_small*G1355,0)</f>
        <v/>
      </c>
      <c r="AG1355" s="14">
        <f>F1355*AF1355*in_hlth_small_ticket*in_hlth_small_comm*in_ins_partner_share+F1355*in_hlth_small_ticket*in_hlth_small_renew_comm*in_ins_partner_share*(in_hlth_small_renew^1*SUMIFS(AF1336:AF1366,B1336:B1366,B1355-12)+in_hlth_small_renew^2*SUMIFS(AF1336:AF1366,B1336:B1366,B1355-24)+in_hlth_small_renew^3*SUMIFS(AF1336:AF1366,B1336:B1366,B1355-36)+in_hlth_small_renew^4*SUMIFS(AF1336:AF1366,B1336:B1366,B1355-48))</f>
        <v/>
      </c>
      <c r="AH1355" s="40">
        <f>AH1354*(1-IF(B1354&gt;=in_marketplace_from,d_hz_hlth_family*G1354,0))</f>
        <v/>
      </c>
      <c r="AI1355" s="46">
        <f>AH1355*IF(B1355&gt;=in_marketplace_from,d_hz_hlth_family*G1355,0)</f>
        <v/>
      </c>
      <c r="AJ1355" s="14">
        <f>F1355*AI1355*in_hlth_family_ticket*in_hlth_family_comm*in_ins_partner_share+F1355*in_hlth_family_ticket*in_hlth_family_renew_comm*in_ins_partner_share*(in_hlth_family_renew^1*SUMIFS(AI1336:AI1366,B1336:B1366,B1355-12)+in_hlth_family_renew^2*SUMIFS(AI1336:AI1366,B1336:B1366,B1355-24)+in_hlth_family_renew^3*SUMIFS(AI1336:AI1366,B1336:B1366,B1355-36)+in_hlth_family_renew^4*SUMIFS(AI1336:AI1366,B1336:B1366,B1355-48))</f>
        <v/>
      </c>
      <c r="AK1355" s="40">
        <f>AK1354*(1-IF(B1354&gt;=in_marketplace_from,d_hz_life_term*G1354,0))</f>
        <v/>
      </c>
      <c r="AL1355" s="46">
        <f>AK1355*IF(B1355&gt;=in_marketplace_from,d_hz_life_term*G1355,0)</f>
        <v/>
      </c>
      <c r="AM1355" s="14">
        <f>F1355*AL1355*in_life_term_ticket*in_life_term_comm*in_ins_partner_share+F1355*in_life_term_ticket*in_life_term_renew_comm*in_ins_partner_share*(in_life_term_renew^1*SUMIFS(AL1336:AL1366,B1336:B1366,B1355-12)+in_life_term_renew^2*SUMIFS(AL1336:AL1366,B1336:B1366,B1355-24)+in_life_term_renew^3*SUMIFS(AL1336:AL1366,B1336:B1366,B1355-36)+in_life_term_renew^4*SUMIFS(AL1336:AL1366,B1336:B1366,B1355-48))</f>
        <v/>
      </c>
      <c r="AN1355" s="40">
        <f>AN1354*(1-IF(B1354&gt;=in_marketplace_from,d_hz_accident*G1354,0))</f>
        <v/>
      </c>
      <c r="AO1355" s="46">
        <f>AN1355*IF(B1355&gt;=in_marketplace_from,d_hz_accident*G1355,0)</f>
        <v/>
      </c>
      <c r="AP1355" s="14">
        <f>F1355*AO1355*in_accident_ticket*in_accident_comm*in_ins_partner_share+F1355*in_accident_ticket*in_accident_renew_comm*in_ins_partner_share*(in_accident_renew^1*SUMIFS(AO1336:AO1366,B1336:B1366,B1355-12)+in_accident_renew^2*SUMIFS(AO1336:AO1366,B1336:B1366,B1355-24)+in_accident_renew^3*SUMIFS(AO1336:AO1366,B1336:B1366,B1355-36)+in_accident_renew^4*SUMIFS(AO1336:AO1366,B1336:B1366,B1355-48))</f>
        <v/>
      </c>
      <c r="AQ1355" s="40">
        <f>AQ1354*(1-IF(B1354&gt;=in_marketplace_from,d_hz_two_wheeler*G1354,0))</f>
        <v/>
      </c>
      <c r="AR1355" s="46">
        <f>AQ1355*IF(B1355&gt;=in_marketplace_from,d_hz_two_wheeler*G1355,0)</f>
        <v/>
      </c>
      <c r="AS1355" s="14">
        <f>F1355*AR1355*in_two_wheeler_ticket*in_two_wheeler_comm*in_ins_partner_share+F1355*in_two_wheeler_ticket*in_two_wheeler_comm*in_ins_partner_share*(in_two_wheeler_renew^1*SUMIFS(AR1336:AR1366,B1336:B1366,B1355-12)+in_two_wheeler_renew^2*SUMIFS(AR1336:AR1366,B1336:B1366,B1355-24)+in_two_wheeler_renew^3*SUMIFS(AR1336:AR1366,B1336:B1366,B1355-36)+in_two_wheeler_renew^4*SUMIFS(AR1336:AR1366,B1336:B1366,B1355-48))</f>
        <v/>
      </c>
      <c r="AT1355" s="40">
        <f>AT1354*(1-IF(B1354&gt;=in_marketplace_from,d_hz_device*G1354,0))</f>
        <v/>
      </c>
      <c r="AU1355" s="14">
        <f>F1355*AT1355*IF(B1355&gt;=in_marketplace_from,d_hz_device*G1355,0)*in_device_ticket*in_device_comm*in_ins_partner_share</f>
        <v/>
      </c>
      <c r="AV1355" s="40">
        <f>AV1354*(1-IF(B1354&gt;=in_marketplace_from,d_hz_shop*G1354,0))</f>
        <v/>
      </c>
      <c r="AW1355" s="46">
        <f>AV1355*IF(B1355&gt;=in_marketplace_from,d_hz_shop*G1355,0)</f>
        <v/>
      </c>
      <c r="AX1355" s="14">
        <f>F1355*AW1355*in_shop_ticket*in_shop_comm*in_ins_partner_share+F1355*in_shop_ticket*in_shop_renew_comm*in_ins_partner_share*(in_shop_renew^1*SUMIFS(AW1336:AW1366,B1336:B1366,B1355-12)+in_shop_renew^2*SUMIFS(AW1336:AW1366,B1336:B1366,B1355-24)+in_shop_renew^3*SUMIFS(AW1336:AW1366,B1336:B1366,B1355-36)+in_shop_renew^4*SUMIFS(AW1336:AW1366,B1336:B1366,B1355-48))</f>
        <v/>
      </c>
      <c r="AY1355" s="40">
        <f>AY1354*(1-IF(B1354&gt;=in_marketplace_from,d_hz_sip*G1354,0))</f>
        <v/>
      </c>
      <c r="AZ1355" s="40">
        <f>AZ1354*d_rho_sip+AY1355*IF(B1355&gt;=in_marketplace_from,d_hz_sip*G1355,0)</f>
        <v/>
      </c>
      <c r="BA1355" s="40">
        <f>d_rho_sip*(BA1354+AZ1354)</f>
        <v/>
      </c>
      <c r="BB1355" s="14">
        <f>F1355*in_sip_ticket*(BA1355+0.5*AZ1355)*in_sip_comm/12</f>
        <v/>
      </c>
      <c r="BC1355" s="40">
        <f>BC1354*(1-IF(B1354&gt;=in_marketplace_from,d_hz_choti*G1354,0))</f>
        <v/>
      </c>
      <c r="BD1355" s="46">
        <f>BC1355*IF(B1355&gt;=in_marketplace_from,d_hz_choti*G1355,0)</f>
        <v/>
      </c>
      <c r="BE1355" s="14">
        <f>F1355*SUMIFS(BD1336:BD1366,B1336:B1366,B1355-in_choti_months)*in_choti_renew*in_choti_ticket</f>
        <v/>
      </c>
      <c r="BF1355" s="40">
        <f>BF1354*(1-IF(B1354&gt;=in_marketplace_from,d_hz_nps*G1354,0))</f>
        <v/>
      </c>
      <c r="BG1355" s="14">
        <f>F1355*BF1355*IF(B1355&gt;=in_marketplace_from,d_hz_nps*G1355,0)*in_nps_ticket*in_nps_comm</f>
        <v/>
      </c>
      <c r="BH1355" s="40">
        <f>BH1354*(1-IF(B1354&gt;=in_marketplace_from,d_hz_gold*G1354,0))</f>
        <v/>
      </c>
      <c r="BI1355" s="40">
        <f>BI1354*d_rho_gold+BH1355*IF(B1355&gt;=in_marketplace_from,d_hz_gold*G1355,0)</f>
        <v/>
      </c>
      <c r="BJ1355" s="14">
        <f>F1355*BI1355*in_gold_ticket*in_gold_comm</f>
        <v/>
      </c>
      <c r="BK1355" s="40">
        <f>BK1354*(1-IF(B1354&gt;=in_marketplace_from,d_hz_fd*G1354,0))</f>
        <v/>
      </c>
      <c r="BL1355" s="14">
        <f>F1355*BK1355*IF(B1355&gt;=in_marketplace_from,d_hz_fd*G1355,0)*in_fd_ticket*in_fd_comm</f>
        <v/>
      </c>
      <c r="BM1355" s="40">
        <f>BM1354*(1-IF(B1354&gt;=in_marketplace_from,d_hz_recharge*G1354,0))</f>
        <v/>
      </c>
      <c r="BN1355" s="40">
        <f>BN1354*d_rho_recharge+BM1355*IF(B1355&gt;=in_marketplace_from,d_hz_recharge*G1355,0)</f>
        <v/>
      </c>
      <c r="BO1355" s="14">
        <f>F1355*BN1355*in_recharge_ticket*in_recharge_comm/12</f>
        <v/>
      </c>
      <c r="BP1355" s="40">
        <f>BP1354*(1-IF(B1354&gt;=in_marketplace_from,d_hz_bills*G1354,0))</f>
        <v/>
      </c>
      <c r="BQ1355" s="40">
        <f>BQ1354*d_rho_bills+BP1355*IF(B1355&gt;=in_marketplace_from,d_hz_bills*G1355,0)</f>
        <v/>
      </c>
      <c r="BR1355" s="14">
        <f>F1355*BQ1355*in_bills_ticket*in_bills_comm/12</f>
        <v/>
      </c>
      <c r="BS1355" s="40">
        <f>BS1354*(1-IF(B1354&gt;=in_marketplace_from,d_hz_loan_gold*G1354,0))</f>
        <v/>
      </c>
      <c r="BT1355" s="14">
        <f>F1355*BS1355*IF(B1355&gt;=in_marketplace_from,d_hz_loan_gold*G1355,0)*in_loan_gold_ticket*in_loan_gold_comm</f>
        <v/>
      </c>
      <c r="BU1355" s="40">
        <f>BU1354*(1-IF(B1354&gt;=in_marketplace_from,d_hz_loan_cd*G1354,0))</f>
        <v/>
      </c>
      <c r="BV1355" s="14">
        <f>F1355*BU1355*IF(B1355&gt;=in_marketplace_from,d_hz_loan_cd*G1355,0)*in_loan_cd_ticket*in_loan_cd_comm</f>
        <v/>
      </c>
      <c r="BW1355" s="40">
        <f>BW1354*(1-IF(B1354&gt;=in_marketplace_from,d_hz_loan_vehicle*G1354,0))</f>
        <v/>
      </c>
      <c r="BX1355" s="14">
        <f>F1355*BW1355*IF(B1355&gt;=in_marketplace_from,d_hz_loan_vehicle*G1355,0)*in_loan_vehicle_ticket*in_loan_vehicle_comm</f>
        <v/>
      </c>
      <c r="BY1355" s="40">
        <f>BY1354*(1-IF(B1354&gt;=in_marketplace_from,d_hz_loan_home*G1354,0)*BZ1354)</f>
        <v/>
      </c>
      <c r="BZ1355" s="11">
        <f>MIN(in_approval_cap,in_loan_home_approval*INDEX('Age profile'!$O$2:$O$61,B1355)*(1+in_approval_growth)^(D1355-1))</f>
        <v/>
      </c>
      <c r="CA1355" s="14">
        <f>F1355*BY1355*IF(B1355&gt;=in_marketplace_from,d_hz_loan_home*G1355,0)*BZ1355*in_loan_home_ticket*in_loan_home_comm</f>
        <v/>
      </c>
      <c r="CB1355" s="40">
        <f>CB1354*(1-IF(B1354&gt;=in_marketplace_from,d_hz_loan_lap*G1354,0)*CC1354)</f>
        <v/>
      </c>
      <c r="CC1355" s="11">
        <f>MIN(in_approval_cap,in_loan_lap_approval*INDEX('Age profile'!$O$2:$O$61,B1355)*(1+in_approval_growth)^(D1355-1))</f>
        <v/>
      </c>
      <c r="CD1355" s="14">
        <f>F1355*CB1355*IF(B1355&gt;=in_marketplace_from,d_hz_loan_lap*G1355,0)*CC1355*in_loan_lap_ticket*in_loan_lap_comm</f>
        <v/>
      </c>
      <c r="CE1355" s="14">
        <f>AA1355+AB1355+AC1355+AD1355+AG1355+AJ1355+AM1355+AP1355+AS1355+AU1355+AX1355+BB1355+BE1355+BG1355+BJ1355+BL1355+BO1355+BR1355+BT1355+BV1355+BX1355+CA1355+CD1355</f>
        <v/>
      </c>
    </row>
    <row r="1356">
      <c r="A1356" s="39" t="n">
        <v>30</v>
      </c>
      <c r="B1356" s="39" t="n">
        <v>21</v>
      </c>
      <c r="C1356" s="39">
        <f>A1356+B1356-1</f>
        <v/>
      </c>
      <c r="D1356" s="39">
        <f>INT((C1356-1)/12)+1</f>
        <v/>
      </c>
      <c r="E1356" s="44">
        <f>INDEX(Monthly!$B$2:$B$61,A1356)</f>
        <v/>
      </c>
      <c r="F1356" s="44">
        <f>E1356*INDEX('Age profile'!$B$2:$B$61,B1356)</f>
        <v/>
      </c>
      <c r="G1356" s="45">
        <f>MIN(in_takeup_cap,INDEX('Age profile'!$N$2:$N$61,B1356)*(1+in_takeup_growth)^(D1356-1))</f>
        <v/>
      </c>
      <c r="H1356" s="11">
        <f>MIN(in_approval_cap,in_approved_first*INDEX('Age profile'!$O$2:$O$61,B1356)*(1+in_approval_growth)^(D1356-1))</f>
        <v/>
      </c>
      <c r="I1356" s="45">
        <f>G1356*MIN(in_takeup_cap,INDEX('Age profile'!$O$2:$O$61,B1356)*(1+in_approval_growth)^(D1356-1))</f>
        <v/>
      </c>
      <c r="J1356" s="40">
        <f>(J1355-L1355)*F1356/F1355</f>
        <v/>
      </c>
      <c r="K1356" s="40">
        <f>(K1355-M1355)*F1356/F1355+SUMIFS(O1336:O1355,B1336:B1355,B1356-1-d_T)*F1356</f>
        <v/>
      </c>
      <c r="L1356" s="40">
        <f>IF(B1356&gt;=in_marketplace_from,J1356*d_hz*G1356*in_eligible*H1356,0)</f>
        <v/>
      </c>
      <c r="M1356" s="40">
        <f>IF(B1356&gt;=in_marketplace_from,K1356*d_hz*G1356*in_eligible*in_approved_repeat,0)</f>
        <v/>
      </c>
      <c r="N1356" s="40">
        <f>L1356+M1356</f>
        <v/>
      </c>
      <c r="O1356" s="46">
        <f>N1356/F1356</f>
        <v/>
      </c>
      <c r="P1356" s="40">
        <f>F1356-J1356-K1356</f>
        <v/>
      </c>
      <c r="Q1356" s="40">
        <f>IF(B1356&gt;=in_marketplace_from,(J1356+K1356)*d_hz*G1356,0)</f>
        <v/>
      </c>
      <c r="R1356" s="40">
        <f>SUMIFS(N1336:N1366,B1336:B1366,"&gt;="&amp;(B1356-d_T),B1336:B1366,"&lt;="&amp;(B1356-1))</f>
        <v/>
      </c>
      <c r="S1356" s="46">
        <f>(1-d_u)*S1355+IF(d_T&gt;in_topup_lag,SUMIFS(O1336:O1366,B1336:B1366,B1356-in_topup_lag)-d_udrop*SUMIFS(O1336:O1366,B1336:B1366,B1356-d_T),0)</f>
        <v/>
      </c>
      <c r="T1356" s="40">
        <f>F1356*d_u*S1356</f>
        <v/>
      </c>
      <c r="U1356" s="9">
        <f>L1356*in_ticket+M1356*d_rep_ticket</f>
        <v/>
      </c>
      <c r="V1356" s="9">
        <f>U1356+T1356*d_topup_amt</f>
        <v/>
      </c>
      <c r="W1356" s="40">
        <f>N1356+T1356*d_topup_ratio</f>
        <v/>
      </c>
      <c r="X1356" s="40">
        <f>SUMIFS(W1336:W1366,B1336:B1366,B1356-in_dpd_lag)*d_cured</f>
        <v/>
      </c>
      <c r="Y1356" s="40">
        <f>SUMIFS(W1336:W1366,B1336:B1366,B1356-in_rec_lag)*d_recd</f>
        <v/>
      </c>
      <c r="Z1356" s="40">
        <f>IF(AND(B1356&gt;=in_marketplace_from,B1356&lt;in_marketplace_from+in_card_months),in_card_share/in_card_months*F1356*I1356,IF(AND(B1356&gt;=in_marketplace_from+in_card_months,B1356&lt;in_marketplace_from+2*in_card_months),in_card_share*d_card_rem/in_card_months*F1356*MIN(in_takeup_cap,(1+in_takeup_growth)^(D1356-1))*MIN(in_takeup_cap,(1+in_approval_growth)^(D1356-1)),0))</f>
        <v/>
      </c>
      <c r="AA1356" s="14">
        <f>V1356*in_fee*(1-in_taken_back)</f>
        <v/>
      </c>
      <c r="AB1356" s="14">
        <f>SUMIFS(W1336:W1366,B1336:B1366,B1356-in_dpd_lag)*d_dpd</f>
        <v/>
      </c>
      <c r="AC1356" s="14">
        <f>SUMIFS(W1336:W1366,B1336:B1366,B1356-in_rec_lag)*d_rec</f>
        <v/>
      </c>
      <c r="AD1356" s="14">
        <f>Z1356*in_card_fee</f>
        <v/>
      </c>
      <c r="AE1356" s="40">
        <f>AE1355*(1-IF(B1355&gt;=in_marketplace_from,d_hz_hlth_small*G1355,0))</f>
        <v/>
      </c>
      <c r="AF1356" s="46">
        <f>AE1356*IF(B1356&gt;=in_marketplace_from,d_hz_hlth_small*G1356,0)</f>
        <v/>
      </c>
      <c r="AG1356" s="14">
        <f>F1356*AF1356*in_hlth_small_ticket*in_hlth_small_comm*in_ins_partner_share+F1356*in_hlth_small_ticket*in_hlth_small_renew_comm*in_ins_partner_share*(in_hlth_small_renew^1*SUMIFS(AF1336:AF1366,B1336:B1366,B1356-12)+in_hlth_small_renew^2*SUMIFS(AF1336:AF1366,B1336:B1366,B1356-24)+in_hlth_small_renew^3*SUMIFS(AF1336:AF1366,B1336:B1366,B1356-36)+in_hlth_small_renew^4*SUMIFS(AF1336:AF1366,B1336:B1366,B1356-48))</f>
        <v/>
      </c>
      <c r="AH1356" s="40">
        <f>AH1355*(1-IF(B1355&gt;=in_marketplace_from,d_hz_hlth_family*G1355,0))</f>
        <v/>
      </c>
      <c r="AI1356" s="46">
        <f>AH1356*IF(B1356&gt;=in_marketplace_from,d_hz_hlth_family*G1356,0)</f>
        <v/>
      </c>
      <c r="AJ1356" s="14">
        <f>F1356*AI1356*in_hlth_family_ticket*in_hlth_family_comm*in_ins_partner_share+F1356*in_hlth_family_ticket*in_hlth_family_renew_comm*in_ins_partner_share*(in_hlth_family_renew^1*SUMIFS(AI1336:AI1366,B1336:B1366,B1356-12)+in_hlth_family_renew^2*SUMIFS(AI1336:AI1366,B1336:B1366,B1356-24)+in_hlth_family_renew^3*SUMIFS(AI1336:AI1366,B1336:B1366,B1356-36)+in_hlth_family_renew^4*SUMIFS(AI1336:AI1366,B1336:B1366,B1356-48))</f>
        <v/>
      </c>
      <c r="AK1356" s="40">
        <f>AK1355*(1-IF(B1355&gt;=in_marketplace_from,d_hz_life_term*G1355,0))</f>
        <v/>
      </c>
      <c r="AL1356" s="46">
        <f>AK1356*IF(B1356&gt;=in_marketplace_from,d_hz_life_term*G1356,0)</f>
        <v/>
      </c>
      <c r="AM1356" s="14">
        <f>F1356*AL1356*in_life_term_ticket*in_life_term_comm*in_ins_partner_share+F1356*in_life_term_ticket*in_life_term_renew_comm*in_ins_partner_share*(in_life_term_renew^1*SUMIFS(AL1336:AL1366,B1336:B1366,B1356-12)+in_life_term_renew^2*SUMIFS(AL1336:AL1366,B1336:B1366,B1356-24)+in_life_term_renew^3*SUMIFS(AL1336:AL1366,B1336:B1366,B1356-36)+in_life_term_renew^4*SUMIFS(AL1336:AL1366,B1336:B1366,B1356-48))</f>
        <v/>
      </c>
      <c r="AN1356" s="40">
        <f>AN1355*(1-IF(B1355&gt;=in_marketplace_from,d_hz_accident*G1355,0))</f>
        <v/>
      </c>
      <c r="AO1356" s="46">
        <f>AN1356*IF(B1356&gt;=in_marketplace_from,d_hz_accident*G1356,0)</f>
        <v/>
      </c>
      <c r="AP1356" s="14">
        <f>F1356*AO1356*in_accident_ticket*in_accident_comm*in_ins_partner_share+F1356*in_accident_ticket*in_accident_renew_comm*in_ins_partner_share*(in_accident_renew^1*SUMIFS(AO1336:AO1366,B1336:B1366,B1356-12)+in_accident_renew^2*SUMIFS(AO1336:AO1366,B1336:B1366,B1356-24)+in_accident_renew^3*SUMIFS(AO1336:AO1366,B1336:B1366,B1356-36)+in_accident_renew^4*SUMIFS(AO1336:AO1366,B1336:B1366,B1356-48))</f>
        <v/>
      </c>
      <c r="AQ1356" s="40">
        <f>AQ1355*(1-IF(B1355&gt;=in_marketplace_from,d_hz_two_wheeler*G1355,0))</f>
        <v/>
      </c>
      <c r="AR1356" s="46">
        <f>AQ1356*IF(B1356&gt;=in_marketplace_from,d_hz_two_wheeler*G1356,0)</f>
        <v/>
      </c>
      <c r="AS1356" s="14">
        <f>F1356*AR1356*in_two_wheeler_ticket*in_two_wheeler_comm*in_ins_partner_share+F1356*in_two_wheeler_ticket*in_two_wheeler_comm*in_ins_partner_share*(in_two_wheeler_renew^1*SUMIFS(AR1336:AR1366,B1336:B1366,B1356-12)+in_two_wheeler_renew^2*SUMIFS(AR1336:AR1366,B1336:B1366,B1356-24)+in_two_wheeler_renew^3*SUMIFS(AR1336:AR1366,B1336:B1366,B1356-36)+in_two_wheeler_renew^4*SUMIFS(AR1336:AR1366,B1336:B1366,B1356-48))</f>
        <v/>
      </c>
      <c r="AT1356" s="40">
        <f>AT1355*(1-IF(B1355&gt;=in_marketplace_from,d_hz_device*G1355,0))</f>
        <v/>
      </c>
      <c r="AU1356" s="14">
        <f>F1356*AT1356*IF(B1356&gt;=in_marketplace_from,d_hz_device*G1356,0)*in_device_ticket*in_device_comm*in_ins_partner_share</f>
        <v/>
      </c>
      <c r="AV1356" s="40">
        <f>AV1355*(1-IF(B1355&gt;=in_marketplace_from,d_hz_shop*G1355,0))</f>
        <v/>
      </c>
      <c r="AW1356" s="46">
        <f>AV1356*IF(B1356&gt;=in_marketplace_from,d_hz_shop*G1356,0)</f>
        <v/>
      </c>
      <c r="AX1356" s="14">
        <f>F1356*AW1356*in_shop_ticket*in_shop_comm*in_ins_partner_share+F1356*in_shop_ticket*in_shop_renew_comm*in_ins_partner_share*(in_shop_renew^1*SUMIFS(AW1336:AW1366,B1336:B1366,B1356-12)+in_shop_renew^2*SUMIFS(AW1336:AW1366,B1336:B1366,B1356-24)+in_shop_renew^3*SUMIFS(AW1336:AW1366,B1336:B1366,B1356-36)+in_shop_renew^4*SUMIFS(AW1336:AW1366,B1336:B1366,B1356-48))</f>
        <v/>
      </c>
      <c r="AY1356" s="40">
        <f>AY1355*(1-IF(B1355&gt;=in_marketplace_from,d_hz_sip*G1355,0))</f>
        <v/>
      </c>
      <c r="AZ1356" s="40">
        <f>AZ1355*d_rho_sip+AY1356*IF(B1356&gt;=in_marketplace_from,d_hz_sip*G1356,0)</f>
        <v/>
      </c>
      <c r="BA1356" s="40">
        <f>d_rho_sip*(BA1355+AZ1355)</f>
        <v/>
      </c>
      <c r="BB1356" s="14">
        <f>F1356*in_sip_ticket*(BA1356+0.5*AZ1356)*in_sip_comm/12</f>
        <v/>
      </c>
      <c r="BC1356" s="40">
        <f>BC1355*(1-IF(B1355&gt;=in_marketplace_from,d_hz_choti*G1355,0))</f>
        <v/>
      </c>
      <c r="BD1356" s="46">
        <f>BC1356*IF(B1356&gt;=in_marketplace_from,d_hz_choti*G1356,0)</f>
        <v/>
      </c>
      <c r="BE1356" s="14">
        <f>F1356*SUMIFS(BD1336:BD1366,B1336:B1366,B1356-in_choti_months)*in_choti_renew*in_choti_ticket</f>
        <v/>
      </c>
      <c r="BF1356" s="40">
        <f>BF1355*(1-IF(B1355&gt;=in_marketplace_from,d_hz_nps*G1355,0))</f>
        <v/>
      </c>
      <c r="BG1356" s="14">
        <f>F1356*BF1356*IF(B1356&gt;=in_marketplace_from,d_hz_nps*G1356,0)*in_nps_ticket*in_nps_comm</f>
        <v/>
      </c>
      <c r="BH1356" s="40">
        <f>BH1355*(1-IF(B1355&gt;=in_marketplace_from,d_hz_gold*G1355,0))</f>
        <v/>
      </c>
      <c r="BI1356" s="40">
        <f>BI1355*d_rho_gold+BH1356*IF(B1356&gt;=in_marketplace_from,d_hz_gold*G1356,0)</f>
        <v/>
      </c>
      <c r="BJ1356" s="14">
        <f>F1356*BI1356*in_gold_ticket*in_gold_comm</f>
        <v/>
      </c>
      <c r="BK1356" s="40">
        <f>BK1355*(1-IF(B1355&gt;=in_marketplace_from,d_hz_fd*G1355,0))</f>
        <v/>
      </c>
      <c r="BL1356" s="14">
        <f>F1356*BK1356*IF(B1356&gt;=in_marketplace_from,d_hz_fd*G1356,0)*in_fd_ticket*in_fd_comm</f>
        <v/>
      </c>
      <c r="BM1356" s="40">
        <f>BM1355*(1-IF(B1355&gt;=in_marketplace_from,d_hz_recharge*G1355,0))</f>
        <v/>
      </c>
      <c r="BN1356" s="40">
        <f>BN1355*d_rho_recharge+BM1356*IF(B1356&gt;=in_marketplace_from,d_hz_recharge*G1356,0)</f>
        <v/>
      </c>
      <c r="BO1356" s="14">
        <f>F1356*BN1356*in_recharge_ticket*in_recharge_comm/12</f>
        <v/>
      </c>
      <c r="BP1356" s="40">
        <f>BP1355*(1-IF(B1355&gt;=in_marketplace_from,d_hz_bills*G1355,0))</f>
        <v/>
      </c>
      <c r="BQ1356" s="40">
        <f>BQ1355*d_rho_bills+BP1356*IF(B1356&gt;=in_marketplace_from,d_hz_bills*G1356,0)</f>
        <v/>
      </c>
      <c r="BR1356" s="14">
        <f>F1356*BQ1356*in_bills_ticket*in_bills_comm/12</f>
        <v/>
      </c>
      <c r="BS1356" s="40">
        <f>BS1355*(1-IF(B1355&gt;=in_marketplace_from,d_hz_loan_gold*G1355,0))</f>
        <v/>
      </c>
      <c r="BT1356" s="14">
        <f>F1356*BS1356*IF(B1356&gt;=in_marketplace_from,d_hz_loan_gold*G1356,0)*in_loan_gold_ticket*in_loan_gold_comm</f>
        <v/>
      </c>
      <c r="BU1356" s="40">
        <f>BU1355*(1-IF(B1355&gt;=in_marketplace_from,d_hz_loan_cd*G1355,0))</f>
        <v/>
      </c>
      <c r="BV1356" s="14">
        <f>F1356*BU1356*IF(B1356&gt;=in_marketplace_from,d_hz_loan_cd*G1356,0)*in_loan_cd_ticket*in_loan_cd_comm</f>
        <v/>
      </c>
      <c r="BW1356" s="40">
        <f>BW1355*(1-IF(B1355&gt;=in_marketplace_from,d_hz_loan_vehicle*G1355,0))</f>
        <v/>
      </c>
      <c r="BX1356" s="14">
        <f>F1356*BW1356*IF(B1356&gt;=in_marketplace_from,d_hz_loan_vehicle*G1356,0)*in_loan_vehicle_ticket*in_loan_vehicle_comm</f>
        <v/>
      </c>
      <c r="BY1356" s="40">
        <f>BY1355*(1-IF(B1355&gt;=in_marketplace_from,d_hz_loan_home*G1355,0)*BZ1355)</f>
        <v/>
      </c>
      <c r="BZ1356" s="11">
        <f>MIN(in_approval_cap,in_loan_home_approval*INDEX('Age profile'!$O$2:$O$61,B1356)*(1+in_approval_growth)^(D1356-1))</f>
        <v/>
      </c>
      <c r="CA1356" s="14">
        <f>F1356*BY1356*IF(B1356&gt;=in_marketplace_from,d_hz_loan_home*G1356,0)*BZ1356*in_loan_home_ticket*in_loan_home_comm</f>
        <v/>
      </c>
      <c r="CB1356" s="40">
        <f>CB1355*(1-IF(B1355&gt;=in_marketplace_from,d_hz_loan_lap*G1355,0)*CC1355)</f>
        <v/>
      </c>
      <c r="CC1356" s="11">
        <f>MIN(in_approval_cap,in_loan_lap_approval*INDEX('Age profile'!$O$2:$O$61,B1356)*(1+in_approval_growth)^(D1356-1))</f>
        <v/>
      </c>
      <c r="CD1356" s="14">
        <f>F1356*CB1356*IF(B1356&gt;=in_marketplace_from,d_hz_loan_lap*G1356,0)*CC1356*in_loan_lap_ticket*in_loan_lap_comm</f>
        <v/>
      </c>
      <c r="CE1356" s="14">
        <f>AA1356+AB1356+AC1356+AD1356+AG1356+AJ1356+AM1356+AP1356+AS1356+AU1356+AX1356+BB1356+BE1356+BG1356+BJ1356+BL1356+BO1356+BR1356+BT1356+BV1356+BX1356+CA1356+CD1356</f>
        <v/>
      </c>
    </row>
    <row r="1357">
      <c r="A1357" s="39" t="n">
        <v>30</v>
      </c>
      <c r="B1357" s="39" t="n">
        <v>22</v>
      </c>
      <c r="C1357" s="39">
        <f>A1357+B1357-1</f>
        <v/>
      </c>
      <c r="D1357" s="39">
        <f>INT((C1357-1)/12)+1</f>
        <v/>
      </c>
      <c r="E1357" s="44">
        <f>INDEX(Monthly!$B$2:$B$61,A1357)</f>
        <v/>
      </c>
      <c r="F1357" s="44">
        <f>E1357*INDEX('Age profile'!$B$2:$B$61,B1357)</f>
        <v/>
      </c>
      <c r="G1357" s="45">
        <f>MIN(in_takeup_cap,INDEX('Age profile'!$N$2:$N$61,B1357)*(1+in_takeup_growth)^(D1357-1))</f>
        <v/>
      </c>
      <c r="H1357" s="11">
        <f>MIN(in_approval_cap,in_approved_first*INDEX('Age profile'!$O$2:$O$61,B1357)*(1+in_approval_growth)^(D1357-1))</f>
        <v/>
      </c>
      <c r="I1357" s="45">
        <f>G1357*MIN(in_takeup_cap,INDEX('Age profile'!$O$2:$O$61,B1357)*(1+in_approval_growth)^(D1357-1))</f>
        <v/>
      </c>
      <c r="J1357" s="40">
        <f>(J1356-L1356)*F1357/F1356</f>
        <v/>
      </c>
      <c r="K1357" s="40">
        <f>(K1356-M1356)*F1357/F1356+SUMIFS(O1336:O1356,B1336:B1356,B1357-1-d_T)*F1357</f>
        <v/>
      </c>
      <c r="L1357" s="40">
        <f>IF(B1357&gt;=in_marketplace_from,J1357*d_hz*G1357*in_eligible*H1357,0)</f>
        <v/>
      </c>
      <c r="M1357" s="40">
        <f>IF(B1357&gt;=in_marketplace_from,K1357*d_hz*G1357*in_eligible*in_approved_repeat,0)</f>
        <v/>
      </c>
      <c r="N1357" s="40">
        <f>L1357+M1357</f>
        <v/>
      </c>
      <c r="O1357" s="46">
        <f>N1357/F1357</f>
        <v/>
      </c>
      <c r="P1357" s="40">
        <f>F1357-J1357-K1357</f>
        <v/>
      </c>
      <c r="Q1357" s="40">
        <f>IF(B1357&gt;=in_marketplace_from,(J1357+K1357)*d_hz*G1357,0)</f>
        <v/>
      </c>
      <c r="R1357" s="40">
        <f>SUMIFS(N1336:N1366,B1336:B1366,"&gt;="&amp;(B1357-d_T),B1336:B1366,"&lt;="&amp;(B1357-1))</f>
        <v/>
      </c>
      <c r="S1357" s="46">
        <f>(1-d_u)*S1356+IF(d_T&gt;in_topup_lag,SUMIFS(O1336:O1366,B1336:B1366,B1357-in_topup_lag)-d_udrop*SUMIFS(O1336:O1366,B1336:B1366,B1357-d_T),0)</f>
        <v/>
      </c>
      <c r="T1357" s="40">
        <f>F1357*d_u*S1357</f>
        <v/>
      </c>
      <c r="U1357" s="9">
        <f>L1357*in_ticket+M1357*d_rep_ticket</f>
        <v/>
      </c>
      <c r="V1357" s="9">
        <f>U1357+T1357*d_topup_amt</f>
        <v/>
      </c>
      <c r="W1357" s="40">
        <f>N1357+T1357*d_topup_ratio</f>
        <v/>
      </c>
      <c r="X1357" s="40">
        <f>SUMIFS(W1336:W1366,B1336:B1366,B1357-in_dpd_lag)*d_cured</f>
        <v/>
      </c>
      <c r="Y1357" s="40">
        <f>SUMIFS(W1336:W1366,B1336:B1366,B1357-in_rec_lag)*d_recd</f>
        <v/>
      </c>
      <c r="Z1357" s="40">
        <f>IF(AND(B1357&gt;=in_marketplace_from,B1357&lt;in_marketplace_from+in_card_months),in_card_share/in_card_months*F1357*I1357,IF(AND(B1357&gt;=in_marketplace_from+in_card_months,B1357&lt;in_marketplace_from+2*in_card_months),in_card_share*d_card_rem/in_card_months*F1357*MIN(in_takeup_cap,(1+in_takeup_growth)^(D1357-1))*MIN(in_takeup_cap,(1+in_approval_growth)^(D1357-1)),0))</f>
        <v/>
      </c>
      <c r="AA1357" s="14">
        <f>V1357*in_fee*(1-in_taken_back)</f>
        <v/>
      </c>
      <c r="AB1357" s="14">
        <f>SUMIFS(W1336:W1366,B1336:B1366,B1357-in_dpd_lag)*d_dpd</f>
        <v/>
      </c>
      <c r="AC1357" s="14">
        <f>SUMIFS(W1336:W1366,B1336:B1366,B1357-in_rec_lag)*d_rec</f>
        <v/>
      </c>
      <c r="AD1357" s="14">
        <f>Z1357*in_card_fee</f>
        <v/>
      </c>
      <c r="AE1357" s="40">
        <f>AE1356*(1-IF(B1356&gt;=in_marketplace_from,d_hz_hlth_small*G1356,0))</f>
        <v/>
      </c>
      <c r="AF1357" s="46">
        <f>AE1357*IF(B1357&gt;=in_marketplace_from,d_hz_hlth_small*G1357,0)</f>
        <v/>
      </c>
      <c r="AG1357" s="14">
        <f>F1357*AF1357*in_hlth_small_ticket*in_hlth_small_comm*in_ins_partner_share+F1357*in_hlth_small_ticket*in_hlth_small_renew_comm*in_ins_partner_share*(in_hlth_small_renew^1*SUMIFS(AF1336:AF1366,B1336:B1366,B1357-12)+in_hlth_small_renew^2*SUMIFS(AF1336:AF1366,B1336:B1366,B1357-24)+in_hlth_small_renew^3*SUMIFS(AF1336:AF1366,B1336:B1366,B1357-36)+in_hlth_small_renew^4*SUMIFS(AF1336:AF1366,B1336:B1366,B1357-48))</f>
        <v/>
      </c>
      <c r="AH1357" s="40">
        <f>AH1356*(1-IF(B1356&gt;=in_marketplace_from,d_hz_hlth_family*G1356,0))</f>
        <v/>
      </c>
      <c r="AI1357" s="46">
        <f>AH1357*IF(B1357&gt;=in_marketplace_from,d_hz_hlth_family*G1357,0)</f>
        <v/>
      </c>
      <c r="AJ1357" s="14">
        <f>F1357*AI1357*in_hlth_family_ticket*in_hlth_family_comm*in_ins_partner_share+F1357*in_hlth_family_ticket*in_hlth_family_renew_comm*in_ins_partner_share*(in_hlth_family_renew^1*SUMIFS(AI1336:AI1366,B1336:B1366,B1357-12)+in_hlth_family_renew^2*SUMIFS(AI1336:AI1366,B1336:B1366,B1357-24)+in_hlth_family_renew^3*SUMIFS(AI1336:AI1366,B1336:B1366,B1357-36)+in_hlth_family_renew^4*SUMIFS(AI1336:AI1366,B1336:B1366,B1357-48))</f>
        <v/>
      </c>
      <c r="AK1357" s="40">
        <f>AK1356*(1-IF(B1356&gt;=in_marketplace_from,d_hz_life_term*G1356,0))</f>
        <v/>
      </c>
      <c r="AL1357" s="46">
        <f>AK1357*IF(B1357&gt;=in_marketplace_from,d_hz_life_term*G1357,0)</f>
        <v/>
      </c>
      <c r="AM1357" s="14">
        <f>F1357*AL1357*in_life_term_ticket*in_life_term_comm*in_ins_partner_share+F1357*in_life_term_ticket*in_life_term_renew_comm*in_ins_partner_share*(in_life_term_renew^1*SUMIFS(AL1336:AL1366,B1336:B1366,B1357-12)+in_life_term_renew^2*SUMIFS(AL1336:AL1366,B1336:B1366,B1357-24)+in_life_term_renew^3*SUMIFS(AL1336:AL1366,B1336:B1366,B1357-36)+in_life_term_renew^4*SUMIFS(AL1336:AL1366,B1336:B1366,B1357-48))</f>
        <v/>
      </c>
      <c r="AN1357" s="40">
        <f>AN1356*(1-IF(B1356&gt;=in_marketplace_from,d_hz_accident*G1356,0))</f>
        <v/>
      </c>
      <c r="AO1357" s="46">
        <f>AN1357*IF(B1357&gt;=in_marketplace_from,d_hz_accident*G1357,0)</f>
        <v/>
      </c>
      <c r="AP1357" s="14">
        <f>F1357*AO1357*in_accident_ticket*in_accident_comm*in_ins_partner_share+F1357*in_accident_ticket*in_accident_renew_comm*in_ins_partner_share*(in_accident_renew^1*SUMIFS(AO1336:AO1366,B1336:B1366,B1357-12)+in_accident_renew^2*SUMIFS(AO1336:AO1366,B1336:B1366,B1357-24)+in_accident_renew^3*SUMIFS(AO1336:AO1366,B1336:B1366,B1357-36)+in_accident_renew^4*SUMIFS(AO1336:AO1366,B1336:B1366,B1357-48))</f>
        <v/>
      </c>
      <c r="AQ1357" s="40">
        <f>AQ1356*(1-IF(B1356&gt;=in_marketplace_from,d_hz_two_wheeler*G1356,0))</f>
        <v/>
      </c>
      <c r="AR1357" s="46">
        <f>AQ1357*IF(B1357&gt;=in_marketplace_from,d_hz_two_wheeler*G1357,0)</f>
        <v/>
      </c>
      <c r="AS1357" s="14">
        <f>F1357*AR1357*in_two_wheeler_ticket*in_two_wheeler_comm*in_ins_partner_share+F1357*in_two_wheeler_ticket*in_two_wheeler_comm*in_ins_partner_share*(in_two_wheeler_renew^1*SUMIFS(AR1336:AR1366,B1336:B1366,B1357-12)+in_two_wheeler_renew^2*SUMIFS(AR1336:AR1366,B1336:B1366,B1357-24)+in_two_wheeler_renew^3*SUMIFS(AR1336:AR1366,B1336:B1366,B1357-36)+in_two_wheeler_renew^4*SUMIFS(AR1336:AR1366,B1336:B1366,B1357-48))</f>
        <v/>
      </c>
      <c r="AT1357" s="40">
        <f>AT1356*(1-IF(B1356&gt;=in_marketplace_from,d_hz_device*G1356,0))</f>
        <v/>
      </c>
      <c r="AU1357" s="14">
        <f>F1357*AT1357*IF(B1357&gt;=in_marketplace_from,d_hz_device*G1357,0)*in_device_ticket*in_device_comm*in_ins_partner_share</f>
        <v/>
      </c>
      <c r="AV1357" s="40">
        <f>AV1356*(1-IF(B1356&gt;=in_marketplace_from,d_hz_shop*G1356,0))</f>
        <v/>
      </c>
      <c r="AW1357" s="46">
        <f>AV1357*IF(B1357&gt;=in_marketplace_from,d_hz_shop*G1357,0)</f>
        <v/>
      </c>
      <c r="AX1357" s="14">
        <f>F1357*AW1357*in_shop_ticket*in_shop_comm*in_ins_partner_share+F1357*in_shop_ticket*in_shop_renew_comm*in_ins_partner_share*(in_shop_renew^1*SUMIFS(AW1336:AW1366,B1336:B1366,B1357-12)+in_shop_renew^2*SUMIFS(AW1336:AW1366,B1336:B1366,B1357-24)+in_shop_renew^3*SUMIFS(AW1336:AW1366,B1336:B1366,B1357-36)+in_shop_renew^4*SUMIFS(AW1336:AW1366,B1336:B1366,B1357-48))</f>
        <v/>
      </c>
      <c r="AY1357" s="40">
        <f>AY1356*(1-IF(B1356&gt;=in_marketplace_from,d_hz_sip*G1356,0))</f>
        <v/>
      </c>
      <c r="AZ1357" s="40">
        <f>AZ1356*d_rho_sip+AY1357*IF(B1357&gt;=in_marketplace_from,d_hz_sip*G1357,0)</f>
        <v/>
      </c>
      <c r="BA1357" s="40">
        <f>d_rho_sip*(BA1356+AZ1356)</f>
        <v/>
      </c>
      <c r="BB1357" s="14">
        <f>F1357*in_sip_ticket*(BA1357+0.5*AZ1357)*in_sip_comm/12</f>
        <v/>
      </c>
      <c r="BC1357" s="40">
        <f>BC1356*(1-IF(B1356&gt;=in_marketplace_from,d_hz_choti*G1356,0))</f>
        <v/>
      </c>
      <c r="BD1357" s="46">
        <f>BC1357*IF(B1357&gt;=in_marketplace_from,d_hz_choti*G1357,0)</f>
        <v/>
      </c>
      <c r="BE1357" s="14">
        <f>F1357*SUMIFS(BD1336:BD1366,B1336:B1366,B1357-in_choti_months)*in_choti_renew*in_choti_ticket</f>
        <v/>
      </c>
      <c r="BF1357" s="40">
        <f>BF1356*(1-IF(B1356&gt;=in_marketplace_from,d_hz_nps*G1356,0))</f>
        <v/>
      </c>
      <c r="BG1357" s="14">
        <f>F1357*BF1357*IF(B1357&gt;=in_marketplace_from,d_hz_nps*G1357,0)*in_nps_ticket*in_nps_comm</f>
        <v/>
      </c>
      <c r="BH1357" s="40">
        <f>BH1356*(1-IF(B1356&gt;=in_marketplace_from,d_hz_gold*G1356,0))</f>
        <v/>
      </c>
      <c r="BI1357" s="40">
        <f>BI1356*d_rho_gold+BH1357*IF(B1357&gt;=in_marketplace_from,d_hz_gold*G1357,0)</f>
        <v/>
      </c>
      <c r="BJ1357" s="14">
        <f>F1357*BI1357*in_gold_ticket*in_gold_comm</f>
        <v/>
      </c>
      <c r="BK1357" s="40">
        <f>BK1356*(1-IF(B1356&gt;=in_marketplace_from,d_hz_fd*G1356,0))</f>
        <v/>
      </c>
      <c r="BL1357" s="14">
        <f>F1357*BK1357*IF(B1357&gt;=in_marketplace_from,d_hz_fd*G1357,0)*in_fd_ticket*in_fd_comm</f>
        <v/>
      </c>
      <c r="BM1357" s="40">
        <f>BM1356*(1-IF(B1356&gt;=in_marketplace_from,d_hz_recharge*G1356,0))</f>
        <v/>
      </c>
      <c r="BN1357" s="40">
        <f>BN1356*d_rho_recharge+BM1357*IF(B1357&gt;=in_marketplace_from,d_hz_recharge*G1357,0)</f>
        <v/>
      </c>
      <c r="BO1357" s="14">
        <f>F1357*BN1357*in_recharge_ticket*in_recharge_comm/12</f>
        <v/>
      </c>
      <c r="BP1357" s="40">
        <f>BP1356*(1-IF(B1356&gt;=in_marketplace_from,d_hz_bills*G1356,0))</f>
        <v/>
      </c>
      <c r="BQ1357" s="40">
        <f>BQ1356*d_rho_bills+BP1357*IF(B1357&gt;=in_marketplace_from,d_hz_bills*G1357,0)</f>
        <v/>
      </c>
      <c r="BR1357" s="14">
        <f>F1357*BQ1357*in_bills_ticket*in_bills_comm/12</f>
        <v/>
      </c>
      <c r="BS1357" s="40">
        <f>BS1356*(1-IF(B1356&gt;=in_marketplace_from,d_hz_loan_gold*G1356,0))</f>
        <v/>
      </c>
      <c r="BT1357" s="14">
        <f>F1357*BS1357*IF(B1357&gt;=in_marketplace_from,d_hz_loan_gold*G1357,0)*in_loan_gold_ticket*in_loan_gold_comm</f>
        <v/>
      </c>
      <c r="BU1357" s="40">
        <f>BU1356*(1-IF(B1356&gt;=in_marketplace_from,d_hz_loan_cd*G1356,0))</f>
        <v/>
      </c>
      <c r="BV1357" s="14">
        <f>F1357*BU1357*IF(B1357&gt;=in_marketplace_from,d_hz_loan_cd*G1357,0)*in_loan_cd_ticket*in_loan_cd_comm</f>
        <v/>
      </c>
      <c r="BW1357" s="40">
        <f>BW1356*(1-IF(B1356&gt;=in_marketplace_from,d_hz_loan_vehicle*G1356,0))</f>
        <v/>
      </c>
      <c r="BX1357" s="14">
        <f>F1357*BW1357*IF(B1357&gt;=in_marketplace_from,d_hz_loan_vehicle*G1357,0)*in_loan_vehicle_ticket*in_loan_vehicle_comm</f>
        <v/>
      </c>
      <c r="BY1357" s="40">
        <f>BY1356*(1-IF(B1356&gt;=in_marketplace_from,d_hz_loan_home*G1356,0)*BZ1356)</f>
        <v/>
      </c>
      <c r="BZ1357" s="11">
        <f>MIN(in_approval_cap,in_loan_home_approval*INDEX('Age profile'!$O$2:$O$61,B1357)*(1+in_approval_growth)^(D1357-1))</f>
        <v/>
      </c>
      <c r="CA1357" s="14">
        <f>F1357*BY1357*IF(B1357&gt;=in_marketplace_from,d_hz_loan_home*G1357,0)*BZ1357*in_loan_home_ticket*in_loan_home_comm</f>
        <v/>
      </c>
      <c r="CB1357" s="40">
        <f>CB1356*(1-IF(B1356&gt;=in_marketplace_from,d_hz_loan_lap*G1356,0)*CC1356)</f>
        <v/>
      </c>
      <c r="CC1357" s="11">
        <f>MIN(in_approval_cap,in_loan_lap_approval*INDEX('Age profile'!$O$2:$O$61,B1357)*(1+in_approval_growth)^(D1357-1))</f>
        <v/>
      </c>
      <c r="CD1357" s="14">
        <f>F1357*CB1357*IF(B1357&gt;=in_marketplace_from,d_hz_loan_lap*G1357,0)*CC1357*in_loan_lap_ticket*in_loan_lap_comm</f>
        <v/>
      </c>
      <c r="CE1357" s="14">
        <f>AA1357+AB1357+AC1357+AD1357+AG1357+AJ1357+AM1357+AP1357+AS1357+AU1357+AX1357+BB1357+BE1357+BG1357+BJ1357+BL1357+BO1357+BR1357+BT1357+BV1357+BX1357+CA1357+CD1357</f>
        <v/>
      </c>
    </row>
    <row r="1358">
      <c r="A1358" s="39" t="n">
        <v>30</v>
      </c>
      <c r="B1358" s="39" t="n">
        <v>23</v>
      </c>
      <c r="C1358" s="39">
        <f>A1358+B1358-1</f>
        <v/>
      </c>
      <c r="D1358" s="39">
        <f>INT((C1358-1)/12)+1</f>
        <v/>
      </c>
      <c r="E1358" s="44">
        <f>INDEX(Monthly!$B$2:$B$61,A1358)</f>
        <v/>
      </c>
      <c r="F1358" s="44">
        <f>E1358*INDEX('Age profile'!$B$2:$B$61,B1358)</f>
        <v/>
      </c>
      <c r="G1358" s="45">
        <f>MIN(in_takeup_cap,INDEX('Age profile'!$N$2:$N$61,B1358)*(1+in_takeup_growth)^(D1358-1))</f>
        <v/>
      </c>
      <c r="H1358" s="11">
        <f>MIN(in_approval_cap,in_approved_first*INDEX('Age profile'!$O$2:$O$61,B1358)*(1+in_approval_growth)^(D1358-1))</f>
        <v/>
      </c>
      <c r="I1358" s="45">
        <f>G1358*MIN(in_takeup_cap,INDEX('Age profile'!$O$2:$O$61,B1358)*(1+in_approval_growth)^(D1358-1))</f>
        <v/>
      </c>
      <c r="J1358" s="40">
        <f>(J1357-L1357)*F1358/F1357</f>
        <v/>
      </c>
      <c r="K1358" s="40">
        <f>(K1357-M1357)*F1358/F1357+SUMIFS(O1336:O1357,B1336:B1357,B1358-1-d_T)*F1358</f>
        <v/>
      </c>
      <c r="L1358" s="40">
        <f>IF(B1358&gt;=in_marketplace_from,J1358*d_hz*G1358*in_eligible*H1358,0)</f>
        <v/>
      </c>
      <c r="M1358" s="40">
        <f>IF(B1358&gt;=in_marketplace_from,K1358*d_hz*G1358*in_eligible*in_approved_repeat,0)</f>
        <v/>
      </c>
      <c r="N1358" s="40">
        <f>L1358+M1358</f>
        <v/>
      </c>
      <c r="O1358" s="46">
        <f>N1358/F1358</f>
        <v/>
      </c>
      <c r="P1358" s="40">
        <f>F1358-J1358-K1358</f>
        <v/>
      </c>
      <c r="Q1358" s="40">
        <f>IF(B1358&gt;=in_marketplace_from,(J1358+K1358)*d_hz*G1358,0)</f>
        <v/>
      </c>
      <c r="R1358" s="40">
        <f>SUMIFS(N1336:N1366,B1336:B1366,"&gt;="&amp;(B1358-d_T),B1336:B1366,"&lt;="&amp;(B1358-1))</f>
        <v/>
      </c>
      <c r="S1358" s="46">
        <f>(1-d_u)*S1357+IF(d_T&gt;in_topup_lag,SUMIFS(O1336:O1366,B1336:B1366,B1358-in_topup_lag)-d_udrop*SUMIFS(O1336:O1366,B1336:B1366,B1358-d_T),0)</f>
        <v/>
      </c>
      <c r="T1358" s="40">
        <f>F1358*d_u*S1358</f>
        <v/>
      </c>
      <c r="U1358" s="9">
        <f>L1358*in_ticket+M1358*d_rep_ticket</f>
        <v/>
      </c>
      <c r="V1358" s="9">
        <f>U1358+T1358*d_topup_amt</f>
        <v/>
      </c>
      <c r="W1358" s="40">
        <f>N1358+T1358*d_topup_ratio</f>
        <v/>
      </c>
      <c r="X1358" s="40">
        <f>SUMIFS(W1336:W1366,B1336:B1366,B1358-in_dpd_lag)*d_cured</f>
        <v/>
      </c>
      <c r="Y1358" s="40">
        <f>SUMIFS(W1336:W1366,B1336:B1366,B1358-in_rec_lag)*d_recd</f>
        <v/>
      </c>
      <c r="Z1358" s="40">
        <f>IF(AND(B1358&gt;=in_marketplace_from,B1358&lt;in_marketplace_from+in_card_months),in_card_share/in_card_months*F1358*I1358,IF(AND(B1358&gt;=in_marketplace_from+in_card_months,B1358&lt;in_marketplace_from+2*in_card_months),in_card_share*d_card_rem/in_card_months*F1358*MIN(in_takeup_cap,(1+in_takeup_growth)^(D1358-1))*MIN(in_takeup_cap,(1+in_approval_growth)^(D1358-1)),0))</f>
        <v/>
      </c>
      <c r="AA1358" s="14">
        <f>V1358*in_fee*(1-in_taken_back)</f>
        <v/>
      </c>
      <c r="AB1358" s="14">
        <f>SUMIFS(W1336:W1366,B1336:B1366,B1358-in_dpd_lag)*d_dpd</f>
        <v/>
      </c>
      <c r="AC1358" s="14">
        <f>SUMIFS(W1336:W1366,B1336:B1366,B1358-in_rec_lag)*d_rec</f>
        <v/>
      </c>
      <c r="AD1358" s="14">
        <f>Z1358*in_card_fee</f>
        <v/>
      </c>
      <c r="AE1358" s="40">
        <f>AE1357*(1-IF(B1357&gt;=in_marketplace_from,d_hz_hlth_small*G1357,0))</f>
        <v/>
      </c>
      <c r="AF1358" s="46">
        <f>AE1358*IF(B1358&gt;=in_marketplace_from,d_hz_hlth_small*G1358,0)</f>
        <v/>
      </c>
      <c r="AG1358" s="14">
        <f>F1358*AF1358*in_hlth_small_ticket*in_hlth_small_comm*in_ins_partner_share+F1358*in_hlth_small_ticket*in_hlth_small_renew_comm*in_ins_partner_share*(in_hlth_small_renew^1*SUMIFS(AF1336:AF1366,B1336:B1366,B1358-12)+in_hlth_small_renew^2*SUMIFS(AF1336:AF1366,B1336:B1366,B1358-24)+in_hlth_small_renew^3*SUMIFS(AF1336:AF1366,B1336:B1366,B1358-36)+in_hlth_small_renew^4*SUMIFS(AF1336:AF1366,B1336:B1366,B1358-48))</f>
        <v/>
      </c>
      <c r="AH1358" s="40">
        <f>AH1357*(1-IF(B1357&gt;=in_marketplace_from,d_hz_hlth_family*G1357,0))</f>
        <v/>
      </c>
      <c r="AI1358" s="46">
        <f>AH1358*IF(B1358&gt;=in_marketplace_from,d_hz_hlth_family*G1358,0)</f>
        <v/>
      </c>
      <c r="AJ1358" s="14">
        <f>F1358*AI1358*in_hlth_family_ticket*in_hlth_family_comm*in_ins_partner_share+F1358*in_hlth_family_ticket*in_hlth_family_renew_comm*in_ins_partner_share*(in_hlth_family_renew^1*SUMIFS(AI1336:AI1366,B1336:B1366,B1358-12)+in_hlth_family_renew^2*SUMIFS(AI1336:AI1366,B1336:B1366,B1358-24)+in_hlth_family_renew^3*SUMIFS(AI1336:AI1366,B1336:B1366,B1358-36)+in_hlth_family_renew^4*SUMIFS(AI1336:AI1366,B1336:B1366,B1358-48))</f>
        <v/>
      </c>
      <c r="AK1358" s="40">
        <f>AK1357*(1-IF(B1357&gt;=in_marketplace_from,d_hz_life_term*G1357,0))</f>
        <v/>
      </c>
      <c r="AL1358" s="46">
        <f>AK1358*IF(B1358&gt;=in_marketplace_from,d_hz_life_term*G1358,0)</f>
        <v/>
      </c>
      <c r="AM1358" s="14">
        <f>F1358*AL1358*in_life_term_ticket*in_life_term_comm*in_ins_partner_share+F1358*in_life_term_ticket*in_life_term_renew_comm*in_ins_partner_share*(in_life_term_renew^1*SUMIFS(AL1336:AL1366,B1336:B1366,B1358-12)+in_life_term_renew^2*SUMIFS(AL1336:AL1366,B1336:B1366,B1358-24)+in_life_term_renew^3*SUMIFS(AL1336:AL1366,B1336:B1366,B1358-36)+in_life_term_renew^4*SUMIFS(AL1336:AL1366,B1336:B1366,B1358-48))</f>
        <v/>
      </c>
      <c r="AN1358" s="40">
        <f>AN1357*(1-IF(B1357&gt;=in_marketplace_from,d_hz_accident*G1357,0))</f>
        <v/>
      </c>
      <c r="AO1358" s="46">
        <f>AN1358*IF(B1358&gt;=in_marketplace_from,d_hz_accident*G1358,0)</f>
        <v/>
      </c>
      <c r="AP1358" s="14">
        <f>F1358*AO1358*in_accident_ticket*in_accident_comm*in_ins_partner_share+F1358*in_accident_ticket*in_accident_renew_comm*in_ins_partner_share*(in_accident_renew^1*SUMIFS(AO1336:AO1366,B1336:B1366,B1358-12)+in_accident_renew^2*SUMIFS(AO1336:AO1366,B1336:B1366,B1358-24)+in_accident_renew^3*SUMIFS(AO1336:AO1366,B1336:B1366,B1358-36)+in_accident_renew^4*SUMIFS(AO1336:AO1366,B1336:B1366,B1358-48))</f>
        <v/>
      </c>
      <c r="AQ1358" s="40">
        <f>AQ1357*(1-IF(B1357&gt;=in_marketplace_from,d_hz_two_wheeler*G1357,0))</f>
        <v/>
      </c>
      <c r="AR1358" s="46">
        <f>AQ1358*IF(B1358&gt;=in_marketplace_from,d_hz_two_wheeler*G1358,0)</f>
        <v/>
      </c>
      <c r="AS1358" s="14">
        <f>F1358*AR1358*in_two_wheeler_ticket*in_two_wheeler_comm*in_ins_partner_share+F1358*in_two_wheeler_ticket*in_two_wheeler_comm*in_ins_partner_share*(in_two_wheeler_renew^1*SUMIFS(AR1336:AR1366,B1336:B1366,B1358-12)+in_two_wheeler_renew^2*SUMIFS(AR1336:AR1366,B1336:B1366,B1358-24)+in_two_wheeler_renew^3*SUMIFS(AR1336:AR1366,B1336:B1366,B1358-36)+in_two_wheeler_renew^4*SUMIFS(AR1336:AR1366,B1336:B1366,B1358-48))</f>
        <v/>
      </c>
      <c r="AT1358" s="40">
        <f>AT1357*(1-IF(B1357&gt;=in_marketplace_from,d_hz_device*G1357,0))</f>
        <v/>
      </c>
      <c r="AU1358" s="14">
        <f>F1358*AT1358*IF(B1358&gt;=in_marketplace_from,d_hz_device*G1358,0)*in_device_ticket*in_device_comm*in_ins_partner_share</f>
        <v/>
      </c>
      <c r="AV1358" s="40">
        <f>AV1357*(1-IF(B1357&gt;=in_marketplace_from,d_hz_shop*G1357,0))</f>
        <v/>
      </c>
      <c r="AW1358" s="46">
        <f>AV1358*IF(B1358&gt;=in_marketplace_from,d_hz_shop*G1358,0)</f>
        <v/>
      </c>
      <c r="AX1358" s="14">
        <f>F1358*AW1358*in_shop_ticket*in_shop_comm*in_ins_partner_share+F1358*in_shop_ticket*in_shop_renew_comm*in_ins_partner_share*(in_shop_renew^1*SUMIFS(AW1336:AW1366,B1336:B1366,B1358-12)+in_shop_renew^2*SUMIFS(AW1336:AW1366,B1336:B1366,B1358-24)+in_shop_renew^3*SUMIFS(AW1336:AW1366,B1336:B1366,B1358-36)+in_shop_renew^4*SUMIFS(AW1336:AW1366,B1336:B1366,B1358-48))</f>
        <v/>
      </c>
      <c r="AY1358" s="40">
        <f>AY1357*(1-IF(B1357&gt;=in_marketplace_from,d_hz_sip*G1357,0))</f>
        <v/>
      </c>
      <c r="AZ1358" s="40">
        <f>AZ1357*d_rho_sip+AY1358*IF(B1358&gt;=in_marketplace_from,d_hz_sip*G1358,0)</f>
        <v/>
      </c>
      <c r="BA1358" s="40">
        <f>d_rho_sip*(BA1357+AZ1357)</f>
        <v/>
      </c>
      <c r="BB1358" s="14">
        <f>F1358*in_sip_ticket*(BA1358+0.5*AZ1358)*in_sip_comm/12</f>
        <v/>
      </c>
      <c r="BC1358" s="40">
        <f>BC1357*(1-IF(B1357&gt;=in_marketplace_from,d_hz_choti*G1357,0))</f>
        <v/>
      </c>
      <c r="BD1358" s="46">
        <f>BC1358*IF(B1358&gt;=in_marketplace_from,d_hz_choti*G1358,0)</f>
        <v/>
      </c>
      <c r="BE1358" s="14">
        <f>F1358*SUMIFS(BD1336:BD1366,B1336:B1366,B1358-in_choti_months)*in_choti_renew*in_choti_ticket</f>
        <v/>
      </c>
      <c r="BF1358" s="40">
        <f>BF1357*(1-IF(B1357&gt;=in_marketplace_from,d_hz_nps*G1357,0))</f>
        <v/>
      </c>
      <c r="BG1358" s="14">
        <f>F1358*BF1358*IF(B1358&gt;=in_marketplace_from,d_hz_nps*G1358,0)*in_nps_ticket*in_nps_comm</f>
        <v/>
      </c>
      <c r="BH1358" s="40">
        <f>BH1357*(1-IF(B1357&gt;=in_marketplace_from,d_hz_gold*G1357,0))</f>
        <v/>
      </c>
      <c r="BI1358" s="40">
        <f>BI1357*d_rho_gold+BH1358*IF(B1358&gt;=in_marketplace_from,d_hz_gold*G1358,0)</f>
        <v/>
      </c>
      <c r="BJ1358" s="14">
        <f>F1358*BI1358*in_gold_ticket*in_gold_comm</f>
        <v/>
      </c>
      <c r="BK1358" s="40">
        <f>BK1357*(1-IF(B1357&gt;=in_marketplace_from,d_hz_fd*G1357,0))</f>
        <v/>
      </c>
      <c r="BL1358" s="14">
        <f>F1358*BK1358*IF(B1358&gt;=in_marketplace_from,d_hz_fd*G1358,0)*in_fd_ticket*in_fd_comm</f>
        <v/>
      </c>
      <c r="BM1358" s="40">
        <f>BM1357*(1-IF(B1357&gt;=in_marketplace_from,d_hz_recharge*G1357,0))</f>
        <v/>
      </c>
      <c r="BN1358" s="40">
        <f>BN1357*d_rho_recharge+BM1358*IF(B1358&gt;=in_marketplace_from,d_hz_recharge*G1358,0)</f>
        <v/>
      </c>
      <c r="BO1358" s="14">
        <f>F1358*BN1358*in_recharge_ticket*in_recharge_comm/12</f>
        <v/>
      </c>
      <c r="BP1358" s="40">
        <f>BP1357*(1-IF(B1357&gt;=in_marketplace_from,d_hz_bills*G1357,0))</f>
        <v/>
      </c>
      <c r="BQ1358" s="40">
        <f>BQ1357*d_rho_bills+BP1358*IF(B1358&gt;=in_marketplace_from,d_hz_bills*G1358,0)</f>
        <v/>
      </c>
      <c r="BR1358" s="14">
        <f>F1358*BQ1358*in_bills_ticket*in_bills_comm/12</f>
        <v/>
      </c>
      <c r="BS1358" s="40">
        <f>BS1357*(1-IF(B1357&gt;=in_marketplace_from,d_hz_loan_gold*G1357,0))</f>
        <v/>
      </c>
      <c r="BT1358" s="14">
        <f>F1358*BS1358*IF(B1358&gt;=in_marketplace_from,d_hz_loan_gold*G1358,0)*in_loan_gold_ticket*in_loan_gold_comm</f>
        <v/>
      </c>
      <c r="BU1358" s="40">
        <f>BU1357*(1-IF(B1357&gt;=in_marketplace_from,d_hz_loan_cd*G1357,0))</f>
        <v/>
      </c>
      <c r="BV1358" s="14">
        <f>F1358*BU1358*IF(B1358&gt;=in_marketplace_from,d_hz_loan_cd*G1358,0)*in_loan_cd_ticket*in_loan_cd_comm</f>
        <v/>
      </c>
      <c r="BW1358" s="40">
        <f>BW1357*(1-IF(B1357&gt;=in_marketplace_from,d_hz_loan_vehicle*G1357,0))</f>
        <v/>
      </c>
      <c r="BX1358" s="14">
        <f>F1358*BW1358*IF(B1358&gt;=in_marketplace_from,d_hz_loan_vehicle*G1358,0)*in_loan_vehicle_ticket*in_loan_vehicle_comm</f>
        <v/>
      </c>
      <c r="BY1358" s="40">
        <f>BY1357*(1-IF(B1357&gt;=in_marketplace_from,d_hz_loan_home*G1357,0)*BZ1357)</f>
        <v/>
      </c>
      <c r="BZ1358" s="11">
        <f>MIN(in_approval_cap,in_loan_home_approval*INDEX('Age profile'!$O$2:$O$61,B1358)*(1+in_approval_growth)^(D1358-1))</f>
        <v/>
      </c>
      <c r="CA1358" s="14">
        <f>F1358*BY1358*IF(B1358&gt;=in_marketplace_from,d_hz_loan_home*G1358,0)*BZ1358*in_loan_home_ticket*in_loan_home_comm</f>
        <v/>
      </c>
      <c r="CB1358" s="40">
        <f>CB1357*(1-IF(B1357&gt;=in_marketplace_from,d_hz_loan_lap*G1357,0)*CC1357)</f>
        <v/>
      </c>
      <c r="CC1358" s="11">
        <f>MIN(in_approval_cap,in_loan_lap_approval*INDEX('Age profile'!$O$2:$O$61,B1358)*(1+in_approval_growth)^(D1358-1))</f>
        <v/>
      </c>
      <c r="CD1358" s="14">
        <f>F1358*CB1358*IF(B1358&gt;=in_marketplace_from,d_hz_loan_lap*G1358,0)*CC1358*in_loan_lap_ticket*in_loan_lap_comm</f>
        <v/>
      </c>
      <c r="CE1358" s="14">
        <f>AA1358+AB1358+AC1358+AD1358+AG1358+AJ1358+AM1358+AP1358+AS1358+AU1358+AX1358+BB1358+BE1358+BG1358+BJ1358+BL1358+BO1358+BR1358+BT1358+BV1358+BX1358+CA1358+CD1358</f>
        <v/>
      </c>
    </row>
    <row r="1359">
      <c r="A1359" s="39" t="n">
        <v>30</v>
      </c>
      <c r="B1359" s="39" t="n">
        <v>24</v>
      </c>
      <c r="C1359" s="39">
        <f>A1359+B1359-1</f>
        <v/>
      </c>
      <c r="D1359" s="39">
        <f>INT((C1359-1)/12)+1</f>
        <v/>
      </c>
      <c r="E1359" s="44">
        <f>INDEX(Monthly!$B$2:$B$61,A1359)</f>
        <v/>
      </c>
      <c r="F1359" s="44">
        <f>E1359*INDEX('Age profile'!$B$2:$B$61,B1359)</f>
        <v/>
      </c>
      <c r="G1359" s="45">
        <f>MIN(in_takeup_cap,INDEX('Age profile'!$N$2:$N$61,B1359)*(1+in_takeup_growth)^(D1359-1))</f>
        <v/>
      </c>
      <c r="H1359" s="11">
        <f>MIN(in_approval_cap,in_approved_first*INDEX('Age profile'!$O$2:$O$61,B1359)*(1+in_approval_growth)^(D1359-1))</f>
        <v/>
      </c>
      <c r="I1359" s="45">
        <f>G1359*MIN(in_takeup_cap,INDEX('Age profile'!$O$2:$O$61,B1359)*(1+in_approval_growth)^(D1359-1))</f>
        <v/>
      </c>
      <c r="J1359" s="40">
        <f>(J1358-L1358)*F1359/F1358</f>
        <v/>
      </c>
      <c r="K1359" s="40">
        <f>(K1358-M1358)*F1359/F1358+SUMIFS(O1336:O1358,B1336:B1358,B1359-1-d_T)*F1359</f>
        <v/>
      </c>
      <c r="L1359" s="40">
        <f>IF(B1359&gt;=in_marketplace_from,J1359*d_hz*G1359*in_eligible*H1359,0)</f>
        <v/>
      </c>
      <c r="M1359" s="40">
        <f>IF(B1359&gt;=in_marketplace_from,K1359*d_hz*G1359*in_eligible*in_approved_repeat,0)</f>
        <v/>
      </c>
      <c r="N1359" s="40">
        <f>L1359+M1359</f>
        <v/>
      </c>
      <c r="O1359" s="46">
        <f>N1359/F1359</f>
        <v/>
      </c>
      <c r="P1359" s="40">
        <f>F1359-J1359-K1359</f>
        <v/>
      </c>
      <c r="Q1359" s="40">
        <f>IF(B1359&gt;=in_marketplace_from,(J1359+K1359)*d_hz*G1359,0)</f>
        <v/>
      </c>
      <c r="R1359" s="40">
        <f>SUMIFS(N1336:N1366,B1336:B1366,"&gt;="&amp;(B1359-d_T),B1336:B1366,"&lt;="&amp;(B1359-1))</f>
        <v/>
      </c>
      <c r="S1359" s="46">
        <f>(1-d_u)*S1358+IF(d_T&gt;in_topup_lag,SUMIFS(O1336:O1366,B1336:B1366,B1359-in_topup_lag)-d_udrop*SUMIFS(O1336:O1366,B1336:B1366,B1359-d_T),0)</f>
        <v/>
      </c>
      <c r="T1359" s="40">
        <f>F1359*d_u*S1359</f>
        <v/>
      </c>
      <c r="U1359" s="9">
        <f>L1359*in_ticket+M1359*d_rep_ticket</f>
        <v/>
      </c>
      <c r="V1359" s="9">
        <f>U1359+T1359*d_topup_amt</f>
        <v/>
      </c>
      <c r="W1359" s="40">
        <f>N1359+T1359*d_topup_ratio</f>
        <v/>
      </c>
      <c r="X1359" s="40">
        <f>SUMIFS(W1336:W1366,B1336:B1366,B1359-in_dpd_lag)*d_cured</f>
        <v/>
      </c>
      <c r="Y1359" s="40">
        <f>SUMIFS(W1336:W1366,B1336:B1366,B1359-in_rec_lag)*d_recd</f>
        <v/>
      </c>
      <c r="Z1359" s="40">
        <f>IF(AND(B1359&gt;=in_marketplace_from,B1359&lt;in_marketplace_from+in_card_months),in_card_share/in_card_months*F1359*I1359,IF(AND(B1359&gt;=in_marketplace_from+in_card_months,B1359&lt;in_marketplace_from+2*in_card_months),in_card_share*d_card_rem/in_card_months*F1359*MIN(in_takeup_cap,(1+in_takeup_growth)^(D1359-1))*MIN(in_takeup_cap,(1+in_approval_growth)^(D1359-1)),0))</f>
        <v/>
      </c>
      <c r="AA1359" s="14">
        <f>V1359*in_fee*(1-in_taken_back)</f>
        <v/>
      </c>
      <c r="AB1359" s="14">
        <f>SUMIFS(W1336:W1366,B1336:B1366,B1359-in_dpd_lag)*d_dpd</f>
        <v/>
      </c>
      <c r="AC1359" s="14">
        <f>SUMIFS(W1336:W1366,B1336:B1366,B1359-in_rec_lag)*d_rec</f>
        <v/>
      </c>
      <c r="AD1359" s="14">
        <f>Z1359*in_card_fee</f>
        <v/>
      </c>
      <c r="AE1359" s="40">
        <f>AE1358*(1-IF(B1358&gt;=in_marketplace_from,d_hz_hlth_small*G1358,0))</f>
        <v/>
      </c>
      <c r="AF1359" s="46">
        <f>AE1359*IF(B1359&gt;=in_marketplace_from,d_hz_hlth_small*G1359,0)</f>
        <v/>
      </c>
      <c r="AG1359" s="14">
        <f>F1359*AF1359*in_hlth_small_ticket*in_hlth_small_comm*in_ins_partner_share+F1359*in_hlth_small_ticket*in_hlth_small_renew_comm*in_ins_partner_share*(in_hlth_small_renew^1*SUMIFS(AF1336:AF1366,B1336:B1366,B1359-12)+in_hlth_small_renew^2*SUMIFS(AF1336:AF1366,B1336:B1366,B1359-24)+in_hlth_small_renew^3*SUMIFS(AF1336:AF1366,B1336:B1366,B1359-36)+in_hlth_small_renew^4*SUMIFS(AF1336:AF1366,B1336:B1366,B1359-48))</f>
        <v/>
      </c>
      <c r="AH1359" s="40">
        <f>AH1358*(1-IF(B1358&gt;=in_marketplace_from,d_hz_hlth_family*G1358,0))</f>
        <v/>
      </c>
      <c r="AI1359" s="46">
        <f>AH1359*IF(B1359&gt;=in_marketplace_from,d_hz_hlth_family*G1359,0)</f>
        <v/>
      </c>
      <c r="AJ1359" s="14">
        <f>F1359*AI1359*in_hlth_family_ticket*in_hlth_family_comm*in_ins_partner_share+F1359*in_hlth_family_ticket*in_hlth_family_renew_comm*in_ins_partner_share*(in_hlth_family_renew^1*SUMIFS(AI1336:AI1366,B1336:B1366,B1359-12)+in_hlth_family_renew^2*SUMIFS(AI1336:AI1366,B1336:B1366,B1359-24)+in_hlth_family_renew^3*SUMIFS(AI1336:AI1366,B1336:B1366,B1359-36)+in_hlth_family_renew^4*SUMIFS(AI1336:AI1366,B1336:B1366,B1359-48))</f>
        <v/>
      </c>
      <c r="AK1359" s="40">
        <f>AK1358*(1-IF(B1358&gt;=in_marketplace_from,d_hz_life_term*G1358,0))</f>
        <v/>
      </c>
      <c r="AL1359" s="46">
        <f>AK1359*IF(B1359&gt;=in_marketplace_from,d_hz_life_term*G1359,0)</f>
        <v/>
      </c>
      <c r="AM1359" s="14">
        <f>F1359*AL1359*in_life_term_ticket*in_life_term_comm*in_ins_partner_share+F1359*in_life_term_ticket*in_life_term_renew_comm*in_ins_partner_share*(in_life_term_renew^1*SUMIFS(AL1336:AL1366,B1336:B1366,B1359-12)+in_life_term_renew^2*SUMIFS(AL1336:AL1366,B1336:B1366,B1359-24)+in_life_term_renew^3*SUMIFS(AL1336:AL1366,B1336:B1366,B1359-36)+in_life_term_renew^4*SUMIFS(AL1336:AL1366,B1336:B1366,B1359-48))</f>
        <v/>
      </c>
      <c r="AN1359" s="40">
        <f>AN1358*(1-IF(B1358&gt;=in_marketplace_from,d_hz_accident*G1358,0))</f>
        <v/>
      </c>
      <c r="AO1359" s="46">
        <f>AN1359*IF(B1359&gt;=in_marketplace_from,d_hz_accident*G1359,0)</f>
        <v/>
      </c>
      <c r="AP1359" s="14">
        <f>F1359*AO1359*in_accident_ticket*in_accident_comm*in_ins_partner_share+F1359*in_accident_ticket*in_accident_renew_comm*in_ins_partner_share*(in_accident_renew^1*SUMIFS(AO1336:AO1366,B1336:B1366,B1359-12)+in_accident_renew^2*SUMIFS(AO1336:AO1366,B1336:B1366,B1359-24)+in_accident_renew^3*SUMIFS(AO1336:AO1366,B1336:B1366,B1359-36)+in_accident_renew^4*SUMIFS(AO1336:AO1366,B1336:B1366,B1359-48))</f>
        <v/>
      </c>
      <c r="AQ1359" s="40">
        <f>AQ1358*(1-IF(B1358&gt;=in_marketplace_from,d_hz_two_wheeler*G1358,0))</f>
        <v/>
      </c>
      <c r="AR1359" s="46">
        <f>AQ1359*IF(B1359&gt;=in_marketplace_from,d_hz_two_wheeler*G1359,0)</f>
        <v/>
      </c>
      <c r="AS1359" s="14">
        <f>F1359*AR1359*in_two_wheeler_ticket*in_two_wheeler_comm*in_ins_partner_share+F1359*in_two_wheeler_ticket*in_two_wheeler_comm*in_ins_partner_share*(in_two_wheeler_renew^1*SUMIFS(AR1336:AR1366,B1336:B1366,B1359-12)+in_two_wheeler_renew^2*SUMIFS(AR1336:AR1366,B1336:B1366,B1359-24)+in_two_wheeler_renew^3*SUMIFS(AR1336:AR1366,B1336:B1366,B1359-36)+in_two_wheeler_renew^4*SUMIFS(AR1336:AR1366,B1336:B1366,B1359-48))</f>
        <v/>
      </c>
      <c r="AT1359" s="40">
        <f>AT1358*(1-IF(B1358&gt;=in_marketplace_from,d_hz_device*G1358,0))</f>
        <v/>
      </c>
      <c r="AU1359" s="14">
        <f>F1359*AT1359*IF(B1359&gt;=in_marketplace_from,d_hz_device*G1359,0)*in_device_ticket*in_device_comm*in_ins_partner_share</f>
        <v/>
      </c>
      <c r="AV1359" s="40">
        <f>AV1358*(1-IF(B1358&gt;=in_marketplace_from,d_hz_shop*G1358,0))</f>
        <v/>
      </c>
      <c r="AW1359" s="46">
        <f>AV1359*IF(B1359&gt;=in_marketplace_from,d_hz_shop*G1359,0)</f>
        <v/>
      </c>
      <c r="AX1359" s="14">
        <f>F1359*AW1359*in_shop_ticket*in_shop_comm*in_ins_partner_share+F1359*in_shop_ticket*in_shop_renew_comm*in_ins_partner_share*(in_shop_renew^1*SUMIFS(AW1336:AW1366,B1336:B1366,B1359-12)+in_shop_renew^2*SUMIFS(AW1336:AW1366,B1336:B1366,B1359-24)+in_shop_renew^3*SUMIFS(AW1336:AW1366,B1336:B1366,B1359-36)+in_shop_renew^4*SUMIFS(AW1336:AW1366,B1336:B1366,B1359-48))</f>
        <v/>
      </c>
      <c r="AY1359" s="40">
        <f>AY1358*(1-IF(B1358&gt;=in_marketplace_from,d_hz_sip*G1358,0))</f>
        <v/>
      </c>
      <c r="AZ1359" s="40">
        <f>AZ1358*d_rho_sip+AY1359*IF(B1359&gt;=in_marketplace_from,d_hz_sip*G1359,0)</f>
        <v/>
      </c>
      <c r="BA1359" s="40">
        <f>d_rho_sip*(BA1358+AZ1358)</f>
        <v/>
      </c>
      <c r="BB1359" s="14">
        <f>F1359*in_sip_ticket*(BA1359+0.5*AZ1359)*in_sip_comm/12</f>
        <v/>
      </c>
      <c r="BC1359" s="40">
        <f>BC1358*(1-IF(B1358&gt;=in_marketplace_from,d_hz_choti*G1358,0))</f>
        <v/>
      </c>
      <c r="BD1359" s="46">
        <f>BC1359*IF(B1359&gt;=in_marketplace_from,d_hz_choti*G1359,0)</f>
        <v/>
      </c>
      <c r="BE1359" s="14">
        <f>F1359*SUMIFS(BD1336:BD1366,B1336:B1366,B1359-in_choti_months)*in_choti_renew*in_choti_ticket</f>
        <v/>
      </c>
      <c r="BF1359" s="40">
        <f>BF1358*(1-IF(B1358&gt;=in_marketplace_from,d_hz_nps*G1358,0))</f>
        <v/>
      </c>
      <c r="BG1359" s="14">
        <f>F1359*BF1359*IF(B1359&gt;=in_marketplace_from,d_hz_nps*G1359,0)*in_nps_ticket*in_nps_comm</f>
        <v/>
      </c>
      <c r="BH1359" s="40">
        <f>BH1358*(1-IF(B1358&gt;=in_marketplace_from,d_hz_gold*G1358,0))</f>
        <v/>
      </c>
      <c r="BI1359" s="40">
        <f>BI1358*d_rho_gold+BH1359*IF(B1359&gt;=in_marketplace_from,d_hz_gold*G1359,0)</f>
        <v/>
      </c>
      <c r="BJ1359" s="14">
        <f>F1359*BI1359*in_gold_ticket*in_gold_comm</f>
        <v/>
      </c>
      <c r="BK1359" s="40">
        <f>BK1358*(1-IF(B1358&gt;=in_marketplace_from,d_hz_fd*G1358,0))</f>
        <v/>
      </c>
      <c r="BL1359" s="14">
        <f>F1359*BK1359*IF(B1359&gt;=in_marketplace_from,d_hz_fd*G1359,0)*in_fd_ticket*in_fd_comm</f>
        <v/>
      </c>
      <c r="BM1359" s="40">
        <f>BM1358*(1-IF(B1358&gt;=in_marketplace_from,d_hz_recharge*G1358,0))</f>
        <v/>
      </c>
      <c r="BN1359" s="40">
        <f>BN1358*d_rho_recharge+BM1359*IF(B1359&gt;=in_marketplace_from,d_hz_recharge*G1359,0)</f>
        <v/>
      </c>
      <c r="BO1359" s="14">
        <f>F1359*BN1359*in_recharge_ticket*in_recharge_comm/12</f>
        <v/>
      </c>
      <c r="BP1359" s="40">
        <f>BP1358*(1-IF(B1358&gt;=in_marketplace_from,d_hz_bills*G1358,0))</f>
        <v/>
      </c>
      <c r="BQ1359" s="40">
        <f>BQ1358*d_rho_bills+BP1359*IF(B1359&gt;=in_marketplace_from,d_hz_bills*G1359,0)</f>
        <v/>
      </c>
      <c r="BR1359" s="14">
        <f>F1359*BQ1359*in_bills_ticket*in_bills_comm/12</f>
        <v/>
      </c>
      <c r="BS1359" s="40">
        <f>BS1358*(1-IF(B1358&gt;=in_marketplace_from,d_hz_loan_gold*G1358,0))</f>
        <v/>
      </c>
      <c r="BT1359" s="14">
        <f>F1359*BS1359*IF(B1359&gt;=in_marketplace_from,d_hz_loan_gold*G1359,0)*in_loan_gold_ticket*in_loan_gold_comm</f>
        <v/>
      </c>
      <c r="BU1359" s="40">
        <f>BU1358*(1-IF(B1358&gt;=in_marketplace_from,d_hz_loan_cd*G1358,0))</f>
        <v/>
      </c>
      <c r="BV1359" s="14">
        <f>F1359*BU1359*IF(B1359&gt;=in_marketplace_from,d_hz_loan_cd*G1359,0)*in_loan_cd_ticket*in_loan_cd_comm</f>
        <v/>
      </c>
      <c r="BW1359" s="40">
        <f>BW1358*(1-IF(B1358&gt;=in_marketplace_from,d_hz_loan_vehicle*G1358,0))</f>
        <v/>
      </c>
      <c r="BX1359" s="14">
        <f>F1359*BW1359*IF(B1359&gt;=in_marketplace_from,d_hz_loan_vehicle*G1359,0)*in_loan_vehicle_ticket*in_loan_vehicle_comm</f>
        <v/>
      </c>
      <c r="BY1359" s="40">
        <f>BY1358*(1-IF(B1358&gt;=in_marketplace_from,d_hz_loan_home*G1358,0)*BZ1358)</f>
        <v/>
      </c>
      <c r="BZ1359" s="11">
        <f>MIN(in_approval_cap,in_loan_home_approval*INDEX('Age profile'!$O$2:$O$61,B1359)*(1+in_approval_growth)^(D1359-1))</f>
        <v/>
      </c>
      <c r="CA1359" s="14">
        <f>F1359*BY1359*IF(B1359&gt;=in_marketplace_from,d_hz_loan_home*G1359,0)*BZ1359*in_loan_home_ticket*in_loan_home_comm</f>
        <v/>
      </c>
      <c r="CB1359" s="40">
        <f>CB1358*(1-IF(B1358&gt;=in_marketplace_from,d_hz_loan_lap*G1358,0)*CC1358)</f>
        <v/>
      </c>
      <c r="CC1359" s="11">
        <f>MIN(in_approval_cap,in_loan_lap_approval*INDEX('Age profile'!$O$2:$O$61,B1359)*(1+in_approval_growth)^(D1359-1))</f>
        <v/>
      </c>
      <c r="CD1359" s="14">
        <f>F1359*CB1359*IF(B1359&gt;=in_marketplace_from,d_hz_loan_lap*G1359,0)*CC1359*in_loan_lap_ticket*in_loan_lap_comm</f>
        <v/>
      </c>
      <c r="CE1359" s="14">
        <f>AA1359+AB1359+AC1359+AD1359+AG1359+AJ1359+AM1359+AP1359+AS1359+AU1359+AX1359+BB1359+BE1359+BG1359+BJ1359+BL1359+BO1359+BR1359+BT1359+BV1359+BX1359+CA1359+CD1359</f>
        <v/>
      </c>
    </row>
    <row r="1360">
      <c r="A1360" s="39" t="n">
        <v>30</v>
      </c>
      <c r="B1360" s="39" t="n">
        <v>25</v>
      </c>
      <c r="C1360" s="39">
        <f>A1360+B1360-1</f>
        <v/>
      </c>
      <c r="D1360" s="39">
        <f>INT((C1360-1)/12)+1</f>
        <v/>
      </c>
      <c r="E1360" s="44">
        <f>INDEX(Monthly!$B$2:$B$61,A1360)</f>
        <v/>
      </c>
      <c r="F1360" s="44">
        <f>E1360*INDEX('Age profile'!$B$2:$B$61,B1360)</f>
        <v/>
      </c>
      <c r="G1360" s="45">
        <f>MIN(in_takeup_cap,INDEX('Age profile'!$N$2:$N$61,B1360)*(1+in_takeup_growth)^(D1360-1))</f>
        <v/>
      </c>
      <c r="H1360" s="11">
        <f>MIN(in_approval_cap,in_approved_first*INDEX('Age profile'!$O$2:$O$61,B1360)*(1+in_approval_growth)^(D1360-1))</f>
        <v/>
      </c>
      <c r="I1360" s="45">
        <f>G1360*MIN(in_takeup_cap,INDEX('Age profile'!$O$2:$O$61,B1360)*(1+in_approval_growth)^(D1360-1))</f>
        <v/>
      </c>
      <c r="J1360" s="40">
        <f>(J1359-L1359)*F1360/F1359</f>
        <v/>
      </c>
      <c r="K1360" s="40">
        <f>(K1359-M1359)*F1360/F1359+SUMIFS(O1336:O1359,B1336:B1359,B1360-1-d_T)*F1360</f>
        <v/>
      </c>
      <c r="L1360" s="40">
        <f>IF(B1360&gt;=in_marketplace_from,J1360*d_hz*G1360*in_eligible*H1360,0)</f>
        <v/>
      </c>
      <c r="M1360" s="40">
        <f>IF(B1360&gt;=in_marketplace_from,K1360*d_hz*G1360*in_eligible*in_approved_repeat,0)</f>
        <v/>
      </c>
      <c r="N1360" s="40">
        <f>L1360+M1360</f>
        <v/>
      </c>
      <c r="O1360" s="46">
        <f>N1360/F1360</f>
        <v/>
      </c>
      <c r="P1360" s="40">
        <f>F1360-J1360-K1360</f>
        <v/>
      </c>
      <c r="Q1360" s="40">
        <f>IF(B1360&gt;=in_marketplace_from,(J1360+K1360)*d_hz*G1360,0)</f>
        <v/>
      </c>
      <c r="R1360" s="40">
        <f>SUMIFS(N1336:N1366,B1336:B1366,"&gt;="&amp;(B1360-d_T),B1336:B1366,"&lt;="&amp;(B1360-1))</f>
        <v/>
      </c>
      <c r="S1360" s="46">
        <f>(1-d_u)*S1359+IF(d_T&gt;in_topup_lag,SUMIFS(O1336:O1366,B1336:B1366,B1360-in_topup_lag)-d_udrop*SUMIFS(O1336:O1366,B1336:B1366,B1360-d_T),0)</f>
        <v/>
      </c>
      <c r="T1360" s="40">
        <f>F1360*d_u*S1360</f>
        <v/>
      </c>
      <c r="U1360" s="9">
        <f>L1360*in_ticket+M1360*d_rep_ticket</f>
        <v/>
      </c>
      <c r="V1360" s="9">
        <f>U1360+T1360*d_topup_amt</f>
        <v/>
      </c>
      <c r="W1360" s="40">
        <f>N1360+T1360*d_topup_ratio</f>
        <v/>
      </c>
      <c r="X1360" s="40">
        <f>SUMIFS(W1336:W1366,B1336:B1366,B1360-in_dpd_lag)*d_cured</f>
        <v/>
      </c>
      <c r="Y1360" s="40">
        <f>SUMIFS(W1336:W1366,B1336:B1366,B1360-in_rec_lag)*d_recd</f>
        <v/>
      </c>
      <c r="Z1360" s="40">
        <f>IF(AND(B1360&gt;=in_marketplace_from,B1360&lt;in_marketplace_from+in_card_months),in_card_share/in_card_months*F1360*I1360,IF(AND(B1360&gt;=in_marketplace_from+in_card_months,B1360&lt;in_marketplace_from+2*in_card_months),in_card_share*d_card_rem/in_card_months*F1360*MIN(in_takeup_cap,(1+in_takeup_growth)^(D1360-1))*MIN(in_takeup_cap,(1+in_approval_growth)^(D1360-1)),0))</f>
        <v/>
      </c>
      <c r="AA1360" s="14">
        <f>V1360*in_fee*(1-in_taken_back)</f>
        <v/>
      </c>
      <c r="AB1360" s="14">
        <f>SUMIFS(W1336:W1366,B1336:B1366,B1360-in_dpd_lag)*d_dpd</f>
        <v/>
      </c>
      <c r="AC1360" s="14">
        <f>SUMIFS(W1336:W1366,B1336:B1366,B1360-in_rec_lag)*d_rec</f>
        <v/>
      </c>
      <c r="AD1360" s="14">
        <f>Z1360*in_card_fee</f>
        <v/>
      </c>
      <c r="AE1360" s="40">
        <f>AE1359*(1-IF(B1359&gt;=in_marketplace_from,d_hz_hlth_small*G1359,0))</f>
        <v/>
      </c>
      <c r="AF1360" s="46">
        <f>AE1360*IF(B1360&gt;=in_marketplace_from,d_hz_hlth_small*G1360,0)</f>
        <v/>
      </c>
      <c r="AG1360" s="14">
        <f>F1360*AF1360*in_hlth_small_ticket*in_hlth_small_comm*in_ins_partner_share+F1360*in_hlth_small_ticket*in_hlth_small_renew_comm*in_ins_partner_share*(in_hlth_small_renew^1*SUMIFS(AF1336:AF1366,B1336:B1366,B1360-12)+in_hlth_small_renew^2*SUMIFS(AF1336:AF1366,B1336:B1366,B1360-24)+in_hlth_small_renew^3*SUMIFS(AF1336:AF1366,B1336:B1366,B1360-36)+in_hlth_small_renew^4*SUMIFS(AF1336:AF1366,B1336:B1366,B1360-48))</f>
        <v/>
      </c>
      <c r="AH1360" s="40">
        <f>AH1359*(1-IF(B1359&gt;=in_marketplace_from,d_hz_hlth_family*G1359,0))</f>
        <v/>
      </c>
      <c r="AI1360" s="46">
        <f>AH1360*IF(B1360&gt;=in_marketplace_from,d_hz_hlth_family*G1360,0)</f>
        <v/>
      </c>
      <c r="AJ1360" s="14">
        <f>F1360*AI1360*in_hlth_family_ticket*in_hlth_family_comm*in_ins_partner_share+F1360*in_hlth_family_ticket*in_hlth_family_renew_comm*in_ins_partner_share*(in_hlth_family_renew^1*SUMIFS(AI1336:AI1366,B1336:B1366,B1360-12)+in_hlth_family_renew^2*SUMIFS(AI1336:AI1366,B1336:B1366,B1360-24)+in_hlth_family_renew^3*SUMIFS(AI1336:AI1366,B1336:B1366,B1360-36)+in_hlth_family_renew^4*SUMIFS(AI1336:AI1366,B1336:B1366,B1360-48))</f>
        <v/>
      </c>
      <c r="AK1360" s="40">
        <f>AK1359*(1-IF(B1359&gt;=in_marketplace_from,d_hz_life_term*G1359,0))</f>
        <v/>
      </c>
      <c r="AL1360" s="46">
        <f>AK1360*IF(B1360&gt;=in_marketplace_from,d_hz_life_term*G1360,0)</f>
        <v/>
      </c>
      <c r="AM1360" s="14">
        <f>F1360*AL1360*in_life_term_ticket*in_life_term_comm*in_ins_partner_share+F1360*in_life_term_ticket*in_life_term_renew_comm*in_ins_partner_share*(in_life_term_renew^1*SUMIFS(AL1336:AL1366,B1336:B1366,B1360-12)+in_life_term_renew^2*SUMIFS(AL1336:AL1366,B1336:B1366,B1360-24)+in_life_term_renew^3*SUMIFS(AL1336:AL1366,B1336:B1366,B1360-36)+in_life_term_renew^4*SUMIFS(AL1336:AL1366,B1336:B1366,B1360-48))</f>
        <v/>
      </c>
      <c r="AN1360" s="40">
        <f>AN1359*(1-IF(B1359&gt;=in_marketplace_from,d_hz_accident*G1359,0))</f>
        <v/>
      </c>
      <c r="AO1360" s="46">
        <f>AN1360*IF(B1360&gt;=in_marketplace_from,d_hz_accident*G1360,0)</f>
        <v/>
      </c>
      <c r="AP1360" s="14">
        <f>F1360*AO1360*in_accident_ticket*in_accident_comm*in_ins_partner_share+F1360*in_accident_ticket*in_accident_renew_comm*in_ins_partner_share*(in_accident_renew^1*SUMIFS(AO1336:AO1366,B1336:B1366,B1360-12)+in_accident_renew^2*SUMIFS(AO1336:AO1366,B1336:B1366,B1360-24)+in_accident_renew^3*SUMIFS(AO1336:AO1366,B1336:B1366,B1360-36)+in_accident_renew^4*SUMIFS(AO1336:AO1366,B1336:B1366,B1360-48))</f>
        <v/>
      </c>
      <c r="AQ1360" s="40">
        <f>AQ1359*(1-IF(B1359&gt;=in_marketplace_from,d_hz_two_wheeler*G1359,0))</f>
        <v/>
      </c>
      <c r="AR1360" s="46">
        <f>AQ1360*IF(B1360&gt;=in_marketplace_from,d_hz_two_wheeler*G1360,0)</f>
        <v/>
      </c>
      <c r="AS1360" s="14">
        <f>F1360*AR1360*in_two_wheeler_ticket*in_two_wheeler_comm*in_ins_partner_share+F1360*in_two_wheeler_ticket*in_two_wheeler_comm*in_ins_partner_share*(in_two_wheeler_renew^1*SUMIFS(AR1336:AR1366,B1336:B1366,B1360-12)+in_two_wheeler_renew^2*SUMIFS(AR1336:AR1366,B1336:B1366,B1360-24)+in_two_wheeler_renew^3*SUMIFS(AR1336:AR1366,B1336:B1366,B1360-36)+in_two_wheeler_renew^4*SUMIFS(AR1336:AR1366,B1336:B1366,B1360-48))</f>
        <v/>
      </c>
      <c r="AT1360" s="40">
        <f>AT1359*(1-IF(B1359&gt;=in_marketplace_from,d_hz_device*G1359,0))</f>
        <v/>
      </c>
      <c r="AU1360" s="14">
        <f>F1360*AT1360*IF(B1360&gt;=in_marketplace_from,d_hz_device*G1360,0)*in_device_ticket*in_device_comm*in_ins_partner_share</f>
        <v/>
      </c>
      <c r="AV1360" s="40">
        <f>AV1359*(1-IF(B1359&gt;=in_marketplace_from,d_hz_shop*G1359,0))</f>
        <v/>
      </c>
      <c r="AW1360" s="46">
        <f>AV1360*IF(B1360&gt;=in_marketplace_from,d_hz_shop*G1360,0)</f>
        <v/>
      </c>
      <c r="AX1360" s="14">
        <f>F1360*AW1360*in_shop_ticket*in_shop_comm*in_ins_partner_share+F1360*in_shop_ticket*in_shop_renew_comm*in_ins_partner_share*(in_shop_renew^1*SUMIFS(AW1336:AW1366,B1336:B1366,B1360-12)+in_shop_renew^2*SUMIFS(AW1336:AW1366,B1336:B1366,B1360-24)+in_shop_renew^3*SUMIFS(AW1336:AW1366,B1336:B1366,B1360-36)+in_shop_renew^4*SUMIFS(AW1336:AW1366,B1336:B1366,B1360-48))</f>
        <v/>
      </c>
      <c r="AY1360" s="40">
        <f>AY1359*(1-IF(B1359&gt;=in_marketplace_from,d_hz_sip*G1359,0))</f>
        <v/>
      </c>
      <c r="AZ1360" s="40">
        <f>AZ1359*d_rho_sip+AY1360*IF(B1360&gt;=in_marketplace_from,d_hz_sip*G1360,0)</f>
        <v/>
      </c>
      <c r="BA1360" s="40">
        <f>d_rho_sip*(BA1359+AZ1359)</f>
        <v/>
      </c>
      <c r="BB1360" s="14">
        <f>F1360*in_sip_ticket*(BA1360+0.5*AZ1360)*in_sip_comm/12</f>
        <v/>
      </c>
      <c r="BC1360" s="40">
        <f>BC1359*(1-IF(B1359&gt;=in_marketplace_from,d_hz_choti*G1359,0))</f>
        <v/>
      </c>
      <c r="BD1360" s="46">
        <f>BC1360*IF(B1360&gt;=in_marketplace_from,d_hz_choti*G1360,0)</f>
        <v/>
      </c>
      <c r="BE1360" s="14">
        <f>F1360*SUMIFS(BD1336:BD1366,B1336:B1366,B1360-in_choti_months)*in_choti_renew*in_choti_ticket</f>
        <v/>
      </c>
      <c r="BF1360" s="40">
        <f>BF1359*(1-IF(B1359&gt;=in_marketplace_from,d_hz_nps*G1359,0))</f>
        <v/>
      </c>
      <c r="BG1360" s="14">
        <f>F1360*BF1360*IF(B1360&gt;=in_marketplace_from,d_hz_nps*G1360,0)*in_nps_ticket*in_nps_comm</f>
        <v/>
      </c>
      <c r="BH1360" s="40">
        <f>BH1359*(1-IF(B1359&gt;=in_marketplace_from,d_hz_gold*G1359,0))</f>
        <v/>
      </c>
      <c r="BI1360" s="40">
        <f>BI1359*d_rho_gold+BH1360*IF(B1360&gt;=in_marketplace_from,d_hz_gold*G1360,0)</f>
        <v/>
      </c>
      <c r="BJ1360" s="14">
        <f>F1360*BI1360*in_gold_ticket*in_gold_comm</f>
        <v/>
      </c>
      <c r="BK1360" s="40">
        <f>BK1359*(1-IF(B1359&gt;=in_marketplace_from,d_hz_fd*G1359,0))</f>
        <v/>
      </c>
      <c r="BL1360" s="14">
        <f>F1360*BK1360*IF(B1360&gt;=in_marketplace_from,d_hz_fd*G1360,0)*in_fd_ticket*in_fd_comm</f>
        <v/>
      </c>
      <c r="BM1360" s="40">
        <f>BM1359*(1-IF(B1359&gt;=in_marketplace_from,d_hz_recharge*G1359,0))</f>
        <v/>
      </c>
      <c r="BN1360" s="40">
        <f>BN1359*d_rho_recharge+BM1360*IF(B1360&gt;=in_marketplace_from,d_hz_recharge*G1360,0)</f>
        <v/>
      </c>
      <c r="BO1360" s="14">
        <f>F1360*BN1360*in_recharge_ticket*in_recharge_comm/12</f>
        <v/>
      </c>
      <c r="BP1360" s="40">
        <f>BP1359*(1-IF(B1359&gt;=in_marketplace_from,d_hz_bills*G1359,0))</f>
        <v/>
      </c>
      <c r="BQ1360" s="40">
        <f>BQ1359*d_rho_bills+BP1360*IF(B1360&gt;=in_marketplace_from,d_hz_bills*G1360,0)</f>
        <v/>
      </c>
      <c r="BR1360" s="14">
        <f>F1360*BQ1360*in_bills_ticket*in_bills_comm/12</f>
        <v/>
      </c>
      <c r="BS1360" s="40">
        <f>BS1359*(1-IF(B1359&gt;=in_marketplace_from,d_hz_loan_gold*G1359,0))</f>
        <v/>
      </c>
      <c r="BT1360" s="14">
        <f>F1360*BS1360*IF(B1360&gt;=in_marketplace_from,d_hz_loan_gold*G1360,0)*in_loan_gold_ticket*in_loan_gold_comm</f>
        <v/>
      </c>
      <c r="BU1360" s="40">
        <f>BU1359*(1-IF(B1359&gt;=in_marketplace_from,d_hz_loan_cd*G1359,0))</f>
        <v/>
      </c>
      <c r="BV1360" s="14">
        <f>F1360*BU1360*IF(B1360&gt;=in_marketplace_from,d_hz_loan_cd*G1360,0)*in_loan_cd_ticket*in_loan_cd_comm</f>
        <v/>
      </c>
      <c r="BW1360" s="40">
        <f>BW1359*(1-IF(B1359&gt;=in_marketplace_from,d_hz_loan_vehicle*G1359,0))</f>
        <v/>
      </c>
      <c r="BX1360" s="14">
        <f>F1360*BW1360*IF(B1360&gt;=in_marketplace_from,d_hz_loan_vehicle*G1360,0)*in_loan_vehicle_ticket*in_loan_vehicle_comm</f>
        <v/>
      </c>
      <c r="BY1360" s="40">
        <f>BY1359*(1-IF(B1359&gt;=in_marketplace_from,d_hz_loan_home*G1359,0)*BZ1359)</f>
        <v/>
      </c>
      <c r="BZ1360" s="11">
        <f>MIN(in_approval_cap,in_loan_home_approval*INDEX('Age profile'!$O$2:$O$61,B1360)*(1+in_approval_growth)^(D1360-1))</f>
        <v/>
      </c>
      <c r="CA1360" s="14">
        <f>F1360*BY1360*IF(B1360&gt;=in_marketplace_from,d_hz_loan_home*G1360,0)*BZ1360*in_loan_home_ticket*in_loan_home_comm</f>
        <v/>
      </c>
      <c r="CB1360" s="40">
        <f>CB1359*(1-IF(B1359&gt;=in_marketplace_from,d_hz_loan_lap*G1359,0)*CC1359)</f>
        <v/>
      </c>
      <c r="CC1360" s="11">
        <f>MIN(in_approval_cap,in_loan_lap_approval*INDEX('Age profile'!$O$2:$O$61,B1360)*(1+in_approval_growth)^(D1360-1))</f>
        <v/>
      </c>
      <c r="CD1360" s="14">
        <f>F1360*CB1360*IF(B1360&gt;=in_marketplace_from,d_hz_loan_lap*G1360,0)*CC1360*in_loan_lap_ticket*in_loan_lap_comm</f>
        <v/>
      </c>
      <c r="CE1360" s="14">
        <f>AA1360+AB1360+AC1360+AD1360+AG1360+AJ1360+AM1360+AP1360+AS1360+AU1360+AX1360+BB1360+BE1360+BG1360+BJ1360+BL1360+BO1360+BR1360+BT1360+BV1360+BX1360+CA1360+CD1360</f>
        <v/>
      </c>
    </row>
    <row r="1361">
      <c r="A1361" s="39" t="n">
        <v>30</v>
      </c>
      <c r="B1361" s="39" t="n">
        <v>26</v>
      </c>
      <c r="C1361" s="39">
        <f>A1361+B1361-1</f>
        <v/>
      </c>
      <c r="D1361" s="39">
        <f>INT((C1361-1)/12)+1</f>
        <v/>
      </c>
      <c r="E1361" s="44">
        <f>INDEX(Monthly!$B$2:$B$61,A1361)</f>
        <v/>
      </c>
      <c r="F1361" s="44">
        <f>E1361*INDEX('Age profile'!$B$2:$B$61,B1361)</f>
        <v/>
      </c>
      <c r="G1361" s="45">
        <f>MIN(in_takeup_cap,INDEX('Age profile'!$N$2:$N$61,B1361)*(1+in_takeup_growth)^(D1361-1))</f>
        <v/>
      </c>
      <c r="H1361" s="11">
        <f>MIN(in_approval_cap,in_approved_first*INDEX('Age profile'!$O$2:$O$61,B1361)*(1+in_approval_growth)^(D1361-1))</f>
        <v/>
      </c>
      <c r="I1361" s="45">
        <f>G1361*MIN(in_takeup_cap,INDEX('Age profile'!$O$2:$O$61,B1361)*(1+in_approval_growth)^(D1361-1))</f>
        <v/>
      </c>
      <c r="J1361" s="40">
        <f>(J1360-L1360)*F1361/F1360</f>
        <v/>
      </c>
      <c r="K1361" s="40">
        <f>(K1360-M1360)*F1361/F1360+SUMIFS(O1336:O1360,B1336:B1360,B1361-1-d_T)*F1361</f>
        <v/>
      </c>
      <c r="L1361" s="40">
        <f>IF(B1361&gt;=in_marketplace_from,J1361*d_hz*G1361*in_eligible*H1361,0)</f>
        <v/>
      </c>
      <c r="M1361" s="40">
        <f>IF(B1361&gt;=in_marketplace_from,K1361*d_hz*G1361*in_eligible*in_approved_repeat,0)</f>
        <v/>
      </c>
      <c r="N1361" s="40">
        <f>L1361+M1361</f>
        <v/>
      </c>
      <c r="O1361" s="46">
        <f>N1361/F1361</f>
        <v/>
      </c>
      <c r="P1361" s="40">
        <f>F1361-J1361-K1361</f>
        <v/>
      </c>
      <c r="Q1361" s="40">
        <f>IF(B1361&gt;=in_marketplace_from,(J1361+K1361)*d_hz*G1361,0)</f>
        <v/>
      </c>
      <c r="R1361" s="40">
        <f>SUMIFS(N1336:N1366,B1336:B1366,"&gt;="&amp;(B1361-d_T),B1336:B1366,"&lt;="&amp;(B1361-1))</f>
        <v/>
      </c>
      <c r="S1361" s="46">
        <f>(1-d_u)*S1360+IF(d_T&gt;in_topup_lag,SUMIFS(O1336:O1366,B1336:B1366,B1361-in_topup_lag)-d_udrop*SUMIFS(O1336:O1366,B1336:B1366,B1361-d_T),0)</f>
        <v/>
      </c>
      <c r="T1361" s="40">
        <f>F1361*d_u*S1361</f>
        <v/>
      </c>
      <c r="U1361" s="9">
        <f>L1361*in_ticket+M1361*d_rep_ticket</f>
        <v/>
      </c>
      <c r="V1361" s="9">
        <f>U1361+T1361*d_topup_amt</f>
        <v/>
      </c>
      <c r="W1361" s="40">
        <f>N1361+T1361*d_topup_ratio</f>
        <v/>
      </c>
      <c r="X1361" s="40">
        <f>SUMIFS(W1336:W1366,B1336:B1366,B1361-in_dpd_lag)*d_cured</f>
        <v/>
      </c>
      <c r="Y1361" s="40">
        <f>SUMIFS(W1336:W1366,B1336:B1366,B1361-in_rec_lag)*d_recd</f>
        <v/>
      </c>
      <c r="Z1361" s="40">
        <f>IF(AND(B1361&gt;=in_marketplace_from,B1361&lt;in_marketplace_from+in_card_months),in_card_share/in_card_months*F1361*I1361,IF(AND(B1361&gt;=in_marketplace_from+in_card_months,B1361&lt;in_marketplace_from+2*in_card_months),in_card_share*d_card_rem/in_card_months*F1361*MIN(in_takeup_cap,(1+in_takeup_growth)^(D1361-1))*MIN(in_takeup_cap,(1+in_approval_growth)^(D1361-1)),0))</f>
        <v/>
      </c>
      <c r="AA1361" s="14">
        <f>V1361*in_fee*(1-in_taken_back)</f>
        <v/>
      </c>
      <c r="AB1361" s="14">
        <f>SUMIFS(W1336:W1366,B1336:B1366,B1361-in_dpd_lag)*d_dpd</f>
        <v/>
      </c>
      <c r="AC1361" s="14">
        <f>SUMIFS(W1336:W1366,B1336:B1366,B1361-in_rec_lag)*d_rec</f>
        <v/>
      </c>
      <c r="AD1361" s="14">
        <f>Z1361*in_card_fee</f>
        <v/>
      </c>
      <c r="AE1361" s="40">
        <f>AE1360*(1-IF(B1360&gt;=in_marketplace_from,d_hz_hlth_small*G1360,0))</f>
        <v/>
      </c>
      <c r="AF1361" s="46">
        <f>AE1361*IF(B1361&gt;=in_marketplace_from,d_hz_hlth_small*G1361,0)</f>
        <v/>
      </c>
      <c r="AG1361" s="14">
        <f>F1361*AF1361*in_hlth_small_ticket*in_hlth_small_comm*in_ins_partner_share+F1361*in_hlth_small_ticket*in_hlth_small_renew_comm*in_ins_partner_share*(in_hlth_small_renew^1*SUMIFS(AF1336:AF1366,B1336:B1366,B1361-12)+in_hlth_small_renew^2*SUMIFS(AF1336:AF1366,B1336:B1366,B1361-24)+in_hlth_small_renew^3*SUMIFS(AF1336:AF1366,B1336:B1366,B1361-36)+in_hlth_small_renew^4*SUMIFS(AF1336:AF1366,B1336:B1366,B1361-48))</f>
        <v/>
      </c>
      <c r="AH1361" s="40">
        <f>AH1360*(1-IF(B1360&gt;=in_marketplace_from,d_hz_hlth_family*G1360,0))</f>
        <v/>
      </c>
      <c r="AI1361" s="46">
        <f>AH1361*IF(B1361&gt;=in_marketplace_from,d_hz_hlth_family*G1361,0)</f>
        <v/>
      </c>
      <c r="AJ1361" s="14">
        <f>F1361*AI1361*in_hlth_family_ticket*in_hlth_family_comm*in_ins_partner_share+F1361*in_hlth_family_ticket*in_hlth_family_renew_comm*in_ins_partner_share*(in_hlth_family_renew^1*SUMIFS(AI1336:AI1366,B1336:B1366,B1361-12)+in_hlth_family_renew^2*SUMIFS(AI1336:AI1366,B1336:B1366,B1361-24)+in_hlth_family_renew^3*SUMIFS(AI1336:AI1366,B1336:B1366,B1361-36)+in_hlth_family_renew^4*SUMIFS(AI1336:AI1366,B1336:B1366,B1361-48))</f>
        <v/>
      </c>
      <c r="AK1361" s="40">
        <f>AK1360*(1-IF(B1360&gt;=in_marketplace_from,d_hz_life_term*G1360,0))</f>
        <v/>
      </c>
      <c r="AL1361" s="46">
        <f>AK1361*IF(B1361&gt;=in_marketplace_from,d_hz_life_term*G1361,0)</f>
        <v/>
      </c>
      <c r="AM1361" s="14">
        <f>F1361*AL1361*in_life_term_ticket*in_life_term_comm*in_ins_partner_share+F1361*in_life_term_ticket*in_life_term_renew_comm*in_ins_partner_share*(in_life_term_renew^1*SUMIFS(AL1336:AL1366,B1336:B1366,B1361-12)+in_life_term_renew^2*SUMIFS(AL1336:AL1366,B1336:B1366,B1361-24)+in_life_term_renew^3*SUMIFS(AL1336:AL1366,B1336:B1366,B1361-36)+in_life_term_renew^4*SUMIFS(AL1336:AL1366,B1336:B1366,B1361-48))</f>
        <v/>
      </c>
      <c r="AN1361" s="40">
        <f>AN1360*(1-IF(B1360&gt;=in_marketplace_from,d_hz_accident*G1360,0))</f>
        <v/>
      </c>
      <c r="AO1361" s="46">
        <f>AN1361*IF(B1361&gt;=in_marketplace_from,d_hz_accident*G1361,0)</f>
        <v/>
      </c>
      <c r="AP1361" s="14">
        <f>F1361*AO1361*in_accident_ticket*in_accident_comm*in_ins_partner_share+F1361*in_accident_ticket*in_accident_renew_comm*in_ins_partner_share*(in_accident_renew^1*SUMIFS(AO1336:AO1366,B1336:B1366,B1361-12)+in_accident_renew^2*SUMIFS(AO1336:AO1366,B1336:B1366,B1361-24)+in_accident_renew^3*SUMIFS(AO1336:AO1366,B1336:B1366,B1361-36)+in_accident_renew^4*SUMIFS(AO1336:AO1366,B1336:B1366,B1361-48))</f>
        <v/>
      </c>
      <c r="AQ1361" s="40">
        <f>AQ1360*(1-IF(B1360&gt;=in_marketplace_from,d_hz_two_wheeler*G1360,0))</f>
        <v/>
      </c>
      <c r="AR1361" s="46">
        <f>AQ1361*IF(B1361&gt;=in_marketplace_from,d_hz_two_wheeler*G1361,0)</f>
        <v/>
      </c>
      <c r="AS1361" s="14">
        <f>F1361*AR1361*in_two_wheeler_ticket*in_two_wheeler_comm*in_ins_partner_share+F1361*in_two_wheeler_ticket*in_two_wheeler_comm*in_ins_partner_share*(in_two_wheeler_renew^1*SUMIFS(AR1336:AR1366,B1336:B1366,B1361-12)+in_two_wheeler_renew^2*SUMIFS(AR1336:AR1366,B1336:B1366,B1361-24)+in_two_wheeler_renew^3*SUMIFS(AR1336:AR1366,B1336:B1366,B1361-36)+in_two_wheeler_renew^4*SUMIFS(AR1336:AR1366,B1336:B1366,B1361-48))</f>
        <v/>
      </c>
      <c r="AT1361" s="40">
        <f>AT1360*(1-IF(B1360&gt;=in_marketplace_from,d_hz_device*G1360,0))</f>
        <v/>
      </c>
      <c r="AU1361" s="14">
        <f>F1361*AT1361*IF(B1361&gt;=in_marketplace_from,d_hz_device*G1361,0)*in_device_ticket*in_device_comm*in_ins_partner_share</f>
        <v/>
      </c>
      <c r="AV1361" s="40">
        <f>AV1360*(1-IF(B1360&gt;=in_marketplace_from,d_hz_shop*G1360,0))</f>
        <v/>
      </c>
      <c r="AW1361" s="46">
        <f>AV1361*IF(B1361&gt;=in_marketplace_from,d_hz_shop*G1361,0)</f>
        <v/>
      </c>
      <c r="AX1361" s="14">
        <f>F1361*AW1361*in_shop_ticket*in_shop_comm*in_ins_partner_share+F1361*in_shop_ticket*in_shop_renew_comm*in_ins_partner_share*(in_shop_renew^1*SUMIFS(AW1336:AW1366,B1336:B1366,B1361-12)+in_shop_renew^2*SUMIFS(AW1336:AW1366,B1336:B1366,B1361-24)+in_shop_renew^3*SUMIFS(AW1336:AW1366,B1336:B1366,B1361-36)+in_shop_renew^4*SUMIFS(AW1336:AW1366,B1336:B1366,B1361-48))</f>
        <v/>
      </c>
      <c r="AY1361" s="40">
        <f>AY1360*(1-IF(B1360&gt;=in_marketplace_from,d_hz_sip*G1360,0))</f>
        <v/>
      </c>
      <c r="AZ1361" s="40">
        <f>AZ1360*d_rho_sip+AY1361*IF(B1361&gt;=in_marketplace_from,d_hz_sip*G1361,0)</f>
        <v/>
      </c>
      <c r="BA1361" s="40">
        <f>d_rho_sip*(BA1360+AZ1360)</f>
        <v/>
      </c>
      <c r="BB1361" s="14">
        <f>F1361*in_sip_ticket*(BA1361+0.5*AZ1361)*in_sip_comm/12</f>
        <v/>
      </c>
      <c r="BC1361" s="40">
        <f>BC1360*(1-IF(B1360&gt;=in_marketplace_from,d_hz_choti*G1360,0))</f>
        <v/>
      </c>
      <c r="BD1361" s="46">
        <f>BC1361*IF(B1361&gt;=in_marketplace_from,d_hz_choti*G1361,0)</f>
        <v/>
      </c>
      <c r="BE1361" s="14">
        <f>F1361*SUMIFS(BD1336:BD1366,B1336:B1366,B1361-in_choti_months)*in_choti_renew*in_choti_ticket</f>
        <v/>
      </c>
      <c r="BF1361" s="40">
        <f>BF1360*(1-IF(B1360&gt;=in_marketplace_from,d_hz_nps*G1360,0))</f>
        <v/>
      </c>
      <c r="BG1361" s="14">
        <f>F1361*BF1361*IF(B1361&gt;=in_marketplace_from,d_hz_nps*G1361,0)*in_nps_ticket*in_nps_comm</f>
        <v/>
      </c>
      <c r="BH1361" s="40">
        <f>BH1360*(1-IF(B1360&gt;=in_marketplace_from,d_hz_gold*G1360,0))</f>
        <v/>
      </c>
      <c r="BI1361" s="40">
        <f>BI1360*d_rho_gold+BH1361*IF(B1361&gt;=in_marketplace_from,d_hz_gold*G1361,0)</f>
        <v/>
      </c>
      <c r="BJ1361" s="14">
        <f>F1361*BI1361*in_gold_ticket*in_gold_comm</f>
        <v/>
      </c>
      <c r="BK1361" s="40">
        <f>BK1360*(1-IF(B1360&gt;=in_marketplace_from,d_hz_fd*G1360,0))</f>
        <v/>
      </c>
      <c r="BL1361" s="14">
        <f>F1361*BK1361*IF(B1361&gt;=in_marketplace_from,d_hz_fd*G1361,0)*in_fd_ticket*in_fd_comm</f>
        <v/>
      </c>
      <c r="BM1361" s="40">
        <f>BM1360*(1-IF(B1360&gt;=in_marketplace_from,d_hz_recharge*G1360,0))</f>
        <v/>
      </c>
      <c r="BN1361" s="40">
        <f>BN1360*d_rho_recharge+BM1361*IF(B1361&gt;=in_marketplace_from,d_hz_recharge*G1361,0)</f>
        <v/>
      </c>
      <c r="BO1361" s="14">
        <f>F1361*BN1361*in_recharge_ticket*in_recharge_comm/12</f>
        <v/>
      </c>
      <c r="BP1361" s="40">
        <f>BP1360*(1-IF(B1360&gt;=in_marketplace_from,d_hz_bills*G1360,0))</f>
        <v/>
      </c>
      <c r="BQ1361" s="40">
        <f>BQ1360*d_rho_bills+BP1361*IF(B1361&gt;=in_marketplace_from,d_hz_bills*G1361,0)</f>
        <v/>
      </c>
      <c r="BR1361" s="14">
        <f>F1361*BQ1361*in_bills_ticket*in_bills_comm/12</f>
        <v/>
      </c>
      <c r="BS1361" s="40">
        <f>BS1360*(1-IF(B1360&gt;=in_marketplace_from,d_hz_loan_gold*G1360,0))</f>
        <v/>
      </c>
      <c r="BT1361" s="14">
        <f>F1361*BS1361*IF(B1361&gt;=in_marketplace_from,d_hz_loan_gold*G1361,0)*in_loan_gold_ticket*in_loan_gold_comm</f>
        <v/>
      </c>
      <c r="BU1361" s="40">
        <f>BU1360*(1-IF(B1360&gt;=in_marketplace_from,d_hz_loan_cd*G1360,0))</f>
        <v/>
      </c>
      <c r="BV1361" s="14">
        <f>F1361*BU1361*IF(B1361&gt;=in_marketplace_from,d_hz_loan_cd*G1361,0)*in_loan_cd_ticket*in_loan_cd_comm</f>
        <v/>
      </c>
      <c r="BW1361" s="40">
        <f>BW1360*(1-IF(B1360&gt;=in_marketplace_from,d_hz_loan_vehicle*G1360,0))</f>
        <v/>
      </c>
      <c r="BX1361" s="14">
        <f>F1361*BW1361*IF(B1361&gt;=in_marketplace_from,d_hz_loan_vehicle*G1361,0)*in_loan_vehicle_ticket*in_loan_vehicle_comm</f>
        <v/>
      </c>
      <c r="BY1361" s="40">
        <f>BY1360*(1-IF(B1360&gt;=in_marketplace_from,d_hz_loan_home*G1360,0)*BZ1360)</f>
        <v/>
      </c>
      <c r="BZ1361" s="11">
        <f>MIN(in_approval_cap,in_loan_home_approval*INDEX('Age profile'!$O$2:$O$61,B1361)*(1+in_approval_growth)^(D1361-1))</f>
        <v/>
      </c>
      <c r="CA1361" s="14">
        <f>F1361*BY1361*IF(B1361&gt;=in_marketplace_from,d_hz_loan_home*G1361,0)*BZ1361*in_loan_home_ticket*in_loan_home_comm</f>
        <v/>
      </c>
      <c r="CB1361" s="40">
        <f>CB1360*(1-IF(B1360&gt;=in_marketplace_from,d_hz_loan_lap*G1360,0)*CC1360)</f>
        <v/>
      </c>
      <c r="CC1361" s="11">
        <f>MIN(in_approval_cap,in_loan_lap_approval*INDEX('Age profile'!$O$2:$O$61,B1361)*(1+in_approval_growth)^(D1361-1))</f>
        <v/>
      </c>
      <c r="CD1361" s="14">
        <f>F1361*CB1361*IF(B1361&gt;=in_marketplace_from,d_hz_loan_lap*G1361,0)*CC1361*in_loan_lap_ticket*in_loan_lap_comm</f>
        <v/>
      </c>
      <c r="CE1361" s="14">
        <f>AA1361+AB1361+AC1361+AD1361+AG1361+AJ1361+AM1361+AP1361+AS1361+AU1361+AX1361+BB1361+BE1361+BG1361+BJ1361+BL1361+BO1361+BR1361+BT1361+BV1361+BX1361+CA1361+CD1361</f>
        <v/>
      </c>
    </row>
    <row r="1362">
      <c r="A1362" s="39" t="n">
        <v>30</v>
      </c>
      <c r="B1362" s="39" t="n">
        <v>27</v>
      </c>
      <c r="C1362" s="39">
        <f>A1362+B1362-1</f>
        <v/>
      </c>
      <c r="D1362" s="39">
        <f>INT((C1362-1)/12)+1</f>
        <v/>
      </c>
      <c r="E1362" s="44">
        <f>INDEX(Monthly!$B$2:$B$61,A1362)</f>
        <v/>
      </c>
      <c r="F1362" s="44">
        <f>E1362*INDEX('Age profile'!$B$2:$B$61,B1362)</f>
        <v/>
      </c>
      <c r="G1362" s="45">
        <f>MIN(in_takeup_cap,INDEX('Age profile'!$N$2:$N$61,B1362)*(1+in_takeup_growth)^(D1362-1))</f>
        <v/>
      </c>
      <c r="H1362" s="11">
        <f>MIN(in_approval_cap,in_approved_first*INDEX('Age profile'!$O$2:$O$61,B1362)*(1+in_approval_growth)^(D1362-1))</f>
        <v/>
      </c>
      <c r="I1362" s="45">
        <f>G1362*MIN(in_takeup_cap,INDEX('Age profile'!$O$2:$O$61,B1362)*(1+in_approval_growth)^(D1362-1))</f>
        <v/>
      </c>
      <c r="J1362" s="40">
        <f>(J1361-L1361)*F1362/F1361</f>
        <v/>
      </c>
      <c r="K1362" s="40">
        <f>(K1361-M1361)*F1362/F1361+SUMIFS(O1336:O1361,B1336:B1361,B1362-1-d_T)*F1362</f>
        <v/>
      </c>
      <c r="L1362" s="40">
        <f>IF(B1362&gt;=in_marketplace_from,J1362*d_hz*G1362*in_eligible*H1362,0)</f>
        <v/>
      </c>
      <c r="M1362" s="40">
        <f>IF(B1362&gt;=in_marketplace_from,K1362*d_hz*G1362*in_eligible*in_approved_repeat,0)</f>
        <v/>
      </c>
      <c r="N1362" s="40">
        <f>L1362+M1362</f>
        <v/>
      </c>
      <c r="O1362" s="46">
        <f>N1362/F1362</f>
        <v/>
      </c>
      <c r="P1362" s="40">
        <f>F1362-J1362-K1362</f>
        <v/>
      </c>
      <c r="Q1362" s="40">
        <f>IF(B1362&gt;=in_marketplace_from,(J1362+K1362)*d_hz*G1362,0)</f>
        <v/>
      </c>
      <c r="R1362" s="40">
        <f>SUMIFS(N1336:N1366,B1336:B1366,"&gt;="&amp;(B1362-d_T),B1336:B1366,"&lt;="&amp;(B1362-1))</f>
        <v/>
      </c>
      <c r="S1362" s="46">
        <f>(1-d_u)*S1361+IF(d_T&gt;in_topup_lag,SUMIFS(O1336:O1366,B1336:B1366,B1362-in_topup_lag)-d_udrop*SUMIFS(O1336:O1366,B1336:B1366,B1362-d_T),0)</f>
        <v/>
      </c>
      <c r="T1362" s="40">
        <f>F1362*d_u*S1362</f>
        <v/>
      </c>
      <c r="U1362" s="9">
        <f>L1362*in_ticket+M1362*d_rep_ticket</f>
        <v/>
      </c>
      <c r="V1362" s="9">
        <f>U1362+T1362*d_topup_amt</f>
        <v/>
      </c>
      <c r="W1362" s="40">
        <f>N1362+T1362*d_topup_ratio</f>
        <v/>
      </c>
      <c r="X1362" s="40">
        <f>SUMIFS(W1336:W1366,B1336:B1366,B1362-in_dpd_lag)*d_cured</f>
        <v/>
      </c>
      <c r="Y1362" s="40">
        <f>SUMIFS(W1336:W1366,B1336:B1366,B1362-in_rec_lag)*d_recd</f>
        <v/>
      </c>
      <c r="Z1362" s="40">
        <f>IF(AND(B1362&gt;=in_marketplace_from,B1362&lt;in_marketplace_from+in_card_months),in_card_share/in_card_months*F1362*I1362,IF(AND(B1362&gt;=in_marketplace_from+in_card_months,B1362&lt;in_marketplace_from+2*in_card_months),in_card_share*d_card_rem/in_card_months*F1362*MIN(in_takeup_cap,(1+in_takeup_growth)^(D1362-1))*MIN(in_takeup_cap,(1+in_approval_growth)^(D1362-1)),0))</f>
        <v/>
      </c>
      <c r="AA1362" s="14">
        <f>V1362*in_fee*(1-in_taken_back)</f>
        <v/>
      </c>
      <c r="AB1362" s="14">
        <f>SUMIFS(W1336:W1366,B1336:B1366,B1362-in_dpd_lag)*d_dpd</f>
        <v/>
      </c>
      <c r="AC1362" s="14">
        <f>SUMIFS(W1336:W1366,B1336:B1366,B1362-in_rec_lag)*d_rec</f>
        <v/>
      </c>
      <c r="AD1362" s="14">
        <f>Z1362*in_card_fee</f>
        <v/>
      </c>
      <c r="AE1362" s="40">
        <f>AE1361*(1-IF(B1361&gt;=in_marketplace_from,d_hz_hlth_small*G1361,0))</f>
        <v/>
      </c>
      <c r="AF1362" s="46">
        <f>AE1362*IF(B1362&gt;=in_marketplace_from,d_hz_hlth_small*G1362,0)</f>
        <v/>
      </c>
      <c r="AG1362" s="14">
        <f>F1362*AF1362*in_hlth_small_ticket*in_hlth_small_comm*in_ins_partner_share+F1362*in_hlth_small_ticket*in_hlth_small_renew_comm*in_ins_partner_share*(in_hlth_small_renew^1*SUMIFS(AF1336:AF1366,B1336:B1366,B1362-12)+in_hlth_small_renew^2*SUMIFS(AF1336:AF1366,B1336:B1366,B1362-24)+in_hlth_small_renew^3*SUMIFS(AF1336:AF1366,B1336:B1366,B1362-36)+in_hlth_small_renew^4*SUMIFS(AF1336:AF1366,B1336:B1366,B1362-48))</f>
        <v/>
      </c>
      <c r="AH1362" s="40">
        <f>AH1361*(1-IF(B1361&gt;=in_marketplace_from,d_hz_hlth_family*G1361,0))</f>
        <v/>
      </c>
      <c r="AI1362" s="46">
        <f>AH1362*IF(B1362&gt;=in_marketplace_from,d_hz_hlth_family*G1362,0)</f>
        <v/>
      </c>
      <c r="AJ1362" s="14">
        <f>F1362*AI1362*in_hlth_family_ticket*in_hlth_family_comm*in_ins_partner_share+F1362*in_hlth_family_ticket*in_hlth_family_renew_comm*in_ins_partner_share*(in_hlth_family_renew^1*SUMIFS(AI1336:AI1366,B1336:B1366,B1362-12)+in_hlth_family_renew^2*SUMIFS(AI1336:AI1366,B1336:B1366,B1362-24)+in_hlth_family_renew^3*SUMIFS(AI1336:AI1366,B1336:B1366,B1362-36)+in_hlth_family_renew^4*SUMIFS(AI1336:AI1366,B1336:B1366,B1362-48))</f>
        <v/>
      </c>
      <c r="AK1362" s="40">
        <f>AK1361*(1-IF(B1361&gt;=in_marketplace_from,d_hz_life_term*G1361,0))</f>
        <v/>
      </c>
      <c r="AL1362" s="46">
        <f>AK1362*IF(B1362&gt;=in_marketplace_from,d_hz_life_term*G1362,0)</f>
        <v/>
      </c>
      <c r="AM1362" s="14">
        <f>F1362*AL1362*in_life_term_ticket*in_life_term_comm*in_ins_partner_share+F1362*in_life_term_ticket*in_life_term_renew_comm*in_ins_partner_share*(in_life_term_renew^1*SUMIFS(AL1336:AL1366,B1336:B1366,B1362-12)+in_life_term_renew^2*SUMIFS(AL1336:AL1366,B1336:B1366,B1362-24)+in_life_term_renew^3*SUMIFS(AL1336:AL1366,B1336:B1366,B1362-36)+in_life_term_renew^4*SUMIFS(AL1336:AL1366,B1336:B1366,B1362-48))</f>
        <v/>
      </c>
      <c r="AN1362" s="40">
        <f>AN1361*(1-IF(B1361&gt;=in_marketplace_from,d_hz_accident*G1361,0))</f>
        <v/>
      </c>
      <c r="AO1362" s="46">
        <f>AN1362*IF(B1362&gt;=in_marketplace_from,d_hz_accident*G1362,0)</f>
        <v/>
      </c>
      <c r="AP1362" s="14">
        <f>F1362*AO1362*in_accident_ticket*in_accident_comm*in_ins_partner_share+F1362*in_accident_ticket*in_accident_renew_comm*in_ins_partner_share*(in_accident_renew^1*SUMIFS(AO1336:AO1366,B1336:B1366,B1362-12)+in_accident_renew^2*SUMIFS(AO1336:AO1366,B1336:B1366,B1362-24)+in_accident_renew^3*SUMIFS(AO1336:AO1366,B1336:B1366,B1362-36)+in_accident_renew^4*SUMIFS(AO1336:AO1366,B1336:B1366,B1362-48))</f>
        <v/>
      </c>
      <c r="AQ1362" s="40">
        <f>AQ1361*(1-IF(B1361&gt;=in_marketplace_from,d_hz_two_wheeler*G1361,0))</f>
        <v/>
      </c>
      <c r="AR1362" s="46">
        <f>AQ1362*IF(B1362&gt;=in_marketplace_from,d_hz_two_wheeler*G1362,0)</f>
        <v/>
      </c>
      <c r="AS1362" s="14">
        <f>F1362*AR1362*in_two_wheeler_ticket*in_two_wheeler_comm*in_ins_partner_share+F1362*in_two_wheeler_ticket*in_two_wheeler_comm*in_ins_partner_share*(in_two_wheeler_renew^1*SUMIFS(AR1336:AR1366,B1336:B1366,B1362-12)+in_two_wheeler_renew^2*SUMIFS(AR1336:AR1366,B1336:B1366,B1362-24)+in_two_wheeler_renew^3*SUMIFS(AR1336:AR1366,B1336:B1366,B1362-36)+in_two_wheeler_renew^4*SUMIFS(AR1336:AR1366,B1336:B1366,B1362-48))</f>
        <v/>
      </c>
      <c r="AT1362" s="40">
        <f>AT1361*(1-IF(B1361&gt;=in_marketplace_from,d_hz_device*G1361,0))</f>
        <v/>
      </c>
      <c r="AU1362" s="14">
        <f>F1362*AT1362*IF(B1362&gt;=in_marketplace_from,d_hz_device*G1362,0)*in_device_ticket*in_device_comm*in_ins_partner_share</f>
        <v/>
      </c>
      <c r="AV1362" s="40">
        <f>AV1361*(1-IF(B1361&gt;=in_marketplace_from,d_hz_shop*G1361,0))</f>
        <v/>
      </c>
      <c r="AW1362" s="46">
        <f>AV1362*IF(B1362&gt;=in_marketplace_from,d_hz_shop*G1362,0)</f>
        <v/>
      </c>
      <c r="AX1362" s="14">
        <f>F1362*AW1362*in_shop_ticket*in_shop_comm*in_ins_partner_share+F1362*in_shop_ticket*in_shop_renew_comm*in_ins_partner_share*(in_shop_renew^1*SUMIFS(AW1336:AW1366,B1336:B1366,B1362-12)+in_shop_renew^2*SUMIFS(AW1336:AW1366,B1336:B1366,B1362-24)+in_shop_renew^3*SUMIFS(AW1336:AW1366,B1336:B1366,B1362-36)+in_shop_renew^4*SUMIFS(AW1336:AW1366,B1336:B1366,B1362-48))</f>
        <v/>
      </c>
      <c r="AY1362" s="40">
        <f>AY1361*(1-IF(B1361&gt;=in_marketplace_from,d_hz_sip*G1361,0))</f>
        <v/>
      </c>
      <c r="AZ1362" s="40">
        <f>AZ1361*d_rho_sip+AY1362*IF(B1362&gt;=in_marketplace_from,d_hz_sip*G1362,0)</f>
        <v/>
      </c>
      <c r="BA1362" s="40">
        <f>d_rho_sip*(BA1361+AZ1361)</f>
        <v/>
      </c>
      <c r="BB1362" s="14">
        <f>F1362*in_sip_ticket*(BA1362+0.5*AZ1362)*in_sip_comm/12</f>
        <v/>
      </c>
      <c r="BC1362" s="40">
        <f>BC1361*(1-IF(B1361&gt;=in_marketplace_from,d_hz_choti*G1361,0))</f>
        <v/>
      </c>
      <c r="BD1362" s="46">
        <f>BC1362*IF(B1362&gt;=in_marketplace_from,d_hz_choti*G1362,0)</f>
        <v/>
      </c>
      <c r="BE1362" s="14">
        <f>F1362*SUMIFS(BD1336:BD1366,B1336:B1366,B1362-in_choti_months)*in_choti_renew*in_choti_ticket</f>
        <v/>
      </c>
      <c r="BF1362" s="40">
        <f>BF1361*(1-IF(B1361&gt;=in_marketplace_from,d_hz_nps*G1361,0))</f>
        <v/>
      </c>
      <c r="BG1362" s="14">
        <f>F1362*BF1362*IF(B1362&gt;=in_marketplace_from,d_hz_nps*G1362,0)*in_nps_ticket*in_nps_comm</f>
        <v/>
      </c>
      <c r="BH1362" s="40">
        <f>BH1361*(1-IF(B1361&gt;=in_marketplace_from,d_hz_gold*G1361,0))</f>
        <v/>
      </c>
      <c r="BI1362" s="40">
        <f>BI1361*d_rho_gold+BH1362*IF(B1362&gt;=in_marketplace_from,d_hz_gold*G1362,0)</f>
        <v/>
      </c>
      <c r="BJ1362" s="14">
        <f>F1362*BI1362*in_gold_ticket*in_gold_comm</f>
        <v/>
      </c>
      <c r="BK1362" s="40">
        <f>BK1361*(1-IF(B1361&gt;=in_marketplace_from,d_hz_fd*G1361,0))</f>
        <v/>
      </c>
      <c r="BL1362" s="14">
        <f>F1362*BK1362*IF(B1362&gt;=in_marketplace_from,d_hz_fd*G1362,0)*in_fd_ticket*in_fd_comm</f>
        <v/>
      </c>
      <c r="BM1362" s="40">
        <f>BM1361*(1-IF(B1361&gt;=in_marketplace_from,d_hz_recharge*G1361,0))</f>
        <v/>
      </c>
      <c r="BN1362" s="40">
        <f>BN1361*d_rho_recharge+BM1362*IF(B1362&gt;=in_marketplace_from,d_hz_recharge*G1362,0)</f>
        <v/>
      </c>
      <c r="BO1362" s="14">
        <f>F1362*BN1362*in_recharge_ticket*in_recharge_comm/12</f>
        <v/>
      </c>
      <c r="BP1362" s="40">
        <f>BP1361*(1-IF(B1361&gt;=in_marketplace_from,d_hz_bills*G1361,0))</f>
        <v/>
      </c>
      <c r="BQ1362" s="40">
        <f>BQ1361*d_rho_bills+BP1362*IF(B1362&gt;=in_marketplace_from,d_hz_bills*G1362,0)</f>
        <v/>
      </c>
      <c r="BR1362" s="14">
        <f>F1362*BQ1362*in_bills_ticket*in_bills_comm/12</f>
        <v/>
      </c>
      <c r="BS1362" s="40">
        <f>BS1361*(1-IF(B1361&gt;=in_marketplace_from,d_hz_loan_gold*G1361,0))</f>
        <v/>
      </c>
      <c r="BT1362" s="14">
        <f>F1362*BS1362*IF(B1362&gt;=in_marketplace_from,d_hz_loan_gold*G1362,0)*in_loan_gold_ticket*in_loan_gold_comm</f>
        <v/>
      </c>
      <c r="BU1362" s="40">
        <f>BU1361*(1-IF(B1361&gt;=in_marketplace_from,d_hz_loan_cd*G1361,0))</f>
        <v/>
      </c>
      <c r="BV1362" s="14">
        <f>F1362*BU1362*IF(B1362&gt;=in_marketplace_from,d_hz_loan_cd*G1362,0)*in_loan_cd_ticket*in_loan_cd_comm</f>
        <v/>
      </c>
      <c r="BW1362" s="40">
        <f>BW1361*(1-IF(B1361&gt;=in_marketplace_from,d_hz_loan_vehicle*G1361,0))</f>
        <v/>
      </c>
      <c r="BX1362" s="14">
        <f>F1362*BW1362*IF(B1362&gt;=in_marketplace_from,d_hz_loan_vehicle*G1362,0)*in_loan_vehicle_ticket*in_loan_vehicle_comm</f>
        <v/>
      </c>
      <c r="BY1362" s="40">
        <f>BY1361*(1-IF(B1361&gt;=in_marketplace_from,d_hz_loan_home*G1361,0)*BZ1361)</f>
        <v/>
      </c>
      <c r="BZ1362" s="11">
        <f>MIN(in_approval_cap,in_loan_home_approval*INDEX('Age profile'!$O$2:$O$61,B1362)*(1+in_approval_growth)^(D1362-1))</f>
        <v/>
      </c>
      <c r="CA1362" s="14">
        <f>F1362*BY1362*IF(B1362&gt;=in_marketplace_from,d_hz_loan_home*G1362,0)*BZ1362*in_loan_home_ticket*in_loan_home_comm</f>
        <v/>
      </c>
      <c r="CB1362" s="40">
        <f>CB1361*(1-IF(B1361&gt;=in_marketplace_from,d_hz_loan_lap*G1361,0)*CC1361)</f>
        <v/>
      </c>
      <c r="CC1362" s="11">
        <f>MIN(in_approval_cap,in_loan_lap_approval*INDEX('Age profile'!$O$2:$O$61,B1362)*(1+in_approval_growth)^(D1362-1))</f>
        <v/>
      </c>
      <c r="CD1362" s="14">
        <f>F1362*CB1362*IF(B1362&gt;=in_marketplace_from,d_hz_loan_lap*G1362,0)*CC1362*in_loan_lap_ticket*in_loan_lap_comm</f>
        <v/>
      </c>
      <c r="CE1362" s="14">
        <f>AA1362+AB1362+AC1362+AD1362+AG1362+AJ1362+AM1362+AP1362+AS1362+AU1362+AX1362+BB1362+BE1362+BG1362+BJ1362+BL1362+BO1362+BR1362+BT1362+BV1362+BX1362+CA1362+CD1362</f>
        <v/>
      </c>
    </row>
    <row r="1363">
      <c r="A1363" s="39" t="n">
        <v>30</v>
      </c>
      <c r="B1363" s="39" t="n">
        <v>28</v>
      </c>
      <c r="C1363" s="39">
        <f>A1363+B1363-1</f>
        <v/>
      </c>
      <c r="D1363" s="39">
        <f>INT((C1363-1)/12)+1</f>
        <v/>
      </c>
      <c r="E1363" s="44">
        <f>INDEX(Monthly!$B$2:$B$61,A1363)</f>
        <v/>
      </c>
      <c r="F1363" s="44">
        <f>E1363*INDEX('Age profile'!$B$2:$B$61,B1363)</f>
        <v/>
      </c>
      <c r="G1363" s="45">
        <f>MIN(in_takeup_cap,INDEX('Age profile'!$N$2:$N$61,B1363)*(1+in_takeup_growth)^(D1363-1))</f>
        <v/>
      </c>
      <c r="H1363" s="11">
        <f>MIN(in_approval_cap,in_approved_first*INDEX('Age profile'!$O$2:$O$61,B1363)*(1+in_approval_growth)^(D1363-1))</f>
        <v/>
      </c>
      <c r="I1363" s="45">
        <f>G1363*MIN(in_takeup_cap,INDEX('Age profile'!$O$2:$O$61,B1363)*(1+in_approval_growth)^(D1363-1))</f>
        <v/>
      </c>
      <c r="J1363" s="40">
        <f>(J1362-L1362)*F1363/F1362</f>
        <v/>
      </c>
      <c r="K1363" s="40">
        <f>(K1362-M1362)*F1363/F1362+SUMIFS(O1336:O1362,B1336:B1362,B1363-1-d_T)*F1363</f>
        <v/>
      </c>
      <c r="L1363" s="40">
        <f>IF(B1363&gt;=in_marketplace_from,J1363*d_hz*G1363*in_eligible*H1363,0)</f>
        <v/>
      </c>
      <c r="M1363" s="40">
        <f>IF(B1363&gt;=in_marketplace_from,K1363*d_hz*G1363*in_eligible*in_approved_repeat,0)</f>
        <v/>
      </c>
      <c r="N1363" s="40">
        <f>L1363+M1363</f>
        <v/>
      </c>
      <c r="O1363" s="46">
        <f>N1363/F1363</f>
        <v/>
      </c>
      <c r="P1363" s="40">
        <f>F1363-J1363-K1363</f>
        <v/>
      </c>
      <c r="Q1363" s="40">
        <f>IF(B1363&gt;=in_marketplace_from,(J1363+K1363)*d_hz*G1363,0)</f>
        <v/>
      </c>
      <c r="R1363" s="40">
        <f>SUMIFS(N1336:N1366,B1336:B1366,"&gt;="&amp;(B1363-d_T),B1336:B1366,"&lt;="&amp;(B1363-1))</f>
        <v/>
      </c>
      <c r="S1363" s="46">
        <f>(1-d_u)*S1362+IF(d_T&gt;in_topup_lag,SUMIFS(O1336:O1366,B1336:B1366,B1363-in_topup_lag)-d_udrop*SUMIFS(O1336:O1366,B1336:B1366,B1363-d_T),0)</f>
        <v/>
      </c>
      <c r="T1363" s="40">
        <f>F1363*d_u*S1363</f>
        <v/>
      </c>
      <c r="U1363" s="9">
        <f>L1363*in_ticket+M1363*d_rep_ticket</f>
        <v/>
      </c>
      <c r="V1363" s="9">
        <f>U1363+T1363*d_topup_amt</f>
        <v/>
      </c>
      <c r="W1363" s="40">
        <f>N1363+T1363*d_topup_ratio</f>
        <v/>
      </c>
      <c r="X1363" s="40">
        <f>SUMIFS(W1336:W1366,B1336:B1366,B1363-in_dpd_lag)*d_cured</f>
        <v/>
      </c>
      <c r="Y1363" s="40">
        <f>SUMIFS(W1336:W1366,B1336:B1366,B1363-in_rec_lag)*d_recd</f>
        <v/>
      </c>
      <c r="Z1363" s="40">
        <f>IF(AND(B1363&gt;=in_marketplace_from,B1363&lt;in_marketplace_from+in_card_months),in_card_share/in_card_months*F1363*I1363,IF(AND(B1363&gt;=in_marketplace_from+in_card_months,B1363&lt;in_marketplace_from+2*in_card_months),in_card_share*d_card_rem/in_card_months*F1363*MIN(in_takeup_cap,(1+in_takeup_growth)^(D1363-1))*MIN(in_takeup_cap,(1+in_approval_growth)^(D1363-1)),0))</f>
        <v/>
      </c>
      <c r="AA1363" s="14">
        <f>V1363*in_fee*(1-in_taken_back)</f>
        <v/>
      </c>
      <c r="AB1363" s="14">
        <f>SUMIFS(W1336:W1366,B1336:B1366,B1363-in_dpd_lag)*d_dpd</f>
        <v/>
      </c>
      <c r="AC1363" s="14">
        <f>SUMIFS(W1336:W1366,B1336:B1366,B1363-in_rec_lag)*d_rec</f>
        <v/>
      </c>
      <c r="AD1363" s="14">
        <f>Z1363*in_card_fee</f>
        <v/>
      </c>
      <c r="AE1363" s="40">
        <f>AE1362*(1-IF(B1362&gt;=in_marketplace_from,d_hz_hlth_small*G1362,0))</f>
        <v/>
      </c>
      <c r="AF1363" s="46">
        <f>AE1363*IF(B1363&gt;=in_marketplace_from,d_hz_hlth_small*G1363,0)</f>
        <v/>
      </c>
      <c r="AG1363" s="14">
        <f>F1363*AF1363*in_hlth_small_ticket*in_hlth_small_comm*in_ins_partner_share+F1363*in_hlth_small_ticket*in_hlth_small_renew_comm*in_ins_partner_share*(in_hlth_small_renew^1*SUMIFS(AF1336:AF1366,B1336:B1366,B1363-12)+in_hlth_small_renew^2*SUMIFS(AF1336:AF1366,B1336:B1366,B1363-24)+in_hlth_small_renew^3*SUMIFS(AF1336:AF1366,B1336:B1366,B1363-36)+in_hlth_small_renew^4*SUMIFS(AF1336:AF1366,B1336:B1366,B1363-48))</f>
        <v/>
      </c>
      <c r="AH1363" s="40">
        <f>AH1362*(1-IF(B1362&gt;=in_marketplace_from,d_hz_hlth_family*G1362,0))</f>
        <v/>
      </c>
      <c r="AI1363" s="46">
        <f>AH1363*IF(B1363&gt;=in_marketplace_from,d_hz_hlth_family*G1363,0)</f>
        <v/>
      </c>
      <c r="AJ1363" s="14">
        <f>F1363*AI1363*in_hlth_family_ticket*in_hlth_family_comm*in_ins_partner_share+F1363*in_hlth_family_ticket*in_hlth_family_renew_comm*in_ins_partner_share*(in_hlth_family_renew^1*SUMIFS(AI1336:AI1366,B1336:B1366,B1363-12)+in_hlth_family_renew^2*SUMIFS(AI1336:AI1366,B1336:B1366,B1363-24)+in_hlth_family_renew^3*SUMIFS(AI1336:AI1366,B1336:B1366,B1363-36)+in_hlth_family_renew^4*SUMIFS(AI1336:AI1366,B1336:B1366,B1363-48))</f>
        <v/>
      </c>
      <c r="AK1363" s="40">
        <f>AK1362*(1-IF(B1362&gt;=in_marketplace_from,d_hz_life_term*G1362,0))</f>
        <v/>
      </c>
      <c r="AL1363" s="46">
        <f>AK1363*IF(B1363&gt;=in_marketplace_from,d_hz_life_term*G1363,0)</f>
        <v/>
      </c>
      <c r="AM1363" s="14">
        <f>F1363*AL1363*in_life_term_ticket*in_life_term_comm*in_ins_partner_share+F1363*in_life_term_ticket*in_life_term_renew_comm*in_ins_partner_share*(in_life_term_renew^1*SUMIFS(AL1336:AL1366,B1336:B1366,B1363-12)+in_life_term_renew^2*SUMIFS(AL1336:AL1366,B1336:B1366,B1363-24)+in_life_term_renew^3*SUMIFS(AL1336:AL1366,B1336:B1366,B1363-36)+in_life_term_renew^4*SUMIFS(AL1336:AL1366,B1336:B1366,B1363-48))</f>
        <v/>
      </c>
      <c r="AN1363" s="40">
        <f>AN1362*(1-IF(B1362&gt;=in_marketplace_from,d_hz_accident*G1362,0))</f>
        <v/>
      </c>
      <c r="AO1363" s="46">
        <f>AN1363*IF(B1363&gt;=in_marketplace_from,d_hz_accident*G1363,0)</f>
        <v/>
      </c>
      <c r="AP1363" s="14">
        <f>F1363*AO1363*in_accident_ticket*in_accident_comm*in_ins_partner_share+F1363*in_accident_ticket*in_accident_renew_comm*in_ins_partner_share*(in_accident_renew^1*SUMIFS(AO1336:AO1366,B1336:B1366,B1363-12)+in_accident_renew^2*SUMIFS(AO1336:AO1366,B1336:B1366,B1363-24)+in_accident_renew^3*SUMIFS(AO1336:AO1366,B1336:B1366,B1363-36)+in_accident_renew^4*SUMIFS(AO1336:AO1366,B1336:B1366,B1363-48))</f>
        <v/>
      </c>
      <c r="AQ1363" s="40">
        <f>AQ1362*(1-IF(B1362&gt;=in_marketplace_from,d_hz_two_wheeler*G1362,0))</f>
        <v/>
      </c>
      <c r="AR1363" s="46">
        <f>AQ1363*IF(B1363&gt;=in_marketplace_from,d_hz_two_wheeler*G1363,0)</f>
        <v/>
      </c>
      <c r="AS1363" s="14">
        <f>F1363*AR1363*in_two_wheeler_ticket*in_two_wheeler_comm*in_ins_partner_share+F1363*in_two_wheeler_ticket*in_two_wheeler_comm*in_ins_partner_share*(in_two_wheeler_renew^1*SUMIFS(AR1336:AR1366,B1336:B1366,B1363-12)+in_two_wheeler_renew^2*SUMIFS(AR1336:AR1366,B1336:B1366,B1363-24)+in_two_wheeler_renew^3*SUMIFS(AR1336:AR1366,B1336:B1366,B1363-36)+in_two_wheeler_renew^4*SUMIFS(AR1336:AR1366,B1336:B1366,B1363-48))</f>
        <v/>
      </c>
      <c r="AT1363" s="40">
        <f>AT1362*(1-IF(B1362&gt;=in_marketplace_from,d_hz_device*G1362,0))</f>
        <v/>
      </c>
      <c r="AU1363" s="14">
        <f>F1363*AT1363*IF(B1363&gt;=in_marketplace_from,d_hz_device*G1363,0)*in_device_ticket*in_device_comm*in_ins_partner_share</f>
        <v/>
      </c>
      <c r="AV1363" s="40">
        <f>AV1362*(1-IF(B1362&gt;=in_marketplace_from,d_hz_shop*G1362,0))</f>
        <v/>
      </c>
      <c r="AW1363" s="46">
        <f>AV1363*IF(B1363&gt;=in_marketplace_from,d_hz_shop*G1363,0)</f>
        <v/>
      </c>
      <c r="AX1363" s="14">
        <f>F1363*AW1363*in_shop_ticket*in_shop_comm*in_ins_partner_share+F1363*in_shop_ticket*in_shop_renew_comm*in_ins_partner_share*(in_shop_renew^1*SUMIFS(AW1336:AW1366,B1336:B1366,B1363-12)+in_shop_renew^2*SUMIFS(AW1336:AW1366,B1336:B1366,B1363-24)+in_shop_renew^3*SUMIFS(AW1336:AW1366,B1336:B1366,B1363-36)+in_shop_renew^4*SUMIFS(AW1336:AW1366,B1336:B1366,B1363-48))</f>
        <v/>
      </c>
      <c r="AY1363" s="40">
        <f>AY1362*(1-IF(B1362&gt;=in_marketplace_from,d_hz_sip*G1362,0))</f>
        <v/>
      </c>
      <c r="AZ1363" s="40">
        <f>AZ1362*d_rho_sip+AY1363*IF(B1363&gt;=in_marketplace_from,d_hz_sip*G1363,0)</f>
        <v/>
      </c>
      <c r="BA1363" s="40">
        <f>d_rho_sip*(BA1362+AZ1362)</f>
        <v/>
      </c>
      <c r="BB1363" s="14">
        <f>F1363*in_sip_ticket*(BA1363+0.5*AZ1363)*in_sip_comm/12</f>
        <v/>
      </c>
      <c r="BC1363" s="40">
        <f>BC1362*(1-IF(B1362&gt;=in_marketplace_from,d_hz_choti*G1362,0))</f>
        <v/>
      </c>
      <c r="BD1363" s="46">
        <f>BC1363*IF(B1363&gt;=in_marketplace_from,d_hz_choti*G1363,0)</f>
        <v/>
      </c>
      <c r="BE1363" s="14">
        <f>F1363*SUMIFS(BD1336:BD1366,B1336:B1366,B1363-in_choti_months)*in_choti_renew*in_choti_ticket</f>
        <v/>
      </c>
      <c r="BF1363" s="40">
        <f>BF1362*(1-IF(B1362&gt;=in_marketplace_from,d_hz_nps*G1362,0))</f>
        <v/>
      </c>
      <c r="BG1363" s="14">
        <f>F1363*BF1363*IF(B1363&gt;=in_marketplace_from,d_hz_nps*G1363,0)*in_nps_ticket*in_nps_comm</f>
        <v/>
      </c>
      <c r="BH1363" s="40">
        <f>BH1362*(1-IF(B1362&gt;=in_marketplace_from,d_hz_gold*G1362,0))</f>
        <v/>
      </c>
      <c r="BI1363" s="40">
        <f>BI1362*d_rho_gold+BH1363*IF(B1363&gt;=in_marketplace_from,d_hz_gold*G1363,0)</f>
        <v/>
      </c>
      <c r="BJ1363" s="14">
        <f>F1363*BI1363*in_gold_ticket*in_gold_comm</f>
        <v/>
      </c>
      <c r="BK1363" s="40">
        <f>BK1362*(1-IF(B1362&gt;=in_marketplace_from,d_hz_fd*G1362,0))</f>
        <v/>
      </c>
      <c r="BL1363" s="14">
        <f>F1363*BK1363*IF(B1363&gt;=in_marketplace_from,d_hz_fd*G1363,0)*in_fd_ticket*in_fd_comm</f>
        <v/>
      </c>
      <c r="BM1363" s="40">
        <f>BM1362*(1-IF(B1362&gt;=in_marketplace_from,d_hz_recharge*G1362,0))</f>
        <v/>
      </c>
      <c r="BN1363" s="40">
        <f>BN1362*d_rho_recharge+BM1363*IF(B1363&gt;=in_marketplace_from,d_hz_recharge*G1363,0)</f>
        <v/>
      </c>
      <c r="BO1363" s="14">
        <f>F1363*BN1363*in_recharge_ticket*in_recharge_comm/12</f>
        <v/>
      </c>
      <c r="BP1363" s="40">
        <f>BP1362*(1-IF(B1362&gt;=in_marketplace_from,d_hz_bills*G1362,0))</f>
        <v/>
      </c>
      <c r="BQ1363" s="40">
        <f>BQ1362*d_rho_bills+BP1363*IF(B1363&gt;=in_marketplace_from,d_hz_bills*G1363,0)</f>
        <v/>
      </c>
      <c r="BR1363" s="14">
        <f>F1363*BQ1363*in_bills_ticket*in_bills_comm/12</f>
        <v/>
      </c>
      <c r="BS1363" s="40">
        <f>BS1362*(1-IF(B1362&gt;=in_marketplace_from,d_hz_loan_gold*G1362,0))</f>
        <v/>
      </c>
      <c r="BT1363" s="14">
        <f>F1363*BS1363*IF(B1363&gt;=in_marketplace_from,d_hz_loan_gold*G1363,0)*in_loan_gold_ticket*in_loan_gold_comm</f>
        <v/>
      </c>
      <c r="BU1363" s="40">
        <f>BU1362*(1-IF(B1362&gt;=in_marketplace_from,d_hz_loan_cd*G1362,0))</f>
        <v/>
      </c>
      <c r="BV1363" s="14">
        <f>F1363*BU1363*IF(B1363&gt;=in_marketplace_from,d_hz_loan_cd*G1363,0)*in_loan_cd_ticket*in_loan_cd_comm</f>
        <v/>
      </c>
      <c r="BW1363" s="40">
        <f>BW1362*(1-IF(B1362&gt;=in_marketplace_from,d_hz_loan_vehicle*G1362,0))</f>
        <v/>
      </c>
      <c r="BX1363" s="14">
        <f>F1363*BW1363*IF(B1363&gt;=in_marketplace_from,d_hz_loan_vehicle*G1363,0)*in_loan_vehicle_ticket*in_loan_vehicle_comm</f>
        <v/>
      </c>
      <c r="BY1363" s="40">
        <f>BY1362*(1-IF(B1362&gt;=in_marketplace_from,d_hz_loan_home*G1362,0)*BZ1362)</f>
        <v/>
      </c>
      <c r="BZ1363" s="11">
        <f>MIN(in_approval_cap,in_loan_home_approval*INDEX('Age profile'!$O$2:$O$61,B1363)*(1+in_approval_growth)^(D1363-1))</f>
        <v/>
      </c>
      <c r="CA1363" s="14">
        <f>F1363*BY1363*IF(B1363&gt;=in_marketplace_from,d_hz_loan_home*G1363,0)*BZ1363*in_loan_home_ticket*in_loan_home_comm</f>
        <v/>
      </c>
      <c r="CB1363" s="40">
        <f>CB1362*(1-IF(B1362&gt;=in_marketplace_from,d_hz_loan_lap*G1362,0)*CC1362)</f>
        <v/>
      </c>
      <c r="CC1363" s="11">
        <f>MIN(in_approval_cap,in_loan_lap_approval*INDEX('Age profile'!$O$2:$O$61,B1363)*(1+in_approval_growth)^(D1363-1))</f>
        <v/>
      </c>
      <c r="CD1363" s="14">
        <f>F1363*CB1363*IF(B1363&gt;=in_marketplace_from,d_hz_loan_lap*G1363,0)*CC1363*in_loan_lap_ticket*in_loan_lap_comm</f>
        <v/>
      </c>
      <c r="CE1363" s="14">
        <f>AA1363+AB1363+AC1363+AD1363+AG1363+AJ1363+AM1363+AP1363+AS1363+AU1363+AX1363+BB1363+BE1363+BG1363+BJ1363+BL1363+BO1363+BR1363+BT1363+BV1363+BX1363+CA1363+CD1363</f>
        <v/>
      </c>
    </row>
    <row r="1364">
      <c r="A1364" s="39" t="n">
        <v>30</v>
      </c>
      <c r="B1364" s="39" t="n">
        <v>29</v>
      </c>
      <c r="C1364" s="39">
        <f>A1364+B1364-1</f>
        <v/>
      </c>
      <c r="D1364" s="39">
        <f>INT((C1364-1)/12)+1</f>
        <v/>
      </c>
      <c r="E1364" s="44">
        <f>INDEX(Monthly!$B$2:$B$61,A1364)</f>
        <v/>
      </c>
      <c r="F1364" s="44">
        <f>E1364*INDEX('Age profile'!$B$2:$B$61,B1364)</f>
        <v/>
      </c>
      <c r="G1364" s="45">
        <f>MIN(in_takeup_cap,INDEX('Age profile'!$N$2:$N$61,B1364)*(1+in_takeup_growth)^(D1364-1))</f>
        <v/>
      </c>
      <c r="H1364" s="11">
        <f>MIN(in_approval_cap,in_approved_first*INDEX('Age profile'!$O$2:$O$61,B1364)*(1+in_approval_growth)^(D1364-1))</f>
        <v/>
      </c>
      <c r="I1364" s="45">
        <f>G1364*MIN(in_takeup_cap,INDEX('Age profile'!$O$2:$O$61,B1364)*(1+in_approval_growth)^(D1364-1))</f>
        <v/>
      </c>
      <c r="J1364" s="40">
        <f>(J1363-L1363)*F1364/F1363</f>
        <v/>
      </c>
      <c r="K1364" s="40">
        <f>(K1363-M1363)*F1364/F1363+SUMIFS(O1336:O1363,B1336:B1363,B1364-1-d_T)*F1364</f>
        <v/>
      </c>
      <c r="L1364" s="40">
        <f>IF(B1364&gt;=in_marketplace_from,J1364*d_hz*G1364*in_eligible*H1364,0)</f>
        <v/>
      </c>
      <c r="M1364" s="40">
        <f>IF(B1364&gt;=in_marketplace_from,K1364*d_hz*G1364*in_eligible*in_approved_repeat,0)</f>
        <v/>
      </c>
      <c r="N1364" s="40">
        <f>L1364+M1364</f>
        <v/>
      </c>
      <c r="O1364" s="46">
        <f>N1364/F1364</f>
        <v/>
      </c>
      <c r="P1364" s="40">
        <f>F1364-J1364-K1364</f>
        <v/>
      </c>
      <c r="Q1364" s="40">
        <f>IF(B1364&gt;=in_marketplace_from,(J1364+K1364)*d_hz*G1364,0)</f>
        <v/>
      </c>
      <c r="R1364" s="40">
        <f>SUMIFS(N1336:N1366,B1336:B1366,"&gt;="&amp;(B1364-d_T),B1336:B1366,"&lt;="&amp;(B1364-1))</f>
        <v/>
      </c>
      <c r="S1364" s="46">
        <f>(1-d_u)*S1363+IF(d_T&gt;in_topup_lag,SUMIFS(O1336:O1366,B1336:B1366,B1364-in_topup_lag)-d_udrop*SUMIFS(O1336:O1366,B1336:B1366,B1364-d_T),0)</f>
        <v/>
      </c>
      <c r="T1364" s="40">
        <f>F1364*d_u*S1364</f>
        <v/>
      </c>
      <c r="U1364" s="9">
        <f>L1364*in_ticket+M1364*d_rep_ticket</f>
        <v/>
      </c>
      <c r="V1364" s="9">
        <f>U1364+T1364*d_topup_amt</f>
        <v/>
      </c>
      <c r="W1364" s="40">
        <f>N1364+T1364*d_topup_ratio</f>
        <v/>
      </c>
      <c r="X1364" s="40">
        <f>SUMIFS(W1336:W1366,B1336:B1366,B1364-in_dpd_lag)*d_cured</f>
        <v/>
      </c>
      <c r="Y1364" s="40">
        <f>SUMIFS(W1336:W1366,B1336:B1366,B1364-in_rec_lag)*d_recd</f>
        <v/>
      </c>
      <c r="Z1364" s="40">
        <f>IF(AND(B1364&gt;=in_marketplace_from,B1364&lt;in_marketplace_from+in_card_months),in_card_share/in_card_months*F1364*I1364,IF(AND(B1364&gt;=in_marketplace_from+in_card_months,B1364&lt;in_marketplace_from+2*in_card_months),in_card_share*d_card_rem/in_card_months*F1364*MIN(in_takeup_cap,(1+in_takeup_growth)^(D1364-1))*MIN(in_takeup_cap,(1+in_approval_growth)^(D1364-1)),0))</f>
        <v/>
      </c>
      <c r="AA1364" s="14">
        <f>V1364*in_fee*(1-in_taken_back)</f>
        <v/>
      </c>
      <c r="AB1364" s="14">
        <f>SUMIFS(W1336:W1366,B1336:B1366,B1364-in_dpd_lag)*d_dpd</f>
        <v/>
      </c>
      <c r="AC1364" s="14">
        <f>SUMIFS(W1336:W1366,B1336:B1366,B1364-in_rec_lag)*d_rec</f>
        <v/>
      </c>
      <c r="AD1364" s="14">
        <f>Z1364*in_card_fee</f>
        <v/>
      </c>
      <c r="AE1364" s="40">
        <f>AE1363*(1-IF(B1363&gt;=in_marketplace_from,d_hz_hlth_small*G1363,0))</f>
        <v/>
      </c>
      <c r="AF1364" s="46">
        <f>AE1364*IF(B1364&gt;=in_marketplace_from,d_hz_hlth_small*G1364,0)</f>
        <v/>
      </c>
      <c r="AG1364" s="14">
        <f>F1364*AF1364*in_hlth_small_ticket*in_hlth_small_comm*in_ins_partner_share+F1364*in_hlth_small_ticket*in_hlth_small_renew_comm*in_ins_partner_share*(in_hlth_small_renew^1*SUMIFS(AF1336:AF1366,B1336:B1366,B1364-12)+in_hlth_small_renew^2*SUMIFS(AF1336:AF1366,B1336:B1366,B1364-24)+in_hlth_small_renew^3*SUMIFS(AF1336:AF1366,B1336:B1366,B1364-36)+in_hlth_small_renew^4*SUMIFS(AF1336:AF1366,B1336:B1366,B1364-48))</f>
        <v/>
      </c>
      <c r="AH1364" s="40">
        <f>AH1363*(1-IF(B1363&gt;=in_marketplace_from,d_hz_hlth_family*G1363,0))</f>
        <v/>
      </c>
      <c r="AI1364" s="46">
        <f>AH1364*IF(B1364&gt;=in_marketplace_from,d_hz_hlth_family*G1364,0)</f>
        <v/>
      </c>
      <c r="AJ1364" s="14">
        <f>F1364*AI1364*in_hlth_family_ticket*in_hlth_family_comm*in_ins_partner_share+F1364*in_hlth_family_ticket*in_hlth_family_renew_comm*in_ins_partner_share*(in_hlth_family_renew^1*SUMIFS(AI1336:AI1366,B1336:B1366,B1364-12)+in_hlth_family_renew^2*SUMIFS(AI1336:AI1366,B1336:B1366,B1364-24)+in_hlth_family_renew^3*SUMIFS(AI1336:AI1366,B1336:B1366,B1364-36)+in_hlth_family_renew^4*SUMIFS(AI1336:AI1366,B1336:B1366,B1364-48))</f>
        <v/>
      </c>
      <c r="AK1364" s="40">
        <f>AK1363*(1-IF(B1363&gt;=in_marketplace_from,d_hz_life_term*G1363,0))</f>
        <v/>
      </c>
      <c r="AL1364" s="46">
        <f>AK1364*IF(B1364&gt;=in_marketplace_from,d_hz_life_term*G1364,0)</f>
        <v/>
      </c>
      <c r="AM1364" s="14">
        <f>F1364*AL1364*in_life_term_ticket*in_life_term_comm*in_ins_partner_share+F1364*in_life_term_ticket*in_life_term_renew_comm*in_ins_partner_share*(in_life_term_renew^1*SUMIFS(AL1336:AL1366,B1336:B1366,B1364-12)+in_life_term_renew^2*SUMIFS(AL1336:AL1366,B1336:B1366,B1364-24)+in_life_term_renew^3*SUMIFS(AL1336:AL1366,B1336:B1366,B1364-36)+in_life_term_renew^4*SUMIFS(AL1336:AL1366,B1336:B1366,B1364-48))</f>
        <v/>
      </c>
      <c r="AN1364" s="40">
        <f>AN1363*(1-IF(B1363&gt;=in_marketplace_from,d_hz_accident*G1363,0))</f>
        <v/>
      </c>
      <c r="AO1364" s="46">
        <f>AN1364*IF(B1364&gt;=in_marketplace_from,d_hz_accident*G1364,0)</f>
        <v/>
      </c>
      <c r="AP1364" s="14">
        <f>F1364*AO1364*in_accident_ticket*in_accident_comm*in_ins_partner_share+F1364*in_accident_ticket*in_accident_renew_comm*in_ins_partner_share*(in_accident_renew^1*SUMIFS(AO1336:AO1366,B1336:B1366,B1364-12)+in_accident_renew^2*SUMIFS(AO1336:AO1366,B1336:B1366,B1364-24)+in_accident_renew^3*SUMIFS(AO1336:AO1366,B1336:B1366,B1364-36)+in_accident_renew^4*SUMIFS(AO1336:AO1366,B1336:B1366,B1364-48))</f>
        <v/>
      </c>
      <c r="AQ1364" s="40">
        <f>AQ1363*(1-IF(B1363&gt;=in_marketplace_from,d_hz_two_wheeler*G1363,0))</f>
        <v/>
      </c>
      <c r="AR1364" s="46">
        <f>AQ1364*IF(B1364&gt;=in_marketplace_from,d_hz_two_wheeler*G1364,0)</f>
        <v/>
      </c>
      <c r="AS1364" s="14">
        <f>F1364*AR1364*in_two_wheeler_ticket*in_two_wheeler_comm*in_ins_partner_share+F1364*in_two_wheeler_ticket*in_two_wheeler_comm*in_ins_partner_share*(in_two_wheeler_renew^1*SUMIFS(AR1336:AR1366,B1336:B1366,B1364-12)+in_two_wheeler_renew^2*SUMIFS(AR1336:AR1366,B1336:B1366,B1364-24)+in_two_wheeler_renew^3*SUMIFS(AR1336:AR1366,B1336:B1366,B1364-36)+in_two_wheeler_renew^4*SUMIFS(AR1336:AR1366,B1336:B1366,B1364-48))</f>
        <v/>
      </c>
      <c r="AT1364" s="40">
        <f>AT1363*(1-IF(B1363&gt;=in_marketplace_from,d_hz_device*G1363,0))</f>
        <v/>
      </c>
      <c r="AU1364" s="14">
        <f>F1364*AT1364*IF(B1364&gt;=in_marketplace_from,d_hz_device*G1364,0)*in_device_ticket*in_device_comm*in_ins_partner_share</f>
        <v/>
      </c>
      <c r="AV1364" s="40">
        <f>AV1363*(1-IF(B1363&gt;=in_marketplace_from,d_hz_shop*G1363,0))</f>
        <v/>
      </c>
      <c r="AW1364" s="46">
        <f>AV1364*IF(B1364&gt;=in_marketplace_from,d_hz_shop*G1364,0)</f>
        <v/>
      </c>
      <c r="AX1364" s="14">
        <f>F1364*AW1364*in_shop_ticket*in_shop_comm*in_ins_partner_share+F1364*in_shop_ticket*in_shop_renew_comm*in_ins_partner_share*(in_shop_renew^1*SUMIFS(AW1336:AW1366,B1336:B1366,B1364-12)+in_shop_renew^2*SUMIFS(AW1336:AW1366,B1336:B1366,B1364-24)+in_shop_renew^3*SUMIFS(AW1336:AW1366,B1336:B1366,B1364-36)+in_shop_renew^4*SUMIFS(AW1336:AW1366,B1336:B1366,B1364-48))</f>
        <v/>
      </c>
      <c r="AY1364" s="40">
        <f>AY1363*(1-IF(B1363&gt;=in_marketplace_from,d_hz_sip*G1363,0))</f>
        <v/>
      </c>
      <c r="AZ1364" s="40">
        <f>AZ1363*d_rho_sip+AY1364*IF(B1364&gt;=in_marketplace_from,d_hz_sip*G1364,0)</f>
        <v/>
      </c>
      <c r="BA1364" s="40">
        <f>d_rho_sip*(BA1363+AZ1363)</f>
        <v/>
      </c>
      <c r="BB1364" s="14">
        <f>F1364*in_sip_ticket*(BA1364+0.5*AZ1364)*in_sip_comm/12</f>
        <v/>
      </c>
      <c r="BC1364" s="40">
        <f>BC1363*(1-IF(B1363&gt;=in_marketplace_from,d_hz_choti*G1363,0))</f>
        <v/>
      </c>
      <c r="BD1364" s="46">
        <f>BC1364*IF(B1364&gt;=in_marketplace_from,d_hz_choti*G1364,0)</f>
        <v/>
      </c>
      <c r="BE1364" s="14">
        <f>F1364*SUMIFS(BD1336:BD1366,B1336:B1366,B1364-in_choti_months)*in_choti_renew*in_choti_ticket</f>
        <v/>
      </c>
      <c r="BF1364" s="40">
        <f>BF1363*(1-IF(B1363&gt;=in_marketplace_from,d_hz_nps*G1363,0))</f>
        <v/>
      </c>
      <c r="BG1364" s="14">
        <f>F1364*BF1364*IF(B1364&gt;=in_marketplace_from,d_hz_nps*G1364,0)*in_nps_ticket*in_nps_comm</f>
        <v/>
      </c>
      <c r="BH1364" s="40">
        <f>BH1363*(1-IF(B1363&gt;=in_marketplace_from,d_hz_gold*G1363,0))</f>
        <v/>
      </c>
      <c r="BI1364" s="40">
        <f>BI1363*d_rho_gold+BH1364*IF(B1364&gt;=in_marketplace_from,d_hz_gold*G1364,0)</f>
        <v/>
      </c>
      <c r="BJ1364" s="14">
        <f>F1364*BI1364*in_gold_ticket*in_gold_comm</f>
        <v/>
      </c>
      <c r="BK1364" s="40">
        <f>BK1363*(1-IF(B1363&gt;=in_marketplace_from,d_hz_fd*G1363,0))</f>
        <v/>
      </c>
      <c r="BL1364" s="14">
        <f>F1364*BK1364*IF(B1364&gt;=in_marketplace_from,d_hz_fd*G1364,0)*in_fd_ticket*in_fd_comm</f>
        <v/>
      </c>
      <c r="BM1364" s="40">
        <f>BM1363*(1-IF(B1363&gt;=in_marketplace_from,d_hz_recharge*G1363,0))</f>
        <v/>
      </c>
      <c r="BN1364" s="40">
        <f>BN1363*d_rho_recharge+BM1364*IF(B1364&gt;=in_marketplace_from,d_hz_recharge*G1364,0)</f>
        <v/>
      </c>
      <c r="BO1364" s="14">
        <f>F1364*BN1364*in_recharge_ticket*in_recharge_comm/12</f>
        <v/>
      </c>
      <c r="BP1364" s="40">
        <f>BP1363*(1-IF(B1363&gt;=in_marketplace_from,d_hz_bills*G1363,0))</f>
        <v/>
      </c>
      <c r="BQ1364" s="40">
        <f>BQ1363*d_rho_bills+BP1364*IF(B1364&gt;=in_marketplace_from,d_hz_bills*G1364,0)</f>
        <v/>
      </c>
      <c r="BR1364" s="14">
        <f>F1364*BQ1364*in_bills_ticket*in_bills_comm/12</f>
        <v/>
      </c>
      <c r="BS1364" s="40">
        <f>BS1363*(1-IF(B1363&gt;=in_marketplace_from,d_hz_loan_gold*G1363,0))</f>
        <v/>
      </c>
      <c r="BT1364" s="14">
        <f>F1364*BS1364*IF(B1364&gt;=in_marketplace_from,d_hz_loan_gold*G1364,0)*in_loan_gold_ticket*in_loan_gold_comm</f>
        <v/>
      </c>
      <c r="BU1364" s="40">
        <f>BU1363*(1-IF(B1363&gt;=in_marketplace_from,d_hz_loan_cd*G1363,0))</f>
        <v/>
      </c>
      <c r="BV1364" s="14">
        <f>F1364*BU1364*IF(B1364&gt;=in_marketplace_from,d_hz_loan_cd*G1364,0)*in_loan_cd_ticket*in_loan_cd_comm</f>
        <v/>
      </c>
      <c r="BW1364" s="40">
        <f>BW1363*(1-IF(B1363&gt;=in_marketplace_from,d_hz_loan_vehicle*G1363,0))</f>
        <v/>
      </c>
      <c r="BX1364" s="14">
        <f>F1364*BW1364*IF(B1364&gt;=in_marketplace_from,d_hz_loan_vehicle*G1364,0)*in_loan_vehicle_ticket*in_loan_vehicle_comm</f>
        <v/>
      </c>
      <c r="BY1364" s="40">
        <f>BY1363*(1-IF(B1363&gt;=in_marketplace_from,d_hz_loan_home*G1363,0)*BZ1363)</f>
        <v/>
      </c>
      <c r="BZ1364" s="11">
        <f>MIN(in_approval_cap,in_loan_home_approval*INDEX('Age profile'!$O$2:$O$61,B1364)*(1+in_approval_growth)^(D1364-1))</f>
        <v/>
      </c>
      <c r="CA1364" s="14">
        <f>F1364*BY1364*IF(B1364&gt;=in_marketplace_from,d_hz_loan_home*G1364,0)*BZ1364*in_loan_home_ticket*in_loan_home_comm</f>
        <v/>
      </c>
      <c r="CB1364" s="40">
        <f>CB1363*(1-IF(B1363&gt;=in_marketplace_from,d_hz_loan_lap*G1363,0)*CC1363)</f>
        <v/>
      </c>
      <c r="CC1364" s="11">
        <f>MIN(in_approval_cap,in_loan_lap_approval*INDEX('Age profile'!$O$2:$O$61,B1364)*(1+in_approval_growth)^(D1364-1))</f>
        <v/>
      </c>
      <c r="CD1364" s="14">
        <f>F1364*CB1364*IF(B1364&gt;=in_marketplace_from,d_hz_loan_lap*G1364,0)*CC1364*in_loan_lap_ticket*in_loan_lap_comm</f>
        <v/>
      </c>
      <c r="CE1364" s="14">
        <f>AA1364+AB1364+AC1364+AD1364+AG1364+AJ1364+AM1364+AP1364+AS1364+AU1364+AX1364+BB1364+BE1364+BG1364+BJ1364+BL1364+BO1364+BR1364+BT1364+BV1364+BX1364+CA1364+CD1364</f>
        <v/>
      </c>
    </row>
    <row r="1365">
      <c r="A1365" s="39" t="n">
        <v>30</v>
      </c>
      <c r="B1365" s="39" t="n">
        <v>30</v>
      </c>
      <c r="C1365" s="39">
        <f>A1365+B1365-1</f>
        <v/>
      </c>
      <c r="D1365" s="39">
        <f>INT((C1365-1)/12)+1</f>
        <v/>
      </c>
      <c r="E1365" s="44">
        <f>INDEX(Monthly!$B$2:$B$61,A1365)</f>
        <v/>
      </c>
      <c r="F1365" s="44">
        <f>E1365*INDEX('Age profile'!$B$2:$B$61,B1365)</f>
        <v/>
      </c>
      <c r="G1365" s="45">
        <f>MIN(in_takeup_cap,INDEX('Age profile'!$N$2:$N$61,B1365)*(1+in_takeup_growth)^(D1365-1))</f>
        <v/>
      </c>
      <c r="H1365" s="11">
        <f>MIN(in_approval_cap,in_approved_first*INDEX('Age profile'!$O$2:$O$61,B1365)*(1+in_approval_growth)^(D1365-1))</f>
        <v/>
      </c>
      <c r="I1365" s="45">
        <f>G1365*MIN(in_takeup_cap,INDEX('Age profile'!$O$2:$O$61,B1365)*(1+in_approval_growth)^(D1365-1))</f>
        <v/>
      </c>
      <c r="J1365" s="40">
        <f>(J1364-L1364)*F1365/F1364</f>
        <v/>
      </c>
      <c r="K1365" s="40">
        <f>(K1364-M1364)*F1365/F1364+SUMIFS(O1336:O1364,B1336:B1364,B1365-1-d_T)*F1365</f>
        <v/>
      </c>
      <c r="L1365" s="40">
        <f>IF(B1365&gt;=in_marketplace_from,J1365*d_hz*G1365*in_eligible*H1365,0)</f>
        <v/>
      </c>
      <c r="M1365" s="40">
        <f>IF(B1365&gt;=in_marketplace_from,K1365*d_hz*G1365*in_eligible*in_approved_repeat,0)</f>
        <v/>
      </c>
      <c r="N1365" s="40">
        <f>L1365+M1365</f>
        <v/>
      </c>
      <c r="O1365" s="46">
        <f>N1365/F1365</f>
        <v/>
      </c>
      <c r="P1365" s="40">
        <f>F1365-J1365-K1365</f>
        <v/>
      </c>
      <c r="Q1365" s="40">
        <f>IF(B1365&gt;=in_marketplace_from,(J1365+K1365)*d_hz*G1365,0)</f>
        <v/>
      </c>
      <c r="R1365" s="40">
        <f>SUMIFS(N1336:N1366,B1336:B1366,"&gt;="&amp;(B1365-d_T),B1336:B1366,"&lt;="&amp;(B1365-1))</f>
        <v/>
      </c>
      <c r="S1365" s="46">
        <f>(1-d_u)*S1364+IF(d_T&gt;in_topup_lag,SUMIFS(O1336:O1366,B1336:B1366,B1365-in_topup_lag)-d_udrop*SUMIFS(O1336:O1366,B1336:B1366,B1365-d_T),0)</f>
        <v/>
      </c>
      <c r="T1365" s="40">
        <f>F1365*d_u*S1365</f>
        <v/>
      </c>
      <c r="U1365" s="9">
        <f>L1365*in_ticket+M1365*d_rep_ticket</f>
        <v/>
      </c>
      <c r="V1365" s="9">
        <f>U1365+T1365*d_topup_amt</f>
        <v/>
      </c>
      <c r="W1365" s="40">
        <f>N1365+T1365*d_topup_ratio</f>
        <v/>
      </c>
      <c r="X1365" s="40">
        <f>SUMIFS(W1336:W1366,B1336:B1366,B1365-in_dpd_lag)*d_cured</f>
        <v/>
      </c>
      <c r="Y1365" s="40">
        <f>SUMIFS(W1336:W1366,B1336:B1366,B1365-in_rec_lag)*d_recd</f>
        <v/>
      </c>
      <c r="Z1365" s="40">
        <f>IF(AND(B1365&gt;=in_marketplace_from,B1365&lt;in_marketplace_from+in_card_months),in_card_share/in_card_months*F1365*I1365,IF(AND(B1365&gt;=in_marketplace_from+in_card_months,B1365&lt;in_marketplace_from+2*in_card_months),in_card_share*d_card_rem/in_card_months*F1365*MIN(in_takeup_cap,(1+in_takeup_growth)^(D1365-1))*MIN(in_takeup_cap,(1+in_approval_growth)^(D1365-1)),0))</f>
        <v/>
      </c>
      <c r="AA1365" s="14">
        <f>V1365*in_fee*(1-in_taken_back)</f>
        <v/>
      </c>
      <c r="AB1365" s="14">
        <f>SUMIFS(W1336:W1366,B1336:B1366,B1365-in_dpd_lag)*d_dpd</f>
        <v/>
      </c>
      <c r="AC1365" s="14">
        <f>SUMIFS(W1336:W1366,B1336:B1366,B1365-in_rec_lag)*d_rec</f>
        <v/>
      </c>
      <c r="AD1365" s="14">
        <f>Z1365*in_card_fee</f>
        <v/>
      </c>
      <c r="AE1365" s="40">
        <f>AE1364*(1-IF(B1364&gt;=in_marketplace_from,d_hz_hlth_small*G1364,0))</f>
        <v/>
      </c>
      <c r="AF1365" s="46">
        <f>AE1365*IF(B1365&gt;=in_marketplace_from,d_hz_hlth_small*G1365,0)</f>
        <v/>
      </c>
      <c r="AG1365" s="14">
        <f>F1365*AF1365*in_hlth_small_ticket*in_hlth_small_comm*in_ins_partner_share+F1365*in_hlth_small_ticket*in_hlth_small_renew_comm*in_ins_partner_share*(in_hlth_small_renew^1*SUMIFS(AF1336:AF1366,B1336:B1366,B1365-12)+in_hlth_small_renew^2*SUMIFS(AF1336:AF1366,B1336:B1366,B1365-24)+in_hlth_small_renew^3*SUMIFS(AF1336:AF1366,B1336:B1366,B1365-36)+in_hlth_small_renew^4*SUMIFS(AF1336:AF1366,B1336:B1366,B1365-48))</f>
        <v/>
      </c>
      <c r="AH1365" s="40">
        <f>AH1364*(1-IF(B1364&gt;=in_marketplace_from,d_hz_hlth_family*G1364,0))</f>
        <v/>
      </c>
      <c r="AI1365" s="46">
        <f>AH1365*IF(B1365&gt;=in_marketplace_from,d_hz_hlth_family*G1365,0)</f>
        <v/>
      </c>
      <c r="AJ1365" s="14">
        <f>F1365*AI1365*in_hlth_family_ticket*in_hlth_family_comm*in_ins_partner_share+F1365*in_hlth_family_ticket*in_hlth_family_renew_comm*in_ins_partner_share*(in_hlth_family_renew^1*SUMIFS(AI1336:AI1366,B1336:B1366,B1365-12)+in_hlth_family_renew^2*SUMIFS(AI1336:AI1366,B1336:B1366,B1365-24)+in_hlth_family_renew^3*SUMIFS(AI1336:AI1366,B1336:B1366,B1365-36)+in_hlth_family_renew^4*SUMIFS(AI1336:AI1366,B1336:B1366,B1365-48))</f>
        <v/>
      </c>
      <c r="AK1365" s="40">
        <f>AK1364*(1-IF(B1364&gt;=in_marketplace_from,d_hz_life_term*G1364,0))</f>
        <v/>
      </c>
      <c r="AL1365" s="46">
        <f>AK1365*IF(B1365&gt;=in_marketplace_from,d_hz_life_term*G1365,0)</f>
        <v/>
      </c>
      <c r="AM1365" s="14">
        <f>F1365*AL1365*in_life_term_ticket*in_life_term_comm*in_ins_partner_share+F1365*in_life_term_ticket*in_life_term_renew_comm*in_ins_partner_share*(in_life_term_renew^1*SUMIFS(AL1336:AL1366,B1336:B1366,B1365-12)+in_life_term_renew^2*SUMIFS(AL1336:AL1366,B1336:B1366,B1365-24)+in_life_term_renew^3*SUMIFS(AL1336:AL1366,B1336:B1366,B1365-36)+in_life_term_renew^4*SUMIFS(AL1336:AL1366,B1336:B1366,B1365-48))</f>
        <v/>
      </c>
      <c r="AN1365" s="40">
        <f>AN1364*(1-IF(B1364&gt;=in_marketplace_from,d_hz_accident*G1364,0))</f>
        <v/>
      </c>
      <c r="AO1365" s="46">
        <f>AN1365*IF(B1365&gt;=in_marketplace_from,d_hz_accident*G1365,0)</f>
        <v/>
      </c>
      <c r="AP1365" s="14">
        <f>F1365*AO1365*in_accident_ticket*in_accident_comm*in_ins_partner_share+F1365*in_accident_ticket*in_accident_renew_comm*in_ins_partner_share*(in_accident_renew^1*SUMIFS(AO1336:AO1366,B1336:B1366,B1365-12)+in_accident_renew^2*SUMIFS(AO1336:AO1366,B1336:B1366,B1365-24)+in_accident_renew^3*SUMIFS(AO1336:AO1366,B1336:B1366,B1365-36)+in_accident_renew^4*SUMIFS(AO1336:AO1366,B1336:B1366,B1365-48))</f>
        <v/>
      </c>
      <c r="AQ1365" s="40">
        <f>AQ1364*(1-IF(B1364&gt;=in_marketplace_from,d_hz_two_wheeler*G1364,0))</f>
        <v/>
      </c>
      <c r="AR1365" s="46">
        <f>AQ1365*IF(B1365&gt;=in_marketplace_from,d_hz_two_wheeler*G1365,0)</f>
        <v/>
      </c>
      <c r="AS1365" s="14">
        <f>F1365*AR1365*in_two_wheeler_ticket*in_two_wheeler_comm*in_ins_partner_share+F1365*in_two_wheeler_ticket*in_two_wheeler_comm*in_ins_partner_share*(in_two_wheeler_renew^1*SUMIFS(AR1336:AR1366,B1336:B1366,B1365-12)+in_two_wheeler_renew^2*SUMIFS(AR1336:AR1366,B1336:B1366,B1365-24)+in_two_wheeler_renew^3*SUMIFS(AR1336:AR1366,B1336:B1366,B1365-36)+in_two_wheeler_renew^4*SUMIFS(AR1336:AR1366,B1336:B1366,B1365-48))</f>
        <v/>
      </c>
      <c r="AT1365" s="40">
        <f>AT1364*(1-IF(B1364&gt;=in_marketplace_from,d_hz_device*G1364,0))</f>
        <v/>
      </c>
      <c r="AU1365" s="14">
        <f>F1365*AT1365*IF(B1365&gt;=in_marketplace_from,d_hz_device*G1365,0)*in_device_ticket*in_device_comm*in_ins_partner_share</f>
        <v/>
      </c>
      <c r="AV1365" s="40">
        <f>AV1364*(1-IF(B1364&gt;=in_marketplace_from,d_hz_shop*G1364,0))</f>
        <v/>
      </c>
      <c r="AW1365" s="46">
        <f>AV1365*IF(B1365&gt;=in_marketplace_from,d_hz_shop*G1365,0)</f>
        <v/>
      </c>
      <c r="AX1365" s="14">
        <f>F1365*AW1365*in_shop_ticket*in_shop_comm*in_ins_partner_share+F1365*in_shop_ticket*in_shop_renew_comm*in_ins_partner_share*(in_shop_renew^1*SUMIFS(AW1336:AW1366,B1336:B1366,B1365-12)+in_shop_renew^2*SUMIFS(AW1336:AW1366,B1336:B1366,B1365-24)+in_shop_renew^3*SUMIFS(AW1336:AW1366,B1336:B1366,B1365-36)+in_shop_renew^4*SUMIFS(AW1336:AW1366,B1336:B1366,B1365-48))</f>
        <v/>
      </c>
      <c r="AY1365" s="40">
        <f>AY1364*(1-IF(B1364&gt;=in_marketplace_from,d_hz_sip*G1364,0))</f>
        <v/>
      </c>
      <c r="AZ1365" s="40">
        <f>AZ1364*d_rho_sip+AY1365*IF(B1365&gt;=in_marketplace_from,d_hz_sip*G1365,0)</f>
        <v/>
      </c>
      <c r="BA1365" s="40">
        <f>d_rho_sip*(BA1364+AZ1364)</f>
        <v/>
      </c>
      <c r="BB1365" s="14">
        <f>F1365*in_sip_ticket*(BA1365+0.5*AZ1365)*in_sip_comm/12</f>
        <v/>
      </c>
      <c r="BC1365" s="40">
        <f>BC1364*(1-IF(B1364&gt;=in_marketplace_from,d_hz_choti*G1364,0))</f>
        <v/>
      </c>
      <c r="BD1365" s="46">
        <f>BC1365*IF(B1365&gt;=in_marketplace_from,d_hz_choti*G1365,0)</f>
        <v/>
      </c>
      <c r="BE1365" s="14">
        <f>F1365*SUMIFS(BD1336:BD1366,B1336:B1366,B1365-in_choti_months)*in_choti_renew*in_choti_ticket</f>
        <v/>
      </c>
      <c r="BF1365" s="40">
        <f>BF1364*(1-IF(B1364&gt;=in_marketplace_from,d_hz_nps*G1364,0))</f>
        <v/>
      </c>
      <c r="BG1365" s="14">
        <f>F1365*BF1365*IF(B1365&gt;=in_marketplace_from,d_hz_nps*G1365,0)*in_nps_ticket*in_nps_comm</f>
        <v/>
      </c>
      <c r="BH1365" s="40">
        <f>BH1364*(1-IF(B1364&gt;=in_marketplace_from,d_hz_gold*G1364,0))</f>
        <v/>
      </c>
      <c r="BI1365" s="40">
        <f>BI1364*d_rho_gold+BH1365*IF(B1365&gt;=in_marketplace_from,d_hz_gold*G1365,0)</f>
        <v/>
      </c>
      <c r="BJ1365" s="14">
        <f>F1365*BI1365*in_gold_ticket*in_gold_comm</f>
        <v/>
      </c>
      <c r="BK1365" s="40">
        <f>BK1364*(1-IF(B1364&gt;=in_marketplace_from,d_hz_fd*G1364,0))</f>
        <v/>
      </c>
      <c r="BL1365" s="14">
        <f>F1365*BK1365*IF(B1365&gt;=in_marketplace_from,d_hz_fd*G1365,0)*in_fd_ticket*in_fd_comm</f>
        <v/>
      </c>
      <c r="BM1365" s="40">
        <f>BM1364*(1-IF(B1364&gt;=in_marketplace_from,d_hz_recharge*G1364,0))</f>
        <v/>
      </c>
      <c r="BN1365" s="40">
        <f>BN1364*d_rho_recharge+BM1365*IF(B1365&gt;=in_marketplace_from,d_hz_recharge*G1365,0)</f>
        <v/>
      </c>
      <c r="BO1365" s="14">
        <f>F1365*BN1365*in_recharge_ticket*in_recharge_comm/12</f>
        <v/>
      </c>
      <c r="BP1365" s="40">
        <f>BP1364*(1-IF(B1364&gt;=in_marketplace_from,d_hz_bills*G1364,0))</f>
        <v/>
      </c>
      <c r="BQ1365" s="40">
        <f>BQ1364*d_rho_bills+BP1365*IF(B1365&gt;=in_marketplace_from,d_hz_bills*G1365,0)</f>
        <v/>
      </c>
      <c r="BR1365" s="14">
        <f>F1365*BQ1365*in_bills_ticket*in_bills_comm/12</f>
        <v/>
      </c>
      <c r="BS1365" s="40">
        <f>BS1364*(1-IF(B1364&gt;=in_marketplace_from,d_hz_loan_gold*G1364,0))</f>
        <v/>
      </c>
      <c r="BT1365" s="14">
        <f>F1365*BS1365*IF(B1365&gt;=in_marketplace_from,d_hz_loan_gold*G1365,0)*in_loan_gold_ticket*in_loan_gold_comm</f>
        <v/>
      </c>
      <c r="BU1365" s="40">
        <f>BU1364*(1-IF(B1364&gt;=in_marketplace_from,d_hz_loan_cd*G1364,0))</f>
        <v/>
      </c>
      <c r="BV1365" s="14">
        <f>F1365*BU1365*IF(B1365&gt;=in_marketplace_from,d_hz_loan_cd*G1365,0)*in_loan_cd_ticket*in_loan_cd_comm</f>
        <v/>
      </c>
      <c r="BW1365" s="40">
        <f>BW1364*(1-IF(B1364&gt;=in_marketplace_from,d_hz_loan_vehicle*G1364,0))</f>
        <v/>
      </c>
      <c r="BX1365" s="14">
        <f>F1365*BW1365*IF(B1365&gt;=in_marketplace_from,d_hz_loan_vehicle*G1365,0)*in_loan_vehicle_ticket*in_loan_vehicle_comm</f>
        <v/>
      </c>
      <c r="BY1365" s="40">
        <f>BY1364*(1-IF(B1364&gt;=in_marketplace_from,d_hz_loan_home*G1364,0)*BZ1364)</f>
        <v/>
      </c>
      <c r="BZ1365" s="11">
        <f>MIN(in_approval_cap,in_loan_home_approval*INDEX('Age profile'!$O$2:$O$61,B1365)*(1+in_approval_growth)^(D1365-1))</f>
        <v/>
      </c>
      <c r="CA1365" s="14">
        <f>F1365*BY1365*IF(B1365&gt;=in_marketplace_from,d_hz_loan_home*G1365,0)*BZ1365*in_loan_home_ticket*in_loan_home_comm</f>
        <v/>
      </c>
      <c r="CB1365" s="40">
        <f>CB1364*(1-IF(B1364&gt;=in_marketplace_from,d_hz_loan_lap*G1364,0)*CC1364)</f>
        <v/>
      </c>
      <c r="CC1365" s="11">
        <f>MIN(in_approval_cap,in_loan_lap_approval*INDEX('Age profile'!$O$2:$O$61,B1365)*(1+in_approval_growth)^(D1365-1))</f>
        <v/>
      </c>
      <c r="CD1365" s="14">
        <f>F1365*CB1365*IF(B1365&gt;=in_marketplace_from,d_hz_loan_lap*G1365,0)*CC1365*in_loan_lap_ticket*in_loan_lap_comm</f>
        <v/>
      </c>
      <c r="CE1365" s="14">
        <f>AA1365+AB1365+AC1365+AD1365+AG1365+AJ1365+AM1365+AP1365+AS1365+AU1365+AX1365+BB1365+BE1365+BG1365+BJ1365+BL1365+BO1365+BR1365+BT1365+BV1365+BX1365+CA1365+CD1365</f>
        <v/>
      </c>
    </row>
    <row r="1366">
      <c r="A1366" s="39" t="n">
        <v>30</v>
      </c>
      <c r="B1366" s="39" t="n">
        <v>31</v>
      </c>
      <c r="C1366" s="39">
        <f>A1366+B1366-1</f>
        <v/>
      </c>
      <c r="D1366" s="39">
        <f>INT((C1366-1)/12)+1</f>
        <v/>
      </c>
      <c r="E1366" s="44">
        <f>INDEX(Monthly!$B$2:$B$61,A1366)</f>
        <v/>
      </c>
      <c r="F1366" s="44">
        <f>E1366*INDEX('Age profile'!$B$2:$B$61,B1366)</f>
        <v/>
      </c>
      <c r="G1366" s="45">
        <f>MIN(in_takeup_cap,INDEX('Age profile'!$N$2:$N$61,B1366)*(1+in_takeup_growth)^(D1366-1))</f>
        <v/>
      </c>
      <c r="H1366" s="11">
        <f>MIN(in_approval_cap,in_approved_first*INDEX('Age profile'!$O$2:$O$61,B1366)*(1+in_approval_growth)^(D1366-1))</f>
        <v/>
      </c>
      <c r="I1366" s="45">
        <f>G1366*MIN(in_takeup_cap,INDEX('Age profile'!$O$2:$O$61,B1366)*(1+in_approval_growth)^(D1366-1))</f>
        <v/>
      </c>
      <c r="J1366" s="40">
        <f>(J1365-L1365)*F1366/F1365</f>
        <v/>
      </c>
      <c r="K1366" s="40">
        <f>(K1365-M1365)*F1366/F1365+SUMIFS(O1336:O1365,B1336:B1365,B1366-1-d_T)*F1366</f>
        <v/>
      </c>
      <c r="L1366" s="40">
        <f>IF(B1366&gt;=in_marketplace_from,J1366*d_hz*G1366*in_eligible*H1366,0)</f>
        <v/>
      </c>
      <c r="M1366" s="40">
        <f>IF(B1366&gt;=in_marketplace_from,K1366*d_hz*G1366*in_eligible*in_approved_repeat,0)</f>
        <v/>
      </c>
      <c r="N1366" s="40">
        <f>L1366+M1366</f>
        <v/>
      </c>
      <c r="O1366" s="46">
        <f>N1366/F1366</f>
        <v/>
      </c>
      <c r="P1366" s="40">
        <f>F1366-J1366-K1366</f>
        <v/>
      </c>
      <c r="Q1366" s="40">
        <f>IF(B1366&gt;=in_marketplace_from,(J1366+K1366)*d_hz*G1366,0)</f>
        <v/>
      </c>
      <c r="R1366" s="40">
        <f>SUMIFS(N1336:N1366,B1336:B1366,"&gt;="&amp;(B1366-d_T),B1336:B1366,"&lt;="&amp;(B1366-1))</f>
        <v/>
      </c>
      <c r="S1366" s="46">
        <f>(1-d_u)*S1365+IF(d_T&gt;in_topup_lag,SUMIFS(O1336:O1366,B1336:B1366,B1366-in_topup_lag)-d_udrop*SUMIFS(O1336:O1366,B1336:B1366,B1366-d_T),0)</f>
        <v/>
      </c>
      <c r="T1366" s="40">
        <f>F1366*d_u*S1366</f>
        <v/>
      </c>
      <c r="U1366" s="9">
        <f>L1366*in_ticket+M1366*d_rep_ticket</f>
        <v/>
      </c>
      <c r="V1366" s="9">
        <f>U1366+T1366*d_topup_amt</f>
        <v/>
      </c>
      <c r="W1366" s="40">
        <f>N1366+T1366*d_topup_ratio</f>
        <v/>
      </c>
      <c r="X1366" s="40">
        <f>SUMIFS(W1336:W1366,B1336:B1366,B1366-in_dpd_lag)*d_cured</f>
        <v/>
      </c>
      <c r="Y1366" s="40">
        <f>SUMIFS(W1336:W1366,B1336:B1366,B1366-in_rec_lag)*d_recd</f>
        <v/>
      </c>
      <c r="Z1366" s="40">
        <f>IF(AND(B1366&gt;=in_marketplace_from,B1366&lt;in_marketplace_from+in_card_months),in_card_share/in_card_months*F1366*I1366,IF(AND(B1366&gt;=in_marketplace_from+in_card_months,B1366&lt;in_marketplace_from+2*in_card_months),in_card_share*d_card_rem/in_card_months*F1366*MIN(in_takeup_cap,(1+in_takeup_growth)^(D1366-1))*MIN(in_takeup_cap,(1+in_approval_growth)^(D1366-1)),0))</f>
        <v/>
      </c>
      <c r="AA1366" s="14">
        <f>V1366*in_fee*(1-in_taken_back)</f>
        <v/>
      </c>
      <c r="AB1366" s="14">
        <f>SUMIFS(W1336:W1366,B1336:B1366,B1366-in_dpd_lag)*d_dpd</f>
        <v/>
      </c>
      <c r="AC1366" s="14">
        <f>SUMIFS(W1336:W1366,B1336:B1366,B1366-in_rec_lag)*d_rec</f>
        <v/>
      </c>
      <c r="AD1366" s="14">
        <f>Z1366*in_card_fee</f>
        <v/>
      </c>
      <c r="AE1366" s="40">
        <f>AE1365*(1-IF(B1365&gt;=in_marketplace_from,d_hz_hlth_small*G1365,0))</f>
        <v/>
      </c>
      <c r="AF1366" s="46">
        <f>AE1366*IF(B1366&gt;=in_marketplace_from,d_hz_hlth_small*G1366,0)</f>
        <v/>
      </c>
      <c r="AG1366" s="14">
        <f>F1366*AF1366*in_hlth_small_ticket*in_hlth_small_comm*in_ins_partner_share+F1366*in_hlth_small_ticket*in_hlth_small_renew_comm*in_ins_partner_share*(in_hlth_small_renew^1*SUMIFS(AF1336:AF1366,B1336:B1366,B1366-12)+in_hlth_small_renew^2*SUMIFS(AF1336:AF1366,B1336:B1366,B1366-24)+in_hlth_small_renew^3*SUMIFS(AF1336:AF1366,B1336:B1366,B1366-36)+in_hlth_small_renew^4*SUMIFS(AF1336:AF1366,B1336:B1366,B1366-48))</f>
        <v/>
      </c>
      <c r="AH1366" s="40">
        <f>AH1365*(1-IF(B1365&gt;=in_marketplace_from,d_hz_hlth_family*G1365,0))</f>
        <v/>
      </c>
      <c r="AI1366" s="46">
        <f>AH1366*IF(B1366&gt;=in_marketplace_from,d_hz_hlth_family*G1366,0)</f>
        <v/>
      </c>
      <c r="AJ1366" s="14">
        <f>F1366*AI1366*in_hlth_family_ticket*in_hlth_family_comm*in_ins_partner_share+F1366*in_hlth_family_ticket*in_hlth_family_renew_comm*in_ins_partner_share*(in_hlth_family_renew^1*SUMIFS(AI1336:AI1366,B1336:B1366,B1366-12)+in_hlth_family_renew^2*SUMIFS(AI1336:AI1366,B1336:B1366,B1366-24)+in_hlth_family_renew^3*SUMIFS(AI1336:AI1366,B1336:B1366,B1366-36)+in_hlth_family_renew^4*SUMIFS(AI1336:AI1366,B1336:B1366,B1366-48))</f>
        <v/>
      </c>
      <c r="AK1366" s="40">
        <f>AK1365*(1-IF(B1365&gt;=in_marketplace_from,d_hz_life_term*G1365,0))</f>
        <v/>
      </c>
      <c r="AL1366" s="46">
        <f>AK1366*IF(B1366&gt;=in_marketplace_from,d_hz_life_term*G1366,0)</f>
        <v/>
      </c>
      <c r="AM1366" s="14">
        <f>F1366*AL1366*in_life_term_ticket*in_life_term_comm*in_ins_partner_share+F1366*in_life_term_ticket*in_life_term_renew_comm*in_ins_partner_share*(in_life_term_renew^1*SUMIFS(AL1336:AL1366,B1336:B1366,B1366-12)+in_life_term_renew^2*SUMIFS(AL1336:AL1366,B1336:B1366,B1366-24)+in_life_term_renew^3*SUMIFS(AL1336:AL1366,B1336:B1366,B1366-36)+in_life_term_renew^4*SUMIFS(AL1336:AL1366,B1336:B1366,B1366-48))</f>
        <v/>
      </c>
      <c r="AN1366" s="40">
        <f>AN1365*(1-IF(B1365&gt;=in_marketplace_from,d_hz_accident*G1365,0))</f>
        <v/>
      </c>
      <c r="AO1366" s="46">
        <f>AN1366*IF(B1366&gt;=in_marketplace_from,d_hz_accident*G1366,0)</f>
        <v/>
      </c>
      <c r="AP1366" s="14">
        <f>F1366*AO1366*in_accident_ticket*in_accident_comm*in_ins_partner_share+F1366*in_accident_ticket*in_accident_renew_comm*in_ins_partner_share*(in_accident_renew^1*SUMIFS(AO1336:AO1366,B1336:B1366,B1366-12)+in_accident_renew^2*SUMIFS(AO1336:AO1366,B1336:B1366,B1366-24)+in_accident_renew^3*SUMIFS(AO1336:AO1366,B1336:B1366,B1366-36)+in_accident_renew^4*SUMIFS(AO1336:AO1366,B1336:B1366,B1366-48))</f>
        <v/>
      </c>
      <c r="AQ1366" s="40">
        <f>AQ1365*(1-IF(B1365&gt;=in_marketplace_from,d_hz_two_wheeler*G1365,0))</f>
        <v/>
      </c>
      <c r="AR1366" s="46">
        <f>AQ1366*IF(B1366&gt;=in_marketplace_from,d_hz_two_wheeler*G1366,0)</f>
        <v/>
      </c>
      <c r="AS1366" s="14">
        <f>F1366*AR1366*in_two_wheeler_ticket*in_two_wheeler_comm*in_ins_partner_share+F1366*in_two_wheeler_ticket*in_two_wheeler_comm*in_ins_partner_share*(in_two_wheeler_renew^1*SUMIFS(AR1336:AR1366,B1336:B1366,B1366-12)+in_two_wheeler_renew^2*SUMIFS(AR1336:AR1366,B1336:B1366,B1366-24)+in_two_wheeler_renew^3*SUMIFS(AR1336:AR1366,B1336:B1366,B1366-36)+in_two_wheeler_renew^4*SUMIFS(AR1336:AR1366,B1336:B1366,B1366-48))</f>
        <v/>
      </c>
      <c r="AT1366" s="40">
        <f>AT1365*(1-IF(B1365&gt;=in_marketplace_from,d_hz_device*G1365,0))</f>
        <v/>
      </c>
      <c r="AU1366" s="14">
        <f>F1366*AT1366*IF(B1366&gt;=in_marketplace_from,d_hz_device*G1366,0)*in_device_ticket*in_device_comm*in_ins_partner_share</f>
        <v/>
      </c>
      <c r="AV1366" s="40">
        <f>AV1365*(1-IF(B1365&gt;=in_marketplace_from,d_hz_shop*G1365,0))</f>
        <v/>
      </c>
      <c r="AW1366" s="46">
        <f>AV1366*IF(B1366&gt;=in_marketplace_from,d_hz_shop*G1366,0)</f>
        <v/>
      </c>
      <c r="AX1366" s="14">
        <f>F1366*AW1366*in_shop_ticket*in_shop_comm*in_ins_partner_share+F1366*in_shop_ticket*in_shop_renew_comm*in_ins_partner_share*(in_shop_renew^1*SUMIFS(AW1336:AW1366,B1336:B1366,B1366-12)+in_shop_renew^2*SUMIFS(AW1336:AW1366,B1336:B1366,B1366-24)+in_shop_renew^3*SUMIFS(AW1336:AW1366,B1336:B1366,B1366-36)+in_shop_renew^4*SUMIFS(AW1336:AW1366,B1336:B1366,B1366-48))</f>
        <v/>
      </c>
      <c r="AY1366" s="40">
        <f>AY1365*(1-IF(B1365&gt;=in_marketplace_from,d_hz_sip*G1365,0))</f>
        <v/>
      </c>
      <c r="AZ1366" s="40">
        <f>AZ1365*d_rho_sip+AY1366*IF(B1366&gt;=in_marketplace_from,d_hz_sip*G1366,0)</f>
        <v/>
      </c>
      <c r="BA1366" s="40">
        <f>d_rho_sip*(BA1365+AZ1365)</f>
        <v/>
      </c>
      <c r="BB1366" s="14">
        <f>F1366*in_sip_ticket*(BA1366+0.5*AZ1366)*in_sip_comm/12</f>
        <v/>
      </c>
      <c r="BC1366" s="40">
        <f>BC1365*(1-IF(B1365&gt;=in_marketplace_from,d_hz_choti*G1365,0))</f>
        <v/>
      </c>
      <c r="BD1366" s="46">
        <f>BC1366*IF(B1366&gt;=in_marketplace_from,d_hz_choti*G1366,0)</f>
        <v/>
      </c>
      <c r="BE1366" s="14">
        <f>F1366*SUMIFS(BD1336:BD1366,B1336:B1366,B1366-in_choti_months)*in_choti_renew*in_choti_ticket</f>
        <v/>
      </c>
      <c r="BF1366" s="40">
        <f>BF1365*(1-IF(B1365&gt;=in_marketplace_from,d_hz_nps*G1365,0))</f>
        <v/>
      </c>
      <c r="BG1366" s="14">
        <f>F1366*BF1366*IF(B1366&gt;=in_marketplace_from,d_hz_nps*G1366,0)*in_nps_ticket*in_nps_comm</f>
        <v/>
      </c>
      <c r="BH1366" s="40">
        <f>BH1365*(1-IF(B1365&gt;=in_marketplace_from,d_hz_gold*G1365,0))</f>
        <v/>
      </c>
      <c r="BI1366" s="40">
        <f>BI1365*d_rho_gold+BH1366*IF(B1366&gt;=in_marketplace_from,d_hz_gold*G1366,0)</f>
        <v/>
      </c>
      <c r="BJ1366" s="14">
        <f>F1366*BI1366*in_gold_ticket*in_gold_comm</f>
        <v/>
      </c>
      <c r="BK1366" s="40">
        <f>BK1365*(1-IF(B1365&gt;=in_marketplace_from,d_hz_fd*G1365,0))</f>
        <v/>
      </c>
      <c r="BL1366" s="14">
        <f>F1366*BK1366*IF(B1366&gt;=in_marketplace_from,d_hz_fd*G1366,0)*in_fd_ticket*in_fd_comm</f>
        <v/>
      </c>
      <c r="BM1366" s="40">
        <f>BM1365*(1-IF(B1365&gt;=in_marketplace_from,d_hz_recharge*G1365,0))</f>
        <v/>
      </c>
      <c r="BN1366" s="40">
        <f>BN1365*d_rho_recharge+BM1366*IF(B1366&gt;=in_marketplace_from,d_hz_recharge*G1366,0)</f>
        <v/>
      </c>
      <c r="BO1366" s="14">
        <f>F1366*BN1366*in_recharge_ticket*in_recharge_comm/12</f>
        <v/>
      </c>
      <c r="BP1366" s="40">
        <f>BP1365*(1-IF(B1365&gt;=in_marketplace_from,d_hz_bills*G1365,0))</f>
        <v/>
      </c>
      <c r="BQ1366" s="40">
        <f>BQ1365*d_rho_bills+BP1366*IF(B1366&gt;=in_marketplace_from,d_hz_bills*G1366,0)</f>
        <v/>
      </c>
      <c r="BR1366" s="14">
        <f>F1366*BQ1366*in_bills_ticket*in_bills_comm/12</f>
        <v/>
      </c>
      <c r="BS1366" s="40">
        <f>BS1365*(1-IF(B1365&gt;=in_marketplace_from,d_hz_loan_gold*G1365,0))</f>
        <v/>
      </c>
      <c r="BT1366" s="14">
        <f>F1366*BS1366*IF(B1366&gt;=in_marketplace_from,d_hz_loan_gold*G1366,0)*in_loan_gold_ticket*in_loan_gold_comm</f>
        <v/>
      </c>
      <c r="BU1366" s="40">
        <f>BU1365*(1-IF(B1365&gt;=in_marketplace_from,d_hz_loan_cd*G1365,0))</f>
        <v/>
      </c>
      <c r="BV1366" s="14">
        <f>F1366*BU1366*IF(B1366&gt;=in_marketplace_from,d_hz_loan_cd*G1366,0)*in_loan_cd_ticket*in_loan_cd_comm</f>
        <v/>
      </c>
      <c r="BW1366" s="40">
        <f>BW1365*(1-IF(B1365&gt;=in_marketplace_from,d_hz_loan_vehicle*G1365,0))</f>
        <v/>
      </c>
      <c r="BX1366" s="14">
        <f>F1366*BW1366*IF(B1366&gt;=in_marketplace_from,d_hz_loan_vehicle*G1366,0)*in_loan_vehicle_ticket*in_loan_vehicle_comm</f>
        <v/>
      </c>
      <c r="BY1366" s="40">
        <f>BY1365*(1-IF(B1365&gt;=in_marketplace_from,d_hz_loan_home*G1365,0)*BZ1365)</f>
        <v/>
      </c>
      <c r="BZ1366" s="11">
        <f>MIN(in_approval_cap,in_loan_home_approval*INDEX('Age profile'!$O$2:$O$61,B1366)*(1+in_approval_growth)^(D1366-1))</f>
        <v/>
      </c>
      <c r="CA1366" s="14">
        <f>F1366*BY1366*IF(B1366&gt;=in_marketplace_from,d_hz_loan_home*G1366,0)*BZ1366*in_loan_home_ticket*in_loan_home_comm</f>
        <v/>
      </c>
      <c r="CB1366" s="40">
        <f>CB1365*(1-IF(B1365&gt;=in_marketplace_from,d_hz_loan_lap*G1365,0)*CC1365)</f>
        <v/>
      </c>
      <c r="CC1366" s="11">
        <f>MIN(in_approval_cap,in_loan_lap_approval*INDEX('Age profile'!$O$2:$O$61,B1366)*(1+in_approval_growth)^(D1366-1))</f>
        <v/>
      </c>
      <c r="CD1366" s="14">
        <f>F1366*CB1366*IF(B1366&gt;=in_marketplace_from,d_hz_loan_lap*G1366,0)*CC1366*in_loan_lap_ticket*in_loan_lap_comm</f>
        <v/>
      </c>
      <c r="CE1366" s="14">
        <f>AA1366+AB1366+AC1366+AD1366+AG1366+AJ1366+AM1366+AP1366+AS1366+AU1366+AX1366+BB1366+BE1366+BG1366+BJ1366+BL1366+BO1366+BR1366+BT1366+BV1366+BX1366+CA1366+CD1366</f>
        <v/>
      </c>
    </row>
    <row r="1367">
      <c r="A1367" s="39" t="n">
        <v>31</v>
      </c>
      <c r="B1367" s="39" t="n">
        <v>1</v>
      </c>
      <c r="C1367" s="39">
        <f>A1367+B1367-1</f>
        <v/>
      </c>
      <c r="D1367" s="39">
        <f>INT((C1367-1)/12)+1</f>
        <v/>
      </c>
      <c r="E1367" s="44">
        <f>INDEX(Monthly!$B$2:$B$61,A1367)</f>
        <v/>
      </c>
      <c r="F1367" s="44">
        <f>E1367*INDEX('Age profile'!$B$2:$B$61,B1367)</f>
        <v/>
      </c>
      <c r="G1367" s="45">
        <f>MIN(in_takeup_cap,INDEX('Age profile'!$N$2:$N$61,B1367)*(1+in_takeup_growth)^(D1367-1))</f>
        <v/>
      </c>
      <c r="H1367" s="11">
        <f>MIN(in_approval_cap,in_approved_first*INDEX('Age profile'!$O$2:$O$61,B1367)*(1+in_approval_growth)^(D1367-1))</f>
        <v/>
      </c>
      <c r="I1367" s="45">
        <f>G1367*MIN(in_takeup_cap,INDEX('Age profile'!$O$2:$O$61,B1367)*(1+in_approval_growth)^(D1367-1))</f>
        <v/>
      </c>
      <c r="J1367" s="40">
        <f>E1367</f>
        <v/>
      </c>
      <c r="K1367" s="40" t="n">
        <v>0</v>
      </c>
      <c r="L1367" s="40">
        <f>IF(B1367&gt;=in_marketplace_from,J1367*d_hz*G1367*in_eligible*H1367,0)</f>
        <v/>
      </c>
      <c r="M1367" s="40">
        <f>IF(B1367&gt;=in_marketplace_from,K1367*d_hz*G1367*in_eligible*in_approved_repeat,0)</f>
        <v/>
      </c>
      <c r="N1367" s="40">
        <f>L1367+M1367</f>
        <v/>
      </c>
      <c r="O1367" s="46">
        <f>N1367/F1367</f>
        <v/>
      </c>
      <c r="P1367" s="40">
        <f>F1367-J1367-K1367</f>
        <v/>
      </c>
      <c r="Q1367" s="40">
        <f>IF(B1367&gt;=in_marketplace_from,(J1367+K1367)*d_hz*G1367,0)</f>
        <v/>
      </c>
      <c r="R1367" s="40">
        <f>SUMIFS(N1367:N1396,B1367:B1396,"&gt;="&amp;(B1367-d_T),B1367:B1396,"&lt;="&amp;(B1367-1))</f>
        <v/>
      </c>
      <c r="S1367" s="46" t="n">
        <v>0</v>
      </c>
      <c r="T1367" s="40">
        <f>F1367*d_u*S1367</f>
        <v/>
      </c>
      <c r="U1367" s="9">
        <f>L1367*in_ticket+M1367*d_rep_ticket</f>
        <v/>
      </c>
      <c r="V1367" s="9">
        <f>U1367+T1367*d_topup_amt</f>
        <v/>
      </c>
      <c r="W1367" s="40">
        <f>N1367+T1367*d_topup_ratio</f>
        <v/>
      </c>
      <c r="X1367" s="40">
        <f>SUMIFS(W1367:W1396,B1367:B1396,B1367-in_dpd_lag)*d_cured</f>
        <v/>
      </c>
      <c r="Y1367" s="40">
        <f>SUMIFS(W1367:W1396,B1367:B1396,B1367-in_rec_lag)*d_recd</f>
        <v/>
      </c>
      <c r="Z1367" s="40">
        <f>IF(AND(B1367&gt;=in_marketplace_from,B1367&lt;in_marketplace_from+in_card_months),in_card_share/in_card_months*F1367*I1367,IF(AND(B1367&gt;=in_marketplace_from+in_card_months,B1367&lt;in_marketplace_from+2*in_card_months),in_card_share*d_card_rem/in_card_months*F1367*MIN(in_takeup_cap,(1+in_takeup_growth)^(D1367-1))*MIN(in_takeup_cap,(1+in_approval_growth)^(D1367-1)),0))</f>
        <v/>
      </c>
      <c r="AA1367" s="14">
        <f>V1367*in_fee*(1-in_taken_back)</f>
        <v/>
      </c>
      <c r="AB1367" s="14">
        <f>SUMIFS(W1367:W1396,B1367:B1396,B1367-in_dpd_lag)*d_dpd</f>
        <v/>
      </c>
      <c r="AC1367" s="14">
        <f>SUMIFS(W1367:W1396,B1367:B1396,B1367-in_rec_lag)*d_rec</f>
        <v/>
      </c>
      <c r="AD1367" s="14">
        <f>Z1367*in_card_fee</f>
        <v/>
      </c>
      <c r="AE1367" s="40" t="n">
        <v>1</v>
      </c>
      <c r="AF1367" s="46">
        <f>AE1367*IF(B1367&gt;=in_marketplace_from,d_hz_hlth_small*G1367,0)</f>
        <v/>
      </c>
      <c r="AG1367" s="14">
        <f>F1367*AF1367*in_hlth_small_ticket*in_hlth_small_comm*in_ins_partner_share+F1367*in_hlth_small_ticket*in_hlth_small_renew_comm*in_ins_partner_share*(in_hlth_small_renew^1*SUMIFS(AF1367:AF1396,B1367:B1396,B1367-12)+in_hlth_small_renew^2*SUMIFS(AF1367:AF1396,B1367:B1396,B1367-24)+in_hlth_small_renew^3*SUMIFS(AF1367:AF1396,B1367:B1396,B1367-36)+in_hlth_small_renew^4*SUMIFS(AF1367:AF1396,B1367:B1396,B1367-48))</f>
        <v/>
      </c>
      <c r="AH1367" s="40" t="n">
        <v>1</v>
      </c>
      <c r="AI1367" s="46">
        <f>AH1367*IF(B1367&gt;=in_marketplace_from,d_hz_hlth_family*G1367,0)</f>
        <v/>
      </c>
      <c r="AJ1367" s="14">
        <f>F1367*AI1367*in_hlth_family_ticket*in_hlth_family_comm*in_ins_partner_share+F1367*in_hlth_family_ticket*in_hlth_family_renew_comm*in_ins_partner_share*(in_hlth_family_renew^1*SUMIFS(AI1367:AI1396,B1367:B1396,B1367-12)+in_hlth_family_renew^2*SUMIFS(AI1367:AI1396,B1367:B1396,B1367-24)+in_hlth_family_renew^3*SUMIFS(AI1367:AI1396,B1367:B1396,B1367-36)+in_hlth_family_renew^4*SUMIFS(AI1367:AI1396,B1367:B1396,B1367-48))</f>
        <v/>
      </c>
      <c r="AK1367" s="40" t="n">
        <v>1</v>
      </c>
      <c r="AL1367" s="46">
        <f>AK1367*IF(B1367&gt;=in_marketplace_from,d_hz_life_term*G1367,0)</f>
        <v/>
      </c>
      <c r="AM1367" s="14">
        <f>F1367*AL1367*in_life_term_ticket*in_life_term_comm*in_ins_partner_share+F1367*in_life_term_ticket*in_life_term_renew_comm*in_ins_partner_share*(in_life_term_renew^1*SUMIFS(AL1367:AL1396,B1367:B1396,B1367-12)+in_life_term_renew^2*SUMIFS(AL1367:AL1396,B1367:B1396,B1367-24)+in_life_term_renew^3*SUMIFS(AL1367:AL1396,B1367:B1396,B1367-36)+in_life_term_renew^4*SUMIFS(AL1367:AL1396,B1367:B1396,B1367-48))</f>
        <v/>
      </c>
      <c r="AN1367" s="40" t="n">
        <v>1</v>
      </c>
      <c r="AO1367" s="46">
        <f>AN1367*IF(B1367&gt;=in_marketplace_from,d_hz_accident*G1367,0)</f>
        <v/>
      </c>
      <c r="AP1367" s="14">
        <f>F1367*AO1367*in_accident_ticket*in_accident_comm*in_ins_partner_share+F1367*in_accident_ticket*in_accident_renew_comm*in_ins_partner_share*(in_accident_renew^1*SUMIFS(AO1367:AO1396,B1367:B1396,B1367-12)+in_accident_renew^2*SUMIFS(AO1367:AO1396,B1367:B1396,B1367-24)+in_accident_renew^3*SUMIFS(AO1367:AO1396,B1367:B1396,B1367-36)+in_accident_renew^4*SUMIFS(AO1367:AO1396,B1367:B1396,B1367-48))</f>
        <v/>
      </c>
      <c r="AQ1367" s="40" t="n">
        <v>1</v>
      </c>
      <c r="AR1367" s="46">
        <f>AQ1367*IF(B1367&gt;=in_marketplace_from,d_hz_two_wheeler*G1367,0)</f>
        <v/>
      </c>
      <c r="AS1367" s="14">
        <f>F1367*AR1367*in_two_wheeler_ticket*in_two_wheeler_comm*in_ins_partner_share+F1367*in_two_wheeler_ticket*in_two_wheeler_comm*in_ins_partner_share*(in_two_wheeler_renew^1*SUMIFS(AR1367:AR1396,B1367:B1396,B1367-12)+in_two_wheeler_renew^2*SUMIFS(AR1367:AR1396,B1367:B1396,B1367-24)+in_two_wheeler_renew^3*SUMIFS(AR1367:AR1396,B1367:B1396,B1367-36)+in_two_wheeler_renew^4*SUMIFS(AR1367:AR1396,B1367:B1396,B1367-48))</f>
        <v/>
      </c>
      <c r="AT1367" s="40" t="n">
        <v>1</v>
      </c>
      <c r="AU1367" s="14">
        <f>F1367*AT1367*IF(B1367&gt;=in_marketplace_from,d_hz_device*G1367,0)*in_device_ticket*in_device_comm*in_ins_partner_share</f>
        <v/>
      </c>
      <c r="AV1367" s="40" t="n">
        <v>1</v>
      </c>
      <c r="AW1367" s="46">
        <f>AV1367*IF(B1367&gt;=in_marketplace_from,d_hz_shop*G1367,0)</f>
        <v/>
      </c>
      <c r="AX1367" s="14">
        <f>F1367*AW1367*in_shop_ticket*in_shop_comm*in_ins_partner_share+F1367*in_shop_ticket*in_shop_renew_comm*in_ins_partner_share*(in_shop_renew^1*SUMIFS(AW1367:AW1396,B1367:B1396,B1367-12)+in_shop_renew^2*SUMIFS(AW1367:AW1396,B1367:B1396,B1367-24)+in_shop_renew^3*SUMIFS(AW1367:AW1396,B1367:B1396,B1367-36)+in_shop_renew^4*SUMIFS(AW1367:AW1396,B1367:B1396,B1367-48))</f>
        <v/>
      </c>
      <c r="AY1367" s="40" t="n">
        <v>1</v>
      </c>
      <c r="AZ1367" s="40">
        <f>AY1367*IF(B1367&gt;=in_marketplace_from,d_hz_sip*G1367,0)</f>
        <v/>
      </c>
      <c r="BA1367" s="40" t="n">
        <v>0</v>
      </c>
      <c r="BB1367" s="14">
        <f>F1367*in_sip_ticket*(BA1367+0.5*AZ1367)*in_sip_comm/12</f>
        <v/>
      </c>
      <c r="BC1367" s="40" t="n">
        <v>1</v>
      </c>
      <c r="BD1367" s="46">
        <f>BC1367*IF(B1367&gt;=in_marketplace_from,d_hz_choti*G1367,0)</f>
        <v/>
      </c>
      <c r="BE1367" s="14">
        <f>F1367*SUMIFS(BD1367:BD1396,B1367:B1396,B1367-in_choti_months)*in_choti_renew*in_choti_ticket</f>
        <v/>
      </c>
      <c r="BF1367" s="40" t="n">
        <v>1</v>
      </c>
      <c r="BG1367" s="14">
        <f>F1367*BF1367*IF(B1367&gt;=in_marketplace_from,d_hz_nps*G1367,0)*in_nps_ticket*in_nps_comm</f>
        <v/>
      </c>
      <c r="BH1367" s="40" t="n">
        <v>1</v>
      </c>
      <c r="BI1367" s="40">
        <f>BH1367*IF(B1367&gt;=in_marketplace_from,d_hz_gold*G1367,0)</f>
        <v/>
      </c>
      <c r="BJ1367" s="14">
        <f>F1367*BI1367*in_gold_ticket*in_gold_comm</f>
        <v/>
      </c>
      <c r="BK1367" s="40" t="n">
        <v>1</v>
      </c>
      <c r="BL1367" s="14">
        <f>F1367*BK1367*IF(B1367&gt;=in_marketplace_from,d_hz_fd*G1367,0)*in_fd_ticket*in_fd_comm</f>
        <v/>
      </c>
      <c r="BM1367" s="40" t="n">
        <v>1</v>
      </c>
      <c r="BN1367" s="40">
        <f>BM1367*IF(B1367&gt;=in_marketplace_from,d_hz_recharge*G1367,0)</f>
        <v/>
      </c>
      <c r="BO1367" s="14">
        <f>F1367*BN1367*in_recharge_ticket*in_recharge_comm/12</f>
        <v/>
      </c>
      <c r="BP1367" s="40" t="n">
        <v>1</v>
      </c>
      <c r="BQ1367" s="40">
        <f>BP1367*IF(B1367&gt;=in_marketplace_from,d_hz_bills*G1367,0)</f>
        <v/>
      </c>
      <c r="BR1367" s="14">
        <f>F1367*BQ1367*in_bills_ticket*in_bills_comm/12</f>
        <v/>
      </c>
      <c r="BS1367" s="40" t="n">
        <v>1</v>
      </c>
      <c r="BT1367" s="14">
        <f>F1367*BS1367*IF(B1367&gt;=in_marketplace_from,d_hz_loan_gold*G1367,0)*in_loan_gold_ticket*in_loan_gold_comm</f>
        <v/>
      </c>
      <c r="BU1367" s="40" t="n">
        <v>1</v>
      </c>
      <c r="BV1367" s="14">
        <f>F1367*BU1367*IF(B1367&gt;=in_marketplace_from,d_hz_loan_cd*G1367,0)*in_loan_cd_ticket*in_loan_cd_comm</f>
        <v/>
      </c>
      <c r="BW1367" s="40" t="n">
        <v>1</v>
      </c>
      <c r="BX1367" s="14">
        <f>F1367*BW1367*IF(B1367&gt;=in_marketplace_from,d_hz_loan_vehicle*G1367,0)*in_loan_vehicle_ticket*in_loan_vehicle_comm</f>
        <v/>
      </c>
      <c r="BY1367" s="40" t="n">
        <v>1</v>
      </c>
      <c r="BZ1367" s="11">
        <f>MIN(in_approval_cap,in_loan_home_approval*INDEX('Age profile'!$O$2:$O$61,B1367)*(1+in_approval_growth)^(D1367-1))</f>
        <v/>
      </c>
      <c r="CA1367" s="14">
        <f>F1367*BY1367*IF(B1367&gt;=in_marketplace_from,d_hz_loan_home*G1367,0)*BZ1367*in_loan_home_ticket*in_loan_home_comm</f>
        <v/>
      </c>
      <c r="CB1367" s="40" t="n">
        <v>1</v>
      </c>
      <c r="CC1367" s="11">
        <f>MIN(in_approval_cap,in_loan_lap_approval*INDEX('Age profile'!$O$2:$O$61,B1367)*(1+in_approval_growth)^(D1367-1))</f>
        <v/>
      </c>
      <c r="CD1367" s="14">
        <f>F1367*CB1367*IF(B1367&gt;=in_marketplace_from,d_hz_loan_lap*G1367,0)*CC1367*in_loan_lap_ticket*in_loan_lap_comm</f>
        <v/>
      </c>
      <c r="CE1367" s="14">
        <f>AA1367+AB1367+AC1367+AD1367+AG1367+AJ1367+AM1367+AP1367+AS1367+AU1367+AX1367+BB1367+BE1367+BG1367+BJ1367+BL1367+BO1367+BR1367+BT1367+BV1367+BX1367+CA1367+CD1367</f>
        <v/>
      </c>
    </row>
    <row r="1368">
      <c r="A1368" s="39" t="n">
        <v>31</v>
      </c>
      <c r="B1368" s="39" t="n">
        <v>2</v>
      </c>
      <c r="C1368" s="39">
        <f>A1368+B1368-1</f>
        <v/>
      </c>
      <c r="D1368" s="39">
        <f>INT((C1368-1)/12)+1</f>
        <v/>
      </c>
      <c r="E1368" s="44">
        <f>INDEX(Monthly!$B$2:$B$61,A1368)</f>
        <v/>
      </c>
      <c r="F1368" s="44">
        <f>E1368*INDEX('Age profile'!$B$2:$B$61,B1368)</f>
        <v/>
      </c>
      <c r="G1368" s="45">
        <f>MIN(in_takeup_cap,INDEX('Age profile'!$N$2:$N$61,B1368)*(1+in_takeup_growth)^(D1368-1))</f>
        <v/>
      </c>
      <c r="H1368" s="11">
        <f>MIN(in_approval_cap,in_approved_first*INDEX('Age profile'!$O$2:$O$61,B1368)*(1+in_approval_growth)^(D1368-1))</f>
        <v/>
      </c>
      <c r="I1368" s="45">
        <f>G1368*MIN(in_takeup_cap,INDEX('Age profile'!$O$2:$O$61,B1368)*(1+in_approval_growth)^(D1368-1))</f>
        <v/>
      </c>
      <c r="J1368" s="40">
        <f>(J1367-L1367)*F1368/F1367</f>
        <v/>
      </c>
      <c r="K1368" s="40">
        <f>(K1367-M1367)*F1368/F1367+SUMIFS(O1367:O1367,B1367:B1367,B1368-1-d_T)*F1368</f>
        <v/>
      </c>
      <c r="L1368" s="40">
        <f>IF(B1368&gt;=in_marketplace_from,J1368*d_hz*G1368*in_eligible*H1368,0)</f>
        <v/>
      </c>
      <c r="M1368" s="40">
        <f>IF(B1368&gt;=in_marketplace_from,K1368*d_hz*G1368*in_eligible*in_approved_repeat,0)</f>
        <v/>
      </c>
      <c r="N1368" s="40">
        <f>L1368+M1368</f>
        <v/>
      </c>
      <c r="O1368" s="46">
        <f>N1368/F1368</f>
        <v/>
      </c>
      <c r="P1368" s="40">
        <f>F1368-J1368-K1368</f>
        <v/>
      </c>
      <c r="Q1368" s="40">
        <f>IF(B1368&gt;=in_marketplace_from,(J1368+K1368)*d_hz*G1368,0)</f>
        <v/>
      </c>
      <c r="R1368" s="40">
        <f>SUMIFS(N1367:N1396,B1367:B1396,"&gt;="&amp;(B1368-d_T),B1367:B1396,"&lt;="&amp;(B1368-1))</f>
        <v/>
      </c>
      <c r="S1368" s="46">
        <f>(1-d_u)*S1367+IF(d_T&gt;in_topup_lag,SUMIFS(O1367:O1396,B1367:B1396,B1368-in_topup_lag)-d_udrop*SUMIFS(O1367:O1396,B1367:B1396,B1368-d_T),0)</f>
        <v/>
      </c>
      <c r="T1368" s="40">
        <f>F1368*d_u*S1368</f>
        <v/>
      </c>
      <c r="U1368" s="9">
        <f>L1368*in_ticket+M1368*d_rep_ticket</f>
        <v/>
      </c>
      <c r="V1368" s="9">
        <f>U1368+T1368*d_topup_amt</f>
        <v/>
      </c>
      <c r="W1368" s="40">
        <f>N1368+T1368*d_topup_ratio</f>
        <v/>
      </c>
      <c r="X1368" s="40">
        <f>SUMIFS(W1367:W1396,B1367:B1396,B1368-in_dpd_lag)*d_cured</f>
        <v/>
      </c>
      <c r="Y1368" s="40">
        <f>SUMIFS(W1367:W1396,B1367:B1396,B1368-in_rec_lag)*d_recd</f>
        <v/>
      </c>
      <c r="Z1368" s="40">
        <f>IF(AND(B1368&gt;=in_marketplace_from,B1368&lt;in_marketplace_from+in_card_months),in_card_share/in_card_months*F1368*I1368,IF(AND(B1368&gt;=in_marketplace_from+in_card_months,B1368&lt;in_marketplace_from+2*in_card_months),in_card_share*d_card_rem/in_card_months*F1368*MIN(in_takeup_cap,(1+in_takeup_growth)^(D1368-1))*MIN(in_takeup_cap,(1+in_approval_growth)^(D1368-1)),0))</f>
        <v/>
      </c>
      <c r="AA1368" s="14">
        <f>V1368*in_fee*(1-in_taken_back)</f>
        <v/>
      </c>
      <c r="AB1368" s="14">
        <f>SUMIFS(W1367:W1396,B1367:B1396,B1368-in_dpd_lag)*d_dpd</f>
        <v/>
      </c>
      <c r="AC1368" s="14">
        <f>SUMIFS(W1367:W1396,B1367:B1396,B1368-in_rec_lag)*d_rec</f>
        <v/>
      </c>
      <c r="AD1368" s="14">
        <f>Z1368*in_card_fee</f>
        <v/>
      </c>
      <c r="AE1368" s="40">
        <f>AE1367*(1-IF(B1367&gt;=in_marketplace_from,d_hz_hlth_small*G1367,0))</f>
        <v/>
      </c>
      <c r="AF1368" s="46">
        <f>AE1368*IF(B1368&gt;=in_marketplace_from,d_hz_hlth_small*G1368,0)</f>
        <v/>
      </c>
      <c r="AG1368" s="14">
        <f>F1368*AF1368*in_hlth_small_ticket*in_hlth_small_comm*in_ins_partner_share+F1368*in_hlth_small_ticket*in_hlth_small_renew_comm*in_ins_partner_share*(in_hlth_small_renew^1*SUMIFS(AF1367:AF1396,B1367:B1396,B1368-12)+in_hlth_small_renew^2*SUMIFS(AF1367:AF1396,B1367:B1396,B1368-24)+in_hlth_small_renew^3*SUMIFS(AF1367:AF1396,B1367:B1396,B1368-36)+in_hlth_small_renew^4*SUMIFS(AF1367:AF1396,B1367:B1396,B1368-48))</f>
        <v/>
      </c>
      <c r="AH1368" s="40">
        <f>AH1367*(1-IF(B1367&gt;=in_marketplace_from,d_hz_hlth_family*G1367,0))</f>
        <v/>
      </c>
      <c r="AI1368" s="46">
        <f>AH1368*IF(B1368&gt;=in_marketplace_from,d_hz_hlth_family*G1368,0)</f>
        <v/>
      </c>
      <c r="AJ1368" s="14">
        <f>F1368*AI1368*in_hlth_family_ticket*in_hlth_family_comm*in_ins_partner_share+F1368*in_hlth_family_ticket*in_hlth_family_renew_comm*in_ins_partner_share*(in_hlth_family_renew^1*SUMIFS(AI1367:AI1396,B1367:B1396,B1368-12)+in_hlth_family_renew^2*SUMIFS(AI1367:AI1396,B1367:B1396,B1368-24)+in_hlth_family_renew^3*SUMIFS(AI1367:AI1396,B1367:B1396,B1368-36)+in_hlth_family_renew^4*SUMIFS(AI1367:AI1396,B1367:B1396,B1368-48))</f>
        <v/>
      </c>
      <c r="AK1368" s="40">
        <f>AK1367*(1-IF(B1367&gt;=in_marketplace_from,d_hz_life_term*G1367,0))</f>
        <v/>
      </c>
      <c r="AL1368" s="46">
        <f>AK1368*IF(B1368&gt;=in_marketplace_from,d_hz_life_term*G1368,0)</f>
        <v/>
      </c>
      <c r="AM1368" s="14">
        <f>F1368*AL1368*in_life_term_ticket*in_life_term_comm*in_ins_partner_share+F1368*in_life_term_ticket*in_life_term_renew_comm*in_ins_partner_share*(in_life_term_renew^1*SUMIFS(AL1367:AL1396,B1367:B1396,B1368-12)+in_life_term_renew^2*SUMIFS(AL1367:AL1396,B1367:B1396,B1368-24)+in_life_term_renew^3*SUMIFS(AL1367:AL1396,B1367:B1396,B1368-36)+in_life_term_renew^4*SUMIFS(AL1367:AL1396,B1367:B1396,B1368-48))</f>
        <v/>
      </c>
      <c r="AN1368" s="40">
        <f>AN1367*(1-IF(B1367&gt;=in_marketplace_from,d_hz_accident*G1367,0))</f>
        <v/>
      </c>
      <c r="AO1368" s="46">
        <f>AN1368*IF(B1368&gt;=in_marketplace_from,d_hz_accident*G1368,0)</f>
        <v/>
      </c>
      <c r="AP1368" s="14">
        <f>F1368*AO1368*in_accident_ticket*in_accident_comm*in_ins_partner_share+F1368*in_accident_ticket*in_accident_renew_comm*in_ins_partner_share*(in_accident_renew^1*SUMIFS(AO1367:AO1396,B1367:B1396,B1368-12)+in_accident_renew^2*SUMIFS(AO1367:AO1396,B1367:B1396,B1368-24)+in_accident_renew^3*SUMIFS(AO1367:AO1396,B1367:B1396,B1368-36)+in_accident_renew^4*SUMIFS(AO1367:AO1396,B1367:B1396,B1368-48))</f>
        <v/>
      </c>
      <c r="AQ1368" s="40">
        <f>AQ1367*(1-IF(B1367&gt;=in_marketplace_from,d_hz_two_wheeler*G1367,0))</f>
        <v/>
      </c>
      <c r="AR1368" s="46">
        <f>AQ1368*IF(B1368&gt;=in_marketplace_from,d_hz_two_wheeler*G1368,0)</f>
        <v/>
      </c>
      <c r="AS1368" s="14">
        <f>F1368*AR1368*in_two_wheeler_ticket*in_two_wheeler_comm*in_ins_partner_share+F1368*in_two_wheeler_ticket*in_two_wheeler_comm*in_ins_partner_share*(in_two_wheeler_renew^1*SUMIFS(AR1367:AR1396,B1367:B1396,B1368-12)+in_two_wheeler_renew^2*SUMIFS(AR1367:AR1396,B1367:B1396,B1368-24)+in_two_wheeler_renew^3*SUMIFS(AR1367:AR1396,B1367:B1396,B1368-36)+in_two_wheeler_renew^4*SUMIFS(AR1367:AR1396,B1367:B1396,B1368-48))</f>
        <v/>
      </c>
      <c r="AT1368" s="40">
        <f>AT1367*(1-IF(B1367&gt;=in_marketplace_from,d_hz_device*G1367,0))</f>
        <v/>
      </c>
      <c r="AU1368" s="14">
        <f>F1368*AT1368*IF(B1368&gt;=in_marketplace_from,d_hz_device*G1368,0)*in_device_ticket*in_device_comm*in_ins_partner_share</f>
        <v/>
      </c>
      <c r="AV1368" s="40">
        <f>AV1367*(1-IF(B1367&gt;=in_marketplace_from,d_hz_shop*G1367,0))</f>
        <v/>
      </c>
      <c r="AW1368" s="46">
        <f>AV1368*IF(B1368&gt;=in_marketplace_from,d_hz_shop*G1368,0)</f>
        <v/>
      </c>
      <c r="AX1368" s="14">
        <f>F1368*AW1368*in_shop_ticket*in_shop_comm*in_ins_partner_share+F1368*in_shop_ticket*in_shop_renew_comm*in_ins_partner_share*(in_shop_renew^1*SUMIFS(AW1367:AW1396,B1367:B1396,B1368-12)+in_shop_renew^2*SUMIFS(AW1367:AW1396,B1367:B1396,B1368-24)+in_shop_renew^3*SUMIFS(AW1367:AW1396,B1367:B1396,B1368-36)+in_shop_renew^4*SUMIFS(AW1367:AW1396,B1367:B1396,B1368-48))</f>
        <v/>
      </c>
      <c r="AY1368" s="40">
        <f>AY1367*(1-IF(B1367&gt;=in_marketplace_from,d_hz_sip*G1367,0))</f>
        <v/>
      </c>
      <c r="AZ1368" s="40">
        <f>AZ1367*d_rho_sip+AY1368*IF(B1368&gt;=in_marketplace_from,d_hz_sip*G1368,0)</f>
        <v/>
      </c>
      <c r="BA1368" s="40">
        <f>d_rho_sip*(BA1367+AZ1367)</f>
        <v/>
      </c>
      <c r="BB1368" s="14">
        <f>F1368*in_sip_ticket*(BA1368+0.5*AZ1368)*in_sip_comm/12</f>
        <v/>
      </c>
      <c r="BC1368" s="40">
        <f>BC1367*(1-IF(B1367&gt;=in_marketplace_from,d_hz_choti*G1367,0))</f>
        <v/>
      </c>
      <c r="BD1368" s="46">
        <f>BC1368*IF(B1368&gt;=in_marketplace_from,d_hz_choti*G1368,0)</f>
        <v/>
      </c>
      <c r="BE1368" s="14">
        <f>F1368*SUMIFS(BD1367:BD1396,B1367:B1396,B1368-in_choti_months)*in_choti_renew*in_choti_ticket</f>
        <v/>
      </c>
      <c r="BF1368" s="40">
        <f>BF1367*(1-IF(B1367&gt;=in_marketplace_from,d_hz_nps*G1367,0))</f>
        <v/>
      </c>
      <c r="BG1368" s="14">
        <f>F1368*BF1368*IF(B1368&gt;=in_marketplace_from,d_hz_nps*G1368,0)*in_nps_ticket*in_nps_comm</f>
        <v/>
      </c>
      <c r="BH1368" s="40">
        <f>BH1367*(1-IF(B1367&gt;=in_marketplace_from,d_hz_gold*G1367,0))</f>
        <v/>
      </c>
      <c r="BI1368" s="40">
        <f>BI1367*d_rho_gold+BH1368*IF(B1368&gt;=in_marketplace_from,d_hz_gold*G1368,0)</f>
        <v/>
      </c>
      <c r="BJ1368" s="14">
        <f>F1368*BI1368*in_gold_ticket*in_gold_comm</f>
        <v/>
      </c>
      <c r="BK1368" s="40">
        <f>BK1367*(1-IF(B1367&gt;=in_marketplace_from,d_hz_fd*G1367,0))</f>
        <v/>
      </c>
      <c r="BL1368" s="14">
        <f>F1368*BK1368*IF(B1368&gt;=in_marketplace_from,d_hz_fd*G1368,0)*in_fd_ticket*in_fd_comm</f>
        <v/>
      </c>
      <c r="BM1368" s="40">
        <f>BM1367*(1-IF(B1367&gt;=in_marketplace_from,d_hz_recharge*G1367,0))</f>
        <v/>
      </c>
      <c r="BN1368" s="40">
        <f>BN1367*d_rho_recharge+BM1368*IF(B1368&gt;=in_marketplace_from,d_hz_recharge*G1368,0)</f>
        <v/>
      </c>
      <c r="BO1368" s="14">
        <f>F1368*BN1368*in_recharge_ticket*in_recharge_comm/12</f>
        <v/>
      </c>
      <c r="BP1368" s="40">
        <f>BP1367*(1-IF(B1367&gt;=in_marketplace_from,d_hz_bills*G1367,0))</f>
        <v/>
      </c>
      <c r="BQ1368" s="40">
        <f>BQ1367*d_rho_bills+BP1368*IF(B1368&gt;=in_marketplace_from,d_hz_bills*G1368,0)</f>
        <v/>
      </c>
      <c r="BR1368" s="14">
        <f>F1368*BQ1368*in_bills_ticket*in_bills_comm/12</f>
        <v/>
      </c>
      <c r="BS1368" s="40">
        <f>BS1367*(1-IF(B1367&gt;=in_marketplace_from,d_hz_loan_gold*G1367,0))</f>
        <v/>
      </c>
      <c r="BT1368" s="14">
        <f>F1368*BS1368*IF(B1368&gt;=in_marketplace_from,d_hz_loan_gold*G1368,0)*in_loan_gold_ticket*in_loan_gold_comm</f>
        <v/>
      </c>
      <c r="BU1368" s="40">
        <f>BU1367*(1-IF(B1367&gt;=in_marketplace_from,d_hz_loan_cd*G1367,0))</f>
        <v/>
      </c>
      <c r="BV1368" s="14">
        <f>F1368*BU1368*IF(B1368&gt;=in_marketplace_from,d_hz_loan_cd*G1368,0)*in_loan_cd_ticket*in_loan_cd_comm</f>
        <v/>
      </c>
      <c r="BW1368" s="40">
        <f>BW1367*(1-IF(B1367&gt;=in_marketplace_from,d_hz_loan_vehicle*G1367,0))</f>
        <v/>
      </c>
      <c r="BX1368" s="14">
        <f>F1368*BW1368*IF(B1368&gt;=in_marketplace_from,d_hz_loan_vehicle*G1368,0)*in_loan_vehicle_ticket*in_loan_vehicle_comm</f>
        <v/>
      </c>
      <c r="BY1368" s="40">
        <f>BY1367*(1-IF(B1367&gt;=in_marketplace_from,d_hz_loan_home*G1367,0)*BZ1367)</f>
        <v/>
      </c>
      <c r="BZ1368" s="11">
        <f>MIN(in_approval_cap,in_loan_home_approval*INDEX('Age profile'!$O$2:$O$61,B1368)*(1+in_approval_growth)^(D1368-1))</f>
        <v/>
      </c>
      <c r="CA1368" s="14">
        <f>F1368*BY1368*IF(B1368&gt;=in_marketplace_from,d_hz_loan_home*G1368,0)*BZ1368*in_loan_home_ticket*in_loan_home_comm</f>
        <v/>
      </c>
      <c r="CB1368" s="40">
        <f>CB1367*(1-IF(B1367&gt;=in_marketplace_from,d_hz_loan_lap*G1367,0)*CC1367)</f>
        <v/>
      </c>
      <c r="CC1368" s="11">
        <f>MIN(in_approval_cap,in_loan_lap_approval*INDEX('Age profile'!$O$2:$O$61,B1368)*(1+in_approval_growth)^(D1368-1))</f>
        <v/>
      </c>
      <c r="CD1368" s="14">
        <f>F1368*CB1368*IF(B1368&gt;=in_marketplace_from,d_hz_loan_lap*G1368,0)*CC1368*in_loan_lap_ticket*in_loan_lap_comm</f>
        <v/>
      </c>
      <c r="CE1368" s="14">
        <f>AA1368+AB1368+AC1368+AD1368+AG1368+AJ1368+AM1368+AP1368+AS1368+AU1368+AX1368+BB1368+BE1368+BG1368+BJ1368+BL1368+BO1368+BR1368+BT1368+BV1368+BX1368+CA1368+CD1368</f>
        <v/>
      </c>
    </row>
    <row r="1369">
      <c r="A1369" s="39" t="n">
        <v>31</v>
      </c>
      <c r="B1369" s="39" t="n">
        <v>3</v>
      </c>
      <c r="C1369" s="39">
        <f>A1369+B1369-1</f>
        <v/>
      </c>
      <c r="D1369" s="39">
        <f>INT((C1369-1)/12)+1</f>
        <v/>
      </c>
      <c r="E1369" s="44">
        <f>INDEX(Monthly!$B$2:$B$61,A1369)</f>
        <v/>
      </c>
      <c r="F1369" s="44">
        <f>E1369*INDEX('Age profile'!$B$2:$B$61,B1369)</f>
        <v/>
      </c>
      <c r="G1369" s="45">
        <f>MIN(in_takeup_cap,INDEX('Age profile'!$N$2:$N$61,B1369)*(1+in_takeup_growth)^(D1369-1))</f>
        <v/>
      </c>
      <c r="H1369" s="11">
        <f>MIN(in_approval_cap,in_approved_first*INDEX('Age profile'!$O$2:$O$61,B1369)*(1+in_approval_growth)^(D1369-1))</f>
        <v/>
      </c>
      <c r="I1369" s="45">
        <f>G1369*MIN(in_takeup_cap,INDEX('Age profile'!$O$2:$O$61,B1369)*(1+in_approval_growth)^(D1369-1))</f>
        <v/>
      </c>
      <c r="J1369" s="40">
        <f>(J1368-L1368)*F1369/F1368</f>
        <v/>
      </c>
      <c r="K1369" s="40">
        <f>(K1368-M1368)*F1369/F1368+SUMIFS(O1367:O1368,B1367:B1368,B1369-1-d_T)*F1369</f>
        <v/>
      </c>
      <c r="L1369" s="40">
        <f>IF(B1369&gt;=in_marketplace_from,J1369*d_hz*G1369*in_eligible*H1369,0)</f>
        <v/>
      </c>
      <c r="M1369" s="40">
        <f>IF(B1369&gt;=in_marketplace_from,K1369*d_hz*G1369*in_eligible*in_approved_repeat,0)</f>
        <v/>
      </c>
      <c r="N1369" s="40">
        <f>L1369+M1369</f>
        <v/>
      </c>
      <c r="O1369" s="46">
        <f>N1369/F1369</f>
        <v/>
      </c>
      <c r="P1369" s="40">
        <f>F1369-J1369-K1369</f>
        <v/>
      </c>
      <c r="Q1369" s="40">
        <f>IF(B1369&gt;=in_marketplace_from,(J1369+K1369)*d_hz*G1369,0)</f>
        <v/>
      </c>
      <c r="R1369" s="40">
        <f>SUMIFS(N1367:N1396,B1367:B1396,"&gt;="&amp;(B1369-d_T),B1367:B1396,"&lt;="&amp;(B1369-1))</f>
        <v/>
      </c>
      <c r="S1369" s="46">
        <f>(1-d_u)*S1368+IF(d_T&gt;in_topup_lag,SUMIFS(O1367:O1396,B1367:B1396,B1369-in_topup_lag)-d_udrop*SUMIFS(O1367:O1396,B1367:B1396,B1369-d_T),0)</f>
        <v/>
      </c>
      <c r="T1369" s="40">
        <f>F1369*d_u*S1369</f>
        <v/>
      </c>
      <c r="U1369" s="9">
        <f>L1369*in_ticket+M1369*d_rep_ticket</f>
        <v/>
      </c>
      <c r="V1369" s="9">
        <f>U1369+T1369*d_topup_amt</f>
        <v/>
      </c>
      <c r="W1369" s="40">
        <f>N1369+T1369*d_topup_ratio</f>
        <v/>
      </c>
      <c r="X1369" s="40">
        <f>SUMIFS(W1367:W1396,B1367:B1396,B1369-in_dpd_lag)*d_cured</f>
        <v/>
      </c>
      <c r="Y1369" s="40">
        <f>SUMIFS(W1367:W1396,B1367:B1396,B1369-in_rec_lag)*d_recd</f>
        <v/>
      </c>
      <c r="Z1369" s="40">
        <f>IF(AND(B1369&gt;=in_marketplace_from,B1369&lt;in_marketplace_from+in_card_months),in_card_share/in_card_months*F1369*I1369,IF(AND(B1369&gt;=in_marketplace_from+in_card_months,B1369&lt;in_marketplace_from+2*in_card_months),in_card_share*d_card_rem/in_card_months*F1369*MIN(in_takeup_cap,(1+in_takeup_growth)^(D1369-1))*MIN(in_takeup_cap,(1+in_approval_growth)^(D1369-1)),0))</f>
        <v/>
      </c>
      <c r="AA1369" s="14">
        <f>V1369*in_fee*(1-in_taken_back)</f>
        <v/>
      </c>
      <c r="AB1369" s="14">
        <f>SUMIFS(W1367:W1396,B1367:B1396,B1369-in_dpd_lag)*d_dpd</f>
        <v/>
      </c>
      <c r="AC1369" s="14">
        <f>SUMIFS(W1367:W1396,B1367:B1396,B1369-in_rec_lag)*d_rec</f>
        <v/>
      </c>
      <c r="AD1369" s="14">
        <f>Z1369*in_card_fee</f>
        <v/>
      </c>
      <c r="AE1369" s="40">
        <f>AE1368*(1-IF(B1368&gt;=in_marketplace_from,d_hz_hlth_small*G1368,0))</f>
        <v/>
      </c>
      <c r="AF1369" s="46">
        <f>AE1369*IF(B1369&gt;=in_marketplace_from,d_hz_hlth_small*G1369,0)</f>
        <v/>
      </c>
      <c r="AG1369" s="14">
        <f>F1369*AF1369*in_hlth_small_ticket*in_hlth_small_comm*in_ins_partner_share+F1369*in_hlth_small_ticket*in_hlth_small_renew_comm*in_ins_partner_share*(in_hlth_small_renew^1*SUMIFS(AF1367:AF1396,B1367:B1396,B1369-12)+in_hlth_small_renew^2*SUMIFS(AF1367:AF1396,B1367:B1396,B1369-24)+in_hlth_small_renew^3*SUMIFS(AF1367:AF1396,B1367:B1396,B1369-36)+in_hlth_small_renew^4*SUMIFS(AF1367:AF1396,B1367:B1396,B1369-48))</f>
        <v/>
      </c>
      <c r="AH1369" s="40">
        <f>AH1368*(1-IF(B1368&gt;=in_marketplace_from,d_hz_hlth_family*G1368,0))</f>
        <v/>
      </c>
      <c r="AI1369" s="46">
        <f>AH1369*IF(B1369&gt;=in_marketplace_from,d_hz_hlth_family*G1369,0)</f>
        <v/>
      </c>
      <c r="AJ1369" s="14">
        <f>F1369*AI1369*in_hlth_family_ticket*in_hlth_family_comm*in_ins_partner_share+F1369*in_hlth_family_ticket*in_hlth_family_renew_comm*in_ins_partner_share*(in_hlth_family_renew^1*SUMIFS(AI1367:AI1396,B1367:B1396,B1369-12)+in_hlth_family_renew^2*SUMIFS(AI1367:AI1396,B1367:B1396,B1369-24)+in_hlth_family_renew^3*SUMIFS(AI1367:AI1396,B1367:B1396,B1369-36)+in_hlth_family_renew^4*SUMIFS(AI1367:AI1396,B1367:B1396,B1369-48))</f>
        <v/>
      </c>
      <c r="AK1369" s="40">
        <f>AK1368*(1-IF(B1368&gt;=in_marketplace_from,d_hz_life_term*G1368,0))</f>
        <v/>
      </c>
      <c r="AL1369" s="46">
        <f>AK1369*IF(B1369&gt;=in_marketplace_from,d_hz_life_term*G1369,0)</f>
        <v/>
      </c>
      <c r="AM1369" s="14">
        <f>F1369*AL1369*in_life_term_ticket*in_life_term_comm*in_ins_partner_share+F1369*in_life_term_ticket*in_life_term_renew_comm*in_ins_partner_share*(in_life_term_renew^1*SUMIFS(AL1367:AL1396,B1367:B1396,B1369-12)+in_life_term_renew^2*SUMIFS(AL1367:AL1396,B1367:B1396,B1369-24)+in_life_term_renew^3*SUMIFS(AL1367:AL1396,B1367:B1396,B1369-36)+in_life_term_renew^4*SUMIFS(AL1367:AL1396,B1367:B1396,B1369-48))</f>
        <v/>
      </c>
      <c r="AN1369" s="40">
        <f>AN1368*(1-IF(B1368&gt;=in_marketplace_from,d_hz_accident*G1368,0))</f>
        <v/>
      </c>
      <c r="AO1369" s="46">
        <f>AN1369*IF(B1369&gt;=in_marketplace_from,d_hz_accident*G1369,0)</f>
        <v/>
      </c>
      <c r="AP1369" s="14">
        <f>F1369*AO1369*in_accident_ticket*in_accident_comm*in_ins_partner_share+F1369*in_accident_ticket*in_accident_renew_comm*in_ins_partner_share*(in_accident_renew^1*SUMIFS(AO1367:AO1396,B1367:B1396,B1369-12)+in_accident_renew^2*SUMIFS(AO1367:AO1396,B1367:B1396,B1369-24)+in_accident_renew^3*SUMIFS(AO1367:AO1396,B1367:B1396,B1369-36)+in_accident_renew^4*SUMIFS(AO1367:AO1396,B1367:B1396,B1369-48))</f>
        <v/>
      </c>
      <c r="AQ1369" s="40">
        <f>AQ1368*(1-IF(B1368&gt;=in_marketplace_from,d_hz_two_wheeler*G1368,0))</f>
        <v/>
      </c>
      <c r="AR1369" s="46">
        <f>AQ1369*IF(B1369&gt;=in_marketplace_from,d_hz_two_wheeler*G1369,0)</f>
        <v/>
      </c>
      <c r="AS1369" s="14">
        <f>F1369*AR1369*in_two_wheeler_ticket*in_two_wheeler_comm*in_ins_partner_share+F1369*in_two_wheeler_ticket*in_two_wheeler_comm*in_ins_partner_share*(in_two_wheeler_renew^1*SUMIFS(AR1367:AR1396,B1367:B1396,B1369-12)+in_two_wheeler_renew^2*SUMIFS(AR1367:AR1396,B1367:B1396,B1369-24)+in_two_wheeler_renew^3*SUMIFS(AR1367:AR1396,B1367:B1396,B1369-36)+in_two_wheeler_renew^4*SUMIFS(AR1367:AR1396,B1367:B1396,B1369-48))</f>
        <v/>
      </c>
      <c r="AT1369" s="40">
        <f>AT1368*(1-IF(B1368&gt;=in_marketplace_from,d_hz_device*G1368,0))</f>
        <v/>
      </c>
      <c r="AU1369" s="14">
        <f>F1369*AT1369*IF(B1369&gt;=in_marketplace_from,d_hz_device*G1369,0)*in_device_ticket*in_device_comm*in_ins_partner_share</f>
        <v/>
      </c>
      <c r="AV1369" s="40">
        <f>AV1368*(1-IF(B1368&gt;=in_marketplace_from,d_hz_shop*G1368,0))</f>
        <v/>
      </c>
      <c r="AW1369" s="46">
        <f>AV1369*IF(B1369&gt;=in_marketplace_from,d_hz_shop*G1369,0)</f>
        <v/>
      </c>
      <c r="AX1369" s="14">
        <f>F1369*AW1369*in_shop_ticket*in_shop_comm*in_ins_partner_share+F1369*in_shop_ticket*in_shop_renew_comm*in_ins_partner_share*(in_shop_renew^1*SUMIFS(AW1367:AW1396,B1367:B1396,B1369-12)+in_shop_renew^2*SUMIFS(AW1367:AW1396,B1367:B1396,B1369-24)+in_shop_renew^3*SUMIFS(AW1367:AW1396,B1367:B1396,B1369-36)+in_shop_renew^4*SUMIFS(AW1367:AW1396,B1367:B1396,B1369-48))</f>
        <v/>
      </c>
      <c r="AY1369" s="40">
        <f>AY1368*(1-IF(B1368&gt;=in_marketplace_from,d_hz_sip*G1368,0))</f>
        <v/>
      </c>
      <c r="AZ1369" s="40">
        <f>AZ1368*d_rho_sip+AY1369*IF(B1369&gt;=in_marketplace_from,d_hz_sip*G1369,0)</f>
        <v/>
      </c>
      <c r="BA1369" s="40">
        <f>d_rho_sip*(BA1368+AZ1368)</f>
        <v/>
      </c>
      <c r="BB1369" s="14">
        <f>F1369*in_sip_ticket*(BA1369+0.5*AZ1369)*in_sip_comm/12</f>
        <v/>
      </c>
      <c r="BC1369" s="40">
        <f>BC1368*(1-IF(B1368&gt;=in_marketplace_from,d_hz_choti*G1368,0))</f>
        <v/>
      </c>
      <c r="BD1369" s="46">
        <f>BC1369*IF(B1369&gt;=in_marketplace_from,d_hz_choti*G1369,0)</f>
        <v/>
      </c>
      <c r="BE1369" s="14">
        <f>F1369*SUMIFS(BD1367:BD1396,B1367:B1396,B1369-in_choti_months)*in_choti_renew*in_choti_ticket</f>
        <v/>
      </c>
      <c r="BF1369" s="40">
        <f>BF1368*(1-IF(B1368&gt;=in_marketplace_from,d_hz_nps*G1368,0))</f>
        <v/>
      </c>
      <c r="BG1369" s="14">
        <f>F1369*BF1369*IF(B1369&gt;=in_marketplace_from,d_hz_nps*G1369,0)*in_nps_ticket*in_nps_comm</f>
        <v/>
      </c>
      <c r="BH1369" s="40">
        <f>BH1368*(1-IF(B1368&gt;=in_marketplace_from,d_hz_gold*G1368,0))</f>
        <v/>
      </c>
      <c r="BI1369" s="40">
        <f>BI1368*d_rho_gold+BH1369*IF(B1369&gt;=in_marketplace_from,d_hz_gold*G1369,0)</f>
        <v/>
      </c>
      <c r="BJ1369" s="14">
        <f>F1369*BI1369*in_gold_ticket*in_gold_comm</f>
        <v/>
      </c>
      <c r="BK1369" s="40">
        <f>BK1368*(1-IF(B1368&gt;=in_marketplace_from,d_hz_fd*G1368,0))</f>
        <v/>
      </c>
      <c r="BL1369" s="14">
        <f>F1369*BK1369*IF(B1369&gt;=in_marketplace_from,d_hz_fd*G1369,0)*in_fd_ticket*in_fd_comm</f>
        <v/>
      </c>
      <c r="BM1369" s="40">
        <f>BM1368*(1-IF(B1368&gt;=in_marketplace_from,d_hz_recharge*G1368,0))</f>
        <v/>
      </c>
      <c r="BN1369" s="40">
        <f>BN1368*d_rho_recharge+BM1369*IF(B1369&gt;=in_marketplace_from,d_hz_recharge*G1369,0)</f>
        <v/>
      </c>
      <c r="BO1369" s="14">
        <f>F1369*BN1369*in_recharge_ticket*in_recharge_comm/12</f>
        <v/>
      </c>
      <c r="BP1369" s="40">
        <f>BP1368*(1-IF(B1368&gt;=in_marketplace_from,d_hz_bills*G1368,0))</f>
        <v/>
      </c>
      <c r="BQ1369" s="40">
        <f>BQ1368*d_rho_bills+BP1369*IF(B1369&gt;=in_marketplace_from,d_hz_bills*G1369,0)</f>
        <v/>
      </c>
      <c r="BR1369" s="14">
        <f>F1369*BQ1369*in_bills_ticket*in_bills_comm/12</f>
        <v/>
      </c>
      <c r="BS1369" s="40">
        <f>BS1368*(1-IF(B1368&gt;=in_marketplace_from,d_hz_loan_gold*G1368,0))</f>
        <v/>
      </c>
      <c r="BT1369" s="14">
        <f>F1369*BS1369*IF(B1369&gt;=in_marketplace_from,d_hz_loan_gold*G1369,0)*in_loan_gold_ticket*in_loan_gold_comm</f>
        <v/>
      </c>
      <c r="BU1369" s="40">
        <f>BU1368*(1-IF(B1368&gt;=in_marketplace_from,d_hz_loan_cd*G1368,0))</f>
        <v/>
      </c>
      <c r="BV1369" s="14">
        <f>F1369*BU1369*IF(B1369&gt;=in_marketplace_from,d_hz_loan_cd*G1369,0)*in_loan_cd_ticket*in_loan_cd_comm</f>
        <v/>
      </c>
      <c r="BW1369" s="40">
        <f>BW1368*(1-IF(B1368&gt;=in_marketplace_from,d_hz_loan_vehicle*G1368,0))</f>
        <v/>
      </c>
      <c r="BX1369" s="14">
        <f>F1369*BW1369*IF(B1369&gt;=in_marketplace_from,d_hz_loan_vehicle*G1369,0)*in_loan_vehicle_ticket*in_loan_vehicle_comm</f>
        <v/>
      </c>
      <c r="BY1369" s="40">
        <f>BY1368*(1-IF(B1368&gt;=in_marketplace_from,d_hz_loan_home*G1368,0)*BZ1368)</f>
        <v/>
      </c>
      <c r="BZ1369" s="11">
        <f>MIN(in_approval_cap,in_loan_home_approval*INDEX('Age profile'!$O$2:$O$61,B1369)*(1+in_approval_growth)^(D1369-1))</f>
        <v/>
      </c>
      <c r="CA1369" s="14">
        <f>F1369*BY1369*IF(B1369&gt;=in_marketplace_from,d_hz_loan_home*G1369,0)*BZ1369*in_loan_home_ticket*in_loan_home_comm</f>
        <v/>
      </c>
      <c r="CB1369" s="40">
        <f>CB1368*(1-IF(B1368&gt;=in_marketplace_from,d_hz_loan_lap*G1368,0)*CC1368)</f>
        <v/>
      </c>
      <c r="CC1369" s="11">
        <f>MIN(in_approval_cap,in_loan_lap_approval*INDEX('Age profile'!$O$2:$O$61,B1369)*(1+in_approval_growth)^(D1369-1))</f>
        <v/>
      </c>
      <c r="CD1369" s="14">
        <f>F1369*CB1369*IF(B1369&gt;=in_marketplace_from,d_hz_loan_lap*G1369,0)*CC1369*in_loan_lap_ticket*in_loan_lap_comm</f>
        <v/>
      </c>
      <c r="CE1369" s="14">
        <f>AA1369+AB1369+AC1369+AD1369+AG1369+AJ1369+AM1369+AP1369+AS1369+AU1369+AX1369+BB1369+BE1369+BG1369+BJ1369+BL1369+BO1369+BR1369+BT1369+BV1369+BX1369+CA1369+CD1369</f>
        <v/>
      </c>
    </row>
    <row r="1370">
      <c r="A1370" s="39" t="n">
        <v>31</v>
      </c>
      <c r="B1370" s="39" t="n">
        <v>4</v>
      </c>
      <c r="C1370" s="39">
        <f>A1370+B1370-1</f>
        <v/>
      </c>
      <c r="D1370" s="39">
        <f>INT((C1370-1)/12)+1</f>
        <v/>
      </c>
      <c r="E1370" s="44">
        <f>INDEX(Monthly!$B$2:$B$61,A1370)</f>
        <v/>
      </c>
      <c r="F1370" s="44">
        <f>E1370*INDEX('Age profile'!$B$2:$B$61,B1370)</f>
        <v/>
      </c>
      <c r="G1370" s="45">
        <f>MIN(in_takeup_cap,INDEX('Age profile'!$N$2:$N$61,B1370)*(1+in_takeup_growth)^(D1370-1))</f>
        <v/>
      </c>
      <c r="H1370" s="11">
        <f>MIN(in_approval_cap,in_approved_first*INDEX('Age profile'!$O$2:$O$61,B1370)*(1+in_approval_growth)^(D1370-1))</f>
        <v/>
      </c>
      <c r="I1370" s="45">
        <f>G1370*MIN(in_takeup_cap,INDEX('Age profile'!$O$2:$O$61,B1370)*(1+in_approval_growth)^(D1370-1))</f>
        <v/>
      </c>
      <c r="J1370" s="40">
        <f>(J1369-L1369)*F1370/F1369</f>
        <v/>
      </c>
      <c r="K1370" s="40">
        <f>(K1369-M1369)*F1370/F1369+SUMIFS(O1367:O1369,B1367:B1369,B1370-1-d_T)*F1370</f>
        <v/>
      </c>
      <c r="L1370" s="40">
        <f>IF(B1370&gt;=in_marketplace_from,J1370*d_hz*G1370*in_eligible*H1370,0)</f>
        <v/>
      </c>
      <c r="M1370" s="40">
        <f>IF(B1370&gt;=in_marketplace_from,K1370*d_hz*G1370*in_eligible*in_approved_repeat,0)</f>
        <v/>
      </c>
      <c r="N1370" s="40">
        <f>L1370+M1370</f>
        <v/>
      </c>
      <c r="O1370" s="46">
        <f>N1370/F1370</f>
        <v/>
      </c>
      <c r="P1370" s="40">
        <f>F1370-J1370-K1370</f>
        <v/>
      </c>
      <c r="Q1370" s="40">
        <f>IF(B1370&gt;=in_marketplace_from,(J1370+K1370)*d_hz*G1370,0)</f>
        <v/>
      </c>
      <c r="R1370" s="40">
        <f>SUMIFS(N1367:N1396,B1367:B1396,"&gt;="&amp;(B1370-d_T),B1367:B1396,"&lt;="&amp;(B1370-1))</f>
        <v/>
      </c>
      <c r="S1370" s="46">
        <f>(1-d_u)*S1369+IF(d_T&gt;in_topup_lag,SUMIFS(O1367:O1396,B1367:B1396,B1370-in_topup_lag)-d_udrop*SUMIFS(O1367:O1396,B1367:B1396,B1370-d_T),0)</f>
        <v/>
      </c>
      <c r="T1370" s="40">
        <f>F1370*d_u*S1370</f>
        <v/>
      </c>
      <c r="U1370" s="9">
        <f>L1370*in_ticket+M1370*d_rep_ticket</f>
        <v/>
      </c>
      <c r="V1370" s="9">
        <f>U1370+T1370*d_topup_amt</f>
        <v/>
      </c>
      <c r="W1370" s="40">
        <f>N1370+T1370*d_topup_ratio</f>
        <v/>
      </c>
      <c r="X1370" s="40">
        <f>SUMIFS(W1367:W1396,B1367:B1396,B1370-in_dpd_lag)*d_cured</f>
        <v/>
      </c>
      <c r="Y1370" s="40">
        <f>SUMIFS(W1367:W1396,B1367:B1396,B1370-in_rec_lag)*d_recd</f>
        <v/>
      </c>
      <c r="Z1370" s="40">
        <f>IF(AND(B1370&gt;=in_marketplace_from,B1370&lt;in_marketplace_from+in_card_months),in_card_share/in_card_months*F1370*I1370,IF(AND(B1370&gt;=in_marketplace_from+in_card_months,B1370&lt;in_marketplace_from+2*in_card_months),in_card_share*d_card_rem/in_card_months*F1370*MIN(in_takeup_cap,(1+in_takeup_growth)^(D1370-1))*MIN(in_takeup_cap,(1+in_approval_growth)^(D1370-1)),0))</f>
        <v/>
      </c>
      <c r="AA1370" s="14">
        <f>V1370*in_fee*(1-in_taken_back)</f>
        <v/>
      </c>
      <c r="AB1370" s="14">
        <f>SUMIFS(W1367:W1396,B1367:B1396,B1370-in_dpd_lag)*d_dpd</f>
        <v/>
      </c>
      <c r="AC1370" s="14">
        <f>SUMIFS(W1367:W1396,B1367:B1396,B1370-in_rec_lag)*d_rec</f>
        <v/>
      </c>
      <c r="AD1370" s="14">
        <f>Z1370*in_card_fee</f>
        <v/>
      </c>
      <c r="AE1370" s="40">
        <f>AE1369*(1-IF(B1369&gt;=in_marketplace_from,d_hz_hlth_small*G1369,0))</f>
        <v/>
      </c>
      <c r="AF1370" s="46">
        <f>AE1370*IF(B1370&gt;=in_marketplace_from,d_hz_hlth_small*G1370,0)</f>
        <v/>
      </c>
      <c r="AG1370" s="14">
        <f>F1370*AF1370*in_hlth_small_ticket*in_hlth_small_comm*in_ins_partner_share+F1370*in_hlth_small_ticket*in_hlth_small_renew_comm*in_ins_partner_share*(in_hlth_small_renew^1*SUMIFS(AF1367:AF1396,B1367:B1396,B1370-12)+in_hlth_small_renew^2*SUMIFS(AF1367:AF1396,B1367:B1396,B1370-24)+in_hlth_small_renew^3*SUMIFS(AF1367:AF1396,B1367:B1396,B1370-36)+in_hlth_small_renew^4*SUMIFS(AF1367:AF1396,B1367:B1396,B1370-48))</f>
        <v/>
      </c>
      <c r="AH1370" s="40">
        <f>AH1369*(1-IF(B1369&gt;=in_marketplace_from,d_hz_hlth_family*G1369,0))</f>
        <v/>
      </c>
      <c r="AI1370" s="46">
        <f>AH1370*IF(B1370&gt;=in_marketplace_from,d_hz_hlth_family*G1370,0)</f>
        <v/>
      </c>
      <c r="AJ1370" s="14">
        <f>F1370*AI1370*in_hlth_family_ticket*in_hlth_family_comm*in_ins_partner_share+F1370*in_hlth_family_ticket*in_hlth_family_renew_comm*in_ins_partner_share*(in_hlth_family_renew^1*SUMIFS(AI1367:AI1396,B1367:B1396,B1370-12)+in_hlth_family_renew^2*SUMIFS(AI1367:AI1396,B1367:B1396,B1370-24)+in_hlth_family_renew^3*SUMIFS(AI1367:AI1396,B1367:B1396,B1370-36)+in_hlth_family_renew^4*SUMIFS(AI1367:AI1396,B1367:B1396,B1370-48))</f>
        <v/>
      </c>
      <c r="AK1370" s="40">
        <f>AK1369*(1-IF(B1369&gt;=in_marketplace_from,d_hz_life_term*G1369,0))</f>
        <v/>
      </c>
      <c r="AL1370" s="46">
        <f>AK1370*IF(B1370&gt;=in_marketplace_from,d_hz_life_term*G1370,0)</f>
        <v/>
      </c>
      <c r="AM1370" s="14">
        <f>F1370*AL1370*in_life_term_ticket*in_life_term_comm*in_ins_partner_share+F1370*in_life_term_ticket*in_life_term_renew_comm*in_ins_partner_share*(in_life_term_renew^1*SUMIFS(AL1367:AL1396,B1367:B1396,B1370-12)+in_life_term_renew^2*SUMIFS(AL1367:AL1396,B1367:B1396,B1370-24)+in_life_term_renew^3*SUMIFS(AL1367:AL1396,B1367:B1396,B1370-36)+in_life_term_renew^4*SUMIFS(AL1367:AL1396,B1367:B1396,B1370-48))</f>
        <v/>
      </c>
      <c r="AN1370" s="40">
        <f>AN1369*(1-IF(B1369&gt;=in_marketplace_from,d_hz_accident*G1369,0))</f>
        <v/>
      </c>
      <c r="AO1370" s="46">
        <f>AN1370*IF(B1370&gt;=in_marketplace_from,d_hz_accident*G1370,0)</f>
        <v/>
      </c>
      <c r="AP1370" s="14">
        <f>F1370*AO1370*in_accident_ticket*in_accident_comm*in_ins_partner_share+F1370*in_accident_ticket*in_accident_renew_comm*in_ins_partner_share*(in_accident_renew^1*SUMIFS(AO1367:AO1396,B1367:B1396,B1370-12)+in_accident_renew^2*SUMIFS(AO1367:AO1396,B1367:B1396,B1370-24)+in_accident_renew^3*SUMIFS(AO1367:AO1396,B1367:B1396,B1370-36)+in_accident_renew^4*SUMIFS(AO1367:AO1396,B1367:B1396,B1370-48))</f>
        <v/>
      </c>
      <c r="AQ1370" s="40">
        <f>AQ1369*(1-IF(B1369&gt;=in_marketplace_from,d_hz_two_wheeler*G1369,0))</f>
        <v/>
      </c>
      <c r="AR1370" s="46">
        <f>AQ1370*IF(B1370&gt;=in_marketplace_from,d_hz_two_wheeler*G1370,0)</f>
        <v/>
      </c>
      <c r="AS1370" s="14">
        <f>F1370*AR1370*in_two_wheeler_ticket*in_two_wheeler_comm*in_ins_partner_share+F1370*in_two_wheeler_ticket*in_two_wheeler_comm*in_ins_partner_share*(in_two_wheeler_renew^1*SUMIFS(AR1367:AR1396,B1367:B1396,B1370-12)+in_two_wheeler_renew^2*SUMIFS(AR1367:AR1396,B1367:B1396,B1370-24)+in_two_wheeler_renew^3*SUMIFS(AR1367:AR1396,B1367:B1396,B1370-36)+in_two_wheeler_renew^4*SUMIFS(AR1367:AR1396,B1367:B1396,B1370-48))</f>
        <v/>
      </c>
      <c r="AT1370" s="40">
        <f>AT1369*(1-IF(B1369&gt;=in_marketplace_from,d_hz_device*G1369,0))</f>
        <v/>
      </c>
      <c r="AU1370" s="14">
        <f>F1370*AT1370*IF(B1370&gt;=in_marketplace_from,d_hz_device*G1370,0)*in_device_ticket*in_device_comm*in_ins_partner_share</f>
        <v/>
      </c>
      <c r="AV1370" s="40">
        <f>AV1369*(1-IF(B1369&gt;=in_marketplace_from,d_hz_shop*G1369,0))</f>
        <v/>
      </c>
      <c r="AW1370" s="46">
        <f>AV1370*IF(B1370&gt;=in_marketplace_from,d_hz_shop*G1370,0)</f>
        <v/>
      </c>
      <c r="AX1370" s="14">
        <f>F1370*AW1370*in_shop_ticket*in_shop_comm*in_ins_partner_share+F1370*in_shop_ticket*in_shop_renew_comm*in_ins_partner_share*(in_shop_renew^1*SUMIFS(AW1367:AW1396,B1367:B1396,B1370-12)+in_shop_renew^2*SUMIFS(AW1367:AW1396,B1367:B1396,B1370-24)+in_shop_renew^3*SUMIFS(AW1367:AW1396,B1367:B1396,B1370-36)+in_shop_renew^4*SUMIFS(AW1367:AW1396,B1367:B1396,B1370-48))</f>
        <v/>
      </c>
      <c r="AY1370" s="40">
        <f>AY1369*(1-IF(B1369&gt;=in_marketplace_from,d_hz_sip*G1369,0))</f>
        <v/>
      </c>
      <c r="AZ1370" s="40">
        <f>AZ1369*d_rho_sip+AY1370*IF(B1370&gt;=in_marketplace_from,d_hz_sip*G1370,0)</f>
        <v/>
      </c>
      <c r="BA1370" s="40">
        <f>d_rho_sip*(BA1369+AZ1369)</f>
        <v/>
      </c>
      <c r="BB1370" s="14">
        <f>F1370*in_sip_ticket*(BA1370+0.5*AZ1370)*in_sip_comm/12</f>
        <v/>
      </c>
      <c r="BC1370" s="40">
        <f>BC1369*(1-IF(B1369&gt;=in_marketplace_from,d_hz_choti*G1369,0))</f>
        <v/>
      </c>
      <c r="BD1370" s="46">
        <f>BC1370*IF(B1370&gt;=in_marketplace_from,d_hz_choti*G1370,0)</f>
        <v/>
      </c>
      <c r="BE1370" s="14">
        <f>F1370*SUMIFS(BD1367:BD1396,B1367:B1396,B1370-in_choti_months)*in_choti_renew*in_choti_ticket</f>
        <v/>
      </c>
      <c r="BF1370" s="40">
        <f>BF1369*(1-IF(B1369&gt;=in_marketplace_from,d_hz_nps*G1369,0))</f>
        <v/>
      </c>
      <c r="BG1370" s="14">
        <f>F1370*BF1370*IF(B1370&gt;=in_marketplace_from,d_hz_nps*G1370,0)*in_nps_ticket*in_nps_comm</f>
        <v/>
      </c>
      <c r="BH1370" s="40">
        <f>BH1369*(1-IF(B1369&gt;=in_marketplace_from,d_hz_gold*G1369,0))</f>
        <v/>
      </c>
      <c r="BI1370" s="40">
        <f>BI1369*d_rho_gold+BH1370*IF(B1370&gt;=in_marketplace_from,d_hz_gold*G1370,0)</f>
        <v/>
      </c>
      <c r="BJ1370" s="14">
        <f>F1370*BI1370*in_gold_ticket*in_gold_comm</f>
        <v/>
      </c>
      <c r="BK1370" s="40">
        <f>BK1369*(1-IF(B1369&gt;=in_marketplace_from,d_hz_fd*G1369,0))</f>
        <v/>
      </c>
      <c r="BL1370" s="14">
        <f>F1370*BK1370*IF(B1370&gt;=in_marketplace_from,d_hz_fd*G1370,0)*in_fd_ticket*in_fd_comm</f>
        <v/>
      </c>
      <c r="BM1370" s="40">
        <f>BM1369*(1-IF(B1369&gt;=in_marketplace_from,d_hz_recharge*G1369,0))</f>
        <v/>
      </c>
      <c r="BN1370" s="40">
        <f>BN1369*d_rho_recharge+BM1370*IF(B1370&gt;=in_marketplace_from,d_hz_recharge*G1370,0)</f>
        <v/>
      </c>
      <c r="BO1370" s="14">
        <f>F1370*BN1370*in_recharge_ticket*in_recharge_comm/12</f>
        <v/>
      </c>
      <c r="BP1370" s="40">
        <f>BP1369*(1-IF(B1369&gt;=in_marketplace_from,d_hz_bills*G1369,0))</f>
        <v/>
      </c>
      <c r="BQ1370" s="40">
        <f>BQ1369*d_rho_bills+BP1370*IF(B1370&gt;=in_marketplace_from,d_hz_bills*G1370,0)</f>
        <v/>
      </c>
      <c r="BR1370" s="14">
        <f>F1370*BQ1370*in_bills_ticket*in_bills_comm/12</f>
        <v/>
      </c>
      <c r="BS1370" s="40">
        <f>BS1369*(1-IF(B1369&gt;=in_marketplace_from,d_hz_loan_gold*G1369,0))</f>
        <v/>
      </c>
      <c r="BT1370" s="14">
        <f>F1370*BS1370*IF(B1370&gt;=in_marketplace_from,d_hz_loan_gold*G1370,0)*in_loan_gold_ticket*in_loan_gold_comm</f>
        <v/>
      </c>
      <c r="BU1370" s="40">
        <f>BU1369*(1-IF(B1369&gt;=in_marketplace_from,d_hz_loan_cd*G1369,0))</f>
        <v/>
      </c>
      <c r="BV1370" s="14">
        <f>F1370*BU1370*IF(B1370&gt;=in_marketplace_from,d_hz_loan_cd*G1370,0)*in_loan_cd_ticket*in_loan_cd_comm</f>
        <v/>
      </c>
      <c r="BW1370" s="40">
        <f>BW1369*(1-IF(B1369&gt;=in_marketplace_from,d_hz_loan_vehicle*G1369,0))</f>
        <v/>
      </c>
      <c r="BX1370" s="14">
        <f>F1370*BW1370*IF(B1370&gt;=in_marketplace_from,d_hz_loan_vehicle*G1370,0)*in_loan_vehicle_ticket*in_loan_vehicle_comm</f>
        <v/>
      </c>
      <c r="BY1370" s="40">
        <f>BY1369*(1-IF(B1369&gt;=in_marketplace_from,d_hz_loan_home*G1369,0)*BZ1369)</f>
        <v/>
      </c>
      <c r="BZ1370" s="11">
        <f>MIN(in_approval_cap,in_loan_home_approval*INDEX('Age profile'!$O$2:$O$61,B1370)*(1+in_approval_growth)^(D1370-1))</f>
        <v/>
      </c>
      <c r="CA1370" s="14">
        <f>F1370*BY1370*IF(B1370&gt;=in_marketplace_from,d_hz_loan_home*G1370,0)*BZ1370*in_loan_home_ticket*in_loan_home_comm</f>
        <v/>
      </c>
      <c r="CB1370" s="40">
        <f>CB1369*(1-IF(B1369&gt;=in_marketplace_from,d_hz_loan_lap*G1369,0)*CC1369)</f>
        <v/>
      </c>
      <c r="CC1370" s="11">
        <f>MIN(in_approval_cap,in_loan_lap_approval*INDEX('Age profile'!$O$2:$O$61,B1370)*(1+in_approval_growth)^(D1370-1))</f>
        <v/>
      </c>
      <c r="CD1370" s="14">
        <f>F1370*CB1370*IF(B1370&gt;=in_marketplace_from,d_hz_loan_lap*G1370,0)*CC1370*in_loan_lap_ticket*in_loan_lap_comm</f>
        <v/>
      </c>
      <c r="CE1370" s="14">
        <f>AA1370+AB1370+AC1370+AD1370+AG1370+AJ1370+AM1370+AP1370+AS1370+AU1370+AX1370+BB1370+BE1370+BG1370+BJ1370+BL1370+BO1370+BR1370+BT1370+BV1370+BX1370+CA1370+CD1370</f>
        <v/>
      </c>
    </row>
    <row r="1371">
      <c r="A1371" s="39" t="n">
        <v>31</v>
      </c>
      <c r="B1371" s="39" t="n">
        <v>5</v>
      </c>
      <c r="C1371" s="39">
        <f>A1371+B1371-1</f>
        <v/>
      </c>
      <c r="D1371" s="39">
        <f>INT((C1371-1)/12)+1</f>
        <v/>
      </c>
      <c r="E1371" s="44">
        <f>INDEX(Monthly!$B$2:$B$61,A1371)</f>
        <v/>
      </c>
      <c r="F1371" s="44">
        <f>E1371*INDEX('Age profile'!$B$2:$B$61,B1371)</f>
        <v/>
      </c>
      <c r="G1371" s="45">
        <f>MIN(in_takeup_cap,INDEX('Age profile'!$N$2:$N$61,B1371)*(1+in_takeup_growth)^(D1371-1))</f>
        <v/>
      </c>
      <c r="H1371" s="11">
        <f>MIN(in_approval_cap,in_approved_first*INDEX('Age profile'!$O$2:$O$61,B1371)*(1+in_approval_growth)^(D1371-1))</f>
        <v/>
      </c>
      <c r="I1371" s="45">
        <f>G1371*MIN(in_takeup_cap,INDEX('Age profile'!$O$2:$O$61,B1371)*(1+in_approval_growth)^(D1371-1))</f>
        <v/>
      </c>
      <c r="J1371" s="40">
        <f>(J1370-L1370)*F1371/F1370</f>
        <v/>
      </c>
      <c r="K1371" s="40">
        <f>(K1370-M1370)*F1371/F1370+SUMIFS(O1367:O1370,B1367:B1370,B1371-1-d_T)*F1371</f>
        <v/>
      </c>
      <c r="L1371" s="40">
        <f>IF(B1371&gt;=in_marketplace_from,J1371*d_hz*G1371*in_eligible*H1371,0)</f>
        <v/>
      </c>
      <c r="M1371" s="40">
        <f>IF(B1371&gt;=in_marketplace_from,K1371*d_hz*G1371*in_eligible*in_approved_repeat,0)</f>
        <v/>
      </c>
      <c r="N1371" s="40">
        <f>L1371+M1371</f>
        <v/>
      </c>
      <c r="O1371" s="46">
        <f>N1371/F1371</f>
        <v/>
      </c>
      <c r="P1371" s="40">
        <f>F1371-J1371-K1371</f>
        <v/>
      </c>
      <c r="Q1371" s="40">
        <f>IF(B1371&gt;=in_marketplace_from,(J1371+K1371)*d_hz*G1371,0)</f>
        <v/>
      </c>
      <c r="R1371" s="40">
        <f>SUMIFS(N1367:N1396,B1367:B1396,"&gt;="&amp;(B1371-d_T),B1367:B1396,"&lt;="&amp;(B1371-1))</f>
        <v/>
      </c>
      <c r="S1371" s="46">
        <f>(1-d_u)*S1370+IF(d_T&gt;in_topup_lag,SUMIFS(O1367:O1396,B1367:B1396,B1371-in_topup_lag)-d_udrop*SUMIFS(O1367:O1396,B1367:B1396,B1371-d_T),0)</f>
        <v/>
      </c>
      <c r="T1371" s="40">
        <f>F1371*d_u*S1371</f>
        <v/>
      </c>
      <c r="U1371" s="9">
        <f>L1371*in_ticket+M1371*d_rep_ticket</f>
        <v/>
      </c>
      <c r="V1371" s="9">
        <f>U1371+T1371*d_topup_amt</f>
        <v/>
      </c>
      <c r="W1371" s="40">
        <f>N1371+T1371*d_topup_ratio</f>
        <v/>
      </c>
      <c r="X1371" s="40">
        <f>SUMIFS(W1367:W1396,B1367:B1396,B1371-in_dpd_lag)*d_cured</f>
        <v/>
      </c>
      <c r="Y1371" s="40">
        <f>SUMIFS(W1367:W1396,B1367:B1396,B1371-in_rec_lag)*d_recd</f>
        <v/>
      </c>
      <c r="Z1371" s="40">
        <f>IF(AND(B1371&gt;=in_marketplace_from,B1371&lt;in_marketplace_from+in_card_months),in_card_share/in_card_months*F1371*I1371,IF(AND(B1371&gt;=in_marketplace_from+in_card_months,B1371&lt;in_marketplace_from+2*in_card_months),in_card_share*d_card_rem/in_card_months*F1371*MIN(in_takeup_cap,(1+in_takeup_growth)^(D1371-1))*MIN(in_takeup_cap,(1+in_approval_growth)^(D1371-1)),0))</f>
        <v/>
      </c>
      <c r="AA1371" s="14">
        <f>V1371*in_fee*(1-in_taken_back)</f>
        <v/>
      </c>
      <c r="AB1371" s="14">
        <f>SUMIFS(W1367:W1396,B1367:B1396,B1371-in_dpd_lag)*d_dpd</f>
        <v/>
      </c>
      <c r="AC1371" s="14">
        <f>SUMIFS(W1367:W1396,B1367:B1396,B1371-in_rec_lag)*d_rec</f>
        <v/>
      </c>
      <c r="AD1371" s="14">
        <f>Z1371*in_card_fee</f>
        <v/>
      </c>
      <c r="AE1371" s="40">
        <f>AE1370*(1-IF(B1370&gt;=in_marketplace_from,d_hz_hlth_small*G1370,0))</f>
        <v/>
      </c>
      <c r="AF1371" s="46">
        <f>AE1371*IF(B1371&gt;=in_marketplace_from,d_hz_hlth_small*G1371,0)</f>
        <v/>
      </c>
      <c r="AG1371" s="14">
        <f>F1371*AF1371*in_hlth_small_ticket*in_hlth_small_comm*in_ins_partner_share+F1371*in_hlth_small_ticket*in_hlth_small_renew_comm*in_ins_partner_share*(in_hlth_small_renew^1*SUMIFS(AF1367:AF1396,B1367:B1396,B1371-12)+in_hlth_small_renew^2*SUMIFS(AF1367:AF1396,B1367:B1396,B1371-24)+in_hlth_small_renew^3*SUMIFS(AF1367:AF1396,B1367:B1396,B1371-36)+in_hlth_small_renew^4*SUMIFS(AF1367:AF1396,B1367:B1396,B1371-48))</f>
        <v/>
      </c>
      <c r="AH1371" s="40">
        <f>AH1370*(1-IF(B1370&gt;=in_marketplace_from,d_hz_hlth_family*G1370,0))</f>
        <v/>
      </c>
      <c r="AI1371" s="46">
        <f>AH1371*IF(B1371&gt;=in_marketplace_from,d_hz_hlth_family*G1371,0)</f>
        <v/>
      </c>
      <c r="AJ1371" s="14">
        <f>F1371*AI1371*in_hlth_family_ticket*in_hlth_family_comm*in_ins_partner_share+F1371*in_hlth_family_ticket*in_hlth_family_renew_comm*in_ins_partner_share*(in_hlth_family_renew^1*SUMIFS(AI1367:AI1396,B1367:B1396,B1371-12)+in_hlth_family_renew^2*SUMIFS(AI1367:AI1396,B1367:B1396,B1371-24)+in_hlth_family_renew^3*SUMIFS(AI1367:AI1396,B1367:B1396,B1371-36)+in_hlth_family_renew^4*SUMIFS(AI1367:AI1396,B1367:B1396,B1371-48))</f>
        <v/>
      </c>
      <c r="AK1371" s="40">
        <f>AK1370*(1-IF(B1370&gt;=in_marketplace_from,d_hz_life_term*G1370,0))</f>
        <v/>
      </c>
      <c r="AL1371" s="46">
        <f>AK1371*IF(B1371&gt;=in_marketplace_from,d_hz_life_term*G1371,0)</f>
        <v/>
      </c>
      <c r="AM1371" s="14">
        <f>F1371*AL1371*in_life_term_ticket*in_life_term_comm*in_ins_partner_share+F1371*in_life_term_ticket*in_life_term_renew_comm*in_ins_partner_share*(in_life_term_renew^1*SUMIFS(AL1367:AL1396,B1367:B1396,B1371-12)+in_life_term_renew^2*SUMIFS(AL1367:AL1396,B1367:B1396,B1371-24)+in_life_term_renew^3*SUMIFS(AL1367:AL1396,B1367:B1396,B1371-36)+in_life_term_renew^4*SUMIFS(AL1367:AL1396,B1367:B1396,B1371-48))</f>
        <v/>
      </c>
      <c r="AN1371" s="40">
        <f>AN1370*(1-IF(B1370&gt;=in_marketplace_from,d_hz_accident*G1370,0))</f>
        <v/>
      </c>
      <c r="AO1371" s="46">
        <f>AN1371*IF(B1371&gt;=in_marketplace_from,d_hz_accident*G1371,0)</f>
        <v/>
      </c>
      <c r="AP1371" s="14">
        <f>F1371*AO1371*in_accident_ticket*in_accident_comm*in_ins_partner_share+F1371*in_accident_ticket*in_accident_renew_comm*in_ins_partner_share*(in_accident_renew^1*SUMIFS(AO1367:AO1396,B1367:B1396,B1371-12)+in_accident_renew^2*SUMIFS(AO1367:AO1396,B1367:B1396,B1371-24)+in_accident_renew^3*SUMIFS(AO1367:AO1396,B1367:B1396,B1371-36)+in_accident_renew^4*SUMIFS(AO1367:AO1396,B1367:B1396,B1371-48))</f>
        <v/>
      </c>
      <c r="AQ1371" s="40">
        <f>AQ1370*(1-IF(B1370&gt;=in_marketplace_from,d_hz_two_wheeler*G1370,0))</f>
        <v/>
      </c>
      <c r="AR1371" s="46">
        <f>AQ1371*IF(B1371&gt;=in_marketplace_from,d_hz_two_wheeler*G1371,0)</f>
        <v/>
      </c>
      <c r="AS1371" s="14">
        <f>F1371*AR1371*in_two_wheeler_ticket*in_two_wheeler_comm*in_ins_partner_share+F1371*in_two_wheeler_ticket*in_two_wheeler_comm*in_ins_partner_share*(in_two_wheeler_renew^1*SUMIFS(AR1367:AR1396,B1367:B1396,B1371-12)+in_two_wheeler_renew^2*SUMIFS(AR1367:AR1396,B1367:B1396,B1371-24)+in_two_wheeler_renew^3*SUMIFS(AR1367:AR1396,B1367:B1396,B1371-36)+in_two_wheeler_renew^4*SUMIFS(AR1367:AR1396,B1367:B1396,B1371-48))</f>
        <v/>
      </c>
      <c r="AT1371" s="40">
        <f>AT1370*(1-IF(B1370&gt;=in_marketplace_from,d_hz_device*G1370,0))</f>
        <v/>
      </c>
      <c r="AU1371" s="14">
        <f>F1371*AT1371*IF(B1371&gt;=in_marketplace_from,d_hz_device*G1371,0)*in_device_ticket*in_device_comm*in_ins_partner_share</f>
        <v/>
      </c>
      <c r="AV1371" s="40">
        <f>AV1370*(1-IF(B1370&gt;=in_marketplace_from,d_hz_shop*G1370,0))</f>
        <v/>
      </c>
      <c r="AW1371" s="46">
        <f>AV1371*IF(B1371&gt;=in_marketplace_from,d_hz_shop*G1371,0)</f>
        <v/>
      </c>
      <c r="AX1371" s="14">
        <f>F1371*AW1371*in_shop_ticket*in_shop_comm*in_ins_partner_share+F1371*in_shop_ticket*in_shop_renew_comm*in_ins_partner_share*(in_shop_renew^1*SUMIFS(AW1367:AW1396,B1367:B1396,B1371-12)+in_shop_renew^2*SUMIFS(AW1367:AW1396,B1367:B1396,B1371-24)+in_shop_renew^3*SUMIFS(AW1367:AW1396,B1367:B1396,B1371-36)+in_shop_renew^4*SUMIFS(AW1367:AW1396,B1367:B1396,B1371-48))</f>
        <v/>
      </c>
      <c r="AY1371" s="40">
        <f>AY1370*(1-IF(B1370&gt;=in_marketplace_from,d_hz_sip*G1370,0))</f>
        <v/>
      </c>
      <c r="AZ1371" s="40">
        <f>AZ1370*d_rho_sip+AY1371*IF(B1371&gt;=in_marketplace_from,d_hz_sip*G1371,0)</f>
        <v/>
      </c>
      <c r="BA1371" s="40">
        <f>d_rho_sip*(BA1370+AZ1370)</f>
        <v/>
      </c>
      <c r="BB1371" s="14">
        <f>F1371*in_sip_ticket*(BA1371+0.5*AZ1371)*in_sip_comm/12</f>
        <v/>
      </c>
      <c r="BC1371" s="40">
        <f>BC1370*(1-IF(B1370&gt;=in_marketplace_from,d_hz_choti*G1370,0))</f>
        <v/>
      </c>
      <c r="BD1371" s="46">
        <f>BC1371*IF(B1371&gt;=in_marketplace_from,d_hz_choti*G1371,0)</f>
        <v/>
      </c>
      <c r="BE1371" s="14">
        <f>F1371*SUMIFS(BD1367:BD1396,B1367:B1396,B1371-in_choti_months)*in_choti_renew*in_choti_ticket</f>
        <v/>
      </c>
      <c r="BF1371" s="40">
        <f>BF1370*(1-IF(B1370&gt;=in_marketplace_from,d_hz_nps*G1370,0))</f>
        <v/>
      </c>
      <c r="BG1371" s="14">
        <f>F1371*BF1371*IF(B1371&gt;=in_marketplace_from,d_hz_nps*G1371,0)*in_nps_ticket*in_nps_comm</f>
        <v/>
      </c>
      <c r="BH1371" s="40">
        <f>BH1370*(1-IF(B1370&gt;=in_marketplace_from,d_hz_gold*G1370,0))</f>
        <v/>
      </c>
      <c r="BI1371" s="40">
        <f>BI1370*d_rho_gold+BH1371*IF(B1371&gt;=in_marketplace_from,d_hz_gold*G1371,0)</f>
        <v/>
      </c>
      <c r="BJ1371" s="14">
        <f>F1371*BI1371*in_gold_ticket*in_gold_comm</f>
        <v/>
      </c>
      <c r="BK1371" s="40">
        <f>BK1370*(1-IF(B1370&gt;=in_marketplace_from,d_hz_fd*G1370,0))</f>
        <v/>
      </c>
      <c r="BL1371" s="14">
        <f>F1371*BK1371*IF(B1371&gt;=in_marketplace_from,d_hz_fd*G1371,0)*in_fd_ticket*in_fd_comm</f>
        <v/>
      </c>
      <c r="BM1371" s="40">
        <f>BM1370*(1-IF(B1370&gt;=in_marketplace_from,d_hz_recharge*G1370,0))</f>
        <v/>
      </c>
      <c r="BN1371" s="40">
        <f>BN1370*d_rho_recharge+BM1371*IF(B1371&gt;=in_marketplace_from,d_hz_recharge*G1371,0)</f>
        <v/>
      </c>
      <c r="BO1371" s="14">
        <f>F1371*BN1371*in_recharge_ticket*in_recharge_comm/12</f>
        <v/>
      </c>
      <c r="BP1371" s="40">
        <f>BP1370*(1-IF(B1370&gt;=in_marketplace_from,d_hz_bills*G1370,0))</f>
        <v/>
      </c>
      <c r="BQ1371" s="40">
        <f>BQ1370*d_rho_bills+BP1371*IF(B1371&gt;=in_marketplace_from,d_hz_bills*G1371,0)</f>
        <v/>
      </c>
      <c r="BR1371" s="14">
        <f>F1371*BQ1371*in_bills_ticket*in_bills_comm/12</f>
        <v/>
      </c>
      <c r="BS1371" s="40">
        <f>BS1370*(1-IF(B1370&gt;=in_marketplace_from,d_hz_loan_gold*G1370,0))</f>
        <v/>
      </c>
      <c r="BT1371" s="14">
        <f>F1371*BS1371*IF(B1371&gt;=in_marketplace_from,d_hz_loan_gold*G1371,0)*in_loan_gold_ticket*in_loan_gold_comm</f>
        <v/>
      </c>
      <c r="BU1371" s="40">
        <f>BU1370*(1-IF(B1370&gt;=in_marketplace_from,d_hz_loan_cd*G1370,0))</f>
        <v/>
      </c>
      <c r="BV1371" s="14">
        <f>F1371*BU1371*IF(B1371&gt;=in_marketplace_from,d_hz_loan_cd*G1371,0)*in_loan_cd_ticket*in_loan_cd_comm</f>
        <v/>
      </c>
      <c r="BW1371" s="40">
        <f>BW1370*(1-IF(B1370&gt;=in_marketplace_from,d_hz_loan_vehicle*G1370,0))</f>
        <v/>
      </c>
      <c r="BX1371" s="14">
        <f>F1371*BW1371*IF(B1371&gt;=in_marketplace_from,d_hz_loan_vehicle*G1371,0)*in_loan_vehicle_ticket*in_loan_vehicle_comm</f>
        <v/>
      </c>
      <c r="BY1371" s="40">
        <f>BY1370*(1-IF(B1370&gt;=in_marketplace_from,d_hz_loan_home*G1370,0)*BZ1370)</f>
        <v/>
      </c>
      <c r="BZ1371" s="11">
        <f>MIN(in_approval_cap,in_loan_home_approval*INDEX('Age profile'!$O$2:$O$61,B1371)*(1+in_approval_growth)^(D1371-1))</f>
        <v/>
      </c>
      <c r="CA1371" s="14">
        <f>F1371*BY1371*IF(B1371&gt;=in_marketplace_from,d_hz_loan_home*G1371,0)*BZ1371*in_loan_home_ticket*in_loan_home_comm</f>
        <v/>
      </c>
      <c r="CB1371" s="40">
        <f>CB1370*(1-IF(B1370&gt;=in_marketplace_from,d_hz_loan_lap*G1370,0)*CC1370)</f>
        <v/>
      </c>
      <c r="CC1371" s="11">
        <f>MIN(in_approval_cap,in_loan_lap_approval*INDEX('Age profile'!$O$2:$O$61,B1371)*(1+in_approval_growth)^(D1371-1))</f>
        <v/>
      </c>
      <c r="CD1371" s="14">
        <f>F1371*CB1371*IF(B1371&gt;=in_marketplace_from,d_hz_loan_lap*G1371,0)*CC1371*in_loan_lap_ticket*in_loan_lap_comm</f>
        <v/>
      </c>
      <c r="CE1371" s="14">
        <f>AA1371+AB1371+AC1371+AD1371+AG1371+AJ1371+AM1371+AP1371+AS1371+AU1371+AX1371+BB1371+BE1371+BG1371+BJ1371+BL1371+BO1371+BR1371+BT1371+BV1371+BX1371+CA1371+CD1371</f>
        <v/>
      </c>
    </row>
    <row r="1372">
      <c r="A1372" s="39" t="n">
        <v>31</v>
      </c>
      <c r="B1372" s="39" t="n">
        <v>6</v>
      </c>
      <c r="C1372" s="39">
        <f>A1372+B1372-1</f>
        <v/>
      </c>
      <c r="D1372" s="39">
        <f>INT((C1372-1)/12)+1</f>
        <v/>
      </c>
      <c r="E1372" s="44">
        <f>INDEX(Monthly!$B$2:$B$61,A1372)</f>
        <v/>
      </c>
      <c r="F1372" s="44">
        <f>E1372*INDEX('Age profile'!$B$2:$B$61,B1372)</f>
        <v/>
      </c>
      <c r="G1372" s="45">
        <f>MIN(in_takeup_cap,INDEX('Age profile'!$N$2:$N$61,B1372)*(1+in_takeup_growth)^(D1372-1))</f>
        <v/>
      </c>
      <c r="H1372" s="11">
        <f>MIN(in_approval_cap,in_approved_first*INDEX('Age profile'!$O$2:$O$61,B1372)*(1+in_approval_growth)^(D1372-1))</f>
        <v/>
      </c>
      <c r="I1372" s="45">
        <f>G1372*MIN(in_takeup_cap,INDEX('Age profile'!$O$2:$O$61,B1372)*(1+in_approval_growth)^(D1372-1))</f>
        <v/>
      </c>
      <c r="J1372" s="40">
        <f>(J1371-L1371)*F1372/F1371</f>
        <v/>
      </c>
      <c r="K1372" s="40">
        <f>(K1371-M1371)*F1372/F1371+SUMIFS(O1367:O1371,B1367:B1371,B1372-1-d_T)*F1372</f>
        <v/>
      </c>
      <c r="L1372" s="40">
        <f>IF(B1372&gt;=in_marketplace_from,J1372*d_hz*G1372*in_eligible*H1372,0)</f>
        <v/>
      </c>
      <c r="M1372" s="40">
        <f>IF(B1372&gt;=in_marketplace_from,K1372*d_hz*G1372*in_eligible*in_approved_repeat,0)</f>
        <v/>
      </c>
      <c r="N1372" s="40">
        <f>L1372+M1372</f>
        <v/>
      </c>
      <c r="O1372" s="46">
        <f>N1372/F1372</f>
        <v/>
      </c>
      <c r="P1372" s="40">
        <f>F1372-J1372-K1372</f>
        <v/>
      </c>
      <c r="Q1372" s="40">
        <f>IF(B1372&gt;=in_marketplace_from,(J1372+K1372)*d_hz*G1372,0)</f>
        <v/>
      </c>
      <c r="R1372" s="40">
        <f>SUMIFS(N1367:N1396,B1367:B1396,"&gt;="&amp;(B1372-d_T),B1367:B1396,"&lt;="&amp;(B1372-1))</f>
        <v/>
      </c>
      <c r="S1372" s="46">
        <f>(1-d_u)*S1371+IF(d_T&gt;in_topup_lag,SUMIFS(O1367:O1396,B1367:B1396,B1372-in_topup_lag)-d_udrop*SUMIFS(O1367:O1396,B1367:B1396,B1372-d_T),0)</f>
        <v/>
      </c>
      <c r="T1372" s="40">
        <f>F1372*d_u*S1372</f>
        <v/>
      </c>
      <c r="U1372" s="9">
        <f>L1372*in_ticket+M1372*d_rep_ticket</f>
        <v/>
      </c>
      <c r="V1372" s="9">
        <f>U1372+T1372*d_topup_amt</f>
        <v/>
      </c>
      <c r="W1372" s="40">
        <f>N1372+T1372*d_topup_ratio</f>
        <v/>
      </c>
      <c r="X1372" s="40">
        <f>SUMIFS(W1367:W1396,B1367:B1396,B1372-in_dpd_lag)*d_cured</f>
        <v/>
      </c>
      <c r="Y1372" s="40">
        <f>SUMIFS(W1367:W1396,B1367:B1396,B1372-in_rec_lag)*d_recd</f>
        <v/>
      </c>
      <c r="Z1372" s="40">
        <f>IF(AND(B1372&gt;=in_marketplace_from,B1372&lt;in_marketplace_from+in_card_months),in_card_share/in_card_months*F1372*I1372,IF(AND(B1372&gt;=in_marketplace_from+in_card_months,B1372&lt;in_marketplace_from+2*in_card_months),in_card_share*d_card_rem/in_card_months*F1372*MIN(in_takeup_cap,(1+in_takeup_growth)^(D1372-1))*MIN(in_takeup_cap,(1+in_approval_growth)^(D1372-1)),0))</f>
        <v/>
      </c>
      <c r="AA1372" s="14">
        <f>V1372*in_fee*(1-in_taken_back)</f>
        <v/>
      </c>
      <c r="AB1372" s="14">
        <f>SUMIFS(W1367:W1396,B1367:B1396,B1372-in_dpd_lag)*d_dpd</f>
        <v/>
      </c>
      <c r="AC1372" s="14">
        <f>SUMIFS(W1367:W1396,B1367:B1396,B1372-in_rec_lag)*d_rec</f>
        <v/>
      </c>
      <c r="AD1372" s="14">
        <f>Z1372*in_card_fee</f>
        <v/>
      </c>
      <c r="AE1372" s="40">
        <f>AE1371*(1-IF(B1371&gt;=in_marketplace_from,d_hz_hlth_small*G1371,0))</f>
        <v/>
      </c>
      <c r="AF1372" s="46">
        <f>AE1372*IF(B1372&gt;=in_marketplace_from,d_hz_hlth_small*G1372,0)</f>
        <v/>
      </c>
      <c r="AG1372" s="14">
        <f>F1372*AF1372*in_hlth_small_ticket*in_hlth_small_comm*in_ins_partner_share+F1372*in_hlth_small_ticket*in_hlth_small_renew_comm*in_ins_partner_share*(in_hlth_small_renew^1*SUMIFS(AF1367:AF1396,B1367:B1396,B1372-12)+in_hlth_small_renew^2*SUMIFS(AF1367:AF1396,B1367:B1396,B1372-24)+in_hlth_small_renew^3*SUMIFS(AF1367:AF1396,B1367:B1396,B1372-36)+in_hlth_small_renew^4*SUMIFS(AF1367:AF1396,B1367:B1396,B1372-48))</f>
        <v/>
      </c>
      <c r="AH1372" s="40">
        <f>AH1371*(1-IF(B1371&gt;=in_marketplace_from,d_hz_hlth_family*G1371,0))</f>
        <v/>
      </c>
      <c r="AI1372" s="46">
        <f>AH1372*IF(B1372&gt;=in_marketplace_from,d_hz_hlth_family*G1372,0)</f>
        <v/>
      </c>
      <c r="AJ1372" s="14">
        <f>F1372*AI1372*in_hlth_family_ticket*in_hlth_family_comm*in_ins_partner_share+F1372*in_hlth_family_ticket*in_hlth_family_renew_comm*in_ins_partner_share*(in_hlth_family_renew^1*SUMIFS(AI1367:AI1396,B1367:B1396,B1372-12)+in_hlth_family_renew^2*SUMIFS(AI1367:AI1396,B1367:B1396,B1372-24)+in_hlth_family_renew^3*SUMIFS(AI1367:AI1396,B1367:B1396,B1372-36)+in_hlth_family_renew^4*SUMIFS(AI1367:AI1396,B1367:B1396,B1372-48))</f>
        <v/>
      </c>
      <c r="AK1372" s="40">
        <f>AK1371*(1-IF(B1371&gt;=in_marketplace_from,d_hz_life_term*G1371,0))</f>
        <v/>
      </c>
      <c r="AL1372" s="46">
        <f>AK1372*IF(B1372&gt;=in_marketplace_from,d_hz_life_term*G1372,0)</f>
        <v/>
      </c>
      <c r="AM1372" s="14">
        <f>F1372*AL1372*in_life_term_ticket*in_life_term_comm*in_ins_partner_share+F1372*in_life_term_ticket*in_life_term_renew_comm*in_ins_partner_share*(in_life_term_renew^1*SUMIFS(AL1367:AL1396,B1367:B1396,B1372-12)+in_life_term_renew^2*SUMIFS(AL1367:AL1396,B1367:B1396,B1372-24)+in_life_term_renew^3*SUMIFS(AL1367:AL1396,B1367:B1396,B1372-36)+in_life_term_renew^4*SUMIFS(AL1367:AL1396,B1367:B1396,B1372-48))</f>
        <v/>
      </c>
      <c r="AN1372" s="40">
        <f>AN1371*(1-IF(B1371&gt;=in_marketplace_from,d_hz_accident*G1371,0))</f>
        <v/>
      </c>
      <c r="AO1372" s="46">
        <f>AN1372*IF(B1372&gt;=in_marketplace_from,d_hz_accident*G1372,0)</f>
        <v/>
      </c>
      <c r="AP1372" s="14">
        <f>F1372*AO1372*in_accident_ticket*in_accident_comm*in_ins_partner_share+F1372*in_accident_ticket*in_accident_renew_comm*in_ins_partner_share*(in_accident_renew^1*SUMIFS(AO1367:AO1396,B1367:B1396,B1372-12)+in_accident_renew^2*SUMIFS(AO1367:AO1396,B1367:B1396,B1372-24)+in_accident_renew^3*SUMIFS(AO1367:AO1396,B1367:B1396,B1372-36)+in_accident_renew^4*SUMIFS(AO1367:AO1396,B1367:B1396,B1372-48))</f>
        <v/>
      </c>
      <c r="AQ1372" s="40">
        <f>AQ1371*(1-IF(B1371&gt;=in_marketplace_from,d_hz_two_wheeler*G1371,0))</f>
        <v/>
      </c>
      <c r="AR1372" s="46">
        <f>AQ1372*IF(B1372&gt;=in_marketplace_from,d_hz_two_wheeler*G1372,0)</f>
        <v/>
      </c>
      <c r="AS1372" s="14">
        <f>F1372*AR1372*in_two_wheeler_ticket*in_two_wheeler_comm*in_ins_partner_share+F1372*in_two_wheeler_ticket*in_two_wheeler_comm*in_ins_partner_share*(in_two_wheeler_renew^1*SUMIFS(AR1367:AR1396,B1367:B1396,B1372-12)+in_two_wheeler_renew^2*SUMIFS(AR1367:AR1396,B1367:B1396,B1372-24)+in_two_wheeler_renew^3*SUMIFS(AR1367:AR1396,B1367:B1396,B1372-36)+in_two_wheeler_renew^4*SUMIFS(AR1367:AR1396,B1367:B1396,B1372-48))</f>
        <v/>
      </c>
      <c r="AT1372" s="40">
        <f>AT1371*(1-IF(B1371&gt;=in_marketplace_from,d_hz_device*G1371,0))</f>
        <v/>
      </c>
      <c r="AU1372" s="14">
        <f>F1372*AT1372*IF(B1372&gt;=in_marketplace_from,d_hz_device*G1372,0)*in_device_ticket*in_device_comm*in_ins_partner_share</f>
        <v/>
      </c>
      <c r="AV1372" s="40">
        <f>AV1371*(1-IF(B1371&gt;=in_marketplace_from,d_hz_shop*G1371,0))</f>
        <v/>
      </c>
      <c r="AW1372" s="46">
        <f>AV1372*IF(B1372&gt;=in_marketplace_from,d_hz_shop*G1372,0)</f>
        <v/>
      </c>
      <c r="AX1372" s="14">
        <f>F1372*AW1372*in_shop_ticket*in_shop_comm*in_ins_partner_share+F1372*in_shop_ticket*in_shop_renew_comm*in_ins_partner_share*(in_shop_renew^1*SUMIFS(AW1367:AW1396,B1367:B1396,B1372-12)+in_shop_renew^2*SUMIFS(AW1367:AW1396,B1367:B1396,B1372-24)+in_shop_renew^3*SUMIFS(AW1367:AW1396,B1367:B1396,B1372-36)+in_shop_renew^4*SUMIFS(AW1367:AW1396,B1367:B1396,B1372-48))</f>
        <v/>
      </c>
      <c r="AY1372" s="40">
        <f>AY1371*(1-IF(B1371&gt;=in_marketplace_from,d_hz_sip*G1371,0))</f>
        <v/>
      </c>
      <c r="AZ1372" s="40">
        <f>AZ1371*d_rho_sip+AY1372*IF(B1372&gt;=in_marketplace_from,d_hz_sip*G1372,0)</f>
        <v/>
      </c>
      <c r="BA1372" s="40">
        <f>d_rho_sip*(BA1371+AZ1371)</f>
        <v/>
      </c>
      <c r="BB1372" s="14">
        <f>F1372*in_sip_ticket*(BA1372+0.5*AZ1372)*in_sip_comm/12</f>
        <v/>
      </c>
      <c r="BC1372" s="40">
        <f>BC1371*(1-IF(B1371&gt;=in_marketplace_from,d_hz_choti*G1371,0))</f>
        <v/>
      </c>
      <c r="BD1372" s="46">
        <f>BC1372*IF(B1372&gt;=in_marketplace_from,d_hz_choti*G1372,0)</f>
        <v/>
      </c>
      <c r="BE1372" s="14">
        <f>F1372*SUMIFS(BD1367:BD1396,B1367:B1396,B1372-in_choti_months)*in_choti_renew*in_choti_ticket</f>
        <v/>
      </c>
      <c r="BF1372" s="40">
        <f>BF1371*(1-IF(B1371&gt;=in_marketplace_from,d_hz_nps*G1371,0))</f>
        <v/>
      </c>
      <c r="BG1372" s="14">
        <f>F1372*BF1372*IF(B1372&gt;=in_marketplace_from,d_hz_nps*G1372,0)*in_nps_ticket*in_nps_comm</f>
        <v/>
      </c>
      <c r="BH1372" s="40">
        <f>BH1371*(1-IF(B1371&gt;=in_marketplace_from,d_hz_gold*G1371,0))</f>
        <v/>
      </c>
      <c r="BI1372" s="40">
        <f>BI1371*d_rho_gold+BH1372*IF(B1372&gt;=in_marketplace_from,d_hz_gold*G1372,0)</f>
        <v/>
      </c>
      <c r="BJ1372" s="14">
        <f>F1372*BI1372*in_gold_ticket*in_gold_comm</f>
        <v/>
      </c>
      <c r="BK1372" s="40">
        <f>BK1371*(1-IF(B1371&gt;=in_marketplace_from,d_hz_fd*G1371,0))</f>
        <v/>
      </c>
      <c r="BL1372" s="14">
        <f>F1372*BK1372*IF(B1372&gt;=in_marketplace_from,d_hz_fd*G1372,0)*in_fd_ticket*in_fd_comm</f>
        <v/>
      </c>
      <c r="BM1372" s="40">
        <f>BM1371*(1-IF(B1371&gt;=in_marketplace_from,d_hz_recharge*G1371,0))</f>
        <v/>
      </c>
      <c r="BN1372" s="40">
        <f>BN1371*d_rho_recharge+BM1372*IF(B1372&gt;=in_marketplace_from,d_hz_recharge*G1372,0)</f>
        <v/>
      </c>
      <c r="BO1372" s="14">
        <f>F1372*BN1372*in_recharge_ticket*in_recharge_comm/12</f>
        <v/>
      </c>
      <c r="BP1372" s="40">
        <f>BP1371*(1-IF(B1371&gt;=in_marketplace_from,d_hz_bills*G1371,0))</f>
        <v/>
      </c>
      <c r="BQ1372" s="40">
        <f>BQ1371*d_rho_bills+BP1372*IF(B1372&gt;=in_marketplace_from,d_hz_bills*G1372,0)</f>
        <v/>
      </c>
      <c r="BR1372" s="14">
        <f>F1372*BQ1372*in_bills_ticket*in_bills_comm/12</f>
        <v/>
      </c>
      <c r="BS1372" s="40">
        <f>BS1371*(1-IF(B1371&gt;=in_marketplace_from,d_hz_loan_gold*G1371,0))</f>
        <v/>
      </c>
      <c r="BT1372" s="14">
        <f>F1372*BS1372*IF(B1372&gt;=in_marketplace_from,d_hz_loan_gold*G1372,0)*in_loan_gold_ticket*in_loan_gold_comm</f>
        <v/>
      </c>
      <c r="BU1372" s="40">
        <f>BU1371*(1-IF(B1371&gt;=in_marketplace_from,d_hz_loan_cd*G1371,0))</f>
        <v/>
      </c>
      <c r="BV1372" s="14">
        <f>F1372*BU1372*IF(B1372&gt;=in_marketplace_from,d_hz_loan_cd*G1372,0)*in_loan_cd_ticket*in_loan_cd_comm</f>
        <v/>
      </c>
      <c r="BW1372" s="40">
        <f>BW1371*(1-IF(B1371&gt;=in_marketplace_from,d_hz_loan_vehicle*G1371,0))</f>
        <v/>
      </c>
      <c r="BX1372" s="14">
        <f>F1372*BW1372*IF(B1372&gt;=in_marketplace_from,d_hz_loan_vehicle*G1372,0)*in_loan_vehicle_ticket*in_loan_vehicle_comm</f>
        <v/>
      </c>
      <c r="BY1372" s="40">
        <f>BY1371*(1-IF(B1371&gt;=in_marketplace_from,d_hz_loan_home*G1371,0)*BZ1371)</f>
        <v/>
      </c>
      <c r="BZ1372" s="11">
        <f>MIN(in_approval_cap,in_loan_home_approval*INDEX('Age profile'!$O$2:$O$61,B1372)*(1+in_approval_growth)^(D1372-1))</f>
        <v/>
      </c>
      <c r="CA1372" s="14">
        <f>F1372*BY1372*IF(B1372&gt;=in_marketplace_from,d_hz_loan_home*G1372,0)*BZ1372*in_loan_home_ticket*in_loan_home_comm</f>
        <v/>
      </c>
      <c r="CB1372" s="40">
        <f>CB1371*(1-IF(B1371&gt;=in_marketplace_from,d_hz_loan_lap*G1371,0)*CC1371)</f>
        <v/>
      </c>
      <c r="CC1372" s="11">
        <f>MIN(in_approval_cap,in_loan_lap_approval*INDEX('Age profile'!$O$2:$O$61,B1372)*(1+in_approval_growth)^(D1372-1))</f>
        <v/>
      </c>
      <c r="CD1372" s="14">
        <f>F1372*CB1372*IF(B1372&gt;=in_marketplace_from,d_hz_loan_lap*G1372,0)*CC1372*in_loan_lap_ticket*in_loan_lap_comm</f>
        <v/>
      </c>
      <c r="CE1372" s="14">
        <f>AA1372+AB1372+AC1372+AD1372+AG1372+AJ1372+AM1372+AP1372+AS1372+AU1372+AX1372+BB1372+BE1372+BG1372+BJ1372+BL1372+BO1372+BR1372+BT1372+BV1372+BX1372+CA1372+CD1372</f>
        <v/>
      </c>
    </row>
    <row r="1373">
      <c r="A1373" s="39" t="n">
        <v>31</v>
      </c>
      <c r="B1373" s="39" t="n">
        <v>7</v>
      </c>
      <c r="C1373" s="39">
        <f>A1373+B1373-1</f>
        <v/>
      </c>
      <c r="D1373" s="39">
        <f>INT((C1373-1)/12)+1</f>
        <v/>
      </c>
      <c r="E1373" s="44">
        <f>INDEX(Monthly!$B$2:$B$61,A1373)</f>
        <v/>
      </c>
      <c r="F1373" s="44">
        <f>E1373*INDEX('Age profile'!$B$2:$B$61,B1373)</f>
        <v/>
      </c>
      <c r="G1373" s="45">
        <f>MIN(in_takeup_cap,INDEX('Age profile'!$N$2:$N$61,B1373)*(1+in_takeup_growth)^(D1373-1))</f>
        <v/>
      </c>
      <c r="H1373" s="11">
        <f>MIN(in_approval_cap,in_approved_first*INDEX('Age profile'!$O$2:$O$61,B1373)*(1+in_approval_growth)^(D1373-1))</f>
        <v/>
      </c>
      <c r="I1373" s="45">
        <f>G1373*MIN(in_takeup_cap,INDEX('Age profile'!$O$2:$O$61,B1373)*(1+in_approval_growth)^(D1373-1))</f>
        <v/>
      </c>
      <c r="J1373" s="40">
        <f>(J1372-L1372)*F1373/F1372</f>
        <v/>
      </c>
      <c r="K1373" s="40">
        <f>(K1372-M1372)*F1373/F1372+SUMIFS(O1367:O1372,B1367:B1372,B1373-1-d_T)*F1373</f>
        <v/>
      </c>
      <c r="L1373" s="40">
        <f>IF(B1373&gt;=in_marketplace_from,J1373*d_hz*G1373*in_eligible*H1373,0)</f>
        <v/>
      </c>
      <c r="M1373" s="40">
        <f>IF(B1373&gt;=in_marketplace_from,K1373*d_hz*G1373*in_eligible*in_approved_repeat,0)</f>
        <v/>
      </c>
      <c r="N1373" s="40">
        <f>L1373+M1373</f>
        <v/>
      </c>
      <c r="O1373" s="46">
        <f>N1373/F1373</f>
        <v/>
      </c>
      <c r="P1373" s="40">
        <f>F1373-J1373-K1373</f>
        <v/>
      </c>
      <c r="Q1373" s="40">
        <f>IF(B1373&gt;=in_marketplace_from,(J1373+K1373)*d_hz*G1373,0)</f>
        <v/>
      </c>
      <c r="R1373" s="40">
        <f>SUMIFS(N1367:N1396,B1367:B1396,"&gt;="&amp;(B1373-d_T),B1367:B1396,"&lt;="&amp;(B1373-1))</f>
        <v/>
      </c>
      <c r="S1373" s="46">
        <f>(1-d_u)*S1372+IF(d_T&gt;in_topup_lag,SUMIFS(O1367:O1396,B1367:B1396,B1373-in_topup_lag)-d_udrop*SUMIFS(O1367:O1396,B1367:B1396,B1373-d_T),0)</f>
        <v/>
      </c>
      <c r="T1373" s="40">
        <f>F1373*d_u*S1373</f>
        <v/>
      </c>
      <c r="U1373" s="9">
        <f>L1373*in_ticket+M1373*d_rep_ticket</f>
        <v/>
      </c>
      <c r="V1373" s="9">
        <f>U1373+T1373*d_topup_amt</f>
        <v/>
      </c>
      <c r="W1373" s="40">
        <f>N1373+T1373*d_topup_ratio</f>
        <v/>
      </c>
      <c r="X1373" s="40">
        <f>SUMIFS(W1367:W1396,B1367:B1396,B1373-in_dpd_lag)*d_cured</f>
        <v/>
      </c>
      <c r="Y1373" s="40">
        <f>SUMIFS(W1367:W1396,B1367:B1396,B1373-in_rec_lag)*d_recd</f>
        <v/>
      </c>
      <c r="Z1373" s="40">
        <f>IF(AND(B1373&gt;=in_marketplace_from,B1373&lt;in_marketplace_from+in_card_months),in_card_share/in_card_months*F1373*I1373,IF(AND(B1373&gt;=in_marketplace_from+in_card_months,B1373&lt;in_marketplace_from+2*in_card_months),in_card_share*d_card_rem/in_card_months*F1373*MIN(in_takeup_cap,(1+in_takeup_growth)^(D1373-1))*MIN(in_takeup_cap,(1+in_approval_growth)^(D1373-1)),0))</f>
        <v/>
      </c>
      <c r="AA1373" s="14">
        <f>V1373*in_fee*(1-in_taken_back)</f>
        <v/>
      </c>
      <c r="AB1373" s="14">
        <f>SUMIFS(W1367:W1396,B1367:B1396,B1373-in_dpd_lag)*d_dpd</f>
        <v/>
      </c>
      <c r="AC1373" s="14">
        <f>SUMIFS(W1367:W1396,B1367:B1396,B1373-in_rec_lag)*d_rec</f>
        <v/>
      </c>
      <c r="AD1373" s="14">
        <f>Z1373*in_card_fee</f>
        <v/>
      </c>
      <c r="AE1373" s="40">
        <f>AE1372*(1-IF(B1372&gt;=in_marketplace_from,d_hz_hlth_small*G1372,0))</f>
        <v/>
      </c>
      <c r="AF1373" s="46">
        <f>AE1373*IF(B1373&gt;=in_marketplace_from,d_hz_hlth_small*G1373,0)</f>
        <v/>
      </c>
      <c r="AG1373" s="14">
        <f>F1373*AF1373*in_hlth_small_ticket*in_hlth_small_comm*in_ins_partner_share+F1373*in_hlth_small_ticket*in_hlth_small_renew_comm*in_ins_partner_share*(in_hlth_small_renew^1*SUMIFS(AF1367:AF1396,B1367:B1396,B1373-12)+in_hlth_small_renew^2*SUMIFS(AF1367:AF1396,B1367:B1396,B1373-24)+in_hlth_small_renew^3*SUMIFS(AF1367:AF1396,B1367:B1396,B1373-36)+in_hlth_small_renew^4*SUMIFS(AF1367:AF1396,B1367:B1396,B1373-48))</f>
        <v/>
      </c>
      <c r="AH1373" s="40">
        <f>AH1372*(1-IF(B1372&gt;=in_marketplace_from,d_hz_hlth_family*G1372,0))</f>
        <v/>
      </c>
      <c r="AI1373" s="46">
        <f>AH1373*IF(B1373&gt;=in_marketplace_from,d_hz_hlth_family*G1373,0)</f>
        <v/>
      </c>
      <c r="AJ1373" s="14">
        <f>F1373*AI1373*in_hlth_family_ticket*in_hlth_family_comm*in_ins_partner_share+F1373*in_hlth_family_ticket*in_hlth_family_renew_comm*in_ins_partner_share*(in_hlth_family_renew^1*SUMIFS(AI1367:AI1396,B1367:B1396,B1373-12)+in_hlth_family_renew^2*SUMIFS(AI1367:AI1396,B1367:B1396,B1373-24)+in_hlth_family_renew^3*SUMIFS(AI1367:AI1396,B1367:B1396,B1373-36)+in_hlth_family_renew^4*SUMIFS(AI1367:AI1396,B1367:B1396,B1373-48))</f>
        <v/>
      </c>
      <c r="AK1373" s="40">
        <f>AK1372*(1-IF(B1372&gt;=in_marketplace_from,d_hz_life_term*G1372,0))</f>
        <v/>
      </c>
      <c r="AL1373" s="46">
        <f>AK1373*IF(B1373&gt;=in_marketplace_from,d_hz_life_term*G1373,0)</f>
        <v/>
      </c>
      <c r="AM1373" s="14">
        <f>F1373*AL1373*in_life_term_ticket*in_life_term_comm*in_ins_partner_share+F1373*in_life_term_ticket*in_life_term_renew_comm*in_ins_partner_share*(in_life_term_renew^1*SUMIFS(AL1367:AL1396,B1367:B1396,B1373-12)+in_life_term_renew^2*SUMIFS(AL1367:AL1396,B1367:B1396,B1373-24)+in_life_term_renew^3*SUMIFS(AL1367:AL1396,B1367:B1396,B1373-36)+in_life_term_renew^4*SUMIFS(AL1367:AL1396,B1367:B1396,B1373-48))</f>
        <v/>
      </c>
      <c r="AN1373" s="40">
        <f>AN1372*(1-IF(B1372&gt;=in_marketplace_from,d_hz_accident*G1372,0))</f>
        <v/>
      </c>
      <c r="AO1373" s="46">
        <f>AN1373*IF(B1373&gt;=in_marketplace_from,d_hz_accident*G1373,0)</f>
        <v/>
      </c>
      <c r="AP1373" s="14">
        <f>F1373*AO1373*in_accident_ticket*in_accident_comm*in_ins_partner_share+F1373*in_accident_ticket*in_accident_renew_comm*in_ins_partner_share*(in_accident_renew^1*SUMIFS(AO1367:AO1396,B1367:B1396,B1373-12)+in_accident_renew^2*SUMIFS(AO1367:AO1396,B1367:B1396,B1373-24)+in_accident_renew^3*SUMIFS(AO1367:AO1396,B1367:B1396,B1373-36)+in_accident_renew^4*SUMIFS(AO1367:AO1396,B1367:B1396,B1373-48))</f>
        <v/>
      </c>
      <c r="AQ1373" s="40">
        <f>AQ1372*(1-IF(B1372&gt;=in_marketplace_from,d_hz_two_wheeler*G1372,0))</f>
        <v/>
      </c>
      <c r="AR1373" s="46">
        <f>AQ1373*IF(B1373&gt;=in_marketplace_from,d_hz_two_wheeler*G1373,0)</f>
        <v/>
      </c>
      <c r="AS1373" s="14">
        <f>F1373*AR1373*in_two_wheeler_ticket*in_two_wheeler_comm*in_ins_partner_share+F1373*in_two_wheeler_ticket*in_two_wheeler_comm*in_ins_partner_share*(in_two_wheeler_renew^1*SUMIFS(AR1367:AR1396,B1367:B1396,B1373-12)+in_two_wheeler_renew^2*SUMIFS(AR1367:AR1396,B1367:B1396,B1373-24)+in_two_wheeler_renew^3*SUMIFS(AR1367:AR1396,B1367:B1396,B1373-36)+in_two_wheeler_renew^4*SUMIFS(AR1367:AR1396,B1367:B1396,B1373-48))</f>
        <v/>
      </c>
      <c r="AT1373" s="40">
        <f>AT1372*(1-IF(B1372&gt;=in_marketplace_from,d_hz_device*G1372,0))</f>
        <v/>
      </c>
      <c r="AU1373" s="14">
        <f>F1373*AT1373*IF(B1373&gt;=in_marketplace_from,d_hz_device*G1373,0)*in_device_ticket*in_device_comm*in_ins_partner_share</f>
        <v/>
      </c>
      <c r="AV1373" s="40">
        <f>AV1372*(1-IF(B1372&gt;=in_marketplace_from,d_hz_shop*G1372,0))</f>
        <v/>
      </c>
      <c r="AW1373" s="46">
        <f>AV1373*IF(B1373&gt;=in_marketplace_from,d_hz_shop*G1373,0)</f>
        <v/>
      </c>
      <c r="AX1373" s="14">
        <f>F1373*AW1373*in_shop_ticket*in_shop_comm*in_ins_partner_share+F1373*in_shop_ticket*in_shop_renew_comm*in_ins_partner_share*(in_shop_renew^1*SUMIFS(AW1367:AW1396,B1367:B1396,B1373-12)+in_shop_renew^2*SUMIFS(AW1367:AW1396,B1367:B1396,B1373-24)+in_shop_renew^3*SUMIFS(AW1367:AW1396,B1367:B1396,B1373-36)+in_shop_renew^4*SUMIFS(AW1367:AW1396,B1367:B1396,B1373-48))</f>
        <v/>
      </c>
      <c r="AY1373" s="40">
        <f>AY1372*(1-IF(B1372&gt;=in_marketplace_from,d_hz_sip*G1372,0))</f>
        <v/>
      </c>
      <c r="AZ1373" s="40">
        <f>AZ1372*d_rho_sip+AY1373*IF(B1373&gt;=in_marketplace_from,d_hz_sip*G1373,0)</f>
        <v/>
      </c>
      <c r="BA1373" s="40">
        <f>d_rho_sip*(BA1372+AZ1372)</f>
        <v/>
      </c>
      <c r="BB1373" s="14">
        <f>F1373*in_sip_ticket*(BA1373+0.5*AZ1373)*in_sip_comm/12</f>
        <v/>
      </c>
      <c r="BC1373" s="40">
        <f>BC1372*(1-IF(B1372&gt;=in_marketplace_from,d_hz_choti*G1372,0))</f>
        <v/>
      </c>
      <c r="BD1373" s="46">
        <f>BC1373*IF(B1373&gt;=in_marketplace_from,d_hz_choti*G1373,0)</f>
        <v/>
      </c>
      <c r="BE1373" s="14">
        <f>F1373*SUMIFS(BD1367:BD1396,B1367:B1396,B1373-in_choti_months)*in_choti_renew*in_choti_ticket</f>
        <v/>
      </c>
      <c r="BF1373" s="40">
        <f>BF1372*(1-IF(B1372&gt;=in_marketplace_from,d_hz_nps*G1372,0))</f>
        <v/>
      </c>
      <c r="BG1373" s="14">
        <f>F1373*BF1373*IF(B1373&gt;=in_marketplace_from,d_hz_nps*G1373,0)*in_nps_ticket*in_nps_comm</f>
        <v/>
      </c>
      <c r="BH1373" s="40">
        <f>BH1372*(1-IF(B1372&gt;=in_marketplace_from,d_hz_gold*G1372,0))</f>
        <v/>
      </c>
      <c r="BI1373" s="40">
        <f>BI1372*d_rho_gold+BH1373*IF(B1373&gt;=in_marketplace_from,d_hz_gold*G1373,0)</f>
        <v/>
      </c>
      <c r="BJ1373" s="14">
        <f>F1373*BI1373*in_gold_ticket*in_gold_comm</f>
        <v/>
      </c>
      <c r="BK1373" s="40">
        <f>BK1372*(1-IF(B1372&gt;=in_marketplace_from,d_hz_fd*G1372,0))</f>
        <v/>
      </c>
      <c r="BL1373" s="14">
        <f>F1373*BK1373*IF(B1373&gt;=in_marketplace_from,d_hz_fd*G1373,0)*in_fd_ticket*in_fd_comm</f>
        <v/>
      </c>
      <c r="BM1373" s="40">
        <f>BM1372*(1-IF(B1372&gt;=in_marketplace_from,d_hz_recharge*G1372,0))</f>
        <v/>
      </c>
      <c r="BN1373" s="40">
        <f>BN1372*d_rho_recharge+BM1373*IF(B1373&gt;=in_marketplace_from,d_hz_recharge*G1373,0)</f>
        <v/>
      </c>
      <c r="BO1373" s="14">
        <f>F1373*BN1373*in_recharge_ticket*in_recharge_comm/12</f>
        <v/>
      </c>
      <c r="BP1373" s="40">
        <f>BP1372*(1-IF(B1372&gt;=in_marketplace_from,d_hz_bills*G1372,0))</f>
        <v/>
      </c>
      <c r="BQ1373" s="40">
        <f>BQ1372*d_rho_bills+BP1373*IF(B1373&gt;=in_marketplace_from,d_hz_bills*G1373,0)</f>
        <v/>
      </c>
      <c r="BR1373" s="14">
        <f>F1373*BQ1373*in_bills_ticket*in_bills_comm/12</f>
        <v/>
      </c>
      <c r="BS1373" s="40">
        <f>BS1372*(1-IF(B1372&gt;=in_marketplace_from,d_hz_loan_gold*G1372,0))</f>
        <v/>
      </c>
      <c r="BT1373" s="14">
        <f>F1373*BS1373*IF(B1373&gt;=in_marketplace_from,d_hz_loan_gold*G1373,0)*in_loan_gold_ticket*in_loan_gold_comm</f>
        <v/>
      </c>
      <c r="BU1373" s="40">
        <f>BU1372*(1-IF(B1372&gt;=in_marketplace_from,d_hz_loan_cd*G1372,0))</f>
        <v/>
      </c>
      <c r="BV1373" s="14">
        <f>F1373*BU1373*IF(B1373&gt;=in_marketplace_from,d_hz_loan_cd*G1373,0)*in_loan_cd_ticket*in_loan_cd_comm</f>
        <v/>
      </c>
      <c r="BW1373" s="40">
        <f>BW1372*(1-IF(B1372&gt;=in_marketplace_from,d_hz_loan_vehicle*G1372,0))</f>
        <v/>
      </c>
      <c r="BX1373" s="14">
        <f>F1373*BW1373*IF(B1373&gt;=in_marketplace_from,d_hz_loan_vehicle*G1373,0)*in_loan_vehicle_ticket*in_loan_vehicle_comm</f>
        <v/>
      </c>
      <c r="BY1373" s="40">
        <f>BY1372*(1-IF(B1372&gt;=in_marketplace_from,d_hz_loan_home*G1372,0)*BZ1372)</f>
        <v/>
      </c>
      <c r="BZ1373" s="11">
        <f>MIN(in_approval_cap,in_loan_home_approval*INDEX('Age profile'!$O$2:$O$61,B1373)*(1+in_approval_growth)^(D1373-1))</f>
        <v/>
      </c>
      <c r="CA1373" s="14">
        <f>F1373*BY1373*IF(B1373&gt;=in_marketplace_from,d_hz_loan_home*G1373,0)*BZ1373*in_loan_home_ticket*in_loan_home_comm</f>
        <v/>
      </c>
      <c r="CB1373" s="40">
        <f>CB1372*(1-IF(B1372&gt;=in_marketplace_from,d_hz_loan_lap*G1372,0)*CC1372)</f>
        <v/>
      </c>
      <c r="CC1373" s="11">
        <f>MIN(in_approval_cap,in_loan_lap_approval*INDEX('Age profile'!$O$2:$O$61,B1373)*(1+in_approval_growth)^(D1373-1))</f>
        <v/>
      </c>
      <c r="CD1373" s="14">
        <f>F1373*CB1373*IF(B1373&gt;=in_marketplace_from,d_hz_loan_lap*G1373,0)*CC1373*in_loan_lap_ticket*in_loan_lap_comm</f>
        <v/>
      </c>
      <c r="CE1373" s="14">
        <f>AA1373+AB1373+AC1373+AD1373+AG1373+AJ1373+AM1373+AP1373+AS1373+AU1373+AX1373+BB1373+BE1373+BG1373+BJ1373+BL1373+BO1373+BR1373+BT1373+BV1373+BX1373+CA1373+CD1373</f>
        <v/>
      </c>
    </row>
    <row r="1374">
      <c r="A1374" s="39" t="n">
        <v>31</v>
      </c>
      <c r="B1374" s="39" t="n">
        <v>8</v>
      </c>
      <c r="C1374" s="39">
        <f>A1374+B1374-1</f>
        <v/>
      </c>
      <c r="D1374" s="39">
        <f>INT((C1374-1)/12)+1</f>
        <v/>
      </c>
      <c r="E1374" s="44">
        <f>INDEX(Monthly!$B$2:$B$61,A1374)</f>
        <v/>
      </c>
      <c r="F1374" s="44">
        <f>E1374*INDEX('Age profile'!$B$2:$B$61,B1374)</f>
        <v/>
      </c>
      <c r="G1374" s="45">
        <f>MIN(in_takeup_cap,INDEX('Age profile'!$N$2:$N$61,B1374)*(1+in_takeup_growth)^(D1374-1))</f>
        <v/>
      </c>
      <c r="H1374" s="11">
        <f>MIN(in_approval_cap,in_approved_first*INDEX('Age profile'!$O$2:$O$61,B1374)*(1+in_approval_growth)^(D1374-1))</f>
        <v/>
      </c>
      <c r="I1374" s="45">
        <f>G1374*MIN(in_takeup_cap,INDEX('Age profile'!$O$2:$O$61,B1374)*(1+in_approval_growth)^(D1374-1))</f>
        <v/>
      </c>
      <c r="J1374" s="40">
        <f>(J1373-L1373)*F1374/F1373</f>
        <v/>
      </c>
      <c r="K1374" s="40">
        <f>(K1373-M1373)*F1374/F1373+SUMIFS(O1367:O1373,B1367:B1373,B1374-1-d_T)*F1374</f>
        <v/>
      </c>
      <c r="L1374" s="40">
        <f>IF(B1374&gt;=in_marketplace_from,J1374*d_hz*G1374*in_eligible*H1374,0)</f>
        <v/>
      </c>
      <c r="M1374" s="40">
        <f>IF(B1374&gt;=in_marketplace_from,K1374*d_hz*G1374*in_eligible*in_approved_repeat,0)</f>
        <v/>
      </c>
      <c r="N1374" s="40">
        <f>L1374+M1374</f>
        <v/>
      </c>
      <c r="O1374" s="46">
        <f>N1374/F1374</f>
        <v/>
      </c>
      <c r="P1374" s="40">
        <f>F1374-J1374-K1374</f>
        <v/>
      </c>
      <c r="Q1374" s="40">
        <f>IF(B1374&gt;=in_marketplace_from,(J1374+K1374)*d_hz*G1374,0)</f>
        <v/>
      </c>
      <c r="R1374" s="40">
        <f>SUMIFS(N1367:N1396,B1367:B1396,"&gt;="&amp;(B1374-d_T),B1367:B1396,"&lt;="&amp;(B1374-1))</f>
        <v/>
      </c>
      <c r="S1374" s="46">
        <f>(1-d_u)*S1373+IF(d_T&gt;in_topup_lag,SUMIFS(O1367:O1396,B1367:B1396,B1374-in_topup_lag)-d_udrop*SUMIFS(O1367:O1396,B1367:B1396,B1374-d_T),0)</f>
        <v/>
      </c>
      <c r="T1374" s="40">
        <f>F1374*d_u*S1374</f>
        <v/>
      </c>
      <c r="U1374" s="9">
        <f>L1374*in_ticket+M1374*d_rep_ticket</f>
        <v/>
      </c>
      <c r="V1374" s="9">
        <f>U1374+T1374*d_topup_amt</f>
        <v/>
      </c>
      <c r="W1374" s="40">
        <f>N1374+T1374*d_topup_ratio</f>
        <v/>
      </c>
      <c r="X1374" s="40">
        <f>SUMIFS(W1367:W1396,B1367:B1396,B1374-in_dpd_lag)*d_cured</f>
        <v/>
      </c>
      <c r="Y1374" s="40">
        <f>SUMIFS(W1367:W1396,B1367:B1396,B1374-in_rec_lag)*d_recd</f>
        <v/>
      </c>
      <c r="Z1374" s="40">
        <f>IF(AND(B1374&gt;=in_marketplace_from,B1374&lt;in_marketplace_from+in_card_months),in_card_share/in_card_months*F1374*I1374,IF(AND(B1374&gt;=in_marketplace_from+in_card_months,B1374&lt;in_marketplace_from+2*in_card_months),in_card_share*d_card_rem/in_card_months*F1374*MIN(in_takeup_cap,(1+in_takeup_growth)^(D1374-1))*MIN(in_takeup_cap,(1+in_approval_growth)^(D1374-1)),0))</f>
        <v/>
      </c>
      <c r="AA1374" s="14">
        <f>V1374*in_fee*(1-in_taken_back)</f>
        <v/>
      </c>
      <c r="AB1374" s="14">
        <f>SUMIFS(W1367:W1396,B1367:B1396,B1374-in_dpd_lag)*d_dpd</f>
        <v/>
      </c>
      <c r="AC1374" s="14">
        <f>SUMIFS(W1367:W1396,B1367:B1396,B1374-in_rec_lag)*d_rec</f>
        <v/>
      </c>
      <c r="AD1374" s="14">
        <f>Z1374*in_card_fee</f>
        <v/>
      </c>
      <c r="AE1374" s="40">
        <f>AE1373*(1-IF(B1373&gt;=in_marketplace_from,d_hz_hlth_small*G1373,0))</f>
        <v/>
      </c>
      <c r="AF1374" s="46">
        <f>AE1374*IF(B1374&gt;=in_marketplace_from,d_hz_hlth_small*G1374,0)</f>
        <v/>
      </c>
      <c r="AG1374" s="14">
        <f>F1374*AF1374*in_hlth_small_ticket*in_hlth_small_comm*in_ins_partner_share+F1374*in_hlth_small_ticket*in_hlth_small_renew_comm*in_ins_partner_share*(in_hlth_small_renew^1*SUMIFS(AF1367:AF1396,B1367:B1396,B1374-12)+in_hlth_small_renew^2*SUMIFS(AF1367:AF1396,B1367:B1396,B1374-24)+in_hlth_small_renew^3*SUMIFS(AF1367:AF1396,B1367:B1396,B1374-36)+in_hlth_small_renew^4*SUMIFS(AF1367:AF1396,B1367:B1396,B1374-48))</f>
        <v/>
      </c>
      <c r="AH1374" s="40">
        <f>AH1373*(1-IF(B1373&gt;=in_marketplace_from,d_hz_hlth_family*G1373,0))</f>
        <v/>
      </c>
      <c r="AI1374" s="46">
        <f>AH1374*IF(B1374&gt;=in_marketplace_from,d_hz_hlth_family*G1374,0)</f>
        <v/>
      </c>
      <c r="AJ1374" s="14">
        <f>F1374*AI1374*in_hlth_family_ticket*in_hlth_family_comm*in_ins_partner_share+F1374*in_hlth_family_ticket*in_hlth_family_renew_comm*in_ins_partner_share*(in_hlth_family_renew^1*SUMIFS(AI1367:AI1396,B1367:B1396,B1374-12)+in_hlth_family_renew^2*SUMIFS(AI1367:AI1396,B1367:B1396,B1374-24)+in_hlth_family_renew^3*SUMIFS(AI1367:AI1396,B1367:B1396,B1374-36)+in_hlth_family_renew^4*SUMIFS(AI1367:AI1396,B1367:B1396,B1374-48))</f>
        <v/>
      </c>
      <c r="AK1374" s="40">
        <f>AK1373*(1-IF(B1373&gt;=in_marketplace_from,d_hz_life_term*G1373,0))</f>
        <v/>
      </c>
      <c r="AL1374" s="46">
        <f>AK1374*IF(B1374&gt;=in_marketplace_from,d_hz_life_term*G1374,0)</f>
        <v/>
      </c>
      <c r="AM1374" s="14">
        <f>F1374*AL1374*in_life_term_ticket*in_life_term_comm*in_ins_partner_share+F1374*in_life_term_ticket*in_life_term_renew_comm*in_ins_partner_share*(in_life_term_renew^1*SUMIFS(AL1367:AL1396,B1367:B1396,B1374-12)+in_life_term_renew^2*SUMIFS(AL1367:AL1396,B1367:B1396,B1374-24)+in_life_term_renew^3*SUMIFS(AL1367:AL1396,B1367:B1396,B1374-36)+in_life_term_renew^4*SUMIFS(AL1367:AL1396,B1367:B1396,B1374-48))</f>
        <v/>
      </c>
      <c r="AN1374" s="40">
        <f>AN1373*(1-IF(B1373&gt;=in_marketplace_from,d_hz_accident*G1373,0))</f>
        <v/>
      </c>
      <c r="AO1374" s="46">
        <f>AN1374*IF(B1374&gt;=in_marketplace_from,d_hz_accident*G1374,0)</f>
        <v/>
      </c>
      <c r="AP1374" s="14">
        <f>F1374*AO1374*in_accident_ticket*in_accident_comm*in_ins_partner_share+F1374*in_accident_ticket*in_accident_renew_comm*in_ins_partner_share*(in_accident_renew^1*SUMIFS(AO1367:AO1396,B1367:B1396,B1374-12)+in_accident_renew^2*SUMIFS(AO1367:AO1396,B1367:B1396,B1374-24)+in_accident_renew^3*SUMIFS(AO1367:AO1396,B1367:B1396,B1374-36)+in_accident_renew^4*SUMIFS(AO1367:AO1396,B1367:B1396,B1374-48))</f>
        <v/>
      </c>
      <c r="AQ1374" s="40">
        <f>AQ1373*(1-IF(B1373&gt;=in_marketplace_from,d_hz_two_wheeler*G1373,0))</f>
        <v/>
      </c>
      <c r="AR1374" s="46">
        <f>AQ1374*IF(B1374&gt;=in_marketplace_from,d_hz_two_wheeler*G1374,0)</f>
        <v/>
      </c>
      <c r="AS1374" s="14">
        <f>F1374*AR1374*in_two_wheeler_ticket*in_two_wheeler_comm*in_ins_partner_share+F1374*in_two_wheeler_ticket*in_two_wheeler_comm*in_ins_partner_share*(in_two_wheeler_renew^1*SUMIFS(AR1367:AR1396,B1367:B1396,B1374-12)+in_two_wheeler_renew^2*SUMIFS(AR1367:AR1396,B1367:B1396,B1374-24)+in_two_wheeler_renew^3*SUMIFS(AR1367:AR1396,B1367:B1396,B1374-36)+in_two_wheeler_renew^4*SUMIFS(AR1367:AR1396,B1367:B1396,B1374-48))</f>
        <v/>
      </c>
      <c r="AT1374" s="40">
        <f>AT1373*(1-IF(B1373&gt;=in_marketplace_from,d_hz_device*G1373,0))</f>
        <v/>
      </c>
      <c r="AU1374" s="14">
        <f>F1374*AT1374*IF(B1374&gt;=in_marketplace_from,d_hz_device*G1374,0)*in_device_ticket*in_device_comm*in_ins_partner_share</f>
        <v/>
      </c>
      <c r="AV1374" s="40">
        <f>AV1373*(1-IF(B1373&gt;=in_marketplace_from,d_hz_shop*G1373,0))</f>
        <v/>
      </c>
      <c r="AW1374" s="46">
        <f>AV1374*IF(B1374&gt;=in_marketplace_from,d_hz_shop*G1374,0)</f>
        <v/>
      </c>
      <c r="AX1374" s="14">
        <f>F1374*AW1374*in_shop_ticket*in_shop_comm*in_ins_partner_share+F1374*in_shop_ticket*in_shop_renew_comm*in_ins_partner_share*(in_shop_renew^1*SUMIFS(AW1367:AW1396,B1367:B1396,B1374-12)+in_shop_renew^2*SUMIFS(AW1367:AW1396,B1367:B1396,B1374-24)+in_shop_renew^3*SUMIFS(AW1367:AW1396,B1367:B1396,B1374-36)+in_shop_renew^4*SUMIFS(AW1367:AW1396,B1367:B1396,B1374-48))</f>
        <v/>
      </c>
      <c r="AY1374" s="40">
        <f>AY1373*(1-IF(B1373&gt;=in_marketplace_from,d_hz_sip*G1373,0))</f>
        <v/>
      </c>
      <c r="AZ1374" s="40">
        <f>AZ1373*d_rho_sip+AY1374*IF(B1374&gt;=in_marketplace_from,d_hz_sip*G1374,0)</f>
        <v/>
      </c>
      <c r="BA1374" s="40">
        <f>d_rho_sip*(BA1373+AZ1373)</f>
        <v/>
      </c>
      <c r="BB1374" s="14">
        <f>F1374*in_sip_ticket*(BA1374+0.5*AZ1374)*in_sip_comm/12</f>
        <v/>
      </c>
      <c r="BC1374" s="40">
        <f>BC1373*(1-IF(B1373&gt;=in_marketplace_from,d_hz_choti*G1373,0))</f>
        <v/>
      </c>
      <c r="BD1374" s="46">
        <f>BC1374*IF(B1374&gt;=in_marketplace_from,d_hz_choti*G1374,0)</f>
        <v/>
      </c>
      <c r="BE1374" s="14">
        <f>F1374*SUMIFS(BD1367:BD1396,B1367:B1396,B1374-in_choti_months)*in_choti_renew*in_choti_ticket</f>
        <v/>
      </c>
      <c r="BF1374" s="40">
        <f>BF1373*(1-IF(B1373&gt;=in_marketplace_from,d_hz_nps*G1373,0))</f>
        <v/>
      </c>
      <c r="BG1374" s="14">
        <f>F1374*BF1374*IF(B1374&gt;=in_marketplace_from,d_hz_nps*G1374,0)*in_nps_ticket*in_nps_comm</f>
        <v/>
      </c>
      <c r="BH1374" s="40">
        <f>BH1373*(1-IF(B1373&gt;=in_marketplace_from,d_hz_gold*G1373,0))</f>
        <v/>
      </c>
      <c r="BI1374" s="40">
        <f>BI1373*d_rho_gold+BH1374*IF(B1374&gt;=in_marketplace_from,d_hz_gold*G1374,0)</f>
        <v/>
      </c>
      <c r="BJ1374" s="14">
        <f>F1374*BI1374*in_gold_ticket*in_gold_comm</f>
        <v/>
      </c>
      <c r="BK1374" s="40">
        <f>BK1373*(1-IF(B1373&gt;=in_marketplace_from,d_hz_fd*G1373,0))</f>
        <v/>
      </c>
      <c r="BL1374" s="14">
        <f>F1374*BK1374*IF(B1374&gt;=in_marketplace_from,d_hz_fd*G1374,0)*in_fd_ticket*in_fd_comm</f>
        <v/>
      </c>
      <c r="BM1374" s="40">
        <f>BM1373*(1-IF(B1373&gt;=in_marketplace_from,d_hz_recharge*G1373,0))</f>
        <v/>
      </c>
      <c r="BN1374" s="40">
        <f>BN1373*d_rho_recharge+BM1374*IF(B1374&gt;=in_marketplace_from,d_hz_recharge*G1374,0)</f>
        <v/>
      </c>
      <c r="BO1374" s="14">
        <f>F1374*BN1374*in_recharge_ticket*in_recharge_comm/12</f>
        <v/>
      </c>
      <c r="BP1374" s="40">
        <f>BP1373*(1-IF(B1373&gt;=in_marketplace_from,d_hz_bills*G1373,0))</f>
        <v/>
      </c>
      <c r="BQ1374" s="40">
        <f>BQ1373*d_rho_bills+BP1374*IF(B1374&gt;=in_marketplace_from,d_hz_bills*G1374,0)</f>
        <v/>
      </c>
      <c r="BR1374" s="14">
        <f>F1374*BQ1374*in_bills_ticket*in_bills_comm/12</f>
        <v/>
      </c>
      <c r="BS1374" s="40">
        <f>BS1373*(1-IF(B1373&gt;=in_marketplace_from,d_hz_loan_gold*G1373,0))</f>
        <v/>
      </c>
      <c r="BT1374" s="14">
        <f>F1374*BS1374*IF(B1374&gt;=in_marketplace_from,d_hz_loan_gold*G1374,0)*in_loan_gold_ticket*in_loan_gold_comm</f>
        <v/>
      </c>
      <c r="BU1374" s="40">
        <f>BU1373*(1-IF(B1373&gt;=in_marketplace_from,d_hz_loan_cd*G1373,0))</f>
        <v/>
      </c>
      <c r="BV1374" s="14">
        <f>F1374*BU1374*IF(B1374&gt;=in_marketplace_from,d_hz_loan_cd*G1374,0)*in_loan_cd_ticket*in_loan_cd_comm</f>
        <v/>
      </c>
      <c r="BW1374" s="40">
        <f>BW1373*(1-IF(B1373&gt;=in_marketplace_from,d_hz_loan_vehicle*G1373,0))</f>
        <v/>
      </c>
      <c r="BX1374" s="14">
        <f>F1374*BW1374*IF(B1374&gt;=in_marketplace_from,d_hz_loan_vehicle*G1374,0)*in_loan_vehicle_ticket*in_loan_vehicle_comm</f>
        <v/>
      </c>
      <c r="BY1374" s="40">
        <f>BY1373*(1-IF(B1373&gt;=in_marketplace_from,d_hz_loan_home*G1373,0)*BZ1373)</f>
        <v/>
      </c>
      <c r="BZ1374" s="11">
        <f>MIN(in_approval_cap,in_loan_home_approval*INDEX('Age profile'!$O$2:$O$61,B1374)*(1+in_approval_growth)^(D1374-1))</f>
        <v/>
      </c>
      <c r="CA1374" s="14">
        <f>F1374*BY1374*IF(B1374&gt;=in_marketplace_from,d_hz_loan_home*G1374,0)*BZ1374*in_loan_home_ticket*in_loan_home_comm</f>
        <v/>
      </c>
      <c r="CB1374" s="40">
        <f>CB1373*(1-IF(B1373&gt;=in_marketplace_from,d_hz_loan_lap*G1373,0)*CC1373)</f>
        <v/>
      </c>
      <c r="CC1374" s="11">
        <f>MIN(in_approval_cap,in_loan_lap_approval*INDEX('Age profile'!$O$2:$O$61,B1374)*(1+in_approval_growth)^(D1374-1))</f>
        <v/>
      </c>
      <c r="CD1374" s="14">
        <f>F1374*CB1374*IF(B1374&gt;=in_marketplace_from,d_hz_loan_lap*G1374,0)*CC1374*in_loan_lap_ticket*in_loan_lap_comm</f>
        <v/>
      </c>
      <c r="CE1374" s="14">
        <f>AA1374+AB1374+AC1374+AD1374+AG1374+AJ1374+AM1374+AP1374+AS1374+AU1374+AX1374+BB1374+BE1374+BG1374+BJ1374+BL1374+BO1374+BR1374+BT1374+BV1374+BX1374+CA1374+CD1374</f>
        <v/>
      </c>
    </row>
    <row r="1375">
      <c r="A1375" s="39" t="n">
        <v>31</v>
      </c>
      <c r="B1375" s="39" t="n">
        <v>9</v>
      </c>
      <c r="C1375" s="39">
        <f>A1375+B1375-1</f>
        <v/>
      </c>
      <c r="D1375" s="39">
        <f>INT((C1375-1)/12)+1</f>
        <v/>
      </c>
      <c r="E1375" s="44">
        <f>INDEX(Monthly!$B$2:$B$61,A1375)</f>
        <v/>
      </c>
      <c r="F1375" s="44">
        <f>E1375*INDEX('Age profile'!$B$2:$B$61,B1375)</f>
        <v/>
      </c>
      <c r="G1375" s="45">
        <f>MIN(in_takeup_cap,INDEX('Age profile'!$N$2:$N$61,B1375)*(1+in_takeup_growth)^(D1375-1))</f>
        <v/>
      </c>
      <c r="H1375" s="11">
        <f>MIN(in_approval_cap,in_approved_first*INDEX('Age profile'!$O$2:$O$61,B1375)*(1+in_approval_growth)^(D1375-1))</f>
        <v/>
      </c>
      <c r="I1375" s="45">
        <f>G1375*MIN(in_takeup_cap,INDEX('Age profile'!$O$2:$O$61,B1375)*(1+in_approval_growth)^(D1375-1))</f>
        <v/>
      </c>
      <c r="J1375" s="40">
        <f>(J1374-L1374)*F1375/F1374</f>
        <v/>
      </c>
      <c r="K1375" s="40">
        <f>(K1374-M1374)*F1375/F1374+SUMIFS(O1367:O1374,B1367:B1374,B1375-1-d_T)*F1375</f>
        <v/>
      </c>
      <c r="L1375" s="40">
        <f>IF(B1375&gt;=in_marketplace_from,J1375*d_hz*G1375*in_eligible*H1375,0)</f>
        <v/>
      </c>
      <c r="M1375" s="40">
        <f>IF(B1375&gt;=in_marketplace_from,K1375*d_hz*G1375*in_eligible*in_approved_repeat,0)</f>
        <v/>
      </c>
      <c r="N1375" s="40">
        <f>L1375+M1375</f>
        <v/>
      </c>
      <c r="O1375" s="46">
        <f>N1375/F1375</f>
        <v/>
      </c>
      <c r="P1375" s="40">
        <f>F1375-J1375-K1375</f>
        <v/>
      </c>
      <c r="Q1375" s="40">
        <f>IF(B1375&gt;=in_marketplace_from,(J1375+K1375)*d_hz*G1375,0)</f>
        <v/>
      </c>
      <c r="R1375" s="40">
        <f>SUMIFS(N1367:N1396,B1367:B1396,"&gt;="&amp;(B1375-d_T),B1367:B1396,"&lt;="&amp;(B1375-1))</f>
        <v/>
      </c>
      <c r="S1375" s="46">
        <f>(1-d_u)*S1374+IF(d_T&gt;in_topup_lag,SUMIFS(O1367:O1396,B1367:B1396,B1375-in_topup_lag)-d_udrop*SUMIFS(O1367:O1396,B1367:B1396,B1375-d_T),0)</f>
        <v/>
      </c>
      <c r="T1375" s="40">
        <f>F1375*d_u*S1375</f>
        <v/>
      </c>
      <c r="U1375" s="9">
        <f>L1375*in_ticket+M1375*d_rep_ticket</f>
        <v/>
      </c>
      <c r="V1375" s="9">
        <f>U1375+T1375*d_topup_amt</f>
        <v/>
      </c>
      <c r="W1375" s="40">
        <f>N1375+T1375*d_topup_ratio</f>
        <v/>
      </c>
      <c r="X1375" s="40">
        <f>SUMIFS(W1367:W1396,B1367:B1396,B1375-in_dpd_lag)*d_cured</f>
        <v/>
      </c>
      <c r="Y1375" s="40">
        <f>SUMIFS(W1367:W1396,B1367:B1396,B1375-in_rec_lag)*d_recd</f>
        <v/>
      </c>
      <c r="Z1375" s="40">
        <f>IF(AND(B1375&gt;=in_marketplace_from,B1375&lt;in_marketplace_from+in_card_months),in_card_share/in_card_months*F1375*I1375,IF(AND(B1375&gt;=in_marketplace_from+in_card_months,B1375&lt;in_marketplace_from+2*in_card_months),in_card_share*d_card_rem/in_card_months*F1375*MIN(in_takeup_cap,(1+in_takeup_growth)^(D1375-1))*MIN(in_takeup_cap,(1+in_approval_growth)^(D1375-1)),0))</f>
        <v/>
      </c>
      <c r="AA1375" s="14">
        <f>V1375*in_fee*(1-in_taken_back)</f>
        <v/>
      </c>
      <c r="AB1375" s="14">
        <f>SUMIFS(W1367:W1396,B1367:B1396,B1375-in_dpd_lag)*d_dpd</f>
        <v/>
      </c>
      <c r="AC1375" s="14">
        <f>SUMIFS(W1367:W1396,B1367:B1396,B1375-in_rec_lag)*d_rec</f>
        <v/>
      </c>
      <c r="AD1375" s="14">
        <f>Z1375*in_card_fee</f>
        <v/>
      </c>
      <c r="AE1375" s="40">
        <f>AE1374*(1-IF(B1374&gt;=in_marketplace_from,d_hz_hlth_small*G1374,0))</f>
        <v/>
      </c>
      <c r="AF1375" s="46">
        <f>AE1375*IF(B1375&gt;=in_marketplace_from,d_hz_hlth_small*G1375,0)</f>
        <v/>
      </c>
      <c r="AG1375" s="14">
        <f>F1375*AF1375*in_hlth_small_ticket*in_hlth_small_comm*in_ins_partner_share+F1375*in_hlth_small_ticket*in_hlth_small_renew_comm*in_ins_partner_share*(in_hlth_small_renew^1*SUMIFS(AF1367:AF1396,B1367:B1396,B1375-12)+in_hlth_small_renew^2*SUMIFS(AF1367:AF1396,B1367:B1396,B1375-24)+in_hlth_small_renew^3*SUMIFS(AF1367:AF1396,B1367:B1396,B1375-36)+in_hlth_small_renew^4*SUMIFS(AF1367:AF1396,B1367:B1396,B1375-48))</f>
        <v/>
      </c>
      <c r="AH1375" s="40">
        <f>AH1374*(1-IF(B1374&gt;=in_marketplace_from,d_hz_hlth_family*G1374,0))</f>
        <v/>
      </c>
      <c r="AI1375" s="46">
        <f>AH1375*IF(B1375&gt;=in_marketplace_from,d_hz_hlth_family*G1375,0)</f>
        <v/>
      </c>
      <c r="AJ1375" s="14">
        <f>F1375*AI1375*in_hlth_family_ticket*in_hlth_family_comm*in_ins_partner_share+F1375*in_hlth_family_ticket*in_hlth_family_renew_comm*in_ins_partner_share*(in_hlth_family_renew^1*SUMIFS(AI1367:AI1396,B1367:B1396,B1375-12)+in_hlth_family_renew^2*SUMIFS(AI1367:AI1396,B1367:B1396,B1375-24)+in_hlth_family_renew^3*SUMIFS(AI1367:AI1396,B1367:B1396,B1375-36)+in_hlth_family_renew^4*SUMIFS(AI1367:AI1396,B1367:B1396,B1375-48))</f>
        <v/>
      </c>
      <c r="AK1375" s="40">
        <f>AK1374*(1-IF(B1374&gt;=in_marketplace_from,d_hz_life_term*G1374,0))</f>
        <v/>
      </c>
      <c r="AL1375" s="46">
        <f>AK1375*IF(B1375&gt;=in_marketplace_from,d_hz_life_term*G1375,0)</f>
        <v/>
      </c>
      <c r="AM1375" s="14">
        <f>F1375*AL1375*in_life_term_ticket*in_life_term_comm*in_ins_partner_share+F1375*in_life_term_ticket*in_life_term_renew_comm*in_ins_partner_share*(in_life_term_renew^1*SUMIFS(AL1367:AL1396,B1367:B1396,B1375-12)+in_life_term_renew^2*SUMIFS(AL1367:AL1396,B1367:B1396,B1375-24)+in_life_term_renew^3*SUMIFS(AL1367:AL1396,B1367:B1396,B1375-36)+in_life_term_renew^4*SUMIFS(AL1367:AL1396,B1367:B1396,B1375-48))</f>
        <v/>
      </c>
      <c r="AN1375" s="40">
        <f>AN1374*(1-IF(B1374&gt;=in_marketplace_from,d_hz_accident*G1374,0))</f>
        <v/>
      </c>
      <c r="AO1375" s="46">
        <f>AN1375*IF(B1375&gt;=in_marketplace_from,d_hz_accident*G1375,0)</f>
        <v/>
      </c>
      <c r="AP1375" s="14">
        <f>F1375*AO1375*in_accident_ticket*in_accident_comm*in_ins_partner_share+F1375*in_accident_ticket*in_accident_renew_comm*in_ins_partner_share*(in_accident_renew^1*SUMIFS(AO1367:AO1396,B1367:B1396,B1375-12)+in_accident_renew^2*SUMIFS(AO1367:AO1396,B1367:B1396,B1375-24)+in_accident_renew^3*SUMIFS(AO1367:AO1396,B1367:B1396,B1375-36)+in_accident_renew^4*SUMIFS(AO1367:AO1396,B1367:B1396,B1375-48))</f>
        <v/>
      </c>
      <c r="AQ1375" s="40">
        <f>AQ1374*(1-IF(B1374&gt;=in_marketplace_from,d_hz_two_wheeler*G1374,0))</f>
        <v/>
      </c>
      <c r="AR1375" s="46">
        <f>AQ1375*IF(B1375&gt;=in_marketplace_from,d_hz_two_wheeler*G1375,0)</f>
        <v/>
      </c>
      <c r="AS1375" s="14">
        <f>F1375*AR1375*in_two_wheeler_ticket*in_two_wheeler_comm*in_ins_partner_share+F1375*in_two_wheeler_ticket*in_two_wheeler_comm*in_ins_partner_share*(in_two_wheeler_renew^1*SUMIFS(AR1367:AR1396,B1367:B1396,B1375-12)+in_two_wheeler_renew^2*SUMIFS(AR1367:AR1396,B1367:B1396,B1375-24)+in_two_wheeler_renew^3*SUMIFS(AR1367:AR1396,B1367:B1396,B1375-36)+in_two_wheeler_renew^4*SUMIFS(AR1367:AR1396,B1367:B1396,B1375-48))</f>
        <v/>
      </c>
      <c r="AT1375" s="40">
        <f>AT1374*(1-IF(B1374&gt;=in_marketplace_from,d_hz_device*G1374,0))</f>
        <v/>
      </c>
      <c r="AU1375" s="14">
        <f>F1375*AT1375*IF(B1375&gt;=in_marketplace_from,d_hz_device*G1375,0)*in_device_ticket*in_device_comm*in_ins_partner_share</f>
        <v/>
      </c>
      <c r="AV1375" s="40">
        <f>AV1374*(1-IF(B1374&gt;=in_marketplace_from,d_hz_shop*G1374,0))</f>
        <v/>
      </c>
      <c r="AW1375" s="46">
        <f>AV1375*IF(B1375&gt;=in_marketplace_from,d_hz_shop*G1375,0)</f>
        <v/>
      </c>
      <c r="AX1375" s="14">
        <f>F1375*AW1375*in_shop_ticket*in_shop_comm*in_ins_partner_share+F1375*in_shop_ticket*in_shop_renew_comm*in_ins_partner_share*(in_shop_renew^1*SUMIFS(AW1367:AW1396,B1367:B1396,B1375-12)+in_shop_renew^2*SUMIFS(AW1367:AW1396,B1367:B1396,B1375-24)+in_shop_renew^3*SUMIFS(AW1367:AW1396,B1367:B1396,B1375-36)+in_shop_renew^4*SUMIFS(AW1367:AW1396,B1367:B1396,B1375-48))</f>
        <v/>
      </c>
      <c r="AY1375" s="40">
        <f>AY1374*(1-IF(B1374&gt;=in_marketplace_from,d_hz_sip*G1374,0))</f>
        <v/>
      </c>
      <c r="AZ1375" s="40">
        <f>AZ1374*d_rho_sip+AY1375*IF(B1375&gt;=in_marketplace_from,d_hz_sip*G1375,0)</f>
        <v/>
      </c>
      <c r="BA1375" s="40">
        <f>d_rho_sip*(BA1374+AZ1374)</f>
        <v/>
      </c>
      <c r="BB1375" s="14">
        <f>F1375*in_sip_ticket*(BA1375+0.5*AZ1375)*in_sip_comm/12</f>
        <v/>
      </c>
      <c r="BC1375" s="40">
        <f>BC1374*(1-IF(B1374&gt;=in_marketplace_from,d_hz_choti*G1374,0))</f>
        <v/>
      </c>
      <c r="BD1375" s="46">
        <f>BC1375*IF(B1375&gt;=in_marketplace_from,d_hz_choti*G1375,0)</f>
        <v/>
      </c>
      <c r="BE1375" s="14">
        <f>F1375*SUMIFS(BD1367:BD1396,B1367:B1396,B1375-in_choti_months)*in_choti_renew*in_choti_ticket</f>
        <v/>
      </c>
      <c r="BF1375" s="40">
        <f>BF1374*(1-IF(B1374&gt;=in_marketplace_from,d_hz_nps*G1374,0))</f>
        <v/>
      </c>
      <c r="BG1375" s="14">
        <f>F1375*BF1375*IF(B1375&gt;=in_marketplace_from,d_hz_nps*G1375,0)*in_nps_ticket*in_nps_comm</f>
        <v/>
      </c>
      <c r="BH1375" s="40">
        <f>BH1374*(1-IF(B1374&gt;=in_marketplace_from,d_hz_gold*G1374,0))</f>
        <v/>
      </c>
      <c r="BI1375" s="40">
        <f>BI1374*d_rho_gold+BH1375*IF(B1375&gt;=in_marketplace_from,d_hz_gold*G1375,0)</f>
        <v/>
      </c>
      <c r="BJ1375" s="14">
        <f>F1375*BI1375*in_gold_ticket*in_gold_comm</f>
        <v/>
      </c>
      <c r="BK1375" s="40">
        <f>BK1374*(1-IF(B1374&gt;=in_marketplace_from,d_hz_fd*G1374,0))</f>
        <v/>
      </c>
      <c r="BL1375" s="14">
        <f>F1375*BK1375*IF(B1375&gt;=in_marketplace_from,d_hz_fd*G1375,0)*in_fd_ticket*in_fd_comm</f>
        <v/>
      </c>
      <c r="BM1375" s="40">
        <f>BM1374*(1-IF(B1374&gt;=in_marketplace_from,d_hz_recharge*G1374,0))</f>
        <v/>
      </c>
      <c r="BN1375" s="40">
        <f>BN1374*d_rho_recharge+BM1375*IF(B1375&gt;=in_marketplace_from,d_hz_recharge*G1375,0)</f>
        <v/>
      </c>
      <c r="BO1375" s="14">
        <f>F1375*BN1375*in_recharge_ticket*in_recharge_comm/12</f>
        <v/>
      </c>
      <c r="BP1375" s="40">
        <f>BP1374*(1-IF(B1374&gt;=in_marketplace_from,d_hz_bills*G1374,0))</f>
        <v/>
      </c>
      <c r="BQ1375" s="40">
        <f>BQ1374*d_rho_bills+BP1375*IF(B1375&gt;=in_marketplace_from,d_hz_bills*G1375,0)</f>
        <v/>
      </c>
      <c r="BR1375" s="14">
        <f>F1375*BQ1375*in_bills_ticket*in_bills_comm/12</f>
        <v/>
      </c>
      <c r="BS1375" s="40">
        <f>BS1374*(1-IF(B1374&gt;=in_marketplace_from,d_hz_loan_gold*G1374,0))</f>
        <v/>
      </c>
      <c r="BT1375" s="14">
        <f>F1375*BS1375*IF(B1375&gt;=in_marketplace_from,d_hz_loan_gold*G1375,0)*in_loan_gold_ticket*in_loan_gold_comm</f>
        <v/>
      </c>
      <c r="BU1375" s="40">
        <f>BU1374*(1-IF(B1374&gt;=in_marketplace_from,d_hz_loan_cd*G1374,0))</f>
        <v/>
      </c>
      <c r="BV1375" s="14">
        <f>F1375*BU1375*IF(B1375&gt;=in_marketplace_from,d_hz_loan_cd*G1375,0)*in_loan_cd_ticket*in_loan_cd_comm</f>
        <v/>
      </c>
      <c r="BW1375" s="40">
        <f>BW1374*(1-IF(B1374&gt;=in_marketplace_from,d_hz_loan_vehicle*G1374,0))</f>
        <v/>
      </c>
      <c r="BX1375" s="14">
        <f>F1375*BW1375*IF(B1375&gt;=in_marketplace_from,d_hz_loan_vehicle*G1375,0)*in_loan_vehicle_ticket*in_loan_vehicle_comm</f>
        <v/>
      </c>
      <c r="BY1375" s="40">
        <f>BY1374*(1-IF(B1374&gt;=in_marketplace_from,d_hz_loan_home*G1374,0)*BZ1374)</f>
        <v/>
      </c>
      <c r="BZ1375" s="11">
        <f>MIN(in_approval_cap,in_loan_home_approval*INDEX('Age profile'!$O$2:$O$61,B1375)*(1+in_approval_growth)^(D1375-1))</f>
        <v/>
      </c>
      <c r="CA1375" s="14">
        <f>F1375*BY1375*IF(B1375&gt;=in_marketplace_from,d_hz_loan_home*G1375,0)*BZ1375*in_loan_home_ticket*in_loan_home_comm</f>
        <v/>
      </c>
      <c r="CB1375" s="40">
        <f>CB1374*(1-IF(B1374&gt;=in_marketplace_from,d_hz_loan_lap*G1374,0)*CC1374)</f>
        <v/>
      </c>
      <c r="CC1375" s="11">
        <f>MIN(in_approval_cap,in_loan_lap_approval*INDEX('Age profile'!$O$2:$O$61,B1375)*(1+in_approval_growth)^(D1375-1))</f>
        <v/>
      </c>
      <c r="CD1375" s="14">
        <f>F1375*CB1375*IF(B1375&gt;=in_marketplace_from,d_hz_loan_lap*G1375,0)*CC1375*in_loan_lap_ticket*in_loan_lap_comm</f>
        <v/>
      </c>
      <c r="CE1375" s="14">
        <f>AA1375+AB1375+AC1375+AD1375+AG1375+AJ1375+AM1375+AP1375+AS1375+AU1375+AX1375+BB1375+BE1375+BG1375+BJ1375+BL1375+BO1375+BR1375+BT1375+BV1375+BX1375+CA1375+CD1375</f>
        <v/>
      </c>
    </row>
    <row r="1376">
      <c r="A1376" s="39" t="n">
        <v>31</v>
      </c>
      <c r="B1376" s="39" t="n">
        <v>10</v>
      </c>
      <c r="C1376" s="39">
        <f>A1376+B1376-1</f>
        <v/>
      </c>
      <c r="D1376" s="39">
        <f>INT((C1376-1)/12)+1</f>
        <v/>
      </c>
      <c r="E1376" s="44">
        <f>INDEX(Monthly!$B$2:$B$61,A1376)</f>
        <v/>
      </c>
      <c r="F1376" s="44">
        <f>E1376*INDEX('Age profile'!$B$2:$B$61,B1376)</f>
        <v/>
      </c>
      <c r="G1376" s="45">
        <f>MIN(in_takeup_cap,INDEX('Age profile'!$N$2:$N$61,B1376)*(1+in_takeup_growth)^(D1376-1))</f>
        <v/>
      </c>
      <c r="H1376" s="11">
        <f>MIN(in_approval_cap,in_approved_first*INDEX('Age profile'!$O$2:$O$61,B1376)*(1+in_approval_growth)^(D1376-1))</f>
        <v/>
      </c>
      <c r="I1376" s="45">
        <f>G1376*MIN(in_takeup_cap,INDEX('Age profile'!$O$2:$O$61,B1376)*(1+in_approval_growth)^(D1376-1))</f>
        <v/>
      </c>
      <c r="J1376" s="40">
        <f>(J1375-L1375)*F1376/F1375</f>
        <v/>
      </c>
      <c r="K1376" s="40">
        <f>(K1375-M1375)*F1376/F1375+SUMIFS(O1367:O1375,B1367:B1375,B1376-1-d_T)*F1376</f>
        <v/>
      </c>
      <c r="L1376" s="40">
        <f>IF(B1376&gt;=in_marketplace_from,J1376*d_hz*G1376*in_eligible*H1376,0)</f>
        <v/>
      </c>
      <c r="M1376" s="40">
        <f>IF(B1376&gt;=in_marketplace_from,K1376*d_hz*G1376*in_eligible*in_approved_repeat,0)</f>
        <v/>
      </c>
      <c r="N1376" s="40">
        <f>L1376+M1376</f>
        <v/>
      </c>
      <c r="O1376" s="46">
        <f>N1376/F1376</f>
        <v/>
      </c>
      <c r="P1376" s="40">
        <f>F1376-J1376-K1376</f>
        <v/>
      </c>
      <c r="Q1376" s="40">
        <f>IF(B1376&gt;=in_marketplace_from,(J1376+K1376)*d_hz*G1376,0)</f>
        <v/>
      </c>
      <c r="R1376" s="40">
        <f>SUMIFS(N1367:N1396,B1367:B1396,"&gt;="&amp;(B1376-d_T),B1367:B1396,"&lt;="&amp;(B1376-1))</f>
        <v/>
      </c>
      <c r="S1376" s="46">
        <f>(1-d_u)*S1375+IF(d_T&gt;in_topup_lag,SUMIFS(O1367:O1396,B1367:B1396,B1376-in_topup_lag)-d_udrop*SUMIFS(O1367:O1396,B1367:B1396,B1376-d_T),0)</f>
        <v/>
      </c>
      <c r="T1376" s="40">
        <f>F1376*d_u*S1376</f>
        <v/>
      </c>
      <c r="U1376" s="9">
        <f>L1376*in_ticket+M1376*d_rep_ticket</f>
        <v/>
      </c>
      <c r="V1376" s="9">
        <f>U1376+T1376*d_topup_amt</f>
        <v/>
      </c>
      <c r="W1376" s="40">
        <f>N1376+T1376*d_topup_ratio</f>
        <v/>
      </c>
      <c r="X1376" s="40">
        <f>SUMIFS(W1367:W1396,B1367:B1396,B1376-in_dpd_lag)*d_cured</f>
        <v/>
      </c>
      <c r="Y1376" s="40">
        <f>SUMIFS(W1367:W1396,B1367:B1396,B1376-in_rec_lag)*d_recd</f>
        <v/>
      </c>
      <c r="Z1376" s="40">
        <f>IF(AND(B1376&gt;=in_marketplace_from,B1376&lt;in_marketplace_from+in_card_months),in_card_share/in_card_months*F1376*I1376,IF(AND(B1376&gt;=in_marketplace_from+in_card_months,B1376&lt;in_marketplace_from+2*in_card_months),in_card_share*d_card_rem/in_card_months*F1376*MIN(in_takeup_cap,(1+in_takeup_growth)^(D1376-1))*MIN(in_takeup_cap,(1+in_approval_growth)^(D1376-1)),0))</f>
        <v/>
      </c>
      <c r="AA1376" s="14">
        <f>V1376*in_fee*(1-in_taken_back)</f>
        <v/>
      </c>
      <c r="AB1376" s="14">
        <f>SUMIFS(W1367:W1396,B1367:B1396,B1376-in_dpd_lag)*d_dpd</f>
        <v/>
      </c>
      <c r="AC1376" s="14">
        <f>SUMIFS(W1367:W1396,B1367:B1396,B1376-in_rec_lag)*d_rec</f>
        <v/>
      </c>
      <c r="AD1376" s="14">
        <f>Z1376*in_card_fee</f>
        <v/>
      </c>
      <c r="AE1376" s="40">
        <f>AE1375*(1-IF(B1375&gt;=in_marketplace_from,d_hz_hlth_small*G1375,0))</f>
        <v/>
      </c>
      <c r="AF1376" s="46">
        <f>AE1376*IF(B1376&gt;=in_marketplace_from,d_hz_hlth_small*G1376,0)</f>
        <v/>
      </c>
      <c r="AG1376" s="14">
        <f>F1376*AF1376*in_hlth_small_ticket*in_hlth_small_comm*in_ins_partner_share+F1376*in_hlth_small_ticket*in_hlth_small_renew_comm*in_ins_partner_share*(in_hlth_small_renew^1*SUMIFS(AF1367:AF1396,B1367:B1396,B1376-12)+in_hlth_small_renew^2*SUMIFS(AF1367:AF1396,B1367:B1396,B1376-24)+in_hlth_small_renew^3*SUMIFS(AF1367:AF1396,B1367:B1396,B1376-36)+in_hlth_small_renew^4*SUMIFS(AF1367:AF1396,B1367:B1396,B1376-48))</f>
        <v/>
      </c>
      <c r="AH1376" s="40">
        <f>AH1375*(1-IF(B1375&gt;=in_marketplace_from,d_hz_hlth_family*G1375,0))</f>
        <v/>
      </c>
      <c r="AI1376" s="46">
        <f>AH1376*IF(B1376&gt;=in_marketplace_from,d_hz_hlth_family*G1376,0)</f>
        <v/>
      </c>
      <c r="AJ1376" s="14">
        <f>F1376*AI1376*in_hlth_family_ticket*in_hlth_family_comm*in_ins_partner_share+F1376*in_hlth_family_ticket*in_hlth_family_renew_comm*in_ins_partner_share*(in_hlth_family_renew^1*SUMIFS(AI1367:AI1396,B1367:B1396,B1376-12)+in_hlth_family_renew^2*SUMIFS(AI1367:AI1396,B1367:B1396,B1376-24)+in_hlth_family_renew^3*SUMIFS(AI1367:AI1396,B1367:B1396,B1376-36)+in_hlth_family_renew^4*SUMIFS(AI1367:AI1396,B1367:B1396,B1376-48))</f>
        <v/>
      </c>
      <c r="AK1376" s="40">
        <f>AK1375*(1-IF(B1375&gt;=in_marketplace_from,d_hz_life_term*G1375,0))</f>
        <v/>
      </c>
      <c r="AL1376" s="46">
        <f>AK1376*IF(B1376&gt;=in_marketplace_from,d_hz_life_term*G1376,0)</f>
        <v/>
      </c>
      <c r="AM1376" s="14">
        <f>F1376*AL1376*in_life_term_ticket*in_life_term_comm*in_ins_partner_share+F1376*in_life_term_ticket*in_life_term_renew_comm*in_ins_partner_share*(in_life_term_renew^1*SUMIFS(AL1367:AL1396,B1367:B1396,B1376-12)+in_life_term_renew^2*SUMIFS(AL1367:AL1396,B1367:B1396,B1376-24)+in_life_term_renew^3*SUMIFS(AL1367:AL1396,B1367:B1396,B1376-36)+in_life_term_renew^4*SUMIFS(AL1367:AL1396,B1367:B1396,B1376-48))</f>
        <v/>
      </c>
      <c r="AN1376" s="40">
        <f>AN1375*(1-IF(B1375&gt;=in_marketplace_from,d_hz_accident*G1375,0))</f>
        <v/>
      </c>
      <c r="AO1376" s="46">
        <f>AN1376*IF(B1376&gt;=in_marketplace_from,d_hz_accident*G1376,0)</f>
        <v/>
      </c>
      <c r="AP1376" s="14">
        <f>F1376*AO1376*in_accident_ticket*in_accident_comm*in_ins_partner_share+F1376*in_accident_ticket*in_accident_renew_comm*in_ins_partner_share*(in_accident_renew^1*SUMIFS(AO1367:AO1396,B1367:B1396,B1376-12)+in_accident_renew^2*SUMIFS(AO1367:AO1396,B1367:B1396,B1376-24)+in_accident_renew^3*SUMIFS(AO1367:AO1396,B1367:B1396,B1376-36)+in_accident_renew^4*SUMIFS(AO1367:AO1396,B1367:B1396,B1376-48))</f>
        <v/>
      </c>
      <c r="AQ1376" s="40">
        <f>AQ1375*(1-IF(B1375&gt;=in_marketplace_from,d_hz_two_wheeler*G1375,0))</f>
        <v/>
      </c>
      <c r="AR1376" s="46">
        <f>AQ1376*IF(B1376&gt;=in_marketplace_from,d_hz_two_wheeler*G1376,0)</f>
        <v/>
      </c>
      <c r="AS1376" s="14">
        <f>F1376*AR1376*in_two_wheeler_ticket*in_two_wheeler_comm*in_ins_partner_share+F1376*in_two_wheeler_ticket*in_two_wheeler_comm*in_ins_partner_share*(in_two_wheeler_renew^1*SUMIFS(AR1367:AR1396,B1367:B1396,B1376-12)+in_two_wheeler_renew^2*SUMIFS(AR1367:AR1396,B1367:B1396,B1376-24)+in_two_wheeler_renew^3*SUMIFS(AR1367:AR1396,B1367:B1396,B1376-36)+in_two_wheeler_renew^4*SUMIFS(AR1367:AR1396,B1367:B1396,B1376-48))</f>
        <v/>
      </c>
      <c r="AT1376" s="40">
        <f>AT1375*(1-IF(B1375&gt;=in_marketplace_from,d_hz_device*G1375,0))</f>
        <v/>
      </c>
      <c r="AU1376" s="14">
        <f>F1376*AT1376*IF(B1376&gt;=in_marketplace_from,d_hz_device*G1376,0)*in_device_ticket*in_device_comm*in_ins_partner_share</f>
        <v/>
      </c>
      <c r="AV1376" s="40">
        <f>AV1375*(1-IF(B1375&gt;=in_marketplace_from,d_hz_shop*G1375,0))</f>
        <v/>
      </c>
      <c r="AW1376" s="46">
        <f>AV1376*IF(B1376&gt;=in_marketplace_from,d_hz_shop*G1376,0)</f>
        <v/>
      </c>
      <c r="AX1376" s="14">
        <f>F1376*AW1376*in_shop_ticket*in_shop_comm*in_ins_partner_share+F1376*in_shop_ticket*in_shop_renew_comm*in_ins_partner_share*(in_shop_renew^1*SUMIFS(AW1367:AW1396,B1367:B1396,B1376-12)+in_shop_renew^2*SUMIFS(AW1367:AW1396,B1367:B1396,B1376-24)+in_shop_renew^3*SUMIFS(AW1367:AW1396,B1367:B1396,B1376-36)+in_shop_renew^4*SUMIFS(AW1367:AW1396,B1367:B1396,B1376-48))</f>
        <v/>
      </c>
      <c r="AY1376" s="40">
        <f>AY1375*(1-IF(B1375&gt;=in_marketplace_from,d_hz_sip*G1375,0))</f>
        <v/>
      </c>
      <c r="AZ1376" s="40">
        <f>AZ1375*d_rho_sip+AY1376*IF(B1376&gt;=in_marketplace_from,d_hz_sip*G1376,0)</f>
        <v/>
      </c>
      <c r="BA1376" s="40">
        <f>d_rho_sip*(BA1375+AZ1375)</f>
        <v/>
      </c>
      <c r="BB1376" s="14">
        <f>F1376*in_sip_ticket*(BA1376+0.5*AZ1376)*in_sip_comm/12</f>
        <v/>
      </c>
      <c r="BC1376" s="40">
        <f>BC1375*(1-IF(B1375&gt;=in_marketplace_from,d_hz_choti*G1375,0))</f>
        <v/>
      </c>
      <c r="BD1376" s="46">
        <f>BC1376*IF(B1376&gt;=in_marketplace_from,d_hz_choti*G1376,0)</f>
        <v/>
      </c>
      <c r="BE1376" s="14">
        <f>F1376*SUMIFS(BD1367:BD1396,B1367:B1396,B1376-in_choti_months)*in_choti_renew*in_choti_ticket</f>
        <v/>
      </c>
      <c r="BF1376" s="40">
        <f>BF1375*(1-IF(B1375&gt;=in_marketplace_from,d_hz_nps*G1375,0))</f>
        <v/>
      </c>
      <c r="BG1376" s="14">
        <f>F1376*BF1376*IF(B1376&gt;=in_marketplace_from,d_hz_nps*G1376,0)*in_nps_ticket*in_nps_comm</f>
        <v/>
      </c>
      <c r="BH1376" s="40">
        <f>BH1375*(1-IF(B1375&gt;=in_marketplace_from,d_hz_gold*G1375,0))</f>
        <v/>
      </c>
      <c r="BI1376" s="40">
        <f>BI1375*d_rho_gold+BH1376*IF(B1376&gt;=in_marketplace_from,d_hz_gold*G1376,0)</f>
        <v/>
      </c>
      <c r="BJ1376" s="14">
        <f>F1376*BI1376*in_gold_ticket*in_gold_comm</f>
        <v/>
      </c>
      <c r="BK1376" s="40">
        <f>BK1375*(1-IF(B1375&gt;=in_marketplace_from,d_hz_fd*G1375,0))</f>
        <v/>
      </c>
      <c r="BL1376" s="14">
        <f>F1376*BK1376*IF(B1376&gt;=in_marketplace_from,d_hz_fd*G1376,0)*in_fd_ticket*in_fd_comm</f>
        <v/>
      </c>
      <c r="BM1376" s="40">
        <f>BM1375*(1-IF(B1375&gt;=in_marketplace_from,d_hz_recharge*G1375,0))</f>
        <v/>
      </c>
      <c r="BN1376" s="40">
        <f>BN1375*d_rho_recharge+BM1376*IF(B1376&gt;=in_marketplace_from,d_hz_recharge*G1376,0)</f>
        <v/>
      </c>
      <c r="BO1376" s="14">
        <f>F1376*BN1376*in_recharge_ticket*in_recharge_comm/12</f>
        <v/>
      </c>
      <c r="BP1376" s="40">
        <f>BP1375*(1-IF(B1375&gt;=in_marketplace_from,d_hz_bills*G1375,0))</f>
        <v/>
      </c>
      <c r="BQ1376" s="40">
        <f>BQ1375*d_rho_bills+BP1376*IF(B1376&gt;=in_marketplace_from,d_hz_bills*G1376,0)</f>
        <v/>
      </c>
      <c r="BR1376" s="14">
        <f>F1376*BQ1376*in_bills_ticket*in_bills_comm/12</f>
        <v/>
      </c>
      <c r="BS1376" s="40">
        <f>BS1375*(1-IF(B1375&gt;=in_marketplace_from,d_hz_loan_gold*G1375,0))</f>
        <v/>
      </c>
      <c r="BT1376" s="14">
        <f>F1376*BS1376*IF(B1376&gt;=in_marketplace_from,d_hz_loan_gold*G1376,0)*in_loan_gold_ticket*in_loan_gold_comm</f>
        <v/>
      </c>
      <c r="BU1376" s="40">
        <f>BU1375*(1-IF(B1375&gt;=in_marketplace_from,d_hz_loan_cd*G1375,0))</f>
        <v/>
      </c>
      <c r="BV1376" s="14">
        <f>F1376*BU1376*IF(B1376&gt;=in_marketplace_from,d_hz_loan_cd*G1376,0)*in_loan_cd_ticket*in_loan_cd_comm</f>
        <v/>
      </c>
      <c r="BW1376" s="40">
        <f>BW1375*(1-IF(B1375&gt;=in_marketplace_from,d_hz_loan_vehicle*G1375,0))</f>
        <v/>
      </c>
      <c r="BX1376" s="14">
        <f>F1376*BW1376*IF(B1376&gt;=in_marketplace_from,d_hz_loan_vehicle*G1376,0)*in_loan_vehicle_ticket*in_loan_vehicle_comm</f>
        <v/>
      </c>
      <c r="BY1376" s="40">
        <f>BY1375*(1-IF(B1375&gt;=in_marketplace_from,d_hz_loan_home*G1375,0)*BZ1375)</f>
        <v/>
      </c>
      <c r="BZ1376" s="11">
        <f>MIN(in_approval_cap,in_loan_home_approval*INDEX('Age profile'!$O$2:$O$61,B1376)*(1+in_approval_growth)^(D1376-1))</f>
        <v/>
      </c>
      <c r="CA1376" s="14">
        <f>F1376*BY1376*IF(B1376&gt;=in_marketplace_from,d_hz_loan_home*G1376,0)*BZ1376*in_loan_home_ticket*in_loan_home_comm</f>
        <v/>
      </c>
      <c r="CB1376" s="40">
        <f>CB1375*(1-IF(B1375&gt;=in_marketplace_from,d_hz_loan_lap*G1375,0)*CC1375)</f>
        <v/>
      </c>
      <c r="CC1376" s="11">
        <f>MIN(in_approval_cap,in_loan_lap_approval*INDEX('Age profile'!$O$2:$O$61,B1376)*(1+in_approval_growth)^(D1376-1))</f>
        <v/>
      </c>
      <c r="CD1376" s="14">
        <f>F1376*CB1376*IF(B1376&gt;=in_marketplace_from,d_hz_loan_lap*G1376,0)*CC1376*in_loan_lap_ticket*in_loan_lap_comm</f>
        <v/>
      </c>
      <c r="CE1376" s="14">
        <f>AA1376+AB1376+AC1376+AD1376+AG1376+AJ1376+AM1376+AP1376+AS1376+AU1376+AX1376+BB1376+BE1376+BG1376+BJ1376+BL1376+BO1376+BR1376+BT1376+BV1376+BX1376+CA1376+CD1376</f>
        <v/>
      </c>
    </row>
    <row r="1377">
      <c r="A1377" s="39" t="n">
        <v>31</v>
      </c>
      <c r="B1377" s="39" t="n">
        <v>11</v>
      </c>
      <c r="C1377" s="39">
        <f>A1377+B1377-1</f>
        <v/>
      </c>
      <c r="D1377" s="39">
        <f>INT((C1377-1)/12)+1</f>
        <v/>
      </c>
      <c r="E1377" s="44">
        <f>INDEX(Monthly!$B$2:$B$61,A1377)</f>
        <v/>
      </c>
      <c r="F1377" s="44">
        <f>E1377*INDEX('Age profile'!$B$2:$B$61,B1377)</f>
        <v/>
      </c>
      <c r="G1377" s="45">
        <f>MIN(in_takeup_cap,INDEX('Age profile'!$N$2:$N$61,B1377)*(1+in_takeup_growth)^(D1377-1))</f>
        <v/>
      </c>
      <c r="H1377" s="11">
        <f>MIN(in_approval_cap,in_approved_first*INDEX('Age profile'!$O$2:$O$61,B1377)*(1+in_approval_growth)^(D1377-1))</f>
        <v/>
      </c>
      <c r="I1377" s="45">
        <f>G1377*MIN(in_takeup_cap,INDEX('Age profile'!$O$2:$O$61,B1377)*(1+in_approval_growth)^(D1377-1))</f>
        <v/>
      </c>
      <c r="J1377" s="40">
        <f>(J1376-L1376)*F1377/F1376</f>
        <v/>
      </c>
      <c r="K1377" s="40">
        <f>(K1376-M1376)*F1377/F1376+SUMIFS(O1367:O1376,B1367:B1376,B1377-1-d_T)*F1377</f>
        <v/>
      </c>
      <c r="L1377" s="40">
        <f>IF(B1377&gt;=in_marketplace_from,J1377*d_hz*G1377*in_eligible*H1377,0)</f>
        <v/>
      </c>
      <c r="M1377" s="40">
        <f>IF(B1377&gt;=in_marketplace_from,K1377*d_hz*G1377*in_eligible*in_approved_repeat,0)</f>
        <v/>
      </c>
      <c r="N1377" s="40">
        <f>L1377+M1377</f>
        <v/>
      </c>
      <c r="O1377" s="46">
        <f>N1377/F1377</f>
        <v/>
      </c>
      <c r="P1377" s="40">
        <f>F1377-J1377-K1377</f>
        <v/>
      </c>
      <c r="Q1377" s="40">
        <f>IF(B1377&gt;=in_marketplace_from,(J1377+K1377)*d_hz*G1377,0)</f>
        <v/>
      </c>
      <c r="R1377" s="40">
        <f>SUMIFS(N1367:N1396,B1367:B1396,"&gt;="&amp;(B1377-d_T),B1367:B1396,"&lt;="&amp;(B1377-1))</f>
        <v/>
      </c>
      <c r="S1377" s="46">
        <f>(1-d_u)*S1376+IF(d_T&gt;in_topup_lag,SUMIFS(O1367:O1396,B1367:B1396,B1377-in_topup_lag)-d_udrop*SUMIFS(O1367:O1396,B1367:B1396,B1377-d_T),0)</f>
        <v/>
      </c>
      <c r="T1377" s="40">
        <f>F1377*d_u*S1377</f>
        <v/>
      </c>
      <c r="U1377" s="9">
        <f>L1377*in_ticket+M1377*d_rep_ticket</f>
        <v/>
      </c>
      <c r="V1377" s="9">
        <f>U1377+T1377*d_topup_amt</f>
        <v/>
      </c>
      <c r="W1377" s="40">
        <f>N1377+T1377*d_topup_ratio</f>
        <v/>
      </c>
      <c r="X1377" s="40">
        <f>SUMIFS(W1367:W1396,B1367:B1396,B1377-in_dpd_lag)*d_cured</f>
        <v/>
      </c>
      <c r="Y1377" s="40">
        <f>SUMIFS(W1367:W1396,B1367:B1396,B1377-in_rec_lag)*d_recd</f>
        <v/>
      </c>
      <c r="Z1377" s="40">
        <f>IF(AND(B1377&gt;=in_marketplace_from,B1377&lt;in_marketplace_from+in_card_months),in_card_share/in_card_months*F1377*I1377,IF(AND(B1377&gt;=in_marketplace_from+in_card_months,B1377&lt;in_marketplace_from+2*in_card_months),in_card_share*d_card_rem/in_card_months*F1377*MIN(in_takeup_cap,(1+in_takeup_growth)^(D1377-1))*MIN(in_takeup_cap,(1+in_approval_growth)^(D1377-1)),0))</f>
        <v/>
      </c>
      <c r="AA1377" s="14">
        <f>V1377*in_fee*(1-in_taken_back)</f>
        <v/>
      </c>
      <c r="AB1377" s="14">
        <f>SUMIFS(W1367:W1396,B1367:B1396,B1377-in_dpd_lag)*d_dpd</f>
        <v/>
      </c>
      <c r="AC1377" s="14">
        <f>SUMIFS(W1367:W1396,B1367:B1396,B1377-in_rec_lag)*d_rec</f>
        <v/>
      </c>
      <c r="AD1377" s="14">
        <f>Z1377*in_card_fee</f>
        <v/>
      </c>
      <c r="AE1377" s="40">
        <f>AE1376*(1-IF(B1376&gt;=in_marketplace_from,d_hz_hlth_small*G1376,0))</f>
        <v/>
      </c>
      <c r="AF1377" s="46">
        <f>AE1377*IF(B1377&gt;=in_marketplace_from,d_hz_hlth_small*G1377,0)</f>
        <v/>
      </c>
      <c r="AG1377" s="14">
        <f>F1377*AF1377*in_hlth_small_ticket*in_hlth_small_comm*in_ins_partner_share+F1377*in_hlth_small_ticket*in_hlth_small_renew_comm*in_ins_partner_share*(in_hlth_small_renew^1*SUMIFS(AF1367:AF1396,B1367:B1396,B1377-12)+in_hlth_small_renew^2*SUMIFS(AF1367:AF1396,B1367:B1396,B1377-24)+in_hlth_small_renew^3*SUMIFS(AF1367:AF1396,B1367:B1396,B1377-36)+in_hlth_small_renew^4*SUMIFS(AF1367:AF1396,B1367:B1396,B1377-48))</f>
        <v/>
      </c>
      <c r="AH1377" s="40">
        <f>AH1376*(1-IF(B1376&gt;=in_marketplace_from,d_hz_hlth_family*G1376,0))</f>
        <v/>
      </c>
      <c r="AI1377" s="46">
        <f>AH1377*IF(B1377&gt;=in_marketplace_from,d_hz_hlth_family*G1377,0)</f>
        <v/>
      </c>
      <c r="AJ1377" s="14">
        <f>F1377*AI1377*in_hlth_family_ticket*in_hlth_family_comm*in_ins_partner_share+F1377*in_hlth_family_ticket*in_hlth_family_renew_comm*in_ins_partner_share*(in_hlth_family_renew^1*SUMIFS(AI1367:AI1396,B1367:B1396,B1377-12)+in_hlth_family_renew^2*SUMIFS(AI1367:AI1396,B1367:B1396,B1377-24)+in_hlth_family_renew^3*SUMIFS(AI1367:AI1396,B1367:B1396,B1377-36)+in_hlth_family_renew^4*SUMIFS(AI1367:AI1396,B1367:B1396,B1377-48))</f>
        <v/>
      </c>
      <c r="AK1377" s="40">
        <f>AK1376*(1-IF(B1376&gt;=in_marketplace_from,d_hz_life_term*G1376,0))</f>
        <v/>
      </c>
      <c r="AL1377" s="46">
        <f>AK1377*IF(B1377&gt;=in_marketplace_from,d_hz_life_term*G1377,0)</f>
        <v/>
      </c>
      <c r="AM1377" s="14">
        <f>F1377*AL1377*in_life_term_ticket*in_life_term_comm*in_ins_partner_share+F1377*in_life_term_ticket*in_life_term_renew_comm*in_ins_partner_share*(in_life_term_renew^1*SUMIFS(AL1367:AL1396,B1367:B1396,B1377-12)+in_life_term_renew^2*SUMIFS(AL1367:AL1396,B1367:B1396,B1377-24)+in_life_term_renew^3*SUMIFS(AL1367:AL1396,B1367:B1396,B1377-36)+in_life_term_renew^4*SUMIFS(AL1367:AL1396,B1367:B1396,B1377-48))</f>
        <v/>
      </c>
      <c r="AN1377" s="40">
        <f>AN1376*(1-IF(B1376&gt;=in_marketplace_from,d_hz_accident*G1376,0))</f>
        <v/>
      </c>
      <c r="AO1377" s="46">
        <f>AN1377*IF(B1377&gt;=in_marketplace_from,d_hz_accident*G1377,0)</f>
        <v/>
      </c>
      <c r="AP1377" s="14">
        <f>F1377*AO1377*in_accident_ticket*in_accident_comm*in_ins_partner_share+F1377*in_accident_ticket*in_accident_renew_comm*in_ins_partner_share*(in_accident_renew^1*SUMIFS(AO1367:AO1396,B1367:B1396,B1377-12)+in_accident_renew^2*SUMIFS(AO1367:AO1396,B1367:B1396,B1377-24)+in_accident_renew^3*SUMIFS(AO1367:AO1396,B1367:B1396,B1377-36)+in_accident_renew^4*SUMIFS(AO1367:AO1396,B1367:B1396,B1377-48))</f>
        <v/>
      </c>
      <c r="AQ1377" s="40">
        <f>AQ1376*(1-IF(B1376&gt;=in_marketplace_from,d_hz_two_wheeler*G1376,0))</f>
        <v/>
      </c>
      <c r="AR1377" s="46">
        <f>AQ1377*IF(B1377&gt;=in_marketplace_from,d_hz_two_wheeler*G1377,0)</f>
        <v/>
      </c>
      <c r="AS1377" s="14">
        <f>F1377*AR1377*in_two_wheeler_ticket*in_two_wheeler_comm*in_ins_partner_share+F1377*in_two_wheeler_ticket*in_two_wheeler_comm*in_ins_partner_share*(in_two_wheeler_renew^1*SUMIFS(AR1367:AR1396,B1367:B1396,B1377-12)+in_two_wheeler_renew^2*SUMIFS(AR1367:AR1396,B1367:B1396,B1377-24)+in_two_wheeler_renew^3*SUMIFS(AR1367:AR1396,B1367:B1396,B1377-36)+in_two_wheeler_renew^4*SUMIFS(AR1367:AR1396,B1367:B1396,B1377-48))</f>
        <v/>
      </c>
      <c r="AT1377" s="40">
        <f>AT1376*(1-IF(B1376&gt;=in_marketplace_from,d_hz_device*G1376,0))</f>
        <v/>
      </c>
      <c r="AU1377" s="14">
        <f>F1377*AT1377*IF(B1377&gt;=in_marketplace_from,d_hz_device*G1377,0)*in_device_ticket*in_device_comm*in_ins_partner_share</f>
        <v/>
      </c>
      <c r="AV1377" s="40">
        <f>AV1376*(1-IF(B1376&gt;=in_marketplace_from,d_hz_shop*G1376,0))</f>
        <v/>
      </c>
      <c r="AW1377" s="46">
        <f>AV1377*IF(B1377&gt;=in_marketplace_from,d_hz_shop*G1377,0)</f>
        <v/>
      </c>
      <c r="AX1377" s="14">
        <f>F1377*AW1377*in_shop_ticket*in_shop_comm*in_ins_partner_share+F1377*in_shop_ticket*in_shop_renew_comm*in_ins_partner_share*(in_shop_renew^1*SUMIFS(AW1367:AW1396,B1367:B1396,B1377-12)+in_shop_renew^2*SUMIFS(AW1367:AW1396,B1367:B1396,B1377-24)+in_shop_renew^3*SUMIFS(AW1367:AW1396,B1367:B1396,B1377-36)+in_shop_renew^4*SUMIFS(AW1367:AW1396,B1367:B1396,B1377-48))</f>
        <v/>
      </c>
      <c r="AY1377" s="40">
        <f>AY1376*(1-IF(B1376&gt;=in_marketplace_from,d_hz_sip*G1376,0))</f>
        <v/>
      </c>
      <c r="AZ1377" s="40">
        <f>AZ1376*d_rho_sip+AY1377*IF(B1377&gt;=in_marketplace_from,d_hz_sip*G1377,0)</f>
        <v/>
      </c>
      <c r="BA1377" s="40">
        <f>d_rho_sip*(BA1376+AZ1376)</f>
        <v/>
      </c>
      <c r="BB1377" s="14">
        <f>F1377*in_sip_ticket*(BA1377+0.5*AZ1377)*in_sip_comm/12</f>
        <v/>
      </c>
      <c r="BC1377" s="40">
        <f>BC1376*(1-IF(B1376&gt;=in_marketplace_from,d_hz_choti*G1376,0))</f>
        <v/>
      </c>
      <c r="BD1377" s="46">
        <f>BC1377*IF(B1377&gt;=in_marketplace_from,d_hz_choti*G1377,0)</f>
        <v/>
      </c>
      <c r="BE1377" s="14">
        <f>F1377*SUMIFS(BD1367:BD1396,B1367:B1396,B1377-in_choti_months)*in_choti_renew*in_choti_ticket</f>
        <v/>
      </c>
      <c r="BF1377" s="40">
        <f>BF1376*(1-IF(B1376&gt;=in_marketplace_from,d_hz_nps*G1376,0))</f>
        <v/>
      </c>
      <c r="BG1377" s="14">
        <f>F1377*BF1377*IF(B1377&gt;=in_marketplace_from,d_hz_nps*G1377,0)*in_nps_ticket*in_nps_comm</f>
        <v/>
      </c>
      <c r="BH1377" s="40">
        <f>BH1376*(1-IF(B1376&gt;=in_marketplace_from,d_hz_gold*G1376,0))</f>
        <v/>
      </c>
      <c r="BI1377" s="40">
        <f>BI1376*d_rho_gold+BH1377*IF(B1377&gt;=in_marketplace_from,d_hz_gold*G1377,0)</f>
        <v/>
      </c>
      <c r="BJ1377" s="14">
        <f>F1377*BI1377*in_gold_ticket*in_gold_comm</f>
        <v/>
      </c>
      <c r="BK1377" s="40">
        <f>BK1376*(1-IF(B1376&gt;=in_marketplace_from,d_hz_fd*G1376,0))</f>
        <v/>
      </c>
      <c r="BL1377" s="14">
        <f>F1377*BK1377*IF(B1377&gt;=in_marketplace_from,d_hz_fd*G1377,0)*in_fd_ticket*in_fd_comm</f>
        <v/>
      </c>
      <c r="BM1377" s="40">
        <f>BM1376*(1-IF(B1376&gt;=in_marketplace_from,d_hz_recharge*G1376,0))</f>
        <v/>
      </c>
      <c r="BN1377" s="40">
        <f>BN1376*d_rho_recharge+BM1377*IF(B1377&gt;=in_marketplace_from,d_hz_recharge*G1377,0)</f>
        <v/>
      </c>
      <c r="BO1377" s="14">
        <f>F1377*BN1377*in_recharge_ticket*in_recharge_comm/12</f>
        <v/>
      </c>
      <c r="BP1377" s="40">
        <f>BP1376*(1-IF(B1376&gt;=in_marketplace_from,d_hz_bills*G1376,0))</f>
        <v/>
      </c>
      <c r="BQ1377" s="40">
        <f>BQ1376*d_rho_bills+BP1377*IF(B1377&gt;=in_marketplace_from,d_hz_bills*G1377,0)</f>
        <v/>
      </c>
      <c r="BR1377" s="14">
        <f>F1377*BQ1377*in_bills_ticket*in_bills_comm/12</f>
        <v/>
      </c>
      <c r="BS1377" s="40">
        <f>BS1376*(1-IF(B1376&gt;=in_marketplace_from,d_hz_loan_gold*G1376,0))</f>
        <v/>
      </c>
      <c r="BT1377" s="14">
        <f>F1377*BS1377*IF(B1377&gt;=in_marketplace_from,d_hz_loan_gold*G1377,0)*in_loan_gold_ticket*in_loan_gold_comm</f>
        <v/>
      </c>
      <c r="BU1377" s="40">
        <f>BU1376*(1-IF(B1376&gt;=in_marketplace_from,d_hz_loan_cd*G1376,0))</f>
        <v/>
      </c>
      <c r="BV1377" s="14">
        <f>F1377*BU1377*IF(B1377&gt;=in_marketplace_from,d_hz_loan_cd*G1377,0)*in_loan_cd_ticket*in_loan_cd_comm</f>
        <v/>
      </c>
      <c r="BW1377" s="40">
        <f>BW1376*(1-IF(B1376&gt;=in_marketplace_from,d_hz_loan_vehicle*G1376,0))</f>
        <v/>
      </c>
      <c r="BX1377" s="14">
        <f>F1377*BW1377*IF(B1377&gt;=in_marketplace_from,d_hz_loan_vehicle*G1377,0)*in_loan_vehicle_ticket*in_loan_vehicle_comm</f>
        <v/>
      </c>
      <c r="BY1377" s="40">
        <f>BY1376*(1-IF(B1376&gt;=in_marketplace_from,d_hz_loan_home*G1376,0)*BZ1376)</f>
        <v/>
      </c>
      <c r="BZ1377" s="11">
        <f>MIN(in_approval_cap,in_loan_home_approval*INDEX('Age profile'!$O$2:$O$61,B1377)*(1+in_approval_growth)^(D1377-1))</f>
        <v/>
      </c>
      <c r="CA1377" s="14">
        <f>F1377*BY1377*IF(B1377&gt;=in_marketplace_from,d_hz_loan_home*G1377,0)*BZ1377*in_loan_home_ticket*in_loan_home_comm</f>
        <v/>
      </c>
      <c r="CB1377" s="40">
        <f>CB1376*(1-IF(B1376&gt;=in_marketplace_from,d_hz_loan_lap*G1376,0)*CC1376)</f>
        <v/>
      </c>
      <c r="CC1377" s="11">
        <f>MIN(in_approval_cap,in_loan_lap_approval*INDEX('Age profile'!$O$2:$O$61,B1377)*(1+in_approval_growth)^(D1377-1))</f>
        <v/>
      </c>
      <c r="CD1377" s="14">
        <f>F1377*CB1377*IF(B1377&gt;=in_marketplace_from,d_hz_loan_lap*G1377,0)*CC1377*in_loan_lap_ticket*in_loan_lap_comm</f>
        <v/>
      </c>
      <c r="CE1377" s="14">
        <f>AA1377+AB1377+AC1377+AD1377+AG1377+AJ1377+AM1377+AP1377+AS1377+AU1377+AX1377+BB1377+BE1377+BG1377+BJ1377+BL1377+BO1377+BR1377+BT1377+BV1377+BX1377+CA1377+CD1377</f>
        <v/>
      </c>
    </row>
    <row r="1378">
      <c r="A1378" s="39" t="n">
        <v>31</v>
      </c>
      <c r="B1378" s="39" t="n">
        <v>12</v>
      </c>
      <c r="C1378" s="39">
        <f>A1378+B1378-1</f>
        <v/>
      </c>
      <c r="D1378" s="39">
        <f>INT((C1378-1)/12)+1</f>
        <v/>
      </c>
      <c r="E1378" s="44">
        <f>INDEX(Monthly!$B$2:$B$61,A1378)</f>
        <v/>
      </c>
      <c r="F1378" s="44">
        <f>E1378*INDEX('Age profile'!$B$2:$B$61,B1378)</f>
        <v/>
      </c>
      <c r="G1378" s="45">
        <f>MIN(in_takeup_cap,INDEX('Age profile'!$N$2:$N$61,B1378)*(1+in_takeup_growth)^(D1378-1))</f>
        <v/>
      </c>
      <c r="H1378" s="11">
        <f>MIN(in_approval_cap,in_approved_first*INDEX('Age profile'!$O$2:$O$61,B1378)*(1+in_approval_growth)^(D1378-1))</f>
        <v/>
      </c>
      <c r="I1378" s="45">
        <f>G1378*MIN(in_takeup_cap,INDEX('Age profile'!$O$2:$O$61,B1378)*(1+in_approval_growth)^(D1378-1))</f>
        <v/>
      </c>
      <c r="J1378" s="40">
        <f>(J1377-L1377)*F1378/F1377</f>
        <v/>
      </c>
      <c r="K1378" s="40">
        <f>(K1377-M1377)*F1378/F1377+SUMIFS(O1367:O1377,B1367:B1377,B1378-1-d_T)*F1378</f>
        <v/>
      </c>
      <c r="L1378" s="40">
        <f>IF(B1378&gt;=in_marketplace_from,J1378*d_hz*G1378*in_eligible*H1378,0)</f>
        <v/>
      </c>
      <c r="M1378" s="40">
        <f>IF(B1378&gt;=in_marketplace_from,K1378*d_hz*G1378*in_eligible*in_approved_repeat,0)</f>
        <v/>
      </c>
      <c r="N1378" s="40">
        <f>L1378+M1378</f>
        <v/>
      </c>
      <c r="O1378" s="46">
        <f>N1378/F1378</f>
        <v/>
      </c>
      <c r="P1378" s="40">
        <f>F1378-J1378-K1378</f>
        <v/>
      </c>
      <c r="Q1378" s="40">
        <f>IF(B1378&gt;=in_marketplace_from,(J1378+K1378)*d_hz*G1378,0)</f>
        <v/>
      </c>
      <c r="R1378" s="40">
        <f>SUMIFS(N1367:N1396,B1367:B1396,"&gt;="&amp;(B1378-d_T),B1367:B1396,"&lt;="&amp;(B1378-1))</f>
        <v/>
      </c>
      <c r="S1378" s="46">
        <f>(1-d_u)*S1377+IF(d_T&gt;in_topup_lag,SUMIFS(O1367:O1396,B1367:B1396,B1378-in_topup_lag)-d_udrop*SUMIFS(O1367:O1396,B1367:B1396,B1378-d_T),0)</f>
        <v/>
      </c>
      <c r="T1378" s="40">
        <f>F1378*d_u*S1378</f>
        <v/>
      </c>
      <c r="U1378" s="9">
        <f>L1378*in_ticket+M1378*d_rep_ticket</f>
        <v/>
      </c>
      <c r="V1378" s="9">
        <f>U1378+T1378*d_topup_amt</f>
        <v/>
      </c>
      <c r="W1378" s="40">
        <f>N1378+T1378*d_topup_ratio</f>
        <v/>
      </c>
      <c r="X1378" s="40">
        <f>SUMIFS(W1367:W1396,B1367:B1396,B1378-in_dpd_lag)*d_cured</f>
        <v/>
      </c>
      <c r="Y1378" s="40">
        <f>SUMIFS(W1367:W1396,B1367:B1396,B1378-in_rec_lag)*d_recd</f>
        <v/>
      </c>
      <c r="Z1378" s="40">
        <f>IF(AND(B1378&gt;=in_marketplace_from,B1378&lt;in_marketplace_from+in_card_months),in_card_share/in_card_months*F1378*I1378,IF(AND(B1378&gt;=in_marketplace_from+in_card_months,B1378&lt;in_marketplace_from+2*in_card_months),in_card_share*d_card_rem/in_card_months*F1378*MIN(in_takeup_cap,(1+in_takeup_growth)^(D1378-1))*MIN(in_takeup_cap,(1+in_approval_growth)^(D1378-1)),0))</f>
        <v/>
      </c>
      <c r="AA1378" s="14">
        <f>V1378*in_fee*(1-in_taken_back)</f>
        <v/>
      </c>
      <c r="AB1378" s="14">
        <f>SUMIFS(W1367:W1396,B1367:B1396,B1378-in_dpd_lag)*d_dpd</f>
        <v/>
      </c>
      <c r="AC1378" s="14">
        <f>SUMIFS(W1367:W1396,B1367:B1396,B1378-in_rec_lag)*d_rec</f>
        <v/>
      </c>
      <c r="AD1378" s="14">
        <f>Z1378*in_card_fee</f>
        <v/>
      </c>
      <c r="AE1378" s="40">
        <f>AE1377*(1-IF(B1377&gt;=in_marketplace_from,d_hz_hlth_small*G1377,0))</f>
        <v/>
      </c>
      <c r="AF1378" s="46">
        <f>AE1378*IF(B1378&gt;=in_marketplace_from,d_hz_hlth_small*G1378,0)</f>
        <v/>
      </c>
      <c r="AG1378" s="14">
        <f>F1378*AF1378*in_hlth_small_ticket*in_hlth_small_comm*in_ins_partner_share+F1378*in_hlth_small_ticket*in_hlth_small_renew_comm*in_ins_partner_share*(in_hlth_small_renew^1*SUMIFS(AF1367:AF1396,B1367:B1396,B1378-12)+in_hlth_small_renew^2*SUMIFS(AF1367:AF1396,B1367:B1396,B1378-24)+in_hlth_small_renew^3*SUMIFS(AF1367:AF1396,B1367:B1396,B1378-36)+in_hlth_small_renew^4*SUMIFS(AF1367:AF1396,B1367:B1396,B1378-48))</f>
        <v/>
      </c>
      <c r="AH1378" s="40">
        <f>AH1377*(1-IF(B1377&gt;=in_marketplace_from,d_hz_hlth_family*G1377,0))</f>
        <v/>
      </c>
      <c r="AI1378" s="46">
        <f>AH1378*IF(B1378&gt;=in_marketplace_from,d_hz_hlth_family*G1378,0)</f>
        <v/>
      </c>
      <c r="AJ1378" s="14">
        <f>F1378*AI1378*in_hlth_family_ticket*in_hlth_family_comm*in_ins_partner_share+F1378*in_hlth_family_ticket*in_hlth_family_renew_comm*in_ins_partner_share*(in_hlth_family_renew^1*SUMIFS(AI1367:AI1396,B1367:B1396,B1378-12)+in_hlth_family_renew^2*SUMIFS(AI1367:AI1396,B1367:B1396,B1378-24)+in_hlth_family_renew^3*SUMIFS(AI1367:AI1396,B1367:B1396,B1378-36)+in_hlth_family_renew^4*SUMIFS(AI1367:AI1396,B1367:B1396,B1378-48))</f>
        <v/>
      </c>
      <c r="AK1378" s="40">
        <f>AK1377*(1-IF(B1377&gt;=in_marketplace_from,d_hz_life_term*G1377,0))</f>
        <v/>
      </c>
      <c r="AL1378" s="46">
        <f>AK1378*IF(B1378&gt;=in_marketplace_from,d_hz_life_term*G1378,0)</f>
        <v/>
      </c>
      <c r="AM1378" s="14">
        <f>F1378*AL1378*in_life_term_ticket*in_life_term_comm*in_ins_partner_share+F1378*in_life_term_ticket*in_life_term_renew_comm*in_ins_partner_share*(in_life_term_renew^1*SUMIFS(AL1367:AL1396,B1367:B1396,B1378-12)+in_life_term_renew^2*SUMIFS(AL1367:AL1396,B1367:B1396,B1378-24)+in_life_term_renew^3*SUMIFS(AL1367:AL1396,B1367:B1396,B1378-36)+in_life_term_renew^4*SUMIFS(AL1367:AL1396,B1367:B1396,B1378-48))</f>
        <v/>
      </c>
      <c r="AN1378" s="40">
        <f>AN1377*(1-IF(B1377&gt;=in_marketplace_from,d_hz_accident*G1377,0))</f>
        <v/>
      </c>
      <c r="AO1378" s="46">
        <f>AN1378*IF(B1378&gt;=in_marketplace_from,d_hz_accident*G1378,0)</f>
        <v/>
      </c>
      <c r="AP1378" s="14">
        <f>F1378*AO1378*in_accident_ticket*in_accident_comm*in_ins_partner_share+F1378*in_accident_ticket*in_accident_renew_comm*in_ins_partner_share*(in_accident_renew^1*SUMIFS(AO1367:AO1396,B1367:B1396,B1378-12)+in_accident_renew^2*SUMIFS(AO1367:AO1396,B1367:B1396,B1378-24)+in_accident_renew^3*SUMIFS(AO1367:AO1396,B1367:B1396,B1378-36)+in_accident_renew^4*SUMIFS(AO1367:AO1396,B1367:B1396,B1378-48))</f>
        <v/>
      </c>
      <c r="AQ1378" s="40">
        <f>AQ1377*(1-IF(B1377&gt;=in_marketplace_from,d_hz_two_wheeler*G1377,0))</f>
        <v/>
      </c>
      <c r="AR1378" s="46">
        <f>AQ1378*IF(B1378&gt;=in_marketplace_from,d_hz_two_wheeler*G1378,0)</f>
        <v/>
      </c>
      <c r="AS1378" s="14">
        <f>F1378*AR1378*in_two_wheeler_ticket*in_two_wheeler_comm*in_ins_partner_share+F1378*in_two_wheeler_ticket*in_two_wheeler_comm*in_ins_partner_share*(in_two_wheeler_renew^1*SUMIFS(AR1367:AR1396,B1367:B1396,B1378-12)+in_two_wheeler_renew^2*SUMIFS(AR1367:AR1396,B1367:B1396,B1378-24)+in_two_wheeler_renew^3*SUMIFS(AR1367:AR1396,B1367:B1396,B1378-36)+in_two_wheeler_renew^4*SUMIFS(AR1367:AR1396,B1367:B1396,B1378-48))</f>
        <v/>
      </c>
      <c r="AT1378" s="40">
        <f>AT1377*(1-IF(B1377&gt;=in_marketplace_from,d_hz_device*G1377,0))</f>
        <v/>
      </c>
      <c r="AU1378" s="14">
        <f>F1378*AT1378*IF(B1378&gt;=in_marketplace_from,d_hz_device*G1378,0)*in_device_ticket*in_device_comm*in_ins_partner_share</f>
        <v/>
      </c>
      <c r="AV1378" s="40">
        <f>AV1377*(1-IF(B1377&gt;=in_marketplace_from,d_hz_shop*G1377,0))</f>
        <v/>
      </c>
      <c r="AW1378" s="46">
        <f>AV1378*IF(B1378&gt;=in_marketplace_from,d_hz_shop*G1378,0)</f>
        <v/>
      </c>
      <c r="AX1378" s="14">
        <f>F1378*AW1378*in_shop_ticket*in_shop_comm*in_ins_partner_share+F1378*in_shop_ticket*in_shop_renew_comm*in_ins_partner_share*(in_shop_renew^1*SUMIFS(AW1367:AW1396,B1367:B1396,B1378-12)+in_shop_renew^2*SUMIFS(AW1367:AW1396,B1367:B1396,B1378-24)+in_shop_renew^3*SUMIFS(AW1367:AW1396,B1367:B1396,B1378-36)+in_shop_renew^4*SUMIFS(AW1367:AW1396,B1367:B1396,B1378-48))</f>
        <v/>
      </c>
      <c r="AY1378" s="40">
        <f>AY1377*(1-IF(B1377&gt;=in_marketplace_from,d_hz_sip*G1377,0))</f>
        <v/>
      </c>
      <c r="AZ1378" s="40">
        <f>AZ1377*d_rho_sip+AY1378*IF(B1378&gt;=in_marketplace_from,d_hz_sip*G1378,0)</f>
        <v/>
      </c>
      <c r="BA1378" s="40">
        <f>d_rho_sip*(BA1377+AZ1377)</f>
        <v/>
      </c>
      <c r="BB1378" s="14">
        <f>F1378*in_sip_ticket*(BA1378+0.5*AZ1378)*in_sip_comm/12</f>
        <v/>
      </c>
      <c r="BC1378" s="40">
        <f>BC1377*(1-IF(B1377&gt;=in_marketplace_from,d_hz_choti*G1377,0))</f>
        <v/>
      </c>
      <c r="BD1378" s="46">
        <f>BC1378*IF(B1378&gt;=in_marketplace_from,d_hz_choti*G1378,0)</f>
        <v/>
      </c>
      <c r="BE1378" s="14">
        <f>F1378*SUMIFS(BD1367:BD1396,B1367:B1396,B1378-in_choti_months)*in_choti_renew*in_choti_ticket</f>
        <v/>
      </c>
      <c r="BF1378" s="40">
        <f>BF1377*(1-IF(B1377&gt;=in_marketplace_from,d_hz_nps*G1377,0))</f>
        <v/>
      </c>
      <c r="BG1378" s="14">
        <f>F1378*BF1378*IF(B1378&gt;=in_marketplace_from,d_hz_nps*G1378,0)*in_nps_ticket*in_nps_comm</f>
        <v/>
      </c>
      <c r="BH1378" s="40">
        <f>BH1377*(1-IF(B1377&gt;=in_marketplace_from,d_hz_gold*G1377,0))</f>
        <v/>
      </c>
      <c r="BI1378" s="40">
        <f>BI1377*d_rho_gold+BH1378*IF(B1378&gt;=in_marketplace_from,d_hz_gold*G1378,0)</f>
        <v/>
      </c>
      <c r="BJ1378" s="14">
        <f>F1378*BI1378*in_gold_ticket*in_gold_comm</f>
        <v/>
      </c>
      <c r="BK1378" s="40">
        <f>BK1377*(1-IF(B1377&gt;=in_marketplace_from,d_hz_fd*G1377,0))</f>
        <v/>
      </c>
      <c r="BL1378" s="14">
        <f>F1378*BK1378*IF(B1378&gt;=in_marketplace_from,d_hz_fd*G1378,0)*in_fd_ticket*in_fd_comm</f>
        <v/>
      </c>
      <c r="BM1378" s="40">
        <f>BM1377*(1-IF(B1377&gt;=in_marketplace_from,d_hz_recharge*G1377,0))</f>
        <v/>
      </c>
      <c r="BN1378" s="40">
        <f>BN1377*d_rho_recharge+BM1378*IF(B1378&gt;=in_marketplace_from,d_hz_recharge*G1378,0)</f>
        <v/>
      </c>
      <c r="BO1378" s="14">
        <f>F1378*BN1378*in_recharge_ticket*in_recharge_comm/12</f>
        <v/>
      </c>
      <c r="BP1378" s="40">
        <f>BP1377*(1-IF(B1377&gt;=in_marketplace_from,d_hz_bills*G1377,0))</f>
        <v/>
      </c>
      <c r="BQ1378" s="40">
        <f>BQ1377*d_rho_bills+BP1378*IF(B1378&gt;=in_marketplace_from,d_hz_bills*G1378,0)</f>
        <v/>
      </c>
      <c r="BR1378" s="14">
        <f>F1378*BQ1378*in_bills_ticket*in_bills_comm/12</f>
        <v/>
      </c>
      <c r="BS1378" s="40">
        <f>BS1377*(1-IF(B1377&gt;=in_marketplace_from,d_hz_loan_gold*G1377,0))</f>
        <v/>
      </c>
      <c r="BT1378" s="14">
        <f>F1378*BS1378*IF(B1378&gt;=in_marketplace_from,d_hz_loan_gold*G1378,0)*in_loan_gold_ticket*in_loan_gold_comm</f>
        <v/>
      </c>
      <c r="BU1378" s="40">
        <f>BU1377*(1-IF(B1377&gt;=in_marketplace_from,d_hz_loan_cd*G1377,0))</f>
        <v/>
      </c>
      <c r="BV1378" s="14">
        <f>F1378*BU1378*IF(B1378&gt;=in_marketplace_from,d_hz_loan_cd*G1378,0)*in_loan_cd_ticket*in_loan_cd_comm</f>
        <v/>
      </c>
      <c r="BW1378" s="40">
        <f>BW1377*(1-IF(B1377&gt;=in_marketplace_from,d_hz_loan_vehicle*G1377,0))</f>
        <v/>
      </c>
      <c r="BX1378" s="14">
        <f>F1378*BW1378*IF(B1378&gt;=in_marketplace_from,d_hz_loan_vehicle*G1378,0)*in_loan_vehicle_ticket*in_loan_vehicle_comm</f>
        <v/>
      </c>
      <c r="BY1378" s="40">
        <f>BY1377*(1-IF(B1377&gt;=in_marketplace_from,d_hz_loan_home*G1377,0)*BZ1377)</f>
        <v/>
      </c>
      <c r="BZ1378" s="11">
        <f>MIN(in_approval_cap,in_loan_home_approval*INDEX('Age profile'!$O$2:$O$61,B1378)*(1+in_approval_growth)^(D1378-1))</f>
        <v/>
      </c>
      <c r="CA1378" s="14">
        <f>F1378*BY1378*IF(B1378&gt;=in_marketplace_from,d_hz_loan_home*G1378,0)*BZ1378*in_loan_home_ticket*in_loan_home_comm</f>
        <v/>
      </c>
      <c r="CB1378" s="40">
        <f>CB1377*(1-IF(B1377&gt;=in_marketplace_from,d_hz_loan_lap*G1377,0)*CC1377)</f>
        <v/>
      </c>
      <c r="CC1378" s="11">
        <f>MIN(in_approval_cap,in_loan_lap_approval*INDEX('Age profile'!$O$2:$O$61,B1378)*(1+in_approval_growth)^(D1378-1))</f>
        <v/>
      </c>
      <c r="CD1378" s="14">
        <f>F1378*CB1378*IF(B1378&gt;=in_marketplace_from,d_hz_loan_lap*G1378,0)*CC1378*in_loan_lap_ticket*in_loan_lap_comm</f>
        <v/>
      </c>
      <c r="CE1378" s="14">
        <f>AA1378+AB1378+AC1378+AD1378+AG1378+AJ1378+AM1378+AP1378+AS1378+AU1378+AX1378+BB1378+BE1378+BG1378+BJ1378+BL1378+BO1378+BR1378+BT1378+BV1378+BX1378+CA1378+CD1378</f>
        <v/>
      </c>
    </row>
    <row r="1379">
      <c r="A1379" s="39" t="n">
        <v>31</v>
      </c>
      <c r="B1379" s="39" t="n">
        <v>13</v>
      </c>
      <c r="C1379" s="39">
        <f>A1379+B1379-1</f>
        <v/>
      </c>
      <c r="D1379" s="39">
        <f>INT((C1379-1)/12)+1</f>
        <v/>
      </c>
      <c r="E1379" s="44">
        <f>INDEX(Monthly!$B$2:$B$61,A1379)</f>
        <v/>
      </c>
      <c r="F1379" s="44">
        <f>E1379*INDEX('Age profile'!$B$2:$B$61,B1379)</f>
        <v/>
      </c>
      <c r="G1379" s="45">
        <f>MIN(in_takeup_cap,INDEX('Age profile'!$N$2:$N$61,B1379)*(1+in_takeup_growth)^(D1379-1))</f>
        <v/>
      </c>
      <c r="H1379" s="11">
        <f>MIN(in_approval_cap,in_approved_first*INDEX('Age profile'!$O$2:$O$61,B1379)*(1+in_approval_growth)^(D1379-1))</f>
        <v/>
      </c>
      <c r="I1379" s="45">
        <f>G1379*MIN(in_takeup_cap,INDEX('Age profile'!$O$2:$O$61,B1379)*(1+in_approval_growth)^(D1379-1))</f>
        <v/>
      </c>
      <c r="J1379" s="40">
        <f>(J1378-L1378)*F1379/F1378</f>
        <v/>
      </c>
      <c r="K1379" s="40">
        <f>(K1378-M1378)*F1379/F1378+SUMIFS(O1367:O1378,B1367:B1378,B1379-1-d_T)*F1379</f>
        <v/>
      </c>
      <c r="L1379" s="40">
        <f>IF(B1379&gt;=in_marketplace_from,J1379*d_hz*G1379*in_eligible*H1379,0)</f>
        <v/>
      </c>
      <c r="M1379" s="40">
        <f>IF(B1379&gt;=in_marketplace_from,K1379*d_hz*G1379*in_eligible*in_approved_repeat,0)</f>
        <v/>
      </c>
      <c r="N1379" s="40">
        <f>L1379+M1379</f>
        <v/>
      </c>
      <c r="O1379" s="46">
        <f>N1379/F1379</f>
        <v/>
      </c>
      <c r="P1379" s="40">
        <f>F1379-J1379-K1379</f>
        <v/>
      </c>
      <c r="Q1379" s="40">
        <f>IF(B1379&gt;=in_marketplace_from,(J1379+K1379)*d_hz*G1379,0)</f>
        <v/>
      </c>
      <c r="R1379" s="40">
        <f>SUMIFS(N1367:N1396,B1367:B1396,"&gt;="&amp;(B1379-d_T),B1367:B1396,"&lt;="&amp;(B1379-1))</f>
        <v/>
      </c>
      <c r="S1379" s="46">
        <f>(1-d_u)*S1378+IF(d_T&gt;in_topup_lag,SUMIFS(O1367:O1396,B1367:B1396,B1379-in_topup_lag)-d_udrop*SUMIFS(O1367:O1396,B1367:B1396,B1379-d_T),0)</f>
        <v/>
      </c>
      <c r="T1379" s="40">
        <f>F1379*d_u*S1379</f>
        <v/>
      </c>
      <c r="U1379" s="9">
        <f>L1379*in_ticket+M1379*d_rep_ticket</f>
        <v/>
      </c>
      <c r="V1379" s="9">
        <f>U1379+T1379*d_topup_amt</f>
        <v/>
      </c>
      <c r="W1379" s="40">
        <f>N1379+T1379*d_topup_ratio</f>
        <v/>
      </c>
      <c r="X1379" s="40">
        <f>SUMIFS(W1367:W1396,B1367:B1396,B1379-in_dpd_lag)*d_cured</f>
        <v/>
      </c>
      <c r="Y1379" s="40">
        <f>SUMIFS(W1367:W1396,B1367:B1396,B1379-in_rec_lag)*d_recd</f>
        <v/>
      </c>
      <c r="Z1379" s="40">
        <f>IF(AND(B1379&gt;=in_marketplace_from,B1379&lt;in_marketplace_from+in_card_months),in_card_share/in_card_months*F1379*I1379,IF(AND(B1379&gt;=in_marketplace_from+in_card_months,B1379&lt;in_marketplace_from+2*in_card_months),in_card_share*d_card_rem/in_card_months*F1379*MIN(in_takeup_cap,(1+in_takeup_growth)^(D1379-1))*MIN(in_takeup_cap,(1+in_approval_growth)^(D1379-1)),0))</f>
        <v/>
      </c>
      <c r="AA1379" s="14">
        <f>V1379*in_fee*(1-in_taken_back)</f>
        <v/>
      </c>
      <c r="AB1379" s="14">
        <f>SUMIFS(W1367:W1396,B1367:B1396,B1379-in_dpd_lag)*d_dpd</f>
        <v/>
      </c>
      <c r="AC1379" s="14">
        <f>SUMIFS(W1367:W1396,B1367:B1396,B1379-in_rec_lag)*d_rec</f>
        <v/>
      </c>
      <c r="AD1379" s="14">
        <f>Z1379*in_card_fee</f>
        <v/>
      </c>
      <c r="AE1379" s="40">
        <f>AE1378*(1-IF(B1378&gt;=in_marketplace_from,d_hz_hlth_small*G1378,0))</f>
        <v/>
      </c>
      <c r="AF1379" s="46">
        <f>AE1379*IF(B1379&gt;=in_marketplace_from,d_hz_hlth_small*G1379,0)</f>
        <v/>
      </c>
      <c r="AG1379" s="14">
        <f>F1379*AF1379*in_hlth_small_ticket*in_hlth_small_comm*in_ins_partner_share+F1379*in_hlth_small_ticket*in_hlth_small_renew_comm*in_ins_partner_share*(in_hlth_small_renew^1*SUMIFS(AF1367:AF1396,B1367:B1396,B1379-12)+in_hlth_small_renew^2*SUMIFS(AF1367:AF1396,B1367:B1396,B1379-24)+in_hlth_small_renew^3*SUMIFS(AF1367:AF1396,B1367:B1396,B1379-36)+in_hlth_small_renew^4*SUMIFS(AF1367:AF1396,B1367:B1396,B1379-48))</f>
        <v/>
      </c>
      <c r="AH1379" s="40">
        <f>AH1378*(1-IF(B1378&gt;=in_marketplace_from,d_hz_hlth_family*G1378,0))</f>
        <v/>
      </c>
      <c r="AI1379" s="46">
        <f>AH1379*IF(B1379&gt;=in_marketplace_from,d_hz_hlth_family*G1379,0)</f>
        <v/>
      </c>
      <c r="AJ1379" s="14">
        <f>F1379*AI1379*in_hlth_family_ticket*in_hlth_family_comm*in_ins_partner_share+F1379*in_hlth_family_ticket*in_hlth_family_renew_comm*in_ins_partner_share*(in_hlth_family_renew^1*SUMIFS(AI1367:AI1396,B1367:B1396,B1379-12)+in_hlth_family_renew^2*SUMIFS(AI1367:AI1396,B1367:B1396,B1379-24)+in_hlth_family_renew^3*SUMIFS(AI1367:AI1396,B1367:B1396,B1379-36)+in_hlth_family_renew^4*SUMIFS(AI1367:AI1396,B1367:B1396,B1379-48))</f>
        <v/>
      </c>
      <c r="AK1379" s="40">
        <f>AK1378*(1-IF(B1378&gt;=in_marketplace_from,d_hz_life_term*G1378,0))</f>
        <v/>
      </c>
      <c r="AL1379" s="46">
        <f>AK1379*IF(B1379&gt;=in_marketplace_from,d_hz_life_term*G1379,0)</f>
        <v/>
      </c>
      <c r="AM1379" s="14">
        <f>F1379*AL1379*in_life_term_ticket*in_life_term_comm*in_ins_partner_share+F1379*in_life_term_ticket*in_life_term_renew_comm*in_ins_partner_share*(in_life_term_renew^1*SUMIFS(AL1367:AL1396,B1367:B1396,B1379-12)+in_life_term_renew^2*SUMIFS(AL1367:AL1396,B1367:B1396,B1379-24)+in_life_term_renew^3*SUMIFS(AL1367:AL1396,B1367:B1396,B1379-36)+in_life_term_renew^4*SUMIFS(AL1367:AL1396,B1367:B1396,B1379-48))</f>
        <v/>
      </c>
      <c r="AN1379" s="40">
        <f>AN1378*(1-IF(B1378&gt;=in_marketplace_from,d_hz_accident*G1378,0))</f>
        <v/>
      </c>
      <c r="AO1379" s="46">
        <f>AN1379*IF(B1379&gt;=in_marketplace_from,d_hz_accident*G1379,0)</f>
        <v/>
      </c>
      <c r="AP1379" s="14">
        <f>F1379*AO1379*in_accident_ticket*in_accident_comm*in_ins_partner_share+F1379*in_accident_ticket*in_accident_renew_comm*in_ins_partner_share*(in_accident_renew^1*SUMIFS(AO1367:AO1396,B1367:B1396,B1379-12)+in_accident_renew^2*SUMIFS(AO1367:AO1396,B1367:B1396,B1379-24)+in_accident_renew^3*SUMIFS(AO1367:AO1396,B1367:B1396,B1379-36)+in_accident_renew^4*SUMIFS(AO1367:AO1396,B1367:B1396,B1379-48))</f>
        <v/>
      </c>
      <c r="AQ1379" s="40">
        <f>AQ1378*(1-IF(B1378&gt;=in_marketplace_from,d_hz_two_wheeler*G1378,0))</f>
        <v/>
      </c>
      <c r="AR1379" s="46">
        <f>AQ1379*IF(B1379&gt;=in_marketplace_from,d_hz_two_wheeler*G1379,0)</f>
        <v/>
      </c>
      <c r="AS1379" s="14">
        <f>F1379*AR1379*in_two_wheeler_ticket*in_two_wheeler_comm*in_ins_partner_share+F1379*in_two_wheeler_ticket*in_two_wheeler_comm*in_ins_partner_share*(in_two_wheeler_renew^1*SUMIFS(AR1367:AR1396,B1367:B1396,B1379-12)+in_two_wheeler_renew^2*SUMIFS(AR1367:AR1396,B1367:B1396,B1379-24)+in_two_wheeler_renew^3*SUMIFS(AR1367:AR1396,B1367:B1396,B1379-36)+in_two_wheeler_renew^4*SUMIFS(AR1367:AR1396,B1367:B1396,B1379-48))</f>
        <v/>
      </c>
      <c r="AT1379" s="40">
        <f>AT1378*(1-IF(B1378&gt;=in_marketplace_from,d_hz_device*G1378,0))</f>
        <v/>
      </c>
      <c r="AU1379" s="14">
        <f>F1379*AT1379*IF(B1379&gt;=in_marketplace_from,d_hz_device*G1379,0)*in_device_ticket*in_device_comm*in_ins_partner_share</f>
        <v/>
      </c>
      <c r="AV1379" s="40">
        <f>AV1378*(1-IF(B1378&gt;=in_marketplace_from,d_hz_shop*G1378,0))</f>
        <v/>
      </c>
      <c r="AW1379" s="46">
        <f>AV1379*IF(B1379&gt;=in_marketplace_from,d_hz_shop*G1379,0)</f>
        <v/>
      </c>
      <c r="AX1379" s="14">
        <f>F1379*AW1379*in_shop_ticket*in_shop_comm*in_ins_partner_share+F1379*in_shop_ticket*in_shop_renew_comm*in_ins_partner_share*(in_shop_renew^1*SUMIFS(AW1367:AW1396,B1367:B1396,B1379-12)+in_shop_renew^2*SUMIFS(AW1367:AW1396,B1367:B1396,B1379-24)+in_shop_renew^3*SUMIFS(AW1367:AW1396,B1367:B1396,B1379-36)+in_shop_renew^4*SUMIFS(AW1367:AW1396,B1367:B1396,B1379-48))</f>
        <v/>
      </c>
      <c r="AY1379" s="40">
        <f>AY1378*(1-IF(B1378&gt;=in_marketplace_from,d_hz_sip*G1378,0))</f>
        <v/>
      </c>
      <c r="AZ1379" s="40">
        <f>AZ1378*d_rho_sip+AY1379*IF(B1379&gt;=in_marketplace_from,d_hz_sip*G1379,0)</f>
        <v/>
      </c>
      <c r="BA1379" s="40">
        <f>d_rho_sip*(BA1378+AZ1378)</f>
        <v/>
      </c>
      <c r="BB1379" s="14">
        <f>F1379*in_sip_ticket*(BA1379+0.5*AZ1379)*in_sip_comm/12</f>
        <v/>
      </c>
      <c r="BC1379" s="40">
        <f>BC1378*(1-IF(B1378&gt;=in_marketplace_from,d_hz_choti*G1378,0))</f>
        <v/>
      </c>
      <c r="BD1379" s="46">
        <f>BC1379*IF(B1379&gt;=in_marketplace_from,d_hz_choti*G1379,0)</f>
        <v/>
      </c>
      <c r="BE1379" s="14">
        <f>F1379*SUMIFS(BD1367:BD1396,B1367:B1396,B1379-in_choti_months)*in_choti_renew*in_choti_ticket</f>
        <v/>
      </c>
      <c r="BF1379" s="40">
        <f>BF1378*(1-IF(B1378&gt;=in_marketplace_from,d_hz_nps*G1378,0))</f>
        <v/>
      </c>
      <c r="BG1379" s="14">
        <f>F1379*BF1379*IF(B1379&gt;=in_marketplace_from,d_hz_nps*G1379,0)*in_nps_ticket*in_nps_comm</f>
        <v/>
      </c>
      <c r="BH1379" s="40">
        <f>BH1378*(1-IF(B1378&gt;=in_marketplace_from,d_hz_gold*G1378,0))</f>
        <v/>
      </c>
      <c r="BI1379" s="40">
        <f>BI1378*d_rho_gold+BH1379*IF(B1379&gt;=in_marketplace_from,d_hz_gold*G1379,0)</f>
        <v/>
      </c>
      <c r="BJ1379" s="14">
        <f>F1379*BI1379*in_gold_ticket*in_gold_comm</f>
        <v/>
      </c>
      <c r="BK1379" s="40">
        <f>BK1378*(1-IF(B1378&gt;=in_marketplace_from,d_hz_fd*G1378,0))</f>
        <v/>
      </c>
      <c r="BL1379" s="14">
        <f>F1379*BK1379*IF(B1379&gt;=in_marketplace_from,d_hz_fd*G1379,0)*in_fd_ticket*in_fd_comm</f>
        <v/>
      </c>
      <c r="BM1379" s="40">
        <f>BM1378*(1-IF(B1378&gt;=in_marketplace_from,d_hz_recharge*G1378,0))</f>
        <v/>
      </c>
      <c r="BN1379" s="40">
        <f>BN1378*d_rho_recharge+BM1379*IF(B1379&gt;=in_marketplace_from,d_hz_recharge*G1379,0)</f>
        <v/>
      </c>
      <c r="BO1379" s="14">
        <f>F1379*BN1379*in_recharge_ticket*in_recharge_comm/12</f>
        <v/>
      </c>
      <c r="BP1379" s="40">
        <f>BP1378*(1-IF(B1378&gt;=in_marketplace_from,d_hz_bills*G1378,0))</f>
        <v/>
      </c>
      <c r="BQ1379" s="40">
        <f>BQ1378*d_rho_bills+BP1379*IF(B1379&gt;=in_marketplace_from,d_hz_bills*G1379,0)</f>
        <v/>
      </c>
      <c r="BR1379" s="14">
        <f>F1379*BQ1379*in_bills_ticket*in_bills_comm/12</f>
        <v/>
      </c>
      <c r="BS1379" s="40">
        <f>BS1378*(1-IF(B1378&gt;=in_marketplace_from,d_hz_loan_gold*G1378,0))</f>
        <v/>
      </c>
      <c r="BT1379" s="14">
        <f>F1379*BS1379*IF(B1379&gt;=in_marketplace_from,d_hz_loan_gold*G1379,0)*in_loan_gold_ticket*in_loan_gold_comm</f>
        <v/>
      </c>
      <c r="BU1379" s="40">
        <f>BU1378*(1-IF(B1378&gt;=in_marketplace_from,d_hz_loan_cd*G1378,0))</f>
        <v/>
      </c>
      <c r="BV1379" s="14">
        <f>F1379*BU1379*IF(B1379&gt;=in_marketplace_from,d_hz_loan_cd*G1379,0)*in_loan_cd_ticket*in_loan_cd_comm</f>
        <v/>
      </c>
      <c r="BW1379" s="40">
        <f>BW1378*(1-IF(B1378&gt;=in_marketplace_from,d_hz_loan_vehicle*G1378,0))</f>
        <v/>
      </c>
      <c r="BX1379" s="14">
        <f>F1379*BW1379*IF(B1379&gt;=in_marketplace_from,d_hz_loan_vehicle*G1379,0)*in_loan_vehicle_ticket*in_loan_vehicle_comm</f>
        <v/>
      </c>
      <c r="BY1379" s="40">
        <f>BY1378*(1-IF(B1378&gt;=in_marketplace_from,d_hz_loan_home*G1378,0)*BZ1378)</f>
        <v/>
      </c>
      <c r="BZ1379" s="11">
        <f>MIN(in_approval_cap,in_loan_home_approval*INDEX('Age profile'!$O$2:$O$61,B1379)*(1+in_approval_growth)^(D1379-1))</f>
        <v/>
      </c>
      <c r="CA1379" s="14">
        <f>F1379*BY1379*IF(B1379&gt;=in_marketplace_from,d_hz_loan_home*G1379,0)*BZ1379*in_loan_home_ticket*in_loan_home_comm</f>
        <v/>
      </c>
      <c r="CB1379" s="40">
        <f>CB1378*(1-IF(B1378&gt;=in_marketplace_from,d_hz_loan_lap*G1378,0)*CC1378)</f>
        <v/>
      </c>
      <c r="CC1379" s="11">
        <f>MIN(in_approval_cap,in_loan_lap_approval*INDEX('Age profile'!$O$2:$O$61,B1379)*(1+in_approval_growth)^(D1379-1))</f>
        <v/>
      </c>
      <c r="CD1379" s="14">
        <f>F1379*CB1379*IF(B1379&gt;=in_marketplace_from,d_hz_loan_lap*G1379,0)*CC1379*in_loan_lap_ticket*in_loan_lap_comm</f>
        <v/>
      </c>
      <c r="CE1379" s="14">
        <f>AA1379+AB1379+AC1379+AD1379+AG1379+AJ1379+AM1379+AP1379+AS1379+AU1379+AX1379+BB1379+BE1379+BG1379+BJ1379+BL1379+BO1379+BR1379+BT1379+BV1379+BX1379+CA1379+CD1379</f>
        <v/>
      </c>
    </row>
    <row r="1380">
      <c r="A1380" s="39" t="n">
        <v>31</v>
      </c>
      <c r="B1380" s="39" t="n">
        <v>14</v>
      </c>
      <c r="C1380" s="39">
        <f>A1380+B1380-1</f>
        <v/>
      </c>
      <c r="D1380" s="39">
        <f>INT((C1380-1)/12)+1</f>
        <v/>
      </c>
      <c r="E1380" s="44">
        <f>INDEX(Monthly!$B$2:$B$61,A1380)</f>
        <v/>
      </c>
      <c r="F1380" s="44">
        <f>E1380*INDEX('Age profile'!$B$2:$B$61,B1380)</f>
        <v/>
      </c>
      <c r="G1380" s="45">
        <f>MIN(in_takeup_cap,INDEX('Age profile'!$N$2:$N$61,B1380)*(1+in_takeup_growth)^(D1380-1))</f>
        <v/>
      </c>
      <c r="H1380" s="11">
        <f>MIN(in_approval_cap,in_approved_first*INDEX('Age profile'!$O$2:$O$61,B1380)*(1+in_approval_growth)^(D1380-1))</f>
        <v/>
      </c>
      <c r="I1380" s="45">
        <f>G1380*MIN(in_takeup_cap,INDEX('Age profile'!$O$2:$O$61,B1380)*(1+in_approval_growth)^(D1380-1))</f>
        <v/>
      </c>
      <c r="J1380" s="40">
        <f>(J1379-L1379)*F1380/F1379</f>
        <v/>
      </c>
      <c r="K1380" s="40">
        <f>(K1379-M1379)*F1380/F1379+SUMIFS(O1367:O1379,B1367:B1379,B1380-1-d_T)*F1380</f>
        <v/>
      </c>
      <c r="L1380" s="40">
        <f>IF(B1380&gt;=in_marketplace_from,J1380*d_hz*G1380*in_eligible*H1380,0)</f>
        <v/>
      </c>
      <c r="M1380" s="40">
        <f>IF(B1380&gt;=in_marketplace_from,K1380*d_hz*G1380*in_eligible*in_approved_repeat,0)</f>
        <v/>
      </c>
      <c r="N1380" s="40">
        <f>L1380+M1380</f>
        <v/>
      </c>
      <c r="O1380" s="46">
        <f>N1380/F1380</f>
        <v/>
      </c>
      <c r="P1380" s="40">
        <f>F1380-J1380-K1380</f>
        <v/>
      </c>
      <c r="Q1380" s="40">
        <f>IF(B1380&gt;=in_marketplace_from,(J1380+K1380)*d_hz*G1380,0)</f>
        <v/>
      </c>
      <c r="R1380" s="40">
        <f>SUMIFS(N1367:N1396,B1367:B1396,"&gt;="&amp;(B1380-d_T),B1367:B1396,"&lt;="&amp;(B1380-1))</f>
        <v/>
      </c>
      <c r="S1380" s="46">
        <f>(1-d_u)*S1379+IF(d_T&gt;in_topup_lag,SUMIFS(O1367:O1396,B1367:B1396,B1380-in_topup_lag)-d_udrop*SUMIFS(O1367:O1396,B1367:B1396,B1380-d_T),0)</f>
        <v/>
      </c>
      <c r="T1380" s="40">
        <f>F1380*d_u*S1380</f>
        <v/>
      </c>
      <c r="U1380" s="9">
        <f>L1380*in_ticket+M1380*d_rep_ticket</f>
        <v/>
      </c>
      <c r="V1380" s="9">
        <f>U1380+T1380*d_topup_amt</f>
        <v/>
      </c>
      <c r="W1380" s="40">
        <f>N1380+T1380*d_topup_ratio</f>
        <v/>
      </c>
      <c r="X1380" s="40">
        <f>SUMIFS(W1367:W1396,B1367:B1396,B1380-in_dpd_lag)*d_cured</f>
        <v/>
      </c>
      <c r="Y1380" s="40">
        <f>SUMIFS(W1367:W1396,B1367:B1396,B1380-in_rec_lag)*d_recd</f>
        <v/>
      </c>
      <c r="Z1380" s="40">
        <f>IF(AND(B1380&gt;=in_marketplace_from,B1380&lt;in_marketplace_from+in_card_months),in_card_share/in_card_months*F1380*I1380,IF(AND(B1380&gt;=in_marketplace_from+in_card_months,B1380&lt;in_marketplace_from+2*in_card_months),in_card_share*d_card_rem/in_card_months*F1380*MIN(in_takeup_cap,(1+in_takeup_growth)^(D1380-1))*MIN(in_takeup_cap,(1+in_approval_growth)^(D1380-1)),0))</f>
        <v/>
      </c>
      <c r="AA1380" s="14">
        <f>V1380*in_fee*(1-in_taken_back)</f>
        <v/>
      </c>
      <c r="AB1380" s="14">
        <f>SUMIFS(W1367:W1396,B1367:B1396,B1380-in_dpd_lag)*d_dpd</f>
        <v/>
      </c>
      <c r="AC1380" s="14">
        <f>SUMIFS(W1367:W1396,B1367:B1396,B1380-in_rec_lag)*d_rec</f>
        <v/>
      </c>
      <c r="AD1380" s="14">
        <f>Z1380*in_card_fee</f>
        <v/>
      </c>
      <c r="AE1380" s="40">
        <f>AE1379*(1-IF(B1379&gt;=in_marketplace_from,d_hz_hlth_small*G1379,0))</f>
        <v/>
      </c>
      <c r="AF1380" s="46">
        <f>AE1380*IF(B1380&gt;=in_marketplace_from,d_hz_hlth_small*G1380,0)</f>
        <v/>
      </c>
      <c r="AG1380" s="14">
        <f>F1380*AF1380*in_hlth_small_ticket*in_hlth_small_comm*in_ins_partner_share+F1380*in_hlth_small_ticket*in_hlth_small_renew_comm*in_ins_partner_share*(in_hlth_small_renew^1*SUMIFS(AF1367:AF1396,B1367:B1396,B1380-12)+in_hlth_small_renew^2*SUMIFS(AF1367:AF1396,B1367:B1396,B1380-24)+in_hlth_small_renew^3*SUMIFS(AF1367:AF1396,B1367:B1396,B1380-36)+in_hlth_small_renew^4*SUMIFS(AF1367:AF1396,B1367:B1396,B1380-48))</f>
        <v/>
      </c>
      <c r="AH1380" s="40">
        <f>AH1379*(1-IF(B1379&gt;=in_marketplace_from,d_hz_hlth_family*G1379,0))</f>
        <v/>
      </c>
      <c r="AI1380" s="46">
        <f>AH1380*IF(B1380&gt;=in_marketplace_from,d_hz_hlth_family*G1380,0)</f>
        <v/>
      </c>
      <c r="AJ1380" s="14">
        <f>F1380*AI1380*in_hlth_family_ticket*in_hlth_family_comm*in_ins_partner_share+F1380*in_hlth_family_ticket*in_hlth_family_renew_comm*in_ins_partner_share*(in_hlth_family_renew^1*SUMIFS(AI1367:AI1396,B1367:B1396,B1380-12)+in_hlth_family_renew^2*SUMIFS(AI1367:AI1396,B1367:B1396,B1380-24)+in_hlth_family_renew^3*SUMIFS(AI1367:AI1396,B1367:B1396,B1380-36)+in_hlth_family_renew^4*SUMIFS(AI1367:AI1396,B1367:B1396,B1380-48))</f>
        <v/>
      </c>
      <c r="AK1380" s="40">
        <f>AK1379*(1-IF(B1379&gt;=in_marketplace_from,d_hz_life_term*G1379,0))</f>
        <v/>
      </c>
      <c r="AL1380" s="46">
        <f>AK1380*IF(B1380&gt;=in_marketplace_from,d_hz_life_term*G1380,0)</f>
        <v/>
      </c>
      <c r="AM1380" s="14">
        <f>F1380*AL1380*in_life_term_ticket*in_life_term_comm*in_ins_partner_share+F1380*in_life_term_ticket*in_life_term_renew_comm*in_ins_partner_share*(in_life_term_renew^1*SUMIFS(AL1367:AL1396,B1367:B1396,B1380-12)+in_life_term_renew^2*SUMIFS(AL1367:AL1396,B1367:B1396,B1380-24)+in_life_term_renew^3*SUMIFS(AL1367:AL1396,B1367:B1396,B1380-36)+in_life_term_renew^4*SUMIFS(AL1367:AL1396,B1367:B1396,B1380-48))</f>
        <v/>
      </c>
      <c r="AN1380" s="40">
        <f>AN1379*(1-IF(B1379&gt;=in_marketplace_from,d_hz_accident*G1379,0))</f>
        <v/>
      </c>
      <c r="AO1380" s="46">
        <f>AN1380*IF(B1380&gt;=in_marketplace_from,d_hz_accident*G1380,0)</f>
        <v/>
      </c>
      <c r="AP1380" s="14">
        <f>F1380*AO1380*in_accident_ticket*in_accident_comm*in_ins_partner_share+F1380*in_accident_ticket*in_accident_renew_comm*in_ins_partner_share*(in_accident_renew^1*SUMIFS(AO1367:AO1396,B1367:B1396,B1380-12)+in_accident_renew^2*SUMIFS(AO1367:AO1396,B1367:B1396,B1380-24)+in_accident_renew^3*SUMIFS(AO1367:AO1396,B1367:B1396,B1380-36)+in_accident_renew^4*SUMIFS(AO1367:AO1396,B1367:B1396,B1380-48))</f>
        <v/>
      </c>
      <c r="AQ1380" s="40">
        <f>AQ1379*(1-IF(B1379&gt;=in_marketplace_from,d_hz_two_wheeler*G1379,0))</f>
        <v/>
      </c>
      <c r="AR1380" s="46">
        <f>AQ1380*IF(B1380&gt;=in_marketplace_from,d_hz_two_wheeler*G1380,0)</f>
        <v/>
      </c>
      <c r="AS1380" s="14">
        <f>F1380*AR1380*in_two_wheeler_ticket*in_two_wheeler_comm*in_ins_partner_share+F1380*in_two_wheeler_ticket*in_two_wheeler_comm*in_ins_partner_share*(in_two_wheeler_renew^1*SUMIFS(AR1367:AR1396,B1367:B1396,B1380-12)+in_two_wheeler_renew^2*SUMIFS(AR1367:AR1396,B1367:B1396,B1380-24)+in_two_wheeler_renew^3*SUMIFS(AR1367:AR1396,B1367:B1396,B1380-36)+in_two_wheeler_renew^4*SUMIFS(AR1367:AR1396,B1367:B1396,B1380-48))</f>
        <v/>
      </c>
      <c r="AT1380" s="40">
        <f>AT1379*(1-IF(B1379&gt;=in_marketplace_from,d_hz_device*G1379,0))</f>
        <v/>
      </c>
      <c r="AU1380" s="14">
        <f>F1380*AT1380*IF(B1380&gt;=in_marketplace_from,d_hz_device*G1380,0)*in_device_ticket*in_device_comm*in_ins_partner_share</f>
        <v/>
      </c>
      <c r="AV1380" s="40">
        <f>AV1379*(1-IF(B1379&gt;=in_marketplace_from,d_hz_shop*G1379,0))</f>
        <v/>
      </c>
      <c r="AW1380" s="46">
        <f>AV1380*IF(B1380&gt;=in_marketplace_from,d_hz_shop*G1380,0)</f>
        <v/>
      </c>
      <c r="AX1380" s="14">
        <f>F1380*AW1380*in_shop_ticket*in_shop_comm*in_ins_partner_share+F1380*in_shop_ticket*in_shop_renew_comm*in_ins_partner_share*(in_shop_renew^1*SUMIFS(AW1367:AW1396,B1367:B1396,B1380-12)+in_shop_renew^2*SUMIFS(AW1367:AW1396,B1367:B1396,B1380-24)+in_shop_renew^3*SUMIFS(AW1367:AW1396,B1367:B1396,B1380-36)+in_shop_renew^4*SUMIFS(AW1367:AW1396,B1367:B1396,B1380-48))</f>
        <v/>
      </c>
      <c r="AY1380" s="40">
        <f>AY1379*(1-IF(B1379&gt;=in_marketplace_from,d_hz_sip*G1379,0))</f>
        <v/>
      </c>
      <c r="AZ1380" s="40">
        <f>AZ1379*d_rho_sip+AY1380*IF(B1380&gt;=in_marketplace_from,d_hz_sip*G1380,0)</f>
        <v/>
      </c>
      <c r="BA1380" s="40">
        <f>d_rho_sip*(BA1379+AZ1379)</f>
        <v/>
      </c>
      <c r="BB1380" s="14">
        <f>F1380*in_sip_ticket*(BA1380+0.5*AZ1380)*in_sip_comm/12</f>
        <v/>
      </c>
      <c r="BC1380" s="40">
        <f>BC1379*(1-IF(B1379&gt;=in_marketplace_from,d_hz_choti*G1379,0))</f>
        <v/>
      </c>
      <c r="BD1380" s="46">
        <f>BC1380*IF(B1380&gt;=in_marketplace_from,d_hz_choti*G1380,0)</f>
        <v/>
      </c>
      <c r="BE1380" s="14">
        <f>F1380*SUMIFS(BD1367:BD1396,B1367:B1396,B1380-in_choti_months)*in_choti_renew*in_choti_ticket</f>
        <v/>
      </c>
      <c r="BF1380" s="40">
        <f>BF1379*(1-IF(B1379&gt;=in_marketplace_from,d_hz_nps*G1379,0))</f>
        <v/>
      </c>
      <c r="BG1380" s="14">
        <f>F1380*BF1380*IF(B1380&gt;=in_marketplace_from,d_hz_nps*G1380,0)*in_nps_ticket*in_nps_comm</f>
        <v/>
      </c>
      <c r="BH1380" s="40">
        <f>BH1379*(1-IF(B1379&gt;=in_marketplace_from,d_hz_gold*G1379,0))</f>
        <v/>
      </c>
      <c r="BI1380" s="40">
        <f>BI1379*d_rho_gold+BH1380*IF(B1380&gt;=in_marketplace_from,d_hz_gold*G1380,0)</f>
        <v/>
      </c>
      <c r="BJ1380" s="14">
        <f>F1380*BI1380*in_gold_ticket*in_gold_comm</f>
        <v/>
      </c>
      <c r="BK1380" s="40">
        <f>BK1379*(1-IF(B1379&gt;=in_marketplace_from,d_hz_fd*G1379,0))</f>
        <v/>
      </c>
      <c r="BL1380" s="14">
        <f>F1380*BK1380*IF(B1380&gt;=in_marketplace_from,d_hz_fd*G1380,0)*in_fd_ticket*in_fd_comm</f>
        <v/>
      </c>
      <c r="BM1380" s="40">
        <f>BM1379*(1-IF(B1379&gt;=in_marketplace_from,d_hz_recharge*G1379,0))</f>
        <v/>
      </c>
      <c r="BN1380" s="40">
        <f>BN1379*d_rho_recharge+BM1380*IF(B1380&gt;=in_marketplace_from,d_hz_recharge*G1380,0)</f>
        <v/>
      </c>
      <c r="BO1380" s="14">
        <f>F1380*BN1380*in_recharge_ticket*in_recharge_comm/12</f>
        <v/>
      </c>
      <c r="BP1380" s="40">
        <f>BP1379*(1-IF(B1379&gt;=in_marketplace_from,d_hz_bills*G1379,0))</f>
        <v/>
      </c>
      <c r="BQ1380" s="40">
        <f>BQ1379*d_rho_bills+BP1380*IF(B1380&gt;=in_marketplace_from,d_hz_bills*G1380,0)</f>
        <v/>
      </c>
      <c r="BR1380" s="14">
        <f>F1380*BQ1380*in_bills_ticket*in_bills_comm/12</f>
        <v/>
      </c>
      <c r="BS1380" s="40">
        <f>BS1379*(1-IF(B1379&gt;=in_marketplace_from,d_hz_loan_gold*G1379,0))</f>
        <v/>
      </c>
      <c r="BT1380" s="14">
        <f>F1380*BS1380*IF(B1380&gt;=in_marketplace_from,d_hz_loan_gold*G1380,0)*in_loan_gold_ticket*in_loan_gold_comm</f>
        <v/>
      </c>
      <c r="BU1380" s="40">
        <f>BU1379*(1-IF(B1379&gt;=in_marketplace_from,d_hz_loan_cd*G1379,0))</f>
        <v/>
      </c>
      <c r="BV1380" s="14">
        <f>F1380*BU1380*IF(B1380&gt;=in_marketplace_from,d_hz_loan_cd*G1380,0)*in_loan_cd_ticket*in_loan_cd_comm</f>
        <v/>
      </c>
      <c r="BW1380" s="40">
        <f>BW1379*(1-IF(B1379&gt;=in_marketplace_from,d_hz_loan_vehicle*G1379,0))</f>
        <v/>
      </c>
      <c r="BX1380" s="14">
        <f>F1380*BW1380*IF(B1380&gt;=in_marketplace_from,d_hz_loan_vehicle*G1380,0)*in_loan_vehicle_ticket*in_loan_vehicle_comm</f>
        <v/>
      </c>
      <c r="BY1380" s="40">
        <f>BY1379*(1-IF(B1379&gt;=in_marketplace_from,d_hz_loan_home*G1379,0)*BZ1379)</f>
        <v/>
      </c>
      <c r="BZ1380" s="11">
        <f>MIN(in_approval_cap,in_loan_home_approval*INDEX('Age profile'!$O$2:$O$61,B1380)*(1+in_approval_growth)^(D1380-1))</f>
        <v/>
      </c>
      <c r="CA1380" s="14">
        <f>F1380*BY1380*IF(B1380&gt;=in_marketplace_from,d_hz_loan_home*G1380,0)*BZ1380*in_loan_home_ticket*in_loan_home_comm</f>
        <v/>
      </c>
      <c r="CB1380" s="40">
        <f>CB1379*(1-IF(B1379&gt;=in_marketplace_from,d_hz_loan_lap*G1379,0)*CC1379)</f>
        <v/>
      </c>
      <c r="CC1380" s="11">
        <f>MIN(in_approval_cap,in_loan_lap_approval*INDEX('Age profile'!$O$2:$O$61,B1380)*(1+in_approval_growth)^(D1380-1))</f>
        <v/>
      </c>
      <c r="CD1380" s="14">
        <f>F1380*CB1380*IF(B1380&gt;=in_marketplace_from,d_hz_loan_lap*G1380,0)*CC1380*in_loan_lap_ticket*in_loan_lap_comm</f>
        <v/>
      </c>
      <c r="CE1380" s="14">
        <f>AA1380+AB1380+AC1380+AD1380+AG1380+AJ1380+AM1380+AP1380+AS1380+AU1380+AX1380+BB1380+BE1380+BG1380+BJ1380+BL1380+BO1380+BR1380+BT1380+BV1380+BX1380+CA1380+CD1380</f>
        <v/>
      </c>
    </row>
    <row r="1381">
      <c r="A1381" s="39" t="n">
        <v>31</v>
      </c>
      <c r="B1381" s="39" t="n">
        <v>15</v>
      </c>
      <c r="C1381" s="39">
        <f>A1381+B1381-1</f>
        <v/>
      </c>
      <c r="D1381" s="39">
        <f>INT((C1381-1)/12)+1</f>
        <v/>
      </c>
      <c r="E1381" s="44">
        <f>INDEX(Monthly!$B$2:$B$61,A1381)</f>
        <v/>
      </c>
      <c r="F1381" s="44">
        <f>E1381*INDEX('Age profile'!$B$2:$B$61,B1381)</f>
        <v/>
      </c>
      <c r="G1381" s="45">
        <f>MIN(in_takeup_cap,INDEX('Age profile'!$N$2:$N$61,B1381)*(1+in_takeup_growth)^(D1381-1))</f>
        <v/>
      </c>
      <c r="H1381" s="11">
        <f>MIN(in_approval_cap,in_approved_first*INDEX('Age profile'!$O$2:$O$61,B1381)*(1+in_approval_growth)^(D1381-1))</f>
        <v/>
      </c>
      <c r="I1381" s="45">
        <f>G1381*MIN(in_takeup_cap,INDEX('Age profile'!$O$2:$O$61,B1381)*(1+in_approval_growth)^(D1381-1))</f>
        <v/>
      </c>
      <c r="J1381" s="40">
        <f>(J1380-L1380)*F1381/F1380</f>
        <v/>
      </c>
      <c r="K1381" s="40">
        <f>(K1380-M1380)*F1381/F1380+SUMIFS(O1367:O1380,B1367:B1380,B1381-1-d_T)*F1381</f>
        <v/>
      </c>
      <c r="L1381" s="40">
        <f>IF(B1381&gt;=in_marketplace_from,J1381*d_hz*G1381*in_eligible*H1381,0)</f>
        <v/>
      </c>
      <c r="M1381" s="40">
        <f>IF(B1381&gt;=in_marketplace_from,K1381*d_hz*G1381*in_eligible*in_approved_repeat,0)</f>
        <v/>
      </c>
      <c r="N1381" s="40">
        <f>L1381+M1381</f>
        <v/>
      </c>
      <c r="O1381" s="46">
        <f>N1381/F1381</f>
        <v/>
      </c>
      <c r="P1381" s="40">
        <f>F1381-J1381-K1381</f>
        <v/>
      </c>
      <c r="Q1381" s="40">
        <f>IF(B1381&gt;=in_marketplace_from,(J1381+K1381)*d_hz*G1381,0)</f>
        <v/>
      </c>
      <c r="R1381" s="40">
        <f>SUMIFS(N1367:N1396,B1367:B1396,"&gt;="&amp;(B1381-d_T),B1367:B1396,"&lt;="&amp;(B1381-1))</f>
        <v/>
      </c>
      <c r="S1381" s="46">
        <f>(1-d_u)*S1380+IF(d_T&gt;in_topup_lag,SUMIFS(O1367:O1396,B1367:B1396,B1381-in_topup_lag)-d_udrop*SUMIFS(O1367:O1396,B1367:B1396,B1381-d_T),0)</f>
        <v/>
      </c>
      <c r="T1381" s="40">
        <f>F1381*d_u*S1381</f>
        <v/>
      </c>
      <c r="U1381" s="9">
        <f>L1381*in_ticket+M1381*d_rep_ticket</f>
        <v/>
      </c>
      <c r="V1381" s="9">
        <f>U1381+T1381*d_topup_amt</f>
        <v/>
      </c>
      <c r="W1381" s="40">
        <f>N1381+T1381*d_topup_ratio</f>
        <v/>
      </c>
      <c r="X1381" s="40">
        <f>SUMIFS(W1367:W1396,B1367:B1396,B1381-in_dpd_lag)*d_cured</f>
        <v/>
      </c>
      <c r="Y1381" s="40">
        <f>SUMIFS(W1367:W1396,B1367:B1396,B1381-in_rec_lag)*d_recd</f>
        <v/>
      </c>
      <c r="Z1381" s="40">
        <f>IF(AND(B1381&gt;=in_marketplace_from,B1381&lt;in_marketplace_from+in_card_months),in_card_share/in_card_months*F1381*I1381,IF(AND(B1381&gt;=in_marketplace_from+in_card_months,B1381&lt;in_marketplace_from+2*in_card_months),in_card_share*d_card_rem/in_card_months*F1381*MIN(in_takeup_cap,(1+in_takeup_growth)^(D1381-1))*MIN(in_takeup_cap,(1+in_approval_growth)^(D1381-1)),0))</f>
        <v/>
      </c>
      <c r="AA1381" s="14">
        <f>V1381*in_fee*(1-in_taken_back)</f>
        <v/>
      </c>
      <c r="AB1381" s="14">
        <f>SUMIFS(W1367:W1396,B1367:B1396,B1381-in_dpd_lag)*d_dpd</f>
        <v/>
      </c>
      <c r="AC1381" s="14">
        <f>SUMIFS(W1367:W1396,B1367:B1396,B1381-in_rec_lag)*d_rec</f>
        <v/>
      </c>
      <c r="AD1381" s="14">
        <f>Z1381*in_card_fee</f>
        <v/>
      </c>
      <c r="AE1381" s="40">
        <f>AE1380*(1-IF(B1380&gt;=in_marketplace_from,d_hz_hlth_small*G1380,0))</f>
        <v/>
      </c>
      <c r="AF1381" s="46">
        <f>AE1381*IF(B1381&gt;=in_marketplace_from,d_hz_hlth_small*G1381,0)</f>
        <v/>
      </c>
      <c r="AG1381" s="14">
        <f>F1381*AF1381*in_hlth_small_ticket*in_hlth_small_comm*in_ins_partner_share+F1381*in_hlth_small_ticket*in_hlth_small_renew_comm*in_ins_partner_share*(in_hlth_small_renew^1*SUMIFS(AF1367:AF1396,B1367:B1396,B1381-12)+in_hlth_small_renew^2*SUMIFS(AF1367:AF1396,B1367:B1396,B1381-24)+in_hlth_small_renew^3*SUMIFS(AF1367:AF1396,B1367:B1396,B1381-36)+in_hlth_small_renew^4*SUMIFS(AF1367:AF1396,B1367:B1396,B1381-48))</f>
        <v/>
      </c>
      <c r="AH1381" s="40">
        <f>AH1380*(1-IF(B1380&gt;=in_marketplace_from,d_hz_hlth_family*G1380,0))</f>
        <v/>
      </c>
      <c r="AI1381" s="46">
        <f>AH1381*IF(B1381&gt;=in_marketplace_from,d_hz_hlth_family*G1381,0)</f>
        <v/>
      </c>
      <c r="AJ1381" s="14">
        <f>F1381*AI1381*in_hlth_family_ticket*in_hlth_family_comm*in_ins_partner_share+F1381*in_hlth_family_ticket*in_hlth_family_renew_comm*in_ins_partner_share*(in_hlth_family_renew^1*SUMIFS(AI1367:AI1396,B1367:B1396,B1381-12)+in_hlth_family_renew^2*SUMIFS(AI1367:AI1396,B1367:B1396,B1381-24)+in_hlth_family_renew^3*SUMIFS(AI1367:AI1396,B1367:B1396,B1381-36)+in_hlth_family_renew^4*SUMIFS(AI1367:AI1396,B1367:B1396,B1381-48))</f>
        <v/>
      </c>
      <c r="AK1381" s="40">
        <f>AK1380*(1-IF(B1380&gt;=in_marketplace_from,d_hz_life_term*G1380,0))</f>
        <v/>
      </c>
      <c r="AL1381" s="46">
        <f>AK1381*IF(B1381&gt;=in_marketplace_from,d_hz_life_term*G1381,0)</f>
        <v/>
      </c>
      <c r="AM1381" s="14">
        <f>F1381*AL1381*in_life_term_ticket*in_life_term_comm*in_ins_partner_share+F1381*in_life_term_ticket*in_life_term_renew_comm*in_ins_partner_share*(in_life_term_renew^1*SUMIFS(AL1367:AL1396,B1367:B1396,B1381-12)+in_life_term_renew^2*SUMIFS(AL1367:AL1396,B1367:B1396,B1381-24)+in_life_term_renew^3*SUMIFS(AL1367:AL1396,B1367:B1396,B1381-36)+in_life_term_renew^4*SUMIFS(AL1367:AL1396,B1367:B1396,B1381-48))</f>
        <v/>
      </c>
      <c r="AN1381" s="40">
        <f>AN1380*(1-IF(B1380&gt;=in_marketplace_from,d_hz_accident*G1380,0))</f>
        <v/>
      </c>
      <c r="AO1381" s="46">
        <f>AN1381*IF(B1381&gt;=in_marketplace_from,d_hz_accident*G1381,0)</f>
        <v/>
      </c>
      <c r="AP1381" s="14">
        <f>F1381*AO1381*in_accident_ticket*in_accident_comm*in_ins_partner_share+F1381*in_accident_ticket*in_accident_renew_comm*in_ins_partner_share*(in_accident_renew^1*SUMIFS(AO1367:AO1396,B1367:B1396,B1381-12)+in_accident_renew^2*SUMIFS(AO1367:AO1396,B1367:B1396,B1381-24)+in_accident_renew^3*SUMIFS(AO1367:AO1396,B1367:B1396,B1381-36)+in_accident_renew^4*SUMIFS(AO1367:AO1396,B1367:B1396,B1381-48))</f>
        <v/>
      </c>
      <c r="AQ1381" s="40">
        <f>AQ1380*(1-IF(B1380&gt;=in_marketplace_from,d_hz_two_wheeler*G1380,0))</f>
        <v/>
      </c>
      <c r="AR1381" s="46">
        <f>AQ1381*IF(B1381&gt;=in_marketplace_from,d_hz_two_wheeler*G1381,0)</f>
        <v/>
      </c>
      <c r="AS1381" s="14">
        <f>F1381*AR1381*in_two_wheeler_ticket*in_two_wheeler_comm*in_ins_partner_share+F1381*in_two_wheeler_ticket*in_two_wheeler_comm*in_ins_partner_share*(in_two_wheeler_renew^1*SUMIFS(AR1367:AR1396,B1367:B1396,B1381-12)+in_two_wheeler_renew^2*SUMIFS(AR1367:AR1396,B1367:B1396,B1381-24)+in_two_wheeler_renew^3*SUMIFS(AR1367:AR1396,B1367:B1396,B1381-36)+in_two_wheeler_renew^4*SUMIFS(AR1367:AR1396,B1367:B1396,B1381-48))</f>
        <v/>
      </c>
      <c r="AT1381" s="40">
        <f>AT1380*(1-IF(B1380&gt;=in_marketplace_from,d_hz_device*G1380,0))</f>
        <v/>
      </c>
      <c r="AU1381" s="14">
        <f>F1381*AT1381*IF(B1381&gt;=in_marketplace_from,d_hz_device*G1381,0)*in_device_ticket*in_device_comm*in_ins_partner_share</f>
        <v/>
      </c>
      <c r="AV1381" s="40">
        <f>AV1380*(1-IF(B1380&gt;=in_marketplace_from,d_hz_shop*G1380,0))</f>
        <v/>
      </c>
      <c r="AW1381" s="46">
        <f>AV1381*IF(B1381&gt;=in_marketplace_from,d_hz_shop*G1381,0)</f>
        <v/>
      </c>
      <c r="AX1381" s="14">
        <f>F1381*AW1381*in_shop_ticket*in_shop_comm*in_ins_partner_share+F1381*in_shop_ticket*in_shop_renew_comm*in_ins_partner_share*(in_shop_renew^1*SUMIFS(AW1367:AW1396,B1367:B1396,B1381-12)+in_shop_renew^2*SUMIFS(AW1367:AW1396,B1367:B1396,B1381-24)+in_shop_renew^3*SUMIFS(AW1367:AW1396,B1367:B1396,B1381-36)+in_shop_renew^4*SUMIFS(AW1367:AW1396,B1367:B1396,B1381-48))</f>
        <v/>
      </c>
      <c r="AY1381" s="40">
        <f>AY1380*(1-IF(B1380&gt;=in_marketplace_from,d_hz_sip*G1380,0))</f>
        <v/>
      </c>
      <c r="AZ1381" s="40">
        <f>AZ1380*d_rho_sip+AY1381*IF(B1381&gt;=in_marketplace_from,d_hz_sip*G1381,0)</f>
        <v/>
      </c>
      <c r="BA1381" s="40">
        <f>d_rho_sip*(BA1380+AZ1380)</f>
        <v/>
      </c>
      <c r="BB1381" s="14">
        <f>F1381*in_sip_ticket*(BA1381+0.5*AZ1381)*in_sip_comm/12</f>
        <v/>
      </c>
      <c r="BC1381" s="40">
        <f>BC1380*(1-IF(B1380&gt;=in_marketplace_from,d_hz_choti*G1380,0))</f>
        <v/>
      </c>
      <c r="BD1381" s="46">
        <f>BC1381*IF(B1381&gt;=in_marketplace_from,d_hz_choti*G1381,0)</f>
        <v/>
      </c>
      <c r="BE1381" s="14">
        <f>F1381*SUMIFS(BD1367:BD1396,B1367:B1396,B1381-in_choti_months)*in_choti_renew*in_choti_ticket</f>
        <v/>
      </c>
      <c r="BF1381" s="40">
        <f>BF1380*(1-IF(B1380&gt;=in_marketplace_from,d_hz_nps*G1380,0))</f>
        <v/>
      </c>
      <c r="BG1381" s="14">
        <f>F1381*BF1381*IF(B1381&gt;=in_marketplace_from,d_hz_nps*G1381,0)*in_nps_ticket*in_nps_comm</f>
        <v/>
      </c>
      <c r="BH1381" s="40">
        <f>BH1380*(1-IF(B1380&gt;=in_marketplace_from,d_hz_gold*G1380,0))</f>
        <v/>
      </c>
      <c r="BI1381" s="40">
        <f>BI1380*d_rho_gold+BH1381*IF(B1381&gt;=in_marketplace_from,d_hz_gold*G1381,0)</f>
        <v/>
      </c>
      <c r="BJ1381" s="14">
        <f>F1381*BI1381*in_gold_ticket*in_gold_comm</f>
        <v/>
      </c>
      <c r="BK1381" s="40">
        <f>BK1380*(1-IF(B1380&gt;=in_marketplace_from,d_hz_fd*G1380,0))</f>
        <v/>
      </c>
      <c r="BL1381" s="14">
        <f>F1381*BK1381*IF(B1381&gt;=in_marketplace_from,d_hz_fd*G1381,0)*in_fd_ticket*in_fd_comm</f>
        <v/>
      </c>
      <c r="BM1381" s="40">
        <f>BM1380*(1-IF(B1380&gt;=in_marketplace_from,d_hz_recharge*G1380,0))</f>
        <v/>
      </c>
      <c r="BN1381" s="40">
        <f>BN1380*d_rho_recharge+BM1381*IF(B1381&gt;=in_marketplace_from,d_hz_recharge*G1381,0)</f>
        <v/>
      </c>
      <c r="BO1381" s="14">
        <f>F1381*BN1381*in_recharge_ticket*in_recharge_comm/12</f>
        <v/>
      </c>
      <c r="BP1381" s="40">
        <f>BP1380*(1-IF(B1380&gt;=in_marketplace_from,d_hz_bills*G1380,0))</f>
        <v/>
      </c>
      <c r="BQ1381" s="40">
        <f>BQ1380*d_rho_bills+BP1381*IF(B1381&gt;=in_marketplace_from,d_hz_bills*G1381,0)</f>
        <v/>
      </c>
      <c r="BR1381" s="14">
        <f>F1381*BQ1381*in_bills_ticket*in_bills_comm/12</f>
        <v/>
      </c>
      <c r="BS1381" s="40">
        <f>BS1380*(1-IF(B1380&gt;=in_marketplace_from,d_hz_loan_gold*G1380,0))</f>
        <v/>
      </c>
      <c r="BT1381" s="14">
        <f>F1381*BS1381*IF(B1381&gt;=in_marketplace_from,d_hz_loan_gold*G1381,0)*in_loan_gold_ticket*in_loan_gold_comm</f>
        <v/>
      </c>
      <c r="BU1381" s="40">
        <f>BU1380*(1-IF(B1380&gt;=in_marketplace_from,d_hz_loan_cd*G1380,0))</f>
        <v/>
      </c>
      <c r="BV1381" s="14">
        <f>F1381*BU1381*IF(B1381&gt;=in_marketplace_from,d_hz_loan_cd*G1381,0)*in_loan_cd_ticket*in_loan_cd_comm</f>
        <v/>
      </c>
      <c r="BW1381" s="40">
        <f>BW1380*(1-IF(B1380&gt;=in_marketplace_from,d_hz_loan_vehicle*G1380,0))</f>
        <v/>
      </c>
      <c r="BX1381" s="14">
        <f>F1381*BW1381*IF(B1381&gt;=in_marketplace_from,d_hz_loan_vehicle*G1381,0)*in_loan_vehicle_ticket*in_loan_vehicle_comm</f>
        <v/>
      </c>
      <c r="BY1381" s="40">
        <f>BY1380*(1-IF(B1380&gt;=in_marketplace_from,d_hz_loan_home*G1380,0)*BZ1380)</f>
        <v/>
      </c>
      <c r="BZ1381" s="11">
        <f>MIN(in_approval_cap,in_loan_home_approval*INDEX('Age profile'!$O$2:$O$61,B1381)*(1+in_approval_growth)^(D1381-1))</f>
        <v/>
      </c>
      <c r="CA1381" s="14">
        <f>F1381*BY1381*IF(B1381&gt;=in_marketplace_from,d_hz_loan_home*G1381,0)*BZ1381*in_loan_home_ticket*in_loan_home_comm</f>
        <v/>
      </c>
      <c r="CB1381" s="40">
        <f>CB1380*(1-IF(B1380&gt;=in_marketplace_from,d_hz_loan_lap*G1380,0)*CC1380)</f>
        <v/>
      </c>
      <c r="CC1381" s="11">
        <f>MIN(in_approval_cap,in_loan_lap_approval*INDEX('Age profile'!$O$2:$O$61,B1381)*(1+in_approval_growth)^(D1381-1))</f>
        <v/>
      </c>
      <c r="CD1381" s="14">
        <f>F1381*CB1381*IF(B1381&gt;=in_marketplace_from,d_hz_loan_lap*G1381,0)*CC1381*in_loan_lap_ticket*in_loan_lap_comm</f>
        <v/>
      </c>
      <c r="CE1381" s="14">
        <f>AA1381+AB1381+AC1381+AD1381+AG1381+AJ1381+AM1381+AP1381+AS1381+AU1381+AX1381+BB1381+BE1381+BG1381+BJ1381+BL1381+BO1381+BR1381+BT1381+BV1381+BX1381+CA1381+CD1381</f>
        <v/>
      </c>
    </row>
    <row r="1382">
      <c r="A1382" s="39" t="n">
        <v>31</v>
      </c>
      <c r="B1382" s="39" t="n">
        <v>16</v>
      </c>
      <c r="C1382" s="39">
        <f>A1382+B1382-1</f>
        <v/>
      </c>
      <c r="D1382" s="39">
        <f>INT((C1382-1)/12)+1</f>
        <v/>
      </c>
      <c r="E1382" s="44">
        <f>INDEX(Monthly!$B$2:$B$61,A1382)</f>
        <v/>
      </c>
      <c r="F1382" s="44">
        <f>E1382*INDEX('Age profile'!$B$2:$B$61,B1382)</f>
        <v/>
      </c>
      <c r="G1382" s="45">
        <f>MIN(in_takeup_cap,INDEX('Age profile'!$N$2:$N$61,B1382)*(1+in_takeup_growth)^(D1382-1))</f>
        <v/>
      </c>
      <c r="H1382" s="11">
        <f>MIN(in_approval_cap,in_approved_first*INDEX('Age profile'!$O$2:$O$61,B1382)*(1+in_approval_growth)^(D1382-1))</f>
        <v/>
      </c>
      <c r="I1382" s="45">
        <f>G1382*MIN(in_takeup_cap,INDEX('Age profile'!$O$2:$O$61,B1382)*(1+in_approval_growth)^(D1382-1))</f>
        <v/>
      </c>
      <c r="J1382" s="40">
        <f>(J1381-L1381)*F1382/F1381</f>
        <v/>
      </c>
      <c r="K1382" s="40">
        <f>(K1381-M1381)*F1382/F1381+SUMIFS(O1367:O1381,B1367:B1381,B1382-1-d_T)*F1382</f>
        <v/>
      </c>
      <c r="L1382" s="40">
        <f>IF(B1382&gt;=in_marketplace_from,J1382*d_hz*G1382*in_eligible*H1382,0)</f>
        <v/>
      </c>
      <c r="M1382" s="40">
        <f>IF(B1382&gt;=in_marketplace_from,K1382*d_hz*G1382*in_eligible*in_approved_repeat,0)</f>
        <v/>
      </c>
      <c r="N1382" s="40">
        <f>L1382+M1382</f>
        <v/>
      </c>
      <c r="O1382" s="46">
        <f>N1382/F1382</f>
        <v/>
      </c>
      <c r="P1382" s="40">
        <f>F1382-J1382-K1382</f>
        <v/>
      </c>
      <c r="Q1382" s="40">
        <f>IF(B1382&gt;=in_marketplace_from,(J1382+K1382)*d_hz*G1382,0)</f>
        <v/>
      </c>
      <c r="R1382" s="40">
        <f>SUMIFS(N1367:N1396,B1367:B1396,"&gt;="&amp;(B1382-d_T),B1367:B1396,"&lt;="&amp;(B1382-1))</f>
        <v/>
      </c>
      <c r="S1382" s="46">
        <f>(1-d_u)*S1381+IF(d_T&gt;in_topup_lag,SUMIFS(O1367:O1396,B1367:B1396,B1382-in_topup_lag)-d_udrop*SUMIFS(O1367:O1396,B1367:B1396,B1382-d_T),0)</f>
        <v/>
      </c>
      <c r="T1382" s="40">
        <f>F1382*d_u*S1382</f>
        <v/>
      </c>
      <c r="U1382" s="9">
        <f>L1382*in_ticket+M1382*d_rep_ticket</f>
        <v/>
      </c>
      <c r="V1382" s="9">
        <f>U1382+T1382*d_topup_amt</f>
        <v/>
      </c>
      <c r="W1382" s="40">
        <f>N1382+T1382*d_topup_ratio</f>
        <v/>
      </c>
      <c r="X1382" s="40">
        <f>SUMIFS(W1367:W1396,B1367:B1396,B1382-in_dpd_lag)*d_cured</f>
        <v/>
      </c>
      <c r="Y1382" s="40">
        <f>SUMIFS(W1367:W1396,B1367:B1396,B1382-in_rec_lag)*d_recd</f>
        <v/>
      </c>
      <c r="Z1382" s="40">
        <f>IF(AND(B1382&gt;=in_marketplace_from,B1382&lt;in_marketplace_from+in_card_months),in_card_share/in_card_months*F1382*I1382,IF(AND(B1382&gt;=in_marketplace_from+in_card_months,B1382&lt;in_marketplace_from+2*in_card_months),in_card_share*d_card_rem/in_card_months*F1382*MIN(in_takeup_cap,(1+in_takeup_growth)^(D1382-1))*MIN(in_takeup_cap,(1+in_approval_growth)^(D1382-1)),0))</f>
        <v/>
      </c>
      <c r="AA1382" s="14">
        <f>V1382*in_fee*(1-in_taken_back)</f>
        <v/>
      </c>
      <c r="AB1382" s="14">
        <f>SUMIFS(W1367:W1396,B1367:B1396,B1382-in_dpd_lag)*d_dpd</f>
        <v/>
      </c>
      <c r="AC1382" s="14">
        <f>SUMIFS(W1367:W1396,B1367:B1396,B1382-in_rec_lag)*d_rec</f>
        <v/>
      </c>
      <c r="AD1382" s="14">
        <f>Z1382*in_card_fee</f>
        <v/>
      </c>
      <c r="AE1382" s="40">
        <f>AE1381*(1-IF(B1381&gt;=in_marketplace_from,d_hz_hlth_small*G1381,0))</f>
        <v/>
      </c>
      <c r="AF1382" s="46">
        <f>AE1382*IF(B1382&gt;=in_marketplace_from,d_hz_hlth_small*G1382,0)</f>
        <v/>
      </c>
      <c r="AG1382" s="14">
        <f>F1382*AF1382*in_hlth_small_ticket*in_hlth_small_comm*in_ins_partner_share+F1382*in_hlth_small_ticket*in_hlth_small_renew_comm*in_ins_partner_share*(in_hlth_small_renew^1*SUMIFS(AF1367:AF1396,B1367:B1396,B1382-12)+in_hlth_small_renew^2*SUMIFS(AF1367:AF1396,B1367:B1396,B1382-24)+in_hlth_small_renew^3*SUMIFS(AF1367:AF1396,B1367:B1396,B1382-36)+in_hlth_small_renew^4*SUMIFS(AF1367:AF1396,B1367:B1396,B1382-48))</f>
        <v/>
      </c>
      <c r="AH1382" s="40">
        <f>AH1381*(1-IF(B1381&gt;=in_marketplace_from,d_hz_hlth_family*G1381,0))</f>
        <v/>
      </c>
      <c r="AI1382" s="46">
        <f>AH1382*IF(B1382&gt;=in_marketplace_from,d_hz_hlth_family*G1382,0)</f>
        <v/>
      </c>
      <c r="AJ1382" s="14">
        <f>F1382*AI1382*in_hlth_family_ticket*in_hlth_family_comm*in_ins_partner_share+F1382*in_hlth_family_ticket*in_hlth_family_renew_comm*in_ins_partner_share*(in_hlth_family_renew^1*SUMIFS(AI1367:AI1396,B1367:B1396,B1382-12)+in_hlth_family_renew^2*SUMIFS(AI1367:AI1396,B1367:B1396,B1382-24)+in_hlth_family_renew^3*SUMIFS(AI1367:AI1396,B1367:B1396,B1382-36)+in_hlth_family_renew^4*SUMIFS(AI1367:AI1396,B1367:B1396,B1382-48))</f>
        <v/>
      </c>
      <c r="AK1382" s="40">
        <f>AK1381*(1-IF(B1381&gt;=in_marketplace_from,d_hz_life_term*G1381,0))</f>
        <v/>
      </c>
      <c r="AL1382" s="46">
        <f>AK1382*IF(B1382&gt;=in_marketplace_from,d_hz_life_term*G1382,0)</f>
        <v/>
      </c>
      <c r="AM1382" s="14">
        <f>F1382*AL1382*in_life_term_ticket*in_life_term_comm*in_ins_partner_share+F1382*in_life_term_ticket*in_life_term_renew_comm*in_ins_partner_share*(in_life_term_renew^1*SUMIFS(AL1367:AL1396,B1367:B1396,B1382-12)+in_life_term_renew^2*SUMIFS(AL1367:AL1396,B1367:B1396,B1382-24)+in_life_term_renew^3*SUMIFS(AL1367:AL1396,B1367:B1396,B1382-36)+in_life_term_renew^4*SUMIFS(AL1367:AL1396,B1367:B1396,B1382-48))</f>
        <v/>
      </c>
      <c r="AN1382" s="40">
        <f>AN1381*(1-IF(B1381&gt;=in_marketplace_from,d_hz_accident*G1381,0))</f>
        <v/>
      </c>
      <c r="AO1382" s="46">
        <f>AN1382*IF(B1382&gt;=in_marketplace_from,d_hz_accident*G1382,0)</f>
        <v/>
      </c>
      <c r="AP1382" s="14">
        <f>F1382*AO1382*in_accident_ticket*in_accident_comm*in_ins_partner_share+F1382*in_accident_ticket*in_accident_renew_comm*in_ins_partner_share*(in_accident_renew^1*SUMIFS(AO1367:AO1396,B1367:B1396,B1382-12)+in_accident_renew^2*SUMIFS(AO1367:AO1396,B1367:B1396,B1382-24)+in_accident_renew^3*SUMIFS(AO1367:AO1396,B1367:B1396,B1382-36)+in_accident_renew^4*SUMIFS(AO1367:AO1396,B1367:B1396,B1382-48))</f>
        <v/>
      </c>
      <c r="AQ1382" s="40">
        <f>AQ1381*(1-IF(B1381&gt;=in_marketplace_from,d_hz_two_wheeler*G1381,0))</f>
        <v/>
      </c>
      <c r="AR1382" s="46">
        <f>AQ1382*IF(B1382&gt;=in_marketplace_from,d_hz_two_wheeler*G1382,0)</f>
        <v/>
      </c>
      <c r="AS1382" s="14">
        <f>F1382*AR1382*in_two_wheeler_ticket*in_two_wheeler_comm*in_ins_partner_share+F1382*in_two_wheeler_ticket*in_two_wheeler_comm*in_ins_partner_share*(in_two_wheeler_renew^1*SUMIFS(AR1367:AR1396,B1367:B1396,B1382-12)+in_two_wheeler_renew^2*SUMIFS(AR1367:AR1396,B1367:B1396,B1382-24)+in_two_wheeler_renew^3*SUMIFS(AR1367:AR1396,B1367:B1396,B1382-36)+in_two_wheeler_renew^4*SUMIFS(AR1367:AR1396,B1367:B1396,B1382-48))</f>
        <v/>
      </c>
      <c r="AT1382" s="40">
        <f>AT1381*(1-IF(B1381&gt;=in_marketplace_from,d_hz_device*G1381,0))</f>
        <v/>
      </c>
      <c r="AU1382" s="14">
        <f>F1382*AT1382*IF(B1382&gt;=in_marketplace_from,d_hz_device*G1382,0)*in_device_ticket*in_device_comm*in_ins_partner_share</f>
        <v/>
      </c>
      <c r="AV1382" s="40">
        <f>AV1381*(1-IF(B1381&gt;=in_marketplace_from,d_hz_shop*G1381,0))</f>
        <v/>
      </c>
      <c r="AW1382" s="46">
        <f>AV1382*IF(B1382&gt;=in_marketplace_from,d_hz_shop*G1382,0)</f>
        <v/>
      </c>
      <c r="AX1382" s="14">
        <f>F1382*AW1382*in_shop_ticket*in_shop_comm*in_ins_partner_share+F1382*in_shop_ticket*in_shop_renew_comm*in_ins_partner_share*(in_shop_renew^1*SUMIFS(AW1367:AW1396,B1367:B1396,B1382-12)+in_shop_renew^2*SUMIFS(AW1367:AW1396,B1367:B1396,B1382-24)+in_shop_renew^3*SUMIFS(AW1367:AW1396,B1367:B1396,B1382-36)+in_shop_renew^4*SUMIFS(AW1367:AW1396,B1367:B1396,B1382-48))</f>
        <v/>
      </c>
      <c r="AY1382" s="40">
        <f>AY1381*(1-IF(B1381&gt;=in_marketplace_from,d_hz_sip*G1381,0))</f>
        <v/>
      </c>
      <c r="AZ1382" s="40">
        <f>AZ1381*d_rho_sip+AY1382*IF(B1382&gt;=in_marketplace_from,d_hz_sip*G1382,0)</f>
        <v/>
      </c>
      <c r="BA1382" s="40">
        <f>d_rho_sip*(BA1381+AZ1381)</f>
        <v/>
      </c>
      <c r="BB1382" s="14">
        <f>F1382*in_sip_ticket*(BA1382+0.5*AZ1382)*in_sip_comm/12</f>
        <v/>
      </c>
      <c r="BC1382" s="40">
        <f>BC1381*(1-IF(B1381&gt;=in_marketplace_from,d_hz_choti*G1381,0))</f>
        <v/>
      </c>
      <c r="BD1382" s="46">
        <f>BC1382*IF(B1382&gt;=in_marketplace_from,d_hz_choti*G1382,0)</f>
        <v/>
      </c>
      <c r="BE1382" s="14">
        <f>F1382*SUMIFS(BD1367:BD1396,B1367:B1396,B1382-in_choti_months)*in_choti_renew*in_choti_ticket</f>
        <v/>
      </c>
      <c r="BF1382" s="40">
        <f>BF1381*(1-IF(B1381&gt;=in_marketplace_from,d_hz_nps*G1381,0))</f>
        <v/>
      </c>
      <c r="BG1382" s="14">
        <f>F1382*BF1382*IF(B1382&gt;=in_marketplace_from,d_hz_nps*G1382,0)*in_nps_ticket*in_nps_comm</f>
        <v/>
      </c>
      <c r="BH1382" s="40">
        <f>BH1381*(1-IF(B1381&gt;=in_marketplace_from,d_hz_gold*G1381,0))</f>
        <v/>
      </c>
      <c r="BI1382" s="40">
        <f>BI1381*d_rho_gold+BH1382*IF(B1382&gt;=in_marketplace_from,d_hz_gold*G1382,0)</f>
        <v/>
      </c>
      <c r="BJ1382" s="14">
        <f>F1382*BI1382*in_gold_ticket*in_gold_comm</f>
        <v/>
      </c>
      <c r="BK1382" s="40">
        <f>BK1381*(1-IF(B1381&gt;=in_marketplace_from,d_hz_fd*G1381,0))</f>
        <v/>
      </c>
      <c r="BL1382" s="14">
        <f>F1382*BK1382*IF(B1382&gt;=in_marketplace_from,d_hz_fd*G1382,0)*in_fd_ticket*in_fd_comm</f>
        <v/>
      </c>
      <c r="BM1382" s="40">
        <f>BM1381*(1-IF(B1381&gt;=in_marketplace_from,d_hz_recharge*G1381,0))</f>
        <v/>
      </c>
      <c r="BN1382" s="40">
        <f>BN1381*d_rho_recharge+BM1382*IF(B1382&gt;=in_marketplace_from,d_hz_recharge*G1382,0)</f>
        <v/>
      </c>
      <c r="BO1382" s="14">
        <f>F1382*BN1382*in_recharge_ticket*in_recharge_comm/12</f>
        <v/>
      </c>
      <c r="BP1382" s="40">
        <f>BP1381*(1-IF(B1381&gt;=in_marketplace_from,d_hz_bills*G1381,0))</f>
        <v/>
      </c>
      <c r="BQ1382" s="40">
        <f>BQ1381*d_rho_bills+BP1382*IF(B1382&gt;=in_marketplace_from,d_hz_bills*G1382,0)</f>
        <v/>
      </c>
      <c r="BR1382" s="14">
        <f>F1382*BQ1382*in_bills_ticket*in_bills_comm/12</f>
        <v/>
      </c>
      <c r="BS1382" s="40">
        <f>BS1381*(1-IF(B1381&gt;=in_marketplace_from,d_hz_loan_gold*G1381,0))</f>
        <v/>
      </c>
      <c r="BT1382" s="14">
        <f>F1382*BS1382*IF(B1382&gt;=in_marketplace_from,d_hz_loan_gold*G1382,0)*in_loan_gold_ticket*in_loan_gold_comm</f>
        <v/>
      </c>
      <c r="BU1382" s="40">
        <f>BU1381*(1-IF(B1381&gt;=in_marketplace_from,d_hz_loan_cd*G1381,0))</f>
        <v/>
      </c>
      <c r="BV1382" s="14">
        <f>F1382*BU1382*IF(B1382&gt;=in_marketplace_from,d_hz_loan_cd*G1382,0)*in_loan_cd_ticket*in_loan_cd_comm</f>
        <v/>
      </c>
      <c r="BW1382" s="40">
        <f>BW1381*(1-IF(B1381&gt;=in_marketplace_from,d_hz_loan_vehicle*G1381,0))</f>
        <v/>
      </c>
      <c r="BX1382" s="14">
        <f>F1382*BW1382*IF(B1382&gt;=in_marketplace_from,d_hz_loan_vehicle*G1382,0)*in_loan_vehicle_ticket*in_loan_vehicle_comm</f>
        <v/>
      </c>
      <c r="BY1382" s="40">
        <f>BY1381*(1-IF(B1381&gt;=in_marketplace_from,d_hz_loan_home*G1381,0)*BZ1381)</f>
        <v/>
      </c>
      <c r="BZ1382" s="11">
        <f>MIN(in_approval_cap,in_loan_home_approval*INDEX('Age profile'!$O$2:$O$61,B1382)*(1+in_approval_growth)^(D1382-1))</f>
        <v/>
      </c>
      <c r="CA1382" s="14">
        <f>F1382*BY1382*IF(B1382&gt;=in_marketplace_from,d_hz_loan_home*G1382,0)*BZ1382*in_loan_home_ticket*in_loan_home_comm</f>
        <v/>
      </c>
      <c r="CB1382" s="40">
        <f>CB1381*(1-IF(B1381&gt;=in_marketplace_from,d_hz_loan_lap*G1381,0)*CC1381)</f>
        <v/>
      </c>
      <c r="CC1382" s="11">
        <f>MIN(in_approval_cap,in_loan_lap_approval*INDEX('Age profile'!$O$2:$O$61,B1382)*(1+in_approval_growth)^(D1382-1))</f>
        <v/>
      </c>
      <c r="CD1382" s="14">
        <f>F1382*CB1382*IF(B1382&gt;=in_marketplace_from,d_hz_loan_lap*G1382,0)*CC1382*in_loan_lap_ticket*in_loan_lap_comm</f>
        <v/>
      </c>
      <c r="CE1382" s="14">
        <f>AA1382+AB1382+AC1382+AD1382+AG1382+AJ1382+AM1382+AP1382+AS1382+AU1382+AX1382+BB1382+BE1382+BG1382+BJ1382+BL1382+BO1382+BR1382+BT1382+BV1382+BX1382+CA1382+CD1382</f>
        <v/>
      </c>
    </row>
    <row r="1383">
      <c r="A1383" s="39" t="n">
        <v>31</v>
      </c>
      <c r="B1383" s="39" t="n">
        <v>17</v>
      </c>
      <c r="C1383" s="39">
        <f>A1383+B1383-1</f>
        <v/>
      </c>
      <c r="D1383" s="39">
        <f>INT((C1383-1)/12)+1</f>
        <v/>
      </c>
      <c r="E1383" s="44">
        <f>INDEX(Monthly!$B$2:$B$61,A1383)</f>
        <v/>
      </c>
      <c r="F1383" s="44">
        <f>E1383*INDEX('Age profile'!$B$2:$B$61,B1383)</f>
        <v/>
      </c>
      <c r="G1383" s="45">
        <f>MIN(in_takeup_cap,INDEX('Age profile'!$N$2:$N$61,B1383)*(1+in_takeup_growth)^(D1383-1))</f>
        <v/>
      </c>
      <c r="H1383" s="11">
        <f>MIN(in_approval_cap,in_approved_first*INDEX('Age profile'!$O$2:$O$61,B1383)*(1+in_approval_growth)^(D1383-1))</f>
        <v/>
      </c>
      <c r="I1383" s="45">
        <f>G1383*MIN(in_takeup_cap,INDEX('Age profile'!$O$2:$O$61,B1383)*(1+in_approval_growth)^(D1383-1))</f>
        <v/>
      </c>
      <c r="J1383" s="40">
        <f>(J1382-L1382)*F1383/F1382</f>
        <v/>
      </c>
      <c r="K1383" s="40">
        <f>(K1382-M1382)*F1383/F1382+SUMIFS(O1367:O1382,B1367:B1382,B1383-1-d_T)*F1383</f>
        <v/>
      </c>
      <c r="L1383" s="40">
        <f>IF(B1383&gt;=in_marketplace_from,J1383*d_hz*G1383*in_eligible*H1383,0)</f>
        <v/>
      </c>
      <c r="M1383" s="40">
        <f>IF(B1383&gt;=in_marketplace_from,K1383*d_hz*G1383*in_eligible*in_approved_repeat,0)</f>
        <v/>
      </c>
      <c r="N1383" s="40">
        <f>L1383+M1383</f>
        <v/>
      </c>
      <c r="O1383" s="46">
        <f>N1383/F1383</f>
        <v/>
      </c>
      <c r="P1383" s="40">
        <f>F1383-J1383-K1383</f>
        <v/>
      </c>
      <c r="Q1383" s="40">
        <f>IF(B1383&gt;=in_marketplace_from,(J1383+K1383)*d_hz*G1383,0)</f>
        <v/>
      </c>
      <c r="R1383" s="40">
        <f>SUMIFS(N1367:N1396,B1367:B1396,"&gt;="&amp;(B1383-d_T),B1367:B1396,"&lt;="&amp;(B1383-1))</f>
        <v/>
      </c>
      <c r="S1383" s="46">
        <f>(1-d_u)*S1382+IF(d_T&gt;in_topup_lag,SUMIFS(O1367:O1396,B1367:B1396,B1383-in_topup_lag)-d_udrop*SUMIFS(O1367:O1396,B1367:B1396,B1383-d_T),0)</f>
        <v/>
      </c>
      <c r="T1383" s="40">
        <f>F1383*d_u*S1383</f>
        <v/>
      </c>
      <c r="U1383" s="9">
        <f>L1383*in_ticket+M1383*d_rep_ticket</f>
        <v/>
      </c>
      <c r="V1383" s="9">
        <f>U1383+T1383*d_topup_amt</f>
        <v/>
      </c>
      <c r="W1383" s="40">
        <f>N1383+T1383*d_topup_ratio</f>
        <v/>
      </c>
      <c r="X1383" s="40">
        <f>SUMIFS(W1367:W1396,B1367:B1396,B1383-in_dpd_lag)*d_cured</f>
        <v/>
      </c>
      <c r="Y1383" s="40">
        <f>SUMIFS(W1367:W1396,B1367:B1396,B1383-in_rec_lag)*d_recd</f>
        <v/>
      </c>
      <c r="Z1383" s="40">
        <f>IF(AND(B1383&gt;=in_marketplace_from,B1383&lt;in_marketplace_from+in_card_months),in_card_share/in_card_months*F1383*I1383,IF(AND(B1383&gt;=in_marketplace_from+in_card_months,B1383&lt;in_marketplace_from+2*in_card_months),in_card_share*d_card_rem/in_card_months*F1383*MIN(in_takeup_cap,(1+in_takeup_growth)^(D1383-1))*MIN(in_takeup_cap,(1+in_approval_growth)^(D1383-1)),0))</f>
        <v/>
      </c>
      <c r="AA1383" s="14">
        <f>V1383*in_fee*(1-in_taken_back)</f>
        <v/>
      </c>
      <c r="AB1383" s="14">
        <f>SUMIFS(W1367:W1396,B1367:B1396,B1383-in_dpd_lag)*d_dpd</f>
        <v/>
      </c>
      <c r="AC1383" s="14">
        <f>SUMIFS(W1367:W1396,B1367:B1396,B1383-in_rec_lag)*d_rec</f>
        <v/>
      </c>
      <c r="AD1383" s="14">
        <f>Z1383*in_card_fee</f>
        <v/>
      </c>
      <c r="AE1383" s="40">
        <f>AE1382*(1-IF(B1382&gt;=in_marketplace_from,d_hz_hlth_small*G1382,0))</f>
        <v/>
      </c>
      <c r="AF1383" s="46">
        <f>AE1383*IF(B1383&gt;=in_marketplace_from,d_hz_hlth_small*G1383,0)</f>
        <v/>
      </c>
      <c r="AG1383" s="14">
        <f>F1383*AF1383*in_hlth_small_ticket*in_hlth_small_comm*in_ins_partner_share+F1383*in_hlth_small_ticket*in_hlth_small_renew_comm*in_ins_partner_share*(in_hlth_small_renew^1*SUMIFS(AF1367:AF1396,B1367:B1396,B1383-12)+in_hlth_small_renew^2*SUMIFS(AF1367:AF1396,B1367:B1396,B1383-24)+in_hlth_small_renew^3*SUMIFS(AF1367:AF1396,B1367:B1396,B1383-36)+in_hlth_small_renew^4*SUMIFS(AF1367:AF1396,B1367:B1396,B1383-48))</f>
        <v/>
      </c>
      <c r="AH1383" s="40">
        <f>AH1382*(1-IF(B1382&gt;=in_marketplace_from,d_hz_hlth_family*G1382,0))</f>
        <v/>
      </c>
      <c r="AI1383" s="46">
        <f>AH1383*IF(B1383&gt;=in_marketplace_from,d_hz_hlth_family*G1383,0)</f>
        <v/>
      </c>
      <c r="AJ1383" s="14">
        <f>F1383*AI1383*in_hlth_family_ticket*in_hlth_family_comm*in_ins_partner_share+F1383*in_hlth_family_ticket*in_hlth_family_renew_comm*in_ins_partner_share*(in_hlth_family_renew^1*SUMIFS(AI1367:AI1396,B1367:B1396,B1383-12)+in_hlth_family_renew^2*SUMIFS(AI1367:AI1396,B1367:B1396,B1383-24)+in_hlth_family_renew^3*SUMIFS(AI1367:AI1396,B1367:B1396,B1383-36)+in_hlth_family_renew^4*SUMIFS(AI1367:AI1396,B1367:B1396,B1383-48))</f>
        <v/>
      </c>
      <c r="AK1383" s="40">
        <f>AK1382*(1-IF(B1382&gt;=in_marketplace_from,d_hz_life_term*G1382,0))</f>
        <v/>
      </c>
      <c r="AL1383" s="46">
        <f>AK1383*IF(B1383&gt;=in_marketplace_from,d_hz_life_term*G1383,0)</f>
        <v/>
      </c>
      <c r="AM1383" s="14">
        <f>F1383*AL1383*in_life_term_ticket*in_life_term_comm*in_ins_partner_share+F1383*in_life_term_ticket*in_life_term_renew_comm*in_ins_partner_share*(in_life_term_renew^1*SUMIFS(AL1367:AL1396,B1367:B1396,B1383-12)+in_life_term_renew^2*SUMIFS(AL1367:AL1396,B1367:B1396,B1383-24)+in_life_term_renew^3*SUMIFS(AL1367:AL1396,B1367:B1396,B1383-36)+in_life_term_renew^4*SUMIFS(AL1367:AL1396,B1367:B1396,B1383-48))</f>
        <v/>
      </c>
      <c r="AN1383" s="40">
        <f>AN1382*(1-IF(B1382&gt;=in_marketplace_from,d_hz_accident*G1382,0))</f>
        <v/>
      </c>
      <c r="AO1383" s="46">
        <f>AN1383*IF(B1383&gt;=in_marketplace_from,d_hz_accident*G1383,0)</f>
        <v/>
      </c>
      <c r="AP1383" s="14">
        <f>F1383*AO1383*in_accident_ticket*in_accident_comm*in_ins_partner_share+F1383*in_accident_ticket*in_accident_renew_comm*in_ins_partner_share*(in_accident_renew^1*SUMIFS(AO1367:AO1396,B1367:B1396,B1383-12)+in_accident_renew^2*SUMIFS(AO1367:AO1396,B1367:B1396,B1383-24)+in_accident_renew^3*SUMIFS(AO1367:AO1396,B1367:B1396,B1383-36)+in_accident_renew^4*SUMIFS(AO1367:AO1396,B1367:B1396,B1383-48))</f>
        <v/>
      </c>
      <c r="AQ1383" s="40">
        <f>AQ1382*(1-IF(B1382&gt;=in_marketplace_from,d_hz_two_wheeler*G1382,0))</f>
        <v/>
      </c>
      <c r="AR1383" s="46">
        <f>AQ1383*IF(B1383&gt;=in_marketplace_from,d_hz_two_wheeler*G1383,0)</f>
        <v/>
      </c>
      <c r="AS1383" s="14">
        <f>F1383*AR1383*in_two_wheeler_ticket*in_two_wheeler_comm*in_ins_partner_share+F1383*in_two_wheeler_ticket*in_two_wheeler_comm*in_ins_partner_share*(in_two_wheeler_renew^1*SUMIFS(AR1367:AR1396,B1367:B1396,B1383-12)+in_two_wheeler_renew^2*SUMIFS(AR1367:AR1396,B1367:B1396,B1383-24)+in_two_wheeler_renew^3*SUMIFS(AR1367:AR1396,B1367:B1396,B1383-36)+in_two_wheeler_renew^4*SUMIFS(AR1367:AR1396,B1367:B1396,B1383-48))</f>
        <v/>
      </c>
      <c r="AT1383" s="40">
        <f>AT1382*(1-IF(B1382&gt;=in_marketplace_from,d_hz_device*G1382,0))</f>
        <v/>
      </c>
      <c r="AU1383" s="14">
        <f>F1383*AT1383*IF(B1383&gt;=in_marketplace_from,d_hz_device*G1383,0)*in_device_ticket*in_device_comm*in_ins_partner_share</f>
        <v/>
      </c>
      <c r="AV1383" s="40">
        <f>AV1382*(1-IF(B1382&gt;=in_marketplace_from,d_hz_shop*G1382,0))</f>
        <v/>
      </c>
      <c r="AW1383" s="46">
        <f>AV1383*IF(B1383&gt;=in_marketplace_from,d_hz_shop*G1383,0)</f>
        <v/>
      </c>
      <c r="AX1383" s="14">
        <f>F1383*AW1383*in_shop_ticket*in_shop_comm*in_ins_partner_share+F1383*in_shop_ticket*in_shop_renew_comm*in_ins_partner_share*(in_shop_renew^1*SUMIFS(AW1367:AW1396,B1367:B1396,B1383-12)+in_shop_renew^2*SUMIFS(AW1367:AW1396,B1367:B1396,B1383-24)+in_shop_renew^3*SUMIFS(AW1367:AW1396,B1367:B1396,B1383-36)+in_shop_renew^4*SUMIFS(AW1367:AW1396,B1367:B1396,B1383-48))</f>
        <v/>
      </c>
      <c r="AY1383" s="40">
        <f>AY1382*(1-IF(B1382&gt;=in_marketplace_from,d_hz_sip*G1382,0))</f>
        <v/>
      </c>
      <c r="AZ1383" s="40">
        <f>AZ1382*d_rho_sip+AY1383*IF(B1383&gt;=in_marketplace_from,d_hz_sip*G1383,0)</f>
        <v/>
      </c>
      <c r="BA1383" s="40">
        <f>d_rho_sip*(BA1382+AZ1382)</f>
        <v/>
      </c>
      <c r="BB1383" s="14">
        <f>F1383*in_sip_ticket*(BA1383+0.5*AZ1383)*in_sip_comm/12</f>
        <v/>
      </c>
      <c r="BC1383" s="40">
        <f>BC1382*(1-IF(B1382&gt;=in_marketplace_from,d_hz_choti*G1382,0))</f>
        <v/>
      </c>
      <c r="BD1383" s="46">
        <f>BC1383*IF(B1383&gt;=in_marketplace_from,d_hz_choti*G1383,0)</f>
        <v/>
      </c>
      <c r="BE1383" s="14">
        <f>F1383*SUMIFS(BD1367:BD1396,B1367:B1396,B1383-in_choti_months)*in_choti_renew*in_choti_ticket</f>
        <v/>
      </c>
      <c r="BF1383" s="40">
        <f>BF1382*(1-IF(B1382&gt;=in_marketplace_from,d_hz_nps*G1382,0))</f>
        <v/>
      </c>
      <c r="BG1383" s="14">
        <f>F1383*BF1383*IF(B1383&gt;=in_marketplace_from,d_hz_nps*G1383,0)*in_nps_ticket*in_nps_comm</f>
        <v/>
      </c>
      <c r="BH1383" s="40">
        <f>BH1382*(1-IF(B1382&gt;=in_marketplace_from,d_hz_gold*G1382,0))</f>
        <v/>
      </c>
      <c r="BI1383" s="40">
        <f>BI1382*d_rho_gold+BH1383*IF(B1383&gt;=in_marketplace_from,d_hz_gold*G1383,0)</f>
        <v/>
      </c>
      <c r="BJ1383" s="14">
        <f>F1383*BI1383*in_gold_ticket*in_gold_comm</f>
        <v/>
      </c>
      <c r="BK1383" s="40">
        <f>BK1382*(1-IF(B1382&gt;=in_marketplace_from,d_hz_fd*G1382,0))</f>
        <v/>
      </c>
      <c r="BL1383" s="14">
        <f>F1383*BK1383*IF(B1383&gt;=in_marketplace_from,d_hz_fd*G1383,0)*in_fd_ticket*in_fd_comm</f>
        <v/>
      </c>
      <c r="BM1383" s="40">
        <f>BM1382*(1-IF(B1382&gt;=in_marketplace_from,d_hz_recharge*G1382,0))</f>
        <v/>
      </c>
      <c r="BN1383" s="40">
        <f>BN1382*d_rho_recharge+BM1383*IF(B1383&gt;=in_marketplace_from,d_hz_recharge*G1383,0)</f>
        <v/>
      </c>
      <c r="BO1383" s="14">
        <f>F1383*BN1383*in_recharge_ticket*in_recharge_comm/12</f>
        <v/>
      </c>
      <c r="BP1383" s="40">
        <f>BP1382*(1-IF(B1382&gt;=in_marketplace_from,d_hz_bills*G1382,0))</f>
        <v/>
      </c>
      <c r="BQ1383" s="40">
        <f>BQ1382*d_rho_bills+BP1383*IF(B1383&gt;=in_marketplace_from,d_hz_bills*G1383,0)</f>
        <v/>
      </c>
      <c r="BR1383" s="14">
        <f>F1383*BQ1383*in_bills_ticket*in_bills_comm/12</f>
        <v/>
      </c>
      <c r="BS1383" s="40">
        <f>BS1382*(1-IF(B1382&gt;=in_marketplace_from,d_hz_loan_gold*G1382,0))</f>
        <v/>
      </c>
      <c r="BT1383" s="14">
        <f>F1383*BS1383*IF(B1383&gt;=in_marketplace_from,d_hz_loan_gold*G1383,0)*in_loan_gold_ticket*in_loan_gold_comm</f>
        <v/>
      </c>
      <c r="BU1383" s="40">
        <f>BU1382*(1-IF(B1382&gt;=in_marketplace_from,d_hz_loan_cd*G1382,0))</f>
        <v/>
      </c>
      <c r="BV1383" s="14">
        <f>F1383*BU1383*IF(B1383&gt;=in_marketplace_from,d_hz_loan_cd*G1383,0)*in_loan_cd_ticket*in_loan_cd_comm</f>
        <v/>
      </c>
      <c r="BW1383" s="40">
        <f>BW1382*(1-IF(B1382&gt;=in_marketplace_from,d_hz_loan_vehicle*G1382,0))</f>
        <v/>
      </c>
      <c r="BX1383" s="14">
        <f>F1383*BW1383*IF(B1383&gt;=in_marketplace_from,d_hz_loan_vehicle*G1383,0)*in_loan_vehicle_ticket*in_loan_vehicle_comm</f>
        <v/>
      </c>
      <c r="BY1383" s="40">
        <f>BY1382*(1-IF(B1382&gt;=in_marketplace_from,d_hz_loan_home*G1382,0)*BZ1382)</f>
        <v/>
      </c>
      <c r="BZ1383" s="11">
        <f>MIN(in_approval_cap,in_loan_home_approval*INDEX('Age profile'!$O$2:$O$61,B1383)*(1+in_approval_growth)^(D1383-1))</f>
        <v/>
      </c>
      <c r="CA1383" s="14">
        <f>F1383*BY1383*IF(B1383&gt;=in_marketplace_from,d_hz_loan_home*G1383,0)*BZ1383*in_loan_home_ticket*in_loan_home_comm</f>
        <v/>
      </c>
      <c r="CB1383" s="40">
        <f>CB1382*(1-IF(B1382&gt;=in_marketplace_from,d_hz_loan_lap*G1382,0)*CC1382)</f>
        <v/>
      </c>
      <c r="CC1383" s="11">
        <f>MIN(in_approval_cap,in_loan_lap_approval*INDEX('Age profile'!$O$2:$O$61,B1383)*(1+in_approval_growth)^(D1383-1))</f>
        <v/>
      </c>
      <c r="CD1383" s="14">
        <f>F1383*CB1383*IF(B1383&gt;=in_marketplace_from,d_hz_loan_lap*G1383,0)*CC1383*in_loan_lap_ticket*in_loan_lap_comm</f>
        <v/>
      </c>
      <c r="CE1383" s="14">
        <f>AA1383+AB1383+AC1383+AD1383+AG1383+AJ1383+AM1383+AP1383+AS1383+AU1383+AX1383+BB1383+BE1383+BG1383+BJ1383+BL1383+BO1383+BR1383+BT1383+BV1383+BX1383+CA1383+CD1383</f>
        <v/>
      </c>
    </row>
    <row r="1384">
      <c r="A1384" s="39" t="n">
        <v>31</v>
      </c>
      <c r="B1384" s="39" t="n">
        <v>18</v>
      </c>
      <c r="C1384" s="39">
        <f>A1384+B1384-1</f>
        <v/>
      </c>
      <c r="D1384" s="39">
        <f>INT((C1384-1)/12)+1</f>
        <v/>
      </c>
      <c r="E1384" s="44">
        <f>INDEX(Monthly!$B$2:$B$61,A1384)</f>
        <v/>
      </c>
      <c r="F1384" s="44">
        <f>E1384*INDEX('Age profile'!$B$2:$B$61,B1384)</f>
        <v/>
      </c>
      <c r="G1384" s="45">
        <f>MIN(in_takeup_cap,INDEX('Age profile'!$N$2:$N$61,B1384)*(1+in_takeup_growth)^(D1384-1))</f>
        <v/>
      </c>
      <c r="H1384" s="11">
        <f>MIN(in_approval_cap,in_approved_first*INDEX('Age profile'!$O$2:$O$61,B1384)*(1+in_approval_growth)^(D1384-1))</f>
        <v/>
      </c>
      <c r="I1384" s="45">
        <f>G1384*MIN(in_takeup_cap,INDEX('Age profile'!$O$2:$O$61,B1384)*(1+in_approval_growth)^(D1384-1))</f>
        <v/>
      </c>
      <c r="J1384" s="40">
        <f>(J1383-L1383)*F1384/F1383</f>
        <v/>
      </c>
      <c r="K1384" s="40">
        <f>(K1383-M1383)*F1384/F1383+SUMIFS(O1367:O1383,B1367:B1383,B1384-1-d_T)*F1384</f>
        <v/>
      </c>
      <c r="L1384" s="40">
        <f>IF(B1384&gt;=in_marketplace_from,J1384*d_hz*G1384*in_eligible*H1384,0)</f>
        <v/>
      </c>
      <c r="M1384" s="40">
        <f>IF(B1384&gt;=in_marketplace_from,K1384*d_hz*G1384*in_eligible*in_approved_repeat,0)</f>
        <v/>
      </c>
      <c r="N1384" s="40">
        <f>L1384+M1384</f>
        <v/>
      </c>
      <c r="O1384" s="46">
        <f>N1384/F1384</f>
        <v/>
      </c>
      <c r="P1384" s="40">
        <f>F1384-J1384-K1384</f>
        <v/>
      </c>
      <c r="Q1384" s="40">
        <f>IF(B1384&gt;=in_marketplace_from,(J1384+K1384)*d_hz*G1384,0)</f>
        <v/>
      </c>
      <c r="R1384" s="40">
        <f>SUMIFS(N1367:N1396,B1367:B1396,"&gt;="&amp;(B1384-d_T),B1367:B1396,"&lt;="&amp;(B1384-1))</f>
        <v/>
      </c>
      <c r="S1384" s="46">
        <f>(1-d_u)*S1383+IF(d_T&gt;in_topup_lag,SUMIFS(O1367:O1396,B1367:B1396,B1384-in_topup_lag)-d_udrop*SUMIFS(O1367:O1396,B1367:B1396,B1384-d_T),0)</f>
        <v/>
      </c>
      <c r="T1384" s="40">
        <f>F1384*d_u*S1384</f>
        <v/>
      </c>
      <c r="U1384" s="9">
        <f>L1384*in_ticket+M1384*d_rep_ticket</f>
        <v/>
      </c>
      <c r="V1384" s="9">
        <f>U1384+T1384*d_topup_amt</f>
        <v/>
      </c>
      <c r="W1384" s="40">
        <f>N1384+T1384*d_topup_ratio</f>
        <v/>
      </c>
      <c r="X1384" s="40">
        <f>SUMIFS(W1367:W1396,B1367:B1396,B1384-in_dpd_lag)*d_cured</f>
        <v/>
      </c>
      <c r="Y1384" s="40">
        <f>SUMIFS(W1367:W1396,B1367:B1396,B1384-in_rec_lag)*d_recd</f>
        <v/>
      </c>
      <c r="Z1384" s="40">
        <f>IF(AND(B1384&gt;=in_marketplace_from,B1384&lt;in_marketplace_from+in_card_months),in_card_share/in_card_months*F1384*I1384,IF(AND(B1384&gt;=in_marketplace_from+in_card_months,B1384&lt;in_marketplace_from+2*in_card_months),in_card_share*d_card_rem/in_card_months*F1384*MIN(in_takeup_cap,(1+in_takeup_growth)^(D1384-1))*MIN(in_takeup_cap,(1+in_approval_growth)^(D1384-1)),0))</f>
        <v/>
      </c>
      <c r="AA1384" s="14">
        <f>V1384*in_fee*(1-in_taken_back)</f>
        <v/>
      </c>
      <c r="AB1384" s="14">
        <f>SUMIFS(W1367:W1396,B1367:B1396,B1384-in_dpd_lag)*d_dpd</f>
        <v/>
      </c>
      <c r="AC1384" s="14">
        <f>SUMIFS(W1367:W1396,B1367:B1396,B1384-in_rec_lag)*d_rec</f>
        <v/>
      </c>
      <c r="AD1384" s="14">
        <f>Z1384*in_card_fee</f>
        <v/>
      </c>
      <c r="AE1384" s="40">
        <f>AE1383*(1-IF(B1383&gt;=in_marketplace_from,d_hz_hlth_small*G1383,0))</f>
        <v/>
      </c>
      <c r="AF1384" s="46">
        <f>AE1384*IF(B1384&gt;=in_marketplace_from,d_hz_hlth_small*G1384,0)</f>
        <v/>
      </c>
      <c r="AG1384" s="14">
        <f>F1384*AF1384*in_hlth_small_ticket*in_hlth_small_comm*in_ins_partner_share+F1384*in_hlth_small_ticket*in_hlth_small_renew_comm*in_ins_partner_share*(in_hlth_small_renew^1*SUMIFS(AF1367:AF1396,B1367:B1396,B1384-12)+in_hlth_small_renew^2*SUMIFS(AF1367:AF1396,B1367:B1396,B1384-24)+in_hlth_small_renew^3*SUMIFS(AF1367:AF1396,B1367:B1396,B1384-36)+in_hlth_small_renew^4*SUMIFS(AF1367:AF1396,B1367:B1396,B1384-48))</f>
        <v/>
      </c>
      <c r="AH1384" s="40">
        <f>AH1383*(1-IF(B1383&gt;=in_marketplace_from,d_hz_hlth_family*G1383,0))</f>
        <v/>
      </c>
      <c r="AI1384" s="46">
        <f>AH1384*IF(B1384&gt;=in_marketplace_from,d_hz_hlth_family*G1384,0)</f>
        <v/>
      </c>
      <c r="AJ1384" s="14">
        <f>F1384*AI1384*in_hlth_family_ticket*in_hlth_family_comm*in_ins_partner_share+F1384*in_hlth_family_ticket*in_hlth_family_renew_comm*in_ins_partner_share*(in_hlth_family_renew^1*SUMIFS(AI1367:AI1396,B1367:B1396,B1384-12)+in_hlth_family_renew^2*SUMIFS(AI1367:AI1396,B1367:B1396,B1384-24)+in_hlth_family_renew^3*SUMIFS(AI1367:AI1396,B1367:B1396,B1384-36)+in_hlth_family_renew^4*SUMIFS(AI1367:AI1396,B1367:B1396,B1384-48))</f>
        <v/>
      </c>
      <c r="AK1384" s="40">
        <f>AK1383*(1-IF(B1383&gt;=in_marketplace_from,d_hz_life_term*G1383,0))</f>
        <v/>
      </c>
      <c r="AL1384" s="46">
        <f>AK1384*IF(B1384&gt;=in_marketplace_from,d_hz_life_term*G1384,0)</f>
        <v/>
      </c>
      <c r="AM1384" s="14">
        <f>F1384*AL1384*in_life_term_ticket*in_life_term_comm*in_ins_partner_share+F1384*in_life_term_ticket*in_life_term_renew_comm*in_ins_partner_share*(in_life_term_renew^1*SUMIFS(AL1367:AL1396,B1367:B1396,B1384-12)+in_life_term_renew^2*SUMIFS(AL1367:AL1396,B1367:B1396,B1384-24)+in_life_term_renew^3*SUMIFS(AL1367:AL1396,B1367:B1396,B1384-36)+in_life_term_renew^4*SUMIFS(AL1367:AL1396,B1367:B1396,B1384-48))</f>
        <v/>
      </c>
      <c r="AN1384" s="40">
        <f>AN1383*(1-IF(B1383&gt;=in_marketplace_from,d_hz_accident*G1383,0))</f>
        <v/>
      </c>
      <c r="AO1384" s="46">
        <f>AN1384*IF(B1384&gt;=in_marketplace_from,d_hz_accident*G1384,0)</f>
        <v/>
      </c>
      <c r="AP1384" s="14">
        <f>F1384*AO1384*in_accident_ticket*in_accident_comm*in_ins_partner_share+F1384*in_accident_ticket*in_accident_renew_comm*in_ins_partner_share*(in_accident_renew^1*SUMIFS(AO1367:AO1396,B1367:B1396,B1384-12)+in_accident_renew^2*SUMIFS(AO1367:AO1396,B1367:B1396,B1384-24)+in_accident_renew^3*SUMIFS(AO1367:AO1396,B1367:B1396,B1384-36)+in_accident_renew^4*SUMIFS(AO1367:AO1396,B1367:B1396,B1384-48))</f>
        <v/>
      </c>
      <c r="AQ1384" s="40">
        <f>AQ1383*(1-IF(B1383&gt;=in_marketplace_from,d_hz_two_wheeler*G1383,0))</f>
        <v/>
      </c>
      <c r="AR1384" s="46">
        <f>AQ1384*IF(B1384&gt;=in_marketplace_from,d_hz_two_wheeler*G1384,0)</f>
        <v/>
      </c>
      <c r="AS1384" s="14">
        <f>F1384*AR1384*in_two_wheeler_ticket*in_two_wheeler_comm*in_ins_partner_share+F1384*in_two_wheeler_ticket*in_two_wheeler_comm*in_ins_partner_share*(in_two_wheeler_renew^1*SUMIFS(AR1367:AR1396,B1367:B1396,B1384-12)+in_two_wheeler_renew^2*SUMIFS(AR1367:AR1396,B1367:B1396,B1384-24)+in_two_wheeler_renew^3*SUMIFS(AR1367:AR1396,B1367:B1396,B1384-36)+in_two_wheeler_renew^4*SUMIFS(AR1367:AR1396,B1367:B1396,B1384-48))</f>
        <v/>
      </c>
      <c r="AT1384" s="40">
        <f>AT1383*(1-IF(B1383&gt;=in_marketplace_from,d_hz_device*G1383,0))</f>
        <v/>
      </c>
      <c r="AU1384" s="14">
        <f>F1384*AT1384*IF(B1384&gt;=in_marketplace_from,d_hz_device*G1384,0)*in_device_ticket*in_device_comm*in_ins_partner_share</f>
        <v/>
      </c>
      <c r="AV1384" s="40">
        <f>AV1383*(1-IF(B1383&gt;=in_marketplace_from,d_hz_shop*G1383,0))</f>
        <v/>
      </c>
      <c r="AW1384" s="46">
        <f>AV1384*IF(B1384&gt;=in_marketplace_from,d_hz_shop*G1384,0)</f>
        <v/>
      </c>
      <c r="AX1384" s="14">
        <f>F1384*AW1384*in_shop_ticket*in_shop_comm*in_ins_partner_share+F1384*in_shop_ticket*in_shop_renew_comm*in_ins_partner_share*(in_shop_renew^1*SUMIFS(AW1367:AW1396,B1367:B1396,B1384-12)+in_shop_renew^2*SUMIFS(AW1367:AW1396,B1367:B1396,B1384-24)+in_shop_renew^3*SUMIFS(AW1367:AW1396,B1367:B1396,B1384-36)+in_shop_renew^4*SUMIFS(AW1367:AW1396,B1367:B1396,B1384-48))</f>
        <v/>
      </c>
      <c r="AY1384" s="40">
        <f>AY1383*(1-IF(B1383&gt;=in_marketplace_from,d_hz_sip*G1383,0))</f>
        <v/>
      </c>
      <c r="AZ1384" s="40">
        <f>AZ1383*d_rho_sip+AY1384*IF(B1384&gt;=in_marketplace_from,d_hz_sip*G1384,0)</f>
        <v/>
      </c>
      <c r="BA1384" s="40">
        <f>d_rho_sip*(BA1383+AZ1383)</f>
        <v/>
      </c>
      <c r="BB1384" s="14">
        <f>F1384*in_sip_ticket*(BA1384+0.5*AZ1384)*in_sip_comm/12</f>
        <v/>
      </c>
      <c r="BC1384" s="40">
        <f>BC1383*(1-IF(B1383&gt;=in_marketplace_from,d_hz_choti*G1383,0))</f>
        <v/>
      </c>
      <c r="BD1384" s="46">
        <f>BC1384*IF(B1384&gt;=in_marketplace_from,d_hz_choti*G1384,0)</f>
        <v/>
      </c>
      <c r="BE1384" s="14">
        <f>F1384*SUMIFS(BD1367:BD1396,B1367:B1396,B1384-in_choti_months)*in_choti_renew*in_choti_ticket</f>
        <v/>
      </c>
      <c r="BF1384" s="40">
        <f>BF1383*(1-IF(B1383&gt;=in_marketplace_from,d_hz_nps*G1383,0))</f>
        <v/>
      </c>
      <c r="BG1384" s="14">
        <f>F1384*BF1384*IF(B1384&gt;=in_marketplace_from,d_hz_nps*G1384,0)*in_nps_ticket*in_nps_comm</f>
        <v/>
      </c>
      <c r="BH1384" s="40">
        <f>BH1383*(1-IF(B1383&gt;=in_marketplace_from,d_hz_gold*G1383,0))</f>
        <v/>
      </c>
      <c r="BI1384" s="40">
        <f>BI1383*d_rho_gold+BH1384*IF(B1384&gt;=in_marketplace_from,d_hz_gold*G1384,0)</f>
        <v/>
      </c>
      <c r="BJ1384" s="14">
        <f>F1384*BI1384*in_gold_ticket*in_gold_comm</f>
        <v/>
      </c>
      <c r="BK1384" s="40">
        <f>BK1383*(1-IF(B1383&gt;=in_marketplace_from,d_hz_fd*G1383,0))</f>
        <v/>
      </c>
      <c r="BL1384" s="14">
        <f>F1384*BK1384*IF(B1384&gt;=in_marketplace_from,d_hz_fd*G1384,0)*in_fd_ticket*in_fd_comm</f>
        <v/>
      </c>
      <c r="BM1384" s="40">
        <f>BM1383*(1-IF(B1383&gt;=in_marketplace_from,d_hz_recharge*G1383,0))</f>
        <v/>
      </c>
      <c r="BN1384" s="40">
        <f>BN1383*d_rho_recharge+BM1384*IF(B1384&gt;=in_marketplace_from,d_hz_recharge*G1384,0)</f>
        <v/>
      </c>
      <c r="BO1384" s="14">
        <f>F1384*BN1384*in_recharge_ticket*in_recharge_comm/12</f>
        <v/>
      </c>
      <c r="BP1384" s="40">
        <f>BP1383*(1-IF(B1383&gt;=in_marketplace_from,d_hz_bills*G1383,0))</f>
        <v/>
      </c>
      <c r="BQ1384" s="40">
        <f>BQ1383*d_rho_bills+BP1384*IF(B1384&gt;=in_marketplace_from,d_hz_bills*G1384,0)</f>
        <v/>
      </c>
      <c r="BR1384" s="14">
        <f>F1384*BQ1384*in_bills_ticket*in_bills_comm/12</f>
        <v/>
      </c>
      <c r="BS1384" s="40">
        <f>BS1383*(1-IF(B1383&gt;=in_marketplace_from,d_hz_loan_gold*G1383,0))</f>
        <v/>
      </c>
      <c r="BT1384" s="14">
        <f>F1384*BS1384*IF(B1384&gt;=in_marketplace_from,d_hz_loan_gold*G1384,0)*in_loan_gold_ticket*in_loan_gold_comm</f>
        <v/>
      </c>
      <c r="BU1384" s="40">
        <f>BU1383*(1-IF(B1383&gt;=in_marketplace_from,d_hz_loan_cd*G1383,0))</f>
        <v/>
      </c>
      <c r="BV1384" s="14">
        <f>F1384*BU1384*IF(B1384&gt;=in_marketplace_from,d_hz_loan_cd*G1384,0)*in_loan_cd_ticket*in_loan_cd_comm</f>
        <v/>
      </c>
      <c r="BW1384" s="40">
        <f>BW1383*(1-IF(B1383&gt;=in_marketplace_from,d_hz_loan_vehicle*G1383,0))</f>
        <v/>
      </c>
      <c r="BX1384" s="14">
        <f>F1384*BW1384*IF(B1384&gt;=in_marketplace_from,d_hz_loan_vehicle*G1384,0)*in_loan_vehicle_ticket*in_loan_vehicle_comm</f>
        <v/>
      </c>
      <c r="BY1384" s="40">
        <f>BY1383*(1-IF(B1383&gt;=in_marketplace_from,d_hz_loan_home*G1383,0)*BZ1383)</f>
        <v/>
      </c>
      <c r="BZ1384" s="11">
        <f>MIN(in_approval_cap,in_loan_home_approval*INDEX('Age profile'!$O$2:$O$61,B1384)*(1+in_approval_growth)^(D1384-1))</f>
        <v/>
      </c>
      <c r="CA1384" s="14">
        <f>F1384*BY1384*IF(B1384&gt;=in_marketplace_from,d_hz_loan_home*G1384,0)*BZ1384*in_loan_home_ticket*in_loan_home_comm</f>
        <v/>
      </c>
      <c r="CB1384" s="40">
        <f>CB1383*(1-IF(B1383&gt;=in_marketplace_from,d_hz_loan_lap*G1383,0)*CC1383)</f>
        <v/>
      </c>
      <c r="CC1384" s="11">
        <f>MIN(in_approval_cap,in_loan_lap_approval*INDEX('Age profile'!$O$2:$O$61,B1384)*(1+in_approval_growth)^(D1384-1))</f>
        <v/>
      </c>
      <c r="CD1384" s="14">
        <f>F1384*CB1384*IF(B1384&gt;=in_marketplace_from,d_hz_loan_lap*G1384,0)*CC1384*in_loan_lap_ticket*in_loan_lap_comm</f>
        <v/>
      </c>
      <c r="CE1384" s="14">
        <f>AA1384+AB1384+AC1384+AD1384+AG1384+AJ1384+AM1384+AP1384+AS1384+AU1384+AX1384+BB1384+BE1384+BG1384+BJ1384+BL1384+BO1384+BR1384+BT1384+BV1384+BX1384+CA1384+CD1384</f>
        <v/>
      </c>
    </row>
    <row r="1385">
      <c r="A1385" s="39" t="n">
        <v>31</v>
      </c>
      <c r="B1385" s="39" t="n">
        <v>19</v>
      </c>
      <c r="C1385" s="39">
        <f>A1385+B1385-1</f>
        <v/>
      </c>
      <c r="D1385" s="39">
        <f>INT((C1385-1)/12)+1</f>
        <v/>
      </c>
      <c r="E1385" s="44">
        <f>INDEX(Monthly!$B$2:$B$61,A1385)</f>
        <v/>
      </c>
      <c r="F1385" s="44">
        <f>E1385*INDEX('Age profile'!$B$2:$B$61,B1385)</f>
        <v/>
      </c>
      <c r="G1385" s="45">
        <f>MIN(in_takeup_cap,INDEX('Age profile'!$N$2:$N$61,B1385)*(1+in_takeup_growth)^(D1385-1))</f>
        <v/>
      </c>
      <c r="H1385" s="11">
        <f>MIN(in_approval_cap,in_approved_first*INDEX('Age profile'!$O$2:$O$61,B1385)*(1+in_approval_growth)^(D1385-1))</f>
        <v/>
      </c>
      <c r="I1385" s="45">
        <f>G1385*MIN(in_takeup_cap,INDEX('Age profile'!$O$2:$O$61,B1385)*(1+in_approval_growth)^(D1385-1))</f>
        <v/>
      </c>
      <c r="J1385" s="40">
        <f>(J1384-L1384)*F1385/F1384</f>
        <v/>
      </c>
      <c r="K1385" s="40">
        <f>(K1384-M1384)*F1385/F1384+SUMIFS(O1367:O1384,B1367:B1384,B1385-1-d_T)*F1385</f>
        <v/>
      </c>
      <c r="L1385" s="40">
        <f>IF(B1385&gt;=in_marketplace_from,J1385*d_hz*G1385*in_eligible*H1385,0)</f>
        <v/>
      </c>
      <c r="M1385" s="40">
        <f>IF(B1385&gt;=in_marketplace_from,K1385*d_hz*G1385*in_eligible*in_approved_repeat,0)</f>
        <v/>
      </c>
      <c r="N1385" s="40">
        <f>L1385+M1385</f>
        <v/>
      </c>
      <c r="O1385" s="46">
        <f>N1385/F1385</f>
        <v/>
      </c>
      <c r="P1385" s="40">
        <f>F1385-J1385-K1385</f>
        <v/>
      </c>
      <c r="Q1385" s="40">
        <f>IF(B1385&gt;=in_marketplace_from,(J1385+K1385)*d_hz*G1385,0)</f>
        <v/>
      </c>
      <c r="R1385" s="40">
        <f>SUMIFS(N1367:N1396,B1367:B1396,"&gt;="&amp;(B1385-d_T),B1367:B1396,"&lt;="&amp;(B1385-1))</f>
        <v/>
      </c>
      <c r="S1385" s="46">
        <f>(1-d_u)*S1384+IF(d_T&gt;in_topup_lag,SUMIFS(O1367:O1396,B1367:B1396,B1385-in_topup_lag)-d_udrop*SUMIFS(O1367:O1396,B1367:B1396,B1385-d_T),0)</f>
        <v/>
      </c>
      <c r="T1385" s="40">
        <f>F1385*d_u*S1385</f>
        <v/>
      </c>
      <c r="U1385" s="9">
        <f>L1385*in_ticket+M1385*d_rep_ticket</f>
        <v/>
      </c>
      <c r="V1385" s="9">
        <f>U1385+T1385*d_topup_amt</f>
        <v/>
      </c>
      <c r="W1385" s="40">
        <f>N1385+T1385*d_topup_ratio</f>
        <v/>
      </c>
      <c r="X1385" s="40">
        <f>SUMIFS(W1367:W1396,B1367:B1396,B1385-in_dpd_lag)*d_cured</f>
        <v/>
      </c>
      <c r="Y1385" s="40">
        <f>SUMIFS(W1367:W1396,B1367:B1396,B1385-in_rec_lag)*d_recd</f>
        <v/>
      </c>
      <c r="Z1385" s="40">
        <f>IF(AND(B1385&gt;=in_marketplace_from,B1385&lt;in_marketplace_from+in_card_months),in_card_share/in_card_months*F1385*I1385,IF(AND(B1385&gt;=in_marketplace_from+in_card_months,B1385&lt;in_marketplace_from+2*in_card_months),in_card_share*d_card_rem/in_card_months*F1385*MIN(in_takeup_cap,(1+in_takeup_growth)^(D1385-1))*MIN(in_takeup_cap,(1+in_approval_growth)^(D1385-1)),0))</f>
        <v/>
      </c>
      <c r="AA1385" s="14">
        <f>V1385*in_fee*(1-in_taken_back)</f>
        <v/>
      </c>
      <c r="AB1385" s="14">
        <f>SUMIFS(W1367:W1396,B1367:B1396,B1385-in_dpd_lag)*d_dpd</f>
        <v/>
      </c>
      <c r="AC1385" s="14">
        <f>SUMIFS(W1367:W1396,B1367:B1396,B1385-in_rec_lag)*d_rec</f>
        <v/>
      </c>
      <c r="AD1385" s="14">
        <f>Z1385*in_card_fee</f>
        <v/>
      </c>
      <c r="AE1385" s="40">
        <f>AE1384*(1-IF(B1384&gt;=in_marketplace_from,d_hz_hlth_small*G1384,0))</f>
        <v/>
      </c>
      <c r="AF1385" s="46">
        <f>AE1385*IF(B1385&gt;=in_marketplace_from,d_hz_hlth_small*G1385,0)</f>
        <v/>
      </c>
      <c r="AG1385" s="14">
        <f>F1385*AF1385*in_hlth_small_ticket*in_hlth_small_comm*in_ins_partner_share+F1385*in_hlth_small_ticket*in_hlth_small_renew_comm*in_ins_partner_share*(in_hlth_small_renew^1*SUMIFS(AF1367:AF1396,B1367:B1396,B1385-12)+in_hlth_small_renew^2*SUMIFS(AF1367:AF1396,B1367:B1396,B1385-24)+in_hlth_small_renew^3*SUMIFS(AF1367:AF1396,B1367:B1396,B1385-36)+in_hlth_small_renew^4*SUMIFS(AF1367:AF1396,B1367:B1396,B1385-48))</f>
        <v/>
      </c>
      <c r="AH1385" s="40">
        <f>AH1384*(1-IF(B1384&gt;=in_marketplace_from,d_hz_hlth_family*G1384,0))</f>
        <v/>
      </c>
      <c r="AI1385" s="46">
        <f>AH1385*IF(B1385&gt;=in_marketplace_from,d_hz_hlth_family*G1385,0)</f>
        <v/>
      </c>
      <c r="AJ1385" s="14">
        <f>F1385*AI1385*in_hlth_family_ticket*in_hlth_family_comm*in_ins_partner_share+F1385*in_hlth_family_ticket*in_hlth_family_renew_comm*in_ins_partner_share*(in_hlth_family_renew^1*SUMIFS(AI1367:AI1396,B1367:B1396,B1385-12)+in_hlth_family_renew^2*SUMIFS(AI1367:AI1396,B1367:B1396,B1385-24)+in_hlth_family_renew^3*SUMIFS(AI1367:AI1396,B1367:B1396,B1385-36)+in_hlth_family_renew^4*SUMIFS(AI1367:AI1396,B1367:B1396,B1385-48))</f>
        <v/>
      </c>
      <c r="AK1385" s="40">
        <f>AK1384*(1-IF(B1384&gt;=in_marketplace_from,d_hz_life_term*G1384,0))</f>
        <v/>
      </c>
      <c r="AL1385" s="46">
        <f>AK1385*IF(B1385&gt;=in_marketplace_from,d_hz_life_term*G1385,0)</f>
        <v/>
      </c>
      <c r="AM1385" s="14">
        <f>F1385*AL1385*in_life_term_ticket*in_life_term_comm*in_ins_partner_share+F1385*in_life_term_ticket*in_life_term_renew_comm*in_ins_partner_share*(in_life_term_renew^1*SUMIFS(AL1367:AL1396,B1367:B1396,B1385-12)+in_life_term_renew^2*SUMIFS(AL1367:AL1396,B1367:B1396,B1385-24)+in_life_term_renew^3*SUMIFS(AL1367:AL1396,B1367:B1396,B1385-36)+in_life_term_renew^4*SUMIFS(AL1367:AL1396,B1367:B1396,B1385-48))</f>
        <v/>
      </c>
      <c r="AN1385" s="40">
        <f>AN1384*(1-IF(B1384&gt;=in_marketplace_from,d_hz_accident*G1384,0))</f>
        <v/>
      </c>
      <c r="AO1385" s="46">
        <f>AN1385*IF(B1385&gt;=in_marketplace_from,d_hz_accident*G1385,0)</f>
        <v/>
      </c>
      <c r="AP1385" s="14">
        <f>F1385*AO1385*in_accident_ticket*in_accident_comm*in_ins_partner_share+F1385*in_accident_ticket*in_accident_renew_comm*in_ins_partner_share*(in_accident_renew^1*SUMIFS(AO1367:AO1396,B1367:B1396,B1385-12)+in_accident_renew^2*SUMIFS(AO1367:AO1396,B1367:B1396,B1385-24)+in_accident_renew^3*SUMIFS(AO1367:AO1396,B1367:B1396,B1385-36)+in_accident_renew^4*SUMIFS(AO1367:AO1396,B1367:B1396,B1385-48))</f>
        <v/>
      </c>
      <c r="AQ1385" s="40">
        <f>AQ1384*(1-IF(B1384&gt;=in_marketplace_from,d_hz_two_wheeler*G1384,0))</f>
        <v/>
      </c>
      <c r="AR1385" s="46">
        <f>AQ1385*IF(B1385&gt;=in_marketplace_from,d_hz_two_wheeler*G1385,0)</f>
        <v/>
      </c>
      <c r="AS1385" s="14">
        <f>F1385*AR1385*in_two_wheeler_ticket*in_two_wheeler_comm*in_ins_partner_share+F1385*in_two_wheeler_ticket*in_two_wheeler_comm*in_ins_partner_share*(in_two_wheeler_renew^1*SUMIFS(AR1367:AR1396,B1367:B1396,B1385-12)+in_two_wheeler_renew^2*SUMIFS(AR1367:AR1396,B1367:B1396,B1385-24)+in_two_wheeler_renew^3*SUMIFS(AR1367:AR1396,B1367:B1396,B1385-36)+in_two_wheeler_renew^4*SUMIFS(AR1367:AR1396,B1367:B1396,B1385-48))</f>
        <v/>
      </c>
      <c r="AT1385" s="40">
        <f>AT1384*(1-IF(B1384&gt;=in_marketplace_from,d_hz_device*G1384,0))</f>
        <v/>
      </c>
      <c r="AU1385" s="14">
        <f>F1385*AT1385*IF(B1385&gt;=in_marketplace_from,d_hz_device*G1385,0)*in_device_ticket*in_device_comm*in_ins_partner_share</f>
        <v/>
      </c>
      <c r="AV1385" s="40">
        <f>AV1384*(1-IF(B1384&gt;=in_marketplace_from,d_hz_shop*G1384,0))</f>
        <v/>
      </c>
      <c r="AW1385" s="46">
        <f>AV1385*IF(B1385&gt;=in_marketplace_from,d_hz_shop*G1385,0)</f>
        <v/>
      </c>
      <c r="AX1385" s="14">
        <f>F1385*AW1385*in_shop_ticket*in_shop_comm*in_ins_partner_share+F1385*in_shop_ticket*in_shop_renew_comm*in_ins_partner_share*(in_shop_renew^1*SUMIFS(AW1367:AW1396,B1367:B1396,B1385-12)+in_shop_renew^2*SUMIFS(AW1367:AW1396,B1367:B1396,B1385-24)+in_shop_renew^3*SUMIFS(AW1367:AW1396,B1367:B1396,B1385-36)+in_shop_renew^4*SUMIFS(AW1367:AW1396,B1367:B1396,B1385-48))</f>
        <v/>
      </c>
      <c r="AY1385" s="40">
        <f>AY1384*(1-IF(B1384&gt;=in_marketplace_from,d_hz_sip*G1384,0))</f>
        <v/>
      </c>
      <c r="AZ1385" s="40">
        <f>AZ1384*d_rho_sip+AY1385*IF(B1385&gt;=in_marketplace_from,d_hz_sip*G1385,0)</f>
        <v/>
      </c>
      <c r="BA1385" s="40">
        <f>d_rho_sip*(BA1384+AZ1384)</f>
        <v/>
      </c>
      <c r="BB1385" s="14">
        <f>F1385*in_sip_ticket*(BA1385+0.5*AZ1385)*in_sip_comm/12</f>
        <v/>
      </c>
      <c r="BC1385" s="40">
        <f>BC1384*(1-IF(B1384&gt;=in_marketplace_from,d_hz_choti*G1384,0))</f>
        <v/>
      </c>
      <c r="BD1385" s="46">
        <f>BC1385*IF(B1385&gt;=in_marketplace_from,d_hz_choti*G1385,0)</f>
        <v/>
      </c>
      <c r="BE1385" s="14">
        <f>F1385*SUMIFS(BD1367:BD1396,B1367:B1396,B1385-in_choti_months)*in_choti_renew*in_choti_ticket</f>
        <v/>
      </c>
      <c r="BF1385" s="40">
        <f>BF1384*(1-IF(B1384&gt;=in_marketplace_from,d_hz_nps*G1384,0))</f>
        <v/>
      </c>
      <c r="BG1385" s="14">
        <f>F1385*BF1385*IF(B1385&gt;=in_marketplace_from,d_hz_nps*G1385,0)*in_nps_ticket*in_nps_comm</f>
        <v/>
      </c>
      <c r="BH1385" s="40">
        <f>BH1384*(1-IF(B1384&gt;=in_marketplace_from,d_hz_gold*G1384,0))</f>
        <v/>
      </c>
      <c r="BI1385" s="40">
        <f>BI1384*d_rho_gold+BH1385*IF(B1385&gt;=in_marketplace_from,d_hz_gold*G1385,0)</f>
        <v/>
      </c>
      <c r="BJ1385" s="14">
        <f>F1385*BI1385*in_gold_ticket*in_gold_comm</f>
        <v/>
      </c>
      <c r="BK1385" s="40">
        <f>BK1384*(1-IF(B1384&gt;=in_marketplace_from,d_hz_fd*G1384,0))</f>
        <v/>
      </c>
      <c r="BL1385" s="14">
        <f>F1385*BK1385*IF(B1385&gt;=in_marketplace_from,d_hz_fd*G1385,0)*in_fd_ticket*in_fd_comm</f>
        <v/>
      </c>
      <c r="BM1385" s="40">
        <f>BM1384*(1-IF(B1384&gt;=in_marketplace_from,d_hz_recharge*G1384,0))</f>
        <v/>
      </c>
      <c r="BN1385" s="40">
        <f>BN1384*d_rho_recharge+BM1385*IF(B1385&gt;=in_marketplace_from,d_hz_recharge*G1385,0)</f>
        <v/>
      </c>
      <c r="BO1385" s="14">
        <f>F1385*BN1385*in_recharge_ticket*in_recharge_comm/12</f>
        <v/>
      </c>
      <c r="BP1385" s="40">
        <f>BP1384*(1-IF(B1384&gt;=in_marketplace_from,d_hz_bills*G1384,0))</f>
        <v/>
      </c>
      <c r="BQ1385" s="40">
        <f>BQ1384*d_rho_bills+BP1385*IF(B1385&gt;=in_marketplace_from,d_hz_bills*G1385,0)</f>
        <v/>
      </c>
      <c r="BR1385" s="14">
        <f>F1385*BQ1385*in_bills_ticket*in_bills_comm/12</f>
        <v/>
      </c>
      <c r="BS1385" s="40">
        <f>BS1384*(1-IF(B1384&gt;=in_marketplace_from,d_hz_loan_gold*G1384,0))</f>
        <v/>
      </c>
      <c r="BT1385" s="14">
        <f>F1385*BS1385*IF(B1385&gt;=in_marketplace_from,d_hz_loan_gold*G1385,0)*in_loan_gold_ticket*in_loan_gold_comm</f>
        <v/>
      </c>
      <c r="BU1385" s="40">
        <f>BU1384*(1-IF(B1384&gt;=in_marketplace_from,d_hz_loan_cd*G1384,0))</f>
        <v/>
      </c>
      <c r="BV1385" s="14">
        <f>F1385*BU1385*IF(B1385&gt;=in_marketplace_from,d_hz_loan_cd*G1385,0)*in_loan_cd_ticket*in_loan_cd_comm</f>
        <v/>
      </c>
      <c r="BW1385" s="40">
        <f>BW1384*(1-IF(B1384&gt;=in_marketplace_from,d_hz_loan_vehicle*G1384,0))</f>
        <v/>
      </c>
      <c r="BX1385" s="14">
        <f>F1385*BW1385*IF(B1385&gt;=in_marketplace_from,d_hz_loan_vehicle*G1385,0)*in_loan_vehicle_ticket*in_loan_vehicle_comm</f>
        <v/>
      </c>
      <c r="BY1385" s="40">
        <f>BY1384*(1-IF(B1384&gt;=in_marketplace_from,d_hz_loan_home*G1384,0)*BZ1384)</f>
        <v/>
      </c>
      <c r="BZ1385" s="11">
        <f>MIN(in_approval_cap,in_loan_home_approval*INDEX('Age profile'!$O$2:$O$61,B1385)*(1+in_approval_growth)^(D1385-1))</f>
        <v/>
      </c>
      <c r="CA1385" s="14">
        <f>F1385*BY1385*IF(B1385&gt;=in_marketplace_from,d_hz_loan_home*G1385,0)*BZ1385*in_loan_home_ticket*in_loan_home_comm</f>
        <v/>
      </c>
      <c r="CB1385" s="40">
        <f>CB1384*(1-IF(B1384&gt;=in_marketplace_from,d_hz_loan_lap*G1384,0)*CC1384)</f>
        <v/>
      </c>
      <c r="CC1385" s="11">
        <f>MIN(in_approval_cap,in_loan_lap_approval*INDEX('Age profile'!$O$2:$O$61,B1385)*(1+in_approval_growth)^(D1385-1))</f>
        <v/>
      </c>
      <c r="CD1385" s="14">
        <f>F1385*CB1385*IF(B1385&gt;=in_marketplace_from,d_hz_loan_lap*G1385,0)*CC1385*in_loan_lap_ticket*in_loan_lap_comm</f>
        <v/>
      </c>
      <c r="CE1385" s="14">
        <f>AA1385+AB1385+AC1385+AD1385+AG1385+AJ1385+AM1385+AP1385+AS1385+AU1385+AX1385+BB1385+BE1385+BG1385+BJ1385+BL1385+BO1385+BR1385+BT1385+BV1385+BX1385+CA1385+CD1385</f>
        <v/>
      </c>
    </row>
    <row r="1386">
      <c r="A1386" s="39" t="n">
        <v>31</v>
      </c>
      <c r="B1386" s="39" t="n">
        <v>20</v>
      </c>
      <c r="C1386" s="39">
        <f>A1386+B1386-1</f>
        <v/>
      </c>
      <c r="D1386" s="39">
        <f>INT((C1386-1)/12)+1</f>
        <v/>
      </c>
      <c r="E1386" s="44">
        <f>INDEX(Monthly!$B$2:$B$61,A1386)</f>
        <v/>
      </c>
      <c r="F1386" s="44">
        <f>E1386*INDEX('Age profile'!$B$2:$B$61,B1386)</f>
        <v/>
      </c>
      <c r="G1386" s="45">
        <f>MIN(in_takeup_cap,INDEX('Age profile'!$N$2:$N$61,B1386)*(1+in_takeup_growth)^(D1386-1))</f>
        <v/>
      </c>
      <c r="H1386" s="11">
        <f>MIN(in_approval_cap,in_approved_first*INDEX('Age profile'!$O$2:$O$61,B1386)*(1+in_approval_growth)^(D1386-1))</f>
        <v/>
      </c>
      <c r="I1386" s="45">
        <f>G1386*MIN(in_takeup_cap,INDEX('Age profile'!$O$2:$O$61,B1386)*(1+in_approval_growth)^(D1386-1))</f>
        <v/>
      </c>
      <c r="J1386" s="40">
        <f>(J1385-L1385)*F1386/F1385</f>
        <v/>
      </c>
      <c r="K1386" s="40">
        <f>(K1385-M1385)*F1386/F1385+SUMIFS(O1367:O1385,B1367:B1385,B1386-1-d_T)*F1386</f>
        <v/>
      </c>
      <c r="L1386" s="40">
        <f>IF(B1386&gt;=in_marketplace_from,J1386*d_hz*G1386*in_eligible*H1386,0)</f>
        <v/>
      </c>
      <c r="M1386" s="40">
        <f>IF(B1386&gt;=in_marketplace_from,K1386*d_hz*G1386*in_eligible*in_approved_repeat,0)</f>
        <v/>
      </c>
      <c r="N1386" s="40">
        <f>L1386+M1386</f>
        <v/>
      </c>
      <c r="O1386" s="46">
        <f>N1386/F1386</f>
        <v/>
      </c>
      <c r="P1386" s="40">
        <f>F1386-J1386-K1386</f>
        <v/>
      </c>
      <c r="Q1386" s="40">
        <f>IF(B1386&gt;=in_marketplace_from,(J1386+K1386)*d_hz*G1386,0)</f>
        <v/>
      </c>
      <c r="R1386" s="40">
        <f>SUMIFS(N1367:N1396,B1367:B1396,"&gt;="&amp;(B1386-d_T),B1367:B1396,"&lt;="&amp;(B1386-1))</f>
        <v/>
      </c>
      <c r="S1386" s="46">
        <f>(1-d_u)*S1385+IF(d_T&gt;in_topup_lag,SUMIFS(O1367:O1396,B1367:B1396,B1386-in_topup_lag)-d_udrop*SUMIFS(O1367:O1396,B1367:B1396,B1386-d_T),0)</f>
        <v/>
      </c>
      <c r="T1386" s="40">
        <f>F1386*d_u*S1386</f>
        <v/>
      </c>
      <c r="U1386" s="9">
        <f>L1386*in_ticket+M1386*d_rep_ticket</f>
        <v/>
      </c>
      <c r="V1386" s="9">
        <f>U1386+T1386*d_topup_amt</f>
        <v/>
      </c>
      <c r="W1386" s="40">
        <f>N1386+T1386*d_topup_ratio</f>
        <v/>
      </c>
      <c r="X1386" s="40">
        <f>SUMIFS(W1367:W1396,B1367:B1396,B1386-in_dpd_lag)*d_cured</f>
        <v/>
      </c>
      <c r="Y1386" s="40">
        <f>SUMIFS(W1367:W1396,B1367:B1396,B1386-in_rec_lag)*d_recd</f>
        <v/>
      </c>
      <c r="Z1386" s="40">
        <f>IF(AND(B1386&gt;=in_marketplace_from,B1386&lt;in_marketplace_from+in_card_months),in_card_share/in_card_months*F1386*I1386,IF(AND(B1386&gt;=in_marketplace_from+in_card_months,B1386&lt;in_marketplace_from+2*in_card_months),in_card_share*d_card_rem/in_card_months*F1386*MIN(in_takeup_cap,(1+in_takeup_growth)^(D1386-1))*MIN(in_takeup_cap,(1+in_approval_growth)^(D1386-1)),0))</f>
        <v/>
      </c>
      <c r="AA1386" s="14">
        <f>V1386*in_fee*(1-in_taken_back)</f>
        <v/>
      </c>
      <c r="AB1386" s="14">
        <f>SUMIFS(W1367:W1396,B1367:B1396,B1386-in_dpd_lag)*d_dpd</f>
        <v/>
      </c>
      <c r="AC1386" s="14">
        <f>SUMIFS(W1367:W1396,B1367:B1396,B1386-in_rec_lag)*d_rec</f>
        <v/>
      </c>
      <c r="AD1386" s="14">
        <f>Z1386*in_card_fee</f>
        <v/>
      </c>
      <c r="AE1386" s="40">
        <f>AE1385*(1-IF(B1385&gt;=in_marketplace_from,d_hz_hlth_small*G1385,0))</f>
        <v/>
      </c>
      <c r="AF1386" s="46">
        <f>AE1386*IF(B1386&gt;=in_marketplace_from,d_hz_hlth_small*G1386,0)</f>
        <v/>
      </c>
      <c r="AG1386" s="14">
        <f>F1386*AF1386*in_hlth_small_ticket*in_hlth_small_comm*in_ins_partner_share+F1386*in_hlth_small_ticket*in_hlth_small_renew_comm*in_ins_partner_share*(in_hlth_small_renew^1*SUMIFS(AF1367:AF1396,B1367:B1396,B1386-12)+in_hlth_small_renew^2*SUMIFS(AF1367:AF1396,B1367:B1396,B1386-24)+in_hlth_small_renew^3*SUMIFS(AF1367:AF1396,B1367:B1396,B1386-36)+in_hlth_small_renew^4*SUMIFS(AF1367:AF1396,B1367:B1396,B1386-48))</f>
        <v/>
      </c>
      <c r="AH1386" s="40">
        <f>AH1385*(1-IF(B1385&gt;=in_marketplace_from,d_hz_hlth_family*G1385,0))</f>
        <v/>
      </c>
      <c r="AI1386" s="46">
        <f>AH1386*IF(B1386&gt;=in_marketplace_from,d_hz_hlth_family*G1386,0)</f>
        <v/>
      </c>
      <c r="AJ1386" s="14">
        <f>F1386*AI1386*in_hlth_family_ticket*in_hlth_family_comm*in_ins_partner_share+F1386*in_hlth_family_ticket*in_hlth_family_renew_comm*in_ins_partner_share*(in_hlth_family_renew^1*SUMIFS(AI1367:AI1396,B1367:B1396,B1386-12)+in_hlth_family_renew^2*SUMIFS(AI1367:AI1396,B1367:B1396,B1386-24)+in_hlth_family_renew^3*SUMIFS(AI1367:AI1396,B1367:B1396,B1386-36)+in_hlth_family_renew^4*SUMIFS(AI1367:AI1396,B1367:B1396,B1386-48))</f>
        <v/>
      </c>
      <c r="AK1386" s="40">
        <f>AK1385*(1-IF(B1385&gt;=in_marketplace_from,d_hz_life_term*G1385,0))</f>
        <v/>
      </c>
      <c r="AL1386" s="46">
        <f>AK1386*IF(B1386&gt;=in_marketplace_from,d_hz_life_term*G1386,0)</f>
        <v/>
      </c>
      <c r="AM1386" s="14">
        <f>F1386*AL1386*in_life_term_ticket*in_life_term_comm*in_ins_partner_share+F1386*in_life_term_ticket*in_life_term_renew_comm*in_ins_partner_share*(in_life_term_renew^1*SUMIFS(AL1367:AL1396,B1367:B1396,B1386-12)+in_life_term_renew^2*SUMIFS(AL1367:AL1396,B1367:B1396,B1386-24)+in_life_term_renew^3*SUMIFS(AL1367:AL1396,B1367:B1396,B1386-36)+in_life_term_renew^4*SUMIFS(AL1367:AL1396,B1367:B1396,B1386-48))</f>
        <v/>
      </c>
      <c r="AN1386" s="40">
        <f>AN1385*(1-IF(B1385&gt;=in_marketplace_from,d_hz_accident*G1385,0))</f>
        <v/>
      </c>
      <c r="AO1386" s="46">
        <f>AN1386*IF(B1386&gt;=in_marketplace_from,d_hz_accident*G1386,0)</f>
        <v/>
      </c>
      <c r="AP1386" s="14">
        <f>F1386*AO1386*in_accident_ticket*in_accident_comm*in_ins_partner_share+F1386*in_accident_ticket*in_accident_renew_comm*in_ins_partner_share*(in_accident_renew^1*SUMIFS(AO1367:AO1396,B1367:B1396,B1386-12)+in_accident_renew^2*SUMIFS(AO1367:AO1396,B1367:B1396,B1386-24)+in_accident_renew^3*SUMIFS(AO1367:AO1396,B1367:B1396,B1386-36)+in_accident_renew^4*SUMIFS(AO1367:AO1396,B1367:B1396,B1386-48))</f>
        <v/>
      </c>
      <c r="AQ1386" s="40">
        <f>AQ1385*(1-IF(B1385&gt;=in_marketplace_from,d_hz_two_wheeler*G1385,0))</f>
        <v/>
      </c>
      <c r="AR1386" s="46">
        <f>AQ1386*IF(B1386&gt;=in_marketplace_from,d_hz_two_wheeler*G1386,0)</f>
        <v/>
      </c>
      <c r="AS1386" s="14">
        <f>F1386*AR1386*in_two_wheeler_ticket*in_two_wheeler_comm*in_ins_partner_share+F1386*in_two_wheeler_ticket*in_two_wheeler_comm*in_ins_partner_share*(in_two_wheeler_renew^1*SUMIFS(AR1367:AR1396,B1367:B1396,B1386-12)+in_two_wheeler_renew^2*SUMIFS(AR1367:AR1396,B1367:B1396,B1386-24)+in_two_wheeler_renew^3*SUMIFS(AR1367:AR1396,B1367:B1396,B1386-36)+in_two_wheeler_renew^4*SUMIFS(AR1367:AR1396,B1367:B1396,B1386-48))</f>
        <v/>
      </c>
      <c r="AT1386" s="40">
        <f>AT1385*(1-IF(B1385&gt;=in_marketplace_from,d_hz_device*G1385,0))</f>
        <v/>
      </c>
      <c r="AU1386" s="14">
        <f>F1386*AT1386*IF(B1386&gt;=in_marketplace_from,d_hz_device*G1386,0)*in_device_ticket*in_device_comm*in_ins_partner_share</f>
        <v/>
      </c>
      <c r="AV1386" s="40">
        <f>AV1385*(1-IF(B1385&gt;=in_marketplace_from,d_hz_shop*G1385,0))</f>
        <v/>
      </c>
      <c r="AW1386" s="46">
        <f>AV1386*IF(B1386&gt;=in_marketplace_from,d_hz_shop*G1386,0)</f>
        <v/>
      </c>
      <c r="AX1386" s="14">
        <f>F1386*AW1386*in_shop_ticket*in_shop_comm*in_ins_partner_share+F1386*in_shop_ticket*in_shop_renew_comm*in_ins_partner_share*(in_shop_renew^1*SUMIFS(AW1367:AW1396,B1367:B1396,B1386-12)+in_shop_renew^2*SUMIFS(AW1367:AW1396,B1367:B1396,B1386-24)+in_shop_renew^3*SUMIFS(AW1367:AW1396,B1367:B1396,B1386-36)+in_shop_renew^4*SUMIFS(AW1367:AW1396,B1367:B1396,B1386-48))</f>
        <v/>
      </c>
      <c r="AY1386" s="40">
        <f>AY1385*(1-IF(B1385&gt;=in_marketplace_from,d_hz_sip*G1385,0))</f>
        <v/>
      </c>
      <c r="AZ1386" s="40">
        <f>AZ1385*d_rho_sip+AY1386*IF(B1386&gt;=in_marketplace_from,d_hz_sip*G1386,0)</f>
        <v/>
      </c>
      <c r="BA1386" s="40">
        <f>d_rho_sip*(BA1385+AZ1385)</f>
        <v/>
      </c>
      <c r="BB1386" s="14">
        <f>F1386*in_sip_ticket*(BA1386+0.5*AZ1386)*in_sip_comm/12</f>
        <v/>
      </c>
      <c r="BC1386" s="40">
        <f>BC1385*(1-IF(B1385&gt;=in_marketplace_from,d_hz_choti*G1385,0))</f>
        <v/>
      </c>
      <c r="BD1386" s="46">
        <f>BC1386*IF(B1386&gt;=in_marketplace_from,d_hz_choti*G1386,0)</f>
        <v/>
      </c>
      <c r="BE1386" s="14">
        <f>F1386*SUMIFS(BD1367:BD1396,B1367:B1396,B1386-in_choti_months)*in_choti_renew*in_choti_ticket</f>
        <v/>
      </c>
      <c r="BF1386" s="40">
        <f>BF1385*(1-IF(B1385&gt;=in_marketplace_from,d_hz_nps*G1385,0))</f>
        <v/>
      </c>
      <c r="BG1386" s="14">
        <f>F1386*BF1386*IF(B1386&gt;=in_marketplace_from,d_hz_nps*G1386,0)*in_nps_ticket*in_nps_comm</f>
        <v/>
      </c>
      <c r="BH1386" s="40">
        <f>BH1385*(1-IF(B1385&gt;=in_marketplace_from,d_hz_gold*G1385,0))</f>
        <v/>
      </c>
      <c r="BI1386" s="40">
        <f>BI1385*d_rho_gold+BH1386*IF(B1386&gt;=in_marketplace_from,d_hz_gold*G1386,0)</f>
        <v/>
      </c>
      <c r="BJ1386" s="14">
        <f>F1386*BI1386*in_gold_ticket*in_gold_comm</f>
        <v/>
      </c>
      <c r="BK1386" s="40">
        <f>BK1385*(1-IF(B1385&gt;=in_marketplace_from,d_hz_fd*G1385,0))</f>
        <v/>
      </c>
      <c r="BL1386" s="14">
        <f>F1386*BK1386*IF(B1386&gt;=in_marketplace_from,d_hz_fd*G1386,0)*in_fd_ticket*in_fd_comm</f>
        <v/>
      </c>
      <c r="BM1386" s="40">
        <f>BM1385*(1-IF(B1385&gt;=in_marketplace_from,d_hz_recharge*G1385,0))</f>
        <v/>
      </c>
      <c r="BN1386" s="40">
        <f>BN1385*d_rho_recharge+BM1386*IF(B1386&gt;=in_marketplace_from,d_hz_recharge*G1386,0)</f>
        <v/>
      </c>
      <c r="BO1386" s="14">
        <f>F1386*BN1386*in_recharge_ticket*in_recharge_comm/12</f>
        <v/>
      </c>
      <c r="BP1386" s="40">
        <f>BP1385*(1-IF(B1385&gt;=in_marketplace_from,d_hz_bills*G1385,0))</f>
        <v/>
      </c>
      <c r="BQ1386" s="40">
        <f>BQ1385*d_rho_bills+BP1386*IF(B1386&gt;=in_marketplace_from,d_hz_bills*G1386,0)</f>
        <v/>
      </c>
      <c r="BR1386" s="14">
        <f>F1386*BQ1386*in_bills_ticket*in_bills_comm/12</f>
        <v/>
      </c>
      <c r="BS1386" s="40">
        <f>BS1385*(1-IF(B1385&gt;=in_marketplace_from,d_hz_loan_gold*G1385,0))</f>
        <v/>
      </c>
      <c r="BT1386" s="14">
        <f>F1386*BS1386*IF(B1386&gt;=in_marketplace_from,d_hz_loan_gold*G1386,0)*in_loan_gold_ticket*in_loan_gold_comm</f>
        <v/>
      </c>
      <c r="BU1386" s="40">
        <f>BU1385*(1-IF(B1385&gt;=in_marketplace_from,d_hz_loan_cd*G1385,0))</f>
        <v/>
      </c>
      <c r="BV1386" s="14">
        <f>F1386*BU1386*IF(B1386&gt;=in_marketplace_from,d_hz_loan_cd*G1386,0)*in_loan_cd_ticket*in_loan_cd_comm</f>
        <v/>
      </c>
      <c r="BW1386" s="40">
        <f>BW1385*(1-IF(B1385&gt;=in_marketplace_from,d_hz_loan_vehicle*G1385,0))</f>
        <v/>
      </c>
      <c r="BX1386" s="14">
        <f>F1386*BW1386*IF(B1386&gt;=in_marketplace_from,d_hz_loan_vehicle*G1386,0)*in_loan_vehicle_ticket*in_loan_vehicle_comm</f>
        <v/>
      </c>
      <c r="BY1386" s="40">
        <f>BY1385*(1-IF(B1385&gt;=in_marketplace_from,d_hz_loan_home*G1385,0)*BZ1385)</f>
        <v/>
      </c>
      <c r="BZ1386" s="11">
        <f>MIN(in_approval_cap,in_loan_home_approval*INDEX('Age profile'!$O$2:$O$61,B1386)*(1+in_approval_growth)^(D1386-1))</f>
        <v/>
      </c>
      <c r="CA1386" s="14">
        <f>F1386*BY1386*IF(B1386&gt;=in_marketplace_from,d_hz_loan_home*G1386,0)*BZ1386*in_loan_home_ticket*in_loan_home_comm</f>
        <v/>
      </c>
      <c r="CB1386" s="40">
        <f>CB1385*(1-IF(B1385&gt;=in_marketplace_from,d_hz_loan_lap*G1385,0)*CC1385)</f>
        <v/>
      </c>
      <c r="CC1386" s="11">
        <f>MIN(in_approval_cap,in_loan_lap_approval*INDEX('Age profile'!$O$2:$O$61,B1386)*(1+in_approval_growth)^(D1386-1))</f>
        <v/>
      </c>
      <c r="CD1386" s="14">
        <f>F1386*CB1386*IF(B1386&gt;=in_marketplace_from,d_hz_loan_lap*G1386,0)*CC1386*in_loan_lap_ticket*in_loan_lap_comm</f>
        <v/>
      </c>
      <c r="CE1386" s="14">
        <f>AA1386+AB1386+AC1386+AD1386+AG1386+AJ1386+AM1386+AP1386+AS1386+AU1386+AX1386+BB1386+BE1386+BG1386+BJ1386+BL1386+BO1386+BR1386+BT1386+BV1386+BX1386+CA1386+CD1386</f>
        <v/>
      </c>
    </row>
    <row r="1387">
      <c r="A1387" s="39" t="n">
        <v>31</v>
      </c>
      <c r="B1387" s="39" t="n">
        <v>21</v>
      </c>
      <c r="C1387" s="39">
        <f>A1387+B1387-1</f>
        <v/>
      </c>
      <c r="D1387" s="39">
        <f>INT((C1387-1)/12)+1</f>
        <v/>
      </c>
      <c r="E1387" s="44">
        <f>INDEX(Monthly!$B$2:$B$61,A1387)</f>
        <v/>
      </c>
      <c r="F1387" s="44">
        <f>E1387*INDEX('Age profile'!$B$2:$B$61,B1387)</f>
        <v/>
      </c>
      <c r="G1387" s="45">
        <f>MIN(in_takeup_cap,INDEX('Age profile'!$N$2:$N$61,B1387)*(1+in_takeup_growth)^(D1387-1))</f>
        <v/>
      </c>
      <c r="H1387" s="11">
        <f>MIN(in_approval_cap,in_approved_first*INDEX('Age profile'!$O$2:$O$61,B1387)*(1+in_approval_growth)^(D1387-1))</f>
        <v/>
      </c>
      <c r="I1387" s="45">
        <f>G1387*MIN(in_takeup_cap,INDEX('Age profile'!$O$2:$O$61,B1387)*(1+in_approval_growth)^(D1387-1))</f>
        <v/>
      </c>
      <c r="J1387" s="40">
        <f>(J1386-L1386)*F1387/F1386</f>
        <v/>
      </c>
      <c r="K1387" s="40">
        <f>(K1386-M1386)*F1387/F1386+SUMIFS(O1367:O1386,B1367:B1386,B1387-1-d_T)*F1387</f>
        <v/>
      </c>
      <c r="L1387" s="40">
        <f>IF(B1387&gt;=in_marketplace_from,J1387*d_hz*G1387*in_eligible*H1387,0)</f>
        <v/>
      </c>
      <c r="M1387" s="40">
        <f>IF(B1387&gt;=in_marketplace_from,K1387*d_hz*G1387*in_eligible*in_approved_repeat,0)</f>
        <v/>
      </c>
      <c r="N1387" s="40">
        <f>L1387+M1387</f>
        <v/>
      </c>
      <c r="O1387" s="46">
        <f>N1387/F1387</f>
        <v/>
      </c>
      <c r="P1387" s="40">
        <f>F1387-J1387-K1387</f>
        <v/>
      </c>
      <c r="Q1387" s="40">
        <f>IF(B1387&gt;=in_marketplace_from,(J1387+K1387)*d_hz*G1387,0)</f>
        <v/>
      </c>
      <c r="R1387" s="40">
        <f>SUMIFS(N1367:N1396,B1367:B1396,"&gt;="&amp;(B1387-d_T),B1367:B1396,"&lt;="&amp;(B1387-1))</f>
        <v/>
      </c>
      <c r="S1387" s="46">
        <f>(1-d_u)*S1386+IF(d_T&gt;in_topup_lag,SUMIFS(O1367:O1396,B1367:B1396,B1387-in_topup_lag)-d_udrop*SUMIFS(O1367:O1396,B1367:B1396,B1387-d_T),0)</f>
        <v/>
      </c>
      <c r="T1387" s="40">
        <f>F1387*d_u*S1387</f>
        <v/>
      </c>
      <c r="U1387" s="9">
        <f>L1387*in_ticket+M1387*d_rep_ticket</f>
        <v/>
      </c>
      <c r="V1387" s="9">
        <f>U1387+T1387*d_topup_amt</f>
        <v/>
      </c>
      <c r="W1387" s="40">
        <f>N1387+T1387*d_topup_ratio</f>
        <v/>
      </c>
      <c r="X1387" s="40">
        <f>SUMIFS(W1367:W1396,B1367:B1396,B1387-in_dpd_lag)*d_cured</f>
        <v/>
      </c>
      <c r="Y1387" s="40">
        <f>SUMIFS(W1367:W1396,B1367:B1396,B1387-in_rec_lag)*d_recd</f>
        <v/>
      </c>
      <c r="Z1387" s="40">
        <f>IF(AND(B1387&gt;=in_marketplace_from,B1387&lt;in_marketplace_from+in_card_months),in_card_share/in_card_months*F1387*I1387,IF(AND(B1387&gt;=in_marketplace_from+in_card_months,B1387&lt;in_marketplace_from+2*in_card_months),in_card_share*d_card_rem/in_card_months*F1387*MIN(in_takeup_cap,(1+in_takeup_growth)^(D1387-1))*MIN(in_takeup_cap,(1+in_approval_growth)^(D1387-1)),0))</f>
        <v/>
      </c>
      <c r="AA1387" s="14">
        <f>V1387*in_fee*(1-in_taken_back)</f>
        <v/>
      </c>
      <c r="AB1387" s="14">
        <f>SUMIFS(W1367:W1396,B1367:B1396,B1387-in_dpd_lag)*d_dpd</f>
        <v/>
      </c>
      <c r="AC1387" s="14">
        <f>SUMIFS(W1367:W1396,B1367:B1396,B1387-in_rec_lag)*d_rec</f>
        <v/>
      </c>
      <c r="AD1387" s="14">
        <f>Z1387*in_card_fee</f>
        <v/>
      </c>
      <c r="AE1387" s="40">
        <f>AE1386*(1-IF(B1386&gt;=in_marketplace_from,d_hz_hlth_small*G1386,0))</f>
        <v/>
      </c>
      <c r="AF1387" s="46">
        <f>AE1387*IF(B1387&gt;=in_marketplace_from,d_hz_hlth_small*G1387,0)</f>
        <v/>
      </c>
      <c r="AG1387" s="14">
        <f>F1387*AF1387*in_hlth_small_ticket*in_hlth_small_comm*in_ins_partner_share+F1387*in_hlth_small_ticket*in_hlth_small_renew_comm*in_ins_partner_share*(in_hlth_small_renew^1*SUMIFS(AF1367:AF1396,B1367:B1396,B1387-12)+in_hlth_small_renew^2*SUMIFS(AF1367:AF1396,B1367:B1396,B1387-24)+in_hlth_small_renew^3*SUMIFS(AF1367:AF1396,B1367:B1396,B1387-36)+in_hlth_small_renew^4*SUMIFS(AF1367:AF1396,B1367:B1396,B1387-48))</f>
        <v/>
      </c>
      <c r="AH1387" s="40">
        <f>AH1386*(1-IF(B1386&gt;=in_marketplace_from,d_hz_hlth_family*G1386,0))</f>
        <v/>
      </c>
      <c r="AI1387" s="46">
        <f>AH1387*IF(B1387&gt;=in_marketplace_from,d_hz_hlth_family*G1387,0)</f>
        <v/>
      </c>
      <c r="AJ1387" s="14">
        <f>F1387*AI1387*in_hlth_family_ticket*in_hlth_family_comm*in_ins_partner_share+F1387*in_hlth_family_ticket*in_hlth_family_renew_comm*in_ins_partner_share*(in_hlth_family_renew^1*SUMIFS(AI1367:AI1396,B1367:B1396,B1387-12)+in_hlth_family_renew^2*SUMIFS(AI1367:AI1396,B1367:B1396,B1387-24)+in_hlth_family_renew^3*SUMIFS(AI1367:AI1396,B1367:B1396,B1387-36)+in_hlth_family_renew^4*SUMIFS(AI1367:AI1396,B1367:B1396,B1387-48))</f>
        <v/>
      </c>
      <c r="AK1387" s="40">
        <f>AK1386*(1-IF(B1386&gt;=in_marketplace_from,d_hz_life_term*G1386,0))</f>
        <v/>
      </c>
      <c r="AL1387" s="46">
        <f>AK1387*IF(B1387&gt;=in_marketplace_from,d_hz_life_term*G1387,0)</f>
        <v/>
      </c>
      <c r="AM1387" s="14">
        <f>F1387*AL1387*in_life_term_ticket*in_life_term_comm*in_ins_partner_share+F1387*in_life_term_ticket*in_life_term_renew_comm*in_ins_partner_share*(in_life_term_renew^1*SUMIFS(AL1367:AL1396,B1367:B1396,B1387-12)+in_life_term_renew^2*SUMIFS(AL1367:AL1396,B1367:B1396,B1387-24)+in_life_term_renew^3*SUMIFS(AL1367:AL1396,B1367:B1396,B1387-36)+in_life_term_renew^4*SUMIFS(AL1367:AL1396,B1367:B1396,B1387-48))</f>
        <v/>
      </c>
      <c r="AN1387" s="40">
        <f>AN1386*(1-IF(B1386&gt;=in_marketplace_from,d_hz_accident*G1386,0))</f>
        <v/>
      </c>
      <c r="AO1387" s="46">
        <f>AN1387*IF(B1387&gt;=in_marketplace_from,d_hz_accident*G1387,0)</f>
        <v/>
      </c>
      <c r="AP1387" s="14">
        <f>F1387*AO1387*in_accident_ticket*in_accident_comm*in_ins_partner_share+F1387*in_accident_ticket*in_accident_renew_comm*in_ins_partner_share*(in_accident_renew^1*SUMIFS(AO1367:AO1396,B1367:B1396,B1387-12)+in_accident_renew^2*SUMIFS(AO1367:AO1396,B1367:B1396,B1387-24)+in_accident_renew^3*SUMIFS(AO1367:AO1396,B1367:B1396,B1387-36)+in_accident_renew^4*SUMIFS(AO1367:AO1396,B1367:B1396,B1387-48))</f>
        <v/>
      </c>
      <c r="AQ1387" s="40">
        <f>AQ1386*(1-IF(B1386&gt;=in_marketplace_from,d_hz_two_wheeler*G1386,0))</f>
        <v/>
      </c>
      <c r="AR1387" s="46">
        <f>AQ1387*IF(B1387&gt;=in_marketplace_from,d_hz_two_wheeler*G1387,0)</f>
        <v/>
      </c>
      <c r="AS1387" s="14">
        <f>F1387*AR1387*in_two_wheeler_ticket*in_two_wheeler_comm*in_ins_partner_share+F1387*in_two_wheeler_ticket*in_two_wheeler_comm*in_ins_partner_share*(in_two_wheeler_renew^1*SUMIFS(AR1367:AR1396,B1367:B1396,B1387-12)+in_two_wheeler_renew^2*SUMIFS(AR1367:AR1396,B1367:B1396,B1387-24)+in_two_wheeler_renew^3*SUMIFS(AR1367:AR1396,B1367:B1396,B1387-36)+in_two_wheeler_renew^4*SUMIFS(AR1367:AR1396,B1367:B1396,B1387-48))</f>
        <v/>
      </c>
      <c r="AT1387" s="40">
        <f>AT1386*(1-IF(B1386&gt;=in_marketplace_from,d_hz_device*G1386,0))</f>
        <v/>
      </c>
      <c r="AU1387" s="14">
        <f>F1387*AT1387*IF(B1387&gt;=in_marketplace_from,d_hz_device*G1387,0)*in_device_ticket*in_device_comm*in_ins_partner_share</f>
        <v/>
      </c>
      <c r="AV1387" s="40">
        <f>AV1386*(1-IF(B1386&gt;=in_marketplace_from,d_hz_shop*G1386,0))</f>
        <v/>
      </c>
      <c r="AW1387" s="46">
        <f>AV1387*IF(B1387&gt;=in_marketplace_from,d_hz_shop*G1387,0)</f>
        <v/>
      </c>
      <c r="AX1387" s="14">
        <f>F1387*AW1387*in_shop_ticket*in_shop_comm*in_ins_partner_share+F1387*in_shop_ticket*in_shop_renew_comm*in_ins_partner_share*(in_shop_renew^1*SUMIFS(AW1367:AW1396,B1367:B1396,B1387-12)+in_shop_renew^2*SUMIFS(AW1367:AW1396,B1367:B1396,B1387-24)+in_shop_renew^3*SUMIFS(AW1367:AW1396,B1367:B1396,B1387-36)+in_shop_renew^4*SUMIFS(AW1367:AW1396,B1367:B1396,B1387-48))</f>
        <v/>
      </c>
      <c r="AY1387" s="40">
        <f>AY1386*(1-IF(B1386&gt;=in_marketplace_from,d_hz_sip*G1386,0))</f>
        <v/>
      </c>
      <c r="AZ1387" s="40">
        <f>AZ1386*d_rho_sip+AY1387*IF(B1387&gt;=in_marketplace_from,d_hz_sip*G1387,0)</f>
        <v/>
      </c>
      <c r="BA1387" s="40">
        <f>d_rho_sip*(BA1386+AZ1386)</f>
        <v/>
      </c>
      <c r="BB1387" s="14">
        <f>F1387*in_sip_ticket*(BA1387+0.5*AZ1387)*in_sip_comm/12</f>
        <v/>
      </c>
      <c r="BC1387" s="40">
        <f>BC1386*(1-IF(B1386&gt;=in_marketplace_from,d_hz_choti*G1386,0))</f>
        <v/>
      </c>
      <c r="BD1387" s="46">
        <f>BC1387*IF(B1387&gt;=in_marketplace_from,d_hz_choti*G1387,0)</f>
        <v/>
      </c>
      <c r="BE1387" s="14">
        <f>F1387*SUMIFS(BD1367:BD1396,B1367:B1396,B1387-in_choti_months)*in_choti_renew*in_choti_ticket</f>
        <v/>
      </c>
      <c r="BF1387" s="40">
        <f>BF1386*(1-IF(B1386&gt;=in_marketplace_from,d_hz_nps*G1386,0))</f>
        <v/>
      </c>
      <c r="BG1387" s="14">
        <f>F1387*BF1387*IF(B1387&gt;=in_marketplace_from,d_hz_nps*G1387,0)*in_nps_ticket*in_nps_comm</f>
        <v/>
      </c>
      <c r="BH1387" s="40">
        <f>BH1386*(1-IF(B1386&gt;=in_marketplace_from,d_hz_gold*G1386,0))</f>
        <v/>
      </c>
      <c r="BI1387" s="40">
        <f>BI1386*d_rho_gold+BH1387*IF(B1387&gt;=in_marketplace_from,d_hz_gold*G1387,0)</f>
        <v/>
      </c>
      <c r="BJ1387" s="14">
        <f>F1387*BI1387*in_gold_ticket*in_gold_comm</f>
        <v/>
      </c>
      <c r="BK1387" s="40">
        <f>BK1386*(1-IF(B1386&gt;=in_marketplace_from,d_hz_fd*G1386,0))</f>
        <v/>
      </c>
      <c r="BL1387" s="14">
        <f>F1387*BK1387*IF(B1387&gt;=in_marketplace_from,d_hz_fd*G1387,0)*in_fd_ticket*in_fd_comm</f>
        <v/>
      </c>
      <c r="BM1387" s="40">
        <f>BM1386*(1-IF(B1386&gt;=in_marketplace_from,d_hz_recharge*G1386,0))</f>
        <v/>
      </c>
      <c r="BN1387" s="40">
        <f>BN1386*d_rho_recharge+BM1387*IF(B1387&gt;=in_marketplace_from,d_hz_recharge*G1387,0)</f>
        <v/>
      </c>
      <c r="BO1387" s="14">
        <f>F1387*BN1387*in_recharge_ticket*in_recharge_comm/12</f>
        <v/>
      </c>
      <c r="BP1387" s="40">
        <f>BP1386*(1-IF(B1386&gt;=in_marketplace_from,d_hz_bills*G1386,0))</f>
        <v/>
      </c>
      <c r="BQ1387" s="40">
        <f>BQ1386*d_rho_bills+BP1387*IF(B1387&gt;=in_marketplace_from,d_hz_bills*G1387,0)</f>
        <v/>
      </c>
      <c r="BR1387" s="14">
        <f>F1387*BQ1387*in_bills_ticket*in_bills_comm/12</f>
        <v/>
      </c>
      <c r="BS1387" s="40">
        <f>BS1386*(1-IF(B1386&gt;=in_marketplace_from,d_hz_loan_gold*G1386,0))</f>
        <v/>
      </c>
      <c r="BT1387" s="14">
        <f>F1387*BS1387*IF(B1387&gt;=in_marketplace_from,d_hz_loan_gold*G1387,0)*in_loan_gold_ticket*in_loan_gold_comm</f>
        <v/>
      </c>
      <c r="BU1387" s="40">
        <f>BU1386*(1-IF(B1386&gt;=in_marketplace_from,d_hz_loan_cd*G1386,0))</f>
        <v/>
      </c>
      <c r="BV1387" s="14">
        <f>F1387*BU1387*IF(B1387&gt;=in_marketplace_from,d_hz_loan_cd*G1387,0)*in_loan_cd_ticket*in_loan_cd_comm</f>
        <v/>
      </c>
      <c r="BW1387" s="40">
        <f>BW1386*(1-IF(B1386&gt;=in_marketplace_from,d_hz_loan_vehicle*G1386,0))</f>
        <v/>
      </c>
      <c r="BX1387" s="14">
        <f>F1387*BW1387*IF(B1387&gt;=in_marketplace_from,d_hz_loan_vehicle*G1387,0)*in_loan_vehicle_ticket*in_loan_vehicle_comm</f>
        <v/>
      </c>
      <c r="BY1387" s="40">
        <f>BY1386*(1-IF(B1386&gt;=in_marketplace_from,d_hz_loan_home*G1386,0)*BZ1386)</f>
        <v/>
      </c>
      <c r="BZ1387" s="11">
        <f>MIN(in_approval_cap,in_loan_home_approval*INDEX('Age profile'!$O$2:$O$61,B1387)*(1+in_approval_growth)^(D1387-1))</f>
        <v/>
      </c>
      <c r="CA1387" s="14">
        <f>F1387*BY1387*IF(B1387&gt;=in_marketplace_from,d_hz_loan_home*G1387,0)*BZ1387*in_loan_home_ticket*in_loan_home_comm</f>
        <v/>
      </c>
      <c r="CB1387" s="40">
        <f>CB1386*(1-IF(B1386&gt;=in_marketplace_from,d_hz_loan_lap*G1386,0)*CC1386)</f>
        <v/>
      </c>
      <c r="CC1387" s="11">
        <f>MIN(in_approval_cap,in_loan_lap_approval*INDEX('Age profile'!$O$2:$O$61,B1387)*(1+in_approval_growth)^(D1387-1))</f>
        <v/>
      </c>
      <c r="CD1387" s="14">
        <f>F1387*CB1387*IF(B1387&gt;=in_marketplace_from,d_hz_loan_lap*G1387,0)*CC1387*in_loan_lap_ticket*in_loan_lap_comm</f>
        <v/>
      </c>
      <c r="CE1387" s="14">
        <f>AA1387+AB1387+AC1387+AD1387+AG1387+AJ1387+AM1387+AP1387+AS1387+AU1387+AX1387+BB1387+BE1387+BG1387+BJ1387+BL1387+BO1387+BR1387+BT1387+BV1387+BX1387+CA1387+CD1387</f>
        <v/>
      </c>
    </row>
    <row r="1388">
      <c r="A1388" s="39" t="n">
        <v>31</v>
      </c>
      <c r="B1388" s="39" t="n">
        <v>22</v>
      </c>
      <c r="C1388" s="39">
        <f>A1388+B1388-1</f>
        <v/>
      </c>
      <c r="D1388" s="39">
        <f>INT((C1388-1)/12)+1</f>
        <v/>
      </c>
      <c r="E1388" s="44">
        <f>INDEX(Monthly!$B$2:$B$61,A1388)</f>
        <v/>
      </c>
      <c r="F1388" s="44">
        <f>E1388*INDEX('Age profile'!$B$2:$B$61,B1388)</f>
        <v/>
      </c>
      <c r="G1388" s="45">
        <f>MIN(in_takeup_cap,INDEX('Age profile'!$N$2:$N$61,B1388)*(1+in_takeup_growth)^(D1388-1))</f>
        <v/>
      </c>
      <c r="H1388" s="11">
        <f>MIN(in_approval_cap,in_approved_first*INDEX('Age profile'!$O$2:$O$61,B1388)*(1+in_approval_growth)^(D1388-1))</f>
        <v/>
      </c>
      <c r="I1388" s="45">
        <f>G1388*MIN(in_takeup_cap,INDEX('Age profile'!$O$2:$O$61,B1388)*(1+in_approval_growth)^(D1388-1))</f>
        <v/>
      </c>
      <c r="J1388" s="40">
        <f>(J1387-L1387)*F1388/F1387</f>
        <v/>
      </c>
      <c r="K1388" s="40">
        <f>(K1387-M1387)*F1388/F1387+SUMIFS(O1367:O1387,B1367:B1387,B1388-1-d_T)*F1388</f>
        <v/>
      </c>
      <c r="L1388" s="40">
        <f>IF(B1388&gt;=in_marketplace_from,J1388*d_hz*G1388*in_eligible*H1388,0)</f>
        <v/>
      </c>
      <c r="M1388" s="40">
        <f>IF(B1388&gt;=in_marketplace_from,K1388*d_hz*G1388*in_eligible*in_approved_repeat,0)</f>
        <v/>
      </c>
      <c r="N1388" s="40">
        <f>L1388+M1388</f>
        <v/>
      </c>
      <c r="O1388" s="46">
        <f>N1388/F1388</f>
        <v/>
      </c>
      <c r="P1388" s="40">
        <f>F1388-J1388-K1388</f>
        <v/>
      </c>
      <c r="Q1388" s="40">
        <f>IF(B1388&gt;=in_marketplace_from,(J1388+K1388)*d_hz*G1388,0)</f>
        <v/>
      </c>
      <c r="R1388" s="40">
        <f>SUMIFS(N1367:N1396,B1367:B1396,"&gt;="&amp;(B1388-d_T),B1367:B1396,"&lt;="&amp;(B1388-1))</f>
        <v/>
      </c>
      <c r="S1388" s="46">
        <f>(1-d_u)*S1387+IF(d_T&gt;in_topup_lag,SUMIFS(O1367:O1396,B1367:B1396,B1388-in_topup_lag)-d_udrop*SUMIFS(O1367:O1396,B1367:B1396,B1388-d_T),0)</f>
        <v/>
      </c>
      <c r="T1388" s="40">
        <f>F1388*d_u*S1388</f>
        <v/>
      </c>
      <c r="U1388" s="9">
        <f>L1388*in_ticket+M1388*d_rep_ticket</f>
        <v/>
      </c>
      <c r="V1388" s="9">
        <f>U1388+T1388*d_topup_amt</f>
        <v/>
      </c>
      <c r="W1388" s="40">
        <f>N1388+T1388*d_topup_ratio</f>
        <v/>
      </c>
      <c r="X1388" s="40">
        <f>SUMIFS(W1367:W1396,B1367:B1396,B1388-in_dpd_lag)*d_cured</f>
        <v/>
      </c>
      <c r="Y1388" s="40">
        <f>SUMIFS(W1367:W1396,B1367:B1396,B1388-in_rec_lag)*d_recd</f>
        <v/>
      </c>
      <c r="Z1388" s="40">
        <f>IF(AND(B1388&gt;=in_marketplace_from,B1388&lt;in_marketplace_from+in_card_months),in_card_share/in_card_months*F1388*I1388,IF(AND(B1388&gt;=in_marketplace_from+in_card_months,B1388&lt;in_marketplace_from+2*in_card_months),in_card_share*d_card_rem/in_card_months*F1388*MIN(in_takeup_cap,(1+in_takeup_growth)^(D1388-1))*MIN(in_takeup_cap,(1+in_approval_growth)^(D1388-1)),0))</f>
        <v/>
      </c>
      <c r="AA1388" s="14">
        <f>V1388*in_fee*(1-in_taken_back)</f>
        <v/>
      </c>
      <c r="AB1388" s="14">
        <f>SUMIFS(W1367:W1396,B1367:B1396,B1388-in_dpd_lag)*d_dpd</f>
        <v/>
      </c>
      <c r="AC1388" s="14">
        <f>SUMIFS(W1367:W1396,B1367:B1396,B1388-in_rec_lag)*d_rec</f>
        <v/>
      </c>
      <c r="AD1388" s="14">
        <f>Z1388*in_card_fee</f>
        <v/>
      </c>
      <c r="AE1388" s="40">
        <f>AE1387*(1-IF(B1387&gt;=in_marketplace_from,d_hz_hlth_small*G1387,0))</f>
        <v/>
      </c>
      <c r="AF1388" s="46">
        <f>AE1388*IF(B1388&gt;=in_marketplace_from,d_hz_hlth_small*G1388,0)</f>
        <v/>
      </c>
      <c r="AG1388" s="14">
        <f>F1388*AF1388*in_hlth_small_ticket*in_hlth_small_comm*in_ins_partner_share+F1388*in_hlth_small_ticket*in_hlth_small_renew_comm*in_ins_partner_share*(in_hlth_small_renew^1*SUMIFS(AF1367:AF1396,B1367:B1396,B1388-12)+in_hlth_small_renew^2*SUMIFS(AF1367:AF1396,B1367:B1396,B1388-24)+in_hlth_small_renew^3*SUMIFS(AF1367:AF1396,B1367:B1396,B1388-36)+in_hlth_small_renew^4*SUMIFS(AF1367:AF1396,B1367:B1396,B1388-48))</f>
        <v/>
      </c>
      <c r="AH1388" s="40">
        <f>AH1387*(1-IF(B1387&gt;=in_marketplace_from,d_hz_hlth_family*G1387,0))</f>
        <v/>
      </c>
      <c r="AI1388" s="46">
        <f>AH1388*IF(B1388&gt;=in_marketplace_from,d_hz_hlth_family*G1388,0)</f>
        <v/>
      </c>
      <c r="AJ1388" s="14">
        <f>F1388*AI1388*in_hlth_family_ticket*in_hlth_family_comm*in_ins_partner_share+F1388*in_hlth_family_ticket*in_hlth_family_renew_comm*in_ins_partner_share*(in_hlth_family_renew^1*SUMIFS(AI1367:AI1396,B1367:B1396,B1388-12)+in_hlth_family_renew^2*SUMIFS(AI1367:AI1396,B1367:B1396,B1388-24)+in_hlth_family_renew^3*SUMIFS(AI1367:AI1396,B1367:B1396,B1388-36)+in_hlth_family_renew^4*SUMIFS(AI1367:AI1396,B1367:B1396,B1388-48))</f>
        <v/>
      </c>
      <c r="AK1388" s="40">
        <f>AK1387*(1-IF(B1387&gt;=in_marketplace_from,d_hz_life_term*G1387,0))</f>
        <v/>
      </c>
      <c r="AL1388" s="46">
        <f>AK1388*IF(B1388&gt;=in_marketplace_from,d_hz_life_term*G1388,0)</f>
        <v/>
      </c>
      <c r="AM1388" s="14">
        <f>F1388*AL1388*in_life_term_ticket*in_life_term_comm*in_ins_partner_share+F1388*in_life_term_ticket*in_life_term_renew_comm*in_ins_partner_share*(in_life_term_renew^1*SUMIFS(AL1367:AL1396,B1367:B1396,B1388-12)+in_life_term_renew^2*SUMIFS(AL1367:AL1396,B1367:B1396,B1388-24)+in_life_term_renew^3*SUMIFS(AL1367:AL1396,B1367:B1396,B1388-36)+in_life_term_renew^4*SUMIFS(AL1367:AL1396,B1367:B1396,B1388-48))</f>
        <v/>
      </c>
      <c r="AN1388" s="40">
        <f>AN1387*(1-IF(B1387&gt;=in_marketplace_from,d_hz_accident*G1387,0))</f>
        <v/>
      </c>
      <c r="AO1388" s="46">
        <f>AN1388*IF(B1388&gt;=in_marketplace_from,d_hz_accident*G1388,0)</f>
        <v/>
      </c>
      <c r="AP1388" s="14">
        <f>F1388*AO1388*in_accident_ticket*in_accident_comm*in_ins_partner_share+F1388*in_accident_ticket*in_accident_renew_comm*in_ins_partner_share*(in_accident_renew^1*SUMIFS(AO1367:AO1396,B1367:B1396,B1388-12)+in_accident_renew^2*SUMIFS(AO1367:AO1396,B1367:B1396,B1388-24)+in_accident_renew^3*SUMIFS(AO1367:AO1396,B1367:B1396,B1388-36)+in_accident_renew^4*SUMIFS(AO1367:AO1396,B1367:B1396,B1388-48))</f>
        <v/>
      </c>
      <c r="AQ1388" s="40">
        <f>AQ1387*(1-IF(B1387&gt;=in_marketplace_from,d_hz_two_wheeler*G1387,0))</f>
        <v/>
      </c>
      <c r="AR1388" s="46">
        <f>AQ1388*IF(B1388&gt;=in_marketplace_from,d_hz_two_wheeler*G1388,0)</f>
        <v/>
      </c>
      <c r="AS1388" s="14">
        <f>F1388*AR1388*in_two_wheeler_ticket*in_two_wheeler_comm*in_ins_partner_share+F1388*in_two_wheeler_ticket*in_two_wheeler_comm*in_ins_partner_share*(in_two_wheeler_renew^1*SUMIFS(AR1367:AR1396,B1367:B1396,B1388-12)+in_two_wheeler_renew^2*SUMIFS(AR1367:AR1396,B1367:B1396,B1388-24)+in_two_wheeler_renew^3*SUMIFS(AR1367:AR1396,B1367:B1396,B1388-36)+in_two_wheeler_renew^4*SUMIFS(AR1367:AR1396,B1367:B1396,B1388-48))</f>
        <v/>
      </c>
      <c r="AT1388" s="40">
        <f>AT1387*(1-IF(B1387&gt;=in_marketplace_from,d_hz_device*G1387,0))</f>
        <v/>
      </c>
      <c r="AU1388" s="14">
        <f>F1388*AT1388*IF(B1388&gt;=in_marketplace_from,d_hz_device*G1388,0)*in_device_ticket*in_device_comm*in_ins_partner_share</f>
        <v/>
      </c>
      <c r="AV1388" s="40">
        <f>AV1387*(1-IF(B1387&gt;=in_marketplace_from,d_hz_shop*G1387,0))</f>
        <v/>
      </c>
      <c r="AW1388" s="46">
        <f>AV1388*IF(B1388&gt;=in_marketplace_from,d_hz_shop*G1388,0)</f>
        <v/>
      </c>
      <c r="AX1388" s="14">
        <f>F1388*AW1388*in_shop_ticket*in_shop_comm*in_ins_partner_share+F1388*in_shop_ticket*in_shop_renew_comm*in_ins_partner_share*(in_shop_renew^1*SUMIFS(AW1367:AW1396,B1367:B1396,B1388-12)+in_shop_renew^2*SUMIFS(AW1367:AW1396,B1367:B1396,B1388-24)+in_shop_renew^3*SUMIFS(AW1367:AW1396,B1367:B1396,B1388-36)+in_shop_renew^4*SUMIFS(AW1367:AW1396,B1367:B1396,B1388-48))</f>
        <v/>
      </c>
      <c r="AY1388" s="40">
        <f>AY1387*(1-IF(B1387&gt;=in_marketplace_from,d_hz_sip*G1387,0))</f>
        <v/>
      </c>
      <c r="AZ1388" s="40">
        <f>AZ1387*d_rho_sip+AY1388*IF(B1388&gt;=in_marketplace_from,d_hz_sip*G1388,0)</f>
        <v/>
      </c>
      <c r="BA1388" s="40">
        <f>d_rho_sip*(BA1387+AZ1387)</f>
        <v/>
      </c>
      <c r="BB1388" s="14">
        <f>F1388*in_sip_ticket*(BA1388+0.5*AZ1388)*in_sip_comm/12</f>
        <v/>
      </c>
      <c r="BC1388" s="40">
        <f>BC1387*(1-IF(B1387&gt;=in_marketplace_from,d_hz_choti*G1387,0))</f>
        <v/>
      </c>
      <c r="BD1388" s="46">
        <f>BC1388*IF(B1388&gt;=in_marketplace_from,d_hz_choti*G1388,0)</f>
        <v/>
      </c>
      <c r="BE1388" s="14">
        <f>F1388*SUMIFS(BD1367:BD1396,B1367:B1396,B1388-in_choti_months)*in_choti_renew*in_choti_ticket</f>
        <v/>
      </c>
      <c r="BF1388" s="40">
        <f>BF1387*(1-IF(B1387&gt;=in_marketplace_from,d_hz_nps*G1387,0))</f>
        <v/>
      </c>
      <c r="BG1388" s="14">
        <f>F1388*BF1388*IF(B1388&gt;=in_marketplace_from,d_hz_nps*G1388,0)*in_nps_ticket*in_nps_comm</f>
        <v/>
      </c>
      <c r="BH1388" s="40">
        <f>BH1387*(1-IF(B1387&gt;=in_marketplace_from,d_hz_gold*G1387,0))</f>
        <v/>
      </c>
      <c r="BI1388" s="40">
        <f>BI1387*d_rho_gold+BH1388*IF(B1388&gt;=in_marketplace_from,d_hz_gold*G1388,0)</f>
        <v/>
      </c>
      <c r="BJ1388" s="14">
        <f>F1388*BI1388*in_gold_ticket*in_gold_comm</f>
        <v/>
      </c>
      <c r="BK1388" s="40">
        <f>BK1387*(1-IF(B1387&gt;=in_marketplace_from,d_hz_fd*G1387,0))</f>
        <v/>
      </c>
      <c r="BL1388" s="14">
        <f>F1388*BK1388*IF(B1388&gt;=in_marketplace_from,d_hz_fd*G1388,0)*in_fd_ticket*in_fd_comm</f>
        <v/>
      </c>
      <c r="BM1388" s="40">
        <f>BM1387*(1-IF(B1387&gt;=in_marketplace_from,d_hz_recharge*G1387,0))</f>
        <v/>
      </c>
      <c r="BN1388" s="40">
        <f>BN1387*d_rho_recharge+BM1388*IF(B1388&gt;=in_marketplace_from,d_hz_recharge*G1388,0)</f>
        <v/>
      </c>
      <c r="BO1388" s="14">
        <f>F1388*BN1388*in_recharge_ticket*in_recharge_comm/12</f>
        <v/>
      </c>
      <c r="BP1388" s="40">
        <f>BP1387*(1-IF(B1387&gt;=in_marketplace_from,d_hz_bills*G1387,0))</f>
        <v/>
      </c>
      <c r="BQ1388" s="40">
        <f>BQ1387*d_rho_bills+BP1388*IF(B1388&gt;=in_marketplace_from,d_hz_bills*G1388,0)</f>
        <v/>
      </c>
      <c r="BR1388" s="14">
        <f>F1388*BQ1388*in_bills_ticket*in_bills_comm/12</f>
        <v/>
      </c>
      <c r="BS1388" s="40">
        <f>BS1387*(1-IF(B1387&gt;=in_marketplace_from,d_hz_loan_gold*G1387,0))</f>
        <v/>
      </c>
      <c r="BT1388" s="14">
        <f>F1388*BS1388*IF(B1388&gt;=in_marketplace_from,d_hz_loan_gold*G1388,0)*in_loan_gold_ticket*in_loan_gold_comm</f>
        <v/>
      </c>
      <c r="BU1388" s="40">
        <f>BU1387*(1-IF(B1387&gt;=in_marketplace_from,d_hz_loan_cd*G1387,0))</f>
        <v/>
      </c>
      <c r="BV1388" s="14">
        <f>F1388*BU1388*IF(B1388&gt;=in_marketplace_from,d_hz_loan_cd*G1388,0)*in_loan_cd_ticket*in_loan_cd_comm</f>
        <v/>
      </c>
      <c r="BW1388" s="40">
        <f>BW1387*(1-IF(B1387&gt;=in_marketplace_from,d_hz_loan_vehicle*G1387,0))</f>
        <v/>
      </c>
      <c r="BX1388" s="14">
        <f>F1388*BW1388*IF(B1388&gt;=in_marketplace_from,d_hz_loan_vehicle*G1388,0)*in_loan_vehicle_ticket*in_loan_vehicle_comm</f>
        <v/>
      </c>
      <c r="BY1388" s="40">
        <f>BY1387*(1-IF(B1387&gt;=in_marketplace_from,d_hz_loan_home*G1387,0)*BZ1387)</f>
        <v/>
      </c>
      <c r="BZ1388" s="11">
        <f>MIN(in_approval_cap,in_loan_home_approval*INDEX('Age profile'!$O$2:$O$61,B1388)*(1+in_approval_growth)^(D1388-1))</f>
        <v/>
      </c>
      <c r="CA1388" s="14">
        <f>F1388*BY1388*IF(B1388&gt;=in_marketplace_from,d_hz_loan_home*G1388,0)*BZ1388*in_loan_home_ticket*in_loan_home_comm</f>
        <v/>
      </c>
      <c r="CB1388" s="40">
        <f>CB1387*(1-IF(B1387&gt;=in_marketplace_from,d_hz_loan_lap*G1387,0)*CC1387)</f>
        <v/>
      </c>
      <c r="CC1388" s="11">
        <f>MIN(in_approval_cap,in_loan_lap_approval*INDEX('Age profile'!$O$2:$O$61,B1388)*(1+in_approval_growth)^(D1388-1))</f>
        <v/>
      </c>
      <c r="CD1388" s="14">
        <f>F1388*CB1388*IF(B1388&gt;=in_marketplace_from,d_hz_loan_lap*G1388,0)*CC1388*in_loan_lap_ticket*in_loan_lap_comm</f>
        <v/>
      </c>
      <c r="CE1388" s="14">
        <f>AA1388+AB1388+AC1388+AD1388+AG1388+AJ1388+AM1388+AP1388+AS1388+AU1388+AX1388+BB1388+BE1388+BG1388+BJ1388+BL1388+BO1388+BR1388+BT1388+BV1388+BX1388+CA1388+CD1388</f>
        <v/>
      </c>
    </row>
    <row r="1389">
      <c r="A1389" s="39" t="n">
        <v>31</v>
      </c>
      <c r="B1389" s="39" t="n">
        <v>23</v>
      </c>
      <c r="C1389" s="39">
        <f>A1389+B1389-1</f>
        <v/>
      </c>
      <c r="D1389" s="39">
        <f>INT((C1389-1)/12)+1</f>
        <v/>
      </c>
      <c r="E1389" s="44">
        <f>INDEX(Monthly!$B$2:$B$61,A1389)</f>
        <v/>
      </c>
      <c r="F1389" s="44">
        <f>E1389*INDEX('Age profile'!$B$2:$B$61,B1389)</f>
        <v/>
      </c>
      <c r="G1389" s="45">
        <f>MIN(in_takeup_cap,INDEX('Age profile'!$N$2:$N$61,B1389)*(1+in_takeup_growth)^(D1389-1))</f>
        <v/>
      </c>
      <c r="H1389" s="11">
        <f>MIN(in_approval_cap,in_approved_first*INDEX('Age profile'!$O$2:$O$61,B1389)*(1+in_approval_growth)^(D1389-1))</f>
        <v/>
      </c>
      <c r="I1389" s="45">
        <f>G1389*MIN(in_takeup_cap,INDEX('Age profile'!$O$2:$O$61,B1389)*(1+in_approval_growth)^(D1389-1))</f>
        <v/>
      </c>
      <c r="J1389" s="40">
        <f>(J1388-L1388)*F1389/F1388</f>
        <v/>
      </c>
      <c r="K1389" s="40">
        <f>(K1388-M1388)*F1389/F1388+SUMIFS(O1367:O1388,B1367:B1388,B1389-1-d_T)*F1389</f>
        <v/>
      </c>
      <c r="L1389" s="40">
        <f>IF(B1389&gt;=in_marketplace_from,J1389*d_hz*G1389*in_eligible*H1389,0)</f>
        <v/>
      </c>
      <c r="M1389" s="40">
        <f>IF(B1389&gt;=in_marketplace_from,K1389*d_hz*G1389*in_eligible*in_approved_repeat,0)</f>
        <v/>
      </c>
      <c r="N1389" s="40">
        <f>L1389+M1389</f>
        <v/>
      </c>
      <c r="O1389" s="46">
        <f>N1389/F1389</f>
        <v/>
      </c>
      <c r="P1389" s="40">
        <f>F1389-J1389-K1389</f>
        <v/>
      </c>
      <c r="Q1389" s="40">
        <f>IF(B1389&gt;=in_marketplace_from,(J1389+K1389)*d_hz*G1389,0)</f>
        <v/>
      </c>
      <c r="R1389" s="40">
        <f>SUMIFS(N1367:N1396,B1367:B1396,"&gt;="&amp;(B1389-d_T),B1367:B1396,"&lt;="&amp;(B1389-1))</f>
        <v/>
      </c>
      <c r="S1389" s="46">
        <f>(1-d_u)*S1388+IF(d_T&gt;in_topup_lag,SUMIFS(O1367:O1396,B1367:B1396,B1389-in_topup_lag)-d_udrop*SUMIFS(O1367:O1396,B1367:B1396,B1389-d_T),0)</f>
        <v/>
      </c>
      <c r="T1389" s="40">
        <f>F1389*d_u*S1389</f>
        <v/>
      </c>
      <c r="U1389" s="9">
        <f>L1389*in_ticket+M1389*d_rep_ticket</f>
        <v/>
      </c>
      <c r="V1389" s="9">
        <f>U1389+T1389*d_topup_amt</f>
        <v/>
      </c>
      <c r="W1389" s="40">
        <f>N1389+T1389*d_topup_ratio</f>
        <v/>
      </c>
      <c r="X1389" s="40">
        <f>SUMIFS(W1367:W1396,B1367:B1396,B1389-in_dpd_lag)*d_cured</f>
        <v/>
      </c>
      <c r="Y1389" s="40">
        <f>SUMIFS(W1367:W1396,B1367:B1396,B1389-in_rec_lag)*d_recd</f>
        <v/>
      </c>
      <c r="Z1389" s="40">
        <f>IF(AND(B1389&gt;=in_marketplace_from,B1389&lt;in_marketplace_from+in_card_months),in_card_share/in_card_months*F1389*I1389,IF(AND(B1389&gt;=in_marketplace_from+in_card_months,B1389&lt;in_marketplace_from+2*in_card_months),in_card_share*d_card_rem/in_card_months*F1389*MIN(in_takeup_cap,(1+in_takeup_growth)^(D1389-1))*MIN(in_takeup_cap,(1+in_approval_growth)^(D1389-1)),0))</f>
        <v/>
      </c>
      <c r="AA1389" s="14">
        <f>V1389*in_fee*(1-in_taken_back)</f>
        <v/>
      </c>
      <c r="AB1389" s="14">
        <f>SUMIFS(W1367:W1396,B1367:B1396,B1389-in_dpd_lag)*d_dpd</f>
        <v/>
      </c>
      <c r="AC1389" s="14">
        <f>SUMIFS(W1367:W1396,B1367:B1396,B1389-in_rec_lag)*d_rec</f>
        <v/>
      </c>
      <c r="AD1389" s="14">
        <f>Z1389*in_card_fee</f>
        <v/>
      </c>
      <c r="AE1389" s="40">
        <f>AE1388*(1-IF(B1388&gt;=in_marketplace_from,d_hz_hlth_small*G1388,0))</f>
        <v/>
      </c>
      <c r="AF1389" s="46">
        <f>AE1389*IF(B1389&gt;=in_marketplace_from,d_hz_hlth_small*G1389,0)</f>
        <v/>
      </c>
      <c r="AG1389" s="14">
        <f>F1389*AF1389*in_hlth_small_ticket*in_hlth_small_comm*in_ins_partner_share+F1389*in_hlth_small_ticket*in_hlth_small_renew_comm*in_ins_partner_share*(in_hlth_small_renew^1*SUMIFS(AF1367:AF1396,B1367:B1396,B1389-12)+in_hlth_small_renew^2*SUMIFS(AF1367:AF1396,B1367:B1396,B1389-24)+in_hlth_small_renew^3*SUMIFS(AF1367:AF1396,B1367:B1396,B1389-36)+in_hlth_small_renew^4*SUMIFS(AF1367:AF1396,B1367:B1396,B1389-48))</f>
        <v/>
      </c>
      <c r="AH1389" s="40">
        <f>AH1388*(1-IF(B1388&gt;=in_marketplace_from,d_hz_hlth_family*G1388,0))</f>
        <v/>
      </c>
      <c r="AI1389" s="46">
        <f>AH1389*IF(B1389&gt;=in_marketplace_from,d_hz_hlth_family*G1389,0)</f>
        <v/>
      </c>
      <c r="AJ1389" s="14">
        <f>F1389*AI1389*in_hlth_family_ticket*in_hlth_family_comm*in_ins_partner_share+F1389*in_hlth_family_ticket*in_hlth_family_renew_comm*in_ins_partner_share*(in_hlth_family_renew^1*SUMIFS(AI1367:AI1396,B1367:B1396,B1389-12)+in_hlth_family_renew^2*SUMIFS(AI1367:AI1396,B1367:B1396,B1389-24)+in_hlth_family_renew^3*SUMIFS(AI1367:AI1396,B1367:B1396,B1389-36)+in_hlth_family_renew^4*SUMIFS(AI1367:AI1396,B1367:B1396,B1389-48))</f>
        <v/>
      </c>
      <c r="AK1389" s="40">
        <f>AK1388*(1-IF(B1388&gt;=in_marketplace_from,d_hz_life_term*G1388,0))</f>
        <v/>
      </c>
      <c r="AL1389" s="46">
        <f>AK1389*IF(B1389&gt;=in_marketplace_from,d_hz_life_term*G1389,0)</f>
        <v/>
      </c>
      <c r="AM1389" s="14">
        <f>F1389*AL1389*in_life_term_ticket*in_life_term_comm*in_ins_partner_share+F1389*in_life_term_ticket*in_life_term_renew_comm*in_ins_partner_share*(in_life_term_renew^1*SUMIFS(AL1367:AL1396,B1367:B1396,B1389-12)+in_life_term_renew^2*SUMIFS(AL1367:AL1396,B1367:B1396,B1389-24)+in_life_term_renew^3*SUMIFS(AL1367:AL1396,B1367:B1396,B1389-36)+in_life_term_renew^4*SUMIFS(AL1367:AL1396,B1367:B1396,B1389-48))</f>
        <v/>
      </c>
      <c r="AN1389" s="40">
        <f>AN1388*(1-IF(B1388&gt;=in_marketplace_from,d_hz_accident*G1388,0))</f>
        <v/>
      </c>
      <c r="AO1389" s="46">
        <f>AN1389*IF(B1389&gt;=in_marketplace_from,d_hz_accident*G1389,0)</f>
        <v/>
      </c>
      <c r="AP1389" s="14">
        <f>F1389*AO1389*in_accident_ticket*in_accident_comm*in_ins_partner_share+F1389*in_accident_ticket*in_accident_renew_comm*in_ins_partner_share*(in_accident_renew^1*SUMIFS(AO1367:AO1396,B1367:B1396,B1389-12)+in_accident_renew^2*SUMIFS(AO1367:AO1396,B1367:B1396,B1389-24)+in_accident_renew^3*SUMIFS(AO1367:AO1396,B1367:B1396,B1389-36)+in_accident_renew^4*SUMIFS(AO1367:AO1396,B1367:B1396,B1389-48))</f>
        <v/>
      </c>
      <c r="AQ1389" s="40">
        <f>AQ1388*(1-IF(B1388&gt;=in_marketplace_from,d_hz_two_wheeler*G1388,0))</f>
        <v/>
      </c>
      <c r="AR1389" s="46">
        <f>AQ1389*IF(B1389&gt;=in_marketplace_from,d_hz_two_wheeler*G1389,0)</f>
        <v/>
      </c>
      <c r="AS1389" s="14">
        <f>F1389*AR1389*in_two_wheeler_ticket*in_two_wheeler_comm*in_ins_partner_share+F1389*in_two_wheeler_ticket*in_two_wheeler_comm*in_ins_partner_share*(in_two_wheeler_renew^1*SUMIFS(AR1367:AR1396,B1367:B1396,B1389-12)+in_two_wheeler_renew^2*SUMIFS(AR1367:AR1396,B1367:B1396,B1389-24)+in_two_wheeler_renew^3*SUMIFS(AR1367:AR1396,B1367:B1396,B1389-36)+in_two_wheeler_renew^4*SUMIFS(AR1367:AR1396,B1367:B1396,B1389-48))</f>
        <v/>
      </c>
      <c r="AT1389" s="40">
        <f>AT1388*(1-IF(B1388&gt;=in_marketplace_from,d_hz_device*G1388,0))</f>
        <v/>
      </c>
      <c r="AU1389" s="14">
        <f>F1389*AT1389*IF(B1389&gt;=in_marketplace_from,d_hz_device*G1389,0)*in_device_ticket*in_device_comm*in_ins_partner_share</f>
        <v/>
      </c>
      <c r="AV1389" s="40">
        <f>AV1388*(1-IF(B1388&gt;=in_marketplace_from,d_hz_shop*G1388,0))</f>
        <v/>
      </c>
      <c r="AW1389" s="46">
        <f>AV1389*IF(B1389&gt;=in_marketplace_from,d_hz_shop*G1389,0)</f>
        <v/>
      </c>
      <c r="AX1389" s="14">
        <f>F1389*AW1389*in_shop_ticket*in_shop_comm*in_ins_partner_share+F1389*in_shop_ticket*in_shop_renew_comm*in_ins_partner_share*(in_shop_renew^1*SUMIFS(AW1367:AW1396,B1367:B1396,B1389-12)+in_shop_renew^2*SUMIFS(AW1367:AW1396,B1367:B1396,B1389-24)+in_shop_renew^3*SUMIFS(AW1367:AW1396,B1367:B1396,B1389-36)+in_shop_renew^4*SUMIFS(AW1367:AW1396,B1367:B1396,B1389-48))</f>
        <v/>
      </c>
      <c r="AY1389" s="40">
        <f>AY1388*(1-IF(B1388&gt;=in_marketplace_from,d_hz_sip*G1388,0))</f>
        <v/>
      </c>
      <c r="AZ1389" s="40">
        <f>AZ1388*d_rho_sip+AY1389*IF(B1389&gt;=in_marketplace_from,d_hz_sip*G1389,0)</f>
        <v/>
      </c>
      <c r="BA1389" s="40">
        <f>d_rho_sip*(BA1388+AZ1388)</f>
        <v/>
      </c>
      <c r="BB1389" s="14">
        <f>F1389*in_sip_ticket*(BA1389+0.5*AZ1389)*in_sip_comm/12</f>
        <v/>
      </c>
      <c r="BC1389" s="40">
        <f>BC1388*(1-IF(B1388&gt;=in_marketplace_from,d_hz_choti*G1388,0))</f>
        <v/>
      </c>
      <c r="BD1389" s="46">
        <f>BC1389*IF(B1389&gt;=in_marketplace_from,d_hz_choti*G1389,0)</f>
        <v/>
      </c>
      <c r="BE1389" s="14">
        <f>F1389*SUMIFS(BD1367:BD1396,B1367:B1396,B1389-in_choti_months)*in_choti_renew*in_choti_ticket</f>
        <v/>
      </c>
      <c r="BF1389" s="40">
        <f>BF1388*(1-IF(B1388&gt;=in_marketplace_from,d_hz_nps*G1388,0))</f>
        <v/>
      </c>
      <c r="BG1389" s="14">
        <f>F1389*BF1389*IF(B1389&gt;=in_marketplace_from,d_hz_nps*G1389,0)*in_nps_ticket*in_nps_comm</f>
        <v/>
      </c>
      <c r="BH1389" s="40">
        <f>BH1388*(1-IF(B1388&gt;=in_marketplace_from,d_hz_gold*G1388,0))</f>
        <v/>
      </c>
      <c r="BI1389" s="40">
        <f>BI1388*d_rho_gold+BH1389*IF(B1389&gt;=in_marketplace_from,d_hz_gold*G1389,0)</f>
        <v/>
      </c>
      <c r="BJ1389" s="14">
        <f>F1389*BI1389*in_gold_ticket*in_gold_comm</f>
        <v/>
      </c>
      <c r="BK1389" s="40">
        <f>BK1388*(1-IF(B1388&gt;=in_marketplace_from,d_hz_fd*G1388,0))</f>
        <v/>
      </c>
      <c r="BL1389" s="14">
        <f>F1389*BK1389*IF(B1389&gt;=in_marketplace_from,d_hz_fd*G1389,0)*in_fd_ticket*in_fd_comm</f>
        <v/>
      </c>
      <c r="BM1389" s="40">
        <f>BM1388*(1-IF(B1388&gt;=in_marketplace_from,d_hz_recharge*G1388,0))</f>
        <v/>
      </c>
      <c r="BN1389" s="40">
        <f>BN1388*d_rho_recharge+BM1389*IF(B1389&gt;=in_marketplace_from,d_hz_recharge*G1389,0)</f>
        <v/>
      </c>
      <c r="BO1389" s="14">
        <f>F1389*BN1389*in_recharge_ticket*in_recharge_comm/12</f>
        <v/>
      </c>
      <c r="BP1389" s="40">
        <f>BP1388*(1-IF(B1388&gt;=in_marketplace_from,d_hz_bills*G1388,0))</f>
        <v/>
      </c>
      <c r="BQ1389" s="40">
        <f>BQ1388*d_rho_bills+BP1389*IF(B1389&gt;=in_marketplace_from,d_hz_bills*G1389,0)</f>
        <v/>
      </c>
      <c r="BR1389" s="14">
        <f>F1389*BQ1389*in_bills_ticket*in_bills_comm/12</f>
        <v/>
      </c>
      <c r="BS1389" s="40">
        <f>BS1388*(1-IF(B1388&gt;=in_marketplace_from,d_hz_loan_gold*G1388,0))</f>
        <v/>
      </c>
      <c r="BT1389" s="14">
        <f>F1389*BS1389*IF(B1389&gt;=in_marketplace_from,d_hz_loan_gold*G1389,0)*in_loan_gold_ticket*in_loan_gold_comm</f>
        <v/>
      </c>
      <c r="BU1389" s="40">
        <f>BU1388*(1-IF(B1388&gt;=in_marketplace_from,d_hz_loan_cd*G1388,0))</f>
        <v/>
      </c>
      <c r="BV1389" s="14">
        <f>F1389*BU1389*IF(B1389&gt;=in_marketplace_from,d_hz_loan_cd*G1389,0)*in_loan_cd_ticket*in_loan_cd_comm</f>
        <v/>
      </c>
      <c r="BW1389" s="40">
        <f>BW1388*(1-IF(B1388&gt;=in_marketplace_from,d_hz_loan_vehicle*G1388,0))</f>
        <v/>
      </c>
      <c r="BX1389" s="14">
        <f>F1389*BW1389*IF(B1389&gt;=in_marketplace_from,d_hz_loan_vehicle*G1389,0)*in_loan_vehicle_ticket*in_loan_vehicle_comm</f>
        <v/>
      </c>
      <c r="BY1389" s="40">
        <f>BY1388*(1-IF(B1388&gt;=in_marketplace_from,d_hz_loan_home*G1388,0)*BZ1388)</f>
        <v/>
      </c>
      <c r="BZ1389" s="11">
        <f>MIN(in_approval_cap,in_loan_home_approval*INDEX('Age profile'!$O$2:$O$61,B1389)*(1+in_approval_growth)^(D1389-1))</f>
        <v/>
      </c>
      <c r="CA1389" s="14">
        <f>F1389*BY1389*IF(B1389&gt;=in_marketplace_from,d_hz_loan_home*G1389,0)*BZ1389*in_loan_home_ticket*in_loan_home_comm</f>
        <v/>
      </c>
      <c r="CB1389" s="40">
        <f>CB1388*(1-IF(B1388&gt;=in_marketplace_from,d_hz_loan_lap*G1388,0)*CC1388)</f>
        <v/>
      </c>
      <c r="CC1389" s="11">
        <f>MIN(in_approval_cap,in_loan_lap_approval*INDEX('Age profile'!$O$2:$O$61,B1389)*(1+in_approval_growth)^(D1389-1))</f>
        <v/>
      </c>
      <c r="CD1389" s="14">
        <f>F1389*CB1389*IF(B1389&gt;=in_marketplace_from,d_hz_loan_lap*G1389,0)*CC1389*in_loan_lap_ticket*in_loan_lap_comm</f>
        <v/>
      </c>
      <c r="CE1389" s="14">
        <f>AA1389+AB1389+AC1389+AD1389+AG1389+AJ1389+AM1389+AP1389+AS1389+AU1389+AX1389+BB1389+BE1389+BG1389+BJ1389+BL1389+BO1389+BR1389+BT1389+BV1389+BX1389+CA1389+CD1389</f>
        <v/>
      </c>
    </row>
    <row r="1390">
      <c r="A1390" s="39" t="n">
        <v>31</v>
      </c>
      <c r="B1390" s="39" t="n">
        <v>24</v>
      </c>
      <c r="C1390" s="39">
        <f>A1390+B1390-1</f>
        <v/>
      </c>
      <c r="D1390" s="39">
        <f>INT((C1390-1)/12)+1</f>
        <v/>
      </c>
      <c r="E1390" s="44">
        <f>INDEX(Monthly!$B$2:$B$61,A1390)</f>
        <v/>
      </c>
      <c r="F1390" s="44">
        <f>E1390*INDEX('Age profile'!$B$2:$B$61,B1390)</f>
        <v/>
      </c>
      <c r="G1390" s="45">
        <f>MIN(in_takeup_cap,INDEX('Age profile'!$N$2:$N$61,B1390)*(1+in_takeup_growth)^(D1390-1))</f>
        <v/>
      </c>
      <c r="H1390" s="11">
        <f>MIN(in_approval_cap,in_approved_first*INDEX('Age profile'!$O$2:$O$61,B1390)*(1+in_approval_growth)^(D1390-1))</f>
        <v/>
      </c>
      <c r="I1390" s="45">
        <f>G1390*MIN(in_takeup_cap,INDEX('Age profile'!$O$2:$O$61,B1390)*(1+in_approval_growth)^(D1390-1))</f>
        <v/>
      </c>
      <c r="J1390" s="40">
        <f>(J1389-L1389)*F1390/F1389</f>
        <v/>
      </c>
      <c r="K1390" s="40">
        <f>(K1389-M1389)*F1390/F1389+SUMIFS(O1367:O1389,B1367:B1389,B1390-1-d_T)*F1390</f>
        <v/>
      </c>
      <c r="L1390" s="40">
        <f>IF(B1390&gt;=in_marketplace_from,J1390*d_hz*G1390*in_eligible*H1390,0)</f>
        <v/>
      </c>
      <c r="M1390" s="40">
        <f>IF(B1390&gt;=in_marketplace_from,K1390*d_hz*G1390*in_eligible*in_approved_repeat,0)</f>
        <v/>
      </c>
      <c r="N1390" s="40">
        <f>L1390+M1390</f>
        <v/>
      </c>
      <c r="O1390" s="46">
        <f>N1390/F1390</f>
        <v/>
      </c>
      <c r="P1390" s="40">
        <f>F1390-J1390-K1390</f>
        <v/>
      </c>
      <c r="Q1390" s="40">
        <f>IF(B1390&gt;=in_marketplace_from,(J1390+K1390)*d_hz*G1390,0)</f>
        <v/>
      </c>
      <c r="R1390" s="40">
        <f>SUMIFS(N1367:N1396,B1367:B1396,"&gt;="&amp;(B1390-d_T),B1367:B1396,"&lt;="&amp;(B1390-1))</f>
        <v/>
      </c>
      <c r="S1390" s="46">
        <f>(1-d_u)*S1389+IF(d_T&gt;in_topup_lag,SUMIFS(O1367:O1396,B1367:B1396,B1390-in_topup_lag)-d_udrop*SUMIFS(O1367:O1396,B1367:B1396,B1390-d_T),0)</f>
        <v/>
      </c>
      <c r="T1390" s="40">
        <f>F1390*d_u*S1390</f>
        <v/>
      </c>
      <c r="U1390" s="9">
        <f>L1390*in_ticket+M1390*d_rep_ticket</f>
        <v/>
      </c>
      <c r="V1390" s="9">
        <f>U1390+T1390*d_topup_amt</f>
        <v/>
      </c>
      <c r="W1390" s="40">
        <f>N1390+T1390*d_topup_ratio</f>
        <v/>
      </c>
      <c r="X1390" s="40">
        <f>SUMIFS(W1367:W1396,B1367:B1396,B1390-in_dpd_lag)*d_cured</f>
        <v/>
      </c>
      <c r="Y1390" s="40">
        <f>SUMIFS(W1367:W1396,B1367:B1396,B1390-in_rec_lag)*d_recd</f>
        <v/>
      </c>
      <c r="Z1390" s="40">
        <f>IF(AND(B1390&gt;=in_marketplace_from,B1390&lt;in_marketplace_from+in_card_months),in_card_share/in_card_months*F1390*I1390,IF(AND(B1390&gt;=in_marketplace_from+in_card_months,B1390&lt;in_marketplace_from+2*in_card_months),in_card_share*d_card_rem/in_card_months*F1390*MIN(in_takeup_cap,(1+in_takeup_growth)^(D1390-1))*MIN(in_takeup_cap,(1+in_approval_growth)^(D1390-1)),0))</f>
        <v/>
      </c>
      <c r="AA1390" s="14">
        <f>V1390*in_fee*(1-in_taken_back)</f>
        <v/>
      </c>
      <c r="AB1390" s="14">
        <f>SUMIFS(W1367:W1396,B1367:B1396,B1390-in_dpd_lag)*d_dpd</f>
        <v/>
      </c>
      <c r="AC1390" s="14">
        <f>SUMIFS(W1367:W1396,B1367:B1396,B1390-in_rec_lag)*d_rec</f>
        <v/>
      </c>
      <c r="AD1390" s="14">
        <f>Z1390*in_card_fee</f>
        <v/>
      </c>
      <c r="AE1390" s="40">
        <f>AE1389*(1-IF(B1389&gt;=in_marketplace_from,d_hz_hlth_small*G1389,0))</f>
        <v/>
      </c>
      <c r="AF1390" s="46">
        <f>AE1390*IF(B1390&gt;=in_marketplace_from,d_hz_hlth_small*G1390,0)</f>
        <v/>
      </c>
      <c r="AG1390" s="14">
        <f>F1390*AF1390*in_hlth_small_ticket*in_hlth_small_comm*in_ins_partner_share+F1390*in_hlth_small_ticket*in_hlth_small_renew_comm*in_ins_partner_share*(in_hlth_small_renew^1*SUMIFS(AF1367:AF1396,B1367:B1396,B1390-12)+in_hlth_small_renew^2*SUMIFS(AF1367:AF1396,B1367:B1396,B1390-24)+in_hlth_small_renew^3*SUMIFS(AF1367:AF1396,B1367:B1396,B1390-36)+in_hlth_small_renew^4*SUMIFS(AF1367:AF1396,B1367:B1396,B1390-48))</f>
        <v/>
      </c>
      <c r="AH1390" s="40">
        <f>AH1389*(1-IF(B1389&gt;=in_marketplace_from,d_hz_hlth_family*G1389,0))</f>
        <v/>
      </c>
      <c r="AI1390" s="46">
        <f>AH1390*IF(B1390&gt;=in_marketplace_from,d_hz_hlth_family*G1390,0)</f>
        <v/>
      </c>
      <c r="AJ1390" s="14">
        <f>F1390*AI1390*in_hlth_family_ticket*in_hlth_family_comm*in_ins_partner_share+F1390*in_hlth_family_ticket*in_hlth_family_renew_comm*in_ins_partner_share*(in_hlth_family_renew^1*SUMIFS(AI1367:AI1396,B1367:B1396,B1390-12)+in_hlth_family_renew^2*SUMIFS(AI1367:AI1396,B1367:B1396,B1390-24)+in_hlth_family_renew^3*SUMIFS(AI1367:AI1396,B1367:B1396,B1390-36)+in_hlth_family_renew^4*SUMIFS(AI1367:AI1396,B1367:B1396,B1390-48))</f>
        <v/>
      </c>
      <c r="AK1390" s="40">
        <f>AK1389*(1-IF(B1389&gt;=in_marketplace_from,d_hz_life_term*G1389,0))</f>
        <v/>
      </c>
      <c r="AL1390" s="46">
        <f>AK1390*IF(B1390&gt;=in_marketplace_from,d_hz_life_term*G1390,0)</f>
        <v/>
      </c>
      <c r="AM1390" s="14">
        <f>F1390*AL1390*in_life_term_ticket*in_life_term_comm*in_ins_partner_share+F1390*in_life_term_ticket*in_life_term_renew_comm*in_ins_partner_share*(in_life_term_renew^1*SUMIFS(AL1367:AL1396,B1367:B1396,B1390-12)+in_life_term_renew^2*SUMIFS(AL1367:AL1396,B1367:B1396,B1390-24)+in_life_term_renew^3*SUMIFS(AL1367:AL1396,B1367:B1396,B1390-36)+in_life_term_renew^4*SUMIFS(AL1367:AL1396,B1367:B1396,B1390-48))</f>
        <v/>
      </c>
      <c r="AN1390" s="40">
        <f>AN1389*(1-IF(B1389&gt;=in_marketplace_from,d_hz_accident*G1389,0))</f>
        <v/>
      </c>
      <c r="AO1390" s="46">
        <f>AN1390*IF(B1390&gt;=in_marketplace_from,d_hz_accident*G1390,0)</f>
        <v/>
      </c>
      <c r="AP1390" s="14">
        <f>F1390*AO1390*in_accident_ticket*in_accident_comm*in_ins_partner_share+F1390*in_accident_ticket*in_accident_renew_comm*in_ins_partner_share*(in_accident_renew^1*SUMIFS(AO1367:AO1396,B1367:B1396,B1390-12)+in_accident_renew^2*SUMIFS(AO1367:AO1396,B1367:B1396,B1390-24)+in_accident_renew^3*SUMIFS(AO1367:AO1396,B1367:B1396,B1390-36)+in_accident_renew^4*SUMIFS(AO1367:AO1396,B1367:B1396,B1390-48))</f>
        <v/>
      </c>
      <c r="AQ1390" s="40">
        <f>AQ1389*(1-IF(B1389&gt;=in_marketplace_from,d_hz_two_wheeler*G1389,0))</f>
        <v/>
      </c>
      <c r="AR1390" s="46">
        <f>AQ1390*IF(B1390&gt;=in_marketplace_from,d_hz_two_wheeler*G1390,0)</f>
        <v/>
      </c>
      <c r="AS1390" s="14">
        <f>F1390*AR1390*in_two_wheeler_ticket*in_two_wheeler_comm*in_ins_partner_share+F1390*in_two_wheeler_ticket*in_two_wheeler_comm*in_ins_partner_share*(in_two_wheeler_renew^1*SUMIFS(AR1367:AR1396,B1367:B1396,B1390-12)+in_two_wheeler_renew^2*SUMIFS(AR1367:AR1396,B1367:B1396,B1390-24)+in_two_wheeler_renew^3*SUMIFS(AR1367:AR1396,B1367:B1396,B1390-36)+in_two_wheeler_renew^4*SUMIFS(AR1367:AR1396,B1367:B1396,B1390-48))</f>
        <v/>
      </c>
      <c r="AT1390" s="40">
        <f>AT1389*(1-IF(B1389&gt;=in_marketplace_from,d_hz_device*G1389,0))</f>
        <v/>
      </c>
      <c r="AU1390" s="14">
        <f>F1390*AT1390*IF(B1390&gt;=in_marketplace_from,d_hz_device*G1390,0)*in_device_ticket*in_device_comm*in_ins_partner_share</f>
        <v/>
      </c>
      <c r="AV1390" s="40">
        <f>AV1389*(1-IF(B1389&gt;=in_marketplace_from,d_hz_shop*G1389,0))</f>
        <v/>
      </c>
      <c r="AW1390" s="46">
        <f>AV1390*IF(B1390&gt;=in_marketplace_from,d_hz_shop*G1390,0)</f>
        <v/>
      </c>
      <c r="AX1390" s="14">
        <f>F1390*AW1390*in_shop_ticket*in_shop_comm*in_ins_partner_share+F1390*in_shop_ticket*in_shop_renew_comm*in_ins_partner_share*(in_shop_renew^1*SUMIFS(AW1367:AW1396,B1367:B1396,B1390-12)+in_shop_renew^2*SUMIFS(AW1367:AW1396,B1367:B1396,B1390-24)+in_shop_renew^3*SUMIFS(AW1367:AW1396,B1367:B1396,B1390-36)+in_shop_renew^4*SUMIFS(AW1367:AW1396,B1367:B1396,B1390-48))</f>
        <v/>
      </c>
      <c r="AY1390" s="40">
        <f>AY1389*(1-IF(B1389&gt;=in_marketplace_from,d_hz_sip*G1389,0))</f>
        <v/>
      </c>
      <c r="AZ1390" s="40">
        <f>AZ1389*d_rho_sip+AY1390*IF(B1390&gt;=in_marketplace_from,d_hz_sip*G1390,0)</f>
        <v/>
      </c>
      <c r="BA1390" s="40">
        <f>d_rho_sip*(BA1389+AZ1389)</f>
        <v/>
      </c>
      <c r="BB1390" s="14">
        <f>F1390*in_sip_ticket*(BA1390+0.5*AZ1390)*in_sip_comm/12</f>
        <v/>
      </c>
      <c r="BC1390" s="40">
        <f>BC1389*(1-IF(B1389&gt;=in_marketplace_from,d_hz_choti*G1389,0))</f>
        <v/>
      </c>
      <c r="BD1390" s="46">
        <f>BC1390*IF(B1390&gt;=in_marketplace_from,d_hz_choti*G1390,0)</f>
        <v/>
      </c>
      <c r="BE1390" s="14">
        <f>F1390*SUMIFS(BD1367:BD1396,B1367:B1396,B1390-in_choti_months)*in_choti_renew*in_choti_ticket</f>
        <v/>
      </c>
      <c r="BF1390" s="40">
        <f>BF1389*(1-IF(B1389&gt;=in_marketplace_from,d_hz_nps*G1389,0))</f>
        <v/>
      </c>
      <c r="BG1390" s="14">
        <f>F1390*BF1390*IF(B1390&gt;=in_marketplace_from,d_hz_nps*G1390,0)*in_nps_ticket*in_nps_comm</f>
        <v/>
      </c>
      <c r="BH1390" s="40">
        <f>BH1389*(1-IF(B1389&gt;=in_marketplace_from,d_hz_gold*G1389,0))</f>
        <v/>
      </c>
      <c r="BI1390" s="40">
        <f>BI1389*d_rho_gold+BH1390*IF(B1390&gt;=in_marketplace_from,d_hz_gold*G1390,0)</f>
        <v/>
      </c>
      <c r="BJ1390" s="14">
        <f>F1390*BI1390*in_gold_ticket*in_gold_comm</f>
        <v/>
      </c>
      <c r="BK1390" s="40">
        <f>BK1389*(1-IF(B1389&gt;=in_marketplace_from,d_hz_fd*G1389,0))</f>
        <v/>
      </c>
      <c r="BL1390" s="14">
        <f>F1390*BK1390*IF(B1390&gt;=in_marketplace_from,d_hz_fd*G1390,0)*in_fd_ticket*in_fd_comm</f>
        <v/>
      </c>
      <c r="BM1390" s="40">
        <f>BM1389*(1-IF(B1389&gt;=in_marketplace_from,d_hz_recharge*G1389,0))</f>
        <v/>
      </c>
      <c r="BN1390" s="40">
        <f>BN1389*d_rho_recharge+BM1390*IF(B1390&gt;=in_marketplace_from,d_hz_recharge*G1390,0)</f>
        <v/>
      </c>
      <c r="BO1390" s="14">
        <f>F1390*BN1390*in_recharge_ticket*in_recharge_comm/12</f>
        <v/>
      </c>
      <c r="BP1390" s="40">
        <f>BP1389*(1-IF(B1389&gt;=in_marketplace_from,d_hz_bills*G1389,0))</f>
        <v/>
      </c>
      <c r="BQ1390" s="40">
        <f>BQ1389*d_rho_bills+BP1390*IF(B1390&gt;=in_marketplace_from,d_hz_bills*G1390,0)</f>
        <v/>
      </c>
      <c r="BR1390" s="14">
        <f>F1390*BQ1390*in_bills_ticket*in_bills_comm/12</f>
        <v/>
      </c>
      <c r="BS1390" s="40">
        <f>BS1389*(1-IF(B1389&gt;=in_marketplace_from,d_hz_loan_gold*G1389,0))</f>
        <v/>
      </c>
      <c r="BT1390" s="14">
        <f>F1390*BS1390*IF(B1390&gt;=in_marketplace_from,d_hz_loan_gold*G1390,0)*in_loan_gold_ticket*in_loan_gold_comm</f>
        <v/>
      </c>
      <c r="BU1390" s="40">
        <f>BU1389*(1-IF(B1389&gt;=in_marketplace_from,d_hz_loan_cd*G1389,0))</f>
        <v/>
      </c>
      <c r="BV1390" s="14">
        <f>F1390*BU1390*IF(B1390&gt;=in_marketplace_from,d_hz_loan_cd*G1390,0)*in_loan_cd_ticket*in_loan_cd_comm</f>
        <v/>
      </c>
      <c r="BW1390" s="40">
        <f>BW1389*(1-IF(B1389&gt;=in_marketplace_from,d_hz_loan_vehicle*G1389,0))</f>
        <v/>
      </c>
      <c r="BX1390" s="14">
        <f>F1390*BW1390*IF(B1390&gt;=in_marketplace_from,d_hz_loan_vehicle*G1390,0)*in_loan_vehicle_ticket*in_loan_vehicle_comm</f>
        <v/>
      </c>
      <c r="BY1390" s="40">
        <f>BY1389*(1-IF(B1389&gt;=in_marketplace_from,d_hz_loan_home*G1389,0)*BZ1389)</f>
        <v/>
      </c>
      <c r="BZ1390" s="11">
        <f>MIN(in_approval_cap,in_loan_home_approval*INDEX('Age profile'!$O$2:$O$61,B1390)*(1+in_approval_growth)^(D1390-1))</f>
        <v/>
      </c>
      <c r="CA1390" s="14">
        <f>F1390*BY1390*IF(B1390&gt;=in_marketplace_from,d_hz_loan_home*G1390,0)*BZ1390*in_loan_home_ticket*in_loan_home_comm</f>
        <v/>
      </c>
      <c r="CB1390" s="40">
        <f>CB1389*(1-IF(B1389&gt;=in_marketplace_from,d_hz_loan_lap*G1389,0)*CC1389)</f>
        <v/>
      </c>
      <c r="CC1390" s="11">
        <f>MIN(in_approval_cap,in_loan_lap_approval*INDEX('Age profile'!$O$2:$O$61,B1390)*(1+in_approval_growth)^(D1390-1))</f>
        <v/>
      </c>
      <c r="CD1390" s="14">
        <f>F1390*CB1390*IF(B1390&gt;=in_marketplace_from,d_hz_loan_lap*G1390,0)*CC1390*in_loan_lap_ticket*in_loan_lap_comm</f>
        <v/>
      </c>
      <c r="CE1390" s="14">
        <f>AA1390+AB1390+AC1390+AD1390+AG1390+AJ1390+AM1390+AP1390+AS1390+AU1390+AX1390+BB1390+BE1390+BG1390+BJ1390+BL1390+BO1390+BR1390+BT1390+BV1390+BX1390+CA1390+CD1390</f>
        <v/>
      </c>
    </row>
    <row r="1391">
      <c r="A1391" s="39" t="n">
        <v>31</v>
      </c>
      <c r="B1391" s="39" t="n">
        <v>25</v>
      </c>
      <c r="C1391" s="39">
        <f>A1391+B1391-1</f>
        <v/>
      </c>
      <c r="D1391" s="39">
        <f>INT((C1391-1)/12)+1</f>
        <v/>
      </c>
      <c r="E1391" s="44">
        <f>INDEX(Monthly!$B$2:$B$61,A1391)</f>
        <v/>
      </c>
      <c r="F1391" s="44">
        <f>E1391*INDEX('Age profile'!$B$2:$B$61,B1391)</f>
        <v/>
      </c>
      <c r="G1391" s="45">
        <f>MIN(in_takeup_cap,INDEX('Age profile'!$N$2:$N$61,B1391)*(1+in_takeup_growth)^(D1391-1))</f>
        <v/>
      </c>
      <c r="H1391" s="11">
        <f>MIN(in_approval_cap,in_approved_first*INDEX('Age profile'!$O$2:$O$61,B1391)*(1+in_approval_growth)^(D1391-1))</f>
        <v/>
      </c>
      <c r="I1391" s="45">
        <f>G1391*MIN(in_takeup_cap,INDEX('Age profile'!$O$2:$O$61,B1391)*(1+in_approval_growth)^(D1391-1))</f>
        <v/>
      </c>
      <c r="J1391" s="40">
        <f>(J1390-L1390)*F1391/F1390</f>
        <v/>
      </c>
      <c r="K1391" s="40">
        <f>(K1390-M1390)*F1391/F1390+SUMIFS(O1367:O1390,B1367:B1390,B1391-1-d_T)*F1391</f>
        <v/>
      </c>
      <c r="L1391" s="40">
        <f>IF(B1391&gt;=in_marketplace_from,J1391*d_hz*G1391*in_eligible*H1391,0)</f>
        <v/>
      </c>
      <c r="M1391" s="40">
        <f>IF(B1391&gt;=in_marketplace_from,K1391*d_hz*G1391*in_eligible*in_approved_repeat,0)</f>
        <v/>
      </c>
      <c r="N1391" s="40">
        <f>L1391+M1391</f>
        <v/>
      </c>
      <c r="O1391" s="46">
        <f>N1391/F1391</f>
        <v/>
      </c>
      <c r="P1391" s="40">
        <f>F1391-J1391-K1391</f>
        <v/>
      </c>
      <c r="Q1391" s="40">
        <f>IF(B1391&gt;=in_marketplace_from,(J1391+K1391)*d_hz*G1391,0)</f>
        <v/>
      </c>
      <c r="R1391" s="40">
        <f>SUMIFS(N1367:N1396,B1367:B1396,"&gt;="&amp;(B1391-d_T),B1367:B1396,"&lt;="&amp;(B1391-1))</f>
        <v/>
      </c>
      <c r="S1391" s="46">
        <f>(1-d_u)*S1390+IF(d_T&gt;in_topup_lag,SUMIFS(O1367:O1396,B1367:B1396,B1391-in_topup_lag)-d_udrop*SUMIFS(O1367:O1396,B1367:B1396,B1391-d_T),0)</f>
        <v/>
      </c>
      <c r="T1391" s="40">
        <f>F1391*d_u*S1391</f>
        <v/>
      </c>
      <c r="U1391" s="9">
        <f>L1391*in_ticket+M1391*d_rep_ticket</f>
        <v/>
      </c>
      <c r="V1391" s="9">
        <f>U1391+T1391*d_topup_amt</f>
        <v/>
      </c>
      <c r="W1391" s="40">
        <f>N1391+T1391*d_topup_ratio</f>
        <v/>
      </c>
      <c r="X1391" s="40">
        <f>SUMIFS(W1367:W1396,B1367:B1396,B1391-in_dpd_lag)*d_cured</f>
        <v/>
      </c>
      <c r="Y1391" s="40">
        <f>SUMIFS(W1367:W1396,B1367:B1396,B1391-in_rec_lag)*d_recd</f>
        <v/>
      </c>
      <c r="Z1391" s="40">
        <f>IF(AND(B1391&gt;=in_marketplace_from,B1391&lt;in_marketplace_from+in_card_months),in_card_share/in_card_months*F1391*I1391,IF(AND(B1391&gt;=in_marketplace_from+in_card_months,B1391&lt;in_marketplace_from+2*in_card_months),in_card_share*d_card_rem/in_card_months*F1391*MIN(in_takeup_cap,(1+in_takeup_growth)^(D1391-1))*MIN(in_takeup_cap,(1+in_approval_growth)^(D1391-1)),0))</f>
        <v/>
      </c>
      <c r="AA1391" s="14">
        <f>V1391*in_fee*(1-in_taken_back)</f>
        <v/>
      </c>
      <c r="AB1391" s="14">
        <f>SUMIFS(W1367:W1396,B1367:B1396,B1391-in_dpd_lag)*d_dpd</f>
        <v/>
      </c>
      <c r="AC1391" s="14">
        <f>SUMIFS(W1367:W1396,B1367:B1396,B1391-in_rec_lag)*d_rec</f>
        <v/>
      </c>
      <c r="AD1391" s="14">
        <f>Z1391*in_card_fee</f>
        <v/>
      </c>
      <c r="AE1391" s="40">
        <f>AE1390*(1-IF(B1390&gt;=in_marketplace_from,d_hz_hlth_small*G1390,0))</f>
        <v/>
      </c>
      <c r="AF1391" s="46">
        <f>AE1391*IF(B1391&gt;=in_marketplace_from,d_hz_hlth_small*G1391,0)</f>
        <v/>
      </c>
      <c r="AG1391" s="14">
        <f>F1391*AF1391*in_hlth_small_ticket*in_hlth_small_comm*in_ins_partner_share+F1391*in_hlth_small_ticket*in_hlth_small_renew_comm*in_ins_partner_share*(in_hlth_small_renew^1*SUMIFS(AF1367:AF1396,B1367:B1396,B1391-12)+in_hlth_small_renew^2*SUMIFS(AF1367:AF1396,B1367:B1396,B1391-24)+in_hlth_small_renew^3*SUMIFS(AF1367:AF1396,B1367:B1396,B1391-36)+in_hlth_small_renew^4*SUMIFS(AF1367:AF1396,B1367:B1396,B1391-48))</f>
        <v/>
      </c>
      <c r="AH1391" s="40">
        <f>AH1390*(1-IF(B1390&gt;=in_marketplace_from,d_hz_hlth_family*G1390,0))</f>
        <v/>
      </c>
      <c r="AI1391" s="46">
        <f>AH1391*IF(B1391&gt;=in_marketplace_from,d_hz_hlth_family*G1391,0)</f>
        <v/>
      </c>
      <c r="AJ1391" s="14">
        <f>F1391*AI1391*in_hlth_family_ticket*in_hlth_family_comm*in_ins_partner_share+F1391*in_hlth_family_ticket*in_hlth_family_renew_comm*in_ins_partner_share*(in_hlth_family_renew^1*SUMIFS(AI1367:AI1396,B1367:B1396,B1391-12)+in_hlth_family_renew^2*SUMIFS(AI1367:AI1396,B1367:B1396,B1391-24)+in_hlth_family_renew^3*SUMIFS(AI1367:AI1396,B1367:B1396,B1391-36)+in_hlth_family_renew^4*SUMIFS(AI1367:AI1396,B1367:B1396,B1391-48))</f>
        <v/>
      </c>
      <c r="AK1391" s="40">
        <f>AK1390*(1-IF(B1390&gt;=in_marketplace_from,d_hz_life_term*G1390,0))</f>
        <v/>
      </c>
      <c r="AL1391" s="46">
        <f>AK1391*IF(B1391&gt;=in_marketplace_from,d_hz_life_term*G1391,0)</f>
        <v/>
      </c>
      <c r="AM1391" s="14">
        <f>F1391*AL1391*in_life_term_ticket*in_life_term_comm*in_ins_partner_share+F1391*in_life_term_ticket*in_life_term_renew_comm*in_ins_partner_share*(in_life_term_renew^1*SUMIFS(AL1367:AL1396,B1367:B1396,B1391-12)+in_life_term_renew^2*SUMIFS(AL1367:AL1396,B1367:B1396,B1391-24)+in_life_term_renew^3*SUMIFS(AL1367:AL1396,B1367:B1396,B1391-36)+in_life_term_renew^4*SUMIFS(AL1367:AL1396,B1367:B1396,B1391-48))</f>
        <v/>
      </c>
      <c r="AN1391" s="40">
        <f>AN1390*(1-IF(B1390&gt;=in_marketplace_from,d_hz_accident*G1390,0))</f>
        <v/>
      </c>
      <c r="AO1391" s="46">
        <f>AN1391*IF(B1391&gt;=in_marketplace_from,d_hz_accident*G1391,0)</f>
        <v/>
      </c>
      <c r="AP1391" s="14">
        <f>F1391*AO1391*in_accident_ticket*in_accident_comm*in_ins_partner_share+F1391*in_accident_ticket*in_accident_renew_comm*in_ins_partner_share*(in_accident_renew^1*SUMIFS(AO1367:AO1396,B1367:B1396,B1391-12)+in_accident_renew^2*SUMIFS(AO1367:AO1396,B1367:B1396,B1391-24)+in_accident_renew^3*SUMIFS(AO1367:AO1396,B1367:B1396,B1391-36)+in_accident_renew^4*SUMIFS(AO1367:AO1396,B1367:B1396,B1391-48))</f>
        <v/>
      </c>
      <c r="AQ1391" s="40">
        <f>AQ1390*(1-IF(B1390&gt;=in_marketplace_from,d_hz_two_wheeler*G1390,0))</f>
        <v/>
      </c>
      <c r="AR1391" s="46">
        <f>AQ1391*IF(B1391&gt;=in_marketplace_from,d_hz_two_wheeler*G1391,0)</f>
        <v/>
      </c>
      <c r="AS1391" s="14">
        <f>F1391*AR1391*in_two_wheeler_ticket*in_two_wheeler_comm*in_ins_partner_share+F1391*in_two_wheeler_ticket*in_two_wheeler_comm*in_ins_partner_share*(in_two_wheeler_renew^1*SUMIFS(AR1367:AR1396,B1367:B1396,B1391-12)+in_two_wheeler_renew^2*SUMIFS(AR1367:AR1396,B1367:B1396,B1391-24)+in_two_wheeler_renew^3*SUMIFS(AR1367:AR1396,B1367:B1396,B1391-36)+in_two_wheeler_renew^4*SUMIFS(AR1367:AR1396,B1367:B1396,B1391-48))</f>
        <v/>
      </c>
      <c r="AT1391" s="40">
        <f>AT1390*(1-IF(B1390&gt;=in_marketplace_from,d_hz_device*G1390,0))</f>
        <v/>
      </c>
      <c r="AU1391" s="14">
        <f>F1391*AT1391*IF(B1391&gt;=in_marketplace_from,d_hz_device*G1391,0)*in_device_ticket*in_device_comm*in_ins_partner_share</f>
        <v/>
      </c>
      <c r="AV1391" s="40">
        <f>AV1390*(1-IF(B1390&gt;=in_marketplace_from,d_hz_shop*G1390,0))</f>
        <v/>
      </c>
      <c r="AW1391" s="46">
        <f>AV1391*IF(B1391&gt;=in_marketplace_from,d_hz_shop*G1391,0)</f>
        <v/>
      </c>
      <c r="AX1391" s="14">
        <f>F1391*AW1391*in_shop_ticket*in_shop_comm*in_ins_partner_share+F1391*in_shop_ticket*in_shop_renew_comm*in_ins_partner_share*(in_shop_renew^1*SUMIFS(AW1367:AW1396,B1367:B1396,B1391-12)+in_shop_renew^2*SUMIFS(AW1367:AW1396,B1367:B1396,B1391-24)+in_shop_renew^3*SUMIFS(AW1367:AW1396,B1367:B1396,B1391-36)+in_shop_renew^4*SUMIFS(AW1367:AW1396,B1367:B1396,B1391-48))</f>
        <v/>
      </c>
      <c r="AY1391" s="40">
        <f>AY1390*(1-IF(B1390&gt;=in_marketplace_from,d_hz_sip*G1390,0))</f>
        <v/>
      </c>
      <c r="AZ1391" s="40">
        <f>AZ1390*d_rho_sip+AY1391*IF(B1391&gt;=in_marketplace_from,d_hz_sip*G1391,0)</f>
        <v/>
      </c>
      <c r="BA1391" s="40">
        <f>d_rho_sip*(BA1390+AZ1390)</f>
        <v/>
      </c>
      <c r="BB1391" s="14">
        <f>F1391*in_sip_ticket*(BA1391+0.5*AZ1391)*in_sip_comm/12</f>
        <v/>
      </c>
      <c r="BC1391" s="40">
        <f>BC1390*(1-IF(B1390&gt;=in_marketplace_from,d_hz_choti*G1390,0))</f>
        <v/>
      </c>
      <c r="BD1391" s="46">
        <f>BC1391*IF(B1391&gt;=in_marketplace_from,d_hz_choti*G1391,0)</f>
        <v/>
      </c>
      <c r="BE1391" s="14">
        <f>F1391*SUMIFS(BD1367:BD1396,B1367:B1396,B1391-in_choti_months)*in_choti_renew*in_choti_ticket</f>
        <v/>
      </c>
      <c r="BF1391" s="40">
        <f>BF1390*(1-IF(B1390&gt;=in_marketplace_from,d_hz_nps*G1390,0))</f>
        <v/>
      </c>
      <c r="BG1391" s="14">
        <f>F1391*BF1391*IF(B1391&gt;=in_marketplace_from,d_hz_nps*G1391,0)*in_nps_ticket*in_nps_comm</f>
        <v/>
      </c>
      <c r="BH1391" s="40">
        <f>BH1390*(1-IF(B1390&gt;=in_marketplace_from,d_hz_gold*G1390,0))</f>
        <v/>
      </c>
      <c r="BI1391" s="40">
        <f>BI1390*d_rho_gold+BH1391*IF(B1391&gt;=in_marketplace_from,d_hz_gold*G1391,0)</f>
        <v/>
      </c>
      <c r="BJ1391" s="14">
        <f>F1391*BI1391*in_gold_ticket*in_gold_comm</f>
        <v/>
      </c>
      <c r="BK1391" s="40">
        <f>BK1390*(1-IF(B1390&gt;=in_marketplace_from,d_hz_fd*G1390,0))</f>
        <v/>
      </c>
      <c r="BL1391" s="14">
        <f>F1391*BK1391*IF(B1391&gt;=in_marketplace_from,d_hz_fd*G1391,0)*in_fd_ticket*in_fd_comm</f>
        <v/>
      </c>
      <c r="BM1391" s="40">
        <f>BM1390*(1-IF(B1390&gt;=in_marketplace_from,d_hz_recharge*G1390,0))</f>
        <v/>
      </c>
      <c r="BN1391" s="40">
        <f>BN1390*d_rho_recharge+BM1391*IF(B1391&gt;=in_marketplace_from,d_hz_recharge*G1391,0)</f>
        <v/>
      </c>
      <c r="BO1391" s="14">
        <f>F1391*BN1391*in_recharge_ticket*in_recharge_comm/12</f>
        <v/>
      </c>
      <c r="BP1391" s="40">
        <f>BP1390*(1-IF(B1390&gt;=in_marketplace_from,d_hz_bills*G1390,0))</f>
        <v/>
      </c>
      <c r="BQ1391" s="40">
        <f>BQ1390*d_rho_bills+BP1391*IF(B1391&gt;=in_marketplace_from,d_hz_bills*G1391,0)</f>
        <v/>
      </c>
      <c r="BR1391" s="14">
        <f>F1391*BQ1391*in_bills_ticket*in_bills_comm/12</f>
        <v/>
      </c>
      <c r="BS1391" s="40">
        <f>BS1390*(1-IF(B1390&gt;=in_marketplace_from,d_hz_loan_gold*G1390,0))</f>
        <v/>
      </c>
      <c r="BT1391" s="14">
        <f>F1391*BS1391*IF(B1391&gt;=in_marketplace_from,d_hz_loan_gold*G1391,0)*in_loan_gold_ticket*in_loan_gold_comm</f>
        <v/>
      </c>
      <c r="BU1391" s="40">
        <f>BU1390*(1-IF(B1390&gt;=in_marketplace_from,d_hz_loan_cd*G1390,0))</f>
        <v/>
      </c>
      <c r="BV1391" s="14">
        <f>F1391*BU1391*IF(B1391&gt;=in_marketplace_from,d_hz_loan_cd*G1391,0)*in_loan_cd_ticket*in_loan_cd_comm</f>
        <v/>
      </c>
      <c r="BW1391" s="40">
        <f>BW1390*(1-IF(B1390&gt;=in_marketplace_from,d_hz_loan_vehicle*G1390,0))</f>
        <v/>
      </c>
      <c r="BX1391" s="14">
        <f>F1391*BW1391*IF(B1391&gt;=in_marketplace_from,d_hz_loan_vehicle*G1391,0)*in_loan_vehicle_ticket*in_loan_vehicle_comm</f>
        <v/>
      </c>
      <c r="BY1391" s="40">
        <f>BY1390*(1-IF(B1390&gt;=in_marketplace_from,d_hz_loan_home*G1390,0)*BZ1390)</f>
        <v/>
      </c>
      <c r="BZ1391" s="11">
        <f>MIN(in_approval_cap,in_loan_home_approval*INDEX('Age profile'!$O$2:$O$61,B1391)*(1+in_approval_growth)^(D1391-1))</f>
        <v/>
      </c>
      <c r="CA1391" s="14">
        <f>F1391*BY1391*IF(B1391&gt;=in_marketplace_from,d_hz_loan_home*G1391,0)*BZ1391*in_loan_home_ticket*in_loan_home_comm</f>
        <v/>
      </c>
      <c r="CB1391" s="40">
        <f>CB1390*(1-IF(B1390&gt;=in_marketplace_from,d_hz_loan_lap*G1390,0)*CC1390)</f>
        <v/>
      </c>
      <c r="CC1391" s="11">
        <f>MIN(in_approval_cap,in_loan_lap_approval*INDEX('Age profile'!$O$2:$O$61,B1391)*(1+in_approval_growth)^(D1391-1))</f>
        <v/>
      </c>
      <c r="CD1391" s="14">
        <f>F1391*CB1391*IF(B1391&gt;=in_marketplace_from,d_hz_loan_lap*G1391,0)*CC1391*in_loan_lap_ticket*in_loan_lap_comm</f>
        <v/>
      </c>
      <c r="CE1391" s="14">
        <f>AA1391+AB1391+AC1391+AD1391+AG1391+AJ1391+AM1391+AP1391+AS1391+AU1391+AX1391+BB1391+BE1391+BG1391+BJ1391+BL1391+BO1391+BR1391+BT1391+BV1391+BX1391+CA1391+CD1391</f>
        <v/>
      </c>
    </row>
    <row r="1392">
      <c r="A1392" s="39" t="n">
        <v>31</v>
      </c>
      <c r="B1392" s="39" t="n">
        <v>26</v>
      </c>
      <c r="C1392" s="39">
        <f>A1392+B1392-1</f>
        <v/>
      </c>
      <c r="D1392" s="39">
        <f>INT((C1392-1)/12)+1</f>
        <v/>
      </c>
      <c r="E1392" s="44">
        <f>INDEX(Monthly!$B$2:$B$61,A1392)</f>
        <v/>
      </c>
      <c r="F1392" s="44">
        <f>E1392*INDEX('Age profile'!$B$2:$B$61,B1392)</f>
        <v/>
      </c>
      <c r="G1392" s="45">
        <f>MIN(in_takeup_cap,INDEX('Age profile'!$N$2:$N$61,B1392)*(1+in_takeup_growth)^(D1392-1))</f>
        <v/>
      </c>
      <c r="H1392" s="11">
        <f>MIN(in_approval_cap,in_approved_first*INDEX('Age profile'!$O$2:$O$61,B1392)*(1+in_approval_growth)^(D1392-1))</f>
        <v/>
      </c>
      <c r="I1392" s="45">
        <f>G1392*MIN(in_takeup_cap,INDEX('Age profile'!$O$2:$O$61,B1392)*(1+in_approval_growth)^(D1392-1))</f>
        <v/>
      </c>
      <c r="J1392" s="40">
        <f>(J1391-L1391)*F1392/F1391</f>
        <v/>
      </c>
      <c r="K1392" s="40">
        <f>(K1391-M1391)*F1392/F1391+SUMIFS(O1367:O1391,B1367:B1391,B1392-1-d_T)*F1392</f>
        <v/>
      </c>
      <c r="L1392" s="40">
        <f>IF(B1392&gt;=in_marketplace_from,J1392*d_hz*G1392*in_eligible*H1392,0)</f>
        <v/>
      </c>
      <c r="M1392" s="40">
        <f>IF(B1392&gt;=in_marketplace_from,K1392*d_hz*G1392*in_eligible*in_approved_repeat,0)</f>
        <v/>
      </c>
      <c r="N1392" s="40">
        <f>L1392+M1392</f>
        <v/>
      </c>
      <c r="O1392" s="46">
        <f>N1392/F1392</f>
        <v/>
      </c>
      <c r="P1392" s="40">
        <f>F1392-J1392-K1392</f>
        <v/>
      </c>
      <c r="Q1392" s="40">
        <f>IF(B1392&gt;=in_marketplace_from,(J1392+K1392)*d_hz*G1392,0)</f>
        <v/>
      </c>
      <c r="R1392" s="40">
        <f>SUMIFS(N1367:N1396,B1367:B1396,"&gt;="&amp;(B1392-d_T),B1367:B1396,"&lt;="&amp;(B1392-1))</f>
        <v/>
      </c>
      <c r="S1392" s="46">
        <f>(1-d_u)*S1391+IF(d_T&gt;in_topup_lag,SUMIFS(O1367:O1396,B1367:B1396,B1392-in_topup_lag)-d_udrop*SUMIFS(O1367:O1396,B1367:B1396,B1392-d_T),0)</f>
        <v/>
      </c>
      <c r="T1392" s="40">
        <f>F1392*d_u*S1392</f>
        <v/>
      </c>
      <c r="U1392" s="9">
        <f>L1392*in_ticket+M1392*d_rep_ticket</f>
        <v/>
      </c>
      <c r="V1392" s="9">
        <f>U1392+T1392*d_topup_amt</f>
        <v/>
      </c>
      <c r="W1392" s="40">
        <f>N1392+T1392*d_topup_ratio</f>
        <v/>
      </c>
      <c r="X1392" s="40">
        <f>SUMIFS(W1367:W1396,B1367:B1396,B1392-in_dpd_lag)*d_cured</f>
        <v/>
      </c>
      <c r="Y1392" s="40">
        <f>SUMIFS(W1367:W1396,B1367:B1396,B1392-in_rec_lag)*d_recd</f>
        <v/>
      </c>
      <c r="Z1392" s="40">
        <f>IF(AND(B1392&gt;=in_marketplace_from,B1392&lt;in_marketplace_from+in_card_months),in_card_share/in_card_months*F1392*I1392,IF(AND(B1392&gt;=in_marketplace_from+in_card_months,B1392&lt;in_marketplace_from+2*in_card_months),in_card_share*d_card_rem/in_card_months*F1392*MIN(in_takeup_cap,(1+in_takeup_growth)^(D1392-1))*MIN(in_takeup_cap,(1+in_approval_growth)^(D1392-1)),0))</f>
        <v/>
      </c>
      <c r="AA1392" s="14">
        <f>V1392*in_fee*(1-in_taken_back)</f>
        <v/>
      </c>
      <c r="AB1392" s="14">
        <f>SUMIFS(W1367:W1396,B1367:B1396,B1392-in_dpd_lag)*d_dpd</f>
        <v/>
      </c>
      <c r="AC1392" s="14">
        <f>SUMIFS(W1367:W1396,B1367:B1396,B1392-in_rec_lag)*d_rec</f>
        <v/>
      </c>
      <c r="AD1392" s="14">
        <f>Z1392*in_card_fee</f>
        <v/>
      </c>
      <c r="AE1392" s="40">
        <f>AE1391*(1-IF(B1391&gt;=in_marketplace_from,d_hz_hlth_small*G1391,0))</f>
        <v/>
      </c>
      <c r="AF1392" s="46">
        <f>AE1392*IF(B1392&gt;=in_marketplace_from,d_hz_hlth_small*G1392,0)</f>
        <v/>
      </c>
      <c r="AG1392" s="14">
        <f>F1392*AF1392*in_hlth_small_ticket*in_hlth_small_comm*in_ins_partner_share+F1392*in_hlth_small_ticket*in_hlth_small_renew_comm*in_ins_partner_share*(in_hlth_small_renew^1*SUMIFS(AF1367:AF1396,B1367:B1396,B1392-12)+in_hlth_small_renew^2*SUMIFS(AF1367:AF1396,B1367:B1396,B1392-24)+in_hlth_small_renew^3*SUMIFS(AF1367:AF1396,B1367:B1396,B1392-36)+in_hlth_small_renew^4*SUMIFS(AF1367:AF1396,B1367:B1396,B1392-48))</f>
        <v/>
      </c>
      <c r="AH1392" s="40">
        <f>AH1391*(1-IF(B1391&gt;=in_marketplace_from,d_hz_hlth_family*G1391,0))</f>
        <v/>
      </c>
      <c r="AI1392" s="46">
        <f>AH1392*IF(B1392&gt;=in_marketplace_from,d_hz_hlth_family*G1392,0)</f>
        <v/>
      </c>
      <c r="AJ1392" s="14">
        <f>F1392*AI1392*in_hlth_family_ticket*in_hlth_family_comm*in_ins_partner_share+F1392*in_hlth_family_ticket*in_hlth_family_renew_comm*in_ins_partner_share*(in_hlth_family_renew^1*SUMIFS(AI1367:AI1396,B1367:B1396,B1392-12)+in_hlth_family_renew^2*SUMIFS(AI1367:AI1396,B1367:B1396,B1392-24)+in_hlth_family_renew^3*SUMIFS(AI1367:AI1396,B1367:B1396,B1392-36)+in_hlth_family_renew^4*SUMIFS(AI1367:AI1396,B1367:B1396,B1392-48))</f>
        <v/>
      </c>
      <c r="AK1392" s="40">
        <f>AK1391*(1-IF(B1391&gt;=in_marketplace_from,d_hz_life_term*G1391,0))</f>
        <v/>
      </c>
      <c r="AL1392" s="46">
        <f>AK1392*IF(B1392&gt;=in_marketplace_from,d_hz_life_term*G1392,0)</f>
        <v/>
      </c>
      <c r="AM1392" s="14">
        <f>F1392*AL1392*in_life_term_ticket*in_life_term_comm*in_ins_partner_share+F1392*in_life_term_ticket*in_life_term_renew_comm*in_ins_partner_share*(in_life_term_renew^1*SUMIFS(AL1367:AL1396,B1367:B1396,B1392-12)+in_life_term_renew^2*SUMIFS(AL1367:AL1396,B1367:B1396,B1392-24)+in_life_term_renew^3*SUMIFS(AL1367:AL1396,B1367:B1396,B1392-36)+in_life_term_renew^4*SUMIFS(AL1367:AL1396,B1367:B1396,B1392-48))</f>
        <v/>
      </c>
      <c r="AN1392" s="40">
        <f>AN1391*(1-IF(B1391&gt;=in_marketplace_from,d_hz_accident*G1391,0))</f>
        <v/>
      </c>
      <c r="AO1392" s="46">
        <f>AN1392*IF(B1392&gt;=in_marketplace_from,d_hz_accident*G1392,0)</f>
        <v/>
      </c>
      <c r="AP1392" s="14">
        <f>F1392*AO1392*in_accident_ticket*in_accident_comm*in_ins_partner_share+F1392*in_accident_ticket*in_accident_renew_comm*in_ins_partner_share*(in_accident_renew^1*SUMIFS(AO1367:AO1396,B1367:B1396,B1392-12)+in_accident_renew^2*SUMIFS(AO1367:AO1396,B1367:B1396,B1392-24)+in_accident_renew^3*SUMIFS(AO1367:AO1396,B1367:B1396,B1392-36)+in_accident_renew^4*SUMIFS(AO1367:AO1396,B1367:B1396,B1392-48))</f>
        <v/>
      </c>
      <c r="AQ1392" s="40">
        <f>AQ1391*(1-IF(B1391&gt;=in_marketplace_from,d_hz_two_wheeler*G1391,0))</f>
        <v/>
      </c>
      <c r="AR1392" s="46">
        <f>AQ1392*IF(B1392&gt;=in_marketplace_from,d_hz_two_wheeler*G1392,0)</f>
        <v/>
      </c>
      <c r="AS1392" s="14">
        <f>F1392*AR1392*in_two_wheeler_ticket*in_two_wheeler_comm*in_ins_partner_share+F1392*in_two_wheeler_ticket*in_two_wheeler_comm*in_ins_partner_share*(in_two_wheeler_renew^1*SUMIFS(AR1367:AR1396,B1367:B1396,B1392-12)+in_two_wheeler_renew^2*SUMIFS(AR1367:AR1396,B1367:B1396,B1392-24)+in_two_wheeler_renew^3*SUMIFS(AR1367:AR1396,B1367:B1396,B1392-36)+in_two_wheeler_renew^4*SUMIFS(AR1367:AR1396,B1367:B1396,B1392-48))</f>
        <v/>
      </c>
      <c r="AT1392" s="40">
        <f>AT1391*(1-IF(B1391&gt;=in_marketplace_from,d_hz_device*G1391,0))</f>
        <v/>
      </c>
      <c r="AU1392" s="14">
        <f>F1392*AT1392*IF(B1392&gt;=in_marketplace_from,d_hz_device*G1392,0)*in_device_ticket*in_device_comm*in_ins_partner_share</f>
        <v/>
      </c>
      <c r="AV1392" s="40">
        <f>AV1391*(1-IF(B1391&gt;=in_marketplace_from,d_hz_shop*G1391,0))</f>
        <v/>
      </c>
      <c r="AW1392" s="46">
        <f>AV1392*IF(B1392&gt;=in_marketplace_from,d_hz_shop*G1392,0)</f>
        <v/>
      </c>
      <c r="AX1392" s="14">
        <f>F1392*AW1392*in_shop_ticket*in_shop_comm*in_ins_partner_share+F1392*in_shop_ticket*in_shop_renew_comm*in_ins_partner_share*(in_shop_renew^1*SUMIFS(AW1367:AW1396,B1367:B1396,B1392-12)+in_shop_renew^2*SUMIFS(AW1367:AW1396,B1367:B1396,B1392-24)+in_shop_renew^3*SUMIFS(AW1367:AW1396,B1367:B1396,B1392-36)+in_shop_renew^4*SUMIFS(AW1367:AW1396,B1367:B1396,B1392-48))</f>
        <v/>
      </c>
      <c r="AY1392" s="40">
        <f>AY1391*(1-IF(B1391&gt;=in_marketplace_from,d_hz_sip*G1391,0))</f>
        <v/>
      </c>
      <c r="AZ1392" s="40">
        <f>AZ1391*d_rho_sip+AY1392*IF(B1392&gt;=in_marketplace_from,d_hz_sip*G1392,0)</f>
        <v/>
      </c>
      <c r="BA1392" s="40">
        <f>d_rho_sip*(BA1391+AZ1391)</f>
        <v/>
      </c>
      <c r="BB1392" s="14">
        <f>F1392*in_sip_ticket*(BA1392+0.5*AZ1392)*in_sip_comm/12</f>
        <v/>
      </c>
      <c r="BC1392" s="40">
        <f>BC1391*(1-IF(B1391&gt;=in_marketplace_from,d_hz_choti*G1391,0))</f>
        <v/>
      </c>
      <c r="BD1392" s="46">
        <f>BC1392*IF(B1392&gt;=in_marketplace_from,d_hz_choti*G1392,0)</f>
        <v/>
      </c>
      <c r="BE1392" s="14">
        <f>F1392*SUMIFS(BD1367:BD1396,B1367:B1396,B1392-in_choti_months)*in_choti_renew*in_choti_ticket</f>
        <v/>
      </c>
      <c r="BF1392" s="40">
        <f>BF1391*(1-IF(B1391&gt;=in_marketplace_from,d_hz_nps*G1391,0))</f>
        <v/>
      </c>
      <c r="BG1392" s="14">
        <f>F1392*BF1392*IF(B1392&gt;=in_marketplace_from,d_hz_nps*G1392,0)*in_nps_ticket*in_nps_comm</f>
        <v/>
      </c>
      <c r="BH1392" s="40">
        <f>BH1391*(1-IF(B1391&gt;=in_marketplace_from,d_hz_gold*G1391,0))</f>
        <v/>
      </c>
      <c r="BI1392" s="40">
        <f>BI1391*d_rho_gold+BH1392*IF(B1392&gt;=in_marketplace_from,d_hz_gold*G1392,0)</f>
        <v/>
      </c>
      <c r="BJ1392" s="14">
        <f>F1392*BI1392*in_gold_ticket*in_gold_comm</f>
        <v/>
      </c>
      <c r="BK1392" s="40">
        <f>BK1391*(1-IF(B1391&gt;=in_marketplace_from,d_hz_fd*G1391,0))</f>
        <v/>
      </c>
      <c r="BL1392" s="14">
        <f>F1392*BK1392*IF(B1392&gt;=in_marketplace_from,d_hz_fd*G1392,0)*in_fd_ticket*in_fd_comm</f>
        <v/>
      </c>
      <c r="BM1392" s="40">
        <f>BM1391*(1-IF(B1391&gt;=in_marketplace_from,d_hz_recharge*G1391,0))</f>
        <v/>
      </c>
      <c r="BN1392" s="40">
        <f>BN1391*d_rho_recharge+BM1392*IF(B1392&gt;=in_marketplace_from,d_hz_recharge*G1392,0)</f>
        <v/>
      </c>
      <c r="BO1392" s="14">
        <f>F1392*BN1392*in_recharge_ticket*in_recharge_comm/12</f>
        <v/>
      </c>
      <c r="BP1392" s="40">
        <f>BP1391*(1-IF(B1391&gt;=in_marketplace_from,d_hz_bills*G1391,0))</f>
        <v/>
      </c>
      <c r="BQ1392" s="40">
        <f>BQ1391*d_rho_bills+BP1392*IF(B1392&gt;=in_marketplace_from,d_hz_bills*G1392,0)</f>
        <v/>
      </c>
      <c r="BR1392" s="14">
        <f>F1392*BQ1392*in_bills_ticket*in_bills_comm/12</f>
        <v/>
      </c>
      <c r="BS1392" s="40">
        <f>BS1391*(1-IF(B1391&gt;=in_marketplace_from,d_hz_loan_gold*G1391,0))</f>
        <v/>
      </c>
      <c r="BT1392" s="14">
        <f>F1392*BS1392*IF(B1392&gt;=in_marketplace_from,d_hz_loan_gold*G1392,0)*in_loan_gold_ticket*in_loan_gold_comm</f>
        <v/>
      </c>
      <c r="BU1392" s="40">
        <f>BU1391*(1-IF(B1391&gt;=in_marketplace_from,d_hz_loan_cd*G1391,0))</f>
        <v/>
      </c>
      <c r="BV1392" s="14">
        <f>F1392*BU1392*IF(B1392&gt;=in_marketplace_from,d_hz_loan_cd*G1392,0)*in_loan_cd_ticket*in_loan_cd_comm</f>
        <v/>
      </c>
      <c r="BW1392" s="40">
        <f>BW1391*(1-IF(B1391&gt;=in_marketplace_from,d_hz_loan_vehicle*G1391,0))</f>
        <v/>
      </c>
      <c r="BX1392" s="14">
        <f>F1392*BW1392*IF(B1392&gt;=in_marketplace_from,d_hz_loan_vehicle*G1392,0)*in_loan_vehicle_ticket*in_loan_vehicle_comm</f>
        <v/>
      </c>
      <c r="BY1392" s="40">
        <f>BY1391*(1-IF(B1391&gt;=in_marketplace_from,d_hz_loan_home*G1391,0)*BZ1391)</f>
        <v/>
      </c>
      <c r="BZ1392" s="11">
        <f>MIN(in_approval_cap,in_loan_home_approval*INDEX('Age profile'!$O$2:$O$61,B1392)*(1+in_approval_growth)^(D1392-1))</f>
        <v/>
      </c>
      <c r="CA1392" s="14">
        <f>F1392*BY1392*IF(B1392&gt;=in_marketplace_from,d_hz_loan_home*G1392,0)*BZ1392*in_loan_home_ticket*in_loan_home_comm</f>
        <v/>
      </c>
      <c r="CB1392" s="40">
        <f>CB1391*(1-IF(B1391&gt;=in_marketplace_from,d_hz_loan_lap*G1391,0)*CC1391)</f>
        <v/>
      </c>
      <c r="CC1392" s="11">
        <f>MIN(in_approval_cap,in_loan_lap_approval*INDEX('Age profile'!$O$2:$O$61,B1392)*(1+in_approval_growth)^(D1392-1))</f>
        <v/>
      </c>
      <c r="CD1392" s="14">
        <f>F1392*CB1392*IF(B1392&gt;=in_marketplace_from,d_hz_loan_lap*G1392,0)*CC1392*in_loan_lap_ticket*in_loan_lap_comm</f>
        <v/>
      </c>
      <c r="CE1392" s="14">
        <f>AA1392+AB1392+AC1392+AD1392+AG1392+AJ1392+AM1392+AP1392+AS1392+AU1392+AX1392+BB1392+BE1392+BG1392+BJ1392+BL1392+BO1392+BR1392+BT1392+BV1392+BX1392+CA1392+CD1392</f>
        <v/>
      </c>
    </row>
    <row r="1393">
      <c r="A1393" s="39" t="n">
        <v>31</v>
      </c>
      <c r="B1393" s="39" t="n">
        <v>27</v>
      </c>
      <c r="C1393" s="39">
        <f>A1393+B1393-1</f>
        <v/>
      </c>
      <c r="D1393" s="39">
        <f>INT((C1393-1)/12)+1</f>
        <v/>
      </c>
      <c r="E1393" s="44">
        <f>INDEX(Monthly!$B$2:$B$61,A1393)</f>
        <v/>
      </c>
      <c r="F1393" s="44">
        <f>E1393*INDEX('Age profile'!$B$2:$B$61,B1393)</f>
        <v/>
      </c>
      <c r="G1393" s="45">
        <f>MIN(in_takeup_cap,INDEX('Age profile'!$N$2:$N$61,B1393)*(1+in_takeup_growth)^(D1393-1))</f>
        <v/>
      </c>
      <c r="H1393" s="11">
        <f>MIN(in_approval_cap,in_approved_first*INDEX('Age profile'!$O$2:$O$61,B1393)*(1+in_approval_growth)^(D1393-1))</f>
        <v/>
      </c>
      <c r="I1393" s="45">
        <f>G1393*MIN(in_takeup_cap,INDEX('Age profile'!$O$2:$O$61,B1393)*(1+in_approval_growth)^(D1393-1))</f>
        <v/>
      </c>
      <c r="J1393" s="40">
        <f>(J1392-L1392)*F1393/F1392</f>
        <v/>
      </c>
      <c r="K1393" s="40">
        <f>(K1392-M1392)*F1393/F1392+SUMIFS(O1367:O1392,B1367:B1392,B1393-1-d_T)*F1393</f>
        <v/>
      </c>
      <c r="L1393" s="40">
        <f>IF(B1393&gt;=in_marketplace_from,J1393*d_hz*G1393*in_eligible*H1393,0)</f>
        <v/>
      </c>
      <c r="M1393" s="40">
        <f>IF(B1393&gt;=in_marketplace_from,K1393*d_hz*G1393*in_eligible*in_approved_repeat,0)</f>
        <v/>
      </c>
      <c r="N1393" s="40">
        <f>L1393+M1393</f>
        <v/>
      </c>
      <c r="O1393" s="46">
        <f>N1393/F1393</f>
        <v/>
      </c>
      <c r="P1393" s="40">
        <f>F1393-J1393-K1393</f>
        <v/>
      </c>
      <c r="Q1393" s="40">
        <f>IF(B1393&gt;=in_marketplace_from,(J1393+K1393)*d_hz*G1393,0)</f>
        <v/>
      </c>
      <c r="R1393" s="40">
        <f>SUMIFS(N1367:N1396,B1367:B1396,"&gt;="&amp;(B1393-d_T),B1367:B1396,"&lt;="&amp;(B1393-1))</f>
        <v/>
      </c>
      <c r="S1393" s="46">
        <f>(1-d_u)*S1392+IF(d_T&gt;in_topup_lag,SUMIFS(O1367:O1396,B1367:B1396,B1393-in_topup_lag)-d_udrop*SUMIFS(O1367:O1396,B1367:B1396,B1393-d_T),0)</f>
        <v/>
      </c>
      <c r="T1393" s="40">
        <f>F1393*d_u*S1393</f>
        <v/>
      </c>
      <c r="U1393" s="9">
        <f>L1393*in_ticket+M1393*d_rep_ticket</f>
        <v/>
      </c>
      <c r="V1393" s="9">
        <f>U1393+T1393*d_topup_amt</f>
        <v/>
      </c>
      <c r="W1393" s="40">
        <f>N1393+T1393*d_topup_ratio</f>
        <v/>
      </c>
      <c r="X1393" s="40">
        <f>SUMIFS(W1367:W1396,B1367:B1396,B1393-in_dpd_lag)*d_cured</f>
        <v/>
      </c>
      <c r="Y1393" s="40">
        <f>SUMIFS(W1367:W1396,B1367:B1396,B1393-in_rec_lag)*d_recd</f>
        <v/>
      </c>
      <c r="Z1393" s="40">
        <f>IF(AND(B1393&gt;=in_marketplace_from,B1393&lt;in_marketplace_from+in_card_months),in_card_share/in_card_months*F1393*I1393,IF(AND(B1393&gt;=in_marketplace_from+in_card_months,B1393&lt;in_marketplace_from+2*in_card_months),in_card_share*d_card_rem/in_card_months*F1393*MIN(in_takeup_cap,(1+in_takeup_growth)^(D1393-1))*MIN(in_takeup_cap,(1+in_approval_growth)^(D1393-1)),0))</f>
        <v/>
      </c>
      <c r="AA1393" s="14">
        <f>V1393*in_fee*(1-in_taken_back)</f>
        <v/>
      </c>
      <c r="AB1393" s="14">
        <f>SUMIFS(W1367:W1396,B1367:B1396,B1393-in_dpd_lag)*d_dpd</f>
        <v/>
      </c>
      <c r="AC1393" s="14">
        <f>SUMIFS(W1367:W1396,B1367:B1396,B1393-in_rec_lag)*d_rec</f>
        <v/>
      </c>
      <c r="AD1393" s="14">
        <f>Z1393*in_card_fee</f>
        <v/>
      </c>
      <c r="AE1393" s="40">
        <f>AE1392*(1-IF(B1392&gt;=in_marketplace_from,d_hz_hlth_small*G1392,0))</f>
        <v/>
      </c>
      <c r="AF1393" s="46">
        <f>AE1393*IF(B1393&gt;=in_marketplace_from,d_hz_hlth_small*G1393,0)</f>
        <v/>
      </c>
      <c r="AG1393" s="14">
        <f>F1393*AF1393*in_hlth_small_ticket*in_hlth_small_comm*in_ins_partner_share+F1393*in_hlth_small_ticket*in_hlth_small_renew_comm*in_ins_partner_share*(in_hlth_small_renew^1*SUMIFS(AF1367:AF1396,B1367:B1396,B1393-12)+in_hlth_small_renew^2*SUMIFS(AF1367:AF1396,B1367:B1396,B1393-24)+in_hlth_small_renew^3*SUMIFS(AF1367:AF1396,B1367:B1396,B1393-36)+in_hlth_small_renew^4*SUMIFS(AF1367:AF1396,B1367:B1396,B1393-48))</f>
        <v/>
      </c>
      <c r="AH1393" s="40">
        <f>AH1392*(1-IF(B1392&gt;=in_marketplace_from,d_hz_hlth_family*G1392,0))</f>
        <v/>
      </c>
      <c r="AI1393" s="46">
        <f>AH1393*IF(B1393&gt;=in_marketplace_from,d_hz_hlth_family*G1393,0)</f>
        <v/>
      </c>
      <c r="AJ1393" s="14">
        <f>F1393*AI1393*in_hlth_family_ticket*in_hlth_family_comm*in_ins_partner_share+F1393*in_hlth_family_ticket*in_hlth_family_renew_comm*in_ins_partner_share*(in_hlth_family_renew^1*SUMIFS(AI1367:AI1396,B1367:B1396,B1393-12)+in_hlth_family_renew^2*SUMIFS(AI1367:AI1396,B1367:B1396,B1393-24)+in_hlth_family_renew^3*SUMIFS(AI1367:AI1396,B1367:B1396,B1393-36)+in_hlth_family_renew^4*SUMIFS(AI1367:AI1396,B1367:B1396,B1393-48))</f>
        <v/>
      </c>
      <c r="AK1393" s="40">
        <f>AK1392*(1-IF(B1392&gt;=in_marketplace_from,d_hz_life_term*G1392,0))</f>
        <v/>
      </c>
      <c r="AL1393" s="46">
        <f>AK1393*IF(B1393&gt;=in_marketplace_from,d_hz_life_term*G1393,0)</f>
        <v/>
      </c>
      <c r="AM1393" s="14">
        <f>F1393*AL1393*in_life_term_ticket*in_life_term_comm*in_ins_partner_share+F1393*in_life_term_ticket*in_life_term_renew_comm*in_ins_partner_share*(in_life_term_renew^1*SUMIFS(AL1367:AL1396,B1367:B1396,B1393-12)+in_life_term_renew^2*SUMIFS(AL1367:AL1396,B1367:B1396,B1393-24)+in_life_term_renew^3*SUMIFS(AL1367:AL1396,B1367:B1396,B1393-36)+in_life_term_renew^4*SUMIFS(AL1367:AL1396,B1367:B1396,B1393-48))</f>
        <v/>
      </c>
      <c r="AN1393" s="40">
        <f>AN1392*(1-IF(B1392&gt;=in_marketplace_from,d_hz_accident*G1392,0))</f>
        <v/>
      </c>
      <c r="AO1393" s="46">
        <f>AN1393*IF(B1393&gt;=in_marketplace_from,d_hz_accident*G1393,0)</f>
        <v/>
      </c>
      <c r="AP1393" s="14">
        <f>F1393*AO1393*in_accident_ticket*in_accident_comm*in_ins_partner_share+F1393*in_accident_ticket*in_accident_renew_comm*in_ins_partner_share*(in_accident_renew^1*SUMIFS(AO1367:AO1396,B1367:B1396,B1393-12)+in_accident_renew^2*SUMIFS(AO1367:AO1396,B1367:B1396,B1393-24)+in_accident_renew^3*SUMIFS(AO1367:AO1396,B1367:B1396,B1393-36)+in_accident_renew^4*SUMIFS(AO1367:AO1396,B1367:B1396,B1393-48))</f>
        <v/>
      </c>
      <c r="AQ1393" s="40">
        <f>AQ1392*(1-IF(B1392&gt;=in_marketplace_from,d_hz_two_wheeler*G1392,0))</f>
        <v/>
      </c>
      <c r="AR1393" s="46">
        <f>AQ1393*IF(B1393&gt;=in_marketplace_from,d_hz_two_wheeler*G1393,0)</f>
        <v/>
      </c>
      <c r="AS1393" s="14">
        <f>F1393*AR1393*in_two_wheeler_ticket*in_two_wheeler_comm*in_ins_partner_share+F1393*in_two_wheeler_ticket*in_two_wheeler_comm*in_ins_partner_share*(in_two_wheeler_renew^1*SUMIFS(AR1367:AR1396,B1367:B1396,B1393-12)+in_two_wheeler_renew^2*SUMIFS(AR1367:AR1396,B1367:B1396,B1393-24)+in_two_wheeler_renew^3*SUMIFS(AR1367:AR1396,B1367:B1396,B1393-36)+in_two_wheeler_renew^4*SUMIFS(AR1367:AR1396,B1367:B1396,B1393-48))</f>
        <v/>
      </c>
      <c r="AT1393" s="40">
        <f>AT1392*(1-IF(B1392&gt;=in_marketplace_from,d_hz_device*G1392,0))</f>
        <v/>
      </c>
      <c r="AU1393" s="14">
        <f>F1393*AT1393*IF(B1393&gt;=in_marketplace_from,d_hz_device*G1393,0)*in_device_ticket*in_device_comm*in_ins_partner_share</f>
        <v/>
      </c>
      <c r="AV1393" s="40">
        <f>AV1392*(1-IF(B1392&gt;=in_marketplace_from,d_hz_shop*G1392,0))</f>
        <v/>
      </c>
      <c r="AW1393" s="46">
        <f>AV1393*IF(B1393&gt;=in_marketplace_from,d_hz_shop*G1393,0)</f>
        <v/>
      </c>
      <c r="AX1393" s="14">
        <f>F1393*AW1393*in_shop_ticket*in_shop_comm*in_ins_partner_share+F1393*in_shop_ticket*in_shop_renew_comm*in_ins_partner_share*(in_shop_renew^1*SUMIFS(AW1367:AW1396,B1367:B1396,B1393-12)+in_shop_renew^2*SUMIFS(AW1367:AW1396,B1367:B1396,B1393-24)+in_shop_renew^3*SUMIFS(AW1367:AW1396,B1367:B1396,B1393-36)+in_shop_renew^4*SUMIFS(AW1367:AW1396,B1367:B1396,B1393-48))</f>
        <v/>
      </c>
      <c r="AY1393" s="40">
        <f>AY1392*(1-IF(B1392&gt;=in_marketplace_from,d_hz_sip*G1392,0))</f>
        <v/>
      </c>
      <c r="AZ1393" s="40">
        <f>AZ1392*d_rho_sip+AY1393*IF(B1393&gt;=in_marketplace_from,d_hz_sip*G1393,0)</f>
        <v/>
      </c>
      <c r="BA1393" s="40">
        <f>d_rho_sip*(BA1392+AZ1392)</f>
        <v/>
      </c>
      <c r="BB1393" s="14">
        <f>F1393*in_sip_ticket*(BA1393+0.5*AZ1393)*in_sip_comm/12</f>
        <v/>
      </c>
      <c r="BC1393" s="40">
        <f>BC1392*(1-IF(B1392&gt;=in_marketplace_from,d_hz_choti*G1392,0))</f>
        <v/>
      </c>
      <c r="BD1393" s="46">
        <f>BC1393*IF(B1393&gt;=in_marketplace_from,d_hz_choti*G1393,0)</f>
        <v/>
      </c>
      <c r="BE1393" s="14">
        <f>F1393*SUMIFS(BD1367:BD1396,B1367:B1396,B1393-in_choti_months)*in_choti_renew*in_choti_ticket</f>
        <v/>
      </c>
      <c r="BF1393" s="40">
        <f>BF1392*(1-IF(B1392&gt;=in_marketplace_from,d_hz_nps*G1392,0))</f>
        <v/>
      </c>
      <c r="BG1393" s="14">
        <f>F1393*BF1393*IF(B1393&gt;=in_marketplace_from,d_hz_nps*G1393,0)*in_nps_ticket*in_nps_comm</f>
        <v/>
      </c>
      <c r="BH1393" s="40">
        <f>BH1392*(1-IF(B1392&gt;=in_marketplace_from,d_hz_gold*G1392,0))</f>
        <v/>
      </c>
      <c r="BI1393" s="40">
        <f>BI1392*d_rho_gold+BH1393*IF(B1393&gt;=in_marketplace_from,d_hz_gold*G1393,0)</f>
        <v/>
      </c>
      <c r="BJ1393" s="14">
        <f>F1393*BI1393*in_gold_ticket*in_gold_comm</f>
        <v/>
      </c>
      <c r="BK1393" s="40">
        <f>BK1392*(1-IF(B1392&gt;=in_marketplace_from,d_hz_fd*G1392,0))</f>
        <v/>
      </c>
      <c r="BL1393" s="14">
        <f>F1393*BK1393*IF(B1393&gt;=in_marketplace_from,d_hz_fd*G1393,0)*in_fd_ticket*in_fd_comm</f>
        <v/>
      </c>
      <c r="BM1393" s="40">
        <f>BM1392*(1-IF(B1392&gt;=in_marketplace_from,d_hz_recharge*G1392,0))</f>
        <v/>
      </c>
      <c r="BN1393" s="40">
        <f>BN1392*d_rho_recharge+BM1393*IF(B1393&gt;=in_marketplace_from,d_hz_recharge*G1393,0)</f>
        <v/>
      </c>
      <c r="BO1393" s="14">
        <f>F1393*BN1393*in_recharge_ticket*in_recharge_comm/12</f>
        <v/>
      </c>
      <c r="BP1393" s="40">
        <f>BP1392*(1-IF(B1392&gt;=in_marketplace_from,d_hz_bills*G1392,0))</f>
        <v/>
      </c>
      <c r="BQ1393" s="40">
        <f>BQ1392*d_rho_bills+BP1393*IF(B1393&gt;=in_marketplace_from,d_hz_bills*G1393,0)</f>
        <v/>
      </c>
      <c r="BR1393" s="14">
        <f>F1393*BQ1393*in_bills_ticket*in_bills_comm/12</f>
        <v/>
      </c>
      <c r="BS1393" s="40">
        <f>BS1392*(1-IF(B1392&gt;=in_marketplace_from,d_hz_loan_gold*G1392,0))</f>
        <v/>
      </c>
      <c r="BT1393" s="14">
        <f>F1393*BS1393*IF(B1393&gt;=in_marketplace_from,d_hz_loan_gold*G1393,0)*in_loan_gold_ticket*in_loan_gold_comm</f>
        <v/>
      </c>
      <c r="BU1393" s="40">
        <f>BU1392*(1-IF(B1392&gt;=in_marketplace_from,d_hz_loan_cd*G1392,0))</f>
        <v/>
      </c>
      <c r="BV1393" s="14">
        <f>F1393*BU1393*IF(B1393&gt;=in_marketplace_from,d_hz_loan_cd*G1393,0)*in_loan_cd_ticket*in_loan_cd_comm</f>
        <v/>
      </c>
      <c r="BW1393" s="40">
        <f>BW1392*(1-IF(B1392&gt;=in_marketplace_from,d_hz_loan_vehicle*G1392,0))</f>
        <v/>
      </c>
      <c r="BX1393" s="14">
        <f>F1393*BW1393*IF(B1393&gt;=in_marketplace_from,d_hz_loan_vehicle*G1393,0)*in_loan_vehicle_ticket*in_loan_vehicle_comm</f>
        <v/>
      </c>
      <c r="BY1393" s="40">
        <f>BY1392*(1-IF(B1392&gt;=in_marketplace_from,d_hz_loan_home*G1392,0)*BZ1392)</f>
        <v/>
      </c>
      <c r="BZ1393" s="11">
        <f>MIN(in_approval_cap,in_loan_home_approval*INDEX('Age profile'!$O$2:$O$61,B1393)*(1+in_approval_growth)^(D1393-1))</f>
        <v/>
      </c>
      <c r="CA1393" s="14">
        <f>F1393*BY1393*IF(B1393&gt;=in_marketplace_from,d_hz_loan_home*G1393,0)*BZ1393*in_loan_home_ticket*in_loan_home_comm</f>
        <v/>
      </c>
      <c r="CB1393" s="40">
        <f>CB1392*(1-IF(B1392&gt;=in_marketplace_from,d_hz_loan_lap*G1392,0)*CC1392)</f>
        <v/>
      </c>
      <c r="CC1393" s="11">
        <f>MIN(in_approval_cap,in_loan_lap_approval*INDEX('Age profile'!$O$2:$O$61,B1393)*(1+in_approval_growth)^(D1393-1))</f>
        <v/>
      </c>
      <c r="CD1393" s="14">
        <f>F1393*CB1393*IF(B1393&gt;=in_marketplace_from,d_hz_loan_lap*G1393,0)*CC1393*in_loan_lap_ticket*in_loan_lap_comm</f>
        <v/>
      </c>
      <c r="CE1393" s="14">
        <f>AA1393+AB1393+AC1393+AD1393+AG1393+AJ1393+AM1393+AP1393+AS1393+AU1393+AX1393+BB1393+BE1393+BG1393+BJ1393+BL1393+BO1393+BR1393+BT1393+BV1393+BX1393+CA1393+CD1393</f>
        <v/>
      </c>
    </row>
    <row r="1394">
      <c r="A1394" s="39" t="n">
        <v>31</v>
      </c>
      <c r="B1394" s="39" t="n">
        <v>28</v>
      </c>
      <c r="C1394" s="39">
        <f>A1394+B1394-1</f>
        <v/>
      </c>
      <c r="D1394" s="39">
        <f>INT((C1394-1)/12)+1</f>
        <v/>
      </c>
      <c r="E1394" s="44">
        <f>INDEX(Monthly!$B$2:$B$61,A1394)</f>
        <v/>
      </c>
      <c r="F1394" s="44">
        <f>E1394*INDEX('Age profile'!$B$2:$B$61,B1394)</f>
        <v/>
      </c>
      <c r="G1394" s="45">
        <f>MIN(in_takeup_cap,INDEX('Age profile'!$N$2:$N$61,B1394)*(1+in_takeup_growth)^(D1394-1))</f>
        <v/>
      </c>
      <c r="H1394" s="11">
        <f>MIN(in_approval_cap,in_approved_first*INDEX('Age profile'!$O$2:$O$61,B1394)*(1+in_approval_growth)^(D1394-1))</f>
        <v/>
      </c>
      <c r="I1394" s="45">
        <f>G1394*MIN(in_takeup_cap,INDEX('Age profile'!$O$2:$O$61,B1394)*(1+in_approval_growth)^(D1394-1))</f>
        <v/>
      </c>
      <c r="J1394" s="40">
        <f>(J1393-L1393)*F1394/F1393</f>
        <v/>
      </c>
      <c r="K1394" s="40">
        <f>(K1393-M1393)*F1394/F1393+SUMIFS(O1367:O1393,B1367:B1393,B1394-1-d_T)*F1394</f>
        <v/>
      </c>
      <c r="L1394" s="40">
        <f>IF(B1394&gt;=in_marketplace_from,J1394*d_hz*G1394*in_eligible*H1394,0)</f>
        <v/>
      </c>
      <c r="M1394" s="40">
        <f>IF(B1394&gt;=in_marketplace_from,K1394*d_hz*G1394*in_eligible*in_approved_repeat,0)</f>
        <v/>
      </c>
      <c r="N1394" s="40">
        <f>L1394+M1394</f>
        <v/>
      </c>
      <c r="O1394" s="46">
        <f>N1394/F1394</f>
        <v/>
      </c>
      <c r="P1394" s="40">
        <f>F1394-J1394-K1394</f>
        <v/>
      </c>
      <c r="Q1394" s="40">
        <f>IF(B1394&gt;=in_marketplace_from,(J1394+K1394)*d_hz*G1394,0)</f>
        <v/>
      </c>
      <c r="R1394" s="40">
        <f>SUMIFS(N1367:N1396,B1367:B1396,"&gt;="&amp;(B1394-d_T),B1367:B1396,"&lt;="&amp;(B1394-1))</f>
        <v/>
      </c>
      <c r="S1394" s="46">
        <f>(1-d_u)*S1393+IF(d_T&gt;in_topup_lag,SUMIFS(O1367:O1396,B1367:B1396,B1394-in_topup_lag)-d_udrop*SUMIFS(O1367:O1396,B1367:B1396,B1394-d_T),0)</f>
        <v/>
      </c>
      <c r="T1394" s="40">
        <f>F1394*d_u*S1394</f>
        <v/>
      </c>
      <c r="U1394" s="9">
        <f>L1394*in_ticket+M1394*d_rep_ticket</f>
        <v/>
      </c>
      <c r="V1394" s="9">
        <f>U1394+T1394*d_topup_amt</f>
        <v/>
      </c>
      <c r="W1394" s="40">
        <f>N1394+T1394*d_topup_ratio</f>
        <v/>
      </c>
      <c r="X1394" s="40">
        <f>SUMIFS(W1367:W1396,B1367:B1396,B1394-in_dpd_lag)*d_cured</f>
        <v/>
      </c>
      <c r="Y1394" s="40">
        <f>SUMIFS(W1367:W1396,B1367:B1396,B1394-in_rec_lag)*d_recd</f>
        <v/>
      </c>
      <c r="Z1394" s="40">
        <f>IF(AND(B1394&gt;=in_marketplace_from,B1394&lt;in_marketplace_from+in_card_months),in_card_share/in_card_months*F1394*I1394,IF(AND(B1394&gt;=in_marketplace_from+in_card_months,B1394&lt;in_marketplace_from+2*in_card_months),in_card_share*d_card_rem/in_card_months*F1394*MIN(in_takeup_cap,(1+in_takeup_growth)^(D1394-1))*MIN(in_takeup_cap,(1+in_approval_growth)^(D1394-1)),0))</f>
        <v/>
      </c>
      <c r="AA1394" s="14">
        <f>V1394*in_fee*(1-in_taken_back)</f>
        <v/>
      </c>
      <c r="AB1394" s="14">
        <f>SUMIFS(W1367:W1396,B1367:B1396,B1394-in_dpd_lag)*d_dpd</f>
        <v/>
      </c>
      <c r="AC1394" s="14">
        <f>SUMIFS(W1367:W1396,B1367:B1396,B1394-in_rec_lag)*d_rec</f>
        <v/>
      </c>
      <c r="AD1394" s="14">
        <f>Z1394*in_card_fee</f>
        <v/>
      </c>
      <c r="AE1394" s="40">
        <f>AE1393*(1-IF(B1393&gt;=in_marketplace_from,d_hz_hlth_small*G1393,0))</f>
        <v/>
      </c>
      <c r="AF1394" s="46">
        <f>AE1394*IF(B1394&gt;=in_marketplace_from,d_hz_hlth_small*G1394,0)</f>
        <v/>
      </c>
      <c r="AG1394" s="14">
        <f>F1394*AF1394*in_hlth_small_ticket*in_hlth_small_comm*in_ins_partner_share+F1394*in_hlth_small_ticket*in_hlth_small_renew_comm*in_ins_partner_share*(in_hlth_small_renew^1*SUMIFS(AF1367:AF1396,B1367:B1396,B1394-12)+in_hlth_small_renew^2*SUMIFS(AF1367:AF1396,B1367:B1396,B1394-24)+in_hlth_small_renew^3*SUMIFS(AF1367:AF1396,B1367:B1396,B1394-36)+in_hlth_small_renew^4*SUMIFS(AF1367:AF1396,B1367:B1396,B1394-48))</f>
        <v/>
      </c>
      <c r="AH1394" s="40">
        <f>AH1393*(1-IF(B1393&gt;=in_marketplace_from,d_hz_hlth_family*G1393,0))</f>
        <v/>
      </c>
      <c r="AI1394" s="46">
        <f>AH1394*IF(B1394&gt;=in_marketplace_from,d_hz_hlth_family*G1394,0)</f>
        <v/>
      </c>
      <c r="AJ1394" s="14">
        <f>F1394*AI1394*in_hlth_family_ticket*in_hlth_family_comm*in_ins_partner_share+F1394*in_hlth_family_ticket*in_hlth_family_renew_comm*in_ins_partner_share*(in_hlth_family_renew^1*SUMIFS(AI1367:AI1396,B1367:B1396,B1394-12)+in_hlth_family_renew^2*SUMIFS(AI1367:AI1396,B1367:B1396,B1394-24)+in_hlth_family_renew^3*SUMIFS(AI1367:AI1396,B1367:B1396,B1394-36)+in_hlth_family_renew^4*SUMIFS(AI1367:AI1396,B1367:B1396,B1394-48))</f>
        <v/>
      </c>
      <c r="AK1394" s="40">
        <f>AK1393*(1-IF(B1393&gt;=in_marketplace_from,d_hz_life_term*G1393,0))</f>
        <v/>
      </c>
      <c r="AL1394" s="46">
        <f>AK1394*IF(B1394&gt;=in_marketplace_from,d_hz_life_term*G1394,0)</f>
        <v/>
      </c>
      <c r="AM1394" s="14">
        <f>F1394*AL1394*in_life_term_ticket*in_life_term_comm*in_ins_partner_share+F1394*in_life_term_ticket*in_life_term_renew_comm*in_ins_partner_share*(in_life_term_renew^1*SUMIFS(AL1367:AL1396,B1367:B1396,B1394-12)+in_life_term_renew^2*SUMIFS(AL1367:AL1396,B1367:B1396,B1394-24)+in_life_term_renew^3*SUMIFS(AL1367:AL1396,B1367:B1396,B1394-36)+in_life_term_renew^4*SUMIFS(AL1367:AL1396,B1367:B1396,B1394-48))</f>
        <v/>
      </c>
      <c r="AN1394" s="40">
        <f>AN1393*(1-IF(B1393&gt;=in_marketplace_from,d_hz_accident*G1393,0))</f>
        <v/>
      </c>
      <c r="AO1394" s="46">
        <f>AN1394*IF(B1394&gt;=in_marketplace_from,d_hz_accident*G1394,0)</f>
        <v/>
      </c>
      <c r="AP1394" s="14">
        <f>F1394*AO1394*in_accident_ticket*in_accident_comm*in_ins_partner_share+F1394*in_accident_ticket*in_accident_renew_comm*in_ins_partner_share*(in_accident_renew^1*SUMIFS(AO1367:AO1396,B1367:B1396,B1394-12)+in_accident_renew^2*SUMIFS(AO1367:AO1396,B1367:B1396,B1394-24)+in_accident_renew^3*SUMIFS(AO1367:AO1396,B1367:B1396,B1394-36)+in_accident_renew^4*SUMIFS(AO1367:AO1396,B1367:B1396,B1394-48))</f>
        <v/>
      </c>
      <c r="AQ1394" s="40">
        <f>AQ1393*(1-IF(B1393&gt;=in_marketplace_from,d_hz_two_wheeler*G1393,0))</f>
        <v/>
      </c>
      <c r="AR1394" s="46">
        <f>AQ1394*IF(B1394&gt;=in_marketplace_from,d_hz_two_wheeler*G1394,0)</f>
        <v/>
      </c>
      <c r="AS1394" s="14">
        <f>F1394*AR1394*in_two_wheeler_ticket*in_two_wheeler_comm*in_ins_partner_share+F1394*in_two_wheeler_ticket*in_two_wheeler_comm*in_ins_partner_share*(in_two_wheeler_renew^1*SUMIFS(AR1367:AR1396,B1367:B1396,B1394-12)+in_two_wheeler_renew^2*SUMIFS(AR1367:AR1396,B1367:B1396,B1394-24)+in_two_wheeler_renew^3*SUMIFS(AR1367:AR1396,B1367:B1396,B1394-36)+in_two_wheeler_renew^4*SUMIFS(AR1367:AR1396,B1367:B1396,B1394-48))</f>
        <v/>
      </c>
      <c r="AT1394" s="40">
        <f>AT1393*(1-IF(B1393&gt;=in_marketplace_from,d_hz_device*G1393,0))</f>
        <v/>
      </c>
      <c r="AU1394" s="14">
        <f>F1394*AT1394*IF(B1394&gt;=in_marketplace_from,d_hz_device*G1394,0)*in_device_ticket*in_device_comm*in_ins_partner_share</f>
        <v/>
      </c>
      <c r="AV1394" s="40">
        <f>AV1393*(1-IF(B1393&gt;=in_marketplace_from,d_hz_shop*G1393,0))</f>
        <v/>
      </c>
      <c r="AW1394" s="46">
        <f>AV1394*IF(B1394&gt;=in_marketplace_from,d_hz_shop*G1394,0)</f>
        <v/>
      </c>
      <c r="AX1394" s="14">
        <f>F1394*AW1394*in_shop_ticket*in_shop_comm*in_ins_partner_share+F1394*in_shop_ticket*in_shop_renew_comm*in_ins_partner_share*(in_shop_renew^1*SUMIFS(AW1367:AW1396,B1367:B1396,B1394-12)+in_shop_renew^2*SUMIFS(AW1367:AW1396,B1367:B1396,B1394-24)+in_shop_renew^3*SUMIFS(AW1367:AW1396,B1367:B1396,B1394-36)+in_shop_renew^4*SUMIFS(AW1367:AW1396,B1367:B1396,B1394-48))</f>
        <v/>
      </c>
      <c r="AY1394" s="40">
        <f>AY1393*(1-IF(B1393&gt;=in_marketplace_from,d_hz_sip*G1393,0))</f>
        <v/>
      </c>
      <c r="AZ1394" s="40">
        <f>AZ1393*d_rho_sip+AY1394*IF(B1394&gt;=in_marketplace_from,d_hz_sip*G1394,0)</f>
        <v/>
      </c>
      <c r="BA1394" s="40">
        <f>d_rho_sip*(BA1393+AZ1393)</f>
        <v/>
      </c>
      <c r="BB1394" s="14">
        <f>F1394*in_sip_ticket*(BA1394+0.5*AZ1394)*in_sip_comm/12</f>
        <v/>
      </c>
      <c r="BC1394" s="40">
        <f>BC1393*(1-IF(B1393&gt;=in_marketplace_from,d_hz_choti*G1393,0))</f>
        <v/>
      </c>
      <c r="BD1394" s="46">
        <f>BC1394*IF(B1394&gt;=in_marketplace_from,d_hz_choti*G1394,0)</f>
        <v/>
      </c>
      <c r="BE1394" s="14">
        <f>F1394*SUMIFS(BD1367:BD1396,B1367:B1396,B1394-in_choti_months)*in_choti_renew*in_choti_ticket</f>
        <v/>
      </c>
      <c r="BF1394" s="40">
        <f>BF1393*(1-IF(B1393&gt;=in_marketplace_from,d_hz_nps*G1393,0))</f>
        <v/>
      </c>
      <c r="BG1394" s="14">
        <f>F1394*BF1394*IF(B1394&gt;=in_marketplace_from,d_hz_nps*G1394,0)*in_nps_ticket*in_nps_comm</f>
        <v/>
      </c>
      <c r="BH1394" s="40">
        <f>BH1393*(1-IF(B1393&gt;=in_marketplace_from,d_hz_gold*G1393,0))</f>
        <v/>
      </c>
      <c r="BI1394" s="40">
        <f>BI1393*d_rho_gold+BH1394*IF(B1394&gt;=in_marketplace_from,d_hz_gold*G1394,0)</f>
        <v/>
      </c>
      <c r="BJ1394" s="14">
        <f>F1394*BI1394*in_gold_ticket*in_gold_comm</f>
        <v/>
      </c>
      <c r="BK1394" s="40">
        <f>BK1393*(1-IF(B1393&gt;=in_marketplace_from,d_hz_fd*G1393,0))</f>
        <v/>
      </c>
      <c r="BL1394" s="14">
        <f>F1394*BK1394*IF(B1394&gt;=in_marketplace_from,d_hz_fd*G1394,0)*in_fd_ticket*in_fd_comm</f>
        <v/>
      </c>
      <c r="BM1394" s="40">
        <f>BM1393*(1-IF(B1393&gt;=in_marketplace_from,d_hz_recharge*G1393,0))</f>
        <v/>
      </c>
      <c r="BN1394" s="40">
        <f>BN1393*d_rho_recharge+BM1394*IF(B1394&gt;=in_marketplace_from,d_hz_recharge*G1394,0)</f>
        <v/>
      </c>
      <c r="BO1394" s="14">
        <f>F1394*BN1394*in_recharge_ticket*in_recharge_comm/12</f>
        <v/>
      </c>
      <c r="BP1394" s="40">
        <f>BP1393*(1-IF(B1393&gt;=in_marketplace_from,d_hz_bills*G1393,0))</f>
        <v/>
      </c>
      <c r="BQ1394" s="40">
        <f>BQ1393*d_rho_bills+BP1394*IF(B1394&gt;=in_marketplace_from,d_hz_bills*G1394,0)</f>
        <v/>
      </c>
      <c r="BR1394" s="14">
        <f>F1394*BQ1394*in_bills_ticket*in_bills_comm/12</f>
        <v/>
      </c>
      <c r="BS1394" s="40">
        <f>BS1393*(1-IF(B1393&gt;=in_marketplace_from,d_hz_loan_gold*G1393,0))</f>
        <v/>
      </c>
      <c r="BT1394" s="14">
        <f>F1394*BS1394*IF(B1394&gt;=in_marketplace_from,d_hz_loan_gold*G1394,0)*in_loan_gold_ticket*in_loan_gold_comm</f>
        <v/>
      </c>
      <c r="BU1394" s="40">
        <f>BU1393*(1-IF(B1393&gt;=in_marketplace_from,d_hz_loan_cd*G1393,0))</f>
        <v/>
      </c>
      <c r="BV1394" s="14">
        <f>F1394*BU1394*IF(B1394&gt;=in_marketplace_from,d_hz_loan_cd*G1394,0)*in_loan_cd_ticket*in_loan_cd_comm</f>
        <v/>
      </c>
      <c r="BW1394" s="40">
        <f>BW1393*(1-IF(B1393&gt;=in_marketplace_from,d_hz_loan_vehicle*G1393,0))</f>
        <v/>
      </c>
      <c r="BX1394" s="14">
        <f>F1394*BW1394*IF(B1394&gt;=in_marketplace_from,d_hz_loan_vehicle*G1394,0)*in_loan_vehicle_ticket*in_loan_vehicle_comm</f>
        <v/>
      </c>
      <c r="BY1394" s="40">
        <f>BY1393*(1-IF(B1393&gt;=in_marketplace_from,d_hz_loan_home*G1393,0)*BZ1393)</f>
        <v/>
      </c>
      <c r="BZ1394" s="11">
        <f>MIN(in_approval_cap,in_loan_home_approval*INDEX('Age profile'!$O$2:$O$61,B1394)*(1+in_approval_growth)^(D1394-1))</f>
        <v/>
      </c>
      <c r="CA1394" s="14">
        <f>F1394*BY1394*IF(B1394&gt;=in_marketplace_from,d_hz_loan_home*G1394,0)*BZ1394*in_loan_home_ticket*in_loan_home_comm</f>
        <v/>
      </c>
      <c r="CB1394" s="40">
        <f>CB1393*(1-IF(B1393&gt;=in_marketplace_from,d_hz_loan_lap*G1393,0)*CC1393)</f>
        <v/>
      </c>
      <c r="CC1394" s="11">
        <f>MIN(in_approval_cap,in_loan_lap_approval*INDEX('Age profile'!$O$2:$O$61,B1394)*(1+in_approval_growth)^(D1394-1))</f>
        <v/>
      </c>
      <c r="CD1394" s="14">
        <f>F1394*CB1394*IF(B1394&gt;=in_marketplace_from,d_hz_loan_lap*G1394,0)*CC1394*in_loan_lap_ticket*in_loan_lap_comm</f>
        <v/>
      </c>
      <c r="CE1394" s="14">
        <f>AA1394+AB1394+AC1394+AD1394+AG1394+AJ1394+AM1394+AP1394+AS1394+AU1394+AX1394+BB1394+BE1394+BG1394+BJ1394+BL1394+BO1394+BR1394+BT1394+BV1394+BX1394+CA1394+CD1394</f>
        <v/>
      </c>
    </row>
    <row r="1395">
      <c r="A1395" s="39" t="n">
        <v>31</v>
      </c>
      <c r="B1395" s="39" t="n">
        <v>29</v>
      </c>
      <c r="C1395" s="39">
        <f>A1395+B1395-1</f>
        <v/>
      </c>
      <c r="D1395" s="39">
        <f>INT((C1395-1)/12)+1</f>
        <v/>
      </c>
      <c r="E1395" s="44">
        <f>INDEX(Monthly!$B$2:$B$61,A1395)</f>
        <v/>
      </c>
      <c r="F1395" s="44">
        <f>E1395*INDEX('Age profile'!$B$2:$B$61,B1395)</f>
        <v/>
      </c>
      <c r="G1395" s="45">
        <f>MIN(in_takeup_cap,INDEX('Age profile'!$N$2:$N$61,B1395)*(1+in_takeup_growth)^(D1395-1))</f>
        <v/>
      </c>
      <c r="H1395" s="11">
        <f>MIN(in_approval_cap,in_approved_first*INDEX('Age profile'!$O$2:$O$61,B1395)*(1+in_approval_growth)^(D1395-1))</f>
        <v/>
      </c>
      <c r="I1395" s="45">
        <f>G1395*MIN(in_takeup_cap,INDEX('Age profile'!$O$2:$O$61,B1395)*(1+in_approval_growth)^(D1395-1))</f>
        <v/>
      </c>
      <c r="J1395" s="40">
        <f>(J1394-L1394)*F1395/F1394</f>
        <v/>
      </c>
      <c r="K1395" s="40">
        <f>(K1394-M1394)*F1395/F1394+SUMIFS(O1367:O1394,B1367:B1394,B1395-1-d_T)*F1395</f>
        <v/>
      </c>
      <c r="L1395" s="40">
        <f>IF(B1395&gt;=in_marketplace_from,J1395*d_hz*G1395*in_eligible*H1395,0)</f>
        <v/>
      </c>
      <c r="M1395" s="40">
        <f>IF(B1395&gt;=in_marketplace_from,K1395*d_hz*G1395*in_eligible*in_approved_repeat,0)</f>
        <v/>
      </c>
      <c r="N1395" s="40">
        <f>L1395+M1395</f>
        <v/>
      </c>
      <c r="O1395" s="46">
        <f>N1395/F1395</f>
        <v/>
      </c>
      <c r="P1395" s="40">
        <f>F1395-J1395-K1395</f>
        <v/>
      </c>
      <c r="Q1395" s="40">
        <f>IF(B1395&gt;=in_marketplace_from,(J1395+K1395)*d_hz*G1395,0)</f>
        <v/>
      </c>
      <c r="R1395" s="40">
        <f>SUMIFS(N1367:N1396,B1367:B1396,"&gt;="&amp;(B1395-d_T),B1367:B1396,"&lt;="&amp;(B1395-1))</f>
        <v/>
      </c>
      <c r="S1395" s="46">
        <f>(1-d_u)*S1394+IF(d_T&gt;in_topup_lag,SUMIFS(O1367:O1396,B1367:B1396,B1395-in_topup_lag)-d_udrop*SUMIFS(O1367:O1396,B1367:B1396,B1395-d_T),0)</f>
        <v/>
      </c>
      <c r="T1395" s="40">
        <f>F1395*d_u*S1395</f>
        <v/>
      </c>
      <c r="U1395" s="9">
        <f>L1395*in_ticket+M1395*d_rep_ticket</f>
        <v/>
      </c>
      <c r="V1395" s="9">
        <f>U1395+T1395*d_topup_amt</f>
        <v/>
      </c>
      <c r="W1395" s="40">
        <f>N1395+T1395*d_topup_ratio</f>
        <v/>
      </c>
      <c r="X1395" s="40">
        <f>SUMIFS(W1367:W1396,B1367:B1396,B1395-in_dpd_lag)*d_cured</f>
        <v/>
      </c>
      <c r="Y1395" s="40">
        <f>SUMIFS(W1367:W1396,B1367:B1396,B1395-in_rec_lag)*d_recd</f>
        <v/>
      </c>
      <c r="Z1395" s="40">
        <f>IF(AND(B1395&gt;=in_marketplace_from,B1395&lt;in_marketplace_from+in_card_months),in_card_share/in_card_months*F1395*I1395,IF(AND(B1395&gt;=in_marketplace_from+in_card_months,B1395&lt;in_marketplace_from+2*in_card_months),in_card_share*d_card_rem/in_card_months*F1395*MIN(in_takeup_cap,(1+in_takeup_growth)^(D1395-1))*MIN(in_takeup_cap,(1+in_approval_growth)^(D1395-1)),0))</f>
        <v/>
      </c>
      <c r="AA1395" s="14">
        <f>V1395*in_fee*(1-in_taken_back)</f>
        <v/>
      </c>
      <c r="AB1395" s="14">
        <f>SUMIFS(W1367:W1396,B1367:B1396,B1395-in_dpd_lag)*d_dpd</f>
        <v/>
      </c>
      <c r="AC1395" s="14">
        <f>SUMIFS(W1367:W1396,B1367:B1396,B1395-in_rec_lag)*d_rec</f>
        <v/>
      </c>
      <c r="AD1395" s="14">
        <f>Z1395*in_card_fee</f>
        <v/>
      </c>
      <c r="AE1395" s="40">
        <f>AE1394*(1-IF(B1394&gt;=in_marketplace_from,d_hz_hlth_small*G1394,0))</f>
        <v/>
      </c>
      <c r="AF1395" s="46">
        <f>AE1395*IF(B1395&gt;=in_marketplace_from,d_hz_hlth_small*G1395,0)</f>
        <v/>
      </c>
      <c r="AG1395" s="14">
        <f>F1395*AF1395*in_hlth_small_ticket*in_hlth_small_comm*in_ins_partner_share+F1395*in_hlth_small_ticket*in_hlth_small_renew_comm*in_ins_partner_share*(in_hlth_small_renew^1*SUMIFS(AF1367:AF1396,B1367:B1396,B1395-12)+in_hlth_small_renew^2*SUMIFS(AF1367:AF1396,B1367:B1396,B1395-24)+in_hlth_small_renew^3*SUMIFS(AF1367:AF1396,B1367:B1396,B1395-36)+in_hlth_small_renew^4*SUMIFS(AF1367:AF1396,B1367:B1396,B1395-48))</f>
        <v/>
      </c>
      <c r="AH1395" s="40">
        <f>AH1394*(1-IF(B1394&gt;=in_marketplace_from,d_hz_hlth_family*G1394,0))</f>
        <v/>
      </c>
      <c r="AI1395" s="46">
        <f>AH1395*IF(B1395&gt;=in_marketplace_from,d_hz_hlth_family*G1395,0)</f>
        <v/>
      </c>
      <c r="AJ1395" s="14">
        <f>F1395*AI1395*in_hlth_family_ticket*in_hlth_family_comm*in_ins_partner_share+F1395*in_hlth_family_ticket*in_hlth_family_renew_comm*in_ins_partner_share*(in_hlth_family_renew^1*SUMIFS(AI1367:AI1396,B1367:B1396,B1395-12)+in_hlth_family_renew^2*SUMIFS(AI1367:AI1396,B1367:B1396,B1395-24)+in_hlth_family_renew^3*SUMIFS(AI1367:AI1396,B1367:B1396,B1395-36)+in_hlth_family_renew^4*SUMIFS(AI1367:AI1396,B1367:B1396,B1395-48))</f>
        <v/>
      </c>
      <c r="AK1395" s="40">
        <f>AK1394*(1-IF(B1394&gt;=in_marketplace_from,d_hz_life_term*G1394,0))</f>
        <v/>
      </c>
      <c r="AL1395" s="46">
        <f>AK1395*IF(B1395&gt;=in_marketplace_from,d_hz_life_term*G1395,0)</f>
        <v/>
      </c>
      <c r="AM1395" s="14">
        <f>F1395*AL1395*in_life_term_ticket*in_life_term_comm*in_ins_partner_share+F1395*in_life_term_ticket*in_life_term_renew_comm*in_ins_partner_share*(in_life_term_renew^1*SUMIFS(AL1367:AL1396,B1367:B1396,B1395-12)+in_life_term_renew^2*SUMIFS(AL1367:AL1396,B1367:B1396,B1395-24)+in_life_term_renew^3*SUMIFS(AL1367:AL1396,B1367:B1396,B1395-36)+in_life_term_renew^4*SUMIFS(AL1367:AL1396,B1367:B1396,B1395-48))</f>
        <v/>
      </c>
      <c r="AN1395" s="40">
        <f>AN1394*(1-IF(B1394&gt;=in_marketplace_from,d_hz_accident*G1394,0))</f>
        <v/>
      </c>
      <c r="AO1395" s="46">
        <f>AN1395*IF(B1395&gt;=in_marketplace_from,d_hz_accident*G1395,0)</f>
        <v/>
      </c>
      <c r="AP1395" s="14">
        <f>F1395*AO1395*in_accident_ticket*in_accident_comm*in_ins_partner_share+F1395*in_accident_ticket*in_accident_renew_comm*in_ins_partner_share*(in_accident_renew^1*SUMIFS(AO1367:AO1396,B1367:B1396,B1395-12)+in_accident_renew^2*SUMIFS(AO1367:AO1396,B1367:B1396,B1395-24)+in_accident_renew^3*SUMIFS(AO1367:AO1396,B1367:B1396,B1395-36)+in_accident_renew^4*SUMIFS(AO1367:AO1396,B1367:B1396,B1395-48))</f>
        <v/>
      </c>
      <c r="AQ1395" s="40">
        <f>AQ1394*(1-IF(B1394&gt;=in_marketplace_from,d_hz_two_wheeler*G1394,0))</f>
        <v/>
      </c>
      <c r="AR1395" s="46">
        <f>AQ1395*IF(B1395&gt;=in_marketplace_from,d_hz_two_wheeler*G1395,0)</f>
        <v/>
      </c>
      <c r="AS1395" s="14">
        <f>F1395*AR1395*in_two_wheeler_ticket*in_two_wheeler_comm*in_ins_partner_share+F1395*in_two_wheeler_ticket*in_two_wheeler_comm*in_ins_partner_share*(in_two_wheeler_renew^1*SUMIFS(AR1367:AR1396,B1367:B1396,B1395-12)+in_two_wheeler_renew^2*SUMIFS(AR1367:AR1396,B1367:B1396,B1395-24)+in_two_wheeler_renew^3*SUMIFS(AR1367:AR1396,B1367:B1396,B1395-36)+in_two_wheeler_renew^4*SUMIFS(AR1367:AR1396,B1367:B1396,B1395-48))</f>
        <v/>
      </c>
      <c r="AT1395" s="40">
        <f>AT1394*(1-IF(B1394&gt;=in_marketplace_from,d_hz_device*G1394,0))</f>
        <v/>
      </c>
      <c r="AU1395" s="14">
        <f>F1395*AT1395*IF(B1395&gt;=in_marketplace_from,d_hz_device*G1395,0)*in_device_ticket*in_device_comm*in_ins_partner_share</f>
        <v/>
      </c>
      <c r="AV1395" s="40">
        <f>AV1394*(1-IF(B1394&gt;=in_marketplace_from,d_hz_shop*G1394,0))</f>
        <v/>
      </c>
      <c r="AW1395" s="46">
        <f>AV1395*IF(B1395&gt;=in_marketplace_from,d_hz_shop*G1395,0)</f>
        <v/>
      </c>
      <c r="AX1395" s="14">
        <f>F1395*AW1395*in_shop_ticket*in_shop_comm*in_ins_partner_share+F1395*in_shop_ticket*in_shop_renew_comm*in_ins_partner_share*(in_shop_renew^1*SUMIFS(AW1367:AW1396,B1367:B1396,B1395-12)+in_shop_renew^2*SUMIFS(AW1367:AW1396,B1367:B1396,B1395-24)+in_shop_renew^3*SUMIFS(AW1367:AW1396,B1367:B1396,B1395-36)+in_shop_renew^4*SUMIFS(AW1367:AW1396,B1367:B1396,B1395-48))</f>
        <v/>
      </c>
      <c r="AY1395" s="40">
        <f>AY1394*(1-IF(B1394&gt;=in_marketplace_from,d_hz_sip*G1394,0))</f>
        <v/>
      </c>
      <c r="AZ1395" s="40">
        <f>AZ1394*d_rho_sip+AY1395*IF(B1395&gt;=in_marketplace_from,d_hz_sip*G1395,0)</f>
        <v/>
      </c>
      <c r="BA1395" s="40">
        <f>d_rho_sip*(BA1394+AZ1394)</f>
        <v/>
      </c>
      <c r="BB1395" s="14">
        <f>F1395*in_sip_ticket*(BA1395+0.5*AZ1395)*in_sip_comm/12</f>
        <v/>
      </c>
      <c r="BC1395" s="40">
        <f>BC1394*(1-IF(B1394&gt;=in_marketplace_from,d_hz_choti*G1394,0))</f>
        <v/>
      </c>
      <c r="BD1395" s="46">
        <f>BC1395*IF(B1395&gt;=in_marketplace_from,d_hz_choti*G1395,0)</f>
        <v/>
      </c>
      <c r="BE1395" s="14">
        <f>F1395*SUMIFS(BD1367:BD1396,B1367:B1396,B1395-in_choti_months)*in_choti_renew*in_choti_ticket</f>
        <v/>
      </c>
      <c r="BF1395" s="40">
        <f>BF1394*(1-IF(B1394&gt;=in_marketplace_from,d_hz_nps*G1394,0))</f>
        <v/>
      </c>
      <c r="BG1395" s="14">
        <f>F1395*BF1395*IF(B1395&gt;=in_marketplace_from,d_hz_nps*G1395,0)*in_nps_ticket*in_nps_comm</f>
        <v/>
      </c>
      <c r="BH1395" s="40">
        <f>BH1394*(1-IF(B1394&gt;=in_marketplace_from,d_hz_gold*G1394,0))</f>
        <v/>
      </c>
      <c r="BI1395" s="40">
        <f>BI1394*d_rho_gold+BH1395*IF(B1395&gt;=in_marketplace_from,d_hz_gold*G1395,0)</f>
        <v/>
      </c>
      <c r="BJ1395" s="14">
        <f>F1395*BI1395*in_gold_ticket*in_gold_comm</f>
        <v/>
      </c>
      <c r="BK1395" s="40">
        <f>BK1394*(1-IF(B1394&gt;=in_marketplace_from,d_hz_fd*G1394,0))</f>
        <v/>
      </c>
      <c r="BL1395" s="14">
        <f>F1395*BK1395*IF(B1395&gt;=in_marketplace_from,d_hz_fd*G1395,0)*in_fd_ticket*in_fd_comm</f>
        <v/>
      </c>
      <c r="BM1395" s="40">
        <f>BM1394*(1-IF(B1394&gt;=in_marketplace_from,d_hz_recharge*G1394,0))</f>
        <v/>
      </c>
      <c r="BN1395" s="40">
        <f>BN1394*d_rho_recharge+BM1395*IF(B1395&gt;=in_marketplace_from,d_hz_recharge*G1395,0)</f>
        <v/>
      </c>
      <c r="BO1395" s="14">
        <f>F1395*BN1395*in_recharge_ticket*in_recharge_comm/12</f>
        <v/>
      </c>
      <c r="BP1395" s="40">
        <f>BP1394*(1-IF(B1394&gt;=in_marketplace_from,d_hz_bills*G1394,0))</f>
        <v/>
      </c>
      <c r="BQ1395" s="40">
        <f>BQ1394*d_rho_bills+BP1395*IF(B1395&gt;=in_marketplace_from,d_hz_bills*G1395,0)</f>
        <v/>
      </c>
      <c r="BR1395" s="14">
        <f>F1395*BQ1395*in_bills_ticket*in_bills_comm/12</f>
        <v/>
      </c>
      <c r="BS1395" s="40">
        <f>BS1394*(1-IF(B1394&gt;=in_marketplace_from,d_hz_loan_gold*G1394,0))</f>
        <v/>
      </c>
      <c r="BT1395" s="14">
        <f>F1395*BS1395*IF(B1395&gt;=in_marketplace_from,d_hz_loan_gold*G1395,0)*in_loan_gold_ticket*in_loan_gold_comm</f>
        <v/>
      </c>
      <c r="BU1395" s="40">
        <f>BU1394*(1-IF(B1394&gt;=in_marketplace_from,d_hz_loan_cd*G1394,0))</f>
        <v/>
      </c>
      <c r="BV1395" s="14">
        <f>F1395*BU1395*IF(B1395&gt;=in_marketplace_from,d_hz_loan_cd*G1395,0)*in_loan_cd_ticket*in_loan_cd_comm</f>
        <v/>
      </c>
      <c r="BW1395" s="40">
        <f>BW1394*(1-IF(B1394&gt;=in_marketplace_from,d_hz_loan_vehicle*G1394,0))</f>
        <v/>
      </c>
      <c r="BX1395" s="14">
        <f>F1395*BW1395*IF(B1395&gt;=in_marketplace_from,d_hz_loan_vehicle*G1395,0)*in_loan_vehicle_ticket*in_loan_vehicle_comm</f>
        <v/>
      </c>
      <c r="BY1395" s="40">
        <f>BY1394*(1-IF(B1394&gt;=in_marketplace_from,d_hz_loan_home*G1394,0)*BZ1394)</f>
        <v/>
      </c>
      <c r="BZ1395" s="11">
        <f>MIN(in_approval_cap,in_loan_home_approval*INDEX('Age profile'!$O$2:$O$61,B1395)*(1+in_approval_growth)^(D1395-1))</f>
        <v/>
      </c>
      <c r="CA1395" s="14">
        <f>F1395*BY1395*IF(B1395&gt;=in_marketplace_from,d_hz_loan_home*G1395,0)*BZ1395*in_loan_home_ticket*in_loan_home_comm</f>
        <v/>
      </c>
      <c r="CB1395" s="40">
        <f>CB1394*(1-IF(B1394&gt;=in_marketplace_from,d_hz_loan_lap*G1394,0)*CC1394)</f>
        <v/>
      </c>
      <c r="CC1395" s="11">
        <f>MIN(in_approval_cap,in_loan_lap_approval*INDEX('Age profile'!$O$2:$O$61,B1395)*(1+in_approval_growth)^(D1395-1))</f>
        <v/>
      </c>
      <c r="CD1395" s="14">
        <f>F1395*CB1395*IF(B1395&gt;=in_marketplace_from,d_hz_loan_lap*G1395,0)*CC1395*in_loan_lap_ticket*in_loan_lap_comm</f>
        <v/>
      </c>
      <c r="CE1395" s="14">
        <f>AA1395+AB1395+AC1395+AD1395+AG1395+AJ1395+AM1395+AP1395+AS1395+AU1395+AX1395+BB1395+BE1395+BG1395+BJ1395+BL1395+BO1395+BR1395+BT1395+BV1395+BX1395+CA1395+CD1395</f>
        <v/>
      </c>
    </row>
    <row r="1396">
      <c r="A1396" s="39" t="n">
        <v>31</v>
      </c>
      <c r="B1396" s="39" t="n">
        <v>30</v>
      </c>
      <c r="C1396" s="39">
        <f>A1396+B1396-1</f>
        <v/>
      </c>
      <c r="D1396" s="39">
        <f>INT((C1396-1)/12)+1</f>
        <v/>
      </c>
      <c r="E1396" s="44">
        <f>INDEX(Monthly!$B$2:$B$61,A1396)</f>
        <v/>
      </c>
      <c r="F1396" s="44">
        <f>E1396*INDEX('Age profile'!$B$2:$B$61,B1396)</f>
        <v/>
      </c>
      <c r="G1396" s="45">
        <f>MIN(in_takeup_cap,INDEX('Age profile'!$N$2:$N$61,B1396)*(1+in_takeup_growth)^(D1396-1))</f>
        <v/>
      </c>
      <c r="H1396" s="11">
        <f>MIN(in_approval_cap,in_approved_first*INDEX('Age profile'!$O$2:$O$61,B1396)*(1+in_approval_growth)^(D1396-1))</f>
        <v/>
      </c>
      <c r="I1396" s="45">
        <f>G1396*MIN(in_takeup_cap,INDEX('Age profile'!$O$2:$O$61,B1396)*(1+in_approval_growth)^(D1396-1))</f>
        <v/>
      </c>
      <c r="J1396" s="40">
        <f>(J1395-L1395)*F1396/F1395</f>
        <v/>
      </c>
      <c r="K1396" s="40">
        <f>(K1395-M1395)*F1396/F1395+SUMIFS(O1367:O1395,B1367:B1395,B1396-1-d_T)*F1396</f>
        <v/>
      </c>
      <c r="L1396" s="40">
        <f>IF(B1396&gt;=in_marketplace_from,J1396*d_hz*G1396*in_eligible*H1396,0)</f>
        <v/>
      </c>
      <c r="M1396" s="40">
        <f>IF(B1396&gt;=in_marketplace_from,K1396*d_hz*G1396*in_eligible*in_approved_repeat,0)</f>
        <v/>
      </c>
      <c r="N1396" s="40">
        <f>L1396+M1396</f>
        <v/>
      </c>
      <c r="O1396" s="46">
        <f>N1396/F1396</f>
        <v/>
      </c>
      <c r="P1396" s="40">
        <f>F1396-J1396-K1396</f>
        <v/>
      </c>
      <c r="Q1396" s="40">
        <f>IF(B1396&gt;=in_marketplace_from,(J1396+K1396)*d_hz*G1396,0)</f>
        <v/>
      </c>
      <c r="R1396" s="40">
        <f>SUMIFS(N1367:N1396,B1367:B1396,"&gt;="&amp;(B1396-d_T),B1367:B1396,"&lt;="&amp;(B1396-1))</f>
        <v/>
      </c>
      <c r="S1396" s="46">
        <f>(1-d_u)*S1395+IF(d_T&gt;in_topup_lag,SUMIFS(O1367:O1396,B1367:B1396,B1396-in_topup_lag)-d_udrop*SUMIFS(O1367:O1396,B1367:B1396,B1396-d_T),0)</f>
        <v/>
      </c>
      <c r="T1396" s="40">
        <f>F1396*d_u*S1396</f>
        <v/>
      </c>
      <c r="U1396" s="9">
        <f>L1396*in_ticket+M1396*d_rep_ticket</f>
        <v/>
      </c>
      <c r="V1396" s="9">
        <f>U1396+T1396*d_topup_amt</f>
        <v/>
      </c>
      <c r="W1396" s="40">
        <f>N1396+T1396*d_topup_ratio</f>
        <v/>
      </c>
      <c r="X1396" s="40">
        <f>SUMIFS(W1367:W1396,B1367:B1396,B1396-in_dpd_lag)*d_cured</f>
        <v/>
      </c>
      <c r="Y1396" s="40">
        <f>SUMIFS(W1367:W1396,B1367:B1396,B1396-in_rec_lag)*d_recd</f>
        <v/>
      </c>
      <c r="Z1396" s="40">
        <f>IF(AND(B1396&gt;=in_marketplace_from,B1396&lt;in_marketplace_from+in_card_months),in_card_share/in_card_months*F1396*I1396,IF(AND(B1396&gt;=in_marketplace_from+in_card_months,B1396&lt;in_marketplace_from+2*in_card_months),in_card_share*d_card_rem/in_card_months*F1396*MIN(in_takeup_cap,(1+in_takeup_growth)^(D1396-1))*MIN(in_takeup_cap,(1+in_approval_growth)^(D1396-1)),0))</f>
        <v/>
      </c>
      <c r="AA1396" s="14">
        <f>V1396*in_fee*(1-in_taken_back)</f>
        <v/>
      </c>
      <c r="AB1396" s="14">
        <f>SUMIFS(W1367:W1396,B1367:B1396,B1396-in_dpd_lag)*d_dpd</f>
        <v/>
      </c>
      <c r="AC1396" s="14">
        <f>SUMIFS(W1367:W1396,B1367:B1396,B1396-in_rec_lag)*d_rec</f>
        <v/>
      </c>
      <c r="AD1396" s="14">
        <f>Z1396*in_card_fee</f>
        <v/>
      </c>
      <c r="AE1396" s="40">
        <f>AE1395*(1-IF(B1395&gt;=in_marketplace_from,d_hz_hlth_small*G1395,0))</f>
        <v/>
      </c>
      <c r="AF1396" s="46">
        <f>AE1396*IF(B1396&gt;=in_marketplace_from,d_hz_hlth_small*G1396,0)</f>
        <v/>
      </c>
      <c r="AG1396" s="14">
        <f>F1396*AF1396*in_hlth_small_ticket*in_hlth_small_comm*in_ins_partner_share+F1396*in_hlth_small_ticket*in_hlth_small_renew_comm*in_ins_partner_share*(in_hlth_small_renew^1*SUMIFS(AF1367:AF1396,B1367:B1396,B1396-12)+in_hlth_small_renew^2*SUMIFS(AF1367:AF1396,B1367:B1396,B1396-24)+in_hlth_small_renew^3*SUMIFS(AF1367:AF1396,B1367:B1396,B1396-36)+in_hlth_small_renew^4*SUMIFS(AF1367:AF1396,B1367:B1396,B1396-48))</f>
        <v/>
      </c>
      <c r="AH1396" s="40">
        <f>AH1395*(1-IF(B1395&gt;=in_marketplace_from,d_hz_hlth_family*G1395,0))</f>
        <v/>
      </c>
      <c r="AI1396" s="46">
        <f>AH1396*IF(B1396&gt;=in_marketplace_from,d_hz_hlth_family*G1396,0)</f>
        <v/>
      </c>
      <c r="AJ1396" s="14">
        <f>F1396*AI1396*in_hlth_family_ticket*in_hlth_family_comm*in_ins_partner_share+F1396*in_hlth_family_ticket*in_hlth_family_renew_comm*in_ins_partner_share*(in_hlth_family_renew^1*SUMIFS(AI1367:AI1396,B1367:B1396,B1396-12)+in_hlth_family_renew^2*SUMIFS(AI1367:AI1396,B1367:B1396,B1396-24)+in_hlth_family_renew^3*SUMIFS(AI1367:AI1396,B1367:B1396,B1396-36)+in_hlth_family_renew^4*SUMIFS(AI1367:AI1396,B1367:B1396,B1396-48))</f>
        <v/>
      </c>
      <c r="AK1396" s="40">
        <f>AK1395*(1-IF(B1395&gt;=in_marketplace_from,d_hz_life_term*G1395,0))</f>
        <v/>
      </c>
      <c r="AL1396" s="46">
        <f>AK1396*IF(B1396&gt;=in_marketplace_from,d_hz_life_term*G1396,0)</f>
        <v/>
      </c>
      <c r="AM1396" s="14">
        <f>F1396*AL1396*in_life_term_ticket*in_life_term_comm*in_ins_partner_share+F1396*in_life_term_ticket*in_life_term_renew_comm*in_ins_partner_share*(in_life_term_renew^1*SUMIFS(AL1367:AL1396,B1367:B1396,B1396-12)+in_life_term_renew^2*SUMIFS(AL1367:AL1396,B1367:B1396,B1396-24)+in_life_term_renew^3*SUMIFS(AL1367:AL1396,B1367:B1396,B1396-36)+in_life_term_renew^4*SUMIFS(AL1367:AL1396,B1367:B1396,B1396-48))</f>
        <v/>
      </c>
      <c r="AN1396" s="40">
        <f>AN1395*(1-IF(B1395&gt;=in_marketplace_from,d_hz_accident*G1395,0))</f>
        <v/>
      </c>
      <c r="AO1396" s="46">
        <f>AN1396*IF(B1396&gt;=in_marketplace_from,d_hz_accident*G1396,0)</f>
        <v/>
      </c>
      <c r="AP1396" s="14">
        <f>F1396*AO1396*in_accident_ticket*in_accident_comm*in_ins_partner_share+F1396*in_accident_ticket*in_accident_renew_comm*in_ins_partner_share*(in_accident_renew^1*SUMIFS(AO1367:AO1396,B1367:B1396,B1396-12)+in_accident_renew^2*SUMIFS(AO1367:AO1396,B1367:B1396,B1396-24)+in_accident_renew^3*SUMIFS(AO1367:AO1396,B1367:B1396,B1396-36)+in_accident_renew^4*SUMIFS(AO1367:AO1396,B1367:B1396,B1396-48))</f>
        <v/>
      </c>
      <c r="AQ1396" s="40">
        <f>AQ1395*(1-IF(B1395&gt;=in_marketplace_from,d_hz_two_wheeler*G1395,0))</f>
        <v/>
      </c>
      <c r="AR1396" s="46">
        <f>AQ1396*IF(B1396&gt;=in_marketplace_from,d_hz_two_wheeler*G1396,0)</f>
        <v/>
      </c>
      <c r="AS1396" s="14">
        <f>F1396*AR1396*in_two_wheeler_ticket*in_two_wheeler_comm*in_ins_partner_share+F1396*in_two_wheeler_ticket*in_two_wheeler_comm*in_ins_partner_share*(in_two_wheeler_renew^1*SUMIFS(AR1367:AR1396,B1367:B1396,B1396-12)+in_two_wheeler_renew^2*SUMIFS(AR1367:AR1396,B1367:B1396,B1396-24)+in_two_wheeler_renew^3*SUMIFS(AR1367:AR1396,B1367:B1396,B1396-36)+in_two_wheeler_renew^4*SUMIFS(AR1367:AR1396,B1367:B1396,B1396-48))</f>
        <v/>
      </c>
      <c r="AT1396" s="40">
        <f>AT1395*(1-IF(B1395&gt;=in_marketplace_from,d_hz_device*G1395,0))</f>
        <v/>
      </c>
      <c r="AU1396" s="14">
        <f>F1396*AT1396*IF(B1396&gt;=in_marketplace_from,d_hz_device*G1396,0)*in_device_ticket*in_device_comm*in_ins_partner_share</f>
        <v/>
      </c>
      <c r="AV1396" s="40">
        <f>AV1395*(1-IF(B1395&gt;=in_marketplace_from,d_hz_shop*G1395,0))</f>
        <v/>
      </c>
      <c r="AW1396" s="46">
        <f>AV1396*IF(B1396&gt;=in_marketplace_from,d_hz_shop*G1396,0)</f>
        <v/>
      </c>
      <c r="AX1396" s="14">
        <f>F1396*AW1396*in_shop_ticket*in_shop_comm*in_ins_partner_share+F1396*in_shop_ticket*in_shop_renew_comm*in_ins_partner_share*(in_shop_renew^1*SUMIFS(AW1367:AW1396,B1367:B1396,B1396-12)+in_shop_renew^2*SUMIFS(AW1367:AW1396,B1367:B1396,B1396-24)+in_shop_renew^3*SUMIFS(AW1367:AW1396,B1367:B1396,B1396-36)+in_shop_renew^4*SUMIFS(AW1367:AW1396,B1367:B1396,B1396-48))</f>
        <v/>
      </c>
      <c r="AY1396" s="40">
        <f>AY1395*(1-IF(B1395&gt;=in_marketplace_from,d_hz_sip*G1395,0))</f>
        <v/>
      </c>
      <c r="AZ1396" s="40">
        <f>AZ1395*d_rho_sip+AY1396*IF(B1396&gt;=in_marketplace_from,d_hz_sip*G1396,0)</f>
        <v/>
      </c>
      <c r="BA1396" s="40">
        <f>d_rho_sip*(BA1395+AZ1395)</f>
        <v/>
      </c>
      <c r="BB1396" s="14">
        <f>F1396*in_sip_ticket*(BA1396+0.5*AZ1396)*in_sip_comm/12</f>
        <v/>
      </c>
      <c r="BC1396" s="40">
        <f>BC1395*(1-IF(B1395&gt;=in_marketplace_from,d_hz_choti*G1395,0))</f>
        <v/>
      </c>
      <c r="BD1396" s="46">
        <f>BC1396*IF(B1396&gt;=in_marketplace_from,d_hz_choti*G1396,0)</f>
        <v/>
      </c>
      <c r="BE1396" s="14">
        <f>F1396*SUMIFS(BD1367:BD1396,B1367:B1396,B1396-in_choti_months)*in_choti_renew*in_choti_ticket</f>
        <v/>
      </c>
      <c r="BF1396" s="40">
        <f>BF1395*(1-IF(B1395&gt;=in_marketplace_from,d_hz_nps*G1395,0))</f>
        <v/>
      </c>
      <c r="BG1396" s="14">
        <f>F1396*BF1396*IF(B1396&gt;=in_marketplace_from,d_hz_nps*G1396,0)*in_nps_ticket*in_nps_comm</f>
        <v/>
      </c>
      <c r="BH1396" s="40">
        <f>BH1395*(1-IF(B1395&gt;=in_marketplace_from,d_hz_gold*G1395,0))</f>
        <v/>
      </c>
      <c r="BI1396" s="40">
        <f>BI1395*d_rho_gold+BH1396*IF(B1396&gt;=in_marketplace_from,d_hz_gold*G1396,0)</f>
        <v/>
      </c>
      <c r="BJ1396" s="14">
        <f>F1396*BI1396*in_gold_ticket*in_gold_comm</f>
        <v/>
      </c>
      <c r="BK1396" s="40">
        <f>BK1395*(1-IF(B1395&gt;=in_marketplace_from,d_hz_fd*G1395,0))</f>
        <v/>
      </c>
      <c r="BL1396" s="14">
        <f>F1396*BK1396*IF(B1396&gt;=in_marketplace_from,d_hz_fd*G1396,0)*in_fd_ticket*in_fd_comm</f>
        <v/>
      </c>
      <c r="BM1396" s="40">
        <f>BM1395*(1-IF(B1395&gt;=in_marketplace_from,d_hz_recharge*G1395,0))</f>
        <v/>
      </c>
      <c r="BN1396" s="40">
        <f>BN1395*d_rho_recharge+BM1396*IF(B1396&gt;=in_marketplace_from,d_hz_recharge*G1396,0)</f>
        <v/>
      </c>
      <c r="BO1396" s="14">
        <f>F1396*BN1396*in_recharge_ticket*in_recharge_comm/12</f>
        <v/>
      </c>
      <c r="BP1396" s="40">
        <f>BP1395*(1-IF(B1395&gt;=in_marketplace_from,d_hz_bills*G1395,0))</f>
        <v/>
      </c>
      <c r="BQ1396" s="40">
        <f>BQ1395*d_rho_bills+BP1396*IF(B1396&gt;=in_marketplace_from,d_hz_bills*G1396,0)</f>
        <v/>
      </c>
      <c r="BR1396" s="14">
        <f>F1396*BQ1396*in_bills_ticket*in_bills_comm/12</f>
        <v/>
      </c>
      <c r="BS1396" s="40">
        <f>BS1395*(1-IF(B1395&gt;=in_marketplace_from,d_hz_loan_gold*G1395,0))</f>
        <v/>
      </c>
      <c r="BT1396" s="14">
        <f>F1396*BS1396*IF(B1396&gt;=in_marketplace_from,d_hz_loan_gold*G1396,0)*in_loan_gold_ticket*in_loan_gold_comm</f>
        <v/>
      </c>
      <c r="BU1396" s="40">
        <f>BU1395*(1-IF(B1395&gt;=in_marketplace_from,d_hz_loan_cd*G1395,0))</f>
        <v/>
      </c>
      <c r="BV1396" s="14">
        <f>F1396*BU1396*IF(B1396&gt;=in_marketplace_from,d_hz_loan_cd*G1396,0)*in_loan_cd_ticket*in_loan_cd_comm</f>
        <v/>
      </c>
      <c r="BW1396" s="40">
        <f>BW1395*(1-IF(B1395&gt;=in_marketplace_from,d_hz_loan_vehicle*G1395,0))</f>
        <v/>
      </c>
      <c r="BX1396" s="14">
        <f>F1396*BW1396*IF(B1396&gt;=in_marketplace_from,d_hz_loan_vehicle*G1396,0)*in_loan_vehicle_ticket*in_loan_vehicle_comm</f>
        <v/>
      </c>
      <c r="BY1396" s="40">
        <f>BY1395*(1-IF(B1395&gt;=in_marketplace_from,d_hz_loan_home*G1395,0)*BZ1395)</f>
        <v/>
      </c>
      <c r="BZ1396" s="11">
        <f>MIN(in_approval_cap,in_loan_home_approval*INDEX('Age profile'!$O$2:$O$61,B1396)*(1+in_approval_growth)^(D1396-1))</f>
        <v/>
      </c>
      <c r="CA1396" s="14">
        <f>F1396*BY1396*IF(B1396&gt;=in_marketplace_from,d_hz_loan_home*G1396,0)*BZ1396*in_loan_home_ticket*in_loan_home_comm</f>
        <v/>
      </c>
      <c r="CB1396" s="40">
        <f>CB1395*(1-IF(B1395&gt;=in_marketplace_from,d_hz_loan_lap*G1395,0)*CC1395)</f>
        <v/>
      </c>
      <c r="CC1396" s="11">
        <f>MIN(in_approval_cap,in_loan_lap_approval*INDEX('Age profile'!$O$2:$O$61,B1396)*(1+in_approval_growth)^(D1396-1))</f>
        <v/>
      </c>
      <c r="CD1396" s="14">
        <f>F1396*CB1396*IF(B1396&gt;=in_marketplace_from,d_hz_loan_lap*G1396,0)*CC1396*in_loan_lap_ticket*in_loan_lap_comm</f>
        <v/>
      </c>
      <c r="CE1396" s="14">
        <f>AA1396+AB1396+AC1396+AD1396+AG1396+AJ1396+AM1396+AP1396+AS1396+AU1396+AX1396+BB1396+BE1396+BG1396+BJ1396+BL1396+BO1396+BR1396+BT1396+BV1396+BX1396+CA1396+CD1396</f>
        <v/>
      </c>
    </row>
    <row r="1397">
      <c r="A1397" s="39" t="n">
        <v>32</v>
      </c>
      <c r="B1397" s="39" t="n">
        <v>1</v>
      </c>
      <c r="C1397" s="39">
        <f>A1397+B1397-1</f>
        <v/>
      </c>
      <c r="D1397" s="39">
        <f>INT((C1397-1)/12)+1</f>
        <v/>
      </c>
      <c r="E1397" s="44">
        <f>INDEX(Monthly!$B$2:$B$61,A1397)</f>
        <v/>
      </c>
      <c r="F1397" s="44">
        <f>E1397*INDEX('Age profile'!$B$2:$B$61,B1397)</f>
        <v/>
      </c>
      <c r="G1397" s="45">
        <f>MIN(in_takeup_cap,INDEX('Age profile'!$N$2:$N$61,B1397)*(1+in_takeup_growth)^(D1397-1))</f>
        <v/>
      </c>
      <c r="H1397" s="11">
        <f>MIN(in_approval_cap,in_approved_first*INDEX('Age profile'!$O$2:$O$61,B1397)*(1+in_approval_growth)^(D1397-1))</f>
        <v/>
      </c>
      <c r="I1397" s="45">
        <f>G1397*MIN(in_takeup_cap,INDEX('Age profile'!$O$2:$O$61,B1397)*(1+in_approval_growth)^(D1397-1))</f>
        <v/>
      </c>
      <c r="J1397" s="40">
        <f>E1397</f>
        <v/>
      </c>
      <c r="K1397" s="40" t="n">
        <v>0</v>
      </c>
      <c r="L1397" s="40">
        <f>IF(B1397&gt;=in_marketplace_from,J1397*d_hz*G1397*in_eligible*H1397,0)</f>
        <v/>
      </c>
      <c r="M1397" s="40">
        <f>IF(B1397&gt;=in_marketplace_from,K1397*d_hz*G1397*in_eligible*in_approved_repeat,0)</f>
        <v/>
      </c>
      <c r="N1397" s="40">
        <f>L1397+M1397</f>
        <v/>
      </c>
      <c r="O1397" s="46">
        <f>N1397/F1397</f>
        <v/>
      </c>
      <c r="P1397" s="40">
        <f>F1397-J1397-K1397</f>
        <v/>
      </c>
      <c r="Q1397" s="40">
        <f>IF(B1397&gt;=in_marketplace_from,(J1397+K1397)*d_hz*G1397,0)</f>
        <v/>
      </c>
      <c r="R1397" s="40">
        <f>SUMIFS(N1397:N1425,B1397:B1425,"&gt;="&amp;(B1397-d_T),B1397:B1425,"&lt;="&amp;(B1397-1))</f>
        <v/>
      </c>
      <c r="S1397" s="46" t="n">
        <v>0</v>
      </c>
      <c r="T1397" s="40">
        <f>F1397*d_u*S1397</f>
        <v/>
      </c>
      <c r="U1397" s="9">
        <f>L1397*in_ticket+M1397*d_rep_ticket</f>
        <v/>
      </c>
      <c r="V1397" s="9">
        <f>U1397+T1397*d_topup_amt</f>
        <v/>
      </c>
      <c r="W1397" s="40">
        <f>N1397+T1397*d_topup_ratio</f>
        <v/>
      </c>
      <c r="X1397" s="40">
        <f>SUMIFS(W1397:W1425,B1397:B1425,B1397-in_dpd_lag)*d_cured</f>
        <v/>
      </c>
      <c r="Y1397" s="40">
        <f>SUMIFS(W1397:W1425,B1397:B1425,B1397-in_rec_lag)*d_recd</f>
        <v/>
      </c>
      <c r="Z1397" s="40">
        <f>IF(AND(B1397&gt;=in_marketplace_from,B1397&lt;in_marketplace_from+in_card_months),in_card_share/in_card_months*F1397*I1397,IF(AND(B1397&gt;=in_marketplace_from+in_card_months,B1397&lt;in_marketplace_from+2*in_card_months),in_card_share*d_card_rem/in_card_months*F1397*MIN(in_takeup_cap,(1+in_takeup_growth)^(D1397-1))*MIN(in_takeup_cap,(1+in_approval_growth)^(D1397-1)),0))</f>
        <v/>
      </c>
      <c r="AA1397" s="14">
        <f>V1397*in_fee*(1-in_taken_back)</f>
        <v/>
      </c>
      <c r="AB1397" s="14">
        <f>SUMIFS(W1397:W1425,B1397:B1425,B1397-in_dpd_lag)*d_dpd</f>
        <v/>
      </c>
      <c r="AC1397" s="14">
        <f>SUMIFS(W1397:W1425,B1397:B1425,B1397-in_rec_lag)*d_rec</f>
        <v/>
      </c>
      <c r="AD1397" s="14">
        <f>Z1397*in_card_fee</f>
        <v/>
      </c>
      <c r="AE1397" s="40" t="n">
        <v>1</v>
      </c>
      <c r="AF1397" s="46">
        <f>AE1397*IF(B1397&gt;=in_marketplace_from,d_hz_hlth_small*G1397,0)</f>
        <v/>
      </c>
      <c r="AG1397" s="14">
        <f>F1397*AF1397*in_hlth_small_ticket*in_hlth_small_comm*in_ins_partner_share+F1397*in_hlth_small_ticket*in_hlth_small_renew_comm*in_ins_partner_share*(in_hlth_small_renew^1*SUMIFS(AF1397:AF1425,B1397:B1425,B1397-12)+in_hlth_small_renew^2*SUMIFS(AF1397:AF1425,B1397:B1425,B1397-24)+in_hlth_small_renew^3*SUMIFS(AF1397:AF1425,B1397:B1425,B1397-36)+in_hlth_small_renew^4*SUMIFS(AF1397:AF1425,B1397:B1425,B1397-48))</f>
        <v/>
      </c>
      <c r="AH1397" s="40" t="n">
        <v>1</v>
      </c>
      <c r="AI1397" s="46">
        <f>AH1397*IF(B1397&gt;=in_marketplace_from,d_hz_hlth_family*G1397,0)</f>
        <v/>
      </c>
      <c r="AJ1397" s="14">
        <f>F1397*AI1397*in_hlth_family_ticket*in_hlth_family_comm*in_ins_partner_share+F1397*in_hlth_family_ticket*in_hlth_family_renew_comm*in_ins_partner_share*(in_hlth_family_renew^1*SUMIFS(AI1397:AI1425,B1397:B1425,B1397-12)+in_hlth_family_renew^2*SUMIFS(AI1397:AI1425,B1397:B1425,B1397-24)+in_hlth_family_renew^3*SUMIFS(AI1397:AI1425,B1397:B1425,B1397-36)+in_hlth_family_renew^4*SUMIFS(AI1397:AI1425,B1397:B1425,B1397-48))</f>
        <v/>
      </c>
      <c r="AK1397" s="40" t="n">
        <v>1</v>
      </c>
      <c r="AL1397" s="46">
        <f>AK1397*IF(B1397&gt;=in_marketplace_from,d_hz_life_term*G1397,0)</f>
        <v/>
      </c>
      <c r="AM1397" s="14">
        <f>F1397*AL1397*in_life_term_ticket*in_life_term_comm*in_ins_partner_share+F1397*in_life_term_ticket*in_life_term_renew_comm*in_ins_partner_share*(in_life_term_renew^1*SUMIFS(AL1397:AL1425,B1397:B1425,B1397-12)+in_life_term_renew^2*SUMIFS(AL1397:AL1425,B1397:B1425,B1397-24)+in_life_term_renew^3*SUMIFS(AL1397:AL1425,B1397:B1425,B1397-36)+in_life_term_renew^4*SUMIFS(AL1397:AL1425,B1397:B1425,B1397-48))</f>
        <v/>
      </c>
      <c r="AN1397" s="40" t="n">
        <v>1</v>
      </c>
      <c r="AO1397" s="46">
        <f>AN1397*IF(B1397&gt;=in_marketplace_from,d_hz_accident*G1397,0)</f>
        <v/>
      </c>
      <c r="AP1397" s="14">
        <f>F1397*AO1397*in_accident_ticket*in_accident_comm*in_ins_partner_share+F1397*in_accident_ticket*in_accident_renew_comm*in_ins_partner_share*(in_accident_renew^1*SUMIFS(AO1397:AO1425,B1397:B1425,B1397-12)+in_accident_renew^2*SUMIFS(AO1397:AO1425,B1397:B1425,B1397-24)+in_accident_renew^3*SUMIFS(AO1397:AO1425,B1397:B1425,B1397-36)+in_accident_renew^4*SUMIFS(AO1397:AO1425,B1397:B1425,B1397-48))</f>
        <v/>
      </c>
      <c r="AQ1397" s="40" t="n">
        <v>1</v>
      </c>
      <c r="AR1397" s="46">
        <f>AQ1397*IF(B1397&gt;=in_marketplace_from,d_hz_two_wheeler*G1397,0)</f>
        <v/>
      </c>
      <c r="AS1397" s="14">
        <f>F1397*AR1397*in_two_wheeler_ticket*in_two_wheeler_comm*in_ins_partner_share+F1397*in_two_wheeler_ticket*in_two_wheeler_comm*in_ins_partner_share*(in_two_wheeler_renew^1*SUMIFS(AR1397:AR1425,B1397:B1425,B1397-12)+in_two_wheeler_renew^2*SUMIFS(AR1397:AR1425,B1397:B1425,B1397-24)+in_two_wheeler_renew^3*SUMIFS(AR1397:AR1425,B1397:B1425,B1397-36)+in_two_wheeler_renew^4*SUMIFS(AR1397:AR1425,B1397:B1425,B1397-48))</f>
        <v/>
      </c>
      <c r="AT1397" s="40" t="n">
        <v>1</v>
      </c>
      <c r="AU1397" s="14">
        <f>F1397*AT1397*IF(B1397&gt;=in_marketplace_from,d_hz_device*G1397,0)*in_device_ticket*in_device_comm*in_ins_partner_share</f>
        <v/>
      </c>
      <c r="AV1397" s="40" t="n">
        <v>1</v>
      </c>
      <c r="AW1397" s="46">
        <f>AV1397*IF(B1397&gt;=in_marketplace_from,d_hz_shop*G1397,0)</f>
        <v/>
      </c>
      <c r="AX1397" s="14">
        <f>F1397*AW1397*in_shop_ticket*in_shop_comm*in_ins_partner_share+F1397*in_shop_ticket*in_shop_renew_comm*in_ins_partner_share*(in_shop_renew^1*SUMIFS(AW1397:AW1425,B1397:B1425,B1397-12)+in_shop_renew^2*SUMIFS(AW1397:AW1425,B1397:B1425,B1397-24)+in_shop_renew^3*SUMIFS(AW1397:AW1425,B1397:B1425,B1397-36)+in_shop_renew^4*SUMIFS(AW1397:AW1425,B1397:B1425,B1397-48))</f>
        <v/>
      </c>
      <c r="AY1397" s="40" t="n">
        <v>1</v>
      </c>
      <c r="AZ1397" s="40">
        <f>AY1397*IF(B1397&gt;=in_marketplace_from,d_hz_sip*G1397,0)</f>
        <v/>
      </c>
      <c r="BA1397" s="40" t="n">
        <v>0</v>
      </c>
      <c r="BB1397" s="14">
        <f>F1397*in_sip_ticket*(BA1397+0.5*AZ1397)*in_sip_comm/12</f>
        <v/>
      </c>
      <c r="BC1397" s="40" t="n">
        <v>1</v>
      </c>
      <c r="BD1397" s="46">
        <f>BC1397*IF(B1397&gt;=in_marketplace_from,d_hz_choti*G1397,0)</f>
        <v/>
      </c>
      <c r="BE1397" s="14">
        <f>F1397*SUMIFS(BD1397:BD1425,B1397:B1425,B1397-in_choti_months)*in_choti_renew*in_choti_ticket</f>
        <v/>
      </c>
      <c r="BF1397" s="40" t="n">
        <v>1</v>
      </c>
      <c r="BG1397" s="14">
        <f>F1397*BF1397*IF(B1397&gt;=in_marketplace_from,d_hz_nps*G1397,0)*in_nps_ticket*in_nps_comm</f>
        <v/>
      </c>
      <c r="BH1397" s="40" t="n">
        <v>1</v>
      </c>
      <c r="BI1397" s="40">
        <f>BH1397*IF(B1397&gt;=in_marketplace_from,d_hz_gold*G1397,0)</f>
        <v/>
      </c>
      <c r="BJ1397" s="14">
        <f>F1397*BI1397*in_gold_ticket*in_gold_comm</f>
        <v/>
      </c>
      <c r="BK1397" s="40" t="n">
        <v>1</v>
      </c>
      <c r="BL1397" s="14">
        <f>F1397*BK1397*IF(B1397&gt;=in_marketplace_from,d_hz_fd*G1397,0)*in_fd_ticket*in_fd_comm</f>
        <v/>
      </c>
      <c r="BM1397" s="40" t="n">
        <v>1</v>
      </c>
      <c r="BN1397" s="40">
        <f>BM1397*IF(B1397&gt;=in_marketplace_from,d_hz_recharge*G1397,0)</f>
        <v/>
      </c>
      <c r="BO1397" s="14">
        <f>F1397*BN1397*in_recharge_ticket*in_recharge_comm/12</f>
        <v/>
      </c>
      <c r="BP1397" s="40" t="n">
        <v>1</v>
      </c>
      <c r="BQ1397" s="40">
        <f>BP1397*IF(B1397&gt;=in_marketplace_from,d_hz_bills*G1397,0)</f>
        <v/>
      </c>
      <c r="BR1397" s="14">
        <f>F1397*BQ1397*in_bills_ticket*in_bills_comm/12</f>
        <v/>
      </c>
      <c r="BS1397" s="40" t="n">
        <v>1</v>
      </c>
      <c r="BT1397" s="14">
        <f>F1397*BS1397*IF(B1397&gt;=in_marketplace_from,d_hz_loan_gold*G1397,0)*in_loan_gold_ticket*in_loan_gold_comm</f>
        <v/>
      </c>
      <c r="BU1397" s="40" t="n">
        <v>1</v>
      </c>
      <c r="BV1397" s="14">
        <f>F1397*BU1397*IF(B1397&gt;=in_marketplace_from,d_hz_loan_cd*G1397,0)*in_loan_cd_ticket*in_loan_cd_comm</f>
        <v/>
      </c>
      <c r="BW1397" s="40" t="n">
        <v>1</v>
      </c>
      <c r="BX1397" s="14">
        <f>F1397*BW1397*IF(B1397&gt;=in_marketplace_from,d_hz_loan_vehicle*G1397,0)*in_loan_vehicle_ticket*in_loan_vehicle_comm</f>
        <v/>
      </c>
      <c r="BY1397" s="40" t="n">
        <v>1</v>
      </c>
      <c r="BZ1397" s="11">
        <f>MIN(in_approval_cap,in_loan_home_approval*INDEX('Age profile'!$O$2:$O$61,B1397)*(1+in_approval_growth)^(D1397-1))</f>
        <v/>
      </c>
      <c r="CA1397" s="14">
        <f>F1397*BY1397*IF(B1397&gt;=in_marketplace_from,d_hz_loan_home*G1397,0)*BZ1397*in_loan_home_ticket*in_loan_home_comm</f>
        <v/>
      </c>
      <c r="CB1397" s="40" t="n">
        <v>1</v>
      </c>
      <c r="CC1397" s="11">
        <f>MIN(in_approval_cap,in_loan_lap_approval*INDEX('Age profile'!$O$2:$O$61,B1397)*(1+in_approval_growth)^(D1397-1))</f>
        <v/>
      </c>
      <c r="CD1397" s="14">
        <f>F1397*CB1397*IF(B1397&gt;=in_marketplace_from,d_hz_loan_lap*G1397,0)*CC1397*in_loan_lap_ticket*in_loan_lap_comm</f>
        <v/>
      </c>
      <c r="CE1397" s="14">
        <f>AA1397+AB1397+AC1397+AD1397+AG1397+AJ1397+AM1397+AP1397+AS1397+AU1397+AX1397+BB1397+BE1397+BG1397+BJ1397+BL1397+BO1397+BR1397+BT1397+BV1397+BX1397+CA1397+CD1397</f>
        <v/>
      </c>
    </row>
    <row r="1398">
      <c r="A1398" s="39" t="n">
        <v>32</v>
      </c>
      <c r="B1398" s="39" t="n">
        <v>2</v>
      </c>
      <c r="C1398" s="39">
        <f>A1398+B1398-1</f>
        <v/>
      </c>
      <c r="D1398" s="39">
        <f>INT((C1398-1)/12)+1</f>
        <v/>
      </c>
      <c r="E1398" s="44">
        <f>INDEX(Monthly!$B$2:$B$61,A1398)</f>
        <v/>
      </c>
      <c r="F1398" s="44">
        <f>E1398*INDEX('Age profile'!$B$2:$B$61,B1398)</f>
        <v/>
      </c>
      <c r="G1398" s="45">
        <f>MIN(in_takeup_cap,INDEX('Age profile'!$N$2:$N$61,B1398)*(1+in_takeup_growth)^(D1398-1))</f>
        <v/>
      </c>
      <c r="H1398" s="11">
        <f>MIN(in_approval_cap,in_approved_first*INDEX('Age profile'!$O$2:$O$61,B1398)*(1+in_approval_growth)^(D1398-1))</f>
        <v/>
      </c>
      <c r="I1398" s="45">
        <f>G1398*MIN(in_takeup_cap,INDEX('Age profile'!$O$2:$O$61,B1398)*(1+in_approval_growth)^(D1398-1))</f>
        <v/>
      </c>
      <c r="J1398" s="40">
        <f>(J1397-L1397)*F1398/F1397</f>
        <v/>
      </c>
      <c r="K1398" s="40">
        <f>(K1397-M1397)*F1398/F1397+SUMIFS(O1397:O1397,B1397:B1397,B1398-1-d_T)*F1398</f>
        <v/>
      </c>
      <c r="L1398" s="40">
        <f>IF(B1398&gt;=in_marketplace_from,J1398*d_hz*G1398*in_eligible*H1398,0)</f>
        <v/>
      </c>
      <c r="M1398" s="40">
        <f>IF(B1398&gt;=in_marketplace_from,K1398*d_hz*G1398*in_eligible*in_approved_repeat,0)</f>
        <v/>
      </c>
      <c r="N1398" s="40">
        <f>L1398+M1398</f>
        <v/>
      </c>
      <c r="O1398" s="46">
        <f>N1398/F1398</f>
        <v/>
      </c>
      <c r="P1398" s="40">
        <f>F1398-J1398-K1398</f>
        <v/>
      </c>
      <c r="Q1398" s="40">
        <f>IF(B1398&gt;=in_marketplace_from,(J1398+K1398)*d_hz*G1398,0)</f>
        <v/>
      </c>
      <c r="R1398" s="40">
        <f>SUMIFS(N1397:N1425,B1397:B1425,"&gt;="&amp;(B1398-d_T),B1397:B1425,"&lt;="&amp;(B1398-1))</f>
        <v/>
      </c>
      <c r="S1398" s="46">
        <f>(1-d_u)*S1397+IF(d_T&gt;in_topup_lag,SUMIFS(O1397:O1425,B1397:B1425,B1398-in_topup_lag)-d_udrop*SUMIFS(O1397:O1425,B1397:B1425,B1398-d_T),0)</f>
        <v/>
      </c>
      <c r="T1398" s="40">
        <f>F1398*d_u*S1398</f>
        <v/>
      </c>
      <c r="U1398" s="9">
        <f>L1398*in_ticket+M1398*d_rep_ticket</f>
        <v/>
      </c>
      <c r="V1398" s="9">
        <f>U1398+T1398*d_topup_amt</f>
        <v/>
      </c>
      <c r="W1398" s="40">
        <f>N1398+T1398*d_topup_ratio</f>
        <v/>
      </c>
      <c r="X1398" s="40">
        <f>SUMIFS(W1397:W1425,B1397:B1425,B1398-in_dpd_lag)*d_cured</f>
        <v/>
      </c>
      <c r="Y1398" s="40">
        <f>SUMIFS(W1397:W1425,B1397:B1425,B1398-in_rec_lag)*d_recd</f>
        <v/>
      </c>
      <c r="Z1398" s="40">
        <f>IF(AND(B1398&gt;=in_marketplace_from,B1398&lt;in_marketplace_from+in_card_months),in_card_share/in_card_months*F1398*I1398,IF(AND(B1398&gt;=in_marketplace_from+in_card_months,B1398&lt;in_marketplace_from+2*in_card_months),in_card_share*d_card_rem/in_card_months*F1398*MIN(in_takeup_cap,(1+in_takeup_growth)^(D1398-1))*MIN(in_takeup_cap,(1+in_approval_growth)^(D1398-1)),0))</f>
        <v/>
      </c>
      <c r="AA1398" s="14">
        <f>V1398*in_fee*(1-in_taken_back)</f>
        <v/>
      </c>
      <c r="AB1398" s="14">
        <f>SUMIFS(W1397:W1425,B1397:B1425,B1398-in_dpd_lag)*d_dpd</f>
        <v/>
      </c>
      <c r="AC1398" s="14">
        <f>SUMIFS(W1397:W1425,B1397:B1425,B1398-in_rec_lag)*d_rec</f>
        <v/>
      </c>
      <c r="AD1398" s="14">
        <f>Z1398*in_card_fee</f>
        <v/>
      </c>
      <c r="AE1398" s="40">
        <f>AE1397*(1-IF(B1397&gt;=in_marketplace_from,d_hz_hlth_small*G1397,0))</f>
        <v/>
      </c>
      <c r="AF1398" s="46">
        <f>AE1398*IF(B1398&gt;=in_marketplace_from,d_hz_hlth_small*G1398,0)</f>
        <v/>
      </c>
      <c r="AG1398" s="14">
        <f>F1398*AF1398*in_hlth_small_ticket*in_hlth_small_comm*in_ins_partner_share+F1398*in_hlth_small_ticket*in_hlth_small_renew_comm*in_ins_partner_share*(in_hlth_small_renew^1*SUMIFS(AF1397:AF1425,B1397:B1425,B1398-12)+in_hlth_small_renew^2*SUMIFS(AF1397:AF1425,B1397:B1425,B1398-24)+in_hlth_small_renew^3*SUMIFS(AF1397:AF1425,B1397:B1425,B1398-36)+in_hlth_small_renew^4*SUMIFS(AF1397:AF1425,B1397:B1425,B1398-48))</f>
        <v/>
      </c>
      <c r="AH1398" s="40">
        <f>AH1397*(1-IF(B1397&gt;=in_marketplace_from,d_hz_hlth_family*G1397,0))</f>
        <v/>
      </c>
      <c r="AI1398" s="46">
        <f>AH1398*IF(B1398&gt;=in_marketplace_from,d_hz_hlth_family*G1398,0)</f>
        <v/>
      </c>
      <c r="AJ1398" s="14">
        <f>F1398*AI1398*in_hlth_family_ticket*in_hlth_family_comm*in_ins_partner_share+F1398*in_hlth_family_ticket*in_hlth_family_renew_comm*in_ins_partner_share*(in_hlth_family_renew^1*SUMIFS(AI1397:AI1425,B1397:B1425,B1398-12)+in_hlth_family_renew^2*SUMIFS(AI1397:AI1425,B1397:B1425,B1398-24)+in_hlth_family_renew^3*SUMIFS(AI1397:AI1425,B1397:B1425,B1398-36)+in_hlth_family_renew^4*SUMIFS(AI1397:AI1425,B1397:B1425,B1398-48))</f>
        <v/>
      </c>
      <c r="AK1398" s="40">
        <f>AK1397*(1-IF(B1397&gt;=in_marketplace_from,d_hz_life_term*G1397,0))</f>
        <v/>
      </c>
      <c r="AL1398" s="46">
        <f>AK1398*IF(B1398&gt;=in_marketplace_from,d_hz_life_term*G1398,0)</f>
        <v/>
      </c>
      <c r="AM1398" s="14">
        <f>F1398*AL1398*in_life_term_ticket*in_life_term_comm*in_ins_partner_share+F1398*in_life_term_ticket*in_life_term_renew_comm*in_ins_partner_share*(in_life_term_renew^1*SUMIFS(AL1397:AL1425,B1397:B1425,B1398-12)+in_life_term_renew^2*SUMIFS(AL1397:AL1425,B1397:B1425,B1398-24)+in_life_term_renew^3*SUMIFS(AL1397:AL1425,B1397:B1425,B1398-36)+in_life_term_renew^4*SUMIFS(AL1397:AL1425,B1397:B1425,B1398-48))</f>
        <v/>
      </c>
      <c r="AN1398" s="40">
        <f>AN1397*(1-IF(B1397&gt;=in_marketplace_from,d_hz_accident*G1397,0))</f>
        <v/>
      </c>
      <c r="AO1398" s="46">
        <f>AN1398*IF(B1398&gt;=in_marketplace_from,d_hz_accident*G1398,0)</f>
        <v/>
      </c>
      <c r="AP1398" s="14">
        <f>F1398*AO1398*in_accident_ticket*in_accident_comm*in_ins_partner_share+F1398*in_accident_ticket*in_accident_renew_comm*in_ins_partner_share*(in_accident_renew^1*SUMIFS(AO1397:AO1425,B1397:B1425,B1398-12)+in_accident_renew^2*SUMIFS(AO1397:AO1425,B1397:B1425,B1398-24)+in_accident_renew^3*SUMIFS(AO1397:AO1425,B1397:B1425,B1398-36)+in_accident_renew^4*SUMIFS(AO1397:AO1425,B1397:B1425,B1398-48))</f>
        <v/>
      </c>
      <c r="AQ1398" s="40">
        <f>AQ1397*(1-IF(B1397&gt;=in_marketplace_from,d_hz_two_wheeler*G1397,0))</f>
        <v/>
      </c>
      <c r="AR1398" s="46">
        <f>AQ1398*IF(B1398&gt;=in_marketplace_from,d_hz_two_wheeler*G1398,0)</f>
        <v/>
      </c>
      <c r="AS1398" s="14">
        <f>F1398*AR1398*in_two_wheeler_ticket*in_two_wheeler_comm*in_ins_partner_share+F1398*in_two_wheeler_ticket*in_two_wheeler_comm*in_ins_partner_share*(in_two_wheeler_renew^1*SUMIFS(AR1397:AR1425,B1397:B1425,B1398-12)+in_two_wheeler_renew^2*SUMIFS(AR1397:AR1425,B1397:B1425,B1398-24)+in_two_wheeler_renew^3*SUMIFS(AR1397:AR1425,B1397:B1425,B1398-36)+in_two_wheeler_renew^4*SUMIFS(AR1397:AR1425,B1397:B1425,B1398-48))</f>
        <v/>
      </c>
      <c r="AT1398" s="40">
        <f>AT1397*(1-IF(B1397&gt;=in_marketplace_from,d_hz_device*G1397,0))</f>
        <v/>
      </c>
      <c r="AU1398" s="14">
        <f>F1398*AT1398*IF(B1398&gt;=in_marketplace_from,d_hz_device*G1398,0)*in_device_ticket*in_device_comm*in_ins_partner_share</f>
        <v/>
      </c>
      <c r="AV1398" s="40">
        <f>AV1397*(1-IF(B1397&gt;=in_marketplace_from,d_hz_shop*G1397,0))</f>
        <v/>
      </c>
      <c r="AW1398" s="46">
        <f>AV1398*IF(B1398&gt;=in_marketplace_from,d_hz_shop*G1398,0)</f>
        <v/>
      </c>
      <c r="AX1398" s="14">
        <f>F1398*AW1398*in_shop_ticket*in_shop_comm*in_ins_partner_share+F1398*in_shop_ticket*in_shop_renew_comm*in_ins_partner_share*(in_shop_renew^1*SUMIFS(AW1397:AW1425,B1397:B1425,B1398-12)+in_shop_renew^2*SUMIFS(AW1397:AW1425,B1397:B1425,B1398-24)+in_shop_renew^3*SUMIFS(AW1397:AW1425,B1397:B1425,B1398-36)+in_shop_renew^4*SUMIFS(AW1397:AW1425,B1397:B1425,B1398-48))</f>
        <v/>
      </c>
      <c r="AY1398" s="40">
        <f>AY1397*(1-IF(B1397&gt;=in_marketplace_from,d_hz_sip*G1397,0))</f>
        <v/>
      </c>
      <c r="AZ1398" s="40">
        <f>AZ1397*d_rho_sip+AY1398*IF(B1398&gt;=in_marketplace_from,d_hz_sip*G1398,0)</f>
        <v/>
      </c>
      <c r="BA1398" s="40">
        <f>d_rho_sip*(BA1397+AZ1397)</f>
        <v/>
      </c>
      <c r="BB1398" s="14">
        <f>F1398*in_sip_ticket*(BA1398+0.5*AZ1398)*in_sip_comm/12</f>
        <v/>
      </c>
      <c r="BC1398" s="40">
        <f>BC1397*(1-IF(B1397&gt;=in_marketplace_from,d_hz_choti*G1397,0))</f>
        <v/>
      </c>
      <c r="BD1398" s="46">
        <f>BC1398*IF(B1398&gt;=in_marketplace_from,d_hz_choti*G1398,0)</f>
        <v/>
      </c>
      <c r="BE1398" s="14">
        <f>F1398*SUMIFS(BD1397:BD1425,B1397:B1425,B1398-in_choti_months)*in_choti_renew*in_choti_ticket</f>
        <v/>
      </c>
      <c r="BF1398" s="40">
        <f>BF1397*(1-IF(B1397&gt;=in_marketplace_from,d_hz_nps*G1397,0))</f>
        <v/>
      </c>
      <c r="BG1398" s="14">
        <f>F1398*BF1398*IF(B1398&gt;=in_marketplace_from,d_hz_nps*G1398,0)*in_nps_ticket*in_nps_comm</f>
        <v/>
      </c>
      <c r="BH1398" s="40">
        <f>BH1397*(1-IF(B1397&gt;=in_marketplace_from,d_hz_gold*G1397,0))</f>
        <v/>
      </c>
      <c r="BI1398" s="40">
        <f>BI1397*d_rho_gold+BH1398*IF(B1398&gt;=in_marketplace_from,d_hz_gold*G1398,0)</f>
        <v/>
      </c>
      <c r="BJ1398" s="14">
        <f>F1398*BI1398*in_gold_ticket*in_gold_comm</f>
        <v/>
      </c>
      <c r="BK1398" s="40">
        <f>BK1397*(1-IF(B1397&gt;=in_marketplace_from,d_hz_fd*G1397,0))</f>
        <v/>
      </c>
      <c r="BL1398" s="14">
        <f>F1398*BK1398*IF(B1398&gt;=in_marketplace_from,d_hz_fd*G1398,0)*in_fd_ticket*in_fd_comm</f>
        <v/>
      </c>
      <c r="BM1398" s="40">
        <f>BM1397*(1-IF(B1397&gt;=in_marketplace_from,d_hz_recharge*G1397,0))</f>
        <v/>
      </c>
      <c r="BN1398" s="40">
        <f>BN1397*d_rho_recharge+BM1398*IF(B1398&gt;=in_marketplace_from,d_hz_recharge*G1398,0)</f>
        <v/>
      </c>
      <c r="BO1398" s="14">
        <f>F1398*BN1398*in_recharge_ticket*in_recharge_comm/12</f>
        <v/>
      </c>
      <c r="BP1398" s="40">
        <f>BP1397*(1-IF(B1397&gt;=in_marketplace_from,d_hz_bills*G1397,0))</f>
        <v/>
      </c>
      <c r="BQ1398" s="40">
        <f>BQ1397*d_rho_bills+BP1398*IF(B1398&gt;=in_marketplace_from,d_hz_bills*G1398,0)</f>
        <v/>
      </c>
      <c r="BR1398" s="14">
        <f>F1398*BQ1398*in_bills_ticket*in_bills_comm/12</f>
        <v/>
      </c>
      <c r="BS1398" s="40">
        <f>BS1397*(1-IF(B1397&gt;=in_marketplace_from,d_hz_loan_gold*G1397,0))</f>
        <v/>
      </c>
      <c r="BT1398" s="14">
        <f>F1398*BS1398*IF(B1398&gt;=in_marketplace_from,d_hz_loan_gold*G1398,0)*in_loan_gold_ticket*in_loan_gold_comm</f>
        <v/>
      </c>
      <c r="BU1398" s="40">
        <f>BU1397*(1-IF(B1397&gt;=in_marketplace_from,d_hz_loan_cd*G1397,0))</f>
        <v/>
      </c>
      <c r="BV1398" s="14">
        <f>F1398*BU1398*IF(B1398&gt;=in_marketplace_from,d_hz_loan_cd*G1398,0)*in_loan_cd_ticket*in_loan_cd_comm</f>
        <v/>
      </c>
      <c r="BW1398" s="40">
        <f>BW1397*(1-IF(B1397&gt;=in_marketplace_from,d_hz_loan_vehicle*G1397,0))</f>
        <v/>
      </c>
      <c r="BX1398" s="14">
        <f>F1398*BW1398*IF(B1398&gt;=in_marketplace_from,d_hz_loan_vehicle*G1398,0)*in_loan_vehicle_ticket*in_loan_vehicle_comm</f>
        <v/>
      </c>
      <c r="BY1398" s="40">
        <f>BY1397*(1-IF(B1397&gt;=in_marketplace_from,d_hz_loan_home*G1397,0)*BZ1397)</f>
        <v/>
      </c>
      <c r="BZ1398" s="11">
        <f>MIN(in_approval_cap,in_loan_home_approval*INDEX('Age profile'!$O$2:$O$61,B1398)*(1+in_approval_growth)^(D1398-1))</f>
        <v/>
      </c>
      <c r="CA1398" s="14">
        <f>F1398*BY1398*IF(B1398&gt;=in_marketplace_from,d_hz_loan_home*G1398,0)*BZ1398*in_loan_home_ticket*in_loan_home_comm</f>
        <v/>
      </c>
      <c r="CB1398" s="40">
        <f>CB1397*(1-IF(B1397&gt;=in_marketplace_from,d_hz_loan_lap*G1397,0)*CC1397)</f>
        <v/>
      </c>
      <c r="CC1398" s="11">
        <f>MIN(in_approval_cap,in_loan_lap_approval*INDEX('Age profile'!$O$2:$O$61,B1398)*(1+in_approval_growth)^(D1398-1))</f>
        <v/>
      </c>
      <c r="CD1398" s="14">
        <f>F1398*CB1398*IF(B1398&gt;=in_marketplace_from,d_hz_loan_lap*G1398,0)*CC1398*in_loan_lap_ticket*in_loan_lap_comm</f>
        <v/>
      </c>
      <c r="CE1398" s="14">
        <f>AA1398+AB1398+AC1398+AD1398+AG1398+AJ1398+AM1398+AP1398+AS1398+AU1398+AX1398+BB1398+BE1398+BG1398+BJ1398+BL1398+BO1398+BR1398+BT1398+BV1398+BX1398+CA1398+CD1398</f>
        <v/>
      </c>
    </row>
    <row r="1399">
      <c r="A1399" s="39" t="n">
        <v>32</v>
      </c>
      <c r="B1399" s="39" t="n">
        <v>3</v>
      </c>
      <c r="C1399" s="39">
        <f>A1399+B1399-1</f>
        <v/>
      </c>
      <c r="D1399" s="39">
        <f>INT((C1399-1)/12)+1</f>
        <v/>
      </c>
      <c r="E1399" s="44">
        <f>INDEX(Monthly!$B$2:$B$61,A1399)</f>
        <v/>
      </c>
      <c r="F1399" s="44">
        <f>E1399*INDEX('Age profile'!$B$2:$B$61,B1399)</f>
        <v/>
      </c>
      <c r="G1399" s="45">
        <f>MIN(in_takeup_cap,INDEX('Age profile'!$N$2:$N$61,B1399)*(1+in_takeup_growth)^(D1399-1))</f>
        <v/>
      </c>
      <c r="H1399" s="11">
        <f>MIN(in_approval_cap,in_approved_first*INDEX('Age profile'!$O$2:$O$61,B1399)*(1+in_approval_growth)^(D1399-1))</f>
        <v/>
      </c>
      <c r="I1399" s="45">
        <f>G1399*MIN(in_takeup_cap,INDEX('Age profile'!$O$2:$O$61,B1399)*(1+in_approval_growth)^(D1399-1))</f>
        <v/>
      </c>
      <c r="J1399" s="40">
        <f>(J1398-L1398)*F1399/F1398</f>
        <v/>
      </c>
      <c r="K1399" s="40">
        <f>(K1398-M1398)*F1399/F1398+SUMIFS(O1397:O1398,B1397:B1398,B1399-1-d_T)*F1399</f>
        <v/>
      </c>
      <c r="L1399" s="40">
        <f>IF(B1399&gt;=in_marketplace_from,J1399*d_hz*G1399*in_eligible*H1399,0)</f>
        <v/>
      </c>
      <c r="M1399" s="40">
        <f>IF(B1399&gt;=in_marketplace_from,K1399*d_hz*G1399*in_eligible*in_approved_repeat,0)</f>
        <v/>
      </c>
      <c r="N1399" s="40">
        <f>L1399+M1399</f>
        <v/>
      </c>
      <c r="O1399" s="46">
        <f>N1399/F1399</f>
        <v/>
      </c>
      <c r="P1399" s="40">
        <f>F1399-J1399-K1399</f>
        <v/>
      </c>
      <c r="Q1399" s="40">
        <f>IF(B1399&gt;=in_marketplace_from,(J1399+K1399)*d_hz*G1399,0)</f>
        <v/>
      </c>
      <c r="R1399" s="40">
        <f>SUMIFS(N1397:N1425,B1397:B1425,"&gt;="&amp;(B1399-d_T),B1397:B1425,"&lt;="&amp;(B1399-1))</f>
        <v/>
      </c>
      <c r="S1399" s="46">
        <f>(1-d_u)*S1398+IF(d_T&gt;in_topup_lag,SUMIFS(O1397:O1425,B1397:B1425,B1399-in_topup_lag)-d_udrop*SUMIFS(O1397:O1425,B1397:B1425,B1399-d_T),0)</f>
        <v/>
      </c>
      <c r="T1399" s="40">
        <f>F1399*d_u*S1399</f>
        <v/>
      </c>
      <c r="U1399" s="9">
        <f>L1399*in_ticket+M1399*d_rep_ticket</f>
        <v/>
      </c>
      <c r="V1399" s="9">
        <f>U1399+T1399*d_topup_amt</f>
        <v/>
      </c>
      <c r="W1399" s="40">
        <f>N1399+T1399*d_topup_ratio</f>
        <v/>
      </c>
      <c r="X1399" s="40">
        <f>SUMIFS(W1397:W1425,B1397:B1425,B1399-in_dpd_lag)*d_cured</f>
        <v/>
      </c>
      <c r="Y1399" s="40">
        <f>SUMIFS(W1397:W1425,B1397:B1425,B1399-in_rec_lag)*d_recd</f>
        <v/>
      </c>
      <c r="Z1399" s="40">
        <f>IF(AND(B1399&gt;=in_marketplace_from,B1399&lt;in_marketplace_from+in_card_months),in_card_share/in_card_months*F1399*I1399,IF(AND(B1399&gt;=in_marketplace_from+in_card_months,B1399&lt;in_marketplace_from+2*in_card_months),in_card_share*d_card_rem/in_card_months*F1399*MIN(in_takeup_cap,(1+in_takeup_growth)^(D1399-1))*MIN(in_takeup_cap,(1+in_approval_growth)^(D1399-1)),0))</f>
        <v/>
      </c>
      <c r="AA1399" s="14">
        <f>V1399*in_fee*(1-in_taken_back)</f>
        <v/>
      </c>
      <c r="AB1399" s="14">
        <f>SUMIFS(W1397:W1425,B1397:B1425,B1399-in_dpd_lag)*d_dpd</f>
        <v/>
      </c>
      <c r="AC1399" s="14">
        <f>SUMIFS(W1397:W1425,B1397:B1425,B1399-in_rec_lag)*d_rec</f>
        <v/>
      </c>
      <c r="AD1399" s="14">
        <f>Z1399*in_card_fee</f>
        <v/>
      </c>
      <c r="AE1399" s="40">
        <f>AE1398*(1-IF(B1398&gt;=in_marketplace_from,d_hz_hlth_small*G1398,0))</f>
        <v/>
      </c>
      <c r="AF1399" s="46">
        <f>AE1399*IF(B1399&gt;=in_marketplace_from,d_hz_hlth_small*G1399,0)</f>
        <v/>
      </c>
      <c r="AG1399" s="14">
        <f>F1399*AF1399*in_hlth_small_ticket*in_hlth_small_comm*in_ins_partner_share+F1399*in_hlth_small_ticket*in_hlth_small_renew_comm*in_ins_partner_share*(in_hlth_small_renew^1*SUMIFS(AF1397:AF1425,B1397:B1425,B1399-12)+in_hlth_small_renew^2*SUMIFS(AF1397:AF1425,B1397:B1425,B1399-24)+in_hlth_small_renew^3*SUMIFS(AF1397:AF1425,B1397:B1425,B1399-36)+in_hlth_small_renew^4*SUMIFS(AF1397:AF1425,B1397:B1425,B1399-48))</f>
        <v/>
      </c>
      <c r="AH1399" s="40">
        <f>AH1398*(1-IF(B1398&gt;=in_marketplace_from,d_hz_hlth_family*G1398,0))</f>
        <v/>
      </c>
      <c r="AI1399" s="46">
        <f>AH1399*IF(B1399&gt;=in_marketplace_from,d_hz_hlth_family*G1399,0)</f>
        <v/>
      </c>
      <c r="AJ1399" s="14">
        <f>F1399*AI1399*in_hlth_family_ticket*in_hlth_family_comm*in_ins_partner_share+F1399*in_hlth_family_ticket*in_hlth_family_renew_comm*in_ins_partner_share*(in_hlth_family_renew^1*SUMIFS(AI1397:AI1425,B1397:B1425,B1399-12)+in_hlth_family_renew^2*SUMIFS(AI1397:AI1425,B1397:B1425,B1399-24)+in_hlth_family_renew^3*SUMIFS(AI1397:AI1425,B1397:B1425,B1399-36)+in_hlth_family_renew^4*SUMIFS(AI1397:AI1425,B1397:B1425,B1399-48))</f>
        <v/>
      </c>
      <c r="AK1399" s="40">
        <f>AK1398*(1-IF(B1398&gt;=in_marketplace_from,d_hz_life_term*G1398,0))</f>
        <v/>
      </c>
      <c r="AL1399" s="46">
        <f>AK1399*IF(B1399&gt;=in_marketplace_from,d_hz_life_term*G1399,0)</f>
        <v/>
      </c>
      <c r="AM1399" s="14">
        <f>F1399*AL1399*in_life_term_ticket*in_life_term_comm*in_ins_partner_share+F1399*in_life_term_ticket*in_life_term_renew_comm*in_ins_partner_share*(in_life_term_renew^1*SUMIFS(AL1397:AL1425,B1397:B1425,B1399-12)+in_life_term_renew^2*SUMIFS(AL1397:AL1425,B1397:B1425,B1399-24)+in_life_term_renew^3*SUMIFS(AL1397:AL1425,B1397:B1425,B1399-36)+in_life_term_renew^4*SUMIFS(AL1397:AL1425,B1397:B1425,B1399-48))</f>
        <v/>
      </c>
      <c r="AN1399" s="40">
        <f>AN1398*(1-IF(B1398&gt;=in_marketplace_from,d_hz_accident*G1398,0))</f>
        <v/>
      </c>
      <c r="AO1399" s="46">
        <f>AN1399*IF(B1399&gt;=in_marketplace_from,d_hz_accident*G1399,0)</f>
        <v/>
      </c>
      <c r="AP1399" s="14">
        <f>F1399*AO1399*in_accident_ticket*in_accident_comm*in_ins_partner_share+F1399*in_accident_ticket*in_accident_renew_comm*in_ins_partner_share*(in_accident_renew^1*SUMIFS(AO1397:AO1425,B1397:B1425,B1399-12)+in_accident_renew^2*SUMIFS(AO1397:AO1425,B1397:B1425,B1399-24)+in_accident_renew^3*SUMIFS(AO1397:AO1425,B1397:B1425,B1399-36)+in_accident_renew^4*SUMIFS(AO1397:AO1425,B1397:B1425,B1399-48))</f>
        <v/>
      </c>
      <c r="AQ1399" s="40">
        <f>AQ1398*(1-IF(B1398&gt;=in_marketplace_from,d_hz_two_wheeler*G1398,0))</f>
        <v/>
      </c>
      <c r="AR1399" s="46">
        <f>AQ1399*IF(B1399&gt;=in_marketplace_from,d_hz_two_wheeler*G1399,0)</f>
        <v/>
      </c>
      <c r="AS1399" s="14">
        <f>F1399*AR1399*in_two_wheeler_ticket*in_two_wheeler_comm*in_ins_partner_share+F1399*in_two_wheeler_ticket*in_two_wheeler_comm*in_ins_partner_share*(in_two_wheeler_renew^1*SUMIFS(AR1397:AR1425,B1397:B1425,B1399-12)+in_two_wheeler_renew^2*SUMIFS(AR1397:AR1425,B1397:B1425,B1399-24)+in_two_wheeler_renew^3*SUMIFS(AR1397:AR1425,B1397:B1425,B1399-36)+in_two_wheeler_renew^4*SUMIFS(AR1397:AR1425,B1397:B1425,B1399-48))</f>
        <v/>
      </c>
      <c r="AT1399" s="40">
        <f>AT1398*(1-IF(B1398&gt;=in_marketplace_from,d_hz_device*G1398,0))</f>
        <v/>
      </c>
      <c r="AU1399" s="14">
        <f>F1399*AT1399*IF(B1399&gt;=in_marketplace_from,d_hz_device*G1399,0)*in_device_ticket*in_device_comm*in_ins_partner_share</f>
        <v/>
      </c>
      <c r="AV1399" s="40">
        <f>AV1398*(1-IF(B1398&gt;=in_marketplace_from,d_hz_shop*G1398,0))</f>
        <v/>
      </c>
      <c r="AW1399" s="46">
        <f>AV1399*IF(B1399&gt;=in_marketplace_from,d_hz_shop*G1399,0)</f>
        <v/>
      </c>
      <c r="AX1399" s="14">
        <f>F1399*AW1399*in_shop_ticket*in_shop_comm*in_ins_partner_share+F1399*in_shop_ticket*in_shop_renew_comm*in_ins_partner_share*(in_shop_renew^1*SUMIFS(AW1397:AW1425,B1397:B1425,B1399-12)+in_shop_renew^2*SUMIFS(AW1397:AW1425,B1397:B1425,B1399-24)+in_shop_renew^3*SUMIFS(AW1397:AW1425,B1397:B1425,B1399-36)+in_shop_renew^4*SUMIFS(AW1397:AW1425,B1397:B1425,B1399-48))</f>
        <v/>
      </c>
      <c r="AY1399" s="40">
        <f>AY1398*(1-IF(B1398&gt;=in_marketplace_from,d_hz_sip*G1398,0))</f>
        <v/>
      </c>
      <c r="AZ1399" s="40">
        <f>AZ1398*d_rho_sip+AY1399*IF(B1399&gt;=in_marketplace_from,d_hz_sip*G1399,0)</f>
        <v/>
      </c>
      <c r="BA1399" s="40">
        <f>d_rho_sip*(BA1398+AZ1398)</f>
        <v/>
      </c>
      <c r="BB1399" s="14">
        <f>F1399*in_sip_ticket*(BA1399+0.5*AZ1399)*in_sip_comm/12</f>
        <v/>
      </c>
      <c r="BC1399" s="40">
        <f>BC1398*(1-IF(B1398&gt;=in_marketplace_from,d_hz_choti*G1398,0))</f>
        <v/>
      </c>
      <c r="BD1399" s="46">
        <f>BC1399*IF(B1399&gt;=in_marketplace_from,d_hz_choti*G1399,0)</f>
        <v/>
      </c>
      <c r="BE1399" s="14">
        <f>F1399*SUMIFS(BD1397:BD1425,B1397:B1425,B1399-in_choti_months)*in_choti_renew*in_choti_ticket</f>
        <v/>
      </c>
      <c r="BF1399" s="40">
        <f>BF1398*(1-IF(B1398&gt;=in_marketplace_from,d_hz_nps*G1398,0))</f>
        <v/>
      </c>
      <c r="BG1399" s="14">
        <f>F1399*BF1399*IF(B1399&gt;=in_marketplace_from,d_hz_nps*G1399,0)*in_nps_ticket*in_nps_comm</f>
        <v/>
      </c>
      <c r="BH1399" s="40">
        <f>BH1398*(1-IF(B1398&gt;=in_marketplace_from,d_hz_gold*G1398,0))</f>
        <v/>
      </c>
      <c r="BI1399" s="40">
        <f>BI1398*d_rho_gold+BH1399*IF(B1399&gt;=in_marketplace_from,d_hz_gold*G1399,0)</f>
        <v/>
      </c>
      <c r="BJ1399" s="14">
        <f>F1399*BI1399*in_gold_ticket*in_gold_comm</f>
        <v/>
      </c>
      <c r="BK1399" s="40">
        <f>BK1398*(1-IF(B1398&gt;=in_marketplace_from,d_hz_fd*G1398,0))</f>
        <v/>
      </c>
      <c r="BL1399" s="14">
        <f>F1399*BK1399*IF(B1399&gt;=in_marketplace_from,d_hz_fd*G1399,0)*in_fd_ticket*in_fd_comm</f>
        <v/>
      </c>
      <c r="BM1399" s="40">
        <f>BM1398*(1-IF(B1398&gt;=in_marketplace_from,d_hz_recharge*G1398,0))</f>
        <v/>
      </c>
      <c r="BN1399" s="40">
        <f>BN1398*d_rho_recharge+BM1399*IF(B1399&gt;=in_marketplace_from,d_hz_recharge*G1399,0)</f>
        <v/>
      </c>
      <c r="BO1399" s="14">
        <f>F1399*BN1399*in_recharge_ticket*in_recharge_comm/12</f>
        <v/>
      </c>
      <c r="BP1399" s="40">
        <f>BP1398*(1-IF(B1398&gt;=in_marketplace_from,d_hz_bills*G1398,0))</f>
        <v/>
      </c>
      <c r="BQ1399" s="40">
        <f>BQ1398*d_rho_bills+BP1399*IF(B1399&gt;=in_marketplace_from,d_hz_bills*G1399,0)</f>
        <v/>
      </c>
      <c r="BR1399" s="14">
        <f>F1399*BQ1399*in_bills_ticket*in_bills_comm/12</f>
        <v/>
      </c>
      <c r="BS1399" s="40">
        <f>BS1398*(1-IF(B1398&gt;=in_marketplace_from,d_hz_loan_gold*G1398,0))</f>
        <v/>
      </c>
      <c r="BT1399" s="14">
        <f>F1399*BS1399*IF(B1399&gt;=in_marketplace_from,d_hz_loan_gold*G1399,0)*in_loan_gold_ticket*in_loan_gold_comm</f>
        <v/>
      </c>
      <c r="BU1399" s="40">
        <f>BU1398*(1-IF(B1398&gt;=in_marketplace_from,d_hz_loan_cd*G1398,0))</f>
        <v/>
      </c>
      <c r="BV1399" s="14">
        <f>F1399*BU1399*IF(B1399&gt;=in_marketplace_from,d_hz_loan_cd*G1399,0)*in_loan_cd_ticket*in_loan_cd_comm</f>
        <v/>
      </c>
      <c r="BW1399" s="40">
        <f>BW1398*(1-IF(B1398&gt;=in_marketplace_from,d_hz_loan_vehicle*G1398,0))</f>
        <v/>
      </c>
      <c r="BX1399" s="14">
        <f>F1399*BW1399*IF(B1399&gt;=in_marketplace_from,d_hz_loan_vehicle*G1399,0)*in_loan_vehicle_ticket*in_loan_vehicle_comm</f>
        <v/>
      </c>
      <c r="BY1399" s="40">
        <f>BY1398*(1-IF(B1398&gt;=in_marketplace_from,d_hz_loan_home*G1398,0)*BZ1398)</f>
        <v/>
      </c>
      <c r="BZ1399" s="11">
        <f>MIN(in_approval_cap,in_loan_home_approval*INDEX('Age profile'!$O$2:$O$61,B1399)*(1+in_approval_growth)^(D1399-1))</f>
        <v/>
      </c>
      <c r="CA1399" s="14">
        <f>F1399*BY1399*IF(B1399&gt;=in_marketplace_from,d_hz_loan_home*G1399,0)*BZ1399*in_loan_home_ticket*in_loan_home_comm</f>
        <v/>
      </c>
      <c r="CB1399" s="40">
        <f>CB1398*(1-IF(B1398&gt;=in_marketplace_from,d_hz_loan_lap*G1398,0)*CC1398)</f>
        <v/>
      </c>
      <c r="CC1399" s="11">
        <f>MIN(in_approval_cap,in_loan_lap_approval*INDEX('Age profile'!$O$2:$O$61,B1399)*(1+in_approval_growth)^(D1399-1))</f>
        <v/>
      </c>
      <c r="CD1399" s="14">
        <f>F1399*CB1399*IF(B1399&gt;=in_marketplace_from,d_hz_loan_lap*G1399,0)*CC1399*in_loan_lap_ticket*in_loan_lap_comm</f>
        <v/>
      </c>
      <c r="CE1399" s="14">
        <f>AA1399+AB1399+AC1399+AD1399+AG1399+AJ1399+AM1399+AP1399+AS1399+AU1399+AX1399+BB1399+BE1399+BG1399+BJ1399+BL1399+BO1399+BR1399+BT1399+BV1399+BX1399+CA1399+CD1399</f>
        <v/>
      </c>
    </row>
    <row r="1400">
      <c r="A1400" s="39" t="n">
        <v>32</v>
      </c>
      <c r="B1400" s="39" t="n">
        <v>4</v>
      </c>
      <c r="C1400" s="39">
        <f>A1400+B1400-1</f>
        <v/>
      </c>
      <c r="D1400" s="39">
        <f>INT((C1400-1)/12)+1</f>
        <v/>
      </c>
      <c r="E1400" s="44">
        <f>INDEX(Monthly!$B$2:$B$61,A1400)</f>
        <v/>
      </c>
      <c r="F1400" s="44">
        <f>E1400*INDEX('Age profile'!$B$2:$B$61,B1400)</f>
        <v/>
      </c>
      <c r="G1400" s="45">
        <f>MIN(in_takeup_cap,INDEX('Age profile'!$N$2:$N$61,B1400)*(1+in_takeup_growth)^(D1400-1))</f>
        <v/>
      </c>
      <c r="H1400" s="11">
        <f>MIN(in_approval_cap,in_approved_first*INDEX('Age profile'!$O$2:$O$61,B1400)*(1+in_approval_growth)^(D1400-1))</f>
        <v/>
      </c>
      <c r="I1400" s="45">
        <f>G1400*MIN(in_takeup_cap,INDEX('Age profile'!$O$2:$O$61,B1400)*(1+in_approval_growth)^(D1400-1))</f>
        <v/>
      </c>
      <c r="J1400" s="40">
        <f>(J1399-L1399)*F1400/F1399</f>
        <v/>
      </c>
      <c r="K1400" s="40">
        <f>(K1399-M1399)*F1400/F1399+SUMIFS(O1397:O1399,B1397:B1399,B1400-1-d_T)*F1400</f>
        <v/>
      </c>
      <c r="L1400" s="40">
        <f>IF(B1400&gt;=in_marketplace_from,J1400*d_hz*G1400*in_eligible*H1400,0)</f>
        <v/>
      </c>
      <c r="M1400" s="40">
        <f>IF(B1400&gt;=in_marketplace_from,K1400*d_hz*G1400*in_eligible*in_approved_repeat,0)</f>
        <v/>
      </c>
      <c r="N1400" s="40">
        <f>L1400+M1400</f>
        <v/>
      </c>
      <c r="O1400" s="46">
        <f>N1400/F1400</f>
        <v/>
      </c>
      <c r="P1400" s="40">
        <f>F1400-J1400-K1400</f>
        <v/>
      </c>
      <c r="Q1400" s="40">
        <f>IF(B1400&gt;=in_marketplace_from,(J1400+K1400)*d_hz*G1400,0)</f>
        <v/>
      </c>
      <c r="R1400" s="40">
        <f>SUMIFS(N1397:N1425,B1397:B1425,"&gt;="&amp;(B1400-d_T),B1397:B1425,"&lt;="&amp;(B1400-1))</f>
        <v/>
      </c>
      <c r="S1400" s="46">
        <f>(1-d_u)*S1399+IF(d_T&gt;in_topup_lag,SUMIFS(O1397:O1425,B1397:B1425,B1400-in_topup_lag)-d_udrop*SUMIFS(O1397:O1425,B1397:B1425,B1400-d_T),0)</f>
        <v/>
      </c>
      <c r="T1400" s="40">
        <f>F1400*d_u*S1400</f>
        <v/>
      </c>
      <c r="U1400" s="9">
        <f>L1400*in_ticket+M1400*d_rep_ticket</f>
        <v/>
      </c>
      <c r="V1400" s="9">
        <f>U1400+T1400*d_topup_amt</f>
        <v/>
      </c>
      <c r="W1400" s="40">
        <f>N1400+T1400*d_topup_ratio</f>
        <v/>
      </c>
      <c r="X1400" s="40">
        <f>SUMIFS(W1397:W1425,B1397:B1425,B1400-in_dpd_lag)*d_cured</f>
        <v/>
      </c>
      <c r="Y1400" s="40">
        <f>SUMIFS(W1397:W1425,B1397:B1425,B1400-in_rec_lag)*d_recd</f>
        <v/>
      </c>
      <c r="Z1400" s="40">
        <f>IF(AND(B1400&gt;=in_marketplace_from,B1400&lt;in_marketplace_from+in_card_months),in_card_share/in_card_months*F1400*I1400,IF(AND(B1400&gt;=in_marketplace_from+in_card_months,B1400&lt;in_marketplace_from+2*in_card_months),in_card_share*d_card_rem/in_card_months*F1400*MIN(in_takeup_cap,(1+in_takeup_growth)^(D1400-1))*MIN(in_takeup_cap,(1+in_approval_growth)^(D1400-1)),0))</f>
        <v/>
      </c>
      <c r="AA1400" s="14">
        <f>V1400*in_fee*(1-in_taken_back)</f>
        <v/>
      </c>
      <c r="AB1400" s="14">
        <f>SUMIFS(W1397:W1425,B1397:B1425,B1400-in_dpd_lag)*d_dpd</f>
        <v/>
      </c>
      <c r="AC1400" s="14">
        <f>SUMIFS(W1397:W1425,B1397:B1425,B1400-in_rec_lag)*d_rec</f>
        <v/>
      </c>
      <c r="AD1400" s="14">
        <f>Z1400*in_card_fee</f>
        <v/>
      </c>
      <c r="AE1400" s="40">
        <f>AE1399*(1-IF(B1399&gt;=in_marketplace_from,d_hz_hlth_small*G1399,0))</f>
        <v/>
      </c>
      <c r="AF1400" s="46">
        <f>AE1400*IF(B1400&gt;=in_marketplace_from,d_hz_hlth_small*G1400,0)</f>
        <v/>
      </c>
      <c r="AG1400" s="14">
        <f>F1400*AF1400*in_hlth_small_ticket*in_hlth_small_comm*in_ins_partner_share+F1400*in_hlth_small_ticket*in_hlth_small_renew_comm*in_ins_partner_share*(in_hlth_small_renew^1*SUMIFS(AF1397:AF1425,B1397:B1425,B1400-12)+in_hlth_small_renew^2*SUMIFS(AF1397:AF1425,B1397:B1425,B1400-24)+in_hlth_small_renew^3*SUMIFS(AF1397:AF1425,B1397:B1425,B1400-36)+in_hlth_small_renew^4*SUMIFS(AF1397:AF1425,B1397:B1425,B1400-48))</f>
        <v/>
      </c>
      <c r="AH1400" s="40">
        <f>AH1399*(1-IF(B1399&gt;=in_marketplace_from,d_hz_hlth_family*G1399,0))</f>
        <v/>
      </c>
      <c r="AI1400" s="46">
        <f>AH1400*IF(B1400&gt;=in_marketplace_from,d_hz_hlth_family*G1400,0)</f>
        <v/>
      </c>
      <c r="AJ1400" s="14">
        <f>F1400*AI1400*in_hlth_family_ticket*in_hlth_family_comm*in_ins_partner_share+F1400*in_hlth_family_ticket*in_hlth_family_renew_comm*in_ins_partner_share*(in_hlth_family_renew^1*SUMIFS(AI1397:AI1425,B1397:B1425,B1400-12)+in_hlth_family_renew^2*SUMIFS(AI1397:AI1425,B1397:B1425,B1400-24)+in_hlth_family_renew^3*SUMIFS(AI1397:AI1425,B1397:B1425,B1400-36)+in_hlth_family_renew^4*SUMIFS(AI1397:AI1425,B1397:B1425,B1400-48))</f>
        <v/>
      </c>
      <c r="AK1400" s="40">
        <f>AK1399*(1-IF(B1399&gt;=in_marketplace_from,d_hz_life_term*G1399,0))</f>
        <v/>
      </c>
      <c r="AL1400" s="46">
        <f>AK1400*IF(B1400&gt;=in_marketplace_from,d_hz_life_term*G1400,0)</f>
        <v/>
      </c>
      <c r="AM1400" s="14">
        <f>F1400*AL1400*in_life_term_ticket*in_life_term_comm*in_ins_partner_share+F1400*in_life_term_ticket*in_life_term_renew_comm*in_ins_partner_share*(in_life_term_renew^1*SUMIFS(AL1397:AL1425,B1397:B1425,B1400-12)+in_life_term_renew^2*SUMIFS(AL1397:AL1425,B1397:B1425,B1400-24)+in_life_term_renew^3*SUMIFS(AL1397:AL1425,B1397:B1425,B1400-36)+in_life_term_renew^4*SUMIFS(AL1397:AL1425,B1397:B1425,B1400-48))</f>
        <v/>
      </c>
      <c r="AN1400" s="40">
        <f>AN1399*(1-IF(B1399&gt;=in_marketplace_from,d_hz_accident*G1399,0))</f>
        <v/>
      </c>
      <c r="AO1400" s="46">
        <f>AN1400*IF(B1400&gt;=in_marketplace_from,d_hz_accident*G1400,0)</f>
        <v/>
      </c>
      <c r="AP1400" s="14">
        <f>F1400*AO1400*in_accident_ticket*in_accident_comm*in_ins_partner_share+F1400*in_accident_ticket*in_accident_renew_comm*in_ins_partner_share*(in_accident_renew^1*SUMIFS(AO1397:AO1425,B1397:B1425,B1400-12)+in_accident_renew^2*SUMIFS(AO1397:AO1425,B1397:B1425,B1400-24)+in_accident_renew^3*SUMIFS(AO1397:AO1425,B1397:B1425,B1400-36)+in_accident_renew^4*SUMIFS(AO1397:AO1425,B1397:B1425,B1400-48))</f>
        <v/>
      </c>
      <c r="AQ1400" s="40">
        <f>AQ1399*(1-IF(B1399&gt;=in_marketplace_from,d_hz_two_wheeler*G1399,0))</f>
        <v/>
      </c>
      <c r="AR1400" s="46">
        <f>AQ1400*IF(B1400&gt;=in_marketplace_from,d_hz_two_wheeler*G1400,0)</f>
        <v/>
      </c>
      <c r="AS1400" s="14">
        <f>F1400*AR1400*in_two_wheeler_ticket*in_two_wheeler_comm*in_ins_partner_share+F1400*in_two_wheeler_ticket*in_two_wheeler_comm*in_ins_partner_share*(in_two_wheeler_renew^1*SUMIFS(AR1397:AR1425,B1397:B1425,B1400-12)+in_two_wheeler_renew^2*SUMIFS(AR1397:AR1425,B1397:B1425,B1400-24)+in_two_wheeler_renew^3*SUMIFS(AR1397:AR1425,B1397:B1425,B1400-36)+in_two_wheeler_renew^4*SUMIFS(AR1397:AR1425,B1397:B1425,B1400-48))</f>
        <v/>
      </c>
      <c r="AT1400" s="40">
        <f>AT1399*(1-IF(B1399&gt;=in_marketplace_from,d_hz_device*G1399,0))</f>
        <v/>
      </c>
      <c r="AU1400" s="14">
        <f>F1400*AT1400*IF(B1400&gt;=in_marketplace_from,d_hz_device*G1400,0)*in_device_ticket*in_device_comm*in_ins_partner_share</f>
        <v/>
      </c>
      <c r="AV1400" s="40">
        <f>AV1399*(1-IF(B1399&gt;=in_marketplace_from,d_hz_shop*G1399,0))</f>
        <v/>
      </c>
      <c r="AW1400" s="46">
        <f>AV1400*IF(B1400&gt;=in_marketplace_from,d_hz_shop*G1400,0)</f>
        <v/>
      </c>
      <c r="AX1400" s="14">
        <f>F1400*AW1400*in_shop_ticket*in_shop_comm*in_ins_partner_share+F1400*in_shop_ticket*in_shop_renew_comm*in_ins_partner_share*(in_shop_renew^1*SUMIFS(AW1397:AW1425,B1397:B1425,B1400-12)+in_shop_renew^2*SUMIFS(AW1397:AW1425,B1397:B1425,B1400-24)+in_shop_renew^3*SUMIFS(AW1397:AW1425,B1397:B1425,B1400-36)+in_shop_renew^4*SUMIFS(AW1397:AW1425,B1397:B1425,B1400-48))</f>
        <v/>
      </c>
      <c r="AY1400" s="40">
        <f>AY1399*(1-IF(B1399&gt;=in_marketplace_from,d_hz_sip*G1399,0))</f>
        <v/>
      </c>
      <c r="AZ1400" s="40">
        <f>AZ1399*d_rho_sip+AY1400*IF(B1400&gt;=in_marketplace_from,d_hz_sip*G1400,0)</f>
        <v/>
      </c>
      <c r="BA1400" s="40">
        <f>d_rho_sip*(BA1399+AZ1399)</f>
        <v/>
      </c>
      <c r="BB1400" s="14">
        <f>F1400*in_sip_ticket*(BA1400+0.5*AZ1400)*in_sip_comm/12</f>
        <v/>
      </c>
      <c r="BC1400" s="40">
        <f>BC1399*(1-IF(B1399&gt;=in_marketplace_from,d_hz_choti*G1399,0))</f>
        <v/>
      </c>
      <c r="BD1400" s="46">
        <f>BC1400*IF(B1400&gt;=in_marketplace_from,d_hz_choti*G1400,0)</f>
        <v/>
      </c>
      <c r="BE1400" s="14">
        <f>F1400*SUMIFS(BD1397:BD1425,B1397:B1425,B1400-in_choti_months)*in_choti_renew*in_choti_ticket</f>
        <v/>
      </c>
      <c r="BF1400" s="40">
        <f>BF1399*(1-IF(B1399&gt;=in_marketplace_from,d_hz_nps*G1399,0))</f>
        <v/>
      </c>
      <c r="BG1400" s="14">
        <f>F1400*BF1400*IF(B1400&gt;=in_marketplace_from,d_hz_nps*G1400,0)*in_nps_ticket*in_nps_comm</f>
        <v/>
      </c>
      <c r="BH1400" s="40">
        <f>BH1399*(1-IF(B1399&gt;=in_marketplace_from,d_hz_gold*G1399,0))</f>
        <v/>
      </c>
      <c r="BI1400" s="40">
        <f>BI1399*d_rho_gold+BH1400*IF(B1400&gt;=in_marketplace_from,d_hz_gold*G1400,0)</f>
        <v/>
      </c>
      <c r="BJ1400" s="14">
        <f>F1400*BI1400*in_gold_ticket*in_gold_comm</f>
        <v/>
      </c>
      <c r="BK1400" s="40">
        <f>BK1399*(1-IF(B1399&gt;=in_marketplace_from,d_hz_fd*G1399,0))</f>
        <v/>
      </c>
      <c r="BL1400" s="14">
        <f>F1400*BK1400*IF(B1400&gt;=in_marketplace_from,d_hz_fd*G1400,0)*in_fd_ticket*in_fd_comm</f>
        <v/>
      </c>
      <c r="BM1400" s="40">
        <f>BM1399*(1-IF(B1399&gt;=in_marketplace_from,d_hz_recharge*G1399,0))</f>
        <v/>
      </c>
      <c r="BN1400" s="40">
        <f>BN1399*d_rho_recharge+BM1400*IF(B1400&gt;=in_marketplace_from,d_hz_recharge*G1400,0)</f>
        <v/>
      </c>
      <c r="BO1400" s="14">
        <f>F1400*BN1400*in_recharge_ticket*in_recharge_comm/12</f>
        <v/>
      </c>
      <c r="BP1400" s="40">
        <f>BP1399*(1-IF(B1399&gt;=in_marketplace_from,d_hz_bills*G1399,0))</f>
        <v/>
      </c>
      <c r="BQ1400" s="40">
        <f>BQ1399*d_rho_bills+BP1400*IF(B1400&gt;=in_marketplace_from,d_hz_bills*G1400,0)</f>
        <v/>
      </c>
      <c r="BR1400" s="14">
        <f>F1400*BQ1400*in_bills_ticket*in_bills_comm/12</f>
        <v/>
      </c>
      <c r="BS1400" s="40">
        <f>BS1399*(1-IF(B1399&gt;=in_marketplace_from,d_hz_loan_gold*G1399,0))</f>
        <v/>
      </c>
      <c r="BT1400" s="14">
        <f>F1400*BS1400*IF(B1400&gt;=in_marketplace_from,d_hz_loan_gold*G1400,0)*in_loan_gold_ticket*in_loan_gold_comm</f>
        <v/>
      </c>
      <c r="BU1400" s="40">
        <f>BU1399*(1-IF(B1399&gt;=in_marketplace_from,d_hz_loan_cd*G1399,0))</f>
        <v/>
      </c>
      <c r="BV1400" s="14">
        <f>F1400*BU1400*IF(B1400&gt;=in_marketplace_from,d_hz_loan_cd*G1400,0)*in_loan_cd_ticket*in_loan_cd_comm</f>
        <v/>
      </c>
      <c r="BW1400" s="40">
        <f>BW1399*(1-IF(B1399&gt;=in_marketplace_from,d_hz_loan_vehicle*G1399,0))</f>
        <v/>
      </c>
      <c r="BX1400" s="14">
        <f>F1400*BW1400*IF(B1400&gt;=in_marketplace_from,d_hz_loan_vehicle*G1400,0)*in_loan_vehicle_ticket*in_loan_vehicle_comm</f>
        <v/>
      </c>
      <c r="BY1400" s="40">
        <f>BY1399*(1-IF(B1399&gt;=in_marketplace_from,d_hz_loan_home*G1399,0)*BZ1399)</f>
        <v/>
      </c>
      <c r="BZ1400" s="11">
        <f>MIN(in_approval_cap,in_loan_home_approval*INDEX('Age profile'!$O$2:$O$61,B1400)*(1+in_approval_growth)^(D1400-1))</f>
        <v/>
      </c>
      <c r="CA1400" s="14">
        <f>F1400*BY1400*IF(B1400&gt;=in_marketplace_from,d_hz_loan_home*G1400,0)*BZ1400*in_loan_home_ticket*in_loan_home_comm</f>
        <v/>
      </c>
      <c r="CB1400" s="40">
        <f>CB1399*(1-IF(B1399&gt;=in_marketplace_from,d_hz_loan_lap*G1399,0)*CC1399)</f>
        <v/>
      </c>
      <c r="CC1400" s="11">
        <f>MIN(in_approval_cap,in_loan_lap_approval*INDEX('Age profile'!$O$2:$O$61,B1400)*(1+in_approval_growth)^(D1400-1))</f>
        <v/>
      </c>
      <c r="CD1400" s="14">
        <f>F1400*CB1400*IF(B1400&gt;=in_marketplace_from,d_hz_loan_lap*G1400,0)*CC1400*in_loan_lap_ticket*in_loan_lap_comm</f>
        <v/>
      </c>
      <c r="CE1400" s="14">
        <f>AA1400+AB1400+AC1400+AD1400+AG1400+AJ1400+AM1400+AP1400+AS1400+AU1400+AX1400+BB1400+BE1400+BG1400+BJ1400+BL1400+BO1400+BR1400+BT1400+BV1400+BX1400+CA1400+CD1400</f>
        <v/>
      </c>
    </row>
    <row r="1401">
      <c r="A1401" s="39" t="n">
        <v>32</v>
      </c>
      <c r="B1401" s="39" t="n">
        <v>5</v>
      </c>
      <c r="C1401" s="39">
        <f>A1401+B1401-1</f>
        <v/>
      </c>
      <c r="D1401" s="39">
        <f>INT((C1401-1)/12)+1</f>
        <v/>
      </c>
      <c r="E1401" s="44">
        <f>INDEX(Monthly!$B$2:$B$61,A1401)</f>
        <v/>
      </c>
      <c r="F1401" s="44">
        <f>E1401*INDEX('Age profile'!$B$2:$B$61,B1401)</f>
        <v/>
      </c>
      <c r="G1401" s="45">
        <f>MIN(in_takeup_cap,INDEX('Age profile'!$N$2:$N$61,B1401)*(1+in_takeup_growth)^(D1401-1))</f>
        <v/>
      </c>
      <c r="H1401" s="11">
        <f>MIN(in_approval_cap,in_approved_first*INDEX('Age profile'!$O$2:$O$61,B1401)*(1+in_approval_growth)^(D1401-1))</f>
        <v/>
      </c>
      <c r="I1401" s="45">
        <f>G1401*MIN(in_takeup_cap,INDEX('Age profile'!$O$2:$O$61,B1401)*(1+in_approval_growth)^(D1401-1))</f>
        <v/>
      </c>
      <c r="J1401" s="40">
        <f>(J1400-L1400)*F1401/F1400</f>
        <v/>
      </c>
      <c r="K1401" s="40">
        <f>(K1400-M1400)*F1401/F1400+SUMIFS(O1397:O1400,B1397:B1400,B1401-1-d_T)*F1401</f>
        <v/>
      </c>
      <c r="L1401" s="40">
        <f>IF(B1401&gt;=in_marketplace_from,J1401*d_hz*G1401*in_eligible*H1401,0)</f>
        <v/>
      </c>
      <c r="M1401" s="40">
        <f>IF(B1401&gt;=in_marketplace_from,K1401*d_hz*G1401*in_eligible*in_approved_repeat,0)</f>
        <v/>
      </c>
      <c r="N1401" s="40">
        <f>L1401+M1401</f>
        <v/>
      </c>
      <c r="O1401" s="46">
        <f>N1401/F1401</f>
        <v/>
      </c>
      <c r="P1401" s="40">
        <f>F1401-J1401-K1401</f>
        <v/>
      </c>
      <c r="Q1401" s="40">
        <f>IF(B1401&gt;=in_marketplace_from,(J1401+K1401)*d_hz*G1401,0)</f>
        <v/>
      </c>
      <c r="R1401" s="40">
        <f>SUMIFS(N1397:N1425,B1397:B1425,"&gt;="&amp;(B1401-d_T),B1397:B1425,"&lt;="&amp;(B1401-1))</f>
        <v/>
      </c>
      <c r="S1401" s="46">
        <f>(1-d_u)*S1400+IF(d_T&gt;in_topup_lag,SUMIFS(O1397:O1425,B1397:B1425,B1401-in_topup_lag)-d_udrop*SUMIFS(O1397:O1425,B1397:B1425,B1401-d_T),0)</f>
        <v/>
      </c>
      <c r="T1401" s="40">
        <f>F1401*d_u*S1401</f>
        <v/>
      </c>
      <c r="U1401" s="9">
        <f>L1401*in_ticket+M1401*d_rep_ticket</f>
        <v/>
      </c>
      <c r="V1401" s="9">
        <f>U1401+T1401*d_topup_amt</f>
        <v/>
      </c>
      <c r="W1401" s="40">
        <f>N1401+T1401*d_topup_ratio</f>
        <v/>
      </c>
      <c r="X1401" s="40">
        <f>SUMIFS(W1397:W1425,B1397:B1425,B1401-in_dpd_lag)*d_cured</f>
        <v/>
      </c>
      <c r="Y1401" s="40">
        <f>SUMIFS(W1397:W1425,B1397:B1425,B1401-in_rec_lag)*d_recd</f>
        <v/>
      </c>
      <c r="Z1401" s="40">
        <f>IF(AND(B1401&gt;=in_marketplace_from,B1401&lt;in_marketplace_from+in_card_months),in_card_share/in_card_months*F1401*I1401,IF(AND(B1401&gt;=in_marketplace_from+in_card_months,B1401&lt;in_marketplace_from+2*in_card_months),in_card_share*d_card_rem/in_card_months*F1401*MIN(in_takeup_cap,(1+in_takeup_growth)^(D1401-1))*MIN(in_takeup_cap,(1+in_approval_growth)^(D1401-1)),0))</f>
        <v/>
      </c>
      <c r="AA1401" s="14">
        <f>V1401*in_fee*(1-in_taken_back)</f>
        <v/>
      </c>
      <c r="AB1401" s="14">
        <f>SUMIFS(W1397:W1425,B1397:B1425,B1401-in_dpd_lag)*d_dpd</f>
        <v/>
      </c>
      <c r="AC1401" s="14">
        <f>SUMIFS(W1397:W1425,B1397:B1425,B1401-in_rec_lag)*d_rec</f>
        <v/>
      </c>
      <c r="AD1401" s="14">
        <f>Z1401*in_card_fee</f>
        <v/>
      </c>
      <c r="AE1401" s="40">
        <f>AE1400*(1-IF(B1400&gt;=in_marketplace_from,d_hz_hlth_small*G1400,0))</f>
        <v/>
      </c>
      <c r="AF1401" s="46">
        <f>AE1401*IF(B1401&gt;=in_marketplace_from,d_hz_hlth_small*G1401,0)</f>
        <v/>
      </c>
      <c r="AG1401" s="14">
        <f>F1401*AF1401*in_hlth_small_ticket*in_hlth_small_comm*in_ins_partner_share+F1401*in_hlth_small_ticket*in_hlth_small_renew_comm*in_ins_partner_share*(in_hlth_small_renew^1*SUMIFS(AF1397:AF1425,B1397:B1425,B1401-12)+in_hlth_small_renew^2*SUMIFS(AF1397:AF1425,B1397:B1425,B1401-24)+in_hlth_small_renew^3*SUMIFS(AF1397:AF1425,B1397:B1425,B1401-36)+in_hlth_small_renew^4*SUMIFS(AF1397:AF1425,B1397:B1425,B1401-48))</f>
        <v/>
      </c>
      <c r="AH1401" s="40">
        <f>AH1400*(1-IF(B1400&gt;=in_marketplace_from,d_hz_hlth_family*G1400,0))</f>
        <v/>
      </c>
      <c r="AI1401" s="46">
        <f>AH1401*IF(B1401&gt;=in_marketplace_from,d_hz_hlth_family*G1401,0)</f>
        <v/>
      </c>
      <c r="AJ1401" s="14">
        <f>F1401*AI1401*in_hlth_family_ticket*in_hlth_family_comm*in_ins_partner_share+F1401*in_hlth_family_ticket*in_hlth_family_renew_comm*in_ins_partner_share*(in_hlth_family_renew^1*SUMIFS(AI1397:AI1425,B1397:B1425,B1401-12)+in_hlth_family_renew^2*SUMIFS(AI1397:AI1425,B1397:B1425,B1401-24)+in_hlth_family_renew^3*SUMIFS(AI1397:AI1425,B1397:B1425,B1401-36)+in_hlth_family_renew^4*SUMIFS(AI1397:AI1425,B1397:B1425,B1401-48))</f>
        <v/>
      </c>
      <c r="AK1401" s="40">
        <f>AK1400*(1-IF(B1400&gt;=in_marketplace_from,d_hz_life_term*G1400,0))</f>
        <v/>
      </c>
      <c r="AL1401" s="46">
        <f>AK1401*IF(B1401&gt;=in_marketplace_from,d_hz_life_term*G1401,0)</f>
        <v/>
      </c>
      <c r="AM1401" s="14">
        <f>F1401*AL1401*in_life_term_ticket*in_life_term_comm*in_ins_partner_share+F1401*in_life_term_ticket*in_life_term_renew_comm*in_ins_partner_share*(in_life_term_renew^1*SUMIFS(AL1397:AL1425,B1397:B1425,B1401-12)+in_life_term_renew^2*SUMIFS(AL1397:AL1425,B1397:B1425,B1401-24)+in_life_term_renew^3*SUMIFS(AL1397:AL1425,B1397:B1425,B1401-36)+in_life_term_renew^4*SUMIFS(AL1397:AL1425,B1397:B1425,B1401-48))</f>
        <v/>
      </c>
      <c r="AN1401" s="40">
        <f>AN1400*(1-IF(B1400&gt;=in_marketplace_from,d_hz_accident*G1400,0))</f>
        <v/>
      </c>
      <c r="AO1401" s="46">
        <f>AN1401*IF(B1401&gt;=in_marketplace_from,d_hz_accident*G1401,0)</f>
        <v/>
      </c>
      <c r="AP1401" s="14">
        <f>F1401*AO1401*in_accident_ticket*in_accident_comm*in_ins_partner_share+F1401*in_accident_ticket*in_accident_renew_comm*in_ins_partner_share*(in_accident_renew^1*SUMIFS(AO1397:AO1425,B1397:B1425,B1401-12)+in_accident_renew^2*SUMIFS(AO1397:AO1425,B1397:B1425,B1401-24)+in_accident_renew^3*SUMIFS(AO1397:AO1425,B1397:B1425,B1401-36)+in_accident_renew^4*SUMIFS(AO1397:AO1425,B1397:B1425,B1401-48))</f>
        <v/>
      </c>
      <c r="AQ1401" s="40">
        <f>AQ1400*(1-IF(B1400&gt;=in_marketplace_from,d_hz_two_wheeler*G1400,0))</f>
        <v/>
      </c>
      <c r="AR1401" s="46">
        <f>AQ1401*IF(B1401&gt;=in_marketplace_from,d_hz_two_wheeler*G1401,0)</f>
        <v/>
      </c>
      <c r="AS1401" s="14">
        <f>F1401*AR1401*in_two_wheeler_ticket*in_two_wheeler_comm*in_ins_partner_share+F1401*in_two_wheeler_ticket*in_two_wheeler_comm*in_ins_partner_share*(in_two_wheeler_renew^1*SUMIFS(AR1397:AR1425,B1397:B1425,B1401-12)+in_two_wheeler_renew^2*SUMIFS(AR1397:AR1425,B1397:B1425,B1401-24)+in_two_wheeler_renew^3*SUMIFS(AR1397:AR1425,B1397:B1425,B1401-36)+in_two_wheeler_renew^4*SUMIFS(AR1397:AR1425,B1397:B1425,B1401-48))</f>
        <v/>
      </c>
      <c r="AT1401" s="40">
        <f>AT1400*(1-IF(B1400&gt;=in_marketplace_from,d_hz_device*G1400,0))</f>
        <v/>
      </c>
      <c r="AU1401" s="14">
        <f>F1401*AT1401*IF(B1401&gt;=in_marketplace_from,d_hz_device*G1401,0)*in_device_ticket*in_device_comm*in_ins_partner_share</f>
        <v/>
      </c>
      <c r="AV1401" s="40">
        <f>AV1400*(1-IF(B1400&gt;=in_marketplace_from,d_hz_shop*G1400,0))</f>
        <v/>
      </c>
      <c r="AW1401" s="46">
        <f>AV1401*IF(B1401&gt;=in_marketplace_from,d_hz_shop*G1401,0)</f>
        <v/>
      </c>
      <c r="AX1401" s="14">
        <f>F1401*AW1401*in_shop_ticket*in_shop_comm*in_ins_partner_share+F1401*in_shop_ticket*in_shop_renew_comm*in_ins_partner_share*(in_shop_renew^1*SUMIFS(AW1397:AW1425,B1397:B1425,B1401-12)+in_shop_renew^2*SUMIFS(AW1397:AW1425,B1397:B1425,B1401-24)+in_shop_renew^3*SUMIFS(AW1397:AW1425,B1397:B1425,B1401-36)+in_shop_renew^4*SUMIFS(AW1397:AW1425,B1397:B1425,B1401-48))</f>
        <v/>
      </c>
      <c r="AY1401" s="40">
        <f>AY1400*(1-IF(B1400&gt;=in_marketplace_from,d_hz_sip*G1400,0))</f>
        <v/>
      </c>
      <c r="AZ1401" s="40">
        <f>AZ1400*d_rho_sip+AY1401*IF(B1401&gt;=in_marketplace_from,d_hz_sip*G1401,0)</f>
        <v/>
      </c>
      <c r="BA1401" s="40">
        <f>d_rho_sip*(BA1400+AZ1400)</f>
        <v/>
      </c>
      <c r="BB1401" s="14">
        <f>F1401*in_sip_ticket*(BA1401+0.5*AZ1401)*in_sip_comm/12</f>
        <v/>
      </c>
      <c r="BC1401" s="40">
        <f>BC1400*(1-IF(B1400&gt;=in_marketplace_from,d_hz_choti*G1400,0))</f>
        <v/>
      </c>
      <c r="BD1401" s="46">
        <f>BC1401*IF(B1401&gt;=in_marketplace_from,d_hz_choti*G1401,0)</f>
        <v/>
      </c>
      <c r="BE1401" s="14">
        <f>F1401*SUMIFS(BD1397:BD1425,B1397:B1425,B1401-in_choti_months)*in_choti_renew*in_choti_ticket</f>
        <v/>
      </c>
      <c r="BF1401" s="40">
        <f>BF1400*(1-IF(B1400&gt;=in_marketplace_from,d_hz_nps*G1400,0))</f>
        <v/>
      </c>
      <c r="BG1401" s="14">
        <f>F1401*BF1401*IF(B1401&gt;=in_marketplace_from,d_hz_nps*G1401,0)*in_nps_ticket*in_nps_comm</f>
        <v/>
      </c>
      <c r="BH1401" s="40">
        <f>BH1400*(1-IF(B1400&gt;=in_marketplace_from,d_hz_gold*G1400,0))</f>
        <v/>
      </c>
      <c r="BI1401" s="40">
        <f>BI1400*d_rho_gold+BH1401*IF(B1401&gt;=in_marketplace_from,d_hz_gold*G1401,0)</f>
        <v/>
      </c>
      <c r="BJ1401" s="14">
        <f>F1401*BI1401*in_gold_ticket*in_gold_comm</f>
        <v/>
      </c>
      <c r="BK1401" s="40">
        <f>BK1400*(1-IF(B1400&gt;=in_marketplace_from,d_hz_fd*G1400,0))</f>
        <v/>
      </c>
      <c r="BL1401" s="14">
        <f>F1401*BK1401*IF(B1401&gt;=in_marketplace_from,d_hz_fd*G1401,0)*in_fd_ticket*in_fd_comm</f>
        <v/>
      </c>
      <c r="BM1401" s="40">
        <f>BM1400*(1-IF(B1400&gt;=in_marketplace_from,d_hz_recharge*G1400,0))</f>
        <v/>
      </c>
      <c r="BN1401" s="40">
        <f>BN1400*d_rho_recharge+BM1401*IF(B1401&gt;=in_marketplace_from,d_hz_recharge*G1401,0)</f>
        <v/>
      </c>
      <c r="BO1401" s="14">
        <f>F1401*BN1401*in_recharge_ticket*in_recharge_comm/12</f>
        <v/>
      </c>
      <c r="BP1401" s="40">
        <f>BP1400*(1-IF(B1400&gt;=in_marketplace_from,d_hz_bills*G1400,0))</f>
        <v/>
      </c>
      <c r="BQ1401" s="40">
        <f>BQ1400*d_rho_bills+BP1401*IF(B1401&gt;=in_marketplace_from,d_hz_bills*G1401,0)</f>
        <v/>
      </c>
      <c r="BR1401" s="14">
        <f>F1401*BQ1401*in_bills_ticket*in_bills_comm/12</f>
        <v/>
      </c>
      <c r="BS1401" s="40">
        <f>BS1400*(1-IF(B1400&gt;=in_marketplace_from,d_hz_loan_gold*G1400,0))</f>
        <v/>
      </c>
      <c r="BT1401" s="14">
        <f>F1401*BS1401*IF(B1401&gt;=in_marketplace_from,d_hz_loan_gold*G1401,0)*in_loan_gold_ticket*in_loan_gold_comm</f>
        <v/>
      </c>
      <c r="BU1401" s="40">
        <f>BU1400*(1-IF(B1400&gt;=in_marketplace_from,d_hz_loan_cd*G1400,0))</f>
        <v/>
      </c>
      <c r="BV1401" s="14">
        <f>F1401*BU1401*IF(B1401&gt;=in_marketplace_from,d_hz_loan_cd*G1401,0)*in_loan_cd_ticket*in_loan_cd_comm</f>
        <v/>
      </c>
      <c r="BW1401" s="40">
        <f>BW1400*(1-IF(B1400&gt;=in_marketplace_from,d_hz_loan_vehicle*G1400,0))</f>
        <v/>
      </c>
      <c r="BX1401" s="14">
        <f>F1401*BW1401*IF(B1401&gt;=in_marketplace_from,d_hz_loan_vehicle*G1401,0)*in_loan_vehicle_ticket*in_loan_vehicle_comm</f>
        <v/>
      </c>
      <c r="BY1401" s="40">
        <f>BY1400*(1-IF(B1400&gt;=in_marketplace_from,d_hz_loan_home*G1400,0)*BZ1400)</f>
        <v/>
      </c>
      <c r="BZ1401" s="11">
        <f>MIN(in_approval_cap,in_loan_home_approval*INDEX('Age profile'!$O$2:$O$61,B1401)*(1+in_approval_growth)^(D1401-1))</f>
        <v/>
      </c>
      <c r="CA1401" s="14">
        <f>F1401*BY1401*IF(B1401&gt;=in_marketplace_from,d_hz_loan_home*G1401,0)*BZ1401*in_loan_home_ticket*in_loan_home_comm</f>
        <v/>
      </c>
      <c r="CB1401" s="40">
        <f>CB1400*(1-IF(B1400&gt;=in_marketplace_from,d_hz_loan_lap*G1400,0)*CC1400)</f>
        <v/>
      </c>
      <c r="CC1401" s="11">
        <f>MIN(in_approval_cap,in_loan_lap_approval*INDEX('Age profile'!$O$2:$O$61,B1401)*(1+in_approval_growth)^(D1401-1))</f>
        <v/>
      </c>
      <c r="CD1401" s="14">
        <f>F1401*CB1401*IF(B1401&gt;=in_marketplace_from,d_hz_loan_lap*G1401,0)*CC1401*in_loan_lap_ticket*in_loan_lap_comm</f>
        <v/>
      </c>
      <c r="CE1401" s="14">
        <f>AA1401+AB1401+AC1401+AD1401+AG1401+AJ1401+AM1401+AP1401+AS1401+AU1401+AX1401+BB1401+BE1401+BG1401+BJ1401+BL1401+BO1401+BR1401+BT1401+BV1401+BX1401+CA1401+CD1401</f>
        <v/>
      </c>
    </row>
    <row r="1402">
      <c r="A1402" s="39" t="n">
        <v>32</v>
      </c>
      <c r="B1402" s="39" t="n">
        <v>6</v>
      </c>
      <c r="C1402" s="39">
        <f>A1402+B1402-1</f>
        <v/>
      </c>
      <c r="D1402" s="39">
        <f>INT((C1402-1)/12)+1</f>
        <v/>
      </c>
      <c r="E1402" s="44">
        <f>INDEX(Monthly!$B$2:$B$61,A1402)</f>
        <v/>
      </c>
      <c r="F1402" s="44">
        <f>E1402*INDEX('Age profile'!$B$2:$B$61,B1402)</f>
        <v/>
      </c>
      <c r="G1402" s="45">
        <f>MIN(in_takeup_cap,INDEX('Age profile'!$N$2:$N$61,B1402)*(1+in_takeup_growth)^(D1402-1))</f>
        <v/>
      </c>
      <c r="H1402" s="11">
        <f>MIN(in_approval_cap,in_approved_first*INDEX('Age profile'!$O$2:$O$61,B1402)*(1+in_approval_growth)^(D1402-1))</f>
        <v/>
      </c>
      <c r="I1402" s="45">
        <f>G1402*MIN(in_takeup_cap,INDEX('Age profile'!$O$2:$O$61,B1402)*(1+in_approval_growth)^(D1402-1))</f>
        <v/>
      </c>
      <c r="J1402" s="40">
        <f>(J1401-L1401)*F1402/F1401</f>
        <v/>
      </c>
      <c r="K1402" s="40">
        <f>(K1401-M1401)*F1402/F1401+SUMIFS(O1397:O1401,B1397:B1401,B1402-1-d_T)*F1402</f>
        <v/>
      </c>
      <c r="L1402" s="40">
        <f>IF(B1402&gt;=in_marketplace_from,J1402*d_hz*G1402*in_eligible*H1402,0)</f>
        <v/>
      </c>
      <c r="M1402" s="40">
        <f>IF(B1402&gt;=in_marketplace_from,K1402*d_hz*G1402*in_eligible*in_approved_repeat,0)</f>
        <v/>
      </c>
      <c r="N1402" s="40">
        <f>L1402+M1402</f>
        <v/>
      </c>
      <c r="O1402" s="46">
        <f>N1402/F1402</f>
        <v/>
      </c>
      <c r="P1402" s="40">
        <f>F1402-J1402-K1402</f>
        <v/>
      </c>
      <c r="Q1402" s="40">
        <f>IF(B1402&gt;=in_marketplace_from,(J1402+K1402)*d_hz*G1402,0)</f>
        <v/>
      </c>
      <c r="R1402" s="40">
        <f>SUMIFS(N1397:N1425,B1397:B1425,"&gt;="&amp;(B1402-d_T),B1397:B1425,"&lt;="&amp;(B1402-1))</f>
        <v/>
      </c>
      <c r="S1402" s="46">
        <f>(1-d_u)*S1401+IF(d_T&gt;in_topup_lag,SUMIFS(O1397:O1425,B1397:B1425,B1402-in_topup_lag)-d_udrop*SUMIFS(O1397:O1425,B1397:B1425,B1402-d_T),0)</f>
        <v/>
      </c>
      <c r="T1402" s="40">
        <f>F1402*d_u*S1402</f>
        <v/>
      </c>
      <c r="U1402" s="9">
        <f>L1402*in_ticket+M1402*d_rep_ticket</f>
        <v/>
      </c>
      <c r="V1402" s="9">
        <f>U1402+T1402*d_topup_amt</f>
        <v/>
      </c>
      <c r="W1402" s="40">
        <f>N1402+T1402*d_topup_ratio</f>
        <v/>
      </c>
      <c r="X1402" s="40">
        <f>SUMIFS(W1397:W1425,B1397:B1425,B1402-in_dpd_lag)*d_cured</f>
        <v/>
      </c>
      <c r="Y1402" s="40">
        <f>SUMIFS(W1397:W1425,B1397:B1425,B1402-in_rec_lag)*d_recd</f>
        <v/>
      </c>
      <c r="Z1402" s="40">
        <f>IF(AND(B1402&gt;=in_marketplace_from,B1402&lt;in_marketplace_from+in_card_months),in_card_share/in_card_months*F1402*I1402,IF(AND(B1402&gt;=in_marketplace_from+in_card_months,B1402&lt;in_marketplace_from+2*in_card_months),in_card_share*d_card_rem/in_card_months*F1402*MIN(in_takeup_cap,(1+in_takeup_growth)^(D1402-1))*MIN(in_takeup_cap,(1+in_approval_growth)^(D1402-1)),0))</f>
        <v/>
      </c>
      <c r="AA1402" s="14">
        <f>V1402*in_fee*(1-in_taken_back)</f>
        <v/>
      </c>
      <c r="AB1402" s="14">
        <f>SUMIFS(W1397:W1425,B1397:B1425,B1402-in_dpd_lag)*d_dpd</f>
        <v/>
      </c>
      <c r="AC1402" s="14">
        <f>SUMIFS(W1397:W1425,B1397:B1425,B1402-in_rec_lag)*d_rec</f>
        <v/>
      </c>
      <c r="AD1402" s="14">
        <f>Z1402*in_card_fee</f>
        <v/>
      </c>
      <c r="AE1402" s="40">
        <f>AE1401*(1-IF(B1401&gt;=in_marketplace_from,d_hz_hlth_small*G1401,0))</f>
        <v/>
      </c>
      <c r="AF1402" s="46">
        <f>AE1402*IF(B1402&gt;=in_marketplace_from,d_hz_hlth_small*G1402,0)</f>
        <v/>
      </c>
      <c r="AG1402" s="14">
        <f>F1402*AF1402*in_hlth_small_ticket*in_hlth_small_comm*in_ins_partner_share+F1402*in_hlth_small_ticket*in_hlth_small_renew_comm*in_ins_partner_share*(in_hlth_small_renew^1*SUMIFS(AF1397:AF1425,B1397:B1425,B1402-12)+in_hlth_small_renew^2*SUMIFS(AF1397:AF1425,B1397:B1425,B1402-24)+in_hlth_small_renew^3*SUMIFS(AF1397:AF1425,B1397:B1425,B1402-36)+in_hlth_small_renew^4*SUMIFS(AF1397:AF1425,B1397:B1425,B1402-48))</f>
        <v/>
      </c>
      <c r="AH1402" s="40">
        <f>AH1401*(1-IF(B1401&gt;=in_marketplace_from,d_hz_hlth_family*G1401,0))</f>
        <v/>
      </c>
      <c r="AI1402" s="46">
        <f>AH1402*IF(B1402&gt;=in_marketplace_from,d_hz_hlth_family*G1402,0)</f>
        <v/>
      </c>
      <c r="AJ1402" s="14">
        <f>F1402*AI1402*in_hlth_family_ticket*in_hlth_family_comm*in_ins_partner_share+F1402*in_hlth_family_ticket*in_hlth_family_renew_comm*in_ins_partner_share*(in_hlth_family_renew^1*SUMIFS(AI1397:AI1425,B1397:B1425,B1402-12)+in_hlth_family_renew^2*SUMIFS(AI1397:AI1425,B1397:B1425,B1402-24)+in_hlth_family_renew^3*SUMIFS(AI1397:AI1425,B1397:B1425,B1402-36)+in_hlth_family_renew^4*SUMIFS(AI1397:AI1425,B1397:B1425,B1402-48))</f>
        <v/>
      </c>
      <c r="AK1402" s="40">
        <f>AK1401*(1-IF(B1401&gt;=in_marketplace_from,d_hz_life_term*G1401,0))</f>
        <v/>
      </c>
      <c r="AL1402" s="46">
        <f>AK1402*IF(B1402&gt;=in_marketplace_from,d_hz_life_term*G1402,0)</f>
        <v/>
      </c>
      <c r="AM1402" s="14">
        <f>F1402*AL1402*in_life_term_ticket*in_life_term_comm*in_ins_partner_share+F1402*in_life_term_ticket*in_life_term_renew_comm*in_ins_partner_share*(in_life_term_renew^1*SUMIFS(AL1397:AL1425,B1397:B1425,B1402-12)+in_life_term_renew^2*SUMIFS(AL1397:AL1425,B1397:B1425,B1402-24)+in_life_term_renew^3*SUMIFS(AL1397:AL1425,B1397:B1425,B1402-36)+in_life_term_renew^4*SUMIFS(AL1397:AL1425,B1397:B1425,B1402-48))</f>
        <v/>
      </c>
      <c r="AN1402" s="40">
        <f>AN1401*(1-IF(B1401&gt;=in_marketplace_from,d_hz_accident*G1401,0))</f>
        <v/>
      </c>
      <c r="AO1402" s="46">
        <f>AN1402*IF(B1402&gt;=in_marketplace_from,d_hz_accident*G1402,0)</f>
        <v/>
      </c>
      <c r="AP1402" s="14">
        <f>F1402*AO1402*in_accident_ticket*in_accident_comm*in_ins_partner_share+F1402*in_accident_ticket*in_accident_renew_comm*in_ins_partner_share*(in_accident_renew^1*SUMIFS(AO1397:AO1425,B1397:B1425,B1402-12)+in_accident_renew^2*SUMIFS(AO1397:AO1425,B1397:B1425,B1402-24)+in_accident_renew^3*SUMIFS(AO1397:AO1425,B1397:B1425,B1402-36)+in_accident_renew^4*SUMIFS(AO1397:AO1425,B1397:B1425,B1402-48))</f>
        <v/>
      </c>
      <c r="AQ1402" s="40">
        <f>AQ1401*(1-IF(B1401&gt;=in_marketplace_from,d_hz_two_wheeler*G1401,0))</f>
        <v/>
      </c>
      <c r="AR1402" s="46">
        <f>AQ1402*IF(B1402&gt;=in_marketplace_from,d_hz_two_wheeler*G1402,0)</f>
        <v/>
      </c>
      <c r="AS1402" s="14">
        <f>F1402*AR1402*in_two_wheeler_ticket*in_two_wheeler_comm*in_ins_partner_share+F1402*in_two_wheeler_ticket*in_two_wheeler_comm*in_ins_partner_share*(in_two_wheeler_renew^1*SUMIFS(AR1397:AR1425,B1397:B1425,B1402-12)+in_two_wheeler_renew^2*SUMIFS(AR1397:AR1425,B1397:B1425,B1402-24)+in_two_wheeler_renew^3*SUMIFS(AR1397:AR1425,B1397:B1425,B1402-36)+in_two_wheeler_renew^4*SUMIFS(AR1397:AR1425,B1397:B1425,B1402-48))</f>
        <v/>
      </c>
      <c r="AT1402" s="40">
        <f>AT1401*(1-IF(B1401&gt;=in_marketplace_from,d_hz_device*G1401,0))</f>
        <v/>
      </c>
      <c r="AU1402" s="14">
        <f>F1402*AT1402*IF(B1402&gt;=in_marketplace_from,d_hz_device*G1402,0)*in_device_ticket*in_device_comm*in_ins_partner_share</f>
        <v/>
      </c>
      <c r="AV1402" s="40">
        <f>AV1401*(1-IF(B1401&gt;=in_marketplace_from,d_hz_shop*G1401,0))</f>
        <v/>
      </c>
      <c r="AW1402" s="46">
        <f>AV1402*IF(B1402&gt;=in_marketplace_from,d_hz_shop*G1402,0)</f>
        <v/>
      </c>
      <c r="AX1402" s="14">
        <f>F1402*AW1402*in_shop_ticket*in_shop_comm*in_ins_partner_share+F1402*in_shop_ticket*in_shop_renew_comm*in_ins_partner_share*(in_shop_renew^1*SUMIFS(AW1397:AW1425,B1397:B1425,B1402-12)+in_shop_renew^2*SUMIFS(AW1397:AW1425,B1397:B1425,B1402-24)+in_shop_renew^3*SUMIFS(AW1397:AW1425,B1397:B1425,B1402-36)+in_shop_renew^4*SUMIFS(AW1397:AW1425,B1397:B1425,B1402-48))</f>
        <v/>
      </c>
      <c r="AY1402" s="40">
        <f>AY1401*(1-IF(B1401&gt;=in_marketplace_from,d_hz_sip*G1401,0))</f>
        <v/>
      </c>
      <c r="AZ1402" s="40">
        <f>AZ1401*d_rho_sip+AY1402*IF(B1402&gt;=in_marketplace_from,d_hz_sip*G1402,0)</f>
        <v/>
      </c>
      <c r="BA1402" s="40">
        <f>d_rho_sip*(BA1401+AZ1401)</f>
        <v/>
      </c>
      <c r="BB1402" s="14">
        <f>F1402*in_sip_ticket*(BA1402+0.5*AZ1402)*in_sip_comm/12</f>
        <v/>
      </c>
      <c r="BC1402" s="40">
        <f>BC1401*(1-IF(B1401&gt;=in_marketplace_from,d_hz_choti*G1401,0))</f>
        <v/>
      </c>
      <c r="BD1402" s="46">
        <f>BC1402*IF(B1402&gt;=in_marketplace_from,d_hz_choti*G1402,0)</f>
        <v/>
      </c>
      <c r="BE1402" s="14">
        <f>F1402*SUMIFS(BD1397:BD1425,B1397:B1425,B1402-in_choti_months)*in_choti_renew*in_choti_ticket</f>
        <v/>
      </c>
      <c r="BF1402" s="40">
        <f>BF1401*(1-IF(B1401&gt;=in_marketplace_from,d_hz_nps*G1401,0))</f>
        <v/>
      </c>
      <c r="BG1402" s="14">
        <f>F1402*BF1402*IF(B1402&gt;=in_marketplace_from,d_hz_nps*G1402,0)*in_nps_ticket*in_nps_comm</f>
        <v/>
      </c>
      <c r="BH1402" s="40">
        <f>BH1401*(1-IF(B1401&gt;=in_marketplace_from,d_hz_gold*G1401,0))</f>
        <v/>
      </c>
      <c r="BI1402" s="40">
        <f>BI1401*d_rho_gold+BH1402*IF(B1402&gt;=in_marketplace_from,d_hz_gold*G1402,0)</f>
        <v/>
      </c>
      <c r="BJ1402" s="14">
        <f>F1402*BI1402*in_gold_ticket*in_gold_comm</f>
        <v/>
      </c>
      <c r="BK1402" s="40">
        <f>BK1401*(1-IF(B1401&gt;=in_marketplace_from,d_hz_fd*G1401,0))</f>
        <v/>
      </c>
      <c r="BL1402" s="14">
        <f>F1402*BK1402*IF(B1402&gt;=in_marketplace_from,d_hz_fd*G1402,0)*in_fd_ticket*in_fd_comm</f>
        <v/>
      </c>
      <c r="BM1402" s="40">
        <f>BM1401*(1-IF(B1401&gt;=in_marketplace_from,d_hz_recharge*G1401,0))</f>
        <v/>
      </c>
      <c r="BN1402" s="40">
        <f>BN1401*d_rho_recharge+BM1402*IF(B1402&gt;=in_marketplace_from,d_hz_recharge*G1402,0)</f>
        <v/>
      </c>
      <c r="BO1402" s="14">
        <f>F1402*BN1402*in_recharge_ticket*in_recharge_comm/12</f>
        <v/>
      </c>
      <c r="BP1402" s="40">
        <f>BP1401*(1-IF(B1401&gt;=in_marketplace_from,d_hz_bills*G1401,0))</f>
        <v/>
      </c>
      <c r="BQ1402" s="40">
        <f>BQ1401*d_rho_bills+BP1402*IF(B1402&gt;=in_marketplace_from,d_hz_bills*G1402,0)</f>
        <v/>
      </c>
      <c r="BR1402" s="14">
        <f>F1402*BQ1402*in_bills_ticket*in_bills_comm/12</f>
        <v/>
      </c>
      <c r="BS1402" s="40">
        <f>BS1401*(1-IF(B1401&gt;=in_marketplace_from,d_hz_loan_gold*G1401,0))</f>
        <v/>
      </c>
      <c r="BT1402" s="14">
        <f>F1402*BS1402*IF(B1402&gt;=in_marketplace_from,d_hz_loan_gold*G1402,0)*in_loan_gold_ticket*in_loan_gold_comm</f>
        <v/>
      </c>
      <c r="BU1402" s="40">
        <f>BU1401*(1-IF(B1401&gt;=in_marketplace_from,d_hz_loan_cd*G1401,0))</f>
        <v/>
      </c>
      <c r="BV1402" s="14">
        <f>F1402*BU1402*IF(B1402&gt;=in_marketplace_from,d_hz_loan_cd*G1402,0)*in_loan_cd_ticket*in_loan_cd_comm</f>
        <v/>
      </c>
      <c r="BW1402" s="40">
        <f>BW1401*(1-IF(B1401&gt;=in_marketplace_from,d_hz_loan_vehicle*G1401,0))</f>
        <v/>
      </c>
      <c r="BX1402" s="14">
        <f>F1402*BW1402*IF(B1402&gt;=in_marketplace_from,d_hz_loan_vehicle*G1402,0)*in_loan_vehicle_ticket*in_loan_vehicle_comm</f>
        <v/>
      </c>
      <c r="BY1402" s="40">
        <f>BY1401*(1-IF(B1401&gt;=in_marketplace_from,d_hz_loan_home*G1401,0)*BZ1401)</f>
        <v/>
      </c>
      <c r="BZ1402" s="11">
        <f>MIN(in_approval_cap,in_loan_home_approval*INDEX('Age profile'!$O$2:$O$61,B1402)*(1+in_approval_growth)^(D1402-1))</f>
        <v/>
      </c>
      <c r="CA1402" s="14">
        <f>F1402*BY1402*IF(B1402&gt;=in_marketplace_from,d_hz_loan_home*G1402,0)*BZ1402*in_loan_home_ticket*in_loan_home_comm</f>
        <v/>
      </c>
      <c r="CB1402" s="40">
        <f>CB1401*(1-IF(B1401&gt;=in_marketplace_from,d_hz_loan_lap*G1401,0)*CC1401)</f>
        <v/>
      </c>
      <c r="CC1402" s="11">
        <f>MIN(in_approval_cap,in_loan_lap_approval*INDEX('Age profile'!$O$2:$O$61,B1402)*(1+in_approval_growth)^(D1402-1))</f>
        <v/>
      </c>
      <c r="CD1402" s="14">
        <f>F1402*CB1402*IF(B1402&gt;=in_marketplace_from,d_hz_loan_lap*G1402,0)*CC1402*in_loan_lap_ticket*in_loan_lap_comm</f>
        <v/>
      </c>
      <c r="CE1402" s="14">
        <f>AA1402+AB1402+AC1402+AD1402+AG1402+AJ1402+AM1402+AP1402+AS1402+AU1402+AX1402+BB1402+BE1402+BG1402+BJ1402+BL1402+BO1402+BR1402+BT1402+BV1402+BX1402+CA1402+CD1402</f>
        <v/>
      </c>
    </row>
    <row r="1403">
      <c r="A1403" s="39" t="n">
        <v>32</v>
      </c>
      <c r="B1403" s="39" t="n">
        <v>7</v>
      </c>
      <c r="C1403" s="39">
        <f>A1403+B1403-1</f>
        <v/>
      </c>
      <c r="D1403" s="39">
        <f>INT((C1403-1)/12)+1</f>
        <v/>
      </c>
      <c r="E1403" s="44">
        <f>INDEX(Monthly!$B$2:$B$61,A1403)</f>
        <v/>
      </c>
      <c r="F1403" s="44">
        <f>E1403*INDEX('Age profile'!$B$2:$B$61,B1403)</f>
        <v/>
      </c>
      <c r="G1403" s="45">
        <f>MIN(in_takeup_cap,INDEX('Age profile'!$N$2:$N$61,B1403)*(1+in_takeup_growth)^(D1403-1))</f>
        <v/>
      </c>
      <c r="H1403" s="11">
        <f>MIN(in_approval_cap,in_approved_first*INDEX('Age profile'!$O$2:$O$61,B1403)*(1+in_approval_growth)^(D1403-1))</f>
        <v/>
      </c>
      <c r="I1403" s="45">
        <f>G1403*MIN(in_takeup_cap,INDEX('Age profile'!$O$2:$O$61,B1403)*(1+in_approval_growth)^(D1403-1))</f>
        <v/>
      </c>
      <c r="J1403" s="40">
        <f>(J1402-L1402)*F1403/F1402</f>
        <v/>
      </c>
      <c r="K1403" s="40">
        <f>(K1402-M1402)*F1403/F1402+SUMIFS(O1397:O1402,B1397:B1402,B1403-1-d_T)*F1403</f>
        <v/>
      </c>
      <c r="L1403" s="40">
        <f>IF(B1403&gt;=in_marketplace_from,J1403*d_hz*G1403*in_eligible*H1403,0)</f>
        <v/>
      </c>
      <c r="M1403" s="40">
        <f>IF(B1403&gt;=in_marketplace_from,K1403*d_hz*G1403*in_eligible*in_approved_repeat,0)</f>
        <v/>
      </c>
      <c r="N1403" s="40">
        <f>L1403+M1403</f>
        <v/>
      </c>
      <c r="O1403" s="46">
        <f>N1403/F1403</f>
        <v/>
      </c>
      <c r="P1403" s="40">
        <f>F1403-J1403-K1403</f>
        <v/>
      </c>
      <c r="Q1403" s="40">
        <f>IF(B1403&gt;=in_marketplace_from,(J1403+K1403)*d_hz*G1403,0)</f>
        <v/>
      </c>
      <c r="R1403" s="40">
        <f>SUMIFS(N1397:N1425,B1397:B1425,"&gt;="&amp;(B1403-d_T),B1397:B1425,"&lt;="&amp;(B1403-1))</f>
        <v/>
      </c>
      <c r="S1403" s="46">
        <f>(1-d_u)*S1402+IF(d_T&gt;in_topup_lag,SUMIFS(O1397:O1425,B1397:B1425,B1403-in_topup_lag)-d_udrop*SUMIFS(O1397:O1425,B1397:B1425,B1403-d_T),0)</f>
        <v/>
      </c>
      <c r="T1403" s="40">
        <f>F1403*d_u*S1403</f>
        <v/>
      </c>
      <c r="U1403" s="9">
        <f>L1403*in_ticket+M1403*d_rep_ticket</f>
        <v/>
      </c>
      <c r="V1403" s="9">
        <f>U1403+T1403*d_topup_amt</f>
        <v/>
      </c>
      <c r="W1403" s="40">
        <f>N1403+T1403*d_topup_ratio</f>
        <v/>
      </c>
      <c r="X1403" s="40">
        <f>SUMIFS(W1397:W1425,B1397:B1425,B1403-in_dpd_lag)*d_cured</f>
        <v/>
      </c>
      <c r="Y1403" s="40">
        <f>SUMIFS(W1397:W1425,B1397:B1425,B1403-in_rec_lag)*d_recd</f>
        <v/>
      </c>
      <c r="Z1403" s="40">
        <f>IF(AND(B1403&gt;=in_marketplace_from,B1403&lt;in_marketplace_from+in_card_months),in_card_share/in_card_months*F1403*I1403,IF(AND(B1403&gt;=in_marketplace_from+in_card_months,B1403&lt;in_marketplace_from+2*in_card_months),in_card_share*d_card_rem/in_card_months*F1403*MIN(in_takeup_cap,(1+in_takeup_growth)^(D1403-1))*MIN(in_takeup_cap,(1+in_approval_growth)^(D1403-1)),0))</f>
        <v/>
      </c>
      <c r="AA1403" s="14">
        <f>V1403*in_fee*(1-in_taken_back)</f>
        <v/>
      </c>
      <c r="AB1403" s="14">
        <f>SUMIFS(W1397:W1425,B1397:B1425,B1403-in_dpd_lag)*d_dpd</f>
        <v/>
      </c>
      <c r="AC1403" s="14">
        <f>SUMIFS(W1397:W1425,B1397:B1425,B1403-in_rec_lag)*d_rec</f>
        <v/>
      </c>
      <c r="AD1403" s="14">
        <f>Z1403*in_card_fee</f>
        <v/>
      </c>
      <c r="AE1403" s="40">
        <f>AE1402*(1-IF(B1402&gt;=in_marketplace_from,d_hz_hlth_small*G1402,0))</f>
        <v/>
      </c>
      <c r="AF1403" s="46">
        <f>AE1403*IF(B1403&gt;=in_marketplace_from,d_hz_hlth_small*G1403,0)</f>
        <v/>
      </c>
      <c r="AG1403" s="14">
        <f>F1403*AF1403*in_hlth_small_ticket*in_hlth_small_comm*in_ins_partner_share+F1403*in_hlth_small_ticket*in_hlth_small_renew_comm*in_ins_partner_share*(in_hlth_small_renew^1*SUMIFS(AF1397:AF1425,B1397:B1425,B1403-12)+in_hlth_small_renew^2*SUMIFS(AF1397:AF1425,B1397:B1425,B1403-24)+in_hlth_small_renew^3*SUMIFS(AF1397:AF1425,B1397:B1425,B1403-36)+in_hlth_small_renew^4*SUMIFS(AF1397:AF1425,B1397:B1425,B1403-48))</f>
        <v/>
      </c>
      <c r="AH1403" s="40">
        <f>AH1402*(1-IF(B1402&gt;=in_marketplace_from,d_hz_hlth_family*G1402,0))</f>
        <v/>
      </c>
      <c r="AI1403" s="46">
        <f>AH1403*IF(B1403&gt;=in_marketplace_from,d_hz_hlth_family*G1403,0)</f>
        <v/>
      </c>
      <c r="AJ1403" s="14">
        <f>F1403*AI1403*in_hlth_family_ticket*in_hlth_family_comm*in_ins_partner_share+F1403*in_hlth_family_ticket*in_hlth_family_renew_comm*in_ins_partner_share*(in_hlth_family_renew^1*SUMIFS(AI1397:AI1425,B1397:B1425,B1403-12)+in_hlth_family_renew^2*SUMIFS(AI1397:AI1425,B1397:B1425,B1403-24)+in_hlth_family_renew^3*SUMIFS(AI1397:AI1425,B1397:B1425,B1403-36)+in_hlth_family_renew^4*SUMIFS(AI1397:AI1425,B1397:B1425,B1403-48))</f>
        <v/>
      </c>
      <c r="AK1403" s="40">
        <f>AK1402*(1-IF(B1402&gt;=in_marketplace_from,d_hz_life_term*G1402,0))</f>
        <v/>
      </c>
      <c r="AL1403" s="46">
        <f>AK1403*IF(B1403&gt;=in_marketplace_from,d_hz_life_term*G1403,0)</f>
        <v/>
      </c>
      <c r="AM1403" s="14">
        <f>F1403*AL1403*in_life_term_ticket*in_life_term_comm*in_ins_partner_share+F1403*in_life_term_ticket*in_life_term_renew_comm*in_ins_partner_share*(in_life_term_renew^1*SUMIFS(AL1397:AL1425,B1397:B1425,B1403-12)+in_life_term_renew^2*SUMIFS(AL1397:AL1425,B1397:B1425,B1403-24)+in_life_term_renew^3*SUMIFS(AL1397:AL1425,B1397:B1425,B1403-36)+in_life_term_renew^4*SUMIFS(AL1397:AL1425,B1397:B1425,B1403-48))</f>
        <v/>
      </c>
      <c r="AN1403" s="40">
        <f>AN1402*(1-IF(B1402&gt;=in_marketplace_from,d_hz_accident*G1402,0))</f>
        <v/>
      </c>
      <c r="AO1403" s="46">
        <f>AN1403*IF(B1403&gt;=in_marketplace_from,d_hz_accident*G1403,0)</f>
        <v/>
      </c>
      <c r="AP1403" s="14">
        <f>F1403*AO1403*in_accident_ticket*in_accident_comm*in_ins_partner_share+F1403*in_accident_ticket*in_accident_renew_comm*in_ins_partner_share*(in_accident_renew^1*SUMIFS(AO1397:AO1425,B1397:B1425,B1403-12)+in_accident_renew^2*SUMIFS(AO1397:AO1425,B1397:B1425,B1403-24)+in_accident_renew^3*SUMIFS(AO1397:AO1425,B1397:B1425,B1403-36)+in_accident_renew^4*SUMIFS(AO1397:AO1425,B1397:B1425,B1403-48))</f>
        <v/>
      </c>
      <c r="AQ1403" s="40">
        <f>AQ1402*(1-IF(B1402&gt;=in_marketplace_from,d_hz_two_wheeler*G1402,0))</f>
        <v/>
      </c>
      <c r="AR1403" s="46">
        <f>AQ1403*IF(B1403&gt;=in_marketplace_from,d_hz_two_wheeler*G1403,0)</f>
        <v/>
      </c>
      <c r="AS1403" s="14">
        <f>F1403*AR1403*in_two_wheeler_ticket*in_two_wheeler_comm*in_ins_partner_share+F1403*in_two_wheeler_ticket*in_two_wheeler_comm*in_ins_partner_share*(in_two_wheeler_renew^1*SUMIFS(AR1397:AR1425,B1397:B1425,B1403-12)+in_two_wheeler_renew^2*SUMIFS(AR1397:AR1425,B1397:B1425,B1403-24)+in_two_wheeler_renew^3*SUMIFS(AR1397:AR1425,B1397:B1425,B1403-36)+in_two_wheeler_renew^4*SUMIFS(AR1397:AR1425,B1397:B1425,B1403-48))</f>
        <v/>
      </c>
      <c r="AT1403" s="40">
        <f>AT1402*(1-IF(B1402&gt;=in_marketplace_from,d_hz_device*G1402,0))</f>
        <v/>
      </c>
      <c r="AU1403" s="14">
        <f>F1403*AT1403*IF(B1403&gt;=in_marketplace_from,d_hz_device*G1403,0)*in_device_ticket*in_device_comm*in_ins_partner_share</f>
        <v/>
      </c>
      <c r="AV1403" s="40">
        <f>AV1402*(1-IF(B1402&gt;=in_marketplace_from,d_hz_shop*G1402,0))</f>
        <v/>
      </c>
      <c r="AW1403" s="46">
        <f>AV1403*IF(B1403&gt;=in_marketplace_from,d_hz_shop*G1403,0)</f>
        <v/>
      </c>
      <c r="AX1403" s="14">
        <f>F1403*AW1403*in_shop_ticket*in_shop_comm*in_ins_partner_share+F1403*in_shop_ticket*in_shop_renew_comm*in_ins_partner_share*(in_shop_renew^1*SUMIFS(AW1397:AW1425,B1397:B1425,B1403-12)+in_shop_renew^2*SUMIFS(AW1397:AW1425,B1397:B1425,B1403-24)+in_shop_renew^3*SUMIFS(AW1397:AW1425,B1397:B1425,B1403-36)+in_shop_renew^4*SUMIFS(AW1397:AW1425,B1397:B1425,B1403-48))</f>
        <v/>
      </c>
      <c r="AY1403" s="40">
        <f>AY1402*(1-IF(B1402&gt;=in_marketplace_from,d_hz_sip*G1402,0))</f>
        <v/>
      </c>
      <c r="AZ1403" s="40">
        <f>AZ1402*d_rho_sip+AY1403*IF(B1403&gt;=in_marketplace_from,d_hz_sip*G1403,0)</f>
        <v/>
      </c>
      <c r="BA1403" s="40">
        <f>d_rho_sip*(BA1402+AZ1402)</f>
        <v/>
      </c>
      <c r="BB1403" s="14">
        <f>F1403*in_sip_ticket*(BA1403+0.5*AZ1403)*in_sip_comm/12</f>
        <v/>
      </c>
      <c r="BC1403" s="40">
        <f>BC1402*(1-IF(B1402&gt;=in_marketplace_from,d_hz_choti*G1402,0))</f>
        <v/>
      </c>
      <c r="BD1403" s="46">
        <f>BC1403*IF(B1403&gt;=in_marketplace_from,d_hz_choti*G1403,0)</f>
        <v/>
      </c>
      <c r="BE1403" s="14">
        <f>F1403*SUMIFS(BD1397:BD1425,B1397:B1425,B1403-in_choti_months)*in_choti_renew*in_choti_ticket</f>
        <v/>
      </c>
      <c r="BF1403" s="40">
        <f>BF1402*(1-IF(B1402&gt;=in_marketplace_from,d_hz_nps*G1402,0))</f>
        <v/>
      </c>
      <c r="BG1403" s="14">
        <f>F1403*BF1403*IF(B1403&gt;=in_marketplace_from,d_hz_nps*G1403,0)*in_nps_ticket*in_nps_comm</f>
        <v/>
      </c>
      <c r="BH1403" s="40">
        <f>BH1402*(1-IF(B1402&gt;=in_marketplace_from,d_hz_gold*G1402,0))</f>
        <v/>
      </c>
      <c r="BI1403" s="40">
        <f>BI1402*d_rho_gold+BH1403*IF(B1403&gt;=in_marketplace_from,d_hz_gold*G1403,0)</f>
        <v/>
      </c>
      <c r="BJ1403" s="14">
        <f>F1403*BI1403*in_gold_ticket*in_gold_comm</f>
        <v/>
      </c>
      <c r="BK1403" s="40">
        <f>BK1402*(1-IF(B1402&gt;=in_marketplace_from,d_hz_fd*G1402,0))</f>
        <v/>
      </c>
      <c r="BL1403" s="14">
        <f>F1403*BK1403*IF(B1403&gt;=in_marketplace_from,d_hz_fd*G1403,0)*in_fd_ticket*in_fd_comm</f>
        <v/>
      </c>
      <c r="BM1403" s="40">
        <f>BM1402*(1-IF(B1402&gt;=in_marketplace_from,d_hz_recharge*G1402,0))</f>
        <v/>
      </c>
      <c r="BN1403" s="40">
        <f>BN1402*d_rho_recharge+BM1403*IF(B1403&gt;=in_marketplace_from,d_hz_recharge*G1403,0)</f>
        <v/>
      </c>
      <c r="BO1403" s="14">
        <f>F1403*BN1403*in_recharge_ticket*in_recharge_comm/12</f>
        <v/>
      </c>
      <c r="BP1403" s="40">
        <f>BP1402*(1-IF(B1402&gt;=in_marketplace_from,d_hz_bills*G1402,0))</f>
        <v/>
      </c>
      <c r="BQ1403" s="40">
        <f>BQ1402*d_rho_bills+BP1403*IF(B1403&gt;=in_marketplace_from,d_hz_bills*G1403,0)</f>
        <v/>
      </c>
      <c r="BR1403" s="14">
        <f>F1403*BQ1403*in_bills_ticket*in_bills_comm/12</f>
        <v/>
      </c>
      <c r="BS1403" s="40">
        <f>BS1402*(1-IF(B1402&gt;=in_marketplace_from,d_hz_loan_gold*G1402,0))</f>
        <v/>
      </c>
      <c r="BT1403" s="14">
        <f>F1403*BS1403*IF(B1403&gt;=in_marketplace_from,d_hz_loan_gold*G1403,0)*in_loan_gold_ticket*in_loan_gold_comm</f>
        <v/>
      </c>
      <c r="BU1403" s="40">
        <f>BU1402*(1-IF(B1402&gt;=in_marketplace_from,d_hz_loan_cd*G1402,0))</f>
        <v/>
      </c>
      <c r="BV1403" s="14">
        <f>F1403*BU1403*IF(B1403&gt;=in_marketplace_from,d_hz_loan_cd*G1403,0)*in_loan_cd_ticket*in_loan_cd_comm</f>
        <v/>
      </c>
      <c r="BW1403" s="40">
        <f>BW1402*(1-IF(B1402&gt;=in_marketplace_from,d_hz_loan_vehicle*G1402,0))</f>
        <v/>
      </c>
      <c r="BX1403" s="14">
        <f>F1403*BW1403*IF(B1403&gt;=in_marketplace_from,d_hz_loan_vehicle*G1403,0)*in_loan_vehicle_ticket*in_loan_vehicle_comm</f>
        <v/>
      </c>
      <c r="BY1403" s="40">
        <f>BY1402*(1-IF(B1402&gt;=in_marketplace_from,d_hz_loan_home*G1402,0)*BZ1402)</f>
        <v/>
      </c>
      <c r="BZ1403" s="11">
        <f>MIN(in_approval_cap,in_loan_home_approval*INDEX('Age profile'!$O$2:$O$61,B1403)*(1+in_approval_growth)^(D1403-1))</f>
        <v/>
      </c>
      <c r="CA1403" s="14">
        <f>F1403*BY1403*IF(B1403&gt;=in_marketplace_from,d_hz_loan_home*G1403,0)*BZ1403*in_loan_home_ticket*in_loan_home_comm</f>
        <v/>
      </c>
      <c r="CB1403" s="40">
        <f>CB1402*(1-IF(B1402&gt;=in_marketplace_from,d_hz_loan_lap*G1402,0)*CC1402)</f>
        <v/>
      </c>
      <c r="CC1403" s="11">
        <f>MIN(in_approval_cap,in_loan_lap_approval*INDEX('Age profile'!$O$2:$O$61,B1403)*(1+in_approval_growth)^(D1403-1))</f>
        <v/>
      </c>
      <c r="CD1403" s="14">
        <f>F1403*CB1403*IF(B1403&gt;=in_marketplace_from,d_hz_loan_lap*G1403,0)*CC1403*in_loan_lap_ticket*in_loan_lap_comm</f>
        <v/>
      </c>
      <c r="CE1403" s="14">
        <f>AA1403+AB1403+AC1403+AD1403+AG1403+AJ1403+AM1403+AP1403+AS1403+AU1403+AX1403+BB1403+BE1403+BG1403+BJ1403+BL1403+BO1403+BR1403+BT1403+BV1403+BX1403+CA1403+CD1403</f>
        <v/>
      </c>
    </row>
    <row r="1404">
      <c r="A1404" s="39" t="n">
        <v>32</v>
      </c>
      <c r="B1404" s="39" t="n">
        <v>8</v>
      </c>
      <c r="C1404" s="39">
        <f>A1404+B1404-1</f>
        <v/>
      </c>
      <c r="D1404" s="39">
        <f>INT((C1404-1)/12)+1</f>
        <v/>
      </c>
      <c r="E1404" s="44">
        <f>INDEX(Monthly!$B$2:$B$61,A1404)</f>
        <v/>
      </c>
      <c r="F1404" s="44">
        <f>E1404*INDEX('Age profile'!$B$2:$B$61,B1404)</f>
        <v/>
      </c>
      <c r="G1404" s="45">
        <f>MIN(in_takeup_cap,INDEX('Age profile'!$N$2:$N$61,B1404)*(1+in_takeup_growth)^(D1404-1))</f>
        <v/>
      </c>
      <c r="H1404" s="11">
        <f>MIN(in_approval_cap,in_approved_first*INDEX('Age profile'!$O$2:$O$61,B1404)*(1+in_approval_growth)^(D1404-1))</f>
        <v/>
      </c>
      <c r="I1404" s="45">
        <f>G1404*MIN(in_takeup_cap,INDEX('Age profile'!$O$2:$O$61,B1404)*(1+in_approval_growth)^(D1404-1))</f>
        <v/>
      </c>
      <c r="J1404" s="40">
        <f>(J1403-L1403)*F1404/F1403</f>
        <v/>
      </c>
      <c r="K1404" s="40">
        <f>(K1403-M1403)*F1404/F1403+SUMIFS(O1397:O1403,B1397:B1403,B1404-1-d_T)*F1404</f>
        <v/>
      </c>
      <c r="L1404" s="40">
        <f>IF(B1404&gt;=in_marketplace_from,J1404*d_hz*G1404*in_eligible*H1404,0)</f>
        <v/>
      </c>
      <c r="M1404" s="40">
        <f>IF(B1404&gt;=in_marketplace_from,K1404*d_hz*G1404*in_eligible*in_approved_repeat,0)</f>
        <v/>
      </c>
      <c r="N1404" s="40">
        <f>L1404+M1404</f>
        <v/>
      </c>
      <c r="O1404" s="46">
        <f>N1404/F1404</f>
        <v/>
      </c>
      <c r="P1404" s="40">
        <f>F1404-J1404-K1404</f>
        <v/>
      </c>
      <c r="Q1404" s="40">
        <f>IF(B1404&gt;=in_marketplace_from,(J1404+K1404)*d_hz*G1404,0)</f>
        <v/>
      </c>
      <c r="R1404" s="40">
        <f>SUMIFS(N1397:N1425,B1397:B1425,"&gt;="&amp;(B1404-d_T),B1397:B1425,"&lt;="&amp;(B1404-1))</f>
        <v/>
      </c>
      <c r="S1404" s="46">
        <f>(1-d_u)*S1403+IF(d_T&gt;in_topup_lag,SUMIFS(O1397:O1425,B1397:B1425,B1404-in_topup_lag)-d_udrop*SUMIFS(O1397:O1425,B1397:B1425,B1404-d_T),0)</f>
        <v/>
      </c>
      <c r="T1404" s="40">
        <f>F1404*d_u*S1404</f>
        <v/>
      </c>
      <c r="U1404" s="9">
        <f>L1404*in_ticket+M1404*d_rep_ticket</f>
        <v/>
      </c>
      <c r="V1404" s="9">
        <f>U1404+T1404*d_topup_amt</f>
        <v/>
      </c>
      <c r="W1404" s="40">
        <f>N1404+T1404*d_topup_ratio</f>
        <v/>
      </c>
      <c r="X1404" s="40">
        <f>SUMIFS(W1397:W1425,B1397:B1425,B1404-in_dpd_lag)*d_cured</f>
        <v/>
      </c>
      <c r="Y1404" s="40">
        <f>SUMIFS(W1397:W1425,B1397:B1425,B1404-in_rec_lag)*d_recd</f>
        <v/>
      </c>
      <c r="Z1404" s="40">
        <f>IF(AND(B1404&gt;=in_marketplace_from,B1404&lt;in_marketplace_from+in_card_months),in_card_share/in_card_months*F1404*I1404,IF(AND(B1404&gt;=in_marketplace_from+in_card_months,B1404&lt;in_marketplace_from+2*in_card_months),in_card_share*d_card_rem/in_card_months*F1404*MIN(in_takeup_cap,(1+in_takeup_growth)^(D1404-1))*MIN(in_takeup_cap,(1+in_approval_growth)^(D1404-1)),0))</f>
        <v/>
      </c>
      <c r="AA1404" s="14">
        <f>V1404*in_fee*(1-in_taken_back)</f>
        <v/>
      </c>
      <c r="AB1404" s="14">
        <f>SUMIFS(W1397:W1425,B1397:B1425,B1404-in_dpd_lag)*d_dpd</f>
        <v/>
      </c>
      <c r="AC1404" s="14">
        <f>SUMIFS(W1397:W1425,B1397:B1425,B1404-in_rec_lag)*d_rec</f>
        <v/>
      </c>
      <c r="AD1404" s="14">
        <f>Z1404*in_card_fee</f>
        <v/>
      </c>
      <c r="AE1404" s="40">
        <f>AE1403*(1-IF(B1403&gt;=in_marketplace_from,d_hz_hlth_small*G1403,0))</f>
        <v/>
      </c>
      <c r="AF1404" s="46">
        <f>AE1404*IF(B1404&gt;=in_marketplace_from,d_hz_hlth_small*G1404,0)</f>
        <v/>
      </c>
      <c r="AG1404" s="14">
        <f>F1404*AF1404*in_hlth_small_ticket*in_hlth_small_comm*in_ins_partner_share+F1404*in_hlth_small_ticket*in_hlth_small_renew_comm*in_ins_partner_share*(in_hlth_small_renew^1*SUMIFS(AF1397:AF1425,B1397:B1425,B1404-12)+in_hlth_small_renew^2*SUMIFS(AF1397:AF1425,B1397:B1425,B1404-24)+in_hlth_small_renew^3*SUMIFS(AF1397:AF1425,B1397:B1425,B1404-36)+in_hlth_small_renew^4*SUMIFS(AF1397:AF1425,B1397:B1425,B1404-48))</f>
        <v/>
      </c>
      <c r="AH1404" s="40">
        <f>AH1403*(1-IF(B1403&gt;=in_marketplace_from,d_hz_hlth_family*G1403,0))</f>
        <v/>
      </c>
      <c r="AI1404" s="46">
        <f>AH1404*IF(B1404&gt;=in_marketplace_from,d_hz_hlth_family*G1404,0)</f>
        <v/>
      </c>
      <c r="AJ1404" s="14">
        <f>F1404*AI1404*in_hlth_family_ticket*in_hlth_family_comm*in_ins_partner_share+F1404*in_hlth_family_ticket*in_hlth_family_renew_comm*in_ins_partner_share*(in_hlth_family_renew^1*SUMIFS(AI1397:AI1425,B1397:B1425,B1404-12)+in_hlth_family_renew^2*SUMIFS(AI1397:AI1425,B1397:B1425,B1404-24)+in_hlth_family_renew^3*SUMIFS(AI1397:AI1425,B1397:B1425,B1404-36)+in_hlth_family_renew^4*SUMIFS(AI1397:AI1425,B1397:B1425,B1404-48))</f>
        <v/>
      </c>
      <c r="AK1404" s="40">
        <f>AK1403*(1-IF(B1403&gt;=in_marketplace_from,d_hz_life_term*G1403,0))</f>
        <v/>
      </c>
      <c r="AL1404" s="46">
        <f>AK1404*IF(B1404&gt;=in_marketplace_from,d_hz_life_term*G1404,0)</f>
        <v/>
      </c>
      <c r="AM1404" s="14">
        <f>F1404*AL1404*in_life_term_ticket*in_life_term_comm*in_ins_partner_share+F1404*in_life_term_ticket*in_life_term_renew_comm*in_ins_partner_share*(in_life_term_renew^1*SUMIFS(AL1397:AL1425,B1397:B1425,B1404-12)+in_life_term_renew^2*SUMIFS(AL1397:AL1425,B1397:B1425,B1404-24)+in_life_term_renew^3*SUMIFS(AL1397:AL1425,B1397:B1425,B1404-36)+in_life_term_renew^4*SUMIFS(AL1397:AL1425,B1397:B1425,B1404-48))</f>
        <v/>
      </c>
      <c r="AN1404" s="40">
        <f>AN1403*(1-IF(B1403&gt;=in_marketplace_from,d_hz_accident*G1403,0))</f>
        <v/>
      </c>
      <c r="AO1404" s="46">
        <f>AN1404*IF(B1404&gt;=in_marketplace_from,d_hz_accident*G1404,0)</f>
        <v/>
      </c>
      <c r="AP1404" s="14">
        <f>F1404*AO1404*in_accident_ticket*in_accident_comm*in_ins_partner_share+F1404*in_accident_ticket*in_accident_renew_comm*in_ins_partner_share*(in_accident_renew^1*SUMIFS(AO1397:AO1425,B1397:B1425,B1404-12)+in_accident_renew^2*SUMIFS(AO1397:AO1425,B1397:B1425,B1404-24)+in_accident_renew^3*SUMIFS(AO1397:AO1425,B1397:B1425,B1404-36)+in_accident_renew^4*SUMIFS(AO1397:AO1425,B1397:B1425,B1404-48))</f>
        <v/>
      </c>
      <c r="AQ1404" s="40">
        <f>AQ1403*(1-IF(B1403&gt;=in_marketplace_from,d_hz_two_wheeler*G1403,0))</f>
        <v/>
      </c>
      <c r="AR1404" s="46">
        <f>AQ1404*IF(B1404&gt;=in_marketplace_from,d_hz_two_wheeler*G1404,0)</f>
        <v/>
      </c>
      <c r="AS1404" s="14">
        <f>F1404*AR1404*in_two_wheeler_ticket*in_two_wheeler_comm*in_ins_partner_share+F1404*in_two_wheeler_ticket*in_two_wheeler_comm*in_ins_partner_share*(in_two_wheeler_renew^1*SUMIFS(AR1397:AR1425,B1397:B1425,B1404-12)+in_two_wheeler_renew^2*SUMIFS(AR1397:AR1425,B1397:B1425,B1404-24)+in_two_wheeler_renew^3*SUMIFS(AR1397:AR1425,B1397:B1425,B1404-36)+in_two_wheeler_renew^4*SUMIFS(AR1397:AR1425,B1397:B1425,B1404-48))</f>
        <v/>
      </c>
      <c r="AT1404" s="40">
        <f>AT1403*(1-IF(B1403&gt;=in_marketplace_from,d_hz_device*G1403,0))</f>
        <v/>
      </c>
      <c r="AU1404" s="14">
        <f>F1404*AT1404*IF(B1404&gt;=in_marketplace_from,d_hz_device*G1404,0)*in_device_ticket*in_device_comm*in_ins_partner_share</f>
        <v/>
      </c>
      <c r="AV1404" s="40">
        <f>AV1403*(1-IF(B1403&gt;=in_marketplace_from,d_hz_shop*G1403,0))</f>
        <v/>
      </c>
      <c r="AW1404" s="46">
        <f>AV1404*IF(B1404&gt;=in_marketplace_from,d_hz_shop*G1404,0)</f>
        <v/>
      </c>
      <c r="AX1404" s="14">
        <f>F1404*AW1404*in_shop_ticket*in_shop_comm*in_ins_partner_share+F1404*in_shop_ticket*in_shop_renew_comm*in_ins_partner_share*(in_shop_renew^1*SUMIFS(AW1397:AW1425,B1397:B1425,B1404-12)+in_shop_renew^2*SUMIFS(AW1397:AW1425,B1397:B1425,B1404-24)+in_shop_renew^3*SUMIFS(AW1397:AW1425,B1397:B1425,B1404-36)+in_shop_renew^4*SUMIFS(AW1397:AW1425,B1397:B1425,B1404-48))</f>
        <v/>
      </c>
      <c r="AY1404" s="40">
        <f>AY1403*(1-IF(B1403&gt;=in_marketplace_from,d_hz_sip*G1403,0))</f>
        <v/>
      </c>
      <c r="AZ1404" s="40">
        <f>AZ1403*d_rho_sip+AY1404*IF(B1404&gt;=in_marketplace_from,d_hz_sip*G1404,0)</f>
        <v/>
      </c>
      <c r="BA1404" s="40">
        <f>d_rho_sip*(BA1403+AZ1403)</f>
        <v/>
      </c>
      <c r="BB1404" s="14">
        <f>F1404*in_sip_ticket*(BA1404+0.5*AZ1404)*in_sip_comm/12</f>
        <v/>
      </c>
      <c r="BC1404" s="40">
        <f>BC1403*(1-IF(B1403&gt;=in_marketplace_from,d_hz_choti*G1403,0))</f>
        <v/>
      </c>
      <c r="BD1404" s="46">
        <f>BC1404*IF(B1404&gt;=in_marketplace_from,d_hz_choti*G1404,0)</f>
        <v/>
      </c>
      <c r="BE1404" s="14">
        <f>F1404*SUMIFS(BD1397:BD1425,B1397:B1425,B1404-in_choti_months)*in_choti_renew*in_choti_ticket</f>
        <v/>
      </c>
      <c r="BF1404" s="40">
        <f>BF1403*(1-IF(B1403&gt;=in_marketplace_from,d_hz_nps*G1403,0))</f>
        <v/>
      </c>
      <c r="BG1404" s="14">
        <f>F1404*BF1404*IF(B1404&gt;=in_marketplace_from,d_hz_nps*G1404,0)*in_nps_ticket*in_nps_comm</f>
        <v/>
      </c>
      <c r="BH1404" s="40">
        <f>BH1403*(1-IF(B1403&gt;=in_marketplace_from,d_hz_gold*G1403,0))</f>
        <v/>
      </c>
      <c r="BI1404" s="40">
        <f>BI1403*d_rho_gold+BH1404*IF(B1404&gt;=in_marketplace_from,d_hz_gold*G1404,0)</f>
        <v/>
      </c>
      <c r="BJ1404" s="14">
        <f>F1404*BI1404*in_gold_ticket*in_gold_comm</f>
        <v/>
      </c>
      <c r="BK1404" s="40">
        <f>BK1403*(1-IF(B1403&gt;=in_marketplace_from,d_hz_fd*G1403,0))</f>
        <v/>
      </c>
      <c r="BL1404" s="14">
        <f>F1404*BK1404*IF(B1404&gt;=in_marketplace_from,d_hz_fd*G1404,0)*in_fd_ticket*in_fd_comm</f>
        <v/>
      </c>
      <c r="BM1404" s="40">
        <f>BM1403*(1-IF(B1403&gt;=in_marketplace_from,d_hz_recharge*G1403,0))</f>
        <v/>
      </c>
      <c r="BN1404" s="40">
        <f>BN1403*d_rho_recharge+BM1404*IF(B1404&gt;=in_marketplace_from,d_hz_recharge*G1404,0)</f>
        <v/>
      </c>
      <c r="BO1404" s="14">
        <f>F1404*BN1404*in_recharge_ticket*in_recharge_comm/12</f>
        <v/>
      </c>
      <c r="BP1404" s="40">
        <f>BP1403*(1-IF(B1403&gt;=in_marketplace_from,d_hz_bills*G1403,0))</f>
        <v/>
      </c>
      <c r="BQ1404" s="40">
        <f>BQ1403*d_rho_bills+BP1404*IF(B1404&gt;=in_marketplace_from,d_hz_bills*G1404,0)</f>
        <v/>
      </c>
      <c r="BR1404" s="14">
        <f>F1404*BQ1404*in_bills_ticket*in_bills_comm/12</f>
        <v/>
      </c>
      <c r="BS1404" s="40">
        <f>BS1403*(1-IF(B1403&gt;=in_marketplace_from,d_hz_loan_gold*G1403,0))</f>
        <v/>
      </c>
      <c r="BT1404" s="14">
        <f>F1404*BS1404*IF(B1404&gt;=in_marketplace_from,d_hz_loan_gold*G1404,0)*in_loan_gold_ticket*in_loan_gold_comm</f>
        <v/>
      </c>
      <c r="BU1404" s="40">
        <f>BU1403*(1-IF(B1403&gt;=in_marketplace_from,d_hz_loan_cd*G1403,0))</f>
        <v/>
      </c>
      <c r="BV1404" s="14">
        <f>F1404*BU1404*IF(B1404&gt;=in_marketplace_from,d_hz_loan_cd*G1404,0)*in_loan_cd_ticket*in_loan_cd_comm</f>
        <v/>
      </c>
      <c r="BW1404" s="40">
        <f>BW1403*(1-IF(B1403&gt;=in_marketplace_from,d_hz_loan_vehicle*G1403,0))</f>
        <v/>
      </c>
      <c r="BX1404" s="14">
        <f>F1404*BW1404*IF(B1404&gt;=in_marketplace_from,d_hz_loan_vehicle*G1404,0)*in_loan_vehicle_ticket*in_loan_vehicle_comm</f>
        <v/>
      </c>
      <c r="BY1404" s="40">
        <f>BY1403*(1-IF(B1403&gt;=in_marketplace_from,d_hz_loan_home*G1403,0)*BZ1403)</f>
        <v/>
      </c>
      <c r="BZ1404" s="11">
        <f>MIN(in_approval_cap,in_loan_home_approval*INDEX('Age profile'!$O$2:$O$61,B1404)*(1+in_approval_growth)^(D1404-1))</f>
        <v/>
      </c>
      <c r="CA1404" s="14">
        <f>F1404*BY1404*IF(B1404&gt;=in_marketplace_from,d_hz_loan_home*G1404,0)*BZ1404*in_loan_home_ticket*in_loan_home_comm</f>
        <v/>
      </c>
      <c r="CB1404" s="40">
        <f>CB1403*(1-IF(B1403&gt;=in_marketplace_from,d_hz_loan_lap*G1403,0)*CC1403)</f>
        <v/>
      </c>
      <c r="CC1404" s="11">
        <f>MIN(in_approval_cap,in_loan_lap_approval*INDEX('Age profile'!$O$2:$O$61,B1404)*(1+in_approval_growth)^(D1404-1))</f>
        <v/>
      </c>
      <c r="CD1404" s="14">
        <f>F1404*CB1404*IF(B1404&gt;=in_marketplace_from,d_hz_loan_lap*G1404,0)*CC1404*in_loan_lap_ticket*in_loan_lap_comm</f>
        <v/>
      </c>
      <c r="CE1404" s="14">
        <f>AA1404+AB1404+AC1404+AD1404+AG1404+AJ1404+AM1404+AP1404+AS1404+AU1404+AX1404+BB1404+BE1404+BG1404+BJ1404+BL1404+BO1404+BR1404+BT1404+BV1404+BX1404+CA1404+CD1404</f>
        <v/>
      </c>
    </row>
    <row r="1405">
      <c r="A1405" s="39" t="n">
        <v>32</v>
      </c>
      <c r="B1405" s="39" t="n">
        <v>9</v>
      </c>
      <c r="C1405" s="39">
        <f>A1405+B1405-1</f>
        <v/>
      </c>
      <c r="D1405" s="39">
        <f>INT((C1405-1)/12)+1</f>
        <v/>
      </c>
      <c r="E1405" s="44">
        <f>INDEX(Monthly!$B$2:$B$61,A1405)</f>
        <v/>
      </c>
      <c r="F1405" s="44">
        <f>E1405*INDEX('Age profile'!$B$2:$B$61,B1405)</f>
        <v/>
      </c>
      <c r="G1405" s="45">
        <f>MIN(in_takeup_cap,INDEX('Age profile'!$N$2:$N$61,B1405)*(1+in_takeup_growth)^(D1405-1))</f>
        <v/>
      </c>
      <c r="H1405" s="11">
        <f>MIN(in_approval_cap,in_approved_first*INDEX('Age profile'!$O$2:$O$61,B1405)*(1+in_approval_growth)^(D1405-1))</f>
        <v/>
      </c>
      <c r="I1405" s="45">
        <f>G1405*MIN(in_takeup_cap,INDEX('Age profile'!$O$2:$O$61,B1405)*(1+in_approval_growth)^(D1405-1))</f>
        <v/>
      </c>
      <c r="J1405" s="40">
        <f>(J1404-L1404)*F1405/F1404</f>
        <v/>
      </c>
      <c r="K1405" s="40">
        <f>(K1404-M1404)*F1405/F1404+SUMIFS(O1397:O1404,B1397:B1404,B1405-1-d_T)*F1405</f>
        <v/>
      </c>
      <c r="L1405" s="40">
        <f>IF(B1405&gt;=in_marketplace_from,J1405*d_hz*G1405*in_eligible*H1405,0)</f>
        <v/>
      </c>
      <c r="M1405" s="40">
        <f>IF(B1405&gt;=in_marketplace_from,K1405*d_hz*G1405*in_eligible*in_approved_repeat,0)</f>
        <v/>
      </c>
      <c r="N1405" s="40">
        <f>L1405+M1405</f>
        <v/>
      </c>
      <c r="O1405" s="46">
        <f>N1405/F1405</f>
        <v/>
      </c>
      <c r="P1405" s="40">
        <f>F1405-J1405-K1405</f>
        <v/>
      </c>
      <c r="Q1405" s="40">
        <f>IF(B1405&gt;=in_marketplace_from,(J1405+K1405)*d_hz*G1405,0)</f>
        <v/>
      </c>
      <c r="R1405" s="40">
        <f>SUMIFS(N1397:N1425,B1397:B1425,"&gt;="&amp;(B1405-d_T),B1397:B1425,"&lt;="&amp;(B1405-1))</f>
        <v/>
      </c>
      <c r="S1405" s="46">
        <f>(1-d_u)*S1404+IF(d_T&gt;in_topup_lag,SUMIFS(O1397:O1425,B1397:B1425,B1405-in_topup_lag)-d_udrop*SUMIFS(O1397:O1425,B1397:B1425,B1405-d_T),0)</f>
        <v/>
      </c>
      <c r="T1405" s="40">
        <f>F1405*d_u*S1405</f>
        <v/>
      </c>
      <c r="U1405" s="9">
        <f>L1405*in_ticket+M1405*d_rep_ticket</f>
        <v/>
      </c>
      <c r="V1405" s="9">
        <f>U1405+T1405*d_topup_amt</f>
        <v/>
      </c>
      <c r="W1405" s="40">
        <f>N1405+T1405*d_topup_ratio</f>
        <v/>
      </c>
      <c r="X1405" s="40">
        <f>SUMIFS(W1397:W1425,B1397:B1425,B1405-in_dpd_lag)*d_cured</f>
        <v/>
      </c>
      <c r="Y1405" s="40">
        <f>SUMIFS(W1397:W1425,B1397:B1425,B1405-in_rec_lag)*d_recd</f>
        <v/>
      </c>
      <c r="Z1405" s="40">
        <f>IF(AND(B1405&gt;=in_marketplace_from,B1405&lt;in_marketplace_from+in_card_months),in_card_share/in_card_months*F1405*I1405,IF(AND(B1405&gt;=in_marketplace_from+in_card_months,B1405&lt;in_marketplace_from+2*in_card_months),in_card_share*d_card_rem/in_card_months*F1405*MIN(in_takeup_cap,(1+in_takeup_growth)^(D1405-1))*MIN(in_takeup_cap,(1+in_approval_growth)^(D1405-1)),0))</f>
        <v/>
      </c>
      <c r="AA1405" s="14">
        <f>V1405*in_fee*(1-in_taken_back)</f>
        <v/>
      </c>
      <c r="AB1405" s="14">
        <f>SUMIFS(W1397:W1425,B1397:B1425,B1405-in_dpd_lag)*d_dpd</f>
        <v/>
      </c>
      <c r="AC1405" s="14">
        <f>SUMIFS(W1397:W1425,B1397:B1425,B1405-in_rec_lag)*d_rec</f>
        <v/>
      </c>
      <c r="AD1405" s="14">
        <f>Z1405*in_card_fee</f>
        <v/>
      </c>
      <c r="AE1405" s="40">
        <f>AE1404*(1-IF(B1404&gt;=in_marketplace_from,d_hz_hlth_small*G1404,0))</f>
        <v/>
      </c>
      <c r="AF1405" s="46">
        <f>AE1405*IF(B1405&gt;=in_marketplace_from,d_hz_hlth_small*G1405,0)</f>
        <v/>
      </c>
      <c r="AG1405" s="14">
        <f>F1405*AF1405*in_hlth_small_ticket*in_hlth_small_comm*in_ins_partner_share+F1405*in_hlth_small_ticket*in_hlth_small_renew_comm*in_ins_partner_share*(in_hlth_small_renew^1*SUMIFS(AF1397:AF1425,B1397:B1425,B1405-12)+in_hlth_small_renew^2*SUMIFS(AF1397:AF1425,B1397:B1425,B1405-24)+in_hlth_small_renew^3*SUMIFS(AF1397:AF1425,B1397:B1425,B1405-36)+in_hlth_small_renew^4*SUMIFS(AF1397:AF1425,B1397:B1425,B1405-48))</f>
        <v/>
      </c>
      <c r="AH1405" s="40">
        <f>AH1404*(1-IF(B1404&gt;=in_marketplace_from,d_hz_hlth_family*G1404,0))</f>
        <v/>
      </c>
      <c r="AI1405" s="46">
        <f>AH1405*IF(B1405&gt;=in_marketplace_from,d_hz_hlth_family*G1405,0)</f>
        <v/>
      </c>
      <c r="AJ1405" s="14">
        <f>F1405*AI1405*in_hlth_family_ticket*in_hlth_family_comm*in_ins_partner_share+F1405*in_hlth_family_ticket*in_hlth_family_renew_comm*in_ins_partner_share*(in_hlth_family_renew^1*SUMIFS(AI1397:AI1425,B1397:B1425,B1405-12)+in_hlth_family_renew^2*SUMIFS(AI1397:AI1425,B1397:B1425,B1405-24)+in_hlth_family_renew^3*SUMIFS(AI1397:AI1425,B1397:B1425,B1405-36)+in_hlth_family_renew^4*SUMIFS(AI1397:AI1425,B1397:B1425,B1405-48))</f>
        <v/>
      </c>
      <c r="AK1405" s="40">
        <f>AK1404*(1-IF(B1404&gt;=in_marketplace_from,d_hz_life_term*G1404,0))</f>
        <v/>
      </c>
      <c r="AL1405" s="46">
        <f>AK1405*IF(B1405&gt;=in_marketplace_from,d_hz_life_term*G1405,0)</f>
        <v/>
      </c>
      <c r="AM1405" s="14">
        <f>F1405*AL1405*in_life_term_ticket*in_life_term_comm*in_ins_partner_share+F1405*in_life_term_ticket*in_life_term_renew_comm*in_ins_partner_share*(in_life_term_renew^1*SUMIFS(AL1397:AL1425,B1397:B1425,B1405-12)+in_life_term_renew^2*SUMIFS(AL1397:AL1425,B1397:B1425,B1405-24)+in_life_term_renew^3*SUMIFS(AL1397:AL1425,B1397:B1425,B1405-36)+in_life_term_renew^4*SUMIFS(AL1397:AL1425,B1397:B1425,B1405-48))</f>
        <v/>
      </c>
      <c r="AN1405" s="40">
        <f>AN1404*(1-IF(B1404&gt;=in_marketplace_from,d_hz_accident*G1404,0))</f>
        <v/>
      </c>
      <c r="AO1405" s="46">
        <f>AN1405*IF(B1405&gt;=in_marketplace_from,d_hz_accident*G1405,0)</f>
        <v/>
      </c>
      <c r="AP1405" s="14">
        <f>F1405*AO1405*in_accident_ticket*in_accident_comm*in_ins_partner_share+F1405*in_accident_ticket*in_accident_renew_comm*in_ins_partner_share*(in_accident_renew^1*SUMIFS(AO1397:AO1425,B1397:B1425,B1405-12)+in_accident_renew^2*SUMIFS(AO1397:AO1425,B1397:B1425,B1405-24)+in_accident_renew^3*SUMIFS(AO1397:AO1425,B1397:B1425,B1405-36)+in_accident_renew^4*SUMIFS(AO1397:AO1425,B1397:B1425,B1405-48))</f>
        <v/>
      </c>
      <c r="AQ1405" s="40">
        <f>AQ1404*(1-IF(B1404&gt;=in_marketplace_from,d_hz_two_wheeler*G1404,0))</f>
        <v/>
      </c>
      <c r="AR1405" s="46">
        <f>AQ1405*IF(B1405&gt;=in_marketplace_from,d_hz_two_wheeler*G1405,0)</f>
        <v/>
      </c>
      <c r="AS1405" s="14">
        <f>F1405*AR1405*in_two_wheeler_ticket*in_two_wheeler_comm*in_ins_partner_share+F1405*in_two_wheeler_ticket*in_two_wheeler_comm*in_ins_partner_share*(in_two_wheeler_renew^1*SUMIFS(AR1397:AR1425,B1397:B1425,B1405-12)+in_two_wheeler_renew^2*SUMIFS(AR1397:AR1425,B1397:B1425,B1405-24)+in_two_wheeler_renew^3*SUMIFS(AR1397:AR1425,B1397:B1425,B1405-36)+in_two_wheeler_renew^4*SUMIFS(AR1397:AR1425,B1397:B1425,B1405-48))</f>
        <v/>
      </c>
      <c r="AT1405" s="40">
        <f>AT1404*(1-IF(B1404&gt;=in_marketplace_from,d_hz_device*G1404,0))</f>
        <v/>
      </c>
      <c r="AU1405" s="14">
        <f>F1405*AT1405*IF(B1405&gt;=in_marketplace_from,d_hz_device*G1405,0)*in_device_ticket*in_device_comm*in_ins_partner_share</f>
        <v/>
      </c>
      <c r="AV1405" s="40">
        <f>AV1404*(1-IF(B1404&gt;=in_marketplace_from,d_hz_shop*G1404,0))</f>
        <v/>
      </c>
      <c r="AW1405" s="46">
        <f>AV1405*IF(B1405&gt;=in_marketplace_from,d_hz_shop*G1405,0)</f>
        <v/>
      </c>
      <c r="AX1405" s="14">
        <f>F1405*AW1405*in_shop_ticket*in_shop_comm*in_ins_partner_share+F1405*in_shop_ticket*in_shop_renew_comm*in_ins_partner_share*(in_shop_renew^1*SUMIFS(AW1397:AW1425,B1397:B1425,B1405-12)+in_shop_renew^2*SUMIFS(AW1397:AW1425,B1397:B1425,B1405-24)+in_shop_renew^3*SUMIFS(AW1397:AW1425,B1397:B1425,B1405-36)+in_shop_renew^4*SUMIFS(AW1397:AW1425,B1397:B1425,B1405-48))</f>
        <v/>
      </c>
      <c r="AY1405" s="40">
        <f>AY1404*(1-IF(B1404&gt;=in_marketplace_from,d_hz_sip*G1404,0))</f>
        <v/>
      </c>
      <c r="AZ1405" s="40">
        <f>AZ1404*d_rho_sip+AY1405*IF(B1405&gt;=in_marketplace_from,d_hz_sip*G1405,0)</f>
        <v/>
      </c>
      <c r="BA1405" s="40">
        <f>d_rho_sip*(BA1404+AZ1404)</f>
        <v/>
      </c>
      <c r="BB1405" s="14">
        <f>F1405*in_sip_ticket*(BA1405+0.5*AZ1405)*in_sip_comm/12</f>
        <v/>
      </c>
      <c r="BC1405" s="40">
        <f>BC1404*(1-IF(B1404&gt;=in_marketplace_from,d_hz_choti*G1404,0))</f>
        <v/>
      </c>
      <c r="BD1405" s="46">
        <f>BC1405*IF(B1405&gt;=in_marketplace_from,d_hz_choti*G1405,0)</f>
        <v/>
      </c>
      <c r="BE1405" s="14">
        <f>F1405*SUMIFS(BD1397:BD1425,B1397:B1425,B1405-in_choti_months)*in_choti_renew*in_choti_ticket</f>
        <v/>
      </c>
      <c r="BF1405" s="40">
        <f>BF1404*(1-IF(B1404&gt;=in_marketplace_from,d_hz_nps*G1404,0))</f>
        <v/>
      </c>
      <c r="BG1405" s="14">
        <f>F1405*BF1405*IF(B1405&gt;=in_marketplace_from,d_hz_nps*G1405,0)*in_nps_ticket*in_nps_comm</f>
        <v/>
      </c>
      <c r="BH1405" s="40">
        <f>BH1404*(1-IF(B1404&gt;=in_marketplace_from,d_hz_gold*G1404,0))</f>
        <v/>
      </c>
      <c r="BI1405" s="40">
        <f>BI1404*d_rho_gold+BH1405*IF(B1405&gt;=in_marketplace_from,d_hz_gold*G1405,0)</f>
        <v/>
      </c>
      <c r="BJ1405" s="14">
        <f>F1405*BI1405*in_gold_ticket*in_gold_comm</f>
        <v/>
      </c>
      <c r="BK1405" s="40">
        <f>BK1404*(1-IF(B1404&gt;=in_marketplace_from,d_hz_fd*G1404,0))</f>
        <v/>
      </c>
      <c r="BL1405" s="14">
        <f>F1405*BK1405*IF(B1405&gt;=in_marketplace_from,d_hz_fd*G1405,0)*in_fd_ticket*in_fd_comm</f>
        <v/>
      </c>
      <c r="BM1405" s="40">
        <f>BM1404*(1-IF(B1404&gt;=in_marketplace_from,d_hz_recharge*G1404,0))</f>
        <v/>
      </c>
      <c r="BN1405" s="40">
        <f>BN1404*d_rho_recharge+BM1405*IF(B1405&gt;=in_marketplace_from,d_hz_recharge*G1405,0)</f>
        <v/>
      </c>
      <c r="BO1405" s="14">
        <f>F1405*BN1405*in_recharge_ticket*in_recharge_comm/12</f>
        <v/>
      </c>
      <c r="BP1405" s="40">
        <f>BP1404*(1-IF(B1404&gt;=in_marketplace_from,d_hz_bills*G1404,0))</f>
        <v/>
      </c>
      <c r="BQ1405" s="40">
        <f>BQ1404*d_rho_bills+BP1405*IF(B1405&gt;=in_marketplace_from,d_hz_bills*G1405,0)</f>
        <v/>
      </c>
      <c r="BR1405" s="14">
        <f>F1405*BQ1405*in_bills_ticket*in_bills_comm/12</f>
        <v/>
      </c>
      <c r="BS1405" s="40">
        <f>BS1404*(1-IF(B1404&gt;=in_marketplace_from,d_hz_loan_gold*G1404,0))</f>
        <v/>
      </c>
      <c r="BT1405" s="14">
        <f>F1405*BS1405*IF(B1405&gt;=in_marketplace_from,d_hz_loan_gold*G1405,0)*in_loan_gold_ticket*in_loan_gold_comm</f>
        <v/>
      </c>
      <c r="BU1405" s="40">
        <f>BU1404*(1-IF(B1404&gt;=in_marketplace_from,d_hz_loan_cd*G1404,0))</f>
        <v/>
      </c>
      <c r="BV1405" s="14">
        <f>F1405*BU1405*IF(B1405&gt;=in_marketplace_from,d_hz_loan_cd*G1405,0)*in_loan_cd_ticket*in_loan_cd_comm</f>
        <v/>
      </c>
      <c r="BW1405" s="40">
        <f>BW1404*(1-IF(B1404&gt;=in_marketplace_from,d_hz_loan_vehicle*G1404,0))</f>
        <v/>
      </c>
      <c r="BX1405" s="14">
        <f>F1405*BW1405*IF(B1405&gt;=in_marketplace_from,d_hz_loan_vehicle*G1405,0)*in_loan_vehicle_ticket*in_loan_vehicle_comm</f>
        <v/>
      </c>
      <c r="BY1405" s="40">
        <f>BY1404*(1-IF(B1404&gt;=in_marketplace_from,d_hz_loan_home*G1404,0)*BZ1404)</f>
        <v/>
      </c>
      <c r="BZ1405" s="11">
        <f>MIN(in_approval_cap,in_loan_home_approval*INDEX('Age profile'!$O$2:$O$61,B1405)*(1+in_approval_growth)^(D1405-1))</f>
        <v/>
      </c>
      <c r="CA1405" s="14">
        <f>F1405*BY1405*IF(B1405&gt;=in_marketplace_from,d_hz_loan_home*G1405,0)*BZ1405*in_loan_home_ticket*in_loan_home_comm</f>
        <v/>
      </c>
      <c r="CB1405" s="40">
        <f>CB1404*(1-IF(B1404&gt;=in_marketplace_from,d_hz_loan_lap*G1404,0)*CC1404)</f>
        <v/>
      </c>
      <c r="CC1405" s="11">
        <f>MIN(in_approval_cap,in_loan_lap_approval*INDEX('Age profile'!$O$2:$O$61,B1405)*(1+in_approval_growth)^(D1405-1))</f>
        <v/>
      </c>
      <c r="CD1405" s="14">
        <f>F1405*CB1405*IF(B1405&gt;=in_marketplace_from,d_hz_loan_lap*G1405,0)*CC1405*in_loan_lap_ticket*in_loan_lap_comm</f>
        <v/>
      </c>
      <c r="CE1405" s="14">
        <f>AA1405+AB1405+AC1405+AD1405+AG1405+AJ1405+AM1405+AP1405+AS1405+AU1405+AX1405+BB1405+BE1405+BG1405+BJ1405+BL1405+BO1405+BR1405+BT1405+BV1405+BX1405+CA1405+CD1405</f>
        <v/>
      </c>
    </row>
    <row r="1406">
      <c r="A1406" s="39" t="n">
        <v>32</v>
      </c>
      <c r="B1406" s="39" t="n">
        <v>10</v>
      </c>
      <c r="C1406" s="39">
        <f>A1406+B1406-1</f>
        <v/>
      </c>
      <c r="D1406" s="39">
        <f>INT((C1406-1)/12)+1</f>
        <v/>
      </c>
      <c r="E1406" s="44">
        <f>INDEX(Monthly!$B$2:$B$61,A1406)</f>
        <v/>
      </c>
      <c r="F1406" s="44">
        <f>E1406*INDEX('Age profile'!$B$2:$B$61,B1406)</f>
        <v/>
      </c>
      <c r="G1406" s="45">
        <f>MIN(in_takeup_cap,INDEX('Age profile'!$N$2:$N$61,B1406)*(1+in_takeup_growth)^(D1406-1))</f>
        <v/>
      </c>
      <c r="H1406" s="11">
        <f>MIN(in_approval_cap,in_approved_first*INDEX('Age profile'!$O$2:$O$61,B1406)*(1+in_approval_growth)^(D1406-1))</f>
        <v/>
      </c>
      <c r="I1406" s="45">
        <f>G1406*MIN(in_takeup_cap,INDEX('Age profile'!$O$2:$O$61,B1406)*(1+in_approval_growth)^(D1406-1))</f>
        <v/>
      </c>
      <c r="J1406" s="40">
        <f>(J1405-L1405)*F1406/F1405</f>
        <v/>
      </c>
      <c r="K1406" s="40">
        <f>(K1405-M1405)*F1406/F1405+SUMIFS(O1397:O1405,B1397:B1405,B1406-1-d_T)*F1406</f>
        <v/>
      </c>
      <c r="L1406" s="40">
        <f>IF(B1406&gt;=in_marketplace_from,J1406*d_hz*G1406*in_eligible*H1406,0)</f>
        <v/>
      </c>
      <c r="M1406" s="40">
        <f>IF(B1406&gt;=in_marketplace_from,K1406*d_hz*G1406*in_eligible*in_approved_repeat,0)</f>
        <v/>
      </c>
      <c r="N1406" s="40">
        <f>L1406+M1406</f>
        <v/>
      </c>
      <c r="O1406" s="46">
        <f>N1406/F1406</f>
        <v/>
      </c>
      <c r="P1406" s="40">
        <f>F1406-J1406-K1406</f>
        <v/>
      </c>
      <c r="Q1406" s="40">
        <f>IF(B1406&gt;=in_marketplace_from,(J1406+K1406)*d_hz*G1406,0)</f>
        <v/>
      </c>
      <c r="R1406" s="40">
        <f>SUMIFS(N1397:N1425,B1397:B1425,"&gt;="&amp;(B1406-d_T),B1397:B1425,"&lt;="&amp;(B1406-1))</f>
        <v/>
      </c>
      <c r="S1406" s="46">
        <f>(1-d_u)*S1405+IF(d_T&gt;in_topup_lag,SUMIFS(O1397:O1425,B1397:B1425,B1406-in_topup_lag)-d_udrop*SUMIFS(O1397:O1425,B1397:B1425,B1406-d_T),0)</f>
        <v/>
      </c>
      <c r="T1406" s="40">
        <f>F1406*d_u*S1406</f>
        <v/>
      </c>
      <c r="U1406" s="9">
        <f>L1406*in_ticket+M1406*d_rep_ticket</f>
        <v/>
      </c>
      <c r="V1406" s="9">
        <f>U1406+T1406*d_topup_amt</f>
        <v/>
      </c>
      <c r="W1406" s="40">
        <f>N1406+T1406*d_topup_ratio</f>
        <v/>
      </c>
      <c r="X1406" s="40">
        <f>SUMIFS(W1397:W1425,B1397:B1425,B1406-in_dpd_lag)*d_cured</f>
        <v/>
      </c>
      <c r="Y1406" s="40">
        <f>SUMIFS(W1397:W1425,B1397:B1425,B1406-in_rec_lag)*d_recd</f>
        <v/>
      </c>
      <c r="Z1406" s="40">
        <f>IF(AND(B1406&gt;=in_marketplace_from,B1406&lt;in_marketplace_from+in_card_months),in_card_share/in_card_months*F1406*I1406,IF(AND(B1406&gt;=in_marketplace_from+in_card_months,B1406&lt;in_marketplace_from+2*in_card_months),in_card_share*d_card_rem/in_card_months*F1406*MIN(in_takeup_cap,(1+in_takeup_growth)^(D1406-1))*MIN(in_takeup_cap,(1+in_approval_growth)^(D1406-1)),0))</f>
        <v/>
      </c>
      <c r="AA1406" s="14">
        <f>V1406*in_fee*(1-in_taken_back)</f>
        <v/>
      </c>
      <c r="AB1406" s="14">
        <f>SUMIFS(W1397:W1425,B1397:B1425,B1406-in_dpd_lag)*d_dpd</f>
        <v/>
      </c>
      <c r="AC1406" s="14">
        <f>SUMIFS(W1397:W1425,B1397:B1425,B1406-in_rec_lag)*d_rec</f>
        <v/>
      </c>
      <c r="AD1406" s="14">
        <f>Z1406*in_card_fee</f>
        <v/>
      </c>
      <c r="AE1406" s="40">
        <f>AE1405*(1-IF(B1405&gt;=in_marketplace_from,d_hz_hlth_small*G1405,0))</f>
        <v/>
      </c>
      <c r="AF1406" s="46">
        <f>AE1406*IF(B1406&gt;=in_marketplace_from,d_hz_hlth_small*G1406,0)</f>
        <v/>
      </c>
      <c r="AG1406" s="14">
        <f>F1406*AF1406*in_hlth_small_ticket*in_hlth_small_comm*in_ins_partner_share+F1406*in_hlth_small_ticket*in_hlth_small_renew_comm*in_ins_partner_share*(in_hlth_small_renew^1*SUMIFS(AF1397:AF1425,B1397:B1425,B1406-12)+in_hlth_small_renew^2*SUMIFS(AF1397:AF1425,B1397:B1425,B1406-24)+in_hlth_small_renew^3*SUMIFS(AF1397:AF1425,B1397:B1425,B1406-36)+in_hlth_small_renew^4*SUMIFS(AF1397:AF1425,B1397:B1425,B1406-48))</f>
        <v/>
      </c>
      <c r="AH1406" s="40">
        <f>AH1405*(1-IF(B1405&gt;=in_marketplace_from,d_hz_hlth_family*G1405,0))</f>
        <v/>
      </c>
      <c r="AI1406" s="46">
        <f>AH1406*IF(B1406&gt;=in_marketplace_from,d_hz_hlth_family*G1406,0)</f>
        <v/>
      </c>
      <c r="AJ1406" s="14">
        <f>F1406*AI1406*in_hlth_family_ticket*in_hlth_family_comm*in_ins_partner_share+F1406*in_hlth_family_ticket*in_hlth_family_renew_comm*in_ins_partner_share*(in_hlth_family_renew^1*SUMIFS(AI1397:AI1425,B1397:B1425,B1406-12)+in_hlth_family_renew^2*SUMIFS(AI1397:AI1425,B1397:B1425,B1406-24)+in_hlth_family_renew^3*SUMIFS(AI1397:AI1425,B1397:B1425,B1406-36)+in_hlth_family_renew^4*SUMIFS(AI1397:AI1425,B1397:B1425,B1406-48))</f>
        <v/>
      </c>
      <c r="AK1406" s="40">
        <f>AK1405*(1-IF(B1405&gt;=in_marketplace_from,d_hz_life_term*G1405,0))</f>
        <v/>
      </c>
      <c r="AL1406" s="46">
        <f>AK1406*IF(B1406&gt;=in_marketplace_from,d_hz_life_term*G1406,0)</f>
        <v/>
      </c>
      <c r="AM1406" s="14">
        <f>F1406*AL1406*in_life_term_ticket*in_life_term_comm*in_ins_partner_share+F1406*in_life_term_ticket*in_life_term_renew_comm*in_ins_partner_share*(in_life_term_renew^1*SUMIFS(AL1397:AL1425,B1397:B1425,B1406-12)+in_life_term_renew^2*SUMIFS(AL1397:AL1425,B1397:B1425,B1406-24)+in_life_term_renew^3*SUMIFS(AL1397:AL1425,B1397:B1425,B1406-36)+in_life_term_renew^4*SUMIFS(AL1397:AL1425,B1397:B1425,B1406-48))</f>
        <v/>
      </c>
      <c r="AN1406" s="40">
        <f>AN1405*(1-IF(B1405&gt;=in_marketplace_from,d_hz_accident*G1405,0))</f>
        <v/>
      </c>
      <c r="AO1406" s="46">
        <f>AN1406*IF(B1406&gt;=in_marketplace_from,d_hz_accident*G1406,0)</f>
        <v/>
      </c>
      <c r="AP1406" s="14">
        <f>F1406*AO1406*in_accident_ticket*in_accident_comm*in_ins_partner_share+F1406*in_accident_ticket*in_accident_renew_comm*in_ins_partner_share*(in_accident_renew^1*SUMIFS(AO1397:AO1425,B1397:B1425,B1406-12)+in_accident_renew^2*SUMIFS(AO1397:AO1425,B1397:B1425,B1406-24)+in_accident_renew^3*SUMIFS(AO1397:AO1425,B1397:B1425,B1406-36)+in_accident_renew^4*SUMIFS(AO1397:AO1425,B1397:B1425,B1406-48))</f>
        <v/>
      </c>
      <c r="AQ1406" s="40">
        <f>AQ1405*(1-IF(B1405&gt;=in_marketplace_from,d_hz_two_wheeler*G1405,0))</f>
        <v/>
      </c>
      <c r="AR1406" s="46">
        <f>AQ1406*IF(B1406&gt;=in_marketplace_from,d_hz_two_wheeler*G1406,0)</f>
        <v/>
      </c>
      <c r="AS1406" s="14">
        <f>F1406*AR1406*in_two_wheeler_ticket*in_two_wheeler_comm*in_ins_partner_share+F1406*in_two_wheeler_ticket*in_two_wheeler_comm*in_ins_partner_share*(in_two_wheeler_renew^1*SUMIFS(AR1397:AR1425,B1397:B1425,B1406-12)+in_two_wheeler_renew^2*SUMIFS(AR1397:AR1425,B1397:B1425,B1406-24)+in_two_wheeler_renew^3*SUMIFS(AR1397:AR1425,B1397:B1425,B1406-36)+in_two_wheeler_renew^4*SUMIFS(AR1397:AR1425,B1397:B1425,B1406-48))</f>
        <v/>
      </c>
      <c r="AT1406" s="40">
        <f>AT1405*(1-IF(B1405&gt;=in_marketplace_from,d_hz_device*G1405,0))</f>
        <v/>
      </c>
      <c r="AU1406" s="14">
        <f>F1406*AT1406*IF(B1406&gt;=in_marketplace_from,d_hz_device*G1406,0)*in_device_ticket*in_device_comm*in_ins_partner_share</f>
        <v/>
      </c>
      <c r="AV1406" s="40">
        <f>AV1405*(1-IF(B1405&gt;=in_marketplace_from,d_hz_shop*G1405,0))</f>
        <v/>
      </c>
      <c r="AW1406" s="46">
        <f>AV1406*IF(B1406&gt;=in_marketplace_from,d_hz_shop*G1406,0)</f>
        <v/>
      </c>
      <c r="AX1406" s="14">
        <f>F1406*AW1406*in_shop_ticket*in_shop_comm*in_ins_partner_share+F1406*in_shop_ticket*in_shop_renew_comm*in_ins_partner_share*(in_shop_renew^1*SUMIFS(AW1397:AW1425,B1397:B1425,B1406-12)+in_shop_renew^2*SUMIFS(AW1397:AW1425,B1397:B1425,B1406-24)+in_shop_renew^3*SUMIFS(AW1397:AW1425,B1397:B1425,B1406-36)+in_shop_renew^4*SUMIFS(AW1397:AW1425,B1397:B1425,B1406-48))</f>
        <v/>
      </c>
      <c r="AY1406" s="40">
        <f>AY1405*(1-IF(B1405&gt;=in_marketplace_from,d_hz_sip*G1405,0))</f>
        <v/>
      </c>
      <c r="AZ1406" s="40">
        <f>AZ1405*d_rho_sip+AY1406*IF(B1406&gt;=in_marketplace_from,d_hz_sip*G1406,0)</f>
        <v/>
      </c>
      <c r="BA1406" s="40">
        <f>d_rho_sip*(BA1405+AZ1405)</f>
        <v/>
      </c>
      <c r="BB1406" s="14">
        <f>F1406*in_sip_ticket*(BA1406+0.5*AZ1406)*in_sip_comm/12</f>
        <v/>
      </c>
      <c r="BC1406" s="40">
        <f>BC1405*(1-IF(B1405&gt;=in_marketplace_from,d_hz_choti*G1405,0))</f>
        <v/>
      </c>
      <c r="BD1406" s="46">
        <f>BC1406*IF(B1406&gt;=in_marketplace_from,d_hz_choti*G1406,0)</f>
        <v/>
      </c>
      <c r="BE1406" s="14">
        <f>F1406*SUMIFS(BD1397:BD1425,B1397:B1425,B1406-in_choti_months)*in_choti_renew*in_choti_ticket</f>
        <v/>
      </c>
      <c r="BF1406" s="40">
        <f>BF1405*(1-IF(B1405&gt;=in_marketplace_from,d_hz_nps*G1405,0))</f>
        <v/>
      </c>
      <c r="BG1406" s="14">
        <f>F1406*BF1406*IF(B1406&gt;=in_marketplace_from,d_hz_nps*G1406,0)*in_nps_ticket*in_nps_comm</f>
        <v/>
      </c>
      <c r="BH1406" s="40">
        <f>BH1405*(1-IF(B1405&gt;=in_marketplace_from,d_hz_gold*G1405,0))</f>
        <v/>
      </c>
      <c r="BI1406" s="40">
        <f>BI1405*d_rho_gold+BH1406*IF(B1406&gt;=in_marketplace_from,d_hz_gold*G1406,0)</f>
        <v/>
      </c>
      <c r="BJ1406" s="14">
        <f>F1406*BI1406*in_gold_ticket*in_gold_comm</f>
        <v/>
      </c>
      <c r="BK1406" s="40">
        <f>BK1405*(1-IF(B1405&gt;=in_marketplace_from,d_hz_fd*G1405,0))</f>
        <v/>
      </c>
      <c r="BL1406" s="14">
        <f>F1406*BK1406*IF(B1406&gt;=in_marketplace_from,d_hz_fd*G1406,0)*in_fd_ticket*in_fd_comm</f>
        <v/>
      </c>
      <c r="BM1406" s="40">
        <f>BM1405*(1-IF(B1405&gt;=in_marketplace_from,d_hz_recharge*G1405,0))</f>
        <v/>
      </c>
      <c r="BN1406" s="40">
        <f>BN1405*d_rho_recharge+BM1406*IF(B1406&gt;=in_marketplace_from,d_hz_recharge*G1406,0)</f>
        <v/>
      </c>
      <c r="BO1406" s="14">
        <f>F1406*BN1406*in_recharge_ticket*in_recharge_comm/12</f>
        <v/>
      </c>
      <c r="BP1406" s="40">
        <f>BP1405*(1-IF(B1405&gt;=in_marketplace_from,d_hz_bills*G1405,0))</f>
        <v/>
      </c>
      <c r="BQ1406" s="40">
        <f>BQ1405*d_rho_bills+BP1406*IF(B1406&gt;=in_marketplace_from,d_hz_bills*G1406,0)</f>
        <v/>
      </c>
      <c r="BR1406" s="14">
        <f>F1406*BQ1406*in_bills_ticket*in_bills_comm/12</f>
        <v/>
      </c>
      <c r="BS1406" s="40">
        <f>BS1405*(1-IF(B1405&gt;=in_marketplace_from,d_hz_loan_gold*G1405,0))</f>
        <v/>
      </c>
      <c r="BT1406" s="14">
        <f>F1406*BS1406*IF(B1406&gt;=in_marketplace_from,d_hz_loan_gold*G1406,0)*in_loan_gold_ticket*in_loan_gold_comm</f>
        <v/>
      </c>
      <c r="BU1406" s="40">
        <f>BU1405*(1-IF(B1405&gt;=in_marketplace_from,d_hz_loan_cd*G1405,0))</f>
        <v/>
      </c>
      <c r="BV1406" s="14">
        <f>F1406*BU1406*IF(B1406&gt;=in_marketplace_from,d_hz_loan_cd*G1406,0)*in_loan_cd_ticket*in_loan_cd_comm</f>
        <v/>
      </c>
      <c r="BW1406" s="40">
        <f>BW1405*(1-IF(B1405&gt;=in_marketplace_from,d_hz_loan_vehicle*G1405,0))</f>
        <v/>
      </c>
      <c r="BX1406" s="14">
        <f>F1406*BW1406*IF(B1406&gt;=in_marketplace_from,d_hz_loan_vehicle*G1406,0)*in_loan_vehicle_ticket*in_loan_vehicle_comm</f>
        <v/>
      </c>
      <c r="BY1406" s="40">
        <f>BY1405*(1-IF(B1405&gt;=in_marketplace_from,d_hz_loan_home*G1405,0)*BZ1405)</f>
        <v/>
      </c>
      <c r="BZ1406" s="11">
        <f>MIN(in_approval_cap,in_loan_home_approval*INDEX('Age profile'!$O$2:$O$61,B1406)*(1+in_approval_growth)^(D1406-1))</f>
        <v/>
      </c>
      <c r="CA1406" s="14">
        <f>F1406*BY1406*IF(B1406&gt;=in_marketplace_from,d_hz_loan_home*G1406,0)*BZ1406*in_loan_home_ticket*in_loan_home_comm</f>
        <v/>
      </c>
      <c r="CB1406" s="40">
        <f>CB1405*(1-IF(B1405&gt;=in_marketplace_from,d_hz_loan_lap*G1405,0)*CC1405)</f>
        <v/>
      </c>
      <c r="CC1406" s="11">
        <f>MIN(in_approval_cap,in_loan_lap_approval*INDEX('Age profile'!$O$2:$O$61,B1406)*(1+in_approval_growth)^(D1406-1))</f>
        <v/>
      </c>
      <c r="CD1406" s="14">
        <f>F1406*CB1406*IF(B1406&gt;=in_marketplace_from,d_hz_loan_lap*G1406,0)*CC1406*in_loan_lap_ticket*in_loan_lap_comm</f>
        <v/>
      </c>
      <c r="CE1406" s="14">
        <f>AA1406+AB1406+AC1406+AD1406+AG1406+AJ1406+AM1406+AP1406+AS1406+AU1406+AX1406+BB1406+BE1406+BG1406+BJ1406+BL1406+BO1406+BR1406+BT1406+BV1406+BX1406+CA1406+CD1406</f>
        <v/>
      </c>
    </row>
    <row r="1407">
      <c r="A1407" s="39" t="n">
        <v>32</v>
      </c>
      <c r="B1407" s="39" t="n">
        <v>11</v>
      </c>
      <c r="C1407" s="39">
        <f>A1407+B1407-1</f>
        <v/>
      </c>
      <c r="D1407" s="39">
        <f>INT((C1407-1)/12)+1</f>
        <v/>
      </c>
      <c r="E1407" s="44">
        <f>INDEX(Monthly!$B$2:$B$61,A1407)</f>
        <v/>
      </c>
      <c r="F1407" s="44">
        <f>E1407*INDEX('Age profile'!$B$2:$B$61,B1407)</f>
        <v/>
      </c>
      <c r="G1407" s="45">
        <f>MIN(in_takeup_cap,INDEX('Age profile'!$N$2:$N$61,B1407)*(1+in_takeup_growth)^(D1407-1))</f>
        <v/>
      </c>
      <c r="H1407" s="11">
        <f>MIN(in_approval_cap,in_approved_first*INDEX('Age profile'!$O$2:$O$61,B1407)*(1+in_approval_growth)^(D1407-1))</f>
        <v/>
      </c>
      <c r="I1407" s="45">
        <f>G1407*MIN(in_takeup_cap,INDEX('Age profile'!$O$2:$O$61,B1407)*(1+in_approval_growth)^(D1407-1))</f>
        <v/>
      </c>
      <c r="J1407" s="40">
        <f>(J1406-L1406)*F1407/F1406</f>
        <v/>
      </c>
      <c r="K1407" s="40">
        <f>(K1406-M1406)*F1407/F1406+SUMIFS(O1397:O1406,B1397:B1406,B1407-1-d_T)*F1407</f>
        <v/>
      </c>
      <c r="L1407" s="40">
        <f>IF(B1407&gt;=in_marketplace_from,J1407*d_hz*G1407*in_eligible*H1407,0)</f>
        <v/>
      </c>
      <c r="M1407" s="40">
        <f>IF(B1407&gt;=in_marketplace_from,K1407*d_hz*G1407*in_eligible*in_approved_repeat,0)</f>
        <v/>
      </c>
      <c r="N1407" s="40">
        <f>L1407+M1407</f>
        <v/>
      </c>
      <c r="O1407" s="46">
        <f>N1407/F1407</f>
        <v/>
      </c>
      <c r="P1407" s="40">
        <f>F1407-J1407-K1407</f>
        <v/>
      </c>
      <c r="Q1407" s="40">
        <f>IF(B1407&gt;=in_marketplace_from,(J1407+K1407)*d_hz*G1407,0)</f>
        <v/>
      </c>
      <c r="R1407" s="40">
        <f>SUMIFS(N1397:N1425,B1397:B1425,"&gt;="&amp;(B1407-d_T),B1397:B1425,"&lt;="&amp;(B1407-1))</f>
        <v/>
      </c>
      <c r="S1407" s="46">
        <f>(1-d_u)*S1406+IF(d_T&gt;in_topup_lag,SUMIFS(O1397:O1425,B1397:B1425,B1407-in_topup_lag)-d_udrop*SUMIFS(O1397:O1425,B1397:B1425,B1407-d_T),0)</f>
        <v/>
      </c>
      <c r="T1407" s="40">
        <f>F1407*d_u*S1407</f>
        <v/>
      </c>
      <c r="U1407" s="9">
        <f>L1407*in_ticket+M1407*d_rep_ticket</f>
        <v/>
      </c>
      <c r="V1407" s="9">
        <f>U1407+T1407*d_topup_amt</f>
        <v/>
      </c>
      <c r="W1407" s="40">
        <f>N1407+T1407*d_topup_ratio</f>
        <v/>
      </c>
      <c r="X1407" s="40">
        <f>SUMIFS(W1397:W1425,B1397:B1425,B1407-in_dpd_lag)*d_cured</f>
        <v/>
      </c>
      <c r="Y1407" s="40">
        <f>SUMIFS(W1397:W1425,B1397:B1425,B1407-in_rec_lag)*d_recd</f>
        <v/>
      </c>
      <c r="Z1407" s="40">
        <f>IF(AND(B1407&gt;=in_marketplace_from,B1407&lt;in_marketplace_from+in_card_months),in_card_share/in_card_months*F1407*I1407,IF(AND(B1407&gt;=in_marketplace_from+in_card_months,B1407&lt;in_marketplace_from+2*in_card_months),in_card_share*d_card_rem/in_card_months*F1407*MIN(in_takeup_cap,(1+in_takeup_growth)^(D1407-1))*MIN(in_takeup_cap,(1+in_approval_growth)^(D1407-1)),0))</f>
        <v/>
      </c>
      <c r="AA1407" s="14">
        <f>V1407*in_fee*(1-in_taken_back)</f>
        <v/>
      </c>
      <c r="AB1407" s="14">
        <f>SUMIFS(W1397:W1425,B1397:B1425,B1407-in_dpd_lag)*d_dpd</f>
        <v/>
      </c>
      <c r="AC1407" s="14">
        <f>SUMIFS(W1397:W1425,B1397:B1425,B1407-in_rec_lag)*d_rec</f>
        <v/>
      </c>
      <c r="AD1407" s="14">
        <f>Z1407*in_card_fee</f>
        <v/>
      </c>
      <c r="AE1407" s="40">
        <f>AE1406*(1-IF(B1406&gt;=in_marketplace_from,d_hz_hlth_small*G1406,0))</f>
        <v/>
      </c>
      <c r="AF1407" s="46">
        <f>AE1407*IF(B1407&gt;=in_marketplace_from,d_hz_hlth_small*G1407,0)</f>
        <v/>
      </c>
      <c r="AG1407" s="14">
        <f>F1407*AF1407*in_hlth_small_ticket*in_hlth_small_comm*in_ins_partner_share+F1407*in_hlth_small_ticket*in_hlth_small_renew_comm*in_ins_partner_share*(in_hlth_small_renew^1*SUMIFS(AF1397:AF1425,B1397:B1425,B1407-12)+in_hlth_small_renew^2*SUMIFS(AF1397:AF1425,B1397:B1425,B1407-24)+in_hlth_small_renew^3*SUMIFS(AF1397:AF1425,B1397:B1425,B1407-36)+in_hlth_small_renew^4*SUMIFS(AF1397:AF1425,B1397:B1425,B1407-48))</f>
        <v/>
      </c>
      <c r="AH1407" s="40">
        <f>AH1406*(1-IF(B1406&gt;=in_marketplace_from,d_hz_hlth_family*G1406,0))</f>
        <v/>
      </c>
      <c r="AI1407" s="46">
        <f>AH1407*IF(B1407&gt;=in_marketplace_from,d_hz_hlth_family*G1407,0)</f>
        <v/>
      </c>
      <c r="AJ1407" s="14">
        <f>F1407*AI1407*in_hlth_family_ticket*in_hlth_family_comm*in_ins_partner_share+F1407*in_hlth_family_ticket*in_hlth_family_renew_comm*in_ins_partner_share*(in_hlth_family_renew^1*SUMIFS(AI1397:AI1425,B1397:B1425,B1407-12)+in_hlth_family_renew^2*SUMIFS(AI1397:AI1425,B1397:B1425,B1407-24)+in_hlth_family_renew^3*SUMIFS(AI1397:AI1425,B1397:B1425,B1407-36)+in_hlth_family_renew^4*SUMIFS(AI1397:AI1425,B1397:B1425,B1407-48))</f>
        <v/>
      </c>
      <c r="AK1407" s="40">
        <f>AK1406*(1-IF(B1406&gt;=in_marketplace_from,d_hz_life_term*G1406,0))</f>
        <v/>
      </c>
      <c r="AL1407" s="46">
        <f>AK1407*IF(B1407&gt;=in_marketplace_from,d_hz_life_term*G1407,0)</f>
        <v/>
      </c>
      <c r="AM1407" s="14">
        <f>F1407*AL1407*in_life_term_ticket*in_life_term_comm*in_ins_partner_share+F1407*in_life_term_ticket*in_life_term_renew_comm*in_ins_partner_share*(in_life_term_renew^1*SUMIFS(AL1397:AL1425,B1397:B1425,B1407-12)+in_life_term_renew^2*SUMIFS(AL1397:AL1425,B1397:B1425,B1407-24)+in_life_term_renew^3*SUMIFS(AL1397:AL1425,B1397:B1425,B1407-36)+in_life_term_renew^4*SUMIFS(AL1397:AL1425,B1397:B1425,B1407-48))</f>
        <v/>
      </c>
      <c r="AN1407" s="40">
        <f>AN1406*(1-IF(B1406&gt;=in_marketplace_from,d_hz_accident*G1406,0))</f>
        <v/>
      </c>
      <c r="AO1407" s="46">
        <f>AN1407*IF(B1407&gt;=in_marketplace_from,d_hz_accident*G1407,0)</f>
        <v/>
      </c>
      <c r="AP1407" s="14">
        <f>F1407*AO1407*in_accident_ticket*in_accident_comm*in_ins_partner_share+F1407*in_accident_ticket*in_accident_renew_comm*in_ins_partner_share*(in_accident_renew^1*SUMIFS(AO1397:AO1425,B1397:B1425,B1407-12)+in_accident_renew^2*SUMIFS(AO1397:AO1425,B1397:B1425,B1407-24)+in_accident_renew^3*SUMIFS(AO1397:AO1425,B1397:B1425,B1407-36)+in_accident_renew^4*SUMIFS(AO1397:AO1425,B1397:B1425,B1407-48))</f>
        <v/>
      </c>
      <c r="AQ1407" s="40">
        <f>AQ1406*(1-IF(B1406&gt;=in_marketplace_from,d_hz_two_wheeler*G1406,0))</f>
        <v/>
      </c>
      <c r="AR1407" s="46">
        <f>AQ1407*IF(B1407&gt;=in_marketplace_from,d_hz_two_wheeler*G1407,0)</f>
        <v/>
      </c>
      <c r="AS1407" s="14">
        <f>F1407*AR1407*in_two_wheeler_ticket*in_two_wheeler_comm*in_ins_partner_share+F1407*in_two_wheeler_ticket*in_two_wheeler_comm*in_ins_partner_share*(in_two_wheeler_renew^1*SUMIFS(AR1397:AR1425,B1397:B1425,B1407-12)+in_two_wheeler_renew^2*SUMIFS(AR1397:AR1425,B1397:B1425,B1407-24)+in_two_wheeler_renew^3*SUMIFS(AR1397:AR1425,B1397:B1425,B1407-36)+in_two_wheeler_renew^4*SUMIFS(AR1397:AR1425,B1397:B1425,B1407-48))</f>
        <v/>
      </c>
      <c r="AT1407" s="40">
        <f>AT1406*(1-IF(B1406&gt;=in_marketplace_from,d_hz_device*G1406,0))</f>
        <v/>
      </c>
      <c r="AU1407" s="14">
        <f>F1407*AT1407*IF(B1407&gt;=in_marketplace_from,d_hz_device*G1407,0)*in_device_ticket*in_device_comm*in_ins_partner_share</f>
        <v/>
      </c>
      <c r="AV1407" s="40">
        <f>AV1406*(1-IF(B1406&gt;=in_marketplace_from,d_hz_shop*G1406,0))</f>
        <v/>
      </c>
      <c r="AW1407" s="46">
        <f>AV1407*IF(B1407&gt;=in_marketplace_from,d_hz_shop*G1407,0)</f>
        <v/>
      </c>
      <c r="AX1407" s="14">
        <f>F1407*AW1407*in_shop_ticket*in_shop_comm*in_ins_partner_share+F1407*in_shop_ticket*in_shop_renew_comm*in_ins_partner_share*(in_shop_renew^1*SUMIFS(AW1397:AW1425,B1397:B1425,B1407-12)+in_shop_renew^2*SUMIFS(AW1397:AW1425,B1397:B1425,B1407-24)+in_shop_renew^3*SUMIFS(AW1397:AW1425,B1397:B1425,B1407-36)+in_shop_renew^4*SUMIFS(AW1397:AW1425,B1397:B1425,B1407-48))</f>
        <v/>
      </c>
      <c r="AY1407" s="40">
        <f>AY1406*(1-IF(B1406&gt;=in_marketplace_from,d_hz_sip*G1406,0))</f>
        <v/>
      </c>
      <c r="AZ1407" s="40">
        <f>AZ1406*d_rho_sip+AY1407*IF(B1407&gt;=in_marketplace_from,d_hz_sip*G1407,0)</f>
        <v/>
      </c>
      <c r="BA1407" s="40">
        <f>d_rho_sip*(BA1406+AZ1406)</f>
        <v/>
      </c>
      <c r="BB1407" s="14">
        <f>F1407*in_sip_ticket*(BA1407+0.5*AZ1407)*in_sip_comm/12</f>
        <v/>
      </c>
      <c r="BC1407" s="40">
        <f>BC1406*(1-IF(B1406&gt;=in_marketplace_from,d_hz_choti*G1406,0))</f>
        <v/>
      </c>
      <c r="BD1407" s="46">
        <f>BC1407*IF(B1407&gt;=in_marketplace_from,d_hz_choti*G1407,0)</f>
        <v/>
      </c>
      <c r="BE1407" s="14">
        <f>F1407*SUMIFS(BD1397:BD1425,B1397:B1425,B1407-in_choti_months)*in_choti_renew*in_choti_ticket</f>
        <v/>
      </c>
      <c r="BF1407" s="40">
        <f>BF1406*(1-IF(B1406&gt;=in_marketplace_from,d_hz_nps*G1406,0))</f>
        <v/>
      </c>
      <c r="BG1407" s="14">
        <f>F1407*BF1407*IF(B1407&gt;=in_marketplace_from,d_hz_nps*G1407,0)*in_nps_ticket*in_nps_comm</f>
        <v/>
      </c>
      <c r="BH1407" s="40">
        <f>BH1406*(1-IF(B1406&gt;=in_marketplace_from,d_hz_gold*G1406,0))</f>
        <v/>
      </c>
      <c r="BI1407" s="40">
        <f>BI1406*d_rho_gold+BH1407*IF(B1407&gt;=in_marketplace_from,d_hz_gold*G1407,0)</f>
        <v/>
      </c>
      <c r="BJ1407" s="14">
        <f>F1407*BI1407*in_gold_ticket*in_gold_comm</f>
        <v/>
      </c>
      <c r="BK1407" s="40">
        <f>BK1406*(1-IF(B1406&gt;=in_marketplace_from,d_hz_fd*G1406,0))</f>
        <v/>
      </c>
      <c r="BL1407" s="14">
        <f>F1407*BK1407*IF(B1407&gt;=in_marketplace_from,d_hz_fd*G1407,0)*in_fd_ticket*in_fd_comm</f>
        <v/>
      </c>
      <c r="BM1407" s="40">
        <f>BM1406*(1-IF(B1406&gt;=in_marketplace_from,d_hz_recharge*G1406,0))</f>
        <v/>
      </c>
      <c r="BN1407" s="40">
        <f>BN1406*d_rho_recharge+BM1407*IF(B1407&gt;=in_marketplace_from,d_hz_recharge*G1407,0)</f>
        <v/>
      </c>
      <c r="BO1407" s="14">
        <f>F1407*BN1407*in_recharge_ticket*in_recharge_comm/12</f>
        <v/>
      </c>
      <c r="BP1407" s="40">
        <f>BP1406*(1-IF(B1406&gt;=in_marketplace_from,d_hz_bills*G1406,0))</f>
        <v/>
      </c>
      <c r="BQ1407" s="40">
        <f>BQ1406*d_rho_bills+BP1407*IF(B1407&gt;=in_marketplace_from,d_hz_bills*G1407,0)</f>
        <v/>
      </c>
      <c r="BR1407" s="14">
        <f>F1407*BQ1407*in_bills_ticket*in_bills_comm/12</f>
        <v/>
      </c>
      <c r="BS1407" s="40">
        <f>BS1406*(1-IF(B1406&gt;=in_marketplace_from,d_hz_loan_gold*G1406,0))</f>
        <v/>
      </c>
      <c r="BT1407" s="14">
        <f>F1407*BS1407*IF(B1407&gt;=in_marketplace_from,d_hz_loan_gold*G1407,0)*in_loan_gold_ticket*in_loan_gold_comm</f>
        <v/>
      </c>
      <c r="BU1407" s="40">
        <f>BU1406*(1-IF(B1406&gt;=in_marketplace_from,d_hz_loan_cd*G1406,0))</f>
        <v/>
      </c>
      <c r="BV1407" s="14">
        <f>F1407*BU1407*IF(B1407&gt;=in_marketplace_from,d_hz_loan_cd*G1407,0)*in_loan_cd_ticket*in_loan_cd_comm</f>
        <v/>
      </c>
      <c r="BW1407" s="40">
        <f>BW1406*(1-IF(B1406&gt;=in_marketplace_from,d_hz_loan_vehicle*G1406,0))</f>
        <v/>
      </c>
      <c r="BX1407" s="14">
        <f>F1407*BW1407*IF(B1407&gt;=in_marketplace_from,d_hz_loan_vehicle*G1407,0)*in_loan_vehicle_ticket*in_loan_vehicle_comm</f>
        <v/>
      </c>
      <c r="BY1407" s="40">
        <f>BY1406*(1-IF(B1406&gt;=in_marketplace_from,d_hz_loan_home*G1406,0)*BZ1406)</f>
        <v/>
      </c>
      <c r="BZ1407" s="11">
        <f>MIN(in_approval_cap,in_loan_home_approval*INDEX('Age profile'!$O$2:$O$61,B1407)*(1+in_approval_growth)^(D1407-1))</f>
        <v/>
      </c>
      <c r="CA1407" s="14">
        <f>F1407*BY1407*IF(B1407&gt;=in_marketplace_from,d_hz_loan_home*G1407,0)*BZ1407*in_loan_home_ticket*in_loan_home_comm</f>
        <v/>
      </c>
      <c r="CB1407" s="40">
        <f>CB1406*(1-IF(B1406&gt;=in_marketplace_from,d_hz_loan_lap*G1406,0)*CC1406)</f>
        <v/>
      </c>
      <c r="CC1407" s="11">
        <f>MIN(in_approval_cap,in_loan_lap_approval*INDEX('Age profile'!$O$2:$O$61,B1407)*(1+in_approval_growth)^(D1407-1))</f>
        <v/>
      </c>
      <c r="CD1407" s="14">
        <f>F1407*CB1407*IF(B1407&gt;=in_marketplace_from,d_hz_loan_lap*G1407,0)*CC1407*in_loan_lap_ticket*in_loan_lap_comm</f>
        <v/>
      </c>
      <c r="CE1407" s="14">
        <f>AA1407+AB1407+AC1407+AD1407+AG1407+AJ1407+AM1407+AP1407+AS1407+AU1407+AX1407+BB1407+BE1407+BG1407+BJ1407+BL1407+BO1407+BR1407+BT1407+BV1407+BX1407+CA1407+CD1407</f>
        <v/>
      </c>
    </row>
    <row r="1408">
      <c r="A1408" s="39" t="n">
        <v>32</v>
      </c>
      <c r="B1408" s="39" t="n">
        <v>12</v>
      </c>
      <c r="C1408" s="39">
        <f>A1408+B1408-1</f>
        <v/>
      </c>
      <c r="D1408" s="39">
        <f>INT((C1408-1)/12)+1</f>
        <v/>
      </c>
      <c r="E1408" s="44">
        <f>INDEX(Monthly!$B$2:$B$61,A1408)</f>
        <v/>
      </c>
      <c r="F1408" s="44">
        <f>E1408*INDEX('Age profile'!$B$2:$B$61,B1408)</f>
        <v/>
      </c>
      <c r="G1408" s="45">
        <f>MIN(in_takeup_cap,INDEX('Age profile'!$N$2:$N$61,B1408)*(1+in_takeup_growth)^(D1408-1))</f>
        <v/>
      </c>
      <c r="H1408" s="11">
        <f>MIN(in_approval_cap,in_approved_first*INDEX('Age profile'!$O$2:$O$61,B1408)*(1+in_approval_growth)^(D1408-1))</f>
        <v/>
      </c>
      <c r="I1408" s="45">
        <f>G1408*MIN(in_takeup_cap,INDEX('Age profile'!$O$2:$O$61,B1408)*(1+in_approval_growth)^(D1408-1))</f>
        <v/>
      </c>
      <c r="J1408" s="40">
        <f>(J1407-L1407)*F1408/F1407</f>
        <v/>
      </c>
      <c r="K1408" s="40">
        <f>(K1407-M1407)*F1408/F1407+SUMIFS(O1397:O1407,B1397:B1407,B1408-1-d_T)*F1408</f>
        <v/>
      </c>
      <c r="L1408" s="40">
        <f>IF(B1408&gt;=in_marketplace_from,J1408*d_hz*G1408*in_eligible*H1408,0)</f>
        <v/>
      </c>
      <c r="M1408" s="40">
        <f>IF(B1408&gt;=in_marketplace_from,K1408*d_hz*G1408*in_eligible*in_approved_repeat,0)</f>
        <v/>
      </c>
      <c r="N1408" s="40">
        <f>L1408+M1408</f>
        <v/>
      </c>
      <c r="O1408" s="46">
        <f>N1408/F1408</f>
        <v/>
      </c>
      <c r="P1408" s="40">
        <f>F1408-J1408-K1408</f>
        <v/>
      </c>
      <c r="Q1408" s="40">
        <f>IF(B1408&gt;=in_marketplace_from,(J1408+K1408)*d_hz*G1408,0)</f>
        <v/>
      </c>
      <c r="R1408" s="40">
        <f>SUMIFS(N1397:N1425,B1397:B1425,"&gt;="&amp;(B1408-d_T),B1397:B1425,"&lt;="&amp;(B1408-1))</f>
        <v/>
      </c>
      <c r="S1408" s="46">
        <f>(1-d_u)*S1407+IF(d_T&gt;in_topup_lag,SUMIFS(O1397:O1425,B1397:B1425,B1408-in_topup_lag)-d_udrop*SUMIFS(O1397:O1425,B1397:B1425,B1408-d_T),0)</f>
        <v/>
      </c>
      <c r="T1408" s="40">
        <f>F1408*d_u*S1408</f>
        <v/>
      </c>
      <c r="U1408" s="9">
        <f>L1408*in_ticket+M1408*d_rep_ticket</f>
        <v/>
      </c>
      <c r="V1408" s="9">
        <f>U1408+T1408*d_topup_amt</f>
        <v/>
      </c>
      <c r="W1408" s="40">
        <f>N1408+T1408*d_topup_ratio</f>
        <v/>
      </c>
      <c r="X1408" s="40">
        <f>SUMIFS(W1397:W1425,B1397:B1425,B1408-in_dpd_lag)*d_cured</f>
        <v/>
      </c>
      <c r="Y1408" s="40">
        <f>SUMIFS(W1397:W1425,B1397:B1425,B1408-in_rec_lag)*d_recd</f>
        <v/>
      </c>
      <c r="Z1408" s="40">
        <f>IF(AND(B1408&gt;=in_marketplace_from,B1408&lt;in_marketplace_from+in_card_months),in_card_share/in_card_months*F1408*I1408,IF(AND(B1408&gt;=in_marketplace_from+in_card_months,B1408&lt;in_marketplace_from+2*in_card_months),in_card_share*d_card_rem/in_card_months*F1408*MIN(in_takeup_cap,(1+in_takeup_growth)^(D1408-1))*MIN(in_takeup_cap,(1+in_approval_growth)^(D1408-1)),0))</f>
        <v/>
      </c>
      <c r="AA1408" s="14">
        <f>V1408*in_fee*(1-in_taken_back)</f>
        <v/>
      </c>
      <c r="AB1408" s="14">
        <f>SUMIFS(W1397:W1425,B1397:B1425,B1408-in_dpd_lag)*d_dpd</f>
        <v/>
      </c>
      <c r="AC1408" s="14">
        <f>SUMIFS(W1397:W1425,B1397:B1425,B1408-in_rec_lag)*d_rec</f>
        <v/>
      </c>
      <c r="AD1408" s="14">
        <f>Z1408*in_card_fee</f>
        <v/>
      </c>
      <c r="AE1408" s="40">
        <f>AE1407*(1-IF(B1407&gt;=in_marketplace_from,d_hz_hlth_small*G1407,0))</f>
        <v/>
      </c>
      <c r="AF1408" s="46">
        <f>AE1408*IF(B1408&gt;=in_marketplace_from,d_hz_hlth_small*G1408,0)</f>
        <v/>
      </c>
      <c r="AG1408" s="14">
        <f>F1408*AF1408*in_hlth_small_ticket*in_hlth_small_comm*in_ins_partner_share+F1408*in_hlth_small_ticket*in_hlth_small_renew_comm*in_ins_partner_share*(in_hlth_small_renew^1*SUMIFS(AF1397:AF1425,B1397:B1425,B1408-12)+in_hlth_small_renew^2*SUMIFS(AF1397:AF1425,B1397:B1425,B1408-24)+in_hlth_small_renew^3*SUMIFS(AF1397:AF1425,B1397:B1425,B1408-36)+in_hlth_small_renew^4*SUMIFS(AF1397:AF1425,B1397:B1425,B1408-48))</f>
        <v/>
      </c>
      <c r="AH1408" s="40">
        <f>AH1407*(1-IF(B1407&gt;=in_marketplace_from,d_hz_hlth_family*G1407,0))</f>
        <v/>
      </c>
      <c r="AI1408" s="46">
        <f>AH1408*IF(B1408&gt;=in_marketplace_from,d_hz_hlth_family*G1408,0)</f>
        <v/>
      </c>
      <c r="AJ1408" s="14">
        <f>F1408*AI1408*in_hlth_family_ticket*in_hlth_family_comm*in_ins_partner_share+F1408*in_hlth_family_ticket*in_hlth_family_renew_comm*in_ins_partner_share*(in_hlth_family_renew^1*SUMIFS(AI1397:AI1425,B1397:B1425,B1408-12)+in_hlth_family_renew^2*SUMIFS(AI1397:AI1425,B1397:B1425,B1408-24)+in_hlth_family_renew^3*SUMIFS(AI1397:AI1425,B1397:B1425,B1408-36)+in_hlth_family_renew^4*SUMIFS(AI1397:AI1425,B1397:B1425,B1408-48))</f>
        <v/>
      </c>
      <c r="AK1408" s="40">
        <f>AK1407*(1-IF(B1407&gt;=in_marketplace_from,d_hz_life_term*G1407,0))</f>
        <v/>
      </c>
      <c r="AL1408" s="46">
        <f>AK1408*IF(B1408&gt;=in_marketplace_from,d_hz_life_term*G1408,0)</f>
        <v/>
      </c>
      <c r="AM1408" s="14">
        <f>F1408*AL1408*in_life_term_ticket*in_life_term_comm*in_ins_partner_share+F1408*in_life_term_ticket*in_life_term_renew_comm*in_ins_partner_share*(in_life_term_renew^1*SUMIFS(AL1397:AL1425,B1397:B1425,B1408-12)+in_life_term_renew^2*SUMIFS(AL1397:AL1425,B1397:B1425,B1408-24)+in_life_term_renew^3*SUMIFS(AL1397:AL1425,B1397:B1425,B1408-36)+in_life_term_renew^4*SUMIFS(AL1397:AL1425,B1397:B1425,B1408-48))</f>
        <v/>
      </c>
      <c r="AN1408" s="40">
        <f>AN1407*(1-IF(B1407&gt;=in_marketplace_from,d_hz_accident*G1407,0))</f>
        <v/>
      </c>
      <c r="AO1408" s="46">
        <f>AN1408*IF(B1408&gt;=in_marketplace_from,d_hz_accident*G1408,0)</f>
        <v/>
      </c>
      <c r="AP1408" s="14">
        <f>F1408*AO1408*in_accident_ticket*in_accident_comm*in_ins_partner_share+F1408*in_accident_ticket*in_accident_renew_comm*in_ins_partner_share*(in_accident_renew^1*SUMIFS(AO1397:AO1425,B1397:B1425,B1408-12)+in_accident_renew^2*SUMIFS(AO1397:AO1425,B1397:B1425,B1408-24)+in_accident_renew^3*SUMIFS(AO1397:AO1425,B1397:B1425,B1408-36)+in_accident_renew^4*SUMIFS(AO1397:AO1425,B1397:B1425,B1408-48))</f>
        <v/>
      </c>
      <c r="AQ1408" s="40">
        <f>AQ1407*(1-IF(B1407&gt;=in_marketplace_from,d_hz_two_wheeler*G1407,0))</f>
        <v/>
      </c>
      <c r="AR1408" s="46">
        <f>AQ1408*IF(B1408&gt;=in_marketplace_from,d_hz_two_wheeler*G1408,0)</f>
        <v/>
      </c>
      <c r="AS1408" s="14">
        <f>F1408*AR1408*in_two_wheeler_ticket*in_two_wheeler_comm*in_ins_partner_share+F1408*in_two_wheeler_ticket*in_two_wheeler_comm*in_ins_partner_share*(in_two_wheeler_renew^1*SUMIFS(AR1397:AR1425,B1397:B1425,B1408-12)+in_two_wheeler_renew^2*SUMIFS(AR1397:AR1425,B1397:B1425,B1408-24)+in_two_wheeler_renew^3*SUMIFS(AR1397:AR1425,B1397:B1425,B1408-36)+in_two_wheeler_renew^4*SUMIFS(AR1397:AR1425,B1397:B1425,B1408-48))</f>
        <v/>
      </c>
      <c r="AT1408" s="40">
        <f>AT1407*(1-IF(B1407&gt;=in_marketplace_from,d_hz_device*G1407,0))</f>
        <v/>
      </c>
      <c r="AU1408" s="14">
        <f>F1408*AT1408*IF(B1408&gt;=in_marketplace_from,d_hz_device*G1408,0)*in_device_ticket*in_device_comm*in_ins_partner_share</f>
        <v/>
      </c>
      <c r="AV1408" s="40">
        <f>AV1407*(1-IF(B1407&gt;=in_marketplace_from,d_hz_shop*G1407,0))</f>
        <v/>
      </c>
      <c r="AW1408" s="46">
        <f>AV1408*IF(B1408&gt;=in_marketplace_from,d_hz_shop*G1408,0)</f>
        <v/>
      </c>
      <c r="AX1408" s="14">
        <f>F1408*AW1408*in_shop_ticket*in_shop_comm*in_ins_partner_share+F1408*in_shop_ticket*in_shop_renew_comm*in_ins_partner_share*(in_shop_renew^1*SUMIFS(AW1397:AW1425,B1397:B1425,B1408-12)+in_shop_renew^2*SUMIFS(AW1397:AW1425,B1397:B1425,B1408-24)+in_shop_renew^3*SUMIFS(AW1397:AW1425,B1397:B1425,B1408-36)+in_shop_renew^4*SUMIFS(AW1397:AW1425,B1397:B1425,B1408-48))</f>
        <v/>
      </c>
      <c r="AY1408" s="40">
        <f>AY1407*(1-IF(B1407&gt;=in_marketplace_from,d_hz_sip*G1407,0))</f>
        <v/>
      </c>
      <c r="AZ1408" s="40">
        <f>AZ1407*d_rho_sip+AY1408*IF(B1408&gt;=in_marketplace_from,d_hz_sip*G1408,0)</f>
        <v/>
      </c>
      <c r="BA1408" s="40">
        <f>d_rho_sip*(BA1407+AZ1407)</f>
        <v/>
      </c>
      <c r="BB1408" s="14">
        <f>F1408*in_sip_ticket*(BA1408+0.5*AZ1408)*in_sip_comm/12</f>
        <v/>
      </c>
      <c r="BC1408" s="40">
        <f>BC1407*(1-IF(B1407&gt;=in_marketplace_from,d_hz_choti*G1407,0))</f>
        <v/>
      </c>
      <c r="BD1408" s="46">
        <f>BC1408*IF(B1408&gt;=in_marketplace_from,d_hz_choti*G1408,0)</f>
        <v/>
      </c>
      <c r="BE1408" s="14">
        <f>F1408*SUMIFS(BD1397:BD1425,B1397:B1425,B1408-in_choti_months)*in_choti_renew*in_choti_ticket</f>
        <v/>
      </c>
      <c r="BF1408" s="40">
        <f>BF1407*(1-IF(B1407&gt;=in_marketplace_from,d_hz_nps*G1407,0))</f>
        <v/>
      </c>
      <c r="BG1408" s="14">
        <f>F1408*BF1408*IF(B1408&gt;=in_marketplace_from,d_hz_nps*G1408,0)*in_nps_ticket*in_nps_comm</f>
        <v/>
      </c>
      <c r="BH1408" s="40">
        <f>BH1407*(1-IF(B1407&gt;=in_marketplace_from,d_hz_gold*G1407,0))</f>
        <v/>
      </c>
      <c r="BI1408" s="40">
        <f>BI1407*d_rho_gold+BH1408*IF(B1408&gt;=in_marketplace_from,d_hz_gold*G1408,0)</f>
        <v/>
      </c>
      <c r="BJ1408" s="14">
        <f>F1408*BI1408*in_gold_ticket*in_gold_comm</f>
        <v/>
      </c>
      <c r="BK1408" s="40">
        <f>BK1407*(1-IF(B1407&gt;=in_marketplace_from,d_hz_fd*G1407,0))</f>
        <v/>
      </c>
      <c r="BL1408" s="14">
        <f>F1408*BK1408*IF(B1408&gt;=in_marketplace_from,d_hz_fd*G1408,0)*in_fd_ticket*in_fd_comm</f>
        <v/>
      </c>
      <c r="BM1408" s="40">
        <f>BM1407*(1-IF(B1407&gt;=in_marketplace_from,d_hz_recharge*G1407,0))</f>
        <v/>
      </c>
      <c r="BN1408" s="40">
        <f>BN1407*d_rho_recharge+BM1408*IF(B1408&gt;=in_marketplace_from,d_hz_recharge*G1408,0)</f>
        <v/>
      </c>
      <c r="BO1408" s="14">
        <f>F1408*BN1408*in_recharge_ticket*in_recharge_comm/12</f>
        <v/>
      </c>
      <c r="BP1408" s="40">
        <f>BP1407*(1-IF(B1407&gt;=in_marketplace_from,d_hz_bills*G1407,0))</f>
        <v/>
      </c>
      <c r="BQ1408" s="40">
        <f>BQ1407*d_rho_bills+BP1408*IF(B1408&gt;=in_marketplace_from,d_hz_bills*G1408,0)</f>
        <v/>
      </c>
      <c r="BR1408" s="14">
        <f>F1408*BQ1408*in_bills_ticket*in_bills_comm/12</f>
        <v/>
      </c>
      <c r="BS1408" s="40">
        <f>BS1407*(1-IF(B1407&gt;=in_marketplace_from,d_hz_loan_gold*G1407,0))</f>
        <v/>
      </c>
      <c r="BT1408" s="14">
        <f>F1408*BS1408*IF(B1408&gt;=in_marketplace_from,d_hz_loan_gold*G1408,0)*in_loan_gold_ticket*in_loan_gold_comm</f>
        <v/>
      </c>
      <c r="BU1408" s="40">
        <f>BU1407*(1-IF(B1407&gt;=in_marketplace_from,d_hz_loan_cd*G1407,0))</f>
        <v/>
      </c>
      <c r="BV1408" s="14">
        <f>F1408*BU1408*IF(B1408&gt;=in_marketplace_from,d_hz_loan_cd*G1408,0)*in_loan_cd_ticket*in_loan_cd_comm</f>
        <v/>
      </c>
      <c r="BW1408" s="40">
        <f>BW1407*(1-IF(B1407&gt;=in_marketplace_from,d_hz_loan_vehicle*G1407,0))</f>
        <v/>
      </c>
      <c r="BX1408" s="14">
        <f>F1408*BW1408*IF(B1408&gt;=in_marketplace_from,d_hz_loan_vehicle*G1408,0)*in_loan_vehicle_ticket*in_loan_vehicle_comm</f>
        <v/>
      </c>
      <c r="BY1408" s="40">
        <f>BY1407*(1-IF(B1407&gt;=in_marketplace_from,d_hz_loan_home*G1407,0)*BZ1407)</f>
        <v/>
      </c>
      <c r="BZ1408" s="11">
        <f>MIN(in_approval_cap,in_loan_home_approval*INDEX('Age profile'!$O$2:$O$61,B1408)*(1+in_approval_growth)^(D1408-1))</f>
        <v/>
      </c>
      <c r="CA1408" s="14">
        <f>F1408*BY1408*IF(B1408&gt;=in_marketplace_from,d_hz_loan_home*G1408,0)*BZ1408*in_loan_home_ticket*in_loan_home_comm</f>
        <v/>
      </c>
      <c r="CB1408" s="40">
        <f>CB1407*(1-IF(B1407&gt;=in_marketplace_from,d_hz_loan_lap*G1407,0)*CC1407)</f>
        <v/>
      </c>
      <c r="CC1408" s="11">
        <f>MIN(in_approval_cap,in_loan_lap_approval*INDEX('Age profile'!$O$2:$O$61,B1408)*(1+in_approval_growth)^(D1408-1))</f>
        <v/>
      </c>
      <c r="CD1408" s="14">
        <f>F1408*CB1408*IF(B1408&gt;=in_marketplace_from,d_hz_loan_lap*G1408,0)*CC1408*in_loan_lap_ticket*in_loan_lap_comm</f>
        <v/>
      </c>
      <c r="CE1408" s="14">
        <f>AA1408+AB1408+AC1408+AD1408+AG1408+AJ1408+AM1408+AP1408+AS1408+AU1408+AX1408+BB1408+BE1408+BG1408+BJ1408+BL1408+BO1408+BR1408+BT1408+BV1408+BX1408+CA1408+CD1408</f>
        <v/>
      </c>
    </row>
    <row r="1409">
      <c r="A1409" s="39" t="n">
        <v>32</v>
      </c>
      <c r="B1409" s="39" t="n">
        <v>13</v>
      </c>
      <c r="C1409" s="39">
        <f>A1409+B1409-1</f>
        <v/>
      </c>
      <c r="D1409" s="39">
        <f>INT((C1409-1)/12)+1</f>
        <v/>
      </c>
      <c r="E1409" s="44">
        <f>INDEX(Monthly!$B$2:$B$61,A1409)</f>
        <v/>
      </c>
      <c r="F1409" s="44">
        <f>E1409*INDEX('Age profile'!$B$2:$B$61,B1409)</f>
        <v/>
      </c>
      <c r="G1409" s="45">
        <f>MIN(in_takeup_cap,INDEX('Age profile'!$N$2:$N$61,B1409)*(1+in_takeup_growth)^(D1409-1))</f>
        <v/>
      </c>
      <c r="H1409" s="11">
        <f>MIN(in_approval_cap,in_approved_first*INDEX('Age profile'!$O$2:$O$61,B1409)*(1+in_approval_growth)^(D1409-1))</f>
        <v/>
      </c>
      <c r="I1409" s="45">
        <f>G1409*MIN(in_takeup_cap,INDEX('Age profile'!$O$2:$O$61,B1409)*(1+in_approval_growth)^(D1409-1))</f>
        <v/>
      </c>
      <c r="J1409" s="40">
        <f>(J1408-L1408)*F1409/F1408</f>
        <v/>
      </c>
      <c r="K1409" s="40">
        <f>(K1408-M1408)*F1409/F1408+SUMIFS(O1397:O1408,B1397:B1408,B1409-1-d_T)*F1409</f>
        <v/>
      </c>
      <c r="L1409" s="40">
        <f>IF(B1409&gt;=in_marketplace_from,J1409*d_hz*G1409*in_eligible*H1409,0)</f>
        <v/>
      </c>
      <c r="M1409" s="40">
        <f>IF(B1409&gt;=in_marketplace_from,K1409*d_hz*G1409*in_eligible*in_approved_repeat,0)</f>
        <v/>
      </c>
      <c r="N1409" s="40">
        <f>L1409+M1409</f>
        <v/>
      </c>
      <c r="O1409" s="46">
        <f>N1409/F1409</f>
        <v/>
      </c>
      <c r="P1409" s="40">
        <f>F1409-J1409-K1409</f>
        <v/>
      </c>
      <c r="Q1409" s="40">
        <f>IF(B1409&gt;=in_marketplace_from,(J1409+K1409)*d_hz*G1409,0)</f>
        <v/>
      </c>
      <c r="R1409" s="40">
        <f>SUMIFS(N1397:N1425,B1397:B1425,"&gt;="&amp;(B1409-d_T),B1397:B1425,"&lt;="&amp;(B1409-1))</f>
        <v/>
      </c>
      <c r="S1409" s="46">
        <f>(1-d_u)*S1408+IF(d_T&gt;in_topup_lag,SUMIFS(O1397:O1425,B1397:B1425,B1409-in_topup_lag)-d_udrop*SUMIFS(O1397:O1425,B1397:B1425,B1409-d_T),0)</f>
        <v/>
      </c>
      <c r="T1409" s="40">
        <f>F1409*d_u*S1409</f>
        <v/>
      </c>
      <c r="U1409" s="9">
        <f>L1409*in_ticket+M1409*d_rep_ticket</f>
        <v/>
      </c>
      <c r="V1409" s="9">
        <f>U1409+T1409*d_topup_amt</f>
        <v/>
      </c>
      <c r="W1409" s="40">
        <f>N1409+T1409*d_topup_ratio</f>
        <v/>
      </c>
      <c r="X1409" s="40">
        <f>SUMIFS(W1397:W1425,B1397:B1425,B1409-in_dpd_lag)*d_cured</f>
        <v/>
      </c>
      <c r="Y1409" s="40">
        <f>SUMIFS(W1397:W1425,B1397:B1425,B1409-in_rec_lag)*d_recd</f>
        <v/>
      </c>
      <c r="Z1409" s="40">
        <f>IF(AND(B1409&gt;=in_marketplace_from,B1409&lt;in_marketplace_from+in_card_months),in_card_share/in_card_months*F1409*I1409,IF(AND(B1409&gt;=in_marketplace_from+in_card_months,B1409&lt;in_marketplace_from+2*in_card_months),in_card_share*d_card_rem/in_card_months*F1409*MIN(in_takeup_cap,(1+in_takeup_growth)^(D1409-1))*MIN(in_takeup_cap,(1+in_approval_growth)^(D1409-1)),0))</f>
        <v/>
      </c>
      <c r="AA1409" s="14">
        <f>V1409*in_fee*(1-in_taken_back)</f>
        <v/>
      </c>
      <c r="AB1409" s="14">
        <f>SUMIFS(W1397:W1425,B1397:B1425,B1409-in_dpd_lag)*d_dpd</f>
        <v/>
      </c>
      <c r="AC1409" s="14">
        <f>SUMIFS(W1397:W1425,B1397:B1425,B1409-in_rec_lag)*d_rec</f>
        <v/>
      </c>
      <c r="AD1409" s="14">
        <f>Z1409*in_card_fee</f>
        <v/>
      </c>
      <c r="AE1409" s="40">
        <f>AE1408*(1-IF(B1408&gt;=in_marketplace_from,d_hz_hlth_small*G1408,0))</f>
        <v/>
      </c>
      <c r="AF1409" s="46">
        <f>AE1409*IF(B1409&gt;=in_marketplace_from,d_hz_hlth_small*G1409,0)</f>
        <v/>
      </c>
      <c r="AG1409" s="14">
        <f>F1409*AF1409*in_hlth_small_ticket*in_hlth_small_comm*in_ins_partner_share+F1409*in_hlth_small_ticket*in_hlth_small_renew_comm*in_ins_partner_share*(in_hlth_small_renew^1*SUMIFS(AF1397:AF1425,B1397:B1425,B1409-12)+in_hlth_small_renew^2*SUMIFS(AF1397:AF1425,B1397:B1425,B1409-24)+in_hlth_small_renew^3*SUMIFS(AF1397:AF1425,B1397:B1425,B1409-36)+in_hlth_small_renew^4*SUMIFS(AF1397:AF1425,B1397:B1425,B1409-48))</f>
        <v/>
      </c>
      <c r="AH1409" s="40">
        <f>AH1408*(1-IF(B1408&gt;=in_marketplace_from,d_hz_hlth_family*G1408,0))</f>
        <v/>
      </c>
      <c r="AI1409" s="46">
        <f>AH1409*IF(B1409&gt;=in_marketplace_from,d_hz_hlth_family*G1409,0)</f>
        <v/>
      </c>
      <c r="AJ1409" s="14">
        <f>F1409*AI1409*in_hlth_family_ticket*in_hlth_family_comm*in_ins_partner_share+F1409*in_hlth_family_ticket*in_hlth_family_renew_comm*in_ins_partner_share*(in_hlth_family_renew^1*SUMIFS(AI1397:AI1425,B1397:B1425,B1409-12)+in_hlth_family_renew^2*SUMIFS(AI1397:AI1425,B1397:B1425,B1409-24)+in_hlth_family_renew^3*SUMIFS(AI1397:AI1425,B1397:B1425,B1409-36)+in_hlth_family_renew^4*SUMIFS(AI1397:AI1425,B1397:B1425,B1409-48))</f>
        <v/>
      </c>
      <c r="AK1409" s="40">
        <f>AK1408*(1-IF(B1408&gt;=in_marketplace_from,d_hz_life_term*G1408,0))</f>
        <v/>
      </c>
      <c r="AL1409" s="46">
        <f>AK1409*IF(B1409&gt;=in_marketplace_from,d_hz_life_term*G1409,0)</f>
        <v/>
      </c>
      <c r="AM1409" s="14">
        <f>F1409*AL1409*in_life_term_ticket*in_life_term_comm*in_ins_partner_share+F1409*in_life_term_ticket*in_life_term_renew_comm*in_ins_partner_share*(in_life_term_renew^1*SUMIFS(AL1397:AL1425,B1397:B1425,B1409-12)+in_life_term_renew^2*SUMIFS(AL1397:AL1425,B1397:B1425,B1409-24)+in_life_term_renew^3*SUMIFS(AL1397:AL1425,B1397:B1425,B1409-36)+in_life_term_renew^4*SUMIFS(AL1397:AL1425,B1397:B1425,B1409-48))</f>
        <v/>
      </c>
      <c r="AN1409" s="40">
        <f>AN1408*(1-IF(B1408&gt;=in_marketplace_from,d_hz_accident*G1408,0))</f>
        <v/>
      </c>
      <c r="AO1409" s="46">
        <f>AN1409*IF(B1409&gt;=in_marketplace_from,d_hz_accident*G1409,0)</f>
        <v/>
      </c>
      <c r="AP1409" s="14">
        <f>F1409*AO1409*in_accident_ticket*in_accident_comm*in_ins_partner_share+F1409*in_accident_ticket*in_accident_renew_comm*in_ins_partner_share*(in_accident_renew^1*SUMIFS(AO1397:AO1425,B1397:B1425,B1409-12)+in_accident_renew^2*SUMIFS(AO1397:AO1425,B1397:B1425,B1409-24)+in_accident_renew^3*SUMIFS(AO1397:AO1425,B1397:B1425,B1409-36)+in_accident_renew^4*SUMIFS(AO1397:AO1425,B1397:B1425,B1409-48))</f>
        <v/>
      </c>
      <c r="AQ1409" s="40">
        <f>AQ1408*(1-IF(B1408&gt;=in_marketplace_from,d_hz_two_wheeler*G1408,0))</f>
        <v/>
      </c>
      <c r="AR1409" s="46">
        <f>AQ1409*IF(B1409&gt;=in_marketplace_from,d_hz_two_wheeler*G1409,0)</f>
        <v/>
      </c>
      <c r="AS1409" s="14">
        <f>F1409*AR1409*in_two_wheeler_ticket*in_two_wheeler_comm*in_ins_partner_share+F1409*in_two_wheeler_ticket*in_two_wheeler_comm*in_ins_partner_share*(in_two_wheeler_renew^1*SUMIFS(AR1397:AR1425,B1397:B1425,B1409-12)+in_two_wheeler_renew^2*SUMIFS(AR1397:AR1425,B1397:B1425,B1409-24)+in_two_wheeler_renew^3*SUMIFS(AR1397:AR1425,B1397:B1425,B1409-36)+in_two_wheeler_renew^4*SUMIFS(AR1397:AR1425,B1397:B1425,B1409-48))</f>
        <v/>
      </c>
      <c r="AT1409" s="40">
        <f>AT1408*(1-IF(B1408&gt;=in_marketplace_from,d_hz_device*G1408,0))</f>
        <v/>
      </c>
      <c r="AU1409" s="14">
        <f>F1409*AT1409*IF(B1409&gt;=in_marketplace_from,d_hz_device*G1409,0)*in_device_ticket*in_device_comm*in_ins_partner_share</f>
        <v/>
      </c>
      <c r="AV1409" s="40">
        <f>AV1408*(1-IF(B1408&gt;=in_marketplace_from,d_hz_shop*G1408,0))</f>
        <v/>
      </c>
      <c r="AW1409" s="46">
        <f>AV1409*IF(B1409&gt;=in_marketplace_from,d_hz_shop*G1409,0)</f>
        <v/>
      </c>
      <c r="AX1409" s="14">
        <f>F1409*AW1409*in_shop_ticket*in_shop_comm*in_ins_partner_share+F1409*in_shop_ticket*in_shop_renew_comm*in_ins_partner_share*(in_shop_renew^1*SUMIFS(AW1397:AW1425,B1397:B1425,B1409-12)+in_shop_renew^2*SUMIFS(AW1397:AW1425,B1397:B1425,B1409-24)+in_shop_renew^3*SUMIFS(AW1397:AW1425,B1397:B1425,B1409-36)+in_shop_renew^4*SUMIFS(AW1397:AW1425,B1397:B1425,B1409-48))</f>
        <v/>
      </c>
      <c r="AY1409" s="40">
        <f>AY1408*(1-IF(B1408&gt;=in_marketplace_from,d_hz_sip*G1408,0))</f>
        <v/>
      </c>
      <c r="AZ1409" s="40">
        <f>AZ1408*d_rho_sip+AY1409*IF(B1409&gt;=in_marketplace_from,d_hz_sip*G1409,0)</f>
        <v/>
      </c>
      <c r="BA1409" s="40">
        <f>d_rho_sip*(BA1408+AZ1408)</f>
        <v/>
      </c>
      <c r="BB1409" s="14">
        <f>F1409*in_sip_ticket*(BA1409+0.5*AZ1409)*in_sip_comm/12</f>
        <v/>
      </c>
      <c r="BC1409" s="40">
        <f>BC1408*(1-IF(B1408&gt;=in_marketplace_from,d_hz_choti*G1408,0))</f>
        <v/>
      </c>
      <c r="BD1409" s="46">
        <f>BC1409*IF(B1409&gt;=in_marketplace_from,d_hz_choti*G1409,0)</f>
        <v/>
      </c>
      <c r="BE1409" s="14">
        <f>F1409*SUMIFS(BD1397:BD1425,B1397:B1425,B1409-in_choti_months)*in_choti_renew*in_choti_ticket</f>
        <v/>
      </c>
      <c r="BF1409" s="40">
        <f>BF1408*(1-IF(B1408&gt;=in_marketplace_from,d_hz_nps*G1408,0))</f>
        <v/>
      </c>
      <c r="BG1409" s="14">
        <f>F1409*BF1409*IF(B1409&gt;=in_marketplace_from,d_hz_nps*G1409,0)*in_nps_ticket*in_nps_comm</f>
        <v/>
      </c>
      <c r="BH1409" s="40">
        <f>BH1408*(1-IF(B1408&gt;=in_marketplace_from,d_hz_gold*G1408,0))</f>
        <v/>
      </c>
      <c r="BI1409" s="40">
        <f>BI1408*d_rho_gold+BH1409*IF(B1409&gt;=in_marketplace_from,d_hz_gold*G1409,0)</f>
        <v/>
      </c>
      <c r="BJ1409" s="14">
        <f>F1409*BI1409*in_gold_ticket*in_gold_comm</f>
        <v/>
      </c>
      <c r="BK1409" s="40">
        <f>BK1408*(1-IF(B1408&gt;=in_marketplace_from,d_hz_fd*G1408,0))</f>
        <v/>
      </c>
      <c r="BL1409" s="14">
        <f>F1409*BK1409*IF(B1409&gt;=in_marketplace_from,d_hz_fd*G1409,0)*in_fd_ticket*in_fd_comm</f>
        <v/>
      </c>
      <c r="BM1409" s="40">
        <f>BM1408*(1-IF(B1408&gt;=in_marketplace_from,d_hz_recharge*G1408,0))</f>
        <v/>
      </c>
      <c r="BN1409" s="40">
        <f>BN1408*d_rho_recharge+BM1409*IF(B1409&gt;=in_marketplace_from,d_hz_recharge*G1409,0)</f>
        <v/>
      </c>
      <c r="BO1409" s="14">
        <f>F1409*BN1409*in_recharge_ticket*in_recharge_comm/12</f>
        <v/>
      </c>
      <c r="BP1409" s="40">
        <f>BP1408*(1-IF(B1408&gt;=in_marketplace_from,d_hz_bills*G1408,0))</f>
        <v/>
      </c>
      <c r="BQ1409" s="40">
        <f>BQ1408*d_rho_bills+BP1409*IF(B1409&gt;=in_marketplace_from,d_hz_bills*G1409,0)</f>
        <v/>
      </c>
      <c r="BR1409" s="14">
        <f>F1409*BQ1409*in_bills_ticket*in_bills_comm/12</f>
        <v/>
      </c>
      <c r="BS1409" s="40">
        <f>BS1408*(1-IF(B1408&gt;=in_marketplace_from,d_hz_loan_gold*G1408,0))</f>
        <v/>
      </c>
      <c r="BT1409" s="14">
        <f>F1409*BS1409*IF(B1409&gt;=in_marketplace_from,d_hz_loan_gold*G1409,0)*in_loan_gold_ticket*in_loan_gold_comm</f>
        <v/>
      </c>
      <c r="BU1409" s="40">
        <f>BU1408*(1-IF(B1408&gt;=in_marketplace_from,d_hz_loan_cd*G1408,0))</f>
        <v/>
      </c>
      <c r="BV1409" s="14">
        <f>F1409*BU1409*IF(B1409&gt;=in_marketplace_from,d_hz_loan_cd*G1409,0)*in_loan_cd_ticket*in_loan_cd_comm</f>
        <v/>
      </c>
      <c r="BW1409" s="40">
        <f>BW1408*(1-IF(B1408&gt;=in_marketplace_from,d_hz_loan_vehicle*G1408,0))</f>
        <v/>
      </c>
      <c r="BX1409" s="14">
        <f>F1409*BW1409*IF(B1409&gt;=in_marketplace_from,d_hz_loan_vehicle*G1409,0)*in_loan_vehicle_ticket*in_loan_vehicle_comm</f>
        <v/>
      </c>
      <c r="BY1409" s="40">
        <f>BY1408*(1-IF(B1408&gt;=in_marketplace_from,d_hz_loan_home*G1408,0)*BZ1408)</f>
        <v/>
      </c>
      <c r="BZ1409" s="11">
        <f>MIN(in_approval_cap,in_loan_home_approval*INDEX('Age profile'!$O$2:$O$61,B1409)*(1+in_approval_growth)^(D1409-1))</f>
        <v/>
      </c>
      <c r="CA1409" s="14">
        <f>F1409*BY1409*IF(B1409&gt;=in_marketplace_from,d_hz_loan_home*G1409,0)*BZ1409*in_loan_home_ticket*in_loan_home_comm</f>
        <v/>
      </c>
      <c r="CB1409" s="40">
        <f>CB1408*(1-IF(B1408&gt;=in_marketplace_from,d_hz_loan_lap*G1408,0)*CC1408)</f>
        <v/>
      </c>
      <c r="CC1409" s="11">
        <f>MIN(in_approval_cap,in_loan_lap_approval*INDEX('Age profile'!$O$2:$O$61,B1409)*(1+in_approval_growth)^(D1409-1))</f>
        <v/>
      </c>
      <c r="CD1409" s="14">
        <f>F1409*CB1409*IF(B1409&gt;=in_marketplace_from,d_hz_loan_lap*G1409,0)*CC1409*in_loan_lap_ticket*in_loan_lap_comm</f>
        <v/>
      </c>
      <c r="CE1409" s="14">
        <f>AA1409+AB1409+AC1409+AD1409+AG1409+AJ1409+AM1409+AP1409+AS1409+AU1409+AX1409+BB1409+BE1409+BG1409+BJ1409+BL1409+BO1409+BR1409+BT1409+BV1409+BX1409+CA1409+CD1409</f>
        <v/>
      </c>
    </row>
    <row r="1410">
      <c r="A1410" s="39" t="n">
        <v>32</v>
      </c>
      <c r="B1410" s="39" t="n">
        <v>14</v>
      </c>
      <c r="C1410" s="39">
        <f>A1410+B1410-1</f>
        <v/>
      </c>
      <c r="D1410" s="39">
        <f>INT((C1410-1)/12)+1</f>
        <v/>
      </c>
      <c r="E1410" s="44">
        <f>INDEX(Monthly!$B$2:$B$61,A1410)</f>
        <v/>
      </c>
      <c r="F1410" s="44">
        <f>E1410*INDEX('Age profile'!$B$2:$B$61,B1410)</f>
        <v/>
      </c>
      <c r="G1410" s="45">
        <f>MIN(in_takeup_cap,INDEX('Age profile'!$N$2:$N$61,B1410)*(1+in_takeup_growth)^(D1410-1))</f>
        <v/>
      </c>
      <c r="H1410" s="11">
        <f>MIN(in_approval_cap,in_approved_first*INDEX('Age profile'!$O$2:$O$61,B1410)*(1+in_approval_growth)^(D1410-1))</f>
        <v/>
      </c>
      <c r="I1410" s="45">
        <f>G1410*MIN(in_takeup_cap,INDEX('Age profile'!$O$2:$O$61,B1410)*(1+in_approval_growth)^(D1410-1))</f>
        <v/>
      </c>
      <c r="J1410" s="40">
        <f>(J1409-L1409)*F1410/F1409</f>
        <v/>
      </c>
      <c r="K1410" s="40">
        <f>(K1409-M1409)*F1410/F1409+SUMIFS(O1397:O1409,B1397:B1409,B1410-1-d_T)*F1410</f>
        <v/>
      </c>
      <c r="L1410" s="40">
        <f>IF(B1410&gt;=in_marketplace_from,J1410*d_hz*G1410*in_eligible*H1410,0)</f>
        <v/>
      </c>
      <c r="M1410" s="40">
        <f>IF(B1410&gt;=in_marketplace_from,K1410*d_hz*G1410*in_eligible*in_approved_repeat,0)</f>
        <v/>
      </c>
      <c r="N1410" s="40">
        <f>L1410+M1410</f>
        <v/>
      </c>
      <c r="O1410" s="46">
        <f>N1410/F1410</f>
        <v/>
      </c>
      <c r="P1410" s="40">
        <f>F1410-J1410-K1410</f>
        <v/>
      </c>
      <c r="Q1410" s="40">
        <f>IF(B1410&gt;=in_marketplace_from,(J1410+K1410)*d_hz*G1410,0)</f>
        <v/>
      </c>
      <c r="R1410" s="40">
        <f>SUMIFS(N1397:N1425,B1397:B1425,"&gt;="&amp;(B1410-d_T),B1397:B1425,"&lt;="&amp;(B1410-1))</f>
        <v/>
      </c>
      <c r="S1410" s="46">
        <f>(1-d_u)*S1409+IF(d_T&gt;in_topup_lag,SUMIFS(O1397:O1425,B1397:B1425,B1410-in_topup_lag)-d_udrop*SUMIFS(O1397:O1425,B1397:B1425,B1410-d_T),0)</f>
        <v/>
      </c>
      <c r="T1410" s="40">
        <f>F1410*d_u*S1410</f>
        <v/>
      </c>
      <c r="U1410" s="9">
        <f>L1410*in_ticket+M1410*d_rep_ticket</f>
        <v/>
      </c>
      <c r="V1410" s="9">
        <f>U1410+T1410*d_topup_amt</f>
        <v/>
      </c>
      <c r="W1410" s="40">
        <f>N1410+T1410*d_topup_ratio</f>
        <v/>
      </c>
      <c r="X1410" s="40">
        <f>SUMIFS(W1397:W1425,B1397:B1425,B1410-in_dpd_lag)*d_cured</f>
        <v/>
      </c>
      <c r="Y1410" s="40">
        <f>SUMIFS(W1397:W1425,B1397:B1425,B1410-in_rec_lag)*d_recd</f>
        <v/>
      </c>
      <c r="Z1410" s="40">
        <f>IF(AND(B1410&gt;=in_marketplace_from,B1410&lt;in_marketplace_from+in_card_months),in_card_share/in_card_months*F1410*I1410,IF(AND(B1410&gt;=in_marketplace_from+in_card_months,B1410&lt;in_marketplace_from+2*in_card_months),in_card_share*d_card_rem/in_card_months*F1410*MIN(in_takeup_cap,(1+in_takeup_growth)^(D1410-1))*MIN(in_takeup_cap,(1+in_approval_growth)^(D1410-1)),0))</f>
        <v/>
      </c>
      <c r="AA1410" s="14">
        <f>V1410*in_fee*(1-in_taken_back)</f>
        <v/>
      </c>
      <c r="AB1410" s="14">
        <f>SUMIFS(W1397:W1425,B1397:B1425,B1410-in_dpd_lag)*d_dpd</f>
        <v/>
      </c>
      <c r="AC1410" s="14">
        <f>SUMIFS(W1397:W1425,B1397:B1425,B1410-in_rec_lag)*d_rec</f>
        <v/>
      </c>
      <c r="AD1410" s="14">
        <f>Z1410*in_card_fee</f>
        <v/>
      </c>
      <c r="AE1410" s="40">
        <f>AE1409*(1-IF(B1409&gt;=in_marketplace_from,d_hz_hlth_small*G1409,0))</f>
        <v/>
      </c>
      <c r="AF1410" s="46">
        <f>AE1410*IF(B1410&gt;=in_marketplace_from,d_hz_hlth_small*G1410,0)</f>
        <v/>
      </c>
      <c r="AG1410" s="14">
        <f>F1410*AF1410*in_hlth_small_ticket*in_hlth_small_comm*in_ins_partner_share+F1410*in_hlth_small_ticket*in_hlth_small_renew_comm*in_ins_partner_share*(in_hlth_small_renew^1*SUMIFS(AF1397:AF1425,B1397:B1425,B1410-12)+in_hlth_small_renew^2*SUMIFS(AF1397:AF1425,B1397:B1425,B1410-24)+in_hlth_small_renew^3*SUMIFS(AF1397:AF1425,B1397:B1425,B1410-36)+in_hlth_small_renew^4*SUMIFS(AF1397:AF1425,B1397:B1425,B1410-48))</f>
        <v/>
      </c>
      <c r="AH1410" s="40">
        <f>AH1409*(1-IF(B1409&gt;=in_marketplace_from,d_hz_hlth_family*G1409,0))</f>
        <v/>
      </c>
      <c r="AI1410" s="46">
        <f>AH1410*IF(B1410&gt;=in_marketplace_from,d_hz_hlth_family*G1410,0)</f>
        <v/>
      </c>
      <c r="AJ1410" s="14">
        <f>F1410*AI1410*in_hlth_family_ticket*in_hlth_family_comm*in_ins_partner_share+F1410*in_hlth_family_ticket*in_hlth_family_renew_comm*in_ins_partner_share*(in_hlth_family_renew^1*SUMIFS(AI1397:AI1425,B1397:B1425,B1410-12)+in_hlth_family_renew^2*SUMIFS(AI1397:AI1425,B1397:B1425,B1410-24)+in_hlth_family_renew^3*SUMIFS(AI1397:AI1425,B1397:B1425,B1410-36)+in_hlth_family_renew^4*SUMIFS(AI1397:AI1425,B1397:B1425,B1410-48))</f>
        <v/>
      </c>
      <c r="AK1410" s="40">
        <f>AK1409*(1-IF(B1409&gt;=in_marketplace_from,d_hz_life_term*G1409,0))</f>
        <v/>
      </c>
      <c r="AL1410" s="46">
        <f>AK1410*IF(B1410&gt;=in_marketplace_from,d_hz_life_term*G1410,0)</f>
        <v/>
      </c>
      <c r="AM1410" s="14">
        <f>F1410*AL1410*in_life_term_ticket*in_life_term_comm*in_ins_partner_share+F1410*in_life_term_ticket*in_life_term_renew_comm*in_ins_partner_share*(in_life_term_renew^1*SUMIFS(AL1397:AL1425,B1397:B1425,B1410-12)+in_life_term_renew^2*SUMIFS(AL1397:AL1425,B1397:B1425,B1410-24)+in_life_term_renew^3*SUMIFS(AL1397:AL1425,B1397:B1425,B1410-36)+in_life_term_renew^4*SUMIFS(AL1397:AL1425,B1397:B1425,B1410-48))</f>
        <v/>
      </c>
      <c r="AN1410" s="40">
        <f>AN1409*(1-IF(B1409&gt;=in_marketplace_from,d_hz_accident*G1409,0))</f>
        <v/>
      </c>
      <c r="AO1410" s="46">
        <f>AN1410*IF(B1410&gt;=in_marketplace_from,d_hz_accident*G1410,0)</f>
        <v/>
      </c>
      <c r="AP1410" s="14">
        <f>F1410*AO1410*in_accident_ticket*in_accident_comm*in_ins_partner_share+F1410*in_accident_ticket*in_accident_renew_comm*in_ins_partner_share*(in_accident_renew^1*SUMIFS(AO1397:AO1425,B1397:B1425,B1410-12)+in_accident_renew^2*SUMIFS(AO1397:AO1425,B1397:B1425,B1410-24)+in_accident_renew^3*SUMIFS(AO1397:AO1425,B1397:B1425,B1410-36)+in_accident_renew^4*SUMIFS(AO1397:AO1425,B1397:B1425,B1410-48))</f>
        <v/>
      </c>
      <c r="AQ1410" s="40">
        <f>AQ1409*(1-IF(B1409&gt;=in_marketplace_from,d_hz_two_wheeler*G1409,0))</f>
        <v/>
      </c>
      <c r="AR1410" s="46">
        <f>AQ1410*IF(B1410&gt;=in_marketplace_from,d_hz_two_wheeler*G1410,0)</f>
        <v/>
      </c>
      <c r="AS1410" s="14">
        <f>F1410*AR1410*in_two_wheeler_ticket*in_two_wheeler_comm*in_ins_partner_share+F1410*in_two_wheeler_ticket*in_two_wheeler_comm*in_ins_partner_share*(in_two_wheeler_renew^1*SUMIFS(AR1397:AR1425,B1397:B1425,B1410-12)+in_two_wheeler_renew^2*SUMIFS(AR1397:AR1425,B1397:B1425,B1410-24)+in_two_wheeler_renew^3*SUMIFS(AR1397:AR1425,B1397:B1425,B1410-36)+in_two_wheeler_renew^4*SUMIFS(AR1397:AR1425,B1397:B1425,B1410-48))</f>
        <v/>
      </c>
      <c r="AT1410" s="40">
        <f>AT1409*(1-IF(B1409&gt;=in_marketplace_from,d_hz_device*G1409,0))</f>
        <v/>
      </c>
      <c r="AU1410" s="14">
        <f>F1410*AT1410*IF(B1410&gt;=in_marketplace_from,d_hz_device*G1410,0)*in_device_ticket*in_device_comm*in_ins_partner_share</f>
        <v/>
      </c>
      <c r="AV1410" s="40">
        <f>AV1409*(1-IF(B1409&gt;=in_marketplace_from,d_hz_shop*G1409,0))</f>
        <v/>
      </c>
      <c r="AW1410" s="46">
        <f>AV1410*IF(B1410&gt;=in_marketplace_from,d_hz_shop*G1410,0)</f>
        <v/>
      </c>
      <c r="AX1410" s="14">
        <f>F1410*AW1410*in_shop_ticket*in_shop_comm*in_ins_partner_share+F1410*in_shop_ticket*in_shop_renew_comm*in_ins_partner_share*(in_shop_renew^1*SUMIFS(AW1397:AW1425,B1397:B1425,B1410-12)+in_shop_renew^2*SUMIFS(AW1397:AW1425,B1397:B1425,B1410-24)+in_shop_renew^3*SUMIFS(AW1397:AW1425,B1397:B1425,B1410-36)+in_shop_renew^4*SUMIFS(AW1397:AW1425,B1397:B1425,B1410-48))</f>
        <v/>
      </c>
      <c r="AY1410" s="40">
        <f>AY1409*(1-IF(B1409&gt;=in_marketplace_from,d_hz_sip*G1409,0))</f>
        <v/>
      </c>
      <c r="AZ1410" s="40">
        <f>AZ1409*d_rho_sip+AY1410*IF(B1410&gt;=in_marketplace_from,d_hz_sip*G1410,0)</f>
        <v/>
      </c>
      <c r="BA1410" s="40">
        <f>d_rho_sip*(BA1409+AZ1409)</f>
        <v/>
      </c>
      <c r="BB1410" s="14">
        <f>F1410*in_sip_ticket*(BA1410+0.5*AZ1410)*in_sip_comm/12</f>
        <v/>
      </c>
      <c r="BC1410" s="40">
        <f>BC1409*(1-IF(B1409&gt;=in_marketplace_from,d_hz_choti*G1409,0))</f>
        <v/>
      </c>
      <c r="BD1410" s="46">
        <f>BC1410*IF(B1410&gt;=in_marketplace_from,d_hz_choti*G1410,0)</f>
        <v/>
      </c>
      <c r="BE1410" s="14">
        <f>F1410*SUMIFS(BD1397:BD1425,B1397:B1425,B1410-in_choti_months)*in_choti_renew*in_choti_ticket</f>
        <v/>
      </c>
      <c r="BF1410" s="40">
        <f>BF1409*(1-IF(B1409&gt;=in_marketplace_from,d_hz_nps*G1409,0))</f>
        <v/>
      </c>
      <c r="BG1410" s="14">
        <f>F1410*BF1410*IF(B1410&gt;=in_marketplace_from,d_hz_nps*G1410,0)*in_nps_ticket*in_nps_comm</f>
        <v/>
      </c>
      <c r="BH1410" s="40">
        <f>BH1409*(1-IF(B1409&gt;=in_marketplace_from,d_hz_gold*G1409,0))</f>
        <v/>
      </c>
      <c r="BI1410" s="40">
        <f>BI1409*d_rho_gold+BH1410*IF(B1410&gt;=in_marketplace_from,d_hz_gold*G1410,0)</f>
        <v/>
      </c>
      <c r="BJ1410" s="14">
        <f>F1410*BI1410*in_gold_ticket*in_gold_comm</f>
        <v/>
      </c>
      <c r="BK1410" s="40">
        <f>BK1409*(1-IF(B1409&gt;=in_marketplace_from,d_hz_fd*G1409,0))</f>
        <v/>
      </c>
      <c r="BL1410" s="14">
        <f>F1410*BK1410*IF(B1410&gt;=in_marketplace_from,d_hz_fd*G1410,0)*in_fd_ticket*in_fd_comm</f>
        <v/>
      </c>
      <c r="BM1410" s="40">
        <f>BM1409*(1-IF(B1409&gt;=in_marketplace_from,d_hz_recharge*G1409,0))</f>
        <v/>
      </c>
      <c r="BN1410" s="40">
        <f>BN1409*d_rho_recharge+BM1410*IF(B1410&gt;=in_marketplace_from,d_hz_recharge*G1410,0)</f>
        <v/>
      </c>
      <c r="BO1410" s="14">
        <f>F1410*BN1410*in_recharge_ticket*in_recharge_comm/12</f>
        <v/>
      </c>
      <c r="BP1410" s="40">
        <f>BP1409*(1-IF(B1409&gt;=in_marketplace_from,d_hz_bills*G1409,0))</f>
        <v/>
      </c>
      <c r="BQ1410" s="40">
        <f>BQ1409*d_rho_bills+BP1410*IF(B1410&gt;=in_marketplace_from,d_hz_bills*G1410,0)</f>
        <v/>
      </c>
      <c r="BR1410" s="14">
        <f>F1410*BQ1410*in_bills_ticket*in_bills_comm/12</f>
        <v/>
      </c>
      <c r="BS1410" s="40">
        <f>BS1409*(1-IF(B1409&gt;=in_marketplace_from,d_hz_loan_gold*G1409,0))</f>
        <v/>
      </c>
      <c r="BT1410" s="14">
        <f>F1410*BS1410*IF(B1410&gt;=in_marketplace_from,d_hz_loan_gold*G1410,0)*in_loan_gold_ticket*in_loan_gold_comm</f>
        <v/>
      </c>
      <c r="BU1410" s="40">
        <f>BU1409*(1-IF(B1409&gt;=in_marketplace_from,d_hz_loan_cd*G1409,0))</f>
        <v/>
      </c>
      <c r="BV1410" s="14">
        <f>F1410*BU1410*IF(B1410&gt;=in_marketplace_from,d_hz_loan_cd*G1410,0)*in_loan_cd_ticket*in_loan_cd_comm</f>
        <v/>
      </c>
      <c r="BW1410" s="40">
        <f>BW1409*(1-IF(B1409&gt;=in_marketplace_from,d_hz_loan_vehicle*G1409,0))</f>
        <v/>
      </c>
      <c r="BX1410" s="14">
        <f>F1410*BW1410*IF(B1410&gt;=in_marketplace_from,d_hz_loan_vehicle*G1410,0)*in_loan_vehicle_ticket*in_loan_vehicle_comm</f>
        <v/>
      </c>
      <c r="BY1410" s="40">
        <f>BY1409*(1-IF(B1409&gt;=in_marketplace_from,d_hz_loan_home*G1409,0)*BZ1409)</f>
        <v/>
      </c>
      <c r="BZ1410" s="11">
        <f>MIN(in_approval_cap,in_loan_home_approval*INDEX('Age profile'!$O$2:$O$61,B1410)*(1+in_approval_growth)^(D1410-1))</f>
        <v/>
      </c>
      <c r="CA1410" s="14">
        <f>F1410*BY1410*IF(B1410&gt;=in_marketplace_from,d_hz_loan_home*G1410,0)*BZ1410*in_loan_home_ticket*in_loan_home_comm</f>
        <v/>
      </c>
      <c r="CB1410" s="40">
        <f>CB1409*(1-IF(B1409&gt;=in_marketplace_from,d_hz_loan_lap*G1409,0)*CC1409)</f>
        <v/>
      </c>
      <c r="CC1410" s="11">
        <f>MIN(in_approval_cap,in_loan_lap_approval*INDEX('Age profile'!$O$2:$O$61,B1410)*(1+in_approval_growth)^(D1410-1))</f>
        <v/>
      </c>
      <c r="CD1410" s="14">
        <f>F1410*CB1410*IF(B1410&gt;=in_marketplace_from,d_hz_loan_lap*G1410,0)*CC1410*in_loan_lap_ticket*in_loan_lap_comm</f>
        <v/>
      </c>
      <c r="CE1410" s="14">
        <f>AA1410+AB1410+AC1410+AD1410+AG1410+AJ1410+AM1410+AP1410+AS1410+AU1410+AX1410+BB1410+BE1410+BG1410+BJ1410+BL1410+BO1410+BR1410+BT1410+BV1410+BX1410+CA1410+CD1410</f>
        <v/>
      </c>
    </row>
    <row r="1411">
      <c r="A1411" s="39" t="n">
        <v>32</v>
      </c>
      <c r="B1411" s="39" t="n">
        <v>15</v>
      </c>
      <c r="C1411" s="39">
        <f>A1411+B1411-1</f>
        <v/>
      </c>
      <c r="D1411" s="39">
        <f>INT((C1411-1)/12)+1</f>
        <v/>
      </c>
      <c r="E1411" s="44">
        <f>INDEX(Monthly!$B$2:$B$61,A1411)</f>
        <v/>
      </c>
      <c r="F1411" s="44">
        <f>E1411*INDEX('Age profile'!$B$2:$B$61,B1411)</f>
        <v/>
      </c>
      <c r="G1411" s="45">
        <f>MIN(in_takeup_cap,INDEX('Age profile'!$N$2:$N$61,B1411)*(1+in_takeup_growth)^(D1411-1))</f>
        <v/>
      </c>
      <c r="H1411" s="11">
        <f>MIN(in_approval_cap,in_approved_first*INDEX('Age profile'!$O$2:$O$61,B1411)*(1+in_approval_growth)^(D1411-1))</f>
        <v/>
      </c>
      <c r="I1411" s="45">
        <f>G1411*MIN(in_takeup_cap,INDEX('Age profile'!$O$2:$O$61,B1411)*(1+in_approval_growth)^(D1411-1))</f>
        <v/>
      </c>
      <c r="J1411" s="40">
        <f>(J1410-L1410)*F1411/F1410</f>
        <v/>
      </c>
      <c r="K1411" s="40">
        <f>(K1410-M1410)*F1411/F1410+SUMIFS(O1397:O1410,B1397:B1410,B1411-1-d_T)*F1411</f>
        <v/>
      </c>
      <c r="L1411" s="40">
        <f>IF(B1411&gt;=in_marketplace_from,J1411*d_hz*G1411*in_eligible*H1411,0)</f>
        <v/>
      </c>
      <c r="M1411" s="40">
        <f>IF(B1411&gt;=in_marketplace_from,K1411*d_hz*G1411*in_eligible*in_approved_repeat,0)</f>
        <v/>
      </c>
      <c r="N1411" s="40">
        <f>L1411+M1411</f>
        <v/>
      </c>
      <c r="O1411" s="46">
        <f>N1411/F1411</f>
        <v/>
      </c>
      <c r="P1411" s="40">
        <f>F1411-J1411-K1411</f>
        <v/>
      </c>
      <c r="Q1411" s="40">
        <f>IF(B1411&gt;=in_marketplace_from,(J1411+K1411)*d_hz*G1411,0)</f>
        <v/>
      </c>
      <c r="R1411" s="40">
        <f>SUMIFS(N1397:N1425,B1397:B1425,"&gt;="&amp;(B1411-d_T),B1397:B1425,"&lt;="&amp;(B1411-1))</f>
        <v/>
      </c>
      <c r="S1411" s="46">
        <f>(1-d_u)*S1410+IF(d_T&gt;in_topup_lag,SUMIFS(O1397:O1425,B1397:B1425,B1411-in_topup_lag)-d_udrop*SUMIFS(O1397:O1425,B1397:B1425,B1411-d_T),0)</f>
        <v/>
      </c>
      <c r="T1411" s="40">
        <f>F1411*d_u*S1411</f>
        <v/>
      </c>
      <c r="U1411" s="9">
        <f>L1411*in_ticket+M1411*d_rep_ticket</f>
        <v/>
      </c>
      <c r="V1411" s="9">
        <f>U1411+T1411*d_topup_amt</f>
        <v/>
      </c>
      <c r="W1411" s="40">
        <f>N1411+T1411*d_topup_ratio</f>
        <v/>
      </c>
      <c r="X1411" s="40">
        <f>SUMIFS(W1397:W1425,B1397:B1425,B1411-in_dpd_lag)*d_cured</f>
        <v/>
      </c>
      <c r="Y1411" s="40">
        <f>SUMIFS(W1397:W1425,B1397:B1425,B1411-in_rec_lag)*d_recd</f>
        <v/>
      </c>
      <c r="Z1411" s="40">
        <f>IF(AND(B1411&gt;=in_marketplace_from,B1411&lt;in_marketplace_from+in_card_months),in_card_share/in_card_months*F1411*I1411,IF(AND(B1411&gt;=in_marketplace_from+in_card_months,B1411&lt;in_marketplace_from+2*in_card_months),in_card_share*d_card_rem/in_card_months*F1411*MIN(in_takeup_cap,(1+in_takeup_growth)^(D1411-1))*MIN(in_takeup_cap,(1+in_approval_growth)^(D1411-1)),0))</f>
        <v/>
      </c>
      <c r="AA1411" s="14">
        <f>V1411*in_fee*(1-in_taken_back)</f>
        <v/>
      </c>
      <c r="AB1411" s="14">
        <f>SUMIFS(W1397:W1425,B1397:B1425,B1411-in_dpd_lag)*d_dpd</f>
        <v/>
      </c>
      <c r="AC1411" s="14">
        <f>SUMIFS(W1397:W1425,B1397:B1425,B1411-in_rec_lag)*d_rec</f>
        <v/>
      </c>
      <c r="AD1411" s="14">
        <f>Z1411*in_card_fee</f>
        <v/>
      </c>
      <c r="AE1411" s="40">
        <f>AE1410*(1-IF(B1410&gt;=in_marketplace_from,d_hz_hlth_small*G1410,0))</f>
        <v/>
      </c>
      <c r="AF1411" s="46">
        <f>AE1411*IF(B1411&gt;=in_marketplace_from,d_hz_hlth_small*G1411,0)</f>
        <v/>
      </c>
      <c r="AG1411" s="14">
        <f>F1411*AF1411*in_hlth_small_ticket*in_hlth_small_comm*in_ins_partner_share+F1411*in_hlth_small_ticket*in_hlth_small_renew_comm*in_ins_partner_share*(in_hlth_small_renew^1*SUMIFS(AF1397:AF1425,B1397:B1425,B1411-12)+in_hlth_small_renew^2*SUMIFS(AF1397:AF1425,B1397:B1425,B1411-24)+in_hlth_small_renew^3*SUMIFS(AF1397:AF1425,B1397:B1425,B1411-36)+in_hlth_small_renew^4*SUMIFS(AF1397:AF1425,B1397:B1425,B1411-48))</f>
        <v/>
      </c>
      <c r="AH1411" s="40">
        <f>AH1410*(1-IF(B1410&gt;=in_marketplace_from,d_hz_hlth_family*G1410,0))</f>
        <v/>
      </c>
      <c r="AI1411" s="46">
        <f>AH1411*IF(B1411&gt;=in_marketplace_from,d_hz_hlth_family*G1411,0)</f>
        <v/>
      </c>
      <c r="AJ1411" s="14">
        <f>F1411*AI1411*in_hlth_family_ticket*in_hlth_family_comm*in_ins_partner_share+F1411*in_hlth_family_ticket*in_hlth_family_renew_comm*in_ins_partner_share*(in_hlth_family_renew^1*SUMIFS(AI1397:AI1425,B1397:B1425,B1411-12)+in_hlth_family_renew^2*SUMIFS(AI1397:AI1425,B1397:B1425,B1411-24)+in_hlth_family_renew^3*SUMIFS(AI1397:AI1425,B1397:B1425,B1411-36)+in_hlth_family_renew^4*SUMIFS(AI1397:AI1425,B1397:B1425,B1411-48))</f>
        <v/>
      </c>
      <c r="AK1411" s="40">
        <f>AK1410*(1-IF(B1410&gt;=in_marketplace_from,d_hz_life_term*G1410,0))</f>
        <v/>
      </c>
      <c r="AL1411" s="46">
        <f>AK1411*IF(B1411&gt;=in_marketplace_from,d_hz_life_term*G1411,0)</f>
        <v/>
      </c>
      <c r="AM1411" s="14">
        <f>F1411*AL1411*in_life_term_ticket*in_life_term_comm*in_ins_partner_share+F1411*in_life_term_ticket*in_life_term_renew_comm*in_ins_partner_share*(in_life_term_renew^1*SUMIFS(AL1397:AL1425,B1397:B1425,B1411-12)+in_life_term_renew^2*SUMIFS(AL1397:AL1425,B1397:B1425,B1411-24)+in_life_term_renew^3*SUMIFS(AL1397:AL1425,B1397:B1425,B1411-36)+in_life_term_renew^4*SUMIFS(AL1397:AL1425,B1397:B1425,B1411-48))</f>
        <v/>
      </c>
      <c r="AN1411" s="40">
        <f>AN1410*(1-IF(B1410&gt;=in_marketplace_from,d_hz_accident*G1410,0))</f>
        <v/>
      </c>
      <c r="AO1411" s="46">
        <f>AN1411*IF(B1411&gt;=in_marketplace_from,d_hz_accident*G1411,0)</f>
        <v/>
      </c>
      <c r="AP1411" s="14">
        <f>F1411*AO1411*in_accident_ticket*in_accident_comm*in_ins_partner_share+F1411*in_accident_ticket*in_accident_renew_comm*in_ins_partner_share*(in_accident_renew^1*SUMIFS(AO1397:AO1425,B1397:B1425,B1411-12)+in_accident_renew^2*SUMIFS(AO1397:AO1425,B1397:B1425,B1411-24)+in_accident_renew^3*SUMIFS(AO1397:AO1425,B1397:B1425,B1411-36)+in_accident_renew^4*SUMIFS(AO1397:AO1425,B1397:B1425,B1411-48))</f>
        <v/>
      </c>
      <c r="AQ1411" s="40">
        <f>AQ1410*(1-IF(B1410&gt;=in_marketplace_from,d_hz_two_wheeler*G1410,0))</f>
        <v/>
      </c>
      <c r="AR1411" s="46">
        <f>AQ1411*IF(B1411&gt;=in_marketplace_from,d_hz_two_wheeler*G1411,0)</f>
        <v/>
      </c>
      <c r="AS1411" s="14">
        <f>F1411*AR1411*in_two_wheeler_ticket*in_two_wheeler_comm*in_ins_partner_share+F1411*in_two_wheeler_ticket*in_two_wheeler_comm*in_ins_partner_share*(in_two_wheeler_renew^1*SUMIFS(AR1397:AR1425,B1397:B1425,B1411-12)+in_two_wheeler_renew^2*SUMIFS(AR1397:AR1425,B1397:B1425,B1411-24)+in_two_wheeler_renew^3*SUMIFS(AR1397:AR1425,B1397:B1425,B1411-36)+in_two_wheeler_renew^4*SUMIFS(AR1397:AR1425,B1397:B1425,B1411-48))</f>
        <v/>
      </c>
      <c r="AT1411" s="40">
        <f>AT1410*(1-IF(B1410&gt;=in_marketplace_from,d_hz_device*G1410,0))</f>
        <v/>
      </c>
      <c r="AU1411" s="14">
        <f>F1411*AT1411*IF(B1411&gt;=in_marketplace_from,d_hz_device*G1411,0)*in_device_ticket*in_device_comm*in_ins_partner_share</f>
        <v/>
      </c>
      <c r="AV1411" s="40">
        <f>AV1410*(1-IF(B1410&gt;=in_marketplace_from,d_hz_shop*G1410,0))</f>
        <v/>
      </c>
      <c r="AW1411" s="46">
        <f>AV1411*IF(B1411&gt;=in_marketplace_from,d_hz_shop*G1411,0)</f>
        <v/>
      </c>
      <c r="AX1411" s="14">
        <f>F1411*AW1411*in_shop_ticket*in_shop_comm*in_ins_partner_share+F1411*in_shop_ticket*in_shop_renew_comm*in_ins_partner_share*(in_shop_renew^1*SUMIFS(AW1397:AW1425,B1397:B1425,B1411-12)+in_shop_renew^2*SUMIFS(AW1397:AW1425,B1397:B1425,B1411-24)+in_shop_renew^3*SUMIFS(AW1397:AW1425,B1397:B1425,B1411-36)+in_shop_renew^4*SUMIFS(AW1397:AW1425,B1397:B1425,B1411-48))</f>
        <v/>
      </c>
      <c r="AY1411" s="40">
        <f>AY1410*(1-IF(B1410&gt;=in_marketplace_from,d_hz_sip*G1410,0))</f>
        <v/>
      </c>
      <c r="AZ1411" s="40">
        <f>AZ1410*d_rho_sip+AY1411*IF(B1411&gt;=in_marketplace_from,d_hz_sip*G1411,0)</f>
        <v/>
      </c>
      <c r="BA1411" s="40">
        <f>d_rho_sip*(BA1410+AZ1410)</f>
        <v/>
      </c>
      <c r="BB1411" s="14">
        <f>F1411*in_sip_ticket*(BA1411+0.5*AZ1411)*in_sip_comm/12</f>
        <v/>
      </c>
      <c r="BC1411" s="40">
        <f>BC1410*(1-IF(B1410&gt;=in_marketplace_from,d_hz_choti*G1410,0))</f>
        <v/>
      </c>
      <c r="BD1411" s="46">
        <f>BC1411*IF(B1411&gt;=in_marketplace_from,d_hz_choti*G1411,0)</f>
        <v/>
      </c>
      <c r="BE1411" s="14">
        <f>F1411*SUMIFS(BD1397:BD1425,B1397:B1425,B1411-in_choti_months)*in_choti_renew*in_choti_ticket</f>
        <v/>
      </c>
      <c r="BF1411" s="40">
        <f>BF1410*(1-IF(B1410&gt;=in_marketplace_from,d_hz_nps*G1410,0))</f>
        <v/>
      </c>
      <c r="BG1411" s="14">
        <f>F1411*BF1411*IF(B1411&gt;=in_marketplace_from,d_hz_nps*G1411,0)*in_nps_ticket*in_nps_comm</f>
        <v/>
      </c>
      <c r="BH1411" s="40">
        <f>BH1410*(1-IF(B1410&gt;=in_marketplace_from,d_hz_gold*G1410,0))</f>
        <v/>
      </c>
      <c r="BI1411" s="40">
        <f>BI1410*d_rho_gold+BH1411*IF(B1411&gt;=in_marketplace_from,d_hz_gold*G1411,0)</f>
        <v/>
      </c>
      <c r="BJ1411" s="14">
        <f>F1411*BI1411*in_gold_ticket*in_gold_comm</f>
        <v/>
      </c>
      <c r="BK1411" s="40">
        <f>BK1410*(1-IF(B1410&gt;=in_marketplace_from,d_hz_fd*G1410,0))</f>
        <v/>
      </c>
      <c r="BL1411" s="14">
        <f>F1411*BK1411*IF(B1411&gt;=in_marketplace_from,d_hz_fd*G1411,0)*in_fd_ticket*in_fd_comm</f>
        <v/>
      </c>
      <c r="BM1411" s="40">
        <f>BM1410*(1-IF(B1410&gt;=in_marketplace_from,d_hz_recharge*G1410,0))</f>
        <v/>
      </c>
      <c r="BN1411" s="40">
        <f>BN1410*d_rho_recharge+BM1411*IF(B1411&gt;=in_marketplace_from,d_hz_recharge*G1411,0)</f>
        <v/>
      </c>
      <c r="BO1411" s="14">
        <f>F1411*BN1411*in_recharge_ticket*in_recharge_comm/12</f>
        <v/>
      </c>
      <c r="BP1411" s="40">
        <f>BP1410*(1-IF(B1410&gt;=in_marketplace_from,d_hz_bills*G1410,0))</f>
        <v/>
      </c>
      <c r="BQ1411" s="40">
        <f>BQ1410*d_rho_bills+BP1411*IF(B1411&gt;=in_marketplace_from,d_hz_bills*G1411,0)</f>
        <v/>
      </c>
      <c r="BR1411" s="14">
        <f>F1411*BQ1411*in_bills_ticket*in_bills_comm/12</f>
        <v/>
      </c>
      <c r="BS1411" s="40">
        <f>BS1410*(1-IF(B1410&gt;=in_marketplace_from,d_hz_loan_gold*G1410,0))</f>
        <v/>
      </c>
      <c r="BT1411" s="14">
        <f>F1411*BS1411*IF(B1411&gt;=in_marketplace_from,d_hz_loan_gold*G1411,0)*in_loan_gold_ticket*in_loan_gold_comm</f>
        <v/>
      </c>
      <c r="BU1411" s="40">
        <f>BU1410*(1-IF(B1410&gt;=in_marketplace_from,d_hz_loan_cd*G1410,0))</f>
        <v/>
      </c>
      <c r="BV1411" s="14">
        <f>F1411*BU1411*IF(B1411&gt;=in_marketplace_from,d_hz_loan_cd*G1411,0)*in_loan_cd_ticket*in_loan_cd_comm</f>
        <v/>
      </c>
      <c r="BW1411" s="40">
        <f>BW1410*(1-IF(B1410&gt;=in_marketplace_from,d_hz_loan_vehicle*G1410,0))</f>
        <v/>
      </c>
      <c r="BX1411" s="14">
        <f>F1411*BW1411*IF(B1411&gt;=in_marketplace_from,d_hz_loan_vehicle*G1411,0)*in_loan_vehicle_ticket*in_loan_vehicle_comm</f>
        <v/>
      </c>
      <c r="BY1411" s="40">
        <f>BY1410*(1-IF(B1410&gt;=in_marketplace_from,d_hz_loan_home*G1410,0)*BZ1410)</f>
        <v/>
      </c>
      <c r="BZ1411" s="11">
        <f>MIN(in_approval_cap,in_loan_home_approval*INDEX('Age profile'!$O$2:$O$61,B1411)*(1+in_approval_growth)^(D1411-1))</f>
        <v/>
      </c>
      <c r="CA1411" s="14">
        <f>F1411*BY1411*IF(B1411&gt;=in_marketplace_from,d_hz_loan_home*G1411,0)*BZ1411*in_loan_home_ticket*in_loan_home_comm</f>
        <v/>
      </c>
      <c r="CB1411" s="40">
        <f>CB1410*(1-IF(B1410&gt;=in_marketplace_from,d_hz_loan_lap*G1410,0)*CC1410)</f>
        <v/>
      </c>
      <c r="CC1411" s="11">
        <f>MIN(in_approval_cap,in_loan_lap_approval*INDEX('Age profile'!$O$2:$O$61,B1411)*(1+in_approval_growth)^(D1411-1))</f>
        <v/>
      </c>
      <c r="CD1411" s="14">
        <f>F1411*CB1411*IF(B1411&gt;=in_marketplace_from,d_hz_loan_lap*G1411,0)*CC1411*in_loan_lap_ticket*in_loan_lap_comm</f>
        <v/>
      </c>
      <c r="CE1411" s="14">
        <f>AA1411+AB1411+AC1411+AD1411+AG1411+AJ1411+AM1411+AP1411+AS1411+AU1411+AX1411+BB1411+BE1411+BG1411+BJ1411+BL1411+BO1411+BR1411+BT1411+BV1411+BX1411+CA1411+CD1411</f>
        <v/>
      </c>
    </row>
    <row r="1412">
      <c r="A1412" s="39" t="n">
        <v>32</v>
      </c>
      <c r="B1412" s="39" t="n">
        <v>16</v>
      </c>
      <c r="C1412" s="39">
        <f>A1412+B1412-1</f>
        <v/>
      </c>
      <c r="D1412" s="39">
        <f>INT((C1412-1)/12)+1</f>
        <v/>
      </c>
      <c r="E1412" s="44">
        <f>INDEX(Monthly!$B$2:$B$61,A1412)</f>
        <v/>
      </c>
      <c r="F1412" s="44">
        <f>E1412*INDEX('Age profile'!$B$2:$B$61,B1412)</f>
        <v/>
      </c>
      <c r="G1412" s="45">
        <f>MIN(in_takeup_cap,INDEX('Age profile'!$N$2:$N$61,B1412)*(1+in_takeup_growth)^(D1412-1))</f>
        <v/>
      </c>
      <c r="H1412" s="11">
        <f>MIN(in_approval_cap,in_approved_first*INDEX('Age profile'!$O$2:$O$61,B1412)*(1+in_approval_growth)^(D1412-1))</f>
        <v/>
      </c>
      <c r="I1412" s="45">
        <f>G1412*MIN(in_takeup_cap,INDEX('Age profile'!$O$2:$O$61,B1412)*(1+in_approval_growth)^(D1412-1))</f>
        <v/>
      </c>
      <c r="J1412" s="40">
        <f>(J1411-L1411)*F1412/F1411</f>
        <v/>
      </c>
      <c r="K1412" s="40">
        <f>(K1411-M1411)*F1412/F1411+SUMIFS(O1397:O1411,B1397:B1411,B1412-1-d_T)*F1412</f>
        <v/>
      </c>
      <c r="L1412" s="40">
        <f>IF(B1412&gt;=in_marketplace_from,J1412*d_hz*G1412*in_eligible*H1412,0)</f>
        <v/>
      </c>
      <c r="M1412" s="40">
        <f>IF(B1412&gt;=in_marketplace_from,K1412*d_hz*G1412*in_eligible*in_approved_repeat,0)</f>
        <v/>
      </c>
      <c r="N1412" s="40">
        <f>L1412+M1412</f>
        <v/>
      </c>
      <c r="O1412" s="46">
        <f>N1412/F1412</f>
        <v/>
      </c>
      <c r="P1412" s="40">
        <f>F1412-J1412-K1412</f>
        <v/>
      </c>
      <c r="Q1412" s="40">
        <f>IF(B1412&gt;=in_marketplace_from,(J1412+K1412)*d_hz*G1412,0)</f>
        <v/>
      </c>
      <c r="R1412" s="40">
        <f>SUMIFS(N1397:N1425,B1397:B1425,"&gt;="&amp;(B1412-d_T),B1397:B1425,"&lt;="&amp;(B1412-1))</f>
        <v/>
      </c>
      <c r="S1412" s="46">
        <f>(1-d_u)*S1411+IF(d_T&gt;in_topup_lag,SUMIFS(O1397:O1425,B1397:B1425,B1412-in_topup_lag)-d_udrop*SUMIFS(O1397:O1425,B1397:B1425,B1412-d_T),0)</f>
        <v/>
      </c>
      <c r="T1412" s="40">
        <f>F1412*d_u*S1412</f>
        <v/>
      </c>
      <c r="U1412" s="9">
        <f>L1412*in_ticket+M1412*d_rep_ticket</f>
        <v/>
      </c>
      <c r="V1412" s="9">
        <f>U1412+T1412*d_topup_amt</f>
        <v/>
      </c>
      <c r="W1412" s="40">
        <f>N1412+T1412*d_topup_ratio</f>
        <v/>
      </c>
      <c r="X1412" s="40">
        <f>SUMIFS(W1397:W1425,B1397:B1425,B1412-in_dpd_lag)*d_cured</f>
        <v/>
      </c>
      <c r="Y1412" s="40">
        <f>SUMIFS(W1397:W1425,B1397:B1425,B1412-in_rec_lag)*d_recd</f>
        <v/>
      </c>
      <c r="Z1412" s="40">
        <f>IF(AND(B1412&gt;=in_marketplace_from,B1412&lt;in_marketplace_from+in_card_months),in_card_share/in_card_months*F1412*I1412,IF(AND(B1412&gt;=in_marketplace_from+in_card_months,B1412&lt;in_marketplace_from+2*in_card_months),in_card_share*d_card_rem/in_card_months*F1412*MIN(in_takeup_cap,(1+in_takeup_growth)^(D1412-1))*MIN(in_takeup_cap,(1+in_approval_growth)^(D1412-1)),0))</f>
        <v/>
      </c>
      <c r="AA1412" s="14">
        <f>V1412*in_fee*(1-in_taken_back)</f>
        <v/>
      </c>
      <c r="AB1412" s="14">
        <f>SUMIFS(W1397:W1425,B1397:B1425,B1412-in_dpd_lag)*d_dpd</f>
        <v/>
      </c>
      <c r="AC1412" s="14">
        <f>SUMIFS(W1397:W1425,B1397:B1425,B1412-in_rec_lag)*d_rec</f>
        <v/>
      </c>
      <c r="AD1412" s="14">
        <f>Z1412*in_card_fee</f>
        <v/>
      </c>
      <c r="AE1412" s="40">
        <f>AE1411*(1-IF(B1411&gt;=in_marketplace_from,d_hz_hlth_small*G1411,0))</f>
        <v/>
      </c>
      <c r="AF1412" s="46">
        <f>AE1412*IF(B1412&gt;=in_marketplace_from,d_hz_hlth_small*G1412,0)</f>
        <v/>
      </c>
      <c r="AG1412" s="14">
        <f>F1412*AF1412*in_hlth_small_ticket*in_hlth_small_comm*in_ins_partner_share+F1412*in_hlth_small_ticket*in_hlth_small_renew_comm*in_ins_partner_share*(in_hlth_small_renew^1*SUMIFS(AF1397:AF1425,B1397:B1425,B1412-12)+in_hlth_small_renew^2*SUMIFS(AF1397:AF1425,B1397:B1425,B1412-24)+in_hlth_small_renew^3*SUMIFS(AF1397:AF1425,B1397:B1425,B1412-36)+in_hlth_small_renew^4*SUMIFS(AF1397:AF1425,B1397:B1425,B1412-48))</f>
        <v/>
      </c>
      <c r="AH1412" s="40">
        <f>AH1411*(1-IF(B1411&gt;=in_marketplace_from,d_hz_hlth_family*G1411,0))</f>
        <v/>
      </c>
      <c r="AI1412" s="46">
        <f>AH1412*IF(B1412&gt;=in_marketplace_from,d_hz_hlth_family*G1412,0)</f>
        <v/>
      </c>
      <c r="AJ1412" s="14">
        <f>F1412*AI1412*in_hlth_family_ticket*in_hlth_family_comm*in_ins_partner_share+F1412*in_hlth_family_ticket*in_hlth_family_renew_comm*in_ins_partner_share*(in_hlth_family_renew^1*SUMIFS(AI1397:AI1425,B1397:B1425,B1412-12)+in_hlth_family_renew^2*SUMIFS(AI1397:AI1425,B1397:B1425,B1412-24)+in_hlth_family_renew^3*SUMIFS(AI1397:AI1425,B1397:B1425,B1412-36)+in_hlth_family_renew^4*SUMIFS(AI1397:AI1425,B1397:B1425,B1412-48))</f>
        <v/>
      </c>
      <c r="AK1412" s="40">
        <f>AK1411*(1-IF(B1411&gt;=in_marketplace_from,d_hz_life_term*G1411,0))</f>
        <v/>
      </c>
      <c r="AL1412" s="46">
        <f>AK1412*IF(B1412&gt;=in_marketplace_from,d_hz_life_term*G1412,0)</f>
        <v/>
      </c>
      <c r="AM1412" s="14">
        <f>F1412*AL1412*in_life_term_ticket*in_life_term_comm*in_ins_partner_share+F1412*in_life_term_ticket*in_life_term_renew_comm*in_ins_partner_share*(in_life_term_renew^1*SUMIFS(AL1397:AL1425,B1397:B1425,B1412-12)+in_life_term_renew^2*SUMIFS(AL1397:AL1425,B1397:B1425,B1412-24)+in_life_term_renew^3*SUMIFS(AL1397:AL1425,B1397:B1425,B1412-36)+in_life_term_renew^4*SUMIFS(AL1397:AL1425,B1397:B1425,B1412-48))</f>
        <v/>
      </c>
      <c r="AN1412" s="40">
        <f>AN1411*(1-IF(B1411&gt;=in_marketplace_from,d_hz_accident*G1411,0))</f>
        <v/>
      </c>
      <c r="AO1412" s="46">
        <f>AN1412*IF(B1412&gt;=in_marketplace_from,d_hz_accident*G1412,0)</f>
        <v/>
      </c>
      <c r="AP1412" s="14">
        <f>F1412*AO1412*in_accident_ticket*in_accident_comm*in_ins_partner_share+F1412*in_accident_ticket*in_accident_renew_comm*in_ins_partner_share*(in_accident_renew^1*SUMIFS(AO1397:AO1425,B1397:B1425,B1412-12)+in_accident_renew^2*SUMIFS(AO1397:AO1425,B1397:B1425,B1412-24)+in_accident_renew^3*SUMIFS(AO1397:AO1425,B1397:B1425,B1412-36)+in_accident_renew^4*SUMIFS(AO1397:AO1425,B1397:B1425,B1412-48))</f>
        <v/>
      </c>
      <c r="AQ1412" s="40">
        <f>AQ1411*(1-IF(B1411&gt;=in_marketplace_from,d_hz_two_wheeler*G1411,0))</f>
        <v/>
      </c>
      <c r="AR1412" s="46">
        <f>AQ1412*IF(B1412&gt;=in_marketplace_from,d_hz_two_wheeler*G1412,0)</f>
        <v/>
      </c>
      <c r="AS1412" s="14">
        <f>F1412*AR1412*in_two_wheeler_ticket*in_two_wheeler_comm*in_ins_partner_share+F1412*in_two_wheeler_ticket*in_two_wheeler_comm*in_ins_partner_share*(in_two_wheeler_renew^1*SUMIFS(AR1397:AR1425,B1397:B1425,B1412-12)+in_two_wheeler_renew^2*SUMIFS(AR1397:AR1425,B1397:B1425,B1412-24)+in_two_wheeler_renew^3*SUMIFS(AR1397:AR1425,B1397:B1425,B1412-36)+in_two_wheeler_renew^4*SUMIFS(AR1397:AR1425,B1397:B1425,B1412-48))</f>
        <v/>
      </c>
      <c r="AT1412" s="40">
        <f>AT1411*(1-IF(B1411&gt;=in_marketplace_from,d_hz_device*G1411,0))</f>
        <v/>
      </c>
      <c r="AU1412" s="14">
        <f>F1412*AT1412*IF(B1412&gt;=in_marketplace_from,d_hz_device*G1412,0)*in_device_ticket*in_device_comm*in_ins_partner_share</f>
        <v/>
      </c>
      <c r="AV1412" s="40">
        <f>AV1411*(1-IF(B1411&gt;=in_marketplace_from,d_hz_shop*G1411,0))</f>
        <v/>
      </c>
      <c r="AW1412" s="46">
        <f>AV1412*IF(B1412&gt;=in_marketplace_from,d_hz_shop*G1412,0)</f>
        <v/>
      </c>
      <c r="AX1412" s="14">
        <f>F1412*AW1412*in_shop_ticket*in_shop_comm*in_ins_partner_share+F1412*in_shop_ticket*in_shop_renew_comm*in_ins_partner_share*(in_shop_renew^1*SUMIFS(AW1397:AW1425,B1397:B1425,B1412-12)+in_shop_renew^2*SUMIFS(AW1397:AW1425,B1397:B1425,B1412-24)+in_shop_renew^3*SUMIFS(AW1397:AW1425,B1397:B1425,B1412-36)+in_shop_renew^4*SUMIFS(AW1397:AW1425,B1397:B1425,B1412-48))</f>
        <v/>
      </c>
      <c r="AY1412" s="40">
        <f>AY1411*(1-IF(B1411&gt;=in_marketplace_from,d_hz_sip*G1411,0))</f>
        <v/>
      </c>
      <c r="AZ1412" s="40">
        <f>AZ1411*d_rho_sip+AY1412*IF(B1412&gt;=in_marketplace_from,d_hz_sip*G1412,0)</f>
        <v/>
      </c>
      <c r="BA1412" s="40">
        <f>d_rho_sip*(BA1411+AZ1411)</f>
        <v/>
      </c>
      <c r="BB1412" s="14">
        <f>F1412*in_sip_ticket*(BA1412+0.5*AZ1412)*in_sip_comm/12</f>
        <v/>
      </c>
      <c r="BC1412" s="40">
        <f>BC1411*(1-IF(B1411&gt;=in_marketplace_from,d_hz_choti*G1411,0))</f>
        <v/>
      </c>
      <c r="BD1412" s="46">
        <f>BC1412*IF(B1412&gt;=in_marketplace_from,d_hz_choti*G1412,0)</f>
        <v/>
      </c>
      <c r="BE1412" s="14">
        <f>F1412*SUMIFS(BD1397:BD1425,B1397:B1425,B1412-in_choti_months)*in_choti_renew*in_choti_ticket</f>
        <v/>
      </c>
      <c r="BF1412" s="40">
        <f>BF1411*(1-IF(B1411&gt;=in_marketplace_from,d_hz_nps*G1411,0))</f>
        <v/>
      </c>
      <c r="BG1412" s="14">
        <f>F1412*BF1412*IF(B1412&gt;=in_marketplace_from,d_hz_nps*G1412,0)*in_nps_ticket*in_nps_comm</f>
        <v/>
      </c>
      <c r="BH1412" s="40">
        <f>BH1411*(1-IF(B1411&gt;=in_marketplace_from,d_hz_gold*G1411,0))</f>
        <v/>
      </c>
      <c r="BI1412" s="40">
        <f>BI1411*d_rho_gold+BH1412*IF(B1412&gt;=in_marketplace_from,d_hz_gold*G1412,0)</f>
        <v/>
      </c>
      <c r="BJ1412" s="14">
        <f>F1412*BI1412*in_gold_ticket*in_gold_comm</f>
        <v/>
      </c>
      <c r="BK1412" s="40">
        <f>BK1411*(1-IF(B1411&gt;=in_marketplace_from,d_hz_fd*G1411,0))</f>
        <v/>
      </c>
      <c r="BL1412" s="14">
        <f>F1412*BK1412*IF(B1412&gt;=in_marketplace_from,d_hz_fd*G1412,0)*in_fd_ticket*in_fd_comm</f>
        <v/>
      </c>
      <c r="BM1412" s="40">
        <f>BM1411*(1-IF(B1411&gt;=in_marketplace_from,d_hz_recharge*G1411,0))</f>
        <v/>
      </c>
      <c r="BN1412" s="40">
        <f>BN1411*d_rho_recharge+BM1412*IF(B1412&gt;=in_marketplace_from,d_hz_recharge*G1412,0)</f>
        <v/>
      </c>
      <c r="BO1412" s="14">
        <f>F1412*BN1412*in_recharge_ticket*in_recharge_comm/12</f>
        <v/>
      </c>
      <c r="BP1412" s="40">
        <f>BP1411*(1-IF(B1411&gt;=in_marketplace_from,d_hz_bills*G1411,0))</f>
        <v/>
      </c>
      <c r="BQ1412" s="40">
        <f>BQ1411*d_rho_bills+BP1412*IF(B1412&gt;=in_marketplace_from,d_hz_bills*G1412,0)</f>
        <v/>
      </c>
      <c r="BR1412" s="14">
        <f>F1412*BQ1412*in_bills_ticket*in_bills_comm/12</f>
        <v/>
      </c>
      <c r="BS1412" s="40">
        <f>BS1411*(1-IF(B1411&gt;=in_marketplace_from,d_hz_loan_gold*G1411,0))</f>
        <v/>
      </c>
      <c r="BT1412" s="14">
        <f>F1412*BS1412*IF(B1412&gt;=in_marketplace_from,d_hz_loan_gold*G1412,0)*in_loan_gold_ticket*in_loan_gold_comm</f>
        <v/>
      </c>
      <c r="BU1412" s="40">
        <f>BU1411*(1-IF(B1411&gt;=in_marketplace_from,d_hz_loan_cd*G1411,0))</f>
        <v/>
      </c>
      <c r="BV1412" s="14">
        <f>F1412*BU1412*IF(B1412&gt;=in_marketplace_from,d_hz_loan_cd*G1412,0)*in_loan_cd_ticket*in_loan_cd_comm</f>
        <v/>
      </c>
      <c r="BW1412" s="40">
        <f>BW1411*(1-IF(B1411&gt;=in_marketplace_from,d_hz_loan_vehicle*G1411,0))</f>
        <v/>
      </c>
      <c r="BX1412" s="14">
        <f>F1412*BW1412*IF(B1412&gt;=in_marketplace_from,d_hz_loan_vehicle*G1412,0)*in_loan_vehicle_ticket*in_loan_vehicle_comm</f>
        <v/>
      </c>
      <c r="BY1412" s="40">
        <f>BY1411*(1-IF(B1411&gt;=in_marketplace_from,d_hz_loan_home*G1411,0)*BZ1411)</f>
        <v/>
      </c>
      <c r="BZ1412" s="11">
        <f>MIN(in_approval_cap,in_loan_home_approval*INDEX('Age profile'!$O$2:$O$61,B1412)*(1+in_approval_growth)^(D1412-1))</f>
        <v/>
      </c>
      <c r="CA1412" s="14">
        <f>F1412*BY1412*IF(B1412&gt;=in_marketplace_from,d_hz_loan_home*G1412,0)*BZ1412*in_loan_home_ticket*in_loan_home_comm</f>
        <v/>
      </c>
      <c r="CB1412" s="40">
        <f>CB1411*(1-IF(B1411&gt;=in_marketplace_from,d_hz_loan_lap*G1411,0)*CC1411)</f>
        <v/>
      </c>
      <c r="CC1412" s="11">
        <f>MIN(in_approval_cap,in_loan_lap_approval*INDEX('Age profile'!$O$2:$O$61,B1412)*(1+in_approval_growth)^(D1412-1))</f>
        <v/>
      </c>
      <c r="CD1412" s="14">
        <f>F1412*CB1412*IF(B1412&gt;=in_marketplace_from,d_hz_loan_lap*G1412,0)*CC1412*in_loan_lap_ticket*in_loan_lap_comm</f>
        <v/>
      </c>
      <c r="CE1412" s="14">
        <f>AA1412+AB1412+AC1412+AD1412+AG1412+AJ1412+AM1412+AP1412+AS1412+AU1412+AX1412+BB1412+BE1412+BG1412+BJ1412+BL1412+BO1412+BR1412+BT1412+BV1412+BX1412+CA1412+CD1412</f>
        <v/>
      </c>
    </row>
    <row r="1413">
      <c r="A1413" s="39" t="n">
        <v>32</v>
      </c>
      <c r="B1413" s="39" t="n">
        <v>17</v>
      </c>
      <c r="C1413" s="39">
        <f>A1413+B1413-1</f>
        <v/>
      </c>
      <c r="D1413" s="39">
        <f>INT((C1413-1)/12)+1</f>
        <v/>
      </c>
      <c r="E1413" s="44">
        <f>INDEX(Monthly!$B$2:$B$61,A1413)</f>
        <v/>
      </c>
      <c r="F1413" s="44">
        <f>E1413*INDEX('Age profile'!$B$2:$B$61,B1413)</f>
        <v/>
      </c>
      <c r="G1413" s="45">
        <f>MIN(in_takeup_cap,INDEX('Age profile'!$N$2:$N$61,B1413)*(1+in_takeup_growth)^(D1413-1))</f>
        <v/>
      </c>
      <c r="H1413" s="11">
        <f>MIN(in_approval_cap,in_approved_first*INDEX('Age profile'!$O$2:$O$61,B1413)*(1+in_approval_growth)^(D1413-1))</f>
        <v/>
      </c>
      <c r="I1413" s="45">
        <f>G1413*MIN(in_takeup_cap,INDEX('Age profile'!$O$2:$O$61,B1413)*(1+in_approval_growth)^(D1413-1))</f>
        <v/>
      </c>
      <c r="J1413" s="40">
        <f>(J1412-L1412)*F1413/F1412</f>
        <v/>
      </c>
      <c r="K1413" s="40">
        <f>(K1412-M1412)*F1413/F1412+SUMIFS(O1397:O1412,B1397:B1412,B1413-1-d_T)*F1413</f>
        <v/>
      </c>
      <c r="L1413" s="40">
        <f>IF(B1413&gt;=in_marketplace_from,J1413*d_hz*G1413*in_eligible*H1413,0)</f>
        <v/>
      </c>
      <c r="M1413" s="40">
        <f>IF(B1413&gt;=in_marketplace_from,K1413*d_hz*G1413*in_eligible*in_approved_repeat,0)</f>
        <v/>
      </c>
      <c r="N1413" s="40">
        <f>L1413+M1413</f>
        <v/>
      </c>
      <c r="O1413" s="46">
        <f>N1413/F1413</f>
        <v/>
      </c>
      <c r="P1413" s="40">
        <f>F1413-J1413-K1413</f>
        <v/>
      </c>
      <c r="Q1413" s="40">
        <f>IF(B1413&gt;=in_marketplace_from,(J1413+K1413)*d_hz*G1413,0)</f>
        <v/>
      </c>
      <c r="R1413" s="40">
        <f>SUMIFS(N1397:N1425,B1397:B1425,"&gt;="&amp;(B1413-d_T),B1397:B1425,"&lt;="&amp;(B1413-1))</f>
        <v/>
      </c>
      <c r="S1413" s="46">
        <f>(1-d_u)*S1412+IF(d_T&gt;in_topup_lag,SUMIFS(O1397:O1425,B1397:B1425,B1413-in_topup_lag)-d_udrop*SUMIFS(O1397:O1425,B1397:B1425,B1413-d_T),0)</f>
        <v/>
      </c>
      <c r="T1413" s="40">
        <f>F1413*d_u*S1413</f>
        <v/>
      </c>
      <c r="U1413" s="9">
        <f>L1413*in_ticket+M1413*d_rep_ticket</f>
        <v/>
      </c>
      <c r="V1413" s="9">
        <f>U1413+T1413*d_topup_amt</f>
        <v/>
      </c>
      <c r="W1413" s="40">
        <f>N1413+T1413*d_topup_ratio</f>
        <v/>
      </c>
      <c r="X1413" s="40">
        <f>SUMIFS(W1397:W1425,B1397:B1425,B1413-in_dpd_lag)*d_cured</f>
        <v/>
      </c>
      <c r="Y1413" s="40">
        <f>SUMIFS(W1397:W1425,B1397:B1425,B1413-in_rec_lag)*d_recd</f>
        <v/>
      </c>
      <c r="Z1413" s="40">
        <f>IF(AND(B1413&gt;=in_marketplace_from,B1413&lt;in_marketplace_from+in_card_months),in_card_share/in_card_months*F1413*I1413,IF(AND(B1413&gt;=in_marketplace_from+in_card_months,B1413&lt;in_marketplace_from+2*in_card_months),in_card_share*d_card_rem/in_card_months*F1413*MIN(in_takeup_cap,(1+in_takeup_growth)^(D1413-1))*MIN(in_takeup_cap,(1+in_approval_growth)^(D1413-1)),0))</f>
        <v/>
      </c>
      <c r="AA1413" s="14">
        <f>V1413*in_fee*(1-in_taken_back)</f>
        <v/>
      </c>
      <c r="AB1413" s="14">
        <f>SUMIFS(W1397:W1425,B1397:B1425,B1413-in_dpd_lag)*d_dpd</f>
        <v/>
      </c>
      <c r="AC1413" s="14">
        <f>SUMIFS(W1397:W1425,B1397:B1425,B1413-in_rec_lag)*d_rec</f>
        <v/>
      </c>
      <c r="AD1413" s="14">
        <f>Z1413*in_card_fee</f>
        <v/>
      </c>
      <c r="AE1413" s="40">
        <f>AE1412*(1-IF(B1412&gt;=in_marketplace_from,d_hz_hlth_small*G1412,0))</f>
        <v/>
      </c>
      <c r="AF1413" s="46">
        <f>AE1413*IF(B1413&gt;=in_marketplace_from,d_hz_hlth_small*G1413,0)</f>
        <v/>
      </c>
      <c r="AG1413" s="14">
        <f>F1413*AF1413*in_hlth_small_ticket*in_hlth_small_comm*in_ins_partner_share+F1413*in_hlth_small_ticket*in_hlth_small_renew_comm*in_ins_partner_share*(in_hlth_small_renew^1*SUMIFS(AF1397:AF1425,B1397:B1425,B1413-12)+in_hlth_small_renew^2*SUMIFS(AF1397:AF1425,B1397:B1425,B1413-24)+in_hlth_small_renew^3*SUMIFS(AF1397:AF1425,B1397:B1425,B1413-36)+in_hlth_small_renew^4*SUMIFS(AF1397:AF1425,B1397:B1425,B1413-48))</f>
        <v/>
      </c>
      <c r="AH1413" s="40">
        <f>AH1412*(1-IF(B1412&gt;=in_marketplace_from,d_hz_hlth_family*G1412,0))</f>
        <v/>
      </c>
      <c r="AI1413" s="46">
        <f>AH1413*IF(B1413&gt;=in_marketplace_from,d_hz_hlth_family*G1413,0)</f>
        <v/>
      </c>
      <c r="AJ1413" s="14">
        <f>F1413*AI1413*in_hlth_family_ticket*in_hlth_family_comm*in_ins_partner_share+F1413*in_hlth_family_ticket*in_hlth_family_renew_comm*in_ins_partner_share*(in_hlth_family_renew^1*SUMIFS(AI1397:AI1425,B1397:B1425,B1413-12)+in_hlth_family_renew^2*SUMIFS(AI1397:AI1425,B1397:B1425,B1413-24)+in_hlth_family_renew^3*SUMIFS(AI1397:AI1425,B1397:B1425,B1413-36)+in_hlth_family_renew^4*SUMIFS(AI1397:AI1425,B1397:B1425,B1413-48))</f>
        <v/>
      </c>
      <c r="AK1413" s="40">
        <f>AK1412*(1-IF(B1412&gt;=in_marketplace_from,d_hz_life_term*G1412,0))</f>
        <v/>
      </c>
      <c r="AL1413" s="46">
        <f>AK1413*IF(B1413&gt;=in_marketplace_from,d_hz_life_term*G1413,0)</f>
        <v/>
      </c>
      <c r="AM1413" s="14">
        <f>F1413*AL1413*in_life_term_ticket*in_life_term_comm*in_ins_partner_share+F1413*in_life_term_ticket*in_life_term_renew_comm*in_ins_partner_share*(in_life_term_renew^1*SUMIFS(AL1397:AL1425,B1397:B1425,B1413-12)+in_life_term_renew^2*SUMIFS(AL1397:AL1425,B1397:B1425,B1413-24)+in_life_term_renew^3*SUMIFS(AL1397:AL1425,B1397:B1425,B1413-36)+in_life_term_renew^4*SUMIFS(AL1397:AL1425,B1397:B1425,B1413-48))</f>
        <v/>
      </c>
      <c r="AN1413" s="40">
        <f>AN1412*(1-IF(B1412&gt;=in_marketplace_from,d_hz_accident*G1412,0))</f>
        <v/>
      </c>
      <c r="AO1413" s="46">
        <f>AN1413*IF(B1413&gt;=in_marketplace_from,d_hz_accident*G1413,0)</f>
        <v/>
      </c>
      <c r="AP1413" s="14">
        <f>F1413*AO1413*in_accident_ticket*in_accident_comm*in_ins_partner_share+F1413*in_accident_ticket*in_accident_renew_comm*in_ins_partner_share*(in_accident_renew^1*SUMIFS(AO1397:AO1425,B1397:B1425,B1413-12)+in_accident_renew^2*SUMIFS(AO1397:AO1425,B1397:B1425,B1413-24)+in_accident_renew^3*SUMIFS(AO1397:AO1425,B1397:B1425,B1413-36)+in_accident_renew^4*SUMIFS(AO1397:AO1425,B1397:B1425,B1413-48))</f>
        <v/>
      </c>
      <c r="AQ1413" s="40">
        <f>AQ1412*(1-IF(B1412&gt;=in_marketplace_from,d_hz_two_wheeler*G1412,0))</f>
        <v/>
      </c>
      <c r="AR1413" s="46">
        <f>AQ1413*IF(B1413&gt;=in_marketplace_from,d_hz_two_wheeler*G1413,0)</f>
        <v/>
      </c>
      <c r="AS1413" s="14">
        <f>F1413*AR1413*in_two_wheeler_ticket*in_two_wheeler_comm*in_ins_partner_share+F1413*in_two_wheeler_ticket*in_two_wheeler_comm*in_ins_partner_share*(in_two_wheeler_renew^1*SUMIFS(AR1397:AR1425,B1397:B1425,B1413-12)+in_two_wheeler_renew^2*SUMIFS(AR1397:AR1425,B1397:B1425,B1413-24)+in_two_wheeler_renew^3*SUMIFS(AR1397:AR1425,B1397:B1425,B1413-36)+in_two_wheeler_renew^4*SUMIFS(AR1397:AR1425,B1397:B1425,B1413-48))</f>
        <v/>
      </c>
      <c r="AT1413" s="40">
        <f>AT1412*(1-IF(B1412&gt;=in_marketplace_from,d_hz_device*G1412,0))</f>
        <v/>
      </c>
      <c r="AU1413" s="14">
        <f>F1413*AT1413*IF(B1413&gt;=in_marketplace_from,d_hz_device*G1413,0)*in_device_ticket*in_device_comm*in_ins_partner_share</f>
        <v/>
      </c>
      <c r="AV1413" s="40">
        <f>AV1412*(1-IF(B1412&gt;=in_marketplace_from,d_hz_shop*G1412,0))</f>
        <v/>
      </c>
      <c r="AW1413" s="46">
        <f>AV1413*IF(B1413&gt;=in_marketplace_from,d_hz_shop*G1413,0)</f>
        <v/>
      </c>
      <c r="AX1413" s="14">
        <f>F1413*AW1413*in_shop_ticket*in_shop_comm*in_ins_partner_share+F1413*in_shop_ticket*in_shop_renew_comm*in_ins_partner_share*(in_shop_renew^1*SUMIFS(AW1397:AW1425,B1397:B1425,B1413-12)+in_shop_renew^2*SUMIFS(AW1397:AW1425,B1397:B1425,B1413-24)+in_shop_renew^3*SUMIFS(AW1397:AW1425,B1397:B1425,B1413-36)+in_shop_renew^4*SUMIFS(AW1397:AW1425,B1397:B1425,B1413-48))</f>
        <v/>
      </c>
      <c r="AY1413" s="40">
        <f>AY1412*(1-IF(B1412&gt;=in_marketplace_from,d_hz_sip*G1412,0))</f>
        <v/>
      </c>
      <c r="AZ1413" s="40">
        <f>AZ1412*d_rho_sip+AY1413*IF(B1413&gt;=in_marketplace_from,d_hz_sip*G1413,0)</f>
        <v/>
      </c>
      <c r="BA1413" s="40">
        <f>d_rho_sip*(BA1412+AZ1412)</f>
        <v/>
      </c>
      <c r="BB1413" s="14">
        <f>F1413*in_sip_ticket*(BA1413+0.5*AZ1413)*in_sip_comm/12</f>
        <v/>
      </c>
      <c r="BC1413" s="40">
        <f>BC1412*(1-IF(B1412&gt;=in_marketplace_from,d_hz_choti*G1412,0))</f>
        <v/>
      </c>
      <c r="BD1413" s="46">
        <f>BC1413*IF(B1413&gt;=in_marketplace_from,d_hz_choti*G1413,0)</f>
        <v/>
      </c>
      <c r="BE1413" s="14">
        <f>F1413*SUMIFS(BD1397:BD1425,B1397:B1425,B1413-in_choti_months)*in_choti_renew*in_choti_ticket</f>
        <v/>
      </c>
      <c r="BF1413" s="40">
        <f>BF1412*(1-IF(B1412&gt;=in_marketplace_from,d_hz_nps*G1412,0))</f>
        <v/>
      </c>
      <c r="BG1413" s="14">
        <f>F1413*BF1413*IF(B1413&gt;=in_marketplace_from,d_hz_nps*G1413,0)*in_nps_ticket*in_nps_comm</f>
        <v/>
      </c>
      <c r="BH1413" s="40">
        <f>BH1412*(1-IF(B1412&gt;=in_marketplace_from,d_hz_gold*G1412,0))</f>
        <v/>
      </c>
      <c r="BI1413" s="40">
        <f>BI1412*d_rho_gold+BH1413*IF(B1413&gt;=in_marketplace_from,d_hz_gold*G1413,0)</f>
        <v/>
      </c>
      <c r="BJ1413" s="14">
        <f>F1413*BI1413*in_gold_ticket*in_gold_comm</f>
        <v/>
      </c>
      <c r="BK1413" s="40">
        <f>BK1412*(1-IF(B1412&gt;=in_marketplace_from,d_hz_fd*G1412,0))</f>
        <v/>
      </c>
      <c r="BL1413" s="14">
        <f>F1413*BK1413*IF(B1413&gt;=in_marketplace_from,d_hz_fd*G1413,0)*in_fd_ticket*in_fd_comm</f>
        <v/>
      </c>
      <c r="BM1413" s="40">
        <f>BM1412*(1-IF(B1412&gt;=in_marketplace_from,d_hz_recharge*G1412,0))</f>
        <v/>
      </c>
      <c r="BN1413" s="40">
        <f>BN1412*d_rho_recharge+BM1413*IF(B1413&gt;=in_marketplace_from,d_hz_recharge*G1413,0)</f>
        <v/>
      </c>
      <c r="BO1413" s="14">
        <f>F1413*BN1413*in_recharge_ticket*in_recharge_comm/12</f>
        <v/>
      </c>
      <c r="BP1413" s="40">
        <f>BP1412*(1-IF(B1412&gt;=in_marketplace_from,d_hz_bills*G1412,0))</f>
        <v/>
      </c>
      <c r="BQ1413" s="40">
        <f>BQ1412*d_rho_bills+BP1413*IF(B1413&gt;=in_marketplace_from,d_hz_bills*G1413,0)</f>
        <v/>
      </c>
      <c r="BR1413" s="14">
        <f>F1413*BQ1413*in_bills_ticket*in_bills_comm/12</f>
        <v/>
      </c>
      <c r="BS1413" s="40">
        <f>BS1412*(1-IF(B1412&gt;=in_marketplace_from,d_hz_loan_gold*G1412,0))</f>
        <v/>
      </c>
      <c r="BT1413" s="14">
        <f>F1413*BS1413*IF(B1413&gt;=in_marketplace_from,d_hz_loan_gold*G1413,0)*in_loan_gold_ticket*in_loan_gold_comm</f>
        <v/>
      </c>
      <c r="BU1413" s="40">
        <f>BU1412*(1-IF(B1412&gt;=in_marketplace_from,d_hz_loan_cd*G1412,0))</f>
        <v/>
      </c>
      <c r="BV1413" s="14">
        <f>F1413*BU1413*IF(B1413&gt;=in_marketplace_from,d_hz_loan_cd*G1413,0)*in_loan_cd_ticket*in_loan_cd_comm</f>
        <v/>
      </c>
      <c r="BW1413" s="40">
        <f>BW1412*(1-IF(B1412&gt;=in_marketplace_from,d_hz_loan_vehicle*G1412,0))</f>
        <v/>
      </c>
      <c r="BX1413" s="14">
        <f>F1413*BW1413*IF(B1413&gt;=in_marketplace_from,d_hz_loan_vehicle*G1413,0)*in_loan_vehicle_ticket*in_loan_vehicle_comm</f>
        <v/>
      </c>
      <c r="BY1413" s="40">
        <f>BY1412*(1-IF(B1412&gt;=in_marketplace_from,d_hz_loan_home*G1412,0)*BZ1412)</f>
        <v/>
      </c>
      <c r="BZ1413" s="11">
        <f>MIN(in_approval_cap,in_loan_home_approval*INDEX('Age profile'!$O$2:$O$61,B1413)*(1+in_approval_growth)^(D1413-1))</f>
        <v/>
      </c>
      <c r="CA1413" s="14">
        <f>F1413*BY1413*IF(B1413&gt;=in_marketplace_from,d_hz_loan_home*G1413,0)*BZ1413*in_loan_home_ticket*in_loan_home_comm</f>
        <v/>
      </c>
      <c r="CB1413" s="40">
        <f>CB1412*(1-IF(B1412&gt;=in_marketplace_from,d_hz_loan_lap*G1412,0)*CC1412)</f>
        <v/>
      </c>
      <c r="CC1413" s="11">
        <f>MIN(in_approval_cap,in_loan_lap_approval*INDEX('Age profile'!$O$2:$O$61,B1413)*(1+in_approval_growth)^(D1413-1))</f>
        <v/>
      </c>
      <c r="CD1413" s="14">
        <f>F1413*CB1413*IF(B1413&gt;=in_marketplace_from,d_hz_loan_lap*G1413,0)*CC1413*in_loan_lap_ticket*in_loan_lap_comm</f>
        <v/>
      </c>
      <c r="CE1413" s="14">
        <f>AA1413+AB1413+AC1413+AD1413+AG1413+AJ1413+AM1413+AP1413+AS1413+AU1413+AX1413+BB1413+BE1413+BG1413+BJ1413+BL1413+BO1413+BR1413+BT1413+BV1413+BX1413+CA1413+CD1413</f>
        <v/>
      </c>
    </row>
    <row r="1414">
      <c r="A1414" s="39" t="n">
        <v>32</v>
      </c>
      <c r="B1414" s="39" t="n">
        <v>18</v>
      </c>
      <c r="C1414" s="39">
        <f>A1414+B1414-1</f>
        <v/>
      </c>
      <c r="D1414" s="39">
        <f>INT((C1414-1)/12)+1</f>
        <v/>
      </c>
      <c r="E1414" s="44">
        <f>INDEX(Monthly!$B$2:$B$61,A1414)</f>
        <v/>
      </c>
      <c r="F1414" s="44">
        <f>E1414*INDEX('Age profile'!$B$2:$B$61,B1414)</f>
        <v/>
      </c>
      <c r="G1414" s="45">
        <f>MIN(in_takeup_cap,INDEX('Age profile'!$N$2:$N$61,B1414)*(1+in_takeup_growth)^(D1414-1))</f>
        <v/>
      </c>
      <c r="H1414" s="11">
        <f>MIN(in_approval_cap,in_approved_first*INDEX('Age profile'!$O$2:$O$61,B1414)*(1+in_approval_growth)^(D1414-1))</f>
        <v/>
      </c>
      <c r="I1414" s="45">
        <f>G1414*MIN(in_takeup_cap,INDEX('Age profile'!$O$2:$O$61,B1414)*(1+in_approval_growth)^(D1414-1))</f>
        <v/>
      </c>
      <c r="J1414" s="40">
        <f>(J1413-L1413)*F1414/F1413</f>
        <v/>
      </c>
      <c r="K1414" s="40">
        <f>(K1413-M1413)*F1414/F1413+SUMIFS(O1397:O1413,B1397:B1413,B1414-1-d_T)*F1414</f>
        <v/>
      </c>
      <c r="L1414" s="40">
        <f>IF(B1414&gt;=in_marketplace_from,J1414*d_hz*G1414*in_eligible*H1414,0)</f>
        <v/>
      </c>
      <c r="M1414" s="40">
        <f>IF(B1414&gt;=in_marketplace_from,K1414*d_hz*G1414*in_eligible*in_approved_repeat,0)</f>
        <v/>
      </c>
      <c r="N1414" s="40">
        <f>L1414+M1414</f>
        <v/>
      </c>
      <c r="O1414" s="46">
        <f>N1414/F1414</f>
        <v/>
      </c>
      <c r="P1414" s="40">
        <f>F1414-J1414-K1414</f>
        <v/>
      </c>
      <c r="Q1414" s="40">
        <f>IF(B1414&gt;=in_marketplace_from,(J1414+K1414)*d_hz*G1414,0)</f>
        <v/>
      </c>
      <c r="R1414" s="40">
        <f>SUMIFS(N1397:N1425,B1397:B1425,"&gt;="&amp;(B1414-d_T),B1397:B1425,"&lt;="&amp;(B1414-1))</f>
        <v/>
      </c>
      <c r="S1414" s="46">
        <f>(1-d_u)*S1413+IF(d_T&gt;in_topup_lag,SUMIFS(O1397:O1425,B1397:B1425,B1414-in_topup_lag)-d_udrop*SUMIFS(O1397:O1425,B1397:B1425,B1414-d_T),0)</f>
        <v/>
      </c>
      <c r="T1414" s="40">
        <f>F1414*d_u*S1414</f>
        <v/>
      </c>
      <c r="U1414" s="9">
        <f>L1414*in_ticket+M1414*d_rep_ticket</f>
        <v/>
      </c>
      <c r="V1414" s="9">
        <f>U1414+T1414*d_topup_amt</f>
        <v/>
      </c>
      <c r="W1414" s="40">
        <f>N1414+T1414*d_topup_ratio</f>
        <v/>
      </c>
      <c r="X1414" s="40">
        <f>SUMIFS(W1397:W1425,B1397:B1425,B1414-in_dpd_lag)*d_cured</f>
        <v/>
      </c>
      <c r="Y1414" s="40">
        <f>SUMIFS(W1397:W1425,B1397:B1425,B1414-in_rec_lag)*d_recd</f>
        <v/>
      </c>
      <c r="Z1414" s="40">
        <f>IF(AND(B1414&gt;=in_marketplace_from,B1414&lt;in_marketplace_from+in_card_months),in_card_share/in_card_months*F1414*I1414,IF(AND(B1414&gt;=in_marketplace_from+in_card_months,B1414&lt;in_marketplace_from+2*in_card_months),in_card_share*d_card_rem/in_card_months*F1414*MIN(in_takeup_cap,(1+in_takeup_growth)^(D1414-1))*MIN(in_takeup_cap,(1+in_approval_growth)^(D1414-1)),0))</f>
        <v/>
      </c>
      <c r="AA1414" s="14">
        <f>V1414*in_fee*(1-in_taken_back)</f>
        <v/>
      </c>
      <c r="AB1414" s="14">
        <f>SUMIFS(W1397:W1425,B1397:B1425,B1414-in_dpd_lag)*d_dpd</f>
        <v/>
      </c>
      <c r="AC1414" s="14">
        <f>SUMIFS(W1397:W1425,B1397:B1425,B1414-in_rec_lag)*d_rec</f>
        <v/>
      </c>
      <c r="AD1414" s="14">
        <f>Z1414*in_card_fee</f>
        <v/>
      </c>
      <c r="AE1414" s="40">
        <f>AE1413*(1-IF(B1413&gt;=in_marketplace_from,d_hz_hlth_small*G1413,0))</f>
        <v/>
      </c>
      <c r="AF1414" s="46">
        <f>AE1414*IF(B1414&gt;=in_marketplace_from,d_hz_hlth_small*G1414,0)</f>
        <v/>
      </c>
      <c r="AG1414" s="14">
        <f>F1414*AF1414*in_hlth_small_ticket*in_hlth_small_comm*in_ins_partner_share+F1414*in_hlth_small_ticket*in_hlth_small_renew_comm*in_ins_partner_share*(in_hlth_small_renew^1*SUMIFS(AF1397:AF1425,B1397:B1425,B1414-12)+in_hlth_small_renew^2*SUMIFS(AF1397:AF1425,B1397:B1425,B1414-24)+in_hlth_small_renew^3*SUMIFS(AF1397:AF1425,B1397:B1425,B1414-36)+in_hlth_small_renew^4*SUMIFS(AF1397:AF1425,B1397:B1425,B1414-48))</f>
        <v/>
      </c>
      <c r="AH1414" s="40">
        <f>AH1413*(1-IF(B1413&gt;=in_marketplace_from,d_hz_hlth_family*G1413,0))</f>
        <v/>
      </c>
      <c r="AI1414" s="46">
        <f>AH1414*IF(B1414&gt;=in_marketplace_from,d_hz_hlth_family*G1414,0)</f>
        <v/>
      </c>
      <c r="AJ1414" s="14">
        <f>F1414*AI1414*in_hlth_family_ticket*in_hlth_family_comm*in_ins_partner_share+F1414*in_hlth_family_ticket*in_hlth_family_renew_comm*in_ins_partner_share*(in_hlth_family_renew^1*SUMIFS(AI1397:AI1425,B1397:B1425,B1414-12)+in_hlth_family_renew^2*SUMIFS(AI1397:AI1425,B1397:B1425,B1414-24)+in_hlth_family_renew^3*SUMIFS(AI1397:AI1425,B1397:B1425,B1414-36)+in_hlth_family_renew^4*SUMIFS(AI1397:AI1425,B1397:B1425,B1414-48))</f>
        <v/>
      </c>
      <c r="AK1414" s="40">
        <f>AK1413*(1-IF(B1413&gt;=in_marketplace_from,d_hz_life_term*G1413,0))</f>
        <v/>
      </c>
      <c r="AL1414" s="46">
        <f>AK1414*IF(B1414&gt;=in_marketplace_from,d_hz_life_term*G1414,0)</f>
        <v/>
      </c>
      <c r="AM1414" s="14">
        <f>F1414*AL1414*in_life_term_ticket*in_life_term_comm*in_ins_partner_share+F1414*in_life_term_ticket*in_life_term_renew_comm*in_ins_partner_share*(in_life_term_renew^1*SUMIFS(AL1397:AL1425,B1397:B1425,B1414-12)+in_life_term_renew^2*SUMIFS(AL1397:AL1425,B1397:B1425,B1414-24)+in_life_term_renew^3*SUMIFS(AL1397:AL1425,B1397:B1425,B1414-36)+in_life_term_renew^4*SUMIFS(AL1397:AL1425,B1397:B1425,B1414-48))</f>
        <v/>
      </c>
      <c r="AN1414" s="40">
        <f>AN1413*(1-IF(B1413&gt;=in_marketplace_from,d_hz_accident*G1413,0))</f>
        <v/>
      </c>
      <c r="AO1414" s="46">
        <f>AN1414*IF(B1414&gt;=in_marketplace_from,d_hz_accident*G1414,0)</f>
        <v/>
      </c>
      <c r="AP1414" s="14">
        <f>F1414*AO1414*in_accident_ticket*in_accident_comm*in_ins_partner_share+F1414*in_accident_ticket*in_accident_renew_comm*in_ins_partner_share*(in_accident_renew^1*SUMIFS(AO1397:AO1425,B1397:B1425,B1414-12)+in_accident_renew^2*SUMIFS(AO1397:AO1425,B1397:B1425,B1414-24)+in_accident_renew^3*SUMIFS(AO1397:AO1425,B1397:B1425,B1414-36)+in_accident_renew^4*SUMIFS(AO1397:AO1425,B1397:B1425,B1414-48))</f>
        <v/>
      </c>
      <c r="AQ1414" s="40">
        <f>AQ1413*(1-IF(B1413&gt;=in_marketplace_from,d_hz_two_wheeler*G1413,0))</f>
        <v/>
      </c>
      <c r="AR1414" s="46">
        <f>AQ1414*IF(B1414&gt;=in_marketplace_from,d_hz_two_wheeler*G1414,0)</f>
        <v/>
      </c>
      <c r="AS1414" s="14">
        <f>F1414*AR1414*in_two_wheeler_ticket*in_two_wheeler_comm*in_ins_partner_share+F1414*in_two_wheeler_ticket*in_two_wheeler_comm*in_ins_partner_share*(in_two_wheeler_renew^1*SUMIFS(AR1397:AR1425,B1397:B1425,B1414-12)+in_two_wheeler_renew^2*SUMIFS(AR1397:AR1425,B1397:B1425,B1414-24)+in_two_wheeler_renew^3*SUMIFS(AR1397:AR1425,B1397:B1425,B1414-36)+in_two_wheeler_renew^4*SUMIFS(AR1397:AR1425,B1397:B1425,B1414-48))</f>
        <v/>
      </c>
      <c r="AT1414" s="40">
        <f>AT1413*(1-IF(B1413&gt;=in_marketplace_from,d_hz_device*G1413,0))</f>
        <v/>
      </c>
      <c r="AU1414" s="14">
        <f>F1414*AT1414*IF(B1414&gt;=in_marketplace_from,d_hz_device*G1414,0)*in_device_ticket*in_device_comm*in_ins_partner_share</f>
        <v/>
      </c>
      <c r="AV1414" s="40">
        <f>AV1413*(1-IF(B1413&gt;=in_marketplace_from,d_hz_shop*G1413,0))</f>
        <v/>
      </c>
      <c r="AW1414" s="46">
        <f>AV1414*IF(B1414&gt;=in_marketplace_from,d_hz_shop*G1414,0)</f>
        <v/>
      </c>
      <c r="AX1414" s="14">
        <f>F1414*AW1414*in_shop_ticket*in_shop_comm*in_ins_partner_share+F1414*in_shop_ticket*in_shop_renew_comm*in_ins_partner_share*(in_shop_renew^1*SUMIFS(AW1397:AW1425,B1397:B1425,B1414-12)+in_shop_renew^2*SUMIFS(AW1397:AW1425,B1397:B1425,B1414-24)+in_shop_renew^3*SUMIFS(AW1397:AW1425,B1397:B1425,B1414-36)+in_shop_renew^4*SUMIFS(AW1397:AW1425,B1397:B1425,B1414-48))</f>
        <v/>
      </c>
      <c r="AY1414" s="40">
        <f>AY1413*(1-IF(B1413&gt;=in_marketplace_from,d_hz_sip*G1413,0))</f>
        <v/>
      </c>
      <c r="AZ1414" s="40">
        <f>AZ1413*d_rho_sip+AY1414*IF(B1414&gt;=in_marketplace_from,d_hz_sip*G1414,0)</f>
        <v/>
      </c>
      <c r="BA1414" s="40">
        <f>d_rho_sip*(BA1413+AZ1413)</f>
        <v/>
      </c>
      <c r="BB1414" s="14">
        <f>F1414*in_sip_ticket*(BA1414+0.5*AZ1414)*in_sip_comm/12</f>
        <v/>
      </c>
      <c r="BC1414" s="40">
        <f>BC1413*(1-IF(B1413&gt;=in_marketplace_from,d_hz_choti*G1413,0))</f>
        <v/>
      </c>
      <c r="BD1414" s="46">
        <f>BC1414*IF(B1414&gt;=in_marketplace_from,d_hz_choti*G1414,0)</f>
        <v/>
      </c>
      <c r="BE1414" s="14">
        <f>F1414*SUMIFS(BD1397:BD1425,B1397:B1425,B1414-in_choti_months)*in_choti_renew*in_choti_ticket</f>
        <v/>
      </c>
      <c r="BF1414" s="40">
        <f>BF1413*(1-IF(B1413&gt;=in_marketplace_from,d_hz_nps*G1413,0))</f>
        <v/>
      </c>
      <c r="BG1414" s="14">
        <f>F1414*BF1414*IF(B1414&gt;=in_marketplace_from,d_hz_nps*G1414,0)*in_nps_ticket*in_nps_comm</f>
        <v/>
      </c>
      <c r="BH1414" s="40">
        <f>BH1413*(1-IF(B1413&gt;=in_marketplace_from,d_hz_gold*G1413,0))</f>
        <v/>
      </c>
      <c r="BI1414" s="40">
        <f>BI1413*d_rho_gold+BH1414*IF(B1414&gt;=in_marketplace_from,d_hz_gold*G1414,0)</f>
        <v/>
      </c>
      <c r="BJ1414" s="14">
        <f>F1414*BI1414*in_gold_ticket*in_gold_comm</f>
        <v/>
      </c>
      <c r="BK1414" s="40">
        <f>BK1413*(1-IF(B1413&gt;=in_marketplace_from,d_hz_fd*G1413,0))</f>
        <v/>
      </c>
      <c r="BL1414" s="14">
        <f>F1414*BK1414*IF(B1414&gt;=in_marketplace_from,d_hz_fd*G1414,0)*in_fd_ticket*in_fd_comm</f>
        <v/>
      </c>
      <c r="BM1414" s="40">
        <f>BM1413*(1-IF(B1413&gt;=in_marketplace_from,d_hz_recharge*G1413,0))</f>
        <v/>
      </c>
      <c r="BN1414" s="40">
        <f>BN1413*d_rho_recharge+BM1414*IF(B1414&gt;=in_marketplace_from,d_hz_recharge*G1414,0)</f>
        <v/>
      </c>
      <c r="BO1414" s="14">
        <f>F1414*BN1414*in_recharge_ticket*in_recharge_comm/12</f>
        <v/>
      </c>
      <c r="BP1414" s="40">
        <f>BP1413*(1-IF(B1413&gt;=in_marketplace_from,d_hz_bills*G1413,0))</f>
        <v/>
      </c>
      <c r="BQ1414" s="40">
        <f>BQ1413*d_rho_bills+BP1414*IF(B1414&gt;=in_marketplace_from,d_hz_bills*G1414,0)</f>
        <v/>
      </c>
      <c r="BR1414" s="14">
        <f>F1414*BQ1414*in_bills_ticket*in_bills_comm/12</f>
        <v/>
      </c>
      <c r="BS1414" s="40">
        <f>BS1413*(1-IF(B1413&gt;=in_marketplace_from,d_hz_loan_gold*G1413,0))</f>
        <v/>
      </c>
      <c r="BT1414" s="14">
        <f>F1414*BS1414*IF(B1414&gt;=in_marketplace_from,d_hz_loan_gold*G1414,0)*in_loan_gold_ticket*in_loan_gold_comm</f>
        <v/>
      </c>
      <c r="BU1414" s="40">
        <f>BU1413*(1-IF(B1413&gt;=in_marketplace_from,d_hz_loan_cd*G1413,0))</f>
        <v/>
      </c>
      <c r="BV1414" s="14">
        <f>F1414*BU1414*IF(B1414&gt;=in_marketplace_from,d_hz_loan_cd*G1414,0)*in_loan_cd_ticket*in_loan_cd_comm</f>
        <v/>
      </c>
      <c r="BW1414" s="40">
        <f>BW1413*(1-IF(B1413&gt;=in_marketplace_from,d_hz_loan_vehicle*G1413,0))</f>
        <v/>
      </c>
      <c r="BX1414" s="14">
        <f>F1414*BW1414*IF(B1414&gt;=in_marketplace_from,d_hz_loan_vehicle*G1414,0)*in_loan_vehicle_ticket*in_loan_vehicle_comm</f>
        <v/>
      </c>
      <c r="BY1414" s="40">
        <f>BY1413*(1-IF(B1413&gt;=in_marketplace_from,d_hz_loan_home*G1413,0)*BZ1413)</f>
        <v/>
      </c>
      <c r="BZ1414" s="11">
        <f>MIN(in_approval_cap,in_loan_home_approval*INDEX('Age profile'!$O$2:$O$61,B1414)*(1+in_approval_growth)^(D1414-1))</f>
        <v/>
      </c>
      <c r="CA1414" s="14">
        <f>F1414*BY1414*IF(B1414&gt;=in_marketplace_from,d_hz_loan_home*G1414,0)*BZ1414*in_loan_home_ticket*in_loan_home_comm</f>
        <v/>
      </c>
      <c r="CB1414" s="40">
        <f>CB1413*(1-IF(B1413&gt;=in_marketplace_from,d_hz_loan_lap*G1413,0)*CC1413)</f>
        <v/>
      </c>
      <c r="CC1414" s="11">
        <f>MIN(in_approval_cap,in_loan_lap_approval*INDEX('Age profile'!$O$2:$O$61,B1414)*(1+in_approval_growth)^(D1414-1))</f>
        <v/>
      </c>
      <c r="CD1414" s="14">
        <f>F1414*CB1414*IF(B1414&gt;=in_marketplace_from,d_hz_loan_lap*G1414,0)*CC1414*in_loan_lap_ticket*in_loan_lap_comm</f>
        <v/>
      </c>
      <c r="CE1414" s="14">
        <f>AA1414+AB1414+AC1414+AD1414+AG1414+AJ1414+AM1414+AP1414+AS1414+AU1414+AX1414+BB1414+BE1414+BG1414+BJ1414+BL1414+BO1414+BR1414+BT1414+BV1414+BX1414+CA1414+CD1414</f>
        <v/>
      </c>
    </row>
    <row r="1415">
      <c r="A1415" s="39" t="n">
        <v>32</v>
      </c>
      <c r="B1415" s="39" t="n">
        <v>19</v>
      </c>
      <c r="C1415" s="39">
        <f>A1415+B1415-1</f>
        <v/>
      </c>
      <c r="D1415" s="39">
        <f>INT((C1415-1)/12)+1</f>
        <v/>
      </c>
      <c r="E1415" s="44">
        <f>INDEX(Monthly!$B$2:$B$61,A1415)</f>
        <v/>
      </c>
      <c r="F1415" s="44">
        <f>E1415*INDEX('Age profile'!$B$2:$B$61,B1415)</f>
        <v/>
      </c>
      <c r="G1415" s="45">
        <f>MIN(in_takeup_cap,INDEX('Age profile'!$N$2:$N$61,B1415)*(1+in_takeup_growth)^(D1415-1))</f>
        <v/>
      </c>
      <c r="H1415" s="11">
        <f>MIN(in_approval_cap,in_approved_first*INDEX('Age profile'!$O$2:$O$61,B1415)*(1+in_approval_growth)^(D1415-1))</f>
        <v/>
      </c>
      <c r="I1415" s="45">
        <f>G1415*MIN(in_takeup_cap,INDEX('Age profile'!$O$2:$O$61,B1415)*(1+in_approval_growth)^(D1415-1))</f>
        <v/>
      </c>
      <c r="J1415" s="40">
        <f>(J1414-L1414)*F1415/F1414</f>
        <v/>
      </c>
      <c r="K1415" s="40">
        <f>(K1414-M1414)*F1415/F1414+SUMIFS(O1397:O1414,B1397:B1414,B1415-1-d_T)*F1415</f>
        <v/>
      </c>
      <c r="L1415" s="40">
        <f>IF(B1415&gt;=in_marketplace_from,J1415*d_hz*G1415*in_eligible*H1415,0)</f>
        <v/>
      </c>
      <c r="M1415" s="40">
        <f>IF(B1415&gt;=in_marketplace_from,K1415*d_hz*G1415*in_eligible*in_approved_repeat,0)</f>
        <v/>
      </c>
      <c r="N1415" s="40">
        <f>L1415+M1415</f>
        <v/>
      </c>
      <c r="O1415" s="46">
        <f>N1415/F1415</f>
        <v/>
      </c>
      <c r="P1415" s="40">
        <f>F1415-J1415-K1415</f>
        <v/>
      </c>
      <c r="Q1415" s="40">
        <f>IF(B1415&gt;=in_marketplace_from,(J1415+K1415)*d_hz*G1415,0)</f>
        <v/>
      </c>
      <c r="R1415" s="40">
        <f>SUMIFS(N1397:N1425,B1397:B1425,"&gt;="&amp;(B1415-d_T),B1397:B1425,"&lt;="&amp;(B1415-1))</f>
        <v/>
      </c>
      <c r="S1415" s="46">
        <f>(1-d_u)*S1414+IF(d_T&gt;in_topup_lag,SUMIFS(O1397:O1425,B1397:B1425,B1415-in_topup_lag)-d_udrop*SUMIFS(O1397:O1425,B1397:B1425,B1415-d_T),0)</f>
        <v/>
      </c>
      <c r="T1415" s="40">
        <f>F1415*d_u*S1415</f>
        <v/>
      </c>
      <c r="U1415" s="9">
        <f>L1415*in_ticket+M1415*d_rep_ticket</f>
        <v/>
      </c>
      <c r="V1415" s="9">
        <f>U1415+T1415*d_topup_amt</f>
        <v/>
      </c>
      <c r="W1415" s="40">
        <f>N1415+T1415*d_topup_ratio</f>
        <v/>
      </c>
      <c r="X1415" s="40">
        <f>SUMIFS(W1397:W1425,B1397:B1425,B1415-in_dpd_lag)*d_cured</f>
        <v/>
      </c>
      <c r="Y1415" s="40">
        <f>SUMIFS(W1397:W1425,B1397:B1425,B1415-in_rec_lag)*d_recd</f>
        <v/>
      </c>
      <c r="Z1415" s="40">
        <f>IF(AND(B1415&gt;=in_marketplace_from,B1415&lt;in_marketplace_from+in_card_months),in_card_share/in_card_months*F1415*I1415,IF(AND(B1415&gt;=in_marketplace_from+in_card_months,B1415&lt;in_marketplace_from+2*in_card_months),in_card_share*d_card_rem/in_card_months*F1415*MIN(in_takeup_cap,(1+in_takeup_growth)^(D1415-1))*MIN(in_takeup_cap,(1+in_approval_growth)^(D1415-1)),0))</f>
        <v/>
      </c>
      <c r="AA1415" s="14">
        <f>V1415*in_fee*(1-in_taken_back)</f>
        <v/>
      </c>
      <c r="AB1415" s="14">
        <f>SUMIFS(W1397:W1425,B1397:B1425,B1415-in_dpd_lag)*d_dpd</f>
        <v/>
      </c>
      <c r="AC1415" s="14">
        <f>SUMIFS(W1397:W1425,B1397:B1425,B1415-in_rec_lag)*d_rec</f>
        <v/>
      </c>
      <c r="AD1415" s="14">
        <f>Z1415*in_card_fee</f>
        <v/>
      </c>
      <c r="AE1415" s="40">
        <f>AE1414*(1-IF(B1414&gt;=in_marketplace_from,d_hz_hlth_small*G1414,0))</f>
        <v/>
      </c>
      <c r="AF1415" s="46">
        <f>AE1415*IF(B1415&gt;=in_marketplace_from,d_hz_hlth_small*G1415,0)</f>
        <v/>
      </c>
      <c r="AG1415" s="14">
        <f>F1415*AF1415*in_hlth_small_ticket*in_hlth_small_comm*in_ins_partner_share+F1415*in_hlth_small_ticket*in_hlth_small_renew_comm*in_ins_partner_share*(in_hlth_small_renew^1*SUMIFS(AF1397:AF1425,B1397:B1425,B1415-12)+in_hlth_small_renew^2*SUMIFS(AF1397:AF1425,B1397:B1425,B1415-24)+in_hlth_small_renew^3*SUMIFS(AF1397:AF1425,B1397:B1425,B1415-36)+in_hlth_small_renew^4*SUMIFS(AF1397:AF1425,B1397:B1425,B1415-48))</f>
        <v/>
      </c>
      <c r="AH1415" s="40">
        <f>AH1414*(1-IF(B1414&gt;=in_marketplace_from,d_hz_hlth_family*G1414,0))</f>
        <v/>
      </c>
      <c r="AI1415" s="46">
        <f>AH1415*IF(B1415&gt;=in_marketplace_from,d_hz_hlth_family*G1415,0)</f>
        <v/>
      </c>
      <c r="AJ1415" s="14">
        <f>F1415*AI1415*in_hlth_family_ticket*in_hlth_family_comm*in_ins_partner_share+F1415*in_hlth_family_ticket*in_hlth_family_renew_comm*in_ins_partner_share*(in_hlth_family_renew^1*SUMIFS(AI1397:AI1425,B1397:B1425,B1415-12)+in_hlth_family_renew^2*SUMIFS(AI1397:AI1425,B1397:B1425,B1415-24)+in_hlth_family_renew^3*SUMIFS(AI1397:AI1425,B1397:B1425,B1415-36)+in_hlth_family_renew^4*SUMIFS(AI1397:AI1425,B1397:B1425,B1415-48))</f>
        <v/>
      </c>
      <c r="AK1415" s="40">
        <f>AK1414*(1-IF(B1414&gt;=in_marketplace_from,d_hz_life_term*G1414,0))</f>
        <v/>
      </c>
      <c r="AL1415" s="46">
        <f>AK1415*IF(B1415&gt;=in_marketplace_from,d_hz_life_term*G1415,0)</f>
        <v/>
      </c>
      <c r="AM1415" s="14">
        <f>F1415*AL1415*in_life_term_ticket*in_life_term_comm*in_ins_partner_share+F1415*in_life_term_ticket*in_life_term_renew_comm*in_ins_partner_share*(in_life_term_renew^1*SUMIFS(AL1397:AL1425,B1397:B1425,B1415-12)+in_life_term_renew^2*SUMIFS(AL1397:AL1425,B1397:B1425,B1415-24)+in_life_term_renew^3*SUMIFS(AL1397:AL1425,B1397:B1425,B1415-36)+in_life_term_renew^4*SUMIFS(AL1397:AL1425,B1397:B1425,B1415-48))</f>
        <v/>
      </c>
      <c r="AN1415" s="40">
        <f>AN1414*(1-IF(B1414&gt;=in_marketplace_from,d_hz_accident*G1414,0))</f>
        <v/>
      </c>
      <c r="AO1415" s="46">
        <f>AN1415*IF(B1415&gt;=in_marketplace_from,d_hz_accident*G1415,0)</f>
        <v/>
      </c>
      <c r="AP1415" s="14">
        <f>F1415*AO1415*in_accident_ticket*in_accident_comm*in_ins_partner_share+F1415*in_accident_ticket*in_accident_renew_comm*in_ins_partner_share*(in_accident_renew^1*SUMIFS(AO1397:AO1425,B1397:B1425,B1415-12)+in_accident_renew^2*SUMIFS(AO1397:AO1425,B1397:B1425,B1415-24)+in_accident_renew^3*SUMIFS(AO1397:AO1425,B1397:B1425,B1415-36)+in_accident_renew^4*SUMIFS(AO1397:AO1425,B1397:B1425,B1415-48))</f>
        <v/>
      </c>
      <c r="AQ1415" s="40">
        <f>AQ1414*(1-IF(B1414&gt;=in_marketplace_from,d_hz_two_wheeler*G1414,0))</f>
        <v/>
      </c>
      <c r="AR1415" s="46">
        <f>AQ1415*IF(B1415&gt;=in_marketplace_from,d_hz_two_wheeler*G1415,0)</f>
        <v/>
      </c>
      <c r="AS1415" s="14">
        <f>F1415*AR1415*in_two_wheeler_ticket*in_two_wheeler_comm*in_ins_partner_share+F1415*in_two_wheeler_ticket*in_two_wheeler_comm*in_ins_partner_share*(in_two_wheeler_renew^1*SUMIFS(AR1397:AR1425,B1397:B1425,B1415-12)+in_two_wheeler_renew^2*SUMIFS(AR1397:AR1425,B1397:B1425,B1415-24)+in_two_wheeler_renew^3*SUMIFS(AR1397:AR1425,B1397:B1425,B1415-36)+in_two_wheeler_renew^4*SUMIFS(AR1397:AR1425,B1397:B1425,B1415-48))</f>
        <v/>
      </c>
      <c r="AT1415" s="40">
        <f>AT1414*(1-IF(B1414&gt;=in_marketplace_from,d_hz_device*G1414,0))</f>
        <v/>
      </c>
      <c r="AU1415" s="14">
        <f>F1415*AT1415*IF(B1415&gt;=in_marketplace_from,d_hz_device*G1415,0)*in_device_ticket*in_device_comm*in_ins_partner_share</f>
        <v/>
      </c>
      <c r="AV1415" s="40">
        <f>AV1414*(1-IF(B1414&gt;=in_marketplace_from,d_hz_shop*G1414,0))</f>
        <v/>
      </c>
      <c r="AW1415" s="46">
        <f>AV1415*IF(B1415&gt;=in_marketplace_from,d_hz_shop*G1415,0)</f>
        <v/>
      </c>
      <c r="AX1415" s="14">
        <f>F1415*AW1415*in_shop_ticket*in_shop_comm*in_ins_partner_share+F1415*in_shop_ticket*in_shop_renew_comm*in_ins_partner_share*(in_shop_renew^1*SUMIFS(AW1397:AW1425,B1397:B1425,B1415-12)+in_shop_renew^2*SUMIFS(AW1397:AW1425,B1397:B1425,B1415-24)+in_shop_renew^3*SUMIFS(AW1397:AW1425,B1397:B1425,B1415-36)+in_shop_renew^4*SUMIFS(AW1397:AW1425,B1397:B1425,B1415-48))</f>
        <v/>
      </c>
      <c r="AY1415" s="40">
        <f>AY1414*(1-IF(B1414&gt;=in_marketplace_from,d_hz_sip*G1414,0))</f>
        <v/>
      </c>
      <c r="AZ1415" s="40">
        <f>AZ1414*d_rho_sip+AY1415*IF(B1415&gt;=in_marketplace_from,d_hz_sip*G1415,0)</f>
        <v/>
      </c>
      <c r="BA1415" s="40">
        <f>d_rho_sip*(BA1414+AZ1414)</f>
        <v/>
      </c>
      <c r="BB1415" s="14">
        <f>F1415*in_sip_ticket*(BA1415+0.5*AZ1415)*in_sip_comm/12</f>
        <v/>
      </c>
      <c r="BC1415" s="40">
        <f>BC1414*(1-IF(B1414&gt;=in_marketplace_from,d_hz_choti*G1414,0))</f>
        <v/>
      </c>
      <c r="BD1415" s="46">
        <f>BC1415*IF(B1415&gt;=in_marketplace_from,d_hz_choti*G1415,0)</f>
        <v/>
      </c>
      <c r="BE1415" s="14">
        <f>F1415*SUMIFS(BD1397:BD1425,B1397:B1425,B1415-in_choti_months)*in_choti_renew*in_choti_ticket</f>
        <v/>
      </c>
      <c r="BF1415" s="40">
        <f>BF1414*(1-IF(B1414&gt;=in_marketplace_from,d_hz_nps*G1414,0))</f>
        <v/>
      </c>
      <c r="BG1415" s="14">
        <f>F1415*BF1415*IF(B1415&gt;=in_marketplace_from,d_hz_nps*G1415,0)*in_nps_ticket*in_nps_comm</f>
        <v/>
      </c>
      <c r="BH1415" s="40">
        <f>BH1414*(1-IF(B1414&gt;=in_marketplace_from,d_hz_gold*G1414,0))</f>
        <v/>
      </c>
      <c r="BI1415" s="40">
        <f>BI1414*d_rho_gold+BH1415*IF(B1415&gt;=in_marketplace_from,d_hz_gold*G1415,0)</f>
        <v/>
      </c>
      <c r="BJ1415" s="14">
        <f>F1415*BI1415*in_gold_ticket*in_gold_comm</f>
        <v/>
      </c>
      <c r="BK1415" s="40">
        <f>BK1414*(1-IF(B1414&gt;=in_marketplace_from,d_hz_fd*G1414,0))</f>
        <v/>
      </c>
      <c r="BL1415" s="14">
        <f>F1415*BK1415*IF(B1415&gt;=in_marketplace_from,d_hz_fd*G1415,0)*in_fd_ticket*in_fd_comm</f>
        <v/>
      </c>
      <c r="BM1415" s="40">
        <f>BM1414*(1-IF(B1414&gt;=in_marketplace_from,d_hz_recharge*G1414,0))</f>
        <v/>
      </c>
      <c r="BN1415" s="40">
        <f>BN1414*d_rho_recharge+BM1415*IF(B1415&gt;=in_marketplace_from,d_hz_recharge*G1415,0)</f>
        <v/>
      </c>
      <c r="BO1415" s="14">
        <f>F1415*BN1415*in_recharge_ticket*in_recharge_comm/12</f>
        <v/>
      </c>
      <c r="BP1415" s="40">
        <f>BP1414*(1-IF(B1414&gt;=in_marketplace_from,d_hz_bills*G1414,0))</f>
        <v/>
      </c>
      <c r="BQ1415" s="40">
        <f>BQ1414*d_rho_bills+BP1415*IF(B1415&gt;=in_marketplace_from,d_hz_bills*G1415,0)</f>
        <v/>
      </c>
      <c r="BR1415" s="14">
        <f>F1415*BQ1415*in_bills_ticket*in_bills_comm/12</f>
        <v/>
      </c>
      <c r="BS1415" s="40">
        <f>BS1414*(1-IF(B1414&gt;=in_marketplace_from,d_hz_loan_gold*G1414,0))</f>
        <v/>
      </c>
      <c r="BT1415" s="14">
        <f>F1415*BS1415*IF(B1415&gt;=in_marketplace_from,d_hz_loan_gold*G1415,0)*in_loan_gold_ticket*in_loan_gold_comm</f>
        <v/>
      </c>
      <c r="BU1415" s="40">
        <f>BU1414*(1-IF(B1414&gt;=in_marketplace_from,d_hz_loan_cd*G1414,0))</f>
        <v/>
      </c>
      <c r="BV1415" s="14">
        <f>F1415*BU1415*IF(B1415&gt;=in_marketplace_from,d_hz_loan_cd*G1415,0)*in_loan_cd_ticket*in_loan_cd_comm</f>
        <v/>
      </c>
      <c r="BW1415" s="40">
        <f>BW1414*(1-IF(B1414&gt;=in_marketplace_from,d_hz_loan_vehicle*G1414,0))</f>
        <v/>
      </c>
      <c r="BX1415" s="14">
        <f>F1415*BW1415*IF(B1415&gt;=in_marketplace_from,d_hz_loan_vehicle*G1415,0)*in_loan_vehicle_ticket*in_loan_vehicle_comm</f>
        <v/>
      </c>
      <c r="BY1415" s="40">
        <f>BY1414*(1-IF(B1414&gt;=in_marketplace_from,d_hz_loan_home*G1414,0)*BZ1414)</f>
        <v/>
      </c>
      <c r="BZ1415" s="11">
        <f>MIN(in_approval_cap,in_loan_home_approval*INDEX('Age profile'!$O$2:$O$61,B1415)*(1+in_approval_growth)^(D1415-1))</f>
        <v/>
      </c>
      <c r="CA1415" s="14">
        <f>F1415*BY1415*IF(B1415&gt;=in_marketplace_from,d_hz_loan_home*G1415,0)*BZ1415*in_loan_home_ticket*in_loan_home_comm</f>
        <v/>
      </c>
      <c r="CB1415" s="40">
        <f>CB1414*(1-IF(B1414&gt;=in_marketplace_from,d_hz_loan_lap*G1414,0)*CC1414)</f>
        <v/>
      </c>
      <c r="CC1415" s="11">
        <f>MIN(in_approval_cap,in_loan_lap_approval*INDEX('Age profile'!$O$2:$O$61,B1415)*(1+in_approval_growth)^(D1415-1))</f>
        <v/>
      </c>
      <c r="CD1415" s="14">
        <f>F1415*CB1415*IF(B1415&gt;=in_marketplace_from,d_hz_loan_lap*G1415,0)*CC1415*in_loan_lap_ticket*in_loan_lap_comm</f>
        <v/>
      </c>
      <c r="CE1415" s="14">
        <f>AA1415+AB1415+AC1415+AD1415+AG1415+AJ1415+AM1415+AP1415+AS1415+AU1415+AX1415+BB1415+BE1415+BG1415+BJ1415+BL1415+BO1415+BR1415+BT1415+BV1415+BX1415+CA1415+CD1415</f>
        <v/>
      </c>
    </row>
    <row r="1416">
      <c r="A1416" s="39" t="n">
        <v>32</v>
      </c>
      <c r="B1416" s="39" t="n">
        <v>20</v>
      </c>
      <c r="C1416" s="39">
        <f>A1416+B1416-1</f>
        <v/>
      </c>
      <c r="D1416" s="39">
        <f>INT((C1416-1)/12)+1</f>
        <v/>
      </c>
      <c r="E1416" s="44">
        <f>INDEX(Monthly!$B$2:$B$61,A1416)</f>
        <v/>
      </c>
      <c r="F1416" s="44">
        <f>E1416*INDEX('Age profile'!$B$2:$B$61,B1416)</f>
        <v/>
      </c>
      <c r="G1416" s="45">
        <f>MIN(in_takeup_cap,INDEX('Age profile'!$N$2:$N$61,B1416)*(1+in_takeup_growth)^(D1416-1))</f>
        <v/>
      </c>
      <c r="H1416" s="11">
        <f>MIN(in_approval_cap,in_approved_first*INDEX('Age profile'!$O$2:$O$61,B1416)*(1+in_approval_growth)^(D1416-1))</f>
        <v/>
      </c>
      <c r="I1416" s="45">
        <f>G1416*MIN(in_takeup_cap,INDEX('Age profile'!$O$2:$O$61,B1416)*(1+in_approval_growth)^(D1416-1))</f>
        <v/>
      </c>
      <c r="J1416" s="40">
        <f>(J1415-L1415)*F1416/F1415</f>
        <v/>
      </c>
      <c r="K1416" s="40">
        <f>(K1415-M1415)*F1416/F1415+SUMIFS(O1397:O1415,B1397:B1415,B1416-1-d_T)*F1416</f>
        <v/>
      </c>
      <c r="L1416" s="40">
        <f>IF(B1416&gt;=in_marketplace_from,J1416*d_hz*G1416*in_eligible*H1416,0)</f>
        <v/>
      </c>
      <c r="M1416" s="40">
        <f>IF(B1416&gt;=in_marketplace_from,K1416*d_hz*G1416*in_eligible*in_approved_repeat,0)</f>
        <v/>
      </c>
      <c r="N1416" s="40">
        <f>L1416+M1416</f>
        <v/>
      </c>
      <c r="O1416" s="46">
        <f>N1416/F1416</f>
        <v/>
      </c>
      <c r="P1416" s="40">
        <f>F1416-J1416-K1416</f>
        <v/>
      </c>
      <c r="Q1416" s="40">
        <f>IF(B1416&gt;=in_marketplace_from,(J1416+K1416)*d_hz*G1416,0)</f>
        <v/>
      </c>
      <c r="R1416" s="40">
        <f>SUMIFS(N1397:N1425,B1397:B1425,"&gt;="&amp;(B1416-d_T),B1397:B1425,"&lt;="&amp;(B1416-1))</f>
        <v/>
      </c>
      <c r="S1416" s="46">
        <f>(1-d_u)*S1415+IF(d_T&gt;in_topup_lag,SUMIFS(O1397:O1425,B1397:B1425,B1416-in_topup_lag)-d_udrop*SUMIFS(O1397:O1425,B1397:B1425,B1416-d_T),0)</f>
        <v/>
      </c>
      <c r="T1416" s="40">
        <f>F1416*d_u*S1416</f>
        <v/>
      </c>
      <c r="U1416" s="9">
        <f>L1416*in_ticket+M1416*d_rep_ticket</f>
        <v/>
      </c>
      <c r="V1416" s="9">
        <f>U1416+T1416*d_topup_amt</f>
        <v/>
      </c>
      <c r="W1416" s="40">
        <f>N1416+T1416*d_topup_ratio</f>
        <v/>
      </c>
      <c r="X1416" s="40">
        <f>SUMIFS(W1397:W1425,B1397:B1425,B1416-in_dpd_lag)*d_cured</f>
        <v/>
      </c>
      <c r="Y1416" s="40">
        <f>SUMIFS(W1397:W1425,B1397:B1425,B1416-in_rec_lag)*d_recd</f>
        <v/>
      </c>
      <c r="Z1416" s="40">
        <f>IF(AND(B1416&gt;=in_marketplace_from,B1416&lt;in_marketplace_from+in_card_months),in_card_share/in_card_months*F1416*I1416,IF(AND(B1416&gt;=in_marketplace_from+in_card_months,B1416&lt;in_marketplace_from+2*in_card_months),in_card_share*d_card_rem/in_card_months*F1416*MIN(in_takeup_cap,(1+in_takeup_growth)^(D1416-1))*MIN(in_takeup_cap,(1+in_approval_growth)^(D1416-1)),0))</f>
        <v/>
      </c>
      <c r="AA1416" s="14">
        <f>V1416*in_fee*(1-in_taken_back)</f>
        <v/>
      </c>
      <c r="AB1416" s="14">
        <f>SUMIFS(W1397:W1425,B1397:B1425,B1416-in_dpd_lag)*d_dpd</f>
        <v/>
      </c>
      <c r="AC1416" s="14">
        <f>SUMIFS(W1397:W1425,B1397:B1425,B1416-in_rec_lag)*d_rec</f>
        <v/>
      </c>
      <c r="AD1416" s="14">
        <f>Z1416*in_card_fee</f>
        <v/>
      </c>
      <c r="AE1416" s="40">
        <f>AE1415*(1-IF(B1415&gt;=in_marketplace_from,d_hz_hlth_small*G1415,0))</f>
        <v/>
      </c>
      <c r="AF1416" s="46">
        <f>AE1416*IF(B1416&gt;=in_marketplace_from,d_hz_hlth_small*G1416,0)</f>
        <v/>
      </c>
      <c r="AG1416" s="14">
        <f>F1416*AF1416*in_hlth_small_ticket*in_hlth_small_comm*in_ins_partner_share+F1416*in_hlth_small_ticket*in_hlth_small_renew_comm*in_ins_partner_share*(in_hlth_small_renew^1*SUMIFS(AF1397:AF1425,B1397:B1425,B1416-12)+in_hlth_small_renew^2*SUMIFS(AF1397:AF1425,B1397:B1425,B1416-24)+in_hlth_small_renew^3*SUMIFS(AF1397:AF1425,B1397:B1425,B1416-36)+in_hlth_small_renew^4*SUMIFS(AF1397:AF1425,B1397:B1425,B1416-48))</f>
        <v/>
      </c>
      <c r="AH1416" s="40">
        <f>AH1415*(1-IF(B1415&gt;=in_marketplace_from,d_hz_hlth_family*G1415,0))</f>
        <v/>
      </c>
      <c r="AI1416" s="46">
        <f>AH1416*IF(B1416&gt;=in_marketplace_from,d_hz_hlth_family*G1416,0)</f>
        <v/>
      </c>
      <c r="AJ1416" s="14">
        <f>F1416*AI1416*in_hlth_family_ticket*in_hlth_family_comm*in_ins_partner_share+F1416*in_hlth_family_ticket*in_hlth_family_renew_comm*in_ins_partner_share*(in_hlth_family_renew^1*SUMIFS(AI1397:AI1425,B1397:B1425,B1416-12)+in_hlth_family_renew^2*SUMIFS(AI1397:AI1425,B1397:B1425,B1416-24)+in_hlth_family_renew^3*SUMIFS(AI1397:AI1425,B1397:B1425,B1416-36)+in_hlth_family_renew^4*SUMIFS(AI1397:AI1425,B1397:B1425,B1416-48))</f>
        <v/>
      </c>
      <c r="AK1416" s="40">
        <f>AK1415*(1-IF(B1415&gt;=in_marketplace_from,d_hz_life_term*G1415,0))</f>
        <v/>
      </c>
      <c r="AL1416" s="46">
        <f>AK1416*IF(B1416&gt;=in_marketplace_from,d_hz_life_term*G1416,0)</f>
        <v/>
      </c>
      <c r="AM1416" s="14">
        <f>F1416*AL1416*in_life_term_ticket*in_life_term_comm*in_ins_partner_share+F1416*in_life_term_ticket*in_life_term_renew_comm*in_ins_partner_share*(in_life_term_renew^1*SUMIFS(AL1397:AL1425,B1397:B1425,B1416-12)+in_life_term_renew^2*SUMIFS(AL1397:AL1425,B1397:B1425,B1416-24)+in_life_term_renew^3*SUMIFS(AL1397:AL1425,B1397:B1425,B1416-36)+in_life_term_renew^4*SUMIFS(AL1397:AL1425,B1397:B1425,B1416-48))</f>
        <v/>
      </c>
      <c r="AN1416" s="40">
        <f>AN1415*(1-IF(B1415&gt;=in_marketplace_from,d_hz_accident*G1415,0))</f>
        <v/>
      </c>
      <c r="AO1416" s="46">
        <f>AN1416*IF(B1416&gt;=in_marketplace_from,d_hz_accident*G1416,0)</f>
        <v/>
      </c>
      <c r="AP1416" s="14">
        <f>F1416*AO1416*in_accident_ticket*in_accident_comm*in_ins_partner_share+F1416*in_accident_ticket*in_accident_renew_comm*in_ins_partner_share*(in_accident_renew^1*SUMIFS(AO1397:AO1425,B1397:B1425,B1416-12)+in_accident_renew^2*SUMIFS(AO1397:AO1425,B1397:B1425,B1416-24)+in_accident_renew^3*SUMIFS(AO1397:AO1425,B1397:B1425,B1416-36)+in_accident_renew^4*SUMIFS(AO1397:AO1425,B1397:B1425,B1416-48))</f>
        <v/>
      </c>
      <c r="AQ1416" s="40">
        <f>AQ1415*(1-IF(B1415&gt;=in_marketplace_from,d_hz_two_wheeler*G1415,0))</f>
        <v/>
      </c>
      <c r="AR1416" s="46">
        <f>AQ1416*IF(B1416&gt;=in_marketplace_from,d_hz_two_wheeler*G1416,0)</f>
        <v/>
      </c>
      <c r="AS1416" s="14">
        <f>F1416*AR1416*in_two_wheeler_ticket*in_two_wheeler_comm*in_ins_partner_share+F1416*in_two_wheeler_ticket*in_two_wheeler_comm*in_ins_partner_share*(in_two_wheeler_renew^1*SUMIFS(AR1397:AR1425,B1397:B1425,B1416-12)+in_two_wheeler_renew^2*SUMIFS(AR1397:AR1425,B1397:B1425,B1416-24)+in_two_wheeler_renew^3*SUMIFS(AR1397:AR1425,B1397:B1425,B1416-36)+in_two_wheeler_renew^4*SUMIFS(AR1397:AR1425,B1397:B1425,B1416-48))</f>
        <v/>
      </c>
      <c r="AT1416" s="40">
        <f>AT1415*(1-IF(B1415&gt;=in_marketplace_from,d_hz_device*G1415,0))</f>
        <v/>
      </c>
      <c r="AU1416" s="14">
        <f>F1416*AT1416*IF(B1416&gt;=in_marketplace_from,d_hz_device*G1416,0)*in_device_ticket*in_device_comm*in_ins_partner_share</f>
        <v/>
      </c>
      <c r="AV1416" s="40">
        <f>AV1415*(1-IF(B1415&gt;=in_marketplace_from,d_hz_shop*G1415,0))</f>
        <v/>
      </c>
      <c r="AW1416" s="46">
        <f>AV1416*IF(B1416&gt;=in_marketplace_from,d_hz_shop*G1416,0)</f>
        <v/>
      </c>
      <c r="AX1416" s="14">
        <f>F1416*AW1416*in_shop_ticket*in_shop_comm*in_ins_partner_share+F1416*in_shop_ticket*in_shop_renew_comm*in_ins_partner_share*(in_shop_renew^1*SUMIFS(AW1397:AW1425,B1397:B1425,B1416-12)+in_shop_renew^2*SUMIFS(AW1397:AW1425,B1397:B1425,B1416-24)+in_shop_renew^3*SUMIFS(AW1397:AW1425,B1397:B1425,B1416-36)+in_shop_renew^4*SUMIFS(AW1397:AW1425,B1397:B1425,B1416-48))</f>
        <v/>
      </c>
      <c r="AY1416" s="40">
        <f>AY1415*(1-IF(B1415&gt;=in_marketplace_from,d_hz_sip*G1415,0))</f>
        <v/>
      </c>
      <c r="AZ1416" s="40">
        <f>AZ1415*d_rho_sip+AY1416*IF(B1416&gt;=in_marketplace_from,d_hz_sip*G1416,0)</f>
        <v/>
      </c>
      <c r="BA1416" s="40">
        <f>d_rho_sip*(BA1415+AZ1415)</f>
        <v/>
      </c>
      <c r="BB1416" s="14">
        <f>F1416*in_sip_ticket*(BA1416+0.5*AZ1416)*in_sip_comm/12</f>
        <v/>
      </c>
      <c r="BC1416" s="40">
        <f>BC1415*(1-IF(B1415&gt;=in_marketplace_from,d_hz_choti*G1415,0))</f>
        <v/>
      </c>
      <c r="BD1416" s="46">
        <f>BC1416*IF(B1416&gt;=in_marketplace_from,d_hz_choti*G1416,0)</f>
        <v/>
      </c>
      <c r="BE1416" s="14">
        <f>F1416*SUMIFS(BD1397:BD1425,B1397:B1425,B1416-in_choti_months)*in_choti_renew*in_choti_ticket</f>
        <v/>
      </c>
      <c r="BF1416" s="40">
        <f>BF1415*(1-IF(B1415&gt;=in_marketplace_from,d_hz_nps*G1415,0))</f>
        <v/>
      </c>
      <c r="BG1416" s="14">
        <f>F1416*BF1416*IF(B1416&gt;=in_marketplace_from,d_hz_nps*G1416,0)*in_nps_ticket*in_nps_comm</f>
        <v/>
      </c>
      <c r="BH1416" s="40">
        <f>BH1415*(1-IF(B1415&gt;=in_marketplace_from,d_hz_gold*G1415,0))</f>
        <v/>
      </c>
      <c r="BI1416" s="40">
        <f>BI1415*d_rho_gold+BH1416*IF(B1416&gt;=in_marketplace_from,d_hz_gold*G1416,0)</f>
        <v/>
      </c>
      <c r="BJ1416" s="14">
        <f>F1416*BI1416*in_gold_ticket*in_gold_comm</f>
        <v/>
      </c>
      <c r="BK1416" s="40">
        <f>BK1415*(1-IF(B1415&gt;=in_marketplace_from,d_hz_fd*G1415,0))</f>
        <v/>
      </c>
      <c r="BL1416" s="14">
        <f>F1416*BK1416*IF(B1416&gt;=in_marketplace_from,d_hz_fd*G1416,0)*in_fd_ticket*in_fd_comm</f>
        <v/>
      </c>
      <c r="BM1416" s="40">
        <f>BM1415*(1-IF(B1415&gt;=in_marketplace_from,d_hz_recharge*G1415,0))</f>
        <v/>
      </c>
      <c r="BN1416" s="40">
        <f>BN1415*d_rho_recharge+BM1416*IF(B1416&gt;=in_marketplace_from,d_hz_recharge*G1416,0)</f>
        <v/>
      </c>
      <c r="BO1416" s="14">
        <f>F1416*BN1416*in_recharge_ticket*in_recharge_comm/12</f>
        <v/>
      </c>
      <c r="BP1416" s="40">
        <f>BP1415*(1-IF(B1415&gt;=in_marketplace_from,d_hz_bills*G1415,0))</f>
        <v/>
      </c>
      <c r="BQ1416" s="40">
        <f>BQ1415*d_rho_bills+BP1416*IF(B1416&gt;=in_marketplace_from,d_hz_bills*G1416,0)</f>
        <v/>
      </c>
      <c r="BR1416" s="14">
        <f>F1416*BQ1416*in_bills_ticket*in_bills_comm/12</f>
        <v/>
      </c>
      <c r="BS1416" s="40">
        <f>BS1415*(1-IF(B1415&gt;=in_marketplace_from,d_hz_loan_gold*G1415,0))</f>
        <v/>
      </c>
      <c r="BT1416" s="14">
        <f>F1416*BS1416*IF(B1416&gt;=in_marketplace_from,d_hz_loan_gold*G1416,0)*in_loan_gold_ticket*in_loan_gold_comm</f>
        <v/>
      </c>
      <c r="BU1416" s="40">
        <f>BU1415*(1-IF(B1415&gt;=in_marketplace_from,d_hz_loan_cd*G1415,0))</f>
        <v/>
      </c>
      <c r="BV1416" s="14">
        <f>F1416*BU1416*IF(B1416&gt;=in_marketplace_from,d_hz_loan_cd*G1416,0)*in_loan_cd_ticket*in_loan_cd_comm</f>
        <v/>
      </c>
      <c r="BW1416" s="40">
        <f>BW1415*(1-IF(B1415&gt;=in_marketplace_from,d_hz_loan_vehicle*G1415,0))</f>
        <v/>
      </c>
      <c r="BX1416" s="14">
        <f>F1416*BW1416*IF(B1416&gt;=in_marketplace_from,d_hz_loan_vehicle*G1416,0)*in_loan_vehicle_ticket*in_loan_vehicle_comm</f>
        <v/>
      </c>
      <c r="BY1416" s="40">
        <f>BY1415*(1-IF(B1415&gt;=in_marketplace_from,d_hz_loan_home*G1415,0)*BZ1415)</f>
        <v/>
      </c>
      <c r="BZ1416" s="11">
        <f>MIN(in_approval_cap,in_loan_home_approval*INDEX('Age profile'!$O$2:$O$61,B1416)*(1+in_approval_growth)^(D1416-1))</f>
        <v/>
      </c>
      <c r="CA1416" s="14">
        <f>F1416*BY1416*IF(B1416&gt;=in_marketplace_from,d_hz_loan_home*G1416,0)*BZ1416*in_loan_home_ticket*in_loan_home_comm</f>
        <v/>
      </c>
      <c r="CB1416" s="40">
        <f>CB1415*(1-IF(B1415&gt;=in_marketplace_from,d_hz_loan_lap*G1415,0)*CC1415)</f>
        <v/>
      </c>
      <c r="CC1416" s="11">
        <f>MIN(in_approval_cap,in_loan_lap_approval*INDEX('Age profile'!$O$2:$O$61,B1416)*(1+in_approval_growth)^(D1416-1))</f>
        <v/>
      </c>
      <c r="CD1416" s="14">
        <f>F1416*CB1416*IF(B1416&gt;=in_marketplace_from,d_hz_loan_lap*G1416,0)*CC1416*in_loan_lap_ticket*in_loan_lap_comm</f>
        <v/>
      </c>
      <c r="CE1416" s="14">
        <f>AA1416+AB1416+AC1416+AD1416+AG1416+AJ1416+AM1416+AP1416+AS1416+AU1416+AX1416+BB1416+BE1416+BG1416+BJ1416+BL1416+BO1416+BR1416+BT1416+BV1416+BX1416+CA1416+CD1416</f>
        <v/>
      </c>
    </row>
    <row r="1417">
      <c r="A1417" s="39" t="n">
        <v>32</v>
      </c>
      <c r="B1417" s="39" t="n">
        <v>21</v>
      </c>
      <c r="C1417" s="39">
        <f>A1417+B1417-1</f>
        <v/>
      </c>
      <c r="D1417" s="39">
        <f>INT((C1417-1)/12)+1</f>
        <v/>
      </c>
      <c r="E1417" s="44">
        <f>INDEX(Monthly!$B$2:$B$61,A1417)</f>
        <v/>
      </c>
      <c r="F1417" s="44">
        <f>E1417*INDEX('Age profile'!$B$2:$B$61,B1417)</f>
        <v/>
      </c>
      <c r="G1417" s="45">
        <f>MIN(in_takeup_cap,INDEX('Age profile'!$N$2:$N$61,B1417)*(1+in_takeup_growth)^(D1417-1))</f>
        <v/>
      </c>
      <c r="H1417" s="11">
        <f>MIN(in_approval_cap,in_approved_first*INDEX('Age profile'!$O$2:$O$61,B1417)*(1+in_approval_growth)^(D1417-1))</f>
        <v/>
      </c>
      <c r="I1417" s="45">
        <f>G1417*MIN(in_takeup_cap,INDEX('Age profile'!$O$2:$O$61,B1417)*(1+in_approval_growth)^(D1417-1))</f>
        <v/>
      </c>
      <c r="J1417" s="40">
        <f>(J1416-L1416)*F1417/F1416</f>
        <v/>
      </c>
      <c r="K1417" s="40">
        <f>(K1416-M1416)*F1417/F1416+SUMIFS(O1397:O1416,B1397:B1416,B1417-1-d_T)*F1417</f>
        <v/>
      </c>
      <c r="L1417" s="40">
        <f>IF(B1417&gt;=in_marketplace_from,J1417*d_hz*G1417*in_eligible*H1417,0)</f>
        <v/>
      </c>
      <c r="M1417" s="40">
        <f>IF(B1417&gt;=in_marketplace_from,K1417*d_hz*G1417*in_eligible*in_approved_repeat,0)</f>
        <v/>
      </c>
      <c r="N1417" s="40">
        <f>L1417+M1417</f>
        <v/>
      </c>
      <c r="O1417" s="46">
        <f>N1417/F1417</f>
        <v/>
      </c>
      <c r="P1417" s="40">
        <f>F1417-J1417-K1417</f>
        <v/>
      </c>
      <c r="Q1417" s="40">
        <f>IF(B1417&gt;=in_marketplace_from,(J1417+K1417)*d_hz*G1417,0)</f>
        <v/>
      </c>
      <c r="R1417" s="40">
        <f>SUMIFS(N1397:N1425,B1397:B1425,"&gt;="&amp;(B1417-d_T),B1397:B1425,"&lt;="&amp;(B1417-1))</f>
        <v/>
      </c>
      <c r="S1417" s="46">
        <f>(1-d_u)*S1416+IF(d_T&gt;in_topup_lag,SUMIFS(O1397:O1425,B1397:B1425,B1417-in_topup_lag)-d_udrop*SUMIFS(O1397:O1425,B1397:B1425,B1417-d_T),0)</f>
        <v/>
      </c>
      <c r="T1417" s="40">
        <f>F1417*d_u*S1417</f>
        <v/>
      </c>
      <c r="U1417" s="9">
        <f>L1417*in_ticket+M1417*d_rep_ticket</f>
        <v/>
      </c>
      <c r="V1417" s="9">
        <f>U1417+T1417*d_topup_amt</f>
        <v/>
      </c>
      <c r="W1417" s="40">
        <f>N1417+T1417*d_topup_ratio</f>
        <v/>
      </c>
      <c r="X1417" s="40">
        <f>SUMIFS(W1397:W1425,B1397:B1425,B1417-in_dpd_lag)*d_cured</f>
        <v/>
      </c>
      <c r="Y1417" s="40">
        <f>SUMIFS(W1397:W1425,B1397:B1425,B1417-in_rec_lag)*d_recd</f>
        <v/>
      </c>
      <c r="Z1417" s="40">
        <f>IF(AND(B1417&gt;=in_marketplace_from,B1417&lt;in_marketplace_from+in_card_months),in_card_share/in_card_months*F1417*I1417,IF(AND(B1417&gt;=in_marketplace_from+in_card_months,B1417&lt;in_marketplace_from+2*in_card_months),in_card_share*d_card_rem/in_card_months*F1417*MIN(in_takeup_cap,(1+in_takeup_growth)^(D1417-1))*MIN(in_takeup_cap,(1+in_approval_growth)^(D1417-1)),0))</f>
        <v/>
      </c>
      <c r="AA1417" s="14">
        <f>V1417*in_fee*(1-in_taken_back)</f>
        <v/>
      </c>
      <c r="AB1417" s="14">
        <f>SUMIFS(W1397:W1425,B1397:B1425,B1417-in_dpd_lag)*d_dpd</f>
        <v/>
      </c>
      <c r="AC1417" s="14">
        <f>SUMIFS(W1397:W1425,B1397:B1425,B1417-in_rec_lag)*d_rec</f>
        <v/>
      </c>
      <c r="AD1417" s="14">
        <f>Z1417*in_card_fee</f>
        <v/>
      </c>
      <c r="AE1417" s="40">
        <f>AE1416*(1-IF(B1416&gt;=in_marketplace_from,d_hz_hlth_small*G1416,0))</f>
        <v/>
      </c>
      <c r="AF1417" s="46">
        <f>AE1417*IF(B1417&gt;=in_marketplace_from,d_hz_hlth_small*G1417,0)</f>
        <v/>
      </c>
      <c r="AG1417" s="14">
        <f>F1417*AF1417*in_hlth_small_ticket*in_hlth_small_comm*in_ins_partner_share+F1417*in_hlth_small_ticket*in_hlth_small_renew_comm*in_ins_partner_share*(in_hlth_small_renew^1*SUMIFS(AF1397:AF1425,B1397:B1425,B1417-12)+in_hlth_small_renew^2*SUMIFS(AF1397:AF1425,B1397:B1425,B1417-24)+in_hlth_small_renew^3*SUMIFS(AF1397:AF1425,B1397:B1425,B1417-36)+in_hlth_small_renew^4*SUMIFS(AF1397:AF1425,B1397:B1425,B1417-48))</f>
        <v/>
      </c>
      <c r="AH1417" s="40">
        <f>AH1416*(1-IF(B1416&gt;=in_marketplace_from,d_hz_hlth_family*G1416,0))</f>
        <v/>
      </c>
      <c r="AI1417" s="46">
        <f>AH1417*IF(B1417&gt;=in_marketplace_from,d_hz_hlth_family*G1417,0)</f>
        <v/>
      </c>
      <c r="AJ1417" s="14">
        <f>F1417*AI1417*in_hlth_family_ticket*in_hlth_family_comm*in_ins_partner_share+F1417*in_hlth_family_ticket*in_hlth_family_renew_comm*in_ins_partner_share*(in_hlth_family_renew^1*SUMIFS(AI1397:AI1425,B1397:B1425,B1417-12)+in_hlth_family_renew^2*SUMIFS(AI1397:AI1425,B1397:B1425,B1417-24)+in_hlth_family_renew^3*SUMIFS(AI1397:AI1425,B1397:B1425,B1417-36)+in_hlth_family_renew^4*SUMIFS(AI1397:AI1425,B1397:B1425,B1417-48))</f>
        <v/>
      </c>
      <c r="AK1417" s="40">
        <f>AK1416*(1-IF(B1416&gt;=in_marketplace_from,d_hz_life_term*G1416,0))</f>
        <v/>
      </c>
      <c r="AL1417" s="46">
        <f>AK1417*IF(B1417&gt;=in_marketplace_from,d_hz_life_term*G1417,0)</f>
        <v/>
      </c>
      <c r="AM1417" s="14">
        <f>F1417*AL1417*in_life_term_ticket*in_life_term_comm*in_ins_partner_share+F1417*in_life_term_ticket*in_life_term_renew_comm*in_ins_partner_share*(in_life_term_renew^1*SUMIFS(AL1397:AL1425,B1397:B1425,B1417-12)+in_life_term_renew^2*SUMIFS(AL1397:AL1425,B1397:B1425,B1417-24)+in_life_term_renew^3*SUMIFS(AL1397:AL1425,B1397:B1425,B1417-36)+in_life_term_renew^4*SUMIFS(AL1397:AL1425,B1397:B1425,B1417-48))</f>
        <v/>
      </c>
      <c r="AN1417" s="40">
        <f>AN1416*(1-IF(B1416&gt;=in_marketplace_from,d_hz_accident*G1416,0))</f>
        <v/>
      </c>
      <c r="AO1417" s="46">
        <f>AN1417*IF(B1417&gt;=in_marketplace_from,d_hz_accident*G1417,0)</f>
        <v/>
      </c>
      <c r="AP1417" s="14">
        <f>F1417*AO1417*in_accident_ticket*in_accident_comm*in_ins_partner_share+F1417*in_accident_ticket*in_accident_renew_comm*in_ins_partner_share*(in_accident_renew^1*SUMIFS(AO1397:AO1425,B1397:B1425,B1417-12)+in_accident_renew^2*SUMIFS(AO1397:AO1425,B1397:B1425,B1417-24)+in_accident_renew^3*SUMIFS(AO1397:AO1425,B1397:B1425,B1417-36)+in_accident_renew^4*SUMIFS(AO1397:AO1425,B1397:B1425,B1417-48))</f>
        <v/>
      </c>
      <c r="AQ1417" s="40">
        <f>AQ1416*(1-IF(B1416&gt;=in_marketplace_from,d_hz_two_wheeler*G1416,0))</f>
        <v/>
      </c>
      <c r="AR1417" s="46">
        <f>AQ1417*IF(B1417&gt;=in_marketplace_from,d_hz_two_wheeler*G1417,0)</f>
        <v/>
      </c>
      <c r="AS1417" s="14">
        <f>F1417*AR1417*in_two_wheeler_ticket*in_two_wheeler_comm*in_ins_partner_share+F1417*in_two_wheeler_ticket*in_two_wheeler_comm*in_ins_partner_share*(in_two_wheeler_renew^1*SUMIFS(AR1397:AR1425,B1397:B1425,B1417-12)+in_two_wheeler_renew^2*SUMIFS(AR1397:AR1425,B1397:B1425,B1417-24)+in_two_wheeler_renew^3*SUMIFS(AR1397:AR1425,B1397:B1425,B1417-36)+in_two_wheeler_renew^4*SUMIFS(AR1397:AR1425,B1397:B1425,B1417-48))</f>
        <v/>
      </c>
      <c r="AT1417" s="40">
        <f>AT1416*(1-IF(B1416&gt;=in_marketplace_from,d_hz_device*G1416,0))</f>
        <v/>
      </c>
      <c r="AU1417" s="14">
        <f>F1417*AT1417*IF(B1417&gt;=in_marketplace_from,d_hz_device*G1417,0)*in_device_ticket*in_device_comm*in_ins_partner_share</f>
        <v/>
      </c>
      <c r="AV1417" s="40">
        <f>AV1416*(1-IF(B1416&gt;=in_marketplace_from,d_hz_shop*G1416,0))</f>
        <v/>
      </c>
      <c r="AW1417" s="46">
        <f>AV1417*IF(B1417&gt;=in_marketplace_from,d_hz_shop*G1417,0)</f>
        <v/>
      </c>
      <c r="AX1417" s="14">
        <f>F1417*AW1417*in_shop_ticket*in_shop_comm*in_ins_partner_share+F1417*in_shop_ticket*in_shop_renew_comm*in_ins_partner_share*(in_shop_renew^1*SUMIFS(AW1397:AW1425,B1397:B1425,B1417-12)+in_shop_renew^2*SUMIFS(AW1397:AW1425,B1397:B1425,B1417-24)+in_shop_renew^3*SUMIFS(AW1397:AW1425,B1397:B1425,B1417-36)+in_shop_renew^4*SUMIFS(AW1397:AW1425,B1397:B1425,B1417-48))</f>
        <v/>
      </c>
      <c r="AY1417" s="40">
        <f>AY1416*(1-IF(B1416&gt;=in_marketplace_from,d_hz_sip*G1416,0))</f>
        <v/>
      </c>
      <c r="AZ1417" s="40">
        <f>AZ1416*d_rho_sip+AY1417*IF(B1417&gt;=in_marketplace_from,d_hz_sip*G1417,0)</f>
        <v/>
      </c>
      <c r="BA1417" s="40">
        <f>d_rho_sip*(BA1416+AZ1416)</f>
        <v/>
      </c>
      <c r="BB1417" s="14">
        <f>F1417*in_sip_ticket*(BA1417+0.5*AZ1417)*in_sip_comm/12</f>
        <v/>
      </c>
      <c r="BC1417" s="40">
        <f>BC1416*(1-IF(B1416&gt;=in_marketplace_from,d_hz_choti*G1416,0))</f>
        <v/>
      </c>
      <c r="BD1417" s="46">
        <f>BC1417*IF(B1417&gt;=in_marketplace_from,d_hz_choti*G1417,0)</f>
        <v/>
      </c>
      <c r="BE1417" s="14">
        <f>F1417*SUMIFS(BD1397:BD1425,B1397:B1425,B1417-in_choti_months)*in_choti_renew*in_choti_ticket</f>
        <v/>
      </c>
      <c r="BF1417" s="40">
        <f>BF1416*(1-IF(B1416&gt;=in_marketplace_from,d_hz_nps*G1416,0))</f>
        <v/>
      </c>
      <c r="BG1417" s="14">
        <f>F1417*BF1417*IF(B1417&gt;=in_marketplace_from,d_hz_nps*G1417,0)*in_nps_ticket*in_nps_comm</f>
        <v/>
      </c>
      <c r="BH1417" s="40">
        <f>BH1416*(1-IF(B1416&gt;=in_marketplace_from,d_hz_gold*G1416,0))</f>
        <v/>
      </c>
      <c r="BI1417" s="40">
        <f>BI1416*d_rho_gold+BH1417*IF(B1417&gt;=in_marketplace_from,d_hz_gold*G1417,0)</f>
        <v/>
      </c>
      <c r="BJ1417" s="14">
        <f>F1417*BI1417*in_gold_ticket*in_gold_comm</f>
        <v/>
      </c>
      <c r="BK1417" s="40">
        <f>BK1416*(1-IF(B1416&gt;=in_marketplace_from,d_hz_fd*G1416,0))</f>
        <v/>
      </c>
      <c r="BL1417" s="14">
        <f>F1417*BK1417*IF(B1417&gt;=in_marketplace_from,d_hz_fd*G1417,0)*in_fd_ticket*in_fd_comm</f>
        <v/>
      </c>
      <c r="BM1417" s="40">
        <f>BM1416*(1-IF(B1416&gt;=in_marketplace_from,d_hz_recharge*G1416,0))</f>
        <v/>
      </c>
      <c r="BN1417" s="40">
        <f>BN1416*d_rho_recharge+BM1417*IF(B1417&gt;=in_marketplace_from,d_hz_recharge*G1417,0)</f>
        <v/>
      </c>
      <c r="BO1417" s="14">
        <f>F1417*BN1417*in_recharge_ticket*in_recharge_comm/12</f>
        <v/>
      </c>
      <c r="BP1417" s="40">
        <f>BP1416*(1-IF(B1416&gt;=in_marketplace_from,d_hz_bills*G1416,0))</f>
        <v/>
      </c>
      <c r="BQ1417" s="40">
        <f>BQ1416*d_rho_bills+BP1417*IF(B1417&gt;=in_marketplace_from,d_hz_bills*G1417,0)</f>
        <v/>
      </c>
      <c r="BR1417" s="14">
        <f>F1417*BQ1417*in_bills_ticket*in_bills_comm/12</f>
        <v/>
      </c>
      <c r="BS1417" s="40">
        <f>BS1416*(1-IF(B1416&gt;=in_marketplace_from,d_hz_loan_gold*G1416,0))</f>
        <v/>
      </c>
      <c r="BT1417" s="14">
        <f>F1417*BS1417*IF(B1417&gt;=in_marketplace_from,d_hz_loan_gold*G1417,0)*in_loan_gold_ticket*in_loan_gold_comm</f>
        <v/>
      </c>
      <c r="BU1417" s="40">
        <f>BU1416*(1-IF(B1416&gt;=in_marketplace_from,d_hz_loan_cd*G1416,0))</f>
        <v/>
      </c>
      <c r="BV1417" s="14">
        <f>F1417*BU1417*IF(B1417&gt;=in_marketplace_from,d_hz_loan_cd*G1417,0)*in_loan_cd_ticket*in_loan_cd_comm</f>
        <v/>
      </c>
      <c r="BW1417" s="40">
        <f>BW1416*(1-IF(B1416&gt;=in_marketplace_from,d_hz_loan_vehicle*G1416,0))</f>
        <v/>
      </c>
      <c r="BX1417" s="14">
        <f>F1417*BW1417*IF(B1417&gt;=in_marketplace_from,d_hz_loan_vehicle*G1417,0)*in_loan_vehicle_ticket*in_loan_vehicle_comm</f>
        <v/>
      </c>
      <c r="BY1417" s="40">
        <f>BY1416*(1-IF(B1416&gt;=in_marketplace_from,d_hz_loan_home*G1416,0)*BZ1416)</f>
        <v/>
      </c>
      <c r="BZ1417" s="11">
        <f>MIN(in_approval_cap,in_loan_home_approval*INDEX('Age profile'!$O$2:$O$61,B1417)*(1+in_approval_growth)^(D1417-1))</f>
        <v/>
      </c>
      <c r="CA1417" s="14">
        <f>F1417*BY1417*IF(B1417&gt;=in_marketplace_from,d_hz_loan_home*G1417,0)*BZ1417*in_loan_home_ticket*in_loan_home_comm</f>
        <v/>
      </c>
      <c r="CB1417" s="40">
        <f>CB1416*(1-IF(B1416&gt;=in_marketplace_from,d_hz_loan_lap*G1416,0)*CC1416)</f>
        <v/>
      </c>
      <c r="CC1417" s="11">
        <f>MIN(in_approval_cap,in_loan_lap_approval*INDEX('Age profile'!$O$2:$O$61,B1417)*(1+in_approval_growth)^(D1417-1))</f>
        <v/>
      </c>
      <c r="CD1417" s="14">
        <f>F1417*CB1417*IF(B1417&gt;=in_marketplace_from,d_hz_loan_lap*G1417,0)*CC1417*in_loan_lap_ticket*in_loan_lap_comm</f>
        <v/>
      </c>
      <c r="CE1417" s="14">
        <f>AA1417+AB1417+AC1417+AD1417+AG1417+AJ1417+AM1417+AP1417+AS1417+AU1417+AX1417+BB1417+BE1417+BG1417+BJ1417+BL1417+BO1417+BR1417+BT1417+BV1417+BX1417+CA1417+CD1417</f>
        <v/>
      </c>
    </row>
    <row r="1418">
      <c r="A1418" s="39" t="n">
        <v>32</v>
      </c>
      <c r="B1418" s="39" t="n">
        <v>22</v>
      </c>
      <c r="C1418" s="39">
        <f>A1418+B1418-1</f>
        <v/>
      </c>
      <c r="D1418" s="39">
        <f>INT((C1418-1)/12)+1</f>
        <v/>
      </c>
      <c r="E1418" s="44">
        <f>INDEX(Monthly!$B$2:$B$61,A1418)</f>
        <v/>
      </c>
      <c r="F1418" s="44">
        <f>E1418*INDEX('Age profile'!$B$2:$B$61,B1418)</f>
        <v/>
      </c>
      <c r="G1418" s="45">
        <f>MIN(in_takeup_cap,INDEX('Age profile'!$N$2:$N$61,B1418)*(1+in_takeup_growth)^(D1418-1))</f>
        <v/>
      </c>
      <c r="H1418" s="11">
        <f>MIN(in_approval_cap,in_approved_first*INDEX('Age profile'!$O$2:$O$61,B1418)*(1+in_approval_growth)^(D1418-1))</f>
        <v/>
      </c>
      <c r="I1418" s="45">
        <f>G1418*MIN(in_takeup_cap,INDEX('Age profile'!$O$2:$O$61,B1418)*(1+in_approval_growth)^(D1418-1))</f>
        <v/>
      </c>
      <c r="J1418" s="40">
        <f>(J1417-L1417)*F1418/F1417</f>
        <v/>
      </c>
      <c r="K1418" s="40">
        <f>(K1417-M1417)*F1418/F1417+SUMIFS(O1397:O1417,B1397:B1417,B1418-1-d_T)*F1418</f>
        <v/>
      </c>
      <c r="L1418" s="40">
        <f>IF(B1418&gt;=in_marketplace_from,J1418*d_hz*G1418*in_eligible*H1418,0)</f>
        <v/>
      </c>
      <c r="M1418" s="40">
        <f>IF(B1418&gt;=in_marketplace_from,K1418*d_hz*G1418*in_eligible*in_approved_repeat,0)</f>
        <v/>
      </c>
      <c r="N1418" s="40">
        <f>L1418+M1418</f>
        <v/>
      </c>
      <c r="O1418" s="46">
        <f>N1418/F1418</f>
        <v/>
      </c>
      <c r="P1418" s="40">
        <f>F1418-J1418-K1418</f>
        <v/>
      </c>
      <c r="Q1418" s="40">
        <f>IF(B1418&gt;=in_marketplace_from,(J1418+K1418)*d_hz*G1418,0)</f>
        <v/>
      </c>
      <c r="R1418" s="40">
        <f>SUMIFS(N1397:N1425,B1397:B1425,"&gt;="&amp;(B1418-d_T),B1397:B1425,"&lt;="&amp;(B1418-1))</f>
        <v/>
      </c>
      <c r="S1418" s="46">
        <f>(1-d_u)*S1417+IF(d_T&gt;in_topup_lag,SUMIFS(O1397:O1425,B1397:B1425,B1418-in_topup_lag)-d_udrop*SUMIFS(O1397:O1425,B1397:B1425,B1418-d_T),0)</f>
        <v/>
      </c>
      <c r="T1418" s="40">
        <f>F1418*d_u*S1418</f>
        <v/>
      </c>
      <c r="U1418" s="9">
        <f>L1418*in_ticket+M1418*d_rep_ticket</f>
        <v/>
      </c>
      <c r="V1418" s="9">
        <f>U1418+T1418*d_topup_amt</f>
        <v/>
      </c>
      <c r="W1418" s="40">
        <f>N1418+T1418*d_topup_ratio</f>
        <v/>
      </c>
      <c r="X1418" s="40">
        <f>SUMIFS(W1397:W1425,B1397:B1425,B1418-in_dpd_lag)*d_cured</f>
        <v/>
      </c>
      <c r="Y1418" s="40">
        <f>SUMIFS(W1397:W1425,B1397:B1425,B1418-in_rec_lag)*d_recd</f>
        <v/>
      </c>
      <c r="Z1418" s="40">
        <f>IF(AND(B1418&gt;=in_marketplace_from,B1418&lt;in_marketplace_from+in_card_months),in_card_share/in_card_months*F1418*I1418,IF(AND(B1418&gt;=in_marketplace_from+in_card_months,B1418&lt;in_marketplace_from+2*in_card_months),in_card_share*d_card_rem/in_card_months*F1418*MIN(in_takeup_cap,(1+in_takeup_growth)^(D1418-1))*MIN(in_takeup_cap,(1+in_approval_growth)^(D1418-1)),0))</f>
        <v/>
      </c>
      <c r="AA1418" s="14">
        <f>V1418*in_fee*(1-in_taken_back)</f>
        <v/>
      </c>
      <c r="AB1418" s="14">
        <f>SUMIFS(W1397:W1425,B1397:B1425,B1418-in_dpd_lag)*d_dpd</f>
        <v/>
      </c>
      <c r="AC1418" s="14">
        <f>SUMIFS(W1397:W1425,B1397:B1425,B1418-in_rec_lag)*d_rec</f>
        <v/>
      </c>
      <c r="AD1418" s="14">
        <f>Z1418*in_card_fee</f>
        <v/>
      </c>
      <c r="AE1418" s="40">
        <f>AE1417*(1-IF(B1417&gt;=in_marketplace_from,d_hz_hlth_small*G1417,0))</f>
        <v/>
      </c>
      <c r="AF1418" s="46">
        <f>AE1418*IF(B1418&gt;=in_marketplace_from,d_hz_hlth_small*G1418,0)</f>
        <v/>
      </c>
      <c r="AG1418" s="14">
        <f>F1418*AF1418*in_hlth_small_ticket*in_hlth_small_comm*in_ins_partner_share+F1418*in_hlth_small_ticket*in_hlth_small_renew_comm*in_ins_partner_share*(in_hlth_small_renew^1*SUMIFS(AF1397:AF1425,B1397:B1425,B1418-12)+in_hlth_small_renew^2*SUMIFS(AF1397:AF1425,B1397:B1425,B1418-24)+in_hlth_small_renew^3*SUMIFS(AF1397:AF1425,B1397:B1425,B1418-36)+in_hlth_small_renew^4*SUMIFS(AF1397:AF1425,B1397:B1425,B1418-48))</f>
        <v/>
      </c>
      <c r="AH1418" s="40">
        <f>AH1417*(1-IF(B1417&gt;=in_marketplace_from,d_hz_hlth_family*G1417,0))</f>
        <v/>
      </c>
      <c r="AI1418" s="46">
        <f>AH1418*IF(B1418&gt;=in_marketplace_from,d_hz_hlth_family*G1418,0)</f>
        <v/>
      </c>
      <c r="AJ1418" s="14">
        <f>F1418*AI1418*in_hlth_family_ticket*in_hlth_family_comm*in_ins_partner_share+F1418*in_hlth_family_ticket*in_hlth_family_renew_comm*in_ins_partner_share*(in_hlth_family_renew^1*SUMIFS(AI1397:AI1425,B1397:B1425,B1418-12)+in_hlth_family_renew^2*SUMIFS(AI1397:AI1425,B1397:B1425,B1418-24)+in_hlth_family_renew^3*SUMIFS(AI1397:AI1425,B1397:B1425,B1418-36)+in_hlth_family_renew^4*SUMIFS(AI1397:AI1425,B1397:B1425,B1418-48))</f>
        <v/>
      </c>
      <c r="AK1418" s="40">
        <f>AK1417*(1-IF(B1417&gt;=in_marketplace_from,d_hz_life_term*G1417,0))</f>
        <v/>
      </c>
      <c r="AL1418" s="46">
        <f>AK1418*IF(B1418&gt;=in_marketplace_from,d_hz_life_term*G1418,0)</f>
        <v/>
      </c>
      <c r="AM1418" s="14">
        <f>F1418*AL1418*in_life_term_ticket*in_life_term_comm*in_ins_partner_share+F1418*in_life_term_ticket*in_life_term_renew_comm*in_ins_partner_share*(in_life_term_renew^1*SUMIFS(AL1397:AL1425,B1397:B1425,B1418-12)+in_life_term_renew^2*SUMIFS(AL1397:AL1425,B1397:B1425,B1418-24)+in_life_term_renew^3*SUMIFS(AL1397:AL1425,B1397:B1425,B1418-36)+in_life_term_renew^4*SUMIFS(AL1397:AL1425,B1397:B1425,B1418-48))</f>
        <v/>
      </c>
      <c r="AN1418" s="40">
        <f>AN1417*(1-IF(B1417&gt;=in_marketplace_from,d_hz_accident*G1417,0))</f>
        <v/>
      </c>
      <c r="AO1418" s="46">
        <f>AN1418*IF(B1418&gt;=in_marketplace_from,d_hz_accident*G1418,0)</f>
        <v/>
      </c>
      <c r="AP1418" s="14">
        <f>F1418*AO1418*in_accident_ticket*in_accident_comm*in_ins_partner_share+F1418*in_accident_ticket*in_accident_renew_comm*in_ins_partner_share*(in_accident_renew^1*SUMIFS(AO1397:AO1425,B1397:B1425,B1418-12)+in_accident_renew^2*SUMIFS(AO1397:AO1425,B1397:B1425,B1418-24)+in_accident_renew^3*SUMIFS(AO1397:AO1425,B1397:B1425,B1418-36)+in_accident_renew^4*SUMIFS(AO1397:AO1425,B1397:B1425,B1418-48))</f>
        <v/>
      </c>
      <c r="AQ1418" s="40">
        <f>AQ1417*(1-IF(B1417&gt;=in_marketplace_from,d_hz_two_wheeler*G1417,0))</f>
        <v/>
      </c>
      <c r="AR1418" s="46">
        <f>AQ1418*IF(B1418&gt;=in_marketplace_from,d_hz_two_wheeler*G1418,0)</f>
        <v/>
      </c>
      <c r="AS1418" s="14">
        <f>F1418*AR1418*in_two_wheeler_ticket*in_two_wheeler_comm*in_ins_partner_share+F1418*in_two_wheeler_ticket*in_two_wheeler_comm*in_ins_partner_share*(in_two_wheeler_renew^1*SUMIFS(AR1397:AR1425,B1397:B1425,B1418-12)+in_two_wheeler_renew^2*SUMIFS(AR1397:AR1425,B1397:B1425,B1418-24)+in_two_wheeler_renew^3*SUMIFS(AR1397:AR1425,B1397:B1425,B1418-36)+in_two_wheeler_renew^4*SUMIFS(AR1397:AR1425,B1397:B1425,B1418-48))</f>
        <v/>
      </c>
      <c r="AT1418" s="40">
        <f>AT1417*(1-IF(B1417&gt;=in_marketplace_from,d_hz_device*G1417,0))</f>
        <v/>
      </c>
      <c r="AU1418" s="14">
        <f>F1418*AT1418*IF(B1418&gt;=in_marketplace_from,d_hz_device*G1418,0)*in_device_ticket*in_device_comm*in_ins_partner_share</f>
        <v/>
      </c>
      <c r="AV1418" s="40">
        <f>AV1417*(1-IF(B1417&gt;=in_marketplace_from,d_hz_shop*G1417,0))</f>
        <v/>
      </c>
      <c r="AW1418" s="46">
        <f>AV1418*IF(B1418&gt;=in_marketplace_from,d_hz_shop*G1418,0)</f>
        <v/>
      </c>
      <c r="AX1418" s="14">
        <f>F1418*AW1418*in_shop_ticket*in_shop_comm*in_ins_partner_share+F1418*in_shop_ticket*in_shop_renew_comm*in_ins_partner_share*(in_shop_renew^1*SUMIFS(AW1397:AW1425,B1397:B1425,B1418-12)+in_shop_renew^2*SUMIFS(AW1397:AW1425,B1397:B1425,B1418-24)+in_shop_renew^3*SUMIFS(AW1397:AW1425,B1397:B1425,B1418-36)+in_shop_renew^4*SUMIFS(AW1397:AW1425,B1397:B1425,B1418-48))</f>
        <v/>
      </c>
      <c r="AY1418" s="40">
        <f>AY1417*(1-IF(B1417&gt;=in_marketplace_from,d_hz_sip*G1417,0))</f>
        <v/>
      </c>
      <c r="AZ1418" s="40">
        <f>AZ1417*d_rho_sip+AY1418*IF(B1418&gt;=in_marketplace_from,d_hz_sip*G1418,0)</f>
        <v/>
      </c>
      <c r="BA1418" s="40">
        <f>d_rho_sip*(BA1417+AZ1417)</f>
        <v/>
      </c>
      <c r="BB1418" s="14">
        <f>F1418*in_sip_ticket*(BA1418+0.5*AZ1418)*in_sip_comm/12</f>
        <v/>
      </c>
      <c r="BC1418" s="40">
        <f>BC1417*(1-IF(B1417&gt;=in_marketplace_from,d_hz_choti*G1417,0))</f>
        <v/>
      </c>
      <c r="BD1418" s="46">
        <f>BC1418*IF(B1418&gt;=in_marketplace_from,d_hz_choti*G1418,0)</f>
        <v/>
      </c>
      <c r="BE1418" s="14">
        <f>F1418*SUMIFS(BD1397:BD1425,B1397:B1425,B1418-in_choti_months)*in_choti_renew*in_choti_ticket</f>
        <v/>
      </c>
      <c r="BF1418" s="40">
        <f>BF1417*(1-IF(B1417&gt;=in_marketplace_from,d_hz_nps*G1417,0))</f>
        <v/>
      </c>
      <c r="BG1418" s="14">
        <f>F1418*BF1418*IF(B1418&gt;=in_marketplace_from,d_hz_nps*G1418,0)*in_nps_ticket*in_nps_comm</f>
        <v/>
      </c>
      <c r="BH1418" s="40">
        <f>BH1417*(1-IF(B1417&gt;=in_marketplace_from,d_hz_gold*G1417,0))</f>
        <v/>
      </c>
      <c r="BI1418" s="40">
        <f>BI1417*d_rho_gold+BH1418*IF(B1418&gt;=in_marketplace_from,d_hz_gold*G1418,0)</f>
        <v/>
      </c>
      <c r="BJ1418" s="14">
        <f>F1418*BI1418*in_gold_ticket*in_gold_comm</f>
        <v/>
      </c>
      <c r="BK1418" s="40">
        <f>BK1417*(1-IF(B1417&gt;=in_marketplace_from,d_hz_fd*G1417,0))</f>
        <v/>
      </c>
      <c r="BL1418" s="14">
        <f>F1418*BK1418*IF(B1418&gt;=in_marketplace_from,d_hz_fd*G1418,0)*in_fd_ticket*in_fd_comm</f>
        <v/>
      </c>
      <c r="BM1418" s="40">
        <f>BM1417*(1-IF(B1417&gt;=in_marketplace_from,d_hz_recharge*G1417,0))</f>
        <v/>
      </c>
      <c r="BN1418" s="40">
        <f>BN1417*d_rho_recharge+BM1418*IF(B1418&gt;=in_marketplace_from,d_hz_recharge*G1418,0)</f>
        <v/>
      </c>
      <c r="BO1418" s="14">
        <f>F1418*BN1418*in_recharge_ticket*in_recharge_comm/12</f>
        <v/>
      </c>
      <c r="BP1418" s="40">
        <f>BP1417*(1-IF(B1417&gt;=in_marketplace_from,d_hz_bills*G1417,0))</f>
        <v/>
      </c>
      <c r="BQ1418" s="40">
        <f>BQ1417*d_rho_bills+BP1418*IF(B1418&gt;=in_marketplace_from,d_hz_bills*G1418,0)</f>
        <v/>
      </c>
      <c r="BR1418" s="14">
        <f>F1418*BQ1418*in_bills_ticket*in_bills_comm/12</f>
        <v/>
      </c>
      <c r="BS1418" s="40">
        <f>BS1417*(1-IF(B1417&gt;=in_marketplace_from,d_hz_loan_gold*G1417,0))</f>
        <v/>
      </c>
      <c r="BT1418" s="14">
        <f>F1418*BS1418*IF(B1418&gt;=in_marketplace_from,d_hz_loan_gold*G1418,0)*in_loan_gold_ticket*in_loan_gold_comm</f>
        <v/>
      </c>
      <c r="BU1418" s="40">
        <f>BU1417*(1-IF(B1417&gt;=in_marketplace_from,d_hz_loan_cd*G1417,0))</f>
        <v/>
      </c>
      <c r="BV1418" s="14">
        <f>F1418*BU1418*IF(B1418&gt;=in_marketplace_from,d_hz_loan_cd*G1418,0)*in_loan_cd_ticket*in_loan_cd_comm</f>
        <v/>
      </c>
      <c r="BW1418" s="40">
        <f>BW1417*(1-IF(B1417&gt;=in_marketplace_from,d_hz_loan_vehicle*G1417,0))</f>
        <v/>
      </c>
      <c r="BX1418" s="14">
        <f>F1418*BW1418*IF(B1418&gt;=in_marketplace_from,d_hz_loan_vehicle*G1418,0)*in_loan_vehicle_ticket*in_loan_vehicle_comm</f>
        <v/>
      </c>
      <c r="BY1418" s="40">
        <f>BY1417*(1-IF(B1417&gt;=in_marketplace_from,d_hz_loan_home*G1417,0)*BZ1417)</f>
        <v/>
      </c>
      <c r="BZ1418" s="11">
        <f>MIN(in_approval_cap,in_loan_home_approval*INDEX('Age profile'!$O$2:$O$61,B1418)*(1+in_approval_growth)^(D1418-1))</f>
        <v/>
      </c>
      <c r="CA1418" s="14">
        <f>F1418*BY1418*IF(B1418&gt;=in_marketplace_from,d_hz_loan_home*G1418,0)*BZ1418*in_loan_home_ticket*in_loan_home_comm</f>
        <v/>
      </c>
      <c r="CB1418" s="40">
        <f>CB1417*(1-IF(B1417&gt;=in_marketplace_from,d_hz_loan_lap*G1417,0)*CC1417)</f>
        <v/>
      </c>
      <c r="CC1418" s="11">
        <f>MIN(in_approval_cap,in_loan_lap_approval*INDEX('Age profile'!$O$2:$O$61,B1418)*(1+in_approval_growth)^(D1418-1))</f>
        <v/>
      </c>
      <c r="CD1418" s="14">
        <f>F1418*CB1418*IF(B1418&gt;=in_marketplace_from,d_hz_loan_lap*G1418,0)*CC1418*in_loan_lap_ticket*in_loan_lap_comm</f>
        <v/>
      </c>
      <c r="CE1418" s="14">
        <f>AA1418+AB1418+AC1418+AD1418+AG1418+AJ1418+AM1418+AP1418+AS1418+AU1418+AX1418+BB1418+BE1418+BG1418+BJ1418+BL1418+BO1418+BR1418+BT1418+BV1418+BX1418+CA1418+CD1418</f>
        <v/>
      </c>
    </row>
    <row r="1419">
      <c r="A1419" s="39" t="n">
        <v>32</v>
      </c>
      <c r="B1419" s="39" t="n">
        <v>23</v>
      </c>
      <c r="C1419" s="39">
        <f>A1419+B1419-1</f>
        <v/>
      </c>
      <c r="D1419" s="39">
        <f>INT((C1419-1)/12)+1</f>
        <v/>
      </c>
      <c r="E1419" s="44">
        <f>INDEX(Monthly!$B$2:$B$61,A1419)</f>
        <v/>
      </c>
      <c r="F1419" s="44">
        <f>E1419*INDEX('Age profile'!$B$2:$B$61,B1419)</f>
        <v/>
      </c>
      <c r="G1419" s="45">
        <f>MIN(in_takeup_cap,INDEX('Age profile'!$N$2:$N$61,B1419)*(1+in_takeup_growth)^(D1419-1))</f>
        <v/>
      </c>
      <c r="H1419" s="11">
        <f>MIN(in_approval_cap,in_approved_first*INDEX('Age profile'!$O$2:$O$61,B1419)*(1+in_approval_growth)^(D1419-1))</f>
        <v/>
      </c>
      <c r="I1419" s="45">
        <f>G1419*MIN(in_takeup_cap,INDEX('Age profile'!$O$2:$O$61,B1419)*(1+in_approval_growth)^(D1419-1))</f>
        <v/>
      </c>
      <c r="J1419" s="40">
        <f>(J1418-L1418)*F1419/F1418</f>
        <v/>
      </c>
      <c r="K1419" s="40">
        <f>(K1418-M1418)*F1419/F1418+SUMIFS(O1397:O1418,B1397:B1418,B1419-1-d_T)*F1419</f>
        <v/>
      </c>
      <c r="L1419" s="40">
        <f>IF(B1419&gt;=in_marketplace_from,J1419*d_hz*G1419*in_eligible*H1419,0)</f>
        <v/>
      </c>
      <c r="M1419" s="40">
        <f>IF(B1419&gt;=in_marketplace_from,K1419*d_hz*G1419*in_eligible*in_approved_repeat,0)</f>
        <v/>
      </c>
      <c r="N1419" s="40">
        <f>L1419+M1419</f>
        <v/>
      </c>
      <c r="O1419" s="46">
        <f>N1419/F1419</f>
        <v/>
      </c>
      <c r="P1419" s="40">
        <f>F1419-J1419-K1419</f>
        <v/>
      </c>
      <c r="Q1419" s="40">
        <f>IF(B1419&gt;=in_marketplace_from,(J1419+K1419)*d_hz*G1419,0)</f>
        <v/>
      </c>
      <c r="R1419" s="40">
        <f>SUMIFS(N1397:N1425,B1397:B1425,"&gt;="&amp;(B1419-d_T),B1397:B1425,"&lt;="&amp;(B1419-1))</f>
        <v/>
      </c>
      <c r="S1419" s="46">
        <f>(1-d_u)*S1418+IF(d_T&gt;in_topup_lag,SUMIFS(O1397:O1425,B1397:B1425,B1419-in_topup_lag)-d_udrop*SUMIFS(O1397:O1425,B1397:B1425,B1419-d_T),0)</f>
        <v/>
      </c>
      <c r="T1419" s="40">
        <f>F1419*d_u*S1419</f>
        <v/>
      </c>
      <c r="U1419" s="9">
        <f>L1419*in_ticket+M1419*d_rep_ticket</f>
        <v/>
      </c>
      <c r="V1419" s="9">
        <f>U1419+T1419*d_topup_amt</f>
        <v/>
      </c>
      <c r="W1419" s="40">
        <f>N1419+T1419*d_topup_ratio</f>
        <v/>
      </c>
      <c r="X1419" s="40">
        <f>SUMIFS(W1397:W1425,B1397:B1425,B1419-in_dpd_lag)*d_cured</f>
        <v/>
      </c>
      <c r="Y1419" s="40">
        <f>SUMIFS(W1397:W1425,B1397:B1425,B1419-in_rec_lag)*d_recd</f>
        <v/>
      </c>
      <c r="Z1419" s="40">
        <f>IF(AND(B1419&gt;=in_marketplace_from,B1419&lt;in_marketplace_from+in_card_months),in_card_share/in_card_months*F1419*I1419,IF(AND(B1419&gt;=in_marketplace_from+in_card_months,B1419&lt;in_marketplace_from+2*in_card_months),in_card_share*d_card_rem/in_card_months*F1419*MIN(in_takeup_cap,(1+in_takeup_growth)^(D1419-1))*MIN(in_takeup_cap,(1+in_approval_growth)^(D1419-1)),0))</f>
        <v/>
      </c>
      <c r="AA1419" s="14">
        <f>V1419*in_fee*(1-in_taken_back)</f>
        <v/>
      </c>
      <c r="AB1419" s="14">
        <f>SUMIFS(W1397:W1425,B1397:B1425,B1419-in_dpd_lag)*d_dpd</f>
        <v/>
      </c>
      <c r="AC1419" s="14">
        <f>SUMIFS(W1397:W1425,B1397:B1425,B1419-in_rec_lag)*d_rec</f>
        <v/>
      </c>
      <c r="AD1419" s="14">
        <f>Z1419*in_card_fee</f>
        <v/>
      </c>
      <c r="AE1419" s="40">
        <f>AE1418*(1-IF(B1418&gt;=in_marketplace_from,d_hz_hlth_small*G1418,0))</f>
        <v/>
      </c>
      <c r="AF1419" s="46">
        <f>AE1419*IF(B1419&gt;=in_marketplace_from,d_hz_hlth_small*G1419,0)</f>
        <v/>
      </c>
      <c r="AG1419" s="14">
        <f>F1419*AF1419*in_hlth_small_ticket*in_hlth_small_comm*in_ins_partner_share+F1419*in_hlth_small_ticket*in_hlth_small_renew_comm*in_ins_partner_share*(in_hlth_small_renew^1*SUMIFS(AF1397:AF1425,B1397:B1425,B1419-12)+in_hlth_small_renew^2*SUMIFS(AF1397:AF1425,B1397:B1425,B1419-24)+in_hlth_small_renew^3*SUMIFS(AF1397:AF1425,B1397:B1425,B1419-36)+in_hlth_small_renew^4*SUMIFS(AF1397:AF1425,B1397:B1425,B1419-48))</f>
        <v/>
      </c>
      <c r="AH1419" s="40">
        <f>AH1418*(1-IF(B1418&gt;=in_marketplace_from,d_hz_hlth_family*G1418,0))</f>
        <v/>
      </c>
      <c r="AI1419" s="46">
        <f>AH1419*IF(B1419&gt;=in_marketplace_from,d_hz_hlth_family*G1419,0)</f>
        <v/>
      </c>
      <c r="AJ1419" s="14">
        <f>F1419*AI1419*in_hlth_family_ticket*in_hlth_family_comm*in_ins_partner_share+F1419*in_hlth_family_ticket*in_hlth_family_renew_comm*in_ins_partner_share*(in_hlth_family_renew^1*SUMIFS(AI1397:AI1425,B1397:B1425,B1419-12)+in_hlth_family_renew^2*SUMIFS(AI1397:AI1425,B1397:B1425,B1419-24)+in_hlth_family_renew^3*SUMIFS(AI1397:AI1425,B1397:B1425,B1419-36)+in_hlth_family_renew^4*SUMIFS(AI1397:AI1425,B1397:B1425,B1419-48))</f>
        <v/>
      </c>
      <c r="AK1419" s="40">
        <f>AK1418*(1-IF(B1418&gt;=in_marketplace_from,d_hz_life_term*G1418,0))</f>
        <v/>
      </c>
      <c r="AL1419" s="46">
        <f>AK1419*IF(B1419&gt;=in_marketplace_from,d_hz_life_term*G1419,0)</f>
        <v/>
      </c>
      <c r="AM1419" s="14">
        <f>F1419*AL1419*in_life_term_ticket*in_life_term_comm*in_ins_partner_share+F1419*in_life_term_ticket*in_life_term_renew_comm*in_ins_partner_share*(in_life_term_renew^1*SUMIFS(AL1397:AL1425,B1397:B1425,B1419-12)+in_life_term_renew^2*SUMIFS(AL1397:AL1425,B1397:B1425,B1419-24)+in_life_term_renew^3*SUMIFS(AL1397:AL1425,B1397:B1425,B1419-36)+in_life_term_renew^4*SUMIFS(AL1397:AL1425,B1397:B1425,B1419-48))</f>
        <v/>
      </c>
      <c r="AN1419" s="40">
        <f>AN1418*(1-IF(B1418&gt;=in_marketplace_from,d_hz_accident*G1418,0))</f>
        <v/>
      </c>
      <c r="AO1419" s="46">
        <f>AN1419*IF(B1419&gt;=in_marketplace_from,d_hz_accident*G1419,0)</f>
        <v/>
      </c>
      <c r="AP1419" s="14">
        <f>F1419*AO1419*in_accident_ticket*in_accident_comm*in_ins_partner_share+F1419*in_accident_ticket*in_accident_renew_comm*in_ins_partner_share*(in_accident_renew^1*SUMIFS(AO1397:AO1425,B1397:B1425,B1419-12)+in_accident_renew^2*SUMIFS(AO1397:AO1425,B1397:B1425,B1419-24)+in_accident_renew^3*SUMIFS(AO1397:AO1425,B1397:B1425,B1419-36)+in_accident_renew^4*SUMIFS(AO1397:AO1425,B1397:B1425,B1419-48))</f>
        <v/>
      </c>
      <c r="AQ1419" s="40">
        <f>AQ1418*(1-IF(B1418&gt;=in_marketplace_from,d_hz_two_wheeler*G1418,0))</f>
        <v/>
      </c>
      <c r="AR1419" s="46">
        <f>AQ1419*IF(B1419&gt;=in_marketplace_from,d_hz_two_wheeler*G1419,0)</f>
        <v/>
      </c>
      <c r="AS1419" s="14">
        <f>F1419*AR1419*in_two_wheeler_ticket*in_two_wheeler_comm*in_ins_partner_share+F1419*in_two_wheeler_ticket*in_two_wheeler_comm*in_ins_partner_share*(in_two_wheeler_renew^1*SUMIFS(AR1397:AR1425,B1397:B1425,B1419-12)+in_two_wheeler_renew^2*SUMIFS(AR1397:AR1425,B1397:B1425,B1419-24)+in_two_wheeler_renew^3*SUMIFS(AR1397:AR1425,B1397:B1425,B1419-36)+in_two_wheeler_renew^4*SUMIFS(AR1397:AR1425,B1397:B1425,B1419-48))</f>
        <v/>
      </c>
      <c r="AT1419" s="40">
        <f>AT1418*(1-IF(B1418&gt;=in_marketplace_from,d_hz_device*G1418,0))</f>
        <v/>
      </c>
      <c r="AU1419" s="14">
        <f>F1419*AT1419*IF(B1419&gt;=in_marketplace_from,d_hz_device*G1419,0)*in_device_ticket*in_device_comm*in_ins_partner_share</f>
        <v/>
      </c>
      <c r="AV1419" s="40">
        <f>AV1418*(1-IF(B1418&gt;=in_marketplace_from,d_hz_shop*G1418,0))</f>
        <v/>
      </c>
      <c r="AW1419" s="46">
        <f>AV1419*IF(B1419&gt;=in_marketplace_from,d_hz_shop*G1419,0)</f>
        <v/>
      </c>
      <c r="AX1419" s="14">
        <f>F1419*AW1419*in_shop_ticket*in_shop_comm*in_ins_partner_share+F1419*in_shop_ticket*in_shop_renew_comm*in_ins_partner_share*(in_shop_renew^1*SUMIFS(AW1397:AW1425,B1397:B1425,B1419-12)+in_shop_renew^2*SUMIFS(AW1397:AW1425,B1397:B1425,B1419-24)+in_shop_renew^3*SUMIFS(AW1397:AW1425,B1397:B1425,B1419-36)+in_shop_renew^4*SUMIFS(AW1397:AW1425,B1397:B1425,B1419-48))</f>
        <v/>
      </c>
      <c r="AY1419" s="40">
        <f>AY1418*(1-IF(B1418&gt;=in_marketplace_from,d_hz_sip*G1418,0))</f>
        <v/>
      </c>
      <c r="AZ1419" s="40">
        <f>AZ1418*d_rho_sip+AY1419*IF(B1419&gt;=in_marketplace_from,d_hz_sip*G1419,0)</f>
        <v/>
      </c>
      <c r="BA1419" s="40">
        <f>d_rho_sip*(BA1418+AZ1418)</f>
        <v/>
      </c>
      <c r="BB1419" s="14">
        <f>F1419*in_sip_ticket*(BA1419+0.5*AZ1419)*in_sip_comm/12</f>
        <v/>
      </c>
      <c r="BC1419" s="40">
        <f>BC1418*(1-IF(B1418&gt;=in_marketplace_from,d_hz_choti*G1418,0))</f>
        <v/>
      </c>
      <c r="BD1419" s="46">
        <f>BC1419*IF(B1419&gt;=in_marketplace_from,d_hz_choti*G1419,0)</f>
        <v/>
      </c>
      <c r="BE1419" s="14">
        <f>F1419*SUMIFS(BD1397:BD1425,B1397:B1425,B1419-in_choti_months)*in_choti_renew*in_choti_ticket</f>
        <v/>
      </c>
      <c r="BF1419" s="40">
        <f>BF1418*(1-IF(B1418&gt;=in_marketplace_from,d_hz_nps*G1418,0))</f>
        <v/>
      </c>
      <c r="BG1419" s="14">
        <f>F1419*BF1419*IF(B1419&gt;=in_marketplace_from,d_hz_nps*G1419,0)*in_nps_ticket*in_nps_comm</f>
        <v/>
      </c>
      <c r="BH1419" s="40">
        <f>BH1418*(1-IF(B1418&gt;=in_marketplace_from,d_hz_gold*G1418,0))</f>
        <v/>
      </c>
      <c r="BI1419" s="40">
        <f>BI1418*d_rho_gold+BH1419*IF(B1419&gt;=in_marketplace_from,d_hz_gold*G1419,0)</f>
        <v/>
      </c>
      <c r="BJ1419" s="14">
        <f>F1419*BI1419*in_gold_ticket*in_gold_comm</f>
        <v/>
      </c>
      <c r="BK1419" s="40">
        <f>BK1418*(1-IF(B1418&gt;=in_marketplace_from,d_hz_fd*G1418,0))</f>
        <v/>
      </c>
      <c r="BL1419" s="14">
        <f>F1419*BK1419*IF(B1419&gt;=in_marketplace_from,d_hz_fd*G1419,0)*in_fd_ticket*in_fd_comm</f>
        <v/>
      </c>
      <c r="BM1419" s="40">
        <f>BM1418*(1-IF(B1418&gt;=in_marketplace_from,d_hz_recharge*G1418,0))</f>
        <v/>
      </c>
      <c r="BN1419" s="40">
        <f>BN1418*d_rho_recharge+BM1419*IF(B1419&gt;=in_marketplace_from,d_hz_recharge*G1419,0)</f>
        <v/>
      </c>
      <c r="BO1419" s="14">
        <f>F1419*BN1419*in_recharge_ticket*in_recharge_comm/12</f>
        <v/>
      </c>
      <c r="BP1419" s="40">
        <f>BP1418*(1-IF(B1418&gt;=in_marketplace_from,d_hz_bills*G1418,0))</f>
        <v/>
      </c>
      <c r="BQ1419" s="40">
        <f>BQ1418*d_rho_bills+BP1419*IF(B1419&gt;=in_marketplace_from,d_hz_bills*G1419,0)</f>
        <v/>
      </c>
      <c r="BR1419" s="14">
        <f>F1419*BQ1419*in_bills_ticket*in_bills_comm/12</f>
        <v/>
      </c>
      <c r="BS1419" s="40">
        <f>BS1418*(1-IF(B1418&gt;=in_marketplace_from,d_hz_loan_gold*G1418,0))</f>
        <v/>
      </c>
      <c r="BT1419" s="14">
        <f>F1419*BS1419*IF(B1419&gt;=in_marketplace_from,d_hz_loan_gold*G1419,0)*in_loan_gold_ticket*in_loan_gold_comm</f>
        <v/>
      </c>
      <c r="BU1419" s="40">
        <f>BU1418*(1-IF(B1418&gt;=in_marketplace_from,d_hz_loan_cd*G1418,0))</f>
        <v/>
      </c>
      <c r="BV1419" s="14">
        <f>F1419*BU1419*IF(B1419&gt;=in_marketplace_from,d_hz_loan_cd*G1419,0)*in_loan_cd_ticket*in_loan_cd_comm</f>
        <v/>
      </c>
      <c r="BW1419" s="40">
        <f>BW1418*(1-IF(B1418&gt;=in_marketplace_from,d_hz_loan_vehicle*G1418,0))</f>
        <v/>
      </c>
      <c r="BX1419" s="14">
        <f>F1419*BW1419*IF(B1419&gt;=in_marketplace_from,d_hz_loan_vehicle*G1419,0)*in_loan_vehicle_ticket*in_loan_vehicle_comm</f>
        <v/>
      </c>
      <c r="BY1419" s="40">
        <f>BY1418*(1-IF(B1418&gt;=in_marketplace_from,d_hz_loan_home*G1418,0)*BZ1418)</f>
        <v/>
      </c>
      <c r="BZ1419" s="11">
        <f>MIN(in_approval_cap,in_loan_home_approval*INDEX('Age profile'!$O$2:$O$61,B1419)*(1+in_approval_growth)^(D1419-1))</f>
        <v/>
      </c>
      <c r="CA1419" s="14">
        <f>F1419*BY1419*IF(B1419&gt;=in_marketplace_from,d_hz_loan_home*G1419,0)*BZ1419*in_loan_home_ticket*in_loan_home_comm</f>
        <v/>
      </c>
      <c r="CB1419" s="40">
        <f>CB1418*(1-IF(B1418&gt;=in_marketplace_from,d_hz_loan_lap*G1418,0)*CC1418)</f>
        <v/>
      </c>
      <c r="CC1419" s="11">
        <f>MIN(in_approval_cap,in_loan_lap_approval*INDEX('Age profile'!$O$2:$O$61,B1419)*(1+in_approval_growth)^(D1419-1))</f>
        <v/>
      </c>
      <c r="CD1419" s="14">
        <f>F1419*CB1419*IF(B1419&gt;=in_marketplace_from,d_hz_loan_lap*G1419,0)*CC1419*in_loan_lap_ticket*in_loan_lap_comm</f>
        <v/>
      </c>
      <c r="CE1419" s="14">
        <f>AA1419+AB1419+AC1419+AD1419+AG1419+AJ1419+AM1419+AP1419+AS1419+AU1419+AX1419+BB1419+BE1419+BG1419+BJ1419+BL1419+BO1419+BR1419+BT1419+BV1419+BX1419+CA1419+CD1419</f>
        <v/>
      </c>
    </row>
    <row r="1420">
      <c r="A1420" s="39" t="n">
        <v>32</v>
      </c>
      <c r="B1420" s="39" t="n">
        <v>24</v>
      </c>
      <c r="C1420" s="39">
        <f>A1420+B1420-1</f>
        <v/>
      </c>
      <c r="D1420" s="39">
        <f>INT((C1420-1)/12)+1</f>
        <v/>
      </c>
      <c r="E1420" s="44">
        <f>INDEX(Monthly!$B$2:$B$61,A1420)</f>
        <v/>
      </c>
      <c r="F1420" s="44">
        <f>E1420*INDEX('Age profile'!$B$2:$B$61,B1420)</f>
        <v/>
      </c>
      <c r="G1420" s="45">
        <f>MIN(in_takeup_cap,INDEX('Age profile'!$N$2:$N$61,B1420)*(1+in_takeup_growth)^(D1420-1))</f>
        <v/>
      </c>
      <c r="H1420" s="11">
        <f>MIN(in_approval_cap,in_approved_first*INDEX('Age profile'!$O$2:$O$61,B1420)*(1+in_approval_growth)^(D1420-1))</f>
        <v/>
      </c>
      <c r="I1420" s="45">
        <f>G1420*MIN(in_takeup_cap,INDEX('Age profile'!$O$2:$O$61,B1420)*(1+in_approval_growth)^(D1420-1))</f>
        <v/>
      </c>
      <c r="J1420" s="40">
        <f>(J1419-L1419)*F1420/F1419</f>
        <v/>
      </c>
      <c r="K1420" s="40">
        <f>(K1419-M1419)*F1420/F1419+SUMIFS(O1397:O1419,B1397:B1419,B1420-1-d_T)*F1420</f>
        <v/>
      </c>
      <c r="L1420" s="40">
        <f>IF(B1420&gt;=in_marketplace_from,J1420*d_hz*G1420*in_eligible*H1420,0)</f>
        <v/>
      </c>
      <c r="M1420" s="40">
        <f>IF(B1420&gt;=in_marketplace_from,K1420*d_hz*G1420*in_eligible*in_approved_repeat,0)</f>
        <v/>
      </c>
      <c r="N1420" s="40">
        <f>L1420+M1420</f>
        <v/>
      </c>
      <c r="O1420" s="46">
        <f>N1420/F1420</f>
        <v/>
      </c>
      <c r="P1420" s="40">
        <f>F1420-J1420-K1420</f>
        <v/>
      </c>
      <c r="Q1420" s="40">
        <f>IF(B1420&gt;=in_marketplace_from,(J1420+K1420)*d_hz*G1420,0)</f>
        <v/>
      </c>
      <c r="R1420" s="40">
        <f>SUMIFS(N1397:N1425,B1397:B1425,"&gt;="&amp;(B1420-d_T),B1397:B1425,"&lt;="&amp;(B1420-1))</f>
        <v/>
      </c>
      <c r="S1420" s="46">
        <f>(1-d_u)*S1419+IF(d_T&gt;in_topup_lag,SUMIFS(O1397:O1425,B1397:B1425,B1420-in_topup_lag)-d_udrop*SUMIFS(O1397:O1425,B1397:B1425,B1420-d_T),0)</f>
        <v/>
      </c>
      <c r="T1420" s="40">
        <f>F1420*d_u*S1420</f>
        <v/>
      </c>
      <c r="U1420" s="9">
        <f>L1420*in_ticket+M1420*d_rep_ticket</f>
        <v/>
      </c>
      <c r="V1420" s="9">
        <f>U1420+T1420*d_topup_amt</f>
        <v/>
      </c>
      <c r="W1420" s="40">
        <f>N1420+T1420*d_topup_ratio</f>
        <v/>
      </c>
      <c r="X1420" s="40">
        <f>SUMIFS(W1397:W1425,B1397:B1425,B1420-in_dpd_lag)*d_cured</f>
        <v/>
      </c>
      <c r="Y1420" s="40">
        <f>SUMIFS(W1397:W1425,B1397:B1425,B1420-in_rec_lag)*d_recd</f>
        <v/>
      </c>
      <c r="Z1420" s="40">
        <f>IF(AND(B1420&gt;=in_marketplace_from,B1420&lt;in_marketplace_from+in_card_months),in_card_share/in_card_months*F1420*I1420,IF(AND(B1420&gt;=in_marketplace_from+in_card_months,B1420&lt;in_marketplace_from+2*in_card_months),in_card_share*d_card_rem/in_card_months*F1420*MIN(in_takeup_cap,(1+in_takeup_growth)^(D1420-1))*MIN(in_takeup_cap,(1+in_approval_growth)^(D1420-1)),0))</f>
        <v/>
      </c>
      <c r="AA1420" s="14">
        <f>V1420*in_fee*(1-in_taken_back)</f>
        <v/>
      </c>
      <c r="AB1420" s="14">
        <f>SUMIFS(W1397:W1425,B1397:B1425,B1420-in_dpd_lag)*d_dpd</f>
        <v/>
      </c>
      <c r="AC1420" s="14">
        <f>SUMIFS(W1397:W1425,B1397:B1425,B1420-in_rec_lag)*d_rec</f>
        <v/>
      </c>
      <c r="AD1420" s="14">
        <f>Z1420*in_card_fee</f>
        <v/>
      </c>
      <c r="AE1420" s="40">
        <f>AE1419*(1-IF(B1419&gt;=in_marketplace_from,d_hz_hlth_small*G1419,0))</f>
        <v/>
      </c>
      <c r="AF1420" s="46">
        <f>AE1420*IF(B1420&gt;=in_marketplace_from,d_hz_hlth_small*G1420,0)</f>
        <v/>
      </c>
      <c r="AG1420" s="14">
        <f>F1420*AF1420*in_hlth_small_ticket*in_hlth_small_comm*in_ins_partner_share+F1420*in_hlth_small_ticket*in_hlth_small_renew_comm*in_ins_partner_share*(in_hlth_small_renew^1*SUMIFS(AF1397:AF1425,B1397:B1425,B1420-12)+in_hlth_small_renew^2*SUMIFS(AF1397:AF1425,B1397:B1425,B1420-24)+in_hlth_small_renew^3*SUMIFS(AF1397:AF1425,B1397:B1425,B1420-36)+in_hlth_small_renew^4*SUMIFS(AF1397:AF1425,B1397:B1425,B1420-48))</f>
        <v/>
      </c>
      <c r="AH1420" s="40">
        <f>AH1419*(1-IF(B1419&gt;=in_marketplace_from,d_hz_hlth_family*G1419,0))</f>
        <v/>
      </c>
      <c r="AI1420" s="46">
        <f>AH1420*IF(B1420&gt;=in_marketplace_from,d_hz_hlth_family*G1420,0)</f>
        <v/>
      </c>
      <c r="AJ1420" s="14">
        <f>F1420*AI1420*in_hlth_family_ticket*in_hlth_family_comm*in_ins_partner_share+F1420*in_hlth_family_ticket*in_hlth_family_renew_comm*in_ins_partner_share*(in_hlth_family_renew^1*SUMIFS(AI1397:AI1425,B1397:B1425,B1420-12)+in_hlth_family_renew^2*SUMIFS(AI1397:AI1425,B1397:B1425,B1420-24)+in_hlth_family_renew^3*SUMIFS(AI1397:AI1425,B1397:B1425,B1420-36)+in_hlth_family_renew^4*SUMIFS(AI1397:AI1425,B1397:B1425,B1420-48))</f>
        <v/>
      </c>
      <c r="AK1420" s="40">
        <f>AK1419*(1-IF(B1419&gt;=in_marketplace_from,d_hz_life_term*G1419,0))</f>
        <v/>
      </c>
      <c r="AL1420" s="46">
        <f>AK1420*IF(B1420&gt;=in_marketplace_from,d_hz_life_term*G1420,0)</f>
        <v/>
      </c>
      <c r="AM1420" s="14">
        <f>F1420*AL1420*in_life_term_ticket*in_life_term_comm*in_ins_partner_share+F1420*in_life_term_ticket*in_life_term_renew_comm*in_ins_partner_share*(in_life_term_renew^1*SUMIFS(AL1397:AL1425,B1397:B1425,B1420-12)+in_life_term_renew^2*SUMIFS(AL1397:AL1425,B1397:B1425,B1420-24)+in_life_term_renew^3*SUMIFS(AL1397:AL1425,B1397:B1425,B1420-36)+in_life_term_renew^4*SUMIFS(AL1397:AL1425,B1397:B1425,B1420-48))</f>
        <v/>
      </c>
      <c r="AN1420" s="40">
        <f>AN1419*(1-IF(B1419&gt;=in_marketplace_from,d_hz_accident*G1419,0))</f>
        <v/>
      </c>
      <c r="AO1420" s="46">
        <f>AN1420*IF(B1420&gt;=in_marketplace_from,d_hz_accident*G1420,0)</f>
        <v/>
      </c>
      <c r="AP1420" s="14">
        <f>F1420*AO1420*in_accident_ticket*in_accident_comm*in_ins_partner_share+F1420*in_accident_ticket*in_accident_renew_comm*in_ins_partner_share*(in_accident_renew^1*SUMIFS(AO1397:AO1425,B1397:B1425,B1420-12)+in_accident_renew^2*SUMIFS(AO1397:AO1425,B1397:B1425,B1420-24)+in_accident_renew^3*SUMIFS(AO1397:AO1425,B1397:B1425,B1420-36)+in_accident_renew^4*SUMIFS(AO1397:AO1425,B1397:B1425,B1420-48))</f>
        <v/>
      </c>
      <c r="AQ1420" s="40">
        <f>AQ1419*(1-IF(B1419&gt;=in_marketplace_from,d_hz_two_wheeler*G1419,0))</f>
        <v/>
      </c>
      <c r="AR1420" s="46">
        <f>AQ1420*IF(B1420&gt;=in_marketplace_from,d_hz_two_wheeler*G1420,0)</f>
        <v/>
      </c>
      <c r="AS1420" s="14">
        <f>F1420*AR1420*in_two_wheeler_ticket*in_two_wheeler_comm*in_ins_partner_share+F1420*in_two_wheeler_ticket*in_two_wheeler_comm*in_ins_partner_share*(in_two_wheeler_renew^1*SUMIFS(AR1397:AR1425,B1397:B1425,B1420-12)+in_two_wheeler_renew^2*SUMIFS(AR1397:AR1425,B1397:B1425,B1420-24)+in_two_wheeler_renew^3*SUMIFS(AR1397:AR1425,B1397:B1425,B1420-36)+in_two_wheeler_renew^4*SUMIFS(AR1397:AR1425,B1397:B1425,B1420-48))</f>
        <v/>
      </c>
      <c r="AT1420" s="40">
        <f>AT1419*(1-IF(B1419&gt;=in_marketplace_from,d_hz_device*G1419,0))</f>
        <v/>
      </c>
      <c r="AU1420" s="14">
        <f>F1420*AT1420*IF(B1420&gt;=in_marketplace_from,d_hz_device*G1420,0)*in_device_ticket*in_device_comm*in_ins_partner_share</f>
        <v/>
      </c>
      <c r="AV1420" s="40">
        <f>AV1419*(1-IF(B1419&gt;=in_marketplace_from,d_hz_shop*G1419,0))</f>
        <v/>
      </c>
      <c r="AW1420" s="46">
        <f>AV1420*IF(B1420&gt;=in_marketplace_from,d_hz_shop*G1420,0)</f>
        <v/>
      </c>
      <c r="AX1420" s="14">
        <f>F1420*AW1420*in_shop_ticket*in_shop_comm*in_ins_partner_share+F1420*in_shop_ticket*in_shop_renew_comm*in_ins_partner_share*(in_shop_renew^1*SUMIFS(AW1397:AW1425,B1397:B1425,B1420-12)+in_shop_renew^2*SUMIFS(AW1397:AW1425,B1397:B1425,B1420-24)+in_shop_renew^3*SUMIFS(AW1397:AW1425,B1397:B1425,B1420-36)+in_shop_renew^4*SUMIFS(AW1397:AW1425,B1397:B1425,B1420-48))</f>
        <v/>
      </c>
      <c r="AY1420" s="40">
        <f>AY1419*(1-IF(B1419&gt;=in_marketplace_from,d_hz_sip*G1419,0))</f>
        <v/>
      </c>
      <c r="AZ1420" s="40">
        <f>AZ1419*d_rho_sip+AY1420*IF(B1420&gt;=in_marketplace_from,d_hz_sip*G1420,0)</f>
        <v/>
      </c>
      <c r="BA1420" s="40">
        <f>d_rho_sip*(BA1419+AZ1419)</f>
        <v/>
      </c>
      <c r="BB1420" s="14">
        <f>F1420*in_sip_ticket*(BA1420+0.5*AZ1420)*in_sip_comm/12</f>
        <v/>
      </c>
      <c r="BC1420" s="40">
        <f>BC1419*(1-IF(B1419&gt;=in_marketplace_from,d_hz_choti*G1419,0))</f>
        <v/>
      </c>
      <c r="BD1420" s="46">
        <f>BC1420*IF(B1420&gt;=in_marketplace_from,d_hz_choti*G1420,0)</f>
        <v/>
      </c>
      <c r="BE1420" s="14">
        <f>F1420*SUMIFS(BD1397:BD1425,B1397:B1425,B1420-in_choti_months)*in_choti_renew*in_choti_ticket</f>
        <v/>
      </c>
      <c r="BF1420" s="40">
        <f>BF1419*(1-IF(B1419&gt;=in_marketplace_from,d_hz_nps*G1419,0))</f>
        <v/>
      </c>
      <c r="BG1420" s="14">
        <f>F1420*BF1420*IF(B1420&gt;=in_marketplace_from,d_hz_nps*G1420,0)*in_nps_ticket*in_nps_comm</f>
        <v/>
      </c>
      <c r="BH1420" s="40">
        <f>BH1419*(1-IF(B1419&gt;=in_marketplace_from,d_hz_gold*G1419,0))</f>
        <v/>
      </c>
      <c r="BI1420" s="40">
        <f>BI1419*d_rho_gold+BH1420*IF(B1420&gt;=in_marketplace_from,d_hz_gold*G1420,0)</f>
        <v/>
      </c>
      <c r="BJ1420" s="14">
        <f>F1420*BI1420*in_gold_ticket*in_gold_comm</f>
        <v/>
      </c>
      <c r="BK1420" s="40">
        <f>BK1419*(1-IF(B1419&gt;=in_marketplace_from,d_hz_fd*G1419,0))</f>
        <v/>
      </c>
      <c r="BL1420" s="14">
        <f>F1420*BK1420*IF(B1420&gt;=in_marketplace_from,d_hz_fd*G1420,0)*in_fd_ticket*in_fd_comm</f>
        <v/>
      </c>
      <c r="BM1420" s="40">
        <f>BM1419*(1-IF(B1419&gt;=in_marketplace_from,d_hz_recharge*G1419,0))</f>
        <v/>
      </c>
      <c r="BN1420" s="40">
        <f>BN1419*d_rho_recharge+BM1420*IF(B1420&gt;=in_marketplace_from,d_hz_recharge*G1420,0)</f>
        <v/>
      </c>
      <c r="BO1420" s="14">
        <f>F1420*BN1420*in_recharge_ticket*in_recharge_comm/12</f>
        <v/>
      </c>
      <c r="BP1420" s="40">
        <f>BP1419*(1-IF(B1419&gt;=in_marketplace_from,d_hz_bills*G1419,0))</f>
        <v/>
      </c>
      <c r="BQ1420" s="40">
        <f>BQ1419*d_rho_bills+BP1420*IF(B1420&gt;=in_marketplace_from,d_hz_bills*G1420,0)</f>
        <v/>
      </c>
      <c r="BR1420" s="14">
        <f>F1420*BQ1420*in_bills_ticket*in_bills_comm/12</f>
        <v/>
      </c>
      <c r="BS1420" s="40">
        <f>BS1419*(1-IF(B1419&gt;=in_marketplace_from,d_hz_loan_gold*G1419,0))</f>
        <v/>
      </c>
      <c r="BT1420" s="14">
        <f>F1420*BS1420*IF(B1420&gt;=in_marketplace_from,d_hz_loan_gold*G1420,0)*in_loan_gold_ticket*in_loan_gold_comm</f>
        <v/>
      </c>
      <c r="BU1420" s="40">
        <f>BU1419*(1-IF(B1419&gt;=in_marketplace_from,d_hz_loan_cd*G1419,0))</f>
        <v/>
      </c>
      <c r="BV1420" s="14">
        <f>F1420*BU1420*IF(B1420&gt;=in_marketplace_from,d_hz_loan_cd*G1420,0)*in_loan_cd_ticket*in_loan_cd_comm</f>
        <v/>
      </c>
      <c r="BW1420" s="40">
        <f>BW1419*(1-IF(B1419&gt;=in_marketplace_from,d_hz_loan_vehicle*G1419,0))</f>
        <v/>
      </c>
      <c r="BX1420" s="14">
        <f>F1420*BW1420*IF(B1420&gt;=in_marketplace_from,d_hz_loan_vehicle*G1420,0)*in_loan_vehicle_ticket*in_loan_vehicle_comm</f>
        <v/>
      </c>
      <c r="BY1420" s="40">
        <f>BY1419*(1-IF(B1419&gt;=in_marketplace_from,d_hz_loan_home*G1419,0)*BZ1419)</f>
        <v/>
      </c>
      <c r="BZ1420" s="11">
        <f>MIN(in_approval_cap,in_loan_home_approval*INDEX('Age profile'!$O$2:$O$61,B1420)*(1+in_approval_growth)^(D1420-1))</f>
        <v/>
      </c>
      <c r="CA1420" s="14">
        <f>F1420*BY1420*IF(B1420&gt;=in_marketplace_from,d_hz_loan_home*G1420,0)*BZ1420*in_loan_home_ticket*in_loan_home_comm</f>
        <v/>
      </c>
      <c r="CB1420" s="40">
        <f>CB1419*(1-IF(B1419&gt;=in_marketplace_from,d_hz_loan_lap*G1419,0)*CC1419)</f>
        <v/>
      </c>
      <c r="CC1420" s="11">
        <f>MIN(in_approval_cap,in_loan_lap_approval*INDEX('Age profile'!$O$2:$O$61,B1420)*(1+in_approval_growth)^(D1420-1))</f>
        <v/>
      </c>
      <c r="CD1420" s="14">
        <f>F1420*CB1420*IF(B1420&gt;=in_marketplace_from,d_hz_loan_lap*G1420,0)*CC1420*in_loan_lap_ticket*in_loan_lap_comm</f>
        <v/>
      </c>
      <c r="CE1420" s="14">
        <f>AA1420+AB1420+AC1420+AD1420+AG1420+AJ1420+AM1420+AP1420+AS1420+AU1420+AX1420+BB1420+BE1420+BG1420+BJ1420+BL1420+BO1420+BR1420+BT1420+BV1420+BX1420+CA1420+CD1420</f>
        <v/>
      </c>
    </row>
    <row r="1421">
      <c r="A1421" s="39" t="n">
        <v>32</v>
      </c>
      <c r="B1421" s="39" t="n">
        <v>25</v>
      </c>
      <c r="C1421" s="39">
        <f>A1421+B1421-1</f>
        <v/>
      </c>
      <c r="D1421" s="39">
        <f>INT((C1421-1)/12)+1</f>
        <v/>
      </c>
      <c r="E1421" s="44">
        <f>INDEX(Monthly!$B$2:$B$61,A1421)</f>
        <v/>
      </c>
      <c r="F1421" s="44">
        <f>E1421*INDEX('Age profile'!$B$2:$B$61,B1421)</f>
        <v/>
      </c>
      <c r="G1421" s="45">
        <f>MIN(in_takeup_cap,INDEX('Age profile'!$N$2:$N$61,B1421)*(1+in_takeup_growth)^(D1421-1))</f>
        <v/>
      </c>
      <c r="H1421" s="11">
        <f>MIN(in_approval_cap,in_approved_first*INDEX('Age profile'!$O$2:$O$61,B1421)*(1+in_approval_growth)^(D1421-1))</f>
        <v/>
      </c>
      <c r="I1421" s="45">
        <f>G1421*MIN(in_takeup_cap,INDEX('Age profile'!$O$2:$O$61,B1421)*(1+in_approval_growth)^(D1421-1))</f>
        <v/>
      </c>
      <c r="J1421" s="40">
        <f>(J1420-L1420)*F1421/F1420</f>
        <v/>
      </c>
      <c r="K1421" s="40">
        <f>(K1420-M1420)*F1421/F1420+SUMIFS(O1397:O1420,B1397:B1420,B1421-1-d_T)*F1421</f>
        <v/>
      </c>
      <c r="L1421" s="40">
        <f>IF(B1421&gt;=in_marketplace_from,J1421*d_hz*G1421*in_eligible*H1421,0)</f>
        <v/>
      </c>
      <c r="M1421" s="40">
        <f>IF(B1421&gt;=in_marketplace_from,K1421*d_hz*G1421*in_eligible*in_approved_repeat,0)</f>
        <v/>
      </c>
      <c r="N1421" s="40">
        <f>L1421+M1421</f>
        <v/>
      </c>
      <c r="O1421" s="46">
        <f>N1421/F1421</f>
        <v/>
      </c>
      <c r="P1421" s="40">
        <f>F1421-J1421-K1421</f>
        <v/>
      </c>
      <c r="Q1421" s="40">
        <f>IF(B1421&gt;=in_marketplace_from,(J1421+K1421)*d_hz*G1421,0)</f>
        <v/>
      </c>
      <c r="R1421" s="40">
        <f>SUMIFS(N1397:N1425,B1397:B1425,"&gt;="&amp;(B1421-d_T),B1397:B1425,"&lt;="&amp;(B1421-1))</f>
        <v/>
      </c>
      <c r="S1421" s="46">
        <f>(1-d_u)*S1420+IF(d_T&gt;in_topup_lag,SUMIFS(O1397:O1425,B1397:B1425,B1421-in_topup_lag)-d_udrop*SUMIFS(O1397:O1425,B1397:B1425,B1421-d_T),0)</f>
        <v/>
      </c>
      <c r="T1421" s="40">
        <f>F1421*d_u*S1421</f>
        <v/>
      </c>
      <c r="U1421" s="9">
        <f>L1421*in_ticket+M1421*d_rep_ticket</f>
        <v/>
      </c>
      <c r="V1421" s="9">
        <f>U1421+T1421*d_topup_amt</f>
        <v/>
      </c>
      <c r="W1421" s="40">
        <f>N1421+T1421*d_topup_ratio</f>
        <v/>
      </c>
      <c r="X1421" s="40">
        <f>SUMIFS(W1397:W1425,B1397:B1425,B1421-in_dpd_lag)*d_cured</f>
        <v/>
      </c>
      <c r="Y1421" s="40">
        <f>SUMIFS(W1397:W1425,B1397:B1425,B1421-in_rec_lag)*d_recd</f>
        <v/>
      </c>
      <c r="Z1421" s="40">
        <f>IF(AND(B1421&gt;=in_marketplace_from,B1421&lt;in_marketplace_from+in_card_months),in_card_share/in_card_months*F1421*I1421,IF(AND(B1421&gt;=in_marketplace_from+in_card_months,B1421&lt;in_marketplace_from+2*in_card_months),in_card_share*d_card_rem/in_card_months*F1421*MIN(in_takeup_cap,(1+in_takeup_growth)^(D1421-1))*MIN(in_takeup_cap,(1+in_approval_growth)^(D1421-1)),0))</f>
        <v/>
      </c>
      <c r="AA1421" s="14">
        <f>V1421*in_fee*(1-in_taken_back)</f>
        <v/>
      </c>
      <c r="AB1421" s="14">
        <f>SUMIFS(W1397:W1425,B1397:B1425,B1421-in_dpd_lag)*d_dpd</f>
        <v/>
      </c>
      <c r="AC1421" s="14">
        <f>SUMIFS(W1397:W1425,B1397:B1425,B1421-in_rec_lag)*d_rec</f>
        <v/>
      </c>
      <c r="AD1421" s="14">
        <f>Z1421*in_card_fee</f>
        <v/>
      </c>
      <c r="AE1421" s="40">
        <f>AE1420*(1-IF(B1420&gt;=in_marketplace_from,d_hz_hlth_small*G1420,0))</f>
        <v/>
      </c>
      <c r="AF1421" s="46">
        <f>AE1421*IF(B1421&gt;=in_marketplace_from,d_hz_hlth_small*G1421,0)</f>
        <v/>
      </c>
      <c r="AG1421" s="14">
        <f>F1421*AF1421*in_hlth_small_ticket*in_hlth_small_comm*in_ins_partner_share+F1421*in_hlth_small_ticket*in_hlth_small_renew_comm*in_ins_partner_share*(in_hlth_small_renew^1*SUMIFS(AF1397:AF1425,B1397:B1425,B1421-12)+in_hlth_small_renew^2*SUMIFS(AF1397:AF1425,B1397:B1425,B1421-24)+in_hlth_small_renew^3*SUMIFS(AF1397:AF1425,B1397:B1425,B1421-36)+in_hlth_small_renew^4*SUMIFS(AF1397:AF1425,B1397:B1425,B1421-48))</f>
        <v/>
      </c>
      <c r="AH1421" s="40">
        <f>AH1420*(1-IF(B1420&gt;=in_marketplace_from,d_hz_hlth_family*G1420,0))</f>
        <v/>
      </c>
      <c r="AI1421" s="46">
        <f>AH1421*IF(B1421&gt;=in_marketplace_from,d_hz_hlth_family*G1421,0)</f>
        <v/>
      </c>
      <c r="AJ1421" s="14">
        <f>F1421*AI1421*in_hlth_family_ticket*in_hlth_family_comm*in_ins_partner_share+F1421*in_hlth_family_ticket*in_hlth_family_renew_comm*in_ins_partner_share*(in_hlth_family_renew^1*SUMIFS(AI1397:AI1425,B1397:B1425,B1421-12)+in_hlth_family_renew^2*SUMIFS(AI1397:AI1425,B1397:B1425,B1421-24)+in_hlth_family_renew^3*SUMIFS(AI1397:AI1425,B1397:B1425,B1421-36)+in_hlth_family_renew^4*SUMIFS(AI1397:AI1425,B1397:B1425,B1421-48))</f>
        <v/>
      </c>
      <c r="AK1421" s="40">
        <f>AK1420*(1-IF(B1420&gt;=in_marketplace_from,d_hz_life_term*G1420,0))</f>
        <v/>
      </c>
      <c r="AL1421" s="46">
        <f>AK1421*IF(B1421&gt;=in_marketplace_from,d_hz_life_term*G1421,0)</f>
        <v/>
      </c>
      <c r="AM1421" s="14">
        <f>F1421*AL1421*in_life_term_ticket*in_life_term_comm*in_ins_partner_share+F1421*in_life_term_ticket*in_life_term_renew_comm*in_ins_partner_share*(in_life_term_renew^1*SUMIFS(AL1397:AL1425,B1397:B1425,B1421-12)+in_life_term_renew^2*SUMIFS(AL1397:AL1425,B1397:B1425,B1421-24)+in_life_term_renew^3*SUMIFS(AL1397:AL1425,B1397:B1425,B1421-36)+in_life_term_renew^4*SUMIFS(AL1397:AL1425,B1397:B1425,B1421-48))</f>
        <v/>
      </c>
      <c r="AN1421" s="40">
        <f>AN1420*(1-IF(B1420&gt;=in_marketplace_from,d_hz_accident*G1420,0))</f>
        <v/>
      </c>
      <c r="AO1421" s="46">
        <f>AN1421*IF(B1421&gt;=in_marketplace_from,d_hz_accident*G1421,0)</f>
        <v/>
      </c>
      <c r="AP1421" s="14">
        <f>F1421*AO1421*in_accident_ticket*in_accident_comm*in_ins_partner_share+F1421*in_accident_ticket*in_accident_renew_comm*in_ins_partner_share*(in_accident_renew^1*SUMIFS(AO1397:AO1425,B1397:B1425,B1421-12)+in_accident_renew^2*SUMIFS(AO1397:AO1425,B1397:B1425,B1421-24)+in_accident_renew^3*SUMIFS(AO1397:AO1425,B1397:B1425,B1421-36)+in_accident_renew^4*SUMIFS(AO1397:AO1425,B1397:B1425,B1421-48))</f>
        <v/>
      </c>
      <c r="AQ1421" s="40">
        <f>AQ1420*(1-IF(B1420&gt;=in_marketplace_from,d_hz_two_wheeler*G1420,0))</f>
        <v/>
      </c>
      <c r="AR1421" s="46">
        <f>AQ1421*IF(B1421&gt;=in_marketplace_from,d_hz_two_wheeler*G1421,0)</f>
        <v/>
      </c>
      <c r="AS1421" s="14">
        <f>F1421*AR1421*in_two_wheeler_ticket*in_two_wheeler_comm*in_ins_partner_share+F1421*in_two_wheeler_ticket*in_two_wheeler_comm*in_ins_partner_share*(in_two_wheeler_renew^1*SUMIFS(AR1397:AR1425,B1397:B1425,B1421-12)+in_two_wheeler_renew^2*SUMIFS(AR1397:AR1425,B1397:B1425,B1421-24)+in_two_wheeler_renew^3*SUMIFS(AR1397:AR1425,B1397:B1425,B1421-36)+in_two_wheeler_renew^4*SUMIFS(AR1397:AR1425,B1397:B1425,B1421-48))</f>
        <v/>
      </c>
      <c r="AT1421" s="40">
        <f>AT1420*(1-IF(B1420&gt;=in_marketplace_from,d_hz_device*G1420,0))</f>
        <v/>
      </c>
      <c r="AU1421" s="14">
        <f>F1421*AT1421*IF(B1421&gt;=in_marketplace_from,d_hz_device*G1421,0)*in_device_ticket*in_device_comm*in_ins_partner_share</f>
        <v/>
      </c>
      <c r="AV1421" s="40">
        <f>AV1420*(1-IF(B1420&gt;=in_marketplace_from,d_hz_shop*G1420,0))</f>
        <v/>
      </c>
      <c r="AW1421" s="46">
        <f>AV1421*IF(B1421&gt;=in_marketplace_from,d_hz_shop*G1421,0)</f>
        <v/>
      </c>
      <c r="AX1421" s="14">
        <f>F1421*AW1421*in_shop_ticket*in_shop_comm*in_ins_partner_share+F1421*in_shop_ticket*in_shop_renew_comm*in_ins_partner_share*(in_shop_renew^1*SUMIFS(AW1397:AW1425,B1397:B1425,B1421-12)+in_shop_renew^2*SUMIFS(AW1397:AW1425,B1397:B1425,B1421-24)+in_shop_renew^3*SUMIFS(AW1397:AW1425,B1397:B1425,B1421-36)+in_shop_renew^4*SUMIFS(AW1397:AW1425,B1397:B1425,B1421-48))</f>
        <v/>
      </c>
      <c r="AY1421" s="40">
        <f>AY1420*(1-IF(B1420&gt;=in_marketplace_from,d_hz_sip*G1420,0))</f>
        <v/>
      </c>
      <c r="AZ1421" s="40">
        <f>AZ1420*d_rho_sip+AY1421*IF(B1421&gt;=in_marketplace_from,d_hz_sip*G1421,0)</f>
        <v/>
      </c>
      <c r="BA1421" s="40">
        <f>d_rho_sip*(BA1420+AZ1420)</f>
        <v/>
      </c>
      <c r="BB1421" s="14">
        <f>F1421*in_sip_ticket*(BA1421+0.5*AZ1421)*in_sip_comm/12</f>
        <v/>
      </c>
      <c r="BC1421" s="40">
        <f>BC1420*(1-IF(B1420&gt;=in_marketplace_from,d_hz_choti*G1420,0))</f>
        <v/>
      </c>
      <c r="BD1421" s="46">
        <f>BC1421*IF(B1421&gt;=in_marketplace_from,d_hz_choti*G1421,0)</f>
        <v/>
      </c>
      <c r="BE1421" s="14">
        <f>F1421*SUMIFS(BD1397:BD1425,B1397:B1425,B1421-in_choti_months)*in_choti_renew*in_choti_ticket</f>
        <v/>
      </c>
      <c r="BF1421" s="40">
        <f>BF1420*(1-IF(B1420&gt;=in_marketplace_from,d_hz_nps*G1420,0))</f>
        <v/>
      </c>
      <c r="BG1421" s="14">
        <f>F1421*BF1421*IF(B1421&gt;=in_marketplace_from,d_hz_nps*G1421,0)*in_nps_ticket*in_nps_comm</f>
        <v/>
      </c>
      <c r="BH1421" s="40">
        <f>BH1420*(1-IF(B1420&gt;=in_marketplace_from,d_hz_gold*G1420,0))</f>
        <v/>
      </c>
      <c r="BI1421" s="40">
        <f>BI1420*d_rho_gold+BH1421*IF(B1421&gt;=in_marketplace_from,d_hz_gold*G1421,0)</f>
        <v/>
      </c>
      <c r="BJ1421" s="14">
        <f>F1421*BI1421*in_gold_ticket*in_gold_comm</f>
        <v/>
      </c>
      <c r="BK1421" s="40">
        <f>BK1420*(1-IF(B1420&gt;=in_marketplace_from,d_hz_fd*G1420,0))</f>
        <v/>
      </c>
      <c r="BL1421" s="14">
        <f>F1421*BK1421*IF(B1421&gt;=in_marketplace_from,d_hz_fd*G1421,0)*in_fd_ticket*in_fd_comm</f>
        <v/>
      </c>
      <c r="BM1421" s="40">
        <f>BM1420*(1-IF(B1420&gt;=in_marketplace_from,d_hz_recharge*G1420,0))</f>
        <v/>
      </c>
      <c r="BN1421" s="40">
        <f>BN1420*d_rho_recharge+BM1421*IF(B1421&gt;=in_marketplace_from,d_hz_recharge*G1421,0)</f>
        <v/>
      </c>
      <c r="BO1421" s="14">
        <f>F1421*BN1421*in_recharge_ticket*in_recharge_comm/12</f>
        <v/>
      </c>
      <c r="BP1421" s="40">
        <f>BP1420*(1-IF(B1420&gt;=in_marketplace_from,d_hz_bills*G1420,0))</f>
        <v/>
      </c>
      <c r="BQ1421" s="40">
        <f>BQ1420*d_rho_bills+BP1421*IF(B1421&gt;=in_marketplace_from,d_hz_bills*G1421,0)</f>
        <v/>
      </c>
      <c r="BR1421" s="14">
        <f>F1421*BQ1421*in_bills_ticket*in_bills_comm/12</f>
        <v/>
      </c>
      <c r="BS1421" s="40">
        <f>BS1420*(1-IF(B1420&gt;=in_marketplace_from,d_hz_loan_gold*G1420,0))</f>
        <v/>
      </c>
      <c r="BT1421" s="14">
        <f>F1421*BS1421*IF(B1421&gt;=in_marketplace_from,d_hz_loan_gold*G1421,0)*in_loan_gold_ticket*in_loan_gold_comm</f>
        <v/>
      </c>
      <c r="BU1421" s="40">
        <f>BU1420*(1-IF(B1420&gt;=in_marketplace_from,d_hz_loan_cd*G1420,0))</f>
        <v/>
      </c>
      <c r="BV1421" s="14">
        <f>F1421*BU1421*IF(B1421&gt;=in_marketplace_from,d_hz_loan_cd*G1421,0)*in_loan_cd_ticket*in_loan_cd_comm</f>
        <v/>
      </c>
      <c r="BW1421" s="40">
        <f>BW1420*(1-IF(B1420&gt;=in_marketplace_from,d_hz_loan_vehicle*G1420,0))</f>
        <v/>
      </c>
      <c r="BX1421" s="14">
        <f>F1421*BW1421*IF(B1421&gt;=in_marketplace_from,d_hz_loan_vehicle*G1421,0)*in_loan_vehicle_ticket*in_loan_vehicle_comm</f>
        <v/>
      </c>
      <c r="BY1421" s="40">
        <f>BY1420*(1-IF(B1420&gt;=in_marketplace_from,d_hz_loan_home*G1420,0)*BZ1420)</f>
        <v/>
      </c>
      <c r="BZ1421" s="11">
        <f>MIN(in_approval_cap,in_loan_home_approval*INDEX('Age profile'!$O$2:$O$61,B1421)*(1+in_approval_growth)^(D1421-1))</f>
        <v/>
      </c>
      <c r="CA1421" s="14">
        <f>F1421*BY1421*IF(B1421&gt;=in_marketplace_from,d_hz_loan_home*G1421,0)*BZ1421*in_loan_home_ticket*in_loan_home_comm</f>
        <v/>
      </c>
      <c r="CB1421" s="40">
        <f>CB1420*(1-IF(B1420&gt;=in_marketplace_from,d_hz_loan_lap*G1420,0)*CC1420)</f>
        <v/>
      </c>
      <c r="CC1421" s="11">
        <f>MIN(in_approval_cap,in_loan_lap_approval*INDEX('Age profile'!$O$2:$O$61,B1421)*(1+in_approval_growth)^(D1421-1))</f>
        <v/>
      </c>
      <c r="CD1421" s="14">
        <f>F1421*CB1421*IF(B1421&gt;=in_marketplace_from,d_hz_loan_lap*G1421,0)*CC1421*in_loan_lap_ticket*in_loan_lap_comm</f>
        <v/>
      </c>
      <c r="CE1421" s="14">
        <f>AA1421+AB1421+AC1421+AD1421+AG1421+AJ1421+AM1421+AP1421+AS1421+AU1421+AX1421+BB1421+BE1421+BG1421+BJ1421+BL1421+BO1421+BR1421+BT1421+BV1421+BX1421+CA1421+CD1421</f>
        <v/>
      </c>
    </row>
    <row r="1422">
      <c r="A1422" s="39" t="n">
        <v>32</v>
      </c>
      <c r="B1422" s="39" t="n">
        <v>26</v>
      </c>
      <c r="C1422" s="39">
        <f>A1422+B1422-1</f>
        <v/>
      </c>
      <c r="D1422" s="39">
        <f>INT((C1422-1)/12)+1</f>
        <v/>
      </c>
      <c r="E1422" s="44">
        <f>INDEX(Monthly!$B$2:$B$61,A1422)</f>
        <v/>
      </c>
      <c r="F1422" s="44">
        <f>E1422*INDEX('Age profile'!$B$2:$B$61,B1422)</f>
        <v/>
      </c>
      <c r="G1422" s="45">
        <f>MIN(in_takeup_cap,INDEX('Age profile'!$N$2:$N$61,B1422)*(1+in_takeup_growth)^(D1422-1))</f>
        <v/>
      </c>
      <c r="H1422" s="11">
        <f>MIN(in_approval_cap,in_approved_first*INDEX('Age profile'!$O$2:$O$61,B1422)*(1+in_approval_growth)^(D1422-1))</f>
        <v/>
      </c>
      <c r="I1422" s="45">
        <f>G1422*MIN(in_takeup_cap,INDEX('Age profile'!$O$2:$O$61,B1422)*(1+in_approval_growth)^(D1422-1))</f>
        <v/>
      </c>
      <c r="J1422" s="40">
        <f>(J1421-L1421)*F1422/F1421</f>
        <v/>
      </c>
      <c r="K1422" s="40">
        <f>(K1421-M1421)*F1422/F1421+SUMIFS(O1397:O1421,B1397:B1421,B1422-1-d_T)*F1422</f>
        <v/>
      </c>
      <c r="L1422" s="40">
        <f>IF(B1422&gt;=in_marketplace_from,J1422*d_hz*G1422*in_eligible*H1422,0)</f>
        <v/>
      </c>
      <c r="M1422" s="40">
        <f>IF(B1422&gt;=in_marketplace_from,K1422*d_hz*G1422*in_eligible*in_approved_repeat,0)</f>
        <v/>
      </c>
      <c r="N1422" s="40">
        <f>L1422+M1422</f>
        <v/>
      </c>
      <c r="O1422" s="46">
        <f>N1422/F1422</f>
        <v/>
      </c>
      <c r="P1422" s="40">
        <f>F1422-J1422-K1422</f>
        <v/>
      </c>
      <c r="Q1422" s="40">
        <f>IF(B1422&gt;=in_marketplace_from,(J1422+K1422)*d_hz*G1422,0)</f>
        <v/>
      </c>
      <c r="R1422" s="40">
        <f>SUMIFS(N1397:N1425,B1397:B1425,"&gt;="&amp;(B1422-d_T),B1397:B1425,"&lt;="&amp;(B1422-1))</f>
        <v/>
      </c>
      <c r="S1422" s="46">
        <f>(1-d_u)*S1421+IF(d_T&gt;in_topup_lag,SUMIFS(O1397:O1425,B1397:B1425,B1422-in_topup_lag)-d_udrop*SUMIFS(O1397:O1425,B1397:B1425,B1422-d_T),0)</f>
        <v/>
      </c>
      <c r="T1422" s="40">
        <f>F1422*d_u*S1422</f>
        <v/>
      </c>
      <c r="U1422" s="9">
        <f>L1422*in_ticket+M1422*d_rep_ticket</f>
        <v/>
      </c>
      <c r="V1422" s="9">
        <f>U1422+T1422*d_topup_amt</f>
        <v/>
      </c>
      <c r="W1422" s="40">
        <f>N1422+T1422*d_topup_ratio</f>
        <v/>
      </c>
      <c r="X1422" s="40">
        <f>SUMIFS(W1397:W1425,B1397:B1425,B1422-in_dpd_lag)*d_cured</f>
        <v/>
      </c>
      <c r="Y1422" s="40">
        <f>SUMIFS(W1397:W1425,B1397:B1425,B1422-in_rec_lag)*d_recd</f>
        <v/>
      </c>
      <c r="Z1422" s="40">
        <f>IF(AND(B1422&gt;=in_marketplace_from,B1422&lt;in_marketplace_from+in_card_months),in_card_share/in_card_months*F1422*I1422,IF(AND(B1422&gt;=in_marketplace_from+in_card_months,B1422&lt;in_marketplace_from+2*in_card_months),in_card_share*d_card_rem/in_card_months*F1422*MIN(in_takeup_cap,(1+in_takeup_growth)^(D1422-1))*MIN(in_takeup_cap,(1+in_approval_growth)^(D1422-1)),0))</f>
        <v/>
      </c>
      <c r="AA1422" s="14">
        <f>V1422*in_fee*(1-in_taken_back)</f>
        <v/>
      </c>
      <c r="AB1422" s="14">
        <f>SUMIFS(W1397:W1425,B1397:B1425,B1422-in_dpd_lag)*d_dpd</f>
        <v/>
      </c>
      <c r="AC1422" s="14">
        <f>SUMIFS(W1397:W1425,B1397:B1425,B1422-in_rec_lag)*d_rec</f>
        <v/>
      </c>
      <c r="AD1422" s="14">
        <f>Z1422*in_card_fee</f>
        <v/>
      </c>
      <c r="AE1422" s="40">
        <f>AE1421*(1-IF(B1421&gt;=in_marketplace_from,d_hz_hlth_small*G1421,0))</f>
        <v/>
      </c>
      <c r="AF1422" s="46">
        <f>AE1422*IF(B1422&gt;=in_marketplace_from,d_hz_hlth_small*G1422,0)</f>
        <v/>
      </c>
      <c r="AG1422" s="14">
        <f>F1422*AF1422*in_hlth_small_ticket*in_hlth_small_comm*in_ins_partner_share+F1422*in_hlth_small_ticket*in_hlth_small_renew_comm*in_ins_partner_share*(in_hlth_small_renew^1*SUMIFS(AF1397:AF1425,B1397:B1425,B1422-12)+in_hlth_small_renew^2*SUMIFS(AF1397:AF1425,B1397:B1425,B1422-24)+in_hlth_small_renew^3*SUMIFS(AF1397:AF1425,B1397:B1425,B1422-36)+in_hlth_small_renew^4*SUMIFS(AF1397:AF1425,B1397:B1425,B1422-48))</f>
        <v/>
      </c>
      <c r="AH1422" s="40">
        <f>AH1421*(1-IF(B1421&gt;=in_marketplace_from,d_hz_hlth_family*G1421,0))</f>
        <v/>
      </c>
      <c r="AI1422" s="46">
        <f>AH1422*IF(B1422&gt;=in_marketplace_from,d_hz_hlth_family*G1422,0)</f>
        <v/>
      </c>
      <c r="AJ1422" s="14">
        <f>F1422*AI1422*in_hlth_family_ticket*in_hlth_family_comm*in_ins_partner_share+F1422*in_hlth_family_ticket*in_hlth_family_renew_comm*in_ins_partner_share*(in_hlth_family_renew^1*SUMIFS(AI1397:AI1425,B1397:B1425,B1422-12)+in_hlth_family_renew^2*SUMIFS(AI1397:AI1425,B1397:B1425,B1422-24)+in_hlth_family_renew^3*SUMIFS(AI1397:AI1425,B1397:B1425,B1422-36)+in_hlth_family_renew^4*SUMIFS(AI1397:AI1425,B1397:B1425,B1422-48))</f>
        <v/>
      </c>
      <c r="AK1422" s="40">
        <f>AK1421*(1-IF(B1421&gt;=in_marketplace_from,d_hz_life_term*G1421,0))</f>
        <v/>
      </c>
      <c r="AL1422" s="46">
        <f>AK1422*IF(B1422&gt;=in_marketplace_from,d_hz_life_term*G1422,0)</f>
        <v/>
      </c>
      <c r="AM1422" s="14">
        <f>F1422*AL1422*in_life_term_ticket*in_life_term_comm*in_ins_partner_share+F1422*in_life_term_ticket*in_life_term_renew_comm*in_ins_partner_share*(in_life_term_renew^1*SUMIFS(AL1397:AL1425,B1397:B1425,B1422-12)+in_life_term_renew^2*SUMIFS(AL1397:AL1425,B1397:B1425,B1422-24)+in_life_term_renew^3*SUMIFS(AL1397:AL1425,B1397:B1425,B1422-36)+in_life_term_renew^4*SUMIFS(AL1397:AL1425,B1397:B1425,B1422-48))</f>
        <v/>
      </c>
      <c r="AN1422" s="40">
        <f>AN1421*(1-IF(B1421&gt;=in_marketplace_from,d_hz_accident*G1421,0))</f>
        <v/>
      </c>
      <c r="AO1422" s="46">
        <f>AN1422*IF(B1422&gt;=in_marketplace_from,d_hz_accident*G1422,0)</f>
        <v/>
      </c>
      <c r="AP1422" s="14">
        <f>F1422*AO1422*in_accident_ticket*in_accident_comm*in_ins_partner_share+F1422*in_accident_ticket*in_accident_renew_comm*in_ins_partner_share*(in_accident_renew^1*SUMIFS(AO1397:AO1425,B1397:B1425,B1422-12)+in_accident_renew^2*SUMIFS(AO1397:AO1425,B1397:B1425,B1422-24)+in_accident_renew^3*SUMIFS(AO1397:AO1425,B1397:B1425,B1422-36)+in_accident_renew^4*SUMIFS(AO1397:AO1425,B1397:B1425,B1422-48))</f>
        <v/>
      </c>
      <c r="AQ1422" s="40">
        <f>AQ1421*(1-IF(B1421&gt;=in_marketplace_from,d_hz_two_wheeler*G1421,0))</f>
        <v/>
      </c>
      <c r="AR1422" s="46">
        <f>AQ1422*IF(B1422&gt;=in_marketplace_from,d_hz_two_wheeler*G1422,0)</f>
        <v/>
      </c>
      <c r="AS1422" s="14">
        <f>F1422*AR1422*in_two_wheeler_ticket*in_two_wheeler_comm*in_ins_partner_share+F1422*in_two_wheeler_ticket*in_two_wheeler_comm*in_ins_partner_share*(in_two_wheeler_renew^1*SUMIFS(AR1397:AR1425,B1397:B1425,B1422-12)+in_two_wheeler_renew^2*SUMIFS(AR1397:AR1425,B1397:B1425,B1422-24)+in_two_wheeler_renew^3*SUMIFS(AR1397:AR1425,B1397:B1425,B1422-36)+in_two_wheeler_renew^4*SUMIFS(AR1397:AR1425,B1397:B1425,B1422-48))</f>
        <v/>
      </c>
      <c r="AT1422" s="40">
        <f>AT1421*(1-IF(B1421&gt;=in_marketplace_from,d_hz_device*G1421,0))</f>
        <v/>
      </c>
      <c r="AU1422" s="14">
        <f>F1422*AT1422*IF(B1422&gt;=in_marketplace_from,d_hz_device*G1422,0)*in_device_ticket*in_device_comm*in_ins_partner_share</f>
        <v/>
      </c>
      <c r="AV1422" s="40">
        <f>AV1421*(1-IF(B1421&gt;=in_marketplace_from,d_hz_shop*G1421,0))</f>
        <v/>
      </c>
      <c r="AW1422" s="46">
        <f>AV1422*IF(B1422&gt;=in_marketplace_from,d_hz_shop*G1422,0)</f>
        <v/>
      </c>
      <c r="AX1422" s="14">
        <f>F1422*AW1422*in_shop_ticket*in_shop_comm*in_ins_partner_share+F1422*in_shop_ticket*in_shop_renew_comm*in_ins_partner_share*(in_shop_renew^1*SUMIFS(AW1397:AW1425,B1397:B1425,B1422-12)+in_shop_renew^2*SUMIFS(AW1397:AW1425,B1397:B1425,B1422-24)+in_shop_renew^3*SUMIFS(AW1397:AW1425,B1397:B1425,B1422-36)+in_shop_renew^4*SUMIFS(AW1397:AW1425,B1397:B1425,B1422-48))</f>
        <v/>
      </c>
      <c r="AY1422" s="40">
        <f>AY1421*(1-IF(B1421&gt;=in_marketplace_from,d_hz_sip*G1421,0))</f>
        <v/>
      </c>
      <c r="AZ1422" s="40">
        <f>AZ1421*d_rho_sip+AY1422*IF(B1422&gt;=in_marketplace_from,d_hz_sip*G1422,0)</f>
        <v/>
      </c>
      <c r="BA1422" s="40">
        <f>d_rho_sip*(BA1421+AZ1421)</f>
        <v/>
      </c>
      <c r="BB1422" s="14">
        <f>F1422*in_sip_ticket*(BA1422+0.5*AZ1422)*in_sip_comm/12</f>
        <v/>
      </c>
      <c r="BC1422" s="40">
        <f>BC1421*(1-IF(B1421&gt;=in_marketplace_from,d_hz_choti*G1421,0))</f>
        <v/>
      </c>
      <c r="BD1422" s="46">
        <f>BC1422*IF(B1422&gt;=in_marketplace_from,d_hz_choti*G1422,0)</f>
        <v/>
      </c>
      <c r="BE1422" s="14">
        <f>F1422*SUMIFS(BD1397:BD1425,B1397:B1425,B1422-in_choti_months)*in_choti_renew*in_choti_ticket</f>
        <v/>
      </c>
      <c r="BF1422" s="40">
        <f>BF1421*(1-IF(B1421&gt;=in_marketplace_from,d_hz_nps*G1421,0))</f>
        <v/>
      </c>
      <c r="BG1422" s="14">
        <f>F1422*BF1422*IF(B1422&gt;=in_marketplace_from,d_hz_nps*G1422,0)*in_nps_ticket*in_nps_comm</f>
        <v/>
      </c>
      <c r="BH1422" s="40">
        <f>BH1421*(1-IF(B1421&gt;=in_marketplace_from,d_hz_gold*G1421,0))</f>
        <v/>
      </c>
      <c r="BI1422" s="40">
        <f>BI1421*d_rho_gold+BH1422*IF(B1422&gt;=in_marketplace_from,d_hz_gold*G1422,0)</f>
        <v/>
      </c>
      <c r="BJ1422" s="14">
        <f>F1422*BI1422*in_gold_ticket*in_gold_comm</f>
        <v/>
      </c>
      <c r="BK1422" s="40">
        <f>BK1421*(1-IF(B1421&gt;=in_marketplace_from,d_hz_fd*G1421,0))</f>
        <v/>
      </c>
      <c r="BL1422" s="14">
        <f>F1422*BK1422*IF(B1422&gt;=in_marketplace_from,d_hz_fd*G1422,0)*in_fd_ticket*in_fd_comm</f>
        <v/>
      </c>
      <c r="BM1422" s="40">
        <f>BM1421*(1-IF(B1421&gt;=in_marketplace_from,d_hz_recharge*G1421,0))</f>
        <v/>
      </c>
      <c r="BN1422" s="40">
        <f>BN1421*d_rho_recharge+BM1422*IF(B1422&gt;=in_marketplace_from,d_hz_recharge*G1422,0)</f>
        <v/>
      </c>
      <c r="BO1422" s="14">
        <f>F1422*BN1422*in_recharge_ticket*in_recharge_comm/12</f>
        <v/>
      </c>
      <c r="BP1422" s="40">
        <f>BP1421*(1-IF(B1421&gt;=in_marketplace_from,d_hz_bills*G1421,0))</f>
        <v/>
      </c>
      <c r="BQ1422" s="40">
        <f>BQ1421*d_rho_bills+BP1422*IF(B1422&gt;=in_marketplace_from,d_hz_bills*G1422,0)</f>
        <v/>
      </c>
      <c r="BR1422" s="14">
        <f>F1422*BQ1422*in_bills_ticket*in_bills_comm/12</f>
        <v/>
      </c>
      <c r="BS1422" s="40">
        <f>BS1421*(1-IF(B1421&gt;=in_marketplace_from,d_hz_loan_gold*G1421,0))</f>
        <v/>
      </c>
      <c r="BT1422" s="14">
        <f>F1422*BS1422*IF(B1422&gt;=in_marketplace_from,d_hz_loan_gold*G1422,0)*in_loan_gold_ticket*in_loan_gold_comm</f>
        <v/>
      </c>
      <c r="BU1422" s="40">
        <f>BU1421*(1-IF(B1421&gt;=in_marketplace_from,d_hz_loan_cd*G1421,0))</f>
        <v/>
      </c>
      <c r="BV1422" s="14">
        <f>F1422*BU1422*IF(B1422&gt;=in_marketplace_from,d_hz_loan_cd*G1422,0)*in_loan_cd_ticket*in_loan_cd_comm</f>
        <v/>
      </c>
      <c r="BW1422" s="40">
        <f>BW1421*(1-IF(B1421&gt;=in_marketplace_from,d_hz_loan_vehicle*G1421,0))</f>
        <v/>
      </c>
      <c r="BX1422" s="14">
        <f>F1422*BW1422*IF(B1422&gt;=in_marketplace_from,d_hz_loan_vehicle*G1422,0)*in_loan_vehicle_ticket*in_loan_vehicle_comm</f>
        <v/>
      </c>
      <c r="BY1422" s="40">
        <f>BY1421*(1-IF(B1421&gt;=in_marketplace_from,d_hz_loan_home*G1421,0)*BZ1421)</f>
        <v/>
      </c>
      <c r="BZ1422" s="11">
        <f>MIN(in_approval_cap,in_loan_home_approval*INDEX('Age profile'!$O$2:$O$61,B1422)*(1+in_approval_growth)^(D1422-1))</f>
        <v/>
      </c>
      <c r="CA1422" s="14">
        <f>F1422*BY1422*IF(B1422&gt;=in_marketplace_from,d_hz_loan_home*G1422,0)*BZ1422*in_loan_home_ticket*in_loan_home_comm</f>
        <v/>
      </c>
      <c r="CB1422" s="40">
        <f>CB1421*(1-IF(B1421&gt;=in_marketplace_from,d_hz_loan_lap*G1421,0)*CC1421)</f>
        <v/>
      </c>
      <c r="CC1422" s="11">
        <f>MIN(in_approval_cap,in_loan_lap_approval*INDEX('Age profile'!$O$2:$O$61,B1422)*(1+in_approval_growth)^(D1422-1))</f>
        <v/>
      </c>
      <c r="CD1422" s="14">
        <f>F1422*CB1422*IF(B1422&gt;=in_marketplace_from,d_hz_loan_lap*G1422,0)*CC1422*in_loan_lap_ticket*in_loan_lap_comm</f>
        <v/>
      </c>
      <c r="CE1422" s="14">
        <f>AA1422+AB1422+AC1422+AD1422+AG1422+AJ1422+AM1422+AP1422+AS1422+AU1422+AX1422+BB1422+BE1422+BG1422+BJ1422+BL1422+BO1422+BR1422+BT1422+BV1422+BX1422+CA1422+CD1422</f>
        <v/>
      </c>
    </row>
    <row r="1423">
      <c r="A1423" s="39" t="n">
        <v>32</v>
      </c>
      <c r="B1423" s="39" t="n">
        <v>27</v>
      </c>
      <c r="C1423" s="39">
        <f>A1423+B1423-1</f>
        <v/>
      </c>
      <c r="D1423" s="39">
        <f>INT((C1423-1)/12)+1</f>
        <v/>
      </c>
      <c r="E1423" s="44">
        <f>INDEX(Monthly!$B$2:$B$61,A1423)</f>
        <v/>
      </c>
      <c r="F1423" s="44">
        <f>E1423*INDEX('Age profile'!$B$2:$B$61,B1423)</f>
        <v/>
      </c>
      <c r="G1423" s="45">
        <f>MIN(in_takeup_cap,INDEX('Age profile'!$N$2:$N$61,B1423)*(1+in_takeup_growth)^(D1423-1))</f>
        <v/>
      </c>
      <c r="H1423" s="11">
        <f>MIN(in_approval_cap,in_approved_first*INDEX('Age profile'!$O$2:$O$61,B1423)*(1+in_approval_growth)^(D1423-1))</f>
        <v/>
      </c>
      <c r="I1423" s="45">
        <f>G1423*MIN(in_takeup_cap,INDEX('Age profile'!$O$2:$O$61,B1423)*(1+in_approval_growth)^(D1423-1))</f>
        <v/>
      </c>
      <c r="J1423" s="40">
        <f>(J1422-L1422)*F1423/F1422</f>
        <v/>
      </c>
      <c r="K1423" s="40">
        <f>(K1422-M1422)*F1423/F1422+SUMIFS(O1397:O1422,B1397:B1422,B1423-1-d_T)*F1423</f>
        <v/>
      </c>
      <c r="L1423" s="40">
        <f>IF(B1423&gt;=in_marketplace_from,J1423*d_hz*G1423*in_eligible*H1423,0)</f>
        <v/>
      </c>
      <c r="M1423" s="40">
        <f>IF(B1423&gt;=in_marketplace_from,K1423*d_hz*G1423*in_eligible*in_approved_repeat,0)</f>
        <v/>
      </c>
      <c r="N1423" s="40">
        <f>L1423+M1423</f>
        <v/>
      </c>
      <c r="O1423" s="46">
        <f>N1423/F1423</f>
        <v/>
      </c>
      <c r="P1423" s="40">
        <f>F1423-J1423-K1423</f>
        <v/>
      </c>
      <c r="Q1423" s="40">
        <f>IF(B1423&gt;=in_marketplace_from,(J1423+K1423)*d_hz*G1423,0)</f>
        <v/>
      </c>
      <c r="R1423" s="40">
        <f>SUMIFS(N1397:N1425,B1397:B1425,"&gt;="&amp;(B1423-d_T),B1397:B1425,"&lt;="&amp;(B1423-1))</f>
        <v/>
      </c>
      <c r="S1423" s="46">
        <f>(1-d_u)*S1422+IF(d_T&gt;in_topup_lag,SUMIFS(O1397:O1425,B1397:B1425,B1423-in_topup_lag)-d_udrop*SUMIFS(O1397:O1425,B1397:B1425,B1423-d_T),0)</f>
        <v/>
      </c>
      <c r="T1423" s="40">
        <f>F1423*d_u*S1423</f>
        <v/>
      </c>
      <c r="U1423" s="9">
        <f>L1423*in_ticket+M1423*d_rep_ticket</f>
        <v/>
      </c>
      <c r="V1423" s="9">
        <f>U1423+T1423*d_topup_amt</f>
        <v/>
      </c>
      <c r="W1423" s="40">
        <f>N1423+T1423*d_topup_ratio</f>
        <v/>
      </c>
      <c r="X1423" s="40">
        <f>SUMIFS(W1397:W1425,B1397:B1425,B1423-in_dpd_lag)*d_cured</f>
        <v/>
      </c>
      <c r="Y1423" s="40">
        <f>SUMIFS(W1397:W1425,B1397:B1425,B1423-in_rec_lag)*d_recd</f>
        <v/>
      </c>
      <c r="Z1423" s="40">
        <f>IF(AND(B1423&gt;=in_marketplace_from,B1423&lt;in_marketplace_from+in_card_months),in_card_share/in_card_months*F1423*I1423,IF(AND(B1423&gt;=in_marketplace_from+in_card_months,B1423&lt;in_marketplace_from+2*in_card_months),in_card_share*d_card_rem/in_card_months*F1423*MIN(in_takeup_cap,(1+in_takeup_growth)^(D1423-1))*MIN(in_takeup_cap,(1+in_approval_growth)^(D1423-1)),0))</f>
        <v/>
      </c>
      <c r="AA1423" s="14">
        <f>V1423*in_fee*(1-in_taken_back)</f>
        <v/>
      </c>
      <c r="AB1423" s="14">
        <f>SUMIFS(W1397:W1425,B1397:B1425,B1423-in_dpd_lag)*d_dpd</f>
        <v/>
      </c>
      <c r="AC1423" s="14">
        <f>SUMIFS(W1397:W1425,B1397:B1425,B1423-in_rec_lag)*d_rec</f>
        <v/>
      </c>
      <c r="AD1423" s="14">
        <f>Z1423*in_card_fee</f>
        <v/>
      </c>
      <c r="AE1423" s="40">
        <f>AE1422*(1-IF(B1422&gt;=in_marketplace_from,d_hz_hlth_small*G1422,0))</f>
        <v/>
      </c>
      <c r="AF1423" s="46">
        <f>AE1423*IF(B1423&gt;=in_marketplace_from,d_hz_hlth_small*G1423,0)</f>
        <v/>
      </c>
      <c r="AG1423" s="14">
        <f>F1423*AF1423*in_hlth_small_ticket*in_hlth_small_comm*in_ins_partner_share+F1423*in_hlth_small_ticket*in_hlth_small_renew_comm*in_ins_partner_share*(in_hlth_small_renew^1*SUMIFS(AF1397:AF1425,B1397:B1425,B1423-12)+in_hlth_small_renew^2*SUMIFS(AF1397:AF1425,B1397:B1425,B1423-24)+in_hlth_small_renew^3*SUMIFS(AF1397:AF1425,B1397:B1425,B1423-36)+in_hlth_small_renew^4*SUMIFS(AF1397:AF1425,B1397:B1425,B1423-48))</f>
        <v/>
      </c>
      <c r="AH1423" s="40">
        <f>AH1422*(1-IF(B1422&gt;=in_marketplace_from,d_hz_hlth_family*G1422,0))</f>
        <v/>
      </c>
      <c r="AI1423" s="46">
        <f>AH1423*IF(B1423&gt;=in_marketplace_from,d_hz_hlth_family*G1423,0)</f>
        <v/>
      </c>
      <c r="AJ1423" s="14">
        <f>F1423*AI1423*in_hlth_family_ticket*in_hlth_family_comm*in_ins_partner_share+F1423*in_hlth_family_ticket*in_hlth_family_renew_comm*in_ins_partner_share*(in_hlth_family_renew^1*SUMIFS(AI1397:AI1425,B1397:B1425,B1423-12)+in_hlth_family_renew^2*SUMIFS(AI1397:AI1425,B1397:B1425,B1423-24)+in_hlth_family_renew^3*SUMIFS(AI1397:AI1425,B1397:B1425,B1423-36)+in_hlth_family_renew^4*SUMIFS(AI1397:AI1425,B1397:B1425,B1423-48))</f>
        <v/>
      </c>
      <c r="AK1423" s="40">
        <f>AK1422*(1-IF(B1422&gt;=in_marketplace_from,d_hz_life_term*G1422,0))</f>
        <v/>
      </c>
      <c r="AL1423" s="46">
        <f>AK1423*IF(B1423&gt;=in_marketplace_from,d_hz_life_term*G1423,0)</f>
        <v/>
      </c>
      <c r="AM1423" s="14">
        <f>F1423*AL1423*in_life_term_ticket*in_life_term_comm*in_ins_partner_share+F1423*in_life_term_ticket*in_life_term_renew_comm*in_ins_partner_share*(in_life_term_renew^1*SUMIFS(AL1397:AL1425,B1397:B1425,B1423-12)+in_life_term_renew^2*SUMIFS(AL1397:AL1425,B1397:B1425,B1423-24)+in_life_term_renew^3*SUMIFS(AL1397:AL1425,B1397:B1425,B1423-36)+in_life_term_renew^4*SUMIFS(AL1397:AL1425,B1397:B1425,B1423-48))</f>
        <v/>
      </c>
      <c r="AN1423" s="40">
        <f>AN1422*(1-IF(B1422&gt;=in_marketplace_from,d_hz_accident*G1422,0))</f>
        <v/>
      </c>
      <c r="AO1423" s="46">
        <f>AN1423*IF(B1423&gt;=in_marketplace_from,d_hz_accident*G1423,0)</f>
        <v/>
      </c>
      <c r="AP1423" s="14">
        <f>F1423*AO1423*in_accident_ticket*in_accident_comm*in_ins_partner_share+F1423*in_accident_ticket*in_accident_renew_comm*in_ins_partner_share*(in_accident_renew^1*SUMIFS(AO1397:AO1425,B1397:B1425,B1423-12)+in_accident_renew^2*SUMIFS(AO1397:AO1425,B1397:B1425,B1423-24)+in_accident_renew^3*SUMIFS(AO1397:AO1425,B1397:B1425,B1423-36)+in_accident_renew^4*SUMIFS(AO1397:AO1425,B1397:B1425,B1423-48))</f>
        <v/>
      </c>
      <c r="AQ1423" s="40">
        <f>AQ1422*(1-IF(B1422&gt;=in_marketplace_from,d_hz_two_wheeler*G1422,0))</f>
        <v/>
      </c>
      <c r="AR1423" s="46">
        <f>AQ1423*IF(B1423&gt;=in_marketplace_from,d_hz_two_wheeler*G1423,0)</f>
        <v/>
      </c>
      <c r="AS1423" s="14">
        <f>F1423*AR1423*in_two_wheeler_ticket*in_two_wheeler_comm*in_ins_partner_share+F1423*in_two_wheeler_ticket*in_two_wheeler_comm*in_ins_partner_share*(in_two_wheeler_renew^1*SUMIFS(AR1397:AR1425,B1397:B1425,B1423-12)+in_two_wheeler_renew^2*SUMIFS(AR1397:AR1425,B1397:B1425,B1423-24)+in_two_wheeler_renew^3*SUMIFS(AR1397:AR1425,B1397:B1425,B1423-36)+in_two_wheeler_renew^4*SUMIFS(AR1397:AR1425,B1397:B1425,B1423-48))</f>
        <v/>
      </c>
      <c r="AT1423" s="40">
        <f>AT1422*(1-IF(B1422&gt;=in_marketplace_from,d_hz_device*G1422,0))</f>
        <v/>
      </c>
      <c r="AU1423" s="14">
        <f>F1423*AT1423*IF(B1423&gt;=in_marketplace_from,d_hz_device*G1423,0)*in_device_ticket*in_device_comm*in_ins_partner_share</f>
        <v/>
      </c>
      <c r="AV1423" s="40">
        <f>AV1422*(1-IF(B1422&gt;=in_marketplace_from,d_hz_shop*G1422,0))</f>
        <v/>
      </c>
      <c r="AW1423" s="46">
        <f>AV1423*IF(B1423&gt;=in_marketplace_from,d_hz_shop*G1423,0)</f>
        <v/>
      </c>
      <c r="AX1423" s="14">
        <f>F1423*AW1423*in_shop_ticket*in_shop_comm*in_ins_partner_share+F1423*in_shop_ticket*in_shop_renew_comm*in_ins_partner_share*(in_shop_renew^1*SUMIFS(AW1397:AW1425,B1397:B1425,B1423-12)+in_shop_renew^2*SUMIFS(AW1397:AW1425,B1397:B1425,B1423-24)+in_shop_renew^3*SUMIFS(AW1397:AW1425,B1397:B1425,B1423-36)+in_shop_renew^4*SUMIFS(AW1397:AW1425,B1397:B1425,B1423-48))</f>
        <v/>
      </c>
      <c r="AY1423" s="40">
        <f>AY1422*(1-IF(B1422&gt;=in_marketplace_from,d_hz_sip*G1422,0))</f>
        <v/>
      </c>
      <c r="AZ1423" s="40">
        <f>AZ1422*d_rho_sip+AY1423*IF(B1423&gt;=in_marketplace_from,d_hz_sip*G1423,0)</f>
        <v/>
      </c>
      <c r="BA1423" s="40">
        <f>d_rho_sip*(BA1422+AZ1422)</f>
        <v/>
      </c>
      <c r="BB1423" s="14">
        <f>F1423*in_sip_ticket*(BA1423+0.5*AZ1423)*in_sip_comm/12</f>
        <v/>
      </c>
      <c r="BC1423" s="40">
        <f>BC1422*(1-IF(B1422&gt;=in_marketplace_from,d_hz_choti*G1422,0))</f>
        <v/>
      </c>
      <c r="BD1423" s="46">
        <f>BC1423*IF(B1423&gt;=in_marketplace_from,d_hz_choti*G1423,0)</f>
        <v/>
      </c>
      <c r="BE1423" s="14">
        <f>F1423*SUMIFS(BD1397:BD1425,B1397:B1425,B1423-in_choti_months)*in_choti_renew*in_choti_ticket</f>
        <v/>
      </c>
      <c r="BF1423" s="40">
        <f>BF1422*(1-IF(B1422&gt;=in_marketplace_from,d_hz_nps*G1422,0))</f>
        <v/>
      </c>
      <c r="BG1423" s="14">
        <f>F1423*BF1423*IF(B1423&gt;=in_marketplace_from,d_hz_nps*G1423,0)*in_nps_ticket*in_nps_comm</f>
        <v/>
      </c>
      <c r="BH1423" s="40">
        <f>BH1422*(1-IF(B1422&gt;=in_marketplace_from,d_hz_gold*G1422,0))</f>
        <v/>
      </c>
      <c r="BI1423" s="40">
        <f>BI1422*d_rho_gold+BH1423*IF(B1423&gt;=in_marketplace_from,d_hz_gold*G1423,0)</f>
        <v/>
      </c>
      <c r="BJ1423" s="14">
        <f>F1423*BI1423*in_gold_ticket*in_gold_comm</f>
        <v/>
      </c>
      <c r="BK1423" s="40">
        <f>BK1422*(1-IF(B1422&gt;=in_marketplace_from,d_hz_fd*G1422,0))</f>
        <v/>
      </c>
      <c r="BL1423" s="14">
        <f>F1423*BK1423*IF(B1423&gt;=in_marketplace_from,d_hz_fd*G1423,0)*in_fd_ticket*in_fd_comm</f>
        <v/>
      </c>
      <c r="BM1423" s="40">
        <f>BM1422*(1-IF(B1422&gt;=in_marketplace_from,d_hz_recharge*G1422,0))</f>
        <v/>
      </c>
      <c r="BN1423" s="40">
        <f>BN1422*d_rho_recharge+BM1423*IF(B1423&gt;=in_marketplace_from,d_hz_recharge*G1423,0)</f>
        <v/>
      </c>
      <c r="BO1423" s="14">
        <f>F1423*BN1423*in_recharge_ticket*in_recharge_comm/12</f>
        <v/>
      </c>
      <c r="BP1423" s="40">
        <f>BP1422*(1-IF(B1422&gt;=in_marketplace_from,d_hz_bills*G1422,0))</f>
        <v/>
      </c>
      <c r="BQ1423" s="40">
        <f>BQ1422*d_rho_bills+BP1423*IF(B1423&gt;=in_marketplace_from,d_hz_bills*G1423,0)</f>
        <v/>
      </c>
      <c r="BR1423" s="14">
        <f>F1423*BQ1423*in_bills_ticket*in_bills_comm/12</f>
        <v/>
      </c>
      <c r="BS1423" s="40">
        <f>BS1422*(1-IF(B1422&gt;=in_marketplace_from,d_hz_loan_gold*G1422,0))</f>
        <v/>
      </c>
      <c r="BT1423" s="14">
        <f>F1423*BS1423*IF(B1423&gt;=in_marketplace_from,d_hz_loan_gold*G1423,0)*in_loan_gold_ticket*in_loan_gold_comm</f>
        <v/>
      </c>
      <c r="BU1423" s="40">
        <f>BU1422*(1-IF(B1422&gt;=in_marketplace_from,d_hz_loan_cd*G1422,0))</f>
        <v/>
      </c>
      <c r="BV1423" s="14">
        <f>F1423*BU1423*IF(B1423&gt;=in_marketplace_from,d_hz_loan_cd*G1423,0)*in_loan_cd_ticket*in_loan_cd_comm</f>
        <v/>
      </c>
      <c r="BW1423" s="40">
        <f>BW1422*(1-IF(B1422&gt;=in_marketplace_from,d_hz_loan_vehicle*G1422,0))</f>
        <v/>
      </c>
      <c r="BX1423" s="14">
        <f>F1423*BW1423*IF(B1423&gt;=in_marketplace_from,d_hz_loan_vehicle*G1423,0)*in_loan_vehicle_ticket*in_loan_vehicle_comm</f>
        <v/>
      </c>
      <c r="BY1423" s="40">
        <f>BY1422*(1-IF(B1422&gt;=in_marketplace_from,d_hz_loan_home*G1422,0)*BZ1422)</f>
        <v/>
      </c>
      <c r="BZ1423" s="11">
        <f>MIN(in_approval_cap,in_loan_home_approval*INDEX('Age profile'!$O$2:$O$61,B1423)*(1+in_approval_growth)^(D1423-1))</f>
        <v/>
      </c>
      <c r="CA1423" s="14">
        <f>F1423*BY1423*IF(B1423&gt;=in_marketplace_from,d_hz_loan_home*G1423,0)*BZ1423*in_loan_home_ticket*in_loan_home_comm</f>
        <v/>
      </c>
      <c r="CB1423" s="40">
        <f>CB1422*(1-IF(B1422&gt;=in_marketplace_from,d_hz_loan_lap*G1422,0)*CC1422)</f>
        <v/>
      </c>
      <c r="CC1423" s="11">
        <f>MIN(in_approval_cap,in_loan_lap_approval*INDEX('Age profile'!$O$2:$O$61,B1423)*(1+in_approval_growth)^(D1423-1))</f>
        <v/>
      </c>
      <c r="CD1423" s="14">
        <f>F1423*CB1423*IF(B1423&gt;=in_marketplace_from,d_hz_loan_lap*G1423,0)*CC1423*in_loan_lap_ticket*in_loan_lap_comm</f>
        <v/>
      </c>
      <c r="CE1423" s="14">
        <f>AA1423+AB1423+AC1423+AD1423+AG1423+AJ1423+AM1423+AP1423+AS1423+AU1423+AX1423+BB1423+BE1423+BG1423+BJ1423+BL1423+BO1423+BR1423+BT1423+BV1423+BX1423+CA1423+CD1423</f>
        <v/>
      </c>
    </row>
    <row r="1424">
      <c r="A1424" s="39" t="n">
        <v>32</v>
      </c>
      <c r="B1424" s="39" t="n">
        <v>28</v>
      </c>
      <c r="C1424" s="39">
        <f>A1424+B1424-1</f>
        <v/>
      </c>
      <c r="D1424" s="39">
        <f>INT((C1424-1)/12)+1</f>
        <v/>
      </c>
      <c r="E1424" s="44">
        <f>INDEX(Monthly!$B$2:$B$61,A1424)</f>
        <v/>
      </c>
      <c r="F1424" s="44">
        <f>E1424*INDEX('Age profile'!$B$2:$B$61,B1424)</f>
        <v/>
      </c>
      <c r="G1424" s="45">
        <f>MIN(in_takeup_cap,INDEX('Age profile'!$N$2:$N$61,B1424)*(1+in_takeup_growth)^(D1424-1))</f>
        <v/>
      </c>
      <c r="H1424" s="11">
        <f>MIN(in_approval_cap,in_approved_first*INDEX('Age profile'!$O$2:$O$61,B1424)*(1+in_approval_growth)^(D1424-1))</f>
        <v/>
      </c>
      <c r="I1424" s="45">
        <f>G1424*MIN(in_takeup_cap,INDEX('Age profile'!$O$2:$O$61,B1424)*(1+in_approval_growth)^(D1424-1))</f>
        <v/>
      </c>
      <c r="J1424" s="40">
        <f>(J1423-L1423)*F1424/F1423</f>
        <v/>
      </c>
      <c r="K1424" s="40">
        <f>(K1423-M1423)*F1424/F1423+SUMIFS(O1397:O1423,B1397:B1423,B1424-1-d_T)*F1424</f>
        <v/>
      </c>
      <c r="L1424" s="40">
        <f>IF(B1424&gt;=in_marketplace_from,J1424*d_hz*G1424*in_eligible*H1424,0)</f>
        <v/>
      </c>
      <c r="M1424" s="40">
        <f>IF(B1424&gt;=in_marketplace_from,K1424*d_hz*G1424*in_eligible*in_approved_repeat,0)</f>
        <v/>
      </c>
      <c r="N1424" s="40">
        <f>L1424+M1424</f>
        <v/>
      </c>
      <c r="O1424" s="46">
        <f>N1424/F1424</f>
        <v/>
      </c>
      <c r="P1424" s="40">
        <f>F1424-J1424-K1424</f>
        <v/>
      </c>
      <c r="Q1424" s="40">
        <f>IF(B1424&gt;=in_marketplace_from,(J1424+K1424)*d_hz*G1424,0)</f>
        <v/>
      </c>
      <c r="R1424" s="40">
        <f>SUMIFS(N1397:N1425,B1397:B1425,"&gt;="&amp;(B1424-d_T),B1397:B1425,"&lt;="&amp;(B1424-1))</f>
        <v/>
      </c>
      <c r="S1424" s="46">
        <f>(1-d_u)*S1423+IF(d_T&gt;in_topup_lag,SUMIFS(O1397:O1425,B1397:B1425,B1424-in_topup_lag)-d_udrop*SUMIFS(O1397:O1425,B1397:B1425,B1424-d_T),0)</f>
        <v/>
      </c>
      <c r="T1424" s="40">
        <f>F1424*d_u*S1424</f>
        <v/>
      </c>
      <c r="U1424" s="9">
        <f>L1424*in_ticket+M1424*d_rep_ticket</f>
        <v/>
      </c>
      <c r="V1424" s="9">
        <f>U1424+T1424*d_topup_amt</f>
        <v/>
      </c>
      <c r="W1424" s="40">
        <f>N1424+T1424*d_topup_ratio</f>
        <v/>
      </c>
      <c r="X1424" s="40">
        <f>SUMIFS(W1397:W1425,B1397:B1425,B1424-in_dpd_lag)*d_cured</f>
        <v/>
      </c>
      <c r="Y1424" s="40">
        <f>SUMIFS(W1397:W1425,B1397:B1425,B1424-in_rec_lag)*d_recd</f>
        <v/>
      </c>
      <c r="Z1424" s="40">
        <f>IF(AND(B1424&gt;=in_marketplace_from,B1424&lt;in_marketplace_from+in_card_months),in_card_share/in_card_months*F1424*I1424,IF(AND(B1424&gt;=in_marketplace_from+in_card_months,B1424&lt;in_marketplace_from+2*in_card_months),in_card_share*d_card_rem/in_card_months*F1424*MIN(in_takeup_cap,(1+in_takeup_growth)^(D1424-1))*MIN(in_takeup_cap,(1+in_approval_growth)^(D1424-1)),0))</f>
        <v/>
      </c>
      <c r="AA1424" s="14">
        <f>V1424*in_fee*(1-in_taken_back)</f>
        <v/>
      </c>
      <c r="AB1424" s="14">
        <f>SUMIFS(W1397:W1425,B1397:B1425,B1424-in_dpd_lag)*d_dpd</f>
        <v/>
      </c>
      <c r="AC1424" s="14">
        <f>SUMIFS(W1397:W1425,B1397:B1425,B1424-in_rec_lag)*d_rec</f>
        <v/>
      </c>
      <c r="AD1424" s="14">
        <f>Z1424*in_card_fee</f>
        <v/>
      </c>
      <c r="AE1424" s="40">
        <f>AE1423*(1-IF(B1423&gt;=in_marketplace_from,d_hz_hlth_small*G1423,0))</f>
        <v/>
      </c>
      <c r="AF1424" s="46">
        <f>AE1424*IF(B1424&gt;=in_marketplace_from,d_hz_hlth_small*G1424,0)</f>
        <v/>
      </c>
      <c r="AG1424" s="14">
        <f>F1424*AF1424*in_hlth_small_ticket*in_hlth_small_comm*in_ins_partner_share+F1424*in_hlth_small_ticket*in_hlth_small_renew_comm*in_ins_partner_share*(in_hlth_small_renew^1*SUMIFS(AF1397:AF1425,B1397:B1425,B1424-12)+in_hlth_small_renew^2*SUMIFS(AF1397:AF1425,B1397:B1425,B1424-24)+in_hlth_small_renew^3*SUMIFS(AF1397:AF1425,B1397:B1425,B1424-36)+in_hlth_small_renew^4*SUMIFS(AF1397:AF1425,B1397:B1425,B1424-48))</f>
        <v/>
      </c>
      <c r="AH1424" s="40">
        <f>AH1423*(1-IF(B1423&gt;=in_marketplace_from,d_hz_hlth_family*G1423,0))</f>
        <v/>
      </c>
      <c r="AI1424" s="46">
        <f>AH1424*IF(B1424&gt;=in_marketplace_from,d_hz_hlth_family*G1424,0)</f>
        <v/>
      </c>
      <c r="AJ1424" s="14">
        <f>F1424*AI1424*in_hlth_family_ticket*in_hlth_family_comm*in_ins_partner_share+F1424*in_hlth_family_ticket*in_hlth_family_renew_comm*in_ins_partner_share*(in_hlth_family_renew^1*SUMIFS(AI1397:AI1425,B1397:B1425,B1424-12)+in_hlth_family_renew^2*SUMIFS(AI1397:AI1425,B1397:B1425,B1424-24)+in_hlth_family_renew^3*SUMIFS(AI1397:AI1425,B1397:B1425,B1424-36)+in_hlth_family_renew^4*SUMIFS(AI1397:AI1425,B1397:B1425,B1424-48))</f>
        <v/>
      </c>
      <c r="AK1424" s="40">
        <f>AK1423*(1-IF(B1423&gt;=in_marketplace_from,d_hz_life_term*G1423,0))</f>
        <v/>
      </c>
      <c r="AL1424" s="46">
        <f>AK1424*IF(B1424&gt;=in_marketplace_from,d_hz_life_term*G1424,0)</f>
        <v/>
      </c>
      <c r="AM1424" s="14">
        <f>F1424*AL1424*in_life_term_ticket*in_life_term_comm*in_ins_partner_share+F1424*in_life_term_ticket*in_life_term_renew_comm*in_ins_partner_share*(in_life_term_renew^1*SUMIFS(AL1397:AL1425,B1397:B1425,B1424-12)+in_life_term_renew^2*SUMIFS(AL1397:AL1425,B1397:B1425,B1424-24)+in_life_term_renew^3*SUMIFS(AL1397:AL1425,B1397:B1425,B1424-36)+in_life_term_renew^4*SUMIFS(AL1397:AL1425,B1397:B1425,B1424-48))</f>
        <v/>
      </c>
      <c r="AN1424" s="40">
        <f>AN1423*(1-IF(B1423&gt;=in_marketplace_from,d_hz_accident*G1423,0))</f>
        <v/>
      </c>
      <c r="AO1424" s="46">
        <f>AN1424*IF(B1424&gt;=in_marketplace_from,d_hz_accident*G1424,0)</f>
        <v/>
      </c>
      <c r="AP1424" s="14">
        <f>F1424*AO1424*in_accident_ticket*in_accident_comm*in_ins_partner_share+F1424*in_accident_ticket*in_accident_renew_comm*in_ins_partner_share*(in_accident_renew^1*SUMIFS(AO1397:AO1425,B1397:B1425,B1424-12)+in_accident_renew^2*SUMIFS(AO1397:AO1425,B1397:B1425,B1424-24)+in_accident_renew^3*SUMIFS(AO1397:AO1425,B1397:B1425,B1424-36)+in_accident_renew^4*SUMIFS(AO1397:AO1425,B1397:B1425,B1424-48))</f>
        <v/>
      </c>
      <c r="AQ1424" s="40">
        <f>AQ1423*(1-IF(B1423&gt;=in_marketplace_from,d_hz_two_wheeler*G1423,0))</f>
        <v/>
      </c>
      <c r="AR1424" s="46">
        <f>AQ1424*IF(B1424&gt;=in_marketplace_from,d_hz_two_wheeler*G1424,0)</f>
        <v/>
      </c>
      <c r="AS1424" s="14">
        <f>F1424*AR1424*in_two_wheeler_ticket*in_two_wheeler_comm*in_ins_partner_share+F1424*in_two_wheeler_ticket*in_two_wheeler_comm*in_ins_partner_share*(in_two_wheeler_renew^1*SUMIFS(AR1397:AR1425,B1397:B1425,B1424-12)+in_two_wheeler_renew^2*SUMIFS(AR1397:AR1425,B1397:B1425,B1424-24)+in_two_wheeler_renew^3*SUMIFS(AR1397:AR1425,B1397:B1425,B1424-36)+in_two_wheeler_renew^4*SUMIFS(AR1397:AR1425,B1397:B1425,B1424-48))</f>
        <v/>
      </c>
      <c r="AT1424" s="40">
        <f>AT1423*(1-IF(B1423&gt;=in_marketplace_from,d_hz_device*G1423,0))</f>
        <v/>
      </c>
      <c r="AU1424" s="14">
        <f>F1424*AT1424*IF(B1424&gt;=in_marketplace_from,d_hz_device*G1424,0)*in_device_ticket*in_device_comm*in_ins_partner_share</f>
        <v/>
      </c>
      <c r="AV1424" s="40">
        <f>AV1423*(1-IF(B1423&gt;=in_marketplace_from,d_hz_shop*G1423,0))</f>
        <v/>
      </c>
      <c r="AW1424" s="46">
        <f>AV1424*IF(B1424&gt;=in_marketplace_from,d_hz_shop*G1424,0)</f>
        <v/>
      </c>
      <c r="AX1424" s="14">
        <f>F1424*AW1424*in_shop_ticket*in_shop_comm*in_ins_partner_share+F1424*in_shop_ticket*in_shop_renew_comm*in_ins_partner_share*(in_shop_renew^1*SUMIFS(AW1397:AW1425,B1397:B1425,B1424-12)+in_shop_renew^2*SUMIFS(AW1397:AW1425,B1397:B1425,B1424-24)+in_shop_renew^3*SUMIFS(AW1397:AW1425,B1397:B1425,B1424-36)+in_shop_renew^4*SUMIFS(AW1397:AW1425,B1397:B1425,B1424-48))</f>
        <v/>
      </c>
      <c r="AY1424" s="40">
        <f>AY1423*(1-IF(B1423&gt;=in_marketplace_from,d_hz_sip*G1423,0))</f>
        <v/>
      </c>
      <c r="AZ1424" s="40">
        <f>AZ1423*d_rho_sip+AY1424*IF(B1424&gt;=in_marketplace_from,d_hz_sip*G1424,0)</f>
        <v/>
      </c>
      <c r="BA1424" s="40">
        <f>d_rho_sip*(BA1423+AZ1423)</f>
        <v/>
      </c>
      <c r="BB1424" s="14">
        <f>F1424*in_sip_ticket*(BA1424+0.5*AZ1424)*in_sip_comm/12</f>
        <v/>
      </c>
      <c r="BC1424" s="40">
        <f>BC1423*(1-IF(B1423&gt;=in_marketplace_from,d_hz_choti*G1423,0))</f>
        <v/>
      </c>
      <c r="BD1424" s="46">
        <f>BC1424*IF(B1424&gt;=in_marketplace_from,d_hz_choti*G1424,0)</f>
        <v/>
      </c>
      <c r="BE1424" s="14">
        <f>F1424*SUMIFS(BD1397:BD1425,B1397:B1425,B1424-in_choti_months)*in_choti_renew*in_choti_ticket</f>
        <v/>
      </c>
      <c r="BF1424" s="40">
        <f>BF1423*(1-IF(B1423&gt;=in_marketplace_from,d_hz_nps*G1423,0))</f>
        <v/>
      </c>
      <c r="BG1424" s="14">
        <f>F1424*BF1424*IF(B1424&gt;=in_marketplace_from,d_hz_nps*G1424,0)*in_nps_ticket*in_nps_comm</f>
        <v/>
      </c>
      <c r="BH1424" s="40">
        <f>BH1423*(1-IF(B1423&gt;=in_marketplace_from,d_hz_gold*G1423,0))</f>
        <v/>
      </c>
      <c r="BI1424" s="40">
        <f>BI1423*d_rho_gold+BH1424*IF(B1424&gt;=in_marketplace_from,d_hz_gold*G1424,0)</f>
        <v/>
      </c>
      <c r="BJ1424" s="14">
        <f>F1424*BI1424*in_gold_ticket*in_gold_comm</f>
        <v/>
      </c>
      <c r="BK1424" s="40">
        <f>BK1423*(1-IF(B1423&gt;=in_marketplace_from,d_hz_fd*G1423,0))</f>
        <v/>
      </c>
      <c r="BL1424" s="14">
        <f>F1424*BK1424*IF(B1424&gt;=in_marketplace_from,d_hz_fd*G1424,0)*in_fd_ticket*in_fd_comm</f>
        <v/>
      </c>
      <c r="BM1424" s="40">
        <f>BM1423*(1-IF(B1423&gt;=in_marketplace_from,d_hz_recharge*G1423,0))</f>
        <v/>
      </c>
      <c r="BN1424" s="40">
        <f>BN1423*d_rho_recharge+BM1424*IF(B1424&gt;=in_marketplace_from,d_hz_recharge*G1424,0)</f>
        <v/>
      </c>
      <c r="BO1424" s="14">
        <f>F1424*BN1424*in_recharge_ticket*in_recharge_comm/12</f>
        <v/>
      </c>
      <c r="BP1424" s="40">
        <f>BP1423*(1-IF(B1423&gt;=in_marketplace_from,d_hz_bills*G1423,0))</f>
        <v/>
      </c>
      <c r="BQ1424" s="40">
        <f>BQ1423*d_rho_bills+BP1424*IF(B1424&gt;=in_marketplace_from,d_hz_bills*G1424,0)</f>
        <v/>
      </c>
      <c r="BR1424" s="14">
        <f>F1424*BQ1424*in_bills_ticket*in_bills_comm/12</f>
        <v/>
      </c>
      <c r="BS1424" s="40">
        <f>BS1423*(1-IF(B1423&gt;=in_marketplace_from,d_hz_loan_gold*G1423,0))</f>
        <v/>
      </c>
      <c r="BT1424" s="14">
        <f>F1424*BS1424*IF(B1424&gt;=in_marketplace_from,d_hz_loan_gold*G1424,0)*in_loan_gold_ticket*in_loan_gold_comm</f>
        <v/>
      </c>
      <c r="BU1424" s="40">
        <f>BU1423*(1-IF(B1423&gt;=in_marketplace_from,d_hz_loan_cd*G1423,0))</f>
        <v/>
      </c>
      <c r="BV1424" s="14">
        <f>F1424*BU1424*IF(B1424&gt;=in_marketplace_from,d_hz_loan_cd*G1424,0)*in_loan_cd_ticket*in_loan_cd_comm</f>
        <v/>
      </c>
      <c r="BW1424" s="40">
        <f>BW1423*(1-IF(B1423&gt;=in_marketplace_from,d_hz_loan_vehicle*G1423,0))</f>
        <v/>
      </c>
      <c r="BX1424" s="14">
        <f>F1424*BW1424*IF(B1424&gt;=in_marketplace_from,d_hz_loan_vehicle*G1424,0)*in_loan_vehicle_ticket*in_loan_vehicle_comm</f>
        <v/>
      </c>
      <c r="BY1424" s="40">
        <f>BY1423*(1-IF(B1423&gt;=in_marketplace_from,d_hz_loan_home*G1423,0)*BZ1423)</f>
        <v/>
      </c>
      <c r="BZ1424" s="11">
        <f>MIN(in_approval_cap,in_loan_home_approval*INDEX('Age profile'!$O$2:$O$61,B1424)*(1+in_approval_growth)^(D1424-1))</f>
        <v/>
      </c>
      <c r="CA1424" s="14">
        <f>F1424*BY1424*IF(B1424&gt;=in_marketplace_from,d_hz_loan_home*G1424,0)*BZ1424*in_loan_home_ticket*in_loan_home_comm</f>
        <v/>
      </c>
      <c r="CB1424" s="40">
        <f>CB1423*(1-IF(B1423&gt;=in_marketplace_from,d_hz_loan_lap*G1423,0)*CC1423)</f>
        <v/>
      </c>
      <c r="CC1424" s="11">
        <f>MIN(in_approval_cap,in_loan_lap_approval*INDEX('Age profile'!$O$2:$O$61,B1424)*(1+in_approval_growth)^(D1424-1))</f>
        <v/>
      </c>
      <c r="CD1424" s="14">
        <f>F1424*CB1424*IF(B1424&gt;=in_marketplace_from,d_hz_loan_lap*G1424,0)*CC1424*in_loan_lap_ticket*in_loan_lap_comm</f>
        <v/>
      </c>
      <c r="CE1424" s="14">
        <f>AA1424+AB1424+AC1424+AD1424+AG1424+AJ1424+AM1424+AP1424+AS1424+AU1424+AX1424+BB1424+BE1424+BG1424+BJ1424+BL1424+BO1424+BR1424+BT1424+BV1424+BX1424+CA1424+CD1424</f>
        <v/>
      </c>
    </row>
    <row r="1425">
      <c r="A1425" s="39" t="n">
        <v>32</v>
      </c>
      <c r="B1425" s="39" t="n">
        <v>29</v>
      </c>
      <c r="C1425" s="39">
        <f>A1425+B1425-1</f>
        <v/>
      </c>
      <c r="D1425" s="39">
        <f>INT((C1425-1)/12)+1</f>
        <v/>
      </c>
      <c r="E1425" s="44">
        <f>INDEX(Monthly!$B$2:$B$61,A1425)</f>
        <v/>
      </c>
      <c r="F1425" s="44">
        <f>E1425*INDEX('Age profile'!$B$2:$B$61,B1425)</f>
        <v/>
      </c>
      <c r="G1425" s="45">
        <f>MIN(in_takeup_cap,INDEX('Age profile'!$N$2:$N$61,B1425)*(1+in_takeup_growth)^(D1425-1))</f>
        <v/>
      </c>
      <c r="H1425" s="11">
        <f>MIN(in_approval_cap,in_approved_first*INDEX('Age profile'!$O$2:$O$61,B1425)*(1+in_approval_growth)^(D1425-1))</f>
        <v/>
      </c>
      <c r="I1425" s="45">
        <f>G1425*MIN(in_takeup_cap,INDEX('Age profile'!$O$2:$O$61,B1425)*(1+in_approval_growth)^(D1425-1))</f>
        <v/>
      </c>
      <c r="J1425" s="40">
        <f>(J1424-L1424)*F1425/F1424</f>
        <v/>
      </c>
      <c r="K1425" s="40">
        <f>(K1424-M1424)*F1425/F1424+SUMIFS(O1397:O1424,B1397:B1424,B1425-1-d_T)*F1425</f>
        <v/>
      </c>
      <c r="L1425" s="40">
        <f>IF(B1425&gt;=in_marketplace_from,J1425*d_hz*G1425*in_eligible*H1425,0)</f>
        <v/>
      </c>
      <c r="M1425" s="40">
        <f>IF(B1425&gt;=in_marketplace_from,K1425*d_hz*G1425*in_eligible*in_approved_repeat,0)</f>
        <v/>
      </c>
      <c r="N1425" s="40">
        <f>L1425+M1425</f>
        <v/>
      </c>
      <c r="O1425" s="46">
        <f>N1425/F1425</f>
        <v/>
      </c>
      <c r="P1425" s="40">
        <f>F1425-J1425-K1425</f>
        <v/>
      </c>
      <c r="Q1425" s="40">
        <f>IF(B1425&gt;=in_marketplace_from,(J1425+K1425)*d_hz*G1425,0)</f>
        <v/>
      </c>
      <c r="R1425" s="40">
        <f>SUMIFS(N1397:N1425,B1397:B1425,"&gt;="&amp;(B1425-d_T),B1397:B1425,"&lt;="&amp;(B1425-1))</f>
        <v/>
      </c>
      <c r="S1425" s="46">
        <f>(1-d_u)*S1424+IF(d_T&gt;in_topup_lag,SUMIFS(O1397:O1425,B1397:B1425,B1425-in_topup_lag)-d_udrop*SUMIFS(O1397:O1425,B1397:B1425,B1425-d_T),0)</f>
        <v/>
      </c>
      <c r="T1425" s="40">
        <f>F1425*d_u*S1425</f>
        <v/>
      </c>
      <c r="U1425" s="9">
        <f>L1425*in_ticket+M1425*d_rep_ticket</f>
        <v/>
      </c>
      <c r="V1425" s="9">
        <f>U1425+T1425*d_topup_amt</f>
        <v/>
      </c>
      <c r="W1425" s="40">
        <f>N1425+T1425*d_topup_ratio</f>
        <v/>
      </c>
      <c r="X1425" s="40">
        <f>SUMIFS(W1397:W1425,B1397:B1425,B1425-in_dpd_lag)*d_cured</f>
        <v/>
      </c>
      <c r="Y1425" s="40">
        <f>SUMIFS(W1397:W1425,B1397:B1425,B1425-in_rec_lag)*d_recd</f>
        <v/>
      </c>
      <c r="Z1425" s="40">
        <f>IF(AND(B1425&gt;=in_marketplace_from,B1425&lt;in_marketplace_from+in_card_months),in_card_share/in_card_months*F1425*I1425,IF(AND(B1425&gt;=in_marketplace_from+in_card_months,B1425&lt;in_marketplace_from+2*in_card_months),in_card_share*d_card_rem/in_card_months*F1425*MIN(in_takeup_cap,(1+in_takeup_growth)^(D1425-1))*MIN(in_takeup_cap,(1+in_approval_growth)^(D1425-1)),0))</f>
        <v/>
      </c>
      <c r="AA1425" s="14">
        <f>V1425*in_fee*(1-in_taken_back)</f>
        <v/>
      </c>
      <c r="AB1425" s="14">
        <f>SUMIFS(W1397:W1425,B1397:B1425,B1425-in_dpd_lag)*d_dpd</f>
        <v/>
      </c>
      <c r="AC1425" s="14">
        <f>SUMIFS(W1397:W1425,B1397:B1425,B1425-in_rec_lag)*d_rec</f>
        <v/>
      </c>
      <c r="AD1425" s="14">
        <f>Z1425*in_card_fee</f>
        <v/>
      </c>
      <c r="AE1425" s="40">
        <f>AE1424*(1-IF(B1424&gt;=in_marketplace_from,d_hz_hlth_small*G1424,0))</f>
        <v/>
      </c>
      <c r="AF1425" s="46">
        <f>AE1425*IF(B1425&gt;=in_marketplace_from,d_hz_hlth_small*G1425,0)</f>
        <v/>
      </c>
      <c r="AG1425" s="14">
        <f>F1425*AF1425*in_hlth_small_ticket*in_hlth_small_comm*in_ins_partner_share+F1425*in_hlth_small_ticket*in_hlth_small_renew_comm*in_ins_partner_share*(in_hlth_small_renew^1*SUMIFS(AF1397:AF1425,B1397:B1425,B1425-12)+in_hlth_small_renew^2*SUMIFS(AF1397:AF1425,B1397:B1425,B1425-24)+in_hlth_small_renew^3*SUMIFS(AF1397:AF1425,B1397:B1425,B1425-36)+in_hlth_small_renew^4*SUMIFS(AF1397:AF1425,B1397:B1425,B1425-48))</f>
        <v/>
      </c>
      <c r="AH1425" s="40">
        <f>AH1424*(1-IF(B1424&gt;=in_marketplace_from,d_hz_hlth_family*G1424,0))</f>
        <v/>
      </c>
      <c r="AI1425" s="46">
        <f>AH1425*IF(B1425&gt;=in_marketplace_from,d_hz_hlth_family*G1425,0)</f>
        <v/>
      </c>
      <c r="AJ1425" s="14">
        <f>F1425*AI1425*in_hlth_family_ticket*in_hlth_family_comm*in_ins_partner_share+F1425*in_hlth_family_ticket*in_hlth_family_renew_comm*in_ins_partner_share*(in_hlth_family_renew^1*SUMIFS(AI1397:AI1425,B1397:B1425,B1425-12)+in_hlth_family_renew^2*SUMIFS(AI1397:AI1425,B1397:B1425,B1425-24)+in_hlth_family_renew^3*SUMIFS(AI1397:AI1425,B1397:B1425,B1425-36)+in_hlth_family_renew^4*SUMIFS(AI1397:AI1425,B1397:B1425,B1425-48))</f>
        <v/>
      </c>
      <c r="AK1425" s="40">
        <f>AK1424*(1-IF(B1424&gt;=in_marketplace_from,d_hz_life_term*G1424,0))</f>
        <v/>
      </c>
      <c r="AL1425" s="46">
        <f>AK1425*IF(B1425&gt;=in_marketplace_from,d_hz_life_term*G1425,0)</f>
        <v/>
      </c>
      <c r="AM1425" s="14">
        <f>F1425*AL1425*in_life_term_ticket*in_life_term_comm*in_ins_partner_share+F1425*in_life_term_ticket*in_life_term_renew_comm*in_ins_partner_share*(in_life_term_renew^1*SUMIFS(AL1397:AL1425,B1397:B1425,B1425-12)+in_life_term_renew^2*SUMIFS(AL1397:AL1425,B1397:B1425,B1425-24)+in_life_term_renew^3*SUMIFS(AL1397:AL1425,B1397:B1425,B1425-36)+in_life_term_renew^4*SUMIFS(AL1397:AL1425,B1397:B1425,B1425-48))</f>
        <v/>
      </c>
      <c r="AN1425" s="40">
        <f>AN1424*(1-IF(B1424&gt;=in_marketplace_from,d_hz_accident*G1424,0))</f>
        <v/>
      </c>
      <c r="AO1425" s="46">
        <f>AN1425*IF(B1425&gt;=in_marketplace_from,d_hz_accident*G1425,0)</f>
        <v/>
      </c>
      <c r="AP1425" s="14">
        <f>F1425*AO1425*in_accident_ticket*in_accident_comm*in_ins_partner_share+F1425*in_accident_ticket*in_accident_renew_comm*in_ins_partner_share*(in_accident_renew^1*SUMIFS(AO1397:AO1425,B1397:B1425,B1425-12)+in_accident_renew^2*SUMIFS(AO1397:AO1425,B1397:B1425,B1425-24)+in_accident_renew^3*SUMIFS(AO1397:AO1425,B1397:B1425,B1425-36)+in_accident_renew^4*SUMIFS(AO1397:AO1425,B1397:B1425,B1425-48))</f>
        <v/>
      </c>
      <c r="AQ1425" s="40">
        <f>AQ1424*(1-IF(B1424&gt;=in_marketplace_from,d_hz_two_wheeler*G1424,0))</f>
        <v/>
      </c>
      <c r="AR1425" s="46">
        <f>AQ1425*IF(B1425&gt;=in_marketplace_from,d_hz_two_wheeler*G1425,0)</f>
        <v/>
      </c>
      <c r="AS1425" s="14">
        <f>F1425*AR1425*in_two_wheeler_ticket*in_two_wheeler_comm*in_ins_partner_share+F1425*in_two_wheeler_ticket*in_two_wheeler_comm*in_ins_partner_share*(in_two_wheeler_renew^1*SUMIFS(AR1397:AR1425,B1397:B1425,B1425-12)+in_two_wheeler_renew^2*SUMIFS(AR1397:AR1425,B1397:B1425,B1425-24)+in_two_wheeler_renew^3*SUMIFS(AR1397:AR1425,B1397:B1425,B1425-36)+in_two_wheeler_renew^4*SUMIFS(AR1397:AR1425,B1397:B1425,B1425-48))</f>
        <v/>
      </c>
      <c r="AT1425" s="40">
        <f>AT1424*(1-IF(B1424&gt;=in_marketplace_from,d_hz_device*G1424,0))</f>
        <v/>
      </c>
      <c r="AU1425" s="14">
        <f>F1425*AT1425*IF(B1425&gt;=in_marketplace_from,d_hz_device*G1425,0)*in_device_ticket*in_device_comm*in_ins_partner_share</f>
        <v/>
      </c>
      <c r="AV1425" s="40">
        <f>AV1424*(1-IF(B1424&gt;=in_marketplace_from,d_hz_shop*G1424,0))</f>
        <v/>
      </c>
      <c r="AW1425" s="46">
        <f>AV1425*IF(B1425&gt;=in_marketplace_from,d_hz_shop*G1425,0)</f>
        <v/>
      </c>
      <c r="AX1425" s="14">
        <f>F1425*AW1425*in_shop_ticket*in_shop_comm*in_ins_partner_share+F1425*in_shop_ticket*in_shop_renew_comm*in_ins_partner_share*(in_shop_renew^1*SUMIFS(AW1397:AW1425,B1397:B1425,B1425-12)+in_shop_renew^2*SUMIFS(AW1397:AW1425,B1397:B1425,B1425-24)+in_shop_renew^3*SUMIFS(AW1397:AW1425,B1397:B1425,B1425-36)+in_shop_renew^4*SUMIFS(AW1397:AW1425,B1397:B1425,B1425-48))</f>
        <v/>
      </c>
      <c r="AY1425" s="40">
        <f>AY1424*(1-IF(B1424&gt;=in_marketplace_from,d_hz_sip*G1424,0))</f>
        <v/>
      </c>
      <c r="AZ1425" s="40">
        <f>AZ1424*d_rho_sip+AY1425*IF(B1425&gt;=in_marketplace_from,d_hz_sip*G1425,0)</f>
        <v/>
      </c>
      <c r="BA1425" s="40">
        <f>d_rho_sip*(BA1424+AZ1424)</f>
        <v/>
      </c>
      <c r="BB1425" s="14">
        <f>F1425*in_sip_ticket*(BA1425+0.5*AZ1425)*in_sip_comm/12</f>
        <v/>
      </c>
      <c r="BC1425" s="40">
        <f>BC1424*(1-IF(B1424&gt;=in_marketplace_from,d_hz_choti*G1424,0))</f>
        <v/>
      </c>
      <c r="BD1425" s="46">
        <f>BC1425*IF(B1425&gt;=in_marketplace_from,d_hz_choti*G1425,0)</f>
        <v/>
      </c>
      <c r="BE1425" s="14">
        <f>F1425*SUMIFS(BD1397:BD1425,B1397:B1425,B1425-in_choti_months)*in_choti_renew*in_choti_ticket</f>
        <v/>
      </c>
      <c r="BF1425" s="40">
        <f>BF1424*(1-IF(B1424&gt;=in_marketplace_from,d_hz_nps*G1424,0))</f>
        <v/>
      </c>
      <c r="BG1425" s="14">
        <f>F1425*BF1425*IF(B1425&gt;=in_marketplace_from,d_hz_nps*G1425,0)*in_nps_ticket*in_nps_comm</f>
        <v/>
      </c>
      <c r="BH1425" s="40">
        <f>BH1424*(1-IF(B1424&gt;=in_marketplace_from,d_hz_gold*G1424,0))</f>
        <v/>
      </c>
      <c r="BI1425" s="40">
        <f>BI1424*d_rho_gold+BH1425*IF(B1425&gt;=in_marketplace_from,d_hz_gold*G1425,0)</f>
        <v/>
      </c>
      <c r="BJ1425" s="14">
        <f>F1425*BI1425*in_gold_ticket*in_gold_comm</f>
        <v/>
      </c>
      <c r="BK1425" s="40">
        <f>BK1424*(1-IF(B1424&gt;=in_marketplace_from,d_hz_fd*G1424,0))</f>
        <v/>
      </c>
      <c r="BL1425" s="14">
        <f>F1425*BK1425*IF(B1425&gt;=in_marketplace_from,d_hz_fd*G1425,0)*in_fd_ticket*in_fd_comm</f>
        <v/>
      </c>
      <c r="BM1425" s="40">
        <f>BM1424*(1-IF(B1424&gt;=in_marketplace_from,d_hz_recharge*G1424,0))</f>
        <v/>
      </c>
      <c r="BN1425" s="40">
        <f>BN1424*d_rho_recharge+BM1425*IF(B1425&gt;=in_marketplace_from,d_hz_recharge*G1425,0)</f>
        <v/>
      </c>
      <c r="BO1425" s="14">
        <f>F1425*BN1425*in_recharge_ticket*in_recharge_comm/12</f>
        <v/>
      </c>
      <c r="BP1425" s="40">
        <f>BP1424*(1-IF(B1424&gt;=in_marketplace_from,d_hz_bills*G1424,0))</f>
        <v/>
      </c>
      <c r="BQ1425" s="40">
        <f>BQ1424*d_rho_bills+BP1425*IF(B1425&gt;=in_marketplace_from,d_hz_bills*G1425,0)</f>
        <v/>
      </c>
      <c r="BR1425" s="14">
        <f>F1425*BQ1425*in_bills_ticket*in_bills_comm/12</f>
        <v/>
      </c>
      <c r="BS1425" s="40">
        <f>BS1424*(1-IF(B1424&gt;=in_marketplace_from,d_hz_loan_gold*G1424,0))</f>
        <v/>
      </c>
      <c r="BT1425" s="14">
        <f>F1425*BS1425*IF(B1425&gt;=in_marketplace_from,d_hz_loan_gold*G1425,0)*in_loan_gold_ticket*in_loan_gold_comm</f>
        <v/>
      </c>
      <c r="BU1425" s="40">
        <f>BU1424*(1-IF(B1424&gt;=in_marketplace_from,d_hz_loan_cd*G1424,0))</f>
        <v/>
      </c>
      <c r="BV1425" s="14">
        <f>F1425*BU1425*IF(B1425&gt;=in_marketplace_from,d_hz_loan_cd*G1425,0)*in_loan_cd_ticket*in_loan_cd_comm</f>
        <v/>
      </c>
      <c r="BW1425" s="40">
        <f>BW1424*(1-IF(B1424&gt;=in_marketplace_from,d_hz_loan_vehicle*G1424,0))</f>
        <v/>
      </c>
      <c r="BX1425" s="14">
        <f>F1425*BW1425*IF(B1425&gt;=in_marketplace_from,d_hz_loan_vehicle*G1425,0)*in_loan_vehicle_ticket*in_loan_vehicle_comm</f>
        <v/>
      </c>
      <c r="BY1425" s="40">
        <f>BY1424*(1-IF(B1424&gt;=in_marketplace_from,d_hz_loan_home*G1424,0)*BZ1424)</f>
        <v/>
      </c>
      <c r="BZ1425" s="11">
        <f>MIN(in_approval_cap,in_loan_home_approval*INDEX('Age profile'!$O$2:$O$61,B1425)*(1+in_approval_growth)^(D1425-1))</f>
        <v/>
      </c>
      <c r="CA1425" s="14">
        <f>F1425*BY1425*IF(B1425&gt;=in_marketplace_from,d_hz_loan_home*G1425,0)*BZ1425*in_loan_home_ticket*in_loan_home_comm</f>
        <v/>
      </c>
      <c r="CB1425" s="40">
        <f>CB1424*(1-IF(B1424&gt;=in_marketplace_from,d_hz_loan_lap*G1424,0)*CC1424)</f>
        <v/>
      </c>
      <c r="CC1425" s="11">
        <f>MIN(in_approval_cap,in_loan_lap_approval*INDEX('Age profile'!$O$2:$O$61,B1425)*(1+in_approval_growth)^(D1425-1))</f>
        <v/>
      </c>
      <c r="CD1425" s="14">
        <f>F1425*CB1425*IF(B1425&gt;=in_marketplace_from,d_hz_loan_lap*G1425,0)*CC1425*in_loan_lap_ticket*in_loan_lap_comm</f>
        <v/>
      </c>
      <c r="CE1425" s="14">
        <f>AA1425+AB1425+AC1425+AD1425+AG1425+AJ1425+AM1425+AP1425+AS1425+AU1425+AX1425+BB1425+BE1425+BG1425+BJ1425+BL1425+BO1425+BR1425+BT1425+BV1425+BX1425+CA1425+CD1425</f>
        <v/>
      </c>
    </row>
    <row r="1426">
      <c r="A1426" s="39" t="n">
        <v>33</v>
      </c>
      <c r="B1426" s="39" t="n">
        <v>1</v>
      </c>
      <c r="C1426" s="39">
        <f>A1426+B1426-1</f>
        <v/>
      </c>
      <c r="D1426" s="39">
        <f>INT((C1426-1)/12)+1</f>
        <v/>
      </c>
      <c r="E1426" s="44">
        <f>INDEX(Monthly!$B$2:$B$61,A1426)</f>
        <v/>
      </c>
      <c r="F1426" s="44">
        <f>E1426*INDEX('Age profile'!$B$2:$B$61,B1426)</f>
        <v/>
      </c>
      <c r="G1426" s="45">
        <f>MIN(in_takeup_cap,INDEX('Age profile'!$N$2:$N$61,B1426)*(1+in_takeup_growth)^(D1426-1))</f>
        <v/>
      </c>
      <c r="H1426" s="11">
        <f>MIN(in_approval_cap,in_approved_first*INDEX('Age profile'!$O$2:$O$61,B1426)*(1+in_approval_growth)^(D1426-1))</f>
        <v/>
      </c>
      <c r="I1426" s="45">
        <f>G1426*MIN(in_takeup_cap,INDEX('Age profile'!$O$2:$O$61,B1426)*(1+in_approval_growth)^(D1426-1))</f>
        <v/>
      </c>
      <c r="J1426" s="40">
        <f>E1426</f>
        <v/>
      </c>
      <c r="K1426" s="40" t="n">
        <v>0</v>
      </c>
      <c r="L1426" s="40">
        <f>IF(B1426&gt;=in_marketplace_from,J1426*d_hz*G1426*in_eligible*H1426,0)</f>
        <v/>
      </c>
      <c r="M1426" s="40">
        <f>IF(B1426&gt;=in_marketplace_from,K1426*d_hz*G1426*in_eligible*in_approved_repeat,0)</f>
        <v/>
      </c>
      <c r="N1426" s="40">
        <f>L1426+M1426</f>
        <v/>
      </c>
      <c r="O1426" s="46">
        <f>N1426/F1426</f>
        <v/>
      </c>
      <c r="P1426" s="40">
        <f>F1426-J1426-K1426</f>
        <v/>
      </c>
      <c r="Q1426" s="40">
        <f>IF(B1426&gt;=in_marketplace_from,(J1426+K1426)*d_hz*G1426,0)</f>
        <v/>
      </c>
      <c r="R1426" s="40">
        <f>SUMIFS(N1426:N1453,B1426:B1453,"&gt;="&amp;(B1426-d_T),B1426:B1453,"&lt;="&amp;(B1426-1))</f>
        <v/>
      </c>
      <c r="S1426" s="46" t="n">
        <v>0</v>
      </c>
      <c r="T1426" s="40">
        <f>F1426*d_u*S1426</f>
        <v/>
      </c>
      <c r="U1426" s="9">
        <f>L1426*in_ticket+M1426*d_rep_ticket</f>
        <v/>
      </c>
      <c r="V1426" s="9">
        <f>U1426+T1426*d_topup_amt</f>
        <v/>
      </c>
      <c r="W1426" s="40">
        <f>N1426+T1426*d_topup_ratio</f>
        <v/>
      </c>
      <c r="X1426" s="40">
        <f>SUMIFS(W1426:W1453,B1426:B1453,B1426-in_dpd_lag)*d_cured</f>
        <v/>
      </c>
      <c r="Y1426" s="40">
        <f>SUMIFS(W1426:W1453,B1426:B1453,B1426-in_rec_lag)*d_recd</f>
        <v/>
      </c>
      <c r="Z1426" s="40">
        <f>IF(AND(B1426&gt;=in_marketplace_from,B1426&lt;in_marketplace_from+in_card_months),in_card_share/in_card_months*F1426*I1426,IF(AND(B1426&gt;=in_marketplace_from+in_card_months,B1426&lt;in_marketplace_from+2*in_card_months),in_card_share*d_card_rem/in_card_months*F1426*MIN(in_takeup_cap,(1+in_takeup_growth)^(D1426-1))*MIN(in_takeup_cap,(1+in_approval_growth)^(D1426-1)),0))</f>
        <v/>
      </c>
      <c r="AA1426" s="14">
        <f>V1426*in_fee*(1-in_taken_back)</f>
        <v/>
      </c>
      <c r="AB1426" s="14">
        <f>SUMIFS(W1426:W1453,B1426:B1453,B1426-in_dpd_lag)*d_dpd</f>
        <v/>
      </c>
      <c r="AC1426" s="14">
        <f>SUMIFS(W1426:W1453,B1426:B1453,B1426-in_rec_lag)*d_rec</f>
        <v/>
      </c>
      <c r="AD1426" s="14">
        <f>Z1426*in_card_fee</f>
        <v/>
      </c>
      <c r="AE1426" s="40" t="n">
        <v>1</v>
      </c>
      <c r="AF1426" s="46">
        <f>AE1426*IF(B1426&gt;=in_marketplace_from,d_hz_hlth_small*G1426,0)</f>
        <v/>
      </c>
      <c r="AG1426" s="14">
        <f>F1426*AF1426*in_hlth_small_ticket*in_hlth_small_comm*in_ins_partner_share+F1426*in_hlth_small_ticket*in_hlth_small_renew_comm*in_ins_partner_share*(in_hlth_small_renew^1*SUMIFS(AF1426:AF1453,B1426:B1453,B1426-12)+in_hlth_small_renew^2*SUMIFS(AF1426:AF1453,B1426:B1453,B1426-24)+in_hlth_small_renew^3*SUMIFS(AF1426:AF1453,B1426:B1453,B1426-36)+in_hlth_small_renew^4*SUMIFS(AF1426:AF1453,B1426:B1453,B1426-48))</f>
        <v/>
      </c>
      <c r="AH1426" s="40" t="n">
        <v>1</v>
      </c>
      <c r="AI1426" s="46">
        <f>AH1426*IF(B1426&gt;=in_marketplace_from,d_hz_hlth_family*G1426,0)</f>
        <v/>
      </c>
      <c r="AJ1426" s="14">
        <f>F1426*AI1426*in_hlth_family_ticket*in_hlth_family_comm*in_ins_partner_share+F1426*in_hlth_family_ticket*in_hlth_family_renew_comm*in_ins_partner_share*(in_hlth_family_renew^1*SUMIFS(AI1426:AI1453,B1426:B1453,B1426-12)+in_hlth_family_renew^2*SUMIFS(AI1426:AI1453,B1426:B1453,B1426-24)+in_hlth_family_renew^3*SUMIFS(AI1426:AI1453,B1426:B1453,B1426-36)+in_hlth_family_renew^4*SUMIFS(AI1426:AI1453,B1426:B1453,B1426-48))</f>
        <v/>
      </c>
      <c r="AK1426" s="40" t="n">
        <v>1</v>
      </c>
      <c r="AL1426" s="46">
        <f>AK1426*IF(B1426&gt;=in_marketplace_from,d_hz_life_term*G1426,0)</f>
        <v/>
      </c>
      <c r="AM1426" s="14">
        <f>F1426*AL1426*in_life_term_ticket*in_life_term_comm*in_ins_partner_share+F1426*in_life_term_ticket*in_life_term_renew_comm*in_ins_partner_share*(in_life_term_renew^1*SUMIFS(AL1426:AL1453,B1426:B1453,B1426-12)+in_life_term_renew^2*SUMIFS(AL1426:AL1453,B1426:B1453,B1426-24)+in_life_term_renew^3*SUMIFS(AL1426:AL1453,B1426:B1453,B1426-36)+in_life_term_renew^4*SUMIFS(AL1426:AL1453,B1426:B1453,B1426-48))</f>
        <v/>
      </c>
      <c r="AN1426" s="40" t="n">
        <v>1</v>
      </c>
      <c r="AO1426" s="46">
        <f>AN1426*IF(B1426&gt;=in_marketplace_from,d_hz_accident*G1426,0)</f>
        <v/>
      </c>
      <c r="AP1426" s="14">
        <f>F1426*AO1426*in_accident_ticket*in_accident_comm*in_ins_partner_share+F1426*in_accident_ticket*in_accident_renew_comm*in_ins_partner_share*(in_accident_renew^1*SUMIFS(AO1426:AO1453,B1426:B1453,B1426-12)+in_accident_renew^2*SUMIFS(AO1426:AO1453,B1426:B1453,B1426-24)+in_accident_renew^3*SUMIFS(AO1426:AO1453,B1426:B1453,B1426-36)+in_accident_renew^4*SUMIFS(AO1426:AO1453,B1426:B1453,B1426-48))</f>
        <v/>
      </c>
      <c r="AQ1426" s="40" t="n">
        <v>1</v>
      </c>
      <c r="AR1426" s="46">
        <f>AQ1426*IF(B1426&gt;=in_marketplace_from,d_hz_two_wheeler*G1426,0)</f>
        <v/>
      </c>
      <c r="AS1426" s="14">
        <f>F1426*AR1426*in_two_wheeler_ticket*in_two_wheeler_comm*in_ins_partner_share+F1426*in_two_wheeler_ticket*in_two_wheeler_comm*in_ins_partner_share*(in_two_wheeler_renew^1*SUMIFS(AR1426:AR1453,B1426:B1453,B1426-12)+in_two_wheeler_renew^2*SUMIFS(AR1426:AR1453,B1426:B1453,B1426-24)+in_two_wheeler_renew^3*SUMIFS(AR1426:AR1453,B1426:B1453,B1426-36)+in_two_wheeler_renew^4*SUMIFS(AR1426:AR1453,B1426:B1453,B1426-48))</f>
        <v/>
      </c>
      <c r="AT1426" s="40" t="n">
        <v>1</v>
      </c>
      <c r="AU1426" s="14">
        <f>F1426*AT1426*IF(B1426&gt;=in_marketplace_from,d_hz_device*G1426,0)*in_device_ticket*in_device_comm*in_ins_partner_share</f>
        <v/>
      </c>
      <c r="AV1426" s="40" t="n">
        <v>1</v>
      </c>
      <c r="AW1426" s="46">
        <f>AV1426*IF(B1426&gt;=in_marketplace_from,d_hz_shop*G1426,0)</f>
        <v/>
      </c>
      <c r="AX1426" s="14">
        <f>F1426*AW1426*in_shop_ticket*in_shop_comm*in_ins_partner_share+F1426*in_shop_ticket*in_shop_renew_comm*in_ins_partner_share*(in_shop_renew^1*SUMIFS(AW1426:AW1453,B1426:B1453,B1426-12)+in_shop_renew^2*SUMIFS(AW1426:AW1453,B1426:B1453,B1426-24)+in_shop_renew^3*SUMIFS(AW1426:AW1453,B1426:B1453,B1426-36)+in_shop_renew^4*SUMIFS(AW1426:AW1453,B1426:B1453,B1426-48))</f>
        <v/>
      </c>
      <c r="AY1426" s="40" t="n">
        <v>1</v>
      </c>
      <c r="AZ1426" s="40">
        <f>AY1426*IF(B1426&gt;=in_marketplace_from,d_hz_sip*G1426,0)</f>
        <v/>
      </c>
      <c r="BA1426" s="40" t="n">
        <v>0</v>
      </c>
      <c r="BB1426" s="14">
        <f>F1426*in_sip_ticket*(BA1426+0.5*AZ1426)*in_sip_comm/12</f>
        <v/>
      </c>
      <c r="BC1426" s="40" t="n">
        <v>1</v>
      </c>
      <c r="BD1426" s="46">
        <f>BC1426*IF(B1426&gt;=in_marketplace_from,d_hz_choti*G1426,0)</f>
        <v/>
      </c>
      <c r="BE1426" s="14">
        <f>F1426*SUMIFS(BD1426:BD1453,B1426:B1453,B1426-in_choti_months)*in_choti_renew*in_choti_ticket</f>
        <v/>
      </c>
      <c r="BF1426" s="40" t="n">
        <v>1</v>
      </c>
      <c r="BG1426" s="14">
        <f>F1426*BF1426*IF(B1426&gt;=in_marketplace_from,d_hz_nps*G1426,0)*in_nps_ticket*in_nps_comm</f>
        <v/>
      </c>
      <c r="BH1426" s="40" t="n">
        <v>1</v>
      </c>
      <c r="BI1426" s="40">
        <f>BH1426*IF(B1426&gt;=in_marketplace_from,d_hz_gold*G1426,0)</f>
        <v/>
      </c>
      <c r="BJ1426" s="14">
        <f>F1426*BI1426*in_gold_ticket*in_gold_comm</f>
        <v/>
      </c>
      <c r="BK1426" s="40" t="n">
        <v>1</v>
      </c>
      <c r="BL1426" s="14">
        <f>F1426*BK1426*IF(B1426&gt;=in_marketplace_from,d_hz_fd*G1426,0)*in_fd_ticket*in_fd_comm</f>
        <v/>
      </c>
      <c r="BM1426" s="40" t="n">
        <v>1</v>
      </c>
      <c r="BN1426" s="40">
        <f>BM1426*IF(B1426&gt;=in_marketplace_from,d_hz_recharge*G1426,0)</f>
        <v/>
      </c>
      <c r="BO1426" s="14">
        <f>F1426*BN1426*in_recharge_ticket*in_recharge_comm/12</f>
        <v/>
      </c>
      <c r="BP1426" s="40" t="n">
        <v>1</v>
      </c>
      <c r="BQ1426" s="40">
        <f>BP1426*IF(B1426&gt;=in_marketplace_from,d_hz_bills*G1426,0)</f>
        <v/>
      </c>
      <c r="BR1426" s="14">
        <f>F1426*BQ1426*in_bills_ticket*in_bills_comm/12</f>
        <v/>
      </c>
      <c r="BS1426" s="40" t="n">
        <v>1</v>
      </c>
      <c r="BT1426" s="14">
        <f>F1426*BS1426*IF(B1426&gt;=in_marketplace_from,d_hz_loan_gold*G1426,0)*in_loan_gold_ticket*in_loan_gold_comm</f>
        <v/>
      </c>
      <c r="BU1426" s="40" t="n">
        <v>1</v>
      </c>
      <c r="BV1426" s="14">
        <f>F1426*BU1426*IF(B1426&gt;=in_marketplace_from,d_hz_loan_cd*G1426,0)*in_loan_cd_ticket*in_loan_cd_comm</f>
        <v/>
      </c>
      <c r="BW1426" s="40" t="n">
        <v>1</v>
      </c>
      <c r="BX1426" s="14">
        <f>F1426*BW1426*IF(B1426&gt;=in_marketplace_from,d_hz_loan_vehicle*G1426,0)*in_loan_vehicle_ticket*in_loan_vehicle_comm</f>
        <v/>
      </c>
      <c r="BY1426" s="40" t="n">
        <v>1</v>
      </c>
      <c r="BZ1426" s="11">
        <f>MIN(in_approval_cap,in_loan_home_approval*INDEX('Age profile'!$O$2:$O$61,B1426)*(1+in_approval_growth)^(D1426-1))</f>
        <v/>
      </c>
      <c r="CA1426" s="14">
        <f>F1426*BY1426*IF(B1426&gt;=in_marketplace_from,d_hz_loan_home*G1426,0)*BZ1426*in_loan_home_ticket*in_loan_home_comm</f>
        <v/>
      </c>
      <c r="CB1426" s="40" t="n">
        <v>1</v>
      </c>
      <c r="CC1426" s="11">
        <f>MIN(in_approval_cap,in_loan_lap_approval*INDEX('Age profile'!$O$2:$O$61,B1426)*(1+in_approval_growth)^(D1426-1))</f>
        <v/>
      </c>
      <c r="CD1426" s="14">
        <f>F1426*CB1426*IF(B1426&gt;=in_marketplace_from,d_hz_loan_lap*G1426,0)*CC1426*in_loan_lap_ticket*in_loan_lap_comm</f>
        <v/>
      </c>
      <c r="CE1426" s="14">
        <f>AA1426+AB1426+AC1426+AD1426+AG1426+AJ1426+AM1426+AP1426+AS1426+AU1426+AX1426+BB1426+BE1426+BG1426+BJ1426+BL1426+BO1426+BR1426+BT1426+BV1426+BX1426+CA1426+CD1426</f>
        <v/>
      </c>
    </row>
    <row r="1427">
      <c r="A1427" s="39" t="n">
        <v>33</v>
      </c>
      <c r="B1427" s="39" t="n">
        <v>2</v>
      </c>
      <c r="C1427" s="39">
        <f>A1427+B1427-1</f>
        <v/>
      </c>
      <c r="D1427" s="39">
        <f>INT((C1427-1)/12)+1</f>
        <v/>
      </c>
      <c r="E1427" s="44">
        <f>INDEX(Monthly!$B$2:$B$61,A1427)</f>
        <v/>
      </c>
      <c r="F1427" s="44">
        <f>E1427*INDEX('Age profile'!$B$2:$B$61,B1427)</f>
        <v/>
      </c>
      <c r="G1427" s="45">
        <f>MIN(in_takeup_cap,INDEX('Age profile'!$N$2:$N$61,B1427)*(1+in_takeup_growth)^(D1427-1))</f>
        <v/>
      </c>
      <c r="H1427" s="11">
        <f>MIN(in_approval_cap,in_approved_first*INDEX('Age profile'!$O$2:$O$61,B1427)*(1+in_approval_growth)^(D1427-1))</f>
        <v/>
      </c>
      <c r="I1427" s="45">
        <f>G1427*MIN(in_takeup_cap,INDEX('Age profile'!$O$2:$O$61,B1427)*(1+in_approval_growth)^(D1427-1))</f>
        <v/>
      </c>
      <c r="J1427" s="40">
        <f>(J1426-L1426)*F1427/F1426</f>
        <v/>
      </c>
      <c r="K1427" s="40">
        <f>(K1426-M1426)*F1427/F1426+SUMIFS(O1426:O1426,B1426:B1426,B1427-1-d_T)*F1427</f>
        <v/>
      </c>
      <c r="L1427" s="40">
        <f>IF(B1427&gt;=in_marketplace_from,J1427*d_hz*G1427*in_eligible*H1427,0)</f>
        <v/>
      </c>
      <c r="M1427" s="40">
        <f>IF(B1427&gt;=in_marketplace_from,K1427*d_hz*G1427*in_eligible*in_approved_repeat,0)</f>
        <v/>
      </c>
      <c r="N1427" s="40">
        <f>L1427+M1427</f>
        <v/>
      </c>
      <c r="O1427" s="46">
        <f>N1427/F1427</f>
        <v/>
      </c>
      <c r="P1427" s="40">
        <f>F1427-J1427-K1427</f>
        <v/>
      </c>
      <c r="Q1427" s="40">
        <f>IF(B1427&gt;=in_marketplace_from,(J1427+K1427)*d_hz*G1427,0)</f>
        <v/>
      </c>
      <c r="R1427" s="40">
        <f>SUMIFS(N1426:N1453,B1426:B1453,"&gt;="&amp;(B1427-d_T),B1426:B1453,"&lt;="&amp;(B1427-1))</f>
        <v/>
      </c>
      <c r="S1427" s="46">
        <f>(1-d_u)*S1426+IF(d_T&gt;in_topup_lag,SUMIFS(O1426:O1453,B1426:B1453,B1427-in_topup_lag)-d_udrop*SUMIFS(O1426:O1453,B1426:B1453,B1427-d_T),0)</f>
        <v/>
      </c>
      <c r="T1427" s="40">
        <f>F1427*d_u*S1427</f>
        <v/>
      </c>
      <c r="U1427" s="9">
        <f>L1427*in_ticket+M1427*d_rep_ticket</f>
        <v/>
      </c>
      <c r="V1427" s="9">
        <f>U1427+T1427*d_topup_amt</f>
        <v/>
      </c>
      <c r="W1427" s="40">
        <f>N1427+T1427*d_topup_ratio</f>
        <v/>
      </c>
      <c r="X1427" s="40">
        <f>SUMIFS(W1426:W1453,B1426:B1453,B1427-in_dpd_lag)*d_cured</f>
        <v/>
      </c>
      <c r="Y1427" s="40">
        <f>SUMIFS(W1426:W1453,B1426:B1453,B1427-in_rec_lag)*d_recd</f>
        <v/>
      </c>
      <c r="Z1427" s="40">
        <f>IF(AND(B1427&gt;=in_marketplace_from,B1427&lt;in_marketplace_from+in_card_months),in_card_share/in_card_months*F1427*I1427,IF(AND(B1427&gt;=in_marketplace_from+in_card_months,B1427&lt;in_marketplace_from+2*in_card_months),in_card_share*d_card_rem/in_card_months*F1427*MIN(in_takeup_cap,(1+in_takeup_growth)^(D1427-1))*MIN(in_takeup_cap,(1+in_approval_growth)^(D1427-1)),0))</f>
        <v/>
      </c>
      <c r="AA1427" s="14">
        <f>V1427*in_fee*(1-in_taken_back)</f>
        <v/>
      </c>
      <c r="AB1427" s="14">
        <f>SUMIFS(W1426:W1453,B1426:B1453,B1427-in_dpd_lag)*d_dpd</f>
        <v/>
      </c>
      <c r="AC1427" s="14">
        <f>SUMIFS(W1426:W1453,B1426:B1453,B1427-in_rec_lag)*d_rec</f>
        <v/>
      </c>
      <c r="AD1427" s="14">
        <f>Z1427*in_card_fee</f>
        <v/>
      </c>
      <c r="AE1427" s="40">
        <f>AE1426*(1-IF(B1426&gt;=in_marketplace_from,d_hz_hlth_small*G1426,0))</f>
        <v/>
      </c>
      <c r="AF1427" s="46">
        <f>AE1427*IF(B1427&gt;=in_marketplace_from,d_hz_hlth_small*G1427,0)</f>
        <v/>
      </c>
      <c r="AG1427" s="14">
        <f>F1427*AF1427*in_hlth_small_ticket*in_hlth_small_comm*in_ins_partner_share+F1427*in_hlth_small_ticket*in_hlth_small_renew_comm*in_ins_partner_share*(in_hlth_small_renew^1*SUMIFS(AF1426:AF1453,B1426:B1453,B1427-12)+in_hlth_small_renew^2*SUMIFS(AF1426:AF1453,B1426:B1453,B1427-24)+in_hlth_small_renew^3*SUMIFS(AF1426:AF1453,B1426:B1453,B1427-36)+in_hlth_small_renew^4*SUMIFS(AF1426:AF1453,B1426:B1453,B1427-48))</f>
        <v/>
      </c>
      <c r="AH1427" s="40">
        <f>AH1426*(1-IF(B1426&gt;=in_marketplace_from,d_hz_hlth_family*G1426,0))</f>
        <v/>
      </c>
      <c r="AI1427" s="46">
        <f>AH1427*IF(B1427&gt;=in_marketplace_from,d_hz_hlth_family*G1427,0)</f>
        <v/>
      </c>
      <c r="AJ1427" s="14">
        <f>F1427*AI1427*in_hlth_family_ticket*in_hlth_family_comm*in_ins_partner_share+F1427*in_hlth_family_ticket*in_hlth_family_renew_comm*in_ins_partner_share*(in_hlth_family_renew^1*SUMIFS(AI1426:AI1453,B1426:B1453,B1427-12)+in_hlth_family_renew^2*SUMIFS(AI1426:AI1453,B1426:B1453,B1427-24)+in_hlth_family_renew^3*SUMIFS(AI1426:AI1453,B1426:B1453,B1427-36)+in_hlth_family_renew^4*SUMIFS(AI1426:AI1453,B1426:B1453,B1427-48))</f>
        <v/>
      </c>
      <c r="AK1427" s="40">
        <f>AK1426*(1-IF(B1426&gt;=in_marketplace_from,d_hz_life_term*G1426,0))</f>
        <v/>
      </c>
      <c r="AL1427" s="46">
        <f>AK1427*IF(B1427&gt;=in_marketplace_from,d_hz_life_term*G1427,0)</f>
        <v/>
      </c>
      <c r="AM1427" s="14">
        <f>F1427*AL1427*in_life_term_ticket*in_life_term_comm*in_ins_partner_share+F1427*in_life_term_ticket*in_life_term_renew_comm*in_ins_partner_share*(in_life_term_renew^1*SUMIFS(AL1426:AL1453,B1426:B1453,B1427-12)+in_life_term_renew^2*SUMIFS(AL1426:AL1453,B1426:B1453,B1427-24)+in_life_term_renew^3*SUMIFS(AL1426:AL1453,B1426:B1453,B1427-36)+in_life_term_renew^4*SUMIFS(AL1426:AL1453,B1426:B1453,B1427-48))</f>
        <v/>
      </c>
      <c r="AN1427" s="40">
        <f>AN1426*(1-IF(B1426&gt;=in_marketplace_from,d_hz_accident*G1426,0))</f>
        <v/>
      </c>
      <c r="AO1427" s="46">
        <f>AN1427*IF(B1427&gt;=in_marketplace_from,d_hz_accident*G1427,0)</f>
        <v/>
      </c>
      <c r="AP1427" s="14">
        <f>F1427*AO1427*in_accident_ticket*in_accident_comm*in_ins_partner_share+F1427*in_accident_ticket*in_accident_renew_comm*in_ins_partner_share*(in_accident_renew^1*SUMIFS(AO1426:AO1453,B1426:B1453,B1427-12)+in_accident_renew^2*SUMIFS(AO1426:AO1453,B1426:B1453,B1427-24)+in_accident_renew^3*SUMIFS(AO1426:AO1453,B1426:B1453,B1427-36)+in_accident_renew^4*SUMIFS(AO1426:AO1453,B1426:B1453,B1427-48))</f>
        <v/>
      </c>
      <c r="AQ1427" s="40">
        <f>AQ1426*(1-IF(B1426&gt;=in_marketplace_from,d_hz_two_wheeler*G1426,0))</f>
        <v/>
      </c>
      <c r="AR1427" s="46">
        <f>AQ1427*IF(B1427&gt;=in_marketplace_from,d_hz_two_wheeler*G1427,0)</f>
        <v/>
      </c>
      <c r="AS1427" s="14">
        <f>F1427*AR1427*in_two_wheeler_ticket*in_two_wheeler_comm*in_ins_partner_share+F1427*in_two_wheeler_ticket*in_two_wheeler_comm*in_ins_partner_share*(in_two_wheeler_renew^1*SUMIFS(AR1426:AR1453,B1426:B1453,B1427-12)+in_two_wheeler_renew^2*SUMIFS(AR1426:AR1453,B1426:B1453,B1427-24)+in_two_wheeler_renew^3*SUMIFS(AR1426:AR1453,B1426:B1453,B1427-36)+in_two_wheeler_renew^4*SUMIFS(AR1426:AR1453,B1426:B1453,B1427-48))</f>
        <v/>
      </c>
      <c r="AT1427" s="40">
        <f>AT1426*(1-IF(B1426&gt;=in_marketplace_from,d_hz_device*G1426,0))</f>
        <v/>
      </c>
      <c r="AU1427" s="14">
        <f>F1427*AT1427*IF(B1427&gt;=in_marketplace_from,d_hz_device*G1427,0)*in_device_ticket*in_device_comm*in_ins_partner_share</f>
        <v/>
      </c>
      <c r="AV1427" s="40">
        <f>AV1426*(1-IF(B1426&gt;=in_marketplace_from,d_hz_shop*G1426,0))</f>
        <v/>
      </c>
      <c r="AW1427" s="46">
        <f>AV1427*IF(B1427&gt;=in_marketplace_from,d_hz_shop*G1427,0)</f>
        <v/>
      </c>
      <c r="AX1427" s="14">
        <f>F1427*AW1427*in_shop_ticket*in_shop_comm*in_ins_partner_share+F1427*in_shop_ticket*in_shop_renew_comm*in_ins_partner_share*(in_shop_renew^1*SUMIFS(AW1426:AW1453,B1426:B1453,B1427-12)+in_shop_renew^2*SUMIFS(AW1426:AW1453,B1426:B1453,B1427-24)+in_shop_renew^3*SUMIFS(AW1426:AW1453,B1426:B1453,B1427-36)+in_shop_renew^4*SUMIFS(AW1426:AW1453,B1426:B1453,B1427-48))</f>
        <v/>
      </c>
      <c r="AY1427" s="40">
        <f>AY1426*(1-IF(B1426&gt;=in_marketplace_from,d_hz_sip*G1426,0))</f>
        <v/>
      </c>
      <c r="AZ1427" s="40">
        <f>AZ1426*d_rho_sip+AY1427*IF(B1427&gt;=in_marketplace_from,d_hz_sip*G1427,0)</f>
        <v/>
      </c>
      <c r="BA1427" s="40">
        <f>d_rho_sip*(BA1426+AZ1426)</f>
        <v/>
      </c>
      <c r="BB1427" s="14">
        <f>F1427*in_sip_ticket*(BA1427+0.5*AZ1427)*in_sip_comm/12</f>
        <v/>
      </c>
      <c r="BC1427" s="40">
        <f>BC1426*(1-IF(B1426&gt;=in_marketplace_from,d_hz_choti*G1426,0))</f>
        <v/>
      </c>
      <c r="BD1427" s="46">
        <f>BC1427*IF(B1427&gt;=in_marketplace_from,d_hz_choti*G1427,0)</f>
        <v/>
      </c>
      <c r="BE1427" s="14">
        <f>F1427*SUMIFS(BD1426:BD1453,B1426:B1453,B1427-in_choti_months)*in_choti_renew*in_choti_ticket</f>
        <v/>
      </c>
      <c r="BF1427" s="40">
        <f>BF1426*(1-IF(B1426&gt;=in_marketplace_from,d_hz_nps*G1426,0))</f>
        <v/>
      </c>
      <c r="BG1427" s="14">
        <f>F1427*BF1427*IF(B1427&gt;=in_marketplace_from,d_hz_nps*G1427,0)*in_nps_ticket*in_nps_comm</f>
        <v/>
      </c>
      <c r="BH1427" s="40">
        <f>BH1426*(1-IF(B1426&gt;=in_marketplace_from,d_hz_gold*G1426,0))</f>
        <v/>
      </c>
      <c r="BI1427" s="40">
        <f>BI1426*d_rho_gold+BH1427*IF(B1427&gt;=in_marketplace_from,d_hz_gold*G1427,0)</f>
        <v/>
      </c>
      <c r="BJ1427" s="14">
        <f>F1427*BI1427*in_gold_ticket*in_gold_comm</f>
        <v/>
      </c>
      <c r="BK1427" s="40">
        <f>BK1426*(1-IF(B1426&gt;=in_marketplace_from,d_hz_fd*G1426,0))</f>
        <v/>
      </c>
      <c r="BL1427" s="14">
        <f>F1427*BK1427*IF(B1427&gt;=in_marketplace_from,d_hz_fd*G1427,0)*in_fd_ticket*in_fd_comm</f>
        <v/>
      </c>
      <c r="BM1427" s="40">
        <f>BM1426*(1-IF(B1426&gt;=in_marketplace_from,d_hz_recharge*G1426,0))</f>
        <v/>
      </c>
      <c r="BN1427" s="40">
        <f>BN1426*d_rho_recharge+BM1427*IF(B1427&gt;=in_marketplace_from,d_hz_recharge*G1427,0)</f>
        <v/>
      </c>
      <c r="BO1427" s="14">
        <f>F1427*BN1427*in_recharge_ticket*in_recharge_comm/12</f>
        <v/>
      </c>
      <c r="BP1427" s="40">
        <f>BP1426*(1-IF(B1426&gt;=in_marketplace_from,d_hz_bills*G1426,0))</f>
        <v/>
      </c>
      <c r="BQ1427" s="40">
        <f>BQ1426*d_rho_bills+BP1427*IF(B1427&gt;=in_marketplace_from,d_hz_bills*G1427,0)</f>
        <v/>
      </c>
      <c r="BR1427" s="14">
        <f>F1427*BQ1427*in_bills_ticket*in_bills_comm/12</f>
        <v/>
      </c>
      <c r="BS1427" s="40">
        <f>BS1426*(1-IF(B1426&gt;=in_marketplace_from,d_hz_loan_gold*G1426,0))</f>
        <v/>
      </c>
      <c r="BT1427" s="14">
        <f>F1427*BS1427*IF(B1427&gt;=in_marketplace_from,d_hz_loan_gold*G1427,0)*in_loan_gold_ticket*in_loan_gold_comm</f>
        <v/>
      </c>
      <c r="BU1427" s="40">
        <f>BU1426*(1-IF(B1426&gt;=in_marketplace_from,d_hz_loan_cd*G1426,0))</f>
        <v/>
      </c>
      <c r="BV1427" s="14">
        <f>F1427*BU1427*IF(B1427&gt;=in_marketplace_from,d_hz_loan_cd*G1427,0)*in_loan_cd_ticket*in_loan_cd_comm</f>
        <v/>
      </c>
      <c r="BW1427" s="40">
        <f>BW1426*(1-IF(B1426&gt;=in_marketplace_from,d_hz_loan_vehicle*G1426,0))</f>
        <v/>
      </c>
      <c r="BX1427" s="14">
        <f>F1427*BW1427*IF(B1427&gt;=in_marketplace_from,d_hz_loan_vehicle*G1427,0)*in_loan_vehicle_ticket*in_loan_vehicle_comm</f>
        <v/>
      </c>
      <c r="BY1427" s="40">
        <f>BY1426*(1-IF(B1426&gt;=in_marketplace_from,d_hz_loan_home*G1426,0)*BZ1426)</f>
        <v/>
      </c>
      <c r="BZ1427" s="11">
        <f>MIN(in_approval_cap,in_loan_home_approval*INDEX('Age profile'!$O$2:$O$61,B1427)*(1+in_approval_growth)^(D1427-1))</f>
        <v/>
      </c>
      <c r="CA1427" s="14">
        <f>F1427*BY1427*IF(B1427&gt;=in_marketplace_from,d_hz_loan_home*G1427,0)*BZ1427*in_loan_home_ticket*in_loan_home_comm</f>
        <v/>
      </c>
      <c r="CB1427" s="40">
        <f>CB1426*(1-IF(B1426&gt;=in_marketplace_from,d_hz_loan_lap*G1426,0)*CC1426)</f>
        <v/>
      </c>
      <c r="CC1427" s="11">
        <f>MIN(in_approval_cap,in_loan_lap_approval*INDEX('Age profile'!$O$2:$O$61,B1427)*(1+in_approval_growth)^(D1427-1))</f>
        <v/>
      </c>
      <c r="CD1427" s="14">
        <f>F1427*CB1427*IF(B1427&gt;=in_marketplace_from,d_hz_loan_lap*G1427,0)*CC1427*in_loan_lap_ticket*in_loan_lap_comm</f>
        <v/>
      </c>
      <c r="CE1427" s="14">
        <f>AA1427+AB1427+AC1427+AD1427+AG1427+AJ1427+AM1427+AP1427+AS1427+AU1427+AX1427+BB1427+BE1427+BG1427+BJ1427+BL1427+BO1427+BR1427+BT1427+BV1427+BX1427+CA1427+CD1427</f>
        <v/>
      </c>
    </row>
    <row r="1428">
      <c r="A1428" s="39" t="n">
        <v>33</v>
      </c>
      <c r="B1428" s="39" t="n">
        <v>3</v>
      </c>
      <c r="C1428" s="39">
        <f>A1428+B1428-1</f>
        <v/>
      </c>
      <c r="D1428" s="39">
        <f>INT((C1428-1)/12)+1</f>
        <v/>
      </c>
      <c r="E1428" s="44">
        <f>INDEX(Monthly!$B$2:$B$61,A1428)</f>
        <v/>
      </c>
      <c r="F1428" s="44">
        <f>E1428*INDEX('Age profile'!$B$2:$B$61,B1428)</f>
        <v/>
      </c>
      <c r="G1428" s="45">
        <f>MIN(in_takeup_cap,INDEX('Age profile'!$N$2:$N$61,B1428)*(1+in_takeup_growth)^(D1428-1))</f>
        <v/>
      </c>
      <c r="H1428" s="11">
        <f>MIN(in_approval_cap,in_approved_first*INDEX('Age profile'!$O$2:$O$61,B1428)*(1+in_approval_growth)^(D1428-1))</f>
        <v/>
      </c>
      <c r="I1428" s="45">
        <f>G1428*MIN(in_takeup_cap,INDEX('Age profile'!$O$2:$O$61,B1428)*(1+in_approval_growth)^(D1428-1))</f>
        <v/>
      </c>
      <c r="J1428" s="40">
        <f>(J1427-L1427)*F1428/F1427</f>
        <v/>
      </c>
      <c r="K1428" s="40">
        <f>(K1427-M1427)*F1428/F1427+SUMIFS(O1426:O1427,B1426:B1427,B1428-1-d_T)*F1428</f>
        <v/>
      </c>
      <c r="L1428" s="40">
        <f>IF(B1428&gt;=in_marketplace_from,J1428*d_hz*G1428*in_eligible*H1428,0)</f>
        <v/>
      </c>
      <c r="M1428" s="40">
        <f>IF(B1428&gt;=in_marketplace_from,K1428*d_hz*G1428*in_eligible*in_approved_repeat,0)</f>
        <v/>
      </c>
      <c r="N1428" s="40">
        <f>L1428+M1428</f>
        <v/>
      </c>
      <c r="O1428" s="46">
        <f>N1428/F1428</f>
        <v/>
      </c>
      <c r="P1428" s="40">
        <f>F1428-J1428-K1428</f>
        <v/>
      </c>
      <c r="Q1428" s="40">
        <f>IF(B1428&gt;=in_marketplace_from,(J1428+K1428)*d_hz*G1428,0)</f>
        <v/>
      </c>
      <c r="R1428" s="40">
        <f>SUMIFS(N1426:N1453,B1426:B1453,"&gt;="&amp;(B1428-d_T),B1426:B1453,"&lt;="&amp;(B1428-1))</f>
        <v/>
      </c>
      <c r="S1428" s="46">
        <f>(1-d_u)*S1427+IF(d_T&gt;in_topup_lag,SUMIFS(O1426:O1453,B1426:B1453,B1428-in_topup_lag)-d_udrop*SUMIFS(O1426:O1453,B1426:B1453,B1428-d_T),0)</f>
        <v/>
      </c>
      <c r="T1428" s="40">
        <f>F1428*d_u*S1428</f>
        <v/>
      </c>
      <c r="U1428" s="9">
        <f>L1428*in_ticket+M1428*d_rep_ticket</f>
        <v/>
      </c>
      <c r="V1428" s="9">
        <f>U1428+T1428*d_topup_amt</f>
        <v/>
      </c>
      <c r="W1428" s="40">
        <f>N1428+T1428*d_topup_ratio</f>
        <v/>
      </c>
      <c r="X1428" s="40">
        <f>SUMIFS(W1426:W1453,B1426:B1453,B1428-in_dpd_lag)*d_cured</f>
        <v/>
      </c>
      <c r="Y1428" s="40">
        <f>SUMIFS(W1426:W1453,B1426:B1453,B1428-in_rec_lag)*d_recd</f>
        <v/>
      </c>
      <c r="Z1428" s="40">
        <f>IF(AND(B1428&gt;=in_marketplace_from,B1428&lt;in_marketplace_from+in_card_months),in_card_share/in_card_months*F1428*I1428,IF(AND(B1428&gt;=in_marketplace_from+in_card_months,B1428&lt;in_marketplace_from+2*in_card_months),in_card_share*d_card_rem/in_card_months*F1428*MIN(in_takeup_cap,(1+in_takeup_growth)^(D1428-1))*MIN(in_takeup_cap,(1+in_approval_growth)^(D1428-1)),0))</f>
        <v/>
      </c>
      <c r="AA1428" s="14">
        <f>V1428*in_fee*(1-in_taken_back)</f>
        <v/>
      </c>
      <c r="AB1428" s="14">
        <f>SUMIFS(W1426:W1453,B1426:B1453,B1428-in_dpd_lag)*d_dpd</f>
        <v/>
      </c>
      <c r="AC1428" s="14">
        <f>SUMIFS(W1426:W1453,B1426:B1453,B1428-in_rec_lag)*d_rec</f>
        <v/>
      </c>
      <c r="AD1428" s="14">
        <f>Z1428*in_card_fee</f>
        <v/>
      </c>
      <c r="AE1428" s="40">
        <f>AE1427*(1-IF(B1427&gt;=in_marketplace_from,d_hz_hlth_small*G1427,0))</f>
        <v/>
      </c>
      <c r="AF1428" s="46">
        <f>AE1428*IF(B1428&gt;=in_marketplace_from,d_hz_hlth_small*G1428,0)</f>
        <v/>
      </c>
      <c r="AG1428" s="14">
        <f>F1428*AF1428*in_hlth_small_ticket*in_hlth_small_comm*in_ins_partner_share+F1428*in_hlth_small_ticket*in_hlth_small_renew_comm*in_ins_partner_share*(in_hlth_small_renew^1*SUMIFS(AF1426:AF1453,B1426:B1453,B1428-12)+in_hlth_small_renew^2*SUMIFS(AF1426:AF1453,B1426:B1453,B1428-24)+in_hlth_small_renew^3*SUMIFS(AF1426:AF1453,B1426:B1453,B1428-36)+in_hlth_small_renew^4*SUMIFS(AF1426:AF1453,B1426:B1453,B1428-48))</f>
        <v/>
      </c>
      <c r="AH1428" s="40">
        <f>AH1427*(1-IF(B1427&gt;=in_marketplace_from,d_hz_hlth_family*G1427,0))</f>
        <v/>
      </c>
      <c r="AI1428" s="46">
        <f>AH1428*IF(B1428&gt;=in_marketplace_from,d_hz_hlth_family*G1428,0)</f>
        <v/>
      </c>
      <c r="AJ1428" s="14">
        <f>F1428*AI1428*in_hlth_family_ticket*in_hlth_family_comm*in_ins_partner_share+F1428*in_hlth_family_ticket*in_hlth_family_renew_comm*in_ins_partner_share*(in_hlth_family_renew^1*SUMIFS(AI1426:AI1453,B1426:B1453,B1428-12)+in_hlth_family_renew^2*SUMIFS(AI1426:AI1453,B1426:B1453,B1428-24)+in_hlth_family_renew^3*SUMIFS(AI1426:AI1453,B1426:B1453,B1428-36)+in_hlth_family_renew^4*SUMIFS(AI1426:AI1453,B1426:B1453,B1428-48))</f>
        <v/>
      </c>
      <c r="AK1428" s="40">
        <f>AK1427*(1-IF(B1427&gt;=in_marketplace_from,d_hz_life_term*G1427,0))</f>
        <v/>
      </c>
      <c r="AL1428" s="46">
        <f>AK1428*IF(B1428&gt;=in_marketplace_from,d_hz_life_term*G1428,0)</f>
        <v/>
      </c>
      <c r="AM1428" s="14">
        <f>F1428*AL1428*in_life_term_ticket*in_life_term_comm*in_ins_partner_share+F1428*in_life_term_ticket*in_life_term_renew_comm*in_ins_partner_share*(in_life_term_renew^1*SUMIFS(AL1426:AL1453,B1426:B1453,B1428-12)+in_life_term_renew^2*SUMIFS(AL1426:AL1453,B1426:B1453,B1428-24)+in_life_term_renew^3*SUMIFS(AL1426:AL1453,B1426:B1453,B1428-36)+in_life_term_renew^4*SUMIFS(AL1426:AL1453,B1426:B1453,B1428-48))</f>
        <v/>
      </c>
      <c r="AN1428" s="40">
        <f>AN1427*(1-IF(B1427&gt;=in_marketplace_from,d_hz_accident*G1427,0))</f>
        <v/>
      </c>
      <c r="AO1428" s="46">
        <f>AN1428*IF(B1428&gt;=in_marketplace_from,d_hz_accident*G1428,0)</f>
        <v/>
      </c>
      <c r="AP1428" s="14">
        <f>F1428*AO1428*in_accident_ticket*in_accident_comm*in_ins_partner_share+F1428*in_accident_ticket*in_accident_renew_comm*in_ins_partner_share*(in_accident_renew^1*SUMIFS(AO1426:AO1453,B1426:B1453,B1428-12)+in_accident_renew^2*SUMIFS(AO1426:AO1453,B1426:B1453,B1428-24)+in_accident_renew^3*SUMIFS(AO1426:AO1453,B1426:B1453,B1428-36)+in_accident_renew^4*SUMIFS(AO1426:AO1453,B1426:B1453,B1428-48))</f>
        <v/>
      </c>
      <c r="AQ1428" s="40">
        <f>AQ1427*(1-IF(B1427&gt;=in_marketplace_from,d_hz_two_wheeler*G1427,0))</f>
        <v/>
      </c>
      <c r="AR1428" s="46">
        <f>AQ1428*IF(B1428&gt;=in_marketplace_from,d_hz_two_wheeler*G1428,0)</f>
        <v/>
      </c>
      <c r="AS1428" s="14">
        <f>F1428*AR1428*in_two_wheeler_ticket*in_two_wheeler_comm*in_ins_partner_share+F1428*in_two_wheeler_ticket*in_two_wheeler_comm*in_ins_partner_share*(in_two_wheeler_renew^1*SUMIFS(AR1426:AR1453,B1426:B1453,B1428-12)+in_two_wheeler_renew^2*SUMIFS(AR1426:AR1453,B1426:B1453,B1428-24)+in_two_wheeler_renew^3*SUMIFS(AR1426:AR1453,B1426:B1453,B1428-36)+in_two_wheeler_renew^4*SUMIFS(AR1426:AR1453,B1426:B1453,B1428-48))</f>
        <v/>
      </c>
      <c r="AT1428" s="40">
        <f>AT1427*(1-IF(B1427&gt;=in_marketplace_from,d_hz_device*G1427,0))</f>
        <v/>
      </c>
      <c r="AU1428" s="14">
        <f>F1428*AT1428*IF(B1428&gt;=in_marketplace_from,d_hz_device*G1428,0)*in_device_ticket*in_device_comm*in_ins_partner_share</f>
        <v/>
      </c>
      <c r="AV1428" s="40">
        <f>AV1427*(1-IF(B1427&gt;=in_marketplace_from,d_hz_shop*G1427,0))</f>
        <v/>
      </c>
      <c r="AW1428" s="46">
        <f>AV1428*IF(B1428&gt;=in_marketplace_from,d_hz_shop*G1428,0)</f>
        <v/>
      </c>
      <c r="AX1428" s="14">
        <f>F1428*AW1428*in_shop_ticket*in_shop_comm*in_ins_partner_share+F1428*in_shop_ticket*in_shop_renew_comm*in_ins_partner_share*(in_shop_renew^1*SUMIFS(AW1426:AW1453,B1426:B1453,B1428-12)+in_shop_renew^2*SUMIFS(AW1426:AW1453,B1426:B1453,B1428-24)+in_shop_renew^3*SUMIFS(AW1426:AW1453,B1426:B1453,B1428-36)+in_shop_renew^4*SUMIFS(AW1426:AW1453,B1426:B1453,B1428-48))</f>
        <v/>
      </c>
      <c r="AY1428" s="40">
        <f>AY1427*(1-IF(B1427&gt;=in_marketplace_from,d_hz_sip*G1427,0))</f>
        <v/>
      </c>
      <c r="AZ1428" s="40">
        <f>AZ1427*d_rho_sip+AY1428*IF(B1428&gt;=in_marketplace_from,d_hz_sip*G1428,0)</f>
        <v/>
      </c>
      <c r="BA1428" s="40">
        <f>d_rho_sip*(BA1427+AZ1427)</f>
        <v/>
      </c>
      <c r="BB1428" s="14">
        <f>F1428*in_sip_ticket*(BA1428+0.5*AZ1428)*in_sip_comm/12</f>
        <v/>
      </c>
      <c r="BC1428" s="40">
        <f>BC1427*(1-IF(B1427&gt;=in_marketplace_from,d_hz_choti*G1427,0))</f>
        <v/>
      </c>
      <c r="BD1428" s="46">
        <f>BC1428*IF(B1428&gt;=in_marketplace_from,d_hz_choti*G1428,0)</f>
        <v/>
      </c>
      <c r="BE1428" s="14">
        <f>F1428*SUMIFS(BD1426:BD1453,B1426:B1453,B1428-in_choti_months)*in_choti_renew*in_choti_ticket</f>
        <v/>
      </c>
      <c r="BF1428" s="40">
        <f>BF1427*(1-IF(B1427&gt;=in_marketplace_from,d_hz_nps*G1427,0))</f>
        <v/>
      </c>
      <c r="BG1428" s="14">
        <f>F1428*BF1428*IF(B1428&gt;=in_marketplace_from,d_hz_nps*G1428,0)*in_nps_ticket*in_nps_comm</f>
        <v/>
      </c>
      <c r="BH1428" s="40">
        <f>BH1427*(1-IF(B1427&gt;=in_marketplace_from,d_hz_gold*G1427,0))</f>
        <v/>
      </c>
      <c r="BI1428" s="40">
        <f>BI1427*d_rho_gold+BH1428*IF(B1428&gt;=in_marketplace_from,d_hz_gold*G1428,0)</f>
        <v/>
      </c>
      <c r="BJ1428" s="14">
        <f>F1428*BI1428*in_gold_ticket*in_gold_comm</f>
        <v/>
      </c>
      <c r="BK1428" s="40">
        <f>BK1427*(1-IF(B1427&gt;=in_marketplace_from,d_hz_fd*G1427,0))</f>
        <v/>
      </c>
      <c r="BL1428" s="14">
        <f>F1428*BK1428*IF(B1428&gt;=in_marketplace_from,d_hz_fd*G1428,0)*in_fd_ticket*in_fd_comm</f>
        <v/>
      </c>
      <c r="BM1428" s="40">
        <f>BM1427*(1-IF(B1427&gt;=in_marketplace_from,d_hz_recharge*G1427,0))</f>
        <v/>
      </c>
      <c r="BN1428" s="40">
        <f>BN1427*d_rho_recharge+BM1428*IF(B1428&gt;=in_marketplace_from,d_hz_recharge*G1428,0)</f>
        <v/>
      </c>
      <c r="BO1428" s="14">
        <f>F1428*BN1428*in_recharge_ticket*in_recharge_comm/12</f>
        <v/>
      </c>
      <c r="BP1428" s="40">
        <f>BP1427*(1-IF(B1427&gt;=in_marketplace_from,d_hz_bills*G1427,0))</f>
        <v/>
      </c>
      <c r="BQ1428" s="40">
        <f>BQ1427*d_rho_bills+BP1428*IF(B1428&gt;=in_marketplace_from,d_hz_bills*G1428,0)</f>
        <v/>
      </c>
      <c r="BR1428" s="14">
        <f>F1428*BQ1428*in_bills_ticket*in_bills_comm/12</f>
        <v/>
      </c>
      <c r="BS1428" s="40">
        <f>BS1427*(1-IF(B1427&gt;=in_marketplace_from,d_hz_loan_gold*G1427,0))</f>
        <v/>
      </c>
      <c r="BT1428" s="14">
        <f>F1428*BS1428*IF(B1428&gt;=in_marketplace_from,d_hz_loan_gold*G1428,0)*in_loan_gold_ticket*in_loan_gold_comm</f>
        <v/>
      </c>
      <c r="BU1428" s="40">
        <f>BU1427*(1-IF(B1427&gt;=in_marketplace_from,d_hz_loan_cd*G1427,0))</f>
        <v/>
      </c>
      <c r="BV1428" s="14">
        <f>F1428*BU1428*IF(B1428&gt;=in_marketplace_from,d_hz_loan_cd*G1428,0)*in_loan_cd_ticket*in_loan_cd_comm</f>
        <v/>
      </c>
      <c r="BW1428" s="40">
        <f>BW1427*(1-IF(B1427&gt;=in_marketplace_from,d_hz_loan_vehicle*G1427,0))</f>
        <v/>
      </c>
      <c r="BX1428" s="14">
        <f>F1428*BW1428*IF(B1428&gt;=in_marketplace_from,d_hz_loan_vehicle*G1428,0)*in_loan_vehicle_ticket*in_loan_vehicle_comm</f>
        <v/>
      </c>
      <c r="BY1428" s="40">
        <f>BY1427*(1-IF(B1427&gt;=in_marketplace_from,d_hz_loan_home*G1427,0)*BZ1427)</f>
        <v/>
      </c>
      <c r="BZ1428" s="11">
        <f>MIN(in_approval_cap,in_loan_home_approval*INDEX('Age profile'!$O$2:$O$61,B1428)*(1+in_approval_growth)^(D1428-1))</f>
        <v/>
      </c>
      <c r="CA1428" s="14">
        <f>F1428*BY1428*IF(B1428&gt;=in_marketplace_from,d_hz_loan_home*G1428,0)*BZ1428*in_loan_home_ticket*in_loan_home_comm</f>
        <v/>
      </c>
      <c r="CB1428" s="40">
        <f>CB1427*(1-IF(B1427&gt;=in_marketplace_from,d_hz_loan_lap*G1427,0)*CC1427)</f>
        <v/>
      </c>
      <c r="CC1428" s="11">
        <f>MIN(in_approval_cap,in_loan_lap_approval*INDEX('Age profile'!$O$2:$O$61,B1428)*(1+in_approval_growth)^(D1428-1))</f>
        <v/>
      </c>
      <c r="CD1428" s="14">
        <f>F1428*CB1428*IF(B1428&gt;=in_marketplace_from,d_hz_loan_lap*G1428,0)*CC1428*in_loan_lap_ticket*in_loan_lap_comm</f>
        <v/>
      </c>
      <c r="CE1428" s="14">
        <f>AA1428+AB1428+AC1428+AD1428+AG1428+AJ1428+AM1428+AP1428+AS1428+AU1428+AX1428+BB1428+BE1428+BG1428+BJ1428+BL1428+BO1428+BR1428+BT1428+BV1428+BX1428+CA1428+CD1428</f>
        <v/>
      </c>
    </row>
    <row r="1429">
      <c r="A1429" s="39" t="n">
        <v>33</v>
      </c>
      <c r="B1429" s="39" t="n">
        <v>4</v>
      </c>
      <c r="C1429" s="39">
        <f>A1429+B1429-1</f>
        <v/>
      </c>
      <c r="D1429" s="39">
        <f>INT((C1429-1)/12)+1</f>
        <v/>
      </c>
      <c r="E1429" s="44">
        <f>INDEX(Monthly!$B$2:$B$61,A1429)</f>
        <v/>
      </c>
      <c r="F1429" s="44">
        <f>E1429*INDEX('Age profile'!$B$2:$B$61,B1429)</f>
        <v/>
      </c>
      <c r="G1429" s="45">
        <f>MIN(in_takeup_cap,INDEX('Age profile'!$N$2:$N$61,B1429)*(1+in_takeup_growth)^(D1429-1))</f>
        <v/>
      </c>
      <c r="H1429" s="11">
        <f>MIN(in_approval_cap,in_approved_first*INDEX('Age profile'!$O$2:$O$61,B1429)*(1+in_approval_growth)^(D1429-1))</f>
        <v/>
      </c>
      <c r="I1429" s="45">
        <f>G1429*MIN(in_takeup_cap,INDEX('Age profile'!$O$2:$O$61,B1429)*(1+in_approval_growth)^(D1429-1))</f>
        <v/>
      </c>
      <c r="J1429" s="40">
        <f>(J1428-L1428)*F1429/F1428</f>
        <v/>
      </c>
      <c r="K1429" s="40">
        <f>(K1428-M1428)*F1429/F1428+SUMIFS(O1426:O1428,B1426:B1428,B1429-1-d_T)*F1429</f>
        <v/>
      </c>
      <c r="L1429" s="40">
        <f>IF(B1429&gt;=in_marketplace_from,J1429*d_hz*G1429*in_eligible*H1429,0)</f>
        <v/>
      </c>
      <c r="M1429" s="40">
        <f>IF(B1429&gt;=in_marketplace_from,K1429*d_hz*G1429*in_eligible*in_approved_repeat,0)</f>
        <v/>
      </c>
      <c r="N1429" s="40">
        <f>L1429+M1429</f>
        <v/>
      </c>
      <c r="O1429" s="46">
        <f>N1429/F1429</f>
        <v/>
      </c>
      <c r="P1429" s="40">
        <f>F1429-J1429-K1429</f>
        <v/>
      </c>
      <c r="Q1429" s="40">
        <f>IF(B1429&gt;=in_marketplace_from,(J1429+K1429)*d_hz*G1429,0)</f>
        <v/>
      </c>
      <c r="R1429" s="40">
        <f>SUMIFS(N1426:N1453,B1426:B1453,"&gt;="&amp;(B1429-d_T),B1426:B1453,"&lt;="&amp;(B1429-1))</f>
        <v/>
      </c>
      <c r="S1429" s="46">
        <f>(1-d_u)*S1428+IF(d_T&gt;in_topup_lag,SUMIFS(O1426:O1453,B1426:B1453,B1429-in_topup_lag)-d_udrop*SUMIFS(O1426:O1453,B1426:B1453,B1429-d_T),0)</f>
        <v/>
      </c>
      <c r="T1429" s="40">
        <f>F1429*d_u*S1429</f>
        <v/>
      </c>
      <c r="U1429" s="9">
        <f>L1429*in_ticket+M1429*d_rep_ticket</f>
        <v/>
      </c>
      <c r="V1429" s="9">
        <f>U1429+T1429*d_topup_amt</f>
        <v/>
      </c>
      <c r="W1429" s="40">
        <f>N1429+T1429*d_topup_ratio</f>
        <v/>
      </c>
      <c r="X1429" s="40">
        <f>SUMIFS(W1426:W1453,B1426:B1453,B1429-in_dpd_lag)*d_cured</f>
        <v/>
      </c>
      <c r="Y1429" s="40">
        <f>SUMIFS(W1426:W1453,B1426:B1453,B1429-in_rec_lag)*d_recd</f>
        <v/>
      </c>
      <c r="Z1429" s="40">
        <f>IF(AND(B1429&gt;=in_marketplace_from,B1429&lt;in_marketplace_from+in_card_months),in_card_share/in_card_months*F1429*I1429,IF(AND(B1429&gt;=in_marketplace_from+in_card_months,B1429&lt;in_marketplace_from+2*in_card_months),in_card_share*d_card_rem/in_card_months*F1429*MIN(in_takeup_cap,(1+in_takeup_growth)^(D1429-1))*MIN(in_takeup_cap,(1+in_approval_growth)^(D1429-1)),0))</f>
        <v/>
      </c>
      <c r="AA1429" s="14">
        <f>V1429*in_fee*(1-in_taken_back)</f>
        <v/>
      </c>
      <c r="AB1429" s="14">
        <f>SUMIFS(W1426:W1453,B1426:B1453,B1429-in_dpd_lag)*d_dpd</f>
        <v/>
      </c>
      <c r="AC1429" s="14">
        <f>SUMIFS(W1426:W1453,B1426:B1453,B1429-in_rec_lag)*d_rec</f>
        <v/>
      </c>
      <c r="AD1429" s="14">
        <f>Z1429*in_card_fee</f>
        <v/>
      </c>
      <c r="AE1429" s="40">
        <f>AE1428*(1-IF(B1428&gt;=in_marketplace_from,d_hz_hlth_small*G1428,0))</f>
        <v/>
      </c>
      <c r="AF1429" s="46">
        <f>AE1429*IF(B1429&gt;=in_marketplace_from,d_hz_hlth_small*G1429,0)</f>
        <v/>
      </c>
      <c r="AG1429" s="14">
        <f>F1429*AF1429*in_hlth_small_ticket*in_hlth_small_comm*in_ins_partner_share+F1429*in_hlth_small_ticket*in_hlth_small_renew_comm*in_ins_partner_share*(in_hlth_small_renew^1*SUMIFS(AF1426:AF1453,B1426:B1453,B1429-12)+in_hlth_small_renew^2*SUMIFS(AF1426:AF1453,B1426:B1453,B1429-24)+in_hlth_small_renew^3*SUMIFS(AF1426:AF1453,B1426:B1453,B1429-36)+in_hlth_small_renew^4*SUMIFS(AF1426:AF1453,B1426:B1453,B1429-48))</f>
        <v/>
      </c>
      <c r="AH1429" s="40">
        <f>AH1428*(1-IF(B1428&gt;=in_marketplace_from,d_hz_hlth_family*G1428,0))</f>
        <v/>
      </c>
      <c r="AI1429" s="46">
        <f>AH1429*IF(B1429&gt;=in_marketplace_from,d_hz_hlth_family*G1429,0)</f>
        <v/>
      </c>
      <c r="AJ1429" s="14">
        <f>F1429*AI1429*in_hlth_family_ticket*in_hlth_family_comm*in_ins_partner_share+F1429*in_hlth_family_ticket*in_hlth_family_renew_comm*in_ins_partner_share*(in_hlth_family_renew^1*SUMIFS(AI1426:AI1453,B1426:B1453,B1429-12)+in_hlth_family_renew^2*SUMIFS(AI1426:AI1453,B1426:B1453,B1429-24)+in_hlth_family_renew^3*SUMIFS(AI1426:AI1453,B1426:B1453,B1429-36)+in_hlth_family_renew^4*SUMIFS(AI1426:AI1453,B1426:B1453,B1429-48))</f>
        <v/>
      </c>
      <c r="AK1429" s="40">
        <f>AK1428*(1-IF(B1428&gt;=in_marketplace_from,d_hz_life_term*G1428,0))</f>
        <v/>
      </c>
      <c r="AL1429" s="46">
        <f>AK1429*IF(B1429&gt;=in_marketplace_from,d_hz_life_term*G1429,0)</f>
        <v/>
      </c>
      <c r="AM1429" s="14">
        <f>F1429*AL1429*in_life_term_ticket*in_life_term_comm*in_ins_partner_share+F1429*in_life_term_ticket*in_life_term_renew_comm*in_ins_partner_share*(in_life_term_renew^1*SUMIFS(AL1426:AL1453,B1426:B1453,B1429-12)+in_life_term_renew^2*SUMIFS(AL1426:AL1453,B1426:B1453,B1429-24)+in_life_term_renew^3*SUMIFS(AL1426:AL1453,B1426:B1453,B1429-36)+in_life_term_renew^4*SUMIFS(AL1426:AL1453,B1426:B1453,B1429-48))</f>
        <v/>
      </c>
      <c r="AN1429" s="40">
        <f>AN1428*(1-IF(B1428&gt;=in_marketplace_from,d_hz_accident*G1428,0))</f>
        <v/>
      </c>
      <c r="AO1429" s="46">
        <f>AN1429*IF(B1429&gt;=in_marketplace_from,d_hz_accident*G1429,0)</f>
        <v/>
      </c>
      <c r="AP1429" s="14">
        <f>F1429*AO1429*in_accident_ticket*in_accident_comm*in_ins_partner_share+F1429*in_accident_ticket*in_accident_renew_comm*in_ins_partner_share*(in_accident_renew^1*SUMIFS(AO1426:AO1453,B1426:B1453,B1429-12)+in_accident_renew^2*SUMIFS(AO1426:AO1453,B1426:B1453,B1429-24)+in_accident_renew^3*SUMIFS(AO1426:AO1453,B1426:B1453,B1429-36)+in_accident_renew^4*SUMIFS(AO1426:AO1453,B1426:B1453,B1429-48))</f>
        <v/>
      </c>
      <c r="AQ1429" s="40">
        <f>AQ1428*(1-IF(B1428&gt;=in_marketplace_from,d_hz_two_wheeler*G1428,0))</f>
        <v/>
      </c>
      <c r="AR1429" s="46">
        <f>AQ1429*IF(B1429&gt;=in_marketplace_from,d_hz_two_wheeler*G1429,0)</f>
        <v/>
      </c>
      <c r="AS1429" s="14">
        <f>F1429*AR1429*in_two_wheeler_ticket*in_two_wheeler_comm*in_ins_partner_share+F1429*in_two_wheeler_ticket*in_two_wheeler_comm*in_ins_partner_share*(in_two_wheeler_renew^1*SUMIFS(AR1426:AR1453,B1426:B1453,B1429-12)+in_two_wheeler_renew^2*SUMIFS(AR1426:AR1453,B1426:B1453,B1429-24)+in_two_wheeler_renew^3*SUMIFS(AR1426:AR1453,B1426:B1453,B1429-36)+in_two_wheeler_renew^4*SUMIFS(AR1426:AR1453,B1426:B1453,B1429-48))</f>
        <v/>
      </c>
      <c r="AT1429" s="40">
        <f>AT1428*(1-IF(B1428&gt;=in_marketplace_from,d_hz_device*G1428,0))</f>
        <v/>
      </c>
      <c r="AU1429" s="14">
        <f>F1429*AT1429*IF(B1429&gt;=in_marketplace_from,d_hz_device*G1429,0)*in_device_ticket*in_device_comm*in_ins_partner_share</f>
        <v/>
      </c>
      <c r="AV1429" s="40">
        <f>AV1428*(1-IF(B1428&gt;=in_marketplace_from,d_hz_shop*G1428,0))</f>
        <v/>
      </c>
      <c r="AW1429" s="46">
        <f>AV1429*IF(B1429&gt;=in_marketplace_from,d_hz_shop*G1429,0)</f>
        <v/>
      </c>
      <c r="AX1429" s="14">
        <f>F1429*AW1429*in_shop_ticket*in_shop_comm*in_ins_partner_share+F1429*in_shop_ticket*in_shop_renew_comm*in_ins_partner_share*(in_shop_renew^1*SUMIFS(AW1426:AW1453,B1426:B1453,B1429-12)+in_shop_renew^2*SUMIFS(AW1426:AW1453,B1426:B1453,B1429-24)+in_shop_renew^3*SUMIFS(AW1426:AW1453,B1426:B1453,B1429-36)+in_shop_renew^4*SUMIFS(AW1426:AW1453,B1426:B1453,B1429-48))</f>
        <v/>
      </c>
      <c r="AY1429" s="40">
        <f>AY1428*(1-IF(B1428&gt;=in_marketplace_from,d_hz_sip*G1428,0))</f>
        <v/>
      </c>
      <c r="AZ1429" s="40">
        <f>AZ1428*d_rho_sip+AY1429*IF(B1429&gt;=in_marketplace_from,d_hz_sip*G1429,0)</f>
        <v/>
      </c>
      <c r="BA1429" s="40">
        <f>d_rho_sip*(BA1428+AZ1428)</f>
        <v/>
      </c>
      <c r="BB1429" s="14">
        <f>F1429*in_sip_ticket*(BA1429+0.5*AZ1429)*in_sip_comm/12</f>
        <v/>
      </c>
      <c r="BC1429" s="40">
        <f>BC1428*(1-IF(B1428&gt;=in_marketplace_from,d_hz_choti*G1428,0))</f>
        <v/>
      </c>
      <c r="BD1429" s="46">
        <f>BC1429*IF(B1429&gt;=in_marketplace_from,d_hz_choti*G1429,0)</f>
        <v/>
      </c>
      <c r="BE1429" s="14">
        <f>F1429*SUMIFS(BD1426:BD1453,B1426:B1453,B1429-in_choti_months)*in_choti_renew*in_choti_ticket</f>
        <v/>
      </c>
      <c r="BF1429" s="40">
        <f>BF1428*(1-IF(B1428&gt;=in_marketplace_from,d_hz_nps*G1428,0))</f>
        <v/>
      </c>
      <c r="BG1429" s="14">
        <f>F1429*BF1429*IF(B1429&gt;=in_marketplace_from,d_hz_nps*G1429,0)*in_nps_ticket*in_nps_comm</f>
        <v/>
      </c>
      <c r="BH1429" s="40">
        <f>BH1428*(1-IF(B1428&gt;=in_marketplace_from,d_hz_gold*G1428,0))</f>
        <v/>
      </c>
      <c r="BI1429" s="40">
        <f>BI1428*d_rho_gold+BH1429*IF(B1429&gt;=in_marketplace_from,d_hz_gold*G1429,0)</f>
        <v/>
      </c>
      <c r="BJ1429" s="14">
        <f>F1429*BI1429*in_gold_ticket*in_gold_comm</f>
        <v/>
      </c>
      <c r="BK1429" s="40">
        <f>BK1428*(1-IF(B1428&gt;=in_marketplace_from,d_hz_fd*G1428,0))</f>
        <v/>
      </c>
      <c r="BL1429" s="14">
        <f>F1429*BK1429*IF(B1429&gt;=in_marketplace_from,d_hz_fd*G1429,0)*in_fd_ticket*in_fd_comm</f>
        <v/>
      </c>
      <c r="BM1429" s="40">
        <f>BM1428*(1-IF(B1428&gt;=in_marketplace_from,d_hz_recharge*G1428,0))</f>
        <v/>
      </c>
      <c r="BN1429" s="40">
        <f>BN1428*d_rho_recharge+BM1429*IF(B1429&gt;=in_marketplace_from,d_hz_recharge*G1429,0)</f>
        <v/>
      </c>
      <c r="BO1429" s="14">
        <f>F1429*BN1429*in_recharge_ticket*in_recharge_comm/12</f>
        <v/>
      </c>
      <c r="BP1429" s="40">
        <f>BP1428*(1-IF(B1428&gt;=in_marketplace_from,d_hz_bills*G1428,0))</f>
        <v/>
      </c>
      <c r="BQ1429" s="40">
        <f>BQ1428*d_rho_bills+BP1429*IF(B1429&gt;=in_marketplace_from,d_hz_bills*G1429,0)</f>
        <v/>
      </c>
      <c r="BR1429" s="14">
        <f>F1429*BQ1429*in_bills_ticket*in_bills_comm/12</f>
        <v/>
      </c>
      <c r="BS1429" s="40">
        <f>BS1428*(1-IF(B1428&gt;=in_marketplace_from,d_hz_loan_gold*G1428,0))</f>
        <v/>
      </c>
      <c r="BT1429" s="14">
        <f>F1429*BS1429*IF(B1429&gt;=in_marketplace_from,d_hz_loan_gold*G1429,0)*in_loan_gold_ticket*in_loan_gold_comm</f>
        <v/>
      </c>
      <c r="BU1429" s="40">
        <f>BU1428*(1-IF(B1428&gt;=in_marketplace_from,d_hz_loan_cd*G1428,0))</f>
        <v/>
      </c>
      <c r="BV1429" s="14">
        <f>F1429*BU1429*IF(B1429&gt;=in_marketplace_from,d_hz_loan_cd*G1429,0)*in_loan_cd_ticket*in_loan_cd_comm</f>
        <v/>
      </c>
      <c r="BW1429" s="40">
        <f>BW1428*(1-IF(B1428&gt;=in_marketplace_from,d_hz_loan_vehicle*G1428,0))</f>
        <v/>
      </c>
      <c r="BX1429" s="14">
        <f>F1429*BW1429*IF(B1429&gt;=in_marketplace_from,d_hz_loan_vehicle*G1429,0)*in_loan_vehicle_ticket*in_loan_vehicle_comm</f>
        <v/>
      </c>
      <c r="BY1429" s="40">
        <f>BY1428*(1-IF(B1428&gt;=in_marketplace_from,d_hz_loan_home*G1428,0)*BZ1428)</f>
        <v/>
      </c>
      <c r="BZ1429" s="11">
        <f>MIN(in_approval_cap,in_loan_home_approval*INDEX('Age profile'!$O$2:$O$61,B1429)*(1+in_approval_growth)^(D1429-1))</f>
        <v/>
      </c>
      <c r="CA1429" s="14">
        <f>F1429*BY1429*IF(B1429&gt;=in_marketplace_from,d_hz_loan_home*G1429,0)*BZ1429*in_loan_home_ticket*in_loan_home_comm</f>
        <v/>
      </c>
      <c r="CB1429" s="40">
        <f>CB1428*(1-IF(B1428&gt;=in_marketplace_from,d_hz_loan_lap*G1428,0)*CC1428)</f>
        <v/>
      </c>
      <c r="CC1429" s="11">
        <f>MIN(in_approval_cap,in_loan_lap_approval*INDEX('Age profile'!$O$2:$O$61,B1429)*(1+in_approval_growth)^(D1429-1))</f>
        <v/>
      </c>
      <c r="CD1429" s="14">
        <f>F1429*CB1429*IF(B1429&gt;=in_marketplace_from,d_hz_loan_lap*G1429,0)*CC1429*in_loan_lap_ticket*in_loan_lap_comm</f>
        <v/>
      </c>
      <c r="CE1429" s="14">
        <f>AA1429+AB1429+AC1429+AD1429+AG1429+AJ1429+AM1429+AP1429+AS1429+AU1429+AX1429+BB1429+BE1429+BG1429+BJ1429+BL1429+BO1429+BR1429+BT1429+BV1429+BX1429+CA1429+CD1429</f>
        <v/>
      </c>
    </row>
    <row r="1430">
      <c r="A1430" s="39" t="n">
        <v>33</v>
      </c>
      <c r="B1430" s="39" t="n">
        <v>5</v>
      </c>
      <c r="C1430" s="39">
        <f>A1430+B1430-1</f>
        <v/>
      </c>
      <c r="D1430" s="39">
        <f>INT((C1430-1)/12)+1</f>
        <v/>
      </c>
      <c r="E1430" s="44">
        <f>INDEX(Monthly!$B$2:$B$61,A1430)</f>
        <v/>
      </c>
      <c r="F1430" s="44">
        <f>E1430*INDEX('Age profile'!$B$2:$B$61,B1430)</f>
        <v/>
      </c>
      <c r="G1430" s="45">
        <f>MIN(in_takeup_cap,INDEX('Age profile'!$N$2:$N$61,B1430)*(1+in_takeup_growth)^(D1430-1))</f>
        <v/>
      </c>
      <c r="H1430" s="11">
        <f>MIN(in_approval_cap,in_approved_first*INDEX('Age profile'!$O$2:$O$61,B1430)*(1+in_approval_growth)^(D1430-1))</f>
        <v/>
      </c>
      <c r="I1430" s="45">
        <f>G1430*MIN(in_takeup_cap,INDEX('Age profile'!$O$2:$O$61,B1430)*(1+in_approval_growth)^(D1430-1))</f>
        <v/>
      </c>
      <c r="J1430" s="40">
        <f>(J1429-L1429)*F1430/F1429</f>
        <v/>
      </c>
      <c r="K1430" s="40">
        <f>(K1429-M1429)*F1430/F1429+SUMIFS(O1426:O1429,B1426:B1429,B1430-1-d_T)*F1430</f>
        <v/>
      </c>
      <c r="L1430" s="40">
        <f>IF(B1430&gt;=in_marketplace_from,J1430*d_hz*G1430*in_eligible*H1430,0)</f>
        <v/>
      </c>
      <c r="M1430" s="40">
        <f>IF(B1430&gt;=in_marketplace_from,K1430*d_hz*G1430*in_eligible*in_approved_repeat,0)</f>
        <v/>
      </c>
      <c r="N1430" s="40">
        <f>L1430+M1430</f>
        <v/>
      </c>
      <c r="O1430" s="46">
        <f>N1430/F1430</f>
        <v/>
      </c>
      <c r="P1430" s="40">
        <f>F1430-J1430-K1430</f>
        <v/>
      </c>
      <c r="Q1430" s="40">
        <f>IF(B1430&gt;=in_marketplace_from,(J1430+K1430)*d_hz*G1430,0)</f>
        <v/>
      </c>
      <c r="R1430" s="40">
        <f>SUMIFS(N1426:N1453,B1426:B1453,"&gt;="&amp;(B1430-d_T),B1426:B1453,"&lt;="&amp;(B1430-1))</f>
        <v/>
      </c>
      <c r="S1430" s="46">
        <f>(1-d_u)*S1429+IF(d_T&gt;in_topup_lag,SUMIFS(O1426:O1453,B1426:B1453,B1430-in_topup_lag)-d_udrop*SUMIFS(O1426:O1453,B1426:B1453,B1430-d_T),0)</f>
        <v/>
      </c>
      <c r="T1430" s="40">
        <f>F1430*d_u*S1430</f>
        <v/>
      </c>
      <c r="U1430" s="9">
        <f>L1430*in_ticket+M1430*d_rep_ticket</f>
        <v/>
      </c>
      <c r="V1430" s="9">
        <f>U1430+T1430*d_topup_amt</f>
        <v/>
      </c>
      <c r="W1430" s="40">
        <f>N1430+T1430*d_topup_ratio</f>
        <v/>
      </c>
      <c r="X1430" s="40">
        <f>SUMIFS(W1426:W1453,B1426:B1453,B1430-in_dpd_lag)*d_cured</f>
        <v/>
      </c>
      <c r="Y1430" s="40">
        <f>SUMIFS(W1426:W1453,B1426:B1453,B1430-in_rec_lag)*d_recd</f>
        <v/>
      </c>
      <c r="Z1430" s="40">
        <f>IF(AND(B1430&gt;=in_marketplace_from,B1430&lt;in_marketplace_from+in_card_months),in_card_share/in_card_months*F1430*I1430,IF(AND(B1430&gt;=in_marketplace_from+in_card_months,B1430&lt;in_marketplace_from+2*in_card_months),in_card_share*d_card_rem/in_card_months*F1430*MIN(in_takeup_cap,(1+in_takeup_growth)^(D1430-1))*MIN(in_takeup_cap,(1+in_approval_growth)^(D1430-1)),0))</f>
        <v/>
      </c>
      <c r="AA1430" s="14">
        <f>V1430*in_fee*(1-in_taken_back)</f>
        <v/>
      </c>
      <c r="AB1430" s="14">
        <f>SUMIFS(W1426:W1453,B1426:B1453,B1430-in_dpd_lag)*d_dpd</f>
        <v/>
      </c>
      <c r="AC1430" s="14">
        <f>SUMIFS(W1426:W1453,B1426:B1453,B1430-in_rec_lag)*d_rec</f>
        <v/>
      </c>
      <c r="AD1430" s="14">
        <f>Z1430*in_card_fee</f>
        <v/>
      </c>
      <c r="AE1430" s="40">
        <f>AE1429*(1-IF(B1429&gt;=in_marketplace_from,d_hz_hlth_small*G1429,0))</f>
        <v/>
      </c>
      <c r="AF1430" s="46">
        <f>AE1430*IF(B1430&gt;=in_marketplace_from,d_hz_hlth_small*G1430,0)</f>
        <v/>
      </c>
      <c r="AG1430" s="14">
        <f>F1430*AF1430*in_hlth_small_ticket*in_hlth_small_comm*in_ins_partner_share+F1430*in_hlth_small_ticket*in_hlth_small_renew_comm*in_ins_partner_share*(in_hlth_small_renew^1*SUMIFS(AF1426:AF1453,B1426:B1453,B1430-12)+in_hlth_small_renew^2*SUMIFS(AF1426:AF1453,B1426:B1453,B1430-24)+in_hlth_small_renew^3*SUMIFS(AF1426:AF1453,B1426:B1453,B1430-36)+in_hlth_small_renew^4*SUMIFS(AF1426:AF1453,B1426:B1453,B1430-48))</f>
        <v/>
      </c>
      <c r="AH1430" s="40">
        <f>AH1429*(1-IF(B1429&gt;=in_marketplace_from,d_hz_hlth_family*G1429,0))</f>
        <v/>
      </c>
      <c r="AI1430" s="46">
        <f>AH1430*IF(B1430&gt;=in_marketplace_from,d_hz_hlth_family*G1430,0)</f>
        <v/>
      </c>
      <c r="AJ1430" s="14">
        <f>F1430*AI1430*in_hlth_family_ticket*in_hlth_family_comm*in_ins_partner_share+F1430*in_hlth_family_ticket*in_hlth_family_renew_comm*in_ins_partner_share*(in_hlth_family_renew^1*SUMIFS(AI1426:AI1453,B1426:B1453,B1430-12)+in_hlth_family_renew^2*SUMIFS(AI1426:AI1453,B1426:B1453,B1430-24)+in_hlth_family_renew^3*SUMIFS(AI1426:AI1453,B1426:B1453,B1430-36)+in_hlth_family_renew^4*SUMIFS(AI1426:AI1453,B1426:B1453,B1430-48))</f>
        <v/>
      </c>
      <c r="AK1430" s="40">
        <f>AK1429*(1-IF(B1429&gt;=in_marketplace_from,d_hz_life_term*G1429,0))</f>
        <v/>
      </c>
      <c r="AL1430" s="46">
        <f>AK1430*IF(B1430&gt;=in_marketplace_from,d_hz_life_term*G1430,0)</f>
        <v/>
      </c>
      <c r="AM1430" s="14">
        <f>F1430*AL1430*in_life_term_ticket*in_life_term_comm*in_ins_partner_share+F1430*in_life_term_ticket*in_life_term_renew_comm*in_ins_partner_share*(in_life_term_renew^1*SUMIFS(AL1426:AL1453,B1426:B1453,B1430-12)+in_life_term_renew^2*SUMIFS(AL1426:AL1453,B1426:B1453,B1430-24)+in_life_term_renew^3*SUMIFS(AL1426:AL1453,B1426:B1453,B1430-36)+in_life_term_renew^4*SUMIFS(AL1426:AL1453,B1426:B1453,B1430-48))</f>
        <v/>
      </c>
      <c r="AN1430" s="40">
        <f>AN1429*(1-IF(B1429&gt;=in_marketplace_from,d_hz_accident*G1429,0))</f>
        <v/>
      </c>
      <c r="AO1430" s="46">
        <f>AN1430*IF(B1430&gt;=in_marketplace_from,d_hz_accident*G1430,0)</f>
        <v/>
      </c>
      <c r="AP1430" s="14">
        <f>F1430*AO1430*in_accident_ticket*in_accident_comm*in_ins_partner_share+F1430*in_accident_ticket*in_accident_renew_comm*in_ins_partner_share*(in_accident_renew^1*SUMIFS(AO1426:AO1453,B1426:B1453,B1430-12)+in_accident_renew^2*SUMIFS(AO1426:AO1453,B1426:B1453,B1430-24)+in_accident_renew^3*SUMIFS(AO1426:AO1453,B1426:B1453,B1430-36)+in_accident_renew^4*SUMIFS(AO1426:AO1453,B1426:B1453,B1430-48))</f>
        <v/>
      </c>
      <c r="AQ1430" s="40">
        <f>AQ1429*(1-IF(B1429&gt;=in_marketplace_from,d_hz_two_wheeler*G1429,0))</f>
        <v/>
      </c>
      <c r="AR1430" s="46">
        <f>AQ1430*IF(B1430&gt;=in_marketplace_from,d_hz_two_wheeler*G1430,0)</f>
        <v/>
      </c>
      <c r="AS1430" s="14">
        <f>F1430*AR1430*in_two_wheeler_ticket*in_two_wheeler_comm*in_ins_partner_share+F1430*in_two_wheeler_ticket*in_two_wheeler_comm*in_ins_partner_share*(in_two_wheeler_renew^1*SUMIFS(AR1426:AR1453,B1426:B1453,B1430-12)+in_two_wheeler_renew^2*SUMIFS(AR1426:AR1453,B1426:B1453,B1430-24)+in_two_wheeler_renew^3*SUMIFS(AR1426:AR1453,B1426:B1453,B1430-36)+in_two_wheeler_renew^4*SUMIFS(AR1426:AR1453,B1426:B1453,B1430-48))</f>
        <v/>
      </c>
      <c r="AT1430" s="40">
        <f>AT1429*(1-IF(B1429&gt;=in_marketplace_from,d_hz_device*G1429,0))</f>
        <v/>
      </c>
      <c r="AU1430" s="14">
        <f>F1430*AT1430*IF(B1430&gt;=in_marketplace_from,d_hz_device*G1430,0)*in_device_ticket*in_device_comm*in_ins_partner_share</f>
        <v/>
      </c>
      <c r="AV1430" s="40">
        <f>AV1429*(1-IF(B1429&gt;=in_marketplace_from,d_hz_shop*G1429,0))</f>
        <v/>
      </c>
      <c r="AW1430" s="46">
        <f>AV1430*IF(B1430&gt;=in_marketplace_from,d_hz_shop*G1430,0)</f>
        <v/>
      </c>
      <c r="AX1430" s="14">
        <f>F1430*AW1430*in_shop_ticket*in_shop_comm*in_ins_partner_share+F1430*in_shop_ticket*in_shop_renew_comm*in_ins_partner_share*(in_shop_renew^1*SUMIFS(AW1426:AW1453,B1426:B1453,B1430-12)+in_shop_renew^2*SUMIFS(AW1426:AW1453,B1426:B1453,B1430-24)+in_shop_renew^3*SUMIFS(AW1426:AW1453,B1426:B1453,B1430-36)+in_shop_renew^4*SUMIFS(AW1426:AW1453,B1426:B1453,B1430-48))</f>
        <v/>
      </c>
      <c r="AY1430" s="40">
        <f>AY1429*(1-IF(B1429&gt;=in_marketplace_from,d_hz_sip*G1429,0))</f>
        <v/>
      </c>
      <c r="AZ1430" s="40">
        <f>AZ1429*d_rho_sip+AY1430*IF(B1430&gt;=in_marketplace_from,d_hz_sip*G1430,0)</f>
        <v/>
      </c>
      <c r="BA1430" s="40">
        <f>d_rho_sip*(BA1429+AZ1429)</f>
        <v/>
      </c>
      <c r="BB1430" s="14">
        <f>F1430*in_sip_ticket*(BA1430+0.5*AZ1430)*in_sip_comm/12</f>
        <v/>
      </c>
      <c r="BC1430" s="40">
        <f>BC1429*(1-IF(B1429&gt;=in_marketplace_from,d_hz_choti*G1429,0))</f>
        <v/>
      </c>
      <c r="BD1430" s="46">
        <f>BC1430*IF(B1430&gt;=in_marketplace_from,d_hz_choti*G1430,0)</f>
        <v/>
      </c>
      <c r="BE1430" s="14">
        <f>F1430*SUMIFS(BD1426:BD1453,B1426:B1453,B1430-in_choti_months)*in_choti_renew*in_choti_ticket</f>
        <v/>
      </c>
      <c r="BF1430" s="40">
        <f>BF1429*(1-IF(B1429&gt;=in_marketplace_from,d_hz_nps*G1429,0))</f>
        <v/>
      </c>
      <c r="BG1430" s="14">
        <f>F1430*BF1430*IF(B1430&gt;=in_marketplace_from,d_hz_nps*G1430,0)*in_nps_ticket*in_nps_comm</f>
        <v/>
      </c>
      <c r="BH1430" s="40">
        <f>BH1429*(1-IF(B1429&gt;=in_marketplace_from,d_hz_gold*G1429,0))</f>
        <v/>
      </c>
      <c r="BI1430" s="40">
        <f>BI1429*d_rho_gold+BH1430*IF(B1430&gt;=in_marketplace_from,d_hz_gold*G1430,0)</f>
        <v/>
      </c>
      <c r="BJ1430" s="14">
        <f>F1430*BI1430*in_gold_ticket*in_gold_comm</f>
        <v/>
      </c>
      <c r="BK1430" s="40">
        <f>BK1429*(1-IF(B1429&gt;=in_marketplace_from,d_hz_fd*G1429,0))</f>
        <v/>
      </c>
      <c r="BL1430" s="14">
        <f>F1430*BK1430*IF(B1430&gt;=in_marketplace_from,d_hz_fd*G1430,0)*in_fd_ticket*in_fd_comm</f>
        <v/>
      </c>
      <c r="BM1430" s="40">
        <f>BM1429*(1-IF(B1429&gt;=in_marketplace_from,d_hz_recharge*G1429,0))</f>
        <v/>
      </c>
      <c r="BN1430" s="40">
        <f>BN1429*d_rho_recharge+BM1430*IF(B1430&gt;=in_marketplace_from,d_hz_recharge*G1430,0)</f>
        <v/>
      </c>
      <c r="BO1430" s="14">
        <f>F1430*BN1430*in_recharge_ticket*in_recharge_comm/12</f>
        <v/>
      </c>
      <c r="BP1430" s="40">
        <f>BP1429*(1-IF(B1429&gt;=in_marketplace_from,d_hz_bills*G1429,0))</f>
        <v/>
      </c>
      <c r="BQ1430" s="40">
        <f>BQ1429*d_rho_bills+BP1430*IF(B1430&gt;=in_marketplace_from,d_hz_bills*G1430,0)</f>
        <v/>
      </c>
      <c r="BR1430" s="14">
        <f>F1430*BQ1430*in_bills_ticket*in_bills_comm/12</f>
        <v/>
      </c>
      <c r="BS1430" s="40">
        <f>BS1429*(1-IF(B1429&gt;=in_marketplace_from,d_hz_loan_gold*G1429,0))</f>
        <v/>
      </c>
      <c r="BT1430" s="14">
        <f>F1430*BS1430*IF(B1430&gt;=in_marketplace_from,d_hz_loan_gold*G1430,0)*in_loan_gold_ticket*in_loan_gold_comm</f>
        <v/>
      </c>
      <c r="BU1430" s="40">
        <f>BU1429*(1-IF(B1429&gt;=in_marketplace_from,d_hz_loan_cd*G1429,0))</f>
        <v/>
      </c>
      <c r="BV1430" s="14">
        <f>F1430*BU1430*IF(B1430&gt;=in_marketplace_from,d_hz_loan_cd*G1430,0)*in_loan_cd_ticket*in_loan_cd_comm</f>
        <v/>
      </c>
      <c r="BW1430" s="40">
        <f>BW1429*(1-IF(B1429&gt;=in_marketplace_from,d_hz_loan_vehicle*G1429,0))</f>
        <v/>
      </c>
      <c r="BX1430" s="14">
        <f>F1430*BW1430*IF(B1430&gt;=in_marketplace_from,d_hz_loan_vehicle*G1430,0)*in_loan_vehicle_ticket*in_loan_vehicle_comm</f>
        <v/>
      </c>
      <c r="BY1430" s="40">
        <f>BY1429*(1-IF(B1429&gt;=in_marketplace_from,d_hz_loan_home*G1429,0)*BZ1429)</f>
        <v/>
      </c>
      <c r="BZ1430" s="11">
        <f>MIN(in_approval_cap,in_loan_home_approval*INDEX('Age profile'!$O$2:$O$61,B1430)*(1+in_approval_growth)^(D1430-1))</f>
        <v/>
      </c>
      <c r="CA1430" s="14">
        <f>F1430*BY1430*IF(B1430&gt;=in_marketplace_from,d_hz_loan_home*G1430,0)*BZ1430*in_loan_home_ticket*in_loan_home_comm</f>
        <v/>
      </c>
      <c r="CB1430" s="40">
        <f>CB1429*(1-IF(B1429&gt;=in_marketplace_from,d_hz_loan_lap*G1429,0)*CC1429)</f>
        <v/>
      </c>
      <c r="CC1430" s="11">
        <f>MIN(in_approval_cap,in_loan_lap_approval*INDEX('Age profile'!$O$2:$O$61,B1430)*(1+in_approval_growth)^(D1430-1))</f>
        <v/>
      </c>
      <c r="CD1430" s="14">
        <f>F1430*CB1430*IF(B1430&gt;=in_marketplace_from,d_hz_loan_lap*G1430,0)*CC1430*in_loan_lap_ticket*in_loan_lap_comm</f>
        <v/>
      </c>
      <c r="CE1430" s="14">
        <f>AA1430+AB1430+AC1430+AD1430+AG1430+AJ1430+AM1430+AP1430+AS1430+AU1430+AX1430+BB1430+BE1430+BG1430+BJ1430+BL1430+BO1430+BR1430+BT1430+BV1430+BX1430+CA1430+CD1430</f>
        <v/>
      </c>
    </row>
    <row r="1431">
      <c r="A1431" s="39" t="n">
        <v>33</v>
      </c>
      <c r="B1431" s="39" t="n">
        <v>6</v>
      </c>
      <c r="C1431" s="39">
        <f>A1431+B1431-1</f>
        <v/>
      </c>
      <c r="D1431" s="39">
        <f>INT((C1431-1)/12)+1</f>
        <v/>
      </c>
      <c r="E1431" s="44">
        <f>INDEX(Monthly!$B$2:$B$61,A1431)</f>
        <v/>
      </c>
      <c r="F1431" s="44">
        <f>E1431*INDEX('Age profile'!$B$2:$B$61,B1431)</f>
        <v/>
      </c>
      <c r="G1431" s="45">
        <f>MIN(in_takeup_cap,INDEX('Age profile'!$N$2:$N$61,B1431)*(1+in_takeup_growth)^(D1431-1))</f>
        <v/>
      </c>
      <c r="H1431" s="11">
        <f>MIN(in_approval_cap,in_approved_first*INDEX('Age profile'!$O$2:$O$61,B1431)*(1+in_approval_growth)^(D1431-1))</f>
        <v/>
      </c>
      <c r="I1431" s="45">
        <f>G1431*MIN(in_takeup_cap,INDEX('Age profile'!$O$2:$O$61,B1431)*(1+in_approval_growth)^(D1431-1))</f>
        <v/>
      </c>
      <c r="J1431" s="40">
        <f>(J1430-L1430)*F1431/F1430</f>
        <v/>
      </c>
      <c r="K1431" s="40">
        <f>(K1430-M1430)*F1431/F1430+SUMIFS(O1426:O1430,B1426:B1430,B1431-1-d_T)*F1431</f>
        <v/>
      </c>
      <c r="L1431" s="40">
        <f>IF(B1431&gt;=in_marketplace_from,J1431*d_hz*G1431*in_eligible*H1431,0)</f>
        <v/>
      </c>
      <c r="M1431" s="40">
        <f>IF(B1431&gt;=in_marketplace_from,K1431*d_hz*G1431*in_eligible*in_approved_repeat,0)</f>
        <v/>
      </c>
      <c r="N1431" s="40">
        <f>L1431+M1431</f>
        <v/>
      </c>
      <c r="O1431" s="46">
        <f>N1431/F1431</f>
        <v/>
      </c>
      <c r="P1431" s="40">
        <f>F1431-J1431-K1431</f>
        <v/>
      </c>
      <c r="Q1431" s="40">
        <f>IF(B1431&gt;=in_marketplace_from,(J1431+K1431)*d_hz*G1431,0)</f>
        <v/>
      </c>
      <c r="R1431" s="40">
        <f>SUMIFS(N1426:N1453,B1426:B1453,"&gt;="&amp;(B1431-d_T),B1426:B1453,"&lt;="&amp;(B1431-1))</f>
        <v/>
      </c>
      <c r="S1431" s="46">
        <f>(1-d_u)*S1430+IF(d_T&gt;in_topup_lag,SUMIFS(O1426:O1453,B1426:B1453,B1431-in_topup_lag)-d_udrop*SUMIFS(O1426:O1453,B1426:B1453,B1431-d_T),0)</f>
        <v/>
      </c>
      <c r="T1431" s="40">
        <f>F1431*d_u*S1431</f>
        <v/>
      </c>
      <c r="U1431" s="9">
        <f>L1431*in_ticket+M1431*d_rep_ticket</f>
        <v/>
      </c>
      <c r="V1431" s="9">
        <f>U1431+T1431*d_topup_amt</f>
        <v/>
      </c>
      <c r="W1431" s="40">
        <f>N1431+T1431*d_topup_ratio</f>
        <v/>
      </c>
      <c r="X1431" s="40">
        <f>SUMIFS(W1426:W1453,B1426:B1453,B1431-in_dpd_lag)*d_cured</f>
        <v/>
      </c>
      <c r="Y1431" s="40">
        <f>SUMIFS(W1426:W1453,B1426:B1453,B1431-in_rec_lag)*d_recd</f>
        <v/>
      </c>
      <c r="Z1431" s="40">
        <f>IF(AND(B1431&gt;=in_marketplace_from,B1431&lt;in_marketplace_from+in_card_months),in_card_share/in_card_months*F1431*I1431,IF(AND(B1431&gt;=in_marketplace_from+in_card_months,B1431&lt;in_marketplace_from+2*in_card_months),in_card_share*d_card_rem/in_card_months*F1431*MIN(in_takeup_cap,(1+in_takeup_growth)^(D1431-1))*MIN(in_takeup_cap,(1+in_approval_growth)^(D1431-1)),0))</f>
        <v/>
      </c>
      <c r="AA1431" s="14">
        <f>V1431*in_fee*(1-in_taken_back)</f>
        <v/>
      </c>
      <c r="AB1431" s="14">
        <f>SUMIFS(W1426:W1453,B1426:B1453,B1431-in_dpd_lag)*d_dpd</f>
        <v/>
      </c>
      <c r="AC1431" s="14">
        <f>SUMIFS(W1426:W1453,B1426:B1453,B1431-in_rec_lag)*d_rec</f>
        <v/>
      </c>
      <c r="AD1431" s="14">
        <f>Z1431*in_card_fee</f>
        <v/>
      </c>
      <c r="AE1431" s="40">
        <f>AE1430*(1-IF(B1430&gt;=in_marketplace_from,d_hz_hlth_small*G1430,0))</f>
        <v/>
      </c>
      <c r="AF1431" s="46">
        <f>AE1431*IF(B1431&gt;=in_marketplace_from,d_hz_hlth_small*G1431,0)</f>
        <v/>
      </c>
      <c r="AG1431" s="14">
        <f>F1431*AF1431*in_hlth_small_ticket*in_hlth_small_comm*in_ins_partner_share+F1431*in_hlth_small_ticket*in_hlth_small_renew_comm*in_ins_partner_share*(in_hlth_small_renew^1*SUMIFS(AF1426:AF1453,B1426:B1453,B1431-12)+in_hlth_small_renew^2*SUMIFS(AF1426:AF1453,B1426:B1453,B1431-24)+in_hlth_small_renew^3*SUMIFS(AF1426:AF1453,B1426:B1453,B1431-36)+in_hlth_small_renew^4*SUMIFS(AF1426:AF1453,B1426:B1453,B1431-48))</f>
        <v/>
      </c>
      <c r="AH1431" s="40">
        <f>AH1430*(1-IF(B1430&gt;=in_marketplace_from,d_hz_hlth_family*G1430,0))</f>
        <v/>
      </c>
      <c r="AI1431" s="46">
        <f>AH1431*IF(B1431&gt;=in_marketplace_from,d_hz_hlth_family*G1431,0)</f>
        <v/>
      </c>
      <c r="AJ1431" s="14">
        <f>F1431*AI1431*in_hlth_family_ticket*in_hlth_family_comm*in_ins_partner_share+F1431*in_hlth_family_ticket*in_hlth_family_renew_comm*in_ins_partner_share*(in_hlth_family_renew^1*SUMIFS(AI1426:AI1453,B1426:B1453,B1431-12)+in_hlth_family_renew^2*SUMIFS(AI1426:AI1453,B1426:B1453,B1431-24)+in_hlth_family_renew^3*SUMIFS(AI1426:AI1453,B1426:B1453,B1431-36)+in_hlth_family_renew^4*SUMIFS(AI1426:AI1453,B1426:B1453,B1431-48))</f>
        <v/>
      </c>
      <c r="AK1431" s="40">
        <f>AK1430*(1-IF(B1430&gt;=in_marketplace_from,d_hz_life_term*G1430,0))</f>
        <v/>
      </c>
      <c r="AL1431" s="46">
        <f>AK1431*IF(B1431&gt;=in_marketplace_from,d_hz_life_term*G1431,0)</f>
        <v/>
      </c>
      <c r="AM1431" s="14">
        <f>F1431*AL1431*in_life_term_ticket*in_life_term_comm*in_ins_partner_share+F1431*in_life_term_ticket*in_life_term_renew_comm*in_ins_partner_share*(in_life_term_renew^1*SUMIFS(AL1426:AL1453,B1426:B1453,B1431-12)+in_life_term_renew^2*SUMIFS(AL1426:AL1453,B1426:B1453,B1431-24)+in_life_term_renew^3*SUMIFS(AL1426:AL1453,B1426:B1453,B1431-36)+in_life_term_renew^4*SUMIFS(AL1426:AL1453,B1426:B1453,B1431-48))</f>
        <v/>
      </c>
      <c r="AN1431" s="40">
        <f>AN1430*(1-IF(B1430&gt;=in_marketplace_from,d_hz_accident*G1430,0))</f>
        <v/>
      </c>
      <c r="AO1431" s="46">
        <f>AN1431*IF(B1431&gt;=in_marketplace_from,d_hz_accident*G1431,0)</f>
        <v/>
      </c>
      <c r="AP1431" s="14">
        <f>F1431*AO1431*in_accident_ticket*in_accident_comm*in_ins_partner_share+F1431*in_accident_ticket*in_accident_renew_comm*in_ins_partner_share*(in_accident_renew^1*SUMIFS(AO1426:AO1453,B1426:B1453,B1431-12)+in_accident_renew^2*SUMIFS(AO1426:AO1453,B1426:B1453,B1431-24)+in_accident_renew^3*SUMIFS(AO1426:AO1453,B1426:B1453,B1431-36)+in_accident_renew^4*SUMIFS(AO1426:AO1453,B1426:B1453,B1431-48))</f>
        <v/>
      </c>
      <c r="AQ1431" s="40">
        <f>AQ1430*(1-IF(B1430&gt;=in_marketplace_from,d_hz_two_wheeler*G1430,0))</f>
        <v/>
      </c>
      <c r="AR1431" s="46">
        <f>AQ1431*IF(B1431&gt;=in_marketplace_from,d_hz_two_wheeler*G1431,0)</f>
        <v/>
      </c>
      <c r="AS1431" s="14">
        <f>F1431*AR1431*in_two_wheeler_ticket*in_two_wheeler_comm*in_ins_partner_share+F1431*in_two_wheeler_ticket*in_two_wheeler_comm*in_ins_partner_share*(in_two_wheeler_renew^1*SUMIFS(AR1426:AR1453,B1426:B1453,B1431-12)+in_two_wheeler_renew^2*SUMIFS(AR1426:AR1453,B1426:B1453,B1431-24)+in_two_wheeler_renew^3*SUMIFS(AR1426:AR1453,B1426:B1453,B1431-36)+in_two_wheeler_renew^4*SUMIFS(AR1426:AR1453,B1426:B1453,B1431-48))</f>
        <v/>
      </c>
      <c r="AT1431" s="40">
        <f>AT1430*(1-IF(B1430&gt;=in_marketplace_from,d_hz_device*G1430,0))</f>
        <v/>
      </c>
      <c r="AU1431" s="14">
        <f>F1431*AT1431*IF(B1431&gt;=in_marketplace_from,d_hz_device*G1431,0)*in_device_ticket*in_device_comm*in_ins_partner_share</f>
        <v/>
      </c>
      <c r="AV1431" s="40">
        <f>AV1430*(1-IF(B1430&gt;=in_marketplace_from,d_hz_shop*G1430,0))</f>
        <v/>
      </c>
      <c r="AW1431" s="46">
        <f>AV1431*IF(B1431&gt;=in_marketplace_from,d_hz_shop*G1431,0)</f>
        <v/>
      </c>
      <c r="AX1431" s="14">
        <f>F1431*AW1431*in_shop_ticket*in_shop_comm*in_ins_partner_share+F1431*in_shop_ticket*in_shop_renew_comm*in_ins_partner_share*(in_shop_renew^1*SUMIFS(AW1426:AW1453,B1426:B1453,B1431-12)+in_shop_renew^2*SUMIFS(AW1426:AW1453,B1426:B1453,B1431-24)+in_shop_renew^3*SUMIFS(AW1426:AW1453,B1426:B1453,B1431-36)+in_shop_renew^4*SUMIFS(AW1426:AW1453,B1426:B1453,B1431-48))</f>
        <v/>
      </c>
      <c r="AY1431" s="40">
        <f>AY1430*(1-IF(B1430&gt;=in_marketplace_from,d_hz_sip*G1430,0))</f>
        <v/>
      </c>
      <c r="AZ1431" s="40">
        <f>AZ1430*d_rho_sip+AY1431*IF(B1431&gt;=in_marketplace_from,d_hz_sip*G1431,0)</f>
        <v/>
      </c>
      <c r="BA1431" s="40">
        <f>d_rho_sip*(BA1430+AZ1430)</f>
        <v/>
      </c>
      <c r="BB1431" s="14">
        <f>F1431*in_sip_ticket*(BA1431+0.5*AZ1431)*in_sip_comm/12</f>
        <v/>
      </c>
      <c r="BC1431" s="40">
        <f>BC1430*(1-IF(B1430&gt;=in_marketplace_from,d_hz_choti*G1430,0))</f>
        <v/>
      </c>
      <c r="BD1431" s="46">
        <f>BC1431*IF(B1431&gt;=in_marketplace_from,d_hz_choti*G1431,0)</f>
        <v/>
      </c>
      <c r="BE1431" s="14">
        <f>F1431*SUMIFS(BD1426:BD1453,B1426:B1453,B1431-in_choti_months)*in_choti_renew*in_choti_ticket</f>
        <v/>
      </c>
      <c r="BF1431" s="40">
        <f>BF1430*(1-IF(B1430&gt;=in_marketplace_from,d_hz_nps*G1430,0))</f>
        <v/>
      </c>
      <c r="BG1431" s="14">
        <f>F1431*BF1431*IF(B1431&gt;=in_marketplace_from,d_hz_nps*G1431,0)*in_nps_ticket*in_nps_comm</f>
        <v/>
      </c>
      <c r="BH1431" s="40">
        <f>BH1430*(1-IF(B1430&gt;=in_marketplace_from,d_hz_gold*G1430,0))</f>
        <v/>
      </c>
      <c r="BI1431" s="40">
        <f>BI1430*d_rho_gold+BH1431*IF(B1431&gt;=in_marketplace_from,d_hz_gold*G1431,0)</f>
        <v/>
      </c>
      <c r="BJ1431" s="14">
        <f>F1431*BI1431*in_gold_ticket*in_gold_comm</f>
        <v/>
      </c>
      <c r="BK1431" s="40">
        <f>BK1430*(1-IF(B1430&gt;=in_marketplace_from,d_hz_fd*G1430,0))</f>
        <v/>
      </c>
      <c r="BL1431" s="14">
        <f>F1431*BK1431*IF(B1431&gt;=in_marketplace_from,d_hz_fd*G1431,0)*in_fd_ticket*in_fd_comm</f>
        <v/>
      </c>
      <c r="BM1431" s="40">
        <f>BM1430*(1-IF(B1430&gt;=in_marketplace_from,d_hz_recharge*G1430,0))</f>
        <v/>
      </c>
      <c r="BN1431" s="40">
        <f>BN1430*d_rho_recharge+BM1431*IF(B1431&gt;=in_marketplace_from,d_hz_recharge*G1431,0)</f>
        <v/>
      </c>
      <c r="BO1431" s="14">
        <f>F1431*BN1431*in_recharge_ticket*in_recharge_comm/12</f>
        <v/>
      </c>
      <c r="BP1431" s="40">
        <f>BP1430*(1-IF(B1430&gt;=in_marketplace_from,d_hz_bills*G1430,0))</f>
        <v/>
      </c>
      <c r="BQ1431" s="40">
        <f>BQ1430*d_rho_bills+BP1431*IF(B1431&gt;=in_marketplace_from,d_hz_bills*G1431,0)</f>
        <v/>
      </c>
      <c r="BR1431" s="14">
        <f>F1431*BQ1431*in_bills_ticket*in_bills_comm/12</f>
        <v/>
      </c>
      <c r="BS1431" s="40">
        <f>BS1430*(1-IF(B1430&gt;=in_marketplace_from,d_hz_loan_gold*G1430,0))</f>
        <v/>
      </c>
      <c r="BT1431" s="14">
        <f>F1431*BS1431*IF(B1431&gt;=in_marketplace_from,d_hz_loan_gold*G1431,0)*in_loan_gold_ticket*in_loan_gold_comm</f>
        <v/>
      </c>
      <c r="BU1431" s="40">
        <f>BU1430*(1-IF(B1430&gt;=in_marketplace_from,d_hz_loan_cd*G1430,0))</f>
        <v/>
      </c>
      <c r="BV1431" s="14">
        <f>F1431*BU1431*IF(B1431&gt;=in_marketplace_from,d_hz_loan_cd*G1431,0)*in_loan_cd_ticket*in_loan_cd_comm</f>
        <v/>
      </c>
      <c r="BW1431" s="40">
        <f>BW1430*(1-IF(B1430&gt;=in_marketplace_from,d_hz_loan_vehicle*G1430,0))</f>
        <v/>
      </c>
      <c r="BX1431" s="14">
        <f>F1431*BW1431*IF(B1431&gt;=in_marketplace_from,d_hz_loan_vehicle*G1431,0)*in_loan_vehicle_ticket*in_loan_vehicle_comm</f>
        <v/>
      </c>
      <c r="BY1431" s="40">
        <f>BY1430*(1-IF(B1430&gt;=in_marketplace_from,d_hz_loan_home*G1430,0)*BZ1430)</f>
        <v/>
      </c>
      <c r="BZ1431" s="11">
        <f>MIN(in_approval_cap,in_loan_home_approval*INDEX('Age profile'!$O$2:$O$61,B1431)*(1+in_approval_growth)^(D1431-1))</f>
        <v/>
      </c>
      <c r="CA1431" s="14">
        <f>F1431*BY1431*IF(B1431&gt;=in_marketplace_from,d_hz_loan_home*G1431,0)*BZ1431*in_loan_home_ticket*in_loan_home_comm</f>
        <v/>
      </c>
      <c r="CB1431" s="40">
        <f>CB1430*(1-IF(B1430&gt;=in_marketplace_from,d_hz_loan_lap*G1430,0)*CC1430)</f>
        <v/>
      </c>
      <c r="CC1431" s="11">
        <f>MIN(in_approval_cap,in_loan_lap_approval*INDEX('Age profile'!$O$2:$O$61,B1431)*(1+in_approval_growth)^(D1431-1))</f>
        <v/>
      </c>
      <c r="CD1431" s="14">
        <f>F1431*CB1431*IF(B1431&gt;=in_marketplace_from,d_hz_loan_lap*G1431,0)*CC1431*in_loan_lap_ticket*in_loan_lap_comm</f>
        <v/>
      </c>
      <c r="CE1431" s="14">
        <f>AA1431+AB1431+AC1431+AD1431+AG1431+AJ1431+AM1431+AP1431+AS1431+AU1431+AX1431+BB1431+BE1431+BG1431+BJ1431+BL1431+BO1431+BR1431+BT1431+BV1431+BX1431+CA1431+CD1431</f>
        <v/>
      </c>
    </row>
    <row r="1432">
      <c r="A1432" s="39" t="n">
        <v>33</v>
      </c>
      <c r="B1432" s="39" t="n">
        <v>7</v>
      </c>
      <c r="C1432" s="39">
        <f>A1432+B1432-1</f>
        <v/>
      </c>
      <c r="D1432" s="39">
        <f>INT((C1432-1)/12)+1</f>
        <v/>
      </c>
      <c r="E1432" s="44">
        <f>INDEX(Monthly!$B$2:$B$61,A1432)</f>
        <v/>
      </c>
      <c r="F1432" s="44">
        <f>E1432*INDEX('Age profile'!$B$2:$B$61,B1432)</f>
        <v/>
      </c>
      <c r="G1432" s="45">
        <f>MIN(in_takeup_cap,INDEX('Age profile'!$N$2:$N$61,B1432)*(1+in_takeup_growth)^(D1432-1))</f>
        <v/>
      </c>
      <c r="H1432" s="11">
        <f>MIN(in_approval_cap,in_approved_first*INDEX('Age profile'!$O$2:$O$61,B1432)*(1+in_approval_growth)^(D1432-1))</f>
        <v/>
      </c>
      <c r="I1432" s="45">
        <f>G1432*MIN(in_takeup_cap,INDEX('Age profile'!$O$2:$O$61,B1432)*(1+in_approval_growth)^(D1432-1))</f>
        <v/>
      </c>
      <c r="J1432" s="40">
        <f>(J1431-L1431)*F1432/F1431</f>
        <v/>
      </c>
      <c r="K1432" s="40">
        <f>(K1431-M1431)*F1432/F1431+SUMIFS(O1426:O1431,B1426:B1431,B1432-1-d_T)*F1432</f>
        <v/>
      </c>
      <c r="L1432" s="40">
        <f>IF(B1432&gt;=in_marketplace_from,J1432*d_hz*G1432*in_eligible*H1432,0)</f>
        <v/>
      </c>
      <c r="M1432" s="40">
        <f>IF(B1432&gt;=in_marketplace_from,K1432*d_hz*G1432*in_eligible*in_approved_repeat,0)</f>
        <v/>
      </c>
      <c r="N1432" s="40">
        <f>L1432+M1432</f>
        <v/>
      </c>
      <c r="O1432" s="46">
        <f>N1432/F1432</f>
        <v/>
      </c>
      <c r="P1432" s="40">
        <f>F1432-J1432-K1432</f>
        <v/>
      </c>
      <c r="Q1432" s="40">
        <f>IF(B1432&gt;=in_marketplace_from,(J1432+K1432)*d_hz*G1432,0)</f>
        <v/>
      </c>
      <c r="R1432" s="40">
        <f>SUMIFS(N1426:N1453,B1426:B1453,"&gt;="&amp;(B1432-d_T),B1426:B1453,"&lt;="&amp;(B1432-1))</f>
        <v/>
      </c>
      <c r="S1432" s="46">
        <f>(1-d_u)*S1431+IF(d_T&gt;in_topup_lag,SUMIFS(O1426:O1453,B1426:B1453,B1432-in_topup_lag)-d_udrop*SUMIFS(O1426:O1453,B1426:B1453,B1432-d_T),0)</f>
        <v/>
      </c>
      <c r="T1432" s="40">
        <f>F1432*d_u*S1432</f>
        <v/>
      </c>
      <c r="U1432" s="9">
        <f>L1432*in_ticket+M1432*d_rep_ticket</f>
        <v/>
      </c>
      <c r="V1432" s="9">
        <f>U1432+T1432*d_topup_amt</f>
        <v/>
      </c>
      <c r="W1432" s="40">
        <f>N1432+T1432*d_topup_ratio</f>
        <v/>
      </c>
      <c r="X1432" s="40">
        <f>SUMIFS(W1426:W1453,B1426:B1453,B1432-in_dpd_lag)*d_cured</f>
        <v/>
      </c>
      <c r="Y1432" s="40">
        <f>SUMIFS(W1426:W1453,B1426:B1453,B1432-in_rec_lag)*d_recd</f>
        <v/>
      </c>
      <c r="Z1432" s="40">
        <f>IF(AND(B1432&gt;=in_marketplace_from,B1432&lt;in_marketplace_from+in_card_months),in_card_share/in_card_months*F1432*I1432,IF(AND(B1432&gt;=in_marketplace_from+in_card_months,B1432&lt;in_marketplace_from+2*in_card_months),in_card_share*d_card_rem/in_card_months*F1432*MIN(in_takeup_cap,(1+in_takeup_growth)^(D1432-1))*MIN(in_takeup_cap,(1+in_approval_growth)^(D1432-1)),0))</f>
        <v/>
      </c>
      <c r="AA1432" s="14">
        <f>V1432*in_fee*(1-in_taken_back)</f>
        <v/>
      </c>
      <c r="AB1432" s="14">
        <f>SUMIFS(W1426:W1453,B1426:B1453,B1432-in_dpd_lag)*d_dpd</f>
        <v/>
      </c>
      <c r="AC1432" s="14">
        <f>SUMIFS(W1426:W1453,B1426:B1453,B1432-in_rec_lag)*d_rec</f>
        <v/>
      </c>
      <c r="AD1432" s="14">
        <f>Z1432*in_card_fee</f>
        <v/>
      </c>
      <c r="AE1432" s="40">
        <f>AE1431*(1-IF(B1431&gt;=in_marketplace_from,d_hz_hlth_small*G1431,0))</f>
        <v/>
      </c>
      <c r="AF1432" s="46">
        <f>AE1432*IF(B1432&gt;=in_marketplace_from,d_hz_hlth_small*G1432,0)</f>
        <v/>
      </c>
      <c r="AG1432" s="14">
        <f>F1432*AF1432*in_hlth_small_ticket*in_hlth_small_comm*in_ins_partner_share+F1432*in_hlth_small_ticket*in_hlth_small_renew_comm*in_ins_partner_share*(in_hlth_small_renew^1*SUMIFS(AF1426:AF1453,B1426:B1453,B1432-12)+in_hlth_small_renew^2*SUMIFS(AF1426:AF1453,B1426:B1453,B1432-24)+in_hlth_small_renew^3*SUMIFS(AF1426:AF1453,B1426:B1453,B1432-36)+in_hlth_small_renew^4*SUMIFS(AF1426:AF1453,B1426:B1453,B1432-48))</f>
        <v/>
      </c>
      <c r="AH1432" s="40">
        <f>AH1431*(1-IF(B1431&gt;=in_marketplace_from,d_hz_hlth_family*G1431,0))</f>
        <v/>
      </c>
      <c r="AI1432" s="46">
        <f>AH1432*IF(B1432&gt;=in_marketplace_from,d_hz_hlth_family*G1432,0)</f>
        <v/>
      </c>
      <c r="AJ1432" s="14">
        <f>F1432*AI1432*in_hlth_family_ticket*in_hlth_family_comm*in_ins_partner_share+F1432*in_hlth_family_ticket*in_hlth_family_renew_comm*in_ins_partner_share*(in_hlth_family_renew^1*SUMIFS(AI1426:AI1453,B1426:B1453,B1432-12)+in_hlth_family_renew^2*SUMIFS(AI1426:AI1453,B1426:B1453,B1432-24)+in_hlth_family_renew^3*SUMIFS(AI1426:AI1453,B1426:B1453,B1432-36)+in_hlth_family_renew^4*SUMIFS(AI1426:AI1453,B1426:B1453,B1432-48))</f>
        <v/>
      </c>
      <c r="AK1432" s="40">
        <f>AK1431*(1-IF(B1431&gt;=in_marketplace_from,d_hz_life_term*G1431,0))</f>
        <v/>
      </c>
      <c r="AL1432" s="46">
        <f>AK1432*IF(B1432&gt;=in_marketplace_from,d_hz_life_term*G1432,0)</f>
        <v/>
      </c>
      <c r="AM1432" s="14">
        <f>F1432*AL1432*in_life_term_ticket*in_life_term_comm*in_ins_partner_share+F1432*in_life_term_ticket*in_life_term_renew_comm*in_ins_partner_share*(in_life_term_renew^1*SUMIFS(AL1426:AL1453,B1426:B1453,B1432-12)+in_life_term_renew^2*SUMIFS(AL1426:AL1453,B1426:B1453,B1432-24)+in_life_term_renew^3*SUMIFS(AL1426:AL1453,B1426:B1453,B1432-36)+in_life_term_renew^4*SUMIFS(AL1426:AL1453,B1426:B1453,B1432-48))</f>
        <v/>
      </c>
      <c r="AN1432" s="40">
        <f>AN1431*(1-IF(B1431&gt;=in_marketplace_from,d_hz_accident*G1431,0))</f>
        <v/>
      </c>
      <c r="AO1432" s="46">
        <f>AN1432*IF(B1432&gt;=in_marketplace_from,d_hz_accident*G1432,0)</f>
        <v/>
      </c>
      <c r="AP1432" s="14">
        <f>F1432*AO1432*in_accident_ticket*in_accident_comm*in_ins_partner_share+F1432*in_accident_ticket*in_accident_renew_comm*in_ins_partner_share*(in_accident_renew^1*SUMIFS(AO1426:AO1453,B1426:B1453,B1432-12)+in_accident_renew^2*SUMIFS(AO1426:AO1453,B1426:B1453,B1432-24)+in_accident_renew^3*SUMIFS(AO1426:AO1453,B1426:B1453,B1432-36)+in_accident_renew^4*SUMIFS(AO1426:AO1453,B1426:B1453,B1432-48))</f>
        <v/>
      </c>
      <c r="AQ1432" s="40">
        <f>AQ1431*(1-IF(B1431&gt;=in_marketplace_from,d_hz_two_wheeler*G1431,0))</f>
        <v/>
      </c>
      <c r="AR1432" s="46">
        <f>AQ1432*IF(B1432&gt;=in_marketplace_from,d_hz_two_wheeler*G1432,0)</f>
        <v/>
      </c>
      <c r="AS1432" s="14">
        <f>F1432*AR1432*in_two_wheeler_ticket*in_two_wheeler_comm*in_ins_partner_share+F1432*in_two_wheeler_ticket*in_two_wheeler_comm*in_ins_partner_share*(in_two_wheeler_renew^1*SUMIFS(AR1426:AR1453,B1426:B1453,B1432-12)+in_two_wheeler_renew^2*SUMIFS(AR1426:AR1453,B1426:B1453,B1432-24)+in_two_wheeler_renew^3*SUMIFS(AR1426:AR1453,B1426:B1453,B1432-36)+in_two_wheeler_renew^4*SUMIFS(AR1426:AR1453,B1426:B1453,B1432-48))</f>
        <v/>
      </c>
      <c r="AT1432" s="40">
        <f>AT1431*(1-IF(B1431&gt;=in_marketplace_from,d_hz_device*G1431,0))</f>
        <v/>
      </c>
      <c r="AU1432" s="14">
        <f>F1432*AT1432*IF(B1432&gt;=in_marketplace_from,d_hz_device*G1432,0)*in_device_ticket*in_device_comm*in_ins_partner_share</f>
        <v/>
      </c>
      <c r="AV1432" s="40">
        <f>AV1431*(1-IF(B1431&gt;=in_marketplace_from,d_hz_shop*G1431,0))</f>
        <v/>
      </c>
      <c r="AW1432" s="46">
        <f>AV1432*IF(B1432&gt;=in_marketplace_from,d_hz_shop*G1432,0)</f>
        <v/>
      </c>
      <c r="AX1432" s="14">
        <f>F1432*AW1432*in_shop_ticket*in_shop_comm*in_ins_partner_share+F1432*in_shop_ticket*in_shop_renew_comm*in_ins_partner_share*(in_shop_renew^1*SUMIFS(AW1426:AW1453,B1426:B1453,B1432-12)+in_shop_renew^2*SUMIFS(AW1426:AW1453,B1426:B1453,B1432-24)+in_shop_renew^3*SUMIFS(AW1426:AW1453,B1426:B1453,B1432-36)+in_shop_renew^4*SUMIFS(AW1426:AW1453,B1426:B1453,B1432-48))</f>
        <v/>
      </c>
      <c r="AY1432" s="40">
        <f>AY1431*(1-IF(B1431&gt;=in_marketplace_from,d_hz_sip*G1431,0))</f>
        <v/>
      </c>
      <c r="AZ1432" s="40">
        <f>AZ1431*d_rho_sip+AY1432*IF(B1432&gt;=in_marketplace_from,d_hz_sip*G1432,0)</f>
        <v/>
      </c>
      <c r="BA1432" s="40">
        <f>d_rho_sip*(BA1431+AZ1431)</f>
        <v/>
      </c>
      <c r="BB1432" s="14">
        <f>F1432*in_sip_ticket*(BA1432+0.5*AZ1432)*in_sip_comm/12</f>
        <v/>
      </c>
      <c r="BC1432" s="40">
        <f>BC1431*(1-IF(B1431&gt;=in_marketplace_from,d_hz_choti*G1431,0))</f>
        <v/>
      </c>
      <c r="BD1432" s="46">
        <f>BC1432*IF(B1432&gt;=in_marketplace_from,d_hz_choti*G1432,0)</f>
        <v/>
      </c>
      <c r="BE1432" s="14">
        <f>F1432*SUMIFS(BD1426:BD1453,B1426:B1453,B1432-in_choti_months)*in_choti_renew*in_choti_ticket</f>
        <v/>
      </c>
      <c r="BF1432" s="40">
        <f>BF1431*(1-IF(B1431&gt;=in_marketplace_from,d_hz_nps*G1431,0))</f>
        <v/>
      </c>
      <c r="BG1432" s="14">
        <f>F1432*BF1432*IF(B1432&gt;=in_marketplace_from,d_hz_nps*G1432,0)*in_nps_ticket*in_nps_comm</f>
        <v/>
      </c>
      <c r="BH1432" s="40">
        <f>BH1431*(1-IF(B1431&gt;=in_marketplace_from,d_hz_gold*G1431,0))</f>
        <v/>
      </c>
      <c r="BI1432" s="40">
        <f>BI1431*d_rho_gold+BH1432*IF(B1432&gt;=in_marketplace_from,d_hz_gold*G1432,0)</f>
        <v/>
      </c>
      <c r="BJ1432" s="14">
        <f>F1432*BI1432*in_gold_ticket*in_gold_comm</f>
        <v/>
      </c>
      <c r="BK1432" s="40">
        <f>BK1431*(1-IF(B1431&gt;=in_marketplace_from,d_hz_fd*G1431,0))</f>
        <v/>
      </c>
      <c r="BL1432" s="14">
        <f>F1432*BK1432*IF(B1432&gt;=in_marketplace_from,d_hz_fd*G1432,0)*in_fd_ticket*in_fd_comm</f>
        <v/>
      </c>
      <c r="BM1432" s="40">
        <f>BM1431*(1-IF(B1431&gt;=in_marketplace_from,d_hz_recharge*G1431,0))</f>
        <v/>
      </c>
      <c r="BN1432" s="40">
        <f>BN1431*d_rho_recharge+BM1432*IF(B1432&gt;=in_marketplace_from,d_hz_recharge*G1432,0)</f>
        <v/>
      </c>
      <c r="BO1432" s="14">
        <f>F1432*BN1432*in_recharge_ticket*in_recharge_comm/12</f>
        <v/>
      </c>
      <c r="BP1432" s="40">
        <f>BP1431*(1-IF(B1431&gt;=in_marketplace_from,d_hz_bills*G1431,0))</f>
        <v/>
      </c>
      <c r="BQ1432" s="40">
        <f>BQ1431*d_rho_bills+BP1432*IF(B1432&gt;=in_marketplace_from,d_hz_bills*G1432,0)</f>
        <v/>
      </c>
      <c r="BR1432" s="14">
        <f>F1432*BQ1432*in_bills_ticket*in_bills_comm/12</f>
        <v/>
      </c>
      <c r="BS1432" s="40">
        <f>BS1431*(1-IF(B1431&gt;=in_marketplace_from,d_hz_loan_gold*G1431,0))</f>
        <v/>
      </c>
      <c r="BT1432" s="14">
        <f>F1432*BS1432*IF(B1432&gt;=in_marketplace_from,d_hz_loan_gold*G1432,0)*in_loan_gold_ticket*in_loan_gold_comm</f>
        <v/>
      </c>
      <c r="BU1432" s="40">
        <f>BU1431*(1-IF(B1431&gt;=in_marketplace_from,d_hz_loan_cd*G1431,0))</f>
        <v/>
      </c>
      <c r="BV1432" s="14">
        <f>F1432*BU1432*IF(B1432&gt;=in_marketplace_from,d_hz_loan_cd*G1432,0)*in_loan_cd_ticket*in_loan_cd_comm</f>
        <v/>
      </c>
      <c r="BW1432" s="40">
        <f>BW1431*(1-IF(B1431&gt;=in_marketplace_from,d_hz_loan_vehicle*G1431,0))</f>
        <v/>
      </c>
      <c r="BX1432" s="14">
        <f>F1432*BW1432*IF(B1432&gt;=in_marketplace_from,d_hz_loan_vehicle*G1432,0)*in_loan_vehicle_ticket*in_loan_vehicle_comm</f>
        <v/>
      </c>
      <c r="BY1432" s="40">
        <f>BY1431*(1-IF(B1431&gt;=in_marketplace_from,d_hz_loan_home*G1431,0)*BZ1431)</f>
        <v/>
      </c>
      <c r="BZ1432" s="11">
        <f>MIN(in_approval_cap,in_loan_home_approval*INDEX('Age profile'!$O$2:$O$61,B1432)*(1+in_approval_growth)^(D1432-1))</f>
        <v/>
      </c>
      <c r="CA1432" s="14">
        <f>F1432*BY1432*IF(B1432&gt;=in_marketplace_from,d_hz_loan_home*G1432,0)*BZ1432*in_loan_home_ticket*in_loan_home_comm</f>
        <v/>
      </c>
      <c r="CB1432" s="40">
        <f>CB1431*(1-IF(B1431&gt;=in_marketplace_from,d_hz_loan_lap*G1431,0)*CC1431)</f>
        <v/>
      </c>
      <c r="CC1432" s="11">
        <f>MIN(in_approval_cap,in_loan_lap_approval*INDEX('Age profile'!$O$2:$O$61,B1432)*(1+in_approval_growth)^(D1432-1))</f>
        <v/>
      </c>
      <c r="CD1432" s="14">
        <f>F1432*CB1432*IF(B1432&gt;=in_marketplace_from,d_hz_loan_lap*G1432,0)*CC1432*in_loan_lap_ticket*in_loan_lap_comm</f>
        <v/>
      </c>
      <c r="CE1432" s="14">
        <f>AA1432+AB1432+AC1432+AD1432+AG1432+AJ1432+AM1432+AP1432+AS1432+AU1432+AX1432+BB1432+BE1432+BG1432+BJ1432+BL1432+BO1432+BR1432+BT1432+BV1432+BX1432+CA1432+CD1432</f>
        <v/>
      </c>
    </row>
    <row r="1433">
      <c r="A1433" s="39" t="n">
        <v>33</v>
      </c>
      <c r="B1433" s="39" t="n">
        <v>8</v>
      </c>
      <c r="C1433" s="39">
        <f>A1433+B1433-1</f>
        <v/>
      </c>
      <c r="D1433" s="39">
        <f>INT((C1433-1)/12)+1</f>
        <v/>
      </c>
      <c r="E1433" s="44">
        <f>INDEX(Monthly!$B$2:$B$61,A1433)</f>
        <v/>
      </c>
      <c r="F1433" s="44">
        <f>E1433*INDEX('Age profile'!$B$2:$B$61,B1433)</f>
        <v/>
      </c>
      <c r="G1433" s="45">
        <f>MIN(in_takeup_cap,INDEX('Age profile'!$N$2:$N$61,B1433)*(1+in_takeup_growth)^(D1433-1))</f>
        <v/>
      </c>
      <c r="H1433" s="11">
        <f>MIN(in_approval_cap,in_approved_first*INDEX('Age profile'!$O$2:$O$61,B1433)*(1+in_approval_growth)^(D1433-1))</f>
        <v/>
      </c>
      <c r="I1433" s="45">
        <f>G1433*MIN(in_takeup_cap,INDEX('Age profile'!$O$2:$O$61,B1433)*(1+in_approval_growth)^(D1433-1))</f>
        <v/>
      </c>
      <c r="J1433" s="40">
        <f>(J1432-L1432)*F1433/F1432</f>
        <v/>
      </c>
      <c r="K1433" s="40">
        <f>(K1432-M1432)*F1433/F1432+SUMIFS(O1426:O1432,B1426:B1432,B1433-1-d_T)*F1433</f>
        <v/>
      </c>
      <c r="L1433" s="40">
        <f>IF(B1433&gt;=in_marketplace_from,J1433*d_hz*G1433*in_eligible*H1433,0)</f>
        <v/>
      </c>
      <c r="M1433" s="40">
        <f>IF(B1433&gt;=in_marketplace_from,K1433*d_hz*G1433*in_eligible*in_approved_repeat,0)</f>
        <v/>
      </c>
      <c r="N1433" s="40">
        <f>L1433+M1433</f>
        <v/>
      </c>
      <c r="O1433" s="46">
        <f>N1433/F1433</f>
        <v/>
      </c>
      <c r="P1433" s="40">
        <f>F1433-J1433-K1433</f>
        <v/>
      </c>
      <c r="Q1433" s="40">
        <f>IF(B1433&gt;=in_marketplace_from,(J1433+K1433)*d_hz*G1433,0)</f>
        <v/>
      </c>
      <c r="R1433" s="40">
        <f>SUMIFS(N1426:N1453,B1426:B1453,"&gt;="&amp;(B1433-d_T),B1426:B1453,"&lt;="&amp;(B1433-1))</f>
        <v/>
      </c>
      <c r="S1433" s="46">
        <f>(1-d_u)*S1432+IF(d_T&gt;in_topup_lag,SUMIFS(O1426:O1453,B1426:B1453,B1433-in_topup_lag)-d_udrop*SUMIFS(O1426:O1453,B1426:B1453,B1433-d_T),0)</f>
        <v/>
      </c>
      <c r="T1433" s="40">
        <f>F1433*d_u*S1433</f>
        <v/>
      </c>
      <c r="U1433" s="9">
        <f>L1433*in_ticket+M1433*d_rep_ticket</f>
        <v/>
      </c>
      <c r="V1433" s="9">
        <f>U1433+T1433*d_topup_amt</f>
        <v/>
      </c>
      <c r="W1433" s="40">
        <f>N1433+T1433*d_topup_ratio</f>
        <v/>
      </c>
      <c r="X1433" s="40">
        <f>SUMIFS(W1426:W1453,B1426:B1453,B1433-in_dpd_lag)*d_cured</f>
        <v/>
      </c>
      <c r="Y1433" s="40">
        <f>SUMIFS(W1426:W1453,B1426:B1453,B1433-in_rec_lag)*d_recd</f>
        <v/>
      </c>
      <c r="Z1433" s="40">
        <f>IF(AND(B1433&gt;=in_marketplace_from,B1433&lt;in_marketplace_from+in_card_months),in_card_share/in_card_months*F1433*I1433,IF(AND(B1433&gt;=in_marketplace_from+in_card_months,B1433&lt;in_marketplace_from+2*in_card_months),in_card_share*d_card_rem/in_card_months*F1433*MIN(in_takeup_cap,(1+in_takeup_growth)^(D1433-1))*MIN(in_takeup_cap,(1+in_approval_growth)^(D1433-1)),0))</f>
        <v/>
      </c>
      <c r="AA1433" s="14">
        <f>V1433*in_fee*(1-in_taken_back)</f>
        <v/>
      </c>
      <c r="AB1433" s="14">
        <f>SUMIFS(W1426:W1453,B1426:B1453,B1433-in_dpd_lag)*d_dpd</f>
        <v/>
      </c>
      <c r="AC1433" s="14">
        <f>SUMIFS(W1426:W1453,B1426:B1453,B1433-in_rec_lag)*d_rec</f>
        <v/>
      </c>
      <c r="AD1433" s="14">
        <f>Z1433*in_card_fee</f>
        <v/>
      </c>
      <c r="AE1433" s="40">
        <f>AE1432*(1-IF(B1432&gt;=in_marketplace_from,d_hz_hlth_small*G1432,0))</f>
        <v/>
      </c>
      <c r="AF1433" s="46">
        <f>AE1433*IF(B1433&gt;=in_marketplace_from,d_hz_hlth_small*G1433,0)</f>
        <v/>
      </c>
      <c r="AG1433" s="14">
        <f>F1433*AF1433*in_hlth_small_ticket*in_hlth_small_comm*in_ins_partner_share+F1433*in_hlth_small_ticket*in_hlth_small_renew_comm*in_ins_partner_share*(in_hlth_small_renew^1*SUMIFS(AF1426:AF1453,B1426:B1453,B1433-12)+in_hlth_small_renew^2*SUMIFS(AF1426:AF1453,B1426:B1453,B1433-24)+in_hlth_small_renew^3*SUMIFS(AF1426:AF1453,B1426:B1453,B1433-36)+in_hlth_small_renew^4*SUMIFS(AF1426:AF1453,B1426:B1453,B1433-48))</f>
        <v/>
      </c>
      <c r="AH1433" s="40">
        <f>AH1432*(1-IF(B1432&gt;=in_marketplace_from,d_hz_hlth_family*G1432,0))</f>
        <v/>
      </c>
      <c r="AI1433" s="46">
        <f>AH1433*IF(B1433&gt;=in_marketplace_from,d_hz_hlth_family*G1433,0)</f>
        <v/>
      </c>
      <c r="AJ1433" s="14">
        <f>F1433*AI1433*in_hlth_family_ticket*in_hlth_family_comm*in_ins_partner_share+F1433*in_hlth_family_ticket*in_hlth_family_renew_comm*in_ins_partner_share*(in_hlth_family_renew^1*SUMIFS(AI1426:AI1453,B1426:B1453,B1433-12)+in_hlth_family_renew^2*SUMIFS(AI1426:AI1453,B1426:B1453,B1433-24)+in_hlth_family_renew^3*SUMIFS(AI1426:AI1453,B1426:B1453,B1433-36)+in_hlth_family_renew^4*SUMIFS(AI1426:AI1453,B1426:B1453,B1433-48))</f>
        <v/>
      </c>
      <c r="AK1433" s="40">
        <f>AK1432*(1-IF(B1432&gt;=in_marketplace_from,d_hz_life_term*G1432,0))</f>
        <v/>
      </c>
      <c r="AL1433" s="46">
        <f>AK1433*IF(B1433&gt;=in_marketplace_from,d_hz_life_term*G1433,0)</f>
        <v/>
      </c>
      <c r="AM1433" s="14">
        <f>F1433*AL1433*in_life_term_ticket*in_life_term_comm*in_ins_partner_share+F1433*in_life_term_ticket*in_life_term_renew_comm*in_ins_partner_share*(in_life_term_renew^1*SUMIFS(AL1426:AL1453,B1426:B1453,B1433-12)+in_life_term_renew^2*SUMIFS(AL1426:AL1453,B1426:B1453,B1433-24)+in_life_term_renew^3*SUMIFS(AL1426:AL1453,B1426:B1453,B1433-36)+in_life_term_renew^4*SUMIFS(AL1426:AL1453,B1426:B1453,B1433-48))</f>
        <v/>
      </c>
      <c r="AN1433" s="40">
        <f>AN1432*(1-IF(B1432&gt;=in_marketplace_from,d_hz_accident*G1432,0))</f>
        <v/>
      </c>
      <c r="AO1433" s="46">
        <f>AN1433*IF(B1433&gt;=in_marketplace_from,d_hz_accident*G1433,0)</f>
        <v/>
      </c>
      <c r="AP1433" s="14">
        <f>F1433*AO1433*in_accident_ticket*in_accident_comm*in_ins_partner_share+F1433*in_accident_ticket*in_accident_renew_comm*in_ins_partner_share*(in_accident_renew^1*SUMIFS(AO1426:AO1453,B1426:B1453,B1433-12)+in_accident_renew^2*SUMIFS(AO1426:AO1453,B1426:B1453,B1433-24)+in_accident_renew^3*SUMIFS(AO1426:AO1453,B1426:B1453,B1433-36)+in_accident_renew^4*SUMIFS(AO1426:AO1453,B1426:B1453,B1433-48))</f>
        <v/>
      </c>
      <c r="AQ1433" s="40">
        <f>AQ1432*(1-IF(B1432&gt;=in_marketplace_from,d_hz_two_wheeler*G1432,0))</f>
        <v/>
      </c>
      <c r="AR1433" s="46">
        <f>AQ1433*IF(B1433&gt;=in_marketplace_from,d_hz_two_wheeler*G1433,0)</f>
        <v/>
      </c>
      <c r="AS1433" s="14">
        <f>F1433*AR1433*in_two_wheeler_ticket*in_two_wheeler_comm*in_ins_partner_share+F1433*in_two_wheeler_ticket*in_two_wheeler_comm*in_ins_partner_share*(in_two_wheeler_renew^1*SUMIFS(AR1426:AR1453,B1426:B1453,B1433-12)+in_two_wheeler_renew^2*SUMIFS(AR1426:AR1453,B1426:B1453,B1433-24)+in_two_wheeler_renew^3*SUMIFS(AR1426:AR1453,B1426:B1453,B1433-36)+in_two_wheeler_renew^4*SUMIFS(AR1426:AR1453,B1426:B1453,B1433-48))</f>
        <v/>
      </c>
      <c r="AT1433" s="40">
        <f>AT1432*(1-IF(B1432&gt;=in_marketplace_from,d_hz_device*G1432,0))</f>
        <v/>
      </c>
      <c r="AU1433" s="14">
        <f>F1433*AT1433*IF(B1433&gt;=in_marketplace_from,d_hz_device*G1433,0)*in_device_ticket*in_device_comm*in_ins_partner_share</f>
        <v/>
      </c>
      <c r="AV1433" s="40">
        <f>AV1432*(1-IF(B1432&gt;=in_marketplace_from,d_hz_shop*G1432,0))</f>
        <v/>
      </c>
      <c r="AW1433" s="46">
        <f>AV1433*IF(B1433&gt;=in_marketplace_from,d_hz_shop*G1433,0)</f>
        <v/>
      </c>
      <c r="AX1433" s="14">
        <f>F1433*AW1433*in_shop_ticket*in_shop_comm*in_ins_partner_share+F1433*in_shop_ticket*in_shop_renew_comm*in_ins_partner_share*(in_shop_renew^1*SUMIFS(AW1426:AW1453,B1426:B1453,B1433-12)+in_shop_renew^2*SUMIFS(AW1426:AW1453,B1426:B1453,B1433-24)+in_shop_renew^3*SUMIFS(AW1426:AW1453,B1426:B1453,B1433-36)+in_shop_renew^4*SUMIFS(AW1426:AW1453,B1426:B1453,B1433-48))</f>
        <v/>
      </c>
      <c r="AY1433" s="40">
        <f>AY1432*(1-IF(B1432&gt;=in_marketplace_from,d_hz_sip*G1432,0))</f>
        <v/>
      </c>
      <c r="AZ1433" s="40">
        <f>AZ1432*d_rho_sip+AY1433*IF(B1433&gt;=in_marketplace_from,d_hz_sip*G1433,0)</f>
        <v/>
      </c>
      <c r="BA1433" s="40">
        <f>d_rho_sip*(BA1432+AZ1432)</f>
        <v/>
      </c>
      <c r="BB1433" s="14">
        <f>F1433*in_sip_ticket*(BA1433+0.5*AZ1433)*in_sip_comm/12</f>
        <v/>
      </c>
      <c r="BC1433" s="40">
        <f>BC1432*(1-IF(B1432&gt;=in_marketplace_from,d_hz_choti*G1432,0))</f>
        <v/>
      </c>
      <c r="BD1433" s="46">
        <f>BC1433*IF(B1433&gt;=in_marketplace_from,d_hz_choti*G1433,0)</f>
        <v/>
      </c>
      <c r="BE1433" s="14">
        <f>F1433*SUMIFS(BD1426:BD1453,B1426:B1453,B1433-in_choti_months)*in_choti_renew*in_choti_ticket</f>
        <v/>
      </c>
      <c r="BF1433" s="40">
        <f>BF1432*(1-IF(B1432&gt;=in_marketplace_from,d_hz_nps*G1432,0))</f>
        <v/>
      </c>
      <c r="BG1433" s="14">
        <f>F1433*BF1433*IF(B1433&gt;=in_marketplace_from,d_hz_nps*G1433,0)*in_nps_ticket*in_nps_comm</f>
        <v/>
      </c>
      <c r="BH1433" s="40">
        <f>BH1432*(1-IF(B1432&gt;=in_marketplace_from,d_hz_gold*G1432,0))</f>
        <v/>
      </c>
      <c r="BI1433" s="40">
        <f>BI1432*d_rho_gold+BH1433*IF(B1433&gt;=in_marketplace_from,d_hz_gold*G1433,0)</f>
        <v/>
      </c>
      <c r="BJ1433" s="14">
        <f>F1433*BI1433*in_gold_ticket*in_gold_comm</f>
        <v/>
      </c>
      <c r="BK1433" s="40">
        <f>BK1432*(1-IF(B1432&gt;=in_marketplace_from,d_hz_fd*G1432,0))</f>
        <v/>
      </c>
      <c r="BL1433" s="14">
        <f>F1433*BK1433*IF(B1433&gt;=in_marketplace_from,d_hz_fd*G1433,0)*in_fd_ticket*in_fd_comm</f>
        <v/>
      </c>
      <c r="BM1433" s="40">
        <f>BM1432*(1-IF(B1432&gt;=in_marketplace_from,d_hz_recharge*G1432,0))</f>
        <v/>
      </c>
      <c r="BN1433" s="40">
        <f>BN1432*d_rho_recharge+BM1433*IF(B1433&gt;=in_marketplace_from,d_hz_recharge*G1433,0)</f>
        <v/>
      </c>
      <c r="BO1433" s="14">
        <f>F1433*BN1433*in_recharge_ticket*in_recharge_comm/12</f>
        <v/>
      </c>
      <c r="BP1433" s="40">
        <f>BP1432*(1-IF(B1432&gt;=in_marketplace_from,d_hz_bills*G1432,0))</f>
        <v/>
      </c>
      <c r="BQ1433" s="40">
        <f>BQ1432*d_rho_bills+BP1433*IF(B1433&gt;=in_marketplace_from,d_hz_bills*G1433,0)</f>
        <v/>
      </c>
      <c r="BR1433" s="14">
        <f>F1433*BQ1433*in_bills_ticket*in_bills_comm/12</f>
        <v/>
      </c>
      <c r="BS1433" s="40">
        <f>BS1432*(1-IF(B1432&gt;=in_marketplace_from,d_hz_loan_gold*G1432,0))</f>
        <v/>
      </c>
      <c r="BT1433" s="14">
        <f>F1433*BS1433*IF(B1433&gt;=in_marketplace_from,d_hz_loan_gold*G1433,0)*in_loan_gold_ticket*in_loan_gold_comm</f>
        <v/>
      </c>
      <c r="BU1433" s="40">
        <f>BU1432*(1-IF(B1432&gt;=in_marketplace_from,d_hz_loan_cd*G1432,0))</f>
        <v/>
      </c>
      <c r="BV1433" s="14">
        <f>F1433*BU1433*IF(B1433&gt;=in_marketplace_from,d_hz_loan_cd*G1433,0)*in_loan_cd_ticket*in_loan_cd_comm</f>
        <v/>
      </c>
      <c r="BW1433" s="40">
        <f>BW1432*(1-IF(B1432&gt;=in_marketplace_from,d_hz_loan_vehicle*G1432,0))</f>
        <v/>
      </c>
      <c r="BX1433" s="14">
        <f>F1433*BW1433*IF(B1433&gt;=in_marketplace_from,d_hz_loan_vehicle*G1433,0)*in_loan_vehicle_ticket*in_loan_vehicle_comm</f>
        <v/>
      </c>
      <c r="BY1433" s="40">
        <f>BY1432*(1-IF(B1432&gt;=in_marketplace_from,d_hz_loan_home*G1432,0)*BZ1432)</f>
        <v/>
      </c>
      <c r="BZ1433" s="11">
        <f>MIN(in_approval_cap,in_loan_home_approval*INDEX('Age profile'!$O$2:$O$61,B1433)*(1+in_approval_growth)^(D1433-1))</f>
        <v/>
      </c>
      <c r="CA1433" s="14">
        <f>F1433*BY1433*IF(B1433&gt;=in_marketplace_from,d_hz_loan_home*G1433,0)*BZ1433*in_loan_home_ticket*in_loan_home_comm</f>
        <v/>
      </c>
      <c r="CB1433" s="40">
        <f>CB1432*(1-IF(B1432&gt;=in_marketplace_from,d_hz_loan_lap*G1432,0)*CC1432)</f>
        <v/>
      </c>
      <c r="CC1433" s="11">
        <f>MIN(in_approval_cap,in_loan_lap_approval*INDEX('Age profile'!$O$2:$O$61,B1433)*(1+in_approval_growth)^(D1433-1))</f>
        <v/>
      </c>
      <c r="CD1433" s="14">
        <f>F1433*CB1433*IF(B1433&gt;=in_marketplace_from,d_hz_loan_lap*G1433,0)*CC1433*in_loan_lap_ticket*in_loan_lap_comm</f>
        <v/>
      </c>
      <c r="CE1433" s="14">
        <f>AA1433+AB1433+AC1433+AD1433+AG1433+AJ1433+AM1433+AP1433+AS1433+AU1433+AX1433+BB1433+BE1433+BG1433+BJ1433+BL1433+BO1433+BR1433+BT1433+BV1433+BX1433+CA1433+CD1433</f>
        <v/>
      </c>
    </row>
    <row r="1434">
      <c r="A1434" s="39" t="n">
        <v>33</v>
      </c>
      <c r="B1434" s="39" t="n">
        <v>9</v>
      </c>
      <c r="C1434" s="39">
        <f>A1434+B1434-1</f>
        <v/>
      </c>
      <c r="D1434" s="39">
        <f>INT((C1434-1)/12)+1</f>
        <v/>
      </c>
      <c r="E1434" s="44">
        <f>INDEX(Monthly!$B$2:$B$61,A1434)</f>
        <v/>
      </c>
      <c r="F1434" s="44">
        <f>E1434*INDEX('Age profile'!$B$2:$B$61,B1434)</f>
        <v/>
      </c>
      <c r="G1434" s="45">
        <f>MIN(in_takeup_cap,INDEX('Age profile'!$N$2:$N$61,B1434)*(1+in_takeup_growth)^(D1434-1))</f>
        <v/>
      </c>
      <c r="H1434" s="11">
        <f>MIN(in_approval_cap,in_approved_first*INDEX('Age profile'!$O$2:$O$61,B1434)*(1+in_approval_growth)^(D1434-1))</f>
        <v/>
      </c>
      <c r="I1434" s="45">
        <f>G1434*MIN(in_takeup_cap,INDEX('Age profile'!$O$2:$O$61,B1434)*(1+in_approval_growth)^(D1434-1))</f>
        <v/>
      </c>
      <c r="J1434" s="40">
        <f>(J1433-L1433)*F1434/F1433</f>
        <v/>
      </c>
      <c r="K1434" s="40">
        <f>(K1433-M1433)*F1434/F1433+SUMIFS(O1426:O1433,B1426:B1433,B1434-1-d_T)*F1434</f>
        <v/>
      </c>
      <c r="L1434" s="40">
        <f>IF(B1434&gt;=in_marketplace_from,J1434*d_hz*G1434*in_eligible*H1434,0)</f>
        <v/>
      </c>
      <c r="M1434" s="40">
        <f>IF(B1434&gt;=in_marketplace_from,K1434*d_hz*G1434*in_eligible*in_approved_repeat,0)</f>
        <v/>
      </c>
      <c r="N1434" s="40">
        <f>L1434+M1434</f>
        <v/>
      </c>
      <c r="O1434" s="46">
        <f>N1434/F1434</f>
        <v/>
      </c>
      <c r="P1434" s="40">
        <f>F1434-J1434-K1434</f>
        <v/>
      </c>
      <c r="Q1434" s="40">
        <f>IF(B1434&gt;=in_marketplace_from,(J1434+K1434)*d_hz*G1434,0)</f>
        <v/>
      </c>
      <c r="R1434" s="40">
        <f>SUMIFS(N1426:N1453,B1426:B1453,"&gt;="&amp;(B1434-d_T),B1426:B1453,"&lt;="&amp;(B1434-1))</f>
        <v/>
      </c>
      <c r="S1434" s="46">
        <f>(1-d_u)*S1433+IF(d_T&gt;in_topup_lag,SUMIFS(O1426:O1453,B1426:B1453,B1434-in_topup_lag)-d_udrop*SUMIFS(O1426:O1453,B1426:B1453,B1434-d_T),0)</f>
        <v/>
      </c>
      <c r="T1434" s="40">
        <f>F1434*d_u*S1434</f>
        <v/>
      </c>
      <c r="U1434" s="9">
        <f>L1434*in_ticket+M1434*d_rep_ticket</f>
        <v/>
      </c>
      <c r="V1434" s="9">
        <f>U1434+T1434*d_topup_amt</f>
        <v/>
      </c>
      <c r="W1434" s="40">
        <f>N1434+T1434*d_topup_ratio</f>
        <v/>
      </c>
      <c r="X1434" s="40">
        <f>SUMIFS(W1426:W1453,B1426:B1453,B1434-in_dpd_lag)*d_cured</f>
        <v/>
      </c>
      <c r="Y1434" s="40">
        <f>SUMIFS(W1426:W1453,B1426:B1453,B1434-in_rec_lag)*d_recd</f>
        <v/>
      </c>
      <c r="Z1434" s="40">
        <f>IF(AND(B1434&gt;=in_marketplace_from,B1434&lt;in_marketplace_from+in_card_months),in_card_share/in_card_months*F1434*I1434,IF(AND(B1434&gt;=in_marketplace_from+in_card_months,B1434&lt;in_marketplace_from+2*in_card_months),in_card_share*d_card_rem/in_card_months*F1434*MIN(in_takeup_cap,(1+in_takeup_growth)^(D1434-1))*MIN(in_takeup_cap,(1+in_approval_growth)^(D1434-1)),0))</f>
        <v/>
      </c>
      <c r="AA1434" s="14">
        <f>V1434*in_fee*(1-in_taken_back)</f>
        <v/>
      </c>
      <c r="AB1434" s="14">
        <f>SUMIFS(W1426:W1453,B1426:B1453,B1434-in_dpd_lag)*d_dpd</f>
        <v/>
      </c>
      <c r="AC1434" s="14">
        <f>SUMIFS(W1426:W1453,B1426:B1453,B1434-in_rec_lag)*d_rec</f>
        <v/>
      </c>
      <c r="AD1434" s="14">
        <f>Z1434*in_card_fee</f>
        <v/>
      </c>
      <c r="AE1434" s="40">
        <f>AE1433*(1-IF(B1433&gt;=in_marketplace_from,d_hz_hlth_small*G1433,0))</f>
        <v/>
      </c>
      <c r="AF1434" s="46">
        <f>AE1434*IF(B1434&gt;=in_marketplace_from,d_hz_hlth_small*G1434,0)</f>
        <v/>
      </c>
      <c r="AG1434" s="14">
        <f>F1434*AF1434*in_hlth_small_ticket*in_hlth_small_comm*in_ins_partner_share+F1434*in_hlth_small_ticket*in_hlth_small_renew_comm*in_ins_partner_share*(in_hlth_small_renew^1*SUMIFS(AF1426:AF1453,B1426:B1453,B1434-12)+in_hlth_small_renew^2*SUMIFS(AF1426:AF1453,B1426:B1453,B1434-24)+in_hlth_small_renew^3*SUMIFS(AF1426:AF1453,B1426:B1453,B1434-36)+in_hlth_small_renew^4*SUMIFS(AF1426:AF1453,B1426:B1453,B1434-48))</f>
        <v/>
      </c>
      <c r="AH1434" s="40">
        <f>AH1433*(1-IF(B1433&gt;=in_marketplace_from,d_hz_hlth_family*G1433,0))</f>
        <v/>
      </c>
      <c r="AI1434" s="46">
        <f>AH1434*IF(B1434&gt;=in_marketplace_from,d_hz_hlth_family*G1434,0)</f>
        <v/>
      </c>
      <c r="AJ1434" s="14">
        <f>F1434*AI1434*in_hlth_family_ticket*in_hlth_family_comm*in_ins_partner_share+F1434*in_hlth_family_ticket*in_hlth_family_renew_comm*in_ins_partner_share*(in_hlth_family_renew^1*SUMIFS(AI1426:AI1453,B1426:B1453,B1434-12)+in_hlth_family_renew^2*SUMIFS(AI1426:AI1453,B1426:B1453,B1434-24)+in_hlth_family_renew^3*SUMIFS(AI1426:AI1453,B1426:B1453,B1434-36)+in_hlth_family_renew^4*SUMIFS(AI1426:AI1453,B1426:B1453,B1434-48))</f>
        <v/>
      </c>
      <c r="AK1434" s="40">
        <f>AK1433*(1-IF(B1433&gt;=in_marketplace_from,d_hz_life_term*G1433,0))</f>
        <v/>
      </c>
      <c r="AL1434" s="46">
        <f>AK1434*IF(B1434&gt;=in_marketplace_from,d_hz_life_term*G1434,0)</f>
        <v/>
      </c>
      <c r="AM1434" s="14">
        <f>F1434*AL1434*in_life_term_ticket*in_life_term_comm*in_ins_partner_share+F1434*in_life_term_ticket*in_life_term_renew_comm*in_ins_partner_share*(in_life_term_renew^1*SUMIFS(AL1426:AL1453,B1426:B1453,B1434-12)+in_life_term_renew^2*SUMIFS(AL1426:AL1453,B1426:B1453,B1434-24)+in_life_term_renew^3*SUMIFS(AL1426:AL1453,B1426:B1453,B1434-36)+in_life_term_renew^4*SUMIFS(AL1426:AL1453,B1426:B1453,B1434-48))</f>
        <v/>
      </c>
      <c r="AN1434" s="40">
        <f>AN1433*(1-IF(B1433&gt;=in_marketplace_from,d_hz_accident*G1433,0))</f>
        <v/>
      </c>
      <c r="AO1434" s="46">
        <f>AN1434*IF(B1434&gt;=in_marketplace_from,d_hz_accident*G1434,0)</f>
        <v/>
      </c>
      <c r="AP1434" s="14">
        <f>F1434*AO1434*in_accident_ticket*in_accident_comm*in_ins_partner_share+F1434*in_accident_ticket*in_accident_renew_comm*in_ins_partner_share*(in_accident_renew^1*SUMIFS(AO1426:AO1453,B1426:B1453,B1434-12)+in_accident_renew^2*SUMIFS(AO1426:AO1453,B1426:B1453,B1434-24)+in_accident_renew^3*SUMIFS(AO1426:AO1453,B1426:B1453,B1434-36)+in_accident_renew^4*SUMIFS(AO1426:AO1453,B1426:B1453,B1434-48))</f>
        <v/>
      </c>
      <c r="AQ1434" s="40">
        <f>AQ1433*(1-IF(B1433&gt;=in_marketplace_from,d_hz_two_wheeler*G1433,0))</f>
        <v/>
      </c>
      <c r="AR1434" s="46">
        <f>AQ1434*IF(B1434&gt;=in_marketplace_from,d_hz_two_wheeler*G1434,0)</f>
        <v/>
      </c>
      <c r="AS1434" s="14">
        <f>F1434*AR1434*in_two_wheeler_ticket*in_two_wheeler_comm*in_ins_partner_share+F1434*in_two_wheeler_ticket*in_two_wheeler_comm*in_ins_partner_share*(in_two_wheeler_renew^1*SUMIFS(AR1426:AR1453,B1426:B1453,B1434-12)+in_two_wheeler_renew^2*SUMIFS(AR1426:AR1453,B1426:B1453,B1434-24)+in_two_wheeler_renew^3*SUMIFS(AR1426:AR1453,B1426:B1453,B1434-36)+in_two_wheeler_renew^4*SUMIFS(AR1426:AR1453,B1426:B1453,B1434-48))</f>
        <v/>
      </c>
      <c r="AT1434" s="40">
        <f>AT1433*(1-IF(B1433&gt;=in_marketplace_from,d_hz_device*G1433,0))</f>
        <v/>
      </c>
      <c r="AU1434" s="14">
        <f>F1434*AT1434*IF(B1434&gt;=in_marketplace_from,d_hz_device*G1434,0)*in_device_ticket*in_device_comm*in_ins_partner_share</f>
        <v/>
      </c>
      <c r="AV1434" s="40">
        <f>AV1433*(1-IF(B1433&gt;=in_marketplace_from,d_hz_shop*G1433,0))</f>
        <v/>
      </c>
      <c r="AW1434" s="46">
        <f>AV1434*IF(B1434&gt;=in_marketplace_from,d_hz_shop*G1434,0)</f>
        <v/>
      </c>
      <c r="AX1434" s="14">
        <f>F1434*AW1434*in_shop_ticket*in_shop_comm*in_ins_partner_share+F1434*in_shop_ticket*in_shop_renew_comm*in_ins_partner_share*(in_shop_renew^1*SUMIFS(AW1426:AW1453,B1426:B1453,B1434-12)+in_shop_renew^2*SUMIFS(AW1426:AW1453,B1426:B1453,B1434-24)+in_shop_renew^3*SUMIFS(AW1426:AW1453,B1426:B1453,B1434-36)+in_shop_renew^4*SUMIFS(AW1426:AW1453,B1426:B1453,B1434-48))</f>
        <v/>
      </c>
      <c r="AY1434" s="40">
        <f>AY1433*(1-IF(B1433&gt;=in_marketplace_from,d_hz_sip*G1433,0))</f>
        <v/>
      </c>
      <c r="AZ1434" s="40">
        <f>AZ1433*d_rho_sip+AY1434*IF(B1434&gt;=in_marketplace_from,d_hz_sip*G1434,0)</f>
        <v/>
      </c>
      <c r="BA1434" s="40">
        <f>d_rho_sip*(BA1433+AZ1433)</f>
        <v/>
      </c>
      <c r="BB1434" s="14">
        <f>F1434*in_sip_ticket*(BA1434+0.5*AZ1434)*in_sip_comm/12</f>
        <v/>
      </c>
      <c r="BC1434" s="40">
        <f>BC1433*(1-IF(B1433&gt;=in_marketplace_from,d_hz_choti*G1433,0))</f>
        <v/>
      </c>
      <c r="BD1434" s="46">
        <f>BC1434*IF(B1434&gt;=in_marketplace_from,d_hz_choti*G1434,0)</f>
        <v/>
      </c>
      <c r="BE1434" s="14">
        <f>F1434*SUMIFS(BD1426:BD1453,B1426:B1453,B1434-in_choti_months)*in_choti_renew*in_choti_ticket</f>
        <v/>
      </c>
      <c r="BF1434" s="40">
        <f>BF1433*(1-IF(B1433&gt;=in_marketplace_from,d_hz_nps*G1433,0))</f>
        <v/>
      </c>
      <c r="BG1434" s="14">
        <f>F1434*BF1434*IF(B1434&gt;=in_marketplace_from,d_hz_nps*G1434,0)*in_nps_ticket*in_nps_comm</f>
        <v/>
      </c>
      <c r="BH1434" s="40">
        <f>BH1433*(1-IF(B1433&gt;=in_marketplace_from,d_hz_gold*G1433,0))</f>
        <v/>
      </c>
      <c r="BI1434" s="40">
        <f>BI1433*d_rho_gold+BH1434*IF(B1434&gt;=in_marketplace_from,d_hz_gold*G1434,0)</f>
        <v/>
      </c>
      <c r="BJ1434" s="14">
        <f>F1434*BI1434*in_gold_ticket*in_gold_comm</f>
        <v/>
      </c>
      <c r="BK1434" s="40">
        <f>BK1433*(1-IF(B1433&gt;=in_marketplace_from,d_hz_fd*G1433,0))</f>
        <v/>
      </c>
      <c r="BL1434" s="14">
        <f>F1434*BK1434*IF(B1434&gt;=in_marketplace_from,d_hz_fd*G1434,0)*in_fd_ticket*in_fd_comm</f>
        <v/>
      </c>
      <c r="BM1434" s="40">
        <f>BM1433*(1-IF(B1433&gt;=in_marketplace_from,d_hz_recharge*G1433,0))</f>
        <v/>
      </c>
      <c r="BN1434" s="40">
        <f>BN1433*d_rho_recharge+BM1434*IF(B1434&gt;=in_marketplace_from,d_hz_recharge*G1434,0)</f>
        <v/>
      </c>
      <c r="BO1434" s="14">
        <f>F1434*BN1434*in_recharge_ticket*in_recharge_comm/12</f>
        <v/>
      </c>
      <c r="BP1434" s="40">
        <f>BP1433*(1-IF(B1433&gt;=in_marketplace_from,d_hz_bills*G1433,0))</f>
        <v/>
      </c>
      <c r="BQ1434" s="40">
        <f>BQ1433*d_rho_bills+BP1434*IF(B1434&gt;=in_marketplace_from,d_hz_bills*G1434,0)</f>
        <v/>
      </c>
      <c r="BR1434" s="14">
        <f>F1434*BQ1434*in_bills_ticket*in_bills_comm/12</f>
        <v/>
      </c>
      <c r="BS1434" s="40">
        <f>BS1433*(1-IF(B1433&gt;=in_marketplace_from,d_hz_loan_gold*G1433,0))</f>
        <v/>
      </c>
      <c r="BT1434" s="14">
        <f>F1434*BS1434*IF(B1434&gt;=in_marketplace_from,d_hz_loan_gold*G1434,0)*in_loan_gold_ticket*in_loan_gold_comm</f>
        <v/>
      </c>
      <c r="BU1434" s="40">
        <f>BU1433*(1-IF(B1433&gt;=in_marketplace_from,d_hz_loan_cd*G1433,0))</f>
        <v/>
      </c>
      <c r="BV1434" s="14">
        <f>F1434*BU1434*IF(B1434&gt;=in_marketplace_from,d_hz_loan_cd*G1434,0)*in_loan_cd_ticket*in_loan_cd_comm</f>
        <v/>
      </c>
      <c r="BW1434" s="40">
        <f>BW1433*(1-IF(B1433&gt;=in_marketplace_from,d_hz_loan_vehicle*G1433,0))</f>
        <v/>
      </c>
      <c r="BX1434" s="14">
        <f>F1434*BW1434*IF(B1434&gt;=in_marketplace_from,d_hz_loan_vehicle*G1434,0)*in_loan_vehicle_ticket*in_loan_vehicle_comm</f>
        <v/>
      </c>
      <c r="BY1434" s="40">
        <f>BY1433*(1-IF(B1433&gt;=in_marketplace_from,d_hz_loan_home*G1433,0)*BZ1433)</f>
        <v/>
      </c>
      <c r="BZ1434" s="11">
        <f>MIN(in_approval_cap,in_loan_home_approval*INDEX('Age profile'!$O$2:$O$61,B1434)*(1+in_approval_growth)^(D1434-1))</f>
        <v/>
      </c>
      <c r="CA1434" s="14">
        <f>F1434*BY1434*IF(B1434&gt;=in_marketplace_from,d_hz_loan_home*G1434,0)*BZ1434*in_loan_home_ticket*in_loan_home_comm</f>
        <v/>
      </c>
      <c r="CB1434" s="40">
        <f>CB1433*(1-IF(B1433&gt;=in_marketplace_from,d_hz_loan_lap*G1433,0)*CC1433)</f>
        <v/>
      </c>
      <c r="CC1434" s="11">
        <f>MIN(in_approval_cap,in_loan_lap_approval*INDEX('Age profile'!$O$2:$O$61,B1434)*(1+in_approval_growth)^(D1434-1))</f>
        <v/>
      </c>
      <c r="CD1434" s="14">
        <f>F1434*CB1434*IF(B1434&gt;=in_marketplace_from,d_hz_loan_lap*G1434,0)*CC1434*in_loan_lap_ticket*in_loan_lap_comm</f>
        <v/>
      </c>
      <c r="CE1434" s="14">
        <f>AA1434+AB1434+AC1434+AD1434+AG1434+AJ1434+AM1434+AP1434+AS1434+AU1434+AX1434+BB1434+BE1434+BG1434+BJ1434+BL1434+BO1434+BR1434+BT1434+BV1434+BX1434+CA1434+CD1434</f>
        <v/>
      </c>
    </row>
    <row r="1435">
      <c r="A1435" s="39" t="n">
        <v>33</v>
      </c>
      <c r="B1435" s="39" t="n">
        <v>10</v>
      </c>
      <c r="C1435" s="39">
        <f>A1435+B1435-1</f>
        <v/>
      </c>
      <c r="D1435" s="39">
        <f>INT((C1435-1)/12)+1</f>
        <v/>
      </c>
      <c r="E1435" s="44">
        <f>INDEX(Monthly!$B$2:$B$61,A1435)</f>
        <v/>
      </c>
      <c r="F1435" s="44">
        <f>E1435*INDEX('Age profile'!$B$2:$B$61,B1435)</f>
        <v/>
      </c>
      <c r="G1435" s="45">
        <f>MIN(in_takeup_cap,INDEX('Age profile'!$N$2:$N$61,B1435)*(1+in_takeup_growth)^(D1435-1))</f>
        <v/>
      </c>
      <c r="H1435" s="11">
        <f>MIN(in_approval_cap,in_approved_first*INDEX('Age profile'!$O$2:$O$61,B1435)*(1+in_approval_growth)^(D1435-1))</f>
        <v/>
      </c>
      <c r="I1435" s="45">
        <f>G1435*MIN(in_takeup_cap,INDEX('Age profile'!$O$2:$O$61,B1435)*(1+in_approval_growth)^(D1435-1))</f>
        <v/>
      </c>
      <c r="J1435" s="40">
        <f>(J1434-L1434)*F1435/F1434</f>
        <v/>
      </c>
      <c r="K1435" s="40">
        <f>(K1434-M1434)*F1435/F1434+SUMIFS(O1426:O1434,B1426:B1434,B1435-1-d_T)*F1435</f>
        <v/>
      </c>
      <c r="L1435" s="40">
        <f>IF(B1435&gt;=in_marketplace_from,J1435*d_hz*G1435*in_eligible*H1435,0)</f>
        <v/>
      </c>
      <c r="M1435" s="40">
        <f>IF(B1435&gt;=in_marketplace_from,K1435*d_hz*G1435*in_eligible*in_approved_repeat,0)</f>
        <v/>
      </c>
      <c r="N1435" s="40">
        <f>L1435+M1435</f>
        <v/>
      </c>
      <c r="O1435" s="46">
        <f>N1435/F1435</f>
        <v/>
      </c>
      <c r="P1435" s="40">
        <f>F1435-J1435-K1435</f>
        <v/>
      </c>
      <c r="Q1435" s="40">
        <f>IF(B1435&gt;=in_marketplace_from,(J1435+K1435)*d_hz*G1435,0)</f>
        <v/>
      </c>
      <c r="R1435" s="40">
        <f>SUMIFS(N1426:N1453,B1426:B1453,"&gt;="&amp;(B1435-d_T),B1426:B1453,"&lt;="&amp;(B1435-1))</f>
        <v/>
      </c>
      <c r="S1435" s="46">
        <f>(1-d_u)*S1434+IF(d_T&gt;in_topup_lag,SUMIFS(O1426:O1453,B1426:B1453,B1435-in_topup_lag)-d_udrop*SUMIFS(O1426:O1453,B1426:B1453,B1435-d_T),0)</f>
        <v/>
      </c>
      <c r="T1435" s="40">
        <f>F1435*d_u*S1435</f>
        <v/>
      </c>
      <c r="U1435" s="9">
        <f>L1435*in_ticket+M1435*d_rep_ticket</f>
        <v/>
      </c>
      <c r="V1435" s="9">
        <f>U1435+T1435*d_topup_amt</f>
        <v/>
      </c>
      <c r="W1435" s="40">
        <f>N1435+T1435*d_topup_ratio</f>
        <v/>
      </c>
      <c r="X1435" s="40">
        <f>SUMIFS(W1426:W1453,B1426:B1453,B1435-in_dpd_lag)*d_cured</f>
        <v/>
      </c>
      <c r="Y1435" s="40">
        <f>SUMIFS(W1426:W1453,B1426:B1453,B1435-in_rec_lag)*d_recd</f>
        <v/>
      </c>
      <c r="Z1435" s="40">
        <f>IF(AND(B1435&gt;=in_marketplace_from,B1435&lt;in_marketplace_from+in_card_months),in_card_share/in_card_months*F1435*I1435,IF(AND(B1435&gt;=in_marketplace_from+in_card_months,B1435&lt;in_marketplace_from+2*in_card_months),in_card_share*d_card_rem/in_card_months*F1435*MIN(in_takeup_cap,(1+in_takeup_growth)^(D1435-1))*MIN(in_takeup_cap,(1+in_approval_growth)^(D1435-1)),0))</f>
        <v/>
      </c>
      <c r="AA1435" s="14">
        <f>V1435*in_fee*(1-in_taken_back)</f>
        <v/>
      </c>
      <c r="AB1435" s="14">
        <f>SUMIFS(W1426:W1453,B1426:B1453,B1435-in_dpd_lag)*d_dpd</f>
        <v/>
      </c>
      <c r="AC1435" s="14">
        <f>SUMIFS(W1426:W1453,B1426:B1453,B1435-in_rec_lag)*d_rec</f>
        <v/>
      </c>
      <c r="AD1435" s="14">
        <f>Z1435*in_card_fee</f>
        <v/>
      </c>
      <c r="AE1435" s="40">
        <f>AE1434*(1-IF(B1434&gt;=in_marketplace_from,d_hz_hlth_small*G1434,0))</f>
        <v/>
      </c>
      <c r="AF1435" s="46">
        <f>AE1435*IF(B1435&gt;=in_marketplace_from,d_hz_hlth_small*G1435,0)</f>
        <v/>
      </c>
      <c r="AG1435" s="14">
        <f>F1435*AF1435*in_hlth_small_ticket*in_hlth_small_comm*in_ins_partner_share+F1435*in_hlth_small_ticket*in_hlth_small_renew_comm*in_ins_partner_share*(in_hlth_small_renew^1*SUMIFS(AF1426:AF1453,B1426:B1453,B1435-12)+in_hlth_small_renew^2*SUMIFS(AF1426:AF1453,B1426:B1453,B1435-24)+in_hlth_small_renew^3*SUMIFS(AF1426:AF1453,B1426:B1453,B1435-36)+in_hlth_small_renew^4*SUMIFS(AF1426:AF1453,B1426:B1453,B1435-48))</f>
        <v/>
      </c>
      <c r="AH1435" s="40">
        <f>AH1434*(1-IF(B1434&gt;=in_marketplace_from,d_hz_hlth_family*G1434,0))</f>
        <v/>
      </c>
      <c r="AI1435" s="46">
        <f>AH1435*IF(B1435&gt;=in_marketplace_from,d_hz_hlth_family*G1435,0)</f>
        <v/>
      </c>
      <c r="AJ1435" s="14">
        <f>F1435*AI1435*in_hlth_family_ticket*in_hlth_family_comm*in_ins_partner_share+F1435*in_hlth_family_ticket*in_hlth_family_renew_comm*in_ins_partner_share*(in_hlth_family_renew^1*SUMIFS(AI1426:AI1453,B1426:B1453,B1435-12)+in_hlth_family_renew^2*SUMIFS(AI1426:AI1453,B1426:B1453,B1435-24)+in_hlth_family_renew^3*SUMIFS(AI1426:AI1453,B1426:B1453,B1435-36)+in_hlth_family_renew^4*SUMIFS(AI1426:AI1453,B1426:B1453,B1435-48))</f>
        <v/>
      </c>
      <c r="AK1435" s="40">
        <f>AK1434*(1-IF(B1434&gt;=in_marketplace_from,d_hz_life_term*G1434,0))</f>
        <v/>
      </c>
      <c r="AL1435" s="46">
        <f>AK1435*IF(B1435&gt;=in_marketplace_from,d_hz_life_term*G1435,0)</f>
        <v/>
      </c>
      <c r="AM1435" s="14">
        <f>F1435*AL1435*in_life_term_ticket*in_life_term_comm*in_ins_partner_share+F1435*in_life_term_ticket*in_life_term_renew_comm*in_ins_partner_share*(in_life_term_renew^1*SUMIFS(AL1426:AL1453,B1426:B1453,B1435-12)+in_life_term_renew^2*SUMIFS(AL1426:AL1453,B1426:B1453,B1435-24)+in_life_term_renew^3*SUMIFS(AL1426:AL1453,B1426:B1453,B1435-36)+in_life_term_renew^4*SUMIFS(AL1426:AL1453,B1426:B1453,B1435-48))</f>
        <v/>
      </c>
      <c r="AN1435" s="40">
        <f>AN1434*(1-IF(B1434&gt;=in_marketplace_from,d_hz_accident*G1434,0))</f>
        <v/>
      </c>
      <c r="AO1435" s="46">
        <f>AN1435*IF(B1435&gt;=in_marketplace_from,d_hz_accident*G1435,0)</f>
        <v/>
      </c>
      <c r="AP1435" s="14">
        <f>F1435*AO1435*in_accident_ticket*in_accident_comm*in_ins_partner_share+F1435*in_accident_ticket*in_accident_renew_comm*in_ins_partner_share*(in_accident_renew^1*SUMIFS(AO1426:AO1453,B1426:B1453,B1435-12)+in_accident_renew^2*SUMIFS(AO1426:AO1453,B1426:B1453,B1435-24)+in_accident_renew^3*SUMIFS(AO1426:AO1453,B1426:B1453,B1435-36)+in_accident_renew^4*SUMIFS(AO1426:AO1453,B1426:B1453,B1435-48))</f>
        <v/>
      </c>
      <c r="AQ1435" s="40">
        <f>AQ1434*(1-IF(B1434&gt;=in_marketplace_from,d_hz_two_wheeler*G1434,0))</f>
        <v/>
      </c>
      <c r="AR1435" s="46">
        <f>AQ1435*IF(B1435&gt;=in_marketplace_from,d_hz_two_wheeler*G1435,0)</f>
        <v/>
      </c>
      <c r="AS1435" s="14">
        <f>F1435*AR1435*in_two_wheeler_ticket*in_two_wheeler_comm*in_ins_partner_share+F1435*in_two_wheeler_ticket*in_two_wheeler_comm*in_ins_partner_share*(in_two_wheeler_renew^1*SUMIFS(AR1426:AR1453,B1426:B1453,B1435-12)+in_two_wheeler_renew^2*SUMIFS(AR1426:AR1453,B1426:B1453,B1435-24)+in_two_wheeler_renew^3*SUMIFS(AR1426:AR1453,B1426:B1453,B1435-36)+in_two_wheeler_renew^4*SUMIFS(AR1426:AR1453,B1426:B1453,B1435-48))</f>
        <v/>
      </c>
      <c r="AT1435" s="40">
        <f>AT1434*(1-IF(B1434&gt;=in_marketplace_from,d_hz_device*G1434,0))</f>
        <v/>
      </c>
      <c r="AU1435" s="14">
        <f>F1435*AT1435*IF(B1435&gt;=in_marketplace_from,d_hz_device*G1435,0)*in_device_ticket*in_device_comm*in_ins_partner_share</f>
        <v/>
      </c>
      <c r="AV1435" s="40">
        <f>AV1434*(1-IF(B1434&gt;=in_marketplace_from,d_hz_shop*G1434,0))</f>
        <v/>
      </c>
      <c r="AW1435" s="46">
        <f>AV1435*IF(B1435&gt;=in_marketplace_from,d_hz_shop*G1435,0)</f>
        <v/>
      </c>
      <c r="AX1435" s="14">
        <f>F1435*AW1435*in_shop_ticket*in_shop_comm*in_ins_partner_share+F1435*in_shop_ticket*in_shop_renew_comm*in_ins_partner_share*(in_shop_renew^1*SUMIFS(AW1426:AW1453,B1426:B1453,B1435-12)+in_shop_renew^2*SUMIFS(AW1426:AW1453,B1426:B1453,B1435-24)+in_shop_renew^3*SUMIFS(AW1426:AW1453,B1426:B1453,B1435-36)+in_shop_renew^4*SUMIFS(AW1426:AW1453,B1426:B1453,B1435-48))</f>
        <v/>
      </c>
      <c r="AY1435" s="40">
        <f>AY1434*(1-IF(B1434&gt;=in_marketplace_from,d_hz_sip*G1434,0))</f>
        <v/>
      </c>
      <c r="AZ1435" s="40">
        <f>AZ1434*d_rho_sip+AY1435*IF(B1435&gt;=in_marketplace_from,d_hz_sip*G1435,0)</f>
        <v/>
      </c>
      <c r="BA1435" s="40">
        <f>d_rho_sip*(BA1434+AZ1434)</f>
        <v/>
      </c>
      <c r="BB1435" s="14">
        <f>F1435*in_sip_ticket*(BA1435+0.5*AZ1435)*in_sip_comm/12</f>
        <v/>
      </c>
      <c r="BC1435" s="40">
        <f>BC1434*(1-IF(B1434&gt;=in_marketplace_from,d_hz_choti*G1434,0))</f>
        <v/>
      </c>
      <c r="BD1435" s="46">
        <f>BC1435*IF(B1435&gt;=in_marketplace_from,d_hz_choti*G1435,0)</f>
        <v/>
      </c>
      <c r="BE1435" s="14">
        <f>F1435*SUMIFS(BD1426:BD1453,B1426:B1453,B1435-in_choti_months)*in_choti_renew*in_choti_ticket</f>
        <v/>
      </c>
      <c r="BF1435" s="40">
        <f>BF1434*(1-IF(B1434&gt;=in_marketplace_from,d_hz_nps*G1434,0))</f>
        <v/>
      </c>
      <c r="BG1435" s="14">
        <f>F1435*BF1435*IF(B1435&gt;=in_marketplace_from,d_hz_nps*G1435,0)*in_nps_ticket*in_nps_comm</f>
        <v/>
      </c>
      <c r="BH1435" s="40">
        <f>BH1434*(1-IF(B1434&gt;=in_marketplace_from,d_hz_gold*G1434,0))</f>
        <v/>
      </c>
      <c r="BI1435" s="40">
        <f>BI1434*d_rho_gold+BH1435*IF(B1435&gt;=in_marketplace_from,d_hz_gold*G1435,0)</f>
        <v/>
      </c>
      <c r="BJ1435" s="14">
        <f>F1435*BI1435*in_gold_ticket*in_gold_comm</f>
        <v/>
      </c>
      <c r="BK1435" s="40">
        <f>BK1434*(1-IF(B1434&gt;=in_marketplace_from,d_hz_fd*G1434,0))</f>
        <v/>
      </c>
      <c r="BL1435" s="14">
        <f>F1435*BK1435*IF(B1435&gt;=in_marketplace_from,d_hz_fd*G1435,0)*in_fd_ticket*in_fd_comm</f>
        <v/>
      </c>
      <c r="BM1435" s="40">
        <f>BM1434*(1-IF(B1434&gt;=in_marketplace_from,d_hz_recharge*G1434,0))</f>
        <v/>
      </c>
      <c r="BN1435" s="40">
        <f>BN1434*d_rho_recharge+BM1435*IF(B1435&gt;=in_marketplace_from,d_hz_recharge*G1435,0)</f>
        <v/>
      </c>
      <c r="BO1435" s="14">
        <f>F1435*BN1435*in_recharge_ticket*in_recharge_comm/12</f>
        <v/>
      </c>
      <c r="BP1435" s="40">
        <f>BP1434*(1-IF(B1434&gt;=in_marketplace_from,d_hz_bills*G1434,0))</f>
        <v/>
      </c>
      <c r="BQ1435" s="40">
        <f>BQ1434*d_rho_bills+BP1435*IF(B1435&gt;=in_marketplace_from,d_hz_bills*G1435,0)</f>
        <v/>
      </c>
      <c r="BR1435" s="14">
        <f>F1435*BQ1435*in_bills_ticket*in_bills_comm/12</f>
        <v/>
      </c>
      <c r="BS1435" s="40">
        <f>BS1434*(1-IF(B1434&gt;=in_marketplace_from,d_hz_loan_gold*G1434,0))</f>
        <v/>
      </c>
      <c r="BT1435" s="14">
        <f>F1435*BS1435*IF(B1435&gt;=in_marketplace_from,d_hz_loan_gold*G1435,0)*in_loan_gold_ticket*in_loan_gold_comm</f>
        <v/>
      </c>
      <c r="BU1435" s="40">
        <f>BU1434*(1-IF(B1434&gt;=in_marketplace_from,d_hz_loan_cd*G1434,0))</f>
        <v/>
      </c>
      <c r="BV1435" s="14">
        <f>F1435*BU1435*IF(B1435&gt;=in_marketplace_from,d_hz_loan_cd*G1435,0)*in_loan_cd_ticket*in_loan_cd_comm</f>
        <v/>
      </c>
      <c r="BW1435" s="40">
        <f>BW1434*(1-IF(B1434&gt;=in_marketplace_from,d_hz_loan_vehicle*G1434,0))</f>
        <v/>
      </c>
      <c r="BX1435" s="14">
        <f>F1435*BW1435*IF(B1435&gt;=in_marketplace_from,d_hz_loan_vehicle*G1435,0)*in_loan_vehicle_ticket*in_loan_vehicle_comm</f>
        <v/>
      </c>
      <c r="BY1435" s="40">
        <f>BY1434*(1-IF(B1434&gt;=in_marketplace_from,d_hz_loan_home*G1434,0)*BZ1434)</f>
        <v/>
      </c>
      <c r="BZ1435" s="11">
        <f>MIN(in_approval_cap,in_loan_home_approval*INDEX('Age profile'!$O$2:$O$61,B1435)*(1+in_approval_growth)^(D1435-1))</f>
        <v/>
      </c>
      <c r="CA1435" s="14">
        <f>F1435*BY1435*IF(B1435&gt;=in_marketplace_from,d_hz_loan_home*G1435,0)*BZ1435*in_loan_home_ticket*in_loan_home_comm</f>
        <v/>
      </c>
      <c r="CB1435" s="40">
        <f>CB1434*(1-IF(B1434&gt;=in_marketplace_from,d_hz_loan_lap*G1434,0)*CC1434)</f>
        <v/>
      </c>
      <c r="CC1435" s="11">
        <f>MIN(in_approval_cap,in_loan_lap_approval*INDEX('Age profile'!$O$2:$O$61,B1435)*(1+in_approval_growth)^(D1435-1))</f>
        <v/>
      </c>
      <c r="CD1435" s="14">
        <f>F1435*CB1435*IF(B1435&gt;=in_marketplace_from,d_hz_loan_lap*G1435,0)*CC1435*in_loan_lap_ticket*in_loan_lap_comm</f>
        <v/>
      </c>
      <c r="CE1435" s="14">
        <f>AA1435+AB1435+AC1435+AD1435+AG1435+AJ1435+AM1435+AP1435+AS1435+AU1435+AX1435+BB1435+BE1435+BG1435+BJ1435+BL1435+BO1435+BR1435+BT1435+BV1435+BX1435+CA1435+CD1435</f>
        <v/>
      </c>
    </row>
    <row r="1436">
      <c r="A1436" s="39" t="n">
        <v>33</v>
      </c>
      <c r="B1436" s="39" t="n">
        <v>11</v>
      </c>
      <c r="C1436" s="39">
        <f>A1436+B1436-1</f>
        <v/>
      </c>
      <c r="D1436" s="39">
        <f>INT((C1436-1)/12)+1</f>
        <v/>
      </c>
      <c r="E1436" s="44">
        <f>INDEX(Monthly!$B$2:$B$61,A1436)</f>
        <v/>
      </c>
      <c r="F1436" s="44">
        <f>E1436*INDEX('Age profile'!$B$2:$B$61,B1436)</f>
        <v/>
      </c>
      <c r="G1436" s="45">
        <f>MIN(in_takeup_cap,INDEX('Age profile'!$N$2:$N$61,B1436)*(1+in_takeup_growth)^(D1436-1))</f>
        <v/>
      </c>
      <c r="H1436" s="11">
        <f>MIN(in_approval_cap,in_approved_first*INDEX('Age profile'!$O$2:$O$61,B1436)*(1+in_approval_growth)^(D1436-1))</f>
        <v/>
      </c>
      <c r="I1436" s="45">
        <f>G1436*MIN(in_takeup_cap,INDEX('Age profile'!$O$2:$O$61,B1436)*(1+in_approval_growth)^(D1436-1))</f>
        <v/>
      </c>
      <c r="J1436" s="40">
        <f>(J1435-L1435)*F1436/F1435</f>
        <v/>
      </c>
      <c r="K1436" s="40">
        <f>(K1435-M1435)*F1436/F1435+SUMIFS(O1426:O1435,B1426:B1435,B1436-1-d_T)*F1436</f>
        <v/>
      </c>
      <c r="L1436" s="40">
        <f>IF(B1436&gt;=in_marketplace_from,J1436*d_hz*G1436*in_eligible*H1436,0)</f>
        <v/>
      </c>
      <c r="M1436" s="40">
        <f>IF(B1436&gt;=in_marketplace_from,K1436*d_hz*G1436*in_eligible*in_approved_repeat,0)</f>
        <v/>
      </c>
      <c r="N1436" s="40">
        <f>L1436+M1436</f>
        <v/>
      </c>
      <c r="O1436" s="46">
        <f>N1436/F1436</f>
        <v/>
      </c>
      <c r="P1436" s="40">
        <f>F1436-J1436-K1436</f>
        <v/>
      </c>
      <c r="Q1436" s="40">
        <f>IF(B1436&gt;=in_marketplace_from,(J1436+K1436)*d_hz*G1436,0)</f>
        <v/>
      </c>
      <c r="R1436" s="40">
        <f>SUMIFS(N1426:N1453,B1426:B1453,"&gt;="&amp;(B1436-d_T),B1426:B1453,"&lt;="&amp;(B1436-1))</f>
        <v/>
      </c>
      <c r="S1436" s="46">
        <f>(1-d_u)*S1435+IF(d_T&gt;in_topup_lag,SUMIFS(O1426:O1453,B1426:B1453,B1436-in_topup_lag)-d_udrop*SUMIFS(O1426:O1453,B1426:B1453,B1436-d_T),0)</f>
        <v/>
      </c>
      <c r="T1436" s="40">
        <f>F1436*d_u*S1436</f>
        <v/>
      </c>
      <c r="U1436" s="9">
        <f>L1436*in_ticket+M1436*d_rep_ticket</f>
        <v/>
      </c>
      <c r="V1436" s="9">
        <f>U1436+T1436*d_topup_amt</f>
        <v/>
      </c>
      <c r="W1436" s="40">
        <f>N1436+T1436*d_topup_ratio</f>
        <v/>
      </c>
      <c r="X1436" s="40">
        <f>SUMIFS(W1426:W1453,B1426:B1453,B1436-in_dpd_lag)*d_cured</f>
        <v/>
      </c>
      <c r="Y1436" s="40">
        <f>SUMIFS(W1426:W1453,B1426:B1453,B1436-in_rec_lag)*d_recd</f>
        <v/>
      </c>
      <c r="Z1436" s="40">
        <f>IF(AND(B1436&gt;=in_marketplace_from,B1436&lt;in_marketplace_from+in_card_months),in_card_share/in_card_months*F1436*I1436,IF(AND(B1436&gt;=in_marketplace_from+in_card_months,B1436&lt;in_marketplace_from+2*in_card_months),in_card_share*d_card_rem/in_card_months*F1436*MIN(in_takeup_cap,(1+in_takeup_growth)^(D1436-1))*MIN(in_takeup_cap,(1+in_approval_growth)^(D1436-1)),0))</f>
        <v/>
      </c>
      <c r="AA1436" s="14">
        <f>V1436*in_fee*(1-in_taken_back)</f>
        <v/>
      </c>
      <c r="AB1436" s="14">
        <f>SUMIFS(W1426:W1453,B1426:B1453,B1436-in_dpd_lag)*d_dpd</f>
        <v/>
      </c>
      <c r="AC1436" s="14">
        <f>SUMIFS(W1426:W1453,B1426:B1453,B1436-in_rec_lag)*d_rec</f>
        <v/>
      </c>
      <c r="AD1436" s="14">
        <f>Z1436*in_card_fee</f>
        <v/>
      </c>
      <c r="AE1436" s="40">
        <f>AE1435*(1-IF(B1435&gt;=in_marketplace_from,d_hz_hlth_small*G1435,0))</f>
        <v/>
      </c>
      <c r="AF1436" s="46">
        <f>AE1436*IF(B1436&gt;=in_marketplace_from,d_hz_hlth_small*G1436,0)</f>
        <v/>
      </c>
      <c r="AG1436" s="14">
        <f>F1436*AF1436*in_hlth_small_ticket*in_hlth_small_comm*in_ins_partner_share+F1436*in_hlth_small_ticket*in_hlth_small_renew_comm*in_ins_partner_share*(in_hlth_small_renew^1*SUMIFS(AF1426:AF1453,B1426:B1453,B1436-12)+in_hlth_small_renew^2*SUMIFS(AF1426:AF1453,B1426:B1453,B1436-24)+in_hlth_small_renew^3*SUMIFS(AF1426:AF1453,B1426:B1453,B1436-36)+in_hlth_small_renew^4*SUMIFS(AF1426:AF1453,B1426:B1453,B1436-48))</f>
        <v/>
      </c>
      <c r="AH1436" s="40">
        <f>AH1435*(1-IF(B1435&gt;=in_marketplace_from,d_hz_hlth_family*G1435,0))</f>
        <v/>
      </c>
      <c r="AI1436" s="46">
        <f>AH1436*IF(B1436&gt;=in_marketplace_from,d_hz_hlth_family*G1436,0)</f>
        <v/>
      </c>
      <c r="AJ1436" s="14">
        <f>F1436*AI1436*in_hlth_family_ticket*in_hlth_family_comm*in_ins_partner_share+F1436*in_hlth_family_ticket*in_hlth_family_renew_comm*in_ins_partner_share*(in_hlth_family_renew^1*SUMIFS(AI1426:AI1453,B1426:B1453,B1436-12)+in_hlth_family_renew^2*SUMIFS(AI1426:AI1453,B1426:B1453,B1436-24)+in_hlth_family_renew^3*SUMIFS(AI1426:AI1453,B1426:B1453,B1436-36)+in_hlth_family_renew^4*SUMIFS(AI1426:AI1453,B1426:B1453,B1436-48))</f>
        <v/>
      </c>
      <c r="AK1436" s="40">
        <f>AK1435*(1-IF(B1435&gt;=in_marketplace_from,d_hz_life_term*G1435,0))</f>
        <v/>
      </c>
      <c r="AL1436" s="46">
        <f>AK1436*IF(B1436&gt;=in_marketplace_from,d_hz_life_term*G1436,0)</f>
        <v/>
      </c>
      <c r="AM1436" s="14">
        <f>F1436*AL1436*in_life_term_ticket*in_life_term_comm*in_ins_partner_share+F1436*in_life_term_ticket*in_life_term_renew_comm*in_ins_partner_share*(in_life_term_renew^1*SUMIFS(AL1426:AL1453,B1426:B1453,B1436-12)+in_life_term_renew^2*SUMIFS(AL1426:AL1453,B1426:B1453,B1436-24)+in_life_term_renew^3*SUMIFS(AL1426:AL1453,B1426:B1453,B1436-36)+in_life_term_renew^4*SUMIFS(AL1426:AL1453,B1426:B1453,B1436-48))</f>
        <v/>
      </c>
      <c r="AN1436" s="40">
        <f>AN1435*(1-IF(B1435&gt;=in_marketplace_from,d_hz_accident*G1435,0))</f>
        <v/>
      </c>
      <c r="AO1436" s="46">
        <f>AN1436*IF(B1436&gt;=in_marketplace_from,d_hz_accident*G1436,0)</f>
        <v/>
      </c>
      <c r="AP1436" s="14">
        <f>F1436*AO1436*in_accident_ticket*in_accident_comm*in_ins_partner_share+F1436*in_accident_ticket*in_accident_renew_comm*in_ins_partner_share*(in_accident_renew^1*SUMIFS(AO1426:AO1453,B1426:B1453,B1436-12)+in_accident_renew^2*SUMIFS(AO1426:AO1453,B1426:B1453,B1436-24)+in_accident_renew^3*SUMIFS(AO1426:AO1453,B1426:B1453,B1436-36)+in_accident_renew^4*SUMIFS(AO1426:AO1453,B1426:B1453,B1436-48))</f>
        <v/>
      </c>
      <c r="AQ1436" s="40">
        <f>AQ1435*(1-IF(B1435&gt;=in_marketplace_from,d_hz_two_wheeler*G1435,0))</f>
        <v/>
      </c>
      <c r="AR1436" s="46">
        <f>AQ1436*IF(B1436&gt;=in_marketplace_from,d_hz_two_wheeler*G1436,0)</f>
        <v/>
      </c>
      <c r="AS1436" s="14">
        <f>F1436*AR1436*in_two_wheeler_ticket*in_two_wheeler_comm*in_ins_partner_share+F1436*in_two_wheeler_ticket*in_two_wheeler_comm*in_ins_partner_share*(in_two_wheeler_renew^1*SUMIFS(AR1426:AR1453,B1426:B1453,B1436-12)+in_two_wheeler_renew^2*SUMIFS(AR1426:AR1453,B1426:B1453,B1436-24)+in_two_wheeler_renew^3*SUMIFS(AR1426:AR1453,B1426:B1453,B1436-36)+in_two_wheeler_renew^4*SUMIFS(AR1426:AR1453,B1426:B1453,B1436-48))</f>
        <v/>
      </c>
      <c r="AT1436" s="40">
        <f>AT1435*(1-IF(B1435&gt;=in_marketplace_from,d_hz_device*G1435,0))</f>
        <v/>
      </c>
      <c r="AU1436" s="14">
        <f>F1436*AT1436*IF(B1436&gt;=in_marketplace_from,d_hz_device*G1436,0)*in_device_ticket*in_device_comm*in_ins_partner_share</f>
        <v/>
      </c>
      <c r="AV1436" s="40">
        <f>AV1435*(1-IF(B1435&gt;=in_marketplace_from,d_hz_shop*G1435,0))</f>
        <v/>
      </c>
      <c r="AW1436" s="46">
        <f>AV1436*IF(B1436&gt;=in_marketplace_from,d_hz_shop*G1436,0)</f>
        <v/>
      </c>
      <c r="AX1436" s="14">
        <f>F1436*AW1436*in_shop_ticket*in_shop_comm*in_ins_partner_share+F1436*in_shop_ticket*in_shop_renew_comm*in_ins_partner_share*(in_shop_renew^1*SUMIFS(AW1426:AW1453,B1426:B1453,B1436-12)+in_shop_renew^2*SUMIFS(AW1426:AW1453,B1426:B1453,B1436-24)+in_shop_renew^3*SUMIFS(AW1426:AW1453,B1426:B1453,B1436-36)+in_shop_renew^4*SUMIFS(AW1426:AW1453,B1426:B1453,B1436-48))</f>
        <v/>
      </c>
      <c r="AY1436" s="40">
        <f>AY1435*(1-IF(B1435&gt;=in_marketplace_from,d_hz_sip*G1435,0))</f>
        <v/>
      </c>
      <c r="AZ1436" s="40">
        <f>AZ1435*d_rho_sip+AY1436*IF(B1436&gt;=in_marketplace_from,d_hz_sip*G1436,0)</f>
        <v/>
      </c>
      <c r="BA1436" s="40">
        <f>d_rho_sip*(BA1435+AZ1435)</f>
        <v/>
      </c>
      <c r="BB1436" s="14">
        <f>F1436*in_sip_ticket*(BA1436+0.5*AZ1436)*in_sip_comm/12</f>
        <v/>
      </c>
      <c r="BC1436" s="40">
        <f>BC1435*(1-IF(B1435&gt;=in_marketplace_from,d_hz_choti*G1435,0))</f>
        <v/>
      </c>
      <c r="BD1436" s="46">
        <f>BC1436*IF(B1436&gt;=in_marketplace_from,d_hz_choti*G1436,0)</f>
        <v/>
      </c>
      <c r="BE1436" s="14">
        <f>F1436*SUMIFS(BD1426:BD1453,B1426:B1453,B1436-in_choti_months)*in_choti_renew*in_choti_ticket</f>
        <v/>
      </c>
      <c r="BF1436" s="40">
        <f>BF1435*(1-IF(B1435&gt;=in_marketplace_from,d_hz_nps*G1435,0))</f>
        <v/>
      </c>
      <c r="BG1436" s="14">
        <f>F1436*BF1436*IF(B1436&gt;=in_marketplace_from,d_hz_nps*G1436,0)*in_nps_ticket*in_nps_comm</f>
        <v/>
      </c>
      <c r="BH1436" s="40">
        <f>BH1435*(1-IF(B1435&gt;=in_marketplace_from,d_hz_gold*G1435,0))</f>
        <v/>
      </c>
      <c r="BI1436" s="40">
        <f>BI1435*d_rho_gold+BH1436*IF(B1436&gt;=in_marketplace_from,d_hz_gold*G1436,0)</f>
        <v/>
      </c>
      <c r="BJ1436" s="14">
        <f>F1436*BI1436*in_gold_ticket*in_gold_comm</f>
        <v/>
      </c>
      <c r="BK1436" s="40">
        <f>BK1435*(1-IF(B1435&gt;=in_marketplace_from,d_hz_fd*G1435,0))</f>
        <v/>
      </c>
      <c r="BL1436" s="14">
        <f>F1436*BK1436*IF(B1436&gt;=in_marketplace_from,d_hz_fd*G1436,0)*in_fd_ticket*in_fd_comm</f>
        <v/>
      </c>
      <c r="BM1436" s="40">
        <f>BM1435*(1-IF(B1435&gt;=in_marketplace_from,d_hz_recharge*G1435,0))</f>
        <v/>
      </c>
      <c r="BN1436" s="40">
        <f>BN1435*d_rho_recharge+BM1436*IF(B1436&gt;=in_marketplace_from,d_hz_recharge*G1436,0)</f>
        <v/>
      </c>
      <c r="BO1436" s="14">
        <f>F1436*BN1436*in_recharge_ticket*in_recharge_comm/12</f>
        <v/>
      </c>
      <c r="BP1436" s="40">
        <f>BP1435*(1-IF(B1435&gt;=in_marketplace_from,d_hz_bills*G1435,0))</f>
        <v/>
      </c>
      <c r="BQ1436" s="40">
        <f>BQ1435*d_rho_bills+BP1436*IF(B1436&gt;=in_marketplace_from,d_hz_bills*G1436,0)</f>
        <v/>
      </c>
      <c r="BR1436" s="14">
        <f>F1436*BQ1436*in_bills_ticket*in_bills_comm/12</f>
        <v/>
      </c>
      <c r="BS1436" s="40">
        <f>BS1435*(1-IF(B1435&gt;=in_marketplace_from,d_hz_loan_gold*G1435,0))</f>
        <v/>
      </c>
      <c r="BT1436" s="14">
        <f>F1436*BS1436*IF(B1436&gt;=in_marketplace_from,d_hz_loan_gold*G1436,0)*in_loan_gold_ticket*in_loan_gold_comm</f>
        <v/>
      </c>
      <c r="BU1436" s="40">
        <f>BU1435*(1-IF(B1435&gt;=in_marketplace_from,d_hz_loan_cd*G1435,0))</f>
        <v/>
      </c>
      <c r="BV1436" s="14">
        <f>F1436*BU1436*IF(B1436&gt;=in_marketplace_from,d_hz_loan_cd*G1436,0)*in_loan_cd_ticket*in_loan_cd_comm</f>
        <v/>
      </c>
      <c r="BW1436" s="40">
        <f>BW1435*(1-IF(B1435&gt;=in_marketplace_from,d_hz_loan_vehicle*G1435,0))</f>
        <v/>
      </c>
      <c r="BX1436" s="14">
        <f>F1436*BW1436*IF(B1436&gt;=in_marketplace_from,d_hz_loan_vehicle*G1436,0)*in_loan_vehicle_ticket*in_loan_vehicle_comm</f>
        <v/>
      </c>
      <c r="BY1436" s="40">
        <f>BY1435*(1-IF(B1435&gt;=in_marketplace_from,d_hz_loan_home*G1435,0)*BZ1435)</f>
        <v/>
      </c>
      <c r="BZ1436" s="11">
        <f>MIN(in_approval_cap,in_loan_home_approval*INDEX('Age profile'!$O$2:$O$61,B1436)*(1+in_approval_growth)^(D1436-1))</f>
        <v/>
      </c>
      <c r="CA1436" s="14">
        <f>F1436*BY1436*IF(B1436&gt;=in_marketplace_from,d_hz_loan_home*G1436,0)*BZ1436*in_loan_home_ticket*in_loan_home_comm</f>
        <v/>
      </c>
      <c r="CB1436" s="40">
        <f>CB1435*(1-IF(B1435&gt;=in_marketplace_from,d_hz_loan_lap*G1435,0)*CC1435)</f>
        <v/>
      </c>
      <c r="CC1436" s="11">
        <f>MIN(in_approval_cap,in_loan_lap_approval*INDEX('Age profile'!$O$2:$O$61,B1436)*(1+in_approval_growth)^(D1436-1))</f>
        <v/>
      </c>
      <c r="CD1436" s="14">
        <f>F1436*CB1436*IF(B1436&gt;=in_marketplace_from,d_hz_loan_lap*G1436,0)*CC1436*in_loan_lap_ticket*in_loan_lap_comm</f>
        <v/>
      </c>
      <c r="CE1436" s="14">
        <f>AA1436+AB1436+AC1436+AD1436+AG1436+AJ1436+AM1436+AP1436+AS1436+AU1436+AX1436+BB1436+BE1436+BG1436+BJ1436+BL1436+BO1436+BR1436+BT1436+BV1436+BX1436+CA1436+CD1436</f>
        <v/>
      </c>
    </row>
    <row r="1437">
      <c r="A1437" s="39" t="n">
        <v>33</v>
      </c>
      <c r="B1437" s="39" t="n">
        <v>12</v>
      </c>
      <c r="C1437" s="39">
        <f>A1437+B1437-1</f>
        <v/>
      </c>
      <c r="D1437" s="39">
        <f>INT((C1437-1)/12)+1</f>
        <v/>
      </c>
      <c r="E1437" s="44">
        <f>INDEX(Monthly!$B$2:$B$61,A1437)</f>
        <v/>
      </c>
      <c r="F1437" s="44">
        <f>E1437*INDEX('Age profile'!$B$2:$B$61,B1437)</f>
        <v/>
      </c>
      <c r="G1437" s="45">
        <f>MIN(in_takeup_cap,INDEX('Age profile'!$N$2:$N$61,B1437)*(1+in_takeup_growth)^(D1437-1))</f>
        <v/>
      </c>
      <c r="H1437" s="11">
        <f>MIN(in_approval_cap,in_approved_first*INDEX('Age profile'!$O$2:$O$61,B1437)*(1+in_approval_growth)^(D1437-1))</f>
        <v/>
      </c>
      <c r="I1437" s="45">
        <f>G1437*MIN(in_takeup_cap,INDEX('Age profile'!$O$2:$O$61,B1437)*(1+in_approval_growth)^(D1437-1))</f>
        <v/>
      </c>
      <c r="J1437" s="40">
        <f>(J1436-L1436)*F1437/F1436</f>
        <v/>
      </c>
      <c r="K1437" s="40">
        <f>(K1436-M1436)*F1437/F1436+SUMIFS(O1426:O1436,B1426:B1436,B1437-1-d_T)*F1437</f>
        <v/>
      </c>
      <c r="L1437" s="40">
        <f>IF(B1437&gt;=in_marketplace_from,J1437*d_hz*G1437*in_eligible*H1437,0)</f>
        <v/>
      </c>
      <c r="M1437" s="40">
        <f>IF(B1437&gt;=in_marketplace_from,K1437*d_hz*G1437*in_eligible*in_approved_repeat,0)</f>
        <v/>
      </c>
      <c r="N1437" s="40">
        <f>L1437+M1437</f>
        <v/>
      </c>
      <c r="O1437" s="46">
        <f>N1437/F1437</f>
        <v/>
      </c>
      <c r="P1437" s="40">
        <f>F1437-J1437-K1437</f>
        <v/>
      </c>
      <c r="Q1437" s="40">
        <f>IF(B1437&gt;=in_marketplace_from,(J1437+K1437)*d_hz*G1437,0)</f>
        <v/>
      </c>
      <c r="R1437" s="40">
        <f>SUMIFS(N1426:N1453,B1426:B1453,"&gt;="&amp;(B1437-d_T),B1426:B1453,"&lt;="&amp;(B1437-1))</f>
        <v/>
      </c>
      <c r="S1437" s="46">
        <f>(1-d_u)*S1436+IF(d_T&gt;in_topup_lag,SUMIFS(O1426:O1453,B1426:B1453,B1437-in_topup_lag)-d_udrop*SUMIFS(O1426:O1453,B1426:B1453,B1437-d_T),0)</f>
        <v/>
      </c>
      <c r="T1437" s="40">
        <f>F1437*d_u*S1437</f>
        <v/>
      </c>
      <c r="U1437" s="9">
        <f>L1437*in_ticket+M1437*d_rep_ticket</f>
        <v/>
      </c>
      <c r="V1437" s="9">
        <f>U1437+T1437*d_topup_amt</f>
        <v/>
      </c>
      <c r="W1437" s="40">
        <f>N1437+T1437*d_topup_ratio</f>
        <v/>
      </c>
      <c r="X1437" s="40">
        <f>SUMIFS(W1426:W1453,B1426:B1453,B1437-in_dpd_lag)*d_cured</f>
        <v/>
      </c>
      <c r="Y1437" s="40">
        <f>SUMIFS(W1426:W1453,B1426:B1453,B1437-in_rec_lag)*d_recd</f>
        <v/>
      </c>
      <c r="Z1437" s="40">
        <f>IF(AND(B1437&gt;=in_marketplace_from,B1437&lt;in_marketplace_from+in_card_months),in_card_share/in_card_months*F1437*I1437,IF(AND(B1437&gt;=in_marketplace_from+in_card_months,B1437&lt;in_marketplace_from+2*in_card_months),in_card_share*d_card_rem/in_card_months*F1437*MIN(in_takeup_cap,(1+in_takeup_growth)^(D1437-1))*MIN(in_takeup_cap,(1+in_approval_growth)^(D1437-1)),0))</f>
        <v/>
      </c>
      <c r="AA1437" s="14">
        <f>V1437*in_fee*(1-in_taken_back)</f>
        <v/>
      </c>
      <c r="AB1437" s="14">
        <f>SUMIFS(W1426:W1453,B1426:B1453,B1437-in_dpd_lag)*d_dpd</f>
        <v/>
      </c>
      <c r="AC1437" s="14">
        <f>SUMIFS(W1426:W1453,B1426:B1453,B1437-in_rec_lag)*d_rec</f>
        <v/>
      </c>
      <c r="AD1437" s="14">
        <f>Z1437*in_card_fee</f>
        <v/>
      </c>
      <c r="AE1437" s="40">
        <f>AE1436*(1-IF(B1436&gt;=in_marketplace_from,d_hz_hlth_small*G1436,0))</f>
        <v/>
      </c>
      <c r="AF1437" s="46">
        <f>AE1437*IF(B1437&gt;=in_marketplace_from,d_hz_hlth_small*G1437,0)</f>
        <v/>
      </c>
      <c r="AG1437" s="14">
        <f>F1437*AF1437*in_hlth_small_ticket*in_hlth_small_comm*in_ins_partner_share+F1437*in_hlth_small_ticket*in_hlth_small_renew_comm*in_ins_partner_share*(in_hlth_small_renew^1*SUMIFS(AF1426:AF1453,B1426:B1453,B1437-12)+in_hlth_small_renew^2*SUMIFS(AF1426:AF1453,B1426:B1453,B1437-24)+in_hlth_small_renew^3*SUMIFS(AF1426:AF1453,B1426:B1453,B1437-36)+in_hlth_small_renew^4*SUMIFS(AF1426:AF1453,B1426:B1453,B1437-48))</f>
        <v/>
      </c>
      <c r="AH1437" s="40">
        <f>AH1436*(1-IF(B1436&gt;=in_marketplace_from,d_hz_hlth_family*G1436,0))</f>
        <v/>
      </c>
      <c r="AI1437" s="46">
        <f>AH1437*IF(B1437&gt;=in_marketplace_from,d_hz_hlth_family*G1437,0)</f>
        <v/>
      </c>
      <c r="AJ1437" s="14">
        <f>F1437*AI1437*in_hlth_family_ticket*in_hlth_family_comm*in_ins_partner_share+F1437*in_hlth_family_ticket*in_hlth_family_renew_comm*in_ins_partner_share*(in_hlth_family_renew^1*SUMIFS(AI1426:AI1453,B1426:B1453,B1437-12)+in_hlth_family_renew^2*SUMIFS(AI1426:AI1453,B1426:B1453,B1437-24)+in_hlth_family_renew^3*SUMIFS(AI1426:AI1453,B1426:B1453,B1437-36)+in_hlth_family_renew^4*SUMIFS(AI1426:AI1453,B1426:B1453,B1437-48))</f>
        <v/>
      </c>
      <c r="AK1437" s="40">
        <f>AK1436*(1-IF(B1436&gt;=in_marketplace_from,d_hz_life_term*G1436,0))</f>
        <v/>
      </c>
      <c r="AL1437" s="46">
        <f>AK1437*IF(B1437&gt;=in_marketplace_from,d_hz_life_term*G1437,0)</f>
        <v/>
      </c>
      <c r="AM1437" s="14">
        <f>F1437*AL1437*in_life_term_ticket*in_life_term_comm*in_ins_partner_share+F1437*in_life_term_ticket*in_life_term_renew_comm*in_ins_partner_share*(in_life_term_renew^1*SUMIFS(AL1426:AL1453,B1426:B1453,B1437-12)+in_life_term_renew^2*SUMIFS(AL1426:AL1453,B1426:B1453,B1437-24)+in_life_term_renew^3*SUMIFS(AL1426:AL1453,B1426:B1453,B1437-36)+in_life_term_renew^4*SUMIFS(AL1426:AL1453,B1426:B1453,B1437-48))</f>
        <v/>
      </c>
      <c r="AN1437" s="40">
        <f>AN1436*(1-IF(B1436&gt;=in_marketplace_from,d_hz_accident*G1436,0))</f>
        <v/>
      </c>
      <c r="AO1437" s="46">
        <f>AN1437*IF(B1437&gt;=in_marketplace_from,d_hz_accident*G1437,0)</f>
        <v/>
      </c>
      <c r="AP1437" s="14">
        <f>F1437*AO1437*in_accident_ticket*in_accident_comm*in_ins_partner_share+F1437*in_accident_ticket*in_accident_renew_comm*in_ins_partner_share*(in_accident_renew^1*SUMIFS(AO1426:AO1453,B1426:B1453,B1437-12)+in_accident_renew^2*SUMIFS(AO1426:AO1453,B1426:B1453,B1437-24)+in_accident_renew^3*SUMIFS(AO1426:AO1453,B1426:B1453,B1437-36)+in_accident_renew^4*SUMIFS(AO1426:AO1453,B1426:B1453,B1437-48))</f>
        <v/>
      </c>
      <c r="AQ1437" s="40">
        <f>AQ1436*(1-IF(B1436&gt;=in_marketplace_from,d_hz_two_wheeler*G1436,0))</f>
        <v/>
      </c>
      <c r="AR1437" s="46">
        <f>AQ1437*IF(B1437&gt;=in_marketplace_from,d_hz_two_wheeler*G1437,0)</f>
        <v/>
      </c>
      <c r="AS1437" s="14">
        <f>F1437*AR1437*in_two_wheeler_ticket*in_two_wheeler_comm*in_ins_partner_share+F1437*in_two_wheeler_ticket*in_two_wheeler_comm*in_ins_partner_share*(in_two_wheeler_renew^1*SUMIFS(AR1426:AR1453,B1426:B1453,B1437-12)+in_two_wheeler_renew^2*SUMIFS(AR1426:AR1453,B1426:B1453,B1437-24)+in_two_wheeler_renew^3*SUMIFS(AR1426:AR1453,B1426:B1453,B1437-36)+in_two_wheeler_renew^4*SUMIFS(AR1426:AR1453,B1426:B1453,B1437-48))</f>
        <v/>
      </c>
      <c r="AT1437" s="40">
        <f>AT1436*(1-IF(B1436&gt;=in_marketplace_from,d_hz_device*G1436,0))</f>
        <v/>
      </c>
      <c r="AU1437" s="14">
        <f>F1437*AT1437*IF(B1437&gt;=in_marketplace_from,d_hz_device*G1437,0)*in_device_ticket*in_device_comm*in_ins_partner_share</f>
        <v/>
      </c>
      <c r="AV1437" s="40">
        <f>AV1436*(1-IF(B1436&gt;=in_marketplace_from,d_hz_shop*G1436,0))</f>
        <v/>
      </c>
      <c r="AW1437" s="46">
        <f>AV1437*IF(B1437&gt;=in_marketplace_from,d_hz_shop*G1437,0)</f>
        <v/>
      </c>
      <c r="AX1437" s="14">
        <f>F1437*AW1437*in_shop_ticket*in_shop_comm*in_ins_partner_share+F1437*in_shop_ticket*in_shop_renew_comm*in_ins_partner_share*(in_shop_renew^1*SUMIFS(AW1426:AW1453,B1426:B1453,B1437-12)+in_shop_renew^2*SUMIFS(AW1426:AW1453,B1426:B1453,B1437-24)+in_shop_renew^3*SUMIFS(AW1426:AW1453,B1426:B1453,B1437-36)+in_shop_renew^4*SUMIFS(AW1426:AW1453,B1426:B1453,B1437-48))</f>
        <v/>
      </c>
      <c r="AY1437" s="40">
        <f>AY1436*(1-IF(B1436&gt;=in_marketplace_from,d_hz_sip*G1436,0))</f>
        <v/>
      </c>
      <c r="AZ1437" s="40">
        <f>AZ1436*d_rho_sip+AY1437*IF(B1437&gt;=in_marketplace_from,d_hz_sip*G1437,0)</f>
        <v/>
      </c>
      <c r="BA1437" s="40">
        <f>d_rho_sip*(BA1436+AZ1436)</f>
        <v/>
      </c>
      <c r="BB1437" s="14">
        <f>F1437*in_sip_ticket*(BA1437+0.5*AZ1437)*in_sip_comm/12</f>
        <v/>
      </c>
      <c r="BC1437" s="40">
        <f>BC1436*(1-IF(B1436&gt;=in_marketplace_from,d_hz_choti*G1436,0))</f>
        <v/>
      </c>
      <c r="BD1437" s="46">
        <f>BC1437*IF(B1437&gt;=in_marketplace_from,d_hz_choti*G1437,0)</f>
        <v/>
      </c>
      <c r="BE1437" s="14">
        <f>F1437*SUMIFS(BD1426:BD1453,B1426:B1453,B1437-in_choti_months)*in_choti_renew*in_choti_ticket</f>
        <v/>
      </c>
      <c r="BF1437" s="40">
        <f>BF1436*(1-IF(B1436&gt;=in_marketplace_from,d_hz_nps*G1436,0))</f>
        <v/>
      </c>
      <c r="BG1437" s="14">
        <f>F1437*BF1437*IF(B1437&gt;=in_marketplace_from,d_hz_nps*G1437,0)*in_nps_ticket*in_nps_comm</f>
        <v/>
      </c>
      <c r="BH1437" s="40">
        <f>BH1436*(1-IF(B1436&gt;=in_marketplace_from,d_hz_gold*G1436,0))</f>
        <v/>
      </c>
      <c r="BI1437" s="40">
        <f>BI1436*d_rho_gold+BH1437*IF(B1437&gt;=in_marketplace_from,d_hz_gold*G1437,0)</f>
        <v/>
      </c>
      <c r="BJ1437" s="14">
        <f>F1437*BI1437*in_gold_ticket*in_gold_comm</f>
        <v/>
      </c>
      <c r="BK1437" s="40">
        <f>BK1436*(1-IF(B1436&gt;=in_marketplace_from,d_hz_fd*G1436,0))</f>
        <v/>
      </c>
      <c r="BL1437" s="14">
        <f>F1437*BK1437*IF(B1437&gt;=in_marketplace_from,d_hz_fd*G1437,0)*in_fd_ticket*in_fd_comm</f>
        <v/>
      </c>
      <c r="BM1437" s="40">
        <f>BM1436*(1-IF(B1436&gt;=in_marketplace_from,d_hz_recharge*G1436,0))</f>
        <v/>
      </c>
      <c r="BN1437" s="40">
        <f>BN1436*d_rho_recharge+BM1437*IF(B1437&gt;=in_marketplace_from,d_hz_recharge*G1437,0)</f>
        <v/>
      </c>
      <c r="BO1437" s="14">
        <f>F1437*BN1437*in_recharge_ticket*in_recharge_comm/12</f>
        <v/>
      </c>
      <c r="BP1437" s="40">
        <f>BP1436*(1-IF(B1436&gt;=in_marketplace_from,d_hz_bills*G1436,0))</f>
        <v/>
      </c>
      <c r="BQ1437" s="40">
        <f>BQ1436*d_rho_bills+BP1437*IF(B1437&gt;=in_marketplace_from,d_hz_bills*G1437,0)</f>
        <v/>
      </c>
      <c r="BR1437" s="14">
        <f>F1437*BQ1437*in_bills_ticket*in_bills_comm/12</f>
        <v/>
      </c>
      <c r="BS1437" s="40">
        <f>BS1436*(1-IF(B1436&gt;=in_marketplace_from,d_hz_loan_gold*G1436,0))</f>
        <v/>
      </c>
      <c r="BT1437" s="14">
        <f>F1437*BS1437*IF(B1437&gt;=in_marketplace_from,d_hz_loan_gold*G1437,0)*in_loan_gold_ticket*in_loan_gold_comm</f>
        <v/>
      </c>
      <c r="BU1437" s="40">
        <f>BU1436*(1-IF(B1436&gt;=in_marketplace_from,d_hz_loan_cd*G1436,0))</f>
        <v/>
      </c>
      <c r="BV1437" s="14">
        <f>F1437*BU1437*IF(B1437&gt;=in_marketplace_from,d_hz_loan_cd*G1437,0)*in_loan_cd_ticket*in_loan_cd_comm</f>
        <v/>
      </c>
      <c r="BW1437" s="40">
        <f>BW1436*(1-IF(B1436&gt;=in_marketplace_from,d_hz_loan_vehicle*G1436,0))</f>
        <v/>
      </c>
      <c r="BX1437" s="14">
        <f>F1437*BW1437*IF(B1437&gt;=in_marketplace_from,d_hz_loan_vehicle*G1437,0)*in_loan_vehicle_ticket*in_loan_vehicle_comm</f>
        <v/>
      </c>
      <c r="BY1437" s="40">
        <f>BY1436*(1-IF(B1436&gt;=in_marketplace_from,d_hz_loan_home*G1436,0)*BZ1436)</f>
        <v/>
      </c>
      <c r="BZ1437" s="11">
        <f>MIN(in_approval_cap,in_loan_home_approval*INDEX('Age profile'!$O$2:$O$61,B1437)*(1+in_approval_growth)^(D1437-1))</f>
        <v/>
      </c>
      <c r="CA1437" s="14">
        <f>F1437*BY1437*IF(B1437&gt;=in_marketplace_from,d_hz_loan_home*G1437,0)*BZ1437*in_loan_home_ticket*in_loan_home_comm</f>
        <v/>
      </c>
      <c r="CB1437" s="40">
        <f>CB1436*(1-IF(B1436&gt;=in_marketplace_from,d_hz_loan_lap*G1436,0)*CC1436)</f>
        <v/>
      </c>
      <c r="CC1437" s="11">
        <f>MIN(in_approval_cap,in_loan_lap_approval*INDEX('Age profile'!$O$2:$O$61,B1437)*(1+in_approval_growth)^(D1437-1))</f>
        <v/>
      </c>
      <c r="CD1437" s="14">
        <f>F1437*CB1437*IF(B1437&gt;=in_marketplace_from,d_hz_loan_lap*G1437,0)*CC1437*in_loan_lap_ticket*in_loan_lap_comm</f>
        <v/>
      </c>
      <c r="CE1437" s="14">
        <f>AA1437+AB1437+AC1437+AD1437+AG1437+AJ1437+AM1437+AP1437+AS1437+AU1437+AX1437+BB1437+BE1437+BG1437+BJ1437+BL1437+BO1437+BR1437+BT1437+BV1437+BX1437+CA1437+CD1437</f>
        <v/>
      </c>
    </row>
    <row r="1438">
      <c r="A1438" s="39" t="n">
        <v>33</v>
      </c>
      <c r="B1438" s="39" t="n">
        <v>13</v>
      </c>
      <c r="C1438" s="39">
        <f>A1438+B1438-1</f>
        <v/>
      </c>
      <c r="D1438" s="39">
        <f>INT((C1438-1)/12)+1</f>
        <v/>
      </c>
      <c r="E1438" s="44">
        <f>INDEX(Monthly!$B$2:$B$61,A1438)</f>
        <v/>
      </c>
      <c r="F1438" s="44">
        <f>E1438*INDEX('Age profile'!$B$2:$B$61,B1438)</f>
        <v/>
      </c>
      <c r="G1438" s="45">
        <f>MIN(in_takeup_cap,INDEX('Age profile'!$N$2:$N$61,B1438)*(1+in_takeup_growth)^(D1438-1))</f>
        <v/>
      </c>
      <c r="H1438" s="11">
        <f>MIN(in_approval_cap,in_approved_first*INDEX('Age profile'!$O$2:$O$61,B1438)*(1+in_approval_growth)^(D1438-1))</f>
        <v/>
      </c>
      <c r="I1438" s="45">
        <f>G1438*MIN(in_takeup_cap,INDEX('Age profile'!$O$2:$O$61,B1438)*(1+in_approval_growth)^(D1438-1))</f>
        <v/>
      </c>
      <c r="J1438" s="40">
        <f>(J1437-L1437)*F1438/F1437</f>
        <v/>
      </c>
      <c r="K1438" s="40">
        <f>(K1437-M1437)*F1438/F1437+SUMIFS(O1426:O1437,B1426:B1437,B1438-1-d_T)*F1438</f>
        <v/>
      </c>
      <c r="L1438" s="40">
        <f>IF(B1438&gt;=in_marketplace_from,J1438*d_hz*G1438*in_eligible*H1438,0)</f>
        <v/>
      </c>
      <c r="M1438" s="40">
        <f>IF(B1438&gt;=in_marketplace_from,K1438*d_hz*G1438*in_eligible*in_approved_repeat,0)</f>
        <v/>
      </c>
      <c r="N1438" s="40">
        <f>L1438+M1438</f>
        <v/>
      </c>
      <c r="O1438" s="46">
        <f>N1438/F1438</f>
        <v/>
      </c>
      <c r="P1438" s="40">
        <f>F1438-J1438-K1438</f>
        <v/>
      </c>
      <c r="Q1438" s="40">
        <f>IF(B1438&gt;=in_marketplace_from,(J1438+K1438)*d_hz*G1438,0)</f>
        <v/>
      </c>
      <c r="R1438" s="40">
        <f>SUMIFS(N1426:N1453,B1426:B1453,"&gt;="&amp;(B1438-d_T),B1426:B1453,"&lt;="&amp;(B1438-1))</f>
        <v/>
      </c>
      <c r="S1438" s="46">
        <f>(1-d_u)*S1437+IF(d_T&gt;in_topup_lag,SUMIFS(O1426:O1453,B1426:B1453,B1438-in_topup_lag)-d_udrop*SUMIFS(O1426:O1453,B1426:B1453,B1438-d_T),0)</f>
        <v/>
      </c>
      <c r="T1438" s="40">
        <f>F1438*d_u*S1438</f>
        <v/>
      </c>
      <c r="U1438" s="9">
        <f>L1438*in_ticket+M1438*d_rep_ticket</f>
        <v/>
      </c>
      <c r="V1438" s="9">
        <f>U1438+T1438*d_topup_amt</f>
        <v/>
      </c>
      <c r="W1438" s="40">
        <f>N1438+T1438*d_topup_ratio</f>
        <v/>
      </c>
      <c r="X1438" s="40">
        <f>SUMIFS(W1426:W1453,B1426:B1453,B1438-in_dpd_lag)*d_cured</f>
        <v/>
      </c>
      <c r="Y1438" s="40">
        <f>SUMIFS(W1426:W1453,B1426:B1453,B1438-in_rec_lag)*d_recd</f>
        <v/>
      </c>
      <c r="Z1438" s="40">
        <f>IF(AND(B1438&gt;=in_marketplace_from,B1438&lt;in_marketplace_from+in_card_months),in_card_share/in_card_months*F1438*I1438,IF(AND(B1438&gt;=in_marketplace_from+in_card_months,B1438&lt;in_marketplace_from+2*in_card_months),in_card_share*d_card_rem/in_card_months*F1438*MIN(in_takeup_cap,(1+in_takeup_growth)^(D1438-1))*MIN(in_takeup_cap,(1+in_approval_growth)^(D1438-1)),0))</f>
        <v/>
      </c>
      <c r="AA1438" s="14">
        <f>V1438*in_fee*(1-in_taken_back)</f>
        <v/>
      </c>
      <c r="AB1438" s="14">
        <f>SUMIFS(W1426:W1453,B1426:B1453,B1438-in_dpd_lag)*d_dpd</f>
        <v/>
      </c>
      <c r="AC1438" s="14">
        <f>SUMIFS(W1426:W1453,B1426:B1453,B1438-in_rec_lag)*d_rec</f>
        <v/>
      </c>
      <c r="AD1438" s="14">
        <f>Z1438*in_card_fee</f>
        <v/>
      </c>
      <c r="AE1438" s="40">
        <f>AE1437*(1-IF(B1437&gt;=in_marketplace_from,d_hz_hlth_small*G1437,0))</f>
        <v/>
      </c>
      <c r="AF1438" s="46">
        <f>AE1438*IF(B1438&gt;=in_marketplace_from,d_hz_hlth_small*G1438,0)</f>
        <v/>
      </c>
      <c r="AG1438" s="14">
        <f>F1438*AF1438*in_hlth_small_ticket*in_hlth_small_comm*in_ins_partner_share+F1438*in_hlth_small_ticket*in_hlth_small_renew_comm*in_ins_partner_share*(in_hlth_small_renew^1*SUMIFS(AF1426:AF1453,B1426:B1453,B1438-12)+in_hlth_small_renew^2*SUMIFS(AF1426:AF1453,B1426:B1453,B1438-24)+in_hlth_small_renew^3*SUMIFS(AF1426:AF1453,B1426:B1453,B1438-36)+in_hlth_small_renew^4*SUMIFS(AF1426:AF1453,B1426:B1453,B1438-48))</f>
        <v/>
      </c>
      <c r="AH1438" s="40">
        <f>AH1437*(1-IF(B1437&gt;=in_marketplace_from,d_hz_hlth_family*G1437,0))</f>
        <v/>
      </c>
      <c r="AI1438" s="46">
        <f>AH1438*IF(B1438&gt;=in_marketplace_from,d_hz_hlth_family*G1438,0)</f>
        <v/>
      </c>
      <c r="AJ1438" s="14">
        <f>F1438*AI1438*in_hlth_family_ticket*in_hlth_family_comm*in_ins_partner_share+F1438*in_hlth_family_ticket*in_hlth_family_renew_comm*in_ins_partner_share*(in_hlth_family_renew^1*SUMIFS(AI1426:AI1453,B1426:B1453,B1438-12)+in_hlth_family_renew^2*SUMIFS(AI1426:AI1453,B1426:B1453,B1438-24)+in_hlth_family_renew^3*SUMIFS(AI1426:AI1453,B1426:B1453,B1438-36)+in_hlth_family_renew^4*SUMIFS(AI1426:AI1453,B1426:B1453,B1438-48))</f>
        <v/>
      </c>
      <c r="AK1438" s="40">
        <f>AK1437*(1-IF(B1437&gt;=in_marketplace_from,d_hz_life_term*G1437,0))</f>
        <v/>
      </c>
      <c r="AL1438" s="46">
        <f>AK1438*IF(B1438&gt;=in_marketplace_from,d_hz_life_term*G1438,0)</f>
        <v/>
      </c>
      <c r="AM1438" s="14">
        <f>F1438*AL1438*in_life_term_ticket*in_life_term_comm*in_ins_partner_share+F1438*in_life_term_ticket*in_life_term_renew_comm*in_ins_partner_share*(in_life_term_renew^1*SUMIFS(AL1426:AL1453,B1426:B1453,B1438-12)+in_life_term_renew^2*SUMIFS(AL1426:AL1453,B1426:B1453,B1438-24)+in_life_term_renew^3*SUMIFS(AL1426:AL1453,B1426:B1453,B1438-36)+in_life_term_renew^4*SUMIFS(AL1426:AL1453,B1426:B1453,B1438-48))</f>
        <v/>
      </c>
      <c r="AN1438" s="40">
        <f>AN1437*(1-IF(B1437&gt;=in_marketplace_from,d_hz_accident*G1437,0))</f>
        <v/>
      </c>
      <c r="AO1438" s="46">
        <f>AN1438*IF(B1438&gt;=in_marketplace_from,d_hz_accident*G1438,0)</f>
        <v/>
      </c>
      <c r="AP1438" s="14">
        <f>F1438*AO1438*in_accident_ticket*in_accident_comm*in_ins_partner_share+F1438*in_accident_ticket*in_accident_renew_comm*in_ins_partner_share*(in_accident_renew^1*SUMIFS(AO1426:AO1453,B1426:B1453,B1438-12)+in_accident_renew^2*SUMIFS(AO1426:AO1453,B1426:B1453,B1438-24)+in_accident_renew^3*SUMIFS(AO1426:AO1453,B1426:B1453,B1438-36)+in_accident_renew^4*SUMIFS(AO1426:AO1453,B1426:B1453,B1438-48))</f>
        <v/>
      </c>
      <c r="AQ1438" s="40">
        <f>AQ1437*(1-IF(B1437&gt;=in_marketplace_from,d_hz_two_wheeler*G1437,0))</f>
        <v/>
      </c>
      <c r="AR1438" s="46">
        <f>AQ1438*IF(B1438&gt;=in_marketplace_from,d_hz_two_wheeler*G1438,0)</f>
        <v/>
      </c>
      <c r="AS1438" s="14">
        <f>F1438*AR1438*in_two_wheeler_ticket*in_two_wheeler_comm*in_ins_partner_share+F1438*in_two_wheeler_ticket*in_two_wheeler_comm*in_ins_partner_share*(in_two_wheeler_renew^1*SUMIFS(AR1426:AR1453,B1426:B1453,B1438-12)+in_two_wheeler_renew^2*SUMIFS(AR1426:AR1453,B1426:B1453,B1438-24)+in_two_wheeler_renew^3*SUMIFS(AR1426:AR1453,B1426:B1453,B1438-36)+in_two_wheeler_renew^4*SUMIFS(AR1426:AR1453,B1426:B1453,B1438-48))</f>
        <v/>
      </c>
      <c r="AT1438" s="40">
        <f>AT1437*(1-IF(B1437&gt;=in_marketplace_from,d_hz_device*G1437,0))</f>
        <v/>
      </c>
      <c r="AU1438" s="14">
        <f>F1438*AT1438*IF(B1438&gt;=in_marketplace_from,d_hz_device*G1438,0)*in_device_ticket*in_device_comm*in_ins_partner_share</f>
        <v/>
      </c>
      <c r="AV1438" s="40">
        <f>AV1437*(1-IF(B1437&gt;=in_marketplace_from,d_hz_shop*G1437,0))</f>
        <v/>
      </c>
      <c r="AW1438" s="46">
        <f>AV1438*IF(B1438&gt;=in_marketplace_from,d_hz_shop*G1438,0)</f>
        <v/>
      </c>
      <c r="AX1438" s="14">
        <f>F1438*AW1438*in_shop_ticket*in_shop_comm*in_ins_partner_share+F1438*in_shop_ticket*in_shop_renew_comm*in_ins_partner_share*(in_shop_renew^1*SUMIFS(AW1426:AW1453,B1426:B1453,B1438-12)+in_shop_renew^2*SUMIFS(AW1426:AW1453,B1426:B1453,B1438-24)+in_shop_renew^3*SUMIFS(AW1426:AW1453,B1426:B1453,B1438-36)+in_shop_renew^4*SUMIFS(AW1426:AW1453,B1426:B1453,B1438-48))</f>
        <v/>
      </c>
      <c r="AY1438" s="40">
        <f>AY1437*(1-IF(B1437&gt;=in_marketplace_from,d_hz_sip*G1437,0))</f>
        <v/>
      </c>
      <c r="AZ1438" s="40">
        <f>AZ1437*d_rho_sip+AY1438*IF(B1438&gt;=in_marketplace_from,d_hz_sip*G1438,0)</f>
        <v/>
      </c>
      <c r="BA1438" s="40">
        <f>d_rho_sip*(BA1437+AZ1437)</f>
        <v/>
      </c>
      <c r="BB1438" s="14">
        <f>F1438*in_sip_ticket*(BA1438+0.5*AZ1438)*in_sip_comm/12</f>
        <v/>
      </c>
      <c r="BC1438" s="40">
        <f>BC1437*(1-IF(B1437&gt;=in_marketplace_from,d_hz_choti*G1437,0))</f>
        <v/>
      </c>
      <c r="BD1438" s="46">
        <f>BC1438*IF(B1438&gt;=in_marketplace_from,d_hz_choti*G1438,0)</f>
        <v/>
      </c>
      <c r="BE1438" s="14">
        <f>F1438*SUMIFS(BD1426:BD1453,B1426:B1453,B1438-in_choti_months)*in_choti_renew*in_choti_ticket</f>
        <v/>
      </c>
      <c r="BF1438" s="40">
        <f>BF1437*(1-IF(B1437&gt;=in_marketplace_from,d_hz_nps*G1437,0))</f>
        <v/>
      </c>
      <c r="BG1438" s="14">
        <f>F1438*BF1438*IF(B1438&gt;=in_marketplace_from,d_hz_nps*G1438,0)*in_nps_ticket*in_nps_comm</f>
        <v/>
      </c>
      <c r="BH1438" s="40">
        <f>BH1437*(1-IF(B1437&gt;=in_marketplace_from,d_hz_gold*G1437,0))</f>
        <v/>
      </c>
      <c r="BI1438" s="40">
        <f>BI1437*d_rho_gold+BH1438*IF(B1438&gt;=in_marketplace_from,d_hz_gold*G1438,0)</f>
        <v/>
      </c>
      <c r="BJ1438" s="14">
        <f>F1438*BI1438*in_gold_ticket*in_gold_comm</f>
        <v/>
      </c>
      <c r="BK1438" s="40">
        <f>BK1437*(1-IF(B1437&gt;=in_marketplace_from,d_hz_fd*G1437,0))</f>
        <v/>
      </c>
      <c r="BL1438" s="14">
        <f>F1438*BK1438*IF(B1438&gt;=in_marketplace_from,d_hz_fd*G1438,0)*in_fd_ticket*in_fd_comm</f>
        <v/>
      </c>
      <c r="BM1438" s="40">
        <f>BM1437*(1-IF(B1437&gt;=in_marketplace_from,d_hz_recharge*G1437,0))</f>
        <v/>
      </c>
      <c r="BN1438" s="40">
        <f>BN1437*d_rho_recharge+BM1438*IF(B1438&gt;=in_marketplace_from,d_hz_recharge*G1438,0)</f>
        <v/>
      </c>
      <c r="BO1438" s="14">
        <f>F1438*BN1438*in_recharge_ticket*in_recharge_comm/12</f>
        <v/>
      </c>
      <c r="BP1438" s="40">
        <f>BP1437*(1-IF(B1437&gt;=in_marketplace_from,d_hz_bills*G1437,0))</f>
        <v/>
      </c>
      <c r="BQ1438" s="40">
        <f>BQ1437*d_rho_bills+BP1438*IF(B1438&gt;=in_marketplace_from,d_hz_bills*G1438,0)</f>
        <v/>
      </c>
      <c r="BR1438" s="14">
        <f>F1438*BQ1438*in_bills_ticket*in_bills_comm/12</f>
        <v/>
      </c>
      <c r="BS1438" s="40">
        <f>BS1437*(1-IF(B1437&gt;=in_marketplace_from,d_hz_loan_gold*G1437,0))</f>
        <v/>
      </c>
      <c r="BT1438" s="14">
        <f>F1438*BS1438*IF(B1438&gt;=in_marketplace_from,d_hz_loan_gold*G1438,0)*in_loan_gold_ticket*in_loan_gold_comm</f>
        <v/>
      </c>
      <c r="BU1438" s="40">
        <f>BU1437*(1-IF(B1437&gt;=in_marketplace_from,d_hz_loan_cd*G1437,0))</f>
        <v/>
      </c>
      <c r="BV1438" s="14">
        <f>F1438*BU1438*IF(B1438&gt;=in_marketplace_from,d_hz_loan_cd*G1438,0)*in_loan_cd_ticket*in_loan_cd_comm</f>
        <v/>
      </c>
      <c r="BW1438" s="40">
        <f>BW1437*(1-IF(B1437&gt;=in_marketplace_from,d_hz_loan_vehicle*G1437,0))</f>
        <v/>
      </c>
      <c r="BX1438" s="14">
        <f>F1438*BW1438*IF(B1438&gt;=in_marketplace_from,d_hz_loan_vehicle*G1438,0)*in_loan_vehicle_ticket*in_loan_vehicle_comm</f>
        <v/>
      </c>
      <c r="BY1438" s="40">
        <f>BY1437*(1-IF(B1437&gt;=in_marketplace_from,d_hz_loan_home*G1437,0)*BZ1437)</f>
        <v/>
      </c>
      <c r="BZ1438" s="11">
        <f>MIN(in_approval_cap,in_loan_home_approval*INDEX('Age profile'!$O$2:$O$61,B1438)*(1+in_approval_growth)^(D1438-1))</f>
        <v/>
      </c>
      <c r="CA1438" s="14">
        <f>F1438*BY1438*IF(B1438&gt;=in_marketplace_from,d_hz_loan_home*G1438,0)*BZ1438*in_loan_home_ticket*in_loan_home_comm</f>
        <v/>
      </c>
      <c r="CB1438" s="40">
        <f>CB1437*(1-IF(B1437&gt;=in_marketplace_from,d_hz_loan_lap*G1437,0)*CC1437)</f>
        <v/>
      </c>
      <c r="CC1438" s="11">
        <f>MIN(in_approval_cap,in_loan_lap_approval*INDEX('Age profile'!$O$2:$O$61,B1438)*(1+in_approval_growth)^(D1438-1))</f>
        <v/>
      </c>
      <c r="CD1438" s="14">
        <f>F1438*CB1438*IF(B1438&gt;=in_marketplace_from,d_hz_loan_lap*G1438,0)*CC1438*in_loan_lap_ticket*in_loan_lap_comm</f>
        <v/>
      </c>
      <c r="CE1438" s="14">
        <f>AA1438+AB1438+AC1438+AD1438+AG1438+AJ1438+AM1438+AP1438+AS1438+AU1438+AX1438+BB1438+BE1438+BG1438+BJ1438+BL1438+BO1438+BR1438+BT1438+BV1438+BX1438+CA1438+CD1438</f>
        <v/>
      </c>
    </row>
    <row r="1439">
      <c r="A1439" s="39" t="n">
        <v>33</v>
      </c>
      <c r="B1439" s="39" t="n">
        <v>14</v>
      </c>
      <c r="C1439" s="39">
        <f>A1439+B1439-1</f>
        <v/>
      </c>
      <c r="D1439" s="39">
        <f>INT((C1439-1)/12)+1</f>
        <v/>
      </c>
      <c r="E1439" s="44">
        <f>INDEX(Monthly!$B$2:$B$61,A1439)</f>
        <v/>
      </c>
      <c r="F1439" s="44">
        <f>E1439*INDEX('Age profile'!$B$2:$B$61,B1439)</f>
        <v/>
      </c>
      <c r="G1439" s="45">
        <f>MIN(in_takeup_cap,INDEX('Age profile'!$N$2:$N$61,B1439)*(1+in_takeup_growth)^(D1439-1))</f>
        <v/>
      </c>
      <c r="H1439" s="11">
        <f>MIN(in_approval_cap,in_approved_first*INDEX('Age profile'!$O$2:$O$61,B1439)*(1+in_approval_growth)^(D1439-1))</f>
        <v/>
      </c>
      <c r="I1439" s="45">
        <f>G1439*MIN(in_takeup_cap,INDEX('Age profile'!$O$2:$O$61,B1439)*(1+in_approval_growth)^(D1439-1))</f>
        <v/>
      </c>
      <c r="J1439" s="40">
        <f>(J1438-L1438)*F1439/F1438</f>
        <v/>
      </c>
      <c r="K1439" s="40">
        <f>(K1438-M1438)*F1439/F1438+SUMIFS(O1426:O1438,B1426:B1438,B1439-1-d_T)*F1439</f>
        <v/>
      </c>
      <c r="L1439" s="40">
        <f>IF(B1439&gt;=in_marketplace_from,J1439*d_hz*G1439*in_eligible*H1439,0)</f>
        <v/>
      </c>
      <c r="M1439" s="40">
        <f>IF(B1439&gt;=in_marketplace_from,K1439*d_hz*G1439*in_eligible*in_approved_repeat,0)</f>
        <v/>
      </c>
      <c r="N1439" s="40">
        <f>L1439+M1439</f>
        <v/>
      </c>
      <c r="O1439" s="46">
        <f>N1439/F1439</f>
        <v/>
      </c>
      <c r="P1439" s="40">
        <f>F1439-J1439-K1439</f>
        <v/>
      </c>
      <c r="Q1439" s="40">
        <f>IF(B1439&gt;=in_marketplace_from,(J1439+K1439)*d_hz*G1439,0)</f>
        <v/>
      </c>
      <c r="R1439" s="40">
        <f>SUMIFS(N1426:N1453,B1426:B1453,"&gt;="&amp;(B1439-d_T),B1426:B1453,"&lt;="&amp;(B1439-1))</f>
        <v/>
      </c>
      <c r="S1439" s="46">
        <f>(1-d_u)*S1438+IF(d_T&gt;in_topup_lag,SUMIFS(O1426:O1453,B1426:B1453,B1439-in_topup_lag)-d_udrop*SUMIFS(O1426:O1453,B1426:B1453,B1439-d_T),0)</f>
        <v/>
      </c>
      <c r="T1439" s="40">
        <f>F1439*d_u*S1439</f>
        <v/>
      </c>
      <c r="U1439" s="9">
        <f>L1439*in_ticket+M1439*d_rep_ticket</f>
        <v/>
      </c>
      <c r="V1439" s="9">
        <f>U1439+T1439*d_topup_amt</f>
        <v/>
      </c>
      <c r="W1439" s="40">
        <f>N1439+T1439*d_topup_ratio</f>
        <v/>
      </c>
      <c r="X1439" s="40">
        <f>SUMIFS(W1426:W1453,B1426:B1453,B1439-in_dpd_lag)*d_cured</f>
        <v/>
      </c>
      <c r="Y1439" s="40">
        <f>SUMIFS(W1426:W1453,B1426:B1453,B1439-in_rec_lag)*d_recd</f>
        <v/>
      </c>
      <c r="Z1439" s="40">
        <f>IF(AND(B1439&gt;=in_marketplace_from,B1439&lt;in_marketplace_from+in_card_months),in_card_share/in_card_months*F1439*I1439,IF(AND(B1439&gt;=in_marketplace_from+in_card_months,B1439&lt;in_marketplace_from+2*in_card_months),in_card_share*d_card_rem/in_card_months*F1439*MIN(in_takeup_cap,(1+in_takeup_growth)^(D1439-1))*MIN(in_takeup_cap,(1+in_approval_growth)^(D1439-1)),0))</f>
        <v/>
      </c>
      <c r="AA1439" s="14">
        <f>V1439*in_fee*(1-in_taken_back)</f>
        <v/>
      </c>
      <c r="AB1439" s="14">
        <f>SUMIFS(W1426:W1453,B1426:B1453,B1439-in_dpd_lag)*d_dpd</f>
        <v/>
      </c>
      <c r="AC1439" s="14">
        <f>SUMIFS(W1426:W1453,B1426:B1453,B1439-in_rec_lag)*d_rec</f>
        <v/>
      </c>
      <c r="AD1439" s="14">
        <f>Z1439*in_card_fee</f>
        <v/>
      </c>
      <c r="AE1439" s="40">
        <f>AE1438*(1-IF(B1438&gt;=in_marketplace_from,d_hz_hlth_small*G1438,0))</f>
        <v/>
      </c>
      <c r="AF1439" s="46">
        <f>AE1439*IF(B1439&gt;=in_marketplace_from,d_hz_hlth_small*G1439,0)</f>
        <v/>
      </c>
      <c r="AG1439" s="14">
        <f>F1439*AF1439*in_hlth_small_ticket*in_hlth_small_comm*in_ins_partner_share+F1439*in_hlth_small_ticket*in_hlth_small_renew_comm*in_ins_partner_share*(in_hlth_small_renew^1*SUMIFS(AF1426:AF1453,B1426:B1453,B1439-12)+in_hlth_small_renew^2*SUMIFS(AF1426:AF1453,B1426:B1453,B1439-24)+in_hlth_small_renew^3*SUMIFS(AF1426:AF1453,B1426:B1453,B1439-36)+in_hlth_small_renew^4*SUMIFS(AF1426:AF1453,B1426:B1453,B1439-48))</f>
        <v/>
      </c>
      <c r="AH1439" s="40">
        <f>AH1438*(1-IF(B1438&gt;=in_marketplace_from,d_hz_hlth_family*G1438,0))</f>
        <v/>
      </c>
      <c r="AI1439" s="46">
        <f>AH1439*IF(B1439&gt;=in_marketplace_from,d_hz_hlth_family*G1439,0)</f>
        <v/>
      </c>
      <c r="AJ1439" s="14">
        <f>F1439*AI1439*in_hlth_family_ticket*in_hlth_family_comm*in_ins_partner_share+F1439*in_hlth_family_ticket*in_hlth_family_renew_comm*in_ins_partner_share*(in_hlth_family_renew^1*SUMIFS(AI1426:AI1453,B1426:B1453,B1439-12)+in_hlth_family_renew^2*SUMIFS(AI1426:AI1453,B1426:B1453,B1439-24)+in_hlth_family_renew^3*SUMIFS(AI1426:AI1453,B1426:B1453,B1439-36)+in_hlth_family_renew^4*SUMIFS(AI1426:AI1453,B1426:B1453,B1439-48))</f>
        <v/>
      </c>
      <c r="AK1439" s="40">
        <f>AK1438*(1-IF(B1438&gt;=in_marketplace_from,d_hz_life_term*G1438,0))</f>
        <v/>
      </c>
      <c r="AL1439" s="46">
        <f>AK1439*IF(B1439&gt;=in_marketplace_from,d_hz_life_term*G1439,0)</f>
        <v/>
      </c>
      <c r="AM1439" s="14">
        <f>F1439*AL1439*in_life_term_ticket*in_life_term_comm*in_ins_partner_share+F1439*in_life_term_ticket*in_life_term_renew_comm*in_ins_partner_share*(in_life_term_renew^1*SUMIFS(AL1426:AL1453,B1426:B1453,B1439-12)+in_life_term_renew^2*SUMIFS(AL1426:AL1453,B1426:B1453,B1439-24)+in_life_term_renew^3*SUMIFS(AL1426:AL1453,B1426:B1453,B1439-36)+in_life_term_renew^4*SUMIFS(AL1426:AL1453,B1426:B1453,B1439-48))</f>
        <v/>
      </c>
      <c r="AN1439" s="40">
        <f>AN1438*(1-IF(B1438&gt;=in_marketplace_from,d_hz_accident*G1438,0))</f>
        <v/>
      </c>
      <c r="AO1439" s="46">
        <f>AN1439*IF(B1439&gt;=in_marketplace_from,d_hz_accident*G1439,0)</f>
        <v/>
      </c>
      <c r="AP1439" s="14">
        <f>F1439*AO1439*in_accident_ticket*in_accident_comm*in_ins_partner_share+F1439*in_accident_ticket*in_accident_renew_comm*in_ins_partner_share*(in_accident_renew^1*SUMIFS(AO1426:AO1453,B1426:B1453,B1439-12)+in_accident_renew^2*SUMIFS(AO1426:AO1453,B1426:B1453,B1439-24)+in_accident_renew^3*SUMIFS(AO1426:AO1453,B1426:B1453,B1439-36)+in_accident_renew^4*SUMIFS(AO1426:AO1453,B1426:B1453,B1439-48))</f>
        <v/>
      </c>
      <c r="AQ1439" s="40">
        <f>AQ1438*(1-IF(B1438&gt;=in_marketplace_from,d_hz_two_wheeler*G1438,0))</f>
        <v/>
      </c>
      <c r="AR1439" s="46">
        <f>AQ1439*IF(B1439&gt;=in_marketplace_from,d_hz_two_wheeler*G1439,0)</f>
        <v/>
      </c>
      <c r="AS1439" s="14">
        <f>F1439*AR1439*in_two_wheeler_ticket*in_two_wheeler_comm*in_ins_partner_share+F1439*in_two_wheeler_ticket*in_two_wheeler_comm*in_ins_partner_share*(in_two_wheeler_renew^1*SUMIFS(AR1426:AR1453,B1426:B1453,B1439-12)+in_two_wheeler_renew^2*SUMIFS(AR1426:AR1453,B1426:B1453,B1439-24)+in_two_wheeler_renew^3*SUMIFS(AR1426:AR1453,B1426:B1453,B1439-36)+in_two_wheeler_renew^4*SUMIFS(AR1426:AR1453,B1426:B1453,B1439-48))</f>
        <v/>
      </c>
      <c r="AT1439" s="40">
        <f>AT1438*(1-IF(B1438&gt;=in_marketplace_from,d_hz_device*G1438,0))</f>
        <v/>
      </c>
      <c r="AU1439" s="14">
        <f>F1439*AT1439*IF(B1439&gt;=in_marketplace_from,d_hz_device*G1439,0)*in_device_ticket*in_device_comm*in_ins_partner_share</f>
        <v/>
      </c>
      <c r="AV1439" s="40">
        <f>AV1438*(1-IF(B1438&gt;=in_marketplace_from,d_hz_shop*G1438,0))</f>
        <v/>
      </c>
      <c r="AW1439" s="46">
        <f>AV1439*IF(B1439&gt;=in_marketplace_from,d_hz_shop*G1439,0)</f>
        <v/>
      </c>
      <c r="AX1439" s="14">
        <f>F1439*AW1439*in_shop_ticket*in_shop_comm*in_ins_partner_share+F1439*in_shop_ticket*in_shop_renew_comm*in_ins_partner_share*(in_shop_renew^1*SUMIFS(AW1426:AW1453,B1426:B1453,B1439-12)+in_shop_renew^2*SUMIFS(AW1426:AW1453,B1426:B1453,B1439-24)+in_shop_renew^3*SUMIFS(AW1426:AW1453,B1426:B1453,B1439-36)+in_shop_renew^4*SUMIFS(AW1426:AW1453,B1426:B1453,B1439-48))</f>
        <v/>
      </c>
      <c r="AY1439" s="40">
        <f>AY1438*(1-IF(B1438&gt;=in_marketplace_from,d_hz_sip*G1438,0))</f>
        <v/>
      </c>
      <c r="AZ1439" s="40">
        <f>AZ1438*d_rho_sip+AY1439*IF(B1439&gt;=in_marketplace_from,d_hz_sip*G1439,0)</f>
        <v/>
      </c>
      <c r="BA1439" s="40">
        <f>d_rho_sip*(BA1438+AZ1438)</f>
        <v/>
      </c>
      <c r="BB1439" s="14">
        <f>F1439*in_sip_ticket*(BA1439+0.5*AZ1439)*in_sip_comm/12</f>
        <v/>
      </c>
      <c r="BC1439" s="40">
        <f>BC1438*(1-IF(B1438&gt;=in_marketplace_from,d_hz_choti*G1438,0))</f>
        <v/>
      </c>
      <c r="BD1439" s="46">
        <f>BC1439*IF(B1439&gt;=in_marketplace_from,d_hz_choti*G1439,0)</f>
        <v/>
      </c>
      <c r="BE1439" s="14">
        <f>F1439*SUMIFS(BD1426:BD1453,B1426:B1453,B1439-in_choti_months)*in_choti_renew*in_choti_ticket</f>
        <v/>
      </c>
      <c r="BF1439" s="40">
        <f>BF1438*(1-IF(B1438&gt;=in_marketplace_from,d_hz_nps*G1438,0))</f>
        <v/>
      </c>
      <c r="BG1439" s="14">
        <f>F1439*BF1439*IF(B1439&gt;=in_marketplace_from,d_hz_nps*G1439,0)*in_nps_ticket*in_nps_comm</f>
        <v/>
      </c>
      <c r="BH1439" s="40">
        <f>BH1438*(1-IF(B1438&gt;=in_marketplace_from,d_hz_gold*G1438,0))</f>
        <v/>
      </c>
      <c r="BI1439" s="40">
        <f>BI1438*d_rho_gold+BH1439*IF(B1439&gt;=in_marketplace_from,d_hz_gold*G1439,0)</f>
        <v/>
      </c>
      <c r="BJ1439" s="14">
        <f>F1439*BI1439*in_gold_ticket*in_gold_comm</f>
        <v/>
      </c>
      <c r="BK1439" s="40">
        <f>BK1438*(1-IF(B1438&gt;=in_marketplace_from,d_hz_fd*G1438,0))</f>
        <v/>
      </c>
      <c r="BL1439" s="14">
        <f>F1439*BK1439*IF(B1439&gt;=in_marketplace_from,d_hz_fd*G1439,0)*in_fd_ticket*in_fd_comm</f>
        <v/>
      </c>
      <c r="BM1439" s="40">
        <f>BM1438*(1-IF(B1438&gt;=in_marketplace_from,d_hz_recharge*G1438,0))</f>
        <v/>
      </c>
      <c r="BN1439" s="40">
        <f>BN1438*d_rho_recharge+BM1439*IF(B1439&gt;=in_marketplace_from,d_hz_recharge*G1439,0)</f>
        <v/>
      </c>
      <c r="BO1439" s="14">
        <f>F1439*BN1439*in_recharge_ticket*in_recharge_comm/12</f>
        <v/>
      </c>
      <c r="BP1439" s="40">
        <f>BP1438*(1-IF(B1438&gt;=in_marketplace_from,d_hz_bills*G1438,0))</f>
        <v/>
      </c>
      <c r="BQ1439" s="40">
        <f>BQ1438*d_rho_bills+BP1439*IF(B1439&gt;=in_marketplace_from,d_hz_bills*G1439,0)</f>
        <v/>
      </c>
      <c r="BR1439" s="14">
        <f>F1439*BQ1439*in_bills_ticket*in_bills_comm/12</f>
        <v/>
      </c>
      <c r="BS1439" s="40">
        <f>BS1438*(1-IF(B1438&gt;=in_marketplace_from,d_hz_loan_gold*G1438,0))</f>
        <v/>
      </c>
      <c r="BT1439" s="14">
        <f>F1439*BS1439*IF(B1439&gt;=in_marketplace_from,d_hz_loan_gold*G1439,0)*in_loan_gold_ticket*in_loan_gold_comm</f>
        <v/>
      </c>
      <c r="BU1439" s="40">
        <f>BU1438*(1-IF(B1438&gt;=in_marketplace_from,d_hz_loan_cd*G1438,0))</f>
        <v/>
      </c>
      <c r="BV1439" s="14">
        <f>F1439*BU1439*IF(B1439&gt;=in_marketplace_from,d_hz_loan_cd*G1439,0)*in_loan_cd_ticket*in_loan_cd_comm</f>
        <v/>
      </c>
      <c r="BW1439" s="40">
        <f>BW1438*(1-IF(B1438&gt;=in_marketplace_from,d_hz_loan_vehicle*G1438,0))</f>
        <v/>
      </c>
      <c r="BX1439" s="14">
        <f>F1439*BW1439*IF(B1439&gt;=in_marketplace_from,d_hz_loan_vehicle*G1439,0)*in_loan_vehicle_ticket*in_loan_vehicle_comm</f>
        <v/>
      </c>
      <c r="BY1439" s="40">
        <f>BY1438*(1-IF(B1438&gt;=in_marketplace_from,d_hz_loan_home*G1438,0)*BZ1438)</f>
        <v/>
      </c>
      <c r="BZ1439" s="11">
        <f>MIN(in_approval_cap,in_loan_home_approval*INDEX('Age profile'!$O$2:$O$61,B1439)*(1+in_approval_growth)^(D1439-1))</f>
        <v/>
      </c>
      <c r="CA1439" s="14">
        <f>F1439*BY1439*IF(B1439&gt;=in_marketplace_from,d_hz_loan_home*G1439,0)*BZ1439*in_loan_home_ticket*in_loan_home_comm</f>
        <v/>
      </c>
      <c r="CB1439" s="40">
        <f>CB1438*(1-IF(B1438&gt;=in_marketplace_from,d_hz_loan_lap*G1438,0)*CC1438)</f>
        <v/>
      </c>
      <c r="CC1439" s="11">
        <f>MIN(in_approval_cap,in_loan_lap_approval*INDEX('Age profile'!$O$2:$O$61,B1439)*(1+in_approval_growth)^(D1439-1))</f>
        <v/>
      </c>
      <c r="CD1439" s="14">
        <f>F1439*CB1439*IF(B1439&gt;=in_marketplace_from,d_hz_loan_lap*G1439,0)*CC1439*in_loan_lap_ticket*in_loan_lap_comm</f>
        <v/>
      </c>
      <c r="CE1439" s="14">
        <f>AA1439+AB1439+AC1439+AD1439+AG1439+AJ1439+AM1439+AP1439+AS1439+AU1439+AX1439+BB1439+BE1439+BG1439+BJ1439+BL1439+BO1439+BR1439+BT1439+BV1439+BX1439+CA1439+CD1439</f>
        <v/>
      </c>
    </row>
    <row r="1440">
      <c r="A1440" s="39" t="n">
        <v>33</v>
      </c>
      <c r="B1440" s="39" t="n">
        <v>15</v>
      </c>
      <c r="C1440" s="39">
        <f>A1440+B1440-1</f>
        <v/>
      </c>
      <c r="D1440" s="39">
        <f>INT((C1440-1)/12)+1</f>
        <v/>
      </c>
      <c r="E1440" s="44">
        <f>INDEX(Monthly!$B$2:$B$61,A1440)</f>
        <v/>
      </c>
      <c r="F1440" s="44">
        <f>E1440*INDEX('Age profile'!$B$2:$B$61,B1440)</f>
        <v/>
      </c>
      <c r="G1440" s="45">
        <f>MIN(in_takeup_cap,INDEX('Age profile'!$N$2:$N$61,B1440)*(1+in_takeup_growth)^(D1440-1))</f>
        <v/>
      </c>
      <c r="H1440" s="11">
        <f>MIN(in_approval_cap,in_approved_first*INDEX('Age profile'!$O$2:$O$61,B1440)*(1+in_approval_growth)^(D1440-1))</f>
        <v/>
      </c>
      <c r="I1440" s="45">
        <f>G1440*MIN(in_takeup_cap,INDEX('Age profile'!$O$2:$O$61,B1440)*(1+in_approval_growth)^(D1440-1))</f>
        <v/>
      </c>
      <c r="J1440" s="40">
        <f>(J1439-L1439)*F1440/F1439</f>
        <v/>
      </c>
      <c r="K1440" s="40">
        <f>(K1439-M1439)*F1440/F1439+SUMIFS(O1426:O1439,B1426:B1439,B1440-1-d_T)*F1440</f>
        <v/>
      </c>
      <c r="L1440" s="40">
        <f>IF(B1440&gt;=in_marketplace_from,J1440*d_hz*G1440*in_eligible*H1440,0)</f>
        <v/>
      </c>
      <c r="M1440" s="40">
        <f>IF(B1440&gt;=in_marketplace_from,K1440*d_hz*G1440*in_eligible*in_approved_repeat,0)</f>
        <v/>
      </c>
      <c r="N1440" s="40">
        <f>L1440+M1440</f>
        <v/>
      </c>
      <c r="O1440" s="46">
        <f>N1440/F1440</f>
        <v/>
      </c>
      <c r="P1440" s="40">
        <f>F1440-J1440-K1440</f>
        <v/>
      </c>
      <c r="Q1440" s="40">
        <f>IF(B1440&gt;=in_marketplace_from,(J1440+K1440)*d_hz*G1440,0)</f>
        <v/>
      </c>
      <c r="R1440" s="40">
        <f>SUMIFS(N1426:N1453,B1426:B1453,"&gt;="&amp;(B1440-d_T),B1426:B1453,"&lt;="&amp;(B1440-1))</f>
        <v/>
      </c>
      <c r="S1440" s="46">
        <f>(1-d_u)*S1439+IF(d_T&gt;in_topup_lag,SUMIFS(O1426:O1453,B1426:B1453,B1440-in_topup_lag)-d_udrop*SUMIFS(O1426:O1453,B1426:B1453,B1440-d_T),0)</f>
        <v/>
      </c>
      <c r="T1440" s="40">
        <f>F1440*d_u*S1440</f>
        <v/>
      </c>
      <c r="U1440" s="9">
        <f>L1440*in_ticket+M1440*d_rep_ticket</f>
        <v/>
      </c>
      <c r="V1440" s="9">
        <f>U1440+T1440*d_topup_amt</f>
        <v/>
      </c>
      <c r="W1440" s="40">
        <f>N1440+T1440*d_topup_ratio</f>
        <v/>
      </c>
      <c r="X1440" s="40">
        <f>SUMIFS(W1426:W1453,B1426:B1453,B1440-in_dpd_lag)*d_cured</f>
        <v/>
      </c>
      <c r="Y1440" s="40">
        <f>SUMIFS(W1426:W1453,B1426:B1453,B1440-in_rec_lag)*d_recd</f>
        <v/>
      </c>
      <c r="Z1440" s="40">
        <f>IF(AND(B1440&gt;=in_marketplace_from,B1440&lt;in_marketplace_from+in_card_months),in_card_share/in_card_months*F1440*I1440,IF(AND(B1440&gt;=in_marketplace_from+in_card_months,B1440&lt;in_marketplace_from+2*in_card_months),in_card_share*d_card_rem/in_card_months*F1440*MIN(in_takeup_cap,(1+in_takeup_growth)^(D1440-1))*MIN(in_takeup_cap,(1+in_approval_growth)^(D1440-1)),0))</f>
        <v/>
      </c>
      <c r="AA1440" s="14">
        <f>V1440*in_fee*(1-in_taken_back)</f>
        <v/>
      </c>
      <c r="AB1440" s="14">
        <f>SUMIFS(W1426:W1453,B1426:B1453,B1440-in_dpd_lag)*d_dpd</f>
        <v/>
      </c>
      <c r="AC1440" s="14">
        <f>SUMIFS(W1426:W1453,B1426:B1453,B1440-in_rec_lag)*d_rec</f>
        <v/>
      </c>
      <c r="AD1440" s="14">
        <f>Z1440*in_card_fee</f>
        <v/>
      </c>
      <c r="AE1440" s="40">
        <f>AE1439*(1-IF(B1439&gt;=in_marketplace_from,d_hz_hlth_small*G1439,0))</f>
        <v/>
      </c>
      <c r="AF1440" s="46">
        <f>AE1440*IF(B1440&gt;=in_marketplace_from,d_hz_hlth_small*G1440,0)</f>
        <v/>
      </c>
      <c r="AG1440" s="14">
        <f>F1440*AF1440*in_hlth_small_ticket*in_hlth_small_comm*in_ins_partner_share+F1440*in_hlth_small_ticket*in_hlth_small_renew_comm*in_ins_partner_share*(in_hlth_small_renew^1*SUMIFS(AF1426:AF1453,B1426:B1453,B1440-12)+in_hlth_small_renew^2*SUMIFS(AF1426:AF1453,B1426:B1453,B1440-24)+in_hlth_small_renew^3*SUMIFS(AF1426:AF1453,B1426:B1453,B1440-36)+in_hlth_small_renew^4*SUMIFS(AF1426:AF1453,B1426:B1453,B1440-48))</f>
        <v/>
      </c>
      <c r="AH1440" s="40">
        <f>AH1439*(1-IF(B1439&gt;=in_marketplace_from,d_hz_hlth_family*G1439,0))</f>
        <v/>
      </c>
      <c r="AI1440" s="46">
        <f>AH1440*IF(B1440&gt;=in_marketplace_from,d_hz_hlth_family*G1440,0)</f>
        <v/>
      </c>
      <c r="AJ1440" s="14">
        <f>F1440*AI1440*in_hlth_family_ticket*in_hlth_family_comm*in_ins_partner_share+F1440*in_hlth_family_ticket*in_hlth_family_renew_comm*in_ins_partner_share*(in_hlth_family_renew^1*SUMIFS(AI1426:AI1453,B1426:B1453,B1440-12)+in_hlth_family_renew^2*SUMIFS(AI1426:AI1453,B1426:B1453,B1440-24)+in_hlth_family_renew^3*SUMIFS(AI1426:AI1453,B1426:B1453,B1440-36)+in_hlth_family_renew^4*SUMIFS(AI1426:AI1453,B1426:B1453,B1440-48))</f>
        <v/>
      </c>
      <c r="AK1440" s="40">
        <f>AK1439*(1-IF(B1439&gt;=in_marketplace_from,d_hz_life_term*G1439,0))</f>
        <v/>
      </c>
      <c r="AL1440" s="46">
        <f>AK1440*IF(B1440&gt;=in_marketplace_from,d_hz_life_term*G1440,0)</f>
        <v/>
      </c>
      <c r="AM1440" s="14">
        <f>F1440*AL1440*in_life_term_ticket*in_life_term_comm*in_ins_partner_share+F1440*in_life_term_ticket*in_life_term_renew_comm*in_ins_partner_share*(in_life_term_renew^1*SUMIFS(AL1426:AL1453,B1426:B1453,B1440-12)+in_life_term_renew^2*SUMIFS(AL1426:AL1453,B1426:B1453,B1440-24)+in_life_term_renew^3*SUMIFS(AL1426:AL1453,B1426:B1453,B1440-36)+in_life_term_renew^4*SUMIFS(AL1426:AL1453,B1426:B1453,B1440-48))</f>
        <v/>
      </c>
      <c r="AN1440" s="40">
        <f>AN1439*(1-IF(B1439&gt;=in_marketplace_from,d_hz_accident*G1439,0))</f>
        <v/>
      </c>
      <c r="AO1440" s="46">
        <f>AN1440*IF(B1440&gt;=in_marketplace_from,d_hz_accident*G1440,0)</f>
        <v/>
      </c>
      <c r="AP1440" s="14">
        <f>F1440*AO1440*in_accident_ticket*in_accident_comm*in_ins_partner_share+F1440*in_accident_ticket*in_accident_renew_comm*in_ins_partner_share*(in_accident_renew^1*SUMIFS(AO1426:AO1453,B1426:B1453,B1440-12)+in_accident_renew^2*SUMIFS(AO1426:AO1453,B1426:B1453,B1440-24)+in_accident_renew^3*SUMIFS(AO1426:AO1453,B1426:B1453,B1440-36)+in_accident_renew^4*SUMIFS(AO1426:AO1453,B1426:B1453,B1440-48))</f>
        <v/>
      </c>
      <c r="AQ1440" s="40">
        <f>AQ1439*(1-IF(B1439&gt;=in_marketplace_from,d_hz_two_wheeler*G1439,0))</f>
        <v/>
      </c>
      <c r="AR1440" s="46">
        <f>AQ1440*IF(B1440&gt;=in_marketplace_from,d_hz_two_wheeler*G1440,0)</f>
        <v/>
      </c>
      <c r="AS1440" s="14">
        <f>F1440*AR1440*in_two_wheeler_ticket*in_two_wheeler_comm*in_ins_partner_share+F1440*in_two_wheeler_ticket*in_two_wheeler_comm*in_ins_partner_share*(in_two_wheeler_renew^1*SUMIFS(AR1426:AR1453,B1426:B1453,B1440-12)+in_two_wheeler_renew^2*SUMIFS(AR1426:AR1453,B1426:B1453,B1440-24)+in_two_wheeler_renew^3*SUMIFS(AR1426:AR1453,B1426:B1453,B1440-36)+in_two_wheeler_renew^4*SUMIFS(AR1426:AR1453,B1426:B1453,B1440-48))</f>
        <v/>
      </c>
      <c r="AT1440" s="40">
        <f>AT1439*(1-IF(B1439&gt;=in_marketplace_from,d_hz_device*G1439,0))</f>
        <v/>
      </c>
      <c r="AU1440" s="14">
        <f>F1440*AT1440*IF(B1440&gt;=in_marketplace_from,d_hz_device*G1440,0)*in_device_ticket*in_device_comm*in_ins_partner_share</f>
        <v/>
      </c>
      <c r="AV1440" s="40">
        <f>AV1439*(1-IF(B1439&gt;=in_marketplace_from,d_hz_shop*G1439,0))</f>
        <v/>
      </c>
      <c r="AW1440" s="46">
        <f>AV1440*IF(B1440&gt;=in_marketplace_from,d_hz_shop*G1440,0)</f>
        <v/>
      </c>
      <c r="AX1440" s="14">
        <f>F1440*AW1440*in_shop_ticket*in_shop_comm*in_ins_partner_share+F1440*in_shop_ticket*in_shop_renew_comm*in_ins_partner_share*(in_shop_renew^1*SUMIFS(AW1426:AW1453,B1426:B1453,B1440-12)+in_shop_renew^2*SUMIFS(AW1426:AW1453,B1426:B1453,B1440-24)+in_shop_renew^3*SUMIFS(AW1426:AW1453,B1426:B1453,B1440-36)+in_shop_renew^4*SUMIFS(AW1426:AW1453,B1426:B1453,B1440-48))</f>
        <v/>
      </c>
      <c r="AY1440" s="40">
        <f>AY1439*(1-IF(B1439&gt;=in_marketplace_from,d_hz_sip*G1439,0))</f>
        <v/>
      </c>
      <c r="AZ1440" s="40">
        <f>AZ1439*d_rho_sip+AY1440*IF(B1440&gt;=in_marketplace_from,d_hz_sip*G1440,0)</f>
        <v/>
      </c>
      <c r="BA1440" s="40">
        <f>d_rho_sip*(BA1439+AZ1439)</f>
        <v/>
      </c>
      <c r="BB1440" s="14">
        <f>F1440*in_sip_ticket*(BA1440+0.5*AZ1440)*in_sip_comm/12</f>
        <v/>
      </c>
      <c r="BC1440" s="40">
        <f>BC1439*(1-IF(B1439&gt;=in_marketplace_from,d_hz_choti*G1439,0))</f>
        <v/>
      </c>
      <c r="BD1440" s="46">
        <f>BC1440*IF(B1440&gt;=in_marketplace_from,d_hz_choti*G1440,0)</f>
        <v/>
      </c>
      <c r="BE1440" s="14">
        <f>F1440*SUMIFS(BD1426:BD1453,B1426:B1453,B1440-in_choti_months)*in_choti_renew*in_choti_ticket</f>
        <v/>
      </c>
      <c r="BF1440" s="40">
        <f>BF1439*(1-IF(B1439&gt;=in_marketplace_from,d_hz_nps*G1439,0))</f>
        <v/>
      </c>
      <c r="BG1440" s="14">
        <f>F1440*BF1440*IF(B1440&gt;=in_marketplace_from,d_hz_nps*G1440,0)*in_nps_ticket*in_nps_comm</f>
        <v/>
      </c>
      <c r="BH1440" s="40">
        <f>BH1439*(1-IF(B1439&gt;=in_marketplace_from,d_hz_gold*G1439,0))</f>
        <v/>
      </c>
      <c r="BI1440" s="40">
        <f>BI1439*d_rho_gold+BH1440*IF(B1440&gt;=in_marketplace_from,d_hz_gold*G1440,0)</f>
        <v/>
      </c>
      <c r="BJ1440" s="14">
        <f>F1440*BI1440*in_gold_ticket*in_gold_comm</f>
        <v/>
      </c>
      <c r="BK1440" s="40">
        <f>BK1439*(1-IF(B1439&gt;=in_marketplace_from,d_hz_fd*G1439,0))</f>
        <v/>
      </c>
      <c r="BL1440" s="14">
        <f>F1440*BK1440*IF(B1440&gt;=in_marketplace_from,d_hz_fd*G1440,0)*in_fd_ticket*in_fd_comm</f>
        <v/>
      </c>
      <c r="BM1440" s="40">
        <f>BM1439*(1-IF(B1439&gt;=in_marketplace_from,d_hz_recharge*G1439,0))</f>
        <v/>
      </c>
      <c r="BN1440" s="40">
        <f>BN1439*d_rho_recharge+BM1440*IF(B1440&gt;=in_marketplace_from,d_hz_recharge*G1440,0)</f>
        <v/>
      </c>
      <c r="BO1440" s="14">
        <f>F1440*BN1440*in_recharge_ticket*in_recharge_comm/12</f>
        <v/>
      </c>
      <c r="BP1440" s="40">
        <f>BP1439*(1-IF(B1439&gt;=in_marketplace_from,d_hz_bills*G1439,0))</f>
        <v/>
      </c>
      <c r="BQ1440" s="40">
        <f>BQ1439*d_rho_bills+BP1440*IF(B1440&gt;=in_marketplace_from,d_hz_bills*G1440,0)</f>
        <v/>
      </c>
      <c r="BR1440" s="14">
        <f>F1440*BQ1440*in_bills_ticket*in_bills_comm/12</f>
        <v/>
      </c>
      <c r="BS1440" s="40">
        <f>BS1439*(1-IF(B1439&gt;=in_marketplace_from,d_hz_loan_gold*G1439,0))</f>
        <v/>
      </c>
      <c r="BT1440" s="14">
        <f>F1440*BS1440*IF(B1440&gt;=in_marketplace_from,d_hz_loan_gold*G1440,0)*in_loan_gold_ticket*in_loan_gold_comm</f>
        <v/>
      </c>
      <c r="BU1440" s="40">
        <f>BU1439*(1-IF(B1439&gt;=in_marketplace_from,d_hz_loan_cd*G1439,0))</f>
        <v/>
      </c>
      <c r="BV1440" s="14">
        <f>F1440*BU1440*IF(B1440&gt;=in_marketplace_from,d_hz_loan_cd*G1440,0)*in_loan_cd_ticket*in_loan_cd_comm</f>
        <v/>
      </c>
      <c r="BW1440" s="40">
        <f>BW1439*(1-IF(B1439&gt;=in_marketplace_from,d_hz_loan_vehicle*G1439,0))</f>
        <v/>
      </c>
      <c r="BX1440" s="14">
        <f>F1440*BW1440*IF(B1440&gt;=in_marketplace_from,d_hz_loan_vehicle*G1440,0)*in_loan_vehicle_ticket*in_loan_vehicle_comm</f>
        <v/>
      </c>
      <c r="BY1440" s="40">
        <f>BY1439*(1-IF(B1439&gt;=in_marketplace_from,d_hz_loan_home*G1439,0)*BZ1439)</f>
        <v/>
      </c>
      <c r="BZ1440" s="11">
        <f>MIN(in_approval_cap,in_loan_home_approval*INDEX('Age profile'!$O$2:$O$61,B1440)*(1+in_approval_growth)^(D1440-1))</f>
        <v/>
      </c>
      <c r="CA1440" s="14">
        <f>F1440*BY1440*IF(B1440&gt;=in_marketplace_from,d_hz_loan_home*G1440,0)*BZ1440*in_loan_home_ticket*in_loan_home_comm</f>
        <v/>
      </c>
      <c r="CB1440" s="40">
        <f>CB1439*(1-IF(B1439&gt;=in_marketplace_from,d_hz_loan_lap*G1439,0)*CC1439)</f>
        <v/>
      </c>
      <c r="CC1440" s="11">
        <f>MIN(in_approval_cap,in_loan_lap_approval*INDEX('Age profile'!$O$2:$O$61,B1440)*(1+in_approval_growth)^(D1440-1))</f>
        <v/>
      </c>
      <c r="CD1440" s="14">
        <f>F1440*CB1440*IF(B1440&gt;=in_marketplace_from,d_hz_loan_lap*G1440,0)*CC1440*in_loan_lap_ticket*in_loan_lap_comm</f>
        <v/>
      </c>
      <c r="CE1440" s="14">
        <f>AA1440+AB1440+AC1440+AD1440+AG1440+AJ1440+AM1440+AP1440+AS1440+AU1440+AX1440+BB1440+BE1440+BG1440+BJ1440+BL1440+BO1440+BR1440+BT1440+BV1440+BX1440+CA1440+CD1440</f>
        <v/>
      </c>
    </row>
    <row r="1441">
      <c r="A1441" s="39" t="n">
        <v>33</v>
      </c>
      <c r="B1441" s="39" t="n">
        <v>16</v>
      </c>
      <c r="C1441" s="39">
        <f>A1441+B1441-1</f>
        <v/>
      </c>
      <c r="D1441" s="39">
        <f>INT((C1441-1)/12)+1</f>
        <v/>
      </c>
      <c r="E1441" s="44">
        <f>INDEX(Monthly!$B$2:$B$61,A1441)</f>
        <v/>
      </c>
      <c r="F1441" s="44">
        <f>E1441*INDEX('Age profile'!$B$2:$B$61,B1441)</f>
        <v/>
      </c>
      <c r="G1441" s="45">
        <f>MIN(in_takeup_cap,INDEX('Age profile'!$N$2:$N$61,B1441)*(1+in_takeup_growth)^(D1441-1))</f>
        <v/>
      </c>
      <c r="H1441" s="11">
        <f>MIN(in_approval_cap,in_approved_first*INDEX('Age profile'!$O$2:$O$61,B1441)*(1+in_approval_growth)^(D1441-1))</f>
        <v/>
      </c>
      <c r="I1441" s="45">
        <f>G1441*MIN(in_takeup_cap,INDEX('Age profile'!$O$2:$O$61,B1441)*(1+in_approval_growth)^(D1441-1))</f>
        <v/>
      </c>
      <c r="J1441" s="40">
        <f>(J1440-L1440)*F1441/F1440</f>
        <v/>
      </c>
      <c r="K1441" s="40">
        <f>(K1440-M1440)*F1441/F1440+SUMIFS(O1426:O1440,B1426:B1440,B1441-1-d_T)*F1441</f>
        <v/>
      </c>
      <c r="L1441" s="40">
        <f>IF(B1441&gt;=in_marketplace_from,J1441*d_hz*G1441*in_eligible*H1441,0)</f>
        <v/>
      </c>
      <c r="M1441" s="40">
        <f>IF(B1441&gt;=in_marketplace_from,K1441*d_hz*G1441*in_eligible*in_approved_repeat,0)</f>
        <v/>
      </c>
      <c r="N1441" s="40">
        <f>L1441+M1441</f>
        <v/>
      </c>
      <c r="O1441" s="46">
        <f>N1441/F1441</f>
        <v/>
      </c>
      <c r="P1441" s="40">
        <f>F1441-J1441-K1441</f>
        <v/>
      </c>
      <c r="Q1441" s="40">
        <f>IF(B1441&gt;=in_marketplace_from,(J1441+K1441)*d_hz*G1441,0)</f>
        <v/>
      </c>
      <c r="R1441" s="40">
        <f>SUMIFS(N1426:N1453,B1426:B1453,"&gt;="&amp;(B1441-d_T),B1426:B1453,"&lt;="&amp;(B1441-1))</f>
        <v/>
      </c>
      <c r="S1441" s="46">
        <f>(1-d_u)*S1440+IF(d_T&gt;in_topup_lag,SUMIFS(O1426:O1453,B1426:B1453,B1441-in_topup_lag)-d_udrop*SUMIFS(O1426:O1453,B1426:B1453,B1441-d_T),0)</f>
        <v/>
      </c>
      <c r="T1441" s="40">
        <f>F1441*d_u*S1441</f>
        <v/>
      </c>
      <c r="U1441" s="9">
        <f>L1441*in_ticket+M1441*d_rep_ticket</f>
        <v/>
      </c>
      <c r="V1441" s="9">
        <f>U1441+T1441*d_topup_amt</f>
        <v/>
      </c>
      <c r="W1441" s="40">
        <f>N1441+T1441*d_topup_ratio</f>
        <v/>
      </c>
      <c r="X1441" s="40">
        <f>SUMIFS(W1426:W1453,B1426:B1453,B1441-in_dpd_lag)*d_cured</f>
        <v/>
      </c>
      <c r="Y1441" s="40">
        <f>SUMIFS(W1426:W1453,B1426:B1453,B1441-in_rec_lag)*d_recd</f>
        <v/>
      </c>
      <c r="Z1441" s="40">
        <f>IF(AND(B1441&gt;=in_marketplace_from,B1441&lt;in_marketplace_from+in_card_months),in_card_share/in_card_months*F1441*I1441,IF(AND(B1441&gt;=in_marketplace_from+in_card_months,B1441&lt;in_marketplace_from+2*in_card_months),in_card_share*d_card_rem/in_card_months*F1441*MIN(in_takeup_cap,(1+in_takeup_growth)^(D1441-1))*MIN(in_takeup_cap,(1+in_approval_growth)^(D1441-1)),0))</f>
        <v/>
      </c>
      <c r="AA1441" s="14">
        <f>V1441*in_fee*(1-in_taken_back)</f>
        <v/>
      </c>
      <c r="AB1441" s="14">
        <f>SUMIFS(W1426:W1453,B1426:B1453,B1441-in_dpd_lag)*d_dpd</f>
        <v/>
      </c>
      <c r="AC1441" s="14">
        <f>SUMIFS(W1426:W1453,B1426:B1453,B1441-in_rec_lag)*d_rec</f>
        <v/>
      </c>
      <c r="AD1441" s="14">
        <f>Z1441*in_card_fee</f>
        <v/>
      </c>
      <c r="AE1441" s="40">
        <f>AE1440*(1-IF(B1440&gt;=in_marketplace_from,d_hz_hlth_small*G1440,0))</f>
        <v/>
      </c>
      <c r="AF1441" s="46">
        <f>AE1441*IF(B1441&gt;=in_marketplace_from,d_hz_hlth_small*G1441,0)</f>
        <v/>
      </c>
      <c r="AG1441" s="14">
        <f>F1441*AF1441*in_hlth_small_ticket*in_hlth_small_comm*in_ins_partner_share+F1441*in_hlth_small_ticket*in_hlth_small_renew_comm*in_ins_partner_share*(in_hlth_small_renew^1*SUMIFS(AF1426:AF1453,B1426:B1453,B1441-12)+in_hlth_small_renew^2*SUMIFS(AF1426:AF1453,B1426:B1453,B1441-24)+in_hlth_small_renew^3*SUMIFS(AF1426:AF1453,B1426:B1453,B1441-36)+in_hlth_small_renew^4*SUMIFS(AF1426:AF1453,B1426:B1453,B1441-48))</f>
        <v/>
      </c>
      <c r="AH1441" s="40">
        <f>AH1440*(1-IF(B1440&gt;=in_marketplace_from,d_hz_hlth_family*G1440,0))</f>
        <v/>
      </c>
      <c r="AI1441" s="46">
        <f>AH1441*IF(B1441&gt;=in_marketplace_from,d_hz_hlth_family*G1441,0)</f>
        <v/>
      </c>
      <c r="AJ1441" s="14">
        <f>F1441*AI1441*in_hlth_family_ticket*in_hlth_family_comm*in_ins_partner_share+F1441*in_hlth_family_ticket*in_hlth_family_renew_comm*in_ins_partner_share*(in_hlth_family_renew^1*SUMIFS(AI1426:AI1453,B1426:B1453,B1441-12)+in_hlth_family_renew^2*SUMIFS(AI1426:AI1453,B1426:B1453,B1441-24)+in_hlth_family_renew^3*SUMIFS(AI1426:AI1453,B1426:B1453,B1441-36)+in_hlth_family_renew^4*SUMIFS(AI1426:AI1453,B1426:B1453,B1441-48))</f>
        <v/>
      </c>
      <c r="AK1441" s="40">
        <f>AK1440*(1-IF(B1440&gt;=in_marketplace_from,d_hz_life_term*G1440,0))</f>
        <v/>
      </c>
      <c r="AL1441" s="46">
        <f>AK1441*IF(B1441&gt;=in_marketplace_from,d_hz_life_term*G1441,0)</f>
        <v/>
      </c>
      <c r="AM1441" s="14">
        <f>F1441*AL1441*in_life_term_ticket*in_life_term_comm*in_ins_partner_share+F1441*in_life_term_ticket*in_life_term_renew_comm*in_ins_partner_share*(in_life_term_renew^1*SUMIFS(AL1426:AL1453,B1426:B1453,B1441-12)+in_life_term_renew^2*SUMIFS(AL1426:AL1453,B1426:B1453,B1441-24)+in_life_term_renew^3*SUMIFS(AL1426:AL1453,B1426:B1453,B1441-36)+in_life_term_renew^4*SUMIFS(AL1426:AL1453,B1426:B1453,B1441-48))</f>
        <v/>
      </c>
      <c r="AN1441" s="40">
        <f>AN1440*(1-IF(B1440&gt;=in_marketplace_from,d_hz_accident*G1440,0))</f>
        <v/>
      </c>
      <c r="AO1441" s="46">
        <f>AN1441*IF(B1441&gt;=in_marketplace_from,d_hz_accident*G1441,0)</f>
        <v/>
      </c>
      <c r="AP1441" s="14">
        <f>F1441*AO1441*in_accident_ticket*in_accident_comm*in_ins_partner_share+F1441*in_accident_ticket*in_accident_renew_comm*in_ins_partner_share*(in_accident_renew^1*SUMIFS(AO1426:AO1453,B1426:B1453,B1441-12)+in_accident_renew^2*SUMIFS(AO1426:AO1453,B1426:B1453,B1441-24)+in_accident_renew^3*SUMIFS(AO1426:AO1453,B1426:B1453,B1441-36)+in_accident_renew^4*SUMIFS(AO1426:AO1453,B1426:B1453,B1441-48))</f>
        <v/>
      </c>
      <c r="AQ1441" s="40">
        <f>AQ1440*(1-IF(B1440&gt;=in_marketplace_from,d_hz_two_wheeler*G1440,0))</f>
        <v/>
      </c>
      <c r="AR1441" s="46">
        <f>AQ1441*IF(B1441&gt;=in_marketplace_from,d_hz_two_wheeler*G1441,0)</f>
        <v/>
      </c>
      <c r="AS1441" s="14">
        <f>F1441*AR1441*in_two_wheeler_ticket*in_two_wheeler_comm*in_ins_partner_share+F1441*in_two_wheeler_ticket*in_two_wheeler_comm*in_ins_partner_share*(in_two_wheeler_renew^1*SUMIFS(AR1426:AR1453,B1426:B1453,B1441-12)+in_two_wheeler_renew^2*SUMIFS(AR1426:AR1453,B1426:B1453,B1441-24)+in_two_wheeler_renew^3*SUMIFS(AR1426:AR1453,B1426:B1453,B1441-36)+in_two_wheeler_renew^4*SUMIFS(AR1426:AR1453,B1426:B1453,B1441-48))</f>
        <v/>
      </c>
      <c r="AT1441" s="40">
        <f>AT1440*(1-IF(B1440&gt;=in_marketplace_from,d_hz_device*G1440,0))</f>
        <v/>
      </c>
      <c r="AU1441" s="14">
        <f>F1441*AT1441*IF(B1441&gt;=in_marketplace_from,d_hz_device*G1441,0)*in_device_ticket*in_device_comm*in_ins_partner_share</f>
        <v/>
      </c>
      <c r="AV1441" s="40">
        <f>AV1440*(1-IF(B1440&gt;=in_marketplace_from,d_hz_shop*G1440,0))</f>
        <v/>
      </c>
      <c r="AW1441" s="46">
        <f>AV1441*IF(B1441&gt;=in_marketplace_from,d_hz_shop*G1441,0)</f>
        <v/>
      </c>
      <c r="AX1441" s="14">
        <f>F1441*AW1441*in_shop_ticket*in_shop_comm*in_ins_partner_share+F1441*in_shop_ticket*in_shop_renew_comm*in_ins_partner_share*(in_shop_renew^1*SUMIFS(AW1426:AW1453,B1426:B1453,B1441-12)+in_shop_renew^2*SUMIFS(AW1426:AW1453,B1426:B1453,B1441-24)+in_shop_renew^3*SUMIFS(AW1426:AW1453,B1426:B1453,B1441-36)+in_shop_renew^4*SUMIFS(AW1426:AW1453,B1426:B1453,B1441-48))</f>
        <v/>
      </c>
      <c r="AY1441" s="40">
        <f>AY1440*(1-IF(B1440&gt;=in_marketplace_from,d_hz_sip*G1440,0))</f>
        <v/>
      </c>
      <c r="AZ1441" s="40">
        <f>AZ1440*d_rho_sip+AY1441*IF(B1441&gt;=in_marketplace_from,d_hz_sip*G1441,0)</f>
        <v/>
      </c>
      <c r="BA1441" s="40">
        <f>d_rho_sip*(BA1440+AZ1440)</f>
        <v/>
      </c>
      <c r="BB1441" s="14">
        <f>F1441*in_sip_ticket*(BA1441+0.5*AZ1441)*in_sip_comm/12</f>
        <v/>
      </c>
      <c r="BC1441" s="40">
        <f>BC1440*(1-IF(B1440&gt;=in_marketplace_from,d_hz_choti*G1440,0))</f>
        <v/>
      </c>
      <c r="BD1441" s="46">
        <f>BC1441*IF(B1441&gt;=in_marketplace_from,d_hz_choti*G1441,0)</f>
        <v/>
      </c>
      <c r="BE1441" s="14">
        <f>F1441*SUMIFS(BD1426:BD1453,B1426:B1453,B1441-in_choti_months)*in_choti_renew*in_choti_ticket</f>
        <v/>
      </c>
      <c r="BF1441" s="40">
        <f>BF1440*(1-IF(B1440&gt;=in_marketplace_from,d_hz_nps*G1440,0))</f>
        <v/>
      </c>
      <c r="BG1441" s="14">
        <f>F1441*BF1441*IF(B1441&gt;=in_marketplace_from,d_hz_nps*G1441,0)*in_nps_ticket*in_nps_comm</f>
        <v/>
      </c>
      <c r="BH1441" s="40">
        <f>BH1440*(1-IF(B1440&gt;=in_marketplace_from,d_hz_gold*G1440,0))</f>
        <v/>
      </c>
      <c r="BI1441" s="40">
        <f>BI1440*d_rho_gold+BH1441*IF(B1441&gt;=in_marketplace_from,d_hz_gold*G1441,0)</f>
        <v/>
      </c>
      <c r="BJ1441" s="14">
        <f>F1441*BI1441*in_gold_ticket*in_gold_comm</f>
        <v/>
      </c>
      <c r="BK1441" s="40">
        <f>BK1440*(1-IF(B1440&gt;=in_marketplace_from,d_hz_fd*G1440,0))</f>
        <v/>
      </c>
      <c r="BL1441" s="14">
        <f>F1441*BK1441*IF(B1441&gt;=in_marketplace_from,d_hz_fd*G1441,0)*in_fd_ticket*in_fd_comm</f>
        <v/>
      </c>
      <c r="BM1441" s="40">
        <f>BM1440*(1-IF(B1440&gt;=in_marketplace_from,d_hz_recharge*G1440,0))</f>
        <v/>
      </c>
      <c r="BN1441" s="40">
        <f>BN1440*d_rho_recharge+BM1441*IF(B1441&gt;=in_marketplace_from,d_hz_recharge*G1441,0)</f>
        <v/>
      </c>
      <c r="BO1441" s="14">
        <f>F1441*BN1441*in_recharge_ticket*in_recharge_comm/12</f>
        <v/>
      </c>
      <c r="BP1441" s="40">
        <f>BP1440*(1-IF(B1440&gt;=in_marketplace_from,d_hz_bills*G1440,0))</f>
        <v/>
      </c>
      <c r="BQ1441" s="40">
        <f>BQ1440*d_rho_bills+BP1441*IF(B1441&gt;=in_marketplace_from,d_hz_bills*G1441,0)</f>
        <v/>
      </c>
      <c r="BR1441" s="14">
        <f>F1441*BQ1441*in_bills_ticket*in_bills_comm/12</f>
        <v/>
      </c>
      <c r="BS1441" s="40">
        <f>BS1440*(1-IF(B1440&gt;=in_marketplace_from,d_hz_loan_gold*G1440,0))</f>
        <v/>
      </c>
      <c r="BT1441" s="14">
        <f>F1441*BS1441*IF(B1441&gt;=in_marketplace_from,d_hz_loan_gold*G1441,0)*in_loan_gold_ticket*in_loan_gold_comm</f>
        <v/>
      </c>
      <c r="BU1441" s="40">
        <f>BU1440*(1-IF(B1440&gt;=in_marketplace_from,d_hz_loan_cd*G1440,0))</f>
        <v/>
      </c>
      <c r="BV1441" s="14">
        <f>F1441*BU1441*IF(B1441&gt;=in_marketplace_from,d_hz_loan_cd*G1441,0)*in_loan_cd_ticket*in_loan_cd_comm</f>
        <v/>
      </c>
      <c r="BW1441" s="40">
        <f>BW1440*(1-IF(B1440&gt;=in_marketplace_from,d_hz_loan_vehicle*G1440,0))</f>
        <v/>
      </c>
      <c r="BX1441" s="14">
        <f>F1441*BW1441*IF(B1441&gt;=in_marketplace_from,d_hz_loan_vehicle*G1441,0)*in_loan_vehicle_ticket*in_loan_vehicle_comm</f>
        <v/>
      </c>
      <c r="BY1441" s="40">
        <f>BY1440*(1-IF(B1440&gt;=in_marketplace_from,d_hz_loan_home*G1440,0)*BZ1440)</f>
        <v/>
      </c>
      <c r="BZ1441" s="11">
        <f>MIN(in_approval_cap,in_loan_home_approval*INDEX('Age profile'!$O$2:$O$61,B1441)*(1+in_approval_growth)^(D1441-1))</f>
        <v/>
      </c>
      <c r="CA1441" s="14">
        <f>F1441*BY1441*IF(B1441&gt;=in_marketplace_from,d_hz_loan_home*G1441,0)*BZ1441*in_loan_home_ticket*in_loan_home_comm</f>
        <v/>
      </c>
      <c r="CB1441" s="40">
        <f>CB1440*(1-IF(B1440&gt;=in_marketplace_from,d_hz_loan_lap*G1440,0)*CC1440)</f>
        <v/>
      </c>
      <c r="CC1441" s="11">
        <f>MIN(in_approval_cap,in_loan_lap_approval*INDEX('Age profile'!$O$2:$O$61,B1441)*(1+in_approval_growth)^(D1441-1))</f>
        <v/>
      </c>
      <c r="CD1441" s="14">
        <f>F1441*CB1441*IF(B1441&gt;=in_marketplace_from,d_hz_loan_lap*G1441,0)*CC1441*in_loan_lap_ticket*in_loan_lap_comm</f>
        <v/>
      </c>
      <c r="CE1441" s="14">
        <f>AA1441+AB1441+AC1441+AD1441+AG1441+AJ1441+AM1441+AP1441+AS1441+AU1441+AX1441+BB1441+BE1441+BG1441+BJ1441+BL1441+BO1441+BR1441+BT1441+BV1441+BX1441+CA1441+CD1441</f>
        <v/>
      </c>
    </row>
    <row r="1442">
      <c r="A1442" s="39" t="n">
        <v>33</v>
      </c>
      <c r="B1442" s="39" t="n">
        <v>17</v>
      </c>
      <c r="C1442" s="39">
        <f>A1442+B1442-1</f>
        <v/>
      </c>
      <c r="D1442" s="39">
        <f>INT((C1442-1)/12)+1</f>
        <v/>
      </c>
      <c r="E1442" s="44">
        <f>INDEX(Monthly!$B$2:$B$61,A1442)</f>
        <v/>
      </c>
      <c r="F1442" s="44">
        <f>E1442*INDEX('Age profile'!$B$2:$B$61,B1442)</f>
        <v/>
      </c>
      <c r="G1442" s="45">
        <f>MIN(in_takeup_cap,INDEX('Age profile'!$N$2:$N$61,B1442)*(1+in_takeup_growth)^(D1442-1))</f>
        <v/>
      </c>
      <c r="H1442" s="11">
        <f>MIN(in_approval_cap,in_approved_first*INDEX('Age profile'!$O$2:$O$61,B1442)*(1+in_approval_growth)^(D1442-1))</f>
        <v/>
      </c>
      <c r="I1442" s="45">
        <f>G1442*MIN(in_takeup_cap,INDEX('Age profile'!$O$2:$O$61,B1442)*(1+in_approval_growth)^(D1442-1))</f>
        <v/>
      </c>
      <c r="J1442" s="40">
        <f>(J1441-L1441)*F1442/F1441</f>
        <v/>
      </c>
      <c r="K1442" s="40">
        <f>(K1441-M1441)*F1442/F1441+SUMIFS(O1426:O1441,B1426:B1441,B1442-1-d_T)*F1442</f>
        <v/>
      </c>
      <c r="L1442" s="40">
        <f>IF(B1442&gt;=in_marketplace_from,J1442*d_hz*G1442*in_eligible*H1442,0)</f>
        <v/>
      </c>
      <c r="M1442" s="40">
        <f>IF(B1442&gt;=in_marketplace_from,K1442*d_hz*G1442*in_eligible*in_approved_repeat,0)</f>
        <v/>
      </c>
      <c r="N1442" s="40">
        <f>L1442+M1442</f>
        <v/>
      </c>
      <c r="O1442" s="46">
        <f>N1442/F1442</f>
        <v/>
      </c>
      <c r="P1442" s="40">
        <f>F1442-J1442-K1442</f>
        <v/>
      </c>
      <c r="Q1442" s="40">
        <f>IF(B1442&gt;=in_marketplace_from,(J1442+K1442)*d_hz*G1442,0)</f>
        <v/>
      </c>
      <c r="R1442" s="40">
        <f>SUMIFS(N1426:N1453,B1426:B1453,"&gt;="&amp;(B1442-d_T),B1426:B1453,"&lt;="&amp;(B1442-1))</f>
        <v/>
      </c>
      <c r="S1442" s="46">
        <f>(1-d_u)*S1441+IF(d_T&gt;in_topup_lag,SUMIFS(O1426:O1453,B1426:B1453,B1442-in_topup_lag)-d_udrop*SUMIFS(O1426:O1453,B1426:B1453,B1442-d_T),0)</f>
        <v/>
      </c>
      <c r="T1442" s="40">
        <f>F1442*d_u*S1442</f>
        <v/>
      </c>
      <c r="U1442" s="9">
        <f>L1442*in_ticket+M1442*d_rep_ticket</f>
        <v/>
      </c>
      <c r="V1442" s="9">
        <f>U1442+T1442*d_topup_amt</f>
        <v/>
      </c>
      <c r="W1442" s="40">
        <f>N1442+T1442*d_topup_ratio</f>
        <v/>
      </c>
      <c r="X1442" s="40">
        <f>SUMIFS(W1426:W1453,B1426:B1453,B1442-in_dpd_lag)*d_cured</f>
        <v/>
      </c>
      <c r="Y1442" s="40">
        <f>SUMIFS(W1426:W1453,B1426:B1453,B1442-in_rec_lag)*d_recd</f>
        <v/>
      </c>
      <c r="Z1442" s="40">
        <f>IF(AND(B1442&gt;=in_marketplace_from,B1442&lt;in_marketplace_from+in_card_months),in_card_share/in_card_months*F1442*I1442,IF(AND(B1442&gt;=in_marketplace_from+in_card_months,B1442&lt;in_marketplace_from+2*in_card_months),in_card_share*d_card_rem/in_card_months*F1442*MIN(in_takeup_cap,(1+in_takeup_growth)^(D1442-1))*MIN(in_takeup_cap,(1+in_approval_growth)^(D1442-1)),0))</f>
        <v/>
      </c>
      <c r="AA1442" s="14">
        <f>V1442*in_fee*(1-in_taken_back)</f>
        <v/>
      </c>
      <c r="AB1442" s="14">
        <f>SUMIFS(W1426:W1453,B1426:B1453,B1442-in_dpd_lag)*d_dpd</f>
        <v/>
      </c>
      <c r="AC1442" s="14">
        <f>SUMIFS(W1426:W1453,B1426:B1453,B1442-in_rec_lag)*d_rec</f>
        <v/>
      </c>
      <c r="AD1442" s="14">
        <f>Z1442*in_card_fee</f>
        <v/>
      </c>
      <c r="AE1442" s="40">
        <f>AE1441*(1-IF(B1441&gt;=in_marketplace_from,d_hz_hlth_small*G1441,0))</f>
        <v/>
      </c>
      <c r="AF1442" s="46">
        <f>AE1442*IF(B1442&gt;=in_marketplace_from,d_hz_hlth_small*G1442,0)</f>
        <v/>
      </c>
      <c r="AG1442" s="14">
        <f>F1442*AF1442*in_hlth_small_ticket*in_hlth_small_comm*in_ins_partner_share+F1442*in_hlth_small_ticket*in_hlth_small_renew_comm*in_ins_partner_share*(in_hlth_small_renew^1*SUMIFS(AF1426:AF1453,B1426:B1453,B1442-12)+in_hlth_small_renew^2*SUMIFS(AF1426:AF1453,B1426:B1453,B1442-24)+in_hlth_small_renew^3*SUMIFS(AF1426:AF1453,B1426:B1453,B1442-36)+in_hlth_small_renew^4*SUMIFS(AF1426:AF1453,B1426:B1453,B1442-48))</f>
        <v/>
      </c>
      <c r="AH1442" s="40">
        <f>AH1441*(1-IF(B1441&gt;=in_marketplace_from,d_hz_hlth_family*G1441,0))</f>
        <v/>
      </c>
      <c r="AI1442" s="46">
        <f>AH1442*IF(B1442&gt;=in_marketplace_from,d_hz_hlth_family*G1442,0)</f>
        <v/>
      </c>
      <c r="AJ1442" s="14">
        <f>F1442*AI1442*in_hlth_family_ticket*in_hlth_family_comm*in_ins_partner_share+F1442*in_hlth_family_ticket*in_hlth_family_renew_comm*in_ins_partner_share*(in_hlth_family_renew^1*SUMIFS(AI1426:AI1453,B1426:B1453,B1442-12)+in_hlth_family_renew^2*SUMIFS(AI1426:AI1453,B1426:B1453,B1442-24)+in_hlth_family_renew^3*SUMIFS(AI1426:AI1453,B1426:B1453,B1442-36)+in_hlth_family_renew^4*SUMIFS(AI1426:AI1453,B1426:B1453,B1442-48))</f>
        <v/>
      </c>
      <c r="AK1442" s="40">
        <f>AK1441*(1-IF(B1441&gt;=in_marketplace_from,d_hz_life_term*G1441,0))</f>
        <v/>
      </c>
      <c r="AL1442" s="46">
        <f>AK1442*IF(B1442&gt;=in_marketplace_from,d_hz_life_term*G1442,0)</f>
        <v/>
      </c>
      <c r="AM1442" s="14">
        <f>F1442*AL1442*in_life_term_ticket*in_life_term_comm*in_ins_partner_share+F1442*in_life_term_ticket*in_life_term_renew_comm*in_ins_partner_share*(in_life_term_renew^1*SUMIFS(AL1426:AL1453,B1426:B1453,B1442-12)+in_life_term_renew^2*SUMIFS(AL1426:AL1453,B1426:B1453,B1442-24)+in_life_term_renew^3*SUMIFS(AL1426:AL1453,B1426:B1453,B1442-36)+in_life_term_renew^4*SUMIFS(AL1426:AL1453,B1426:B1453,B1442-48))</f>
        <v/>
      </c>
      <c r="AN1442" s="40">
        <f>AN1441*(1-IF(B1441&gt;=in_marketplace_from,d_hz_accident*G1441,0))</f>
        <v/>
      </c>
      <c r="AO1442" s="46">
        <f>AN1442*IF(B1442&gt;=in_marketplace_from,d_hz_accident*G1442,0)</f>
        <v/>
      </c>
      <c r="AP1442" s="14">
        <f>F1442*AO1442*in_accident_ticket*in_accident_comm*in_ins_partner_share+F1442*in_accident_ticket*in_accident_renew_comm*in_ins_partner_share*(in_accident_renew^1*SUMIFS(AO1426:AO1453,B1426:B1453,B1442-12)+in_accident_renew^2*SUMIFS(AO1426:AO1453,B1426:B1453,B1442-24)+in_accident_renew^3*SUMIFS(AO1426:AO1453,B1426:B1453,B1442-36)+in_accident_renew^4*SUMIFS(AO1426:AO1453,B1426:B1453,B1442-48))</f>
        <v/>
      </c>
      <c r="AQ1442" s="40">
        <f>AQ1441*(1-IF(B1441&gt;=in_marketplace_from,d_hz_two_wheeler*G1441,0))</f>
        <v/>
      </c>
      <c r="AR1442" s="46">
        <f>AQ1442*IF(B1442&gt;=in_marketplace_from,d_hz_two_wheeler*G1442,0)</f>
        <v/>
      </c>
      <c r="AS1442" s="14">
        <f>F1442*AR1442*in_two_wheeler_ticket*in_two_wheeler_comm*in_ins_partner_share+F1442*in_two_wheeler_ticket*in_two_wheeler_comm*in_ins_partner_share*(in_two_wheeler_renew^1*SUMIFS(AR1426:AR1453,B1426:B1453,B1442-12)+in_two_wheeler_renew^2*SUMIFS(AR1426:AR1453,B1426:B1453,B1442-24)+in_two_wheeler_renew^3*SUMIFS(AR1426:AR1453,B1426:B1453,B1442-36)+in_two_wheeler_renew^4*SUMIFS(AR1426:AR1453,B1426:B1453,B1442-48))</f>
        <v/>
      </c>
      <c r="AT1442" s="40">
        <f>AT1441*(1-IF(B1441&gt;=in_marketplace_from,d_hz_device*G1441,0))</f>
        <v/>
      </c>
      <c r="AU1442" s="14">
        <f>F1442*AT1442*IF(B1442&gt;=in_marketplace_from,d_hz_device*G1442,0)*in_device_ticket*in_device_comm*in_ins_partner_share</f>
        <v/>
      </c>
      <c r="AV1442" s="40">
        <f>AV1441*(1-IF(B1441&gt;=in_marketplace_from,d_hz_shop*G1441,0))</f>
        <v/>
      </c>
      <c r="AW1442" s="46">
        <f>AV1442*IF(B1442&gt;=in_marketplace_from,d_hz_shop*G1442,0)</f>
        <v/>
      </c>
      <c r="AX1442" s="14">
        <f>F1442*AW1442*in_shop_ticket*in_shop_comm*in_ins_partner_share+F1442*in_shop_ticket*in_shop_renew_comm*in_ins_partner_share*(in_shop_renew^1*SUMIFS(AW1426:AW1453,B1426:B1453,B1442-12)+in_shop_renew^2*SUMIFS(AW1426:AW1453,B1426:B1453,B1442-24)+in_shop_renew^3*SUMIFS(AW1426:AW1453,B1426:B1453,B1442-36)+in_shop_renew^4*SUMIFS(AW1426:AW1453,B1426:B1453,B1442-48))</f>
        <v/>
      </c>
      <c r="AY1442" s="40">
        <f>AY1441*(1-IF(B1441&gt;=in_marketplace_from,d_hz_sip*G1441,0))</f>
        <v/>
      </c>
      <c r="AZ1442" s="40">
        <f>AZ1441*d_rho_sip+AY1442*IF(B1442&gt;=in_marketplace_from,d_hz_sip*G1442,0)</f>
        <v/>
      </c>
      <c r="BA1442" s="40">
        <f>d_rho_sip*(BA1441+AZ1441)</f>
        <v/>
      </c>
      <c r="BB1442" s="14">
        <f>F1442*in_sip_ticket*(BA1442+0.5*AZ1442)*in_sip_comm/12</f>
        <v/>
      </c>
      <c r="BC1442" s="40">
        <f>BC1441*(1-IF(B1441&gt;=in_marketplace_from,d_hz_choti*G1441,0))</f>
        <v/>
      </c>
      <c r="BD1442" s="46">
        <f>BC1442*IF(B1442&gt;=in_marketplace_from,d_hz_choti*G1442,0)</f>
        <v/>
      </c>
      <c r="BE1442" s="14">
        <f>F1442*SUMIFS(BD1426:BD1453,B1426:B1453,B1442-in_choti_months)*in_choti_renew*in_choti_ticket</f>
        <v/>
      </c>
      <c r="BF1442" s="40">
        <f>BF1441*(1-IF(B1441&gt;=in_marketplace_from,d_hz_nps*G1441,0))</f>
        <v/>
      </c>
      <c r="BG1442" s="14">
        <f>F1442*BF1442*IF(B1442&gt;=in_marketplace_from,d_hz_nps*G1442,0)*in_nps_ticket*in_nps_comm</f>
        <v/>
      </c>
      <c r="BH1442" s="40">
        <f>BH1441*(1-IF(B1441&gt;=in_marketplace_from,d_hz_gold*G1441,0))</f>
        <v/>
      </c>
      <c r="BI1442" s="40">
        <f>BI1441*d_rho_gold+BH1442*IF(B1442&gt;=in_marketplace_from,d_hz_gold*G1442,0)</f>
        <v/>
      </c>
      <c r="BJ1442" s="14">
        <f>F1442*BI1442*in_gold_ticket*in_gold_comm</f>
        <v/>
      </c>
      <c r="BK1442" s="40">
        <f>BK1441*(1-IF(B1441&gt;=in_marketplace_from,d_hz_fd*G1441,0))</f>
        <v/>
      </c>
      <c r="BL1442" s="14">
        <f>F1442*BK1442*IF(B1442&gt;=in_marketplace_from,d_hz_fd*G1442,0)*in_fd_ticket*in_fd_comm</f>
        <v/>
      </c>
      <c r="BM1442" s="40">
        <f>BM1441*(1-IF(B1441&gt;=in_marketplace_from,d_hz_recharge*G1441,0))</f>
        <v/>
      </c>
      <c r="BN1442" s="40">
        <f>BN1441*d_rho_recharge+BM1442*IF(B1442&gt;=in_marketplace_from,d_hz_recharge*G1442,0)</f>
        <v/>
      </c>
      <c r="BO1442" s="14">
        <f>F1442*BN1442*in_recharge_ticket*in_recharge_comm/12</f>
        <v/>
      </c>
      <c r="BP1442" s="40">
        <f>BP1441*(1-IF(B1441&gt;=in_marketplace_from,d_hz_bills*G1441,0))</f>
        <v/>
      </c>
      <c r="BQ1442" s="40">
        <f>BQ1441*d_rho_bills+BP1442*IF(B1442&gt;=in_marketplace_from,d_hz_bills*G1442,0)</f>
        <v/>
      </c>
      <c r="BR1442" s="14">
        <f>F1442*BQ1442*in_bills_ticket*in_bills_comm/12</f>
        <v/>
      </c>
      <c r="BS1442" s="40">
        <f>BS1441*(1-IF(B1441&gt;=in_marketplace_from,d_hz_loan_gold*G1441,0))</f>
        <v/>
      </c>
      <c r="BT1442" s="14">
        <f>F1442*BS1442*IF(B1442&gt;=in_marketplace_from,d_hz_loan_gold*G1442,0)*in_loan_gold_ticket*in_loan_gold_comm</f>
        <v/>
      </c>
      <c r="BU1442" s="40">
        <f>BU1441*(1-IF(B1441&gt;=in_marketplace_from,d_hz_loan_cd*G1441,0))</f>
        <v/>
      </c>
      <c r="BV1442" s="14">
        <f>F1442*BU1442*IF(B1442&gt;=in_marketplace_from,d_hz_loan_cd*G1442,0)*in_loan_cd_ticket*in_loan_cd_comm</f>
        <v/>
      </c>
      <c r="BW1442" s="40">
        <f>BW1441*(1-IF(B1441&gt;=in_marketplace_from,d_hz_loan_vehicle*G1441,0))</f>
        <v/>
      </c>
      <c r="BX1442" s="14">
        <f>F1442*BW1442*IF(B1442&gt;=in_marketplace_from,d_hz_loan_vehicle*G1442,0)*in_loan_vehicle_ticket*in_loan_vehicle_comm</f>
        <v/>
      </c>
      <c r="BY1442" s="40">
        <f>BY1441*(1-IF(B1441&gt;=in_marketplace_from,d_hz_loan_home*G1441,0)*BZ1441)</f>
        <v/>
      </c>
      <c r="BZ1442" s="11">
        <f>MIN(in_approval_cap,in_loan_home_approval*INDEX('Age profile'!$O$2:$O$61,B1442)*(1+in_approval_growth)^(D1442-1))</f>
        <v/>
      </c>
      <c r="CA1442" s="14">
        <f>F1442*BY1442*IF(B1442&gt;=in_marketplace_from,d_hz_loan_home*G1442,0)*BZ1442*in_loan_home_ticket*in_loan_home_comm</f>
        <v/>
      </c>
      <c r="CB1442" s="40">
        <f>CB1441*(1-IF(B1441&gt;=in_marketplace_from,d_hz_loan_lap*G1441,0)*CC1441)</f>
        <v/>
      </c>
      <c r="CC1442" s="11">
        <f>MIN(in_approval_cap,in_loan_lap_approval*INDEX('Age profile'!$O$2:$O$61,B1442)*(1+in_approval_growth)^(D1442-1))</f>
        <v/>
      </c>
      <c r="CD1442" s="14">
        <f>F1442*CB1442*IF(B1442&gt;=in_marketplace_from,d_hz_loan_lap*G1442,0)*CC1442*in_loan_lap_ticket*in_loan_lap_comm</f>
        <v/>
      </c>
      <c r="CE1442" s="14">
        <f>AA1442+AB1442+AC1442+AD1442+AG1442+AJ1442+AM1442+AP1442+AS1442+AU1442+AX1442+BB1442+BE1442+BG1442+BJ1442+BL1442+BO1442+BR1442+BT1442+BV1442+BX1442+CA1442+CD1442</f>
        <v/>
      </c>
    </row>
    <row r="1443">
      <c r="A1443" s="39" t="n">
        <v>33</v>
      </c>
      <c r="B1443" s="39" t="n">
        <v>18</v>
      </c>
      <c r="C1443" s="39">
        <f>A1443+B1443-1</f>
        <v/>
      </c>
      <c r="D1443" s="39">
        <f>INT((C1443-1)/12)+1</f>
        <v/>
      </c>
      <c r="E1443" s="44">
        <f>INDEX(Monthly!$B$2:$B$61,A1443)</f>
        <v/>
      </c>
      <c r="F1443" s="44">
        <f>E1443*INDEX('Age profile'!$B$2:$B$61,B1443)</f>
        <v/>
      </c>
      <c r="G1443" s="45">
        <f>MIN(in_takeup_cap,INDEX('Age profile'!$N$2:$N$61,B1443)*(1+in_takeup_growth)^(D1443-1))</f>
        <v/>
      </c>
      <c r="H1443" s="11">
        <f>MIN(in_approval_cap,in_approved_first*INDEX('Age profile'!$O$2:$O$61,B1443)*(1+in_approval_growth)^(D1443-1))</f>
        <v/>
      </c>
      <c r="I1443" s="45">
        <f>G1443*MIN(in_takeup_cap,INDEX('Age profile'!$O$2:$O$61,B1443)*(1+in_approval_growth)^(D1443-1))</f>
        <v/>
      </c>
      <c r="J1443" s="40">
        <f>(J1442-L1442)*F1443/F1442</f>
        <v/>
      </c>
      <c r="K1443" s="40">
        <f>(K1442-M1442)*F1443/F1442+SUMIFS(O1426:O1442,B1426:B1442,B1443-1-d_T)*F1443</f>
        <v/>
      </c>
      <c r="L1443" s="40">
        <f>IF(B1443&gt;=in_marketplace_from,J1443*d_hz*G1443*in_eligible*H1443,0)</f>
        <v/>
      </c>
      <c r="M1443" s="40">
        <f>IF(B1443&gt;=in_marketplace_from,K1443*d_hz*G1443*in_eligible*in_approved_repeat,0)</f>
        <v/>
      </c>
      <c r="N1443" s="40">
        <f>L1443+M1443</f>
        <v/>
      </c>
      <c r="O1443" s="46">
        <f>N1443/F1443</f>
        <v/>
      </c>
      <c r="P1443" s="40">
        <f>F1443-J1443-K1443</f>
        <v/>
      </c>
      <c r="Q1443" s="40">
        <f>IF(B1443&gt;=in_marketplace_from,(J1443+K1443)*d_hz*G1443,0)</f>
        <v/>
      </c>
      <c r="R1443" s="40">
        <f>SUMIFS(N1426:N1453,B1426:B1453,"&gt;="&amp;(B1443-d_T),B1426:B1453,"&lt;="&amp;(B1443-1))</f>
        <v/>
      </c>
      <c r="S1443" s="46">
        <f>(1-d_u)*S1442+IF(d_T&gt;in_topup_lag,SUMIFS(O1426:O1453,B1426:B1453,B1443-in_topup_lag)-d_udrop*SUMIFS(O1426:O1453,B1426:B1453,B1443-d_T),0)</f>
        <v/>
      </c>
      <c r="T1443" s="40">
        <f>F1443*d_u*S1443</f>
        <v/>
      </c>
      <c r="U1443" s="9">
        <f>L1443*in_ticket+M1443*d_rep_ticket</f>
        <v/>
      </c>
      <c r="V1443" s="9">
        <f>U1443+T1443*d_topup_amt</f>
        <v/>
      </c>
      <c r="W1443" s="40">
        <f>N1443+T1443*d_topup_ratio</f>
        <v/>
      </c>
      <c r="X1443" s="40">
        <f>SUMIFS(W1426:W1453,B1426:B1453,B1443-in_dpd_lag)*d_cured</f>
        <v/>
      </c>
      <c r="Y1443" s="40">
        <f>SUMIFS(W1426:W1453,B1426:B1453,B1443-in_rec_lag)*d_recd</f>
        <v/>
      </c>
      <c r="Z1443" s="40">
        <f>IF(AND(B1443&gt;=in_marketplace_from,B1443&lt;in_marketplace_from+in_card_months),in_card_share/in_card_months*F1443*I1443,IF(AND(B1443&gt;=in_marketplace_from+in_card_months,B1443&lt;in_marketplace_from+2*in_card_months),in_card_share*d_card_rem/in_card_months*F1443*MIN(in_takeup_cap,(1+in_takeup_growth)^(D1443-1))*MIN(in_takeup_cap,(1+in_approval_growth)^(D1443-1)),0))</f>
        <v/>
      </c>
      <c r="AA1443" s="14">
        <f>V1443*in_fee*(1-in_taken_back)</f>
        <v/>
      </c>
      <c r="AB1443" s="14">
        <f>SUMIFS(W1426:W1453,B1426:B1453,B1443-in_dpd_lag)*d_dpd</f>
        <v/>
      </c>
      <c r="AC1443" s="14">
        <f>SUMIFS(W1426:W1453,B1426:B1453,B1443-in_rec_lag)*d_rec</f>
        <v/>
      </c>
      <c r="AD1443" s="14">
        <f>Z1443*in_card_fee</f>
        <v/>
      </c>
      <c r="AE1443" s="40">
        <f>AE1442*(1-IF(B1442&gt;=in_marketplace_from,d_hz_hlth_small*G1442,0))</f>
        <v/>
      </c>
      <c r="AF1443" s="46">
        <f>AE1443*IF(B1443&gt;=in_marketplace_from,d_hz_hlth_small*G1443,0)</f>
        <v/>
      </c>
      <c r="AG1443" s="14">
        <f>F1443*AF1443*in_hlth_small_ticket*in_hlth_small_comm*in_ins_partner_share+F1443*in_hlth_small_ticket*in_hlth_small_renew_comm*in_ins_partner_share*(in_hlth_small_renew^1*SUMIFS(AF1426:AF1453,B1426:B1453,B1443-12)+in_hlth_small_renew^2*SUMIFS(AF1426:AF1453,B1426:B1453,B1443-24)+in_hlth_small_renew^3*SUMIFS(AF1426:AF1453,B1426:B1453,B1443-36)+in_hlth_small_renew^4*SUMIFS(AF1426:AF1453,B1426:B1453,B1443-48))</f>
        <v/>
      </c>
      <c r="AH1443" s="40">
        <f>AH1442*(1-IF(B1442&gt;=in_marketplace_from,d_hz_hlth_family*G1442,0))</f>
        <v/>
      </c>
      <c r="AI1443" s="46">
        <f>AH1443*IF(B1443&gt;=in_marketplace_from,d_hz_hlth_family*G1443,0)</f>
        <v/>
      </c>
      <c r="AJ1443" s="14">
        <f>F1443*AI1443*in_hlth_family_ticket*in_hlth_family_comm*in_ins_partner_share+F1443*in_hlth_family_ticket*in_hlth_family_renew_comm*in_ins_partner_share*(in_hlth_family_renew^1*SUMIFS(AI1426:AI1453,B1426:B1453,B1443-12)+in_hlth_family_renew^2*SUMIFS(AI1426:AI1453,B1426:B1453,B1443-24)+in_hlth_family_renew^3*SUMIFS(AI1426:AI1453,B1426:B1453,B1443-36)+in_hlth_family_renew^4*SUMIFS(AI1426:AI1453,B1426:B1453,B1443-48))</f>
        <v/>
      </c>
      <c r="AK1443" s="40">
        <f>AK1442*(1-IF(B1442&gt;=in_marketplace_from,d_hz_life_term*G1442,0))</f>
        <v/>
      </c>
      <c r="AL1443" s="46">
        <f>AK1443*IF(B1443&gt;=in_marketplace_from,d_hz_life_term*G1443,0)</f>
        <v/>
      </c>
      <c r="AM1443" s="14">
        <f>F1443*AL1443*in_life_term_ticket*in_life_term_comm*in_ins_partner_share+F1443*in_life_term_ticket*in_life_term_renew_comm*in_ins_partner_share*(in_life_term_renew^1*SUMIFS(AL1426:AL1453,B1426:B1453,B1443-12)+in_life_term_renew^2*SUMIFS(AL1426:AL1453,B1426:B1453,B1443-24)+in_life_term_renew^3*SUMIFS(AL1426:AL1453,B1426:B1453,B1443-36)+in_life_term_renew^4*SUMIFS(AL1426:AL1453,B1426:B1453,B1443-48))</f>
        <v/>
      </c>
      <c r="AN1443" s="40">
        <f>AN1442*(1-IF(B1442&gt;=in_marketplace_from,d_hz_accident*G1442,0))</f>
        <v/>
      </c>
      <c r="AO1443" s="46">
        <f>AN1443*IF(B1443&gt;=in_marketplace_from,d_hz_accident*G1443,0)</f>
        <v/>
      </c>
      <c r="AP1443" s="14">
        <f>F1443*AO1443*in_accident_ticket*in_accident_comm*in_ins_partner_share+F1443*in_accident_ticket*in_accident_renew_comm*in_ins_partner_share*(in_accident_renew^1*SUMIFS(AO1426:AO1453,B1426:B1453,B1443-12)+in_accident_renew^2*SUMIFS(AO1426:AO1453,B1426:B1453,B1443-24)+in_accident_renew^3*SUMIFS(AO1426:AO1453,B1426:B1453,B1443-36)+in_accident_renew^4*SUMIFS(AO1426:AO1453,B1426:B1453,B1443-48))</f>
        <v/>
      </c>
      <c r="AQ1443" s="40">
        <f>AQ1442*(1-IF(B1442&gt;=in_marketplace_from,d_hz_two_wheeler*G1442,0))</f>
        <v/>
      </c>
      <c r="AR1443" s="46">
        <f>AQ1443*IF(B1443&gt;=in_marketplace_from,d_hz_two_wheeler*G1443,0)</f>
        <v/>
      </c>
      <c r="AS1443" s="14">
        <f>F1443*AR1443*in_two_wheeler_ticket*in_two_wheeler_comm*in_ins_partner_share+F1443*in_two_wheeler_ticket*in_two_wheeler_comm*in_ins_partner_share*(in_two_wheeler_renew^1*SUMIFS(AR1426:AR1453,B1426:B1453,B1443-12)+in_two_wheeler_renew^2*SUMIFS(AR1426:AR1453,B1426:B1453,B1443-24)+in_two_wheeler_renew^3*SUMIFS(AR1426:AR1453,B1426:B1453,B1443-36)+in_two_wheeler_renew^4*SUMIFS(AR1426:AR1453,B1426:B1453,B1443-48))</f>
        <v/>
      </c>
      <c r="AT1443" s="40">
        <f>AT1442*(1-IF(B1442&gt;=in_marketplace_from,d_hz_device*G1442,0))</f>
        <v/>
      </c>
      <c r="AU1443" s="14">
        <f>F1443*AT1443*IF(B1443&gt;=in_marketplace_from,d_hz_device*G1443,0)*in_device_ticket*in_device_comm*in_ins_partner_share</f>
        <v/>
      </c>
      <c r="AV1443" s="40">
        <f>AV1442*(1-IF(B1442&gt;=in_marketplace_from,d_hz_shop*G1442,0))</f>
        <v/>
      </c>
      <c r="AW1443" s="46">
        <f>AV1443*IF(B1443&gt;=in_marketplace_from,d_hz_shop*G1443,0)</f>
        <v/>
      </c>
      <c r="AX1443" s="14">
        <f>F1443*AW1443*in_shop_ticket*in_shop_comm*in_ins_partner_share+F1443*in_shop_ticket*in_shop_renew_comm*in_ins_partner_share*(in_shop_renew^1*SUMIFS(AW1426:AW1453,B1426:B1453,B1443-12)+in_shop_renew^2*SUMIFS(AW1426:AW1453,B1426:B1453,B1443-24)+in_shop_renew^3*SUMIFS(AW1426:AW1453,B1426:B1453,B1443-36)+in_shop_renew^4*SUMIFS(AW1426:AW1453,B1426:B1453,B1443-48))</f>
        <v/>
      </c>
      <c r="AY1443" s="40">
        <f>AY1442*(1-IF(B1442&gt;=in_marketplace_from,d_hz_sip*G1442,0))</f>
        <v/>
      </c>
      <c r="AZ1443" s="40">
        <f>AZ1442*d_rho_sip+AY1443*IF(B1443&gt;=in_marketplace_from,d_hz_sip*G1443,0)</f>
        <v/>
      </c>
      <c r="BA1443" s="40">
        <f>d_rho_sip*(BA1442+AZ1442)</f>
        <v/>
      </c>
      <c r="BB1443" s="14">
        <f>F1443*in_sip_ticket*(BA1443+0.5*AZ1443)*in_sip_comm/12</f>
        <v/>
      </c>
      <c r="BC1443" s="40">
        <f>BC1442*(1-IF(B1442&gt;=in_marketplace_from,d_hz_choti*G1442,0))</f>
        <v/>
      </c>
      <c r="BD1443" s="46">
        <f>BC1443*IF(B1443&gt;=in_marketplace_from,d_hz_choti*G1443,0)</f>
        <v/>
      </c>
      <c r="BE1443" s="14">
        <f>F1443*SUMIFS(BD1426:BD1453,B1426:B1453,B1443-in_choti_months)*in_choti_renew*in_choti_ticket</f>
        <v/>
      </c>
      <c r="BF1443" s="40">
        <f>BF1442*(1-IF(B1442&gt;=in_marketplace_from,d_hz_nps*G1442,0))</f>
        <v/>
      </c>
      <c r="BG1443" s="14">
        <f>F1443*BF1443*IF(B1443&gt;=in_marketplace_from,d_hz_nps*G1443,0)*in_nps_ticket*in_nps_comm</f>
        <v/>
      </c>
      <c r="BH1443" s="40">
        <f>BH1442*(1-IF(B1442&gt;=in_marketplace_from,d_hz_gold*G1442,0))</f>
        <v/>
      </c>
      <c r="BI1443" s="40">
        <f>BI1442*d_rho_gold+BH1443*IF(B1443&gt;=in_marketplace_from,d_hz_gold*G1443,0)</f>
        <v/>
      </c>
      <c r="BJ1443" s="14">
        <f>F1443*BI1443*in_gold_ticket*in_gold_comm</f>
        <v/>
      </c>
      <c r="BK1443" s="40">
        <f>BK1442*(1-IF(B1442&gt;=in_marketplace_from,d_hz_fd*G1442,0))</f>
        <v/>
      </c>
      <c r="BL1443" s="14">
        <f>F1443*BK1443*IF(B1443&gt;=in_marketplace_from,d_hz_fd*G1443,0)*in_fd_ticket*in_fd_comm</f>
        <v/>
      </c>
      <c r="BM1443" s="40">
        <f>BM1442*(1-IF(B1442&gt;=in_marketplace_from,d_hz_recharge*G1442,0))</f>
        <v/>
      </c>
      <c r="BN1443" s="40">
        <f>BN1442*d_rho_recharge+BM1443*IF(B1443&gt;=in_marketplace_from,d_hz_recharge*G1443,0)</f>
        <v/>
      </c>
      <c r="BO1443" s="14">
        <f>F1443*BN1443*in_recharge_ticket*in_recharge_comm/12</f>
        <v/>
      </c>
      <c r="BP1443" s="40">
        <f>BP1442*(1-IF(B1442&gt;=in_marketplace_from,d_hz_bills*G1442,0))</f>
        <v/>
      </c>
      <c r="BQ1443" s="40">
        <f>BQ1442*d_rho_bills+BP1443*IF(B1443&gt;=in_marketplace_from,d_hz_bills*G1443,0)</f>
        <v/>
      </c>
      <c r="BR1443" s="14">
        <f>F1443*BQ1443*in_bills_ticket*in_bills_comm/12</f>
        <v/>
      </c>
      <c r="BS1443" s="40">
        <f>BS1442*(1-IF(B1442&gt;=in_marketplace_from,d_hz_loan_gold*G1442,0))</f>
        <v/>
      </c>
      <c r="BT1443" s="14">
        <f>F1443*BS1443*IF(B1443&gt;=in_marketplace_from,d_hz_loan_gold*G1443,0)*in_loan_gold_ticket*in_loan_gold_comm</f>
        <v/>
      </c>
      <c r="BU1443" s="40">
        <f>BU1442*(1-IF(B1442&gt;=in_marketplace_from,d_hz_loan_cd*G1442,0))</f>
        <v/>
      </c>
      <c r="BV1443" s="14">
        <f>F1443*BU1443*IF(B1443&gt;=in_marketplace_from,d_hz_loan_cd*G1443,0)*in_loan_cd_ticket*in_loan_cd_comm</f>
        <v/>
      </c>
      <c r="BW1443" s="40">
        <f>BW1442*(1-IF(B1442&gt;=in_marketplace_from,d_hz_loan_vehicle*G1442,0))</f>
        <v/>
      </c>
      <c r="BX1443" s="14">
        <f>F1443*BW1443*IF(B1443&gt;=in_marketplace_from,d_hz_loan_vehicle*G1443,0)*in_loan_vehicle_ticket*in_loan_vehicle_comm</f>
        <v/>
      </c>
      <c r="BY1443" s="40">
        <f>BY1442*(1-IF(B1442&gt;=in_marketplace_from,d_hz_loan_home*G1442,0)*BZ1442)</f>
        <v/>
      </c>
      <c r="BZ1443" s="11">
        <f>MIN(in_approval_cap,in_loan_home_approval*INDEX('Age profile'!$O$2:$O$61,B1443)*(1+in_approval_growth)^(D1443-1))</f>
        <v/>
      </c>
      <c r="CA1443" s="14">
        <f>F1443*BY1443*IF(B1443&gt;=in_marketplace_from,d_hz_loan_home*G1443,0)*BZ1443*in_loan_home_ticket*in_loan_home_comm</f>
        <v/>
      </c>
      <c r="CB1443" s="40">
        <f>CB1442*(1-IF(B1442&gt;=in_marketplace_from,d_hz_loan_lap*G1442,0)*CC1442)</f>
        <v/>
      </c>
      <c r="CC1443" s="11">
        <f>MIN(in_approval_cap,in_loan_lap_approval*INDEX('Age profile'!$O$2:$O$61,B1443)*(1+in_approval_growth)^(D1443-1))</f>
        <v/>
      </c>
      <c r="CD1443" s="14">
        <f>F1443*CB1443*IF(B1443&gt;=in_marketplace_from,d_hz_loan_lap*G1443,0)*CC1443*in_loan_lap_ticket*in_loan_lap_comm</f>
        <v/>
      </c>
      <c r="CE1443" s="14">
        <f>AA1443+AB1443+AC1443+AD1443+AG1443+AJ1443+AM1443+AP1443+AS1443+AU1443+AX1443+BB1443+BE1443+BG1443+BJ1443+BL1443+BO1443+BR1443+BT1443+BV1443+BX1443+CA1443+CD1443</f>
        <v/>
      </c>
    </row>
    <row r="1444">
      <c r="A1444" s="39" t="n">
        <v>33</v>
      </c>
      <c r="B1444" s="39" t="n">
        <v>19</v>
      </c>
      <c r="C1444" s="39">
        <f>A1444+B1444-1</f>
        <v/>
      </c>
      <c r="D1444" s="39">
        <f>INT((C1444-1)/12)+1</f>
        <v/>
      </c>
      <c r="E1444" s="44">
        <f>INDEX(Monthly!$B$2:$B$61,A1444)</f>
        <v/>
      </c>
      <c r="F1444" s="44">
        <f>E1444*INDEX('Age profile'!$B$2:$B$61,B1444)</f>
        <v/>
      </c>
      <c r="G1444" s="45">
        <f>MIN(in_takeup_cap,INDEX('Age profile'!$N$2:$N$61,B1444)*(1+in_takeup_growth)^(D1444-1))</f>
        <v/>
      </c>
      <c r="H1444" s="11">
        <f>MIN(in_approval_cap,in_approved_first*INDEX('Age profile'!$O$2:$O$61,B1444)*(1+in_approval_growth)^(D1444-1))</f>
        <v/>
      </c>
      <c r="I1444" s="45">
        <f>G1444*MIN(in_takeup_cap,INDEX('Age profile'!$O$2:$O$61,B1444)*(1+in_approval_growth)^(D1444-1))</f>
        <v/>
      </c>
      <c r="J1444" s="40">
        <f>(J1443-L1443)*F1444/F1443</f>
        <v/>
      </c>
      <c r="K1444" s="40">
        <f>(K1443-M1443)*F1444/F1443+SUMIFS(O1426:O1443,B1426:B1443,B1444-1-d_T)*F1444</f>
        <v/>
      </c>
      <c r="L1444" s="40">
        <f>IF(B1444&gt;=in_marketplace_from,J1444*d_hz*G1444*in_eligible*H1444,0)</f>
        <v/>
      </c>
      <c r="M1444" s="40">
        <f>IF(B1444&gt;=in_marketplace_from,K1444*d_hz*G1444*in_eligible*in_approved_repeat,0)</f>
        <v/>
      </c>
      <c r="N1444" s="40">
        <f>L1444+M1444</f>
        <v/>
      </c>
      <c r="O1444" s="46">
        <f>N1444/F1444</f>
        <v/>
      </c>
      <c r="P1444" s="40">
        <f>F1444-J1444-K1444</f>
        <v/>
      </c>
      <c r="Q1444" s="40">
        <f>IF(B1444&gt;=in_marketplace_from,(J1444+K1444)*d_hz*G1444,0)</f>
        <v/>
      </c>
      <c r="R1444" s="40">
        <f>SUMIFS(N1426:N1453,B1426:B1453,"&gt;="&amp;(B1444-d_T),B1426:B1453,"&lt;="&amp;(B1444-1))</f>
        <v/>
      </c>
      <c r="S1444" s="46">
        <f>(1-d_u)*S1443+IF(d_T&gt;in_topup_lag,SUMIFS(O1426:O1453,B1426:B1453,B1444-in_topup_lag)-d_udrop*SUMIFS(O1426:O1453,B1426:B1453,B1444-d_T),0)</f>
        <v/>
      </c>
      <c r="T1444" s="40">
        <f>F1444*d_u*S1444</f>
        <v/>
      </c>
      <c r="U1444" s="9">
        <f>L1444*in_ticket+M1444*d_rep_ticket</f>
        <v/>
      </c>
      <c r="V1444" s="9">
        <f>U1444+T1444*d_topup_amt</f>
        <v/>
      </c>
      <c r="W1444" s="40">
        <f>N1444+T1444*d_topup_ratio</f>
        <v/>
      </c>
      <c r="X1444" s="40">
        <f>SUMIFS(W1426:W1453,B1426:B1453,B1444-in_dpd_lag)*d_cured</f>
        <v/>
      </c>
      <c r="Y1444" s="40">
        <f>SUMIFS(W1426:W1453,B1426:B1453,B1444-in_rec_lag)*d_recd</f>
        <v/>
      </c>
      <c r="Z1444" s="40">
        <f>IF(AND(B1444&gt;=in_marketplace_from,B1444&lt;in_marketplace_from+in_card_months),in_card_share/in_card_months*F1444*I1444,IF(AND(B1444&gt;=in_marketplace_from+in_card_months,B1444&lt;in_marketplace_from+2*in_card_months),in_card_share*d_card_rem/in_card_months*F1444*MIN(in_takeup_cap,(1+in_takeup_growth)^(D1444-1))*MIN(in_takeup_cap,(1+in_approval_growth)^(D1444-1)),0))</f>
        <v/>
      </c>
      <c r="AA1444" s="14">
        <f>V1444*in_fee*(1-in_taken_back)</f>
        <v/>
      </c>
      <c r="AB1444" s="14">
        <f>SUMIFS(W1426:W1453,B1426:B1453,B1444-in_dpd_lag)*d_dpd</f>
        <v/>
      </c>
      <c r="AC1444" s="14">
        <f>SUMIFS(W1426:W1453,B1426:B1453,B1444-in_rec_lag)*d_rec</f>
        <v/>
      </c>
      <c r="AD1444" s="14">
        <f>Z1444*in_card_fee</f>
        <v/>
      </c>
      <c r="AE1444" s="40">
        <f>AE1443*(1-IF(B1443&gt;=in_marketplace_from,d_hz_hlth_small*G1443,0))</f>
        <v/>
      </c>
      <c r="AF1444" s="46">
        <f>AE1444*IF(B1444&gt;=in_marketplace_from,d_hz_hlth_small*G1444,0)</f>
        <v/>
      </c>
      <c r="AG1444" s="14">
        <f>F1444*AF1444*in_hlth_small_ticket*in_hlth_small_comm*in_ins_partner_share+F1444*in_hlth_small_ticket*in_hlth_small_renew_comm*in_ins_partner_share*(in_hlth_small_renew^1*SUMIFS(AF1426:AF1453,B1426:B1453,B1444-12)+in_hlth_small_renew^2*SUMIFS(AF1426:AF1453,B1426:B1453,B1444-24)+in_hlth_small_renew^3*SUMIFS(AF1426:AF1453,B1426:B1453,B1444-36)+in_hlth_small_renew^4*SUMIFS(AF1426:AF1453,B1426:B1453,B1444-48))</f>
        <v/>
      </c>
      <c r="AH1444" s="40">
        <f>AH1443*(1-IF(B1443&gt;=in_marketplace_from,d_hz_hlth_family*G1443,0))</f>
        <v/>
      </c>
      <c r="AI1444" s="46">
        <f>AH1444*IF(B1444&gt;=in_marketplace_from,d_hz_hlth_family*G1444,0)</f>
        <v/>
      </c>
      <c r="AJ1444" s="14">
        <f>F1444*AI1444*in_hlth_family_ticket*in_hlth_family_comm*in_ins_partner_share+F1444*in_hlth_family_ticket*in_hlth_family_renew_comm*in_ins_partner_share*(in_hlth_family_renew^1*SUMIFS(AI1426:AI1453,B1426:B1453,B1444-12)+in_hlth_family_renew^2*SUMIFS(AI1426:AI1453,B1426:B1453,B1444-24)+in_hlth_family_renew^3*SUMIFS(AI1426:AI1453,B1426:B1453,B1444-36)+in_hlth_family_renew^4*SUMIFS(AI1426:AI1453,B1426:B1453,B1444-48))</f>
        <v/>
      </c>
      <c r="AK1444" s="40">
        <f>AK1443*(1-IF(B1443&gt;=in_marketplace_from,d_hz_life_term*G1443,0))</f>
        <v/>
      </c>
      <c r="AL1444" s="46">
        <f>AK1444*IF(B1444&gt;=in_marketplace_from,d_hz_life_term*G1444,0)</f>
        <v/>
      </c>
      <c r="AM1444" s="14">
        <f>F1444*AL1444*in_life_term_ticket*in_life_term_comm*in_ins_partner_share+F1444*in_life_term_ticket*in_life_term_renew_comm*in_ins_partner_share*(in_life_term_renew^1*SUMIFS(AL1426:AL1453,B1426:B1453,B1444-12)+in_life_term_renew^2*SUMIFS(AL1426:AL1453,B1426:B1453,B1444-24)+in_life_term_renew^3*SUMIFS(AL1426:AL1453,B1426:B1453,B1444-36)+in_life_term_renew^4*SUMIFS(AL1426:AL1453,B1426:B1453,B1444-48))</f>
        <v/>
      </c>
      <c r="AN1444" s="40">
        <f>AN1443*(1-IF(B1443&gt;=in_marketplace_from,d_hz_accident*G1443,0))</f>
        <v/>
      </c>
      <c r="AO1444" s="46">
        <f>AN1444*IF(B1444&gt;=in_marketplace_from,d_hz_accident*G1444,0)</f>
        <v/>
      </c>
      <c r="AP1444" s="14">
        <f>F1444*AO1444*in_accident_ticket*in_accident_comm*in_ins_partner_share+F1444*in_accident_ticket*in_accident_renew_comm*in_ins_partner_share*(in_accident_renew^1*SUMIFS(AO1426:AO1453,B1426:B1453,B1444-12)+in_accident_renew^2*SUMIFS(AO1426:AO1453,B1426:B1453,B1444-24)+in_accident_renew^3*SUMIFS(AO1426:AO1453,B1426:B1453,B1444-36)+in_accident_renew^4*SUMIFS(AO1426:AO1453,B1426:B1453,B1444-48))</f>
        <v/>
      </c>
      <c r="AQ1444" s="40">
        <f>AQ1443*(1-IF(B1443&gt;=in_marketplace_from,d_hz_two_wheeler*G1443,0))</f>
        <v/>
      </c>
      <c r="AR1444" s="46">
        <f>AQ1444*IF(B1444&gt;=in_marketplace_from,d_hz_two_wheeler*G1444,0)</f>
        <v/>
      </c>
      <c r="AS1444" s="14">
        <f>F1444*AR1444*in_two_wheeler_ticket*in_two_wheeler_comm*in_ins_partner_share+F1444*in_two_wheeler_ticket*in_two_wheeler_comm*in_ins_partner_share*(in_two_wheeler_renew^1*SUMIFS(AR1426:AR1453,B1426:B1453,B1444-12)+in_two_wheeler_renew^2*SUMIFS(AR1426:AR1453,B1426:B1453,B1444-24)+in_two_wheeler_renew^3*SUMIFS(AR1426:AR1453,B1426:B1453,B1444-36)+in_two_wheeler_renew^4*SUMIFS(AR1426:AR1453,B1426:B1453,B1444-48))</f>
        <v/>
      </c>
      <c r="AT1444" s="40">
        <f>AT1443*(1-IF(B1443&gt;=in_marketplace_from,d_hz_device*G1443,0))</f>
        <v/>
      </c>
      <c r="AU1444" s="14">
        <f>F1444*AT1444*IF(B1444&gt;=in_marketplace_from,d_hz_device*G1444,0)*in_device_ticket*in_device_comm*in_ins_partner_share</f>
        <v/>
      </c>
      <c r="AV1444" s="40">
        <f>AV1443*(1-IF(B1443&gt;=in_marketplace_from,d_hz_shop*G1443,0))</f>
        <v/>
      </c>
      <c r="AW1444" s="46">
        <f>AV1444*IF(B1444&gt;=in_marketplace_from,d_hz_shop*G1444,0)</f>
        <v/>
      </c>
      <c r="AX1444" s="14">
        <f>F1444*AW1444*in_shop_ticket*in_shop_comm*in_ins_partner_share+F1444*in_shop_ticket*in_shop_renew_comm*in_ins_partner_share*(in_shop_renew^1*SUMIFS(AW1426:AW1453,B1426:B1453,B1444-12)+in_shop_renew^2*SUMIFS(AW1426:AW1453,B1426:B1453,B1444-24)+in_shop_renew^3*SUMIFS(AW1426:AW1453,B1426:B1453,B1444-36)+in_shop_renew^4*SUMIFS(AW1426:AW1453,B1426:B1453,B1444-48))</f>
        <v/>
      </c>
      <c r="AY1444" s="40">
        <f>AY1443*(1-IF(B1443&gt;=in_marketplace_from,d_hz_sip*G1443,0))</f>
        <v/>
      </c>
      <c r="AZ1444" s="40">
        <f>AZ1443*d_rho_sip+AY1444*IF(B1444&gt;=in_marketplace_from,d_hz_sip*G1444,0)</f>
        <v/>
      </c>
      <c r="BA1444" s="40">
        <f>d_rho_sip*(BA1443+AZ1443)</f>
        <v/>
      </c>
      <c r="BB1444" s="14">
        <f>F1444*in_sip_ticket*(BA1444+0.5*AZ1444)*in_sip_comm/12</f>
        <v/>
      </c>
      <c r="BC1444" s="40">
        <f>BC1443*(1-IF(B1443&gt;=in_marketplace_from,d_hz_choti*G1443,0))</f>
        <v/>
      </c>
      <c r="BD1444" s="46">
        <f>BC1444*IF(B1444&gt;=in_marketplace_from,d_hz_choti*G1444,0)</f>
        <v/>
      </c>
      <c r="BE1444" s="14">
        <f>F1444*SUMIFS(BD1426:BD1453,B1426:B1453,B1444-in_choti_months)*in_choti_renew*in_choti_ticket</f>
        <v/>
      </c>
      <c r="BF1444" s="40">
        <f>BF1443*(1-IF(B1443&gt;=in_marketplace_from,d_hz_nps*G1443,0))</f>
        <v/>
      </c>
      <c r="BG1444" s="14">
        <f>F1444*BF1444*IF(B1444&gt;=in_marketplace_from,d_hz_nps*G1444,0)*in_nps_ticket*in_nps_comm</f>
        <v/>
      </c>
      <c r="BH1444" s="40">
        <f>BH1443*(1-IF(B1443&gt;=in_marketplace_from,d_hz_gold*G1443,0))</f>
        <v/>
      </c>
      <c r="BI1444" s="40">
        <f>BI1443*d_rho_gold+BH1444*IF(B1444&gt;=in_marketplace_from,d_hz_gold*G1444,0)</f>
        <v/>
      </c>
      <c r="BJ1444" s="14">
        <f>F1444*BI1444*in_gold_ticket*in_gold_comm</f>
        <v/>
      </c>
      <c r="BK1444" s="40">
        <f>BK1443*(1-IF(B1443&gt;=in_marketplace_from,d_hz_fd*G1443,0))</f>
        <v/>
      </c>
      <c r="BL1444" s="14">
        <f>F1444*BK1444*IF(B1444&gt;=in_marketplace_from,d_hz_fd*G1444,0)*in_fd_ticket*in_fd_comm</f>
        <v/>
      </c>
      <c r="BM1444" s="40">
        <f>BM1443*(1-IF(B1443&gt;=in_marketplace_from,d_hz_recharge*G1443,0))</f>
        <v/>
      </c>
      <c r="BN1444" s="40">
        <f>BN1443*d_rho_recharge+BM1444*IF(B1444&gt;=in_marketplace_from,d_hz_recharge*G1444,0)</f>
        <v/>
      </c>
      <c r="BO1444" s="14">
        <f>F1444*BN1444*in_recharge_ticket*in_recharge_comm/12</f>
        <v/>
      </c>
      <c r="BP1444" s="40">
        <f>BP1443*(1-IF(B1443&gt;=in_marketplace_from,d_hz_bills*G1443,0))</f>
        <v/>
      </c>
      <c r="BQ1444" s="40">
        <f>BQ1443*d_rho_bills+BP1444*IF(B1444&gt;=in_marketplace_from,d_hz_bills*G1444,0)</f>
        <v/>
      </c>
      <c r="BR1444" s="14">
        <f>F1444*BQ1444*in_bills_ticket*in_bills_comm/12</f>
        <v/>
      </c>
      <c r="BS1444" s="40">
        <f>BS1443*(1-IF(B1443&gt;=in_marketplace_from,d_hz_loan_gold*G1443,0))</f>
        <v/>
      </c>
      <c r="BT1444" s="14">
        <f>F1444*BS1444*IF(B1444&gt;=in_marketplace_from,d_hz_loan_gold*G1444,0)*in_loan_gold_ticket*in_loan_gold_comm</f>
        <v/>
      </c>
      <c r="BU1444" s="40">
        <f>BU1443*(1-IF(B1443&gt;=in_marketplace_from,d_hz_loan_cd*G1443,0))</f>
        <v/>
      </c>
      <c r="BV1444" s="14">
        <f>F1444*BU1444*IF(B1444&gt;=in_marketplace_from,d_hz_loan_cd*G1444,0)*in_loan_cd_ticket*in_loan_cd_comm</f>
        <v/>
      </c>
      <c r="BW1444" s="40">
        <f>BW1443*(1-IF(B1443&gt;=in_marketplace_from,d_hz_loan_vehicle*G1443,0))</f>
        <v/>
      </c>
      <c r="BX1444" s="14">
        <f>F1444*BW1444*IF(B1444&gt;=in_marketplace_from,d_hz_loan_vehicle*G1444,0)*in_loan_vehicle_ticket*in_loan_vehicle_comm</f>
        <v/>
      </c>
      <c r="BY1444" s="40">
        <f>BY1443*(1-IF(B1443&gt;=in_marketplace_from,d_hz_loan_home*G1443,0)*BZ1443)</f>
        <v/>
      </c>
      <c r="BZ1444" s="11">
        <f>MIN(in_approval_cap,in_loan_home_approval*INDEX('Age profile'!$O$2:$O$61,B1444)*(1+in_approval_growth)^(D1444-1))</f>
        <v/>
      </c>
      <c r="CA1444" s="14">
        <f>F1444*BY1444*IF(B1444&gt;=in_marketplace_from,d_hz_loan_home*G1444,0)*BZ1444*in_loan_home_ticket*in_loan_home_comm</f>
        <v/>
      </c>
      <c r="CB1444" s="40">
        <f>CB1443*(1-IF(B1443&gt;=in_marketplace_from,d_hz_loan_lap*G1443,0)*CC1443)</f>
        <v/>
      </c>
      <c r="CC1444" s="11">
        <f>MIN(in_approval_cap,in_loan_lap_approval*INDEX('Age profile'!$O$2:$O$61,B1444)*(1+in_approval_growth)^(D1444-1))</f>
        <v/>
      </c>
      <c r="CD1444" s="14">
        <f>F1444*CB1444*IF(B1444&gt;=in_marketplace_from,d_hz_loan_lap*G1444,0)*CC1444*in_loan_lap_ticket*in_loan_lap_comm</f>
        <v/>
      </c>
      <c r="CE1444" s="14">
        <f>AA1444+AB1444+AC1444+AD1444+AG1444+AJ1444+AM1444+AP1444+AS1444+AU1444+AX1444+BB1444+BE1444+BG1444+BJ1444+BL1444+BO1444+BR1444+BT1444+BV1444+BX1444+CA1444+CD1444</f>
        <v/>
      </c>
    </row>
    <row r="1445">
      <c r="A1445" s="39" t="n">
        <v>33</v>
      </c>
      <c r="B1445" s="39" t="n">
        <v>20</v>
      </c>
      <c r="C1445" s="39">
        <f>A1445+B1445-1</f>
        <v/>
      </c>
      <c r="D1445" s="39">
        <f>INT((C1445-1)/12)+1</f>
        <v/>
      </c>
      <c r="E1445" s="44">
        <f>INDEX(Monthly!$B$2:$B$61,A1445)</f>
        <v/>
      </c>
      <c r="F1445" s="44">
        <f>E1445*INDEX('Age profile'!$B$2:$B$61,B1445)</f>
        <v/>
      </c>
      <c r="G1445" s="45">
        <f>MIN(in_takeup_cap,INDEX('Age profile'!$N$2:$N$61,B1445)*(1+in_takeup_growth)^(D1445-1))</f>
        <v/>
      </c>
      <c r="H1445" s="11">
        <f>MIN(in_approval_cap,in_approved_first*INDEX('Age profile'!$O$2:$O$61,B1445)*(1+in_approval_growth)^(D1445-1))</f>
        <v/>
      </c>
      <c r="I1445" s="45">
        <f>G1445*MIN(in_takeup_cap,INDEX('Age profile'!$O$2:$O$61,B1445)*(1+in_approval_growth)^(D1445-1))</f>
        <v/>
      </c>
      <c r="J1445" s="40">
        <f>(J1444-L1444)*F1445/F1444</f>
        <v/>
      </c>
      <c r="K1445" s="40">
        <f>(K1444-M1444)*F1445/F1444+SUMIFS(O1426:O1444,B1426:B1444,B1445-1-d_T)*F1445</f>
        <v/>
      </c>
      <c r="L1445" s="40">
        <f>IF(B1445&gt;=in_marketplace_from,J1445*d_hz*G1445*in_eligible*H1445,0)</f>
        <v/>
      </c>
      <c r="M1445" s="40">
        <f>IF(B1445&gt;=in_marketplace_from,K1445*d_hz*G1445*in_eligible*in_approved_repeat,0)</f>
        <v/>
      </c>
      <c r="N1445" s="40">
        <f>L1445+M1445</f>
        <v/>
      </c>
      <c r="O1445" s="46">
        <f>N1445/F1445</f>
        <v/>
      </c>
      <c r="P1445" s="40">
        <f>F1445-J1445-K1445</f>
        <v/>
      </c>
      <c r="Q1445" s="40">
        <f>IF(B1445&gt;=in_marketplace_from,(J1445+K1445)*d_hz*G1445,0)</f>
        <v/>
      </c>
      <c r="R1445" s="40">
        <f>SUMIFS(N1426:N1453,B1426:B1453,"&gt;="&amp;(B1445-d_T),B1426:B1453,"&lt;="&amp;(B1445-1))</f>
        <v/>
      </c>
      <c r="S1445" s="46">
        <f>(1-d_u)*S1444+IF(d_T&gt;in_topup_lag,SUMIFS(O1426:O1453,B1426:B1453,B1445-in_topup_lag)-d_udrop*SUMIFS(O1426:O1453,B1426:B1453,B1445-d_T),0)</f>
        <v/>
      </c>
      <c r="T1445" s="40">
        <f>F1445*d_u*S1445</f>
        <v/>
      </c>
      <c r="U1445" s="9">
        <f>L1445*in_ticket+M1445*d_rep_ticket</f>
        <v/>
      </c>
      <c r="V1445" s="9">
        <f>U1445+T1445*d_topup_amt</f>
        <v/>
      </c>
      <c r="W1445" s="40">
        <f>N1445+T1445*d_topup_ratio</f>
        <v/>
      </c>
      <c r="X1445" s="40">
        <f>SUMIFS(W1426:W1453,B1426:B1453,B1445-in_dpd_lag)*d_cured</f>
        <v/>
      </c>
      <c r="Y1445" s="40">
        <f>SUMIFS(W1426:W1453,B1426:B1453,B1445-in_rec_lag)*d_recd</f>
        <v/>
      </c>
      <c r="Z1445" s="40">
        <f>IF(AND(B1445&gt;=in_marketplace_from,B1445&lt;in_marketplace_from+in_card_months),in_card_share/in_card_months*F1445*I1445,IF(AND(B1445&gt;=in_marketplace_from+in_card_months,B1445&lt;in_marketplace_from+2*in_card_months),in_card_share*d_card_rem/in_card_months*F1445*MIN(in_takeup_cap,(1+in_takeup_growth)^(D1445-1))*MIN(in_takeup_cap,(1+in_approval_growth)^(D1445-1)),0))</f>
        <v/>
      </c>
      <c r="AA1445" s="14">
        <f>V1445*in_fee*(1-in_taken_back)</f>
        <v/>
      </c>
      <c r="AB1445" s="14">
        <f>SUMIFS(W1426:W1453,B1426:B1453,B1445-in_dpd_lag)*d_dpd</f>
        <v/>
      </c>
      <c r="AC1445" s="14">
        <f>SUMIFS(W1426:W1453,B1426:B1453,B1445-in_rec_lag)*d_rec</f>
        <v/>
      </c>
      <c r="AD1445" s="14">
        <f>Z1445*in_card_fee</f>
        <v/>
      </c>
      <c r="AE1445" s="40">
        <f>AE1444*(1-IF(B1444&gt;=in_marketplace_from,d_hz_hlth_small*G1444,0))</f>
        <v/>
      </c>
      <c r="AF1445" s="46">
        <f>AE1445*IF(B1445&gt;=in_marketplace_from,d_hz_hlth_small*G1445,0)</f>
        <v/>
      </c>
      <c r="AG1445" s="14">
        <f>F1445*AF1445*in_hlth_small_ticket*in_hlth_small_comm*in_ins_partner_share+F1445*in_hlth_small_ticket*in_hlth_small_renew_comm*in_ins_partner_share*(in_hlth_small_renew^1*SUMIFS(AF1426:AF1453,B1426:B1453,B1445-12)+in_hlth_small_renew^2*SUMIFS(AF1426:AF1453,B1426:B1453,B1445-24)+in_hlth_small_renew^3*SUMIFS(AF1426:AF1453,B1426:B1453,B1445-36)+in_hlth_small_renew^4*SUMIFS(AF1426:AF1453,B1426:B1453,B1445-48))</f>
        <v/>
      </c>
      <c r="AH1445" s="40">
        <f>AH1444*(1-IF(B1444&gt;=in_marketplace_from,d_hz_hlth_family*G1444,0))</f>
        <v/>
      </c>
      <c r="AI1445" s="46">
        <f>AH1445*IF(B1445&gt;=in_marketplace_from,d_hz_hlth_family*G1445,0)</f>
        <v/>
      </c>
      <c r="AJ1445" s="14">
        <f>F1445*AI1445*in_hlth_family_ticket*in_hlth_family_comm*in_ins_partner_share+F1445*in_hlth_family_ticket*in_hlth_family_renew_comm*in_ins_partner_share*(in_hlth_family_renew^1*SUMIFS(AI1426:AI1453,B1426:B1453,B1445-12)+in_hlth_family_renew^2*SUMIFS(AI1426:AI1453,B1426:B1453,B1445-24)+in_hlth_family_renew^3*SUMIFS(AI1426:AI1453,B1426:B1453,B1445-36)+in_hlth_family_renew^4*SUMIFS(AI1426:AI1453,B1426:B1453,B1445-48))</f>
        <v/>
      </c>
      <c r="AK1445" s="40">
        <f>AK1444*(1-IF(B1444&gt;=in_marketplace_from,d_hz_life_term*G1444,0))</f>
        <v/>
      </c>
      <c r="AL1445" s="46">
        <f>AK1445*IF(B1445&gt;=in_marketplace_from,d_hz_life_term*G1445,0)</f>
        <v/>
      </c>
      <c r="AM1445" s="14">
        <f>F1445*AL1445*in_life_term_ticket*in_life_term_comm*in_ins_partner_share+F1445*in_life_term_ticket*in_life_term_renew_comm*in_ins_partner_share*(in_life_term_renew^1*SUMIFS(AL1426:AL1453,B1426:B1453,B1445-12)+in_life_term_renew^2*SUMIFS(AL1426:AL1453,B1426:B1453,B1445-24)+in_life_term_renew^3*SUMIFS(AL1426:AL1453,B1426:B1453,B1445-36)+in_life_term_renew^4*SUMIFS(AL1426:AL1453,B1426:B1453,B1445-48))</f>
        <v/>
      </c>
      <c r="AN1445" s="40">
        <f>AN1444*(1-IF(B1444&gt;=in_marketplace_from,d_hz_accident*G1444,0))</f>
        <v/>
      </c>
      <c r="AO1445" s="46">
        <f>AN1445*IF(B1445&gt;=in_marketplace_from,d_hz_accident*G1445,0)</f>
        <v/>
      </c>
      <c r="AP1445" s="14">
        <f>F1445*AO1445*in_accident_ticket*in_accident_comm*in_ins_partner_share+F1445*in_accident_ticket*in_accident_renew_comm*in_ins_partner_share*(in_accident_renew^1*SUMIFS(AO1426:AO1453,B1426:B1453,B1445-12)+in_accident_renew^2*SUMIFS(AO1426:AO1453,B1426:B1453,B1445-24)+in_accident_renew^3*SUMIFS(AO1426:AO1453,B1426:B1453,B1445-36)+in_accident_renew^4*SUMIFS(AO1426:AO1453,B1426:B1453,B1445-48))</f>
        <v/>
      </c>
      <c r="AQ1445" s="40">
        <f>AQ1444*(1-IF(B1444&gt;=in_marketplace_from,d_hz_two_wheeler*G1444,0))</f>
        <v/>
      </c>
      <c r="AR1445" s="46">
        <f>AQ1445*IF(B1445&gt;=in_marketplace_from,d_hz_two_wheeler*G1445,0)</f>
        <v/>
      </c>
      <c r="AS1445" s="14">
        <f>F1445*AR1445*in_two_wheeler_ticket*in_two_wheeler_comm*in_ins_partner_share+F1445*in_two_wheeler_ticket*in_two_wheeler_comm*in_ins_partner_share*(in_two_wheeler_renew^1*SUMIFS(AR1426:AR1453,B1426:B1453,B1445-12)+in_two_wheeler_renew^2*SUMIFS(AR1426:AR1453,B1426:B1453,B1445-24)+in_two_wheeler_renew^3*SUMIFS(AR1426:AR1453,B1426:B1453,B1445-36)+in_two_wheeler_renew^4*SUMIFS(AR1426:AR1453,B1426:B1453,B1445-48))</f>
        <v/>
      </c>
      <c r="AT1445" s="40">
        <f>AT1444*(1-IF(B1444&gt;=in_marketplace_from,d_hz_device*G1444,0))</f>
        <v/>
      </c>
      <c r="AU1445" s="14">
        <f>F1445*AT1445*IF(B1445&gt;=in_marketplace_from,d_hz_device*G1445,0)*in_device_ticket*in_device_comm*in_ins_partner_share</f>
        <v/>
      </c>
      <c r="AV1445" s="40">
        <f>AV1444*(1-IF(B1444&gt;=in_marketplace_from,d_hz_shop*G1444,0))</f>
        <v/>
      </c>
      <c r="AW1445" s="46">
        <f>AV1445*IF(B1445&gt;=in_marketplace_from,d_hz_shop*G1445,0)</f>
        <v/>
      </c>
      <c r="AX1445" s="14">
        <f>F1445*AW1445*in_shop_ticket*in_shop_comm*in_ins_partner_share+F1445*in_shop_ticket*in_shop_renew_comm*in_ins_partner_share*(in_shop_renew^1*SUMIFS(AW1426:AW1453,B1426:B1453,B1445-12)+in_shop_renew^2*SUMIFS(AW1426:AW1453,B1426:B1453,B1445-24)+in_shop_renew^3*SUMIFS(AW1426:AW1453,B1426:B1453,B1445-36)+in_shop_renew^4*SUMIFS(AW1426:AW1453,B1426:B1453,B1445-48))</f>
        <v/>
      </c>
      <c r="AY1445" s="40">
        <f>AY1444*(1-IF(B1444&gt;=in_marketplace_from,d_hz_sip*G1444,0))</f>
        <v/>
      </c>
      <c r="AZ1445" s="40">
        <f>AZ1444*d_rho_sip+AY1445*IF(B1445&gt;=in_marketplace_from,d_hz_sip*G1445,0)</f>
        <v/>
      </c>
      <c r="BA1445" s="40">
        <f>d_rho_sip*(BA1444+AZ1444)</f>
        <v/>
      </c>
      <c r="BB1445" s="14">
        <f>F1445*in_sip_ticket*(BA1445+0.5*AZ1445)*in_sip_comm/12</f>
        <v/>
      </c>
      <c r="BC1445" s="40">
        <f>BC1444*(1-IF(B1444&gt;=in_marketplace_from,d_hz_choti*G1444,0))</f>
        <v/>
      </c>
      <c r="BD1445" s="46">
        <f>BC1445*IF(B1445&gt;=in_marketplace_from,d_hz_choti*G1445,0)</f>
        <v/>
      </c>
      <c r="BE1445" s="14">
        <f>F1445*SUMIFS(BD1426:BD1453,B1426:B1453,B1445-in_choti_months)*in_choti_renew*in_choti_ticket</f>
        <v/>
      </c>
      <c r="BF1445" s="40">
        <f>BF1444*(1-IF(B1444&gt;=in_marketplace_from,d_hz_nps*G1444,0))</f>
        <v/>
      </c>
      <c r="BG1445" s="14">
        <f>F1445*BF1445*IF(B1445&gt;=in_marketplace_from,d_hz_nps*G1445,0)*in_nps_ticket*in_nps_comm</f>
        <v/>
      </c>
      <c r="BH1445" s="40">
        <f>BH1444*(1-IF(B1444&gt;=in_marketplace_from,d_hz_gold*G1444,0))</f>
        <v/>
      </c>
      <c r="BI1445" s="40">
        <f>BI1444*d_rho_gold+BH1445*IF(B1445&gt;=in_marketplace_from,d_hz_gold*G1445,0)</f>
        <v/>
      </c>
      <c r="BJ1445" s="14">
        <f>F1445*BI1445*in_gold_ticket*in_gold_comm</f>
        <v/>
      </c>
      <c r="BK1445" s="40">
        <f>BK1444*(1-IF(B1444&gt;=in_marketplace_from,d_hz_fd*G1444,0))</f>
        <v/>
      </c>
      <c r="BL1445" s="14">
        <f>F1445*BK1445*IF(B1445&gt;=in_marketplace_from,d_hz_fd*G1445,0)*in_fd_ticket*in_fd_comm</f>
        <v/>
      </c>
      <c r="BM1445" s="40">
        <f>BM1444*(1-IF(B1444&gt;=in_marketplace_from,d_hz_recharge*G1444,0))</f>
        <v/>
      </c>
      <c r="BN1445" s="40">
        <f>BN1444*d_rho_recharge+BM1445*IF(B1445&gt;=in_marketplace_from,d_hz_recharge*G1445,0)</f>
        <v/>
      </c>
      <c r="BO1445" s="14">
        <f>F1445*BN1445*in_recharge_ticket*in_recharge_comm/12</f>
        <v/>
      </c>
      <c r="BP1445" s="40">
        <f>BP1444*(1-IF(B1444&gt;=in_marketplace_from,d_hz_bills*G1444,0))</f>
        <v/>
      </c>
      <c r="BQ1445" s="40">
        <f>BQ1444*d_rho_bills+BP1445*IF(B1445&gt;=in_marketplace_from,d_hz_bills*G1445,0)</f>
        <v/>
      </c>
      <c r="BR1445" s="14">
        <f>F1445*BQ1445*in_bills_ticket*in_bills_comm/12</f>
        <v/>
      </c>
      <c r="BS1445" s="40">
        <f>BS1444*(1-IF(B1444&gt;=in_marketplace_from,d_hz_loan_gold*G1444,0))</f>
        <v/>
      </c>
      <c r="BT1445" s="14">
        <f>F1445*BS1445*IF(B1445&gt;=in_marketplace_from,d_hz_loan_gold*G1445,0)*in_loan_gold_ticket*in_loan_gold_comm</f>
        <v/>
      </c>
      <c r="BU1445" s="40">
        <f>BU1444*(1-IF(B1444&gt;=in_marketplace_from,d_hz_loan_cd*G1444,0))</f>
        <v/>
      </c>
      <c r="BV1445" s="14">
        <f>F1445*BU1445*IF(B1445&gt;=in_marketplace_from,d_hz_loan_cd*G1445,0)*in_loan_cd_ticket*in_loan_cd_comm</f>
        <v/>
      </c>
      <c r="BW1445" s="40">
        <f>BW1444*(1-IF(B1444&gt;=in_marketplace_from,d_hz_loan_vehicle*G1444,0))</f>
        <v/>
      </c>
      <c r="BX1445" s="14">
        <f>F1445*BW1445*IF(B1445&gt;=in_marketplace_from,d_hz_loan_vehicle*G1445,0)*in_loan_vehicle_ticket*in_loan_vehicle_comm</f>
        <v/>
      </c>
      <c r="BY1445" s="40">
        <f>BY1444*(1-IF(B1444&gt;=in_marketplace_from,d_hz_loan_home*G1444,0)*BZ1444)</f>
        <v/>
      </c>
      <c r="BZ1445" s="11">
        <f>MIN(in_approval_cap,in_loan_home_approval*INDEX('Age profile'!$O$2:$O$61,B1445)*(1+in_approval_growth)^(D1445-1))</f>
        <v/>
      </c>
      <c r="CA1445" s="14">
        <f>F1445*BY1445*IF(B1445&gt;=in_marketplace_from,d_hz_loan_home*G1445,0)*BZ1445*in_loan_home_ticket*in_loan_home_comm</f>
        <v/>
      </c>
      <c r="CB1445" s="40">
        <f>CB1444*(1-IF(B1444&gt;=in_marketplace_from,d_hz_loan_lap*G1444,0)*CC1444)</f>
        <v/>
      </c>
      <c r="CC1445" s="11">
        <f>MIN(in_approval_cap,in_loan_lap_approval*INDEX('Age profile'!$O$2:$O$61,B1445)*(1+in_approval_growth)^(D1445-1))</f>
        <v/>
      </c>
      <c r="CD1445" s="14">
        <f>F1445*CB1445*IF(B1445&gt;=in_marketplace_from,d_hz_loan_lap*G1445,0)*CC1445*in_loan_lap_ticket*in_loan_lap_comm</f>
        <v/>
      </c>
      <c r="CE1445" s="14">
        <f>AA1445+AB1445+AC1445+AD1445+AG1445+AJ1445+AM1445+AP1445+AS1445+AU1445+AX1445+BB1445+BE1445+BG1445+BJ1445+BL1445+BO1445+BR1445+BT1445+BV1445+BX1445+CA1445+CD1445</f>
        <v/>
      </c>
    </row>
    <row r="1446">
      <c r="A1446" s="39" t="n">
        <v>33</v>
      </c>
      <c r="B1446" s="39" t="n">
        <v>21</v>
      </c>
      <c r="C1446" s="39">
        <f>A1446+B1446-1</f>
        <v/>
      </c>
      <c r="D1446" s="39">
        <f>INT((C1446-1)/12)+1</f>
        <v/>
      </c>
      <c r="E1446" s="44">
        <f>INDEX(Monthly!$B$2:$B$61,A1446)</f>
        <v/>
      </c>
      <c r="F1446" s="44">
        <f>E1446*INDEX('Age profile'!$B$2:$B$61,B1446)</f>
        <v/>
      </c>
      <c r="G1446" s="45">
        <f>MIN(in_takeup_cap,INDEX('Age profile'!$N$2:$N$61,B1446)*(1+in_takeup_growth)^(D1446-1))</f>
        <v/>
      </c>
      <c r="H1446" s="11">
        <f>MIN(in_approval_cap,in_approved_first*INDEX('Age profile'!$O$2:$O$61,B1446)*(1+in_approval_growth)^(D1446-1))</f>
        <v/>
      </c>
      <c r="I1446" s="45">
        <f>G1446*MIN(in_takeup_cap,INDEX('Age profile'!$O$2:$O$61,B1446)*(1+in_approval_growth)^(D1446-1))</f>
        <v/>
      </c>
      <c r="J1446" s="40">
        <f>(J1445-L1445)*F1446/F1445</f>
        <v/>
      </c>
      <c r="K1446" s="40">
        <f>(K1445-M1445)*F1446/F1445+SUMIFS(O1426:O1445,B1426:B1445,B1446-1-d_T)*F1446</f>
        <v/>
      </c>
      <c r="L1446" s="40">
        <f>IF(B1446&gt;=in_marketplace_from,J1446*d_hz*G1446*in_eligible*H1446,0)</f>
        <v/>
      </c>
      <c r="M1446" s="40">
        <f>IF(B1446&gt;=in_marketplace_from,K1446*d_hz*G1446*in_eligible*in_approved_repeat,0)</f>
        <v/>
      </c>
      <c r="N1446" s="40">
        <f>L1446+M1446</f>
        <v/>
      </c>
      <c r="O1446" s="46">
        <f>N1446/F1446</f>
        <v/>
      </c>
      <c r="P1446" s="40">
        <f>F1446-J1446-K1446</f>
        <v/>
      </c>
      <c r="Q1446" s="40">
        <f>IF(B1446&gt;=in_marketplace_from,(J1446+K1446)*d_hz*G1446,0)</f>
        <v/>
      </c>
      <c r="R1446" s="40">
        <f>SUMIFS(N1426:N1453,B1426:B1453,"&gt;="&amp;(B1446-d_T),B1426:B1453,"&lt;="&amp;(B1446-1))</f>
        <v/>
      </c>
      <c r="S1446" s="46">
        <f>(1-d_u)*S1445+IF(d_T&gt;in_topup_lag,SUMIFS(O1426:O1453,B1426:B1453,B1446-in_topup_lag)-d_udrop*SUMIFS(O1426:O1453,B1426:B1453,B1446-d_T),0)</f>
        <v/>
      </c>
      <c r="T1446" s="40">
        <f>F1446*d_u*S1446</f>
        <v/>
      </c>
      <c r="U1446" s="9">
        <f>L1446*in_ticket+M1446*d_rep_ticket</f>
        <v/>
      </c>
      <c r="V1446" s="9">
        <f>U1446+T1446*d_topup_amt</f>
        <v/>
      </c>
      <c r="W1446" s="40">
        <f>N1446+T1446*d_topup_ratio</f>
        <v/>
      </c>
      <c r="X1446" s="40">
        <f>SUMIFS(W1426:W1453,B1426:B1453,B1446-in_dpd_lag)*d_cured</f>
        <v/>
      </c>
      <c r="Y1446" s="40">
        <f>SUMIFS(W1426:W1453,B1426:B1453,B1446-in_rec_lag)*d_recd</f>
        <v/>
      </c>
      <c r="Z1446" s="40">
        <f>IF(AND(B1446&gt;=in_marketplace_from,B1446&lt;in_marketplace_from+in_card_months),in_card_share/in_card_months*F1446*I1446,IF(AND(B1446&gt;=in_marketplace_from+in_card_months,B1446&lt;in_marketplace_from+2*in_card_months),in_card_share*d_card_rem/in_card_months*F1446*MIN(in_takeup_cap,(1+in_takeup_growth)^(D1446-1))*MIN(in_takeup_cap,(1+in_approval_growth)^(D1446-1)),0))</f>
        <v/>
      </c>
      <c r="AA1446" s="14">
        <f>V1446*in_fee*(1-in_taken_back)</f>
        <v/>
      </c>
      <c r="AB1446" s="14">
        <f>SUMIFS(W1426:W1453,B1426:B1453,B1446-in_dpd_lag)*d_dpd</f>
        <v/>
      </c>
      <c r="AC1446" s="14">
        <f>SUMIFS(W1426:W1453,B1426:B1453,B1446-in_rec_lag)*d_rec</f>
        <v/>
      </c>
      <c r="AD1446" s="14">
        <f>Z1446*in_card_fee</f>
        <v/>
      </c>
      <c r="AE1446" s="40">
        <f>AE1445*(1-IF(B1445&gt;=in_marketplace_from,d_hz_hlth_small*G1445,0))</f>
        <v/>
      </c>
      <c r="AF1446" s="46">
        <f>AE1446*IF(B1446&gt;=in_marketplace_from,d_hz_hlth_small*G1446,0)</f>
        <v/>
      </c>
      <c r="AG1446" s="14">
        <f>F1446*AF1446*in_hlth_small_ticket*in_hlth_small_comm*in_ins_partner_share+F1446*in_hlth_small_ticket*in_hlth_small_renew_comm*in_ins_partner_share*(in_hlth_small_renew^1*SUMIFS(AF1426:AF1453,B1426:B1453,B1446-12)+in_hlth_small_renew^2*SUMIFS(AF1426:AF1453,B1426:B1453,B1446-24)+in_hlth_small_renew^3*SUMIFS(AF1426:AF1453,B1426:B1453,B1446-36)+in_hlth_small_renew^4*SUMIFS(AF1426:AF1453,B1426:B1453,B1446-48))</f>
        <v/>
      </c>
      <c r="AH1446" s="40">
        <f>AH1445*(1-IF(B1445&gt;=in_marketplace_from,d_hz_hlth_family*G1445,0))</f>
        <v/>
      </c>
      <c r="AI1446" s="46">
        <f>AH1446*IF(B1446&gt;=in_marketplace_from,d_hz_hlth_family*G1446,0)</f>
        <v/>
      </c>
      <c r="AJ1446" s="14">
        <f>F1446*AI1446*in_hlth_family_ticket*in_hlth_family_comm*in_ins_partner_share+F1446*in_hlth_family_ticket*in_hlth_family_renew_comm*in_ins_partner_share*(in_hlth_family_renew^1*SUMIFS(AI1426:AI1453,B1426:B1453,B1446-12)+in_hlth_family_renew^2*SUMIFS(AI1426:AI1453,B1426:B1453,B1446-24)+in_hlth_family_renew^3*SUMIFS(AI1426:AI1453,B1426:B1453,B1446-36)+in_hlth_family_renew^4*SUMIFS(AI1426:AI1453,B1426:B1453,B1446-48))</f>
        <v/>
      </c>
      <c r="AK1446" s="40">
        <f>AK1445*(1-IF(B1445&gt;=in_marketplace_from,d_hz_life_term*G1445,0))</f>
        <v/>
      </c>
      <c r="AL1446" s="46">
        <f>AK1446*IF(B1446&gt;=in_marketplace_from,d_hz_life_term*G1446,0)</f>
        <v/>
      </c>
      <c r="AM1446" s="14">
        <f>F1446*AL1446*in_life_term_ticket*in_life_term_comm*in_ins_partner_share+F1446*in_life_term_ticket*in_life_term_renew_comm*in_ins_partner_share*(in_life_term_renew^1*SUMIFS(AL1426:AL1453,B1426:B1453,B1446-12)+in_life_term_renew^2*SUMIFS(AL1426:AL1453,B1426:B1453,B1446-24)+in_life_term_renew^3*SUMIFS(AL1426:AL1453,B1426:B1453,B1446-36)+in_life_term_renew^4*SUMIFS(AL1426:AL1453,B1426:B1453,B1446-48))</f>
        <v/>
      </c>
      <c r="AN1446" s="40">
        <f>AN1445*(1-IF(B1445&gt;=in_marketplace_from,d_hz_accident*G1445,0))</f>
        <v/>
      </c>
      <c r="AO1446" s="46">
        <f>AN1446*IF(B1446&gt;=in_marketplace_from,d_hz_accident*G1446,0)</f>
        <v/>
      </c>
      <c r="AP1446" s="14">
        <f>F1446*AO1446*in_accident_ticket*in_accident_comm*in_ins_partner_share+F1446*in_accident_ticket*in_accident_renew_comm*in_ins_partner_share*(in_accident_renew^1*SUMIFS(AO1426:AO1453,B1426:B1453,B1446-12)+in_accident_renew^2*SUMIFS(AO1426:AO1453,B1426:B1453,B1446-24)+in_accident_renew^3*SUMIFS(AO1426:AO1453,B1426:B1453,B1446-36)+in_accident_renew^4*SUMIFS(AO1426:AO1453,B1426:B1453,B1446-48))</f>
        <v/>
      </c>
      <c r="AQ1446" s="40">
        <f>AQ1445*(1-IF(B1445&gt;=in_marketplace_from,d_hz_two_wheeler*G1445,0))</f>
        <v/>
      </c>
      <c r="AR1446" s="46">
        <f>AQ1446*IF(B1446&gt;=in_marketplace_from,d_hz_two_wheeler*G1446,0)</f>
        <v/>
      </c>
      <c r="AS1446" s="14">
        <f>F1446*AR1446*in_two_wheeler_ticket*in_two_wheeler_comm*in_ins_partner_share+F1446*in_two_wheeler_ticket*in_two_wheeler_comm*in_ins_partner_share*(in_two_wheeler_renew^1*SUMIFS(AR1426:AR1453,B1426:B1453,B1446-12)+in_two_wheeler_renew^2*SUMIFS(AR1426:AR1453,B1426:B1453,B1446-24)+in_two_wheeler_renew^3*SUMIFS(AR1426:AR1453,B1426:B1453,B1446-36)+in_two_wheeler_renew^4*SUMIFS(AR1426:AR1453,B1426:B1453,B1446-48))</f>
        <v/>
      </c>
      <c r="AT1446" s="40">
        <f>AT1445*(1-IF(B1445&gt;=in_marketplace_from,d_hz_device*G1445,0))</f>
        <v/>
      </c>
      <c r="AU1446" s="14">
        <f>F1446*AT1446*IF(B1446&gt;=in_marketplace_from,d_hz_device*G1446,0)*in_device_ticket*in_device_comm*in_ins_partner_share</f>
        <v/>
      </c>
      <c r="AV1446" s="40">
        <f>AV1445*(1-IF(B1445&gt;=in_marketplace_from,d_hz_shop*G1445,0))</f>
        <v/>
      </c>
      <c r="AW1446" s="46">
        <f>AV1446*IF(B1446&gt;=in_marketplace_from,d_hz_shop*G1446,0)</f>
        <v/>
      </c>
      <c r="AX1446" s="14">
        <f>F1446*AW1446*in_shop_ticket*in_shop_comm*in_ins_partner_share+F1446*in_shop_ticket*in_shop_renew_comm*in_ins_partner_share*(in_shop_renew^1*SUMIFS(AW1426:AW1453,B1426:B1453,B1446-12)+in_shop_renew^2*SUMIFS(AW1426:AW1453,B1426:B1453,B1446-24)+in_shop_renew^3*SUMIFS(AW1426:AW1453,B1426:B1453,B1446-36)+in_shop_renew^4*SUMIFS(AW1426:AW1453,B1426:B1453,B1446-48))</f>
        <v/>
      </c>
      <c r="AY1446" s="40">
        <f>AY1445*(1-IF(B1445&gt;=in_marketplace_from,d_hz_sip*G1445,0))</f>
        <v/>
      </c>
      <c r="AZ1446" s="40">
        <f>AZ1445*d_rho_sip+AY1446*IF(B1446&gt;=in_marketplace_from,d_hz_sip*G1446,0)</f>
        <v/>
      </c>
      <c r="BA1446" s="40">
        <f>d_rho_sip*(BA1445+AZ1445)</f>
        <v/>
      </c>
      <c r="BB1446" s="14">
        <f>F1446*in_sip_ticket*(BA1446+0.5*AZ1446)*in_sip_comm/12</f>
        <v/>
      </c>
      <c r="BC1446" s="40">
        <f>BC1445*(1-IF(B1445&gt;=in_marketplace_from,d_hz_choti*G1445,0))</f>
        <v/>
      </c>
      <c r="BD1446" s="46">
        <f>BC1446*IF(B1446&gt;=in_marketplace_from,d_hz_choti*G1446,0)</f>
        <v/>
      </c>
      <c r="BE1446" s="14">
        <f>F1446*SUMIFS(BD1426:BD1453,B1426:B1453,B1446-in_choti_months)*in_choti_renew*in_choti_ticket</f>
        <v/>
      </c>
      <c r="BF1446" s="40">
        <f>BF1445*(1-IF(B1445&gt;=in_marketplace_from,d_hz_nps*G1445,0))</f>
        <v/>
      </c>
      <c r="BG1446" s="14">
        <f>F1446*BF1446*IF(B1446&gt;=in_marketplace_from,d_hz_nps*G1446,0)*in_nps_ticket*in_nps_comm</f>
        <v/>
      </c>
      <c r="BH1446" s="40">
        <f>BH1445*(1-IF(B1445&gt;=in_marketplace_from,d_hz_gold*G1445,0))</f>
        <v/>
      </c>
      <c r="BI1446" s="40">
        <f>BI1445*d_rho_gold+BH1446*IF(B1446&gt;=in_marketplace_from,d_hz_gold*G1446,0)</f>
        <v/>
      </c>
      <c r="BJ1446" s="14">
        <f>F1446*BI1446*in_gold_ticket*in_gold_comm</f>
        <v/>
      </c>
      <c r="BK1446" s="40">
        <f>BK1445*(1-IF(B1445&gt;=in_marketplace_from,d_hz_fd*G1445,0))</f>
        <v/>
      </c>
      <c r="BL1446" s="14">
        <f>F1446*BK1446*IF(B1446&gt;=in_marketplace_from,d_hz_fd*G1446,0)*in_fd_ticket*in_fd_comm</f>
        <v/>
      </c>
      <c r="BM1446" s="40">
        <f>BM1445*(1-IF(B1445&gt;=in_marketplace_from,d_hz_recharge*G1445,0))</f>
        <v/>
      </c>
      <c r="BN1446" s="40">
        <f>BN1445*d_rho_recharge+BM1446*IF(B1446&gt;=in_marketplace_from,d_hz_recharge*G1446,0)</f>
        <v/>
      </c>
      <c r="BO1446" s="14">
        <f>F1446*BN1446*in_recharge_ticket*in_recharge_comm/12</f>
        <v/>
      </c>
      <c r="BP1446" s="40">
        <f>BP1445*(1-IF(B1445&gt;=in_marketplace_from,d_hz_bills*G1445,0))</f>
        <v/>
      </c>
      <c r="BQ1446" s="40">
        <f>BQ1445*d_rho_bills+BP1446*IF(B1446&gt;=in_marketplace_from,d_hz_bills*G1446,0)</f>
        <v/>
      </c>
      <c r="BR1446" s="14">
        <f>F1446*BQ1446*in_bills_ticket*in_bills_comm/12</f>
        <v/>
      </c>
      <c r="BS1446" s="40">
        <f>BS1445*(1-IF(B1445&gt;=in_marketplace_from,d_hz_loan_gold*G1445,0))</f>
        <v/>
      </c>
      <c r="BT1446" s="14">
        <f>F1446*BS1446*IF(B1446&gt;=in_marketplace_from,d_hz_loan_gold*G1446,0)*in_loan_gold_ticket*in_loan_gold_comm</f>
        <v/>
      </c>
      <c r="BU1446" s="40">
        <f>BU1445*(1-IF(B1445&gt;=in_marketplace_from,d_hz_loan_cd*G1445,0))</f>
        <v/>
      </c>
      <c r="BV1446" s="14">
        <f>F1446*BU1446*IF(B1446&gt;=in_marketplace_from,d_hz_loan_cd*G1446,0)*in_loan_cd_ticket*in_loan_cd_comm</f>
        <v/>
      </c>
      <c r="BW1446" s="40">
        <f>BW1445*(1-IF(B1445&gt;=in_marketplace_from,d_hz_loan_vehicle*G1445,0))</f>
        <v/>
      </c>
      <c r="BX1446" s="14">
        <f>F1446*BW1446*IF(B1446&gt;=in_marketplace_from,d_hz_loan_vehicle*G1446,0)*in_loan_vehicle_ticket*in_loan_vehicle_comm</f>
        <v/>
      </c>
      <c r="BY1446" s="40">
        <f>BY1445*(1-IF(B1445&gt;=in_marketplace_from,d_hz_loan_home*G1445,0)*BZ1445)</f>
        <v/>
      </c>
      <c r="BZ1446" s="11">
        <f>MIN(in_approval_cap,in_loan_home_approval*INDEX('Age profile'!$O$2:$O$61,B1446)*(1+in_approval_growth)^(D1446-1))</f>
        <v/>
      </c>
      <c r="CA1446" s="14">
        <f>F1446*BY1446*IF(B1446&gt;=in_marketplace_from,d_hz_loan_home*G1446,0)*BZ1446*in_loan_home_ticket*in_loan_home_comm</f>
        <v/>
      </c>
      <c r="CB1446" s="40">
        <f>CB1445*(1-IF(B1445&gt;=in_marketplace_from,d_hz_loan_lap*G1445,0)*CC1445)</f>
        <v/>
      </c>
      <c r="CC1446" s="11">
        <f>MIN(in_approval_cap,in_loan_lap_approval*INDEX('Age profile'!$O$2:$O$61,B1446)*(1+in_approval_growth)^(D1446-1))</f>
        <v/>
      </c>
      <c r="CD1446" s="14">
        <f>F1446*CB1446*IF(B1446&gt;=in_marketplace_from,d_hz_loan_lap*G1446,0)*CC1446*in_loan_lap_ticket*in_loan_lap_comm</f>
        <v/>
      </c>
      <c r="CE1446" s="14">
        <f>AA1446+AB1446+AC1446+AD1446+AG1446+AJ1446+AM1446+AP1446+AS1446+AU1446+AX1446+BB1446+BE1446+BG1446+BJ1446+BL1446+BO1446+BR1446+BT1446+BV1446+BX1446+CA1446+CD1446</f>
        <v/>
      </c>
    </row>
    <row r="1447">
      <c r="A1447" s="39" t="n">
        <v>33</v>
      </c>
      <c r="B1447" s="39" t="n">
        <v>22</v>
      </c>
      <c r="C1447" s="39">
        <f>A1447+B1447-1</f>
        <v/>
      </c>
      <c r="D1447" s="39">
        <f>INT((C1447-1)/12)+1</f>
        <v/>
      </c>
      <c r="E1447" s="44">
        <f>INDEX(Monthly!$B$2:$B$61,A1447)</f>
        <v/>
      </c>
      <c r="F1447" s="44">
        <f>E1447*INDEX('Age profile'!$B$2:$B$61,B1447)</f>
        <v/>
      </c>
      <c r="G1447" s="45">
        <f>MIN(in_takeup_cap,INDEX('Age profile'!$N$2:$N$61,B1447)*(1+in_takeup_growth)^(D1447-1))</f>
        <v/>
      </c>
      <c r="H1447" s="11">
        <f>MIN(in_approval_cap,in_approved_first*INDEX('Age profile'!$O$2:$O$61,B1447)*(1+in_approval_growth)^(D1447-1))</f>
        <v/>
      </c>
      <c r="I1447" s="45">
        <f>G1447*MIN(in_takeup_cap,INDEX('Age profile'!$O$2:$O$61,B1447)*(1+in_approval_growth)^(D1447-1))</f>
        <v/>
      </c>
      <c r="J1447" s="40">
        <f>(J1446-L1446)*F1447/F1446</f>
        <v/>
      </c>
      <c r="K1447" s="40">
        <f>(K1446-M1446)*F1447/F1446+SUMIFS(O1426:O1446,B1426:B1446,B1447-1-d_T)*F1447</f>
        <v/>
      </c>
      <c r="L1447" s="40">
        <f>IF(B1447&gt;=in_marketplace_from,J1447*d_hz*G1447*in_eligible*H1447,0)</f>
        <v/>
      </c>
      <c r="M1447" s="40">
        <f>IF(B1447&gt;=in_marketplace_from,K1447*d_hz*G1447*in_eligible*in_approved_repeat,0)</f>
        <v/>
      </c>
      <c r="N1447" s="40">
        <f>L1447+M1447</f>
        <v/>
      </c>
      <c r="O1447" s="46">
        <f>N1447/F1447</f>
        <v/>
      </c>
      <c r="P1447" s="40">
        <f>F1447-J1447-K1447</f>
        <v/>
      </c>
      <c r="Q1447" s="40">
        <f>IF(B1447&gt;=in_marketplace_from,(J1447+K1447)*d_hz*G1447,0)</f>
        <v/>
      </c>
      <c r="R1447" s="40">
        <f>SUMIFS(N1426:N1453,B1426:B1453,"&gt;="&amp;(B1447-d_T),B1426:B1453,"&lt;="&amp;(B1447-1))</f>
        <v/>
      </c>
      <c r="S1447" s="46">
        <f>(1-d_u)*S1446+IF(d_T&gt;in_topup_lag,SUMIFS(O1426:O1453,B1426:B1453,B1447-in_topup_lag)-d_udrop*SUMIFS(O1426:O1453,B1426:B1453,B1447-d_T),0)</f>
        <v/>
      </c>
      <c r="T1447" s="40">
        <f>F1447*d_u*S1447</f>
        <v/>
      </c>
      <c r="U1447" s="9">
        <f>L1447*in_ticket+M1447*d_rep_ticket</f>
        <v/>
      </c>
      <c r="V1447" s="9">
        <f>U1447+T1447*d_topup_amt</f>
        <v/>
      </c>
      <c r="W1447" s="40">
        <f>N1447+T1447*d_topup_ratio</f>
        <v/>
      </c>
      <c r="X1447" s="40">
        <f>SUMIFS(W1426:W1453,B1426:B1453,B1447-in_dpd_lag)*d_cured</f>
        <v/>
      </c>
      <c r="Y1447" s="40">
        <f>SUMIFS(W1426:W1453,B1426:B1453,B1447-in_rec_lag)*d_recd</f>
        <v/>
      </c>
      <c r="Z1447" s="40">
        <f>IF(AND(B1447&gt;=in_marketplace_from,B1447&lt;in_marketplace_from+in_card_months),in_card_share/in_card_months*F1447*I1447,IF(AND(B1447&gt;=in_marketplace_from+in_card_months,B1447&lt;in_marketplace_from+2*in_card_months),in_card_share*d_card_rem/in_card_months*F1447*MIN(in_takeup_cap,(1+in_takeup_growth)^(D1447-1))*MIN(in_takeup_cap,(1+in_approval_growth)^(D1447-1)),0))</f>
        <v/>
      </c>
      <c r="AA1447" s="14">
        <f>V1447*in_fee*(1-in_taken_back)</f>
        <v/>
      </c>
      <c r="AB1447" s="14">
        <f>SUMIFS(W1426:W1453,B1426:B1453,B1447-in_dpd_lag)*d_dpd</f>
        <v/>
      </c>
      <c r="AC1447" s="14">
        <f>SUMIFS(W1426:W1453,B1426:B1453,B1447-in_rec_lag)*d_rec</f>
        <v/>
      </c>
      <c r="AD1447" s="14">
        <f>Z1447*in_card_fee</f>
        <v/>
      </c>
      <c r="AE1447" s="40">
        <f>AE1446*(1-IF(B1446&gt;=in_marketplace_from,d_hz_hlth_small*G1446,0))</f>
        <v/>
      </c>
      <c r="AF1447" s="46">
        <f>AE1447*IF(B1447&gt;=in_marketplace_from,d_hz_hlth_small*G1447,0)</f>
        <v/>
      </c>
      <c r="AG1447" s="14">
        <f>F1447*AF1447*in_hlth_small_ticket*in_hlth_small_comm*in_ins_partner_share+F1447*in_hlth_small_ticket*in_hlth_small_renew_comm*in_ins_partner_share*(in_hlth_small_renew^1*SUMIFS(AF1426:AF1453,B1426:B1453,B1447-12)+in_hlth_small_renew^2*SUMIFS(AF1426:AF1453,B1426:B1453,B1447-24)+in_hlth_small_renew^3*SUMIFS(AF1426:AF1453,B1426:B1453,B1447-36)+in_hlth_small_renew^4*SUMIFS(AF1426:AF1453,B1426:B1453,B1447-48))</f>
        <v/>
      </c>
      <c r="AH1447" s="40">
        <f>AH1446*(1-IF(B1446&gt;=in_marketplace_from,d_hz_hlth_family*G1446,0))</f>
        <v/>
      </c>
      <c r="AI1447" s="46">
        <f>AH1447*IF(B1447&gt;=in_marketplace_from,d_hz_hlth_family*G1447,0)</f>
        <v/>
      </c>
      <c r="AJ1447" s="14">
        <f>F1447*AI1447*in_hlth_family_ticket*in_hlth_family_comm*in_ins_partner_share+F1447*in_hlth_family_ticket*in_hlth_family_renew_comm*in_ins_partner_share*(in_hlth_family_renew^1*SUMIFS(AI1426:AI1453,B1426:B1453,B1447-12)+in_hlth_family_renew^2*SUMIFS(AI1426:AI1453,B1426:B1453,B1447-24)+in_hlth_family_renew^3*SUMIFS(AI1426:AI1453,B1426:B1453,B1447-36)+in_hlth_family_renew^4*SUMIFS(AI1426:AI1453,B1426:B1453,B1447-48))</f>
        <v/>
      </c>
      <c r="AK1447" s="40">
        <f>AK1446*(1-IF(B1446&gt;=in_marketplace_from,d_hz_life_term*G1446,0))</f>
        <v/>
      </c>
      <c r="AL1447" s="46">
        <f>AK1447*IF(B1447&gt;=in_marketplace_from,d_hz_life_term*G1447,0)</f>
        <v/>
      </c>
      <c r="AM1447" s="14">
        <f>F1447*AL1447*in_life_term_ticket*in_life_term_comm*in_ins_partner_share+F1447*in_life_term_ticket*in_life_term_renew_comm*in_ins_partner_share*(in_life_term_renew^1*SUMIFS(AL1426:AL1453,B1426:B1453,B1447-12)+in_life_term_renew^2*SUMIFS(AL1426:AL1453,B1426:B1453,B1447-24)+in_life_term_renew^3*SUMIFS(AL1426:AL1453,B1426:B1453,B1447-36)+in_life_term_renew^4*SUMIFS(AL1426:AL1453,B1426:B1453,B1447-48))</f>
        <v/>
      </c>
      <c r="AN1447" s="40">
        <f>AN1446*(1-IF(B1446&gt;=in_marketplace_from,d_hz_accident*G1446,0))</f>
        <v/>
      </c>
      <c r="AO1447" s="46">
        <f>AN1447*IF(B1447&gt;=in_marketplace_from,d_hz_accident*G1447,0)</f>
        <v/>
      </c>
      <c r="AP1447" s="14">
        <f>F1447*AO1447*in_accident_ticket*in_accident_comm*in_ins_partner_share+F1447*in_accident_ticket*in_accident_renew_comm*in_ins_partner_share*(in_accident_renew^1*SUMIFS(AO1426:AO1453,B1426:B1453,B1447-12)+in_accident_renew^2*SUMIFS(AO1426:AO1453,B1426:B1453,B1447-24)+in_accident_renew^3*SUMIFS(AO1426:AO1453,B1426:B1453,B1447-36)+in_accident_renew^4*SUMIFS(AO1426:AO1453,B1426:B1453,B1447-48))</f>
        <v/>
      </c>
      <c r="AQ1447" s="40">
        <f>AQ1446*(1-IF(B1446&gt;=in_marketplace_from,d_hz_two_wheeler*G1446,0))</f>
        <v/>
      </c>
      <c r="AR1447" s="46">
        <f>AQ1447*IF(B1447&gt;=in_marketplace_from,d_hz_two_wheeler*G1447,0)</f>
        <v/>
      </c>
      <c r="AS1447" s="14">
        <f>F1447*AR1447*in_two_wheeler_ticket*in_two_wheeler_comm*in_ins_partner_share+F1447*in_two_wheeler_ticket*in_two_wheeler_comm*in_ins_partner_share*(in_two_wheeler_renew^1*SUMIFS(AR1426:AR1453,B1426:B1453,B1447-12)+in_two_wheeler_renew^2*SUMIFS(AR1426:AR1453,B1426:B1453,B1447-24)+in_two_wheeler_renew^3*SUMIFS(AR1426:AR1453,B1426:B1453,B1447-36)+in_two_wheeler_renew^4*SUMIFS(AR1426:AR1453,B1426:B1453,B1447-48))</f>
        <v/>
      </c>
      <c r="AT1447" s="40">
        <f>AT1446*(1-IF(B1446&gt;=in_marketplace_from,d_hz_device*G1446,0))</f>
        <v/>
      </c>
      <c r="AU1447" s="14">
        <f>F1447*AT1447*IF(B1447&gt;=in_marketplace_from,d_hz_device*G1447,0)*in_device_ticket*in_device_comm*in_ins_partner_share</f>
        <v/>
      </c>
      <c r="AV1447" s="40">
        <f>AV1446*(1-IF(B1446&gt;=in_marketplace_from,d_hz_shop*G1446,0))</f>
        <v/>
      </c>
      <c r="AW1447" s="46">
        <f>AV1447*IF(B1447&gt;=in_marketplace_from,d_hz_shop*G1447,0)</f>
        <v/>
      </c>
      <c r="AX1447" s="14">
        <f>F1447*AW1447*in_shop_ticket*in_shop_comm*in_ins_partner_share+F1447*in_shop_ticket*in_shop_renew_comm*in_ins_partner_share*(in_shop_renew^1*SUMIFS(AW1426:AW1453,B1426:B1453,B1447-12)+in_shop_renew^2*SUMIFS(AW1426:AW1453,B1426:B1453,B1447-24)+in_shop_renew^3*SUMIFS(AW1426:AW1453,B1426:B1453,B1447-36)+in_shop_renew^4*SUMIFS(AW1426:AW1453,B1426:B1453,B1447-48))</f>
        <v/>
      </c>
      <c r="AY1447" s="40">
        <f>AY1446*(1-IF(B1446&gt;=in_marketplace_from,d_hz_sip*G1446,0))</f>
        <v/>
      </c>
      <c r="AZ1447" s="40">
        <f>AZ1446*d_rho_sip+AY1447*IF(B1447&gt;=in_marketplace_from,d_hz_sip*G1447,0)</f>
        <v/>
      </c>
      <c r="BA1447" s="40">
        <f>d_rho_sip*(BA1446+AZ1446)</f>
        <v/>
      </c>
      <c r="BB1447" s="14">
        <f>F1447*in_sip_ticket*(BA1447+0.5*AZ1447)*in_sip_comm/12</f>
        <v/>
      </c>
      <c r="BC1447" s="40">
        <f>BC1446*(1-IF(B1446&gt;=in_marketplace_from,d_hz_choti*G1446,0))</f>
        <v/>
      </c>
      <c r="BD1447" s="46">
        <f>BC1447*IF(B1447&gt;=in_marketplace_from,d_hz_choti*G1447,0)</f>
        <v/>
      </c>
      <c r="BE1447" s="14">
        <f>F1447*SUMIFS(BD1426:BD1453,B1426:B1453,B1447-in_choti_months)*in_choti_renew*in_choti_ticket</f>
        <v/>
      </c>
      <c r="BF1447" s="40">
        <f>BF1446*(1-IF(B1446&gt;=in_marketplace_from,d_hz_nps*G1446,0))</f>
        <v/>
      </c>
      <c r="BG1447" s="14">
        <f>F1447*BF1447*IF(B1447&gt;=in_marketplace_from,d_hz_nps*G1447,0)*in_nps_ticket*in_nps_comm</f>
        <v/>
      </c>
      <c r="BH1447" s="40">
        <f>BH1446*(1-IF(B1446&gt;=in_marketplace_from,d_hz_gold*G1446,0))</f>
        <v/>
      </c>
      <c r="BI1447" s="40">
        <f>BI1446*d_rho_gold+BH1447*IF(B1447&gt;=in_marketplace_from,d_hz_gold*G1447,0)</f>
        <v/>
      </c>
      <c r="BJ1447" s="14">
        <f>F1447*BI1447*in_gold_ticket*in_gold_comm</f>
        <v/>
      </c>
      <c r="BK1447" s="40">
        <f>BK1446*(1-IF(B1446&gt;=in_marketplace_from,d_hz_fd*G1446,0))</f>
        <v/>
      </c>
      <c r="BL1447" s="14">
        <f>F1447*BK1447*IF(B1447&gt;=in_marketplace_from,d_hz_fd*G1447,0)*in_fd_ticket*in_fd_comm</f>
        <v/>
      </c>
      <c r="BM1447" s="40">
        <f>BM1446*(1-IF(B1446&gt;=in_marketplace_from,d_hz_recharge*G1446,0))</f>
        <v/>
      </c>
      <c r="BN1447" s="40">
        <f>BN1446*d_rho_recharge+BM1447*IF(B1447&gt;=in_marketplace_from,d_hz_recharge*G1447,0)</f>
        <v/>
      </c>
      <c r="BO1447" s="14">
        <f>F1447*BN1447*in_recharge_ticket*in_recharge_comm/12</f>
        <v/>
      </c>
      <c r="BP1447" s="40">
        <f>BP1446*(1-IF(B1446&gt;=in_marketplace_from,d_hz_bills*G1446,0))</f>
        <v/>
      </c>
      <c r="BQ1447" s="40">
        <f>BQ1446*d_rho_bills+BP1447*IF(B1447&gt;=in_marketplace_from,d_hz_bills*G1447,0)</f>
        <v/>
      </c>
      <c r="BR1447" s="14">
        <f>F1447*BQ1447*in_bills_ticket*in_bills_comm/12</f>
        <v/>
      </c>
      <c r="BS1447" s="40">
        <f>BS1446*(1-IF(B1446&gt;=in_marketplace_from,d_hz_loan_gold*G1446,0))</f>
        <v/>
      </c>
      <c r="BT1447" s="14">
        <f>F1447*BS1447*IF(B1447&gt;=in_marketplace_from,d_hz_loan_gold*G1447,0)*in_loan_gold_ticket*in_loan_gold_comm</f>
        <v/>
      </c>
      <c r="BU1447" s="40">
        <f>BU1446*(1-IF(B1446&gt;=in_marketplace_from,d_hz_loan_cd*G1446,0))</f>
        <v/>
      </c>
      <c r="BV1447" s="14">
        <f>F1447*BU1447*IF(B1447&gt;=in_marketplace_from,d_hz_loan_cd*G1447,0)*in_loan_cd_ticket*in_loan_cd_comm</f>
        <v/>
      </c>
      <c r="BW1447" s="40">
        <f>BW1446*(1-IF(B1446&gt;=in_marketplace_from,d_hz_loan_vehicle*G1446,0))</f>
        <v/>
      </c>
      <c r="BX1447" s="14">
        <f>F1447*BW1447*IF(B1447&gt;=in_marketplace_from,d_hz_loan_vehicle*G1447,0)*in_loan_vehicle_ticket*in_loan_vehicle_comm</f>
        <v/>
      </c>
      <c r="BY1447" s="40">
        <f>BY1446*(1-IF(B1446&gt;=in_marketplace_from,d_hz_loan_home*G1446,0)*BZ1446)</f>
        <v/>
      </c>
      <c r="BZ1447" s="11">
        <f>MIN(in_approval_cap,in_loan_home_approval*INDEX('Age profile'!$O$2:$O$61,B1447)*(1+in_approval_growth)^(D1447-1))</f>
        <v/>
      </c>
      <c r="CA1447" s="14">
        <f>F1447*BY1447*IF(B1447&gt;=in_marketplace_from,d_hz_loan_home*G1447,0)*BZ1447*in_loan_home_ticket*in_loan_home_comm</f>
        <v/>
      </c>
      <c r="CB1447" s="40">
        <f>CB1446*(1-IF(B1446&gt;=in_marketplace_from,d_hz_loan_lap*G1446,0)*CC1446)</f>
        <v/>
      </c>
      <c r="CC1447" s="11">
        <f>MIN(in_approval_cap,in_loan_lap_approval*INDEX('Age profile'!$O$2:$O$61,B1447)*(1+in_approval_growth)^(D1447-1))</f>
        <v/>
      </c>
      <c r="CD1447" s="14">
        <f>F1447*CB1447*IF(B1447&gt;=in_marketplace_from,d_hz_loan_lap*G1447,0)*CC1447*in_loan_lap_ticket*in_loan_lap_comm</f>
        <v/>
      </c>
      <c r="CE1447" s="14">
        <f>AA1447+AB1447+AC1447+AD1447+AG1447+AJ1447+AM1447+AP1447+AS1447+AU1447+AX1447+BB1447+BE1447+BG1447+BJ1447+BL1447+BO1447+BR1447+BT1447+BV1447+BX1447+CA1447+CD1447</f>
        <v/>
      </c>
    </row>
    <row r="1448">
      <c r="A1448" s="39" t="n">
        <v>33</v>
      </c>
      <c r="B1448" s="39" t="n">
        <v>23</v>
      </c>
      <c r="C1448" s="39">
        <f>A1448+B1448-1</f>
        <v/>
      </c>
      <c r="D1448" s="39">
        <f>INT((C1448-1)/12)+1</f>
        <v/>
      </c>
      <c r="E1448" s="44">
        <f>INDEX(Monthly!$B$2:$B$61,A1448)</f>
        <v/>
      </c>
      <c r="F1448" s="44">
        <f>E1448*INDEX('Age profile'!$B$2:$B$61,B1448)</f>
        <v/>
      </c>
      <c r="G1448" s="45">
        <f>MIN(in_takeup_cap,INDEX('Age profile'!$N$2:$N$61,B1448)*(1+in_takeup_growth)^(D1448-1))</f>
        <v/>
      </c>
      <c r="H1448" s="11">
        <f>MIN(in_approval_cap,in_approved_first*INDEX('Age profile'!$O$2:$O$61,B1448)*(1+in_approval_growth)^(D1448-1))</f>
        <v/>
      </c>
      <c r="I1448" s="45">
        <f>G1448*MIN(in_takeup_cap,INDEX('Age profile'!$O$2:$O$61,B1448)*(1+in_approval_growth)^(D1448-1))</f>
        <v/>
      </c>
      <c r="J1448" s="40">
        <f>(J1447-L1447)*F1448/F1447</f>
        <v/>
      </c>
      <c r="K1448" s="40">
        <f>(K1447-M1447)*F1448/F1447+SUMIFS(O1426:O1447,B1426:B1447,B1448-1-d_T)*F1448</f>
        <v/>
      </c>
      <c r="L1448" s="40">
        <f>IF(B1448&gt;=in_marketplace_from,J1448*d_hz*G1448*in_eligible*H1448,0)</f>
        <v/>
      </c>
      <c r="M1448" s="40">
        <f>IF(B1448&gt;=in_marketplace_from,K1448*d_hz*G1448*in_eligible*in_approved_repeat,0)</f>
        <v/>
      </c>
      <c r="N1448" s="40">
        <f>L1448+M1448</f>
        <v/>
      </c>
      <c r="O1448" s="46">
        <f>N1448/F1448</f>
        <v/>
      </c>
      <c r="P1448" s="40">
        <f>F1448-J1448-K1448</f>
        <v/>
      </c>
      <c r="Q1448" s="40">
        <f>IF(B1448&gt;=in_marketplace_from,(J1448+K1448)*d_hz*G1448,0)</f>
        <v/>
      </c>
      <c r="R1448" s="40">
        <f>SUMIFS(N1426:N1453,B1426:B1453,"&gt;="&amp;(B1448-d_T),B1426:B1453,"&lt;="&amp;(B1448-1))</f>
        <v/>
      </c>
      <c r="S1448" s="46">
        <f>(1-d_u)*S1447+IF(d_T&gt;in_topup_lag,SUMIFS(O1426:O1453,B1426:B1453,B1448-in_topup_lag)-d_udrop*SUMIFS(O1426:O1453,B1426:B1453,B1448-d_T),0)</f>
        <v/>
      </c>
      <c r="T1448" s="40">
        <f>F1448*d_u*S1448</f>
        <v/>
      </c>
      <c r="U1448" s="9">
        <f>L1448*in_ticket+M1448*d_rep_ticket</f>
        <v/>
      </c>
      <c r="V1448" s="9">
        <f>U1448+T1448*d_topup_amt</f>
        <v/>
      </c>
      <c r="W1448" s="40">
        <f>N1448+T1448*d_topup_ratio</f>
        <v/>
      </c>
      <c r="X1448" s="40">
        <f>SUMIFS(W1426:W1453,B1426:B1453,B1448-in_dpd_lag)*d_cured</f>
        <v/>
      </c>
      <c r="Y1448" s="40">
        <f>SUMIFS(W1426:W1453,B1426:B1453,B1448-in_rec_lag)*d_recd</f>
        <v/>
      </c>
      <c r="Z1448" s="40">
        <f>IF(AND(B1448&gt;=in_marketplace_from,B1448&lt;in_marketplace_from+in_card_months),in_card_share/in_card_months*F1448*I1448,IF(AND(B1448&gt;=in_marketplace_from+in_card_months,B1448&lt;in_marketplace_from+2*in_card_months),in_card_share*d_card_rem/in_card_months*F1448*MIN(in_takeup_cap,(1+in_takeup_growth)^(D1448-1))*MIN(in_takeup_cap,(1+in_approval_growth)^(D1448-1)),0))</f>
        <v/>
      </c>
      <c r="AA1448" s="14">
        <f>V1448*in_fee*(1-in_taken_back)</f>
        <v/>
      </c>
      <c r="AB1448" s="14">
        <f>SUMIFS(W1426:W1453,B1426:B1453,B1448-in_dpd_lag)*d_dpd</f>
        <v/>
      </c>
      <c r="AC1448" s="14">
        <f>SUMIFS(W1426:W1453,B1426:B1453,B1448-in_rec_lag)*d_rec</f>
        <v/>
      </c>
      <c r="AD1448" s="14">
        <f>Z1448*in_card_fee</f>
        <v/>
      </c>
      <c r="AE1448" s="40">
        <f>AE1447*(1-IF(B1447&gt;=in_marketplace_from,d_hz_hlth_small*G1447,0))</f>
        <v/>
      </c>
      <c r="AF1448" s="46">
        <f>AE1448*IF(B1448&gt;=in_marketplace_from,d_hz_hlth_small*G1448,0)</f>
        <v/>
      </c>
      <c r="AG1448" s="14">
        <f>F1448*AF1448*in_hlth_small_ticket*in_hlth_small_comm*in_ins_partner_share+F1448*in_hlth_small_ticket*in_hlth_small_renew_comm*in_ins_partner_share*(in_hlth_small_renew^1*SUMIFS(AF1426:AF1453,B1426:B1453,B1448-12)+in_hlth_small_renew^2*SUMIFS(AF1426:AF1453,B1426:B1453,B1448-24)+in_hlth_small_renew^3*SUMIFS(AF1426:AF1453,B1426:B1453,B1448-36)+in_hlth_small_renew^4*SUMIFS(AF1426:AF1453,B1426:B1453,B1448-48))</f>
        <v/>
      </c>
      <c r="AH1448" s="40">
        <f>AH1447*(1-IF(B1447&gt;=in_marketplace_from,d_hz_hlth_family*G1447,0))</f>
        <v/>
      </c>
      <c r="AI1448" s="46">
        <f>AH1448*IF(B1448&gt;=in_marketplace_from,d_hz_hlth_family*G1448,0)</f>
        <v/>
      </c>
      <c r="AJ1448" s="14">
        <f>F1448*AI1448*in_hlth_family_ticket*in_hlth_family_comm*in_ins_partner_share+F1448*in_hlth_family_ticket*in_hlth_family_renew_comm*in_ins_partner_share*(in_hlth_family_renew^1*SUMIFS(AI1426:AI1453,B1426:B1453,B1448-12)+in_hlth_family_renew^2*SUMIFS(AI1426:AI1453,B1426:B1453,B1448-24)+in_hlth_family_renew^3*SUMIFS(AI1426:AI1453,B1426:B1453,B1448-36)+in_hlth_family_renew^4*SUMIFS(AI1426:AI1453,B1426:B1453,B1448-48))</f>
        <v/>
      </c>
      <c r="AK1448" s="40">
        <f>AK1447*(1-IF(B1447&gt;=in_marketplace_from,d_hz_life_term*G1447,0))</f>
        <v/>
      </c>
      <c r="AL1448" s="46">
        <f>AK1448*IF(B1448&gt;=in_marketplace_from,d_hz_life_term*G1448,0)</f>
        <v/>
      </c>
      <c r="AM1448" s="14">
        <f>F1448*AL1448*in_life_term_ticket*in_life_term_comm*in_ins_partner_share+F1448*in_life_term_ticket*in_life_term_renew_comm*in_ins_partner_share*(in_life_term_renew^1*SUMIFS(AL1426:AL1453,B1426:B1453,B1448-12)+in_life_term_renew^2*SUMIFS(AL1426:AL1453,B1426:B1453,B1448-24)+in_life_term_renew^3*SUMIFS(AL1426:AL1453,B1426:B1453,B1448-36)+in_life_term_renew^4*SUMIFS(AL1426:AL1453,B1426:B1453,B1448-48))</f>
        <v/>
      </c>
      <c r="AN1448" s="40">
        <f>AN1447*(1-IF(B1447&gt;=in_marketplace_from,d_hz_accident*G1447,0))</f>
        <v/>
      </c>
      <c r="AO1448" s="46">
        <f>AN1448*IF(B1448&gt;=in_marketplace_from,d_hz_accident*G1448,0)</f>
        <v/>
      </c>
      <c r="AP1448" s="14">
        <f>F1448*AO1448*in_accident_ticket*in_accident_comm*in_ins_partner_share+F1448*in_accident_ticket*in_accident_renew_comm*in_ins_partner_share*(in_accident_renew^1*SUMIFS(AO1426:AO1453,B1426:B1453,B1448-12)+in_accident_renew^2*SUMIFS(AO1426:AO1453,B1426:B1453,B1448-24)+in_accident_renew^3*SUMIFS(AO1426:AO1453,B1426:B1453,B1448-36)+in_accident_renew^4*SUMIFS(AO1426:AO1453,B1426:B1453,B1448-48))</f>
        <v/>
      </c>
      <c r="AQ1448" s="40">
        <f>AQ1447*(1-IF(B1447&gt;=in_marketplace_from,d_hz_two_wheeler*G1447,0))</f>
        <v/>
      </c>
      <c r="AR1448" s="46">
        <f>AQ1448*IF(B1448&gt;=in_marketplace_from,d_hz_two_wheeler*G1448,0)</f>
        <v/>
      </c>
      <c r="AS1448" s="14">
        <f>F1448*AR1448*in_two_wheeler_ticket*in_two_wheeler_comm*in_ins_partner_share+F1448*in_two_wheeler_ticket*in_two_wheeler_comm*in_ins_partner_share*(in_two_wheeler_renew^1*SUMIFS(AR1426:AR1453,B1426:B1453,B1448-12)+in_two_wheeler_renew^2*SUMIFS(AR1426:AR1453,B1426:B1453,B1448-24)+in_two_wheeler_renew^3*SUMIFS(AR1426:AR1453,B1426:B1453,B1448-36)+in_two_wheeler_renew^4*SUMIFS(AR1426:AR1453,B1426:B1453,B1448-48))</f>
        <v/>
      </c>
      <c r="AT1448" s="40">
        <f>AT1447*(1-IF(B1447&gt;=in_marketplace_from,d_hz_device*G1447,0))</f>
        <v/>
      </c>
      <c r="AU1448" s="14">
        <f>F1448*AT1448*IF(B1448&gt;=in_marketplace_from,d_hz_device*G1448,0)*in_device_ticket*in_device_comm*in_ins_partner_share</f>
        <v/>
      </c>
      <c r="AV1448" s="40">
        <f>AV1447*(1-IF(B1447&gt;=in_marketplace_from,d_hz_shop*G1447,0))</f>
        <v/>
      </c>
      <c r="AW1448" s="46">
        <f>AV1448*IF(B1448&gt;=in_marketplace_from,d_hz_shop*G1448,0)</f>
        <v/>
      </c>
      <c r="AX1448" s="14">
        <f>F1448*AW1448*in_shop_ticket*in_shop_comm*in_ins_partner_share+F1448*in_shop_ticket*in_shop_renew_comm*in_ins_partner_share*(in_shop_renew^1*SUMIFS(AW1426:AW1453,B1426:B1453,B1448-12)+in_shop_renew^2*SUMIFS(AW1426:AW1453,B1426:B1453,B1448-24)+in_shop_renew^3*SUMIFS(AW1426:AW1453,B1426:B1453,B1448-36)+in_shop_renew^4*SUMIFS(AW1426:AW1453,B1426:B1453,B1448-48))</f>
        <v/>
      </c>
      <c r="AY1448" s="40">
        <f>AY1447*(1-IF(B1447&gt;=in_marketplace_from,d_hz_sip*G1447,0))</f>
        <v/>
      </c>
      <c r="AZ1448" s="40">
        <f>AZ1447*d_rho_sip+AY1448*IF(B1448&gt;=in_marketplace_from,d_hz_sip*G1448,0)</f>
        <v/>
      </c>
      <c r="BA1448" s="40">
        <f>d_rho_sip*(BA1447+AZ1447)</f>
        <v/>
      </c>
      <c r="BB1448" s="14">
        <f>F1448*in_sip_ticket*(BA1448+0.5*AZ1448)*in_sip_comm/12</f>
        <v/>
      </c>
      <c r="BC1448" s="40">
        <f>BC1447*(1-IF(B1447&gt;=in_marketplace_from,d_hz_choti*G1447,0))</f>
        <v/>
      </c>
      <c r="BD1448" s="46">
        <f>BC1448*IF(B1448&gt;=in_marketplace_from,d_hz_choti*G1448,0)</f>
        <v/>
      </c>
      <c r="BE1448" s="14">
        <f>F1448*SUMIFS(BD1426:BD1453,B1426:B1453,B1448-in_choti_months)*in_choti_renew*in_choti_ticket</f>
        <v/>
      </c>
      <c r="BF1448" s="40">
        <f>BF1447*(1-IF(B1447&gt;=in_marketplace_from,d_hz_nps*G1447,0))</f>
        <v/>
      </c>
      <c r="BG1448" s="14">
        <f>F1448*BF1448*IF(B1448&gt;=in_marketplace_from,d_hz_nps*G1448,0)*in_nps_ticket*in_nps_comm</f>
        <v/>
      </c>
      <c r="BH1448" s="40">
        <f>BH1447*(1-IF(B1447&gt;=in_marketplace_from,d_hz_gold*G1447,0))</f>
        <v/>
      </c>
      <c r="BI1448" s="40">
        <f>BI1447*d_rho_gold+BH1448*IF(B1448&gt;=in_marketplace_from,d_hz_gold*G1448,0)</f>
        <v/>
      </c>
      <c r="BJ1448" s="14">
        <f>F1448*BI1448*in_gold_ticket*in_gold_comm</f>
        <v/>
      </c>
      <c r="BK1448" s="40">
        <f>BK1447*(1-IF(B1447&gt;=in_marketplace_from,d_hz_fd*G1447,0))</f>
        <v/>
      </c>
      <c r="BL1448" s="14">
        <f>F1448*BK1448*IF(B1448&gt;=in_marketplace_from,d_hz_fd*G1448,0)*in_fd_ticket*in_fd_comm</f>
        <v/>
      </c>
      <c r="BM1448" s="40">
        <f>BM1447*(1-IF(B1447&gt;=in_marketplace_from,d_hz_recharge*G1447,0))</f>
        <v/>
      </c>
      <c r="BN1448" s="40">
        <f>BN1447*d_rho_recharge+BM1448*IF(B1448&gt;=in_marketplace_from,d_hz_recharge*G1448,0)</f>
        <v/>
      </c>
      <c r="BO1448" s="14">
        <f>F1448*BN1448*in_recharge_ticket*in_recharge_comm/12</f>
        <v/>
      </c>
      <c r="BP1448" s="40">
        <f>BP1447*(1-IF(B1447&gt;=in_marketplace_from,d_hz_bills*G1447,0))</f>
        <v/>
      </c>
      <c r="BQ1448" s="40">
        <f>BQ1447*d_rho_bills+BP1448*IF(B1448&gt;=in_marketplace_from,d_hz_bills*G1448,0)</f>
        <v/>
      </c>
      <c r="BR1448" s="14">
        <f>F1448*BQ1448*in_bills_ticket*in_bills_comm/12</f>
        <v/>
      </c>
      <c r="BS1448" s="40">
        <f>BS1447*(1-IF(B1447&gt;=in_marketplace_from,d_hz_loan_gold*G1447,0))</f>
        <v/>
      </c>
      <c r="BT1448" s="14">
        <f>F1448*BS1448*IF(B1448&gt;=in_marketplace_from,d_hz_loan_gold*G1448,0)*in_loan_gold_ticket*in_loan_gold_comm</f>
        <v/>
      </c>
      <c r="BU1448" s="40">
        <f>BU1447*(1-IF(B1447&gt;=in_marketplace_from,d_hz_loan_cd*G1447,0))</f>
        <v/>
      </c>
      <c r="BV1448" s="14">
        <f>F1448*BU1448*IF(B1448&gt;=in_marketplace_from,d_hz_loan_cd*G1448,0)*in_loan_cd_ticket*in_loan_cd_comm</f>
        <v/>
      </c>
      <c r="BW1448" s="40">
        <f>BW1447*(1-IF(B1447&gt;=in_marketplace_from,d_hz_loan_vehicle*G1447,0))</f>
        <v/>
      </c>
      <c r="BX1448" s="14">
        <f>F1448*BW1448*IF(B1448&gt;=in_marketplace_from,d_hz_loan_vehicle*G1448,0)*in_loan_vehicle_ticket*in_loan_vehicle_comm</f>
        <v/>
      </c>
      <c r="BY1448" s="40">
        <f>BY1447*(1-IF(B1447&gt;=in_marketplace_from,d_hz_loan_home*G1447,0)*BZ1447)</f>
        <v/>
      </c>
      <c r="BZ1448" s="11">
        <f>MIN(in_approval_cap,in_loan_home_approval*INDEX('Age profile'!$O$2:$O$61,B1448)*(1+in_approval_growth)^(D1448-1))</f>
        <v/>
      </c>
      <c r="CA1448" s="14">
        <f>F1448*BY1448*IF(B1448&gt;=in_marketplace_from,d_hz_loan_home*G1448,0)*BZ1448*in_loan_home_ticket*in_loan_home_comm</f>
        <v/>
      </c>
      <c r="CB1448" s="40">
        <f>CB1447*(1-IF(B1447&gt;=in_marketplace_from,d_hz_loan_lap*G1447,0)*CC1447)</f>
        <v/>
      </c>
      <c r="CC1448" s="11">
        <f>MIN(in_approval_cap,in_loan_lap_approval*INDEX('Age profile'!$O$2:$O$61,B1448)*(1+in_approval_growth)^(D1448-1))</f>
        <v/>
      </c>
      <c r="CD1448" s="14">
        <f>F1448*CB1448*IF(B1448&gt;=in_marketplace_from,d_hz_loan_lap*G1448,0)*CC1448*in_loan_lap_ticket*in_loan_lap_comm</f>
        <v/>
      </c>
      <c r="CE1448" s="14">
        <f>AA1448+AB1448+AC1448+AD1448+AG1448+AJ1448+AM1448+AP1448+AS1448+AU1448+AX1448+BB1448+BE1448+BG1448+BJ1448+BL1448+BO1448+BR1448+BT1448+BV1448+BX1448+CA1448+CD1448</f>
        <v/>
      </c>
    </row>
    <row r="1449">
      <c r="A1449" s="39" t="n">
        <v>33</v>
      </c>
      <c r="B1449" s="39" t="n">
        <v>24</v>
      </c>
      <c r="C1449" s="39">
        <f>A1449+B1449-1</f>
        <v/>
      </c>
      <c r="D1449" s="39">
        <f>INT((C1449-1)/12)+1</f>
        <v/>
      </c>
      <c r="E1449" s="44">
        <f>INDEX(Monthly!$B$2:$B$61,A1449)</f>
        <v/>
      </c>
      <c r="F1449" s="44">
        <f>E1449*INDEX('Age profile'!$B$2:$B$61,B1449)</f>
        <v/>
      </c>
      <c r="G1449" s="45">
        <f>MIN(in_takeup_cap,INDEX('Age profile'!$N$2:$N$61,B1449)*(1+in_takeup_growth)^(D1449-1))</f>
        <v/>
      </c>
      <c r="H1449" s="11">
        <f>MIN(in_approval_cap,in_approved_first*INDEX('Age profile'!$O$2:$O$61,B1449)*(1+in_approval_growth)^(D1449-1))</f>
        <v/>
      </c>
      <c r="I1449" s="45">
        <f>G1449*MIN(in_takeup_cap,INDEX('Age profile'!$O$2:$O$61,B1449)*(1+in_approval_growth)^(D1449-1))</f>
        <v/>
      </c>
      <c r="J1449" s="40">
        <f>(J1448-L1448)*F1449/F1448</f>
        <v/>
      </c>
      <c r="K1449" s="40">
        <f>(K1448-M1448)*F1449/F1448+SUMIFS(O1426:O1448,B1426:B1448,B1449-1-d_T)*F1449</f>
        <v/>
      </c>
      <c r="L1449" s="40">
        <f>IF(B1449&gt;=in_marketplace_from,J1449*d_hz*G1449*in_eligible*H1449,0)</f>
        <v/>
      </c>
      <c r="M1449" s="40">
        <f>IF(B1449&gt;=in_marketplace_from,K1449*d_hz*G1449*in_eligible*in_approved_repeat,0)</f>
        <v/>
      </c>
      <c r="N1449" s="40">
        <f>L1449+M1449</f>
        <v/>
      </c>
      <c r="O1449" s="46">
        <f>N1449/F1449</f>
        <v/>
      </c>
      <c r="P1449" s="40">
        <f>F1449-J1449-K1449</f>
        <v/>
      </c>
      <c r="Q1449" s="40">
        <f>IF(B1449&gt;=in_marketplace_from,(J1449+K1449)*d_hz*G1449,0)</f>
        <v/>
      </c>
      <c r="R1449" s="40">
        <f>SUMIFS(N1426:N1453,B1426:B1453,"&gt;="&amp;(B1449-d_T),B1426:B1453,"&lt;="&amp;(B1449-1))</f>
        <v/>
      </c>
      <c r="S1449" s="46">
        <f>(1-d_u)*S1448+IF(d_T&gt;in_topup_lag,SUMIFS(O1426:O1453,B1426:B1453,B1449-in_topup_lag)-d_udrop*SUMIFS(O1426:O1453,B1426:B1453,B1449-d_T),0)</f>
        <v/>
      </c>
      <c r="T1449" s="40">
        <f>F1449*d_u*S1449</f>
        <v/>
      </c>
      <c r="U1449" s="9">
        <f>L1449*in_ticket+M1449*d_rep_ticket</f>
        <v/>
      </c>
      <c r="V1449" s="9">
        <f>U1449+T1449*d_topup_amt</f>
        <v/>
      </c>
      <c r="W1449" s="40">
        <f>N1449+T1449*d_topup_ratio</f>
        <v/>
      </c>
      <c r="X1449" s="40">
        <f>SUMIFS(W1426:W1453,B1426:B1453,B1449-in_dpd_lag)*d_cured</f>
        <v/>
      </c>
      <c r="Y1449" s="40">
        <f>SUMIFS(W1426:W1453,B1426:B1453,B1449-in_rec_lag)*d_recd</f>
        <v/>
      </c>
      <c r="Z1449" s="40">
        <f>IF(AND(B1449&gt;=in_marketplace_from,B1449&lt;in_marketplace_from+in_card_months),in_card_share/in_card_months*F1449*I1449,IF(AND(B1449&gt;=in_marketplace_from+in_card_months,B1449&lt;in_marketplace_from+2*in_card_months),in_card_share*d_card_rem/in_card_months*F1449*MIN(in_takeup_cap,(1+in_takeup_growth)^(D1449-1))*MIN(in_takeup_cap,(1+in_approval_growth)^(D1449-1)),0))</f>
        <v/>
      </c>
      <c r="AA1449" s="14">
        <f>V1449*in_fee*(1-in_taken_back)</f>
        <v/>
      </c>
      <c r="AB1449" s="14">
        <f>SUMIFS(W1426:W1453,B1426:B1453,B1449-in_dpd_lag)*d_dpd</f>
        <v/>
      </c>
      <c r="AC1449" s="14">
        <f>SUMIFS(W1426:W1453,B1426:B1453,B1449-in_rec_lag)*d_rec</f>
        <v/>
      </c>
      <c r="AD1449" s="14">
        <f>Z1449*in_card_fee</f>
        <v/>
      </c>
      <c r="AE1449" s="40">
        <f>AE1448*(1-IF(B1448&gt;=in_marketplace_from,d_hz_hlth_small*G1448,0))</f>
        <v/>
      </c>
      <c r="AF1449" s="46">
        <f>AE1449*IF(B1449&gt;=in_marketplace_from,d_hz_hlth_small*G1449,0)</f>
        <v/>
      </c>
      <c r="AG1449" s="14">
        <f>F1449*AF1449*in_hlth_small_ticket*in_hlth_small_comm*in_ins_partner_share+F1449*in_hlth_small_ticket*in_hlth_small_renew_comm*in_ins_partner_share*(in_hlth_small_renew^1*SUMIFS(AF1426:AF1453,B1426:B1453,B1449-12)+in_hlth_small_renew^2*SUMIFS(AF1426:AF1453,B1426:B1453,B1449-24)+in_hlth_small_renew^3*SUMIFS(AF1426:AF1453,B1426:B1453,B1449-36)+in_hlth_small_renew^4*SUMIFS(AF1426:AF1453,B1426:B1453,B1449-48))</f>
        <v/>
      </c>
      <c r="AH1449" s="40">
        <f>AH1448*(1-IF(B1448&gt;=in_marketplace_from,d_hz_hlth_family*G1448,0))</f>
        <v/>
      </c>
      <c r="AI1449" s="46">
        <f>AH1449*IF(B1449&gt;=in_marketplace_from,d_hz_hlth_family*G1449,0)</f>
        <v/>
      </c>
      <c r="AJ1449" s="14">
        <f>F1449*AI1449*in_hlth_family_ticket*in_hlth_family_comm*in_ins_partner_share+F1449*in_hlth_family_ticket*in_hlth_family_renew_comm*in_ins_partner_share*(in_hlth_family_renew^1*SUMIFS(AI1426:AI1453,B1426:B1453,B1449-12)+in_hlth_family_renew^2*SUMIFS(AI1426:AI1453,B1426:B1453,B1449-24)+in_hlth_family_renew^3*SUMIFS(AI1426:AI1453,B1426:B1453,B1449-36)+in_hlth_family_renew^4*SUMIFS(AI1426:AI1453,B1426:B1453,B1449-48))</f>
        <v/>
      </c>
      <c r="AK1449" s="40">
        <f>AK1448*(1-IF(B1448&gt;=in_marketplace_from,d_hz_life_term*G1448,0))</f>
        <v/>
      </c>
      <c r="AL1449" s="46">
        <f>AK1449*IF(B1449&gt;=in_marketplace_from,d_hz_life_term*G1449,0)</f>
        <v/>
      </c>
      <c r="AM1449" s="14">
        <f>F1449*AL1449*in_life_term_ticket*in_life_term_comm*in_ins_partner_share+F1449*in_life_term_ticket*in_life_term_renew_comm*in_ins_partner_share*(in_life_term_renew^1*SUMIFS(AL1426:AL1453,B1426:B1453,B1449-12)+in_life_term_renew^2*SUMIFS(AL1426:AL1453,B1426:B1453,B1449-24)+in_life_term_renew^3*SUMIFS(AL1426:AL1453,B1426:B1453,B1449-36)+in_life_term_renew^4*SUMIFS(AL1426:AL1453,B1426:B1453,B1449-48))</f>
        <v/>
      </c>
      <c r="AN1449" s="40">
        <f>AN1448*(1-IF(B1448&gt;=in_marketplace_from,d_hz_accident*G1448,0))</f>
        <v/>
      </c>
      <c r="AO1449" s="46">
        <f>AN1449*IF(B1449&gt;=in_marketplace_from,d_hz_accident*G1449,0)</f>
        <v/>
      </c>
      <c r="AP1449" s="14">
        <f>F1449*AO1449*in_accident_ticket*in_accident_comm*in_ins_partner_share+F1449*in_accident_ticket*in_accident_renew_comm*in_ins_partner_share*(in_accident_renew^1*SUMIFS(AO1426:AO1453,B1426:B1453,B1449-12)+in_accident_renew^2*SUMIFS(AO1426:AO1453,B1426:B1453,B1449-24)+in_accident_renew^3*SUMIFS(AO1426:AO1453,B1426:B1453,B1449-36)+in_accident_renew^4*SUMIFS(AO1426:AO1453,B1426:B1453,B1449-48))</f>
        <v/>
      </c>
      <c r="AQ1449" s="40">
        <f>AQ1448*(1-IF(B1448&gt;=in_marketplace_from,d_hz_two_wheeler*G1448,0))</f>
        <v/>
      </c>
      <c r="AR1449" s="46">
        <f>AQ1449*IF(B1449&gt;=in_marketplace_from,d_hz_two_wheeler*G1449,0)</f>
        <v/>
      </c>
      <c r="AS1449" s="14">
        <f>F1449*AR1449*in_two_wheeler_ticket*in_two_wheeler_comm*in_ins_partner_share+F1449*in_two_wheeler_ticket*in_two_wheeler_comm*in_ins_partner_share*(in_two_wheeler_renew^1*SUMIFS(AR1426:AR1453,B1426:B1453,B1449-12)+in_two_wheeler_renew^2*SUMIFS(AR1426:AR1453,B1426:B1453,B1449-24)+in_two_wheeler_renew^3*SUMIFS(AR1426:AR1453,B1426:B1453,B1449-36)+in_two_wheeler_renew^4*SUMIFS(AR1426:AR1453,B1426:B1453,B1449-48))</f>
        <v/>
      </c>
      <c r="AT1449" s="40">
        <f>AT1448*(1-IF(B1448&gt;=in_marketplace_from,d_hz_device*G1448,0))</f>
        <v/>
      </c>
      <c r="AU1449" s="14">
        <f>F1449*AT1449*IF(B1449&gt;=in_marketplace_from,d_hz_device*G1449,0)*in_device_ticket*in_device_comm*in_ins_partner_share</f>
        <v/>
      </c>
      <c r="AV1449" s="40">
        <f>AV1448*(1-IF(B1448&gt;=in_marketplace_from,d_hz_shop*G1448,0))</f>
        <v/>
      </c>
      <c r="AW1449" s="46">
        <f>AV1449*IF(B1449&gt;=in_marketplace_from,d_hz_shop*G1449,0)</f>
        <v/>
      </c>
      <c r="AX1449" s="14">
        <f>F1449*AW1449*in_shop_ticket*in_shop_comm*in_ins_partner_share+F1449*in_shop_ticket*in_shop_renew_comm*in_ins_partner_share*(in_shop_renew^1*SUMIFS(AW1426:AW1453,B1426:B1453,B1449-12)+in_shop_renew^2*SUMIFS(AW1426:AW1453,B1426:B1453,B1449-24)+in_shop_renew^3*SUMIFS(AW1426:AW1453,B1426:B1453,B1449-36)+in_shop_renew^4*SUMIFS(AW1426:AW1453,B1426:B1453,B1449-48))</f>
        <v/>
      </c>
      <c r="AY1449" s="40">
        <f>AY1448*(1-IF(B1448&gt;=in_marketplace_from,d_hz_sip*G1448,0))</f>
        <v/>
      </c>
      <c r="AZ1449" s="40">
        <f>AZ1448*d_rho_sip+AY1449*IF(B1449&gt;=in_marketplace_from,d_hz_sip*G1449,0)</f>
        <v/>
      </c>
      <c r="BA1449" s="40">
        <f>d_rho_sip*(BA1448+AZ1448)</f>
        <v/>
      </c>
      <c r="BB1449" s="14">
        <f>F1449*in_sip_ticket*(BA1449+0.5*AZ1449)*in_sip_comm/12</f>
        <v/>
      </c>
      <c r="BC1449" s="40">
        <f>BC1448*(1-IF(B1448&gt;=in_marketplace_from,d_hz_choti*G1448,0))</f>
        <v/>
      </c>
      <c r="BD1449" s="46">
        <f>BC1449*IF(B1449&gt;=in_marketplace_from,d_hz_choti*G1449,0)</f>
        <v/>
      </c>
      <c r="BE1449" s="14">
        <f>F1449*SUMIFS(BD1426:BD1453,B1426:B1453,B1449-in_choti_months)*in_choti_renew*in_choti_ticket</f>
        <v/>
      </c>
      <c r="BF1449" s="40">
        <f>BF1448*(1-IF(B1448&gt;=in_marketplace_from,d_hz_nps*G1448,0))</f>
        <v/>
      </c>
      <c r="BG1449" s="14">
        <f>F1449*BF1449*IF(B1449&gt;=in_marketplace_from,d_hz_nps*G1449,0)*in_nps_ticket*in_nps_comm</f>
        <v/>
      </c>
      <c r="BH1449" s="40">
        <f>BH1448*(1-IF(B1448&gt;=in_marketplace_from,d_hz_gold*G1448,0))</f>
        <v/>
      </c>
      <c r="BI1449" s="40">
        <f>BI1448*d_rho_gold+BH1449*IF(B1449&gt;=in_marketplace_from,d_hz_gold*G1449,0)</f>
        <v/>
      </c>
      <c r="BJ1449" s="14">
        <f>F1449*BI1449*in_gold_ticket*in_gold_comm</f>
        <v/>
      </c>
      <c r="BK1449" s="40">
        <f>BK1448*(1-IF(B1448&gt;=in_marketplace_from,d_hz_fd*G1448,0))</f>
        <v/>
      </c>
      <c r="BL1449" s="14">
        <f>F1449*BK1449*IF(B1449&gt;=in_marketplace_from,d_hz_fd*G1449,0)*in_fd_ticket*in_fd_comm</f>
        <v/>
      </c>
      <c r="BM1449" s="40">
        <f>BM1448*(1-IF(B1448&gt;=in_marketplace_from,d_hz_recharge*G1448,0))</f>
        <v/>
      </c>
      <c r="BN1449" s="40">
        <f>BN1448*d_rho_recharge+BM1449*IF(B1449&gt;=in_marketplace_from,d_hz_recharge*G1449,0)</f>
        <v/>
      </c>
      <c r="BO1449" s="14">
        <f>F1449*BN1449*in_recharge_ticket*in_recharge_comm/12</f>
        <v/>
      </c>
      <c r="BP1449" s="40">
        <f>BP1448*(1-IF(B1448&gt;=in_marketplace_from,d_hz_bills*G1448,0))</f>
        <v/>
      </c>
      <c r="BQ1449" s="40">
        <f>BQ1448*d_rho_bills+BP1449*IF(B1449&gt;=in_marketplace_from,d_hz_bills*G1449,0)</f>
        <v/>
      </c>
      <c r="BR1449" s="14">
        <f>F1449*BQ1449*in_bills_ticket*in_bills_comm/12</f>
        <v/>
      </c>
      <c r="BS1449" s="40">
        <f>BS1448*(1-IF(B1448&gt;=in_marketplace_from,d_hz_loan_gold*G1448,0))</f>
        <v/>
      </c>
      <c r="BT1449" s="14">
        <f>F1449*BS1449*IF(B1449&gt;=in_marketplace_from,d_hz_loan_gold*G1449,0)*in_loan_gold_ticket*in_loan_gold_comm</f>
        <v/>
      </c>
      <c r="BU1449" s="40">
        <f>BU1448*(1-IF(B1448&gt;=in_marketplace_from,d_hz_loan_cd*G1448,0))</f>
        <v/>
      </c>
      <c r="BV1449" s="14">
        <f>F1449*BU1449*IF(B1449&gt;=in_marketplace_from,d_hz_loan_cd*G1449,0)*in_loan_cd_ticket*in_loan_cd_comm</f>
        <v/>
      </c>
      <c r="BW1449" s="40">
        <f>BW1448*(1-IF(B1448&gt;=in_marketplace_from,d_hz_loan_vehicle*G1448,0))</f>
        <v/>
      </c>
      <c r="BX1449" s="14">
        <f>F1449*BW1449*IF(B1449&gt;=in_marketplace_from,d_hz_loan_vehicle*G1449,0)*in_loan_vehicle_ticket*in_loan_vehicle_comm</f>
        <v/>
      </c>
      <c r="BY1449" s="40">
        <f>BY1448*(1-IF(B1448&gt;=in_marketplace_from,d_hz_loan_home*G1448,0)*BZ1448)</f>
        <v/>
      </c>
      <c r="BZ1449" s="11">
        <f>MIN(in_approval_cap,in_loan_home_approval*INDEX('Age profile'!$O$2:$O$61,B1449)*(1+in_approval_growth)^(D1449-1))</f>
        <v/>
      </c>
      <c r="CA1449" s="14">
        <f>F1449*BY1449*IF(B1449&gt;=in_marketplace_from,d_hz_loan_home*G1449,0)*BZ1449*in_loan_home_ticket*in_loan_home_comm</f>
        <v/>
      </c>
      <c r="CB1449" s="40">
        <f>CB1448*(1-IF(B1448&gt;=in_marketplace_from,d_hz_loan_lap*G1448,0)*CC1448)</f>
        <v/>
      </c>
      <c r="CC1449" s="11">
        <f>MIN(in_approval_cap,in_loan_lap_approval*INDEX('Age profile'!$O$2:$O$61,B1449)*(1+in_approval_growth)^(D1449-1))</f>
        <v/>
      </c>
      <c r="CD1449" s="14">
        <f>F1449*CB1449*IF(B1449&gt;=in_marketplace_from,d_hz_loan_lap*G1449,0)*CC1449*in_loan_lap_ticket*in_loan_lap_comm</f>
        <v/>
      </c>
      <c r="CE1449" s="14">
        <f>AA1449+AB1449+AC1449+AD1449+AG1449+AJ1449+AM1449+AP1449+AS1449+AU1449+AX1449+BB1449+BE1449+BG1449+BJ1449+BL1449+BO1449+BR1449+BT1449+BV1449+BX1449+CA1449+CD1449</f>
        <v/>
      </c>
    </row>
    <row r="1450">
      <c r="A1450" s="39" t="n">
        <v>33</v>
      </c>
      <c r="B1450" s="39" t="n">
        <v>25</v>
      </c>
      <c r="C1450" s="39">
        <f>A1450+B1450-1</f>
        <v/>
      </c>
      <c r="D1450" s="39">
        <f>INT((C1450-1)/12)+1</f>
        <v/>
      </c>
      <c r="E1450" s="44">
        <f>INDEX(Monthly!$B$2:$B$61,A1450)</f>
        <v/>
      </c>
      <c r="F1450" s="44">
        <f>E1450*INDEX('Age profile'!$B$2:$B$61,B1450)</f>
        <v/>
      </c>
      <c r="G1450" s="45">
        <f>MIN(in_takeup_cap,INDEX('Age profile'!$N$2:$N$61,B1450)*(1+in_takeup_growth)^(D1450-1))</f>
        <v/>
      </c>
      <c r="H1450" s="11">
        <f>MIN(in_approval_cap,in_approved_first*INDEX('Age profile'!$O$2:$O$61,B1450)*(1+in_approval_growth)^(D1450-1))</f>
        <v/>
      </c>
      <c r="I1450" s="45">
        <f>G1450*MIN(in_takeup_cap,INDEX('Age profile'!$O$2:$O$61,B1450)*(1+in_approval_growth)^(D1450-1))</f>
        <v/>
      </c>
      <c r="J1450" s="40">
        <f>(J1449-L1449)*F1450/F1449</f>
        <v/>
      </c>
      <c r="K1450" s="40">
        <f>(K1449-M1449)*F1450/F1449+SUMIFS(O1426:O1449,B1426:B1449,B1450-1-d_T)*F1450</f>
        <v/>
      </c>
      <c r="L1450" s="40">
        <f>IF(B1450&gt;=in_marketplace_from,J1450*d_hz*G1450*in_eligible*H1450,0)</f>
        <v/>
      </c>
      <c r="M1450" s="40">
        <f>IF(B1450&gt;=in_marketplace_from,K1450*d_hz*G1450*in_eligible*in_approved_repeat,0)</f>
        <v/>
      </c>
      <c r="N1450" s="40">
        <f>L1450+M1450</f>
        <v/>
      </c>
      <c r="O1450" s="46">
        <f>N1450/F1450</f>
        <v/>
      </c>
      <c r="P1450" s="40">
        <f>F1450-J1450-K1450</f>
        <v/>
      </c>
      <c r="Q1450" s="40">
        <f>IF(B1450&gt;=in_marketplace_from,(J1450+K1450)*d_hz*G1450,0)</f>
        <v/>
      </c>
      <c r="R1450" s="40">
        <f>SUMIFS(N1426:N1453,B1426:B1453,"&gt;="&amp;(B1450-d_T),B1426:B1453,"&lt;="&amp;(B1450-1))</f>
        <v/>
      </c>
      <c r="S1450" s="46">
        <f>(1-d_u)*S1449+IF(d_T&gt;in_topup_lag,SUMIFS(O1426:O1453,B1426:B1453,B1450-in_topup_lag)-d_udrop*SUMIFS(O1426:O1453,B1426:B1453,B1450-d_T),0)</f>
        <v/>
      </c>
      <c r="T1450" s="40">
        <f>F1450*d_u*S1450</f>
        <v/>
      </c>
      <c r="U1450" s="9">
        <f>L1450*in_ticket+M1450*d_rep_ticket</f>
        <v/>
      </c>
      <c r="V1450" s="9">
        <f>U1450+T1450*d_topup_amt</f>
        <v/>
      </c>
      <c r="W1450" s="40">
        <f>N1450+T1450*d_topup_ratio</f>
        <v/>
      </c>
      <c r="X1450" s="40">
        <f>SUMIFS(W1426:W1453,B1426:B1453,B1450-in_dpd_lag)*d_cured</f>
        <v/>
      </c>
      <c r="Y1450" s="40">
        <f>SUMIFS(W1426:W1453,B1426:B1453,B1450-in_rec_lag)*d_recd</f>
        <v/>
      </c>
      <c r="Z1450" s="40">
        <f>IF(AND(B1450&gt;=in_marketplace_from,B1450&lt;in_marketplace_from+in_card_months),in_card_share/in_card_months*F1450*I1450,IF(AND(B1450&gt;=in_marketplace_from+in_card_months,B1450&lt;in_marketplace_from+2*in_card_months),in_card_share*d_card_rem/in_card_months*F1450*MIN(in_takeup_cap,(1+in_takeup_growth)^(D1450-1))*MIN(in_takeup_cap,(1+in_approval_growth)^(D1450-1)),0))</f>
        <v/>
      </c>
      <c r="AA1450" s="14">
        <f>V1450*in_fee*(1-in_taken_back)</f>
        <v/>
      </c>
      <c r="AB1450" s="14">
        <f>SUMIFS(W1426:W1453,B1426:B1453,B1450-in_dpd_lag)*d_dpd</f>
        <v/>
      </c>
      <c r="AC1450" s="14">
        <f>SUMIFS(W1426:W1453,B1426:B1453,B1450-in_rec_lag)*d_rec</f>
        <v/>
      </c>
      <c r="AD1450" s="14">
        <f>Z1450*in_card_fee</f>
        <v/>
      </c>
      <c r="AE1450" s="40">
        <f>AE1449*(1-IF(B1449&gt;=in_marketplace_from,d_hz_hlth_small*G1449,0))</f>
        <v/>
      </c>
      <c r="AF1450" s="46">
        <f>AE1450*IF(B1450&gt;=in_marketplace_from,d_hz_hlth_small*G1450,0)</f>
        <v/>
      </c>
      <c r="AG1450" s="14">
        <f>F1450*AF1450*in_hlth_small_ticket*in_hlth_small_comm*in_ins_partner_share+F1450*in_hlth_small_ticket*in_hlth_small_renew_comm*in_ins_partner_share*(in_hlth_small_renew^1*SUMIFS(AF1426:AF1453,B1426:B1453,B1450-12)+in_hlth_small_renew^2*SUMIFS(AF1426:AF1453,B1426:B1453,B1450-24)+in_hlth_small_renew^3*SUMIFS(AF1426:AF1453,B1426:B1453,B1450-36)+in_hlth_small_renew^4*SUMIFS(AF1426:AF1453,B1426:B1453,B1450-48))</f>
        <v/>
      </c>
      <c r="AH1450" s="40">
        <f>AH1449*(1-IF(B1449&gt;=in_marketplace_from,d_hz_hlth_family*G1449,0))</f>
        <v/>
      </c>
      <c r="AI1450" s="46">
        <f>AH1450*IF(B1450&gt;=in_marketplace_from,d_hz_hlth_family*G1450,0)</f>
        <v/>
      </c>
      <c r="AJ1450" s="14">
        <f>F1450*AI1450*in_hlth_family_ticket*in_hlth_family_comm*in_ins_partner_share+F1450*in_hlth_family_ticket*in_hlth_family_renew_comm*in_ins_partner_share*(in_hlth_family_renew^1*SUMIFS(AI1426:AI1453,B1426:B1453,B1450-12)+in_hlth_family_renew^2*SUMIFS(AI1426:AI1453,B1426:B1453,B1450-24)+in_hlth_family_renew^3*SUMIFS(AI1426:AI1453,B1426:B1453,B1450-36)+in_hlth_family_renew^4*SUMIFS(AI1426:AI1453,B1426:B1453,B1450-48))</f>
        <v/>
      </c>
      <c r="AK1450" s="40">
        <f>AK1449*(1-IF(B1449&gt;=in_marketplace_from,d_hz_life_term*G1449,0))</f>
        <v/>
      </c>
      <c r="AL1450" s="46">
        <f>AK1450*IF(B1450&gt;=in_marketplace_from,d_hz_life_term*G1450,0)</f>
        <v/>
      </c>
      <c r="AM1450" s="14">
        <f>F1450*AL1450*in_life_term_ticket*in_life_term_comm*in_ins_partner_share+F1450*in_life_term_ticket*in_life_term_renew_comm*in_ins_partner_share*(in_life_term_renew^1*SUMIFS(AL1426:AL1453,B1426:B1453,B1450-12)+in_life_term_renew^2*SUMIFS(AL1426:AL1453,B1426:B1453,B1450-24)+in_life_term_renew^3*SUMIFS(AL1426:AL1453,B1426:B1453,B1450-36)+in_life_term_renew^4*SUMIFS(AL1426:AL1453,B1426:B1453,B1450-48))</f>
        <v/>
      </c>
      <c r="AN1450" s="40">
        <f>AN1449*(1-IF(B1449&gt;=in_marketplace_from,d_hz_accident*G1449,0))</f>
        <v/>
      </c>
      <c r="AO1450" s="46">
        <f>AN1450*IF(B1450&gt;=in_marketplace_from,d_hz_accident*G1450,0)</f>
        <v/>
      </c>
      <c r="AP1450" s="14">
        <f>F1450*AO1450*in_accident_ticket*in_accident_comm*in_ins_partner_share+F1450*in_accident_ticket*in_accident_renew_comm*in_ins_partner_share*(in_accident_renew^1*SUMIFS(AO1426:AO1453,B1426:B1453,B1450-12)+in_accident_renew^2*SUMIFS(AO1426:AO1453,B1426:B1453,B1450-24)+in_accident_renew^3*SUMIFS(AO1426:AO1453,B1426:B1453,B1450-36)+in_accident_renew^4*SUMIFS(AO1426:AO1453,B1426:B1453,B1450-48))</f>
        <v/>
      </c>
      <c r="AQ1450" s="40">
        <f>AQ1449*(1-IF(B1449&gt;=in_marketplace_from,d_hz_two_wheeler*G1449,0))</f>
        <v/>
      </c>
      <c r="AR1450" s="46">
        <f>AQ1450*IF(B1450&gt;=in_marketplace_from,d_hz_two_wheeler*G1450,0)</f>
        <v/>
      </c>
      <c r="AS1450" s="14">
        <f>F1450*AR1450*in_two_wheeler_ticket*in_two_wheeler_comm*in_ins_partner_share+F1450*in_two_wheeler_ticket*in_two_wheeler_comm*in_ins_partner_share*(in_two_wheeler_renew^1*SUMIFS(AR1426:AR1453,B1426:B1453,B1450-12)+in_two_wheeler_renew^2*SUMIFS(AR1426:AR1453,B1426:B1453,B1450-24)+in_two_wheeler_renew^3*SUMIFS(AR1426:AR1453,B1426:B1453,B1450-36)+in_two_wheeler_renew^4*SUMIFS(AR1426:AR1453,B1426:B1453,B1450-48))</f>
        <v/>
      </c>
      <c r="AT1450" s="40">
        <f>AT1449*(1-IF(B1449&gt;=in_marketplace_from,d_hz_device*G1449,0))</f>
        <v/>
      </c>
      <c r="AU1450" s="14">
        <f>F1450*AT1450*IF(B1450&gt;=in_marketplace_from,d_hz_device*G1450,0)*in_device_ticket*in_device_comm*in_ins_partner_share</f>
        <v/>
      </c>
      <c r="AV1450" s="40">
        <f>AV1449*(1-IF(B1449&gt;=in_marketplace_from,d_hz_shop*G1449,0))</f>
        <v/>
      </c>
      <c r="AW1450" s="46">
        <f>AV1450*IF(B1450&gt;=in_marketplace_from,d_hz_shop*G1450,0)</f>
        <v/>
      </c>
      <c r="AX1450" s="14">
        <f>F1450*AW1450*in_shop_ticket*in_shop_comm*in_ins_partner_share+F1450*in_shop_ticket*in_shop_renew_comm*in_ins_partner_share*(in_shop_renew^1*SUMIFS(AW1426:AW1453,B1426:B1453,B1450-12)+in_shop_renew^2*SUMIFS(AW1426:AW1453,B1426:B1453,B1450-24)+in_shop_renew^3*SUMIFS(AW1426:AW1453,B1426:B1453,B1450-36)+in_shop_renew^4*SUMIFS(AW1426:AW1453,B1426:B1453,B1450-48))</f>
        <v/>
      </c>
      <c r="AY1450" s="40">
        <f>AY1449*(1-IF(B1449&gt;=in_marketplace_from,d_hz_sip*G1449,0))</f>
        <v/>
      </c>
      <c r="AZ1450" s="40">
        <f>AZ1449*d_rho_sip+AY1450*IF(B1450&gt;=in_marketplace_from,d_hz_sip*G1450,0)</f>
        <v/>
      </c>
      <c r="BA1450" s="40">
        <f>d_rho_sip*(BA1449+AZ1449)</f>
        <v/>
      </c>
      <c r="BB1450" s="14">
        <f>F1450*in_sip_ticket*(BA1450+0.5*AZ1450)*in_sip_comm/12</f>
        <v/>
      </c>
      <c r="BC1450" s="40">
        <f>BC1449*(1-IF(B1449&gt;=in_marketplace_from,d_hz_choti*G1449,0))</f>
        <v/>
      </c>
      <c r="BD1450" s="46">
        <f>BC1450*IF(B1450&gt;=in_marketplace_from,d_hz_choti*G1450,0)</f>
        <v/>
      </c>
      <c r="BE1450" s="14">
        <f>F1450*SUMIFS(BD1426:BD1453,B1426:B1453,B1450-in_choti_months)*in_choti_renew*in_choti_ticket</f>
        <v/>
      </c>
      <c r="BF1450" s="40">
        <f>BF1449*(1-IF(B1449&gt;=in_marketplace_from,d_hz_nps*G1449,0))</f>
        <v/>
      </c>
      <c r="BG1450" s="14">
        <f>F1450*BF1450*IF(B1450&gt;=in_marketplace_from,d_hz_nps*G1450,0)*in_nps_ticket*in_nps_comm</f>
        <v/>
      </c>
      <c r="BH1450" s="40">
        <f>BH1449*(1-IF(B1449&gt;=in_marketplace_from,d_hz_gold*G1449,0))</f>
        <v/>
      </c>
      <c r="BI1450" s="40">
        <f>BI1449*d_rho_gold+BH1450*IF(B1450&gt;=in_marketplace_from,d_hz_gold*G1450,0)</f>
        <v/>
      </c>
      <c r="BJ1450" s="14">
        <f>F1450*BI1450*in_gold_ticket*in_gold_comm</f>
        <v/>
      </c>
      <c r="BK1450" s="40">
        <f>BK1449*(1-IF(B1449&gt;=in_marketplace_from,d_hz_fd*G1449,0))</f>
        <v/>
      </c>
      <c r="BL1450" s="14">
        <f>F1450*BK1450*IF(B1450&gt;=in_marketplace_from,d_hz_fd*G1450,0)*in_fd_ticket*in_fd_comm</f>
        <v/>
      </c>
      <c r="BM1450" s="40">
        <f>BM1449*(1-IF(B1449&gt;=in_marketplace_from,d_hz_recharge*G1449,0))</f>
        <v/>
      </c>
      <c r="BN1450" s="40">
        <f>BN1449*d_rho_recharge+BM1450*IF(B1450&gt;=in_marketplace_from,d_hz_recharge*G1450,0)</f>
        <v/>
      </c>
      <c r="BO1450" s="14">
        <f>F1450*BN1450*in_recharge_ticket*in_recharge_comm/12</f>
        <v/>
      </c>
      <c r="BP1450" s="40">
        <f>BP1449*(1-IF(B1449&gt;=in_marketplace_from,d_hz_bills*G1449,0))</f>
        <v/>
      </c>
      <c r="BQ1450" s="40">
        <f>BQ1449*d_rho_bills+BP1450*IF(B1450&gt;=in_marketplace_from,d_hz_bills*G1450,0)</f>
        <v/>
      </c>
      <c r="BR1450" s="14">
        <f>F1450*BQ1450*in_bills_ticket*in_bills_comm/12</f>
        <v/>
      </c>
      <c r="BS1450" s="40">
        <f>BS1449*(1-IF(B1449&gt;=in_marketplace_from,d_hz_loan_gold*G1449,0))</f>
        <v/>
      </c>
      <c r="BT1450" s="14">
        <f>F1450*BS1450*IF(B1450&gt;=in_marketplace_from,d_hz_loan_gold*G1450,0)*in_loan_gold_ticket*in_loan_gold_comm</f>
        <v/>
      </c>
      <c r="BU1450" s="40">
        <f>BU1449*(1-IF(B1449&gt;=in_marketplace_from,d_hz_loan_cd*G1449,0))</f>
        <v/>
      </c>
      <c r="BV1450" s="14">
        <f>F1450*BU1450*IF(B1450&gt;=in_marketplace_from,d_hz_loan_cd*G1450,0)*in_loan_cd_ticket*in_loan_cd_comm</f>
        <v/>
      </c>
      <c r="BW1450" s="40">
        <f>BW1449*(1-IF(B1449&gt;=in_marketplace_from,d_hz_loan_vehicle*G1449,0))</f>
        <v/>
      </c>
      <c r="BX1450" s="14">
        <f>F1450*BW1450*IF(B1450&gt;=in_marketplace_from,d_hz_loan_vehicle*G1450,0)*in_loan_vehicle_ticket*in_loan_vehicle_comm</f>
        <v/>
      </c>
      <c r="BY1450" s="40">
        <f>BY1449*(1-IF(B1449&gt;=in_marketplace_from,d_hz_loan_home*G1449,0)*BZ1449)</f>
        <v/>
      </c>
      <c r="BZ1450" s="11">
        <f>MIN(in_approval_cap,in_loan_home_approval*INDEX('Age profile'!$O$2:$O$61,B1450)*(1+in_approval_growth)^(D1450-1))</f>
        <v/>
      </c>
      <c r="CA1450" s="14">
        <f>F1450*BY1450*IF(B1450&gt;=in_marketplace_from,d_hz_loan_home*G1450,0)*BZ1450*in_loan_home_ticket*in_loan_home_comm</f>
        <v/>
      </c>
      <c r="CB1450" s="40">
        <f>CB1449*(1-IF(B1449&gt;=in_marketplace_from,d_hz_loan_lap*G1449,0)*CC1449)</f>
        <v/>
      </c>
      <c r="CC1450" s="11">
        <f>MIN(in_approval_cap,in_loan_lap_approval*INDEX('Age profile'!$O$2:$O$61,B1450)*(1+in_approval_growth)^(D1450-1))</f>
        <v/>
      </c>
      <c r="CD1450" s="14">
        <f>F1450*CB1450*IF(B1450&gt;=in_marketplace_from,d_hz_loan_lap*G1450,0)*CC1450*in_loan_lap_ticket*in_loan_lap_comm</f>
        <v/>
      </c>
      <c r="CE1450" s="14">
        <f>AA1450+AB1450+AC1450+AD1450+AG1450+AJ1450+AM1450+AP1450+AS1450+AU1450+AX1450+BB1450+BE1450+BG1450+BJ1450+BL1450+BO1450+BR1450+BT1450+BV1450+BX1450+CA1450+CD1450</f>
        <v/>
      </c>
    </row>
    <row r="1451">
      <c r="A1451" s="39" t="n">
        <v>33</v>
      </c>
      <c r="B1451" s="39" t="n">
        <v>26</v>
      </c>
      <c r="C1451" s="39">
        <f>A1451+B1451-1</f>
        <v/>
      </c>
      <c r="D1451" s="39">
        <f>INT((C1451-1)/12)+1</f>
        <v/>
      </c>
      <c r="E1451" s="44">
        <f>INDEX(Monthly!$B$2:$B$61,A1451)</f>
        <v/>
      </c>
      <c r="F1451" s="44">
        <f>E1451*INDEX('Age profile'!$B$2:$B$61,B1451)</f>
        <v/>
      </c>
      <c r="G1451" s="45">
        <f>MIN(in_takeup_cap,INDEX('Age profile'!$N$2:$N$61,B1451)*(1+in_takeup_growth)^(D1451-1))</f>
        <v/>
      </c>
      <c r="H1451" s="11">
        <f>MIN(in_approval_cap,in_approved_first*INDEX('Age profile'!$O$2:$O$61,B1451)*(1+in_approval_growth)^(D1451-1))</f>
        <v/>
      </c>
      <c r="I1451" s="45">
        <f>G1451*MIN(in_takeup_cap,INDEX('Age profile'!$O$2:$O$61,B1451)*(1+in_approval_growth)^(D1451-1))</f>
        <v/>
      </c>
      <c r="J1451" s="40">
        <f>(J1450-L1450)*F1451/F1450</f>
        <v/>
      </c>
      <c r="K1451" s="40">
        <f>(K1450-M1450)*F1451/F1450+SUMIFS(O1426:O1450,B1426:B1450,B1451-1-d_T)*F1451</f>
        <v/>
      </c>
      <c r="L1451" s="40">
        <f>IF(B1451&gt;=in_marketplace_from,J1451*d_hz*G1451*in_eligible*H1451,0)</f>
        <v/>
      </c>
      <c r="M1451" s="40">
        <f>IF(B1451&gt;=in_marketplace_from,K1451*d_hz*G1451*in_eligible*in_approved_repeat,0)</f>
        <v/>
      </c>
      <c r="N1451" s="40">
        <f>L1451+M1451</f>
        <v/>
      </c>
      <c r="O1451" s="46">
        <f>N1451/F1451</f>
        <v/>
      </c>
      <c r="P1451" s="40">
        <f>F1451-J1451-K1451</f>
        <v/>
      </c>
      <c r="Q1451" s="40">
        <f>IF(B1451&gt;=in_marketplace_from,(J1451+K1451)*d_hz*G1451,0)</f>
        <v/>
      </c>
      <c r="R1451" s="40">
        <f>SUMIFS(N1426:N1453,B1426:B1453,"&gt;="&amp;(B1451-d_T),B1426:B1453,"&lt;="&amp;(B1451-1))</f>
        <v/>
      </c>
      <c r="S1451" s="46">
        <f>(1-d_u)*S1450+IF(d_T&gt;in_topup_lag,SUMIFS(O1426:O1453,B1426:B1453,B1451-in_topup_lag)-d_udrop*SUMIFS(O1426:O1453,B1426:B1453,B1451-d_T),0)</f>
        <v/>
      </c>
      <c r="T1451" s="40">
        <f>F1451*d_u*S1451</f>
        <v/>
      </c>
      <c r="U1451" s="9">
        <f>L1451*in_ticket+M1451*d_rep_ticket</f>
        <v/>
      </c>
      <c r="V1451" s="9">
        <f>U1451+T1451*d_topup_amt</f>
        <v/>
      </c>
      <c r="W1451" s="40">
        <f>N1451+T1451*d_topup_ratio</f>
        <v/>
      </c>
      <c r="X1451" s="40">
        <f>SUMIFS(W1426:W1453,B1426:B1453,B1451-in_dpd_lag)*d_cured</f>
        <v/>
      </c>
      <c r="Y1451" s="40">
        <f>SUMIFS(W1426:W1453,B1426:B1453,B1451-in_rec_lag)*d_recd</f>
        <v/>
      </c>
      <c r="Z1451" s="40">
        <f>IF(AND(B1451&gt;=in_marketplace_from,B1451&lt;in_marketplace_from+in_card_months),in_card_share/in_card_months*F1451*I1451,IF(AND(B1451&gt;=in_marketplace_from+in_card_months,B1451&lt;in_marketplace_from+2*in_card_months),in_card_share*d_card_rem/in_card_months*F1451*MIN(in_takeup_cap,(1+in_takeup_growth)^(D1451-1))*MIN(in_takeup_cap,(1+in_approval_growth)^(D1451-1)),0))</f>
        <v/>
      </c>
      <c r="AA1451" s="14">
        <f>V1451*in_fee*(1-in_taken_back)</f>
        <v/>
      </c>
      <c r="AB1451" s="14">
        <f>SUMIFS(W1426:W1453,B1426:B1453,B1451-in_dpd_lag)*d_dpd</f>
        <v/>
      </c>
      <c r="AC1451" s="14">
        <f>SUMIFS(W1426:W1453,B1426:B1453,B1451-in_rec_lag)*d_rec</f>
        <v/>
      </c>
      <c r="AD1451" s="14">
        <f>Z1451*in_card_fee</f>
        <v/>
      </c>
      <c r="AE1451" s="40">
        <f>AE1450*(1-IF(B1450&gt;=in_marketplace_from,d_hz_hlth_small*G1450,0))</f>
        <v/>
      </c>
      <c r="AF1451" s="46">
        <f>AE1451*IF(B1451&gt;=in_marketplace_from,d_hz_hlth_small*G1451,0)</f>
        <v/>
      </c>
      <c r="AG1451" s="14">
        <f>F1451*AF1451*in_hlth_small_ticket*in_hlth_small_comm*in_ins_partner_share+F1451*in_hlth_small_ticket*in_hlth_small_renew_comm*in_ins_partner_share*(in_hlth_small_renew^1*SUMIFS(AF1426:AF1453,B1426:B1453,B1451-12)+in_hlth_small_renew^2*SUMIFS(AF1426:AF1453,B1426:B1453,B1451-24)+in_hlth_small_renew^3*SUMIFS(AF1426:AF1453,B1426:B1453,B1451-36)+in_hlth_small_renew^4*SUMIFS(AF1426:AF1453,B1426:B1453,B1451-48))</f>
        <v/>
      </c>
      <c r="AH1451" s="40">
        <f>AH1450*(1-IF(B1450&gt;=in_marketplace_from,d_hz_hlth_family*G1450,0))</f>
        <v/>
      </c>
      <c r="AI1451" s="46">
        <f>AH1451*IF(B1451&gt;=in_marketplace_from,d_hz_hlth_family*G1451,0)</f>
        <v/>
      </c>
      <c r="AJ1451" s="14">
        <f>F1451*AI1451*in_hlth_family_ticket*in_hlth_family_comm*in_ins_partner_share+F1451*in_hlth_family_ticket*in_hlth_family_renew_comm*in_ins_partner_share*(in_hlth_family_renew^1*SUMIFS(AI1426:AI1453,B1426:B1453,B1451-12)+in_hlth_family_renew^2*SUMIFS(AI1426:AI1453,B1426:B1453,B1451-24)+in_hlth_family_renew^3*SUMIFS(AI1426:AI1453,B1426:B1453,B1451-36)+in_hlth_family_renew^4*SUMIFS(AI1426:AI1453,B1426:B1453,B1451-48))</f>
        <v/>
      </c>
      <c r="AK1451" s="40">
        <f>AK1450*(1-IF(B1450&gt;=in_marketplace_from,d_hz_life_term*G1450,0))</f>
        <v/>
      </c>
      <c r="AL1451" s="46">
        <f>AK1451*IF(B1451&gt;=in_marketplace_from,d_hz_life_term*G1451,0)</f>
        <v/>
      </c>
      <c r="AM1451" s="14">
        <f>F1451*AL1451*in_life_term_ticket*in_life_term_comm*in_ins_partner_share+F1451*in_life_term_ticket*in_life_term_renew_comm*in_ins_partner_share*(in_life_term_renew^1*SUMIFS(AL1426:AL1453,B1426:B1453,B1451-12)+in_life_term_renew^2*SUMIFS(AL1426:AL1453,B1426:B1453,B1451-24)+in_life_term_renew^3*SUMIFS(AL1426:AL1453,B1426:B1453,B1451-36)+in_life_term_renew^4*SUMIFS(AL1426:AL1453,B1426:B1453,B1451-48))</f>
        <v/>
      </c>
      <c r="AN1451" s="40">
        <f>AN1450*(1-IF(B1450&gt;=in_marketplace_from,d_hz_accident*G1450,0))</f>
        <v/>
      </c>
      <c r="AO1451" s="46">
        <f>AN1451*IF(B1451&gt;=in_marketplace_from,d_hz_accident*G1451,0)</f>
        <v/>
      </c>
      <c r="AP1451" s="14">
        <f>F1451*AO1451*in_accident_ticket*in_accident_comm*in_ins_partner_share+F1451*in_accident_ticket*in_accident_renew_comm*in_ins_partner_share*(in_accident_renew^1*SUMIFS(AO1426:AO1453,B1426:B1453,B1451-12)+in_accident_renew^2*SUMIFS(AO1426:AO1453,B1426:B1453,B1451-24)+in_accident_renew^3*SUMIFS(AO1426:AO1453,B1426:B1453,B1451-36)+in_accident_renew^4*SUMIFS(AO1426:AO1453,B1426:B1453,B1451-48))</f>
        <v/>
      </c>
      <c r="AQ1451" s="40">
        <f>AQ1450*(1-IF(B1450&gt;=in_marketplace_from,d_hz_two_wheeler*G1450,0))</f>
        <v/>
      </c>
      <c r="AR1451" s="46">
        <f>AQ1451*IF(B1451&gt;=in_marketplace_from,d_hz_two_wheeler*G1451,0)</f>
        <v/>
      </c>
      <c r="AS1451" s="14">
        <f>F1451*AR1451*in_two_wheeler_ticket*in_two_wheeler_comm*in_ins_partner_share+F1451*in_two_wheeler_ticket*in_two_wheeler_comm*in_ins_partner_share*(in_two_wheeler_renew^1*SUMIFS(AR1426:AR1453,B1426:B1453,B1451-12)+in_two_wheeler_renew^2*SUMIFS(AR1426:AR1453,B1426:B1453,B1451-24)+in_two_wheeler_renew^3*SUMIFS(AR1426:AR1453,B1426:B1453,B1451-36)+in_two_wheeler_renew^4*SUMIFS(AR1426:AR1453,B1426:B1453,B1451-48))</f>
        <v/>
      </c>
      <c r="AT1451" s="40">
        <f>AT1450*(1-IF(B1450&gt;=in_marketplace_from,d_hz_device*G1450,0))</f>
        <v/>
      </c>
      <c r="AU1451" s="14">
        <f>F1451*AT1451*IF(B1451&gt;=in_marketplace_from,d_hz_device*G1451,0)*in_device_ticket*in_device_comm*in_ins_partner_share</f>
        <v/>
      </c>
      <c r="AV1451" s="40">
        <f>AV1450*(1-IF(B1450&gt;=in_marketplace_from,d_hz_shop*G1450,0))</f>
        <v/>
      </c>
      <c r="AW1451" s="46">
        <f>AV1451*IF(B1451&gt;=in_marketplace_from,d_hz_shop*G1451,0)</f>
        <v/>
      </c>
      <c r="AX1451" s="14">
        <f>F1451*AW1451*in_shop_ticket*in_shop_comm*in_ins_partner_share+F1451*in_shop_ticket*in_shop_renew_comm*in_ins_partner_share*(in_shop_renew^1*SUMIFS(AW1426:AW1453,B1426:B1453,B1451-12)+in_shop_renew^2*SUMIFS(AW1426:AW1453,B1426:B1453,B1451-24)+in_shop_renew^3*SUMIFS(AW1426:AW1453,B1426:B1453,B1451-36)+in_shop_renew^4*SUMIFS(AW1426:AW1453,B1426:B1453,B1451-48))</f>
        <v/>
      </c>
      <c r="AY1451" s="40">
        <f>AY1450*(1-IF(B1450&gt;=in_marketplace_from,d_hz_sip*G1450,0))</f>
        <v/>
      </c>
      <c r="AZ1451" s="40">
        <f>AZ1450*d_rho_sip+AY1451*IF(B1451&gt;=in_marketplace_from,d_hz_sip*G1451,0)</f>
        <v/>
      </c>
      <c r="BA1451" s="40">
        <f>d_rho_sip*(BA1450+AZ1450)</f>
        <v/>
      </c>
      <c r="BB1451" s="14">
        <f>F1451*in_sip_ticket*(BA1451+0.5*AZ1451)*in_sip_comm/12</f>
        <v/>
      </c>
      <c r="BC1451" s="40">
        <f>BC1450*(1-IF(B1450&gt;=in_marketplace_from,d_hz_choti*G1450,0))</f>
        <v/>
      </c>
      <c r="BD1451" s="46">
        <f>BC1451*IF(B1451&gt;=in_marketplace_from,d_hz_choti*G1451,0)</f>
        <v/>
      </c>
      <c r="BE1451" s="14">
        <f>F1451*SUMIFS(BD1426:BD1453,B1426:B1453,B1451-in_choti_months)*in_choti_renew*in_choti_ticket</f>
        <v/>
      </c>
      <c r="BF1451" s="40">
        <f>BF1450*(1-IF(B1450&gt;=in_marketplace_from,d_hz_nps*G1450,0))</f>
        <v/>
      </c>
      <c r="BG1451" s="14">
        <f>F1451*BF1451*IF(B1451&gt;=in_marketplace_from,d_hz_nps*G1451,0)*in_nps_ticket*in_nps_comm</f>
        <v/>
      </c>
      <c r="BH1451" s="40">
        <f>BH1450*(1-IF(B1450&gt;=in_marketplace_from,d_hz_gold*G1450,0))</f>
        <v/>
      </c>
      <c r="BI1451" s="40">
        <f>BI1450*d_rho_gold+BH1451*IF(B1451&gt;=in_marketplace_from,d_hz_gold*G1451,0)</f>
        <v/>
      </c>
      <c r="BJ1451" s="14">
        <f>F1451*BI1451*in_gold_ticket*in_gold_comm</f>
        <v/>
      </c>
      <c r="BK1451" s="40">
        <f>BK1450*(1-IF(B1450&gt;=in_marketplace_from,d_hz_fd*G1450,0))</f>
        <v/>
      </c>
      <c r="BL1451" s="14">
        <f>F1451*BK1451*IF(B1451&gt;=in_marketplace_from,d_hz_fd*G1451,0)*in_fd_ticket*in_fd_comm</f>
        <v/>
      </c>
      <c r="BM1451" s="40">
        <f>BM1450*(1-IF(B1450&gt;=in_marketplace_from,d_hz_recharge*G1450,0))</f>
        <v/>
      </c>
      <c r="BN1451" s="40">
        <f>BN1450*d_rho_recharge+BM1451*IF(B1451&gt;=in_marketplace_from,d_hz_recharge*G1451,0)</f>
        <v/>
      </c>
      <c r="BO1451" s="14">
        <f>F1451*BN1451*in_recharge_ticket*in_recharge_comm/12</f>
        <v/>
      </c>
      <c r="BP1451" s="40">
        <f>BP1450*(1-IF(B1450&gt;=in_marketplace_from,d_hz_bills*G1450,0))</f>
        <v/>
      </c>
      <c r="BQ1451" s="40">
        <f>BQ1450*d_rho_bills+BP1451*IF(B1451&gt;=in_marketplace_from,d_hz_bills*G1451,0)</f>
        <v/>
      </c>
      <c r="BR1451" s="14">
        <f>F1451*BQ1451*in_bills_ticket*in_bills_comm/12</f>
        <v/>
      </c>
      <c r="BS1451" s="40">
        <f>BS1450*(1-IF(B1450&gt;=in_marketplace_from,d_hz_loan_gold*G1450,0))</f>
        <v/>
      </c>
      <c r="BT1451" s="14">
        <f>F1451*BS1451*IF(B1451&gt;=in_marketplace_from,d_hz_loan_gold*G1451,0)*in_loan_gold_ticket*in_loan_gold_comm</f>
        <v/>
      </c>
      <c r="BU1451" s="40">
        <f>BU1450*(1-IF(B1450&gt;=in_marketplace_from,d_hz_loan_cd*G1450,0))</f>
        <v/>
      </c>
      <c r="BV1451" s="14">
        <f>F1451*BU1451*IF(B1451&gt;=in_marketplace_from,d_hz_loan_cd*G1451,0)*in_loan_cd_ticket*in_loan_cd_comm</f>
        <v/>
      </c>
      <c r="BW1451" s="40">
        <f>BW1450*(1-IF(B1450&gt;=in_marketplace_from,d_hz_loan_vehicle*G1450,0))</f>
        <v/>
      </c>
      <c r="BX1451" s="14">
        <f>F1451*BW1451*IF(B1451&gt;=in_marketplace_from,d_hz_loan_vehicle*G1451,0)*in_loan_vehicle_ticket*in_loan_vehicle_comm</f>
        <v/>
      </c>
      <c r="BY1451" s="40">
        <f>BY1450*(1-IF(B1450&gt;=in_marketplace_from,d_hz_loan_home*G1450,0)*BZ1450)</f>
        <v/>
      </c>
      <c r="BZ1451" s="11">
        <f>MIN(in_approval_cap,in_loan_home_approval*INDEX('Age profile'!$O$2:$O$61,B1451)*(1+in_approval_growth)^(D1451-1))</f>
        <v/>
      </c>
      <c r="CA1451" s="14">
        <f>F1451*BY1451*IF(B1451&gt;=in_marketplace_from,d_hz_loan_home*G1451,0)*BZ1451*in_loan_home_ticket*in_loan_home_comm</f>
        <v/>
      </c>
      <c r="CB1451" s="40">
        <f>CB1450*(1-IF(B1450&gt;=in_marketplace_from,d_hz_loan_lap*G1450,0)*CC1450)</f>
        <v/>
      </c>
      <c r="CC1451" s="11">
        <f>MIN(in_approval_cap,in_loan_lap_approval*INDEX('Age profile'!$O$2:$O$61,B1451)*(1+in_approval_growth)^(D1451-1))</f>
        <v/>
      </c>
      <c r="CD1451" s="14">
        <f>F1451*CB1451*IF(B1451&gt;=in_marketplace_from,d_hz_loan_lap*G1451,0)*CC1451*in_loan_lap_ticket*in_loan_lap_comm</f>
        <v/>
      </c>
      <c r="CE1451" s="14">
        <f>AA1451+AB1451+AC1451+AD1451+AG1451+AJ1451+AM1451+AP1451+AS1451+AU1451+AX1451+BB1451+BE1451+BG1451+BJ1451+BL1451+BO1451+BR1451+BT1451+BV1451+BX1451+CA1451+CD1451</f>
        <v/>
      </c>
    </row>
    <row r="1452">
      <c r="A1452" s="39" t="n">
        <v>33</v>
      </c>
      <c r="B1452" s="39" t="n">
        <v>27</v>
      </c>
      <c r="C1452" s="39">
        <f>A1452+B1452-1</f>
        <v/>
      </c>
      <c r="D1452" s="39">
        <f>INT((C1452-1)/12)+1</f>
        <v/>
      </c>
      <c r="E1452" s="44">
        <f>INDEX(Monthly!$B$2:$B$61,A1452)</f>
        <v/>
      </c>
      <c r="F1452" s="44">
        <f>E1452*INDEX('Age profile'!$B$2:$B$61,B1452)</f>
        <v/>
      </c>
      <c r="G1452" s="45">
        <f>MIN(in_takeup_cap,INDEX('Age profile'!$N$2:$N$61,B1452)*(1+in_takeup_growth)^(D1452-1))</f>
        <v/>
      </c>
      <c r="H1452" s="11">
        <f>MIN(in_approval_cap,in_approved_first*INDEX('Age profile'!$O$2:$O$61,B1452)*(1+in_approval_growth)^(D1452-1))</f>
        <v/>
      </c>
      <c r="I1452" s="45">
        <f>G1452*MIN(in_takeup_cap,INDEX('Age profile'!$O$2:$O$61,B1452)*(1+in_approval_growth)^(D1452-1))</f>
        <v/>
      </c>
      <c r="J1452" s="40">
        <f>(J1451-L1451)*F1452/F1451</f>
        <v/>
      </c>
      <c r="K1452" s="40">
        <f>(K1451-M1451)*F1452/F1451+SUMIFS(O1426:O1451,B1426:B1451,B1452-1-d_T)*F1452</f>
        <v/>
      </c>
      <c r="L1452" s="40">
        <f>IF(B1452&gt;=in_marketplace_from,J1452*d_hz*G1452*in_eligible*H1452,0)</f>
        <v/>
      </c>
      <c r="M1452" s="40">
        <f>IF(B1452&gt;=in_marketplace_from,K1452*d_hz*G1452*in_eligible*in_approved_repeat,0)</f>
        <v/>
      </c>
      <c r="N1452" s="40">
        <f>L1452+M1452</f>
        <v/>
      </c>
      <c r="O1452" s="46">
        <f>N1452/F1452</f>
        <v/>
      </c>
      <c r="P1452" s="40">
        <f>F1452-J1452-K1452</f>
        <v/>
      </c>
      <c r="Q1452" s="40">
        <f>IF(B1452&gt;=in_marketplace_from,(J1452+K1452)*d_hz*G1452,0)</f>
        <v/>
      </c>
      <c r="R1452" s="40">
        <f>SUMIFS(N1426:N1453,B1426:B1453,"&gt;="&amp;(B1452-d_T),B1426:B1453,"&lt;="&amp;(B1452-1))</f>
        <v/>
      </c>
      <c r="S1452" s="46">
        <f>(1-d_u)*S1451+IF(d_T&gt;in_topup_lag,SUMIFS(O1426:O1453,B1426:B1453,B1452-in_topup_lag)-d_udrop*SUMIFS(O1426:O1453,B1426:B1453,B1452-d_T),0)</f>
        <v/>
      </c>
      <c r="T1452" s="40">
        <f>F1452*d_u*S1452</f>
        <v/>
      </c>
      <c r="U1452" s="9">
        <f>L1452*in_ticket+M1452*d_rep_ticket</f>
        <v/>
      </c>
      <c r="V1452" s="9">
        <f>U1452+T1452*d_topup_amt</f>
        <v/>
      </c>
      <c r="W1452" s="40">
        <f>N1452+T1452*d_topup_ratio</f>
        <v/>
      </c>
      <c r="X1452" s="40">
        <f>SUMIFS(W1426:W1453,B1426:B1453,B1452-in_dpd_lag)*d_cured</f>
        <v/>
      </c>
      <c r="Y1452" s="40">
        <f>SUMIFS(W1426:W1453,B1426:B1453,B1452-in_rec_lag)*d_recd</f>
        <v/>
      </c>
      <c r="Z1452" s="40">
        <f>IF(AND(B1452&gt;=in_marketplace_from,B1452&lt;in_marketplace_from+in_card_months),in_card_share/in_card_months*F1452*I1452,IF(AND(B1452&gt;=in_marketplace_from+in_card_months,B1452&lt;in_marketplace_from+2*in_card_months),in_card_share*d_card_rem/in_card_months*F1452*MIN(in_takeup_cap,(1+in_takeup_growth)^(D1452-1))*MIN(in_takeup_cap,(1+in_approval_growth)^(D1452-1)),0))</f>
        <v/>
      </c>
      <c r="AA1452" s="14">
        <f>V1452*in_fee*(1-in_taken_back)</f>
        <v/>
      </c>
      <c r="AB1452" s="14">
        <f>SUMIFS(W1426:W1453,B1426:B1453,B1452-in_dpd_lag)*d_dpd</f>
        <v/>
      </c>
      <c r="AC1452" s="14">
        <f>SUMIFS(W1426:W1453,B1426:B1453,B1452-in_rec_lag)*d_rec</f>
        <v/>
      </c>
      <c r="AD1452" s="14">
        <f>Z1452*in_card_fee</f>
        <v/>
      </c>
      <c r="AE1452" s="40">
        <f>AE1451*(1-IF(B1451&gt;=in_marketplace_from,d_hz_hlth_small*G1451,0))</f>
        <v/>
      </c>
      <c r="AF1452" s="46">
        <f>AE1452*IF(B1452&gt;=in_marketplace_from,d_hz_hlth_small*G1452,0)</f>
        <v/>
      </c>
      <c r="AG1452" s="14">
        <f>F1452*AF1452*in_hlth_small_ticket*in_hlth_small_comm*in_ins_partner_share+F1452*in_hlth_small_ticket*in_hlth_small_renew_comm*in_ins_partner_share*(in_hlth_small_renew^1*SUMIFS(AF1426:AF1453,B1426:B1453,B1452-12)+in_hlth_small_renew^2*SUMIFS(AF1426:AF1453,B1426:B1453,B1452-24)+in_hlth_small_renew^3*SUMIFS(AF1426:AF1453,B1426:B1453,B1452-36)+in_hlth_small_renew^4*SUMIFS(AF1426:AF1453,B1426:B1453,B1452-48))</f>
        <v/>
      </c>
      <c r="AH1452" s="40">
        <f>AH1451*(1-IF(B1451&gt;=in_marketplace_from,d_hz_hlth_family*G1451,0))</f>
        <v/>
      </c>
      <c r="AI1452" s="46">
        <f>AH1452*IF(B1452&gt;=in_marketplace_from,d_hz_hlth_family*G1452,0)</f>
        <v/>
      </c>
      <c r="AJ1452" s="14">
        <f>F1452*AI1452*in_hlth_family_ticket*in_hlth_family_comm*in_ins_partner_share+F1452*in_hlth_family_ticket*in_hlth_family_renew_comm*in_ins_partner_share*(in_hlth_family_renew^1*SUMIFS(AI1426:AI1453,B1426:B1453,B1452-12)+in_hlth_family_renew^2*SUMIFS(AI1426:AI1453,B1426:B1453,B1452-24)+in_hlth_family_renew^3*SUMIFS(AI1426:AI1453,B1426:B1453,B1452-36)+in_hlth_family_renew^4*SUMIFS(AI1426:AI1453,B1426:B1453,B1452-48))</f>
        <v/>
      </c>
      <c r="AK1452" s="40">
        <f>AK1451*(1-IF(B1451&gt;=in_marketplace_from,d_hz_life_term*G1451,0))</f>
        <v/>
      </c>
      <c r="AL1452" s="46">
        <f>AK1452*IF(B1452&gt;=in_marketplace_from,d_hz_life_term*G1452,0)</f>
        <v/>
      </c>
      <c r="AM1452" s="14">
        <f>F1452*AL1452*in_life_term_ticket*in_life_term_comm*in_ins_partner_share+F1452*in_life_term_ticket*in_life_term_renew_comm*in_ins_partner_share*(in_life_term_renew^1*SUMIFS(AL1426:AL1453,B1426:B1453,B1452-12)+in_life_term_renew^2*SUMIFS(AL1426:AL1453,B1426:B1453,B1452-24)+in_life_term_renew^3*SUMIFS(AL1426:AL1453,B1426:B1453,B1452-36)+in_life_term_renew^4*SUMIFS(AL1426:AL1453,B1426:B1453,B1452-48))</f>
        <v/>
      </c>
      <c r="AN1452" s="40">
        <f>AN1451*(1-IF(B1451&gt;=in_marketplace_from,d_hz_accident*G1451,0))</f>
        <v/>
      </c>
      <c r="AO1452" s="46">
        <f>AN1452*IF(B1452&gt;=in_marketplace_from,d_hz_accident*G1452,0)</f>
        <v/>
      </c>
      <c r="AP1452" s="14">
        <f>F1452*AO1452*in_accident_ticket*in_accident_comm*in_ins_partner_share+F1452*in_accident_ticket*in_accident_renew_comm*in_ins_partner_share*(in_accident_renew^1*SUMIFS(AO1426:AO1453,B1426:B1453,B1452-12)+in_accident_renew^2*SUMIFS(AO1426:AO1453,B1426:B1453,B1452-24)+in_accident_renew^3*SUMIFS(AO1426:AO1453,B1426:B1453,B1452-36)+in_accident_renew^4*SUMIFS(AO1426:AO1453,B1426:B1453,B1452-48))</f>
        <v/>
      </c>
      <c r="AQ1452" s="40">
        <f>AQ1451*(1-IF(B1451&gt;=in_marketplace_from,d_hz_two_wheeler*G1451,0))</f>
        <v/>
      </c>
      <c r="AR1452" s="46">
        <f>AQ1452*IF(B1452&gt;=in_marketplace_from,d_hz_two_wheeler*G1452,0)</f>
        <v/>
      </c>
      <c r="AS1452" s="14">
        <f>F1452*AR1452*in_two_wheeler_ticket*in_two_wheeler_comm*in_ins_partner_share+F1452*in_two_wheeler_ticket*in_two_wheeler_comm*in_ins_partner_share*(in_two_wheeler_renew^1*SUMIFS(AR1426:AR1453,B1426:B1453,B1452-12)+in_two_wheeler_renew^2*SUMIFS(AR1426:AR1453,B1426:B1453,B1452-24)+in_two_wheeler_renew^3*SUMIFS(AR1426:AR1453,B1426:B1453,B1452-36)+in_two_wheeler_renew^4*SUMIFS(AR1426:AR1453,B1426:B1453,B1452-48))</f>
        <v/>
      </c>
      <c r="AT1452" s="40">
        <f>AT1451*(1-IF(B1451&gt;=in_marketplace_from,d_hz_device*G1451,0))</f>
        <v/>
      </c>
      <c r="AU1452" s="14">
        <f>F1452*AT1452*IF(B1452&gt;=in_marketplace_from,d_hz_device*G1452,0)*in_device_ticket*in_device_comm*in_ins_partner_share</f>
        <v/>
      </c>
      <c r="AV1452" s="40">
        <f>AV1451*(1-IF(B1451&gt;=in_marketplace_from,d_hz_shop*G1451,0))</f>
        <v/>
      </c>
      <c r="AW1452" s="46">
        <f>AV1452*IF(B1452&gt;=in_marketplace_from,d_hz_shop*G1452,0)</f>
        <v/>
      </c>
      <c r="AX1452" s="14">
        <f>F1452*AW1452*in_shop_ticket*in_shop_comm*in_ins_partner_share+F1452*in_shop_ticket*in_shop_renew_comm*in_ins_partner_share*(in_shop_renew^1*SUMIFS(AW1426:AW1453,B1426:B1453,B1452-12)+in_shop_renew^2*SUMIFS(AW1426:AW1453,B1426:B1453,B1452-24)+in_shop_renew^3*SUMIFS(AW1426:AW1453,B1426:B1453,B1452-36)+in_shop_renew^4*SUMIFS(AW1426:AW1453,B1426:B1453,B1452-48))</f>
        <v/>
      </c>
      <c r="AY1452" s="40">
        <f>AY1451*(1-IF(B1451&gt;=in_marketplace_from,d_hz_sip*G1451,0))</f>
        <v/>
      </c>
      <c r="AZ1452" s="40">
        <f>AZ1451*d_rho_sip+AY1452*IF(B1452&gt;=in_marketplace_from,d_hz_sip*G1452,0)</f>
        <v/>
      </c>
      <c r="BA1452" s="40">
        <f>d_rho_sip*(BA1451+AZ1451)</f>
        <v/>
      </c>
      <c r="BB1452" s="14">
        <f>F1452*in_sip_ticket*(BA1452+0.5*AZ1452)*in_sip_comm/12</f>
        <v/>
      </c>
      <c r="BC1452" s="40">
        <f>BC1451*(1-IF(B1451&gt;=in_marketplace_from,d_hz_choti*G1451,0))</f>
        <v/>
      </c>
      <c r="BD1452" s="46">
        <f>BC1452*IF(B1452&gt;=in_marketplace_from,d_hz_choti*G1452,0)</f>
        <v/>
      </c>
      <c r="BE1452" s="14">
        <f>F1452*SUMIFS(BD1426:BD1453,B1426:B1453,B1452-in_choti_months)*in_choti_renew*in_choti_ticket</f>
        <v/>
      </c>
      <c r="BF1452" s="40">
        <f>BF1451*(1-IF(B1451&gt;=in_marketplace_from,d_hz_nps*G1451,0))</f>
        <v/>
      </c>
      <c r="BG1452" s="14">
        <f>F1452*BF1452*IF(B1452&gt;=in_marketplace_from,d_hz_nps*G1452,0)*in_nps_ticket*in_nps_comm</f>
        <v/>
      </c>
      <c r="BH1452" s="40">
        <f>BH1451*(1-IF(B1451&gt;=in_marketplace_from,d_hz_gold*G1451,0))</f>
        <v/>
      </c>
      <c r="BI1452" s="40">
        <f>BI1451*d_rho_gold+BH1452*IF(B1452&gt;=in_marketplace_from,d_hz_gold*G1452,0)</f>
        <v/>
      </c>
      <c r="BJ1452" s="14">
        <f>F1452*BI1452*in_gold_ticket*in_gold_comm</f>
        <v/>
      </c>
      <c r="BK1452" s="40">
        <f>BK1451*(1-IF(B1451&gt;=in_marketplace_from,d_hz_fd*G1451,0))</f>
        <v/>
      </c>
      <c r="BL1452" s="14">
        <f>F1452*BK1452*IF(B1452&gt;=in_marketplace_from,d_hz_fd*G1452,0)*in_fd_ticket*in_fd_comm</f>
        <v/>
      </c>
      <c r="BM1452" s="40">
        <f>BM1451*(1-IF(B1451&gt;=in_marketplace_from,d_hz_recharge*G1451,0))</f>
        <v/>
      </c>
      <c r="BN1452" s="40">
        <f>BN1451*d_rho_recharge+BM1452*IF(B1452&gt;=in_marketplace_from,d_hz_recharge*G1452,0)</f>
        <v/>
      </c>
      <c r="BO1452" s="14">
        <f>F1452*BN1452*in_recharge_ticket*in_recharge_comm/12</f>
        <v/>
      </c>
      <c r="BP1452" s="40">
        <f>BP1451*(1-IF(B1451&gt;=in_marketplace_from,d_hz_bills*G1451,0))</f>
        <v/>
      </c>
      <c r="BQ1452" s="40">
        <f>BQ1451*d_rho_bills+BP1452*IF(B1452&gt;=in_marketplace_from,d_hz_bills*G1452,0)</f>
        <v/>
      </c>
      <c r="BR1452" s="14">
        <f>F1452*BQ1452*in_bills_ticket*in_bills_comm/12</f>
        <v/>
      </c>
      <c r="BS1452" s="40">
        <f>BS1451*(1-IF(B1451&gt;=in_marketplace_from,d_hz_loan_gold*G1451,0))</f>
        <v/>
      </c>
      <c r="BT1452" s="14">
        <f>F1452*BS1452*IF(B1452&gt;=in_marketplace_from,d_hz_loan_gold*G1452,0)*in_loan_gold_ticket*in_loan_gold_comm</f>
        <v/>
      </c>
      <c r="BU1452" s="40">
        <f>BU1451*(1-IF(B1451&gt;=in_marketplace_from,d_hz_loan_cd*G1451,0))</f>
        <v/>
      </c>
      <c r="BV1452" s="14">
        <f>F1452*BU1452*IF(B1452&gt;=in_marketplace_from,d_hz_loan_cd*G1452,0)*in_loan_cd_ticket*in_loan_cd_comm</f>
        <v/>
      </c>
      <c r="BW1452" s="40">
        <f>BW1451*(1-IF(B1451&gt;=in_marketplace_from,d_hz_loan_vehicle*G1451,0))</f>
        <v/>
      </c>
      <c r="BX1452" s="14">
        <f>F1452*BW1452*IF(B1452&gt;=in_marketplace_from,d_hz_loan_vehicle*G1452,0)*in_loan_vehicle_ticket*in_loan_vehicle_comm</f>
        <v/>
      </c>
      <c r="BY1452" s="40">
        <f>BY1451*(1-IF(B1451&gt;=in_marketplace_from,d_hz_loan_home*G1451,0)*BZ1451)</f>
        <v/>
      </c>
      <c r="BZ1452" s="11">
        <f>MIN(in_approval_cap,in_loan_home_approval*INDEX('Age profile'!$O$2:$O$61,B1452)*(1+in_approval_growth)^(D1452-1))</f>
        <v/>
      </c>
      <c r="CA1452" s="14">
        <f>F1452*BY1452*IF(B1452&gt;=in_marketplace_from,d_hz_loan_home*G1452,0)*BZ1452*in_loan_home_ticket*in_loan_home_comm</f>
        <v/>
      </c>
      <c r="CB1452" s="40">
        <f>CB1451*(1-IF(B1451&gt;=in_marketplace_from,d_hz_loan_lap*G1451,0)*CC1451)</f>
        <v/>
      </c>
      <c r="CC1452" s="11">
        <f>MIN(in_approval_cap,in_loan_lap_approval*INDEX('Age profile'!$O$2:$O$61,B1452)*(1+in_approval_growth)^(D1452-1))</f>
        <v/>
      </c>
      <c r="CD1452" s="14">
        <f>F1452*CB1452*IF(B1452&gt;=in_marketplace_from,d_hz_loan_lap*G1452,0)*CC1452*in_loan_lap_ticket*in_loan_lap_comm</f>
        <v/>
      </c>
      <c r="CE1452" s="14">
        <f>AA1452+AB1452+AC1452+AD1452+AG1452+AJ1452+AM1452+AP1452+AS1452+AU1452+AX1452+BB1452+BE1452+BG1452+BJ1452+BL1452+BO1452+BR1452+BT1452+BV1452+BX1452+CA1452+CD1452</f>
        <v/>
      </c>
    </row>
    <row r="1453">
      <c r="A1453" s="39" t="n">
        <v>33</v>
      </c>
      <c r="B1453" s="39" t="n">
        <v>28</v>
      </c>
      <c r="C1453" s="39">
        <f>A1453+B1453-1</f>
        <v/>
      </c>
      <c r="D1453" s="39">
        <f>INT((C1453-1)/12)+1</f>
        <v/>
      </c>
      <c r="E1453" s="44">
        <f>INDEX(Monthly!$B$2:$B$61,A1453)</f>
        <v/>
      </c>
      <c r="F1453" s="44">
        <f>E1453*INDEX('Age profile'!$B$2:$B$61,B1453)</f>
        <v/>
      </c>
      <c r="G1453" s="45">
        <f>MIN(in_takeup_cap,INDEX('Age profile'!$N$2:$N$61,B1453)*(1+in_takeup_growth)^(D1453-1))</f>
        <v/>
      </c>
      <c r="H1453" s="11">
        <f>MIN(in_approval_cap,in_approved_first*INDEX('Age profile'!$O$2:$O$61,B1453)*(1+in_approval_growth)^(D1453-1))</f>
        <v/>
      </c>
      <c r="I1453" s="45">
        <f>G1453*MIN(in_takeup_cap,INDEX('Age profile'!$O$2:$O$61,B1453)*(1+in_approval_growth)^(D1453-1))</f>
        <v/>
      </c>
      <c r="J1453" s="40">
        <f>(J1452-L1452)*F1453/F1452</f>
        <v/>
      </c>
      <c r="K1453" s="40">
        <f>(K1452-M1452)*F1453/F1452+SUMIFS(O1426:O1452,B1426:B1452,B1453-1-d_T)*F1453</f>
        <v/>
      </c>
      <c r="L1453" s="40">
        <f>IF(B1453&gt;=in_marketplace_from,J1453*d_hz*G1453*in_eligible*H1453,0)</f>
        <v/>
      </c>
      <c r="M1453" s="40">
        <f>IF(B1453&gt;=in_marketplace_from,K1453*d_hz*G1453*in_eligible*in_approved_repeat,0)</f>
        <v/>
      </c>
      <c r="N1453" s="40">
        <f>L1453+M1453</f>
        <v/>
      </c>
      <c r="O1453" s="46">
        <f>N1453/F1453</f>
        <v/>
      </c>
      <c r="P1453" s="40">
        <f>F1453-J1453-K1453</f>
        <v/>
      </c>
      <c r="Q1453" s="40">
        <f>IF(B1453&gt;=in_marketplace_from,(J1453+K1453)*d_hz*G1453,0)</f>
        <v/>
      </c>
      <c r="R1453" s="40">
        <f>SUMIFS(N1426:N1453,B1426:B1453,"&gt;="&amp;(B1453-d_T),B1426:B1453,"&lt;="&amp;(B1453-1))</f>
        <v/>
      </c>
      <c r="S1453" s="46">
        <f>(1-d_u)*S1452+IF(d_T&gt;in_topup_lag,SUMIFS(O1426:O1453,B1426:B1453,B1453-in_topup_lag)-d_udrop*SUMIFS(O1426:O1453,B1426:B1453,B1453-d_T),0)</f>
        <v/>
      </c>
      <c r="T1453" s="40">
        <f>F1453*d_u*S1453</f>
        <v/>
      </c>
      <c r="U1453" s="9">
        <f>L1453*in_ticket+M1453*d_rep_ticket</f>
        <v/>
      </c>
      <c r="V1453" s="9">
        <f>U1453+T1453*d_topup_amt</f>
        <v/>
      </c>
      <c r="W1453" s="40">
        <f>N1453+T1453*d_topup_ratio</f>
        <v/>
      </c>
      <c r="X1453" s="40">
        <f>SUMIFS(W1426:W1453,B1426:B1453,B1453-in_dpd_lag)*d_cured</f>
        <v/>
      </c>
      <c r="Y1453" s="40">
        <f>SUMIFS(W1426:W1453,B1426:B1453,B1453-in_rec_lag)*d_recd</f>
        <v/>
      </c>
      <c r="Z1453" s="40">
        <f>IF(AND(B1453&gt;=in_marketplace_from,B1453&lt;in_marketplace_from+in_card_months),in_card_share/in_card_months*F1453*I1453,IF(AND(B1453&gt;=in_marketplace_from+in_card_months,B1453&lt;in_marketplace_from+2*in_card_months),in_card_share*d_card_rem/in_card_months*F1453*MIN(in_takeup_cap,(1+in_takeup_growth)^(D1453-1))*MIN(in_takeup_cap,(1+in_approval_growth)^(D1453-1)),0))</f>
        <v/>
      </c>
      <c r="AA1453" s="14">
        <f>V1453*in_fee*(1-in_taken_back)</f>
        <v/>
      </c>
      <c r="AB1453" s="14">
        <f>SUMIFS(W1426:W1453,B1426:B1453,B1453-in_dpd_lag)*d_dpd</f>
        <v/>
      </c>
      <c r="AC1453" s="14">
        <f>SUMIFS(W1426:W1453,B1426:B1453,B1453-in_rec_lag)*d_rec</f>
        <v/>
      </c>
      <c r="AD1453" s="14">
        <f>Z1453*in_card_fee</f>
        <v/>
      </c>
      <c r="AE1453" s="40">
        <f>AE1452*(1-IF(B1452&gt;=in_marketplace_from,d_hz_hlth_small*G1452,0))</f>
        <v/>
      </c>
      <c r="AF1453" s="46">
        <f>AE1453*IF(B1453&gt;=in_marketplace_from,d_hz_hlth_small*G1453,0)</f>
        <v/>
      </c>
      <c r="AG1453" s="14">
        <f>F1453*AF1453*in_hlth_small_ticket*in_hlth_small_comm*in_ins_partner_share+F1453*in_hlth_small_ticket*in_hlth_small_renew_comm*in_ins_partner_share*(in_hlth_small_renew^1*SUMIFS(AF1426:AF1453,B1426:B1453,B1453-12)+in_hlth_small_renew^2*SUMIFS(AF1426:AF1453,B1426:B1453,B1453-24)+in_hlth_small_renew^3*SUMIFS(AF1426:AF1453,B1426:B1453,B1453-36)+in_hlth_small_renew^4*SUMIFS(AF1426:AF1453,B1426:B1453,B1453-48))</f>
        <v/>
      </c>
      <c r="AH1453" s="40">
        <f>AH1452*(1-IF(B1452&gt;=in_marketplace_from,d_hz_hlth_family*G1452,0))</f>
        <v/>
      </c>
      <c r="AI1453" s="46">
        <f>AH1453*IF(B1453&gt;=in_marketplace_from,d_hz_hlth_family*G1453,0)</f>
        <v/>
      </c>
      <c r="AJ1453" s="14">
        <f>F1453*AI1453*in_hlth_family_ticket*in_hlth_family_comm*in_ins_partner_share+F1453*in_hlth_family_ticket*in_hlth_family_renew_comm*in_ins_partner_share*(in_hlth_family_renew^1*SUMIFS(AI1426:AI1453,B1426:B1453,B1453-12)+in_hlth_family_renew^2*SUMIFS(AI1426:AI1453,B1426:B1453,B1453-24)+in_hlth_family_renew^3*SUMIFS(AI1426:AI1453,B1426:B1453,B1453-36)+in_hlth_family_renew^4*SUMIFS(AI1426:AI1453,B1426:B1453,B1453-48))</f>
        <v/>
      </c>
      <c r="AK1453" s="40">
        <f>AK1452*(1-IF(B1452&gt;=in_marketplace_from,d_hz_life_term*G1452,0))</f>
        <v/>
      </c>
      <c r="AL1453" s="46">
        <f>AK1453*IF(B1453&gt;=in_marketplace_from,d_hz_life_term*G1453,0)</f>
        <v/>
      </c>
      <c r="AM1453" s="14">
        <f>F1453*AL1453*in_life_term_ticket*in_life_term_comm*in_ins_partner_share+F1453*in_life_term_ticket*in_life_term_renew_comm*in_ins_partner_share*(in_life_term_renew^1*SUMIFS(AL1426:AL1453,B1426:B1453,B1453-12)+in_life_term_renew^2*SUMIFS(AL1426:AL1453,B1426:B1453,B1453-24)+in_life_term_renew^3*SUMIFS(AL1426:AL1453,B1426:B1453,B1453-36)+in_life_term_renew^4*SUMIFS(AL1426:AL1453,B1426:B1453,B1453-48))</f>
        <v/>
      </c>
      <c r="AN1453" s="40">
        <f>AN1452*(1-IF(B1452&gt;=in_marketplace_from,d_hz_accident*G1452,0))</f>
        <v/>
      </c>
      <c r="AO1453" s="46">
        <f>AN1453*IF(B1453&gt;=in_marketplace_from,d_hz_accident*G1453,0)</f>
        <v/>
      </c>
      <c r="AP1453" s="14">
        <f>F1453*AO1453*in_accident_ticket*in_accident_comm*in_ins_partner_share+F1453*in_accident_ticket*in_accident_renew_comm*in_ins_partner_share*(in_accident_renew^1*SUMIFS(AO1426:AO1453,B1426:B1453,B1453-12)+in_accident_renew^2*SUMIFS(AO1426:AO1453,B1426:B1453,B1453-24)+in_accident_renew^3*SUMIFS(AO1426:AO1453,B1426:B1453,B1453-36)+in_accident_renew^4*SUMIFS(AO1426:AO1453,B1426:B1453,B1453-48))</f>
        <v/>
      </c>
      <c r="AQ1453" s="40">
        <f>AQ1452*(1-IF(B1452&gt;=in_marketplace_from,d_hz_two_wheeler*G1452,0))</f>
        <v/>
      </c>
      <c r="AR1453" s="46">
        <f>AQ1453*IF(B1453&gt;=in_marketplace_from,d_hz_two_wheeler*G1453,0)</f>
        <v/>
      </c>
      <c r="AS1453" s="14">
        <f>F1453*AR1453*in_two_wheeler_ticket*in_two_wheeler_comm*in_ins_partner_share+F1453*in_two_wheeler_ticket*in_two_wheeler_comm*in_ins_partner_share*(in_two_wheeler_renew^1*SUMIFS(AR1426:AR1453,B1426:B1453,B1453-12)+in_two_wheeler_renew^2*SUMIFS(AR1426:AR1453,B1426:B1453,B1453-24)+in_two_wheeler_renew^3*SUMIFS(AR1426:AR1453,B1426:B1453,B1453-36)+in_two_wheeler_renew^4*SUMIFS(AR1426:AR1453,B1426:B1453,B1453-48))</f>
        <v/>
      </c>
      <c r="AT1453" s="40">
        <f>AT1452*(1-IF(B1452&gt;=in_marketplace_from,d_hz_device*G1452,0))</f>
        <v/>
      </c>
      <c r="AU1453" s="14">
        <f>F1453*AT1453*IF(B1453&gt;=in_marketplace_from,d_hz_device*G1453,0)*in_device_ticket*in_device_comm*in_ins_partner_share</f>
        <v/>
      </c>
      <c r="AV1453" s="40">
        <f>AV1452*(1-IF(B1452&gt;=in_marketplace_from,d_hz_shop*G1452,0))</f>
        <v/>
      </c>
      <c r="AW1453" s="46">
        <f>AV1453*IF(B1453&gt;=in_marketplace_from,d_hz_shop*G1453,0)</f>
        <v/>
      </c>
      <c r="AX1453" s="14">
        <f>F1453*AW1453*in_shop_ticket*in_shop_comm*in_ins_partner_share+F1453*in_shop_ticket*in_shop_renew_comm*in_ins_partner_share*(in_shop_renew^1*SUMIFS(AW1426:AW1453,B1426:B1453,B1453-12)+in_shop_renew^2*SUMIFS(AW1426:AW1453,B1426:B1453,B1453-24)+in_shop_renew^3*SUMIFS(AW1426:AW1453,B1426:B1453,B1453-36)+in_shop_renew^4*SUMIFS(AW1426:AW1453,B1426:B1453,B1453-48))</f>
        <v/>
      </c>
      <c r="AY1453" s="40">
        <f>AY1452*(1-IF(B1452&gt;=in_marketplace_from,d_hz_sip*G1452,0))</f>
        <v/>
      </c>
      <c r="AZ1453" s="40">
        <f>AZ1452*d_rho_sip+AY1453*IF(B1453&gt;=in_marketplace_from,d_hz_sip*G1453,0)</f>
        <v/>
      </c>
      <c r="BA1453" s="40">
        <f>d_rho_sip*(BA1452+AZ1452)</f>
        <v/>
      </c>
      <c r="BB1453" s="14">
        <f>F1453*in_sip_ticket*(BA1453+0.5*AZ1453)*in_sip_comm/12</f>
        <v/>
      </c>
      <c r="BC1453" s="40">
        <f>BC1452*(1-IF(B1452&gt;=in_marketplace_from,d_hz_choti*G1452,0))</f>
        <v/>
      </c>
      <c r="BD1453" s="46">
        <f>BC1453*IF(B1453&gt;=in_marketplace_from,d_hz_choti*G1453,0)</f>
        <v/>
      </c>
      <c r="BE1453" s="14">
        <f>F1453*SUMIFS(BD1426:BD1453,B1426:B1453,B1453-in_choti_months)*in_choti_renew*in_choti_ticket</f>
        <v/>
      </c>
      <c r="BF1453" s="40">
        <f>BF1452*(1-IF(B1452&gt;=in_marketplace_from,d_hz_nps*G1452,0))</f>
        <v/>
      </c>
      <c r="BG1453" s="14">
        <f>F1453*BF1453*IF(B1453&gt;=in_marketplace_from,d_hz_nps*G1453,0)*in_nps_ticket*in_nps_comm</f>
        <v/>
      </c>
      <c r="BH1453" s="40">
        <f>BH1452*(1-IF(B1452&gt;=in_marketplace_from,d_hz_gold*G1452,0))</f>
        <v/>
      </c>
      <c r="BI1453" s="40">
        <f>BI1452*d_rho_gold+BH1453*IF(B1453&gt;=in_marketplace_from,d_hz_gold*G1453,0)</f>
        <v/>
      </c>
      <c r="BJ1453" s="14">
        <f>F1453*BI1453*in_gold_ticket*in_gold_comm</f>
        <v/>
      </c>
      <c r="BK1453" s="40">
        <f>BK1452*(1-IF(B1452&gt;=in_marketplace_from,d_hz_fd*G1452,0))</f>
        <v/>
      </c>
      <c r="BL1453" s="14">
        <f>F1453*BK1453*IF(B1453&gt;=in_marketplace_from,d_hz_fd*G1453,0)*in_fd_ticket*in_fd_comm</f>
        <v/>
      </c>
      <c r="BM1453" s="40">
        <f>BM1452*(1-IF(B1452&gt;=in_marketplace_from,d_hz_recharge*G1452,0))</f>
        <v/>
      </c>
      <c r="BN1453" s="40">
        <f>BN1452*d_rho_recharge+BM1453*IF(B1453&gt;=in_marketplace_from,d_hz_recharge*G1453,0)</f>
        <v/>
      </c>
      <c r="BO1453" s="14">
        <f>F1453*BN1453*in_recharge_ticket*in_recharge_comm/12</f>
        <v/>
      </c>
      <c r="BP1453" s="40">
        <f>BP1452*(1-IF(B1452&gt;=in_marketplace_from,d_hz_bills*G1452,0))</f>
        <v/>
      </c>
      <c r="BQ1453" s="40">
        <f>BQ1452*d_rho_bills+BP1453*IF(B1453&gt;=in_marketplace_from,d_hz_bills*G1453,0)</f>
        <v/>
      </c>
      <c r="BR1453" s="14">
        <f>F1453*BQ1453*in_bills_ticket*in_bills_comm/12</f>
        <v/>
      </c>
      <c r="BS1453" s="40">
        <f>BS1452*(1-IF(B1452&gt;=in_marketplace_from,d_hz_loan_gold*G1452,0))</f>
        <v/>
      </c>
      <c r="BT1453" s="14">
        <f>F1453*BS1453*IF(B1453&gt;=in_marketplace_from,d_hz_loan_gold*G1453,0)*in_loan_gold_ticket*in_loan_gold_comm</f>
        <v/>
      </c>
      <c r="BU1453" s="40">
        <f>BU1452*(1-IF(B1452&gt;=in_marketplace_from,d_hz_loan_cd*G1452,0))</f>
        <v/>
      </c>
      <c r="BV1453" s="14">
        <f>F1453*BU1453*IF(B1453&gt;=in_marketplace_from,d_hz_loan_cd*G1453,0)*in_loan_cd_ticket*in_loan_cd_comm</f>
        <v/>
      </c>
      <c r="BW1453" s="40">
        <f>BW1452*(1-IF(B1452&gt;=in_marketplace_from,d_hz_loan_vehicle*G1452,0))</f>
        <v/>
      </c>
      <c r="BX1453" s="14">
        <f>F1453*BW1453*IF(B1453&gt;=in_marketplace_from,d_hz_loan_vehicle*G1453,0)*in_loan_vehicle_ticket*in_loan_vehicle_comm</f>
        <v/>
      </c>
      <c r="BY1453" s="40">
        <f>BY1452*(1-IF(B1452&gt;=in_marketplace_from,d_hz_loan_home*G1452,0)*BZ1452)</f>
        <v/>
      </c>
      <c r="BZ1453" s="11">
        <f>MIN(in_approval_cap,in_loan_home_approval*INDEX('Age profile'!$O$2:$O$61,B1453)*(1+in_approval_growth)^(D1453-1))</f>
        <v/>
      </c>
      <c r="CA1453" s="14">
        <f>F1453*BY1453*IF(B1453&gt;=in_marketplace_from,d_hz_loan_home*G1453,0)*BZ1453*in_loan_home_ticket*in_loan_home_comm</f>
        <v/>
      </c>
      <c r="CB1453" s="40">
        <f>CB1452*(1-IF(B1452&gt;=in_marketplace_from,d_hz_loan_lap*G1452,0)*CC1452)</f>
        <v/>
      </c>
      <c r="CC1453" s="11">
        <f>MIN(in_approval_cap,in_loan_lap_approval*INDEX('Age profile'!$O$2:$O$61,B1453)*(1+in_approval_growth)^(D1453-1))</f>
        <v/>
      </c>
      <c r="CD1453" s="14">
        <f>F1453*CB1453*IF(B1453&gt;=in_marketplace_from,d_hz_loan_lap*G1453,0)*CC1453*in_loan_lap_ticket*in_loan_lap_comm</f>
        <v/>
      </c>
      <c r="CE1453" s="14">
        <f>AA1453+AB1453+AC1453+AD1453+AG1453+AJ1453+AM1453+AP1453+AS1453+AU1453+AX1453+BB1453+BE1453+BG1453+BJ1453+BL1453+BO1453+BR1453+BT1453+BV1453+BX1453+CA1453+CD1453</f>
        <v/>
      </c>
    </row>
    <row r="1454">
      <c r="A1454" s="39" t="n">
        <v>34</v>
      </c>
      <c r="B1454" s="39" t="n">
        <v>1</v>
      </c>
      <c r="C1454" s="39">
        <f>A1454+B1454-1</f>
        <v/>
      </c>
      <c r="D1454" s="39">
        <f>INT((C1454-1)/12)+1</f>
        <v/>
      </c>
      <c r="E1454" s="44">
        <f>INDEX(Monthly!$B$2:$B$61,A1454)</f>
        <v/>
      </c>
      <c r="F1454" s="44">
        <f>E1454*INDEX('Age profile'!$B$2:$B$61,B1454)</f>
        <v/>
      </c>
      <c r="G1454" s="45">
        <f>MIN(in_takeup_cap,INDEX('Age profile'!$N$2:$N$61,B1454)*(1+in_takeup_growth)^(D1454-1))</f>
        <v/>
      </c>
      <c r="H1454" s="11">
        <f>MIN(in_approval_cap,in_approved_first*INDEX('Age profile'!$O$2:$O$61,B1454)*(1+in_approval_growth)^(D1454-1))</f>
        <v/>
      </c>
      <c r="I1454" s="45">
        <f>G1454*MIN(in_takeup_cap,INDEX('Age profile'!$O$2:$O$61,B1454)*(1+in_approval_growth)^(D1454-1))</f>
        <v/>
      </c>
      <c r="J1454" s="40">
        <f>E1454</f>
        <v/>
      </c>
      <c r="K1454" s="40" t="n">
        <v>0</v>
      </c>
      <c r="L1454" s="40">
        <f>IF(B1454&gt;=in_marketplace_from,J1454*d_hz*G1454*in_eligible*H1454,0)</f>
        <v/>
      </c>
      <c r="M1454" s="40">
        <f>IF(B1454&gt;=in_marketplace_from,K1454*d_hz*G1454*in_eligible*in_approved_repeat,0)</f>
        <v/>
      </c>
      <c r="N1454" s="40">
        <f>L1454+M1454</f>
        <v/>
      </c>
      <c r="O1454" s="46">
        <f>N1454/F1454</f>
        <v/>
      </c>
      <c r="P1454" s="40">
        <f>F1454-J1454-K1454</f>
        <v/>
      </c>
      <c r="Q1454" s="40">
        <f>IF(B1454&gt;=in_marketplace_from,(J1454+K1454)*d_hz*G1454,0)</f>
        <v/>
      </c>
      <c r="R1454" s="40">
        <f>SUMIFS(N1454:N1480,B1454:B1480,"&gt;="&amp;(B1454-d_T),B1454:B1480,"&lt;="&amp;(B1454-1))</f>
        <v/>
      </c>
      <c r="S1454" s="46" t="n">
        <v>0</v>
      </c>
      <c r="T1454" s="40">
        <f>F1454*d_u*S1454</f>
        <v/>
      </c>
      <c r="U1454" s="9">
        <f>L1454*in_ticket+M1454*d_rep_ticket</f>
        <v/>
      </c>
      <c r="V1454" s="9">
        <f>U1454+T1454*d_topup_amt</f>
        <v/>
      </c>
      <c r="W1454" s="40">
        <f>N1454+T1454*d_topup_ratio</f>
        <v/>
      </c>
      <c r="X1454" s="40">
        <f>SUMIFS(W1454:W1480,B1454:B1480,B1454-in_dpd_lag)*d_cured</f>
        <v/>
      </c>
      <c r="Y1454" s="40">
        <f>SUMIFS(W1454:W1480,B1454:B1480,B1454-in_rec_lag)*d_recd</f>
        <v/>
      </c>
      <c r="Z1454" s="40">
        <f>IF(AND(B1454&gt;=in_marketplace_from,B1454&lt;in_marketplace_from+in_card_months),in_card_share/in_card_months*F1454*I1454,IF(AND(B1454&gt;=in_marketplace_from+in_card_months,B1454&lt;in_marketplace_from+2*in_card_months),in_card_share*d_card_rem/in_card_months*F1454*MIN(in_takeup_cap,(1+in_takeup_growth)^(D1454-1))*MIN(in_takeup_cap,(1+in_approval_growth)^(D1454-1)),0))</f>
        <v/>
      </c>
      <c r="AA1454" s="14">
        <f>V1454*in_fee*(1-in_taken_back)</f>
        <v/>
      </c>
      <c r="AB1454" s="14">
        <f>SUMIFS(W1454:W1480,B1454:B1480,B1454-in_dpd_lag)*d_dpd</f>
        <v/>
      </c>
      <c r="AC1454" s="14">
        <f>SUMIFS(W1454:W1480,B1454:B1480,B1454-in_rec_lag)*d_rec</f>
        <v/>
      </c>
      <c r="AD1454" s="14">
        <f>Z1454*in_card_fee</f>
        <v/>
      </c>
      <c r="AE1454" s="40" t="n">
        <v>1</v>
      </c>
      <c r="AF1454" s="46">
        <f>AE1454*IF(B1454&gt;=in_marketplace_from,d_hz_hlth_small*G1454,0)</f>
        <v/>
      </c>
      <c r="AG1454" s="14">
        <f>F1454*AF1454*in_hlth_small_ticket*in_hlth_small_comm*in_ins_partner_share+F1454*in_hlth_small_ticket*in_hlth_small_renew_comm*in_ins_partner_share*(in_hlth_small_renew^1*SUMIFS(AF1454:AF1480,B1454:B1480,B1454-12)+in_hlth_small_renew^2*SUMIFS(AF1454:AF1480,B1454:B1480,B1454-24)+in_hlth_small_renew^3*SUMIFS(AF1454:AF1480,B1454:B1480,B1454-36)+in_hlth_small_renew^4*SUMIFS(AF1454:AF1480,B1454:B1480,B1454-48))</f>
        <v/>
      </c>
      <c r="AH1454" s="40" t="n">
        <v>1</v>
      </c>
      <c r="AI1454" s="46">
        <f>AH1454*IF(B1454&gt;=in_marketplace_from,d_hz_hlth_family*G1454,0)</f>
        <v/>
      </c>
      <c r="AJ1454" s="14">
        <f>F1454*AI1454*in_hlth_family_ticket*in_hlth_family_comm*in_ins_partner_share+F1454*in_hlth_family_ticket*in_hlth_family_renew_comm*in_ins_partner_share*(in_hlth_family_renew^1*SUMIFS(AI1454:AI1480,B1454:B1480,B1454-12)+in_hlth_family_renew^2*SUMIFS(AI1454:AI1480,B1454:B1480,B1454-24)+in_hlth_family_renew^3*SUMIFS(AI1454:AI1480,B1454:B1480,B1454-36)+in_hlth_family_renew^4*SUMIFS(AI1454:AI1480,B1454:B1480,B1454-48))</f>
        <v/>
      </c>
      <c r="AK1454" s="40" t="n">
        <v>1</v>
      </c>
      <c r="AL1454" s="46">
        <f>AK1454*IF(B1454&gt;=in_marketplace_from,d_hz_life_term*G1454,0)</f>
        <v/>
      </c>
      <c r="AM1454" s="14">
        <f>F1454*AL1454*in_life_term_ticket*in_life_term_comm*in_ins_partner_share+F1454*in_life_term_ticket*in_life_term_renew_comm*in_ins_partner_share*(in_life_term_renew^1*SUMIFS(AL1454:AL1480,B1454:B1480,B1454-12)+in_life_term_renew^2*SUMIFS(AL1454:AL1480,B1454:B1480,B1454-24)+in_life_term_renew^3*SUMIFS(AL1454:AL1480,B1454:B1480,B1454-36)+in_life_term_renew^4*SUMIFS(AL1454:AL1480,B1454:B1480,B1454-48))</f>
        <v/>
      </c>
      <c r="AN1454" s="40" t="n">
        <v>1</v>
      </c>
      <c r="AO1454" s="46">
        <f>AN1454*IF(B1454&gt;=in_marketplace_from,d_hz_accident*G1454,0)</f>
        <v/>
      </c>
      <c r="AP1454" s="14">
        <f>F1454*AO1454*in_accident_ticket*in_accident_comm*in_ins_partner_share+F1454*in_accident_ticket*in_accident_renew_comm*in_ins_partner_share*(in_accident_renew^1*SUMIFS(AO1454:AO1480,B1454:B1480,B1454-12)+in_accident_renew^2*SUMIFS(AO1454:AO1480,B1454:B1480,B1454-24)+in_accident_renew^3*SUMIFS(AO1454:AO1480,B1454:B1480,B1454-36)+in_accident_renew^4*SUMIFS(AO1454:AO1480,B1454:B1480,B1454-48))</f>
        <v/>
      </c>
      <c r="AQ1454" s="40" t="n">
        <v>1</v>
      </c>
      <c r="AR1454" s="46">
        <f>AQ1454*IF(B1454&gt;=in_marketplace_from,d_hz_two_wheeler*G1454,0)</f>
        <v/>
      </c>
      <c r="AS1454" s="14">
        <f>F1454*AR1454*in_two_wheeler_ticket*in_two_wheeler_comm*in_ins_partner_share+F1454*in_two_wheeler_ticket*in_two_wheeler_comm*in_ins_partner_share*(in_two_wheeler_renew^1*SUMIFS(AR1454:AR1480,B1454:B1480,B1454-12)+in_two_wheeler_renew^2*SUMIFS(AR1454:AR1480,B1454:B1480,B1454-24)+in_two_wheeler_renew^3*SUMIFS(AR1454:AR1480,B1454:B1480,B1454-36)+in_two_wheeler_renew^4*SUMIFS(AR1454:AR1480,B1454:B1480,B1454-48))</f>
        <v/>
      </c>
      <c r="AT1454" s="40" t="n">
        <v>1</v>
      </c>
      <c r="AU1454" s="14">
        <f>F1454*AT1454*IF(B1454&gt;=in_marketplace_from,d_hz_device*G1454,0)*in_device_ticket*in_device_comm*in_ins_partner_share</f>
        <v/>
      </c>
      <c r="AV1454" s="40" t="n">
        <v>1</v>
      </c>
      <c r="AW1454" s="46">
        <f>AV1454*IF(B1454&gt;=in_marketplace_from,d_hz_shop*G1454,0)</f>
        <v/>
      </c>
      <c r="AX1454" s="14">
        <f>F1454*AW1454*in_shop_ticket*in_shop_comm*in_ins_partner_share+F1454*in_shop_ticket*in_shop_renew_comm*in_ins_partner_share*(in_shop_renew^1*SUMIFS(AW1454:AW1480,B1454:B1480,B1454-12)+in_shop_renew^2*SUMIFS(AW1454:AW1480,B1454:B1480,B1454-24)+in_shop_renew^3*SUMIFS(AW1454:AW1480,B1454:B1480,B1454-36)+in_shop_renew^4*SUMIFS(AW1454:AW1480,B1454:B1480,B1454-48))</f>
        <v/>
      </c>
      <c r="AY1454" s="40" t="n">
        <v>1</v>
      </c>
      <c r="AZ1454" s="40">
        <f>AY1454*IF(B1454&gt;=in_marketplace_from,d_hz_sip*G1454,0)</f>
        <v/>
      </c>
      <c r="BA1454" s="40" t="n">
        <v>0</v>
      </c>
      <c r="BB1454" s="14">
        <f>F1454*in_sip_ticket*(BA1454+0.5*AZ1454)*in_sip_comm/12</f>
        <v/>
      </c>
      <c r="BC1454" s="40" t="n">
        <v>1</v>
      </c>
      <c r="BD1454" s="46">
        <f>BC1454*IF(B1454&gt;=in_marketplace_from,d_hz_choti*G1454,0)</f>
        <v/>
      </c>
      <c r="BE1454" s="14">
        <f>F1454*SUMIFS(BD1454:BD1480,B1454:B1480,B1454-in_choti_months)*in_choti_renew*in_choti_ticket</f>
        <v/>
      </c>
      <c r="BF1454" s="40" t="n">
        <v>1</v>
      </c>
      <c r="BG1454" s="14">
        <f>F1454*BF1454*IF(B1454&gt;=in_marketplace_from,d_hz_nps*G1454,0)*in_nps_ticket*in_nps_comm</f>
        <v/>
      </c>
      <c r="BH1454" s="40" t="n">
        <v>1</v>
      </c>
      <c r="BI1454" s="40">
        <f>BH1454*IF(B1454&gt;=in_marketplace_from,d_hz_gold*G1454,0)</f>
        <v/>
      </c>
      <c r="BJ1454" s="14">
        <f>F1454*BI1454*in_gold_ticket*in_gold_comm</f>
        <v/>
      </c>
      <c r="BK1454" s="40" t="n">
        <v>1</v>
      </c>
      <c r="BL1454" s="14">
        <f>F1454*BK1454*IF(B1454&gt;=in_marketplace_from,d_hz_fd*G1454,0)*in_fd_ticket*in_fd_comm</f>
        <v/>
      </c>
      <c r="BM1454" s="40" t="n">
        <v>1</v>
      </c>
      <c r="BN1454" s="40">
        <f>BM1454*IF(B1454&gt;=in_marketplace_from,d_hz_recharge*G1454,0)</f>
        <v/>
      </c>
      <c r="BO1454" s="14">
        <f>F1454*BN1454*in_recharge_ticket*in_recharge_comm/12</f>
        <v/>
      </c>
      <c r="BP1454" s="40" t="n">
        <v>1</v>
      </c>
      <c r="BQ1454" s="40">
        <f>BP1454*IF(B1454&gt;=in_marketplace_from,d_hz_bills*G1454,0)</f>
        <v/>
      </c>
      <c r="BR1454" s="14">
        <f>F1454*BQ1454*in_bills_ticket*in_bills_comm/12</f>
        <v/>
      </c>
      <c r="BS1454" s="40" t="n">
        <v>1</v>
      </c>
      <c r="BT1454" s="14">
        <f>F1454*BS1454*IF(B1454&gt;=in_marketplace_from,d_hz_loan_gold*G1454,0)*in_loan_gold_ticket*in_loan_gold_comm</f>
        <v/>
      </c>
      <c r="BU1454" s="40" t="n">
        <v>1</v>
      </c>
      <c r="BV1454" s="14">
        <f>F1454*BU1454*IF(B1454&gt;=in_marketplace_from,d_hz_loan_cd*G1454,0)*in_loan_cd_ticket*in_loan_cd_comm</f>
        <v/>
      </c>
      <c r="BW1454" s="40" t="n">
        <v>1</v>
      </c>
      <c r="BX1454" s="14">
        <f>F1454*BW1454*IF(B1454&gt;=in_marketplace_from,d_hz_loan_vehicle*G1454,0)*in_loan_vehicle_ticket*in_loan_vehicle_comm</f>
        <v/>
      </c>
      <c r="BY1454" s="40" t="n">
        <v>1</v>
      </c>
      <c r="BZ1454" s="11">
        <f>MIN(in_approval_cap,in_loan_home_approval*INDEX('Age profile'!$O$2:$O$61,B1454)*(1+in_approval_growth)^(D1454-1))</f>
        <v/>
      </c>
      <c r="CA1454" s="14">
        <f>F1454*BY1454*IF(B1454&gt;=in_marketplace_from,d_hz_loan_home*G1454,0)*BZ1454*in_loan_home_ticket*in_loan_home_comm</f>
        <v/>
      </c>
      <c r="CB1454" s="40" t="n">
        <v>1</v>
      </c>
      <c r="CC1454" s="11">
        <f>MIN(in_approval_cap,in_loan_lap_approval*INDEX('Age profile'!$O$2:$O$61,B1454)*(1+in_approval_growth)^(D1454-1))</f>
        <v/>
      </c>
      <c r="CD1454" s="14">
        <f>F1454*CB1454*IF(B1454&gt;=in_marketplace_from,d_hz_loan_lap*G1454,0)*CC1454*in_loan_lap_ticket*in_loan_lap_comm</f>
        <v/>
      </c>
      <c r="CE1454" s="14">
        <f>AA1454+AB1454+AC1454+AD1454+AG1454+AJ1454+AM1454+AP1454+AS1454+AU1454+AX1454+BB1454+BE1454+BG1454+BJ1454+BL1454+BO1454+BR1454+BT1454+BV1454+BX1454+CA1454+CD1454</f>
        <v/>
      </c>
    </row>
    <row r="1455">
      <c r="A1455" s="39" t="n">
        <v>34</v>
      </c>
      <c r="B1455" s="39" t="n">
        <v>2</v>
      </c>
      <c r="C1455" s="39">
        <f>A1455+B1455-1</f>
        <v/>
      </c>
      <c r="D1455" s="39">
        <f>INT((C1455-1)/12)+1</f>
        <v/>
      </c>
      <c r="E1455" s="44">
        <f>INDEX(Monthly!$B$2:$B$61,A1455)</f>
        <v/>
      </c>
      <c r="F1455" s="44">
        <f>E1455*INDEX('Age profile'!$B$2:$B$61,B1455)</f>
        <v/>
      </c>
      <c r="G1455" s="45">
        <f>MIN(in_takeup_cap,INDEX('Age profile'!$N$2:$N$61,B1455)*(1+in_takeup_growth)^(D1455-1))</f>
        <v/>
      </c>
      <c r="H1455" s="11">
        <f>MIN(in_approval_cap,in_approved_first*INDEX('Age profile'!$O$2:$O$61,B1455)*(1+in_approval_growth)^(D1455-1))</f>
        <v/>
      </c>
      <c r="I1455" s="45">
        <f>G1455*MIN(in_takeup_cap,INDEX('Age profile'!$O$2:$O$61,B1455)*(1+in_approval_growth)^(D1455-1))</f>
        <v/>
      </c>
      <c r="J1455" s="40">
        <f>(J1454-L1454)*F1455/F1454</f>
        <v/>
      </c>
      <c r="K1455" s="40">
        <f>(K1454-M1454)*F1455/F1454+SUMIFS(O1454:O1454,B1454:B1454,B1455-1-d_T)*F1455</f>
        <v/>
      </c>
      <c r="L1455" s="40">
        <f>IF(B1455&gt;=in_marketplace_from,J1455*d_hz*G1455*in_eligible*H1455,0)</f>
        <v/>
      </c>
      <c r="M1455" s="40">
        <f>IF(B1455&gt;=in_marketplace_from,K1455*d_hz*G1455*in_eligible*in_approved_repeat,0)</f>
        <v/>
      </c>
      <c r="N1455" s="40">
        <f>L1455+M1455</f>
        <v/>
      </c>
      <c r="O1455" s="46">
        <f>N1455/F1455</f>
        <v/>
      </c>
      <c r="P1455" s="40">
        <f>F1455-J1455-K1455</f>
        <v/>
      </c>
      <c r="Q1455" s="40">
        <f>IF(B1455&gt;=in_marketplace_from,(J1455+K1455)*d_hz*G1455,0)</f>
        <v/>
      </c>
      <c r="R1455" s="40">
        <f>SUMIFS(N1454:N1480,B1454:B1480,"&gt;="&amp;(B1455-d_T),B1454:B1480,"&lt;="&amp;(B1455-1))</f>
        <v/>
      </c>
      <c r="S1455" s="46">
        <f>(1-d_u)*S1454+IF(d_T&gt;in_topup_lag,SUMIFS(O1454:O1480,B1454:B1480,B1455-in_topup_lag)-d_udrop*SUMIFS(O1454:O1480,B1454:B1480,B1455-d_T),0)</f>
        <v/>
      </c>
      <c r="T1455" s="40">
        <f>F1455*d_u*S1455</f>
        <v/>
      </c>
      <c r="U1455" s="9">
        <f>L1455*in_ticket+M1455*d_rep_ticket</f>
        <v/>
      </c>
      <c r="V1455" s="9">
        <f>U1455+T1455*d_topup_amt</f>
        <v/>
      </c>
      <c r="W1455" s="40">
        <f>N1455+T1455*d_topup_ratio</f>
        <v/>
      </c>
      <c r="X1455" s="40">
        <f>SUMIFS(W1454:W1480,B1454:B1480,B1455-in_dpd_lag)*d_cured</f>
        <v/>
      </c>
      <c r="Y1455" s="40">
        <f>SUMIFS(W1454:W1480,B1454:B1480,B1455-in_rec_lag)*d_recd</f>
        <v/>
      </c>
      <c r="Z1455" s="40">
        <f>IF(AND(B1455&gt;=in_marketplace_from,B1455&lt;in_marketplace_from+in_card_months),in_card_share/in_card_months*F1455*I1455,IF(AND(B1455&gt;=in_marketplace_from+in_card_months,B1455&lt;in_marketplace_from+2*in_card_months),in_card_share*d_card_rem/in_card_months*F1455*MIN(in_takeup_cap,(1+in_takeup_growth)^(D1455-1))*MIN(in_takeup_cap,(1+in_approval_growth)^(D1455-1)),0))</f>
        <v/>
      </c>
      <c r="AA1455" s="14">
        <f>V1455*in_fee*(1-in_taken_back)</f>
        <v/>
      </c>
      <c r="AB1455" s="14">
        <f>SUMIFS(W1454:W1480,B1454:B1480,B1455-in_dpd_lag)*d_dpd</f>
        <v/>
      </c>
      <c r="AC1455" s="14">
        <f>SUMIFS(W1454:W1480,B1454:B1480,B1455-in_rec_lag)*d_rec</f>
        <v/>
      </c>
      <c r="AD1455" s="14">
        <f>Z1455*in_card_fee</f>
        <v/>
      </c>
      <c r="AE1455" s="40">
        <f>AE1454*(1-IF(B1454&gt;=in_marketplace_from,d_hz_hlth_small*G1454,0))</f>
        <v/>
      </c>
      <c r="AF1455" s="46">
        <f>AE1455*IF(B1455&gt;=in_marketplace_from,d_hz_hlth_small*G1455,0)</f>
        <v/>
      </c>
      <c r="AG1455" s="14">
        <f>F1455*AF1455*in_hlth_small_ticket*in_hlth_small_comm*in_ins_partner_share+F1455*in_hlth_small_ticket*in_hlth_small_renew_comm*in_ins_partner_share*(in_hlth_small_renew^1*SUMIFS(AF1454:AF1480,B1454:B1480,B1455-12)+in_hlth_small_renew^2*SUMIFS(AF1454:AF1480,B1454:B1480,B1455-24)+in_hlth_small_renew^3*SUMIFS(AF1454:AF1480,B1454:B1480,B1455-36)+in_hlth_small_renew^4*SUMIFS(AF1454:AF1480,B1454:B1480,B1455-48))</f>
        <v/>
      </c>
      <c r="AH1455" s="40">
        <f>AH1454*(1-IF(B1454&gt;=in_marketplace_from,d_hz_hlth_family*G1454,0))</f>
        <v/>
      </c>
      <c r="AI1455" s="46">
        <f>AH1455*IF(B1455&gt;=in_marketplace_from,d_hz_hlth_family*G1455,0)</f>
        <v/>
      </c>
      <c r="AJ1455" s="14">
        <f>F1455*AI1455*in_hlth_family_ticket*in_hlth_family_comm*in_ins_partner_share+F1455*in_hlth_family_ticket*in_hlth_family_renew_comm*in_ins_partner_share*(in_hlth_family_renew^1*SUMIFS(AI1454:AI1480,B1454:B1480,B1455-12)+in_hlth_family_renew^2*SUMIFS(AI1454:AI1480,B1454:B1480,B1455-24)+in_hlth_family_renew^3*SUMIFS(AI1454:AI1480,B1454:B1480,B1455-36)+in_hlth_family_renew^4*SUMIFS(AI1454:AI1480,B1454:B1480,B1455-48))</f>
        <v/>
      </c>
      <c r="AK1455" s="40">
        <f>AK1454*(1-IF(B1454&gt;=in_marketplace_from,d_hz_life_term*G1454,0))</f>
        <v/>
      </c>
      <c r="AL1455" s="46">
        <f>AK1455*IF(B1455&gt;=in_marketplace_from,d_hz_life_term*G1455,0)</f>
        <v/>
      </c>
      <c r="AM1455" s="14">
        <f>F1455*AL1455*in_life_term_ticket*in_life_term_comm*in_ins_partner_share+F1455*in_life_term_ticket*in_life_term_renew_comm*in_ins_partner_share*(in_life_term_renew^1*SUMIFS(AL1454:AL1480,B1454:B1480,B1455-12)+in_life_term_renew^2*SUMIFS(AL1454:AL1480,B1454:B1480,B1455-24)+in_life_term_renew^3*SUMIFS(AL1454:AL1480,B1454:B1480,B1455-36)+in_life_term_renew^4*SUMIFS(AL1454:AL1480,B1454:B1480,B1455-48))</f>
        <v/>
      </c>
      <c r="AN1455" s="40">
        <f>AN1454*(1-IF(B1454&gt;=in_marketplace_from,d_hz_accident*G1454,0))</f>
        <v/>
      </c>
      <c r="AO1455" s="46">
        <f>AN1455*IF(B1455&gt;=in_marketplace_from,d_hz_accident*G1455,0)</f>
        <v/>
      </c>
      <c r="AP1455" s="14">
        <f>F1455*AO1455*in_accident_ticket*in_accident_comm*in_ins_partner_share+F1455*in_accident_ticket*in_accident_renew_comm*in_ins_partner_share*(in_accident_renew^1*SUMIFS(AO1454:AO1480,B1454:B1480,B1455-12)+in_accident_renew^2*SUMIFS(AO1454:AO1480,B1454:B1480,B1455-24)+in_accident_renew^3*SUMIFS(AO1454:AO1480,B1454:B1480,B1455-36)+in_accident_renew^4*SUMIFS(AO1454:AO1480,B1454:B1480,B1455-48))</f>
        <v/>
      </c>
      <c r="AQ1455" s="40">
        <f>AQ1454*(1-IF(B1454&gt;=in_marketplace_from,d_hz_two_wheeler*G1454,0))</f>
        <v/>
      </c>
      <c r="AR1455" s="46">
        <f>AQ1455*IF(B1455&gt;=in_marketplace_from,d_hz_two_wheeler*G1455,0)</f>
        <v/>
      </c>
      <c r="AS1455" s="14">
        <f>F1455*AR1455*in_two_wheeler_ticket*in_two_wheeler_comm*in_ins_partner_share+F1455*in_two_wheeler_ticket*in_two_wheeler_comm*in_ins_partner_share*(in_two_wheeler_renew^1*SUMIFS(AR1454:AR1480,B1454:B1480,B1455-12)+in_two_wheeler_renew^2*SUMIFS(AR1454:AR1480,B1454:B1480,B1455-24)+in_two_wheeler_renew^3*SUMIFS(AR1454:AR1480,B1454:B1480,B1455-36)+in_two_wheeler_renew^4*SUMIFS(AR1454:AR1480,B1454:B1480,B1455-48))</f>
        <v/>
      </c>
      <c r="AT1455" s="40">
        <f>AT1454*(1-IF(B1454&gt;=in_marketplace_from,d_hz_device*G1454,0))</f>
        <v/>
      </c>
      <c r="AU1455" s="14">
        <f>F1455*AT1455*IF(B1455&gt;=in_marketplace_from,d_hz_device*G1455,0)*in_device_ticket*in_device_comm*in_ins_partner_share</f>
        <v/>
      </c>
      <c r="AV1455" s="40">
        <f>AV1454*(1-IF(B1454&gt;=in_marketplace_from,d_hz_shop*G1454,0))</f>
        <v/>
      </c>
      <c r="AW1455" s="46">
        <f>AV1455*IF(B1455&gt;=in_marketplace_from,d_hz_shop*G1455,0)</f>
        <v/>
      </c>
      <c r="AX1455" s="14">
        <f>F1455*AW1455*in_shop_ticket*in_shop_comm*in_ins_partner_share+F1455*in_shop_ticket*in_shop_renew_comm*in_ins_partner_share*(in_shop_renew^1*SUMIFS(AW1454:AW1480,B1454:B1480,B1455-12)+in_shop_renew^2*SUMIFS(AW1454:AW1480,B1454:B1480,B1455-24)+in_shop_renew^3*SUMIFS(AW1454:AW1480,B1454:B1480,B1455-36)+in_shop_renew^4*SUMIFS(AW1454:AW1480,B1454:B1480,B1455-48))</f>
        <v/>
      </c>
      <c r="AY1455" s="40">
        <f>AY1454*(1-IF(B1454&gt;=in_marketplace_from,d_hz_sip*G1454,0))</f>
        <v/>
      </c>
      <c r="AZ1455" s="40">
        <f>AZ1454*d_rho_sip+AY1455*IF(B1455&gt;=in_marketplace_from,d_hz_sip*G1455,0)</f>
        <v/>
      </c>
      <c r="BA1455" s="40">
        <f>d_rho_sip*(BA1454+AZ1454)</f>
        <v/>
      </c>
      <c r="BB1455" s="14">
        <f>F1455*in_sip_ticket*(BA1455+0.5*AZ1455)*in_sip_comm/12</f>
        <v/>
      </c>
      <c r="BC1455" s="40">
        <f>BC1454*(1-IF(B1454&gt;=in_marketplace_from,d_hz_choti*G1454,0))</f>
        <v/>
      </c>
      <c r="BD1455" s="46">
        <f>BC1455*IF(B1455&gt;=in_marketplace_from,d_hz_choti*G1455,0)</f>
        <v/>
      </c>
      <c r="BE1455" s="14">
        <f>F1455*SUMIFS(BD1454:BD1480,B1454:B1480,B1455-in_choti_months)*in_choti_renew*in_choti_ticket</f>
        <v/>
      </c>
      <c r="BF1455" s="40">
        <f>BF1454*(1-IF(B1454&gt;=in_marketplace_from,d_hz_nps*G1454,0))</f>
        <v/>
      </c>
      <c r="BG1455" s="14">
        <f>F1455*BF1455*IF(B1455&gt;=in_marketplace_from,d_hz_nps*G1455,0)*in_nps_ticket*in_nps_comm</f>
        <v/>
      </c>
      <c r="BH1455" s="40">
        <f>BH1454*(1-IF(B1454&gt;=in_marketplace_from,d_hz_gold*G1454,0))</f>
        <v/>
      </c>
      <c r="BI1455" s="40">
        <f>BI1454*d_rho_gold+BH1455*IF(B1455&gt;=in_marketplace_from,d_hz_gold*G1455,0)</f>
        <v/>
      </c>
      <c r="BJ1455" s="14">
        <f>F1455*BI1455*in_gold_ticket*in_gold_comm</f>
        <v/>
      </c>
      <c r="BK1455" s="40">
        <f>BK1454*(1-IF(B1454&gt;=in_marketplace_from,d_hz_fd*G1454,0))</f>
        <v/>
      </c>
      <c r="BL1455" s="14">
        <f>F1455*BK1455*IF(B1455&gt;=in_marketplace_from,d_hz_fd*G1455,0)*in_fd_ticket*in_fd_comm</f>
        <v/>
      </c>
      <c r="BM1455" s="40">
        <f>BM1454*(1-IF(B1454&gt;=in_marketplace_from,d_hz_recharge*G1454,0))</f>
        <v/>
      </c>
      <c r="BN1455" s="40">
        <f>BN1454*d_rho_recharge+BM1455*IF(B1455&gt;=in_marketplace_from,d_hz_recharge*G1455,0)</f>
        <v/>
      </c>
      <c r="BO1455" s="14">
        <f>F1455*BN1455*in_recharge_ticket*in_recharge_comm/12</f>
        <v/>
      </c>
      <c r="BP1455" s="40">
        <f>BP1454*(1-IF(B1454&gt;=in_marketplace_from,d_hz_bills*G1454,0))</f>
        <v/>
      </c>
      <c r="BQ1455" s="40">
        <f>BQ1454*d_rho_bills+BP1455*IF(B1455&gt;=in_marketplace_from,d_hz_bills*G1455,0)</f>
        <v/>
      </c>
      <c r="BR1455" s="14">
        <f>F1455*BQ1455*in_bills_ticket*in_bills_comm/12</f>
        <v/>
      </c>
      <c r="BS1455" s="40">
        <f>BS1454*(1-IF(B1454&gt;=in_marketplace_from,d_hz_loan_gold*G1454,0))</f>
        <v/>
      </c>
      <c r="BT1455" s="14">
        <f>F1455*BS1455*IF(B1455&gt;=in_marketplace_from,d_hz_loan_gold*G1455,0)*in_loan_gold_ticket*in_loan_gold_comm</f>
        <v/>
      </c>
      <c r="BU1455" s="40">
        <f>BU1454*(1-IF(B1454&gt;=in_marketplace_from,d_hz_loan_cd*G1454,0))</f>
        <v/>
      </c>
      <c r="BV1455" s="14">
        <f>F1455*BU1455*IF(B1455&gt;=in_marketplace_from,d_hz_loan_cd*G1455,0)*in_loan_cd_ticket*in_loan_cd_comm</f>
        <v/>
      </c>
      <c r="BW1455" s="40">
        <f>BW1454*(1-IF(B1454&gt;=in_marketplace_from,d_hz_loan_vehicle*G1454,0))</f>
        <v/>
      </c>
      <c r="BX1455" s="14">
        <f>F1455*BW1455*IF(B1455&gt;=in_marketplace_from,d_hz_loan_vehicle*G1455,0)*in_loan_vehicle_ticket*in_loan_vehicle_comm</f>
        <v/>
      </c>
      <c r="BY1455" s="40">
        <f>BY1454*(1-IF(B1454&gt;=in_marketplace_from,d_hz_loan_home*G1454,0)*BZ1454)</f>
        <v/>
      </c>
      <c r="BZ1455" s="11">
        <f>MIN(in_approval_cap,in_loan_home_approval*INDEX('Age profile'!$O$2:$O$61,B1455)*(1+in_approval_growth)^(D1455-1))</f>
        <v/>
      </c>
      <c r="CA1455" s="14">
        <f>F1455*BY1455*IF(B1455&gt;=in_marketplace_from,d_hz_loan_home*G1455,0)*BZ1455*in_loan_home_ticket*in_loan_home_comm</f>
        <v/>
      </c>
      <c r="CB1455" s="40">
        <f>CB1454*(1-IF(B1454&gt;=in_marketplace_from,d_hz_loan_lap*G1454,0)*CC1454)</f>
        <v/>
      </c>
      <c r="CC1455" s="11">
        <f>MIN(in_approval_cap,in_loan_lap_approval*INDEX('Age profile'!$O$2:$O$61,B1455)*(1+in_approval_growth)^(D1455-1))</f>
        <v/>
      </c>
      <c r="CD1455" s="14">
        <f>F1455*CB1455*IF(B1455&gt;=in_marketplace_from,d_hz_loan_lap*G1455,0)*CC1455*in_loan_lap_ticket*in_loan_lap_comm</f>
        <v/>
      </c>
      <c r="CE1455" s="14">
        <f>AA1455+AB1455+AC1455+AD1455+AG1455+AJ1455+AM1455+AP1455+AS1455+AU1455+AX1455+BB1455+BE1455+BG1455+BJ1455+BL1455+BO1455+BR1455+BT1455+BV1455+BX1455+CA1455+CD1455</f>
        <v/>
      </c>
    </row>
    <row r="1456">
      <c r="A1456" s="39" t="n">
        <v>34</v>
      </c>
      <c r="B1456" s="39" t="n">
        <v>3</v>
      </c>
      <c r="C1456" s="39">
        <f>A1456+B1456-1</f>
        <v/>
      </c>
      <c r="D1456" s="39">
        <f>INT((C1456-1)/12)+1</f>
        <v/>
      </c>
      <c r="E1456" s="44">
        <f>INDEX(Monthly!$B$2:$B$61,A1456)</f>
        <v/>
      </c>
      <c r="F1456" s="44">
        <f>E1456*INDEX('Age profile'!$B$2:$B$61,B1456)</f>
        <v/>
      </c>
      <c r="G1456" s="45">
        <f>MIN(in_takeup_cap,INDEX('Age profile'!$N$2:$N$61,B1456)*(1+in_takeup_growth)^(D1456-1))</f>
        <v/>
      </c>
      <c r="H1456" s="11">
        <f>MIN(in_approval_cap,in_approved_first*INDEX('Age profile'!$O$2:$O$61,B1456)*(1+in_approval_growth)^(D1456-1))</f>
        <v/>
      </c>
      <c r="I1456" s="45">
        <f>G1456*MIN(in_takeup_cap,INDEX('Age profile'!$O$2:$O$61,B1456)*(1+in_approval_growth)^(D1456-1))</f>
        <v/>
      </c>
      <c r="J1456" s="40">
        <f>(J1455-L1455)*F1456/F1455</f>
        <v/>
      </c>
      <c r="K1456" s="40">
        <f>(K1455-M1455)*F1456/F1455+SUMIFS(O1454:O1455,B1454:B1455,B1456-1-d_T)*F1456</f>
        <v/>
      </c>
      <c r="L1456" s="40">
        <f>IF(B1456&gt;=in_marketplace_from,J1456*d_hz*G1456*in_eligible*H1456,0)</f>
        <v/>
      </c>
      <c r="M1456" s="40">
        <f>IF(B1456&gt;=in_marketplace_from,K1456*d_hz*G1456*in_eligible*in_approved_repeat,0)</f>
        <v/>
      </c>
      <c r="N1456" s="40">
        <f>L1456+M1456</f>
        <v/>
      </c>
      <c r="O1456" s="46">
        <f>N1456/F1456</f>
        <v/>
      </c>
      <c r="P1456" s="40">
        <f>F1456-J1456-K1456</f>
        <v/>
      </c>
      <c r="Q1456" s="40">
        <f>IF(B1456&gt;=in_marketplace_from,(J1456+K1456)*d_hz*G1456,0)</f>
        <v/>
      </c>
      <c r="R1456" s="40">
        <f>SUMIFS(N1454:N1480,B1454:B1480,"&gt;="&amp;(B1456-d_T),B1454:B1480,"&lt;="&amp;(B1456-1))</f>
        <v/>
      </c>
      <c r="S1456" s="46">
        <f>(1-d_u)*S1455+IF(d_T&gt;in_topup_lag,SUMIFS(O1454:O1480,B1454:B1480,B1456-in_topup_lag)-d_udrop*SUMIFS(O1454:O1480,B1454:B1480,B1456-d_T),0)</f>
        <v/>
      </c>
      <c r="T1456" s="40">
        <f>F1456*d_u*S1456</f>
        <v/>
      </c>
      <c r="U1456" s="9">
        <f>L1456*in_ticket+M1456*d_rep_ticket</f>
        <v/>
      </c>
      <c r="V1456" s="9">
        <f>U1456+T1456*d_topup_amt</f>
        <v/>
      </c>
      <c r="W1456" s="40">
        <f>N1456+T1456*d_topup_ratio</f>
        <v/>
      </c>
      <c r="X1456" s="40">
        <f>SUMIFS(W1454:W1480,B1454:B1480,B1456-in_dpd_lag)*d_cured</f>
        <v/>
      </c>
      <c r="Y1456" s="40">
        <f>SUMIFS(W1454:W1480,B1454:B1480,B1456-in_rec_lag)*d_recd</f>
        <v/>
      </c>
      <c r="Z1456" s="40">
        <f>IF(AND(B1456&gt;=in_marketplace_from,B1456&lt;in_marketplace_from+in_card_months),in_card_share/in_card_months*F1456*I1456,IF(AND(B1456&gt;=in_marketplace_from+in_card_months,B1456&lt;in_marketplace_from+2*in_card_months),in_card_share*d_card_rem/in_card_months*F1456*MIN(in_takeup_cap,(1+in_takeup_growth)^(D1456-1))*MIN(in_takeup_cap,(1+in_approval_growth)^(D1456-1)),0))</f>
        <v/>
      </c>
      <c r="AA1456" s="14">
        <f>V1456*in_fee*(1-in_taken_back)</f>
        <v/>
      </c>
      <c r="AB1456" s="14">
        <f>SUMIFS(W1454:W1480,B1454:B1480,B1456-in_dpd_lag)*d_dpd</f>
        <v/>
      </c>
      <c r="AC1456" s="14">
        <f>SUMIFS(W1454:W1480,B1454:B1480,B1456-in_rec_lag)*d_rec</f>
        <v/>
      </c>
      <c r="AD1456" s="14">
        <f>Z1456*in_card_fee</f>
        <v/>
      </c>
      <c r="AE1456" s="40">
        <f>AE1455*(1-IF(B1455&gt;=in_marketplace_from,d_hz_hlth_small*G1455,0))</f>
        <v/>
      </c>
      <c r="AF1456" s="46">
        <f>AE1456*IF(B1456&gt;=in_marketplace_from,d_hz_hlth_small*G1456,0)</f>
        <v/>
      </c>
      <c r="AG1456" s="14">
        <f>F1456*AF1456*in_hlth_small_ticket*in_hlth_small_comm*in_ins_partner_share+F1456*in_hlth_small_ticket*in_hlth_small_renew_comm*in_ins_partner_share*(in_hlth_small_renew^1*SUMIFS(AF1454:AF1480,B1454:B1480,B1456-12)+in_hlth_small_renew^2*SUMIFS(AF1454:AF1480,B1454:B1480,B1456-24)+in_hlth_small_renew^3*SUMIFS(AF1454:AF1480,B1454:B1480,B1456-36)+in_hlth_small_renew^4*SUMIFS(AF1454:AF1480,B1454:B1480,B1456-48))</f>
        <v/>
      </c>
      <c r="AH1456" s="40">
        <f>AH1455*(1-IF(B1455&gt;=in_marketplace_from,d_hz_hlth_family*G1455,0))</f>
        <v/>
      </c>
      <c r="AI1456" s="46">
        <f>AH1456*IF(B1456&gt;=in_marketplace_from,d_hz_hlth_family*G1456,0)</f>
        <v/>
      </c>
      <c r="AJ1456" s="14">
        <f>F1456*AI1456*in_hlth_family_ticket*in_hlth_family_comm*in_ins_partner_share+F1456*in_hlth_family_ticket*in_hlth_family_renew_comm*in_ins_partner_share*(in_hlth_family_renew^1*SUMIFS(AI1454:AI1480,B1454:B1480,B1456-12)+in_hlth_family_renew^2*SUMIFS(AI1454:AI1480,B1454:B1480,B1456-24)+in_hlth_family_renew^3*SUMIFS(AI1454:AI1480,B1454:B1480,B1456-36)+in_hlth_family_renew^4*SUMIFS(AI1454:AI1480,B1454:B1480,B1456-48))</f>
        <v/>
      </c>
      <c r="AK1456" s="40">
        <f>AK1455*(1-IF(B1455&gt;=in_marketplace_from,d_hz_life_term*G1455,0))</f>
        <v/>
      </c>
      <c r="AL1456" s="46">
        <f>AK1456*IF(B1456&gt;=in_marketplace_from,d_hz_life_term*G1456,0)</f>
        <v/>
      </c>
      <c r="AM1456" s="14">
        <f>F1456*AL1456*in_life_term_ticket*in_life_term_comm*in_ins_partner_share+F1456*in_life_term_ticket*in_life_term_renew_comm*in_ins_partner_share*(in_life_term_renew^1*SUMIFS(AL1454:AL1480,B1454:B1480,B1456-12)+in_life_term_renew^2*SUMIFS(AL1454:AL1480,B1454:B1480,B1456-24)+in_life_term_renew^3*SUMIFS(AL1454:AL1480,B1454:B1480,B1456-36)+in_life_term_renew^4*SUMIFS(AL1454:AL1480,B1454:B1480,B1456-48))</f>
        <v/>
      </c>
      <c r="AN1456" s="40">
        <f>AN1455*(1-IF(B1455&gt;=in_marketplace_from,d_hz_accident*G1455,0))</f>
        <v/>
      </c>
      <c r="AO1456" s="46">
        <f>AN1456*IF(B1456&gt;=in_marketplace_from,d_hz_accident*G1456,0)</f>
        <v/>
      </c>
      <c r="AP1456" s="14">
        <f>F1456*AO1456*in_accident_ticket*in_accident_comm*in_ins_partner_share+F1456*in_accident_ticket*in_accident_renew_comm*in_ins_partner_share*(in_accident_renew^1*SUMIFS(AO1454:AO1480,B1454:B1480,B1456-12)+in_accident_renew^2*SUMIFS(AO1454:AO1480,B1454:B1480,B1456-24)+in_accident_renew^3*SUMIFS(AO1454:AO1480,B1454:B1480,B1456-36)+in_accident_renew^4*SUMIFS(AO1454:AO1480,B1454:B1480,B1456-48))</f>
        <v/>
      </c>
      <c r="AQ1456" s="40">
        <f>AQ1455*(1-IF(B1455&gt;=in_marketplace_from,d_hz_two_wheeler*G1455,0))</f>
        <v/>
      </c>
      <c r="AR1456" s="46">
        <f>AQ1456*IF(B1456&gt;=in_marketplace_from,d_hz_two_wheeler*G1456,0)</f>
        <v/>
      </c>
      <c r="AS1456" s="14">
        <f>F1456*AR1456*in_two_wheeler_ticket*in_two_wheeler_comm*in_ins_partner_share+F1456*in_two_wheeler_ticket*in_two_wheeler_comm*in_ins_partner_share*(in_two_wheeler_renew^1*SUMIFS(AR1454:AR1480,B1454:B1480,B1456-12)+in_two_wheeler_renew^2*SUMIFS(AR1454:AR1480,B1454:B1480,B1456-24)+in_two_wheeler_renew^3*SUMIFS(AR1454:AR1480,B1454:B1480,B1456-36)+in_two_wheeler_renew^4*SUMIFS(AR1454:AR1480,B1454:B1480,B1456-48))</f>
        <v/>
      </c>
      <c r="AT1456" s="40">
        <f>AT1455*(1-IF(B1455&gt;=in_marketplace_from,d_hz_device*G1455,0))</f>
        <v/>
      </c>
      <c r="AU1456" s="14">
        <f>F1456*AT1456*IF(B1456&gt;=in_marketplace_from,d_hz_device*G1456,0)*in_device_ticket*in_device_comm*in_ins_partner_share</f>
        <v/>
      </c>
      <c r="AV1456" s="40">
        <f>AV1455*(1-IF(B1455&gt;=in_marketplace_from,d_hz_shop*G1455,0))</f>
        <v/>
      </c>
      <c r="AW1456" s="46">
        <f>AV1456*IF(B1456&gt;=in_marketplace_from,d_hz_shop*G1456,0)</f>
        <v/>
      </c>
      <c r="AX1456" s="14">
        <f>F1456*AW1456*in_shop_ticket*in_shop_comm*in_ins_partner_share+F1456*in_shop_ticket*in_shop_renew_comm*in_ins_partner_share*(in_shop_renew^1*SUMIFS(AW1454:AW1480,B1454:B1480,B1456-12)+in_shop_renew^2*SUMIFS(AW1454:AW1480,B1454:B1480,B1456-24)+in_shop_renew^3*SUMIFS(AW1454:AW1480,B1454:B1480,B1456-36)+in_shop_renew^4*SUMIFS(AW1454:AW1480,B1454:B1480,B1456-48))</f>
        <v/>
      </c>
      <c r="AY1456" s="40">
        <f>AY1455*(1-IF(B1455&gt;=in_marketplace_from,d_hz_sip*G1455,0))</f>
        <v/>
      </c>
      <c r="AZ1456" s="40">
        <f>AZ1455*d_rho_sip+AY1456*IF(B1456&gt;=in_marketplace_from,d_hz_sip*G1456,0)</f>
        <v/>
      </c>
      <c r="BA1456" s="40">
        <f>d_rho_sip*(BA1455+AZ1455)</f>
        <v/>
      </c>
      <c r="BB1456" s="14">
        <f>F1456*in_sip_ticket*(BA1456+0.5*AZ1456)*in_sip_comm/12</f>
        <v/>
      </c>
      <c r="BC1456" s="40">
        <f>BC1455*(1-IF(B1455&gt;=in_marketplace_from,d_hz_choti*G1455,0))</f>
        <v/>
      </c>
      <c r="BD1456" s="46">
        <f>BC1456*IF(B1456&gt;=in_marketplace_from,d_hz_choti*G1456,0)</f>
        <v/>
      </c>
      <c r="BE1456" s="14">
        <f>F1456*SUMIFS(BD1454:BD1480,B1454:B1480,B1456-in_choti_months)*in_choti_renew*in_choti_ticket</f>
        <v/>
      </c>
      <c r="BF1456" s="40">
        <f>BF1455*(1-IF(B1455&gt;=in_marketplace_from,d_hz_nps*G1455,0))</f>
        <v/>
      </c>
      <c r="BG1456" s="14">
        <f>F1456*BF1456*IF(B1456&gt;=in_marketplace_from,d_hz_nps*G1456,0)*in_nps_ticket*in_nps_comm</f>
        <v/>
      </c>
      <c r="BH1456" s="40">
        <f>BH1455*(1-IF(B1455&gt;=in_marketplace_from,d_hz_gold*G1455,0))</f>
        <v/>
      </c>
      <c r="BI1456" s="40">
        <f>BI1455*d_rho_gold+BH1456*IF(B1456&gt;=in_marketplace_from,d_hz_gold*G1456,0)</f>
        <v/>
      </c>
      <c r="BJ1456" s="14">
        <f>F1456*BI1456*in_gold_ticket*in_gold_comm</f>
        <v/>
      </c>
      <c r="BK1456" s="40">
        <f>BK1455*(1-IF(B1455&gt;=in_marketplace_from,d_hz_fd*G1455,0))</f>
        <v/>
      </c>
      <c r="BL1456" s="14">
        <f>F1456*BK1456*IF(B1456&gt;=in_marketplace_from,d_hz_fd*G1456,0)*in_fd_ticket*in_fd_comm</f>
        <v/>
      </c>
      <c r="BM1456" s="40">
        <f>BM1455*(1-IF(B1455&gt;=in_marketplace_from,d_hz_recharge*G1455,0))</f>
        <v/>
      </c>
      <c r="BN1456" s="40">
        <f>BN1455*d_rho_recharge+BM1456*IF(B1456&gt;=in_marketplace_from,d_hz_recharge*G1456,0)</f>
        <v/>
      </c>
      <c r="BO1456" s="14">
        <f>F1456*BN1456*in_recharge_ticket*in_recharge_comm/12</f>
        <v/>
      </c>
      <c r="BP1456" s="40">
        <f>BP1455*(1-IF(B1455&gt;=in_marketplace_from,d_hz_bills*G1455,0))</f>
        <v/>
      </c>
      <c r="BQ1456" s="40">
        <f>BQ1455*d_rho_bills+BP1456*IF(B1456&gt;=in_marketplace_from,d_hz_bills*G1456,0)</f>
        <v/>
      </c>
      <c r="BR1456" s="14">
        <f>F1456*BQ1456*in_bills_ticket*in_bills_comm/12</f>
        <v/>
      </c>
      <c r="BS1456" s="40">
        <f>BS1455*(1-IF(B1455&gt;=in_marketplace_from,d_hz_loan_gold*G1455,0))</f>
        <v/>
      </c>
      <c r="BT1456" s="14">
        <f>F1456*BS1456*IF(B1456&gt;=in_marketplace_from,d_hz_loan_gold*G1456,0)*in_loan_gold_ticket*in_loan_gold_comm</f>
        <v/>
      </c>
      <c r="BU1456" s="40">
        <f>BU1455*(1-IF(B1455&gt;=in_marketplace_from,d_hz_loan_cd*G1455,0))</f>
        <v/>
      </c>
      <c r="BV1456" s="14">
        <f>F1456*BU1456*IF(B1456&gt;=in_marketplace_from,d_hz_loan_cd*G1456,0)*in_loan_cd_ticket*in_loan_cd_comm</f>
        <v/>
      </c>
      <c r="BW1456" s="40">
        <f>BW1455*(1-IF(B1455&gt;=in_marketplace_from,d_hz_loan_vehicle*G1455,0))</f>
        <v/>
      </c>
      <c r="BX1456" s="14">
        <f>F1456*BW1456*IF(B1456&gt;=in_marketplace_from,d_hz_loan_vehicle*G1456,0)*in_loan_vehicle_ticket*in_loan_vehicle_comm</f>
        <v/>
      </c>
      <c r="BY1456" s="40">
        <f>BY1455*(1-IF(B1455&gt;=in_marketplace_from,d_hz_loan_home*G1455,0)*BZ1455)</f>
        <v/>
      </c>
      <c r="BZ1456" s="11">
        <f>MIN(in_approval_cap,in_loan_home_approval*INDEX('Age profile'!$O$2:$O$61,B1456)*(1+in_approval_growth)^(D1456-1))</f>
        <v/>
      </c>
      <c r="CA1456" s="14">
        <f>F1456*BY1456*IF(B1456&gt;=in_marketplace_from,d_hz_loan_home*G1456,0)*BZ1456*in_loan_home_ticket*in_loan_home_comm</f>
        <v/>
      </c>
      <c r="CB1456" s="40">
        <f>CB1455*(1-IF(B1455&gt;=in_marketplace_from,d_hz_loan_lap*G1455,0)*CC1455)</f>
        <v/>
      </c>
      <c r="CC1456" s="11">
        <f>MIN(in_approval_cap,in_loan_lap_approval*INDEX('Age profile'!$O$2:$O$61,B1456)*(1+in_approval_growth)^(D1456-1))</f>
        <v/>
      </c>
      <c r="CD1456" s="14">
        <f>F1456*CB1456*IF(B1456&gt;=in_marketplace_from,d_hz_loan_lap*G1456,0)*CC1456*in_loan_lap_ticket*in_loan_lap_comm</f>
        <v/>
      </c>
      <c r="CE1456" s="14">
        <f>AA1456+AB1456+AC1456+AD1456+AG1456+AJ1456+AM1456+AP1456+AS1456+AU1456+AX1456+BB1456+BE1456+BG1456+BJ1456+BL1456+BO1456+BR1456+BT1456+BV1456+BX1456+CA1456+CD1456</f>
        <v/>
      </c>
    </row>
    <row r="1457">
      <c r="A1457" s="39" t="n">
        <v>34</v>
      </c>
      <c r="B1457" s="39" t="n">
        <v>4</v>
      </c>
      <c r="C1457" s="39">
        <f>A1457+B1457-1</f>
        <v/>
      </c>
      <c r="D1457" s="39">
        <f>INT((C1457-1)/12)+1</f>
        <v/>
      </c>
      <c r="E1457" s="44">
        <f>INDEX(Monthly!$B$2:$B$61,A1457)</f>
        <v/>
      </c>
      <c r="F1457" s="44">
        <f>E1457*INDEX('Age profile'!$B$2:$B$61,B1457)</f>
        <v/>
      </c>
      <c r="G1457" s="45">
        <f>MIN(in_takeup_cap,INDEX('Age profile'!$N$2:$N$61,B1457)*(1+in_takeup_growth)^(D1457-1))</f>
        <v/>
      </c>
      <c r="H1457" s="11">
        <f>MIN(in_approval_cap,in_approved_first*INDEX('Age profile'!$O$2:$O$61,B1457)*(1+in_approval_growth)^(D1457-1))</f>
        <v/>
      </c>
      <c r="I1457" s="45">
        <f>G1457*MIN(in_takeup_cap,INDEX('Age profile'!$O$2:$O$61,B1457)*(1+in_approval_growth)^(D1457-1))</f>
        <v/>
      </c>
      <c r="J1457" s="40">
        <f>(J1456-L1456)*F1457/F1456</f>
        <v/>
      </c>
      <c r="K1457" s="40">
        <f>(K1456-M1456)*F1457/F1456+SUMIFS(O1454:O1456,B1454:B1456,B1457-1-d_T)*F1457</f>
        <v/>
      </c>
      <c r="L1457" s="40">
        <f>IF(B1457&gt;=in_marketplace_from,J1457*d_hz*G1457*in_eligible*H1457,0)</f>
        <v/>
      </c>
      <c r="M1457" s="40">
        <f>IF(B1457&gt;=in_marketplace_from,K1457*d_hz*G1457*in_eligible*in_approved_repeat,0)</f>
        <v/>
      </c>
      <c r="N1457" s="40">
        <f>L1457+M1457</f>
        <v/>
      </c>
      <c r="O1457" s="46">
        <f>N1457/F1457</f>
        <v/>
      </c>
      <c r="P1457" s="40">
        <f>F1457-J1457-K1457</f>
        <v/>
      </c>
      <c r="Q1457" s="40">
        <f>IF(B1457&gt;=in_marketplace_from,(J1457+K1457)*d_hz*G1457,0)</f>
        <v/>
      </c>
      <c r="R1457" s="40">
        <f>SUMIFS(N1454:N1480,B1454:B1480,"&gt;="&amp;(B1457-d_T),B1454:B1480,"&lt;="&amp;(B1457-1))</f>
        <v/>
      </c>
      <c r="S1457" s="46">
        <f>(1-d_u)*S1456+IF(d_T&gt;in_topup_lag,SUMIFS(O1454:O1480,B1454:B1480,B1457-in_topup_lag)-d_udrop*SUMIFS(O1454:O1480,B1454:B1480,B1457-d_T),0)</f>
        <v/>
      </c>
      <c r="T1457" s="40">
        <f>F1457*d_u*S1457</f>
        <v/>
      </c>
      <c r="U1457" s="9">
        <f>L1457*in_ticket+M1457*d_rep_ticket</f>
        <v/>
      </c>
      <c r="V1457" s="9">
        <f>U1457+T1457*d_topup_amt</f>
        <v/>
      </c>
      <c r="W1457" s="40">
        <f>N1457+T1457*d_topup_ratio</f>
        <v/>
      </c>
      <c r="X1457" s="40">
        <f>SUMIFS(W1454:W1480,B1454:B1480,B1457-in_dpd_lag)*d_cured</f>
        <v/>
      </c>
      <c r="Y1457" s="40">
        <f>SUMIFS(W1454:W1480,B1454:B1480,B1457-in_rec_lag)*d_recd</f>
        <v/>
      </c>
      <c r="Z1457" s="40">
        <f>IF(AND(B1457&gt;=in_marketplace_from,B1457&lt;in_marketplace_from+in_card_months),in_card_share/in_card_months*F1457*I1457,IF(AND(B1457&gt;=in_marketplace_from+in_card_months,B1457&lt;in_marketplace_from+2*in_card_months),in_card_share*d_card_rem/in_card_months*F1457*MIN(in_takeup_cap,(1+in_takeup_growth)^(D1457-1))*MIN(in_takeup_cap,(1+in_approval_growth)^(D1457-1)),0))</f>
        <v/>
      </c>
      <c r="AA1457" s="14">
        <f>V1457*in_fee*(1-in_taken_back)</f>
        <v/>
      </c>
      <c r="AB1457" s="14">
        <f>SUMIFS(W1454:W1480,B1454:B1480,B1457-in_dpd_lag)*d_dpd</f>
        <v/>
      </c>
      <c r="AC1457" s="14">
        <f>SUMIFS(W1454:W1480,B1454:B1480,B1457-in_rec_lag)*d_rec</f>
        <v/>
      </c>
      <c r="AD1457" s="14">
        <f>Z1457*in_card_fee</f>
        <v/>
      </c>
      <c r="AE1457" s="40">
        <f>AE1456*(1-IF(B1456&gt;=in_marketplace_from,d_hz_hlth_small*G1456,0))</f>
        <v/>
      </c>
      <c r="AF1457" s="46">
        <f>AE1457*IF(B1457&gt;=in_marketplace_from,d_hz_hlth_small*G1457,0)</f>
        <v/>
      </c>
      <c r="AG1457" s="14">
        <f>F1457*AF1457*in_hlth_small_ticket*in_hlth_small_comm*in_ins_partner_share+F1457*in_hlth_small_ticket*in_hlth_small_renew_comm*in_ins_partner_share*(in_hlth_small_renew^1*SUMIFS(AF1454:AF1480,B1454:B1480,B1457-12)+in_hlth_small_renew^2*SUMIFS(AF1454:AF1480,B1454:B1480,B1457-24)+in_hlth_small_renew^3*SUMIFS(AF1454:AF1480,B1454:B1480,B1457-36)+in_hlth_small_renew^4*SUMIFS(AF1454:AF1480,B1454:B1480,B1457-48))</f>
        <v/>
      </c>
      <c r="AH1457" s="40">
        <f>AH1456*(1-IF(B1456&gt;=in_marketplace_from,d_hz_hlth_family*G1456,0))</f>
        <v/>
      </c>
      <c r="AI1457" s="46">
        <f>AH1457*IF(B1457&gt;=in_marketplace_from,d_hz_hlth_family*G1457,0)</f>
        <v/>
      </c>
      <c r="AJ1457" s="14">
        <f>F1457*AI1457*in_hlth_family_ticket*in_hlth_family_comm*in_ins_partner_share+F1457*in_hlth_family_ticket*in_hlth_family_renew_comm*in_ins_partner_share*(in_hlth_family_renew^1*SUMIFS(AI1454:AI1480,B1454:B1480,B1457-12)+in_hlth_family_renew^2*SUMIFS(AI1454:AI1480,B1454:B1480,B1457-24)+in_hlth_family_renew^3*SUMIFS(AI1454:AI1480,B1454:B1480,B1457-36)+in_hlth_family_renew^4*SUMIFS(AI1454:AI1480,B1454:B1480,B1457-48))</f>
        <v/>
      </c>
      <c r="AK1457" s="40">
        <f>AK1456*(1-IF(B1456&gt;=in_marketplace_from,d_hz_life_term*G1456,0))</f>
        <v/>
      </c>
      <c r="AL1457" s="46">
        <f>AK1457*IF(B1457&gt;=in_marketplace_from,d_hz_life_term*G1457,0)</f>
        <v/>
      </c>
      <c r="AM1457" s="14">
        <f>F1457*AL1457*in_life_term_ticket*in_life_term_comm*in_ins_partner_share+F1457*in_life_term_ticket*in_life_term_renew_comm*in_ins_partner_share*(in_life_term_renew^1*SUMIFS(AL1454:AL1480,B1454:B1480,B1457-12)+in_life_term_renew^2*SUMIFS(AL1454:AL1480,B1454:B1480,B1457-24)+in_life_term_renew^3*SUMIFS(AL1454:AL1480,B1454:B1480,B1457-36)+in_life_term_renew^4*SUMIFS(AL1454:AL1480,B1454:B1480,B1457-48))</f>
        <v/>
      </c>
      <c r="AN1457" s="40">
        <f>AN1456*(1-IF(B1456&gt;=in_marketplace_from,d_hz_accident*G1456,0))</f>
        <v/>
      </c>
      <c r="AO1457" s="46">
        <f>AN1457*IF(B1457&gt;=in_marketplace_from,d_hz_accident*G1457,0)</f>
        <v/>
      </c>
      <c r="AP1457" s="14">
        <f>F1457*AO1457*in_accident_ticket*in_accident_comm*in_ins_partner_share+F1457*in_accident_ticket*in_accident_renew_comm*in_ins_partner_share*(in_accident_renew^1*SUMIFS(AO1454:AO1480,B1454:B1480,B1457-12)+in_accident_renew^2*SUMIFS(AO1454:AO1480,B1454:B1480,B1457-24)+in_accident_renew^3*SUMIFS(AO1454:AO1480,B1454:B1480,B1457-36)+in_accident_renew^4*SUMIFS(AO1454:AO1480,B1454:B1480,B1457-48))</f>
        <v/>
      </c>
      <c r="AQ1457" s="40">
        <f>AQ1456*(1-IF(B1456&gt;=in_marketplace_from,d_hz_two_wheeler*G1456,0))</f>
        <v/>
      </c>
      <c r="AR1457" s="46">
        <f>AQ1457*IF(B1457&gt;=in_marketplace_from,d_hz_two_wheeler*G1457,0)</f>
        <v/>
      </c>
      <c r="AS1457" s="14">
        <f>F1457*AR1457*in_two_wheeler_ticket*in_two_wheeler_comm*in_ins_partner_share+F1457*in_two_wheeler_ticket*in_two_wheeler_comm*in_ins_partner_share*(in_two_wheeler_renew^1*SUMIFS(AR1454:AR1480,B1454:B1480,B1457-12)+in_two_wheeler_renew^2*SUMIFS(AR1454:AR1480,B1454:B1480,B1457-24)+in_two_wheeler_renew^3*SUMIFS(AR1454:AR1480,B1454:B1480,B1457-36)+in_two_wheeler_renew^4*SUMIFS(AR1454:AR1480,B1454:B1480,B1457-48))</f>
        <v/>
      </c>
      <c r="AT1457" s="40">
        <f>AT1456*(1-IF(B1456&gt;=in_marketplace_from,d_hz_device*G1456,0))</f>
        <v/>
      </c>
      <c r="AU1457" s="14">
        <f>F1457*AT1457*IF(B1457&gt;=in_marketplace_from,d_hz_device*G1457,0)*in_device_ticket*in_device_comm*in_ins_partner_share</f>
        <v/>
      </c>
      <c r="AV1457" s="40">
        <f>AV1456*(1-IF(B1456&gt;=in_marketplace_from,d_hz_shop*G1456,0))</f>
        <v/>
      </c>
      <c r="AW1457" s="46">
        <f>AV1457*IF(B1457&gt;=in_marketplace_from,d_hz_shop*G1457,0)</f>
        <v/>
      </c>
      <c r="AX1457" s="14">
        <f>F1457*AW1457*in_shop_ticket*in_shop_comm*in_ins_partner_share+F1457*in_shop_ticket*in_shop_renew_comm*in_ins_partner_share*(in_shop_renew^1*SUMIFS(AW1454:AW1480,B1454:B1480,B1457-12)+in_shop_renew^2*SUMIFS(AW1454:AW1480,B1454:B1480,B1457-24)+in_shop_renew^3*SUMIFS(AW1454:AW1480,B1454:B1480,B1457-36)+in_shop_renew^4*SUMIFS(AW1454:AW1480,B1454:B1480,B1457-48))</f>
        <v/>
      </c>
      <c r="AY1457" s="40">
        <f>AY1456*(1-IF(B1456&gt;=in_marketplace_from,d_hz_sip*G1456,0))</f>
        <v/>
      </c>
      <c r="AZ1457" s="40">
        <f>AZ1456*d_rho_sip+AY1457*IF(B1457&gt;=in_marketplace_from,d_hz_sip*G1457,0)</f>
        <v/>
      </c>
      <c r="BA1457" s="40">
        <f>d_rho_sip*(BA1456+AZ1456)</f>
        <v/>
      </c>
      <c r="BB1457" s="14">
        <f>F1457*in_sip_ticket*(BA1457+0.5*AZ1457)*in_sip_comm/12</f>
        <v/>
      </c>
      <c r="BC1457" s="40">
        <f>BC1456*(1-IF(B1456&gt;=in_marketplace_from,d_hz_choti*G1456,0))</f>
        <v/>
      </c>
      <c r="BD1457" s="46">
        <f>BC1457*IF(B1457&gt;=in_marketplace_from,d_hz_choti*G1457,0)</f>
        <v/>
      </c>
      <c r="BE1457" s="14">
        <f>F1457*SUMIFS(BD1454:BD1480,B1454:B1480,B1457-in_choti_months)*in_choti_renew*in_choti_ticket</f>
        <v/>
      </c>
      <c r="BF1457" s="40">
        <f>BF1456*(1-IF(B1456&gt;=in_marketplace_from,d_hz_nps*G1456,0))</f>
        <v/>
      </c>
      <c r="BG1457" s="14">
        <f>F1457*BF1457*IF(B1457&gt;=in_marketplace_from,d_hz_nps*G1457,0)*in_nps_ticket*in_nps_comm</f>
        <v/>
      </c>
      <c r="BH1457" s="40">
        <f>BH1456*(1-IF(B1456&gt;=in_marketplace_from,d_hz_gold*G1456,0))</f>
        <v/>
      </c>
      <c r="BI1457" s="40">
        <f>BI1456*d_rho_gold+BH1457*IF(B1457&gt;=in_marketplace_from,d_hz_gold*G1457,0)</f>
        <v/>
      </c>
      <c r="BJ1457" s="14">
        <f>F1457*BI1457*in_gold_ticket*in_gold_comm</f>
        <v/>
      </c>
      <c r="BK1457" s="40">
        <f>BK1456*(1-IF(B1456&gt;=in_marketplace_from,d_hz_fd*G1456,0))</f>
        <v/>
      </c>
      <c r="BL1457" s="14">
        <f>F1457*BK1457*IF(B1457&gt;=in_marketplace_from,d_hz_fd*G1457,0)*in_fd_ticket*in_fd_comm</f>
        <v/>
      </c>
      <c r="BM1457" s="40">
        <f>BM1456*(1-IF(B1456&gt;=in_marketplace_from,d_hz_recharge*G1456,0))</f>
        <v/>
      </c>
      <c r="BN1457" s="40">
        <f>BN1456*d_rho_recharge+BM1457*IF(B1457&gt;=in_marketplace_from,d_hz_recharge*G1457,0)</f>
        <v/>
      </c>
      <c r="BO1457" s="14">
        <f>F1457*BN1457*in_recharge_ticket*in_recharge_comm/12</f>
        <v/>
      </c>
      <c r="BP1457" s="40">
        <f>BP1456*(1-IF(B1456&gt;=in_marketplace_from,d_hz_bills*G1456,0))</f>
        <v/>
      </c>
      <c r="BQ1457" s="40">
        <f>BQ1456*d_rho_bills+BP1457*IF(B1457&gt;=in_marketplace_from,d_hz_bills*G1457,0)</f>
        <v/>
      </c>
      <c r="BR1457" s="14">
        <f>F1457*BQ1457*in_bills_ticket*in_bills_comm/12</f>
        <v/>
      </c>
      <c r="BS1457" s="40">
        <f>BS1456*(1-IF(B1456&gt;=in_marketplace_from,d_hz_loan_gold*G1456,0))</f>
        <v/>
      </c>
      <c r="BT1457" s="14">
        <f>F1457*BS1457*IF(B1457&gt;=in_marketplace_from,d_hz_loan_gold*G1457,0)*in_loan_gold_ticket*in_loan_gold_comm</f>
        <v/>
      </c>
      <c r="BU1457" s="40">
        <f>BU1456*(1-IF(B1456&gt;=in_marketplace_from,d_hz_loan_cd*G1456,0))</f>
        <v/>
      </c>
      <c r="BV1457" s="14">
        <f>F1457*BU1457*IF(B1457&gt;=in_marketplace_from,d_hz_loan_cd*G1457,0)*in_loan_cd_ticket*in_loan_cd_comm</f>
        <v/>
      </c>
      <c r="BW1457" s="40">
        <f>BW1456*(1-IF(B1456&gt;=in_marketplace_from,d_hz_loan_vehicle*G1456,0))</f>
        <v/>
      </c>
      <c r="BX1457" s="14">
        <f>F1457*BW1457*IF(B1457&gt;=in_marketplace_from,d_hz_loan_vehicle*G1457,0)*in_loan_vehicle_ticket*in_loan_vehicle_comm</f>
        <v/>
      </c>
      <c r="BY1457" s="40">
        <f>BY1456*(1-IF(B1456&gt;=in_marketplace_from,d_hz_loan_home*G1456,0)*BZ1456)</f>
        <v/>
      </c>
      <c r="BZ1457" s="11">
        <f>MIN(in_approval_cap,in_loan_home_approval*INDEX('Age profile'!$O$2:$O$61,B1457)*(1+in_approval_growth)^(D1457-1))</f>
        <v/>
      </c>
      <c r="CA1457" s="14">
        <f>F1457*BY1457*IF(B1457&gt;=in_marketplace_from,d_hz_loan_home*G1457,0)*BZ1457*in_loan_home_ticket*in_loan_home_comm</f>
        <v/>
      </c>
      <c r="CB1457" s="40">
        <f>CB1456*(1-IF(B1456&gt;=in_marketplace_from,d_hz_loan_lap*G1456,0)*CC1456)</f>
        <v/>
      </c>
      <c r="CC1457" s="11">
        <f>MIN(in_approval_cap,in_loan_lap_approval*INDEX('Age profile'!$O$2:$O$61,B1457)*(1+in_approval_growth)^(D1457-1))</f>
        <v/>
      </c>
      <c r="CD1457" s="14">
        <f>F1457*CB1457*IF(B1457&gt;=in_marketplace_from,d_hz_loan_lap*G1457,0)*CC1457*in_loan_lap_ticket*in_loan_lap_comm</f>
        <v/>
      </c>
      <c r="CE1457" s="14">
        <f>AA1457+AB1457+AC1457+AD1457+AG1457+AJ1457+AM1457+AP1457+AS1457+AU1457+AX1457+BB1457+BE1457+BG1457+BJ1457+BL1457+BO1457+BR1457+BT1457+BV1457+BX1457+CA1457+CD1457</f>
        <v/>
      </c>
    </row>
    <row r="1458">
      <c r="A1458" s="39" t="n">
        <v>34</v>
      </c>
      <c r="B1458" s="39" t="n">
        <v>5</v>
      </c>
      <c r="C1458" s="39">
        <f>A1458+B1458-1</f>
        <v/>
      </c>
      <c r="D1458" s="39">
        <f>INT((C1458-1)/12)+1</f>
        <v/>
      </c>
      <c r="E1458" s="44">
        <f>INDEX(Monthly!$B$2:$B$61,A1458)</f>
        <v/>
      </c>
      <c r="F1458" s="44">
        <f>E1458*INDEX('Age profile'!$B$2:$B$61,B1458)</f>
        <v/>
      </c>
      <c r="G1458" s="45">
        <f>MIN(in_takeup_cap,INDEX('Age profile'!$N$2:$N$61,B1458)*(1+in_takeup_growth)^(D1458-1))</f>
        <v/>
      </c>
      <c r="H1458" s="11">
        <f>MIN(in_approval_cap,in_approved_first*INDEX('Age profile'!$O$2:$O$61,B1458)*(1+in_approval_growth)^(D1458-1))</f>
        <v/>
      </c>
      <c r="I1458" s="45">
        <f>G1458*MIN(in_takeup_cap,INDEX('Age profile'!$O$2:$O$61,B1458)*(1+in_approval_growth)^(D1458-1))</f>
        <v/>
      </c>
      <c r="J1458" s="40">
        <f>(J1457-L1457)*F1458/F1457</f>
        <v/>
      </c>
      <c r="K1458" s="40">
        <f>(K1457-M1457)*F1458/F1457+SUMIFS(O1454:O1457,B1454:B1457,B1458-1-d_T)*F1458</f>
        <v/>
      </c>
      <c r="L1458" s="40">
        <f>IF(B1458&gt;=in_marketplace_from,J1458*d_hz*G1458*in_eligible*H1458,0)</f>
        <v/>
      </c>
      <c r="M1458" s="40">
        <f>IF(B1458&gt;=in_marketplace_from,K1458*d_hz*G1458*in_eligible*in_approved_repeat,0)</f>
        <v/>
      </c>
      <c r="N1458" s="40">
        <f>L1458+M1458</f>
        <v/>
      </c>
      <c r="O1458" s="46">
        <f>N1458/F1458</f>
        <v/>
      </c>
      <c r="P1458" s="40">
        <f>F1458-J1458-K1458</f>
        <v/>
      </c>
      <c r="Q1458" s="40">
        <f>IF(B1458&gt;=in_marketplace_from,(J1458+K1458)*d_hz*G1458,0)</f>
        <v/>
      </c>
      <c r="R1458" s="40">
        <f>SUMIFS(N1454:N1480,B1454:B1480,"&gt;="&amp;(B1458-d_T),B1454:B1480,"&lt;="&amp;(B1458-1))</f>
        <v/>
      </c>
      <c r="S1458" s="46">
        <f>(1-d_u)*S1457+IF(d_T&gt;in_topup_lag,SUMIFS(O1454:O1480,B1454:B1480,B1458-in_topup_lag)-d_udrop*SUMIFS(O1454:O1480,B1454:B1480,B1458-d_T),0)</f>
        <v/>
      </c>
      <c r="T1458" s="40">
        <f>F1458*d_u*S1458</f>
        <v/>
      </c>
      <c r="U1458" s="9">
        <f>L1458*in_ticket+M1458*d_rep_ticket</f>
        <v/>
      </c>
      <c r="V1458" s="9">
        <f>U1458+T1458*d_topup_amt</f>
        <v/>
      </c>
      <c r="W1458" s="40">
        <f>N1458+T1458*d_topup_ratio</f>
        <v/>
      </c>
      <c r="X1458" s="40">
        <f>SUMIFS(W1454:W1480,B1454:B1480,B1458-in_dpd_lag)*d_cured</f>
        <v/>
      </c>
      <c r="Y1458" s="40">
        <f>SUMIFS(W1454:W1480,B1454:B1480,B1458-in_rec_lag)*d_recd</f>
        <v/>
      </c>
      <c r="Z1458" s="40">
        <f>IF(AND(B1458&gt;=in_marketplace_from,B1458&lt;in_marketplace_from+in_card_months),in_card_share/in_card_months*F1458*I1458,IF(AND(B1458&gt;=in_marketplace_from+in_card_months,B1458&lt;in_marketplace_from+2*in_card_months),in_card_share*d_card_rem/in_card_months*F1458*MIN(in_takeup_cap,(1+in_takeup_growth)^(D1458-1))*MIN(in_takeup_cap,(1+in_approval_growth)^(D1458-1)),0))</f>
        <v/>
      </c>
      <c r="AA1458" s="14">
        <f>V1458*in_fee*(1-in_taken_back)</f>
        <v/>
      </c>
      <c r="AB1458" s="14">
        <f>SUMIFS(W1454:W1480,B1454:B1480,B1458-in_dpd_lag)*d_dpd</f>
        <v/>
      </c>
      <c r="AC1458" s="14">
        <f>SUMIFS(W1454:W1480,B1454:B1480,B1458-in_rec_lag)*d_rec</f>
        <v/>
      </c>
      <c r="AD1458" s="14">
        <f>Z1458*in_card_fee</f>
        <v/>
      </c>
      <c r="AE1458" s="40">
        <f>AE1457*(1-IF(B1457&gt;=in_marketplace_from,d_hz_hlth_small*G1457,0))</f>
        <v/>
      </c>
      <c r="AF1458" s="46">
        <f>AE1458*IF(B1458&gt;=in_marketplace_from,d_hz_hlth_small*G1458,0)</f>
        <v/>
      </c>
      <c r="AG1458" s="14">
        <f>F1458*AF1458*in_hlth_small_ticket*in_hlth_small_comm*in_ins_partner_share+F1458*in_hlth_small_ticket*in_hlth_small_renew_comm*in_ins_partner_share*(in_hlth_small_renew^1*SUMIFS(AF1454:AF1480,B1454:B1480,B1458-12)+in_hlth_small_renew^2*SUMIFS(AF1454:AF1480,B1454:B1480,B1458-24)+in_hlth_small_renew^3*SUMIFS(AF1454:AF1480,B1454:B1480,B1458-36)+in_hlth_small_renew^4*SUMIFS(AF1454:AF1480,B1454:B1480,B1458-48))</f>
        <v/>
      </c>
      <c r="AH1458" s="40">
        <f>AH1457*(1-IF(B1457&gt;=in_marketplace_from,d_hz_hlth_family*G1457,0))</f>
        <v/>
      </c>
      <c r="AI1458" s="46">
        <f>AH1458*IF(B1458&gt;=in_marketplace_from,d_hz_hlth_family*G1458,0)</f>
        <v/>
      </c>
      <c r="AJ1458" s="14">
        <f>F1458*AI1458*in_hlth_family_ticket*in_hlth_family_comm*in_ins_partner_share+F1458*in_hlth_family_ticket*in_hlth_family_renew_comm*in_ins_partner_share*(in_hlth_family_renew^1*SUMIFS(AI1454:AI1480,B1454:B1480,B1458-12)+in_hlth_family_renew^2*SUMIFS(AI1454:AI1480,B1454:B1480,B1458-24)+in_hlth_family_renew^3*SUMIFS(AI1454:AI1480,B1454:B1480,B1458-36)+in_hlth_family_renew^4*SUMIFS(AI1454:AI1480,B1454:B1480,B1458-48))</f>
        <v/>
      </c>
      <c r="AK1458" s="40">
        <f>AK1457*(1-IF(B1457&gt;=in_marketplace_from,d_hz_life_term*G1457,0))</f>
        <v/>
      </c>
      <c r="AL1458" s="46">
        <f>AK1458*IF(B1458&gt;=in_marketplace_from,d_hz_life_term*G1458,0)</f>
        <v/>
      </c>
      <c r="AM1458" s="14">
        <f>F1458*AL1458*in_life_term_ticket*in_life_term_comm*in_ins_partner_share+F1458*in_life_term_ticket*in_life_term_renew_comm*in_ins_partner_share*(in_life_term_renew^1*SUMIFS(AL1454:AL1480,B1454:B1480,B1458-12)+in_life_term_renew^2*SUMIFS(AL1454:AL1480,B1454:B1480,B1458-24)+in_life_term_renew^3*SUMIFS(AL1454:AL1480,B1454:B1480,B1458-36)+in_life_term_renew^4*SUMIFS(AL1454:AL1480,B1454:B1480,B1458-48))</f>
        <v/>
      </c>
      <c r="AN1458" s="40">
        <f>AN1457*(1-IF(B1457&gt;=in_marketplace_from,d_hz_accident*G1457,0))</f>
        <v/>
      </c>
      <c r="AO1458" s="46">
        <f>AN1458*IF(B1458&gt;=in_marketplace_from,d_hz_accident*G1458,0)</f>
        <v/>
      </c>
      <c r="AP1458" s="14">
        <f>F1458*AO1458*in_accident_ticket*in_accident_comm*in_ins_partner_share+F1458*in_accident_ticket*in_accident_renew_comm*in_ins_partner_share*(in_accident_renew^1*SUMIFS(AO1454:AO1480,B1454:B1480,B1458-12)+in_accident_renew^2*SUMIFS(AO1454:AO1480,B1454:B1480,B1458-24)+in_accident_renew^3*SUMIFS(AO1454:AO1480,B1454:B1480,B1458-36)+in_accident_renew^4*SUMIFS(AO1454:AO1480,B1454:B1480,B1458-48))</f>
        <v/>
      </c>
      <c r="AQ1458" s="40">
        <f>AQ1457*(1-IF(B1457&gt;=in_marketplace_from,d_hz_two_wheeler*G1457,0))</f>
        <v/>
      </c>
      <c r="AR1458" s="46">
        <f>AQ1458*IF(B1458&gt;=in_marketplace_from,d_hz_two_wheeler*G1458,0)</f>
        <v/>
      </c>
      <c r="AS1458" s="14">
        <f>F1458*AR1458*in_two_wheeler_ticket*in_two_wheeler_comm*in_ins_partner_share+F1458*in_two_wheeler_ticket*in_two_wheeler_comm*in_ins_partner_share*(in_two_wheeler_renew^1*SUMIFS(AR1454:AR1480,B1454:B1480,B1458-12)+in_two_wheeler_renew^2*SUMIFS(AR1454:AR1480,B1454:B1480,B1458-24)+in_two_wheeler_renew^3*SUMIFS(AR1454:AR1480,B1454:B1480,B1458-36)+in_two_wheeler_renew^4*SUMIFS(AR1454:AR1480,B1454:B1480,B1458-48))</f>
        <v/>
      </c>
      <c r="AT1458" s="40">
        <f>AT1457*(1-IF(B1457&gt;=in_marketplace_from,d_hz_device*G1457,0))</f>
        <v/>
      </c>
      <c r="AU1458" s="14">
        <f>F1458*AT1458*IF(B1458&gt;=in_marketplace_from,d_hz_device*G1458,0)*in_device_ticket*in_device_comm*in_ins_partner_share</f>
        <v/>
      </c>
      <c r="AV1458" s="40">
        <f>AV1457*(1-IF(B1457&gt;=in_marketplace_from,d_hz_shop*G1457,0))</f>
        <v/>
      </c>
      <c r="AW1458" s="46">
        <f>AV1458*IF(B1458&gt;=in_marketplace_from,d_hz_shop*G1458,0)</f>
        <v/>
      </c>
      <c r="AX1458" s="14">
        <f>F1458*AW1458*in_shop_ticket*in_shop_comm*in_ins_partner_share+F1458*in_shop_ticket*in_shop_renew_comm*in_ins_partner_share*(in_shop_renew^1*SUMIFS(AW1454:AW1480,B1454:B1480,B1458-12)+in_shop_renew^2*SUMIFS(AW1454:AW1480,B1454:B1480,B1458-24)+in_shop_renew^3*SUMIFS(AW1454:AW1480,B1454:B1480,B1458-36)+in_shop_renew^4*SUMIFS(AW1454:AW1480,B1454:B1480,B1458-48))</f>
        <v/>
      </c>
      <c r="AY1458" s="40">
        <f>AY1457*(1-IF(B1457&gt;=in_marketplace_from,d_hz_sip*G1457,0))</f>
        <v/>
      </c>
      <c r="AZ1458" s="40">
        <f>AZ1457*d_rho_sip+AY1458*IF(B1458&gt;=in_marketplace_from,d_hz_sip*G1458,0)</f>
        <v/>
      </c>
      <c r="BA1458" s="40">
        <f>d_rho_sip*(BA1457+AZ1457)</f>
        <v/>
      </c>
      <c r="BB1458" s="14">
        <f>F1458*in_sip_ticket*(BA1458+0.5*AZ1458)*in_sip_comm/12</f>
        <v/>
      </c>
      <c r="BC1458" s="40">
        <f>BC1457*(1-IF(B1457&gt;=in_marketplace_from,d_hz_choti*G1457,0))</f>
        <v/>
      </c>
      <c r="BD1458" s="46">
        <f>BC1458*IF(B1458&gt;=in_marketplace_from,d_hz_choti*G1458,0)</f>
        <v/>
      </c>
      <c r="BE1458" s="14">
        <f>F1458*SUMIFS(BD1454:BD1480,B1454:B1480,B1458-in_choti_months)*in_choti_renew*in_choti_ticket</f>
        <v/>
      </c>
      <c r="BF1458" s="40">
        <f>BF1457*(1-IF(B1457&gt;=in_marketplace_from,d_hz_nps*G1457,0))</f>
        <v/>
      </c>
      <c r="BG1458" s="14">
        <f>F1458*BF1458*IF(B1458&gt;=in_marketplace_from,d_hz_nps*G1458,0)*in_nps_ticket*in_nps_comm</f>
        <v/>
      </c>
      <c r="BH1458" s="40">
        <f>BH1457*(1-IF(B1457&gt;=in_marketplace_from,d_hz_gold*G1457,0))</f>
        <v/>
      </c>
      <c r="BI1458" s="40">
        <f>BI1457*d_rho_gold+BH1458*IF(B1458&gt;=in_marketplace_from,d_hz_gold*G1458,0)</f>
        <v/>
      </c>
      <c r="BJ1458" s="14">
        <f>F1458*BI1458*in_gold_ticket*in_gold_comm</f>
        <v/>
      </c>
      <c r="BK1458" s="40">
        <f>BK1457*(1-IF(B1457&gt;=in_marketplace_from,d_hz_fd*G1457,0))</f>
        <v/>
      </c>
      <c r="BL1458" s="14">
        <f>F1458*BK1458*IF(B1458&gt;=in_marketplace_from,d_hz_fd*G1458,0)*in_fd_ticket*in_fd_comm</f>
        <v/>
      </c>
      <c r="BM1458" s="40">
        <f>BM1457*(1-IF(B1457&gt;=in_marketplace_from,d_hz_recharge*G1457,0))</f>
        <v/>
      </c>
      <c r="BN1458" s="40">
        <f>BN1457*d_rho_recharge+BM1458*IF(B1458&gt;=in_marketplace_from,d_hz_recharge*G1458,0)</f>
        <v/>
      </c>
      <c r="BO1458" s="14">
        <f>F1458*BN1458*in_recharge_ticket*in_recharge_comm/12</f>
        <v/>
      </c>
      <c r="BP1458" s="40">
        <f>BP1457*(1-IF(B1457&gt;=in_marketplace_from,d_hz_bills*G1457,0))</f>
        <v/>
      </c>
      <c r="BQ1458" s="40">
        <f>BQ1457*d_rho_bills+BP1458*IF(B1458&gt;=in_marketplace_from,d_hz_bills*G1458,0)</f>
        <v/>
      </c>
      <c r="BR1458" s="14">
        <f>F1458*BQ1458*in_bills_ticket*in_bills_comm/12</f>
        <v/>
      </c>
      <c r="BS1458" s="40">
        <f>BS1457*(1-IF(B1457&gt;=in_marketplace_from,d_hz_loan_gold*G1457,0))</f>
        <v/>
      </c>
      <c r="BT1458" s="14">
        <f>F1458*BS1458*IF(B1458&gt;=in_marketplace_from,d_hz_loan_gold*G1458,0)*in_loan_gold_ticket*in_loan_gold_comm</f>
        <v/>
      </c>
      <c r="BU1458" s="40">
        <f>BU1457*(1-IF(B1457&gt;=in_marketplace_from,d_hz_loan_cd*G1457,0))</f>
        <v/>
      </c>
      <c r="BV1458" s="14">
        <f>F1458*BU1458*IF(B1458&gt;=in_marketplace_from,d_hz_loan_cd*G1458,0)*in_loan_cd_ticket*in_loan_cd_comm</f>
        <v/>
      </c>
      <c r="BW1458" s="40">
        <f>BW1457*(1-IF(B1457&gt;=in_marketplace_from,d_hz_loan_vehicle*G1457,0))</f>
        <v/>
      </c>
      <c r="BX1458" s="14">
        <f>F1458*BW1458*IF(B1458&gt;=in_marketplace_from,d_hz_loan_vehicle*G1458,0)*in_loan_vehicle_ticket*in_loan_vehicle_comm</f>
        <v/>
      </c>
      <c r="BY1458" s="40">
        <f>BY1457*(1-IF(B1457&gt;=in_marketplace_from,d_hz_loan_home*G1457,0)*BZ1457)</f>
        <v/>
      </c>
      <c r="BZ1458" s="11">
        <f>MIN(in_approval_cap,in_loan_home_approval*INDEX('Age profile'!$O$2:$O$61,B1458)*(1+in_approval_growth)^(D1458-1))</f>
        <v/>
      </c>
      <c r="CA1458" s="14">
        <f>F1458*BY1458*IF(B1458&gt;=in_marketplace_from,d_hz_loan_home*G1458,0)*BZ1458*in_loan_home_ticket*in_loan_home_comm</f>
        <v/>
      </c>
      <c r="CB1458" s="40">
        <f>CB1457*(1-IF(B1457&gt;=in_marketplace_from,d_hz_loan_lap*G1457,0)*CC1457)</f>
        <v/>
      </c>
      <c r="CC1458" s="11">
        <f>MIN(in_approval_cap,in_loan_lap_approval*INDEX('Age profile'!$O$2:$O$61,B1458)*(1+in_approval_growth)^(D1458-1))</f>
        <v/>
      </c>
      <c r="CD1458" s="14">
        <f>F1458*CB1458*IF(B1458&gt;=in_marketplace_from,d_hz_loan_lap*G1458,0)*CC1458*in_loan_lap_ticket*in_loan_lap_comm</f>
        <v/>
      </c>
      <c r="CE1458" s="14">
        <f>AA1458+AB1458+AC1458+AD1458+AG1458+AJ1458+AM1458+AP1458+AS1458+AU1458+AX1458+BB1458+BE1458+BG1458+BJ1458+BL1458+BO1458+BR1458+BT1458+BV1458+BX1458+CA1458+CD1458</f>
        <v/>
      </c>
    </row>
    <row r="1459">
      <c r="A1459" s="39" t="n">
        <v>34</v>
      </c>
      <c r="B1459" s="39" t="n">
        <v>6</v>
      </c>
      <c r="C1459" s="39">
        <f>A1459+B1459-1</f>
        <v/>
      </c>
      <c r="D1459" s="39">
        <f>INT((C1459-1)/12)+1</f>
        <v/>
      </c>
      <c r="E1459" s="44">
        <f>INDEX(Monthly!$B$2:$B$61,A1459)</f>
        <v/>
      </c>
      <c r="F1459" s="44">
        <f>E1459*INDEX('Age profile'!$B$2:$B$61,B1459)</f>
        <v/>
      </c>
      <c r="G1459" s="45">
        <f>MIN(in_takeup_cap,INDEX('Age profile'!$N$2:$N$61,B1459)*(1+in_takeup_growth)^(D1459-1))</f>
        <v/>
      </c>
      <c r="H1459" s="11">
        <f>MIN(in_approval_cap,in_approved_first*INDEX('Age profile'!$O$2:$O$61,B1459)*(1+in_approval_growth)^(D1459-1))</f>
        <v/>
      </c>
      <c r="I1459" s="45">
        <f>G1459*MIN(in_takeup_cap,INDEX('Age profile'!$O$2:$O$61,B1459)*(1+in_approval_growth)^(D1459-1))</f>
        <v/>
      </c>
      <c r="J1459" s="40">
        <f>(J1458-L1458)*F1459/F1458</f>
        <v/>
      </c>
      <c r="K1459" s="40">
        <f>(K1458-M1458)*F1459/F1458+SUMIFS(O1454:O1458,B1454:B1458,B1459-1-d_T)*F1459</f>
        <v/>
      </c>
      <c r="L1459" s="40">
        <f>IF(B1459&gt;=in_marketplace_from,J1459*d_hz*G1459*in_eligible*H1459,0)</f>
        <v/>
      </c>
      <c r="M1459" s="40">
        <f>IF(B1459&gt;=in_marketplace_from,K1459*d_hz*G1459*in_eligible*in_approved_repeat,0)</f>
        <v/>
      </c>
      <c r="N1459" s="40">
        <f>L1459+M1459</f>
        <v/>
      </c>
      <c r="O1459" s="46">
        <f>N1459/F1459</f>
        <v/>
      </c>
      <c r="P1459" s="40">
        <f>F1459-J1459-K1459</f>
        <v/>
      </c>
      <c r="Q1459" s="40">
        <f>IF(B1459&gt;=in_marketplace_from,(J1459+K1459)*d_hz*G1459,0)</f>
        <v/>
      </c>
      <c r="R1459" s="40">
        <f>SUMIFS(N1454:N1480,B1454:B1480,"&gt;="&amp;(B1459-d_T),B1454:B1480,"&lt;="&amp;(B1459-1))</f>
        <v/>
      </c>
      <c r="S1459" s="46">
        <f>(1-d_u)*S1458+IF(d_T&gt;in_topup_lag,SUMIFS(O1454:O1480,B1454:B1480,B1459-in_topup_lag)-d_udrop*SUMIFS(O1454:O1480,B1454:B1480,B1459-d_T),0)</f>
        <v/>
      </c>
      <c r="T1459" s="40">
        <f>F1459*d_u*S1459</f>
        <v/>
      </c>
      <c r="U1459" s="9">
        <f>L1459*in_ticket+M1459*d_rep_ticket</f>
        <v/>
      </c>
      <c r="V1459" s="9">
        <f>U1459+T1459*d_topup_amt</f>
        <v/>
      </c>
      <c r="W1459" s="40">
        <f>N1459+T1459*d_topup_ratio</f>
        <v/>
      </c>
      <c r="X1459" s="40">
        <f>SUMIFS(W1454:W1480,B1454:B1480,B1459-in_dpd_lag)*d_cured</f>
        <v/>
      </c>
      <c r="Y1459" s="40">
        <f>SUMIFS(W1454:W1480,B1454:B1480,B1459-in_rec_lag)*d_recd</f>
        <v/>
      </c>
      <c r="Z1459" s="40">
        <f>IF(AND(B1459&gt;=in_marketplace_from,B1459&lt;in_marketplace_from+in_card_months),in_card_share/in_card_months*F1459*I1459,IF(AND(B1459&gt;=in_marketplace_from+in_card_months,B1459&lt;in_marketplace_from+2*in_card_months),in_card_share*d_card_rem/in_card_months*F1459*MIN(in_takeup_cap,(1+in_takeup_growth)^(D1459-1))*MIN(in_takeup_cap,(1+in_approval_growth)^(D1459-1)),0))</f>
        <v/>
      </c>
      <c r="AA1459" s="14">
        <f>V1459*in_fee*(1-in_taken_back)</f>
        <v/>
      </c>
      <c r="AB1459" s="14">
        <f>SUMIFS(W1454:W1480,B1454:B1480,B1459-in_dpd_lag)*d_dpd</f>
        <v/>
      </c>
      <c r="AC1459" s="14">
        <f>SUMIFS(W1454:W1480,B1454:B1480,B1459-in_rec_lag)*d_rec</f>
        <v/>
      </c>
      <c r="AD1459" s="14">
        <f>Z1459*in_card_fee</f>
        <v/>
      </c>
      <c r="AE1459" s="40">
        <f>AE1458*(1-IF(B1458&gt;=in_marketplace_from,d_hz_hlth_small*G1458,0))</f>
        <v/>
      </c>
      <c r="AF1459" s="46">
        <f>AE1459*IF(B1459&gt;=in_marketplace_from,d_hz_hlth_small*G1459,0)</f>
        <v/>
      </c>
      <c r="AG1459" s="14">
        <f>F1459*AF1459*in_hlth_small_ticket*in_hlth_small_comm*in_ins_partner_share+F1459*in_hlth_small_ticket*in_hlth_small_renew_comm*in_ins_partner_share*(in_hlth_small_renew^1*SUMIFS(AF1454:AF1480,B1454:B1480,B1459-12)+in_hlth_small_renew^2*SUMIFS(AF1454:AF1480,B1454:B1480,B1459-24)+in_hlth_small_renew^3*SUMIFS(AF1454:AF1480,B1454:B1480,B1459-36)+in_hlth_small_renew^4*SUMIFS(AF1454:AF1480,B1454:B1480,B1459-48))</f>
        <v/>
      </c>
      <c r="AH1459" s="40">
        <f>AH1458*(1-IF(B1458&gt;=in_marketplace_from,d_hz_hlth_family*G1458,0))</f>
        <v/>
      </c>
      <c r="AI1459" s="46">
        <f>AH1459*IF(B1459&gt;=in_marketplace_from,d_hz_hlth_family*G1459,0)</f>
        <v/>
      </c>
      <c r="AJ1459" s="14">
        <f>F1459*AI1459*in_hlth_family_ticket*in_hlth_family_comm*in_ins_partner_share+F1459*in_hlth_family_ticket*in_hlth_family_renew_comm*in_ins_partner_share*(in_hlth_family_renew^1*SUMIFS(AI1454:AI1480,B1454:B1480,B1459-12)+in_hlth_family_renew^2*SUMIFS(AI1454:AI1480,B1454:B1480,B1459-24)+in_hlth_family_renew^3*SUMIFS(AI1454:AI1480,B1454:B1480,B1459-36)+in_hlth_family_renew^4*SUMIFS(AI1454:AI1480,B1454:B1480,B1459-48))</f>
        <v/>
      </c>
      <c r="AK1459" s="40">
        <f>AK1458*(1-IF(B1458&gt;=in_marketplace_from,d_hz_life_term*G1458,0))</f>
        <v/>
      </c>
      <c r="AL1459" s="46">
        <f>AK1459*IF(B1459&gt;=in_marketplace_from,d_hz_life_term*G1459,0)</f>
        <v/>
      </c>
      <c r="AM1459" s="14">
        <f>F1459*AL1459*in_life_term_ticket*in_life_term_comm*in_ins_partner_share+F1459*in_life_term_ticket*in_life_term_renew_comm*in_ins_partner_share*(in_life_term_renew^1*SUMIFS(AL1454:AL1480,B1454:B1480,B1459-12)+in_life_term_renew^2*SUMIFS(AL1454:AL1480,B1454:B1480,B1459-24)+in_life_term_renew^3*SUMIFS(AL1454:AL1480,B1454:B1480,B1459-36)+in_life_term_renew^4*SUMIFS(AL1454:AL1480,B1454:B1480,B1459-48))</f>
        <v/>
      </c>
      <c r="AN1459" s="40">
        <f>AN1458*(1-IF(B1458&gt;=in_marketplace_from,d_hz_accident*G1458,0))</f>
        <v/>
      </c>
      <c r="AO1459" s="46">
        <f>AN1459*IF(B1459&gt;=in_marketplace_from,d_hz_accident*G1459,0)</f>
        <v/>
      </c>
      <c r="AP1459" s="14">
        <f>F1459*AO1459*in_accident_ticket*in_accident_comm*in_ins_partner_share+F1459*in_accident_ticket*in_accident_renew_comm*in_ins_partner_share*(in_accident_renew^1*SUMIFS(AO1454:AO1480,B1454:B1480,B1459-12)+in_accident_renew^2*SUMIFS(AO1454:AO1480,B1454:B1480,B1459-24)+in_accident_renew^3*SUMIFS(AO1454:AO1480,B1454:B1480,B1459-36)+in_accident_renew^4*SUMIFS(AO1454:AO1480,B1454:B1480,B1459-48))</f>
        <v/>
      </c>
      <c r="AQ1459" s="40">
        <f>AQ1458*(1-IF(B1458&gt;=in_marketplace_from,d_hz_two_wheeler*G1458,0))</f>
        <v/>
      </c>
      <c r="AR1459" s="46">
        <f>AQ1459*IF(B1459&gt;=in_marketplace_from,d_hz_two_wheeler*G1459,0)</f>
        <v/>
      </c>
      <c r="AS1459" s="14">
        <f>F1459*AR1459*in_two_wheeler_ticket*in_two_wheeler_comm*in_ins_partner_share+F1459*in_two_wheeler_ticket*in_two_wheeler_comm*in_ins_partner_share*(in_two_wheeler_renew^1*SUMIFS(AR1454:AR1480,B1454:B1480,B1459-12)+in_two_wheeler_renew^2*SUMIFS(AR1454:AR1480,B1454:B1480,B1459-24)+in_two_wheeler_renew^3*SUMIFS(AR1454:AR1480,B1454:B1480,B1459-36)+in_two_wheeler_renew^4*SUMIFS(AR1454:AR1480,B1454:B1480,B1459-48))</f>
        <v/>
      </c>
      <c r="AT1459" s="40">
        <f>AT1458*(1-IF(B1458&gt;=in_marketplace_from,d_hz_device*G1458,0))</f>
        <v/>
      </c>
      <c r="AU1459" s="14">
        <f>F1459*AT1459*IF(B1459&gt;=in_marketplace_from,d_hz_device*G1459,0)*in_device_ticket*in_device_comm*in_ins_partner_share</f>
        <v/>
      </c>
      <c r="AV1459" s="40">
        <f>AV1458*(1-IF(B1458&gt;=in_marketplace_from,d_hz_shop*G1458,0))</f>
        <v/>
      </c>
      <c r="AW1459" s="46">
        <f>AV1459*IF(B1459&gt;=in_marketplace_from,d_hz_shop*G1459,0)</f>
        <v/>
      </c>
      <c r="AX1459" s="14">
        <f>F1459*AW1459*in_shop_ticket*in_shop_comm*in_ins_partner_share+F1459*in_shop_ticket*in_shop_renew_comm*in_ins_partner_share*(in_shop_renew^1*SUMIFS(AW1454:AW1480,B1454:B1480,B1459-12)+in_shop_renew^2*SUMIFS(AW1454:AW1480,B1454:B1480,B1459-24)+in_shop_renew^3*SUMIFS(AW1454:AW1480,B1454:B1480,B1459-36)+in_shop_renew^4*SUMIFS(AW1454:AW1480,B1454:B1480,B1459-48))</f>
        <v/>
      </c>
      <c r="AY1459" s="40">
        <f>AY1458*(1-IF(B1458&gt;=in_marketplace_from,d_hz_sip*G1458,0))</f>
        <v/>
      </c>
      <c r="AZ1459" s="40">
        <f>AZ1458*d_rho_sip+AY1459*IF(B1459&gt;=in_marketplace_from,d_hz_sip*G1459,0)</f>
        <v/>
      </c>
      <c r="BA1459" s="40">
        <f>d_rho_sip*(BA1458+AZ1458)</f>
        <v/>
      </c>
      <c r="BB1459" s="14">
        <f>F1459*in_sip_ticket*(BA1459+0.5*AZ1459)*in_sip_comm/12</f>
        <v/>
      </c>
      <c r="BC1459" s="40">
        <f>BC1458*(1-IF(B1458&gt;=in_marketplace_from,d_hz_choti*G1458,0))</f>
        <v/>
      </c>
      <c r="BD1459" s="46">
        <f>BC1459*IF(B1459&gt;=in_marketplace_from,d_hz_choti*G1459,0)</f>
        <v/>
      </c>
      <c r="BE1459" s="14">
        <f>F1459*SUMIFS(BD1454:BD1480,B1454:B1480,B1459-in_choti_months)*in_choti_renew*in_choti_ticket</f>
        <v/>
      </c>
      <c r="BF1459" s="40">
        <f>BF1458*(1-IF(B1458&gt;=in_marketplace_from,d_hz_nps*G1458,0))</f>
        <v/>
      </c>
      <c r="BG1459" s="14">
        <f>F1459*BF1459*IF(B1459&gt;=in_marketplace_from,d_hz_nps*G1459,0)*in_nps_ticket*in_nps_comm</f>
        <v/>
      </c>
      <c r="BH1459" s="40">
        <f>BH1458*(1-IF(B1458&gt;=in_marketplace_from,d_hz_gold*G1458,0))</f>
        <v/>
      </c>
      <c r="BI1459" s="40">
        <f>BI1458*d_rho_gold+BH1459*IF(B1459&gt;=in_marketplace_from,d_hz_gold*G1459,0)</f>
        <v/>
      </c>
      <c r="BJ1459" s="14">
        <f>F1459*BI1459*in_gold_ticket*in_gold_comm</f>
        <v/>
      </c>
      <c r="BK1459" s="40">
        <f>BK1458*(1-IF(B1458&gt;=in_marketplace_from,d_hz_fd*G1458,0))</f>
        <v/>
      </c>
      <c r="BL1459" s="14">
        <f>F1459*BK1459*IF(B1459&gt;=in_marketplace_from,d_hz_fd*G1459,0)*in_fd_ticket*in_fd_comm</f>
        <v/>
      </c>
      <c r="BM1459" s="40">
        <f>BM1458*(1-IF(B1458&gt;=in_marketplace_from,d_hz_recharge*G1458,0))</f>
        <v/>
      </c>
      <c r="BN1459" s="40">
        <f>BN1458*d_rho_recharge+BM1459*IF(B1459&gt;=in_marketplace_from,d_hz_recharge*G1459,0)</f>
        <v/>
      </c>
      <c r="BO1459" s="14">
        <f>F1459*BN1459*in_recharge_ticket*in_recharge_comm/12</f>
        <v/>
      </c>
      <c r="BP1459" s="40">
        <f>BP1458*(1-IF(B1458&gt;=in_marketplace_from,d_hz_bills*G1458,0))</f>
        <v/>
      </c>
      <c r="BQ1459" s="40">
        <f>BQ1458*d_rho_bills+BP1459*IF(B1459&gt;=in_marketplace_from,d_hz_bills*G1459,0)</f>
        <v/>
      </c>
      <c r="BR1459" s="14">
        <f>F1459*BQ1459*in_bills_ticket*in_bills_comm/12</f>
        <v/>
      </c>
      <c r="BS1459" s="40">
        <f>BS1458*(1-IF(B1458&gt;=in_marketplace_from,d_hz_loan_gold*G1458,0))</f>
        <v/>
      </c>
      <c r="BT1459" s="14">
        <f>F1459*BS1459*IF(B1459&gt;=in_marketplace_from,d_hz_loan_gold*G1459,0)*in_loan_gold_ticket*in_loan_gold_comm</f>
        <v/>
      </c>
      <c r="BU1459" s="40">
        <f>BU1458*(1-IF(B1458&gt;=in_marketplace_from,d_hz_loan_cd*G1458,0))</f>
        <v/>
      </c>
      <c r="BV1459" s="14">
        <f>F1459*BU1459*IF(B1459&gt;=in_marketplace_from,d_hz_loan_cd*G1459,0)*in_loan_cd_ticket*in_loan_cd_comm</f>
        <v/>
      </c>
      <c r="BW1459" s="40">
        <f>BW1458*(1-IF(B1458&gt;=in_marketplace_from,d_hz_loan_vehicle*G1458,0))</f>
        <v/>
      </c>
      <c r="BX1459" s="14">
        <f>F1459*BW1459*IF(B1459&gt;=in_marketplace_from,d_hz_loan_vehicle*G1459,0)*in_loan_vehicle_ticket*in_loan_vehicle_comm</f>
        <v/>
      </c>
      <c r="BY1459" s="40">
        <f>BY1458*(1-IF(B1458&gt;=in_marketplace_from,d_hz_loan_home*G1458,0)*BZ1458)</f>
        <v/>
      </c>
      <c r="BZ1459" s="11">
        <f>MIN(in_approval_cap,in_loan_home_approval*INDEX('Age profile'!$O$2:$O$61,B1459)*(1+in_approval_growth)^(D1459-1))</f>
        <v/>
      </c>
      <c r="CA1459" s="14">
        <f>F1459*BY1459*IF(B1459&gt;=in_marketplace_from,d_hz_loan_home*G1459,0)*BZ1459*in_loan_home_ticket*in_loan_home_comm</f>
        <v/>
      </c>
      <c r="CB1459" s="40">
        <f>CB1458*(1-IF(B1458&gt;=in_marketplace_from,d_hz_loan_lap*G1458,0)*CC1458)</f>
        <v/>
      </c>
      <c r="CC1459" s="11">
        <f>MIN(in_approval_cap,in_loan_lap_approval*INDEX('Age profile'!$O$2:$O$61,B1459)*(1+in_approval_growth)^(D1459-1))</f>
        <v/>
      </c>
      <c r="CD1459" s="14">
        <f>F1459*CB1459*IF(B1459&gt;=in_marketplace_from,d_hz_loan_lap*G1459,0)*CC1459*in_loan_lap_ticket*in_loan_lap_comm</f>
        <v/>
      </c>
      <c r="CE1459" s="14">
        <f>AA1459+AB1459+AC1459+AD1459+AG1459+AJ1459+AM1459+AP1459+AS1459+AU1459+AX1459+BB1459+BE1459+BG1459+BJ1459+BL1459+BO1459+BR1459+BT1459+BV1459+BX1459+CA1459+CD1459</f>
        <v/>
      </c>
    </row>
    <row r="1460">
      <c r="A1460" s="39" t="n">
        <v>34</v>
      </c>
      <c r="B1460" s="39" t="n">
        <v>7</v>
      </c>
      <c r="C1460" s="39">
        <f>A1460+B1460-1</f>
        <v/>
      </c>
      <c r="D1460" s="39">
        <f>INT((C1460-1)/12)+1</f>
        <v/>
      </c>
      <c r="E1460" s="44">
        <f>INDEX(Monthly!$B$2:$B$61,A1460)</f>
        <v/>
      </c>
      <c r="F1460" s="44">
        <f>E1460*INDEX('Age profile'!$B$2:$B$61,B1460)</f>
        <v/>
      </c>
      <c r="G1460" s="45">
        <f>MIN(in_takeup_cap,INDEX('Age profile'!$N$2:$N$61,B1460)*(1+in_takeup_growth)^(D1460-1))</f>
        <v/>
      </c>
      <c r="H1460" s="11">
        <f>MIN(in_approval_cap,in_approved_first*INDEX('Age profile'!$O$2:$O$61,B1460)*(1+in_approval_growth)^(D1460-1))</f>
        <v/>
      </c>
      <c r="I1460" s="45">
        <f>G1460*MIN(in_takeup_cap,INDEX('Age profile'!$O$2:$O$61,B1460)*(1+in_approval_growth)^(D1460-1))</f>
        <v/>
      </c>
      <c r="J1460" s="40">
        <f>(J1459-L1459)*F1460/F1459</f>
        <v/>
      </c>
      <c r="K1460" s="40">
        <f>(K1459-M1459)*F1460/F1459+SUMIFS(O1454:O1459,B1454:B1459,B1460-1-d_T)*F1460</f>
        <v/>
      </c>
      <c r="L1460" s="40">
        <f>IF(B1460&gt;=in_marketplace_from,J1460*d_hz*G1460*in_eligible*H1460,0)</f>
        <v/>
      </c>
      <c r="M1460" s="40">
        <f>IF(B1460&gt;=in_marketplace_from,K1460*d_hz*G1460*in_eligible*in_approved_repeat,0)</f>
        <v/>
      </c>
      <c r="N1460" s="40">
        <f>L1460+M1460</f>
        <v/>
      </c>
      <c r="O1460" s="46">
        <f>N1460/F1460</f>
        <v/>
      </c>
      <c r="P1460" s="40">
        <f>F1460-J1460-K1460</f>
        <v/>
      </c>
      <c r="Q1460" s="40">
        <f>IF(B1460&gt;=in_marketplace_from,(J1460+K1460)*d_hz*G1460,0)</f>
        <v/>
      </c>
      <c r="R1460" s="40">
        <f>SUMIFS(N1454:N1480,B1454:B1480,"&gt;="&amp;(B1460-d_T),B1454:B1480,"&lt;="&amp;(B1460-1))</f>
        <v/>
      </c>
      <c r="S1460" s="46">
        <f>(1-d_u)*S1459+IF(d_T&gt;in_topup_lag,SUMIFS(O1454:O1480,B1454:B1480,B1460-in_topup_lag)-d_udrop*SUMIFS(O1454:O1480,B1454:B1480,B1460-d_T),0)</f>
        <v/>
      </c>
      <c r="T1460" s="40">
        <f>F1460*d_u*S1460</f>
        <v/>
      </c>
      <c r="U1460" s="9">
        <f>L1460*in_ticket+M1460*d_rep_ticket</f>
        <v/>
      </c>
      <c r="V1460" s="9">
        <f>U1460+T1460*d_topup_amt</f>
        <v/>
      </c>
      <c r="W1460" s="40">
        <f>N1460+T1460*d_topup_ratio</f>
        <v/>
      </c>
      <c r="X1460" s="40">
        <f>SUMIFS(W1454:W1480,B1454:B1480,B1460-in_dpd_lag)*d_cured</f>
        <v/>
      </c>
      <c r="Y1460" s="40">
        <f>SUMIFS(W1454:W1480,B1454:B1480,B1460-in_rec_lag)*d_recd</f>
        <v/>
      </c>
      <c r="Z1460" s="40">
        <f>IF(AND(B1460&gt;=in_marketplace_from,B1460&lt;in_marketplace_from+in_card_months),in_card_share/in_card_months*F1460*I1460,IF(AND(B1460&gt;=in_marketplace_from+in_card_months,B1460&lt;in_marketplace_from+2*in_card_months),in_card_share*d_card_rem/in_card_months*F1460*MIN(in_takeup_cap,(1+in_takeup_growth)^(D1460-1))*MIN(in_takeup_cap,(1+in_approval_growth)^(D1460-1)),0))</f>
        <v/>
      </c>
      <c r="AA1460" s="14">
        <f>V1460*in_fee*(1-in_taken_back)</f>
        <v/>
      </c>
      <c r="AB1460" s="14">
        <f>SUMIFS(W1454:W1480,B1454:B1480,B1460-in_dpd_lag)*d_dpd</f>
        <v/>
      </c>
      <c r="AC1460" s="14">
        <f>SUMIFS(W1454:W1480,B1454:B1480,B1460-in_rec_lag)*d_rec</f>
        <v/>
      </c>
      <c r="AD1460" s="14">
        <f>Z1460*in_card_fee</f>
        <v/>
      </c>
      <c r="AE1460" s="40">
        <f>AE1459*(1-IF(B1459&gt;=in_marketplace_from,d_hz_hlth_small*G1459,0))</f>
        <v/>
      </c>
      <c r="AF1460" s="46">
        <f>AE1460*IF(B1460&gt;=in_marketplace_from,d_hz_hlth_small*G1460,0)</f>
        <v/>
      </c>
      <c r="AG1460" s="14">
        <f>F1460*AF1460*in_hlth_small_ticket*in_hlth_small_comm*in_ins_partner_share+F1460*in_hlth_small_ticket*in_hlth_small_renew_comm*in_ins_partner_share*(in_hlth_small_renew^1*SUMIFS(AF1454:AF1480,B1454:B1480,B1460-12)+in_hlth_small_renew^2*SUMIFS(AF1454:AF1480,B1454:B1480,B1460-24)+in_hlth_small_renew^3*SUMIFS(AF1454:AF1480,B1454:B1480,B1460-36)+in_hlth_small_renew^4*SUMIFS(AF1454:AF1480,B1454:B1480,B1460-48))</f>
        <v/>
      </c>
      <c r="AH1460" s="40">
        <f>AH1459*(1-IF(B1459&gt;=in_marketplace_from,d_hz_hlth_family*G1459,0))</f>
        <v/>
      </c>
      <c r="AI1460" s="46">
        <f>AH1460*IF(B1460&gt;=in_marketplace_from,d_hz_hlth_family*G1460,0)</f>
        <v/>
      </c>
      <c r="AJ1460" s="14">
        <f>F1460*AI1460*in_hlth_family_ticket*in_hlth_family_comm*in_ins_partner_share+F1460*in_hlth_family_ticket*in_hlth_family_renew_comm*in_ins_partner_share*(in_hlth_family_renew^1*SUMIFS(AI1454:AI1480,B1454:B1480,B1460-12)+in_hlth_family_renew^2*SUMIFS(AI1454:AI1480,B1454:B1480,B1460-24)+in_hlth_family_renew^3*SUMIFS(AI1454:AI1480,B1454:B1480,B1460-36)+in_hlth_family_renew^4*SUMIFS(AI1454:AI1480,B1454:B1480,B1460-48))</f>
        <v/>
      </c>
      <c r="AK1460" s="40">
        <f>AK1459*(1-IF(B1459&gt;=in_marketplace_from,d_hz_life_term*G1459,0))</f>
        <v/>
      </c>
      <c r="AL1460" s="46">
        <f>AK1460*IF(B1460&gt;=in_marketplace_from,d_hz_life_term*G1460,0)</f>
        <v/>
      </c>
      <c r="AM1460" s="14">
        <f>F1460*AL1460*in_life_term_ticket*in_life_term_comm*in_ins_partner_share+F1460*in_life_term_ticket*in_life_term_renew_comm*in_ins_partner_share*(in_life_term_renew^1*SUMIFS(AL1454:AL1480,B1454:B1480,B1460-12)+in_life_term_renew^2*SUMIFS(AL1454:AL1480,B1454:B1480,B1460-24)+in_life_term_renew^3*SUMIFS(AL1454:AL1480,B1454:B1480,B1460-36)+in_life_term_renew^4*SUMIFS(AL1454:AL1480,B1454:B1480,B1460-48))</f>
        <v/>
      </c>
      <c r="AN1460" s="40">
        <f>AN1459*(1-IF(B1459&gt;=in_marketplace_from,d_hz_accident*G1459,0))</f>
        <v/>
      </c>
      <c r="AO1460" s="46">
        <f>AN1460*IF(B1460&gt;=in_marketplace_from,d_hz_accident*G1460,0)</f>
        <v/>
      </c>
      <c r="AP1460" s="14">
        <f>F1460*AO1460*in_accident_ticket*in_accident_comm*in_ins_partner_share+F1460*in_accident_ticket*in_accident_renew_comm*in_ins_partner_share*(in_accident_renew^1*SUMIFS(AO1454:AO1480,B1454:B1480,B1460-12)+in_accident_renew^2*SUMIFS(AO1454:AO1480,B1454:B1480,B1460-24)+in_accident_renew^3*SUMIFS(AO1454:AO1480,B1454:B1480,B1460-36)+in_accident_renew^4*SUMIFS(AO1454:AO1480,B1454:B1480,B1460-48))</f>
        <v/>
      </c>
      <c r="AQ1460" s="40">
        <f>AQ1459*(1-IF(B1459&gt;=in_marketplace_from,d_hz_two_wheeler*G1459,0))</f>
        <v/>
      </c>
      <c r="AR1460" s="46">
        <f>AQ1460*IF(B1460&gt;=in_marketplace_from,d_hz_two_wheeler*G1460,0)</f>
        <v/>
      </c>
      <c r="AS1460" s="14">
        <f>F1460*AR1460*in_two_wheeler_ticket*in_two_wheeler_comm*in_ins_partner_share+F1460*in_two_wheeler_ticket*in_two_wheeler_comm*in_ins_partner_share*(in_two_wheeler_renew^1*SUMIFS(AR1454:AR1480,B1454:B1480,B1460-12)+in_two_wheeler_renew^2*SUMIFS(AR1454:AR1480,B1454:B1480,B1460-24)+in_two_wheeler_renew^3*SUMIFS(AR1454:AR1480,B1454:B1480,B1460-36)+in_two_wheeler_renew^4*SUMIFS(AR1454:AR1480,B1454:B1480,B1460-48))</f>
        <v/>
      </c>
      <c r="AT1460" s="40">
        <f>AT1459*(1-IF(B1459&gt;=in_marketplace_from,d_hz_device*G1459,0))</f>
        <v/>
      </c>
      <c r="AU1460" s="14">
        <f>F1460*AT1460*IF(B1460&gt;=in_marketplace_from,d_hz_device*G1460,0)*in_device_ticket*in_device_comm*in_ins_partner_share</f>
        <v/>
      </c>
      <c r="AV1460" s="40">
        <f>AV1459*(1-IF(B1459&gt;=in_marketplace_from,d_hz_shop*G1459,0))</f>
        <v/>
      </c>
      <c r="AW1460" s="46">
        <f>AV1460*IF(B1460&gt;=in_marketplace_from,d_hz_shop*G1460,0)</f>
        <v/>
      </c>
      <c r="AX1460" s="14">
        <f>F1460*AW1460*in_shop_ticket*in_shop_comm*in_ins_partner_share+F1460*in_shop_ticket*in_shop_renew_comm*in_ins_partner_share*(in_shop_renew^1*SUMIFS(AW1454:AW1480,B1454:B1480,B1460-12)+in_shop_renew^2*SUMIFS(AW1454:AW1480,B1454:B1480,B1460-24)+in_shop_renew^3*SUMIFS(AW1454:AW1480,B1454:B1480,B1460-36)+in_shop_renew^4*SUMIFS(AW1454:AW1480,B1454:B1480,B1460-48))</f>
        <v/>
      </c>
      <c r="AY1460" s="40">
        <f>AY1459*(1-IF(B1459&gt;=in_marketplace_from,d_hz_sip*G1459,0))</f>
        <v/>
      </c>
      <c r="AZ1460" s="40">
        <f>AZ1459*d_rho_sip+AY1460*IF(B1460&gt;=in_marketplace_from,d_hz_sip*G1460,0)</f>
        <v/>
      </c>
      <c r="BA1460" s="40">
        <f>d_rho_sip*(BA1459+AZ1459)</f>
        <v/>
      </c>
      <c r="BB1460" s="14">
        <f>F1460*in_sip_ticket*(BA1460+0.5*AZ1460)*in_sip_comm/12</f>
        <v/>
      </c>
      <c r="BC1460" s="40">
        <f>BC1459*(1-IF(B1459&gt;=in_marketplace_from,d_hz_choti*G1459,0))</f>
        <v/>
      </c>
      <c r="BD1460" s="46">
        <f>BC1460*IF(B1460&gt;=in_marketplace_from,d_hz_choti*G1460,0)</f>
        <v/>
      </c>
      <c r="BE1460" s="14">
        <f>F1460*SUMIFS(BD1454:BD1480,B1454:B1480,B1460-in_choti_months)*in_choti_renew*in_choti_ticket</f>
        <v/>
      </c>
      <c r="BF1460" s="40">
        <f>BF1459*(1-IF(B1459&gt;=in_marketplace_from,d_hz_nps*G1459,0))</f>
        <v/>
      </c>
      <c r="BG1460" s="14">
        <f>F1460*BF1460*IF(B1460&gt;=in_marketplace_from,d_hz_nps*G1460,0)*in_nps_ticket*in_nps_comm</f>
        <v/>
      </c>
      <c r="BH1460" s="40">
        <f>BH1459*(1-IF(B1459&gt;=in_marketplace_from,d_hz_gold*G1459,0))</f>
        <v/>
      </c>
      <c r="BI1460" s="40">
        <f>BI1459*d_rho_gold+BH1460*IF(B1460&gt;=in_marketplace_from,d_hz_gold*G1460,0)</f>
        <v/>
      </c>
      <c r="BJ1460" s="14">
        <f>F1460*BI1460*in_gold_ticket*in_gold_comm</f>
        <v/>
      </c>
      <c r="BK1460" s="40">
        <f>BK1459*(1-IF(B1459&gt;=in_marketplace_from,d_hz_fd*G1459,0))</f>
        <v/>
      </c>
      <c r="BL1460" s="14">
        <f>F1460*BK1460*IF(B1460&gt;=in_marketplace_from,d_hz_fd*G1460,0)*in_fd_ticket*in_fd_comm</f>
        <v/>
      </c>
      <c r="BM1460" s="40">
        <f>BM1459*(1-IF(B1459&gt;=in_marketplace_from,d_hz_recharge*G1459,0))</f>
        <v/>
      </c>
      <c r="BN1460" s="40">
        <f>BN1459*d_rho_recharge+BM1460*IF(B1460&gt;=in_marketplace_from,d_hz_recharge*G1460,0)</f>
        <v/>
      </c>
      <c r="BO1460" s="14">
        <f>F1460*BN1460*in_recharge_ticket*in_recharge_comm/12</f>
        <v/>
      </c>
      <c r="BP1460" s="40">
        <f>BP1459*(1-IF(B1459&gt;=in_marketplace_from,d_hz_bills*G1459,0))</f>
        <v/>
      </c>
      <c r="BQ1460" s="40">
        <f>BQ1459*d_rho_bills+BP1460*IF(B1460&gt;=in_marketplace_from,d_hz_bills*G1460,0)</f>
        <v/>
      </c>
      <c r="BR1460" s="14">
        <f>F1460*BQ1460*in_bills_ticket*in_bills_comm/12</f>
        <v/>
      </c>
      <c r="BS1460" s="40">
        <f>BS1459*(1-IF(B1459&gt;=in_marketplace_from,d_hz_loan_gold*G1459,0))</f>
        <v/>
      </c>
      <c r="BT1460" s="14">
        <f>F1460*BS1460*IF(B1460&gt;=in_marketplace_from,d_hz_loan_gold*G1460,0)*in_loan_gold_ticket*in_loan_gold_comm</f>
        <v/>
      </c>
      <c r="BU1460" s="40">
        <f>BU1459*(1-IF(B1459&gt;=in_marketplace_from,d_hz_loan_cd*G1459,0))</f>
        <v/>
      </c>
      <c r="BV1460" s="14">
        <f>F1460*BU1460*IF(B1460&gt;=in_marketplace_from,d_hz_loan_cd*G1460,0)*in_loan_cd_ticket*in_loan_cd_comm</f>
        <v/>
      </c>
      <c r="BW1460" s="40">
        <f>BW1459*(1-IF(B1459&gt;=in_marketplace_from,d_hz_loan_vehicle*G1459,0))</f>
        <v/>
      </c>
      <c r="BX1460" s="14">
        <f>F1460*BW1460*IF(B1460&gt;=in_marketplace_from,d_hz_loan_vehicle*G1460,0)*in_loan_vehicle_ticket*in_loan_vehicle_comm</f>
        <v/>
      </c>
      <c r="BY1460" s="40">
        <f>BY1459*(1-IF(B1459&gt;=in_marketplace_from,d_hz_loan_home*G1459,0)*BZ1459)</f>
        <v/>
      </c>
      <c r="BZ1460" s="11">
        <f>MIN(in_approval_cap,in_loan_home_approval*INDEX('Age profile'!$O$2:$O$61,B1460)*(1+in_approval_growth)^(D1460-1))</f>
        <v/>
      </c>
      <c r="CA1460" s="14">
        <f>F1460*BY1460*IF(B1460&gt;=in_marketplace_from,d_hz_loan_home*G1460,0)*BZ1460*in_loan_home_ticket*in_loan_home_comm</f>
        <v/>
      </c>
      <c r="CB1460" s="40">
        <f>CB1459*(1-IF(B1459&gt;=in_marketplace_from,d_hz_loan_lap*G1459,0)*CC1459)</f>
        <v/>
      </c>
      <c r="CC1460" s="11">
        <f>MIN(in_approval_cap,in_loan_lap_approval*INDEX('Age profile'!$O$2:$O$61,B1460)*(1+in_approval_growth)^(D1460-1))</f>
        <v/>
      </c>
      <c r="CD1460" s="14">
        <f>F1460*CB1460*IF(B1460&gt;=in_marketplace_from,d_hz_loan_lap*G1460,0)*CC1460*in_loan_lap_ticket*in_loan_lap_comm</f>
        <v/>
      </c>
      <c r="CE1460" s="14">
        <f>AA1460+AB1460+AC1460+AD1460+AG1460+AJ1460+AM1460+AP1460+AS1460+AU1460+AX1460+BB1460+BE1460+BG1460+BJ1460+BL1460+BO1460+BR1460+BT1460+BV1460+BX1460+CA1460+CD1460</f>
        <v/>
      </c>
    </row>
    <row r="1461">
      <c r="A1461" s="39" t="n">
        <v>34</v>
      </c>
      <c r="B1461" s="39" t="n">
        <v>8</v>
      </c>
      <c r="C1461" s="39">
        <f>A1461+B1461-1</f>
        <v/>
      </c>
      <c r="D1461" s="39">
        <f>INT((C1461-1)/12)+1</f>
        <v/>
      </c>
      <c r="E1461" s="44">
        <f>INDEX(Monthly!$B$2:$B$61,A1461)</f>
        <v/>
      </c>
      <c r="F1461" s="44">
        <f>E1461*INDEX('Age profile'!$B$2:$B$61,B1461)</f>
        <v/>
      </c>
      <c r="G1461" s="45">
        <f>MIN(in_takeup_cap,INDEX('Age profile'!$N$2:$N$61,B1461)*(1+in_takeup_growth)^(D1461-1))</f>
        <v/>
      </c>
      <c r="H1461" s="11">
        <f>MIN(in_approval_cap,in_approved_first*INDEX('Age profile'!$O$2:$O$61,B1461)*(1+in_approval_growth)^(D1461-1))</f>
        <v/>
      </c>
      <c r="I1461" s="45">
        <f>G1461*MIN(in_takeup_cap,INDEX('Age profile'!$O$2:$O$61,B1461)*(1+in_approval_growth)^(D1461-1))</f>
        <v/>
      </c>
      <c r="J1461" s="40">
        <f>(J1460-L1460)*F1461/F1460</f>
        <v/>
      </c>
      <c r="K1461" s="40">
        <f>(K1460-M1460)*F1461/F1460+SUMIFS(O1454:O1460,B1454:B1460,B1461-1-d_T)*F1461</f>
        <v/>
      </c>
      <c r="L1461" s="40">
        <f>IF(B1461&gt;=in_marketplace_from,J1461*d_hz*G1461*in_eligible*H1461,0)</f>
        <v/>
      </c>
      <c r="M1461" s="40">
        <f>IF(B1461&gt;=in_marketplace_from,K1461*d_hz*G1461*in_eligible*in_approved_repeat,0)</f>
        <v/>
      </c>
      <c r="N1461" s="40">
        <f>L1461+M1461</f>
        <v/>
      </c>
      <c r="O1461" s="46">
        <f>N1461/F1461</f>
        <v/>
      </c>
      <c r="P1461" s="40">
        <f>F1461-J1461-K1461</f>
        <v/>
      </c>
      <c r="Q1461" s="40">
        <f>IF(B1461&gt;=in_marketplace_from,(J1461+K1461)*d_hz*G1461,0)</f>
        <v/>
      </c>
      <c r="R1461" s="40">
        <f>SUMIFS(N1454:N1480,B1454:B1480,"&gt;="&amp;(B1461-d_T),B1454:B1480,"&lt;="&amp;(B1461-1))</f>
        <v/>
      </c>
      <c r="S1461" s="46">
        <f>(1-d_u)*S1460+IF(d_T&gt;in_topup_lag,SUMIFS(O1454:O1480,B1454:B1480,B1461-in_topup_lag)-d_udrop*SUMIFS(O1454:O1480,B1454:B1480,B1461-d_T),0)</f>
        <v/>
      </c>
      <c r="T1461" s="40">
        <f>F1461*d_u*S1461</f>
        <v/>
      </c>
      <c r="U1461" s="9">
        <f>L1461*in_ticket+M1461*d_rep_ticket</f>
        <v/>
      </c>
      <c r="V1461" s="9">
        <f>U1461+T1461*d_topup_amt</f>
        <v/>
      </c>
      <c r="W1461" s="40">
        <f>N1461+T1461*d_topup_ratio</f>
        <v/>
      </c>
      <c r="X1461" s="40">
        <f>SUMIFS(W1454:W1480,B1454:B1480,B1461-in_dpd_lag)*d_cured</f>
        <v/>
      </c>
      <c r="Y1461" s="40">
        <f>SUMIFS(W1454:W1480,B1454:B1480,B1461-in_rec_lag)*d_recd</f>
        <v/>
      </c>
      <c r="Z1461" s="40">
        <f>IF(AND(B1461&gt;=in_marketplace_from,B1461&lt;in_marketplace_from+in_card_months),in_card_share/in_card_months*F1461*I1461,IF(AND(B1461&gt;=in_marketplace_from+in_card_months,B1461&lt;in_marketplace_from+2*in_card_months),in_card_share*d_card_rem/in_card_months*F1461*MIN(in_takeup_cap,(1+in_takeup_growth)^(D1461-1))*MIN(in_takeup_cap,(1+in_approval_growth)^(D1461-1)),0))</f>
        <v/>
      </c>
      <c r="AA1461" s="14">
        <f>V1461*in_fee*(1-in_taken_back)</f>
        <v/>
      </c>
      <c r="AB1461" s="14">
        <f>SUMIFS(W1454:W1480,B1454:B1480,B1461-in_dpd_lag)*d_dpd</f>
        <v/>
      </c>
      <c r="AC1461" s="14">
        <f>SUMIFS(W1454:W1480,B1454:B1480,B1461-in_rec_lag)*d_rec</f>
        <v/>
      </c>
      <c r="AD1461" s="14">
        <f>Z1461*in_card_fee</f>
        <v/>
      </c>
      <c r="AE1461" s="40">
        <f>AE1460*(1-IF(B1460&gt;=in_marketplace_from,d_hz_hlth_small*G1460,0))</f>
        <v/>
      </c>
      <c r="AF1461" s="46">
        <f>AE1461*IF(B1461&gt;=in_marketplace_from,d_hz_hlth_small*G1461,0)</f>
        <v/>
      </c>
      <c r="AG1461" s="14">
        <f>F1461*AF1461*in_hlth_small_ticket*in_hlth_small_comm*in_ins_partner_share+F1461*in_hlth_small_ticket*in_hlth_small_renew_comm*in_ins_partner_share*(in_hlth_small_renew^1*SUMIFS(AF1454:AF1480,B1454:B1480,B1461-12)+in_hlth_small_renew^2*SUMIFS(AF1454:AF1480,B1454:B1480,B1461-24)+in_hlth_small_renew^3*SUMIFS(AF1454:AF1480,B1454:B1480,B1461-36)+in_hlth_small_renew^4*SUMIFS(AF1454:AF1480,B1454:B1480,B1461-48))</f>
        <v/>
      </c>
      <c r="AH1461" s="40">
        <f>AH1460*(1-IF(B1460&gt;=in_marketplace_from,d_hz_hlth_family*G1460,0))</f>
        <v/>
      </c>
      <c r="AI1461" s="46">
        <f>AH1461*IF(B1461&gt;=in_marketplace_from,d_hz_hlth_family*G1461,0)</f>
        <v/>
      </c>
      <c r="AJ1461" s="14">
        <f>F1461*AI1461*in_hlth_family_ticket*in_hlth_family_comm*in_ins_partner_share+F1461*in_hlth_family_ticket*in_hlth_family_renew_comm*in_ins_partner_share*(in_hlth_family_renew^1*SUMIFS(AI1454:AI1480,B1454:B1480,B1461-12)+in_hlth_family_renew^2*SUMIFS(AI1454:AI1480,B1454:B1480,B1461-24)+in_hlth_family_renew^3*SUMIFS(AI1454:AI1480,B1454:B1480,B1461-36)+in_hlth_family_renew^4*SUMIFS(AI1454:AI1480,B1454:B1480,B1461-48))</f>
        <v/>
      </c>
      <c r="AK1461" s="40">
        <f>AK1460*(1-IF(B1460&gt;=in_marketplace_from,d_hz_life_term*G1460,0))</f>
        <v/>
      </c>
      <c r="AL1461" s="46">
        <f>AK1461*IF(B1461&gt;=in_marketplace_from,d_hz_life_term*G1461,0)</f>
        <v/>
      </c>
      <c r="AM1461" s="14">
        <f>F1461*AL1461*in_life_term_ticket*in_life_term_comm*in_ins_partner_share+F1461*in_life_term_ticket*in_life_term_renew_comm*in_ins_partner_share*(in_life_term_renew^1*SUMIFS(AL1454:AL1480,B1454:B1480,B1461-12)+in_life_term_renew^2*SUMIFS(AL1454:AL1480,B1454:B1480,B1461-24)+in_life_term_renew^3*SUMIFS(AL1454:AL1480,B1454:B1480,B1461-36)+in_life_term_renew^4*SUMIFS(AL1454:AL1480,B1454:B1480,B1461-48))</f>
        <v/>
      </c>
      <c r="AN1461" s="40">
        <f>AN1460*(1-IF(B1460&gt;=in_marketplace_from,d_hz_accident*G1460,0))</f>
        <v/>
      </c>
      <c r="AO1461" s="46">
        <f>AN1461*IF(B1461&gt;=in_marketplace_from,d_hz_accident*G1461,0)</f>
        <v/>
      </c>
      <c r="AP1461" s="14">
        <f>F1461*AO1461*in_accident_ticket*in_accident_comm*in_ins_partner_share+F1461*in_accident_ticket*in_accident_renew_comm*in_ins_partner_share*(in_accident_renew^1*SUMIFS(AO1454:AO1480,B1454:B1480,B1461-12)+in_accident_renew^2*SUMIFS(AO1454:AO1480,B1454:B1480,B1461-24)+in_accident_renew^3*SUMIFS(AO1454:AO1480,B1454:B1480,B1461-36)+in_accident_renew^4*SUMIFS(AO1454:AO1480,B1454:B1480,B1461-48))</f>
        <v/>
      </c>
      <c r="AQ1461" s="40">
        <f>AQ1460*(1-IF(B1460&gt;=in_marketplace_from,d_hz_two_wheeler*G1460,0))</f>
        <v/>
      </c>
      <c r="AR1461" s="46">
        <f>AQ1461*IF(B1461&gt;=in_marketplace_from,d_hz_two_wheeler*G1461,0)</f>
        <v/>
      </c>
      <c r="AS1461" s="14">
        <f>F1461*AR1461*in_two_wheeler_ticket*in_two_wheeler_comm*in_ins_partner_share+F1461*in_two_wheeler_ticket*in_two_wheeler_comm*in_ins_partner_share*(in_two_wheeler_renew^1*SUMIFS(AR1454:AR1480,B1454:B1480,B1461-12)+in_two_wheeler_renew^2*SUMIFS(AR1454:AR1480,B1454:B1480,B1461-24)+in_two_wheeler_renew^3*SUMIFS(AR1454:AR1480,B1454:B1480,B1461-36)+in_two_wheeler_renew^4*SUMIFS(AR1454:AR1480,B1454:B1480,B1461-48))</f>
        <v/>
      </c>
      <c r="AT1461" s="40">
        <f>AT1460*(1-IF(B1460&gt;=in_marketplace_from,d_hz_device*G1460,0))</f>
        <v/>
      </c>
      <c r="AU1461" s="14">
        <f>F1461*AT1461*IF(B1461&gt;=in_marketplace_from,d_hz_device*G1461,0)*in_device_ticket*in_device_comm*in_ins_partner_share</f>
        <v/>
      </c>
      <c r="AV1461" s="40">
        <f>AV1460*(1-IF(B1460&gt;=in_marketplace_from,d_hz_shop*G1460,0))</f>
        <v/>
      </c>
      <c r="AW1461" s="46">
        <f>AV1461*IF(B1461&gt;=in_marketplace_from,d_hz_shop*G1461,0)</f>
        <v/>
      </c>
      <c r="AX1461" s="14">
        <f>F1461*AW1461*in_shop_ticket*in_shop_comm*in_ins_partner_share+F1461*in_shop_ticket*in_shop_renew_comm*in_ins_partner_share*(in_shop_renew^1*SUMIFS(AW1454:AW1480,B1454:B1480,B1461-12)+in_shop_renew^2*SUMIFS(AW1454:AW1480,B1454:B1480,B1461-24)+in_shop_renew^3*SUMIFS(AW1454:AW1480,B1454:B1480,B1461-36)+in_shop_renew^4*SUMIFS(AW1454:AW1480,B1454:B1480,B1461-48))</f>
        <v/>
      </c>
      <c r="AY1461" s="40">
        <f>AY1460*(1-IF(B1460&gt;=in_marketplace_from,d_hz_sip*G1460,0))</f>
        <v/>
      </c>
      <c r="AZ1461" s="40">
        <f>AZ1460*d_rho_sip+AY1461*IF(B1461&gt;=in_marketplace_from,d_hz_sip*G1461,0)</f>
        <v/>
      </c>
      <c r="BA1461" s="40">
        <f>d_rho_sip*(BA1460+AZ1460)</f>
        <v/>
      </c>
      <c r="BB1461" s="14">
        <f>F1461*in_sip_ticket*(BA1461+0.5*AZ1461)*in_sip_comm/12</f>
        <v/>
      </c>
      <c r="BC1461" s="40">
        <f>BC1460*(1-IF(B1460&gt;=in_marketplace_from,d_hz_choti*G1460,0))</f>
        <v/>
      </c>
      <c r="BD1461" s="46">
        <f>BC1461*IF(B1461&gt;=in_marketplace_from,d_hz_choti*G1461,0)</f>
        <v/>
      </c>
      <c r="BE1461" s="14">
        <f>F1461*SUMIFS(BD1454:BD1480,B1454:B1480,B1461-in_choti_months)*in_choti_renew*in_choti_ticket</f>
        <v/>
      </c>
      <c r="BF1461" s="40">
        <f>BF1460*(1-IF(B1460&gt;=in_marketplace_from,d_hz_nps*G1460,0))</f>
        <v/>
      </c>
      <c r="BG1461" s="14">
        <f>F1461*BF1461*IF(B1461&gt;=in_marketplace_from,d_hz_nps*G1461,0)*in_nps_ticket*in_nps_comm</f>
        <v/>
      </c>
      <c r="BH1461" s="40">
        <f>BH1460*(1-IF(B1460&gt;=in_marketplace_from,d_hz_gold*G1460,0))</f>
        <v/>
      </c>
      <c r="BI1461" s="40">
        <f>BI1460*d_rho_gold+BH1461*IF(B1461&gt;=in_marketplace_from,d_hz_gold*G1461,0)</f>
        <v/>
      </c>
      <c r="BJ1461" s="14">
        <f>F1461*BI1461*in_gold_ticket*in_gold_comm</f>
        <v/>
      </c>
      <c r="BK1461" s="40">
        <f>BK1460*(1-IF(B1460&gt;=in_marketplace_from,d_hz_fd*G1460,0))</f>
        <v/>
      </c>
      <c r="BL1461" s="14">
        <f>F1461*BK1461*IF(B1461&gt;=in_marketplace_from,d_hz_fd*G1461,0)*in_fd_ticket*in_fd_comm</f>
        <v/>
      </c>
      <c r="BM1461" s="40">
        <f>BM1460*(1-IF(B1460&gt;=in_marketplace_from,d_hz_recharge*G1460,0))</f>
        <v/>
      </c>
      <c r="BN1461" s="40">
        <f>BN1460*d_rho_recharge+BM1461*IF(B1461&gt;=in_marketplace_from,d_hz_recharge*G1461,0)</f>
        <v/>
      </c>
      <c r="BO1461" s="14">
        <f>F1461*BN1461*in_recharge_ticket*in_recharge_comm/12</f>
        <v/>
      </c>
      <c r="BP1461" s="40">
        <f>BP1460*(1-IF(B1460&gt;=in_marketplace_from,d_hz_bills*G1460,0))</f>
        <v/>
      </c>
      <c r="BQ1461" s="40">
        <f>BQ1460*d_rho_bills+BP1461*IF(B1461&gt;=in_marketplace_from,d_hz_bills*G1461,0)</f>
        <v/>
      </c>
      <c r="BR1461" s="14">
        <f>F1461*BQ1461*in_bills_ticket*in_bills_comm/12</f>
        <v/>
      </c>
      <c r="BS1461" s="40">
        <f>BS1460*(1-IF(B1460&gt;=in_marketplace_from,d_hz_loan_gold*G1460,0))</f>
        <v/>
      </c>
      <c r="BT1461" s="14">
        <f>F1461*BS1461*IF(B1461&gt;=in_marketplace_from,d_hz_loan_gold*G1461,0)*in_loan_gold_ticket*in_loan_gold_comm</f>
        <v/>
      </c>
      <c r="BU1461" s="40">
        <f>BU1460*(1-IF(B1460&gt;=in_marketplace_from,d_hz_loan_cd*G1460,0))</f>
        <v/>
      </c>
      <c r="BV1461" s="14">
        <f>F1461*BU1461*IF(B1461&gt;=in_marketplace_from,d_hz_loan_cd*G1461,0)*in_loan_cd_ticket*in_loan_cd_comm</f>
        <v/>
      </c>
      <c r="BW1461" s="40">
        <f>BW1460*(1-IF(B1460&gt;=in_marketplace_from,d_hz_loan_vehicle*G1460,0))</f>
        <v/>
      </c>
      <c r="BX1461" s="14">
        <f>F1461*BW1461*IF(B1461&gt;=in_marketplace_from,d_hz_loan_vehicle*G1461,0)*in_loan_vehicle_ticket*in_loan_vehicle_comm</f>
        <v/>
      </c>
      <c r="BY1461" s="40">
        <f>BY1460*(1-IF(B1460&gt;=in_marketplace_from,d_hz_loan_home*G1460,0)*BZ1460)</f>
        <v/>
      </c>
      <c r="BZ1461" s="11">
        <f>MIN(in_approval_cap,in_loan_home_approval*INDEX('Age profile'!$O$2:$O$61,B1461)*(1+in_approval_growth)^(D1461-1))</f>
        <v/>
      </c>
      <c r="CA1461" s="14">
        <f>F1461*BY1461*IF(B1461&gt;=in_marketplace_from,d_hz_loan_home*G1461,0)*BZ1461*in_loan_home_ticket*in_loan_home_comm</f>
        <v/>
      </c>
      <c r="CB1461" s="40">
        <f>CB1460*(1-IF(B1460&gt;=in_marketplace_from,d_hz_loan_lap*G1460,0)*CC1460)</f>
        <v/>
      </c>
      <c r="CC1461" s="11">
        <f>MIN(in_approval_cap,in_loan_lap_approval*INDEX('Age profile'!$O$2:$O$61,B1461)*(1+in_approval_growth)^(D1461-1))</f>
        <v/>
      </c>
      <c r="CD1461" s="14">
        <f>F1461*CB1461*IF(B1461&gt;=in_marketplace_from,d_hz_loan_lap*G1461,0)*CC1461*in_loan_lap_ticket*in_loan_lap_comm</f>
        <v/>
      </c>
      <c r="CE1461" s="14">
        <f>AA1461+AB1461+AC1461+AD1461+AG1461+AJ1461+AM1461+AP1461+AS1461+AU1461+AX1461+BB1461+BE1461+BG1461+BJ1461+BL1461+BO1461+BR1461+BT1461+BV1461+BX1461+CA1461+CD1461</f>
        <v/>
      </c>
    </row>
    <row r="1462">
      <c r="A1462" s="39" t="n">
        <v>34</v>
      </c>
      <c r="B1462" s="39" t="n">
        <v>9</v>
      </c>
      <c r="C1462" s="39">
        <f>A1462+B1462-1</f>
        <v/>
      </c>
      <c r="D1462" s="39">
        <f>INT((C1462-1)/12)+1</f>
        <v/>
      </c>
      <c r="E1462" s="44">
        <f>INDEX(Monthly!$B$2:$B$61,A1462)</f>
        <v/>
      </c>
      <c r="F1462" s="44">
        <f>E1462*INDEX('Age profile'!$B$2:$B$61,B1462)</f>
        <v/>
      </c>
      <c r="G1462" s="45">
        <f>MIN(in_takeup_cap,INDEX('Age profile'!$N$2:$N$61,B1462)*(1+in_takeup_growth)^(D1462-1))</f>
        <v/>
      </c>
      <c r="H1462" s="11">
        <f>MIN(in_approval_cap,in_approved_first*INDEX('Age profile'!$O$2:$O$61,B1462)*(1+in_approval_growth)^(D1462-1))</f>
        <v/>
      </c>
      <c r="I1462" s="45">
        <f>G1462*MIN(in_takeup_cap,INDEX('Age profile'!$O$2:$O$61,B1462)*(1+in_approval_growth)^(D1462-1))</f>
        <v/>
      </c>
      <c r="J1462" s="40">
        <f>(J1461-L1461)*F1462/F1461</f>
        <v/>
      </c>
      <c r="K1462" s="40">
        <f>(K1461-M1461)*F1462/F1461+SUMIFS(O1454:O1461,B1454:B1461,B1462-1-d_T)*F1462</f>
        <v/>
      </c>
      <c r="L1462" s="40">
        <f>IF(B1462&gt;=in_marketplace_from,J1462*d_hz*G1462*in_eligible*H1462,0)</f>
        <v/>
      </c>
      <c r="M1462" s="40">
        <f>IF(B1462&gt;=in_marketplace_from,K1462*d_hz*G1462*in_eligible*in_approved_repeat,0)</f>
        <v/>
      </c>
      <c r="N1462" s="40">
        <f>L1462+M1462</f>
        <v/>
      </c>
      <c r="O1462" s="46">
        <f>N1462/F1462</f>
        <v/>
      </c>
      <c r="P1462" s="40">
        <f>F1462-J1462-K1462</f>
        <v/>
      </c>
      <c r="Q1462" s="40">
        <f>IF(B1462&gt;=in_marketplace_from,(J1462+K1462)*d_hz*G1462,0)</f>
        <v/>
      </c>
      <c r="R1462" s="40">
        <f>SUMIFS(N1454:N1480,B1454:B1480,"&gt;="&amp;(B1462-d_T),B1454:B1480,"&lt;="&amp;(B1462-1))</f>
        <v/>
      </c>
      <c r="S1462" s="46">
        <f>(1-d_u)*S1461+IF(d_T&gt;in_topup_lag,SUMIFS(O1454:O1480,B1454:B1480,B1462-in_topup_lag)-d_udrop*SUMIFS(O1454:O1480,B1454:B1480,B1462-d_T),0)</f>
        <v/>
      </c>
      <c r="T1462" s="40">
        <f>F1462*d_u*S1462</f>
        <v/>
      </c>
      <c r="U1462" s="9">
        <f>L1462*in_ticket+M1462*d_rep_ticket</f>
        <v/>
      </c>
      <c r="V1462" s="9">
        <f>U1462+T1462*d_topup_amt</f>
        <v/>
      </c>
      <c r="W1462" s="40">
        <f>N1462+T1462*d_topup_ratio</f>
        <v/>
      </c>
      <c r="X1462" s="40">
        <f>SUMIFS(W1454:W1480,B1454:B1480,B1462-in_dpd_lag)*d_cured</f>
        <v/>
      </c>
      <c r="Y1462" s="40">
        <f>SUMIFS(W1454:W1480,B1454:B1480,B1462-in_rec_lag)*d_recd</f>
        <v/>
      </c>
      <c r="Z1462" s="40">
        <f>IF(AND(B1462&gt;=in_marketplace_from,B1462&lt;in_marketplace_from+in_card_months),in_card_share/in_card_months*F1462*I1462,IF(AND(B1462&gt;=in_marketplace_from+in_card_months,B1462&lt;in_marketplace_from+2*in_card_months),in_card_share*d_card_rem/in_card_months*F1462*MIN(in_takeup_cap,(1+in_takeup_growth)^(D1462-1))*MIN(in_takeup_cap,(1+in_approval_growth)^(D1462-1)),0))</f>
        <v/>
      </c>
      <c r="AA1462" s="14">
        <f>V1462*in_fee*(1-in_taken_back)</f>
        <v/>
      </c>
      <c r="AB1462" s="14">
        <f>SUMIFS(W1454:W1480,B1454:B1480,B1462-in_dpd_lag)*d_dpd</f>
        <v/>
      </c>
      <c r="AC1462" s="14">
        <f>SUMIFS(W1454:W1480,B1454:B1480,B1462-in_rec_lag)*d_rec</f>
        <v/>
      </c>
      <c r="AD1462" s="14">
        <f>Z1462*in_card_fee</f>
        <v/>
      </c>
      <c r="AE1462" s="40">
        <f>AE1461*(1-IF(B1461&gt;=in_marketplace_from,d_hz_hlth_small*G1461,0))</f>
        <v/>
      </c>
      <c r="AF1462" s="46">
        <f>AE1462*IF(B1462&gt;=in_marketplace_from,d_hz_hlth_small*G1462,0)</f>
        <v/>
      </c>
      <c r="AG1462" s="14">
        <f>F1462*AF1462*in_hlth_small_ticket*in_hlth_small_comm*in_ins_partner_share+F1462*in_hlth_small_ticket*in_hlth_small_renew_comm*in_ins_partner_share*(in_hlth_small_renew^1*SUMIFS(AF1454:AF1480,B1454:B1480,B1462-12)+in_hlth_small_renew^2*SUMIFS(AF1454:AF1480,B1454:B1480,B1462-24)+in_hlth_small_renew^3*SUMIFS(AF1454:AF1480,B1454:B1480,B1462-36)+in_hlth_small_renew^4*SUMIFS(AF1454:AF1480,B1454:B1480,B1462-48))</f>
        <v/>
      </c>
      <c r="AH1462" s="40">
        <f>AH1461*(1-IF(B1461&gt;=in_marketplace_from,d_hz_hlth_family*G1461,0))</f>
        <v/>
      </c>
      <c r="AI1462" s="46">
        <f>AH1462*IF(B1462&gt;=in_marketplace_from,d_hz_hlth_family*G1462,0)</f>
        <v/>
      </c>
      <c r="AJ1462" s="14">
        <f>F1462*AI1462*in_hlth_family_ticket*in_hlth_family_comm*in_ins_partner_share+F1462*in_hlth_family_ticket*in_hlth_family_renew_comm*in_ins_partner_share*(in_hlth_family_renew^1*SUMIFS(AI1454:AI1480,B1454:B1480,B1462-12)+in_hlth_family_renew^2*SUMIFS(AI1454:AI1480,B1454:B1480,B1462-24)+in_hlth_family_renew^3*SUMIFS(AI1454:AI1480,B1454:B1480,B1462-36)+in_hlth_family_renew^4*SUMIFS(AI1454:AI1480,B1454:B1480,B1462-48))</f>
        <v/>
      </c>
      <c r="AK1462" s="40">
        <f>AK1461*(1-IF(B1461&gt;=in_marketplace_from,d_hz_life_term*G1461,0))</f>
        <v/>
      </c>
      <c r="AL1462" s="46">
        <f>AK1462*IF(B1462&gt;=in_marketplace_from,d_hz_life_term*G1462,0)</f>
        <v/>
      </c>
      <c r="AM1462" s="14">
        <f>F1462*AL1462*in_life_term_ticket*in_life_term_comm*in_ins_partner_share+F1462*in_life_term_ticket*in_life_term_renew_comm*in_ins_partner_share*(in_life_term_renew^1*SUMIFS(AL1454:AL1480,B1454:B1480,B1462-12)+in_life_term_renew^2*SUMIFS(AL1454:AL1480,B1454:B1480,B1462-24)+in_life_term_renew^3*SUMIFS(AL1454:AL1480,B1454:B1480,B1462-36)+in_life_term_renew^4*SUMIFS(AL1454:AL1480,B1454:B1480,B1462-48))</f>
        <v/>
      </c>
      <c r="AN1462" s="40">
        <f>AN1461*(1-IF(B1461&gt;=in_marketplace_from,d_hz_accident*G1461,0))</f>
        <v/>
      </c>
      <c r="AO1462" s="46">
        <f>AN1462*IF(B1462&gt;=in_marketplace_from,d_hz_accident*G1462,0)</f>
        <v/>
      </c>
      <c r="AP1462" s="14">
        <f>F1462*AO1462*in_accident_ticket*in_accident_comm*in_ins_partner_share+F1462*in_accident_ticket*in_accident_renew_comm*in_ins_partner_share*(in_accident_renew^1*SUMIFS(AO1454:AO1480,B1454:B1480,B1462-12)+in_accident_renew^2*SUMIFS(AO1454:AO1480,B1454:B1480,B1462-24)+in_accident_renew^3*SUMIFS(AO1454:AO1480,B1454:B1480,B1462-36)+in_accident_renew^4*SUMIFS(AO1454:AO1480,B1454:B1480,B1462-48))</f>
        <v/>
      </c>
      <c r="AQ1462" s="40">
        <f>AQ1461*(1-IF(B1461&gt;=in_marketplace_from,d_hz_two_wheeler*G1461,0))</f>
        <v/>
      </c>
      <c r="AR1462" s="46">
        <f>AQ1462*IF(B1462&gt;=in_marketplace_from,d_hz_two_wheeler*G1462,0)</f>
        <v/>
      </c>
      <c r="AS1462" s="14">
        <f>F1462*AR1462*in_two_wheeler_ticket*in_two_wheeler_comm*in_ins_partner_share+F1462*in_two_wheeler_ticket*in_two_wheeler_comm*in_ins_partner_share*(in_two_wheeler_renew^1*SUMIFS(AR1454:AR1480,B1454:B1480,B1462-12)+in_two_wheeler_renew^2*SUMIFS(AR1454:AR1480,B1454:B1480,B1462-24)+in_two_wheeler_renew^3*SUMIFS(AR1454:AR1480,B1454:B1480,B1462-36)+in_two_wheeler_renew^4*SUMIFS(AR1454:AR1480,B1454:B1480,B1462-48))</f>
        <v/>
      </c>
      <c r="AT1462" s="40">
        <f>AT1461*(1-IF(B1461&gt;=in_marketplace_from,d_hz_device*G1461,0))</f>
        <v/>
      </c>
      <c r="AU1462" s="14">
        <f>F1462*AT1462*IF(B1462&gt;=in_marketplace_from,d_hz_device*G1462,0)*in_device_ticket*in_device_comm*in_ins_partner_share</f>
        <v/>
      </c>
      <c r="AV1462" s="40">
        <f>AV1461*(1-IF(B1461&gt;=in_marketplace_from,d_hz_shop*G1461,0))</f>
        <v/>
      </c>
      <c r="AW1462" s="46">
        <f>AV1462*IF(B1462&gt;=in_marketplace_from,d_hz_shop*G1462,0)</f>
        <v/>
      </c>
      <c r="AX1462" s="14">
        <f>F1462*AW1462*in_shop_ticket*in_shop_comm*in_ins_partner_share+F1462*in_shop_ticket*in_shop_renew_comm*in_ins_partner_share*(in_shop_renew^1*SUMIFS(AW1454:AW1480,B1454:B1480,B1462-12)+in_shop_renew^2*SUMIFS(AW1454:AW1480,B1454:B1480,B1462-24)+in_shop_renew^3*SUMIFS(AW1454:AW1480,B1454:B1480,B1462-36)+in_shop_renew^4*SUMIFS(AW1454:AW1480,B1454:B1480,B1462-48))</f>
        <v/>
      </c>
      <c r="AY1462" s="40">
        <f>AY1461*(1-IF(B1461&gt;=in_marketplace_from,d_hz_sip*G1461,0))</f>
        <v/>
      </c>
      <c r="AZ1462" s="40">
        <f>AZ1461*d_rho_sip+AY1462*IF(B1462&gt;=in_marketplace_from,d_hz_sip*G1462,0)</f>
        <v/>
      </c>
      <c r="BA1462" s="40">
        <f>d_rho_sip*(BA1461+AZ1461)</f>
        <v/>
      </c>
      <c r="BB1462" s="14">
        <f>F1462*in_sip_ticket*(BA1462+0.5*AZ1462)*in_sip_comm/12</f>
        <v/>
      </c>
      <c r="BC1462" s="40">
        <f>BC1461*(1-IF(B1461&gt;=in_marketplace_from,d_hz_choti*G1461,0))</f>
        <v/>
      </c>
      <c r="BD1462" s="46">
        <f>BC1462*IF(B1462&gt;=in_marketplace_from,d_hz_choti*G1462,0)</f>
        <v/>
      </c>
      <c r="BE1462" s="14">
        <f>F1462*SUMIFS(BD1454:BD1480,B1454:B1480,B1462-in_choti_months)*in_choti_renew*in_choti_ticket</f>
        <v/>
      </c>
      <c r="BF1462" s="40">
        <f>BF1461*(1-IF(B1461&gt;=in_marketplace_from,d_hz_nps*G1461,0))</f>
        <v/>
      </c>
      <c r="BG1462" s="14">
        <f>F1462*BF1462*IF(B1462&gt;=in_marketplace_from,d_hz_nps*G1462,0)*in_nps_ticket*in_nps_comm</f>
        <v/>
      </c>
      <c r="BH1462" s="40">
        <f>BH1461*(1-IF(B1461&gt;=in_marketplace_from,d_hz_gold*G1461,0))</f>
        <v/>
      </c>
      <c r="BI1462" s="40">
        <f>BI1461*d_rho_gold+BH1462*IF(B1462&gt;=in_marketplace_from,d_hz_gold*G1462,0)</f>
        <v/>
      </c>
      <c r="BJ1462" s="14">
        <f>F1462*BI1462*in_gold_ticket*in_gold_comm</f>
        <v/>
      </c>
      <c r="BK1462" s="40">
        <f>BK1461*(1-IF(B1461&gt;=in_marketplace_from,d_hz_fd*G1461,0))</f>
        <v/>
      </c>
      <c r="BL1462" s="14">
        <f>F1462*BK1462*IF(B1462&gt;=in_marketplace_from,d_hz_fd*G1462,0)*in_fd_ticket*in_fd_comm</f>
        <v/>
      </c>
      <c r="BM1462" s="40">
        <f>BM1461*(1-IF(B1461&gt;=in_marketplace_from,d_hz_recharge*G1461,0))</f>
        <v/>
      </c>
      <c r="BN1462" s="40">
        <f>BN1461*d_rho_recharge+BM1462*IF(B1462&gt;=in_marketplace_from,d_hz_recharge*G1462,0)</f>
        <v/>
      </c>
      <c r="BO1462" s="14">
        <f>F1462*BN1462*in_recharge_ticket*in_recharge_comm/12</f>
        <v/>
      </c>
      <c r="BP1462" s="40">
        <f>BP1461*(1-IF(B1461&gt;=in_marketplace_from,d_hz_bills*G1461,0))</f>
        <v/>
      </c>
      <c r="BQ1462" s="40">
        <f>BQ1461*d_rho_bills+BP1462*IF(B1462&gt;=in_marketplace_from,d_hz_bills*G1462,0)</f>
        <v/>
      </c>
      <c r="BR1462" s="14">
        <f>F1462*BQ1462*in_bills_ticket*in_bills_comm/12</f>
        <v/>
      </c>
      <c r="BS1462" s="40">
        <f>BS1461*(1-IF(B1461&gt;=in_marketplace_from,d_hz_loan_gold*G1461,0))</f>
        <v/>
      </c>
      <c r="BT1462" s="14">
        <f>F1462*BS1462*IF(B1462&gt;=in_marketplace_from,d_hz_loan_gold*G1462,0)*in_loan_gold_ticket*in_loan_gold_comm</f>
        <v/>
      </c>
      <c r="BU1462" s="40">
        <f>BU1461*(1-IF(B1461&gt;=in_marketplace_from,d_hz_loan_cd*G1461,0))</f>
        <v/>
      </c>
      <c r="BV1462" s="14">
        <f>F1462*BU1462*IF(B1462&gt;=in_marketplace_from,d_hz_loan_cd*G1462,0)*in_loan_cd_ticket*in_loan_cd_comm</f>
        <v/>
      </c>
      <c r="BW1462" s="40">
        <f>BW1461*(1-IF(B1461&gt;=in_marketplace_from,d_hz_loan_vehicle*G1461,0))</f>
        <v/>
      </c>
      <c r="BX1462" s="14">
        <f>F1462*BW1462*IF(B1462&gt;=in_marketplace_from,d_hz_loan_vehicle*G1462,0)*in_loan_vehicle_ticket*in_loan_vehicle_comm</f>
        <v/>
      </c>
      <c r="BY1462" s="40">
        <f>BY1461*(1-IF(B1461&gt;=in_marketplace_from,d_hz_loan_home*G1461,0)*BZ1461)</f>
        <v/>
      </c>
      <c r="BZ1462" s="11">
        <f>MIN(in_approval_cap,in_loan_home_approval*INDEX('Age profile'!$O$2:$O$61,B1462)*(1+in_approval_growth)^(D1462-1))</f>
        <v/>
      </c>
      <c r="CA1462" s="14">
        <f>F1462*BY1462*IF(B1462&gt;=in_marketplace_from,d_hz_loan_home*G1462,0)*BZ1462*in_loan_home_ticket*in_loan_home_comm</f>
        <v/>
      </c>
      <c r="CB1462" s="40">
        <f>CB1461*(1-IF(B1461&gt;=in_marketplace_from,d_hz_loan_lap*G1461,0)*CC1461)</f>
        <v/>
      </c>
      <c r="CC1462" s="11">
        <f>MIN(in_approval_cap,in_loan_lap_approval*INDEX('Age profile'!$O$2:$O$61,B1462)*(1+in_approval_growth)^(D1462-1))</f>
        <v/>
      </c>
      <c r="CD1462" s="14">
        <f>F1462*CB1462*IF(B1462&gt;=in_marketplace_from,d_hz_loan_lap*G1462,0)*CC1462*in_loan_lap_ticket*in_loan_lap_comm</f>
        <v/>
      </c>
      <c r="CE1462" s="14">
        <f>AA1462+AB1462+AC1462+AD1462+AG1462+AJ1462+AM1462+AP1462+AS1462+AU1462+AX1462+BB1462+BE1462+BG1462+BJ1462+BL1462+BO1462+BR1462+BT1462+BV1462+BX1462+CA1462+CD1462</f>
        <v/>
      </c>
    </row>
    <row r="1463">
      <c r="A1463" s="39" t="n">
        <v>34</v>
      </c>
      <c r="B1463" s="39" t="n">
        <v>10</v>
      </c>
      <c r="C1463" s="39">
        <f>A1463+B1463-1</f>
        <v/>
      </c>
      <c r="D1463" s="39">
        <f>INT((C1463-1)/12)+1</f>
        <v/>
      </c>
      <c r="E1463" s="44">
        <f>INDEX(Monthly!$B$2:$B$61,A1463)</f>
        <v/>
      </c>
      <c r="F1463" s="44">
        <f>E1463*INDEX('Age profile'!$B$2:$B$61,B1463)</f>
        <v/>
      </c>
      <c r="G1463" s="45">
        <f>MIN(in_takeup_cap,INDEX('Age profile'!$N$2:$N$61,B1463)*(1+in_takeup_growth)^(D1463-1))</f>
        <v/>
      </c>
      <c r="H1463" s="11">
        <f>MIN(in_approval_cap,in_approved_first*INDEX('Age profile'!$O$2:$O$61,B1463)*(1+in_approval_growth)^(D1463-1))</f>
        <v/>
      </c>
      <c r="I1463" s="45">
        <f>G1463*MIN(in_takeup_cap,INDEX('Age profile'!$O$2:$O$61,B1463)*(1+in_approval_growth)^(D1463-1))</f>
        <v/>
      </c>
      <c r="J1463" s="40">
        <f>(J1462-L1462)*F1463/F1462</f>
        <v/>
      </c>
      <c r="K1463" s="40">
        <f>(K1462-M1462)*F1463/F1462+SUMIFS(O1454:O1462,B1454:B1462,B1463-1-d_T)*F1463</f>
        <v/>
      </c>
      <c r="L1463" s="40">
        <f>IF(B1463&gt;=in_marketplace_from,J1463*d_hz*G1463*in_eligible*H1463,0)</f>
        <v/>
      </c>
      <c r="M1463" s="40">
        <f>IF(B1463&gt;=in_marketplace_from,K1463*d_hz*G1463*in_eligible*in_approved_repeat,0)</f>
        <v/>
      </c>
      <c r="N1463" s="40">
        <f>L1463+M1463</f>
        <v/>
      </c>
      <c r="O1463" s="46">
        <f>N1463/F1463</f>
        <v/>
      </c>
      <c r="P1463" s="40">
        <f>F1463-J1463-K1463</f>
        <v/>
      </c>
      <c r="Q1463" s="40">
        <f>IF(B1463&gt;=in_marketplace_from,(J1463+K1463)*d_hz*G1463,0)</f>
        <v/>
      </c>
      <c r="R1463" s="40">
        <f>SUMIFS(N1454:N1480,B1454:B1480,"&gt;="&amp;(B1463-d_T),B1454:B1480,"&lt;="&amp;(B1463-1))</f>
        <v/>
      </c>
      <c r="S1463" s="46">
        <f>(1-d_u)*S1462+IF(d_T&gt;in_topup_lag,SUMIFS(O1454:O1480,B1454:B1480,B1463-in_topup_lag)-d_udrop*SUMIFS(O1454:O1480,B1454:B1480,B1463-d_T),0)</f>
        <v/>
      </c>
      <c r="T1463" s="40">
        <f>F1463*d_u*S1463</f>
        <v/>
      </c>
      <c r="U1463" s="9">
        <f>L1463*in_ticket+M1463*d_rep_ticket</f>
        <v/>
      </c>
      <c r="V1463" s="9">
        <f>U1463+T1463*d_topup_amt</f>
        <v/>
      </c>
      <c r="W1463" s="40">
        <f>N1463+T1463*d_topup_ratio</f>
        <v/>
      </c>
      <c r="X1463" s="40">
        <f>SUMIFS(W1454:W1480,B1454:B1480,B1463-in_dpd_lag)*d_cured</f>
        <v/>
      </c>
      <c r="Y1463" s="40">
        <f>SUMIFS(W1454:W1480,B1454:B1480,B1463-in_rec_lag)*d_recd</f>
        <v/>
      </c>
      <c r="Z1463" s="40">
        <f>IF(AND(B1463&gt;=in_marketplace_from,B1463&lt;in_marketplace_from+in_card_months),in_card_share/in_card_months*F1463*I1463,IF(AND(B1463&gt;=in_marketplace_from+in_card_months,B1463&lt;in_marketplace_from+2*in_card_months),in_card_share*d_card_rem/in_card_months*F1463*MIN(in_takeup_cap,(1+in_takeup_growth)^(D1463-1))*MIN(in_takeup_cap,(1+in_approval_growth)^(D1463-1)),0))</f>
        <v/>
      </c>
      <c r="AA1463" s="14">
        <f>V1463*in_fee*(1-in_taken_back)</f>
        <v/>
      </c>
      <c r="AB1463" s="14">
        <f>SUMIFS(W1454:W1480,B1454:B1480,B1463-in_dpd_lag)*d_dpd</f>
        <v/>
      </c>
      <c r="AC1463" s="14">
        <f>SUMIFS(W1454:W1480,B1454:B1480,B1463-in_rec_lag)*d_rec</f>
        <v/>
      </c>
      <c r="AD1463" s="14">
        <f>Z1463*in_card_fee</f>
        <v/>
      </c>
      <c r="AE1463" s="40">
        <f>AE1462*(1-IF(B1462&gt;=in_marketplace_from,d_hz_hlth_small*G1462,0))</f>
        <v/>
      </c>
      <c r="AF1463" s="46">
        <f>AE1463*IF(B1463&gt;=in_marketplace_from,d_hz_hlth_small*G1463,0)</f>
        <v/>
      </c>
      <c r="AG1463" s="14">
        <f>F1463*AF1463*in_hlth_small_ticket*in_hlth_small_comm*in_ins_partner_share+F1463*in_hlth_small_ticket*in_hlth_small_renew_comm*in_ins_partner_share*(in_hlth_small_renew^1*SUMIFS(AF1454:AF1480,B1454:B1480,B1463-12)+in_hlth_small_renew^2*SUMIFS(AF1454:AF1480,B1454:B1480,B1463-24)+in_hlth_small_renew^3*SUMIFS(AF1454:AF1480,B1454:B1480,B1463-36)+in_hlth_small_renew^4*SUMIFS(AF1454:AF1480,B1454:B1480,B1463-48))</f>
        <v/>
      </c>
      <c r="AH1463" s="40">
        <f>AH1462*(1-IF(B1462&gt;=in_marketplace_from,d_hz_hlth_family*G1462,0))</f>
        <v/>
      </c>
      <c r="AI1463" s="46">
        <f>AH1463*IF(B1463&gt;=in_marketplace_from,d_hz_hlth_family*G1463,0)</f>
        <v/>
      </c>
      <c r="AJ1463" s="14">
        <f>F1463*AI1463*in_hlth_family_ticket*in_hlth_family_comm*in_ins_partner_share+F1463*in_hlth_family_ticket*in_hlth_family_renew_comm*in_ins_partner_share*(in_hlth_family_renew^1*SUMIFS(AI1454:AI1480,B1454:B1480,B1463-12)+in_hlth_family_renew^2*SUMIFS(AI1454:AI1480,B1454:B1480,B1463-24)+in_hlth_family_renew^3*SUMIFS(AI1454:AI1480,B1454:B1480,B1463-36)+in_hlth_family_renew^4*SUMIFS(AI1454:AI1480,B1454:B1480,B1463-48))</f>
        <v/>
      </c>
      <c r="AK1463" s="40">
        <f>AK1462*(1-IF(B1462&gt;=in_marketplace_from,d_hz_life_term*G1462,0))</f>
        <v/>
      </c>
      <c r="AL1463" s="46">
        <f>AK1463*IF(B1463&gt;=in_marketplace_from,d_hz_life_term*G1463,0)</f>
        <v/>
      </c>
      <c r="AM1463" s="14">
        <f>F1463*AL1463*in_life_term_ticket*in_life_term_comm*in_ins_partner_share+F1463*in_life_term_ticket*in_life_term_renew_comm*in_ins_partner_share*(in_life_term_renew^1*SUMIFS(AL1454:AL1480,B1454:B1480,B1463-12)+in_life_term_renew^2*SUMIFS(AL1454:AL1480,B1454:B1480,B1463-24)+in_life_term_renew^3*SUMIFS(AL1454:AL1480,B1454:B1480,B1463-36)+in_life_term_renew^4*SUMIFS(AL1454:AL1480,B1454:B1480,B1463-48))</f>
        <v/>
      </c>
      <c r="AN1463" s="40">
        <f>AN1462*(1-IF(B1462&gt;=in_marketplace_from,d_hz_accident*G1462,0))</f>
        <v/>
      </c>
      <c r="AO1463" s="46">
        <f>AN1463*IF(B1463&gt;=in_marketplace_from,d_hz_accident*G1463,0)</f>
        <v/>
      </c>
      <c r="AP1463" s="14">
        <f>F1463*AO1463*in_accident_ticket*in_accident_comm*in_ins_partner_share+F1463*in_accident_ticket*in_accident_renew_comm*in_ins_partner_share*(in_accident_renew^1*SUMIFS(AO1454:AO1480,B1454:B1480,B1463-12)+in_accident_renew^2*SUMIFS(AO1454:AO1480,B1454:B1480,B1463-24)+in_accident_renew^3*SUMIFS(AO1454:AO1480,B1454:B1480,B1463-36)+in_accident_renew^4*SUMIFS(AO1454:AO1480,B1454:B1480,B1463-48))</f>
        <v/>
      </c>
      <c r="AQ1463" s="40">
        <f>AQ1462*(1-IF(B1462&gt;=in_marketplace_from,d_hz_two_wheeler*G1462,0))</f>
        <v/>
      </c>
      <c r="AR1463" s="46">
        <f>AQ1463*IF(B1463&gt;=in_marketplace_from,d_hz_two_wheeler*G1463,0)</f>
        <v/>
      </c>
      <c r="AS1463" s="14">
        <f>F1463*AR1463*in_two_wheeler_ticket*in_two_wheeler_comm*in_ins_partner_share+F1463*in_two_wheeler_ticket*in_two_wheeler_comm*in_ins_partner_share*(in_two_wheeler_renew^1*SUMIFS(AR1454:AR1480,B1454:B1480,B1463-12)+in_two_wheeler_renew^2*SUMIFS(AR1454:AR1480,B1454:B1480,B1463-24)+in_two_wheeler_renew^3*SUMIFS(AR1454:AR1480,B1454:B1480,B1463-36)+in_two_wheeler_renew^4*SUMIFS(AR1454:AR1480,B1454:B1480,B1463-48))</f>
        <v/>
      </c>
      <c r="AT1463" s="40">
        <f>AT1462*(1-IF(B1462&gt;=in_marketplace_from,d_hz_device*G1462,0))</f>
        <v/>
      </c>
      <c r="AU1463" s="14">
        <f>F1463*AT1463*IF(B1463&gt;=in_marketplace_from,d_hz_device*G1463,0)*in_device_ticket*in_device_comm*in_ins_partner_share</f>
        <v/>
      </c>
      <c r="AV1463" s="40">
        <f>AV1462*(1-IF(B1462&gt;=in_marketplace_from,d_hz_shop*G1462,0))</f>
        <v/>
      </c>
      <c r="AW1463" s="46">
        <f>AV1463*IF(B1463&gt;=in_marketplace_from,d_hz_shop*G1463,0)</f>
        <v/>
      </c>
      <c r="AX1463" s="14">
        <f>F1463*AW1463*in_shop_ticket*in_shop_comm*in_ins_partner_share+F1463*in_shop_ticket*in_shop_renew_comm*in_ins_partner_share*(in_shop_renew^1*SUMIFS(AW1454:AW1480,B1454:B1480,B1463-12)+in_shop_renew^2*SUMIFS(AW1454:AW1480,B1454:B1480,B1463-24)+in_shop_renew^3*SUMIFS(AW1454:AW1480,B1454:B1480,B1463-36)+in_shop_renew^4*SUMIFS(AW1454:AW1480,B1454:B1480,B1463-48))</f>
        <v/>
      </c>
      <c r="AY1463" s="40">
        <f>AY1462*(1-IF(B1462&gt;=in_marketplace_from,d_hz_sip*G1462,0))</f>
        <v/>
      </c>
      <c r="AZ1463" s="40">
        <f>AZ1462*d_rho_sip+AY1463*IF(B1463&gt;=in_marketplace_from,d_hz_sip*G1463,0)</f>
        <v/>
      </c>
      <c r="BA1463" s="40">
        <f>d_rho_sip*(BA1462+AZ1462)</f>
        <v/>
      </c>
      <c r="BB1463" s="14">
        <f>F1463*in_sip_ticket*(BA1463+0.5*AZ1463)*in_sip_comm/12</f>
        <v/>
      </c>
      <c r="BC1463" s="40">
        <f>BC1462*(1-IF(B1462&gt;=in_marketplace_from,d_hz_choti*G1462,0))</f>
        <v/>
      </c>
      <c r="BD1463" s="46">
        <f>BC1463*IF(B1463&gt;=in_marketplace_from,d_hz_choti*G1463,0)</f>
        <v/>
      </c>
      <c r="BE1463" s="14">
        <f>F1463*SUMIFS(BD1454:BD1480,B1454:B1480,B1463-in_choti_months)*in_choti_renew*in_choti_ticket</f>
        <v/>
      </c>
      <c r="BF1463" s="40">
        <f>BF1462*(1-IF(B1462&gt;=in_marketplace_from,d_hz_nps*G1462,0))</f>
        <v/>
      </c>
      <c r="BG1463" s="14">
        <f>F1463*BF1463*IF(B1463&gt;=in_marketplace_from,d_hz_nps*G1463,0)*in_nps_ticket*in_nps_comm</f>
        <v/>
      </c>
      <c r="BH1463" s="40">
        <f>BH1462*(1-IF(B1462&gt;=in_marketplace_from,d_hz_gold*G1462,0))</f>
        <v/>
      </c>
      <c r="BI1463" s="40">
        <f>BI1462*d_rho_gold+BH1463*IF(B1463&gt;=in_marketplace_from,d_hz_gold*G1463,0)</f>
        <v/>
      </c>
      <c r="BJ1463" s="14">
        <f>F1463*BI1463*in_gold_ticket*in_gold_comm</f>
        <v/>
      </c>
      <c r="BK1463" s="40">
        <f>BK1462*(1-IF(B1462&gt;=in_marketplace_from,d_hz_fd*G1462,0))</f>
        <v/>
      </c>
      <c r="BL1463" s="14">
        <f>F1463*BK1463*IF(B1463&gt;=in_marketplace_from,d_hz_fd*G1463,0)*in_fd_ticket*in_fd_comm</f>
        <v/>
      </c>
      <c r="BM1463" s="40">
        <f>BM1462*(1-IF(B1462&gt;=in_marketplace_from,d_hz_recharge*G1462,0))</f>
        <v/>
      </c>
      <c r="BN1463" s="40">
        <f>BN1462*d_rho_recharge+BM1463*IF(B1463&gt;=in_marketplace_from,d_hz_recharge*G1463,0)</f>
        <v/>
      </c>
      <c r="BO1463" s="14">
        <f>F1463*BN1463*in_recharge_ticket*in_recharge_comm/12</f>
        <v/>
      </c>
      <c r="BP1463" s="40">
        <f>BP1462*(1-IF(B1462&gt;=in_marketplace_from,d_hz_bills*G1462,0))</f>
        <v/>
      </c>
      <c r="BQ1463" s="40">
        <f>BQ1462*d_rho_bills+BP1463*IF(B1463&gt;=in_marketplace_from,d_hz_bills*G1463,0)</f>
        <v/>
      </c>
      <c r="BR1463" s="14">
        <f>F1463*BQ1463*in_bills_ticket*in_bills_comm/12</f>
        <v/>
      </c>
      <c r="BS1463" s="40">
        <f>BS1462*(1-IF(B1462&gt;=in_marketplace_from,d_hz_loan_gold*G1462,0))</f>
        <v/>
      </c>
      <c r="BT1463" s="14">
        <f>F1463*BS1463*IF(B1463&gt;=in_marketplace_from,d_hz_loan_gold*G1463,0)*in_loan_gold_ticket*in_loan_gold_comm</f>
        <v/>
      </c>
      <c r="BU1463" s="40">
        <f>BU1462*(1-IF(B1462&gt;=in_marketplace_from,d_hz_loan_cd*G1462,0))</f>
        <v/>
      </c>
      <c r="BV1463" s="14">
        <f>F1463*BU1463*IF(B1463&gt;=in_marketplace_from,d_hz_loan_cd*G1463,0)*in_loan_cd_ticket*in_loan_cd_comm</f>
        <v/>
      </c>
      <c r="BW1463" s="40">
        <f>BW1462*(1-IF(B1462&gt;=in_marketplace_from,d_hz_loan_vehicle*G1462,0))</f>
        <v/>
      </c>
      <c r="BX1463" s="14">
        <f>F1463*BW1463*IF(B1463&gt;=in_marketplace_from,d_hz_loan_vehicle*G1463,0)*in_loan_vehicle_ticket*in_loan_vehicle_comm</f>
        <v/>
      </c>
      <c r="BY1463" s="40">
        <f>BY1462*(1-IF(B1462&gt;=in_marketplace_from,d_hz_loan_home*G1462,0)*BZ1462)</f>
        <v/>
      </c>
      <c r="BZ1463" s="11">
        <f>MIN(in_approval_cap,in_loan_home_approval*INDEX('Age profile'!$O$2:$O$61,B1463)*(1+in_approval_growth)^(D1463-1))</f>
        <v/>
      </c>
      <c r="CA1463" s="14">
        <f>F1463*BY1463*IF(B1463&gt;=in_marketplace_from,d_hz_loan_home*G1463,0)*BZ1463*in_loan_home_ticket*in_loan_home_comm</f>
        <v/>
      </c>
      <c r="CB1463" s="40">
        <f>CB1462*(1-IF(B1462&gt;=in_marketplace_from,d_hz_loan_lap*G1462,0)*CC1462)</f>
        <v/>
      </c>
      <c r="CC1463" s="11">
        <f>MIN(in_approval_cap,in_loan_lap_approval*INDEX('Age profile'!$O$2:$O$61,B1463)*(1+in_approval_growth)^(D1463-1))</f>
        <v/>
      </c>
      <c r="CD1463" s="14">
        <f>F1463*CB1463*IF(B1463&gt;=in_marketplace_from,d_hz_loan_lap*G1463,0)*CC1463*in_loan_lap_ticket*in_loan_lap_comm</f>
        <v/>
      </c>
      <c r="CE1463" s="14">
        <f>AA1463+AB1463+AC1463+AD1463+AG1463+AJ1463+AM1463+AP1463+AS1463+AU1463+AX1463+BB1463+BE1463+BG1463+BJ1463+BL1463+BO1463+BR1463+BT1463+BV1463+BX1463+CA1463+CD1463</f>
        <v/>
      </c>
    </row>
    <row r="1464">
      <c r="A1464" s="39" t="n">
        <v>34</v>
      </c>
      <c r="B1464" s="39" t="n">
        <v>11</v>
      </c>
      <c r="C1464" s="39">
        <f>A1464+B1464-1</f>
        <v/>
      </c>
      <c r="D1464" s="39">
        <f>INT((C1464-1)/12)+1</f>
        <v/>
      </c>
      <c r="E1464" s="44">
        <f>INDEX(Monthly!$B$2:$B$61,A1464)</f>
        <v/>
      </c>
      <c r="F1464" s="44">
        <f>E1464*INDEX('Age profile'!$B$2:$B$61,B1464)</f>
        <v/>
      </c>
      <c r="G1464" s="45">
        <f>MIN(in_takeup_cap,INDEX('Age profile'!$N$2:$N$61,B1464)*(1+in_takeup_growth)^(D1464-1))</f>
        <v/>
      </c>
      <c r="H1464" s="11">
        <f>MIN(in_approval_cap,in_approved_first*INDEX('Age profile'!$O$2:$O$61,B1464)*(1+in_approval_growth)^(D1464-1))</f>
        <v/>
      </c>
      <c r="I1464" s="45">
        <f>G1464*MIN(in_takeup_cap,INDEX('Age profile'!$O$2:$O$61,B1464)*(1+in_approval_growth)^(D1464-1))</f>
        <v/>
      </c>
      <c r="J1464" s="40">
        <f>(J1463-L1463)*F1464/F1463</f>
        <v/>
      </c>
      <c r="K1464" s="40">
        <f>(K1463-M1463)*F1464/F1463+SUMIFS(O1454:O1463,B1454:B1463,B1464-1-d_T)*F1464</f>
        <v/>
      </c>
      <c r="L1464" s="40">
        <f>IF(B1464&gt;=in_marketplace_from,J1464*d_hz*G1464*in_eligible*H1464,0)</f>
        <v/>
      </c>
      <c r="M1464" s="40">
        <f>IF(B1464&gt;=in_marketplace_from,K1464*d_hz*G1464*in_eligible*in_approved_repeat,0)</f>
        <v/>
      </c>
      <c r="N1464" s="40">
        <f>L1464+M1464</f>
        <v/>
      </c>
      <c r="O1464" s="46">
        <f>N1464/F1464</f>
        <v/>
      </c>
      <c r="P1464" s="40">
        <f>F1464-J1464-K1464</f>
        <v/>
      </c>
      <c r="Q1464" s="40">
        <f>IF(B1464&gt;=in_marketplace_from,(J1464+K1464)*d_hz*G1464,0)</f>
        <v/>
      </c>
      <c r="R1464" s="40">
        <f>SUMIFS(N1454:N1480,B1454:B1480,"&gt;="&amp;(B1464-d_T),B1454:B1480,"&lt;="&amp;(B1464-1))</f>
        <v/>
      </c>
      <c r="S1464" s="46">
        <f>(1-d_u)*S1463+IF(d_T&gt;in_topup_lag,SUMIFS(O1454:O1480,B1454:B1480,B1464-in_topup_lag)-d_udrop*SUMIFS(O1454:O1480,B1454:B1480,B1464-d_T),0)</f>
        <v/>
      </c>
      <c r="T1464" s="40">
        <f>F1464*d_u*S1464</f>
        <v/>
      </c>
      <c r="U1464" s="9">
        <f>L1464*in_ticket+M1464*d_rep_ticket</f>
        <v/>
      </c>
      <c r="V1464" s="9">
        <f>U1464+T1464*d_topup_amt</f>
        <v/>
      </c>
      <c r="W1464" s="40">
        <f>N1464+T1464*d_topup_ratio</f>
        <v/>
      </c>
      <c r="X1464" s="40">
        <f>SUMIFS(W1454:W1480,B1454:B1480,B1464-in_dpd_lag)*d_cured</f>
        <v/>
      </c>
      <c r="Y1464" s="40">
        <f>SUMIFS(W1454:W1480,B1454:B1480,B1464-in_rec_lag)*d_recd</f>
        <v/>
      </c>
      <c r="Z1464" s="40">
        <f>IF(AND(B1464&gt;=in_marketplace_from,B1464&lt;in_marketplace_from+in_card_months),in_card_share/in_card_months*F1464*I1464,IF(AND(B1464&gt;=in_marketplace_from+in_card_months,B1464&lt;in_marketplace_from+2*in_card_months),in_card_share*d_card_rem/in_card_months*F1464*MIN(in_takeup_cap,(1+in_takeup_growth)^(D1464-1))*MIN(in_takeup_cap,(1+in_approval_growth)^(D1464-1)),0))</f>
        <v/>
      </c>
      <c r="AA1464" s="14">
        <f>V1464*in_fee*(1-in_taken_back)</f>
        <v/>
      </c>
      <c r="AB1464" s="14">
        <f>SUMIFS(W1454:W1480,B1454:B1480,B1464-in_dpd_lag)*d_dpd</f>
        <v/>
      </c>
      <c r="AC1464" s="14">
        <f>SUMIFS(W1454:W1480,B1454:B1480,B1464-in_rec_lag)*d_rec</f>
        <v/>
      </c>
      <c r="AD1464" s="14">
        <f>Z1464*in_card_fee</f>
        <v/>
      </c>
      <c r="AE1464" s="40">
        <f>AE1463*(1-IF(B1463&gt;=in_marketplace_from,d_hz_hlth_small*G1463,0))</f>
        <v/>
      </c>
      <c r="AF1464" s="46">
        <f>AE1464*IF(B1464&gt;=in_marketplace_from,d_hz_hlth_small*G1464,0)</f>
        <v/>
      </c>
      <c r="AG1464" s="14">
        <f>F1464*AF1464*in_hlth_small_ticket*in_hlth_small_comm*in_ins_partner_share+F1464*in_hlth_small_ticket*in_hlth_small_renew_comm*in_ins_partner_share*(in_hlth_small_renew^1*SUMIFS(AF1454:AF1480,B1454:B1480,B1464-12)+in_hlth_small_renew^2*SUMIFS(AF1454:AF1480,B1454:B1480,B1464-24)+in_hlth_small_renew^3*SUMIFS(AF1454:AF1480,B1454:B1480,B1464-36)+in_hlth_small_renew^4*SUMIFS(AF1454:AF1480,B1454:B1480,B1464-48))</f>
        <v/>
      </c>
      <c r="AH1464" s="40">
        <f>AH1463*(1-IF(B1463&gt;=in_marketplace_from,d_hz_hlth_family*G1463,0))</f>
        <v/>
      </c>
      <c r="AI1464" s="46">
        <f>AH1464*IF(B1464&gt;=in_marketplace_from,d_hz_hlth_family*G1464,0)</f>
        <v/>
      </c>
      <c r="AJ1464" s="14">
        <f>F1464*AI1464*in_hlth_family_ticket*in_hlth_family_comm*in_ins_partner_share+F1464*in_hlth_family_ticket*in_hlth_family_renew_comm*in_ins_partner_share*(in_hlth_family_renew^1*SUMIFS(AI1454:AI1480,B1454:B1480,B1464-12)+in_hlth_family_renew^2*SUMIFS(AI1454:AI1480,B1454:B1480,B1464-24)+in_hlth_family_renew^3*SUMIFS(AI1454:AI1480,B1454:B1480,B1464-36)+in_hlth_family_renew^4*SUMIFS(AI1454:AI1480,B1454:B1480,B1464-48))</f>
        <v/>
      </c>
      <c r="AK1464" s="40">
        <f>AK1463*(1-IF(B1463&gt;=in_marketplace_from,d_hz_life_term*G1463,0))</f>
        <v/>
      </c>
      <c r="AL1464" s="46">
        <f>AK1464*IF(B1464&gt;=in_marketplace_from,d_hz_life_term*G1464,0)</f>
        <v/>
      </c>
      <c r="AM1464" s="14">
        <f>F1464*AL1464*in_life_term_ticket*in_life_term_comm*in_ins_partner_share+F1464*in_life_term_ticket*in_life_term_renew_comm*in_ins_partner_share*(in_life_term_renew^1*SUMIFS(AL1454:AL1480,B1454:B1480,B1464-12)+in_life_term_renew^2*SUMIFS(AL1454:AL1480,B1454:B1480,B1464-24)+in_life_term_renew^3*SUMIFS(AL1454:AL1480,B1454:B1480,B1464-36)+in_life_term_renew^4*SUMIFS(AL1454:AL1480,B1454:B1480,B1464-48))</f>
        <v/>
      </c>
      <c r="AN1464" s="40">
        <f>AN1463*(1-IF(B1463&gt;=in_marketplace_from,d_hz_accident*G1463,0))</f>
        <v/>
      </c>
      <c r="AO1464" s="46">
        <f>AN1464*IF(B1464&gt;=in_marketplace_from,d_hz_accident*G1464,0)</f>
        <v/>
      </c>
      <c r="AP1464" s="14">
        <f>F1464*AO1464*in_accident_ticket*in_accident_comm*in_ins_partner_share+F1464*in_accident_ticket*in_accident_renew_comm*in_ins_partner_share*(in_accident_renew^1*SUMIFS(AO1454:AO1480,B1454:B1480,B1464-12)+in_accident_renew^2*SUMIFS(AO1454:AO1480,B1454:B1480,B1464-24)+in_accident_renew^3*SUMIFS(AO1454:AO1480,B1454:B1480,B1464-36)+in_accident_renew^4*SUMIFS(AO1454:AO1480,B1454:B1480,B1464-48))</f>
        <v/>
      </c>
      <c r="AQ1464" s="40">
        <f>AQ1463*(1-IF(B1463&gt;=in_marketplace_from,d_hz_two_wheeler*G1463,0))</f>
        <v/>
      </c>
      <c r="AR1464" s="46">
        <f>AQ1464*IF(B1464&gt;=in_marketplace_from,d_hz_two_wheeler*G1464,0)</f>
        <v/>
      </c>
      <c r="AS1464" s="14">
        <f>F1464*AR1464*in_two_wheeler_ticket*in_two_wheeler_comm*in_ins_partner_share+F1464*in_two_wheeler_ticket*in_two_wheeler_comm*in_ins_partner_share*(in_two_wheeler_renew^1*SUMIFS(AR1454:AR1480,B1454:B1480,B1464-12)+in_two_wheeler_renew^2*SUMIFS(AR1454:AR1480,B1454:B1480,B1464-24)+in_two_wheeler_renew^3*SUMIFS(AR1454:AR1480,B1454:B1480,B1464-36)+in_two_wheeler_renew^4*SUMIFS(AR1454:AR1480,B1454:B1480,B1464-48))</f>
        <v/>
      </c>
      <c r="AT1464" s="40">
        <f>AT1463*(1-IF(B1463&gt;=in_marketplace_from,d_hz_device*G1463,0))</f>
        <v/>
      </c>
      <c r="AU1464" s="14">
        <f>F1464*AT1464*IF(B1464&gt;=in_marketplace_from,d_hz_device*G1464,0)*in_device_ticket*in_device_comm*in_ins_partner_share</f>
        <v/>
      </c>
      <c r="AV1464" s="40">
        <f>AV1463*(1-IF(B1463&gt;=in_marketplace_from,d_hz_shop*G1463,0))</f>
        <v/>
      </c>
      <c r="AW1464" s="46">
        <f>AV1464*IF(B1464&gt;=in_marketplace_from,d_hz_shop*G1464,0)</f>
        <v/>
      </c>
      <c r="AX1464" s="14">
        <f>F1464*AW1464*in_shop_ticket*in_shop_comm*in_ins_partner_share+F1464*in_shop_ticket*in_shop_renew_comm*in_ins_partner_share*(in_shop_renew^1*SUMIFS(AW1454:AW1480,B1454:B1480,B1464-12)+in_shop_renew^2*SUMIFS(AW1454:AW1480,B1454:B1480,B1464-24)+in_shop_renew^3*SUMIFS(AW1454:AW1480,B1454:B1480,B1464-36)+in_shop_renew^4*SUMIFS(AW1454:AW1480,B1454:B1480,B1464-48))</f>
        <v/>
      </c>
      <c r="AY1464" s="40">
        <f>AY1463*(1-IF(B1463&gt;=in_marketplace_from,d_hz_sip*G1463,0))</f>
        <v/>
      </c>
      <c r="AZ1464" s="40">
        <f>AZ1463*d_rho_sip+AY1464*IF(B1464&gt;=in_marketplace_from,d_hz_sip*G1464,0)</f>
        <v/>
      </c>
      <c r="BA1464" s="40">
        <f>d_rho_sip*(BA1463+AZ1463)</f>
        <v/>
      </c>
      <c r="BB1464" s="14">
        <f>F1464*in_sip_ticket*(BA1464+0.5*AZ1464)*in_sip_comm/12</f>
        <v/>
      </c>
      <c r="BC1464" s="40">
        <f>BC1463*(1-IF(B1463&gt;=in_marketplace_from,d_hz_choti*G1463,0))</f>
        <v/>
      </c>
      <c r="BD1464" s="46">
        <f>BC1464*IF(B1464&gt;=in_marketplace_from,d_hz_choti*G1464,0)</f>
        <v/>
      </c>
      <c r="BE1464" s="14">
        <f>F1464*SUMIFS(BD1454:BD1480,B1454:B1480,B1464-in_choti_months)*in_choti_renew*in_choti_ticket</f>
        <v/>
      </c>
      <c r="BF1464" s="40">
        <f>BF1463*(1-IF(B1463&gt;=in_marketplace_from,d_hz_nps*G1463,0))</f>
        <v/>
      </c>
      <c r="BG1464" s="14">
        <f>F1464*BF1464*IF(B1464&gt;=in_marketplace_from,d_hz_nps*G1464,0)*in_nps_ticket*in_nps_comm</f>
        <v/>
      </c>
      <c r="BH1464" s="40">
        <f>BH1463*(1-IF(B1463&gt;=in_marketplace_from,d_hz_gold*G1463,0))</f>
        <v/>
      </c>
      <c r="BI1464" s="40">
        <f>BI1463*d_rho_gold+BH1464*IF(B1464&gt;=in_marketplace_from,d_hz_gold*G1464,0)</f>
        <v/>
      </c>
      <c r="BJ1464" s="14">
        <f>F1464*BI1464*in_gold_ticket*in_gold_comm</f>
        <v/>
      </c>
      <c r="BK1464" s="40">
        <f>BK1463*(1-IF(B1463&gt;=in_marketplace_from,d_hz_fd*G1463,0))</f>
        <v/>
      </c>
      <c r="BL1464" s="14">
        <f>F1464*BK1464*IF(B1464&gt;=in_marketplace_from,d_hz_fd*G1464,0)*in_fd_ticket*in_fd_comm</f>
        <v/>
      </c>
      <c r="BM1464" s="40">
        <f>BM1463*(1-IF(B1463&gt;=in_marketplace_from,d_hz_recharge*G1463,0))</f>
        <v/>
      </c>
      <c r="BN1464" s="40">
        <f>BN1463*d_rho_recharge+BM1464*IF(B1464&gt;=in_marketplace_from,d_hz_recharge*G1464,0)</f>
        <v/>
      </c>
      <c r="BO1464" s="14">
        <f>F1464*BN1464*in_recharge_ticket*in_recharge_comm/12</f>
        <v/>
      </c>
      <c r="BP1464" s="40">
        <f>BP1463*(1-IF(B1463&gt;=in_marketplace_from,d_hz_bills*G1463,0))</f>
        <v/>
      </c>
      <c r="BQ1464" s="40">
        <f>BQ1463*d_rho_bills+BP1464*IF(B1464&gt;=in_marketplace_from,d_hz_bills*G1464,0)</f>
        <v/>
      </c>
      <c r="BR1464" s="14">
        <f>F1464*BQ1464*in_bills_ticket*in_bills_comm/12</f>
        <v/>
      </c>
      <c r="BS1464" s="40">
        <f>BS1463*(1-IF(B1463&gt;=in_marketplace_from,d_hz_loan_gold*G1463,0))</f>
        <v/>
      </c>
      <c r="BT1464" s="14">
        <f>F1464*BS1464*IF(B1464&gt;=in_marketplace_from,d_hz_loan_gold*G1464,0)*in_loan_gold_ticket*in_loan_gold_comm</f>
        <v/>
      </c>
      <c r="BU1464" s="40">
        <f>BU1463*(1-IF(B1463&gt;=in_marketplace_from,d_hz_loan_cd*G1463,0))</f>
        <v/>
      </c>
      <c r="BV1464" s="14">
        <f>F1464*BU1464*IF(B1464&gt;=in_marketplace_from,d_hz_loan_cd*G1464,0)*in_loan_cd_ticket*in_loan_cd_comm</f>
        <v/>
      </c>
      <c r="BW1464" s="40">
        <f>BW1463*(1-IF(B1463&gt;=in_marketplace_from,d_hz_loan_vehicle*G1463,0))</f>
        <v/>
      </c>
      <c r="BX1464" s="14">
        <f>F1464*BW1464*IF(B1464&gt;=in_marketplace_from,d_hz_loan_vehicle*G1464,0)*in_loan_vehicle_ticket*in_loan_vehicle_comm</f>
        <v/>
      </c>
      <c r="BY1464" s="40">
        <f>BY1463*(1-IF(B1463&gt;=in_marketplace_from,d_hz_loan_home*G1463,0)*BZ1463)</f>
        <v/>
      </c>
      <c r="BZ1464" s="11">
        <f>MIN(in_approval_cap,in_loan_home_approval*INDEX('Age profile'!$O$2:$O$61,B1464)*(1+in_approval_growth)^(D1464-1))</f>
        <v/>
      </c>
      <c r="CA1464" s="14">
        <f>F1464*BY1464*IF(B1464&gt;=in_marketplace_from,d_hz_loan_home*G1464,0)*BZ1464*in_loan_home_ticket*in_loan_home_comm</f>
        <v/>
      </c>
      <c r="CB1464" s="40">
        <f>CB1463*(1-IF(B1463&gt;=in_marketplace_from,d_hz_loan_lap*G1463,0)*CC1463)</f>
        <v/>
      </c>
      <c r="CC1464" s="11">
        <f>MIN(in_approval_cap,in_loan_lap_approval*INDEX('Age profile'!$O$2:$O$61,B1464)*(1+in_approval_growth)^(D1464-1))</f>
        <v/>
      </c>
      <c r="CD1464" s="14">
        <f>F1464*CB1464*IF(B1464&gt;=in_marketplace_from,d_hz_loan_lap*G1464,0)*CC1464*in_loan_lap_ticket*in_loan_lap_comm</f>
        <v/>
      </c>
      <c r="CE1464" s="14">
        <f>AA1464+AB1464+AC1464+AD1464+AG1464+AJ1464+AM1464+AP1464+AS1464+AU1464+AX1464+BB1464+BE1464+BG1464+BJ1464+BL1464+BO1464+BR1464+BT1464+BV1464+BX1464+CA1464+CD1464</f>
        <v/>
      </c>
    </row>
    <row r="1465">
      <c r="A1465" s="39" t="n">
        <v>34</v>
      </c>
      <c r="B1465" s="39" t="n">
        <v>12</v>
      </c>
      <c r="C1465" s="39">
        <f>A1465+B1465-1</f>
        <v/>
      </c>
      <c r="D1465" s="39">
        <f>INT((C1465-1)/12)+1</f>
        <v/>
      </c>
      <c r="E1465" s="44">
        <f>INDEX(Monthly!$B$2:$B$61,A1465)</f>
        <v/>
      </c>
      <c r="F1465" s="44">
        <f>E1465*INDEX('Age profile'!$B$2:$B$61,B1465)</f>
        <v/>
      </c>
      <c r="G1465" s="45">
        <f>MIN(in_takeup_cap,INDEX('Age profile'!$N$2:$N$61,B1465)*(1+in_takeup_growth)^(D1465-1))</f>
        <v/>
      </c>
      <c r="H1465" s="11">
        <f>MIN(in_approval_cap,in_approved_first*INDEX('Age profile'!$O$2:$O$61,B1465)*(1+in_approval_growth)^(D1465-1))</f>
        <v/>
      </c>
      <c r="I1465" s="45">
        <f>G1465*MIN(in_takeup_cap,INDEX('Age profile'!$O$2:$O$61,B1465)*(1+in_approval_growth)^(D1465-1))</f>
        <v/>
      </c>
      <c r="J1465" s="40">
        <f>(J1464-L1464)*F1465/F1464</f>
        <v/>
      </c>
      <c r="K1465" s="40">
        <f>(K1464-M1464)*F1465/F1464+SUMIFS(O1454:O1464,B1454:B1464,B1465-1-d_T)*F1465</f>
        <v/>
      </c>
      <c r="L1465" s="40">
        <f>IF(B1465&gt;=in_marketplace_from,J1465*d_hz*G1465*in_eligible*H1465,0)</f>
        <v/>
      </c>
      <c r="M1465" s="40">
        <f>IF(B1465&gt;=in_marketplace_from,K1465*d_hz*G1465*in_eligible*in_approved_repeat,0)</f>
        <v/>
      </c>
      <c r="N1465" s="40">
        <f>L1465+M1465</f>
        <v/>
      </c>
      <c r="O1465" s="46">
        <f>N1465/F1465</f>
        <v/>
      </c>
      <c r="P1465" s="40">
        <f>F1465-J1465-K1465</f>
        <v/>
      </c>
      <c r="Q1465" s="40">
        <f>IF(B1465&gt;=in_marketplace_from,(J1465+K1465)*d_hz*G1465,0)</f>
        <v/>
      </c>
      <c r="R1465" s="40">
        <f>SUMIFS(N1454:N1480,B1454:B1480,"&gt;="&amp;(B1465-d_T),B1454:B1480,"&lt;="&amp;(B1465-1))</f>
        <v/>
      </c>
      <c r="S1465" s="46">
        <f>(1-d_u)*S1464+IF(d_T&gt;in_topup_lag,SUMIFS(O1454:O1480,B1454:B1480,B1465-in_topup_lag)-d_udrop*SUMIFS(O1454:O1480,B1454:B1480,B1465-d_T),0)</f>
        <v/>
      </c>
      <c r="T1465" s="40">
        <f>F1465*d_u*S1465</f>
        <v/>
      </c>
      <c r="U1465" s="9">
        <f>L1465*in_ticket+M1465*d_rep_ticket</f>
        <v/>
      </c>
      <c r="V1465" s="9">
        <f>U1465+T1465*d_topup_amt</f>
        <v/>
      </c>
      <c r="W1465" s="40">
        <f>N1465+T1465*d_topup_ratio</f>
        <v/>
      </c>
      <c r="X1465" s="40">
        <f>SUMIFS(W1454:W1480,B1454:B1480,B1465-in_dpd_lag)*d_cured</f>
        <v/>
      </c>
      <c r="Y1465" s="40">
        <f>SUMIFS(W1454:W1480,B1454:B1480,B1465-in_rec_lag)*d_recd</f>
        <v/>
      </c>
      <c r="Z1465" s="40">
        <f>IF(AND(B1465&gt;=in_marketplace_from,B1465&lt;in_marketplace_from+in_card_months),in_card_share/in_card_months*F1465*I1465,IF(AND(B1465&gt;=in_marketplace_from+in_card_months,B1465&lt;in_marketplace_from+2*in_card_months),in_card_share*d_card_rem/in_card_months*F1465*MIN(in_takeup_cap,(1+in_takeup_growth)^(D1465-1))*MIN(in_takeup_cap,(1+in_approval_growth)^(D1465-1)),0))</f>
        <v/>
      </c>
      <c r="AA1465" s="14">
        <f>V1465*in_fee*(1-in_taken_back)</f>
        <v/>
      </c>
      <c r="AB1465" s="14">
        <f>SUMIFS(W1454:W1480,B1454:B1480,B1465-in_dpd_lag)*d_dpd</f>
        <v/>
      </c>
      <c r="AC1465" s="14">
        <f>SUMIFS(W1454:W1480,B1454:B1480,B1465-in_rec_lag)*d_rec</f>
        <v/>
      </c>
      <c r="AD1465" s="14">
        <f>Z1465*in_card_fee</f>
        <v/>
      </c>
      <c r="AE1465" s="40">
        <f>AE1464*(1-IF(B1464&gt;=in_marketplace_from,d_hz_hlth_small*G1464,0))</f>
        <v/>
      </c>
      <c r="AF1465" s="46">
        <f>AE1465*IF(B1465&gt;=in_marketplace_from,d_hz_hlth_small*G1465,0)</f>
        <v/>
      </c>
      <c r="AG1465" s="14">
        <f>F1465*AF1465*in_hlth_small_ticket*in_hlth_small_comm*in_ins_partner_share+F1465*in_hlth_small_ticket*in_hlth_small_renew_comm*in_ins_partner_share*(in_hlth_small_renew^1*SUMIFS(AF1454:AF1480,B1454:B1480,B1465-12)+in_hlth_small_renew^2*SUMIFS(AF1454:AF1480,B1454:B1480,B1465-24)+in_hlth_small_renew^3*SUMIFS(AF1454:AF1480,B1454:B1480,B1465-36)+in_hlth_small_renew^4*SUMIFS(AF1454:AF1480,B1454:B1480,B1465-48))</f>
        <v/>
      </c>
      <c r="AH1465" s="40">
        <f>AH1464*(1-IF(B1464&gt;=in_marketplace_from,d_hz_hlth_family*G1464,0))</f>
        <v/>
      </c>
      <c r="AI1465" s="46">
        <f>AH1465*IF(B1465&gt;=in_marketplace_from,d_hz_hlth_family*G1465,0)</f>
        <v/>
      </c>
      <c r="AJ1465" s="14">
        <f>F1465*AI1465*in_hlth_family_ticket*in_hlth_family_comm*in_ins_partner_share+F1465*in_hlth_family_ticket*in_hlth_family_renew_comm*in_ins_partner_share*(in_hlth_family_renew^1*SUMIFS(AI1454:AI1480,B1454:B1480,B1465-12)+in_hlth_family_renew^2*SUMIFS(AI1454:AI1480,B1454:B1480,B1465-24)+in_hlth_family_renew^3*SUMIFS(AI1454:AI1480,B1454:B1480,B1465-36)+in_hlth_family_renew^4*SUMIFS(AI1454:AI1480,B1454:B1480,B1465-48))</f>
        <v/>
      </c>
      <c r="AK1465" s="40">
        <f>AK1464*(1-IF(B1464&gt;=in_marketplace_from,d_hz_life_term*G1464,0))</f>
        <v/>
      </c>
      <c r="AL1465" s="46">
        <f>AK1465*IF(B1465&gt;=in_marketplace_from,d_hz_life_term*G1465,0)</f>
        <v/>
      </c>
      <c r="AM1465" s="14">
        <f>F1465*AL1465*in_life_term_ticket*in_life_term_comm*in_ins_partner_share+F1465*in_life_term_ticket*in_life_term_renew_comm*in_ins_partner_share*(in_life_term_renew^1*SUMIFS(AL1454:AL1480,B1454:B1480,B1465-12)+in_life_term_renew^2*SUMIFS(AL1454:AL1480,B1454:B1480,B1465-24)+in_life_term_renew^3*SUMIFS(AL1454:AL1480,B1454:B1480,B1465-36)+in_life_term_renew^4*SUMIFS(AL1454:AL1480,B1454:B1480,B1465-48))</f>
        <v/>
      </c>
      <c r="AN1465" s="40">
        <f>AN1464*(1-IF(B1464&gt;=in_marketplace_from,d_hz_accident*G1464,0))</f>
        <v/>
      </c>
      <c r="AO1465" s="46">
        <f>AN1465*IF(B1465&gt;=in_marketplace_from,d_hz_accident*G1465,0)</f>
        <v/>
      </c>
      <c r="AP1465" s="14">
        <f>F1465*AO1465*in_accident_ticket*in_accident_comm*in_ins_partner_share+F1465*in_accident_ticket*in_accident_renew_comm*in_ins_partner_share*(in_accident_renew^1*SUMIFS(AO1454:AO1480,B1454:B1480,B1465-12)+in_accident_renew^2*SUMIFS(AO1454:AO1480,B1454:B1480,B1465-24)+in_accident_renew^3*SUMIFS(AO1454:AO1480,B1454:B1480,B1465-36)+in_accident_renew^4*SUMIFS(AO1454:AO1480,B1454:B1480,B1465-48))</f>
        <v/>
      </c>
      <c r="AQ1465" s="40">
        <f>AQ1464*(1-IF(B1464&gt;=in_marketplace_from,d_hz_two_wheeler*G1464,0))</f>
        <v/>
      </c>
      <c r="AR1465" s="46">
        <f>AQ1465*IF(B1465&gt;=in_marketplace_from,d_hz_two_wheeler*G1465,0)</f>
        <v/>
      </c>
      <c r="AS1465" s="14">
        <f>F1465*AR1465*in_two_wheeler_ticket*in_two_wheeler_comm*in_ins_partner_share+F1465*in_two_wheeler_ticket*in_two_wheeler_comm*in_ins_partner_share*(in_two_wheeler_renew^1*SUMIFS(AR1454:AR1480,B1454:B1480,B1465-12)+in_two_wheeler_renew^2*SUMIFS(AR1454:AR1480,B1454:B1480,B1465-24)+in_two_wheeler_renew^3*SUMIFS(AR1454:AR1480,B1454:B1480,B1465-36)+in_two_wheeler_renew^4*SUMIFS(AR1454:AR1480,B1454:B1480,B1465-48))</f>
        <v/>
      </c>
      <c r="AT1465" s="40">
        <f>AT1464*(1-IF(B1464&gt;=in_marketplace_from,d_hz_device*G1464,0))</f>
        <v/>
      </c>
      <c r="AU1465" s="14">
        <f>F1465*AT1465*IF(B1465&gt;=in_marketplace_from,d_hz_device*G1465,0)*in_device_ticket*in_device_comm*in_ins_partner_share</f>
        <v/>
      </c>
      <c r="AV1465" s="40">
        <f>AV1464*(1-IF(B1464&gt;=in_marketplace_from,d_hz_shop*G1464,0))</f>
        <v/>
      </c>
      <c r="AW1465" s="46">
        <f>AV1465*IF(B1465&gt;=in_marketplace_from,d_hz_shop*G1465,0)</f>
        <v/>
      </c>
      <c r="AX1465" s="14">
        <f>F1465*AW1465*in_shop_ticket*in_shop_comm*in_ins_partner_share+F1465*in_shop_ticket*in_shop_renew_comm*in_ins_partner_share*(in_shop_renew^1*SUMIFS(AW1454:AW1480,B1454:B1480,B1465-12)+in_shop_renew^2*SUMIFS(AW1454:AW1480,B1454:B1480,B1465-24)+in_shop_renew^3*SUMIFS(AW1454:AW1480,B1454:B1480,B1465-36)+in_shop_renew^4*SUMIFS(AW1454:AW1480,B1454:B1480,B1465-48))</f>
        <v/>
      </c>
      <c r="AY1465" s="40">
        <f>AY1464*(1-IF(B1464&gt;=in_marketplace_from,d_hz_sip*G1464,0))</f>
        <v/>
      </c>
      <c r="AZ1465" s="40">
        <f>AZ1464*d_rho_sip+AY1465*IF(B1465&gt;=in_marketplace_from,d_hz_sip*G1465,0)</f>
        <v/>
      </c>
      <c r="BA1465" s="40">
        <f>d_rho_sip*(BA1464+AZ1464)</f>
        <v/>
      </c>
      <c r="BB1465" s="14">
        <f>F1465*in_sip_ticket*(BA1465+0.5*AZ1465)*in_sip_comm/12</f>
        <v/>
      </c>
      <c r="BC1465" s="40">
        <f>BC1464*(1-IF(B1464&gt;=in_marketplace_from,d_hz_choti*G1464,0))</f>
        <v/>
      </c>
      <c r="BD1465" s="46">
        <f>BC1465*IF(B1465&gt;=in_marketplace_from,d_hz_choti*G1465,0)</f>
        <v/>
      </c>
      <c r="BE1465" s="14">
        <f>F1465*SUMIFS(BD1454:BD1480,B1454:B1480,B1465-in_choti_months)*in_choti_renew*in_choti_ticket</f>
        <v/>
      </c>
      <c r="BF1465" s="40">
        <f>BF1464*(1-IF(B1464&gt;=in_marketplace_from,d_hz_nps*G1464,0))</f>
        <v/>
      </c>
      <c r="BG1465" s="14">
        <f>F1465*BF1465*IF(B1465&gt;=in_marketplace_from,d_hz_nps*G1465,0)*in_nps_ticket*in_nps_comm</f>
        <v/>
      </c>
      <c r="BH1465" s="40">
        <f>BH1464*(1-IF(B1464&gt;=in_marketplace_from,d_hz_gold*G1464,0))</f>
        <v/>
      </c>
      <c r="BI1465" s="40">
        <f>BI1464*d_rho_gold+BH1465*IF(B1465&gt;=in_marketplace_from,d_hz_gold*G1465,0)</f>
        <v/>
      </c>
      <c r="BJ1465" s="14">
        <f>F1465*BI1465*in_gold_ticket*in_gold_comm</f>
        <v/>
      </c>
      <c r="BK1465" s="40">
        <f>BK1464*(1-IF(B1464&gt;=in_marketplace_from,d_hz_fd*G1464,0))</f>
        <v/>
      </c>
      <c r="BL1465" s="14">
        <f>F1465*BK1465*IF(B1465&gt;=in_marketplace_from,d_hz_fd*G1465,0)*in_fd_ticket*in_fd_comm</f>
        <v/>
      </c>
      <c r="BM1465" s="40">
        <f>BM1464*(1-IF(B1464&gt;=in_marketplace_from,d_hz_recharge*G1464,0))</f>
        <v/>
      </c>
      <c r="BN1465" s="40">
        <f>BN1464*d_rho_recharge+BM1465*IF(B1465&gt;=in_marketplace_from,d_hz_recharge*G1465,0)</f>
        <v/>
      </c>
      <c r="BO1465" s="14">
        <f>F1465*BN1465*in_recharge_ticket*in_recharge_comm/12</f>
        <v/>
      </c>
      <c r="BP1465" s="40">
        <f>BP1464*(1-IF(B1464&gt;=in_marketplace_from,d_hz_bills*G1464,0))</f>
        <v/>
      </c>
      <c r="BQ1465" s="40">
        <f>BQ1464*d_rho_bills+BP1465*IF(B1465&gt;=in_marketplace_from,d_hz_bills*G1465,0)</f>
        <v/>
      </c>
      <c r="BR1465" s="14">
        <f>F1465*BQ1465*in_bills_ticket*in_bills_comm/12</f>
        <v/>
      </c>
      <c r="BS1465" s="40">
        <f>BS1464*(1-IF(B1464&gt;=in_marketplace_from,d_hz_loan_gold*G1464,0))</f>
        <v/>
      </c>
      <c r="BT1465" s="14">
        <f>F1465*BS1465*IF(B1465&gt;=in_marketplace_from,d_hz_loan_gold*G1465,0)*in_loan_gold_ticket*in_loan_gold_comm</f>
        <v/>
      </c>
      <c r="BU1465" s="40">
        <f>BU1464*(1-IF(B1464&gt;=in_marketplace_from,d_hz_loan_cd*G1464,0))</f>
        <v/>
      </c>
      <c r="BV1465" s="14">
        <f>F1465*BU1465*IF(B1465&gt;=in_marketplace_from,d_hz_loan_cd*G1465,0)*in_loan_cd_ticket*in_loan_cd_comm</f>
        <v/>
      </c>
      <c r="BW1465" s="40">
        <f>BW1464*(1-IF(B1464&gt;=in_marketplace_from,d_hz_loan_vehicle*G1464,0))</f>
        <v/>
      </c>
      <c r="BX1465" s="14">
        <f>F1465*BW1465*IF(B1465&gt;=in_marketplace_from,d_hz_loan_vehicle*G1465,0)*in_loan_vehicle_ticket*in_loan_vehicle_comm</f>
        <v/>
      </c>
      <c r="BY1465" s="40">
        <f>BY1464*(1-IF(B1464&gt;=in_marketplace_from,d_hz_loan_home*G1464,0)*BZ1464)</f>
        <v/>
      </c>
      <c r="BZ1465" s="11">
        <f>MIN(in_approval_cap,in_loan_home_approval*INDEX('Age profile'!$O$2:$O$61,B1465)*(1+in_approval_growth)^(D1465-1))</f>
        <v/>
      </c>
      <c r="CA1465" s="14">
        <f>F1465*BY1465*IF(B1465&gt;=in_marketplace_from,d_hz_loan_home*G1465,0)*BZ1465*in_loan_home_ticket*in_loan_home_comm</f>
        <v/>
      </c>
      <c r="CB1465" s="40">
        <f>CB1464*(1-IF(B1464&gt;=in_marketplace_from,d_hz_loan_lap*G1464,0)*CC1464)</f>
        <v/>
      </c>
      <c r="CC1465" s="11">
        <f>MIN(in_approval_cap,in_loan_lap_approval*INDEX('Age profile'!$O$2:$O$61,B1465)*(1+in_approval_growth)^(D1465-1))</f>
        <v/>
      </c>
      <c r="CD1465" s="14">
        <f>F1465*CB1465*IF(B1465&gt;=in_marketplace_from,d_hz_loan_lap*G1465,0)*CC1465*in_loan_lap_ticket*in_loan_lap_comm</f>
        <v/>
      </c>
      <c r="CE1465" s="14">
        <f>AA1465+AB1465+AC1465+AD1465+AG1465+AJ1465+AM1465+AP1465+AS1465+AU1465+AX1465+BB1465+BE1465+BG1465+BJ1465+BL1465+BO1465+BR1465+BT1465+BV1465+BX1465+CA1465+CD1465</f>
        <v/>
      </c>
    </row>
    <row r="1466">
      <c r="A1466" s="39" t="n">
        <v>34</v>
      </c>
      <c r="B1466" s="39" t="n">
        <v>13</v>
      </c>
      <c r="C1466" s="39">
        <f>A1466+B1466-1</f>
        <v/>
      </c>
      <c r="D1466" s="39">
        <f>INT((C1466-1)/12)+1</f>
        <v/>
      </c>
      <c r="E1466" s="44">
        <f>INDEX(Monthly!$B$2:$B$61,A1466)</f>
        <v/>
      </c>
      <c r="F1466" s="44">
        <f>E1466*INDEX('Age profile'!$B$2:$B$61,B1466)</f>
        <v/>
      </c>
      <c r="G1466" s="45">
        <f>MIN(in_takeup_cap,INDEX('Age profile'!$N$2:$N$61,B1466)*(1+in_takeup_growth)^(D1466-1))</f>
        <v/>
      </c>
      <c r="H1466" s="11">
        <f>MIN(in_approval_cap,in_approved_first*INDEX('Age profile'!$O$2:$O$61,B1466)*(1+in_approval_growth)^(D1466-1))</f>
        <v/>
      </c>
      <c r="I1466" s="45">
        <f>G1466*MIN(in_takeup_cap,INDEX('Age profile'!$O$2:$O$61,B1466)*(1+in_approval_growth)^(D1466-1))</f>
        <v/>
      </c>
      <c r="J1466" s="40">
        <f>(J1465-L1465)*F1466/F1465</f>
        <v/>
      </c>
      <c r="K1466" s="40">
        <f>(K1465-M1465)*F1466/F1465+SUMIFS(O1454:O1465,B1454:B1465,B1466-1-d_T)*F1466</f>
        <v/>
      </c>
      <c r="L1466" s="40">
        <f>IF(B1466&gt;=in_marketplace_from,J1466*d_hz*G1466*in_eligible*H1466,0)</f>
        <v/>
      </c>
      <c r="M1466" s="40">
        <f>IF(B1466&gt;=in_marketplace_from,K1466*d_hz*G1466*in_eligible*in_approved_repeat,0)</f>
        <v/>
      </c>
      <c r="N1466" s="40">
        <f>L1466+M1466</f>
        <v/>
      </c>
      <c r="O1466" s="46">
        <f>N1466/F1466</f>
        <v/>
      </c>
      <c r="P1466" s="40">
        <f>F1466-J1466-K1466</f>
        <v/>
      </c>
      <c r="Q1466" s="40">
        <f>IF(B1466&gt;=in_marketplace_from,(J1466+K1466)*d_hz*G1466,0)</f>
        <v/>
      </c>
      <c r="R1466" s="40">
        <f>SUMIFS(N1454:N1480,B1454:B1480,"&gt;="&amp;(B1466-d_T),B1454:B1480,"&lt;="&amp;(B1466-1))</f>
        <v/>
      </c>
      <c r="S1466" s="46">
        <f>(1-d_u)*S1465+IF(d_T&gt;in_topup_lag,SUMIFS(O1454:O1480,B1454:B1480,B1466-in_topup_lag)-d_udrop*SUMIFS(O1454:O1480,B1454:B1480,B1466-d_T),0)</f>
        <v/>
      </c>
      <c r="T1466" s="40">
        <f>F1466*d_u*S1466</f>
        <v/>
      </c>
      <c r="U1466" s="9">
        <f>L1466*in_ticket+M1466*d_rep_ticket</f>
        <v/>
      </c>
      <c r="V1466" s="9">
        <f>U1466+T1466*d_topup_amt</f>
        <v/>
      </c>
      <c r="W1466" s="40">
        <f>N1466+T1466*d_topup_ratio</f>
        <v/>
      </c>
      <c r="X1466" s="40">
        <f>SUMIFS(W1454:W1480,B1454:B1480,B1466-in_dpd_lag)*d_cured</f>
        <v/>
      </c>
      <c r="Y1466" s="40">
        <f>SUMIFS(W1454:W1480,B1454:B1480,B1466-in_rec_lag)*d_recd</f>
        <v/>
      </c>
      <c r="Z1466" s="40">
        <f>IF(AND(B1466&gt;=in_marketplace_from,B1466&lt;in_marketplace_from+in_card_months),in_card_share/in_card_months*F1466*I1466,IF(AND(B1466&gt;=in_marketplace_from+in_card_months,B1466&lt;in_marketplace_from+2*in_card_months),in_card_share*d_card_rem/in_card_months*F1466*MIN(in_takeup_cap,(1+in_takeup_growth)^(D1466-1))*MIN(in_takeup_cap,(1+in_approval_growth)^(D1466-1)),0))</f>
        <v/>
      </c>
      <c r="AA1466" s="14">
        <f>V1466*in_fee*(1-in_taken_back)</f>
        <v/>
      </c>
      <c r="AB1466" s="14">
        <f>SUMIFS(W1454:W1480,B1454:B1480,B1466-in_dpd_lag)*d_dpd</f>
        <v/>
      </c>
      <c r="AC1466" s="14">
        <f>SUMIFS(W1454:W1480,B1454:B1480,B1466-in_rec_lag)*d_rec</f>
        <v/>
      </c>
      <c r="AD1466" s="14">
        <f>Z1466*in_card_fee</f>
        <v/>
      </c>
      <c r="AE1466" s="40">
        <f>AE1465*(1-IF(B1465&gt;=in_marketplace_from,d_hz_hlth_small*G1465,0))</f>
        <v/>
      </c>
      <c r="AF1466" s="46">
        <f>AE1466*IF(B1466&gt;=in_marketplace_from,d_hz_hlth_small*G1466,0)</f>
        <v/>
      </c>
      <c r="AG1466" s="14">
        <f>F1466*AF1466*in_hlth_small_ticket*in_hlth_small_comm*in_ins_partner_share+F1466*in_hlth_small_ticket*in_hlth_small_renew_comm*in_ins_partner_share*(in_hlth_small_renew^1*SUMIFS(AF1454:AF1480,B1454:B1480,B1466-12)+in_hlth_small_renew^2*SUMIFS(AF1454:AF1480,B1454:B1480,B1466-24)+in_hlth_small_renew^3*SUMIFS(AF1454:AF1480,B1454:B1480,B1466-36)+in_hlth_small_renew^4*SUMIFS(AF1454:AF1480,B1454:B1480,B1466-48))</f>
        <v/>
      </c>
      <c r="AH1466" s="40">
        <f>AH1465*(1-IF(B1465&gt;=in_marketplace_from,d_hz_hlth_family*G1465,0))</f>
        <v/>
      </c>
      <c r="AI1466" s="46">
        <f>AH1466*IF(B1466&gt;=in_marketplace_from,d_hz_hlth_family*G1466,0)</f>
        <v/>
      </c>
      <c r="AJ1466" s="14">
        <f>F1466*AI1466*in_hlth_family_ticket*in_hlth_family_comm*in_ins_partner_share+F1466*in_hlth_family_ticket*in_hlth_family_renew_comm*in_ins_partner_share*(in_hlth_family_renew^1*SUMIFS(AI1454:AI1480,B1454:B1480,B1466-12)+in_hlth_family_renew^2*SUMIFS(AI1454:AI1480,B1454:B1480,B1466-24)+in_hlth_family_renew^3*SUMIFS(AI1454:AI1480,B1454:B1480,B1466-36)+in_hlth_family_renew^4*SUMIFS(AI1454:AI1480,B1454:B1480,B1466-48))</f>
        <v/>
      </c>
      <c r="AK1466" s="40">
        <f>AK1465*(1-IF(B1465&gt;=in_marketplace_from,d_hz_life_term*G1465,0))</f>
        <v/>
      </c>
      <c r="AL1466" s="46">
        <f>AK1466*IF(B1466&gt;=in_marketplace_from,d_hz_life_term*G1466,0)</f>
        <v/>
      </c>
      <c r="AM1466" s="14">
        <f>F1466*AL1466*in_life_term_ticket*in_life_term_comm*in_ins_partner_share+F1466*in_life_term_ticket*in_life_term_renew_comm*in_ins_partner_share*(in_life_term_renew^1*SUMIFS(AL1454:AL1480,B1454:B1480,B1466-12)+in_life_term_renew^2*SUMIFS(AL1454:AL1480,B1454:B1480,B1466-24)+in_life_term_renew^3*SUMIFS(AL1454:AL1480,B1454:B1480,B1466-36)+in_life_term_renew^4*SUMIFS(AL1454:AL1480,B1454:B1480,B1466-48))</f>
        <v/>
      </c>
      <c r="AN1466" s="40">
        <f>AN1465*(1-IF(B1465&gt;=in_marketplace_from,d_hz_accident*G1465,0))</f>
        <v/>
      </c>
      <c r="AO1466" s="46">
        <f>AN1466*IF(B1466&gt;=in_marketplace_from,d_hz_accident*G1466,0)</f>
        <v/>
      </c>
      <c r="AP1466" s="14">
        <f>F1466*AO1466*in_accident_ticket*in_accident_comm*in_ins_partner_share+F1466*in_accident_ticket*in_accident_renew_comm*in_ins_partner_share*(in_accident_renew^1*SUMIFS(AO1454:AO1480,B1454:B1480,B1466-12)+in_accident_renew^2*SUMIFS(AO1454:AO1480,B1454:B1480,B1466-24)+in_accident_renew^3*SUMIFS(AO1454:AO1480,B1454:B1480,B1466-36)+in_accident_renew^4*SUMIFS(AO1454:AO1480,B1454:B1480,B1466-48))</f>
        <v/>
      </c>
      <c r="AQ1466" s="40">
        <f>AQ1465*(1-IF(B1465&gt;=in_marketplace_from,d_hz_two_wheeler*G1465,0))</f>
        <v/>
      </c>
      <c r="AR1466" s="46">
        <f>AQ1466*IF(B1466&gt;=in_marketplace_from,d_hz_two_wheeler*G1466,0)</f>
        <v/>
      </c>
      <c r="AS1466" s="14">
        <f>F1466*AR1466*in_two_wheeler_ticket*in_two_wheeler_comm*in_ins_partner_share+F1466*in_two_wheeler_ticket*in_two_wheeler_comm*in_ins_partner_share*(in_two_wheeler_renew^1*SUMIFS(AR1454:AR1480,B1454:B1480,B1466-12)+in_two_wheeler_renew^2*SUMIFS(AR1454:AR1480,B1454:B1480,B1466-24)+in_two_wheeler_renew^3*SUMIFS(AR1454:AR1480,B1454:B1480,B1466-36)+in_two_wheeler_renew^4*SUMIFS(AR1454:AR1480,B1454:B1480,B1466-48))</f>
        <v/>
      </c>
      <c r="AT1466" s="40">
        <f>AT1465*(1-IF(B1465&gt;=in_marketplace_from,d_hz_device*G1465,0))</f>
        <v/>
      </c>
      <c r="AU1466" s="14">
        <f>F1466*AT1466*IF(B1466&gt;=in_marketplace_from,d_hz_device*G1466,0)*in_device_ticket*in_device_comm*in_ins_partner_share</f>
        <v/>
      </c>
      <c r="AV1466" s="40">
        <f>AV1465*(1-IF(B1465&gt;=in_marketplace_from,d_hz_shop*G1465,0))</f>
        <v/>
      </c>
      <c r="AW1466" s="46">
        <f>AV1466*IF(B1466&gt;=in_marketplace_from,d_hz_shop*G1466,0)</f>
        <v/>
      </c>
      <c r="AX1466" s="14">
        <f>F1466*AW1466*in_shop_ticket*in_shop_comm*in_ins_partner_share+F1466*in_shop_ticket*in_shop_renew_comm*in_ins_partner_share*(in_shop_renew^1*SUMIFS(AW1454:AW1480,B1454:B1480,B1466-12)+in_shop_renew^2*SUMIFS(AW1454:AW1480,B1454:B1480,B1466-24)+in_shop_renew^3*SUMIFS(AW1454:AW1480,B1454:B1480,B1466-36)+in_shop_renew^4*SUMIFS(AW1454:AW1480,B1454:B1480,B1466-48))</f>
        <v/>
      </c>
      <c r="AY1466" s="40">
        <f>AY1465*(1-IF(B1465&gt;=in_marketplace_from,d_hz_sip*G1465,0))</f>
        <v/>
      </c>
      <c r="AZ1466" s="40">
        <f>AZ1465*d_rho_sip+AY1466*IF(B1466&gt;=in_marketplace_from,d_hz_sip*G1466,0)</f>
        <v/>
      </c>
      <c r="BA1466" s="40">
        <f>d_rho_sip*(BA1465+AZ1465)</f>
        <v/>
      </c>
      <c r="BB1466" s="14">
        <f>F1466*in_sip_ticket*(BA1466+0.5*AZ1466)*in_sip_comm/12</f>
        <v/>
      </c>
      <c r="BC1466" s="40">
        <f>BC1465*(1-IF(B1465&gt;=in_marketplace_from,d_hz_choti*G1465,0))</f>
        <v/>
      </c>
      <c r="BD1466" s="46">
        <f>BC1466*IF(B1466&gt;=in_marketplace_from,d_hz_choti*G1466,0)</f>
        <v/>
      </c>
      <c r="BE1466" s="14">
        <f>F1466*SUMIFS(BD1454:BD1480,B1454:B1480,B1466-in_choti_months)*in_choti_renew*in_choti_ticket</f>
        <v/>
      </c>
      <c r="BF1466" s="40">
        <f>BF1465*(1-IF(B1465&gt;=in_marketplace_from,d_hz_nps*G1465,0))</f>
        <v/>
      </c>
      <c r="BG1466" s="14">
        <f>F1466*BF1466*IF(B1466&gt;=in_marketplace_from,d_hz_nps*G1466,0)*in_nps_ticket*in_nps_comm</f>
        <v/>
      </c>
      <c r="BH1466" s="40">
        <f>BH1465*(1-IF(B1465&gt;=in_marketplace_from,d_hz_gold*G1465,0))</f>
        <v/>
      </c>
      <c r="BI1466" s="40">
        <f>BI1465*d_rho_gold+BH1466*IF(B1466&gt;=in_marketplace_from,d_hz_gold*G1466,0)</f>
        <v/>
      </c>
      <c r="BJ1466" s="14">
        <f>F1466*BI1466*in_gold_ticket*in_gold_comm</f>
        <v/>
      </c>
      <c r="BK1466" s="40">
        <f>BK1465*(1-IF(B1465&gt;=in_marketplace_from,d_hz_fd*G1465,0))</f>
        <v/>
      </c>
      <c r="BL1466" s="14">
        <f>F1466*BK1466*IF(B1466&gt;=in_marketplace_from,d_hz_fd*G1466,0)*in_fd_ticket*in_fd_comm</f>
        <v/>
      </c>
      <c r="BM1466" s="40">
        <f>BM1465*(1-IF(B1465&gt;=in_marketplace_from,d_hz_recharge*G1465,0))</f>
        <v/>
      </c>
      <c r="BN1466" s="40">
        <f>BN1465*d_rho_recharge+BM1466*IF(B1466&gt;=in_marketplace_from,d_hz_recharge*G1466,0)</f>
        <v/>
      </c>
      <c r="BO1466" s="14">
        <f>F1466*BN1466*in_recharge_ticket*in_recharge_comm/12</f>
        <v/>
      </c>
      <c r="BP1466" s="40">
        <f>BP1465*(1-IF(B1465&gt;=in_marketplace_from,d_hz_bills*G1465,0))</f>
        <v/>
      </c>
      <c r="BQ1466" s="40">
        <f>BQ1465*d_rho_bills+BP1466*IF(B1466&gt;=in_marketplace_from,d_hz_bills*G1466,0)</f>
        <v/>
      </c>
      <c r="BR1466" s="14">
        <f>F1466*BQ1466*in_bills_ticket*in_bills_comm/12</f>
        <v/>
      </c>
      <c r="BS1466" s="40">
        <f>BS1465*(1-IF(B1465&gt;=in_marketplace_from,d_hz_loan_gold*G1465,0))</f>
        <v/>
      </c>
      <c r="BT1466" s="14">
        <f>F1466*BS1466*IF(B1466&gt;=in_marketplace_from,d_hz_loan_gold*G1466,0)*in_loan_gold_ticket*in_loan_gold_comm</f>
        <v/>
      </c>
      <c r="BU1466" s="40">
        <f>BU1465*(1-IF(B1465&gt;=in_marketplace_from,d_hz_loan_cd*G1465,0))</f>
        <v/>
      </c>
      <c r="BV1466" s="14">
        <f>F1466*BU1466*IF(B1466&gt;=in_marketplace_from,d_hz_loan_cd*G1466,0)*in_loan_cd_ticket*in_loan_cd_comm</f>
        <v/>
      </c>
      <c r="BW1466" s="40">
        <f>BW1465*(1-IF(B1465&gt;=in_marketplace_from,d_hz_loan_vehicle*G1465,0))</f>
        <v/>
      </c>
      <c r="BX1466" s="14">
        <f>F1466*BW1466*IF(B1466&gt;=in_marketplace_from,d_hz_loan_vehicle*G1466,0)*in_loan_vehicle_ticket*in_loan_vehicle_comm</f>
        <v/>
      </c>
      <c r="BY1466" s="40">
        <f>BY1465*(1-IF(B1465&gt;=in_marketplace_from,d_hz_loan_home*G1465,0)*BZ1465)</f>
        <v/>
      </c>
      <c r="BZ1466" s="11">
        <f>MIN(in_approval_cap,in_loan_home_approval*INDEX('Age profile'!$O$2:$O$61,B1466)*(1+in_approval_growth)^(D1466-1))</f>
        <v/>
      </c>
      <c r="CA1466" s="14">
        <f>F1466*BY1466*IF(B1466&gt;=in_marketplace_from,d_hz_loan_home*G1466,0)*BZ1466*in_loan_home_ticket*in_loan_home_comm</f>
        <v/>
      </c>
      <c r="CB1466" s="40">
        <f>CB1465*(1-IF(B1465&gt;=in_marketplace_from,d_hz_loan_lap*G1465,0)*CC1465)</f>
        <v/>
      </c>
      <c r="CC1466" s="11">
        <f>MIN(in_approval_cap,in_loan_lap_approval*INDEX('Age profile'!$O$2:$O$61,B1466)*(1+in_approval_growth)^(D1466-1))</f>
        <v/>
      </c>
      <c r="CD1466" s="14">
        <f>F1466*CB1466*IF(B1466&gt;=in_marketplace_from,d_hz_loan_lap*G1466,0)*CC1466*in_loan_lap_ticket*in_loan_lap_comm</f>
        <v/>
      </c>
      <c r="CE1466" s="14">
        <f>AA1466+AB1466+AC1466+AD1466+AG1466+AJ1466+AM1466+AP1466+AS1466+AU1466+AX1466+BB1466+BE1466+BG1466+BJ1466+BL1466+BO1466+BR1466+BT1466+BV1466+BX1466+CA1466+CD1466</f>
        <v/>
      </c>
    </row>
    <row r="1467">
      <c r="A1467" s="39" t="n">
        <v>34</v>
      </c>
      <c r="B1467" s="39" t="n">
        <v>14</v>
      </c>
      <c r="C1467" s="39">
        <f>A1467+B1467-1</f>
        <v/>
      </c>
      <c r="D1467" s="39">
        <f>INT((C1467-1)/12)+1</f>
        <v/>
      </c>
      <c r="E1467" s="44">
        <f>INDEX(Monthly!$B$2:$B$61,A1467)</f>
        <v/>
      </c>
      <c r="F1467" s="44">
        <f>E1467*INDEX('Age profile'!$B$2:$B$61,B1467)</f>
        <v/>
      </c>
      <c r="G1467" s="45">
        <f>MIN(in_takeup_cap,INDEX('Age profile'!$N$2:$N$61,B1467)*(1+in_takeup_growth)^(D1467-1))</f>
        <v/>
      </c>
      <c r="H1467" s="11">
        <f>MIN(in_approval_cap,in_approved_first*INDEX('Age profile'!$O$2:$O$61,B1467)*(1+in_approval_growth)^(D1467-1))</f>
        <v/>
      </c>
      <c r="I1467" s="45">
        <f>G1467*MIN(in_takeup_cap,INDEX('Age profile'!$O$2:$O$61,B1467)*(1+in_approval_growth)^(D1467-1))</f>
        <v/>
      </c>
      <c r="J1467" s="40">
        <f>(J1466-L1466)*F1467/F1466</f>
        <v/>
      </c>
      <c r="K1467" s="40">
        <f>(K1466-M1466)*F1467/F1466+SUMIFS(O1454:O1466,B1454:B1466,B1467-1-d_T)*F1467</f>
        <v/>
      </c>
      <c r="L1467" s="40">
        <f>IF(B1467&gt;=in_marketplace_from,J1467*d_hz*G1467*in_eligible*H1467,0)</f>
        <v/>
      </c>
      <c r="M1467" s="40">
        <f>IF(B1467&gt;=in_marketplace_from,K1467*d_hz*G1467*in_eligible*in_approved_repeat,0)</f>
        <v/>
      </c>
      <c r="N1467" s="40">
        <f>L1467+M1467</f>
        <v/>
      </c>
      <c r="O1467" s="46">
        <f>N1467/F1467</f>
        <v/>
      </c>
      <c r="P1467" s="40">
        <f>F1467-J1467-K1467</f>
        <v/>
      </c>
      <c r="Q1467" s="40">
        <f>IF(B1467&gt;=in_marketplace_from,(J1467+K1467)*d_hz*G1467,0)</f>
        <v/>
      </c>
      <c r="R1467" s="40">
        <f>SUMIFS(N1454:N1480,B1454:B1480,"&gt;="&amp;(B1467-d_T),B1454:B1480,"&lt;="&amp;(B1467-1))</f>
        <v/>
      </c>
      <c r="S1467" s="46">
        <f>(1-d_u)*S1466+IF(d_T&gt;in_topup_lag,SUMIFS(O1454:O1480,B1454:B1480,B1467-in_topup_lag)-d_udrop*SUMIFS(O1454:O1480,B1454:B1480,B1467-d_T),0)</f>
        <v/>
      </c>
      <c r="T1467" s="40">
        <f>F1467*d_u*S1467</f>
        <v/>
      </c>
      <c r="U1467" s="9">
        <f>L1467*in_ticket+M1467*d_rep_ticket</f>
        <v/>
      </c>
      <c r="V1467" s="9">
        <f>U1467+T1467*d_topup_amt</f>
        <v/>
      </c>
      <c r="W1467" s="40">
        <f>N1467+T1467*d_topup_ratio</f>
        <v/>
      </c>
      <c r="X1467" s="40">
        <f>SUMIFS(W1454:W1480,B1454:B1480,B1467-in_dpd_lag)*d_cured</f>
        <v/>
      </c>
      <c r="Y1467" s="40">
        <f>SUMIFS(W1454:W1480,B1454:B1480,B1467-in_rec_lag)*d_recd</f>
        <v/>
      </c>
      <c r="Z1467" s="40">
        <f>IF(AND(B1467&gt;=in_marketplace_from,B1467&lt;in_marketplace_from+in_card_months),in_card_share/in_card_months*F1467*I1467,IF(AND(B1467&gt;=in_marketplace_from+in_card_months,B1467&lt;in_marketplace_from+2*in_card_months),in_card_share*d_card_rem/in_card_months*F1467*MIN(in_takeup_cap,(1+in_takeup_growth)^(D1467-1))*MIN(in_takeup_cap,(1+in_approval_growth)^(D1467-1)),0))</f>
        <v/>
      </c>
      <c r="AA1467" s="14">
        <f>V1467*in_fee*(1-in_taken_back)</f>
        <v/>
      </c>
      <c r="AB1467" s="14">
        <f>SUMIFS(W1454:W1480,B1454:B1480,B1467-in_dpd_lag)*d_dpd</f>
        <v/>
      </c>
      <c r="AC1467" s="14">
        <f>SUMIFS(W1454:W1480,B1454:B1480,B1467-in_rec_lag)*d_rec</f>
        <v/>
      </c>
      <c r="AD1467" s="14">
        <f>Z1467*in_card_fee</f>
        <v/>
      </c>
      <c r="AE1467" s="40">
        <f>AE1466*(1-IF(B1466&gt;=in_marketplace_from,d_hz_hlth_small*G1466,0))</f>
        <v/>
      </c>
      <c r="AF1467" s="46">
        <f>AE1467*IF(B1467&gt;=in_marketplace_from,d_hz_hlth_small*G1467,0)</f>
        <v/>
      </c>
      <c r="AG1467" s="14">
        <f>F1467*AF1467*in_hlth_small_ticket*in_hlth_small_comm*in_ins_partner_share+F1467*in_hlth_small_ticket*in_hlth_small_renew_comm*in_ins_partner_share*(in_hlth_small_renew^1*SUMIFS(AF1454:AF1480,B1454:B1480,B1467-12)+in_hlth_small_renew^2*SUMIFS(AF1454:AF1480,B1454:B1480,B1467-24)+in_hlth_small_renew^3*SUMIFS(AF1454:AF1480,B1454:B1480,B1467-36)+in_hlth_small_renew^4*SUMIFS(AF1454:AF1480,B1454:B1480,B1467-48))</f>
        <v/>
      </c>
      <c r="AH1467" s="40">
        <f>AH1466*(1-IF(B1466&gt;=in_marketplace_from,d_hz_hlth_family*G1466,0))</f>
        <v/>
      </c>
      <c r="AI1467" s="46">
        <f>AH1467*IF(B1467&gt;=in_marketplace_from,d_hz_hlth_family*G1467,0)</f>
        <v/>
      </c>
      <c r="AJ1467" s="14">
        <f>F1467*AI1467*in_hlth_family_ticket*in_hlth_family_comm*in_ins_partner_share+F1467*in_hlth_family_ticket*in_hlth_family_renew_comm*in_ins_partner_share*(in_hlth_family_renew^1*SUMIFS(AI1454:AI1480,B1454:B1480,B1467-12)+in_hlth_family_renew^2*SUMIFS(AI1454:AI1480,B1454:B1480,B1467-24)+in_hlth_family_renew^3*SUMIFS(AI1454:AI1480,B1454:B1480,B1467-36)+in_hlth_family_renew^4*SUMIFS(AI1454:AI1480,B1454:B1480,B1467-48))</f>
        <v/>
      </c>
      <c r="AK1467" s="40">
        <f>AK1466*(1-IF(B1466&gt;=in_marketplace_from,d_hz_life_term*G1466,0))</f>
        <v/>
      </c>
      <c r="AL1467" s="46">
        <f>AK1467*IF(B1467&gt;=in_marketplace_from,d_hz_life_term*G1467,0)</f>
        <v/>
      </c>
      <c r="AM1467" s="14">
        <f>F1467*AL1467*in_life_term_ticket*in_life_term_comm*in_ins_partner_share+F1467*in_life_term_ticket*in_life_term_renew_comm*in_ins_partner_share*(in_life_term_renew^1*SUMIFS(AL1454:AL1480,B1454:B1480,B1467-12)+in_life_term_renew^2*SUMIFS(AL1454:AL1480,B1454:B1480,B1467-24)+in_life_term_renew^3*SUMIFS(AL1454:AL1480,B1454:B1480,B1467-36)+in_life_term_renew^4*SUMIFS(AL1454:AL1480,B1454:B1480,B1467-48))</f>
        <v/>
      </c>
      <c r="AN1467" s="40">
        <f>AN1466*(1-IF(B1466&gt;=in_marketplace_from,d_hz_accident*G1466,0))</f>
        <v/>
      </c>
      <c r="AO1467" s="46">
        <f>AN1467*IF(B1467&gt;=in_marketplace_from,d_hz_accident*G1467,0)</f>
        <v/>
      </c>
      <c r="AP1467" s="14">
        <f>F1467*AO1467*in_accident_ticket*in_accident_comm*in_ins_partner_share+F1467*in_accident_ticket*in_accident_renew_comm*in_ins_partner_share*(in_accident_renew^1*SUMIFS(AO1454:AO1480,B1454:B1480,B1467-12)+in_accident_renew^2*SUMIFS(AO1454:AO1480,B1454:B1480,B1467-24)+in_accident_renew^3*SUMIFS(AO1454:AO1480,B1454:B1480,B1467-36)+in_accident_renew^4*SUMIFS(AO1454:AO1480,B1454:B1480,B1467-48))</f>
        <v/>
      </c>
      <c r="AQ1467" s="40">
        <f>AQ1466*(1-IF(B1466&gt;=in_marketplace_from,d_hz_two_wheeler*G1466,0))</f>
        <v/>
      </c>
      <c r="AR1467" s="46">
        <f>AQ1467*IF(B1467&gt;=in_marketplace_from,d_hz_two_wheeler*G1467,0)</f>
        <v/>
      </c>
      <c r="AS1467" s="14">
        <f>F1467*AR1467*in_two_wheeler_ticket*in_two_wheeler_comm*in_ins_partner_share+F1467*in_two_wheeler_ticket*in_two_wheeler_comm*in_ins_partner_share*(in_two_wheeler_renew^1*SUMIFS(AR1454:AR1480,B1454:B1480,B1467-12)+in_two_wheeler_renew^2*SUMIFS(AR1454:AR1480,B1454:B1480,B1467-24)+in_two_wheeler_renew^3*SUMIFS(AR1454:AR1480,B1454:B1480,B1467-36)+in_two_wheeler_renew^4*SUMIFS(AR1454:AR1480,B1454:B1480,B1467-48))</f>
        <v/>
      </c>
      <c r="AT1467" s="40">
        <f>AT1466*(1-IF(B1466&gt;=in_marketplace_from,d_hz_device*G1466,0))</f>
        <v/>
      </c>
      <c r="AU1467" s="14">
        <f>F1467*AT1467*IF(B1467&gt;=in_marketplace_from,d_hz_device*G1467,0)*in_device_ticket*in_device_comm*in_ins_partner_share</f>
        <v/>
      </c>
      <c r="AV1467" s="40">
        <f>AV1466*(1-IF(B1466&gt;=in_marketplace_from,d_hz_shop*G1466,0))</f>
        <v/>
      </c>
      <c r="AW1467" s="46">
        <f>AV1467*IF(B1467&gt;=in_marketplace_from,d_hz_shop*G1467,0)</f>
        <v/>
      </c>
      <c r="AX1467" s="14">
        <f>F1467*AW1467*in_shop_ticket*in_shop_comm*in_ins_partner_share+F1467*in_shop_ticket*in_shop_renew_comm*in_ins_partner_share*(in_shop_renew^1*SUMIFS(AW1454:AW1480,B1454:B1480,B1467-12)+in_shop_renew^2*SUMIFS(AW1454:AW1480,B1454:B1480,B1467-24)+in_shop_renew^3*SUMIFS(AW1454:AW1480,B1454:B1480,B1467-36)+in_shop_renew^4*SUMIFS(AW1454:AW1480,B1454:B1480,B1467-48))</f>
        <v/>
      </c>
      <c r="AY1467" s="40">
        <f>AY1466*(1-IF(B1466&gt;=in_marketplace_from,d_hz_sip*G1466,0))</f>
        <v/>
      </c>
      <c r="AZ1467" s="40">
        <f>AZ1466*d_rho_sip+AY1467*IF(B1467&gt;=in_marketplace_from,d_hz_sip*G1467,0)</f>
        <v/>
      </c>
      <c r="BA1467" s="40">
        <f>d_rho_sip*(BA1466+AZ1466)</f>
        <v/>
      </c>
      <c r="BB1467" s="14">
        <f>F1467*in_sip_ticket*(BA1467+0.5*AZ1467)*in_sip_comm/12</f>
        <v/>
      </c>
      <c r="BC1467" s="40">
        <f>BC1466*(1-IF(B1466&gt;=in_marketplace_from,d_hz_choti*G1466,0))</f>
        <v/>
      </c>
      <c r="BD1467" s="46">
        <f>BC1467*IF(B1467&gt;=in_marketplace_from,d_hz_choti*G1467,0)</f>
        <v/>
      </c>
      <c r="BE1467" s="14">
        <f>F1467*SUMIFS(BD1454:BD1480,B1454:B1480,B1467-in_choti_months)*in_choti_renew*in_choti_ticket</f>
        <v/>
      </c>
      <c r="BF1467" s="40">
        <f>BF1466*(1-IF(B1466&gt;=in_marketplace_from,d_hz_nps*G1466,0))</f>
        <v/>
      </c>
      <c r="BG1467" s="14">
        <f>F1467*BF1467*IF(B1467&gt;=in_marketplace_from,d_hz_nps*G1467,0)*in_nps_ticket*in_nps_comm</f>
        <v/>
      </c>
      <c r="BH1467" s="40">
        <f>BH1466*(1-IF(B1466&gt;=in_marketplace_from,d_hz_gold*G1466,0))</f>
        <v/>
      </c>
      <c r="BI1467" s="40">
        <f>BI1466*d_rho_gold+BH1467*IF(B1467&gt;=in_marketplace_from,d_hz_gold*G1467,0)</f>
        <v/>
      </c>
      <c r="BJ1467" s="14">
        <f>F1467*BI1467*in_gold_ticket*in_gold_comm</f>
        <v/>
      </c>
      <c r="BK1467" s="40">
        <f>BK1466*(1-IF(B1466&gt;=in_marketplace_from,d_hz_fd*G1466,0))</f>
        <v/>
      </c>
      <c r="BL1467" s="14">
        <f>F1467*BK1467*IF(B1467&gt;=in_marketplace_from,d_hz_fd*G1467,0)*in_fd_ticket*in_fd_comm</f>
        <v/>
      </c>
      <c r="BM1467" s="40">
        <f>BM1466*(1-IF(B1466&gt;=in_marketplace_from,d_hz_recharge*G1466,0))</f>
        <v/>
      </c>
      <c r="BN1467" s="40">
        <f>BN1466*d_rho_recharge+BM1467*IF(B1467&gt;=in_marketplace_from,d_hz_recharge*G1467,0)</f>
        <v/>
      </c>
      <c r="BO1467" s="14">
        <f>F1467*BN1467*in_recharge_ticket*in_recharge_comm/12</f>
        <v/>
      </c>
      <c r="BP1467" s="40">
        <f>BP1466*(1-IF(B1466&gt;=in_marketplace_from,d_hz_bills*G1466,0))</f>
        <v/>
      </c>
      <c r="BQ1467" s="40">
        <f>BQ1466*d_rho_bills+BP1467*IF(B1467&gt;=in_marketplace_from,d_hz_bills*G1467,0)</f>
        <v/>
      </c>
      <c r="BR1467" s="14">
        <f>F1467*BQ1467*in_bills_ticket*in_bills_comm/12</f>
        <v/>
      </c>
      <c r="BS1467" s="40">
        <f>BS1466*(1-IF(B1466&gt;=in_marketplace_from,d_hz_loan_gold*G1466,0))</f>
        <v/>
      </c>
      <c r="BT1467" s="14">
        <f>F1467*BS1467*IF(B1467&gt;=in_marketplace_from,d_hz_loan_gold*G1467,0)*in_loan_gold_ticket*in_loan_gold_comm</f>
        <v/>
      </c>
      <c r="BU1467" s="40">
        <f>BU1466*(1-IF(B1466&gt;=in_marketplace_from,d_hz_loan_cd*G1466,0))</f>
        <v/>
      </c>
      <c r="BV1467" s="14">
        <f>F1467*BU1467*IF(B1467&gt;=in_marketplace_from,d_hz_loan_cd*G1467,0)*in_loan_cd_ticket*in_loan_cd_comm</f>
        <v/>
      </c>
      <c r="BW1467" s="40">
        <f>BW1466*(1-IF(B1466&gt;=in_marketplace_from,d_hz_loan_vehicle*G1466,0))</f>
        <v/>
      </c>
      <c r="BX1467" s="14">
        <f>F1467*BW1467*IF(B1467&gt;=in_marketplace_from,d_hz_loan_vehicle*G1467,0)*in_loan_vehicle_ticket*in_loan_vehicle_comm</f>
        <v/>
      </c>
      <c r="BY1467" s="40">
        <f>BY1466*(1-IF(B1466&gt;=in_marketplace_from,d_hz_loan_home*G1466,0)*BZ1466)</f>
        <v/>
      </c>
      <c r="BZ1467" s="11">
        <f>MIN(in_approval_cap,in_loan_home_approval*INDEX('Age profile'!$O$2:$O$61,B1467)*(1+in_approval_growth)^(D1467-1))</f>
        <v/>
      </c>
      <c r="CA1467" s="14">
        <f>F1467*BY1467*IF(B1467&gt;=in_marketplace_from,d_hz_loan_home*G1467,0)*BZ1467*in_loan_home_ticket*in_loan_home_comm</f>
        <v/>
      </c>
      <c r="CB1467" s="40">
        <f>CB1466*(1-IF(B1466&gt;=in_marketplace_from,d_hz_loan_lap*G1466,0)*CC1466)</f>
        <v/>
      </c>
      <c r="CC1467" s="11">
        <f>MIN(in_approval_cap,in_loan_lap_approval*INDEX('Age profile'!$O$2:$O$61,B1467)*(1+in_approval_growth)^(D1467-1))</f>
        <v/>
      </c>
      <c r="CD1467" s="14">
        <f>F1467*CB1467*IF(B1467&gt;=in_marketplace_from,d_hz_loan_lap*G1467,0)*CC1467*in_loan_lap_ticket*in_loan_lap_comm</f>
        <v/>
      </c>
      <c r="CE1467" s="14">
        <f>AA1467+AB1467+AC1467+AD1467+AG1467+AJ1467+AM1467+AP1467+AS1467+AU1467+AX1467+BB1467+BE1467+BG1467+BJ1467+BL1467+BO1467+BR1467+BT1467+BV1467+BX1467+CA1467+CD1467</f>
        <v/>
      </c>
    </row>
    <row r="1468">
      <c r="A1468" s="39" t="n">
        <v>34</v>
      </c>
      <c r="B1468" s="39" t="n">
        <v>15</v>
      </c>
      <c r="C1468" s="39">
        <f>A1468+B1468-1</f>
        <v/>
      </c>
      <c r="D1468" s="39">
        <f>INT((C1468-1)/12)+1</f>
        <v/>
      </c>
      <c r="E1468" s="44">
        <f>INDEX(Monthly!$B$2:$B$61,A1468)</f>
        <v/>
      </c>
      <c r="F1468" s="44">
        <f>E1468*INDEX('Age profile'!$B$2:$B$61,B1468)</f>
        <v/>
      </c>
      <c r="G1468" s="45">
        <f>MIN(in_takeup_cap,INDEX('Age profile'!$N$2:$N$61,B1468)*(1+in_takeup_growth)^(D1468-1))</f>
        <v/>
      </c>
      <c r="H1468" s="11">
        <f>MIN(in_approval_cap,in_approved_first*INDEX('Age profile'!$O$2:$O$61,B1468)*(1+in_approval_growth)^(D1468-1))</f>
        <v/>
      </c>
      <c r="I1468" s="45">
        <f>G1468*MIN(in_takeup_cap,INDEX('Age profile'!$O$2:$O$61,B1468)*(1+in_approval_growth)^(D1468-1))</f>
        <v/>
      </c>
      <c r="J1468" s="40">
        <f>(J1467-L1467)*F1468/F1467</f>
        <v/>
      </c>
      <c r="K1468" s="40">
        <f>(K1467-M1467)*F1468/F1467+SUMIFS(O1454:O1467,B1454:B1467,B1468-1-d_T)*F1468</f>
        <v/>
      </c>
      <c r="L1468" s="40">
        <f>IF(B1468&gt;=in_marketplace_from,J1468*d_hz*G1468*in_eligible*H1468,0)</f>
        <v/>
      </c>
      <c r="M1468" s="40">
        <f>IF(B1468&gt;=in_marketplace_from,K1468*d_hz*G1468*in_eligible*in_approved_repeat,0)</f>
        <v/>
      </c>
      <c r="N1468" s="40">
        <f>L1468+M1468</f>
        <v/>
      </c>
      <c r="O1468" s="46">
        <f>N1468/F1468</f>
        <v/>
      </c>
      <c r="P1468" s="40">
        <f>F1468-J1468-K1468</f>
        <v/>
      </c>
      <c r="Q1468" s="40">
        <f>IF(B1468&gt;=in_marketplace_from,(J1468+K1468)*d_hz*G1468,0)</f>
        <v/>
      </c>
      <c r="R1468" s="40">
        <f>SUMIFS(N1454:N1480,B1454:B1480,"&gt;="&amp;(B1468-d_T),B1454:B1480,"&lt;="&amp;(B1468-1))</f>
        <v/>
      </c>
      <c r="S1468" s="46">
        <f>(1-d_u)*S1467+IF(d_T&gt;in_topup_lag,SUMIFS(O1454:O1480,B1454:B1480,B1468-in_topup_lag)-d_udrop*SUMIFS(O1454:O1480,B1454:B1480,B1468-d_T),0)</f>
        <v/>
      </c>
      <c r="T1468" s="40">
        <f>F1468*d_u*S1468</f>
        <v/>
      </c>
      <c r="U1468" s="9">
        <f>L1468*in_ticket+M1468*d_rep_ticket</f>
        <v/>
      </c>
      <c r="V1468" s="9">
        <f>U1468+T1468*d_topup_amt</f>
        <v/>
      </c>
      <c r="W1468" s="40">
        <f>N1468+T1468*d_topup_ratio</f>
        <v/>
      </c>
      <c r="X1468" s="40">
        <f>SUMIFS(W1454:W1480,B1454:B1480,B1468-in_dpd_lag)*d_cured</f>
        <v/>
      </c>
      <c r="Y1468" s="40">
        <f>SUMIFS(W1454:W1480,B1454:B1480,B1468-in_rec_lag)*d_recd</f>
        <v/>
      </c>
      <c r="Z1468" s="40">
        <f>IF(AND(B1468&gt;=in_marketplace_from,B1468&lt;in_marketplace_from+in_card_months),in_card_share/in_card_months*F1468*I1468,IF(AND(B1468&gt;=in_marketplace_from+in_card_months,B1468&lt;in_marketplace_from+2*in_card_months),in_card_share*d_card_rem/in_card_months*F1468*MIN(in_takeup_cap,(1+in_takeup_growth)^(D1468-1))*MIN(in_takeup_cap,(1+in_approval_growth)^(D1468-1)),0))</f>
        <v/>
      </c>
      <c r="AA1468" s="14">
        <f>V1468*in_fee*(1-in_taken_back)</f>
        <v/>
      </c>
      <c r="AB1468" s="14">
        <f>SUMIFS(W1454:W1480,B1454:B1480,B1468-in_dpd_lag)*d_dpd</f>
        <v/>
      </c>
      <c r="AC1468" s="14">
        <f>SUMIFS(W1454:W1480,B1454:B1480,B1468-in_rec_lag)*d_rec</f>
        <v/>
      </c>
      <c r="AD1468" s="14">
        <f>Z1468*in_card_fee</f>
        <v/>
      </c>
      <c r="AE1468" s="40">
        <f>AE1467*(1-IF(B1467&gt;=in_marketplace_from,d_hz_hlth_small*G1467,0))</f>
        <v/>
      </c>
      <c r="AF1468" s="46">
        <f>AE1468*IF(B1468&gt;=in_marketplace_from,d_hz_hlth_small*G1468,0)</f>
        <v/>
      </c>
      <c r="AG1468" s="14">
        <f>F1468*AF1468*in_hlth_small_ticket*in_hlth_small_comm*in_ins_partner_share+F1468*in_hlth_small_ticket*in_hlth_small_renew_comm*in_ins_partner_share*(in_hlth_small_renew^1*SUMIFS(AF1454:AF1480,B1454:B1480,B1468-12)+in_hlth_small_renew^2*SUMIFS(AF1454:AF1480,B1454:B1480,B1468-24)+in_hlth_small_renew^3*SUMIFS(AF1454:AF1480,B1454:B1480,B1468-36)+in_hlth_small_renew^4*SUMIFS(AF1454:AF1480,B1454:B1480,B1468-48))</f>
        <v/>
      </c>
      <c r="AH1468" s="40">
        <f>AH1467*(1-IF(B1467&gt;=in_marketplace_from,d_hz_hlth_family*G1467,0))</f>
        <v/>
      </c>
      <c r="AI1468" s="46">
        <f>AH1468*IF(B1468&gt;=in_marketplace_from,d_hz_hlth_family*G1468,0)</f>
        <v/>
      </c>
      <c r="AJ1468" s="14">
        <f>F1468*AI1468*in_hlth_family_ticket*in_hlth_family_comm*in_ins_partner_share+F1468*in_hlth_family_ticket*in_hlth_family_renew_comm*in_ins_partner_share*(in_hlth_family_renew^1*SUMIFS(AI1454:AI1480,B1454:B1480,B1468-12)+in_hlth_family_renew^2*SUMIFS(AI1454:AI1480,B1454:B1480,B1468-24)+in_hlth_family_renew^3*SUMIFS(AI1454:AI1480,B1454:B1480,B1468-36)+in_hlth_family_renew^4*SUMIFS(AI1454:AI1480,B1454:B1480,B1468-48))</f>
        <v/>
      </c>
      <c r="AK1468" s="40">
        <f>AK1467*(1-IF(B1467&gt;=in_marketplace_from,d_hz_life_term*G1467,0))</f>
        <v/>
      </c>
      <c r="AL1468" s="46">
        <f>AK1468*IF(B1468&gt;=in_marketplace_from,d_hz_life_term*G1468,0)</f>
        <v/>
      </c>
      <c r="AM1468" s="14">
        <f>F1468*AL1468*in_life_term_ticket*in_life_term_comm*in_ins_partner_share+F1468*in_life_term_ticket*in_life_term_renew_comm*in_ins_partner_share*(in_life_term_renew^1*SUMIFS(AL1454:AL1480,B1454:B1480,B1468-12)+in_life_term_renew^2*SUMIFS(AL1454:AL1480,B1454:B1480,B1468-24)+in_life_term_renew^3*SUMIFS(AL1454:AL1480,B1454:B1480,B1468-36)+in_life_term_renew^4*SUMIFS(AL1454:AL1480,B1454:B1480,B1468-48))</f>
        <v/>
      </c>
      <c r="AN1468" s="40">
        <f>AN1467*(1-IF(B1467&gt;=in_marketplace_from,d_hz_accident*G1467,0))</f>
        <v/>
      </c>
      <c r="AO1468" s="46">
        <f>AN1468*IF(B1468&gt;=in_marketplace_from,d_hz_accident*G1468,0)</f>
        <v/>
      </c>
      <c r="AP1468" s="14">
        <f>F1468*AO1468*in_accident_ticket*in_accident_comm*in_ins_partner_share+F1468*in_accident_ticket*in_accident_renew_comm*in_ins_partner_share*(in_accident_renew^1*SUMIFS(AO1454:AO1480,B1454:B1480,B1468-12)+in_accident_renew^2*SUMIFS(AO1454:AO1480,B1454:B1480,B1468-24)+in_accident_renew^3*SUMIFS(AO1454:AO1480,B1454:B1480,B1468-36)+in_accident_renew^4*SUMIFS(AO1454:AO1480,B1454:B1480,B1468-48))</f>
        <v/>
      </c>
      <c r="AQ1468" s="40">
        <f>AQ1467*(1-IF(B1467&gt;=in_marketplace_from,d_hz_two_wheeler*G1467,0))</f>
        <v/>
      </c>
      <c r="AR1468" s="46">
        <f>AQ1468*IF(B1468&gt;=in_marketplace_from,d_hz_two_wheeler*G1468,0)</f>
        <v/>
      </c>
      <c r="AS1468" s="14">
        <f>F1468*AR1468*in_two_wheeler_ticket*in_two_wheeler_comm*in_ins_partner_share+F1468*in_two_wheeler_ticket*in_two_wheeler_comm*in_ins_partner_share*(in_two_wheeler_renew^1*SUMIFS(AR1454:AR1480,B1454:B1480,B1468-12)+in_two_wheeler_renew^2*SUMIFS(AR1454:AR1480,B1454:B1480,B1468-24)+in_two_wheeler_renew^3*SUMIFS(AR1454:AR1480,B1454:B1480,B1468-36)+in_two_wheeler_renew^4*SUMIFS(AR1454:AR1480,B1454:B1480,B1468-48))</f>
        <v/>
      </c>
      <c r="AT1468" s="40">
        <f>AT1467*(1-IF(B1467&gt;=in_marketplace_from,d_hz_device*G1467,0))</f>
        <v/>
      </c>
      <c r="AU1468" s="14">
        <f>F1468*AT1468*IF(B1468&gt;=in_marketplace_from,d_hz_device*G1468,0)*in_device_ticket*in_device_comm*in_ins_partner_share</f>
        <v/>
      </c>
      <c r="AV1468" s="40">
        <f>AV1467*(1-IF(B1467&gt;=in_marketplace_from,d_hz_shop*G1467,0))</f>
        <v/>
      </c>
      <c r="AW1468" s="46">
        <f>AV1468*IF(B1468&gt;=in_marketplace_from,d_hz_shop*G1468,0)</f>
        <v/>
      </c>
      <c r="AX1468" s="14">
        <f>F1468*AW1468*in_shop_ticket*in_shop_comm*in_ins_partner_share+F1468*in_shop_ticket*in_shop_renew_comm*in_ins_partner_share*(in_shop_renew^1*SUMIFS(AW1454:AW1480,B1454:B1480,B1468-12)+in_shop_renew^2*SUMIFS(AW1454:AW1480,B1454:B1480,B1468-24)+in_shop_renew^3*SUMIFS(AW1454:AW1480,B1454:B1480,B1468-36)+in_shop_renew^4*SUMIFS(AW1454:AW1480,B1454:B1480,B1468-48))</f>
        <v/>
      </c>
      <c r="AY1468" s="40">
        <f>AY1467*(1-IF(B1467&gt;=in_marketplace_from,d_hz_sip*G1467,0))</f>
        <v/>
      </c>
      <c r="AZ1468" s="40">
        <f>AZ1467*d_rho_sip+AY1468*IF(B1468&gt;=in_marketplace_from,d_hz_sip*G1468,0)</f>
        <v/>
      </c>
      <c r="BA1468" s="40">
        <f>d_rho_sip*(BA1467+AZ1467)</f>
        <v/>
      </c>
      <c r="BB1468" s="14">
        <f>F1468*in_sip_ticket*(BA1468+0.5*AZ1468)*in_sip_comm/12</f>
        <v/>
      </c>
      <c r="BC1468" s="40">
        <f>BC1467*(1-IF(B1467&gt;=in_marketplace_from,d_hz_choti*G1467,0))</f>
        <v/>
      </c>
      <c r="BD1468" s="46">
        <f>BC1468*IF(B1468&gt;=in_marketplace_from,d_hz_choti*G1468,0)</f>
        <v/>
      </c>
      <c r="BE1468" s="14">
        <f>F1468*SUMIFS(BD1454:BD1480,B1454:B1480,B1468-in_choti_months)*in_choti_renew*in_choti_ticket</f>
        <v/>
      </c>
      <c r="BF1468" s="40">
        <f>BF1467*(1-IF(B1467&gt;=in_marketplace_from,d_hz_nps*G1467,0))</f>
        <v/>
      </c>
      <c r="BG1468" s="14">
        <f>F1468*BF1468*IF(B1468&gt;=in_marketplace_from,d_hz_nps*G1468,0)*in_nps_ticket*in_nps_comm</f>
        <v/>
      </c>
      <c r="BH1468" s="40">
        <f>BH1467*(1-IF(B1467&gt;=in_marketplace_from,d_hz_gold*G1467,0))</f>
        <v/>
      </c>
      <c r="BI1468" s="40">
        <f>BI1467*d_rho_gold+BH1468*IF(B1468&gt;=in_marketplace_from,d_hz_gold*G1468,0)</f>
        <v/>
      </c>
      <c r="BJ1468" s="14">
        <f>F1468*BI1468*in_gold_ticket*in_gold_comm</f>
        <v/>
      </c>
      <c r="BK1468" s="40">
        <f>BK1467*(1-IF(B1467&gt;=in_marketplace_from,d_hz_fd*G1467,0))</f>
        <v/>
      </c>
      <c r="BL1468" s="14">
        <f>F1468*BK1468*IF(B1468&gt;=in_marketplace_from,d_hz_fd*G1468,0)*in_fd_ticket*in_fd_comm</f>
        <v/>
      </c>
      <c r="BM1468" s="40">
        <f>BM1467*(1-IF(B1467&gt;=in_marketplace_from,d_hz_recharge*G1467,0))</f>
        <v/>
      </c>
      <c r="BN1468" s="40">
        <f>BN1467*d_rho_recharge+BM1468*IF(B1468&gt;=in_marketplace_from,d_hz_recharge*G1468,0)</f>
        <v/>
      </c>
      <c r="BO1468" s="14">
        <f>F1468*BN1468*in_recharge_ticket*in_recharge_comm/12</f>
        <v/>
      </c>
      <c r="BP1468" s="40">
        <f>BP1467*(1-IF(B1467&gt;=in_marketplace_from,d_hz_bills*G1467,0))</f>
        <v/>
      </c>
      <c r="BQ1468" s="40">
        <f>BQ1467*d_rho_bills+BP1468*IF(B1468&gt;=in_marketplace_from,d_hz_bills*G1468,0)</f>
        <v/>
      </c>
      <c r="BR1468" s="14">
        <f>F1468*BQ1468*in_bills_ticket*in_bills_comm/12</f>
        <v/>
      </c>
      <c r="BS1468" s="40">
        <f>BS1467*(1-IF(B1467&gt;=in_marketplace_from,d_hz_loan_gold*G1467,0))</f>
        <v/>
      </c>
      <c r="BT1468" s="14">
        <f>F1468*BS1468*IF(B1468&gt;=in_marketplace_from,d_hz_loan_gold*G1468,0)*in_loan_gold_ticket*in_loan_gold_comm</f>
        <v/>
      </c>
      <c r="BU1468" s="40">
        <f>BU1467*(1-IF(B1467&gt;=in_marketplace_from,d_hz_loan_cd*G1467,0))</f>
        <v/>
      </c>
      <c r="BV1468" s="14">
        <f>F1468*BU1468*IF(B1468&gt;=in_marketplace_from,d_hz_loan_cd*G1468,0)*in_loan_cd_ticket*in_loan_cd_comm</f>
        <v/>
      </c>
      <c r="BW1468" s="40">
        <f>BW1467*(1-IF(B1467&gt;=in_marketplace_from,d_hz_loan_vehicle*G1467,0))</f>
        <v/>
      </c>
      <c r="BX1468" s="14">
        <f>F1468*BW1468*IF(B1468&gt;=in_marketplace_from,d_hz_loan_vehicle*G1468,0)*in_loan_vehicle_ticket*in_loan_vehicle_comm</f>
        <v/>
      </c>
      <c r="BY1468" s="40">
        <f>BY1467*(1-IF(B1467&gt;=in_marketplace_from,d_hz_loan_home*G1467,0)*BZ1467)</f>
        <v/>
      </c>
      <c r="BZ1468" s="11">
        <f>MIN(in_approval_cap,in_loan_home_approval*INDEX('Age profile'!$O$2:$O$61,B1468)*(1+in_approval_growth)^(D1468-1))</f>
        <v/>
      </c>
      <c r="CA1468" s="14">
        <f>F1468*BY1468*IF(B1468&gt;=in_marketplace_from,d_hz_loan_home*G1468,0)*BZ1468*in_loan_home_ticket*in_loan_home_comm</f>
        <v/>
      </c>
      <c r="CB1468" s="40">
        <f>CB1467*(1-IF(B1467&gt;=in_marketplace_from,d_hz_loan_lap*G1467,0)*CC1467)</f>
        <v/>
      </c>
      <c r="CC1468" s="11">
        <f>MIN(in_approval_cap,in_loan_lap_approval*INDEX('Age profile'!$O$2:$O$61,B1468)*(1+in_approval_growth)^(D1468-1))</f>
        <v/>
      </c>
      <c r="CD1468" s="14">
        <f>F1468*CB1468*IF(B1468&gt;=in_marketplace_from,d_hz_loan_lap*G1468,0)*CC1468*in_loan_lap_ticket*in_loan_lap_comm</f>
        <v/>
      </c>
      <c r="CE1468" s="14">
        <f>AA1468+AB1468+AC1468+AD1468+AG1468+AJ1468+AM1468+AP1468+AS1468+AU1468+AX1468+BB1468+BE1468+BG1468+BJ1468+BL1468+BO1468+BR1468+BT1468+BV1468+BX1468+CA1468+CD1468</f>
        <v/>
      </c>
    </row>
    <row r="1469">
      <c r="A1469" s="39" t="n">
        <v>34</v>
      </c>
      <c r="B1469" s="39" t="n">
        <v>16</v>
      </c>
      <c r="C1469" s="39">
        <f>A1469+B1469-1</f>
        <v/>
      </c>
      <c r="D1469" s="39">
        <f>INT((C1469-1)/12)+1</f>
        <v/>
      </c>
      <c r="E1469" s="44">
        <f>INDEX(Monthly!$B$2:$B$61,A1469)</f>
        <v/>
      </c>
      <c r="F1469" s="44">
        <f>E1469*INDEX('Age profile'!$B$2:$B$61,B1469)</f>
        <v/>
      </c>
      <c r="G1469" s="45">
        <f>MIN(in_takeup_cap,INDEX('Age profile'!$N$2:$N$61,B1469)*(1+in_takeup_growth)^(D1469-1))</f>
        <v/>
      </c>
      <c r="H1469" s="11">
        <f>MIN(in_approval_cap,in_approved_first*INDEX('Age profile'!$O$2:$O$61,B1469)*(1+in_approval_growth)^(D1469-1))</f>
        <v/>
      </c>
      <c r="I1469" s="45">
        <f>G1469*MIN(in_takeup_cap,INDEX('Age profile'!$O$2:$O$61,B1469)*(1+in_approval_growth)^(D1469-1))</f>
        <v/>
      </c>
      <c r="J1469" s="40">
        <f>(J1468-L1468)*F1469/F1468</f>
        <v/>
      </c>
      <c r="K1469" s="40">
        <f>(K1468-M1468)*F1469/F1468+SUMIFS(O1454:O1468,B1454:B1468,B1469-1-d_T)*F1469</f>
        <v/>
      </c>
      <c r="L1469" s="40">
        <f>IF(B1469&gt;=in_marketplace_from,J1469*d_hz*G1469*in_eligible*H1469,0)</f>
        <v/>
      </c>
      <c r="M1469" s="40">
        <f>IF(B1469&gt;=in_marketplace_from,K1469*d_hz*G1469*in_eligible*in_approved_repeat,0)</f>
        <v/>
      </c>
      <c r="N1469" s="40">
        <f>L1469+M1469</f>
        <v/>
      </c>
      <c r="O1469" s="46">
        <f>N1469/F1469</f>
        <v/>
      </c>
      <c r="P1469" s="40">
        <f>F1469-J1469-K1469</f>
        <v/>
      </c>
      <c r="Q1469" s="40">
        <f>IF(B1469&gt;=in_marketplace_from,(J1469+K1469)*d_hz*G1469,0)</f>
        <v/>
      </c>
      <c r="R1469" s="40">
        <f>SUMIFS(N1454:N1480,B1454:B1480,"&gt;="&amp;(B1469-d_T),B1454:B1480,"&lt;="&amp;(B1469-1))</f>
        <v/>
      </c>
      <c r="S1469" s="46">
        <f>(1-d_u)*S1468+IF(d_T&gt;in_topup_lag,SUMIFS(O1454:O1480,B1454:B1480,B1469-in_topup_lag)-d_udrop*SUMIFS(O1454:O1480,B1454:B1480,B1469-d_T),0)</f>
        <v/>
      </c>
      <c r="T1469" s="40">
        <f>F1469*d_u*S1469</f>
        <v/>
      </c>
      <c r="U1469" s="9">
        <f>L1469*in_ticket+M1469*d_rep_ticket</f>
        <v/>
      </c>
      <c r="V1469" s="9">
        <f>U1469+T1469*d_topup_amt</f>
        <v/>
      </c>
      <c r="W1469" s="40">
        <f>N1469+T1469*d_topup_ratio</f>
        <v/>
      </c>
      <c r="X1469" s="40">
        <f>SUMIFS(W1454:W1480,B1454:B1480,B1469-in_dpd_lag)*d_cured</f>
        <v/>
      </c>
      <c r="Y1469" s="40">
        <f>SUMIFS(W1454:W1480,B1454:B1480,B1469-in_rec_lag)*d_recd</f>
        <v/>
      </c>
      <c r="Z1469" s="40">
        <f>IF(AND(B1469&gt;=in_marketplace_from,B1469&lt;in_marketplace_from+in_card_months),in_card_share/in_card_months*F1469*I1469,IF(AND(B1469&gt;=in_marketplace_from+in_card_months,B1469&lt;in_marketplace_from+2*in_card_months),in_card_share*d_card_rem/in_card_months*F1469*MIN(in_takeup_cap,(1+in_takeup_growth)^(D1469-1))*MIN(in_takeup_cap,(1+in_approval_growth)^(D1469-1)),0))</f>
        <v/>
      </c>
      <c r="AA1469" s="14">
        <f>V1469*in_fee*(1-in_taken_back)</f>
        <v/>
      </c>
      <c r="AB1469" s="14">
        <f>SUMIFS(W1454:W1480,B1454:B1480,B1469-in_dpd_lag)*d_dpd</f>
        <v/>
      </c>
      <c r="AC1469" s="14">
        <f>SUMIFS(W1454:W1480,B1454:B1480,B1469-in_rec_lag)*d_rec</f>
        <v/>
      </c>
      <c r="AD1469" s="14">
        <f>Z1469*in_card_fee</f>
        <v/>
      </c>
      <c r="AE1469" s="40">
        <f>AE1468*(1-IF(B1468&gt;=in_marketplace_from,d_hz_hlth_small*G1468,0))</f>
        <v/>
      </c>
      <c r="AF1469" s="46">
        <f>AE1469*IF(B1469&gt;=in_marketplace_from,d_hz_hlth_small*G1469,0)</f>
        <v/>
      </c>
      <c r="AG1469" s="14">
        <f>F1469*AF1469*in_hlth_small_ticket*in_hlth_small_comm*in_ins_partner_share+F1469*in_hlth_small_ticket*in_hlth_small_renew_comm*in_ins_partner_share*(in_hlth_small_renew^1*SUMIFS(AF1454:AF1480,B1454:B1480,B1469-12)+in_hlth_small_renew^2*SUMIFS(AF1454:AF1480,B1454:B1480,B1469-24)+in_hlth_small_renew^3*SUMIFS(AF1454:AF1480,B1454:B1480,B1469-36)+in_hlth_small_renew^4*SUMIFS(AF1454:AF1480,B1454:B1480,B1469-48))</f>
        <v/>
      </c>
      <c r="AH1469" s="40">
        <f>AH1468*(1-IF(B1468&gt;=in_marketplace_from,d_hz_hlth_family*G1468,0))</f>
        <v/>
      </c>
      <c r="AI1469" s="46">
        <f>AH1469*IF(B1469&gt;=in_marketplace_from,d_hz_hlth_family*G1469,0)</f>
        <v/>
      </c>
      <c r="AJ1469" s="14">
        <f>F1469*AI1469*in_hlth_family_ticket*in_hlth_family_comm*in_ins_partner_share+F1469*in_hlth_family_ticket*in_hlth_family_renew_comm*in_ins_partner_share*(in_hlth_family_renew^1*SUMIFS(AI1454:AI1480,B1454:B1480,B1469-12)+in_hlth_family_renew^2*SUMIFS(AI1454:AI1480,B1454:B1480,B1469-24)+in_hlth_family_renew^3*SUMIFS(AI1454:AI1480,B1454:B1480,B1469-36)+in_hlth_family_renew^4*SUMIFS(AI1454:AI1480,B1454:B1480,B1469-48))</f>
        <v/>
      </c>
      <c r="AK1469" s="40">
        <f>AK1468*(1-IF(B1468&gt;=in_marketplace_from,d_hz_life_term*G1468,0))</f>
        <v/>
      </c>
      <c r="AL1469" s="46">
        <f>AK1469*IF(B1469&gt;=in_marketplace_from,d_hz_life_term*G1469,0)</f>
        <v/>
      </c>
      <c r="AM1469" s="14">
        <f>F1469*AL1469*in_life_term_ticket*in_life_term_comm*in_ins_partner_share+F1469*in_life_term_ticket*in_life_term_renew_comm*in_ins_partner_share*(in_life_term_renew^1*SUMIFS(AL1454:AL1480,B1454:B1480,B1469-12)+in_life_term_renew^2*SUMIFS(AL1454:AL1480,B1454:B1480,B1469-24)+in_life_term_renew^3*SUMIFS(AL1454:AL1480,B1454:B1480,B1469-36)+in_life_term_renew^4*SUMIFS(AL1454:AL1480,B1454:B1480,B1469-48))</f>
        <v/>
      </c>
      <c r="AN1469" s="40">
        <f>AN1468*(1-IF(B1468&gt;=in_marketplace_from,d_hz_accident*G1468,0))</f>
        <v/>
      </c>
      <c r="AO1469" s="46">
        <f>AN1469*IF(B1469&gt;=in_marketplace_from,d_hz_accident*G1469,0)</f>
        <v/>
      </c>
      <c r="AP1469" s="14">
        <f>F1469*AO1469*in_accident_ticket*in_accident_comm*in_ins_partner_share+F1469*in_accident_ticket*in_accident_renew_comm*in_ins_partner_share*(in_accident_renew^1*SUMIFS(AO1454:AO1480,B1454:B1480,B1469-12)+in_accident_renew^2*SUMIFS(AO1454:AO1480,B1454:B1480,B1469-24)+in_accident_renew^3*SUMIFS(AO1454:AO1480,B1454:B1480,B1469-36)+in_accident_renew^4*SUMIFS(AO1454:AO1480,B1454:B1480,B1469-48))</f>
        <v/>
      </c>
      <c r="AQ1469" s="40">
        <f>AQ1468*(1-IF(B1468&gt;=in_marketplace_from,d_hz_two_wheeler*G1468,0))</f>
        <v/>
      </c>
      <c r="AR1469" s="46">
        <f>AQ1469*IF(B1469&gt;=in_marketplace_from,d_hz_two_wheeler*G1469,0)</f>
        <v/>
      </c>
      <c r="AS1469" s="14">
        <f>F1469*AR1469*in_two_wheeler_ticket*in_two_wheeler_comm*in_ins_partner_share+F1469*in_two_wheeler_ticket*in_two_wheeler_comm*in_ins_partner_share*(in_two_wheeler_renew^1*SUMIFS(AR1454:AR1480,B1454:B1480,B1469-12)+in_two_wheeler_renew^2*SUMIFS(AR1454:AR1480,B1454:B1480,B1469-24)+in_two_wheeler_renew^3*SUMIFS(AR1454:AR1480,B1454:B1480,B1469-36)+in_two_wheeler_renew^4*SUMIFS(AR1454:AR1480,B1454:B1480,B1469-48))</f>
        <v/>
      </c>
      <c r="AT1469" s="40">
        <f>AT1468*(1-IF(B1468&gt;=in_marketplace_from,d_hz_device*G1468,0))</f>
        <v/>
      </c>
      <c r="AU1469" s="14">
        <f>F1469*AT1469*IF(B1469&gt;=in_marketplace_from,d_hz_device*G1469,0)*in_device_ticket*in_device_comm*in_ins_partner_share</f>
        <v/>
      </c>
      <c r="AV1469" s="40">
        <f>AV1468*(1-IF(B1468&gt;=in_marketplace_from,d_hz_shop*G1468,0))</f>
        <v/>
      </c>
      <c r="AW1469" s="46">
        <f>AV1469*IF(B1469&gt;=in_marketplace_from,d_hz_shop*G1469,0)</f>
        <v/>
      </c>
      <c r="AX1469" s="14">
        <f>F1469*AW1469*in_shop_ticket*in_shop_comm*in_ins_partner_share+F1469*in_shop_ticket*in_shop_renew_comm*in_ins_partner_share*(in_shop_renew^1*SUMIFS(AW1454:AW1480,B1454:B1480,B1469-12)+in_shop_renew^2*SUMIFS(AW1454:AW1480,B1454:B1480,B1469-24)+in_shop_renew^3*SUMIFS(AW1454:AW1480,B1454:B1480,B1469-36)+in_shop_renew^4*SUMIFS(AW1454:AW1480,B1454:B1480,B1469-48))</f>
        <v/>
      </c>
      <c r="AY1469" s="40">
        <f>AY1468*(1-IF(B1468&gt;=in_marketplace_from,d_hz_sip*G1468,0))</f>
        <v/>
      </c>
      <c r="AZ1469" s="40">
        <f>AZ1468*d_rho_sip+AY1469*IF(B1469&gt;=in_marketplace_from,d_hz_sip*G1469,0)</f>
        <v/>
      </c>
      <c r="BA1469" s="40">
        <f>d_rho_sip*(BA1468+AZ1468)</f>
        <v/>
      </c>
      <c r="BB1469" s="14">
        <f>F1469*in_sip_ticket*(BA1469+0.5*AZ1469)*in_sip_comm/12</f>
        <v/>
      </c>
      <c r="BC1469" s="40">
        <f>BC1468*(1-IF(B1468&gt;=in_marketplace_from,d_hz_choti*G1468,0))</f>
        <v/>
      </c>
      <c r="BD1469" s="46">
        <f>BC1469*IF(B1469&gt;=in_marketplace_from,d_hz_choti*G1469,0)</f>
        <v/>
      </c>
      <c r="BE1469" s="14">
        <f>F1469*SUMIFS(BD1454:BD1480,B1454:B1480,B1469-in_choti_months)*in_choti_renew*in_choti_ticket</f>
        <v/>
      </c>
      <c r="BF1469" s="40">
        <f>BF1468*(1-IF(B1468&gt;=in_marketplace_from,d_hz_nps*G1468,0))</f>
        <v/>
      </c>
      <c r="BG1469" s="14">
        <f>F1469*BF1469*IF(B1469&gt;=in_marketplace_from,d_hz_nps*G1469,0)*in_nps_ticket*in_nps_comm</f>
        <v/>
      </c>
      <c r="BH1469" s="40">
        <f>BH1468*(1-IF(B1468&gt;=in_marketplace_from,d_hz_gold*G1468,0))</f>
        <v/>
      </c>
      <c r="BI1469" s="40">
        <f>BI1468*d_rho_gold+BH1469*IF(B1469&gt;=in_marketplace_from,d_hz_gold*G1469,0)</f>
        <v/>
      </c>
      <c r="BJ1469" s="14">
        <f>F1469*BI1469*in_gold_ticket*in_gold_comm</f>
        <v/>
      </c>
      <c r="BK1469" s="40">
        <f>BK1468*(1-IF(B1468&gt;=in_marketplace_from,d_hz_fd*G1468,0))</f>
        <v/>
      </c>
      <c r="BL1469" s="14">
        <f>F1469*BK1469*IF(B1469&gt;=in_marketplace_from,d_hz_fd*G1469,0)*in_fd_ticket*in_fd_comm</f>
        <v/>
      </c>
      <c r="BM1469" s="40">
        <f>BM1468*(1-IF(B1468&gt;=in_marketplace_from,d_hz_recharge*G1468,0))</f>
        <v/>
      </c>
      <c r="BN1469" s="40">
        <f>BN1468*d_rho_recharge+BM1469*IF(B1469&gt;=in_marketplace_from,d_hz_recharge*G1469,0)</f>
        <v/>
      </c>
      <c r="BO1469" s="14">
        <f>F1469*BN1469*in_recharge_ticket*in_recharge_comm/12</f>
        <v/>
      </c>
      <c r="BP1469" s="40">
        <f>BP1468*(1-IF(B1468&gt;=in_marketplace_from,d_hz_bills*G1468,0))</f>
        <v/>
      </c>
      <c r="BQ1469" s="40">
        <f>BQ1468*d_rho_bills+BP1469*IF(B1469&gt;=in_marketplace_from,d_hz_bills*G1469,0)</f>
        <v/>
      </c>
      <c r="BR1469" s="14">
        <f>F1469*BQ1469*in_bills_ticket*in_bills_comm/12</f>
        <v/>
      </c>
      <c r="BS1469" s="40">
        <f>BS1468*(1-IF(B1468&gt;=in_marketplace_from,d_hz_loan_gold*G1468,0))</f>
        <v/>
      </c>
      <c r="BT1469" s="14">
        <f>F1469*BS1469*IF(B1469&gt;=in_marketplace_from,d_hz_loan_gold*G1469,0)*in_loan_gold_ticket*in_loan_gold_comm</f>
        <v/>
      </c>
      <c r="BU1469" s="40">
        <f>BU1468*(1-IF(B1468&gt;=in_marketplace_from,d_hz_loan_cd*G1468,0))</f>
        <v/>
      </c>
      <c r="BV1469" s="14">
        <f>F1469*BU1469*IF(B1469&gt;=in_marketplace_from,d_hz_loan_cd*G1469,0)*in_loan_cd_ticket*in_loan_cd_comm</f>
        <v/>
      </c>
      <c r="BW1469" s="40">
        <f>BW1468*(1-IF(B1468&gt;=in_marketplace_from,d_hz_loan_vehicle*G1468,0))</f>
        <v/>
      </c>
      <c r="BX1469" s="14">
        <f>F1469*BW1469*IF(B1469&gt;=in_marketplace_from,d_hz_loan_vehicle*G1469,0)*in_loan_vehicle_ticket*in_loan_vehicle_comm</f>
        <v/>
      </c>
      <c r="BY1469" s="40">
        <f>BY1468*(1-IF(B1468&gt;=in_marketplace_from,d_hz_loan_home*G1468,0)*BZ1468)</f>
        <v/>
      </c>
      <c r="BZ1469" s="11">
        <f>MIN(in_approval_cap,in_loan_home_approval*INDEX('Age profile'!$O$2:$O$61,B1469)*(1+in_approval_growth)^(D1469-1))</f>
        <v/>
      </c>
      <c r="CA1469" s="14">
        <f>F1469*BY1469*IF(B1469&gt;=in_marketplace_from,d_hz_loan_home*G1469,0)*BZ1469*in_loan_home_ticket*in_loan_home_comm</f>
        <v/>
      </c>
      <c r="CB1469" s="40">
        <f>CB1468*(1-IF(B1468&gt;=in_marketplace_from,d_hz_loan_lap*G1468,0)*CC1468)</f>
        <v/>
      </c>
      <c r="CC1469" s="11">
        <f>MIN(in_approval_cap,in_loan_lap_approval*INDEX('Age profile'!$O$2:$O$61,B1469)*(1+in_approval_growth)^(D1469-1))</f>
        <v/>
      </c>
      <c r="CD1469" s="14">
        <f>F1469*CB1469*IF(B1469&gt;=in_marketplace_from,d_hz_loan_lap*G1469,0)*CC1469*in_loan_lap_ticket*in_loan_lap_comm</f>
        <v/>
      </c>
      <c r="CE1469" s="14">
        <f>AA1469+AB1469+AC1469+AD1469+AG1469+AJ1469+AM1469+AP1469+AS1469+AU1469+AX1469+BB1469+BE1469+BG1469+BJ1469+BL1469+BO1469+BR1469+BT1469+BV1469+BX1469+CA1469+CD1469</f>
        <v/>
      </c>
    </row>
    <row r="1470">
      <c r="A1470" s="39" t="n">
        <v>34</v>
      </c>
      <c r="B1470" s="39" t="n">
        <v>17</v>
      </c>
      <c r="C1470" s="39">
        <f>A1470+B1470-1</f>
        <v/>
      </c>
      <c r="D1470" s="39">
        <f>INT((C1470-1)/12)+1</f>
        <v/>
      </c>
      <c r="E1470" s="44">
        <f>INDEX(Monthly!$B$2:$B$61,A1470)</f>
        <v/>
      </c>
      <c r="F1470" s="44">
        <f>E1470*INDEX('Age profile'!$B$2:$B$61,B1470)</f>
        <v/>
      </c>
      <c r="G1470" s="45">
        <f>MIN(in_takeup_cap,INDEX('Age profile'!$N$2:$N$61,B1470)*(1+in_takeup_growth)^(D1470-1))</f>
        <v/>
      </c>
      <c r="H1470" s="11">
        <f>MIN(in_approval_cap,in_approved_first*INDEX('Age profile'!$O$2:$O$61,B1470)*(1+in_approval_growth)^(D1470-1))</f>
        <v/>
      </c>
      <c r="I1470" s="45">
        <f>G1470*MIN(in_takeup_cap,INDEX('Age profile'!$O$2:$O$61,B1470)*(1+in_approval_growth)^(D1470-1))</f>
        <v/>
      </c>
      <c r="J1470" s="40">
        <f>(J1469-L1469)*F1470/F1469</f>
        <v/>
      </c>
      <c r="K1470" s="40">
        <f>(K1469-M1469)*F1470/F1469+SUMIFS(O1454:O1469,B1454:B1469,B1470-1-d_T)*F1470</f>
        <v/>
      </c>
      <c r="L1470" s="40">
        <f>IF(B1470&gt;=in_marketplace_from,J1470*d_hz*G1470*in_eligible*H1470,0)</f>
        <v/>
      </c>
      <c r="M1470" s="40">
        <f>IF(B1470&gt;=in_marketplace_from,K1470*d_hz*G1470*in_eligible*in_approved_repeat,0)</f>
        <v/>
      </c>
      <c r="N1470" s="40">
        <f>L1470+M1470</f>
        <v/>
      </c>
      <c r="O1470" s="46">
        <f>N1470/F1470</f>
        <v/>
      </c>
      <c r="P1470" s="40">
        <f>F1470-J1470-K1470</f>
        <v/>
      </c>
      <c r="Q1470" s="40">
        <f>IF(B1470&gt;=in_marketplace_from,(J1470+K1470)*d_hz*G1470,0)</f>
        <v/>
      </c>
      <c r="R1470" s="40">
        <f>SUMIFS(N1454:N1480,B1454:B1480,"&gt;="&amp;(B1470-d_T),B1454:B1480,"&lt;="&amp;(B1470-1))</f>
        <v/>
      </c>
      <c r="S1470" s="46">
        <f>(1-d_u)*S1469+IF(d_T&gt;in_topup_lag,SUMIFS(O1454:O1480,B1454:B1480,B1470-in_topup_lag)-d_udrop*SUMIFS(O1454:O1480,B1454:B1480,B1470-d_T),0)</f>
        <v/>
      </c>
      <c r="T1470" s="40">
        <f>F1470*d_u*S1470</f>
        <v/>
      </c>
      <c r="U1470" s="9">
        <f>L1470*in_ticket+M1470*d_rep_ticket</f>
        <v/>
      </c>
      <c r="V1470" s="9">
        <f>U1470+T1470*d_topup_amt</f>
        <v/>
      </c>
      <c r="W1470" s="40">
        <f>N1470+T1470*d_topup_ratio</f>
        <v/>
      </c>
      <c r="X1470" s="40">
        <f>SUMIFS(W1454:W1480,B1454:B1480,B1470-in_dpd_lag)*d_cured</f>
        <v/>
      </c>
      <c r="Y1470" s="40">
        <f>SUMIFS(W1454:W1480,B1454:B1480,B1470-in_rec_lag)*d_recd</f>
        <v/>
      </c>
      <c r="Z1470" s="40">
        <f>IF(AND(B1470&gt;=in_marketplace_from,B1470&lt;in_marketplace_from+in_card_months),in_card_share/in_card_months*F1470*I1470,IF(AND(B1470&gt;=in_marketplace_from+in_card_months,B1470&lt;in_marketplace_from+2*in_card_months),in_card_share*d_card_rem/in_card_months*F1470*MIN(in_takeup_cap,(1+in_takeup_growth)^(D1470-1))*MIN(in_takeup_cap,(1+in_approval_growth)^(D1470-1)),0))</f>
        <v/>
      </c>
      <c r="AA1470" s="14">
        <f>V1470*in_fee*(1-in_taken_back)</f>
        <v/>
      </c>
      <c r="AB1470" s="14">
        <f>SUMIFS(W1454:W1480,B1454:B1480,B1470-in_dpd_lag)*d_dpd</f>
        <v/>
      </c>
      <c r="AC1470" s="14">
        <f>SUMIFS(W1454:W1480,B1454:B1480,B1470-in_rec_lag)*d_rec</f>
        <v/>
      </c>
      <c r="AD1470" s="14">
        <f>Z1470*in_card_fee</f>
        <v/>
      </c>
      <c r="AE1470" s="40">
        <f>AE1469*(1-IF(B1469&gt;=in_marketplace_from,d_hz_hlth_small*G1469,0))</f>
        <v/>
      </c>
      <c r="AF1470" s="46">
        <f>AE1470*IF(B1470&gt;=in_marketplace_from,d_hz_hlth_small*G1470,0)</f>
        <v/>
      </c>
      <c r="AG1470" s="14">
        <f>F1470*AF1470*in_hlth_small_ticket*in_hlth_small_comm*in_ins_partner_share+F1470*in_hlth_small_ticket*in_hlth_small_renew_comm*in_ins_partner_share*(in_hlth_small_renew^1*SUMIFS(AF1454:AF1480,B1454:B1480,B1470-12)+in_hlth_small_renew^2*SUMIFS(AF1454:AF1480,B1454:B1480,B1470-24)+in_hlth_small_renew^3*SUMIFS(AF1454:AF1480,B1454:B1480,B1470-36)+in_hlth_small_renew^4*SUMIFS(AF1454:AF1480,B1454:B1480,B1470-48))</f>
        <v/>
      </c>
      <c r="AH1470" s="40">
        <f>AH1469*(1-IF(B1469&gt;=in_marketplace_from,d_hz_hlth_family*G1469,0))</f>
        <v/>
      </c>
      <c r="AI1470" s="46">
        <f>AH1470*IF(B1470&gt;=in_marketplace_from,d_hz_hlth_family*G1470,0)</f>
        <v/>
      </c>
      <c r="AJ1470" s="14">
        <f>F1470*AI1470*in_hlth_family_ticket*in_hlth_family_comm*in_ins_partner_share+F1470*in_hlth_family_ticket*in_hlth_family_renew_comm*in_ins_partner_share*(in_hlth_family_renew^1*SUMIFS(AI1454:AI1480,B1454:B1480,B1470-12)+in_hlth_family_renew^2*SUMIFS(AI1454:AI1480,B1454:B1480,B1470-24)+in_hlth_family_renew^3*SUMIFS(AI1454:AI1480,B1454:B1480,B1470-36)+in_hlth_family_renew^4*SUMIFS(AI1454:AI1480,B1454:B1480,B1470-48))</f>
        <v/>
      </c>
      <c r="AK1470" s="40">
        <f>AK1469*(1-IF(B1469&gt;=in_marketplace_from,d_hz_life_term*G1469,0))</f>
        <v/>
      </c>
      <c r="AL1470" s="46">
        <f>AK1470*IF(B1470&gt;=in_marketplace_from,d_hz_life_term*G1470,0)</f>
        <v/>
      </c>
      <c r="AM1470" s="14">
        <f>F1470*AL1470*in_life_term_ticket*in_life_term_comm*in_ins_partner_share+F1470*in_life_term_ticket*in_life_term_renew_comm*in_ins_partner_share*(in_life_term_renew^1*SUMIFS(AL1454:AL1480,B1454:B1480,B1470-12)+in_life_term_renew^2*SUMIFS(AL1454:AL1480,B1454:B1480,B1470-24)+in_life_term_renew^3*SUMIFS(AL1454:AL1480,B1454:B1480,B1470-36)+in_life_term_renew^4*SUMIFS(AL1454:AL1480,B1454:B1480,B1470-48))</f>
        <v/>
      </c>
      <c r="AN1470" s="40">
        <f>AN1469*(1-IF(B1469&gt;=in_marketplace_from,d_hz_accident*G1469,0))</f>
        <v/>
      </c>
      <c r="AO1470" s="46">
        <f>AN1470*IF(B1470&gt;=in_marketplace_from,d_hz_accident*G1470,0)</f>
        <v/>
      </c>
      <c r="AP1470" s="14">
        <f>F1470*AO1470*in_accident_ticket*in_accident_comm*in_ins_partner_share+F1470*in_accident_ticket*in_accident_renew_comm*in_ins_partner_share*(in_accident_renew^1*SUMIFS(AO1454:AO1480,B1454:B1480,B1470-12)+in_accident_renew^2*SUMIFS(AO1454:AO1480,B1454:B1480,B1470-24)+in_accident_renew^3*SUMIFS(AO1454:AO1480,B1454:B1480,B1470-36)+in_accident_renew^4*SUMIFS(AO1454:AO1480,B1454:B1480,B1470-48))</f>
        <v/>
      </c>
      <c r="AQ1470" s="40">
        <f>AQ1469*(1-IF(B1469&gt;=in_marketplace_from,d_hz_two_wheeler*G1469,0))</f>
        <v/>
      </c>
      <c r="AR1470" s="46">
        <f>AQ1470*IF(B1470&gt;=in_marketplace_from,d_hz_two_wheeler*G1470,0)</f>
        <v/>
      </c>
      <c r="AS1470" s="14">
        <f>F1470*AR1470*in_two_wheeler_ticket*in_two_wheeler_comm*in_ins_partner_share+F1470*in_two_wheeler_ticket*in_two_wheeler_comm*in_ins_partner_share*(in_two_wheeler_renew^1*SUMIFS(AR1454:AR1480,B1454:B1480,B1470-12)+in_two_wheeler_renew^2*SUMIFS(AR1454:AR1480,B1454:B1480,B1470-24)+in_two_wheeler_renew^3*SUMIFS(AR1454:AR1480,B1454:B1480,B1470-36)+in_two_wheeler_renew^4*SUMIFS(AR1454:AR1480,B1454:B1480,B1470-48))</f>
        <v/>
      </c>
      <c r="AT1470" s="40">
        <f>AT1469*(1-IF(B1469&gt;=in_marketplace_from,d_hz_device*G1469,0))</f>
        <v/>
      </c>
      <c r="AU1470" s="14">
        <f>F1470*AT1470*IF(B1470&gt;=in_marketplace_from,d_hz_device*G1470,0)*in_device_ticket*in_device_comm*in_ins_partner_share</f>
        <v/>
      </c>
      <c r="AV1470" s="40">
        <f>AV1469*(1-IF(B1469&gt;=in_marketplace_from,d_hz_shop*G1469,0))</f>
        <v/>
      </c>
      <c r="AW1470" s="46">
        <f>AV1470*IF(B1470&gt;=in_marketplace_from,d_hz_shop*G1470,0)</f>
        <v/>
      </c>
      <c r="AX1470" s="14">
        <f>F1470*AW1470*in_shop_ticket*in_shop_comm*in_ins_partner_share+F1470*in_shop_ticket*in_shop_renew_comm*in_ins_partner_share*(in_shop_renew^1*SUMIFS(AW1454:AW1480,B1454:B1480,B1470-12)+in_shop_renew^2*SUMIFS(AW1454:AW1480,B1454:B1480,B1470-24)+in_shop_renew^3*SUMIFS(AW1454:AW1480,B1454:B1480,B1470-36)+in_shop_renew^4*SUMIFS(AW1454:AW1480,B1454:B1480,B1470-48))</f>
        <v/>
      </c>
      <c r="AY1470" s="40">
        <f>AY1469*(1-IF(B1469&gt;=in_marketplace_from,d_hz_sip*G1469,0))</f>
        <v/>
      </c>
      <c r="AZ1470" s="40">
        <f>AZ1469*d_rho_sip+AY1470*IF(B1470&gt;=in_marketplace_from,d_hz_sip*G1470,0)</f>
        <v/>
      </c>
      <c r="BA1470" s="40">
        <f>d_rho_sip*(BA1469+AZ1469)</f>
        <v/>
      </c>
      <c r="BB1470" s="14">
        <f>F1470*in_sip_ticket*(BA1470+0.5*AZ1470)*in_sip_comm/12</f>
        <v/>
      </c>
      <c r="BC1470" s="40">
        <f>BC1469*(1-IF(B1469&gt;=in_marketplace_from,d_hz_choti*G1469,0))</f>
        <v/>
      </c>
      <c r="BD1470" s="46">
        <f>BC1470*IF(B1470&gt;=in_marketplace_from,d_hz_choti*G1470,0)</f>
        <v/>
      </c>
      <c r="BE1470" s="14">
        <f>F1470*SUMIFS(BD1454:BD1480,B1454:B1480,B1470-in_choti_months)*in_choti_renew*in_choti_ticket</f>
        <v/>
      </c>
      <c r="BF1470" s="40">
        <f>BF1469*(1-IF(B1469&gt;=in_marketplace_from,d_hz_nps*G1469,0))</f>
        <v/>
      </c>
      <c r="BG1470" s="14">
        <f>F1470*BF1470*IF(B1470&gt;=in_marketplace_from,d_hz_nps*G1470,0)*in_nps_ticket*in_nps_comm</f>
        <v/>
      </c>
      <c r="BH1470" s="40">
        <f>BH1469*(1-IF(B1469&gt;=in_marketplace_from,d_hz_gold*G1469,0))</f>
        <v/>
      </c>
      <c r="BI1470" s="40">
        <f>BI1469*d_rho_gold+BH1470*IF(B1470&gt;=in_marketplace_from,d_hz_gold*G1470,0)</f>
        <v/>
      </c>
      <c r="BJ1470" s="14">
        <f>F1470*BI1470*in_gold_ticket*in_gold_comm</f>
        <v/>
      </c>
      <c r="BK1470" s="40">
        <f>BK1469*(1-IF(B1469&gt;=in_marketplace_from,d_hz_fd*G1469,0))</f>
        <v/>
      </c>
      <c r="BL1470" s="14">
        <f>F1470*BK1470*IF(B1470&gt;=in_marketplace_from,d_hz_fd*G1470,0)*in_fd_ticket*in_fd_comm</f>
        <v/>
      </c>
      <c r="BM1470" s="40">
        <f>BM1469*(1-IF(B1469&gt;=in_marketplace_from,d_hz_recharge*G1469,0))</f>
        <v/>
      </c>
      <c r="BN1470" s="40">
        <f>BN1469*d_rho_recharge+BM1470*IF(B1470&gt;=in_marketplace_from,d_hz_recharge*G1470,0)</f>
        <v/>
      </c>
      <c r="BO1470" s="14">
        <f>F1470*BN1470*in_recharge_ticket*in_recharge_comm/12</f>
        <v/>
      </c>
      <c r="BP1470" s="40">
        <f>BP1469*(1-IF(B1469&gt;=in_marketplace_from,d_hz_bills*G1469,0))</f>
        <v/>
      </c>
      <c r="BQ1470" s="40">
        <f>BQ1469*d_rho_bills+BP1470*IF(B1470&gt;=in_marketplace_from,d_hz_bills*G1470,0)</f>
        <v/>
      </c>
      <c r="BR1470" s="14">
        <f>F1470*BQ1470*in_bills_ticket*in_bills_comm/12</f>
        <v/>
      </c>
      <c r="BS1470" s="40">
        <f>BS1469*(1-IF(B1469&gt;=in_marketplace_from,d_hz_loan_gold*G1469,0))</f>
        <v/>
      </c>
      <c r="BT1470" s="14">
        <f>F1470*BS1470*IF(B1470&gt;=in_marketplace_from,d_hz_loan_gold*G1470,0)*in_loan_gold_ticket*in_loan_gold_comm</f>
        <v/>
      </c>
      <c r="BU1470" s="40">
        <f>BU1469*(1-IF(B1469&gt;=in_marketplace_from,d_hz_loan_cd*G1469,0))</f>
        <v/>
      </c>
      <c r="BV1470" s="14">
        <f>F1470*BU1470*IF(B1470&gt;=in_marketplace_from,d_hz_loan_cd*G1470,0)*in_loan_cd_ticket*in_loan_cd_comm</f>
        <v/>
      </c>
      <c r="BW1470" s="40">
        <f>BW1469*(1-IF(B1469&gt;=in_marketplace_from,d_hz_loan_vehicle*G1469,0))</f>
        <v/>
      </c>
      <c r="BX1470" s="14">
        <f>F1470*BW1470*IF(B1470&gt;=in_marketplace_from,d_hz_loan_vehicle*G1470,0)*in_loan_vehicle_ticket*in_loan_vehicle_comm</f>
        <v/>
      </c>
      <c r="BY1470" s="40">
        <f>BY1469*(1-IF(B1469&gt;=in_marketplace_from,d_hz_loan_home*G1469,0)*BZ1469)</f>
        <v/>
      </c>
      <c r="BZ1470" s="11">
        <f>MIN(in_approval_cap,in_loan_home_approval*INDEX('Age profile'!$O$2:$O$61,B1470)*(1+in_approval_growth)^(D1470-1))</f>
        <v/>
      </c>
      <c r="CA1470" s="14">
        <f>F1470*BY1470*IF(B1470&gt;=in_marketplace_from,d_hz_loan_home*G1470,0)*BZ1470*in_loan_home_ticket*in_loan_home_comm</f>
        <v/>
      </c>
      <c r="CB1470" s="40">
        <f>CB1469*(1-IF(B1469&gt;=in_marketplace_from,d_hz_loan_lap*G1469,0)*CC1469)</f>
        <v/>
      </c>
      <c r="CC1470" s="11">
        <f>MIN(in_approval_cap,in_loan_lap_approval*INDEX('Age profile'!$O$2:$O$61,B1470)*(1+in_approval_growth)^(D1470-1))</f>
        <v/>
      </c>
      <c r="CD1470" s="14">
        <f>F1470*CB1470*IF(B1470&gt;=in_marketplace_from,d_hz_loan_lap*G1470,0)*CC1470*in_loan_lap_ticket*in_loan_lap_comm</f>
        <v/>
      </c>
      <c r="CE1470" s="14">
        <f>AA1470+AB1470+AC1470+AD1470+AG1470+AJ1470+AM1470+AP1470+AS1470+AU1470+AX1470+BB1470+BE1470+BG1470+BJ1470+BL1470+BO1470+BR1470+BT1470+BV1470+BX1470+CA1470+CD1470</f>
        <v/>
      </c>
    </row>
    <row r="1471">
      <c r="A1471" s="39" t="n">
        <v>34</v>
      </c>
      <c r="B1471" s="39" t="n">
        <v>18</v>
      </c>
      <c r="C1471" s="39">
        <f>A1471+B1471-1</f>
        <v/>
      </c>
      <c r="D1471" s="39">
        <f>INT((C1471-1)/12)+1</f>
        <v/>
      </c>
      <c r="E1471" s="44">
        <f>INDEX(Monthly!$B$2:$B$61,A1471)</f>
        <v/>
      </c>
      <c r="F1471" s="44">
        <f>E1471*INDEX('Age profile'!$B$2:$B$61,B1471)</f>
        <v/>
      </c>
      <c r="G1471" s="45">
        <f>MIN(in_takeup_cap,INDEX('Age profile'!$N$2:$N$61,B1471)*(1+in_takeup_growth)^(D1471-1))</f>
        <v/>
      </c>
      <c r="H1471" s="11">
        <f>MIN(in_approval_cap,in_approved_first*INDEX('Age profile'!$O$2:$O$61,B1471)*(1+in_approval_growth)^(D1471-1))</f>
        <v/>
      </c>
      <c r="I1471" s="45">
        <f>G1471*MIN(in_takeup_cap,INDEX('Age profile'!$O$2:$O$61,B1471)*(1+in_approval_growth)^(D1471-1))</f>
        <v/>
      </c>
      <c r="J1471" s="40">
        <f>(J1470-L1470)*F1471/F1470</f>
        <v/>
      </c>
      <c r="K1471" s="40">
        <f>(K1470-M1470)*F1471/F1470+SUMIFS(O1454:O1470,B1454:B1470,B1471-1-d_T)*F1471</f>
        <v/>
      </c>
      <c r="L1471" s="40">
        <f>IF(B1471&gt;=in_marketplace_from,J1471*d_hz*G1471*in_eligible*H1471,0)</f>
        <v/>
      </c>
      <c r="M1471" s="40">
        <f>IF(B1471&gt;=in_marketplace_from,K1471*d_hz*G1471*in_eligible*in_approved_repeat,0)</f>
        <v/>
      </c>
      <c r="N1471" s="40">
        <f>L1471+M1471</f>
        <v/>
      </c>
      <c r="O1471" s="46">
        <f>N1471/F1471</f>
        <v/>
      </c>
      <c r="P1471" s="40">
        <f>F1471-J1471-K1471</f>
        <v/>
      </c>
      <c r="Q1471" s="40">
        <f>IF(B1471&gt;=in_marketplace_from,(J1471+K1471)*d_hz*G1471,0)</f>
        <v/>
      </c>
      <c r="R1471" s="40">
        <f>SUMIFS(N1454:N1480,B1454:B1480,"&gt;="&amp;(B1471-d_T),B1454:B1480,"&lt;="&amp;(B1471-1))</f>
        <v/>
      </c>
      <c r="S1471" s="46">
        <f>(1-d_u)*S1470+IF(d_T&gt;in_topup_lag,SUMIFS(O1454:O1480,B1454:B1480,B1471-in_topup_lag)-d_udrop*SUMIFS(O1454:O1480,B1454:B1480,B1471-d_T),0)</f>
        <v/>
      </c>
      <c r="T1471" s="40">
        <f>F1471*d_u*S1471</f>
        <v/>
      </c>
      <c r="U1471" s="9">
        <f>L1471*in_ticket+M1471*d_rep_ticket</f>
        <v/>
      </c>
      <c r="V1471" s="9">
        <f>U1471+T1471*d_topup_amt</f>
        <v/>
      </c>
      <c r="W1471" s="40">
        <f>N1471+T1471*d_topup_ratio</f>
        <v/>
      </c>
      <c r="X1471" s="40">
        <f>SUMIFS(W1454:W1480,B1454:B1480,B1471-in_dpd_lag)*d_cured</f>
        <v/>
      </c>
      <c r="Y1471" s="40">
        <f>SUMIFS(W1454:W1480,B1454:B1480,B1471-in_rec_lag)*d_recd</f>
        <v/>
      </c>
      <c r="Z1471" s="40">
        <f>IF(AND(B1471&gt;=in_marketplace_from,B1471&lt;in_marketplace_from+in_card_months),in_card_share/in_card_months*F1471*I1471,IF(AND(B1471&gt;=in_marketplace_from+in_card_months,B1471&lt;in_marketplace_from+2*in_card_months),in_card_share*d_card_rem/in_card_months*F1471*MIN(in_takeup_cap,(1+in_takeup_growth)^(D1471-1))*MIN(in_takeup_cap,(1+in_approval_growth)^(D1471-1)),0))</f>
        <v/>
      </c>
      <c r="AA1471" s="14">
        <f>V1471*in_fee*(1-in_taken_back)</f>
        <v/>
      </c>
      <c r="AB1471" s="14">
        <f>SUMIFS(W1454:W1480,B1454:B1480,B1471-in_dpd_lag)*d_dpd</f>
        <v/>
      </c>
      <c r="AC1471" s="14">
        <f>SUMIFS(W1454:W1480,B1454:B1480,B1471-in_rec_lag)*d_rec</f>
        <v/>
      </c>
      <c r="AD1471" s="14">
        <f>Z1471*in_card_fee</f>
        <v/>
      </c>
      <c r="AE1471" s="40">
        <f>AE1470*(1-IF(B1470&gt;=in_marketplace_from,d_hz_hlth_small*G1470,0))</f>
        <v/>
      </c>
      <c r="AF1471" s="46">
        <f>AE1471*IF(B1471&gt;=in_marketplace_from,d_hz_hlth_small*G1471,0)</f>
        <v/>
      </c>
      <c r="AG1471" s="14">
        <f>F1471*AF1471*in_hlth_small_ticket*in_hlth_small_comm*in_ins_partner_share+F1471*in_hlth_small_ticket*in_hlth_small_renew_comm*in_ins_partner_share*(in_hlth_small_renew^1*SUMIFS(AF1454:AF1480,B1454:B1480,B1471-12)+in_hlth_small_renew^2*SUMIFS(AF1454:AF1480,B1454:B1480,B1471-24)+in_hlth_small_renew^3*SUMIFS(AF1454:AF1480,B1454:B1480,B1471-36)+in_hlth_small_renew^4*SUMIFS(AF1454:AF1480,B1454:B1480,B1471-48))</f>
        <v/>
      </c>
      <c r="AH1471" s="40">
        <f>AH1470*(1-IF(B1470&gt;=in_marketplace_from,d_hz_hlth_family*G1470,0))</f>
        <v/>
      </c>
      <c r="AI1471" s="46">
        <f>AH1471*IF(B1471&gt;=in_marketplace_from,d_hz_hlth_family*G1471,0)</f>
        <v/>
      </c>
      <c r="AJ1471" s="14">
        <f>F1471*AI1471*in_hlth_family_ticket*in_hlth_family_comm*in_ins_partner_share+F1471*in_hlth_family_ticket*in_hlth_family_renew_comm*in_ins_partner_share*(in_hlth_family_renew^1*SUMIFS(AI1454:AI1480,B1454:B1480,B1471-12)+in_hlth_family_renew^2*SUMIFS(AI1454:AI1480,B1454:B1480,B1471-24)+in_hlth_family_renew^3*SUMIFS(AI1454:AI1480,B1454:B1480,B1471-36)+in_hlth_family_renew^4*SUMIFS(AI1454:AI1480,B1454:B1480,B1471-48))</f>
        <v/>
      </c>
      <c r="AK1471" s="40">
        <f>AK1470*(1-IF(B1470&gt;=in_marketplace_from,d_hz_life_term*G1470,0))</f>
        <v/>
      </c>
      <c r="AL1471" s="46">
        <f>AK1471*IF(B1471&gt;=in_marketplace_from,d_hz_life_term*G1471,0)</f>
        <v/>
      </c>
      <c r="AM1471" s="14">
        <f>F1471*AL1471*in_life_term_ticket*in_life_term_comm*in_ins_partner_share+F1471*in_life_term_ticket*in_life_term_renew_comm*in_ins_partner_share*(in_life_term_renew^1*SUMIFS(AL1454:AL1480,B1454:B1480,B1471-12)+in_life_term_renew^2*SUMIFS(AL1454:AL1480,B1454:B1480,B1471-24)+in_life_term_renew^3*SUMIFS(AL1454:AL1480,B1454:B1480,B1471-36)+in_life_term_renew^4*SUMIFS(AL1454:AL1480,B1454:B1480,B1471-48))</f>
        <v/>
      </c>
      <c r="AN1471" s="40">
        <f>AN1470*(1-IF(B1470&gt;=in_marketplace_from,d_hz_accident*G1470,0))</f>
        <v/>
      </c>
      <c r="AO1471" s="46">
        <f>AN1471*IF(B1471&gt;=in_marketplace_from,d_hz_accident*G1471,0)</f>
        <v/>
      </c>
      <c r="AP1471" s="14">
        <f>F1471*AO1471*in_accident_ticket*in_accident_comm*in_ins_partner_share+F1471*in_accident_ticket*in_accident_renew_comm*in_ins_partner_share*(in_accident_renew^1*SUMIFS(AO1454:AO1480,B1454:B1480,B1471-12)+in_accident_renew^2*SUMIFS(AO1454:AO1480,B1454:B1480,B1471-24)+in_accident_renew^3*SUMIFS(AO1454:AO1480,B1454:B1480,B1471-36)+in_accident_renew^4*SUMIFS(AO1454:AO1480,B1454:B1480,B1471-48))</f>
        <v/>
      </c>
      <c r="AQ1471" s="40">
        <f>AQ1470*(1-IF(B1470&gt;=in_marketplace_from,d_hz_two_wheeler*G1470,0))</f>
        <v/>
      </c>
      <c r="AR1471" s="46">
        <f>AQ1471*IF(B1471&gt;=in_marketplace_from,d_hz_two_wheeler*G1471,0)</f>
        <v/>
      </c>
      <c r="AS1471" s="14">
        <f>F1471*AR1471*in_two_wheeler_ticket*in_two_wheeler_comm*in_ins_partner_share+F1471*in_two_wheeler_ticket*in_two_wheeler_comm*in_ins_partner_share*(in_two_wheeler_renew^1*SUMIFS(AR1454:AR1480,B1454:B1480,B1471-12)+in_two_wheeler_renew^2*SUMIFS(AR1454:AR1480,B1454:B1480,B1471-24)+in_two_wheeler_renew^3*SUMIFS(AR1454:AR1480,B1454:B1480,B1471-36)+in_two_wheeler_renew^4*SUMIFS(AR1454:AR1480,B1454:B1480,B1471-48))</f>
        <v/>
      </c>
      <c r="AT1471" s="40">
        <f>AT1470*(1-IF(B1470&gt;=in_marketplace_from,d_hz_device*G1470,0))</f>
        <v/>
      </c>
      <c r="AU1471" s="14">
        <f>F1471*AT1471*IF(B1471&gt;=in_marketplace_from,d_hz_device*G1471,0)*in_device_ticket*in_device_comm*in_ins_partner_share</f>
        <v/>
      </c>
      <c r="AV1471" s="40">
        <f>AV1470*(1-IF(B1470&gt;=in_marketplace_from,d_hz_shop*G1470,0))</f>
        <v/>
      </c>
      <c r="AW1471" s="46">
        <f>AV1471*IF(B1471&gt;=in_marketplace_from,d_hz_shop*G1471,0)</f>
        <v/>
      </c>
      <c r="AX1471" s="14">
        <f>F1471*AW1471*in_shop_ticket*in_shop_comm*in_ins_partner_share+F1471*in_shop_ticket*in_shop_renew_comm*in_ins_partner_share*(in_shop_renew^1*SUMIFS(AW1454:AW1480,B1454:B1480,B1471-12)+in_shop_renew^2*SUMIFS(AW1454:AW1480,B1454:B1480,B1471-24)+in_shop_renew^3*SUMIFS(AW1454:AW1480,B1454:B1480,B1471-36)+in_shop_renew^4*SUMIFS(AW1454:AW1480,B1454:B1480,B1471-48))</f>
        <v/>
      </c>
      <c r="AY1471" s="40">
        <f>AY1470*(1-IF(B1470&gt;=in_marketplace_from,d_hz_sip*G1470,0))</f>
        <v/>
      </c>
      <c r="AZ1471" s="40">
        <f>AZ1470*d_rho_sip+AY1471*IF(B1471&gt;=in_marketplace_from,d_hz_sip*G1471,0)</f>
        <v/>
      </c>
      <c r="BA1471" s="40">
        <f>d_rho_sip*(BA1470+AZ1470)</f>
        <v/>
      </c>
      <c r="BB1471" s="14">
        <f>F1471*in_sip_ticket*(BA1471+0.5*AZ1471)*in_sip_comm/12</f>
        <v/>
      </c>
      <c r="BC1471" s="40">
        <f>BC1470*(1-IF(B1470&gt;=in_marketplace_from,d_hz_choti*G1470,0))</f>
        <v/>
      </c>
      <c r="BD1471" s="46">
        <f>BC1471*IF(B1471&gt;=in_marketplace_from,d_hz_choti*G1471,0)</f>
        <v/>
      </c>
      <c r="BE1471" s="14">
        <f>F1471*SUMIFS(BD1454:BD1480,B1454:B1480,B1471-in_choti_months)*in_choti_renew*in_choti_ticket</f>
        <v/>
      </c>
      <c r="BF1471" s="40">
        <f>BF1470*(1-IF(B1470&gt;=in_marketplace_from,d_hz_nps*G1470,0))</f>
        <v/>
      </c>
      <c r="BG1471" s="14">
        <f>F1471*BF1471*IF(B1471&gt;=in_marketplace_from,d_hz_nps*G1471,0)*in_nps_ticket*in_nps_comm</f>
        <v/>
      </c>
      <c r="BH1471" s="40">
        <f>BH1470*(1-IF(B1470&gt;=in_marketplace_from,d_hz_gold*G1470,0))</f>
        <v/>
      </c>
      <c r="BI1471" s="40">
        <f>BI1470*d_rho_gold+BH1471*IF(B1471&gt;=in_marketplace_from,d_hz_gold*G1471,0)</f>
        <v/>
      </c>
      <c r="BJ1471" s="14">
        <f>F1471*BI1471*in_gold_ticket*in_gold_comm</f>
        <v/>
      </c>
      <c r="BK1471" s="40">
        <f>BK1470*(1-IF(B1470&gt;=in_marketplace_from,d_hz_fd*G1470,0))</f>
        <v/>
      </c>
      <c r="BL1471" s="14">
        <f>F1471*BK1471*IF(B1471&gt;=in_marketplace_from,d_hz_fd*G1471,0)*in_fd_ticket*in_fd_comm</f>
        <v/>
      </c>
      <c r="BM1471" s="40">
        <f>BM1470*(1-IF(B1470&gt;=in_marketplace_from,d_hz_recharge*G1470,0))</f>
        <v/>
      </c>
      <c r="BN1471" s="40">
        <f>BN1470*d_rho_recharge+BM1471*IF(B1471&gt;=in_marketplace_from,d_hz_recharge*G1471,0)</f>
        <v/>
      </c>
      <c r="BO1471" s="14">
        <f>F1471*BN1471*in_recharge_ticket*in_recharge_comm/12</f>
        <v/>
      </c>
      <c r="BP1471" s="40">
        <f>BP1470*(1-IF(B1470&gt;=in_marketplace_from,d_hz_bills*G1470,0))</f>
        <v/>
      </c>
      <c r="BQ1471" s="40">
        <f>BQ1470*d_rho_bills+BP1471*IF(B1471&gt;=in_marketplace_from,d_hz_bills*G1471,0)</f>
        <v/>
      </c>
      <c r="BR1471" s="14">
        <f>F1471*BQ1471*in_bills_ticket*in_bills_comm/12</f>
        <v/>
      </c>
      <c r="BS1471" s="40">
        <f>BS1470*(1-IF(B1470&gt;=in_marketplace_from,d_hz_loan_gold*G1470,0))</f>
        <v/>
      </c>
      <c r="BT1471" s="14">
        <f>F1471*BS1471*IF(B1471&gt;=in_marketplace_from,d_hz_loan_gold*G1471,0)*in_loan_gold_ticket*in_loan_gold_comm</f>
        <v/>
      </c>
      <c r="BU1471" s="40">
        <f>BU1470*(1-IF(B1470&gt;=in_marketplace_from,d_hz_loan_cd*G1470,0))</f>
        <v/>
      </c>
      <c r="BV1471" s="14">
        <f>F1471*BU1471*IF(B1471&gt;=in_marketplace_from,d_hz_loan_cd*G1471,0)*in_loan_cd_ticket*in_loan_cd_comm</f>
        <v/>
      </c>
      <c r="BW1471" s="40">
        <f>BW1470*(1-IF(B1470&gt;=in_marketplace_from,d_hz_loan_vehicle*G1470,0))</f>
        <v/>
      </c>
      <c r="BX1471" s="14">
        <f>F1471*BW1471*IF(B1471&gt;=in_marketplace_from,d_hz_loan_vehicle*G1471,0)*in_loan_vehicle_ticket*in_loan_vehicle_comm</f>
        <v/>
      </c>
      <c r="BY1471" s="40">
        <f>BY1470*(1-IF(B1470&gt;=in_marketplace_from,d_hz_loan_home*G1470,0)*BZ1470)</f>
        <v/>
      </c>
      <c r="BZ1471" s="11">
        <f>MIN(in_approval_cap,in_loan_home_approval*INDEX('Age profile'!$O$2:$O$61,B1471)*(1+in_approval_growth)^(D1471-1))</f>
        <v/>
      </c>
      <c r="CA1471" s="14">
        <f>F1471*BY1471*IF(B1471&gt;=in_marketplace_from,d_hz_loan_home*G1471,0)*BZ1471*in_loan_home_ticket*in_loan_home_comm</f>
        <v/>
      </c>
      <c r="CB1471" s="40">
        <f>CB1470*(1-IF(B1470&gt;=in_marketplace_from,d_hz_loan_lap*G1470,0)*CC1470)</f>
        <v/>
      </c>
      <c r="CC1471" s="11">
        <f>MIN(in_approval_cap,in_loan_lap_approval*INDEX('Age profile'!$O$2:$O$61,B1471)*(1+in_approval_growth)^(D1471-1))</f>
        <v/>
      </c>
      <c r="CD1471" s="14">
        <f>F1471*CB1471*IF(B1471&gt;=in_marketplace_from,d_hz_loan_lap*G1471,0)*CC1471*in_loan_lap_ticket*in_loan_lap_comm</f>
        <v/>
      </c>
      <c r="CE1471" s="14">
        <f>AA1471+AB1471+AC1471+AD1471+AG1471+AJ1471+AM1471+AP1471+AS1471+AU1471+AX1471+BB1471+BE1471+BG1471+BJ1471+BL1471+BO1471+BR1471+BT1471+BV1471+BX1471+CA1471+CD1471</f>
        <v/>
      </c>
    </row>
    <row r="1472">
      <c r="A1472" s="39" t="n">
        <v>34</v>
      </c>
      <c r="B1472" s="39" t="n">
        <v>19</v>
      </c>
      <c r="C1472" s="39">
        <f>A1472+B1472-1</f>
        <v/>
      </c>
      <c r="D1472" s="39">
        <f>INT((C1472-1)/12)+1</f>
        <v/>
      </c>
      <c r="E1472" s="44">
        <f>INDEX(Monthly!$B$2:$B$61,A1472)</f>
        <v/>
      </c>
      <c r="F1472" s="44">
        <f>E1472*INDEX('Age profile'!$B$2:$B$61,B1472)</f>
        <v/>
      </c>
      <c r="G1472" s="45">
        <f>MIN(in_takeup_cap,INDEX('Age profile'!$N$2:$N$61,B1472)*(1+in_takeup_growth)^(D1472-1))</f>
        <v/>
      </c>
      <c r="H1472" s="11">
        <f>MIN(in_approval_cap,in_approved_first*INDEX('Age profile'!$O$2:$O$61,B1472)*(1+in_approval_growth)^(D1472-1))</f>
        <v/>
      </c>
      <c r="I1472" s="45">
        <f>G1472*MIN(in_takeup_cap,INDEX('Age profile'!$O$2:$O$61,B1472)*(1+in_approval_growth)^(D1472-1))</f>
        <v/>
      </c>
      <c r="J1472" s="40">
        <f>(J1471-L1471)*F1472/F1471</f>
        <v/>
      </c>
      <c r="K1472" s="40">
        <f>(K1471-M1471)*F1472/F1471+SUMIFS(O1454:O1471,B1454:B1471,B1472-1-d_T)*F1472</f>
        <v/>
      </c>
      <c r="L1472" s="40">
        <f>IF(B1472&gt;=in_marketplace_from,J1472*d_hz*G1472*in_eligible*H1472,0)</f>
        <v/>
      </c>
      <c r="M1472" s="40">
        <f>IF(B1472&gt;=in_marketplace_from,K1472*d_hz*G1472*in_eligible*in_approved_repeat,0)</f>
        <v/>
      </c>
      <c r="N1472" s="40">
        <f>L1472+M1472</f>
        <v/>
      </c>
      <c r="O1472" s="46">
        <f>N1472/F1472</f>
        <v/>
      </c>
      <c r="P1472" s="40">
        <f>F1472-J1472-K1472</f>
        <v/>
      </c>
      <c r="Q1472" s="40">
        <f>IF(B1472&gt;=in_marketplace_from,(J1472+K1472)*d_hz*G1472,0)</f>
        <v/>
      </c>
      <c r="R1472" s="40">
        <f>SUMIFS(N1454:N1480,B1454:B1480,"&gt;="&amp;(B1472-d_T),B1454:B1480,"&lt;="&amp;(B1472-1))</f>
        <v/>
      </c>
      <c r="S1472" s="46">
        <f>(1-d_u)*S1471+IF(d_T&gt;in_topup_lag,SUMIFS(O1454:O1480,B1454:B1480,B1472-in_topup_lag)-d_udrop*SUMIFS(O1454:O1480,B1454:B1480,B1472-d_T),0)</f>
        <v/>
      </c>
      <c r="T1472" s="40">
        <f>F1472*d_u*S1472</f>
        <v/>
      </c>
      <c r="U1472" s="9">
        <f>L1472*in_ticket+M1472*d_rep_ticket</f>
        <v/>
      </c>
      <c r="V1472" s="9">
        <f>U1472+T1472*d_topup_amt</f>
        <v/>
      </c>
      <c r="W1472" s="40">
        <f>N1472+T1472*d_topup_ratio</f>
        <v/>
      </c>
      <c r="X1472" s="40">
        <f>SUMIFS(W1454:W1480,B1454:B1480,B1472-in_dpd_lag)*d_cured</f>
        <v/>
      </c>
      <c r="Y1472" s="40">
        <f>SUMIFS(W1454:W1480,B1454:B1480,B1472-in_rec_lag)*d_recd</f>
        <v/>
      </c>
      <c r="Z1472" s="40">
        <f>IF(AND(B1472&gt;=in_marketplace_from,B1472&lt;in_marketplace_from+in_card_months),in_card_share/in_card_months*F1472*I1472,IF(AND(B1472&gt;=in_marketplace_from+in_card_months,B1472&lt;in_marketplace_from+2*in_card_months),in_card_share*d_card_rem/in_card_months*F1472*MIN(in_takeup_cap,(1+in_takeup_growth)^(D1472-1))*MIN(in_takeup_cap,(1+in_approval_growth)^(D1472-1)),0))</f>
        <v/>
      </c>
      <c r="AA1472" s="14">
        <f>V1472*in_fee*(1-in_taken_back)</f>
        <v/>
      </c>
      <c r="AB1472" s="14">
        <f>SUMIFS(W1454:W1480,B1454:B1480,B1472-in_dpd_lag)*d_dpd</f>
        <v/>
      </c>
      <c r="AC1472" s="14">
        <f>SUMIFS(W1454:W1480,B1454:B1480,B1472-in_rec_lag)*d_rec</f>
        <v/>
      </c>
      <c r="AD1472" s="14">
        <f>Z1472*in_card_fee</f>
        <v/>
      </c>
      <c r="AE1472" s="40">
        <f>AE1471*(1-IF(B1471&gt;=in_marketplace_from,d_hz_hlth_small*G1471,0))</f>
        <v/>
      </c>
      <c r="AF1472" s="46">
        <f>AE1472*IF(B1472&gt;=in_marketplace_from,d_hz_hlth_small*G1472,0)</f>
        <v/>
      </c>
      <c r="AG1472" s="14">
        <f>F1472*AF1472*in_hlth_small_ticket*in_hlth_small_comm*in_ins_partner_share+F1472*in_hlth_small_ticket*in_hlth_small_renew_comm*in_ins_partner_share*(in_hlth_small_renew^1*SUMIFS(AF1454:AF1480,B1454:B1480,B1472-12)+in_hlth_small_renew^2*SUMIFS(AF1454:AF1480,B1454:B1480,B1472-24)+in_hlth_small_renew^3*SUMIFS(AF1454:AF1480,B1454:B1480,B1472-36)+in_hlth_small_renew^4*SUMIFS(AF1454:AF1480,B1454:B1480,B1472-48))</f>
        <v/>
      </c>
      <c r="AH1472" s="40">
        <f>AH1471*(1-IF(B1471&gt;=in_marketplace_from,d_hz_hlth_family*G1471,0))</f>
        <v/>
      </c>
      <c r="AI1472" s="46">
        <f>AH1472*IF(B1472&gt;=in_marketplace_from,d_hz_hlth_family*G1472,0)</f>
        <v/>
      </c>
      <c r="AJ1472" s="14">
        <f>F1472*AI1472*in_hlth_family_ticket*in_hlth_family_comm*in_ins_partner_share+F1472*in_hlth_family_ticket*in_hlth_family_renew_comm*in_ins_partner_share*(in_hlth_family_renew^1*SUMIFS(AI1454:AI1480,B1454:B1480,B1472-12)+in_hlth_family_renew^2*SUMIFS(AI1454:AI1480,B1454:B1480,B1472-24)+in_hlth_family_renew^3*SUMIFS(AI1454:AI1480,B1454:B1480,B1472-36)+in_hlth_family_renew^4*SUMIFS(AI1454:AI1480,B1454:B1480,B1472-48))</f>
        <v/>
      </c>
      <c r="AK1472" s="40">
        <f>AK1471*(1-IF(B1471&gt;=in_marketplace_from,d_hz_life_term*G1471,0))</f>
        <v/>
      </c>
      <c r="AL1472" s="46">
        <f>AK1472*IF(B1472&gt;=in_marketplace_from,d_hz_life_term*G1472,0)</f>
        <v/>
      </c>
      <c r="AM1472" s="14">
        <f>F1472*AL1472*in_life_term_ticket*in_life_term_comm*in_ins_partner_share+F1472*in_life_term_ticket*in_life_term_renew_comm*in_ins_partner_share*(in_life_term_renew^1*SUMIFS(AL1454:AL1480,B1454:B1480,B1472-12)+in_life_term_renew^2*SUMIFS(AL1454:AL1480,B1454:B1480,B1472-24)+in_life_term_renew^3*SUMIFS(AL1454:AL1480,B1454:B1480,B1472-36)+in_life_term_renew^4*SUMIFS(AL1454:AL1480,B1454:B1480,B1472-48))</f>
        <v/>
      </c>
      <c r="AN1472" s="40">
        <f>AN1471*(1-IF(B1471&gt;=in_marketplace_from,d_hz_accident*G1471,0))</f>
        <v/>
      </c>
      <c r="AO1472" s="46">
        <f>AN1472*IF(B1472&gt;=in_marketplace_from,d_hz_accident*G1472,0)</f>
        <v/>
      </c>
      <c r="AP1472" s="14">
        <f>F1472*AO1472*in_accident_ticket*in_accident_comm*in_ins_partner_share+F1472*in_accident_ticket*in_accident_renew_comm*in_ins_partner_share*(in_accident_renew^1*SUMIFS(AO1454:AO1480,B1454:B1480,B1472-12)+in_accident_renew^2*SUMIFS(AO1454:AO1480,B1454:B1480,B1472-24)+in_accident_renew^3*SUMIFS(AO1454:AO1480,B1454:B1480,B1472-36)+in_accident_renew^4*SUMIFS(AO1454:AO1480,B1454:B1480,B1472-48))</f>
        <v/>
      </c>
      <c r="AQ1472" s="40">
        <f>AQ1471*(1-IF(B1471&gt;=in_marketplace_from,d_hz_two_wheeler*G1471,0))</f>
        <v/>
      </c>
      <c r="AR1472" s="46">
        <f>AQ1472*IF(B1472&gt;=in_marketplace_from,d_hz_two_wheeler*G1472,0)</f>
        <v/>
      </c>
      <c r="AS1472" s="14">
        <f>F1472*AR1472*in_two_wheeler_ticket*in_two_wheeler_comm*in_ins_partner_share+F1472*in_two_wheeler_ticket*in_two_wheeler_comm*in_ins_partner_share*(in_two_wheeler_renew^1*SUMIFS(AR1454:AR1480,B1454:B1480,B1472-12)+in_two_wheeler_renew^2*SUMIFS(AR1454:AR1480,B1454:B1480,B1472-24)+in_two_wheeler_renew^3*SUMIFS(AR1454:AR1480,B1454:B1480,B1472-36)+in_two_wheeler_renew^4*SUMIFS(AR1454:AR1480,B1454:B1480,B1472-48))</f>
        <v/>
      </c>
      <c r="AT1472" s="40">
        <f>AT1471*(1-IF(B1471&gt;=in_marketplace_from,d_hz_device*G1471,0))</f>
        <v/>
      </c>
      <c r="AU1472" s="14">
        <f>F1472*AT1472*IF(B1472&gt;=in_marketplace_from,d_hz_device*G1472,0)*in_device_ticket*in_device_comm*in_ins_partner_share</f>
        <v/>
      </c>
      <c r="AV1472" s="40">
        <f>AV1471*(1-IF(B1471&gt;=in_marketplace_from,d_hz_shop*G1471,0))</f>
        <v/>
      </c>
      <c r="AW1472" s="46">
        <f>AV1472*IF(B1472&gt;=in_marketplace_from,d_hz_shop*G1472,0)</f>
        <v/>
      </c>
      <c r="AX1472" s="14">
        <f>F1472*AW1472*in_shop_ticket*in_shop_comm*in_ins_partner_share+F1472*in_shop_ticket*in_shop_renew_comm*in_ins_partner_share*(in_shop_renew^1*SUMIFS(AW1454:AW1480,B1454:B1480,B1472-12)+in_shop_renew^2*SUMIFS(AW1454:AW1480,B1454:B1480,B1472-24)+in_shop_renew^3*SUMIFS(AW1454:AW1480,B1454:B1480,B1472-36)+in_shop_renew^4*SUMIFS(AW1454:AW1480,B1454:B1480,B1472-48))</f>
        <v/>
      </c>
      <c r="AY1472" s="40">
        <f>AY1471*(1-IF(B1471&gt;=in_marketplace_from,d_hz_sip*G1471,0))</f>
        <v/>
      </c>
      <c r="AZ1472" s="40">
        <f>AZ1471*d_rho_sip+AY1472*IF(B1472&gt;=in_marketplace_from,d_hz_sip*G1472,0)</f>
        <v/>
      </c>
      <c r="BA1472" s="40">
        <f>d_rho_sip*(BA1471+AZ1471)</f>
        <v/>
      </c>
      <c r="BB1472" s="14">
        <f>F1472*in_sip_ticket*(BA1472+0.5*AZ1472)*in_sip_comm/12</f>
        <v/>
      </c>
      <c r="BC1472" s="40">
        <f>BC1471*(1-IF(B1471&gt;=in_marketplace_from,d_hz_choti*G1471,0))</f>
        <v/>
      </c>
      <c r="BD1472" s="46">
        <f>BC1472*IF(B1472&gt;=in_marketplace_from,d_hz_choti*G1472,0)</f>
        <v/>
      </c>
      <c r="BE1472" s="14">
        <f>F1472*SUMIFS(BD1454:BD1480,B1454:B1480,B1472-in_choti_months)*in_choti_renew*in_choti_ticket</f>
        <v/>
      </c>
      <c r="BF1472" s="40">
        <f>BF1471*(1-IF(B1471&gt;=in_marketplace_from,d_hz_nps*G1471,0))</f>
        <v/>
      </c>
      <c r="BG1472" s="14">
        <f>F1472*BF1472*IF(B1472&gt;=in_marketplace_from,d_hz_nps*G1472,0)*in_nps_ticket*in_nps_comm</f>
        <v/>
      </c>
      <c r="BH1472" s="40">
        <f>BH1471*(1-IF(B1471&gt;=in_marketplace_from,d_hz_gold*G1471,0))</f>
        <v/>
      </c>
      <c r="BI1472" s="40">
        <f>BI1471*d_rho_gold+BH1472*IF(B1472&gt;=in_marketplace_from,d_hz_gold*G1472,0)</f>
        <v/>
      </c>
      <c r="BJ1472" s="14">
        <f>F1472*BI1472*in_gold_ticket*in_gold_comm</f>
        <v/>
      </c>
      <c r="BK1472" s="40">
        <f>BK1471*(1-IF(B1471&gt;=in_marketplace_from,d_hz_fd*G1471,0))</f>
        <v/>
      </c>
      <c r="BL1472" s="14">
        <f>F1472*BK1472*IF(B1472&gt;=in_marketplace_from,d_hz_fd*G1472,0)*in_fd_ticket*in_fd_comm</f>
        <v/>
      </c>
      <c r="BM1472" s="40">
        <f>BM1471*(1-IF(B1471&gt;=in_marketplace_from,d_hz_recharge*G1471,0))</f>
        <v/>
      </c>
      <c r="BN1472" s="40">
        <f>BN1471*d_rho_recharge+BM1472*IF(B1472&gt;=in_marketplace_from,d_hz_recharge*G1472,0)</f>
        <v/>
      </c>
      <c r="BO1472" s="14">
        <f>F1472*BN1472*in_recharge_ticket*in_recharge_comm/12</f>
        <v/>
      </c>
      <c r="BP1472" s="40">
        <f>BP1471*(1-IF(B1471&gt;=in_marketplace_from,d_hz_bills*G1471,0))</f>
        <v/>
      </c>
      <c r="BQ1472" s="40">
        <f>BQ1471*d_rho_bills+BP1472*IF(B1472&gt;=in_marketplace_from,d_hz_bills*G1472,0)</f>
        <v/>
      </c>
      <c r="BR1472" s="14">
        <f>F1472*BQ1472*in_bills_ticket*in_bills_comm/12</f>
        <v/>
      </c>
      <c r="BS1472" s="40">
        <f>BS1471*(1-IF(B1471&gt;=in_marketplace_from,d_hz_loan_gold*G1471,0))</f>
        <v/>
      </c>
      <c r="BT1472" s="14">
        <f>F1472*BS1472*IF(B1472&gt;=in_marketplace_from,d_hz_loan_gold*G1472,0)*in_loan_gold_ticket*in_loan_gold_comm</f>
        <v/>
      </c>
      <c r="BU1472" s="40">
        <f>BU1471*(1-IF(B1471&gt;=in_marketplace_from,d_hz_loan_cd*G1471,0))</f>
        <v/>
      </c>
      <c r="BV1472" s="14">
        <f>F1472*BU1472*IF(B1472&gt;=in_marketplace_from,d_hz_loan_cd*G1472,0)*in_loan_cd_ticket*in_loan_cd_comm</f>
        <v/>
      </c>
      <c r="BW1472" s="40">
        <f>BW1471*(1-IF(B1471&gt;=in_marketplace_from,d_hz_loan_vehicle*G1471,0))</f>
        <v/>
      </c>
      <c r="BX1472" s="14">
        <f>F1472*BW1472*IF(B1472&gt;=in_marketplace_from,d_hz_loan_vehicle*G1472,0)*in_loan_vehicle_ticket*in_loan_vehicle_comm</f>
        <v/>
      </c>
      <c r="BY1472" s="40">
        <f>BY1471*(1-IF(B1471&gt;=in_marketplace_from,d_hz_loan_home*G1471,0)*BZ1471)</f>
        <v/>
      </c>
      <c r="BZ1472" s="11">
        <f>MIN(in_approval_cap,in_loan_home_approval*INDEX('Age profile'!$O$2:$O$61,B1472)*(1+in_approval_growth)^(D1472-1))</f>
        <v/>
      </c>
      <c r="CA1472" s="14">
        <f>F1472*BY1472*IF(B1472&gt;=in_marketplace_from,d_hz_loan_home*G1472,0)*BZ1472*in_loan_home_ticket*in_loan_home_comm</f>
        <v/>
      </c>
      <c r="CB1472" s="40">
        <f>CB1471*(1-IF(B1471&gt;=in_marketplace_from,d_hz_loan_lap*G1471,0)*CC1471)</f>
        <v/>
      </c>
      <c r="CC1472" s="11">
        <f>MIN(in_approval_cap,in_loan_lap_approval*INDEX('Age profile'!$O$2:$O$61,B1472)*(1+in_approval_growth)^(D1472-1))</f>
        <v/>
      </c>
      <c r="CD1472" s="14">
        <f>F1472*CB1472*IF(B1472&gt;=in_marketplace_from,d_hz_loan_lap*G1472,0)*CC1472*in_loan_lap_ticket*in_loan_lap_comm</f>
        <v/>
      </c>
      <c r="CE1472" s="14">
        <f>AA1472+AB1472+AC1472+AD1472+AG1472+AJ1472+AM1472+AP1472+AS1472+AU1472+AX1472+BB1472+BE1472+BG1472+BJ1472+BL1472+BO1472+BR1472+BT1472+BV1472+BX1472+CA1472+CD1472</f>
        <v/>
      </c>
    </row>
    <row r="1473">
      <c r="A1473" s="39" t="n">
        <v>34</v>
      </c>
      <c r="B1473" s="39" t="n">
        <v>20</v>
      </c>
      <c r="C1473" s="39">
        <f>A1473+B1473-1</f>
        <v/>
      </c>
      <c r="D1473" s="39">
        <f>INT((C1473-1)/12)+1</f>
        <v/>
      </c>
      <c r="E1473" s="44">
        <f>INDEX(Monthly!$B$2:$B$61,A1473)</f>
        <v/>
      </c>
      <c r="F1473" s="44">
        <f>E1473*INDEX('Age profile'!$B$2:$B$61,B1473)</f>
        <v/>
      </c>
      <c r="G1473" s="45">
        <f>MIN(in_takeup_cap,INDEX('Age profile'!$N$2:$N$61,B1473)*(1+in_takeup_growth)^(D1473-1))</f>
        <v/>
      </c>
      <c r="H1473" s="11">
        <f>MIN(in_approval_cap,in_approved_first*INDEX('Age profile'!$O$2:$O$61,B1473)*(1+in_approval_growth)^(D1473-1))</f>
        <v/>
      </c>
      <c r="I1473" s="45">
        <f>G1473*MIN(in_takeup_cap,INDEX('Age profile'!$O$2:$O$61,B1473)*(1+in_approval_growth)^(D1473-1))</f>
        <v/>
      </c>
      <c r="J1473" s="40">
        <f>(J1472-L1472)*F1473/F1472</f>
        <v/>
      </c>
      <c r="K1473" s="40">
        <f>(K1472-M1472)*F1473/F1472+SUMIFS(O1454:O1472,B1454:B1472,B1473-1-d_T)*F1473</f>
        <v/>
      </c>
      <c r="L1473" s="40">
        <f>IF(B1473&gt;=in_marketplace_from,J1473*d_hz*G1473*in_eligible*H1473,0)</f>
        <v/>
      </c>
      <c r="M1473" s="40">
        <f>IF(B1473&gt;=in_marketplace_from,K1473*d_hz*G1473*in_eligible*in_approved_repeat,0)</f>
        <v/>
      </c>
      <c r="N1473" s="40">
        <f>L1473+M1473</f>
        <v/>
      </c>
      <c r="O1473" s="46">
        <f>N1473/F1473</f>
        <v/>
      </c>
      <c r="P1473" s="40">
        <f>F1473-J1473-K1473</f>
        <v/>
      </c>
      <c r="Q1473" s="40">
        <f>IF(B1473&gt;=in_marketplace_from,(J1473+K1473)*d_hz*G1473,0)</f>
        <v/>
      </c>
      <c r="R1473" s="40">
        <f>SUMIFS(N1454:N1480,B1454:B1480,"&gt;="&amp;(B1473-d_T),B1454:B1480,"&lt;="&amp;(B1473-1))</f>
        <v/>
      </c>
      <c r="S1473" s="46">
        <f>(1-d_u)*S1472+IF(d_T&gt;in_topup_lag,SUMIFS(O1454:O1480,B1454:B1480,B1473-in_topup_lag)-d_udrop*SUMIFS(O1454:O1480,B1454:B1480,B1473-d_T),0)</f>
        <v/>
      </c>
      <c r="T1473" s="40">
        <f>F1473*d_u*S1473</f>
        <v/>
      </c>
      <c r="U1473" s="9">
        <f>L1473*in_ticket+M1473*d_rep_ticket</f>
        <v/>
      </c>
      <c r="V1473" s="9">
        <f>U1473+T1473*d_topup_amt</f>
        <v/>
      </c>
      <c r="W1473" s="40">
        <f>N1473+T1473*d_topup_ratio</f>
        <v/>
      </c>
      <c r="X1473" s="40">
        <f>SUMIFS(W1454:W1480,B1454:B1480,B1473-in_dpd_lag)*d_cured</f>
        <v/>
      </c>
      <c r="Y1473" s="40">
        <f>SUMIFS(W1454:W1480,B1454:B1480,B1473-in_rec_lag)*d_recd</f>
        <v/>
      </c>
      <c r="Z1473" s="40">
        <f>IF(AND(B1473&gt;=in_marketplace_from,B1473&lt;in_marketplace_from+in_card_months),in_card_share/in_card_months*F1473*I1473,IF(AND(B1473&gt;=in_marketplace_from+in_card_months,B1473&lt;in_marketplace_from+2*in_card_months),in_card_share*d_card_rem/in_card_months*F1473*MIN(in_takeup_cap,(1+in_takeup_growth)^(D1473-1))*MIN(in_takeup_cap,(1+in_approval_growth)^(D1473-1)),0))</f>
        <v/>
      </c>
      <c r="AA1473" s="14">
        <f>V1473*in_fee*(1-in_taken_back)</f>
        <v/>
      </c>
      <c r="AB1473" s="14">
        <f>SUMIFS(W1454:W1480,B1454:B1480,B1473-in_dpd_lag)*d_dpd</f>
        <v/>
      </c>
      <c r="AC1473" s="14">
        <f>SUMIFS(W1454:W1480,B1454:B1480,B1473-in_rec_lag)*d_rec</f>
        <v/>
      </c>
      <c r="AD1473" s="14">
        <f>Z1473*in_card_fee</f>
        <v/>
      </c>
      <c r="AE1473" s="40">
        <f>AE1472*(1-IF(B1472&gt;=in_marketplace_from,d_hz_hlth_small*G1472,0))</f>
        <v/>
      </c>
      <c r="AF1473" s="46">
        <f>AE1473*IF(B1473&gt;=in_marketplace_from,d_hz_hlth_small*G1473,0)</f>
        <v/>
      </c>
      <c r="AG1473" s="14">
        <f>F1473*AF1473*in_hlth_small_ticket*in_hlth_small_comm*in_ins_partner_share+F1473*in_hlth_small_ticket*in_hlth_small_renew_comm*in_ins_partner_share*(in_hlth_small_renew^1*SUMIFS(AF1454:AF1480,B1454:B1480,B1473-12)+in_hlth_small_renew^2*SUMIFS(AF1454:AF1480,B1454:B1480,B1473-24)+in_hlth_small_renew^3*SUMIFS(AF1454:AF1480,B1454:B1480,B1473-36)+in_hlth_small_renew^4*SUMIFS(AF1454:AF1480,B1454:B1480,B1473-48))</f>
        <v/>
      </c>
      <c r="AH1473" s="40">
        <f>AH1472*(1-IF(B1472&gt;=in_marketplace_from,d_hz_hlth_family*G1472,0))</f>
        <v/>
      </c>
      <c r="AI1473" s="46">
        <f>AH1473*IF(B1473&gt;=in_marketplace_from,d_hz_hlth_family*G1473,0)</f>
        <v/>
      </c>
      <c r="AJ1473" s="14">
        <f>F1473*AI1473*in_hlth_family_ticket*in_hlth_family_comm*in_ins_partner_share+F1473*in_hlth_family_ticket*in_hlth_family_renew_comm*in_ins_partner_share*(in_hlth_family_renew^1*SUMIFS(AI1454:AI1480,B1454:B1480,B1473-12)+in_hlth_family_renew^2*SUMIFS(AI1454:AI1480,B1454:B1480,B1473-24)+in_hlth_family_renew^3*SUMIFS(AI1454:AI1480,B1454:B1480,B1473-36)+in_hlth_family_renew^4*SUMIFS(AI1454:AI1480,B1454:B1480,B1473-48))</f>
        <v/>
      </c>
      <c r="AK1473" s="40">
        <f>AK1472*(1-IF(B1472&gt;=in_marketplace_from,d_hz_life_term*G1472,0))</f>
        <v/>
      </c>
      <c r="AL1473" s="46">
        <f>AK1473*IF(B1473&gt;=in_marketplace_from,d_hz_life_term*G1473,0)</f>
        <v/>
      </c>
      <c r="AM1473" s="14">
        <f>F1473*AL1473*in_life_term_ticket*in_life_term_comm*in_ins_partner_share+F1473*in_life_term_ticket*in_life_term_renew_comm*in_ins_partner_share*(in_life_term_renew^1*SUMIFS(AL1454:AL1480,B1454:B1480,B1473-12)+in_life_term_renew^2*SUMIFS(AL1454:AL1480,B1454:B1480,B1473-24)+in_life_term_renew^3*SUMIFS(AL1454:AL1480,B1454:B1480,B1473-36)+in_life_term_renew^4*SUMIFS(AL1454:AL1480,B1454:B1480,B1473-48))</f>
        <v/>
      </c>
      <c r="AN1473" s="40">
        <f>AN1472*(1-IF(B1472&gt;=in_marketplace_from,d_hz_accident*G1472,0))</f>
        <v/>
      </c>
      <c r="AO1473" s="46">
        <f>AN1473*IF(B1473&gt;=in_marketplace_from,d_hz_accident*G1473,0)</f>
        <v/>
      </c>
      <c r="AP1473" s="14">
        <f>F1473*AO1473*in_accident_ticket*in_accident_comm*in_ins_partner_share+F1473*in_accident_ticket*in_accident_renew_comm*in_ins_partner_share*(in_accident_renew^1*SUMIFS(AO1454:AO1480,B1454:B1480,B1473-12)+in_accident_renew^2*SUMIFS(AO1454:AO1480,B1454:B1480,B1473-24)+in_accident_renew^3*SUMIFS(AO1454:AO1480,B1454:B1480,B1473-36)+in_accident_renew^4*SUMIFS(AO1454:AO1480,B1454:B1480,B1473-48))</f>
        <v/>
      </c>
      <c r="AQ1473" s="40">
        <f>AQ1472*(1-IF(B1472&gt;=in_marketplace_from,d_hz_two_wheeler*G1472,0))</f>
        <v/>
      </c>
      <c r="AR1473" s="46">
        <f>AQ1473*IF(B1473&gt;=in_marketplace_from,d_hz_two_wheeler*G1473,0)</f>
        <v/>
      </c>
      <c r="AS1473" s="14">
        <f>F1473*AR1473*in_two_wheeler_ticket*in_two_wheeler_comm*in_ins_partner_share+F1473*in_two_wheeler_ticket*in_two_wheeler_comm*in_ins_partner_share*(in_two_wheeler_renew^1*SUMIFS(AR1454:AR1480,B1454:B1480,B1473-12)+in_two_wheeler_renew^2*SUMIFS(AR1454:AR1480,B1454:B1480,B1473-24)+in_two_wheeler_renew^3*SUMIFS(AR1454:AR1480,B1454:B1480,B1473-36)+in_two_wheeler_renew^4*SUMIFS(AR1454:AR1480,B1454:B1480,B1473-48))</f>
        <v/>
      </c>
      <c r="AT1473" s="40">
        <f>AT1472*(1-IF(B1472&gt;=in_marketplace_from,d_hz_device*G1472,0))</f>
        <v/>
      </c>
      <c r="AU1473" s="14">
        <f>F1473*AT1473*IF(B1473&gt;=in_marketplace_from,d_hz_device*G1473,0)*in_device_ticket*in_device_comm*in_ins_partner_share</f>
        <v/>
      </c>
      <c r="AV1473" s="40">
        <f>AV1472*(1-IF(B1472&gt;=in_marketplace_from,d_hz_shop*G1472,0))</f>
        <v/>
      </c>
      <c r="AW1473" s="46">
        <f>AV1473*IF(B1473&gt;=in_marketplace_from,d_hz_shop*G1473,0)</f>
        <v/>
      </c>
      <c r="AX1473" s="14">
        <f>F1473*AW1473*in_shop_ticket*in_shop_comm*in_ins_partner_share+F1473*in_shop_ticket*in_shop_renew_comm*in_ins_partner_share*(in_shop_renew^1*SUMIFS(AW1454:AW1480,B1454:B1480,B1473-12)+in_shop_renew^2*SUMIFS(AW1454:AW1480,B1454:B1480,B1473-24)+in_shop_renew^3*SUMIFS(AW1454:AW1480,B1454:B1480,B1473-36)+in_shop_renew^4*SUMIFS(AW1454:AW1480,B1454:B1480,B1473-48))</f>
        <v/>
      </c>
      <c r="AY1473" s="40">
        <f>AY1472*(1-IF(B1472&gt;=in_marketplace_from,d_hz_sip*G1472,0))</f>
        <v/>
      </c>
      <c r="AZ1473" s="40">
        <f>AZ1472*d_rho_sip+AY1473*IF(B1473&gt;=in_marketplace_from,d_hz_sip*G1473,0)</f>
        <v/>
      </c>
      <c r="BA1473" s="40">
        <f>d_rho_sip*(BA1472+AZ1472)</f>
        <v/>
      </c>
      <c r="BB1473" s="14">
        <f>F1473*in_sip_ticket*(BA1473+0.5*AZ1473)*in_sip_comm/12</f>
        <v/>
      </c>
      <c r="BC1473" s="40">
        <f>BC1472*(1-IF(B1472&gt;=in_marketplace_from,d_hz_choti*G1472,0))</f>
        <v/>
      </c>
      <c r="BD1473" s="46">
        <f>BC1473*IF(B1473&gt;=in_marketplace_from,d_hz_choti*G1473,0)</f>
        <v/>
      </c>
      <c r="BE1473" s="14">
        <f>F1473*SUMIFS(BD1454:BD1480,B1454:B1480,B1473-in_choti_months)*in_choti_renew*in_choti_ticket</f>
        <v/>
      </c>
      <c r="BF1473" s="40">
        <f>BF1472*(1-IF(B1472&gt;=in_marketplace_from,d_hz_nps*G1472,0))</f>
        <v/>
      </c>
      <c r="BG1473" s="14">
        <f>F1473*BF1473*IF(B1473&gt;=in_marketplace_from,d_hz_nps*G1473,0)*in_nps_ticket*in_nps_comm</f>
        <v/>
      </c>
      <c r="BH1473" s="40">
        <f>BH1472*(1-IF(B1472&gt;=in_marketplace_from,d_hz_gold*G1472,0))</f>
        <v/>
      </c>
      <c r="BI1473" s="40">
        <f>BI1472*d_rho_gold+BH1473*IF(B1473&gt;=in_marketplace_from,d_hz_gold*G1473,0)</f>
        <v/>
      </c>
      <c r="BJ1473" s="14">
        <f>F1473*BI1473*in_gold_ticket*in_gold_comm</f>
        <v/>
      </c>
      <c r="BK1473" s="40">
        <f>BK1472*(1-IF(B1472&gt;=in_marketplace_from,d_hz_fd*G1472,0))</f>
        <v/>
      </c>
      <c r="BL1473" s="14">
        <f>F1473*BK1473*IF(B1473&gt;=in_marketplace_from,d_hz_fd*G1473,0)*in_fd_ticket*in_fd_comm</f>
        <v/>
      </c>
      <c r="BM1473" s="40">
        <f>BM1472*(1-IF(B1472&gt;=in_marketplace_from,d_hz_recharge*G1472,0))</f>
        <v/>
      </c>
      <c r="BN1473" s="40">
        <f>BN1472*d_rho_recharge+BM1473*IF(B1473&gt;=in_marketplace_from,d_hz_recharge*G1473,0)</f>
        <v/>
      </c>
      <c r="BO1473" s="14">
        <f>F1473*BN1473*in_recharge_ticket*in_recharge_comm/12</f>
        <v/>
      </c>
      <c r="BP1473" s="40">
        <f>BP1472*(1-IF(B1472&gt;=in_marketplace_from,d_hz_bills*G1472,0))</f>
        <v/>
      </c>
      <c r="BQ1473" s="40">
        <f>BQ1472*d_rho_bills+BP1473*IF(B1473&gt;=in_marketplace_from,d_hz_bills*G1473,0)</f>
        <v/>
      </c>
      <c r="BR1473" s="14">
        <f>F1473*BQ1473*in_bills_ticket*in_bills_comm/12</f>
        <v/>
      </c>
      <c r="BS1473" s="40">
        <f>BS1472*(1-IF(B1472&gt;=in_marketplace_from,d_hz_loan_gold*G1472,0))</f>
        <v/>
      </c>
      <c r="BT1473" s="14">
        <f>F1473*BS1473*IF(B1473&gt;=in_marketplace_from,d_hz_loan_gold*G1473,0)*in_loan_gold_ticket*in_loan_gold_comm</f>
        <v/>
      </c>
      <c r="BU1473" s="40">
        <f>BU1472*(1-IF(B1472&gt;=in_marketplace_from,d_hz_loan_cd*G1472,0))</f>
        <v/>
      </c>
      <c r="BV1473" s="14">
        <f>F1473*BU1473*IF(B1473&gt;=in_marketplace_from,d_hz_loan_cd*G1473,0)*in_loan_cd_ticket*in_loan_cd_comm</f>
        <v/>
      </c>
      <c r="BW1473" s="40">
        <f>BW1472*(1-IF(B1472&gt;=in_marketplace_from,d_hz_loan_vehicle*G1472,0))</f>
        <v/>
      </c>
      <c r="BX1473" s="14">
        <f>F1473*BW1473*IF(B1473&gt;=in_marketplace_from,d_hz_loan_vehicle*G1473,0)*in_loan_vehicle_ticket*in_loan_vehicle_comm</f>
        <v/>
      </c>
      <c r="BY1473" s="40">
        <f>BY1472*(1-IF(B1472&gt;=in_marketplace_from,d_hz_loan_home*G1472,0)*BZ1472)</f>
        <v/>
      </c>
      <c r="BZ1473" s="11">
        <f>MIN(in_approval_cap,in_loan_home_approval*INDEX('Age profile'!$O$2:$O$61,B1473)*(1+in_approval_growth)^(D1473-1))</f>
        <v/>
      </c>
      <c r="CA1473" s="14">
        <f>F1473*BY1473*IF(B1473&gt;=in_marketplace_from,d_hz_loan_home*G1473,0)*BZ1473*in_loan_home_ticket*in_loan_home_comm</f>
        <v/>
      </c>
      <c r="CB1473" s="40">
        <f>CB1472*(1-IF(B1472&gt;=in_marketplace_from,d_hz_loan_lap*G1472,0)*CC1472)</f>
        <v/>
      </c>
      <c r="CC1473" s="11">
        <f>MIN(in_approval_cap,in_loan_lap_approval*INDEX('Age profile'!$O$2:$O$61,B1473)*(1+in_approval_growth)^(D1473-1))</f>
        <v/>
      </c>
      <c r="CD1473" s="14">
        <f>F1473*CB1473*IF(B1473&gt;=in_marketplace_from,d_hz_loan_lap*G1473,0)*CC1473*in_loan_lap_ticket*in_loan_lap_comm</f>
        <v/>
      </c>
      <c r="CE1473" s="14">
        <f>AA1473+AB1473+AC1473+AD1473+AG1473+AJ1473+AM1473+AP1473+AS1473+AU1473+AX1473+BB1473+BE1473+BG1473+BJ1473+BL1473+BO1473+BR1473+BT1473+BV1473+BX1473+CA1473+CD1473</f>
        <v/>
      </c>
    </row>
    <row r="1474">
      <c r="A1474" s="39" t="n">
        <v>34</v>
      </c>
      <c r="B1474" s="39" t="n">
        <v>21</v>
      </c>
      <c r="C1474" s="39">
        <f>A1474+B1474-1</f>
        <v/>
      </c>
      <c r="D1474" s="39">
        <f>INT((C1474-1)/12)+1</f>
        <v/>
      </c>
      <c r="E1474" s="44">
        <f>INDEX(Monthly!$B$2:$B$61,A1474)</f>
        <v/>
      </c>
      <c r="F1474" s="44">
        <f>E1474*INDEX('Age profile'!$B$2:$B$61,B1474)</f>
        <v/>
      </c>
      <c r="G1474" s="45">
        <f>MIN(in_takeup_cap,INDEX('Age profile'!$N$2:$N$61,B1474)*(1+in_takeup_growth)^(D1474-1))</f>
        <v/>
      </c>
      <c r="H1474" s="11">
        <f>MIN(in_approval_cap,in_approved_first*INDEX('Age profile'!$O$2:$O$61,B1474)*(1+in_approval_growth)^(D1474-1))</f>
        <v/>
      </c>
      <c r="I1474" s="45">
        <f>G1474*MIN(in_takeup_cap,INDEX('Age profile'!$O$2:$O$61,B1474)*(1+in_approval_growth)^(D1474-1))</f>
        <v/>
      </c>
      <c r="J1474" s="40">
        <f>(J1473-L1473)*F1474/F1473</f>
        <v/>
      </c>
      <c r="K1474" s="40">
        <f>(K1473-M1473)*F1474/F1473+SUMIFS(O1454:O1473,B1454:B1473,B1474-1-d_T)*F1474</f>
        <v/>
      </c>
      <c r="L1474" s="40">
        <f>IF(B1474&gt;=in_marketplace_from,J1474*d_hz*G1474*in_eligible*H1474,0)</f>
        <v/>
      </c>
      <c r="M1474" s="40">
        <f>IF(B1474&gt;=in_marketplace_from,K1474*d_hz*G1474*in_eligible*in_approved_repeat,0)</f>
        <v/>
      </c>
      <c r="N1474" s="40">
        <f>L1474+M1474</f>
        <v/>
      </c>
      <c r="O1474" s="46">
        <f>N1474/F1474</f>
        <v/>
      </c>
      <c r="P1474" s="40">
        <f>F1474-J1474-K1474</f>
        <v/>
      </c>
      <c r="Q1474" s="40">
        <f>IF(B1474&gt;=in_marketplace_from,(J1474+K1474)*d_hz*G1474,0)</f>
        <v/>
      </c>
      <c r="R1474" s="40">
        <f>SUMIFS(N1454:N1480,B1454:B1480,"&gt;="&amp;(B1474-d_T),B1454:B1480,"&lt;="&amp;(B1474-1))</f>
        <v/>
      </c>
      <c r="S1474" s="46">
        <f>(1-d_u)*S1473+IF(d_T&gt;in_topup_lag,SUMIFS(O1454:O1480,B1454:B1480,B1474-in_topup_lag)-d_udrop*SUMIFS(O1454:O1480,B1454:B1480,B1474-d_T),0)</f>
        <v/>
      </c>
      <c r="T1474" s="40">
        <f>F1474*d_u*S1474</f>
        <v/>
      </c>
      <c r="U1474" s="9">
        <f>L1474*in_ticket+M1474*d_rep_ticket</f>
        <v/>
      </c>
      <c r="V1474" s="9">
        <f>U1474+T1474*d_topup_amt</f>
        <v/>
      </c>
      <c r="W1474" s="40">
        <f>N1474+T1474*d_topup_ratio</f>
        <v/>
      </c>
      <c r="X1474" s="40">
        <f>SUMIFS(W1454:W1480,B1454:B1480,B1474-in_dpd_lag)*d_cured</f>
        <v/>
      </c>
      <c r="Y1474" s="40">
        <f>SUMIFS(W1454:W1480,B1454:B1480,B1474-in_rec_lag)*d_recd</f>
        <v/>
      </c>
      <c r="Z1474" s="40">
        <f>IF(AND(B1474&gt;=in_marketplace_from,B1474&lt;in_marketplace_from+in_card_months),in_card_share/in_card_months*F1474*I1474,IF(AND(B1474&gt;=in_marketplace_from+in_card_months,B1474&lt;in_marketplace_from+2*in_card_months),in_card_share*d_card_rem/in_card_months*F1474*MIN(in_takeup_cap,(1+in_takeup_growth)^(D1474-1))*MIN(in_takeup_cap,(1+in_approval_growth)^(D1474-1)),0))</f>
        <v/>
      </c>
      <c r="AA1474" s="14">
        <f>V1474*in_fee*(1-in_taken_back)</f>
        <v/>
      </c>
      <c r="AB1474" s="14">
        <f>SUMIFS(W1454:W1480,B1454:B1480,B1474-in_dpd_lag)*d_dpd</f>
        <v/>
      </c>
      <c r="AC1474" s="14">
        <f>SUMIFS(W1454:W1480,B1454:B1480,B1474-in_rec_lag)*d_rec</f>
        <v/>
      </c>
      <c r="AD1474" s="14">
        <f>Z1474*in_card_fee</f>
        <v/>
      </c>
      <c r="AE1474" s="40">
        <f>AE1473*(1-IF(B1473&gt;=in_marketplace_from,d_hz_hlth_small*G1473,0))</f>
        <v/>
      </c>
      <c r="AF1474" s="46">
        <f>AE1474*IF(B1474&gt;=in_marketplace_from,d_hz_hlth_small*G1474,0)</f>
        <v/>
      </c>
      <c r="AG1474" s="14">
        <f>F1474*AF1474*in_hlth_small_ticket*in_hlth_small_comm*in_ins_partner_share+F1474*in_hlth_small_ticket*in_hlth_small_renew_comm*in_ins_partner_share*(in_hlth_small_renew^1*SUMIFS(AF1454:AF1480,B1454:B1480,B1474-12)+in_hlth_small_renew^2*SUMIFS(AF1454:AF1480,B1454:B1480,B1474-24)+in_hlth_small_renew^3*SUMIFS(AF1454:AF1480,B1454:B1480,B1474-36)+in_hlth_small_renew^4*SUMIFS(AF1454:AF1480,B1454:B1480,B1474-48))</f>
        <v/>
      </c>
      <c r="AH1474" s="40">
        <f>AH1473*(1-IF(B1473&gt;=in_marketplace_from,d_hz_hlth_family*G1473,0))</f>
        <v/>
      </c>
      <c r="AI1474" s="46">
        <f>AH1474*IF(B1474&gt;=in_marketplace_from,d_hz_hlth_family*G1474,0)</f>
        <v/>
      </c>
      <c r="AJ1474" s="14">
        <f>F1474*AI1474*in_hlth_family_ticket*in_hlth_family_comm*in_ins_partner_share+F1474*in_hlth_family_ticket*in_hlth_family_renew_comm*in_ins_partner_share*(in_hlth_family_renew^1*SUMIFS(AI1454:AI1480,B1454:B1480,B1474-12)+in_hlth_family_renew^2*SUMIFS(AI1454:AI1480,B1454:B1480,B1474-24)+in_hlth_family_renew^3*SUMIFS(AI1454:AI1480,B1454:B1480,B1474-36)+in_hlth_family_renew^4*SUMIFS(AI1454:AI1480,B1454:B1480,B1474-48))</f>
        <v/>
      </c>
      <c r="AK1474" s="40">
        <f>AK1473*(1-IF(B1473&gt;=in_marketplace_from,d_hz_life_term*G1473,0))</f>
        <v/>
      </c>
      <c r="AL1474" s="46">
        <f>AK1474*IF(B1474&gt;=in_marketplace_from,d_hz_life_term*G1474,0)</f>
        <v/>
      </c>
      <c r="AM1474" s="14">
        <f>F1474*AL1474*in_life_term_ticket*in_life_term_comm*in_ins_partner_share+F1474*in_life_term_ticket*in_life_term_renew_comm*in_ins_partner_share*(in_life_term_renew^1*SUMIFS(AL1454:AL1480,B1454:B1480,B1474-12)+in_life_term_renew^2*SUMIFS(AL1454:AL1480,B1454:B1480,B1474-24)+in_life_term_renew^3*SUMIFS(AL1454:AL1480,B1454:B1480,B1474-36)+in_life_term_renew^4*SUMIFS(AL1454:AL1480,B1454:B1480,B1474-48))</f>
        <v/>
      </c>
      <c r="AN1474" s="40">
        <f>AN1473*(1-IF(B1473&gt;=in_marketplace_from,d_hz_accident*G1473,0))</f>
        <v/>
      </c>
      <c r="AO1474" s="46">
        <f>AN1474*IF(B1474&gt;=in_marketplace_from,d_hz_accident*G1474,0)</f>
        <v/>
      </c>
      <c r="AP1474" s="14">
        <f>F1474*AO1474*in_accident_ticket*in_accident_comm*in_ins_partner_share+F1474*in_accident_ticket*in_accident_renew_comm*in_ins_partner_share*(in_accident_renew^1*SUMIFS(AO1454:AO1480,B1454:B1480,B1474-12)+in_accident_renew^2*SUMIFS(AO1454:AO1480,B1454:B1480,B1474-24)+in_accident_renew^3*SUMIFS(AO1454:AO1480,B1454:B1480,B1474-36)+in_accident_renew^4*SUMIFS(AO1454:AO1480,B1454:B1480,B1474-48))</f>
        <v/>
      </c>
      <c r="AQ1474" s="40">
        <f>AQ1473*(1-IF(B1473&gt;=in_marketplace_from,d_hz_two_wheeler*G1473,0))</f>
        <v/>
      </c>
      <c r="AR1474" s="46">
        <f>AQ1474*IF(B1474&gt;=in_marketplace_from,d_hz_two_wheeler*G1474,0)</f>
        <v/>
      </c>
      <c r="AS1474" s="14">
        <f>F1474*AR1474*in_two_wheeler_ticket*in_two_wheeler_comm*in_ins_partner_share+F1474*in_two_wheeler_ticket*in_two_wheeler_comm*in_ins_partner_share*(in_two_wheeler_renew^1*SUMIFS(AR1454:AR1480,B1454:B1480,B1474-12)+in_two_wheeler_renew^2*SUMIFS(AR1454:AR1480,B1454:B1480,B1474-24)+in_two_wheeler_renew^3*SUMIFS(AR1454:AR1480,B1454:B1480,B1474-36)+in_two_wheeler_renew^4*SUMIFS(AR1454:AR1480,B1454:B1480,B1474-48))</f>
        <v/>
      </c>
      <c r="AT1474" s="40">
        <f>AT1473*(1-IF(B1473&gt;=in_marketplace_from,d_hz_device*G1473,0))</f>
        <v/>
      </c>
      <c r="AU1474" s="14">
        <f>F1474*AT1474*IF(B1474&gt;=in_marketplace_from,d_hz_device*G1474,0)*in_device_ticket*in_device_comm*in_ins_partner_share</f>
        <v/>
      </c>
      <c r="AV1474" s="40">
        <f>AV1473*(1-IF(B1473&gt;=in_marketplace_from,d_hz_shop*G1473,0))</f>
        <v/>
      </c>
      <c r="AW1474" s="46">
        <f>AV1474*IF(B1474&gt;=in_marketplace_from,d_hz_shop*G1474,0)</f>
        <v/>
      </c>
      <c r="AX1474" s="14">
        <f>F1474*AW1474*in_shop_ticket*in_shop_comm*in_ins_partner_share+F1474*in_shop_ticket*in_shop_renew_comm*in_ins_partner_share*(in_shop_renew^1*SUMIFS(AW1454:AW1480,B1454:B1480,B1474-12)+in_shop_renew^2*SUMIFS(AW1454:AW1480,B1454:B1480,B1474-24)+in_shop_renew^3*SUMIFS(AW1454:AW1480,B1454:B1480,B1474-36)+in_shop_renew^4*SUMIFS(AW1454:AW1480,B1454:B1480,B1474-48))</f>
        <v/>
      </c>
      <c r="AY1474" s="40">
        <f>AY1473*(1-IF(B1473&gt;=in_marketplace_from,d_hz_sip*G1473,0))</f>
        <v/>
      </c>
      <c r="AZ1474" s="40">
        <f>AZ1473*d_rho_sip+AY1474*IF(B1474&gt;=in_marketplace_from,d_hz_sip*G1474,0)</f>
        <v/>
      </c>
      <c r="BA1474" s="40">
        <f>d_rho_sip*(BA1473+AZ1473)</f>
        <v/>
      </c>
      <c r="BB1474" s="14">
        <f>F1474*in_sip_ticket*(BA1474+0.5*AZ1474)*in_sip_comm/12</f>
        <v/>
      </c>
      <c r="BC1474" s="40">
        <f>BC1473*(1-IF(B1473&gt;=in_marketplace_from,d_hz_choti*G1473,0))</f>
        <v/>
      </c>
      <c r="BD1474" s="46">
        <f>BC1474*IF(B1474&gt;=in_marketplace_from,d_hz_choti*G1474,0)</f>
        <v/>
      </c>
      <c r="BE1474" s="14">
        <f>F1474*SUMIFS(BD1454:BD1480,B1454:B1480,B1474-in_choti_months)*in_choti_renew*in_choti_ticket</f>
        <v/>
      </c>
      <c r="BF1474" s="40">
        <f>BF1473*(1-IF(B1473&gt;=in_marketplace_from,d_hz_nps*G1473,0))</f>
        <v/>
      </c>
      <c r="BG1474" s="14">
        <f>F1474*BF1474*IF(B1474&gt;=in_marketplace_from,d_hz_nps*G1474,0)*in_nps_ticket*in_nps_comm</f>
        <v/>
      </c>
      <c r="BH1474" s="40">
        <f>BH1473*(1-IF(B1473&gt;=in_marketplace_from,d_hz_gold*G1473,0))</f>
        <v/>
      </c>
      <c r="BI1474" s="40">
        <f>BI1473*d_rho_gold+BH1474*IF(B1474&gt;=in_marketplace_from,d_hz_gold*G1474,0)</f>
        <v/>
      </c>
      <c r="BJ1474" s="14">
        <f>F1474*BI1474*in_gold_ticket*in_gold_comm</f>
        <v/>
      </c>
      <c r="BK1474" s="40">
        <f>BK1473*(1-IF(B1473&gt;=in_marketplace_from,d_hz_fd*G1473,0))</f>
        <v/>
      </c>
      <c r="BL1474" s="14">
        <f>F1474*BK1474*IF(B1474&gt;=in_marketplace_from,d_hz_fd*G1474,0)*in_fd_ticket*in_fd_comm</f>
        <v/>
      </c>
      <c r="BM1474" s="40">
        <f>BM1473*(1-IF(B1473&gt;=in_marketplace_from,d_hz_recharge*G1473,0))</f>
        <v/>
      </c>
      <c r="BN1474" s="40">
        <f>BN1473*d_rho_recharge+BM1474*IF(B1474&gt;=in_marketplace_from,d_hz_recharge*G1474,0)</f>
        <v/>
      </c>
      <c r="BO1474" s="14">
        <f>F1474*BN1474*in_recharge_ticket*in_recharge_comm/12</f>
        <v/>
      </c>
      <c r="BP1474" s="40">
        <f>BP1473*(1-IF(B1473&gt;=in_marketplace_from,d_hz_bills*G1473,0))</f>
        <v/>
      </c>
      <c r="BQ1474" s="40">
        <f>BQ1473*d_rho_bills+BP1474*IF(B1474&gt;=in_marketplace_from,d_hz_bills*G1474,0)</f>
        <v/>
      </c>
      <c r="BR1474" s="14">
        <f>F1474*BQ1474*in_bills_ticket*in_bills_comm/12</f>
        <v/>
      </c>
      <c r="BS1474" s="40">
        <f>BS1473*(1-IF(B1473&gt;=in_marketplace_from,d_hz_loan_gold*G1473,0))</f>
        <v/>
      </c>
      <c r="BT1474" s="14">
        <f>F1474*BS1474*IF(B1474&gt;=in_marketplace_from,d_hz_loan_gold*G1474,0)*in_loan_gold_ticket*in_loan_gold_comm</f>
        <v/>
      </c>
      <c r="BU1474" s="40">
        <f>BU1473*(1-IF(B1473&gt;=in_marketplace_from,d_hz_loan_cd*G1473,0))</f>
        <v/>
      </c>
      <c r="BV1474" s="14">
        <f>F1474*BU1474*IF(B1474&gt;=in_marketplace_from,d_hz_loan_cd*G1474,0)*in_loan_cd_ticket*in_loan_cd_comm</f>
        <v/>
      </c>
      <c r="BW1474" s="40">
        <f>BW1473*(1-IF(B1473&gt;=in_marketplace_from,d_hz_loan_vehicle*G1473,0))</f>
        <v/>
      </c>
      <c r="BX1474" s="14">
        <f>F1474*BW1474*IF(B1474&gt;=in_marketplace_from,d_hz_loan_vehicle*G1474,0)*in_loan_vehicle_ticket*in_loan_vehicle_comm</f>
        <v/>
      </c>
      <c r="BY1474" s="40">
        <f>BY1473*(1-IF(B1473&gt;=in_marketplace_from,d_hz_loan_home*G1473,0)*BZ1473)</f>
        <v/>
      </c>
      <c r="BZ1474" s="11">
        <f>MIN(in_approval_cap,in_loan_home_approval*INDEX('Age profile'!$O$2:$O$61,B1474)*(1+in_approval_growth)^(D1474-1))</f>
        <v/>
      </c>
      <c r="CA1474" s="14">
        <f>F1474*BY1474*IF(B1474&gt;=in_marketplace_from,d_hz_loan_home*G1474,0)*BZ1474*in_loan_home_ticket*in_loan_home_comm</f>
        <v/>
      </c>
      <c r="CB1474" s="40">
        <f>CB1473*(1-IF(B1473&gt;=in_marketplace_from,d_hz_loan_lap*G1473,0)*CC1473)</f>
        <v/>
      </c>
      <c r="CC1474" s="11">
        <f>MIN(in_approval_cap,in_loan_lap_approval*INDEX('Age profile'!$O$2:$O$61,B1474)*(1+in_approval_growth)^(D1474-1))</f>
        <v/>
      </c>
      <c r="CD1474" s="14">
        <f>F1474*CB1474*IF(B1474&gt;=in_marketplace_from,d_hz_loan_lap*G1474,0)*CC1474*in_loan_lap_ticket*in_loan_lap_comm</f>
        <v/>
      </c>
      <c r="CE1474" s="14">
        <f>AA1474+AB1474+AC1474+AD1474+AG1474+AJ1474+AM1474+AP1474+AS1474+AU1474+AX1474+BB1474+BE1474+BG1474+BJ1474+BL1474+BO1474+BR1474+BT1474+BV1474+BX1474+CA1474+CD1474</f>
        <v/>
      </c>
    </row>
    <row r="1475">
      <c r="A1475" s="39" t="n">
        <v>34</v>
      </c>
      <c r="B1475" s="39" t="n">
        <v>22</v>
      </c>
      <c r="C1475" s="39">
        <f>A1475+B1475-1</f>
        <v/>
      </c>
      <c r="D1475" s="39">
        <f>INT((C1475-1)/12)+1</f>
        <v/>
      </c>
      <c r="E1475" s="44">
        <f>INDEX(Monthly!$B$2:$B$61,A1475)</f>
        <v/>
      </c>
      <c r="F1475" s="44">
        <f>E1475*INDEX('Age profile'!$B$2:$B$61,B1475)</f>
        <v/>
      </c>
      <c r="G1475" s="45">
        <f>MIN(in_takeup_cap,INDEX('Age profile'!$N$2:$N$61,B1475)*(1+in_takeup_growth)^(D1475-1))</f>
        <v/>
      </c>
      <c r="H1475" s="11">
        <f>MIN(in_approval_cap,in_approved_first*INDEX('Age profile'!$O$2:$O$61,B1475)*(1+in_approval_growth)^(D1475-1))</f>
        <v/>
      </c>
      <c r="I1475" s="45">
        <f>G1475*MIN(in_takeup_cap,INDEX('Age profile'!$O$2:$O$61,B1475)*(1+in_approval_growth)^(D1475-1))</f>
        <v/>
      </c>
      <c r="J1475" s="40">
        <f>(J1474-L1474)*F1475/F1474</f>
        <v/>
      </c>
      <c r="K1475" s="40">
        <f>(K1474-M1474)*F1475/F1474+SUMIFS(O1454:O1474,B1454:B1474,B1475-1-d_T)*F1475</f>
        <v/>
      </c>
      <c r="L1475" s="40">
        <f>IF(B1475&gt;=in_marketplace_from,J1475*d_hz*G1475*in_eligible*H1475,0)</f>
        <v/>
      </c>
      <c r="M1475" s="40">
        <f>IF(B1475&gt;=in_marketplace_from,K1475*d_hz*G1475*in_eligible*in_approved_repeat,0)</f>
        <v/>
      </c>
      <c r="N1475" s="40">
        <f>L1475+M1475</f>
        <v/>
      </c>
      <c r="O1475" s="46">
        <f>N1475/F1475</f>
        <v/>
      </c>
      <c r="P1475" s="40">
        <f>F1475-J1475-K1475</f>
        <v/>
      </c>
      <c r="Q1475" s="40">
        <f>IF(B1475&gt;=in_marketplace_from,(J1475+K1475)*d_hz*G1475,0)</f>
        <v/>
      </c>
      <c r="R1475" s="40">
        <f>SUMIFS(N1454:N1480,B1454:B1480,"&gt;="&amp;(B1475-d_T),B1454:B1480,"&lt;="&amp;(B1475-1))</f>
        <v/>
      </c>
      <c r="S1475" s="46">
        <f>(1-d_u)*S1474+IF(d_T&gt;in_topup_lag,SUMIFS(O1454:O1480,B1454:B1480,B1475-in_topup_lag)-d_udrop*SUMIFS(O1454:O1480,B1454:B1480,B1475-d_T),0)</f>
        <v/>
      </c>
      <c r="T1475" s="40">
        <f>F1475*d_u*S1475</f>
        <v/>
      </c>
      <c r="U1475" s="9">
        <f>L1475*in_ticket+M1475*d_rep_ticket</f>
        <v/>
      </c>
      <c r="V1475" s="9">
        <f>U1475+T1475*d_topup_amt</f>
        <v/>
      </c>
      <c r="W1475" s="40">
        <f>N1475+T1475*d_topup_ratio</f>
        <v/>
      </c>
      <c r="X1475" s="40">
        <f>SUMIFS(W1454:W1480,B1454:B1480,B1475-in_dpd_lag)*d_cured</f>
        <v/>
      </c>
      <c r="Y1475" s="40">
        <f>SUMIFS(W1454:W1480,B1454:B1480,B1475-in_rec_lag)*d_recd</f>
        <v/>
      </c>
      <c r="Z1475" s="40">
        <f>IF(AND(B1475&gt;=in_marketplace_from,B1475&lt;in_marketplace_from+in_card_months),in_card_share/in_card_months*F1475*I1475,IF(AND(B1475&gt;=in_marketplace_from+in_card_months,B1475&lt;in_marketplace_from+2*in_card_months),in_card_share*d_card_rem/in_card_months*F1475*MIN(in_takeup_cap,(1+in_takeup_growth)^(D1475-1))*MIN(in_takeup_cap,(1+in_approval_growth)^(D1475-1)),0))</f>
        <v/>
      </c>
      <c r="AA1475" s="14">
        <f>V1475*in_fee*(1-in_taken_back)</f>
        <v/>
      </c>
      <c r="AB1475" s="14">
        <f>SUMIFS(W1454:W1480,B1454:B1480,B1475-in_dpd_lag)*d_dpd</f>
        <v/>
      </c>
      <c r="AC1475" s="14">
        <f>SUMIFS(W1454:W1480,B1454:B1480,B1475-in_rec_lag)*d_rec</f>
        <v/>
      </c>
      <c r="AD1475" s="14">
        <f>Z1475*in_card_fee</f>
        <v/>
      </c>
      <c r="AE1475" s="40">
        <f>AE1474*(1-IF(B1474&gt;=in_marketplace_from,d_hz_hlth_small*G1474,0))</f>
        <v/>
      </c>
      <c r="AF1475" s="46">
        <f>AE1475*IF(B1475&gt;=in_marketplace_from,d_hz_hlth_small*G1475,0)</f>
        <v/>
      </c>
      <c r="AG1475" s="14">
        <f>F1475*AF1475*in_hlth_small_ticket*in_hlth_small_comm*in_ins_partner_share+F1475*in_hlth_small_ticket*in_hlth_small_renew_comm*in_ins_partner_share*(in_hlth_small_renew^1*SUMIFS(AF1454:AF1480,B1454:B1480,B1475-12)+in_hlth_small_renew^2*SUMIFS(AF1454:AF1480,B1454:B1480,B1475-24)+in_hlth_small_renew^3*SUMIFS(AF1454:AF1480,B1454:B1480,B1475-36)+in_hlth_small_renew^4*SUMIFS(AF1454:AF1480,B1454:B1480,B1475-48))</f>
        <v/>
      </c>
      <c r="AH1475" s="40">
        <f>AH1474*(1-IF(B1474&gt;=in_marketplace_from,d_hz_hlth_family*G1474,0))</f>
        <v/>
      </c>
      <c r="AI1475" s="46">
        <f>AH1475*IF(B1475&gt;=in_marketplace_from,d_hz_hlth_family*G1475,0)</f>
        <v/>
      </c>
      <c r="AJ1475" s="14">
        <f>F1475*AI1475*in_hlth_family_ticket*in_hlth_family_comm*in_ins_partner_share+F1475*in_hlth_family_ticket*in_hlth_family_renew_comm*in_ins_partner_share*(in_hlth_family_renew^1*SUMIFS(AI1454:AI1480,B1454:B1480,B1475-12)+in_hlth_family_renew^2*SUMIFS(AI1454:AI1480,B1454:B1480,B1475-24)+in_hlth_family_renew^3*SUMIFS(AI1454:AI1480,B1454:B1480,B1475-36)+in_hlth_family_renew^4*SUMIFS(AI1454:AI1480,B1454:B1480,B1475-48))</f>
        <v/>
      </c>
      <c r="AK1475" s="40">
        <f>AK1474*(1-IF(B1474&gt;=in_marketplace_from,d_hz_life_term*G1474,0))</f>
        <v/>
      </c>
      <c r="AL1475" s="46">
        <f>AK1475*IF(B1475&gt;=in_marketplace_from,d_hz_life_term*G1475,0)</f>
        <v/>
      </c>
      <c r="AM1475" s="14">
        <f>F1475*AL1475*in_life_term_ticket*in_life_term_comm*in_ins_partner_share+F1475*in_life_term_ticket*in_life_term_renew_comm*in_ins_partner_share*(in_life_term_renew^1*SUMIFS(AL1454:AL1480,B1454:B1480,B1475-12)+in_life_term_renew^2*SUMIFS(AL1454:AL1480,B1454:B1480,B1475-24)+in_life_term_renew^3*SUMIFS(AL1454:AL1480,B1454:B1480,B1475-36)+in_life_term_renew^4*SUMIFS(AL1454:AL1480,B1454:B1480,B1475-48))</f>
        <v/>
      </c>
      <c r="AN1475" s="40">
        <f>AN1474*(1-IF(B1474&gt;=in_marketplace_from,d_hz_accident*G1474,0))</f>
        <v/>
      </c>
      <c r="AO1475" s="46">
        <f>AN1475*IF(B1475&gt;=in_marketplace_from,d_hz_accident*G1475,0)</f>
        <v/>
      </c>
      <c r="AP1475" s="14">
        <f>F1475*AO1475*in_accident_ticket*in_accident_comm*in_ins_partner_share+F1475*in_accident_ticket*in_accident_renew_comm*in_ins_partner_share*(in_accident_renew^1*SUMIFS(AO1454:AO1480,B1454:B1480,B1475-12)+in_accident_renew^2*SUMIFS(AO1454:AO1480,B1454:B1480,B1475-24)+in_accident_renew^3*SUMIFS(AO1454:AO1480,B1454:B1480,B1475-36)+in_accident_renew^4*SUMIFS(AO1454:AO1480,B1454:B1480,B1475-48))</f>
        <v/>
      </c>
      <c r="AQ1475" s="40">
        <f>AQ1474*(1-IF(B1474&gt;=in_marketplace_from,d_hz_two_wheeler*G1474,0))</f>
        <v/>
      </c>
      <c r="AR1475" s="46">
        <f>AQ1475*IF(B1475&gt;=in_marketplace_from,d_hz_two_wheeler*G1475,0)</f>
        <v/>
      </c>
      <c r="AS1475" s="14">
        <f>F1475*AR1475*in_two_wheeler_ticket*in_two_wheeler_comm*in_ins_partner_share+F1475*in_two_wheeler_ticket*in_two_wheeler_comm*in_ins_partner_share*(in_two_wheeler_renew^1*SUMIFS(AR1454:AR1480,B1454:B1480,B1475-12)+in_two_wheeler_renew^2*SUMIFS(AR1454:AR1480,B1454:B1480,B1475-24)+in_two_wheeler_renew^3*SUMIFS(AR1454:AR1480,B1454:B1480,B1475-36)+in_two_wheeler_renew^4*SUMIFS(AR1454:AR1480,B1454:B1480,B1475-48))</f>
        <v/>
      </c>
      <c r="AT1475" s="40">
        <f>AT1474*(1-IF(B1474&gt;=in_marketplace_from,d_hz_device*G1474,0))</f>
        <v/>
      </c>
      <c r="AU1475" s="14">
        <f>F1475*AT1475*IF(B1475&gt;=in_marketplace_from,d_hz_device*G1475,0)*in_device_ticket*in_device_comm*in_ins_partner_share</f>
        <v/>
      </c>
      <c r="AV1475" s="40">
        <f>AV1474*(1-IF(B1474&gt;=in_marketplace_from,d_hz_shop*G1474,0))</f>
        <v/>
      </c>
      <c r="AW1475" s="46">
        <f>AV1475*IF(B1475&gt;=in_marketplace_from,d_hz_shop*G1475,0)</f>
        <v/>
      </c>
      <c r="AX1475" s="14">
        <f>F1475*AW1475*in_shop_ticket*in_shop_comm*in_ins_partner_share+F1475*in_shop_ticket*in_shop_renew_comm*in_ins_partner_share*(in_shop_renew^1*SUMIFS(AW1454:AW1480,B1454:B1480,B1475-12)+in_shop_renew^2*SUMIFS(AW1454:AW1480,B1454:B1480,B1475-24)+in_shop_renew^3*SUMIFS(AW1454:AW1480,B1454:B1480,B1475-36)+in_shop_renew^4*SUMIFS(AW1454:AW1480,B1454:B1480,B1475-48))</f>
        <v/>
      </c>
      <c r="AY1475" s="40">
        <f>AY1474*(1-IF(B1474&gt;=in_marketplace_from,d_hz_sip*G1474,0))</f>
        <v/>
      </c>
      <c r="AZ1475" s="40">
        <f>AZ1474*d_rho_sip+AY1475*IF(B1475&gt;=in_marketplace_from,d_hz_sip*G1475,0)</f>
        <v/>
      </c>
      <c r="BA1475" s="40">
        <f>d_rho_sip*(BA1474+AZ1474)</f>
        <v/>
      </c>
      <c r="BB1475" s="14">
        <f>F1475*in_sip_ticket*(BA1475+0.5*AZ1475)*in_sip_comm/12</f>
        <v/>
      </c>
      <c r="BC1475" s="40">
        <f>BC1474*(1-IF(B1474&gt;=in_marketplace_from,d_hz_choti*G1474,0))</f>
        <v/>
      </c>
      <c r="BD1475" s="46">
        <f>BC1475*IF(B1475&gt;=in_marketplace_from,d_hz_choti*G1475,0)</f>
        <v/>
      </c>
      <c r="BE1475" s="14">
        <f>F1475*SUMIFS(BD1454:BD1480,B1454:B1480,B1475-in_choti_months)*in_choti_renew*in_choti_ticket</f>
        <v/>
      </c>
      <c r="BF1475" s="40">
        <f>BF1474*(1-IF(B1474&gt;=in_marketplace_from,d_hz_nps*G1474,0))</f>
        <v/>
      </c>
      <c r="BG1475" s="14">
        <f>F1475*BF1475*IF(B1475&gt;=in_marketplace_from,d_hz_nps*G1475,0)*in_nps_ticket*in_nps_comm</f>
        <v/>
      </c>
      <c r="BH1475" s="40">
        <f>BH1474*(1-IF(B1474&gt;=in_marketplace_from,d_hz_gold*G1474,0))</f>
        <v/>
      </c>
      <c r="BI1475" s="40">
        <f>BI1474*d_rho_gold+BH1475*IF(B1475&gt;=in_marketplace_from,d_hz_gold*G1475,0)</f>
        <v/>
      </c>
      <c r="BJ1475" s="14">
        <f>F1475*BI1475*in_gold_ticket*in_gold_comm</f>
        <v/>
      </c>
      <c r="BK1475" s="40">
        <f>BK1474*(1-IF(B1474&gt;=in_marketplace_from,d_hz_fd*G1474,0))</f>
        <v/>
      </c>
      <c r="BL1475" s="14">
        <f>F1475*BK1475*IF(B1475&gt;=in_marketplace_from,d_hz_fd*G1475,0)*in_fd_ticket*in_fd_comm</f>
        <v/>
      </c>
      <c r="BM1475" s="40">
        <f>BM1474*(1-IF(B1474&gt;=in_marketplace_from,d_hz_recharge*G1474,0))</f>
        <v/>
      </c>
      <c r="BN1475" s="40">
        <f>BN1474*d_rho_recharge+BM1475*IF(B1475&gt;=in_marketplace_from,d_hz_recharge*G1475,0)</f>
        <v/>
      </c>
      <c r="BO1475" s="14">
        <f>F1475*BN1475*in_recharge_ticket*in_recharge_comm/12</f>
        <v/>
      </c>
      <c r="BP1475" s="40">
        <f>BP1474*(1-IF(B1474&gt;=in_marketplace_from,d_hz_bills*G1474,0))</f>
        <v/>
      </c>
      <c r="BQ1475" s="40">
        <f>BQ1474*d_rho_bills+BP1475*IF(B1475&gt;=in_marketplace_from,d_hz_bills*G1475,0)</f>
        <v/>
      </c>
      <c r="BR1475" s="14">
        <f>F1475*BQ1475*in_bills_ticket*in_bills_comm/12</f>
        <v/>
      </c>
      <c r="BS1475" s="40">
        <f>BS1474*(1-IF(B1474&gt;=in_marketplace_from,d_hz_loan_gold*G1474,0))</f>
        <v/>
      </c>
      <c r="BT1475" s="14">
        <f>F1475*BS1475*IF(B1475&gt;=in_marketplace_from,d_hz_loan_gold*G1475,0)*in_loan_gold_ticket*in_loan_gold_comm</f>
        <v/>
      </c>
      <c r="BU1475" s="40">
        <f>BU1474*(1-IF(B1474&gt;=in_marketplace_from,d_hz_loan_cd*G1474,0))</f>
        <v/>
      </c>
      <c r="BV1475" s="14">
        <f>F1475*BU1475*IF(B1475&gt;=in_marketplace_from,d_hz_loan_cd*G1475,0)*in_loan_cd_ticket*in_loan_cd_comm</f>
        <v/>
      </c>
      <c r="BW1475" s="40">
        <f>BW1474*(1-IF(B1474&gt;=in_marketplace_from,d_hz_loan_vehicle*G1474,0))</f>
        <v/>
      </c>
      <c r="BX1475" s="14">
        <f>F1475*BW1475*IF(B1475&gt;=in_marketplace_from,d_hz_loan_vehicle*G1475,0)*in_loan_vehicle_ticket*in_loan_vehicle_comm</f>
        <v/>
      </c>
      <c r="BY1475" s="40">
        <f>BY1474*(1-IF(B1474&gt;=in_marketplace_from,d_hz_loan_home*G1474,0)*BZ1474)</f>
        <v/>
      </c>
      <c r="BZ1475" s="11">
        <f>MIN(in_approval_cap,in_loan_home_approval*INDEX('Age profile'!$O$2:$O$61,B1475)*(1+in_approval_growth)^(D1475-1))</f>
        <v/>
      </c>
      <c r="CA1475" s="14">
        <f>F1475*BY1475*IF(B1475&gt;=in_marketplace_from,d_hz_loan_home*G1475,0)*BZ1475*in_loan_home_ticket*in_loan_home_comm</f>
        <v/>
      </c>
      <c r="CB1475" s="40">
        <f>CB1474*(1-IF(B1474&gt;=in_marketplace_from,d_hz_loan_lap*G1474,0)*CC1474)</f>
        <v/>
      </c>
      <c r="CC1475" s="11">
        <f>MIN(in_approval_cap,in_loan_lap_approval*INDEX('Age profile'!$O$2:$O$61,B1475)*(1+in_approval_growth)^(D1475-1))</f>
        <v/>
      </c>
      <c r="CD1475" s="14">
        <f>F1475*CB1475*IF(B1475&gt;=in_marketplace_from,d_hz_loan_lap*G1475,0)*CC1475*in_loan_lap_ticket*in_loan_lap_comm</f>
        <v/>
      </c>
      <c r="CE1475" s="14">
        <f>AA1475+AB1475+AC1475+AD1475+AG1475+AJ1475+AM1475+AP1475+AS1475+AU1475+AX1475+BB1475+BE1475+BG1475+BJ1475+BL1475+BO1475+BR1475+BT1475+BV1475+BX1475+CA1475+CD1475</f>
        <v/>
      </c>
    </row>
    <row r="1476">
      <c r="A1476" s="39" t="n">
        <v>34</v>
      </c>
      <c r="B1476" s="39" t="n">
        <v>23</v>
      </c>
      <c r="C1476" s="39">
        <f>A1476+B1476-1</f>
        <v/>
      </c>
      <c r="D1476" s="39">
        <f>INT((C1476-1)/12)+1</f>
        <v/>
      </c>
      <c r="E1476" s="44">
        <f>INDEX(Monthly!$B$2:$B$61,A1476)</f>
        <v/>
      </c>
      <c r="F1476" s="44">
        <f>E1476*INDEX('Age profile'!$B$2:$B$61,B1476)</f>
        <v/>
      </c>
      <c r="G1476" s="45">
        <f>MIN(in_takeup_cap,INDEX('Age profile'!$N$2:$N$61,B1476)*(1+in_takeup_growth)^(D1476-1))</f>
        <v/>
      </c>
      <c r="H1476" s="11">
        <f>MIN(in_approval_cap,in_approved_first*INDEX('Age profile'!$O$2:$O$61,B1476)*(1+in_approval_growth)^(D1476-1))</f>
        <v/>
      </c>
      <c r="I1476" s="45">
        <f>G1476*MIN(in_takeup_cap,INDEX('Age profile'!$O$2:$O$61,B1476)*(1+in_approval_growth)^(D1476-1))</f>
        <v/>
      </c>
      <c r="J1476" s="40">
        <f>(J1475-L1475)*F1476/F1475</f>
        <v/>
      </c>
      <c r="K1476" s="40">
        <f>(K1475-M1475)*F1476/F1475+SUMIFS(O1454:O1475,B1454:B1475,B1476-1-d_T)*F1476</f>
        <v/>
      </c>
      <c r="L1476" s="40">
        <f>IF(B1476&gt;=in_marketplace_from,J1476*d_hz*G1476*in_eligible*H1476,0)</f>
        <v/>
      </c>
      <c r="M1476" s="40">
        <f>IF(B1476&gt;=in_marketplace_from,K1476*d_hz*G1476*in_eligible*in_approved_repeat,0)</f>
        <v/>
      </c>
      <c r="N1476" s="40">
        <f>L1476+M1476</f>
        <v/>
      </c>
      <c r="O1476" s="46">
        <f>N1476/F1476</f>
        <v/>
      </c>
      <c r="P1476" s="40">
        <f>F1476-J1476-K1476</f>
        <v/>
      </c>
      <c r="Q1476" s="40">
        <f>IF(B1476&gt;=in_marketplace_from,(J1476+K1476)*d_hz*G1476,0)</f>
        <v/>
      </c>
      <c r="R1476" s="40">
        <f>SUMIFS(N1454:N1480,B1454:B1480,"&gt;="&amp;(B1476-d_T),B1454:B1480,"&lt;="&amp;(B1476-1))</f>
        <v/>
      </c>
      <c r="S1476" s="46">
        <f>(1-d_u)*S1475+IF(d_T&gt;in_topup_lag,SUMIFS(O1454:O1480,B1454:B1480,B1476-in_topup_lag)-d_udrop*SUMIFS(O1454:O1480,B1454:B1480,B1476-d_T),0)</f>
        <v/>
      </c>
      <c r="T1476" s="40">
        <f>F1476*d_u*S1476</f>
        <v/>
      </c>
      <c r="U1476" s="9">
        <f>L1476*in_ticket+M1476*d_rep_ticket</f>
        <v/>
      </c>
      <c r="V1476" s="9">
        <f>U1476+T1476*d_topup_amt</f>
        <v/>
      </c>
      <c r="W1476" s="40">
        <f>N1476+T1476*d_topup_ratio</f>
        <v/>
      </c>
      <c r="X1476" s="40">
        <f>SUMIFS(W1454:W1480,B1454:B1480,B1476-in_dpd_lag)*d_cured</f>
        <v/>
      </c>
      <c r="Y1476" s="40">
        <f>SUMIFS(W1454:W1480,B1454:B1480,B1476-in_rec_lag)*d_recd</f>
        <v/>
      </c>
      <c r="Z1476" s="40">
        <f>IF(AND(B1476&gt;=in_marketplace_from,B1476&lt;in_marketplace_from+in_card_months),in_card_share/in_card_months*F1476*I1476,IF(AND(B1476&gt;=in_marketplace_from+in_card_months,B1476&lt;in_marketplace_from+2*in_card_months),in_card_share*d_card_rem/in_card_months*F1476*MIN(in_takeup_cap,(1+in_takeup_growth)^(D1476-1))*MIN(in_takeup_cap,(1+in_approval_growth)^(D1476-1)),0))</f>
        <v/>
      </c>
      <c r="AA1476" s="14">
        <f>V1476*in_fee*(1-in_taken_back)</f>
        <v/>
      </c>
      <c r="AB1476" s="14">
        <f>SUMIFS(W1454:W1480,B1454:B1480,B1476-in_dpd_lag)*d_dpd</f>
        <v/>
      </c>
      <c r="AC1476" s="14">
        <f>SUMIFS(W1454:W1480,B1454:B1480,B1476-in_rec_lag)*d_rec</f>
        <v/>
      </c>
      <c r="AD1476" s="14">
        <f>Z1476*in_card_fee</f>
        <v/>
      </c>
      <c r="AE1476" s="40">
        <f>AE1475*(1-IF(B1475&gt;=in_marketplace_from,d_hz_hlth_small*G1475,0))</f>
        <v/>
      </c>
      <c r="AF1476" s="46">
        <f>AE1476*IF(B1476&gt;=in_marketplace_from,d_hz_hlth_small*G1476,0)</f>
        <v/>
      </c>
      <c r="AG1476" s="14">
        <f>F1476*AF1476*in_hlth_small_ticket*in_hlth_small_comm*in_ins_partner_share+F1476*in_hlth_small_ticket*in_hlth_small_renew_comm*in_ins_partner_share*(in_hlth_small_renew^1*SUMIFS(AF1454:AF1480,B1454:B1480,B1476-12)+in_hlth_small_renew^2*SUMIFS(AF1454:AF1480,B1454:B1480,B1476-24)+in_hlth_small_renew^3*SUMIFS(AF1454:AF1480,B1454:B1480,B1476-36)+in_hlth_small_renew^4*SUMIFS(AF1454:AF1480,B1454:B1480,B1476-48))</f>
        <v/>
      </c>
      <c r="AH1476" s="40">
        <f>AH1475*(1-IF(B1475&gt;=in_marketplace_from,d_hz_hlth_family*G1475,0))</f>
        <v/>
      </c>
      <c r="AI1476" s="46">
        <f>AH1476*IF(B1476&gt;=in_marketplace_from,d_hz_hlth_family*G1476,0)</f>
        <v/>
      </c>
      <c r="AJ1476" s="14">
        <f>F1476*AI1476*in_hlth_family_ticket*in_hlth_family_comm*in_ins_partner_share+F1476*in_hlth_family_ticket*in_hlth_family_renew_comm*in_ins_partner_share*(in_hlth_family_renew^1*SUMIFS(AI1454:AI1480,B1454:B1480,B1476-12)+in_hlth_family_renew^2*SUMIFS(AI1454:AI1480,B1454:B1480,B1476-24)+in_hlth_family_renew^3*SUMIFS(AI1454:AI1480,B1454:B1480,B1476-36)+in_hlth_family_renew^4*SUMIFS(AI1454:AI1480,B1454:B1480,B1476-48))</f>
        <v/>
      </c>
      <c r="AK1476" s="40">
        <f>AK1475*(1-IF(B1475&gt;=in_marketplace_from,d_hz_life_term*G1475,0))</f>
        <v/>
      </c>
      <c r="AL1476" s="46">
        <f>AK1476*IF(B1476&gt;=in_marketplace_from,d_hz_life_term*G1476,0)</f>
        <v/>
      </c>
      <c r="AM1476" s="14">
        <f>F1476*AL1476*in_life_term_ticket*in_life_term_comm*in_ins_partner_share+F1476*in_life_term_ticket*in_life_term_renew_comm*in_ins_partner_share*(in_life_term_renew^1*SUMIFS(AL1454:AL1480,B1454:B1480,B1476-12)+in_life_term_renew^2*SUMIFS(AL1454:AL1480,B1454:B1480,B1476-24)+in_life_term_renew^3*SUMIFS(AL1454:AL1480,B1454:B1480,B1476-36)+in_life_term_renew^4*SUMIFS(AL1454:AL1480,B1454:B1480,B1476-48))</f>
        <v/>
      </c>
      <c r="AN1476" s="40">
        <f>AN1475*(1-IF(B1475&gt;=in_marketplace_from,d_hz_accident*G1475,0))</f>
        <v/>
      </c>
      <c r="AO1476" s="46">
        <f>AN1476*IF(B1476&gt;=in_marketplace_from,d_hz_accident*G1476,0)</f>
        <v/>
      </c>
      <c r="AP1476" s="14">
        <f>F1476*AO1476*in_accident_ticket*in_accident_comm*in_ins_partner_share+F1476*in_accident_ticket*in_accident_renew_comm*in_ins_partner_share*(in_accident_renew^1*SUMIFS(AO1454:AO1480,B1454:B1480,B1476-12)+in_accident_renew^2*SUMIFS(AO1454:AO1480,B1454:B1480,B1476-24)+in_accident_renew^3*SUMIFS(AO1454:AO1480,B1454:B1480,B1476-36)+in_accident_renew^4*SUMIFS(AO1454:AO1480,B1454:B1480,B1476-48))</f>
        <v/>
      </c>
      <c r="AQ1476" s="40">
        <f>AQ1475*(1-IF(B1475&gt;=in_marketplace_from,d_hz_two_wheeler*G1475,0))</f>
        <v/>
      </c>
      <c r="AR1476" s="46">
        <f>AQ1476*IF(B1476&gt;=in_marketplace_from,d_hz_two_wheeler*G1476,0)</f>
        <v/>
      </c>
      <c r="AS1476" s="14">
        <f>F1476*AR1476*in_two_wheeler_ticket*in_two_wheeler_comm*in_ins_partner_share+F1476*in_two_wheeler_ticket*in_two_wheeler_comm*in_ins_partner_share*(in_two_wheeler_renew^1*SUMIFS(AR1454:AR1480,B1454:B1480,B1476-12)+in_two_wheeler_renew^2*SUMIFS(AR1454:AR1480,B1454:B1480,B1476-24)+in_two_wheeler_renew^3*SUMIFS(AR1454:AR1480,B1454:B1480,B1476-36)+in_two_wheeler_renew^4*SUMIFS(AR1454:AR1480,B1454:B1480,B1476-48))</f>
        <v/>
      </c>
      <c r="AT1476" s="40">
        <f>AT1475*(1-IF(B1475&gt;=in_marketplace_from,d_hz_device*G1475,0))</f>
        <v/>
      </c>
      <c r="AU1476" s="14">
        <f>F1476*AT1476*IF(B1476&gt;=in_marketplace_from,d_hz_device*G1476,0)*in_device_ticket*in_device_comm*in_ins_partner_share</f>
        <v/>
      </c>
      <c r="AV1476" s="40">
        <f>AV1475*(1-IF(B1475&gt;=in_marketplace_from,d_hz_shop*G1475,0))</f>
        <v/>
      </c>
      <c r="AW1476" s="46">
        <f>AV1476*IF(B1476&gt;=in_marketplace_from,d_hz_shop*G1476,0)</f>
        <v/>
      </c>
      <c r="AX1476" s="14">
        <f>F1476*AW1476*in_shop_ticket*in_shop_comm*in_ins_partner_share+F1476*in_shop_ticket*in_shop_renew_comm*in_ins_partner_share*(in_shop_renew^1*SUMIFS(AW1454:AW1480,B1454:B1480,B1476-12)+in_shop_renew^2*SUMIFS(AW1454:AW1480,B1454:B1480,B1476-24)+in_shop_renew^3*SUMIFS(AW1454:AW1480,B1454:B1480,B1476-36)+in_shop_renew^4*SUMIFS(AW1454:AW1480,B1454:B1480,B1476-48))</f>
        <v/>
      </c>
      <c r="AY1476" s="40">
        <f>AY1475*(1-IF(B1475&gt;=in_marketplace_from,d_hz_sip*G1475,0))</f>
        <v/>
      </c>
      <c r="AZ1476" s="40">
        <f>AZ1475*d_rho_sip+AY1476*IF(B1476&gt;=in_marketplace_from,d_hz_sip*G1476,0)</f>
        <v/>
      </c>
      <c r="BA1476" s="40">
        <f>d_rho_sip*(BA1475+AZ1475)</f>
        <v/>
      </c>
      <c r="BB1476" s="14">
        <f>F1476*in_sip_ticket*(BA1476+0.5*AZ1476)*in_sip_comm/12</f>
        <v/>
      </c>
      <c r="BC1476" s="40">
        <f>BC1475*(1-IF(B1475&gt;=in_marketplace_from,d_hz_choti*G1475,0))</f>
        <v/>
      </c>
      <c r="BD1476" s="46">
        <f>BC1476*IF(B1476&gt;=in_marketplace_from,d_hz_choti*G1476,0)</f>
        <v/>
      </c>
      <c r="BE1476" s="14">
        <f>F1476*SUMIFS(BD1454:BD1480,B1454:B1480,B1476-in_choti_months)*in_choti_renew*in_choti_ticket</f>
        <v/>
      </c>
      <c r="BF1476" s="40">
        <f>BF1475*(1-IF(B1475&gt;=in_marketplace_from,d_hz_nps*G1475,0))</f>
        <v/>
      </c>
      <c r="BG1476" s="14">
        <f>F1476*BF1476*IF(B1476&gt;=in_marketplace_from,d_hz_nps*G1476,0)*in_nps_ticket*in_nps_comm</f>
        <v/>
      </c>
      <c r="BH1476" s="40">
        <f>BH1475*(1-IF(B1475&gt;=in_marketplace_from,d_hz_gold*G1475,0))</f>
        <v/>
      </c>
      <c r="BI1476" s="40">
        <f>BI1475*d_rho_gold+BH1476*IF(B1476&gt;=in_marketplace_from,d_hz_gold*G1476,0)</f>
        <v/>
      </c>
      <c r="BJ1476" s="14">
        <f>F1476*BI1476*in_gold_ticket*in_gold_comm</f>
        <v/>
      </c>
      <c r="BK1476" s="40">
        <f>BK1475*(1-IF(B1475&gt;=in_marketplace_from,d_hz_fd*G1475,0))</f>
        <v/>
      </c>
      <c r="BL1476" s="14">
        <f>F1476*BK1476*IF(B1476&gt;=in_marketplace_from,d_hz_fd*G1476,0)*in_fd_ticket*in_fd_comm</f>
        <v/>
      </c>
      <c r="BM1476" s="40">
        <f>BM1475*(1-IF(B1475&gt;=in_marketplace_from,d_hz_recharge*G1475,0))</f>
        <v/>
      </c>
      <c r="BN1476" s="40">
        <f>BN1475*d_rho_recharge+BM1476*IF(B1476&gt;=in_marketplace_from,d_hz_recharge*G1476,0)</f>
        <v/>
      </c>
      <c r="BO1476" s="14">
        <f>F1476*BN1476*in_recharge_ticket*in_recharge_comm/12</f>
        <v/>
      </c>
      <c r="BP1476" s="40">
        <f>BP1475*(1-IF(B1475&gt;=in_marketplace_from,d_hz_bills*G1475,0))</f>
        <v/>
      </c>
      <c r="BQ1476" s="40">
        <f>BQ1475*d_rho_bills+BP1476*IF(B1476&gt;=in_marketplace_from,d_hz_bills*G1476,0)</f>
        <v/>
      </c>
      <c r="BR1476" s="14">
        <f>F1476*BQ1476*in_bills_ticket*in_bills_comm/12</f>
        <v/>
      </c>
      <c r="BS1476" s="40">
        <f>BS1475*(1-IF(B1475&gt;=in_marketplace_from,d_hz_loan_gold*G1475,0))</f>
        <v/>
      </c>
      <c r="BT1476" s="14">
        <f>F1476*BS1476*IF(B1476&gt;=in_marketplace_from,d_hz_loan_gold*G1476,0)*in_loan_gold_ticket*in_loan_gold_comm</f>
        <v/>
      </c>
      <c r="BU1476" s="40">
        <f>BU1475*(1-IF(B1475&gt;=in_marketplace_from,d_hz_loan_cd*G1475,0))</f>
        <v/>
      </c>
      <c r="BV1476" s="14">
        <f>F1476*BU1476*IF(B1476&gt;=in_marketplace_from,d_hz_loan_cd*G1476,0)*in_loan_cd_ticket*in_loan_cd_comm</f>
        <v/>
      </c>
      <c r="BW1476" s="40">
        <f>BW1475*(1-IF(B1475&gt;=in_marketplace_from,d_hz_loan_vehicle*G1475,0))</f>
        <v/>
      </c>
      <c r="BX1476" s="14">
        <f>F1476*BW1476*IF(B1476&gt;=in_marketplace_from,d_hz_loan_vehicle*G1476,0)*in_loan_vehicle_ticket*in_loan_vehicle_comm</f>
        <v/>
      </c>
      <c r="BY1476" s="40">
        <f>BY1475*(1-IF(B1475&gt;=in_marketplace_from,d_hz_loan_home*G1475,0)*BZ1475)</f>
        <v/>
      </c>
      <c r="BZ1476" s="11">
        <f>MIN(in_approval_cap,in_loan_home_approval*INDEX('Age profile'!$O$2:$O$61,B1476)*(1+in_approval_growth)^(D1476-1))</f>
        <v/>
      </c>
      <c r="CA1476" s="14">
        <f>F1476*BY1476*IF(B1476&gt;=in_marketplace_from,d_hz_loan_home*G1476,0)*BZ1476*in_loan_home_ticket*in_loan_home_comm</f>
        <v/>
      </c>
      <c r="CB1476" s="40">
        <f>CB1475*(1-IF(B1475&gt;=in_marketplace_from,d_hz_loan_lap*G1475,0)*CC1475)</f>
        <v/>
      </c>
      <c r="CC1476" s="11">
        <f>MIN(in_approval_cap,in_loan_lap_approval*INDEX('Age profile'!$O$2:$O$61,B1476)*(1+in_approval_growth)^(D1476-1))</f>
        <v/>
      </c>
      <c r="CD1476" s="14">
        <f>F1476*CB1476*IF(B1476&gt;=in_marketplace_from,d_hz_loan_lap*G1476,0)*CC1476*in_loan_lap_ticket*in_loan_lap_comm</f>
        <v/>
      </c>
      <c r="CE1476" s="14">
        <f>AA1476+AB1476+AC1476+AD1476+AG1476+AJ1476+AM1476+AP1476+AS1476+AU1476+AX1476+BB1476+BE1476+BG1476+BJ1476+BL1476+BO1476+BR1476+BT1476+BV1476+BX1476+CA1476+CD1476</f>
        <v/>
      </c>
    </row>
    <row r="1477">
      <c r="A1477" s="39" t="n">
        <v>34</v>
      </c>
      <c r="B1477" s="39" t="n">
        <v>24</v>
      </c>
      <c r="C1477" s="39">
        <f>A1477+B1477-1</f>
        <v/>
      </c>
      <c r="D1477" s="39">
        <f>INT((C1477-1)/12)+1</f>
        <v/>
      </c>
      <c r="E1477" s="44">
        <f>INDEX(Monthly!$B$2:$B$61,A1477)</f>
        <v/>
      </c>
      <c r="F1477" s="44">
        <f>E1477*INDEX('Age profile'!$B$2:$B$61,B1477)</f>
        <v/>
      </c>
      <c r="G1477" s="45">
        <f>MIN(in_takeup_cap,INDEX('Age profile'!$N$2:$N$61,B1477)*(1+in_takeup_growth)^(D1477-1))</f>
        <v/>
      </c>
      <c r="H1477" s="11">
        <f>MIN(in_approval_cap,in_approved_first*INDEX('Age profile'!$O$2:$O$61,B1477)*(1+in_approval_growth)^(D1477-1))</f>
        <v/>
      </c>
      <c r="I1477" s="45">
        <f>G1477*MIN(in_takeup_cap,INDEX('Age profile'!$O$2:$O$61,B1477)*(1+in_approval_growth)^(D1477-1))</f>
        <v/>
      </c>
      <c r="J1477" s="40">
        <f>(J1476-L1476)*F1477/F1476</f>
        <v/>
      </c>
      <c r="K1477" s="40">
        <f>(K1476-M1476)*F1477/F1476+SUMIFS(O1454:O1476,B1454:B1476,B1477-1-d_T)*F1477</f>
        <v/>
      </c>
      <c r="L1477" s="40">
        <f>IF(B1477&gt;=in_marketplace_from,J1477*d_hz*G1477*in_eligible*H1477,0)</f>
        <v/>
      </c>
      <c r="M1477" s="40">
        <f>IF(B1477&gt;=in_marketplace_from,K1477*d_hz*G1477*in_eligible*in_approved_repeat,0)</f>
        <v/>
      </c>
      <c r="N1477" s="40">
        <f>L1477+M1477</f>
        <v/>
      </c>
      <c r="O1477" s="46">
        <f>N1477/F1477</f>
        <v/>
      </c>
      <c r="P1477" s="40">
        <f>F1477-J1477-K1477</f>
        <v/>
      </c>
      <c r="Q1477" s="40">
        <f>IF(B1477&gt;=in_marketplace_from,(J1477+K1477)*d_hz*G1477,0)</f>
        <v/>
      </c>
      <c r="R1477" s="40">
        <f>SUMIFS(N1454:N1480,B1454:B1480,"&gt;="&amp;(B1477-d_T),B1454:B1480,"&lt;="&amp;(B1477-1))</f>
        <v/>
      </c>
      <c r="S1477" s="46">
        <f>(1-d_u)*S1476+IF(d_T&gt;in_topup_lag,SUMIFS(O1454:O1480,B1454:B1480,B1477-in_topup_lag)-d_udrop*SUMIFS(O1454:O1480,B1454:B1480,B1477-d_T),0)</f>
        <v/>
      </c>
      <c r="T1477" s="40">
        <f>F1477*d_u*S1477</f>
        <v/>
      </c>
      <c r="U1477" s="9">
        <f>L1477*in_ticket+M1477*d_rep_ticket</f>
        <v/>
      </c>
      <c r="V1477" s="9">
        <f>U1477+T1477*d_topup_amt</f>
        <v/>
      </c>
      <c r="W1477" s="40">
        <f>N1477+T1477*d_topup_ratio</f>
        <v/>
      </c>
      <c r="X1477" s="40">
        <f>SUMIFS(W1454:W1480,B1454:B1480,B1477-in_dpd_lag)*d_cured</f>
        <v/>
      </c>
      <c r="Y1477" s="40">
        <f>SUMIFS(W1454:W1480,B1454:B1480,B1477-in_rec_lag)*d_recd</f>
        <v/>
      </c>
      <c r="Z1477" s="40">
        <f>IF(AND(B1477&gt;=in_marketplace_from,B1477&lt;in_marketplace_from+in_card_months),in_card_share/in_card_months*F1477*I1477,IF(AND(B1477&gt;=in_marketplace_from+in_card_months,B1477&lt;in_marketplace_from+2*in_card_months),in_card_share*d_card_rem/in_card_months*F1477*MIN(in_takeup_cap,(1+in_takeup_growth)^(D1477-1))*MIN(in_takeup_cap,(1+in_approval_growth)^(D1477-1)),0))</f>
        <v/>
      </c>
      <c r="AA1477" s="14">
        <f>V1477*in_fee*(1-in_taken_back)</f>
        <v/>
      </c>
      <c r="AB1477" s="14">
        <f>SUMIFS(W1454:W1480,B1454:B1480,B1477-in_dpd_lag)*d_dpd</f>
        <v/>
      </c>
      <c r="AC1477" s="14">
        <f>SUMIFS(W1454:W1480,B1454:B1480,B1477-in_rec_lag)*d_rec</f>
        <v/>
      </c>
      <c r="AD1477" s="14">
        <f>Z1477*in_card_fee</f>
        <v/>
      </c>
      <c r="AE1477" s="40">
        <f>AE1476*(1-IF(B1476&gt;=in_marketplace_from,d_hz_hlth_small*G1476,0))</f>
        <v/>
      </c>
      <c r="AF1477" s="46">
        <f>AE1477*IF(B1477&gt;=in_marketplace_from,d_hz_hlth_small*G1477,0)</f>
        <v/>
      </c>
      <c r="AG1477" s="14">
        <f>F1477*AF1477*in_hlth_small_ticket*in_hlth_small_comm*in_ins_partner_share+F1477*in_hlth_small_ticket*in_hlth_small_renew_comm*in_ins_partner_share*(in_hlth_small_renew^1*SUMIFS(AF1454:AF1480,B1454:B1480,B1477-12)+in_hlth_small_renew^2*SUMIFS(AF1454:AF1480,B1454:B1480,B1477-24)+in_hlth_small_renew^3*SUMIFS(AF1454:AF1480,B1454:B1480,B1477-36)+in_hlth_small_renew^4*SUMIFS(AF1454:AF1480,B1454:B1480,B1477-48))</f>
        <v/>
      </c>
      <c r="AH1477" s="40">
        <f>AH1476*(1-IF(B1476&gt;=in_marketplace_from,d_hz_hlth_family*G1476,0))</f>
        <v/>
      </c>
      <c r="AI1477" s="46">
        <f>AH1477*IF(B1477&gt;=in_marketplace_from,d_hz_hlth_family*G1477,0)</f>
        <v/>
      </c>
      <c r="AJ1477" s="14">
        <f>F1477*AI1477*in_hlth_family_ticket*in_hlth_family_comm*in_ins_partner_share+F1477*in_hlth_family_ticket*in_hlth_family_renew_comm*in_ins_partner_share*(in_hlth_family_renew^1*SUMIFS(AI1454:AI1480,B1454:B1480,B1477-12)+in_hlth_family_renew^2*SUMIFS(AI1454:AI1480,B1454:B1480,B1477-24)+in_hlth_family_renew^3*SUMIFS(AI1454:AI1480,B1454:B1480,B1477-36)+in_hlth_family_renew^4*SUMIFS(AI1454:AI1480,B1454:B1480,B1477-48))</f>
        <v/>
      </c>
      <c r="AK1477" s="40">
        <f>AK1476*(1-IF(B1476&gt;=in_marketplace_from,d_hz_life_term*G1476,0))</f>
        <v/>
      </c>
      <c r="AL1477" s="46">
        <f>AK1477*IF(B1477&gt;=in_marketplace_from,d_hz_life_term*G1477,0)</f>
        <v/>
      </c>
      <c r="AM1477" s="14">
        <f>F1477*AL1477*in_life_term_ticket*in_life_term_comm*in_ins_partner_share+F1477*in_life_term_ticket*in_life_term_renew_comm*in_ins_partner_share*(in_life_term_renew^1*SUMIFS(AL1454:AL1480,B1454:B1480,B1477-12)+in_life_term_renew^2*SUMIFS(AL1454:AL1480,B1454:B1480,B1477-24)+in_life_term_renew^3*SUMIFS(AL1454:AL1480,B1454:B1480,B1477-36)+in_life_term_renew^4*SUMIFS(AL1454:AL1480,B1454:B1480,B1477-48))</f>
        <v/>
      </c>
      <c r="AN1477" s="40">
        <f>AN1476*(1-IF(B1476&gt;=in_marketplace_from,d_hz_accident*G1476,0))</f>
        <v/>
      </c>
      <c r="AO1477" s="46">
        <f>AN1477*IF(B1477&gt;=in_marketplace_from,d_hz_accident*G1477,0)</f>
        <v/>
      </c>
      <c r="AP1477" s="14">
        <f>F1477*AO1477*in_accident_ticket*in_accident_comm*in_ins_partner_share+F1477*in_accident_ticket*in_accident_renew_comm*in_ins_partner_share*(in_accident_renew^1*SUMIFS(AO1454:AO1480,B1454:B1480,B1477-12)+in_accident_renew^2*SUMIFS(AO1454:AO1480,B1454:B1480,B1477-24)+in_accident_renew^3*SUMIFS(AO1454:AO1480,B1454:B1480,B1477-36)+in_accident_renew^4*SUMIFS(AO1454:AO1480,B1454:B1480,B1477-48))</f>
        <v/>
      </c>
      <c r="AQ1477" s="40">
        <f>AQ1476*(1-IF(B1476&gt;=in_marketplace_from,d_hz_two_wheeler*G1476,0))</f>
        <v/>
      </c>
      <c r="AR1477" s="46">
        <f>AQ1477*IF(B1477&gt;=in_marketplace_from,d_hz_two_wheeler*G1477,0)</f>
        <v/>
      </c>
      <c r="AS1477" s="14">
        <f>F1477*AR1477*in_two_wheeler_ticket*in_two_wheeler_comm*in_ins_partner_share+F1477*in_two_wheeler_ticket*in_two_wheeler_comm*in_ins_partner_share*(in_two_wheeler_renew^1*SUMIFS(AR1454:AR1480,B1454:B1480,B1477-12)+in_two_wheeler_renew^2*SUMIFS(AR1454:AR1480,B1454:B1480,B1477-24)+in_two_wheeler_renew^3*SUMIFS(AR1454:AR1480,B1454:B1480,B1477-36)+in_two_wheeler_renew^4*SUMIFS(AR1454:AR1480,B1454:B1480,B1477-48))</f>
        <v/>
      </c>
      <c r="AT1477" s="40">
        <f>AT1476*(1-IF(B1476&gt;=in_marketplace_from,d_hz_device*G1476,0))</f>
        <v/>
      </c>
      <c r="AU1477" s="14">
        <f>F1477*AT1477*IF(B1477&gt;=in_marketplace_from,d_hz_device*G1477,0)*in_device_ticket*in_device_comm*in_ins_partner_share</f>
        <v/>
      </c>
      <c r="AV1477" s="40">
        <f>AV1476*(1-IF(B1476&gt;=in_marketplace_from,d_hz_shop*G1476,0))</f>
        <v/>
      </c>
      <c r="AW1477" s="46">
        <f>AV1477*IF(B1477&gt;=in_marketplace_from,d_hz_shop*G1477,0)</f>
        <v/>
      </c>
      <c r="AX1477" s="14">
        <f>F1477*AW1477*in_shop_ticket*in_shop_comm*in_ins_partner_share+F1477*in_shop_ticket*in_shop_renew_comm*in_ins_partner_share*(in_shop_renew^1*SUMIFS(AW1454:AW1480,B1454:B1480,B1477-12)+in_shop_renew^2*SUMIFS(AW1454:AW1480,B1454:B1480,B1477-24)+in_shop_renew^3*SUMIFS(AW1454:AW1480,B1454:B1480,B1477-36)+in_shop_renew^4*SUMIFS(AW1454:AW1480,B1454:B1480,B1477-48))</f>
        <v/>
      </c>
      <c r="AY1477" s="40">
        <f>AY1476*(1-IF(B1476&gt;=in_marketplace_from,d_hz_sip*G1476,0))</f>
        <v/>
      </c>
      <c r="AZ1477" s="40">
        <f>AZ1476*d_rho_sip+AY1477*IF(B1477&gt;=in_marketplace_from,d_hz_sip*G1477,0)</f>
        <v/>
      </c>
      <c r="BA1477" s="40">
        <f>d_rho_sip*(BA1476+AZ1476)</f>
        <v/>
      </c>
      <c r="BB1477" s="14">
        <f>F1477*in_sip_ticket*(BA1477+0.5*AZ1477)*in_sip_comm/12</f>
        <v/>
      </c>
      <c r="BC1477" s="40">
        <f>BC1476*(1-IF(B1476&gt;=in_marketplace_from,d_hz_choti*G1476,0))</f>
        <v/>
      </c>
      <c r="BD1477" s="46">
        <f>BC1477*IF(B1477&gt;=in_marketplace_from,d_hz_choti*G1477,0)</f>
        <v/>
      </c>
      <c r="BE1477" s="14">
        <f>F1477*SUMIFS(BD1454:BD1480,B1454:B1480,B1477-in_choti_months)*in_choti_renew*in_choti_ticket</f>
        <v/>
      </c>
      <c r="BF1477" s="40">
        <f>BF1476*(1-IF(B1476&gt;=in_marketplace_from,d_hz_nps*G1476,0))</f>
        <v/>
      </c>
      <c r="BG1477" s="14">
        <f>F1477*BF1477*IF(B1477&gt;=in_marketplace_from,d_hz_nps*G1477,0)*in_nps_ticket*in_nps_comm</f>
        <v/>
      </c>
      <c r="BH1477" s="40">
        <f>BH1476*(1-IF(B1476&gt;=in_marketplace_from,d_hz_gold*G1476,0))</f>
        <v/>
      </c>
      <c r="BI1477" s="40">
        <f>BI1476*d_rho_gold+BH1477*IF(B1477&gt;=in_marketplace_from,d_hz_gold*G1477,0)</f>
        <v/>
      </c>
      <c r="BJ1477" s="14">
        <f>F1477*BI1477*in_gold_ticket*in_gold_comm</f>
        <v/>
      </c>
      <c r="BK1477" s="40">
        <f>BK1476*(1-IF(B1476&gt;=in_marketplace_from,d_hz_fd*G1476,0))</f>
        <v/>
      </c>
      <c r="BL1477" s="14">
        <f>F1477*BK1477*IF(B1477&gt;=in_marketplace_from,d_hz_fd*G1477,0)*in_fd_ticket*in_fd_comm</f>
        <v/>
      </c>
      <c r="BM1477" s="40">
        <f>BM1476*(1-IF(B1476&gt;=in_marketplace_from,d_hz_recharge*G1476,0))</f>
        <v/>
      </c>
      <c r="BN1477" s="40">
        <f>BN1476*d_rho_recharge+BM1477*IF(B1477&gt;=in_marketplace_from,d_hz_recharge*G1477,0)</f>
        <v/>
      </c>
      <c r="BO1477" s="14">
        <f>F1477*BN1477*in_recharge_ticket*in_recharge_comm/12</f>
        <v/>
      </c>
      <c r="BP1477" s="40">
        <f>BP1476*(1-IF(B1476&gt;=in_marketplace_from,d_hz_bills*G1476,0))</f>
        <v/>
      </c>
      <c r="BQ1477" s="40">
        <f>BQ1476*d_rho_bills+BP1477*IF(B1477&gt;=in_marketplace_from,d_hz_bills*G1477,0)</f>
        <v/>
      </c>
      <c r="BR1477" s="14">
        <f>F1477*BQ1477*in_bills_ticket*in_bills_comm/12</f>
        <v/>
      </c>
      <c r="BS1477" s="40">
        <f>BS1476*(1-IF(B1476&gt;=in_marketplace_from,d_hz_loan_gold*G1476,0))</f>
        <v/>
      </c>
      <c r="BT1477" s="14">
        <f>F1477*BS1477*IF(B1477&gt;=in_marketplace_from,d_hz_loan_gold*G1477,0)*in_loan_gold_ticket*in_loan_gold_comm</f>
        <v/>
      </c>
      <c r="BU1477" s="40">
        <f>BU1476*(1-IF(B1476&gt;=in_marketplace_from,d_hz_loan_cd*G1476,0))</f>
        <v/>
      </c>
      <c r="BV1477" s="14">
        <f>F1477*BU1477*IF(B1477&gt;=in_marketplace_from,d_hz_loan_cd*G1477,0)*in_loan_cd_ticket*in_loan_cd_comm</f>
        <v/>
      </c>
      <c r="BW1477" s="40">
        <f>BW1476*(1-IF(B1476&gt;=in_marketplace_from,d_hz_loan_vehicle*G1476,0))</f>
        <v/>
      </c>
      <c r="BX1477" s="14">
        <f>F1477*BW1477*IF(B1477&gt;=in_marketplace_from,d_hz_loan_vehicle*G1477,0)*in_loan_vehicle_ticket*in_loan_vehicle_comm</f>
        <v/>
      </c>
      <c r="BY1477" s="40">
        <f>BY1476*(1-IF(B1476&gt;=in_marketplace_from,d_hz_loan_home*G1476,0)*BZ1476)</f>
        <v/>
      </c>
      <c r="BZ1477" s="11">
        <f>MIN(in_approval_cap,in_loan_home_approval*INDEX('Age profile'!$O$2:$O$61,B1477)*(1+in_approval_growth)^(D1477-1))</f>
        <v/>
      </c>
      <c r="CA1477" s="14">
        <f>F1477*BY1477*IF(B1477&gt;=in_marketplace_from,d_hz_loan_home*G1477,0)*BZ1477*in_loan_home_ticket*in_loan_home_comm</f>
        <v/>
      </c>
      <c r="CB1477" s="40">
        <f>CB1476*(1-IF(B1476&gt;=in_marketplace_from,d_hz_loan_lap*G1476,0)*CC1476)</f>
        <v/>
      </c>
      <c r="CC1477" s="11">
        <f>MIN(in_approval_cap,in_loan_lap_approval*INDEX('Age profile'!$O$2:$O$61,B1477)*(1+in_approval_growth)^(D1477-1))</f>
        <v/>
      </c>
      <c r="CD1477" s="14">
        <f>F1477*CB1477*IF(B1477&gt;=in_marketplace_from,d_hz_loan_lap*G1477,0)*CC1477*in_loan_lap_ticket*in_loan_lap_comm</f>
        <v/>
      </c>
      <c r="CE1477" s="14">
        <f>AA1477+AB1477+AC1477+AD1477+AG1477+AJ1477+AM1477+AP1477+AS1477+AU1477+AX1477+BB1477+BE1477+BG1477+BJ1477+BL1477+BO1477+BR1477+BT1477+BV1477+BX1477+CA1477+CD1477</f>
        <v/>
      </c>
    </row>
    <row r="1478">
      <c r="A1478" s="39" t="n">
        <v>34</v>
      </c>
      <c r="B1478" s="39" t="n">
        <v>25</v>
      </c>
      <c r="C1478" s="39">
        <f>A1478+B1478-1</f>
        <v/>
      </c>
      <c r="D1478" s="39">
        <f>INT((C1478-1)/12)+1</f>
        <v/>
      </c>
      <c r="E1478" s="44">
        <f>INDEX(Monthly!$B$2:$B$61,A1478)</f>
        <v/>
      </c>
      <c r="F1478" s="44">
        <f>E1478*INDEX('Age profile'!$B$2:$B$61,B1478)</f>
        <v/>
      </c>
      <c r="G1478" s="45">
        <f>MIN(in_takeup_cap,INDEX('Age profile'!$N$2:$N$61,B1478)*(1+in_takeup_growth)^(D1478-1))</f>
        <v/>
      </c>
      <c r="H1478" s="11">
        <f>MIN(in_approval_cap,in_approved_first*INDEX('Age profile'!$O$2:$O$61,B1478)*(1+in_approval_growth)^(D1478-1))</f>
        <v/>
      </c>
      <c r="I1478" s="45">
        <f>G1478*MIN(in_takeup_cap,INDEX('Age profile'!$O$2:$O$61,B1478)*(1+in_approval_growth)^(D1478-1))</f>
        <v/>
      </c>
      <c r="J1478" s="40">
        <f>(J1477-L1477)*F1478/F1477</f>
        <v/>
      </c>
      <c r="K1478" s="40">
        <f>(K1477-M1477)*F1478/F1477+SUMIFS(O1454:O1477,B1454:B1477,B1478-1-d_T)*F1478</f>
        <v/>
      </c>
      <c r="L1478" s="40">
        <f>IF(B1478&gt;=in_marketplace_from,J1478*d_hz*G1478*in_eligible*H1478,0)</f>
        <v/>
      </c>
      <c r="M1478" s="40">
        <f>IF(B1478&gt;=in_marketplace_from,K1478*d_hz*G1478*in_eligible*in_approved_repeat,0)</f>
        <v/>
      </c>
      <c r="N1478" s="40">
        <f>L1478+M1478</f>
        <v/>
      </c>
      <c r="O1478" s="46">
        <f>N1478/F1478</f>
        <v/>
      </c>
      <c r="P1478" s="40">
        <f>F1478-J1478-K1478</f>
        <v/>
      </c>
      <c r="Q1478" s="40">
        <f>IF(B1478&gt;=in_marketplace_from,(J1478+K1478)*d_hz*G1478,0)</f>
        <v/>
      </c>
      <c r="R1478" s="40">
        <f>SUMIFS(N1454:N1480,B1454:B1480,"&gt;="&amp;(B1478-d_T),B1454:B1480,"&lt;="&amp;(B1478-1))</f>
        <v/>
      </c>
      <c r="S1478" s="46">
        <f>(1-d_u)*S1477+IF(d_T&gt;in_topup_lag,SUMIFS(O1454:O1480,B1454:B1480,B1478-in_topup_lag)-d_udrop*SUMIFS(O1454:O1480,B1454:B1480,B1478-d_T),0)</f>
        <v/>
      </c>
      <c r="T1478" s="40">
        <f>F1478*d_u*S1478</f>
        <v/>
      </c>
      <c r="U1478" s="9">
        <f>L1478*in_ticket+M1478*d_rep_ticket</f>
        <v/>
      </c>
      <c r="V1478" s="9">
        <f>U1478+T1478*d_topup_amt</f>
        <v/>
      </c>
      <c r="W1478" s="40">
        <f>N1478+T1478*d_topup_ratio</f>
        <v/>
      </c>
      <c r="X1478" s="40">
        <f>SUMIFS(W1454:W1480,B1454:B1480,B1478-in_dpd_lag)*d_cured</f>
        <v/>
      </c>
      <c r="Y1478" s="40">
        <f>SUMIFS(W1454:W1480,B1454:B1480,B1478-in_rec_lag)*d_recd</f>
        <v/>
      </c>
      <c r="Z1478" s="40">
        <f>IF(AND(B1478&gt;=in_marketplace_from,B1478&lt;in_marketplace_from+in_card_months),in_card_share/in_card_months*F1478*I1478,IF(AND(B1478&gt;=in_marketplace_from+in_card_months,B1478&lt;in_marketplace_from+2*in_card_months),in_card_share*d_card_rem/in_card_months*F1478*MIN(in_takeup_cap,(1+in_takeup_growth)^(D1478-1))*MIN(in_takeup_cap,(1+in_approval_growth)^(D1478-1)),0))</f>
        <v/>
      </c>
      <c r="AA1478" s="14">
        <f>V1478*in_fee*(1-in_taken_back)</f>
        <v/>
      </c>
      <c r="AB1478" s="14">
        <f>SUMIFS(W1454:W1480,B1454:B1480,B1478-in_dpd_lag)*d_dpd</f>
        <v/>
      </c>
      <c r="AC1478" s="14">
        <f>SUMIFS(W1454:W1480,B1454:B1480,B1478-in_rec_lag)*d_rec</f>
        <v/>
      </c>
      <c r="AD1478" s="14">
        <f>Z1478*in_card_fee</f>
        <v/>
      </c>
      <c r="AE1478" s="40">
        <f>AE1477*(1-IF(B1477&gt;=in_marketplace_from,d_hz_hlth_small*G1477,0))</f>
        <v/>
      </c>
      <c r="AF1478" s="46">
        <f>AE1478*IF(B1478&gt;=in_marketplace_from,d_hz_hlth_small*G1478,0)</f>
        <v/>
      </c>
      <c r="AG1478" s="14">
        <f>F1478*AF1478*in_hlth_small_ticket*in_hlth_small_comm*in_ins_partner_share+F1478*in_hlth_small_ticket*in_hlth_small_renew_comm*in_ins_partner_share*(in_hlth_small_renew^1*SUMIFS(AF1454:AF1480,B1454:B1480,B1478-12)+in_hlth_small_renew^2*SUMIFS(AF1454:AF1480,B1454:B1480,B1478-24)+in_hlth_small_renew^3*SUMIFS(AF1454:AF1480,B1454:B1480,B1478-36)+in_hlth_small_renew^4*SUMIFS(AF1454:AF1480,B1454:B1480,B1478-48))</f>
        <v/>
      </c>
      <c r="AH1478" s="40">
        <f>AH1477*(1-IF(B1477&gt;=in_marketplace_from,d_hz_hlth_family*G1477,0))</f>
        <v/>
      </c>
      <c r="AI1478" s="46">
        <f>AH1478*IF(B1478&gt;=in_marketplace_from,d_hz_hlth_family*G1478,0)</f>
        <v/>
      </c>
      <c r="AJ1478" s="14">
        <f>F1478*AI1478*in_hlth_family_ticket*in_hlth_family_comm*in_ins_partner_share+F1478*in_hlth_family_ticket*in_hlth_family_renew_comm*in_ins_partner_share*(in_hlth_family_renew^1*SUMIFS(AI1454:AI1480,B1454:B1480,B1478-12)+in_hlth_family_renew^2*SUMIFS(AI1454:AI1480,B1454:B1480,B1478-24)+in_hlth_family_renew^3*SUMIFS(AI1454:AI1480,B1454:B1480,B1478-36)+in_hlth_family_renew^4*SUMIFS(AI1454:AI1480,B1454:B1480,B1478-48))</f>
        <v/>
      </c>
      <c r="AK1478" s="40">
        <f>AK1477*(1-IF(B1477&gt;=in_marketplace_from,d_hz_life_term*G1477,0))</f>
        <v/>
      </c>
      <c r="AL1478" s="46">
        <f>AK1478*IF(B1478&gt;=in_marketplace_from,d_hz_life_term*G1478,0)</f>
        <v/>
      </c>
      <c r="AM1478" s="14">
        <f>F1478*AL1478*in_life_term_ticket*in_life_term_comm*in_ins_partner_share+F1478*in_life_term_ticket*in_life_term_renew_comm*in_ins_partner_share*(in_life_term_renew^1*SUMIFS(AL1454:AL1480,B1454:B1480,B1478-12)+in_life_term_renew^2*SUMIFS(AL1454:AL1480,B1454:B1480,B1478-24)+in_life_term_renew^3*SUMIFS(AL1454:AL1480,B1454:B1480,B1478-36)+in_life_term_renew^4*SUMIFS(AL1454:AL1480,B1454:B1480,B1478-48))</f>
        <v/>
      </c>
      <c r="AN1478" s="40">
        <f>AN1477*(1-IF(B1477&gt;=in_marketplace_from,d_hz_accident*G1477,0))</f>
        <v/>
      </c>
      <c r="AO1478" s="46">
        <f>AN1478*IF(B1478&gt;=in_marketplace_from,d_hz_accident*G1478,0)</f>
        <v/>
      </c>
      <c r="AP1478" s="14">
        <f>F1478*AO1478*in_accident_ticket*in_accident_comm*in_ins_partner_share+F1478*in_accident_ticket*in_accident_renew_comm*in_ins_partner_share*(in_accident_renew^1*SUMIFS(AO1454:AO1480,B1454:B1480,B1478-12)+in_accident_renew^2*SUMIFS(AO1454:AO1480,B1454:B1480,B1478-24)+in_accident_renew^3*SUMIFS(AO1454:AO1480,B1454:B1480,B1478-36)+in_accident_renew^4*SUMIFS(AO1454:AO1480,B1454:B1480,B1478-48))</f>
        <v/>
      </c>
      <c r="AQ1478" s="40">
        <f>AQ1477*(1-IF(B1477&gt;=in_marketplace_from,d_hz_two_wheeler*G1477,0))</f>
        <v/>
      </c>
      <c r="AR1478" s="46">
        <f>AQ1478*IF(B1478&gt;=in_marketplace_from,d_hz_two_wheeler*G1478,0)</f>
        <v/>
      </c>
      <c r="AS1478" s="14">
        <f>F1478*AR1478*in_two_wheeler_ticket*in_two_wheeler_comm*in_ins_partner_share+F1478*in_two_wheeler_ticket*in_two_wheeler_comm*in_ins_partner_share*(in_two_wheeler_renew^1*SUMIFS(AR1454:AR1480,B1454:B1480,B1478-12)+in_two_wheeler_renew^2*SUMIFS(AR1454:AR1480,B1454:B1480,B1478-24)+in_two_wheeler_renew^3*SUMIFS(AR1454:AR1480,B1454:B1480,B1478-36)+in_two_wheeler_renew^4*SUMIFS(AR1454:AR1480,B1454:B1480,B1478-48))</f>
        <v/>
      </c>
      <c r="AT1478" s="40">
        <f>AT1477*(1-IF(B1477&gt;=in_marketplace_from,d_hz_device*G1477,0))</f>
        <v/>
      </c>
      <c r="AU1478" s="14">
        <f>F1478*AT1478*IF(B1478&gt;=in_marketplace_from,d_hz_device*G1478,0)*in_device_ticket*in_device_comm*in_ins_partner_share</f>
        <v/>
      </c>
      <c r="AV1478" s="40">
        <f>AV1477*(1-IF(B1477&gt;=in_marketplace_from,d_hz_shop*G1477,0))</f>
        <v/>
      </c>
      <c r="AW1478" s="46">
        <f>AV1478*IF(B1478&gt;=in_marketplace_from,d_hz_shop*G1478,0)</f>
        <v/>
      </c>
      <c r="AX1478" s="14">
        <f>F1478*AW1478*in_shop_ticket*in_shop_comm*in_ins_partner_share+F1478*in_shop_ticket*in_shop_renew_comm*in_ins_partner_share*(in_shop_renew^1*SUMIFS(AW1454:AW1480,B1454:B1480,B1478-12)+in_shop_renew^2*SUMIFS(AW1454:AW1480,B1454:B1480,B1478-24)+in_shop_renew^3*SUMIFS(AW1454:AW1480,B1454:B1480,B1478-36)+in_shop_renew^4*SUMIFS(AW1454:AW1480,B1454:B1480,B1478-48))</f>
        <v/>
      </c>
      <c r="AY1478" s="40">
        <f>AY1477*(1-IF(B1477&gt;=in_marketplace_from,d_hz_sip*G1477,0))</f>
        <v/>
      </c>
      <c r="AZ1478" s="40">
        <f>AZ1477*d_rho_sip+AY1478*IF(B1478&gt;=in_marketplace_from,d_hz_sip*G1478,0)</f>
        <v/>
      </c>
      <c r="BA1478" s="40">
        <f>d_rho_sip*(BA1477+AZ1477)</f>
        <v/>
      </c>
      <c r="BB1478" s="14">
        <f>F1478*in_sip_ticket*(BA1478+0.5*AZ1478)*in_sip_comm/12</f>
        <v/>
      </c>
      <c r="BC1478" s="40">
        <f>BC1477*(1-IF(B1477&gt;=in_marketplace_from,d_hz_choti*G1477,0))</f>
        <v/>
      </c>
      <c r="BD1478" s="46">
        <f>BC1478*IF(B1478&gt;=in_marketplace_from,d_hz_choti*G1478,0)</f>
        <v/>
      </c>
      <c r="BE1478" s="14">
        <f>F1478*SUMIFS(BD1454:BD1480,B1454:B1480,B1478-in_choti_months)*in_choti_renew*in_choti_ticket</f>
        <v/>
      </c>
      <c r="BF1478" s="40">
        <f>BF1477*(1-IF(B1477&gt;=in_marketplace_from,d_hz_nps*G1477,0))</f>
        <v/>
      </c>
      <c r="BG1478" s="14">
        <f>F1478*BF1478*IF(B1478&gt;=in_marketplace_from,d_hz_nps*G1478,0)*in_nps_ticket*in_nps_comm</f>
        <v/>
      </c>
      <c r="BH1478" s="40">
        <f>BH1477*(1-IF(B1477&gt;=in_marketplace_from,d_hz_gold*G1477,0))</f>
        <v/>
      </c>
      <c r="BI1478" s="40">
        <f>BI1477*d_rho_gold+BH1478*IF(B1478&gt;=in_marketplace_from,d_hz_gold*G1478,0)</f>
        <v/>
      </c>
      <c r="BJ1478" s="14">
        <f>F1478*BI1478*in_gold_ticket*in_gold_comm</f>
        <v/>
      </c>
      <c r="BK1478" s="40">
        <f>BK1477*(1-IF(B1477&gt;=in_marketplace_from,d_hz_fd*G1477,0))</f>
        <v/>
      </c>
      <c r="BL1478" s="14">
        <f>F1478*BK1478*IF(B1478&gt;=in_marketplace_from,d_hz_fd*G1478,0)*in_fd_ticket*in_fd_comm</f>
        <v/>
      </c>
      <c r="BM1478" s="40">
        <f>BM1477*(1-IF(B1477&gt;=in_marketplace_from,d_hz_recharge*G1477,0))</f>
        <v/>
      </c>
      <c r="BN1478" s="40">
        <f>BN1477*d_rho_recharge+BM1478*IF(B1478&gt;=in_marketplace_from,d_hz_recharge*G1478,0)</f>
        <v/>
      </c>
      <c r="BO1478" s="14">
        <f>F1478*BN1478*in_recharge_ticket*in_recharge_comm/12</f>
        <v/>
      </c>
      <c r="BP1478" s="40">
        <f>BP1477*(1-IF(B1477&gt;=in_marketplace_from,d_hz_bills*G1477,0))</f>
        <v/>
      </c>
      <c r="BQ1478" s="40">
        <f>BQ1477*d_rho_bills+BP1478*IF(B1478&gt;=in_marketplace_from,d_hz_bills*G1478,0)</f>
        <v/>
      </c>
      <c r="BR1478" s="14">
        <f>F1478*BQ1478*in_bills_ticket*in_bills_comm/12</f>
        <v/>
      </c>
      <c r="BS1478" s="40">
        <f>BS1477*(1-IF(B1477&gt;=in_marketplace_from,d_hz_loan_gold*G1477,0))</f>
        <v/>
      </c>
      <c r="BT1478" s="14">
        <f>F1478*BS1478*IF(B1478&gt;=in_marketplace_from,d_hz_loan_gold*G1478,0)*in_loan_gold_ticket*in_loan_gold_comm</f>
        <v/>
      </c>
      <c r="BU1478" s="40">
        <f>BU1477*(1-IF(B1477&gt;=in_marketplace_from,d_hz_loan_cd*G1477,0))</f>
        <v/>
      </c>
      <c r="BV1478" s="14">
        <f>F1478*BU1478*IF(B1478&gt;=in_marketplace_from,d_hz_loan_cd*G1478,0)*in_loan_cd_ticket*in_loan_cd_comm</f>
        <v/>
      </c>
      <c r="BW1478" s="40">
        <f>BW1477*(1-IF(B1477&gt;=in_marketplace_from,d_hz_loan_vehicle*G1477,0))</f>
        <v/>
      </c>
      <c r="BX1478" s="14">
        <f>F1478*BW1478*IF(B1478&gt;=in_marketplace_from,d_hz_loan_vehicle*G1478,0)*in_loan_vehicle_ticket*in_loan_vehicle_comm</f>
        <v/>
      </c>
      <c r="BY1478" s="40">
        <f>BY1477*(1-IF(B1477&gt;=in_marketplace_from,d_hz_loan_home*G1477,0)*BZ1477)</f>
        <v/>
      </c>
      <c r="BZ1478" s="11">
        <f>MIN(in_approval_cap,in_loan_home_approval*INDEX('Age profile'!$O$2:$O$61,B1478)*(1+in_approval_growth)^(D1478-1))</f>
        <v/>
      </c>
      <c r="CA1478" s="14">
        <f>F1478*BY1478*IF(B1478&gt;=in_marketplace_from,d_hz_loan_home*G1478,0)*BZ1478*in_loan_home_ticket*in_loan_home_comm</f>
        <v/>
      </c>
      <c r="CB1478" s="40">
        <f>CB1477*(1-IF(B1477&gt;=in_marketplace_from,d_hz_loan_lap*G1477,0)*CC1477)</f>
        <v/>
      </c>
      <c r="CC1478" s="11">
        <f>MIN(in_approval_cap,in_loan_lap_approval*INDEX('Age profile'!$O$2:$O$61,B1478)*(1+in_approval_growth)^(D1478-1))</f>
        <v/>
      </c>
      <c r="CD1478" s="14">
        <f>F1478*CB1478*IF(B1478&gt;=in_marketplace_from,d_hz_loan_lap*G1478,0)*CC1478*in_loan_lap_ticket*in_loan_lap_comm</f>
        <v/>
      </c>
      <c r="CE1478" s="14">
        <f>AA1478+AB1478+AC1478+AD1478+AG1478+AJ1478+AM1478+AP1478+AS1478+AU1478+AX1478+BB1478+BE1478+BG1478+BJ1478+BL1478+BO1478+BR1478+BT1478+BV1478+BX1478+CA1478+CD1478</f>
        <v/>
      </c>
    </row>
    <row r="1479">
      <c r="A1479" s="39" t="n">
        <v>34</v>
      </c>
      <c r="B1479" s="39" t="n">
        <v>26</v>
      </c>
      <c r="C1479" s="39">
        <f>A1479+B1479-1</f>
        <v/>
      </c>
      <c r="D1479" s="39">
        <f>INT((C1479-1)/12)+1</f>
        <v/>
      </c>
      <c r="E1479" s="44">
        <f>INDEX(Monthly!$B$2:$B$61,A1479)</f>
        <v/>
      </c>
      <c r="F1479" s="44">
        <f>E1479*INDEX('Age profile'!$B$2:$B$61,B1479)</f>
        <v/>
      </c>
      <c r="G1479" s="45">
        <f>MIN(in_takeup_cap,INDEX('Age profile'!$N$2:$N$61,B1479)*(1+in_takeup_growth)^(D1479-1))</f>
        <v/>
      </c>
      <c r="H1479" s="11">
        <f>MIN(in_approval_cap,in_approved_first*INDEX('Age profile'!$O$2:$O$61,B1479)*(1+in_approval_growth)^(D1479-1))</f>
        <v/>
      </c>
      <c r="I1479" s="45">
        <f>G1479*MIN(in_takeup_cap,INDEX('Age profile'!$O$2:$O$61,B1479)*(1+in_approval_growth)^(D1479-1))</f>
        <v/>
      </c>
      <c r="J1479" s="40">
        <f>(J1478-L1478)*F1479/F1478</f>
        <v/>
      </c>
      <c r="K1479" s="40">
        <f>(K1478-M1478)*F1479/F1478+SUMIFS(O1454:O1478,B1454:B1478,B1479-1-d_T)*F1479</f>
        <v/>
      </c>
      <c r="L1479" s="40">
        <f>IF(B1479&gt;=in_marketplace_from,J1479*d_hz*G1479*in_eligible*H1479,0)</f>
        <v/>
      </c>
      <c r="M1479" s="40">
        <f>IF(B1479&gt;=in_marketplace_from,K1479*d_hz*G1479*in_eligible*in_approved_repeat,0)</f>
        <v/>
      </c>
      <c r="N1479" s="40">
        <f>L1479+M1479</f>
        <v/>
      </c>
      <c r="O1479" s="46">
        <f>N1479/F1479</f>
        <v/>
      </c>
      <c r="P1479" s="40">
        <f>F1479-J1479-K1479</f>
        <v/>
      </c>
      <c r="Q1479" s="40">
        <f>IF(B1479&gt;=in_marketplace_from,(J1479+K1479)*d_hz*G1479,0)</f>
        <v/>
      </c>
      <c r="R1479" s="40">
        <f>SUMIFS(N1454:N1480,B1454:B1480,"&gt;="&amp;(B1479-d_T),B1454:B1480,"&lt;="&amp;(B1479-1))</f>
        <v/>
      </c>
      <c r="S1479" s="46">
        <f>(1-d_u)*S1478+IF(d_T&gt;in_topup_lag,SUMIFS(O1454:O1480,B1454:B1480,B1479-in_topup_lag)-d_udrop*SUMIFS(O1454:O1480,B1454:B1480,B1479-d_T),0)</f>
        <v/>
      </c>
      <c r="T1479" s="40">
        <f>F1479*d_u*S1479</f>
        <v/>
      </c>
      <c r="U1479" s="9">
        <f>L1479*in_ticket+M1479*d_rep_ticket</f>
        <v/>
      </c>
      <c r="V1479" s="9">
        <f>U1479+T1479*d_topup_amt</f>
        <v/>
      </c>
      <c r="W1479" s="40">
        <f>N1479+T1479*d_topup_ratio</f>
        <v/>
      </c>
      <c r="X1479" s="40">
        <f>SUMIFS(W1454:W1480,B1454:B1480,B1479-in_dpd_lag)*d_cured</f>
        <v/>
      </c>
      <c r="Y1479" s="40">
        <f>SUMIFS(W1454:W1480,B1454:B1480,B1479-in_rec_lag)*d_recd</f>
        <v/>
      </c>
      <c r="Z1479" s="40">
        <f>IF(AND(B1479&gt;=in_marketplace_from,B1479&lt;in_marketplace_from+in_card_months),in_card_share/in_card_months*F1479*I1479,IF(AND(B1479&gt;=in_marketplace_from+in_card_months,B1479&lt;in_marketplace_from+2*in_card_months),in_card_share*d_card_rem/in_card_months*F1479*MIN(in_takeup_cap,(1+in_takeup_growth)^(D1479-1))*MIN(in_takeup_cap,(1+in_approval_growth)^(D1479-1)),0))</f>
        <v/>
      </c>
      <c r="AA1479" s="14">
        <f>V1479*in_fee*(1-in_taken_back)</f>
        <v/>
      </c>
      <c r="AB1479" s="14">
        <f>SUMIFS(W1454:W1480,B1454:B1480,B1479-in_dpd_lag)*d_dpd</f>
        <v/>
      </c>
      <c r="AC1479" s="14">
        <f>SUMIFS(W1454:W1480,B1454:B1480,B1479-in_rec_lag)*d_rec</f>
        <v/>
      </c>
      <c r="AD1479" s="14">
        <f>Z1479*in_card_fee</f>
        <v/>
      </c>
      <c r="AE1479" s="40">
        <f>AE1478*(1-IF(B1478&gt;=in_marketplace_from,d_hz_hlth_small*G1478,0))</f>
        <v/>
      </c>
      <c r="AF1479" s="46">
        <f>AE1479*IF(B1479&gt;=in_marketplace_from,d_hz_hlth_small*G1479,0)</f>
        <v/>
      </c>
      <c r="AG1479" s="14">
        <f>F1479*AF1479*in_hlth_small_ticket*in_hlth_small_comm*in_ins_partner_share+F1479*in_hlth_small_ticket*in_hlth_small_renew_comm*in_ins_partner_share*(in_hlth_small_renew^1*SUMIFS(AF1454:AF1480,B1454:B1480,B1479-12)+in_hlth_small_renew^2*SUMIFS(AF1454:AF1480,B1454:B1480,B1479-24)+in_hlth_small_renew^3*SUMIFS(AF1454:AF1480,B1454:B1480,B1479-36)+in_hlth_small_renew^4*SUMIFS(AF1454:AF1480,B1454:B1480,B1479-48))</f>
        <v/>
      </c>
      <c r="AH1479" s="40">
        <f>AH1478*(1-IF(B1478&gt;=in_marketplace_from,d_hz_hlth_family*G1478,0))</f>
        <v/>
      </c>
      <c r="AI1479" s="46">
        <f>AH1479*IF(B1479&gt;=in_marketplace_from,d_hz_hlth_family*G1479,0)</f>
        <v/>
      </c>
      <c r="AJ1479" s="14">
        <f>F1479*AI1479*in_hlth_family_ticket*in_hlth_family_comm*in_ins_partner_share+F1479*in_hlth_family_ticket*in_hlth_family_renew_comm*in_ins_partner_share*(in_hlth_family_renew^1*SUMIFS(AI1454:AI1480,B1454:B1480,B1479-12)+in_hlth_family_renew^2*SUMIFS(AI1454:AI1480,B1454:B1480,B1479-24)+in_hlth_family_renew^3*SUMIFS(AI1454:AI1480,B1454:B1480,B1479-36)+in_hlth_family_renew^4*SUMIFS(AI1454:AI1480,B1454:B1480,B1479-48))</f>
        <v/>
      </c>
      <c r="AK1479" s="40">
        <f>AK1478*(1-IF(B1478&gt;=in_marketplace_from,d_hz_life_term*G1478,0))</f>
        <v/>
      </c>
      <c r="AL1479" s="46">
        <f>AK1479*IF(B1479&gt;=in_marketplace_from,d_hz_life_term*G1479,0)</f>
        <v/>
      </c>
      <c r="AM1479" s="14">
        <f>F1479*AL1479*in_life_term_ticket*in_life_term_comm*in_ins_partner_share+F1479*in_life_term_ticket*in_life_term_renew_comm*in_ins_partner_share*(in_life_term_renew^1*SUMIFS(AL1454:AL1480,B1454:B1480,B1479-12)+in_life_term_renew^2*SUMIFS(AL1454:AL1480,B1454:B1480,B1479-24)+in_life_term_renew^3*SUMIFS(AL1454:AL1480,B1454:B1480,B1479-36)+in_life_term_renew^4*SUMIFS(AL1454:AL1480,B1454:B1480,B1479-48))</f>
        <v/>
      </c>
      <c r="AN1479" s="40">
        <f>AN1478*(1-IF(B1478&gt;=in_marketplace_from,d_hz_accident*G1478,0))</f>
        <v/>
      </c>
      <c r="AO1479" s="46">
        <f>AN1479*IF(B1479&gt;=in_marketplace_from,d_hz_accident*G1479,0)</f>
        <v/>
      </c>
      <c r="AP1479" s="14">
        <f>F1479*AO1479*in_accident_ticket*in_accident_comm*in_ins_partner_share+F1479*in_accident_ticket*in_accident_renew_comm*in_ins_partner_share*(in_accident_renew^1*SUMIFS(AO1454:AO1480,B1454:B1480,B1479-12)+in_accident_renew^2*SUMIFS(AO1454:AO1480,B1454:B1480,B1479-24)+in_accident_renew^3*SUMIFS(AO1454:AO1480,B1454:B1480,B1479-36)+in_accident_renew^4*SUMIFS(AO1454:AO1480,B1454:B1480,B1479-48))</f>
        <v/>
      </c>
      <c r="AQ1479" s="40">
        <f>AQ1478*(1-IF(B1478&gt;=in_marketplace_from,d_hz_two_wheeler*G1478,0))</f>
        <v/>
      </c>
      <c r="AR1479" s="46">
        <f>AQ1479*IF(B1479&gt;=in_marketplace_from,d_hz_two_wheeler*G1479,0)</f>
        <v/>
      </c>
      <c r="AS1479" s="14">
        <f>F1479*AR1479*in_two_wheeler_ticket*in_two_wheeler_comm*in_ins_partner_share+F1479*in_two_wheeler_ticket*in_two_wheeler_comm*in_ins_partner_share*(in_two_wheeler_renew^1*SUMIFS(AR1454:AR1480,B1454:B1480,B1479-12)+in_two_wheeler_renew^2*SUMIFS(AR1454:AR1480,B1454:B1480,B1479-24)+in_two_wheeler_renew^3*SUMIFS(AR1454:AR1480,B1454:B1480,B1479-36)+in_two_wheeler_renew^4*SUMIFS(AR1454:AR1480,B1454:B1480,B1479-48))</f>
        <v/>
      </c>
      <c r="AT1479" s="40">
        <f>AT1478*(1-IF(B1478&gt;=in_marketplace_from,d_hz_device*G1478,0))</f>
        <v/>
      </c>
      <c r="AU1479" s="14">
        <f>F1479*AT1479*IF(B1479&gt;=in_marketplace_from,d_hz_device*G1479,0)*in_device_ticket*in_device_comm*in_ins_partner_share</f>
        <v/>
      </c>
      <c r="AV1479" s="40">
        <f>AV1478*(1-IF(B1478&gt;=in_marketplace_from,d_hz_shop*G1478,0))</f>
        <v/>
      </c>
      <c r="AW1479" s="46">
        <f>AV1479*IF(B1479&gt;=in_marketplace_from,d_hz_shop*G1479,0)</f>
        <v/>
      </c>
      <c r="AX1479" s="14">
        <f>F1479*AW1479*in_shop_ticket*in_shop_comm*in_ins_partner_share+F1479*in_shop_ticket*in_shop_renew_comm*in_ins_partner_share*(in_shop_renew^1*SUMIFS(AW1454:AW1480,B1454:B1480,B1479-12)+in_shop_renew^2*SUMIFS(AW1454:AW1480,B1454:B1480,B1479-24)+in_shop_renew^3*SUMIFS(AW1454:AW1480,B1454:B1480,B1479-36)+in_shop_renew^4*SUMIFS(AW1454:AW1480,B1454:B1480,B1479-48))</f>
        <v/>
      </c>
      <c r="AY1479" s="40">
        <f>AY1478*(1-IF(B1478&gt;=in_marketplace_from,d_hz_sip*G1478,0))</f>
        <v/>
      </c>
      <c r="AZ1479" s="40">
        <f>AZ1478*d_rho_sip+AY1479*IF(B1479&gt;=in_marketplace_from,d_hz_sip*G1479,0)</f>
        <v/>
      </c>
      <c r="BA1479" s="40">
        <f>d_rho_sip*(BA1478+AZ1478)</f>
        <v/>
      </c>
      <c r="BB1479" s="14">
        <f>F1479*in_sip_ticket*(BA1479+0.5*AZ1479)*in_sip_comm/12</f>
        <v/>
      </c>
      <c r="BC1479" s="40">
        <f>BC1478*(1-IF(B1478&gt;=in_marketplace_from,d_hz_choti*G1478,0))</f>
        <v/>
      </c>
      <c r="BD1479" s="46">
        <f>BC1479*IF(B1479&gt;=in_marketplace_from,d_hz_choti*G1479,0)</f>
        <v/>
      </c>
      <c r="BE1479" s="14">
        <f>F1479*SUMIFS(BD1454:BD1480,B1454:B1480,B1479-in_choti_months)*in_choti_renew*in_choti_ticket</f>
        <v/>
      </c>
      <c r="BF1479" s="40">
        <f>BF1478*(1-IF(B1478&gt;=in_marketplace_from,d_hz_nps*G1478,0))</f>
        <v/>
      </c>
      <c r="BG1479" s="14">
        <f>F1479*BF1479*IF(B1479&gt;=in_marketplace_from,d_hz_nps*G1479,0)*in_nps_ticket*in_nps_comm</f>
        <v/>
      </c>
      <c r="BH1479" s="40">
        <f>BH1478*(1-IF(B1478&gt;=in_marketplace_from,d_hz_gold*G1478,0))</f>
        <v/>
      </c>
      <c r="BI1479" s="40">
        <f>BI1478*d_rho_gold+BH1479*IF(B1479&gt;=in_marketplace_from,d_hz_gold*G1479,0)</f>
        <v/>
      </c>
      <c r="BJ1479" s="14">
        <f>F1479*BI1479*in_gold_ticket*in_gold_comm</f>
        <v/>
      </c>
      <c r="BK1479" s="40">
        <f>BK1478*(1-IF(B1478&gt;=in_marketplace_from,d_hz_fd*G1478,0))</f>
        <v/>
      </c>
      <c r="BL1479" s="14">
        <f>F1479*BK1479*IF(B1479&gt;=in_marketplace_from,d_hz_fd*G1479,0)*in_fd_ticket*in_fd_comm</f>
        <v/>
      </c>
      <c r="BM1479" s="40">
        <f>BM1478*(1-IF(B1478&gt;=in_marketplace_from,d_hz_recharge*G1478,0))</f>
        <v/>
      </c>
      <c r="BN1479" s="40">
        <f>BN1478*d_rho_recharge+BM1479*IF(B1479&gt;=in_marketplace_from,d_hz_recharge*G1479,0)</f>
        <v/>
      </c>
      <c r="BO1479" s="14">
        <f>F1479*BN1479*in_recharge_ticket*in_recharge_comm/12</f>
        <v/>
      </c>
      <c r="BP1479" s="40">
        <f>BP1478*(1-IF(B1478&gt;=in_marketplace_from,d_hz_bills*G1478,0))</f>
        <v/>
      </c>
      <c r="BQ1479" s="40">
        <f>BQ1478*d_rho_bills+BP1479*IF(B1479&gt;=in_marketplace_from,d_hz_bills*G1479,0)</f>
        <v/>
      </c>
      <c r="BR1479" s="14">
        <f>F1479*BQ1479*in_bills_ticket*in_bills_comm/12</f>
        <v/>
      </c>
      <c r="BS1479" s="40">
        <f>BS1478*(1-IF(B1478&gt;=in_marketplace_from,d_hz_loan_gold*G1478,0))</f>
        <v/>
      </c>
      <c r="BT1479" s="14">
        <f>F1479*BS1479*IF(B1479&gt;=in_marketplace_from,d_hz_loan_gold*G1479,0)*in_loan_gold_ticket*in_loan_gold_comm</f>
        <v/>
      </c>
      <c r="BU1479" s="40">
        <f>BU1478*(1-IF(B1478&gt;=in_marketplace_from,d_hz_loan_cd*G1478,0))</f>
        <v/>
      </c>
      <c r="BV1479" s="14">
        <f>F1479*BU1479*IF(B1479&gt;=in_marketplace_from,d_hz_loan_cd*G1479,0)*in_loan_cd_ticket*in_loan_cd_comm</f>
        <v/>
      </c>
      <c r="BW1479" s="40">
        <f>BW1478*(1-IF(B1478&gt;=in_marketplace_from,d_hz_loan_vehicle*G1478,0))</f>
        <v/>
      </c>
      <c r="BX1479" s="14">
        <f>F1479*BW1479*IF(B1479&gt;=in_marketplace_from,d_hz_loan_vehicle*G1479,0)*in_loan_vehicle_ticket*in_loan_vehicle_comm</f>
        <v/>
      </c>
      <c r="BY1479" s="40">
        <f>BY1478*(1-IF(B1478&gt;=in_marketplace_from,d_hz_loan_home*G1478,0)*BZ1478)</f>
        <v/>
      </c>
      <c r="BZ1479" s="11">
        <f>MIN(in_approval_cap,in_loan_home_approval*INDEX('Age profile'!$O$2:$O$61,B1479)*(1+in_approval_growth)^(D1479-1))</f>
        <v/>
      </c>
      <c r="CA1479" s="14">
        <f>F1479*BY1479*IF(B1479&gt;=in_marketplace_from,d_hz_loan_home*G1479,0)*BZ1479*in_loan_home_ticket*in_loan_home_comm</f>
        <v/>
      </c>
      <c r="CB1479" s="40">
        <f>CB1478*(1-IF(B1478&gt;=in_marketplace_from,d_hz_loan_lap*G1478,0)*CC1478)</f>
        <v/>
      </c>
      <c r="CC1479" s="11">
        <f>MIN(in_approval_cap,in_loan_lap_approval*INDEX('Age profile'!$O$2:$O$61,B1479)*(1+in_approval_growth)^(D1479-1))</f>
        <v/>
      </c>
      <c r="CD1479" s="14">
        <f>F1479*CB1479*IF(B1479&gt;=in_marketplace_from,d_hz_loan_lap*G1479,0)*CC1479*in_loan_lap_ticket*in_loan_lap_comm</f>
        <v/>
      </c>
      <c r="CE1479" s="14">
        <f>AA1479+AB1479+AC1479+AD1479+AG1479+AJ1479+AM1479+AP1479+AS1479+AU1479+AX1479+BB1479+BE1479+BG1479+BJ1479+BL1479+BO1479+BR1479+BT1479+BV1479+BX1479+CA1479+CD1479</f>
        <v/>
      </c>
    </row>
    <row r="1480">
      <c r="A1480" s="39" t="n">
        <v>34</v>
      </c>
      <c r="B1480" s="39" t="n">
        <v>27</v>
      </c>
      <c r="C1480" s="39">
        <f>A1480+B1480-1</f>
        <v/>
      </c>
      <c r="D1480" s="39">
        <f>INT((C1480-1)/12)+1</f>
        <v/>
      </c>
      <c r="E1480" s="44">
        <f>INDEX(Monthly!$B$2:$B$61,A1480)</f>
        <v/>
      </c>
      <c r="F1480" s="44">
        <f>E1480*INDEX('Age profile'!$B$2:$B$61,B1480)</f>
        <v/>
      </c>
      <c r="G1480" s="45">
        <f>MIN(in_takeup_cap,INDEX('Age profile'!$N$2:$N$61,B1480)*(1+in_takeup_growth)^(D1480-1))</f>
        <v/>
      </c>
      <c r="H1480" s="11">
        <f>MIN(in_approval_cap,in_approved_first*INDEX('Age profile'!$O$2:$O$61,B1480)*(1+in_approval_growth)^(D1480-1))</f>
        <v/>
      </c>
      <c r="I1480" s="45">
        <f>G1480*MIN(in_takeup_cap,INDEX('Age profile'!$O$2:$O$61,B1480)*(1+in_approval_growth)^(D1480-1))</f>
        <v/>
      </c>
      <c r="J1480" s="40">
        <f>(J1479-L1479)*F1480/F1479</f>
        <v/>
      </c>
      <c r="K1480" s="40">
        <f>(K1479-M1479)*F1480/F1479+SUMIFS(O1454:O1479,B1454:B1479,B1480-1-d_T)*F1480</f>
        <v/>
      </c>
      <c r="L1480" s="40">
        <f>IF(B1480&gt;=in_marketplace_from,J1480*d_hz*G1480*in_eligible*H1480,0)</f>
        <v/>
      </c>
      <c r="M1480" s="40">
        <f>IF(B1480&gt;=in_marketplace_from,K1480*d_hz*G1480*in_eligible*in_approved_repeat,0)</f>
        <v/>
      </c>
      <c r="N1480" s="40">
        <f>L1480+M1480</f>
        <v/>
      </c>
      <c r="O1480" s="46">
        <f>N1480/F1480</f>
        <v/>
      </c>
      <c r="P1480" s="40">
        <f>F1480-J1480-K1480</f>
        <v/>
      </c>
      <c r="Q1480" s="40">
        <f>IF(B1480&gt;=in_marketplace_from,(J1480+K1480)*d_hz*G1480,0)</f>
        <v/>
      </c>
      <c r="R1480" s="40">
        <f>SUMIFS(N1454:N1480,B1454:B1480,"&gt;="&amp;(B1480-d_T),B1454:B1480,"&lt;="&amp;(B1480-1))</f>
        <v/>
      </c>
      <c r="S1480" s="46">
        <f>(1-d_u)*S1479+IF(d_T&gt;in_topup_lag,SUMIFS(O1454:O1480,B1454:B1480,B1480-in_topup_lag)-d_udrop*SUMIFS(O1454:O1480,B1454:B1480,B1480-d_T),0)</f>
        <v/>
      </c>
      <c r="T1480" s="40">
        <f>F1480*d_u*S1480</f>
        <v/>
      </c>
      <c r="U1480" s="9">
        <f>L1480*in_ticket+M1480*d_rep_ticket</f>
        <v/>
      </c>
      <c r="V1480" s="9">
        <f>U1480+T1480*d_topup_amt</f>
        <v/>
      </c>
      <c r="W1480" s="40">
        <f>N1480+T1480*d_topup_ratio</f>
        <v/>
      </c>
      <c r="X1480" s="40">
        <f>SUMIFS(W1454:W1480,B1454:B1480,B1480-in_dpd_lag)*d_cured</f>
        <v/>
      </c>
      <c r="Y1480" s="40">
        <f>SUMIFS(W1454:W1480,B1454:B1480,B1480-in_rec_lag)*d_recd</f>
        <v/>
      </c>
      <c r="Z1480" s="40">
        <f>IF(AND(B1480&gt;=in_marketplace_from,B1480&lt;in_marketplace_from+in_card_months),in_card_share/in_card_months*F1480*I1480,IF(AND(B1480&gt;=in_marketplace_from+in_card_months,B1480&lt;in_marketplace_from+2*in_card_months),in_card_share*d_card_rem/in_card_months*F1480*MIN(in_takeup_cap,(1+in_takeup_growth)^(D1480-1))*MIN(in_takeup_cap,(1+in_approval_growth)^(D1480-1)),0))</f>
        <v/>
      </c>
      <c r="AA1480" s="14">
        <f>V1480*in_fee*(1-in_taken_back)</f>
        <v/>
      </c>
      <c r="AB1480" s="14">
        <f>SUMIFS(W1454:W1480,B1454:B1480,B1480-in_dpd_lag)*d_dpd</f>
        <v/>
      </c>
      <c r="AC1480" s="14">
        <f>SUMIFS(W1454:W1480,B1454:B1480,B1480-in_rec_lag)*d_rec</f>
        <v/>
      </c>
      <c r="AD1480" s="14">
        <f>Z1480*in_card_fee</f>
        <v/>
      </c>
      <c r="AE1480" s="40">
        <f>AE1479*(1-IF(B1479&gt;=in_marketplace_from,d_hz_hlth_small*G1479,0))</f>
        <v/>
      </c>
      <c r="AF1480" s="46">
        <f>AE1480*IF(B1480&gt;=in_marketplace_from,d_hz_hlth_small*G1480,0)</f>
        <v/>
      </c>
      <c r="AG1480" s="14">
        <f>F1480*AF1480*in_hlth_small_ticket*in_hlth_small_comm*in_ins_partner_share+F1480*in_hlth_small_ticket*in_hlth_small_renew_comm*in_ins_partner_share*(in_hlth_small_renew^1*SUMIFS(AF1454:AF1480,B1454:B1480,B1480-12)+in_hlth_small_renew^2*SUMIFS(AF1454:AF1480,B1454:B1480,B1480-24)+in_hlth_small_renew^3*SUMIFS(AF1454:AF1480,B1454:B1480,B1480-36)+in_hlth_small_renew^4*SUMIFS(AF1454:AF1480,B1454:B1480,B1480-48))</f>
        <v/>
      </c>
      <c r="AH1480" s="40">
        <f>AH1479*(1-IF(B1479&gt;=in_marketplace_from,d_hz_hlth_family*G1479,0))</f>
        <v/>
      </c>
      <c r="AI1480" s="46">
        <f>AH1480*IF(B1480&gt;=in_marketplace_from,d_hz_hlth_family*G1480,0)</f>
        <v/>
      </c>
      <c r="AJ1480" s="14">
        <f>F1480*AI1480*in_hlth_family_ticket*in_hlth_family_comm*in_ins_partner_share+F1480*in_hlth_family_ticket*in_hlth_family_renew_comm*in_ins_partner_share*(in_hlth_family_renew^1*SUMIFS(AI1454:AI1480,B1454:B1480,B1480-12)+in_hlth_family_renew^2*SUMIFS(AI1454:AI1480,B1454:B1480,B1480-24)+in_hlth_family_renew^3*SUMIFS(AI1454:AI1480,B1454:B1480,B1480-36)+in_hlth_family_renew^4*SUMIFS(AI1454:AI1480,B1454:B1480,B1480-48))</f>
        <v/>
      </c>
      <c r="AK1480" s="40">
        <f>AK1479*(1-IF(B1479&gt;=in_marketplace_from,d_hz_life_term*G1479,0))</f>
        <v/>
      </c>
      <c r="AL1480" s="46">
        <f>AK1480*IF(B1480&gt;=in_marketplace_from,d_hz_life_term*G1480,0)</f>
        <v/>
      </c>
      <c r="AM1480" s="14">
        <f>F1480*AL1480*in_life_term_ticket*in_life_term_comm*in_ins_partner_share+F1480*in_life_term_ticket*in_life_term_renew_comm*in_ins_partner_share*(in_life_term_renew^1*SUMIFS(AL1454:AL1480,B1454:B1480,B1480-12)+in_life_term_renew^2*SUMIFS(AL1454:AL1480,B1454:B1480,B1480-24)+in_life_term_renew^3*SUMIFS(AL1454:AL1480,B1454:B1480,B1480-36)+in_life_term_renew^4*SUMIFS(AL1454:AL1480,B1454:B1480,B1480-48))</f>
        <v/>
      </c>
      <c r="AN1480" s="40">
        <f>AN1479*(1-IF(B1479&gt;=in_marketplace_from,d_hz_accident*G1479,0))</f>
        <v/>
      </c>
      <c r="AO1480" s="46">
        <f>AN1480*IF(B1480&gt;=in_marketplace_from,d_hz_accident*G1480,0)</f>
        <v/>
      </c>
      <c r="AP1480" s="14">
        <f>F1480*AO1480*in_accident_ticket*in_accident_comm*in_ins_partner_share+F1480*in_accident_ticket*in_accident_renew_comm*in_ins_partner_share*(in_accident_renew^1*SUMIFS(AO1454:AO1480,B1454:B1480,B1480-12)+in_accident_renew^2*SUMIFS(AO1454:AO1480,B1454:B1480,B1480-24)+in_accident_renew^3*SUMIFS(AO1454:AO1480,B1454:B1480,B1480-36)+in_accident_renew^4*SUMIFS(AO1454:AO1480,B1454:B1480,B1480-48))</f>
        <v/>
      </c>
      <c r="AQ1480" s="40">
        <f>AQ1479*(1-IF(B1479&gt;=in_marketplace_from,d_hz_two_wheeler*G1479,0))</f>
        <v/>
      </c>
      <c r="AR1480" s="46">
        <f>AQ1480*IF(B1480&gt;=in_marketplace_from,d_hz_two_wheeler*G1480,0)</f>
        <v/>
      </c>
      <c r="AS1480" s="14">
        <f>F1480*AR1480*in_two_wheeler_ticket*in_two_wheeler_comm*in_ins_partner_share+F1480*in_two_wheeler_ticket*in_two_wheeler_comm*in_ins_partner_share*(in_two_wheeler_renew^1*SUMIFS(AR1454:AR1480,B1454:B1480,B1480-12)+in_two_wheeler_renew^2*SUMIFS(AR1454:AR1480,B1454:B1480,B1480-24)+in_two_wheeler_renew^3*SUMIFS(AR1454:AR1480,B1454:B1480,B1480-36)+in_two_wheeler_renew^4*SUMIFS(AR1454:AR1480,B1454:B1480,B1480-48))</f>
        <v/>
      </c>
      <c r="AT1480" s="40">
        <f>AT1479*(1-IF(B1479&gt;=in_marketplace_from,d_hz_device*G1479,0))</f>
        <v/>
      </c>
      <c r="AU1480" s="14">
        <f>F1480*AT1480*IF(B1480&gt;=in_marketplace_from,d_hz_device*G1480,0)*in_device_ticket*in_device_comm*in_ins_partner_share</f>
        <v/>
      </c>
      <c r="AV1480" s="40">
        <f>AV1479*(1-IF(B1479&gt;=in_marketplace_from,d_hz_shop*G1479,0))</f>
        <v/>
      </c>
      <c r="AW1480" s="46">
        <f>AV1480*IF(B1480&gt;=in_marketplace_from,d_hz_shop*G1480,0)</f>
        <v/>
      </c>
      <c r="AX1480" s="14">
        <f>F1480*AW1480*in_shop_ticket*in_shop_comm*in_ins_partner_share+F1480*in_shop_ticket*in_shop_renew_comm*in_ins_partner_share*(in_shop_renew^1*SUMIFS(AW1454:AW1480,B1454:B1480,B1480-12)+in_shop_renew^2*SUMIFS(AW1454:AW1480,B1454:B1480,B1480-24)+in_shop_renew^3*SUMIFS(AW1454:AW1480,B1454:B1480,B1480-36)+in_shop_renew^4*SUMIFS(AW1454:AW1480,B1454:B1480,B1480-48))</f>
        <v/>
      </c>
      <c r="AY1480" s="40">
        <f>AY1479*(1-IF(B1479&gt;=in_marketplace_from,d_hz_sip*G1479,0))</f>
        <v/>
      </c>
      <c r="AZ1480" s="40">
        <f>AZ1479*d_rho_sip+AY1480*IF(B1480&gt;=in_marketplace_from,d_hz_sip*G1480,0)</f>
        <v/>
      </c>
      <c r="BA1480" s="40">
        <f>d_rho_sip*(BA1479+AZ1479)</f>
        <v/>
      </c>
      <c r="BB1480" s="14">
        <f>F1480*in_sip_ticket*(BA1480+0.5*AZ1480)*in_sip_comm/12</f>
        <v/>
      </c>
      <c r="BC1480" s="40">
        <f>BC1479*(1-IF(B1479&gt;=in_marketplace_from,d_hz_choti*G1479,0))</f>
        <v/>
      </c>
      <c r="BD1480" s="46">
        <f>BC1480*IF(B1480&gt;=in_marketplace_from,d_hz_choti*G1480,0)</f>
        <v/>
      </c>
      <c r="BE1480" s="14">
        <f>F1480*SUMIFS(BD1454:BD1480,B1454:B1480,B1480-in_choti_months)*in_choti_renew*in_choti_ticket</f>
        <v/>
      </c>
      <c r="BF1480" s="40">
        <f>BF1479*(1-IF(B1479&gt;=in_marketplace_from,d_hz_nps*G1479,0))</f>
        <v/>
      </c>
      <c r="BG1480" s="14">
        <f>F1480*BF1480*IF(B1480&gt;=in_marketplace_from,d_hz_nps*G1480,0)*in_nps_ticket*in_nps_comm</f>
        <v/>
      </c>
      <c r="BH1480" s="40">
        <f>BH1479*(1-IF(B1479&gt;=in_marketplace_from,d_hz_gold*G1479,0))</f>
        <v/>
      </c>
      <c r="BI1480" s="40">
        <f>BI1479*d_rho_gold+BH1480*IF(B1480&gt;=in_marketplace_from,d_hz_gold*G1480,0)</f>
        <v/>
      </c>
      <c r="BJ1480" s="14">
        <f>F1480*BI1480*in_gold_ticket*in_gold_comm</f>
        <v/>
      </c>
      <c r="BK1480" s="40">
        <f>BK1479*(1-IF(B1479&gt;=in_marketplace_from,d_hz_fd*G1479,0))</f>
        <v/>
      </c>
      <c r="BL1480" s="14">
        <f>F1480*BK1480*IF(B1480&gt;=in_marketplace_from,d_hz_fd*G1480,0)*in_fd_ticket*in_fd_comm</f>
        <v/>
      </c>
      <c r="BM1480" s="40">
        <f>BM1479*(1-IF(B1479&gt;=in_marketplace_from,d_hz_recharge*G1479,0))</f>
        <v/>
      </c>
      <c r="BN1480" s="40">
        <f>BN1479*d_rho_recharge+BM1480*IF(B1480&gt;=in_marketplace_from,d_hz_recharge*G1480,0)</f>
        <v/>
      </c>
      <c r="BO1480" s="14">
        <f>F1480*BN1480*in_recharge_ticket*in_recharge_comm/12</f>
        <v/>
      </c>
      <c r="BP1480" s="40">
        <f>BP1479*(1-IF(B1479&gt;=in_marketplace_from,d_hz_bills*G1479,0))</f>
        <v/>
      </c>
      <c r="BQ1480" s="40">
        <f>BQ1479*d_rho_bills+BP1480*IF(B1480&gt;=in_marketplace_from,d_hz_bills*G1480,0)</f>
        <v/>
      </c>
      <c r="BR1480" s="14">
        <f>F1480*BQ1480*in_bills_ticket*in_bills_comm/12</f>
        <v/>
      </c>
      <c r="BS1480" s="40">
        <f>BS1479*(1-IF(B1479&gt;=in_marketplace_from,d_hz_loan_gold*G1479,0))</f>
        <v/>
      </c>
      <c r="BT1480" s="14">
        <f>F1480*BS1480*IF(B1480&gt;=in_marketplace_from,d_hz_loan_gold*G1480,0)*in_loan_gold_ticket*in_loan_gold_comm</f>
        <v/>
      </c>
      <c r="BU1480" s="40">
        <f>BU1479*(1-IF(B1479&gt;=in_marketplace_from,d_hz_loan_cd*G1479,0))</f>
        <v/>
      </c>
      <c r="BV1480" s="14">
        <f>F1480*BU1480*IF(B1480&gt;=in_marketplace_from,d_hz_loan_cd*G1480,0)*in_loan_cd_ticket*in_loan_cd_comm</f>
        <v/>
      </c>
      <c r="BW1480" s="40">
        <f>BW1479*(1-IF(B1479&gt;=in_marketplace_from,d_hz_loan_vehicle*G1479,0))</f>
        <v/>
      </c>
      <c r="BX1480" s="14">
        <f>F1480*BW1480*IF(B1480&gt;=in_marketplace_from,d_hz_loan_vehicle*G1480,0)*in_loan_vehicle_ticket*in_loan_vehicle_comm</f>
        <v/>
      </c>
      <c r="BY1480" s="40">
        <f>BY1479*(1-IF(B1479&gt;=in_marketplace_from,d_hz_loan_home*G1479,0)*BZ1479)</f>
        <v/>
      </c>
      <c r="BZ1480" s="11">
        <f>MIN(in_approval_cap,in_loan_home_approval*INDEX('Age profile'!$O$2:$O$61,B1480)*(1+in_approval_growth)^(D1480-1))</f>
        <v/>
      </c>
      <c r="CA1480" s="14">
        <f>F1480*BY1480*IF(B1480&gt;=in_marketplace_from,d_hz_loan_home*G1480,0)*BZ1480*in_loan_home_ticket*in_loan_home_comm</f>
        <v/>
      </c>
      <c r="CB1480" s="40">
        <f>CB1479*(1-IF(B1479&gt;=in_marketplace_from,d_hz_loan_lap*G1479,0)*CC1479)</f>
        <v/>
      </c>
      <c r="CC1480" s="11">
        <f>MIN(in_approval_cap,in_loan_lap_approval*INDEX('Age profile'!$O$2:$O$61,B1480)*(1+in_approval_growth)^(D1480-1))</f>
        <v/>
      </c>
      <c r="CD1480" s="14">
        <f>F1480*CB1480*IF(B1480&gt;=in_marketplace_from,d_hz_loan_lap*G1480,0)*CC1480*in_loan_lap_ticket*in_loan_lap_comm</f>
        <v/>
      </c>
      <c r="CE1480" s="14">
        <f>AA1480+AB1480+AC1480+AD1480+AG1480+AJ1480+AM1480+AP1480+AS1480+AU1480+AX1480+BB1480+BE1480+BG1480+BJ1480+BL1480+BO1480+BR1480+BT1480+BV1480+BX1480+CA1480+CD1480</f>
        <v/>
      </c>
    </row>
    <row r="1481">
      <c r="A1481" s="39" t="n">
        <v>35</v>
      </c>
      <c r="B1481" s="39" t="n">
        <v>1</v>
      </c>
      <c r="C1481" s="39">
        <f>A1481+B1481-1</f>
        <v/>
      </c>
      <c r="D1481" s="39">
        <f>INT((C1481-1)/12)+1</f>
        <v/>
      </c>
      <c r="E1481" s="44">
        <f>INDEX(Monthly!$B$2:$B$61,A1481)</f>
        <v/>
      </c>
      <c r="F1481" s="44">
        <f>E1481*INDEX('Age profile'!$B$2:$B$61,B1481)</f>
        <v/>
      </c>
      <c r="G1481" s="45">
        <f>MIN(in_takeup_cap,INDEX('Age profile'!$N$2:$N$61,B1481)*(1+in_takeup_growth)^(D1481-1))</f>
        <v/>
      </c>
      <c r="H1481" s="11">
        <f>MIN(in_approval_cap,in_approved_first*INDEX('Age profile'!$O$2:$O$61,B1481)*(1+in_approval_growth)^(D1481-1))</f>
        <v/>
      </c>
      <c r="I1481" s="45">
        <f>G1481*MIN(in_takeup_cap,INDEX('Age profile'!$O$2:$O$61,B1481)*(1+in_approval_growth)^(D1481-1))</f>
        <v/>
      </c>
      <c r="J1481" s="40">
        <f>E1481</f>
        <v/>
      </c>
      <c r="K1481" s="40" t="n">
        <v>0</v>
      </c>
      <c r="L1481" s="40">
        <f>IF(B1481&gt;=in_marketplace_from,J1481*d_hz*G1481*in_eligible*H1481,0)</f>
        <v/>
      </c>
      <c r="M1481" s="40">
        <f>IF(B1481&gt;=in_marketplace_from,K1481*d_hz*G1481*in_eligible*in_approved_repeat,0)</f>
        <v/>
      </c>
      <c r="N1481" s="40">
        <f>L1481+M1481</f>
        <v/>
      </c>
      <c r="O1481" s="46">
        <f>N1481/F1481</f>
        <v/>
      </c>
      <c r="P1481" s="40">
        <f>F1481-J1481-K1481</f>
        <v/>
      </c>
      <c r="Q1481" s="40">
        <f>IF(B1481&gt;=in_marketplace_from,(J1481+K1481)*d_hz*G1481,0)</f>
        <v/>
      </c>
      <c r="R1481" s="40">
        <f>SUMIFS(N1481:N1506,B1481:B1506,"&gt;="&amp;(B1481-d_T),B1481:B1506,"&lt;="&amp;(B1481-1))</f>
        <v/>
      </c>
      <c r="S1481" s="46" t="n">
        <v>0</v>
      </c>
      <c r="T1481" s="40">
        <f>F1481*d_u*S1481</f>
        <v/>
      </c>
      <c r="U1481" s="9">
        <f>L1481*in_ticket+M1481*d_rep_ticket</f>
        <v/>
      </c>
      <c r="V1481" s="9">
        <f>U1481+T1481*d_topup_amt</f>
        <v/>
      </c>
      <c r="W1481" s="40">
        <f>N1481+T1481*d_topup_ratio</f>
        <v/>
      </c>
      <c r="X1481" s="40">
        <f>SUMIFS(W1481:W1506,B1481:B1506,B1481-in_dpd_lag)*d_cured</f>
        <v/>
      </c>
      <c r="Y1481" s="40">
        <f>SUMIFS(W1481:W1506,B1481:B1506,B1481-in_rec_lag)*d_recd</f>
        <v/>
      </c>
      <c r="Z1481" s="40">
        <f>IF(AND(B1481&gt;=in_marketplace_from,B1481&lt;in_marketplace_from+in_card_months),in_card_share/in_card_months*F1481*I1481,IF(AND(B1481&gt;=in_marketplace_from+in_card_months,B1481&lt;in_marketplace_from+2*in_card_months),in_card_share*d_card_rem/in_card_months*F1481*MIN(in_takeup_cap,(1+in_takeup_growth)^(D1481-1))*MIN(in_takeup_cap,(1+in_approval_growth)^(D1481-1)),0))</f>
        <v/>
      </c>
      <c r="AA1481" s="14">
        <f>V1481*in_fee*(1-in_taken_back)</f>
        <v/>
      </c>
      <c r="AB1481" s="14">
        <f>SUMIFS(W1481:W1506,B1481:B1506,B1481-in_dpd_lag)*d_dpd</f>
        <v/>
      </c>
      <c r="AC1481" s="14">
        <f>SUMIFS(W1481:W1506,B1481:B1506,B1481-in_rec_lag)*d_rec</f>
        <v/>
      </c>
      <c r="AD1481" s="14">
        <f>Z1481*in_card_fee</f>
        <v/>
      </c>
      <c r="AE1481" s="40" t="n">
        <v>1</v>
      </c>
      <c r="AF1481" s="46">
        <f>AE1481*IF(B1481&gt;=in_marketplace_from,d_hz_hlth_small*G1481,0)</f>
        <v/>
      </c>
      <c r="AG1481" s="14">
        <f>F1481*AF1481*in_hlth_small_ticket*in_hlth_small_comm*in_ins_partner_share+F1481*in_hlth_small_ticket*in_hlth_small_renew_comm*in_ins_partner_share*(in_hlth_small_renew^1*SUMIFS(AF1481:AF1506,B1481:B1506,B1481-12)+in_hlth_small_renew^2*SUMIFS(AF1481:AF1506,B1481:B1506,B1481-24)+in_hlth_small_renew^3*SUMIFS(AF1481:AF1506,B1481:B1506,B1481-36)+in_hlth_small_renew^4*SUMIFS(AF1481:AF1506,B1481:B1506,B1481-48))</f>
        <v/>
      </c>
      <c r="AH1481" s="40" t="n">
        <v>1</v>
      </c>
      <c r="AI1481" s="46">
        <f>AH1481*IF(B1481&gt;=in_marketplace_from,d_hz_hlth_family*G1481,0)</f>
        <v/>
      </c>
      <c r="AJ1481" s="14">
        <f>F1481*AI1481*in_hlth_family_ticket*in_hlth_family_comm*in_ins_partner_share+F1481*in_hlth_family_ticket*in_hlth_family_renew_comm*in_ins_partner_share*(in_hlth_family_renew^1*SUMIFS(AI1481:AI1506,B1481:B1506,B1481-12)+in_hlth_family_renew^2*SUMIFS(AI1481:AI1506,B1481:B1506,B1481-24)+in_hlth_family_renew^3*SUMIFS(AI1481:AI1506,B1481:B1506,B1481-36)+in_hlth_family_renew^4*SUMIFS(AI1481:AI1506,B1481:B1506,B1481-48))</f>
        <v/>
      </c>
      <c r="AK1481" s="40" t="n">
        <v>1</v>
      </c>
      <c r="AL1481" s="46">
        <f>AK1481*IF(B1481&gt;=in_marketplace_from,d_hz_life_term*G1481,0)</f>
        <v/>
      </c>
      <c r="AM1481" s="14">
        <f>F1481*AL1481*in_life_term_ticket*in_life_term_comm*in_ins_partner_share+F1481*in_life_term_ticket*in_life_term_renew_comm*in_ins_partner_share*(in_life_term_renew^1*SUMIFS(AL1481:AL1506,B1481:B1506,B1481-12)+in_life_term_renew^2*SUMIFS(AL1481:AL1506,B1481:B1506,B1481-24)+in_life_term_renew^3*SUMIFS(AL1481:AL1506,B1481:B1506,B1481-36)+in_life_term_renew^4*SUMIFS(AL1481:AL1506,B1481:B1506,B1481-48))</f>
        <v/>
      </c>
      <c r="AN1481" s="40" t="n">
        <v>1</v>
      </c>
      <c r="AO1481" s="46">
        <f>AN1481*IF(B1481&gt;=in_marketplace_from,d_hz_accident*G1481,0)</f>
        <v/>
      </c>
      <c r="AP1481" s="14">
        <f>F1481*AO1481*in_accident_ticket*in_accident_comm*in_ins_partner_share+F1481*in_accident_ticket*in_accident_renew_comm*in_ins_partner_share*(in_accident_renew^1*SUMIFS(AO1481:AO1506,B1481:B1506,B1481-12)+in_accident_renew^2*SUMIFS(AO1481:AO1506,B1481:B1506,B1481-24)+in_accident_renew^3*SUMIFS(AO1481:AO1506,B1481:B1506,B1481-36)+in_accident_renew^4*SUMIFS(AO1481:AO1506,B1481:B1506,B1481-48))</f>
        <v/>
      </c>
      <c r="AQ1481" s="40" t="n">
        <v>1</v>
      </c>
      <c r="AR1481" s="46">
        <f>AQ1481*IF(B1481&gt;=in_marketplace_from,d_hz_two_wheeler*G1481,0)</f>
        <v/>
      </c>
      <c r="AS1481" s="14">
        <f>F1481*AR1481*in_two_wheeler_ticket*in_two_wheeler_comm*in_ins_partner_share+F1481*in_two_wheeler_ticket*in_two_wheeler_comm*in_ins_partner_share*(in_two_wheeler_renew^1*SUMIFS(AR1481:AR1506,B1481:B1506,B1481-12)+in_two_wheeler_renew^2*SUMIFS(AR1481:AR1506,B1481:B1506,B1481-24)+in_two_wheeler_renew^3*SUMIFS(AR1481:AR1506,B1481:B1506,B1481-36)+in_two_wheeler_renew^4*SUMIFS(AR1481:AR1506,B1481:B1506,B1481-48))</f>
        <v/>
      </c>
      <c r="AT1481" s="40" t="n">
        <v>1</v>
      </c>
      <c r="AU1481" s="14">
        <f>F1481*AT1481*IF(B1481&gt;=in_marketplace_from,d_hz_device*G1481,0)*in_device_ticket*in_device_comm*in_ins_partner_share</f>
        <v/>
      </c>
      <c r="AV1481" s="40" t="n">
        <v>1</v>
      </c>
      <c r="AW1481" s="46">
        <f>AV1481*IF(B1481&gt;=in_marketplace_from,d_hz_shop*G1481,0)</f>
        <v/>
      </c>
      <c r="AX1481" s="14">
        <f>F1481*AW1481*in_shop_ticket*in_shop_comm*in_ins_partner_share+F1481*in_shop_ticket*in_shop_renew_comm*in_ins_partner_share*(in_shop_renew^1*SUMIFS(AW1481:AW1506,B1481:B1506,B1481-12)+in_shop_renew^2*SUMIFS(AW1481:AW1506,B1481:B1506,B1481-24)+in_shop_renew^3*SUMIFS(AW1481:AW1506,B1481:B1506,B1481-36)+in_shop_renew^4*SUMIFS(AW1481:AW1506,B1481:B1506,B1481-48))</f>
        <v/>
      </c>
      <c r="AY1481" s="40" t="n">
        <v>1</v>
      </c>
      <c r="AZ1481" s="40">
        <f>AY1481*IF(B1481&gt;=in_marketplace_from,d_hz_sip*G1481,0)</f>
        <v/>
      </c>
      <c r="BA1481" s="40" t="n">
        <v>0</v>
      </c>
      <c r="BB1481" s="14">
        <f>F1481*in_sip_ticket*(BA1481+0.5*AZ1481)*in_sip_comm/12</f>
        <v/>
      </c>
      <c r="BC1481" s="40" t="n">
        <v>1</v>
      </c>
      <c r="BD1481" s="46">
        <f>BC1481*IF(B1481&gt;=in_marketplace_from,d_hz_choti*G1481,0)</f>
        <v/>
      </c>
      <c r="BE1481" s="14">
        <f>F1481*SUMIFS(BD1481:BD1506,B1481:B1506,B1481-in_choti_months)*in_choti_renew*in_choti_ticket</f>
        <v/>
      </c>
      <c r="BF1481" s="40" t="n">
        <v>1</v>
      </c>
      <c r="BG1481" s="14">
        <f>F1481*BF1481*IF(B1481&gt;=in_marketplace_from,d_hz_nps*G1481,0)*in_nps_ticket*in_nps_comm</f>
        <v/>
      </c>
      <c r="BH1481" s="40" t="n">
        <v>1</v>
      </c>
      <c r="BI1481" s="40">
        <f>BH1481*IF(B1481&gt;=in_marketplace_from,d_hz_gold*G1481,0)</f>
        <v/>
      </c>
      <c r="BJ1481" s="14">
        <f>F1481*BI1481*in_gold_ticket*in_gold_comm</f>
        <v/>
      </c>
      <c r="BK1481" s="40" t="n">
        <v>1</v>
      </c>
      <c r="BL1481" s="14">
        <f>F1481*BK1481*IF(B1481&gt;=in_marketplace_from,d_hz_fd*G1481,0)*in_fd_ticket*in_fd_comm</f>
        <v/>
      </c>
      <c r="BM1481" s="40" t="n">
        <v>1</v>
      </c>
      <c r="BN1481" s="40">
        <f>BM1481*IF(B1481&gt;=in_marketplace_from,d_hz_recharge*G1481,0)</f>
        <v/>
      </c>
      <c r="BO1481" s="14">
        <f>F1481*BN1481*in_recharge_ticket*in_recharge_comm/12</f>
        <v/>
      </c>
      <c r="BP1481" s="40" t="n">
        <v>1</v>
      </c>
      <c r="BQ1481" s="40">
        <f>BP1481*IF(B1481&gt;=in_marketplace_from,d_hz_bills*G1481,0)</f>
        <v/>
      </c>
      <c r="BR1481" s="14">
        <f>F1481*BQ1481*in_bills_ticket*in_bills_comm/12</f>
        <v/>
      </c>
      <c r="BS1481" s="40" t="n">
        <v>1</v>
      </c>
      <c r="BT1481" s="14">
        <f>F1481*BS1481*IF(B1481&gt;=in_marketplace_from,d_hz_loan_gold*G1481,0)*in_loan_gold_ticket*in_loan_gold_comm</f>
        <v/>
      </c>
      <c r="BU1481" s="40" t="n">
        <v>1</v>
      </c>
      <c r="BV1481" s="14">
        <f>F1481*BU1481*IF(B1481&gt;=in_marketplace_from,d_hz_loan_cd*G1481,0)*in_loan_cd_ticket*in_loan_cd_comm</f>
        <v/>
      </c>
      <c r="BW1481" s="40" t="n">
        <v>1</v>
      </c>
      <c r="BX1481" s="14">
        <f>F1481*BW1481*IF(B1481&gt;=in_marketplace_from,d_hz_loan_vehicle*G1481,0)*in_loan_vehicle_ticket*in_loan_vehicle_comm</f>
        <v/>
      </c>
      <c r="BY1481" s="40" t="n">
        <v>1</v>
      </c>
      <c r="BZ1481" s="11">
        <f>MIN(in_approval_cap,in_loan_home_approval*INDEX('Age profile'!$O$2:$O$61,B1481)*(1+in_approval_growth)^(D1481-1))</f>
        <v/>
      </c>
      <c r="CA1481" s="14">
        <f>F1481*BY1481*IF(B1481&gt;=in_marketplace_from,d_hz_loan_home*G1481,0)*BZ1481*in_loan_home_ticket*in_loan_home_comm</f>
        <v/>
      </c>
      <c r="CB1481" s="40" t="n">
        <v>1</v>
      </c>
      <c r="CC1481" s="11">
        <f>MIN(in_approval_cap,in_loan_lap_approval*INDEX('Age profile'!$O$2:$O$61,B1481)*(1+in_approval_growth)^(D1481-1))</f>
        <v/>
      </c>
      <c r="CD1481" s="14">
        <f>F1481*CB1481*IF(B1481&gt;=in_marketplace_from,d_hz_loan_lap*G1481,0)*CC1481*in_loan_lap_ticket*in_loan_lap_comm</f>
        <v/>
      </c>
      <c r="CE1481" s="14">
        <f>AA1481+AB1481+AC1481+AD1481+AG1481+AJ1481+AM1481+AP1481+AS1481+AU1481+AX1481+BB1481+BE1481+BG1481+BJ1481+BL1481+BO1481+BR1481+BT1481+BV1481+BX1481+CA1481+CD1481</f>
        <v/>
      </c>
    </row>
    <row r="1482">
      <c r="A1482" s="39" t="n">
        <v>35</v>
      </c>
      <c r="B1482" s="39" t="n">
        <v>2</v>
      </c>
      <c r="C1482" s="39">
        <f>A1482+B1482-1</f>
        <v/>
      </c>
      <c r="D1482" s="39">
        <f>INT((C1482-1)/12)+1</f>
        <v/>
      </c>
      <c r="E1482" s="44">
        <f>INDEX(Monthly!$B$2:$B$61,A1482)</f>
        <v/>
      </c>
      <c r="F1482" s="44">
        <f>E1482*INDEX('Age profile'!$B$2:$B$61,B1482)</f>
        <v/>
      </c>
      <c r="G1482" s="45">
        <f>MIN(in_takeup_cap,INDEX('Age profile'!$N$2:$N$61,B1482)*(1+in_takeup_growth)^(D1482-1))</f>
        <v/>
      </c>
      <c r="H1482" s="11">
        <f>MIN(in_approval_cap,in_approved_first*INDEX('Age profile'!$O$2:$O$61,B1482)*(1+in_approval_growth)^(D1482-1))</f>
        <v/>
      </c>
      <c r="I1482" s="45">
        <f>G1482*MIN(in_takeup_cap,INDEX('Age profile'!$O$2:$O$61,B1482)*(1+in_approval_growth)^(D1482-1))</f>
        <v/>
      </c>
      <c r="J1482" s="40">
        <f>(J1481-L1481)*F1482/F1481</f>
        <v/>
      </c>
      <c r="K1482" s="40">
        <f>(K1481-M1481)*F1482/F1481+SUMIFS(O1481:O1481,B1481:B1481,B1482-1-d_T)*F1482</f>
        <v/>
      </c>
      <c r="L1482" s="40">
        <f>IF(B1482&gt;=in_marketplace_from,J1482*d_hz*G1482*in_eligible*H1482,0)</f>
        <v/>
      </c>
      <c r="M1482" s="40">
        <f>IF(B1482&gt;=in_marketplace_from,K1482*d_hz*G1482*in_eligible*in_approved_repeat,0)</f>
        <v/>
      </c>
      <c r="N1482" s="40">
        <f>L1482+M1482</f>
        <v/>
      </c>
      <c r="O1482" s="46">
        <f>N1482/F1482</f>
        <v/>
      </c>
      <c r="P1482" s="40">
        <f>F1482-J1482-K1482</f>
        <v/>
      </c>
      <c r="Q1482" s="40">
        <f>IF(B1482&gt;=in_marketplace_from,(J1482+K1482)*d_hz*G1482,0)</f>
        <v/>
      </c>
      <c r="R1482" s="40">
        <f>SUMIFS(N1481:N1506,B1481:B1506,"&gt;="&amp;(B1482-d_T),B1481:B1506,"&lt;="&amp;(B1482-1))</f>
        <v/>
      </c>
      <c r="S1482" s="46">
        <f>(1-d_u)*S1481+IF(d_T&gt;in_topup_lag,SUMIFS(O1481:O1506,B1481:B1506,B1482-in_topup_lag)-d_udrop*SUMIFS(O1481:O1506,B1481:B1506,B1482-d_T),0)</f>
        <v/>
      </c>
      <c r="T1482" s="40">
        <f>F1482*d_u*S1482</f>
        <v/>
      </c>
      <c r="U1482" s="9">
        <f>L1482*in_ticket+M1482*d_rep_ticket</f>
        <v/>
      </c>
      <c r="V1482" s="9">
        <f>U1482+T1482*d_topup_amt</f>
        <v/>
      </c>
      <c r="W1482" s="40">
        <f>N1482+T1482*d_topup_ratio</f>
        <v/>
      </c>
      <c r="X1482" s="40">
        <f>SUMIFS(W1481:W1506,B1481:B1506,B1482-in_dpd_lag)*d_cured</f>
        <v/>
      </c>
      <c r="Y1482" s="40">
        <f>SUMIFS(W1481:W1506,B1481:B1506,B1482-in_rec_lag)*d_recd</f>
        <v/>
      </c>
      <c r="Z1482" s="40">
        <f>IF(AND(B1482&gt;=in_marketplace_from,B1482&lt;in_marketplace_from+in_card_months),in_card_share/in_card_months*F1482*I1482,IF(AND(B1482&gt;=in_marketplace_from+in_card_months,B1482&lt;in_marketplace_from+2*in_card_months),in_card_share*d_card_rem/in_card_months*F1482*MIN(in_takeup_cap,(1+in_takeup_growth)^(D1482-1))*MIN(in_takeup_cap,(1+in_approval_growth)^(D1482-1)),0))</f>
        <v/>
      </c>
      <c r="AA1482" s="14">
        <f>V1482*in_fee*(1-in_taken_back)</f>
        <v/>
      </c>
      <c r="AB1482" s="14">
        <f>SUMIFS(W1481:W1506,B1481:B1506,B1482-in_dpd_lag)*d_dpd</f>
        <v/>
      </c>
      <c r="AC1482" s="14">
        <f>SUMIFS(W1481:W1506,B1481:B1506,B1482-in_rec_lag)*d_rec</f>
        <v/>
      </c>
      <c r="AD1482" s="14">
        <f>Z1482*in_card_fee</f>
        <v/>
      </c>
      <c r="AE1482" s="40">
        <f>AE1481*(1-IF(B1481&gt;=in_marketplace_from,d_hz_hlth_small*G1481,0))</f>
        <v/>
      </c>
      <c r="AF1482" s="46">
        <f>AE1482*IF(B1482&gt;=in_marketplace_from,d_hz_hlth_small*G1482,0)</f>
        <v/>
      </c>
      <c r="AG1482" s="14">
        <f>F1482*AF1482*in_hlth_small_ticket*in_hlth_small_comm*in_ins_partner_share+F1482*in_hlth_small_ticket*in_hlth_small_renew_comm*in_ins_partner_share*(in_hlth_small_renew^1*SUMIFS(AF1481:AF1506,B1481:B1506,B1482-12)+in_hlth_small_renew^2*SUMIFS(AF1481:AF1506,B1481:B1506,B1482-24)+in_hlth_small_renew^3*SUMIFS(AF1481:AF1506,B1481:B1506,B1482-36)+in_hlth_small_renew^4*SUMIFS(AF1481:AF1506,B1481:B1506,B1482-48))</f>
        <v/>
      </c>
      <c r="AH1482" s="40">
        <f>AH1481*(1-IF(B1481&gt;=in_marketplace_from,d_hz_hlth_family*G1481,0))</f>
        <v/>
      </c>
      <c r="AI1482" s="46">
        <f>AH1482*IF(B1482&gt;=in_marketplace_from,d_hz_hlth_family*G1482,0)</f>
        <v/>
      </c>
      <c r="AJ1482" s="14">
        <f>F1482*AI1482*in_hlth_family_ticket*in_hlth_family_comm*in_ins_partner_share+F1482*in_hlth_family_ticket*in_hlth_family_renew_comm*in_ins_partner_share*(in_hlth_family_renew^1*SUMIFS(AI1481:AI1506,B1481:B1506,B1482-12)+in_hlth_family_renew^2*SUMIFS(AI1481:AI1506,B1481:B1506,B1482-24)+in_hlth_family_renew^3*SUMIFS(AI1481:AI1506,B1481:B1506,B1482-36)+in_hlth_family_renew^4*SUMIFS(AI1481:AI1506,B1481:B1506,B1482-48))</f>
        <v/>
      </c>
      <c r="AK1482" s="40">
        <f>AK1481*(1-IF(B1481&gt;=in_marketplace_from,d_hz_life_term*G1481,0))</f>
        <v/>
      </c>
      <c r="AL1482" s="46">
        <f>AK1482*IF(B1482&gt;=in_marketplace_from,d_hz_life_term*G1482,0)</f>
        <v/>
      </c>
      <c r="AM1482" s="14">
        <f>F1482*AL1482*in_life_term_ticket*in_life_term_comm*in_ins_partner_share+F1482*in_life_term_ticket*in_life_term_renew_comm*in_ins_partner_share*(in_life_term_renew^1*SUMIFS(AL1481:AL1506,B1481:B1506,B1482-12)+in_life_term_renew^2*SUMIFS(AL1481:AL1506,B1481:B1506,B1482-24)+in_life_term_renew^3*SUMIFS(AL1481:AL1506,B1481:B1506,B1482-36)+in_life_term_renew^4*SUMIFS(AL1481:AL1506,B1481:B1506,B1482-48))</f>
        <v/>
      </c>
      <c r="AN1482" s="40">
        <f>AN1481*(1-IF(B1481&gt;=in_marketplace_from,d_hz_accident*G1481,0))</f>
        <v/>
      </c>
      <c r="AO1482" s="46">
        <f>AN1482*IF(B1482&gt;=in_marketplace_from,d_hz_accident*G1482,0)</f>
        <v/>
      </c>
      <c r="AP1482" s="14">
        <f>F1482*AO1482*in_accident_ticket*in_accident_comm*in_ins_partner_share+F1482*in_accident_ticket*in_accident_renew_comm*in_ins_partner_share*(in_accident_renew^1*SUMIFS(AO1481:AO1506,B1481:B1506,B1482-12)+in_accident_renew^2*SUMIFS(AO1481:AO1506,B1481:B1506,B1482-24)+in_accident_renew^3*SUMIFS(AO1481:AO1506,B1481:B1506,B1482-36)+in_accident_renew^4*SUMIFS(AO1481:AO1506,B1481:B1506,B1482-48))</f>
        <v/>
      </c>
      <c r="AQ1482" s="40">
        <f>AQ1481*(1-IF(B1481&gt;=in_marketplace_from,d_hz_two_wheeler*G1481,0))</f>
        <v/>
      </c>
      <c r="AR1482" s="46">
        <f>AQ1482*IF(B1482&gt;=in_marketplace_from,d_hz_two_wheeler*G1482,0)</f>
        <v/>
      </c>
      <c r="AS1482" s="14">
        <f>F1482*AR1482*in_two_wheeler_ticket*in_two_wheeler_comm*in_ins_partner_share+F1482*in_two_wheeler_ticket*in_two_wheeler_comm*in_ins_partner_share*(in_two_wheeler_renew^1*SUMIFS(AR1481:AR1506,B1481:B1506,B1482-12)+in_two_wheeler_renew^2*SUMIFS(AR1481:AR1506,B1481:B1506,B1482-24)+in_two_wheeler_renew^3*SUMIFS(AR1481:AR1506,B1481:B1506,B1482-36)+in_two_wheeler_renew^4*SUMIFS(AR1481:AR1506,B1481:B1506,B1482-48))</f>
        <v/>
      </c>
      <c r="AT1482" s="40">
        <f>AT1481*(1-IF(B1481&gt;=in_marketplace_from,d_hz_device*G1481,0))</f>
        <v/>
      </c>
      <c r="AU1482" s="14">
        <f>F1482*AT1482*IF(B1482&gt;=in_marketplace_from,d_hz_device*G1482,0)*in_device_ticket*in_device_comm*in_ins_partner_share</f>
        <v/>
      </c>
      <c r="AV1482" s="40">
        <f>AV1481*(1-IF(B1481&gt;=in_marketplace_from,d_hz_shop*G1481,0))</f>
        <v/>
      </c>
      <c r="AW1482" s="46">
        <f>AV1482*IF(B1482&gt;=in_marketplace_from,d_hz_shop*G1482,0)</f>
        <v/>
      </c>
      <c r="AX1482" s="14">
        <f>F1482*AW1482*in_shop_ticket*in_shop_comm*in_ins_partner_share+F1482*in_shop_ticket*in_shop_renew_comm*in_ins_partner_share*(in_shop_renew^1*SUMIFS(AW1481:AW1506,B1481:B1506,B1482-12)+in_shop_renew^2*SUMIFS(AW1481:AW1506,B1481:B1506,B1482-24)+in_shop_renew^3*SUMIFS(AW1481:AW1506,B1481:B1506,B1482-36)+in_shop_renew^4*SUMIFS(AW1481:AW1506,B1481:B1506,B1482-48))</f>
        <v/>
      </c>
      <c r="AY1482" s="40">
        <f>AY1481*(1-IF(B1481&gt;=in_marketplace_from,d_hz_sip*G1481,0))</f>
        <v/>
      </c>
      <c r="AZ1482" s="40">
        <f>AZ1481*d_rho_sip+AY1482*IF(B1482&gt;=in_marketplace_from,d_hz_sip*G1482,0)</f>
        <v/>
      </c>
      <c r="BA1482" s="40">
        <f>d_rho_sip*(BA1481+AZ1481)</f>
        <v/>
      </c>
      <c r="BB1482" s="14">
        <f>F1482*in_sip_ticket*(BA1482+0.5*AZ1482)*in_sip_comm/12</f>
        <v/>
      </c>
      <c r="BC1482" s="40">
        <f>BC1481*(1-IF(B1481&gt;=in_marketplace_from,d_hz_choti*G1481,0))</f>
        <v/>
      </c>
      <c r="BD1482" s="46">
        <f>BC1482*IF(B1482&gt;=in_marketplace_from,d_hz_choti*G1482,0)</f>
        <v/>
      </c>
      <c r="BE1482" s="14">
        <f>F1482*SUMIFS(BD1481:BD1506,B1481:B1506,B1482-in_choti_months)*in_choti_renew*in_choti_ticket</f>
        <v/>
      </c>
      <c r="BF1482" s="40">
        <f>BF1481*(1-IF(B1481&gt;=in_marketplace_from,d_hz_nps*G1481,0))</f>
        <v/>
      </c>
      <c r="BG1482" s="14">
        <f>F1482*BF1482*IF(B1482&gt;=in_marketplace_from,d_hz_nps*G1482,0)*in_nps_ticket*in_nps_comm</f>
        <v/>
      </c>
      <c r="BH1482" s="40">
        <f>BH1481*(1-IF(B1481&gt;=in_marketplace_from,d_hz_gold*G1481,0))</f>
        <v/>
      </c>
      <c r="BI1482" s="40">
        <f>BI1481*d_rho_gold+BH1482*IF(B1482&gt;=in_marketplace_from,d_hz_gold*G1482,0)</f>
        <v/>
      </c>
      <c r="BJ1482" s="14">
        <f>F1482*BI1482*in_gold_ticket*in_gold_comm</f>
        <v/>
      </c>
      <c r="BK1482" s="40">
        <f>BK1481*(1-IF(B1481&gt;=in_marketplace_from,d_hz_fd*G1481,0))</f>
        <v/>
      </c>
      <c r="BL1482" s="14">
        <f>F1482*BK1482*IF(B1482&gt;=in_marketplace_from,d_hz_fd*G1482,0)*in_fd_ticket*in_fd_comm</f>
        <v/>
      </c>
      <c r="BM1482" s="40">
        <f>BM1481*(1-IF(B1481&gt;=in_marketplace_from,d_hz_recharge*G1481,0))</f>
        <v/>
      </c>
      <c r="BN1482" s="40">
        <f>BN1481*d_rho_recharge+BM1482*IF(B1482&gt;=in_marketplace_from,d_hz_recharge*G1482,0)</f>
        <v/>
      </c>
      <c r="BO1482" s="14">
        <f>F1482*BN1482*in_recharge_ticket*in_recharge_comm/12</f>
        <v/>
      </c>
      <c r="BP1482" s="40">
        <f>BP1481*(1-IF(B1481&gt;=in_marketplace_from,d_hz_bills*G1481,0))</f>
        <v/>
      </c>
      <c r="BQ1482" s="40">
        <f>BQ1481*d_rho_bills+BP1482*IF(B1482&gt;=in_marketplace_from,d_hz_bills*G1482,0)</f>
        <v/>
      </c>
      <c r="BR1482" s="14">
        <f>F1482*BQ1482*in_bills_ticket*in_bills_comm/12</f>
        <v/>
      </c>
      <c r="BS1482" s="40">
        <f>BS1481*(1-IF(B1481&gt;=in_marketplace_from,d_hz_loan_gold*G1481,0))</f>
        <v/>
      </c>
      <c r="BT1482" s="14">
        <f>F1482*BS1482*IF(B1482&gt;=in_marketplace_from,d_hz_loan_gold*G1482,0)*in_loan_gold_ticket*in_loan_gold_comm</f>
        <v/>
      </c>
      <c r="BU1482" s="40">
        <f>BU1481*(1-IF(B1481&gt;=in_marketplace_from,d_hz_loan_cd*G1481,0))</f>
        <v/>
      </c>
      <c r="BV1482" s="14">
        <f>F1482*BU1482*IF(B1482&gt;=in_marketplace_from,d_hz_loan_cd*G1482,0)*in_loan_cd_ticket*in_loan_cd_comm</f>
        <v/>
      </c>
      <c r="BW1482" s="40">
        <f>BW1481*(1-IF(B1481&gt;=in_marketplace_from,d_hz_loan_vehicle*G1481,0))</f>
        <v/>
      </c>
      <c r="BX1482" s="14">
        <f>F1482*BW1482*IF(B1482&gt;=in_marketplace_from,d_hz_loan_vehicle*G1482,0)*in_loan_vehicle_ticket*in_loan_vehicle_comm</f>
        <v/>
      </c>
      <c r="BY1482" s="40">
        <f>BY1481*(1-IF(B1481&gt;=in_marketplace_from,d_hz_loan_home*G1481,0)*BZ1481)</f>
        <v/>
      </c>
      <c r="BZ1482" s="11">
        <f>MIN(in_approval_cap,in_loan_home_approval*INDEX('Age profile'!$O$2:$O$61,B1482)*(1+in_approval_growth)^(D1482-1))</f>
        <v/>
      </c>
      <c r="CA1482" s="14">
        <f>F1482*BY1482*IF(B1482&gt;=in_marketplace_from,d_hz_loan_home*G1482,0)*BZ1482*in_loan_home_ticket*in_loan_home_comm</f>
        <v/>
      </c>
      <c r="CB1482" s="40">
        <f>CB1481*(1-IF(B1481&gt;=in_marketplace_from,d_hz_loan_lap*G1481,0)*CC1481)</f>
        <v/>
      </c>
      <c r="CC1482" s="11">
        <f>MIN(in_approval_cap,in_loan_lap_approval*INDEX('Age profile'!$O$2:$O$61,B1482)*(1+in_approval_growth)^(D1482-1))</f>
        <v/>
      </c>
      <c r="CD1482" s="14">
        <f>F1482*CB1482*IF(B1482&gt;=in_marketplace_from,d_hz_loan_lap*G1482,0)*CC1482*in_loan_lap_ticket*in_loan_lap_comm</f>
        <v/>
      </c>
      <c r="CE1482" s="14">
        <f>AA1482+AB1482+AC1482+AD1482+AG1482+AJ1482+AM1482+AP1482+AS1482+AU1482+AX1482+BB1482+BE1482+BG1482+BJ1482+BL1482+BO1482+BR1482+BT1482+BV1482+BX1482+CA1482+CD1482</f>
        <v/>
      </c>
    </row>
    <row r="1483">
      <c r="A1483" s="39" t="n">
        <v>35</v>
      </c>
      <c r="B1483" s="39" t="n">
        <v>3</v>
      </c>
      <c r="C1483" s="39">
        <f>A1483+B1483-1</f>
        <v/>
      </c>
      <c r="D1483" s="39">
        <f>INT((C1483-1)/12)+1</f>
        <v/>
      </c>
      <c r="E1483" s="44">
        <f>INDEX(Monthly!$B$2:$B$61,A1483)</f>
        <v/>
      </c>
      <c r="F1483" s="44">
        <f>E1483*INDEX('Age profile'!$B$2:$B$61,B1483)</f>
        <v/>
      </c>
      <c r="G1483" s="45">
        <f>MIN(in_takeup_cap,INDEX('Age profile'!$N$2:$N$61,B1483)*(1+in_takeup_growth)^(D1483-1))</f>
        <v/>
      </c>
      <c r="H1483" s="11">
        <f>MIN(in_approval_cap,in_approved_first*INDEX('Age profile'!$O$2:$O$61,B1483)*(1+in_approval_growth)^(D1483-1))</f>
        <v/>
      </c>
      <c r="I1483" s="45">
        <f>G1483*MIN(in_takeup_cap,INDEX('Age profile'!$O$2:$O$61,B1483)*(1+in_approval_growth)^(D1483-1))</f>
        <v/>
      </c>
      <c r="J1483" s="40">
        <f>(J1482-L1482)*F1483/F1482</f>
        <v/>
      </c>
      <c r="K1483" s="40">
        <f>(K1482-M1482)*F1483/F1482+SUMIFS(O1481:O1482,B1481:B1482,B1483-1-d_T)*F1483</f>
        <v/>
      </c>
      <c r="L1483" s="40">
        <f>IF(B1483&gt;=in_marketplace_from,J1483*d_hz*G1483*in_eligible*H1483,0)</f>
        <v/>
      </c>
      <c r="M1483" s="40">
        <f>IF(B1483&gt;=in_marketplace_from,K1483*d_hz*G1483*in_eligible*in_approved_repeat,0)</f>
        <v/>
      </c>
      <c r="N1483" s="40">
        <f>L1483+M1483</f>
        <v/>
      </c>
      <c r="O1483" s="46">
        <f>N1483/F1483</f>
        <v/>
      </c>
      <c r="P1483" s="40">
        <f>F1483-J1483-K1483</f>
        <v/>
      </c>
      <c r="Q1483" s="40">
        <f>IF(B1483&gt;=in_marketplace_from,(J1483+K1483)*d_hz*G1483,0)</f>
        <v/>
      </c>
      <c r="R1483" s="40">
        <f>SUMIFS(N1481:N1506,B1481:B1506,"&gt;="&amp;(B1483-d_T),B1481:B1506,"&lt;="&amp;(B1483-1))</f>
        <v/>
      </c>
      <c r="S1483" s="46">
        <f>(1-d_u)*S1482+IF(d_T&gt;in_topup_lag,SUMIFS(O1481:O1506,B1481:B1506,B1483-in_topup_lag)-d_udrop*SUMIFS(O1481:O1506,B1481:B1506,B1483-d_T),0)</f>
        <v/>
      </c>
      <c r="T1483" s="40">
        <f>F1483*d_u*S1483</f>
        <v/>
      </c>
      <c r="U1483" s="9">
        <f>L1483*in_ticket+M1483*d_rep_ticket</f>
        <v/>
      </c>
      <c r="V1483" s="9">
        <f>U1483+T1483*d_topup_amt</f>
        <v/>
      </c>
      <c r="W1483" s="40">
        <f>N1483+T1483*d_topup_ratio</f>
        <v/>
      </c>
      <c r="X1483" s="40">
        <f>SUMIFS(W1481:W1506,B1481:B1506,B1483-in_dpd_lag)*d_cured</f>
        <v/>
      </c>
      <c r="Y1483" s="40">
        <f>SUMIFS(W1481:W1506,B1481:B1506,B1483-in_rec_lag)*d_recd</f>
        <v/>
      </c>
      <c r="Z1483" s="40">
        <f>IF(AND(B1483&gt;=in_marketplace_from,B1483&lt;in_marketplace_from+in_card_months),in_card_share/in_card_months*F1483*I1483,IF(AND(B1483&gt;=in_marketplace_from+in_card_months,B1483&lt;in_marketplace_from+2*in_card_months),in_card_share*d_card_rem/in_card_months*F1483*MIN(in_takeup_cap,(1+in_takeup_growth)^(D1483-1))*MIN(in_takeup_cap,(1+in_approval_growth)^(D1483-1)),0))</f>
        <v/>
      </c>
      <c r="AA1483" s="14">
        <f>V1483*in_fee*(1-in_taken_back)</f>
        <v/>
      </c>
      <c r="AB1483" s="14">
        <f>SUMIFS(W1481:W1506,B1481:B1506,B1483-in_dpd_lag)*d_dpd</f>
        <v/>
      </c>
      <c r="AC1483" s="14">
        <f>SUMIFS(W1481:W1506,B1481:B1506,B1483-in_rec_lag)*d_rec</f>
        <v/>
      </c>
      <c r="AD1483" s="14">
        <f>Z1483*in_card_fee</f>
        <v/>
      </c>
      <c r="AE1483" s="40">
        <f>AE1482*(1-IF(B1482&gt;=in_marketplace_from,d_hz_hlth_small*G1482,0))</f>
        <v/>
      </c>
      <c r="AF1483" s="46">
        <f>AE1483*IF(B1483&gt;=in_marketplace_from,d_hz_hlth_small*G1483,0)</f>
        <v/>
      </c>
      <c r="AG1483" s="14">
        <f>F1483*AF1483*in_hlth_small_ticket*in_hlth_small_comm*in_ins_partner_share+F1483*in_hlth_small_ticket*in_hlth_small_renew_comm*in_ins_partner_share*(in_hlth_small_renew^1*SUMIFS(AF1481:AF1506,B1481:B1506,B1483-12)+in_hlth_small_renew^2*SUMIFS(AF1481:AF1506,B1481:B1506,B1483-24)+in_hlth_small_renew^3*SUMIFS(AF1481:AF1506,B1481:B1506,B1483-36)+in_hlth_small_renew^4*SUMIFS(AF1481:AF1506,B1481:B1506,B1483-48))</f>
        <v/>
      </c>
      <c r="AH1483" s="40">
        <f>AH1482*(1-IF(B1482&gt;=in_marketplace_from,d_hz_hlth_family*G1482,0))</f>
        <v/>
      </c>
      <c r="AI1483" s="46">
        <f>AH1483*IF(B1483&gt;=in_marketplace_from,d_hz_hlth_family*G1483,0)</f>
        <v/>
      </c>
      <c r="AJ1483" s="14">
        <f>F1483*AI1483*in_hlth_family_ticket*in_hlth_family_comm*in_ins_partner_share+F1483*in_hlth_family_ticket*in_hlth_family_renew_comm*in_ins_partner_share*(in_hlth_family_renew^1*SUMIFS(AI1481:AI1506,B1481:B1506,B1483-12)+in_hlth_family_renew^2*SUMIFS(AI1481:AI1506,B1481:B1506,B1483-24)+in_hlth_family_renew^3*SUMIFS(AI1481:AI1506,B1481:B1506,B1483-36)+in_hlth_family_renew^4*SUMIFS(AI1481:AI1506,B1481:B1506,B1483-48))</f>
        <v/>
      </c>
      <c r="AK1483" s="40">
        <f>AK1482*(1-IF(B1482&gt;=in_marketplace_from,d_hz_life_term*G1482,0))</f>
        <v/>
      </c>
      <c r="AL1483" s="46">
        <f>AK1483*IF(B1483&gt;=in_marketplace_from,d_hz_life_term*G1483,0)</f>
        <v/>
      </c>
      <c r="AM1483" s="14">
        <f>F1483*AL1483*in_life_term_ticket*in_life_term_comm*in_ins_partner_share+F1483*in_life_term_ticket*in_life_term_renew_comm*in_ins_partner_share*(in_life_term_renew^1*SUMIFS(AL1481:AL1506,B1481:B1506,B1483-12)+in_life_term_renew^2*SUMIFS(AL1481:AL1506,B1481:B1506,B1483-24)+in_life_term_renew^3*SUMIFS(AL1481:AL1506,B1481:B1506,B1483-36)+in_life_term_renew^4*SUMIFS(AL1481:AL1506,B1481:B1506,B1483-48))</f>
        <v/>
      </c>
      <c r="AN1483" s="40">
        <f>AN1482*(1-IF(B1482&gt;=in_marketplace_from,d_hz_accident*G1482,0))</f>
        <v/>
      </c>
      <c r="AO1483" s="46">
        <f>AN1483*IF(B1483&gt;=in_marketplace_from,d_hz_accident*G1483,0)</f>
        <v/>
      </c>
      <c r="AP1483" s="14">
        <f>F1483*AO1483*in_accident_ticket*in_accident_comm*in_ins_partner_share+F1483*in_accident_ticket*in_accident_renew_comm*in_ins_partner_share*(in_accident_renew^1*SUMIFS(AO1481:AO1506,B1481:B1506,B1483-12)+in_accident_renew^2*SUMIFS(AO1481:AO1506,B1481:B1506,B1483-24)+in_accident_renew^3*SUMIFS(AO1481:AO1506,B1481:B1506,B1483-36)+in_accident_renew^4*SUMIFS(AO1481:AO1506,B1481:B1506,B1483-48))</f>
        <v/>
      </c>
      <c r="AQ1483" s="40">
        <f>AQ1482*(1-IF(B1482&gt;=in_marketplace_from,d_hz_two_wheeler*G1482,0))</f>
        <v/>
      </c>
      <c r="AR1483" s="46">
        <f>AQ1483*IF(B1483&gt;=in_marketplace_from,d_hz_two_wheeler*G1483,0)</f>
        <v/>
      </c>
      <c r="AS1483" s="14">
        <f>F1483*AR1483*in_two_wheeler_ticket*in_two_wheeler_comm*in_ins_partner_share+F1483*in_two_wheeler_ticket*in_two_wheeler_comm*in_ins_partner_share*(in_two_wheeler_renew^1*SUMIFS(AR1481:AR1506,B1481:B1506,B1483-12)+in_two_wheeler_renew^2*SUMIFS(AR1481:AR1506,B1481:B1506,B1483-24)+in_two_wheeler_renew^3*SUMIFS(AR1481:AR1506,B1481:B1506,B1483-36)+in_two_wheeler_renew^4*SUMIFS(AR1481:AR1506,B1481:B1506,B1483-48))</f>
        <v/>
      </c>
      <c r="AT1483" s="40">
        <f>AT1482*(1-IF(B1482&gt;=in_marketplace_from,d_hz_device*G1482,0))</f>
        <v/>
      </c>
      <c r="AU1483" s="14">
        <f>F1483*AT1483*IF(B1483&gt;=in_marketplace_from,d_hz_device*G1483,0)*in_device_ticket*in_device_comm*in_ins_partner_share</f>
        <v/>
      </c>
      <c r="AV1483" s="40">
        <f>AV1482*(1-IF(B1482&gt;=in_marketplace_from,d_hz_shop*G1482,0))</f>
        <v/>
      </c>
      <c r="AW1483" s="46">
        <f>AV1483*IF(B1483&gt;=in_marketplace_from,d_hz_shop*G1483,0)</f>
        <v/>
      </c>
      <c r="AX1483" s="14">
        <f>F1483*AW1483*in_shop_ticket*in_shop_comm*in_ins_partner_share+F1483*in_shop_ticket*in_shop_renew_comm*in_ins_partner_share*(in_shop_renew^1*SUMIFS(AW1481:AW1506,B1481:B1506,B1483-12)+in_shop_renew^2*SUMIFS(AW1481:AW1506,B1481:B1506,B1483-24)+in_shop_renew^3*SUMIFS(AW1481:AW1506,B1481:B1506,B1483-36)+in_shop_renew^4*SUMIFS(AW1481:AW1506,B1481:B1506,B1483-48))</f>
        <v/>
      </c>
      <c r="AY1483" s="40">
        <f>AY1482*(1-IF(B1482&gt;=in_marketplace_from,d_hz_sip*G1482,0))</f>
        <v/>
      </c>
      <c r="AZ1483" s="40">
        <f>AZ1482*d_rho_sip+AY1483*IF(B1483&gt;=in_marketplace_from,d_hz_sip*G1483,0)</f>
        <v/>
      </c>
      <c r="BA1483" s="40">
        <f>d_rho_sip*(BA1482+AZ1482)</f>
        <v/>
      </c>
      <c r="BB1483" s="14">
        <f>F1483*in_sip_ticket*(BA1483+0.5*AZ1483)*in_sip_comm/12</f>
        <v/>
      </c>
      <c r="BC1483" s="40">
        <f>BC1482*(1-IF(B1482&gt;=in_marketplace_from,d_hz_choti*G1482,0))</f>
        <v/>
      </c>
      <c r="BD1483" s="46">
        <f>BC1483*IF(B1483&gt;=in_marketplace_from,d_hz_choti*G1483,0)</f>
        <v/>
      </c>
      <c r="BE1483" s="14">
        <f>F1483*SUMIFS(BD1481:BD1506,B1481:B1506,B1483-in_choti_months)*in_choti_renew*in_choti_ticket</f>
        <v/>
      </c>
      <c r="BF1483" s="40">
        <f>BF1482*(1-IF(B1482&gt;=in_marketplace_from,d_hz_nps*G1482,0))</f>
        <v/>
      </c>
      <c r="BG1483" s="14">
        <f>F1483*BF1483*IF(B1483&gt;=in_marketplace_from,d_hz_nps*G1483,0)*in_nps_ticket*in_nps_comm</f>
        <v/>
      </c>
      <c r="BH1483" s="40">
        <f>BH1482*(1-IF(B1482&gt;=in_marketplace_from,d_hz_gold*G1482,0))</f>
        <v/>
      </c>
      <c r="BI1483" s="40">
        <f>BI1482*d_rho_gold+BH1483*IF(B1483&gt;=in_marketplace_from,d_hz_gold*G1483,0)</f>
        <v/>
      </c>
      <c r="BJ1483" s="14">
        <f>F1483*BI1483*in_gold_ticket*in_gold_comm</f>
        <v/>
      </c>
      <c r="BK1483" s="40">
        <f>BK1482*(1-IF(B1482&gt;=in_marketplace_from,d_hz_fd*G1482,0))</f>
        <v/>
      </c>
      <c r="BL1483" s="14">
        <f>F1483*BK1483*IF(B1483&gt;=in_marketplace_from,d_hz_fd*G1483,0)*in_fd_ticket*in_fd_comm</f>
        <v/>
      </c>
      <c r="BM1483" s="40">
        <f>BM1482*(1-IF(B1482&gt;=in_marketplace_from,d_hz_recharge*G1482,0))</f>
        <v/>
      </c>
      <c r="BN1483" s="40">
        <f>BN1482*d_rho_recharge+BM1483*IF(B1483&gt;=in_marketplace_from,d_hz_recharge*G1483,0)</f>
        <v/>
      </c>
      <c r="BO1483" s="14">
        <f>F1483*BN1483*in_recharge_ticket*in_recharge_comm/12</f>
        <v/>
      </c>
      <c r="BP1483" s="40">
        <f>BP1482*(1-IF(B1482&gt;=in_marketplace_from,d_hz_bills*G1482,0))</f>
        <v/>
      </c>
      <c r="BQ1483" s="40">
        <f>BQ1482*d_rho_bills+BP1483*IF(B1483&gt;=in_marketplace_from,d_hz_bills*G1483,0)</f>
        <v/>
      </c>
      <c r="BR1483" s="14">
        <f>F1483*BQ1483*in_bills_ticket*in_bills_comm/12</f>
        <v/>
      </c>
      <c r="BS1483" s="40">
        <f>BS1482*(1-IF(B1482&gt;=in_marketplace_from,d_hz_loan_gold*G1482,0))</f>
        <v/>
      </c>
      <c r="BT1483" s="14">
        <f>F1483*BS1483*IF(B1483&gt;=in_marketplace_from,d_hz_loan_gold*G1483,0)*in_loan_gold_ticket*in_loan_gold_comm</f>
        <v/>
      </c>
      <c r="BU1483" s="40">
        <f>BU1482*(1-IF(B1482&gt;=in_marketplace_from,d_hz_loan_cd*G1482,0))</f>
        <v/>
      </c>
      <c r="BV1483" s="14">
        <f>F1483*BU1483*IF(B1483&gt;=in_marketplace_from,d_hz_loan_cd*G1483,0)*in_loan_cd_ticket*in_loan_cd_comm</f>
        <v/>
      </c>
      <c r="BW1483" s="40">
        <f>BW1482*(1-IF(B1482&gt;=in_marketplace_from,d_hz_loan_vehicle*G1482,0))</f>
        <v/>
      </c>
      <c r="BX1483" s="14">
        <f>F1483*BW1483*IF(B1483&gt;=in_marketplace_from,d_hz_loan_vehicle*G1483,0)*in_loan_vehicle_ticket*in_loan_vehicle_comm</f>
        <v/>
      </c>
      <c r="BY1483" s="40">
        <f>BY1482*(1-IF(B1482&gt;=in_marketplace_from,d_hz_loan_home*G1482,0)*BZ1482)</f>
        <v/>
      </c>
      <c r="BZ1483" s="11">
        <f>MIN(in_approval_cap,in_loan_home_approval*INDEX('Age profile'!$O$2:$O$61,B1483)*(1+in_approval_growth)^(D1483-1))</f>
        <v/>
      </c>
      <c r="CA1483" s="14">
        <f>F1483*BY1483*IF(B1483&gt;=in_marketplace_from,d_hz_loan_home*G1483,0)*BZ1483*in_loan_home_ticket*in_loan_home_comm</f>
        <v/>
      </c>
      <c r="CB1483" s="40">
        <f>CB1482*(1-IF(B1482&gt;=in_marketplace_from,d_hz_loan_lap*G1482,0)*CC1482)</f>
        <v/>
      </c>
      <c r="CC1483" s="11">
        <f>MIN(in_approval_cap,in_loan_lap_approval*INDEX('Age profile'!$O$2:$O$61,B1483)*(1+in_approval_growth)^(D1483-1))</f>
        <v/>
      </c>
      <c r="CD1483" s="14">
        <f>F1483*CB1483*IF(B1483&gt;=in_marketplace_from,d_hz_loan_lap*G1483,0)*CC1483*in_loan_lap_ticket*in_loan_lap_comm</f>
        <v/>
      </c>
      <c r="CE1483" s="14">
        <f>AA1483+AB1483+AC1483+AD1483+AG1483+AJ1483+AM1483+AP1483+AS1483+AU1483+AX1483+BB1483+BE1483+BG1483+BJ1483+BL1483+BO1483+BR1483+BT1483+BV1483+BX1483+CA1483+CD1483</f>
        <v/>
      </c>
    </row>
    <row r="1484">
      <c r="A1484" s="39" t="n">
        <v>35</v>
      </c>
      <c r="B1484" s="39" t="n">
        <v>4</v>
      </c>
      <c r="C1484" s="39">
        <f>A1484+B1484-1</f>
        <v/>
      </c>
      <c r="D1484" s="39">
        <f>INT((C1484-1)/12)+1</f>
        <v/>
      </c>
      <c r="E1484" s="44">
        <f>INDEX(Monthly!$B$2:$B$61,A1484)</f>
        <v/>
      </c>
      <c r="F1484" s="44">
        <f>E1484*INDEX('Age profile'!$B$2:$B$61,B1484)</f>
        <v/>
      </c>
      <c r="G1484" s="45">
        <f>MIN(in_takeup_cap,INDEX('Age profile'!$N$2:$N$61,B1484)*(1+in_takeup_growth)^(D1484-1))</f>
        <v/>
      </c>
      <c r="H1484" s="11">
        <f>MIN(in_approval_cap,in_approved_first*INDEX('Age profile'!$O$2:$O$61,B1484)*(1+in_approval_growth)^(D1484-1))</f>
        <v/>
      </c>
      <c r="I1484" s="45">
        <f>G1484*MIN(in_takeup_cap,INDEX('Age profile'!$O$2:$O$61,B1484)*(1+in_approval_growth)^(D1484-1))</f>
        <v/>
      </c>
      <c r="J1484" s="40">
        <f>(J1483-L1483)*F1484/F1483</f>
        <v/>
      </c>
      <c r="K1484" s="40">
        <f>(K1483-M1483)*F1484/F1483+SUMIFS(O1481:O1483,B1481:B1483,B1484-1-d_T)*F1484</f>
        <v/>
      </c>
      <c r="L1484" s="40">
        <f>IF(B1484&gt;=in_marketplace_from,J1484*d_hz*G1484*in_eligible*H1484,0)</f>
        <v/>
      </c>
      <c r="M1484" s="40">
        <f>IF(B1484&gt;=in_marketplace_from,K1484*d_hz*G1484*in_eligible*in_approved_repeat,0)</f>
        <v/>
      </c>
      <c r="N1484" s="40">
        <f>L1484+M1484</f>
        <v/>
      </c>
      <c r="O1484" s="46">
        <f>N1484/F1484</f>
        <v/>
      </c>
      <c r="P1484" s="40">
        <f>F1484-J1484-K1484</f>
        <v/>
      </c>
      <c r="Q1484" s="40">
        <f>IF(B1484&gt;=in_marketplace_from,(J1484+K1484)*d_hz*G1484,0)</f>
        <v/>
      </c>
      <c r="R1484" s="40">
        <f>SUMIFS(N1481:N1506,B1481:B1506,"&gt;="&amp;(B1484-d_T),B1481:B1506,"&lt;="&amp;(B1484-1))</f>
        <v/>
      </c>
      <c r="S1484" s="46">
        <f>(1-d_u)*S1483+IF(d_T&gt;in_topup_lag,SUMIFS(O1481:O1506,B1481:B1506,B1484-in_topup_lag)-d_udrop*SUMIFS(O1481:O1506,B1481:B1506,B1484-d_T),0)</f>
        <v/>
      </c>
      <c r="T1484" s="40">
        <f>F1484*d_u*S1484</f>
        <v/>
      </c>
      <c r="U1484" s="9">
        <f>L1484*in_ticket+M1484*d_rep_ticket</f>
        <v/>
      </c>
      <c r="V1484" s="9">
        <f>U1484+T1484*d_topup_amt</f>
        <v/>
      </c>
      <c r="W1484" s="40">
        <f>N1484+T1484*d_topup_ratio</f>
        <v/>
      </c>
      <c r="X1484" s="40">
        <f>SUMIFS(W1481:W1506,B1481:B1506,B1484-in_dpd_lag)*d_cured</f>
        <v/>
      </c>
      <c r="Y1484" s="40">
        <f>SUMIFS(W1481:W1506,B1481:B1506,B1484-in_rec_lag)*d_recd</f>
        <v/>
      </c>
      <c r="Z1484" s="40">
        <f>IF(AND(B1484&gt;=in_marketplace_from,B1484&lt;in_marketplace_from+in_card_months),in_card_share/in_card_months*F1484*I1484,IF(AND(B1484&gt;=in_marketplace_from+in_card_months,B1484&lt;in_marketplace_from+2*in_card_months),in_card_share*d_card_rem/in_card_months*F1484*MIN(in_takeup_cap,(1+in_takeup_growth)^(D1484-1))*MIN(in_takeup_cap,(1+in_approval_growth)^(D1484-1)),0))</f>
        <v/>
      </c>
      <c r="AA1484" s="14">
        <f>V1484*in_fee*(1-in_taken_back)</f>
        <v/>
      </c>
      <c r="AB1484" s="14">
        <f>SUMIFS(W1481:W1506,B1481:B1506,B1484-in_dpd_lag)*d_dpd</f>
        <v/>
      </c>
      <c r="AC1484" s="14">
        <f>SUMIFS(W1481:W1506,B1481:B1506,B1484-in_rec_lag)*d_rec</f>
        <v/>
      </c>
      <c r="AD1484" s="14">
        <f>Z1484*in_card_fee</f>
        <v/>
      </c>
      <c r="AE1484" s="40">
        <f>AE1483*(1-IF(B1483&gt;=in_marketplace_from,d_hz_hlth_small*G1483,0))</f>
        <v/>
      </c>
      <c r="AF1484" s="46">
        <f>AE1484*IF(B1484&gt;=in_marketplace_from,d_hz_hlth_small*G1484,0)</f>
        <v/>
      </c>
      <c r="AG1484" s="14">
        <f>F1484*AF1484*in_hlth_small_ticket*in_hlth_small_comm*in_ins_partner_share+F1484*in_hlth_small_ticket*in_hlth_small_renew_comm*in_ins_partner_share*(in_hlth_small_renew^1*SUMIFS(AF1481:AF1506,B1481:B1506,B1484-12)+in_hlth_small_renew^2*SUMIFS(AF1481:AF1506,B1481:B1506,B1484-24)+in_hlth_small_renew^3*SUMIFS(AF1481:AF1506,B1481:B1506,B1484-36)+in_hlth_small_renew^4*SUMIFS(AF1481:AF1506,B1481:B1506,B1484-48))</f>
        <v/>
      </c>
      <c r="AH1484" s="40">
        <f>AH1483*(1-IF(B1483&gt;=in_marketplace_from,d_hz_hlth_family*G1483,0))</f>
        <v/>
      </c>
      <c r="AI1484" s="46">
        <f>AH1484*IF(B1484&gt;=in_marketplace_from,d_hz_hlth_family*G1484,0)</f>
        <v/>
      </c>
      <c r="AJ1484" s="14">
        <f>F1484*AI1484*in_hlth_family_ticket*in_hlth_family_comm*in_ins_partner_share+F1484*in_hlth_family_ticket*in_hlth_family_renew_comm*in_ins_partner_share*(in_hlth_family_renew^1*SUMIFS(AI1481:AI1506,B1481:B1506,B1484-12)+in_hlth_family_renew^2*SUMIFS(AI1481:AI1506,B1481:B1506,B1484-24)+in_hlth_family_renew^3*SUMIFS(AI1481:AI1506,B1481:B1506,B1484-36)+in_hlth_family_renew^4*SUMIFS(AI1481:AI1506,B1481:B1506,B1484-48))</f>
        <v/>
      </c>
      <c r="AK1484" s="40">
        <f>AK1483*(1-IF(B1483&gt;=in_marketplace_from,d_hz_life_term*G1483,0))</f>
        <v/>
      </c>
      <c r="AL1484" s="46">
        <f>AK1484*IF(B1484&gt;=in_marketplace_from,d_hz_life_term*G1484,0)</f>
        <v/>
      </c>
      <c r="AM1484" s="14">
        <f>F1484*AL1484*in_life_term_ticket*in_life_term_comm*in_ins_partner_share+F1484*in_life_term_ticket*in_life_term_renew_comm*in_ins_partner_share*(in_life_term_renew^1*SUMIFS(AL1481:AL1506,B1481:B1506,B1484-12)+in_life_term_renew^2*SUMIFS(AL1481:AL1506,B1481:B1506,B1484-24)+in_life_term_renew^3*SUMIFS(AL1481:AL1506,B1481:B1506,B1484-36)+in_life_term_renew^4*SUMIFS(AL1481:AL1506,B1481:B1506,B1484-48))</f>
        <v/>
      </c>
      <c r="AN1484" s="40">
        <f>AN1483*(1-IF(B1483&gt;=in_marketplace_from,d_hz_accident*G1483,0))</f>
        <v/>
      </c>
      <c r="AO1484" s="46">
        <f>AN1484*IF(B1484&gt;=in_marketplace_from,d_hz_accident*G1484,0)</f>
        <v/>
      </c>
      <c r="AP1484" s="14">
        <f>F1484*AO1484*in_accident_ticket*in_accident_comm*in_ins_partner_share+F1484*in_accident_ticket*in_accident_renew_comm*in_ins_partner_share*(in_accident_renew^1*SUMIFS(AO1481:AO1506,B1481:B1506,B1484-12)+in_accident_renew^2*SUMIFS(AO1481:AO1506,B1481:B1506,B1484-24)+in_accident_renew^3*SUMIFS(AO1481:AO1506,B1481:B1506,B1484-36)+in_accident_renew^4*SUMIFS(AO1481:AO1506,B1481:B1506,B1484-48))</f>
        <v/>
      </c>
      <c r="AQ1484" s="40">
        <f>AQ1483*(1-IF(B1483&gt;=in_marketplace_from,d_hz_two_wheeler*G1483,0))</f>
        <v/>
      </c>
      <c r="AR1484" s="46">
        <f>AQ1484*IF(B1484&gt;=in_marketplace_from,d_hz_two_wheeler*G1484,0)</f>
        <v/>
      </c>
      <c r="AS1484" s="14">
        <f>F1484*AR1484*in_two_wheeler_ticket*in_two_wheeler_comm*in_ins_partner_share+F1484*in_two_wheeler_ticket*in_two_wheeler_comm*in_ins_partner_share*(in_two_wheeler_renew^1*SUMIFS(AR1481:AR1506,B1481:B1506,B1484-12)+in_two_wheeler_renew^2*SUMIFS(AR1481:AR1506,B1481:B1506,B1484-24)+in_two_wheeler_renew^3*SUMIFS(AR1481:AR1506,B1481:B1506,B1484-36)+in_two_wheeler_renew^4*SUMIFS(AR1481:AR1506,B1481:B1506,B1484-48))</f>
        <v/>
      </c>
      <c r="AT1484" s="40">
        <f>AT1483*(1-IF(B1483&gt;=in_marketplace_from,d_hz_device*G1483,0))</f>
        <v/>
      </c>
      <c r="AU1484" s="14">
        <f>F1484*AT1484*IF(B1484&gt;=in_marketplace_from,d_hz_device*G1484,0)*in_device_ticket*in_device_comm*in_ins_partner_share</f>
        <v/>
      </c>
      <c r="AV1484" s="40">
        <f>AV1483*(1-IF(B1483&gt;=in_marketplace_from,d_hz_shop*G1483,0))</f>
        <v/>
      </c>
      <c r="AW1484" s="46">
        <f>AV1484*IF(B1484&gt;=in_marketplace_from,d_hz_shop*G1484,0)</f>
        <v/>
      </c>
      <c r="AX1484" s="14">
        <f>F1484*AW1484*in_shop_ticket*in_shop_comm*in_ins_partner_share+F1484*in_shop_ticket*in_shop_renew_comm*in_ins_partner_share*(in_shop_renew^1*SUMIFS(AW1481:AW1506,B1481:B1506,B1484-12)+in_shop_renew^2*SUMIFS(AW1481:AW1506,B1481:B1506,B1484-24)+in_shop_renew^3*SUMIFS(AW1481:AW1506,B1481:B1506,B1484-36)+in_shop_renew^4*SUMIFS(AW1481:AW1506,B1481:B1506,B1484-48))</f>
        <v/>
      </c>
      <c r="AY1484" s="40">
        <f>AY1483*(1-IF(B1483&gt;=in_marketplace_from,d_hz_sip*G1483,0))</f>
        <v/>
      </c>
      <c r="AZ1484" s="40">
        <f>AZ1483*d_rho_sip+AY1484*IF(B1484&gt;=in_marketplace_from,d_hz_sip*G1484,0)</f>
        <v/>
      </c>
      <c r="BA1484" s="40">
        <f>d_rho_sip*(BA1483+AZ1483)</f>
        <v/>
      </c>
      <c r="BB1484" s="14">
        <f>F1484*in_sip_ticket*(BA1484+0.5*AZ1484)*in_sip_comm/12</f>
        <v/>
      </c>
      <c r="BC1484" s="40">
        <f>BC1483*(1-IF(B1483&gt;=in_marketplace_from,d_hz_choti*G1483,0))</f>
        <v/>
      </c>
      <c r="BD1484" s="46">
        <f>BC1484*IF(B1484&gt;=in_marketplace_from,d_hz_choti*G1484,0)</f>
        <v/>
      </c>
      <c r="BE1484" s="14">
        <f>F1484*SUMIFS(BD1481:BD1506,B1481:B1506,B1484-in_choti_months)*in_choti_renew*in_choti_ticket</f>
        <v/>
      </c>
      <c r="BF1484" s="40">
        <f>BF1483*(1-IF(B1483&gt;=in_marketplace_from,d_hz_nps*G1483,0))</f>
        <v/>
      </c>
      <c r="BG1484" s="14">
        <f>F1484*BF1484*IF(B1484&gt;=in_marketplace_from,d_hz_nps*G1484,0)*in_nps_ticket*in_nps_comm</f>
        <v/>
      </c>
      <c r="BH1484" s="40">
        <f>BH1483*(1-IF(B1483&gt;=in_marketplace_from,d_hz_gold*G1483,0))</f>
        <v/>
      </c>
      <c r="BI1484" s="40">
        <f>BI1483*d_rho_gold+BH1484*IF(B1484&gt;=in_marketplace_from,d_hz_gold*G1484,0)</f>
        <v/>
      </c>
      <c r="BJ1484" s="14">
        <f>F1484*BI1484*in_gold_ticket*in_gold_comm</f>
        <v/>
      </c>
      <c r="BK1484" s="40">
        <f>BK1483*(1-IF(B1483&gt;=in_marketplace_from,d_hz_fd*G1483,0))</f>
        <v/>
      </c>
      <c r="BL1484" s="14">
        <f>F1484*BK1484*IF(B1484&gt;=in_marketplace_from,d_hz_fd*G1484,0)*in_fd_ticket*in_fd_comm</f>
        <v/>
      </c>
      <c r="BM1484" s="40">
        <f>BM1483*(1-IF(B1483&gt;=in_marketplace_from,d_hz_recharge*G1483,0))</f>
        <v/>
      </c>
      <c r="BN1484" s="40">
        <f>BN1483*d_rho_recharge+BM1484*IF(B1484&gt;=in_marketplace_from,d_hz_recharge*G1484,0)</f>
        <v/>
      </c>
      <c r="BO1484" s="14">
        <f>F1484*BN1484*in_recharge_ticket*in_recharge_comm/12</f>
        <v/>
      </c>
      <c r="BP1484" s="40">
        <f>BP1483*(1-IF(B1483&gt;=in_marketplace_from,d_hz_bills*G1483,0))</f>
        <v/>
      </c>
      <c r="BQ1484" s="40">
        <f>BQ1483*d_rho_bills+BP1484*IF(B1484&gt;=in_marketplace_from,d_hz_bills*G1484,0)</f>
        <v/>
      </c>
      <c r="BR1484" s="14">
        <f>F1484*BQ1484*in_bills_ticket*in_bills_comm/12</f>
        <v/>
      </c>
      <c r="BS1484" s="40">
        <f>BS1483*(1-IF(B1483&gt;=in_marketplace_from,d_hz_loan_gold*G1483,0))</f>
        <v/>
      </c>
      <c r="BT1484" s="14">
        <f>F1484*BS1484*IF(B1484&gt;=in_marketplace_from,d_hz_loan_gold*G1484,0)*in_loan_gold_ticket*in_loan_gold_comm</f>
        <v/>
      </c>
      <c r="BU1484" s="40">
        <f>BU1483*(1-IF(B1483&gt;=in_marketplace_from,d_hz_loan_cd*G1483,0))</f>
        <v/>
      </c>
      <c r="BV1484" s="14">
        <f>F1484*BU1484*IF(B1484&gt;=in_marketplace_from,d_hz_loan_cd*G1484,0)*in_loan_cd_ticket*in_loan_cd_comm</f>
        <v/>
      </c>
      <c r="BW1484" s="40">
        <f>BW1483*(1-IF(B1483&gt;=in_marketplace_from,d_hz_loan_vehicle*G1483,0))</f>
        <v/>
      </c>
      <c r="BX1484" s="14">
        <f>F1484*BW1484*IF(B1484&gt;=in_marketplace_from,d_hz_loan_vehicle*G1484,0)*in_loan_vehicle_ticket*in_loan_vehicle_comm</f>
        <v/>
      </c>
      <c r="BY1484" s="40">
        <f>BY1483*(1-IF(B1483&gt;=in_marketplace_from,d_hz_loan_home*G1483,0)*BZ1483)</f>
        <v/>
      </c>
      <c r="BZ1484" s="11">
        <f>MIN(in_approval_cap,in_loan_home_approval*INDEX('Age profile'!$O$2:$O$61,B1484)*(1+in_approval_growth)^(D1484-1))</f>
        <v/>
      </c>
      <c r="CA1484" s="14">
        <f>F1484*BY1484*IF(B1484&gt;=in_marketplace_from,d_hz_loan_home*G1484,0)*BZ1484*in_loan_home_ticket*in_loan_home_comm</f>
        <v/>
      </c>
      <c r="CB1484" s="40">
        <f>CB1483*(1-IF(B1483&gt;=in_marketplace_from,d_hz_loan_lap*G1483,0)*CC1483)</f>
        <v/>
      </c>
      <c r="CC1484" s="11">
        <f>MIN(in_approval_cap,in_loan_lap_approval*INDEX('Age profile'!$O$2:$O$61,B1484)*(1+in_approval_growth)^(D1484-1))</f>
        <v/>
      </c>
      <c r="CD1484" s="14">
        <f>F1484*CB1484*IF(B1484&gt;=in_marketplace_from,d_hz_loan_lap*G1484,0)*CC1484*in_loan_lap_ticket*in_loan_lap_comm</f>
        <v/>
      </c>
      <c r="CE1484" s="14">
        <f>AA1484+AB1484+AC1484+AD1484+AG1484+AJ1484+AM1484+AP1484+AS1484+AU1484+AX1484+BB1484+BE1484+BG1484+BJ1484+BL1484+BO1484+BR1484+BT1484+BV1484+BX1484+CA1484+CD1484</f>
        <v/>
      </c>
    </row>
    <row r="1485">
      <c r="A1485" s="39" t="n">
        <v>35</v>
      </c>
      <c r="B1485" s="39" t="n">
        <v>5</v>
      </c>
      <c r="C1485" s="39">
        <f>A1485+B1485-1</f>
        <v/>
      </c>
      <c r="D1485" s="39">
        <f>INT((C1485-1)/12)+1</f>
        <v/>
      </c>
      <c r="E1485" s="44">
        <f>INDEX(Monthly!$B$2:$B$61,A1485)</f>
        <v/>
      </c>
      <c r="F1485" s="44">
        <f>E1485*INDEX('Age profile'!$B$2:$B$61,B1485)</f>
        <v/>
      </c>
      <c r="G1485" s="45">
        <f>MIN(in_takeup_cap,INDEX('Age profile'!$N$2:$N$61,B1485)*(1+in_takeup_growth)^(D1485-1))</f>
        <v/>
      </c>
      <c r="H1485" s="11">
        <f>MIN(in_approval_cap,in_approved_first*INDEX('Age profile'!$O$2:$O$61,B1485)*(1+in_approval_growth)^(D1485-1))</f>
        <v/>
      </c>
      <c r="I1485" s="45">
        <f>G1485*MIN(in_takeup_cap,INDEX('Age profile'!$O$2:$O$61,B1485)*(1+in_approval_growth)^(D1485-1))</f>
        <v/>
      </c>
      <c r="J1485" s="40">
        <f>(J1484-L1484)*F1485/F1484</f>
        <v/>
      </c>
      <c r="K1485" s="40">
        <f>(K1484-M1484)*F1485/F1484+SUMIFS(O1481:O1484,B1481:B1484,B1485-1-d_T)*F1485</f>
        <v/>
      </c>
      <c r="L1485" s="40">
        <f>IF(B1485&gt;=in_marketplace_from,J1485*d_hz*G1485*in_eligible*H1485,0)</f>
        <v/>
      </c>
      <c r="M1485" s="40">
        <f>IF(B1485&gt;=in_marketplace_from,K1485*d_hz*G1485*in_eligible*in_approved_repeat,0)</f>
        <v/>
      </c>
      <c r="N1485" s="40">
        <f>L1485+M1485</f>
        <v/>
      </c>
      <c r="O1485" s="46">
        <f>N1485/F1485</f>
        <v/>
      </c>
      <c r="P1485" s="40">
        <f>F1485-J1485-K1485</f>
        <v/>
      </c>
      <c r="Q1485" s="40">
        <f>IF(B1485&gt;=in_marketplace_from,(J1485+K1485)*d_hz*G1485,0)</f>
        <v/>
      </c>
      <c r="R1485" s="40">
        <f>SUMIFS(N1481:N1506,B1481:B1506,"&gt;="&amp;(B1485-d_T),B1481:B1506,"&lt;="&amp;(B1485-1))</f>
        <v/>
      </c>
      <c r="S1485" s="46">
        <f>(1-d_u)*S1484+IF(d_T&gt;in_topup_lag,SUMIFS(O1481:O1506,B1481:B1506,B1485-in_topup_lag)-d_udrop*SUMIFS(O1481:O1506,B1481:B1506,B1485-d_T),0)</f>
        <v/>
      </c>
      <c r="T1485" s="40">
        <f>F1485*d_u*S1485</f>
        <v/>
      </c>
      <c r="U1485" s="9">
        <f>L1485*in_ticket+M1485*d_rep_ticket</f>
        <v/>
      </c>
      <c r="V1485" s="9">
        <f>U1485+T1485*d_topup_amt</f>
        <v/>
      </c>
      <c r="W1485" s="40">
        <f>N1485+T1485*d_topup_ratio</f>
        <v/>
      </c>
      <c r="X1485" s="40">
        <f>SUMIFS(W1481:W1506,B1481:B1506,B1485-in_dpd_lag)*d_cured</f>
        <v/>
      </c>
      <c r="Y1485" s="40">
        <f>SUMIFS(W1481:W1506,B1481:B1506,B1485-in_rec_lag)*d_recd</f>
        <v/>
      </c>
      <c r="Z1485" s="40">
        <f>IF(AND(B1485&gt;=in_marketplace_from,B1485&lt;in_marketplace_from+in_card_months),in_card_share/in_card_months*F1485*I1485,IF(AND(B1485&gt;=in_marketplace_from+in_card_months,B1485&lt;in_marketplace_from+2*in_card_months),in_card_share*d_card_rem/in_card_months*F1485*MIN(in_takeup_cap,(1+in_takeup_growth)^(D1485-1))*MIN(in_takeup_cap,(1+in_approval_growth)^(D1485-1)),0))</f>
        <v/>
      </c>
      <c r="AA1485" s="14">
        <f>V1485*in_fee*(1-in_taken_back)</f>
        <v/>
      </c>
      <c r="AB1485" s="14">
        <f>SUMIFS(W1481:W1506,B1481:B1506,B1485-in_dpd_lag)*d_dpd</f>
        <v/>
      </c>
      <c r="AC1485" s="14">
        <f>SUMIFS(W1481:W1506,B1481:B1506,B1485-in_rec_lag)*d_rec</f>
        <v/>
      </c>
      <c r="AD1485" s="14">
        <f>Z1485*in_card_fee</f>
        <v/>
      </c>
      <c r="AE1485" s="40">
        <f>AE1484*(1-IF(B1484&gt;=in_marketplace_from,d_hz_hlth_small*G1484,0))</f>
        <v/>
      </c>
      <c r="AF1485" s="46">
        <f>AE1485*IF(B1485&gt;=in_marketplace_from,d_hz_hlth_small*G1485,0)</f>
        <v/>
      </c>
      <c r="AG1485" s="14">
        <f>F1485*AF1485*in_hlth_small_ticket*in_hlth_small_comm*in_ins_partner_share+F1485*in_hlth_small_ticket*in_hlth_small_renew_comm*in_ins_partner_share*(in_hlth_small_renew^1*SUMIFS(AF1481:AF1506,B1481:B1506,B1485-12)+in_hlth_small_renew^2*SUMIFS(AF1481:AF1506,B1481:B1506,B1485-24)+in_hlth_small_renew^3*SUMIFS(AF1481:AF1506,B1481:B1506,B1485-36)+in_hlth_small_renew^4*SUMIFS(AF1481:AF1506,B1481:B1506,B1485-48))</f>
        <v/>
      </c>
      <c r="AH1485" s="40">
        <f>AH1484*(1-IF(B1484&gt;=in_marketplace_from,d_hz_hlth_family*G1484,0))</f>
        <v/>
      </c>
      <c r="AI1485" s="46">
        <f>AH1485*IF(B1485&gt;=in_marketplace_from,d_hz_hlth_family*G1485,0)</f>
        <v/>
      </c>
      <c r="AJ1485" s="14">
        <f>F1485*AI1485*in_hlth_family_ticket*in_hlth_family_comm*in_ins_partner_share+F1485*in_hlth_family_ticket*in_hlth_family_renew_comm*in_ins_partner_share*(in_hlth_family_renew^1*SUMIFS(AI1481:AI1506,B1481:B1506,B1485-12)+in_hlth_family_renew^2*SUMIFS(AI1481:AI1506,B1481:B1506,B1485-24)+in_hlth_family_renew^3*SUMIFS(AI1481:AI1506,B1481:B1506,B1485-36)+in_hlth_family_renew^4*SUMIFS(AI1481:AI1506,B1481:B1506,B1485-48))</f>
        <v/>
      </c>
      <c r="AK1485" s="40">
        <f>AK1484*(1-IF(B1484&gt;=in_marketplace_from,d_hz_life_term*G1484,0))</f>
        <v/>
      </c>
      <c r="AL1485" s="46">
        <f>AK1485*IF(B1485&gt;=in_marketplace_from,d_hz_life_term*G1485,0)</f>
        <v/>
      </c>
      <c r="AM1485" s="14">
        <f>F1485*AL1485*in_life_term_ticket*in_life_term_comm*in_ins_partner_share+F1485*in_life_term_ticket*in_life_term_renew_comm*in_ins_partner_share*(in_life_term_renew^1*SUMIFS(AL1481:AL1506,B1481:B1506,B1485-12)+in_life_term_renew^2*SUMIFS(AL1481:AL1506,B1481:B1506,B1485-24)+in_life_term_renew^3*SUMIFS(AL1481:AL1506,B1481:B1506,B1485-36)+in_life_term_renew^4*SUMIFS(AL1481:AL1506,B1481:B1506,B1485-48))</f>
        <v/>
      </c>
      <c r="AN1485" s="40">
        <f>AN1484*(1-IF(B1484&gt;=in_marketplace_from,d_hz_accident*G1484,0))</f>
        <v/>
      </c>
      <c r="AO1485" s="46">
        <f>AN1485*IF(B1485&gt;=in_marketplace_from,d_hz_accident*G1485,0)</f>
        <v/>
      </c>
      <c r="AP1485" s="14">
        <f>F1485*AO1485*in_accident_ticket*in_accident_comm*in_ins_partner_share+F1485*in_accident_ticket*in_accident_renew_comm*in_ins_partner_share*(in_accident_renew^1*SUMIFS(AO1481:AO1506,B1481:B1506,B1485-12)+in_accident_renew^2*SUMIFS(AO1481:AO1506,B1481:B1506,B1485-24)+in_accident_renew^3*SUMIFS(AO1481:AO1506,B1481:B1506,B1485-36)+in_accident_renew^4*SUMIFS(AO1481:AO1506,B1481:B1506,B1485-48))</f>
        <v/>
      </c>
      <c r="AQ1485" s="40">
        <f>AQ1484*(1-IF(B1484&gt;=in_marketplace_from,d_hz_two_wheeler*G1484,0))</f>
        <v/>
      </c>
      <c r="AR1485" s="46">
        <f>AQ1485*IF(B1485&gt;=in_marketplace_from,d_hz_two_wheeler*G1485,0)</f>
        <v/>
      </c>
      <c r="AS1485" s="14">
        <f>F1485*AR1485*in_two_wheeler_ticket*in_two_wheeler_comm*in_ins_partner_share+F1485*in_two_wheeler_ticket*in_two_wheeler_comm*in_ins_partner_share*(in_two_wheeler_renew^1*SUMIFS(AR1481:AR1506,B1481:B1506,B1485-12)+in_two_wheeler_renew^2*SUMIFS(AR1481:AR1506,B1481:B1506,B1485-24)+in_two_wheeler_renew^3*SUMIFS(AR1481:AR1506,B1481:B1506,B1485-36)+in_two_wheeler_renew^4*SUMIFS(AR1481:AR1506,B1481:B1506,B1485-48))</f>
        <v/>
      </c>
      <c r="AT1485" s="40">
        <f>AT1484*(1-IF(B1484&gt;=in_marketplace_from,d_hz_device*G1484,0))</f>
        <v/>
      </c>
      <c r="AU1485" s="14">
        <f>F1485*AT1485*IF(B1485&gt;=in_marketplace_from,d_hz_device*G1485,0)*in_device_ticket*in_device_comm*in_ins_partner_share</f>
        <v/>
      </c>
      <c r="AV1485" s="40">
        <f>AV1484*(1-IF(B1484&gt;=in_marketplace_from,d_hz_shop*G1484,0))</f>
        <v/>
      </c>
      <c r="AW1485" s="46">
        <f>AV1485*IF(B1485&gt;=in_marketplace_from,d_hz_shop*G1485,0)</f>
        <v/>
      </c>
      <c r="AX1485" s="14">
        <f>F1485*AW1485*in_shop_ticket*in_shop_comm*in_ins_partner_share+F1485*in_shop_ticket*in_shop_renew_comm*in_ins_partner_share*(in_shop_renew^1*SUMIFS(AW1481:AW1506,B1481:B1506,B1485-12)+in_shop_renew^2*SUMIFS(AW1481:AW1506,B1481:B1506,B1485-24)+in_shop_renew^3*SUMIFS(AW1481:AW1506,B1481:B1506,B1485-36)+in_shop_renew^4*SUMIFS(AW1481:AW1506,B1481:B1506,B1485-48))</f>
        <v/>
      </c>
      <c r="AY1485" s="40">
        <f>AY1484*(1-IF(B1484&gt;=in_marketplace_from,d_hz_sip*G1484,0))</f>
        <v/>
      </c>
      <c r="AZ1485" s="40">
        <f>AZ1484*d_rho_sip+AY1485*IF(B1485&gt;=in_marketplace_from,d_hz_sip*G1485,0)</f>
        <v/>
      </c>
      <c r="BA1485" s="40">
        <f>d_rho_sip*(BA1484+AZ1484)</f>
        <v/>
      </c>
      <c r="BB1485" s="14">
        <f>F1485*in_sip_ticket*(BA1485+0.5*AZ1485)*in_sip_comm/12</f>
        <v/>
      </c>
      <c r="BC1485" s="40">
        <f>BC1484*(1-IF(B1484&gt;=in_marketplace_from,d_hz_choti*G1484,0))</f>
        <v/>
      </c>
      <c r="BD1485" s="46">
        <f>BC1485*IF(B1485&gt;=in_marketplace_from,d_hz_choti*G1485,0)</f>
        <v/>
      </c>
      <c r="BE1485" s="14">
        <f>F1485*SUMIFS(BD1481:BD1506,B1481:B1506,B1485-in_choti_months)*in_choti_renew*in_choti_ticket</f>
        <v/>
      </c>
      <c r="BF1485" s="40">
        <f>BF1484*(1-IF(B1484&gt;=in_marketplace_from,d_hz_nps*G1484,0))</f>
        <v/>
      </c>
      <c r="BG1485" s="14">
        <f>F1485*BF1485*IF(B1485&gt;=in_marketplace_from,d_hz_nps*G1485,0)*in_nps_ticket*in_nps_comm</f>
        <v/>
      </c>
      <c r="BH1485" s="40">
        <f>BH1484*(1-IF(B1484&gt;=in_marketplace_from,d_hz_gold*G1484,0))</f>
        <v/>
      </c>
      <c r="BI1485" s="40">
        <f>BI1484*d_rho_gold+BH1485*IF(B1485&gt;=in_marketplace_from,d_hz_gold*G1485,0)</f>
        <v/>
      </c>
      <c r="BJ1485" s="14">
        <f>F1485*BI1485*in_gold_ticket*in_gold_comm</f>
        <v/>
      </c>
      <c r="BK1485" s="40">
        <f>BK1484*(1-IF(B1484&gt;=in_marketplace_from,d_hz_fd*G1484,0))</f>
        <v/>
      </c>
      <c r="BL1485" s="14">
        <f>F1485*BK1485*IF(B1485&gt;=in_marketplace_from,d_hz_fd*G1485,0)*in_fd_ticket*in_fd_comm</f>
        <v/>
      </c>
      <c r="BM1485" s="40">
        <f>BM1484*(1-IF(B1484&gt;=in_marketplace_from,d_hz_recharge*G1484,0))</f>
        <v/>
      </c>
      <c r="BN1485" s="40">
        <f>BN1484*d_rho_recharge+BM1485*IF(B1485&gt;=in_marketplace_from,d_hz_recharge*G1485,0)</f>
        <v/>
      </c>
      <c r="BO1485" s="14">
        <f>F1485*BN1485*in_recharge_ticket*in_recharge_comm/12</f>
        <v/>
      </c>
      <c r="BP1485" s="40">
        <f>BP1484*(1-IF(B1484&gt;=in_marketplace_from,d_hz_bills*G1484,0))</f>
        <v/>
      </c>
      <c r="BQ1485" s="40">
        <f>BQ1484*d_rho_bills+BP1485*IF(B1485&gt;=in_marketplace_from,d_hz_bills*G1485,0)</f>
        <v/>
      </c>
      <c r="BR1485" s="14">
        <f>F1485*BQ1485*in_bills_ticket*in_bills_comm/12</f>
        <v/>
      </c>
      <c r="BS1485" s="40">
        <f>BS1484*(1-IF(B1484&gt;=in_marketplace_from,d_hz_loan_gold*G1484,0))</f>
        <v/>
      </c>
      <c r="BT1485" s="14">
        <f>F1485*BS1485*IF(B1485&gt;=in_marketplace_from,d_hz_loan_gold*G1485,0)*in_loan_gold_ticket*in_loan_gold_comm</f>
        <v/>
      </c>
      <c r="BU1485" s="40">
        <f>BU1484*(1-IF(B1484&gt;=in_marketplace_from,d_hz_loan_cd*G1484,0))</f>
        <v/>
      </c>
      <c r="BV1485" s="14">
        <f>F1485*BU1485*IF(B1485&gt;=in_marketplace_from,d_hz_loan_cd*G1485,0)*in_loan_cd_ticket*in_loan_cd_comm</f>
        <v/>
      </c>
      <c r="BW1485" s="40">
        <f>BW1484*(1-IF(B1484&gt;=in_marketplace_from,d_hz_loan_vehicle*G1484,0))</f>
        <v/>
      </c>
      <c r="BX1485" s="14">
        <f>F1485*BW1485*IF(B1485&gt;=in_marketplace_from,d_hz_loan_vehicle*G1485,0)*in_loan_vehicle_ticket*in_loan_vehicle_comm</f>
        <v/>
      </c>
      <c r="BY1485" s="40">
        <f>BY1484*(1-IF(B1484&gt;=in_marketplace_from,d_hz_loan_home*G1484,0)*BZ1484)</f>
        <v/>
      </c>
      <c r="BZ1485" s="11">
        <f>MIN(in_approval_cap,in_loan_home_approval*INDEX('Age profile'!$O$2:$O$61,B1485)*(1+in_approval_growth)^(D1485-1))</f>
        <v/>
      </c>
      <c r="CA1485" s="14">
        <f>F1485*BY1485*IF(B1485&gt;=in_marketplace_from,d_hz_loan_home*G1485,0)*BZ1485*in_loan_home_ticket*in_loan_home_comm</f>
        <v/>
      </c>
      <c r="CB1485" s="40">
        <f>CB1484*(1-IF(B1484&gt;=in_marketplace_from,d_hz_loan_lap*G1484,0)*CC1484)</f>
        <v/>
      </c>
      <c r="CC1485" s="11">
        <f>MIN(in_approval_cap,in_loan_lap_approval*INDEX('Age profile'!$O$2:$O$61,B1485)*(1+in_approval_growth)^(D1485-1))</f>
        <v/>
      </c>
      <c r="CD1485" s="14">
        <f>F1485*CB1485*IF(B1485&gt;=in_marketplace_from,d_hz_loan_lap*G1485,0)*CC1485*in_loan_lap_ticket*in_loan_lap_comm</f>
        <v/>
      </c>
      <c r="CE1485" s="14">
        <f>AA1485+AB1485+AC1485+AD1485+AG1485+AJ1485+AM1485+AP1485+AS1485+AU1485+AX1485+BB1485+BE1485+BG1485+BJ1485+BL1485+BO1485+BR1485+BT1485+BV1485+BX1485+CA1485+CD1485</f>
        <v/>
      </c>
    </row>
    <row r="1486">
      <c r="A1486" s="39" t="n">
        <v>35</v>
      </c>
      <c r="B1486" s="39" t="n">
        <v>6</v>
      </c>
      <c r="C1486" s="39">
        <f>A1486+B1486-1</f>
        <v/>
      </c>
      <c r="D1486" s="39">
        <f>INT((C1486-1)/12)+1</f>
        <v/>
      </c>
      <c r="E1486" s="44">
        <f>INDEX(Monthly!$B$2:$B$61,A1486)</f>
        <v/>
      </c>
      <c r="F1486" s="44">
        <f>E1486*INDEX('Age profile'!$B$2:$B$61,B1486)</f>
        <v/>
      </c>
      <c r="G1486" s="45">
        <f>MIN(in_takeup_cap,INDEX('Age profile'!$N$2:$N$61,B1486)*(1+in_takeup_growth)^(D1486-1))</f>
        <v/>
      </c>
      <c r="H1486" s="11">
        <f>MIN(in_approval_cap,in_approved_first*INDEX('Age profile'!$O$2:$O$61,B1486)*(1+in_approval_growth)^(D1486-1))</f>
        <v/>
      </c>
      <c r="I1486" s="45">
        <f>G1486*MIN(in_takeup_cap,INDEX('Age profile'!$O$2:$O$61,B1486)*(1+in_approval_growth)^(D1486-1))</f>
        <v/>
      </c>
      <c r="J1486" s="40">
        <f>(J1485-L1485)*F1486/F1485</f>
        <v/>
      </c>
      <c r="K1486" s="40">
        <f>(K1485-M1485)*F1486/F1485+SUMIFS(O1481:O1485,B1481:B1485,B1486-1-d_T)*F1486</f>
        <v/>
      </c>
      <c r="L1486" s="40">
        <f>IF(B1486&gt;=in_marketplace_from,J1486*d_hz*G1486*in_eligible*H1486,0)</f>
        <v/>
      </c>
      <c r="M1486" s="40">
        <f>IF(B1486&gt;=in_marketplace_from,K1486*d_hz*G1486*in_eligible*in_approved_repeat,0)</f>
        <v/>
      </c>
      <c r="N1486" s="40">
        <f>L1486+M1486</f>
        <v/>
      </c>
      <c r="O1486" s="46">
        <f>N1486/F1486</f>
        <v/>
      </c>
      <c r="P1486" s="40">
        <f>F1486-J1486-K1486</f>
        <v/>
      </c>
      <c r="Q1486" s="40">
        <f>IF(B1486&gt;=in_marketplace_from,(J1486+K1486)*d_hz*G1486,0)</f>
        <v/>
      </c>
      <c r="R1486" s="40">
        <f>SUMIFS(N1481:N1506,B1481:B1506,"&gt;="&amp;(B1486-d_T),B1481:B1506,"&lt;="&amp;(B1486-1))</f>
        <v/>
      </c>
      <c r="S1486" s="46">
        <f>(1-d_u)*S1485+IF(d_T&gt;in_topup_lag,SUMIFS(O1481:O1506,B1481:B1506,B1486-in_topup_lag)-d_udrop*SUMIFS(O1481:O1506,B1481:B1506,B1486-d_T),0)</f>
        <v/>
      </c>
      <c r="T1486" s="40">
        <f>F1486*d_u*S1486</f>
        <v/>
      </c>
      <c r="U1486" s="9">
        <f>L1486*in_ticket+M1486*d_rep_ticket</f>
        <v/>
      </c>
      <c r="V1486" s="9">
        <f>U1486+T1486*d_topup_amt</f>
        <v/>
      </c>
      <c r="W1486" s="40">
        <f>N1486+T1486*d_topup_ratio</f>
        <v/>
      </c>
      <c r="X1486" s="40">
        <f>SUMIFS(W1481:W1506,B1481:B1506,B1486-in_dpd_lag)*d_cured</f>
        <v/>
      </c>
      <c r="Y1486" s="40">
        <f>SUMIFS(W1481:W1506,B1481:B1506,B1486-in_rec_lag)*d_recd</f>
        <v/>
      </c>
      <c r="Z1486" s="40">
        <f>IF(AND(B1486&gt;=in_marketplace_from,B1486&lt;in_marketplace_from+in_card_months),in_card_share/in_card_months*F1486*I1486,IF(AND(B1486&gt;=in_marketplace_from+in_card_months,B1486&lt;in_marketplace_from+2*in_card_months),in_card_share*d_card_rem/in_card_months*F1486*MIN(in_takeup_cap,(1+in_takeup_growth)^(D1486-1))*MIN(in_takeup_cap,(1+in_approval_growth)^(D1486-1)),0))</f>
        <v/>
      </c>
      <c r="AA1486" s="14">
        <f>V1486*in_fee*(1-in_taken_back)</f>
        <v/>
      </c>
      <c r="AB1486" s="14">
        <f>SUMIFS(W1481:W1506,B1481:B1506,B1486-in_dpd_lag)*d_dpd</f>
        <v/>
      </c>
      <c r="AC1486" s="14">
        <f>SUMIFS(W1481:W1506,B1481:B1506,B1486-in_rec_lag)*d_rec</f>
        <v/>
      </c>
      <c r="AD1486" s="14">
        <f>Z1486*in_card_fee</f>
        <v/>
      </c>
      <c r="AE1486" s="40">
        <f>AE1485*(1-IF(B1485&gt;=in_marketplace_from,d_hz_hlth_small*G1485,0))</f>
        <v/>
      </c>
      <c r="AF1486" s="46">
        <f>AE1486*IF(B1486&gt;=in_marketplace_from,d_hz_hlth_small*G1486,0)</f>
        <v/>
      </c>
      <c r="AG1486" s="14">
        <f>F1486*AF1486*in_hlth_small_ticket*in_hlth_small_comm*in_ins_partner_share+F1486*in_hlth_small_ticket*in_hlth_small_renew_comm*in_ins_partner_share*(in_hlth_small_renew^1*SUMIFS(AF1481:AF1506,B1481:B1506,B1486-12)+in_hlth_small_renew^2*SUMIFS(AF1481:AF1506,B1481:B1506,B1486-24)+in_hlth_small_renew^3*SUMIFS(AF1481:AF1506,B1481:B1506,B1486-36)+in_hlth_small_renew^4*SUMIFS(AF1481:AF1506,B1481:B1506,B1486-48))</f>
        <v/>
      </c>
      <c r="AH1486" s="40">
        <f>AH1485*(1-IF(B1485&gt;=in_marketplace_from,d_hz_hlth_family*G1485,0))</f>
        <v/>
      </c>
      <c r="AI1486" s="46">
        <f>AH1486*IF(B1486&gt;=in_marketplace_from,d_hz_hlth_family*G1486,0)</f>
        <v/>
      </c>
      <c r="AJ1486" s="14">
        <f>F1486*AI1486*in_hlth_family_ticket*in_hlth_family_comm*in_ins_partner_share+F1486*in_hlth_family_ticket*in_hlth_family_renew_comm*in_ins_partner_share*(in_hlth_family_renew^1*SUMIFS(AI1481:AI1506,B1481:B1506,B1486-12)+in_hlth_family_renew^2*SUMIFS(AI1481:AI1506,B1481:B1506,B1486-24)+in_hlth_family_renew^3*SUMIFS(AI1481:AI1506,B1481:B1506,B1486-36)+in_hlth_family_renew^4*SUMIFS(AI1481:AI1506,B1481:B1506,B1486-48))</f>
        <v/>
      </c>
      <c r="AK1486" s="40">
        <f>AK1485*(1-IF(B1485&gt;=in_marketplace_from,d_hz_life_term*G1485,0))</f>
        <v/>
      </c>
      <c r="AL1486" s="46">
        <f>AK1486*IF(B1486&gt;=in_marketplace_from,d_hz_life_term*G1486,0)</f>
        <v/>
      </c>
      <c r="AM1486" s="14">
        <f>F1486*AL1486*in_life_term_ticket*in_life_term_comm*in_ins_partner_share+F1486*in_life_term_ticket*in_life_term_renew_comm*in_ins_partner_share*(in_life_term_renew^1*SUMIFS(AL1481:AL1506,B1481:B1506,B1486-12)+in_life_term_renew^2*SUMIFS(AL1481:AL1506,B1481:B1506,B1486-24)+in_life_term_renew^3*SUMIFS(AL1481:AL1506,B1481:B1506,B1486-36)+in_life_term_renew^4*SUMIFS(AL1481:AL1506,B1481:B1506,B1486-48))</f>
        <v/>
      </c>
      <c r="AN1486" s="40">
        <f>AN1485*(1-IF(B1485&gt;=in_marketplace_from,d_hz_accident*G1485,0))</f>
        <v/>
      </c>
      <c r="AO1486" s="46">
        <f>AN1486*IF(B1486&gt;=in_marketplace_from,d_hz_accident*G1486,0)</f>
        <v/>
      </c>
      <c r="AP1486" s="14">
        <f>F1486*AO1486*in_accident_ticket*in_accident_comm*in_ins_partner_share+F1486*in_accident_ticket*in_accident_renew_comm*in_ins_partner_share*(in_accident_renew^1*SUMIFS(AO1481:AO1506,B1481:B1506,B1486-12)+in_accident_renew^2*SUMIFS(AO1481:AO1506,B1481:B1506,B1486-24)+in_accident_renew^3*SUMIFS(AO1481:AO1506,B1481:B1506,B1486-36)+in_accident_renew^4*SUMIFS(AO1481:AO1506,B1481:B1506,B1486-48))</f>
        <v/>
      </c>
      <c r="AQ1486" s="40">
        <f>AQ1485*(1-IF(B1485&gt;=in_marketplace_from,d_hz_two_wheeler*G1485,0))</f>
        <v/>
      </c>
      <c r="AR1486" s="46">
        <f>AQ1486*IF(B1486&gt;=in_marketplace_from,d_hz_two_wheeler*G1486,0)</f>
        <v/>
      </c>
      <c r="AS1486" s="14">
        <f>F1486*AR1486*in_two_wheeler_ticket*in_two_wheeler_comm*in_ins_partner_share+F1486*in_two_wheeler_ticket*in_two_wheeler_comm*in_ins_partner_share*(in_two_wheeler_renew^1*SUMIFS(AR1481:AR1506,B1481:B1506,B1486-12)+in_two_wheeler_renew^2*SUMIFS(AR1481:AR1506,B1481:B1506,B1486-24)+in_two_wheeler_renew^3*SUMIFS(AR1481:AR1506,B1481:B1506,B1486-36)+in_two_wheeler_renew^4*SUMIFS(AR1481:AR1506,B1481:B1506,B1486-48))</f>
        <v/>
      </c>
      <c r="AT1486" s="40">
        <f>AT1485*(1-IF(B1485&gt;=in_marketplace_from,d_hz_device*G1485,0))</f>
        <v/>
      </c>
      <c r="AU1486" s="14">
        <f>F1486*AT1486*IF(B1486&gt;=in_marketplace_from,d_hz_device*G1486,0)*in_device_ticket*in_device_comm*in_ins_partner_share</f>
        <v/>
      </c>
      <c r="AV1486" s="40">
        <f>AV1485*(1-IF(B1485&gt;=in_marketplace_from,d_hz_shop*G1485,0))</f>
        <v/>
      </c>
      <c r="AW1486" s="46">
        <f>AV1486*IF(B1486&gt;=in_marketplace_from,d_hz_shop*G1486,0)</f>
        <v/>
      </c>
      <c r="AX1486" s="14">
        <f>F1486*AW1486*in_shop_ticket*in_shop_comm*in_ins_partner_share+F1486*in_shop_ticket*in_shop_renew_comm*in_ins_partner_share*(in_shop_renew^1*SUMIFS(AW1481:AW1506,B1481:B1506,B1486-12)+in_shop_renew^2*SUMIFS(AW1481:AW1506,B1481:B1506,B1486-24)+in_shop_renew^3*SUMIFS(AW1481:AW1506,B1481:B1506,B1486-36)+in_shop_renew^4*SUMIFS(AW1481:AW1506,B1481:B1506,B1486-48))</f>
        <v/>
      </c>
      <c r="AY1486" s="40">
        <f>AY1485*(1-IF(B1485&gt;=in_marketplace_from,d_hz_sip*G1485,0))</f>
        <v/>
      </c>
      <c r="AZ1486" s="40">
        <f>AZ1485*d_rho_sip+AY1486*IF(B1486&gt;=in_marketplace_from,d_hz_sip*G1486,0)</f>
        <v/>
      </c>
      <c r="BA1486" s="40">
        <f>d_rho_sip*(BA1485+AZ1485)</f>
        <v/>
      </c>
      <c r="BB1486" s="14">
        <f>F1486*in_sip_ticket*(BA1486+0.5*AZ1486)*in_sip_comm/12</f>
        <v/>
      </c>
      <c r="BC1486" s="40">
        <f>BC1485*(1-IF(B1485&gt;=in_marketplace_from,d_hz_choti*G1485,0))</f>
        <v/>
      </c>
      <c r="BD1486" s="46">
        <f>BC1486*IF(B1486&gt;=in_marketplace_from,d_hz_choti*G1486,0)</f>
        <v/>
      </c>
      <c r="BE1486" s="14">
        <f>F1486*SUMIFS(BD1481:BD1506,B1481:B1506,B1486-in_choti_months)*in_choti_renew*in_choti_ticket</f>
        <v/>
      </c>
      <c r="BF1486" s="40">
        <f>BF1485*(1-IF(B1485&gt;=in_marketplace_from,d_hz_nps*G1485,0))</f>
        <v/>
      </c>
      <c r="BG1486" s="14">
        <f>F1486*BF1486*IF(B1486&gt;=in_marketplace_from,d_hz_nps*G1486,0)*in_nps_ticket*in_nps_comm</f>
        <v/>
      </c>
      <c r="BH1486" s="40">
        <f>BH1485*(1-IF(B1485&gt;=in_marketplace_from,d_hz_gold*G1485,0))</f>
        <v/>
      </c>
      <c r="BI1486" s="40">
        <f>BI1485*d_rho_gold+BH1486*IF(B1486&gt;=in_marketplace_from,d_hz_gold*G1486,0)</f>
        <v/>
      </c>
      <c r="BJ1486" s="14">
        <f>F1486*BI1486*in_gold_ticket*in_gold_comm</f>
        <v/>
      </c>
      <c r="BK1486" s="40">
        <f>BK1485*(1-IF(B1485&gt;=in_marketplace_from,d_hz_fd*G1485,0))</f>
        <v/>
      </c>
      <c r="BL1486" s="14">
        <f>F1486*BK1486*IF(B1486&gt;=in_marketplace_from,d_hz_fd*G1486,0)*in_fd_ticket*in_fd_comm</f>
        <v/>
      </c>
      <c r="BM1486" s="40">
        <f>BM1485*(1-IF(B1485&gt;=in_marketplace_from,d_hz_recharge*G1485,0))</f>
        <v/>
      </c>
      <c r="BN1486" s="40">
        <f>BN1485*d_rho_recharge+BM1486*IF(B1486&gt;=in_marketplace_from,d_hz_recharge*G1486,0)</f>
        <v/>
      </c>
      <c r="BO1486" s="14">
        <f>F1486*BN1486*in_recharge_ticket*in_recharge_comm/12</f>
        <v/>
      </c>
      <c r="BP1486" s="40">
        <f>BP1485*(1-IF(B1485&gt;=in_marketplace_from,d_hz_bills*G1485,0))</f>
        <v/>
      </c>
      <c r="BQ1486" s="40">
        <f>BQ1485*d_rho_bills+BP1486*IF(B1486&gt;=in_marketplace_from,d_hz_bills*G1486,0)</f>
        <v/>
      </c>
      <c r="BR1486" s="14">
        <f>F1486*BQ1486*in_bills_ticket*in_bills_comm/12</f>
        <v/>
      </c>
      <c r="BS1486" s="40">
        <f>BS1485*(1-IF(B1485&gt;=in_marketplace_from,d_hz_loan_gold*G1485,0))</f>
        <v/>
      </c>
      <c r="BT1486" s="14">
        <f>F1486*BS1486*IF(B1486&gt;=in_marketplace_from,d_hz_loan_gold*G1486,0)*in_loan_gold_ticket*in_loan_gold_comm</f>
        <v/>
      </c>
      <c r="BU1486" s="40">
        <f>BU1485*(1-IF(B1485&gt;=in_marketplace_from,d_hz_loan_cd*G1485,0))</f>
        <v/>
      </c>
      <c r="BV1486" s="14">
        <f>F1486*BU1486*IF(B1486&gt;=in_marketplace_from,d_hz_loan_cd*G1486,0)*in_loan_cd_ticket*in_loan_cd_comm</f>
        <v/>
      </c>
      <c r="BW1486" s="40">
        <f>BW1485*(1-IF(B1485&gt;=in_marketplace_from,d_hz_loan_vehicle*G1485,0))</f>
        <v/>
      </c>
      <c r="BX1486" s="14">
        <f>F1486*BW1486*IF(B1486&gt;=in_marketplace_from,d_hz_loan_vehicle*G1486,0)*in_loan_vehicle_ticket*in_loan_vehicle_comm</f>
        <v/>
      </c>
      <c r="BY1486" s="40">
        <f>BY1485*(1-IF(B1485&gt;=in_marketplace_from,d_hz_loan_home*G1485,0)*BZ1485)</f>
        <v/>
      </c>
      <c r="BZ1486" s="11">
        <f>MIN(in_approval_cap,in_loan_home_approval*INDEX('Age profile'!$O$2:$O$61,B1486)*(1+in_approval_growth)^(D1486-1))</f>
        <v/>
      </c>
      <c r="CA1486" s="14">
        <f>F1486*BY1486*IF(B1486&gt;=in_marketplace_from,d_hz_loan_home*G1486,0)*BZ1486*in_loan_home_ticket*in_loan_home_comm</f>
        <v/>
      </c>
      <c r="CB1486" s="40">
        <f>CB1485*(1-IF(B1485&gt;=in_marketplace_from,d_hz_loan_lap*G1485,0)*CC1485)</f>
        <v/>
      </c>
      <c r="CC1486" s="11">
        <f>MIN(in_approval_cap,in_loan_lap_approval*INDEX('Age profile'!$O$2:$O$61,B1486)*(1+in_approval_growth)^(D1486-1))</f>
        <v/>
      </c>
      <c r="CD1486" s="14">
        <f>F1486*CB1486*IF(B1486&gt;=in_marketplace_from,d_hz_loan_lap*G1486,0)*CC1486*in_loan_lap_ticket*in_loan_lap_comm</f>
        <v/>
      </c>
      <c r="CE1486" s="14">
        <f>AA1486+AB1486+AC1486+AD1486+AG1486+AJ1486+AM1486+AP1486+AS1486+AU1486+AX1486+BB1486+BE1486+BG1486+BJ1486+BL1486+BO1486+BR1486+BT1486+BV1486+BX1486+CA1486+CD1486</f>
        <v/>
      </c>
    </row>
    <row r="1487">
      <c r="A1487" s="39" t="n">
        <v>35</v>
      </c>
      <c r="B1487" s="39" t="n">
        <v>7</v>
      </c>
      <c r="C1487" s="39">
        <f>A1487+B1487-1</f>
        <v/>
      </c>
      <c r="D1487" s="39">
        <f>INT((C1487-1)/12)+1</f>
        <v/>
      </c>
      <c r="E1487" s="44">
        <f>INDEX(Monthly!$B$2:$B$61,A1487)</f>
        <v/>
      </c>
      <c r="F1487" s="44">
        <f>E1487*INDEX('Age profile'!$B$2:$B$61,B1487)</f>
        <v/>
      </c>
      <c r="G1487" s="45">
        <f>MIN(in_takeup_cap,INDEX('Age profile'!$N$2:$N$61,B1487)*(1+in_takeup_growth)^(D1487-1))</f>
        <v/>
      </c>
      <c r="H1487" s="11">
        <f>MIN(in_approval_cap,in_approved_first*INDEX('Age profile'!$O$2:$O$61,B1487)*(1+in_approval_growth)^(D1487-1))</f>
        <v/>
      </c>
      <c r="I1487" s="45">
        <f>G1487*MIN(in_takeup_cap,INDEX('Age profile'!$O$2:$O$61,B1487)*(1+in_approval_growth)^(D1487-1))</f>
        <v/>
      </c>
      <c r="J1487" s="40">
        <f>(J1486-L1486)*F1487/F1486</f>
        <v/>
      </c>
      <c r="K1487" s="40">
        <f>(K1486-M1486)*F1487/F1486+SUMIFS(O1481:O1486,B1481:B1486,B1487-1-d_T)*F1487</f>
        <v/>
      </c>
      <c r="L1487" s="40">
        <f>IF(B1487&gt;=in_marketplace_from,J1487*d_hz*G1487*in_eligible*H1487,0)</f>
        <v/>
      </c>
      <c r="M1487" s="40">
        <f>IF(B1487&gt;=in_marketplace_from,K1487*d_hz*G1487*in_eligible*in_approved_repeat,0)</f>
        <v/>
      </c>
      <c r="N1487" s="40">
        <f>L1487+M1487</f>
        <v/>
      </c>
      <c r="O1487" s="46">
        <f>N1487/F1487</f>
        <v/>
      </c>
      <c r="P1487" s="40">
        <f>F1487-J1487-K1487</f>
        <v/>
      </c>
      <c r="Q1487" s="40">
        <f>IF(B1487&gt;=in_marketplace_from,(J1487+K1487)*d_hz*G1487,0)</f>
        <v/>
      </c>
      <c r="R1487" s="40">
        <f>SUMIFS(N1481:N1506,B1481:B1506,"&gt;="&amp;(B1487-d_T),B1481:B1506,"&lt;="&amp;(B1487-1))</f>
        <v/>
      </c>
      <c r="S1487" s="46">
        <f>(1-d_u)*S1486+IF(d_T&gt;in_topup_lag,SUMIFS(O1481:O1506,B1481:B1506,B1487-in_topup_lag)-d_udrop*SUMIFS(O1481:O1506,B1481:B1506,B1487-d_T),0)</f>
        <v/>
      </c>
      <c r="T1487" s="40">
        <f>F1487*d_u*S1487</f>
        <v/>
      </c>
      <c r="U1487" s="9">
        <f>L1487*in_ticket+M1487*d_rep_ticket</f>
        <v/>
      </c>
      <c r="V1487" s="9">
        <f>U1487+T1487*d_topup_amt</f>
        <v/>
      </c>
      <c r="W1487" s="40">
        <f>N1487+T1487*d_topup_ratio</f>
        <v/>
      </c>
      <c r="X1487" s="40">
        <f>SUMIFS(W1481:W1506,B1481:B1506,B1487-in_dpd_lag)*d_cured</f>
        <v/>
      </c>
      <c r="Y1487" s="40">
        <f>SUMIFS(W1481:W1506,B1481:B1506,B1487-in_rec_lag)*d_recd</f>
        <v/>
      </c>
      <c r="Z1487" s="40">
        <f>IF(AND(B1487&gt;=in_marketplace_from,B1487&lt;in_marketplace_from+in_card_months),in_card_share/in_card_months*F1487*I1487,IF(AND(B1487&gt;=in_marketplace_from+in_card_months,B1487&lt;in_marketplace_from+2*in_card_months),in_card_share*d_card_rem/in_card_months*F1487*MIN(in_takeup_cap,(1+in_takeup_growth)^(D1487-1))*MIN(in_takeup_cap,(1+in_approval_growth)^(D1487-1)),0))</f>
        <v/>
      </c>
      <c r="AA1487" s="14">
        <f>V1487*in_fee*(1-in_taken_back)</f>
        <v/>
      </c>
      <c r="AB1487" s="14">
        <f>SUMIFS(W1481:W1506,B1481:B1506,B1487-in_dpd_lag)*d_dpd</f>
        <v/>
      </c>
      <c r="AC1487" s="14">
        <f>SUMIFS(W1481:W1506,B1481:B1506,B1487-in_rec_lag)*d_rec</f>
        <v/>
      </c>
      <c r="AD1487" s="14">
        <f>Z1487*in_card_fee</f>
        <v/>
      </c>
      <c r="AE1487" s="40">
        <f>AE1486*(1-IF(B1486&gt;=in_marketplace_from,d_hz_hlth_small*G1486,0))</f>
        <v/>
      </c>
      <c r="AF1487" s="46">
        <f>AE1487*IF(B1487&gt;=in_marketplace_from,d_hz_hlth_small*G1487,0)</f>
        <v/>
      </c>
      <c r="AG1487" s="14">
        <f>F1487*AF1487*in_hlth_small_ticket*in_hlth_small_comm*in_ins_partner_share+F1487*in_hlth_small_ticket*in_hlth_small_renew_comm*in_ins_partner_share*(in_hlth_small_renew^1*SUMIFS(AF1481:AF1506,B1481:B1506,B1487-12)+in_hlth_small_renew^2*SUMIFS(AF1481:AF1506,B1481:B1506,B1487-24)+in_hlth_small_renew^3*SUMIFS(AF1481:AF1506,B1481:B1506,B1487-36)+in_hlth_small_renew^4*SUMIFS(AF1481:AF1506,B1481:B1506,B1487-48))</f>
        <v/>
      </c>
      <c r="AH1487" s="40">
        <f>AH1486*(1-IF(B1486&gt;=in_marketplace_from,d_hz_hlth_family*G1486,0))</f>
        <v/>
      </c>
      <c r="AI1487" s="46">
        <f>AH1487*IF(B1487&gt;=in_marketplace_from,d_hz_hlth_family*G1487,0)</f>
        <v/>
      </c>
      <c r="AJ1487" s="14">
        <f>F1487*AI1487*in_hlth_family_ticket*in_hlth_family_comm*in_ins_partner_share+F1487*in_hlth_family_ticket*in_hlth_family_renew_comm*in_ins_partner_share*(in_hlth_family_renew^1*SUMIFS(AI1481:AI1506,B1481:B1506,B1487-12)+in_hlth_family_renew^2*SUMIFS(AI1481:AI1506,B1481:B1506,B1487-24)+in_hlth_family_renew^3*SUMIFS(AI1481:AI1506,B1481:B1506,B1487-36)+in_hlth_family_renew^4*SUMIFS(AI1481:AI1506,B1481:B1506,B1487-48))</f>
        <v/>
      </c>
      <c r="AK1487" s="40">
        <f>AK1486*(1-IF(B1486&gt;=in_marketplace_from,d_hz_life_term*G1486,0))</f>
        <v/>
      </c>
      <c r="AL1487" s="46">
        <f>AK1487*IF(B1487&gt;=in_marketplace_from,d_hz_life_term*G1487,0)</f>
        <v/>
      </c>
      <c r="AM1487" s="14">
        <f>F1487*AL1487*in_life_term_ticket*in_life_term_comm*in_ins_partner_share+F1487*in_life_term_ticket*in_life_term_renew_comm*in_ins_partner_share*(in_life_term_renew^1*SUMIFS(AL1481:AL1506,B1481:B1506,B1487-12)+in_life_term_renew^2*SUMIFS(AL1481:AL1506,B1481:B1506,B1487-24)+in_life_term_renew^3*SUMIFS(AL1481:AL1506,B1481:B1506,B1487-36)+in_life_term_renew^4*SUMIFS(AL1481:AL1506,B1481:B1506,B1487-48))</f>
        <v/>
      </c>
      <c r="AN1487" s="40">
        <f>AN1486*(1-IF(B1486&gt;=in_marketplace_from,d_hz_accident*G1486,0))</f>
        <v/>
      </c>
      <c r="AO1487" s="46">
        <f>AN1487*IF(B1487&gt;=in_marketplace_from,d_hz_accident*G1487,0)</f>
        <v/>
      </c>
      <c r="AP1487" s="14">
        <f>F1487*AO1487*in_accident_ticket*in_accident_comm*in_ins_partner_share+F1487*in_accident_ticket*in_accident_renew_comm*in_ins_partner_share*(in_accident_renew^1*SUMIFS(AO1481:AO1506,B1481:B1506,B1487-12)+in_accident_renew^2*SUMIFS(AO1481:AO1506,B1481:B1506,B1487-24)+in_accident_renew^3*SUMIFS(AO1481:AO1506,B1481:B1506,B1487-36)+in_accident_renew^4*SUMIFS(AO1481:AO1506,B1481:B1506,B1487-48))</f>
        <v/>
      </c>
      <c r="AQ1487" s="40">
        <f>AQ1486*(1-IF(B1486&gt;=in_marketplace_from,d_hz_two_wheeler*G1486,0))</f>
        <v/>
      </c>
      <c r="AR1487" s="46">
        <f>AQ1487*IF(B1487&gt;=in_marketplace_from,d_hz_two_wheeler*G1487,0)</f>
        <v/>
      </c>
      <c r="AS1487" s="14">
        <f>F1487*AR1487*in_two_wheeler_ticket*in_two_wheeler_comm*in_ins_partner_share+F1487*in_two_wheeler_ticket*in_two_wheeler_comm*in_ins_partner_share*(in_two_wheeler_renew^1*SUMIFS(AR1481:AR1506,B1481:B1506,B1487-12)+in_two_wheeler_renew^2*SUMIFS(AR1481:AR1506,B1481:B1506,B1487-24)+in_two_wheeler_renew^3*SUMIFS(AR1481:AR1506,B1481:B1506,B1487-36)+in_two_wheeler_renew^4*SUMIFS(AR1481:AR1506,B1481:B1506,B1487-48))</f>
        <v/>
      </c>
      <c r="AT1487" s="40">
        <f>AT1486*(1-IF(B1486&gt;=in_marketplace_from,d_hz_device*G1486,0))</f>
        <v/>
      </c>
      <c r="AU1487" s="14">
        <f>F1487*AT1487*IF(B1487&gt;=in_marketplace_from,d_hz_device*G1487,0)*in_device_ticket*in_device_comm*in_ins_partner_share</f>
        <v/>
      </c>
      <c r="AV1487" s="40">
        <f>AV1486*(1-IF(B1486&gt;=in_marketplace_from,d_hz_shop*G1486,0))</f>
        <v/>
      </c>
      <c r="AW1487" s="46">
        <f>AV1487*IF(B1487&gt;=in_marketplace_from,d_hz_shop*G1487,0)</f>
        <v/>
      </c>
      <c r="AX1487" s="14">
        <f>F1487*AW1487*in_shop_ticket*in_shop_comm*in_ins_partner_share+F1487*in_shop_ticket*in_shop_renew_comm*in_ins_partner_share*(in_shop_renew^1*SUMIFS(AW1481:AW1506,B1481:B1506,B1487-12)+in_shop_renew^2*SUMIFS(AW1481:AW1506,B1481:B1506,B1487-24)+in_shop_renew^3*SUMIFS(AW1481:AW1506,B1481:B1506,B1487-36)+in_shop_renew^4*SUMIFS(AW1481:AW1506,B1481:B1506,B1487-48))</f>
        <v/>
      </c>
      <c r="AY1487" s="40">
        <f>AY1486*(1-IF(B1486&gt;=in_marketplace_from,d_hz_sip*G1486,0))</f>
        <v/>
      </c>
      <c r="AZ1487" s="40">
        <f>AZ1486*d_rho_sip+AY1487*IF(B1487&gt;=in_marketplace_from,d_hz_sip*G1487,0)</f>
        <v/>
      </c>
      <c r="BA1487" s="40">
        <f>d_rho_sip*(BA1486+AZ1486)</f>
        <v/>
      </c>
      <c r="BB1487" s="14">
        <f>F1487*in_sip_ticket*(BA1487+0.5*AZ1487)*in_sip_comm/12</f>
        <v/>
      </c>
      <c r="BC1487" s="40">
        <f>BC1486*(1-IF(B1486&gt;=in_marketplace_from,d_hz_choti*G1486,0))</f>
        <v/>
      </c>
      <c r="BD1487" s="46">
        <f>BC1487*IF(B1487&gt;=in_marketplace_from,d_hz_choti*G1487,0)</f>
        <v/>
      </c>
      <c r="BE1487" s="14">
        <f>F1487*SUMIFS(BD1481:BD1506,B1481:B1506,B1487-in_choti_months)*in_choti_renew*in_choti_ticket</f>
        <v/>
      </c>
      <c r="BF1487" s="40">
        <f>BF1486*(1-IF(B1486&gt;=in_marketplace_from,d_hz_nps*G1486,0))</f>
        <v/>
      </c>
      <c r="BG1487" s="14">
        <f>F1487*BF1487*IF(B1487&gt;=in_marketplace_from,d_hz_nps*G1487,0)*in_nps_ticket*in_nps_comm</f>
        <v/>
      </c>
      <c r="BH1487" s="40">
        <f>BH1486*(1-IF(B1486&gt;=in_marketplace_from,d_hz_gold*G1486,0))</f>
        <v/>
      </c>
      <c r="BI1487" s="40">
        <f>BI1486*d_rho_gold+BH1487*IF(B1487&gt;=in_marketplace_from,d_hz_gold*G1487,0)</f>
        <v/>
      </c>
      <c r="BJ1487" s="14">
        <f>F1487*BI1487*in_gold_ticket*in_gold_comm</f>
        <v/>
      </c>
      <c r="BK1487" s="40">
        <f>BK1486*(1-IF(B1486&gt;=in_marketplace_from,d_hz_fd*G1486,0))</f>
        <v/>
      </c>
      <c r="BL1487" s="14">
        <f>F1487*BK1487*IF(B1487&gt;=in_marketplace_from,d_hz_fd*G1487,0)*in_fd_ticket*in_fd_comm</f>
        <v/>
      </c>
      <c r="BM1487" s="40">
        <f>BM1486*(1-IF(B1486&gt;=in_marketplace_from,d_hz_recharge*G1486,0))</f>
        <v/>
      </c>
      <c r="BN1487" s="40">
        <f>BN1486*d_rho_recharge+BM1487*IF(B1487&gt;=in_marketplace_from,d_hz_recharge*G1487,0)</f>
        <v/>
      </c>
      <c r="BO1487" s="14">
        <f>F1487*BN1487*in_recharge_ticket*in_recharge_comm/12</f>
        <v/>
      </c>
      <c r="BP1487" s="40">
        <f>BP1486*(1-IF(B1486&gt;=in_marketplace_from,d_hz_bills*G1486,0))</f>
        <v/>
      </c>
      <c r="BQ1487" s="40">
        <f>BQ1486*d_rho_bills+BP1487*IF(B1487&gt;=in_marketplace_from,d_hz_bills*G1487,0)</f>
        <v/>
      </c>
      <c r="BR1487" s="14">
        <f>F1487*BQ1487*in_bills_ticket*in_bills_comm/12</f>
        <v/>
      </c>
      <c r="BS1487" s="40">
        <f>BS1486*(1-IF(B1486&gt;=in_marketplace_from,d_hz_loan_gold*G1486,0))</f>
        <v/>
      </c>
      <c r="BT1487" s="14">
        <f>F1487*BS1487*IF(B1487&gt;=in_marketplace_from,d_hz_loan_gold*G1487,0)*in_loan_gold_ticket*in_loan_gold_comm</f>
        <v/>
      </c>
      <c r="BU1487" s="40">
        <f>BU1486*(1-IF(B1486&gt;=in_marketplace_from,d_hz_loan_cd*G1486,0))</f>
        <v/>
      </c>
      <c r="BV1487" s="14">
        <f>F1487*BU1487*IF(B1487&gt;=in_marketplace_from,d_hz_loan_cd*G1487,0)*in_loan_cd_ticket*in_loan_cd_comm</f>
        <v/>
      </c>
      <c r="BW1487" s="40">
        <f>BW1486*(1-IF(B1486&gt;=in_marketplace_from,d_hz_loan_vehicle*G1486,0))</f>
        <v/>
      </c>
      <c r="BX1487" s="14">
        <f>F1487*BW1487*IF(B1487&gt;=in_marketplace_from,d_hz_loan_vehicle*G1487,0)*in_loan_vehicle_ticket*in_loan_vehicle_comm</f>
        <v/>
      </c>
      <c r="BY1487" s="40">
        <f>BY1486*(1-IF(B1486&gt;=in_marketplace_from,d_hz_loan_home*G1486,0)*BZ1486)</f>
        <v/>
      </c>
      <c r="BZ1487" s="11">
        <f>MIN(in_approval_cap,in_loan_home_approval*INDEX('Age profile'!$O$2:$O$61,B1487)*(1+in_approval_growth)^(D1487-1))</f>
        <v/>
      </c>
      <c r="CA1487" s="14">
        <f>F1487*BY1487*IF(B1487&gt;=in_marketplace_from,d_hz_loan_home*G1487,0)*BZ1487*in_loan_home_ticket*in_loan_home_comm</f>
        <v/>
      </c>
      <c r="CB1487" s="40">
        <f>CB1486*(1-IF(B1486&gt;=in_marketplace_from,d_hz_loan_lap*G1486,0)*CC1486)</f>
        <v/>
      </c>
      <c r="CC1487" s="11">
        <f>MIN(in_approval_cap,in_loan_lap_approval*INDEX('Age profile'!$O$2:$O$61,B1487)*(1+in_approval_growth)^(D1487-1))</f>
        <v/>
      </c>
      <c r="CD1487" s="14">
        <f>F1487*CB1487*IF(B1487&gt;=in_marketplace_from,d_hz_loan_lap*G1487,0)*CC1487*in_loan_lap_ticket*in_loan_lap_comm</f>
        <v/>
      </c>
      <c r="CE1487" s="14">
        <f>AA1487+AB1487+AC1487+AD1487+AG1487+AJ1487+AM1487+AP1487+AS1487+AU1487+AX1487+BB1487+BE1487+BG1487+BJ1487+BL1487+BO1487+BR1487+BT1487+BV1487+BX1487+CA1487+CD1487</f>
        <v/>
      </c>
    </row>
    <row r="1488">
      <c r="A1488" s="39" t="n">
        <v>35</v>
      </c>
      <c r="B1488" s="39" t="n">
        <v>8</v>
      </c>
      <c r="C1488" s="39">
        <f>A1488+B1488-1</f>
        <v/>
      </c>
      <c r="D1488" s="39">
        <f>INT((C1488-1)/12)+1</f>
        <v/>
      </c>
      <c r="E1488" s="44">
        <f>INDEX(Monthly!$B$2:$B$61,A1488)</f>
        <v/>
      </c>
      <c r="F1488" s="44">
        <f>E1488*INDEX('Age profile'!$B$2:$B$61,B1488)</f>
        <v/>
      </c>
      <c r="G1488" s="45">
        <f>MIN(in_takeup_cap,INDEX('Age profile'!$N$2:$N$61,B1488)*(1+in_takeup_growth)^(D1488-1))</f>
        <v/>
      </c>
      <c r="H1488" s="11">
        <f>MIN(in_approval_cap,in_approved_first*INDEX('Age profile'!$O$2:$O$61,B1488)*(1+in_approval_growth)^(D1488-1))</f>
        <v/>
      </c>
      <c r="I1488" s="45">
        <f>G1488*MIN(in_takeup_cap,INDEX('Age profile'!$O$2:$O$61,B1488)*(1+in_approval_growth)^(D1488-1))</f>
        <v/>
      </c>
      <c r="J1488" s="40">
        <f>(J1487-L1487)*F1488/F1487</f>
        <v/>
      </c>
      <c r="K1488" s="40">
        <f>(K1487-M1487)*F1488/F1487+SUMIFS(O1481:O1487,B1481:B1487,B1488-1-d_T)*F1488</f>
        <v/>
      </c>
      <c r="L1488" s="40">
        <f>IF(B1488&gt;=in_marketplace_from,J1488*d_hz*G1488*in_eligible*H1488,0)</f>
        <v/>
      </c>
      <c r="M1488" s="40">
        <f>IF(B1488&gt;=in_marketplace_from,K1488*d_hz*G1488*in_eligible*in_approved_repeat,0)</f>
        <v/>
      </c>
      <c r="N1488" s="40">
        <f>L1488+M1488</f>
        <v/>
      </c>
      <c r="O1488" s="46">
        <f>N1488/F1488</f>
        <v/>
      </c>
      <c r="P1488" s="40">
        <f>F1488-J1488-K1488</f>
        <v/>
      </c>
      <c r="Q1488" s="40">
        <f>IF(B1488&gt;=in_marketplace_from,(J1488+K1488)*d_hz*G1488,0)</f>
        <v/>
      </c>
      <c r="R1488" s="40">
        <f>SUMIFS(N1481:N1506,B1481:B1506,"&gt;="&amp;(B1488-d_T),B1481:B1506,"&lt;="&amp;(B1488-1))</f>
        <v/>
      </c>
      <c r="S1488" s="46">
        <f>(1-d_u)*S1487+IF(d_T&gt;in_topup_lag,SUMIFS(O1481:O1506,B1481:B1506,B1488-in_topup_lag)-d_udrop*SUMIFS(O1481:O1506,B1481:B1506,B1488-d_T),0)</f>
        <v/>
      </c>
      <c r="T1488" s="40">
        <f>F1488*d_u*S1488</f>
        <v/>
      </c>
      <c r="U1488" s="9">
        <f>L1488*in_ticket+M1488*d_rep_ticket</f>
        <v/>
      </c>
      <c r="V1488" s="9">
        <f>U1488+T1488*d_topup_amt</f>
        <v/>
      </c>
      <c r="W1488" s="40">
        <f>N1488+T1488*d_topup_ratio</f>
        <v/>
      </c>
      <c r="X1488" s="40">
        <f>SUMIFS(W1481:W1506,B1481:B1506,B1488-in_dpd_lag)*d_cured</f>
        <v/>
      </c>
      <c r="Y1488" s="40">
        <f>SUMIFS(W1481:W1506,B1481:B1506,B1488-in_rec_lag)*d_recd</f>
        <v/>
      </c>
      <c r="Z1488" s="40">
        <f>IF(AND(B1488&gt;=in_marketplace_from,B1488&lt;in_marketplace_from+in_card_months),in_card_share/in_card_months*F1488*I1488,IF(AND(B1488&gt;=in_marketplace_from+in_card_months,B1488&lt;in_marketplace_from+2*in_card_months),in_card_share*d_card_rem/in_card_months*F1488*MIN(in_takeup_cap,(1+in_takeup_growth)^(D1488-1))*MIN(in_takeup_cap,(1+in_approval_growth)^(D1488-1)),0))</f>
        <v/>
      </c>
      <c r="AA1488" s="14">
        <f>V1488*in_fee*(1-in_taken_back)</f>
        <v/>
      </c>
      <c r="AB1488" s="14">
        <f>SUMIFS(W1481:W1506,B1481:B1506,B1488-in_dpd_lag)*d_dpd</f>
        <v/>
      </c>
      <c r="AC1488" s="14">
        <f>SUMIFS(W1481:W1506,B1481:B1506,B1488-in_rec_lag)*d_rec</f>
        <v/>
      </c>
      <c r="AD1488" s="14">
        <f>Z1488*in_card_fee</f>
        <v/>
      </c>
      <c r="AE1488" s="40">
        <f>AE1487*(1-IF(B1487&gt;=in_marketplace_from,d_hz_hlth_small*G1487,0))</f>
        <v/>
      </c>
      <c r="AF1488" s="46">
        <f>AE1488*IF(B1488&gt;=in_marketplace_from,d_hz_hlth_small*G1488,0)</f>
        <v/>
      </c>
      <c r="AG1488" s="14">
        <f>F1488*AF1488*in_hlth_small_ticket*in_hlth_small_comm*in_ins_partner_share+F1488*in_hlth_small_ticket*in_hlth_small_renew_comm*in_ins_partner_share*(in_hlth_small_renew^1*SUMIFS(AF1481:AF1506,B1481:B1506,B1488-12)+in_hlth_small_renew^2*SUMIFS(AF1481:AF1506,B1481:B1506,B1488-24)+in_hlth_small_renew^3*SUMIFS(AF1481:AF1506,B1481:B1506,B1488-36)+in_hlth_small_renew^4*SUMIFS(AF1481:AF1506,B1481:B1506,B1488-48))</f>
        <v/>
      </c>
      <c r="AH1488" s="40">
        <f>AH1487*(1-IF(B1487&gt;=in_marketplace_from,d_hz_hlth_family*G1487,0))</f>
        <v/>
      </c>
      <c r="AI1488" s="46">
        <f>AH1488*IF(B1488&gt;=in_marketplace_from,d_hz_hlth_family*G1488,0)</f>
        <v/>
      </c>
      <c r="AJ1488" s="14">
        <f>F1488*AI1488*in_hlth_family_ticket*in_hlth_family_comm*in_ins_partner_share+F1488*in_hlth_family_ticket*in_hlth_family_renew_comm*in_ins_partner_share*(in_hlth_family_renew^1*SUMIFS(AI1481:AI1506,B1481:B1506,B1488-12)+in_hlth_family_renew^2*SUMIFS(AI1481:AI1506,B1481:B1506,B1488-24)+in_hlth_family_renew^3*SUMIFS(AI1481:AI1506,B1481:B1506,B1488-36)+in_hlth_family_renew^4*SUMIFS(AI1481:AI1506,B1481:B1506,B1488-48))</f>
        <v/>
      </c>
      <c r="AK1488" s="40">
        <f>AK1487*(1-IF(B1487&gt;=in_marketplace_from,d_hz_life_term*G1487,0))</f>
        <v/>
      </c>
      <c r="AL1488" s="46">
        <f>AK1488*IF(B1488&gt;=in_marketplace_from,d_hz_life_term*G1488,0)</f>
        <v/>
      </c>
      <c r="AM1488" s="14">
        <f>F1488*AL1488*in_life_term_ticket*in_life_term_comm*in_ins_partner_share+F1488*in_life_term_ticket*in_life_term_renew_comm*in_ins_partner_share*(in_life_term_renew^1*SUMIFS(AL1481:AL1506,B1481:B1506,B1488-12)+in_life_term_renew^2*SUMIFS(AL1481:AL1506,B1481:B1506,B1488-24)+in_life_term_renew^3*SUMIFS(AL1481:AL1506,B1481:B1506,B1488-36)+in_life_term_renew^4*SUMIFS(AL1481:AL1506,B1481:B1506,B1488-48))</f>
        <v/>
      </c>
      <c r="AN1488" s="40">
        <f>AN1487*(1-IF(B1487&gt;=in_marketplace_from,d_hz_accident*G1487,0))</f>
        <v/>
      </c>
      <c r="AO1488" s="46">
        <f>AN1488*IF(B1488&gt;=in_marketplace_from,d_hz_accident*G1488,0)</f>
        <v/>
      </c>
      <c r="AP1488" s="14">
        <f>F1488*AO1488*in_accident_ticket*in_accident_comm*in_ins_partner_share+F1488*in_accident_ticket*in_accident_renew_comm*in_ins_partner_share*(in_accident_renew^1*SUMIFS(AO1481:AO1506,B1481:B1506,B1488-12)+in_accident_renew^2*SUMIFS(AO1481:AO1506,B1481:B1506,B1488-24)+in_accident_renew^3*SUMIFS(AO1481:AO1506,B1481:B1506,B1488-36)+in_accident_renew^4*SUMIFS(AO1481:AO1506,B1481:B1506,B1488-48))</f>
        <v/>
      </c>
      <c r="AQ1488" s="40">
        <f>AQ1487*(1-IF(B1487&gt;=in_marketplace_from,d_hz_two_wheeler*G1487,0))</f>
        <v/>
      </c>
      <c r="AR1488" s="46">
        <f>AQ1488*IF(B1488&gt;=in_marketplace_from,d_hz_two_wheeler*G1488,0)</f>
        <v/>
      </c>
      <c r="AS1488" s="14">
        <f>F1488*AR1488*in_two_wheeler_ticket*in_two_wheeler_comm*in_ins_partner_share+F1488*in_two_wheeler_ticket*in_two_wheeler_comm*in_ins_partner_share*(in_two_wheeler_renew^1*SUMIFS(AR1481:AR1506,B1481:B1506,B1488-12)+in_two_wheeler_renew^2*SUMIFS(AR1481:AR1506,B1481:B1506,B1488-24)+in_two_wheeler_renew^3*SUMIFS(AR1481:AR1506,B1481:B1506,B1488-36)+in_two_wheeler_renew^4*SUMIFS(AR1481:AR1506,B1481:B1506,B1488-48))</f>
        <v/>
      </c>
      <c r="AT1488" s="40">
        <f>AT1487*(1-IF(B1487&gt;=in_marketplace_from,d_hz_device*G1487,0))</f>
        <v/>
      </c>
      <c r="AU1488" s="14">
        <f>F1488*AT1488*IF(B1488&gt;=in_marketplace_from,d_hz_device*G1488,0)*in_device_ticket*in_device_comm*in_ins_partner_share</f>
        <v/>
      </c>
      <c r="AV1488" s="40">
        <f>AV1487*(1-IF(B1487&gt;=in_marketplace_from,d_hz_shop*G1487,0))</f>
        <v/>
      </c>
      <c r="AW1488" s="46">
        <f>AV1488*IF(B1488&gt;=in_marketplace_from,d_hz_shop*G1488,0)</f>
        <v/>
      </c>
      <c r="AX1488" s="14">
        <f>F1488*AW1488*in_shop_ticket*in_shop_comm*in_ins_partner_share+F1488*in_shop_ticket*in_shop_renew_comm*in_ins_partner_share*(in_shop_renew^1*SUMIFS(AW1481:AW1506,B1481:B1506,B1488-12)+in_shop_renew^2*SUMIFS(AW1481:AW1506,B1481:B1506,B1488-24)+in_shop_renew^3*SUMIFS(AW1481:AW1506,B1481:B1506,B1488-36)+in_shop_renew^4*SUMIFS(AW1481:AW1506,B1481:B1506,B1488-48))</f>
        <v/>
      </c>
      <c r="AY1488" s="40">
        <f>AY1487*(1-IF(B1487&gt;=in_marketplace_from,d_hz_sip*G1487,0))</f>
        <v/>
      </c>
      <c r="AZ1488" s="40">
        <f>AZ1487*d_rho_sip+AY1488*IF(B1488&gt;=in_marketplace_from,d_hz_sip*G1488,0)</f>
        <v/>
      </c>
      <c r="BA1488" s="40">
        <f>d_rho_sip*(BA1487+AZ1487)</f>
        <v/>
      </c>
      <c r="BB1488" s="14">
        <f>F1488*in_sip_ticket*(BA1488+0.5*AZ1488)*in_sip_comm/12</f>
        <v/>
      </c>
      <c r="BC1488" s="40">
        <f>BC1487*(1-IF(B1487&gt;=in_marketplace_from,d_hz_choti*G1487,0))</f>
        <v/>
      </c>
      <c r="BD1488" s="46">
        <f>BC1488*IF(B1488&gt;=in_marketplace_from,d_hz_choti*G1488,0)</f>
        <v/>
      </c>
      <c r="BE1488" s="14">
        <f>F1488*SUMIFS(BD1481:BD1506,B1481:B1506,B1488-in_choti_months)*in_choti_renew*in_choti_ticket</f>
        <v/>
      </c>
      <c r="BF1488" s="40">
        <f>BF1487*(1-IF(B1487&gt;=in_marketplace_from,d_hz_nps*G1487,0))</f>
        <v/>
      </c>
      <c r="BG1488" s="14">
        <f>F1488*BF1488*IF(B1488&gt;=in_marketplace_from,d_hz_nps*G1488,0)*in_nps_ticket*in_nps_comm</f>
        <v/>
      </c>
      <c r="BH1488" s="40">
        <f>BH1487*(1-IF(B1487&gt;=in_marketplace_from,d_hz_gold*G1487,0))</f>
        <v/>
      </c>
      <c r="BI1488" s="40">
        <f>BI1487*d_rho_gold+BH1488*IF(B1488&gt;=in_marketplace_from,d_hz_gold*G1488,0)</f>
        <v/>
      </c>
      <c r="BJ1488" s="14">
        <f>F1488*BI1488*in_gold_ticket*in_gold_comm</f>
        <v/>
      </c>
      <c r="BK1488" s="40">
        <f>BK1487*(1-IF(B1487&gt;=in_marketplace_from,d_hz_fd*G1487,0))</f>
        <v/>
      </c>
      <c r="BL1488" s="14">
        <f>F1488*BK1488*IF(B1488&gt;=in_marketplace_from,d_hz_fd*G1488,0)*in_fd_ticket*in_fd_comm</f>
        <v/>
      </c>
      <c r="BM1488" s="40">
        <f>BM1487*(1-IF(B1487&gt;=in_marketplace_from,d_hz_recharge*G1487,0))</f>
        <v/>
      </c>
      <c r="BN1488" s="40">
        <f>BN1487*d_rho_recharge+BM1488*IF(B1488&gt;=in_marketplace_from,d_hz_recharge*G1488,0)</f>
        <v/>
      </c>
      <c r="BO1488" s="14">
        <f>F1488*BN1488*in_recharge_ticket*in_recharge_comm/12</f>
        <v/>
      </c>
      <c r="BP1488" s="40">
        <f>BP1487*(1-IF(B1487&gt;=in_marketplace_from,d_hz_bills*G1487,0))</f>
        <v/>
      </c>
      <c r="BQ1488" s="40">
        <f>BQ1487*d_rho_bills+BP1488*IF(B1488&gt;=in_marketplace_from,d_hz_bills*G1488,0)</f>
        <v/>
      </c>
      <c r="BR1488" s="14">
        <f>F1488*BQ1488*in_bills_ticket*in_bills_comm/12</f>
        <v/>
      </c>
      <c r="BS1488" s="40">
        <f>BS1487*(1-IF(B1487&gt;=in_marketplace_from,d_hz_loan_gold*G1487,0))</f>
        <v/>
      </c>
      <c r="BT1488" s="14">
        <f>F1488*BS1488*IF(B1488&gt;=in_marketplace_from,d_hz_loan_gold*G1488,0)*in_loan_gold_ticket*in_loan_gold_comm</f>
        <v/>
      </c>
      <c r="BU1488" s="40">
        <f>BU1487*(1-IF(B1487&gt;=in_marketplace_from,d_hz_loan_cd*G1487,0))</f>
        <v/>
      </c>
      <c r="BV1488" s="14">
        <f>F1488*BU1488*IF(B1488&gt;=in_marketplace_from,d_hz_loan_cd*G1488,0)*in_loan_cd_ticket*in_loan_cd_comm</f>
        <v/>
      </c>
      <c r="BW1488" s="40">
        <f>BW1487*(1-IF(B1487&gt;=in_marketplace_from,d_hz_loan_vehicle*G1487,0))</f>
        <v/>
      </c>
      <c r="BX1488" s="14">
        <f>F1488*BW1488*IF(B1488&gt;=in_marketplace_from,d_hz_loan_vehicle*G1488,0)*in_loan_vehicle_ticket*in_loan_vehicle_comm</f>
        <v/>
      </c>
      <c r="BY1488" s="40">
        <f>BY1487*(1-IF(B1487&gt;=in_marketplace_from,d_hz_loan_home*G1487,0)*BZ1487)</f>
        <v/>
      </c>
      <c r="BZ1488" s="11">
        <f>MIN(in_approval_cap,in_loan_home_approval*INDEX('Age profile'!$O$2:$O$61,B1488)*(1+in_approval_growth)^(D1488-1))</f>
        <v/>
      </c>
      <c r="CA1488" s="14">
        <f>F1488*BY1488*IF(B1488&gt;=in_marketplace_from,d_hz_loan_home*G1488,0)*BZ1488*in_loan_home_ticket*in_loan_home_comm</f>
        <v/>
      </c>
      <c r="CB1488" s="40">
        <f>CB1487*(1-IF(B1487&gt;=in_marketplace_from,d_hz_loan_lap*G1487,0)*CC1487)</f>
        <v/>
      </c>
      <c r="CC1488" s="11">
        <f>MIN(in_approval_cap,in_loan_lap_approval*INDEX('Age profile'!$O$2:$O$61,B1488)*(1+in_approval_growth)^(D1488-1))</f>
        <v/>
      </c>
      <c r="CD1488" s="14">
        <f>F1488*CB1488*IF(B1488&gt;=in_marketplace_from,d_hz_loan_lap*G1488,0)*CC1488*in_loan_lap_ticket*in_loan_lap_comm</f>
        <v/>
      </c>
      <c r="CE1488" s="14">
        <f>AA1488+AB1488+AC1488+AD1488+AG1488+AJ1488+AM1488+AP1488+AS1488+AU1488+AX1488+BB1488+BE1488+BG1488+BJ1488+BL1488+BO1488+BR1488+BT1488+BV1488+BX1488+CA1488+CD1488</f>
        <v/>
      </c>
    </row>
    <row r="1489">
      <c r="A1489" s="39" t="n">
        <v>35</v>
      </c>
      <c r="B1489" s="39" t="n">
        <v>9</v>
      </c>
      <c r="C1489" s="39">
        <f>A1489+B1489-1</f>
        <v/>
      </c>
      <c r="D1489" s="39">
        <f>INT((C1489-1)/12)+1</f>
        <v/>
      </c>
      <c r="E1489" s="44">
        <f>INDEX(Monthly!$B$2:$B$61,A1489)</f>
        <v/>
      </c>
      <c r="F1489" s="44">
        <f>E1489*INDEX('Age profile'!$B$2:$B$61,B1489)</f>
        <v/>
      </c>
      <c r="G1489" s="45">
        <f>MIN(in_takeup_cap,INDEX('Age profile'!$N$2:$N$61,B1489)*(1+in_takeup_growth)^(D1489-1))</f>
        <v/>
      </c>
      <c r="H1489" s="11">
        <f>MIN(in_approval_cap,in_approved_first*INDEX('Age profile'!$O$2:$O$61,B1489)*(1+in_approval_growth)^(D1489-1))</f>
        <v/>
      </c>
      <c r="I1489" s="45">
        <f>G1489*MIN(in_takeup_cap,INDEX('Age profile'!$O$2:$O$61,B1489)*(1+in_approval_growth)^(D1489-1))</f>
        <v/>
      </c>
      <c r="J1489" s="40">
        <f>(J1488-L1488)*F1489/F1488</f>
        <v/>
      </c>
      <c r="K1489" s="40">
        <f>(K1488-M1488)*F1489/F1488+SUMIFS(O1481:O1488,B1481:B1488,B1489-1-d_T)*F1489</f>
        <v/>
      </c>
      <c r="L1489" s="40">
        <f>IF(B1489&gt;=in_marketplace_from,J1489*d_hz*G1489*in_eligible*H1489,0)</f>
        <v/>
      </c>
      <c r="M1489" s="40">
        <f>IF(B1489&gt;=in_marketplace_from,K1489*d_hz*G1489*in_eligible*in_approved_repeat,0)</f>
        <v/>
      </c>
      <c r="N1489" s="40">
        <f>L1489+M1489</f>
        <v/>
      </c>
      <c r="O1489" s="46">
        <f>N1489/F1489</f>
        <v/>
      </c>
      <c r="P1489" s="40">
        <f>F1489-J1489-K1489</f>
        <v/>
      </c>
      <c r="Q1489" s="40">
        <f>IF(B1489&gt;=in_marketplace_from,(J1489+K1489)*d_hz*G1489,0)</f>
        <v/>
      </c>
      <c r="R1489" s="40">
        <f>SUMIFS(N1481:N1506,B1481:B1506,"&gt;="&amp;(B1489-d_T),B1481:B1506,"&lt;="&amp;(B1489-1))</f>
        <v/>
      </c>
      <c r="S1489" s="46">
        <f>(1-d_u)*S1488+IF(d_T&gt;in_topup_lag,SUMIFS(O1481:O1506,B1481:B1506,B1489-in_topup_lag)-d_udrop*SUMIFS(O1481:O1506,B1481:B1506,B1489-d_T),0)</f>
        <v/>
      </c>
      <c r="T1489" s="40">
        <f>F1489*d_u*S1489</f>
        <v/>
      </c>
      <c r="U1489" s="9">
        <f>L1489*in_ticket+M1489*d_rep_ticket</f>
        <v/>
      </c>
      <c r="V1489" s="9">
        <f>U1489+T1489*d_topup_amt</f>
        <v/>
      </c>
      <c r="W1489" s="40">
        <f>N1489+T1489*d_topup_ratio</f>
        <v/>
      </c>
      <c r="X1489" s="40">
        <f>SUMIFS(W1481:W1506,B1481:B1506,B1489-in_dpd_lag)*d_cured</f>
        <v/>
      </c>
      <c r="Y1489" s="40">
        <f>SUMIFS(W1481:W1506,B1481:B1506,B1489-in_rec_lag)*d_recd</f>
        <v/>
      </c>
      <c r="Z1489" s="40">
        <f>IF(AND(B1489&gt;=in_marketplace_from,B1489&lt;in_marketplace_from+in_card_months),in_card_share/in_card_months*F1489*I1489,IF(AND(B1489&gt;=in_marketplace_from+in_card_months,B1489&lt;in_marketplace_from+2*in_card_months),in_card_share*d_card_rem/in_card_months*F1489*MIN(in_takeup_cap,(1+in_takeup_growth)^(D1489-1))*MIN(in_takeup_cap,(1+in_approval_growth)^(D1489-1)),0))</f>
        <v/>
      </c>
      <c r="AA1489" s="14">
        <f>V1489*in_fee*(1-in_taken_back)</f>
        <v/>
      </c>
      <c r="AB1489" s="14">
        <f>SUMIFS(W1481:W1506,B1481:B1506,B1489-in_dpd_lag)*d_dpd</f>
        <v/>
      </c>
      <c r="AC1489" s="14">
        <f>SUMIFS(W1481:W1506,B1481:B1506,B1489-in_rec_lag)*d_rec</f>
        <v/>
      </c>
      <c r="AD1489" s="14">
        <f>Z1489*in_card_fee</f>
        <v/>
      </c>
      <c r="AE1489" s="40">
        <f>AE1488*(1-IF(B1488&gt;=in_marketplace_from,d_hz_hlth_small*G1488,0))</f>
        <v/>
      </c>
      <c r="AF1489" s="46">
        <f>AE1489*IF(B1489&gt;=in_marketplace_from,d_hz_hlth_small*G1489,0)</f>
        <v/>
      </c>
      <c r="AG1489" s="14">
        <f>F1489*AF1489*in_hlth_small_ticket*in_hlth_small_comm*in_ins_partner_share+F1489*in_hlth_small_ticket*in_hlth_small_renew_comm*in_ins_partner_share*(in_hlth_small_renew^1*SUMIFS(AF1481:AF1506,B1481:B1506,B1489-12)+in_hlth_small_renew^2*SUMIFS(AF1481:AF1506,B1481:B1506,B1489-24)+in_hlth_small_renew^3*SUMIFS(AF1481:AF1506,B1481:B1506,B1489-36)+in_hlth_small_renew^4*SUMIFS(AF1481:AF1506,B1481:B1506,B1489-48))</f>
        <v/>
      </c>
      <c r="AH1489" s="40">
        <f>AH1488*(1-IF(B1488&gt;=in_marketplace_from,d_hz_hlth_family*G1488,0))</f>
        <v/>
      </c>
      <c r="AI1489" s="46">
        <f>AH1489*IF(B1489&gt;=in_marketplace_from,d_hz_hlth_family*G1489,0)</f>
        <v/>
      </c>
      <c r="AJ1489" s="14">
        <f>F1489*AI1489*in_hlth_family_ticket*in_hlth_family_comm*in_ins_partner_share+F1489*in_hlth_family_ticket*in_hlth_family_renew_comm*in_ins_partner_share*(in_hlth_family_renew^1*SUMIFS(AI1481:AI1506,B1481:B1506,B1489-12)+in_hlth_family_renew^2*SUMIFS(AI1481:AI1506,B1481:B1506,B1489-24)+in_hlth_family_renew^3*SUMIFS(AI1481:AI1506,B1481:B1506,B1489-36)+in_hlth_family_renew^4*SUMIFS(AI1481:AI1506,B1481:B1506,B1489-48))</f>
        <v/>
      </c>
      <c r="AK1489" s="40">
        <f>AK1488*(1-IF(B1488&gt;=in_marketplace_from,d_hz_life_term*G1488,0))</f>
        <v/>
      </c>
      <c r="AL1489" s="46">
        <f>AK1489*IF(B1489&gt;=in_marketplace_from,d_hz_life_term*G1489,0)</f>
        <v/>
      </c>
      <c r="AM1489" s="14">
        <f>F1489*AL1489*in_life_term_ticket*in_life_term_comm*in_ins_partner_share+F1489*in_life_term_ticket*in_life_term_renew_comm*in_ins_partner_share*(in_life_term_renew^1*SUMIFS(AL1481:AL1506,B1481:B1506,B1489-12)+in_life_term_renew^2*SUMIFS(AL1481:AL1506,B1481:B1506,B1489-24)+in_life_term_renew^3*SUMIFS(AL1481:AL1506,B1481:B1506,B1489-36)+in_life_term_renew^4*SUMIFS(AL1481:AL1506,B1481:B1506,B1489-48))</f>
        <v/>
      </c>
      <c r="AN1489" s="40">
        <f>AN1488*(1-IF(B1488&gt;=in_marketplace_from,d_hz_accident*G1488,0))</f>
        <v/>
      </c>
      <c r="AO1489" s="46">
        <f>AN1489*IF(B1489&gt;=in_marketplace_from,d_hz_accident*G1489,0)</f>
        <v/>
      </c>
      <c r="AP1489" s="14">
        <f>F1489*AO1489*in_accident_ticket*in_accident_comm*in_ins_partner_share+F1489*in_accident_ticket*in_accident_renew_comm*in_ins_partner_share*(in_accident_renew^1*SUMIFS(AO1481:AO1506,B1481:B1506,B1489-12)+in_accident_renew^2*SUMIFS(AO1481:AO1506,B1481:B1506,B1489-24)+in_accident_renew^3*SUMIFS(AO1481:AO1506,B1481:B1506,B1489-36)+in_accident_renew^4*SUMIFS(AO1481:AO1506,B1481:B1506,B1489-48))</f>
        <v/>
      </c>
      <c r="AQ1489" s="40">
        <f>AQ1488*(1-IF(B1488&gt;=in_marketplace_from,d_hz_two_wheeler*G1488,0))</f>
        <v/>
      </c>
      <c r="AR1489" s="46">
        <f>AQ1489*IF(B1489&gt;=in_marketplace_from,d_hz_two_wheeler*G1489,0)</f>
        <v/>
      </c>
      <c r="AS1489" s="14">
        <f>F1489*AR1489*in_two_wheeler_ticket*in_two_wheeler_comm*in_ins_partner_share+F1489*in_two_wheeler_ticket*in_two_wheeler_comm*in_ins_partner_share*(in_two_wheeler_renew^1*SUMIFS(AR1481:AR1506,B1481:B1506,B1489-12)+in_two_wheeler_renew^2*SUMIFS(AR1481:AR1506,B1481:B1506,B1489-24)+in_two_wheeler_renew^3*SUMIFS(AR1481:AR1506,B1481:B1506,B1489-36)+in_two_wheeler_renew^4*SUMIFS(AR1481:AR1506,B1481:B1506,B1489-48))</f>
        <v/>
      </c>
      <c r="AT1489" s="40">
        <f>AT1488*(1-IF(B1488&gt;=in_marketplace_from,d_hz_device*G1488,0))</f>
        <v/>
      </c>
      <c r="AU1489" s="14">
        <f>F1489*AT1489*IF(B1489&gt;=in_marketplace_from,d_hz_device*G1489,0)*in_device_ticket*in_device_comm*in_ins_partner_share</f>
        <v/>
      </c>
      <c r="AV1489" s="40">
        <f>AV1488*(1-IF(B1488&gt;=in_marketplace_from,d_hz_shop*G1488,0))</f>
        <v/>
      </c>
      <c r="AW1489" s="46">
        <f>AV1489*IF(B1489&gt;=in_marketplace_from,d_hz_shop*G1489,0)</f>
        <v/>
      </c>
      <c r="AX1489" s="14">
        <f>F1489*AW1489*in_shop_ticket*in_shop_comm*in_ins_partner_share+F1489*in_shop_ticket*in_shop_renew_comm*in_ins_partner_share*(in_shop_renew^1*SUMIFS(AW1481:AW1506,B1481:B1506,B1489-12)+in_shop_renew^2*SUMIFS(AW1481:AW1506,B1481:B1506,B1489-24)+in_shop_renew^3*SUMIFS(AW1481:AW1506,B1481:B1506,B1489-36)+in_shop_renew^4*SUMIFS(AW1481:AW1506,B1481:B1506,B1489-48))</f>
        <v/>
      </c>
      <c r="AY1489" s="40">
        <f>AY1488*(1-IF(B1488&gt;=in_marketplace_from,d_hz_sip*G1488,0))</f>
        <v/>
      </c>
      <c r="AZ1489" s="40">
        <f>AZ1488*d_rho_sip+AY1489*IF(B1489&gt;=in_marketplace_from,d_hz_sip*G1489,0)</f>
        <v/>
      </c>
      <c r="BA1489" s="40">
        <f>d_rho_sip*(BA1488+AZ1488)</f>
        <v/>
      </c>
      <c r="BB1489" s="14">
        <f>F1489*in_sip_ticket*(BA1489+0.5*AZ1489)*in_sip_comm/12</f>
        <v/>
      </c>
      <c r="BC1489" s="40">
        <f>BC1488*(1-IF(B1488&gt;=in_marketplace_from,d_hz_choti*G1488,0))</f>
        <v/>
      </c>
      <c r="BD1489" s="46">
        <f>BC1489*IF(B1489&gt;=in_marketplace_from,d_hz_choti*G1489,0)</f>
        <v/>
      </c>
      <c r="BE1489" s="14">
        <f>F1489*SUMIFS(BD1481:BD1506,B1481:B1506,B1489-in_choti_months)*in_choti_renew*in_choti_ticket</f>
        <v/>
      </c>
      <c r="BF1489" s="40">
        <f>BF1488*(1-IF(B1488&gt;=in_marketplace_from,d_hz_nps*G1488,0))</f>
        <v/>
      </c>
      <c r="BG1489" s="14">
        <f>F1489*BF1489*IF(B1489&gt;=in_marketplace_from,d_hz_nps*G1489,0)*in_nps_ticket*in_nps_comm</f>
        <v/>
      </c>
      <c r="BH1489" s="40">
        <f>BH1488*(1-IF(B1488&gt;=in_marketplace_from,d_hz_gold*G1488,0))</f>
        <v/>
      </c>
      <c r="BI1489" s="40">
        <f>BI1488*d_rho_gold+BH1489*IF(B1489&gt;=in_marketplace_from,d_hz_gold*G1489,0)</f>
        <v/>
      </c>
      <c r="BJ1489" s="14">
        <f>F1489*BI1489*in_gold_ticket*in_gold_comm</f>
        <v/>
      </c>
      <c r="BK1489" s="40">
        <f>BK1488*(1-IF(B1488&gt;=in_marketplace_from,d_hz_fd*G1488,0))</f>
        <v/>
      </c>
      <c r="BL1489" s="14">
        <f>F1489*BK1489*IF(B1489&gt;=in_marketplace_from,d_hz_fd*G1489,0)*in_fd_ticket*in_fd_comm</f>
        <v/>
      </c>
      <c r="BM1489" s="40">
        <f>BM1488*(1-IF(B1488&gt;=in_marketplace_from,d_hz_recharge*G1488,0))</f>
        <v/>
      </c>
      <c r="BN1489" s="40">
        <f>BN1488*d_rho_recharge+BM1489*IF(B1489&gt;=in_marketplace_from,d_hz_recharge*G1489,0)</f>
        <v/>
      </c>
      <c r="BO1489" s="14">
        <f>F1489*BN1489*in_recharge_ticket*in_recharge_comm/12</f>
        <v/>
      </c>
      <c r="BP1489" s="40">
        <f>BP1488*(1-IF(B1488&gt;=in_marketplace_from,d_hz_bills*G1488,0))</f>
        <v/>
      </c>
      <c r="BQ1489" s="40">
        <f>BQ1488*d_rho_bills+BP1489*IF(B1489&gt;=in_marketplace_from,d_hz_bills*G1489,0)</f>
        <v/>
      </c>
      <c r="BR1489" s="14">
        <f>F1489*BQ1489*in_bills_ticket*in_bills_comm/12</f>
        <v/>
      </c>
      <c r="BS1489" s="40">
        <f>BS1488*(1-IF(B1488&gt;=in_marketplace_from,d_hz_loan_gold*G1488,0))</f>
        <v/>
      </c>
      <c r="BT1489" s="14">
        <f>F1489*BS1489*IF(B1489&gt;=in_marketplace_from,d_hz_loan_gold*G1489,0)*in_loan_gold_ticket*in_loan_gold_comm</f>
        <v/>
      </c>
      <c r="BU1489" s="40">
        <f>BU1488*(1-IF(B1488&gt;=in_marketplace_from,d_hz_loan_cd*G1488,0))</f>
        <v/>
      </c>
      <c r="BV1489" s="14">
        <f>F1489*BU1489*IF(B1489&gt;=in_marketplace_from,d_hz_loan_cd*G1489,0)*in_loan_cd_ticket*in_loan_cd_comm</f>
        <v/>
      </c>
      <c r="BW1489" s="40">
        <f>BW1488*(1-IF(B1488&gt;=in_marketplace_from,d_hz_loan_vehicle*G1488,0))</f>
        <v/>
      </c>
      <c r="BX1489" s="14">
        <f>F1489*BW1489*IF(B1489&gt;=in_marketplace_from,d_hz_loan_vehicle*G1489,0)*in_loan_vehicle_ticket*in_loan_vehicle_comm</f>
        <v/>
      </c>
      <c r="BY1489" s="40">
        <f>BY1488*(1-IF(B1488&gt;=in_marketplace_from,d_hz_loan_home*G1488,0)*BZ1488)</f>
        <v/>
      </c>
      <c r="BZ1489" s="11">
        <f>MIN(in_approval_cap,in_loan_home_approval*INDEX('Age profile'!$O$2:$O$61,B1489)*(1+in_approval_growth)^(D1489-1))</f>
        <v/>
      </c>
      <c r="CA1489" s="14">
        <f>F1489*BY1489*IF(B1489&gt;=in_marketplace_from,d_hz_loan_home*G1489,0)*BZ1489*in_loan_home_ticket*in_loan_home_comm</f>
        <v/>
      </c>
      <c r="CB1489" s="40">
        <f>CB1488*(1-IF(B1488&gt;=in_marketplace_from,d_hz_loan_lap*G1488,0)*CC1488)</f>
        <v/>
      </c>
      <c r="CC1489" s="11">
        <f>MIN(in_approval_cap,in_loan_lap_approval*INDEX('Age profile'!$O$2:$O$61,B1489)*(1+in_approval_growth)^(D1489-1))</f>
        <v/>
      </c>
      <c r="CD1489" s="14">
        <f>F1489*CB1489*IF(B1489&gt;=in_marketplace_from,d_hz_loan_lap*G1489,0)*CC1489*in_loan_lap_ticket*in_loan_lap_comm</f>
        <v/>
      </c>
      <c r="CE1489" s="14">
        <f>AA1489+AB1489+AC1489+AD1489+AG1489+AJ1489+AM1489+AP1489+AS1489+AU1489+AX1489+BB1489+BE1489+BG1489+BJ1489+BL1489+BO1489+BR1489+BT1489+BV1489+BX1489+CA1489+CD1489</f>
        <v/>
      </c>
    </row>
    <row r="1490">
      <c r="A1490" s="39" t="n">
        <v>35</v>
      </c>
      <c r="B1490" s="39" t="n">
        <v>10</v>
      </c>
      <c r="C1490" s="39">
        <f>A1490+B1490-1</f>
        <v/>
      </c>
      <c r="D1490" s="39">
        <f>INT((C1490-1)/12)+1</f>
        <v/>
      </c>
      <c r="E1490" s="44">
        <f>INDEX(Monthly!$B$2:$B$61,A1490)</f>
        <v/>
      </c>
      <c r="F1490" s="44">
        <f>E1490*INDEX('Age profile'!$B$2:$B$61,B1490)</f>
        <v/>
      </c>
      <c r="G1490" s="45">
        <f>MIN(in_takeup_cap,INDEX('Age profile'!$N$2:$N$61,B1490)*(1+in_takeup_growth)^(D1490-1))</f>
        <v/>
      </c>
      <c r="H1490" s="11">
        <f>MIN(in_approval_cap,in_approved_first*INDEX('Age profile'!$O$2:$O$61,B1490)*(1+in_approval_growth)^(D1490-1))</f>
        <v/>
      </c>
      <c r="I1490" s="45">
        <f>G1490*MIN(in_takeup_cap,INDEX('Age profile'!$O$2:$O$61,B1490)*(1+in_approval_growth)^(D1490-1))</f>
        <v/>
      </c>
      <c r="J1490" s="40">
        <f>(J1489-L1489)*F1490/F1489</f>
        <v/>
      </c>
      <c r="K1490" s="40">
        <f>(K1489-M1489)*F1490/F1489+SUMIFS(O1481:O1489,B1481:B1489,B1490-1-d_T)*F1490</f>
        <v/>
      </c>
      <c r="L1490" s="40">
        <f>IF(B1490&gt;=in_marketplace_from,J1490*d_hz*G1490*in_eligible*H1490,0)</f>
        <v/>
      </c>
      <c r="M1490" s="40">
        <f>IF(B1490&gt;=in_marketplace_from,K1490*d_hz*G1490*in_eligible*in_approved_repeat,0)</f>
        <v/>
      </c>
      <c r="N1490" s="40">
        <f>L1490+M1490</f>
        <v/>
      </c>
      <c r="O1490" s="46">
        <f>N1490/F1490</f>
        <v/>
      </c>
      <c r="P1490" s="40">
        <f>F1490-J1490-K1490</f>
        <v/>
      </c>
      <c r="Q1490" s="40">
        <f>IF(B1490&gt;=in_marketplace_from,(J1490+K1490)*d_hz*G1490,0)</f>
        <v/>
      </c>
      <c r="R1490" s="40">
        <f>SUMIFS(N1481:N1506,B1481:B1506,"&gt;="&amp;(B1490-d_T),B1481:B1506,"&lt;="&amp;(B1490-1))</f>
        <v/>
      </c>
      <c r="S1490" s="46">
        <f>(1-d_u)*S1489+IF(d_T&gt;in_topup_lag,SUMIFS(O1481:O1506,B1481:B1506,B1490-in_topup_lag)-d_udrop*SUMIFS(O1481:O1506,B1481:B1506,B1490-d_T),0)</f>
        <v/>
      </c>
      <c r="T1490" s="40">
        <f>F1490*d_u*S1490</f>
        <v/>
      </c>
      <c r="U1490" s="9">
        <f>L1490*in_ticket+M1490*d_rep_ticket</f>
        <v/>
      </c>
      <c r="V1490" s="9">
        <f>U1490+T1490*d_topup_amt</f>
        <v/>
      </c>
      <c r="W1490" s="40">
        <f>N1490+T1490*d_topup_ratio</f>
        <v/>
      </c>
      <c r="X1490" s="40">
        <f>SUMIFS(W1481:W1506,B1481:B1506,B1490-in_dpd_lag)*d_cured</f>
        <v/>
      </c>
      <c r="Y1490" s="40">
        <f>SUMIFS(W1481:W1506,B1481:B1506,B1490-in_rec_lag)*d_recd</f>
        <v/>
      </c>
      <c r="Z1490" s="40">
        <f>IF(AND(B1490&gt;=in_marketplace_from,B1490&lt;in_marketplace_from+in_card_months),in_card_share/in_card_months*F1490*I1490,IF(AND(B1490&gt;=in_marketplace_from+in_card_months,B1490&lt;in_marketplace_from+2*in_card_months),in_card_share*d_card_rem/in_card_months*F1490*MIN(in_takeup_cap,(1+in_takeup_growth)^(D1490-1))*MIN(in_takeup_cap,(1+in_approval_growth)^(D1490-1)),0))</f>
        <v/>
      </c>
      <c r="AA1490" s="14">
        <f>V1490*in_fee*(1-in_taken_back)</f>
        <v/>
      </c>
      <c r="AB1490" s="14">
        <f>SUMIFS(W1481:W1506,B1481:B1506,B1490-in_dpd_lag)*d_dpd</f>
        <v/>
      </c>
      <c r="AC1490" s="14">
        <f>SUMIFS(W1481:W1506,B1481:B1506,B1490-in_rec_lag)*d_rec</f>
        <v/>
      </c>
      <c r="AD1490" s="14">
        <f>Z1490*in_card_fee</f>
        <v/>
      </c>
      <c r="AE1490" s="40">
        <f>AE1489*(1-IF(B1489&gt;=in_marketplace_from,d_hz_hlth_small*G1489,0))</f>
        <v/>
      </c>
      <c r="AF1490" s="46">
        <f>AE1490*IF(B1490&gt;=in_marketplace_from,d_hz_hlth_small*G1490,0)</f>
        <v/>
      </c>
      <c r="AG1490" s="14">
        <f>F1490*AF1490*in_hlth_small_ticket*in_hlth_small_comm*in_ins_partner_share+F1490*in_hlth_small_ticket*in_hlth_small_renew_comm*in_ins_partner_share*(in_hlth_small_renew^1*SUMIFS(AF1481:AF1506,B1481:B1506,B1490-12)+in_hlth_small_renew^2*SUMIFS(AF1481:AF1506,B1481:B1506,B1490-24)+in_hlth_small_renew^3*SUMIFS(AF1481:AF1506,B1481:B1506,B1490-36)+in_hlth_small_renew^4*SUMIFS(AF1481:AF1506,B1481:B1506,B1490-48))</f>
        <v/>
      </c>
      <c r="AH1490" s="40">
        <f>AH1489*(1-IF(B1489&gt;=in_marketplace_from,d_hz_hlth_family*G1489,0))</f>
        <v/>
      </c>
      <c r="AI1490" s="46">
        <f>AH1490*IF(B1490&gt;=in_marketplace_from,d_hz_hlth_family*G1490,0)</f>
        <v/>
      </c>
      <c r="AJ1490" s="14">
        <f>F1490*AI1490*in_hlth_family_ticket*in_hlth_family_comm*in_ins_partner_share+F1490*in_hlth_family_ticket*in_hlth_family_renew_comm*in_ins_partner_share*(in_hlth_family_renew^1*SUMIFS(AI1481:AI1506,B1481:B1506,B1490-12)+in_hlth_family_renew^2*SUMIFS(AI1481:AI1506,B1481:B1506,B1490-24)+in_hlth_family_renew^3*SUMIFS(AI1481:AI1506,B1481:B1506,B1490-36)+in_hlth_family_renew^4*SUMIFS(AI1481:AI1506,B1481:B1506,B1490-48))</f>
        <v/>
      </c>
      <c r="AK1490" s="40">
        <f>AK1489*(1-IF(B1489&gt;=in_marketplace_from,d_hz_life_term*G1489,0))</f>
        <v/>
      </c>
      <c r="AL1490" s="46">
        <f>AK1490*IF(B1490&gt;=in_marketplace_from,d_hz_life_term*G1490,0)</f>
        <v/>
      </c>
      <c r="AM1490" s="14">
        <f>F1490*AL1490*in_life_term_ticket*in_life_term_comm*in_ins_partner_share+F1490*in_life_term_ticket*in_life_term_renew_comm*in_ins_partner_share*(in_life_term_renew^1*SUMIFS(AL1481:AL1506,B1481:B1506,B1490-12)+in_life_term_renew^2*SUMIFS(AL1481:AL1506,B1481:B1506,B1490-24)+in_life_term_renew^3*SUMIFS(AL1481:AL1506,B1481:B1506,B1490-36)+in_life_term_renew^4*SUMIFS(AL1481:AL1506,B1481:B1506,B1490-48))</f>
        <v/>
      </c>
      <c r="AN1490" s="40">
        <f>AN1489*(1-IF(B1489&gt;=in_marketplace_from,d_hz_accident*G1489,0))</f>
        <v/>
      </c>
      <c r="AO1490" s="46">
        <f>AN1490*IF(B1490&gt;=in_marketplace_from,d_hz_accident*G1490,0)</f>
        <v/>
      </c>
      <c r="AP1490" s="14">
        <f>F1490*AO1490*in_accident_ticket*in_accident_comm*in_ins_partner_share+F1490*in_accident_ticket*in_accident_renew_comm*in_ins_partner_share*(in_accident_renew^1*SUMIFS(AO1481:AO1506,B1481:B1506,B1490-12)+in_accident_renew^2*SUMIFS(AO1481:AO1506,B1481:B1506,B1490-24)+in_accident_renew^3*SUMIFS(AO1481:AO1506,B1481:B1506,B1490-36)+in_accident_renew^4*SUMIFS(AO1481:AO1506,B1481:B1506,B1490-48))</f>
        <v/>
      </c>
      <c r="AQ1490" s="40">
        <f>AQ1489*(1-IF(B1489&gt;=in_marketplace_from,d_hz_two_wheeler*G1489,0))</f>
        <v/>
      </c>
      <c r="AR1490" s="46">
        <f>AQ1490*IF(B1490&gt;=in_marketplace_from,d_hz_two_wheeler*G1490,0)</f>
        <v/>
      </c>
      <c r="AS1490" s="14">
        <f>F1490*AR1490*in_two_wheeler_ticket*in_two_wheeler_comm*in_ins_partner_share+F1490*in_two_wheeler_ticket*in_two_wheeler_comm*in_ins_partner_share*(in_two_wheeler_renew^1*SUMIFS(AR1481:AR1506,B1481:B1506,B1490-12)+in_two_wheeler_renew^2*SUMIFS(AR1481:AR1506,B1481:B1506,B1490-24)+in_two_wheeler_renew^3*SUMIFS(AR1481:AR1506,B1481:B1506,B1490-36)+in_two_wheeler_renew^4*SUMIFS(AR1481:AR1506,B1481:B1506,B1490-48))</f>
        <v/>
      </c>
      <c r="AT1490" s="40">
        <f>AT1489*(1-IF(B1489&gt;=in_marketplace_from,d_hz_device*G1489,0))</f>
        <v/>
      </c>
      <c r="AU1490" s="14">
        <f>F1490*AT1490*IF(B1490&gt;=in_marketplace_from,d_hz_device*G1490,0)*in_device_ticket*in_device_comm*in_ins_partner_share</f>
        <v/>
      </c>
      <c r="AV1490" s="40">
        <f>AV1489*(1-IF(B1489&gt;=in_marketplace_from,d_hz_shop*G1489,0))</f>
        <v/>
      </c>
      <c r="AW1490" s="46">
        <f>AV1490*IF(B1490&gt;=in_marketplace_from,d_hz_shop*G1490,0)</f>
        <v/>
      </c>
      <c r="AX1490" s="14">
        <f>F1490*AW1490*in_shop_ticket*in_shop_comm*in_ins_partner_share+F1490*in_shop_ticket*in_shop_renew_comm*in_ins_partner_share*(in_shop_renew^1*SUMIFS(AW1481:AW1506,B1481:B1506,B1490-12)+in_shop_renew^2*SUMIFS(AW1481:AW1506,B1481:B1506,B1490-24)+in_shop_renew^3*SUMIFS(AW1481:AW1506,B1481:B1506,B1490-36)+in_shop_renew^4*SUMIFS(AW1481:AW1506,B1481:B1506,B1490-48))</f>
        <v/>
      </c>
      <c r="AY1490" s="40">
        <f>AY1489*(1-IF(B1489&gt;=in_marketplace_from,d_hz_sip*G1489,0))</f>
        <v/>
      </c>
      <c r="AZ1490" s="40">
        <f>AZ1489*d_rho_sip+AY1490*IF(B1490&gt;=in_marketplace_from,d_hz_sip*G1490,0)</f>
        <v/>
      </c>
      <c r="BA1490" s="40">
        <f>d_rho_sip*(BA1489+AZ1489)</f>
        <v/>
      </c>
      <c r="BB1490" s="14">
        <f>F1490*in_sip_ticket*(BA1490+0.5*AZ1490)*in_sip_comm/12</f>
        <v/>
      </c>
      <c r="BC1490" s="40">
        <f>BC1489*(1-IF(B1489&gt;=in_marketplace_from,d_hz_choti*G1489,0))</f>
        <v/>
      </c>
      <c r="BD1490" s="46">
        <f>BC1490*IF(B1490&gt;=in_marketplace_from,d_hz_choti*G1490,0)</f>
        <v/>
      </c>
      <c r="BE1490" s="14">
        <f>F1490*SUMIFS(BD1481:BD1506,B1481:B1506,B1490-in_choti_months)*in_choti_renew*in_choti_ticket</f>
        <v/>
      </c>
      <c r="BF1490" s="40">
        <f>BF1489*(1-IF(B1489&gt;=in_marketplace_from,d_hz_nps*G1489,0))</f>
        <v/>
      </c>
      <c r="BG1490" s="14">
        <f>F1490*BF1490*IF(B1490&gt;=in_marketplace_from,d_hz_nps*G1490,0)*in_nps_ticket*in_nps_comm</f>
        <v/>
      </c>
      <c r="BH1490" s="40">
        <f>BH1489*(1-IF(B1489&gt;=in_marketplace_from,d_hz_gold*G1489,0))</f>
        <v/>
      </c>
      <c r="BI1490" s="40">
        <f>BI1489*d_rho_gold+BH1490*IF(B1490&gt;=in_marketplace_from,d_hz_gold*G1490,0)</f>
        <v/>
      </c>
      <c r="BJ1490" s="14">
        <f>F1490*BI1490*in_gold_ticket*in_gold_comm</f>
        <v/>
      </c>
      <c r="BK1490" s="40">
        <f>BK1489*(1-IF(B1489&gt;=in_marketplace_from,d_hz_fd*G1489,0))</f>
        <v/>
      </c>
      <c r="BL1490" s="14">
        <f>F1490*BK1490*IF(B1490&gt;=in_marketplace_from,d_hz_fd*G1490,0)*in_fd_ticket*in_fd_comm</f>
        <v/>
      </c>
      <c r="BM1490" s="40">
        <f>BM1489*(1-IF(B1489&gt;=in_marketplace_from,d_hz_recharge*G1489,0))</f>
        <v/>
      </c>
      <c r="BN1490" s="40">
        <f>BN1489*d_rho_recharge+BM1490*IF(B1490&gt;=in_marketplace_from,d_hz_recharge*G1490,0)</f>
        <v/>
      </c>
      <c r="BO1490" s="14">
        <f>F1490*BN1490*in_recharge_ticket*in_recharge_comm/12</f>
        <v/>
      </c>
      <c r="BP1490" s="40">
        <f>BP1489*(1-IF(B1489&gt;=in_marketplace_from,d_hz_bills*G1489,0))</f>
        <v/>
      </c>
      <c r="BQ1490" s="40">
        <f>BQ1489*d_rho_bills+BP1490*IF(B1490&gt;=in_marketplace_from,d_hz_bills*G1490,0)</f>
        <v/>
      </c>
      <c r="BR1490" s="14">
        <f>F1490*BQ1490*in_bills_ticket*in_bills_comm/12</f>
        <v/>
      </c>
      <c r="BS1490" s="40">
        <f>BS1489*(1-IF(B1489&gt;=in_marketplace_from,d_hz_loan_gold*G1489,0))</f>
        <v/>
      </c>
      <c r="BT1490" s="14">
        <f>F1490*BS1490*IF(B1490&gt;=in_marketplace_from,d_hz_loan_gold*G1490,0)*in_loan_gold_ticket*in_loan_gold_comm</f>
        <v/>
      </c>
      <c r="BU1490" s="40">
        <f>BU1489*(1-IF(B1489&gt;=in_marketplace_from,d_hz_loan_cd*G1489,0))</f>
        <v/>
      </c>
      <c r="BV1490" s="14">
        <f>F1490*BU1490*IF(B1490&gt;=in_marketplace_from,d_hz_loan_cd*G1490,0)*in_loan_cd_ticket*in_loan_cd_comm</f>
        <v/>
      </c>
      <c r="BW1490" s="40">
        <f>BW1489*(1-IF(B1489&gt;=in_marketplace_from,d_hz_loan_vehicle*G1489,0))</f>
        <v/>
      </c>
      <c r="BX1490" s="14">
        <f>F1490*BW1490*IF(B1490&gt;=in_marketplace_from,d_hz_loan_vehicle*G1490,0)*in_loan_vehicle_ticket*in_loan_vehicle_comm</f>
        <v/>
      </c>
      <c r="BY1490" s="40">
        <f>BY1489*(1-IF(B1489&gt;=in_marketplace_from,d_hz_loan_home*G1489,0)*BZ1489)</f>
        <v/>
      </c>
      <c r="BZ1490" s="11">
        <f>MIN(in_approval_cap,in_loan_home_approval*INDEX('Age profile'!$O$2:$O$61,B1490)*(1+in_approval_growth)^(D1490-1))</f>
        <v/>
      </c>
      <c r="CA1490" s="14">
        <f>F1490*BY1490*IF(B1490&gt;=in_marketplace_from,d_hz_loan_home*G1490,0)*BZ1490*in_loan_home_ticket*in_loan_home_comm</f>
        <v/>
      </c>
      <c r="CB1490" s="40">
        <f>CB1489*(1-IF(B1489&gt;=in_marketplace_from,d_hz_loan_lap*G1489,0)*CC1489)</f>
        <v/>
      </c>
      <c r="CC1490" s="11">
        <f>MIN(in_approval_cap,in_loan_lap_approval*INDEX('Age profile'!$O$2:$O$61,B1490)*(1+in_approval_growth)^(D1490-1))</f>
        <v/>
      </c>
      <c r="CD1490" s="14">
        <f>F1490*CB1490*IF(B1490&gt;=in_marketplace_from,d_hz_loan_lap*G1490,0)*CC1490*in_loan_lap_ticket*in_loan_lap_comm</f>
        <v/>
      </c>
      <c r="CE1490" s="14">
        <f>AA1490+AB1490+AC1490+AD1490+AG1490+AJ1490+AM1490+AP1490+AS1490+AU1490+AX1490+BB1490+BE1490+BG1490+BJ1490+BL1490+BO1490+BR1490+BT1490+BV1490+BX1490+CA1490+CD1490</f>
        <v/>
      </c>
    </row>
    <row r="1491">
      <c r="A1491" s="39" t="n">
        <v>35</v>
      </c>
      <c r="B1491" s="39" t="n">
        <v>11</v>
      </c>
      <c r="C1491" s="39">
        <f>A1491+B1491-1</f>
        <v/>
      </c>
      <c r="D1491" s="39">
        <f>INT((C1491-1)/12)+1</f>
        <v/>
      </c>
      <c r="E1491" s="44">
        <f>INDEX(Monthly!$B$2:$B$61,A1491)</f>
        <v/>
      </c>
      <c r="F1491" s="44">
        <f>E1491*INDEX('Age profile'!$B$2:$B$61,B1491)</f>
        <v/>
      </c>
      <c r="G1491" s="45">
        <f>MIN(in_takeup_cap,INDEX('Age profile'!$N$2:$N$61,B1491)*(1+in_takeup_growth)^(D1491-1))</f>
        <v/>
      </c>
      <c r="H1491" s="11">
        <f>MIN(in_approval_cap,in_approved_first*INDEX('Age profile'!$O$2:$O$61,B1491)*(1+in_approval_growth)^(D1491-1))</f>
        <v/>
      </c>
      <c r="I1491" s="45">
        <f>G1491*MIN(in_takeup_cap,INDEX('Age profile'!$O$2:$O$61,B1491)*(1+in_approval_growth)^(D1491-1))</f>
        <v/>
      </c>
      <c r="J1491" s="40">
        <f>(J1490-L1490)*F1491/F1490</f>
        <v/>
      </c>
      <c r="K1491" s="40">
        <f>(K1490-M1490)*F1491/F1490+SUMIFS(O1481:O1490,B1481:B1490,B1491-1-d_T)*F1491</f>
        <v/>
      </c>
      <c r="L1491" s="40">
        <f>IF(B1491&gt;=in_marketplace_from,J1491*d_hz*G1491*in_eligible*H1491,0)</f>
        <v/>
      </c>
      <c r="M1491" s="40">
        <f>IF(B1491&gt;=in_marketplace_from,K1491*d_hz*G1491*in_eligible*in_approved_repeat,0)</f>
        <v/>
      </c>
      <c r="N1491" s="40">
        <f>L1491+M1491</f>
        <v/>
      </c>
      <c r="O1491" s="46">
        <f>N1491/F1491</f>
        <v/>
      </c>
      <c r="P1491" s="40">
        <f>F1491-J1491-K1491</f>
        <v/>
      </c>
      <c r="Q1491" s="40">
        <f>IF(B1491&gt;=in_marketplace_from,(J1491+K1491)*d_hz*G1491,0)</f>
        <v/>
      </c>
      <c r="R1491" s="40">
        <f>SUMIFS(N1481:N1506,B1481:B1506,"&gt;="&amp;(B1491-d_T),B1481:B1506,"&lt;="&amp;(B1491-1))</f>
        <v/>
      </c>
      <c r="S1491" s="46">
        <f>(1-d_u)*S1490+IF(d_T&gt;in_topup_lag,SUMIFS(O1481:O1506,B1481:B1506,B1491-in_topup_lag)-d_udrop*SUMIFS(O1481:O1506,B1481:B1506,B1491-d_T),0)</f>
        <v/>
      </c>
      <c r="T1491" s="40">
        <f>F1491*d_u*S1491</f>
        <v/>
      </c>
      <c r="U1491" s="9">
        <f>L1491*in_ticket+M1491*d_rep_ticket</f>
        <v/>
      </c>
      <c r="V1491" s="9">
        <f>U1491+T1491*d_topup_amt</f>
        <v/>
      </c>
      <c r="W1491" s="40">
        <f>N1491+T1491*d_topup_ratio</f>
        <v/>
      </c>
      <c r="X1491" s="40">
        <f>SUMIFS(W1481:W1506,B1481:B1506,B1491-in_dpd_lag)*d_cured</f>
        <v/>
      </c>
      <c r="Y1491" s="40">
        <f>SUMIFS(W1481:W1506,B1481:B1506,B1491-in_rec_lag)*d_recd</f>
        <v/>
      </c>
      <c r="Z1491" s="40">
        <f>IF(AND(B1491&gt;=in_marketplace_from,B1491&lt;in_marketplace_from+in_card_months),in_card_share/in_card_months*F1491*I1491,IF(AND(B1491&gt;=in_marketplace_from+in_card_months,B1491&lt;in_marketplace_from+2*in_card_months),in_card_share*d_card_rem/in_card_months*F1491*MIN(in_takeup_cap,(1+in_takeup_growth)^(D1491-1))*MIN(in_takeup_cap,(1+in_approval_growth)^(D1491-1)),0))</f>
        <v/>
      </c>
      <c r="AA1491" s="14">
        <f>V1491*in_fee*(1-in_taken_back)</f>
        <v/>
      </c>
      <c r="AB1491" s="14">
        <f>SUMIFS(W1481:W1506,B1481:B1506,B1491-in_dpd_lag)*d_dpd</f>
        <v/>
      </c>
      <c r="AC1491" s="14">
        <f>SUMIFS(W1481:W1506,B1481:B1506,B1491-in_rec_lag)*d_rec</f>
        <v/>
      </c>
      <c r="AD1491" s="14">
        <f>Z1491*in_card_fee</f>
        <v/>
      </c>
      <c r="AE1491" s="40">
        <f>AE1490*(1-IF(B1490&gt;=in_marketplace_from,d_hz_hlth_small*G1490,0))</f>
        <v/>
      </c>
      <c r="AF1491" s="46">
        <f>AE1491*IF(B1491&gt;=in_marketplace_from,d_hz_hlth_small*G1491,0)</f>
        <v/>
      </c>
      <c r="AG1491" s="14">
        <f>F1491*AF1491*in_hlth_small_ticket*in_hlth_small_comm*in_ins_partner_share+F1491*in_hlth_small_ticket*in_hlth_small_renew_comm*in_ins_partner_share*(in_hlth_small_renew^1*SUMIFS(AF1481:AF1506,B1481:B1506,B1491-12)+in_hlth_small_renew^2*SUMIFS(AF1481:AF1506,B1481:B1506,B1491-24)+in_hlth_small_renew^3*SUMIFS(AF1481:AF1506,B1481:B1506,B1491-36)+in_hlth_small_renew^4*SUMIFS(AF1481:AF1506,B1481:B1506,B1491-48))</f>
        <v/>
      </c>
      <c r="AH1491" s="40">
        <f>AH1490*(1-IF(B1490&gt;=in_marketplace_from,d_hz_hlth_family*G1490,0))</f>
        <v/>
      </c>
      <c r="AI1491" s="46">
        <f>AH1491*IF(B1491&gt;=in_marketplace_from,d_hz_hlth_family*G1491,0)</f>
        <v/>
      </c>
      <c r="AJ1491" s="14">
        <f>F1491*AI1491*in_hlth_family_ticket*in_hlth_family_comm*in_ins_partner_share+F1491*in_hlth_family_ticket*in_hlth_family_renew_comm*in_ins_partner_share*(in_hlth_family_renew^1*SUMIFS(AI1481:AI1506,B1481:B1506,B1491-12)+in_hlth_family_renew^2*SUMIFS(AI1481:AI1506,B1481:B1506,B1491-24)+in_hlth_family_renew^3*SUMIFS(AI1481:AI1506,B1481:B1506,B1491-36)+in_hlth_family_renew^4*SUMIFS(AI1481:AI1506,B1481:B1506,B1491-48))</f>
        <v/>
      </c>
      <c r="AK1491" s="40">
        <f>AK1490*(1-IF(B1490&gt;=in_marketplace_from,d_hz_life_term*G1490,0))</f>
        <v/>
      </c>
      <c r="AL1491" s="46">
        <f>AK1491*IF(B1491&gt;=in_marketplace_from,d_hz_life_term*G1491,0)</f>
        <v/>
      </c>
      <c r="AM1491" s="14">
        <f>F1491*AL1491*in_life_term_ticket*in_life_term_comm*in_ins_partner_share+F1491*in_life_term_ticket*in_life_term_renew_comm*in_ins_partner_share*(in_life_term_renew^1*SUMIFS(AL1481:AL1506,B1481:B1506,B1491-12)+in_life_term_renew^2*SUMIFS(AL1481:AL1506,B1481:B1506,B1491-24)+in_life_term_renew^3*SUMIFS(AL1481:AL1506,B1481:B1506,B1491-36)+in_life_term_renew^4*SUMIFS(AL1481:AL1506,B1481:B1506,B1491-48))</f>
        <v/>
      </c>
      <c r="AN1491" s="40">
        <f>AN1490*(1-IF(B1490&gt;=in_marketplace_from,d_hz_accident*G1490,0))</f>
        <v/>
      </c>
      <c r="AO1491" s="46">
        <f>AN1491*IF(B1491&gt;=in_marketplace_from,d_hz_accident*G1491,0)</f>
        <v/>
      </c>
      <c r="AP1491" s="14">
        <f>F1491*AO1491*in_accident_ticket*in_accident_comm*in_ins_partner_share+F1491*in_accident_ticket*in_accident_renew_comm*in_ins_partner_share*(in_accident_renew^1*SUMIFS(AO1481:AO1506,B1481:B1506,B1491-12)+in_accident_renew^2*SUMIFS(AO1481:AO1506,B1481:B1506,B1491-24)+in_accident_renew^3*SUMIFS(AO1481:AO1506,B1481:B1506,B1491-36)+in_accident_renew^4*SUMIFS(AO1481:AO1506,B1481:B1506,B1491-48))</f>
        <v/>
      </c>
      <c r="AQ1491" s="40">
        <f>AQ1490*(1-IF(B1490&gt;=in_marketplace_from,d_hz_two_wheeler*G1490,0))</f>
        <v/>
      </c>
      <c r="AR1491" s="46">
        <f>AQ1491*IF(B1491&gt;=in_marketplace_from,d_hz_two_wheeler*G1491,0)</f>
        <v/>
      </c>
      <c r="AS1491" s="14">
        <f>F1491*AR1491*in_two_wheeler_ticket*in_two_wheeler_comm*in_ins_partner_share+F1491*in_two_wheeler_ticket*in_two_wheeler_comm*in_ins_partner_share*(in_two_wheeler_renew^1*SUMIFS(AR1481:AR1506,B1481:B1506,B1491-12)+in_two_wheeler_renew^2*SUMIFS(AR1481:AR1506,B1481:B1506,B1491-24)+in_two_wheeler_renew^3*SUMIFS(AR1481:AR1506,B1481:B1506,B1491-36)+in_two_wheeler_renew^4*SUMIFS(AR1481:AR1506,B1481:B1506,B1491-48))</f>
        <v/>
      </c>
      <c r="AT1491" s="40">
        <f>AT1490*(1-IF(B1490&gt;=in_marketplace_from,d_hz_device*G1490,0))</f>
        <v/>
      </c>
      <c r="AU1491" s="14">
        <f>F1491*AT1491*IF(B1491&gt;=in_marketplace_from,d_hz_device*G1491,0)*in_device_ticket*in_device_comm*in_ins_partner_share</f>
        <v/>
      </c>
      <c r="AV1491" s="40">
        <f>AV1490*(1-IF(B1490&gt;=in_marketplace_from,d_hz_shop*G1490,0))</f>
        <v/>
      </c>
      <c r="AW1491" s="46">
        <f>AV1491*IF(B1491&gt;=in_marketplace_from,d_hz_shop*G1491,0)</f>
        <v/>
      </c>
      <c r="AX1491" s="14">
        <f>F1491*AW1491*in_shop_ticket*in_shop_comm*in_ins_partner_share+F1491*in_shop_ticket*in_shop_renew_comm*in_ins_partner_share*(in_shop_renew^1*SUMIFS(AW1481:AW1506,B1481:B1506,B1491-12)+in_shop_renew^2*SUMIFS(AW1481:AW1506,B1481:B1506,B1491-24)+in_shop_renew^3*SUMIFS(AW1481:AW1506,B1481:B1506,B1491-36)+in_shop_renew^4*SUMIFS(AW1481:AW1506,B1481:B1506,B1491-48))</f>
        <v/>
      </c>
      <c r="AY1491" s="40">
        <f>AY1490*(1-IF(B1490&gt;=in_marketplace_from,d_hz_sip*G1490,0))</f>
        <v/>
      </c>
      <c r="AZ1491" s="40">
        <f>AZ1490*d_rho_sip+AY1491*IF(B1491&gt;=in_marketplace_from,d_hz_sip*G1491,0)</f>
        <v/>
      </c>
      <c r="BA1491" s="40">
        <f>d_rho_sip*(BA1490+AZ1490)</f>
        <v/>
      </c>
      <c r="BB1491" s="14">
        <f>F1491*in_sip_ticket*(BA1491+0.5*AZ1491)*in_sip_comm/12</f>
        <v/>
      </c>
      <c r="BC1491" s="40">
        <f>BC1490*(1-IF(B1490&gt;=in_marketplace_from,d_hz_choti*G1490,0))</f>
        <v/>
      </c>
      <c r="BD1491" s="46">
        <f>BC1491*IF(B1491&gt;=in_marketplace_from,d_hz_choti*G1491,0)</f>
        <v/>
      </c>
      <c r="BE1491" s="14">
        <f>F1491*SUMIFS(BD1481:BD1506,B1481:B1506,B1491-in_choti_months)*in_choti_renew*in_choti_ticket</f>
        <v/>
      </c>
      <c r="BF1491" s="40">
        <f>BF1490*(1-IF(B1490&gt;=in_marketplace_from,d_hz_nps*G1490,0))</f>
        <v/>
      </c>
      <c r="BG1491" s="14">
        <f>F1491*BF1491*IF(B1491&gt;=in_marketplace_from,d_hz_nps*G1491,0)*in_nps_ticket*in_nps_comm</f>
        <v/>
      </c>
      <c r="BH1491" s="40">
        <f>BH1490*(1-IF(B1490&gt;=in_marketplace_from,d_hz_gold*G1490,0))</f>
        <v/>
      </c>
      <c r="BI1491" s="40">
        <f>BI1490*d_rho_gold+BH1491*IF(B1491&gt;=in_marketplace_from,d_hz_gold*G1491,0)</f>
        <v/>
      </c>
      <c r="BJ1491" s="14">
        <f>F1491*BI1491*in_gold_ticket*in_gold_comm</f>
        <v/>
      </c>
      <c r="BK1491" s="40">
        <f>BK1490*(1-IF(B1490&gt;=in_marketplace_from,d_hz_fd*G1490,0))</f>
        <v/>
      </c>
      <c r="BL1491" s="14">
        <f>F1491*BK1491*IF(B1491&gt;=in_marketplace_from,d_hz_fd*G1491,0)*in_fd_ticket*in_fd_comm</f>
        <v/>
      </c>
      <c r="BM1491" s="40">
        <f>BM1490*(1-IF(B1490&gt;=in_marketplace_from,d_hz_recharge*G1490,0))</f>
        <v/>
      </c>
      <c r="BN1491" s="40">
        <f>BN1490*d_rho_recharge+BM1491*IF(B1491&gt;=in_marketplace_from,d_hz_recharge*G1491,0)</f>
        <v/>
      </c>
      <c r="BO1491" s="14">
        <f>F1491*BN1491*in_recharge_ticket*in_recharge_comm/12</f>
        <v/>
      </c>
      <c r="BP1491" s="40">
        <f>BP1490*(1-IF(B1490&gt;=in_marketplace_from,d_hz_bills*G1490,0))</f>
        <v/>
      </c>
      <c r="BQ1491" s="40">
        <f>BQ1490*d_rho_bills+BP1491*IF(B1491&gt;=in_marketplace_from,d_hz_bills*G1491,0)</f>
        <v/>
      </c>
      <c r="BR1491" s="14">
        <f>F1491*BQ1491*in_bills_ticket*in_bills_comm/12</f>
        <v/>
      </c>
      <c r="BS1491" s="40">
        <f>BS1490*(1-IF(B1490&gt;=in_marketplace_from,d_hz_loan_gold*G1490,0))</f>
        <v/>
      </c>
      <c r="BT1491" s="14">
        <f>F1491*BS1491*IF(B1491&gt;=in_marketplace_from,d_hz_loan_gold*G1491,0)*in_loan_gold_ticket*in_loan_gold_comm</f>
        <v/>
      </c>
      <c r="BU1491" s="40">
        <f>BU1490*(1-IF(B1490&gt;=in_marketplace_from,d_hz_loan_cd*G1490,0))</f>
        <v/>
      </c>
      <c r="BV1491" s="14">
        <f>F1491*BU1491*IF(B1491&gt;=in_marketplace_from,d_hz_loan_cd*G1491,0)*in_loan_cd_ticket*in_loan_cd_comm</f>
        <v/>
      </c>
      <c r="BW1491" s="40">
        <f>BW1490*(1-IF(B1490&gt;=in_marketplace_from,d_hz_loan_vehicle*G1490,0))</f>
        <v/>
      </c>
      <c r="BX1491" s="14">
        <f>F1491*BW1491*IF(B1491&gt;=in_marketplace_from,d_hz_loan_vehicle*G1491,0)*in_loan_vehicle_ticket*in_loan_vehicle_comm</f>
        <v/>
      </c>
      <c r="BY1491" s="40">
        <f>BY1490*(1-IF(B1490&gt;=in_marketplace_from,d_hz_loan_home*G1490,0)*BZ1490)</f>
        <v/>
      </c>
      <c r="BZ1491" s="11">
        <f>MIN(in_approval_cap,in_loan_home_approval*INDEX('Age profile'!$O$2:$O$61,B1491)*(1+in_approval_growth)^(D1491-1))</f>
        <v/>
      </c>
      <c r="CA1491" s="14">
        <f>F1491*BY1491*IF(B1491&gt;=in_marketplace_from,d_hz_loan_home*G1491,0)*BZ1491*in_loan_home_ticket*in_loan_home_comm</f>
        <v/>
      </c>
      <c r="CB1491" s="40">
        <f>CB1490*(1-IF(B1490&gt;=in_marketplace_from,d_hz_loan_lap*G1490,0)*CC1490)</f>
        <v/>
      </c>
      <c r="CC1491" s="11">
        <f>MIN(in_approval_cap,in_loan_lap_approval*INDEX('Age profile'!$O$2:$O$61,B1491)*(1+in_approval_growth)^(D1491-1))</f>
        <v/>
      </c>
      <c r="CD1491" s="14">
        <f>F1491*CB1491*IF(B1491&gt;=in_marketplace_from,d_hz_loan_lap*G1491,0)*CC1491*in_loan_lap_ticket*in_loan_lap_comm</f>
        <v/>
      </c>
      <c r="CE1491" s="14">
        <f>AA1491+AB1491+AC1491+AD1491+AG1491+AJ1491+AM1491+AP1491+AS1491+AU1491+AX1491+BB1491+BE1491+BG1491+BJ1491+BL1491+BO1491+BR1491+BT1491+BV1491+BX1491+CA1491+CD1491</f>
        <v/>
      </c>
    </row>
    <row r="1492">
      <c r="A1492" s="39" t="n">
        <v>35</v>
      </c>
      <c r="B1492" s="39" t="n">
        <v>12</v>
      </c>
      <c r="C1492" s="39">
        <f>A1492+B1492-1</f>
        <v/>
      </c>
      <c r="D1492" s="39">
        <f>INT((C1492-1)/12)+1</f>
        <v/>
      </c>
      <c r="E1492" s="44">
        <f>INDEX(Monthly!$B$2:$B$61,A1492)</f>
        <v/>
      </c>
      <c r="F1492" s="44">
        <f>E1492*INDEX('Age profile'!$B$2:$B$61,B1492)</f>
        <v/>
      </c>
      <c r="G1492" s="45">
        <f>MIN(in_takeup_cap,INDEX('Age profile'!$N$2:$N$61,B1492)*(1+in_takeup_growth)^(D1492-1))</f>
        <v/>
      </c>
      <c r="H1492" s="11">
        <f>MIN(in_approval_cap,in_approved_first*INDEX('Age profile'!$O$2:$O$61,B1492)*(1+in_approval_growth)^(D1492-1))</f>
        <v/>
      </c>
      <c r="I1492" s="45">
        <f>G1492*MIN(in_takeup_cap,INDEX('Age profile'!$O$2:$O$61,B1492)*(1+in_approval_growth)^(D1492-1))</f>
        <v/>
      </c>
      <c r="J1492" s="40">
        <f>(J1491-L1491)*F1492/F1491</f>
        <v/>
      </c>
      <c r="K1492" s="40">
        <f>(K1491-M1491)*F1492/F1491+SUMIFS(O1481:O1491,B1481:B1491,B1492-1-d_T)*F1492</f>
        <v/>
      </c>
      <c r="L1492" s="40">
        <f>IF(B1492&gt;=in_marketplace_from,J1492*d_hz*G1492*in_eligible*H1492,0)</f>
        <v/>
      </c>
      <c r="M1492" s="40">
        <f>IF(B1492&gt;=in_marketplace_from,K1492*d_hz*G1492*in_eligible*in_approved_repeat,0)</f>
        <v/>
      </c>
      <c r="N1492" s="40">
        <f>L1492+M1492</f>
        <v/>
      </c>
      <c r="O1492" s="46">
        <f>N1492/F1492</f>
        <v/>
      </c>
      <c r="P1492" s="40">
        <f>F1492-J1492-K1492</f>
        <v/>
      </c>
      <c r="Q1492" s="40">
        <f>IF(B1492&gt;=in_marketplace_from,(J1492+K1492)*d_hz*G1492,0)</f>
        <v/>
      </c>
      <c r="R1492" s="40">
        <f>SUMIFS(N1481:N1506,B1481:B1506,"&gt;="&amp;(B1492-d_T),B1481:B1506,"&lt;="&amp;(B1492-1))</f>
        <v/>
      </c>
      <c r="S1492" s="46">
        <f>(1-d_u)*S1491+IF(d_T&gt;in_topup_lag,SUMIFS(O1481:O1506,B1481:B1506,B1492-in_topup_lag)-d_udrop*SUMIFS(O1481:O1506,B1481:B1506,B1492-d_T),0)</f>
        <v/>
      </c>
      <c r="T1492" s="40">
        <f>F1492*d_u*S1492</f>
        <v/>
      </c>
      <c r="U1492" s="9">
        <f>L1492*in_ticket+M1492*d_rep_ticket</f>
        <v/>
      </c>
      <c r="V1492" s="9">
        <f>U1492+T1492*d_topup_amt</f>
        <v/>
      </c>
      <c r="W1492" s="40">
        <f>N1492+T1492*d_topup_ratio</f>
        <v/>
      </c>
      <c r="X1492" s="40">
        <f>SUMIFS(W1481:W1506,B1481:B1506,B1492-in_dpd_lag)*d_cured</f>
        <v/>
      </c>
      <c r="Y1492" s="40">
        <f>SUMIFS(W1481:W1506,B1481:B1506,B1492-in_rec_lag)*d_recd</f>
        <v/>
      </c>
      <c r="Z1492" s="40">
        <f>IF(AND(B1492&gt;=in_marketplace_from,B1492&lt;in_marketplace_from+in_card_months),in_card_share/in_card_months*F1492*I1492,IF(AND(B1492&gt;=in_marketplace_from+in_card_months,B1492&lt;in_marketplace_from+2*in_card_months),in_card_share*d_card_rem/in_card_months*F1492*MIN(in_takeup_cap,(1+in_takeup_growth)^(D1492-1))*MIN(in_takeup_cap,(1+in_approval_growth)^(D1492-1)),0))</f>
        <v/>
      </c>
      <c r="AA1492" s="14">
        <f>V1492*in_fee*(1-in_taken_back)</f>
        <v/>
      </c>
      <c r="AB1492" s="14">
        <f>SUMIFS(W1481:W1506,B1481:B1506,B1492-in_dpd_lag)*d_dpd</f>
        <v/>
      </c>
      <c r="AC1492" s="14">
        <f>SUMIFS(W1481:W1506,B1481:B1506,B1492-in_rec_lag)*d_rec</f>
        <v/>
      </c>
      <c r="AD1492" s="14">
        <f>Z1492*in_card_fee</f>
        <v/>
      </c>
      <c r="AE1492" s="40">
        <f>AE1491*(1-IF(B1491&gt;=in_marketplace_from,d_hz_hlth_small*G1491,0))</f>
        <v/>
      </c>
      <c r="AF1492" s="46">
        <f>AE1492*IF(B1492&gt;=in_marketplace_from,d_hz_hlth_small*G1492,0)</f>
        <v/>
      </c>
      <c r="AG1492" s="14">
        <f>F1492*AF1492*in_hlth_small_ticket*in_hlth_small_comm*in_ins_partner_share+F1492*in_hlth_small_ticket*in_hlth_small_renew_comm*in_ins_partner_share*(in_hlth_small_renew^1*SUMIFS(AF1481:AF1506,B1481:B1506,B1492-12)+in_hlth_small_renew^2*SUMIFS(AF1481:AF1506,B1481:B1506,B1492-24)+in_hlth_small_renew^3*SUMIFS(AF1481:AF1506,B1481:B1506,B1492-36)+in_hlth_small_renew^4*SUMIFS(AF1481:AF1506,B1481:B1506,B1492-48))</f>
        <v/>
      </c>
      <c r="AH1492" s="40">
        <f>AH1491*(1-IF(B1491&gt;=in_marketplace_from,d_hz_hlth_family*G1491,0))</f>
        <v/>
      </c>
      <c r="AI1492" s="46">
        <f>AH1492*IF(B1492&gt;=in_marketplace_from,d_hz_hlth_family*G1492,0)</f>
        <v/>
      </c>
      <c r="AJ1492" s="14">
        <f>F1492*AI1492*in_hlth_family_ticket*in_hlth_family_comm*in_ins_partner_share+F1492*in_hlth_family_ticket*in_hlth_family_renew_comm*in_ins_partner_share*(in_hlth_family_renew^1*SUMIFS(AI1481:AI1506,B1481:B1506,B1492-12)+in_hlth_family_renew^2*SUMIFS(AI1481:AI1506,B1481:B1506,B1492-24)+in_hlth_family_renew^3*SUMIFS(AI1481:AI1506,B1481:B1506,B1492-36)+in_hlth_family_renew^4*SUMIFS(AI1481:AI1506,B1481:B1506,B1492-48))</f>
        <v/>
      </c>
      <c r="AK1492" s="40">
        <f>AK1491*(1-IF(B1491&gt;=in_marketplace_from,d_hz_life_term*G1491,0))</f>
        <v/>
      </c>
      <c r="AL1492" s="46">
        <f>AK1492*IF(B1492&gt;=in_marketplace_from,d_hz_life_term*G1492,0)</f>
        <v/>
      </c>
      <c r="AM1492" s="14">
        <f>F1492*AL1492*in_life_term_ticket*in_life_term_comm*in_ins_partner_share+F1492*in_life_term_ticket*in_life_term_renew_comm*in_ins_partner_share*(in_life_term_renew^1*SUMIFS(AL1481:AL1506,B1481:B1506,B1492-12)+in_life_term_renew^2*SUMIFS(AL1481:AL1506,B1481:B1506,B1492-24)+in_life_term_renew^3*SUMIFS(AL1481:AL1506,B1481:B1506,B1492-36)+in_life_term_renew^4*SUMIFS(AL1481:AL1506,B1481:B1506,B1492-48))</f>
        <v/>
      </c>
      <c r="AN1492" s="40">
        <f>AN1491*(1-IF(B1491&gt;=in_marketplace_from,d_hz_accident*G1491,0))</f>
        <v/>
      </c>
      <c r="AO1492" s="46">
        <f>AN1492*IF(B1492&gt;=in_marketplace_from,d_hz_accident*G1492,0)</f>
        <v/>
      </c>
      <c r="AP1492" s="14">
        <f>F1492*AO1492*in_accident_ticket*in_accident_comm*in_ins_partner_share+F1492*in_accident_ticket*in_accident_renew_comm*in_ins_partner_share*(in_accident_renew^1*SUMIFS(AO1481:AO1506,B1481:B1506,B1492-12)+in_accident_renew^2*SUMIFS(AO1481:AO1506,B1481:B1506,B1492-24)+in_accident_renew^3*SUMIFS(AO1481:AO1506,B1481:B1506,B1492-36)+in_accident_renew^4*SUMIFS(AO1481:AO1506,B1481:B1506,B1492-48))</f>
        <v/>
      </c>
      <c r="AQ1492" s="40">
        <f>AQ1491*(1-IF(B1491&gt;=in_marketplace_from,d_hz_two_wheeler*G1491,0))</f>
        <v/>
      </c>
      <c r="AR1492" s="46">
        <f>AQ1492*IF(B1492&gt;=in_marketplace_from,d_hz_two_wheeler*G1492,0)</f>
        <v/>
      </c>
      <c r="AS1492" s="14">
        <f>F1492*AR1492*in_two_wheeler_ticket*in_two_wheeler_comm*in_ins_partner_share+F1492*in_two_wheeler_ticket*in_two_wheeler_comm*in_ins_partner_share*(in_two_wheeler_renew^1*SUMIFS(AR1481:AR1506,B1481:B1506,B1492-12)+in_two_wheeler_renew^2*SUMIFS(AR1481:AR1506,B1481:B1506,B1492-24)+in_two_wheeler_renew^3*SUMIFS(AR1481:AR1506,B1481:B1506,B1492-36)+in_two_wheeler_renew^4*SUMIFS(AR1481:AR1506,B1481:B1506,B1492-48))</f>
        <v/>
      </c>
      <c r="AT1492" s="40">
        <f>AT1491*(1-IF(B1491&gt;=in_marketplace_from,d_hz_device*G1491,0))</f>
        <v/>
      </c>
      <c r="AU1492" s="14">
        <f>F1492*AT1492*IF(B1492&gt;=in_marketplace_from,d_hz_device*G1492,0)*in_device_ticket*in_device_comm*in_ins_partner_share</f>
        <v/>
      </c>
      <c r="AV1492" s="40">
        <f>AV1491*(1-IF(B1491&gt;=in_marketplace_from,d_hz_shop*G1491,0))</f>
        <v/>
      </c>
      <c r="AW1492" s="46">
        <f>AV1492*IF(B1492&gt;=in_marketplace_from,d_hz_shop*G1492,0)</f>
        <v/>
      </c>
      <c r="AX1492" s="14">
        <f>F1492*AW1492*in_shop_ticket*in_shop_comm*in_ins_partner_share+F1492*in_shop_ticket*in_shop_renew_comm*in_ins_partner_share*(in_shop_renew^1*SUMIFS(AW1481:AW1506,B1481:B1506,B1492-12)+in_shop_renew^2*SUMIFS(AW1481:AW1506,B1481:B1506,B1492-24)+in_shop_renew^3*SUMIFS(AW1481:AW1506,B1481:B1506,B1492-36)+in_shop_renew^4*SUMIFS(AW1481:AW1506,B1481:B1506,B1492-48))</f>
        <v/>
      </c>
      <c r="AY1492" s="40">
        <f>AY1491*(1-IF(B1491&gt;=in_marketplace_from,d_hz_sip*G1491,0))</f>
        <v/>
      </c>
      <c r="AZ1492" s="40">
        <f>AZ1491*d_rho_sip+AY1492*IF(B1492&gt;=in_marketplace_from,d_hz_sip*G1492,0)</f>
        <v/>
      </c>
      <c r="BA1492" s="40">
        <f>d_rho_sip*(BA1491+AZ1491)</f>
        <v/>
      </c>
      <c r="BB1492" s="14">
        <f>F1492*in_sip_ticket*(BA1492+0.5*AZ1492)*in_sip_comm/12</f>
        <v/>
      </c>
      <c r="BC1492" s="40">
        <f>BC1491*(1-IF(B1491&gt;=in_marketplace_from,d_hz_choti*G1491,0))</f>
        <v/>
      </c>
      <c r="BD1492" s="46">
        <f>BC1492*IF(B1492&gt;=in_marketplace_from,d_hz_choti*G1492,0)</f>
        <v/>
      </c>
      <c r="BE1492" s="14">
        <f>F1492*SUMIFS(BD1481:BD1506,B1481:B1506,B1492-in_choti_months)*in_choti_renew*in_choti_ticket</f>
        <v/>
      </c>
      <c r="BF1492" s="40">
        <f>BF1491*(1-IF(B1491&gt;=in_marketplace_from,d_hz_nps*G1491,0))</f>
        <v/>
      </c>
      <c r="BG1492" s="14">
        <f>F1492*BF1492*IF(B1492&gt;=in_marketplace_from,d_hz_nps*G1492,0)*in_nps_ticket*in_nps_comm</f>
        <v/>
      </c>
      <c r="BH1492" s="40">
        <f>BH1491*(1-IF(B1491&gt;=in_marketplace_from,d_hz_gold*G1491,0))</f>
        <v/>
      </c>
      <c r="BI1492" s="40">
        <f>BI1491*d_rho_gold+BH1492*IF(B1492&gt;=in_marketplace_from,d_hz_gold*G1492,0)</f>
        <v/>
      </c>
      <c r="BJ1492" s="14">
        <f>F1492*BI1492*in_gold_ticket*in_gold_comm</f>
        <v/>
      </c>
      <c r="BK1492" s="40">
        <f>BK1491*(1-IF(B1491&gt;=in_marketplace_from,d_hz_fd*G1491,0))</f>
        <v/>
      </c>
      <c r="BL1492" s="14">
        <f>F1492*BK1492*IF(B1492&gt;=in_marketplace_from,d_hz_fd*G1492,0)*in_fd_ticket*in_fd_comm</f>
        <v/>
      </c>
      <c r="BM1492" s="40">
        <f>BM1491*(1-IF(B1491&gt;=in_marketplace_from,d_hz_recharge*G1491,0))</f>
        <v/>
      </c>
      <c r="BN1492" s="40">
        <f>BN1491*d_rho_recharge+BM1492*IF(B1492&gt;=in_marketplace_from,d_hz_recharge*G1492,0)</f>
        <v/>
      </c>
      <c r="BO1492" s="14">
        <f>F1492*BN1492*in_recharge_ticket*in_recharge_comm/12</f>
        <v/>
      </c>
      <c r="BP1492" s="40">
        <f>BP1491*(1-IF(B1491&gt;=in_marketplace_from,d_hz_bills*G1491,0))</f>
        <v/>
      </c>
      <c r="BQ1492" s="40">
        <f>BQ1491*d_rho_bills+BP1492*IF(B1492&gt;=in_marketplace_from,d_hz_bills*G1492,0)</f>
        <v/>
      </c>
      <c r="BR1492" s="14">
        <f>F1492*BQ1492*in_bills_ticket*in_bills_comm/12</f>
        <v/>
      </c>
      <c r="BS1492" s="40">
        <f>BS1491*(1-IF(B1491&gt;=in_marketplace_from,d_hz_loan_gold*G1491,0))</f>
        <v/>
      </c>
      <c r="BT1492" s="14">
        <f>F1492*BS1492*IF(B1492&gt;=in_marketplace_from,d_hz_loan_gold*G1492,0)*in_loan_gold_ticket*in_loan_gold_comm</f>
        <v/>
      </c>
      <c r="BU1492" s="40">
        <f>BU1491*(1-IF(B1491&gt;=in_marketplace_from,d_hz_loan_cd*G1491,0))</f>
        <v/>
      </c>
      <c r="BV1492" s="14">
        <f>F1492*BU1492*IF(B1492&gt;=in_marketplace_from,d_hz_loan_cd*G1492,0)*in_loan_cd_ticket*in_loan_cd_comm</f>
        <v/>
      </c>
      <c r="BW1492" s="40">
        <f>BW1491*(1-IF(B1491&gt;=in_marketplace_from,d_hz_loan_vehicle*G1491,0))</f>
        <v/>
      </c>
      <c r="BX1492" s="14">
        <f>F1492*BW1492*IF(B1492&gt;=in_marketplace_from,d_hz_loan_vehicle*G1492,0)*in_loan_vehicle_ticket*in_loan_vehicle_comm</f>
        <v/>
      </c>
      <c r="BY1492" s="40">
        <f>BY1491*(1-IF(B1491&gt;=in_marketplace_from,d_hz_loan_home*G1491,0)*BZ1491)</f>
        <v/>
      </c>
      <c r="BZ1492" s="11">
        <f>MIN(in_approval_cap,in_loan_home_approval*INDEX('Age profile'!$O$2:$O$61,B1492)*(1+in_approval_growth)^(D1492-1))</f>
        <v/>
      </c>
      <c r="CA1492" s="14">
        <f>F1492*BY1492*IF(B1492&gt;=in_marketplace_from,d_hz_loan_home*G1492,0)*BZ1492*in_loan_home_ticket*in_loan_home_comm</f>
        <v/>
      </c>
      <c r="CB1492" s="40">
        <f>CB1491*(1-IF(B1491&gt;=in_marketplace_from,d_hz_loan_lap*G1491,0)*CC1491)</f>
        <v/>
      </c>
      <c r="CC1492" s="11">
        <f>MIN(in_approval_cap,in_loan_lap_approval*INDEX('Age profile'!$O$2:$O$61,B1492)*(1+in_approval_growth)^(D1492-1))</f>
        <v/>
      </c>
      <c r="CD1492" s="14">
        <f>F1492*CB1492*IF(B1492&gt;=in_marketplace_from,d_hz_loan_lap*G1492,0)*CC1492*in_loan_lap_ticket*in_loan_lap_comm</f>
        <v/>
      </c>
      <c r="CE1492" s="14">
        <f>AA1492+AB1492+AC1492+AD1492+AG1492+AJ1492+AM1492+AP1492+AS1492+AU1492+AX1492+BB1492+BE1492+BG1492+BJ1492+BL1492+BO1492+BR1492+BT1492+BV1492+BX1492+CA1492+CD1492</f>
        <v/>
      </c>
    </row>
    <row r="1493">
      <c r="A1493" s="39" t="n">
        <v>35</v>
      </c>
      <c r="B1493" s="39" t="n">
        <v>13</v>
      </c>
      <c r="C1493" s="39">
        <f>A1493+B1493-1</f>
        <v/>
      </c>
      <c r="D1493" s="39">
        <f>INT((C1493-1)/12)+1</f>
        <v/>
      </c>
      <c r="E1493" s="44">
        <f>INDEX(Monthly!$B$2:$B$61,A1493)</f>
        <v/>
      </c>
      <c r="F1493" s="44">
        <f>E1493*INDEX('Age profile'!$B$2:$B$61,B1493)</f>
        <v/>
      </c>
      <c r="G1493" s="45">
        <f>MIN(in_takeup_cap,INDEX('Age profile'!$N$2:$N$61,B1493)*(1+in_takeup_growth)^(D1493-1))</f>
        <v/>
      </c>
      <c r="H1493" s="11">
        <f>MIN(in_approval_cap,in_approved_first*INDEX('Age profile'!$O$2:$O$61,B1493)*(1+in_approval_growth)^(D1493-1))</f>
        <v/>
      </c>
      <c r="I1493" s="45">
        <f>G1493*MIN(in_takeup_cap,INDEX('Age profile'!$O$2:$O$61,B1493)*(1+in_approval_growth)^(D1493-1))</f>
        <v/>
      </c>
      <c r="J1493" s="40">
        <f>(J1492-L1492)*F1493/F1492</f>
        <v/>
      </c>
      <c r="K1493" s="40">
        <f>(K1492-M1492)*F1493/F1492+SUMIFS(O1481:O1492,B1481:B1492,B1493-1-d_T)*F1493</f>
        <v/>
      </c>
      <c r="L1493" s="40">
        <f>IF(B1493&gt;=in_marketplace_from,J1493*d_hz*G1493*in_eligible*H1493,0)</f>
        <v/>
      </c>
      <c r="M1493" s="40">
        <f>IF(B1493&gt;=in_marketplace_from,K1493*d_hz*G1493*in_eligible*in_approved_repeat,0)</f>
        <v/>
      </c>
      <c r="N1493" s="40">
        <f>L1493+M1493</f>
        <v/>
      </c>
      <c r="O1493" s="46">
        <f>N1493/F1493</f>
        <v/>
      </c>
      <c r="P1493" s="40">
        <f>F1493-J1493-K1493</f>
        <v/>
      </c>
      <c r="Q1493" s="40">
        <f>IF(B1493&gt;=in_marketplace_from,(J1493+K1493)*d_hz*G1493,0)</f>
        <v/>
      </c>
      <c r="R1493" s="40">
        <f>SUMIFS(N1481:N1506,B1481:B1506,"&gt;="&amp;(B1493-d_T),B1481:B1506,"&lt;="&amp;(B1493-1))</f>
        <v/>
      </c>
      <c r="S1493" s="46">
        <f>(1-d_u)*S1492+IF(d_T&gt;in_topup_lag,SUMIFS(O1481:O1506,B1481:B1506,B1493-in_topup_lag)-d_udrop*SUMIFS(O1481:O1506,B1481:B1506,B1493-d_T),0)</f>
        <v/>
      </c>
      <c r="T1493" s="40">
        <f>F1493*d_u*S1493</f>
        <v/>
      </c>
      <c r="U1493" s="9">
        <f>L1493*in_ticket+M1493*d_rep_ticket</f>
        <v/>
      </c>
      <c r="V1493" s="9">
        <f>U1493+T1493*d_topup_amt</f>
        <v/>
      </c>
      <c r="W1493" s="40">
        <f>N1493+T1493*d_topup_ratio</f>
        <v/>
      </c>
      <c r="X1493" s="40">
        <f>SUMIFS(W1481:W1506,B1481:B1506,B1493-in_dpd_lag)*d_cured</f>
        <v/>
      </c>
      <c r="Y1493" s="40">
        <f>SUMIFS(W1481:W1506,B1481:B1506,B1493-in_rec_lag)*d_recd</f>
        <v/>
      </c>
      <c r="Z1493" s="40">
        <f>IF(AND(B1493&gt;=in_marketplace_from,B1493&lt;in_marketplace_from+in_card_months),in_card_share/in_card_months*F1493*I1493,IF(AND(B1493&gt;=in_marketplace_from+in_card_months,B1493&lt;in_marketplace_from+2*in_card_months),in_card_share*d_card_rem/in_card_months*F1493*MIN(in_takeup_cap,(1+in_takeup_growth)^(D1493-1))*MIN(in_takeup_cap,(1+in_approval_growth)^(D1493-1)),0))</f>
        <v/>
      </c>
      <c r="AA1493" s="14">
        <f>V1493*in_fee*(1-in_taken_back)</f>
        <v/>
      </c>
      <c r="AB1493" s="14">
        <f>SUMIFS(W1481:W1506,B1481:B1506,B1493-in_dpd_lag)*d_dpd</f>
        <v/>
      </c>
      <c r="AC1493" s="14">
        <f>SUMIFS(W1481:W1506,B1481:B1506,B1493-in_rec_lag)*d_rec</f>
        <v/>
      </c>
      <c r="AD1493" s="14">
        <f>Z1493*in_card_fee</f>
        <v/>
      </c>
      <c r="AE1493" s="40">
        <f>AE1492*(1-IF(B1492&gt;=in_marketplace_from,d_hz_hlth_small*G1492,0))</f>
        <v/>
      </c>
      <c r="AF1493" s="46">
        <f>AE1493*IF(B1493&gt;=in_marketplace_from,d_hz_hlth_small*G1493,0)</f>
        <v/>
      </c>
      <c r="AG1493" s="14">
        <f>F1493*AF1493*in_hlth_small_ticket*in_hlth_small_comm*in_ins_partner_share+F1493*in_hlth_small_ticket*in_hlth_small_renew_comm*in_ins_partner_share*(in_hlth_small_renew^1*SUMIFS(AF1481:AF1506,B1481:B1506,B1493-12)+in_hlth_small_renew^2*SUMIFS(AF1481:AF1506,B1481:B1506,B1493-24)+in_hlth_small_renew^3*SUMIFS(AF1481:AF1506,B1481:B1506,B1493-36)+in_hlth_small_renew^4*SUMIFS(AF1481:AF1506,B1481:B1506,B1493-48))</f>
        <v/>
      </c>
      <c r="AH1493" s="40">
        <f>AH1492*(1-IF(B1492&gt;=in_marketplace_from,d_hz_hlth_family*G1492,0))</f>
        <v/>
      </c>
      <c r="AI1493" s="46">
        <f>AH1493*IF(B1493&gt;=in_marketplace_from,d_hz_hlth_family*G1493,0)</f>
        <v/>
      </c>
      <c r="AJ1493" s="14">
        <f>F1493*AI1493*in_hlth_family_ticket*in_hlth_family_comm*in_ins_partner_share+F1493*in_hlth_family_ticket*in_hlth_family_renew_comm*in_ins_partner_share*(in_hlth_family_renew^1*SUMIFS(AI1481:AI1506,B1481:B1506,B1493-12)+in_hlth_family_renew^2*SUMIFS(AI1481:AI1506,B1481:B1506,B1493-24)+in_hlth_family_renew^3*SUMIFS(AI1481:AI1506,B1481:B1506,B1493-36)+in_hlth_family_renew^4*SUMIFS(AI1481:AI1506,B1481:B1506,B1493-48))</f>
        <v/>
      </c>
      <c r="AK1493" s="40">
        <f>AK1492*(1-IF(B1492&gt;=in_marketplace_from,d_hz_life_term*G1492,0))</f>
        <v/>
      </c>
      <c r="AL1493" s="46">
        <f>AK1493*IF(B1493&gt;=in_marketplace_from,d_hz_life_term*G1493,0)</f>
        <v/>
      </c>
      <c r="AM1493" s="14">
        <f>F1493*AL1493*in_life_term_ticket*in_life_term_comm*in_ins_partner_share+F1493*in_life_term_ticket*in_life_term_renew_comm*in_ins_partner_share*(in_life_term_renew^1*SUMIFS(AL1481:AL1506,B1481:B1506,B1493-12)+in_life_term_renew^2*SUMIFS(AL1481:AL1506,B1481:B1506,B1493-24)+in_life_term_renew^3*SUMIFS(AL1481:AL1506,B1481:B1506,B1493-36)+in_life_term_renew^4*SUMIFS(AL1481:AL1506,B1481:B1506,B1493-48))</f>
        <v/>
      </c>
      <c r="AN1493" s="40">
        <f>AN1492*(1-IF(B1492&gt;=in_marketplace_from,d_hz_accident*G1492,0))</f>
        <v/>
      </c>
      <c r="AO1493" s="46">
        <f>AN1493*IF(B1493&gt;=in_marketplace_from,d_hz_accident*G1493,0)</f>
        <v/>
      </c>
      <c r="AP1493" s="14">
        <f>F1493*AO1493*in_accident_ticket*in_accident_comm*in_ins_partner_share+F1493*in_accident_ticket*in_accident_renew_comm*in_ins_partner_share*(in_accident_renew^1*SUMIFS(AO1481:AO1506,B1481:B1506,B1493-12)+in_accident_renew^2*SUMIFS(AO1481:AO1506,B1481:B1506,B1493-24)+in_accident_renew^3*SUMIFS(AO1481:AO1506,B1481:B1506,B1493-36)+in_accident_renew^4*SUMIFS(AO1481:AO1506,B1481:B1506,B1493-48))</f>
        <v/>
      </c>
      <c r="AQ1493" s="40">
        <f>AQ1492*(1-IF(B1492&gt;=in_marketplace_from,d_hz_two_wheeler*G1492,0))</f>
        <v/>
      </c>
      <c r="AR1493" s="46">
        <f>AQ1493*IF(B1493&gt;=in_marketplace_from,d_hz_two_wheeler*G1493,0)</f>
        <v/>
      </c>
      <c r="AS1493" s="14">
        <f>F1493*AR1493*in_two_wheeler_ticket*in_two_wheeler_comm*in_ins_partner_share+F1493*in_two_wheeler_ticket*in_two_wheeler_comm*in_ins_partner_share*(in_two_wheeler_renew^1*SUMIFS(AR1481:AR1506,B1481:B1506,B1493-12)+in_two_wheeler_renew^2*SUMIFS(AR1481:AR1506,B1481:B1506,B1493-24)+in_two_wheeler_renew^3*SUMIFS(AR1481:AR1506,B1481:B1506,B1493-36)+in_two_wheeler_renew^4*SUMIFS(AR1481:AR1506,B1481:B1506,B1493-48))</f>
        <v/>
      </c>
      <c r="AT1493" s="40">
        <f>AT1492*(1-IF(B1492&gt;=in_marketplace_from,d_hz_device*G1492,0))</f>
        <v/>
      </c>
      <c r="AU1493" s="14">
        <f>F1493*AT1493*IF(B1493&gt;=in_marketplace_from,d_hz_device*G1493,0)*in_device_ticket*in_device_comm*in_ins_partner_share</f>
        <v/>
      </c>
      <c r="AV1493" s="40">
        <f>AV1492*(1-IF(B1492&gt;=in_marketplace_from,d_hz_shop*G1492,0))</f>
        <v/>
      </c>
      <c r="AW1493" s="46">
        <f>AV1493*IF(B1493&gt;=in_marketplace_from,d_hz_shop*G1493,0)</f>
        <v/>
      </c>
      <c r="AX1493" s="14">
        <f>F1493*AW1493*in_shop_ticket*in_shop_comm*in_ins_partner_share+F1493*in_shop_ticket*in_shop_renew_comm*in_ins_partner_share*(in_shop_renew^1*SUMIFS(AW1481:AW1506,B1481:B1506,B1493-12)+in_shop_renew^2*SUMIFS(AW1481:AW1506,B1481:B1506,B1493-24)+in_shop_renew^3*SUMIFS(AW1481:AW1506,B1481:B1506,B1493-36)+in_shop_renew^4*SUMIFS(AW1481:AW1506,B1481:B1506,B1493-48))</f>
        <v/>
      </c>
      <c r="AY1493" s="40">
        <f>AY1492*(1-IF(B1492&gt;=in_marketplace_from,d_hz_sip*G1492,0))</f>
        <v/>
      </c>
      <c r="AZ1493" s="40">
        <f>AZ1492*d_rho_sip+AY1493*IF(B1493&gt;=in_marketplace_from,d_hz_sip*G1493,0)</f>
        <v/>
      </c>
      <c r="BA1493" s="40">
        <f>d_rho_sip*(BA1492+AZ1492)</f>
        <v/>
      </c>
      <c r="BB1493" s="14">
        <f>F1493*in_sip_ticket*(BA1493+0.5*AZ1493)*in_sip_comm/12</f>
        <v/>
      </c>
      <c r="BC1493" s="40">
        <f>BC1492*(1-IF(B1492&gt;=in_marketplace_from,d_hz_choti*G1492,0))</f>
        <v/>
      </c>
      <c r="BD1493" s="46">
        <f>BC1493*IF(B1493&gt;=in_marketplace_from,d_hz_choti*G1493,0)</f>
        <v/>
      </c>
      <c r="BE1493" s="14">
        <f>F1493*SUMIFS(BD1481:BD1506,B1481:B1506,B1493-in_choti_months)*in_choti_renew*in_choti_ticket</f>
        <v/>
      </c>
      <c r="BF1493" s="40">
        <f>BF1492*(1-IF(B1492&gt;=in_marketplace_from,d_hz_nps*G1492,0))</f>
        <v/>
      </c>
      <c r="BG1493" s="14">
        <f>F1493*BF1493*IF(B1493&gt;=in_marketplace_from,d_hz_nps*G1493,0)*in_nps_ticket*in_nps_comm</f>
        <v/>
      </c>
      <c r="BH1493" s="40">
        <f>BH1492*(1-IF(B1492&gt;=in_marketplace_from,d_hz_gold*G1492,0))</f>
        <v/>
      </c>
      <c r="BI1493" s="40">
        <f>BI1492*d_rho_gold+BH1493*IF(B1493&gt;=in_marketplace_from,d_hz_gold*G1493,0)</f>
        <v/>
      </c>
      <c r="BJ1493" s="14">
        <f>F1493*BI1493*in_gold_ticket*in_gold_comm</f>
        <v/>
      </c>
      <c r="BK1493" s="40">
        <f>BK1492*(1-IF(B1492&gt;=in_marketplace_from,d_hz_fd*G1492,0))</f>
        <v/>
      </c>
      <c r="BL1493" s="14">
        <f>F1493*BK1493*IF(B1493&gt;=in_marketplace_from,d_hz_fd*G1493,0)*in_fd_ticket*in_fd_comm</f>
        <v/>
      </c>
      <c r="BM1493" s="40">
        <f>BM1492*(1-IF(B1492&gt;=in_marketplace_from,d_hz_recharge*G1492,0))</f>
        <v/>
      </c>
      <c r="BN1493" s="40">
        <f>BN1492*d_rho_recharge+BM1493*IF(B1493&gt;=in_marketplace_from,d_hz_recharge*G1493,0)</f>
        <v/>
      </c>
      <c r="BO1493" s="14">
        <f>F1493*BN1493*in_recharge_ticket*in_recharge_comm/12</f>
        <v/>
      </c>
      <c r="BP1493" s="40">
        <f>BP1492*(1-IF(B1492&gt;=in_marketplace_from,d_hz_bills*G1492,0))</f>
        <v/>
      </c>
      <c r="BQ1493" s="40">
        <f>BQ1492*d_rho_bills+BP1493*IF(B1493&gt;=in_marketplace_from,d_hz_bills*G1493,0)</f>
        <v/>
      </c>
      <c r="BR1493" s="14">
        <f>F1493*BQ1493*in_bills_ticket*in_bills_comm/12</f>
        <v/>
      </c>
      <c r="BS1493" s="40">
        <f>BS1492*(1-IF(B1492&gt;=in_marketplace_from,d_hz_loan_gold*G1492,0))</f>
        <v/>
      </c>
      <c r="BT1493" s="14">
        <f>F1493*BS1493*IF(B1493&gt;=in_marketplace_from,d_hz_loan_gold*G1493,0)*in_loan_gold_ticket*in_loan_gold_comm</f>
        <v/>
      </c>
      <c r="BU1493" s="40">
        <f>BU1492*(1-IF(B1492&gt;=in_marketplace_from,d_hz_loan_cd*G1492,0))</f>
        <v/>
      </c>
      <c r="BV1493" s="14">
        <f>F1493*BU1493*IF(B1493&gt;=in_marketplace_from,d_hz_loan_cd*G1493,0)*in_loan_cd_ticket*in_loan_cd_comm</f>
        <v/>
      </c>
      <c r="BW1493" s="40">
        <f>BW1492*(1-IF(B1492&gt;=in_marketplace_from,d_hz_loan_vehicle*G1492,0))</f>
        <v/>
      </c>
      <c r="BX1493" s="14">
        <f>F1493*BW1493*IF(B1493&gt;=in_marketplace_from,d_hz_loan_vehicle*G1493,0)*in_loan_vehicle_ticket*in_loan_vehicle_comm</f>
        <v/>
      </c>
      <c r="BY1493" s="40">
        <f>BY1492*(1-IF(B1492&gt;=in_marketplace_from,d_hz_loan_home*G1492,0)*BZ1492)</f>
        <v/>
      </c>
      <c r="BZ1493" s="11">
        <f>MIN(in_approval_cap,in_loan_home_approval*INDEX('Age profile'!$O$2:$O$61,B1493)*(1+in_approval_growth)^(D1493-1))</f>
        <v/>
      </c>
      <c r="CA1493" s="14">
        <f>F1493*BY1493*IF(B1493&gt;=in_marketplace_from,d_hz_loan_home*G1493,0)*BZ1493*in_loan_home_ticket*in_loan_home_comm</f>
        <v/>
      </c>
      <c r="CB1493" s="40">
        <f>CB1492*(1-IF(B1492&gt;=in_marketplace_from,d_hz_loan_lap*G1492,0)*CC1492)</f>
        <v/>
      </c>
      <c r="CC1493" s="11">
        <f>MIN(in_approval_cap,in_loan_lap_approval*INDEX('Age profile'!$O$2:$O$61,B1493)*(1+in_approval_growth)^(D1493-1))</f>
        <v/>
      </c>
      <c r="CD1493" s="14">
        <f>F1493*CB1493*IF(B1493&gt;=in_marketplace_from,d_hz_loan_lap*G1493,0)*CC1493*in_loan_lap_ticket*in_loan_lap_comm</f>
        <v/>
      </c>
      <c r="CE1493" s="14">
        <f>AA1493+AB1493+AC1493+AD1493+AG1493+AJ1493+AM1493+AP1493+AS1493+AU1493+AX1493+BB1493+BE1493+BG1493+BJ1493+BL1493+BO1493+BR1493+BT1493+BV1493+BX1493+CA1493+CD1493</f>
        <v/>
      </c>
    </row>
    <row r="1494">
      <c r="A1494" s="39" t="n">
        <v>35</v>
      </c>
      <c r="B1494" s="39" t="n">
        <v>14</v>
      </c>
      <c r="C1494" s="39">
        <f>A1494+B1494-1</f>
        <v/>
      </c>
      <c r="D1494" s="39">
        <f>INT((C1494-1)/12)+1</f>
        <v/>
      </c>
      <c r="E1494" s="44">
        <f>INDEX(Monthly!$B$2:$B$61,A1494)</f>
        <v/>
      </c>
      <c r="F1494" s="44">
        <f>E1494*INDEX('Age profile'!$B$2:$B$61,B1494)</f>
        <v/>
      </c>
      <c r="G1494" s="45">
        <f>MIN(in_takeup_cap,INDEX('Age profile'!$N$2:$N$61,B1494)*(1+in_takeup_growth)^(D1494-1))</f>
        <v/>
      </c>
      <c r="H1494" s="11">
        <f>MIN(in_approval_cap,in_approved_first*INDEX('Age profile'!$O$2:$O$61,B1494)*(1+in_approval_growth)^(D1494-1))</f>
        <v/>
      </c>
      <c r="I1494" s="45">
        <f>G1494*MIN(in_takeup_cap,INDEX('Age profile'!$O$2:$O$61,B1494)*(1+in_approval_growth)^(D1494-1))</f>
        <v/>
      </c>
      <c r="J1494" s="40">
        <f>(J1493-L1493)*F1494/F1493</f>
        <v/>
      </c>
      <c r="K1494" s="40">
        <f>(K1493-M1493)*F1494/F1493+SUMIFS(O1481:O1493,B1481:B1493,B1494-1-d_T)*F1494</f>
        <v/>
      </c>
      <c r="L1494" s="40">
        <f>IF(B1494&gt;=in_marketplace_from,J1494*d_hz*G1494*in_eligible*H1494,0)</f>
        <v/>
      </c>
      <c r="M1494" s="40">
        <f>IF(B1494&gt;=in_marketplace_from,K1494*d_hz*G1494*in_eligible*in_approved_repeat,0)</f>
        <v/>
      </c>
      <c r="N1494" s="40">
        <f>L1494+M1494</f>
        <v/>
      </c>
      <c r="O1494" s="46">
        <f>N1494/F1494</f>
        <v/>
      </c>
      <c r="P1494" s="40">
        <f>F1494-J1494-K1494</f>
        <v/>
      </c>
      <c r="Q1494" s="40">
        <f>IF(B1494&gt;=in_marketplace_from,(J1494+K1494)*d_hz*G1494,0)</f>
        <v/>
      </c>
      <c r="R1494" s="40">
        <f>SUMIFS(N1481:N1506,B1481:B1506,"&gt;="&amp;(B1494-d_T),B1481:B1506,"&lt;="&amp;(B1494-1))</f>
        <v/>
      </c>
      <c r="S1494" s="46">
        <f>(1-d_u)*S1493+IF(d_T&gt;in_topup_lag,SUMIFS(O1481:O1506,B1481:B1506,B1494-in_topup_lag)-d_udrop*SUMIFS(O1481:O1506,B1481:B1506,B1494-d_T),0)</f>
        <v/>
      </c>
      <c r="T1494" s="40">
        <f>F1494*d_u*S1494</f>
        <v/>
      </c>
      <c r="U1494" s="9">
        <f>L1494*in_ticket+M1494*d_rep_ticket</f>
        <v/>
      </c>
      <c r="V1494" s="9">
        <f>U1494+T1494*d_topup_amt</f>
        <v/>
      </c>
      <c r="W1494" s="40">
        <f>N1494+T1494*d_topup_ratio</f>
        <v/>
      </c>
      <c r="X1494" s="40">
        <f>SUMIFS(W1481:W1506,B1481:B1506,B1494-in_dpd_lag)*d_cured</f>
        <v/>
      </c>
      <c r="Y1494" s="40">
        <f>SUMIFS(W1481:W1506,B1481:B1506,B1494-in_rec_lag)*d_recd</f>
        <v/>
      </c>
      <c r="Z1494" s="40">
        <f>IF(AND(B1494&gt;=in_marketplace_from,B1494&lt;in_marketplace_from+in_card_months),in_card_share/in_card_months*F1494*I1494,IF(AND(B1494&gt;=in_marketplace_from+in_card_months,B1494&lt;in_marketplace_from+2*in_card_months),in_card_share*d_card_rem/in_card_months*F1494*MIN(in_takeup_cap,(1+in_takeup_growth)^(D1494-1))*MIN(in_takeup_cap,(1+in_approval_growth)^(D1494-1)),0))</f>
        <v/>
      </c>
      <c r="AA1494" s="14">
        <f>V1494*in_fee*(1-in_taken_back)</f>
        <v/>
      </c>
      <c r="AB1494" s="14">
        <f>SUMIFS(W1481:W1506,B1481:B1506,B1494-in_dpd_lag)*d_dpd</f>
        <v/>
      </c>
      <c r="AC1494" s="14">
        <f>SUMIFS(W1481:W1506,B1481:B1506,B1494-in_rec_lag)*d_rec</f>
        <v/>
      </c>
      <c r="AD1494" s="14">
        <f>Z1494*in_card_fee</f>
        <v/>
      </c>
      <c r="AE1494" s="40">
        <f>AE1493*(1-IF(B1493&gt;=in_marketplace_from,d_hz_hlth_small*G1493,0))</f>
        <v/>
      </c>
      <c r="AF1494" s="46">
        <f>AE1494*IF(B1494&gt;=in_marketplace_from,d_hz_hlth_small*G1494,0)</f>
        <v/>
      </c>
      <c r="AG1494" s="14">
        <f>F1494*AF1494*in_hlth_small_ticket*in_hlth_small_comm*in_ins_partner_share+F1494*in_hlth_small_ticket*in_hlth_small_renew_comm*in_ins_partner_share*(in_hlth_small_renew^1*SUMIFS(AF1481:AF1506,B1481:B1506,B1494-12)+in_hlth_small_renew^2*SUMIFS(AF1481:AF1506,B1481:B1506,B1494-24)+in_hlth_small_renew^3*SUMIFS(AF1481:AF1506,B1481:B1506,B1494-36)+in_hlth_small_renew^4*SUMIFS(AF1481:AF1506,B1481:B1506,B1494-48))</f>
        <v/>
      </c>
      <c r="AH1494" s="40">
        <f>AH1493*(1-IF(B1493&gt;=in_marketplace_from,d_hz_hlth_family*G1493,0))</f>
        <v/>
      </c>
      <c r="AI1494" s="46">
        <f>AH1494*IF(B1494&gt;=in_marketplace_from,d_hz_hlth_family*G1494,0)</f>
        <v/>
      </c>
      <c r="AJ1494" s="14">
        <f>F1494*AI1494*in_hlth_family_ticket*in_hlth_family_comm*in_ins_partner_share+F1494*in_hlth_family_ticket*in_hlth_family_renew_comm*in_ins_partner_share*(in_hlth_family_renew^1*SUMIFS(AI1481:AI1506,B1481:B1506,B1494-12)+in_hlth_family_renew^2*SUMIFS(AI1481:AI1506,B1481:B1506,B1494-24)+in_hlth_family_renew^3*SUMIFS(AI1481:AI1506,B1481:B1506,B1494-36)+in_hlth_family_renew^4*SUMIFS(AI1481:AI1506,B1481:B1506,B1494-48))</f>
        <v/>
      </c>
      <c r="AK1494" s="40">
        <f>AK1493*(1-IF(B1493&gt;=in_marketplace_from,d_hz_life_term*G1493,0))</f>
        <v/>
      </c>
      <c r="AL1494" s="46">
        <f>AK1494*IF(B1494&gt;=in_marketplace_from,d_hz_life_term*G1494,0)</f>
        <v/>
      </c>
      <c r="AM1494" s="14">
        <f>F1494*AL1494*in_life_term_ticket*in_life_term_comm*in_ins_partner_share+F1494*in_life_term_ticket*in_life_term_renew_comm*in_ins_partner_share*(in_life_term_renew^1*SUMIFS(AL1481:AL1506,B1481:B1506,B1494-12)+in_life_term_renew^2*SUMIFS(AL1481:AL1506,B1481:B1506,B1494-24)+in_life_term_renew^3*SUMIFS(AL1481:AL1506,B1481:B1506,B1494-36)+in_life_term_renew^4*SUMIFS(AL1481:AL1506,B1481:B1506,B1494-48))</f>
        <v/>
      </c>
      <c r="AN1494" s="40">
        <f>AN1493*(1-IF(B1493&gt;=in_marketplace_from,d_hz_accident*G1493,0))</f>
        <v/>
      </c>
      <c r="AO1494" s="46">
        <f>AN1494*IF(B1494&gt;=in_marketplace_from,d_hz_accident*G1494,0)</f>
        <v/>
      </c>
      <c r="AP1494" s="14">
        <f>F1494*AO1494*in_accident_ticket*in_accident_comm*in_ins_partner_share+F1494*in_accident_ticket*in_accident_renew_comm*in_ins_partner_share*(in_accident_renew^1*SUMIFS(AO1481:AO1506,B1481:B1506,B1494-12)+in_accident_renew^2*SUMIFS(AO1481:AO1506,B1481:B1506,B1494-24)+in_accident_renew^3*SUMIFS(AO1481:AO1506,B1481:B1506,B1494-36)+in_accident_renew^4*SUMIFS(AO1481:AO1506,B1481:B1506,B1494-48))</f>
        <v/>
      </c>
      <c r="AQ1494" s="40">
        <f>AQ1493*(1-IF(B1493&gt;=in_marketplace_from,d_hz_two_wheeler*G1493,0))</f>
        <v/>
      </c>
      <c r="AR1494" s="46">
        <f>AQ1494*IF(B1494&gt;=in_marketplace_from,d_hz_two_wheeler*G1494,0)</f>
        <v/>
      </c>
      <c r="AS1494" s="14">
        <f>F1494*AR1494*in_two_wheeler_ticket*in_two_wheeler_comm*in_ins_partner_share+F1494*in_two_wheeler_ticket*in_two_wheeler_comm*in_ins_partner_share*(in_two_wheeler_renew^1*SUMIFS(AR1481:AR1506,B1481:B1506,B1494-12)+in_two_wheeler_renew^2*SUMIFS(AR1481:AR1506,B1481:B1506,B1494-24)+in_two_wheeler_renew^3*SUMIFS(AR1481:AR1506,B1481:B1506,B1494-36)+in_two_wheeler_renew^4*SUMIFS(AR1481:AR1506,B1481:B1506,B1494-48))</f>
        <v/>
      </c>
      <c r="AT1494" s="40">
        <f>AT1493*(1-IF(B1493&gt;=in_marketplace_from,d_hz_device*G1493,0))</f>
        <v/>
      </c>
      <c r="AU1494" s="14">
        <f>F1494*AT1494*IF(B1494&gt;=in_marketplace_from,d_hz_device*G1494,0)*in_device_ticket*in_device_comm*in_ins_partner_share</f>
        <v/>
      </c>
      <c r="AV1494" s="40">
        <f>AV1493*(1-IF(B1493&gt;=in_marketplace_from,d_hz_shop*G1493,0))</f>
        <v/>
      </c>
      <c r="AW1494" s="46">
        <f>AV1494*IF(B1494&gt;=in_marketplace_from,d_hz_shop*G1494,0)</f>
        <v/>
      </c>
      <c r="AX1494" s="14">
        <f>F1494*AW1494*in_shop_ticket*in_shop_comm*in_ins_partner_share+F1494*in_shop_ticket*in_shop_renew_comm*in_ins_partner_share*(in_shop_renew^1*SUMIFS(AW1481:AW1506,B1481:B1506,B1494-12)+in_shop_renew^2*SUMIFS(AW1481:AW1506,B1481:B1506,B1494-24)+in_shop_renew^3*SUMIFS(AW1481:AW1506,B1481:B1506,B1494-36)+in_shop_renew^4*SUMIFS(AW1481:AW1506,B1481:B1506,B1494-48))</f>
        <v/>
      </c>
      <c r="AY1494" s="40">
        <f>AY1493*(1-IF(B1493&gt;=in_marketplace_from,d_hz_sip*G1493,0))</f>
        <v/>
      </c>
      <c r="AZ1494" s="40">
        <f>AZ1493*d_rho_sip+AY1494*IF(B1494&gt;=in_marketplace_from,d_hz_sip*G1494,0)</f>
        <v/>
      </c>
      <c r="BA1494" s="40">
        <f>d_rho_sip*(BA1493+AZ1493)</f>
        <v/>
      </c>
      <c r="BB1494" s="14">
        <f>F1494*in_sip_ticket*(BA1494+0.5*AZ1494)*in_sip_comm/12</f>
        <v/>
      </c>
      <c r="BC1494" s="40">
        <f>BC1493*(1-IF(B1493&gt;=in_marketplace_from,d_hz_choti*G1493,0))</f>
        <v/>
      </c>
      <c r="BD1494" s="46">
        <f>BC1494*IF(B1494&gt;=in_marketplace_from,d_hz_choti*G1494,0)</f>
        <v/>
      </c>
      <c r="BE1494" s="14">
        <f>F1494*SUMIFS(BD1481:BD1506,B1481:B1506,B1494-in_choti_months)*in_choti_renew*in_choti_ticket</f>
        <v/>
      </c>
      <c r="BF1494" s="40">
        <f>BF1493*(1-IF(B1493&gt;=in_marketplace_from,d_hz_nps*G1493,0))</f>
        <v/>
      </c>
      <c r="BG1494" s="14">
        <f>F1494*BF1494*IF(B1494&gt;=in_marketplace_from,d_hz_nps*G1494,0)*in_nps_ticket*in_nps_comm</f>
        <v/>
      </c>
      <c r="BH1494" s="40">
        <f>BH1493*(1-IF(B1493&gt;=in_marketplace_from,d_hz_gold*G1493,0))</f>
        <v/>
      </c>
      <c r="BI1494" s="40">
        <f>BI1493*d_rho_gold+BH1494*IF(B1494&gt;=in_marketplace_from,d_hz_gold*G1494,0)</f>
        <v/>
      </c>
      <c r="BJ1494" s="14">
        <f>F1494*BI1494*in_gold_ticket*in_gold_comm</f>
        <v/>
      </c>
      <c r="BK1494" s="40">
        <f>BK1493*(1-IF(B1493&gt;=in_marketplace_from,d_hz_fd*G1493,0))</f>
        <v/>
      </c>
      <c r="BL1494" s="14">
        <f>F1494*BK1494*IF(B1494&gt;=in_marketplace_from,d_hz_fd*G1494,0)*in_fd_ticket*in_fd_comm</f>
        <v/>
      </c>
      <c r="BM1494" s="40">
        <f>BM1493*(1-IF(B1493&gt;=in_marketplace_from,d_hz_recharge*G1493,0))</f>
        <v/>
      </c>
      <c r="BN1494" s="40">
        <f>BN1493*d_rho_recharge+BM1494*IF(B1494&gt;=in_marketplace_from,d_hz_recharge*G1494,0)</f>
        <v/>
      </c>
      <c r="BO1494" s="14">
        <f>F1494*BN1494*in_recharge_ticket*in_recharge_comm/12</f>
        <v/>
      </c>
      <c r="BP1494" s="40">
        <f>BP1493*(1-IF(B1493&gt;=in_marketplace_from,d_hz_bills*G1493,0))</f>
        <v/>
      </c>
      <c r="BQ1494" s="40">
        <f>BQ1493*d_rho_bills+BP1494*IF(B1494&gt;=in_marketplace_from,d_hz_bills*G1494,0)</f>
        <v/>
      </c>
      <c r="BR1494" s="14">
        <f>F1494*BQ1494*in_bills_ticket*in_bills_comm/12</f>
        <v/>
      </c>
      <c r="BS1494" s="40">
        <f>BS1493*(1-IF(B1493&gt;=in_marketplace_from,d_hz_loan_gold*G1493,0))</f>
        <v/>
      </c>
      <c r="BT1494" s="14">
        <f>F1494*BS1494*IF(B1494&gt;=in_marketplace_from,d_hz_loan_gold*G1494,0)*in_loan_gold_ticket*in_loan_gold_comm</f>
        <v/>
      </c>
      <c r="BU1494" s="40">
        <f>BU1493*(1-IF(B1493&gt;=in_marketplace_from,d_hz_loan_cd*G1493,0))</f>
        <v/>
      </c>
      <c r="BV1494" s="14">
        <f>F1494*BU1494*IF(B1494&gt;=in_marketplace_from,d_hz_loan_cd*G1494,0)*in_loan_cd_ticket*in_loan_cd_comm</f>
        <v/>
      </c>
      <c r="BW1494" s="40">
        <f>BW1493*(1-IF(B1493&gt;=in_marketplace_from,d_hz_loan_vehicle*G1493,0))</f>
        <v/>
      </c>
      <c r="BX1494" s="14">
        <f>F1494*BW1494*IF(B1494&gt;=in_marketplace_from,d_hz_loan_vehicle*G1494,0)*in_loan_vehicle_ticket*in_loan_vehicle_comm</f>
        <v/>
      </c>
      <c r="BY1494" s="40">
        <f>BY1493*(1-IF(B1493&gt;=in_marketplace_from,d_hz_loan_home*G1493,0)*BZ1493)</f>
        <v/>
      </c>
      <c r="BZ1494" s="11">
        <f>MIN(in_approval_cap,in_loan_home_approval*INDEX('Age profile'!$O$2:$O$61,B1494)*(1+in_approval_growth)^(D1494-1))</f>
        <v/>
      </c>
      <c r="CA1494" s="14">
        <f>F1494*BY1494*IF(B1494&gt;=in_marketplace_from,d_hz_loan_home*G1494,0)*BZ1494*in_loan_home_ticket*in_loan_home_comm</f>
        <v/>
      </c>
      <c r="CB1494" s="40">
        <f>CB1493*(1-IF(B1493&gt;=in_marketplace_from,d_hz_loan_lap*G1493,0)*CC1493)</f>
        <v/>
      </c>
      <c r="CC1494" s="11">
        <f>MIN(in_approval_cap,in_loan_lap_approval*INDEX('Age profile'!$O$2:$O$61,B1494)*(1+in_approval_growth)^(D1494-1))</f>
        <v/>
      </c>
      <c r="CD1494" s="14">
        <f>F1494*CB1494*IF(B1494&gt;=in_marketplace_from,d_hz_loan_lap*G1494,0)*CC1494*in_loan_lap_ticket*in_loan_lap_comm</f>
        <v/>
      </c>
      <c r="CE1494" s="14">
        <f>AA1494+AB1494+AC1494+AD1494+AG1494+AJ1494+AM1494+AP1494+AS1494+AU1494+AX1494+BB1494+BE1494+BG1494+BJ1494+BL1494+BO1494+BR1494+BT1494+BV1494+BX1494+CA1494+CD1494</f>
        <v/>
      </c>
    </row>
    <row r="1495">
      <c r="A1495" s="39" t="n">
        <v>35</v>
      </c>
      <c r="B1495" s="39" t="n">
        <v>15</v>
      </c>
      <c r="C1495" s="39">
        <f>A1495+B1495-1</f>
        <v/>
      </c>
      <c r="D1495" s="39">
        <f>INT((C1495-1)/12)+1</f>
        <v/>
      </c>
      <c r="E1495" s="44">
        <f>INDEX(Monthly!$B$2:$B$61,A1495)</f>
        <v/>
      </c>
      <c r="F1495" s="44">
        <f>E1495*INDEX('Age profile'!$B$2:$B$61,B1495)</f>
        <v/>
      </c>
      <c r="G1495" s="45">
        <f>MIN(in_takeup_cap,INDEX('Age profile'!$N$2:$N$61,B1495)*(1+in_takeup_growth)^(D1495-1))</f>
        <v/>
      </c>
      <c r="H1495" s="11">
        <f>MIN(in_approval_cap,in_approved_first*INDEX('Age profile'!$O$2:$O$61,B1495)*(1+in_approval_growth)^(D1495-1))</f>
        <v/>
      </c>
      <c r="I1495" s="45">
        <f>G1495*MIN(in_takeup_cap,INDEX('Age profile'!$O$2:$O$61,B1495)*(1+in_approval_growth)^(D1495-1))</f>
        <v/>
      </c>
      <c r="J1495" s="40">
        <f>(J1494-L1494)*F1495/F1494</f>
        <v/>
      </c>
      <c r="K1495" s="40">
        <f>(K1494-M1494)*F1495/F1494+SUMIFS(O1481:O1494,B1481:B1494,B1495-1-d_T)*F1495</f>
        <v/>
      </c>
      <c r="L1495" s="40">
        <f>IF(B1495&gt;=in_marketplace_from,J1495*d_hz*G1495*in_eligible*H1495,0)</f>
        <v/>
      </c>
      <c r="M1495" s="40">
        <f>IF(B1495&gt;=in_marketplace_from,K1495*d_hz*G1495*in_eligible*in_approved_repeat,0)</f>
        <v/>
      </c>
      <c r="N1495" s="40">
        <f>L1495+M1495</f>
        <v/>
      </c>
      <c r="O1495" s="46">
        <f>N1495/F1495</f>
        <v/>
      </c>
      <c r="P1495" s="40">
        <f>F1495-J1495-K1495</f>
        <v/>
      </c>
      <c r="Q1495" s="40">
        <f>IF(B1495&gt;=in_marketplace_from,(J1495+K1495)*d_hz*G1495,0)</f>
        <v/>
      </c>
      <c r="R1495" s="40">
        <f>SUMIFS(N1481:N1506,B1481:B1506,"&gt;="&amp;(B1495-d_T),B1481:B1506,"&lt;="&amp;(B1495-1))</f>
        <v/>
      </c>
      <c r="S1495" s="46">
        <f>(1-d_u)*S1494+IF(d_T&gt;in_topup_lag,SUMIFS(O1481:O1506,B1481:B1506,B1495-in_topup_lag)-d_udrop*SUMIFS(O1481:O1506,B1481:B1506,B1495-d_T),0)</f>
        <v/>
      </c>
      <c r="T1495" s="40">
        <f>F1495*d_u*S1495</f>
        <v/>
      </c>
      <c r="U1495" s="9">
        <f>L1495*in_ticket+M1495*d_rep_ticket</f>
        <v/>
      </c>
      <c r="V1495" s="9">
        <f>U1495+T1495*d_topup_amt</f>
        <v/>
      </c>
      <c r="W1495" s="40">
        <f>N1495+T1495*d_topup_ratio</f>
        <v/>
      </c>
      <c r="X1495" s="40">
        <f>SUMIFS(W1481:W1506,B1481:B1506,B1495-in_dpd_lag)*d_cured</f>
        <v/>
      </c>
      <c r="Y1495" s="40">
        <f>SUMIFS(W1481:W1506,B1481:B1506,B1495-in_rec_lag)*d_recd</f>
        <v/>
      </c>
      <c r="Z1495" s="40">
        <f>IF(AND(B1495&gt;=in_marketplace_from,B1495&lt;in_marketplace_from+in_card_months),in_card_share/in_card_months*F1495*I1495,IF(AND(B1495&gt;=in_marketplace_from+in_card_months,B1495&lt;in_marketplace_from+2*in_card_months),in_card_share*d_card_rem/in_card_months*F1495*MIN(in_takeup_cap,(1+in_takeup_growth)^(D1495-1))*MIN(in_takeup_cap,(1+in_approval_growth)^(D1495-1)),0))</f>
        <v/>
      </c>
      <c r="AA1495" s="14">
        <f>V1495*in_fee*(1-in_taken_back)</f>
        <v/>
      </c>
      <c r="AB1495" s="14">
        <f>SUMIFS(W1481:W1506,B1481:B1506,B1495-in_dpd_lag)*d_dpd</f>
        <v/>
      </c>
      <c r="AC1495" s="14">
        <f>SUMIFS(W1481:W1506,B1481:B1506,B1495-in_rec_lag)*d_rec</f>
        <v/>
      </c>
      <c r="AD1495" s="14">
        <f>Z1495*in_card_fee</f>
        <v/>
      </c>
      <c r="AE1495" s="40">
        <f>AE1494*(1-IF(B1494&gt;=in_marketplace_from,d_hz_hlth_small*G1494,0))</f>
        <v/>
      </c>
      <c r="AF1495" s="46">
        <f>AE1495*IF(B1495&gt;=in_marketplace_from,d_hz_hlth_small*G1495,0)</f>
        <v/>
      </c>
      <c r="AG1495" s="14">
        <f>F1495*AF1495*in_hlth_small_ticket*in_hlth_small_comm*in_ins_partner_share+F1495*in_hlth_small_ticket*in_hlth_small_renew_comm*in_ins_partner_share*(in_hlth_small_renew^1*SUMIFS(AF1481:AF1506,B1481:B1506,B1495-12)+in_hlth_small_renew^2*SUMIFS(AF1481:AF1506,B1481:B1506,B1495-24)+in_hlth_small_renew^3*SUMIFS(AF1481:AF1506,B1481:B1506,B1495-36)+in_hlth_small_renew^4*SUMIFS(AF1481:AF1506,B1481:B1506,B1495-48))</f>
        <v/>
      </c>
      <c r="AH1495" s="40">
        <f>AH1494*(1-IF(B1494&gt;=in_marketplace_from,d_hz_hlth_family*G1494,0))</f>
        <v/>
      </c>
      <c r="AI1495" s="46">
        <f>AH1495*IF(B1495&gt;=in_marketplace_from,d_hz_hlth_family*G1495,0)</f>
        <v/>
      </c>
      <c r="AJ1495" s="14">
        <f>F1495*AI1495*in_hlth_family_ticket*in_hlth_family_comm*in_ins_partner_share+F1495*in_hlth_family_ticket*in_hlth_family_renew_comm*in_ins_partner_share*(in_hlth_family_renew^1*SUMIFS(AI1481:AI1506,B1481:B1506,B1495-12)+in_hlth_family_renew^2*SUMIFS(AI1481:AI1506,B1481:B1506,B1495-24)+in_hlth_family_renew^3*SUMIFS(AI1481:AI1506,B1481:B1506,B1495-36)+in_hlth_family_renew^4*SUMIFS(AI1481:AI1506,B1481:B1506,B1495-48))</f>
        <v/>
      </c>
      <c r="AK1495" s="40">
        <f>AK1494*(1-IF(B1494&gt;=in_marketplace_from,d_hz_life_term*G1494,0))</f>
        <v/>
      </c>
      <c r="AL1495" s="46">
        <f>AK1495*IF(B1495&gt;=in_marketplace_from,d_hz_life_term*G1495,0)</f>
        <v/>
      </c>
      <c r="AM1495" s="14">
        <f>F1495*AL1495*in_life_term_ticket*in_life_term_comm*in_ins_partner_share+F1495*in_life_term_ticket*in_life_term_renew_comm*in_ins_partner_share*(in_life_term_renew^1*SUMIFS(AL1481:AL1506,B1481:B1506,B1495-12)+in_life_term_renew^2*SUMIFS(AL1481:AL1506,B1481:B1506,B1495-24)+in_life_term_renew^3*SUMIFS(AL1481:AL1506,B1481:B1506,B1495-36)+in_life_term_renew^4*SUMIFS(AL1481:AL1506,B1481:B1506,B1495-48))</f>
        <v/>
      </c>
      <c r="AN1495" s="40">
        <f>AN1494*(1-IF(B1494&gt;=in_marketplace_from,d_hz_accident*G1494,0))</f>
        <v/>
      </c>
      <c r="AO1495" s="46">
        <f>AN1495*IF(B1495&gt;=in_marketplace_from,d_hz_accident*G1495,0)</f>
        <v/>
      </c>
      <c r="AP1495" s="14">
        <f>F1495*AO1495*in_accident_ticket*in_accident_comm*in_ins_partner_share+F1495*in_accident_ticket*in_accident_renew_comm*in_ins_partner_share*(in_accident_renew^1*SUMIFS(AO1481:AO1506,B1481:B1506,B1495-12)+in_accident_renew^2*SUMIFS(AO1481:AO1506,B1481:B1506,B1495-24)+in_accident_renew^3*SUMIFS(AO1481:AO1506,B1481:B1506,B1495-36)+in_accident_renew^4*SUMIFS(AO1481:AO1506,B1481:B1506,B1495-48))</f>
        <v/>
      </c>
      <c r="AQ1495" s="40">
        <f>AQ1494*(1-IF(B1494&gt;=in_marketplace_from,d_hz_two_wheeler*G1494,0))</f>
        <v/>
      </c>
      <c r="AR1495" s="46">
        <f>AQ1495*IF(B1495&gt;=in_marketplace_from,d_hz_two_wheeler*G1495,0)</f>
        <v/>
      </c>
      <c r="AS1495" s="14">
        <f>F1495*AR1495*in_two_wheeler_ticket*in_two_wheeler_comm*in_ins_partner_share+F1495*in_two_wheeler_ticket*in_two_wheeler_comm*in_ins_partner_share*(in_two_wheeler_renew^1*SUMIFS(AR1481:AR1506,B1481:B1506,B1495-12)+in_two_wheeler_renew^2*SUMIFS(AR1481:AR1506,B1481:B1506,B1495-24)+in_two_wheeler_renew^3*SUMIFS(AR1481:AR1506,B1481:B1506,B1495-36)+in_two_wheeler_renew^4*SUMIFS(AR1481:AR1506,B1481:B1506,B1495-48))</f>
        <v/>
      </c>
      <c r="AT1495" s="40">
        <f>AT1494*(1-IF(B1494&gt;=in_marketplace_from,d_hz_device*G1494,0))</f>
        <v/>
      </c>
      <c r="AU1495" s="14">
        <f>F1495*AT1495*IF(B1495&gt;=in_marketplace_from,d_hz_device*G1495,0)*in_device_ticket*in_device_comm*in_ins_partner_share</f>
        <v/>
      </c>
      <c r="AV1495" s="40">
        <f>AV1494*(1-IF(B1494&gt;=in_marketplace_from,d_hz_shop*G1494,0))</f>
        <v/>
      </c>
      <c r="AW1495" s="46">
        <f>AV1495*IF(B1495&gt;=in_marketplace_from,d_hz_shop*G1495,0)</f>
        <v/>
      </c>
      <c r="AX1495" s="14">
        <f>F1495*AW1495*in_shop_ticket*in_shop_comm*in_ins_partner_share+F1495*in_shop_ticket*in_shop_renew_comm*in_ins_partner_share*(in_shop_renew^1*SUMIFS(AW1481:AW1506,B1481:B1506,B1495-12)+in_shop_renew^2*SUMIFS(AW1481:AW1506,B1481:B1506,B1495-24)+in_shop_renew^3*SUMIFS(AW1481:AW1506,B1481:B1506,B1495-36)+in_shop_renew^4*SUMIFS(AW1481:AW1506,B1481:B1506,B1495-48))</f>
        <v/>
      </c>
      <c r="AY1495" s="40">
        <f>AY1494*(1-IF(B1494&gt;=in_marketplace_from,d_hz_sip*G1494,0))</f>
        <v/>
      </c>
      <c r="AZ1495" s="40">
        <f>AZ1494*d_rho_sip+AY1495*IF(B1495&gt;=in_marketplace_from,d_hz_sip*G1495,0)</f>
        <v/>
      </c>
      <c r="BA1495" s="40">
        <f>d_rho_sip*(BA1494+AZ1494)</f>
        <v/>
      </c>
      <c r="BB1495" s="14">
        <f>F1495*in_sip_ticket*(BA1495+0.5*AZ1495)*in_sip_comm/12</f>
        <v/>
      </c>
      <c r="BC1495" s="40">
        <f>BC1494*(1-IF(B1494&gt;=in_marketplace_from,d_hz_choti*G1494,0))</f>
        <v/>
      </c>
      <c r="BD1495" s="46">
        <f>BC1495*IF(B1495&gt;=in_marketplace_from,d_hz_choti*G1495,0)</f>
        <v/>
      </c>
      <c r="BE1495" s="14">
        <f>F1495*SUMIFS(BD1481:BD1506,B1481:B1506,B1495-in_choti_months)*in_choti_renew*in_choti_ticket</f>
        <v/>
      </c>
      <c r="BF1495" s="40">
        <f>BF1494*(1-IF(B1494&gt;=in_marketplace_from,d_hz_nps*G1494,0))</f>
        <v/>
      </c>
      <c r="BG1495" s="14">
        <f>F1495*BF1495*IF(B1495&gt;=in_marketplace_from,d_hz_nps*G1495,0)*in_nps_ticket*in_nps_comm</f>
        <v/>
      </c>
      <c r="BH1495" s="40">
        <f>BH1494*(1-IF(B1494&gt;=in_marketplace_from,d_hz_gold*G1494,0))</f>
        <v/>
      </c>
      <c r="BI1495" s="40">
        <f>BI1494*d_rho_gold+BH1495*IF(B1495&gt;=in_marketplace_from,d_hz_gold*G1495,0)</f>
        <v/>
      </c>
      <c r="BJ1495" s="14">
        <f>F1495*BI1495*in_gold_ticket*in_gold_comm</f>
        <v/>
      </c>
      <c r="BK1495" s="40">
        <f>BK1494*(1-IF(B1494&gt;=in_marketplace_from,d_hz_fd*G1494,0))</f>
        <v/>
      </c>
      <c r="BL1495" s="14">
        <f>F1495*BK1495*IF(B1495&gt;=in_marketplace_from,d_hz_fd*G1495,0)*in_fd_ticket*in_fd_comm</f>
        <v/>
      </c>
      <c r="BM1495" s="40">
        <f>BM1494*(1-IF(B1494&gt;=in_marketplace_from,d_hz_recharge*G1494,0))</f>
        <v/>
      </c>
      <c r="BN1495" s="40">
        <f>BN1494*d_rho_recharge+BM1495*IF(B1495&gt;=in_marketplace_from,d_hz_recharge*G1495,0)</f>
        <v/>
      </c>
      <c r="BO1495" s="14">
        <f>F1495*BN1495*in_recharge_ticket*in_recharge_comm/12</f>
        <v/>
      </c>
      <c r="BP1495" s="40">
        <f>BP1494*(1-IF(B1494&gt;=in_marketplace_from,d_hz_bills*G1494,0))</f>
        <v/>
      </c>
      <c r="BQ1495" s="40">
        <f>BQ1494*d_rho_bills+BP1495*IF(B1495&gt;=in_marketplace_from,d_hz_bills*G1495,0)</f>
        <v/>
      </c>
      <c r="BR1495" s="14">
        <f>F1495*BQ1495*in_bills_ticket*in_bills_comm/12</f>
        <v/>
      </c>
      <c r="BS1495" s="40">
        <f>BS1494*(1-IF(B1494&gt;=in_marketplace_from,d_hz_loan_gold*G1494,0))</f>
        <v/>
      </c>
      <c r="BT1495" s="14">
        <f>F1495*BS1495*IF(B1495&gt;=in_marketplace_from,d_hz_loan_gold*G1495,0)*in_loan_gold_ticket*in_loan_gold_comm</f>
        <v/>
      </c>
      <c r="BU1495" s="40">
        <f>BU1494*(1-IF(B1494&gt;=in_marketplace_from,d_hz_loan_cd*G1494,0))</f>
        <v/>
      </c>
      <c r="BV1495" s="14">
        <f>F1495*BU1495*IF(B1495&gt;=in_marketplace_from,d_hz_loan_cd*G1495,0)*in_loan_cd_ticket*in_loan_cd_comm</f>
        <v/>
      </c>
      <c r="BW1495" s="40">
        <f>BW1494*(1-IF(B1494&gt;=in_marketplace_from,d_hz_loan_vehicle*G1494,0))</f>
        <v/>
      </c>
      <c r="BX1495" s="14">
        <f>F1495*BW1495*IF(B1495&gt;=in_marketplace_from,d_hz_loan_vehicle*G1495,0)*in_loan_vehicle_ticket*in_loan_vehicle_comm</f>
        <v/>
      </c>
      <c r="BY1495" s="40">
        <f>BY1494*(1-IF(B1494&gt;=in_marketplace_from,d_hz_loan_home*G1494,0)*BZ1494)</f>
        <v/>
      </c>
      <c r="BZ1495" s="11">
        <f>MIN(in_approval_cap,in_loan_home_approval*INDEX('Age profile'!$O$2:$O$61,B1495)*(1+in_approval_growth)^(D1495-1))</f>
        <v/>
      </c>
      <c r="CA1495" s="14">
        <f>F1495*BY1495*IF(B1495&gt;=in_marketplace_from,d_hz_loan_home*G1495,0)*BZ1495*in_loan_home_ticket*in_loan_home_comm</f>
        <v/>
      </c>
      <c r="CB1495" s="40">
        <f>CB1494*(1-IF(B1494&gt;=in_marketplace_from,d_hz_loan_lap*G1494,0)*CC1494)</f>
        <v/>
      </c>
      <c r="CC1495" s="11">
        <f>MIN(in_approval_cap,in_loan_lap_approval*INDEX('Age profile'!$O$2:$O$61,B1495)*(1+in_approval_growth)^(D1495-1))</f>
        <v/>
      </c>
      <c r="CD1495" s="14">
        <f>F1495*CB1495*IF(B1495&gt;=in_marketplace_from,d_hz_loan_lap*G1495,0)*CC1495*in_loan_lap_ticket*in_loan_lap_comm</f>
        <v/>
      </c>
      <c r="CE1495" s="14">
        <f>AA1495+AB1495+AC1495+AD1495+AG1495+AJ1495+AM1495+AP1495+AS1495+AU1495+AX1495+BB1495+BE1495+BG1495+BJ1495+BL1495+BO1495+BR1495+BT1495+BV1495+BX1495+CA1495+CD1495</f>
        <v/>
      </c>
    </row>
    <row r="1496">
      <c r="A1496" s="39" t="n">
        <v>35</v>
      </c>
      <c r="B1496" s="39" t="n">
        <v>16</v>
      </c>
      <c r="C1496" s="39">
        <f>A1496+B1496-1</f>
        <v/>
      </c>
      <c r="D1496" s="39">
        <f>INT((C1496-1)/12)+1</f>
        <v/>
      </c>
      <c r="E1496" s="44">
        <f>INDEX(Monthly!$B$2:$B$61,A1496)</f>
        <v/>
      </c>
      <c r="F1496" s="44">
        <f>E1496*INDEX('Age profile'!$B$2:$B$61,B1496)</f>
        <v/>
      </c>
      <c r="G1496" s="45">
        <f>MIN(in_takeup_cap,INDEX('Age profile'!$N$2:$N$61,B1496)*(1+in_takeup_growth)^(D1496-1))</f>
        <v/>
      </c>
      <c r="H1496" s="11">
        <f>MIN(in_approval_cap,in_approved_first*INDEX('Age profile'!$O$2:$O$61,B1496)*(1+in_approval_growth)^(D1496-1))</f>
        <v/>
      </c>
      <c r="I1496" s="45">
        <f>G1496*MIN(in_takeup_cap,INDEX('Age profile'!$O$2:$O$61,B1496)*(1+in_approval_growth)^(D1496-1))</f>
        <v/>
      </c>
      <c r="J1496" s="40">
        <f>(J1495-L1495)*F1496/F1495</f>
        <v/>
      </c>
      <c r="K1496" s="40">
        <f>(K1495-M1495)*F1496/F1495+SUMIFS(O1481:O1495,B1481:B1495,B1496-1-d_T)*F1496</f>
        <v/>
      </c>
      <c r="L1496" s="40">
        <f>IF(B1496&gt;=in_marketplace_from,J1496*d_hz*G1496*in_eligible*H1496,0)</f>
        <v/>
      </c>
      <c r="M1496" s="40">
        <f>IF(B1496&gt;=in_marketplace_from,K1496*d_hz*G1496*in_eligible*in_approved_repeat,0)</f>
        <v/>
      </c>
      <c r="N1496" s="40">
        <f>L1496+M1496</f>
        <v/>
      </c>
      <c r="O1496" s="46">
        <f>N1496/F1496</f>
        <v/>
      </c>
      <c r="P1496" s="40">
        <f>F1496-J1496-K1496</f>
        <v/>
      </c>
      <c r="Q1496" s="40">
        <f>IF(B1496&gt;=in_marketplace_from,(J1496+K1496)*d_hz*G1496,0)</f>
        <v/>
      </c>
      <c r="R1496" s="40">
        <f>SUMIFS(N1481:N1506,B1481:B1506,"&gt;="&amp;(B1496-d_T),B1481:B1506,"&lt;="&amp;(B1496-1))</f>
        <v/>
      </c>
      <c r="S1496" s="46">
        <f>(1-d_u)*S1495+IF(d_T&gt;in_topup_lag,SUMIFS(O1481:O1506,B1481:B1506,B1496-in_topup_lag)-d_udrop*SUMIFS(O1481:O1506,B1481:B1506,B1496-d_T),0)</f>
        <v/>
      </c>
      <c r="T1496" s="40">
        <f>F1496*d_u*S1496</f>
        <v/>
      </c>
      <c r="U1496" s="9">
        <f>L1496*in_ticket+M1496*d_rep_ticket</f>
        <v/>
      </c>
      <c r="V1496" s="9">
        <f>U1496+T1496*d_topup_amt</f>
        <v/>
      </c>
      <c r="W1496" s="40">
        <f>N1496+T1496*d_topup_ratio</f>
        <v/>
      </c>
      <c r="X1496" s="40">
        <f>SUMIFS(W1481:W1506,B1481:B1506,B1496-in_dpd_lag)*d_cured</f>
        <v/>
      </c>
      <c r="Y1496" s="40">
        <f>SUMIFS(W1481:W1506,B1481:B1506,B1496-in_rec_lag)*d_recd</f>
        <v/>
      </c>
      <c r="Z1496" s="40">
        <f>IF(AND(B1496&gt;=in_marketplace_from,B1496&lt;in_marketplace_from+in_card_months),in_card_share/in_card_months*F1496*I1496,IF(AND(B1496&gt;=in_marketplace_from+in_card_months,B1496&lt;in_marketplace_from+2*in_card_months),in_card_share*d_card_rem/in_card_months*F1496*MIN(in_takeup_cap,(1+in_takeup_growth)^(D1496-1))*MIN(in_takeup_cap,(1+in_approval_growth)^(D1496-1)),0))</f>
        <v/>
      </c>
      <c r="AA1496" s="14">
        <f>V1496*in_fee*(1-in_taken_back)</f>
        <v/>
      </c>
      <c r="AB1496" s="14">
        <f>SUMIFS(W1481:W1506,B1481:B1506,B1496-in_dpd_lag)*d_dpd</f>
        <v/>
      </c>
      <c r="AC1496" s="14">
        <f>SUMIFS(W1481:W1506,B1481:B1506,B1496-in_rec_lag)*d_rec</f>
        <v/>
      </c>
      <c r="AD1496" s="14">
        <f>Z1496*in_card_fee</f>
        <v/>
      </c>
      <c r="AE1496" s="40">
        <f>AE1495*(1-IF(B1495&gt;=in_marketplace_from,d_hz_hlth_small*G1495,0))</f>
        <v/>
      </c>
      <c r="AF1496" s="46">
        <f>AE1496*IF(B1496&gt;=in_marketplace_from,d_hz_hlth_small*G1496,0)</f>
        <v/>
      </c>
      <c r="AG1496" s="14">
        <f>F1496*AF1496*in_hlth_small_ticket*in_hlth_small_comm*in_ins_partner_share+F1496*in_hlth_small_ticket*in_hlth_small_renew_comm*in_ins_partner_share*(in_hlth_small_renew^1*SUMIFS(AF1481:AF1506,B1481:B1506,B1496-12)+in_hlth_small_renew^2*SUMIFS(AF1481:AF1506,B1481:B1506,B1496-24)+in_hlth_small_renew^3*SUMIFS(AF1481:AF1506,B1481:B1506,B1496-36)+in_hlth_small_renew^4*SUMIFS(AF1481:AF1506,B1481:B1506,B1496-48))</f>
        <v/>
      </c>
      <c r="AH1496" s="40">
        <f>AH1495*(1-IF(B1495&gt;=in_marketplace_from,d_hz_hlth_family*G1495,0))</f>
        <v/>
      </c>
      <c r="AI1496" s="46">
        <f>AH1496*IF(B1496&gt;=in_marketplace_from,d_hz_hlth_family*G1496,0)</f>
        <v/>
      </c>
      <c r="AJ1496" s="14">
        <f>F1496*AI1496*in_hlth_family_ticket*in_hlth_family_comm*in_ins_partner_share+F1496*in_hlth_family_ticket*in_hlth_family_renew_comm*in_ins_partner_share*(in_hlth_family_renew^1*SUMIFS(AI1481:AI1506,B1481:B1506,B1496-12)+in_hlth_family_renew^2*SUMIFS(AI1481:AI1506,B1481:B1506,B1496-24)+in_hlth_family_renew^3*SUMIFS(AI1481:AI1506,B1481:B1506,B1496-36)+in_hlth_family_renew^4*SUMIFS(AI1481:AI1506,B1481:B1506,B1496-48))</f>
        <v/>
      </c>
      <c r="AK1496" s="40">
        <f>AK1495*(1-IF(B1495&gt;=in_marketplace_from,d_hz_life_term*G1495,0))</f>
        <v/>
      </c>
      <c r="AL1496" s="46">
        <f>AK1496*IF(B1496&gt;=in_marketplace_from,d_hz_life_term*G1496,0)</f>
        <v/>
      </c>
      <c r="AM1496" s="14">
        <f>F1496*AL1496*in_life_term_ticket*in_life_term_comm*in_ins_partner_share+F1496*in_life_term_ticket*in_life_term_renew_comm*in_ins_partner_share*(in_life_term_renew^1*SUMIFS(AL1481:AL1506,B1481:B1506,B1496-12)+in_life_term_renew^2*SUMIFS(AL1481:AL1506,B1481:B1506,B1496-24)+in_life_term_renew^3*SUMIFS(AL1481:AL1506,B1481:B1506,B1496-36)+in_life_term_renew^4*SUMIFS(AL1481:AL1506,B1481:B1506,B1496-48))</f>
        <v/>
      </c>
      <c r="AN1496" s="40">
        <f>AN1495*(1-IF(B1495&gt;=in_marketplace_from,d_hz_accident*G1495,0))</f>
        <v/>
      </c>
      <c r="AO1496" s="46">
        <f>AN1496*IF(B1496&gt;=in_marketplace_from,d_hz_accident*G1496,0)</f>
        <v/>
      </c>
      <c r="AP1496" s="14">
        <f>F1496*AO1496*in_accident_ticket*in_accident_comm*in_ins_partner_share+F1496*in_accident_ticket*in_accident_renew_comm*in_ins_partner_share*(in_accident_renew^1*SUMIFS(AO1481:AO1506,B1481:B1506,B1496-12)+in_accident_renew^2*SUMIFS(AO1481:AO1506,B1481:B1506,B1496-24)+in_accident_renew^3*SUMIFS(AO1481:AO1506,B1481:B1506,B1496-36)+in_accident_renew^4*SUMIFS(AO1481:AO1506,B1481:B1506,B1496-48))</f>
        <v/>
      </c>
      <c r="AQ1496" s="40">
        <f>AQ1495*(1-IF(B1495&gt;=in_marketplace_from,d_hz_two_wheeler*G1495,0))</f>
        <v/>
      </c>
      <c r="AR1496" s="46">
        <f>AQ1496*IF(B1496&gt;=in_marketplace_from,d_hz_two_wheeler*G1496,0)</f>
        <v/>
      </c>
      <c r="AS1496" s="14">
        <f>F1496*AR1496*in_two_wheeler_ticket*in_two_wheeler_comm*in_ins_partner_share+F1496*in_two_wheeler_ticket*in_two_wheeler_comm*in_ins_partner_share*(in_two_wheeler_renew^1*SUMIFS(AR1481:AR1506,B1481:B1506,B1496-12)+in_two_wheeler_renew^2*SUMIFS(AR1481:AR1506,B1481:B1506,B1496-24)+in_two_wheeler_renew^3*SUMIFS(AR1481:AR1506,B1481:B1506,B1496-36)+in_two_wheeler_renew^4*SUMIFS(AR1481:AR1506,B1481:B1506,B1496-48))</f>
        <v/>
      </c>
      <c r="AT1496" s="40">
        <f>AT1495*(1-IF(B1495&gt;=in_marketplace_from,d_hz_device*G1495,0))</f>
        <v/>
      </c>
      <c r="AU1496" s="14">
        <f>F1496*AT1496*IF(B1496&gt;=in_marketplace_from,d_hz_device*G1496,0)*in_device_ticket*in_device_comm*in_ins_partner_share</f>
        <v/>
      </c>
      <c r="AV1496" s="40">
        <f>AV1495*(1-IF(B1495&gt;=in_marketplace_from,d_hz_shop*G1495,0))</f>
        <v/>
      </c>
      <c r="AW1496" s="46">
        <f>AV1496*IF(B1496&gt;=in_marketplace_from,d_hz_shop*G1496,0)</f>
        <v/>
      </c>
      <c r="AX1496" s="14">
        <f>F1496*AW1496*in_shop_ticket*in_shop_comm*in_ins_partner_share+F1496*in_shop_ticket*in_shop_renew_comm*in_ins_partner_share*(in_shop_renew^1*SUMIFS(AW1481:AW1506,B1481:B1506,B1496-12)+in_shop_renew^2*SUMIFS(AW1481:AW1506,B1481:B1506,B1496-24)+in_shop_renew^3*SUMIFS(AW1481:AW1506,B1481:B1506,B1496-36)+in_shop_renew^4*SUMIFS(AW1481:AW1506,B1481:B1506,B1496-48))</f>
        <v/>
      </c>
      <c r="AY1496" s="40">
        <f>AY1495*(1-IF(B1495&gt;=in_marketplace_from,d_hz_sip*G1495,0))</f>
        <v/>
      </c>
      <c r="AZ1496" s="40">
        <f>AZ1495*d_rho_sip+AY1496*IF(B1496&gt;=in_marketplace_from,d_hz_sip*G1496,0)</f>
        <v/>
      </c>
      <c r="BA1496" s="40">
        <f>d_rho_sip*(BA1495+AZ1495)</f>
        <v/>
      </c>
      <c r="BB1496" s="14">
        <f>F1496*in_sip_ticket*(BA1496+0.5*AZ1496)*in_sip_comm/12</f>
        <v/>
      </c>
      <c r="BC1496" s="40">
        <f>BC1495*(1-IF(B1495&gt;=in_marketplace_from,d_hz_choti*G1495,0))</f>
        <v/>
      </c>
      <c r="BD1496" s="46">
        <f>BC1496*IF(B1496&gt;=in_marketplace_from,d_hz_choti*G1496,0)</f>
        <v/>
      </c>
      <c r="BE1496" s="14">
        <f>F1496*SUMIFS(BD1481:BD1506,B1481:B1506,B1496-in_choti_months)*in_choti_renew*in_choti_ticket</f>
        <v/>
      </c>
      <c r="BF1496" s="40">
        <f>BF1495*(1-IF(B1495&gt;=in_marketplace_from,d_hz_nps*G1495,0))</f>
        <v/>
      </c>
      <c r="BG1496" s="14">
        <f>F1496*BF1496*IF(B1496&gt;=in_marketplace_from,d_hz_nps*G1496,0)*in_nps_ticket*in_nps_comm</f>
        <v/>
      </c>
      <c r="BH1496" s="40">
        <f>BH1495*(1-IF(B1495&gt;=in_marketplace_from,d_hz_gold*G1495,0))</f>
        <v/>
      </c>
      <c r="BI1496" s="40">
        <f>BI1495*d_rho_gold+BH1496*IF(B1496&gt;=in_marketplace_from,d_hz_gold*G1496,0)</f>
        <v/>
      </c>
      <c r="BJ1496" s="14">
        <f>F1496*BI1496*in_gold_ticket*in_gold_comm</f>
        <v/>
      </c>
      <c r="BK1496" s="40">
        <f>BK1495*(1-IF(B1495&gt;=in_marketplace_from,d_hz_fd*G1495,0))</f>
        <v/>
      </c>
      <c r="BL1496" s="14">
        <f>F1496*BK1496*IF(B1496&gt;=in_marketplace_from,d_hz_fd*G1496,0)*in_fd_ticket*in_fd_comm</f>
        <v/>
      </c>
      <c r="BM1496" s="40">
        <f>BM1495*(1-IF(B1495&gt;=in_marketplace_from,d_hz_recharge*G1495,0))</f>
        <v/>
      </c>
      <c r="BN1496" s="40">
        <f>BN1495*d_rho_recharge+BM1496*IF(B1496&gt;=in_marketplace_from,d_hz_recharge*G1496,0)</f>
        <v/>
      </c>
      <c r="BO1496" s="14">
        <f>F1496*BN1496*in_recharge_ticket*in_recharge_comm/12</f>
        <v/>
      </c>
      <c r="BP1496" s="40">
        <f>BP1495*(1-IF(B1495&gt;=in_marketplace_from,d_hz_bills*G1495,0))</f>
        <v/>
      </c>
      <c r="BQ1496" s="40">
        <f>BQ1495*d_rho_bills+BP1496*IF(B1496&gt;=in_marketplace_from,d_hz_bills*G1496,0)</f>
        <v/>
      </c>
      <c r="BR1496" s="14">
        <f>F1496*BQ1496*in_bills_ticket*in_bills_comm/12</f>
        <v/>
      </c>
      <c r="BS1496" s="40">
        <f>BS1495*(1-IF(B1495&gt;=in_marketplace_from,d_hz_loan_gold*G1495,0))</f>
        <v/>
      </c>
      <c r="BT1496" s="14">
        <f>F1496*BS1496*IF(B1496&gt;=in_marketplace_from,d_hz_loan_gold*G1496,0)*in_loan_gold_ticket*in_loan_gold_comm</f>
        <v/>
      </c>
      <c r="BU1496" s="40">
        <f>BU1495*(1-IF(B1495&gt;=in_marketplace_from,d_hz_loan_cd*G1495,0))</f>
        <v/>
      </c>
      <c r="BV1496" s="14">
        <f>F1496*BU1496*IF(B1496&gt;=in_marketplace_from,d_hz_loan_cd*G1496,0)*in_loan_cd_ticket*in_loan_cd_comm</f>
        <v/>
      </c>
      <c r="BW1496" s="40">
        <f>BW1495*(1-IF(B1495&gt;=in_marketplace_from,d_hz_loan_vehicle*G1495,0))</f>
        <v/>
      </c>
      <c r="BX1496" s="14">
        <f>F1496*BW1496*IF(B1496&gt;=in_marketplace_from,d_hz_loan_vehicle*G1496,0)*in_loan_vehicle_ticket*in_loan_vehicle_comm</f>
        <v/>
      </c>
      <c r="BY1496" s="40">
        <f>BY1495*(1-IF(B1495&gt;=in_marketplace_from,d_hz_loan_home*G1495,0)*BZ1495)</f>
        <v/>
      </c>
      <c r="BZ1496" s="11">
        <f>MIN(in_approval_cap,in_loan_home_approval*INDEX('Age profile'!$O$2:$O$61,B1496)*(1+in_approval_growth)^(D1496-1))</f>
        <v/>
      </c>
      <c r="CA1496" s="14">
        <f>F1496*BY1496*IF(B1496&gt;=in_marketplace_from,d_hz_loan_home*G1496,0)*BZ1496*in_loan_home_ticket*in_loan_home_comm</f>
        <v/>
      </c>
      <c r="CB1496" s="40">
        <f>CB1495*(1-IF(B1495&gt;=in_marketplace_from,d_hz_loan_lap*G1495,0)*CC1495)</f>
        <v/>
      </c>
      <c r="CC1496" s="11">
        <f>MIN(in_approval_cap,in_loan_lap_approval*INDEX('Age profile'!$O$2:$O$61,B1496)*(1+in_approval_growth)^(D1496-1))</f>
        <v/>
      </c>
      <c r="CD1496" s="14">
        <f>F1496*CB1496*IF(B1496&gt;=in_marketplace_from,d_hz_loan_lap*G1496,0)*CC1496*in_loan_lap_ticket*in_loan_lap_comm</f>
        <v/>
      </c>
      <c r="CE1496" s="14">
        <f>AA1496+AB1496+AC1496+AD1496+AG1496+AJ1496+AM1496+AP1496+AS1496+AU1496+AX1496+BB1496+BE1496+BG1496+BJ1496+BL1496+BO1496+BR1496+BT1496+BV1496+BX1496+CA1496+CD1496</f>
        <v/>
      </c>
    </row>
    <row r="1497">
      <c r="A1497" s="39" t="n">
        <v>35</v>
      </c>
      <c r="B1497" s="39" t="n">
        <v>17</v>
      </c>
      <c r="C1497" s="39">
        <f>A1497+B1497-1</f>
        <v/>
      </c>
      <c r="D1497" s="39">
        <f>INT((C1497-1)/12)+1</f>
        <v/>
      </c>
      <c r="E1497" s="44">
        <f>INDEX(Monthly!$B$2:$B$61,A1497)</f>
        <v/>
      </c>
      <c r="F1497" s="44">
        <f>E1497*INDEX('Age profile'!$B$2:$B$61,B1497)</f>
        <v/>
      </c>
      <c r="G1497" s="45">
        <f>MIN(in_takeup_cap,INDEX('Age profile'!$N$2:$N$61,B1497)*(1+in_takeup_growth)^(D1497-1))</f>
        <v/>
      </c>
      <c r="H1497" s="11">
        <f>MIN(in_approval_cap,in_approved_first*INDEX('Age profile'!$O$2:$O$61,B1497)*(1+in_approval_growth)^(D1497-1))</f>
        <v/>
      </c>
      <c r="I1497" s="45">
        <f>G1497*MIN(in_takeup_cap,INDEX('Age profile'!$O$2:$O$61,B1497)*(1+in_approval_growth)^(D1497-1))</f>
        <v/>
      </c>
      <c r="J1497" s="40">
        <f>(J1496-L1496)*F1497/F1496</f>
        <v/>
      </c>
      <c r="K1497" s="40">
        <f>(K1496-M1496)*F1497/F1496+SUMIFS(O1481:O1496,B1481:B1496,B1497-1-d_T)*F1497</f>
        <v/>
      </c>
      <c r="L1497" s="40">
        <f>IF(B1497&gt;=in_marketplace_from,J1497*d_hz*G1497*in_eligible*H1497,0)</f>
        <v/>
      </c>
      <c r="M1497" s="40">
        <f>IF(B1497&gt;=in_marketplace_from,K1497*d_hz*G1497*in_eligible*in_approved_repeat,0)</f>
        <v/>
      </c>
      <c r="N1497" s="40">
        <f>L1497+M1497</f>
        <v/>
      </c>
      <c r="O1497" s="46">
        <f>N1497/F1497</f>
        <v/>
      </c>
      <c r="P1497" s="40">
        <f>F1497-J1497-K1497</f>
        <v/>
      </c>
      <c r="Q1497" s="40">
        <f>IF(B1497&gt;=in_marketplace_from,(J1497+K1497)*d_hz*G1497,0)</f>
        <v/>
      </c>
      <c r="R1497" s="40">
        <f>SUMIFS(N1481:N1506,B1481:B1506,"&gt;="&amp;(B1497-d_T),B1481:B1506,"&lt;="&amp;(B1497-1))</f>
        <v/>
      </c>
      <c r="S1497" s="46">
        <f>(1-d_u)*S1496+IF(d_T&gt;in_topup_lag,SUMIFS(O1481:O1506,B1481:B1506,B1497-in_topup_lag)-d_udrop*SUMIFS(O1481:O1506,B1481:B1506,B1497-d_T),0)</f>
        <v/>
      </c>
      <c r="T1497" s="40">
        <f>F1497*d_u*S1497</f>
        <v/>
      </c>
      <c r="U1497" s="9">
        <f>L1497*in_ticket+M1497*d_rep_ticket</f>
        <v/>
      </c>
      <c r="V1497" s="9">
        <f>U1497+T1497*d_topup_amt</f>
        <v/>
      </c>
      <c r="W1497" s="40">
        <f>N1497+T1497*d_topup_ratio</f>
        <v/>
      </c>
      <c r="X1497" s="40">
        <f>SUMIFS(W1481:W1506,B1481:B1506,B1497-in_dpd_lag)*d_cured</f>
        <v/>
      </c>
      <c r="Y1497" s="40">
        <f>SUMIFS(W1481:W1506,B1481:B1506,B1497-in_rec_lag)*d_recd</f>
        <v/>
      </c>
      <c r="Z1497" s="40">
        <f>IF(AND(B1497&gt;=in_marketplace_from,B1497&lt;in_marketplace_from+in_card_months),in_card_share/in_card_months*F1497*I1497,IF(AND(B1497&gt;=in_marketplace_from+in_card_months,B1497&lt;in_marketplace_from+2*in_card_months),in_card_share*d_card_rem/in_card_months*F1497*MIN(in_takeup_cap,(1+in_takeup_growth)^(D1497-1))*MIN(in_takeup_cap,(1+in_approval_growth)^(D1497-1)),0))</f>
        <v/>
      </c>
      <c r="AA1497" s="14">
        <f>V1497*in_fee*(1-in_taken_back)</f>
        <v/>
      </c>
      <c r="AB1497" s="14">
        <f>SUMIFS(W1481:W1506,B1481:B1506,B1497-in_dpd_lag)*d_dpd</f>
        <v/>
      </c>
      <c r="AC1497" s="14">
        <f>SUMIFS(W1481:W1506,B1481:B1506,B1497-in_rec_lag)*d_rec</f>
        <v/>
      </c>
      <c r="AD1497" s="14">
        <f>Z1497*in_card_fee</f>
        <v/>
      </c>
      <c r="AE1497" s="40">
        <f>AE1496*(1-IF(B1496&gt;=in_marketplace_from,d_hz_hlth_small*G1496,0))</f>
        <v/>
      </c>
      <c r="AF1497" s="46">
        <f>AE1497*IF(B1497&gt;=in_marketplace_from,d_hz_hlth_small*G1497,0)</f>
        <v/>
      </c>
      <c r="AG1497" s="14">
        <f>F1497*AF1497*in_hlth_small_ticket*in_hlth_small_comm*in_ins_partner_share+F1497*in_hlth_small_ticket*in_hlth_small_renew_comm*in_ins_partner_share*(in_hlth_small_renew^1*SUMIFS(AF1481:AF1506,B1481:B1506,B1497-12)+in_hlth_small_renew^2*SUMIFS(AF1481:AF1506,B1481:B1506,B1497-24)+in_hlth_small_renew^3*SUMIFS(AF1481:AF1506,B1481:B1506,B1497-36)+in_hlth_small_renew^4*SUMIFS(AF1481:AF1506,B1481:B1506,B1497-48))</f>
        <v/>
      </c>
      <c r="AH1497" s="40">
        <f>AH1496*(1-IF(B1496&gt;=in_marketplace_from,d_hz_hlth_family*G1496,0))</f>
        <v/>
      </c>
      <c r="AI1497" s="46">
        <f>AH1497*IF(B1497&gt;=in_marketplace_from,d_hz_hlth_family*G1497,0)</f>
        <v/>
      </c>
      <c r="AJ1497" s="14">
        <f>F1497*AI1497*in_hlth_family_ticket*in_hlth_family_comm*in_ins_partner_share+F1497*in_hlth_family_ticket*in_hlth_family_renew_comm*in_ins_partner_share*(in_hlth_family_renew^1*SUMIFS(AI1481:AI1506,B1481:B1506,B1497-12)+in_hlth_family_renew^2*SUMIFS(AI1481:AI1506,B1481:B1506,B1497-24)+in_hlth_family_renew^3*SUMIFS(AI1481:AI1506,B1481:B1506,B1497-36)+in_hlth_family_renew^4*SUMIFS(AI1481:AI1506,B1481:B1506,B1497-48))</f>
        <v/>
      </c>
      <c r="AK1497" s="40">
        <f>AK1496*(1-IF(B1496&gt;=in_marketplace_from,d_hz_life_term*G1496,0))</f>
        <v/>
      </c>
      <c r="AL1497" s="46">
        <f>AK1497*IF(B1497&gt;=in_marketplace_from,d_hz_life_term*G1497,0)</f>
        <v/>
      </c>
      <c r="AM1497" s="14">
        <f>F1497*AL1497*in_life_term_ticket*in_life_term_comm*in_ins_partner_share+F1497*in_life_term_ticket*in_life_term_renew_comm*in_ins_partner_share*(in_life_term_renew^1*SUMIFS(AL1481:AL1506,B1481:B1506,B1497-12)+in_life_term_renew^2*SUMIFS(AL1481:AL1506,B1481:B1506,B1497-24)+in_life_term_renew^3*SUMIFS(AL1481:AL1506,B1481:B1506,B1497-36)+in_life_term_renew^4*SUMIFS(AL1481:AL1506,B1481:B1506,B1497-48))</f>
        <v/>
      </c>
      <c r="AN1497" s="40">
        <f>AN1496*(1-IF(B1496&gt;=in_marketplace_from,d_hz_accident*G1496,0))</f>
        <v/>
      </c>
      <c r="AO1497" s="46">
        <f>AN1497*IF(B1497&gt;=in_marketplace_from,d_hz_accident*G1497,0)</f>
        <v/>
      </c>
      <c r="AP1497" s="14">
        <f>F1497*AO1497*in_accident_ticket*in_accident_comm*in_ins_partner_share+F1497*in_accident_ticket*in_accident_renew_comm*in_ins_partner_share*(in_accident_renew^1*SUMIFS(AO1481:AO1506,B1481:B1506,B1497-12)+in_accident_renew^2*SUMIFS(AO1481:AO1506,B1481:B1506,B1497-24)+in_accident_renew^3*SUMIFS(AO1481:AO1506,B1481:B1506,B1497-36)+in_accident_renew^4*SUMIFS(AO1481:AO1506,B1481:B1506,B1497-48))</f>
        <v/>
      </c>
      <c r="AQ1497" s="40">
        <f>AQ1496*(1-IF(B1496&gt;=in_marketplace_from,d_hz_two_wheeler*G1496,0))</f>
        <v/>
      </c>
      <c r="AR1497" s="46">
        <f>AQ1497*IF(B1497&gt;=in_marketplace_from,d_hz_two_wheeler*G1497,0)</f>
        <v/>
      </c>
      <c r="AS1497" s="14">
        <f>F1497*AR1497*in_two_wheeler_ticket*in_two_wheeler_comm*in_ins_partner_share+F1497*in_two_wheeler_ticket*in_two_wheeler_comm*in_ins_partner_share*(in_two_wheeler_renew^1*SUMIFS(AR1481:AR1506,B1481:B1506,B1497-12)+in_two_wheeler_renew^2*SUMIFS(AR1481:AR1506,B1481:B1506,B1497-24)+in_two_wheeler_renew^3*SUMIFS(AR1481:AR1506,B1481:B1506,B1497-36)+in_two_wheeler_renew^4*SUMIFS(AR1481:AR1506,B1481:B1506,B1497-48))</f>
        <v/>
      </c>
      <c r="AT1497" s="40">
        <f>AT1496*(1-IF(B1496&gt;=in_marketplace_from,d_hz_device*G1496,0))</f>
        <v/>
      </c>
      <c r="AU1497" s="14">
        <f>F1497*AT1497*IF(B1497&gt;=in_marketplace_from,d_hz_device*G1497,0)*in_device_ticket*in_device_comm*in_ins_partner_share</f>
        <v/>
      </c>
      <c r="AV1497" s="40">
        <f>AV1496*(1-IF(B1496&gt;=in_marketplace_from,d_hz_shop*G1496,0))</f>
        <v/>
      </c>
      <c r="AW1497" s="46">
        <f>AV1497*IF(B1497&gt;=in_marketplace_from,d_hz_shop*G1497,0)</f>
        <v/>
      </c>
      <c r="AX1497" s="14">
        <f>F1497*AW1497*in_shop_ticket*in_shop_comm*in_ins_partner_share+F1497*in_shop_ticket*in_shop_renew_comm*in_ins_partner_share*(in_shop_renew^1*SUMIFS(AW1481:AW1506,B1481:B1506,B1497-12)+in_shop_renew^2*SUMIFS(AW1481:AW1506,B1481:B1506,B1497-24)+in_shop_renew^3*SUMIFS(AW1481:AW1506,B1481:B1506,B1497-36)+in_shop_renew^4*SUMIFS(AW1481:AW1506,B1481:B1506,B1497-48))</f>
        <v/>
      </c>
      <c r="AY1497" s="40">
        <f>AY1496*(1-IF(B1496&gt;=in_marketplace_from,d_hz_sip*G1496,0))</f>
        <v/>
      </c>
      <c r="AZ1497" s="40">
        <f>AZ1496*d_rho_sip+AY1497*IF(B1497&gt;=in_marketplace_from,d_hz_sip*G1497,0)</f>
        <v/>
      </c>
      <c r="BA1497" s="40">
        <f>d_rho_sip*(BA1496+AZ1496)</f>
        <v/>
      </c>
      <c r="BB1497" s="14">
        <f>F1497*in_sip_ticket*(BA1497+0.5*AZ1497)*in_sip_comm/12</f>
        <v/>
      </c>
      <c r="BC1497" s="40">
        <f>BC1496*(1-IF(B1496&gt;=in_marketplace_from,d_hz_choti*G1496,0))</f>
        <v/>
      </c>
      <c r="BD1497" s="46">
        <f>BC1497*IF(B1497&gt;=in_marketplace_from,d_hz_choti*G1497,0)</f>
        <v/>
      </c>
      <c r="BE1497" s="14">
        <f>F1497*SUMIFS(BD1481:BD1506,B1481:B1506,B1497-in_choti_months)*in_choti_renew*in_choti_ticket</f>
        <v/>
      </c>
      <c r="BF1497" s="40">
        <f>BF1496*(1-IF(B1496&gt;=in_marketplace_from,d_hz_nps*G1496,0))</f>
        <v/>
      </c>
      <c r="BG1497" s="14">
        <f>F1497*BF1497*IF(B1497&gt;=in_marketplace_from,d_hz_nps*G1497,0)*in_nps_ticket*in_nps_comm</f>
        <v/>
      </c>
      <c r="BH1497" s="40">
        <f>BH1496*(1-IF(B1496&gt;=in_marketplace_from,d_hz_gold*G1496,0))</f>
        <v/>
      </c>
      <c r="BI1497" s="40">
        <f>BI1496*d_rho_gold+BH1497*IF(B1497&gt;=in_marketplace_from,d_hz_gold*G1497,0)</f>
        <v/>
      </c>
      <c r="BJ1497" s="14">
        <f>F1497*BI1497*in_gold_ticket*in_gold_comm</f>
        <v/>
      </c>
      <c r="BK1497" s="40">
        <f>BK1496*(1-IF(B1496&gt;=in_marketplace_from,d_hz_fd*G1496,0))</f>
        <v/>
      </c>
      <c r="BL1497" s="14">
        <f>F1497*BK1497*IF(B1497&gt;=in_marketplace_from,d_hz_fd*G1497,0)*in_fd_ticket*in_fd_comm</f>
        <v/>
      </c>
      <c r="BM1497" s="40">
        <f>BM1496*(1-IF(B1496&gt;=in_marketplace_from,d_hz_recharge*G1496,0))</f>
        <v/>
      </c>
      <c r="BN1497" s="40">
        <f>BN1496*d_rho_recharge+BM1497*IF(B1497&gt;=in_marketplace_from,d_hz_recharge*G1497,0)</f>
        <v/>
      </c>
      <c r="BO1497" s="14">
        <f>F1497*BN1497*in_recharge_ticket*in_recharge_comm/12</f>
        <v/>
      </c>
      <c r="BP1497" s="40">
        <f>BP1496*(1-IF(B1496&gt;=in_marketplace_from,d_hz_bills*G1496,0))</f>
        <v/>
      </c>
      <c r="BQ1497" s="40">
        <f>BQ1496*d_rho_bills+BP1497*IF(B1497&gt;=in_marketplace_from,d_hz_bills*G1497,0)</f>
        <v/>
      </c>
      <c r="BR1497" s="14">
        <f>F1497*BQ1497*in_bills_ticket*in_bills_comm/12</f>
        <v/>
      </c>
      <c r="BS1497" s="40">
        <f>BS1496*(1-IF(B1496&gt;=in_marketplace_from,d_hz_loan_gold*G1496,0))</f>
        <v/>
      </c>
      <c r="BT1497" s="14">
        <f>F1497*BS1497*IF(B1497&gt;=in_marketplace_from,d_hz_loan_gold*G1497,0)*in_loan_gold_ticket*in_loan_gold_comm</f>
        <v/>
      </c>
      <c r="BU1497" s="40">
        <f>BU1496*(1-IF(B1496&gt;=in_marketplace_from,d_hz_loan_cd*G1496,0))</f>
        <v/>
      </c>
      <c r="BV1497" s="14">
        <f>F1497*BU1497*IF(B1497&gt;=in_marketplace_from,d_hz_loan_cd*G1497,0)*in_loan_cd_ticket*in_loan_cd_comm</f>
        <v/>
      </c>
      <c r="BW1497" s="40">
        <f>BW1496*(1-IF(B1496&gt;=in_marketplace_from,d_hz_loan_vehicle*G1496,0))</f>
        <v/>
      </c>
      <c r="BX1497" s="14">
        <f>F1497*BW1497*IF(B1497&gt;=in_marketplace_from,d_hz_loan_vehicle*G1497,0)*in_loan_vehicle_ticket*in_loan_vehicle_comm</f>
        <v/>
      </c>
      <c r="BY1497" s="40">
        <f>BY1496*(1-IF(B1496&gt;=in_marketplace_from,d_hz_loan_home*G1496,0)*BZ1496)</f>
        <v/>
      </c>
      <c r="BZ1497" s="11">
        <f>MIN(in_approval_cap,in_loan_home_approval*INDEX('Age profile'!$O$2:$O$61,B1497)*(1+in_approval_growth)^(D1497-1))</f>
        <v/>
      </c>
      <c r="CA1497" s="14">
        <f>F1497*BY1497*IF(B1497&gt;=in_marketplace_from,d_hz_loan_home*G1497,0)*BZ1497*in_loan_home_ticket*in_loan_home_comm</f>
        <v/>
      </c>
      <c r="CB1497" s="40">
        <f>CB1496*(1-IF(B1496&gt;=in_marketplace_from,d_hz_loan_lap*G1496,0)*CC1496)</f>
        <v/>
      </c>
      <c r="CC1497" s="11">
        <f>MIN(in_approval_cap,in_loan_lap_approval*INDEX('Age profile'!$O$2:$O$61,B1497)*(1+in_approval_growth)^(D1497-1))</f>
        <v/>
      </c>
      <c r="CD1497" s="14">
        <f>F1497*CB1497*IF(B1497&gt;=in_marketplace_from,d_hz_loan_lap*G1497,0)*CC1497*in_loan_lap_ticket*in_loan_lap_comm</f>
        <v/>
      </c>
      <c r="CE1497" s="14">
        <f>AA1497+AB1497+AC1497+AD1497+AG1497+AJ1497+AM1497+AP1497+AS1497+AU1497+AX1497+BB1497+BE1497+BG1497+BJ1497+BL1497+BO1497+BR1497+BT1497+BV1497+BX1497+CA1497+CD1497</f>
        <v/>
      </c>
    </row>
    <row r="1498">
      <c r="A1498" s="39" t="n">
        <v>35</v>
      </c>
      <c r="B1498" s="39" t="n">
        <v>18</v>
      </c>
      <c r="C1498" s="39">
        <f>A1498+B1498-1</f>
        <v/>
      </c>
      <c r="D1498" s="39">
        <f>INT((C1498-1)/12)+1</f>
        <v/>
      </c>
      <c r="E1498" s="44">
        <f>INDEX(Monthly!$B$2:$B$61,A1498)</f>
        <v/>
      </c>
      <c r="F1498" s="44">
        <f>E1498*INDEX('Age profile'!$B$2:$B$61,B1498)</f>
        <v/>
      </c>
      <c r="G1498" s="45">
        <f>MIN(in_takeup_cap,INDEX('Age profile'!$N$2:$N$61,B1498)*(1+in_takeup_growth)^(D1498-1))</f>
        <v/>
      </c>
      <c r="H1498" s="11">
        <f>MIN(in_approval_cap,in_approved_first*INDEX('Age profile'!$O$2:$O$61,B1498)*(1+in_approval_growth)^(D1498-1))</f>
        <v/>
      </c>
      <c r="I1498" s="45">
        <f>G1498*MIN(in_takeup_cap,INDEX('Age profile'!$O$2:$O$61,B1498)*(1+in_approval_growth)^(D1498-1))</f>
        <v/>
      </c>
      <c r="J1498" s="40">
        <f>(J1497-L1497)*F1498/F1497</f>
        <v/>
      </c>
      <c r="K1498" s="40">
        <f>(K1497-M1497)*F1498/F1497+SUMIFS(O1481:O1497,B1481:B1497,B1498-1-d_T)*F1498</f>
        <v/>
      </c>
      <c r="L1498" s="40">
        <f>IF(B1498&gt;=in_marketplace_from,J1498*d_hz*G1498*in_eligible*H1498,0)</f>
        <v/>
      </c>
      <c r="M1498" s="40">
        <f>IF(B1498&gt;=in_marketplace_from,K1498*d_hz*G1498*in_eligible*in_approved_repeat,0)</f>
        <v/>
      </c>
      <c r="N1498" s="40">
        <f>L1498+M1498</f>
        <v/>
      </c>
      <c r="O1498" s="46">
        <f>N1498/F1498</f>
        <v/>
      </c>
      <c r="P1498" s="40">
        <f>F1498-J1498-K1498</f>
        <v/>
      </c>
      <c r="Q1498" s="40">
        <f>IF(B1498&gt;=in_marketplace_from,(J1498+K1498)*d_hz*G1498,0)</f>
        <v/>
      </c>
      <c r="R1498" s="40">
        <f>SUMIFS(N1481:N1506,B1481:B1506,"&gt;="&amp;(B1498-d_T),B1481:B1506,"&lt;="&amp;(B1498-1))</f>
        <v/>
      </c>
      <c r="S1498" s="46">
        <f>(1-d_u)*S1497+IF(d_T&gt;in_topup_lag,SUMIFS(O1481:O1506,B1481:B1506,B1498-in_topup_lag)-d_udrop*SUMIFS(O1481:O1506,B1481:B1506,B1498-d_T),0)</f>
        <v/>
      </c>
      <c r="T1498" s="40">
        <f>F1498*d_u*S1498</f>
        <v/>
      </c>
      <c r="U1498" s="9">
        <f>L1498*in_ticket+M1498*d_rep_ticket</f>
        <v/>
      </c>
      <c r="V1498" s="9">
        <f>U1498+T1498*d_topup_amt</f>
        <v/>
      </c>
      <c r="W1498" s="40">
        <f>N1498+T1498*d_topup_ratio</f>
        <v/>
      </c>
      <c r="X1498" s="40">
        <f>SUMIFS(W1481:W1506,B1481:B1506,B1498-in_dpd_lag)*d_cured</f>
        <v/>
      </c>
      <c r="Y1498" s="40">
        <f>SUMIFS(W1481:W1506,B1481:B1506,B1498-in_rec_lag)*d_recd</f>
        <v/>
      </c>
      <c r="Z1498" s="40">
        <f>IF(AND(B1498&gt;=in_marketplace_from,B1498&lt;in_marketplace_from+in_card_months),in_card_share/in_card_months*F1498*I1498,IF(AND(B1498&gt;=in_marketplace_from+in_card_months,B1498&lt;in_marketplace_from+2*in_card_months),in_card_share*d_card_rem/in_card_months*F1498*MIN(in_takeup_cap,(1+in_takeup_growth)^(D1498-1))*MIN(in_takeup_cap,(1+in_approval_growth)^(D1498-1)),0))</f>
        <v/>
      </c>
      <c r="AA1498" s="14">
        <f>V1498*in_fee*(1-in_taken_back)</f>
        <v/>
      </c>
      <c r="AB1498" s="14">
        <f>SUMIFS(W1481:W1506,B1481:B1506,B1498-in_dpd_lag)*d_dpd</f>
        <v/>
      </c>
      <c r="AC1498" s="14">
        <f>SUMIFS(W1481:W1506,B1481:B1506,B1498-in_rec_lag)*d_rec</f>
        <v/>
      </c>
      <c r="AD1498" s="14">
        <f>Z1498*in_card_fee</f>
        <v/>
      </c>
      <c r="AE1498" s="40">
        <f>AE1497*(1-IF(B1497&gt;=in_marketplace_from,d_hz_hlth_small*G1497,0))</f>
        <v/>
      </c>
      <c r="AF1498" s="46">
        <f>AE1498*IF(B1498&gt;=in_marketplace_from,d_hz_hlth_small*G1498,0)</f>
        <v/>
      </c>
      <c r="AG1498" s="14">
        <f>F1498*AF1498*in_hlth_small_ticket*in_hlth_small_comm*in_ins_partner_share+F1498*in_hlth_small_ticket*in_hlth_small_renew_comm*in_ins_partner_share*(in_hlth_small_renew^1*SUMIFS(AF1481:AF1506,B1481:B1506,B1498-12)+in_hlth_small_renew^2*SUMIFS(AF1481:AF1506,B1481:B1506,B1498-24)+in_hlth_small_renew^3*SUMIFS(AF1481:AF1506,B1481:B1506,B1498-36)+in_hlth_small_renew^4*SUMIFS(AF1481:AF1506,B1481:B1506,B1498-48))</f>
        <v/>
      </c>
      <c r="AH1498" s="40">
        <f>AH1497*(1-IF(B1497&gt;=in_marketplace_from,d_hz_hlth_family*G1497,0))</f>
        <v/>
      </c>
      <c r="AI1498" s="46">
        <f>AH1498*IF(B1498&gt;=in_marketplace_from,d_hz_hlth_family*G1498,0)</f>
        <v/>
      </c>
      <c r="AJ1498" s="14">
        <f>F1498*AI1498*in_hlth_family_ticket*in_hlth_family_comm*in_ins_partner_share+F1498*in_hlth_family_ticket*in_hlth_family_renew_comm*in_ins_partner_share*(in_hlth_family_renew^1*SUMIFS(AI1481:AI1506,B1481:B1506,B1498-12)+in_hlth_family_renew^2*SUMIFS(AI1481:AI1506,B1481:B1506,B1498-24)+in_hlth_family_renew^3*SUMIFS(AI1481:AI1506,B1481:B1506,B1498-36)+in_hlth_family_renew^4*SUMIFS(AI1481:AI1506,B1481:B1506,B1498-48))</f>
        <v/>
      </c>
      <c r="AK1498" s="40">
        <f>AK1497*(1-IF(B1497&gt;=in_marketplace_from,d_hz_life_term*G1497,0))</f>
        <v/>
      </c>
      <c r="AL1498" s="46">
        <f>AK1498*IF(B1498&gt;=in_marketplace_from,d_hz_life_term*G1498,0)</f>
        <v/>
      </c>
      <c r="AM1498" s="14">
        <f>F1498*AL1498*in_life_term_ticket*in_life_term_comm*in_ins_partner_share+F1498*in_life_term_ticket*in_life_term_renew_comm*in_ins_partner_share*(in_life_term_renew^1*SUMIFS(AL1481:AL1506,B1481:B1506,B1498-12)+in_life_term_renew^2*SUMIFS(AL1481:AL1506,B1481:B1506,B1498-24)+in_life_term_renew^3*SUMIFS(AL1481:AL1506,B1481:B1506,B1498-36)+in_life_term_renew^4*SUMIFS(AL1481:AL1506,B1481:B1506,B1498-48))</f>
        <v/>
      </c>
      <c r="AN1498" s="40">
        <f>AN1497*(1-IF(B1497&gt;=in_marketplace_from,d_hz_accident*G1497,0))</f>
        <v/>
      </c>
      <c r="AO1498" s="46">
        <f>AN1498*IF(B1498&gt;=in_marketplace_from,d_hz_accident*G1498,0)</f>
        <v/>
      </c>
      <c r="AP1498" s="14">
        <f>F1498*AO1498*in_accident_ticket*in_accident_comm*in_ins_partner_share+F1498*in_accident_ticket*in_accident_renew_comm*in_ins_partner_share*(in_accident_renew^1*SUMIFS(AO1481:AO1506,B1481:B1506,B1498-12)+in_accident_renew^2*SUMIFS(AO1481:AO1506,B1481:B1506,B1498-24)+in_accident_renew^3*SUMIFS(AO1481:AO1506,B1481:B1506,B1498-36)+in_accident_renew^4*SUMIFS(AO1481:AO1506,B1481:B1506,B1498-48))</f>
        <v/>
      </c>
      <c r="AQ1498" s="40">
        <f>AQ1497*(1-IF(B1497&gt;=in_marketplace_from,d_hz_two_wheeler*G1497,0))</f>
        <v/>
      </c>
      <c r="AR1498" s="46">
        <f>AQ1498*IF(B1498&gt;=in_marketplace_from,d_hz_two_wheeler*G1498,0)</f>
        <v/>
      </c>
      <c r="AS1498" s="14">
        <f>F1498*AR1498*in_two_wheeler_ticket*in_two_wheeler_comm*in_ins_partner_share+F1498*in_two_wheeler_ticket*in_two_wheeler_comm*in_ins_partner_share*(in_two_wheeler_renew^1*SUMIFS(AR1481:AR1506,B1481:B1506,B1498-12)+in_two_wheeler_renew^2*SUMIFS(AR1481:AR1506,B1481:B1506,B1498-24)+in_two_wheeler_renew^3*SUMIFS(AR1481:AR1506,B1481:B1506,B1498-36)+in_two_wheeler_renew^4*SUMIFS(AR1481:AR1506,B1481:B1506,B1498-48))</f>
        <v/>
      </c>
      <c r="AT1498" s="40">
        <f>AT1497*(1-IF(B1497&gt;=in_marketplace_from,d_hz_device*G1497,0))</f>
        <v/>
      </c>
      <c r="AU1498" s="14">
        <f>F1498*AT1498*IF(B1498&gt;=in_marketplace_from,d_hz_device*G1498,0)*in_device_ticket*in_device_comm*in_ins_partner_share</f>
        <v/>
      </c>
      <c r="AV1498" s="40">
        <f>AV1497*(1-IF(B1497&gt;=in_marketplace_from,d_hz_shop*G1497,0))</f>
        <v/>
      </c>
      <c r="AW1498" s="46">
        <f>AV1498*IF(B1498&gt;=in_marketplace_from,d_hz_shop*G1498,0)</f>
        <v/>
      </c>
      <c r="AX1498" s="14">
        <f>F1498*AW1498*in_shop_ticket*in_shop_comm*in_ins_partner_share+F1498*in_shop_ticket*in_shop_renew_comm*in_ins_partner_share*(in_shop_renew^1*SUMIFS(AW1481:AW1506,B1481:B1506,B1498-12)+in_shop_renew^2*SUMIFS(AW1481:AW1506,B1481:B1506,B1498-24)+in_shop_renew^3*SUMIFS(AW1481:AW1506,B1481:B1506,B1498-36)+in_shop_renew^4*SUMIFS(AW1481:AW1506,B1481:B1506,B1498-48))</f>
        <v/>
      </c>
      <c r="AY1498" s="40">
        <f>AY1497*(1-IF(B1497&gt;=in_marketplace_from,d_hz_sip*G1497,0))</f>
        <v/>
      </c>
      <c r="AZ1498" s="40">
        <f>AZ1497*d_rho_sip+AY1498*IF(B1498&gt;=in_marketplace_from,d_hz_sip*G1498,0)</f>
        <v/>
      </c>
      <c r="BA1498" s="40">
        <f>d_rho_sip*(BA1497+AZ1497)</f>
        <v/>
      </c>
      <c r="BB1498" s="14">
        <f>F1498*in_sip_ticket*(BA1498+0.5*AZ1498)*in_sip_comm/12</f>
        <v/>
      </c>
      <c r="BC1498" s="40">
        <f>BC1497*(1-IF(B1497&gt;=in_marketplace_from,d_hz_choti*G1497,0))</f>
        <v/>
      </c>
      <c r="BD1498" s="46">
        <f>BC1498*IF(B1498&gt;=in_marketplace_from,d_hz_choti*G1498,0)</f>
        <v/>
      </c>
      <c r="BE1498" s="14">
        <f>F1498*SUMIFS(BD1481:BD1506,B1481:B1506,B1498-in_choti_months)*in_choti_renew*in_choti_ticket</f>
        <v/>
      </c>
      <c r="BF1498" s="40">
        <f>BF1497*(1-IF(B1497&gt;=in_marketplace_from,d_hz_nps*G1497,0))</f>
        <v/>
      </c>
      <c r="BG1498" s="14">
        <f>F1498*BF1498*IF(B1498&gt;=in_marketplace_from,d_hz_nps*G1498,0)*in_nps_ticket*in_nps_comm</f>
        <v/>
      </c>
      <c r="BH1498" s="40">
        <f>BH1497*(1-IF(B1497&gt;=in_marketplace_from,d_hz_gold*G1497,0))</f>
        <v/>
      </c>
      <c r="BI1498" s="40">
        <f>BI1497*d_rho_gold+BH1498*IF(B1498&gt;=in_marketplace_from,d_hz_gold*G1498,0)</f>
        <v/>
      </c>
      <c r="BJ1498" s="14">
        <f>F1498*BI1498*in_gold_ticket*in_gold_comm</f>
        <v/>
      </c>
      <c r="BK1498" s="40">
        <f>BK1497*(1-IF(B1497&gt;=in_marketplace_from,d_hz_fd*G1497,0))</f>
        <v/>
      </c>
      <c r="BL1498" s="14">
        <f>F1498*BK1498*IF(B1498&gt;=in_marketplace_from,d_hz_fd*G1498,0)*in_fd_ticket*in_fd_comm</f>
        <v/>
      </c>
      <c r="BM1498" s="40">
        <f>BM1497*(1-IF(B1497&gt;=in_marketplace_from,d_hz_recharge*G1497,0))</f>
        <v/>
      </c>
      <c r="BN1498" s="40">
        <f>BN1497*d_rho_recharge+BM1498*IF(B1498&gt;=in_marketplace_from,d_hz_recharge*G1498,0)</f>
        <v/>
      </c>
      <c r="BO1498" s="14">
        <f>F1498*BN1498*in_recharge_ticket*in_recharge_comm/12</f>
        <v/>
      </c>
      <c r="BP1498" s="40">
        <f>BP1497*(1-IF(B1497&gt;=in_marketplace_from,d_hz_bills*G1497,0))</f>
        <v/>
      </c>
      <c r="BQ1498" s="40">
        <f>BQ1497*d_rho_bills+BP1498*IF(B1498&gt;=in_marketplace_from,d_hz_bills*G1498,0)</f>
        <v/>
      </c>
      <c r="BR1498" s="14">
        <f>F1498*BQ1498*in_bills_ticket*in_bills_comm/12</f>
        <v/>
      </c>
      <c r="BS1498" s="40">
        <f>BS1497*(1-IF(B1497&gt;=in_marketplace_from,d_hz_loan_gold*G1497,0))</f>
        <v/>
      </c>
      <c r="BT1498" s="14">
        <f>F1498*BS1498*IF(B1498&gt;=in_marketplace_from,d_hz_loan_gold*G1498,0)*in_loan_gold_ticket*in_loan_gold_comm</f>
        <v/>
      </c>
      <c r="BU1498" s="40">
        <f>BU1497*(1-IF(B1497&gt;=in_marketplace_from,d_hz_loan_cd*G1497,0))</f>
        <v/>
      </c>
      <c r="BV1498" s="14">
        <f>F1498*BU1498*IF(B1498&gt;=in_marketplace_from,d_hz_loan_cd*G1498,0)*in_loan_cd_ticket*in_loan_cd_comm</f>
        <v/>
      </c>
      <c r="BW1498" s="40">
        <f>BW1497*(1-IF(B1497&gt;=in_marketplace_from,d_hz_loan_vehicle*G1497,0))</f>
        <v/>
      </c>
      <c r="BX1498" s="14">
        <f>F1498*BW1498*IF(B1498&gt;=in_marketplace_from,d_hz_loan_vehicle*G1498,0)*in_loan_vehicle_ticket*in_loan_vehicle_comm</f>
        <v/>
      </c>
      <c r="BY1498" s="40">
        <f>BY1497*(1-IF(B1497&gt;=in_marketplace_from,d_hz_loan_home*G1497,0)*BZ1497)</f>
        <v/>
      </c>
      <c r="BZ1498" s="11">
        <f>MIN(in_approval_cap,in_loan_home_approval*INDEX('Age profile'!$O$2:$O$61,B1498)*(1+in_approval_growth)^(D1498-1))</f>
        <v/>
      </c>
      <c r="CA1498" s="14">
        <f>F1498*BY1498*IF(B1498&gt;=in_marketplace_from,d_hz_loan_home*G1498,0)*BZ1498*in_loan_home_ticket*in_loan_home_comm</f>
        <v/>
      </c>
      <c r="CB1498" s="40">
        <f>CB1497*(1-IF(B1497&gt;=in_marketplace_from,d_hz_loan_lap*G1497,0)*CC1497)</f>
        <v/>
      </c>
      <c r="CC1498" s="11">
        <f>MIN(in_approval_cap,in_loan_lap_approval*INDEX('Age profile'!$O$2:$O$61,B1498)*(1+in_approval_growth)^(D1498-1))</f>
        <v/>
      </c>
      <c r="CD1498" s="14">
        <f>F1498*CB1498*IF(B1498&gt;=in_marketplace_from,d_hz_loan_lap*G1498,0)*CC1498*in_loan_lap_ticket*in_loan_lap_comm</f>
        <v/>
      </c>
      <c r="CE1498" s="14">
        <f>AA1498+AB1498+AC1498+AD1498+AG1498+AJ1498+AM1498+AP1498+AS1498+AU1498+AX1498+BB1498+BE1498+BG1498+BJ1498+BL1498+BO1498+BR1498+BT1498+BV1498+BX1498+CA1498+CD1498</f>
        <v/>
      </c>
    </row>
    <row r="1499">
      <c r="A1499" s="39" t="n">
        <v>35</v>
      </c>
      <c r="B1499" s="39" t="n">
        <v>19</v>
      </c>
      <c r="C1499" s="39">
        <f>A1499+B1499-1</f>
        <v/>
      </c>
      <c r="D1499" s="39">
        <f>INT((C1499-1)/12)+1</f>
        <v/>
      </c>
      <c r="E1499" s="44">
        <f>INDEX(Monthly!$B$2:$B$61,A1499)</f>
        <v/>
      </c>
      <c r="F1499" s="44">
        <f>E1499*INDEX('Age profile'!$B$2:$B$61,B1499)</f>
        <v/>
      </c>
      <c r="G1499" s="45">
        <f>MIN(in_takeup_cap,INDEX('Age profile'!$N$2:$N$61,B1499)*(1+in_takeup_growth)^(D1499-1))</f>
        <v/>
      </c>
      <c r="H1499" s="11">
        <f>MIN(in_approval_cap,in_approved_first*INDEX('Age profile'!$O$2:$O$61,B1499)*(1+in_approval_growth)^(D1499-1))</f>
        <v/>
      </c>
      <c r="I1499" s="45">
        <f>G1499*MIN(in_takeup_cap,INDEX('Age profile'!$O$2:$O$61,B1499)*(1+in_approval_growth)^(D1499-1))</f>
        <v/>
      </c>
      <c r="J1499" s="40">
        <f>(J1498-L1498)*F1499/F1498</f>
        <v/>
      </c>
      <c r="K1499" s="40">
        <f>(K1498-M1498)*F1499/F1498+SUMIFS(O1481:O1498,B1481:B1498,B1499-1-d_T)*F1499</f>
        <v/>
      </c>
      <c r="L1499" s="40">
        <f>IF(B1499&gt;=in_marketplace_from,J1499*d_hz*G1499*in_eligible*H1499,0)</f>
        <v/>
      </c>
      <c r="M1499" s="40">
        <f>IF(B1499&gt;=in_marketplace_from,K1499*d_hz*G1499*in_eligible*in_approved_repeat,0)</f>
        <v/>
      </c>
      <c r="N1499" s="40">
        <f>L1499+M1499</f>
        <v/>
      </c>
      <c r="O1499" s="46">
        <f>N1499/F1499</f>
        <v/>
      </c>
      <c r="P1499" s="40">
        <f>F1499-J1499-K1499</f>
        <v/>
      </c>
      <c r="Q1499" s="40">
        <f>IF(B1499&gt;=in_marketplace_from,(J1499+K1499)*d_hz*G1499,0)</f>
        <v/>
      </c>
      <c r="R1499" s="40">
        <f>SUMIFS(N1481:N1506,B1481:B1506,"&gt;="&amp;(B1499-d_T),B1481:B1506,"&lt;="&amp;(B1499-1))</f>
        <v/>
      </c>
      <c r="S1499" s="46">
        <f>(1-d_u)*S1498+IF(d_T&gt;in_topup_lag,SUMIFS(O1481:O1506,B1481:B1506,B1499-in_topup_lag)-d_udrop*SUMIFS(O1481:O1506,B1481:B1506,B1499-d_T),0)</f>
        <v/>
      </c>
      <c r="T1499" s="40">
        <f>F1499*d_u*S1499</f>
        <v/>
      </c>
      <c r="U1499" s="9">
        <f>L1499*in_ticket+M1499*d_rep_ticket</f>
        <v/>
      </c>
      <c r="V1499" s="9">
        <f>U1499+T1499*d_topup_amt</f>
        <v/>
      </c>
      <c r="W1499" s="40">
        <f>N1499+T1499*d_topup_ratio</f>
        <v/>
      </c>
      <c r="X1499" s="40">
        <f>SUMIFS(W1481:W1506,B1481:B1506,B1499-in_dpd_lag)*d_cured</f>
        <v/>
      </c>
      <c r="Y1499" s="40">
        <f>SUMIFS(W1481:W1506,B1481:B1506,B1499-in_rec_lag)*d_recd</f>
        <v/>
      </c>
      <c r="Z1499" s="40">
        <f>IF(AND(B1499&gt;=in_marketplace_from,B1499&lt;in_marketplace_from+in_card_months),in_card_share/in_card_months*F1499*I1499,IF(AND(B1499&gt;=in_marketplace_from+in_card_months,B1499&lt;in_marketplace_from+2*in_card_months),in_card_share*d_card_rem/in_card_months*F1499*MIN(in_takeup_cap,(1+in_takeup_growth)^(D1499-1))*MIN(in_takeup_cap,(1+in_approval_growth)^(D1499-1)),0))</f>
        <v/>
      </c>
      <c r="AA1499" s="14">
        <f>V1499*in_fee*(1-in_taken_back)</f>
        <v/>
      </c>
      <c r="AB1499" s="14">
        <f>SUMIFS(W1481:W1506,B1481:B1506,B1499-in_dpd_lag)*d_dpd</f>
        <v/>
      </c>
      <c r="AC1499" s="14">
        <f>SUMIFS(W1481:W1506,B1481:B1506,B1499-in_rec_lag)*d_rec</f>
        <v/>
      </c>
      <c r="AD1499" s="14">
        <f>Z1499*in_card_fee</f>
        <v/>
      </c>
      <c r="AE1499" s="40">
        <f>AE1498*(1-IF(B1498&gt;=in_marketplace_from,d_hz_hlth_small*G1498,0))</f>
        <v/>
      </c>
      <c r="AF1499" s="46">
        <f>AE1499*IF(B1499&gt;=in_marketplace_from,d_hz_hlth_small*G1499,0)</f>
        <v/>
      </c>
      <c r="AG1499" s="14">
        <f>F1499*AF1499*in_hlth_small_ticket*in_hlth_small_comm*in_ins_partner_share+F1499*in_hlth_small_ticket*in_hlth_small_renew_comm*in_ins_partner_share*(in_hlth_small_renew^1*SUMIFS(AF1481:AF1506,B1481:B1506,B1499-12)+in_hlth_small_renew^2*SUMIFS(AF1481:AF1506,B1481:B1506,B1499-24)+in_hlth_small_renew^3*SUMIFS(AF1481:AF1506,B1481:B1506,B1499-36)+in_hlth_small_renew^4*SUMIFS(AF1481:AF1506,B1481:B1506,B1499-48))</f>
        <v/>
      </c>
      <c r="AH1499" s="40">
        <f>AH1498*(1-IF(B1498&gt;=in_marketplace_from,d_hz_hlth_family*G1498,0))</f>
        <v/>
      </c>
      <c r="AI1499" s="46">
        <f>AH1499*IF(B1499&gt;=in_marketplace_from,d_hz_hlth_family*G1499,0)</f>
        <v/>
      </c>
      <c r="AJ1499" s="14">
        <f>F1499*AI1499*in_hlth_family_ticket*in_hlth_family_comm*in_ins_partner_share+F1499*in_hlth_family_ticket*in_hlth_family_renew_comm*in_ins_partner_share*(in_hlth_family_renew^1*SUMIFS(AI1481:AI1506,B1481:B1506,B1499-12)+in_hlth_family_renew^2*SUMIFS(AI1481:AI1506,B1481:B1506,B1499-24)+in_hlth_family_renew^3*SUMIFS(AI1481:AI1506,B1481:B1506,B1499-36)+in_hlth_family_renew^4*SUMIFS(AI1481:AI1506,B1481:B1506,B1499-48))</f>
        <v/>
      </c>
      <c r="AK1499" s="40">
        <f>AK1498*(1-IF(B1498&gt;=in_marketplace_from,d_hz_life_term*G1498,0))</f>
        <v/>
      </c>
      <c r="AL1499" s="46">
        <f>AK1499*IF(B1499&gt;=in_marketplace_from,d_hz_life_term*G1499,0)</f>
        <v/>
      </c>
      <c r="AM1499" s="14">
        <f>F1499*AL1499*in_life_term_ticket*in_life_term_comm*in_ins_partner_share+F1499*in_life_term_ticket*in_life_term_renew_comm*in_ins_partner_share*(in_life_term_renew^1*SUMIFS(AL1481:AL1506,B1481:B1506,B1499-12)+in_life_term_renew^2*SUMIFS(AL1481:AL1506,B1481:B1506,B1499-24)+in_life_term_renew^3*SUMIFS(AL1481:AL1506,B1481:B1506,B1499-36)+in_life_term_renew^4*SUMIFS(AL1481:AL1506,B1481:B1506,B1499-48))</f>
        <v/>
      </c>
      <c r="AN1499" s="40">
        <f>AN1498*(1-IF(B1498&gt;=in_marketplace_from,d_hz_accident*G1498,0))</f>
        <v/>
      </c>
      <c r="AO1499" s="46">
        <f>AN1499*IF(B1499&gt;=in_marketplace_from,d_hz_accident*G1499,0)</f>
        <v/>
      </c>
      <c r="AP1499" s="14">
        <f>F1499*AO1499*in_accident_ticket*in_accident_comm*in_ins_partner_share+F1499*in_accident_ticket*in_accident_renew_comm*in_ins_partner_share*(in_accident_renew^1*SUMIFS(AO1481:AO1506,B1481:B1506,B1499-12)+in_accident_renew^2*SUMIFS(AO1481:AO1506,B1481:B1506,B1499-24)+in_accident_renew^3*SUMIFS(AO1481:AO1506,B1481:B1506,B1499-36)+in_accident_renew^4*SUMIFS(AO1481:AO1506,B1481:B1506,B1499-48))</f>
        <v/>
      </c>
      <c r="AQ1499" s="40">
        <f>AQ1498*(1-IF(B1498&gt;=in_marketplace_from,d_hz_two_wheeler*G1498,0))</f>
        <v/>
      </c>
      <c r="AR1499" s="46">
        <f>AQ1499*IF(B1499&gt;=in_marketplace_from,d_hz_two_wheeler*G1499,0)</f>
        <v/>
      </c>
      <c r="AS1499" s="14">
        <f>F1499*AR1499*in_two_wheeler_ticket*in_two_wheeler_comm*in_ins_partner_share+F1499*in_two_wheeler_ticket*in_two_wheeler_comm*in_ins_partner_share*(in_two_wheeler_renew^1*SUMIFS(AR1481:AR1506,B1481:B1506,B1499-12)+in_two_wheeler_renew^2*SUMIFS(AR1481:AR1506,B1481:B1506,B1499-24)+in_two_wheeler_renew^3*SUMIFS(AR1481:AR1506,B1481:B1506,B1499-36)+in_two_wheeler_renew^4*SUMIFS(AR1481:AR1506,B1481:B1506,B1499-48))</f>
        <v/>
      </c>
      <c r="AT1499" s="40">
        <f>AT1498*(1-IF(B1498&gt;=in_marketplace_from,d_hz_device*G1498,0))</f>
        <v/>
      </c>
      <c r="AU1499" s="14">
        <f>F1499*AT1499*IF(B1499&gt;=in_marketplace_from,d_hz_device*G1499,0)*in_device_ticket*in_device_comm*in_ins_partner_share</f>
        <v/>
      </c>
      <c r="AV1499" s="40">
        <f>AV1498*(1-IF(B1498&gt;=in_marketplace_from,d_hz_shop*G1498,0))</f>
        <v/>
      </c>
      <c r="AW1499" s="46">
        <f>AV1499*IF(B1499&gt;=in_marketplace_from,d_hz_shop*G1499,0)</f>
        <v/>
      </c>
      <c r="AX1499" s="14">
        <f>F1499*AW1499*in_shop_ticket*in_shop_comm*in_ins_partner_share+F1499*in_shop_ticket*in_shop_renew_comm*in_ins_partner_share*(in_shop_renew^1*SUMIFS(AW1481:AW1506,B1481:B1506,B1499-12)+in_shop_renew^2*SUMIFS(AW1481:AW1506,B1481:B1506,B1499-24)+in_shop_renew^3*SUMIFS(AW1481:AW1506,B1481:B1506,B1499-36)+in_shop_renew^4*SUMIFS(AW1481:AW1506,B1481:B1506,B1499-48))</f>
        <v/>
      </c>
      <c r="AY1499" s="40">
        <f>AY1498*(1-IF(B1498&gt;=in_marketplace_from,d_hz_sip*G1498,0))</f>
        <v/>
      </c>
      <c r="AZ1499" s="40">
        <f>AZ1498*d_rho_sip+AY1499*IF(B1499&gt;=in_marketplace_from,d_hz_sip*G1499,0)</f>
        <v/>
      </c>
      <c r="BA1499" s="40">
        <f>d_rho_sip*(BA1498+AZ1498)</f>
        <v/>
      </c>
      <c r="BB1499" s="14">
        <f>F1499*in_sip_ticket*(BA1499+0.5*AZ1499)*in_sip_comm/12</f>
        <v/>
      </c>
      <c r="BC1499" s="40">
        <f>BC1498*(1-IF(B1498&gt;=in_marketplace_from,d_hz_choti*G1498,0))</f>
        <v/>
      </c>
      <c r="BD1499" s="46">
        <f>BC1499*IF(B1499&gt;=in_marketplace_from,d_hz_choti*G1499,0)</f>
        <v/>
      </c>
      <c r="BE1499" s="14">
        <f>F1499*SUMIFS(BD1481:BD1506,B1481:B1506,B1499-in_choti_months)*in_choti_renew*in_choti_ticket</f>
        <v/>
      </c>
      <c r="BF1499" s="40">
        <f>BF1498*(1-IF(B1498&gt;=in_marketplace_from,d_hz_nps*G1498,0))</f>
        <v/>
      </c>
      <c r="BG1499" s="14">
        <f>F1499*BF1499*IF(B1499&gt;=in_marketplace_from,d_hz_nps*G1499,0)*in_nps_ticket*in_nps_comm</f>
        <v/>
      </c>
      <c r="BH1499" s="40">
        <f>BH1498*(1-IF(B1498&gt;=in_marketplace_from,d_hz_gold*G1498,0))</f>
        <v/>
      </c>
      <c r="BI1499" s="40">
        <f>BI1498*d_rho_gold+BH1499*IF(B1499&gt;=in_marketplace_from,d_hz_gold*G1499,0)</f>
        <v/>
      </c>
      <c r="BJ1499" s="14">
        <f>F1499*BI1499*in_gold_ticket*in_gold_comm</f>
        <v/>
      </c>
      <c r="BK1499" s="40">
        <f>BK1498*(1-IF(B1498&gt;=in_marketplace_from,d_hz_fd*G1498,0))</f>
        <v/>
      </c>
      <c r="BL1499" s="14">
        <f>F1499*BK1499*IF(B1499&gt;=in_marketplace_from,d_hz_fd*G1499,0)*in_fd_ticket*in_fd_comm</f>
        <v/>
      </c>
      <c r="BM1499" s="40">
        <f>BM1498*(1-IF(B1498&gt;=in_marketplace_from,d_hz_recharge*G1498,0))</f>
        <v/>
      </c>
      <c r="BN1499" s="40">
        <f>BN1498*d_rho_recharge+BM1499*IF(B1499&gt;=in_marketplace_from,d_hz_recharge*G1499,0)</f>
        <v/>
      </c>
      <c r="BO1499" s="14">
        <f>F1499*BN1499*in_recharge_ticket*in_recharge_comm/12</f>
        <v/>
      </c>
      <c r="BP1499" s="40">
        <f>BP1498*(1-IF(B1498&gt;=in_marketplace_from,d_hz_bills*G1498,0))</f>
        <v/>
      </c>
      <c r="BQ1499" s="40">
        <f>BQ1498*d_rho_bills+BP1499*IF(B1499&gt;=in_marketplace_from,d_hz_bills*G1499,0)</f>
        <v/>
      </c>
      <c r="BR1499" s="14">
        <f>F1499*BQ1499*in_bills_ticket*in_bills_comm/12</f>
        <v/>
      </c>
      <c r="BS1499" s="40">
        <f>BS1498*(1-IF(B1498&gt;=in_marketplace_from,d_hz_loan_gold*G1498,0))</f>
        <v/>
      </c>
      <c r="BT1499" s="14">
        <f>F1499*BS1499*IF(B1499&gt;=in_marketplace_from,d_hz_loan_gold*G1499,0)*in_loan_gold_ticket*in_loan_gold_comm</f>
        <v/>
      </c>
      <c r="BU1499" s="40">
        <f>BU1498*(1-IF(B1498&gt;=in_marketplace_from,d_hz_loan_cd*G1498,0))</f>
        <v/>
      </c>
      <c r="BV1499" s="14">
        <f>F1499*BU1499*IF(B1499&gt;=in_marketplace_from,d_hz_loan_cd*G1499,0)*in_loan_cd_ticket*in_loan_cd_comm</f>
        <v/>
      </c>
      <c r="BW1499" s="40">
        <f>BW1498*(1-IF(B1498&gt;=in_marketplace_from,d_hz_loan_vehicle*G1498,0))</f>
        <v/>
      </c>
      <c r="BX1499" s="14">
        <f>F1499*BW1499*IF(B1499&gt;=in_marketplace_from,d_hz_loan_vehicle*G1499,0)*in_loan_vehicle_ticket*in_loan_vehicle_comm</f>
        <v/>
      </c>
      <c r="BY1499" s="40">
        <f>BY1498*(1-IF(B1498&gt;=in_marketplace_from,d_hz_loan_home*G1498,0)*BZ1498)</f>
        <v/>
      </c>
      <c r="BZ1499" s="11">
        <f>MIN(in_approval_cap,in_loan_home_approval*INDEX('Age profile'!$O$2:$O$61,B1499)*(1+in_approval_growth)^(D1499-1))</f>
        <v/>
      </c>
      <c r="CA1499" s="14">
        <f>F1499*BY1499*IF(B1499&gt;=in_marketplace_from,d_hz_loan_home*G1499,0)*BZ1499*in_loan_home_ticket*in_loan_home_comm</f>
        <v/>
      </c>
      <c r="CB1499" s="40">
        <f>CB1498*(1-IF(B1498&gt;=in_marketplace_from,d_hz_loan_lap*G1498,0)*CC1498)</f>
        <v/>
      </c>
      <c r="CC1499" s="11">
        <f>MIN(in_approval_cap,in_loan_lap_approval*INDEX('Age profile'!$O$2:$O$61,B1499)*(1+in_approval_growth)^(D1499-1))</f>
        <v/>
      </c>
      <c r="CD1499" s="14">
        <f>F1499*CB1499*IF(B1499&gt;=in_marketplace_from,d_hz_loan_lap*G1499,0)*CC1499*in_loan_lap_ticket*in_loan_lap_comm</f>
        <v/>
      </c>
      <c r="CE1499" s="14">
        <f>AA1499+AB1499+AC1499+AD1499+AG1499+AJ1499+AM1499+AP1499+AS1499+AU1499+AX1499+BB1499+BE1499+BG1499+BJ1499+BL1499+BO1499+BR1499+BT1499+BV1499+BX1499+CA1499+CD1499</f>
        <v/>
      </c>
    </row>
    <row r="1500">
      <c r="A1500" s="39" t="n">
        <v>35</v>
      </c>
      <c r="B1500" s="39" t="n">
        <v>20</v>
      </c>
      <c r="C1500" s="39">
        <f>A1500+B1500-1</f>
        <v/>
      </c>
      <c r="D1500" s="39">
        <f>INT((C1500-1)/12)+1</f>
        <v/>
      </c>
      <c r="E1500" s="44">
        <f>INDEX(Monthly!$B$2:$B$61,A1500)</f>
        <v/>
      </c>
      <c r="F1500" s="44">
        <f>E1500*INDEX('Age profile'!$B$2:$B$61,B1500)</f>
        <v/>
      </c>
      <c r="G1500" s="45">
        <f>MIN(in_takeup_cap,INDEX('Age profile'!$N$2:$N$61,B1500)*(1+in_takeup_growth)^(D1500-1))</f>
        <v/>
      </c>
      <c r="H1500" s="11">
        <f>MIN(in_approval_cap,in_approved_first*INDEX('Age profile'!$O$2:$O$61,B1500)*(1+in_approval_growth)^(D1500-1))</f>
        <v/>
      </c>
      <c r="I1500" s="45">
        <f>G1500*MIN(in_takeup_cap,INDEX('Age profile'!$O$2:$O$61,B1500)*(1+in_approval_growth)^(D1500-1))</f>
        <v/>
      </c>
      <c r="J1500" s="40">
        <f>(J1499-L1499)*F1500/F1499</f>
        <v/>
      </c>
      <c r="K1500" s="40">
        <f>(K1499-M1499)*F1500/F1499+SUMIFS(O1481:O1499,B1481:B1499,B1500-1-d_T)*F1500</f>
        <v/>
      </c>
      <c r="L1500" s="40">
        <f>IF(B1500&gt;=in_marketplace_from,J1500*d_hz*G1500*in_eligible*H1500,0)</f>
        <v/>
      </c>
      <c r="M1500" s="40">
        <f>IF(B1500&gt;=in_marketplace_from,K1500*d_hz*G1500*in_eligible*in_approved_repeat,0)</f>
        <v/>
      </c>
      <c r="N1500" s="40">
        <f>L1500+M1500</f>
        <v/>
      </c>
      <c r="O1500" s="46">
        <f>N1500/F1500</f>
        <v/>
      </c>
      <c r="P1500" s="40">
        <f>F1500-J1500-K1500</f>
        <v/>
      </c>
      <c r="Q1500" s="40">
        <f>IF(B1500&gt;=in_marketplace_from,(J1500+K1500)*d_hz*G1500,0)</f>
        <v/>
      </c>
      <c r="R1500" s="40">
        <f>SUMIFS(N1481:N1506,B1481:B1506,"&gt;="&amp;(B1500-d_T),B1481:B1506,"&lt;="&amp;(B1500-1))</f>
        <v/>
      </c>
      <c r="S1500" s="46">
        <f>(1-d_u)*S1499+IF(d_T&gt;in_topup_lag,SUMIFS(O1481:O1506,B1481:B1506,B1500-in_topup_lag)-d_udrop*SUMIFS(O1481:O1506,B1481:B1506,B1500-d_T),0)</f>
        <v/>
      </c>
      <c r="T1500" s="40">
        <f>F1500*d_u*S1500</f>
        <v/>
      </c>
      <c r="U1500" s="9">
        <f>L1500*in_ticket+M1500*d_rep_ticket</f>
        <v/>
      </c>
      <c r="V1500" s="9">
        <f>U1500+T1500*d_topup_amt</f>
        <v/>
      </c>
      <c r="W1500" s="40">
        <f>N1500+T1500*d_topup_ratio</f>
        <v/>
      </c>
      <c r="X1500" s="40">
        <f>SUMIFS(W1481:W1506,B1481:B1506,B1500-in_dpd_lag)*d_cured</f>
        <v/>
      </c>
      <c r="Y1500" s="40">
        <f>SUMIFS(W1481:W1506,B1481:B1506,B1500-in_rec_lag)*d_recd</f>
        <v/>
      </c>
      <c r="Z1500" s="40">
        <f>IF(AND(B1500&gt;=in_marketplace_from,B1500&lt;in_marketplace_from+in_card_months),in_card_share/in_card_months*F1500*I1500,IF(AND(B1500&gt;=in_marketplace_from+in_card_months,B1500&lt;in_marketplace_from+2*in_card_months),in_card_share*d_card_rem/in_card_months*F1500*MIN(in_takeup_cap,(1+in_takeup_growth)^(D1500-1))*MIN(in_takeup_cap,(1+in_approval_growth)^(D1500-1)),0))</f>
        <v/>
      </c>
      <c r="AA1500" s="14">
        <f>V1500*in_fee*(1-in_taken_back)</f>
        <v/>
      </c>
      <c r="AB1500" s="14">
        <f>SUMIFS(W1481:W1506,B1481:B1506,B1500-in_dpd_lag)*d_dpd</f>
        <v/>
      </c>
      <c r="AC1500" s="14">
        <f>SUMIFS(W1481:W1506,B1481:B1506,B1500-in_rec_lag)*d_rec</f>
        <v/>
      </c>
      <c r="AD1500" s="14">
        <f>Z1500*in_card_fee</f>
        <v/>
      </c>
      <c r="AE1500" s="40">
        <f>AE1499*(1-IF(B1499&gt;=in_marketplace_from,d_hz_hlth_small*G1499,0))</f>
        <v/>
      </c>
      <c r="AF1500" s="46">
        <f>AE1500*IF(B1500&gt;=in_marketplace_from,d_hz_hlth_small*G1500,0)</f>
        <v/>
      </c>
      <c r="AG1500" s="14">
        <f>F1500*AF1500*in_hlth_small_ticket*in_hlth_small_comm*in_ins_partner_share+F1500*in_hlth_small_ticket*in_hlth_small_renew_comm*in_ins_partner_share*(in_hlth_small_renew^1*SUMIFS(AF1481:AF1506,B1481:B1506,B1500-12)+in_hlth_small_renew^2*SUMIFS(AF1481:AF1506,B1481:B1506,B1500-24)+in_hlth_small_renew^3*SUMIFS(AF1481:AF1506,B1481:B1506,B1500-36)+in_hlth_small_renew^4*SUMIFS(AF1481:AF1506,B1481:B1506,B1500-48))</f>
        <v/>
      </c>
      <c r="AH1500" s="40">
        <f>AH1499*(1-IF(B1499&gt;=in_marketplace_from,d_hz_hlth_family*G1499,0))</f>
        <v/>
      </c>
      <c r="AI1500" s="46">
        <f>AH1500*IF(B1500&gt;=in_marketplace_from,d_hz_hlth_family*G1500,0)</f>
        <v/>
      </c>
      <c r="AJ1500" s="14">
        <f>F1500*AI1500*in_hlth_family_ticket*in_hlth_family_comm*in_ins_partner_share+F1500*in_hlth_family_ticket*in_hlth_family_renew_comm*in_ins_partner_share*(in_hlth_family_renew^1*SUMIFS(AI1481:AI1506,B1481:B1506,B1500-12)+in_hlth_family_renew^2*SUMIFS(AI1481:AI1506,B1481:B1506,B1500-24)+in_hlth_family_renew^3*SUMIFS(AI1481:AI1506,B1481:B1506,B1500-36)+in_hlth_family_renew^4*SUMIFS(AI1481:AI1506,B1481:B1506,B1500-48))</f>
        <v/>
      </c>
      <c r="AK1500" s="40">
        <f>AK1499*(1-IF(B1499&gt;=in_marketplace_from,d_hz_life_term*G1499,0))</f>
        <v/>
      </c>
      <c r="AL1500" s="46">
        <f>AK1500*IF(B1500&gt;=in_marketplace_from,d_hz_life_term*G1500,0)</f>
        <v/>
      </c>
      <c r="AM1500" s="14">
        <f>F1500*AL1500*in_life_term_ticket*in_life_term_comm*in_ins_partner_share+F1500*in_life_term_ticket*in_life_term_renew_comm*in_ins_partner_share*(in_life_term_renew^1*SUMIFS(AL1481:AL1506,B1481:B1506,B1500-12)+in_life_term_renew^2*SUMIFS(AL1481:AL1506,B1481:B1506,B1500-24)+in_life_term_renew^3*SUMIFS(AL1481:AL1506,B1481:B1506,B1500-36)+in_life_term_renew^4*SUMIFS(AL1481:AL1506,B1481:B1506,B1500-48))</f>
        <v/>
      </c>
      <c r="AN1500" s="40">
        <f>AN1499*(1-IF(B1499&gt;=in_marketplace_from,d_hz_accident*G1499,0))</f>
        <v/>
      </c>
      <c r="AO1500" s="46">
        <f>AN1500*IF(B1500&gt;=in_marketplace_from,d_hz_accident*G1500,0)</f>
        <v/>
      </c>
      <c r="AP1500" s="14">
        <f>F1500*AO1500*in_accident_ticket*in_accident_comm*in_ins_partner_share+F1500*in_accident_ticket*in_accident_renew_comm*in_ins_partner_share*(in_accident_renew^1*SUMIFS(AO1481:AO1506,B1481:B1506,B1500-12)+in_accident_renew^2*SUMIFS(AO1481:AO1506,B1481:B1506,B1500-24)+in_accident_renew^3*SUMIFS(AO1481:AO1506,B1481:B1506,B1500-36)+in_accident_renew^4*SUMIFS(AO1481:AO1506,B1481:B1506,B1500-48))</f>
        <v/>
      </c>
      <c r="AQ1500" s="40">
        <f>AQ1499*(1-IF(B1499&gt;=in_marketplace_from,d_hz_two_wheeler*G1499,0))</f>
        <v/>
      </c>
      <c r="AR1500" s="46">
        <f>AQ1500*IF(B1500&gt;=in_marketplace_from,d_hz_two_wheeler*G1500,0)</f>
        <v/>
      </c>
      <c r="AS1500" s="14">
        <f>F1500*AR1500*in_two_wheeler_ticket*in_two_wheeler_comm*in_ins_partner_share+F1500*in_two_wheeler_ticket*in_two_wheeler_comm*in_ins_partner_share*(in_two_wheeler_renew^1*SUMIFS(AR1481:AR1506,B1481:B1506,B1500-12)+in_two_wheeler_renew^2*SUMIFS(AR1481:AR1506,B1481:B1506,B1500-24)+in_two_wheeler_renew^3*SUMIFS(AR1481:AR1506,B1481:B1506,B1500-36)+in_two_wheeler_renew^4*SUMIFS(AR1481:AR1506,B1481:B1506,B1500-48))</f>
        <v/>
      </c>
      <c r="AT1500" s="40">
        <f>AT1499*(1-IF(B1499&gt;=in_marketplace_from,d_hz_device*G1499,0))</f>
        <v/>
      </c>
      <c r="AU1500" s="14">
        <f>F1500*AT1500*IF(B1500&gt;=in_marketplace_from,d_hz_device*G1500,0)*in_device_ticket*in_device_comm*in_ins_partner_share</f>
        <v/>
      </c>
      <c r="AV1500" s="40">
        <f>AV1499*(1-IF(B1499&gt;=in_marketplace_from,d_hz_shop*G1499,0))</f>
        <v/>
      </c>
      <c r="AW1500" s="46">
        <f>AV1500*IF(B1500&gt;=in_marketplace_from,d_hz_shop*G1500,0)</f>
        <v/>
      </c>
      <c r="AX1500" s="14">
        <f>F1500*AW1500*in_shop_ticket*in_shop_comm*in_ins_partner_share+F1500*in_shop_ticket*in_shop_renew_comm*in_ins_partner_share*(in_shop_renew^1*SUMIFS(AW1481:AW1506,B1481:B1506,B1500-12)+in_shop_renew^2*SUMIFS(AW1481:AW1506,B1481:B1506,B1500-24)+in_shop_renew^3*SUMIFS(AW1481:AW1506,B1481:B1506,B1500-36)+in_shop_renew^4*SUMIFS(AW1481:AW1506,B1481:B1506,B1500-48))</f>
        <v/>
      </c>
      <c r="AY1500" s="40">
        <f>AY1499*(1-IF(B1499&gt;=in_marketplace_from,d_hz_sip*G1499,0))</f>
        <v/>
      </c>
      <c r="AZ1500" s="40">
        <f>AZ1499*d_rho_sip+AY1500*IF(B1500&gt;=in_marketplace_from,d_hz_sip*G1500,0)</f>
        <v/>
      </c>
      <c r="BA1500" s="40">
        <f>d_rho_sip*(BA1499+AZ1499)</f>
        <v/>
      </c>
      <c r="BB1500" s="14">
        <f>F1500*in_sip_ticket*(BA1500+0.5*AZ1500)*in_sip_comm/12</f>
        <v/>
      </c>
      <c r="BC1500" s="40">
        <f>BC1499*(1-IF(B1499&gt;=in_marketplace_from,d_hz_choti*G1499,0))</f>
        <v/>
      </c>
      <c r="BD1500" s="46">
        <f>BC1500*IF(B1500&gt;=in_marketplace_from,d_hz_choti*G1500,0)</f>
        <v/>
      </c>
      <c r="BE1500" s="14">
        <f>F1500*SUMIFS(BD1481:BD1506,B1481:B1506,B1500-in_choti_months)*in_choti_renew*in_choti_ticket</f>
        <v/>
      </c>
      <c r="BF1500" s="40">
        <f>BF1499*(1-IF(B1499&gt;=in_marketplace_from,d_hz_nps*G1499,0))</f>
        <v/>
      </c>
      <c r="BG1500" s="14">
        <f>F1500*BF1500*IF(B1500&gt;=in_marketplace_from,d_hz_nps*G1500,0)*in_nps_ticket*in_nps_comm</f>
        <v/>
      </c>
      <c r="BH1500" s="40">
        <f>BH1499*(1-IF(B1499&gt;=in_marketplace_from,d_hz_gold*G1499,0))</f>
        <v/>
      </c>
      <c r="BI1500" s="40">
        <f>BI1499*d_rho_gold+BH1500*IF(B1500&gt;=in_marketplace_from,d_hz_gold*G1500,0)</f>
        <v/>
      </c>
      <c r="BJ1500" s="14">
        <f>F1500*BI1500*in_gold_ticket*in_gold_comm</f>
        <v/>
      </c>
      <c r="BK1500" s="40">
        <f>BK1499*(1-IF(B1499&gt;=in_marketplace_from,d_hz_fd*G1499,0))</f>
        <v/>
      </c>
      <c r="BL1500" s="14">
        <f>F1500*BK1500*IF(B1500&gt;=in_marketplace_from,d_hz_fd*G1500,0)*in_fd_ticket*in_fd_comm</f>
        <v/>
      </c>
      <c r="BM1500" s="40">
        <f>BM1499*(1-IF(B1499&gt;=in_marketplace_from,d_hz_recharge*G1499,0))</f>
        <v/>
      </c>
      <c r="BN1500" s="40">
        <f>BN1499*d_rho_recharge+BM1500*IF(B1500&gt;=in_marketplace_from,d_hz_recharge*G1500,0)</f>
        <v/>
      </c>
      <c r="BO1500" s="14">
        <f>F1500*BN1500*in_recharge_ticket*in_recharge_comm/12</f>
        <v/>
      </c>
      <c r="BP1500" s="40">
        <f>BP1499*(1-IF(B1499&gt;=in_marketplace_from,d_hz_bills*G1499,0))</f>
        <v/>
      </c>
      <c r="BQ1500" s="40">
        <f>BQ1499*d_rho_bills+BP1500*IF(B1500&gt;=in_marketplace_from,d_hz_bills*G1500,0)</f>
        <v/>
      </c>
      <c r="BR1500" s="14">
        <f>F1500*BQ1500*in_bills_ticket*in_bills_comm/12</f>
        <v/>
      </c>
      <c r="BS1500" s="40">
        <f>BS1499*(1-IF(B1499&gt;=in_marketplace_from,d_hz_loan_gold*G1499,0))</f>
        <v/>
      </c>
      <c r="BT1500" s="14">
        <f>F1500*BS1500*IF(B1500&gt;=in_marketplace_from,d_hz_loan_gold*G1500,0)*in_loan_gold_ticket*in_loan_gold_comm</f>
        <v/>
      </c>
      <c r="BU1500" s="40">
        <f>BU1499*(1-IF(B1499&gt;=in_marketplace_from,d_hz_loan_cd*G1499,0))</f>
        <v/>
      </c>
      <c r="BV1500" s="14">
        <f>F1500*BU1500*IF(B1500&gt;=in_marketplace_from,d_hz_loan_cd*G1500,0)*in_loan_cd_ticket*in_loan_cd_comm</f>
        <v/>
      </c>
      <c r="BW1500" s="40">
        <f>BW1499*(1-IF(B1499&gt;=in_marketplace_from,d_hz_loan_vehicle*G1499,0))</f>
        <v/>
      </c>
      <c r="BX1500" s="14">
        <f>F1500*BW1500*IF(B1500&gt;=in_marketplace_from,d_hz_loan_vehicle*G1500,0)*in_loan_vehicle_ticket*in_loan_vehicle_comm</f>
        <v/>
      </c>
      <c r="BY1500" s="40">
        <f>BY1499*(1-IF(B1499&gt;=in_marketplace_from,d_hz_loan_home*G1499,0)*BZ1499)</f>
        <v/>
      </c>
      <c r="BZ1500" s="11">
        <f>MIN(in_approval_cap,in_loan_home_approval*INDEX('Age profile'!$O$2:$O$61,B1500)*(1+in_approval_growth)^(D1500-1))</f>
        <v/>
      </c>
      <c r="CA1500" s="14">
        <f>F1500*BY1500*IF(B1500&gt;=in_marketplace_from,d_hz_loan_home*G1500,0)*BZ1500*in_loan_home_ticket*in_loan_home_comm</f>
        <v/>
      </c>
      <c r="CB1500" s="40">
        <f>CB1499*(1-IF(B1499&gt;=in_marketplace_from,d_hz_loan_lap*G1499,0)*CC1499)</f>
        <v/>
      </c>
      <c r="CC1500" s="11">
        <f>MIN(in_approval_cap,in_loan_lap_approval*INDEX('Age profile'!$O$2:$O$61,B1500)*(1+in_approval_growth)^(D1500-1))</f>
        <v/>
      </c>
      <c r="CD1500" s="14">
        <f>F1500*CB1500*IF(B1500&gt;=in_marketplace_from,d_hz_loan_lap*G1500,0)*CC1500*in_loan_lap_ticket*in_loan_lap_comm</f>
        <v/>
      </c>
      <c r="CE1500" s="14">
        <f>AA1500+AB1500+AC1500+AD1500+AG1500+AJ1500+AM1500+AP1500+AS1500+AU1500+AX1500+BB1500+BE1500+BG1500+BJ1500+BL1500+BO1500+BR1500+BT1500+BV1500+BX1500+CA1500+CD1500</f>
        <v/>
      </c>
    </row>
    <row r="1501">
      <c r="A1501" s="39" t="n">
        <v>35</v>
      </c>
      <c r="B1501" s="39" t="n">
        <v>21</v>
      </c>
      <c r="C1501" s="39">
        <f>A1501+B1501-1</f>
        <v/>
      </c>
      <c r="D1501" s="39">
        <f>INT((C1501-1)/12)+1</f>
        <v/>
      </c>
      <c r="E1501" s="44">
        <f>INDEX(Monthly!$B$2:$B$61,A1501)</f>
        <v/>
      </c>
      <c r="F1501" s="44">
        <f>E1501*INDEX('Age profile'!$B$2:$B$61,B1501)</f>
        <v/>
      </c>
      <c r="G1501" s="45">
        <f>MIN(in_takeup_cap,INDEX('Age profile'!$N$2:$N$61,B1501)*(1+in_takeup_growth)^(D1501-1))</f>
        <v/>
      </c>
      <c r="H1501" s="11">
        <f>MIN(in_approval_cap,in_approved_first*INDEX('Age profile'!$O$2:$O$61,B1501)*(1+in_approval_growth)^(D1501-1))</f>
        <v/>
      </c>
      <c r="I1501" s="45">
        <f>G1501*MIN(in_takeup_cap,INDEX('Age profile'!$O$2:$O$61,B1501)*(1+in_approval_growth)^(D1501-1))</f>
        <v/>
      </c>
      <c r="J1501" s="40">
        <f>(J1500-L1500)*F1501/F1500</f>
        <v/>
      </c>
      <c r="K1501" s="40">
        <f>(K1500-M1500)*F1501/F1500+SUMIFS(O1481:O1500,B1481:B1500,B1501-1-d_T)*F1501</f>
        <v/>
      </c>
      <c r="L1501" s="40">
        <f>IF(B1501&gt;=in_marketplace_from,J1501*d_hz*G1501*in_eligible*H1501,0)</f>
        <v/>
      </c>
      <c r="M1501" s="40">
        <f>IF(B1501&gt;=in_marketplace_from,K1501*d_hz*G1501*in_eligible*in_approved_repeat,0)</f>
        <v/>
      </c>
      <c r="N1501" s="40">
        <f>L1501+M1501</f>
        <v/>
      </c>
      <c r="O1501" s="46">
        <f>N1501/F1501</f>
        <v/>
      </c>
      <c r="P1501" s="40">
        <f>F1501-J1501-K1501</f>
        <v/>
      </c>
      <c r="Q1501" s="40">
        <f>IF(B1501&gt;=in_marketplace_from,(J1501+K1501)*d_hz*G1501,0)</f>
        <v/>
      </c>
      <c r="R1501" s="40">
        <f>SUMIFS(N1481:N1506,B1481:B1506,"&gt;="&amp;(B1501-d_T),B1481:B1506,"&lt;="&amp;(B1501-1))</f>
        <v/>
      </c>
      <c r="S1501" s="46">
        <f>(1-d_u)*S1500+IF(d_T&gt;in_topup_lag,SUMIFS(O1481:O1506,B1481:B1506,B1501-in_topup_lag)-d_udrop*SUMIFS(O1481:O1506,B1481:B1506,B1501-d_T),0)</f>
        <v/>
      </c>
      <c r="T1501" s="40">
        <f>F1501*d_u*S1501</f>
        <v/>
      </c>
      <c r="U1501" s="9">
        <f>L1501*in_ticket+M1501*d_rep_ticket</f>
        <v/>
      </c>
      <c r="V1501" s="9">
        <f>U1501+T1501*d_topup_amt</f>
        <v/>
      </c>
      <c r="W1501" s="40">
        <f>N1501+T1501*d_topup_ratio</f>
        <v/>
      </c>
      <c r="X1501" s="40">
        <f>SUMIFS(W1481:W1506,B1481:B1506,B1501-in_dpd_lag)*d_cured</f>
        <v/>
      </c>
      <c r="Y1501" s="40">
        <f>SUMIFS(W1481:W1506,B1481:B1506,B1501-in_rec_lag)*d_recd</f>
        <v/>
      </c>
      <c r="Z1501" s="40">
        <f>IF(AND(B1501&gt;=in_marketplace_from,B1501&lt;in_marketplace_from+in_card_months),in_card_share/in_card_months*F1501*I1501,IF(AND(B1501&gt;=in_marketplace_from+in_card_months,B1501&lt;in_marketplace_from+2*in_card_months),in_card_share*d_card_rem/in_card_months*F1501*MIN(in_takeup_cap,(1+in_takeup_growth)^(D1501-1))*MIN(in_takeup_cap,(1+in_approval_growth)^(D1501-1)),0))</f>
        <v/>
      </c>
      <c r="AA1501" s="14">
        <f>V1501*in_fee*(1-in_taken_back)</f>
        <v/>
      </c>
      <c r="AB1501" s="14">
        <f>SUMIFS(W1481:W1506,B1481:B1506,B1501-in_dpd_lag)*d_dpd</f>
        <v/>
      </c>
      <c r="AC1501" s="14">
        <f>SUMIFS(W1481:W1506,B1481:B1506,B1501-in_rec_lag)*d_rec</f>
        <v/>
      </c>
      <c r="AD1501" s="14">
        <f>Z1501*in_card_fee</f>
        <v/>
      </c>
      <c r="AE1501" s="40">
        <f>AE1500*(1-IF(B1500&gt;=in_marketplace_from,d_hz_hlth_small*G1500,0))</f>
        <v/>
      </c>
      <c r="AF1501" s="46">
        <f>AE1501*IF(B1501&gt;=in_marketplace_from,d_hz_hlth_small*G1501,0)</f>
        <v/>
      </c>
      <c r="AG1501" s="14">
        <f>F1501*AF1501*in_hlth_small_ticket*in_hlth_small_comm*in_ins_partner_share+F1501*in_hlth_small_ticket*in_hlth_small_renew_comm*in_ins_partner_share*(in_hlth_small_renew^1*SUMIFS(AF1481:AF1506,B1481:B1506,B1501-12)+in_hlth_small_renew^2*SUMIFS(AF1481:AF1506,B1481:B1506,B1501-24)+in_hlth_small_renew^3*SUMIFS(AF1481:AF1506,B1481:B1506,B1501-36)+in_hlth_small_renew^4*SUMIFS(AF1481:AF1506,B1481:B1506,B1501-48))</f>
        <v/>
      </c>
      <c r="AH1501" s="40">
        <f>AH1500*(1-IF(B1500&gt;=in_marketplace_from,d_hz_hlth_family*G1500,0))</f>
        <v/>
      </c>
      <c r="AI1501" s="46">
        <f>AH1501*IF(B1501&gt;=in_marketplace_from,d_hz_hlth_family*G1501,0)</f>
        <v/>
      </c>
      <c r="AJ1501" s="14">
        <f>F1501*AI1501*in_hlth_family_ticket*in_hlth_family_comm*in_ins_partner_share+F1501*in_hlth_family_ticket*in_hlth_family_renew_comm*in_ins_partner_share*(in_hlth_family_renew^1*SUMIFS(AI1481:AI1506,B1481:B1506,B1501-12)+in_hlth_family_renew^2*SUMIFS(AI1481:AI1506,B1481:B1506,B1501-24)+in_hlth_family_renew^3*SUMIFS(AI1481:AI1506,B1481:B1506,B1501-36)+in_hlth_family_renew^4*SUMIFS(AI1481:AI1506,B1481:B1506,B1501-48))</f>
        <v/>
      </c>
      <c r="AK1501" s="40">
        <f>AK1500*(1-IF(B1500&gt;=in_marketplace_from,d_hz_life_term*G1500,0))</f>
        <v/>
      </c>
      <c r="AL1501" s="46">
        <f>AK1501*IF(B1501&gt;=in_marketplace_from,d_hz_life_term*G1501,0)</f>
        <v/>
      </c>
      <c r="AM1501" s="14">
        <f>F1501*AL1501*in_life_term_ticket*in_life_term_comm*in_ins_partner_share+F1501*in_life_term_ticket*in_life_term_renew_comm*in_ins_partner_share*(in_life_term_renew^1*SUMIFS(AL1481:AL1506,B1481:B1506,B1501-12)+in_life_term_renew^2*SUMIFS(AL1481:AL1506,B1481:B1506,B1501-24)+in_life_term_renew^3*SUMIFS(AL1481:AL1506,B1481:B1506,B1501-36)+in_life_term_renew^4*SUMIFS(AL1481:AL1506,B1481:B1506,B1501-48))</f>
        <v/>
      </c>
      <c r="AN1501" s="40">
        <f>AN1500*(1-IF(B1500&gt;=in_marketplace_from,d_hz_accident*G1500,0))</f>
        <v/>
      </c>
      <c r="AO1501" s="46">
        <f>AN1501*IF(B1501&gt;=in_marketplace_from,d_hz_accident*G1501,0)</f>
        <v/>
      </c>
      <c r="AP1501" s="14">
        <f>F1501*AO1501*in_accident_ticket*in_accident_comm*in_ins_partner_share+F1501*in_accident_ticket*in_accident_renew_comm*in_ins_partner_share*(in_accident_renew^1*SUMIFS(AO1481:AO1506,B1481:B1506,B1501-12)+in_accident_renew^2*SUMIFS(AO1481:AO1506,B1481:B1506,B1501-24)+in_accident_renew^3*SUMIFS(AO1481:AO1506,B1481:B1506,B1501-36)+in_accident_renew^4*SUMIFS(AO1481:AO1506,B1481:B1506,B1501-48))</f>
        <v/>
      </c>
      <c r="AQ1501" s="40">
        <f>AQ1500*(1-IF(B1500&gt;=in_marketplace_from,d_hz_two_wheeler*G1500,0))</f>
        <v/>
      </c>
      <c r="AR1501" s="46">
        <f>AQ1501*IF(B1501&gt;=in_marketplace_from,d_hz_two_wheeler*G1501,0)</f>
        <v/>
      </c>
      <c r="AS1501" s="14">
        <f>F1501*AR1501*in_two_wheeler_ticket*in_two_wheeler_comm*in_ins_partner_share+F1501*in_two_wheeler_ticket*in_two_wheeler_comm*in_ins_partner_share*(in_two_wheeler_renew^1*SUMIFS(AR1481:AR1506,B1481:B1506,B1501-12)+in_two_wheeler_renew^2*SUMIFS(AR1481:AR1506,B1481:B1506,B1501-24)+in_two_wheeler_renew^3*SUMIFS(AR1481:AR1506,B1481:B1506,B1501-36)+in_two_wheeler_renew^4*SUMIFS(AR1481:AR1506,B1481:B1506,B1501-48))</f>
        <v/>
      </c>
      <c r="AT1501" s="40">
        <f>AT1500*(1-IF(B1500&gt;=in_marketplace_from,d_hz_device*G1500,0))</f>
        <v/>
      </c>
      <c r="AU1501" s="14">
        <f>F1501*AT1501*IF(B1501&gt;=in_marketplace_from,d_hz_device*G1501,0)*in_device_ticket*in_device_comm*in_ins_partner_share</f>
        <v/>
      </c>
      <c r="AV1501" s="40">
        <f>AV1500*(1-IF(B1500&gt;=in_marketplace_from,d_hz_shop*G1500,0))</f>
        <v/>
      </c>
      <c r="AW1501" s="46">
        <f>AV1501*IF(B1501&gt;=in_marketplace_from,d_hz_shop*G1501,0)</f>
        <v/>
      </c>
      <c r="AX1501" s="14">
        <f>F1501*AW1501*in_shop_ticket*in_shop_comm*in_ins_partner_share+F1501*in_shop_ticket*in_shop_renew_comm*in_ins_partner_share*(in_shop_renew^1*SUMIFS(AW1481:AW1506,B1481:B1506,B1501-12)+in_shop_renew^2*SUMIFS(AW1481:AW1506,B1481:B1506,B1501-24)+in_shop_renew^3*SUMIFS(AW1481:AW1506,B1481:B1506,B1501-36)+in_shop_renew^4*SUMIFS(AW1481:AW1506,B1481:B1506,B1501-48))</f>
        <v/>
      </c>
      <c r="AY1501" s="40">
        <f>AY1500*(1-IF(B1500&gt;=in_marketplace_from,d_hz_sip*G1500,0))</f>
        <v/>
      </c>
      <c r="AZ1501" s="40">
        <f>AZ1500*d_rho_sip+AY1501*IF(B1501&gt;=in_marketplace_from,d_hz_sip*G1501,0)</f>
        <v/>
      </c>
      <c r="BA1501" s="40">
        <f>d_rho_sip*(BA1500+AZ1500)</f>
        <v/>
      </c>
      <c r="BB1501" s="14">
        <f>F1501*in_sip_ticket*(BA1501+0.5*AZ1501)*in_sip_comm/12</f>
        <v/>
      </c>
      <c r="BC1501" s="40">
        <f>BC1500*(1-IF(B1500&gt;=in_marketplace_from,d_hz_choti*G1500,0))</f>
        <v/>
      </c>
      <c r="BD1501" s="46">
        <f>BC1501*IF(B1501&gt;=in_marketplace_from,d_hz_choti*G1501,0)</f>
        <v/>
      </c>
      <c r="BE1501" s="14">
        <f>F1501*SUMIFS(BD1481:BD1506,B1481:B1506,B1501-in_choti_months)*in_choti_renew*in_choti_ticket</f>
        <v/>
      </c>
      <c r="BF1501" s="40">
        <f>BF1500*(1-IF(B1500&gt;=in_marketplace_from,d_hz_nps*G1500,0))</f>
        <v/>
      </c>
      <c r="BG1501" s="14">
        <f>F1501*BF1501*IF(B1501&gt;=in_marketplace_from,d_hz_nps*G1501,0)*in_nps_ticket*in_nps_comm</f>
        <v/>
      </c>
      <c r="BH1501" s="40">
        <f>BH1500*(1-IF(B1500&gt;=in_marketplace_from,d_hz_gold*G1500,0))</f>
        <v/>
      </c>
      <c r="BI1501" s="40">
        <f>BI1500*d_rho_gold+BH1501*IF(B1501&gt;=in_marketplace_from,d_hz_gold*G1501,0)</f>
        <v/>
      </c>
      <c r="BJ1501" s="14">
        <f>F1501*BI1501*in_gold_ticket*in_gold_comm</f>
        <v/>
      </c>
      <c r="BK1501" s="40">
        <f>BK1500*(1-IF(B1500&gt;=in_marketplace_from,d_hz_fd*G1500,0))</f>
        <v/>
      </c>
      <c r="BL1501" s="14">
        <f>F1501*BK1501*IF(B1501&gt;=in_marketplace_from,d_hz_fd*G1501,0)*in_fd_ticket*in_fd_comm</f>
        <v/>
      </c>
      <c r="BM1501" s="40">
        <f>BM1500*(1-IF(B1500&gt;=in_marketplace_from,d_hz_recharge*G1500,0))</f>
        <v/>
      </c>
      <c r="BN1501" s="40">
        <f>BN1500*d_rho_recharge+BM1501*IF(B1501&gt;=in_marketplace_from,d_hz_recharge*G1501,0)</f>
        <v/>
      </c>
      <c r="BO1501" s="14">
        <f>F1501*BN1501*in_recharge_ticket*in_recharge_comm/12</f>
        <v/>
      </c>
      <c r="BP1501" s="40">
        <f>BP1500*(1-IF(B1500&gt;=in_marketplace_from,d_hz_bills*G1500,0))</f>
        <v/>
      </c>
      <c r="BQ1501" s="40">
        <f>BQ1500*d_rho_bills+BP1501*IF(B1501&gt;=in_marketplace_from,d_hz_bills*G1501,0)</f>
        <v/>
      </c>
      <c r="BR1501" s="14">
        <f>F1501*BQ1501*in_bills_ticket*in_bills_comm/12</f>
        <v/>
      </c>
      <c r="BS1501" s="40">
        <f>BS1500*(1-IF(B1500&gt;=in_marketplace_from,d_hz_loan_gold*G1500,0))</f>
        <v/>
      </c>
      <c r="BT1501" s="14">
        <f>F1501*BS1501*IF(B1501&gt;=in_marketplace_from,d_hz_loan_gold*G1501,0)*in_loan_gold_ticket*in_loan_gold_comm</f>
        <v/>
      </c>
      <c r="BU1501" s="40">
        <f>BU1500*(1-IF(B1500&gt;=in_marketplace_from,d_hz_loan_cd*G1500,0))</f>
        <v/>
      </c>
      <c r="BV1501" s="14">
        <f>F1501*BU1501*IF(B1501&gt;=in_marketplace_from,d_hz_loan_cd*G1501,0)*in_loan_cd_ticket*in_loan_cd_comm</f>
        <v/>
      </c>
      <c r="BW1501" s="40">
        <f>BW1500*(1-IF(B1500&gt;=in_marketplace_from,d_hz_loan_vehicle*G1500,0))</f>
        <v/>
      </c>
      <c r="BX1501" s="14">
        <f>F1501*BW1501*IF(B1501&gt;=in_marketplace_from,d_hz_loan_vehicle*G1501,0)*in_loan_vehicle_ticket*in_loan_vehicle_comm</f>
        <v/>
      </c>
      <c r="BY1501" s="40">
        <f>BY1500*(1-IF(B1500&gt;=in_marketplace_from,d_hz_loan_home*G1500,0)*BZ1500)</f>
        <v/>
      </c>
      <c r="BZ1501" s="11">
        <f>MIN(in_approval_cap,in_loan_home_approval*INDEX('Age profile'!$O$2:$O$61,B1501)*(1+in_approval_growth)^(D1501-1))</f>
        <v/>
      </c>
      <c r="CA1501" s="14">
        <f>F1501*BY1501*IF(B1501&gt;=in_marketplace_from,d_hz_loan_home*G1501,0)*BZ1501*in_loan_home_ticket*in_loan_home_comm</f>
        <v/>
      </c>
      <c r="CB1501" s="40">
        <f>CB1500*(1-IF(B1500&gt;=in_marketplace_from,d_hz_loan_lap*G1500,0)*CC1500)</f>
        <v/>
      </c>
      <c r="CC1501" s="11">
        <f>MIN(in_approval_cap,in_loan_lap_approval*INDEX('Age profile'!$O$2:$O$61,B1501)*(1+in_approval_growth)^(D1501-1))</f>
        <v/>
      </c>
      <c r="CD1501" s="14">
        <f>F1501*CB1501*IF(B1501&gt;=in_marketplace_from,d_hz_loan_lap*G1501,0)*CC1501*in_loan_lap_ticket*in_loan_lap_comm</f>
        <v/>
      </c>
      <c r="CE1501" s="14">
        <f>AA1501+AB1501+AC1501+AD1501+AG1501+AJ1501+AM1501+AP1501+AS1501+AU1501+AX1501+BB1501+BE1501+BG1501+BJ1501+BL1501+BO1501+BR1501+BT1501+BV1501+BX1501+CA1501+CD1501</f>
        <v/>
      </c>
    </row>
    <row r="1502">
      <c r="A1502" s="39" t="n">
        <v>35</v>
      </c>
      <c r="B1502" s="39" t="n">
        <v>22</v>
      </c>
      <c r="C1502" s="39">
        <f>A1502+B1502-1</f>
        <v/>
      </c>
      <c r="D1502" s="39">
        <f>INT((C1502-1)/12)+1</f>
        <v/>
      </c>
      <c r="E1502" s="44">
        <f>INDEX(Monthly!$B$2:$B$61,A1502)</f>
        <v/>
      </c>
      <c r="F1502" s="44">
        <f>E1502*INDEX('Age profile'!$B$2:$B$61,B1502)</f>
        <v/>
      </c>
      <c r="G1502" s="45">
        <f>MIN(in_takeup_cap,INDEX('Age profile'!$N$2:$N$61,B1502)*(1+in_takeup_growth)^(D1502-1))</f>
        <v/>
      </c>
      <c r="H1502" s="11">
        <f>MIN(in_approval_cap,in_approved_first*INDEX('Age profile'!$O$2:$O$61,B1502)*(1+in_approval_growth)^(D1502-1))</f>
        <v/>
      </c>
      <c r="I1502" s="45">
        <f>G1502*MIN(in_takeup_cap,INDEX('Age profile'!$O$2:$O$61,B1502)*(1+in_approval_growth)^(D1502-1))</f>
        <v/>
      </c>
      <c r="J1502" s="40">
        <f>(J1501-L1501)*F1502/F1501</f>
        <v/>
      </c>
      <c r="K1502" s="40">
        <f>(K1501-M1501)*F1502/F1501+SUMIFS(O1481:O1501,B1481:B1501,B1502-1-d_T)*F1502</f>
        <v/>
      </c>
      <c r="L1502" s="40">
        <f>IF(B1502&gt;=in_marketplace_from,J1502*d_hz*G1502*in_eligible*H1502,0)</f>
        <v/>
      </c>
      <c r="M1502" s="40">
        <f>IF(B1502&gt;=in_marketplace_from,K1502*d_hz*G1502*in_eligible*in_approved_repeat,0)</f>
        <v/>
      </c>
      <c r="N1502" s="40">
        <f>L1502+M1502</f>
        <v/>
      </c>
      <c r="O1502" s="46">
        <f>N1502/F1502</f>
        <v/>
      </c>
      <c r="P1502" s="40">
        <f>F1502-J1502-K1502</f>
        <v/>
      </c>
      <c r="Q1502" s="40">
        <f>IF(B1502&gt;=in_marketplace_from,(J1502+K1502)*d_hz*G1502,0)</f>
        <v/>
      </c>
      <c r="R1502" s="40">
        <f>SUMIFS(N1481:N1506,B1481:B1506,"&gt;="&amp;(B1502-d_T),B1481:B1506,"&lt;="&amp;(B1502-1))</f>
        <v/>
      </c>
      <c r="S1502" s="46">
        <f>(1-d_u)*S1501+IF(d_T&gt;in_topup_lag,SUMIFS(O1481:O1506,B1481:B1506,B1502-in_topup_lag)-d_udrop*SUMIFS(O1481:O1506,B1481:B1506,B1502-d_T),0)</f>
        <v/>
      </c>
      <c r="T1502" s="40">
        <f>F1502*d_u*S1502</f>
        <v/>
      </c>
      <c r="U1502" s="9">
        <f>L1502*in_ticket+M1502*d_rep_ticket</f>
        <v/>
      </c>
      <c r="V1502" s="9">
        <f>U1502+T1502*d_topup_amt</f>
        <v/>
      </c>
      <c r="W1502" s="40">
        <f>N1502+T1502*d_topup_ratio</f>
        <v/>
      </c>
      <c r="X1502" s="40">
        <f>SUMIFS(W1481:W1506,B1481:B1506,B1502-in_dpd_lag)*d_cured</f>
        <v/>
      </c>
      <c r="Y1502" s="40">
        <f>SUMIFS(W1481:W1506,B1481:B1506,B1502-in_rec_lag)*d_recd</f>
        <v/>
      </c>
      <c r="Z1502" s="40">
        <f>IF(AND(B1502&gt;=in_marketplace_from,B1502&lt;in_marketplace_from+in_card_months),in_card_share/in_card_months*F1502*I1502,IF(AND(B1502&gt;=in_marketplace_from+in_card_months,B1502&lt;in_marketplace_from+2*in_card_months),in_card_share*d_card_rem/in_card_months*F1502*MIN(in_takeup_cap,(1+in_takeup_growth)^(D1502-1))*MIN(in_takeup_cap,(1+in_approval_growth)^(D1502-1)),0))</f>
        <v/>
      </c>
      <c r="AA1502" s="14">
        <f>V1502*in_fee*(1-in_taken_back)</f>
        <v/>
      </c>
      <c r="AB1502" s="14">
        <f>SUMIFS(W1481:W1506,B1481:B1506,B1502-in_dpd_lag)*d_dpd</f>
        <v/>
      </c>
      <c r="AC1502" s="14">
        <f>SUMIFS(W1481:W1506,B1481:B1506,B1502-in_rec_lag)*d_rec</f>
        <v/>
      </c>
      <c r="AD1502" s="14">
        <f>Z1502*in_card_fee</f>
        <v/>
      </c>
      <c r="AE1502" s="40">
        <f>AE1501*(1-IF(B1501&gt;=in_marketplace_from,d_hz_hlth_small*G1501,0))</f>
        <v/>
      </c>
      <c r="AF1502" s="46">
        <f>AE1502*IF(B1502&gt;=in_marketplace_from,d_hz_hlth_small*G1502,0)</f>
        <v/>
      </c>
      <c r="AG1502" s="14">
        <f>F1502*AF1502*in_hlth_small_ticket*in_hlth_small_comm*in_ins_partner_share+F1502*in_hlth_small_ticket*in_hlth_small_renew_comm*in_ins_partner_share*(in_hlth_small_renew^1*SUMIFS(AF1481:AF1506,B1481:B1506,B1502-12)+in_hlth_small_renew^2*SUMIFS(AF1481:AF1506,B1481:B1506,B1502-24)+in_hlth_small_renew^3*SUMIFS(AF1481:AF1506,B1481:B1506,B1502-36)+in_hlth_small_renew^4*SUMIFS(AF1481:AF1506,B1481:B1506,B1502-48))</f>
        <v/>
      </c>
      <c r="AH1502" s="40">
        <f>AH1501*(1-IF(B1501&gt;=in_marketplace_from,d_hz_hlth_family*G1501,0))</f>
        <v/>
      </c>
      <c r="AI1502" s="46">
        <f>AH1502*IF(B1502&gt;=in_marketplace_from,d_hz_hlth_family*G1502,0)</f>
        <v/>
      </c>
      <c r="AJ1502" s="14">
        <f>F1502*AI1502*in_hlth_family_ticket*in_hlth_family_comm*in_ins_partner_share+F1502*in_hlth_family_ticket*in_hlth_family_renew_comm*in_ins_partner_share*(in_hlth_family_renew^1*SUMIFS(AI1481:AI1506,B1481:B1506,B1502-12)+in_hlth_family_renew^2*SUMIFS(AI1481:AI1506,B1481:B1506,B1502-24)+in_hlth_family_renew^3*SUMIFS(AI1481:AI1506,B1481:B1506,B1502-36)+in_hlth_family_renew^4*SUMIFS(AI1481:AI1506,B1481:B1506,B1502-48))</f>
        <v/>
      </c>
      <c r="AK1502" s="40">
        <f>AK1501*(1-IF(B1501&gt;=in_marketplace_from,d_hz_life_term*G1501,0))</f>
        <v/>
      </c>
      <c r="AL1502" s="46">
        <f>AK1502*IF(B1502&gt;=in_marketplace_from,d_hz_life_term*G1502,0)</f>
        <v/>
      </c>
      <c r="AM1502" s="14">
        <f>F1502*AL1502*in_life_term_ticket*in_life_term_comm*in_ins_partner_share+F1502*in_life_term_ticket*in_life_term_renew_comm*in_ins_partner_share*(in_life_term_renew^1*SUMIFS(AL1481:AL1506,B1481:B1506,B1502-12)+in_life_term_renew^2*SUMIFS(AL1481:AL1506,B1481:B1506,B1502-24)+in_life_term_renew^3*SUMIFS(AL1481:AL1506,B1481:B1506,B1502-36)+in_life_term_renew^4*SUMIFS(AL1481:AL1506,B1481:B1506,B1502-48))</f>
        <v/>
      </c>
      <c r="AN1502" s="40">
        <f>AN1501*(1-IF(B1501&gt;=in_marketplace_from,d_hz_accident*G1501,0))</f>
        <v/>
      </c>
      <c r="AO1502" s="46">
        <f>AN1502*IF(B1502&gt;=in_marketplace_from,d_hz_accident*G1502,0)</f>
        <v/>
      </c>
      <c r="AP1502" s="14">
        <f>F1502*AO1502*in_accident_ticket*in_accident_comm*in_ins_partner_share+F1502*in_accident_ticket*in_accident_renew_comm*in_ins_partner_share*(in_accident_renew^1*SUMIFS(AO1481:AO1506,B1481:B1506,B1502-12)+in_accident_renew^2*SUMIFS(AO1481:AO1506,B1481:B1506,B1502-24)+in_accident_renew^3*SUMIFS(AO1481:AO1506,B1481:B1506,B1502-36)+in_accident_renew^4*SUMIFS(AO1481:AO1506,B1481:B1506,B1502-48))</f>
        <v/>
      </c>
      <c r="AQ1502" s="40">
        <f>AQ1501*(1-IF(B1501&gt;=in_marketplace_from,d_hz_two_wheeler*G1501,0))</f>
        <v/>
      </c>
      <c r="AR1502" s="46">
        <f>AQ1502*IF(B1502&gt;=in_marketplace_from,d_hz_two_wheeler*G1502,0)</f>
        <v/>
      </c>
      <c r="AS1502" s="14">
        <f>F1502*AR1502*in_two_wheeler_ticket*in_two_wheeler_comm*in_ins_partner_share+F1502*in_two_wheeler_ticket*in_two_wheeler_comm*in_ins_partner_share*(in_two_wheeler_renew^1*SUMIFS(AR1481:AR1506,B1481:B1506,B1502-12)+in_two_wheeler_renew^2*SUMIFS(AR1481:AR1506,B1481:B1506,B1502-24)+in_two_wheeler_renew^3*SUMIFS(AR1481:AR1506,B1481:B1506,B1502-36)+in_two_wheeler_renew^4*SUMIFS(AR1481:AR1506,B1481:B1506,B1502-48))</f>
        <v/>
      </c>
      <c r="AT1502" s="40">
        <f>AT1501*(1-IF(B1501&gt;=in_marketplace_from,d_hz_device*G1501,0))</f>
        <v/>
      </c>
      <c r="AU1502" s="14">
        <f>F1502*AT1502*IF(B1502&gt;=in_marketplace_from,d_hz_device*G1502,0)*in_device_ticket*in_device_comm*in_ins_partner_share</f>
        <v/>
      </c>
      <c r="AV1502" s="40">
        <f>AV1501*(1-IF(B1501&gt;=in_marketplace_from,d_hz_shop*G1501,0))</f>
        <v/>
      </c>
      <c r="AW1502" s="46">
        <f>AV1502*IF(B1502&gt;=in_marketplace_from,d_hz_shop*G1502,0)</f>
        <v/>
      </c>
      <c r="AX1502" s="14">
        <f>F1502*AW1502*in_shop_ticket*in_shop_comm*in_ins_partner_share+F1502*in_shop_ticket*in_shop_renew_comm*in_ins_partner_share*(in_shop_renew^1*SUMIFS(AW1481:AW1506,B1481:B1506,B1502-12)+in_shop_renew^2*SUMIFS(AW1481:AW1506,B1481:B1506,B1502-24)+in_shop_renew^3*SUMIFS(AW1481:AW1506,B1481:B1506,B1502-36)+in_shop_renew^4*SUMIFS(AW1481:AW1506,B1481:B1506,B1502-48))</f>
        <v/>
      </c>
      <c r="AY1502" s="40">
        <f>AY1501*(1-IF(B1501&gt;=in_marketplace_from,d_hz_sip*G1501,0))</f>
        <v/>
      </c>
      <c r="AZ1502" s="40">
        <f>AZ1501*d_rho_sip+AY1502*IF(B1502&gt;=in_marketplace_from,d_hz_sip*G1502,0)</f>
        <v/>
      </c>
      <c r="BA1502" s="40">
        <f>d_rho_sip*(BA1501+AZ1501)</f>
        <v/>
      </c>
      <c r="BB1502" s="14">
        <f>F1502*in_sip_ticket*(BA1502+0.5*AZ1502)*in_sip_comm/12</f>
        <v/>
      </c>
      <c r="BC1502" s="40">
        <f>BC1501*(1-IF(B1501&gt;=in_marketplace_from,d_hz_choti*G1501,0))</f>
        <v/>
      </c>
      <c r="BD1502" s="46">
        <f>BC1502*IF(B1502&gt;=in_marketplace_from,d_hz_choti*G1502,0)</f>
        <v/>
      </c>
      <c r="BE1502" s="14">
        <f>F1502*SUMIFS(BD1481:BD1506,B1481:B1506,B1502-in_choti_months)*in_choti_renew*in_choti_ticket</f>
        <v/>
      </c>
      <c r="BF1502" s="40">
        <f>BF1501*(1-IF(B1501&gt;=in_marketplace_from,d_hz_nps*G1501,0))</f>
        <v/>
      </c>
      <c r="BG1502" s="14">
        <f>F1502*BF1502*IF(B1502&gt;=in_marketplace_from,d_hz_nps*G1502,0)*in_nps_ticket*in_nps_comm</f>
        <v/>
      </c>
      <c r="BH1502" s="40">
        <f>BH1501*(1-IF(B1501&gt;=in_marketplace_from,d_hz_gold*G1501,0))</f>
        <v/>
      </c>
      <c r="BI1502" s="40">
        <f>BI1501*d_rho_gold+BH1502*IF(B1502&gt;=in_marketplace_from,d_hz_gold*G1502,0)</f>
        <v/>
      </c>
      <c r="BJ1502" s="14">
        <f>F1502*BI1502*in_gold_ticket*in_gold_comm</f>
        <v/>
      </c>
      <c r="BK1502" s="40">
        <f>BK1501*(1-IF(B1501&gt;=in_marketplace_from,d_hz_fd*G1501,0))</f>
        <v/>
      </c>
      <c r="BL1502" s="14">
        <f>F1502*BK1502*IF(B1502&gt;=in_marketplace_from,d_hz_fd*G1502,0)*in_fd_ticket*in_fd_comm</f>
        <v/>
      </c>
      <c r="BM1502" s="40">
        <f>BM1501*(1-IF(B1501&gt;=in_marketplace_from,d_hz_recharge*G1501,0))</f>
        <v/>
      </c>
      <c r="BN1502" s="40">
        <f>BN1501*d_rho_recharge+BM1502*IF(B1502&gt;=in_marketplace_from,d_hz_recharge*G1502,0)</f>
        <v/>
      </c>
      <c r="BO1502" s="14">
        <f>F1502*BN1502*in_recharge_ticket*in_recharge_comm/12</f>
        <v/>
      </c>
      <c r="BP1502" s="40">
        <f>BP1501*(1-IF(B1501&gt;=in_marketplace_from,d_hz_bills*G1501,0))</f>
        <v/>
      </c>
      <c r="BQ1502" s="40">
        <f>BQ1501*d_rho_bills+BP1502*IF(B1502&gt;=in_marketplace_from,d_hz_bills*G1502,0)</f>
        <v/>
      </c>
      <c r="BR1502" s="14">
        <f>F1502*BQ1502*in_bills_ticket*in_bills_comm/12</f>
        <v/>
      </c>
      <c r="BS1502" s="40">
        <f>BS1501*(1-IF(B1501&gt;=in_marketplace_from,d_hz_loan_gold*G1501,0))</f>
        <v/>
      </c>
      <c r="BT1502" s="14">
        <f>F1502*BS1502*IF(B1502&gt;=in_marketplace_from,d_hz_loan_gold*G1502,0)*in_loan_gold_ticket*in_loan_gold_comm</f>
        <v/>
      </c>
      <c r="BU1502" s="40">
        <f>BU1501*(1-IF(B1501&gt;=in_marketplace_from,d_hz_loan_cd*G1501,0))</f>
        <v/>
      </c>
      <c r="BV1502" s="14">
        <f>F1502*BU1502*IF(B1502&gt;=in_marketplace_from,d_hz_loan_cd*G1502,0)*in_loan_cd_ticket*in_loan_cd_comm</f>
        <v/>
      </c>
      <c r="BW1502" s="40">
        <f>BW1501*(1-IF(B1501&gt;=in_marketplace_from,d_hz_loan_vehicle*G1501,0))</f>
        <v/>
      </c>
      <c r="BX1502" s="14">
        <f>F1502*BW1502*IF(B1502&gt;=in_marketplace_from,d_hz_loan_vehicle*G1502,0)*in_loan_vehicle_ticket*in_loan_vehicle_comm</f>
        <v/>
      </c>
      <c r="BY1502" s="40">
        <f>BY1501*(1-IF(B1501&gt;=in_marketplace_from,d_hz_loan_home*G1501,0)*BZ1501)</f>
        <v/>
      </c>
      <c r="BZ1502" s="11">
        <f>MIN(in_approval_cap,in_loan_home_approval*INDEX('Age profile'!$O$2:$O$61,B1502)*(1+in_approval_growth)^(D1502-1))</f>
        <v/>
      </c>
      <c r="CA1502" s="14">
        <f>F1502*BY1502*IF(B1502&gt;=in_marketplace_from,d_hz_loan_home*G1502,0)*BZ1502*in_loan_home_ticket*in_loan_home_comm</f>
        <v/>
      </c>
      <c r="CB1502" s="40">
        <f>CB1501*(1-IF(B1501&gt;=in_marketplace_from,d_hz_loan_lap*G1501,0)*CC1501)</f>
        <v/>
      </c>
      <c r="CC1502" s="11">
        <f>MIN(in_approval_cap,in_loan_lap_approval*INDEX('Age profile'!$O$2:$O$61,B1502)*(1+in_approval_growth)^(D1502-1))</f>
        <v/>
      </c>
      <c r="CD1502" s="14">
        <f>F1502*CB1502*IF(B1502&gt;=in_marketplace_from,d_hz_loan_lap*G1502,0)*CC1502*in_loan_lap_ticket*in_loan_lap_comm</f>
        <v/>
      </c>
      <c r="CE1502" s="14">
        <f>AA1502+AB1502+AC1502+AD1502+AG1502+AJ1502+AM1502+AP1502+AS1502+AU1502+AX1502+BB1502+BE1502+BG1502+BJ1502+BL1502+BO1502+BR1502+BT1502+BV1502+BX1502+CA1502+CD1502</f>
        <v/>
      </c>
    </row>
    <row r="1503">
      <c r="A1503" s="39" t="n">
        <v>35</v>
      </c>
      <c r="B1503" s="39" t="n">
        <v>23</v>
      </c>
      <c r="C1503" s="39">
        <f>A1503+B1503-1</f>
        <v/>
      </c>
      <c r="D1503" s="39">
        <f>INT((C1503-1)/12)+1</f>
        <v/>
      </c>
      <c r="E1503" s="44">
        <f>INDEX(Monthly!$B$2:$B$61,A1503)</f>
        <v/>
      </c>
      <c r="F1503" s="44">
        <f>E1503*INDEX('Age profile'!$B$2:$B$61,B1503)</f>
        <v/>
      </c>
      <c r="G1503" s="45">
        <f>MIN(in_takeup_cap,INDEX('Age profile'!$N$2:$N$61,B1503)*(1+in_takeup_growth)^(D1503-1))</f>
        <v/>
      </c>
      <c r="H1503" s="11">
        <f>MIN(in_approval_cap,in_approved_first*INDEX('Age profile'!$O$2:$O$61,B1503)*(1+in_approval_growth)^(D1503-1))</f>
        <v/>
      </c>
      <c r="I1503" s="45">
        <f>G1503*MIN(in_takeup_cap,INDEX('Age profile'!$O$2:$O$61,B1503)*(1+in_approval_growth)^(D1503-1))</f>
        <v/>
      </c>
      <c r="J1503" s="40">
        <f>(J1502-L1502)*F1503/F1502</f>
        <v/>
      </c>
      <c r="K1503" s="40">
        <f>(K1502-M1502)*F1503/F1502+SUMIFS(O1481:O1502,B1481:B1502,B1503-1-d_T)*F1503</f>
        <v/>
      </c>
      <c r="L1503" s="40">
        <f>IF(B1503&gt;=in_marketplace_from,J1503*d_hz*G1503*in_eligible*H1503,0)</f>
        <v/>
      </c>
      <c r="M1503" s="40">
        <f>IF(B1503&gt;=in_marketplace_from,K1503*d_hz*G1503*in_eligible*in_approved_repeat,0)</f>
        <v/>
      </c>
      <c r="N1503" s="40">
        <f>L1503+M1503</f>
        <v/>
      </c>
      <c r="O1503" s="46">
        <f>N1503/F1503</f>
        <v/>
      </c>
      <c r="P1503" s="40">
        <f>F1503-J1503-K1503</f>
        <v/>
      </c>
      <c r="Q1503" s="40">
        <f>IF(B1503&gt;=in_marketplace_from,(J1503+K1503)*d_hz*G1503,0)</f>
        <v/>
      </c>
      <c r="R1503" s="40">
        <f>SUMIFS(N1481:N1506,B1481:B1506,"&gt;="&amp;(B1503-d_T),B1481:B1506,"&lt;="&amp;(B1503-1))</f>
        <v/>
      </c>
      <c r="S1503" s="46">
        <f>(1-d_u)*S1502+IF(d_T&gt;in_topup_lag,SUMIFS(O1481:O1506,B1481:B1506,B1503-in_topup_lag)-d_udrop*SUMIFS(O1481:O1506,B1481:B1506,B1503-d_T),0)</f>
        <v/>
      </c>
      <c r="T1503" s="40">
        <f>F1503*d_u*S1503</f>
        <v/>
      </c>
      <c r="U1503" s="9">
        <f>L1503*in_ticket+M1503*d_rep_ticket</f>
        <v/>
      </c>
      <c r="V1503" s="9">
        <f>U1503+T1503*d_topup_amt</f>
        <v/>
      </c>
      <c r="W1503" s="40">
        <f>N1503+T1503*d_topup_ratio</f>
        <v/>
      </c>
      <c r="X1503" s="40">
        <f>SUMIFS(W1481:W1506,B1481:B1506,B1503-in_dpd_lag)*d_cured</f>
        <v/>
      </c>
      <c r="Y1503" s="40">
        <f>SUMIFS(W1481:W1506,B1481:B1506,B1503-in_rec_lag)*d_recd</f>
        <v/>
      </c>
      <c r="Z1503" s="40">
        <f>IF(AND(B1503&gt;=in_marketplace_from,B1503&lt;in_marketplace_from+in_card_months),in_card_share/in_card_months*F1503*I1503,IF(AND(B1503&gt;=in_marketplace_from+in_card_months,B1503&lt;in_marketplace_from+2*in_card_months),in_card_share*d_card_rem/in_card_months*F1503*MIN(in_takeup_cap,(1+in_takeup_growth)^(D1503-1))*MIN(in_takeup_cap,(1+in_approval_growth)^(D1503-1)),0))</f>
        <v/>
      </c>
      <c r="AA1503" s="14">
        <f>V1503*in_fee*(1-in_taken_back)</f>
        <v/>
      </c>
      <c r="AB1503" s="14">
        <f>SUMIFS(W1481:W1506,B1481:B1506,B1503-in_dpd_lag)*d_dpd</f>
        <v/>
      </c>
      <c r="AC1503" s="14">
        <f>SUMIFS(W1481:W1506,B1481:B1506,B1503-in_rec_lag)*d_rec</f>
        <v/>
      </c>
      <c r="AD1503" s="14">
        <f>Z1503*in_card_fee</f>
        <v/>
      </c>
      <c r="AE1503" s="40">
        <f>AE1502*(1-IF(B1502&gt;=in_marketplace_from,d_hz_hlth_small*G1502,0))</f>
        <v/>
      </c>
      <c r="AF1503" s="46">
        <f>AE1503*IF(B1503&gt;=in_marketplace_from,d_hz_hlth_small*G1503,0)</f>
        <v/>
      </c>
      <c r="AG1503" s="14">
        <f>F1503*AF1503*in_hlth_small_ticket*in_hlth_small_comm*in_ins_partner_share+F1503*in_hlth_small_ticket*in_hlth_small_renew_comm*in_ins_partner_share*(in_hlth_small_renew^1*SUMIFS(AF1481:AF1506,B1481:B1506,B1503-12)+in_hlth_small_renew^2*SUMIFS(AF1481:AF1506,B1481:B1506,B1503-24)+in_hlth_small_renew^3*SUMIFS(AF1481:AF1506,B1481:B1506,B1503-36)+in_hlth_small_renew^4*SUMIFS(AF1481:AF1506,B1481:B1506,B1503-48))</f>
        <v/>
      </c>
      <c r="AH1503" s="40">
        <f>AH1502*(1-IF(B1502&gt;=in_marketplace_from,d_hz_hlth_family*G1502,0))</f>
        <v/>
      </c>
      <c r="AI1503" s="46">
        <f>AH1503*IF(B1503&gt;=in_marketplace_from,d_hz_hlth_family*G1503,0)</f>
        <v/>
      </c>
      <c r="AJ1503" s="14">
        <f>F1503*AI1503*in_hlth_family_ticket*in_hlth_family_comm*in_ins_partner_share+F1503*in_hlth_family_ticket*in_hlth_family_renew_comm*in_ins_partner_share*(in_hlth_family_renew^1*SUMIFS(AI1481:AI1506,B1481:B1506,B1503-12)+in_hlth_family_renew^2*SUMIFS(AI1481:AI1506,B1481:B1506,B1503-24)+in_hlth_family_renew^3*SUMIFS(AI1481:AI1506,B1481:B1506,B1503-36)+in_hlth_family_renew^4*SUMIFS(AI1481:AI1506,B1481:B1506,B1503-48))</f>
        <v/>
      </c>
      <c r="AK1503" s="40">
        <f>AK1502*(1-IF(B1502&gt;=in_marketplace_from,d_hz_life_term*G1502,0))</f>
        <v/>
      </c>
      <c r="AL1503" s="46">
        <f>AK1503*IF(B1503&gt;=in_marketplace_from,d_hz_life_term*G1503,0)</f>
        <v/>
      </c>
      <c r="AM1503" s="14">
        <f>F1503*AL1503*in_life_term_ticket*in_life_term_comm*in_ins_partner_share+F1503*in_life_term_ticket*in_life_term_renew_comm*in_ins_partner_share*(in_life_term_renew^1*SUMIFS(AL1481:AL1506,B1481:B1506,B1503-12)+in_life_term_renew^2*SUMIFS(AL1481:AL1506,B1481:B1506,B1503-24)+in_life_term_renew^3*SUMIFS(AL1481:AL1506,B1481:B1506,B1503-36)+in_life_term_renew^4*SUMIFS(AL1481:AL1506,B1481:B1506,B1503-48))</f>
        <v/>
      </c>
      <c r="AN1503" s="40">
        <f>AN1502*(1-IF(B1502&gt;=in_marketplace_from,d_hz_accident*G1502,0))</f>
        <v/>
      </c>
      <c r="AO1503" s="46">
        <f>AN1503*IF(B1503&gt;=in_marketplace_from,d_hz_accident*G1503,0)</f>
        <v/>
      </c>
      <c r="AP1503" s="14">
        <f>F1503*AO1503*in_accident_ticket*in_accident_comm*in_ins_partner_share+F1503*in_accident_ticket*in_accident_renew_comm*in_ins_partner_share*(in_accident_renew^1*SUMIFS(AO1481:AO1506,B1481:B1506,B1503-12)+in_accident_renew^2*SUMIFS(AO1481:AO1506,B1481:B1506,B1503-24)+in_accident_renew^3*SUMIFS(AO1481:AO1506,B1481:B1506,B1503-36)+in_accident_renew^4*SUMIFS(AO1481:AO1506,B1481:B1506,B1503-48))</f>
        <v/>
      </c>
      <c r="AQ1503" s="40">
        <f>AQ1502*(1-IF(B1502&gt;=in_marketplace_from,d_hz_two_wheeler*G1502,0))</f>
        <v/>
      </c>
      <c r="AR1503" s="46">
        <f>AQ1503*IF(B1503&gt;=in_marketplace_from,d_hz_two_wheeler*G1503,0)</f>
        <v/>
      </c>
      <c r="AS1503" s="14">
        <f>F1503*AR1503*in_two_wheeler_ticket*in_two_wheeler_comm*in_ins_partner_share+F1503*in_two_wheeler_ticket*in_two_wheeler_comm*in_ins_partner_share*(in_two_wheeler_renew^1*SUMIFS(AR1481:AR1506,B1481:B1506,B1503-12)+in_two_wheeler_renew^2*SUMIFS(AR1481:AR1506,B1481:B1506,B1503-24)+in_two_wheeler_renew^3*SUMIFS(AR1481:AR1506,B1481:B1506,B1503-36)+in_two_wheeler_renew^4*SUMIFS(AR1481:AR1506,B1481:B1506,B1503-48))</f>
        <v/>
      </c>
      <c r="AT1503" s="40">
        <f>AT1502*(1-IF(B1502&gt;=in_marketplace_from,d_hz_device*G1502,0))</f>
        <v/>
      </c>
      <c r="AU1503" s="14">
        <f>F1503*AT1503*IF(B1503&gt;=in_marketplace_from,d_hz_device*G1503,0)*in_device_ticket*in_device_comm*in_ins_partner_share</f>
        <v/>
      </c>
      <c r="AV1503" s="40">
        <f>AV1502*(1-IF(B1502&gt;=in_marketplace_from,d_hz_shop*G1502,0))</f>
        <v/>
      </c>
      <c r="AW1503" s="46">
        <f>AV1503*IF(B1503&gt;=in_marketplace_from,d_hz_shop*G1503,0)</f>
        <v/>
      </c>
      <c r="AX1503" s="14">
        <f>F1503*AW1503*in_shop_ticket*in_shop_comm*in_ins_partner_share+F1503*in_shop_ticket*in_shop_renew_comm*in_ins_partner_share*(in_shop_renew^1*SUMIFS(AW1481:AW1506,B1481:B1506,B1503-12)+in_shop_renew^2*SUMIFS(AW1481:AW1506,B1481:B1506,B1503-24)+in_shop_renew^3*SUMIFS(AW1481:AW1506,B1481:B1506,B1503-36)+in_shop_renew^4*SUMIFS(AW1481:AW1506,B1481:B1506,B1503-48))</f>
        <v/>
      </c>
      <c r="AY1503" s="40">
        <f>AY1502*(1-IF(B1502&gt;=in_marketplace_from,d_hz_sip*G1502,0))</f>
        <v/>
      </c>
      <c r="AZ1503" s="40">
        <f>AZ1502*d_rho_sip+AY1503*IF(B1503&gt;=in_marketplace_from,d_hz_sip*G1503,0)</f>
        <v/>
      </c>
      <c r="BA1503" s="40">
        <f>d_rho_sip*(BA1502+AZ1502)</f>
        <v/>
      </c>
      <c r="BB1503" s="14">
        <f>F1503*in_sip_ticket*(BA1503+0.5*AZ1503)*in_sip_comm/12</f>
        <v/>
      </c>
      <c r="BC1503" s="40">
        <f>BC1502*(1-IF(B1502&gt;=in_marketplace_from,d_hz_choti*G1502,0))</f>
        <v/>
      </c>
      <c r="BD1503" s="46">
        <f>BC1503*IF(B1503&gt;=in_marketplace_from,d_hz_choti*G1503,0)</f>
        <v/>
      </c>
      <c r="BE1503" s="14">
        <f>F1503*SUMIFS(BD1481:BD1506,B1481:B1506,B1503-in_choti_months)*in_choti_renew*in_choti_ticket</f>
        <v/>
      </c>
      <c r="BF1503" s="40">
        <f>BF1502*(1-IF(B1502&gt;=in_marketplace_from,d_hz_nps*G1502,0))</f>
        <v/>
      </c>
      <c r="BG1503" s="14">
        <f>F1503*BF1503*IF(B1503&gt;=in_marketplace_from,d_hz_nps*G1503,0)*in_nps_ticket*in_nps_comm</f>
        <v/>
      </c>
      <c r="BH1503" s="40">
        <f>BH1502*(1-IF(B1502&gt;=in_marketplace_from,d_hz_gold*G1502,0))</f>
        <v/>
      </c>
      <c r="BI1503" s="40">
        <f>BI1502*d_rho_gold+BH1503*IF(B1503&gt;=in_marketplace_from,d_hz_gold*G1503,0)</f>
        <v/>
      </c>
      <c r="BJ1503" s="14">
        <f>F1503*BI1503*in_gold_ticket*in_gold_comm</f>
        <v/>
      </c>
      <c r="BK1503" s="40">
        <f>BK1502*(1-IF(B1502&gt;=in_marketplace_from,d_hz_fd*G1502,0))</f>
        <v/>
      </c>
      <c r="BL1503" s="14">
        <f>F1503*BK1503*IF(B1503&gt;=in_marketplace_from,d_hz_fd*G1503,0)*in_fd_ticket*in_fd_comm</f>
        <v/>
      </c>
      <c r="BM1503" s="40">
        <f>BM1502*(1-IF(B1502&gt;=in_marketplace_from,d_hz_recharge*G1502,0))</f>
        <v/>
      </c>
      <c r="BN1503" s="40">
        <f>BN1502*d_rho_recharge+BM1503*IF(B1503&gt;=in_marketplace_from,d_hz_recharge*G1503,0)</f>
        <v/>
      </c>
      <c r="BO1503" s="14">
        <f>F1503*BN1503*in_recharge_ticket*in_recharge_comm/12</f>
        <v/>
      </c>
      <c r="BP1503" s="40">
        <f>BP1502*(1-IF(B1502&gt;=in_marketplace_from,d_hz_bills*G1502,0))</f>
        <v/>
      </c>
      <c r="BQ1503" s="40">
        <f>BQ1502*d_rho_bills+BP1503*IF(B1503&gt;=in_marketplace_from,d_hz_bills*G1503,0)</f>
        <v/>
      </c>
      <c r="BR1503" s="14">
        <f>F1503*BQ1503*in_bills_ticket*in_bills_comm/12</f>
        <v/>
      </c>
      <c r="BS1503" s="40">
        <f>BS1502*(1-IF(B1502&gt;=in_marketplace_from,d_hz_loan_gold*G1502,0))</f>
        <v/>
      </c>
      <c r="BT1503" s="14">
        <f>F1503*BS1503*IF(B1503&gt;=in_marketplace_from,d_hz_loan_gold*G1503,0)*in_loan_gold_ticket*in_loan_gold_comm</f>
        <v/>
      </c>
      <c r="BU1503" s="40">
        <f>BU1502*(1-IF(B1502&gt;=in_marketplace_from,d_hz_loan_cd*G1502,0))</f>
        <v/>
      </c>
      <c r="BV1503" s="14">
        <f>F1503*BU1503*IF(B1503&gt;=in_marketplace_from,d_hz_loan_cd*G1503,0)*in_loan_cd_ticket*in_loan_cd_comm</f>
        <v/>
      </c>
      <c r="BW1503" s="40">
        <f>BW1502*(1-IF(B1502&gt;=in_marketplace_from,d_hz_loan_vehicle*G1502,0))</f>
        <v/>
      </c>
      <c r="BX1503" s="14">
        <f>F1503*BW1503*IF(B1503&gt;=in_marketplace_from,d_hz_loan_vehicle*G1503,0)*in_loan_vehicle_ticket*in_loan_vehicle_comm</f>
        <v/>
      </c>
      <c r="BY1503" s="40">
        <f>BY1502*(1-IF(B1502&gt;=in_marketplace_from,d_hz_loan_home*G1502,0)*BZ1502)</f>
        <v/>
      </c>
      <c r="BZ1503" s="11">
        <f>MIN(in_approval_cap,in_loan_home_approval*INDEX('Age profile'!$O$2:$O$61,B1503)*(1+in_approval_growth)^(D1503-1))</f>
        <v/>
      </c>
      <c r="CA1503" s="14">
        <f>F1503*BY1503*IF(B1503&gt;=in_marketplace_from,d_hz_loan_home*G1503,0)*BZ1503*in_loan_home_ticket*in_loan_home_comm</f>
        <v/>
      </c>
      <c r="CB1503" s="40">
        <f>CB1502*(1-IF(B1502&gt;=in_marketplace_from,d_hz_loan_lap*G1502,0)*CC1502)</f>
        <v/>
      </c>
      <c r="CC1503" s="11">
        <f>MIN(in_approval_cap,in_loan_lap_approval*INDEX('Age profile'!$O$2:$O$61,B1503)*(1+in_approval_growth)^(D1503-1))</f>
        <v/>
      </c>
      <c r="CD1503" s="14">
        <f>F1503*CB1503*IF(B1503&gt;=in_marketplace_from,d_hz_loan_lap*G1503,0)*CC1503*in_loan_lap_ticket*in_loan_lap_comm</f>
        <v/>
      </c>
      <c r="CE1503" s="14">
        <f>AA1503+AB1503+AC1503+AD1503+AG1503+AJ1503+AM1503+AP1503+AS1503+AU1503+AX1503+BB1503+BE1503+BG1503+BJ1503+BL1503+BO1503+BR1503+BT1503+BV1503+BX1503+CA1503+CD1503</f>
        <v/>
      </c>
    </row>
    <row r="1504">
      <c r="A1504" s="39" t="n">
        <v>35</v>
      </c>
      <c r="B1504" s="39" t="n">
        <v>24</v>
      </c>
      <c r="C1504" s="39">
        <f>A1504+B1504-1</f>
        <v/>
      </c>
      <c r="D1504" s="39">
        <f>INT((C1504-1)/12)+1</f>
        <v/>
      </c>
      <c r="E1504" s="44">
        <f>INDEX(Monthly!$B$2:$B$61,A1504)</f>
        <v/>
      </c>
      <c r="F1504" s="44">
        <f>E1504*INDEX('Age profile'!$B$2:$B$61,B1504)</f>
        <v/>
      </c>
      <c r="G1504" s="45">
        <f>MIN(in_takeup_cap,INDEX('Age profile'!$N$2:$N$61,B1504)*(1+in_takeup_growth)^(D1504-1))</f>
        <v/>
      </c>
      <c r="H1504" s="11">
        <f>MIN(in_approval_cap,in_approved_first*INDEX('Age profile'!$O$2:$O$61,B1504)*(1+in_approval_growth)^(D1504-1))</f>
        <v/>
      </c>
      <c r="I1504" s="45">
        <f>G1504*MIN(in_takeup_cap,INDEX('Age profile'!$O$2:$O$61,B1504)*(1+in_approval_growth)^(D1504-1))</f>
        <v/>
      </c>
      <c r="J1504" s="40">
        <f>(J1503-L1503)*F1504/F1503</f>
        <v/>
      </c>
      <c r="K1504" s="40">
        <f>(K1503-M1503)*F1504/F1503+SUMIFS(O1481:O1503,B1481:B1503,B1504-1-d_T)*F1504</f>
        <v/>
      </c>
      <c r="L1504" s="40">
        <f>IF(B1504&gt;=in_marketplace_from,J1504*d_hz*G1504*in_eligible*H1504,0)</f>
        <v/>
      </c>
      <c r="M1504" s="40">
        <f>IF(B1504&gt;=in_marketplace_from,K1504*d_hz*G1504*in_eligible*in_approved_repeat,0)</f>
        <v/>
      </c>
      <c r="N1504" s="40">
        <f>L1504+M1504</f>
        <v/>
      </c>
      <c r="O1504" s="46">
        <f>N1504/F1504</f>
        <v/>
      </c>
      <c r="P1504" s="40">
        <f>F1504-J1504-K1504</f>
        <v/>
      </c>
      <c r="Q1504" s="40">
        <f>IF(B1504&gt;=in_marketplace_from,(J1504+K1504)*d_hz*G1504,0)</f>
        <v/>
      </c>
      <c r="R1504" s="40">
        <f>SUMIFS(N1481:N1506,B1481:B1506,"&gt;="&amp;(B1504-d_T),B1481:B1506,"&lt;="&amp;(B1504-1))</f>
        <v/>
      </c>
      <c r="S1504" s="46">
        <f>(1-d_u)*S1503+IF(d_T&gt;in_topup_lag,SUMIFS(O1481:O1506,B1481:B1506,B1504-in_topup_lag)-d_udrop*SUMIFS(O1481:O1506,B1481:B1506,B1504-d_T),0)</f>
        <v/>
      </c>
      <c r="T1504" s="40">
        <f>F1504*d_u*S1504</f>
        <v/>
      </c>
      <c r="U1504" s="9">
        <f>L1504*in_ticket+M1504*d_rep_ticket</f>
        <v/>
      </c>
      <c r="V1504" s="9">
        <f>U1504+T1504*d_topup_amt</f>
        <v/>
      </c>
      <c r="W1504" s="40">
        <f>N1504+T1504*d_topup_ratio</f>
        <v/>
      </c>
      <c r="X1504" s="40">
        <f>SUMIFS(W1481:W1506,B1481:B1506,B1504-in_dpd_lag)*d_cured</f>
        <v/>
      </c>
      <c r="Y1504" s="40">
        <f>SUMIFS(W1481:W1506,B1481:B1506,B1504-in_rec_lag)*d_recd</f>
        <v/>
      </c>
      <c r="Z1504" s="40">
        <f>IF(AND(B1504&gt;=in_marketplace_from,B1504&lt;in_marketplace_from+in_card_months),in_card_share/in_card_months*F1504*I1504,IF(AND(B1504&gt;=in_marketplace_from+in_card_months,B1504&lt;in_marketplace_from+2*in_card_months),in_card_share*d_card_rem/in_card_months*F1504*MIN(in_takeup_cap,(1+in_takeup_growth)^(D1504-1))*MIN(in_takeup_cap,(1+in_approval_growth)^(D1504-1)),0))</f>
        <v/>
      </c>
      <c r="AA1504" s="14">
        <f>V1504*in_fee*(1-in_taken_back)</f>
        <v/>
      </c>
      <c r="AB1504" s="14">
        <f>SUMIFS(W1481:W1506,B1481:B1506,B1504-in_dpd_lag)*d_dpd</f>
        <v/>
      </c>
      <c r="AC1504" s="14">
        <f>SUMIFS(W1481:W1506,B1481:B1506,B1504-in_rec_lag)*d_rec</f>
        <v/>
      </c>
      <c r="AD1504" s="14">
        <f>Z1504*in_card_fee</f>
        <v/>
      </c>
      <c r="AE1504" s="40">
        <f>AE1503*(1-IF(B1503&gt;=in_marketplace_from,d_hz_hlth_small*G1503,0))</f>
        <v/>
      </c>
      <c r="AF1504" s="46">
        <f>AE1504*IF(B1504&gt;=in_marketplace_from,d_hz_hlth_small*G1504,0)</f>
        <v/>
      </c>
      <c r="AG1504" s="14">
        <f>F1504*AF1504*in_hlth_small_ticket*in_hlth_small_comm*in_ins_partner_share+F1504*in_hlth_small_ticket*in_hlth_small_renew_comm*in_ins_partner_share*(in_hlth_small_renew^1*SUMIFS(AF1481:AF1506,B1481:B1506,B1504-12)+in_hlth_small_renew^2*SUMIFS(AF1481:AF1506,B1481:B1506,B1504-24)+in_hlth_small_renew^3*SUMIFS(AF1481:AF1506,B1481:B1506,B1504-36)+in_hlth_small_renew^4*SUMIFS(AF1481:AF1506,B1481:B1506,B1504-48))</f>
        <v/>
      </c>
      <c r="AH1504" s="40">
        <f>AH1503*(1-IF(B1503&gt;=in_marketplace_from,d_hz_hlth_family*G1503,0))</f>
        <v/>
      </c>
      <c r="AI1504" s="46">
        <f>AH1504*IF(B1504&gt;=in_marketplace_from,d_hz_hlth_family*G1504,0)</f>
        <v/>
      </c>
      <c r="AJ1504" s="14">
        <f>F1504*AI1504*in_hlth_family_ticket*in_hlth_family_comm*in_ins_partner_share+F1504*in_hlth_family_ticket*in_hlth_family_renew_comm*in_ins_partner_share*(in_hlth_family_renew^1*SUMIFS(AI1481:AI1506,B1481:B1506,B1504-12)+in_hlth_family_renew^2*SUMIFS(AI1481:AI1506,B1481:B1506,B1504-24)+in_hlth_family_renew^3*SUMIFS(AI1481:AI1506,B1481:B1506,B1504-36)+in_hlth_family_renew^4*SUMIFS(AI1481:AI1506,B1481:B1506,B1504-48))</f>
        <v/>
      </c>
      <c r="AK1504" s="40">
        <f>AK1503*(1-IF(B1503&gt;=in_marketplace_from,d_hz_life_term*G1503,0))</f>
        <v/>
      </c>
      <c r="AL1504" s="46">
        <f>AK1504*IF(B1504&gt;=in_marketplace_from,d_hz_life_term*G1504,0)</f>
        <v/>
      </c>
      <c r="AM1504" s="14">
        <f>F1504*AL1504*in_life_term_ticket*in_life_term_comm*in_ins_partner_share+F1504*in_life_term_ticket*in_life_term_renew_comm*in_ins_partner_share*(in_life_term_renew^1*SUMIFS(AL1481:AL1506,B1481:B1506,B1504-12)+in_life_term_renew^2*SUMIFS(AL1481:AL1506,B1481:B1506,B1504-24)+in_life_term_renew^3*SUMIFS(AL1481:AL1506,B1481:B1506,B1504-36)+in_life_term_renew^4*SUMIFS(AL1481:AL1506,B1481:B1506,B1504-48))</f>
        <v/>
      </c>
      <c r="AN1504" s="40">
        <f>AN1503*(1-IF(B1503&gt;=in_marketplace_from,d_hz_accident*G1503,0))</f>
        <v/>
      </c>
      <c r="AO1504" s="46">
        <f>AN1504*IF(B1504&gt;=in_marketplace_from,d_hz_accident*G1504,0)</f>
        <v/>
      </c>
      <c r="AP1504" s="14">
        <f>F1504*AO1504*in_accident_ticket*in_accident_comm*in_ins_partner_share+F1504*in_accident_ticket*in_accident_renew_comm*in_ins_partner_share*(in_accident_renew^1*SUMIFS(AO1481:AO1506,B1481:B1506,B1504-12)+in_accident_renew^2*SUMIFS(AO1481:AO1506,B1481:B1506,B1504-24)+in_accident_renew^3*SUMIFS(AO1481:AO1506,B1481:B1506,B1504-36)+in_accident_renew^4*SUMIFS(AO1481:AO1506,B1481:B1506,B1504-48))</f>
        <v/>
      </c>
      <c r="AQ1504" s="40">
        <f>AQ1503*(1-IF(B1503&gt;=in_marketplace_from,d_hz_two_wheeler*G1503,0))</f>
        <v/>
      </c>
      <c r="AR1504" s="46">
        <f>AQ1504*IF(B1504&gt;=in_marketplace_from,d_hz_two_wheeler*G1504,0)</f>
        <v/>
      </c>
      <c r="AS1504" s="14">
        <f>F1504*AR1504*in_two_wheeler_ticket*in_two_wheeler_comm*in_ins_partner_share+F1504*in_two_wheeler_ticket*in_two_wheeler_comm*in_ins_partner_share*(in_two_wheeler_renew^1*SUMIFS(AR1481:AR1506,B1481:B1506,B1504-12)+in_two_wheeler_renew^2*SUMIFS(AR1481:AR1506,B1481:B1506,B1504-24)+in_two_wheeler_renew^3*SUMIFS(AR1481:AR1506,B1481:B1506,B1504-36)+in_two_wheeler_renew^4*SUMIFS(AR1481:AR1506,B1481:B1506,B1504-48))</f>
        <v/>
      </c>
      <c r="AT1504" s="40">
        <f>AT1503*(1-IF(B1503&gt;=in_marketplace_from,d_hz_device*G1503,0))</f>
        <v/>
      </c>
      <c r="AU1504" s="14">
        <f>F1504*AT1504*IF(B1504&gt;=in_marketplace_from,d_hz_device*G1504,0)*in_device_ticket*in_device_comm*in_ins_partner_share</f>
        <v/>
      </c>
      <c r="AV1504" s="40">
        <f>AV1503*(1-IF(B1503&gt;=in_marketplace_from,d_hz_shop*G1503,0))</f>
        <v/>
      </c>
      <c r="AW1504" s="46">
        <f>AV1504*IF(B1504&gt;=in_marketplace_from,d_hz_shop*G1504,0)</f>
        <v/>
      </c>
      <c r="AX1504" s="14">
        <f>F1504*AW1504*in_shop_ticket*in_shop_comm*in_ins_partner_share+F1504*in_shop_ticket*in_shop_renew_comm*in_ins_partner_share*(in_shop_renew^1*SUMIFS(AW1481:AW1506,B1481:B1506,B1504-12)+in_shop_renew^2*SUMIFS(AW1481:AW1506,B1481:B1506,B1504-24)+in_shop_renew^3*SUMIFS(AW1481:AW1506,B1481:B1506,B1504-36)+in_shop_renew^4*SUMIFS(AW1481:AW1506,B1481:B1506,B1504-48))</f>
        <v/>
      </c>
      <c r="AY1504" s="40">
        <f>AY1503*(1-IF(B1503&gt;=in_marketplace_from,d_hz_sip*G1503,0))</f>
        <v/>
      </c>
      <c r="AZ1504" s="40">
        <f>AZ1503*d_rho_sip+AY1504*IF(B1504&gt;=in_marketplace_from,d_hz_sip*G1504,0)</f>
        <v/>
      </c>
      <c r="BA1504" s="40">
        <f>d_rho_sip*(BA1503+AZ1503)</f>
        <v/>
      </c>
      <c r="BB1504" s="14">
        <f>F1504*in_sip_ticket*(BA1504+0.5*AZ1504)*in_sip_comm/12</f>
        <v/>
      </c>
      <c r="BC1504" s="40">
        <f>BC1503*(1-IF(B1503&gt;=in_marketplace_from,d_hz_choti*G1503,0))</f>
        <v/>
      </c>
      <c r="BD1504" s="46">
        <f>BC1504*IF(B1504&gt;=in_marketplace_from,d_hz_choti*G1504,0)</f>
        <v/>
      </c>
      <c r="BE1504" s="14">
        <f>F1504*SUMIFS(BD1481:BD1506,B1481:B1506,B1504-in_choti_months)*in_choti_renew*in_choti_ticket</f>
        <v/>
      </c>
      <c r="BF1504" s="40">
        <f>BF1503*(1-IF(B1503&gt;=in_marketplace_from,d_hz_nps*G1503,0))</f>
        <v/>
      </c>
      <c r="BG1504" s="14">
        <f>F1504*BF1504*IF(B1504&gt;=in_marketplace_from,d_hz_nps*G1504,0)*in_nps_ticket*in_nps_comm</f>
        <v/>
      </c>
      <c r="BH1504" s="40">
        <f>BH1503*(1-IF(B1503&gt;=in_marketplace_from,d_hz_gold*G1503,0))</f>
        <v/>
      </c>
      <c r="BI1504" s="40">
        <f>BI1503*d_rho_gold+BH1504*IF(B1504&gt;=in_marketplace_from,d_hz_gold*G1504,0)</f>
        <v/>
      </c>
      <c r="BJ1504" s="14">
        <f>F1504*BI1504*in_gold_ticket*in_gold_comm</f>
        <v/>
      </c>
      <c r="BK1504" s="40">
        <f>BK1503*(1-IF(B1503&gt;=in_marketplace_from,d_hz_fd*G1503,0))</f>
        <v/>
      </c>
      <c r="BL1504" s="14">
        <f>F1504*BK1504*IF(B1504&gt;=in_marketplace_from,d_hz_fd*G1504,0)*in_fd_ticket*in_fd_comm</f>
        <v/>
      </c>
      <c r="BM1504" s="40">
        <f>BM1503*(1-IF(B1503&gt;=in_marketplace_from,d_hz_recharge*G1503,0))</f>
        <v/>
      </c>
      <c r="BN1504" s="40">
        <f>BN1503*d_rho_recharge+BM1504*IF(B1504&gt;=in_marketplace_from,d_hz_recharge*G1504,0)</f>
        <v/>
      </c>
      <c r="BO1504" s="14">
        <f>F1504*BN1504*in_recharge_ticket*in_recharge_comm/12</f>
        <v/>
      </c>
      <c r="BP1504" s="40">
        <f>BP1503*(1-IF(B1503&gt;=in_marketplace_from,d_hz_bills*G1503,0))</f>
        <v/>
      </c>
      <c r="BQ1504" s="40">
        <f>BQ1503*d_rho_bills+BP1504*IF(B1504&gt;=in_marketplace_from,d_hz_bills*G1504,0)</f>
        <v/>
      </c>
      <c r="BR1504" s="14">
        <f>F1504*BQ1504*in_bills_ticket*in_bills_comm/12</f>
        <v/>
      </c>
      <c r="BS1504" s="40">
        <f>BS1503*(1-IF(B1503&gt;=in_marketplace_from,d_hz_loan_gold*G1503,0))</f>
        <v/>
      </c>
      <c r="BT1504" s="14">
        <f>F1504*BS1504*IF(B1504&gt;=in_marketplace_from,d_hz_loan_gold*G1504,0)*in_loan_gold_ticket*in_loan_gold_comm</f>
        <v/>
      </c>
      <c r="BU1504" s="40">
        <f>BU1503*(1-IF(B1503&gt;=in_marketplace_from,d_hz_loan_cd*G1503,0))</f>
        <v/>
      </c>
      <c r="BV1504" s="14">
        <f>F1504*BU1504*IF(B1504&gt;=in_marketplace_from,d_hz_loan_cd*G1504,0)*in_loan_cd_ticket*in_loan_cd_comm</f>
        <v/>
      </c>
      <c r="BW1504" s="40">
        <f>BW1503*(1-IF(B1503&gt;=in_marketplace_from,d_hz_loan_vehicle*G1503,0))</f>
        <v/>
      </c>
      <c r="BX1504" s="14">
        <f>F1504*BW1504*IF(B1504&gt;=in_marketplace_from,d_hz_loan_vehicle*G1504,0)*in_loan_vehicle_ticket*in_loan_vehicle_comm</f>
        <v/>
      </c>
      <c r="BY1504" s="40">
        <f>BY1503*(1-IF(B1503&gt;=in_marketplace_from,d_hz_loan_home*G1503,0)*BZ1503)</f>
        <v/>
      </c>
      <c r="BZ1504" s="11">
        <f>MIN(in_approval_cap,in_loan_home_approval*INDEX('Age profile'!$O$2:$O$61,B1504)*(1+in_approval_growth)^(D1504-1))</f>
        <v/>
      </c>
      <c r="CA1504" s="14">
        <f>F1504*BY1504*IF(B1504&gt;=in_marketplace_from,d_hz_loan_home*G1504,0)*BZ1504*in_loan_home_ticket*in_loan_home_comm</f>
        <v/>
      </c>
      <c r="CB1504" s="40">
        <f>CB1503*(1-IF(B1503&gt;=in_marketplace_from,d_hz_loan_lap*G1503,0)*CC1503)</f>
        <v/>
      </c>
      <c r="CC1504" s="11">
        <f>MIN(in_approval_cap,in_loan_lap_approval*INDEX('Age profile'!$O$2:$O$61,B1504)*(1+in_approval_growth)^(D1504-1))</f>
        <v/>
      </c>
      <c r="CD1504" s="14">
        <f>F1504*CB1504*IF(B1504&gt;=in_marketplace_from,d_hz_loan_lap*G1504,0)*CC1504*in_loan_lap_ticket*in_loan_lap_comm</f>
        <v/>
      </c>
      <c r="CE1504" s="14">
        <f>AA1504+AB1504+AC1504+AD1504+AG1504+AJ1504+AM1504+AP1504+AS1504+AU1504+AX1504+BB1504+BE1504+BG1504+BJ1504+BL1504+BO1504+BR1504+BT1504+BV1504+BX1504+CA1504+CD1504</f>
        <v/>
      </c>
    </row>
    <row r="1505">
      <c r="A1505" s="39" t="n">
        <v>35</v>
      </c>
      <c r="B1505" s="39" t="n">
        <v>25</v>
      </c>
      <c r="C1505" s="39">
        <f>A1505+B1505-1</f>
        <v/>
      </c>
      <c r="D1505" s="39">
        <f>INT((C1505-1)/12)+1</f>
        <v/>
      </c>
      <c r="E1505" s="44">
        <f>INDEX(Monthly!$B$2:$B$61,A1505)</f>
        <v/>
      </c>
      <c r="F1505" s="44">
        <f>E1505*INDEX('Age profile'!$B$2:$B$61,B1505)</f>
        <v/>
      </c>
      <c r="G1505" s="45">
        <f>MIN(in_takeup_cap,INDEX('Age profile'!$N$2:$N$61,B1505)*(1+in_takeup_growth)^(D1505-1))</f>
        <v/>
      </c>
      <c r="H1505" s="11">
        <f>MIN(in_approval_cap,in_approved_first*INDEX('Age profile'!$O$2:$O$61,B1505)*(1+in_approval_growth)^(D1505-1))</f>
        <v/>
      </c>
      <c r="I1505" s="45">
        <f>G1505*MIN(in_takeup_cap,INDEX('Age profile'!$O$2:$O$61,B1505)*(1+in_approval_growth)^(D1505-1))</f>
        <v/>
      </c>
      <c r="J1505" s="40">
        <f>(J1504-L1504)*F1505/F1504</f>
        <v/>
      </c>
      <c r="K1505" s="40">
        <f>(K1504-M1504)*F1505/F1504+SUMIFS(O1481:O1504,B1481:B1504,B1505-1-d_T)*F1505</f>
        <v/>
      </c>
      <c r="L1505" s="40">
        <f>IF(B1505&gt;=in_marketplace_from,J1505*d_hz*G1505*in_eligible*H1505,0)</f>
        <v/>
      </c>
      <c r="M1505" s="40">
        <f>IF(B1505&gt;=in_marketplace_from,K1505*d_hz*G1505*in_eligible*in_approved_repeat,0)</f>
        <v/>
      </c>
      <c r="N1505" s="40">
        <f>L1505+M1505</f>
        <v/>
      </c>
      <c r="O1505" s="46">
        <f>N1505/F1505</f>
        <v/>
      </c>
      <c r="P1505" s="40">
        <f>F1505-J1505-K1505</f>
        <v/>
      </c>
      <c r="Q1505" s="40">
        <f>IF(B1505&gt;=in_marketplace_from,(J1505+K1505)*d_hz*G1505,0)</f>
        <v/>
      </c>
      <c r="R1505" s="40">
        <f>SUMIFS(N1481:N1506,B1481:B1506,"&gt;="&amp;(B1505-d_T),B1481:B1506,"&lt;="&amp;(B1505-1))</f>
        <v/>
      </c>
      <c r="S1505" s="46">
        <f>(1-d_u)*S1504+IF(d_T&gt;in_topup_lag,SUMIFS(O1481:O1506,B1481:B1506,B1505-in_topup_lag)-d_udrop*SUMIFS(O1481:O1506,B1481:B1506,B1505-d_T),0)</f>
        <v/>
      </c>
      <c r="T1505" s="40">
        <f>F1505*d_u*S1505</f>
        <v/>
      </c>
      <c r="U1505" s="9">
        <f>L1505*in_ticket+M1505*d_rep_ticket</f>
        <v/>
      </c>
      <c r="V1505" s="9">
        <f>U1505+T1505*d_topup_amt</f>
        <v/>
      </c>
      <c r="W1505" s="40">
        <f>N1505+T1505*d_topup_ratio</f>
        <v/>
      </c>
      <c r="X1505" s="40">
        <f>SUMIFS(W1481:W1506,B1481:B1506,B1505-in_dpd_lag)*d_cured</f>
        <v/>
      </c>
      <c r="Y1505" s="40">
        <f>SUMIFS(W1481:W1506,B1481:B1506,B1505-in_rec_lag)*d_recd</f>
        <v/>
      </c>
      <c r="Z1505" s="40">
        <f>IF(AND(B1505&gt;=in_marketplace_from,B1505&lt;in_marketplace_from+in_card_months),in_card_share/in_card_months*F1505*I1505,IF(AND(B1505&gt;=in_marketplace_from+in_card_months,B1505&lt;in_marketplace_from+2*in_card_months),in_card_share*d_card_rem/in_card_months*F1505*MIN(in_takeup_cap,(1+in_takeup_growth)^(D1505-1))*MIN(in_takeup_cap,(1+in_approval_growth)^(D1505-1)),0))</f>
        <v/>
      </c>
      <c r="AA1505" s="14">
        <f>V1505*in_fee*(1-in_taken_back)</f>
        <v/>
      </c>
      <c r="AB1505" s="14">
        <f>SUMIFS(W1481:W1506,B1481:B1506,B1505-in_dpd_lag)*d_dpd</f>
        <v/>
      </c>
      <c r="AC1505" s="14">
        <f>SUMIFS(W1481:W1506,B1481:B1506,B1505-in_rec_lag)*d_rec</f>
        <v/>
      </c>
      <c r="AD1505" s="14">
        <f>Z1505*in_card_fee</f>
        <v/>
      </c>
      <c r="AE1505" s="40">
        <f>AE1504*(1-IF(B1504&gt;=in_marketplace_from,d_hz_hlth_small*G1504,0))</f>
        <v/>
      </c>
      <c r="AF1505" s="46">
        <f>AE1505*IF(B1505&gt;=in_marketplace_from,d_hz_hlth_small*G1505,0)</f>
        <v/>
      </c>
      <c r="AG1505" s="14">
        <f>F1505*AF1505*in_hlth_small_ticket*in_hlth_small_comm*in_ins_partner_share+F1505*in_hlth_small_ticket*in_hlth_small_renew_comm*in_ins_partner_share*(in_hlth_small_renew^1*SUMIFS(AF1481:AF1506,B1481:B1506,B1505-12)+in_hlth_small_renew^2*SUMIFS(AF1481:AF1506,B1481:B1506,B1505-24)+in_hlth_small_renew^3*SUMIFS(AF1481:AF1506,B1481:B1506,B1505-36)+in_hlth_small_renew^4*SUMIFS(AF1481:AF1506,B1481:B1506,B1505-48))</f>
        <v/>
      </c>
      <c r="AH1505" s="40">
        <f>AH1504*(1-IF(B1504&gt;=in_marketplace_from,d_hz_hlth_family*G1504,0))</f>
        <v/>
      </c>
      <c r="AI1505" s="46">
        <f>AH1505*IF(B1505&gt;=in_marketplace_from,d_hz_hlth_family*G1505,0)</f>
        <v/>
      </c>
      <c r="AJ1505" s="14">
        <f>F1505*AI1505*in_hlth_family_ticket*in_hlth_family_comm*in_ins_partner_share+F1505*in_hlth_family_ticket*in_hlth_family_renew_comm*in_ins_partner_share*(in_hlth_family_renew^1*SUMIFS(AI1481:AI1506,B1481:B1506,B1505-12)+in_hlth_family_renew^2*SUMIFS(AI1481:AI1506,B1481:B1506,B1505-24)+in_hlth_family_renew^3*SUMIFS(AI1481:AI1506,B1481:B1506,B1505-36)+in_hlth_family_renew^4*SUMIFS(AI1481:AI1506,B1481:B1506,B1505-48))</f>
        <v/>
      </c>
      <c r="AK1505" s="40">
        <f>AK1504*(1-IF(B1504&gt;=in_marketplace_from,d_hz_life_term*G1504,0))</f>
        <v/>
      </c>
      <c r="AL1505" s="46">
        <f>AK1505*IF(B1505&gt;=in_marketplace_from,d_hz_life_term*G1505,0)</f>
        <v/>
      </c>
      <c r="AM1505" s="14">
        <f>F1505*AL1505*in_life_term_ticket*in_life_term_comm*in_ins_partner_share+F1505*in_life_term_ticket*in_life_term_renew_comm*in_ins_partner_share*(in_life_term_renew^1*SUMIFS(AL1481:AL1506,B1481:B1506,B1505-12)+in_life_term_renew^2*SUMIFS(AL1481:AL1506,B1481:B1506,B1505-24)+in_life_term_renew^3*SUMIFS(AL1481:AL1506,B1481:B1506,B1505-36)+in_life_term_renew^4*SUMIFS(AL1481:AL1506,B1481:B1506,B1505-48))</f>
        <v/>
      </c>
      <c r="AN1505" s="40">
        <f>AN1504*(1-IF(B1504&gt;=in_marketplace_from,d_hz_accident*G1504,0))</f>
        <v/>
      </c>
      <c r="AO1505" s="46">
        <f>AN1505*IF(B1505&gt;=in_marketplace_from,d_hz_accident*G1505,0)</f>
        <v/>
      </c>
      <c r="AP1505" s="14">
        <f>F1505*AO1505*in_accident_ticket*in_accident_comm*in_ins_partner_share+F1505*in_accident_ticket*in_accident_renew_comm*in_ins_partner_share*(in_accident_renew^1*SUMIFS(AO1481:AO1506,B1481:B1506,B1505-12)+in_accident_renew^2*SUMIFS(AO1481:AO1506,B1481:B1506,B1505-24)+in_accident_renew^3*SUMIFS(AO1481:AO1506,B1481:B1506,B1505-36)+in_accident_renew^4*SUMIFS(AO1481:AO1506,B1481:B1506,B1505-48))</f>
        <v/>
      </c>
      <c r="AQ1505" s="40">
        <f>AQ1504*(1-IF(B1504&gt;=in_marketplace_from,d_hz_two_wheeler*G1504,0))</f>
        <v/>
      </c>
      <c r="AR1505" s="46">
        <f>AQ1505*IF(B1505&gt;=in_marketplace_from,d_hz_two_wheeler*G1505,0)</f>
        <v/>
      </c>
      <c r="AS1505" s="14">
        <f>F1505*AR1505*in_two_wheeler_ticket*in_two_wheeler_comm*in_ins_partner_share+F1505*in_two_wheeler_ticket*in_two_wheeler_comm*in_ins_partner_share*(in_two_wheeler_renew^1*SUMIFS(AR1481:AR1506,B1481:B1506,B1505-12)+in_two_wheeler_renew^2*SUMIFS(AR1481:AR1506,B1481:B1506,B1505-24)+in_two_wheeler_renew^3*SUMIFS(AR1481:AR1506,B1481:B1506,B1505-36)+in_two_wheeler_renew^4*SUMIFS(AR1481:AR1506,B1481:B1506,B1505-48))</f>
        <v/>
      </c>
      <c r="AT1505" s="40">
        <f>AT1504*(1-IF(B1504&gt;=in_marketplace_from,d_hz_device*G1504,0))</f>
        <v/>
      </c>
      <c r="AU1505" s="14">
        <f>F1505*AT1505*IF(B1505&gt;=in_marketplace_from,d_hz_device*G1505,0)*in_device_ticket*in_device_comm*in_ins_partner_share</f>
        <v/>
      </c>
      <c r="AV1505" s="40">
        <f>AV1504*(1-IF(B1504&gt;=in_marketplace_from,d_hz_shop*G1504,0))</f>
        <v/>
      </c>
      <c r="AW1505" s="46">
        <f>AV1505*IF(B1505&gt;=in_marketplace_from,d_hz_shop*G1505,0)</f>
        <v/>
      </c>
      <c r="AX1505" s="14">
        <f>F1505*AW1505*in_shop_ticket*in_shop_comm*in_ins_partner_share+F1505*in_shop_ticket*in_shop_renew_comm*in_ins_partner_share*(in_shop_renew^1*SUMIFS(AW1481:AW1506,B1481:B1506,B1505-12)+in_shop_renew^2*SUMIFS(AW1481:AW1506,B1481:B1506,B1505-24)+in_shop_renew^3*SUMIFS(AW1481:AW1506,B1481:B1506,B1505-36)+in_shop_renew^4*SUMIFS(AW1481:AW1506,B1481:B1506,B1505-48))</f>
        <v/>
      </c>
      <c r="AY1505" s="40">
        <f>AY1504*(1-IF(B1504&gt;=in_marketplace_from,d_hz_sip*G1504,0))</f>
        <v/>
      </c>
      <c r="AZ1505" s="40">
        <f>AZ1504*d_rho_sip+AY1505*IF(B1505&gt;=in_marketplace_from,d_hz_sip*G1505,0)</f>
        <v/>
      </c>
      <c r="BA1505" s="40">
        <f>d_rho_sip*(BA1504+AZ1504)</f>
        <v/>
      </c>
      <c r="BB1505" s="14">
        <f>F1505*in_sip_ticket*(BA1505+0.5*AZ1505)*in_sip_comm/12</f>
        <v/>
      </c>
      <c r="BC1505" s="40">
        <f>BC1504*(1-IF(B1504&gt;=in_marketplace_from,d_hz_choti*G1504,0))</f>
        <v/>
      </c>
      <c r="BD1505" s="46">
        <f>BC1505*IF(B1505&gt;=in_marketplace_from,d_hz_choti*G1505,0)</f>
        <v/>
      </c>
      <c r="BE1505" s="14">
        <f>F1505*SUMIFS(BD1481:BD1506,B1481:B1506,B1505-in_choti_months)*in_choti_renew*in_choti_ticket</f>
        <v/>
      </c>
      <c r="BF1505" s="40">
        <f>BF1504*(1-IF(B1504&gt;=in_marketplace_from,d_hz_nps*G1504,0))</f>
        <v/>
      </c>
      <c r="BG1505" s="14">
        <f>F1505*BF1505*IF(B1505&gt;=in_marketplace_from,d_hz_nps*G1505,0)*in_nps_ticket*in_nps_comm</f>
        <v/>
      </c>
      <c r="BH1505" s="40">
        <f>BH1504*(1-IF(B1504&gt;=in_marketplace_from,d_hz_gold*G1504,0))</f>
        <v/>
      </c>
      <c r="BI1505" s="40">
        <f>BI1504*d_rho_gold+BH1505*IF(B1505&gt;=in_marketplace_from,d_hz_gold*G1505,0)</f>
        <v/>
      </c>
      <c r="BJ1505" s="14">
        <f>F1505*BI1505*in_gold_ticket*in_gold_comm</f>
        <v/>
      </c>
      <c r="BK1505" s="40">
        <f>BK1504*(1-IF(B1504&gt;=in_marketplace_from,d_hz_fd*G1504,0))</f>
        <v/>
      </c>
      <c r="BL1505" s="14">
        <f>F1505*BK1505*IF(B1505&gt;=in_marketplace_from,d_hz_fd*G1505,0)*in_fd_ticket*in_fd_comm</f>
        <v/>
      </c>
      <c r="BM1505" s="40">
        <f>BM1504*(1-IF(B1504&gt;=in_marketplace_from,d_hz_recharge*G1504,0))</f>
        <v/>
      </c>
      <c r="BN1505" s="40">
        <f>BN1504*d_rho_recharge+BM1505*IF(B1505&gt;=in_marketplace_from,d_hz_recharge*G1505,0)</f>
        <v/>
      </c>
      <c r="BO1505" s="14">
        <f>F1505*BN1505*in_recharge_ticket*in_recharge_comm/12</f>
        <v/>
      </c>
      <c r="BP1505" s="40">
        <f>BP1504*(1-IF(B1504&gt;=in_marketplace_from,d_hz_bills*G1504,0))</f>
        <v/>
      </c>
      <c r="BQ1505" s="40">
        <f>BQ1504*d_rho_bills+BP1505*IF(B1505&gt;=in_marketplace_from,d_hz_bills*G1505,0)</f>
        <v/>
      </c>
      <c r="BR1505" s="14">
        <f>F1505*BQ1505*in_bills_ticket*in_bills_comm/12</f>
        <v/>
      </c>
      <c r="BS1505" s="40">
        <f>BS1504*(1-IF(B1504&gt;=in_marketplace_from,d_hz_loan_gold*G1504,0))</f>
        <v/>
      </c>
      <c r="BT1505" s="14">
        <f>F1505*BS1505*IF(B1505&gt;=in_marketplace_from,d_hz_loan_gold*G1505,0)*in_loan_gold_ticket*in_loan_gold_comm</f>
        <v/>
      </c>
      <c r="BU1505" s="40">
        <f>BU1504*(1-IF(B1504&gt;=in_marketplace_from,d_hz_loan_cd*G1504,0))</f>
        <v/>
      </c>
      <c r="BV1505" s="14">
        <f>F1505*BU1505*IF(B1505&gt;=in_marketplace_from,d_hz_loan_cd*G1505,0)*in_loan_cd_ticket*in_loan_cd_comm</f>
        <v/>
      </c>
      <c r="BW1505" s="40">
        <f>BW1504*(1-IF(B1504&gt;=in_marketplace_from,d_hz_loan_vehicle*G1504,0))</f>
        <v/>
      </c>
      <c r="BX1505" s="14">
        <f>F1505*BW1505*IF(B1505&gt;=in_marketplace_from,d_hz_loan_vehicle*G1505,0)*in_loan_vehicle_ticket*in_loan_vehicle_comm</f>
        <v/>
      </c>
      <c r="BY1505" s="40">
        <f>BY1504*(1-IF(B1504&gt;=in_marketplace_from,d_hz_loan_home*G1504,0)*BZ1504)</f>
        <v/>
      </c>
      <c r="BZ1505" s="11">
        <f>MIN(in_approval_cap,in_loan_home_approval*INDEX('Age profile'!$O$2:$O$61,B1505)*(1+in_approval_growth)^(D1505-1))</f>
        <v/>
      </c>
      <c r="CA1505" s="14">
        <f>F1505*BY1505*IF(B1505&gt;=in_marketplace_from,d_hz_loan_home*G1505,0)*BZ1505*in_loan_home_ticket*in_loan_home_comm</f>
        <v/>
      </c>
      <c r="CB1505" s="40">
        <f>CB1504*(1-IF(B1504&gt;=in_marketplace_from,d_hz_loan_lap*G1504,0)*CC1504)</f>
        <v/>
      </c>
      <c r="CC1505" s="11">
        <f>MIN(in_approval_cap,in_loan_lap_approval*INDEX('Age profile'!$O$2:$O$61,B1505)*(1+in_approval_growth)^(D1505-1))</f>
        <v/>
      </c>
      <c r="CD1505" s="14">
        <f>F1505*CB1505*IF(B1505&gt;=in_marketplace_from,d_hz_loan_lap*G1505,0)*CC1505*in_loan_lap_ticket*in_loan_lap_comm</f>
        <v/>
      </c>
      <c r="CE1505" s="14">
        <f>AA1505+AB1505+AC1505+AD1505+AG1505+AJ1505+AM1505+AP1505+AS1505+AU1505+AX1505+BB1505+BE1505+BG1505+BJ1505+BL1505+BO1505+BR1505+BT1505+BV1505+BX1505+CA1505+CD1505</f>
        <v/>
      </c>
    </row>
    <row r="1506">
      <c r="A1506" s="39" t="n">
        <v>35</v>
      </c>
      <c r="B1506" s="39" t="n">
        <v>26</v>
      </c>
      <c r="C1506" s="39">
        <f>A1506+B1506-1</f>
        <v/>
      </c>
      <c r="D1506" s="39">
        <f>INT((C1506-1)/12)+1</f>
        <v/>
      </c>
      <c r="E1506" s="44">
        <f>INDEX(Monthly!$B$2:$B$61,A1506)</f>
        <v/>
      </c>
      <c r="F1506" s="44">
        <f>E1506*INDEX('Age profile'!$B$2:$B$61,B1506)</f>
        <v/>
      </c>
      <c r="G1506" s="45">
        <f>MIN(in_takeup_cap,INDEX('Age profile'!$N$2:$N$61,B1506)*(1+in_takeup_growth)^(D1506-1))</f>
        <v/>
      </c>
      <c r="H1506" s="11">
        <f>MIN(in_approval_cap,in_approved_first*INDEX('Age profile'!$O$2:$O$61,B1506)*(1+in_approval_growth)^(D1506-1))</f>
        <v/>
      </c>
      <c r="I1506" s="45">
        <f>G1506*MIN(in_takeup_cap,INDEX('Age profile'!$O$2:$O$61,B1506)*(1+in_approval_growth)^(D1506-1))</f>
        <v/>
      </c>
      <c r="J1506" s="40">
        <f>(J1505-L1505)*F1506/F1505</f>
        <v/>
      </c>
      <c r="K1506" s="40">
        <f>(K1505-M1505)*F1506/F1505+SUMIFS(O1481:O1505,B1481:B1505,B1506-1-d_T)*F1506</f>
        <v/>
      </c>
      <c r="L1506" s="40">
        <f>IF(B1506&gt;=in_marketplace_from,J1506*d_hz*G1506*in_eligible*H1506,0)</f>
        <v/>
      </c>
      <c r="M1506" s="40">
        <f>IF(B1506&gt;=in_marketplace_from,K1506*d_hz*G1506*in_eligible*in_approved_repeat,0)</f>
        <v/>
      </c>
      <c r="N1506" s="40">
        <f>L1506+M1506</f>
        <v/>
      </c>
      <c r="O1506" s="46">
        <f>N1506/F1506</f>
        <v/>
      </c>
      <c r="P1506" s="40">
        <f>F1506-J1506-K1506</f>
        <v/>
      </c>
      <c r="Q1506" s="40">
        <f>IF(B1506&gt;=in_marketplace_from,(J1506+K1506)*d_hz*G1506,0)</f>
        <v/>
      </c>
      <c r="R1506" s="40">
        <f>SUMIFS(N1481:N1506,B1481:B1506,"&gt;="&amp;(B1506-d_T),B1481:B1506,"&lt;="&amp;(B1506-1))</f>
        <v/>
      </c>
      <c r="S1506" s="46">
        <f>(1-d_u)*S1505+IF(d_T&gt;in_topup_lag,SUMIFS(O1481:O1506,B1481:B1506,B1506-in_topup_lag)-d_udrop*SUMIFS(O1481:O1506,B1481:B1506,B1506-d_T),0)</f>
        <v/>
      </c>
      <c r="T1506" s="40">
        <f>F1506*d_u*S1506</f>
        <v/>
      </c>
      <c r="U1506" s="9">
        <f>L1506*in_ticket+M1506*d_rep_ticket</f>
        <v/>
      </c>
      <c r="V1506" s="9">
        <f>U1506+T1506*d_topup_amt</f>
        <v/>
      </c>
      <c r="W1506" s="40">
        <f>N1506+T1506*d_topup_ratio</f>
        <v/>
      </c>
      <c r="X1506" s="40">
        <f>SUMIFS(W1481:W1506,B1481:B1506,B1506-in_dpd_lag)*d_cured</f>
        <v/>
      </c>
      <c r="Y1506" s="40">
        <f>SUMIFS(W1481:W1506,B1481:B1506,B1506-in_rec_lag)*d_recd</f>
        <v/>
      </c>
      <c r="Z1506" s="40">
        <f>IF(AND(B1506&gt;=in_marketplace_from,B1506&lt;in_marketplace_from+in_card_months),in_card_share/in_card_months*F1506*I1506,IF(AND(B1506&gt;=in_marketplace_from+in_card_months,B1506&lt;in_marketplace_from+2*in_card_months),in_card_share*d_card_rem/in_card_months*F1506*MIN(in_takeup_cap,(1+in_takeup_growth)^(D1506-1))*MIN(in_takeup_cap,(1+in_approval_growth)^(D1506-1)),0))</f>
        <v/>
      </c>
      <c r="AA1506" s="14">
        <f>V1506*in_fee*(1-in_taken_back)</f>
        <v/>
      </c>
      <c r="AB1506" s="14">
        <f>SUMIFS(W1481:W1506,B1481:B1506,B1506-in_dpd_lag)*d_dpd</f>
        <v/>
      </c>
      <c r="AC1506" s="14">
        <f>SUMIFS(W1481:W1506,B1481:B1506,B1506-in_rec_lag)*d_rec</f>
        <v/>
      </c>
      <c r="AD1506" s="14">
        <f>Z1506*in_card_fee</f>
        <v/>
      </c>
      <c r="AE1506" s="40">
        <f>AE1505*(1-IF(B1505&gt;=in_marketplace_from,d_hz_hlth_small*G1505,0))</f>
        <v/>
      </c>
      <c r="AF1506" s="46">
        <f>AE1506*IF(B1506&gt;=in_marketplace_from,d_hz_hlth_small*G1506,0)</f>
        <v/>
      </c>
      <c r="AG1506" s="14">
        <f>F1506*AF1506*in_hlth_small_ticket*in_hlth_small_comm*in_ins_partner_share+F1506*in_hlth_small_ticket*in_hlth_small_renew_comm*in_ins_partner_share*(in_hlth_small_renew^1*SUMIFS(AF1481:AF1506,B1481:B1506,B1506-12)+in_hlth_small_renew^2*SUMIFS(AF1481:AF1506,B1481:B1506,B1506-24)+in_hlth_small_renew^3*SUMIFS(AF1481:AF1506,B1481:B1506,B1506-36)+in_hlth_small_renew^4*SUMIFS(AF1481:AF1506,B1481:B1506,B1506-48))</f>
        <v/>
      </c>
      <c r="AH1506" s="40">
        <f>AH1505*(1-IF(B1505&gt;=in_marketplace_from,d_hz_hlth_family*G1505,0))</f>
        <v/>
      </c>
      <c r="AI1506" s="46">
        <f>AH1506*IF(B1506&gt;=in_marketplace_from,d_hz_hlth_family*G1506,0)</f>
        <v/>
      </c>
      <c r="AJ1506" s="14">
        <f>F1506*AI1506*in_hlth_family_ticket*in_hlth_family_comm*in_ins_partner_share+F1506*in_hlth_family_ticket*in_hlth_family_renew_comm*in_ins_partner_share*(in_hlth_family_renew^1*SUMIFS(AI1481:AI1506,B1481:B1506,B1506-12)+in_hlth_family_renew^2*SUMIFS(AI1481:AI1506,B1481:B1506,B1506-24)+in_hlth_family_renew^3*SUMIFS(AI1481:AI1506,B1481:B1506,B1506-36)+in_hlth_family_renew^4*SUMIFS(AI1481:AI1506,B1481:B1506,B1506-48))</f>
        <v/>
      </c>
      <c r="AK1506" s="40">
        <f>AK1505*(1-IF(B1505&gt;=in_marketplace_from,d_hz_life_term*G1505,0))</f>
        <v/>
      </c>
      <c r="AL1506" s="46">
        <f>AK1506*IF(B1506&gt;=in_marketplace_from,d_hz_life_term*G1506,0)</f>
        <v/>
      </c>
      <c r="AM1506" s="14">
        <f>F1506*AL1506*in_life_term_ticket*in_life_term_comm*in_ins_partner_share+F1506*in_life_term_ticket*in_life_term_renew_comm*in_ins_partner_share*(in_life_term_renew^1*SUMIFS(AL1481:AL1506,B1481:B1506,B1506-12)+in_life_term_renew^2*SUMIFS(AL1481:AL1506,B1481:B1506,B1506-24)+in_life_term_renew^3*SUMIFS(AL1481:AL1506,B1481:B1506,B1506-36)+in_life_term_renew^4*SUMIFS(AL1481:AL1506,B1481:B1506,B1506-48))</f>
        <v/>
      </c>
      <c r="AN1506" s="40">
        <f>AN1505*(1-IF(B1505&gt;=in_marketplace_from,d_hz_accident*G1505,0))</f>
        <v/>
      </c>
      <c r="AO1506" s="46">
        <f>AN1506*IF(B1506&gt;=in_marketplace_from,d_hz_accident*G1506,0)</f>
        <v/>
      </c>
      <c r="AP1506" s="14">
        <f>F1506*AO1506*in_accident_ticket*in_accident_comm*in_ins_partner_share+F1506*in_accident_ticket*in_accident_renew_comm*in_ins_partner_share*(in_accident_renew^1*SUMIFS(AO1481:AO1506,B1481:B1506,B1506-12)+in_accident_renew^2*SUMIFS(AO1481:AO1506,B1481:B1506,B1506-24)+in_accident_renew^3*SUMIFS(AO1481:AO1506,B1481:B1506,B1506-36)+in_accident_renew^4*SUMIFS(AO1481:AO1506,B1481:B1506,B1506-48))</f>
        <v/>
      </c>
      <c r="AQ1506" s="40">
        <f>AQ1505*(1-IF(B1505&gt;=in_marketplace_from,d_hz_two_wheeler*G1505,0))</f>
        <v/>
      </c>
      <c r="AR1506" s="46">
        <f>AQ1506*IF(B1506&gt;=in_marketplace_from,d_hz_two_wheeler*G1506,0)</f>
        <v/>
      </c>
      <c r="AS1506" s="14">
        <f>F1506*AR1506*in_two_wheeler_ticket*in_two_wheeler_comm*in_ins_partner_share+F1506*in_two_wheeler_ticket*in_two_wheeler_comm*in_ins_partner_share*(in_two_wheeler_renew^1*SUMIFS(AR1481:AR1506,B1481:B1506,B1506-12)+in_two_wheeler_renew^2*SUMIFS(AR1481:AR1506,B1481:B1506,B1506-24)+in_two_wheeler_renew^3*SUMIFS(AR1481:AR1506,B1481:B1506,B1506-36)+in_two_wheeler_renew^4*SUMIFS(AR1481:AR1506,B1481:B1506,B1506-48))</f>
        <v/>
      </c>
      <c r="AT1506" s="40">
        <f>AT1505*(1-IF(B1505&gt;=in_marketplace_from,d_hz_device*G1505,0))</f>
        <v/>
      </c>
      <c r="AU1506" s="14">
        <f>F1506*AT1506*IF(B1506&gt;=in_marketplace_from,d_hz_device*G1506,0)*in_device_ticket*in_device_comm*in_ins_partner_share</f>
        <v/>
      </c>
      <c r="AV1506" s="40">
        <f>AV1505*(1-IF(B1505&gt;=in_marketplace_from,d_hz_shop*G1505,0))</f>
        <v/>
      </c>
      <c r="AW1506" s="46">
        <f>AV1506*IF(B1506&gt;=in_marketplace_from,d_hz_shop*G1506,0)</f>
        <v/>
      </c>
      <c r="AX1506" s="14">
        <f>F1506*AW1506*in_shop_ticket*in_shop_comm*in_ins_partner_share+F1506*in_shop_ticket*in_shop_renew_comm*in_ins_partner_share*(in_shop_renew^1*SUMIFS(AW1481:AW1506,B1481:B1506,B1506-12)+in_shop_renew^2*SUMIFS(AW1481:AW1506,B1481:B1506,B1506-24)+in_shop_renew^3*SUMIFS(AW1481:AW1506,B1481:B1506,B1506-36)+in_shop_renew^4*SUMIFS(AW1481:AW1506,B1481:B1506,B1506-48))</f>
        <v/>
      </c>
      <c r="AY1506" s="40">
        <f>AY1505*(1-IF(B1505&gt;=in_marketplace_from,d_hz_sip*G1505,0))</f>
        <v/>
      </c>
      <c r="AZ1506" s="40">
        <f>AZ1505*d_rho_sip+AY1506*IF(B1506&gt;=in_marketplace_from,d_hz_sip*G1506,0)</f>
        <v/>
      </c>
      <c r="BA1506" s="40">
        <f>d_rho_sip*(BA1505+AZ1505)</f>
        <v/>
      </c>
      <c r="BB1506" s="14">
        <f>F1506*in_sip_ticket*(BA1506+0.5*AZ1506)*in_sip_comm/12</f>
        <v/>
      </c>
      <c r="BC1506" s="40">
        <f>BC1505*(1-IF(B1505&gt;=in_marketplace_from,d_hz_choti*G1505,0))</f>
        <v/>
      </c>
      <c r="BD1506" s="46">
        <f>BC1506*IF(B1506&gt;=in_marketplace_from,d_hz_choti*G1506,0)</f>
        <v/>
      </c>
      <c r="BE1506" s="14">
        <f>F1506*SUMIFS(BD1481:BD1506,B1481:B1506,B1506-in_choti_months)*in_choti_renew*in_choti_ticket</f>
        <v/>
      </c>
      <c r="BF1506" s="40">
        <f>BF1505*(1-IF(B1505&gt;=in_marketplace_from,d_hz_nps*G1505,0))</f>
        <v/>
      </c>
      <c r="BG1506" s="14">
        <f>F1506*BF1506*IF(B1506&gt;=in_marketplace_from,d_hz_nps*G1506,0)*in_nps_ticket*in_nps_comm</f>
        <v/>
      </c>
      <c r="BH1506" s="40">
        <f>BH1505*(1-IF(B1505&gt;=in_marketplace_from,d_hz_gold*G1505,0))</f>
        <v/>
      </c>
      <c r="BI1506" s="40">
        <f>BI1505*d_rho_gold+BH1506*IF(B1506&gt;=in_marketplace_from,d_hz_gold*G1506,0)</f>
        <v/>
      </c>
      <c r="BJ1506" s="14">
        <f>F1506*BI1506*in_gold_ticket*in_gold_comm</f>
        <v/>
      </c>
      <c r="BK1506" s="40">
        <f>BK1505*(1-IF(B1505&gt;=in_marketplace_from,d_hz_fd*G1505,0))</f>
        <v/>
      </c>
      <c r="BL1506" s="14">
        <f>F1506*BK1506*IF(B1506&gt;=in_marketplace_from,d_hz_fd*G1506,0)*in_fd_ticket*in_fd_comm</f>
        <v/>
      </c>
      <c r="BM1506" s="40">
        <f>BM1505*(1-IF(B1505&gt;=in_marketplace_from,d_hz_recharge*G1505,0))</f>
        <v/>
      </c>
      <c r="BN1506" s="40">
        <f>BN1505*d_rho_recharge+BM1506*IF(B1506&gt;=in_marketplace_from,d_hz_recharge*G1506,0)</f>
        <v/>
      </c>
      <c r="BO1506" s="14">
        <f>F1506*BN1506*in_recharge_ticket*in_recharge_comm/12</f>
        <v/>
      </c>
      <c r="BP1506" s="40">
        <f>BP1505*(1-IF(B1505&gt;=in_marketplace_from,d_hz_bills*G1505,0))</f>
        <v/>
      </c>
      <c r="BQ1506" s="40">
        <f>BQ1505*d_rho_bills+BP1506*IF(B1506&gt;=in_marketplace_from,d_hz_bills*G1506,0)</f>
        <v/>
      </c>
      <c r="BR1506" s="14">
        <f>F1506*BQ1506*in_bills_ticket*in_bills_comm/12</f>
        <v/>
      </c>
      <c r="BS1506" s="40">
        <f>BS1505*(1-IF(B1505&gt;=in_marketplace_from,d_hz_loan_gold*G1505,0))</f>
        <v/>
      </c>
      <c r="BT1506" s="14">
        <f>F1506*BS1506*IF(B1506&gt;=in_marketplace_from,d_hz_loan_gold*G1506,0)*in_loan_gold_ticket*in_loan_gold_comm</f>
        <v/>
      </c>
      <c r="BU1506" s="40">
        <f>BU1505*(1-IF(B1505&gt;=in_marketplace_from,d_hz_loan_cd*G1505,0))</f>
        <v/>
      </c>
      <c r="BV1506" s="14">
        <f>F1506*BU1506*IF(B1506&gt;=in_marketplace_from,d_hz_loan_cd*G1506,0)*in_loan_cd_ticket*in_loan_cd_comm</f>
        <v/>
      </c>
      <c r="BW1506" s="40">
        <f>BW1505*(1-IF(B1505&gt;=in_marketplace_from,d_hz_loan_vehicle*G1505,0))</f>
        <v/>
      </c>
      <c r="BX1506" s="14">
        <f>F1506*BW1506*IF(B1506&gt;=in_marketplace_from,d_hz_loan_vehicle*G1506,0)*in_loan_vehicle_ticket*in_loan_vehicle_comm</f>
        <v/>
      </c>
      <c r="BY1506" s="40">
        <f>BY1505*(1-IF(B1505&gt;=in_marketplace_from,d_hz_loan_home*G1505,0)*BZ1505)</f>
        <v/>
      </c>
      <c r="BZ1506" s="11">
        <f>MIN(in_approval_cap,in_loan_home_approval*INDEX('Age profile'!$O$2:$O$61,B1506)*(1+in_approval_growth)^(D1506-1))</f>
        <v/>
      </c>
      <c r="CA1506" s="14">
        <f>F1506*BY1506*IF(B1506&gt;=in_marketplace_from,d_hz_loan_home*G1506,0)*BZ1506*in_loan_home_ticket*in_loan_home_comm</f>
        <v/>
      </c>
      <c r="CB1506" s="40">
        <f>CB1505*(1-IF(B1505&gt;=in_marketplace_from,d_hz_loan_lap*G1505,0)*CC1505)</f>
        <v/>
      </c>
      <c r="CC1506" s="11">
        <f>MIN(in_approval_cap,in_loan_lap_approval*INDEX('Age profile'!$O$2:$O$61,B1506)*(1+in_approval_growth)^(D1506-1))</f>
        <v/>
      </c>
      <c r="CD1506" s="14">
        <f>F1506*CB1506*IF(B1506&gt;=in_marketplace_from,d_hz_loan_lap*G1506,0)*CC1506*in_loan_lap_ticket*in_loan_lap_comm</f>
        <v/>
      </c>
      <c r="CE1506" s="14">
        <f>AA1506+AB1506+AC1506+AD1506+AG1506+AJ1506+AM1506+AP1506+AS1506+AU1506+AX1506+BB1506+BE1506+BG1506+BJ1506+BL1506+BO1506+BR1506+BT1506+BV1506+BX1506+CA1506+CD1506</f>
        <v/>
      </c>
    </row>
    <row r="1507">
      <c r="A1507" s="39" t="n">
        <v>36</v>
      </c>
      <c r="B1507" s="39" t="n">
        <v>1</v>
      </c>
      <c r="C1507" s="39">
        <f>A1507+B1507-1</f>
        <v/>
      </c>
      <c r="D1507" s="39">
        <f>INT((C1507-1)/12)+1</f>
        <v/>
      </c>
      <c r="E1507" s="44">
        <f>INDEX(Monthly!$B$2:$B$61,A1507)</f>
        <v/>
      </c>
      <c r="F1507" s="44">
        <f>E1507*INDEX('Age profile'!$B$2:$B$61,B1507)</f>
        <v/>
      </c>
      <c r="G1507" s="45">
        <f>MIN(in_takeup_cap,INDEX('Age profile'!$N$2:$N$61,B1507)*(1+in_takeup_growth)^(D1507-1))</f>
        <v/>
      </c>
      <c r="H1507" s="11">
        <f>MIN(in_approval_cap,in_approved_first*INDEX('Age profile'!$O$2:$O$61,B1507)*(1+in_approval_growth)^(D1507-1))</f>
        <v/>
      </c>
      <c r="I1507" s="45">
        <f>G1507*MIN(in_takeup_cap,INDEX('Age profile'!$O$2:$O$61,B1507)*(1+in_approval_growth)^(D1507-1))</f>
        <v/>
      </c>
      <c r="J1507" s="40">
        <f>E1507</f>
        <v/>
      </c>
      <c r="K1507" s="40" t="n">
        <v>0</v>
      </c>
      <c r="L1507" s="40">
        <f>IF(B1507&gt;=in_marketplace_from,J1507*d_hz*G1507*in_eligible*H1507,0)</f>
        <v/>
      </c>
      <c r="M1507" s="40">
        <f>IF(B1507&gt;=in_marketplace_from,K1507*d_hz*G1507*in_eligible*in_approved_repeat,0)</f>
        <v/>
      </c>
      <c r="N1507" s="40">
        <f>L1507+M1507</f>
        <v/>
      </c>
      <c r="O1507" s="46">
        <f>N1507/F1507</f>
        <v/>
      </c>
      <c r="P1507" s="40">
        <f>F1507-J1507-K1507</f>
        <v/>
      </c>
      <c r="Q1507" s="40">
        <f>IF(B1507&gt;=in_marketplace_from,(J1507+K1507)*d_hz*G1507,0)</f>
        <v/>
      </c>
      <c r="R1507" s="40">
        <f>SUMIFS(N1507:N1531,B1507:B1531,"&gt;="&amp;(B1507-d_T),B1507:B1531,"&lt;="&amp;(B1507-1))</f>
        <v/>
      </c>
      <c r="S1507" s="46" t="n">
        <v>0</v>
      </c>
      <c r="T1507" s="40">
        <f>F1507*d_u*S1507</f>
        <v/>
      </c>
      <c r="U1507" s="9">
        <f>L1507*in_ticket+M1507*d_rep_ticket</f>
        <v/>
      </c>
      <c r="V1507" s="9">
        <f>U1507+T1507*d_topup_amt</f>
        <v/>
      </c>
      <c r="W1507" s="40">
        <f>N1507+T1507*d_topup_ratio</f>
        <v/>
      </c>
      <c r="X1507" s="40">
        <f>SUMIFS(W1507:W1531,B1507:B1531,B1507-in_dpd_lag)*d_cured</f>
        <v/>
      </c>
      <c r="Y1507" s="40">
        <f>SUMIFS(W1507:W1531,B1507:B1531,B1507-in_rec_lag)*d_recd</f>
        <v/>
      </c>
      <c r="Z1507" s="40">
        <f>IF(AND(B1507&gt;=in_marketplace_from,B1507&lt;in_marketplace_from+in_card_months),in_card_share/in_card_months*F1507*I1507,IF(AND(B1507&gt;=in_marketplace_from+in_card_months,B1507&lt;in_marketplace_from+2*in_card_months),in_card_share*d_card_rem/in_card_months*F1507*MIN(in_takeup_cap,(1+in_takeup_growth)^(D1507-1))*MIN(in_takeup_cap,(1+in_approval_growth)^(D1507-1)),0))</f>
        <v/>
      </c>
      <c r="AA1507" s="14">
        <f>V1507*in_fee*(1-in_taken_back)</f>
        <v/>
      </c>
      <c r="AB1507" s="14">
        <f>SUMIFS(W1507:W1531,B1507:B1531,B1507-in_dpd_lag)*d_dpd</f>
        <v/>
      </c>
      <c r="AC1507" s="14">
        <f>SUMIFS(W1507:W1531,B1507:B1531,B1507-in_rec_lag)*d_rec</f>
        <v/>
      </c>
      <c r="AD1507" s="14">
        <f>Z1507*in_card_fee</f>
        <v/>
      </c>
      <c r="AE1507" s="40" t="n">
        <v>1</v>
      </c>
      <c r="AF1507" s="46">
        <f>AE1507*IF(B1507&gt;=in_marketplace_from,d_hz_hlth_small*G1507,0)</f>
        <v/>
      </c>
      <c r="AG1507" s="14">
        <f>F1507*AF1507*in_hlth_small_ticket*in_hlth_small_comm*in_ins_partner_share+F1507*in_hlth_small_ticket*in_hlth_small_renew_comm*in_ins_partner_share*(in_hlth_small_renew^1*SUMIFS(AF1507:AF1531,B1507:B1531,B1507-12)+in_hlth_small_renew^2*SUMIFS(AF1507:AF1531,B1507:B1531,B1507-24)+in_hlth_small_renew^3*SUMIFS(AF1507:AF1531,B1507:B1531,B1507-36)+in_hlth_small_renew^4*SUMIFS(AF1507:AF1531,B1507:B1531,B1507-48))</f>
        <v/>
      </c>
      <c r="AH1507" s="40" t="n">
        <v>1</v>
      </c>
      <c r="AI1507" s="46">
        <f>AH1507*IF(B1507&gt;=in_marketplace_from,d_hz_hlth_family*G1507,0)</f>
        <v/>
      </c>
      <c r="AJ1507" s="14">
        <f>F1507*AI1507*in_hlth_family_ticket*in_hlth_family_comm*in_ins_partner_share+F1507*in_hlth_family_ticket*in_hlth_family_renew_comm*in_ins_partner_share*(in_hlth_family_renew^1*SUMIFS(AI1507:AI1531,B1507:B1531,B1507-12)+in_hlth_family_renew^2*SUMIFS(AI1507:AI1531,B1507:B1531,B1507-24)+in_hlth_family_renew^3*SUMIFS(AI1507:AI1531,B1507:B1531,B1507-36)+in_hlth_family_renew^4*SUMIFS(AI1507:AI1531,B1507:B1531,B1507-48))</f>
        <v/>
      </c>
      <c r="AK1507" s="40" t="n">
        <v>1</v>
      </c>
      <c r="AL1507" s="46">
        <f>AK1507*IF(B1507&gt;=in_marketplace_from,d_hz_life_term*G1507,0)</f>
        <v/>
      </c>
      <c r="AM1507" s="14">
        <f>F1507*AL1507*in_life_term_ticket*in_life_term_comm*in_ins_partner_share+F1507*in_life_term_ticket*in_life_term_renew_comm*in_ins_partner_share*(in_life_term_renew^1*SUMIFS(AL1507:AL1531,B1507:B1531,B1507-12)+in_life_term_renew^2*SUMIFS(AL1507:AL1531,B1507:B1531,B1507-24)+in_life_term_renew^3*SUMIFS(AL1507:AL1531,B1507:B1531,B1507-36)+in_life_term_renew^4*SUMIFS(AL1507:AL1531,B1507:B1531,B1507-48))</f>
        <v/>
      </c>
      <c r="AN1507" s="40" t="n">
        <v>1</v>
      </c>
      <c r="AO1507" s="46">
        <f>AN1507*IF(B1507&gt;=in_marketplace_from,d_hz_accident*G1507,0)</f>
        <v/>
      </c>
      <c r="AP1507" s="14">
        <f>F1507*AO1507*in_accident_ticket*in_accident_comm*in_ins_partner_share+F1507*in_accident_ticket*in_accident_renew_comm*in_ins_partner_share*(in_accident_renew^1*SUMIFS(AO1507:AO1531,B1507:B1531,B1507-12)+in_accident_renew^2*SUMIFS(AO1507:AO1531,B1507:B1531,B1507-24)+in_accident_renew^3*SUMIFS(AO1507:AO1531,B1507:B1531,B1507-36)+in_accident_renew^4*SUMIFS(AO1507:AO1531,B1507:B1531,B1507-48))</f>
        <v/>
      </c>
      <c r="AQ1507" s="40" t="n">
        <v>1</v>
      </c>
      <c r="AR1507" s="46">
        <f>AQ1507*IF(B1507&gt;=in_marketplace_from,d_hz_two_wheeler*G1507,0)</f>
        <v/>
      </c>
      <c r="AS1507" s="14">
        <f>F1507*AR1507*in_two_wheeler_ticket*in_two_wheeler_comm*in_ins_partner_share+F1507*in_two_wheeler_ticket*in_two_wheeler_comm*in_ins_partner_share*(in_two_wheeler_renew^1*SUMIFS(AR1507:AR1531,B1507:B1531,B1507-12)+in_two_wheeler_renew^2*SUMIFS(AR1507:AR1531,B1507:B1531,B1507-24)+in_two_wheeler_renew^3*SUMIFS(AR1507:AR1531,B1507:B1531,B1507-36)+in_two_wheeler_renew^4*SUMIFS(AR1507:AR1531,B1507:B1531,B1507-48))</f>
        <v/>
      </c>
      <c r="AT1507" s="40" t="n">
        <v>1</v>
      </c>
      <c r="AU1507" s="14">
        <f>F1507*AT1507*IF(B1507&gt;=in_marketplace_from,d_hz_device*G1507,0)*in_device_ticket*in_device_comm*in_ins_partner_share</f>
        <v/>
      </c>
      <c r="AV1507" s="40" t="n">
        <v>1</v>
      </c>
      <c r="AW1507" s="46">
        <f>AV1507*IF(B1507&gt;=in_marketplace_from,d_hz_shop*G1507,0)</f>
        <v/>
      </c>
      <c r="AX1507" s="14">
        <f>F1507*AW1507*in_shop_ticket*in_shop_comm*in_ins_partner_share+F1507*in_shop_ticket*in_shop_renew_comm*in_ins_partner_share*(in_shop_renew^1*SUMIFS(AW1507:AW1531,B1507:B1531,B1507-12)+in_shop_renew^2*SUMIFS(AW1507:AW1531,B1507:B1531,B1507-24)+in_shop_renew^3*SUMIFS(AW1507:AW1531,B1507:B1531,B1507-36)+in_shop_renew^4*SUMIFS(AW1507:AW1531,B1507:B1531,B1507-48))</f>
        <v/>
      </c>
      <c r="AY1507" s="40" t="n">
        <v>1</v>
      </c>
      <c r="AZ1507" s="40">
        <f>AY1507*IF(B1507&gt;=in_marketplace_from,d_hz_sip*G1507,0)</f>
        <v/>
      </c>
      <c r="BA1507" s="40" t="n">
        <v>0</v>
      </c>
      <c r="BB1507" s="14">
        <f>F1507*in_sip_ticket*(BA1507+0.5*AZ1507)*in_sip_comm/12</f>
        <v/>
      </c>
      <c r="BC1507" s="40" t="n">
        <v>1</v>
      </c>
      <c r="BD1507" s="46">
        <f>BC1507*IF(B1507&gt;=in_marketplace_from,d_hz_choti*G1507,0)</f>
        <v/>
      </c>
      <c r="BE1507" s="14">
        <f>F1507*SUMIFS(BD1507:BD1531,B1507:B1531,B1507-in_choti_months)*in_choti_renew*in_choti_ticket</f>
        <v/>
      </c>
      <c r="BF1507" s="40" t="n">
        <v>1</v>
      </c>
      <c r="BG1507" s="14">
        <f>F1507*BF1507*IF(B1507&gt;=in_marketplace_from,d_hz_nps*G1507,0)*in_nps_ticket*in_nps_comm</f>
        <v/>
      </c>
      <c r="BH1507" s="40" t="n">
        <v>1</v>
      </c>
      <c r="BI1507" s="40">
        <f>BH1507*IF(B1507&gt;=in_marketplace_from,d_hz_gold*G1507,0)</f>
        <v/>
      </c>
      <c r="BJ1507" s="14">
        <f>F1507*BI1507*in_gold_ticket*in_gold_comm</f>
        <v/>
      </c>
      <c r="BK1507" s="40" t="n">
        <v>1</v>
      </c>
      <c r="BL1507" s="14">
        <f>F1507*BK1507*IF(B1507&gt;=in_marketplace_from,d_hz_fd*G1507,0)*in_fd_ticket*in_fd_comm</f>
        <v/>
      </c>
      <c r="BM1507" s="40" t="n">
        <v>1</v>
      </c>
      <c r="BN1507" s="40">
        <f>BM1507*IF(B1507&gt;=in_marketplace_from,d_hz_recharge*G1507,0)</f>
        <v/>
      </c>
      <c r="BO1507" s="14">
        <f>F1507*BN1507*in_recharge_ticket*in_recharge_comm/12</f>
        <v/>
      </c>
      <c r="BP1507" s="40" t="n">
        <v>1</v>
      </c>
      <c r="BQ1507" s="40">
        <f>BP1507*IF(B1507&gt;=in_marketplace_from,d_hz_bills*G1507,0)</f>
        <v/>
      </c>
      <c r="BR1507" s="14">
        <f>F1507*BQ1507*in_bills_ticket*in_bills_comm/12</f>
        <v/>
      </c>
      <c r="BS1507" s="40" t="n">
        <v>1</v>
      </c>
      <c r="BT1507" s="14">
        <f>F1507*BS1507*IF(B1507&gt;=in_marketplace_from,d_hz_loan_gold*G1507,0)*in_loan_gold_ticket*in_loan_gold_comm</f>
        <v/>
      </c>
      <c r="BU1507" s="40" t="n">
        <v>1</v>
      </c>
      <c r="BV1507" s="14">
        <f>F1507*BU1507*IF(B1507&gt;=in_marketplace_from,d_hz_loan_cd*G1507,0)*in_loan_cd_ticket*in_loan_cd_comm</f>
        <v/>
      </c>
      <c r="BW1507" s="40" t="n">
        <v>1</v>
      </c>
      <c r="BX1507" s="14">
        <f>F1507*BW1507*IF(B1507&gt;=in_marketplace_from,d_hz_loan_vehicle*G1507,0)*in_loan_vehicle_ticket*in_loan_vehicle_comm</f>
        <v/>
      </c>
      <c r="BY1507" s="40" t="n">
        <v>1</v>
      </c>
      <c r="BZ1507" s="11">
        <f>MIN(in_approval_cap,in_loan_home_approval*INDEX('Age profile'!$O$2:$O$61,B1507)*(1+in_approval_growth)^(D1507-1))</f>
        <v/>
      </c>
      <c r="CA1507" s="14">
        <f>F1507*BY1507*IF(B1507&gt;=in_marketplace_from,d_hz_loan_home*G1507,0)*BZ1507*in_loan_home_ticket*in_loan_home_comm</f>
        <v/>
      </c>
      <c r="CB1507" s="40" t="n">
        <v>1</v>
      </c>
      <c r="CC1507" s="11">
        <f>MIN(in_approval_cap,in_loan_lap_approval*INDEX('Age profile'!$O$2:$O$61,B1507)*(1+in_approval_growth)^(D1507-1))</f>
        <v/>
      </c>
      <c r="CD1507" s="14">
        <f>F1507*CB1507*IF(B1507&gt;=in_marketplace_from,d_hz_loan_lap*G1507,0)*CC1507*in_loan_lap_ticket*in_loan_lap_comm</f>
        <v/>
      </c>
      <c r="CE1507" s="14">
        <f>AA1507+AB1507+AC1507+AD1507+AG1507+AJ1507+AM1507+AP1507+AS1507+AU1507+AX1507+BB1507+BE1507+BG1507+BJ1507+BL1507+BO1507+BR1507+BT1507+BV1507+BX1507+CA1507+CD1507</f>
        <v/>
      </c>
    </row>
    <row r="1508">
      <c r="A1508" s="39" t="n">
        <v>36</v>
      </c>
      <c r="B1508" s="39" t="n">
        <v>2</v>
      </c>
      <c r="C1508" s="39">
        <f>A1508+B1508-1</f>
        <v/>
      </c>
      <c r="D1508" s="39">
        <f>INT((C1508-1)/12)+1</f>
        <v/>
      </c>
      <c r="E1508" s="44">
        <f>INDEX(Monthly!$B$2:$B$61,A1508)</f>
        <v/>
      </c>
      <c r="F1508" s="44">
        <f>E1508*INDEX('Age profile'!$B$2:$B$61,B1508)</f>
        <v/>
      </c>
      <c r="G1508" s="45">
        <f>MIN(in_takeup_cap,INDEX('Age profile'!$N$2:$N$61,B1508)*(1+in_takeup_growth)^(D1508-1))</f>
        <v/>
      </c>
      <c r="H1508" s="11">
        <f>MIN(in_approval_cap,in_approved_first*INDEX('Age profile'!$O$2:$O$61,B1508)*(1+in_approval_growth)^(D1508-1))</f>
        <v/>
      </c>
      <c r="I1508" s="45">
        <f>G1508*MIN(in_takeup_cap,INDEX('Age profile'!$O$2:$O$61,B1508)*(1+in_approval_growth)^(D1508-1))</f>
        <v/>
      </c>
      <c r="J1508" s="40">
        <f>(J1507-L1507)*F1508/F1507</f>
        <v/>
      </c>
      <c r="K1508" s="40">
        <f>(K1507-M1507)*F1508/F1507+SUMIFS(O1507:O1507,B1507:B1507,B1508-1-d_T)*F1508</f>
        <v/>
      </c>
      <c r="L1508" s="40">
        <f>IF(B1508&gt;=in_marketplace_from,J1508*d_hz*G1508*in_eligible*H1508,0)</f>
        <v/>
      </c>
      <c r="M1508" s="40">
        <f>IF(B1508&gt;=in_marketplace_from,K1508*d_hz*G1508*in_eligible*in_approved_repeat,0)</f>
        <v/>
      </c>
      <c r="N1508" s="40">
        <f>L1508+M1508</f>
        <v/>
      </c>
      <c r="O1508" s="46">
        <f>N1508/F1508</f>
        <v/>
      </c>
      <c r="P1508" s="40">
        <f>F1508-J1508-K1508</f>
        <v/>
      </c>
      <c r="Q1508" s="40">
        <f>IF(B1508&gt;=in_marketplace_from,(J1508+K1508)*d_hz*G1508,0)</f>
        <v/>
      </c>
      <c r="R1508" s="40">
        <f>SUMIFS(N1507:N1531,B1507:B1531,"&gt;="&amp;(B1508-d_T),B1507:B1531,"&lt;="&amp;(B1508-1))</f>
        <v/>
      </c>
      <c r="S1508" s="46">
        <f>(1-d_u)*S1507+IF(d_T&gt;in_topup_lag,SUMIFS(O1507:O1531,B1507:B1531,B1508-in_topup_lag)-d_udrop*SUMIFS(O1507:O1531,B1507:B1531,B1508-d_T),0)</f>
        <v/>
      </c>
      <c r="T1508" s="40">
        <f>F1508*d_u*S1508</f>
        <v/>
      </c>
      <c r="U1508" s="9">
        <f>L1508*in_ticket+M1508*d_rep_ticket</f>
        <v/>
      </c>
      <c r="V1508" s="9">
        <f>U1508+T1508*d_topup_amt</f>
        <v/>
      </c>
      <c r="W1508" s="40">
        <f>N1508+T1508*d_topup_ratio</f>
        <v/>
      </c>
      <c r="X1508" s="40">
        <f>SUMIFS(W1507:W1531,B1507:B1531,B1508-in_dpd_lag)*d_cured</f>
        <v/>
      </c>
      <c r="Y1508" s="40">
        <f>SUMIFS(W1507:W1531,B1507:B1531,B1508-in_rec_lag)*d_recd</f>
        <v/>
      </c>
      <c r="Z1508" s="40">
        <f>IF(AND(B1508&gt;=in_marketplace_from,B1508&lt;in_marketplace_from+in_card_months),in_card_share/in_card_months*F1508*I1508,IF(AND(B1508&gt;=in_marketplace_from+in_card_months,B1508&lt;in_marketplace_from+2*in_card_months),in_card_share*d_card_rem/in_card_months*F1508*MIN(in_takeup_cap,(1+in_takeup_growth)^(D1508-1))*MIN(in_takeup_cap,(1+in_approval_growth)^(D1508-1)),0))</f>
        <v/>
      </c>
      <c r="AA1508" s="14">
        <f>V1508*in_fee*(1-in_taken_back)</f>
        <v/>
      </c>
      <c r="AB1508" s="14">
        <f>SUMIFS(W1507:W1531,B1507:B1531,B1508-in_dpd_lag)*d_dpd</f>
        <v/>
      </c>
      <c r="AC1508" s="14">
        <f>SUMIFS(W1507:W1531,B1507:B1531,B1508-in_rec_lag)*d_rec</f>
        <v/>
      </c>
      <c r="AD1508" s="14">
        <f>Z1508*in_card_fee</f>
        <v/>
      </c>
      <c r="AE1508" s="40">
        <f>AE1507*(1-IF(B1507&gt;=in_marketplace_from,d_hz_hlth_small*G1507,0))</f>
        <v/>
      </c>
      <c r="AF1508" s="46">
        <f>AE1508*IF(B1508&gt;=in_marketplace_from,d_hz_hlth_small*G1508,0)</f>
        <v/>
      </c>
      <c r="AG1508" s="14">
        <f>F1508*AF1508*in_hlth_small_ticket*in_hlth_small_comm*in_ins_partner_share+F1508*in_hlth_small_ticket*in_hlth_small_renew_comm*in_ins_partner_share*(in_hlth_small_renew^1*SUMIFS(AF1507:AF1531,B1507:B1531,B1508-12)+in_hlth_small_renew^2*SUMIFS(AF1507:AF1531,B1507:B1531,B1508-24)+in_hlth_small_renew^3*SUMIFS(AF1507:AF1531,B1507:B1531,B1508-36)+in_hlth_small_renew^4*SUMIFS(AF1507:AF1531,B1507:B1531,B1508-48))</f>
        <v/>
      </c>
      <c r="AH1508" s="40">
        <f>AH1507*(1-IF(B1507&gt;=in_marketplace_from,d_hz_hlth_family*G1507,0))</f>
        <v/>
      </c>
      <c r="AI1508" s="46">
        <f>AH1508*IF(B1508&gt;=in_marketplace_from,d_hz_hlth_family*G1508,0)</f>
        <v/>
      </c>
      <c r="AJ1508" s="14">
        <f>F1508*AI1508*in_hlth_family_ticket*in_hlth_family_comm*in_ins_partner_share+F1508*in_hlth_family_ticket*in_hlth_family_renew_comm*in_ins_partner_share*(in_hlth_family_renew^1*SUMIFS(AI1507:AI1531,B1507:B1531,B1508-12)+in_hlth_family_renew^2*SUMIFS(AI1507:AI1531,B1507:B1531,B1508-24)+in_hlth_family_renew^3*SUMIFS(AI1507:AI1531,B1507:B1531,B1508-36)+in_hlth_family_renew^4*SUMIFS(AI1507:AI1531,B1507:B1531,B1508-48))</f>
        <v/>
      </c>
      <c r="AK1508" s="40">
        <f>AK1507*(1-IF(B1507&gt;=in_marketplace_from,d_hz_life_term*G1507,0))</f>
        <v/>
      </c>
      <c r="AL1508" s="46">
        <f>AK1508*IF(B1508&gt;=in_marketplace_from,d_hz_life_term*G1508,0)</f>
        <v/>
      </c>
      <c r="AM1508" s="14">
        <f>F1508*AL1508*in_life_term_ticket*in_life_term_comm*in_ins_partner_share+F1508*in_life_term_ticket*in_life_term_renew_comm*in_ins_partner_share*(in_life_term_renew^1*SUMIFS(AL1507:AL1531,B1507:B1531,B1508-12)+in_life_term_renew^2*SUMIFS(AL1507:AL1531,B1507:B1531,B1508-24)+in_life_term_renew^3*SUMIFS(AL1507:AL1531,B1507:B1531,B1508-36)+in_life_term_renew^4*SUMIFS(AL1507:AL1531,B1507:B1531,B1508-48))</f>
        <v/>
      </c>
      <c r="AN1508" s="40">
        <f>AN1507*(1-IF(B1507&gt;=in_marketplace_from,d_hz_accident*G1507,0))</f>
        <v/>
      </c>
      <c r="AO1508" s="46">
        <f>AN1508*IF(B1508&gt;=in_marketplace_from,d_hz_accident*G1508,0)</f>
        <v/>
      </c>
      <c r="AP1508" s="14">
        <f>F1508*AO1508*in_accident_ticket*in_accident_comm*in_ins_partner_share+F1508*in_accident_ticket*in_accident_renew_comm*in_ins_partner_share*(in_accident_renew^1*SUMIFS(AO1507:AO1531,B1507:B1531,B1508-12)+in_accident_renew^2*SUMIFS(AO1507:AO1531,B1507:B1531,B1508-24)+in_accident_renew^3*SUMIFS(AO1507:AO1531,B1507:B1531,B1508-36)+in_accident_renew^4*SUMIFS(AO1507:AO1531,B1507:B1531,B1508-48))</f>
        <v/>
      </c>
      <c r="AQ1508" s="40">
        <f>AQ1507*(1-IF(B1507&gt;=in_marketplace_from,d_hz_two_wheeler*G1507,0))</f>
        <v/>
      </c>
      <c r="AR1508" s="46">
        <f>AQ1508*IF(B1508&gt;=in_marketplace_from,d_hz_two_wheeler*G1508,0)</f>
        <v/>
      </c>
      <c r="AS1508" s="14">
        <f>F1508*AR1508*in_two_wheeler_ticket*in_two_wheeler_comm*in_ins_partner_share+F1508*in_two_wheeler_ticket*in_two_wheeler_comm*in_ins_partner_share*(in_two_wheeler_renew^1*SUMIFS(AR1507:AR1531,B1507:B1531,B1508-12)+in_two_wheeler_renew^2*SUMIFS(AR1507:AR1531,B1507:B1531,B1508-24)+in_two_wheeler_renew^3*SUMIFS(AR1507:AR1531,B1507:B1531,B1508-36)+in_two_wheeler_renew^4*SUMIFS(AR1507:AR1531,B1507:B1531,B1508-48))</f>
        <v/>
      </c>
      <c r="AT1508" s="40">
        <f>AT1507*(1-IF(B1507&gt;=in_marketplace_from,d_hz_device*G1507,0))</f>
        <v/>
      </c>
      <c r="AU1508" s="14">
        <f>F1508*AT1508*IF(B1508&gt;=in_marketplace_from,d_hz_device*G1508,0)*in_device_ticket*in_device_comm*in_ins_partner_share</f>
        <v/>
      </c>
      <c r="AV1508" s="40">
        <f>AV1507*(1-IF(B1507&gt;=in_marketplace_from,d_hz_shop*G1507,0))</f>
        <v/>
      </c>
      <c r="AW1508" s="46">
        <f>AV1508*IF(B1508&gt;=in_marketplace_from,d_hz_shop*G1508,0)</f>
        <v/>
      </c>
      <c r="AX1508" s="14">
        <f>F1508*AW1508*in_shop_ticket*in_shop_comm*in_ins_partner_share+F1508*in_shop_ticket*in_shop_renew_comm*in_ins_partner_share*(in_shop_renew^1*SUMIFS(AW1507:AW1531,B1507:B1531,B1508-12)+in_shop_renew^2*SUMIFS(AW1507:AW1531,B1507:B1531,B1508-24)+in_shop_renew^3*SUMIFS(AW1507:AW1531,B1507:B1531,B1508-36)+in_shop_renew^4*SUMIFS(AW1507:AW1531,B1507:B1531,B1508-48))</f>
        <v/>
      </c>
      <c r="AY1508" s="40">
        <f>AY1507*(1-IF(B1507&gt;=in_marketplace_from,d_hz_sip*G1507,0))</f>
        <v/>
      </c>
      <c r="AZ1508" s="40">
        <f>AZ1507*d_rho_sip+AY1508*IF(B1508&gt;=in_marketplace_from,d_hz_sip*G1508,0)</f>
        <v/>
      </c>
      <c r="BA1508" s="40">
        <f>d_rho_sip*(BA1507+AZ1507)</f>
        <v/>
      </c>
      <c r="BB1508" s="14">
        <f>F1508*in_sip_ticket*(BA1508+0.5*AZ1508)*in_sip_comm/12</f>
        <v/>
      </c>
      <c r="BC1508" s="40">
        <f>BC1507*(1-IF(B1507&gt;=in_marketplace_from,d_hz_choti*G1507,0))</f>
        <v/>
      </c>
      <c r="BD1508" s="46">
        <f>BC1508*IF(B1508&gt;=in_marketplace_from,d_hz_choti*G1508,0)</f>
        <v/>
      </c>
      <c r="BE1508" s="14">
        <f>F1508*SUMIFS(BD1507:BD1531,B1507:B1531,B1508-in_choti_months)*in_choti_renew*in_choti_ticket</f>
        <v/>
      </c>
      <c r="BF1508" s="40">
        <f>BF1507*(1-IF(B1507&gt;=in_marketplace_from,d_hz_nps*G1507,0))</f>
        <v/>
      </c>
      <c r="BG1508" s="14">
        <f>F1508*BF1508*IF(B1508&gt;=in_marketplace_from,d_hz_nps*G1508,0)*in_nps_ticket*in_nps_comm</f>
        <v/>
      </c>
      <c r="BH1508" s="40">
        <f>BH1507*(1-IF(B1507&gt;=in_marketplace_from,d_hz_gold*G1507,0))</f>
        <v/>
      </c>
      <c r="BI1508" s="40">
        <f>BI1507*d_rho_gold+BH1508*IF(B1508&gt;=in_marketplace_from,d_hz_gold*G1508,0)</f>
        <v/>
      </c>
      <c r="BJ1508" s="14">
        <f>F1508*BI1508*in_gold_ticket*in_gold_comm</f>
        <v/>
      </c>
      <c r="BK1508" s="40">
        <f>BK1507*(1-IF(B1507&gt;=in_marketplace_from,d_hz_fd*G1507,0))</f>
        <v/>
      </c>
      <c r="BL1508" s="14">
        <f>F1508*BK1508*IF(B1508&gt;=in_marketplace_from,d_hz_fd*G1508,0)*in_fd_ticket*in_fd_comm</f>
        <v/>
      </c>
      <c r="BM1508" s="40">
        <f>BM1507*(1-IF(B1507&gt;=in_marketplace_from,d_hz_recharge*G1507,0))</f>
        <v/>
      </c>
      <c r="BN1508" s="40">
        <f>BN1507*d_rho_recharge+BM1508*IF(B1508&gt;=in_marketplace_from,d_hz_recharge*G1508,0)</f>
        <v/>
      </c>
      <c r="BO1508" s="14">
        <f>F1508*BN1508*in_recharge_ticket*in_recharge_comm/12</f>
        <v/>
      </c>
      <c r="BP1508" s="40">
        <f>BP1507*(1-IF(B1507&gt;=in_marketplace_from,d_hz_bills*G1507,0))</f>
        <v/>
      </c>
      <c r="BQ1508" s="40">
        <f>BQ1507*d_rho_bills+BP1508*IF(B1508&gt;=in_marketplace_from,d_hz_bills*G1508,0)</f>
        <v/>
      </c>
      <c r="BR1508" s="14">
        <f>F1508*BQ1508*in_bills_ticket*in_bills_comm/12</f>
        <v/>
      </c>
      <c r="BS1508" s="40">
        <f>BS1507*(1-IF(B1507&gt;=in_marketplace_from,d_hz_loan_gold*G1507,0))</f>
        <v/>
      </c>
      <c r="BT1508" s="14">
        <f>F1508*BS1508*IF(B1508&gt;=in_marketplace_from,d_hz_loan_gold*G1508,0)*in_loan_gold_ticket*in_loan_gold_comm</f>
        <v/>
      </c>
      <c r="BU1508" s="40">
        <f>BU1507*(1-IF(B1507&gt;=in_marketplace_from,d_hz_loan_cd*G1507,0))</f>
        <v/>
      </c>
      <c r="BV1508" s="14">
        <f>F1508*BU1508*IF(B1508&gt;=in_marketplace_from,d_hz_loan_cd*G1508,0)*in_loan_cd_ticket*in_loan_cd_comm</f>
        <v/>
      </c>
      <c r="BW1508" s="40">
        <f>BW1507*(1-IF(B1507&gt;=in_marketplace_from,d_hz_loan_vehicle*G1507,0))</f>
        <v/>
      </c>
      <c r="BX1508" s="14">
        <f>F1508*BW1508*IF(B1508&gt;=in_marketplace_from,d_hz_loan_vehicle*G1508,0)*in_loan_vehicle_ticket*in_loan_vehicle_comm</f>
        <v/>
      </c>
      <c r="BY1508" s="40">
        <f>BY1507*(1-IF(B1507&gt;=in_marketplace_from,d_hz_loan_home*G1507,0)*BZ1507)</f>
        <v/>
      </c>
      <c r="BZ1508" s="11">
        <f>MIN(in_approval_cap,in_loan_home_approval*INDEX('Age profile'!$O$2:$O$61,B1508)*(1+in_approval_growth)^(D1508-1))</f>
        <v/>
      </c>
      <c r="CA1508" s="14">
        <f>F1508*BY1508*IF(B1508&gt;=in_marketplace_from,d_hz_loan_home*G1508,0)*BZ1508*in_loan_home_ticket*in_loan_home_comm</f>
        <v/>
      </c>
      <c r="CB1508" s="40">
        <f>CB1507*(1-IF(B1507&gt;=in_marketplace_from,d_hz_loan_lap*G1507,0)*CC1507)</f>
        <v/>
      </c>
      <c r="CC1508" s="11">
        <f>MIN(in_approval_cap,in_loan_lap_approval*INDEX('Age profile'!$O$2:$O$61,B1508)*(1+in_approval_growth)^(D1508-1))</f>
        <v/>
      </c>
      <c r="CD1508" s="14">
        <f>F1508*CB1508*IF(B1508&gt;=in_marketplace_from,d_hz_loan_lap*G1508,0)*CC1508*in_loan_lap_ticket*in_loan_lap_comm</f>
        <v/>
      </c>
      <c r="CE1508" s="14">
        <f>AA1508+AB1508+AC1508+AD1508+AG1508+AJ1508+AM1508+AP1508+AS1508+AU1508+AX1508+BB1508+BE1508+BG1508+BJ1508+BL1508+BO1508+BR1508+BT1508+BV1508+BX1508+CA1508+CD1508</f>
        <v/>
      </c>
    </row>
    <row r="1509">
      <c r="A1509" s="39" t="n">
        <v>36</v>
      </c>
      <c r="B1509" s="39" t="n">
        <v>3</v>
      </c>
      <c r="C1509" s="39">
        <f>A1509+B1509-1</f>
        <v/>
      </c>
      <c r="D1509" s="39">
        <f>INT((C1509-1)/12)+1</f>
        <v/>
      </c>
      <c r="E1509" s="44">
        <f>INDEX(Monthly!$B$2:$B$61,A1509)</f>
        <v/>
      </c>
      <c r="F1509" s="44">
        <f>E1509*INDEX('Age profile'!$B$2:$B$61,B1509)</f>
        <v/>
      </c>
      <c r="G1509" s="45">
        <f>MIN(in_takeup_cap,INDEX('Age profile'!$N$2:$N$61,B1509)*(1+in_takeup_growth)^(D1509-1))</f>
        <v/>
      </c>
      <c r="H1509" s="11">
        <f>MIN(in_approval_cap,in_approved_first*INDEX('Age profile'!$O$2:$O$61,B1509)*(1+in_approval_growth)^(D1509-1))</f>
        <v/>
      </c>
      <c r="I1509" s="45">
        <f>G1509*MIN(in_takeup_cap,INDEX('Age profile'!$O$2:$O$61,B1509)*(1+in_approval_growth)^(D1509-1))</f>
        <v/>
      </c>
      <c r="J1509" s="40">
        <f>(J1508-L1508)*F1509/F1508</f>
        <v/>
      </c>
      <c r="K1509" s="40">
        <f>(K1508-M1508)*F1509/F1508+SUMIFS(O1507:O1508,B1507:B1508,B1509-1-d_T)*F1509</f>
        <v/>
      </c>
      <c r="L1509" s="40">
        <f>IF(B1509&gt;=in_marketplace_from,J1509*d_hz*G1509*in_eligible*H1509,0)</f>
        <v/>
      </c>
      <c r="M1509" s="40">
        <f>IF(B1509&gt;=in_marketplace_from,K1509*d_hz*G1509*in_eligible*in_approved_repeat,0)</f>
        <v/>
      </c>
      <c r="N1509" s="40">
        <f>L1509+M1509</f>
        <v/>
      </c>
      <c r="O1509" s="46">
        <f>N1509/F1509</f>
        <v/>
      </c>
      <c r="P1509" s="40">
        <f>F1509-J1509-K1509</f>
        <v/>
      </c>
      <c r="Q1509" s="40">
        <f>IF(B1509&gt;=in_marketplace_from,(J1509+K1509)*d_hz*G1509,0)</f>
        <v/>
      </c>
      <c r="R1509" s="40">
        <f>SUMIFS(N1507:N1531,B1507:B1531,"&gt;="&amp;(B1509-d_T),B1507:B1531,"&lt;="&amp;(B1509-1))</f>
        <v/>
      </c>
      <c r="S1509" s="46">
        <f>(1-d_u)*S1508+IF(d_T&gt;in_topup_lag,SUMIFS(O1507:O1531,B1507:B1531,B1509-in_topup_lag)-d_udrop*SUMIFS(O1507:O1531,B1507:B1531,B1509-d_T),0)</f>
        <v/>
      </c>
      <c r="T1509" s="40">
        <f>F1509*d_u*S1509</f>
        <v/>
      </c>
      <c r="U1509" s="9">
        <f>L1509*in_ticket+M1509*d_rep_ticket</f>
        <v/>
      </c>
      <c r="V1509" s="9">
        <f>U1509+T1509*d_topup_amt</f>
        <v/>
      </c>
      <c r="W1509" s="40">
        <f>N1509+T1509*d_topup_ratio</f>
        <v/>
      </c>
      <c r="X1509" s="40">
        <f>SUMIFS(W1507:W1531,B1507:B1531,B1509-in_dpd_lag)*d_cured</f>
        <v/>
      </c>
      <c r="Y1509" s="40">
        <f>SUMIFS(W1507:W1531,B1507:B1531,B1509-in_rec_lag)*d_recd</f>
        <v/>
      </c>
      <c r="Z1509" s="40">
        <f>IF(AND(B1509&gt;=in_marketplace_from,B1509&lt;in_marketplace_from+in_card_months),in_card_share/in_card_months*F1509*I1509,IF(AND(B1509&gt;=in_marketplace_from+in_card_months,B1509&lt;in_marketplace_from+2*in_card_months),in_card_share*d_card_rem/in_card_months*F1509*MIN(in_takeup_cap,(1+in_takeup_growth)^(D1509-1))*MIN(in_takeup_cap,(1+in_approval_growth)^(D1509-1)),0))</f>
        <v/>
      </c>
      <c r="AA1509" s="14">
        <f>V1509*in_fee*(1-in_taken_back)</f>
        <v/>
      </c>
      <c r="AB1509" s="14">
        <f>SUMIFS(W1507:W1531,B1507:B1531,B1509-in_dpd_lag)*d_dpd</f>
        <v/>
      </c>
      <c r="AC1509" s="14">
        <f>SUMIFS(W1507:W1531,B1507:B1531,B1509-in_rec_lag)*d_rec</f>
        <v/>
      </c>
      <c r="AD1509" s="14">
        <f>Z1509*in_card_fee</f>
        <v/>
      </c>
      <c r="AE1509" s="40">
        <f>AE1508*(1-IF(B1508&gt;=in_marketplace_from,d_hz_hlth_small*G1508,0))</f>
        <v/>
      </c>
      <c r="AF1509" s="46">
        <f>AE1509*IF(B1509&gt;=in_marketplace_from,d_hz_hlth_small*G1509,0)</f>
        <v/>
      </c>
      <c r="AG1509" s="14">
        <f>F1509*AF1509*in_hlth_small_ticket*in_hlth_small_comm*in_ins_partner_share+F1509*in_hlth_small_ticket*in_hlth_small_renew_comm*in_ins_partner_share*(in_hlth_small_renew^1*SUMIFS(AF1507:AF1531,B1507:B1531,B1509-12)+in_hlth_small_renew^2*SUMIFS(AF1507:AF1531,B1507:B1531,B1509-24)+in_hlth_small_renew^3*SUMIFS(AF1507:AF1531,B1507:B1531,B1509-36)+in_hlth_small_renew^4*SUMIFS(AF1507:AF1531,B1507:B1531,B1509-48))</f>
        <v/>
      </c>
      <c r="AH1509" s="40">
        <f>AH1508*(1-IF(B1508&gt;=in_marketplace_from,d_hz_hlth_family*G1508,0))</f>
        <v/>
      </c>
      <c r="AI1509" s="46">
        <f>AH1509*IF(B1509&gt;=in_marketplace_from,d_hz_hlth_family*G1509,0)</f>
        <v/>
      </c>
      <c r="AJ1509" s="14">
        <f>F1509*AI1509*in_hlth_family_ticket*in_hlth_family_comm*in_ins_partner_share+F1509*in_hlth_family_ticket*in_hlth_family_renew_comm*in_ins_partner_share*(in_hlth_family_renew^1*SUMIFS(AI1507:AI1531,B1507:B1531,B1509-12)+in_hlth_family_renew^2*SUMIFS(AI1507:AI1531,B1507:B1531,B1509-24)+in_hlth_family_renew^3*SUMIFS(AI1507:AI1531,B1507:B1531,B1509-36)+in_hlth_family_renew^4*SUMIFS(AI1507:AI1531,B1507:B1531,B1509-48))</f>
        <v/>
      </c>
      <c r="AK1509" s="40">
        <f>AK1508*(1-IF(B1508&gt;=in_marketplace_from,d_hz_life_term*G1508,0))</f>
        <v/>
      </c>
      <c r="AL1509" s="46">
        <f>AK1509*IF(B1509&gt;=in_marketplace_from,d_hz_life_term*G1509,0)</f>
        <v/>
      </c>
      <c r="AM1509" s="14">
        <f>F1509*AL1509*in_life_term_ticket*in_life_term_comm*in_ins_partner_share+F1509*in_life_term_ticket*in_life_term_renew_comm*in_ins_partner_share*(in_life_term_renew^1*SUMIFS(AL1507:AL1531,B1507:B1531,B1509-12)+in_life_term_renew^2*SUMIFS(AL1507:AL1531,B1507:B1531,B1509-24)+in_life_term_renew^3*SUMIFS(AL1507:AL1531,B1507:B1531,B1509-36)+in_life_term_renew^4*SUMIFS(AL1507:AL1531,B1507:B1531,B1509-48))</f>
        <v/>
      </c>
      <c r="AN1509" s="40">
        <f>AN1508*(1-IF(B1508&gt;=in_marketplace_from,d_hz_accident*G1508,0))</f>
        <v/>
      </c>
      <c r="AO1509" s="46">
        <f>AN1509*IF(B1509&gt;=in_marketplace_from,d_hz_accident*G1509,0)</f>
        <v/>
      </c>
      <c r="AP1509" s="14">
        <f>F1509*AO1509*in_accident_ticket*in_accident_comm*in_ins_partner_share+F1509*in_accident_ticket*in_accident_renew_comm*in_ins_partner_share*(in_accident_renew^1*SUMIFS(AO1507:AO1531,B1507:B1531,B1509-12)+in_accident_renew^2*SUMIFS(AO1507:AO1531,B1507:B1531,B1509-24)+in_accident_renew^3*SUMIFS(AO1507:AO1531,B1507:B1531,B1509-36)+in_accident_renew^4*SUMIFS(AO1507:AO1531,B1507:B1531,B1509-48))</f>
        <v/>
      </c>
      <c r="AQ1509" s="40">
        <f>AQ1508*(1-IF(B1508&gt;=in_marketplace_from,d_hz_two_wheeler*G1508,0))</f>
        <v/>
      </c>
      <c r="AR1509" s="46">
        <f>AQ1509*IF(B1509&gt;=in_marketplace_from,d_hz_two_wheeler*G1509,0)</f>
        <v/>
      </c>
      <c r="AS1509" s="14">
        <f>F1509*AR1509*in_two_wheeler_ticket*in_two_wheeler_comm*in_ins_partner_share+F1509*in_two_wheeler_ticket*in_two_wheeler_comm*in_ins_partner_share*(in_two_wheeler_renew^1*SUMIFS(AR1507:AR1531,B1507:B1531,B1509-12)+in_two_wheeler_renew^2*SUMIFS(AR1507:AR1531,B1507:B1531,B1509-24)+in_two_wheeler_renew^3*SUMIFS(AR1507:AR1531,B1507:B1531,B1509-36)+in_two_wheeler_renew^4*SUMIFS(AR1507:AR1531,B1507:B1531,B1509-48))</f>
        <v/>
      </c>
      <c r="AT1509" s="40">
        <f>AT1508*(1-IF(B1508&gt;=in_marketplace_from,d_hz_device*G1508,0))</f>
        <v/>
      </c>
      <c r="AU1509" s="14">
        <f>F1509*AT1509*IF(B1509&gt;=in_marketplace_from,d_hz_device*G1509,0)*in_device_ticket*in_device_comm*in_ins_partner_share</f>
        <v/>
      </c>
      <c r="AV1509" s="40">
        <f>AV1508*(1-IF(B1508&gt;=in_marketplace_from,d_hz_shop*G1508,0))</f>
        <v/>
      </c>
      <c r="AW1509" s="46">
        <f>AV1509*IF(B1509&gt;=in_marketplace_from,d_hz_shop*G1509,0)</f>
        <v/>
      </c>
      <c r="AX1509" s="14">
        <f>F1509*AW1509*in_shop_ticket*in_shop_comm*in_ins_partner_share+F1509*in_shop_ticket*in_shop_renew_comm*in_ins_partner_share*(in_shop_renew^1*SUMIFS(AW1507:AW1531,B1507:B1531,B1509-12)+in_shop_renew^2*SUMIFS(AW1507:AW1531,B1507:B1531,B1509-24)+in_shop_renew^3*SUMIFS(AW1507:AW1531,B1507:B1531,B1509-36)+in_shop_renew^4*SUMIFS(AW1507:AW1531,B1507:B1531,B1509-48))</f>
        <v/>
      </c>
      <c r="AY1509" s="40">
        <f>AY1508*(1-IF(B1508&gt;=in_marketplace_from,d_hz_sip*G1508,0))</f>
        <v/>
      </c>
      <c r="AZ1509" s="40">
        <f>AZ1508*d_rho_sip+AY1509*IF(B1509&gt;=in_marketplace_from,d_hz_sip*G1509,0)</f>
        <v/>
      </c>
      <c r="BA1509" s="40">
        <f>d_rho_sip*(BA1508+AZ1508)</f>
        <v/>
      </c>
      <c r="BB1509" s="14">
        <f>F1509*in_sip_ticket*(BA1509+0.5*AZ1509)*in_sip_comm/12</f>
        <v/>
      </c>
      <c r="BC1509" s="40">
        <f>BC1508*(1-IF(B1508&gt;=in_marketplace_from,d_hz_choti*G1508,0))</f>
        <v/>
      </c>
      <c r="BD1509" s="46">
        <f>BC1509*IF(B1509&gt;=in_marketplace_from,d_hz_choti*G1509,0)</f>
        <v/>
      </c>
      <c r="BE1509" s="14">
        <f>F1509*SUMIFS(BD1507:BD1531,B1507:B1531,B1509-in_choti_months)*in_choti_renew*in_choti_ticket</f>
        <v/>
      </c>
      <c r="BF1509" s="40">
        <f>BF1508*(1-IF(B1508&gt;=in_marketplace_from,d_hz_nps*G1508,0))</f>
        <v/>
      </c>
      <c r="BG1509" s="14">
        <f>F1509*BF1509*IF(B1509&gt;=in_marketplace_from,d_hz_nps*G1509,0)*in_nps_ticket*in_nps_comm</f>
        <v/>
      </c>
      <c r="BH1509" s="40">
        <f>BH1508*(1-IF(B1508&gt;=in_marketplace_from,d_hz_gold*G1508,0))</f>
        <v/>
      </c>
      <c r="BI1509" s="40">
        <f>BI1508*d_rho_gold+BH1509*IF(B1509&gt;=in_marketplace_from,d_hz_gold*G1509,0)</f>
        <v/>
      </c>
      <c r="BJ1509" s="14">
        <f>F1509*BI1509*in_gold_ticket*in_gold_comm</f>
        <v/>
      </c>
      <c r="BK1509" s="40">
        <f>BK1508*(1-IF(B1508&gt;=in_marketplace_from,d_hz_fd*G1508,0))</f>
        <v/>
      </c>
      <c r="BL1509" s="14">
        <f>F1509*BK1509*IF(B1509&gt;=in_marketplace_from,d_hz_fd*G1509,0)*in_fd_ticket*in_fd_comm</f>
        <v/>
      </c>
      <c r="BM1509" s="40">
        <f>BM1508*(1-IF(B1508&gt;=in_marketplace_from,d_hz_recharge*G1508,0))</f>
        <v/>
      </c>
      <c r="BN1509" s="40">
        <f>BN1508*d_rho_recharge+BM1509*IF(B1509&gt;=in_marketplace_from,d_hz_recharge*G1509,0)</f>
        <v/>
      </c>
      <c r="BO1509" s="14">
        <f>F1509*BN1509*in_recharge_ticket*in_recharge_comm/12</f>
        <v/>
      </c>
      <c r="BP1509" s="40">
        <f>BP1508*(1-IF(B1508&gt;=in_marketplace_from,d_hz_bills*G1508,0))</f>
        <v/>
      </c>
      <c r="BQ1509" s="40">
        <f>BQ1508*d_rho_bills+BP1509*IF(B1509&gt;=in_marketplace_from,d_hz_bills*G1509,0)</f>
        <v/>
      </c>
      <c r="BR1509" s="14">
        <f>F1509*BQ1509*in_bills_ticket*in_bills_comm/12</f>
        <v/>
      </c>
      <c r="BS1509" s="40">
        <f>BS1508*(1-IF(B1508&gt;=in_marketplace_from,d_hz_loan_gold*G1508,0))</f>
        <v/>
      </c>
      <c r="BT1509" s="14">
        <f>F1509*BS1509*IF(B1509&gt;=in_marketplace_from,d_hz_loan_gold*G1509,0)*in_loan_gold_ticket*in_loan_gold_comm</f>
        <v/>
      </c>
      <c r="BU1509" s="40">
        <f>BU1508*(1-IF(B1508&gt;=in_marketplace_from,d_hz_loan_cd*G1508,0))</f>
        <v/>
      </c>
      <c r="BV1509" s="14">
        <f>F1509*BU1509*IF(B1509&gt;=in_marketplace_from,d_hz_loan_cd*G1509,0)*in_loan_cd_ticket*in_loan_cd_comm</f>
        <v/>
      </c>
      <c r="BW1509" s="40">
        <f>BW1508*(1-IF(B1508&gt;=in_marketplace_from,d_hz_loan_vehicle*G1508,0))</f>
        <v/>
      </c>
      <c r="BX1509" s="14">
        <f>F1509*BW1509*IF(B1509&gt;=in_marketplace_from,d_hz_loan_vehicle*G1509,0)*in_loan_vehicle_ticket*in_loan_vehicle_comm</f>
        <v/>
      </c>
      <c r="BY1509" s="40">
        <f>BY1508*(1-IF(B1508&gt;=in_marketplace_from,d_hz_loan_home*G1508,0)*BZ1508)</f>
        <v/>
      </c>
      <c r="BZ1509" s="11">
        <f>MIN(in_approval_cap,in_loan_home_approval*INDEX('Age profile'!$O$2:$O$61,B1509)*(1+in_approval_growth)^(D1509-1))</f>
        <v/>
      </c>
      <c r="CA1509" s="14">
        <f>F1509*BY1509*IF(B1509&gt;=in_marketplace_from,d_hz_loan_home*G1509,0)*BZ1509*in_loan_home_ticket*in_loan_home_comm</f>
        <v/>
      </c>
      <c r="CB1509" s="40">
        <f>CB1508*(1-IF(B1508&gt;=in_marketplace_from,d_hz_loan_lap*G1508,0)*CC1508)</f>
        <v/>
      </c>
      <c r="CC1509" s="11">
        <f>MIN(in_approval_cap,in_loan_lap_approval*INDEX('Age profile'!$O$2:$O$61,B1509)*(1+in_approval_growth)^(D1509-1))</f>
        <v/>
      </c>
      <c r="CD1509" s="14">
        <f>F1509*CB1509*IF(B1509&gt;=in_marketplace_from,d_hz_loan_lap*G1509,0)*CC1509*in_loan_lap_ticket*in_loan_lap_comm</f>
        <v/>
      </c>
      <c r="CE1509" s="14">
        <f>AA1509+AB1509+AC1509+AD1509+AG1509+AJ1509+AM1509+AP1509+AS1509+AU1509+AX1509+BB1509+BE1509+BG1509+BJ1509+BL1509+BO1509+BR1509+BT1509+BV1509+BX1509+CA1509+CD1509</f>
        <v/>
      </c>
    </row>
    <row r="1510">
      <c r="A1510" s="39" t="n">
        <v>36</v>
      </c>
      <c r="B1510" s="39" t="n">
        <v>4</v>
      </c>
      <c r="C1510" s="39">
        <f>A1510+B1510-1</f>
        <v/>
      </c>
      <c r="D1510" s="39">
        <f>INT((C1510-1)/12)+1</f>
        <v/>
      </c>
      <c r="E1510" s="44">
        <f>INDEX(Monthly!$B$2:$B$61,A1510)</f>
        <v/>
      </c>
      <c r="F1510" s="44">
        <f>E1510*INDEX('Age profile'!$B$2:$B$61,B1510)</f>
        <v/>
      </c>
      <c r="G1510" s="45">
        <f>MIN(in_takeup_cap,INDEX('Age profile'!$N$2:$N$61,B1510)*(1+in_takeup_growth)^(D1510-1))</f>
        <v/>
      </c>
      <c r="H1510" s="11">
        <f>MIN(in_approval_cap,in_approved_first*INDEX('Age profile'!$O$2:$O$61,B1510)*(1+in_approval_growth)^(D1510-1))</f>
        <v/>
      </c>
      <c r="I1510" s="45">
        <f>G1510*MIN(in_takeup_cap,INDEX('Age profile'!$O$2:$O$61,B1510)*(1+in_approval_growth)^(D1510-1))</f>
        <v/>
      </c>
      <c r="J1510" s="40">
        <f>(J1509-L1509)*F1510/F1509</f>
        <v/>
      </c>
      <c r="K1510" s="40">
        <f>(K1509-M1509)*F1510/F1509+SUMIFS(O1507:O1509,B1507:B1509,B1510-1-d_T)*F1510</f>
        <v/>
      </c>
      <c r="L1510" s="40">
        <f>IF(B1510&gt;=in_marketplace_from,J1510*d_hz*G1510*in_eligible*H1510,0)</f>
        <v/>
      </c>
      <c r="M1510" s="40">
        <f>IF(B1510&gt;=in_marketplace_from,K1510*d_hz*G1510*in_eligible*in_approved_repeat,0)</f>
        <v/>
      </c>
      <c r="N1510" s="40">
        <f>L1510+M1510</f>
        <v/>
      </c>
      <c r="O1510" s="46">
        <f>N1510/F1510</f>
        <v/>
      </c>
      <c r="P1510" s="40">
        <f>F1510-J1510-K1510</f>
        <v/>
      </c>
      <c r="Q1510" s="40">
        <f>IF(B1510&gt;=in_marketplace_from,(J1510+K1510)*d_hz*G1510,0)</f>
        <v/>
      </c>
      <c r="R1510" s="40">
        <f>SUMIFS(N1507:N1531,B1507:B1531,"&gt;="&amp;(B1510-d_T),B1507:B1531,"&lt;="&amp;(B1510-1))</f>
        <v/>
      </c>
      <c r="S1510" s="46">
        <f>(1-d_u)*S1509+IF(d_T&gt;in_topup_lag,SUMIFS(O1507:O1531,B1507:B1531,B1510-in_topup_lag)-d_udrop*SUMIFS(O1507:O1531,B1507:B1531,B1510-d_T),0)</f>
        <v/>
      </c>
      <c r="T1510" s="40">
        <f>F1510*d_u*S1510</f>
        <v/>
      </c>
      <c r="U1510" s="9">
        <f>L1510*in_ticket+M1510*d_rep_ticket</f>
        <v/>
      </c>
      <c r="V1510" s="9">
        <f>U1510+T1510*d_topup_amt</f>
        <v/>
      </c>
      <c r="W1510" s="40">
        <f>N1510+T1510*d_topup_ratio</f>
        <v/>
      </c>
      <c r="X1510" s="40">
        <f>SUMIFS(W1507:W1531,B1507:B1531,B1510-in_dpd_lag)*d_cured</f>
        <v/>
      </c>
      <c r="Y1510" s="40">
        <f>SUMIFS(W1507:W1531,B1507:B1531,B1510-in_rec_lag)*d_recd</f>
        <v/>
      </c>
      <c r="Z1510" s="40">
        <f>IF(AND(B1510&gt;=in_marketplace_from,B1510&lt;in_marketplace_from+in_card_months),in_card_share/in_card_months*F1510*I1510,IF(AND(B1510&gt;=in_marketplace_from+in_card_months,B1510&lt;in_marketplace_from+2*in_card_months),in_card_share*d_card_rem/in_card_months*F1510*MIN(in_takeup_cap,(1+in_takeup_growth)^(D1510-1))*MIN(in_takeup_cap,(1+in_approval_growth)^(D1510-1)),0))</f>
        <v/>
      </c>
      <c r="AA1510" s="14">
        <f>V1510*in_fee*(1-in_taken_back)</f>
        <v/>
      </c>
      <c r="AB1510" s="14">
        <f>SUMIFS(W1507:W1531,B1507:B1531,B1510-in_dpd_lag)*d_dpd</f>
        <v/>
      </c>
      <c r="AC1510" s="14">
        <f>SUMIFS(W1507:W1531,B1507:B1531,B1510-in_rec_lag)*d_rec</f>
        <v/>
      </c>
      <c r="AD1510" s="14">
        <f>Z1510*in_card_fee</f>
        <v/>
      </c>
      <c r="AE1510" s="40">
        <f>AE1509*(1-IF(B1509&gt;=in_marketplace_from,d_hz_hlth_small*G1509,0))</f>
        <v/>
      </c>
      <c r="AF1510" s="46">
        <f>AE1510*IF(B1510&gt;=in_marketplace_from,d_hz_hlth_small*G1510,0)</f>
        <v/>
      </c>
      <c r="AG1510" s="14">
        <f>F1510*AF1510*in_hlth_small_ticket*in_hlth_small_comm*in_ins_partner_share+F1510*in_hlth_small_ticket*in_hlth_small_renew_comm*in_ins_partner_share*(in_hlth_small_renew^1*SUMIFS(AF1507:AF1531,B1507:B1531,B1510-12)+in_hlth_small_renew^2*SUMIFS(AF1507:AF1531,B1507:B1531,B1510-24)+in_hlth_small_renew^3*SUMIFS(AF1507:AF1531,B1507:B1531,B1510-36)+in_hlth_small_renew^4*SUMIFS(AF1507:AF1531,B1507:B1531,B1510-48))</f>
        <v/>
      </c>
      <c r="AH1510" s="40">
        <f>AH1509*(1-IF(B1509&gt;=in_marketplace_from,d_hz_hlth_family*G1509,0))</f>
        <v/>
      </c>
      <c r="AI1510" s="46">
        <f>AH1510*IF(B1510&gt;=in_marketplace_from,d_hz_hlth_family*G1510,0)</f>
        <v/>
      </c>
      <c r="AJ1510" s="14">
        <f>F1510*AI1510*in_hlth_family_ticket*in_hlth_family_comm*in_ins_partner_share+F1510*in_hlth_family_ticket*in_hlth_family_renew_comm*in_ins_partner_share*(in_hlth_family_renew^1*SUMIFS(AI1507:AI1531,B1507:B1531,B1510-12)+in_hlth_family_renew^2*SUMIFS(AI1507:AI1531,B1507:B1531,B1510-24)+in_hlth_family_renew^3*SUMIFS(AI1507:AI1531,B1507:B1531,B1510-36)+in_hlth_family_renew^4*SUMIFS(AI1507:AI1531,B1507:B1531,B1510-48))</f>
        <v/>
      </c>
      <c r="AK1510" s="40">
        <f>AK1509*(1-IF(B1509&gt;=in_marketplace_from,d_hz_life_term*G1509,0))</f>
        <v/>
      </c>
      <c r="AL1510" s="46">
        <f>AK1510*IF(B1510&gt;=in_marketplace_from,d_hz_life_term*G1510,0)</f>
        <v/>
      </c>
      <c r="AM1510" s="14">
        <f>F1510*AL1510*in_life_term_ticket*in_life_term_comm*in_ins_partner_share+F1510*in_life_term_ticket*in_life_term_renew_comm*in_ins_partner_share*(in_life_term_renew^1*SUMIFS(AL1507:AL1531,B1507:B1531,B1510-12)+in_life_term_renew^2*SUMIFS(AL1507:AL1531,B1507:B1531,B1510-24)+in_life_term_renew^3*SUMIFS(AL1507:AL1531,B1507:B1531,B1510-36)+in_life_term_renew^4*SUMIFS(AL1507:AL1531,B1507:B1531,B1510-48))</f>
        <v/>
      </c>
      <c r="AN1510" s="40">
        <f>AN1509*(1-IF(B1509&gt;=in_marketplace_from,d_hz_accident*G1509,0))</f>
        <v/>
      </c>
      <c r="AO1510" s="46">
        <f>AN1510*IF(B1510&gt;=in_marketplace_from,d_hz_accident*G1510,0)</f>
        <v/>
      </c>
      <c r="AP1510" s="14">
        <f>F1510*AO1510*in_accident_ticket*in_accident_comm*in_ins_partner_share+F1510*in_accident_ticket*in_accident_renew_comm*in_ins_partner_share*(in_accident_renew^1*SUMIFS(AO1507:AO1531,B1507:B1531,B1510-12)+in_accident_renew^2*SUMIFS(AO1507:AO1531,B1507:B1531,B1510-24)+in_accident_renew^3*SUMIFS(AO1507:AO1531,B1507:B1531,B1510-36)+in_accident_renew^4*SUMIFS(AO1507:AO1531,B1507:B1531,B1510-48))</f>
        <v/>
      </c>
      <c r="AQ1510" s="40">
        <f>AQ1509*(1-IF(B1509&gt;=in_marketplace_from,d_hz_two_wheeler*G1509,0))</f>
        <v/>
      </c>
      <c r="AR1510" s="46">
        <f>AQ1510*IF(B1510&gt;=in_marketplace_from,d_hz_two_wheeler*G1510,0)</f>
        <v/>
      </c>
      <c r="AS1510" s="14">
        <f>F1510*AR1510*in_two_wheeler_ticket*in_two_wheeler_comm*in_ins_partner_share+F1510*in_two_wheeler_ticket*in_two_wheeler_comm*in_ins_partner_share*(in_two_wheeler_renew^1*SUMIFS(AR1507:AR1531,B1507:B1531,B1510-12)+in_two_wheeler_renew^2*SUMIFS(AR1507:AR1531,B1507:B1531,B1510-24)+in_two_wheeler_renew^3*SUMIFS(AR1507:AR1531,B1507:B1531,B1510-36)+in_two_wheeler_renew^4*SUMIFS(AR1507:AR1531,B1507:B1531,B1510-48))</f>
        <v/>
      </c>
      <c r="AT1510" s="40">
        <f>AT1509*(1-IF(B1509&gt;=in_marketplace_from,d_hz_device*G1509,0))</f>
        <v/>
      </c>
      <c r="AU1510" s="14">
        <f>F1510*AT1510*IF(B1510&gt;=in_marketplace_from,d_hz_device*G1510,0)*in_device_ticket*in_device_comm*in_ins_partner_share</f>
        <v/>
      </c>
      <c r="AV1510" s="40">
        <f>AV1509*(1-IF(B1509&gt;=in_marketplace_from,d_hz_shop*G1509,0))</f>
        <v/>
      </c>
      <c r="AW1510" s="46">
        <f>AV1510*IF(B1510&gt;=in_marketplace_from,d_hz_shop*G1510,0)</f>
        <v/>
      </c>
      <c r="AX1510" s="14">
        <f>F1510*AW1510*in_shop_ticket*in_shop_comm*in_ins_partner_share+F1510*in_shop_ticket*in_shop_renew_comm*in_ins_partner_share*(in_shop_renew^1*SUMIFS(AW1507:AW1531,B1507:B1531,B1510-12)+in_shop_renew^2*SUMIFS(AW1507:AW1531,B1507:B1531,B1510-24)+in_shop_renew^3*SUMIFS(AW1507:AW1531,B1507:B1531,B1510-36)+in_shop_renew^4*SUMIFS(AW1507:AW1531,B1507:B1531,B1510-48))</f>
        <v/>
      </c>
      <c r="AY1510" s="40">
        <f>AY1509*(1-IF(B1509&gt;=in_marketplace_from,d_hz_sip*G1509,0))</f>
        <v/>
      </c>
      <c r="AZ1510" s="40">
        <f>AZ1509*d_rho_sip+AY1510*IF(B1510&gt;=in_marketplace_from,d_hz_sip*G1510,0)</f>
        <v/>
      </c>
      <c r="BA1510" s="40">
        <f>d_rho_sip*(BA1509+AZ1509)</f>
        <v/>
      </c>
      <c r="BB1510" s="14">
        <f>F1510*in_sip_ticket*(BA1510+0.5*AZ1510)*in_sip_comm/12</f>
        <v/>
      </c>
      <c r="BC1510" s="40">
        <f>BC1509*(1-IF(B1509&gt;=in_marketplace_from,d_hz_choti*G1509,0))</f>
        <v/>
      </c>
      <c r="BD1510" s="46">
        <f>BC1510*IF(B1510&gt;=in_marketplace_from,d_hz_choti*G1510,0)</f>
        <v/>
      </c>
      <c r="BE1510" s="14">
        <f>F1510*SUMIFS(BD1507:BD1531,B1507:B1531,B1510-in_choti_months)*in_choti_renew*in_choti_ticket</f>
        <v/>
      </c>
      <c r="BF1510" s="40">
        <f>BF1509*(1-IF(B1509&gt;=in_marketplace_from,d_hz_nps*G1509,0))</f>
        <v/>
      </c>
      <c r="BG1510" s="14">
        <f>F1510*BF1510*IF(B1510&gt;=in_marketplace_from,d_hz_nps*G1510,0)*in_nps_ticket*in_nps_comm</f>
        <v/>
      </c>
      <c r="BH1510" s="40">
        <f>BH1509*(1-IF(B1509&gt;=in_marketplace_from,d_hz_gold*G1509,0))</f>
        <v/>
      </c>
      <c r="BI1510" s="40">
        <f>BI1509*d_rho_gold+BH1510*IF(B1510&gt;=in_marketplace_from,d_hz_gold*G1510,0)</f>
        <v/>
      </c>
      <c r="BJ1510" s="14">
        <f>F1510*BI1510*in_gold_ticket*in_gold_comm</f>
        <v/>
      </c>
      <c r="BK1510" s="40">
        <f>BK1509*(1-IF(B1509&gt;=in_marketplace_from,d_hz_fd*G1509,0))</f>
        <v/>
      </c>
      <c r="BL1510" s="14">
        <f>F1510*BK1510*IF(B1510&gt;=in_marketplace_from,d_hz_fd*G1510,0)*in_fd_ticket*in_fd_comm</f>
        <v/>
      </c>
      <c r="BM1510" s="40">
        <f>BM1509*(1-IF(B1509&gt;=in_marketplace_from,d_hz_recharge*G1509,0))</f>
        <v/>
      </c>
      <c r="BN1510" s="40">
        <f>BN1509*d_rho_recharge+BM1510*IF(B1510&gt;=in_marketplace_from,d_hz_recharge*G1510,0)</f>
        <v/>
      </c>
      <c r="BO1510" s="14">
        <f>F1510*BN1510*in_recharge_ticket*in_recharge_comm/12</f>
        <v/>
      </c>
      <c r="BP1510" s="40">
        <f>BP1509*(1-IF(B1509&gt;=in_marketplace_from,d_hz_bills*G1509,0))</f>
        <v/>
      </c>
      <c r="BQ1510" s="40">
        <f>BQ1509*d_rho_bills+BP1510*IF(B1510&gt;=in_marketplace_from,d_hz_bills*G1510,0)</f>
        <v/>
      </c>
      <c r="BR1510" s="14">
        <f>F1510*BQ1510*in_bills_ticket*in_bills_comm/12</f>
        <v/>
      </c>
      <c r="BS1510" s="40">
        <f>BS1509*(1-IF(B1509&gt;=in_marketplace_from,d_hz_loan_gold*G1509,0))</f>
        <v/>
      </c>
      <c r="BT1510" s="14">
        <f>F1510*BS1510*IF(B1510&gt;=in_marketplace_from,d_hz_loan_gold*G1510,0)*in_loan_gold_ticket*in_loan_gold_comm</f>
        <v/>
      </c>
      <c r="BU1510" s="40">
        <f>BU1509*(1-IF(B1509&gt;=in_marketplace_from,d_hz_loan_cd*G1509,0))</f>
        <v/>
      </c>
      <c r="BV1510" s="14">
        <f>F1510*BU1510*IF(B1510&gt;=in_marketplace_from,d_hz_loan_cd*G1510,0)*in_loan_cd_ticket*in_loan_cd_comm</f>
        <v/>
      </c>
      <c r="BW1510" s="40">
        <f>BW1509*(1-IF(B1509&gt;=in_marketplace_from,d_hz_loan_vehicle*G1509,0))</f>
        <v/>
      </c>
      <c r="BX1510" s="14">
        <f>F1510*BW1510*IF(B1510&gt;=in_marketplace_from,d_hz_loan_vehicle*G1510,0)*in_loan_vehicle_ticket*in_loan_vehicle_comm</f>
        <v/>
      </c>
      <c r="BY1510" s="40">
        <f>BY1509*(1-IF(B1509&gt;=in_marketplace_from,d_hz_loan_home*G1509,0)*BZ1509)</f>
        <v/>
      </c>
      <c r="BZ1510" s="11">
        <f>MIN(in_approval_cap,in_loan_home_approval*INDEX('Age profile'!$O$2:$O$61,B1510)*(1+in_approval_growth)^(D1510-1))</f>
        <v/>
      </c>
      <c r="CA1510" s="14">
        <f>F1510*BY1510*IF(B1510&gt;=in_marketplace_from,d_hz_loan_home*G1510,0)*BZ1510*in_loan_home_ticket*in_loan_home_comm</f>
        <v/>
      </c>
      <c r="CB1510" s="40">
        <f>CB1509*(1-IF(B1509&gt;=in_marketplace_from,d_hz_loan_lap*G1509,0)*CC1509)</f>
        <v/>
      </c>
      <c r="CC1510" s="11">
        <f>MIN(in_approval_cap,in_loan_lap_approval*INDEX('Age profile'!$O$2:$O$61,B1510)*(1+in_approval_growth)^(D1510-1))</f>
        <v/>
      </c>
      <c r="CD1510" s="14">
        <f>F1510*CB1510*IF(B1510&gt;=in_marketplace_from,d_hz_loan_lap*G1510,0)*CC1510*in_loan_lap_ticket*in_loan_lap_comm</f>
        <v/>
      </c>
      <c r="CE1510" s="14">
        <f>AA1510+AB1510+AC1510+AD1510+AG1510+AJ1510+AM1510+AP1510+AS1510+AU1510+AX1510+BB1510+BE1510+BG1510+BJ1510+BL1510+BO1510+BR1510+BT1510+BV1510+BX1510+CA1510+CD1510</f>
        <v/>
      </c>
    </row>
    <row r="1511">
      <c r="A1511" s="39" t="n">
        <v>36</v>
      </c>
      <c r="B1511" s="39" t="n">
        <v>5</v>
      </c>
      <c r="C1511" s="39">
        <f>A1511+B1511-1</f>
        <v/>
      </c>
      <c r="D1511" s="39">
        <f>INT((C1511-1)/12)+1</f>
        <v/>
      </c>
      <c r="E1511" s="44">
        <f>INDEX(Monthly!$B$2:$B$61,A1511)</f>
        <v/>
      </c>
      <c r="F1511" s="44">
        <f>E1511*INDEX('Age profile'!$B$2:$B$61,B1511)</f>
        <v/>
      </c>
      <c r="G1511" s="45">
        <f>MIN(in_takeup_cap,INDEX('Age profile'!$N$2:$N$61,B1511)*(1+in_takeup_growth)^(D1511-1))</f>
        <v/>
      </c>
      <c r="H1511" s="11">
        <f>MIN(in_approval_cap,in_approved_first*INDEX('Age profile'!$O$2:$O$61,B1511)*(1+in_approval_growth)^(D1511-1))</f>
        <v/>
      </c>
      <c r="I1511" s="45">
        <f>G1511*MIN(in_takeup_cap,INDEX('Age profile'!$O$2:$O$61,B1511)*(1+in_approval_growth)^(D1511-1))</f>
        <v/>
      </c>
      <c r="J1511" s="40">
        <f>(J1510-L1510)*F1511/F1510</f>
        <v/>
      </c>
      <c r="K1511" s="40">
        <f>(K1510-M1510)*F1511/F1510+SUMIFS(O1507:O1510,B1507:B1510,B1511-1-d_T)*F1511</f>
        <v/>
      </c>
      <c r="L1511" s="40">
        <f>IF(B1511&gt;=in_marketplace_from,J1511*d_hz*G1511*in_eligible*H1511,0)</f>
        <v/>
      </c>
      <c r="M1511" s="40">
        <f>IF(B1511&gt;=in_marketplace_from,K1511*d_hz*G1511*in_eligible*in_approved_repeat,0)</f>
        <v/>
      </c>
      <c r="N1511" s="40">
        <f>L1511+M1511</f>
        <v/>
      </c>
      <c r="O1511" s="46">
        <f>N1511/F1511</f>
        <v/>
      </c>
      <c r="P1511" s="40">
        <f>F1511-J1511-K1511</f>
        <v/>
      </c>
      <c r="Q1511" s="40">
        <f>IF(B1511&gt;=in_marketplace_from,(J1511+K1511)*d_hz*G1511,0)</f>
        <v/>
      </c>
      <c r="R1511" s="40">
        <f>SUMIFS(N1507:N1531,B1507:B1531,"&gt;="&amp;(B1511-d_T),B1507:B1531,"&lt;="&amp;(B1511-1))</f>
        <v/>
      </c>
      <c r="S1511" s="46">
        <f>(1-d_u)*S1510+IF(d_T&gt;in_topup_lag,SUMIFS(O1507:O1531,B1507:B1531,B1511-in_topup_lag)-d_udrop*SUMIFS(O1507:O1531,B1507:B1531,B1511-d_T),0)</f>
        <v/>
      </c>
      <c r="T1511" s="40">
        <f>F1511*d_u*S1511</f>
        <v/>
      </c>
      <c r="U1511" s="9">
        <f>L1511*in_ticket+M1511*d_rep_ticket</f>
        <v/>
      </c>
      <c r="V1511" s="9">
        <f>U1511+T1511*d_topup_amt</f>
        <v/>
      </c>
      <c r="W1511" s="40">
        <f>N1511+T1511*d_topup_ratio</f>
        <v/>
      </c>
      <c r="X1511" s="40">
        <f>SUMIFS(W1507:W1531,B1507:B1531,B1511-in_dpd_lag)*d_cured</f>
        <v/>
      </c>
      <c r="Y1511" s="40">
        <f>SUMIFS(W1507:W1531,B1507:B1531,B1511-in_rec_lag)*d_recd</f>
        <v/>
      </c>
      <c r="Z1511" s="40">
        <f>IF(AND(B1511&gt;=in_marketplace_from,B1511&lt;in_marketplace_from+in_card_months),in_card_share/in_card_months*F1511*I1511,IF(AND(B1511&gt;=in_marketplace_from+in_card_months,B1511&lt;in_marketplace_from+2*in_card_months),in_card_share*d_card_rem/in_card_months*F1511*MIN(in_takeup_cap,(1+in_takeup_growth)^(D1511-1))*MIN(in_takeup_cap,(1+in_approval_growth)^(D1511-1)),0))</f>
        <v/>
      </c>
      <c r="AA1511" s="14">
        <f>V1511*in_fee*(1-in_taken_back)</f>
        <v/>
      </c>
      <c r="AB1511" s="14">
        <f>SUMIFS(W1507:W1531,B1507:B1531,B1511-in_dpd_lag)*d_dpd</f>
        <v/>
      </c>
      <c r="AC1511" s="14">
        <f>SUMIFS(W1507:W1531,B1507:B1531,B1511-in_rec_lag)*d_rec</f>
        <v/>
      </c>
      <c r="AD1511" s="14">
        <f>Z1511*in_card_fee</f>
        <v/>
      </c>
      <c r="AE1511" s="40">
        <f>AE1510*(1-IF(B1510&gt;=in_marketplace_from,d_hz_hlth_small*G1510,0))</f>
        <v/>
      </c>
      <c r="AF1511" s="46">
        <f>AE1511*IF(B1511&gt;=in_marketplace_from,d_hz_hlth_small*G1511,0)</f>
        <v/>
      </c>
      <c r="AG1511" s="14">
        <f>F1511*AF1511*in_hlth_small_ticket*in_hlth_small_comm*in_ins_partner_share+F1511*in_hlth_small_ticket*in_hlth_small_renew_comm*in_ins_partner_share*(in_hlth_small_renew^1*SUMIFS(AF1507:AF1531,B1507:B1531,B1511-12)+in_hlth_small_renew^2*SUMIFS(AF1507:AF1531,B1507:B1531,B1511-24)+in_hlth_small_renew^3*SUMIFS(AF1507:AF1531,B1507:B1531,B1511-36)+in_hlth_small_renew^4*SUMIFS(AF1507:AF1531,B1507:B1531,B1511-48))</f>
        <v/>
      </c>
      <c r="AH1511" s="40">
        <f>AH1510*(1-IF(B1510&gt;=in_marketplace_from,d_hz_hlth_family*G1510,0))</f>
        <v/>
      </c>
      <c r="AI1511" s="46">
        <f>AH1511*IF(B1511&gt;=in_marketplace_from,d_hz_hlth_family*G1511,0)</f>
        <v/>
      </c>
      <c r="AJ1511" s="14">
        <f>F1511*AI1511*in_hlth_family_ticket*in_hlth_family_comm*in_ins_partner_share+F1511*in_hlth_family_ticket*in_hlth_family_renew_comm*in_ins_partner_share*(in_hlth_family_renew^1*SUMIFS(AI1507:AI1531,B1507:B1531,B1511-12)+in_hlth_family_renew^2*SUMIFS(AI1507:AI1531,B1507:B1531,B1511-24)+in_hlth_family_renew^3*SUMIFS(AI1507:AI1531,B1507:B1531,B1511-36)+in_hlth_family_renew^4*SUMIFS(AI1507:AI1531,B1507:B1531,B1511-48))</f>
        <v/>
      </c>
      <c r="AK1511" s="40">
        <f>AK1510*(1-IF(B1510&gt;=in_marketplace_from,d_hz_life_term*G1510,0))</f>
        <v/>
      </c>
      <c r="AL1511" s="46">
        <f>AK1511*IF(B1511&gt;=in_marketplace_from,d_hz_life_term*G1511,0)</f>
        <v/>
      </c>
      <c r="AM1511" s="14">
        <f>F1511*AL1511*in_life_term_ticket*in_life_term_comm*in_ins_partner_share+F1511*in_life_term_ticket*in_life_term_renew_comm*in_ins_partner_share*(in_life_term_renew^1*SUMIFS(AL1507:AL1531,B1507:B1531,B1511-12)+in_life_term_renew^2*SUMIFS(AL1507:AL1531,B1507:B1531,B1511-24)+in_life_term_renew^3*SUMIFS(AL1507:AL1531,B1507:B1531,B1511-36)+in_life_term_renew^4*SUMIFS(AL1507:AL1531,B1507:B1531,B1511-48))</f>
        <v/>
      </c>
      <c r="AN1511" s="40">
        <f>AN1510*(1-IF(B1510&gt;=in_marketplace_from,d_hz_accident*G1510,0))</f>
        <v/>
      </c>
      <c r="AO1511" s="46">
        <f>AN1511*IF(B1511&gt;=in_marketplace_from,d_hz_accident*G1511,0)</f>
        <v/>
      </c>
      <c r="AP1511" s="14">
        <f>F1511*AO1511*in_accident_ticket*in_accident_comm*in_ins_partner_share+F1511*in_accident_ticket*in_accident_renew_comm*in_ins_partner_share*(in_accident_renew^1*SUMIFS(AO1507:AO1531,B1507:B1531,B1511-12)+in_accident_renew^2*SUMIFS(AO1507:AO1531,B1507:B1531,B1511-24)+in_accident_renew^3*SUMIFS(AO1507:AO1531,B1507:B1531,B1511-36)+in_accident_renew^4*SUMIFS(AO1507:AO1531,B1507:B1531,B1511-48))</f>
        <v/>
      </c>
      <c r="AQ1511" s="40">
        <f>AQ1510*(1-IF(B1510&gt;=in_marketplace_from,d_hz_two_wheeler*G1510,0))</f>
        <v/>
      </c>
      <c r="AR1511" s="46">
        <f>AQ1511*IF(B1511&gt;=in_marketplace_from,d_hz_two_wheeler*G1511,0)</f>
        <v/>
      </c>
      <c r="AS1511" s="14">
        <f>F1511*AR1511*in_two_wheeler_ticket*in_two_wheeler_comm*in_ins_partner_share+F1511*in_two_wheeler_ticket*in_two_wheeler_comm*in_ins_partner_share*(in_two_wheeler_renew^1*SUMIFS(AR1507:AR1531,B1507:B1531,B1511-12)+in_two_wheeler_renew^2*SUMIFS(AR1507:AR1531,B1507:B1531,B1511-24)+in_two_wheeler_renew^3*SUMIFS(AR1507:AR1531,B1507:B1531,B1511-36)+in_two_wheeler_renew^4*SUMIFS(AR1507:AR1531,B1507:B1531,B1511-48))</f>
        <v/>
      </c>
      <c r="AT1511" s="40">
        <f>AT1510*(1-IF(B1510&gt;=in_marketplace_from,d_hz_device*G1510,0))</f>
        <v/>
      </c>
      <c r="AU1511" s="14">
        <f>F1511*AT1511*IF(B1511&gt;=in_marketplace_from,d_hz_device*G1511,0)*in_device_ticket*in_device_comm*in_ins_partner_share</f>
        <v/>
      </c>
      <c r="AV1511" s="40">
        <f>AV1510*(1-IF(B1510&gt;=in_marketplace_from,d_hz_shop*G1510,0))</f>
        <v/>
      </c>
      <c r="AW1511" s="46">
        <f>AV1511*IF(B1511&gt;=in_marketplace_from,d_hz_shop*G1511,0)</f>
        <v/>
      </c>
      <c r="AX1511" s="14">
        <f>F1511*AW1511*in_shop_ticket*in_shop_comm*in_ins_partner_share+F1511*in_shop_ticket*in_shop_renew_comm*in_ins_partner_share*(in_shop_renew^1*SUMIFS(AW1507:AW1531,B1507:B1531,B1511-12)+in_shop_renew^2*SUMIFS(AW1507:AW1531,B1507:B1531,B1511-24)+in_shop_renew^3*SUMIFS(AW1507:AW1531,B1507:B1531,B1511-36)+in_shop_renew^4*SUMIFS(AW1507:AW1531,B1507:B1531,B1511-48))</f>
        <v/>
      </c>
      <c r="AY1511" s="40">
        <f>AY1510*(1-IF(B1510&gt;=in_marketplace_from,d_hz_sip*G1510,0))</f>
        <v/>
      </c>
      <c r="AZ1511" s="40">
        <f>AZ1510*d_rho_sip+AY1511*IF(B1511&gt;=in_marketplace_from,d_hz_sip*G1511,0)</f>
        <v/>
      </c>
      <c r="BA1511" s="40">
        <f>d_rho_sip*(BA1510+AZ1510)</f>
        <v/>
      </c>
      <c r="BB1511" s="14">
        <f>F1511*in_sip_ticket*(BA1511+0.5*AZ1511)*in_sip_comm/12</f>
        <v/>
      </c>
      <c r="BC1511" s="40">
        <f>BC1510*(1-IF(B1510&gt;=in_marketplace_from,d_hz_choti*G1510,0))</f>
        <v/>
      </c>
      <c r="BD1511" s="46">
        <f>BC1511*IF(B1511&gt;=in_marketplace_from,d_hz_choti*G1511,0)</f>
        <v/>
      </c>
      <c r="BE1511" s="14">
        <f>F1511*SUMIFS(BD1507:BD1531,B1507:B1531,B1511-in_choti_months)*in_choti_renew*in_choti_ticket</f>
        <v/>
      </c>
      <c r="BF1511" s="40">
        <f>BF1510*(1-IF(B1510&gt;=in_marketplace_from,d_hz_nps*G1510,0))</f>
        <v/>
      </c>
      <c r="BG1511" s="14">
        <f>F1511*BF1511*IF(B1511&gt;=in_marketplace_from,d_hz_nps*G1511,0)*in_nps_ticket*in_nps_comm</f>
        <v/>
      </c>
      <c r="BH1511" s="40">
        <f>BH1510*(1-IF(B1510&gt;=in_marketplace_from,d_hz_gold*G1510,0))</f>
        <v/>
      </c>
      <c r="BI1511" s="40">
        <f>BI1510*d_rho_gold+BH1511*IF(B1511&gt;=in_marketplace_from,d_hz_gold*G1511,0)</f>
        <v/>
      </c>
      <c r="BJ1511" s="14">
        <f>F1511*BI1511*in_gold_ticket*in_gold_comm</f>
        <v/>
      </c>
      <c r="BK1511" s="40">
        <f>BK1510*(1-IF(B1510&gt;=in_marketplace_from,d_hz_fd*G1510,0))</f>
        <v/>
      </c>
      <c r="BL1511" s="14">
        <f>F1511*BK1511*IF(B1511&gt;=in_marketplace_from,d_hz_fd*G1511,0)*in_fd_ticket*in_fd_comm</f>
        <v/>
      </c>
      <c r="BM1511" s="40">
        <f>BM1510*(1-IF(B1510&gt;=in_marketplace_from,d_hz_recharge*G1510,0))</f>
        <v/>
      </c>
      <c r="BN1511" s="40">
        <f>BN1510*d_rho_recharge+BM1511*IF(B1511&gt;=in_marketplace_from,d_hz_recharge*G1511,0)</f>
        <v/>
      </c>
      <c r="BO1511" s="14">
        <f>F1511*BN1511*in_recharge_ticket*in_recharge_comm/12</f>
        <v/>
      </c>
      <c r="BP1511" s="40">
        <f>BP1510*(1-IF(B1510&gt;=in_marketplace_from,d_hz_bills*G1510,0))</f>
        <v/>
      </c>
      <c r="BQ1511" s="40">
        <f>BQ1510*d_rho_bills+BP1511*IF(B1511&gt;=in_marketplace_from,d_hz_bills*G1511,0)</f>
        <v/>
      </c>
      <c r="BR1511" s="14">
        <f>F1511*BQ1511*in_bills_ticket*in_bills_comm/12</f>
        <v/>
      </c>
      <c r="BS1511" s="40">
        <f>BS1510*(1-IF(B1510&gt;=in_marketplace_from,d_hz_loan_gold*G1510,0))</f>
        <v/>
      </c>
      <c r="BT1511" s="14">
        <f>F1511*BS1511*IF(B1511&gt;=in_marketplace_from,d_hz_loan_gold*G1511,0)*in_loan_gold_ticket*in_loan_gold_comm</f>
        <v/>
      </c>
      <c r="BU1511" s="40">
        <f>BU1510*(1-IF(B1510&gt;=in_marketplace_from,d_hz_loan_cd*G1510,0))</f>
        <v/>
      </c>
      <c r="BV1511" s="14">
        <f>F1511*BU1511*IF(B1511&gt;=in_marketplace_from,d_hz_loan_cd*G1511,0)*in_loan_cd_ticket*in_loan_cd_comm</f>
        <v/>
      </c>
      <c r="BW1511" s="40">
        <f>BW1510*(1-IF(B1510&gt;=in_marketplace_from,d_hz_loan_vehicle*G1510,0))</f>
        <v/>
      </c>
      <c r="BX1511" s="14">
        <f>F1511*BW1511*IF(B1511&gt;=in_marketplace_from,d_hz_loan_vehicle*G1511,0)*in_loan_vehicle_ticket*in_loan_vehicle_comm</f>
        <v/>
      </c>
      <c r="BY1511" s="40">
        <f>BY1510*(1-IF(B1510&gt;=in_marketplace_from,d_hz_loan_home*G1510,0)*BZ1510)</f>
        <v/>
      </c>
      <c r="BZ1511" s="11">
        <f>MIN(in_approval_cap,in_loan_home_approval*INDEX('Age profile'!$O$2:$O$61,B1511)*(1+in_approval_growth)^(D1511-1))</f>
        <v/>
      </c>
      <c r="CA1511" s="14">
        <f>F1511*BY1511*IF(B1511&gt;=in_marketplace_from,d_hz_loan_home*G1511,0)*BZ1511*in_loan_home_ticket*in_loan_home_comm</f>
        <v/>
      </c>
      <c r="CB1511" s="40">
        <f>CB1510*(1-IF(B1510&gt;=in_marketplace_from,d_hz_loan_lap*G1510,0)*CC1510)</f>
        <v/>
      </c>
      <c r="CC1511" s="11">
        <f>MIN(in_approval_cap,in_loan_lap_approval*INDEX('Age profile'!$O$2:$O$61,B1511)*(1+in_approval_growth)^(D1511-1))</f>
        <v/>
      </c>
      <c r="CD1511" s="14">
        <f>F1511*CB1511*IF(B1511&gt;=in_marketplace_from,d_hz_loan_lap*G1511,0)*CC1511*in_loan_lap_ticket*in_loan_lap_comm</f>
        <v/>
      </c>
      <c r="CE1511" s="14">
        <f>AA1511+AB1511+AC1511+AD1511+AG1511+AJ1511+AM1511+AP1511+AS1511+AU1511+AX1511+BB1511+BE1511+BG1511+BJ1511+BL1511+BO1511+BR1511+BT1511+BV1511+BX1511+CA1511+CD1511</f>
        <v/>
      </c>
    </row>
    <row r="1512">
      <c r="A1512" s="39" t="n">
        <v>36</v>
      </c>
      <c r="B1512" s="39" t="n">
        <v>6</v>
      </c>
      <c r="C1512" s="39">
        <f>A1512+B1512-1</f>
        <v/>
      </c>
      <c r="D1512" s="39">
        <f>INT((C1512-1)/12)+1</f>
        <v/>
      </c>
      <c r="E1512" s="44">
        <f>INDEX(Monthly!$B$2:$B$61,A1512)</f>
        <v/>
      </c>
      <c r="F1512" s="44">
        <f>E1512*INDEX('Age profile'!$B$2:$B$61,B1512)</f>
        <v/>
      </c>
      <c r="G1512" s="45">
        <f>MIN(in_takeup_cap,INDEX('Age profile'!$N$2:$N$61,B1512)*(1+in_takeup_growth)^(D1512-1))</f>
        <v/>
      </c>
      <c r="H1512" s="11">
        <f>MIN(in_approval_cap,in_approved_first*INDEX('Age profile'!$O$2:$O$61,B1512)*(1+in_approval_growth)^(D1512-1))</f>
        <v/>
      </c>
      <c r="I1512" s="45">
        <f>G1512*MIN(in_takeup_cap,INDEX('Age profile'!$O$2:$O$61,B1512)*(1+in_approval_growth)^(D1512-1))</f>
        <v/>
      </c>
      <c r="J1512" s="40">
        <f>(J1511-L1511)*F1512/F1511</f>
        <v/>
      </c>
      <c r="K1512" s="40">
        <f>(K1511-M1511)*F1512/F1511+SUMIFS(O1507:O1511,B1507:B1511,B1512-1-d_T)*F1512</f>
        <v/>
      </c>
      <c r="L1512" s="40">
        <f>IF(B1512&gt;=in_marketplace_from,J1512*d_hz*G1512*in_eligible*H1512,0)</f>
        <v/>
      </c>
      <c r="M1512" s="40">
        <f>IF(B1512&gt;=in_marketplace_from,K1512*d_hz*G1512*in_eligible*in_approved_repeat,0)</f>
        <v/>
      </c>
      <c r="N1512" s="40">
        <f>L1512+M1512</f>
        <v/>
      </c>
      <c r="O1512" s="46">
        <f>N1512/F1512</f>
        <v/>
      </c>
      <c r="P1512" s="40">
        <f>F1512-J1512-K1512</f>
        <v/>
      </c>
      <c r="Q1512" s="40">
        <f>IF(B1512&gt;=in_marketplace_from,(J1512+K1512)*d_hz*G1512,0)</f>
        <v/>
      </c>
      <c r="R1512" s="40">
        <f>SUMIFS(N1507:N1531,B1507:B1531,"&gt;="&amp;(B1512-d_T),B1507:B1531,"&lt;="&amp;(B1512-1))</f>
        <v/>
      </c>
      <c r="S1512" s="46">
        <f>(1-d_u)*S1511+IF(d_T&gt;in_topup_lag,SUMIFS(O1507:O1531,B1507:B1531,B1512-in_topup_lag)-d_udrop*SUMIFS(O1507:O1531,B1507:B1531,B1512-d_T),0)</f>
        <v/>
      </c>
      <c r="T1512" s="40">
        <f>F1512*d_u*S1512</f>
        <v/>
      </c>
      <c r="U1512" s="9">
        <f>L1512*in_ticket+M1512*d_rep_ticket</f>
        <v/>
      </c>
      <c r="V1512" s="9">
        <f>U1512+T1512*d_topup_amt</f>
        <v/>
      </c>
      <c r="W1512" s="40">
        <f>N1512+T1512*d_topup_ratio</f>
        <v/>
      </c>
      <c r="X1512" s="40">
        <f>SUMIFS(W1507:W1531,B1507:B1531,B1512-in_dpd_lag)*d_cured</f>
        <v/>
      </c>
      <c r="Y1512" s="40">
        <f>SUMIFS(W1507:W1531,B1507:B1531,B1512-in_rec_lag)*d_recd</f>
        <v/>
      </c>
      <c r="Z1512" s="40">
        <f>IF(AND(B1512&gt;=in_marketplace_from,B1512&lt;in_marketplace_from+in_card_months),in_card_share/in_card_months*F1512*I1512,IF(AND(B1512&gt;=in_marketplace_from+in_card_months,B1512&lt;in_marketplace_from+2*in_card_months),in_card_share*d_card_rem/in_card_months*F1512*MIN(in_takeup_cap,(1+in_takeup_growth)^(D1512-1))*MIN(in_takeup_cap,(1+in_approval_growth)^(D1512-1)),0))</f>
        <v/>
      </c>
      <c r="AA1512" s="14">
        <f>V1512*in_fee*(1-in_taken_back)</f>
        <v/>
      </c>
      <c r="AB1512" s="14">
        <f>SUMIFS(W1507:W1531,B1507:B1531,B1512-in_dpd_lag)*d_dpd</f>
        <v/>
      </c>
      <c r="AC1512" s="14">
        <f>SUMIFS(W1507:W1531,B1507:B1531,B1512-in_rec_lag)*d_rec</f>
        <v/>
      </c>
      <c r="AD1512" s="14">
        <f>Z1512*in_card_fee</f>
        <v/>
      </c>
      <c r="AE1512" s="40">
        <f>AE1511*(1-IF(B1511&gt;=in_marketplace_from,d_hz_hlth_small*G1511,0))</f>
        <v/>
      </c>
      <c r="AF1512" s="46">
        <f>AE1512*IF(B1512&gt;=in_marketplace_from,d_hz_hlth_small*G1512,0)</f>
        <v/>
      </c>
      <c r="AG1512" s="14">
        <f>F1512*AF1512*in_hlth_small_ticket*in_hlth_small_comm*in_ins_partner_share+F1512*in_hlth_small_ticket*in_hlth_small_renew_comm*in_ins_partner_share*(in_hlth_small_renew^1*SUMIFS(AF1507:AF1531,B1507:B1531,B1512-12)+in_hlth_small_renew^2*SUMIFS(AF1507:AF1531,B1507:B1531,B1512-24)+in_hlth_small_renew^3*SUMIFS(AF1507:AF1531,B1507:B1531,B1512-36)+in_hlth_small_renew^4*SUMIFS(AF1507:AF1531,B1507:B1531,B1512-48))</f>
        <v/>
      </c>
      <c r="AH1512" s="40">
        <f>AH1511*(1-IF(B1511&gt;=in_marketplace_from,d_hz_hlth_family*G1511,0))</f>
        <v/>
      </c>
      <c r="AI1512" s="46">
        <f>AH1512*IF(B1512&gt;=in_marketplace_from,d_hz_hlth_family*G1512,0)</f>
        <v/>
      </c>
      <c r="AJ1512" s="14">
        <f>F1512*AI1512*in_hlth_family_ticket*in_hlth_family_comm*in_ins_partner_share+F1512*in_hlth_family_ticket*in_hlth_family_renew_comm*in_ins_partner_share*(in_hlth_family_renew^1*SUMIFS(AI1507:AI1531,B1507:B1531,B1512-12)+in_hlth_family_renew^2*SUMIFS(AI1507:AI1531,B1507:B1531,B1512-24)+in_hlth_family_renew^3*SUMIFS(AI1507:AI1531,B1507:B1531,B1512-36)+in_hlth_family_renew^4*SUMIFS(AI1507:AI1531,B1507:B1531,B1512-48))</f>
        <v/>
      </c>
      <c r="AK1512" s="40">
        <f>AK1511*(1-IF(B1511&gt;=in_marketplace_from,d_hz_life_term*G1511,0))</f>
        <v/>
      </c>
      <c r="AL1512" s="46">
        <f>AK1512*IF(B1512&gt;=in_marketplace_from,d_hz_life_term*G1512,0)</f>
        <v/>
      </c>
      <c r="AM1512" s="14">
        <f>F1512*AL1512*in_life_term_ticket*in_life_term_comm*in_ins_partner_share+F1512*in_life_term_ticket*in_life_term_renew_comm*in_ins_partner_share*(in_life_term_renew^1*SUMIFS(AL1507:AL1531,B1507:B1531,B1512-12)+in_life_term_renew^2*SUMIFS(AL1507:AL1531,B1507:B1531,B1512-24)+in_life_term_renew^3*SUMIFS(AL1507:AL1531,B1507:B1531,B1512-36)+in_life_term_renew^4*SUMIFS(AL1507:AL1531,B1507:B1531,B1512-48))</f>
        <v/>
      </c>
      <c r="AN1512" s="40">
        <f>AN1511*(1-IF(B1511&gt;=in_marketplace_from,d_hz_accident*G1511,0))</f>
        <v/>
      </c>
      <c r="AO1512" s="46">
        <f>AN1512*IF(B1512&gt;=in_marketplace_from,d_hz_accident*G1512,0)</f>
        <v/>
      </c>
      <c r="AP1512" s="14">
        <f>F1512*AO1512*in_accident_ticket*in_accident_comm*in_ins_partner_share+F1512*in_accident_ticket*in_accident_renew_comm*in_ins_partner_share*(in_accident_renew^1*SUMIFS(AO1507:AO1531,B1507:B1531,B1512-12)+in_accident_renew^2*SUMIFS(AO1507:AO1531,B1507:B1531,B1512-24)+in_accident_renew^3*SUMIFS(AO1507:AO1531,B1507:B1531,B1512-36)+in_accident_renew^4*SUMIFS(AO1507:AO1531,B1507:B1531,B1512-48))</f>
        <v/>
      </c>
      <c r="AQ1512" s="40">
        <f>AQ1511*(1-IF(B1511&gt;=in_marketplace_from,d_hz_two_wheeler*G1511,0))</f>
        <v/>
      </c>
      <c r="AR1512" s="46">
        <f>AQ1512*IF(B1512&gt;=in_marketplace_from,d_hz_two_wheeler*G1512,0)</f>
        <v/>
      </c>
      <c r="AS1512" s="14">
        <f>F1512*AR1512*in_two_wheeler_ticket*in_two_wheeler_comm*in_ins_partner_share+F1512*in_two_wheeler_ticket*in_two_wheeler_comm*in_ins_partner_share*(in_two_wheeler_renew^1*SUMIFS(AR1507:AR1531,B1507:B1531,B1512-12)+in_two_wheeler_renew^2*SUMIFS(AR1507:AR1531,B1507:B1531,B1512-24)+in_two_wheeler_renew^3*SUMIFS(AR1507:AR1531,B1507:B1531,B1512-36)+in_two_wheeler_renew^4*SUMIFS(AR1507:AR1531,B1507:B1531,B1512-48))</f>
        <v/>
      </c>
      <c r="AT1512" s="40">
        <f>AT1511*(1-IF(B1511&gt;=in_marketplace_from,d_hz_device*G1511,0))</f>
        <v/>
      </c>
      <c r="AU1512" s="14">
        <f>F1512*AT1512*IF(B1512&gt;=in_marketplace_from,d_hz_device*G1512,0)*in_device_ticket*in_device_comm*in_ins_partner_share</f>
        <v/>
      </c>
      <c r="AV1512" s="40">
        <f>AV1511*(1-IF(B1511&gt;=in_marketplace_from,d_hz_shop*G1511,0))</f>
        <v/>
      </c>
      <c r="AW1512" s="46">
        <f>AV1512*IF(B1512&gt;=in_marketplace_from,d_hz_shop*G1512,0)</f>
        <v/>
      </c>
      <c r="AX1512" s="14">
        <f>F1512*AW1512*in_shop_ticket*in_shop_comm*in_ins_partner_share+F1512*in_shop_ticket*in_shop_renew_comm*in_ins_partner_share*(in_shop_renew^1*SUMIFS(AW1507:AW1531,B1507:B1531,B1512-12)+in_shop_renew^2*SUMIFS(AW1507:AW1531,B1507:B1531,B1512-24)+in_shop_renew^3*SUMIFS(AW1507:AW1531,B1507:B1531,B1512-36)+in_shop_renew^4*SUMIFS(AW1507:AW1531,B1507:B1531,B1512-48))</f>
        <v/>
      </c>
      <c r="AY1512" s="40">
        <f>AY1511*(1-IF(B1511&gt;=in_marketplace_from,d_hz_sip*G1511,0))</f>
        <v/>
      </c>
      <c r="AZ1512" s="40">
        <f>AZ1511*d_rho_sip+AY1512*IF(B1512&gt;=in_marketplace_from,d_hz_sip*G1512,0)</f>
        <v/>
      </c>
      <c r="BA1512" s="40">
        <f>d_rho_sip*(BA1511+AZ1511)</f>
        <v/>
      </c>
      <c r="BB1512" s="14">
        <f>F1512*in_sip_ticket*(BA1512+0.5*AZ1512)*in_sip_comm/12</f>
        <v/>
      </c>
      <c r="BC1512" s="40">
        <f>BC1511*(1-IF(B1511&gt;=in_marketplace_from,d_hz_choti*G1511,0))</f>
        <v/>
      </c>
      <c r="BD1512" s="46">
        <f>BC1512*IF(B1512&gt;=in_marketplace_from,d_hz_choti*G1512,0)</f>
        <v/>
      </c>
      <c r="BE1512" s="14">
        <f>F1512*SUMIFS(BD1507:BD1531,B1507:B1531,B1512-in_choti_months)*in_choti_renew*in_choti_ticket</f>
        <v/>
      </c>
      <c r="BF1512" s="40">
        <f>BF1511*(1-IF(B1511&gt;=in_marketplace_from,d_hz_nps*G1511,0))</f>
        <v/>
      </c>
      <c r="BG1512" s="14">
        <f>F1512*BF1512*IF(B1512&gt;=in_marketplace_from,d_hz_nps*G1512,0)*in_nps_ticket*in_nps_comm</f>
        <v/>
      </c>
      <c r="BH1512" s="40">
        <f>BH1511*(1-IF(B1511&gt;=in_marketplace_from,d_hz_gold*G1511,0))</f>
        <v/>
      </c>
      <c r="BI1512" s="40">
        <f>BI1511*d_rho_gold+BH1512*IF(B1512&gt;=in_marketplace_from,d_hz_gold*G1512,0)</f>
        <v/>
      </c>
      <c r="BJ1512" s="14">
        <f>F1512*BI1512*in_gold_ticket*in_gold_comm</f>
        <v/>
      </c>
      <c r="BK1512" s="40">
        <f>BK1511*(1-IF(B1511&gt;=in_marketplace_from,d_hz_fd*G1511,0))</f>
        <v/>
      </c>
      <c r="BL1512" s="14">
        <f>F1512*BK1512*IF(B1512&gt;=in_marketplace_from,d_hz_fd*G1512,0)*in_fd_ticket*in_fd_comm</f>
        <v/>
      </c>
      <c r="BM1512" s="40">
        <f>BM1511*(1-IF(B1511&gt;=in_marketplace_from,d_hz_recharge*G1511,0))</f>
        <v/>
      </c>
      <c r="BN1512" s="40">
        <f>BN1511*d_rho_recharge+BM1512*IF(B1512&gt;=in_marketplace_from,d_hz_recharge*G1512,0)</f>
        <v/>
      </c>
      <c r="BO1512" s="14">
        <f>F1512*BN1512*in_recharge_ticket*in_recharge_comm/12</f>
        <v/>
      </c>
      <c r="BP1512" s="40">
        <f>BP1511*(1-IF(B1511&gt;=in_marketplace_from,d_hz_bills*G1511,0))</f>
        <v/>
      </c>
      <c r="BQ1512" s="40">
        <f>BQ1511*d_rho_bills+BP1512*IF(B1512&gt;=in_marketplace_from,d_hz_bills*G1512,0)</f>
        <v/>
      </c>
      <c r="BR1512" s="14">
        <f>F1512*BQ1512*in_bills_ticket*in_bills_comm/12</f>
        <v/>
      </c>
      <c r="BS1512" s="40">
        <f>BS1511*(1-IF(B1511&gt;=in_marketplace_from,d_hz_loan_gold*G1511,0))</f>
        <v/>
      </c>
      <c r="BT1512" s="14">
        <f>F1512*BS1512*IF(B1512&gt;=in_marketplace_from,d_hz_loan_gold*G1512,0)*in_loan_gold_ticket*in_loan_gold_comm</f>
        <v/>
      </c>
      <c r="BU1512" s="40">
        <f>BU1511*(1-IF(B1511&gt;=in_marketplace_from,d_hz_loan_cd*G1511,0))</f>
        <v/>
      </c>
      <c r="BV1512" s="14">
        <f>F1512*BU1512*IF(B1512&gt;=in_marketplace_from,d_hz_loan_cd*G1512,0)*in_loan_cd_ticket*in_loan_cd_comm</f>
        <v/>
      </c>
      <c r="BW1512" s="40">
        <f>BW1511*(1-IF(B1511&gt;=in_marketplace_from,d_hz_loan_vehicle*G1511,0))</f>
        <v/>
      </c>
      <c r="BX1512" s="14">
        <f>F1512*BW1512*IF(B1512&gt;=in_marketplace_from,d_hz_loan_vehicle*G1512,0)*in_loan_vehicle_ticket*in_loan_vehicle_comm</f>
        <v/>
      </c>
      <c r="BY1512" s="40">
        <f>BY1511*(1-IF(B1511&gt;=in_marketplace_from,d_hz_loan_home*G1511,0)*BZ1511)</f>
        <v/>
      </c>
      <c r="BZ1512" s="11">
        <f>MIN(in_approval_cap,in_loan_home_approval*INDEX('Age profile'!$O$2:$O$61,B1512)*(1+in_approval_growth)^(D1512-1))</f>
        <v/>
      </c>
      <c r="CA1512" s="14">
        <f>F1512*BY1512*IF(B1512&gt;=in_marketplace_from,d_hz_loan_home*G1512,0)*BZ1512*in_loan_home_ticket*in_loan_home_comm</f>
        <v/>
      </c>
      <c r="CB1512" s="40">
        <f>CB1511*(1-IF(B1511&gt;=in_marketplace_from,d_hz_loan_lap*G1511,0)*CC1511)</f>
        <v/>
      </c>
      <c r="CC1512" s="11">
        <f>MIN(in_approval_cap,in_loan_lap_approval*INDEX('Age profile'!$O$2:$O$61,B1512)*(1+in_approval_growth)^(D1512-1))</f>
        <v/>
      </c>
      <c r="CD1512" s="14">
        <f>F1512*CB1512*IF(B1512&gt;=in_marketplace_from,d_hz_loan_lap*G1512,0)*CC1512*in_loan_lap_ticket*in_loan_lap_comm</f>
        <v/>
      </c>
      <c r="CE1512" s="14">
        <f>AA1512+AB1512+AC1512+AD1512+AG1512+AJ1512+AM1512+AP1512+AS1512+AU1512+AX1512+BB1512+BE1512+BG1512+BJ1512+BL1512+BO1512+BR1512+BT1512+BV1512+BX1512+CA1512+CD1512</f>
        <v/>
      </c>
    </row>
    <row r="1513">
      <c r="A1513" s="39" t="n">
        <v>36</v>
      </c>
      <c r="B1513" s="39" t="n">
        <v>7</v>
      </c>
      <c r="C1513" s="39">
        <f>A1513+B1513-1</f>
        <v/>
      </c>
      <c r="D1513" s="39">
        <f>INT((C1513-1)/12)+1</f>
        <v/>
      </c>
      <c r="E1513" s="44">
        <f>INDEX(Monthly!$B$2:$B$61,A1513)</f>
        <v/>
      </c>
      <c r="F1513" s="44">
        <f>E1513*INDEX('Age profile'!$B$2:$B$61,B1513)</f>
        <v/>
      </c>
      <c r="G1513" s="45">
        <f>MIN(in_takeup_cap,INDEX('Age profile'!$N$2:$N$61,B1513)*(1+in_takeup_growth)^(D1513-1))</f>
        <v/>
      </c>
      <c r="H1513" s="11">
        <f>MIN(in_approval_cap,in_approved_first*INDEX('Age profile'!$O$2:$O$61,B1513)*(1+in_approval_growth)^(D1513-1))</f>
        <v/>
      </c>
      <c r="I1513" s="45">
        <f>G1513*MIN(in_takeup_cap,INDEX('Age profile'!$O$2:$O$61,B1513)*(1+in_approval_growth)^(D1513-1))</f>
        <v/>
      </c>
      <c r="J1513" s="40">
        <f>(J1512-L1512)*F1513/F1512</f>
        <v/>
      </c>
      <c r="K1513" s="40">
        <f>(K1512-M1512)*F1513/F1512+SUMIFS(O1507:O1512,B1507:B1512,B1513-1-d_T)*F1513</f>
        <v/>
      </c>
      <c r="L1513" s="40">
        <f>IF(B1513&gt;=in_marketplace_from,J1513*d_hz*G1513*in_eligible*H1513,0)</f>
        <v/>
      </c>
      <c r="M1513" s="40">
        <f>IF(B1513&gt;=in_marketplace_from,K1513*d_hz*G1513*in_eligible*in_approved_repeat,0)</f>
        <v/>
      </c>
      <c r="N1513" s="40">
        <f>L1513+M1513</f>
        <v/>
      </c>
      <c r="O1513" s="46">
        <f>N1513/F1513</f>
        <v/>
      </c>
      <c r="P1513" s="40">
        <f>F1513-J1513-K1513</f>
        <v/>
      </c>
      <c r="Q1513" s="40">
        <f>IF(B1513&gt;=in_marketplace_from,(J1513+K1513)*d_hz*G1513,0)</f>
        <v/>
      </c>
      <c r="R1513" s="40">
        <f>SUMIFS(N1507:N1531,B1507:B1531,"&gt;="&amp;(B1513-d_T),B1507:B1531,"&lt;="&amp;(B1513-1))</f>
        <v/>
      </c>
      <c r="S1513" s="46">
        <f>(1-d_u)*S1512+IF(d_T&gt;in_topup_lag,SUMIFS(O1507:O1531,B1507:B1531,B1513-in_topup_lag)-d_udrop*SUMIFS(O1507:O1531,B1507:B1531,B1513-d_T),0)</f>
        <v/>
      </c>
      <c r="T1513" s="40">
        <f>F1513*d_u*S1513</f>
        <v/>
      </c>
      <c r="U1513" s="9">
        <f>L1513*in_ticket+M1513*d_rep_ticket</f>
        <v/>
      </c>
      <c r="V1513" s="9">
        <f>U1513+T1513*d_topup_amt</f>
        <v/>
      </c>
      <c r="W1513" s="40">
        <f>N1513+T1513*d_topup_ratio</f>
        <v/>
      </c>
      <c r="X1513" s="40">
        <f>SUMIFS(W1507:W1531,B1507:B1531,B1513-in_dpd_lag)*d_cured</f>
        <v/>
      </c>
      <c r="Y1513" s="40">
        <f>SUMIFS(W1507:W1531,B1507:B1531,B1513-in_rec_lag)*d_recd</f>
        <v/>
      </c>
      <c r="Z1513" s="40">
        <f>IF(AND(B1513&gt;=in_marketplace_from,B1513&lt;in_marketplace_from+in_card_months),in_card_share/in_card_months*F1513*I1513,IF(AND(B1513&gt;=in_marketplace_from+in_card_months,B1513&lt;in_marketplace_from+2*in_card_months),in_card_share*d_card_rem/in_card_months*F1513*MIN(in_takeup_cap,(1+in_takeup_growth)^(D1513-1))*MIN(in_takeup_cap,(1+in_approval_growth)^(D1513-1)),0))</f>
        <v/>
      </c>
      <c r="AA1513" s="14">
        <f>V1513*in_fee*(1-in_taken_back)</f>
        <v/>
      </c>
      <c r="AB1513" s="14">
        <f>SUMIFS(W1507:W1531,B1507:B1531,B1513-in_dpd_lag)*d_dpd</f>
        <v/>
      </c>
      <c r="AC1513" s="14">
        <f>SUMIFS(W1507:W1531,B1507:B1531,B1513-in_rec_lag)*d_rec</f>
        <v/>
      </c>
      <c r="AD1513" s="14">
        <f>Z1513*in_card_fee</f>
        <v/>
      </c>
      <c r="AE1513" s="40">
        <f>AE1512*(1-IF(B1512&gt;=in_marketplace_from,d_hz_hlth_small*G1512,0))</f>
        <v/>
      </c>
      <c r="AF1513" s="46">
        <f>AE1513*IF(B1513&gt;=in_marketplace_from,d_hz_hlth_small*G1513,0)</f>
        <v/>
      </c>
      <c r="AG1513" s="14">
        <f>F1513*AF1513*in_hlth_small_ticket*in_hlth_small_comm*in_ins_partner_share+F1513*in_hlth_small_ticket*in_hlth_small_renew_comm*in_ins_partner_share*(in_hlth_small_renew^1*SUMIFS(AF1507:AF1531,B1507:B1531,B1513-12)+in_hlth_small_renew^2*SUMIFS(AF1507:AF1531,B1507:B1531,B1513-24)+in_hlth_small_renew^3*SUMIFS(AF1507:AF1531,B1507:B1531,B1513-36)+in_hlth_small_renew^4*SUMIFS(AF1507:AF1531,B1507:B1531,B1513-48))</f>
        <v/>
      </c>
      <c r="AH1513" s="40">
        <f>AH1512*(1-IF(B1512&gt;=in_marketplace_from,d_hz_hlth_family*G1512,0))</f>
        <v/>
      </c>
      <c r="AI1513" s="46">
        <f>AH1513*IF(B1513&gt;=in_marketplace_from,d_hz_hlth_family*G1513,0)</f>
        <v/>
      </c>
      <c r="AJ1513" s="14">
        <f>F1513*AI1513*in_hlth_family_ticket*in_hlth_family_comm*in_ins_partner_share+F1513*in_hlth_family_ticket*in_hlth_family_renew_comm*in_ins_partner_share*(in_hlth_family_renew^1*SUMIFS(AI1507:AI1531,B1507:B1531,B1513-12)+in_hlth_family_renew^2*SUMIFS(AI1507:AI1531,B1507:B1531,B1513-24)+in_hlth_family_renew^3*SUMIFS(AI1507:AI1531,B1507:B1531,B1513-36)+in_hlth_family_renew^4*SUMIFS(AI1507:AI1531,B1507:B1531,B1513-48))</f>
        <v/>
      </c>
      <c r="AK1513" s="40">
        <f>AK1512*(1-IF(B1512&gt;=in_marketplace_from,d_hz_life_term*G1512,0))</f>
        <v/>
      </c>
      <c r="AL1513" s="46">
        <f>AK1513*IF(B1513&gt;=in_marketplace_from,d_hz_life_term*G1513,0)</f>
        <v/>
      </c>
      <c r="AM1513" s="14">
        <f>F1513*AL1513*in_life_term_ticket*in_life_term_comm*in_ins_partner_share+F1513*in_life_term_ticket*in_life_term_renew_comm*in_ins_partner_share*(in_life_term_renew^1*SUMIFS(AL1507:AL1531,B1507:B1531,B1513-12)+in_life_term_renew^2*SUMIFS(AL1507:AL1531,B1507:B1531,B1513-24)+in_life_term_renew^3*SUMIFS(AL1507:AL1531,B1507:B1531,B1513-36)+in_life_term_renew^4*SUMIFS(AL1507:AL1531,B1507:B1531,B1513-48))</f>
        <v/>
      </c>
      <c r="AN1513" s="40">
        <f>AN1512*(1-IF(B1512&gt;=in_marketplace_from,d_hz_accident*G1512,0))</f>
        <v/>
      </c>
      <c r="AO1513" s="46">
        <f>AN1513*IF(B1513&gt;=in_marketplace_from,d_hz_accident*G1513,0)</f>
        <v/>
      </c>
      <c r="AP1513" s="14">
        <f>F1513*AO1513*in_accident_ticket*in_accident_comm*in_ins_partner_share+F1513*in_accident_ticket*in_accident_renew_comm*in_ins_partner_share*(in_accident_renew^1*SUMIFS(AO1507:AO1531,B1507:B1531,B1513-12)+in_accident_renew^2*SUMIFS(AO1507:AO1531,B1507:B1531,B1513-24)+in_accident_renew^3*SUMIFS(AO1507:AO1531,B1507:B1531,B1513-36)+in_accident_renew^4*SUMIFS(AO1507:AO1531,B1507:B1531,B1513-48))</f>
        <v/>
      </c>
      <c r="AQ1513" s="40">
        <f>AQ1512*(1-IF(B1512&gt;=in_marketplace_from,d_hz_two_wheeler*G1512,0))</f>
        <v/>
      </c>
      <c r="AR1513" s="46">
        <f>AQ1513*IF(B1513&gt;=in_marketplace_from,d_hz_two_wheeler*G1513,0)</f>
        <v/>
      </c>
      <c r="AS1513" s="14">
        <f>F1513*AR1513*in_two_wheeler_ticket*in_two_wheeler_comm*in_ins_partner_share+F1513*in_two_wheeler_ticket*in_two_wheeler_comm*in_ins_partner_share*(in_two_wheeler_renew^1*SUMIFS(AR1507:AR1531,B1507:B1531,B1513-12)+in_two_wheeler_renew^2*SUMIFS(AR1507:AR1531,B1507:B1531,B1513-24)+in_two_wheeler_renew^3*SUMIFS(AR1507:AR1531,B1507:B1531,B1513-36)+in_two_wheeler_renew^4*SUMIFS(AR1507:AR1531,B1507:B1531,B1513-48))</f>
        <v/>
      </c>
      <c r="AT1513" s="40">
        <f>AT1512*(1-IF(B1512&gt;=in_marketplace_from,d_hz_device*G1512,0))</f>
        <v/>
      </c>
      <c r="AU1513" s="14">
        <f>F1513*AT1513*IF(B1513&gt;=in_marketplace_from,d_hz_device*G1513,0)*in_device_ticket*in_device_comm*in_ins_partner_share</f>
        <v/>
      </c>
      <c r="AV1513" s="40">
        <f>AV1512*(1-IF(B1512&gt;=in_marketplace_from,d_hz_shop*G1512,0))</f>
        <v/>
      </c>
      <c r="AW1513" s="46">
        <f>AV1513*IF(B1513&gt;=in_marketplace_from,d_hz_shop*G1513,0)</f>
        <v/>
      </c>
      <c r="AX1513" s="14">
        <f>F1513*AW1513*in_shop_ticket*in_shop_comm*in_ins_partner_share+F1513*in_shop_ticket*in_shop_renew_comm*in_ins_partner_share*(in_shop_renew^1*SUMIFS(AW1507:AW1531,B1507:B1531,B1513-12)+in_shop_renew^2*SUMIFS(AW1507:AW1531,B1507:B1531,B1513-24)+in_shop_renew^3*SUMIFS(AW1507:AW1531,B1507:B1531,B1513-36)+in_shop_renew^4*SUMIFS(AW1507:AW1531,B1507:B1531,B1513-48))</f>
        <v/>
      </c>
      <c r="AY1513" s="40">
        <f>AY1512*(1-IF(B1512&gt;=in_marketplace_from,d_hz_sip*G1512,0))</f>
        <v/>
      </c>
      <c r="AZ1513" s="40">
        <f>AZ1512*d_rho_sip+AY1513*IF(B1513&gt;=in_marketplace_from,d_hz_sip*G1513,0)</f>
        <v/>
      </c>
      <c r="BA1513" s="40">
        <f>d_rho_sip*(BA1512+AZ1512)</f>
        <v/>
      </c>
      <c r="BB1513" s="14">
        <f>F1513*in_sip_ticket*(BA1513+0.5*AZ1513)*in_sip_comm/12</f>
        <v/>
      </c>
      <c r="BC1513" s="40">
        <f>BC1512*(1-IF(B1512&gt;=in_marketplace_from,d_hz_choti*G1512,0))</f>
        <v/>
      </c>
      <c r="BD1513" s="46">
        <f>BC1513*IF(B1513&gt;=in_marketplace_from,d_hz_choti*G1513,0)</f>
        <v/>
      </c>
      <c r="BE1513" s="14">
        <f>F1513*SUMIFS(BD1507:BD1531,B1507:B1531,B1513-in_choti_months)*in_choti_renew*in_choti_ticket</f>
        <v/>
      </c>
      <c r="BF1513" s="40">
        <f>BF1512*(1-IF(B1512&gt;=in_marketplace_from,d_hz_nps*G1512,0))</f>
        <v/>
      </c>
      <c r="BG1513" s="14">
        <f>F1513*BF1513*IF(B1513&gt;=in_marketplace_from,d_hz_nps*G1513,0)*in_nps_ticket*in_nps_comm</f>
        <v/>
      </c>
      <c r="BH1513" s="40">
        <f>BH1512*(1-IF(B1512&gt;=in_marketplace_from,d_hz_gold*G1512,0))</f>
        <v/>
      </c>
      <c r="BI1513" s="40">
        <f>BI1512*d_rho_gold+BH1513*IF(B1513&gt;=in_marketplace_from,d_hz_gold*G1513,0)</f>
        <v/>
      </c>
      <c r="BJ1513" s="14">
        <f>F1513*BI1513*in_gold_ticket*in_gold_comm</f>
        <v/>
      </c>
      <c r="BK1513" s="40">
        <f>BK1512*(1-IF(B1512&gt;=in_marketplace_from,d_hz_fd*G1512,0))</f>
        <v/>
      </c>
      <c r="BL1513" s="14">
        <f>F1513*BK1513*IF(B1513&gt;=in_marketplace_from,d_hz_fd*G1513,0)*in_fd_ticket*in_fd_comm</f>
        <v/>
      </c>
      <c r="BM1513" s="40">
        <f>BM1512*(1-IF(B1512&gt;=in_marketplace_from,d_hz_recharge*G1512,0))</f>
        <v/>
      </c>
      <c r="BN1513" s="40">
        <f>BN1512*d_rho_recharge+BM1513*IF(B1513&gt;=in_marketplace_from,d_hz_recharge*G1513,0)</f>
        <v/>
      </c>
      <c r="BO1513" s="14">
        <f>F1513*BN1513*in_recharge_ticket*in_recharge_comm/12</f>
        <v/>
      </c>
      <c r="BP1513" s="40">
        <f>BP1512*(1-IF(B1512&gt;=in_marketplace_from,d_hz_bills*G1512,0))</f>
        <v/>
      </c>
      <c r="BQ1513" s="40">
        <f>BQ1512*d_rho_bills+BP1513*IF(B1513&gt;=in_marketplace_from,d_hz_bills*G1513,0)</f>
        <v/>
      </c>
      <c r="BR1513" s="14">
        <f>F1513*BQ1513*in_bills_ticket*in_bills_comm/12</f>
        <v/>
      </c>
      <c r="BS1513" s="40">
        <f>BS1512*(1-IF(B1512&gt;=in_marketplace_from,d_hz_loan_gold*G1512,0))</f>
        <v/>
      </c>
      <c r="BT1513" s="14">
        <f>F1513*BS1513*IF(B1513&gt;=in_marketplace_from,d_hz_loan_gold*G1513,0)*in_loan_gold_ticket*in_loan_gold_comm</f>
        <v/>
      </c>
      <c r="BU1513" s="40">
        <f>BU1512*(1-IF(B1512&gt;=in_marketplace_from,d_hz_loan_cd*G1512,0))</f>
        <v/>
      </c>
      <c r="BV1513" s="14">
        <f>F1513*BU1513*IF(B1513&gt;=in_marketplace_from,d_hz_loan_cd*G1513,0)*in_loan_cd_ticket*in_loan_cd_comm</f>
        <v/>
      </c>
      <c r="BW1513" s="40">
        <f>BW1512*(1-IF(B1512&gt;=in_marketplace_from,d_hz_loan_vehicle*G1512,0))</f>
        <v/>
      </c>
      <c r="BX1513" s="14">
        <f>F1513*BW1513*IF(B1513&gt;=in_marketplace_from,d_hz_loan_vehicle*G1513,0)*in_loan_vehicle_ticket*in_loan_vehicle_comm</f>
        <v/>
      </c>
      <c r="BY1513" s="40">
        <f>BY1512*(1-IF(B1512&gt;=in_marketplace_from,d_hz_loan_home*G1512,0)*BZ1512)</f>
        <v/>
      </c>
      <c r="BZ1513" s="11">
        <f>MIN(in_approval_cap,in_loan_home_approval*INDEX('Age profile'!$O$2:$O$61,B1513)*(1+in_approval_growth)^(D1513-1))</f>
        <v/>
      </c>
      <c r="CA1513" s="14">
        <f>F1513*BY1513*IF(B1513&gt;=in_marketplace_from,d_hz_loan_home*G1513,0)*BZ1513*in_loan_home_ticket*in_loan_home_comm</f>
        <v/>
      </c>
      <c r="CB1513" s="40">
        <f>CB1512*(1-IF(B1512&gt;=in_marketplace_from,d_hz_loan_lap*G1512,0)*CC1512)</f>
        <v/>
      </c>
      <c r="CC1513" s="11">
        <f>MIN(in_approval_cap,in_loan_lap_approval*INDEX('Age profile'!$O$2:$O$61,B1513)*(1+in_approval_growth)^(D1513-1))</f>
        <v/>
      </c>
      <c r="CD1513" s="14">
        <f>F1513*CB1513*IF(B1513&gt;=in_marketplace_from,d_hz_loan_lap*G1513,0)*CC1513*in_loan_lap_ticket*in_loan_lap_comm</f>
        <v/>
      </c>
      <c r="CE1513" s="14">
        <f>AA1513+AB1513+AC1513+AD1513+AG1513+AJ1513+AM1513+AP1513+AS1513+AU1513+AX1513+BB1513+BE1513+BG1513+BJ1513+BL1513+BO1513+BR1513+BT1513+BV1513+BX1513+CA1513+CD1513</f>
        <v/>
      </c>
    </row>
    <row r="1514">
      <c r="A1514" s="39" t="n">
        <v>36</v>
      </c>
      <c r="B1514" s="39" t="n">
        <v>8</v>
      </c>
      <c r="C1514" s="39">
        <f>A1514+B1514-1</f>
        <v/>
      </c>
      <c r="D1514" s="39">
        <f>INT((C1514-1)/12)+1</f>
        <v/>
      </c>
      <c r="E1514" s="44">
        <f>INDEX(Monthly!$B$2:$B$61,A1514)</f>
        <v/>
      </c>
      <c r="F1514" s="44">
        <f>E1514*INDEX('Age profile'!$B$2:$B$61,B1514)</f>
        <v/>
      </c>
      <c r="G1514" s="45">
        <f>MIN(in_takeup_cap,INDEX('Age profile'!$N$2:$N$61,B1514)*(1+in_takeup_growth)^(D1514-1))</f>
        <v/>
      </c>
      <c r="H1514" s="11">
        <f>MIN(in_approval_cap,in_approved_first*INDEX('Age profile'!$O$2:$O$61,B1514)*(1+in_approval_growth)^(D1514-1))</f>
        <v/>
      </c>
      <c r="I1514" s="45">
        <f>G1514*MIN(in_takeup_cap,INDEX('Age profile'!$O$2:$O$61,B1514)*(1+in_approval_growth)^(D1514-1))</f>
        <v/>
      </c>
      <c r="J1514" s="40">
        <f>(J1513-L1513)*F1514/F1513</f>
        <v/>
      </c>
      <c r="K1514" s="40">
        <f>(K1513-M1513)*F1514/F1513+SUMIFS(O1507:O1513,B1507:B1513,B1514-1-d_T)*F1514</f>
        <v/>
      </c>
      <c r="L1514" s="40">
        <f>IF(B1514&gt;=in_marketplace_from,J1514*d_hz*G1514*in_eligible*H1514,0)</f>
        <v/>
      </c>
      <c r="M1514" s="40">
        <f>IF(B1514&gt;=in_marketplace_from,K1514*d_hz*G1514*in_eligible*in_approved_repeat,0)</f>
        <v/>
      </c>
      <c r="N1514" s="40">
        <f>L1514+M1514</f>
        <v/>
      </c>
      <c r="O1514" s="46">
        <f>N1514/F1514</f>
        <v/>
      </c>
      <c r="P1514" s="40">
        <f>F1514-J1514-K1514</f>
        <v/>
      </c>
      <c r="Q1514" s="40">
        <f>IF(B1514&gt;=in_marketplace_from,(J1514+K1514)*d_hz*G1514,0)</f>
        <v/>
      </c>
      <c r="R1514" s="40">
        <f>SUMIFS(N1507:N1531,B1507:B1531,"&gt;="&amp;(B1514-d_T),B1507:B1531,"&lt;="&amp;(B1514-1))</f>
        <v/>
      </c>
      <c r="S1514" s="46">
        <f>(1-d_u)*S1513+IF(d_T&gt;in_topup_lag,SUMIFS(O1507:O1531,B1507:B1531,B1514-in_topup_lag)-d_udrop*SUMIFS(O1507:O1531,B1507:B1531,B1514-d_T),0)</f>
        <v/>
      </c>
      <c r="T1514" s="40">
        <f>F1514*d_u*S1514</f>
        <v/>
      </c>
      <c r="U1514" s="9">
        <f>L1514*in_ticket+M1514*d_rep_ticket</f>
        <v/>
      </c>
      <c r="V1514" s="9">
        <f>U1514+T1514*d_topup_amt</f>
        <v/>
      </c>
      <c r="W1514" s="40">
        <f>N1514+T1514*d_topup_ratio</f>
        <v/>
      </c>
      <c r="X1514" s="40">
        <f>SUMIFS(W1507:W1531,B1507:B1531,B1514-in_dpd_lag)*d_cured</f>
        <v/>
      </c>
      <c r="Y1514" s="40">
        <f>SUMIFS(W1507:W1531,B1507:B1531,B1514-in_rec_lag)*d_recd</f>
        <v/>
      </c>
      <c r="Z1514" s="40">
        <f>IF(AND(B1514&gt;=in_marketplace_from,B1514&lt;in_marketplace_from+in_card_months),in_card_share/in_card_months*F1514*I1514,IF(AND(B1514&gt;=in_marketplace_from+in_card_months,B1514&lt;in_marketplace_from+2*in_card_months),in_card_share*d_card_rem/in_card_months*F1514*MIN(in_takeup_cap,(1+in_takeup_growth)^(D1514-1))*MIN(in_takeup_cap,(1+in_approval_growth)^(D1514-1)),0))</f>
        <v/>
      </c>
      <c r="AA1514" s="14">
        <f>V1514*in_fee*(1-in_taken_back)</f>
        <v/>
      </c>
      <c r="AB1514" s="14">
        <f>SUMIFS(W1507:W1531,B1507:B1531,B1514-in_dpd_lag)*d_dpd</f>
        <v/>
      </c>
      <c r="AC1514" s="14">
        <f>SUMIFS(W1507:W1531,B1507:B1531,B1514-in_rec_lag)*d_rec</f>
        <v/>
      </c>
      <c r="AD1514" s="14">
        <f>Z1514*in_card_fee</f>
        <v/>
      </c>
      <c r="AE1514" s="40">
        <f>AE1513*(1-IF(B1513&gt;=in_marketplace_from,d_hz_hlth_small*G1513,0))</f>
        <v/>
      </c>
      <c r="AF1514" s="46">
        <f>AE1514*IF(B1514&gt;=in_marketplace_from,d_hz_hlth_small*G1514,0)</f>
        <v/>
      </c>
      <c r="AG1514" s="14">
        <f>F1514*AF1514*in_hlth_small_ticket*in_hlth_small_comm*in_ins_partner_share+F1514*in_hlth_small_ticket*in_hlth_small_renew_comm*in_ins_partner_share*(in_hlth_small_renew^1*SUMIFS(AF1507:AF1531,B1507:B1531,B1514-12)+in_hlth_small_renew^2*SUMIFS(AF1507:AF1531,B1507:B1531,B1514-24)+in_hlth_small_renew^3*SUMIFS(AF1507:AF1531,B1507:B1531,B1514-36)+in_hlth_small_renew^4*SUMIFS(AF1507:AF1531,B1507:B1531,B1514-48))</f>
        <v/>
      </c>
      <c r="AH1514" s="40">
        <f>AH1513*(1-IF(B1513&gt;=in_marketplace_from,d_hz_hlth_family*G1513,0))</f>
        <v/>
      </c>
      <c r="AI1514" s="46">
        <f>AH1514*IF(B1514&gt;=in_marketplace_from,d_hz_hlth_family*G1514,0)</f>
        <v/>
      </c>
      <c r="AJ1514" s="14">
        <f>F1514*AI1514*in_hlth_family_ticket*in_hlth_family_comm*in_ins_partner_share+F1514*in_hlth_family_ticket*in_hlth_family_renew_comm*in_ins_partner_share*(in_hlth_family_renew^1*SUMIFS(AI1507:AI1531,B1507:B1531,B1514-12)+in_hlth_family_renew^2*SUMIFS(AI1507:AI1531,B1507:B1531,B1514-24)+in_hlth_family_renew^3*SUMIFS(AI1507:AI1531,B1507:B1531,B1514-36)+in_hlth_family_renew^4*SUMIFS(AI1507:AI1531,B1507:B1531,B1514-48))</f>
        <v/>
      </c>
      <c r="AK1514" s="40">
        <f>AK1513*(1-IF(B1513&gt;=in_marketplace_from,d_hz_life_term*G1513,0))</f>
        <v/>
      </c>
      <c r="AL1514" s="46">
        <f>AK1514*IF(B1514&gt;=in_marketplace_from,d_hz_life_term*G1514,0)</f>
        <v/>
      </c>
      <c r="AM1514" s="14">
        <f>F1514*AL1514*in_life_term_ticket*in_life_term_comm*in_ins_partner_share+F1514*in_life_term_ticket*in_life_term_renew_comm*in_ins_partner_share*(in_life_term_renew^1*SUMIFS(AL1507:AL1531,B1507:B1531,B1514-12)+in_life_term_renew^2*SUMIFS(AL1507:AL1531,B1507:B1531,B1514-24)+in_life_term_renew^3*SUMIFS(AL1507:AL1531,B1507:B1531,B1514-36)+in_life_term_renew^4*SUMIFS(AL1507:AL1531,B1507:B1531,B1514-48))</f>
        <v/>
      </c>
      <c r="AN1514" s="40">
        <f>AN1513*(1-IF(B1513&gt;=in_marketplace_from,d_hz_accident*G1513,0))</f>
        <v/>
      </c>
      <c r="AO1514" s="46">
        <f>AN1514*IF(B1514&gt;=in_marketplace_from,d_hz_accident*G1514,0)</f>
        <v/>
      </c>
      <c r="AP1514" s="14">
        <f>F1514*AO1514*in_accident_ticket*in_accident_comm*in_ins_partner_share+F1514*in_accident_ticket*in_accident_renew_comm*in_ins_partner_share*(in_accident_renew^1*SUMIFS(AO1507:AO1531,B1507:B1531,B1514-12)+in_accident_renew^2*SUMIFS(AO1507:AO1531,B1507:B1531,B1514-24)+in_accident_renew^3*SUMIFS(AO1507:AO1531,B1507:B1531,B1514-36)+in_accident_renew^4*SUMIFS(AO1507:AO1531,B1507:B1531,B1514-48))</f>
        <v/>
      </c>
      <c r="AQ1514" s="40">
        <f>AQ1513*(1-IF(B1513&gt;=in_marketplace_from,d_hz_two_wheeler*G1513,0))</f>
        <v/>
      </c>
      <c r="AR1514" s="46">
        <f>AQ1514*IF(B1514&gt;=in_marketplace_from,d_hz_two_wheeler*G1514,0)</f>
        <v/>
      </c>
      <c r="AS1514" s="14">
        <f>F1514*AR1514*in_two_wheeler_ticket*in_two_wheeler_comm*in_ins_partner_share+F1514*in_two_wheeler_ticket*in_two_wheeler_comm*in_ins_partner_share*(in_two_wheeler_renew^1*SUMIFS(AR1507:AR1531,B1507:B1531,B1514-12)+in_two_wheeler_renew^2*SUMIFS(AR1507:AR1531,B1507:B1531,B1514-24)+in_two_wheeler_renew^3*SUMIFS(AR1507:AR1531,B1507:B1531,B1514-36)+in_two_wheeler_renew^4*SUMIFS(AR1507:AR1531,B1507:B1531,B1514-48))</f>
        <v/>
      </c>
      <c r="AT1514" s="40">
        <f>AT1513*(1-IF(B1513&gt;=in_marketplace_from,d_hz_device*G1513,0))</f>
        <v/>
      </c>
      <c r="AU1514" s="14">
        <f>F1514*AT1514*IF(B1514&gt;=in_marketplace_from,d_hz_device*G1514,0)*in_device_ticket*in_device_comm*in_ins_partner_share</f>
        <v/>
      </c>
      <c r="AV1514" s="40">
        <f>AV1513*(1-IF(B1513&gt;=in_marketplace_from,d_hz_shop*G1513,0))</f>
        <v/>
      </c>
      <c r="AW1514" s="46">
        <f>AV1514*IF(B1514&gt;=in_marketplace_from,d_hz_shop*G1514,0)</f>
        <v/>
      </c>
      <c r="AX1514" s="14">
        <f>F1514*AW1514*in_shop_ticket*in_shop_comm*in_ins_partner_share+F1514*in_shop_ticket*in_shop_renew_comm*in_ins_partner_share*(in_shop_renew^1*SUMIFS(AW1507:AW1531,B1507:B1531,B1514-12)+in_shop_renew^2*SUMIFS(AW1507:AW1531,B1507:B1531,B1514-24)+in_shop_renew^3*SUMIFS(AW1507:AW1531,B1507:B1531,B1514-36)+in_shop_renew^4*SUMIFS(AW1507:AW1531,B1507:B1531,B1514-48))</f>
        <v/>
      </c>
      <c r="AY1514" s="40">
        <f>AY1513*(1-IF(B1513&gt;=in_marketplace_from,d_hz_sip*G1513,0))</f>
        <v/>
      </c>
      <c r="AZ1514" s="40">
        <f>AZ1513*d_rho_sip+AY1514*IF(B1514&gt;=in_marketplace_from,d_hz_sip*G1514,0)</f>
        <v/>
      </c>
      <c r="BA1514" s="40">
        <f>d_rho_sip*(BA1513+AZ1513)</f>
        <v/>
      </c>
      <c r="BB1514" s="14">
        <f>F1514*in_sip_ticket*(BA1514+0.5*AZ1514)*in_sip_comm/12</f>
        <v/>
      </c>
      <c r="BC1514" s="40">
        <f>BC1513*(1-IF(B1513&gt;=in_marketplace_from,d_hz_choti*G1513,0))</f>
        <v/>
      </c>
      <c r="BD1514" s="46">
        <f>BC1514*IF(B1514&gt;=in_marketplace_from,d_hz_choti*G1514,0)</f>
        <v/>
      </c>
      <c r="BE1514" s="14">
        <f>F1514*SUMIFS(BD1507:BD1531,B1507:B1531,B1514-in_choti_months)*in_choti_renew*in_choti_ticket</f>
        <v/>
      </c>
      <c r="BF1514" s="40">
        <f>BF1513*(1-IF(B1513&gt;=in_marketplace_from,d_hz_nps*G1513,0))</f>
        <v/>
      </c>
      <c r="BG1514" s="14">
        <f>F1514*BF1514*IF(B1514&gt;=in_marketplace_from,d_hz_nps*G1514,0)*in_nps_ticket*in_nps_comm</f>
        <v/>
      </c>
      <c r="BH1514" s="40">
        <f>BH1513*(1-IF(B1513&gt;=in_marketplace_from,d_hz_gold*G1513,0))</f>
        <v/>
      </c>
      <c r="BI1514" s="40">
        <f>BI1513*d_rho_gold+BH1514*IF(B1514&gt;=in_marketplace_from,d_hz_gold*G1514,0)</f>
        <v/>
      </c>
      <c r="BJ1514" s="14">
        <f>F1514*BI1514*in_gold_ticket*in_gold_comm</f>
        <v/>
      </c>
      <c r="BK1514" s="40">
        <f>BK1513*(1-IF(B1513&gt;=in_marketplace_from,d_hz_fd*G1513,0))</f>
        <v/>
      </c>
      <c r="BL1514" s="14">
        <f>F1514*BK1514*IF(B1514&gt;=in_marketplace_from,d_hz_fd*G1514,0)*in_fd_ticket*in_fd_comm</f>
        <v/>
      </c>
      <c r="BM1514" s="40">
        <f>BM1513*(1-IF(B1513&gt;=in_marketplace_from,d_hz_recharge*G1513,0))</f>
        <v/>
      </c>
      <c r="BN1514" s="40">
        <f>BN1513*d_rho_recharge+BM1514*IF(B1514&gt;=in_marketplace_from,d_hz_recharge*G1514,0)</f>
        <v/>
      </c>
      <c r="BO1514" s="14">
        <f>F1514*BN1514*in_recharge_ticket*in_recharge_comm/12</f>
        <v/>
      </c>
      <c r="BP1514" s="40">
        <f>BP1513*(1-IF(B1513&gt;=in_marketplace_from,d_hz_bills*G1513,0))</f>
        <v/>
      </c>
      <c r="BQ1514" s="40">
        <f>BQ1513*d_rho_bills+BP1514*IF(B1514&gt;=in_marketplace_from,d_hz_bills*G1514,0)</f>
        <v/>
      </c>
      <c r="BR1514" s="14">
        <f>F1514*BQ1514*in_bills_ticket*in_bills_comm/12</f>
        <v/>
      </c>
      <c r="BS1514" s="40">
        <f>BS1513*(1-IF(B1513&gt;=in_marketplace_from,d_hz_loan_gold*G1513,0))</f>
        <v/>
      </c>
      <c r="BT1514" s="14">
        <f>F1514*BS1514*IF(B1514&gt;=in_marketplace_from,d_hz_loan_gold*G1514,0)*in_loan_gold_ticket*in_loan_gold_comm</f>
        <v/>
      </c>
      <c r="BU1514" s="40">
        <f>BU1513*(1-IF(B1513&gt;=in_marketplace_from,d_hz_loan_cd*G1513,0))</f>
        <v/>
      </c>
      <c r="BV1514" s="14">
        <f>F1514*BU1514*IF(B1514&gt;=in_marketplace_from,d_hz_loan_cd*G1514,0)*in_loan_cd_ticket*in_loan_cd_comm</f>
        <v/>
      </c>
      <c r="BW1514" s="40">
        <f>BW1513*(1-IF(B1513&gt;=in_marketplace_from,d_hz_loan_vehicle*G1513,0))</f>
        <v/>
      </c>
      <c r="BX1514" s="14">
        <f>F1514*BW1514*IF(B1514&gt;=in_marketplace_from,d_hz_loan_vehicle*G1514,0)*in_loan_vehicle_ticket*in_loan_vehicle_comm</f>
        <v/>
      </c>
      <c r="BY1514" s="40">
        <f>BY1513*(1-IF(B1513&gt;=in_marketplace_from,d_hz_loan_home*G1513,0)*BZ1513)</f>
        <v/>
      </c>
      <c r="BZ1514" s="11">
        <f>MIN(in_approval_cap,in_loan_home_approval*INDEX('Age profile'!$O$2:$O$61,B1514)*(1+in_approval_growth)^(D1514-1))</f>
        <v/>
      </c>
      <c r="CA1514" s="14">
        <f>F1514*BY1514*IF(B1514&gt;=in_marketplace_from,d_hz_loan_home*G1514,0)*BZ1514*in_loan_home_ticket*in_loan_home_comm</f>
        <v/>
      </c>
      <c r="CB1514" s="40">
        <f>CB1513*(1-IF(B1513&gt;=in_marketplace_from,d_hz_loan_lap*G1513,0)*CC1513)</f>
        <v/>
      </c>
      <c r="CC1514" s="11">
        <f>MIN(in_approval_cap,in_loan_lap_approval*INDEX('Age profile'!$O$2:$O$61,B1514)*(1+in_approval_growth)^(D1514-1))</f>
        <v/>
      </c>
      <c r="CD1514" s="14">
        <f>F1514*CB1514*IF(B1514&gt;=in_marketplace_from,d_hz_loan_lap*G1514,0)*CC1514*in_loan_lap_ticket*in_loan_lap_comm</f>
        <v/>
      </c>
      <c r="CE1514" s="14">
        <f>AA1514+AB1514+AC1514+AD1514+AG1514+AJ1514+AM1514+AP1514+AS1514+AU1514+AX1514+BB1514+BE1514+BG1514+BJ1514+BL1514+BO1514+BR1514+BT1514+BV1514+BX1514+CA1514+CD1514</f>
        <v/>
      </c>
    </row>
    <row r="1515">
      <c r="A1515" s="39" t="n">
        <v>36</v>
      </c>
      <c r="B1515" s="39" t="n">
        <v>9</v>
      </c>
      <c r="C1515" s="39">
        <f>A1515+B1515-1</f>
        <v/>
      </c>
      <c r="D1515" s="39">
        <f>INT((C1515-1)/12)+1</f>
        <v/>
      </c>
      <c r="E1515" s="44">
        <f>INDEX(Monthly!$B$2:$B$61,A1515)</f>
        <v/>
      </c>
      <c r="F1515" s="44">
        <f>E1515*INDEX('Age profile'!$B$2:$B$61,B1515)</f>
        <v/>
      </c>
      <c r="G1515" s="45">
        <f>MIN(in_takeup_cap,INDEX('Age profile'!$N$2:$N$61,B1515)*(1+in_takeup_growth)^(D1515-1))</f>
        <v/>
      </c>
      <c r="H1515" s="11">
        <f>MIN(in_approval_cap,in_approved_first*INDEX('Age profile'!$O$2:$O$61,B1515)*(1+in_approval_growth)^(D1515-1))</f>
        <v/>
      </c>
      <c r="I1515" s="45">
        <f>G1515*MIN(in_takeup_cap,INDEX('Age profile'!$O$2:$O$61,B1515)*(1+in_approval_growth)^(D1515-1))</f>
        <v/>
      </c>
      <c r="J1515" s="40">
        <f>(J1514-L1514)*F1515/F1514</f>
        <v/>
      </c>
      <c r="K1515" s="40">
        <f>(K1514-M1514)*F1515/F1514+SUMIFS(O1507:O1514,B1507:B1514,B1515-1-d_T)*F1515</f>
        <v/>
      </c>
      <c r="L1515" s="40">
        <f>IF(B1515&gt;=in_marketplace_from,J1515*d_hz*G1515*in_eligible*H1515,0)</f>
        <v/>
      </c>
      <c r="M1515" s="40">
        <f>IF(B1515&gt;=in_marketplace_from,K1515*d_hz*G1515*in_eligible*in_approved_repeat,0)</f>
        <v/>
      </c>
      <c r="N1515" s="40">
        <f>L1515+M1515</f>
        <v/>
      </c>
      <c r="O1515" s="46">
        <f>N1515/F1515</f>
        <v/>
      </c>
      <c r="P1515" s="40">
        <f>F1515-J1515-K1515</f>
        <v/>
      </c>
      <c r="Q1515" s="40">
        <f>IF(B1515&gt;=in_marketplace_from,(J1515+K1515)*d_hz*G1515,0)</f>
        <v/>
      </c>
      <c r="R1515" s="40">
        <f>SUMIFS(N1507:N1531,B1507:B1531,"&gt;="&amp;(B1515-d_T),B1507:B1531,"&lt;="&amp;(B1515-1))</f>
        <v/>
      </c>
      <c r="S1515" s="46">
        <f>(1-d_u)*S1514+IF(d_T&gt;in_topup_lag,SUMIFS(O1507:O1531,B1507:B1531,B1515-in_topup_lag)-d_udrop*SUMIFS(O1507:O1531,B1507:B1531,B1515-d_T),0)</f>
        <v/>
      </c>
      <c r="T1515" s="40">
        <f>F1515*d_u*S1515</f>
        <v/>
      </c>
      <c r="U1515" s="9">
        <f>L1515*in_ticket+M1515*d_rep_ticket</f>
        <v/>
      </c>
      <c r="V1515" s="9">
        <f>U1515+T1515*d_topup_amt</f>
        <v/>
      </c>
      <c r="W1515" s="40">
        <f>N1515+T1515*d_topup_ratio</f>
        <v/>
      </c>
      <c r="X1515" s="40">
        <f>SUMIFS(W1507:W1531,B1507:B1531,B1515-in_dpd_lag)*d_cured</f>
        <v/>
      </c>
      <c r="Y1515" s="40">
        <f>SUMIFS(W1507:W1531,B1507:B1531,B1515-in_rec_lag)*d_recd</f>
        <v/>
      </c>
      <c r="Z1515" s="40">
        <f>IF(AND(B1515&gt;=in_marketplace_from,B1515&lt;in_marketplace_from+in_card_months),in_card_share/in_card_months*F1515*I1515,IF(AND(B1515&gt;=in_marketplace_from+in_card_months,B1515&lt;in_marketplace_from+2*in_card_months),in_card_share*d_card_rem/in_card_months*F1515*MIN(in_takeup_cap,(1+in_takeup_growth)^(D1515-1))*MIN(in_takeup_cap,(1+in_approval_growth)^(D1515-1)),0))</f>
        <v/>
      </c>
      <c r="AA1515" s="14">
        <f>V1515*in_fee*(1-in_taken_back)</f>
        <v/>
      </c>
      <c r="AB1515" s="14">
        <f>SUMIFS(W1507:W1531,B1507:B1531,B1515-in_dpd_lag)*d_dpd</f>
        <v/>
      </c>
      <c r="AC1515" s="14">
        <f>SUMIFS(W1507:W1531,B1507:B1531,B1515-in_rec_lag)*d_rec</f>
        <v/>
      </c>
      <c r="AD1515" s="14">
        <f>Z1515*in_card_fee</f>
        <v/>
      </c>
      <c r="AE1515" s="40">
        <f>AE1514*(1-IF(B1514&gt;=in_marketplace_from,d_hz_hlth_small*G1514,0))</f>
        <v/>
      </c>
      <c r="AF1515" s="46">
        <f>AE1515*IF(B1515&gt;=in_marketplace_from,d_hz_hlth_small*G1515,0)</f>
        <v/>
      </c>
      <c r="AG1515" s="14">
        <f>F1515*AF1515*in_hlth_small_ticket*in_hlth_small_comm*in_ins_partner_share+F1515*in_hlth_small_ticket*in_hlth_small_renew_comm*in_ins_partner_share*(in_hlth_small_renew^1*SUMIFS(AF1507:AF1531,B1507:B1531,B1515-12)+in_hlth_small_renew^2*SUMIFS(AF1507:AF1531,B1507:B1531,B1515-24)+in_hlth_small_renew^3*SUMIFS(AF1507:AF1531,B1507:B1531,B1515-36)+in_hlth_small_renew^4*SUMIFS(AF1507:AF1531,B1507:B1531,B1515-48))</f>
        <v/>
      </c>
      <c r="AH1515" s="40">
        <f>AH1514*(1-IF(B1514&gt;=in_marketplace_from,d_hz_hlth_family*G1514,0))</f>
        <v/>
      </c>
      <c r="AI1515" s="46">
        <f>AH1515*IF(B1515&gt;=in_marketplace_from,d_hz_hlth_family*G1515,0)</f>
        <v/>
      </c>
      <c r="AJ1515" s="14">
        <f>F1515*AI1515*in_hlth_family_ticket*in_hlth_family_comm*in_ins_partner_share+F1515*in_hlth_family_ticket*in_hlth_family_renew_comm*in_ins_partner_share*(in_hlth_family_renew^1*SUMIFS(AI1507:AI1531,B1507:B1531,B1515-12)+in_hlth_family_renew^2*SUMIFS(AI1507:AI1531,B1507:B1531,B1515-24)+in_hlth_family_renew^3*SUMIFS(AI1507:AI1531,B1507:B1531,B1515-36)+in_hlth_family_renew^4*SUMIFS(AI1507:AI1531,B1507:B1531,B1515-48))</f>
        <v/>
      </c>
      <c r="AK1515" s="40">
        <f>AK1514*(1-IF(B1514&gt;=in_marketplace_from,d_hz_life_term*G1514,0))</f>
        <v/>
      </c>
      <c r="AL1515" s="46">
        <f>AK1515*IF(B1515&gt;=in_marketplace_from,d_hz_life_term*G1515,0)</f>
        <v/>
      </c>
      <c r="AM1515" s="14">
        <f>F1515*AL1515*in_life_term_ticket*in_life_term_comm*in_ins_partner_share+F1515*in_life_term_ticket*in_life_term_renew_comm*in_ins_partner_share*(in_life_term_renew^1*SUMIFS(AL1507:AL1531,B1507:B1531,B1515-12)+in_life_term_renew^2*SUMIFS(AL1507:AL1531,B1507:B1531,B1515-24)+in_life_term_renew^3*SUMIFS(AL1507:AL1531,B1507:B1531,B1515-36)+in_life_term_renew^4*SUMIFS(AL1507:AL1531,B1507:B1531,B1515-48))</f>
        <v/>
      </c>
      <c r="AN1515" s="40">
        <f>AN1514*(1-IF(B1514&gt;=in_marketplace_from,d_hz_accident*G1514,0))</f>
        <v/>
      </c>
      <c r="AO1515" s="46">
        <f>AN1515*IF(B1515&gt;=in_marketplace_from,d_hz_accident*G1515,0)</f>
        <v/>
      </c>
      <c r="AP1515" s="14">
        <f>F1515*AO1515*in_accident_ticket*in_accident_comm*in_ins_partner_share+F1515*in_accident_ticket*in_accident_renew_comm*in_ins_partner_share*(in_accident_renew^1*SUMIFS(AO1507:AO1531,B1507:B1531,B1515-12)+in_accident_renew^2*SUMIFS(AO1507:AO1531,B1507:B1531,B1515-24)+in_accident_renew^3*SUMIFS(AO1507:AO1531,B1507:B1531,B1515-36)+in_accident_renew^4*SUMIFS(AO1507:AO1531,B1507:B1531,B1515-48))</f>
        <v/>
      </c>
      <c r="AQ1515" s="40">
        <f>AQ1514*(1-IF(B1514&gt;=in_marketplace_from,d_hz_two_wheeler*G1514,0))</f>
        <v/>
      </c>
      <c r="AR1515" s="46">
        <f>AQ1515*IF(B1515&gt;=in_marketplace_from,d_hz_two_wheeler*G1515,0)</f>
        <v/>
      </c>
      <c r="AS1515" s="14">
        <f>F1515*AR1515*in_two_wheeler_ticket*in_two_wheeler_comm*in_ins_partner_share+F1515*in_two_wheeler_ticket*in_two_wheeler_comm*in_ins_partner_share*(in_two_wheeler_renew^1*SUMIFS(AR1507:AR1531,B1507:B1531,B1515-12)+in_two_wheeler_renew^2*SUMIFS(AR1507:AR1531,B1507:B1531,B1515-24)+in_two_wheeler_renew^3*SUMIFS(AR1507:AR1531,B1507:B1531,B1515-36)+in_two_wheeler_renew^4*SUMIFS(AR1507:AR1531,B1507:B1531,B1515-48))</f>
        <v/>
      </c>
      <c r="AT1515" s="40">
        <f>AT1514*(1-IF(B1514&gt;=in_marketplace_from,d_hz_device*G1514,0))</f>
        <v/>
      </c>
      <c r="AU1515" s="14">
        <f>F1515*AT1515*IF(B1515&gt;=in_marketplace_from,d_hz_device*G1515,0)*in_device_ticket*in_device_comm*in_ins_partner_share</f>
        <v/>
      </c>
      <c r="AV1515" s="40">
        <f>AV1514*(1-IF(B1514&gt;=in_marketplace_from,d_hz_shop*G1514,0))</f>
        <v/>
      </c>
      <c r="AW1515" s="46">
        <f>AV1515*IF(B1515&gt;=in_marketplace_from,d_hz_shop*G1515,0)</f>
        <v/>
      </c>
      <c r="AX1515" s="14">
        <f>F1515*AW1515*in_shop_ticket*in_shop_comm*in_ins_partner_share+F1515*in_shop_ticket*in_shop_renew_comm*in_ins_partner_share*(in_shop_renew^1*SUMIFS(AW1507:AW1531,B1507:B1531,B1515-12)+in_shop_renew^2*SUMIFS(AW1507:AW1531,B1507:B1531,B1515-24)+in_shop_renew^3*SUMIFS(AW1507:AW1531,B1507:B1531,B1515-36)+in_shop_renew^4*SUMIFS(AW1507:AW1531,B1507:B1531,B1515-48))</f>
        <v/>
      </c>
      <c r="AY1515" s="40">
        <f>AY1514*(1-IF(B1514&gt;=in_marketplace_from,d_hz_sip*G1514,0))</f>
        <v/>
      </c>
      <c r="AZ1515" s="40">
        <f>AZ1514*d_rho_sip+AY1515*IF(B1515&gt;=in_marketplace_from,d_hz_sip*G1515,0)</f>
        <v/>
      </c>
      <c r="BA1515" s="40">
        <f>d_rho_sip*(BA1514+AZ1514)</f>
        <v/>
      </c>
      <c r="BB1515" s="14">
        <f>F1515*in_sip_ticket*(BA1515+0.5*AZ1515)*in_sip_comm/12</f>
        <v/>
      </c>
      <c r="BC1515" s="40">
        <f>BC1514*(1-IF(B1514&gt;=in_marketplace_from,d_hz_choti*G1514,0))</f>
        <v/>
      </c>
      <c r="BD1515" s="46">
        <f>BC1515*IF(B1515&gt;=in_marketplace_from,d_hz_choti*G1515,0)</f>
        <v/>
      </c>
      <c r="BE1515" s="14">
        <f>F1515*SUMIFS(BD1507:BD1531,B1507:B1531,B1515-in_choti_months)*in_choti_renew*in_choti_ticket</f>
        <v/>
      </c>
      <c r="BF1515" s="40">
        <f>BF1514*(1-IF(B1514&gt;=in_marketplace_from,d_hz_nps*G1514,0))</f>
        <v/>
      </c>
      <c r="BG1515" s="14">
        <f>F1515*BF1515*IF(B1515&gt;=in_marketplace_from,d_hz_nps*G1515,0)*in_nps_ticket*in_nps_comm</f>
        <v/>
      </c>
      <c r="BH1515" s="40">
        <f>BH1514*(1-IF(B1514&gt;=in_marketplace_from,d_hz_gold*G1514,0))</f>
        <v/>
      </c>
      <c r="BI1515" s="40">
        <f>BI1514*d_rho_gold+BH1515*IF(B1515&gt;=in_marketplace_from,d_hz_gold*G1515,0)</f>
        <v/>
      </c>
      <c r="BJ1515" s="14">
        <f>F1515*BI1515*in_gold_ticket*in_gold_comm</f>
        <v/>
      </c>
      <c r="BK1515" s="40">
        <f>BK1514*(1-IF(B1514&gt;=in_marketplace_from,d_hz_fd*G1514,0))</f>
        <v/>
      </c>
      <c r="BL1515" s="14">
        <f>F1515*BK1515*IF(B1515&gt;=in_marketplace_from,d_hz_fd*G1515,0)*in_fd_ticket*in_fd_comm</f>
        <v/>
      </c>
      <c r="BM1515" s="40">
        <f>BM1514*(1-IF(B1514&gt;=in_marketplace_from,d_hz_recharge*G1514,0))</f>
        <v/>
      </c>
      <c r="BN1515" s="40">
        <f>BN1514*d_rho_recharge+BM1515*IF(B1515&gt;=in_marketplace_from,d_hz_recharge*G1515,0)</f>
        <v/>
      </c>
      <c r="BO1515" s="14">
        <f>F1515*BN1515*in_recharge_ticket*in_recharge_comm/12</f>
        <v/>
      </c>
      <c r="BP1515" s="40">
        <f>BP1514*(1-IF(B1514&gt;=in_marketplace_from,d_hz_bills*G1514,0))</f>
        <v/>
      </c>
      <c r="BQ1515" s="40">
        <f>BQ1514*d_rho_bills+BP1515*IF(B1515&gt;=in_marketplace_from,d_hz_bills*G1515,0)</f>
        <v/>
      </c>
      <c r="BR1515" s="14">
        <f>F1515*BQ1515*in_bills_ticket*in_bills_comm/12</f>
        <v/>
      </c>
      <c r="BS1515" s="40">
        <f>BS1514*(1-IF(B1514&gt;=in_marketplace_from,d_hz_loan_gold*G1514,0))</f>
        <v/>
      </c>
      <c r="BT1515" s="14">
        <f>F1515*BS1515*IF(B1515&gt;=in_marketplace_from,d_hz_loan_gold*G1515,0)*in_loan_gold_ticket*in_loan_gold_comm</f>
        <v/>
      </c>
      <c r="BU1515" s="40">
        <f>BU1514*(1-IF(B1514&gt;=in_marketplace_from,d_hz_loan_cd*G1514,0))</f>
        <v/>
      </c>
      <c r="BV1515" s="14">
        <f>F1515*BU1515*IF(B1515&gt;=in_marketplace_from,d_hz_loan_cd*G1515,0)*in_loan_cd_ticket*in_loan_cd_comm</f>
        <v/>
      </c>
      <c r="BW1515" s="40">
        <f>BW1514*(1-IF(B1514&gt;=in_marketplace_from,d_hz_loan_vehicle*G1514,0))</f>
        <v/>
      </c>
      <c r="BX1515" s="14">
        <f>F1515*BW1515*IF(B1515&gt;=in_marketplace_from,d_hz_loan_vehicle*G1515,0)*in_loan_vehicle_ticket*in_loan_vehicle_comm</f>
        <v/>
      </c>
      <c r="BY1515" s="40">
        <f>BY1514*(1-IF(B1514&gt;=in_marketplace_from,d_hz_loan_home*G1514,0)*BZ1514)</f>
        <v/>
      </c>
      <c r="BZ1515" s="11">
        <f>MIN(in_approval_cap,in_loan_home_approval*INDEX('Age profile'!$O$2:$O$61,B1515)*(1+in_approval_growth)^(D1515-1))</f>
        <v/>
      </c>
      <c r="CA1515" s="14">
        <f>F1515*BY1515*IF(B1515&gt;=in_marketplace_from,d_hz_loan_home*G1515,0)*BZ1515*in_loan_home_ticket*in_loan_home_comm</f>
        <v/>
      </c>
      <c r="CB1515" s="40">
        <f>CB1514*(1-IF(B1514&gt;=in_marketplace_from,d_hz_loan_lap*G1514,0)*CC1514)</f>
        <v/>
      </c>
      <c r="CC1515" s="11">
        <f>MIN(in_approval_cap,in_loan_lap_approval*INDEX('Age profile'!$O$2:$O$61,B1515)*(1+in_approval_growth)^(D1515-1))</f>
        <v/>
      </c>
      <c r="CD1515" s="14">
        <f>F1515*CB1515*IF(B1515&gt;=in_marketplace_from,d_hz_loan_lap*G1515,0)*CC1515*in_loan_lap_ticket*in_loan_lap_comm</f>
        <v/>
      </c>
      <c r="CE1515" s="14">
        <f>AA1515+AB1515+AC1515+AD1515+AG1515+AJ1515+AM1515+AP1515+AS1515+AU1515+AX1515+BB1515+BE1515+BG1515+BJ1515+BL1515+BO1515+BR1515+BT1515+BV1515+BX1515+CA1515+CD1515</f>
        <v/>
      </c>
    </row>
    <row r="1516">
      <c r="A1516" s="39" t="n">
        <v>36</v>
      </c>
      <c r="B1516" s="39" t="n">
        <v>10</v>
      </c>
      <c r="C1516" s="39">
        <f>A1516+B1516-1</f>
        <v/>
      </c>
      <c r="D1516" s="39">
        <f>INT((C1516-1)/12)+1</f>
        <v/>
      </c>
      <c r="E1516" s="44">
        <f>INDEX(Monthly!$B$2:$B$61,A1516)</f>
        <v/>
      </c>
      <c r="F1516" s="44">
        <f>E1516*INDEX('Age profile'!$B$2:$B$61,B1516)</f>
        <v/>
      </c>
      <c r="G1516" s="45">
        <f>MIN(in_takeup_cap,INDEX('Age profile'!$N$2:$N$61,B1516)*(1+in_takeup_growth)^(D1516-1))</f>
        <v/>
      </c>
      <c r="H1516" s="11">
        <f>MIN(in_approval_cap,in_approved_first*INDEX('Age profile'!$O$2:$O$61,B1516)*(1+in_approval_growth)^(D1516-1))</f>
        <v/>
      </c>
      <c r="I1516" s="45">
        <f>G1516*MIN(in_takeup_cap,INDEX('Age profile'!$O$2:$O$61,B1516)*(1+in_approval_growth)^(D1516-1))</f>
        <v/>
      </c>
      <c r="J1516" s="40">
        <f>(J1515-L1515)*F1516/F1515</f>
        <v/>
      </c>
      <c r="K1516" s="40">
        <f>(K1515-M1515)*F1516/F1515+SUMIFS(O1507:O1515,B1507:B1515,B1516-1-d_T)*F1516</f>
        <v/>
      </c>
      <c r="L1516" s="40">
        <f>IF(B1516&gt;=in_marketplace_from,J1516*d_hz*G1516*in_eligible*H1516,0)</f>
        <v/>
      </c>
      <c r="M1516" s="40">
        <f>IF(B1516&gt;=in_marketplace_from,K1516*d_hz*G1516*in_eligible*in_approved_repeat,0)</f>
        <v/>
      </c>
      <c r="N1516" s="40">
        <f>L1516+M1516</f>
        <v/>
      </c>
      <c r="O1516" s="46">
        <f>N1516/F1516</f>
        <v/>
      </c>
      <c r="P1516" s="40">
        <f>F1516-J1516-K1516</f>
        <v/>
      </c>
      <c r="Q1516" s="40">
        <f>IF(B1516&gt;=in_marketplace_from,(J1516+K1516)*d_hz*G1516,0)</f>
        <v/>
      </c>
      <c r="R1516" s="40">
        <f>SUMIFS(N1507:N1531,B1507:B1531,"&gt;="&amp;(B1516-d_T),B1507:B1531,"&lt;="&amp;(B1516-1))</f>
        <v/>
      </c>
      <c r="S1516" s="46">
        <f>(1-d_u)*S1515+IF(d_T&gt;in_topup_lag,SUMIFS(O1507:O1531,B1507:B1531,B1516-in_topup_lag)-d_udrop*SUMIFS(O1507:O1531,B1507:B1531,B1516-d_T),0)</f>
        <v/>
      </c>
      <c r="T1516" s="40">
        <f>F1516*d_u*S1516</f>
        <v/>
      </c>
      <c r="U1516" s="9">
        <f>L1516*in_ticket+M1516*d_rep_ticket</f>
        <v/>
      </c>
      <c r="V1516" s="9">
        <f>U1516+T1516*d_topup_amt</f>
        <v/>
      </c>
      <c r="W1516" s="40">
        <f>N1516+T1516*d_topup_ratio</f>
        <v/>
      </c>
      <c r="X1516" s="40">
        <f>SUMIFS(W1507:W1531,B1507:B1531,B1516-in_dpd_lag)*d_cured</f>
        <v/>
      </c>
      <c r="Y1516" s="40">
        <f>SUMIFS(W1507:W1531,B1507:B1531,B1516-in_rec_lag)*d_recd</f>
        <v/>
      </c>
      <c r="Z1516" s="40">
        <f>IF(AND(B1516&gt;=in_marketplace_from,B1516&lt;in_marketplace_from+in_card_months),in_card_share/in_card_months*F1516*I1516,IF(AND(B1516&gt;=in_marketplace_from+in_card_months,B1516&lt;in_marketplace_from+2*in_card_months),in_card_share*d_card_rem/in_card_months*F1516*MIN(in_takeup_cap,(1+in_takeup_growth)^(D1516-1))*MIN(in_takeup_cap,(1+in_approval_growth)^(D1516-1)),0))</f>
        <v/>
      </c>
      <c r="AA1516" s="14">
        <f>V1516*in_fee*(1-in_taken_back)</f>
        <v/>
      </c>
      <c r="AB1516" s="14">
        <f>SUMIFS(W1507:W1531,B1507:B1531,B1516-in_dpd_lag)*d_dpd</f>
        <v/>
      </c>
      <c r="AC1516" s="14">
        <f>SUMIFS(W1507:W1531,B1507:B1531,B1516-in_rec_lag)*d_rec</f>
        <v/>
      </c>
      <c r="AD1516" s="14">
        <f>Z1516*in_card_fee</f>
        <v/>
      </c>
      <c r="AE1516" s="40">
        <f>AE1515*(1-IF(B1515&gt;=in_marketplace_from,d_hz_hlth_small*G1515,0))</f>
        <v/>
      </c>
      <c r="AF1516" s="46">
        <f>AE1516*IF(B1516&gt;=in_marketplace_from,d_hz_hlth_small*G1516,0)</f>
        <v/>
      </c>
      <c r="AG1516" s="14">
        <f>F1516*AF1516*in_hlth_small_ticket*in_hlth_small_comm*in_ins_partner_share+F1516*in_hlth_small_ticket*in_hlth_small_renew_comm*in_ins_partner_share*(in_hlth_small_renew^1*SUMIFS(AF1507:AF1531,B1507:B1531,B1516-12)+in_hlth_small_renew^2*SUMIFS(AF1507:AF1531,B1507:B1531,B1516-24)+in_hlth_small_renew^3*SUMIFS(AF1507:AF1531,B1507:B1531,B1516-36)+in_hlth_small_renew^4*SUMIFS(AF1507:AF1531,B1507:B1531,B1516-48))</f>
        <v/>
      </c>
      <c r="AH1516" s="40">
        <f>AH1515*(1-IF(B1515&gt;=in_marketplace_from,d_hz_hlth_family*G1515,0))</f>
        <v/>
      </c>
      <c r="AI1516" s="46">
        <f>AH1516*IF(B1516&gt;=in_marketplace_from,d_hz_hlth_family*G1516,0)</f>
        <v/>
      </c>
      <c r="AJ1516" s="14">
        <f>F1516*AI1516*in_hlth_family_ticket*in_hlth_family_comm*in_ins_partner_share+F1516*in_hlth_family_ticket*in_hlth_family_renew_comm*in_ins_partner_share*(in_hlth_family_renew^1*SUMIFS(AI1507:AI1531,B1507:B1531,B1516-12)+in_hlth_family_renew^2*SUMIFS(AI1507:AI1531,B1507:B1531,B1516-24)+in_hlth_family_renew^3*SUMIFS(AI1507:AI1531,B1507:B1531,B1516-36)+in_hlth_family_renew^4*SUMIFS(AI1507:AI1531,B1507:B1531,B1516-48))</f>
        <v/>
      </c>
      <c r="AK1516" s="40">
        <f>AK1515*(1-IF(B1515&gt;=in_marketplace_from,d_hz_life_term*G1515,0))</f>
        <v/>
      </c>
      <c r="AL1516" s="46">
        <f>AK1516*IF(B1516&gt;=in_marketplace_from,d_hz_life_term*G1516,0)</f>
        <v/>
      </c>
      <c r="AM1516" s="14">
        <f>F1516*AL1516*in_life_term_ticket*in_life_term_comm*in_ins_partner_share+F1516*in_life_term_ticket*in_life_term_renew_comm*in_ins_partner_share*(in_life_term_renew^1*SUMIFS(AL1507:AL1531,B1507:B1531,B1516-12)+in_life_term_renew^2*SUMIFS(AL1507:AL1531,B1507:B1531,B1516-24)+in_life_term_renew^3*SUMIFS(AL1507:AL1531,B1507:B1531,B1516-36)+in_life_term_renew^4*SUMIFS(AL1507:AL1531,B1507:B1531,B1516-48))</f>
        <v/>
      </c>
      <c r="AN1516" s="40">
        <f>AN1515*(1-IF(B1515&gt;=in_marketplace_from,d_hz_accident*G1515,0))</f>
        <v/>
      </c>
      <c r="AO1516" s="46">
        <f>AN1516*IF(B1516&gt;=in_marketplace_from,d_hz_accident*G1516,0)</f>
        <v/>
      </c>
      <c r="AP1516" s="14">
        <f>F1516*AO1516*in_accident_ticket*in_accident_comm*in_ins_partner_share+F1516*in_accident_ticket*in_accident_renew_comm*in_ins_partner_share*(in_accident_renew^1*SUMIFS(AO1507:AO1531,B1507:B1531,B1516-12)+in_accident_renew^2*SUMIFS(AO1507:AO1531,B1507:B1531,B1516-24)+in_accident_renew^3*SUMIFS(AO1507:AO1531,B1507:B1531,B1516-36)+in_accident_renew^4*SUMIFS(AO1507:AO1531,B1507:B1531,B1516-48))</f>
        <v/>
      </c>
      <c r="AQ1516" s="40">
        <f>AQ1515*(1-IF(B1515&gt;=in_marketplace_from,d_hz_two_wheeler*G1515,0))</f>
        <v/>
      </c>
      <c r="AR1516" s="46">
        <f>AQ1516*IF(B1516&gt;=in_marketplace_from,d_hz_two_wheeler*G1516,0)</f>
        <v/>
      </c>
      <c r="AS1516" s="14">
        <f>F1516*AR1516*in_two_wheeler_ticket*in_two_wheeler_comm*in_ins_partner_share+F1516*in_two_wheeler_ticket*in_two_wheeler_comm*in_ins_partner_share*(in_two_wheeler_renew^1*SUMIFS(AR1507:AR1531,B1507:B1531,B1516-12)+in_two_wheeler_renew^2*SUMIFS(AR1507:AR1531,B1507:B1531,B1516-24)+in_two_wheeler_renew^3*SUMIFS(AR1507:AR1531,B1507:B1531,B1516-36)+in_two_wheeler_renew^4*SUMIFS(AR1507:AR1531,B1507:B1531,B1516-48))</f>
        <v/>
      </c>
      <c r="AT1516" s="40">
        <f>AT1515*(1-IF(B1515&gt;=in_marketplace_from,d_hz_device*G1515,0))</f>
        <v/>
      </c>
      <c r="AU1516" s="14">
        <f>F1516*AT1516*IF(B1516&gt;=in_marketplace_from,d_hz_device*G1516,0)*in_device_ticket*in_device_comm*in_ins_partner_share</f>
        <v/>
      </c>
      <c r="AV1516" s="40">
        <f>AV1515*(1-IF(B1515&gt;=in_marketplace_from,d_hz_shop*G1515,0))</f>
        <v/>
      </c>
      <c r="AW1516" s="46">
        <f>AV1516*IF(B1516&gt;=in_marketplace_from,d_hz_shop*G1516,0)</f>
        <v/>
      </c>
      <c r="AX1516" s="14">
        <f>F1516*AW1516*in_shop_ticket*in_shop_comm*in_ins_partner_share+F1516*in_shop_ticket*in_shop_renew_comm*in_ins_partner_share*(in_shop_renew^1*SUMIFS(AW1507:AW1531,B1507:B1531,B1516-12)+in_shop_renew^2*SUMIFS(AW1507:AW1531,B1507:B1531,B1516-24)+in_shop_renew^3*SUMIFS(AW1507:AW1531,B1507:B1531,B1516-36)+in_shop_renew^4*SUMIFS(AW1507:AW1531,B1507:B1531,B1516-48))</f>
        <v/>
      </c>
      <c r="AY1516" s="40">
        <f>AY1515*(1-IF(B1515&gt;=in_marketplace_from,d_hz_sip*G1515,0))</f>
        <v/>
      </c>
      <c r="AZ1516" s="40">
        <f>AZ1515*d_rho_sip+AY1516*IF(B1516&gt;=in_marketplace_from,d_hz_sip*G1516,0)</f>
        <v/>
      </c>
      <c r="BA1516" s="40">
        <f>d_rho_sip*(BA1515+AZ1515)</f>
        <v/>
      </c>
      <c r="BB1516" s="14">
        <f>F1516*in_sip_ticket*(BA1516+0.5*AZ1516)*in_sip_comm/12</f>
        <v/>
      </c>
      <c r="BC1516" s="40">
        <f>BC1515*(1-IF(B1515&gt;=in_marketplace_from,d_hz_choti*G1515,0))</f>
        <v/>
      </c>
      <c r="BD1516" s="46">
        <f>BC1516*IF(B1516&gt;=in_marketplace_from,d_hz_choti*G1516,0)</f>
        <v/>
      </c>
      <c r="BE1516" s="14">
        <f>F1516*SUMIFS(BD1507:BD1531,B1507:B1531,B1516-in_choti_months)*in_choti_renew*in_choti_ticket</f>
        <v/>
      </c>
      <c r="BF1516" s="40">
        <f>BF1515*(1-IF(B1515&gt;=in_marketplace_from,d_hz_nps*G1515,0))</f>
        <v/>
      </c>
      <c r="BG1516" s="14">
        <f>F1516*BF1516*IF(B1516&gt;=in_marketplace_from,d_hz_nps*G1516,0)*in_nps_ticket*in_nps_comm</f>
        <v/>
      </c>
      <c r="BH1516" s="40">
        <f>BH1515*(1-IF(B1515&gt;=in_marketplace_from,d_hz_gold*G1515,0))</f>
        <v/>
      </c>
      <c r="BI1516" s="40">
        <f>BI1515*d_rho_gold+BH1516*IF(B1516&gt;=in_marketplace_from,d_hz_gold*G1516,0)</f>
        <v/>
      </c>
      <c r="BJ1516" s="14">
        <f>F1516*BI1516*in_gold_ticket*in_gold_comm</f>
        <v/>
      </c>
      <c r="BK1516" s="40">
        <f>BK1515*(1-IF(B1515&gt;=in_marketplace_from,d_hz_fd*G1515,0))</f>
        <v/>
      </c>
      <c r="BL1516" s="14">
        <f>F1516*BK1516*IF(B1516&gt;=in_marketplace_from,d_hz_fd*G1516,0)*in_fd_ticket*in_fd_comm</f>
        <v/>
      </c>
      <c r="BM1516" s="40">
        <f>BM1515*(1-IF(B1515&gt;=in_marketplace_from,d_hz_recharge*G1515,0))</f>
        <v/>
      </c>
      <c r="BN1516" s="40">
        <f>BN1515*d_rho_recharge+BM1516*IF(B1516&gt;=in_marketplace_from,d_hz_recharge*G1516,0)</f>
        <v/>
      </c>
      <c r="BO1516" s="14">
        <f>F1516*BN1516*in_recharge_ticket*in_recharge_comm/12</f>
        <v/>
      </c>
      <c r="BP1516" s="40">
        <f>BP1515*(1-IF(B1515&gt;=in_marketplace_from,d_hz_bills*G1515,0))</f>
        <v/>
      </c>
      <c r="BQ1516" s="40">
        <f>BQ1515*d_rho_bills+BP1516*IF(B1516&gt;=in_marketplace_from,d_hz_bills*G1516,0)</f>
        <v/>
      </c>
      <c r="BR1516" s="14">
        <f>F1516*BQ1516*in_bills_ticket*in_bills_comm/12</f>
        <v/>
      </c>
      <c r="BS1516" s="40">
        <f>BS1515*(1-IF(B1515&gt;=in_marketplace_from,d_hz_loan_gold*G1515,0))</f>
        <v/>
      </c>
      <c r="BT1516" s="14">
        <f>F1516*BS1516*IF(B1516&gt;=in_marketplace_from,d_hz_loan_gold*G1516,0)*in_loan_gold_ticket*in_loan_gold_comm</f>
        <v/>
      </c>
      <c r="BU1516" s="40">
        <f>BU1515*(1-IF(B1515&gt;=in_marketplace_from,d_hz_loan_cd*G1515,0))</f>
        <v/>
      </c>
      <c r="BV1516" s="14">
        <f>F1516*BU1516*IF(B1516&gt;=in_marketplace_from,d_hz_loan_cd*G1516,0)*in_loan_cd_ticket*in_loan_cd_comm</f>
        <v/>
      </c>
      <c r="BW1516" s="40">
        <f>BW1515*(1-IF(B1515&gt;=in_marketplace_from,d_hz_loan_vehicle*G1515,0))</f>
        <v/>
      </c>
      <c r="BX1516" s="14">
        <f>F1516*BW1516*IF(B1516&gt;=in_marketplace_from,d_hz_loan_vehicle*G1516,0)*in_loan_vehicle_ticket*in_loan_vehicle_comm</f>
        <v/>
      </c>
      <c r="BY1516" s="40">
        <f>BY1515*(1-IF(B1515&gt;=in_marketplace_from,d_hz_loan_home*G1515,0)*BZ1515)</f>
        <v/>
      </c>
      <c r="BZ1516" s="11">
        <f>MIN(in_approval_cap,in_loan_home_approval*INDEX('Age profile'!$O$2:$O$61,B1516)*(1+in_approval_growth)^(D1516-1))</f>
        <v/>
      </c>
      <c r="CA1516" s="14">
        <f>F1516*BY1516*IF(B1516&gt;=in_marketplace_from,d_hz_loan_home*G1516,0)*BZ1516*in_loan_home_ticket*in_loan_home_comm</f>
        <v/>
      </c>
      <c r="CB1516" s="40">
        <f>CB1515*(1-IF(B1515&gt;=in_marketplace_from,d_hz_loan_lap*G1515,0)*CC1515)</f>
        <v/>
      </c>
      <c r="CC1516" s="11">
        <f>MIN(in_approval_cap,in_loan_lap_approval*INDEX('Age profile'!$O$2:$O$61,B1516)*(1+in_approval_growth)^(D1516-1))</f>
        <v/>
      </c>
      <c r="CD1516" s="14">
        <f>F1516*CB1516*IF(B1516&gt;=in_marketplace_from,d_hz_loan_lap*G1516,0)*CC1516*in_loan_lap_ticket*in_loan_lap_comm</f>
        <v/>
      </c>
      <c r="CE1516" s="14">
        <f>AA1516+AB1516+AC1516+AD1516+AG1516+AJ1516+AM1516+AP1516+AS1516+AU1516+AX1516+BB1516+BE1516+BG1516+BJ1516+BL1516+BO1516+BR1516+BT1516+BV1516+BX1516+CA1516+CD1516</f>
        <v/>
      </c>
    </row>
    <row r="1517">
      <c r="A1517" s="39" t="n">
        <v>36</v>
      </c>
      <c r="B1517" s="39" t="n">
        <v>11</v>
      </c>
      <c r="C1517" s="39">
        <f>A1517+B1517-1</f>
        <v/>
      </c>
      <c r="D1517" s="39">
        <f>INT((C1517-1)/12)+1</f>
        <v/>
      </c>
      <c r="E1517" s="44">
        <f>INDEX(Monthly!$B$2:$B$61,A1517)</f>
        <v/>
      </c>
      <c r="F1517" s="44">
        <f>E1517*INDEX('Age profile'!$B$2:$B$61,B1517)</f>
        <v/>
      </c>
      <c r="G1517" s="45">
        <f>MIN(in_takeup_cap,INDEX('Age profile'!$N$2:$N$61,B1517)*(1+in_takeup_growth)^(D1517-1))</f>
        <v/>
      </c>
      <c r="H1517" s="11">
        <f>MIN(in_approval_cap,in_approved_first*INDEX('Age profile'!$O$2:$O$61,B1517)*(1+in_approval_growth)^(D1517-1))</f>
        <v/>
      </c>
      <c r="I1517" s="45">
        <f>G1517*MIN(in_takeup_cap,INDEX('Age profile'!$O$2:$O$61,B1517)*(1+in_approval_growth)^(D1517-1))</f>
        <v/>
      </c>
      <c r="J1517" s="40">
        <f>(J1516-L1516)*F1517/F1516</f>
        <v/>
      </c>
      <c r="K1517" s="40">
        <f>(K1516-M1516)*F1517/F1516+SUMIFS(O1507:O1516,B1507:B1516,B1517-1-d_T)*F1517</f>
        <v/>
      </c>
      <c r="L1517" s="40">
        <f>IF(B1517&gt;=in_marketplace_from,J1517*d_hz*G1517*in_eligible*H1517,0)</f>
        <v/>
      </c>
      <c r="M1517" s="40">
        <f>IF(B1517&gt;=in_marketplace_from,K1517*d_hz*G1517*in_eligible*in_approved_repeat,0)</f>
        <v/>
      </c>
      <c r="N1517" s="40">
        <f>L1517+M1517</f>
        <v/>
      </c>
      <c r="O1517" s="46">
        <f>N1517/F1517</f>
        <v/>
      </c>
      <c r="P1517" s="40">
        <f>F1517-J1517-K1517</f>
        <v/>
      </c>
      <c r="Q1517" s="40">
        <f>IF(B1517&gt;=in_marketplace_from,(J1517+K1517)*d_hz*G1517,0)</f>
        <v/>
      </c>
      <c r="R1517" s="40">
        <f>SUMIFS(N1507:N1531,B1507:B1531,"&gt;="&amp;(B1517-d_T),B1507:B1531,"&lt;="&amp;(B1517-1))</f>
        <v/>
      </c>
      <c r="S1517" s="46">
        <f>(1-d_u)*S1516+IF(d_T&gt;in_topup_lag,SUMIFS(O1507:O1531,B1507:B1531,B1517-in_topup_lag)-d_udrop*SUMIFS(O1507:O1531,B1507:B1531,B1517-d_T),0)</f>
        <v/>
      </c>
      <c r="T1517" s="40">
        <f>F1517*d_u*S1517</f>
        <v/>
      </c>
      <c r="U1517" s="9">
        <f>L1517*in_ticket+M1517*d_rep_ticket</f>
        <v/>
      </c>
      <c r="V1517" s="9">
        <f>U1517+T1517*d_topup_amt</f>
        <v/>
      </c>
      <c r="W1517" s="40">
        <f>N1517+T1517*d_topup_ratio</f>
        <v/>
      </c>
      <c r="X1517" s="40">
        <f>SUMIFS(W1507:W1531,B1507:B1531,B1517-in_dpd_lag)*d_cured</f>
        <v/>
      </c>
      <c r="Y1517" s="40">
        <f>SUMIFS(W1507:W1531,B1507:B1531,B1517-in_rec_lag)*d_recd</f>
        <v/>
      </c>
      <c r="Z1517" s="40">
        <f>IF(AND(B1517&gt;=in_marketplace_from,B1517&lt;in_marketplace_from+in_card_months),in_card_share/in_card_months*F1517*I1517,IF(AND(B1517&gt;=in_marketplace_from+in_card_months,B1517&lt;in_marketplace_from+2*in_card_months),in_card_share*d_card_rem/in_card_months*F1517*MIN(in_takeup_cap,(1+in_takeup_growth)^(D1517-1))*MIN(in_takeup_cap,(1+in_approval_growth)^(D1517-1)),0))</f>
        <v/>
      </c>
      <c r="AA1517" s="14">
        <f>V1517*in_fee*(1-in_taken_back)</f>
        <v/>
      </c>
      <c r="AB1517" s="14">
        <f>SUMIFS(W1507:W1531,B1507:B1531,B1517-in_dpd_lag)*d_dpd</f>
        <v/>
      </c>
      <c r="AC1517" s="14">
        <f>SUMIFS(W1507:W1531,B1507:B1531,B1517-in_rec_lag)*d_rec</f>
        <v/>
      </c>
      <c r="AD1517" s="14">
        <f>Z1517*in_card_fee</f>
        <v/>
      </c>
      <c r="AE1517" s="40">
        <f>AE1516*(1-IF(B1516&gt;=in_marketplace_from,d_hz_hlth_small*G1516,0))</f>
        <v/>
      </c>
      <c r="AF1517" s="46">
        <f>AE1517*IF(B1517&gt;=in_marketplace_from,d_hz_hlth_small*G1517,0)</f>
        <v/>
      </c>
      <c r="AG1517" s="14">
        <f>F1517*AF1517*in_hlth_small_ticket*in_hlth_small_comm*in_ins_partner_share+F1517*in_hlth_small_ticket*in_hlth_small_renew_comm*in_ins_partner_share*(in_hlth_small_renew^1*SUMIFS(AF1507:AF1531,B1507:B1531,B1517-12)+in_hlth_small_renew^2*SUMIFS(AF1507:AF1531,B1507:B1531,B1517-24)+in_hlth_small_renew^3*SUMIFS(AF1507:AF1531,B1507:B1531,B1517-36)+in_hlth_small_renew^4*SUMIFS(AF1507:AF1531,B1507:B1531,B1517-48))</f>
        <v/>
      </c>
      <c r="AH1517" s="40">
        <f>AH1516*(1-IF(B1516&gt;=in_marketplace_from,d_hz_hlth_family*G1516,0))</f>
        <v/>
      </c>
      <c r="AI1517" s="46">
        <f>AH1517*IF(B1517&gt;=in_marketplace_from,d_hz_hlth_family*G1517,0)</f>
        <v/>
      </c>
      <c r="AJ1517" s="14">
        <f>F1517*AI1517*in_hlth_family_ticket*in_hlth_family_comm*in_ins_partner_share+F1517*in_hlth_family_ticket*in_hlth_family_renew_comm*in_ins_partner_share*(in_hlth_family_renew^1*SUMIFS(AI1507:AI1531,B1507:B1531,B1517-12)+in_hlth_family_renew^2*SUMIFS(AI1507:AI1531,B1507:B1531,B1517-24)+in_hlth_family_renew^3*SUMIFS(AI1507:AI1531,B1507:B1531,B1517-36)+in_hlth_family_renew^4*SUMIFS(AI1507:AI1531,B1507:B1531,B1517-48))</f>
        <v/>
      </c>
      <c r="AK1517" s="40">
        <f>AK1516*(1-IF(B1516&gt;=in_marketplace_from,d_hz_life_term*G1516,0))</f>
        <v/>
      </c>
      <c r="AL1517" s="46">
        <f>AK1517*IF(B1517&gt;=in_marketplace_from,d_hz_life_term*G1517,0)</f>
        <v/>
      </c>
      <c r="AM1517" s="14">
        <f>F1517*AL1517*in_life_term_ticket*in_life_term_comm*in_ins_partner_share+F1517*in_life_term_ticket*in_life_term_renew_comm*in_ins_partner_share*(in_life_term_renew^1*SUMIFS(AL1507:AL1531,B1507:B1531,B1517-12)+in_life_term_renew^2*SUMIFS(AL1507:AL1531,B1507:B1531,B1517-24)+in_life_term_renew^3*SUMIFS(AL1507:AL1531,B1507:B1531,B1517-36)+in_life_term_renew^4*SUMIFS(AL1507:AL1531,B1507:B1531,B1517-48))</f>
        <v/>
      </c>
      <c r="AN1517" s="40">
        <f>AN1516*(1-IF(B1516&gt;=in_marketplace_from,d_hz_accident*G1516,0))</f>
        <v/>
      </c>
      <c r="AO1517" s="46">
        <f>AN1517*IF(B1517&gt;=in_marketplace_from,d_hz_accident*G1517,0)</f>
        <v/>
      </c>
      <c r="AP1517" s="14">
        <f>F1517*AO1517*in_accident_ticket*in_accident_comm*in_ins_partner_share+F1517*in_accident_ticket*in_accident_renew_comm*in_ins_partner_share*(in_accident_renew^1*SUMIFS(AO1507:AO1531,B1507:B1531,B1517-12)+in_accident_renew^2*SUMIFS(AO1507:AO1531,B1507:B1531,B1517-24)+in_accident_renew^3*SUMIFS(AO1507:AO1531,B1507:B1531,B1517-36)+in_accident_renew^4*SUMIFS(AO1507:AO1531,B1507:B1531,B1517-48))</f>
        <v/>
      </c>
      <c r="AQ1517" s="40">
        <f>AQ1516*(1-IF(B1516&gt;=in_marketplace_from,d_hz_two_wheeler*G1516,0))</f>
        <v/>
      </c>
      <c r="AR1517" s="46">
        <f>AQ1517*IF(B1517&gt;=in_marketplace_from,d_hz_two_wheeler*G1517,0)</f>
        <v/>
      </c>
      <c r="AS1517" s="14">
        <f>F1517*AR1517*in_two_wheeler_ticket*in_two_wheeler_comm*in_ins_partner_share+F1517*in_two_wheeler_ticket*in_two_wheeler_comm*in_ins_partner_share*(in_two_wheeler_renew^1*SUMIFS(AR1507:AR1531,B1507:B1531,B1517-12)+in_two_wheeler_renew^2*SUMIFS(AR1507:AR1531,B1507:B1531,B1517-24)+in_two_wheeler_renew^3*SUMIFS(AR1507:AR1531,B1507:B1531,B1517-36)+in_two_wheeler_renew^4*SUMIFS(AR1507:AR1531,B1507:B1531,B1517-48))</f>
        <v/>
      </c>
      <c r="AT1517" s="40">
        <f>AT1516*(1-IF(B1516&gt;=in_marketplace_from,d_hz_device*G1516,0))</f>
        <v/>
      </c>
      <c r="AU1517" s="14">
        <f>F1517*AT1517*IF(B1517&gt;=in_marketplace_from,d_hz_device*G1517,0)*in_device_ticket*in_device_comm*in_ins_partner_share</f>
        <v/>
      </c>
      <c r="AV1517" s="40">
        <f>AV1516*(1-IF(B1516&gt;=in_marketplace_from,d_hz_shop*G1516,0))</f>
        <v/>
      </c>
      <c r="AW1517" s="46">
        <f>AV1517*IF(B1517&gt;=in_marketplace_from,d_hz_shop*G1517,0)</f>
        <v/>
      </c>
      <c r="AX1517" s="14">
        <f>F1517*AW1517*in_shop_ticket*in_shop_comm*in_ins_partner_share+F1517*in_shop_ticket*in_shop_renew_comm*in_ins_partner_share*(in_shop_renew^1*SUMIFS(AW1507:AW1531,B1507:B1531,B1517-12)+in_shop_renew^2*SUMIFS(AW1507:AW1531,B1507:B1531,B1517-24)+in_shop_renew^3*SUMIFS(AW1507:AW1531,B1507:B1531,B1517-36)+in_shop_renew^4*SUMIFS(AW1507:AW1531,B1507:B1531,B1517-48))</f>
        <v/>
      </c>
      <c r="AY1517" s="40">
        <f>AY1516*(1-IF(B1516&gt;=in_marketplace_from,d_hz_sip*G1516,0))</f>
        <v/>
      </c>
      <c r="AZ1517" s="40">
        <f>AZ1516*d_rho_sip+AY1517*IF(B1517&gt;=in_marketplace_from,d_hz_sip*G1517,0)</f>
        <v/>
      </c>
      <c r="BA1517" s="40">
        <f>d_rho_sip*(BA1516+AZ1516)</f>
        <v/>
      </c>
      <c r="BB1517" s="14">
        <f>F1517*in_sip_ticket*(BA1517+0.5*AZ1517)*in_sip_comm/12</f>
        <v/>
      </c>
      <c r="BC1517" s="40">
        <f>BC1516*(1-IF(B1516&gt;=in_marketplace_from,d_hz_choti*G1516,0))</f>
        <v/>
      </c>
      <c r="BD1517" s="46">
        <f>BC1517*IF(B1517&gt;=in_marketplace_from,d_hz_choti*G1517,0)</f>
        <v/>
      </c>
      <c r="BE1517" s="14">
        <f>F1517*SUMIFS(BD1507:BD1531,B1507:B1531,B1517-in_choti_months)*in_choti_renew*in_choti_ticket</f>
        <v/>
      </c>
      <c r="BF1517" s="40">
        <f>BF1516*(1-IF(B1516&gt;=in_marketplace_from,d_hz_nps*G1516,0))</f>
        <v/>
      </c>
      <c r="BG1517" s="14">
        <f>F1517*BF1517*IF(B1517&gt;=in_marketplace_from,d_hz_nps*G1517,0)*in_nps_ticket*in_nps_comm</f>
        <v/>
      </c>
      <c r="BH1517" s="40">
        <f>BH1516*(1-IF(B1516&gt;=in_marketplace_from,d_hz_gold*G1516,0))</f>
        <v/>
      </c>
      <c r="BI1517" s="40">
        <f>BI1516*d_rho_gold+BH1517*IF(B1517&gt;=in_marketplace_from,d_hz_gold*G1517,0)</f>
        <v/>
      </c>
      <c r="BJ1517" s="14">
        <f>F1517*BI1517*in_gold_ticket*in_gold_comm</f>
        <v/>
      </c>
      <c r="BK1517" s="40">
        <f>BK1516*(1-IF(B1516&gt;=in_marketplace_from,d_hz_fd*G1516,0))</f>
        <v/>
      </c>
      <c r="BL1517" s="14">
        <f>F1517*BK1517*IF(B1517&gt;=in_marketplace_from,d_hz_fd*G1517,0)*in_fd_ticket*in_fd_comm</f>
        <v/>
      </c>
      <c r="BM1517" s="40">
        <f>BM1516*(1-IF(B1516&gt;=in_marketplace_from,d_hz_recharge*G1516,0))</f>
        <v/>
      </c>
      <c r="BN1517" s="40">
        <f>BN1516*d_rho_recharge+BM1517*IF(B1517&gt;=in_marketplace_from,d_hz_recharge*G1517,0)</f>
        <v/>
      </c>
      <c r="BO1517" s="14">
        <f>F1517*BN1517*in_recharge_ticket*in_recharge_comm/12</f>
        <v/>
      </c>
      <c r="BP1517" s="40">
        <f>BP1516*(1-IF(B1516&gt;=in_marketplace_from,d_hz_bills*G1516,0))</f>
        <v/>
      </c>
      <c r="BQ1517" s="40">
        <f>BQ1516*d_rho_bills+BP1517*IF(B1517&gt;=in_marketplace_from,d_hz_bills*G1517,0)</f>
        <v/>
      </c>
      <c r="BR1517" s="14">
        <f>F1517*BQ1517*in_bills_ticket*in_bills_comm/12</f>
        <v/>
      </c>
      <c r="BS1517" s="40">
        <f>BS1516*(1-IF(B1516&gt;=in_marketplace_from,d_hz_loan_gold*G1516,0))</f>
        <v/>
      </c>
      <c r="BT1517" s="14">
        <f>F1517*BS1517*IF(B1517&gt;=in_marketplace_from,d_hz_loan_gold*G1517,0)*in_loan_gold_ticket*in_loan_gold_comm</f>
        <v/>
      </c>
      <c r="BU1517" s="40">
        <f>BU1516*(1-IF(B1516&gt;=in_marketplace_from,d_hz_loan_cd*G1516,0))</f>
        <v/>
      </c>
      <c r="BV1517" s="14">
        <f>F1517*BU1517*IF(B1517&gt;=in_marketplace_from,d_hz_loan_cd*G1517,0)*in_loan_cd_ticket*in_loan_cd_comm</f>
        <v/>
      </c>
      <c r="BW1517" s="40">
        <f>BW1516*(1-IF(B1516&gt;=in_marketplace_from,d_hz_loan_vehicle*G1516,0))</f>
        <v/>
      </c>
      <c r="BX1517" s="14">
        <f>F1517*BW1517*IF(B1517&gt;=in_marketplace_from,d_hz_loan_vehicle*G1517,0)*in_loan_vehicle_ticket*in_loan_vehicle_comm</f>
        <v/>
      </c>
      <c r="BY1517" s="40">
        <f>BY1516*(1-IF(B1516&gt;=in_marketplace_from,d_hz_loan_home*G1516,0)*BZ1516)</f>
        <v/>
      </c>
      <c r="BZ1517" s="11">
        <f>MIN(in_approval_cap,in_loan_home_approval*INDEX('Age profile'!$O$2:$O$61,B1517)*(1+in_approval_growth)^(D1517-1))</f>
        <v/>
      </c>
      <c r="CA1517" s="14">
        <f>F1517*BY1517*IF(B1517&gt;=in_marketplace_from,d_hz_loan_home*G1517,0)*BZ1517*in_loan_home_ticket*in_loan_home_comm</f>
        <v/>
      </c>
      <c r="CB1517" s="40">
        <f>CB1516*(1-IF(B1516&gt;=in_marketplace_from,d_hz_loan_lap*G1516,0)*CC1516)</f>
        <v/>
      </c>
      <c r="CC1517" s="11">
        <f>MIN(in_approval_cap,in_loan_lap_approval*INDEX('Age profile'!$O$2:$O$61,B1517)*(1+in_approval_growth)^(D1517-1))</f>
        <v/>
      </c>
      <c r="CD1517" s="14">
        <f>F1517*CB1517*IF(B1517&gt;=in_marketplace_from,d_hz_loan_lap*G1517,0)*CC1517*in_loan_lap_ticket*in_loan_lap_comm</f>
        <v/>
      </c>
      <c r="CE1517" s="14">
        <f>AA1517+AB1517+AC1517+AD1517+AG1517+AJ1517+AM1517+AP1517+AS1517+AU1517+AX1517+BB1517+BE1517+BG1517+BJ1517+BL1517+BO1517+BR1517+BT1517+BV1517+BX1517+CA1517+CD1517</f>
        <v/>
      </c>
    </row>
    <row r="1518">
      <c r="A1518" s="39" t="n">
        <v>36</v>
      </c>
      <c r="B1518" s="39" t="n">
        <v>12</v>
      </c>
      <c r="C1518" s="39">
        <f>A1518+B1518-1</f>
        <v/>
      </c>
      <c r="D1518" s="39">
        <f>INT((C1518-1)/12)+1</f>
        <v/>
      </c>
      <c r="E1518" s="44">
        <f>INDEX(Monthly!$B$2:$B$61,A1518)</f>
        <v/>
      </c>
      <c r="F1518" s="44">
        <f>E1518*INDEX('Age profile'!$B$2:$B$61,B1518)</f>
        <v/>
      </c>
      <c r="G1518" s="45">
        <f>MIN(in_takeup_cap,INDEX('Age profile'!$N$2:$N$61,B1518)*(1+in_takeup_growth)^(D1518-1))</f>
        <v/>
      </c>
      <c r="H1518" s="11">
        <f>MIN(in_approval_cap,in_approved_first*INDEX('Age profile'!$O$2:$O$61,B1518)*(1+in_approval_growth)^(D1518-1))</f>
        <v/>
      </c>
      <c r="I1518" s="45">
        <f>G1518*MIN(in_takeup_cap,INDEX('Age profile'!$O$2:$O$61,B1518)*(1+in_approval_growth)^(D1518-1))</f>
        <v/>
      </c>
      <c r="J1518" s="40">
        <f>(J1517-L1517)*F1518/F1517</f>
        <v/>
      </c>
      <c r="K1518" s="40">
        <f>(K1517-M1517)*F1518/F1517+SUMIFS(O1507:O1517,B1507:B1517,B1518-1-d_T)*F1518</f>
        <v/>
      </c>
      <c r="L1518" s="40">
        <f>IF(B1518&gt;=in_marketplace_from,J1518*d_hz*G1518*in_eligible*H1518,0)</f>
        <v/>
      </c>
      <c r="M1518" s="40">
        <f>IF(B1518&gt;=in_marketplace_from,K1518*d_hz*G1518*in_eligible*in_approved_repeat,0)</f>
        <v/>
      </c>
      <c r="N1518" s="40">
        <f>L1518+M1518</f>
        <v/>
      </c>
      <c r="O1518" s="46">
        <f>N1518/F1518</f>
        <v/>
      </c>
      <c r="P1518" s="40">
        <f>F1518-J1518-K1518</f>
        <v/>
      </c>
      <c r="Q1518" s="40">
        <f>IF(B1518&gt;=in_marketplace_from,(J1518+K1518)*d_hz*G1518,0)</f>
        <v/>
      </c>
      <c r="R1518" s="40">
        <f>SUMIFS(N1507:N1531,B1507:B1531,"&gt;="&amp;(B1518-d_T),B1507:B1531,"&lt;="&amp;(B1518-1))</f>
        <v/>
      </c>
      <c r="S1518" s="46">
        <f>(1-d_u)*S1517+IF(d_T&gt;in_topup_lag,SUMIFS(O1507:O1531,B1507:B1531,B1518-in_topup_lag)-d_udrop*SUMIFS(O1507:O1531,B1507:B1531,B1518-d_T),0)</f>
        <v/>
      </c>
      <c r="T1518" s="40">
        <f>F1518*d_u*S1518</f>
        <v/>
      </c>
      <c r="U1518" s="9">
        <f>L1518*in_ticket+M1518*d_rep_ticket</f>
        <v/>
      </c>
      <c r="V1518" s="9">
        <f>U1518+T1518*d_topup_amt</f>
        <v/>
      </c>
      <c r="W1518" s="40">
        <f>N1518+T1518*d_topup_ratio</f>
        <v/>
      </c>
      <c r="X1518" s="40">
        <f>SUMIFS(W1507:W1531,B1507:B1531,B1518-in_dpd_lag)*d_cured</f>
        <v/>
      </c>
      <c r="Y1518" s="40">
        <f>SUMIFS(W1507:W1531,B1507:B1531,B1518-in_rec_lag)*d_recd</f>
        <v/>
      </c>
      <c r="Z1518" s="40">
        <f>IF(AND(B1518&gt;=in_marketplace_from,B1518&lt;in_marketplace_from+in_card_months),in_card_share/in_card_months*F1518*I1518,IF(AND(B1518&gt;=in_marketplace_from+in_card_months,B1518&lt;in_marketplace_from+2*in_card_months),in_card_share*d_card_rem/in_card_months*F1518*MIN(in_takeup_cap,(1+in_takeup_growth)^(D1518-1))*MIN(in_takeup_cap,(1+in_approval_growth)^(D1518-1)),0))</f>
        <v/>
      </c>
      <c r="AA1518" s="14">
        <f>V1518*in_fee*(1-in_taken_back)</f>
        <v/>
      </c>
      <c r="AB1518" s="14">
        <f>SUMIFS(W1507:W1531,B1507:B1531,B1518-in_dpd_lag)*d_dpd</f>
        <v/>
      </c>
      <c r="AC1518" s="14">
        <f>SUMIFS(W1507:W1531,B1507:B1531,B1518-in_rec_lag)*d_rec</f>
        <v/>
      </c>
      <c r="AD1518" s="14">
        <f>Z1518*in_card_fee</f>
        <v/>
      </c>
      <c r="AE1518" s="40">
        <f>AE1517*(1-IF(B1517&gt;=in_marketplace_from,d_hz_hlth_small*G1517,0))</f>
        <v/>
      </c>
      <c r="AF1518" s="46">
        <f>AE1518*IF(B1518&gt;=in_marketplace_from,d_hz_hlth_small*G1518,0)</f>
        <v/>
      </c>
      <c r="AG1518" s="14">
        <f>F1518*AF1518*in_hlth_small_ticket*in_hlth_small_comm*in_ins_partner_share+F1518*in_hlth_small_ticket*in_hlth_small_renew_comm*in_ins_partner_share*(in_hlth_small_renew^1*SUMIFS(AF1507:AF1531,B1507:B1531,B1518-12)+in_hlth_small_renew^2*SUMIFS(AF1507:AF1531,B1507:B1531,B1518-24)+in_hlth_small_renew^3*SUMIFS(AF1507:AF1531,B1507:B1531,B1518-36)+in_hlth_small_renew^4*SUMIFS(AF1507:AF1531,B1507:B1531,B1518-48))</f>
        <v/>
      </c>
      <c r="AH1518" s="40">
        <f>AH1517*(1-IF(B1517&gt;=in_marketplace_from,d_hz_hlth_family*G1517,0))</f>
        <v/>
      </c>
      <c r="AI1518" s="46">
        <f>AH1518*IF(B1518&gt;=in_marketplace_from,d_hz_hlth_family*G1518,0)</f>
        <v/>
      </c>
      <c r="AJ1518" s="14">
        <f>F1518*AI1518*in_hlth_family_ticket*in_hlth_family_comm*in_ins_partner_share+F1518*in_hlth_family_ticket*in_hlth_family_renew_comm*in_ins_partner_share*(in_hlth_family_renew^1*SUMIFS(AI1507:AI1531,B1507:B1531,B1518-12)+in_hlth_family_renew^2*SUMIFS(AI1507:AI1531,B1507:B1531,B1518-24)+in_hlth_family_renew^3*SUMIFS(AI1507:AI1531,B1507:B1531,B1518-36)+in_hlth_family_renew^4*SUMIFS(AI1507:AI1531,B1507:B1531,B1518-48))</f>
        <v/>
      </c>
      <c r="AK1518" s="40">
        <f>AK1517*(1-IF(B1517&gt;=in_marketplace_from,d_hz_life_term*G1517,0))</f>
        <v/>
      </c>
      <c r="AL1518" s="46">
        <f>AK1518*IF(B1518&gt;=in_marketplace_from,d_hz_life_term*G1518,0)</f>
        <v/>
      </c>
      <c r="AM1518" s="14">
        <f>F1518*AL1518*in_life_term_ticket*in_life_term_comm*in_ins_partner_share+F1518*in_life_term_ticket*in_life_term_renew_comm*in_ins_partner_share*(in_life_term_renew^1*SUMIFS(AL1507:AL1531,B1507:B1531,B1518-12)+in_life_term_renew^2*SUMIFS(AL1507:AL1531,B1507:B1531,B1518-24)+in_life_term_renew^3*SUMIFS(AL1507:AL1531,B1507:B1531,B1518-36)+in_life_term_renew^4*SUMIFS(AL1507:AL1531,B1507:B1531,B1518-48))</f>
        <v/>
      </c>
      <c r="AN1518" s="40">
        <f>AN1517*(1-IF(B1517&gt;=in_marketplace_from,d_hz_accident*G1517,0))</f>
        <v/>
      </c>
      <c r="AO1518" s="46">
        <f>AN1518*IF(B1518&gt;=in_marketplace_from,d_hz_accident*G1518,0)</f>
        <v/>
      </c>
      <c r="AP1518" s="14">
        <f>F1518*AO1518*in_accident_ticket*in_accident_comm*in_ins_partner_share+F1518*in_accident_ticket*in_accident_renew_comm*in_ins_partner_share*(in_accident_renew^1*SUMIFS(AO1507:AO1531,B1507:B1531,B1518-12)+in_accident_renew^2*SUMIFS(AO1507:AO1531,B1507:B1531,B1518-24)+in_accident_renew^3*SUMIFS(AO1507:AO1531,B1507:B1531,B1518-36)+in_accident_renew^4*SUMIFS(AO1507:AO1531,B1507:B1531,B1518-48))</f>
        <v/>
      </c>
      <c r="AQ1518" s="40">
        <f>AQ1517*(1-IF(B1517&gt;=in_marketplace_from,d_hz_two_wheeler*G1517,0))</f>
        <v/>
      </c>
      <c r="AR1518" s="46">
        <f>AQ1518*IF(B1518&gt;=in_marketplace_from,d_hz_two_wheeler*G1518,0)</f>
        <v/>
      </c>
      <c r="AS1518" s="14">
        <f>F1518*AR1518*in_two_wheeler_ticket*in_two_wheeler_comm*in_ins_partner_share+F1518*in_two_wheeler_ticket*in_two_wheeler_comm*in_ins_partner_share*(in_two_wheeler_renew^1*SUMIFS(AR1507:AR1531,B1507:B1531,B1518-12)+in_two_wheeler_renew^2*SUMIFS(AR1507:AR1531,B1507:B1531,B1518-24)+in_two_wheeler_renew^3*SUMIFS(AR1507:AR1531,B1507:B1531,B1518-36)+in_two_wheeler_renew^4*SUMIFS(AR1507:AR1531,B1507:B1531,B1518-48))</f>
        <v/>
      </c>
      <c r="AT1518" s="40">
        <f>AT1517*(1-IF(B1517&gt;=in_marketplace_from,d_hz_device*G1517,0))</f>
        <v/>
      </c>
      <c r="AU1518" s="14">
        <f>F1518*AT1518*IF(B1518&gt;=in_marketplace_from,d_hz_device*G1518,0)*in_device_ticket*in_device_comm*in_ins_partner_share</f>
        <v/>
      </c>
      <c r="AV1518" s="40">
        <f>AV1517*(1-IF(B1517&gt;=in_marketplace_from,d_hz_shop*G1517,0))</f>
        <v/>
      </c>
      <c r="AW1518" s="46">
        <f>AV1518*IF(B1518&gt;=in_marketplace_from,d_hz_shop*G1518,0)</f>
        <v/>
      </c>
      <c r="AX1518" s="14">
        <f>F1518*AW1518*in_shop_ticket*in_shop_comm*in_ins_partner_share+F1518*in_shop_ticket*in_shop_renew_comm*in_ins_partner_share*(in_shop_renew^1*SUMIFS(AW1507:AW1531,B1507:B1531,B1518-12)+in_shop_renew^2*SUMIFS(AW1507:AW1531,B1507:B1531,B1518-24)+in_shop_renew^3*SUMIFS(AW1507:AW1531,B1507:B1531,B1518-36)+in_shop_renew^4*SUMIFS(AW1507:AW1531,B1507:B1531,B1518-48))</f>
        <v/>
      </c>
      <c r="AY1518" s="40">
        <f>AY1517*(1-IF(B1517&gt;=in_marketplace_from,d_hz_sip*G1517,0))</f>
        <v/>
      </c>
      <c r="AZ1518" s="40">
        <f>AZ1517*d_rho_sip+AY1518*IF(B1518&gt;=in_marketplace_from,d_hz_sip*G1518,0)</f>
        <v/>
      </c>
      <c r="BA1518" s="40">
        <f>d_rho_sip*(BA1517+AZ1517)</f>
        <v/>
      </c>
      <c r="BB1518" s="14">
        <f>F1518*in_sip_ticket*(BA1518+0.5*AZ1518)*in_sip_comm/12</f>
        <v/>
      </c>
      <c r="BC1518" s="40">
        <f>BC1517*(1-IF(B1517&gt;=in_marketplace_from,d_hz_choti*G1517,0))</f>
        <v/>
      </c>
      <c r="BD1518" s="46">
        <f>BC1518*IF(B1518&gt;=in_marketplace_from,d_hz_choti*G1518,0)</f>
        <v/>
      </c>
      <c r="BE1518" s="14">
        <f>F1518*SUMIFS(BD1507:BD1531,B1507:B1531,B1518-in_choti_months)*in_choti_renew*in_choti_ticket</f>
        <v/>
      </c>
      <c r="BF1518" s="40">
        <f>BF1517*(1-IF(B1517&gt;=in_marketplace_from,d_hz_nps*G1517,0))</f>
        <v/>
      </c>
      <c r="BG1518" s="14">
        <f>F1518*BF1518*IF(B1518&gt;=in_marketplace_from,d_hz_nps*G1518,0)*in_nps_ticket*in_nps_comm</f>
        <v/>
      </c>
      <c r="BH1518" s="40">
        <f>BH1517*(1-IF(B1517&gt;=in_marketplace_from,d_hz_gold*G1517,0))</f>
        <v/>
      </c>
      <c r="BI1518" s="40">
        <f>BI1517*d_rho_gold+BH1518*IF(B1518&gt;=in_marketplace_from,d_hz_gold*G1518,0)</f>
        <v/>
      </c>
      <c r="BJ1518" s="14">
        <f>F1518*BI1518*in_gold_ticket*in_gold_comm</f>
        <v/>
      </c>
      <c r="BK1518" s="40">
        <f>BK1517*(1-IF(B1517&gt;=in_marketplace_from,d_hz_fd*G1517,0))</f>
        <v/>
      </c>
      <c r="BL1518" s="14">
        <f>F1518*BK1518*IF(B1518&gt;=in_marketplace_from,d_hz_fd*G1518,0)*in_fd_ticket*in_fd_comm</f>
        <v/>
      </c>
      <c r="BM1518" s="40">
        <f>BM1517*(1-IF(B1517&gt;=in_marketplace_from,d_hz_recharge*G1517,0))</f>
        <v/>
      </c>
      <c r="BN1518" s="40">
        <f>BN1517*d_rho_recharge+BM1518*IF(B1518&gt;=in_marketplace_from,d_hz_recharge*G1518,0)</f>
        <v/>
      </c>
      <c r="BO1518" s="14">
        <f>F1518*BN1518*in_recharge_ticket*in_recharge_comm/12</f>
        <v/>
      </c>
      <c r="BP1518" s="40">
        <f>BP1517*(1-IF(B1517&gt;=in_marketplace_from,d_hz_bills*G1517,0))</f>
        <v/>
      </c>
      <c r="BQ1518" s="40">
        <f>BQ1517*d_rho_bills+BP1518*IF(B1518&gt;=in_marketplace_from,d_hz_bills*G1518,0)</f>
        <v/>
      </c>
      <c r="BR1518" s="14">
        <f>F1518*BQ1518*in_bills_ticket*in_bills_comm/12</f>
        <v/>
      </c>
      <c r="BS1518" s="40">
        <f>BS1517*(1-IF(B1517&gt;=in_marketplace_from,d_hz_loan_gold*G1517,0))</f>
        <v/>
      </c>
      <c r="BT1518" s="14">
        <f>F1518*BS1518*IF(B1518&gt;=in_marketplace_from,d_hz_loan_gold*G1518,0)*in_loan_gold_ticket*in_loan_gold_comm</f>
        <v/>
      </c>
      <c r="BU1518" s="40">
        <f>BU1517*(1-IF(B1517&gt;=in_marketplace_from,d_hz_loan_cd*G1517,0))</f>
        <v/>
      </c>
      <c r="BV1518" s="14">
        <f>F1518*BU1518*IF(B1518&gt;=in_marketplace_from,d_hz_loan_cd*G1518,0)*in_loan_cd_ticket*in_loan_cd_comm</f>
        <v/>
      </c>
      <c r="BW1518" s="40">
        <f>BW1517*(1-IF(B1517&gt;=in_marketplace_from,d_hz_loan_vehicle*G1517,0))</f>
        <v/>
      </c>
      <c r="BX1518" s="14">
        <f>F1518*BW1518*IF(B1518&gt;=in_marketplace_from,d_hz_loan_vehicle*G1518,0)*in_loan_vehicle_ticket*in_loan_vehicle_comm</f>
        <v/>
      </c>
      <c r="BY1518" s="40">
        <f>BY1517*(1-IF(B1517&gt;=in_marketplace_from,d_hz_loan_home*G1517,0)*BZ1517)</f>
        <v/>
      </c>
      <c r="BZ1518" s="11">
        <f>MIN(in_approval_cap,in_loan_home_approval*INDEX('Age profile'!$O$2:$O$61,B1518)*(1+in_approval_growth)^(D1518-1))</f>
        <v/>
      </c>
      <c r="CA1518" s="14">
        <f>F1518*BY1518*IF(B1518&gt;=in_marketplace_from,d_hz_loan_home*G1518,0)*BZ1518*in_loan_home_ticket*in_loan_home_comm</f>
        <v/>
      </c>
      <c r="CB1518" s="40">
        <f>CB1517*(1-IF(B1517&gt;=in_marketplace_from,d_hz_loan_lap*G1517,0)*CC1517)</f>
        <v/>
      </c>
      <c r="CC1518" s="11">
        <f>MIN(in_approval_cap,in_loan_lap_approval*INDEX('Age profile'!$O$2:$O$61,B1518)*(1+in_approval_growth)^(D1518-1))</f>
        <v/>
      </c>
      <c r="CD1518" s="14">
        <f>F1518*CB1518*IF(B1518&gt;=in_marketplace_from,d_hz_loan_lap*G1518,0)*CC1518*in_loan_lap_ticket*in_loan_lap_comm</f>
        <v/>
      </c>
      <c r="CE1518" s="14">
        <f>AA1518+AB1518+AC1518+AD1518+AG1518+AJ1518+AM1518+AP1518+AS1518+AU1518+AX1518+BB1518+BE1518+BG1518+BJ1518+BL1518+BO1518+BR1518+BT1518+BV1518+BX1518+CA1518+CD1518</f>
        <v/>
      </c>
    </row>
    <row r="1519">
      <c r="A1519" s="39" t="n">
        <v>36</v>
      </c>
      <c r="B1519" s="39" t="n">
        <v>13</v>
      </c>
      <c r="C1519" s="39">
        <f>A1519+B1519-1</f>
        <v/>
      </c>
      <c r="D1519" s="39">
        <f>INT((C1519-1)/12)+1</f>
        <v/>
      </c>
      <c r="E1519" s="44">
        <f>INDEX(Monthly!$B$2:$B$61,A1519)</f>
        <v/>
      </c>
      <c r="F1519" s="44">
        <f>E1519*INDEX('Age profile'!$B$2:$B$61,B1519)</f>
        <v/>
      </c>
      <c r="G1519" s="45">
        <f>MIN(in_takeup_cap,INDEX('Age profile'!$N$2:$N$61,B1519)*(1+in_takeup_growth)^(D1519-1))</f>
        <v/>
      </c>
      <c r="H1519" s="11">
        <f>MIN(in_approval_cap,in_approved_first*INDEX('Age profile'!$O$2:$O$61,B1519)*(1+in_approval_growth)^(D1519-1))</f>
        <v/>
      </c>
      <c r="I1519" s="45">
        <f>G1519*MIN(in_takeup_cap,INDEX('Age profile'!$O$2:$O$61,B1519)*(1+in_approval_growth)^(D1519-1))</f>
        <v/>
      </c>
      <c r="J1519" s="40">
        <f>(J1518-L1518)*F1519/F1518</f>
        <v/>
      </c>
      <c r="K1519" s="40">
        <f>(K1518-M1518)*F1519/F1518+SUMIFS(O1507:O1518,B1507:B1518,B1519-1-d_T)*F1519</f>
        <v/>
      </c>
      <c r="L1519" s="40">
        <f>IF(B1519&gt;=in_marketplace_from,J1519*d_hz*G1519*in_eligible*H1519,0)</f>
        <v/>
      </c>
      <c r="M1519" s="40">
        <f>IF(B1519&gt;=in_marketplace_from,K1519*d_hz*G1519*in_eligible*in_approved_repeat,0)</f>
        <v/>
      </c>
      <c r="N1519" s="40">
        <f>L1519+M1519</f>
        <v/>
      </c>
      <c r="O1519" s="46">
        <f>N1519/F1519</f>
        <v/>
      </c>
      <c r="P1519" s="40">
        <f>F1519-J1519-K1519</f>
        <v/>
      </c>
      <c r="Q1519" s="40">
        <f>IF(B1519&gt;=in_marketplace_from,(J1519+K1519)*d_hz*G1519,0)</f>
        <v/>
      </c>
      <c r="R1519" s="40">
        <f>SUMIFS(N1507:N1531,B1507:B1531,"&gt;="&amp;(B1519-d_T),B1507:B1531,"&lt;="&amp;(B1519-1))</f>
        <v/>
      </c>
      <c r="S1519" s="46">
        <f>(1-d_u)*S1518+IF(d_T&gt;in_topup_lag,SUMIFS(O1507:O1531,B1507:B1531,B1519-in_topup_lag)-d_udrop*SUMIFS(O1507:O1531,B1507:B1531,B1519-d_T),0)</f>
        <v/>
      </c>
      <c r="T1519" s="40">
        <f>F1519*d_u*S1519</f>
        <v/>
      </c>
      <c r="U1519" s="9">
        <f>L1519*in_ticket+M1519*d_rep_ticket</f>
        <v/>
      </c>
      <c r="V1519" s="9">
        <f>U1519+T1519*d_topup_amt</f>
        <v/>
      </c>
      <c r="W1519" s="40">
        <f>N1519+T1519*d_topup_ratio</f>
        <v/>
      </c>
      <c r="X1519" s="40">
        <f>SUMIFS(W1507:W1531,B1507:B1531,B1519-in_dpd_lag)*d_cured</f>
        <v/>
      </c>
      <c r="Y1519" s="40">
        <f>SUMIFS(W1507:W1531,B1507:B1531,B1519-in_rec_lag)*d_recd</f>
        <v/>
      </c>
      <c r="Z1519" s="40">
        <f>IF(AND(B1519&gt;=in_marketplace_from,B1519&lt;in_marketplace_from+in_card_months),in_card_share/in_card_months*F1519*I1519,IF(AND(B1519&gt;=in_marketplace_from+in_card_months,B1519&lt;in_marketplace_from+2*in_card_months),in_card_share*d_card_rem/in_card_months*F1519*MIN(in_takeup_cap,(1+in_takeup_growth)^(D1519-1))*MIN(in_takeup_cap,(1+in_approval_growth)^(D1519-1)),0))</f>
        <v/>
      </c>
      <c r="AA1519" s="14">
        <f>V1519*in_fee*(1-in_taken_back)</f>
        <v/>
      </c>
      <c r="AB1519" s="14">
        <f>SUMIFS(W1507:W1531,B1507:B1531,B1519-in_dpd_lag)*d_dpd</f>
        <v/>
      </c>
      <c r="AC1519" s="14">
        <f>SUMIFS(W1507:W1531,B1507:B1531,B1519-in_rec_lag)*d_rec</f>
        <v/>
      </c>
      <c r="AD1519" s="14">
        <f>Z1519*in_card_fee</f>
        <v/>
      </c>
      <c r="AE1519" s="40">
        <f>AE1518*(1-IF(B1518&gt;=in_marketplace_from,d_hz_hlth_small*G1518,0))</f>
        <v/>
      </c>
      <c r="AF1519" s="46">
        <f>AE1519*IF(B1519&gt;=in_marketplace_from,d_hz_hlth_small*G1519,0)</f>
        <v/>
      </c>
      <c r="AG1519" s="14">
        <f>F1519*AF1519*in_hlth_small_ticket*in_hlth_small_comm*in_ins_partner_share+F1519*in_hlth_small_ticket*in_hlth_small_renew_comm*in_ins_partner_share*(in_hlth_small_renew^1*SUMIFS(AF1507:AF1531,B1507:B1531,B1519-12)+in_hlth_small_renew^2*SUMIFS(AF1507:AF1531,B1507:B1531,B1519-24)+in_hlth_small_renew^3*SUMIFS(AF1507:AF1531,B1507:B1531,B1519-36)+in_hlth_small_renew^4*SUMIFS(AF1507:AF1531,B1507:B1531,B1519-48))</f>
        <v/>
      </c>
      <c r="AH1519" s="40">
        <f>AH1518*(1-IF(B1518&gt;=in_marketplace_from,d_hz_hlth_family*G1518,0))</f>
        <v/>
      </c>
      <c r="AI1519" s="46">
        <f>AH1519*IF(B1519&gt;=in_marketplace_from,d_hz_hlth_family*G1519,0)</f>
        <v/>
      </c>
      <c r="AJ1519" s="14">
        <f>F1519*AI1519*in_hlth_family_ticket*in_hlth_family_comm*in_ins_partner_share+F1519*in_hlth_family_ticket*in_hlth_family_renew_comm*in_ins_partner_share*(in_hlth_family_renew^1*SUMIFS(AI1507:AI1531,B1507:B1531,B1519-12)+in_hlth_family_renew^2*SUMIFS(AI1507:AI1531,B1507:B1531,B1519-24)+in_hlth_family_renew^3*SUMIFS(AI1507:AI1531,B1507:B1531,B1519-36)+in_hlth_family_renew^4*SUMIFS(AI1507:AI1531,B1507:B1531,B1519-48))</f>
        <v/>
      </c>
      <c r="AK1519" s="40">
        <f>AK1518*(1-IF(B1518&gt;=in_marketplace_from,d_hz_life_term*G1518,0))</f>
        <v/>
      </c>
      <c r="AL1519" s="46">
        <f>AK1519*IF(B1519&gt;=in_marketplace_from,d_hz_life_term*G1519,0)</f>
        <v/>
      </c>
      <c r="AM1519" s="14">
        <f>F1519*AL1519*in_life_term_ticket*in_life_term_comm*in_ins_partner_share+F1519*in_life_term_ticket*in_life_term_renew_comm*in_ins_partner_share*(in_life_term_renew^1*SUMIFS(AL1507:AL1531,B1507:B1531,B1519-12)+in_life_term_renew^2*SUMIFS(AL1507:AL1531,B1507:B1531,B1519-24)+in_life_term_renew^3*SUMIFS(AL1507:AL1531,B1507:B1531,B1519-36)+in_life_term_renew^4*SUMIFS(AL1507:AL1531,B1507:B1531,B1519-48))</f>
        <v/>
      </c>
      <c r="AN1519" s="40">
        <f>AN1518*(1-IF(B1518&gt;=in_marketplace_from,d_hz_accident*G1518,0))</f>
        <v/>
      </c>
      <c r="AO1519" s="46">
        <f>AN1519*IF(B1519&gt;=in_marketplace_from,d_hz_accident*G1519,0)</f>
        <v/>
      </c>
      <c r="AP1519" s="14">
        <f>F1519*AO1519*in_accident_ticket*in_accident_comm*in_ins_partner_share+F1519*in_accident_ticket*in_accident_renew_comm*in_ins_partner_share*(in_accident_renew^1*SUMIFS(AO1507:AO1531,B1507:B1531,B1519-12)+in_accident_renew^2*SUMIFS(AO1507:AO1531,B1507:B1531,B1519-24)+in_accident_renew^3*SUMIFS(AO1507:AO1531,B1507:B1531,B1519-36)+in_accident_renew^4*SUMIFS(AO1507:AO1531,B1507:B1531,B1519-48))</f>
        <v/>
      </c>
      <c r="AQ1519" s="40">
        <f>AQ1518*(1-IF(B1518&gt;=in_marketplace_from,d_hz_two_wheeler*G1518,0))</f>
        <v/>
      </c>
      <c r="AR1519" s="46">
        <f>AQ1519*IF(B1519&gt;=in_marketplace_from,d_hz_two_wheeler*G1519,0)</f>
        <v/>
      </c>
      <c r="AS1519" s="14">
        <f>F1519*AR1519*in_two_wheeler_ticket*in_two_wheeler_comm*in_ins_partner_share+F1519*in_two_wheeler_ticket*in_two_wheeler_comm*in_ins_partner_share*(in_two_wheeler_renew^1*SUMIFS(AR1507:AR1531,B1507:B1531,B1519-12)+in_two_wheeler_renew^2*SUMIFS(AR1507:AR1531,B1507:B1531,B1519-24)+in_two_wheeler_renew^3*SUMIFS(AR1507:AR1531,B1507:B1531,B1519-36)+in_two_wheeler_renew^4*SUMIFS(AR1507:AR1531,B1507:B1531,B1519-48))</f>
        <v/>
      </c>
      <c r="AT1519" s="40">
        <f>AT1518*(1-IF(B1518&gt;=in_marketplace_from,d_hz_device*G1518,0))</f>
        <v/>
      </c>
      <c r="AU1519" s="14">
        <f>F1519*AT1519*IF(B1519&gt;=in_marketplace_from,d_hz_device*G1519,0)*in_device_ticket*in_device_comm*in_ins_partner_share</f>
        <v/>
      </c>
      <c r="AV1519" s="40">
        <f>AV1518*(1-IF(B1518&gt;=in_marketplace_from,d_hz_shop*G1518,0))</f>
        <v/>
      </c>
      <c r="AW1519" s="46">
        <f>AV1519*IF(B1519&gt;=in_marketplace_from,d_hz_shop*G1519,0)</f>
        <v/>
      </c>
      <c r="AX1519" s="14">
        <f>F1519*AW1519*in_shop_ticket*in_shop_comm*in_ins_partner_share+F1519*in_shop_ticket*in_shop_renew_comm*in_ins_partner_share*(in_shop_renew^1*SUMIFS(AW1507:AW1531,B1507:B1531,B1519-12)+in_shop_renew^2*SUMIFS(AW1507:AW1531,B1507:B1531,B1519-24)+in_shop_renew^3*SUMIFS(AW1507:AW1531,B1507:B1531,B1519-36)+in_shop_renew^4*SUMIFS(AW1507:AW1531,B1507:B1531,B1519-48))</f>
        <v/>
      </c>
      <c r="AY1519" s="40">
        <f>AY1518*(1-IF(B1518&gt;=in_marketplace_from,d_hz_sip*G1518,0))</f>
        <v/>
      </c>
      <c r="AZ1519" s="40">
        <f>AZ1518*d_rho_sip+AY1519*IF(B1519&gt;=in_marketplace_from,d_hz_sip*G1519,0)</f>
        <v/>
      </c>
      <c r="BA1519" s="40">
        <f>d_rho_sip*(BA1518+AZ1518)</f>
        <v/>
      </c>
      <c r="BB1519" s="14">
        <f>F1519*in_sip_ticket*(BA1519+0.5*AZ1519)*in_sip_comm/12</f>
        <v/>
      </c>
      <c r="BC1519" s="40">
        <f>BC1518*(1-IF(B1518&gt;=in_marketplace_from,d_hz_choti*G1518,0))</f>
        <v/>
      </c>
      <c r="BD1519" s="46">
        <f>BC1519*IF(B1519&gt;=in_marketplace_from,d_hz_choti*G1519,0)</f>
        <v/>
      </c>
      <c r="BE1519" s="14">
        <f>F1519*SUMIFS(BD1507:BD1531,B1507:B1531,B1519-in_choti_months)*in_choti_renew*in_choti_ticket</f>
        <v/>
      </c>
      <c r="BF1519" s="40">
        <f>BF1518*(1-IF(B1518&gt;=in_marketplace_from,d_hz_nps*G1518,0))</f>
        <v/>
      </c>
      <c r="BG1519" s="14">
        <f>F1519*BF1519*IF(B1519&gt;=in_marketplace_from,d_hz_nps*G1519,0)*in_nps_ticket*in_nps_comm</f>
        <v/>
      </c>
      <c r="BH1519" s="40">
        <f>BH1518*(1-IF(B1518&gt;=in_marketplace_from,d_hz_gold*G1518,0))</f>
        <v/>
      </c>
      <c r="BI1519" s="40">
        <f>BI1518*d_rho_gold+BH1519*IF(B1519&gt;=in_marketplace_from,d_hz_gold*G1519,0)</f>
        <v/>
      </c>
      <c r="BJ1519" s="14">
        <f>F1519*BI1519*in_gold_ticket*in_gold_comm</f>
        <v/>
      </c>
      <c r="BK1519" s="40">
        <f>BK1518*(1-IF(B1518&gt;=in_marketplace_from,d_hz_fd*G1518,0))</f>
        <v/>
      </c>
      <c r="BL1519" s="14">
        <f>F1519*BK1519*IF(B1519&gt;=in_marketplace_from,d_hz_fd*G1519,0)*in_fd_ticket*in_fd_comm</f>
        <v/>
      </c>
      <c r="BM1519" s="40">
        <f>BM1518*(1-IF(B1518&gt;=in_marketplace_from,d_hz_recharge*G1518,0))</f>
        <v/>
      </c>
      <c r="BN1519" s="40">
        <f>BN1518*d_rho_recharge+BM1519*IF(B1519&gt;=in_marketplace_from,d_hz_recharge*G1519,0)</f>
        <v/>
      </c>
      <c r="BO1519" s="14">
        <f>F1519*BN1519*in_recharge_ticket*in_recharge_comm/12</f>
        <v/>
      </c>
      <c r="BP1519" s="40">
        <f>BP1518*(1-IF(B1518&gt;=in_marketplace_from,d_hz_bills*G1518,0))</f>
        <v/>
      </c>
      <c r="BQ1519" s="40">
        <f>BQ1518*d_rho_bills+BP1519*IF(B1519&gt;=in_marketplace_from,d_hz_bills*G1519,0)</f>
        <v/>
      </c>
      <c r="BR1519" s="14">
        <f>F1519*BQ1519*in_bills_ticket*in_bills_comm/12</f>
        <v/>
      </c>
      <c r="BS1519" s="40">
        <f>BS1518*(1-IF(B1518&gt;=in_marketplace_from,d_hz_loan_gold*G1518,0))</f>
        <v/>
      </c>
      <c r="BT1519" s="14">
        <f>F1519*BS1519*IF(B1519&gt;=in_marketplace_from,d_hz_loan_gold*G1519,0)*in_loan_gold_ticket*in_loan_gold_comm</f>
        <v/>
      </c>
      <c r="BU1519" s="40">
        <f>BU1518*(1-IF(B1518&gt;=in_marketplace_from,d_hz_loan_cd*G1518,0))</f>
        <v/>
      </c>
      <c r="BV1519" s="14">
        <f>F1519*BU1519*IF(B1519&gt;=in_marketplace_from,d_hz_loan_cd*G1519,0)*in_loan_cd_ticket*in_loan_cd_comm</f>
        <v/>
      </c>
      <c r="BW1519" s="40">
        <f>BW1518*(1-IF(B1518&gt;=in_marketplace_from,d_hz_loan_vehicle*G1518,0))</f>
        <v/>
      </c>
      <c r="BX1519" s="14">
        <f>F1519*BW1519*IF(B1519&gt;=in_marketplace_from,d_hz_loan_vehicle*G1519,0)*in_loan_vehicle_ticket*in_loan_vehicle_comm</f>
        <v/>
      </c>
      <c r="BY1519" s="40">
        <f>BY1518*(1-IF(B1518&gt;=in_marketplace_from,d_hz_loan_home*G1518,0)*BZ1518)</f>
        <v/>
      </c>
      <c r="BZ1519" s="11">
        <f>MIN(in_approval_cap,in_loan_home_approval*INDEX('Age profile'!$O$2:$O$61,B1519)*(1+in_approval_growth)^(D1519-1))</f>
        <v/>
      </c>
      <c r="CA1519" s="14">
        <f>F1519*BY1519*IF(B1519&gt;=in_marketplace_from,d_hz_loan_home*G1519,0)*BZ1519*in_loan_home_ticket*in_loan_home_comm</f>
        <v/>
      </c>
      <c r="CB1519" s="40">
        <f>CB1518*(1-IF(B1518&gt;=in_marketplace_from,d_hz_loan_lap*G1518,0)*CC1518)</f>
        <v/>
      </c>
      <c r="CC1519" s="11">
        <f>MIN(in_approval_cap,in_loan_lap_approval*INDEX('Age profile'!$O$2:$O$61,B1519)*(1+in_approval_growth)^(D1519-1))</f>
        <v/>
      </c>
      <c r="CD1519" s="14">
        <f>F1519*CB1519*IF(B1519&gt;=in_marketplace_from,d_hz_loan_lap*G1519,0)*CC1519*in_loan_lap_ticket*in_loan_lap_comm</f>
        <v/>
      </c>
      <c r="CE1519" s="14">
        <f>AA1519+AB1519+AC1519+AD1519+AG1519+AJ1519+AM1519+AP1519+AS1519+AU1519+AX1519+BB1519+BE1519+BG1519+BJ1519+BL1519+BO1519+BR1519+BT1519+BV1519+BX1519+CA1519+CD1519</f>
        <v/>
      </c>
    </row>
    <row r="1520">
      <c r="A1520" s="39" t="n">
        <v>36</v>
      </c>
      <c r="B1520" s="39" t="n">
        <v>14</v>
      </c>
      <c r="C1520" s="39">
        <f>A1520+B1520-1</f>
        <v/>
      </c>
      <c r="D1520" s="39">
        <f>INT((C1520-1)/12)+1</f>
        <v/>
      </c>
      <c r="E1520" s="44">
        <f>INDEX(Monthly!$B$2:$B$61,A1520)</f>
        <v/>
      </c>
      <c r="F1520" s="44">
        <f>E1520*INDEX('Age profile'!$B$2:$B$61,B1520)</f>
        <v/>
      </c>
      <c r="G1520" s="45">
        <f>MIN(in_takeup_cap,INDEX('Age profile'!$N$2:$N$61,B1520)*(1+in_takeup_growth)^(D1520-1))</f>
        <v/>
      </c>
      <c r="H1520" s="11">
        <f>MIN(in_approval_cap,in_approved_first*INDEX('Age profile'!$O$2:$O$61,B1520)*(1+in_approval_growth)^(D1520-1))</f>
        <v/>
      </c>
      <c r="I1520" s="45">
        <f>G1520*MIN(in_takeup_cap,INDEX('Age profile'!$O$2:$O$61,B1520)*(1+in_approval_growth)^(D1520-1))</f>
        <v/>
      </c>
      <c r="J1520" s="40">
        <f>(J1519-L1519)*F1520/F1519</f>
        <v/>
      </c>
      <c r="K1520" s="40">
        <f>(K1519-M1519)*F1520/F1519+SUMIFS(O1507:O1519,B1507:B1519,B1520-1-d_T)*F1520</f>
        <v/>
      </c>
      <c r="L1520" s="40">
        <f>IF(B1520&gt;=in_marketplace_from,J1520*d_hz*G1520*in_eligible*H1520,0)</f>
        <v/>
      </c>
      <c r="M1520" s="40">
        <f>IF(B1520&gt;=in_marketplace_from,K1520*d_hz*G1520*in_eligible*in_approved_repeat,0)</f>
        <v/>
      </c>
      <c r="N1520" s="40">
        <f>L1520+M1520</f>
        <v/>
      </c>
      <c r="O1520" s="46">
        <f>N1520/F1520</f>
        <v/>
      </c>
      <c r="P1520" s="40">
        <f>F1520-J1520-K1520</f>
        <v/>
      </c>
      <c r="Q1520" s="40">
        <f>IF(B1520&gt;=in_marketplace_from,(J1520+K1520)*d_hz*G1520,0)</f>
        <v/>
      </c>
      <c r="R1520" s="40">
        <f>SUMIFS(N1507:N1531,B1507:B1531,"&gt;="&amp;(B1520-d_T),B1507:B1531,"&lt;="&amp;(B1520-1))</f>
        <v/>
      </c>
      <c r="S1520" s="46">
        <f>(1-d_u)*S1519+IF(d_T&gt;in_topup_lag,SUMIFS(O1507:O1531,B1507:B1531,B1520-in_topup_lag)-d_udrop*SUMIFS(O1507:O1531,B1507:B1531,B1520-d_T),0)</f>
        <v/>
      </c>
      <c r="T1520" s="40">
        <f>F1520*d_u*S1520</f>
        <v/>
      </c>
      <c r="U1520" s="9">
        <f>L1520*in_ticket+M1520*d_rep_ticket</f>
        <v/>
      </c>
      <c r="V1520" s="9">
        <f>U1520+T1520*d_topup_amt</f>
        <v/>
      </c>
      <c r="W1520" s="40">
        <f>N1520+T1520*d_topup_ratio</f>
        <v/>
      </c>
      <c r="X1520" s="40">
        <f>SUMIFS(W1507:W1531,B1507:B1531,B1520-in_dpd_lag)*d_cured</f>
        <v/>
      </c>
      <c r="Y1520" s="40">
        <f>SUMIFS(W1507:W1531,B1507:B1531,B1520-in_rec_lag)*d_recd</f>
        <v/>
      </c>
      <c r="Z1520" s="40">
        <f>IF(AND(B1520&gt;=in_marketplace_from,B1520&lt;in_marketplace_from+in_card_months),in_card_share/in_card_months*F1520*I1520,IF(AND(B1520&gt;=in_marketplace_from+in_card_months,B1520&lt;in_marketplace_from+2*in_card_months),in_card_share*d_card_rem/in_card_months*F1520*MIN(in_takeup_cap,(1+in_takeup_growth)^(D1520-1))*MIN(in_takeup_cap,(1+in_approval_growth)^(D1520-1)),0))</f>
        <v/>
      </c>
      <c r="AA1520" s="14">
        <f>V1520*in_fee*(1-in_taken_back)</f>
        <v/>
      </c>
      <c r="AB1520" s="14">
        <f>SUMIFS(W1507:W1531,B1507:B1531,B1520-in_dpd_lag)*d_dpd</f>
        <v/>
      </c>
      <c r="AC1520" s="14">
        <f>SUMIFS(W1507:W1531,B1507:B1531,B1520-in_rec_lag)*d_rec</f>
        <v/>
      </c>
      <c r="AD1520" s="14">
        <f>Z1520*in_card_fee</f>
        <v/>
      </c>
      <c r="AE1520" s="40">
        <f>AE1519*(1-IF(B1519&gt;=in_marketplace_from,d_hz_hlth_small*G1519,0))</f>
        <v/>
      </c>
      <c r="AF1520" s="46">
        <f>AE1520*IF(B1520&gt;=in_marketplace_from,d_hz_hlth_small*G1520,0)</f>
        <v/>
      </c>
      <c r="AG1520" s="14">
        <f>F1520*AF1520*in_hlth_small_ticket*in_hlth_small_comm*in_ins_partner_share+F1520*in_hlth_small_ticket*in_hlth_small_renew_comm*in_ins_partner_share*(in_hlth_small_renew^1*SUMIFS(AF1507:AF1531,B1507:B1531,B1520-12)+in_hlth_small_renew^2*SUMIFS(AF1507:AF1531,B1507:B1531,B1520-24)+in_hlth_small_renew^3*SUMIFS(AF1507:AF1531,B1507:B1531,B1520-36)+in_hlth_small_renew^4*SUMIFS(AF1507:AF1531,B1507:B1531,B1520-48))</f>
        <v/>
      </c>
      <c r="AH1520" s="40">
        <f>AH1519*(1-IF(B1519&gt;=in_marketplace_from,d_hz_hlth_family*G1519,0))</f>
        <v/>
      </c>
      <c r="AI1520" s="46">
        <f>AH1520*IF(B1520&gt;=in_marketplace_from,d_hz_hlth_family*G1520,0)</f>
        <v/>
      </c>
      <c r="AJ1520" s="14">
        <f>F1520*AI1520*in_hlth_family_ticket*in_hlth_family_comm*in_ins_partner_share+F1520*in_hlth_family_ticket*in_hlth_family_renew_comm*in_ins_partner_share*(in_hlth_family_renew^1*SUMIFS(AI1507:AI1531,B1507:B1531,B1520-12)+in_hlth_family_renew^2*SUMIFS(AI1507:AI1531,B1507:B1531,B1520-24)+in_hlth_family_renew^3*SUMIFS(AI1507:AI1531,B1507:B1531,B1520-36)+in_hlth_family_renew^4*SUMIFS(AI1507:AI1531,B1507:B1531,B1520-48))</f>
        <v/>
      </c>
      <c r="AK1520" s="40">
        <f>AK1519*(1-IF(B1519&gt;=in_marketplace_from,d_hz_life_term*G1519,0))</f>
        <v/>
      </c>
      <c r="AL1520" s="46">
        <f>AK1520*IF(B1520&gt;=in_marketplace_from,d_hz_life_term*G1520,0)</f>
        <v/>
      </c>
      <c r="AM1520" s="14">
        <f>F1520*AL1520*in_life_term_ticket*in_life_term_comm*in_ins_partner_share+F1520*in_life_term_ticket*in_life_term_renew_comm*in_ins_partner_share*(in_life_term_renew^1*SUMIFS(AL1507:AL1531,B1507:B1531,B1520-12)+in_life_term_renew^2*SUMIFS(AL1507:AL1531,B1507:B1531,B1520-24)+in_life_term_renew^3*SUMIFS(AL1507:AL1531,B1507:B1531,B1520-36)+in_life_term_renew^4*SUMIFS(AL1507:AL1531,B1507:B1531,B1520-48))</f>
        <v/>
      </c>
      <c r="AN1520" s="40">
        <f>AN1519*(1-IF(B1519&gt;=in_marketplace_from,d_hz_accident*G1519,0))</f>
        <v/>
      </c>
      <c r="AO1520" s="46">
        <f>AN1520*IF(B1520&gt;=in_marketplace_from,d_hz_accident*G1520,0)</f>
        <v/>
      </c>
      <c r="AP1520" s="14">
        <f>F1520*AO1520*in_accident_ticket*in_accident_comm*in_ins_partner_share+F1520*in_accident_ticket*in_accident_renew_comm*in_ins_partner_share*(in_accident_renew^1*SUMIFS(AO1507:AO1531,B1507:B1531,B1520-12)+in_accident_renew^2*SUMIFS(AO1507:AO1531,B1507:B1531,B1520-24)+in_accident_renew^3*SUMIFS(AO1507:AO1531,B1507:B1531,B1520-36)+in_accident_renew^4*SUMIFS(AO1507:AO1531,B1507:B1531,B1520-48))</f>
        <v/>
      </c>
      <c r="AQ1520" s="40">
        <f>AQ1519*(1-IF(B1519&gt;=in_marketplace_from,d_hz_two_wheeler*G1519,0))</f>
        <v/>
      </c>
      <c r="AR1520" s="46">
        <f>AQ1520*IF(B1520&gt;=in_marketplace_from,d_hz_two_wheeler*G1520,0)</f>
        <v/>
      </c>
      <c r="AS1520" s="14">
        <f>F1520*AR1520*in_two_wheeler_ticket*in_two_wheeler_comm*in_ins_partner_share+F1520*in_two_wheeler_ticket*in_two_wheeler_comm*in_ins_partner_share*(in_two_wheeler_renew^1*SUMIFS(AR1507:AR1531,B1507:B1531,B1520-12)+in_two_wheeler_renew^2*SUMIFS(AR1507:AR1531,B1507:B1531,B1520-24)+in_two_wheeler_renew^3*SUMIFS(AR1507:AR1531,B1507:B1531,B1520-36)+in_two_wheeler_renew^4*SUMIFS(AR1507:AR1531,B1507:B1531,B1520-48))</f>
        <v/>
      </c>
      <c r="AT1520" s="40">
        <f>AT1519*(1-IF(B1519&gt;=in_marketplace_from,d_hz_device*G1519,0))</f>
        <v/>
      </c>
      <c r="AU1520" s="14">
        <f>F1520*AT1520*IF(B1520&gt;=in_marketplace_from,d_hz_device*G1520,0)*in_device_ticket*in_device_comm*in_ins_partner_share</f>
        <v/>
      </c>
      <c r="AV1520" s="40">
        <f>AV1519*(1-IF(B1519&gt;=in_marketplace_from,d_hz_shop*G1519,0))</f>
        <v/>
      </c>
      <c r="AW1520" s="46">
        <f>AV1520*IF(B1520&gt;=in_marketplace_from,d_hz_shop*G1520,0)</f>
        <v/>
      </c>
      <c r="AX1520" s="14">
        <f>F1520*AW1520*in_shop_ticket*in_shop_comm*in_ins_partner_share+F1520*in_shop_ticket*in_shop_renew_comm*in_ins_partner_share*(in_shop_renew^1*SUMIFS(AW1507:AW1531,B1507:B1531,B1520-12)+in_shop_renew^2*SUMIFS(AW1507:AW1531,B1507:B1531,B1520-24)+in_shop_renew^3*SUMIFS(AW1507:AW1531,B1507:B1531,B1520-36)+in_shop_renew^4*SUMIFS(AW1507:AW1531,B1507:B1531,B1520-48))</f>
        <v/>
      </c>
      <c r="AY1520" s="40">
        <f>AY1519*(1-IF(B1519&gt;=in_marketplace_from,d_hz_sip*G1519,0))</f>
        <v/>
      </c>
      <c r="AZ1520" s="40">
        <f>AZ1519*d_rho_sip+AY1520*IF(B1520&gt;=in_marketplace_from,d_hz_sip*G1520,0)</f>
        <v/>
      </c>
      <c r="BA1520" s="40">
        <f>d_rho_sip*(BA1519+AZ1519)</f>
        <v/>
      </c>
      <c r="BB1520" s="14">
        <f>F1520*in_sip_ticket*(BA1520+0.5*AZ1520)*in_sip_comm/12</f>
        <v/>
      </c>
      <c r="BC1520" s="40">
        <f>BC1519*(1-IF(B1519&gt;=in_marketplace_from,d_hz_choti*G1519,0))</f>
        <v/>
      </c>
      <c r="BD1520" s="46">
        <f>BC1520*IF(B1520&gt;=in_marketplace_from,d_hz_choti*G1520,0)</f>
        <v/>
      </c>
      <c r="BE1520" s="14">
        <f>F1520*SUMIFS(BD1507:BD1531,B1507:B1531,B1520-in_choti_months)*in_choti_renew*in_choti_ticket</f>
        <v/>
      </c>
      <c r="BF1520" s="40">
        <f>BF1519*(1-IF(B1519&gt;=in_marketplace_from,d_hz_nps*G1519,0))</f>
        <v/>
      </c>
      <c r="BG1520" s="14">
        <f>F1520*BF1520*IF(B1520&gt;=in_marketplace_from,d_hz_nps*G1520,0)*in_nps_ticket*in_nps_comm</f>
        <v/>
      </c>
      <c r="BH1520" s="40">
        <f>BH1519*(1-IF(B1519&gt;=in_marketplace_from,d_hz_gold*G1519,0))</f>
        <v/>
      </c>
      <c r="BI1520" s="40">
        <f>BI1519*d_rho_gold+BH1520*IF(B1520&gt;=in_marketplace_from,d_hz_gold*G1520,0)</f>
        <v/>
      </c>
      <c r="BJ1520" s="14">
        <f>F1520*BI1520*in_gold_ticket*in_gold_comm</f>
        <v/>
      </c>
      <c r="BK1520" s="40">
        <f>BK1519*(1-IF(B1519&gt;=in_marketplace_from,d_hz_fd*G1519,0))</f>
        <v/>
      </c>
      <c r="BL1520" s="14">
        <f>F1520*BK1520*IF(B1520&gt;=in_marketplace_from,d_hz_fd*G1520,0)*in_fd_ticket*in_fd_comm</f>
        <v/>
      </c>
      <c r="BM1520" s="40">
        <f>BM1519*(1-IF(B1519&gt;=in_marketplace_from,d_hz_recharge*G1519,0))</f>
        <v/>
      </c>
      <c r="BN1520" s="40">
        <f>BN1519*d_rho_recharge+BM1520*IF(B1520&gt;=in_marketplace_from,d_hz_recharge*G1520,0)</f>
        <v/>
      </c>
      <c r="BO1520" s="14">
        <f>F1520*BN1520*in_recharge_ticket*in_recharge_comm/12</f>
        <v/>
      </c>
      <c r="BP1520" s="40">
        <f>BP1519*(1-IF(B1519&gt;=in_marketplace_from,d_hz_bills*G1519,0))</f>
        <v/>
      </c>
      <c r="BQ1520" s="40">
        <f>BQ1519*d_rho_bills+BP1520*IF(B1520&gt;=in_marketplace_from,d_hz_bills*G1520,0)</f>
        <v/>
      </c>
      <c r="BR1520" s="14">
        <f>F1520*BQ1520*in_bills_ticket*in_bills_comm/12</f>
        <v/>
      </c>
      <c r="BS1520" s="40">
        <f>BS1519*(1-IF(B1519&gt;=in_marketplace_from,d_hz_loan_gold*G1519,0))</f>
        <v/>
      </c>
      <c r="BT1520" s="14">
        <f>F1520*BS1520*IF(B1520&gt;=in_marketplace_from,d_hz_loan_gold*G1520,0)*in_loan_gold_ticket*in_loan_gold_comm</f>
        <v/>
      </c>
      <c r="BU1520" s="40">
        <f>BU1519*(1-IF(B1519&gt;=in_marketplace_from,d_hz_loan_cd*G1519,0))</f>
        <v/>
      </c>
      <c r="BV1520" s="14">
        <f>F1520*BU1520*IF(B1520&gt;=in_marketplace_from,d_hz_loan_cd*G1520,0)*in_loan_cd_ticket*in_loan_cd_comm</f>
        <v/>
      </c>
      <c r="BW1520" s="40">
        <f>BW1519*(1-IF(B1519&gt;=in_marketplace_from,d_hz_loan_vehicle*G1519,0))</f>
        <v/>
      </c>
      <c r="BX1520" s="14">
        <f>F1520*BW1520*IF(B1520&gt;=in_marketplace_from,d_hz_loan_vehicle*G1520,0)*in_loan_vehicle_ticket*in_loan_vehicle_comm</f>
        <v/>
      </c>
      <c r="BY1520" s="40">
        <f>BY1519*(1-IF(B1519&gt;=in_marketplace_from,d_hz_loan_home*G1519,0)*BZ1519)</f>
        <v/>
      </c>
      <c r="BZ1520" s="11">
        <f>MIN(in_approval_cap,in_loan_home_approval*INDEX('Age profile'!$O$2:$O$61,B1520)*(1+in_approval_growth)^(D1520-1))</f>
        <v/>
      </c>
      <c r="CA1520" s="14">
        <f>F1520*BY1520*IF(B1520&gt;=in_marketplace_from,d_hz_loan_home*G1520,0)*BZ1520*in_loan_home_ticket*in_loan_home_comm</f>
        <v/>
      </c>
      <c r="CB1520" s="40">
        <f>CB1519*(1-IF(B1519&gt;=in_marketplace_from,d_hz_loan_lap*G1519,0)*CC1519)</f>
        <v/>
      </c>
      <c r="CC1520" s="11">
        <f>MIN(in_approval_cap,in_loan_lap_approval*INDEX('Age profile'!$O$2:$O$61,B1520)*(1+in_approval_growth)^(D1520-1))</f>
        <v/>
      </c>
      <c r="CD1520" s="14">
        <f>F1520*CB1520*IF(B1520&gt;=in_marketplace_from,d_hz_loan_lap*G1520,0)*CC1520*in_loan_lap_ticket*in_loan_lap_comm</f>
        <v/>
      </c>
      <c r="CE1520" s="14">
        <f>AA1520+AB1520+AC1520+AD1520+AG1520+AJ1520+AM1520+AP1520+AS1520+AU1520+AX1520+BB1520+BE1520+BG1520+BJ1520+BL1520+BO1520+BR1520+BT1520+BV1520+BX1520+CA1520+CD1520</f>
        <v/>
      </c>
    </row>
    <row r="1521">
      <c r="A1521" s="39" t="n">
        <v>36</v>
      </c>
      <c r="B1521" s="39" t="n">
        <v>15</v>
      </c>
      <c r="C1521" s="39">
        <f>A1521+B1521-1</f>
        <v/>
      </c>
      <c r="D1521" s="39">
        <f>INT((C1521-1)/12)+1</f>
        <v/>
      </c>
      <c r="E1521" s="44">
        <f>INDEX(Monthly!$B$2:$B$61,A1521)</f>
        <v/>
      </c>
      <c r="F1521" s="44">
        <f>E1521*INDEX('Age profile'!$B$2:$B$61,B1521)</f>
        <v/>
      </c>
      <c r="G1521" s="45">
        <f>MIN(in_takeup_cap,INDEX('Age profile'!$N$2:$N$61,B1521)*(1+in_takeup_growth)^(D1521-1))</f>
        <v/>
      </c>
      <c r="H1521" s="11">
        <f>MIN(in_approval_cap,in_approved_first*INDEX('Age profile'!$O$2:$O$61,B1521)*(1+in_approval_growth)^(D1521-1))</f>
        <v/>
      </c>
      <c r="I1521" s="45">
        <f>G1521*MIN(in_takeup_cap,INDEX('Age profile'!$O$2:$O$61,B1521)*(1+in_approval_growth)^(D1521-1))</f>
        <v/>
      </c>
      <c r="J1521" s="40">
        <f>(J1520-L1520)*F1521/F1520</f>
        <v/>
      </c>
      <c r="K1521" s="40">
        <f>(K1520-M1520)*F1521/F1520+SUMIFS(O1507:O1520,B1507:B1520,B1521-1-d_T)*F1521</f>
        <v/>
      </c>
      <c r="L1521" s="40">
        <f>IF(B1521&gt;=in_marketplace_from,J1521*d_hz*G1521*in_eligible*H1521,0)</f>
        <v/>
      </c>
      <c r="M1521" s="40">
        <f>IF(B1521&gt;=in_marketplace_from,K1521*d_hz*G1521*in_eligible*in_approved_repeat,0)</f>
        <v/>
      </c>
      <c r="N1521" s="40">
        <f>L1521+M1521</f>
        <v/>
      </c>
      <c r="O1521" s="46">
        <f>N1521/F1521</f>
        <v/>
      </c>
      <c r="P1521" s="40">
        <f>F1521-J1521-K1521</f>
        <v/>
      </c>
      <c r="Q1521" s="40">
        <f>IF(B1521&gt;=in_marketplace_from,(J1521+K1521)*d_hz*G1521,0)</f>
        <v/>
      </c>
      <c r="R1521" s="40">
        <f>SUMIFS(N1507:N1531,B1507:B1531,"&gt;="&amp;(B1521-d_T),B1507:B1531,"&lt;="&amp;(B1521-1))</f>
        <v/>
      </c>
      <c r="S1521" s="46">
        <f>(1-d_u)*S1520+IF(d_T&gt;in_topup_lag,SUMIFS(O1507:O1531,B1507:B1531,B1521-in_topup_lag)-d_udrop*SUMIFS(O1507:O1531,B1507:B1531,B1521-d_T),0)</f>
        <v/>
      </c>
      <c r="T1521" s="40">
        <f>F1521*d_u*S1521</f>
        <v/>
      </c>
      <c r="U1521" s="9">
        <f>L1521*in_ticket+M1521*d_rep_ticket</f>
        <v/>
      </c>
      <c r="V1521" s="9">
        <f>U1521+T1521*d_topup_amt</f>
        <v/>
      </c>
      <c r="W1521" s="40">
        <f>N1521+T1521*d_topup_ratio</f>
        <v/>
      </c>
      <c r="X1521" s="40">
        <f>SUMIFS(W1507:W1531,B1507:B1531,B1521-in_dpd_lag)*d_cured</f>
        <v/>
      </c>
      <c r="Y1521" s="40">
        <f>SUMIFS(W1507:W1531,B1507:B1531,B1521-in_rec_lag)*d_recd</f>
        <v/>
      </c>
      <c r="Z1521" s="40">
        <f>IF(AND(B1521&gt;=in_marketplace_from,B1521&lt;in_marketplace_from+in_card_months),in_card_share/in_card_months*F1521*I1521,IF(AND(B1521&gt;=in_marketplace_from+in_card_months,B1521&lt;in_marketplace_from+2*in_card_months),in_card_share*d_card_rem/in_card_months*F1521*MIN(in_takeup_cap,(1+in_takeup_growth)^(D1521-1))*MIN(in_takeup_cap,(1+in_approval_growth)^(D1521-1)),0))</f>
        <v/>
      </c>
      <c r="AA1521" s="14">
        <f>V1521*in_fee*(1-in_taken_back)</f>
        <v/>
      </c>
      <c r="AB1521" s="14">
        <f>SUMIFS(W1507:W1531,B1507:B1531,B1521-in_dpd_lag)*d_dpd</f>
        <v/>
      </c>
      <c r="AC1521" s="14">
        <f>SUMIFS(W1507:W1531,B1507:B1531,B1521-in_rec_lag)*d_rec</f>
        <v/>
      </c>
      <c r="AD1521" s="14">
        <f>Z1521*in_card_fee</f>
        <v/>
      </c>
      <c r="AE1521" s="40">
        <f>AE1520*(1-IF(B1520&gt;=in_marketplace_from,d_hz_hlth_small*G1520,0))</f>
        <v/>
      </c>
      <c r="AF1521" s="46">
        <f>AE1521*IF(B1521&gt;=in_marketplace_from,d_hz_hlth_small*G1521,0)</f>
        <v/>
      </c>
      <c r="AG1521" s="14">
        <f>F1521*AF1521*in_hlth_small_ticket*in_hlth_small_comm*in_ins_partner_share+F1521*in_hlth_small_ticket*in_hlth_small_renew_comm*in_ins_partner_share*(in_hlth_small_renew^1*SUMIFS(AF1507:AF1531,B1507:B1531,B1521-12)+in_hlth_small_renew^2*SUMIFS(AF1507:AF1531,B1507:B1531,B1521-24)+in_hlth_small_renew^3*SUMIFS(AF1507:AF1531,B1507:B1531,B1521-36)+in_hlth_small_renew^4*SUMIFS(AF1507:AF1531,B1507:B1531,B1521-48))</f>
        <v/>
      </c>
      <c r="AH1521" s="40">
        <f>AH1520*(1-IF(B1520&gt;=in_marketplace_from,d_hz_hlth_family*G1520,0))</f>
        <v/>
      </c>
      <c r="AI1521" s="46">
        <f>AH1521*IF(B1521&gt;=in_marketplace_from,d_hz_hlth_family*G1521,0)</f>
        <v/>
      </c>
      <c r="AJ1521" s="14">
        <f>F1521*AI1521*in_hlth_family_ticket*in_hlth_family_comm*in_ins_partner_share+F1521*in_hlth_family_ticket*in_hlth_family_renew_comm*in_ins_partner_share*(in_hlth_family_renew^1*SUMIFS(AI1507:AI1531,B1507:B1531,B1521-12)+in_hlth_family_renew^2*SUMIFS(AI1507:AI1531,B1507:B1531,B1521-24)+in_hlth_family_renew^3*SUMIFS(AI1507:AI1531,B1507:B1531,B1521-36)+in_hlth_family_renew^4*SUMIFS(AI1507:AI1531,B1507:B1531,B1521-48))</f>
        <v/>
      </c>
      <c r="AK1521" s="40">
        <f>AK1520*(1-IF(B1520&gt;=in_marketplace_from,d_hz_life_term*G1520,0))</f>
        <v/>
      </c>
      <c r="AL1521" s="46">
        <f>AK1521*IF(B1521&gt;=in_marketplace_from,d_hz_life_term*G1521,0)</f>
        <v/>
      </c>
      <c r="AM1521" s="14">
        <f>F1521*AL1521*in_life_term_ticket*in_life_term_comm*in_ins_partner_share+F1521*in_life_term_ticket*in_life_term_renew_comm*in_ins_partner_share*(in_life_term_renew^1*SUMIFS(AL1507:AL1531,B1507:B1531,B1521-12)+in_life_term_renew^2*SUMIFS(AL1507:AL1531,B1507:B1531,B1521-24)+in_life_term_renew^3*SUMIFS(AL1507:AL1531,B1507:B1531,B1521-36)+in_life_term_renew^4*SUMIFS(AL1507:AL1531,B1507:B1531,B1521-48))</f>
        <v/>
      </c>
      <c r="AN1521" s="40">
        <f>AN1520*(1-IF(B1520&gt;=in_marketplace_from,d_hz_accident*G1520,0))</f>
        <v/>
      </c>
      <c r="AO1521" s="46">
        <f>AN1521*IF(B1521&gt;=in_marketplace_from,d_hz_accident*G1521,0)</f>
        <v/>
      </c>
      <c r="AP1521" s="14">
        <f>F1521*AO1521*in_accident_ticket*in_accident_comm*in_ins_partner_share+F1521*in_accident_ticket*in_accident_renew_comm*in_ins_partner_share*(in_accident_renew^1*SUMIFS(AO1507:AO1531,B1507:B1531,B1521-12)+in_accident_renew^2*SUMIFS(AO1507:AO1531,B1507:B1531,B1521-24)+in_accident_renew^3*SUMIFS(AO1507:AO1531,B1507:B1531,B1521-36)+in_accident_renew^4*SUMIFS(AO1507:AO1531,B1507:B1531,B1521-48))</f>
        <v/>
      </c>
      <c r="AQ1521" s="40">
        <f>AQ1520*(1-IF(B1520&gt;=in_marketplace_from,d_hz_two_wheeler*G1520,0))</f>
        <v/>
      </c>
      <c r="AR1521" s="46">
        <f>AQ1521*IF(B1521&gt;=in_marketplace_from,d_hz_two_wheeler*G1521,0)</f>
        <v/>
      </c>
      <c r="AS1521" s="14">
        <f>F1521*AR1521*in_two_wheeler_ticket*in_two_wheeler_comm*in_ins_partner_share+F1521*in_two_wheeler_ticket*in_two_wheeler_comm*in_ins_partner_share*(in_two_wheeler_renew^1*SUMIFS(AR1507:AR1531,B1507:B1531,B1521-12)+in_two_wheeler_renew^2*SUMIFS(AR1507:AR1531,B1507:B1531,B1521-24)+in_two_wheeler_renew^3*SUMIFS(AR1507:AR1531,B1507:B1531,B1521-36)+in_two_wheeler_renew^4*SUMIFS(AR1507:AR1531,B1507:B1531,B1521-48))</f>
        <v/>
      </c>
      <c r="AT1521" s="40">
        <f>AT1520*(1-IF(B1520&gt;=in_marketplace_from,d_hz_device*G1520,0))</f>
        <v/>
      </c>
      <c r="AU1521" s="14">
        <f>F1521*AT1521*IF(B1521&gt;=in_marketplace_from,d_hz_device*G1521,0)*in_device_ticket*in_device_comm*in_ins_partner_share</f>
        <v/>
      </c>
      <c r="AV1521" s="40">
        <f>AV1520*(1-IF(B1520&gt;=in_marketplace_from,d_hz_shop*G1520,0))</f>
        <v/>
      </c>
      <c r="AW1521" s="46">
        <f>AV1521*IF(B1521&gt;=in_marketplace_from,d_hz_shop*G1521,0)</f>
        <v/>
      </c>
      <c r="AX1521" s="14">
        <f>F1521*AW1521*in_shop_ticket*in_shop_comm*in_ins_partner_share+F1521*in_shop_ticket*in_shop_renew_comm*in_ins_partner_share*(in_shop_renew^1*SUMIFS(AW1507:AW1531,B1507:B1531,B1521-12)+in_shop_renew^2*SUMIFS(AW1507:AW1531,B1507:B1531,B1521-24)+in_shop_renew^3*SUMIFS(AW1507:AW1531,B1507:B1531,B1521-36)+in_shop_renew^4*SUMIFS(AW1507:AW1531,B1507:B1531,B1521-48))</f>
        <v/>
      </c>
      <c r="AY1521" s="40">
        <f>AY1520*(1-IF(B1520&gt;=in_marketplace_from,d_hz_sip*G1520,0))</f>
        <v/>
      </c>
      <c r="AZ1521" s="40">
        <f>AZ1520*d_rho_sip+AY1521*IF(B1521&gt;=in_marketplace_from,d_hz_sip*G1521,0)</f>
        <v/>
      </c>
      <c r="BA1521" s="40">
        <f>d_rho_sip*(BA1520+AZ1520)</f>
        <v/>
      </c>
      <c r="BB1521" s="14">
        <f>F1521*in_sip_ticket*(BA1521+0.5*AZ1521)*in_sip_comm/12</f>
        <v/>
      </c>
      <c r="BC1521" s="40">
        <f>BC1520*(1-IF(B1520&gt;=in_marketplace_from,d_hz_choti*G1520,0))</f>
        <v/>
      </c>
      <c r="BD1521" s="46">
        <f>BC1521*IF(B1521&gt;=in_marketplace_from,d_hz_choti*G1521,0)</f>
        <v/>
      </c>
      <c r="BE1521" s="14">
        <f>F1521*SUMIFS(BD1507:BD1531,B1507:B1531,B1521-in_choti_months)*in_choti_renew*in_choti_ticket</f>
        <v/>
      </c>
      <c r="BF1521" s="40">
        <f>BF1520*(1-IF(B1520&gt;=in_marketplace_from,d_hz_nps*G1520,0))</f>
        <v/>
      </c>
      <c r="BG1521" s="14">
        <f>F1521*BF1521*IF(B1521&gt;=in_marketplace_from,d_hz_nps*G1521,0)*in_nps_ticket*in_nps_comm</f>
        <v/>
      </c>
      <c r="BH1521" s="40">
        <f>BH1520*(1-IF(B1520&gt;=in_marketplace_from,d_hz_gold*G1520,0))</f>
        <v/>
      </c>
      <c r="BI1521" s="40">
        <f>BI1520*d_rho_gold+BH1521*IF(B1521&gt;=in_marketplace_from,d_hz_gold*G1521,0)</f>
        <v/>
      </c>
      <c r="BJ1521" s="14">
        <f>F1521*BI1521*in_gold_ticket*in_gold_comm</f>
        <v/>
      </c>
      <c r="BK1521" s="40">
        <f>BK1520*(1-IF(B1520&gt;=in_marketplace_from,d_hz_fd*G1520,0))</f>
        <v/>
      </c>
      <c r="BL1521" s="14">
        <f>F1521*BK1521*IF(B1521&gt;=in_marketplace_from,d_hz_fd*G1521,0)*in_fd_ticket*in_fd_comm</f>
        <v/>
      </c>
      <c r="BM1521" s="40">
        <f>BM1520*(1-IF(B1520&gt;=in_marketplace_from,d_hz_recharge*G1520,0))</f>
        <v/>
      </c>
      <c r="BN1521" s="40">
        <f>BN1520*d_rho_recharge+BM1521*IF(B1521&gt;=in_marketplace_from,d_hz_recharge*G1521,0)</f>
        <v/>
      </c>
      <c r="BO1521" s="14">
        <f>F1521*BN1521*in_recharge_ticket*in_recharge_comm/12</f>
        <v/>
      </c>
      <c r="BP1521" s="40">
        <f>BP1520*(1-IF(B1520&gt;=in_marketplace_from,d_hz_bills*G1520,0))</f>
        <v/>
      </c>
      <c r="BQ1521" s="40">
        <f>BQ1520*d_rho_bills+BP1521*IF(B1521&gt;=in_marketplace_from,d_hz_bills*G1521,0)</f>
        <v/>
      </c>
      <c r="BR1521" s="14">
        <f>F1521*BQ1521*in_bills_ticket*in_bills_comm/12</f>
        <v/>
      </c>
      <c r="BS1521" s="40">
        <f>BS1520*(1-IF(B1520&gt;=in_marketplace_from,d_hz_loan_gold*G1520,0))</f>
        <v/>
      </c>
      <c r="BT1521" s="14">
        <f>F1521*BS1521*IF(B1521&gt;=in_marketplace_from,d_hz_loan_gold*G1521,0)*in_loan_gold_ticket*in_loan_gold_comm</f>
        <v/>
      </c>
      <c r="BU1521" s="40">
        <f>BU1520*(1-IF(B1520&gt;=in_marketplace_from,d_hz_loan_cd*G1520,0))</f>
        <v/>
      </c>
      <c r="BV1521" s="14">
        <f>F1521*BU1521*IF(B1521&gt;=in_marketplace_from,d_hz_loan_cd*G1521,0)*in_loan_cd_ticket*in_loan_cd_comm</f>
        <v/>
      </c>
      <c r="BW1521" s="40">
        <f>BW1520*(1-IF(B1520&gt;=in_marketplace_from,d_hz_loan_vehicle*G1520,0))</f>
        <v/>
      </c>
      <c r="BX1521" s="14">
        <f>F1521*BW1521*IF(B1521&gt;=in_marketplace_from,d_hz_loan_vehicle*G1521,0)*in_loan_vehicle_ticket*in_loan_vehicle_comm</f>
        <v/>
      </c>
      <c r="BY1521" s="40">
        <f>BY1520*(1-IF(B1520&gt;=in_marketplace_from,d_hz_loan_home*G1520,0)*BZ1520)</f>
        <v/>
      </c>
      <c r="BZ1521" s="11">
        <f>MIN(in_approval_cap,in_loan_home_approval*INDEX('Age profile'!$O$2:$O$61,B1521)*(1+in_approval_growth)^(D1521-1))</f>
        <v/>
      </c>
      <c r="CA1521" s="14">
        <f>F1521*BY1521*IF(B1521&gt;=in_marketplace_from,d_hz_loan_home*G1521,0)*BZ1521*in_loan_home_ticket*in_loan_home_comm</f>
        <v/>
      </c>
      <c r="CB1521" s="40">
        <f>CB1520*(1-IF(B1520&gt;=in_marketplace_from,d_hz_loan_lap*G1520,0)*CC1520)</f>
        <v/>
      </c>
      <c r="CC1521" s="11">
        <f>MIN(in_approval_cap,in_loan_lap_approval*INDEX('Age profile'!$O$2:$O$61,B1521)*(1+in_approval_growth)^(D1521-1))</f>
        <v/>
      </c>
      <c r="CD1521" s="14">
        <f>F1521*CB1521*IF(B1521&gt;=in_marketplace_from,d_hz_loan_lap*G1521,0)*CC1521*in_loan_lap_ticket*in_loan_lap_comm</f>
        <v/>
      </c>
      <c r="CE1521" s="14">
        <f>AA1521+AB1521+AC1521+AD1521+AG1521+AJ1521+AM1521+AP1521+AS1521+AU1521+AX1521+BB1521+BE1521+BG1521+BJ1521+BL1521+BO1521+BR1521+BT1521+BV1521+BX1521+CA1521+CD1521</f>
        <v/>
      </c>
    </row>
    <row r="1522">
      <c r="A1522" s="39" t="n">
        <v>36</v>
      </c>
      <c r="B1522" s="39" t="n">
        <v>16</v>
      </c>
      <c r="C1522" s="39">
        <f>A1522+B1522-1</f>
        <v/>
      </c>
      <c r="D1522" s="39">
        <f>INT((C1522-1)/12)+1</f>
        <v/>
      </c>
      <c r="E1522" s="44">
        <f>INDEX(Monthly!$B$2:$B$61,A1522)</f>
        <v/>
      </c>
      <c r="F1522" s="44">
        <f>E1522*INDEX('Age profile'!$B$2:$B$61,B1522)</f>
        <v/>
      </c>
      <c r="G1522" s="45">
        <f>MIN(in_takeup_cap,INDEX('Age profile'!$N$2:$N$61,B1522)*(1+in_takeup_growth)^(D1522-1))</f>
        <v/>
      </c>
      <c r="H1522" s="11">
        <f>MIN(in_approval_cap,in_approved_first*INDEX('Age profile'!$O$2:$O$61,B1522)*(1+in_approval_growth)^(D1522-1))</f>
        <v/>
      </c>
      <c r="I1522" s="45">
        <f>G1522*MIN(in_takeup_cap,INDEX('Age profile'!$O$2:$O$61,B1522)*(1+in_approval_growth)^(D1522-1))</f>
        <v/>
      </c>
      <c r="J1522" s="40">
        <f>(J1521-L1521)*F1522/F1521</f>
        <v/>
      </c>
      <c r="K1522" s="40">
        <f>(K1521-M1521)*F1522/F1521+SUMIFS(O1507:O1521,B1507:B1521,B1522-1-d_T)*F1522</f>
        <v/>
      </c>
      <c r="L1522" s="40">
        <f>IF(B1522&gt;=in_marketplace_from,J1522*d_hz*G1522*in_eligible*H1522,0)</f>
        <v/>
      </c>
      <c r="M1522" s="40">
        <f>IF(B1522&gt;=in_marketplace_from,K1522*d_hz*G1522*in_eligible*in_approved_repeat,0)</f>
        <v/>
      </c>
      <c r="N1522" s="40">
        <f>L1522+M1522</f>
        <v/>
      </c>
      <c r="O1522" s="46">
        <f>N1522/F1522</f>
        <v/>
      </c>
      <c r="P1522" s="40">
        <f>F1522-J1522-K1522</f>
        <v/>
      </c>
      <c r="Q1522" s="40">
        <f>IF(B1522&gt;=in_marketplace_from,(J1522+K1522)*d_hz*G1522,0)</f>
        <v/>
      </c>
      <c r="R1522" s="40">
        <f>SUMIFS(N1507:N1531,B1507:B1531,"&gt;="&amp;(B1522-d_T),B1507:B1531,"&lt;="&amp;(B1522-1))</f>
        <v/>
      </c>
      <c r="S1522" s="46">
        <f>(1-d_u)*S1521+IF(d_T&gt;in_topup_lag,SUMIFS(O1507:O1531,B1507:B1531,B1522-in_topup_lag)-d_udrop*SUMIFS(O1507:O1531,B1507:B1531,B1522-d_T),0)</f>
        <v/>
      </c>
      <c r="T1522" s="40">
        <f>F1522*d_u*S1522</f>
        <v/>
      </c>
      <c r="U1522" s="9">
        <f>L1522*in_ticket+M1522*d_rep_ticket</f>
        <v/>
      </c>
      <c r="V1522" s="9">
        <f>U1522+T1522*d_topup_amt</f>
        <v/>
      </c>
      <c r="W1522" s="40">
        <f>N1522+T1522*d_topup_ratio</f>
        <v/>
      </c>
      <c r="X1522" s="40">
        <f>SUMIFS(W1507:W1531,B1507:B1531,B1522-in_dpd_lag)*d_cured</f>
        <v/>
      </c>
      <c r="Y1522" s="40">
        <f>SUMIFS(W1507:W1531,B1507:B1531,B1522-in_rec_lag)*d_recd</f>
        <v/>
      </c>
      <c r="Z1522" s="40">
        <f>IF(AND(B1522&gt;=in_marketplace_from,B1522&lt;in_marketplace_from+in_card_months),in_card_share/in_card_months*F1522*I1522,IF(AND(B1522&gt;=in_marketplace_from+in_card_months,B1522&lt;in_marketplace_from+2*in_card_months),in_card_share*d_card_rem/in_card_months*F1522*MIN(in_takeup_cap,(1+in_takeup_growth)^(D1522-1))*MIN(in_takeup_cap,(1+in_approval_growth)^(D1522-1)),0))</f>
        <v/>
      </c>
      <c r="AA1522" s="14">
        <f>V1522*in_fee*(1-in_taken_back)</f>
        <v/>
      </c>
      <c r="AB1522" s="14">
        <f>SUMIFS(W1507:W1531,B1507:B1531,B1522-in_dpd_lag)*d_dpd</f>
        <v/>
      </c>
      <c r="AC1522" s="14">
        <f>SUMIFS(W1507:W1531,B1507:B1531,B1522-in_rec_lag)*d_rec</f>
        <v/>
      </c>
      <c r="AD1522" s="14">
        <f>Z1522*in_card_fee</f>
        <v/>
      </c>
      <c r="AE1522" s="40">
        <f>AE1521*(1-IF(B1521&gt;=in_marketplace_from,d_hz_hlth_small*G1521,0))</f>
        <v/>
      </c>
      <c r="AF1522" s="46">
        <f>AE1522*IF(B1522&gt;=in_marketplace_from,d_hz_hlth_small*G1522,0)</f>
        <v/>
      </c>
      <c r="AG1522" s="14">
        <f>F1522*AF1522*in_hlth_small_ticket*in_hlth_small_comm*in_ins_partner_share+F1522*in_hlth_small_ticket*in_hlth_small_renew_comm*in_ins_partner_share*(in_hlth_small_renew^1*SUMIFS(AF1507:AF1531,B1507:B1531,B1522-12)+in_hlth_small_renew^2*SUMIFS(AF1507:AF1531,B1507:B1531,B1522-24)+in_hlth_small_renew^3*SUMIFS(AF1507:AF1531,B1507:B1531,B1522-36)+in_hlth_small_renew^4*SUMIFS(AF1507:AF1531,B1507:B1531,B1522-48))</f>
        <v/>
      </c>
      <c r="AH1522" s="40">
        <f>AH1521*(1-IF(B1521&gt;=in_marketplace_from,d_hz_hlth_family*G1521,0))</f>
        <v/>
      </c>
      <c r="AI1522" s="46">
        <f>AH1522*IF(B1522&gt;=in_marketplace_from,d_hz_hlth_family*G1522,0)</f>
        <v/>
      </c>
      <c r="AJ1522" s="14">
        <f>F1522*AI1522*in_hlth_family_ticket*in_hlth_family_comm*in_ins_partner_share+F1522*in_hlth_family_ticket*in_hlth_family_renew_comm*in_ins_partner_share*(in_hlth_family_renew^1*SUMIFS(AI1507:AI1531,B1507:B1531,B1522-12)+in_hlth_family_renew^2*SUMIFS(AI1507:AI1531,B1507:B1531,B1522-24)+in_hlth_family_renew^3*SUMIFS(AI1507:AI1531,B1507:B1531,B1522-36)+in_hlth_family_renew^4*SUMIFS(AI1507:AI1531,B1507:B1531,B1522-48))</f>
        <v/>
      </c>
      <c r="AK1522" s="40">
        <f>AK1521*(1-IF(B1521&gt;=in_marketplace_from,d_hz_life_term*G1521,0))</f>
        <v/>
      </c>
      <c r="AL1522" s="46">
        <f>AK1522*IF(B1522&gt;=in_marketplace_from,d_hz_life_term*G1522,0)</f>
        <v/>
      </c>
      <c r="AM1522" s="14">
        <f>F1522*AL1522*in_life_term_ticket*in_life_term_comm*in_ins_partner_share+F1522*in_life_term_ticket*in_life_term_renew_comm*in_ins_partner_share*(in_life_term_renew^1*SUMIFS(AL1507:AL1531,B1507:B1531,B1522-12)+in_life_term_renew^2*SUMIFS(AL1507:AL1531,B1507:B1531,B1522-24)+in_life_term_renew^3*SUMIFS(AL1507:AL1531,B1507:B1531,B1522-36)+in_life_term_renew^4*SUMIFS(AL1507:AL1531,B1507:B1531,B1522-48))</f>
        <v/>
      </c>
      <c r="AN1522" s="40">
        <f>AN1521*(1-IF(B1521&gt;=in_marketplace_from,d_hz_accident*G1521,0))</f>
        <v/>
      </c>
      <c r="AO1522" s="46">
        <f>AN1522*IF(B1522&gt;=in_marketplace_from,d_hz_accident*G1522,0)</f>
        <v/>
      </c>
      <c r="AP1522" s="14">
        <f>F1522*AO1522*in_accident_ticket*in_accident_comm*in_ins_partner_share+F1522*in_accident_ticket*in_accident_renew_comm*in_ins_partner_share*(in_accident_renew^1*SUMIFS(AO1507:AO1531,B1507:B1531,B1522-12)+in_accident_renew^2*SUMIFS(AO1507:AO1531,B1507:B1531,B1522-24)+in_accident_renew^3*SUMIFS(AO1507:AO1531,B1507:B1531,B1522-36)+in_accident_renew^4*SUMIFS(AO1507:AO1531,B1507:B1531,B1522-48))</f>
        <v/>
      </c>
      <c r="AQ1522" s="40">
        <f>AQ1521*(1-IF(B1521&gt;=in_marketplace_from,d_hz_two_wheeler*G1521,0))</f>
        <v/>
      </c>
      <c r="AR1522" s="46">
        <f>AQ1522*IF(B1522&gt;=in_marketplace_from,d_hz_two_wheeler*G1522,0)</f>
        <v/>
      </c>
      <c r="AS1522" s="14">
        <f>F1522*AR1522*in_two_wheeler_ticket*in_two_wheeler_comm*in_ins_partner_share+F1522*in_two_wheeler_ticket*in_two_wheeler_comm*in_ins_partner_share*(in_two_wheeler_renew^1*SUMIFS(AR1507:AR1531,B1507:B1531,B1522-12)+in_two_wheeler_renew^2*SUMIFS(AR1507:AR1531,B1507:B1531,B1522-24)+in_two_wheeler_renew^3*SUMIFS(AR1507:AR1531,B1507:B1531,B1522-36)+in_two_wheeler_renew^4*SUMIFS(AR1507:AR1531,B1507:B1531,B1522-48))</f>
        <v/>
      </c>
      <c r="AT1522" s="40">
        <f>AT1521*(1-IF(B1521&gt;=in_marketplace_from,d_hz_device*G1521,0))</f>
        <v/>
      </c>
      <c r="AU1522" s="14">
        <f>F1522*AT1522*IF(B1522&gt;=in_marketplace_from,d_hz_device*G1522,0)*in_device_ticket*in_device_comm*in_ins_partner_share</f>
        <v/>
      </c>
      <c r="AV1522" s="40">
        <f>AV1521*(1-IF(B1521&gt;=in_marketplace_from,d_hz_shop*G1521,0))</f>
        <v/>
      </c>
      <c r="AW1522" s="46">
        <f>AV1522*IF(B1522&gt;=in_marketplace_from,d_hz_shop*G1522,0)</f>
        <v/>
      </c>
      <c r="AX1522" s="14">
        <f>F1522*AW1522*in_shop_ticket*in_shop_comm*in_ins_partner_share+F1522*in_shop_ticket*in_shop_renew_comm*in_ins_partner_share*(in_shop_renew^1*SUMIFS(AW1507:AW1531,B1507:B1531,B1522-12)+in_shop_renew^2*SUMIFS(AW1507:AW1531,B1507:B1531,B1522-24)+in_shop_renew^3*SUMIFS(AW1507:AW1531,B1507:B1531,B1522-36)+in_shop_renew^4*SUMIFS(AW1507:AW1531,B1507:B1531,B1522-48))</f>
        <v/>
      </c>
      <c r="AY1522" s="40">
        <f>AY1521*(1-IF(B1521&gt;=in_marketplace_from,d_hz_sip*G1521,0))</f>
        <v/>
      </c>
      <c r="AZ1522" s="40">
        <f>AZ1521*d_rho_sip+AY1522*IF(B1522&gt;=in_marketplace_from,d_hz_sip*G1522,0)</f>
        <v/>
      </c>
      <c r="BA1522" s="40">
        <f>d_rho_sip*(BA1521+AZ1521)</f>
        <v/>
      </c>
      <c r="BB1522" s="14">
        <f>F1522*in_sip_ticket*(BA1522+0.5*AZ1522)*in_sip_comm/12</f>
        <v/>
      </c>
      <c r="BC1522" s="40">
        <f>BC1521*(1-IF(B1521&gt;=in_marketplace_from,d_hz_choti*G1521,0))</f>
        <v/>
      </c>
      <c r="BD1522" s="46">
        <f>BC1522*IF(B1522&gt;=in_marketplace_from,d_hz_choti*G1522,0)</f>
        <v/>
      </c>
      <c r="BE1522" s="14">
        <f>F1522*SUMIFS(BD1507:BD1531,B1507:B1531,B1522-in_choti_months)*in_choti_renew*in_choti_ticket</f>
        <v/>
      </c>
      <c r="BF1522" s="40">
        <f>BF1521*(1-IF(B1521&gt;=in_marketplace_from,d_hz_nps*G1521,0))</f>
        <v/>
      </c>
      <c r="BG1522" s="14">
        <f>F1522*BF1522*IF(B1522&gt;=in_marketplace_from,d_hz_nps*G1522,0)*in_nps_ticket*in_nps_comm</f>
        <v/>
      </c>
      <c r="BH1522" s="40">
        <f>BH1521*(1-IF(B1521&gt;=in_marketplace_from,d_hz_gold*G1521,0))</f>
        <v/>
      </c>
      <c r="BI1522" s="40">
        <f>BI1521*d_rho_gold+BH1522*IF(B1522&gt;=in_marketplace_from,d_hz_gold*G1522,0)</f>
        <v/>
      </c>
      <c r="BJ1522" s="14">
        <f>F1522*BI1522*in_gold_ticket*in_gold_comm</f>
        <v/>
      </c>
      <c r="BK1522" s="40">
        <f>BK1521*(1-IF(B1521&gt;=in_marketplace_from,d_hz_fd*G1521,0))</f>
        <v/>
      </c>
      <c r="BL1522" s="14">
        <f>F1522*BK1522*IF(B1522&gt;=in_marketplace_from,d_hz_fd*G1522,0)*in_fd_ticket*in_fd_comm</f>
        <v/>
      </c>
      <c r="BM1522" s="40">
        <f>BM1521*(1-IF(B1521&gt;=in_marketplace_from,d_hz_recharge*G1521,0))</f>
        <v/>
      </c>
      <c r="BN1522" s="40">
        <f>BN1521*d_rho_recharge+BM1522*IF(B1522&gt;=in_marketplace_from,d_hz_recharge*G1522,0)</f>
        <v/>
      </c>
      <c r="BO1522" s="14">
        <f>F1522*BN1522*in_recharge_ticket*in_recharge_comm/12</f>
        <v/>
      </c>
      <c r="BP1522" s="40">
        <f>BP1521*(1-IF(B1521&gt;=in_marketplace_from,d_hz_bills*G1521,0))</f>
        <v/>
      </c>
      <c r="BQ1522" s="40">
        <f>BQ1521*d_rho_bills+BP1522*IF(B1522&gt;=in_marketplace_from,d_hz_bills*G1522,0)</f>
        <v/>
      </c>
      <c r="BR1522" s="14">
        <f>F1522*BQ1522*in_bills_ticket*in_bills_comm/12</f>
        <v/>
      </c>
      <c r="BS1522" s="40">
        <f>BS1521*(1-IF(B1521&gt;=in_marketplace_from,d_hz_loan_gold*G1521,0))</f>
        <v/>
      </c>
      <c r="BT1522" s="14">
        <f>F1522*BS1522*IF(B1522&gt;=in_marketplace_from,d_hz_loan_gold*G1522,0)*in_loan_gold_ticket*in_loan_gold_comm</f>
        <v/>
      </c>
      <c r="BU1522" s="40">
        <f>BU1521*(1-IF(B1521&gt;=in_marketplace_from,d_hz_loan_cd*G1521,0))</f>
        <v/>
      </c>
      <c r="BV1522" s="14">
        <f>F1522*BU1522*IF(B1522&gt;=in_marketplace_from,d_hz_loan_cd*G1522,0)*in_loan_cd_ticket*in_loan_cd_comm</f>
        <v/>
      </c>
      <c r="BW1522" s="40">
        <f>BW1521*(1-IF(B1521&gt;=in_marketplace_from,d_hz_loan_vehicle*G1521,0))</f>
        <v/>
      </c>
      <c r="BX1522" s="14">
        <f>F1522*BW1522*IF(B1522&gt;=in_marketplace_from,d_hz_loan_vehicle*G1522,0)*in_loan_vehicle_ticket*in_loan_vehicle_comm</f>
        <v/>
      </c>
      <c r="BY1522" s="40">
        <f>BY1521*(1-IF(B1521&gt;=in_marketplace_from,d_hz_loan_home*G1521,0)*BZ1521)</f>
        <v/>
      </c>
      <c r="BZ1522" s="11">
        <f>MIN(in_approval_cap,in_loan_home_approval*INDEX('Age profile'!$O$2:$O$61,B1522)*(1+in_approval_growth)^(D1522-1))</f>
        <v/>
      </c>
      <c r="CA1522" s="14">
        <f>F1522*BY1522*IF(B1522&gt;=in_marketplace_from,d_hz_loan_home*G1522,0)*BZ1522*in_loan_home_ticket*in_loan_home_comm</f>
        <v/>
      </c>
      <c r="CB1522" s="40">
        <f>CB1521*(1-IF(B1521&gt;=in_marketplace_from,d_hz_loan_lap*G1521,0)*CC1521)</f>
        <v/>
      </c>
      <c r="CC1522" s="11">
        <f>MIN(in_approval_cap,in_loan_lap_approval*INDEX('Age profile'!$O$2:$O$61,B1522)*(1+in_approval_growth)^(D1522-1))</f>
        <v/>
      </c>
      <c r="CD1522" s="14">
        <f>F1522*CB1522*IF(B1522&gt;=in_marketplace_from,d_hz_loan_lap*G1522,0)*CC1522*in_loan_lap_ticket*in_loan_lap_comm</f>
        <v/>
      </c>
      <c r="CE1522" s="14">
        <f>AA1522+AB1522+AC1522+AD1522+AG1522+AJ1522+AM1522+AP1522+AS1522+AU1522+AX1522+BB1522+BE1522+BG1522+BJ1522+BL1522+BO1522+BR1522+BT1522+BV1522+BX1522+CA1522+CD1522</f>
        <v/>
      </c>
    </row>
    <row r="1523">
      <c r="A1523" s="39" t="n">
        <v>36</v>
      </c>
      <c r="B1523" s="39" t="n">
        <v>17</v>
      </c>
      <c r="C1523" s="39">
        <f>A1523+B1523-1</f>
        <v/>
      </c>
      <c r="D1523" s="39">
        <f>INT((C1523-1)/12)+1</f>
        <v/>
      </c>
      <c r="E1523" s="44">
        <f>INDEX(Monthly!$B$2:$B$61,A1523)</f>
        <v/>
      </c>
      <c r="F1523" s="44">
        <f>E1523*INDEX('Age profile'!$B$2:$B$61,B1523)</f>
        <v/>
      </c>
      <c r="G1523" s="45">
        <f>MIN(in_takeup_cap,INDEX('Age profile'!$N$2:$N$61,B1523)*(1+in_takeup_growth)^(D1523-1))</f>
        <v/>
      </c>
      <c r="H1523" s="11">
        <f>MIN(in_approval_cap,in_approved_first*INDEX('Age profile'!$O$2:$O$61,B1523)*(1+in_approval_growth)^(D1523-1))</f>
        <v/>
      </c>
      <c r="I1523" s="45">
        <f>G1523*MIN(in_takeup_cap,INDEX('Age profile'!$O$2:$O$61,B1523)*(1+in_approval_growth)^(D1523-1))</f>
        <v/>
      </c>
      <c r="J1523" s="40">
        <f>(J1522-L1522)*F1523/F1522</f>
        <v/>
      </c>
      <c r="K1523" s="40">
        <f>(K1522-M1522)*F1523/F1522+SUMIFS(O1507:O1522,B1507:B1522,B1523-1-d_T)*F1523</f>
        <v/>
      </c>
      <c r="L1523" s="40">
        <f>IF(B1523&gt;=in_marketplace_from,J1523*d_hz*G1523*in_eligible*H1523,0)</f>
        <v/>
      </c>
      <c r="M1523" s="40">
        <f>IF(B1523&gt;=in_marketplace_from,K1523*d_hz*G1523*in_eligible*in_approved_repeat,0)</f>
        <v/>
      </c>
      <c r="N1523" s="40">
        <f>L1523+M1523</f>
        <v/>
      </c>
      <c r="O1523" s="46">
        <f>N1523/F1523</f>
        <v/>
      </c>
      <c r="P1523" s="40">
        <f>F1523-J1523-K1523</f>
        <v/>
      </c>
      <c r="Q1523" s="40">
        <f>IF(B1523&gt;=in_marketplace_from,(J1523+K1523)*d_hz*G1523,0)</f>
        <v/>
      </c>
      <c r="R1523" s="40">
        <f>SUMIFS(N1507:N1531,B1507:B1531,"&gt;="&amp;(B1523-d_T),B1507:B1531,"&lt;="&amp;(B1523-1))</f>
        <v/>
      </c>
      <c r="S1523" s="46">
        <f>(1-d_u)*S1522+IF(d_T&gt;in_topup_lag,SUMIFS(O1507:O1531,B1507:B1531,B1523-in_topup_lag)-d_udrop*SUMIFS(O1507:O1531,B1507:B1531,B1523-d_T),0)</f>
        <v/>
      </c>
      <c r="T1523" s="40">
        <f>F1523*d_u*S1523</f>
        <v/>
      </c>
      <c r="U1523" s="9">
        <f>L1523*in_ticket+M1523*d_rep_ticket</f>
        <v/>
      </c>
      <c r="V1523" s="9">
        <f>U1523+T1523*d_topup_amt</f>
        <v/>
      </c>
      <c r="W1523" s="40">
        <f>N1523+T1523*d_topup_ratio</f>
        <v/>
      </c>
      <c r="X1523" s="40">
        <f>SUMIFS(W1507:W1531,B1507:B1531,B1523-in_dpd_lag)*d_cured</f>
        <v/>
      </c>
      <c r="Y1523" s="40">
        <f>SUMIFS(W1507:W1531,B1507:B1531,B1523-in_rec_lag)*d_recd</f>
        <v/>
      </c>
      <c r="Z1523" s="40">
        <f>IF(AND(B1523&gt;=in_marketplace_from,B1523&lt;in_marketplace_from+in_card_months),in_card_share/in_card_months*F1523*I1523,IF(AND(B1523&gt;=in_marketplace_from+in_card_months,B1523&lt;in_marketplace_from+2*in_card_months),in_card_share*d_card_rem/in_card_months*F1523*MIN(in_takeup_cap,(1+in_takeup_growth)^(D1523-1))*MIN(in_takeup_cap,(1+in_approval_growth)^(D1523-1)),0))</f>
        <v/>
      </c>
      <c r="AA1523" s="14">
        <f>V1523*in_fee*(1-in_taken_back)</f>
        <v/>
      </c>
      <c r="AB1523" s="14">
        <f>SUMIFS(W1507:W1531,B1507:B1531,B1523-in_dpd_lag)*d_dpd</f>
        <v/>
      </c>
      <c r="AC1523" s="14">
        <f>SUMIFS(W1507:W1531,B1507:B1531,B1523-in_rec_lag)*d_rec</f>
        <v/>
      </c>
      <c r="AD1523" s="14">
        <f>Z1523*in_card_fee</f>
        <v/>
      </c>
      <c r="AE1523" s="40">
        <f>AE1522*(1-IF(B1522&gt;=in_marketplace_from,d_hz_hlth_small*G1522,0))</f>
        <v/>
      </c>
      <c r="AF1523" s="46">
        <f>AE1523*IF(B1523&gt;=in_marketplace_from,d_hz_hlth_small*G1523,0)</f>
        <v/>
      </c>
      <c r="AG1523" s="14">
        <f>F1523*AF1523*in_hlth_small_ticket*in_hlth_small_comm*in_ins_partner_share+F1523*in_hlth_small_ticket*in_hlth_small_renew_comm*in_ins_partner_share*(in_hlth_small_renew^1*SUMIFS(AF1507:AF1531,B1507:B1531,B1523-12)+in_hlth_small_renew^2*SUMIFS(AF1507:AF1531,B1507:B1531,B1523-24)+in_hlth_small_renew^3*SUMIFS(AF1507:AF1531,B1507:B1531,B1523-36)+in_hlth_small_renew^4*SUMIFS(AF1507:AF1531,B1507:B1531,B1523-48))</f>
        <v/>
      </c>
      <c r="AH1523" s="40">
        <f>AH1522*(1-IF(B1522&gt;=in_marketplace_from,d_hz_hlth_family*G1522,0))</f>
        <v/>
      </c>
      <c r="AI1523" s="46">
        <f>AH1523*IF(B1523&gt;=in_marketplace_from,d_hz_hlth_family*G1523,0)</f>
        <v/>
      </c>
      <c r="AJ1523" s="14">
        <f>F1523*AI1523*in_hlth_family_ticket*in_hlth_family_comm*in_ins_partner_share+F1523*in_hlth_family_ticket*in_hlth_family_renew_comm*in_ins_partner_share*(in_hlth_family_renew^1*SUMIFS(AI1507:AI1531,B1507:B1531,B1523-12)+in_hlth_family_renew^2*SUMIFS(AI1507:AI1531,B1507:B1531,B1523-24)+in_hlth_family_renew^3*SUMIFS(AI1507:AI1531,B1507:B1531,B1523-36)+in_hlth_family_renew^4*SUMIFS(AI1507:AI1531,B1507:B1531,B1523-48))</f>
        <v/>
      </c>
      <c r="AK1523" s="40">
        <f>AK1522*(1-IF(B1522&gt;=in_marketplace_from,d_hz_life_term*G1522,0))</f>
        <v/>
      </c>
      <c r="AL1523" s="46">
        <f>AK1523*IF(B1523&gt;=in_marketplace_from,d_hz_life_term*G1523,0)</f>
        <v/>
      </c>
      <c r="AM1523" s="14">
        <f>F1523*AL1523*in_life_term_ticket*in_life_term_comm*in_ins_partner_share+F1523*in_life_term_ticket*in_life_term_renew_comm*in_ins_partner_share*(in_life_term_renew^1*SUMIFS(AL1507:AL1531,B1507:B1531,B1523-12)+in_life_term_renew^2*SUMIFS(AL1507:AL1531,B1507:B1531,B1523-24)+in_life_term_renew^3*SUMIFS(AL1507:AL1531,B1507:B1531,B1523-36)+in_life_term_renew^4*SUMIFS(AL1507:AL1531,B1507:B1531,B1523-48))</f>
        <v/>
      </c>
      <c r="AN1523" s="40">
        <f>AN1522*(1-IF(B1522&gt;=in_marketplace_from,d_hz_accident*G1522,0))</f>
        <v/>
      </c>
      <c r="AO1523" s="46">
        <f>AN1523*IF(B1523&gt;=in_marketplace_from,d_hz_accident*G1523,0)</f>
        <v/>
      </c>
      <c r="AP1523" s="14">
        <f>F1523*AO1523*in_accident_ticket*in_accident_comm*in_ins_partner_share+F1523*in_accident_ticket*in_accident_renew_comm*in_ins_partner_share*(in_accident_renew^1*SUMIFS(AO1507:AO1531,B1507:B1531,B1523-12)+in_accident_renew^2*SUMIFS(AO1507:AO1531,B1507:B1531,B1523-24)+in_accident_renew^3*SUMIFS(AO1507:AO1531,B1507:B1531,B1523-36)+in_accident_renew^4*SUMIFS(AO1507:AO1531,B1507:B1531,B1523-48))</f>
        <v/>
      </c>
      <c r="AQ1523" s="40">
        <f>AQ1522*(1-IF(B1522&gt;=in_marketplace_from,d_hz_two_wheeler*G1522,0))</f>
        <v/>
      </c>
      <c r="AR1523" s="46">
        <f>AQ1523*IF(B1523&gt;=in_marketplace_from,d_hz_two_wheeler*G1523,0)</f>
        <v/>
      </c>
      <c r="AS1523" s="14">
        <f>F1523*AR1523*in_two_wheeler_ticket*in_two_wheeler_comm*in_ins_partner_share+F1523*in_two_wheeler_ticket*in_two_wheeler_comm*in_ins_partner_share*(in_two_wheeler_renew^1*SUMIFS(AR1507:AR1531,B1507:B1531,B1523-12)+in_two_wheeler_renew^2*SUMIFS(AR1507:AR1531,B1507:B1531,B1523-24)+in_two_wheeler_renew^3*SUMIFS(AR1507:AR1531,B1507:B1531,B1523-36)+in_two_wheeler_renew^4*SUMIFS(AR1507:AR1531,B1507:B1531,B1523-48))</f>
        <v/>
      </c>
      <c r="AT1523" s="40">
        <f>AT1522*(1-IF(B1522&gt;=in_marketplace_from,d_hz_device*G1522,0))</f>
        <v/>
      </c>
      <c r="AU1523" s="14">
        <f>F1523*AT1523*IF(B1523&gt;=in_marketplace_from,d_hz_device*G1523,0)*in_device_ticket*in_device_comm*in_ins_partner_share</f>
        <v/>
      </c>
      <c r="AV1523" s="40">
        <f>AV1522*(1-IF(B1522&gt;=in_marketplace_from,d_hz_shop*G1522,0))</f>
        <v/>
      </c>
      <c r="AW1523" s="46">
        <f>AV1523*IF(B1523&gt;=in_marketplace_from,d_hz_shop*G1523,0)</f>
        <v/>
      </c>
      <c r="AX1523" s="14">
        <f>F1523*AW1523*in_shop_ticket*in_shop_comm*in_ins_partner_share+F1523*in_shop_ticket*in_shop_renew_comm*in_ins_partner_share*(in_shop_renew^1*SUMIFS(AW1507:AW1531,B1507:B1531,B1523-12)+in_shop_renew^2*SUMIFS(AW1507:AW1531,B1507:B1531,B1523-24)+in_shop_renew^3*SUMIFS(AW1507:AW1531,B1507:B1531,B1523-36)+in_shop_renew^4*SUMIFS(AW1507:AW1531,B1507:B1531,B1523-48))</f>
        <v/>
      </c>
      <c r="AY1523" s="40">
        <f>AY1522*(1-IF(B1522&gt;=in_marketplace_from,d_hz_sip*G1522,0))</f>
        <v/>
      </c>
      <c r="AZ1523" s="40">
        <f>AZ1522*d_rho_sip+AY1523*IF(B1523&gt;=in_marketplace_from,d_hz_sip*G1523,0)</f>
        <v/>
      </c>
      <c r="BA1523" s="40">
        <f>d_rho_sip*(BA1522+AZ1522)</f>
        <v/>
      </c>
      <c r="BB1523" s="14">
        <f>F1523*in_sip_ticket*(BA1523+0.5*AZ1523)*in_sip_comm/12</f>
        <v/>
      </c>
      <c r="BC1523" s="40">
        <f>BC1522*(1-IF(B1522&gt;=in_marketplace_from,d_hz_choti*G1522,0))</f>
        <v/>
      </c>
      <c r="BD1523" s="46">
        <f>BC1523*IF(B1523&gt;=in_marketplace_from,d_hz_choti*G1523,0)</f>
        <v/>
      </c>
      <c r="BE1523" s="14">
        <f>F1523*SUMIFS(BD1507:BD1531,B1507:B1531,B1523-in_choti_months)*in_choti_renew*in_choti_ticket</f>
        <v/>
      </c>
      <c r="BF1523" s="40">
        <f>BF1522*(1-IF(B1522&gt;=in_marketplace_from,d_hz_nps*G1522,0))</f>
        <v/>
      </c>
      <c r="BG1523" s="14">
        <f>F1523*BF1523*IF(B1523&gt;=in_marketplace_from,d_hz_nps*G1523,0)*in_nps_ticket*in_nps_comm</f>
        <v/>
      </c>
      <c r="BH1523" s="40">
        <f>BH1522*(1-IF(B1522&gt;=in_marketplace_from,d_hz_gold*G1522,0))</f>
        <v/>
      </c>
      <c r="BI1523" s="40">
        <f>BI1522*d_rho_gold+BH1523*IF(B1523&gt;=in_marketplace_from,d_hz_gold*G1523,0)</f>
        <v/>
      </c>
      <c r="BJ1523" s="14">
        <f>F1523*BI1523*in_gold_ticket*in_gold_comm</f>
        <v/>
      </c>
      <c r="BK1523" s="40">
        <f>BK1522*(1-IF(B1522&gt;=in_marketplace_from,d_hz_fd*G1522,0))</f>
        <v/>
      </c>
      <c r="BL1523" s="14">
        <f>F1523*BK1523*IF(B1523&gt;=in_marketplace_from,d_hz_fd*G1523,0)*in_fd_ticket*in_fd_comm</f>
        <v/>
      </c>
      <c r="BM1523" s="40">
        <f>BM1522*(1-IF(B1522&gt;=in_marketplace_from,d_hz_recharge*G1522,0))</f>
        <v/>
      </c>
      <c r="BN1523" s="40">
        <f>BN1522*d_rho_recharge+BM1523*IF(B1523&gt;=in_marketplace_from,d_hz_recharge*G1523,0)</f>
        <v/>
      </c>
      <c r="BO1523" s="14">
        <f>F1523*BN1523*in_recharge_ticket*in_recharge_comm/12</f>
        <v/>
      </c>
      <c r="BP1523" s="40">
        <f>BP1522*(1-IF(B1522&gt;=in_marketplace_from,d_hz_bills*G1522,0))</f>
        <v/>
      </c>
      <c r="BQ1523" s="40">
        <f>BQ1522*d_rho_bills+BP1523*IF(B1523&gt;=in_marketplace_from,d_hz_bills*G1523,0)</f>
        <v/>
      </c>
      <c r="BR1523" s="14">
        <f>F1523*BQ1523*in_bills_ticket*in_bills_comm/12</f>
        <v/>
      </c>
      <c r="BS1523" s="40">
        <f>BS1522*(1-IF(B1522&gt;=in_marketplace_from,d_hz_loan_gold*G1522,0))</f>
        <v/>
      </c>
      <c r="BT1523" s="14">
        <f>F1523*BS1523*IF(B1523&gt;=in_marketplace_from,d_hz_loan_gold*G1523,0)*in_loan_gold_ticket*in_loan_gold_comm</f>
        <v/>
      </c>
      <c r="BU1523" s="40">
        <f>BU1522*(1-IF(B1522&gt;=in_marketplace_from,d_hz_loan_cd*G1522,0))</f>
        <v/>
      </c>
      <c r="BV1523" s="14">
        <f>F1523*BU1523*IF(B1523&gt;=in_marketplace_from,d_hz_loan_cd*G1523,0)*in_loan_cd_ticket*in_loan_cd_comm</f>
        <v/>
      </c>
      <c r="BW1523" s="40">
        <f>BW1522*(1-IF(B1522&gt;=in_marketplace_from,d_hz_loan_vehicle*G1522,0))</f>
        <v/>
      </c>
      <c r="BX1523" s="14">
        <f>F1523*BW1523*IF(B1523&gt;=in_marketplace_from,d_hz_loan_vehicle*G1523,0)*in_loan_vehicle_ticket*in_loan_vehicle_comm</f>
        <v/>
      </c>
      <c r="BY1523" s="40">
        <f>BY1522*(1-IF(B1522&gt;=in_marketplace_from,d_hz_loan_home*G1522,0)*BZ1522)</f>
        <v/>
      </c>
      <c r="BZ1523" s="11">
        <f>MIN(in_approval_cap,in_loan_home_approval*INDEX('Age profile'!$O$2:$O$61,B1523)*(1+in_approval_growth)^(D1523-1))</f>
        <v/>
      </c>
      <c r="CA1523" s="14">
        <f>F1523*BY1523*IF(B1523&gt;=in_marketplace_from,d_hz_loan_home*G1523,0)*BZ1523*in_loan_home_ticket*in_loan_home_comm</f>
        <v/>
      </c>
      <c r="CB1523" s="40">
        <f>CB1522*(1-IF(B1522&gt;=in_marketplace_from,d_hz_loan_lap*G1522,0)*CC1522)</f>
        <v/>
      </c>
      <c r="CC1523" s="11">
        <f>MIN(in_approval_cap,in_loan_lap_approval*INDEX('Age profile'!$O$2:$O$61,B1523)*(1+in_approval_growth)^(D1523-1))</f>
        <v/>
      </c>
      <c r="CD1523" s="14">
        <f>F1523*CB1523*IF(B1523&gt;=in_marketplace_from,d_hz_loan_lap*G1523,0)*CC1523*in_loan_lap_ticket*in_loan_lap_comm</f>
        <v/>
      </c>
      <c r="CE1523" s="14">
        <f>AA1523+AB1523+AC1523+AD1523+AG1523+AJ1523+AM1523+AP1523+AS1523+AU1523+AX1523+BB1523+BE1523+BG1523+BJ1523+BL1523+BO1523+BR1523+BT1523+BV1523+BX1523+CA1523+CD1523</f>
        <v/>
      </c>
    </row>
    <row r="1524">
      <c r="A1524" s="39" t="n">
        <v>36</v>
      </c>
      <c r="B1524" s="39" t="n">
        <v>18</v>
      </c>
      <c r="C1524" s="39">
        <f>A1524+B1524-1</f>
        <v/>
      </c>
      <c r="D1524" s="39">
        <f>INT((C1524-1)/12)+1</f>
        <v/>
      </c>
      <c r="E1524" s="44">
        <f>INDEX(Monthly!$B$2:$B$61,A1524)</f>
        <v/>
      </c>
      <c r="F1524" s="44">
        <f>E1524*INDEX('Age profile'!$B$2:$B$61,B1524)</f>
        <v/>
      </c>
      <c r="G1524" s="45">
        <f>MIN(in_takeup_cap,INDEX('Age profile'!$N$2:$N$61,B1524)*(1+in_takeup_growth)^(D1524-1))</f>
        <v/>
      </c>
      <c r="H1524" s="11">
        <f>MIN(in_approval_cap,in_approved_first*INDEX('Age profile'!$O$2:$O$61,B1524)*(1+in_approval_growth)^(D1524-1))</f>
        <v/>
      </c>
      <c r="I1524" s="45">
        <f>G1524*MIN(in_takeup_cap,INDEX('Age profile'!$O$2:$O$61,B1524)*(1+in_approval_growth)^(D1524-1))</f>
        <v/>
      </c>
      <c r="J1524" s="40">
        <f>(J1523-L1523)*F1524/F1523</f>
        <v/>
      </c>
      <c r="K1524" s="40">
        <f>(K1523-M1523)*F1524/F1523+SUMIFS(O1507:O1523,B1507:B1523,B1524-1-d_T)*F1524</f>
        <v/>
      </c>
      <c r="L1524" s="40">
        <f>IF(B1524&gt;=in_marketplace_from,J1524*d_hz*G1524*in_eligible*H1524,0)</f>
        <v/>
      </c>
      <c r="M1524" s="40">
        <f>IF(B1524&gt;=in_marketplace_from,K1524*d_hz*G1524*in_eligible*in_approved_repeat,0)</f>
        <v/>
      </c>
      <c r="N1524" s="40">
        <f>L1524+M1524</f>
        <v/>
      </c>
      <c r="O1524" s="46">
        <f>N1524/F1524</f>
        <v/>
      </c>
      <c r="P1524" s="40">
        <f>F1524-J1524-K1524</f>
        <v/>
      </c>
      <c r="Q1524" s="40">
        <f>IF(B1524&gt;=in_marketplace_from,(J1524+K1524)*d_hz*G1524,0)</f>
        <v/>
      </c>
      <c r="R1524" s="40">
        <f>SUMIFS(N1507:N1531,B1507:B1531,"&gt;="&amp;(B1524-d_T),B1507:B1531,"&lt;="&amp;(B1524-1))</f>
        <v/>
      </c>
      <c r="S1524" s="46">
        <f>(1-d_u)*S1523+IF(d_T&gt;in_topup_lag,SUMIFS(O1507:O1531,B1507:B1531,B1524-in_topup_lag)-d_udrop*SUMIFS(O1507:O1531,B1507:B1531,B1524-d_T),0)</f>
        <v/>
      </c>
      <c r="T1524" s="40">
        <f>F1524*d_u*S1524</f>
        <v/>
      </c>
      <c r="U1524" s="9">
        <f>L1524*in_ticket+M1524*d_rep_ticket</f>
        <v/>
      </c>
      <c r="V1524" s="9">
        <f>U1524+T1524*d_topup_amt</f>
        <v/>
      </c>
      <c r="W1524" s="40">
        <f>N1524+T1524*d_topup_ratio</f>
        <v/>
      </c>
      <c r="X1524" s="40">
        <f>SUMIFS(W1507:W1531,B1507:B1531,B1524-in_dpd_lag)*d_cured</f>
        <v/>
      </c>
      <c r="Y1524" s="40">
        <f>SUMIFS(W1507:W1531,B1507:B1531,B1524-in_rec_lag)*d_recd</f>
        <v/>
      </c>
      <c r="Z1524" s="40">
        <f>IF(AND(B1524&gt;=in_marketplace_from,B1524&lt;in_marketplace_from+in_card_months),in_card_share/in_card_months*F1524*I1524,IF(AND(B1524&gt;=in_marketplace_from+in_card_months,B1524&lt;in_marketplace_from+2*in_card_months),in_card_share*d_card_rem/in_card_months*F1524*MIN(in_takeup_cap,(1+in_takeup_growth)^(D1524-1))*MIN(in_takeup_cap,(1+in_approval_growth)^(D1524-1)),0))</f>
        <v/>
      </c>
      <c r="AA1524" s="14">
        <f>V1524*in_fee*(1-in_taken_back)</f>
        <v/>
      </c>
      <c r="AB1524" s="14">
        <f>SUMIFS(W1507:W1531,B1507:B1531,B1524-in_dpd_lag)*d_dpd</f>
        <v/>
      </c>
      <c r="AC1524" s="14">
        <f>SUMIFS(W1507:W1531,B1507:B1531,B1524-in_rec_lag)*d_rec</f>
        <v/>
      </c>
      <c r="AD1524" s="14">
        <f>Z1524*in_card_fee</f>
        <v/>
      </c>
      <c r="AE1524" s="40">
        <f>AE1523*(1-IF(B1523&gt;=in_marketplace_from,d_hz_hlth_small*G1523,0))</f>
        <v/>
      </c>
      <c r="AF1524" s="46">
        <f>AE1524*IF(B1524&gt;=in_marketplace_from,d_hz_hlth_small*G1524,0)</f>
        <v/>
      </c>
      <c r="AG1524" s="14">
        <f>F1524*AF1524*in_hlth_small_ticket*in_hlth_small_comm*in_ins_partner_share+F1524*in_hlth_small_ticket*in_hlth_small_renew_comm*in_ins_partner_share*(in_hlth_small_renew^1*SUMIFS(AF1507:AF1531,B1507:B1531,B1524-12)+in_hlth_small_renew^2*SUMIFS(AF1507:AF1531,B1507:B1531,B1524-24)+in_hlth_small_renew^3*SUMIFS(AF1507:AF1531,B1507:B1531,B1524-36)+in_hlth_small_renew^4*SUMIFS(AF1507:AF1531,B1507:B1531,B1524-48))</f>
        <v/>
      </c>
      <c r="AH1524" s="40">
        <f>AH1523*(1-IF(B1523&gt;=in_marketplace_from,d_hz_hlth_family*G1523,0))</f>
        <v/>
      </c>
      <c r="AI1524" s="46">
        <f>AH1524*IF(B1524&gt;=in_marketplace_from,d_hz_hlth_family*G1524,0)</f>
        <v/>
      </c>
      <c r="AJ1524" s="14">
        <f>F1524*AI1524*in_hlth_family_ticket*in_hlth_family_comm*in_ins_partner_share+F1524*in_hlth_family_ticket*in_hlth_family_renew_comm*in_ins_partner_share*(in_hlth_family_renew^1*SUMIFS(AI1507:AI1531,B1507:B1531,B1524-12)+in_hlth_family_renew^2*SUMIFS(AI1507:AI1531,B1507:B1531,B1524-24)+in_hlth_family_renew^3*SUMIFS(AI1507:AI1531,B1507:B1531,B1524-36)+in_hlth_family_renew^4*SUMIFS(AI1507:AI1531,B1507:B1531,B1524-48))</f>
        <v/>
      </c>
      <c r="AK1524" s="40">
        <f>AK1523*(1-IF(B1523&gt;=in_marketplace_from,d_hz_life_term*G1523,0))</f>
        <v/>
      </c>
      <c r="AL1524" s="46">
        <f>AK1524*IF(B1524&gt;=in_marketplace_from,d_hz_life_term*G1524,0)</f>
        <v/>
      </c>
      <c r="AM1524" s="14">
        <f>F1524*AL1524*in_life_term_ticket*in_life_term_comm*in_ins_partner_share+F1524*in_life_term_ticket*in_life_term_renew_comm*in_ins_partner_share*(in_life_term_renew^1*SUMIFS(AL1507:AL1531,B1507:B1531,B1524-12)+in_life_term_renew^2*SUMIFS(AL1507:AL1531,B1507:B1531,B1524-24)+in_life_term_renew^3*SUMIFS(AL1507:AL1531,B1507:B1531,B1524-36)+in_life_term_renew^4*SUMIFS(AL1507:AL1531,B1507:B1531,B1524-48))</f>
        <v/>
      </c>
      <c r="AN1524" s="40">
        <f>AN1523*(1-IF(B1523&gt;=in_marketplace_from,d_hz_accident*G1523,0))</f>
        <v/>
      </c>
      <c r="AO1524" s="46">
        <f>AN1524*IF(B1524&gt;=in_marketplace_from,d_hz_accident*G1524,0)</f>
        <v/>
      </c>
      <c r="AP1524" s="14">
        <f>F1524*AO1524*in_accident_ticket*in_accident_comm*in_ins_partner_share+F1524*in_accident_ticket*in_accident_renew_comm*in_ins_partner_share*(in_accident_renew^1*SUMIFS(AO1507:AO1531,B1507:B1531,B1524-12)+in_accident_renew^2*SUMIFS(AO1507:AO1531,B1507:B1531,B1524-24)+in_accident_renew^3*SUMIFS(AO1507:AO1531,B1507:B1531,B1524-36)+in_accident_renew^4*SUMIFS(AO1507:AO1531,B1507:B1531,B1524-48))</f>
        <v/>
      </c>
      <c r="AQ1524" s="40">
        <f>AQ1523*(1-IF(B1523&gt;=in_marketplace_from,d_hz_two_wheeler*G1523,0))</f>
        <v/>
      </c>
      <c r="AR1524" s="46">
        <f>AQ1524*IF(B1524&gt;=in_marketplace_from,d_hz_two_wheeler*G1524,0)</f>
        <v/>
      </c>
      <c r="AS1524" s="14">
        <f>F1524*AR1524*in_two_wheeler_ticket*in_two_wheeler_comm*in_ins_partner_share+F1524*in_two_wheeler_ticket*in_two_wheeler_comm*in_ins_partner_share*(in_two_wheeler_renew^1*SUMIFS(AR1507:AR1531,B1507:B1531,B1524-12)+in_two_wheeler_renew^2*SUMIFS(AR1507:AR1531,B1507:B1531,B1524-24)+in_two_wheeler_renew^3*SUMIFS(AR1507:AR1531,B1507:B1531,B1524-36)+in_two_wheeler_renew^4*SUMIFS(AR1507:AR1531,B1507:B1531,B1524-48))</f>
        <v/>
      </c>
      <c r="AT1524" s="40">
        <f>AT1523*(1-IF(B1523&gt;=in_marketplace_from,d_hz_device*G1523,0))</f>
        <v/>
      </c>
      <c r="AU1524" s="14">
        <f>F1524*AT1524*IF(B1524&gt;=in_marketplace_from,d_hz_device*G1524,0)*in_device_ticket*in_device_comm*in_ins_partner_share</f>
        <v/>
      </c>
      <c r="AV1524" s="40">
        <f>AV1523*(1-IF(B1523&gt;=in_marketplace_from,d_hz_shop*G1523,0))</f>
        <v/>
      </c>
      <c r="AW1524" s="46">
        <f>AV1524*IF(B1524&gt;=in_marketplace_from,d_hz_shop*G1524,0)</f>
        <v/>
      </c>
      <c r="AX1524" s="14">
        <f>F1524*AW1524*in_shop_ticket*in_shop_comm*in_ins_partner_share+F1524*in_shop_ticket*in_shop_renew_comm*in_ins_partner_share*(in_shop_renew^1*SUMIFS(AW1507:AW1531,B1507:B1531,B1524-12)+in_shop_renew^2*SUMIFS(AW1507:AW1531,B1507:B1531,B1524-24)+in_shop_renew^3*SUMIFS(AW1507:AW1531,B1507:B1531,B1524-36)+in_shop_renew^4*SUMIFS(AW1507:AW1531,B1507:B1531,B1524-48))</f>
        <v/>
      </c>
      <c r="AY1524" s="40">
        <f>AY1523*(1-IF(B1523&gt;=in_marketplace_from,d_hz_sip*G1523,0))</f>
        <v/>
      </c>
      <c r="AZ1524" s="40">
        <f>AZ1523*d_rho_sip+AY1524*IF(B1524&gt;=in_marketplace_from,d_hz_sip*G1524,0)</f>
        <v/>
      </c>
      <c r="BA1524" s="40">
        <f>d_rho_sip*(BA1523+AZ1523)</f>
        <v/>
      </c>
      <c r="BB1524" s="14">
        <f>F1524*in_sip_ticket*(BA1524+0.5*AZ1524)*in_sip_comm/12</f>
        <v/>
      </c>
      <c r="BC1524" s="40">
        <f>BC1523*(1-IF(B1523&gt;=in_marketplace_from,d_hz_choti*G1523,0))</f>
        <v/>
      </c>
      <c r="BD1524" s="46">
        <f>BC1524*IF(B1524&gt;=in_marketplace_from,d_hz_choti*G1524,0)</f>
        <v/>
      </c>
      <c r="BE1524" s="14">
        <f>F1524*SUMIFS(BD1507:BD1531,B1507:B1531,B1524-in_choti_months)*in_choti_renew*in_choti_ticket</f>
        <v/>
      </c>
      <c r="BF1524" s="40">
        <f>BF1523*(1-IF(B1523&gt;=in_marketplace_from,d_hz_nps*G1523,0))</f>
        <v/>
      </c>
      <c r="BG1524" s="14">
        <f>F1524*BF1524*IF(B1524&gt;=in_marketplace_from,d_hz_nps*G1524,0)*in_nps_ticket*in_nps_comm</f>
        <v/>
      </c>
      <c r="BH1524" s="40">
        <f>BH1523*(1-IF(B1523&gt;=in_marketplace_from,d_hz_gold*G1523,0))</f>
        <v/>
      </c>
      <c r="BI1524" s="40">
        <f>BI1523*d_rho_gold+BH1524*IF(B1524&gt;=in_marketplace_from,d_hz_gold*G1524,0)</f>
        <v/>
      </c>
      <c r="BJ1524" s="14">
        <f>F1524*BI1524*in_gold_ticket*in_gold_comm</f>
        <v/>
      </c>
      <c r="BK1524" s="40">
        <f>BK1523*(1-IF(B1523&gt;=in_marketplace_from,d_hz_fd*G1523,0))</f>
        <v/>
      </c>
      <c r="BL1524" s="14">
        <f>F1524*BK1524*IF(B1524&gt;=in_marketplace_from,d_hz_fd*G1524,0)*in_fd_ticket*in_fd_comm</f>
        <v/>
      </c>
      <c r="BM1524" s="40">
        <f>BM1523*(1-IF(B1523&gt;=in_marketplace_from,d_hz_recharge*G1523,0))</f>
        <v/>
      </c>
      <c r="BN1524" s="40">
        <f>BN1523*d_rho_recharge+BM1524*IF(B1524&gt;=in_marketplace_from,d_hz_recharge*G1524,0)</f>
        <v/>
      </c>
      <c r="BO1524" s="14">
        <f>F1524*BN1524*in_recharge_ticket*in_recharge_comm/12</f>
        <v/>
      </c>
      <c r="BP1524" s="40">
        <f>BP1523*(1-IF(B1523&gt;=in_marketplace_from,d_hz_bills*G1523,0))</f>
        <v/>
      </c>
      <c r="BQ1524" s="40">
        <f>BQ1523*d_rho_bills+BP1524*IF(B1524&gt;=in_marketplace_from,d_hz_bills*G1524,0)</f>
        <v/>
      </c>
      <c r="BR1524" s="14">
        <f>F1524*BQ1524*in_bills_ticket*in_bills_comm/12</f>
        <v/>
      </c>
      <c r="BS1524" s="40">
        <f>BS1523*(1-IF(B1523&gt;=in_marketplace_from,d_hz_loan_gold*G1523,0))</f>
        <v/>
      </c>
      <c r="BT1524" s="14">
        <f>F1524*BS1524*IF(B1524&gt;=in_marketplace_from,d_hz_loan_gold*G1524,0)*in_loan_gold_ticket*in_loan_gold_comm</f>
        <v/>
      </c>
      <c r="BU1524" s="40">
        <f>BU1523*(1-IF(B1523&gt;=in_marketplace_from,d_hz_loan_cd*G1523,0))</f>
        <v/>
      </c>
      <c r="BV1524" s="14">
        <f>F1524*BU1524*IF(B1524&gt;=in_marketplace_from,d_hz_loan_cd*G1524,0)*in_loan_cd_ticket*in_loan_cd_comm</f>
        <v/>
      </c>
      <c r="BW1524" s="40">
        <f>BW1523*(1-IF(B1523&gt;=in_marketplace_from,d_hz_loan_vehicle*G1523,0))</f>
        <v/>
      </c>
      <c r="BX1524" s="14">
        <f>F1524*BW1524*IF(B1524&gt;=in_marketplace_from,d_hz_loan_vehicle*G1524,0)*in_loan_vehicle_ticket*in_loan_vehicle_comm</f>
        <v/>
      </c>
      <c r="BY1524" s="40">
        <f>BY1523*(1-IF(B1523&gt;=in_marketplace_from,d_hz_loan_home*G1523,0)*BZ1523)</f>
        <v/>
      </c>
      <c r="BZ1524" s="11">
        <f>MIN(in_approval_cap,in_loan_home_approval*INDEX('Age profile'!$O$2:$O$61,B1524)*(1+in_approval_growth)^(D1524-1))</f>
        <v/>
      </c>
      <c r="CA1524" s="14">
        <f>F1524*BY1524*IF(B1524&gt;=in_marketplace_from,d_hz_loan_home*G1524,0)*BZ1524*in_loan_home_ticket*in_loan_home_comm</f>
        <v/>
      </c>
      <c r="CB1524" s="40">
        <f>CB1523*(1-IF(B1523&gt;=in_marketplace_from,d_hz_loan_lap*G1523,0)*CC1523)</f>
        <v/>
      </c>
      <c r="CC1524" s="11">
        <f>MIN(in_approval_cap,in_loan_lap_approval*INDEX('Age profile'!$O$2:$O$61,B1524)*(1+in_approval_growth)^(D1524-1))</f>
        <v/>
      </c>
      <c r="CD1524" s="14">
        <f>F1524*CB1524*IF(B1524&gt;=in_marketplace_from,d_hz_loan_lap*G1524,0)*CC1524*in_loan_lap_ticket*in_loan_lap_comm</f>
        <v/>
      </c>
      <c r="CE1524" s="14">
        <f>AA1524+AB1524+AC1524+AD1524+AG1524+AJ1524+AM1524+AP1524+AS1524+AU1524+AX1524+BB1524+BE1524+BG1524+BJ1524+BL1524+BO1524+BR1524+BT1524+BV1524+BX1524+CA1524+CD1524</f>
        <v/>
      </c>
    </row>
    <row r="1525">
      <c r="A1525" s="39" t="n">
        <v>36</v>
      </c>
      <c r="B1525" s="39" t="n">
        <v>19</v>
      </c>
      <c r="C1525" s="39">
        <f>A1525+B1525-1</f>
        <v/>
      </c>
      <c r="D1525" s="39">
        <f>INT((C1525-1)/12)+1</f>
        <v/>
      </c>
      <c r="E1525" s="44">
        <f>INDEX(Monthly!$B$2:$B$61,A1525)</f>
        <v/>
      </c>
      <c r="F1525" s="44">
        <f>E1525*INDEX('Age profile'!$B$2:$B$61,B1525)</f>
        <v/>
      </c>
      <c r="G1525" s="45">
        <f>MIN(in_takeup_cap,INDEX('Age profile'!$N$2:$N$61,B1525)*(1+in_takeup_growth)^(D1525-1))</f>
        <v/>
      </c>
      <c r="H1525" s="11">
        <f>MIN(in_approval_cap,in_approved_first*INDEX('Age profile'!$O$2:$O$61,B1525)*(1+in_approval_growth)^(D1525-1))</f>
        <v/>
      </c>
      <c r="I1525" s="45">
        <f>G1525*MIN(in_takeup_cap,INDEX('Age profile'!$O$2:$O$61,B1525)*(1+in_approval_growth)^(D1525-1))</f>
        <v/>
      </c>
      <c r="J1525" s="40">
        <f>(J1524-L1524)*F1525/F1524</f>
        <v/>
      </c>
      <c r="K1525" s="40">
        <f>(K1524-M1524)*F1525/F1524+SUMIFS(O1507:O1524,B1507:B1524,B1525-1-d_T)*F1525</f>
        <v/>
      </c>
      <c r="L1525" s="40">
        <f>IF(B1525&gt;=in_marketplace_from,J1525*d_hz*G1525*in_eligible*H1525,0)</f>
        <v/>
      </c>
      <c r="M1525" s="40">
        <f>IF(B1525&gt;=in_marketplace_from,K1525*d_hz*G1525*in_eligible*in_approved_repeat,0)</f>
        <v/>
      </c>
      <c r="N1525" s="40">
        <f>L1525+M1525</f>
        <v/>
      </c>
      <c r="O1525" s="46">
        <f>N1525/F1525</f>
        <v/>
      </c>
      <c r="P1525" s="40">
        <f>F1525-J1525-K1525</f>
        <v/>
      </c>
      <c r="Q1525" s="40">
        <f>IF(B1525&gt;=in_marketplace_from,(J1525+K1525)*d_hz*G1525,0)</f>
        <v/>
      </c>
      <c r="R1525" s="40">
        <f>SUMIFS(N1507:N1531,B1507:B1531,"&gt;="&amp;(B1525-d_T),B1507:B1531,"&lt;="&amp;(B1525-1))</f>
        <v/>
      </c>
      <c r="S1525" s="46">
        <f>(1-d_u)*S1524+IF(d_T&gt;in_topup_lag,SUMIFS(O1507:O1531,B1507:B1531,B1525-in_topup_lag)-d_udrop*SUMIFS(O1507:O1531,B1507:B1531,B1525-d_T),0)</f>
        <v/>
      </c>
      <c r="T1525" s="40">
        <f>F1525*d_u*S1525</f>
        <v/>
      </c>
      <c r="U1525" s="9">
        <f>L1525*in_ticket+M1525*d_rep_ticket</f>
        <v/>
      </c>
      <c r="V1525" s="9">
        <f>U1525+T1525*d_topup_amt</f>
        <v/>
      </c>
      <c r="W1525" s="40">
        <f>N1525+T1525*d_topup_ratio</f>
        <v/>
      </c>
      <c r="X1525" s="40">
        <f>SUMIFS(W1507:W1531,B1507:B1531,B1525-in_dpd_lag)*d_cured</f>
        <v/>
      </c>
      <c r="Y1525" s="40">
        <f>SUMIFS(W1507:W1531,B1507:B1531,B1525-in_rec_lag)*d_recd</f>
        <v/>
      </c>
      <c r="Z1525" s="40">
        <f>IF(AND(B1525&gt;=in_marketplace_from,B1525&lt;in_marketplace_from+in_card_months),in_card_share/in_card_months*F1525*I1525,IF(AND(B1525&gt;=in_marketplace_from+in_card_months,B1525&lt;in_marketplace_from+2*in_card_months),in_card_share*d_card_rem/in_card_months*F1525*MIN(in_takeup_cap,(1+in_takeup_growth)^(D1525-1))*MIN(in_takeup_cap,(1+in_approval_growth)^(D1525-1)),0))</f>
        <v/>
      </c>
      <c r="AA1525" s="14">
        <f>V1525*in_fee*(1-in_taken_back)</f>
        <v/>
      </c>
      <c r="AB1525" s="14">
        <f>SUMIFS(W1507:W1531,B1507:B1531,B1525-in_dpd_lag)*d_dpd</f>
        <v/>
      </c>
      <c r="AC1525" s="14">
        <f>SUMIFS(W1507:W1531,B1507:B1531,B1525-in_rec_lag)*d_rec</f>
        <v/>
      </c>
      <c r="AD1525" s="14">
        <f>Z1525*in_card_fee</f>
        <v/>
      </c>
      <c r="AE1525" s="40">
        <f>AE1524*(1-IF(B1524&gt;=in_marketplace_from,d_hz_hlth_small*G1524,0))</f>
        <v/>
      </c>
      <c r="AF1525" s="46">
        <f>AE1525*IF(B1525&gt;=in_marketplace_from,d_hz_hlth_small*G1525,0)</f>
        <v/>
      </c>
      <c r="AG1525" s="14">
        <f>F1525*AF1525*in_hlth_small_ticket*in_hlth_small_comm*in_ins_partner_share+F1525*in_hlth_small_ticket*in_hlth_small_renew_comm*in_ins_partner_share*(in_hlth_small_renew^1*SUMIFS(AF1507:AF1531,B1507:B1531,B1525-12)+in_hlth_small_renew^2*SUMIFS(AF1507:AF1531,B1507:B1531,B1525-24)+in_hlth_small_renew^3*SUMIFS(AF1507:AF1531,B1507:B1531,B1525-36)+in_hlth_small_renew^4*SUMIFS(AF1507:AF1531,B1507:B1531,B1525-48))</f>
        <v/>
      </c>
      <c r="AH1525" s="40">
        <f>AH1524*(1-IF(B1524&gt;=in_marketplace_from,d_hz_hlth_family*G1524,0))</f>
        <v/>
      </c>
      <c r="AI1525" s="46">
        <f>AH1525*IF(B1525&gt;=in_marketplace_from,d_hz_hlth_family*G1525,0)</f>
        <v/>
      </c>
      <c r="AJ1525" s="14">
        <f>F1525*AI1525*in_hlth_family_ticket*in_hlth_family_comm*in_ins_partner_share+F1525*in_hlth_family_ticket*in_hlth_family_renew_comm*in_ins_partner_share*(in_hlth_family_renew^1*SUMIFS(AI1507:AI1531,B1507:B1531,B1525-12)+in_hlth_family_renew^2*SUMIFS(AI1507:AI1531,B1507:B1531,B1525-24)+in_hlth_family_renew^3*SUMIFS(AI1507:AI1531,B1507:B1531,B1525-36)+in_hlth_family_renew^4*SUMIFS(AI1507:AI1531,B1507:B1531,B1525-48))</f>
        <v/>
      </c>
      <c r="AK1525" s="40">
        <f>AK1524*(1-IF(B1524&gt;=in_marketplace_from,d_hz_life_term*G1524,0))</f>
        <v/>
      </c>
      <c r="AL1525" s="46">
        <f>AK1525*IF(B1525&gt;=in_marketplace_from,d_hz_life_term*G1525,0)</f>
        <v/>
      </c>
      <c r="AM1525" s="14">
        <f>F1525*AL1525*in_life_term_ticket*in_life_term_comm*in_ins_partner_share+F1525*in_life_term_ticket*in_life_term_renew_comm*in_ins_partner_share*(in_life_term_renew^1*SUMIFS(AL1507:AL1531,B1507:B1531,B1525-12)+in_life_term_renew^2*SUMIFS(AL1507:AL1531,B1507:B1531,B1525-24)+in_life_term_renew^3*SUMIFS(AL1507:AL1531,B1507:B1531,B1525-36)+in_life_term_renew^4*SUMIFS(AL1507:AL1531,B1507:B1531,B1525-48))</f>
        <v/>
      </c>
      <c r="AN1525" s="40">
        <f>AN1524*(1-IF(B1524&gt;=in_marketplace_from,d_hz_accident*G1524,0))</f>
        <v/>
      </c>
      <c r="AO1525" s="46">
        <f>AN1525*IF(B1525&gt;=in_marketplace_from,d_hz_accident*G1525,0)</f>
        <v/>
      </c>
      <c r="AP1525" s="14">
        <f>F1525*AO1525*in_accident_ticket*in_accident_comm*in_ins_partner_share+F1525*in_accident_ticket*in_accident_renew_comm*in_ins_partner_share*(in_accident_renew^1*SUMIFS(AO1507:AO1531,B1507:B1531,B1525-12)+in_accident_renew^2*SUMIFS(AO1507:AO1531,B1507:B1531,B1525-24)+in_accident_renew^3*SUMIFS(AO1507:AO1531,B1507:B1531,B1525-36)+in_accident_renew^4*SUMIFS(AO1507:AO1531,B1507:B1531,B1525-48))</f>
        <v/>
      </c>
      <c r="AQ1525" s="40">
        <f>AQ1524*(1-IF(B1524&gt;=in_marketplace_from,d_hz_two_wheeler*G1524,0))</f>
        <v/>
      </c>
      <c r="AR1525" s="46">
        <f>AQ1525*IF(B1525&gt;=in_marketplace_from,d_hz_two_wheeler*G1525,0)</f>
        <v/>
      </c>
      <c r="AS1525" s="14">
        <f>F1525*AR1525*in_two_wheeler_ticket*in_two_wheeler_comm*in_ins_partner_share+F1525*in_two_wheeler_ticket*in_two_wheeler_comm*in_ins_partner_share*(in_two_wheeler_renew^1*SUMIFS(AR1507:AR1531,B1507:B1531,B1525-12)+in_two_wheeler_renew^2*SUMIFS(AR1507:AR1531,B1507:B1531,B1525-24)+in_two_wheeler_renew^3*SUMIFS(AR1507:AR1531,B1507:B1531,B1525-36)+in_two_wheeler_renew^4*SUMIFS(AR1507:AR1531,B1507:B1531,B1525-48))</f>
        <v/>
      </c>
      <c r="AT1525" s="40">
        <f>AT1524*(1-IF(B1524&gt;=in_marketplace_from,d_hz_device*G1524,0))</f>
        <v/>
      </c>
      <c r="AU1525" s="14">
        <f>F1525*AT1525*IF(B1525&gt;=in_marketplace_from,d_hz_device*G1525,0)*in_device_ticket*in_device_comm*in_ins_partner_share</f>
        <v/>
      </c>
      <c r="AV1525" s="40">
        <f>AV1524*(1-IF(B1524&gt;=in_marketplace_from,d_hz_shop*G1524,0))</f>
        <v/>
      </c>
      <c r="AW1525" s="46">
        <f>AV1525*IF(B1525&gt;=in_marketplace_from,d_hz_shop*G1525,0)</f>
        <v/>
      </c>
      <c r="AX1525" s="14">
        <f>F1525*AW1525*in_shop_ticket*in_shop_comm*in_ins_partner_share+F1525*in_shop_ticket*in_shop_renew_comm*in_ins_partner_share*(in_shop_renew^1*SUMIFS(AW1507:AW1531,B1507:B1531,B1525-12)+in_shop_renew^2*SUMIFS(AW1507:AW1531,B1507:B1531,B1525-24)+in_shop_renew^3*SUMIFS(AW1507:AW1531,B1507:B1531,B1525-36)+in_shop_renew^4*SUMIFS(AW1507:AW1531,B1507:B1531,B1525-48))</f>
        <v/>
      </c>
      <c r="AY1525" s="40">
        <f>AY1524*(1-IF(B1524&gt;=in_marketplace_from,d_hz_sip*G1524,0))</f>
        <v/>
      </c>
      <c r="AZ1525" s="40">
        <f>AZ1524*d_rho_sip+AY1525*IF(B1525&gt;=in_marketplace_from,d_hz_sip*G1525,0)</f>
        <v/>
      </c>
      <c r="BA1525" s="40">
        <f>d_rho_sip*(BA1524+AZ1524)</f>
        <v/>
      </c>
      <c r="BB1525" s="14">
        <f>F1525*in_sip_ticket*(BA1525+0.5*AZ1525)*in_sip_comm/12</f>
        <v/>
      </c>
      <c r="BC1525" s="40">
        <f>BC1524*(1-IF(B1524&gt;=in_marketplace_from,d_hz_choti*G1524,0))</f>
        <v/>
      </c>
      <c r="BD1525" s="46">
        <f>BC1525*IF(B1525&gt;=in_marketplace_from,d_hz_choti*G1525,0)</f>
        <v/>
      </c>
      <c r="BE1525" s="14">
        <f>F1525*SUMIFS(BD1507:BD1531,B1507:B1531,B1525-in_choti_months)*in_choti_renew*in_choti_ticket</f>
        <v/>
      </c>
      <c r="BF1525" s="40">
        <f>BF1524*(1-IF(B1524&gt;=in_marketplace_from,d_hz_nps*G1524,0))</f>
        <v/>
      </c>
      <c r="BG1525" s="14">
        <f>F1525*BF1525*IF(B1525&gt;=in_marketplace_from,d_hz_nps*G1525,0)*in_nps_ticket*in_nps_comm</f>
        <v/>
      </c>
      <c r="BH1525" s="40">
        <f>BH1524*(1-IF(B1524&gt;=in_marketplace_from,d_hz_gold*G1524,0))</f>
        <v/>
      </c>
      <c r="BI1525" s="40">
        <f>BI1524*d_rho_gold+BH1525*IF(B1525&gt;=in_marketplace_from,d_hz_gold*G1525,0)</f>
        <v/>
      </c>
      <c r="BJ1525" s="14">
        <f>F1525*BI1525*in_gold_ticket*in_gold_comm</f>
        <v/>
      </c>
      <c r="BK1525" s="40">
        <f>BK1524*(1-IF(B1524&gt;=in_marketplace_from,d_hz_fd*G1524,0))</f>
        <v/>
      </c>
      <c r="BL1525" s="14">
        <f>F1525*BK1525*IF(B1525&gt;=in_marketplace_from,d_hz_fd*G1525,0)*in_fd_ticket*in_fd_comm</f>
        <v/>
      </c>
      <c r="BM1525" s="40">
        <f>BM1524*(1-IF(B1524&gt;=in_marketplace_from,d_hz_recharge*G1524,0))</f>
        <v/>
      </c>
      <c r="BN1525" s="40">
        <f>BN1524*d_rho_recharge+BM1525*IF(B1525&gt;=in_marketplace_from,d_hz_recharge*G1525,0)</f>
        <v/>
      </c>
      <c r="BO1525" s="14">
        <f>F1525*BN1525*in_recharge_ticket*in_recharge_comm/12</f>
        <v/>
      </c>
      <c r="BP1525" s="40">
        <f>BP1524*(1-IF(B1524&gt;=in_marketplace_from,d_hz_bills*G1524,0))</f>
        <v/>
      </c>
      <c r="BQ1525" s="40">
        <f>BQ1524*d_rho_bills+BP1525*IF(B1525&gt;=in_marketplace_from,d_hz_bills*G1525,0)</f>
        <v/>
      </c>
      <c r="BR1525" s="14">
        <f>F1525*BQ1525*in_bills_ticket*in_bills_comm/12</f>
        <v/>
      </c>
      <c r="BS1525" s="40">
        <f>BS1524*(1-IF(B1524&gt;=in_marketplace_from,d_hz_loan_gold*G1524,0))</f>
        <v/>
      </c>
      <c r="BT1525" s="14">
        <f>F1525*BS1525*IF(B1525&gt;=in_marketplace_from,d_hz_loan_gold*G1525,0)*in_loan_gold_ticket*in_loan_gold_comm</f>
        <v/>
      </c>
      <c r="BU1525" s="40">
        <f>BU1524*(1-IF(B1524&gt;=in_marketplace_from,d_hz_loan_cd*G1524,0))</f>
        <v/>
      </c>
      <c r="BV1525" s="14">
        <f>F1525*BU1525*IF(B1525&gt;=in_marketplace_from,d_hz_loan_cd*G1525,0)*in_loan_cd_ticket*in_loan_cd_comm</f>
        <v/>
      </c>
      <c r="BW1525" s="40">
        <f>BW1524*(1-IF(B1524&gt;=in_marketplace_from,d_hz_loan_vehicle*G1524,0))</f>
        <v/>
      </c>
      <c r="BX1525" s="14">
        <f>F1525*BW1525*IF(B1525&gt;=in_marketplace_from,d_hz_loan_vehicle*G1525,0)*in_loan_vehicle_ticket*in_loan_vehicle_comm</f>
        <v/>
      </c>
      <c r="BY1525" s="40">
        <f>BY1524*(1-IF(B1524&gt;=in_marketplace_from,d_hz_loan_home*G1524,0)*BZ1524)</f>
        <v/>
      </c>
      <c r="BZ1525" s="11">
        <f>MIN(in_approval_cap,in_loan_home_approval*INDEX('Age profile'!$O$2:$O$61,B1525)*(1+in_approval_growth)^(D1525-1))</f>
        <v/>
      </c>
      <c r="CA1525" s="14">
        <f>F1525*BY1525*IF(B1525&gt;=in_marketplace_from,d_hz_loan_home*G1525,0)*BZ1525*in_loan_home_ticket*in_loan_home_comm</f>
        <v/>
      </c>
      <c r="CB1525" s="40">
        <f>CB1524*(1-IF(B1524&gt;=in_marketplace_from,d_hz_loan_lap*G1524,0)*CC1524)</f>
        <v/>
      </c>
      <c r="CC1525" s="11">
        <f>MIN(in_approval_cap,in_loan_lap_approval*INDEX('Age profile'!$O$2:$O$61,B1525)*(1+in_approval_growth)^(D1525-1))</f>
        <v/>
      </c>
      <c r="CD1525" s="14">
        <f>F1525*CB1525*IF(B1525&gt;=in_marketplace_from,d_hz_loan_lap*G1525,0)*CC1525*in_loan_lap_ticket*in_loan_lap_comm</f>
        <v/>
      </c>
      <c r="CE1525" s="14">
        <f>AA1525+AB1525+AC1525+AD1525+AG1525+AJ1525+AM1525+AP1525+AS1525+AU1525+AX1525+BB1525+BE1525+BG1525+BJ1525+BL1525+BO1525+BR1525+BT1525+BV1525+BX1525+CA1525+CD1525</f>
        <v/>
      </c>
    </row>
    <row r="1526">
      <c r="A1526" s="39" t="n">
        <v>36</v>
      </c>
      <c r="B1526" s="39" t="n">
        <v>20</v>
      </c>
      <c r="C1526" s="39">
        <f>A1526+B1526-1</f>
        <v/>
      </c>
      <c r="D1526" s="39">
        <f>INT((C1526-1)/12)+1</f>
        <v/>
      </c>
      <c r="E1526" s="44">
        <f>INDEX(Monthly!$B$2:$B$61,A1526)</f>
        <v/>
      </c>
      <c r="F1526" s="44">
        <f>E1526*INDEX('Age profile'!$B$2:$B$61,B1526)</f>
        <v/>
      </c>
      <c r="G1526" s="45">
        <f>MIN(in_takeup_cap,INDEX('Age profile'!$N$2:$N$61,B1526)*(1+in_takeup_growth)^(D1526-1))</f>
        <v/>
      </c>
      <c r="H1526" s="11">
        <f>MIN(in_approval_cap,in_approved_first*INDEX('Age profile'!$O$2:$O$61,B1526)*(1+in_approval_growth)^(D1526-1))</f>
        <v/>
      </c>
      <c r="I1526" s="45">
        <f>G1526*MIN(in_takeup_cap,INDEX('Age profile'!$O$2:$O$61,B1526)*(1+in_approval_growth)^(D1526-1))</f>
        <v/>
      </c>
      <c r="J1526" s="40">
        <f>(J1525-L1525)*F1526/F1525</f>
        <v/>
      </c>
      <c r="K1526" s="40">
        <f>(K1525-M1525)*F1526/F1525+SUMIFS(O1507:O1525,B1507:B1525,B1526-1-d_T)*F1526</f>
        <v/>
      </c>
      <c r="L1526" s="40">
        <f>IF(B1526&gt;=in_marketplace_from,J1526*d_hz*G1526*in_eligible*H1526,0)</f>
        <v/>
      </c>
      <c r="M1526" s="40">
        <f>IF(B1526&gt;=in_marketplace_from,K1526*d_hz*G1526*in_eligible*in_approved_repeat,0)</f>
        <v/>
      </c>
      <c r="N1526" s="40">
        <f>L1526+M1526</f>
        <v/>
      </c>
      <c r="O1526" s="46">
        <f>N1526/F1526</f>
        <v/>
      </c>
      <c r="P1526" s="40">
        <f>F1526-J1526-K1526</f>
        <v/>
      </c>
      <c r="Q1526" s="40">
        <f>IF(B1526&gt;=in_marketplace_from,(J1526+K1526)*d_hz*G1526,0)</f>
        <v/>
      </c>
      <c r="R1526" s="40">
        <f>SUMIFS(N1507:N1531,B1507:B1531,"&gt;="&amp;(B1526-d_T),B1507:B1531,"&lt;="&amp;(B1526-1))</f>
        <v/>
      </c>
      <c r="S1526" s="46">
        <f>(1-d_u)*S1525+IF(d_T&gt;in_topup_lag,SUMIFS(O1507:O1531,B1507:B1531,B1526-in_topup_lag)-d_udrop*SUMIFS(O1507:O1531,B1507:B1531,B1526-d_T),0)</f>
        <v/>
      </c>
      <c r="T1526" s="40">
        <f>F1526*d_u*S1526</f>
        <v/>
      </c>
      <c r="U1526" s="9">
        <f>L1526*in_ticket+M1526*d_rep_ticket</f>
        <v/>
      </c>
      <c r="V1526" s="9">
        <f>U1526+T1526*d_topup_amt</f>
        <v/>
      </c>
      <c r="W1526" s="40">
        <f>N1526+T1526*d_topup_ratio</f>
        <v/>
      </c>
      <c r="X1526" s="40">
        <f>SUMIFS(W1507:W1531,B1507:B1531,B1526-in_dpd_lag)*d_cured</f>
        <v/>
      </c>
      <c r="Y1526" s="40">
        <f>SUMIFS(W1507:W1531,B1507:B1531,B1526-in_rec_lag)*d_recd</f>
        <v/>
      </c>
      <c r="Z1526" s="40">
        <f>IF(AND(B1526&gt;=in_marketplace_from,B1526&lt;in_marketplace_from+in_card_months),in_card_share/in_card_months*F1526*I1526,IF(AND(B1526&gt;=in_marketplace_from+in_card_months,B1526&lt;in_marketplace_from+2*in_card_months),in_card_share*d_card_rem/in_card_months*F1526*MIN(in_takeup_cap,(1+in_takeup_growth)^(D1526-1))*MIN(in_takeup_cap,(1+in_approval_growth)^(D1526-1)),0))</f>
        <v/>
      </c>
      <c r="AA1526" s="14">
        <f>V1526*in_fee*(1-in_taken_back)</f>
        <v/>
      </c>
      <c r="AB1526" s="14">
        <f>SUMIFS(W1507:W1531,B1507:B1531,B1526-in_dpd_lag)*d_dpd</f>
        <v/>
      </c>
      <c r="AC1526" s="14">
        <f>SUMIFS(W1507:W1531,B1507:B1531,B1526-in_rec_lag)*d_rec</f>
        <v/>
      </c>
      <c r="AD1526" s="14">
        <f>Z1526*in_card_fee</f>
        <v/>
      </c>
      <c r="AE1526" s="40">
        <f>AE1525*(1-IF(B1525&gt;=in_marketplace_from,d_hz_hlth_small*G1525,0))</f>
        <v/>
      </c>
      <c r="AF1526" s="46">
        <f>AE1526*IF(B1526&gt;=in_marketplace_from,d_hz_hlth_small*G1526,0)</f>
        <v/>
      </c>
      <c r="AG1526" s="14">
        <f>F1526*AF1526*in_hlth_small_ticket*in_hlth_small_comm*in_ins_partner_share+F1526*in_hlth_small_ticket*in_hlth_small_renew_comm*in_ins_partner_share*(in_hlth_small_renew^1*SUMIFS(AF1507:AF1531,B1507:B1531,B1526-12)+in_hlth_small_renew^2*SUMIFS(AF1507:AF1531,B1507:B1531,B1526-24)+in_hlth_small_renew^3*SUMIFS(AF1507:AF1531,B1507:B1531,B1526-36)+in_hlth_small_renew^4*SUMIFS(AF1507:AF1531,B1507:B1531,B1526-48))</f>
        <v/>
      </c>
      <c r="AH1526" s="40">
        <f>AH1525*(1-IF(B1525&gt;=in_marketplace_from,d_hz_hlth_family*G1525,0))</f>
        <v/>
      </c>
      <c r="AI1526" s="46">
        <f>AH1526*IF(B1526&gt;=in_marketplace_from,d_hz_hlth_family*G1526,0)</f>
        <v/>
      </c>
      <c r="AJ1526" s="14">
        <f>F1526*AI1526*in_hlth_family_ticket*in_hlth_family_comm*in_ins_partner_share+F1526*in_hlth_family_ticket*in_hlth_family_renew_comm*in_ins_partner_share*(in_hlth_family_renew^1*SUMIFS(AI1507:AI1531,B1507:B1531,B1526-12)+in_hlth_family_renew^2*SUMIFS(AI1507:AI1531,B1507:B1531,B1526-24)+in_hlth_family_renew^3*SUMIFS(AI1507:AI1531,B1507:B1531,B1526-36)+in_hlth_family_renew^4*SUMIFS(AI1507:AI1531,B1507:B1531,B1526-48))</f>
        <v/>
      </c>
      <c r="AK1526" s="40">
        <f>AK1525*(1-IF(B1525&gt;=in_marketplace_from,d_hz_life_term*G1525,0))</f>
        <v/>
      </c>
      <c r="AL1526" s="46">
        <f>AK1526*IF(B1526&gt;=in_marketplace_from,d_hz_life_term*G1526,0)</f>
        <v/>
      </c>
      <c r="AM1526" s="14">
        <f>F1526*AL1526*in_life_term_ticket*in_life_term_comm*in_ins_partner_share+F1526*in_life_term_ticket*in_life_term_renew_comm*in_ins_partner_share*(in_life_term_renew^1*SUMIFS(AL1507:AL1531,B1507:B1531,B1526-12)+in_life_term_renew^2*SUMIFS(AL1507:AL1531,B1507:B1531,B1526-24)+in_life_term_renew^3*SUMIFS(AL1507:AL1531,B1507:B1531,B1526-36)+in_life_term_renew^4*SUMIFS(AL1507:AL1531,B1507:B1531,B1526-48))</f>
        <v/>
      </c>
      <c r="AN1526" s="40">
        <f>AN1525*(1-IF(B1525&gt;=in_marketplace_from,d_hz_accident*G1525,0))</f>
        <v/>
      </c>
      <c r="AO1526" s="46">
        <f>AN1526*IF(B1526&gt;=in_marketplace_from,d_hz_accident*G1526,0)</f>
        <v/>
      </c>
      <c r="AP1526" s="14">
        <f>F1526*AO1526*in_accident_ticket*in_accident_comm*in_ins_partner_share+F1526*in_accident_ticket*in_accident_renew_comm*in_ins_partner_share*(in_accident_renew^1*SUMIFS(AO1507:AO1531,B1507:B1531,B1526-12)+in_accident_renew^2*SUMIFS(AO1507:AO1531,B1507:B1531,B1526-24)+in_accident_renew^3*SUMIFS(AO1507:AO1531,B1507:B1531,B1526-36)+in_accident_renew^4*SUMIFS(AO1507:AO1531,B1507:B1531,B1526-48))</f>
        <v/>
      </c>
      <c r="AQ1526" s="40">
        <f>AQ1525*(1-IF(B1525&gt;=in_marketplace_from,d_hz_two_wheeler*G1525,0))</f>
        <v/>
      </c>
      <c r="AR1526" s="46">
        <f>AQ1526*IF(B1526&gt;=in_marketplace_from,d_hz_two_wheeler*G1526,0)</f>
        <v/>
      </c>
      <c r="AS1526" s="14">
        <f>F1526*AR1526*in_two_wheeler_ticket*in_two_wheeler_comm*in_ins_partner_share+F1526*in_two_wheeler_ticket*in_two_wheeler_comm*in_ins_partner_share*(in_two_wheeler_renew^1*SUMIFS(AR1507:AR1531,B1507:B1531,B1526-12)+in_two_wheeler_renew^2*SUMIFS(AR1507:AR1531,B1507:B1531,B1526-24)+in_two_wheeler_renew^3*SUMIFS(AR1507:AR1531,B1507:B1531,B1526-36)+in_two_wheeler_renew^4*SUMIFS(AR1507:AR1531,B1507:B1531,B1526-48))</f>
        <v/>
      </c>
      <c r="AT1526" s="40">
        <f>AT1525*(1-IF(B1525&gt;=in_marketplace_from,d_hz_device*G1525,0))</f>
        <v/>
      </c>
      <c r="AU1526" s="14">
        <f>F1526*AT1526*IF(B1526&gt;=in_marketplace_from,d_hz_device*G1526,0)*in_device_ticket*in_device_comm*in_ins_partner_share</f>
        <v/>
      </c>
      <c r="AV1526" s="40">
        <f>AV1525*(1-IF(B1525&gt;=in_marketplace_from,d_hz_shop*G1525,0))</f>
        <v/>
      </c>
      <c r="AW1526" s="46">
        <f>AV1526*IF(B1526&gt;=in_marketplace_from,d_hz_shop*G1526,0)</f>
        <v/>
      </c>
      <c r="AX1526" s="14">
        <f>F1526*AW1526*in_shop_ticket*in_shop_comm*in_ins_partner_share+F1526*in_shop_ticket*in_shop_renew_comm*in_ins_partner_share*(in_shop_renew^1*SUMIFS(AW1507:AW1531,B1507:B1531,B1526-12)+in_shop_renew^2*SUMIFS(AW1507:AW1531,B1507:B1531,B1526-24)+in_shop_renew^3*SUMIFS(AW1507:AW1531,B1507:B1531,B1526-36)+in_shop_renew^4*SUMIFS(AW1507:AW1531,B1507:B1531,B1526-48))</f>
        <v/>
      </c>
      <c r="AY1526" s="40">
        <f>AY1525*(1-IF(B1525&gt;=in_marketplace_from,d_hz_sip*G1525,0))</f>
        <v/>
      </c>
      <c r="AZ1526" s="40">
        <f>AZ1525*d_rho_sip+AY1526*IF(B1526&gt;=in_marketplace_from,d_hz_sip*G1526,0)</f>
        <v/>
      </c>
      <c r="BA1526" s="40">
        <f>d_rho_sip*(BA1525+AZ1525)</f>
        <v/>
      </c>
      <c r="BB1526" s="14">
        <f>F1526*in_sip_ticket*(BA1526+0.5*AZ1526)*in_sip_comm/12</f>
        <v/>
      </c>
      <c r="BC1526" s="40">
        <f>BC1525*(1-IF(B1525&gt;=in_marketplace_from,d_hz_choti*G1525,0))</f>
        <v/>
      </c>
      <c r="BD1526" s="46">
        <f>BC1526*IF(B1526&gt;=in_marketplace_from,d_hz_choti*G1526,0)</f>
        <v/>
      </c>
      <c r="BE1526" s="14">
        <f>F1526*SUMIFS(BD1507:BD1531,B1507:B1531,B1526-in_choti_months)*in_choti_renew*in_choti_ticket</f>
        <v/>
      </c>
      <c r="BF1526" s="40">
        <f>BF1525*(1-IF(B1525&gt;=in_marketplace_from,d_hz_nps*G1525,0))</f>
        <v/>
      </c>
      <c r="BG1526" s="14">
        <f>F1526*BF1526*IF(B1526&gt;=in_marketplace_from,d_hz_nps*G1526,0)*in_nps_ticket*in_nps_comm</f>
        <v/>
      </c>
      <c r="BH1526" s="40">
        <f>BH1525*(1-IF(B1525&gt;=in_marketplace_from,d_hz_gold*G1525,0))</f>
        <v/>
      </c>
      <c r="BI1526" s="40">
        <f>BI1525*d_rho_gold+BH1526*IF(B1526&gt;=in_marketplace_from,d_hz_gold*G1526,0)</f>
        <v/>
      </c>
      <c r="BJ1526" s="14">
        <f>F1526*BI1526*in_gold_ticket*in_gold_comm</f>
        <v/>
      </c>
      <c r="BK1526" s="40">
        <f>BK1525*(1-IF(B1525&gt;=in_marketplace_from,d_hz_fd*G1525,0))</f>
        <v/>
      </c>
      <c r="BL1526" s="14">
        <f>F1526*BK1526*IF(B1526&gt;=in_marketplace_from,d_hz_fd*G1526,0)*in_fd_ticket*in_fd_comm</f>
        <v/>
      </c>
      <c r="BM1526" s="40">
        <f>BM1525*(1-IF(B1525&gt;=in_marketplace_from,d_hz_recharge*G1525,0))</f>
        <v/>
      </c>
      <c r="BN1526" s="40">
        <f>BN1525*d_rho_recharge+BM1526*IF(B1526&gt;=in_marketplace_from,d_hz_recharge*G1526,0)</f>
        <v/>
      </c>
      <c r="BO1526" s="14">
        <f>F1526*BN1526*in_recharge_ticket*in_recharge_comm/12</f>
        <v/>
      </c>
      <c r="BP1526" s="40">
        <f>BP1525*(1-IF(B1525&gt;=in_marketplace_from,d_hz_bills*G1525,0))</f>
        <v/>
      </c>
      <c r="BQ1526" s="40">
        <f>BQ1525*d_rho_bills+BP1526*IF(B1526&gt;=in_marketplace_from,d_hz_bills*G1526,0)</f>
        <v/>
      </c>
      <c r="BR1526" s="14">
        <f>F1526*BQ1526*in_bills_ticket*in_bills_comm/12</f>
        <v/>
      </c>
      <c r="BS1526" s="40">
        <f>BS1525*(1-IF(B1525&gt;=in_marketplace_from,d_hz_loan_gold*G1525,0))</f>
        <v/>
      </c>
      <c r="BT1526" s="14">
        <f>F1526*BS1526*IF(B1526&gt;=in_marketplace_from,d_hz_loan_gold*G1526,0)*in_loan_gold_ticket*in_loan_gold_comm</f>
        <v/>
      </c>
      <c r="BU1526" s="40">
        <f>BU1525*(1-IF(B1525&gt;=in_marketplace_from,d_hz_loan_cd*G1525,0))</f>
        <v/>
      </c>
      <c r="BV1526" s="14">
        <f>F1526*BU1526*IF(B1526&gt;=in_marketplace_from,d_hz_loan_cd*G1526,0)*in_loan_cd_ticket*in_loan_cd_comm</f>
        <v/>
      </c>
      <c r="BW1526" s="40">
        <f>BW1525*(1-IF(B1525&gt;=in_marketplace_from,d_hz_loan_vehicle*G1525,0))</f>
        <v/>
      </c>
      <c r="BX1526" s="14">
        <f>F1526*BW1526*IF(B1526&gt;=in_marketplace_from,d_hz_loan_vehicle*G1526,0)*in_loan_vehicle_ticket*in_loan_vehicle_comm</f>
        <v/>
      </c>
      <c r="BY1526" s="40">
        <f>BY1525*(1-IF(B1525&gt;=in_marketplace_from,d_hz_loan_home*G1525,0)*BZ1525)</f>
        <v/>
      </c>
      <c r="BZ1526" s="11">
        <f>MIN(in_approval_cap,in_loan_home_approval*INDEX('Age profile'!$O$2:$O$61,B1526)*(1+in_approval_growth)^(D1526-1))</f>
        <v/>
      </c>
      <c r="CA1526" s="14">
        <f>F1526*BY1526*IF(B1526&gt;=in_marketplace_from,d_hz_loan_home*G1526,0)*BZ1526*in_loan_home_ticket*in_loan_home_comm</f>
        <v/>
      </c>
      <c r="CB1526" s="40">
        <f>CB1525*(1-IF(B1525&gt;=in_marketplace_from,d_hz_loan_lap*G1525,0)*CC1525)</f>
        <v/>
      </c>
      <c r="CC1526" s="11">
        <f>MIN(in_approval_cap,in_loan_lap_approval*INDEX('Age profile'!$O$2:$O$61,B1526)*(1+in_approval_growth)^(D1526-1))</f>
        <v/>
      </c>
      <c r="CD1526" s="14">
        <f>F1526*CB1526*IF(B1526&gt;=in_marketplace_from,d_hz_loan_lap*G1526,0)*CC1526*in_loan_lap_ticket*in_loan_lap_comm</f>
        <v/>
      </c>
      <c r="CE1526" s="14">
        <f>AA1526+AB1526+AC1526+AD1526+AG1526+AJ1526+AM1526+AP1526+AS1526+AU1526+AX1526+BB1526+BE1526+BG1526+BJ1526+BL1526+BO1526+BR1526+BT1526+BV1526+BX1526+CA1526+CD1526</f>
        <v/>
      </c>
    </row>
    <row r="1527">
      <c r="A1527" s="39" t="n">
        <v>36</v>
      </c>
      <c r="B1527" s="39" t="n">
        <v>21</v>
      </c>
      <c r="C1527" s="39">
        <f>A1527+B1527-1</f>
        <v/>
      </c>
      <c r="D1527" s="39">
        <f>INT((C1527-1)/12)+1</f>
        <v/>
      </c>
      <c r="E1527" s="44">
        <f>INDEX(Monthly!$B$2:$B$61,A1527)</f>
        <v/>
      </c>
      <c r="F1527" s="44">
        <f>E1527*INDEX('Age profile'!$B$2:$B$61,B1527)</f>
        <v/>
      </c>
      <c r="G1527" s="45">
        <f>MIN(in_takeup_cap,INDEX('Age profile'!$N$2:$N$61,B1527)*(1+in_takeup_growth)^(D1527-1))</f>
        <v/>
      </c>
      <c r="H1527" s="11">
        <f>MIN(in_approval_cap,in_approved_first*INDEX('Age profile'!$O$2:$O$61,B1527)*(1+in_approval_growth)^(D1527-1))</f>
        <v/>
      </c>
      <c r="I1527" s="45">
        <f>G1527*MIN(in_takeup_cap,INDEX('Age profile'!$O$2:$O$61,B1527)*(1+in_approval_growth)^(D1527-1))</f>
        <v/>
      </c>
      <c r="J1527" s="40">
        <f>(J1526-L1526)*F1527/F1526</f>
        <v/>
      </c>
      <c r="K1527" s="40">
        <f>(K1526-M1526)*F1527/F1526+SUMIFS(O1507:O1526,B1507:B1526,B1527-1-d_T)*F1527</f>
        <v/>
      </c>
      <c r="L1527" s="40">
        <f>IF(B1527&gt;=in_marketplace_from,J1527*d_hz*G1527*in_eligible*H1527,0)</f>
        <v/>
      </c>
      <c r="M1527" s="40">
        <f>IF(B1527&gt;=in_marketplace_from,K1527*d_hz*G1527*in_eligible*in_approved_repeat,0)</f>
        <v/>
      </c>
      <c r="N1527" s="40">
        <f>L1527+M1527</f>
        <v/>
      </c>
      <c r="O1527" s="46">
        <f>N1527/F1527</f>
        <v/>
      </c>
      <c r="P1527" s="40">
        <f>F1527-J1527-K1527</f>
        <v/>
      </c>
      <c r="Q1527" s="40">
        <f>IF(B1527&gt;=in_marketplace_from,(J1527+K1527)*d_hz*G1527,0)</f>
        <v/>
      </c>
      <c r="R1527" s="40">
        <f>SUMIFS(N1507:N1531,B1507:B1531,"&gt;="&amp;(B1527-d_T),B1507:B1531,"&lt;="&amp;(B1527-1))</f>
        <v/>
      </c>
      <c r="S1527" s="46">
        <f>(1-d_u)*S1526+IF(d_T&gt;in_topup_lag,SUMIFS(O1507:O1531,B1507:B1531,B1527-in_topup_lag)-d_udrop*SUMIFS(O1507:O1531,B1507:B1531,B1527-d_T),0)</f>
        <v/>
      </c>
      <c r="T1527" s="40">
        <f>F1527*d_u*S1527</f>
        <v/>
      </c>
      <c r="U1527" s="9">
        <f>L1527*in_ticket+M1527*d_rep_ticket</f>
        <v/>
      </c>
      <c r="V1527" s="9">
        <f>U1527+T1527*d_topup_amt</f>
        <v/>
      </c>
      <c r="W1527" s="40">
        <f>N1527+T1527*d_topup_ratio</f>
        <v/>
      </c>
      <c r="X1527" s="40">
        <f>SUMIFS(W1507:W1531,B1507:B1531,B1527-in_dpd_lag)*d_cured</f>
        <v/>
      </c>
      <c r="Y1527" s="40">
        <f>SUMIFS(W1507:W1531,B1507:B1531,B1527-in_rec_lag)*d_recd</f>
        <v/>
      </c>
      <c r="Z1527" s="40">
        <f>IF(AND(B1527&gt;=in_marketplace_from,B1527&lt;in_marketplace_from+in_card_months),in_card_share/in_card_months*F1527*I1527,IF(AND(B1527&gt;=in_marketplace_from+in_card_months,B1527&lt;in_marketplace_from+2*in_card_months),in_card_share*d_card_rem/in_card_months*F1527*MIN(in_takeup_cap,(1+in_takeup_growth)^(D1527-1))*MIN(in_takeup_cap,(1+in_approval_growth)^(D1527-1)),0))</f>
        <v/>
      </c>
      <c r="AA1527" s="14">
        <f>V1527*in_fee*(1-in_taken_back)</f>
        <v/>
      </c>
      <c r="AB1527" s="14">
        <f>SUMIFS(W1507:W1531,B1507:B1531,B1527-in_dpd_lag)*d_dpd</f>
        <v/>
      </c>
      <c r="AC1527" s="14">
        <f>SUMIFS(W1507:W1531,B1507:B1531,B1527-in_rec_lag)*d_rec</f>
        <v/>
      </c>
      <c r="AD1527" s="14">
        <f>Z1527*in_card_fee</f>
        <v/>
      </c>
      <c r="AE1527" s="40">
        <f>AE1526*(1-IF(B1526&gt;=in_marketplace_from,d_hz_hlth_small*G1526,0))</f>
        <v/>
      </c>
      <c r="AF1527" s="46">
        <f>AE1527*IF(B1527&gt;=in_marketplace_from,d_hz_hlth_small*G1527,0)</f>
        <v/>
      </c>
      <c r="AG1527" s="14">
        <f>F1527*AF1527*in_hlth_small_ticket*in_hlth_small_comm*in_ins_partner_share+F1527*in_hlth_small_ticket*in_hlth_small_renew_comm*in_ins_partner_share*(in_hlth_small_renew^1*SUMIFS(AF1507:AF1531,B1507:B1531,B1527-12)+in_hlth_small_renew^2*SUMIFS(AF1507:AF1531,B1507:B1531,B1527-24)+in_hlth_small_renew^3*SUMIFS(AF1507:AF1531,B1507:B1531,B1527-36)+in_hlth_small_renew^4*SUMIFS(AF1507:AF1531,B1507:B1531,B1527-48))</f>
        <v/>
      </c>
      <c r="AH1527" s="40">
        <f>AH1526*(1-IF(B1526&gt;=in_marketplace_from,d_hz_hlth_family*G1526,0))</f>
        <v/>
      </c>
      <c r="AI1527" s="46">
        <f>AH1527*IF(B1527&gt;=in_marketplace_from,d_hz_hlth_family*G1527,0)</f>
        <v/>
      </c>
      <c r="AJ1527" s="14">
        <f>F1527*AI1527*in_hlth_family_ticket*in_hlth_family_comm*in_ins_partner_share+F1527*in_hlth_family_ticket*in_hlth_family_renew_comm*in_ins_partner_share*(in_hlth_family_renew^1*SUMIFS(AI1507:AI1531,B1507:B1531,B1527-12)+in_hlth_family_renew^2*SUMIFS(AI1507:AI1531,B1507:B1531,B1527-24)+in_hlth_family_renew^3*SUMIFS(AI1507:AI1531,B1507:B1531,B1527-36)+in_hlth_family_renew^4*SUMIFS(AI1507:AI1531,B1507:B1531,B1527-48))</f>
        <v/>
      </c>
      <c r="AK1527" s="40">
        <f>AK1526*(1-IF(B1526&gt;=in_marketplace_from,d_hz_life_term*G1526,0))</f>
        <v/>
      </c>
      <c r="AL1527" s="46">
        <f>AK1527*IF(B1527&gt;=in_marketplace_from,d_hz_life_term*G1527,0)</f>
        <v/>
      </c>
      <c r="AM1527" s="14">
        <f>F1527*AL1527*in_life_term_ticket*in_life_term_comm*in_ins_partner_share+F1527*in_life_term_ticket*in_life_term_renew_comm*in_ins_partner_share*(in_life_term_renew^1*SUMIFS(AL1507:AL1531,B1507:B1531,B1527-12)+in_life_term_renew^2*SUMIFS(AL1507:AL1531,B1507:B1531,B1527-24)+in_life_term_renew^3*SUMIFS(AL1507:AL1531,B1507:B1531,B1527-36)+in_life_term_renew^4*SUMIFS(AL1507:AL1531,B1507:B1531,B1527-48))</f>
        <v/>
      </c>
      <c r="AN1527" s="40">
        <f>AN1526*(1-IF(B1526&gt;=in_marketplace_from,d_hz_accident*G1526,0))</f>
        <v/>
      </c>
      <c r="AO1527" s="46">
        <f>AN1527*IF(B1527&gt;=in_marketplace_from,d_hz_accident*G1527,0)</f>
        <v/>
      </c>
      <c r="AP1527" s="14">
        <f>F1527*AO1527*in_accident_ticket*in_accident_comm*in_ins_partner_share+F1527*in_accident_ticket*in_accident_renew_comm*in_ins_partner_share*(in_accident_renew^1*SUMIFS(AO1507:AO1531,B1507:B1531,B1527-12)+in_accident_renew^2*SUMIFS(AO1507:AO1531,B1507:B1531,B1527-24)+in_accident_renew^3*SUMIFS(AO1507:AO1531,B1507:B1531,B1527-36)+in_accident_renew^4*SUMIFS(AO1507:AO1531,B1507:B1531,B1527-48))</f>
        <v/>
      </c>
      <c r="AQ1527" s="40">
        <f>AQ1526*(1-IF(B1526&gt;=in_marketplace_from,d_hz_two_wheeler*G1526,0))</f>
        <v/>
      </c>
      <c r="AR1527" s="46">
        <f>AQ1527*IF(B1527&gt;=in_marketplace_from,d_hz_two_wheeler*G1527,0)</f>
        <v/>
      </c>
      <c r="AS1527" s="14">
        <f>F1527*AR1527*in_two_wheeler_ticket*in_two_wheeler_comm*in_ins_partner_share+F1527*in_two_wheeler_ticket*in_two_wheeler_comm*in_ins_partner_share*(in_two_wheeler_renew^1*SUMIFS(AR1507:AR1531,B1507:B1531,B1527-12)+in_two_wheeler_renew^2*SUMIFS(AR1507:AR1531,B1507:B1531,B1527-24)+in_two_wheeler_renew^3*SUMIFS(AR1507:AR1531,B1507:B1531,B1527-36)+in_two_wheeler_renew^4*SUMIFS(AR1507:AR1531,B1507:B1531,B1527-48))</f>
        <v/>
      </c>
      <c r="AT1527" s="40">
        <f>AT1526*(1-IF(B1526&gt;=in_marketplace_from,d_hz_device*G1526,0))</f>
        <v/>
      </c>
      <c r="AU1527" s="14">
        <f>F1527*AT1527*IF(B1527&gt;=in_marketplace_from,d_hz_device*G1527,0)*in_device_ticket*in_device_comm*in_ins_partner_share</f>
        <v/>
      </c>
      <c r="AV1527" s="40">
        <f>AV1526*(1-IF(B1526&gt;=in_marketplace_from,d_hz_shop*G1526,0))</f>
        <v/>
      </c>
      <c r="AW1527" s="46">
        <f>AV1527*IF(B1527&gt;=in_marketplace_from,d_hz_shop*G1527,0)</f>
        <v/>
      </c>
      <c r="AX1527" s="14">
        <f>F1527*AW1527*in_shop_ticket*in_shop_comm*in_ins_partner_share+F1527*in_shop_ticket*in_shop_renew_comm*in_ins_partner_share*(in_shop_renew^1*SUMIFS(AW1507:AW1531,B1507:B1531,B1527-12)+in_shop_renew^2*SUMIFS(AW1507:AW1531,B1507:B1531,B1527-24)+in_shop_renew^3*SUMIFS(AW1507:AW1531,B1507:B1531,B1527-36)+in_shop_renew^4*SUMIFS(AW1507:AW1531,B1507:B1531,B1527-48))</f>
        <v/>
      </c>
      <c r="AY1527" s="40">
        <f>AY1526*(1-IF(B1526&gt;=in_marketplace_from,d_hz_sip*G1526,0))</f>
        <v/>
      </c>
      <c r="AZ1527" s="40">
        <f>AZ1526*d_rho_sip+AY1527*IF(B1527&gt;=in_marketplace_from,d_hz_sip*G1527,0)</f>
        <v/>
      </c>
      <c r="BA1527" s="40">
        <f>d_rho_sip*(BA1526+AZ1526)</f>
        <v/>
      </c>
      <c r="BB1527" s="14">
        <f>F1527*in_sip_ticket*(BA1527+0.5*AZ1527)*in_sip_comm/12</f>
        <v/>
      </c>
      <c r="BC1527" s="40">
        <f>BC1526*(1-IF(B1526&gt;=in_marketplace_from,d_hz_choti*G1526,0))</f>
        <v/>
      </c>
      <c r="BD1527" s="46">
        <f>BC1527*IF(B1527&gt;=in_marketplace_from,d_hz_choti*G1527,0)</f>
        <v/>
      </c>
      <c r="BE1527" s="14">
        <f>F1527*SUMIFS(BD1507:BD1531,B1507:B1531,B1527-in_choti_months)*in_choti_renew*in_choti_ticket</f>
        <v/>
      </c>
      <c r="BF1527" s="40">
        <f>BF1526*(1-IF(B1526&gt;=in_marketplace_from,d_hz_nps*G1526,0))</f>
        <v/>
      </c>
      <c r="BG1527" s="14">
        <f>F1527*BF1527*IF(B1527&gt;=in_marketplace_from,d_hz_nps*G1527,0)*in_nps_ticket*in_nps_comm</f>
        <v/>
      </c>
      <c r="BH1527" s="40">
        <f>BH1526*(1-IF(B1526&gt;=in_marketplace_from,d_hz_gold*G1526,0))</f>
        <v/>
      </c>
      <c r="BI1527" s="40">
        <f>BI1526*d_rho_gold+BH1527*IF(B1527&gt;=in_marketplace_from,d_hz_gold*G1527,0)</f>
        <v/>
      </c>
      <c r="BJ1527" s="14">
        <f>F1527*BI1527*in_gold_ticket*in_gold_comm</f>
        <v/>
      </c>
      <c r="BK1527" s="40">
        <f>BK1526*(1-IF(B1526&gt;=in_marketplace_from,d_hz_fd*G1526,0))</f>
        <v/>
      </c>
      <c r="BL1527" s="14">
        <f>F1527*BK1527*IF(B1527&gt;=in_marketplace_from,d_hz_fd*G1527,0)*in_fd_ticket*in_fd_comm</f>
        <v/>
      </c>
      <c r="BM1527" s="40">
        <f>BM1526*(1-IF(B1526&gt;=in_marketplace_from,d_hz_recharge*G1526,0))</f>
        <v/>
      </c>
      <c r="BN1527" s="40">
        <f>BN1526*d_rho_recharge+BM1527*IF(B1527&gt;=in_marketplace_from,d_hz_recharge*G1527,0)</f>
        <v/>
      </c>
      <c r="BO1527" s="14">
        <f>F1527*BN1527*in_recharge_ticket*in_recharge_comm/12</f>
        <v/>
      </c>
      <c r="BP1527" s="40">
        <f>BP1526*(1-IF(B1526&gt;=in_marketplace_from,d_hz_bills*G1526,0))</f>
        <v/>
      </c>
      <c r="BQ1527" s="40">
        <f>BQ1526*d_rho_bills+BP1527*IF(B1527&gt;=in_marketplace_from,d_hz_bills*G1527,0)</f>
        <v/>
      </c>
      <c r="BR1527" s="14">
        <f>F1527*BQ1527*in_bills_ticket*in_bills_comm/12</f>
        <v/>
      </c>
      <c r="BS1527" s="40">
        <f>BS1526*(1-IF(B1526&gt;=in_marketplace_from,d_hz_loan_gold*G1526,0))</f>
        <v/>
      </c>
      <c r="BT1527" s="14">
        <f>F1527*BS1527*IF(B1527&gt;=in_marketplace_from,d_hz_loan_gold*G1527,0)*in_loan_gold_ticket*in_loan_gold_comm</f>
        <v/>
      </c>
      <c r="BU1527" s="40">
        <f>BU1526*(1-IF(B1526&gt;=in_marketplace_from,d_hz_loan_cd*G1526,0))</f>
        <v/>
      </c>
      <c r="BV1527" s="14">
        <f>F1527*BU1527*IF(B1527&gt;=in_marketplace_from,d_hz_loan_cd*G1527,0)*in_loan_cd_ticket*in_loan_cd_comm</f>
        <v/>
      </c>
      <c r="BW1527" s="40">
        <f>BW1526*(1-IF(B1526&gt;=in_marketplace_from,d_hz_loan_vehicle*G1526,0))</f>
        <v/>
      </c>
      <c r="BX1527" s="14">
        <f>F1527*BW1527*IF(B1527&gt;=in_marketplace_from,d_hz_loan_vehicle*G1527,0)*in_loan_vehicle_ticket*in_loan_vehicle_comm</f>
        <v/>
      </c>
      <c r="BY1527" s="40">
        <f>BY1526*(1-IF(B1526&gt;=in_marketplace_from,d_hz_loan_home*G1526,0)*BZ1526)</f>
        <v/>
      </c>
      <c r="BZ1527" s="11">
        <f>MIN(in_approval_cap,in_loan_home_approval*INDEX('Age profile'!$O$2:$O$61,B1527)*(1+in_approval_growth)^(D1527-1))</f>
        <v/>
      </c>
      <c r="CA1527" s="14">
        <f>F1527*BY1527*IF(B1527&gt;=in_marketplace_from,d_hz_loan_home*G1527,0)*BZ1527*in_loan_home_ticket*in_loan_home_comm</f>
        <v/>
      </c>
      <c r="CB1527" s="40">
        <f>CB1526*(1-IF(B1526&gt;=in_marketplace_from,d_hz_loan_lap*G1526,0)*CC1526)</f>
        <v/>
      </c>
      <c r="CC1527" s="11">
        <f>MIN(in_approval_cap,in_loan_lap_approval*INDEX('Age profile'!$O$2:$O$61,B1527)*(1+in_approval_growth)^(D1527-1))</f>
        <v/>
      </c>
      <c r="CD1527" s="14">
        <f>F1527*CB1527*IF(B1527&gt;=in_marketplace_from,d_hz_loan_lap*G1527,0)*CC1527*in_loan_lap_ticket*in_loan_lap_comm</f>
        <v/>
      </c>
      <c r="CE1527" s="14">
        <f>AA1527+AB1527+AC1527+AD1527+AG1527+AJ1527+AM1527+AP1527+AS1527+AU1527+AX1527+BB1527+BE1527+BG1527+BJ1527+BL1527+BO1527+BR1527+BT1527+BV1527+BX1527+CA1527+CD1527</f>
        <v/>
      </c>
    </row>
    <row r="1528">
      <c r="A1528" s="39" t="n">
        <v>36</v>
      </c>
      <c r="B1528" s="39" t="n">
        <v>22</v>
      </c>
      <c r="C1528" s="39">
        <f>A1528+B1528-1</f>
        <v/>
      </c>
      <c r="D1528" s="39">
        <f>INT((C1528-1)/12)+1</f>
        <v/>
      </c>
      <c r="E1528" s="44">
        <f>INDEX(Monthly!$B$2:$B$61,A1528)</f>
        <v/>
      </c>
      <c r="F1528" s="44">
        <f>E1528*INDEX('Age profile'!$B$2:$B$61,B1528)</f>
        <v/>
      </c>
      <c r="G1528" s="45">
        <f>MIN(in_takeup_cap,INDEX('Age profile'!$N$2:$N$61,B1528)*(1+in_takeup_growth)^(D1528-1))</f>
        <v/>
      </c>
      <c r="H1528" s="11">
        <f>MIN(in_approval_cap,in_approved_first*INDEX('Age profile'!$O$2:$O$61,B1528)*(1+in_approval_growth)^(D1528-1))</f>
        <v/>
      </c>
      <c r="I1528" s="45">
        <f>G1528*MIN(in_takeup_cap,INDEX('Age profile'!$O$2:$O$61,B1528)*(1+in_approval_growth)^(D1528-1))</f>
        <v/>
      </c>
      <c r="J1528" s="40">
        <f>(J1527-L1527)*F1528/F1527</f>
        <v/>
      </c>
      <c r="K1528" s="40">
        <f>(K1527-M1527)*F1528/F1527+SUMIFS(O1507:O1527,B1507:B1527,B1528-1-d_T)*F1528</f>
        <v/>
      </c>
      <c r="L1528" s="40">
        <f>IF(B1528&gt;=in_marketplace_from,J1528*d_hz*G1528*in_eligible*H1528,0)</f>
        <v/>
      </c>
      <c r="M1528" s="40">
        <f>IF(B1528&gt;=in_marketplace_from,K1528*d_hz*G1528*in_eligible*in_approved_repeat,0)</f>
        <v/>
      </c>
      <c r="N1528" s="40">
        <f>L1528+M1528</f>
        <v/>
      </c>
      <c r="O1528" s="46">
        <f>N1528/F1528</f>
        <v/>
      </c>
      <c r="P1528" s="40">
        <f>F1528-J1528-K1528</f>
        <v/>
      </c>
      <c r="Q1528" s="40">
        <f>IF(B1528&gt;=in_marketplace_from,(J1528+K1528)*d_hz*G1528,0)</f>
        <v/>
      </c>
      <c r="R1528" s="40">
        <f>SUMIFS(N1507:N1531,B1507:B1531,"&gt;="&amp;(B1528-d_T),B1507:B1531,"&lt;="&amp;(B1528-1))</f>
        <v/>
      </c>
      <c r="S1528" s="46">
        <f>(1-d_u)*S1527+IF(d_T&gt;in_topup_lag,SUMIFS(O1507:O1531,B1507:B1531,B1528-in_topup_lag)-d_udrop*SUMIFS(O1507:O1531,B1507:B1531,B1528-d_T),0)</f>
        <v/>
      </c>
      <c r="T1528" s="40">
        <f>F1528*d_u*S1528</f>
        <v/>
      </c>
      <c r="U1528" s="9">
        <f>L1528*in_ticket+M1528*d_rep_ticket</f>
        <v/>
      </c>
      <c r="V1528" s="9">
        <f>U1528+T1528*d_topup_amt</f>
        <v/>
      </c>
      <c r="W1528" s="40">
        <f>N1528+T1528*d_topup_ratio</f>
        <v/>
      </c>
      <c r="X1528" s="40">
        <f>SUMIFS(W1507:W1531,B1507:B1531,B1528-in_dpd_lag)*d_cured</f>
        <v/>
      </c>
      <c r="Y1528" s="40">
        <f>SUMIFS(W1507:W1531,B1507:B1531,B1528-in_rec_lag)*d_recd</f>
        <v/>
      </c>
      <c r="Z1528" s="40">
        <f>IF(AND(B1528&gt;=in_marketplace_from,B1528&lt;in_marketplace_from+in_card_months),in_card_share/in_card_months*F1528*I1528,IF(AND(B1528&gt;=in_marketplace_from+in_card_months,B1528&lt;in_marketplace_from+2*in_card_months),in_card_share*d_card_rem/in_card_months*F1528*MIN(in_takeup_cap,(1+in_takeup_growth)^(D1528-1))*MIN(in_takeup_cap,(1+in_approval_growth)^(D1528-1)),0))</f>
        <v/>
      </c>
      <c r="AA1528" s="14">
        <f>V1528*in_fee*(1-in_taken_back)</f>
        <v/>
      </c>
      <c r="AB1528" s="14">
        <f>SUMIFS(W1507:W1531,B1507:B1531,B1528-in_dpd_lag)*d_dpd</f>
        <v/>
      </c>
      <c r="AC1528" s="14">
        <f>SUMIFS(W1507:W1531,B1507:B1531,B1528-in_rec_lag)*d_rec</f>
        <v/>
      </c>
      <c r="AD1528" s="14">
        <f>Z1528*in_card_fee</f>
        <v/>
      </c>
      <c r="AE1528" s="40">
        <f>AE1527*(1-IF(B1527&gt;=in_marketplace_from,d_hz_hlth_small*G1527,0))</f>
        <v/>
      </c>
      <c r="AF1528" s="46">
        <f>AE1528*IF(B1528&gt;=in_marketplace_from,d_hz_hlth_small*G1528,0)</f>
        <v/>
      </c>
      <c r="AG1528" s="14">
        <f>F1528*AF1528*in_hlth_small_ticket*in_hlth_small_comm*in_ins_partner_share+F1528*in_hlth_small_ticket*in_hlth_small_renew_comm*in_ins_partner_share*(in_hlth_small_renew^1*SUMIFS(AF1507:AF1531,B1507:B1531,B1528-12)+in_hlth_small_renew^2*SUMIFS(AF1507:AF1531,B1507:B1531,B1528-24)+in_hlth_small_renew^3*SUMIFS(AF1507:AF1531,B1507:B1531,B1528-36)+in_hlth_small_renew^4*SUMIFS(AF1507:AF1531,B1507:B1531,B1528-48))</f>
        <v/>
      </c>
      <c r="AH1528" s="40">
        <f>AH1527*(1-IF(B1527&gt;=in_marketplace_from,d_hz_hlth_family*G1527,0))</f>
        <v/>
      </c>
      <c r="AI1528" s="46">
        <f>AH1528*IF(B1528&gt;=in_marketplace_from,d_hz_hlth_family*G1528,0)</f>
        <v/>
      </c>
      <c r="AJ1528" s="14">
        <f>F1528*AI1528*in_hlth_family_ticket*in_hlth_family_comm*in_ins_partner_share+F1528*in_hlth_family_ticket*in_hlth_family_renew_comm*in_ins_partner_share*(in_hlth_family_renew^1*SUMIFS(AI1507:AI1531,B1507:B1531,B1528-12)+in_hlth_family_renew^2*SUMIFS(AI1507:AI1531,B1507:B1531,B1528-24)+in_hlth_family_renew^3*SUMIFS(AI1507:AI1531,B1507:B1531,B1528-36)+in_hlth_family_renew^4*SUMIFS(AI1507:AI1531,B1507:B1531,B1528-48))</f>
        <v/>
      </c>
      <c r="AK1528" s="40">
        <f>AK1527*(1-IF(B1527&gt;=in_marketplace_from,d_hz_life_term*G1527,0))</f>
        <v/>
      </c>
      <c r="AL1528" s="46">
        <f>AK1528*IF(B1528&gt;=in_marketplace_from,d_hz_life_term*G1528,0)</f>
        <v/>
      </c>
      <c r="AM1528" s="14">
        <f>F1528*AL1528*in_life_term_ticket*in_life_term_comm*in_ins_partner_share+F1528*in_life_term_ticket*in_life_term_renew_comm*in_ins_partner_share*(in_life_term_renew^1*SUMIFS(AL1507:AL1531,B1507:B1531,B1528-12)+in_life_term_renew^2*SUMIFS(AL1507:AL1531,B1507:B1531,B1528-24)+in_life_term_renew^3*SUMIFS(AL1507:AL1531,B1507:B1531,B1528-36)+in_life_term_renew^4*SUMIFS(AL1507:AL1531,B1507:B1531,B1528-48))</f>
        <v/>
      </c>
      <c r="AN1528" s="40">
        <f>AN1527*(1-IF(B1527&gt;=in_marketplace_from,d_hz_accident*G1527,0))</f>
        <v/>
      </c>
      <c r="AO1528" s="46">
        <f>AN1528*IF(B1528&gt;=in_marketplace_from,d_hz_accident*G1528,0)</f>
        <v/>
      </c>
      <c r="AP1528" s="14">
        <f>F1528*AO1528*in_accident_ticket*in_accident_comm*in_ins_partner_share+F1528*in_accident_ticket*in_accident_renew_comm*in_ins_partner_share*(in_accident_renew^1*SUMIFS(AO1507:AO1531,B1507:B1531,B1528-12)+in_accident_renew^2*SUMIFS(AO1507:AO1531,B1507:B1531,B1528-24)+in_accident_renew^3*SUMIFS(AO1507:AO1531,B1507:B1531,B1528-36)+in_accident_renew^4*SUMIFS(AO1507:AO1531,B1507:B1531,B1528-48))</f>
        <v/>
      </c>
      <c r="AQ1528" s="40">
        <f>AQ1527*(1-IF(B1527&gt;=in_marketplace_from,d_hz_two_wheeler*G1527,0))</f>
        <v/>
      </c>
      <c r="AR1528" s="46">
        <f>AQ1528*IF(B1528&gt;=in_marketplace_from,d_hz_two_wheeler*G1528,0)</f>
        <v/>
      </c>
      <c r="AS1528" s="14">
        <f>F1528*AR1528*in_two_wheeler_ticket*in_two_wheeler_comm*in_ins_partner_share+F1528*in_two_wheeler_ticket*in_two_wheeler_comm*in_ins_partner_share*(in_two_wheeler_renew^1*SUMIFS(AR1507:AR1531,B1507:B1531,B1528-12)+in_two_wheeler_renew^2*SUMIFS(AR1507:AR1531,B1507:B1531,B1528-24)+in_two_wheeler_renew^3*SUMIFS(AR1507:AR1531,B1507:B1531,B1528-36)+in_two_wheeler_renew^4*SUMIFS(AR1507:AR1531,B1507:B1531,B1528-48))</f>
        <v/>
      </c>
      <c r="AT1528" s="40">
        <f>AT1527*(1-IF(B1527&gt;=in_marketplace_from,d_hz_device*G1527,0))</f>
        <v/>
      </c>
      <c r="AU1528" s="14">
        <f>F1528*AT1528*IF(B1528&gt;=in_marketplace_from,d_hz_device*G1528,0)*in_device_ticket*in_device_comm*in_ins_partner_share</f>
        <v/>
      </c>
      <c r="AV1528" s="40">
        <f>AV1527*(1-IF(B1527&gt;=in_marketplace_from,d_hz_shop*G1527,0))</f>
        <v/>
      </c>
      <c r="AW1528" s="46">
        <f>AV1528*IF(B1528&gt;=in_marketplace_from,d_hz_shop*G1528,0)</f>
        <v/>
      </c>
      <c r="AX1528" s="14">
        <f>F1528*AW1528*in_shop_ticket*in_shop_comm*in_ins_partner_share+F1528*in_shop_ticket*in_shop_renew_comm*in_ins_partner_share*(in_shop_renew^1*SUMIFS(AW1507:AW1531,B1507:B1531,B1528-12)+in_shop_renew^2*SUMIFS(AW1507:AW1531,B1507:B1531,B1528-24)+in_shop_renew^3*SUMIFS(AW1507:AW1531,B1507:B1531,B1528-36)+in_shop_renew^4*SUMIFS(AW1507:AW1531,B1507:B1531,B1528-48))</f>
        <v/>
      </c>
      <c r="AY1528" s="40">
        <f>AY1527*(1-IF(B1527&gt;=in_marketplace_from,d_hz_sip*G1527,0))</f>
        <v/>
      </c>
      <c r="AZ1528" s="40">
        <f>AZ1527*d_rho_sip+AY1528*IF(B1528&gt;=in_marketplace_from,d_hz_sip*G1528,0)</f>
        <v/>
      </c>
      <c r="BA1528" s="40">
        <f>d_rho_sip*(BA1527+AZ1527)</f>
        <v/>
      </c>
      <c r="BB1528" s="14">
        <f>F1528*in_sip_ticket*(BA1528+0.5*AZ1528)*in_sip_comm/12</f>
        <v/>
      </c>
      <c r="BC1528" s="40">
        <f>BC1527*(1-IF(B1527&gt;=in_marketplace_from,d_hz_choti*G1527,0))</f>
        <v/>
      </c>
      <c r="BD1528" s="46">
        <f>BC1528*IF(B1528&gt;=in_marketplace_from,d_hz_choti*G1528,0)</f>
        <v/>
      </c>
      <c r="BE1528" s="14">
        <f>F1528*SUMIFS(BD1507:BD1531,B1507:B1531,B1528-in_choti_months)*in_choti_renew*in_choti_ticket</f>
        <v/>
      </c>
      <c r="BF1528" s="40">
        <f>BF1527*(1-IF(B1527&gt;=in_marketplace_from,d_hz_nps*G1527,0))</f>
        <v/>
      </c>
      <c r="BG1528" s="14">
        <f>F1528*BF1528*IF(B1528&gt;=in_marketplace_from,d_hz_nps*G1528,0)*in_nps_ticket*in_nps_comm</f>
        <v/>
      </c>
      <c r="BH1528" s="40">
        <f>BH1527*(1-IF(B1527&gt;=in_marketplace_from,d_hz_gold*G1527,0))</f>
        <v/>
      </c>
      <c r="BI1528" s="40">
        <f>BI1527*d_rho_gold+BH1528*IF(B1528&gt;=in_marketplace_from,d_hz_gold*G1528,0)</f>
        <v/>
      </c>
      <c r="BJ1528" s="14">
        <f>F1528*BI1528*in_gold_ticket*in_gold_comm</f>
        <v/>
      </c>
      <c r="BK1528" s="40">
        <f>BK1527*(1-IF(B1527&gt;=in_marketplace_from,d_hz_fd*G1527,0))</f>
        <v/>
      </c>
      <c r="BL1528" s="14">
        <f>F1528*BK1528*IF(B1528&gt;=in_marketplace_from,d_hz_fd*G1528,0)*in_fd_ticket*in_fd_comm</f>
        <v/>
      </c>
      <c r="BM1528" s="40">
        <f>BM1527*(1-IF(B1527&gt;=in_marketplace_from,d_hz_recharge*G1527,0))</f>
        <v/>
      </c>
      <c r="BN1528" s="40">
        <f>BN1527*d_rho_recharge+BM1528*IF(B1528&gt;=in_marketplace_from,d_hz_recharge*G1528,0)</f>
        <v/>
      </c>
      <c r="BO1528" s="14">
        <f>F1528*BN1528*in_recharge_ticket*in_recharge_comm/12</f>
        <v/>
      </c>
      <c r="BP1528" s="40">
        <f>BP1527*(1-IF(B1527&gt;=in_marketplace_from,d_hz_bills*G1527,0))</f>
        <v/>
      </c>
      <c r="BQ1528" s="40">
        <f>BQ1527*d_rho_bills+BP1528*IF(B1528&gt;=in_marketplace_from,d_hz_bills*G1528,0)</f>
        <v/>
      </c>
      <c r="BR1528" s="14">
        <f>F1528*BQ1528*in_bills_ticket*in_bills_comm/12</f>
        <v/>
      </c>
      <c r="BS1528" s="40">
        <f>BS1527*(1-IF(B1527&gt;=in_marketplace_from,d_hz_loan_gold*G1527,0))</f>
        <v/>
      </c>
      <c r="BT1528" s="14">
        <f>F1528*BS1528*IF(B1528&gt;=in_marketplace_from,d_hz_loan_gold*G1528,0)*in_loan_gold_ticket*in_loan_gold_comm</f>
        <v/>
      </c>
      <c r="BU1528" s="40">
        <f>BU1527*(1-IF(B1527&gt;=in_marketplace_from,d_hz_loan_cd*G1527,0))</f>
        <v/>
      </c>
      <c r="BV1528" s="14">
        <f>F1528*BU1528*IF(B1528&gt;=in_marketplace_from,d_hz_loan_cd*G1528,0)*in_loan_cd_ticket*in_loan_cd_comm</f>
        <v/>
      </c>
      <c r="BW1528" s="40">
        <f>BW1527*(1-IF(B1527&gt;=in_marketplace_from,d_hz_loan_vehicle*G1527,0))</f>
        <v/>
      </c>
      <c r="BX1528" s="14">
        <f>F1528*BW1528*IF(B1528&gt;=in_marketplace_from,d_hz_loan_vehicle*G1528,0)*in_loan_vehicle_ticket*in_loan_vehicle_comm</f>
        <v/>
      </c>
      <c r="BY1528" s="40">
        <f>BY1527*(1-IF(B1527&gt;=in_marketplace_from,d_hz_loan_home*G1527,0)*BZ1527)</f>
        <v/>
      </c>
      <c r="BZ1528" s="11">
        <f>MIN(in_approval_cap,in_loan_home_approval*INDEX('Age profile'!$O$2:$O$61,B1528)*(1+in_approval_growth)^(D1528-1))</f>
        <v/>
      </c>
      <c r="CA1528" s="14">
        <f>F1528*BY1528*IF(B1528&gt;=in_marketplace_from,d_hz_loan_home*G1528,0)*BZ1528*in_loan_home_ticket*in_loan_home_comm</f>
        <v/>
      </c>
      <c r="CB1528" s="40">
        <f>CB1527*(1-IF(B1527&gt;=in_marketplace_from,d_hz_loan_lap*G1527,0)*CC1527)</f>
        <v/>
      </c>
      <c r="CC1528" s="11">
        <f>MIN(in_approval_cap,in_loan_lap_approval*INDEX('Age profile'!$O$2:$O$61,B1528)*(1+in_approval_growth)^(D1528-1))</f>
        <v/>
      </c>
      <c r="CD1528" s="14">
        <f>F1528*CB1528*IF(B1528&gt;=in_marketplace_from,d_hz_loan_lap*G1528,0)*CC1528*in_loan_lap_ticket*in_loan_lap_comm</f>
        <v/>
      </c>
      <c r="CE1528" s="14">
        <f>AA1528+AB1528+AC1528+AD1528+AG1528+AJ1528+AM1528+AP1528+AS1528+AU1528+AX1528+BB1528+BE1528+BG1528+BJ1528+BL1528+BO1528+BR1528+BT1528+BV1528+BX1528+CA1528+CD1528</f>
        <v/>
      </c>
    </row>
    <row r="1529">
      <c r="A1529" s="39" t="n">
        <v>36</v>
      </c>
      <c r="B1529" s="39" t="n">
        <v>23</v>
      </c>
      <c r="C1529" s="39">
        <f>A1529+B1529-1</f>
        <v/>
      </c>
      <c r="D1529" s="39">
        <f>INT((C1529-1)/12)+1</f>
        <v/>
      </c>
      <c r="E1529" s="44">
        <f>INDEX(Monthly!$B$2:$B$61,A1529)</f>
        <v/>
      </c>
      <c r="F1529" s="44">
        <f>E1529*INDEX('Age profile'!$B$2:$B$61,B1529)</f>
        <v/>
      </c>
      <c r="G1529" s="45">
        <f>MIN(in_takeup_cap,INDEX('Age profile'!$N$2:$N$61,B1529)*(1+in_takeup_growth)^(D1529-1))</f>
        <v/>
      </c>
      <c r="H1529" s="11">
        <f>MIN(in_approval_cap,in_approved_first*INDEX('Age profile'!$O$2:$O$61,B1529)*(1+in_approval_growth)^(D1529-1))</f>
        <v/>
      </c>
      <c r="I1529" s="45">
        <f>G1529*MIN(in_takeup_cap,INDEX('Age profile'!$O$2:$O$61,B1529)*(1+in_approval_growth)^(D1529-1))</f>
        <v/>
      </c>
      <c r="J1529" s="40">
        <f>(J1528-L1528)*F1529/F1528</f>
        <v/>
      </c>
      <c r="K1529" s="40">
        <f>(K1528-M1528)*F1529/F1528+SUMIFS(O1507:O1528,B1507:B1528,B1529-1-d_T)*F1529</f>
        <v/>
      </c>
      <c r="L1529" s="40">
        <f>IF(B1529&gt;=in_marketplace_from,J1529*d_hz*G1529*in_eligible*H1529,0)</f>
        <v/>
      </c>
      <c r="M1529" s="40">
        <f>IF(B1529&gt;=in_marketplace_from,K1529*d_hz*G1529*in_eligible*in_approved_repeat,0)</f>
        <v/>
      </c>
      <c r="N1529" s="40">
        <f>L1529+M1529</f>
        <v/>
      </c>
      <c r="O1529" s="46">
        <f>N1529/F1529</f>
        <v/>
      </c>
      <c r="P1529" s="40">
        <f>F1529-J1529-K1529</f>
        <v/>
      </c>
      <c r="Q1529" s="40">
        <f>IF(B1529&gt;=in_marketplace_from,(J1529+K1529)*d_hz*G1529,0)</f>
        <v/>
      </c>
      <c r="R1529" s="40">
        <f>SUMIFS(N1507:N1531,B1507:B1531,"&gt;="&amp;(B1529-d_T),B1507:B1531,"&lt;="&amp;(B1529-1))</f>
        <v/>
      </c>
      <c r="S1529" s="46">
        <f>(1-d_u)*S1528+IF(d_T&gt;in_topup_lag,SUMIFS(O1507:O1531,B1507:B1531,B1529-in_topup_lag)-d_udrop*SUMIFS(O1507:O1531,B1507:B1531,B1529-d_T),0)</f>
        <v/>
      </c>
      <c r="T1529" s="40">
        <f>F1529*d_u*S1529</f>
        <v/>
      </c>
      <c r="U1529" s="9">
        <f>L1529*in_ticket+M1529*d_rep_ticket</f>
        <v/>
      </c>
      <c r="V1529" s="9">
        <f>U1529+T1529*d_topup_amt</f>
        <v/>
      </c>
      <c r="W1529" s="40">
        <f>N1529+T1529*d_topup_ratio</f>
        <v/>
      </c>
      <c r="X1529" s="40">
        <f>SUMIFS(W1507:W1531,B1507:B1531,B1529-in_dpd_lag)*d_cured</f>
        <v/>
      </c>
      <c r="Y1529" s="40">
        <f>SUMIFS(W1507:W1531,B1507:B1531,B1529-in_rec_lag)*d_recd</f>
        <v/>
      </c>
      <c r="Z1529" s="40">
        <f>IF(AND(B1529&gt;=in_marketplace_from,B1529&lt;in_marketplace_from+in_card_months),in_card_share/in_card_months*F1529*I1529,IF(AND(B1529&gt;=in_marketplace_from+in_card_months,B1529&lt;in_marketplace_from+2*in_card_months),in_card_share*d_card_rem/in_card_months*F1529*MIN(in_takeup_cap,(1+in_takeup_growth)^(D1529-1))*MIN(in_takeup_cap,(1+in_approval_growth)^(D1529-1)),0))</f>
        <v/>
      </c>
      <c r="AA1529" s="14">
        <f>V1529*in_fee*(1-in_taken_back)</f>
        <v/>
      </c>
      <c r="AB1529" s="14">
        <f>SUMIFS(W1507:W1531,B1507:B1531,B1529-in_dpd_lag)*d_dpd</f>
        <v/>
      </c>
      <c r="AC1529" s="14">
        <f>SUMIFS(W1507:W1531,B1507:B1531,B1529-in_rec_lag)*d_rec</f>
        <v/>
      </c>
      <c r="AD1529" s="14">
        <f>Z1529*in_card_fee</f>
        <v/>
      </c>
      <c r="AE1529" s="40">
        <f>AE1528*(1-IF(B1528&gt;=in_marketplace_from,d_hz_hlth_small*G1528,0))</f>
        <v/>
      </c>
      <c r="AF1529" s="46">
        <f>AE1529*IF(B1529&gt;=in_marketplace_from,d_hz_hlth_small*G1529,0)</f>
        <v/>
      </c>
      <c r="AG1529" s="14">
        <f>F1529*AF1529*in_hlth_small_ticket*in_hlth_small_comm*in_ins_partner_share+F1529*in_hlth_small_ticket*in_hlth_small_renew_comm*in_ins_partner_share*(in_hlth_small_renew^1*SUMIFS(AF1507:AF1531,B1507:B1531,B1529-12)+in_hlth_small_renew^2*SUMIFS(AF1507:AF1531,B1507:B1531,B1529-24)+in_hlth_small_renew^3*SUMIFS(AF1507:AF1531,B1507:B1531,B1529-36)+in_hlth_small_renew^4*SUMIFS(AF1507:AF1531,B1507:B1531,B1529-48))</f>
        <v/>
      </c>
      <c r="AH1529" s="40">
        <f>AH1528*(1-IF(B1528&gt;=in_marketplace_from,d_hz_hlth_family*G1528,0))</f>
        <v/>
      </c>
      <c r="AI1529" s="46">
        <f>AH1529*IF(B1529&gt;=in_marketplace_from,d_hz_hlth_family*G1529,0)</f>
        <v/>
      </c>
      <c r="AJ1529" s="14">
        <f>F1529*AI1529*in_hlth_family_ticket*in_hlth_family_comm*in_ins_partner_share+F1529*in_hlth_family_ticket*in_hlth_family_renew_comm*in_ins_partner_share*(in_hlth_family_renew^1*SUMIFS(AI1507:AI1531,B1507:B1531,B1529-12)+in_hlth_family_renew^2*SUMIFS(AI1507:AI1531,B1507:B1531,B1529-24)+in_hlth_family_renew^3*SUMIFS(AI1507:AI1531,B1507:B1531,B1529-36)+in_hlth_family_renew^4*SUMIFS(AI1507:AI1531,B1507:B1531,B1529-48))</f>
        <v/>
      </c>
      <c r="AK1529" s="40">
        <f>AK1528*(1-IF(B1528&gt;=in_marketplace_from,d_hz_life_term*G1528,0))</f>
        <v/>
      </c>
      <c r="AL1529" s="46">
        <f>AK1529*IF(B1529&gt;=in_marketplace_from,d_hz_life_term*G1529,0)</f>
        <v/>
      </c>
      <c r="AM1529" s="14">
        <f>F1529*AL1529*in_life_term_ticket*in_life_term_comm*in_ins_partner_share+F1529*in_life_term_ticket*in_life_term_renew_comm*in_ins_partner_share*(in_life_term_renew^1*SUMIFS(AL1507:AL1531,B1507:B1531,B1529-12)+in_life_term_renew^2*SUMIFS(AL1507:AL1531,B1507:B1531,B1529-24)+in_life_term_renew^3*SUMIFS(AL1507:AL1531,B1507:B1531,B1529-36)+in_life_term_renew^4*SUMIFS(AL1507:AL1531,B1507:B1531,B1529-48))</f>
        <v/>
      </c>
      <c r="AN1529" s="40">
        <f>AN1528*(1-IF(B1528&gt;=in_marketplace_from,d_hz_accident*G1528,0))</f>
        <v/>
      </c>
      <c r="AO1529" s="46">
        <f>AN1529*IF(B1529&gt;=in_marketplace_from,d_hz_accident*G1529,0)</f>
        <v/>
      </c>
      <c r="AP1529" s="14">
        <f>F1529*AO1529*in_accident_ticket*in_accident_comm*in_ins_partner_share+F1529*in_accident_ticket*in_accident_renew_comm*in_ins_partner_share*(in_accident_renew^1*SUMIFS(AO1507:AO1531,B1507:B1531,B1529-12)+in_accident_renew^2*SUMIFS(AO1507:AO1531,B1507:B1531,B1529-24)+in_accident_renew^3*SUMIFS(AO1507:AO1531,B1507:B1531,B1529-36)+in_accident_renew^4*SUMIFS(AO1507:AO1531,B1507:B1531,B1529-48))</f>
        <v/>
      </c>
      <c r="AQ1529" s="40">
        <f>AQ1528*(1-IF(B1528&gt;=in_marketplace_from,d_hz_two_wheeler*G1528,0))</f>
        <v/>
      </c>
      <c r="AR1529" s="46">
        <f>AQ1529*IF(B1529&gt;=in_marketplace_from,d_hz_two_wheeler*G1529,0)</f>
        <v/>
      </c>
      <c r="AS1529" s="14">
        <f>F1529*AR1529*in_two_wheeler_ticket*in_two_wheeler_comm*in_ins_partner_share+F1529*in_two_wheeler_ticket*in_two_wheeler_comm*in_ins_partner_share*(in_two_wheeler_renew^1*SUMIFS(AR1507:AR1531,B1507:B1531,B1529-12)+in_two_wheeler_renew^2*SUMIFS(AR1507:AR1531,B1507:B1531,B1529-24)+in_two_wheeler_renew^3*SUMIFS(AR1507:AR1531,B1507:B1531,B1529-36)+in_two_wheeler_renew^4*SUMIFS(AR1507:AR1531,B1507:B1531,B1529-48))</f>
        <v/>
      </c>
      <c r="AT1529" s="40">
        <f>AT1528*(1-IF(B1528&gt;=in_marketplace_from,d_hz_device*G1528,0))</f>
        <v/>
      </c>
      <c r="AU1529" s="14">
        <f>F1529*AT1529*IF(B1529&gt;=in_marketplace_from,d_hz_device*G1529,0)*in_device_ticket*in_device_comm*in_ins_partner_share</f>
        <v/>
      </c>
      <c r="AV1529" s="40">
        <f>AV1528*(1-IF(B1528&gt;=in_marketplace_from,d_hz_shop*G1528,0))</f>
        <v/>
      </c>
      <c r="AW1529" s="46">
        <f>AV1529*IF(B1529&gt;=in_marketplace_from,d_hz_shop*G1529,0)</f>
        <v/>
      </c>
      <c r="AX1529" s="14">
        <f>F1529*AW1529*in_shop_ticket*in_shop_comm*in_ins_partner_share+F1529*in_shop_ticket*in_shop_renew_comm*in_ins_partner_share*(in_shop_renew^1*SUMIFS(AW1507:AW1531,B1507:B1531,B1529-12)+in_shop_renew^2*SUMIFS(AW1507:AW1531,B1507:B1531,B1529-24)+in_shop_renew^3*SUMIFS(AW1507:AW1531,B1507:B1531,B1529-36)+in_shop_renew^4*SUMIFS(AW1507:AW1531,B1507:B1531,B1529-48))</f>
        <v/>
      </c>
      <c r="AY1529" s="40">
        <f>AY1528*(1-IF(B1528&gt;=in_marketplace_from,d_hz_sip*G1528,0))</f>
        <v/>
      </c>
      <c r="AZ1529" s="40">
        <f>AZ1528*d_rho_sip+AY1529*IF(B1529&gt;=in_marketplace_from,d_hz_sip*G1529,0)</f>
        <v/>
      </c>
      <c r="BA1529" s="40">
        <f>d_rho_sip*(BA1528+AZ1528)</f>
        <v/>
      </c>
      <c r="BB1529" s="14">
        <f>F1529*in_sip_ticket*(BA1529+0.5*AZ1529)*in_sip_comm/12</f>
        <v/>
      </c>
      <c r="BC1529" s="40">
        <f>BC1528*(1-IF(B1528&gt;=in_marketplace_from,d_hz_choti*G1528,0))</f>
        <v/>
      </c>
      <c r="BD1529" s="46">
        <f>BC1529*IF(B1529&gt;=in_marketplace_from,d_hz_choti*G1529,0)</f>
        <v/>
      </c>
      <c r="BE1529" s="14">
        <f>F1529*SUMIFS(BD1507:BD1531,B1507:B1531,B1529-in_choti_months)*in_choti_renew*in_choti_ticket</f>
        <v/>
      </c>
      <c r="BF1529" s="40">
        <f>BF1528*(1-IF(B1528&gt;=in_marketplace_from,d_hz_nps*G1528,0))</f>
        <v/>
      </c>
      <c r="BG1529" s="14">
        <f>F1529*BF1529*IF(B1529&gt;=in_marketplace_from,d_hz_nps*G1529,0)*in_nps_ticket*in_nps_comm</f>
        <v/>
      </c>
      <c r="BH1529" s="40">
        <f>BH1528*(1-IF(B1528&gt;=in_marketplace_from,d_hz_gold*G1528,0))</f>
        <v/>
      </c>
      <c r="BI1529" s="40">
        <f>BI1528*d_rho_gold+BH1529*IF(B1529&gt;=in_marketplace_from,d_hz_gold*G1529,0)</f>
        <v/>
      </c>
      <c r="BJ1529" s="14">
        <f>F1529*BI1529*in_gold_ticket*in_gold_comm</f>
        <v/>
      </c>
      <c r="BK1529" s="40">
        <f>BK1528*(1-IF(B1528&gt;=in_marketplace_from,d_hz_fd*G1528,0))</f>
        <v/>
      </c>
      <c r="BL1529" s="14">
        <f>F1529*BK1529*IF(B1529&gt;=in_marketplace_from,d_hz_fd*G1529,0)*in_fd_ticket*in_fd_comm</f>
        <v/>
      </c>
      <c r="BM1529" s="40">
        <f>BM1528*(1-IF(B1528&gt;=in_marketplace_from,d_hz_recharge*G1528,0))</f>
        <v/>
      </c>
      <c r="BN1529" s="40">
        <f>BN1528*d_rho_recharge+BM1529*IF(B1529&gt;=in_marketplace_from,d_hz_recharge*G1529,0)</f>
        <v/>
      </c>
      <c r="BO1529" s="14">
        <f>F1529*BN1529*in_recharge_ticket*in_recharge_comm/12</f>
        <v/>
      </c>
      <c r="BP1529" s="40">
        <f>BP1528*(1-IF(B1528&gt;=in_marketplace_from,d_hz_bills*G1528,0))</f>
        <v/>
      </c>
      <c r="BQ1529" s="40">
        <f>BQ1528*d_rho_bills+BP1529*IF(B1529&gt;=in_marketplace_from,d_hz_bills*G1529,0)</f>
        <v/>
      </c>
      <c r="BR1529" s="14">
        <f>F1529*BQ1529*in_bills_ticket*in_bills_comm/12</f>
        <v/>
      </c>
      <c r="BS1529" s="40">
        <f>BS1528*(1-IF(B1528&gt;=in_marketplace_from,d_hz_loan_gold*G1528,0))</f>
        <v/>
      </c>
      <c r="BT1529" s="14">
        <f>F1529*BS1529*IF(B1529&gt;=in_marketplace_from,d_hz_loan_gold*G1529,0)*in_loan_gold_ticket*in_loan_gold_comm</f>
        <v/>
      </c>
      <c r="BU1529" s="40">
        <f>BU1528*(1-IF(B1528&gt;=in_marketplace_from,d_hz_loan_cd*G1528,0))</f>
        <v/>
      </c>
      <c r="BV1529" s="14">
        <f>F1529*BU1529*IF(B1529&gt;=in_marketplace_from,d_hz_loan_cd*G1529,0)*in_loan_cd_ticket*in_loan_cd_comm</f>
        <v/>
      </c>
      <c r="BW1529" s="40">
        <f>BW1528*(1-IF(B1528&gt;=in_marketplace_from,d_hz_loan_vehicle*G1528,0))</f>
        <v/>
      </c>
      <c r="BX1529" s="14">
        <f>F1529*BW1529*IF(B1529&gt;=in_marketplace_from,d_hz_loan_vehicle*G1529,0)*in_loan_vehicle_ticket*in_loan_vehicle_comm</f>
        <v/>
      </c>
      <c r="BY1529" s="40">
        <f>BY1528*(1-IF(B1528&gt;=in_marketplace_from,d_hz_loan_home*G1528,0)*BZ1528)</f>
        <v/>
      </c>
      <c r="BZ1529" s="11">
        <f>MIN(in_approval_cap,in_loan_home_approval*INDEX('Age profile'!$O$2:$O$61,B1529)*(1+in_approval_growth)^(D1529-1))</f>
        <v/>
      </c>
      <c r="CA1529" s="14">
        <f>F1529*BY1529*IF(B1529&gt;=in_marketplace_from,d_hz_loan_home*G1529,0)*BZ1529*in_loan_home_ticket*in_loan_home_comm</f>
        <v/>
      </c>
      <c r="CB1529" s="40">
        <f>CB1528*(1-IF(B1528&gt;=in_marketplace_from,d_hz_loan_lap*G1528,0)*CC1528)</f>
        <v/>
      </c>
      <c r="CC1529" s="11">
        <f>MIN(in_approval_cap,in_loan_lap_approval*INDEX('Age profile'!$O$2:$O$61,B1529)*(1+in_approval_growth)^(D1529-1))</f>
        <v/>
      </c>
      <c r="CD1529" s="14">
        <f>F1529*CB1529*IF(B1529&gt;=in_marketplace_from,d_hz_loan_lap*G1529,0)*CC1529*in_loan_lap_ticket*in_loan_lap_comm</f>
        <v/>
      </c>
      <c r="CE1529" s="14">
        <f>AA1529+AB1529+AC1529+AD1529+AG1529+AJ1529+AM1529+AP1529+AS1529+AU1529+AX1529+BB1529+BE1529+BG1529+BJ1529+BL1529+BO1529+BR1529+BT1529+BV1529+BX1529+CA1529+CD1529</f>
        <v/>
      </c>
    </row>
    <row r="1530">
      <c r="A1530" s="39" t="n">
        <v>36</v>
      </c>
      <c r="B1530" s="39" t="n">
        <v>24</v>
      </c>
      <c r="C1530" s="39">
        <f>A1530+B1530-1</f>
        <v/>
      </c>
      <c r="D1530" s="39">
        <f>INT((C1530-1)/12)+1</f>
        <v/>
      </c>
      <c r="E1530" s="44">
        <f>INDEX(Monthly!$B$2:$B$61,A1530)</f>
        <v/>
      </c>
      <c r="F1530" s="44">
        <f>E1530*INDEX('Age profile'!$B$2:$B$61,B1530)</f>
        <v/>
      </c>
      <c r="G1530" s="45">
        <f>MIN(in_takeup_cap,INDEX('Age profile'!$N$2:$N$61,B1530)*(1+in_takeup_growth)^(D1530-1))</f>
        <v/>
      </c>
      <c r="H1530" s="11">
        <f>MIN(in_approval_cap,in_approved_first*INDEX('Age profile'!$O$2:$O$61,B1530)*(1+in_approval_growth)^(D1530-1))</f>
        <v/>
      </c>
      <c r="I1530" s="45">
        <f>G1530*MIN(in_takeup_cap,INDEX('Age profile'!$O$2:$O$61,B1530)*(1+in_approval_growth)^(D1530-1))</f>
        <v/>
      </c>
      <c r="J1530" s="40">
        <f>(J1529-L1529)*F1530/F1529</f>
        <v/>
      </c>
      <c r="K1530" s="40">
        <f>(K1529-M1529)*F1530/F1529+SUMIFS(O1507:O1529,B1507:B1529,B1530-1-d_T)*F1530</f>
        <v/>
      </c>
      <c r="L1530" s="40">
        <f>IF(B1530&gt;=in_marketplace_from,J1530*d_hz*G1530*in_eligible*H1530,0)</f>
        <v/>
      </c>
      <c r="M1530" s="40">
        <f>IF(B1530&gt;=in_marketplace_from,K1530*d_hz*G1530*in_eligible*in_approved_repeat,0)</f>
        <v/>
      </c>
      <c r="N1530" s="40">
        <f>L1530+M1530</f>
        <v/>
      </c>
      <c r="O1530" s="46">
        <f>N1530/F1530</f>
        <v/>
      </c>
      <c r="P1530" s="40">
        <f>F1530-J1530-K1530</f>
        <v/>
      </c>
      <c r="Q1530" s="40">
        <f>IF(B1530&gt;=in_marketplace_from,(J1530+K1530)*d_hz*G1530,0)</f>
        <v/>
      </c>
      <c r="R1530" s="40">
        <f>SUMIFS(N1507:N1531,B1507:B1531,"&gt;="&amp;(B1530-d_T),B1507:B1531,"&lt;="&amp;(B1530-1))</f>
        <v/>
      </c>
      <c r="S1530" s="46">
        <f>(1-d_u)*S1529+IF(d_T&gt;in_topup_lag,SUMIFS(O1507:O1531,B1507:B1531,B1530-in_topup_lag)-d_udrop*SUMIFS(O1507:O1531,B1507:B1531,B1530-d_T),0)</f>
        <v/>
      </c>
      <c r="T1530" s="40">
        <f>F1530*d_u*S1530</f>
        <v/>
      </c>
      <c r="U1530" s="9">
        <f>L1530*in_ticket+M1530*d_rep_ticket</f>
        <v/>
      </c>
      <c r="V1530" s="9">
        <f>U1530+T1530*d_topup_amt</f>
        <v/>
      </c>
      <c r="W1530" s="40">
        <f>N1530+T1530*d_topup_ratio</f>
        <v/>
      </c>
      <c r="X1530" s="40">
        <f>SUMIFS(W1507:W1531,B1507:B1531,B1530-in_dpd_lag)*d_cured</f>
        <v/>
      </c>
      <c r="Y1530" s="40">
        <f>SUMIFS(W1507:W1531,B1507:B1531,B1530-in_rec_lag)*d_recd</f>
        <v/>
      </c>
      <c r="Z1530" s="40">
        <f>IF(AND(B1530&gt;=in_marketplace_from,B1530&lt;in_marketplace_from+in_card_months),in_card_share/in_card_months*F1530*I1530,IF(AND(B1530&gt;=in_marketplace_from+in_card_months,B1530&lt;in_marketplace_from+2*in_card_months),in_card_share*d_card_rem/in_card_months*F1530*MIN(in_takeup_cap,(1+in_takeup_growth)^(D1530-1))*MIN(in_takeup_cap,(1+in_approval_growth)^(D1530-1)),0))</f>
        <v/>
      </c>
      <c r="AA1530" s="14">
        <f>V1530*in_fee*(1-in_taken_back)</f>
        <v/>
      </c>
      <c r="AB1530" s="14">
        <f>SUMIFS(W1507:W1531,B1507:B1531,B1530-in_dpd_lag)*d_dpd</f>
        <v/>
      </c>
      <c r="AC1530" s="14">
        <f>SUMIFS(W1507:W1531,B1507:B1531,B1530-in_rec_lag)*d_rec</f>
        <v/>
      </c>
      <c r="AD1530" s="14">
        <f>Z1530*in_card_fee</f>
        <v/>
      </c>
      <c r="AE1530" s="40">
        <f>AE1529*(1-IF(B1529&gt;=in_marketplace_from,d_hz_hlth_small*G1529,0))</f>
        <v/>
      </c>
      <c r="AF1530" s="46">
        <f>AE1530*IF(B1530&gt;=in_marketplace_from,d_hz_hlth_small*G1530,0)</f>
        <v/>
      </c>
      <c r="AG1530" s="14">
        <f>F1530*AF1530*in_hlth_small_ticket*in_hlth_small_comm*in_ins_partner_share+F1530*in_hlth_small_ticket*in_hlth_small_renew_comm*in_ins_partner_share*(in_hlth_small_renew^1*SUMIFS(AF1507:AF1531,B1507:B1531,B1530-12)+in_hlth_small_renew^2*SUMIFS(AF1507:AF1531,B1507:B1531,B1530-24)+in_hlth_small_renew^3*SUMIFS(AF1507:AF1531,B1507:B1531,B1530-36)+in_hlth_small_renew^4*SUMIFS(AF1507:AF1531,B1507:B1531,B1530-48))</f>
        <v/>
      </c>
      <c r="AH1530" s="40">
        <f>AH1529*(1-IF(B1529&gt;=in_marketplace_from,d_hz_hlth_family*G1529,0))</f>
        <v/>
      </c>
      <c r="AI1530" s="46">
        <f>AH1530*IF(B1530&gt;=in_marketplace_from,d_hz_hlth_family*G1530,0)</f>
        <v/>
      </c>
      <c r="AJ1530" s="14">
        <f>F1530*AI1530*in_hlth_family_ticket*in_hlth_family_comm*in_ins_partner_share+F1530*in_hlth_family_ticket*in_hlth_family_renew_comm*in_ins_partner_share*(in_hlth_family_renew^1*SUMIFS(AI1507:AI1531,B1507:B1531,B1530-12)+in_hlth_family_renew^2*SUMIFS(AI1507:AI1531,B1507:B1531,B1530-24)+in_hlth_family_renew^3*SUMIFS(AI1507:AI1531,B1507:B1531,B1530-36)+in_hlth_family_renew^4*SUMIFS(AI1507:AI1531,B1507:B1531,B1530-48))</f>
        <v/>
      </c>
      <c r="AK1530" s="40">
        <f>AK1529*(1-IF(B1529&gt;=in_marketplace_from,d_hz_life_term*G1529,0))</f>
        <v/>
      </c>
      <c r="AL1530" s="46">
        <f>AK1530*IF(B1530&gt;=in_marketplace_from,d_hz_life_term*G1530,0)</f>
        <v/>
      </c>
      <c r="AM1530" s="14">
        <f>F1530*AL1530*in_life_term_ticket*in_life_term_comm*in_ins_partner_share+F1530*in_life_term_ticket*in_life_term_renew_comm*in_ins_partner_share*(in_life_term_renew^1*SUMIFS(AL1507:AL1531,B1507:B1531,B1530-12)+in_life_term_renew^2*SUMIFS(AL1507:AL1531,B1507:B1531,B1530-24)+in_life_term_renew^3*SUMIFS(AL1507:AL1531,B1507:B1531,B1530-36)+in_life_term_renew^4*SUMIFS(AL1507:AL1531,B1507:B1531,B1530-48))</f>
        <v/>
      </c>
      <c r="AN1530" s="40">
        <f>AN1529*(1-IF(B1529&gt;=in_marketplace_from,d_hz_accident*G1529,0))</f>
        <v/>
      </c>
      <c r="AO1530" s="46">
        <f>AN1530*IF(B1530&gt;=in_marketplace_from,d_hz_accident*G1530,0)</f>
        <v/>
      </c>
      <c r="AP1530" s="14">
        <f>F1530*AO1530*in_accident_ticket*in_accident_comm*in_ins_partner_share+F1530*in_accident_ticket*in_accident_renew_comm*in_ins_partner_share*(in_accident_renew^1*SUMIFS(AO1507:AO1531,B1507:B1531,B1530-12)+in_accident_renew^2*SUMIFS(AO1507:AO1531,B1507:B1531,B1530-24)+in_accident_renew^3*SUMIFS(AO1507:AO1531,B1507:B1531,B1530-36)+in_accident_renew^4*SUMIFS(AO1507:AO1531,B1507:B1531,B1530-48))</f>
        <v/>
      </c>
      <c r="AQ1530" s="40">
        <f>AQ1529*(1-IF(B1529&gt;=in_marketplace_from,d_hz_two_wheeler*G1529,0))</f>
        <v/>
      </c>
      <c r="AR1530" s="46">
        <f>AQ1530*IF(B1530&gt;=in_marketplace_from,d_hz_two_wheeler*G1530,0)</f>
        <v/>
      </c>
      <c r="AS1530" s="14">
        <f>F1530*AR1530*in_two_wheeler_ticket*in_two_wheeler_comm*in_ins_partner_share+F1530*in_two_wheeler_ticket*in_two_wheeler_comm*in_ins_partner_share*(in_two_wheeler_renew^1*SUMIFS(AR1507:AR1531,B1507:B1531,B1530-12)+in_two_wheeler_renew^2*SUMIFS(AR1507:AR1531,B1507:B1531,B1530-24)+in_two_wheeler_renew^3*SUMIFS(AR1507:AR1531,B1507:B1531,B1530-36)+in_two_wheeler_renew^4*SUMIFS(AR1507:AR1531,B1507:B1531,B1530-48))</f>
        <v/>
      </c>
      <c r="AT1530" s="40">
        <f>AT1529*(1-IF(B1529&gt;=in_marketplace_from,d_hz_device*G1529,0))</f>
        <v/>
      </c>
      <c r="AU1530" s="14">
        <f>F1530*AT1530*IF(B1530&gt;=in_marketplace_from,d_hz_device*G1530,0)*in_device_ticket*in_device_comm*in_ins_partner_share</f>
        <v/>
      </c>
      <c r="AV1530" s="40">
        <f>AV1529*(1-IF(B1529&gt;=in_marketplace_from,d_hz_shop*G1529,0))</f>
        <v/>
      </c>
      <c r="AW1530" s="46">
        <f>AV1530*IF(B1530&gt;=in_marketplace_from,d_hz_shop*G1530,0)</f>
        <v/>
      </c>
      <c r="AX1530" s="14">
        <f>F1530*AW1530*in_shop_ticket*in_shop_comm*in_ins_partner_share+F1530*in_shop_ticket*in_shop_renew_comm*in_ins_partner_share*(in_shop_renew^1*SUMIFS(AW1507:AW1531,B1507:B1531,B1530-12)+in_shop_renew^2*SUMIFS(AW1507:AW1531,B1507:B1531,B1530-24)+in_shop_renew^3*SUMIFS(AW1507:AW1531,B1507:B1531,B1530-36)+in_shop_renew^4*SUMIFS(AW1507:AW1531,B1507:B1531,B1530-48))</f>
        <v/>
      </c>
      <c r="AY1530" s="40">
        <f>AY1529*(1-IF(B1529&gt;=in_marketplace_from,d_hz_sip*G1529,0))</f>
        <v/>
      </c>
      <c r="AZ1530" s="40">
        <f>AZ1529*d_rho_sip+AY1530*IF(B1530&gt;=in_marketplace_from,d_hz_sip*G1530,0)</f>
        <v/>
      </c>
      <c r="BA1530" s="40">
        <f>d_rho_sip*(BA1529+AZ1529)</f>
        <v/>
      </c>
      <c r="BB1530" s="14">
        <f>F1530*in_sip_ticket*(BA1530+0.5*AZ1530)*in_sip_comm/12</f>
        <v/>
      </c>
      <c r="BC1530" s="40">
        <f>BC1529*(1-IF(B1529&gt;=in_marketplace_from,d_hz_choti*G1529,0))</f>
        <v/>
      </c>
      <c r="BD1530" s="46">
        <f>BC1530*IF(B1530&gt;=in_marketplace_from,d_hz_choti*G1530,0)</f>
        <v/>
      </c>
      <c r="BE1530" s="14">
        <f>F1530*SUMIFS(BD1507:BD1531,B1507:B1531,B1530-in_choti_months)*in_choti_renew*in_choti_ticket</f>
        <v/>
      </c>
      <c r="BF1530" s="40">
        <f>BF1529*(1-IF(B1529&gt;=in_marketplace_from,d_hz_nps*G1529,0))</f>
        <v/>
      </c>
      <c r="BG1530" s="14">
        <f>F1530*BF1530*IF(B1530&gt;=in_marketplace_from,d_hz_nps*G1530,0)*in_nps_ticket*in_nps_comm</f>
        <v/>
      </c>
      <c r="BH1530" s="40">
        <f>BH1529*(1-IF(B1529&gt;=in_marketplace_from,d_hz_gold*G1529,0))</f>
        <v/>
      </c>
      <c r="BI1530" s="40">
        <f>BI1529*d_rho_gold+BH1530*IF(B1530&gt;=in_marketplace_from,d_hz_gold*G1530,0)</f>
        <v/>
      </c>
      <c r="BJ1530" s="14">
        <f>F1530*BI1530*in_gold_ticket*in_gold_comm</f>
        <v/>
      </c>
      <c r="BK1530" s="40">
        <f>BK1529*(1-IF(B1529&gt;=in_marketplace_from,d_hz_fd*G1529,0))</f>
        <v/>
      </c>
      <c r="BL1530" s="14">
        <f>F1530*BK1530*IF(B1530&gt;=in_marketplace_from,d_hz_fd*G1530,0)*in_fd_ticket*in_fd_comm</f>
        <v/>
      </c>
      <c r="BM1530" s="40">
        <f>BM1529*(1-IF(B1529&gt;=in_marketplace_from,d_hz_recharge*G1529,0))</f>
        <v/>
      </c>
      <c r="BN1530" s="40">
        <f>BN1529*d_rho_recharge+BM1530*IF(B1530&gt;=in_marketplace_from,d_hz_recharge*G1530,0)</f>
        <v/>
      </c>
      <c r="BO1530" s="14">
        <f>F1530*BN1530*in_recharge_ticket*in_recharge_comm/12</f>
        <v/>
      </c>
      <c r="BP1530" s="40">
        <f>BP1529*(1-IF(B1529&gt;=in_marketplace_from,d_hz_bills*G1529,0))</f>
        <v/>
      </c>
      <c r="BQ1530" s="40">
        <f>BQ1529*d_rho_bills+BP1530*IF(B1530&gt;=in_marketplace_from,d_hz_bills*G1530,0)</f>
        <v/>
      </c>
      <c r="BR1530" s="14">
        <f>F1530*BQ1530*in_bills_ticket*in_bills_comm/12</f>
        <v/>
      </c>
      <c r="BS1530" s="40">
        <f>BS1529*(1-IF(B1529&gt;=in_marketplace_from,d_hz_loan_gold*G1529,0))</f>
        <v/>
      </c>
      <c r="BT1530" s="14">
        <f>F1530*BS1530*IF(B1530&gt;=in_marketplace_from,d_hz_loan_gold*G1530,0)*in_loan_gold_ticket*in_loan_gold_comm</f>
        <v/>
      </c>
      <c r="BU1530" s="40">
        <f>BU1529*(1-IF(B1529&gt;=in_marketplace_from,d_hz_loan_cd*G1529,0))</f>
        <v/>
      </c>
      <c r="BV1530" s="14">
        <f>F1530*BU1530*IF(B1530&gt;=in_marketplace_from,d_hz_loan_cd*G1530,0)*in_loan_cd_ticket*in_loan_cd_comm</f>
        <v/>
      </c>
      <c r="BW1530" s="40">
        <f>BW1529*(1-IF(B1529&gt;=in_marketplace_from,d_hz_loan_vehicle*G1529,0))</f>
        <v/>
      </c>
      <c r="BX1530" s="14">
        <f>F1530*BW1530*IF(B1530&gt;=in_marketplace_from,d_hz_loan_vehicle*G1530,0)*in_loan_vehicle_ticket*in_loan_vehicle_comm</f>
        <v/>
      </c>
      <c r="BY1530" s="40">
        <f>BY1529*(1-IF(B1529&gt;=in_marketplace_from,d_hz_loan_home*G1529,0)*BZ1529)</f>
        <v/>
      </c>
      <c r="BZ1530" s="11">
        <f>MIN(in_approval_cap,in_loan_home_approval*INDEX('Age profile'!$O$2:$O$61,B1530)*(1+in_approval_growth)^(D1530-1))</f>
        <v/>
      </c>
      <c r="CA1530" s="14">
        <f>F1530*BY1530*IF(B1530&gt;=in_marketplace_from,d_hz_loan_home*G1530,0)*BZ1530*in_loan_home_ticket*in_loan_home_comm</f>
        <v/>
      </c>
      <c r="CB1530" s="40">
        <f>CB1529*(1-IF(B1529&gt;=in_marketplace_from,d_hz_loan_lap*G1529,0)*CC1529)</f>
        <v/>
      </c>
      <c r="CC1530" s="11">
        <f>MIN(in_approval_cap,in_loan_lap_approval*INDEX('Age profile'!$O$2:$O$61,B1530)*(1+in_approval_growth)^(D1530-1))</f>
        <v/>
      </c>
      <c r="CD1530" s="14">
        <f>F1530*CB1530*IF(B1530&gt;=in_marketplace_from,d_hz_loan_lap*G1530,0)*CC1530*in_loan_lap_ticket*in_loan_lap_comm</f>
        <v/>
      </c>
      <c r="CE1530" s="14">
        <f>AA1530+AB1530+AC1530+AD1530+AG1530+AJ1530+AM1530+AP1530+AS1530+AU1530+AX1530+BB1530+BE1530+BG1530+BJ1530+BL1530+BO1530+BR1530+BT1530+BV1530+BX1530+CA1530+CD1530</f>
        <v/>
      </c>
    </row>
    <row r="1531">
      <c r="A1531" s="39" t="n">
        <v>36</v>
      </c>
      <c r="B1531" s="39" t="n">
        <v>25</v>
      </c>
      <c r="C1531" s="39">
        <f>A1531+B1531-1</f>
        <v/>
      </c>
      <c r="D1531" s="39">
        <f>INT((C1531-1)/12)+1</f>
        <v/>
      </c>
      <c r="E1531" s="44">
        <f>INDEX(Monthly!$B$2:$B$61,A1531)</f>
        <v/>
      </c>
      <c r="F1531" s="44">
        <f>E1531*INDEX('Age profile'!$B$2:$B$61,B1531)</f>
        <v/>
      </c>
      <c r="G1531" s="45">
        <f>MIN(in_takeup_cap,INDEX('Age profile'!$N$2:$N$61,B1531)*(1+in_takeup_growth)^(D1531-1))</f>
        <v/>
      </c>
      <c r="H1531" s="11">
        <f>MIN(in_approval_cap,in_approved_first*INDEX('Age profile'!$O$2:$O$61,B1531)*(1+in_approval_growth)^(D1531-1))</f>
        <v/>
      </c>
      <c r="I1531" s="45">
        <f>G1531*MIN(in_takeup_cap,INDEX('Age profile'!$O$2:$O$61,B1531)*(1+in_approval_growth)^(D1531-1))</f>
        <v/>
      </c>
      <c r="J1531" s="40">
        <f>(J1530-L1530)*F1531/F1530</f>
        <v/>
      </c>
      <c r="K1531" s="40">
        <f>(K1530-M1530)*F1531/F1530+SUMIFS(O1507:O1530,B1507:B1530,B1531-1-d_T)*F1531</f>
        <v/>
      </c>
      <c r="L1531" s="40">
        <f>IF(B1531&gt;=in_marketplace_from,J1531*d_hz*G1531*in_eligible*H1531,0)</f>
        <v/>
      </c>
      <c r="M1531" s="40">
        <f>IF(B1531&gt;=in_marketplace_from,K1531*d_hz*G1531*in_eligible*in_approved_repeat,0)</f>
        <v/>
      </c>
      <c r="N1531" s="40">
        <f>L1531+M1531</f>
        <v/>
      </c>
      <c r="O1531" s="46">
        <f>N1531/F1531</f>
        <v/>
      </c>
      <c r="P1531" s="40">
        <f>F1531-J1531-K1531</f>
        <v/>
      </c>
      <c r="Q1531" s="40">
        <f>IF(B1531&gt;=in_marketplace_from,(J1531+K1531)*d_hz*G1531,0)</f>
        <v/>
      </c>
      <c r="R1531" s="40">
        <f>SUMIFS(N1507:N1531,B1507:B1531,"&gt;="&amp;(B1531-d_T),B1507:B1531,"&lt;="&amp;(B1531-1))</f>
        <v/>
      </c>
      <c r="S1531" s="46">
        <f>(1-d_u)*S1530+IF(d_T&gt;in_topup_lag,SUMIFS(O1507:O1531,B1507:B1531,B1531-in_topup_lag)-d_udrop*SUMIFS(O1507:O1531,B1507:B1531,B1531-d_T),0)</f>
        <v/>
      </c>
      <c r="T1531" s="40">
        <f>F1531*d_u*S1531</f>
        <v/>
      </c>
      <c r="U1531" s="9">
        <f>L1531*in_ticket+M1531*d_rep_ticket</f>
        <v/>
      </c>
      <c r="V1531" s="9">
        <f>U1531+T1531*d_topup_amt</f>
        <v/>
      </c>
      <c r="W1531" s="40">
        <f>N1531+T1531*d_topup_ratio</f>
        <v/>
      </c>
      <c r="X1531" s="40">
        <f>SUMIFS(W1507:W1531,B1507:B1531,B1531-in_dpd_lag)*d_cured</f>
        <v/>
      </c>
      <c r="Y1531" s="40">
        <f>SUMIFS(W1507:W1531,B1507:B1531,B1531-in_rec_lag)*d_recd</f>
        <v/>
      </c>
      <c r="Z1531" s="40">
        <f>IF(AND(B1531&gt;=in_marketplace_from,B1531&lt;in_marketplace_from+in_card_months),in_card_share/in_card_months*F1531*I1531,IF(AND(B1531&gt;=in_marketplace_from+in_card_months,B1531&lt;in_marketplace_from+2*in_card_months),in_card_share*d_card_rem/in_card_months*F1531*MIN(in_takeup_cap,(1+in_takeup_growth)^(D1531-1))*MIN(in_takeup_cap,(1+in_approval_growth)^(D1531-1)),0))</f>
        <v/>
      </c>
      <c r="AA1531" s="14">
        <f>V1531*in_fee*(1-in_taken_back)</f>
        <v/>
      </c>
      <c r="AB1531" s="14">
        <f>SUMIFS(W1507:W1531,B1507:B1531,B1531-in_dpd_lag)*d_dpd</f>
        <v/>
      </c>
      <c r="AC1531" s="14">
        <f>SUMIFS(W1507:W1531,B1507:B1531,B1531-in_rec_lag)*d_rec</f>
        <v/>
      </c>
      <c r="AD1531" s="14">
        <f>Z1531*in_card_fee</f>
        <v/>
      </c>
      <c r="AE1531" s="40">
        <f>AE1530*(1-IF(B1530&gt;=in_marketplace_from,d_hz_hlth_small*G1530,0))</f>
        <v/>
      </c>
      <c r="AF1531" s="46">
        <f>AE1531*IF(B1531&gt;=in_marketplace_from,d_hz_hlth_small*G1531,0)</f>
        <v/>
      </c>
      <c r="AG1531" s="14">
        <f>F1531*AF1531*in_hlth_small_ticket*in_hlth_small_comm*in_ins_partner_share+F1531*in_hlth_small_ticket*in_hlth_small_renew_comm*in_ins_partner_share*(in_hlth_small_renew^1*SUMIFS(AF1507:AF1531,B1507:B1531,B1531-12)+in_hlth_small_renew^2*SUMIFS(AF1507:AF1531,B1507:B1531,B1531-24)+in_hlth_small_renew^3*SUMIFS(AF1507:AF1531,B1507:B1531,B1531-36)+in_hlth_small_renew^4*SUMIFS(AF1507:AF1531,B1507:B1531,B1531-48))</f>
        <v/>
      </c>
      <c r="AH1531" s="40">
        <f>AH1530*(1-IF(B1530&gt;=in_marketplace_from,d_hz_hlth_family*G1530,0))</f>
        <v/>
      </c>
      <c r="AI1531" s="46">
        <f>AH1531*IF(B1531&gt;=in_marketplace_from,d_hz_hlth_family*G1531,0)</f>
        <v/>
      </c>
      <c r="AJ1531" s="14">
        <f>F1531*AI1531*in_hlth_family_ticket*in_hlth_family_comm*in_ins_partner_share+F1531*in_hlth_family_ticket*in_hlth_family_renew_comm*in_ins_partner_share*(in_hlth_family_renew^1*SUMIFS(AI1507:AI1531,B1507:B1531,B1531-12)+in_hlth_family_renew^2*SUMIFS(AI1507:AI1531,B1507:B1531,B1531-24)+in_hlth_family_renew^3*SUMIFS(AI1507:AI1531,B1507:B1531,B1531-36)+in_hlth_family_renew^4*SUMIFS(AI1507:AI1531,B1507:B1531,B1531-48))</f>
        <v/>
      </c>
      <c r="AK1531" s="40">
        <f>AK1530*(1-IF(B1530&gt;=in_marketplace_from,d_hz_life_term*G1530,0))</f>
        <v/>
      </c>
      <c r="AL1531" s="46">
        <f>AK1531*IF(B1531&gt;=in_marketplace_from,d_hz_life_term*G1531,0)</f>
        <v/>
      </c>
      <c r="AM1531" s="14">
        <f>F1531*AL1531*in_life_term_ticket*in_life_term_comm*in_ins_partner_share+F1531*in_life_term_ticket*in_life_term_renew_comm*in_ins_partner_share*(in_life_term_renew^1*SUMIFS(AL1507:AL1531,B1507:B1531,B1531-12)+in_life_term_renew^2*SUMIFS(AL1507:AL1531,B1507:B1531,B1531-24)+in_life_term_renew^3*SUMIFS(AL1507:AL1531,B1507:B1531,B1531-36)+in_life_term_renew^4*SUMIFS(AL1507:AL1531,B1507:B1531,B1531-48))</f>
        <v/>
      </c>
      <c r="AN1531" s="40">
        <f>AN1530*(1-IF(B1530&gt;=in_marketplace_from,d_hz_accident*G1530,0))</f>
        <v/>
      </c>
      <c r="AO1531" s="46">
        <f>AN1531*IF(B1531&gt;=in_marketplace_from,d_hz_accident*G1531,0)</f>
        <v/>
      </c>
      <c r="AP1531" s="14">
        <f>F1531*AO1531*in_accident_ticket*in_accident_comm*in_ins_partner_share+F1531*in_accident_ticket*in_accident_renew_comm*in_ins_partner_share*(in_accident_renew^1*SUMIFS(AO1507:AO1531,B1507:B1531,B1531-12)+in_accident_renew^2*SUMIFS(AO1507:AO1531,B1507:B1531,B1531-24)+in_accident_renew^3*SUMIFS(AO1507:AO1531,B1507:B1531,B1531-36)+in_accident_renew^4*SUMIFS(AO1507:AO1531,B1507:B1531,B1531-48))</f>
        <v/>
      </c>
      <c r="AQ1531" s="40">
        <f>AQ1530*(1-IF(B1530&gt;=in_marketplace_from,d_hz_two_wheeler*G1530,0))</f>
        <v/>
      </c>
      <c r="AR1531" s="46">
        <f>AQ1531*IF(B1531&gt;=in_marketplace_from,d_hz_two_wheeler*G1531,0)</f>
        <v/>
      </c>
      <c r="AS1531" s="14">
        <f>F1531*AR1531*in_two_wheeler_ticket*in_two_wheeler_comm*in_ins_partner_share+F1531*in_two_wheeler_ticket*in_two_wheeler_comm*in_ins_partner_share*(in_two_wheeler_renew^1*SUMIFS(AR1507:AR1531,B1507:B1531,B1531-12)+in_two_wheeler_renew^2*SUMIFS(AR1507:AR1531,B1507:B1531,B1531-24)+in_two_wheeler_renew^3*SUMIFS(AR1507:AR1531,B1507:B1531,B1531-36)+in_two_wheeler_renew^4*SUMIFS(AR1507:AR1531,B1507:B1531,B1531-48))</f>
        <v/>
      </c>
      <c r="AT1531" s="40">
        <f>AT1530*(1-IF(B1530&gt;=in_marketplace_from,d_hz_device*G1530,0))</f>
        <v/>
      </c>
      <c r="AU1531" s="14">
        <f>F1531*AT1531*IF(B1531&gt;=in_marketplace_from,d_hz_device*G1531,0)*in_device_ticket*in_device_comm*in_ins_partner_share</f>
        <v/>
      </c>
      <c r="AV1531" s="40">
        <f>AV1530*(1-IF(B1530&gt;=in_marketplace_from,d_hz_shop*G1530,0))</f>
        <v/>
      </c>
      <c r="AW1531" s="46">
        <f>AV1531*IF(B1531&gt;=in_marketplace_from,d_hz_shop*G1531,0)</f>
        <v/>
      </c>
      <c r="AX1531" s="14">
        <f>F1531*AW1531*in_shop_ticket*in_shop_comm*in_ins_partner_share+F1531*in_shop_ticket*in_shop_renew_comm*in_ins_partner_share*(in_shop_renew^1*SUMIFS(AW1507:AW1531,B1507:B1531,B1531-12)+in_shop_renew^2*SUMIFS(AW1507:AW1531,B1507:B1531,B1531-24)+in_shop_renew^3*SUMIFS(AW1507:AW1531,B1507:B1531,B1531-36)+in_shop_renew^4*SUMIFS(AW1507:AW1531,B1507:B1531,B1531-48))</f>
        <v/>
      </c>
      <c r="AY1531" s="40">
        <f>AY1530*(1-IF(B1530&gt;=in_marketplace_from,d_hz_sip*G1530,0))</f>
        <v/>
      </c>
      <c r="AZ1531" s="40">
        <f>AZ1530*d_rho_sip+AY1531*IF(B1531&gt;=in_marketplace_from,d_hz_sip*G1531,0)</f>
        <v/>
      </c>
      <c r="BA1531" s="40">
        <f>d_rho_sip*(BA1530+AZ1530)</f>
        <v/>
      </c>
      <c r="BB1531" s="14">
        <f>F1531*in_sip_ticket*(BA1531+0.5*AZ1531)*in_sip_comm/12</f>
        <v/>
      </c>
      <c r="BC1531" s="40">
        <f>BC1530*(1-IF(B1530&gt;=in_marketplace_from,d_hz_choti*G1530,0))</f>
        <v/>
      </c>
      <c r="BD1531" s="46">
        <f>BC1531*IF(B1531&gt;=in_marketplace_from,d_hz_choti*G1531,0)</f>
        <v/>
      </c>
      <c r="BE1531" s="14">
        <f>F1531*SUMIFS(BD1507:BD1531,B1507:B1531,B1531-in_choti_months)*in_choti_renew*in_choti_ticket</f>
        <v/>
      </c>
      <c r="BF1531" s="40">
        <f>BF1530*(1-IF(B1530&gt;=in_marketplace_from,d_hz_nps*G1530,0))</f>
        <v/>
      </c>
      <c r="BG1531" s="14">
        <f>F1531*BF1531*IF(B1531&gt;=in_marketplace_from,d_hz_nps*G1531,0)*in_nps_ticket*in_nps_comm</f>
        <v/>
      </c>
      <c r="BH1531" s="40">
        <f>BH1530*(1-IF(B1530&gt;=in_marketplace_from,d_hz_gold*G1530,0))</f>
        <v/>
      </c>
      <c r="BI1531" s="40">
        <f>BI1530*d_rho_gold+BH1531*IF(B1531&gt;=in_marketplace_from,d_hz_gold*G1531,0)</f>
        <v/>
      </c>
      <c r="BJ1531" s="14">
        <f>F1531*BI1531*in_gold_ticket*in_gold_comm</f>
        <v/>
      </c>
      <c r="BK1531" s="40">
        <f>BK1530*(1-IF(B1530&gt;=in_marketplace_from,d_hz_fd*G1530,0))</f>
        <v/>
      </c>
      <c r="BL1531" s="14">
        <f>F1531*BK1531*IF(B1531&gt;=in_marketplace_from,d_hz_fd*G1531,0)*in_fd_ticket*in_fd_comm</f>
        <v/>
      </c>
      <c r="BM1531" s="40">
        <f>BM1530*(1-IF(B1530&gt;=in_marketplace_from,d_hz_recharge*G1530,0))</f>
        <v/>
      </c>
      <c r="BN1531" s="40">
        <f>BN1530*d_rho_recharge+BM1531*IF(B1531&gt;=in_marketplace_from,d_hz_recharge*G1531,0)</f>
        <v/>
      </c>
      <c r="BO1531" s="14">
        <f>F1531*BN1531*in_recharge_ticket*in_recharge_comm/12</f>
        <v/>
      </c>
      <c r="BP1531" s="40">
        <f>BP1530*(1-IF(B1530&gt;=in_marketplace_from,d_hz_bills*G1530,0))</f>
        <v/>
      </c>
      <c r="BQ1531" s="40">
        <f>BQ1530*d_rho_bills+BP1531*IF(B1531&gt;=in_marketplace_from,d_hz_bills*G1531,0)</f>
        <v/>
      </c>
      <c r="BR1531" s="14">
        <f>F1531*BQ1531*in_bills_ticket*in_bills_comm/12</f>
        <v/>
      </c>
      <c r="BS1531" s="40">
        <f>BS1530*(1-IF(B1530&gt;=in_marketplace_from,d_hz_loan_gold*G1530,0))</f>
        <v/>
      </c>
      <c r="BT1531" s="14">
        <f>F1531*BS1531*IF(B1531&gt;=in_marketplace_from,d_hz_loan_gold*G1531,0)*in_loan_gold_ticket*in_loan_gold_comm</f>
        <v/>
      </c>
      <c r="BU1531" s="40">
        <f>BU1530*(1-IF(B1530&gt;=in_marketplace_from,d_hz_loan_cd*G1530,0))</f>
        <v/>
      </c>
      <c r="BV1531" s="14">
        <f>F1531*BU1531*IF(B1531&gt;=in_marketplace_from,d_hz_loan_cd*G1531,0)*in_loan_cd_ticket*in_loan_cd_comm</f>
        <v/>
      </c>
      <c r="BW1531" s="40">
        <f>BW1530*(1-IF(B1530&gt;=in_marketplace_from,d_hz_loan_vehicle*G1530,0))</f>
        <v/>
      </c>
      <c r="BX1531" s="14">
        <f>F1531*BW1531*IF(B1531&gt;=in_marketplace_from,d_hz_loan_vehicle*G1531,0)*in_loan_vehicle_ticket*in_loan_vehicle_comm</f>
        <v/>
      </c>
      <c r="BY1531" s="40">
        <f>BY1530*(1-IF(B1530&gt;=in_marketplace_from,d_hz_loan_home*G1530,0)*BZ1530)</f>
        <v/>
      </c>
      <c r="BZ1531" s="11">
        <f>MIN(in_approval_cap,in_loan_home_approval*INDEX('Age profile'!$O$2:$O$61,B1531)*(1+in_approval_growth)^(D1531-1))</f>
        <v/>
      </c>
      <c r="CA1531" s="14">
        <f>F1531*BY1531*IF(B1531&gt;=in_marketplace_from,d_hz_loan_home*G1531,0)*BZ1531*in_loan_home_ticket*in_loan_home_comm</f>
        <v/>
      </c>
      <c r="CB1531" s="40">
        <f>CB1530*(1-IF(B1530&gt;=in_marketplace_from,d_hz_loan_lap*G1530,0)*CC1530)</f>
        <v/>
      </c>
      <c r="CC1531" s="11">
        <f>MIN(in_approval_cap,in_loan_lap_approval*INDEX('Age profile'!$O$2:$O$61,B1531)*(1+in_approval_growth)^(D1531-1))</f>
        <v/>
      </c>
      <c r="CD1531" s="14">
        <f>F1531*CB1531*IF(B1531&gt;=in_marketplace_from,d_hz_loan_lap*G1531,0)*CC1531*in_loan_lap_ticket*in_loan_lap_comm</f>
        <v/>
      </c>
      <c r="CE1531" s="14">
        <f>AA1531+AB1531+AC1531+AD1531+AG1531+AJ1531+AM1531+AP1531+AS1531+AU1531+AX1531+BB1531+BE1531+BG1531+BJ1531+BL1531+BO1531+BR1531+BT1531+BV1531+BX1531+CA1531+CD1531</f>
        <v/>
      </c>
    </row>
    <row r="1532">
      <c r="A1532" s="39" t="n">
        <v>37</v>
      </c>
      <c r="B1532" s="39" t="n">
        <v>1</v>
      </c>
      <c r="C1532" s="39">
        <f>A1532+B1532-1</f>
        <v/>
      </c>
      <c r="D1532" s="39">
        <f>INT((C1532-1)/12)+1</f>
        <v/>
      </c>
      <c r="E1532" s="44">
        <f>INDEX(Monthly!$B$2:$B$61,A1532)</f>
        <v/>
      </c>
      <c r="F1532" s="44">
        <f>E1532*INDEX('Age profile'!$B$2:$B$61,B1532)</f>
        <v/>
      </c>
      <c r="G1532" s="45">
        <f>MIN(in_takeup_cap,INDEX('Age profile'!$N$2:$N$61,B1532)*(1+in_takeup_growth)^(D1532-1))</f>
        <v/>
      </c>
      <c r="H1532" s="11">
        <f>MIN(in_approval_cap,in_approved_first*INDEX('Age profile'!$O$2:$O$61,B1532)*(1+in_approval_growth)^(D1532-1))</f>
        <v/>
      </c>
      <c r="I1532" s="45">
        <f>G1532*MIN(in_takeup_cap,INDEX('Age profile'!$O$2:$O$61,B1532)*(1+in_approval_growth)^(D1532-1))</f>
        <v/>
      </c>
      <c r="J1532" s="40">
        <f>E1532</f>
        <v/>
      </c>
      <c r="K1532" s="40" t="n">
        <v>0</v>
      </c>
      <c r="L1532" s="40">
        <f>IF(B1532&gt;=in_marketplace_from,J1532*d_hz*G1532*in_eligible*H1532,0)</f>
        <v/>
      </c>
      <c r="M1532" s="40">
        <f>IF(B1532&gt;=in_marketplace_from,K1532*d_hz*G1532*in_eligible*in_approved_repeat,0)</f>
        <v/>
      </c>
      <c r="N1532" s="40">
        <f>L1532+M1532</f>
        <v/>
      </c>
      <c r="O1532" s="46">
        <f>N1532/F1532</f>
        <v/>
      </c>
      <c r="P1532" s="40">
        <f>F1532-J1532-K1532</f>
        <v/>
      </c>
      <c r="Q1532" s="40">
        <f>IF(B1532&gt;=in_marketplace_from,(J1532+K1532)*d_hz*G1532,0)</f>
        <v/>
      </c>
      <c r="R1532" s="40">
        <f>SUMIFS(N1532:N1555,B1532:B1555,"&gt;="&amp;(B1532-d_T),B1532:B1555,"&lt;="&amp;(B1532-1))</f>
        <v/>
      </c>
      <c r="S1532" s="46" t="n">
        <v>0</v>
      </c>
      <c r="T1532" s="40">
        <f>F1532*d_u*S1532</f>
        <v/>
      </c>
      <c r="U1532" s="9">
        <f>L1532*in_ticket+M1532*d_rep_ticket</f>
        <v/>
      </c>
      <c r="V1532" s="9">
        <f>U1532+T1532*d_topup_amt</f>
        <v/>
      </c>
      <c r="W1532" s="40">
        <f>N1532+T1532*d_topup_ratio</f>
        <v/>
      </c>
      <c r="X1532" s="40">
        <f>SUMIFS(W1532:W1555,B1532:B1555,B1532-in_dpd_lag)*d_cured</f>
        <v/>
      </c>
      <c r="Y1532" s="40">
        <f>SUMIFS(W1532:W1555,B1532:B1555,B1532-in_rec_lag)*d_recd</f>
        <v/>
      </c>
      <c r="Z1532" s="40">
        <f>IF(AND(B1532&gt;=in_marketplace_from,B1532&lt;in_marketplace_from+in_card_months),in_card_share/in_card_months*F1532*I1532,IF(AND(B1532&gt;=in_marketplace_from+in_card_months,B1532&lt;in_marketplace_from+2*in_card_months),in_card_share*d_card_rem/in_card_months*F1532*MIN(in_takeup_cap,(1+in_takeup_growth)^(D1532-1))*MIN(in_takeup_cap,(1+in_approval_growth)^(D1532-1)),0))</f>
        <v/>
      </c>
      <c r="AA1532" s="14">
        <f>V1532*in_fee*(1-in_taken_back)</f>
        <v/>
      </c>
      <c r="AB1532" s="14">
        <f>SUMIFS(W1532:W1555,B1532:B1555,B1532-in_dpd_lag)*d_dpd</f>
        <v/>
      </c>
      <c r="AC1532" s="14">
        <f>SUMIFS(W1532:W1555,B1532:B1555,B1532-in_rec_lag)*d_rec</f>
        <v/>
      </c>
      <c r="AD1532" s="14">
        <f>Z1532*in_card_fee</f>
        <v/>
      </c>
      <c r="AE1532" s="40" t="n">
        <v>1</v>
      </c>
      <c r="AF1532" s="46">
        <f>AE1532*IF(B1532&gt;=in_marketplace_from,d_hz_hlth_small*G1532,0)</f>
        <v/>
      </c>
      <c r="AG1532" s="14">
        <f>F1532*AF1532*in_hlth_small_ticket*in_hlth_small_comm*in_ins_partner_share+F1532*in_hlth_small_ticket*in_hlth_small_renew_comm*in_ins_partner_share*(in_hlth_small_renew^1*SUMIFS(AF1532:AF1555,B1532:B1555,B1532-12)+in_hlth_small_renew^2*SUMIFS(AF1532:AF1555,B1532:B1555,B1532-24)+in_hlth_small_renew^3*SUMIFS(AF1532:AF1555,B1532:B1555,B1532-36)+in_hlth_small_renew^4*SUMIFS(AF1532:AF1555,B1532:B1555,B1532-48))</f>
        <v/>
      </c>
      <c r="AH1532" s="40" t="n">
        <v>1</v>
      </c>
      <c r="AI1532" s="46">
        <f>AH1532*IF(B1532&gt;=in_marketplace_from,d_hz_hlth_family*G1532,0)</f>
        <v/>
      </c>
      <c r="AJ1532" s="14">
        <f>F1532*AI1532*in_hlth_family_ticket*in_hlth_family_comm*in_ins_partner_share+F1532*in_hlth_family_ticket*in_hlth_family_renew_comm*in_ins_partner_share*(in_hlth_family_renew^1*SUMIFS(AI1532:AI1555,B1532:B1555,B1532-12)+in_hlth_family_renew^2*SUMIFS(AI1532:AI1555,B1532:B1555,B1532-24)+in_hlth_family_renew^3*SUMIFS(AI1532:AI1555,B1532:B1555,B1532-36)+in_hlth_family_renew^4*SUMIFS(AI1532:AI1555,B1532:B1555,B1532-48))</f>
        <v/>
      </c>
      <c r="AK1532" s="40" t="n">
        <v>1</v>
      </c>
      <c r="AL1532" s="46">
        <f>AK1532*IF(B1532&gt;=in_marketplace_from,d_hz_life_term*G1532,0)</f>
        <v/>
      </c>
      <c r="AM1532" s="14">
        <f>F1532*AL1532*in_life_term_ticket*in_life_term_comm*in_ins_partner_share+F1532*in_life_term_ticket*in_life_term_renew_comm*in_ins_partner_share*(in_life_term_renew^1*SUMIFS(AL1532:AL1555,B1532:B1555,B1532-12)+in_life_term_renew^2*SUMIFS(AL1532:AL1555,B1532:B1555,B1532-24)+in_life_term_renew^3*SUMIFS(AL1532:AL1555,B1532:B1555,B1532-36)+in_life_term_renew^4*SUMIFS(AL1532:AL1555,B1532:B1555,B1532-48))</f>
        <v/>
      </c>
      <c r="AN1532" s="40" t="n">
        <v>1</v>
      </c>
      <c r="AO1532" s="46">
        <f>AN1532*IF(B1532&gt;=in_marketplace_from,d_hz_accident*G1532,0)</f>
        <v/>
      </c>
      <c r="AP1532" s="14">
        <f>F1532*AO1532*in_accident_ticket*in_accident_comm*in_ins_partner_share+F1532*in_accident_ticket*in_accident_renew_comm*in_ins_partner_share*(in_accident_renew^1*SUMIFS(AO1532:AO1555,B1532:B1555,B1532-12)+in_accident_renew^2*SUMIFS(AO1532:AO1555,B1532:B1555,B1532-24)+in_accident_renew^3*SUMIFS(AO1532:AO1555,B1532:B1555,B1532-36)+in_accident_renew^4*SUMIFS(AO1532:AO1555,B1532:B1555,B1532-48))</f>
        <v/>
      </c>
      <c r="AQ1532" s="40" t="n">
        <v>1</v>
      </c>
      <c r="AR1532" s="46">
        <f>AQ1532*IF(B1532&gt;=in_marketplace_from,d_hz_two_wheeler*G1532,0)</f>
        <v/>
      </c>
      <c r="AS1532" s="14">
        <f>F1532*AR1532*in_two_wheeler_ticket*in_two_wheeler_comm*in_ins_partner_share+F1532*in_two_wheeler_ticket*in_two_wheeler_comm*in_ins_partner_share*(in_two_wheeler_renew^1*SUMIFS(AR1532:AR1555,B1532:B1555,B1532-12)+in_two_wheeler_renew^2*SUMIFS(AR1532:AR1555,B1532:B1555,B1532-24)+in_two_wheeler_renew^3*SUMIFS(AR1532:AR1555,B1532:B1555,B1532-36)+in_two_wheeler_renew^4*SUMIFS(AR1532:AR1555,B1532:B1555,B1532-48))</f>
        <v/>
      </c>
      <c r="AT1532" s="40" t="n">
        <v>1</v>
      </c>
      <c r="AU1532" s="14">
        <f>F1532*AT1532*IF(B1532&gt;=in_marketplace_from,d_hz_device*G1532,0)*in_device_ticket*in_device_comm*in_ins_partner_share</f>
        <v/>
      </c>
      <c r="AV1532" s="40" t="n">
        <v>1</v>
      </c>
      <c r="AW1532" s="46">
        <f>AV1532*IF(B1532&gt;=in_marketplace_from,d_hz_shop*G1532,0)</f>
        <v/>
      </c>
      <c r="AX1532" s="14">
        <f>F1532*AW1532*in_shop_ticket*in_shop_comm*in_ins_partner_share+F1532*in_shop_ticket*in_shop_renew_comm*in_ins_partner_share*(in_shop_renew^1*SUMIFS(AW1532:AW1555,B1532:B1555,B1532-12)+in_shop_renew^2*SUMIFS(AW1532:AW1555,B1532:B1555,B1532-24)+in_shop_renew^3*SUMIFS(AW1532:AW1555,B1532:B1555,B1532-36)+in_shop_renew^4*SUMIFS(AW1532:AW1555,B1532:B1555,B1532-48))</f>
        <v/>
      </c>
      <c r="AY1532" s="40" t="n">
        <v>1</v>
      </c>
      <c r="AZ1532" s="40">
        <f>AY1532*IF(B1532&gt;=in_marketplace_from,d_hz_sip*G1532,0)</f>
        <v/>
      </c>
      <c r="BA1532" s="40" t="n">
        <v>0</v>
      </c>
      <c r="BB1532" s="14">
        <f>F1532*in_sip_ticket*(BA1532+0.5*AZ1532)*in_sip_comm/12</f>
        <v/>
      </c>
      <c r="BC1532" s="40" t="n">
        <v>1</v>
      </c>
      <c r="BD1532" s="46">
        <f>BC1532*IF(B1532&gt;=in_marketplace_from,d_hz_choti*G1532,0)</f>
        <v/>
      </c>
      <c r="BE1532" s="14">
        <f>F1532*SUMIFS(BD1532:BD1555,B1532:B1555,B1532-in_choti_months)*in_choti_renew*in_choti_ticket</f>
        <v/>
      </c>
      <c r="BF1532" s="40" t="n">
        <v>1</v>
      </c>
      <c r="BG1532" s="14">
        <f>F1532*BF1532*IF(B1532&gt;=in_marketplace_from,d_hz_nps*G1532,0)*in_nps_ticket*in_nps_comm</f>
        <v/>
      </c>
      <c r="BH1532" s="40" t="n">
        <v>1</v>
      </c>
      <c r="BI1532" s="40">
        <f>BH1532*IF(B1532&gt;=in_marketplace_from,d_hz_gold*G1532,0)</f>
        <v/>
      </c>
      <c r="BJ1532" s="14">
        <f>F1532*BI1532*in_gold_ticket*in_gold_comm</f>
        <v/>
      </c>
      <c r="BK1532" s="40" t="n">
        <v>1</v>
      </c>
      <c r="BL1532" s="14">
        <f>F1532*BK1532*IF(B1532&gt;=in_marketplace_from,d_hz_fd*G1532,0)*in_fd_ticket*in_fd_comm</f>
        <v/>
      </c>
      <c r="BM1532" s="40" t="n">
        <v>1</v>
      </c>
      <c r="BN1532" s="40">
        <f>BM1532*IF(B1532&gt;=in_marketplace_from,d_hz_recharge*G1532,0)</f>
        <v/>
      </c>
      <c r="BO1532" s="14">
        <f>F1532*BN1532*in_recharge_ticket*in_recharge_comm/12</f>
        <v/>
      </c>
      <c r="BP1532" s="40" t="n">
        <v>1</v>
      </c>
      <c r="BQ1532" s="40">
        <f>BP1532*IF(B1532&gt;=in_marketplace_from,d_hz_bills*G1532,0)</f>
        <v/>
      </c>
      <c r="BR1532" s="14">
        <f>F1532*BQ1532*in_bills_ticket*in_bills_comm/12</f>
        <v/>
      </c>
      <c r="BS1532" s="40" t="n">
        <v>1</v>
      </c>
      <c r="BT1532" s="14">
        <f>F1532*BS1532*IF(B1532&gt;=in_marketplace_from,d_hz_loan_gold*G1532,0)*in_loan_gold_ticket*in_loan_gold_comm</f>
        <v/>
      </c>
      <c r="BU1532" s="40" t="n">
        <v>1</v>
      </c>
      <c r="BV1532" s="14">
        <f>F1532*BU1532*IF(B1532&gt;=in_marketplace_from,d_hz_loan_cd*G1532,0)*in_loan_cd_ticket*in_loan_cd_comm</f>
        <v/>
      </c>
      <c r="BW1532" s="40" t="n">
        <v>1</v>
      </c>
      <c r="BX1532" s="14">
        <f>F1532*BW1532*IF(B1532&gt;=in_marketplace_from,d_hz_loan_vehicle*G1532,0)*in_loan_vehicle_ticket*in_loan_vehicle_comm</f>
        <v/>
      </c>
      <c r="BY1532" s="40" t="n">
        <v>1</v>
      </c>
      <c r="BZ1532" s="11">
        <f>MIN(in_approval_cap,in_loan_home_approval*INDEX('Age profile'!$O$2:$O$61,B1532)*(1+in_approval_growth)^(D1532-1))</f>
        <v/>
      </c>
      <c r="CA1532" s="14">
        <f>F1532*BY1532*IF(B1532&gt;=in_marketplace_from,d_hz_loan_home*G1532,0)*BZ1532*in_loan_home_ticket*in_loan_home_comm</f>
        <v/>
      </c>
      <c r="CB1532" s="40" t="n">
        <v>1</v>
      </c>
      <c r="CC1532" s="11">
        <f>MIN(in_approval_cap,in_loan_lap_approval*INDEX('Age profile'!$O$2:$O$61,B1532)*(1+in_approval_growth)^(D1532-1))</f>
        <v/>
      </c>
      <c r="CD1532" s="14">
        <f>F1532*CB1532*IF(B1532&gt;=in_marketplace_from,d_hz_loan_lap*G1532,0)*CC1532*in_loan_lap_ticket*in_loan_lap_comm</f>
        <v/>
      </c>
      <c r="CE1532" s="14">
        <f>AA1532+AB1532+AC1532+AD1532+AG1532+AJ1532+AM1532+AP1532+AS1532+AU1532+AX1532+BB1532+BE1532+BG1532+BJ1532+BL1532+BO1532+BR1532+BT1532+BV1532+BX1532+CA1532+CD1532</f>
        <v/>
      </c>
    </row>
    <row r="1533">
      <c r="A1533" s="39" t="n">
        <v>37</v>
      </c>
      <c r="B1533" s="39" t="n">
        <v>2</v>
      </c>
      <c r="C1533" s="39">
        <f>A1533+B1533-1</f>
        <v/>
      </c>
      <c r="D1533" s="39">
        <f>INT((C1533-1)/12)+1</f>
        <v/>
      </c>
      <c r="E1533" s="44">
        <f>INDEX(Monthly!$B$2:$B$61,A1533)</f>
        <v/>
      </c>
      <c r="F1533" s="44">
        <f>E1533*INDEX('Age profile'!$B$2:$B$61,B1533)</f>
        <v/>
      </c>
      <c r="G1533" s="45">
        <f>MIN(in_takeup_cap,INDEX('Age profile'!$N$2:$N$61,B1533)*(1+in_takeup_growth)^(D1533-1))</f>
        <v/>
      </c>
      <c r="H1533" s="11">
        <f>MIN(in_approval_cap,in_approved_first*INDEX('Age profile'!$O$2:$O$61,B1533)*(1+in_approval_growth)^(D1533-1))</f>
        <v/>
      </c>
      <c r="I1533" s="45">
        <f>G1533*MIN(in_takeup_cap,INDEX('Age profile'!$O$2:$O$61,B1533)*(1+in_approval_growth)^(D1533-1))</f>
        <v/>
      </c>
      <c r="J1533" s="40">
        <f>(J1532-L1532)*F1533/F1532</f>
        <v/>
      </c>
      <c r="K1533" s="40">
        <f>(K1532-M1532)*F1533/F1532+SUMIFS(O1532:O1532,B1532:B1532,B1533-1-d_T)*F1533</f>
        <v/>
      </c>
      <c r="L1533" s="40">
        <f>IF(B1533&gt;=in_marketplace_from,J1533*d_hz*G1533*in_eligible*H1533,0)</f>
        <v/>
      </c>
      <c r="M1533" s="40">
        <f>IF(B1533&gt;=in_marketplace_from,K1533*d_hz*G1533*in_eligible*in_approved_repeat,0)</f>
        <v/>
      </c>
      <c r="N1533" s="40">
        <f>L1533+M1533</f>
        <v/>
      </c>
      <c r="O1533" s="46">
        <f>N1533/F1533</f>
        <v/>
      </c>
      <c r="P1533" s="40">
        <f>F1533-J1533-K1533</f>
        <v/>
      </c>
      <c r="Q1533" s="40">
        <f>IF(B1533&gt;=in_marketplace_from,(J1533+K1533)*d_hz*G1533,0)</f>
        <v/>
      </c>
      <c r="R1533" s="40">
        <f>SUMIFS(N1532:N1555,B1532:B1555,"&gt;="&amp;(B1533-d_T),B1532:B1555,"&lt;="&amp;(B1533-1))</f>
        <v/>
      </c>
      <c r="S1533" s="46">
        <f>(1-d_u)*S1532+IF(d_T&gt;in_topup_lag,SUMIFS(O1532:O1555,B1532:B1555,B1533-in_topup_lag)-d_udrop*SUMIFS(O1532:O1555,B1532:B1555,B1533-d_T),0)</f>
        <v/>
      </c>
      <c r="T1533" s="40">
        <f>F1533*d_u*S1533</f>
        <v/>
      </c>
      <c r="U1533" s="9">
        <f>L1533*in_ticket+M1533*d_rep_ticket</f>
        <v/>
      </c>
      <c r="V1533" s="9">
        <f>U1533+T1533*d_topup_amt</f>
        <v/>
      </c>
      <c r="W1533" s="40">
        <f>N1533+T1533*d_topup_ratio</f>
        <v/>
      </c>
      <c r="X1533" s="40">
        <f>SUMIFS(W1532:W1555,B1532:B1555,B1533-in_dpd_lag)*d_cured</f>
        <v/>
      </c>
      <c r="Y1533" s="40">
        <f>SUMIFS(W1532:W1555,B1532:B1555,B1533-in_rec_lag)*d_recd</f>
        <v/>
      </c>
      <c r="Z1533" s="40">
        <f>IF(AND(B1533&gt;=in_marketplace_from,B1533&lt;in_marketplace_from+in_card_months),in_card_share/in_card_months*F1533*I1533,IF(AND(B1533&gt;=in_marketplace_from+in_card_months,B1533&lt;in_marketplace_from+2*in_card_months),in_card_share*d_card_rem/in_card_months*F1533*MIN(in_takeup_cap,(1+in_takeup_growth)^(D1533-1))*MIN(in_takeup_cap,(1+in_approval_growth)^(D1533-1)),0))</f>
        <v/>
      </c>
      <c r="AA1533" s="14">
        <f>V1533*in_fee*(1-in_taken_back)</f>
        <v/>
      </c>
      <c r="AB1533" s="14">
        <f>SUMIFS(W1532:W1555,B1532:B1555,B1533-in_dpd_lag)*d_dpd</f>
        <v/>
      </c>
      <c r="AC1533" s="14">
        <f>SUMIFS(W1532:W1555,B1532:B1555,B1533-in_rec_lag)*d_rec</f>
        <v/>
      </c>
      <c r="AD1533" s="14">
        <f>Z1533*in_card_fee</f>
        <v/>
      </c>
      <c r="AE1533" s="40">
        <f>AE1532*(1-IF(B1532&gt;=in_marketplace_from,d_hz_hlth_small*G1532,0))</f>
        <v/>
      </c>
      <c r="AF1533" s="46">
        <f>AE1533*IF(B1533&gt;=in_marketplace_from,d_hz_hlth_small*G1533,0)</f>
        <v/>
      </c>
      <c r="AG1533" s="14">
        <f>F1533*AF1533*in_hlth_small_ticket*in_hlth_small_comm*in_ins_partner_share+F1533*in_hlth_small_ticket*in_hlth_small_renew_comm*in_ins_partner_share*(in_hlth_small_renew^1*SUMIFS(AF1532:AF1555,B1532:B1555,B1533-12)+in_hlth_small_renew^2*SUMIFS(AF1532:AF1555,B1532:B1555,B1533-24)+in_hlth_small_renew^3*SUMIFS(AF1532:AF1555,B1532:B1555,B1533-36)+in_hlth_small_renew^4*SUMIFS(AF1532:AF1555,B1532:B1555,B1533-48))</f>
        <v/>
      </c>
      <c r="AH1533" s="40">
        <f>AH1532*(1-IF(B1532&gt;=in_marketplace_from,d_hz_hlth_family*G1532,0))</f>
        <v/>
      </c>
      <c r="AI1533" s="46">
        <f>AH1533*IF(B1533&gt;=in_marketplace_from,d_hz_hlth_family*G1533,0)</f>
        <v/>
      </c>
      <c r="AJ1533" s="14">
        <f>F1533*AI1533*in_hlth_family_ticket*in_hlth_family_comm*in_ins_partner_share+F1533*in_hlth_family_ticket*in_hlth_family_renew_comm*in_ins_partner_share*(in_hlth_family_renew^1*SUMIFS(AI1532:AI1555,B1532:B1555,B1533-12)+in_hlth_family_renew^2*SUMIFS(AI1532:AI1555,B1532:B1555,B1533-24)+in_hlth_family_renew^3*SUMIFS(AI1532:AI1555,B1532:B1555,B1533-36)+in_hlth_family_renew^4*SUMIFS(AI1532:AI1555,B1532:B1555,B1533-48))</f>
        <v/>
      </c>
      <c r="AK1533" s="40">
        <f>AK1532*(1-IF(B1532&gt;=in_marketplace_from,d_hz_life_term*G1532,0))</f>
        <v/>
      </c>
      <c r="AL1533" s="46">
        <f>AK1533*IF(B1533&gt;=in_marketplace_from,d_hz_life_term*G1533,0)</f>
        <v/>
      </c>
      <c r="AM1533" s="14">
        <f>F1533*AL1533*in_life_term_ticket*in_life_term_comm*in_ins_partner_share+F1533*in_life_term_ticket*in_life_term_renew_comm*in_ins_partner_share*(in_life_term_renew^1*SUMIFS(AL1532:AL1555,B1532:B1555,B1533-12)+in_life_term_renew^2*SUMIFS(AL1532:AL1555,B1532:B1555,B1533-24)+in_life_term_renew^3*SUMIFS(AL1532:AL1555,B1532:B1555,B1533-36)+in_life_term_renew^4*SUMIFS(AL1532:AL1555,B1532:B1555,B1533-48))</f>
        <v/>
      </c>
      <c r="AN1533" s="40">
        <f>AN1532*(1-IF(B1532&gt;=in_marketplace_from,d_hz_accident*G1532,0))</f>
        <v/>
      </c>
      <c r="AO1533" s="46">
        <f>AN1533*IF(B1533&gt;=in_marketplace_from,d_hz_accident*G1533,0)</f>
        <v/>
      </c>
      <c r="AP1533" s="14">
        <f>F1533*AO1533*in_accident_ticket*in_accident_comm*in_ins_partner_share+F1533*in_accident_ticket*in_accident_renew_comm*in_ins_partner_share*(in_accident_renew^1*SUMIFS(AO1532:AO1555,B1532:B1555,B1533-12)+in_accident_renew^2*SUMIFS(AO1532:AO1555,B1532:B1555,B1533-24)+in_accident_renew^3*SUMIFS(AO1532:AO1555,B1532:B1555,B1533-36)+in_accident_renew^4*SUMIFS(AO1532:AO1555,B1532:B1555,B1533-48))</f>
        <v/>
      </c>
      <c r="AQ1533" s="40">
        <f>AQ1532*(1-IF(B1532&gt;=in_marketplace_from,d_hz_two_wheeler*G1532,0))</f>
        <v/>
      </c>
      <c r="AR1533" s="46">
        <f>AQ1533*IF(B1533&gt;=in_marketplace_from,d_hz_two_wheeler*G1533,0)</f>
        <v/>
      </c>
      <c r="AS1533" s="14">
        <f>F1533*AR1533*in_two_wheeler_ticket*in_two_wheeler_comm*in_ins_partner_share+F1533*in_two_wheeler_ticket*in_two_wheeler_comm*in_ins_partner_share*(in_two_wheeler_renew^1*SUMIFS(AR1532:AR1555,B1532:B1555,B1533-12)+in_two_wheeler_renew^2*SUMIFS(AR1532:AR1555,B1532:B1555,B1533-24)+in_two_wheeler_renew^3*SUMIFS(AR1532:AR1555,B1532:B1555,B1533-36)+in_two_wheeler_renew^4*SUMIFS(AR1532:AR1555,B1532:B1555,B1533-48))</f>
        <v/>
      </c>
      <c r="AT1533" s="40">
        <f>AT1532*(1-IF(B1532&gt;=in_marketplace_from,d_hz_device*G1532,0))</f>
        <v/>
      </c>
      <c r="AU1533" s="14">
        <f>F1533*AT1533*IF(B1533&gt;=in_marketplace_from,d_hz_device*G1533,0)*in_device_ticket*in_device_comm*in_ins_partner_share</f>
        <v/>
      </c>
      <c r="AV1533" s="40">
        <f>AV1532*(1-IF(B1532&gt;=in_marketplace_from,d_hz_shop*G1532,0))</f>
        <v/>
      </c>
      <c r="AW1533" s="46">
        <f>AV1533*IF(B1533&gt;=in_marketplace_from,d_hz_shop*G1533,0)</f>
        <v/>
      </c>
      <c r="AX1533" s="14">
        <f>F1533*AW1533*in_shop_ticket*in_shop_comm*in_ins_partner_share+F1533*in_shop_ticket*in_shop_renew_comm*in_ins_partner_share*(in_shop_renew^1*SUMIFS(AW1532:AW1555,B1532:B1555,B1533-12)+in_shop_renew^2*SUMIFS(AW1532:AW1555,B1532:B1555,B1533-24)+in_shop_renew^3*SUMIFS(AW1532:AW1555,B1532:B1555,B1533-36)+in_shop_renew^4*SUMIFS(AW1532:AW1555,B1532:B1555,B1533-48))</f>
        <v/>
      </c>
      <c r="AY1533" s="40">
        <f>AY1532*(1-IF(B1532&gt;=in_marketplace_from,d_hz_sip*G1532,0))</f>
        <v/>
      </c>
      <c r="AZ1533" s="40">
        <f>AZ1532*d_rho_sip+AY1533*IF(B1533&gt;=in_marketplace_from,d_hz_sip*G1533,0)</f>
        <v/>
      </c>
      <c r="BA1533" s="40">
        <f>d_rho_sip*(BA1532+AZ1532)</f>
        <v/>
      </c>
      <c r="BB1533" s="14">
        <f>F1533*in_sip_ticket*(BA1533+0.5*AZ1533)*in_sip_comm/12</f>
        <v/>
      </c>
      <c r="BC1533" s="40">
        <f>BC1532*(1-IF(B1532&gt;=in_marketplace_from,d_hz_choti*G1532,0))</f>
        <v/>
      </c>
      <c r="BD1533" s="46">
        <f>BC1533*IF(B1533&gt;=in_marketplace_from,d_hz_choti*G1533,0)</f>
        <v/>
      </c>
      <c r="BE1533" s="14">
        <f>F1533*SUMIFS(BD1532:BD1555,B1532:B1555,B1533-in_choti_months)*in_choti_renew*in_choti_ticket</f>
        <v/>
      </c>
      <c r="BF1533" s="40">
        <f>BF1532*(1-IF(B1532&gt;=in_marketplace_from,d_hz_nps*G1532,0))</f>
        <v/>
      </c>
      <c r="BG1533" s="14">
        <f>F1533*BF1533*IF(B1533&gt;=in_marketplace_from,d_hz_nps*G1533,0)*in_nps_ticket*in_nps_comm</f>
        <v/>
      </c>
      <c r="BH1533" s="40">
        <f>BH1532*(1-IF(B1532&gt;=in_marketplace_from,d_hz_gold*G1532,0))</f>
        <v/>
      </c>
      <c r="BI1533" s="40">
        <f>BI1532*d_rho_gold+BH1533*IF(B1533&gt;=in_marketplace_from,d_hz_gold*G1533,0)</f>
        <v/>
      </c>
      <c r="BJ1533" s="14">
        <f>F1533*BI1533*in_gold_ticket*in_gold_comm</f>
        <v/>
      </c>
      <c r="BK1533" s="40">
        <f>BK1532*(1-IF(B1532&gt;=in_marketplace_from,d_hz_fd*G1532,0))</f>
        <v/>
      </c>
      <c r="BL1533" s="14">
        <f>F1533*BK1533*IF(B1533&gt;=in_marketplace_from,d_hz_fd*G1533,0)*in_fd_ticket*in_fd_comm</f>
        <v/>
      </c>
      <c r="BM1533" s="40">
        <f>BM1532*(1-IF(B1532&gt;=in_marketplace_from,d_hz_recharge*G1532,0))</f>
        <v/>
      </c>
      <c r="BN1533" s="40">
        <f>BN1532*d_rho_recharge+BM1533*IF(B1533&gt;=in_marketplace_from,d_hz_recharge*G1533,0)</f>
        <v/>
      </c>
      <c r="BO1533" s="14">
        <f>F1533*BN1533*in_recharge_ticket*in_recharge_comm/12</f>
        <v/>
      </c>
      <c r="BP1533" s="40">
        <f>BP1532*(1-IF(B1532&gt;=in_marketplace_from,d_hz_bills*G1532,0))</f>
        <v/>
      </c>
      <c r="BQ1533" s="40">
        <f>BQ1532*d_rho_bills+BP1533*IF(B1533&gt;=in_marketplace_from,d_hz_bills*G1533,0)</f>
        <v/>
      </c>
      <c r="BR1533" s="14">
        <f>F1533*BQ1533*in_bills_ticket*in_bills_comm/12</f>
        <v/>
      </c>
      <c r="BS1533" s="40">
        <f>BS1532*(1-IF(B1532&gt;=in_marketplace_from,d_hz_loan_gold*G1532,0))</f>
        <v/>
      </c>
      <c r="BT1533" s="14">
        <f>F1533*BS1533*IF(B1533&gt;=in_marketplace_from,d_hz_loan_gold*G1533,0)*in_loan_gold_ticket*in_loan_gold_comm</f>
        <v/>
      </c>
      <c r="BU1533" s="40">
        <f>BU1532*(1-IF(B1532&gt;=in_marketplace_from,d_hz_loan_cd*G1532,0))</f>
        <v/>
      </c>
      <c r="BV1533" s="14">
        <f>F1533*BU1533*IF(B1533&gt;=in_marketplace_from,d_hz_loan_cd*G1533,0)*in_loan_cd_ticket*in_loan_cd_comm</f>
        <v/>
      </c>
      <c r="BW1533" s="40">
        <f>BW1532*(1-IF(B1532&gt;=in_marketplace_from,d_hz_loan_vehicle*G1532,0))</f>
        <v/>
      </c>
      <c r="BX1533" s="14">
        <f>F1533*BW1533*IF(B1533&gt;=in_marketplace_from,d_hz_loan_vehicle*G1533,0)*in_loan_vehicle_ticket*in_loan_vehicle_comm</f>
        <v/>
      </c>
      <c r="BY1533" s="40">
        <f>BY1532*(1-IF(B1532&gt;=in_marketplace_from,d_hz_loan_home*G1532,0)*BZ1532)</f>
        <v/>
      </c>
      <c r="BZ1533" s="11">
        <f>MIN(in_approval_cap,in_loan_home_approval*INDEX('Age profile'!$O$2:$O$61,B1533)*(1+in_approval_growth)^(D1533-1))</f>
        <v/>
      </c>
      <c r="CA1533" s="14">
        <f>F1533*BY1533*IF(B1533&gt;=in_marketplace_from,d_hz_loan_home*G1533,0)*BZ1533*in_loan_home_ticket*in_loan_home_comm</f>
        <v/>
      </c>
      <c r="CB1533" s="40">
        <f>CB1532*(1-IF(B1532&gt;=in_marketplace_from,d_hz_loan_lap*G1532,0)*CC1532)</f>
        <v/>
      </c>
      <c r="CC1533" s="11">
        <f>MIN(in_approval_cap,in_loan_lap_approval*INDEX('Age profile'!$O$2:$O$61,B1533)*(1+in_approval_growth)^(D1533-1))</f>
        <v/>
      </c>
      <c r="CD1533" s="14">
        <f>F1533*CB1533*IF(B1533&gt;=in_marketplace_from,d_hz_loan_lap*G1533,0)*CC1533*in_loan_lap_ticket*in_loan_lap_comm</f>
        <v/>
      </c>
      <c r="CE1533" s="14">
        <f>AA1533+AB1533+AC1533+AD1533+AG1533+AJ1533+AM1533+AP1533+AS1533+AU1533+AX1533+BB1533+BE1533+BG1533+BJ1533+BL1533+BO1533+BR1533+BT1533+BV1533+BX1533+CA1533+CD1533</f>
        <v/>
      </c>
    </row>
    <row r="1534">
      <c r="A1534" s="39" t="n">
        <v>37</v>
      </c>
      <c r="B1534" s="39" t="n">
        <v>3</v>
      </c>
      <c r="C1534" s="39">
        <f>A1534+B1534-1</f>
        <v/>
      </c>
      <c r="D1534" s="39">
        <f>INT((C1534-1)/12)+1</f>
        <v/>
      </c>
      <c r="E1534" s="44">
        <f>INDEX(Monthly!$B$2:$B$61,A1534)</f>
        <v/>
      </c>
      <c r="F1534" s="44">
        <f>E1534*INDEX('Age profile'!$B$2:$B$61,B1534)</f>
        <v/>
      </c>
      <c r="G1534" s="45">
        <f>MIN(in_takeup_cap,INDEX('Age profile'!$N$2:$N$61,B1534)*(1+in_takeup_growth)^(D1534-1))</f>
        <v/>
      </c>
      <c r="H1534" s="11">
        <f>MIN(in_approval_cap,in_approved_first*INDEX('Age profile'!$O$2:$O$61,B1534)*(1+in_approval_growth)^(D1534-1))</f>
        <v/>
      </c>
      <c r="I1534" s="45">
        <f>G1534*MIN(in_takeup_cap,INDEX('Age profile'!$O$2:$O$61,B1534)*(1+in_approval_growth)^(D1534-1))</f>
        <v/>
      </c>
      <c r="J1534" s="40">
        <f>(J1533-L1533)*F1534/F1533</f>
        <v/>
      </c>
      <c r="K1534" s="40">
        <f>(K1533-M1533)*F1534/F1533+SUMIFS(O1532:O1533,B1532:B1533,B1534-1-d_T)*F1534</f>
        <v/>
      </c>
      <c r="L1534" s="40">
        <f>IF(B1534&gt;=in_marketplace_from,J1534*d_hz*G1534*in_eligible*H1534,0)</f>
        <v/>
      </c>
      <c r="M1534" s="40">
        <f>IF(B1534&gt;=in_marketplace_from,K1534*d_hz*G1534*in_eligible*in_approved_repeat,0)</f>
        <v/>
      </c>
      <c r="N1534" s="40">
        <f>L1534+M1534</f>
        <v/>
      </c>
      <c r="O1534" s="46">
        <f>N1534/F1534</f>
        <v/>
      </c>
      <c r="P1534" s="40">
        <f>F1534-J1534-K1534</f>
        <v/>
      </c>
      <c r="Q1534" s="40">
        <f>IF(B1534&gt;=in_marketplace_from,(J1534+K1534)*d_hz*G1534,0)</f>
        <v/>
      </c>
      <c r="R1534" s="40">
        <f>SUMIFS(N1532:N1555,B1532:B1555,"&gt;="&amp;(B1534-d_T),B1532:B1555,"&lt;="&amp;(B1534-1))</f>
        <v/>
      </c>
      <c r="S1534" s="46">
        <f>(1-d_u)*S1533+IF(d_T&gt;in_topup_lag,SUMIFS(O1532:O1555,B1532:B1555,B1534-in_topup_lag)-d_udrop*SUMIFS(O1532:O1555,B1532:B1555,B1534-d_T),0)</f>
        <v/>
      </c>
      <c r="T1534" s="40">
        <f>F1534*d_u*S1534</f>
        <v/>
      </c>
      <c r="U1534" s="9">
        <f>L1534*in_ticket+M1534*d_rep_ticket</f>
        <v/>
      </c>
      <c r="V1534" s="9">
        <f>U1534+T1534*d_topup_amt</f>
        <v/>
      </c>
      <c r="W1534" s="40">
        <f>N1534+T1534*d_topup_ratio</f>
        <v/>
      </c>
      <c r="X1534" s="40">
        <f>SUMIFS(W1532:W1555,B1532:B1555,B1534-in_dpd_lag)*d_cured</f>
        <v/>
      </c>
      <c r="Y1534" s="40">
        <f>SUMIFS(W1532:W1555,B1532:B1555,B1534-in_rec_lag)*d_recd</f>
        <v/>
      </c>
      <c r="Z1534" s="40">
        <f>IF(AND(B1534&gt;=in_marketplace_from,B1534&lt;in_marketplace_from+in_card_months),in_card_share/in_card_months*F1534*I1534,IF(AND(B1534&gt;=in_marketplace_from+in_card_months,B1534&lt;in_marketplace_from+2*in_card_months),in_card_share*d_card_rem/in_card_months*F1534*MIN(in_takeup_cap,(1+in_takeup_growth)^(D1534-1))*MIN(in_takeup_cap,(1+in_approval_growth)^(D1534-1)),0))</f>
        <v/>
      </c>
      <c r="AA1534" s="14">
        <f>V1534*in_fee*(1-in_taken_back)</f>
        <v/>
      </c>
      <c r="AB1534" s="14">
        <f>SUMIFS(W1532:W1555,B1532:B1555,B1534-in_dpd_lag)*d_dpd</f>
        <v/>
      </c>
      <c r="AC1534" s="14">
        <f>SUMIFS(W1532:W1555,B1532:B1555,B1534-in_rec_lag)*d_rec</f>
        <v/>
      </c>
      <c r="AD1534" s="14">
        <f>Z1534*in_card_fee</f>
        <v/>
      </c>
      <c r="AE1534" s="40">
        <f>AE1533*(1-IF(B1533&gt;=in_marketplace_from,d_hz_hlth_small*G1533,0))</f>
        <v/>
      </c>
      <c r="AF1534" s="46">
        <f>AE1534*IF(B1534&gt;=in_marketplace_from,d_hz_hlth_small*G1534,0)</f>
        <v/>
      </c>
      <c r="AG1534" s="14">
        <f>F1534*AF1534*in_hlth_small_ticket*in_hlth_small_comm*in_ins_partner_share+F1534*in_hlth_small_ticket*in_hlth_small_renew_comm*in_ins_partner_share*(in_hlth_small_renew^1*SUMIFS(AF1532:AF1555,B1532:B1555,B1534-12)+in_hlth_small_renew^2*SUMIFS(AF1532:AF1555,B1532:B1555,B1534-24)+in_hlth_small_renew^3*SUMIFS(AF1532:AF1555,B1532:B1555,B1534-36)+in_hlth_small_renew^4*SUMIFS(AF1532:AF1555,B1532:B1555,B1534-48))</f>
        <v/>
      </c>
      <c r="AH1534" s="40">
        <f>AH1533*(1-IF(B1533&gt;=in_marketplace_from,d_hz_hlth_family*G1533,0))</f>
        <v/>
      </c>
      <c r="AI1534" s="46">
        <f>AH1534*IF(B1534&gt;=in_marketplace_from,d_hz_hlth_family*G1534,0)</f>
        <v/>
      </c>
      <c r="AJ1534" s="14">
        <f>F1534*AI1534*in_hlth_family_ticket*in_hlth_family_comm*in_ins_partner_share+F1534*in_hlth_family_ticket*in_hlth_family_renew_comm*in_ins_partner_share*(in_hlth_family_renew^1*SUMIFS(AI1532:AI1555,B1532:B1555,B1534-12)+in_hlth_family_renew^2*SUMIFS(AI1532:AI1555,B1532:B1555,B1534-24)+in_hlth_family_renew^3*SUMIFS(AI1532:AI1555,B1532:B1555,B1534-36)+in_hlth_family_renew^4*SUMIFS(AI1532:AI1555,B1532:B1555,B1534-48))</f>
        <v/>
      </c>
      <c r="AK1534" s="40">
        <f>AK1533*(1-IF(B1533&gt;=in_marketplace_from,d_hz_life_term*G1533,0))</f>
        <v/>
      </c>
      <c r="AL1534" s="46">
        <f>AK1534*IF(B1534&gt;=in_marketplace_from,d_hz_life_term*G1534,0)</f>
        <v/>
      </c>
      <c r="AM1534" s="14">
        <f>F1534*AL1534*in_life_term_ticket*in_life_term_comm*in_ins_partner_share+F1534*in_life_term_ticket*in_life_term_renew_comm*in_ins_partner_share*(in_life_term_renew^1*SUMIFS(AL1532:AL1555,B1532:B1555,B1534-12)+in_life_term_renew^2*SUMIFS(AL1532:AL1555,B1532:B1555,B1534-24)+in_life_term_renew^3*SUMIFS(AL1532:AL1555,B1532:B1555,B1534-36)+in_life_term_renew^4*SUMIFS(AL1532:AL1555,B1532:B1555,B1534-48))</f>
        <v/>
      </c>
      <c r="AN1534" s="40">
        <f>AN1533*(1-IF(B1533&gt;=in_marketplace_from,d_hz_accident*G1533,0))</f>
        <v/>
      </c>
      <c r="AO1534" s="46">
        <f>AN1534*IF(B1534&gt;=in_marketplace_from,d_hz_accident*G1534,0)</f>
        <v/>
      </c>
      <c r="AP1534" s="14">
        <f>F1534*AO1534*in_accident_ticket*in_accident_comm*in_ins_partner_share+F1534*in_accident_ticket*in_accident_renew_comm*in_ins_partner_share*(in_accident_renew^1*SUMIFS(AO1532:AO1555,B1532:B1555,B1534-12)+in_accident_renew^2*SUMIFS(AO1532:AO1555,B1532:B1555,B1534-24)+in_accident_renew^3*SUMIFS(AO1532:AO1555,B1532:B1555,B1534-36)+in_accident_renew^4*SUMIFS(AO1532:AO1555,B1532:B1555,B1534-48))</f>
        <v/>
      </c>
      <c r="AQ1534" s="40">
        <f>AQ1533*(1-IF(B1533&gt;=in_marketplace_from,d_hz_two_wheeler*G1533,0))</f>
        <v/>
      </c>
      <c r="AR1534" s="46">
        <f>AQ1534*IF(B1534&gt;=in_marketplace_from,d_hz_two_wheeler*G1534,0)</f>
        <v/>
      </c>
      <c r="AS1534" s="14">
        <f>F1534*AR1534*in_two_wheeler_ticket*in_two_wheeler_comm*in_ins_partner_share+F1534*in_two_wheeler_ticket*in_two_wheeler_comm*in_ins_partner_share*(in_two_wheeler_renew^1*SUMIFS(AR1532:AR1555,B1532:B1555,B1534-12)+in_two_wheeler_renew^2*SUMIFS(AR1532:AR1555,B1532:B1555,B1534-24)+in_two_wheeler_renew^3*SUMIFS(AR1532:AR1555,B1532:B1555,B1534-36)+in_two_wheeler_renew^4*SUMIFS(AR1532:AR1555,B1532:B1555,B1534-48))</f>
        <v/>
      </c>
      <c r="AT1534" s="40">
        <f>AT1533*(1-IF(B1533&gt;=in_marketplace_from,d_hz_device*G1533,0))</f>
        <v/>
      </c>
      <c r="AU1534" s="14">
        <f>F1534*AT1534*IF(B1534&gt;=in_marketplace_from,d_hz_device*G1534,0)*in_device_ticket*in_device_comm*in_ins_partner_share</f>
        <v/>
      </c>
      <c r="AV1534" s="40">
        <f>AV1533*(1-IF(B1533&gt;=in_marketplace_from,d_hz_shop*G1533,0))</f>
        <v/>
      </c>
      <c r="AW1534" s="46">
        <f>AV1534*IF(B1534&gt;=in_marketplace_from,d_hz_shop*G1534,0)</f>
        <v/>
      </c>
      <c r="AX1534" s="14">
        <f>F1534*AW1534*in_shop_ticket*in_shop_comm*in_ins_partner_share+F1534*in_shop_ticket*in_shop_renew_comm*in_ins_partner_share*(in_shop_renew^1*SUMIFS(AW1532:AW1555,B1532:B1555,B1534-12)+in_shop_renew^2*SUMIFS(AW1532:AW1555,B1532:B1555,B1534-24)+in_shop_renew^3*SUMIFS(AW1532:AW1555,B1532:B1555,B1534-36)+in_shop_renew^4*SUMIFS(AW1532:AW1555,B1532:B1555,B1534-48))</f>
        <v/>
      </c>
      <c r="AY1534" s="40">
        <f>AY1533*(1-IF(B1533&gt;=in_marketplace_from,d_hz_sip*G1533,0))</f>
        <v/>
      </c>
      <c r="AZ1534" s="40">
        <f>AZ1533*d_rho_sip+AY1534*IF(B1534&gt;=in_marketplace_from,d_hz_sip*G1534,0)</f>
        <v/>
      </c>
      <c r="BA1534" s="40">
        <f>d_rho_sip*(BA1533+AZ1533)</f>
        <v/>
      </c>
      <c r="BB1534" s="14">
        <f>F1534*in_sip_ticket*(BA1534+0.5*AZ1534)*in_sip_comm/12</f>
        <v/>
      </c>
      <c r="BC1534" s="40">
        <f>BC1533*(1-IF(B1533&gt;=in_marketplace_from,d_hz_choti*G1533,0))</f>
        <v/>
      </c>
      <c r="BD1534" s="46">
        <f>BC1534*IF(B1534&gt;=in_marketplace_from,d_hz_choti*G1534,0)</f>
        <v/>
      </c>
      <c r="BE1534" s="14">
        <f>F1534*SUMIFS(BD1532:BD1555,B1532:B1555,B1534-in_choti_months)*in_choti_renew*in_choti_ticket</f>
        <v/>
      </c>
      <c r="BF1534" s="40">
        <f>BF1533*(1-IF(B1533&gt;=in_marketplace_from,d_hz_nps*G1533,0))</f>
        <v/>
      </c>
      <c r="BG1534" s="14">
        <f>F1534*BF1534*IF(B1534&gt;=in_marketplace_from,d_hz_nps*G1534,0)*in_nps_ticket*in_nps_comm</f>
        <v/>
      </c>
      <c r="BH1534" s="40">
        <f>BH1533*(1-IF(B1533&gt;=in_marketplace_from,d_hz_gold*G1533,0))</f>
        <v/>
      </c>
      <c r="BI1534" s="40">
        <f>BI1533*d_rho_gold+BH1534*IF(B1534&gt;=in_marketplace_from,d_hz_gold*G1534,0)</f>
        <v/>
      </c>
      <c r="BJ1534" s="14">
        <f>F1534*BI1534*in_gold_ticket*in_gold_comm</f>
        <v/>
      </c>
      <c r="BK1534" s="40">
        <f>BK1533*(1-IF(B1533&gt;=in_marketplace_from,d_hz_fd*G1533,0))</f>
        <v/>
      </c>
      <c r="BL1534" s="14">
        <f>F1534*BK1534*IF(B1534&gt;=in_marketplace_from,d_hz_fd*G1534,0)*in_fd_ticket*in_fd_comm</f>
        <v/>
      </c>
      <c r="BM1534" s="40">
        <f>BM1533*(1-IF(B1533&gt;=in_marketplace_from,d_hz_recharge*G1533,0))</f>
        <v/>
      </c>
      <c r="BN1534" s="40">
        <f>BN1533*d_rho_recharge+BM1534*IF(B1534&gt;=in_marketplace_from,d_hz_recharge*G1534,0)</f>
        <v/>
      </c>
      <c r="BO1534" s="14">
        <f>F1534*BN1534*in_recharge_ticket*in_recharge_comm/12</f>
        <v/>
      </c>
      <c r="BP1534" s="40">
        <f>BP1533*(1-IF(B1533&gt;=in_marketplace_from,d_hz_bills*G1533,0))</f>
        <v/>
      </c>
      <c r="BQ1534" s="40">
        <f>BQ1533*d_rho_bills+BP1534*IF(B1534&gt;=in_marketplace_from,d_hz_bills*G1534,0)</f>
        <v/>
      </c>
      <c r="BR1534" s="14">
        <f>F1534*BQ1534*in_bills_ticket*in_bills_comm/12</f>
        <v/>
      </c>
      <c r="BS1534" s="40">
        <f>BS1533*(1-IF(B1533&gt;=in_marketplace_from,d_hz_loan_gold*G1533,0))</f>
        <v/>
      </c>
      <c r="BT1534" s="14">
        <f>F1534*BS1534*IF(B1534&gt;=in_marketplace_from,d_hz_loan_gold*G1534,0)*in_loan_gold_ticket*in_loan_gold_comm</f>
        <v/>
      </c>
      <c r="BU1534" s="40">
        <f>BU1533*(1-IF(B1533&gt;=in_marketplace_from,d_hz_loan_cd*G1533,0))</f>
        <v/>
      </c>
      <c r="BV1534" s="14">
        <f>F1534*BU1534*IF(B1534&gt;=in_marketplace_from,d_hz_loan_cd*G1534,0)*in_loan_cd_ticket*in_loan_cd_comm</f>
        <v/>
      </c>
      <c r="BW1534" s="40">
        <f>BW1533*(1-IF(B1533&gt;=in_marketplace_from,d_hz_loan_vehicle*G1533,0))</f>
        <v/>
      </c>
      <c r="BX1534" s="14">
        <f>F1534*BW1534*IF(B1534&gt;=in_marketplace_from,d_hz_loan_vehicle*G1534,0)*in_loan_vehicle_ticket*in_loan_vehicle_comm</f>
        <v/>
      </c>
      <c r="BY1534" s="40">
        <f>BY1533*(1-IF(B1533&gt;=in_marketplace_from,d_hz_loan_home*G1533,0)*BZ1533)</f>
        <v/>
      </c>
      <c r="BZ1534" s="11">
        <f>MIN(in_approval_cap,in_loan_home_approval*INDEX('Age profile'!$O$2:$O$61,B1534)*(1+in_approval_growth)^(D1534-1))</f>
        <v/>
      </c>
      <c r="CA1534" s="14">
        <f>F1534*BY1534*IF(B1534&gt;=in_marketplace_from,d_hz_loan_home*G1534,0)*BZ1534*in_loan_home_ticket*in_loan_home_comm</f>
        <v/>
      </c>
      <c r="CB1534" s="40">
        <f>CB1533*(1-IF(B1533&gt;=in_marketplace_from,d_hz_loan_lap*G1533,0)*CC1533)</f>
        <v/>
      </c>
      <c r="CC1534" s="11">
        <f>MIN(in_approval_cap,in_loan_lap_approval*INDEX('Age profile'!$O$2:$O$61,B1534)*(1+in_approval_growth)^(D1534-1))</f>
        <v/>
      </c>
      <c r="CD1534" s="14">
        <f>F1534*CB1534*IF(B1534&gt;=in_marketplace_from,d_hz_loan_lap*G1534,0)*CC1534*in_loan_lap_ticket*in_loan_lap_comm</f>
        <v/>
      </c>
      <c r="CE1534" s="14">
        <f>AA1534+AB1534+AC1534+AD1534+AG1534+AJ1534+AM1534+AP1534+AS1534+AU1534+AX1534+BB1534+BE1534+BG1534+BJ1534+BL1534+BO1534+BR1534+BT1534+BV1534+BX1534+CA1534+CD1534</f>
        <v/>
      </c>
    </row>
    <row r="1535">
      <c r="A1535" s="39" t="n">
        <v>37</v>
      </c>
      <c r="B1535" s="39" t="n">
        <v>4</v>
      </c>
      <c r="C1535" s="39">
        <f>A1535+B1535-1</f>
        <v/>
      </c>
      <c r="D1535" s="39">
        <f>INT((C1535-1)/12)+1</f>
        <v/>
      </c>
      <c r="E1535" s="44">
        <f>INDEX(Monthly!$B$2:$B$61,A1535)</f>
        <v/>
      </c>
      <c r="F1535" s="44">
        <f>E1535*INDEX('Age profile'!$B$2:$B$61,B1535)</f>
        <v/>
      </c>
      <c r="G1535" s="45">
        <f>MIN(in_takeup_cap,INDEX('Age profile'!$N$2:$N$61,B1535)*(1+in_takeup_growth)^(D1535-1))</f>
        <v/>
      </c>
      <c r="H1535" s="11">
        <f>MIN(in_approval_cap,in_approved_first*INDEX('Age profile'!$O$2:$O$61,B1535)*(1+in_approval_growth)^(D1535-1))</f>
        <v/>
      </c>
      <c r="I1535" s="45">
        <f>G1535*MIN(in_takeup_cap,INDEX('Age profile'!$O$2:$O$61,B1535)*(1+in_approval_growth)^(D1535-1))</f>
        <v/>
      </c>
      <c r="J1535" s="40">
        <f>(J1534-L1534)*F1535/F1534</f>
        <v/>
      </c>
      <c r="K1535" s="40">
        <f>(K1534-M1534)*F1535/F1534+SUMIFS(O1532:O1534,B1532:B1534,B1535-1-d_T)*F1535</f>
        <v/>
      </c>
      <c r="L1535" s="40">
        <f>IF(B1535&gt;=in_marketplace_from,J1535*d_hz*G1535*in_eligible*H1535,0)</f>
        <v/>
      </c>
      <c r="M1535" s="40">
        <f>IF(B1535&gt;=in_marketplace_from,K1535*d_hz*G1535*in_eligible*in_approved_repeat,0)</f>
        <v/>
      </c>
      <c r="N1535" s="40">
        <f>L1535+M1535</f>
        <v/>
      </c>
      <c r="O1535" s="46">
        <f>N1535/F1535</f>
        <v/>
      </c>
      <c r="P1535" s="40">
        <f>F1535-J1535-K1535</f>
        <v/>
      </c>
      <c r="Q1535" s="40">
        <f>IF(B1535&gt;=in_marketplace_from,(J1535+K1535)*d_hz*G1535,0)</f>
        <v/>
      </c>
      <c r="R1535" s="40">
        <f>SUMIFS(N1532:N1555,B1532:B1555,"&gt;="&amp;(B1535-d_T),B1532:B1555,"&lt;="&amp;(B1535-1))</f>
        <v/>
      </c>
      <c r="S1535" s="46">
        <f>(1-d_u)*S1534+IF(d_T&gt;in_topup_lag,SUMIFS(O1532:O1555,B1532:B1555,B1535-in_topup_lag)-d_udrop*SUMIFS(O1532:O1555,B1532:B1555,B1535-d_T),0)</f>
        <v/>
      </c>
      <c r="T1535" s="40">
        <f>F1535*d_u*S1535</f>
        <v/>
      </c>
      <c r="U1535" s="9">
        <f>L1535*in_ticket+M1535*d_rep_ticket</f>
        <v/>
      </c>
      <c r="V1535" s="9">
        <f>U1535+T1535*d_topup_amt</f>
        <v/>
      </c>
      <c r="W1535" s="40">
        <f>N1535+T1535*d_topup_ratio</f>
        <v/>
      </c>
      <c r="X1535" s="40">
        <f>SUMIFS(W1532:W1555,B1532:B1555,B1535-in_dpd_lag)*d_cured</f>
        <v/>
      </c>
      <c r="Y1535" s="40">
        <f>SUMIFS(W1532:W1555,B1532:B1555,B1535-in_rec_lag)*d_recd</f>
        <v/>
      </c>
      <c r="Z1535" s="40">
        <f>IF(AND(B1535&gt;=in_marketplace_from,B1535&lt;in_marketplace_from+in_card_months),in_card_share/in_card_months*F1535*I1535,IF(AND(B1535&gt;=in_marketplace_from+in_card_months,B1535&lt;in_marketplace_from+2*in_card_months),in_card_share*d_card_rem/in_card_months*F1535*MIN(in_takeup_cap,(1+in_takeup_growth)^(D1535-1))*MIN(in_takeup_cap,(1+in_approval_growth)^(D1535-1)),0))</f>
        <v/>
      </c>
      <c r="AA1535" s="14">
        <f>V1535*in_fee*(1-in_taken_back)</f>
        <v/>
      </c>
      <c r="AB1535" s="14">
        <f>SUMIFS(W1532:W1555,B1532:B1555,B1535-in_dpd_lag)*d_dpd</f>
        <v/>
      </c>
      <c r="AC1535" s="14">
        <f>SUMIFS(W1532:W1555,B1532:B1555,B1535-in_rec_lag)*d_rec</f>
        <v/>
      </c>
      <c r="AD1535" s="14">
        <f>Z1535*in_card_fee</f>
        <v/>
      </c>
      <c r="AE1535" s="40">
        <f>AE1534*(1-IF(B1534&gt;=in_marketplace_from,d_hz_hlth_small*G1534,0))</f>
        <v/>
      </c>
      <c r="AF1535" s="46">
        <f>AE1535*IF(B1535&gt;=in_marketplace_from,d_hz_hlth_small*G1535,0)</f>
        <v/>
      </c>
      <c r="AG1535" s="14">
        <f>F1535*AF1535*in_hlth_small_ticket*in_hlth_small_comm*in_ins_partner_share+F1535*in_hlth_small_ticket*in_hlth_small_renew_comm*in_ins_partner_share*(in_hlth_small_renew^1*SUMIFS(AF1532:AF1555,B1532:B1555,B1535-12)+in_hlth_small_renew^2*SUMIFS(AF1532:AF1555,B1532:B1555,B1535-24)+in_hlth_small_renew^3*SUMIFS(AF1532:AF1555,B1532:B1555,B1535-36)+in_hlth_small_renew^4*SUMIFS(AF1532:AF1555,B1532:B1555,B1535-48))</f>
        <v/>
      </c>
      <c r="AH1535" s="40">
        <f>AH1534*(1-IF(B1534&gt;=in_marketplace_from,d_hz_hlth_family*G1534,0))</f>
        <v/>
      </c>
      <c r="AI1535" s="46">
        <f>AH1535*IF(B1535&gt;=in_marketplace_from,d_hz_hlth_family*G1535,0)</f>
        <v/>
      </c>
      <c r="AJ1535" s="14">
        <f>F1535*AI1535*in_hlth_family_ticket*in_hlth_family_comm*in_ins_partner_share+F1535*in_hlth_family_ticket*in_hlth_family_renew_comm*in_ins_partner_share*(in_hlth_family_renew^1*SUMIFS(AI1532:AI1555,B1532:B1555,B1535-12)+in_hlth_family_renew^2*SUMIFS(AI1532:AI1555,B1532:B1555,B1535-24)+in_hlth_family_renew^3*SUMIFS(AI1532:AI1555,B1532:B1555,B1535-36)+in_hlth_family_renew^4*SUMIFS(AI1532:AI1555,B1532:B1555,B1535-48))</f>
        <v/>
      </c>
      <c r="AK1535" s="40">
        <f>AK1534*(1-IF(B1534&gt;=in_marketplace_from,d_hz_life_term*G1534,0))</f>
        <v/>
      </c>
      <c r="AL1535" s="46">
        <f>AK1535*IF(B1535&gt;=in_marketplace_from,d_hz_life_term*G1535,0)</f>
        <v/>
      </c>
      <c r="AM1535" s="14">
        <f>F1535*AL1535*in_life_term_ticket*in_life_term_comm*in_ins_partner_share+F1535*in_life_term_ticket*in_life_term_renew_comm*in_ins_partner_share*(in_life_term_renew^1*SUMIFS(AL1532:AL1555,B1532:B1555,B1535-12)+in_life_term_renew^2*SUMIFS(AL1532:AL1555,B1532:B1555,B1535-24)+in_life_term_renew^3*SUMIFS(AL1532:AL1555,B1532:B1555,B1535-36)+in_life_term_renew^4*SUMIFS(AL1532:AL1555,B1532:B1555,B1535-48))</f>
        <v/>
      </c>
      <c r="AN1535" s="40">
        <f>AN1534*(1-IF(B1534&gt;=in_marketplace_from,d_hz_accident*G1534,0))</f>
        <v/>
      </c>
      <c r="AO1535" s="46">
        <f>AN1535*IF(B1535&gt;=in_marketplace_from,d_hz_accident*G1535,0)</f>
        <v/>
      </c>
      <c r="AP1535" s="14">
        <f>F1535*AO1535*in_accident_ticket*in_accident_comm*in_ins_partner_share+F1535*in_accident_ticket*in_accident_renew_comm*in_ins_partner_share*(in_accident_renew^1*SUMIFS(AO1532:AO1555,B1532:B1555,B1535-12)+in_accident_renew^2*SUMIFS(AO1532:AO1555,B1532:B1555,B1535-24)+in_accident_renew^3*SUMIFS(AO1532:AO1555,B1532:B1555,B1535-36)+in_accident_renew^4*SUMIFS(AO1532:AO1555,B1532:B1555,B1535-48))</f>
        <v/>
      </c>
      <c r="AQ1535" s="40">
        <f>AQ1534*(1-IF(B1534&gt;=in_marketplace_from,d_hz_two_wheeler*G1534,0))</f>
        <v/>
      </c>
      <c r="AR1535" s="46">
        <f>AQ1535*IF(B1535&gt;=in_marketplace_from,d_hz_two_wheeler*G1535,0)</f>
        <v/>
      </c>
      <c r="AS1535" s="14">
        <f>F1535*AR1535*in_two_wheeler_ticket*in_two_wheeler_comm*in_ins_partner_share+F1535*in_two_wheeler_ticket*in_two_wheeler_comm*in_ins_partner_share*(in_two_wheeler_renew^1*SUMIFS(AR1532:AR1555,B1532:B1555,B1535-12)+in_two_wheeler_renew^2*SUMIFS(AR1532:AR1555,B1532:B1555,B1535-24)+in_two_wheeler_renew^3*SUMIFS(AR1532:AR1555,B1532:B1555,B1535-36)+in_two_wheeler_renew^4*SUMIFS(AR1532:AR1555,B1532:B1555,B1535-48))</f>
        <v/>
      </c>
      <c r="AT1535" s="40">
        <f>AT1534*(1-IF(B1534&gt;=in_marketplace_from,d_hz_device*G1534,0))</f>
        <v/>
      </c>
      <c r="AU1535" s="14">
        <f>F1535*AT1535*IF(B1535&gt;=in_marketplace_from,d_hz_device*G1535,0)*in_device_ticket*in_device_comm*in_ins_partner_share</f>
        <v/>
      </c>
      <c r="AV1535" s="40">
        <f>AV1534*(1-IF(B1534&gt;=in_marketplace_from,d_hz_shop*G1534,0))</f>
        <v/>
      </c>
      <c r="AW1535" s="46">
        <f>AV1535*IF(B1535&gt;=in_marketplace_from,d_hz_shop*G1535,0)</f>
        <v/>
      </c>
      <c r="AX1535" s="14">
        <f>F1535*AW1535*in_shop_ticket*in_shop_comm*in_ins_partner_share+F1535*in_shop_ticket*in_shop_renew_comm*in_ins_partner_share*(in_shop_renew^1*SUMIFS(AW1532:AW1555,B1532:B1555,B1535-12)+in_shop_renew^2*SUMIFS(AW1532:AW1555,B1532:B1555,B1535-24)+in_shop_renew^3*SUMIFS(AW1532:AW1555,B1532:B1555,B1535-36)+in_shop_renew^4*SUMIFS(AW1532:AW1555,B1532:B1555,B1535-48))</f>
        <v/>
      </c>
      <c r="AY1535" s="40">
        <f>AY1534*(1-IF(B1534&gt;=in_marketplace_from,d_hz_sip*G1534,0))</f>
        <v/>
      </c>
      <c r="AZ1535" s="40">
        <f>AZ1534*d_rho_sip+AY1535*IF(B1535&gt;=in_marketplace_from,d_hz_sip*G1535,0)</f>
        <v/>
      </c>
      <c r="BA1535" s="40">
        <f>d_rho_sip*(BA1534+AZ1534)</f>
        <v/>
      </c>
      <c r="BB1535" s="14">
        <f>F1535*in_sip_ticket*(BA1535+0.5*AZ1535)*in_sip_comm/12</f>
        <v/>
      </c>
      <c r="BC1535" s="40">
        <f>BC1534*(1-IF(B1534&gt;=in_marketplace_from,d_hz_choti*G1534,0))</f>
        <v/>
      </c>
      <c r="BD1535" s="46">
        <f>BC1535*IF(B1535&gt;=in_marketplace_from,d_hz_choti*G1535,0)</f>
        <v/>
      </c>
      <c r="BE1535" s="14">
        <f>F1535*SUMIFS(BD1532:BD1555,B1532:B1555,B1535-in_choti_months)*in_choti_renew*in_choti_ticket</f>
        <v/>
      </c>
      <c r="BF1535" s="40">
        <f>BF1534*(1-IF(B1534&gt;=in_marketplace_from,d_hz_nps*G1534,0))</f>
        <v/>
      </c>
      <c r="BG1535" s="14">
        <f>F1535*BF1535*IF(B1535&gt;=in_marketplace_from,d_hz_nps*G1535,0)*in_nps_ticket*in_nps_comm</f>
        <v/>
      </c>
      <c r="BH1535" s="40">
        <f>BH1534*(1-IF(B1534&gt;=in_marketplace_from,d_hz_gold*G1534,0))</f>
        <v/>
      </c>
      <c r="BI1535" s="40">
        <f>BI1534*d_rho_gold+BH1535*IF(B1535&gt;=in_marketplace_from,d_hz_gold*G1535,0)</f>
        <v/>
      </c>
      <c r="BJ1535" s="14">
        <f>F1535*BI1535*in_gold_ticket*in_gold_comm</f>
        <v/>
      </c>
      <c r="BK1535" s="40">
        <f>BK1534*(1-IF(B1534&gt;=in_marketplace_from,d_hz_fd*G1534,0))</f>
        <v/>
      </c>
      <c r="BL1535" s="14">
        <f>F1535*BK1535*IF(B1535&gt;=in_marketplace_from,d_hz_fd*G1535,0)*in_fd_ticket*in_fd_comm</f>
        <v/>
      </c>
      <c r="BM1535" s="40">
        <f>BM1534*(1-IF(B1534&gt;=in_marketplace_from,d_hz_recharge*G1534,0))</f>
        <v/>
      </c>
      <c r="BN1535" s="40">
        <f>BN1534*d_rho_recharge+BM1535*IF(B1535&gt;=in_marketplace_from,d_hz_recharge*G1535,0)</f>
        <v/>
      </c>
      <c r="BO1535" s="14">
        <f>F1535*BN1535*in_recharge_ticket*in_recharge_comm/12</f>
        <v/>
      </c>
      <c r="BP1535" s="40">
        <f>BP1534*(1-IF(B1534&gt;=in_marketplace_from,d_hz_bills*G1534,0))</f>
        <v/>
      </c>
      <c r="BQ1535" s="40">
        <f>BQ1534*d_rho_bills+BP1535*IF(B1535&gt;=in_marketplace_from,d_hz_bills*G1535,0)</f>
        <v/>
      </c>
      <c r="BR1535" s="14">
        <f>F1535*BQ1535*in_bills_ticket*in_bills_comm/12</f>
        <v/>
      </c>
      <c r="BS1535" s="40">
        <f>BS1534*(1-IF(B1534&gt;=in_marketplace_from,d_hz_loan_gold*G1534,0))</f>
        <v/>
      </c>
      <c r="BT1535" s="14">
        <f>F1535*BS1535*IF(B1535&gt;=in_marketplace_from,d_hz_loan_gold*G1535,0)*in_loan_gold_ticket*in_loan_gold_comm</f>
        <v/>
      </c>
      <c r="BU1535" s="40">
        <f>BU1534*(1-IF(B1534&gt;=in_marketplace_from,d_hz_loan_cd*G1534,0))</f>
        <v/>
      </c>
      <c r="BV1535" s="14">
        <f>F1535*BU1535*IF(B1535&gt;=in_marketplace_from,d_hz_loan_cd*G1535,0)*in_loan_cd_ticket*in_loan_cd_comm</f>
        <v/>
      </c>
      <c r="BW1535" s="40">
        <f>BW1534*(1-IF(B1534&gt;=in_marketplace_from,d_hz_loan_vehicle*G1534,0))</f>
        <v/>
      </c>
      <c r="BX1535" s="14">
        <f>F1535*BW1535*IF(B1535&gt;=in_marketplace_from,d_hz_loan_vehicle*G1535,0)*in_loan_vehicle_ticket*in_loan_vehicle_comm</f>
        <v/>
      </c>
      <c r="BY1535" s="40">
        <f>BY1534*(1-IF(B1534&gt;=in_marketplace_from,d_hz_loan_home*G1534,0)*BZ1534)</f>
        <v/>
      </c>
      <c r="BZ1535" s="11">
        <f>MIN(in_approval_cap,in_loan_home_approval*INDEX('Age profile'!$O$2:$O$61,B1535)*(1+in_approval_growth)^(D1535-1))</f>
        <v/>
      </c>
      <c r="CA1535" s="14">
        <f>F1535*BY1535*IF(B1535&gt;=in_marketplace_from,d_hz_loan_home*G1535,0)*BZ1535*in_loan_home_ticket*in_loan_home_comm</f>
        <v/>
      </c>
      <c r="CB1535" s="40">
        <f>CB1534*(1-IF(B1534&gt;=in_marketplace_from,d_hz_loan_lap*G1534,0)*CC1534)</f>
        <v/>
      </c>
      <c r="CC1535" s="11">
        <f>MIN(in_approval_cap,in_loan_lap_approval*INDEX('Age profile'!$O$2:$O$61,B1535)*(1+in_approval_growth)^(D1535-1))</f>
        <v/>
      </c>
      <c r="CD1535" s="14">
        <f>F1535*CB1535*IF(B1535&gt;=in_marketplace_from,d_hz_loan_lap*G1535,0)*CC1535*in_loan_lap_ticket*in_loan_lap_comm</f>
        <v/>
      </c>
      <c r="CE1535" s="14">
        <f>AA1535+AB1535+AC1535+AD1535+AG1535+AJ1535+AM1535+AP1535+AS1535+AU1535+AX1535+BB1535+BE1535+BG1535+BJ1535+BL1535+BO1535+BR1535+BT1535+BV1535+BX1535+CA1535+CD1535</f>
        <v/>
      </c>
    </row>
    <row r="1536">
      <c r="A1536" s="39" t="n">
        <v>37</v>
      </c>
      <c r="B1536" s="39" t="n">
        <v>5</v>
      </c>
      <c r="C1536" s="39">
        <f>A1536+B1536-1</f>
        <v/>
      </c>
      <c r="D1536" s="39">
        <f>INT((C1536-1)/12)+1</f>
        <v/>
      </c>
      <c r="E1536" s="44">
        <f>INDEX(Monthly!$B$2:$B$61,A1536)</f>
        <v/>
      </c>
      <c r="F1536" s="44">
        <f>E1536*INDEX('Age profile'!$B$2:$B$61,B1536)</f>
        <v/>
      </c>
      <c r="G1536" s="45">
        <f>MIN(in_takeup_cap,INDEX('Age profile'!$N$2:$N$61,B1536)*(1+in_takeup_growth)^(D1536-1))</f>
        <v/>
      </c>
      <c r="H1536" s="11">
        <f>MIN(in_approval_cap,in_approved_first*INDEX('Age profile'!$O$2:$O$61,B1536)*(1+in_approval_growth)^(D1536-1))</f>
        <v/>
      </c>
      <c r="I1536" s="45">
        <f>G1536*MIN(in_takeup_cap,INDEX('Age profile'!$O$2:$O$61,B1536)*(1+in_approval_growth)^(D1536-1))</f>
        <v/>
      </c>
      <c r="J1536" s="40">
        <f>(J1535-L1535)*F1536/F1535</f>
        <v/>
      </c>
      <c r="K1536" s="40">
        <f>(K1535-M1535)*F1536/F1535+SUMIFS(O1532:O1535,B1532:B1535,B1536-1-d_T)*F1536</f>
        <v/>
      </c>
      <c r="L1536" s="40">
        <f>IF(B1536&gt;=in_marketplace_from,J1536*d_hz*G1536*in_eligible*H1536,0)</f>
        <v/>
      </c>
      <c r="M1536" s="40">
        <f>IF(B1536&gt;=in_marketplace_from,K1536*d_hz*G1536*in_eligible*in_approved_repeat,0)</f>
        <v/>
      </c>
      <c r="N1536" s="40">
        <f>L1536+M1536</f>
        <v/>
      </c>
      <c r="O1536" s="46">
        <f>N1536/F1536</f>
        <v/>
      </c>
      <c r="P1536" s="40">
        <f>F1536-J1536-K1536</f>
        <v/>
      </c>
      <c r="Q1536" s="40">
        <f>IF(B1536&gt;=in_marketplace_from,(J1536+K1536)*d_hz*G1536,0)</f>
        <v/>
      </c>
      <c r="R1536" s="40">
        <f>SUMIFS(N1532:N1555,B1532:B1555,"&gt;="&amp;(B1536-d_T),B1532:B1555,"&lt;="&amp;(B1536-1))</f>
        <v/>
      </c>
      <c r="S1536" s="46">
        <f>(1-d_u)*S1535+IF(d_T&gt;in_topup_lag,SUMIFS(O1532:O1555,B1532:B1555,B1536-in_topup_lag)-d_udrop*SUMIFS(O1532:O1555,B1532:B1555,B1536-d_T),0)</f>
        <v/>
      </c>
      <c r="T1536" s="40">
        <f>F1536*d_u*S1536</f>
        <v/>
      </c>
      <c r="U1536" s="9">
        <f>L1536*in_ticket+M1536*d_rep_ticket</f>
        <v/>
      </c>
      <c r="V1536" s="9">
        <f>U1536+T1536*d_topup_amt</f>
        <v/>
      </c>
      <c r="W1536" s="40">
        <f>N1536+T1536*d_topup_ratio</f>
        <v/>
      </c>
      <c r="X1536" s="40">
        <f>SUMIFS(W1532:W1555,B1532:B1555,B1536-in_dpd_lag)*d_cured</f>
        <v/>
      </c>
      <c r="Y1536" s="40">
        <f>SUMIFS(W1532:W1555,B1532:B1555,B1536-in_rec_lag)*d_recd</f>
        <v/>
      </c>
      <c r="Z1536" s="40">
        <f>IF(AND(B1536&gt;=in_marketplace_from,B1536&lt;in_marketplace_from+in_card_months),in_card_share/in_card_months*F1536*I1536,IF(AND(B1536&gt;=in_marketplace_from+in_card_months,B1536&lt;in_marketplace_from+2*in_card_months),in_card_share*d_card_rem/in_card_months*F1536*MIN(in_takeup_cap,(1+in_takeup_growth)^(D1536-1))*MIN(in_takeup_cap,(1+in_approval_growth)^(D1536-1)),0))</f>
        <v/>
      </c>
      <c r="AA1536" s="14">
        <f>V1536*in_fee*(1-in_taken_back)</f>
        <v/>
      </c>
      <c r="AB1536" s="14">
        <f>SUMIFS(W1532:W1555,B1532:B1555,B1536-in_dpd_lag)*d_dpd</f>
        <v/>
      </c>
      <c r="AC1536" s="14">
        <f>SUMIFS(W1532:W1555,B1532:B1555,B1536-in_rec_lag)*d_rec</f>
        <v/>
      </c>
      <c r="AD1536" s="14">
        <f>Z1536*in_card_fee</f>
        <v/>
      </c>
      <c r="AE1536" s="40">
        <f>AE1535*(1-IF(B1535&gt;=in_marketplace_from,d_hz_hlth_small*G1535,0))</f>
        <v/>
      </c>
      <c r="AF1536" s="46">
        <f>AE1536*IF(B1536&gt;=in_marketplace_from,d_hz_hlth_small*G1536,0)</f>
        <v/>
      </c>
      <c r="AG1536" s="14">
        <f>F1536*AF1536*in_hlth_small_ticket*in_hlth_small_comm*in_ins_partner_share+F1536*in_hlth_small_ticket*in_hlth_small_renew_comm*in_ins_partner_share*(in_hlth_small_renew^1*SUMIFS(AF1532:AF1555,B1532:B1555,B1536-12)+in_hlth_small_renew^2*SUMIFS(AF1532:AF1555,B1532:B1555,B1536-24)+in_hlth_small_renew^3*SUMIFS(AF1532:AF1555,B1532:B1555,B1536-36)+in_hlth_small_renew^4*SUMIFS(AF1532:AF1555,B1532:B1555,B1536-48))</f>
        <v/>
      </c>
      <c r="AH1536" s="40">
        <f>AH1535*(1-IF(B1535&gt;=in_marketplace_from,d_hz_hlth_family*G1535,0))</f>
        <v/>
      </c>
      <c r="AI1536" s="46">
        <f>AH1536*IF(B1536&gt;=in_marketplace_from,d_hz_hlth_family*G1536,0)</f>
        <v/>
      </c>
      <c r="AJ1536" s="14">
        <f>F1536*AI1536*in_hlth_family_ticket*in_hlth_family_comm*in_ins_partner_share+F1536*in_hlth_family_ticket*in_hlth_family_renew_comm*in_ins_partner_share*(in_hlth_family_renew^1*SUMIFS(AI1532:AI1555,B1532:B1555,B1536-12)+in_hlth_family_renew^2*SUMIFS(AI1532:AI1555,B1532:B1555,B1536-24)+in_hlth_family_renew^3*SUMIFS(AI1532:AI1555,B1532:B1555,B1536-36)+in_hlth_family_renew^4*SUMIFS(AI1532:AI1555,B1532:B1555,B1536-48))</f>
        <v/>
      </c>
      <c r="AK1536" s="40">
        <f>AK1535*(1-IF(B1535&gt;=in_marketplace_from,d_hz_life_term*G1535,0))</f>
        <v/>
      </c>
      <c r="AL1536" s="46">
        <f>AK1536*IF(B1536&gt;=in_marketplace_from,d_hz_life_term*G1536,0)</f>
        <v/>
      </c>
      <c r="AM1536" s="14">
        <f>F1536*AL1536*in_life_term_ticket*in_life_term_comm*in_ins_partner_share+F1536*in_life_term_ticket*in_life_term_renew_comm*in_ins_partner_share*(in_life_term_renew^1*SUMIFS(AL1532:AL1555,B1532:B1555,B1536-12)+in_life_term_renew^2*SUMIFS(AL1532:AL1555,B1532:B1555,B1536-24)+in_life_term_renew^3*SUMIFS(AL1532:AL1555,B1532:B1555,B1536-36)+in_life_term_renew^4*SUMIFS(AL1532:AL1555,B1532:B1555,B1536-48))</f>
        <v/>
      </c>
      <c r="AN1536" s="40">
        <f>AN1535*(1-IF(B1535&gt;=in_marketplace_from,d_hz_accident*G1535,0))</f>
        <v/>
      </c>
      <c r="AO1536" s="46">
        <f>AN1536*IF(B1536&gt;=in_marketplace_from,d_hz_accident*G1536,0)</f>
        <v/>
      </c>
      <c r="AP1536" s="14">
        <f>F1536*AO1536*in_accident_ticket*in_accident_comm*in_ins_partner_share+F1536*in_accident_ticket*in_accident_renew_comm*in_ins_partner_share*(in_accident_renew^1*SUMIFS(AO1532:AO1555,B1532:B1555,B1536-12)+in_accident_renew^2*SUMIFS(AO1532:AO1555,B1532:B1555,B1536-24)+in_accident_renew^3*SUMIFS(AO1532:AO1555,B1532:B1555,B1536-36)+in_accident_renew^4*SUMIFS(AO1532:AO1555,B1532:B1555,B1536-48))</f>
        <v/>
      </c>
      <c r="AQ1536" s="40">
        <f>AQ1535*(1-IF(B1535&gt;=in_marketplace_from,d_hz_two_wheeler*G1535,0))</f>
        <v/>
      </c>
      <c r="AR1536" s="46">
        <f>AQ1536*IF(B1536&gt;=in_marketplace_from,d_hz_two_wheeler*G1536,0)</f>
        <v/>
      </c>
      <c r="AS1536" s="14">
        <f>F1536*AR1536*in_two_wheeler_ticket*in_two_wheeler_comm*in_ins_partner_share+F1536*in_two_wheeler_ticket*in_two_wheeler_comm*in_ins_partner_share*(in_two_wheeler_renew^1*SUMIFS(AR1532:AR1555,B1532:B1555,B1536-12)+in_two_wheeler_renew^2*SUMIFS(AR1532:AR1555,B1532:B1555,B1536-24)+in_two_wheeler_renew^3*SUMIFS(AR1532:AR1555,B1532:B1555,B1536-36)+in_two_wheeler_renew^4*SUMIFS(AR1532:AR1555,B1532:B1555,B1536-48))</f>
        <v/>
      </c>
      <c r="AT1536" s="40">
        <f>AT1535*(1-IF(B1535&gt;=in_marketplace_from,d_hz_device*G1535,0))</f>
        <v/>
      </c>
      <c r="AU1536" s="14">
        <f>F1536*AT1536*IF(B1536&gt;=in_marketplace_from,d_hz_device*G1536,0)*in_device_ticket*in_device_comm*in_ins_partner_share</f>
        <v/>
      </c>
      <c r="AV1536" s="40">
        <f>AV1535*(1-IF(B1535&gt;=in_marketplace_from,d_hz_shop*G1535,0))</f>
        <v/>
      </c>
      <c r="AW1536" s="46">
        <f>AV1536*IF(B1536&gt;=in_marketplace_from,d_hz_shop*G1536,0)</f>
        <v/>
      </c>
      <c r="AX1536" s="14">
        <f>F1536*AW1536*in_shop_ticket*in_shop_comm*in_ins_partner_share+F1536*in_shop_ticket*in_shop_renew_comm*in_ins_partner_share*(in_shop_renew^1*SUMIFS(AW1532:AW1555,B1532:B1555,B1536-12)+in_shop_renew^2*SUMIFS(AW1532:AW1555,B1532:B1555,B1536-24)+in_shop_renew^3*SUMIFS(AW1532:AW1555,B1532:B1555,B1536-36)+in_shop_renew^4*SUMIFS(AW1532:AW1555,B1532:B1555,B1536-48))</f>
        <v/>
      </c>
      <c r="AY1536" s="40">
        <f>AY1535*(1-IF(B1535&gt;=in_marketplace_from,d_hz_sip*G1535,0))</f>
        <v/>
      </c>
      <c r="AZ1536" s="40">
        <f>AZ1535*d_rho_sip+AY1536*IF(B1536&gt;=in_marketplace_from,d_hz_sip*G1536,0)</f>
        <v/>
      </c>
      <c r="BA1536" s="40">
        <f>d_rho_sip*(BA1535+AZ1535)</f>
        <v/>
      </c>
      <c r="BB1536" s="14">
        <f>F1536*in_sip_ticket*(BA1536+0.5*AZ1536)*in_sip_comm/12</f>
        <v/>
      </c>
      <c r="BC1536" s="40">
        <f>BC1535*(1-IF(B1535&gt;=in_marketplace_from,d_hz_choti*G1535,0))</f>
        <v/>
      </c>
      <c r="BD1536" s="46">
        <f>BC1536*IF(B1536&gt;=in_marketplace_from,d_hz_choti*G1536,0)</f>
        <v/>
      </c>
      <c r="BE1536" s="14">
        <f>F1536*SUMIFS(BD1532:BD1555,B1532:B1555,B1536-in_choti_months)*in_choti_renew*in_choti_ticket</f>
        <v/>
      </c>
      <c r="BF1536" s="40">
        <f>BF1535*(1-IF(B1535&gt;=in_marketplace_from,d_hz_nps*G1535,0))</f>
        <v/>
      </c>
      <c r="BG1536" s="14">
        <f>F1536*BF1536*IF(B1536&gt;=in_marketplace_from,d_hz_nps*G1536,0)*in_nps_ticket*in_nps_comm</f>
        <v/>
      </c>
      <c r="BH1536" s="40">
        <f>BH1535*(1-IF(B1535&gt;=in_marketplace_from,d_hz_gold*G1535,0))</f>
        <v/>
      </c>
      <c r="BI1536" s="40">
        <f>BI1535*d_rho_gold+BH1536*IF(B1536&gt;=in_marketplace_from,d_hz_gold*G1536,0)</f>
        <v/>
      </c>
      <c r="BJ1536" s="14">
        <f>F1536*BI1536*in_gold_ticket*in_gold_comm</f>
        <v/>
      </c>
      <c r="BK1536" s="40">
        <f>BK1535*(1-IF(B1535&gt;=in_marketplace_from,d_hz_fd*G1535,0))</f>
        <v/>
      </c>
      <c r="BL1536" s="14">
        <f>F1536*BK1536*IF(B1536&gt;=in_marketplace_from,d_hz_fd*G1536,0)*in_fd_ticket*in_fd_comm</f>
        <v/>
      </c>
      <c r="BM1536" s="40">
        <f>BM1535*(1-IF(B1535&gt;=in_marketplace_from,d_hz_recharge*G1535,0))</f>
        <v/>
      </c>
      <c r="BN1536" s="40">
        <f>BN1535*d_rho_recharge+BM1536*IF(B1536&gt;=in_marketplace_from,d_hz_recharge*G1536,0)</f>
        <v/>
      </c>
      <c r="BO1536" s="14">
        <f>F1536*BN1536*in_recharge_ticket*in_recharge_comm/12</f>
        <v/>
      </c>
      <c r="BP1536" s="40">
        <f>BP1535*(1-IF(B1535&gt;=in_marketplace_from,d_hz_bills*G1535,0))</f>
        <v/>
      </c>
      <c r="BQ1536" s="40">
        <f>BQ1535*d_rho_bills+BP1536*IF(B1536&gt;=in_marketplace_from,d_hz_bills*G1536,0)</f>
        <v/>
      </c>
      <c r="BR1536" s="14">
        <f>F1536*BQ1536*in_bills_ticket*in_bills_comm/12</f>
        <v/>
      </c>
      <c r="BS1536" s="40">
        <f>BS1535*(1-IF(B1535&gt;=in_marketplace_from,d_hz_loan_gold*G1535,0))</f>
        <v/>
      </c>
      <c r="BT1536" s="14">
        <f>F1536*BS1536*IF(B1536&gt;=in_marketplace_from,d_hz_loan_gold*G1536,0)*in_loan_gold_ticket*in_loan_gold_comm</f>
        <v/>
      </c>
      <c r="BU1536" s="40">
        <f>BU1535*(1-IF(B1535&gt;=in_marketplace_from,d_hz_loan_cd*G1535,0))</f>
        <v/>
      </c>
      <c r="BV1536" s="14">
        <f>F1536*BU1536*IF(B1536&gt;=in_marketplace_from,d_hz_loan_cd*G1536,0)*in_loan_cd_ticket*in_loan_cd_comm</f>
        <v/>
      </c>
      <c r="BW1536" s="40">
        <f>BW1535*(1-IF(B1535&gt;=in_marketplace_from,d_hz_loan_vehicle*G1535,0))</f>
        <v/>
      </c>
      <c r="BX1536" s="14">
        <f>F1536*BW1536*IF(B1536&gt;=in_marketplace_from,d_hz_loan_vehicle*G1536,0)*in_loan_vehicle_ticket*in_loan_vehicle_comm</f>
        <v/>
      </c>
      <c r="BY1536" s="40">
        <f>BY1535*(1-IF(B1535&gt;=in_marketplace_from,d_hz_loan_home*G1535,0)*BZ1535)</f>
        <v/>
      </c>
      <c r="BZ1536" s="11">
        <f>MIN(in_approval_cap,in_loan_home_approval*INDEX('Age profile'!$O$2:$O$61,B1536)*(1+in_approval_growth)^(D1536-1))</f>
        <v/>
      </c>
      <c r="CA1536" s="14">
        <f>F1536*BY1536*IF(B1536&gt;=in_marketplace_from,d_hz_loan_home*G1536,0)*BZ1536*in_loan_home_ticket*in_loan_home_comm</f>
        <v/>
      </c>
      <c r="CB1536" s="40">
        <f>CB1535*(1-IF(B1535&gt;=in_marketplace_from,d_hz_loan_lap*G1535,0)*CC1535)</f>
        <v/>
      </c>
      <c r="CC1536" s="11">
        <f>MIN(in_approval_cap,in_loan_lap_approval*INDEX('Age profile'!$O$2:$O$61,B1536)*(1+in_approval_growth)^(D1536-1))</f>
        <v/>
      </c>
      <c r="CD1536" s="14">
        <f>F1536*CB1536*IF(B1536&gt;=in_marketplace_from,d_hz_loan_lap*G1536,0)*CC1536*in_loan_lap_ticket*in_loan_lap_comm</f>
        <v/>
      </c>
      <c r="CE1536" s="14">
        <f>AA1536+AB1536+AC1536+AD1536+AG1536+AJ1536+AM1536+AP1536+AS1536+AU1536+AX1536+BB1536+BE1536+BG1536+BJ1536+BL1536+BO1536+BR1536+BT1536+BV1536+BX1536+CA1536+CD1536</f>
        <v/>
      </c>
    </row>
    <row r="1537">
      <c r="A1537" s="39" t="n">
        <v>37</v>
      </c>
      <c r="B1537" s="39" t="n">
        <v>6</v>
      </c>
      <c r="C1537" s="39">
        <f>A1537+B1537-1</f>
        <v/>
      </c>
      <c r="D1537" s="39">
        <f>INT((C1537-1)/12)+1</f>
        <v/>
      </c>
      <c r="E1537" s="44">
        <f>INDEX(Monthly!$B$2:$B$61,A1537)</f>
        <v/>
      </c>
      <c r="F1537" s="44">
        <f>E1537*INDEX('Age profile'!$B$2:$B$61,B1537)</f>
        <v/>
      </c>
      <c r="G1537" s="45">
        <f>MIN(in_takeup_cap,INDEX('Age profile'!$N$2:$N$61,B1537)*(1+in_takeup_growth)^(D1537-1))</f>
        <v/>
      </c>
      <c r="H1537" s="11">
        <f>MIN(in_approval_cap,in_approved_first*INDEX('Age profile'!$O$2:$O$61,B1537)*(1+in_approval_growth)^(D1537-1))</f>
        <v/>
      </c>
      <c r="I1537" s="45">
        <f>G1537*MIN(in_takeup_cap,INDEX('Age profile'!$O$2:$O$61,B1537)*(1+in_approval_growth)^(D1537-1))</f>
        <v/>
      </c>
      <c r="J1537" s="40">
        <f>(J1536-L1536)*F1537/F1536</f>
        <v/>
      </c>
      <c r="K1537" s="40">
        <f>(K1536-M1536)*F1537/F1536+SUMIFS(O1532:O1536,B1532:B1536,B1537-1-d_T)*F1537</f>
        <v/>
      </c>
      <c r="L1537" s="40">
        <f>IF(B1537&gt;=in_marketplace_from,J1537*d_hz*G1537*in_eligible*H1537,0)</f>
        <v/>
      </c>
      <c r="M1537" s="40">
        <f>IF(B1537&gt;=in_marketplace_from,K1537*d_hz*G1537*in_eligible*in_approved_repeat,0)</f>
        <v/>
      </c>
      <c r="N1537" s="40">
        <f>L1537+M1537</f>
        <v/>
      </c>
      <c r="O1537" s="46">
        <f>N1537/F1537</f>
        <v/>
      </c>
      <c r="P1537" s="40">
        <f>F1537-J1537-K1537</f>
        <v/>
      </c>
      <c r="Q1537" s="40">
        <f>IF(B1537&gt;=in_marketplace_from,(J1537+K1537)*d_hz*G1537,0)</f>
        <v/>
      </c>
      <c r="R1537" s="40">
        <f>SUMIFS(N1532:N1555,B1532:B1555,"&gt;="&amp;(B1537-d_T),B1532:B1555,"&lt;="&amp;(B1537-1))</f>
        <v/>
      </c>
      <c r="S1537" s="46">
        <f>(1-d_u)*S1536+IF(d_T&gt;in_topup_lag,SUMIFS(O1532:O1555,B1532:B1555,B1537-in_topup_lag)-d_udrop*SUMIFS(O1532:O1555,B1532:B1555,B1537-d_T),0)</f>
        <v/>
      </c>
      <c r="T1537" s="40">
        <f>F1537*d_u*S1537</f>
        <v/>
      </c>
      <c r="U1537" s="9">
        <f>L1537*in_ticket+M1537*d_rep_ticket</f>
        <v/>
      </c>
      <c r="V1537" s="9">
        <f>U1537+T1537*d_topup_amt</f>
        <v/>
      </c>
      <c r="W1537" s="40">
        <f>N1537+T1537*d_topup_ratio</f>
        <v/>
      </c>
      <c r="X1537" s="40">
        <f>SUMIFS(W1532:W1555,B1532:B1555,B1537-in_dpd_lag)*d_cured</f>
        <v/>
      </c>
      <c r="Y1537" s="40">
        <f>SUMIFS(W1532:W1555,B1532:B1555,B1537-in_rec_lag)*d_recd</f>
        <v/>
      </c>
      <c r="Z1537" s="40">
        <f>IF(AND(B1537&gt;=in_marketplace_from,B1537&lt;in_marketplace_from+in_card_months),in_card_share/in_card_months*F1537*I1537,IF(AND(B1537&gt;=in_marketplace_from+in_card_months,B1537&lt;in_marketplace_from+2*in_card_months),in_card_share*d_card_rem/in_card_months*F1537*MIN(in_takeup_cap,(1+in_takeup_growth)^(D1537-1))*MIN(in_takeup_cap,(1+in_approval_growth)^(D1537-1)),0))</f>
        <v/>
      </c>
      <c r="AA1537" s="14">
        <f>V1537*in_fee*(1-in_taken_back)</f>
        <v/>
      </c>
      <c r="AB1537" s="14">
        <f>SUMIFS(W1532:W1555,B1532:B1555,B1537-in_dpd_lag)*d_dpd</f>
        <v/>
      </c>
      <c r="AC1537" s="14">
        <f>SUMIFS(W1532:W1555,B1532:B1555,B1537-in_rec_lag)*d_rec</f>
        <v/>
      </c>
      <c r="AD1537" s="14">
        <f>Z1537*in_card_fee</f>
        <v/>
      </c>
      <c r="AE1537" s="40">
        <f>AE1536*(1-IF(B1536&gt;=in_marketplace_from,d_hz_hlth_small*G1536,0))</f>
        <v/>
      </c>
      <c r="AF1537" s="46">
        <f>AE1537*IF(B1537&gt;=in_marketplace_from,d_hz_hlth_small*G1537,0)</f>
        <v/>
      </c>
      <c r="AG1537" s="14">
        <f>F1537*AF1537*in_hlth_small_ticket*in_hlth_small_comm*in_ins_partner_share+F1537*in_hlth_small_ticket*in_hlth_small_renew_comm*in_ins_partner_share*(in_hlth_small_renew^1*SUMIFS(AF1532:AF1555,B1532:B1555,B1537-12)+in_hlth_small_renew^2*SUMIFS(AF1532:AF1555,B1532:B1555,B1537-24)+in_hlth_small_renew^3*SUMIFS(AF1532:AF1555,B1532:B1555,B1537-36)+in_hlth_small_renew^4*SUMIFS(AF1532:AF1555,B1532:B1555,B1537-48))</f>
        <v/>
      </c>
      <c r="AH1537" s="40">
        <f>AH1536*(1-IF(B1536&gt;=in_marketplace_from,d_hz_hlth_family*G1536,0))</f>
        <v/>
      </c>
      <c r="AI1537" s="46">
        <f>AH1537*IF(B1537&gt;=in_marketplace_from,d_hz_hlth_family*G1537,0)</f>
        <v/>
      </c>
      <c r="AJ1537" s="14">
        <f>F1537*AI1537*in_hlth_family_ticket*in_hlth_family_comm*in_ins_partner_share+F1537*in_hlth_family_ticket*in_hlth_family_renew_comm*in_ins_partner_share*(in_hlth_family_renew^1*SUMIFS(AI1532:AI1555,B1532:B1555,B1537-12)+in_hlth_family_renew^2*SUMIFS(AI1532:AI1555,B1532:B1555,B1537-24)+in_hlth_family_renew^3*SUMIFS(AI1532:AI1555,B1532:B1555,B1537-36)+in_hlth_family_renew^4*SUMIFS(AI1532:AI1555,B1532:B1555,B1537-48))</f>
        <v/>
      </c>
      <c r="AK1537" s="40">
        <f>AK1536*(1-IF(B1536&gt;=in_marketplace_from,d_hz_life_term*G1536,0))</f>
        <v/>
      </c>
      <c r="AL1537" s="46">
        <f>AK1537*IF(B1537&gt;=in_marketplace_from,d_hz_life_term*G1537,0)</f>
        <v/>
      </c>
      <c r="AM1537" s="14">
        <f>F1537*AL1537*in_life_term_ticket*in_life_term_comm*in_ins_partner_share+F1537*in_life_term_ticket*in_life_term_renew_comm*in_ins_partner_share*(in_life_term_renew^1*SUMIFS(AL1532:AL1555,B1532:B1555,B1537-12)+in_life_term_renew^2*SUMIFS(AL1532:AL1555,B1532:B1555,B1537-24)+in_life_term_renew^3*SUMIFS(AL1532:AL1555,B1532:B1555,B1537-36)+in_life_term_renew^4*SUMIFS(AL1532:AL1555,B1532:B1555,B1537-48))</f>
        <v/>
      </c>
      <c r="AN1537" s="40">
        <f>AN1536*(1-IF(B1536&gt;=in_marketplace_from,d_hz_accident*G1536,0))</f>
        <v/>
      </c>
      <c r="AO1537" s="46">
        <f>AN1537*IF(B1537&gt;=in_marketplace_from,d_hz_accident*G1537,0)</f>
        <v/>
      </c>
      <c r="AP1537" s="14">
        <f>F1537*AO1537*in_accident_ticket*in_accident_comm*in_ins_partner_share+F1537*in_accident_ticket*in_accident_renew_comm*in_ins_partner_share*(in_accident_renew^1*SUMIFS(AO1532:AO1555,B1532:B1555,B1537-12)+in_accident_renew^2*SUMIFS(AO1532:AO1555,B1532:B1555,B1537-24)+in_accident_renew^3*SUMIFS(AO1532:AO1555,B1532:B1555,B1537-36)+in_accident_renew^4*SUMIFS(AO1532:AO1555,B1532:B1555,B1537-48))</f>
        <v/>
      </c>
      <c r="AQ1537" s="40">
        <f>AQ1536*(1-IF(B1536&gt;=in_marketplace_from,d_hz_two_wheeler*G1536,0))</f>
        <v/>
      </c>
      <c r="AR1537" s="46">
        <f>AQ1537*IF(B1537&gt;=in_marketplace_from,d_hz_two_wheeler*G1537,0)</f>
        <v/>
      </c>
      <c r="AS1537" s="14">
        <f>F1537*AR1537*in_two_wheeler_ticket*in_two_wheeler_comm*in_ins_partner_share+F1537*in_two_wheeler_ticket*in_two_wheeler_comm*in_ins_partner_share*(in_two_wheeler_renew^1*SUMIFS(AR1532:AR1555,B1532:B1555,B1537-12)+in_two_wheeler_renew^2*SUMIFS(AR1532:AR1555,B1532:B1555,B1537-24)+in_two_wheeler_renew^3*SUMIFS(AR1532:AR1555,B1532:B1555,B1537-36)+in_two_wheeler_renew^4*SUMIFS(AR1532:AR1555,B1532:B1555,B1537-48))</f>
        <v/>
      </c>
      <c r="AT1537" s="40">
        <f>AT1536*(1-IF(B1536&gt;=in_marketplace_from,d_hz_device*G1536,0))</f>
        <v/>
      </c>
      <c r="AU1537" s="14">
        <f>F1537*AT1537*IF(B1537&gt;=in_marketplace_from,d_hz_device*G1537,0)*in_device_ticket*in_device_comm*in_ins_partner_share</f>
        <v/>
      </c>
      <c r="AV1537" s="40">
        <f>AV1536*(1-IF(B1536&gt;=in_marketplace_from,d_hz_shop*G1536,0))</f>
        <v/>
      </c>
      <c r="AW1537" s="46">
        <f>AV1537*IF(B1537&gt;=in_marketplace_from,d_hz_shop*G1537,0)</f>
        <v/>
      </c>
      <c r="AX1537" s="14">
        <f>F1537*AW1537*in_shop_ticket*in_shop_comm*in_ins_partner_share+F1537*in_shop_ticket*in_shop_renew_comm*in_ins_partner_share*(in_shop_renew^1*SUMIFS(AW1532:AW1555,B1532:B1555,B1537-12)+in_shop_renew^2*SUMIFS(AW1532:AW1555,B1532:B1555,B1537-24)+in_shop_renew^3*SUMIFS(AW1532:AW1555,B1532:B1555,B1537-36)+in_shop_renew^4*SUMIFS(AW1532:AW1555,B1532:B1555,B1537-48))</f>
        <v/>
      </c>
      <c r="AY1537" s="40">
        <f>AY1536*(1-IF(B1536&gt;=in_marketplace_from,d_hz_sip*G1536,0))</f>
        <v/>
      </c>
      <c r="AZ1537" s="40">
        <f>AZ1536*d_rho_sip+AY1537*IF(B1537&gt;=in_marketplace_from,d_hz_sip*G1537,0)</f>
        <v/>
      </c>
      <c r="BA1537" s="40">
        <f>d_rho_sip*(BA1536+AZ1536)</f>
        <v/>
      </c>
      <c r="BB1537" s="14">
        <f>F1537*in_sip_ticket*(BA1537+0.5*AZ1537)*in_sip_comm/12</f>
        <v/>
      </c>
      <c r="BC1537" s="40">
        <f>BC1536*(1-IF(B1536&gt;=in_marketplace_from,d_hz_choti*G1536,0))</f>
        <v/>
      </c>
      <c r="BD1537" s="46">
        <f>BC1537*IF(B1537&gt;=in_marketplace_from,d_hz_choti*G1537,0)</f>
        <v/>
      </c>
      <c r="BE1537" s="14">
        <f>F1537*SUMIFS(BD1532:BD1555,B1532:B1555,B1537-in_choti_months)*in_choti_renew*in_choti_ticket</f>
        <v/>
      </c>
      <c r="BF1537" s="40">
        <f>BF1536*(1-IF(B1536&gt;=in_marketplace_from,d_hz_nps*G1536,0))</f>
        <v/>
      </c>
      <c r="BG1537" s="14">
        <f>F1537*BF1537*IF(B1537&gt;=in_marketplace_from,d_hz_nps*G1537,0)*in_nps_ticket*in_nps_comm</f>
        <v/>
      </c>
      <c r="BH1537" s="40">
        <f>BH1536*(1-IF(B1536&gt;=in_marketplace_from,d_hz_gold*G1536,0))</f>
        <v/>
      </c>
      <c r="BI1537" s="40">
        <f>BI1536*d_rho_gold+BH1537*IF(B1537&gt;=in_marketplace_from,d_hz_gold*G1537,0)</f>
        <v/>
      </c>
      <c r="BJ1537" s="14">
        <f>F1537*BI1537*in_gold_ticket*in_gold_comm</f>
        <v/>
      </c>
      <c r="BK1537" s="40">
        <f>BK1536*(1-IF(B1536&gt;=in_marketplace_from,d_hz_fd*G1536,0))</f>
        <v/>
      </c>
      <c r="BL1537" s="14">
        <f>F1537*BK1537*IF(B1537&gt;=in_marketplace_from,d_hz_fd*G1537,0)*in_fd_ticket*in_fd_comm</f>
        <v/>
      </c>
      <c r="BM1537" s="40">
        <f>BM1536*(1-IF(B1536&gt;=in_marketplace_from,d_hz_recharge*G1536,0))</f>
        <v/>
      </c>
      <c r="BN1537" s="40">
        <f>BN1536*d_rho_recharge+BM1537*IF(B1537&gt;=in_marketplace_from,d_hz_recharge*G1537,0)</f>
        <v/>
      </c>
      <c r="BO1537" s="14">
        <f>F1537*BN1537*in_recharge_ticket*in_recharge_comm/12</f>
        <v/>
      </c>
      <c r="BP1537" s="40">
        <f>BP1536*(1-IF(B1536&gt;=in_marketplace_from,d_hz_bills*G1536,0))</f>
        <v/>
      </c>
      <c r="BQ1537" s="40">
        <f>BQ1536*d_rho_bills+BP1537*IF(B1537&gt;=in_marketplace_from,d_hz_bills*G1537,0)</f>
        <v/>
      </c>
      <c r="BR1537" s="14">
        <f>F1537*BQ1537*in_bills_ticket*in_bills_comm/12</f>
        <v/>
      </c>
      <c r="BS1537" s="40">
        <f>BS1536*(1-IF(B1536&gt;=in_marketplace_from,d_hz_loan_gold*G1536,0))</f>
        <v/>
      </c>
      <c r="BT1537" s="14">
        <f>F1537*BS1537*IF(B1537&gt;=in_marketplace_from,d_hz_loan_gold*G1537,0)*in_loan_gold_ticket*in_loan_gold_comm</f>
        <v/>
      </c>
      <c r="BU1537" s="40">
        <f>BU1536*(1-IF(B1536&gt;=in_marketplace_from,d_hz_loan_cd*G1536,0))</f>
        <v/>
      </c>
      <c r="BV1537" s="14">
        <f>F1537*BU1537*IF(B1537&gt;=in_marketplace_from,d_hz_loan_cd*G1537,0)*in_loan_cd_ticket*in_loan_cd_comm</f>
        <v/>
      </c>
      <c r="BW1537" s="40">
        <f>BW1536*(1-IF(B1536&gt;=in_marketplace_from,d_hz_loan_vehicle*G1536,0))</f>
        <v/>
      </c>
      <c r="BX1537" s="14">
        <f>F1537*BW1537*IF(B1537&gt;=in_marketplace_from,d_hz_loan_vehicle*G1537,0)*in_loan_vehicle_ticket*in_loan_vehicle_comm</f>
        <v/>
      </c>
      <c r="BY1537" s="40">
        <f>BY1536*(1-IF(B1536&gt;=in_marketplace_from,d_hz_loan_home*G1536,0)*BZ1536)</f>
        <v/>
      </c>
      <c r="BZ1537" s="11">
        <f>MIN(in_approval_cap,in_loan_home_approval*INDEX('Age profile'!$O$2:$O$61,B1537)*(1+in_approval_growth)^(D1537-1))</f>
        <v/>
      </c>
      <c r="CA1537" s="14">
        <f>F1537*BY1537*IF(B1537&gt;=in_marketplace_from,d_hz_loan_home*G1537,0)*BZ1537*in_loan_home_ticket*in_loan_home_comm</f>
        <v/>
      </c>
      <c r="CB1537" s="40">
        <f>CB1536*(1-IF(B1536&gt;=in_marketplace_from,d_hz_loan_lap*G1536,0)*CC1536)</f>
        <v/>
      </c>
      <c r="CC1537" s="11">
        <f>MIN(in_approval_cap,in_loan_lap_approval*INDEX('Age profile'!$O$2:$O$61,B1537)*(1+in_approval_growth)^(D1537-1))</f>
        <v/>
      </c>
      <c r="CD1537" s="14">
        <f>F1537*CB1537*IF(B1537&gt;=in_marketplace_from,d_hz_loan_lap*G1537,0)*CC1537*in_loan_lap_ticket*in_loan_lap_comm</f>
        <v/>
      </c>
      <c r="CE1537" s="14">
        <f>AA1537+AB1537+AC1537+AD1537+AG1537+AJ1537+AM1537+AP1537+AS1537+AU1537+AX1537+BB1537+BE1537+BG1537+BJ1537+BL1537+BO1537+BR1537+BT1537+BV1537+BX1537+CA1537+CD1537</f>
        <v/>
      </c>
    </row>
    <row r="1538">
      <c r="A1538" s="39" t="n">
        <v>37</v>
      </c>
      <c r="B1538" s="39" t="n">
        <v>7</v>
      </c>
      <c r="C1538" s="39">
        <f>A1538+B1538-1</f>
        <v/>
      </c>
      <c r="D1538" s="39">
        <f>INT((C1538-1)/12)+1</f>
        <v/>
      </c>
      <c r="E1538" s="44">
        <f>INDEX(Monthly!$B$2:$B$61,A1538)</f>
        <v/>
      </c>
      <c r="F1538" s="44">
        <f>E1538*INDEX('Age profile'!$B$2:$B$61,B1538)</f>
        <v/>
      </c>
      <c r="G1538" s="45">
        <f>MIN(in_takeup_cap,INDEX('Age profile'!$N$2:$N$61,B1538)*(1+in_takeup_growth)^(D1538-1))</f>
        <v/>
      </c>
      <c r="H1538" s="11">
        <f>MIN(in_approval_cap,in_approved_first*INDEX('Age profile'!$O$2:$O$61,B1538)*(1+in_approval_growth)^(D1538-1))</f>
        <v/>
      </c>
      <c r="I1538" s="45">
        <f>G1538*MIN(in_takeup_cap,INDEX('Age profile'!$O$2:$O$61,B1538)*(1+in_approval_growth)^(D1538-1))</f>
        <v/>
      </c>
      <c r="J1538" s="40">
        <f>(J1537-L1537)*F1538/F1537</f>
        <v/>
      </c>
      <c r="K1538" s="40">
        <f>(K1537-M1537)*F1538/F1537+SUMIFS(O1532:O1537,B1532:B1537,B1538-1-d_T)*F1538</f>
        <v/>
      </c>
      <c r="L1538" s="40">
        <f>IF(B1538&gt;=in_marketplace_from,J1538*d_hz*G1538*in_eligible*H1538,0)</f>
        <v/>
      </c>
      <c r="M1538" s="40">
        <f>IF(B1538&gt;=in_marketplace_from,K1538*d_hz*G1538*in_eligible*in_approved_repeat,0)</f>
        <v/>
      </c>
      <c r="N1538" s="40">
        <f>L1538+M1538</f>
        <v/>
      </c>
      <c r="O1538" s="46">
        <f>N1538/F1538</f>
        <v/>
      </c>
      <c r="P1538" s="40">
        <f>F1538-J1538-K1538</f>
        <v/>
      </c>
      <c r="Q1538" s="40">
        <f>IF(B1538&gt;=in_marketplace_from,(J1538+K1538)*d_hz*G1538,0)</f>
        <v/>
      </c>
      <c r="R1538" s="40">
        <f>SUMIFS(N1532:N1555,B1532:B1555,"&gt;="&amp;(B1538-d_T),B1532:B1555,"&lt;="&amp;(B1538-1))</f>
        <v/>
      </c>
      <c r="S1538" s="46">
        <f>(1-d_u)*S1537+IF(d_T&gt;in_topup_lag,SUMIFS(O1532:O1555,B1532:B1555,B1538-in_topup_lag)-d_udrop*SUMIFS(O1532:O1555,B1532:B1555,B1538-d_T),0)</f>
        <v/>
      </c>
      <c r="T1538" s="40">
        <f>F1538*d_u*S1538</f>
        <v/>
      </c>
      <c r="U1538" s="9">
        <f>L1538*in_ticket+M1538*d_rep_ticket</f>
        <v/>
      </c>
      <c r="V1538" s="9">
        <f>U1538+T1538*d_topup_amt</f>
        <v/>
      </c>
      <c r="W1538" s="40">
        <f>N1538+T1538*d_topup_ratio</f>
        <v/>
      </c>
      <c r="X1538" s="40">
        <f>SUMIFS(W1532:W1555,B1532:B1555,B1538-in_dpd_lag)*d_cured</f>
        <v/>
      </c>
      <c r="Y1538" s="40">
        <f>SUMIFS(W1532:W1555,B1532:B1555,B1538-in_rec_lag)*d_recd</f>
        <v/>
      </c>
      <c r="Z1538" s="40">
        <f>IF(AND(B1538&gt;=in_marketplace_from,B1538&lt;in_marketplace_from+in_card_months),in_card_share/in_card_months*F1538*I1538,IF(AND(B1538&gt;=in_marketplace_from+in_card_months,B1538&lt;in_marketplace_from+2*in_card_months),in_card_share*d_card_rem/in_card_months*F1538*MIN(in_takeup_cap,(1+in_takeup_growth)^(D1538-1))*MIN(in_takeup_cap,(1+in_approval_growth)^(D1538-1)),0))</f>
        <v/>
      </c>
      <c r="AA1538" s="14">
        <f>V1538*in_fee*(1-in_taken_back)</f>
        <v/>
      </c>
      <c r="AB1538" s="14">
        <f>SUMIFS(W1532:W1555,B1532:B1555,B1538-in_dpd_lag)*d_dpd</f>
        <v/>
      </c>
      <c r="AC1538" s="14">
        <f>SUMIFS(W1532:W1555,B1532:B1555,B1538-in_rec_lag)*d_rec</f>
        <v/>
      </c>
      <c r="AD1538" s="14">
        <f>Z1538*in_card_fee</f>
        <v/>
      </c>
      <c r="AE1538" s="40">
        <f>AE1537*(1-IF(B1537&gt;=in_marketplace_from,d_hz_hlth_small*G1537,0))</f>
        <v/>
      </c>
      <c r="AF1538" s="46">
        <f>AE1538*IF(B1538&gt;=in_marketplace_from,d_hz_hlth_small*G1538,0)</f>
        <v/>
      </c>
      <c r="AG1538" s="14">
        <f>F1538*AF1538*in_hlth_small_ticket*in_hlth_small_comm*in_ins_partner_share+F1538*in_hlth_small_ticket*in_hlth_small_renew_comm*in_ins_partner_share*(in_hlth_small_renew^1*SUMIFS(AF1532:AF1555,B1532:B1555,B1538-12)+in_hlth_small_renew^2*SUMIFS(AF1532:AF1555,B1532:B1555,B1538-24)+in_hlth_small_renew^3*SUMIFS(AF1532:AF1555,B1532:B1555,B1538-36)+in_hlth_small_renew^4*SUMIFS(AF1532:AF1555,B1532:B1555,B1538-48))</f>
        <v/>
      </c>
      <c r="AH1538" s="40">
        <f>AH1537*(1-IF(B1537&gt;=in_marketplace_from,d_hz_hlth_family*G1537,0))</f>
        <v/>
      </c>
      <c r="AI1538" s="46">
        <f>AH1538*IF(B1538&gt;=in_marketplace_from,d_hz_hlth_family*G1538,0)</f>
        <v/>
      </c>
      <c r="AJ1538" s="14">
        <f>F1538*AI1538*in_hlth_family_ticket*in_hlth_family_comm*in_ins_partner_share+F1538*in_hlth_family_ticket*in_hlth_family_renew_comm*in_ins_partner_share*(in_hlth_family_renew^1*SUMIFS(AI1532:AI1555,B1532:B1555,B1538-12)+in_hlth_family_renew^2*SUMIFS(AI1532:AI1555,B1532:B1555,B1538-24)+in_hlth_family_renew^3*SUMIFS(AI1532:AI1555,B1532:B1555,B1538-36)+in_hlth_family_renew^4*SUMIFS(AI1532:AI1555,B1532:B1555,B1538-48))</f>
        <v/>
      </c>
      <c r="AK1538" s="40">
        <f>AK1537*(1-IF(B1537&gt;=in_marketplace_from,d_hz_life_term*G1537,0))</f>
        <v/>
      </c>
      <c r="AL1538" s="46">
        <f>AK1538*IF(B1538&gt;=in_marketplace_from,d_hz_life_term*G1538,0)</f>
        <v/>
      </c>
      <c r="AM1538" s="14">
        <f>F1538*AL1538*in_life_term_ticket*in_life_term_comm*in_ins_partner_share+F1538*in_life_term_ticket*in_life_term_renew_comm*in_ins_partner_share*(in_life_term_renew^1*SUMIFS(AL1532:AL1555,B1532:B1555,B1538-12)+in_life_term_renew^2*SUMIFS(AL1532:AL1555,B1532:B1555,B1538-24)+in_life_term_renew^3*SUMIFS(AL1532:AL1555,B1532:B1555,B1538-36)+in_life_term_renew^4*SUMIFS(AL1532:AL1555,B1532:B1555,B1538-48))</f>
        <v/>
      </c>
      <c r="AN1538" s="40">
        <f>AN1537*(1-IF(B1537&gt;=in_marketplace_from,d_hz_accident*G1537,0))</f>
        <v/>
      </c>
      <c r="AO1538" s="46">
        <f>AN1538*IF(B1538&gt;=in_marketplace_from,d_hz_accident*G1538,0)</f>
        <v/>
      </c>
      <c r="AP1538" s="14">
        <f>F1538*AO1538*in_accident_ticket*in_accident_comm*in_ins_partner_share+F1538*in_accident_ticket*in_accident_renew_comm*in_ins_partner_share*(in_accident_renew^1*SUMIFS(AO1532:AO1555,B1532:B1555,B1538-12)+in_accident_renew^2*SUMIFS(AO1532:AO1555,B1532:B1555,B1538-24)+in_accident_renew^3*SUMIFS(AO1532:AO1555,B1532:B1555,B1538-36)+in_accident_renew^4*SUMIFS(AO1532:AO1555,B1532:B1555,B1538-48))</f>
        <v/>
      </c>
      <c r="AQ1538" s="40">
        <f>AQ1537*(1-IF(B1537&gt;=in_marketplace_from,d_hz_two_wheeler*G1537,0))</f>
        <v/>
      </c>
      <c r="AR1538" s="46">
        <f>AQ1538*IF(B1538&gt;=in_marketplace_from,d_hz_two_wheeler*G1538,0)</f>
        <v/>
      </c>
      <c r="AS1538" s="14">
        <f>F1538*AR1538*in_two_wheeler_ticket*in_two_wheeler_comm*in_ins_partner_share+F1538*in_two_wheeler_ticket*in_two_wheeler_comm*in_ins_partner_share*(in_two_wheeler_renew^1*SUMIFS(AR1532:AR1555,B1532:B1555,B1538-12)+in_two_wheeler_renew^2*SUMIFS(AR1532:AR1555,B1532:B1555,B1538-24)+in_two_wheeler_renew^3*SUMIFS(AR1532:AR1555,B1532:B1555,B1538-36)+in_two_wheeler_renew^4*SUMIFS(AR1532:AR1555,B1532:B1555,B1538-48))</f>
        <v/>
      </c>
      <c r="AT1538" s="40">
        <f>AT1537*(1-IF(B1537&gt;=in_marketplace_from,d_hz_device*G1537,0))</f>
        <v/>
      </c>
      <c r="AU1538" s="14">
        <f>F1538*AT1538*IF(B1538&gt;=in_marketplace_from,d_hz_device*G1538,0)*in_device_ticket*in_device_comm*in_ins_partner_share</f>
        <v/>
      </c>
      <c r="AV1538" s="40">
        <f>AV1537*(1-IF(B1537&gt;=in_marketplace_from,d_hz_shop*G1537,0))</f>
        <v/>
      </c>
      <c r="AW1538" s="46">
        <f>AV1538*IF(B1538&gt;=in_marketplace_from,d_hz_shop*G1538,0)</f>
        <v/>
      </c>
      <c r="AX1538" s="14">
        <f>F1538*AW1538*in_shop_ticket*in_shop_comm*in_ins_partner_share+F1538*in_shop_ticket*in_shop_renew_comm*in_ins_partner_share*(in_shop_renew^1*SUMIFS(AW1532:AW1555,B1532:B1555,B1538-12)+in_shop_renew^2*SUMIFS(AW1532:AW1555,B1532:B1555,B1538-24)+in_shop_renew^3*SUMIFS(AW1532:AW1555,B1532:B1555,B1538-36)+in_shop_renew^4*SUMIFS(AW1532:AW1555,B1532:B1555,B1538-48))</f>
        <v/>
      </c>
      <c r="AY1538" s="40">
        <f>AY1537*(1-IF(B1537&gt;=in_marketplace_from,d_hz_sip*G1537,0))</f>
        <v/>
      </c>
      <c r="AZ1538" s="40">
        <f>AZ1537*d_rho_sip+AY1538*IF(B1538&gt;=in_marketplace_from,d_hz_sip*G1538,0)</f>
        <v/>
      </c>
      <c r="BA1538" s="40">
        <f>d_rho_sip*(BA1537+AZ1537)</f>
        <v/>
      </c>
      <c r="BB1538" s="14">
        <f>F1538*in_sip_ticket*(BA1538+0.5*AZ1538)*in_sip_comm/12</f>
        <v/>
      </c>
      <c r="BC1538" s="40">
        <f>BC1537*(1-IF(B1537&gt;=in_marketplace_from,d_hz_choti*G1537,0))</f>
        <v/>
      </c>
      <c r="BD1538" s="46">
        <f>BC1538*IF(B1538&gt;=in_marketplace_from,d_hz_choti*G1538,0)</f>
        <v/>
      </c>
      <c r="BE1538" s="14">
        <f>F1538*SUMIFS(BD1532:BD1555,B1532:B1555,B1538-in_choti_months)*in_choti_renew*in_choti_ticket</f>
        <v/>
      </c>
      <c r="BF1538" s="40">
        <f>BF1537*(1-IF(B1537&gt;=in_marketplace_from,d_hz_nps*G1537,0))</f>
        <v/>
      </c>
      <c r="BG1538" s="14">
        <f>F1538*BF1538*IF(B1538&gt;=in_marketplace_from,d_hz_nps*G1538,0)*in_nps_ticket*in_nps_comm</f>
        <v/>
      </c>
      <c r="BH1538" s="40">
        <f>BH1537*(1-IF(B1537&gt;=in_marketplace_from,d_hz_gold*G1537,0))</f>
        <v/>
      </c>
      <c r="BI1538" s="40">
        <f>BI1537*d_rho_gold+BH1538*IF(B1538&gt;=in_marketplace_from,d_hz_gold*G1538,0)</f>
        <v/>
      </c>
      <c r="BJ1538" s="14">
        <f>F1538*BI1538*in_gold_ticket*in_gold_comm</f>
        <v/>
      </c>
      <c r="BK1538" s="40">
        <f>BK1537*(1-IF(B1537&gt;=in_marketplace_from,d_hz_fd*G1537,0))</f>
        <v/>
      </c>
      <c r="BL1538" s="14">
        <f>F1538*BK1538*IF(B1538&gt;=in_marketplace_from,d_hz_fd*G1538,0)*in_fd_ticket*in_fd_comm</f>
        <v/>
      </c>
      <c r="BM1538" s="40">
        <f>BM1537*(1-IF(B1537&gt;=in_marketplace_from,d_hz_recharge*G1537,0))</f>
        <v/>
      </c>
      <c r="BN1538" s="40">
        <f>BN1537*d_rho_recharge+BM1538*IF(B1538&gt;=in_marketplace_from,d_hz_recharge*G1538,0)</f>
        <v/>
      </c>
      <c r="BO1538" s="14">
        <f>F1538*BN1538*in_recharge_ticket*in_recharge_comm/12</f>
        <v/>
      </c>
      <c r="BP1538" s="40">
        <f>BP1537*(1-IF(B1537&gt;=in_marketplace_from,d_hz_bills*G1537,0))</f>
        <v/>
      </c>
      <c r="BQ1538" s="40">
        <f>BQ1537*d_rho_bills+BP1538*IF(B1538&gt;=in_marketplace_from,d_hz_bills*G1538,0)</f>
        <v/>
      </c>
      <c r="BR1538" s="14">
        <f>F1538*BQ1538*in_bills_ticket*in_bills_comm/12</f>
        <v/>
      </c>
      <c r="BS1538" s="40">
        <f>BS1537*(1-IF(B1537&gt;=in_marketplace_from,d_hz_loan_gold*G1537,0))</f>
        <v/>
      </c>
      <c r="BT1538" s="14">
        <f>F1538*BS1538*IF(B1538&gt;=in_marketplace_from,d_hz_loan_gold*G1538,0)*in_loan_gold_ticket*in_loan_gold_comm</f>
        <v/>
      </c>
      <c r="BU1538" s="40">
        <f>BU1537*(1-IF(B1537&gt;=in_marketplace_from,d_hz_loan_cd*G1537,0))</f>
        <v/>
      </c>
      <c r="BV1538" s="14">
        <f>F1538*BU1538*IF(B1538&gt;=in_marketplace_from,d_hz_loan_cd*G1538,0)*in_loan_cd_ticket*in_loan_cd_comm</f>
        <v/>
      </c>
      <c r="BW1538" s="40">
        <f>BW1537*(1-IF(B1537&gt;=in_marketplace_from,d_hz_loan_vehicle*G1537,0))</f>
        <v/>
      </c>
      <c r="BX1538" s="14">
        <f>F1538*BW1538*IF(B1538&gt;=in_marketplace_from,d_hz_loan_vehicle*G1538,0)*in_loan_vehicle_ticket*in_loan_vehicle_comm</f>
        <v/>
      </c>
      <c r="BY1538" s="40">
        <f>BY1537*(1-IF(B1537&gt;=in_marketplace_from,d_hz_loan_home*G1537,0)*BZ1537)</f>
        <v/>
      </c>
      <c r="BZ1538" s="11">
        <f>MIN(in_approval_cap,in_loan_home_approval*INDEX('Age profile'!$O$2:$O$61,B1538)*(1+in_approval_growth)^(D1538-1))</f>
        <v/>
      </c>
      <c r="CA1538" s="14">
        <f>F1538*BY1538*IF(B1538&gt;=in_marketplace_from,d_hz_loan_home*G1538,0)*BZ1538*in_loan_home_ticket*in_loan_home_comm</f>
        <v/>
      </c>
      <c r="CB1538" s="40">
        <f>CB1537*(1-IF(B1537&gt;=in_marketplace_from,d_hz_loan_lap*G1537,0)*CC1537)</f>
        <v/>
      </c>
      <c r="CC1538" s="11">
        <f>MIN(in_approval_cap,in_loan_lap_approval*INDEX('Age profile'!$O$2:$O$61,B1538)*(1+in_approval_growth)^(D1538-1))</f>
        <v/>
      </c>
      <c r="CD1538" s="14">
        <f>F1538*CB1538*IF(B1538&gt;=in_marketplace_from,d_hz_loan_lap*G1538,0)*CC1538*in_loan_lap_ticket*in_loan_lap_comm</f>
        <v/>
      </c>
      <c r="CE1538" s="14">
        <f>AA1538+AB1538+AC1538+AD1538+AG1538+AJ1538+AM1538+AP1538+AS1538+AU1538+AX1538+BB1538+BE1538+BG1538+BJ1538+BL1538+BO1538+BR1538+BT1538+BV1538+BX1538+CA1538+CD1538</f>
        <v/>
      </c>
    </row>
    <row r="1539">
      <c r="A1539" s="39" t="n">
        <v>37</v>
      </c>
      <c r="B1539" s="39" t="n">
        <v>8</v>
      </c>
      <c r="C1539" s="39">
        <f>A1539+B1539-1</f>
        <v/>
      </c>
      <c r="D1539" s="39">
        <f>INT((C1539-1)/12)+1</f>
        <v/>
      </c>
      <c r="E1539" s="44">
        <f>INDEX(Monthly!$B$2:$B$61,A1539)</f>
        <v/>
      </c>
      <c r="F1539" s="44">
        <f>E1539*INDEX('Age profile'!$B$2:$B$61,B1539)</f>
        <v/>
      </c>
      <c r="G1539" s="45">
        <f>MIN(in_takeup_cap,INDEX('Age profile'!$N$2:$N$61,B1539)*(1+in_takeup_growth)^(D1539-1))</f>
        <v/>
      </c>
      <c r="H1539" s="11">
        <f>MIN(in_approval_cap,in_approved_first*INDEX('Age profile'!$O$2:$O$61,B1539)*(1+in_approval_growth)^(D1539-1))</f>
        <v/>
      </c>
      <c r="I1539" s="45">
        <f>G1539*MIN(in_takeup_cap,INDEX('Age profile'!$O$2:$O$61,B1539)*(1+in_approval_growth)^(D1539-1))</f>
        <v/>
      </c>
      <c r="J1539" s="40">
        <f>(J1538-L1538)*F1539/F1538</f>
        <v/>
      </c>
      <c r="K1539" s="40">
        <f>(K1538-M1538)*F1539/F1538+SUMIFS(O1532:O1538,B1532:B1538,B1539-1-d_T)*F1539</f>
        <v/>
      </c>
      <c r="L1539" s="40">
        <f>IF(B1539&gt;=in_marketplace_from,J1539*d_hz*G1539*in_eligible*H1539,0)</f>
        <v/>
      </c>
      <c r="M1539" s="40">
        <f>IF(B1539&gt;=in_marketplace_from,K1539*d_hz*G1539*in_eligible*in_approved_repeat,0)</f>
        <v/>
      </c>
      <c r="N1539" s="40">
        <f>L1539+M1539</f>
        <v/>
      </c>
      <c r="O1539" s="46">
        <f>N1539/F1539</f>
        <v/>
      </c>
      <c r="P1539" s="40">
        <f>F1539-J1539-K1539</f>
        <v/>
      </c>
      <c r="Q1539" s="40">
        <f>IF(B1539&gt;=in_marketplace_from,(J1539+K1539)*d_hz*G1539,0)</f>
        <v/>
      </c>
      <c r="R1539" s="40">
        <f>SUMIFS(N1532:N1555,B1532:B1555,"&gt;="&amp;(B1539-d_T),B1532:B1555,"&lt;="&amp;(B1539-1))</f>
        <v/>
      </c>
      <c r="S1539" s="46">
        <f>(1-d_u)*S1538+IF(d_T&gt;in_topup_lag,SUMIFS(O1532:O1555,B1532:B1555,B1539-in_topup_lag)-d_udrop*SUMIFS(O1532:O1555,B1532:B1555,B1539-d_T),0)</f>
        <v/>
      </c>
      <c r="T1539" s="40">
        <f>F1539*d_u*S1539</f>
        <v/>
      </c>
      <c r="U1539" s="9">
        <f>L1539*in_ticket+M1539*d_rep_ticket</f>
        <v/>
      </c>
      <c r="V1539" s="9">
        <f>U1539+T1539*d_topup_amt</f>
        <v/>
      </c>
      <c r="W1539" s="40">
        <f>N1539+T1539*d_topup_ratio</f>
        <v/>
      </c>
      <c r="X1539" s="40">
        <f>SUMIFS(W1532:W1555,B1532:B1555,B1539-in_dpd_lag)*d_cured</f>
        <v/>
      </c>
      <c r="Y1539" s="40">
        <f>SUMIFS(W1532:W1555,B1532:B1555,B1539-in_rec_lag)*d_recd</f>
        <v/>
      </c>
      <c r="Z1539" s="40">
        <f>IF(AND(B1539&gt;=in_marketplace_from,B1539&lt;in_marketplace_from+in_card_months),in_card_share/in_card_months*F1539*I1539,IF(AND(B1539&gt;=in_marketplace_from+in_card_months,B1539&lt;in_marketplace_from+2*in_card_months),in_card_share*d_card_rem/in_card_months*F1539*MIN(in_takeup_cap,(1+in_takeup_growth)^(D1539-1))*MIN(in_takeup_cap,(1+in_approval_growth)^(D1539-1)),0))</f>
        <v/>
      </c>
      <c r="AA1539" s="14">
        <f>V1539*in_fee*(1-in_taken_back)</f>
        <v/>
      </c>
      <c r="AB1539" s="14">
        <f>SUMIFS(W1532:W1555,B1532:B1555,B1539-in_dpd_lag)*d_dpd</f>
        <v/>
      </c>
      <c r="AC1539" s="14">
        <f>SUMIFS(W1532:W1555,B1532:B1555,B1539-in_rec_lag)*d_rec</f>
        <v/>
      </c>
      <c r="AD1539" s="14">
        <f>Z1539*in_card_fee</f>
        <v/>
      </c>
      <c r="AE1539" s="40">
        <f>AE1538*(1-IF(B1538&gt;=in_marketplace_from,d_hz_hlth_small*G1538,0))</f>
        <v/>
      </c>
      <c r="AF1539" s="46">
        <f>AE1539*IF(B1539&gt;=in_marketplace_from,d_hz_hlth_small*G1539,0)</f>
        <v/>
      </c>
      <c r="AG1539" s="14">
        <f>F1539*AF1539*in_hlth_small_ticket*in_hlth_small_comm*in_ins_partner_share+F1539*in_hlth_small_ticket*in_hlth_small_renew_comm*in_ins_partner_share*(in_hlth_small_renew^1*SUMIFS(AF1532:AF1555,B1532:B1555,B1539-12)+in_hlth_small_renew^2*SUMIFS(AF1532:AF1555,B1532:B1555,B1539-24)+in_hlth_small_renew^3*SUMIFS(AF1532:AF1555,B1532:B1555,B1539-36)+in_hlth_small_renew^4*SUMIFS(AF1532:AF1555,B1532:B1555,B1539-48))</f>
        <v/>
      </c>
      <c r="AH1539" s="40">
        <f>AH1538*(1-IF(B1538&gt;=in_marketplace_from,d_hz_hlth_family*G1538,0))</f>
        <v/>
      </c>
      <c r="AI1539" s="46">
        <f>AH1539*IF(B1539&gt;=in_marketplace_from,d_hz_hlth_family*G1539,0)</f>
        <v/>
      </c>
      <c r="AJ1539" s="14">
        <f>F1539*AI1539*in_hlth_family_ticket*in_hlth_family_comm*in_ins_partner_share+F1539*in_hlth_family_ticket*in_hlth_family_renew_comm*in_ins_partner_share*(in_hlth_family_renew^1*SUMIFS(AI1532:AI1555,B1532:B1555,B1539-12)+in_hlth_family_renew^2*SUMIFS(AI1532:AI1555,B1532:B1555,B1539-24)+in_hlth_family_renew^3*SUMIFS(AI1532:AI1555,B1532:B1555,B1539-36)+in_hlth_family_renew^4*SUMIFS(AI1532:AI1555,B1532:B1555,B1539-48))</f>
        <v/>
      </c>
      <c r="AK1539" s="40">
        <f>AK1538*(1-IF(B1538&gt;=in_marketplace_from,d_hz_life_term*G1538,0))</f>
        <v/>
      </c>
      <c r="AL1539" s="46">
        <f>AK1539*IF(B1539&gt;=in_marketplace_from,d_hz_life_term*G1539,0)</f>
        <v/>
      </c>
      <c r="AM1539" s="14">
        <f>F1539*AL1539*in_life_term_ticket*in_life_term_comm*in_ins_partner_share+F1539*in_life_term_ticket*in_life_term_renew_comm*in_ins_partner_share*(in_life_term_renew^1*SUMIFS(AL1532:AL1555,B1532:B1555,B1539-12)+in_life_term_renew^2*SUMIFS(AL1532:AL1555,B1532:B1555,B1539-24)+in_life_term_renew^3*SUMIFS(AL1532:AL1555,B1532:B1555,B1539-36)+in_life_term_renew^4*SUMIFS(AL1532:AL1555,B1532:B1555,B1539-48))</f>
        <v/>
      </c>
      <c r="AN1539" s="40">
        <f>AN1538*(1-IF(B1538&gt;=in_marketplace_from,d_hz_accident*G1538,0))</f>
        <v/>
      </c>
      <c r="AO1539" s="46">
        <f>AN1539*IF(B1539&gt;=in_marketplace_from,d_hz_accident*G1539,0)</f>
        <v/>
      </c>
      <c r="AP1539" s="14">
        <f>F1539*AO1539*in_accident_ticket*in_accident_comm*in_ins_partner_share+F1539*in_accident_ticket*in_accident_renew_comm*in_ins_partner_share*(in_accident_renew^1*SUMIFS(AO1532:AO1555,B1532:B1555,B1539-12)+in_accident_renew^2*SUMIFS(AO1532:AO1555,B1532:B1555,B1539-24)+in_accident_renew^3*SUMIFS(AO1532:AO1555,B1532:B1555,B1539-36)+in_accident_renew^4*SUMIFS(AO1532:AO1555,B1532:B1555,B1539-48))</f>
        <v/>
      </c>
      <c r="AQ1539" s="40">
        <f>AQ1538*(1-IF(B1538&gt;=in_marketplace_from,d_hz_two_wheeler*G1538,0))</f>
        <v/>
      </c>
      <c r="AR1539" s="46">
        <f>AQ1539*IF(B1539&gt;=in_marketplace_from,d_hz_two_wheeler*G1539,0)</f>
        <v/>
      </c>
      <c r="AS1539" s="14">
        <f>F1539*AR1539*in_two_wheeler_ticket*in_two_wheeler_comm*in_ins_partner_share+F1539*in_two_wheeler_ticket*in_two_wheeler_comm*in_ins_partner_share*(in_two_wheeler_renew^1*SUMIFS(AR1532:AR1555,B1532:B1555,B1539-12)+in_two_wheeler_renew^2*SUMIFS(AR1532:AR1555,B1532:B1555,B1539-24)+in_two_wheeler_renew^3*SUMIFS(AR1532:AR1555,B1532:B1555,B1539-36)+in_two_wheeler_renew^4*SUMIFS(AR1532:AR1555,B1532:B1555,B1539-48))</f>
        <v/>
      </c>
      <c r="AT1539" s="40">
        <f>AT1538*(1-IF(B1538&gt;=in_marketplace_from,d_hz_device*G1538,0))</f>
        <v/>
      </c>
      <c r="AU1539" s="14">
        <f>F1539*AT1539*IF(B1539&gt;=in_marketplace_from,d_hz_device*G1539,0)*in_device_ticket*in_device_comm*in_ins_partner_share</f>
        <v/>
      </c>
      <c r="AV1539" s="40">
        <f>AV1538*(1-IF(B1538&gt;=in_marketplace_from,d_hz_shop*G1538,0))</f>
        <v/>
      </c>
      <c r="AW1539" s="46">
        <f>AV1539*IF(B1539&gt;=in_marketplace_from,d_hz_shop*G1539,0)</f>
        <v/>
      </c>
      <c r="AX1539" s="14">
        <f>F1539*AW1539*in_shop_ticket*in_shop_comm*in_ins_partner_share+F1539*in_shop_ticket*in_shop_renew_comm*in_ins_partner_share*(in_shop_renew^1*SUMIFS(AW1532:AW1555,B1532:B1555,B1539-12)+in_shop_renew^2*SUMIFS(AW1532:AW1555,B1532:B1555,B1539-24)+in_shop_renew^3*SUMIFS(AW1532:AW1555,B1532:B1555,B1539-36)+in_shop_renew^4*SUMIFS(AW1532:AW1555,B1532:B1555,B1539-48))</f>
        <v/>
      </c>
      <c r="AY1539" s="40">
        <f>AY1538*(1-IF(B1538&gt;=in_marketplace_from,d_hz_sip*G1538,0))</f>
        <v/>
      </c>
      <c r="AZ1539" s="40">
        <f>AZ1538*d_rho_sip+AY1539*IF(B1539&gt;=in_marketplace_from,d_hz_sip*G1539,0)</f>
        <v/>
      </c>
      <c r="BA1539" s="40">
        <f>d_rho_sip*(BA1538+AZ1538)</f>
        <v/>
      </c>
      <c r="BB1539" s="14">
        <f>F1539*in_sip_ticket*(BA1539+0.5*AZ1539)*in_sip_comm/12</f>
        <v/>
      </c>
      <c r="BC1539" s="40">
        <f>BC1538*(1-IF(B1538&gt;=in_marketplace_from,d_hz_choti*G1538,0))</f>
        <v/>
      </c>
      <c r="BD1539" s="46">
        <f>BC1539*IF(B1539&gt;=in_marketplace_from,d_hz_choti*G1539,0)</f>
        <v/>
      </c>
      <c r="BE1539" s="14">
        <f>F1539*SUMIFS(BD1532:BD1555,B1532:B1555,B1539-in_choti_months)*in_choti_renew*in_choti_ticket</f>
        <v/>
      </c>
      <c r="BF1539" s="40">
        <f>BF1538*(1-IF(B1538&gt;=in_marketplace_from,d_hz_nps*G1538,0))</f>
        <v/>
      </c>
      <c r="BG1539" s="14">
        <f>F1539*BF1539*IF(B1539&gt;=in_marketplace_from,d_hz_nps*G1539,0)*in_nps_ticket*in_nps_comm</f>
        <v/>
      </c>
      <c r="BH1539" s="40">
        <f>BH1538*(1-IF(B1538&gt;=in_marketplace_from,d_hz_gold*G1538,0))</f>
        <v/>
      </c>
      <c r="BI1539" s="40">
        <f>BI1538*d_rho_gold+BH1539*IF(B1539&gt;=in_marketplace_from,d_hz_gold*G1539,0)</f>
        <v/>
      </c>
      <c r="BJ1539" s="14">
        <f>F1539*BI1539*in_gold_ticket*in_gold_comm</f>
        <v/>
      </c>
      <c r="BK1539" s="40">
        <f>BK1538*(1-IF(B1538&gt;=in_marketplace_from,d_hz_fd*G1538,0))</f>
        <v/>
      </c>
      <c r="BL1539" s="14">
        <f>F1539*BK1539*IF(B1539&gt;=in_marketplace_from,d_hz_fd*G1539,0)*in_fd_ticket*in_fd_comm</f>
        <v/>
      </c>
      <c r="BM1539" s="40">
        <f>BM1538*(1-IF(B1538&gt;=in_marketplace_from,d_hz_recharge*G1538,0))</f>
        <v/>
      </c>
      <c r="BN1539" s="40">
        <f>BN1538*d_rho_recharge+BM1539*IF(B1539&gt;=in_marketplace_from,d_hz_recharge*G1539,0)</f>
        <v/>
      </c>
      <c r="BO1539" s="14">
        <f>F1539*BN1539*in_recharge_ticket*in_recharge_comm/12</f>
        <v/>
      </c>
      <c r="BP1539" s="40">
        <f>BP1538*(1-IF(B1538&gt;=in_marketplace_from,d_hz_bills*G1538,0))</f>
        <v/>
      </c>
      <c r="BQ1539" s="40">
        <f>BQ1538*d_rho_bills+BP1539*IF(B1539&gt;=in_marketplace_from,d_hz_bills*G1539,0)</f>
        <v/>
      </c>
      <c r="BR1539" s="14">
        <f>F1539*BQ1539*in_bills_ticket*in_bills_comm/12</f>
        <v/>
      </c>
      <c r="BS1539" s="40">
        <f>BS1538*(1-IF(B1538&gt;=in_marketplace_from,d_hz_loan_gold*G1538,0))</f>
        <v/>
      </c>
      <c r="BT1539" s="14">
        <f>F1539*BS1539*IF(B1539&gt;=in_marketplace_from,d_hz_loan_gold*G1539,0)*in_loan_gold_ticket*in_loan_gold_comm</f>
        <v/>
      </c>
      <c r="BU1539" s="40">
        <f>BU1538*(1-IF(B1538&gt;=in_marketplace_from,d_hz_loan_cd*G1538,0))</f>
        <v/>
      </c>
      <c r="BV1539" s="14">
        <f>F1539*BU1539*IF(B1539&gt;=in_marketplace_from,d_hz_loan_cd*G1539,0)*in_loan_cd_ticket*in_loan_cd_comm</f>
        <v/>
      </c>
      <c r="BW1539" s="40">
        <f>BW1538*(1-IF(B1538&gt;=in_marketplace_from,d_hz_loan_vehicle*G1538,0))</f>
        <v/>
      </c>
      <c r="BX1539" s="14">
        <f>F1539*BW1539*IF(B1539&gt;=in_marketplace_from,d_hz_loan_vehicle*G1539,0)*in_loan_vehicle_ticket*in_loan_vehicle_comm</f>
        <v/>
      </c>
      <c r="BY1539" s="40">
        <f>BY1538*(1-IF(B1538&gt;=in_marketplace_from,d_hz_loan_home*G1538,0)*BZ1538)</f>
        <v/>
      </c>
      <c r="BZ1539" s="11">
        <f>MIN(in_approval_cap,in_loan_home_approval*INDEX('Age profile'!$O$2:$O$61,B1539)*(1+in_approval_growth)^(D1539-1))</f>
        <v/>
      </c>
      <c r="CA1539" s="14">
        <f>F1539*BY1539*IF(B1539&gt;=in_marketplace_from,d_hz_loan_home*G1539,0)*BZ1539*in_loan_home_ticket*in_loan_home_comm</f>
        <v/>
      </c>
      <c r="CB1539" s="40">
        <f>CB1538*(1-IF(B1538&gt;=in_marketplace_from,d_hz_loan_lap*G1538,0)*CC1538)</f>
        <v/>
      </c>
      <c r="CC1539" s="11">
        <f>MIN(in_approval_cap,in_loan_lap_approval*INDEX('Age profile'!$O$2:$O$61,B1539)*(1+in_approval_growth)^(D1539-1))</f>
        <v/>
      </c>
      <c r="CD1539" s="14">
        <f>F1539*CB1539*IF(B1539&gt;=in_marketplace_from,d_hz_loan_lap*G1539,0)*CC1539*in_loan_lap_ticket*in_loan_lap_comm</f>
        <v/>
      </c>
      <c r="CE1539" s="14">
        <f>AA1539+AB1539+AC1539+AD1539+AG1539+AJ1539+AM1539+AP1539+AS1539+AU1539+AX1539+BB1539+BE1539+BG1539+BJ1539+BL1539+BO1539+BR1539+BT1539+BV1539+BX1539+CA1539+CD1539</f>
        <v/>
      </c>
    </row>
    <row r="1540">
      <c r="A1540" s="39" t="n">
        <v>37</v>
      </c>
      <c r="B1540" s="39" t="n">
        <v>9</v>
      </c>
      <c r="C1540" s="39">
        <f>A1540+B1540-1</f>
        <v/>
      </c>
      <c r="D1540" s="39">
        <f>INT((C1540-1)/12)+1</f>
        <v/>
      </c>
      <c r="E1540" s="44">
        <f>INDEX(Monthly!$B$2:$B$61,A1540)</f>
        <v/>
      </c>
      <c r="F1540" s="44">
        <f>E1540*INDEX('Age profile'!$B$2:$B$61,B1540)</f>
        <v/>
      </c>
      <c r="G1540" s="45">
        <f>MIN(in_takeup_cap,INDEX('Age profile'!$N$2:$N$61,B1540)*(1+in_takeup_growth)^(D1540-1))</f>
        <v/>
      </c>
      <c r="H1540" s="11">
        <f>MIN(in_approval_cap,in_approved_first*INDEX('Age profile'!$O$2:$O$61,B1540)*(1+in_approval_growth)^(D1540-1))</f>
        <v/>
      </c>
      <c r="I1540" s="45">
        <f>G1540*MIN(in_takeup_cap,INDEX('Age profile'!$O$2:$O$61,B1540)*(1+in_approval_growth)^(D1540-1))</f>
        <v/>
      </c>
      <c r="J1540" s="40">
        <f>(J1539-L1539)*F1540/F1539</f>
        <v/>
      </c>
      <c r="K1540" s="40">
        <f>(K1539-M1539)*F1540/F1539+SUMIFS(O1532:O1539,B1532:B1539,B1540-1-d_T)*F1540</f>
        <v/>
      </c>
      <c r="L1540" s="40">
        <f>IF(B1540&gt;=in_marketplace_from,J1540*d_hz*G1540*in_eligible*H1540,0)</f>
        <v/>
      </c>
      <c r="M1540" s="40">
        <f>IF(B1540&gt;=in_marketplace_from,K1540*d_hz*G1540*in_eligible*in_approved_repeat,0)</f>
        <v/>
      </c>
      <c r="N1540" s="40">
        <f>L1540+M1540</f>
        <v/>
      </c>
      <c r="O1540" s="46">
        <f>N1540/F1540</f>
        <v/>
      </c>
      <c r="P1540" s="40">
        <f>F1540-J1540-K1540</f>
        <v/>
      </c>
      <c r="Q1540" s="40">
        <f>IF(B1540&gt;=in_marketplace_from,(J1540+K1540)*d_hz*G1540,0)</f>
        <v/>
      </c>
      <c r="R1540" s="40">
        <f>SUMIFS(N1532:N1555,B1532:B1555,"&gt;="&amp;(B1540-d_T),B1532:B1555,"&lt;="&amp;(B1540-1))</f>
        <v/>
      </c>
      <c r="S1540" s="46">
        <f>(1-d_u)*S1539+IF(d_T&gt;in_topup_lag,SUMIFS(O1532:O1555,B1532:B1555,B1540-in_topup_lag)-d_udrop*SUMIFS(O1532:O1555,B1532:B1555,B1540-d_T),0)</f>
        <v/>
      </c>
      <c r="T1540" s="40">
        <f>F1540*d_u*S1540</f>
        <v/>
      </c>
      <c r="U1540" s="9">
        <f>L1540*in_ticket+M1540*d_rep_ticket</f>
        <v/>
      </c>
      <c r="V1540" s="9">
        <f>U1540+T1540*d_topup_amt</f>
        <v/>
      </c>
      <c r="W1540" s="40">
        <f>N1540+T1540*d_topup_ratio</f>
        <v/>
      </c>
      <c r="X1540" s="40">
        <f>SUMIFS(W1532:W1555,B1532:B1555,B1540-in_dpd_lag)*d_cured</f>
        <v/>
      </c>
      <c r="Y1540" s="40">
        <f>SUMIFS(W1532:W1555,B1532:B1555,B1540-in_rec_lag)*d_recd</f>
        <v/>
      </c>
      <c r="Z1540" s="40">
        <f>IF(AND(B1540&gt;=in_marketplace_from,B1540&lt;in_marketplace_from+in_card_months),in_card_share/in_card_months*F1540*I1540,IF(AND(B1540&gt;=in_marketplace_from+in_card_months,B1540&lt;in_marketplace_from+2*in_card_months),in_card_share*d_card_rem/in_card_months*F1540*MIN(in_takeup_cap,(1+in_takeup_growth)^(D1540-1))*MIN(in_takeup_cap,(1+in_approval_growth)^(D1540-1)),0))</f>
        <v/>
      </c>
      <c r="AA1540" s="14">
        <f>V1540*in_fee*(1-in_taken_back)</f>
        <v/>
      </c>
      <c r="AB1540" s="14">
        <f>SUMIFS(W1532:W1555,B1532:B1555,B1540-in_dpd_lag)*d_dpd</f>
        <v/>
      </c>
      <c r="AC1540" s="14">
        <f>SUMIFS(W1532:W1555,B1532:B1555,B1540-in_rec_lag)*d_rec</f>
        <v/>
      </c>
      <c r="AD1540" s="14">
        <f>Z1540*in_card_fee</f>
        <v/>
      </c>
      <c r="AE1540" s="40">
        <f>AE1539*(1-IF(B1539&gt;=in_marketplace_from,d_hz_hlth_small*G1539,0))</f>
        <v/>
      </c>
      <c r="AF1540" s="46">
        <f>AE1540*IF(B1540&gt;=in_marketplace_from,d_hz_hlth_small*G1540,0)</f>
        <v/>
      </c>
      <c r="AG1540" s="14">
        <f>F1540*AF1540*in_hlth_small_ticket*in_hlth_small_comm*in_ins_partner_share+F1540*in_hlth_small_ticket*in_hlth_small_renew_comm*in_ins_partner_share*(in_hlth_small_renew^1*SUMIFS(AF1532:AF1555,B1532:B1555,B1540-12)+in_hlth_small_renew^2*SUMIFS(AF1532:AF1555,B1532:B1555,B1540-24)+in_hlth_small_renew^3*SUMIFS(AF1532:AF1555,B1532:B1555,B1540-36)+in_hlth_small_renew^4*SUMIFS(AF1532:AF1555,B1532:B1555,B1540-48))</f>
        <v/>
      </c>
      <c r="AH1540" s="40">
        <f>AH1539*(1-IF(B1539&gt;=in_marketplace_from,d_hz_hlth_family*G1539,0))</f>
        <v/>
      </c>
      <c r="AI1540" s="46">
        <f>AH1540*IF(B1540&gt;=in_marketplace_from,d_hz_hlth_family*G1540,0)</f>
        <v/>
      </c>
      <c r="AJ1540" s="14">
        <f>F1540*AI1540*in_hlth_family_ticket*in_hlth_family_comm*in_ins_partner_share+F1540*in_hlth_family_ticket*in_hlth_family_renew_comm*in_ins_partner_share*(in_hlth_family_renew^1*SUMIFS(AI1532:AI1555,B1532:B1555,B1540-12)+in_hlth_family_renew^2*SUMIFS(AI1532:AI1555,B1532:B1555,B1540-24)+in_hlth_family_renew^3*SUMIFS(AI1532:AI1555,B1532:B1555,B1540-36)+in_hlth_family_renew^4*SUMIFS(AI1532:AI1555,B1532:B1555,B1540-48))</f>
        <v/>
      </c>
      <c r="AK1540" s="40">
        <f>AK1539*(1-IF(B1539&gt;=in_marketplace_from,d_hz_life_term*G1539,0))</f>
        <v/>
      </c>
      <c r="AL1540" s="46">
        <f>AK1540*IF(B1540&gt;=in_marketplace_from,d_hz_life_term*G1540,0)</f>
        <v/>
      </c>
      <c r="AM1540" s="14">
        <f>F1540*AL1540*in_life_term_ticket*in_life_term_comm*in_ins_partner_share+F1540*in_life_term_ticket*in_life_term_renew_comm*in_ins_partner_share*(in_life_term_renew^1*SUMIFS(AL1532:AL1555,B1532:B1555,B1540-12)+in_life_term_renew^2*SUMIFS(AL1532:AL1555,B1532:B1555,B1540-24)+in_life_term_renew^3*SUMIFS(AL1532:AL1555,B1532:B1555,B1540-36)+in_life_term_renew^4*SUMIFS(AL1532:AL1555,B1532:B1555,B1540-48))</f>
        <v/>
      </c>
      <c r="AN1540" s="40">
        <f>AN1539*(1-IF(B1539&gt;=in_marketplace_from,d_hz_accident*G1539,0))</f>
        <v/>
      </c>
      <c r="AO1540" s="46">
        <f>AN1540*IF(B1540&gt;=in_marketplace_from,d_hz_accident*G1540,0)</f>
        <v/>
      </c>
      <c r="AP1540" s="14">
        <f>F1540*AO1540*in_accident_ticket*in_accident_comm*in_ins_partner_share+F1540*in_accident_ticket*in_accident_renew_comm*in_ins_partner_share*(in_accident_renew^1*SUMIFS(AO1532:AO1555,B1532:B1555,B1540-12)+in_accident_renew^2*SUMIFS(AO1532:AO1555,B1532:B1555,B1540-24)+in_accident_renew^3*SUMIFS(AO1532:AO1555,B1532:B1555,B1540-36)+in_accident_renew^4*SUMIFS(AO1532:AO1555,B1532:B1555,B1540-48))</f>
        <v/>
      </c>
      <c r="AQ1540" s="40">
        <f>AQ1539*(1-IF(B1539&gt;=in_marketplace_from,d_hz_two_wheeler*G1539,0))</f>
        <v/>
      </c>
      <c r="AR1540" s="46">
        <f>AQ1540*IF(B1540&gt;=in_marketplace_from,d_hz_two_wheeler*G1540,0)</f>
        <v/>
      </c>
      <c r="AS1540" s="14">
        <f>F1540*AR1540*in_two_wheeler_ticket*in_two_wheeler_comm*in_ins_partner_share+F1540*in_two_wheeler_ticket*in_two_wheeler_comm*in_ins_partner_share*(in_two_wheeler_renew^1*SUMIFS(AR1532:AR1555,B1532:B1555,B1540-12)+in_two_wheeler_renew^2*SUMIFS(AR1532:AR1555,B1532:B1555,B1540-24)+in_two_wheeler_renew^3*SUMIFS(AR1532:AR1555,B1532:B1555,B1540-36)+in_two_wheeler_renew^4*SUMIFS(AR1532:AR1555,B1532:B1555,B1540-48))</f>
        <v/>
      </c>
      <c r="AT1540" s="40">
        <f>AT1539*(1-IF(B1539&gt;=in_marketplace_from,d_hz_device*G1539,0))</f>
        <v/>
      </c>
      <c r="AU1540" s="14">
        <f>F1540*AT1540*IF(B1540&gt;=in_marketplace_from,d_hz_device*G1540,0)*in_device_ticket*in_device_comm*in_ins_partner_share</f>
        <v/>
      </c>
      <c r="AV1540" s="40">
        <f>AV1539*(1-IF(B1539&gt;=in_marketplace_from,d_hz_shop*G1539,0))</f>
        <v/>
      </c>
      <c r="AW1540" s="46">
        <f>AV1540*IF(B1540&gt;=in_marketplace_from,d_hz_shop*G1540,0)</f>
        <v/>
      </c>
      <c r="AX1540" s="14">
        <f>F1540*AW1540*in_shop_ticket*in_shop_comm*in_ins_partner_share+F1540*in_shop_ticket*in_shop_renew_comm*in_ins_partner_share*(in_shop_renew^1*SUMIFS(AW1532:AW1555,B1532:B1555,B1540-12)+in_shop_renew^2*SUMIFS(AW1532:AW1555,B1532:B1555,B1540-24)+in_shop_renew^3*SUMIFS(AW1532:AW1555,B1532:B1555,B1540-36)+in_shop_renew^4*SUMIFS(AW1532:AW1555,B1532:B1555,B1540-48))</f>
        <v/>
      </c>
      <c r="AY1540" s="40">
        <f>AY1539*(1-IF(B1539&gt;=in_marketplace_from,d_hz_sip*G1539,0))</f>
        <v/>
      </c>
      <c r="AZ1540" s="40">
        <f>AZ1539*d_rho_sip+AY1540*IF(B1540&gt;=in_marketplace_from,d_hz_sip*G1540,0)</f>
        <v/>
      </c>
      <c r="BA1540" s="40">
        <f>d_rho_sip*(BA1539+AZ1539)</f>
        <v/>
      </c>
      <c r="BB1540" s="14">
        <f>F1540*in_sip_ticket*(BA1540+0.5*AZ1540)*in_sip_comm/12</f>
        <v/>
      </c>
      <c r="BC1540" s="40">
        <f>BC1539*(1-IF(B1539&gt;=in_marketplace_from,d_hz_choti*G1539,0))</f>
        <v/>
      </c>
      <c r="BD1540" s="46">
        <f>BC1540*IF(B1540&gt;=in_marketplace_from,d_hz_choti*G1540,0)</f>
        <v/>
      </c>
      <c r="BE1540" s="14">
        <f>F1540*SUMIFS(BD1532:BD1555,B1532:B1555,B1540-in_choti_months)*in_choti_renew*in_choti_ticket</f>
        <v/>
      </c>
      <c r="BF1540" s="40">
        <f>BF1539*(1-IF(B1539&gt;=in_marketplace_from,d_hz_nps*G1539,0))</f>
        <v/>
      </c>
      <c r="BG1540" s="14">
        <f>F1540*BF1540*IF(B1540&gt;=in_marketplace_from,d_hz_nps*G1540,0)*in_nps_ticket*in_nps_comm</f>
        <v/>
      </c>
      <c r="BH1540" s="40">
        <f>BH1539*(1-IF(B1539&gt;=in_marketplace_from,d_hz_gold*G1539,0))</f>
        <v/>
      </c>
      <c r="BI1540" s="40">
        <f>BI1539*d_rho_gold+BH1540*IF(B1540&gt;=in_marketplace_from,d_hz_gold*G1540,0)</f>
        <v/>
      </c>
      <c r="BJ1540" s="14">
        <f>F1540*BI1540*in_gold_ticket*in_gold_comm</f>
        <v/>
      </c>
      <c r="BK1540" s="40">
        <f>BK1539*(1-IF(B1539&gt;=in_marketplace_from,d_hz_fd*G1539,0))</f>
        <v/>
      </c>
      <c r="BL1540" s="14">
        <f>F1540*BK1540*IF(B1540&gt;=in_marketplace_from,d_hz_fd*G1540,0)*in_fd_ticket*in_fd_comm</f>
        <v/>
      </c>
      <c r="BM1540" s="40">
        <f>BM1539*(1-IF(B1539&gt;=in_marketplace_from,d_hz_recharge*G1539,0))</f>
        <v/>
      </c>
      <c r="BN1540" s="40">
        <f>BN1539*d_rho_recharge+BM1540*IF(B1540&gt;=in_marketplace_from,d_hz_recharge*G1540,0)</f>
        <v/>
      </c>
      <c r="BO1540" s="14">
        <f>F1540*BN1540*in_recharge_ticket*in_recharge_comm/12</f>
        <v/>
      </c>
      <c r="BP1540" s="40">
        <f>BP1539*(1-IF(B1539&gt;=in_marketplace_from,d_hz_bills*G1539,0))</f>
        <v/>
      </c>
      <c r="BQ1540" s="40">
        <f>BQ1539*d_rho_bills+BP1540*IF(B1540&gt;=in_marketplace_from,d_hz_bills*G1540,0)</f>
        <v/>
      </c>
      <c r="BR1540" s="14">
        <f>F1540*BQ1540*in_bills_ticket*in_bills_comm/12</f>
        <v/>
      </c>
      <c r="BS1540" s="40">
        <f>BS1539*(1-IF(B1539&gt;=in_marketplace_from,d_hz_loan_gold*G1539,0))</f>
        <v/>
      </c>
      <c r="BT1540" s="14">
        <f>F1540*BS1540*IF(B1540&gt;=in_marketplace_from,d_hz_loan_gold*G1540,0)*in_loan_gold_ticket*in_loan_gold_comm</f>
        <v/>
      </c>
      <c r="BU1540" s="40">
        <f>BU1539*(1-IF(B1539&gt;=in_marketplace_from,d_hz_loan_cd*G1539,0))</f>
        <v/>
      </c>
      <c r="BV1540" s="14">
        <f>F1540*BU1540*IF(B1540&gt;=in_marketplace_from,d_hz_loan_cd*G1540,0)*in_loan_cd_ticket*in_loan_cd_comm</f>
        <v/>
      </c>
      <c r="BW1540" s="40">
        <f>BW1539*(1-IF(B1539&gt;=in_marketplace_from,d_hz_loan_vehicle*G1539,0))</f>
        <v/>
      </c>
      <c r="BX1540" s="14">
        <f>F1540*BW1540*IF(B1540&gt;=in_marketplace_from,d_hz_loan_vehicle*G1540,0)*in_loan_vehicle_ticket*in_loan_vehicle_comm</f>
        <v/>
      </c>
      <c r="BY1540" s="40">
        <f>BY1539*(1-IF(B1539&gt;=in_marketplace_from,d_hz_loan_home*G1539,0)*BZ1539)</f>
        <v/>
      </c>
      <c r="BZ1540" s="11">
        <f>MIN(in_approval_cap,in_loan_home_approval*INDEX('Age profile'!$O$2:$O$61,B1540)*(1+in_approval_growth)^(D1540-1))</f>
        <v/>
      </c>
      <c r="CA1540" s="14">
        <f>F1540*BY1540*IF(B1540&gt;=in_marketplace_from,d_hz_loan_home*G1540,0)*BZ1540*in_loan_home_ticket*in_loan_home_comm</f>
        <v/>
      </c>
      <c r="CB1540" s="40">
        <f>CB1539*(1-IF(B1539&gt;=in_marketplace_from,d_hz_loan_lap*G1539,0)*CC1539)</f>
        <v/>
      </c>
      <c r="CC1540" s="11">
        <f>MIN(in_approval_cap,in_loan_lap_approval*INDEX('Age profile'!$O$2:$O$61,B1540)*(1+in_approval_growth)^(D1540-1))</f>
        <v/>
      </c>
      <c r="CD1540" s="14">
        <f>F1540*CB1540*IF(B1540&gt;=in_marketplace_from,d_hz_loan_lap*G1540,0)*CC1540*in_loan_lap_ticket*in_loan_lap_comm</f>
        <v/>
      </c>
      <c r="CE1540" s="14">
        <f>AA1540+AB1540+AC1540+AD1540+AG1540+AJ1540+AM1540+AP1540+AS1540+AU1540+AX1540+BB1540+BE1540+BG1540+BJ1540+BL1540+BO1540+BR1540+BT1540+BV1540+BX1540+CA1540+CD1540</f>
        <v/>
      </c>
    </row>
    <row r="1541">
      <c r="A1541" s="39" t="n">
        <v>37</v>
      </c>
      <c r="B1541" s="39" t="n">
        <v>10</v>
      </c>
      <c r="C1541" s="39">
        <f>A1541+B1541-1</f>
        <v/>
      </c>
      <c r="D1541" s="39">
        <f>INT((C1541-1)/12)+1</f>
        <v/>
      </c>
      <c r="E1541" s="44">
        <f>INDEX(Monthly!$B$2:$B$61,A1541)</f>
        <v/>
      </c>
      <c r="F1541" s="44">
        <f>E1541*INDEX('Age profile'!$B$2:$B$61,B1541)</f>
        <v/>
      </c>
      <c r="G1541" s="45">
        <f>MIN(in_takeup_cap,INDEX('Age profile'!$N$2:$N$61,B1541)*(1+in_takeup_growth)^(D1541-1))</f>
        <v/>
      </c>
      <c r="H1541" s="11">
        <f>MIN(in_approval_cap,in_approved_first*INDEX('Age profile'!$O$2:$O$61,B1541)*(1+in_approval_growth)^(D1541-1))</f>
        <v/>
      </c>
      <c r="I1541" s="45">
        <f>G1541*MIN(in_takeup_cap,INDEX('Age profile'!$O$2:$O$61,B1541)*(1+in_approval_growth)^(D1541-1))</f>
        <v/>
      </c>
      <c r="J1541" s="40">
        <f>(J1540-L1540)*F1541/F1540</f>
        <v/>
      </c>
      <c r="K1541" s="40">
        <f>(K1540-M1540)*F1541/F1540+SUMIFS(O1532:O1540,B1532:B1540,B1541-1-d_T)*F1541</f>
        <v/>
      </c>
      <c r="L1541" s="40">
        <f>IF(B1541&gt;=in_marketplace_from,J1541*d_hz*G1541*in_eligible*H1541,0)</f>
        <v/>
      </c>
      <c r="M1541" s="40">
        <f>IF(B1541&gt;=in_marketplace_from,K1541*d_hz*G1541*in_eligible*in_approved_repeat,0)</f>
        <v/>
      </c>
      <c r="N1541" s="40">
        <f>L1541+M1541</f>
        <v/>
      </c>
      <c r="O1541" s="46">
        <f>N1541/F1541</f>
        <v/>
      </c>
      <c r="P1541" s="40">
        <f>F1541-J1541-K1541</f>
        <v/>
      </c>
      <c r="Q1541" s="40">
        <f>IF(B1541&gt;=in_marketplace_from,(J1541+K1541)*d_hz*G1541,0)</f>
        <v/>
      </c>
      <c r="R1541" s="40">
        <f>SUMIFS(N1532:N1555,B1532:B1555,"&gt;="&amp;(B1541-d_T),B1532:B1555,"&lt;="&amp;(B1541-1))</f>
        <v/>
      </c>
      <c r="S1541" s="46">
        <f>(1-d_u)*S1540+IF(d_T&gt;in_topup_lag,SUMIFS(O1532:O1555,B1532:B1555,B1541-in_topup_lag)-d_udrop*SUMIFS(O1532:O1555,B1532:B1555,B1541-d_T),0)</f>
        <v/>
      </c>
      <c r="T1541" s="40">
        <f>F1541*d_u*S1541</f>
        <v/>
      </c>
      <c r="U1541" s="9">
        <f>L1541*in_ticket+M1541*d_rep_ticket</f>
        <v/>
      </c>
      <c r="V1541" s="9">
        <f>U1541+T1541*d_topup_amt</f>
        <v/>
      </c>
      <c r="W1541" s="40">
        <f>N1541+T1541*d_topup_ratio</f>
        <v/>
      </c>
      <c r="X1541" s="40">
        <f>SUMIFS(W1532:W1555,B1532:B1555,B1541-in_dpd_lag)*d_cured</f>
        <v/>
      </c>
      <c r="Y1541" s="40">
        <f>SUMIFS(W1532:W1555,B1532:B1555,B1541-in_rec_lag)*d_recd</f>
        <v/>
      </c>
      <c r="Z1541" s="40">
        <f>IF(AND(B1541&gt;=in_marketplace_from,B1541&lt;in_marketplace_from+in_card_months),in_card_share/in_card_months*F1541*I1541,IF(AND(B1541&gt;=in_marketplace_from+in_card_months,B1541&lt;in_marketplace_from+2*in_card_months),in_card_share*d_card_rem/in_card_months*F1541*MIN(in_takeup_cap,(1+in_takeup_growth)^(D1541-1))*MIN(in_takeup_cap,(1+in_approval_growth)^(D1541-1)),0))</f>
        <v/>
      </c>
      <c r="AA1541" s="14">
        <f>V1541*in_fee*(1-in_taken_back)</f>
        <v/>
      </c>
      <c r="AB1541" s="14">
        <f>SUMIFS(W1532:W1555,B1532:B1555,B1541-in_dpd_lag)*d_dpd</f>
        <v/>
      </c>
      <c r="AC1541" s="14">
        <f>SUMIFS(W1532:W1555,B1532:B1555,B1541-in_rec_lag)*d_rec</f>
        <v/>
      </c>
      <c r="AD1541" s="14">
        <f>Z1541*in_card_fee</f>
        <v/>
      </c>
      <c r="AE1541" s="40">
        <f>AE1540*(1-IF(B1540&gt;=in_marketplace_from,d_hz_hlth_small*G1540,0))</f>
        <v/>
      </c>
      <c r="AF1541" s="46">
        <f>AE1541*IF(B1541&gt;=in_marketplace_from,d_hz_hlth_small*G1541,0)</f>
        <v/>
      </c>
      <c r="AG1541" s="14">
        <f>F1541*AF1541*in_hlth_small_ticket*in_hlth_small_comm*in_ins_partner_share+F1541*in_hlth_small_ticket*in_hlth_small_renew_comm*in_ins_partner_share*(in_hlth_small_renew^1*SUMIFS(AF1532:AF1555,B1532:B1555,B1541-12)+in_hlth_small_renew^2*SUMIFS(AF1532:AF1555,B1532:B1555,B1541-24)+in_hlth_small_renew^3*SUMIFS(AF1532:AF1555,B1532:B1555,B1541-36)+in_hlth_small_renew^4*SUMIFS(AF1532:AF1555,B1532:B1555,B1541-48))</f>
        <v/>
      </c>
      <c r="AH1541" s="40">
        <f>AH1540*(1-IF(B1540&gt;=in_marketplace_from,d_hz_hlth_family*G1540,0))</f>
        <v/>
      </c>
      <c r="AI1541" s="46">
        <f>AH1541*IF(B1541&gt;=in_marketplace_from,d_hz_hlth_family*G1541,0)</f>
        <v/>
      </c>
      <c r="AJ1541" s="14">
        <f>F1541*AI1541*in_hlth_family_ticket*in_hlth_family_comm*in_ins_partner_share+F1541*in_hlth_family_ticket*in_hlth_family_renew_comm*in_ins_partner_share*(in_hlth_family_renew^1*SUMIFS(AI1532:AI1555,B1532:B1555,B1541-12)+in_hlth_family_renew^2*SUMIFS(AI1532:AI1555,B1532:B1555,B1541-24)+in_hlth_family_renew^3*SUMIFS(AI1532:AI1555,B1532:B1555,B1541-36)+in_hlth_family_renew^4*SUMIFS(AI1532:AI1555,B1532:B1555,B1541-48))</f>
        <v/>
      </c>
      <c r="AK1541" s="40">
        <f>AK1540*(1-IF(B1540&gt;=in_marketplace_from,d_hz_life_term*G1540,0))</f>
        <v/>
      </c>
      <c r="AL1541" s="46">
        <f>AK1541*IF(B1541&gt;=in_marketplace_from,d_hz_life_term*G1541,0)</f>
        <v/>
      </c>
      <c r="AM1541" s="14">
        <f>F1541*AL1541*in_life_term_ticket*in_life_term_comm*in_ins_partner_share+F1541*in_life_term_ticket*in_life_term_renew_comm*in_ins_partner_share*(in_life_term_renew^1*SUMIFS(AL1532:AL1555,B1532:B1555,B1541-12)+in_life_term_renew^2*SUMIFS(AL1532:AL1555,B1532:B1555,B1541-24)+in_life_term_renew^3*SUMIFS(AL1532:AL1555,B1532:B1555,B1541-36)+in_life_term_renew^4*SUMIFS(AL1532:AL1555,B1532:B1555,B1541-48))</f>
        <v/>
      </c>
      <c r="AN1541" s="40">
        <f>AN1540*(1-IF(B1540&gt;=in_marketplace_from,d_hz_accident*G1540,0))</f>
        <v/>
      </c>
      <c r="AO1541" s="46">
        <f>AN1541*IF(B1541&gt;=in_marketplace_from,d_hz_accident*G1541,0)</f>
        <v/>
      </c>
      <c r="AP1541" s="14">
        <f>F1541*AO1541*in_accident_ticket*in_accident_comm*in_ins_partner_share+F1541*in_accident_ticket*in_accident_renew_comm*in_ins_partner_share*(in_accident_renew^1*SUMIFS(AO1532:AO1555,B1532:B1555,B1541-12)+in_accident_renew^2*SUMIFS(AO1532:AO1555,B1532:B1555,B1541-24)+in_accident_renew^3*SUMIFS(AO1532:AO1555,B1532:B1555,B1541-36)+in_accident_renew^4*SUMIFS(AO1532:AO1555,B1532:B1555,B1541-48))</f>
        <v/>
      </c>
      <c r="AQ1541" s="40">
        <f>AQ1540*(1-IF(B1540&gt;=in_marketplace_from,d_hz_two_wheeler*G1540,0))</f>
        <v/>
      </c>
      <c r="AR1541" s="46">
        <f>AQ1541*IF(B1541&gt;=in_marketplace_from,d_hz_two_wheeler*G1541,0)</f>
        <v/>
      </c>
      <c r="AS1541" s="14">
        <f>F1541*AR1541*in_two_wheeler_ticket*in_two_wheeler_comm*in_ins_partner_share+F1541*in_two_wheeler_ticket*in_two_wheeler_comm*in_ins_partner_share*(in_two_wheeler_renew^1*SUMIFS(AR1532:AR1555,B1532:B1555,B1541-12)+in_two_wheeler_renew^2*SUMIFS(AR1532:AR1555,B1532:B1555,B1541-24)+in_two_wheeler_renew^3*SUMIFS(AR1532:AR1555,B1532:B1555,B1541-36)+in_two_wheeler_renew^4*SUMIFS(AR1532:AR1555,B1532:B1555,B1541-48))</f>
        <v/>
      </c>
      <c r="AT1541" s="40">
        <f>AT1540*(1-IF(B1540&gt;=in_marketplace_from,d_hz_device*G1540,0))</f>
        <v/>
      </c>
      <c r="AU1541" s="14">
        <f>F1541*AT1541*IF(B1541&gt;=in_marketplace_from,d_hz_device*G1541,0)*in_device_ticket*in_device_comm*in_ins_partner_share</f>
        <v/>
      </c>
      <c r="AV1541" s="40">
        <f>AV1540*(1-IF(B1540&gt;=in_marketplace_from,d_hz_shop*G1540,0))</f>
        <v/>
      </c>
      <c r="AW1541" s="46">
        <f>AV1541*IF(B1541&gt;=in_marketplace_from,d_hz_shop*G1541,0)</f>
        <v/>
      </c>
      <c r="AX1541" s="14">
        <f>F1541*AW1541*in_shop_ticket*in_shop_comm*in_ins_partner_share+F1541*in_shop_ticket*in_shop_renew_comm*in_ins_partner_share*(in_shop_renew^1*SUMIFS(AW1532:AW1555,B1532:B1555,B1541-12)+in_shop_renew^2*SUMIFS(AW1532:AW1555,B1532:B1555,B1541-24)+in_shop_renew^3*SUMIFS(AW1532:AW1555,B1532:B1555,B1541-36)+in_shop_renew^4*SUMIFS(AW1532:AW1555,B1532:B1555,B1541-48))</f>
        <v/>
      </c>
      <c r="AY1541" s="40">
        <f>AY1540*(1-IF(B1540&gt;=in_marketplace_from,d_hz_sip*G1540,0))</f>
        <v/>
      </c>
      <c r="AZ1541" s="40">
        <f>AZ1540*d_rho_sip+AY1541*IF(B1541&gt;=in_marketplace_from,d_hz_sip*G1541,0)</f>
        <v/>
      </c>
      <c r="BA1541" s="40">
        <f>d_rho_sip*(BA1540+AZ1540)</f>
        <v/>
      </c>
      <c r="BB1541" s="14">
        <f>F1541*in_sip_ticket*(BA1541+0.5*AZ1541)*in_sip_comm/12</f>
        <v/>
      </c>
      <c r="BC1541" s="40">
        <f>BC1540*(1-IF(B1540&gt;=in_marketplace_from,d_hz_choti*G1540,0))</f>
        <v/>
      </c>
      <c r="BD1541" s="46">
        <f>BC1541*IF(B1541&gt;=in_marketplace_from,d_hz_choti*G1541,0)</f>
        <v/>
      </c>
      <c r="BE1541" s="14">
        <f>F1541*SUMIFS(BD1532:BD1555,B1532:B1555,B1541-in_choti_months)*in_choti_renew*in_choti_ticket</f>
        <v/>
      </c>
      <c r="BF1541" s="40">
        <f>BF1540*(1-IF(B1540&gt;=in_marketplace_from,d_hz_nps*G1540,0))</f>
        <v/>
      </c>
      <c r="BG1541" s="14">
        <f>F1541*BF1541*IF(B1541&gt;=in_marketplace_from,d_hz_nps*G1541,0)*in_nps_ticket*in_nps_comm</f>
        <v/>
      </c>
      <c r="BH1541" s="40">
        <f>BH1540*(1-IF(B1540&gt;=in_marketplace_from,d_hz_gold*G1540,0))</f>
        <v/>
      </c>
      <c r="BI1541" s="40">
        <f>BI1540*d_rho_gold+BH1541*IF(B1541&gt;=in_marketplace_from,d_hz_gold*G1541,0)</f>
        <v/>
      </c>
      <c r="BJ1541" s="14">
        <f>F1541*BI1541*in_gold_ticket*in_gold_comm</f>
        <v/>
      </c>
      <c r="BK1541" s="40">
        <f>BK1540*(1-IF(B1540&gt;=in_marketplace_from,d_hz_fd*G1540,0))</f>
        <v/>
      </c>
      <c r="BL1541" s="14">
        <f>F1541*BK1541*IF(B1541&gt;=in_marketplace_from,d_hz_fd*G1541,0)*in_fd_ticket*in_fd_comm</f>
        <v/>
      </c>
      <c r="BM1541" s="40">
        <f>BM1540*(1-IF(B1540&gt;=in_marketplace_from,d_hz_recharge*G1540,0))</f>
        <v/>
      </c>
      <c r="BN1541" s="40">
        <f>BN1540*d_rho_recharge+BM1541*IF(B1541&gt;=in_marketplace_from,d_hz_recharge*G1541,0)</f>
        <v/>
      </c>
      <c r="BO1541" s="14">
        <f>F1541*BN1541*in_recharge_ticket*in_recharge_comm/12</f>
        <v/>
      </c>
      <c r="BP1541" s="40">
        <f>BP1540*(1-IF(B1540&gt;=in_marketplace_from,d_hz_bills*G1540,0))</f>
        <v/>
      </c>
      <c r="BQ1541" s="40">
        <f>BQ1540*d_rho_bills+BP1541*IF(B1541&gt;=in_marketplace_from,d_hz_bills*G1541,0)</f>
        <v/>
      </c>
      <c r="BR1541" s="14">
        <f>F1541*BQ1541*in_bills_ticket*in_bills_comm/12</f>
        <v/>
      </c>
      <c r="BS1541" s="40">
        <f>BS1540*(1-IF(B1540&gt;=in_marketplace_from,d_hz_loan_gold*G1540,0))</f>
        <v/>
      </c>
      <c r="BT1541" s="14">
        <f>F1541*BS1541*IF(B1541&gt;=in_marketplace_from,d_hz_loan_gold*G1541,0)*in_loan_gold_ticket*in_loan_gold_comm</f>
        <v/>
      </c>
      <c r="BU1541" s="40">
        <f>BU1540*(1-IF(B1540&gt;=in_marketplace_from,d_hz_loan_cd*G1540,0))</f>
        <v/>
      </c>
      <c r="BV1541" s="14">
        <f>F1541*BU1541*IF(B1541&gt;=in_marketplace_from,d_hz_loan_cd*G1541,0)*in_loan_cd_ticket*in_loan_cd_comm</f>
        <v/>
      </c>
      <c r="BW1541" s="40">
        <f>BW1540*(1-IF(B1540&gt;=in_marketplace_from,d_hz_loan_vehicle*G1540,0))</f>
        <v/>
      </c>
      <c r="BX1541" s="14">
        <f>F1541*BW1541*IF(B1541&gt;=in_marketplace_from,d_hz_loan_vehicle*G1541,0)*in_loan_vehicle_ticket*in_loan_vehicle_comm</f>
        <v/>
      </c>
      <c r="BY1541" s="40">
        <f>BY1540*(1-IF(B1540&gt;=in_marketplace_from,d_hz_loan_home*G1540,0)*BZ1540)</f>
        <v/>
      </c>
      <c r="BZ1541" s="11">
        <f>MIN(in_approval_cap,in_loan_home_approval*INDEX('Age profile'!$O$2:$O$61,B1541)*(1+in_approval_growth)^(D1541-1))</f>
        <v/>
      </c>
      <c r="CA1541" s="14">
        <f>F1541*BY1541*IF(B1541&gt;=in_marketplace_from,d_hz_loan_home*G1541,0)*BZ1541*in_loan_home_ticket*in_loan_home_comm</f>
        <v/>
      </c>
      <c r="CB1541" s="40">
        <f>CB1540*(1-IF(B1540&gt;=in_marketplace_from,d_hz_loan_lap*G1540,0)*CC1540)</f>
        <v/>
      </c>
      <c r="CC1541" s="11">
        <f>MIN(in_approval_cap,in_loan_lap_approval*INDEX('Age profile'!$O$2:$O$61,B1541)*(1+in_approval_growth)^(D1541-1))</f>
        <v/>
      </c>
      <c r="CD1541" s="14">
        <f>F1541*CB1541*IF(B1541&gt;=in_marketplace_from,d_hz_loan_lap*G1541,0)*CC1541*in_loan_lap_ticket*in_loan_lap_comm</f>
        <v/>
      </c>
      <c r="CE1541" s="14">
        <f>AA1541+AB1541+AC1541+AD1541+AG1541+AJ1541+AM1541+AP1541+AS1541+AU1541+AX1541+BB1541+BE1541+BG1541+BJ1541+BL1541+BO1541+BR1541+BT1541+BV1541+BX1541+CA1541+CD1541</f>
        <v/>
      </c>
    </row>
    <row r="1542">
      <c r="A1542" s="39" t="n">
        <v>37</v>
      </c>
      <c r="B1542" s="39" t="n">
        <v>11</v>
      </c>
      <c r="C1542" s="39">
        <f>A1542+B1542-1</f>
        <v/>
      </c>
      <c r="D1542" s="39">
        <f>INT((C1542-1)/12)+1</f>
        <v/>
      </c>
      <c r="E1542" s="44">
        <f>INDEX(Monthly!$B$2:$B$61,A1542)</f>
        <v/>
      </c>
      <c r="F1542" s="44">
        <f>E1542*INDEX('Age profile'!$B$2:$B$61,B1542)</f>
        <v/>
      </c>
      <c r="G1542" s="45">
        <f>MIN(in_takeup_cap,INDEX('Age profile'!$N$2:$N$61,B1542)*(1+in_takeup_growth)^(D1542-1))</f>
        <v/>
      </c>
      <c r="H1542" s="11">
        <f>MIN(in_approval_cap,in_approved_first*INDEX('Age profile'!$O$2:$O$61,B1542)*(1+in_approval_growth)^(D1542-1))</f>
        <v/>
      </c>
      <c r="I1542" s="45">
        <f>G1542*MIN(in_takeup_cap,INDEX('Age profile'!$O$2:$O$61,B1542)*(1+in_approval_growth)^(D1542-1))</f>
        <v/>
      </c>
      <c r="J1542" s="40">
        <f>(J1541-L1541)*F1542/F1541</f>
        <v/>
      </c>
      <c r="K1542" s="40">
        <f>(K1541-M1541)*F1542/F1541+SUMIFS(O1532:O1541,B1532:B1541,B1542-1-d_T)*F1542</f>
        <v/>
      </c>
      <c r="L1542" s="40">
        <f>IF(B1542&gt;=in_marketplace_from,J1542*d_hz*G1542*in_eligible*H1542,0)</f>
        <v/>
      </c>
      <c r="M1542" s="40">
        <f>IF(B1542&gt;=in_marketplace_from,K1542*d_hz*G1542*in_eligible*in_approved_repeat,0)</f>
        <v/>
      </c>
      <c r="N1542" s="40">
        <f>L1542+M1542</f>
        <v/>
      </c>
      <c r="O1542" s="46">
        <f>N1542/F1542</f>
        <v/>
      </c>
      <c r="P1542" s="40">
        <f>F1542-J1542-K1542</f>
        <v/>
      </c>
      <c r="Q1542" s="40">
        <f>IF(B1542&gt;=in_marketplace_from,(J1542+K1542)*d_hz*G1542,0)</f>
        <v/>
      </c>
      <c r="R1542" s="40">
        <f>SUMIFS(N1532:N1555,B1532:B1555,"&gt;="&amp;(B1542-d_T),B1532:B1555,"&lt;="&amp;(B1542-1))</f>
        <v/>
      </c>
      <c r="S1542" s="46">
        <f>(1-d_u)*S1541+IF(d_T&gt;in_topup_lag,SUMIFS(O1532:O1555,B1532:B1555,B1542-in_topup_lag)-d_udrop*SUMIFS(O1532:O1555,B1532:B1555,B1542-d_T),0)</f>
        <v/>
      </c>
      <c r="T1542" s="40">
        <f>F1542*d_u*S1542</f>
        <v/>
      </c>
      <c r="U1542" s="9">
        <f>L1542*in_ticket+M1542*d_rep_ticket</f>
        <v/>
      </c>
      <c r="V1542" s="9">
        <f>U1542+T1542*d_topup_amt</f>
        <v/>
      </c>
      <c r="W1542" s="40">
        <f>N1542+T1542*d_topup_ratio</f>
        <v/>
      </c>
      <c r="X1542" s="40">
        <f>SUMIFS(W1532:W1555,B1532:B1555,B1542-in_dpd_lag)*d_cured</f>
        <v/>
      </c>
      <c r="Y1542" s="40">
        <f>SUMIFS(W1532:W1555,B1532:B1555,B1542-in_rec_lag)*d_recd</f>
        <v/>
      </c>
      <c r="Z1542" s="40">
        <f>IF(AND(B1542&gt;=in_marketplace_from,B1542&lt;in_marketplace_from+in_card_months),in_card_share/in_card_months*F1542*I1542,IF(AND(B1542&gt;=in_marketplace_from+in_card_months,B1542&lt;in_marketplace_from+2*in_card_months),in_card_share*d_card_rem/in_card_months*F1542*MIN(in_takeup_cap,(1+in_takeup_growth)^(D1542-1))*MIN(in_takeup_cap,(1+in_approval_growth)^(D1542-1)),0))</f>
        <v/>
      </c>
      <c r="AA1542" s="14">
        <f>V1542*in_fee*(1-in_taken_back)</f>
        <v/>
      </c>
      <c r="AB1542" s="14">
        <f>SUMIFS(W1532:W1555,B1532:B1555,B1542-in_dpd_lag)*d_dpd</f>
        <v/>
      </c>
      <c r="AC1542" s="14">
        <f>SUMIFS(W1532:W1555,B1532:B1555,B1542-in_rec_lag)*d_rec</f>
        <v/>
      </c>
      <c r="AD1542" s="14">
        <f>Z1542*in_card_fee</f>
        <v/>
      </c>
      <c r="AE1542" s="40">
        <f>AE1541*(1-IF(B1541&gt;=in_marketplace_from,d_hz_hlth_small*G1541,0))</f>
        <v/>
      </c>
      <c r="AF1542" s="46">
        <f>AE1542*IF(B1542&gt;=in_marketplace_from,d_hz_hlth_small*G1542,0)</f>
        <v/>
      </c>
      <c r="AG1542" s="14">
        <f>F1542*AF1542*in_hlth_small_ticket*in_hlth_small_comm*in_ins_partner_share+F1542*in_hlth_small_ticket*in_hlth_small_renew_comm*in_ins_partner_share*(in_hlth_small_renew^1*SUMIFS(AF1532:AF1555,B1532:B1555,B1542-12)+in_hlth_small_renew^2*SUMIFS(AF1532:AF1555,B1532:B1555,B1542-24)+in_hlth_small_renew^3*SUMIFS(AF1532:AF1555,B1532:B1555,B1542-36)+in_hlth_small_renew^4*SUMIFS(AF1532:AF1555,B1532:B1555,B1542-48))</f>
        <v/>
      </c>
      <c r="AH1542" s="40">
        <f>AH1541*(1-IF(B1541&gt;=in_marketplace_from,d_hz_hlth_family*G1541,0))</f>
        <v/>
      </c>
      <c r="AI1542" s="46">
        <f>AH1542*IF(B1542&gt;=in_marketplace_from,d_hz_hlth_family*G1542,0)</f>
        <v/>
      </c>
      <c r="AJ1542" s="14">
        <f>F1542*AI1542*in_hlth_family_ticket*in_hlth_family_comm*in_ins_partner_share+F1542*in_hlth_family_ticket*in_hlth_family_renew_comm*in_ins_partner_share*(in_hlth_family_renew^1*SUMIFS(AI1532:AI1555,B1532:B1555,B1542-12)+in_hlth_family_renew^2*SUMIFS(AI1532:AI1555,B1532:B1555,B1542-24)+in_hlth_family_renew^3*SUMIFS(AI1532:AI1555,B1532:B1555,B1542-36)+in_hlth_family_renew^4*SUMIFS(AI1532:AI1555,B1532:B1555,B1542-48))</f>
        <v/>
      </c>
      <c r="AK1542" s="40">
        <f>AK1541*(1-IF(B1541&gt;=in_marketplace_from,d_hz_life_term*G1541,0))</f>
        <v/>
      </c>
      <c r="AL1542" s="46">
        <f>AK1542*IF(B1542&gt;=in_marketplace_from,d_hz_life_term*G1542,0)</f>
        <v/>
      </c>
      <c r="AM1542" s="14">
        <f>F1542*AL1542*in_life_term_ticket*in_life_term_comm*in_ins_partner_share+F1542*in_life_term_ticket*in_life_term_renew_comm*in_ins_partner_share*(in_life_term_renew^1*SUMIFS(AL1532:AL1555,B1532:B1555,B1542-12)+in_life_term_renew^2*SUMIFS(AL1532:AL1555,B1532:B1555,B1542-24)+in_life_term_renew^3*SUMIFS(AL1532:AL1555,B1532:B1555,B1542-36)+in_life_term_renew^4*SUMIFS(AL1532:AL1555,B1532:B1555,B1542-48))</f>
        <v/>
      </c>
      <c r="AN1542" s="40">
        <f>AN1541*(1-IF(B1541&gt;=in_marketplace_from,d_hz_accident*G1541,0))</f>
        <v/>
      </c>
      <c r="AO1542" s="46">
        <f>AN1542*IF(B1542&gt;=in_marketplace_from,d_hz_accident*G1542,0)</f>
        <v/>
      </c>
      <c r="AP1542" s="14">
        <f>F1542*AO1542*in_accident_ticket*in_accident_comm*in_ins_partner_share+F1542*in_accident_ticket*in_accident_renew_comm*in_ins_partner_share*(in_accident_renew^1*SUMIFS(AO1532:AO1555,B1532:B1555,B1542-12)+in_accident_renew^2*SUMIFS(AO1532:AO1555,B1532:B1555,B1542-24)+in_accident_renew^3*SUMIFS(AO1532:AO1555,B1532:B1555,B1542-36)+in_accident_renew^4*SUMIFS(AO1532:AO1555,B1532:B1555,B1542-48))</f>
        <v/>
      </c>
      <c r="AQ1542" s="40">
        <f>AQ1541*(1-IF(B1541&gt;=in_marketplace_from,d_hz_two_wheeler*G1541,0))</f>
        <v/>
      </c>
      <c r="AR1542" s="46">
        <f>AQ1542*IF(B1542&gt;=in_marketplace_from,d_hz_two_wheeler*G1542,0)</f>
        <v/>
      </c>
      <c r="AS1542" s="14">
        <f>F1542*AR1542*in_two_wheeler_ticket*in_two_wheeler_comm*in_ins_partner_share+F1542*in_two_wheeler_ticket*in_two_wheeler_comm*in_ins_partner_share*(in_two_wheeler_renew^1*SUMIFS(AR1532:AR1555,B1532:B1555,B1542-12)+in_two_wheeler_renew^2*SUMIFS(AR1532:AR1555,B1532:B1555,B1542-24)+in_two_wheeler_renew^3*SUMIFS(AR1532:AR1555,B1532:B1555,B1542-36)+in_two_wheeler_renew^4*SUMIFS(AR1532:AR1555,B1532:B1555,B1542-48))</f>
        <v/>
      </c>
      <c r="AT1542" s="40">
        <f>AT1541*(1-IF(B1541&gt;=in_marketplace_from,d_hz_device*G1541,0))</f>
        <v/>
      </c>
      <c r="AU1542" s="14">
        <f>F1542*AT1542*IF(B1542&gt;=in_marketplace_from,d_hz_device*G1542,0)*in_device_ticket*in_device_comm*in_ins_partner_share</f>
        <v/>
      </c>
      <c r="AV1542" s="40">
        <f>AV1541*(1-IF(B1541&gt;=in_marketplace_from,d_hz_shop*G1541,0))</f>
        <v/>
      </c>
      <c r="AW1542" s="46">
        <f>AV1542*IF(B1542&gt;=in_marketplace_from,d_hz_shop*G1542,0)</f>
        <v/>
      </c>
      <c r="AX1542" s="14">
        <f>F1542*AW1542*in_shop_ticket*in_shop_comm*in_ins_partner_share+F1542*in_shop_ticket*in_shop_renew_comm*in_ins_partner_share*(in_shop_renew^1*SUMIFS(AW1532:AW1555,B1532:B1555,B1542-12)+in_shop_renew^2*SUMIFS(AW1532:AW1555,B1532:B1555,B1542-24)+in_shop_renew^3*SUMIFS(AW1532:AW1555,B1532:B1555,B1542-36)+in_shop_renew^4*SUMIFS(AW1532:AW1555,B1532:B1555,B1542-48))</f>
        <v/>
      </c>
      <c r="AY1542" s="40">
        <f>AY1541*(1-IF(B1541&gt;=in_marketplace_from,d_hz_sip*G1541,0))</f>
        <v/>
      </c>
      <c r="AZ1542" s="40">
        <f>AZ1541*d_rho_sip+AY1542*IF(B1542&gt;=in_marketplace_from,d_hz_sip*G1542,0)</f>
        <v/>
      </c>
      <c r="BA1542" s="40">
        <f>d_rho_sip*(BA1541+AZ1541)</f>
        <v/>
      </c>
      <c r="BB1542" s="14">
        <f>F1542*in_sip_ticket*(BA1542+0.5*AZ1542)*in_sip_comm/12</f>
        <v/>
      </c>
      <c r="BC1542" s="40">
        <f>BC1541*(1-IF(B1541&gt;=in_marketplace_from,d_hz_choti*G1541,0))</f>
        <v/>
      </c>
      <c r="BD1542" s="46">
        <f>BC1542*IF(B1542&gt;=in_marketplace_from,d_hz_choti*G1542,0)</f>
        <v/>
      </c>
      <c r="BE1542" s="14">
        <f>F1542*SUMIFS(BD1532:BD1555,B1532:B1555,B1542-in_choti_months)*in_choti_renew*in_choti_ticket</f>
        <v/>
      </c>
      <c r="BF1542" s="40">
        <f>BF1541*(1-IF(B1541&gt;=in_marketplace_from,d_hz_nps*G1541,0))</f>
        <v/>
      </c>
      <c r="BG1542" s="14">
        <f>F1542*BF1542*IF(B1542&gt;=in_marketplace_from,d_hz_nps*G1542,0)*in_nps_ticket*in_nps_comm</f>
        <v/>
      </c>
      <c r="BH1542" s="40">
        <f>BH1541*(1-IF(B1541&gt;=in_marketplace_from,d_hz_gold*G1541,0))</f>
        <v/>
      </c>
      <c r="BI1542" s="40">
        <f>BI1541*d_rho_gold+BH1542*IF(B1542&gt;=in_marketplace_from,d_hz_gold*G1542,0)</f>
        <v/>
      </c>
      <c r="BJ1542" s="14">
        <f>F1542*BI1542*in_gold_ticket*in_gold_comm</f>
        <v/>
      </c>
      <c r="BK1542" s="40">
        <f>BK1541*(1-IF(B1541&gt;=in_marketplace_from,d_hz_fd*G1541,0))</f>
        <v/>
      </c>
      <c r="BL1542" s="14">
        <f>F1542*BK1542*IF(B1542&gt;=in_marketplace_from,d_hz_fd*G1542,0)*in_fd_ticket*in_fd_comm</f>
        <v/>
      </c>
      <c r="BM1542" s="40">
        <f>BM1541*(1-IF(B1541&gt;=in_marketplace_from,d_hz_recharge*G1541,0))</f>
        <v/>
      </c>
      <c r="BN1542" s="40">
        <f>BN1541*d_rho_recharge+BM1542*IF(B1542&gt;=in_marketplace_from,d_hz_recharge*G1542,0)</f>
        <v/>
      </c>
      <c r="BO1542" s="14">
        <f>F1542*BN1542*in_recharge_ticket*in_recharge_comm/12</f>
        <v/>
      </c>
      <c r="BP1542" s="40">
        <f>BP1541*(1-IF(B1541&gt;=in_marketplace_from,d_hz_bills*G1541,0))</f>
        <v/>
      </c>
      <c r="BQ1542" s="40">
        <f>BQ1541*d_rho_bills+BP1542*IF(B1542&gt;=in_marketplace_from,d_hz_bills*G1542,0)</f>
        <v/>
      </c>
      <c r="BR1542" s="14">
        <f>F1542*BQ1542*in_bills_ticket*in_bills_comm/12</f>
        <v/>
      </c>
      <c r="BS1542" s="40">
        <f>BS1541*(1-IF(B1541&gt;=in_marketplace_from,d_hz_loan_gold*G1541,0))</f>
        <v/>
      </c>
      <c r="BT1542" s="14">
        <f>F1542*BS1542*IF(B1542&gt;=in_marketplace_from,d_hz_loan_gold*G1542,0)*in_loan_gold_ticket*in_loan_gold_comm</f>
        <v/>
      </c>
      <c r="BU1542" s="40">
        <f>BU1541*(1-IF(B1541&gt;=in_marketplace_from,d_hz_loan_cd*G1541,0))</f>
        <v/>
      </c>
      <c r="BV1542" s="14">
        <f>F1542*BU1542*IF(B1542&gt;=in_marketplace_from,d_hz_loan_cd*G1542,0)*in_loan_cd_ticket*in_loan_cd_comm</f>
        <v/>
      </c>
      <c r="BW1542" s="40">
        <f>BW1541*(1-IF(B1541&gt;=in_marketplace_from,d_hz_loan_vehicle*G1541,0))</f>
        <v/>
      </c>
      <c r="BX1542" s="14">
        <f>F1542*BW1542*IF(B1542&gt;=in_marketplace_from,d_hz_loan_vehicle*G1542,0)*in_loan_vehicle_ticket*in_loan_vehicle_comm</f>
        <v/>
      </c>
      <c r="BY1542" s="40">
        <f>BY1541*(1-IF(B1541&gt;=in_marketplace_from,d_hz_loan_home*G1541,0)*BZ1541)</f>
        <v/>
      </c>
      <c r="BZ1542" s="11">
        <f>MIN(in_approval_cap,in_loan_home_approval*INDEX('Age profile'!$O$2:$O$61,B1542)*(1+in_approval_growth)^(D1542-1))</f>
        <v/>
      </c>
      <c r="CA1542" s="14">
        <f>F1542*BY1542*IF(B1542&gt;=in_marketplace_from,d_hz_loan_home*G1542,0)*BZ1542*in_loan_home_ticket*in_loan_home_comm</f>
        <v/>
      </c>
      <c r="CB1542" s="40">
        <f>CB1541*(1-IF(B1541&gt;=in_marketplace_from,d_hz_loan_lap*G1541,0)*CC1541)</f>
        <v/>
      </c>
      <c r="CC1542" s="11">
        <f>MIN(in_approval_cap,in_loan_lap_approval*INDEX('Age profile'!$O$2:$O$61,B1542)*(1+in_approval_growth)^(D1542-1))</f>
        <v/>
      </c>
      <c r="CD1542" s="14">
        <f>F1542*CB1542*IF(B1542&gt;=in_marketplace_from,d_hz_loan_lap*G1542,0)*CC1542*in_loan_lap_ticket*in_loan_lap_comm</f>
        <v/>
      </c>
      <c r="CE1542" s="14">
        <f>AA1542+AB1542+AC1542+AD1542+AG1542+AJ1542+AM1542+AP1542+AS1542+AU1542+AX1542+BB1542+BE1542+BG1542+BJ1542+BL1542+BO1542+BR1542+BT1542+BV1542+BX1542+CA1542+CD1542</f>
        <v/>
      </c>
    </row>
    <row r="1543">
      <c r="A1543" s="39" t="n">
        <v>37</v>
      </c>
      <c r="B1543" s="39" t="n">
        <v>12</v>
      </c>
      <c r="C1543" s="39">
        <f>A1543+B1543-1</f>
        <v/>
      </c>
      <c r="D1543" s="39">
        <f>INT((C1543-1)/12)+1</f>
        <v/>
      </c>
      <c r="E1543" s="44">
        <f>INDEX(Monthly!$B$2:$B$61,A1543)</f>
        <v/>
      </c>
      <c r="F1543" s="44">
        <f>E1543*INDEX('Age profile'!$B$2:$B$61,B1543)</f>
        <v/>
      </c>
      <c r="G1543" s="45">
        <f>MIN(in_takeup_cap,INDEX('Age profile'!$N$2:$N$61,B1543)*(1+in_takeup_growth)^(D1543-1))</f>
        <v/>
      </c>
      <c r="H1543" s="11">
        <f>MIN(in_approval_cap,in_approved_first*INDEX('Age profile'!$O$2:$O$61,B1543)*(1+in_approval_growth)^(D1543-1))</f>
        <v/>
      </c>
      <c r="I1543" s="45">
        <f>G1543*MIN(in_takeup_cap,INDEX('Age profile'!$O$2:$O$61,B1543)*(1+in_approval_growth)^(D1543-1))</f>
        <v/>
      </c>
      <c r="J1543" s="40">
        <f>(J1542-L1542)*F1543/F1542</f>
        <v/>
      </c>
      <c r="K1543" s="40">
        <f>(K1542-M1542)*F1543/F1542+SUMIFS(O1532:O1542,B1532:B1542,B1543-1-d_T)*F1543</f>
        <v/>
      </c>
      <c r="L1543" s="40">
        <f>IF(B1543&gt;=in_marketplace_from,J1543*d_hz*G1543*in_eligible*H1543,0)</f>
        <v/>
      </c>
      <c r="M1543" s="40">
        <f>IF(B1543&gt;=in_marketplace_from,K1543*d_hz*G1543*in_eligible*in_approved_repeat,0)</f>
        <v/>
      </c>
      <c r="N1543" s="40">
        <f>L1543+M1543</f>
        <v/>
      </c>
      <c r="O1543" s="46">
        <f>N1543/F1543</f>
        <v/>
      </c>
      <c r="P1543" s="40">
        <f>F1543-J1543-K1543</f>
        <v/>
      </c>
      <c r="Q1543" s="40">
        <f>IF(B1543&gt;=in_marketplace_from,(J1543+K1543)*d_hz*G1543,0)</f>
        <v/>
      </c>
      <c r="R1543" s="40">
        <f>SUMIFS(N1532:N1555,B1532:B1555,"&gt;="&amp;(B1543-d_T),B1532:B1555,"&lt;="&amp;(B1543-1))</f>
        <v/>
      </c>
      <c r="S1543" s="46">
        <f>(1-d_u)*S1542+IF(d_T&gt;in_topup_lag,SUMIFS(O1532:O1555,B1532:B1555,B1543-in_topup_lag)-d_udrop*SUMIFS(O1532:O1555,B1532:B1555,B1543-d_T),0)</f>
        <v/>
      </c>
      <c r="T1543" s="40">
        <f>F1543*d_u*S1543</f>
        <v/>
      </c>
      <c r="U1543" s="9">
        <f>L1543*in_ticket+M1543*d_rep_ticket</f>
        <v/>
      </c>
      <c r="V1543" s="9">
        <f>U1543+T1543*d_topup_amt</f>
        <v/>
      </c>
      <c r="W1543" s="40">
        <f>N1543+T1543*d_topup_ratio</f>
        <v/>
      </c>
      <c r="X1543" s="40">
        <f>SUMIFS(W1532:W1555,B1532:B1555,B1543-in_dpd_lag)*d_cured</f>
        <v/>
      </c>
      <c r="Y1543" s="40">
        <f>SUMIFS(W1532:W1555,B1532:B1555,B1543-in_rec_lag)*d_recd</f>
        <v/>
      </c>
      <c r="Z1543" s="40">
        <f>IF(AND(B1543&gt;=in_marketplace_from,B1543&lt;in_marketplace_from+in_card_months),in_card_share/in_card_months*F1543*I1543,IF(AND(B1543&gt;=in_marketplace_from+in_card_months,B1543&lt;in_marketplace_from+2*in_card_months),in_card_share*d_card_rem/in_card_months*F1543*MIN(in_takeup_cap,(1+in_takeup_growth)^(D1543-1))*MIN(in_takeup_cap,(1+in_approval_growth)^(D1543-1)),0))</f>
        <v/>
      </c>
      <c r="AA1543" s="14">
        <f>V1543*in_fee*(1-in_taken_back)</f>
        <v/>
      </c>
      <c r="AB1543" s="14">
        <f>SUMIFS(W1532:W1555,B1532:B1555,B1543-in_dpd_lag)*d_dpd</f>
        <v/>
      </c>
      <c r="AC1543" s="14">
        <f>SUMIFS(W1532:W1555,B1532:B1555,B1543-in_rec_lag)*d_rec</f>
        <v/>
      </c>
      <c r="AD1543" s="14">
        <f>Z1543*in_card_fee</f>
        <v/>
      </c>
      <c r="AE1543" s="40">
        <f>AE1542*(1-IF(B1542&gt;=in_marketplace_from,d_hz_hlth_small*G1542,0))</f>
        <v/>
      </c>
      <c r="AF1543" s="46">
        <f>AE1543*IF(B1543&gt;=in_marketplace_from,d_hz_hlth_small*G1543,0)</f>
        <v/>
      </c>
      <c r="AG1543" s="14">
        <f>F1543*AF1543*in_hlth_small_ticket*in_hlth_small_comm*in_ins_partner_share+F1543*in_hlth_small_ticket*in_hlth_small_renew_comm*in_ins_partner_share*(in_hlth_small_renew^1*SUMIFS(AF1532:AF1555,B1532:B1555,B1543-12)+in_hlth_small_renew^2*SUMIFS(AF1532:AF1555,B1532:B1555,B1543-24)+in_hlth_small_renew^3*SUMIFS(AF1532:AF1555,B1532:B1555,B1543-36)+in_hlth_small_renew^4*SUMIFS(AF1532:AF1555,B1532:B1555,B1543-48))</f>
        <v/>
      </c>
      <c r="AH1543" s="40">
        <f>AH1542*(1-IF(B1542&gt;=in_marketplace_from,d_hz_hlth_family*G1542,0))</f>
        <v/>
      </c>
      <c r="AI1543" s="46">
        <f>AH1543*IF(B1543&gt;=in_marketplace_from,d_hz_hlth_family*G1543,0)</f>
        <v/>
      </c>
      <c r="AJ1543" s="14">
        <f>F1543*AI1543*in_hlth_family_ticket*in_hlth_family_comm*in_ins_partner_share+F1543*in_hlth_family_ticket*in_hlth_family_renew_comm*in_ins_partner_share*(in_hlth_family_renew^1*SUMIFS(AI1532:AI1555,B1532:B1555,B1543-12)+in_hlth_family_renew^2*SUMIFS(AI1532:AI1555,B1532:B1555,B1543-24)+in_hlth_family_renew^3*SUMIFS(AI1532:AI1555,B1532:B1555,B1543-36)+in_hlth_family_renew^4*SUMIFS(AI1532:AI1555,B1532:B1555,B1543-48))</f>
        <v/>
      </c>
      <c r="AK1543" s="40">
        <f>AK1542*(1-IF(B1542&gt;=in_marketplace_from,d_hz_life_term*G1542,0))</f>
        <v/>
      </c>
      <c r="AL1543" s="46">
        <f>AK1543*IF(B1543&gt;=in_marketplace_from,d_hz_life_term*G1543,0)</f>
        <v/>
      </c>
      <c r="AM1543" s="14">
        <f>F1543*AL1543*in_life_term_ticket*in_life_term_comm*in_ins_partner_share+F1543*in_life_term_ticket*in_life_term_renew_comm*in_ins_partner_share*(in_life_term_renew^1*SUMIFS(AL1532:AL1555,B1532:B1555,B1543-12)+in_life_term_renew^2*SUMIFS(AL1532:AL1555,B1532:B1555,B1543-24)+in_life_term_renew^3*SUMIFS(AL1532:AL1555,B1532:B1555,B1543-36)+in_life_term_renew^4*SUMIFS(AL1532:AL1555,B1532:B1555,B1543-48))</f>
        <v/>
      </c>
      <c r="AN1543" s="40">
        <f>AN1542*(1-IF(B1542&gt;=in_marketplace_from,d_hz_accident*G1542,0))</f>
        <v/>
      </c>
      <c r="AO1543" s="46">
        <f>AN1543*IF(B1543&gt;=in_marketplace_from,d_hz_accident*G1543,0)</f>
        <v/>
      </c>
      <c r="AP1543" s="14">
        <f>F1543*AO1543*in_accident_ticket*in_accident_comm*in_ins_partner_share+F1543*in_accident_ticket*in_accident_renew_comm*in_ins_partner_share*(in_accident_renew^1*SUMIFS(AO1532:AO1555,B1532:B1555,B1543-12)+in_accident_renew^2*SUMIFS(AO1532:AO1555,B1532:B1555,B1543-24)+in_accident_renew^3*SUMIFS(AO1532:AO1555,B1532:B1555,B1543-36)+in_accident_renew^4*SUMIFS(AO1532:AO1555,B1532:B1555,B1543-48))</f>
        <v/>
      </c>
      <c r="AQ1543" s="40">
        <f>AQ1542*(1-IF(B1542&gt;=in_marketplace_from,d_hz_two_wheeler*G1542,0))</f>
        <v/>
      </c>
      <c r="AR1543" s="46">
        <f>AQ1543*IF(B1543&gt;=in_marketplace_from,d_hz_two_wheeler*G1543,0)</f>
        <v/>
      </c>
      <c r="AS1543" s="14">
        <f>F1543*AR1543*in_two_wheeler_ticket*in_two_wheeler_comm*in_ins_partner_share+F1543*in_two_wheeler_ticket*in_two_wheeler_comm*in_ins_partner_share*(in_two_wheeler_renew^1*SUMIFS(AR1532:AR1555,B1532:B1555,B1543-12)+in_two_wheeler_renew^2*SUMIFS(AR1532:AR1555,B1532:B1555,B1543-24)+in_two_wheeler_renew^3*SUMIFS(AR1532:AR1555,B1532:B1555,B1543-36)+in_two_wheeler_renew^4*SUMIFS(AR1532:AR1555,B1532:B1555,B1543-48))</f>
        <v/>
      </c>
      <c r="AT1543" s="40">
        <f>AT1542*(1-IF(B1542&gt;=in_marketplace_from,d_hz_device*G1542,0))</f>
        <v/>
      </c>
      <c r="AU1543" s="14">
        <f>F1543*AT1543*IF(B1543&gt;=in_marketplace_from,d_hz_device*G1543,0)*in_device_ticket*in_device_comm*in_ins_partner_share</f>
        <v/>
      </c>
      <c r="AV1543" s="40">
        <f>AV1542*(1-IF(B1542&gt;=in_marketplace_from,d_hz_shop*G1542,0))</f>
        <v/>
      </c>
      <c r="AW1543" s="46">
        <f>AV1543*IF(B1543&gt;=in_marketplace_from,d_hz_shop*G1543,0)</f>
        <v/>
      </c>
      <c r="AX1543" s="14">
        <f>F1543*AW1543*in_shop_ticket*in_shop_comm*in_ins_partner_share+F1543*in_shop_ticket*in_shop_renew_comm*in_ins_partner_share*(in_shop_renew^1*SUMIFS(AW1532:AW1555,B1532:B1555,B1543-12)+in_shop_renew^2*SUMIFS(AW1532:AW1555,B1532:B1555,B1543-24)+in_shop_renew^3*SUMIFS(AW1532:AW1555,B1532:B1555,B1543-36)+in_shop_renew^4*SUMIFS(AW1532:AW1555,B1532:B1555,B1543-48))</f>
        <v/>
      </c>
      <c r="AY1543" s="40">
        <f>AY1542*(1-IF(B1542&gt;=in_marketplace_from,d_hz_sip*G1542,0))</f>
        <v/>
      </c>
      <c r="AZ1543" s="40">
        <f>AZ1542*d_rho_sip+AY1543*IF(B1543&gt;=in_marketplace_from,d_hz_sip*G1543,0)</f>
        <v/>
      </c>
      <c r="BA1543" s="40">
        <f>d_rho_sip*(BA1542+AZ1542)</f>
        <v/>
      </c>
      <c r="BB1543" s="14">
        <f>F1543*in_sip_ticket*(BA1543+0.5*AZ1543)*in_sip_comm/12</f>
        <v/>
      </c>
      <c r="BC1543" s="40">
        <f>BC1542*(1-IF(B1542&gt;=in_marketplace_from,d_hz_choti*G1542,0))</f>
        <v/>
      </c>
      <c r="BD1543" s="46">
        <f>BC1543*IF(B1543&gt;=in_marketplace_from,d_hz_choti*G1543,0)</f>
        <v/>
      </c>
      <c r="BE1543" s="14">
        <f>F1543*SUMIFS(BD1532:BD1555,B1532:B1555,B1543-in_choti_months)*in_choti_renew*in_choti_ticket</f>
        <v/>
      </c>
      <c r="BF1543" s="40">
        <f>BF1542*(1-IF(B1542&gt;=in_marketplace_from,d_hz_nps*G1542,0))</f>
        <v/>
      </c>
      <c r="BG1543" s="14">
        <f>F1543*BF1543*IF(B1543&gt;=in_marketplace_from,d_hz_nps*G1543,0)*in_nps_ticket*in_nps_comm</f>
        <v/>
      </c>
      <c r="BH1543" s="40">
        <f>BH1542*(1-IF(B1542&gt;=in_marketplace_from,d_hz_gold*G1542,0))</f>
        <v/>
      </c>
      <c r="BI1543" s="40">
        <f>BI1542*d_rho_gold+BH1543*IF(B1543&gt;=in_marketplace_from,d_hz_gold*G1543,0)</f>
        <v/>
      </c>
      <c r="BJ1543" s="14">
        <f>F1543*BI1543*in_gold_ticket*in_gold_comm</f>
        <v/>
      </c>
      <c r="BK1543" s="40">
        <f>BK1542*(1-IF(B1542&gt;=in_marketplace_from,d_hz_fd*G1542,0))</f>
        <v/>
      </c>
      <c r="BL1543" s="14">
        <f>F1543*BK1543*IF(B1543&gt;=in_marketplace_from,d_hz_fd*G1543,0)*in_fd_ticket*in_fd_comm</f>
        <v/>
      </c>
      <c r="BM1543" s="40">
        <f>BM1542*(1-IF(B1542&gt;=in_marketplace_from,d_hz_recharge*G1542,0))</f>
        <v/>
      </c>
      <c r="BN1543" s="40">
        <f>BN1542*d_rho_recharge+BM1543*IF(B1543&gt;=in_marketplace_from,d_hz_recharge*G1543,0)</f>
        <v/>
      </c>
      <c r="BO1543" s="14">
        <f>F1543*BN1543*in_recharge_ticket*in_recharge_comm/12</f>
        <v/>
      </c>
      <c r="BP1543" s="40">
        <f>BP1542*(1-IF(B1542&gt;=in_marketplace_from,d_hz_bills*G1542,0))</f>
        <v/>
      </c>
      <c r="BQ1543" s="40">
        <f>BQ1542*d_rho_bills+BP1543*IF(B1543&gt;=in_marketplace_from,d_hz_bills*G1543,0)</f>
        <v/>
      </c>
      <c r="BR1543" s="14">
        <f>F1543*BQ1543*in_bills_ticket*in_bills_comm/12</f>
        <v/>
      </c>
      <c r="BS1543" s="40">
        <f>BS1542*(1-IF(B1542&gt;=in_marketplace_from,d_hz_loan_gold*G1542,0))</f>
        <v/>
      </c>
      <c r="BT1543" s="14">
        <f>F1543*BS1543*IF(B1543&gt;=in_marketplace_from,d_hz_loan_gold*G1543,0)*in_loan_gold_ticket*in_loan_gold_comm</f>
        <v/>
      </c>
      <c r="BU1543" s="40">
        <f>BU1542*(1-IF(B1542&gt;=in_marketplace_from,d_hz_loan_cd*G1542,0))</f>
        <v/>
      </c>
      <c r="BV1543" s="14">
        <f>F1543*BU1543*IF(B1543&gt;=in_marketplace_from,d_hz_loan_cd*G1543,0)*in_loan_cd_ticket*in_loan_cd_comm</f>
        <v/>
      </c>
      <c r="BW1543" s="40">
        <f>BW1542*(1-IF(B1542&gt;=in_marketplace_from,d_hz_loan_vehicle*G1542,0))</f>
        <v/>
      </c>
      <c r="BX1543" s="14">
        <f>F1543*BW1543*IF(B1543&gt;=in_marketplace_from,d_hz_loan_vehicle*G1543,0)*in_loan_vehicle_ticket*in_loan_vehicle_comm</f>
        <v/>
      </c>
      <c r="BY1543" s="40">
        <f>BY1542*(1-IF(B1542&gt;=in_marketplace_from,d_hz_loan_home*G1542,0)*BZ1542)</f>
        <v/>
      </c>
      <c r="BZ1543" s="11">
        <f>MIN(in_approval_cap,in_loan_home_approval*INDEX('Age profile'!$O$2:$O$61,B1543)*(1+in_approval_growth)^(D1543-1))</f>
        <v/>
      </c>
      <c r="CA1543" s="14">
        <f>F1543*BY1543*IF(B1543&gt;=in_marketplace_from,d_hz_loan_home*G1543,0)*BZ1543*in_loan_home_ticket*in_loan_home_comm</f>
        <v/>
      </c>
      <c r="CB1543" s="40">
        <f>CB1542*(1-IF(B1542&gt;=in_marketplace_from,d_hz_loan_lap*G1542,0)*CC1542)</f>
        <v/>
      </c>
      <c r="CC1543" s="11">
        <f>MIN(in_approval_cap,in_loan_lap_approval*INDEX('Age profile'!$O$2:$O$61,B1543)*(1+in_approval_growth)^(D1543-1))</f>
        <v/>
      </c>
      <c r="CD1543" s="14">
        <f>F1543*CB1543*IF(B1543&gt;=in_marketplace_from,d_hz_loan_lap*G1543,0)*CC1543*in_loan_lap_ticket*in_loan_lap_comm</f>
        <v/>
      </c>
      <c r="CE1543" s="14">
        <f>AA1543+AB1543+AC1543+AD1543+AG1543+AJ1543+AM1543+AP1543+AS1543+AU1543+AX1543+BB1543+BE1543+BG1543+BJ1543+BL1543+BO1543+BR1543+BT1543+BV1543+BX1543+CA1543+CD1543</f>
        <v/>
      </c>
    </row>
    <row r="1544">
      <c r="A1544" s="39" t="n">
        <v>37</v>
      </c>
      <c r="B1544" s="39" t="n">
        <v>13</v>
      </c>
      <c r="C1544" s="39">
        <f>A1544+B1544-1</f>
        <v/>
      </c>
      <c r="D1544" s="39">
        <f>INT((C1544-1)/12)+1</f>
        <v/>
      </c>
      <c r="E1544" s="44">
        <f>INDEX(Monthly!$B$2:$B$61,A1544)</f>
        <v/>
      </c>
      <c r="F1544" s="44">
        <f>E1544*INDEX('Age profile'!$B$2:$B$61,B1544)</f>
        <v/>
      </c>
      <c r="G1544" s="45">
        <f>MIN(in_takeup_cap,INDEX('Age profile'!$N$2:$N$61,B1544)*(1+in_takeup_growth)^(D1544-1))</f>
        <v/>
      </c>
      <c r="H1544" s="11">
        <f>MIN(in_approval_cap,in_approved_first*INDEX('Age profile'!$O$2:$O$61,B1544)*(1+in_approval_growth)^(D1544-1))</f>
        <v/>
      </c>
      <c r="I1544" s="45">
        <f>G1544*MIN(in_takeup_cap,INDEX('Age profile'!$O$2:$O$61,B1544)*(1+in_approval_growth)^(D1544-1))</f>
        <v/>
      </c>
      <c r="J1544" s="40">
        <f>(J1543-L1543)*F1544/F1543</f>
        <v/>
      </c>
      <c r="K1544" s="40">
        <f>(K1543-M1543)*F1544/F1543+SUMIFS(O1532:O1543,B1532:B1543,B1544-1-d_T)*F1544</f>
        <v/>
      </c>
      <c r="L1544" s="40">
        <f>IF(B1544&gt;=in_marketplace_from,J1544*d_hz*G1544*in_eligible*H1544,0)</f>
        <v/>
      </c>
      <c r="M1544" s="40">
        <f>IF(B1544&gt;=in_marketplace_from,K1544*d_hz*G1544*in_eligible*in_approved_repeat,0)</f>
        <v/>
      </c>
      <c r="N1544" s="40">
        <f>L1544+M1544</f>
        <v/>
      </c>
      <c r="O1544" s="46">
        <f>N1544/F1544</f>
        <v/>
      </c>
      <c r="P1544" s="40">
        <f>F1544-J1544-K1544</f>
        <v/>
      </c>
      <c r="Q1544" s="40">
        <f>IF(B1544&gt;=in_marketplace_from,(J1544+K1544)*d_hz*G1544,0)</f>
        <v/>
      </c>
      <c r="R1544" s="40">
        <f>SUMIFS(N1532:N1555,B1532:B1555,"&gt;="&amp;(B1544-d_T),B1532:B1555,"&lt;="&amp;(B1544-1))</f>
        <v/>
      </c>
      <c r="S1544" s="46">
        <f>(1-d_u)*S1543+IF(d_T&gt;in_topup_lag,SUMIFS(O1532:O1555,B1532:B1555,B1544-in_topup_lag)-d_udrop*SUMIFS(O1532:O1555,B1532:B1555,B1544-d_T),0)</f>
        <v/>
      </c>
      <c r="T1544" s="40">
        <f>F1544*d_u*S1544</f>
        <v/>
      </c>
      <c r="U1544" s="9">
        <f>L1544*in_ticket+M1544*d_rep_ticket</f>
        <v/>
      </c>
      <c r="V1544" s="9">
        <f>U1544+T1544*d_topup_amt</f>
        <v/>
      </c>
      <c r="W1544" s="40">
        <f>N1544+T1544*d_topup_ratio</f>
        <v/>
      </c>
      <c r="X1544" s="40">
        <f>SUMIFS(W1532:W1555,B1532:B1555,B1544-in_dpd_lag)*d_cured</f>
        <v/>
      </c>
      <c r="Y1544" s="40">
        <f>SUMIFS(W1532:W1555,B1532:B1555,B1544-in_rec_lag)*d_recd</f>
        <v/>
      </c>
      <c r="Z1544" s="40">
        <f>IF(AND(B1544&gt;=in_marketplace_from,B1544&lt;in_marketplace_from+in_card_months),in_card_share/in_card_months*F1544*I1544,IF(AND(B1544&gt;=in_marketplace_from+in_card_months,B1544&lt;in_marketplace_from+2*in_card_months),in_card_share*d_card_rem/in_card_months*F1544*MIN(in_takeup_cap,(1+in_takeup_growth)^(D1544-1))*MIN(in_takeup_cap,(1+in_approval_growth)^(D1544-1)),0))</f>
        <v/>
      </c>
      <c r="AA1544" s="14">
        <f>V1544*in_fee*(1-in_taken_back)</f>
        <v/>
      </c>
      <c r="AB1544" s="14">
        <f>SUMIFS(W1532:W1555,B1532:B1555,B1544-in_dpd_lag)*d_dpd</f>
        <v/>
      </c>
      <c r="AC1544" s="14">
        <f>SUMIFS(W1532:W1555,B1532:B1555,B1544-in_rec_lag)*d_rec</f>
        <v/>
      </c>
      <c r="AD1544" s="14">
        <f>Z1544*in_card_fee</f>
        <v/>
      </c>
      <c r="AE1544" s="40">
        <f>AE1543*(1-IF(B1543&gt;=in_marketplace_from,d_hz_hlth_small*G1543,0))</f>
        <v/>
      </c>
      <c r="AF1544" s="46">
        <f>AE1544*IF(B1544&gt;=in_marketplace_from,d_hz_hlth_small*G1544,0)</f>
        <v/>
      </c>
      <c r="AG1544" s="14">
        <f>F1544*AF1544*in_hlth_small_ticket*in_hlth_small_comm*in_ins_partner_share+F1544*in_hlth_small_ticket*in_hlth_small_renew_comm*in_ins_partner_share*(in_hlth_small_renew^1*SUMIFS(AF1532:AF1555,B1532:B1555,B1544-12)+in_hlth_small_renew^2*SUMIFS(AF1532:AF1555,B1532:B1555,B1544-24)+in_hlth_small_renew^3*SUMIFS(AF1532:AF1555,B1532:B1555,B1544-36)+in_hlth_small_renew^4*SUMIFS(AF1532:AF1555,B1532:B1555,B1544-48))</f>
        <v/>
      </c>
      <c r="AH1544" s="40">
        <f>AH1543*(1-IF(B1543&gt;=in_marketplace_from,d_hz_hlth_family*G1543,0))</f>
        <v/>
      </c>
      <c r="AI1544" s="46">
        <f>AH1544*IF(B1544&gt;=in_marketplace_from,d_hz_hlth_family*G1544,0)</f>
        <v/>
      </c>
      <c r="AJ1544" s="14">
        <f>F1544*AI1544*in_hlth_family_ticket*in_hlth_family_comm*in_ins_partner_share+F1544*in_hlth_family_ticket*in_hlth_family_renew_comm*in_ins_partner_share*(in_hlth_family_renew^1*SUMIFS(AI1532:AI1555,B1532:B1555,B1544-12)+in_hlth_family_renew^2*SUMIFS(AI1532:AI1555,B1532:B1555,B1544-24)+in_hlth_family_renew^3*SUMIFS(AI1532:AI1555,B1532:B1555,B1544-36)+in_hlth_family_renew^4*SUMIFS(AI1532:AI1555,B1532:B1555,B1544-48))</f>
        <v/>
      </c>
      <c r="AK1544" s="40">
        <f>AK1543*(1-IF(B1543&gt;=in_marketplace_from,d_hz_life_term*G1543,0))</f>
        <v/>
      </c>
      <c r="AL1544" s="46">
        <f>AK1544*IF(B1544&gt;=in_marketplace_from,d_hz_life_term*G1544,0)</f>
        <v/>
      </c>
      <c r="AM1544" s="14">
        <f>F1544*AL1544*in_life_term_ticket*in_life_term_comm*in_ins_partner_share+F1544*in_life_term_ticket*in_life_term_renew_comm*in_ins_partner_share*(in_life_term_renew^1*SUMIFS(AL1532:AL1555,B1532:B1555,B1544-12)+in_life_term_renew^2*SUMIFS(AL1532:AL1555,B1532:B1555,B1544-24)+in_life_term_renew^3*SUMIFS(AL1532:AL1555,B1532:B1555,B1544-36)+in_life_term_renew^4*SUMIFS(AL1532:AL1555,B1532:B1555,B1544-48))</f>
        <v/>
      </c>
      <c r="AN1544" s="40">
        <f>AN1543*(1-IF(B1543&gt;=in_marketplace_from,d_hz_accident*G1543,0))</f>
        <v/>
      </c>
      <c r="AO1544" s="46">
        <f>AN1544*IF(B1544&gt;=in_marketplace_from,d_hz_accident*G1544,0)</f>
        <v/>
      </c>
      <c r="AP1544" s="14">
        <f>F1544*AO1544*in_accident_ticket*in_accident_comm*in_ins_partner_share+F1544*in_accident_ticket*in_accident_renew_comm*in_ins_partner_share*(in_accident_renew^1*SUMIFS(AO1532:AO1555,B1532:B1555,B1544-12)+in_accident_renew^2*SUMIFS(AO1532:AO1555,B1532:B1555,B1544-24)+in_accident_renew^3*SUMIFS(AO1532:AO1555,B1532:B1555,B1544-36)+in_accident_renew^4*SUMIFS(AO1532:AO1555,B1532:B1555,B1544-48))</f>
        <v/>
      </c>
      <c r="AQ1544" s="40">
        <f>AQ1543*(1-IF(B1543&gt;=in_marketplace_from,d_hz_two_wheeler*G1543,0))</f>
        <v/>
      </c>
      <c r="AR1544" s="46">
        <f>AQ1544*IF(B1544&gt;=in_marketplace_from,d_hz_two_wheeler*G1544,0)</f>
        <v/>
      </c>
      <c r="AS1544" s="14">
        <f>F1544*AR1544*in_two_wheeler_ticket*in_two_wheeler_comm*in_ins_partner_share+F1544*in_two_wheeler_ticket*in_two_wheeler_comm*in_ins_partner_share*(in_two_wheeler_renew^1*SUMIFS(AR1532:AR1555,B1532:B1555,B1544-12)+in_two_wheeler_renew^2*SUMIFS(AR1532:AR1555,B1532:B1555,B1544-24)+in_two_wheeler_renew^3*SUMIFS(AR1532:AR1555,B1532:B1555,B1544-36)+in_two_wheeler_renew^4*SUMIFS(AR1532:AR1555,B1532:B1555,B1544-48))</f>
        <v/>
      </c>
      <c r="AT1544" s="40">
        <f>AT1543*(1-IF(B1543&gt;=in_marketplace_from,d_hz_device*G1543,0))</f>
        <v/>
      </c>
      <c r="AU1544" s="14">
        <f>F1544*AT1544*IF(B1544&gt;=in_marketplace_from,d_hz_device*G1544,0)*in_device_ticket*in_device_comm*in_ins_partner_share</f>
        <v/>
      </c>
      <c r="AV1544" s="40">
        <f>AV1543*(1-IF(B1543&gt;=in_marketplace_from,d_hz_shop*G1543,0))</f>
        <v/>
      </c>
      <c r="AW1544" s="46">
        <f>AV1544*IF(B1544&gt;=in_marketplace_from,d_hz_shop*G1544,0)</f>
        <v/>
      </c>
      <c r="AX1544" s="14">
        <f>F1544*AW1544*in_shop_ticket*in_shop_comm*in_ins_partner_share+F1544*in_shop_ticket*in_shop_renew_comm*in_ins_partner_share*(in_shop_renew^1*SUMIFS(AW1532:AW1555,B1532:B1555,B1544-12)+in_shop_renew^2*SUMIFS(AW1532:AW1555,B1532:B1555,B1544-24)+in_shop_renew^3*SUMIFS(AW1532:AW1555,B1532:B1555,B1544-36)+in_shop_renew^4*SUMIFS(AW1532:AW1555,B1532:B1555,B1544-48))</f>
        <v/>
      </c>
      <c r="AY1544" s="40">
        <f>AY1543*(1-IF(B1543&gt;=in_marketplace_from,d_hz_sip*G1543,0))</f>
        <v/>
      </c>
      <c r="AZ1544" s="40">
        <f>AZ1543*d_rho_sip+AY1544*IF(B1544&gt;=in_marketplace_from,d_hz_sip*G1544,0)</f>
        <v/>
      </c>
      <c r="BA1544" s="40">
        <f>d_rho_sip*(BA1543+AZ1543)</f>
        <v/>
      </c>
      <c r="BB1544" s="14">
        <f>F1544*in_sip_ticket*(BA1544+0.5*AZ1544)*in_sip_comm/12</f>
        <v/>
      </c>
      <c r="BC1544" s="40">
        <f>BC1543*(1-IF(B1543&gt;=in_marketplace_from,d_hz_choti*G1543,0))</f>
        <v/>
      </c>
      <c r="BD1544" s="46">
        <f>BC1544*IF(B1544&gt;=in_marketplace_from,d_hz_choti*G1544,0)</f>
        <v/>
      </c>
      <c r="BE1544" s="14">
        <f>F1544*SUMIFS(BD1532:BD1555,B1532:B1555,B1544-in_choti_months)*in_choti_renew*in_choti_ticket</f>
        <v/>
      </c>
      <c r="BF1544" s="40">
        <f>BF1543*(1-IF(B1543&gt;=in_marketplace_from,d_hz_nps*G1543,0))</f>
        <v/>
      </c>
      <c r="BG1544" s="14">
        <f>F1544*BF1544*IF(B1544&gt;=in_marketplace_from,d_hz_nps*G1544,0)*in_nps_ticket*in_nps_comm</f>
        <v/>
      </c>
      <c r="BH1544" s="40">
        <f>BH1543*(1-IF(B1543&gt;=in_marketplace_from,d_hz_gold*G1543,0))</f>
        <v/>
      </c>
      <c r="BI1544" s="40">
        <f>BI1543*d_rho_gold+BH1544*IF(B1544&gt;=in_marketplace_from,d_hz_gold*G1544,0)</f>
        <v/>
      </c>
      <c r="BJ1544" s="14">
        <f>F1544*BI1544*in_gold_ticket*in_gold_comm</f>
        <v/>
      </c>
      <c r="BK1544" s="40">
        <f>BK1543*(1-IF(B1543&gt;=in_marketplace_from,d_hz_fd*G1543,0))</f>
        <v/>
      </c>
      <c r="BL1544" s="14">
        <f>F1544*BK1544*IF(B1544&gt;=in_marketplace_from,d_hz_fd*G1544,0)*in_fd_ticket*in_fd_comm</f>
        <v/>
      </c>
      <c r="BM1544" s="40">
        <f>BM1543*(1-IF(B1543&gt;=in_marketplace_from,d_hz_recharge*G1543,0))</f>
        <v/>
      </c>
      <c r="BN1544" s="40">
        <f>BN1543*d_rho_recharge+BM1544*IF(B1544&gt;=in_marketplace_from,d_hz_recharge*G1544,0)</f>
        <v/>
      </c>
      <c r="BO1544" s="14">
        <f>F1544*BN1544*in_recharge_ticket*in_recharge_comm/12</f>
        <v/>
      </c>
      <c r="BP1544" s="40">
        <f>BP1543*(1-IF(B1543&gt;=in_marketplace_from,d_hz_bills*G1543,0))</f>
        <v/>
      </c>
      <c r="BQ1544" s="40">
        <f>BQ1543*d_rho_bills+BP1544*IF(B1544&gt;=in_marketplace_from,d_hz_bills*G1544,0)</f>
        <v/>
      </c>
      <c r="BR1544" s="14">
        <f>F1544*BQ1544*in_bills_ticket*in_bills_comm/12</f>
        <v/>
      </c>
      <c r="BS1544" s="40">
        <f>BS1543*(1-IF(B1543&gt;=in_marketplace_from,d_hz_loan_gold*G1543,0))</f>
        <v/>
      </c>
      <c r="BT1544" s="14">
        <f>F1544*BS1544*IF(B1544&gt;=in_marketplace_from,d_hz_loan_gold*G1544,0)*in_loan_gold_ticket*in_loan_gold_comm</f>
        <v/>
      </c>
      <c r="BU1544" s="40">
        <f>BU1543*(1-IF(B1543&gt;=in_marketplace_from,d_hz_loan_cd*G1543,0))</f>
        <v/>
      </c>
      <c r="BV1544" s="14">
        <f>F1544*BU1544*IF(B1544&gt;=in_marketplace_from,d_hz_loan_cd*G1544,0)*in_loan_cd_ticket*in_loan_cd_comm</f>
        <v/>
      </c>
      <c r="BW1544" s="40">
        <f>BW1543*(1-IF(B1543&gt;=in_marketplace_from,d_hz_loan_vehicle*G1543,0))</f>
        <v/>
      </c>
      <c r="BX1544" s="14">
        <f>F1544*BW1544*IF(B1544&gt;=in_marketplace_from,d_hz_loan_vehicle*G1544,0)*in_loan_vehicle_ticket*in_loan_vehicle_comm</f>
        <v/>
      </c>
      <c r="BY1544" s="40">
        <f>BY1543*(1-IF(B1543&gt;=in_marketplace_from,d_hz_loan_home*G1543,0)*BZ1543)</f>
        <v/>
      </c>
      <c r="BZ1544" s="11">
        <f>MIN(in_approval_cap,in_loan_home_approval*INDEX('Age profile'!$O$2:$O$61,B1544)*(1+in_approval_growth)^(D1544-1))</f>
        <v/>
      </c>
      <c r="CA1544" s="14">
        <f>F1544*BY1544*IF(B1544&gt;=in_marketplace_from,d_hz_loan_home*G1544,0)*BZ1544*in_loan_home_ticket*in_loan_home_comm</f>
        <v/>
      </c>
      <c r="CB1544" s="40">
        <f>CB1543*(1-IF(B1543&gt;=in_marketplace_from,d_hz_loan_lap*G1543,0)*CC1543)</f>
        <v/>
      </c>
      <c r="CC1544" s="11">
        <f>MIN(in_approval_cap,in_loan_lap_approval*INDEX('Age profile'!$O$2:$O$61,B1544)*(1+in_approval_growth)^(D1544-1))</f>
        <v/>
      </c>
      <c r="CD1544" s="14">
        <f>F1544*CB1544*IF(B1544&gt;=in_marketplace_from,d_hz_loan_lap*G1544,0)*CC1544*in_loan_lap_ticket*in_loan_lap_comm</f>
        <v/>
      </c>
      <c r="CE1544" s="14">
        <f>AA1544+AB1544+AC1544+AD1544+AG1544+AJ1544+AM1544+AP1544+AS1544+AU1544+AX1544+BB1544+BE1544+BG1544+BJ1544+BL1544+BO1544+BR1544+BT1544+BV1544+BX1544+CA1544+CD1544</f>
        <v/>
      </c>
    </row>
    <row r="1545">
      <c r="A1545" s="39" t="n">
        <v>37</v>
      </c>
      <c r="B1545" s="39" t="n">
        <v>14</v>
      </c>
      <c r="C1545" s="39">
        <f>A1545+B1545-1</f>
        <v/>
      </c>
      <c r="D1545" s="39">
        <f>INT((C1545-1)/12)+1</f>
        <v/>
      </c>
      <c r="E1545" s="44">
        <f>INDEX(Monthly!$B$2:$B$61,A1545)</f>
        <v/>
      </c>
      <c r="F1545" s="44">
        <f>E1545*INDEX('Age profile'!$B$2:$B$61,B1545)</f>
        <v/>
      </c>
      <c r="G1545" s="45">
        <f>MIN(in_takeup_cap,INDEX('Age profile'!$N$2:$N$61,B1545)*(1+in_takeup_growth)^(D1545-1))</f>
        <v/>
      </c>
      <c r="H1545" s="11">
        <f>MIN(in_approval_cap,in_approved_first*INDEX('Age profile'!$O$2:$O$61,B1545)*(1+in_approval_growth)^(D1545-1))</f>
        <v/>
      </c>
      <c r="I1545" s="45">
        <f>G1545*MIN(in_takeup_cap,INDEX('Age profile'!$O$2:$O$61,B1545)*(1+in_approval_growth)^(D1545-1))</f>
        <v/>
      </c>
      <c r="J1545" s="40">
        <f>(J1544-L1544)*F1545/F1544</f>
        <v/>
      </c>
      <c r="K1545" s="40">
        <f>(K1544-M1544)*F1545/F1544+SUMIFS(O1532:O1544,B1532:B1544,B1545-1-d_T)*F1545</f>
        <v/>
      </c>
      <c r="L1545" s="40">
        <f>IF(B1545&gt;=in_marketplace_from,J1545*d_hz*G1545*in_eligible*H1545,0)</f>
        <v/>
      </c>
      <c r="M1545" s="40">
        <f>IF(B1545&gt;=in_marketplace_from,K1545*d_hz*G1545*in_eligible*in_approved_repeat,0)</f>
        <v/>
      </c>
      <c r="N1545" s="40">
        <f>L1545+M1545</f>
        <v/>
      </c>
      <c r="O1545" s="46">
        <f>N1545/F1545</f>
        <v/>
      </c>
      <c r="P1545" s="40">
        <f>F1545-J1545-K1545</f>
        <v/>
      </c>
      <c r="Q1545" s="40">
        <f>IF(B1545&gt;=in_marketplace_from,(J1545+K1545)*d_hz*G1545,0)</f>
        <v/>
      </c>
      <c r="R1545" s="40">
        <f>SUMIFS(N1532:N1555,B1532:B1555,"&gt;="&amp;(B1545-d_T),B1532:B1555,"&lt;="&amp;(B1545-1))</f>
        <v/>
      </c>
      <c r="S1545" s="46">
        <f>(1-d_u)*S1544+IF(d_T&gt;in_topup_lag,SUMIFS(O1532:O1555,B1532:B1555,B1545-in_topup_lag)-d_udrop*SUMIFS(O1532:O1555,B1532:B1555,B1545-d_T),0)</f>
        <v/>
      </c>
      <c r="T1545" s="40">
        <f>F1545*d_u*S1545</f>
        <v/>
      </c>
      <c r="U1545" s="9">
        <f>L1545*in_ticket+M1545*d_rep_ticket</f>
        <v/>
      </c>
      <c r="V1545" s="9">
        <f>U1545+T1545*d_topup_amt</f>
        <v/>
      </c>
      <c r="W1545" s="40">
        <f>N1545+T1545*d_topup_ratio</f>
        <v/>
      </c>
      <c r="X1545" s="40">
        <f>SUMIFS(W1532:W1555,B1532:B1555,B1545-in_dpd_lag)*d_cured</f>
        <v/>
      </c>
      <c r="Y1545" s="40">
        <f>SUMIFS(W1532:W1555,B1532:B1555,B1545-in_rec_lag)*d_recd</f>
        <v/>
      </c>
      <c r="Z1545" s="40">
        <f>IF(AND(B1545&gt;=in_marketplace_from,B1545&lt;in_marketplace_from+in_card_months),in_card_share/in_card_months*F1545*I1545,IF(AND(B1545&gt;=in_marketplace_from+in_card_months,B1545&lt;in_marketplace_from+2*in_card_months),in_card_share*d_card_rem/in_card_months*F1545*MIN(in_takeup_cap,(1+in_takeup_growth)^(D1545-1))*MIN(in_takeup_cap,(1+in_approval_growth)^(D1545-1)),0))</f>
        <v/>
      </c>
      <c r="AA1545" s="14">
        <f>V1545*in_fee*(1-in_taken_back)</f>
        <v/>
      </c>
      <c r="AB1545" s="14">
        <f>SUMIFS(W1532:W1555,B1532:B1555,B1545-in_dpd_lag)*d_dpd</f>
        <v/>
      </c>
      <c r="AC1545" s="14">
        <f>SUMIFS(W1532:W1555,B1532:B1555,B1545-in_rec_lag)*d_rec</f>
        <v/>
      </c>
      <c r="AD1545" s="14">
        <f>Z1545*in_card_fee</f>
        <v/>
      </c>
      <c r="AE1545" s="40">
        <f>AE1544*(1-IF(B1544&gt;=in_marketplace_from,d_hz_hlth_small*G1544,0))</f>
        <v/>
      </c>
      <c r="AF1545" s="46">
        <f>AE1545*IF(B1545&gt;=in_marketplace_from,d_hz_hlth_small*G1545,0)</f>
        <v/>
      </c>
      <c r="AG1545" s="14">
        <f>F1545*AF1545*in_hlth_small_ticket*in_hlth_small_comm*in_ins_partner_share+F1545*in_hlth_small_ticket*in_hlth_small_renew_comm*in_ins_partner_share*(in_hlth_small_renew^1*SUMIFS(AF1532:AF1555,B1532:B1555,B1545-12)+in_hlth_small_renew^2*SUMIFS(AF1532:AF1555,B1532:B1555,B1545-24)+in_hlth_small_renew^3*SUMIFS(AF1532:AF1555,B1532:B1555,B1545-36)+in_hlth_small_renew^4*SUMIFS(AF1532:AF1555,B1532:B1555,B1545-48))</f>
        <v/>
      </c>
      <c r="AH1545" s="40">
        <f>AH1544*(1-IF(B1544&gt;=in_marketplace_from,d_hz_hlth_family*G1544,0))</f>
        <v/>
      </c>
      <c r="AI1545" s="46">
        <f>AH1545*IF(B1545&gt;=in_marketplace_from,d_hz_hlth_family*G1545,0)</f>
        <v/>
      </c>
      <c r="AJ1545" s="14">
        <f>F1545*AI1545*in_hlth_family_ticket*in_hlth_family_comm*in_ins_partner_share+F1545*in_hlth_family_ticket*in_hlth_family_renew_comm*in_ins_partner_share*(in_hlth_family_renew^1*SUMIFS(AI1532:AI1555,B1532:B1555,B1545-12)+in_hlth_family_renew^2*SUMIFS(AI1532:AI1555,B1532:B1555,B1545-24)+in_hlth_family_renew^3*SUMIFS(AI1532:AI1555,B1532:B1555,B1545-36)+in_hlth_family_renew^4*SUMIFS(AI1532:AI1555,B1532:B1555,B1545-48))</f>
        <v/>
      </c>
      <c r="AK1545" s="40">
        <f>AK1544*(1-IF(B1544&gt;=in_marketplace_from,d_hz_life_term*G1544,0))</f>
        <v/>
      </c>
      <c r="AL1545" s="46">
        <f>AK1545*IF(B1545&gt;=in_marketplace_from,d_hz_life_term*G1545,0)</f>
        <v/>
      </c>
      <c r="AM1545" s="14">
        <f>F1545*AL1545*in_life_term_ticket*in_life_term_comm*in_ins_partner_share+F1545*in_life_term_ticket*in_life_term_renew_comm*in_ins_partner_share*(in_life_term_renew^1*SUMIFS(AL1532:AL1555,B1532:B1555,B1545-12)+in_life_term_renew^2*SUMIFS(AL1532:AL1555,B1532:B1555,B1545-24)+in_life_term_renew^3*SUMIFS(AL1532:AL1555,B1532:B1555,B1545-36)+in_life_term_renew^4*SUMIFS(AL1532:AL1555,B1532:B1555,B1545-48))</f>
        <v/>
      </c>
      <c r="AN1545" s="40">
        <f>AN1544*(1-IF(B1544&gt;=in_marketplace_from,d_hz_accident*G1544,0))</f>
        <v/>
      </c>
      <c r="AO1545" s="46">
        <f>AN1545*IF(B1545&gt;=in_marketplace_from,d_hz_accident*G1545,0)</f>
        <v/>
      </c>
      <c r="AP1545" s="14">
        <f>F1545*AO1545*in_accident_ticket*in_accident_comm*in_ins_partner_share+F1545*in_accident_ticket*in_accident_renew_comm*in_ins_partner_share*(in_accident_renew^1*SUMIFS(AO1532:AO1555,B1532:B1555,B1545-12)+in_accident_renew^2*SUMIFS(AO1532:AO1555,B1532:B1555,B1545-24)+in_accident_renew^3*SUMIFS(AO1532:AO1555,B1532:B1555,B1545-36)+in_accident_renew^4*SUMIFS(AO1532:AO1555,B1532:B1555,B1545-48))</f>
        <v/>
      </c>
      <c r="AQ1545" s="40">
        <f>AQ1544*(1-IF(B1544&gt;=in_marketplace_from,d_hz_two_wheeler*G1544,0))</f>
        <v/>
      </c>
      <c r="AR1545" s="46">
        <f>AQ1545*IF(B1545&gt;=in_marketplace_from,d_hz_two_wheeler*G1545,0)</f>
        <v/>
      </c>
      <c r="AS1545" s="14">
        <f>F1545*AR1545*in_two_wheeler_ticket*in_two_wheeler_comm*in_ins_partner_share+F1545*in_two_wheeler_ticket*in_two_wheeler_comm*in_ins_partner_share*(in_two_wheeler_renew^1*SUMIFS(AR1532:AR1555,B1532:B1555,B1545-12)+in_two_wheeler_renew^2*SUMIFS(AR1532:AR1555,B1532:B1555,B1545-24)+in_two_wheeler_renew^3*SUMIFS(AR1532:AR1555,B1532:B1555,B1545-36)+in_two_wheeler_renew^4*SUMIFS(AR1532:AR1555,B1532:B1555,B1545-48))</f>
        <v/>
      </c>
      <c r="AT1545" s="40">
        <f>AT1544*(1-IF(B1544&gt;=in_marketplace_from,d_hz_device*G1544,0))</f>
        <v/>
      </c>
      <c r="AU1545" s="14">
        <f>F1545*AT1545*IF(B1545&gt;=in_marketplace_from,d_hz_device*G1545,0)*in_device_ticket*in_device_comm*in_ins_partner_share</f>
        <v/>
      </c>
      <c r="AV1545" s="40">
        <f>AV1544*(1-IF(B1544&gt;=in_marketplace_from,d_hz_shop*G1544,0))</f>
        <v/>
      </c>
      <c r="AW1545" s="46">
        <f>AV1545*IF(B1545&gt;=in_marketplace_from,d_hz_shop*G1545,0)</f>
        <v/>
      </c>
      <c r="AX1545" s="14">
        <f>F1545*AW1545*in_shop_ticket*in_shop_comm*in_ins_partner_share+F1545*in_shop_ticket*in_shop_renew_comm*in_ins_partner_share*(in_shop_renew^1*SUMIFS(AW1532:AW1555,B1532:B1555,B1545-12)+in_shop_renew^2*SUMIFS(AW1532:AW1555,B1532:B1555,B1545-24)+in_shop_renew^3*SUMIFS(AW1532:AW1555,B1532:B1555,B1545-36)+in_shop_renew^4*SUMIFS(AW1532:AW1555,B1532:B1555,B1545-48))</f>
        <v/>
      </c>
      <c r="AY1545" s="40">
        <f>AY1544*(1-IF(B1544&gt;=in_marketplace_from,d_hz_sip*G1544,0))</f>
        <v/>
      </c>
      <c r="AZ1545" s="40">
        <f>AZ1544*d_rho_sip+AY1545*IF(B1545&gt;=in_marketplace_from,d_hz_sip*G1545,0)</f>
        <v/>
      </c>
      <c r="BA1545" s="40">
        <f>d_rho_sip*(BA1544+AZ1544)</f>
        <v/>
      </c>
      <c r="BB1545" s="14">
        <f>F1545*in_sip_ticket*(BA1545+0.5*AZ1545)*in_sip_comm/12</f>
        <v/>
      </c>
      <c r="BC1545" s="40">
        <f>BC1544*(1-IF(B1544&gt;=in_marketplace_from,d_hz_choti*G1544,0))</f>
        <v/>
      </c>
      <c r="BD1545" s="46">
        <f>BC1545*IF(B1545&gt;=in_marketplace_from,d_hz_choti*G1545,0)</f>
        <v/>
      </c>
      <c r="BE1545" s="14">
        <f>F1545*SUMIFS(BD1532:BD1555,B1532:B1555,B1545-in_choti_months)*in_choti_renew*in_choti_ticket</f>
        <v/>
      </c>
      <c r="BF1545" s="40">
        <f>BF1544*(1-IF(B1544&gt;=in_marketplace_from,d_hz_nps*G1544,0))</f>
        <v/>
      </c>
      <c r="BG1545" s="14">
        <f>F1545*BF1545*IF(B1545&gt;=in_marketplace_from,d_hz_nps*G1545,0)*in_nps_ticket*in_nps_comm</f>
        <v/>
      </c>
      <c r="BH1545" s="40">
        <f>BH1544*(1-IF(B1544&gt;=in_marketplace_from,d_hz_gold*G1544,0))</f>
        <v/>
      </c>
      <c r="BI1545" s="40">
        <f>BI1544*d_rho_gold+BH1545*IF(B1545&gt;=in_marketplace_from,d_hz_gold*G1545,0)</f>
        <v/>
      </c>
      <c r="BJ1545" s="14">
        <f>F1545*BI1545*in_gold_ticket*in_gold_comm</f>
        <v/>
      </c>
      <c r="BK1545" s="40">
        <f>BK1544*(1-IF(B1544&gt;=in_marketplace_from,d_hz_fd*G1544,0))</f>
        <v/>
      </c>
      <c r="BL1545" s="14">
        <f>F1545*BK1545*IF(B1545&gt;=in_marketplace_from,d_hz_fd*G1545,0)*in_fd_ticket*in_fd_comm</f>
        <v/>
      </c>
      <c r="BM1545" s="40">
        <f>BM1544*(1-IF(B1544&gt;=in_marketplace_from,d_hz_recharge*G1544,0))</f>
        <v/>
      </c>
      <c r="BN1545" s="40">
        <f>BN1544*d_rho_recharge+BM1545*IF(B1545&gt;=in_marketplace_from,d_hz_recharge*G1545,0)</f>
        <v/>
      </c>
      <c r="BO1545" s="14">
        <f>F1545*BN1545*in_recharge_ticket*in_recharge_comm/12</f>
        <v/>
      </c>
      <c r="BP1545" s="40">
        <f>BP1544*(1-IF(B1544&gt;=in_marketplace_from,d_hz_bills*G1544,0))</f>
        <v/>
      </c>
      <c r="BQ1545" s="40">
        <f>BQ1544*d_rho_bills+BP1545*IF(B1545&gt;=in_marketplace_from,d_hz_bills*G1545,0)</f>
        <v/>
      </c>
      <c r="BR1545" s="14">
        <f>F1545*BQ1545*in_bills_ticket*in_bills_comm/12</f>
        <v/>
      </c>
      <c r="BS1545" s="40">
        <f>BS1544*(1-IF(B1544&gt;=in_marketplace_from,d_hz_loan_gold*G1544,0))</f>
        <v/>
      </c>
      <c r="BT1545" s="14">
        <f>F1545*BS1545*IF(B1545&gt;=in_marketplace_from,d_hz_loan_gold*G1545,0)*in_loan_gold_ticket*in_loan_gold_comm</f>
        <v/>
      </c>
      <c r="BU1545" s="40">
        <f>BU1544*(1-IF(B1544&gt;=in_marketplace_from,d_hz_loan_cd*G1544,0))</f>
        <v/>
      </c>
      <c r="BV1545" s="14">
        <f>F1545*BU1545*IF(B1545&gt;=in_marketplace_from,d_hz_loan_cd*G1545,0)*in_loan_cd_ticket*in_loan_cd_comm</f>
        <v/>
      </c>
      <c r="BW1545" s="40">
        <f>BW1544*(1-IF(B1544&gt;=in_marketplace_from,d_hz_loan_vehicle*G1544,0))</f>
        <v/>
      </c>
      <c r="BX1545" s="14">
        <f>F1545*BW1545*IF(B1545&gt;=in_marketplace_from,d_hz_loan_vehicle*G1545,0)*in_loan_vehicle_ticket*in_loan_vehicle_comm</f>
        <v/>
      </c>
      <c r="BY1545" s="40">
        <f>BY1544*(1-IF(B1544&gt;=in_marketplace_from,d_hz_loan_home*G1544,0)*BZ1544)</f>
        <v/>
      </c>
      <c r="BZ1545" s="11">
        <f>MIN(in_approval_cap,in_loan_home_approval*INDEX('Age profile'!$O$2:$O$61,B1545)*(1+in_approval_growth)^(D1545-1))</f>
        <v/>
      </c>
      <c r="CA1545" s="14">
        <f>F1545*BY1545*IF(B1545&gt;=in_marketplace_from,d_hz_loan_home*G1545,0)*BZ1545*in_loan_home_ticket*in_loan_home_comm</f>
        <v/>
      </c>
      <c r="CB1545" s="40">
        <f>CB1544*(1-IF(B1544&gt;=in_marketplace_from,d_hz_loan_lap*G1544,0)*CC1544)</f>
        <v/>
      </c>
      <c r="CC1545" s="11">
        <f>MIN(in_approval_cap,in_loan_lap_approval*INDEX('Age profile'!$O$2:$O$61,B1545)*(1+in_approval_growth)^(D1545-1))</f>
        <v/>
      </c>
      <c r="CD1545" s="14">
        <f>F1545*CB1545*IF(B1545&gt;=in_marketplace_from,d_hz_loan_lap*G1545,0)*CC1545*in_loan_lap_ticket*in_loan_lap_comm</f>
        <v/>
      </c>
      <c r="CE1545" s="14">
        <f>AA1545+AB1545+AC1545+AD1545+AG1545+AJ1545+AM1545+AP1545+AS1545+AU1545+AX1545+BB1545+BE1545+BG1545+BJ1545+BL1545+BO1545+BR1545+BT1545+BV1545+BX1545+CA1545+CD1545</f>
        <v/>
      </c>
    </row>
    <row r="1546">
      <c r="A1546" s="39" t="n">
        <v>37</v>
      </c>
      <c r="B1546" s="39" t="n">
        <v>15</v>
      </c>
      <c r="C1546" s="39">
        <f>A1546+B1546-1</f>
        <v/>
      </c>
      <c r="D1546" s="39">
        <f>INT((C1546-1)/12)+1</f>
        <v/>
      </c>
      <c r="E1546" s="44">
        <f>INDEX(Monthly!$B$2:$B$61,A1546)</f>
        <v/>
      </c>
      <c r="F1546" s="44">
        <f>E1546*INDEX('Age profile'!$B$2:$B$61,B1546)</f>
        <v/>
      </c>
      <c r="G1546" s="45">
        <f>MIN(in_takeup_cap,INDEX('Age profile'!$N$2:$N$61,B1546)*(1+in_takeup_growth)^(D1546-1))</f>
        <v/>
      </c>
      <c r="H1546" s="11">
        <f>MIN(in_approval_cap,in_approved_first*INDEX('Age profile'!$O$2:$O$61,B1546)*(1+in_approval_growth)^(D1546-1))</f>
        <v/>
      </c>
      <c r="I1546" s="45">
        <f>G1546*MIN(in_takeup_cap,INDEX('Age profile'!$O$2:$O$61,B1546)*(1+in_approval_growth)^(D1546-1))</f>
        <v/>
      </c>
      <c r="J1546" s="40">
        <f>(J1545-L1545)*F1546/F1545</f>
        <v/>
      </c>
      <c r="K1546" s="40">
        <f>(K1545-M1545)*F1546/F1545+SUMIFS(O1532:O1545,B1532:B1545,B1546-1-d_T)*F1546</f>
        <v/>
      </c>
      <c r="L1546" s="40">
        <f>IF(B1546&gt;=in_marketplace_from,J1546*d_hz*G1546*in_eligible*H1546,0)</f>
        <v/>
      </c>
      <c r="M1546" s="40">
        <f>IF(B1546&gt;=in_marketplace_from,K1546*d_hz*G1546*in_eligible*in_approved_repeat,0)</f>
        <v/>
      </c>
      <c r="N1546" s="40">
        <f>L1546+M1546</f>
        <v/>
      </c>
      <c r="O1546" s="46">
        <f>N1546/F1546</f>
        <v/>
      </c>
      <c r="P1546" s="40">
        <f>F1546-J1546-K1546</f>
        <v/>
      </c>
      <c r="Q1546" s="40">
        <f>IF(B1546&gt;=in_marketplace_from,(J1546+K1546)*d_hz*G1546,0)</f>
        <v/>
      </c>
      <c r="R1546" s="40">
        <f>SUMIFS(N1532:N1555,B1532:B1555,"&gt;="&amp;(B1546-d_T),B1532:B1555,"&lt;="&amp;(B1546-1))</f>
        <v/>
      </c>
      <c r="S1546" s="46">
        <f>(1-d_u)*S1545+IF(d_T&gt;in_topup_lag,SUMIFS(O1532:O1555,B1532:B1555,B1546-in_topup_lag)-d_udrop*SUMIFS(O1532:O1555,B1532:B1555,B1546-d_T),0)</f>
        <v/>
      </c>
      <c r="T1546" s="40">
        <f>F1546*d_u*S1546</f>
        <v/>
      </c>
      <c r="U1546" s="9">
        <f>L1546*in_ticket+M1546*d_rep_ticket</f>
        <v/>
      </c>
      <c r="V1546" s="9">
        <f>U1546+T1546*d_topup_amt</f>
        <v/>
      </c>
      <c r="W1546" s="40">
        <f>N1546+T1546*d_topup_ratio</f>
        <v/>
      </c>
      <c r="X1546" s="40">
        <f>SUMIFS(W1532:W1555,B1532:B1555,B1546-in_dpd_lag)*d_cured</f>
        <v/>
      </c>
      <c r="Y1546" s="40">
        <f>SUMIFS(W1532:W1555,B1532:B1555,B1546-in_rec_lag)*d_recd</f>
        <v/>
      </c>
      <c r="Z1546" s="40">
        <f>IF(AND(B1546&gt;=in_marketplace_from,B1546&lt;in_marketplace_from+in_card_months),in_card_share/in_card_months*F1546*I1546,IF(AND(B1546&gt;=in_marketplace_from+in_card_months,B1546&lt;in_marketplace_from+2*in_card_months),in_card_share*d_card_rem/in_card_months*F1546*MIN(in_takeup_cap,(1+in_takeup_growth)^(D1546-1))*MIN(in_takeup_cap,(1+in_approval_growth)^(D1546-1)),0))</f>
        <v/>
      </c>
      <c r="AA1546" s="14">
        <f>V1546*in_fee*(1-in_taken_back)</f>
        <v/>
      </c>
      <c r="AB1546" s="14">
        <f>SUMIFS(W1532:W1555,B1532:B1555,B1546-in_dpd_lag)*d_dpd</f>
        <v/>
      </c>
      <c r="AC1546" s="14">
        <f>SUMIFS(W1532:W1555,B1532:B1555,B1546-in_rec_lag)*d_rec</f>
        <v/>
      </c>
      <c r="AD1546" s="14">
        <f>Z1546*in_card_fee</f>
        <v/>
      </c>
      <c r="AE1546" s="40">
        <f>AE1545*(1-IF(B1545&gt;=in_marketplace_from,d_hz_hlth_small*G1545,0))</f>
        <v/>
      </c>
      <c r="AF1546" s="46">
        <f>AE1546*IF(B1546&gt;=in_marketplace_from,d_hz_hlth_small*G1546,0)</f>
        <v/>
      </c>
      <c r="AG1546" s="14">
        <f>F1546*AF1546*in_hlth_small_ticket*in_hlth_small_comm*in_ins_partner_share+F1546*in_hlth_small_ticket*in_hlth_small_renew_comm*in_ins_partner_share*(in_hlth_small_renew^1*SUMIFS(AF1532:AF1555,B1532:B1555,B1546-12)+in_hlth_small_renew^2*SUMIFS(AF1532:AF1555,B1532:B1555,B1546-24)+in_hlth_small_renew^3*SUMIFS(AF1532:AF1555,B1532:B1555,B1546-36)+in_hlth_small_renew^4*SUMIFS(AF1532:AF1555,B1532:B1555,B1546-48))</f>
        <v/>
      </c>
      <c r="AH1546" s="40">
        <f>AH1545*(1-IF(B1545&gt;=in_marketplace_from,d_hz_hlth_family*G1545,0))</f>
        <v/>
      </c>
      <c r="AI1546" s="46">
        <f>AH1546*IF(B1546&gt;=in_marketplace_from,d_hz_hlth_family*G1546,0)</f>
        <v/>
      </c>
      <c r="AJ1546" s="14">
        <f>F1546*AI1546*in_hlth_family_ticket*in_hlth_family_comm*in_ins_partner_share+F1546*in_hlth_family_ticket*in_hlth_family_renew_comm*in_ins_partner_share*(in_hlth_family_renew^1*SUMIFS(AI1532:AI1555,B1532:B1555,B1546-12)+in_hlth_family_renew^2*SUMIFS(AI1532:AI1555,B1532:B1555,B1546-24)+in_hlth_family_renew^3*SUMIFS(AI1532:AI1555,B1532:B1555,B1546-36)+in_hlth_family_renew^4*SUMIFS(AI1532:AI1555,B1532:B1555,B1546-48))</f>
        <v/>
      </c>
      <c r="AK1546" s="40">
        <f>AK1545*(1-IF(B1545&gt;=in_marketplace_from,d_hz_life_term*G1545,0))</f>
        <v/>
      </c>
      <c r="AL1546" s="46">
        <f>AK1546*IF(B1546&gt;=in_marketplace_from,d_hz_life_term*G1546,0)</f>
        <v/>
      </c>
      <c r="AM1546" s="14">
        <f>F1546*AL1546*in_life_term_ticket*in_life_term_comm*in_ins_partner_share+F1546*in_life_term_ticket*in_life_term_renew_comm*in_ins_partner_share*(in_life_term_renew^1*SUMIFS(AL1532:AL1555,B1532:B1555,B1546-12)+in_life_term_renew^2*SUMIFS(AL1532:AL1555,B1532:B1555,B1546-24)+in_life_term_renew^3*SUMIFS(AL1532:AL1555,B1532:B1555,B1546-36)+in_life_term_renew^4*SUMIFS(AL1532:AL1555,B1532:B1555,B1546-48))</f>
        <v/>
      </c>
      <c r="AN1546" s="40">
        <f>AN1545*(1-IF(B1545&gt;=in_marketplace_from,d_hz_accident*G1545,0))</f>
        <v/>
      </c>
      <c r="AO1546" s="46">
        <f>AN1546*IF(B1546&gt;=in_marketplace_from,d_hz_accident*G1546,0)</f>
        <v/>
      </c>
      <c r="AP1546" s="14">
        <f>F1546*AO1546*in_accident_ticket*in_accident_comm*in_ins_partner_share+F1546*in_accident_ticket*in_accident_renew_comm*in_ins_partner_share*(in_accident_renew^1*SUMIFS(AO1532:AO1555,B1532:B1555,B1546-12)+in_accident_renew^2*SUMIFS(AO1532:AO1555,B1532:B1555,B1546-24)+in_accident_renew^3*SUMIFS(AO1532:AO1555,B1532:B1555,B1546-36)+in_accident_renew^4*SUMIFS(AO1532:AO1555,B1532:B1555,B1546-48))</f>
        <v/>
      </c>
      <c r="AQ1546" s="40">
        <f>AQ1545*(1-IF(B1545&gt;=in_marketplace_from,d_hz_two_wheeler*G1545,0))</f>
        <v/>
      </c>
      <c r="AR1546" s="46">
        <f>AQ1546*IF(B1546&gt;=in_marketplace_from,d_hz_two_wheeler*G1546,0)</f>
        <v/>
      </c>
      <c r="AS1546" s="14">
        <f>F1546*AR1546*in_two_wheeler_ticket*in_two_wheeler_comm*in_ins_partner_share+F1546*in_two_wheeler_ticket*in_two_wheeler_comm*in_ins_partner_share*(in_two_wheeler_renew^1*SUMIFS(AR1532:AR1555,B1532:B1555,B1546-12)+in_two_wheeler_renew^2*SUMIFS(AR1532:AR1555,B1532:B1555,B1546-24)+in_two_wheeler_renew^3*SUMIFS(AR1532:AR1555,B1532:B1555,B1546-36)+in_two_wheeler_renew^4*SUMIFS(AR1532:AR1555,B1532:B1555,B1546-48))</f>
        <v/>
      </c>
      <c r="AT1546" s="40">
        <f>AT1545*(1-IF(B1545&gt;=in_marketplace_from,d_hz_device*G1545,0))</f>
        <v/>
      </c>
      <c r="AU1546" s="14">
        <f>F1546*AT1546*IF(B1546&gt;=in_marketplace_from,d_hz_device*G1546,0)*in_device_ticket*in_device_comm*in_ins_partner_share</f>
        <v/>
      </c>
      <c r="AV1546" s="40">
        <f>AV1545*(1-IF(B1545&gt;=in_marketplace_from,d_hz_shop*G1545,0))</f>
        <v/>
      </c>
      <c r="AW1546" s="46">
        <f>AV1546*IF(B1546&gt;=in_marketplace_from,d_hz_shop*G1546,0)</f>
        <v/>
      </c>
      <c r="AX1546" s="14">
        <f>F1546*AW1546*in_shop_ticket*in_shop_comm*in_ins_partner_share+F1546*in_shop_ticket*in_shop_renew_comm*in_ins_partner_share*(in_shop_renew^1*SUMIFS(AW1532:AW1555,B1532:B1555,B1546-12)+in_shop_renew^2*SUMIFS(AW1532:AW1555,B1532:B1555,B1546-24)+in_shop_renew^3*SUMIFS(AW1532:AW1555,B1532:B1555,B1546-36)+in_shop_renew^4*SUMIFS(AW1532:AW1555,B1532:B1555,B1546-48))</f>
        <v/>
      </c>
      <c r="AY1546" s="40">
        <f>AY1545*(1-IF(B1545&gt;=in_marketplace_from,d_hz_sip*G1545,0))</f>
        <v/>
      </c>
      <c r="AZ1546" s="40">
        <f>AZ1545*d_rho_sip+AY1546*IF(B1546&gt;=in_marketplace_from,d_hz_sip*G1546,0)</f>
        <v/>
      </c>
      <c r="BA1546" s="40">
        <f>d_rho_sip*(BA1545+AZ1545)</f>
        <v/>
      </c>
      <c r="BB1546" s="14">
        <f>F1546*in_sip_ticket*(BA1546+0.5*AZ1546)*in_sip_comm/12</f>
        <v/>
      </c>
      <c r="BC1546" s="40">
        <f>BC1545*(1-IF(B1545&gt;=in_marketplace_from,d_hz_choti*G1545,0))</f>
        <v/>
      </c>
      <c r="BD1546" s="46">
        <f>BC1546*IF(B1546&gt;=in_marketplace_from,d_hz_choti*G1546,0)</f>
        <v/>
      </c>
      <c r="BE1546" s="14">
        <f>F1546*SUMIFS(BD1532:BD1555,B1532:B1555,B1546-in_choti_months)*in_choti_renew*in_choti_ticket</f>
        <v/>
      </c>
      <c r="BF1546" s="40">
        <f>BF1545*(1-IF(B1545&gt;=in_marketplace_from,d_hz_nps*G1545,0))</f>
        <v/>
      </c>
      <c r="BG1546" s="14">
        <f>F1546*BF1546*IF(B1546&gt;=in_marketplace_from,d_hz_nps*G1546,0)*in_nps_ticket*in_nps_comm</f>
        <v/>
      </c>
      <c r="BH1546" s="40">
        <f>BH1545*(1-IF(B1545&gt;=in_marketplace_from,d_hz_gold*G1545,0))</f>
        <v/>
      </c>
      <c r="BI1546" s="40">
        <f>BI1545*d_rho_gold+BH1546*IF(B1546&gt;=in_marketplace_from,d_hz_gold*G1546,0)</f>
        <v/>
      </c>
      <c r="BJ1546" s="14">
        <f>F1546*BI1546*in_gold_ticket*in_gold_comm</f>
        <v/>
      </c>
      <c r="BK1546" s="40">
        <f>BK1545*(1-IF(B1545&gt;=in_marketplace_from,d_hz_fd*G1545,0))</f>
        <v/>
      </c>
      <c r="BL1546" s="14">
        <f>F1546*BK1546*IF(B1546&gt;=in_marketplace_from,d_hz_fd*G1546,0)*in_fd_ticket*in_fd_comm</f>
        <v/>
      </c>
      <c r="BM1546" s="40">
        <f>BM1545*(1-IF(B1545&gt;=in_marketplace_from,d_hz_recharge*G1545,0))</f>
        <v/>
      </c>
      <c r="BN1546" s="40">
        <f>BN1545*d_rho_recharge+BM1546*IF(B1546&gt;=in_marketplace_from,d_hz_recharge*G1546,0)</f>
        <v/>
      </c>
      <c r="BO1546" s="14">
        <f>F1546*BN1546*in_recharge_ticket*in_recharge_comm/12</f>
        <v/>
      </c>
      <c r="BP1546" s="40">
        <f>BP1545*(1-IF(B1545&gt;=in_marketplace_from,d_hz_bills*G1545,0))</f>
        <v/>
      </c>
      <c r="BQ1546" s="40">
        <f>BQ1545*d_rho_bills+BP1546*IF(B1546&gt;=in_marketplace_from,d_hz_bills*G1546,0)</f>
        <v/>
      </c>
      <c r="BR1546" s="14">
        <f>F1546*BQ1546*in_bills_ticket*in_bills_comm/12</f>
        <v/>
      </c>
      <c r="BS1546" s="40">
        <f>BS1545*(1-IF(B1545&gt;=in_marketplace_from,d_hz_loan_gold*G1545,0))</f>
        <v/>
      </c>
      <c r="BT1546" s="14">
        <f>F1546*BS1546*IF(B1546&gt;=in_marketplace_from,d_hz_loan_gold*G1546,0)*in_loan_gold_ticket*in_loan_gold_comm</f>
        <v/>
      </c>
      <c r="BU1546" s="40">
        <f>BU1545*(1-IF(B1545&gt;=in_marketplace_from,d_hz_loan_cd*G1545,0))</f>
        <v/>
      </c>
      <c r="BV1546" s="14">
        <f>F1546*BU1546*IF(B1546&gt;=in_marketplace_from,d_hz_loan_cd*G1546,0)*in_loan_cd_ticket*in_loan_cd_comm</f>
        <v/>
      </c>
      <c r="BW1546" s="40">
        <f>BW1545*(1-IF(B1545&gt;=in_marketplace_from,d_hz_loan_vehicle*G1545,0))</f>
        <v/>
      </c>
      <c r="BX1546" s="14">
        <f>F1546*BW1546*IF(B1546&gt;=in_marketplace_from,d_hz_loan_vehicle*G1546,0)*in_loan_vehicle_ticket*in_loan_vehicle_comm</f>
        <v/>
      </c>
      <c r="BY1546" s="40">
        <f>BY1545*(1-IF(B1545&gt;=in_marketplace_from,d_hz_loan_home*G1545,0)*BZ1545)</f>
        <v/>
      </c>
      <c r="BZ1546" s="11">
        <f>MIN(in_approval_cap,in_loan_home_approval*INDEX('Age profile'!$O$2:$O$61,B1546)*(1+in_approval_growth)^(D1546-1))</f>
        <v/>
      </c>
      <c r="CA1546" s="14">
        <f>F1546*BY1546*IF(B1546&gt;=in_marketplace_from,d_hz_loan_home*G1546,0)*BZ1546*in_loan_home_ticket*in_loan_home_comm</f>
        <v/>
      </c>
      <c r="CB1546" s="40">
        <f>CB1545*(1-IF(B1545&gt;=in_marketplace_from,d_hz_loan_lap*G1545,0)*CC1545)</f>
        <v/>
      </c>
      <c r="CC1546" s="11">
        <f>MIN(in_approval_cap,in_loan_lap_approval*INDEX('Age profile'!$O$2:$O$61,B1546)*(1+in_approval_growth)^(D1546-1))</f>
        <v/>
      </c>
      <c r="CD1546" s="14">
        <f>F1546*CB1546*IF(B1546&gt;=in_marketplace_from,d_hz_loan_lap*G1546,0)*CC1546*in_loan_lap_ticket*in_loan_lap_comm</f>
        <v/>
      </c>
      <c r="CE1546" s="14">
        <f>AA1546+AB1546+AC1546+AD1546+AG1546+AJ1546+AM1546+AP1546+AS1546+AU1546+AX1546+BB1546+BE1546+BG1546+BJ1546+BL1546+BO1546+BR1546+BT1546+BV1546+BX1546+CA1546+CD1546</f>
        <v/>
      </c>
    </row>
    <row r="1547">
      <c r="A1547" s="39" t="n">
        <v>37</v>
      </c>
      <c r="B1547" s="39" t="n">
        <v>16</v>
      </c>
      <c r="C1547" s="39">
        <f>A1547+B1547-1</f>
        <v/>
      </c>
      <c r="D1547" s="39">
        <f>INT((C1547-1)/12)+1</f>
        <v/>
      </c>
      <c r="E1547" s="44">
        <f>INDEX(Monthly!$B$2:$B$61,A1547)</f>
        <v/>
      </c>
      <c r="F1547" s="44">
        <f>E1547*INDEX('Age profile'!$B$2:$B$61,B1547)</f>
        <v/>
      </c>
      <c r="G1547" s="45">
        <f>MIN(in_takeup_cap,INDEX('Age profile'!$N$2:$N$61,B1547)*(1+in_takeup_growth)^(D1547-1))</f>
        <v/>
      </c>
      <c r="H1547" s="11">
        <f>MIN(in_approval_cap,in_approved_first*INDEX('Age profile'!$O$2:$O$61,B1547)*(1+in_approval_growth)^(D1547-1))</f>
        <v/>
      </c>
      <c r="I1547" s="45">
        <f>G1547*MIN(in_takeup_cap,INDEX('Age profile'!$O$2:$O$61,B1547)*(1+in_approval_growth)^(D1547-1))</f>
        <v/>
      </c>
      <c r="J1547" s="40">
        <f>(J1546-L1546)*F1547/F1546</f>
        <v/>
      </c>
      <c r="K1547" s="40">
        <f>(K1546-M1546)*F1547/F1546+SUMIFS(O1532:O1546,B1532:B1546,B1547-1-d_T)*F1547</f>
        <v/>
      </c>
      <c r="L1547" s="40">
        <f>IF(B1547&gt;=in_marketplace_from,J1547*d_hz*G1547*in_eligible*H1547,0)</f>
        <v/>
      </c>
      <c r="M1547" s="40">
        <f>IF(B1547&gt;=in_marketplace_from,K1547*d_hz*G1547*in_eligible*in_approved_repeat,0)</f>
        <v/>
      </c>
      <c r="N1547" s="40">
        <f>L1547+M1547</f>
        <v/>
      </c>
      <c r="O1547" s="46">
        <f>N1547/F1547</f>
        <v/>
      </c>
      <c r="P1547" s="40">
        <f>F1547-J1547-K1547</f>
        <v/>
      </c>
      <c r="Q1547" s="40">
        <f>IF(B1547&gt;=in_marketplace_from,(J1547+K1547)*d_hz*G1547,0)</f>
        <v/>
      </c>
      <c r="R1547" s="40">
        <f>SUMIFS(N1532:N1555,B1532:B1555,"&gt;="&amp;(B1547-d_T),B1532:B1555,"&lt;="&amp;(B1547-1))</f>
        <v/>
      </c>
      <c r="S1547" s="46">
        <f>(1-d_u)*S1546+IF(d_T&gt;in_topup_lag,SUMIFS(O1532:O1555,B1532:B1555,B1547-in_topup_lag)-d_udrop*SUMIFS(O1532:O1555,B1532:B1555,B1547-d_T),0)</f>
        <v/>
      </c>
      <c r="T1547" s="40">
        <f>F1547*d_u*S1547</f>
        <v/>
      </c>
      <c r="U1547" s="9">
        <f>L1547*in_ticket+M1547*d_rep_ticket</f>
        <v/>
      </c>
      <c r="V1547" s="9">
        <f>U1547+T1547*d_topup_amt</f>
        <v/>
      </c>
      <c r="W1547" s="40">
        <f>N1547+T1547*d_topup_ratio</f>
        <v/>
      </c>
      <c r="X1547" s="40">
        <f>SUMIFS(W1532:W1555,B1532:B1555,B1547-in_dpd_lag)*d_cured</f>
        <v/>
      </c>
      <c r="Y1547" s="40">
        <f>SUMIFS(W1532:W1555,B1532:B1555,B1547-in_rec_lag)*d_recd</f>
        <v/>
      </c>
      <c r="Z1547" s="40">
        <f>IF(AND(B1547&gt;=in_marketplace_from,B1547&lt;in_marketplace_from+in_card_months),in_card_share/in_card_months*F1547*I1547,IF(AND(B1547&gt;=in_marketplace_from+in_card_months,B1547&lt;in_marketplace_from+2*in_card_months),in_card_share*d_card_rem/in_card_months*F1547*MIN(in_takeup_cap,(1+in_takeup_growth)^(D1547-1))*MIN(in_takeup_cap,(1+in_approval_growth)^(D1547-1)),0))</f>
        <v/>
      </c>
      <c r="AA1547" s="14">
        <f>V1547*in_fee*(1-in_taken_back)</f>
        <v/>
      </c>
      <c r="AB1547" s="14">
        <f>SUMIFS(W1532:W1555,B1532:B1555,B1547-in_dpd_lag)*d_dpd</f>
        <v/>
      </c>
      <c r="AC1547" s="14">
        <f>SUMIFS(W1532:W1555,B1532:B1555,B1547-in_rec_lag)*d_rec</f>
        <v/>
      </c>
      <c r="AD1547" s="14">
        <f>Z1547*in_card_fee</f>
        <v/>
      </c>
      <c r="AE1547" s="40">
        <f>AE1546*(1-IF(B1546&gt;=in_marketplace_from,d_hz_hlth_small*G1546,0))</f>
        <v/>
      </c>
      <c r="AF1547" s="46">
        <f>AE1547*IF(B1547&gt;=in_marketplace_from,d_hz_hlth_small*G1547,0)</f>
        <v/>
      </c>
      <c r="AG1547" s="14">
        <f>F1547*AF1547*in_hlth_small_ticket*in_hlth_small_comm*in_ins_partner_share+F1547*in_hlth_small_ticket*in_hlth_small_renew_comm*in_ins_partner_share*(in_hlth_small_renew^1*SUMIFS(AF1532:AF1555,B1532:B1555,B1547-12)+in_hlth_small_renew^2*SUMIFS(AF1532:AF1555,B1532:B1555,B1547-24)+in_hlth_small_renew^3*SUMIFS(AF1532:AF1555,B1532:B1555,B1547-36)+in_hlth_small_renew^4*SUMIFS(AF1532:AF1555,B1532:B1555,B1547-48))</f>
        <v/>
      </c>
      <c r="AH1547" s="40">
        <f>AH1546*(1-IF(B1546&gt;=in_marketplace_from,d_hz_hlth_family*G1546,0))</f>
        <v/>
      </c>
      <c r="AI1547" s="46">
        <f>AH1547*IF(B1547&gt;=in_marketplace_from,d_hz_hlth_family*G1547,0)</f>
        <v/>
      </c>
      <c r="AJ1547" s="14">
        <f>F1547*AI1547*in_hlth_family_ticket*in_hlth_family_comm*in_ins_partner_share+F1547*in_hlth_family_ticket*in_hlth_family_renew_comm*in_ins_partner_share*(in_hlth_family_renew^1*SUMIFS(AI1532:AI1555,B1532:B1555,B1547-12)+in_hlth_family_renew^2*SUMIFS(AI1532:AI1555,B1532:B1555,B1547-24)+in_hlth_family_renew^3*SUMIFS(AI1532:AI1555,B1532:B1555,B1547-36)+in_hlth_family_renew^4*SUMIFS(AI1532:AI1555,B1532:B1555,B1547-48))</f>
        <v/>
      </c>
      <c r="AK1547" s="40">
        <f>AK1546*(1-IF(B1546&gt;=in_marketplace_from,d_hz_life_term*G1546,0))</f>
        <v/>
      </c>
      <c r="AL1547" s="46">
        <f>AK1547*IF(B1547&gt;=in_marketplace_from,d_hz_life_term*G1547,0)</f>
        <v/>
      </c>
      <c r="AM1547" s="14">
        <f>F1547*AL1547*in_life_term_ticket*in_life_term_comm*in_ins_partner_share+F1547*in_life_term_ticket*in_life_term_renew_comm*in_ins_partner_share*(in_life_term_renew^1*SUMIFS(AL1532:AL1555,B1532:B1555,B1547-12)+in_life_term_renew^2*SUMIFS(AL1532:AL1555,B1532:B1555,B1547-24)+in_life_term_renew^3*SUMIFS(AL1532:AL1555,B1532:B1555,B1547-36)+in_life_term_renew^4*SUMIFS(AL1532:AL1555,B1532:B1555,B1547-48))</f>
        <v/>
      </c>
      <c r="AN1547" s="40">
        <f>AN1546*(1-IF(B1546&gt;=in_marketplace_from,d_hz_accident*G1546,0))</f>
        <v/>
      </c>
      <c r="AO1547" s="46">
        <f>AN1547*IF(B1547&gt;=in_marketplace_from,d_hz_accident*G1547,0)</f>
        <v/>
      </c>
      <c r="AP1547" s="14">
        <f>F1547*AO1547*in_accident_ticket*in_accident_comm*in_ins_partner_share+F1547*in_accident_ticket*in_accident_renew_comm*in_ins_partner_share*(in_accident_renew^1*SUMIFS(AO1532:AO1555,B1532:B1555,B1547-12)+in_accident_renew^2*SUMIFS(AO1532:AO1555,B1532:B1555,B1547-24)+in_accident_renew^3*SUMIFS(AO1532:AO1555,B1532:B1555,B1547-36)+in_accident_renew^4*SUMIFS(AO1532:AO1555,B1532:B1555,B1547-48))</f>
        <v/>
      </c>
      <c r="AQ1547" s="40">
        <f>AQ1546*(1-IF(B1546&gt;=in_marketplace_from,d_hz_two_wheeler*G1546,0))</f>
        <v/>
      </c>
      <c r="AR1547" s="46">
        <f>AQ1547*IF(B1547&gt;=in_marketplace_from,d_hz_two_wheeler*G1547,0)</f>
        <v/>
      </c>
      <c r="AS1547" s="14">
        <f>F1547*AR1547*in_two_wheeler_ticket*in_two_wheeler_comm*in_ins_partner_share+F1547*in_two_wheeler_ticket*in_two_wheeler_comm*in_ins_partner_share*(in_two_wheeler_renew^1*SUMIFS(AR1532:AR1555,B1532:B1555,B1547-12)+in_two_wheeler_renew^2*SUMIFS(AR1532:AR1555,B1532:B1555,B1547-24)+in_two_wheeler_renew^3*SUMIFS(AR1532:AR1555,B1532:B1555,B1547-36)+in_two_wheeler_renew^4*SUMIFS(AR1532:AR1555,B1532:B1555,B1547-48))</f>
        <v/>
      </c>
      <c r="AT1547" s="40">
        <f>AT1546*(1-IF(B1546&gt;=in_marketplace_from,d_hz_device*G1546,0))</f>
        <v/>
      </c>
      <c r="AU1547" s="14">
        <f>F1547*AT1547*IF(B1547&gt;=in_marketplace_from,d_hz_device*G1547,0)*in_device_ticket*in_device_comm*in_ins_partner_share</f>
        <v/>
      </c>
      <c r="AV1547" s="40">
        <f>AV1546*(1-IF(B1546&gt;=in_marketplace_from,d_hz_shop*G1546,0))</f>
        <v/>
      </c>
      <c r="AW1547" s="46">
        <f>AV1547*IF(B1547&gt;=in_marketplace_from,d_hz_shop*G1547,0)</f>
        <v/>
      </c>
      <c r="AX1547" s="14">
        <f>F1547*AW1547*in_shop_ticket*in_shop_comm*in_ins_partner_share+F1547*in_shop_ticket*in_shop_renew_comm*in_ins_partner_share*(in_shop_renew^1*SUMIFS(AW1532:AW1555,B1532:B1555,B1547-12)+in_shop_renew^2*SUMIFS(AW1532:AW1555,B1532:B1555,B1547-24)+in_shop_renew^3*SUMIFS(AW1532:AW1555,B1532:B1555,B1547-36)+in_shop_renew^4*SUMIFS(AW1532:AW1555,B1532:B1555,B1547-48))</f>
        <v/>
      </c>
      <c r="AY1547" s="40">
        <f>AY1546*(1-IF(B1546&gt;=in_marketplace_from,d_hz_sip*G1546,0))</f>
        <v/>
      </c>
      <c r="AZ1547" s="40">
        <f>AZ1546*d_rho_sip+AY1547*IF(B1547&gt;=in_marketplace_from,d_hz_sip*G1547,0)</f>
        <v/>
      </c>
      <c r="BA1547" s="40">
        <f>d_rho_sip*(BA1546+AZ1546)</f>
        <v/>
      </c>
      <c r="BB1547" s="14">
        <f>F1547*in_sip_ticket*(BA1547+0.5*AZ1547)*in_sip_comm/12</f>
        <v/>
      </c>
      <c r="BC1547" s="40">
        <f>BC1546*(1-IF(B1546&gt;=in_marketplace_from,d_hz_choti*G1546,0))</f>
        <v/>
      </c>
      <c r="BD1547" s="46">
        <f>BC1547*IF(B1547&gt;=in_marketplace_from,d_hz_choti*G1547,0)</f>
        <v/>
      </c>
      <c r="BE1547" s="14">
        <f>F1547*SUMIFS(BD1532:BD1555,B1532:B1555,B1547-in_choti_months)*in_choti_renew*in_choti_ticket</f>
        <v/>
      </c>
      <c r="BF1547" s="40">
        <f>BF1546*(1-IF(B1546&gt;=in_marketplace_from,d_hz_nps*G1546,0))</f>
        <v/>
      </c>
      <c r="BG1547" s="14">
        <f>F1547*BF1547*IF(B1547&gt;=in_marketplace_from,d_hz_nps*G1547,0)*in_nps_ticket*in_nps_comm</f>
        <v/>
      </c>
      <c r="BH1547" s="40">
        <f>BH1546*(1-IF(B1546&gt;=in_marketplace_from,d_hz_gold*G1546,0))</f>
        <v/>
      </c>
      <c r="BI1547" s="40">
        <f>BI1546*d_rho_gold+BH1547*IF(B1547&gt;=in_marketplace_from,d_hz_gold*G1547,0)</f>
        <v/>
      </c>
      <c r="BJ1547" s="14">
        <f>F1547*BI1547*in_gold_ticket*in_gold_comm</f>
        <v/>
      </c>
      <c r="BK1547" s="40">
        <f>BK1546*(1-IF(B1546&gt;=in_marketplace_from,d_hz_fd*G1546,0))</f>
        <v/>
      </c>
      <c r="BL1547" s="14">
        <f>F1547*BK1547*IF(B1547&gt;=in_marketplace_from,d_hz_fd*G1547,0)*in_fd_ticket*in_fd_comm</f>
        <v/>
      </c>
      <c r="BM1547" s="40">
        <f>BM1546*(1-IF(B1546&gt;=in_marketplace_from,d_hz_recharge*G1546,0))</f>
        <v/>
      </c>
      <c r="BN1547" s="40">
        <f>BN1546*d_rho_recharge+BM1547*IF(B1547&gt;=in_marketplace_from,d_hz_recharge*G1547,0)</f>
        <v/>
      </c>
      <c r="BO1547" s="14">
        <f>F1547*BN1547*in_recharge_ticket*in_recharge_comm/12</f>
        <v/>
      </c>
      <c r="BP1547" s="40">
        <f>BP1546*(1-IF(B1546&gt;=in_marketplace_from,d_hz_bills*G1546,0))</f>
        <v/>
      </c>
      <c r="BQ1547" s="40">
        <f>BQ1546*d_rho_bills+BP1547*IF(B1547&gt;=in_marketplace_from,d_hz_bills*G1547,0)</f>
        <v/>
      </c>
      <c r="BR1547" s="14">
        <f>F1547*BQ1547*in_bills_ticket*in_bills_comm/12</f>
        <v/>
      </c>
      <c r="BS1547" s="40">
        <f>BS1546*(1-IF(B1546&gt;=in_marketplace_from,d_hz_loan_gold*G1546,0))</f>
        <v/>
      </c>
      <c r="BT1547" s="14">
        <f>F1547*BS1547*IF(B1547&gt;=in_marketplace_from,d_hz_loan_gold*G1547,0)*in_loan_gold_ticket*in_loan_gold_comm</f>
        <v/>
      </c>
      <c r="BU1547" s="40">
        <f>BU1546*(1-IF(B1546&gt;=in_marketplace_from,d_hz_loan_cd*G1546,0))</f>
        <v/>
      </c>
      <c r="BV1547" s="14">
        <f>F1547*BU1547*IF(B1547&gt;=in_marketplace_from,d_hz_loan_cd*G1547,0)*in_loan_cd_ticket*in_loan_cd_comm</f>
        <v/>
      </c>
      <c r="BW1547" s="40">
        <f>BW1546*(1-IF(B1546&gt;=in_marketplace_from,d_hz_loan_vehicle*G1546,0))</f>
        <v/>
      </c>
      <c r="BX1547" s="14">
        <f>F1547*BW1547*IF(B1547&gt;=in_marketplace_from,d_hz_loan_vehicle*G1547,0)*in_loan_vehicle_ticket*in_loan_vehicle_comm</f>
        <v/>
      </c>
      <c r="BY1547" s="40">
        <f>BY1546*(1-IF(B1546&gt;=in_marketplace_from,d_hz_loan_home*G1546,0)*BZ1546)</f>
        <v/>
      </c>
      <c r="BZ1547" s="11">
        <f>MIN(in_approval_cap,in_loan_home_approval*INDEX('Age profile'!$O$2:$O$61,B1547)*(1+in_approval_growth)^(D1547-1))</f>
        <v/>
      </c>
      <c r="CA1547" s="14">
        <f>F1547*BY1547*IF(B1547&gt;=in_marketplace_from,d_hz_loan_home*G1547,0)*BZ1547*in_loan_home_ticket*in_loan_home_comm</f>
        <v/>
      </c>
      <c r="CB1547" s="40">
        <f>CB1546*(1-IF(B1546&gt;=in_marketplace_from,d_hz_loan_lap*G1546,0)*CC1546)</f>
        <v/>
      </c>
      <c r="CC1547" s="11">
        <f>MIN(in_approval_cap,in_loan_lap_approval*INDEX('Age profile'!$O$2:$O$61,B1547)*(1+in_approval_growth)^(D1547-1))</f>
        <v/>
      </c>
      <c r="CD1547" s="14">
        <f>F1547*CB1547*IF(B1547&gt;=in_marketplace_from,d_hz_loan_lap*G1547,0)*CC1547*in_loan_lap_ticket*in_loan_lap_comm</f>
        <v/>
      </c>
      <c r="CE1547" s="14">
        <f>AA1547+AB1547+AC1547+AD1547+AG1547+AJ1547+AM1547+AP1547+AS1547+AU1547+AX1547+BB1547+BE1547+BG1547+BJ1547+BL1547+BO1547+BR1547+BT1547+BV1547+BX1547+CA1547+CD1547</f>
        <v/>
      </c>
    </row>
    <row r="1548">
      <c r="A1548" s="39" t="n">
        <v>37</v>
      </c>
      <c r="B1548" s="39" t="n">
        <v>17</v>
      </c>
      <c r="C1548" s="39">
        <f>A1548+B1548-1</f>
        <v/>
      </c>
      <c r="D1548" s="39">
        <f>INT((C1548-1)/12)+1</f>
        <v/>
      </c>
      <c r="E1548" s="44">
        <f>INDEX(Monthly!$B$2:$B$61,A1548)</f>
        <v/>
      </c>
      <c r="F1548" s="44">
        <f>E1548*INDEX('Age profile'!$B$2:$B$61,B1548)</f>
        <v/>
      </c>
      <c r="G1548" s="45">
        <f>MIN(in_takeup_cap,INDEX('Age profile'!$N$2:$N$61,B1548)*(1+in_takeup_growth)^(D1548-1))</f>
        <v/>
      </c>
      <c r="H1548" s="11">
        <f>MIN(in_approval_cap,in_approved_first*INDEX('Age profile'!$O$2:$O$61,B1548)*(1+in_approval_growth)^(D1548-1))</f>
        <v/>
      </c>
      <c r="I1548" s="45">
        <f>G1548*MIN(in_takeup_cap,INDEX('Age profile'!$O$2:$O$61,B1548)*(1+in_approval_growth)^(D1548-1))</f>
        <v/>
      </c>
      <c r="J1548" s="40">
        <f>(J1547-L1547)*F1548/F1547</f>
        <v/>
      </c>
      <c r="K1548" s="40">
        <f>(K1547-M1547)*F1548/F1547+SUMIFS(O1532:O1547,B1532:B1547,B1548-1-d_T)*F1548</f>
        <v/>
      </c>
      <c r="L1548" s="40">
        <f>IF(B1548&gt;=in_marketplace_from,J1548*d_hz*G1548*in_eligible*H1548,0)</f>
        <v/>
      </c>
      <c r="M1548" s="40">
        <f>IF(B1548&gt;=in_marketplace_from,K1548*d_hz*G1548*in_eligible*in_approved_repeat,0)</f>
        <v/>
      </c>
      <c r="N1548" s="40">
        <f>L1548+M1548</f>
        <v/>
      </c>
      <c r="O1548" s="46">
        <f>N1548/F1548</f>
        <v/>
      </c>
      <c r="P1548" s="40">
        <f>F1548-J1548-K1548</f>
        <v/>
      </c>
      <c r="Q1548" s="40">
        <f>IF(B1548&gt;=in_marketplace_from,(J1548+K1548)*d_hz*G1548,0)</f>
        <v/>
      </c>
      <c r="R1548" s="40">
        <f>SUMIFS(N1532:N1555,B1532:B1555,"&gt;="&amp;(B1548-d_T),B1532:B1555,"&lt;="&amp;(B1548-1))</f>
        <v/>
      </c>
      <c r="S1548" s="46">
        <f>(1-d_u)*S1547+IF(d_T&gt;in_topup_lag,SUMIFS(O1532:O1555,B1532:B1555,B1548-in_topup_lag)-d_udrop*SUMIFS(O1532:O1555,B1532:B1555,B1548-d_T),0)</f>
        <v/>
      </c>
      <c r="T1548" s="40">
        <f>F1548*d_u*S1548</f>
        <v/>
      </c>
      <c r="U1548" s="9">
        <f>L1548*in_ticket+M1548*d_rep_ticket</f>
        <v/>
      </c>
      <c r="V1548" s="9">
        <f>U1548+T1548*d_topup_amt</f>
        <v/>
      </c>
      <c r="W1548" s="40">
        <f>N1548+T1548*d_topup_ratio</f>
        <v/>
      </c>
      <c r="X1548" s="40">
        <f>SUMIFS(W1532:W1555,B1532:B1555,B1548-in_dpd_lag)*d_cured</f>
        <v/>
      </c>
      <c r="Y1548" s="40">
        <f>SUMIFS(W1532:W1555,B1532:B1555,B1548-in_rec_lag)*d_recd</f>
        <v/>
      </c>
      <c r="Z1548" s="40">
        <f>IF(AND(B1548&gt;=in_marketplace_from,B1548&lt;in_marketplace_from+in_card_months),in_card_share/in_card_months*F1548*I1548,IF(AND(B1548&gt;=in_marketplace_from+in_card_months,B1548&lt;in_marketplace_from+2*in_card_months),in_card_share*d_card_rem/in_card_months*F1548*MIN(in_takeup_cap,(1+in_takeup_growth)^(D1548-1))*MIN(in_takeup_cap,(1+in_approval_growth)^(D1548-1)),0))</f>
        <v/>
      </c>
      <c r="AA1548" s="14">
        <f>V1548*in_fee*(1-in_taken_back)</f>
        <v/>
      </c>
      <c r="AB1548" s="14">
        <f>SUMIFS(W1532:W1555,B1532:B1555,B1548-in_dpd_lag)*d_dpd</f>
        <v/>
      </c>
      <c r="AC1548" s="14">
        <f>SUMIFS(W1532:W1555,B1532:B1555,B1548-in_rec_lag)*d_rec</f>
        <v/>
      </c>
      <c r="AD1548" s="14">
        <f>Z1548*in_card_fee</f>
        <v/>
      </c>
      <c r="AE1548" s="40">
        <f>AE1547*(1-IF(B1547&gt;=in_marketplace_from,d_hz_hlth_small*G1547,0))</f>
        <v/>
      </c>
      <c r="AF1548" s="46">
        <f>AE1548*IF(B1548&gt;=in_marketplace_from,d_hz_hlth_small*G1548,0)</f>
        <v/>
      </c>
      <c r="AG1548" s="14">
        <f>F1548*AF1548*in_hlth_small_ticket*in_hlth_small_comm*in_ins_partner_share+F1548*in_hlth_small_ticket*in_hlth_small_renew_comm*in_ins_partner_share*(in_hlth_small_renew^1*SUMIFS(AF1532:AF1555,B1532:B1555,B1548-12)+in_hlth_small_renew^2*SUMIFS(AF1532:AF1555,B1532:B1555,B1548-24)+in_hlth_small_renew^3*SUMIFS(AF1532:AF1555,B1532:B1555,B1548-36)+in_hlth_small_renew^4*SUMIFS(AF1532:AF1555,B1532:B1555,B1548-48))</f>
        <v/>
      </c>
      <c r="AH1548" s="40">
        <f>AH1547*(1-IF(B1547&gt;=in_marketplace_from,d_hz_hlth_family*G1547,0))</f>
        <v/>
      </c>
      <c r="AI1548" s="46">
        <f>AH1548*IF(B1548&gt;=in_marketplace_from,d_hz_hlth_family*G1548,0)</f>
        <v/>
      </c>
      <c r="AJ1548" s="14">
        <f>F1548*AI1548*in_hlth_family_ticket*in_hlth_family_comm*in_ins_partner_share+F1548*in_hlth_family_ticket*in_hlth_family_renew_comm*in_ins_partner_share*(in_hlth_family_renew^1*SUMIFS(AI1532:AI1555,B1532:B1555,B1548-12)+in_hlth_family_renew^2*SUMIFS(AI1532:AI1555,B1532:B1555,B1548-24)+in_hlth_family_renew^3*SUMIFS(AI1532:AI1555,B1532:B1555,B1548-36)+in_hlth_family_renew^4*SUMIFS(AI1532:AI1555,B1532:B1555,B1548-48))</f>
        <v/>
      </c>
      <c r="AK1548" s="40">
        <f>AK1547*(1-IF(B1547&gt;=in_marketplace_from,d_hz_life_term*G1547,0))</f>
        <v/>
      </c>
      <c r="AL1548" s="46">
        <f>AK1548*IF(B1548&gt;=in_marketplace_from,d_hz_life_term*G1548,0)</f>
        <v/>
      </c>
      <c r="AM1548" s="14">
        <f>F1548*AL1548*in_life_term_ticket*in_life_term_comm*in_ins_partner_share+F1548*in_life_term_ticket*in_life_term_renew_comm*in_ins_partner_share*(in_life_term_renew^1*SUMIFS(AL1532:AL1555,B1532:B1555,B1548-12)+in_life_term_renew^2*SUMIFS(AL1532:AL1555,B1532:B1555,B1548-24)+in_life_term_renew^3*SUMIFS(AL1532:AL1555,B1532:B1555,B1548-36)+in_life_term_renew^4*SUMIFS(AL1532:AL1555,B1532:B1555,B1548-48))</f>
        <v/>
      </c>
      <c r="AN1548" s="40">
        <f>AN1547*(1-IF(B1547&gt;=in_marketplace_from,d_hz_accident*G1547,0))</f>
        <v/>
      </c>
      <c r="AO1548" s="46">
        <f>AN1548*IF(B1548&gt;=in_marketplace_from,d_hz_accident*G1548,0)</f>
        <v/>
      </c>
      <c r="AP1548" s="14">
        <f>F1548*AO1548*in_accident_ticket*in_accident_comm*in_ins_partner_share+F1548*in_accident_ticket*in_accident_renew_comm*in_ins_partner_share*(in_accident_renew^1*SUMIFS(AO1532:AO1555,B1532:B1555,B1548-12)+in_accident_renew^2*SUMIFS(AO1532:AO1555,B1532:B1555,B1548-24)+in_accident_renew^3*SUMIFS(AO1532:AO1555,B1532:B1555,B1548-36)+in_accident_renew^4*SUMIFS(AO1532:AO1555,B1532:B1555,B1548-48))</f>
        <v/>
      </c>
      <c r="AQ1548" s="40">
        <f>AQ1547*(1-IF(B1547&gt;=in_marketplace_from,d_hz_two_wheeler*G1547,0))</f>
        <v/>
      </c>
      <c r="AR1548" s="46">
        <f>AQ1548*IF(B1548&gt;=in_marketplace_from,d_hz_two_wheeler*G1548,0)</f>
        <v/>
      </c>
      <c r="AS1548" s="14">
        <f>F1548*AR1548*in_two_wheeler_ticket*in_two_wheeler_comm*in_ins_partner_share+F1548*in_two_wheeler_ticket*in_two_wheeler_comm*in_ins_partner_share*(in_two_wheeler_renew^1*SUMIFS(AR1532:AR1555,B1532:B1555,B1548-12)+in_two_wheeler_renew^2*SUMIFS(AR1532:AR1555,B1532:B1555,B1548-24)+in_two_wheeler_renew^3*SUMIFS(AR1532:AR1555,B1532:B1555,B1548-36)+in_two_wheeler_renew^4*SUMIFS(AR1532:AR1555,B1532:B1555,B1548-48))</f>
        <v/>
      </c>
      <c r="AT1548" s="40">
        <f>AT1547*(1-IF(B1547&gt;=in_marketplace_from,d_hz_device*G1547,0))</f>
        <v/>
      </c>
      <c r="AU1548" s="14">
        <f>F1548*AT1548*IF(B1548&gt;=in_marketplace_from,d_hz_device*G1548,0)*in_device_ticket*in_device_comm*in_ins_partner_share</f>
        <v/>
      </c>
      <c r="AV1548" s="40">
        <f>AV1547*(1-IF(B1547&gt;=in_marketplace_from,d_hz_shop*G1547,0))</f>
        <v/>
      </c>
      <c r="AW1548" s="46">
        <f>AV1548*IF(B1548&gt;=in_marketplace_from,d_hz_shop*G1548,0)</f>
        <v/>
      </c>
      <c r="AX1548" s="14">
        <f>F1548*AW1548*in_shop_ticket*in_shop_comm*in_ins_partner_share+F1548*in_shop_ticket*in_shop_renew_comm*in_ins_partner_share*(in_shop_renew^1*SUMIFS(AW1532:AW1555,B1532:B1555,B1548-12)+in_shop_renew^2*SUMIFS(AW1532:AW1555,B1532:B1555,B1548-24)+in_shop_renew^3*SUMIFS(AW1532:AW1555,B1532:B1555,B1548-36)+in_shop_renew^4*SUMIFS(AW1532:AW1555,B1532:B1555,B1548-48))</f>
        <v/>
      </c>
      <c r="AY1548" s="40">
        <f>AY1547*(1-IF(B1547&gt;=in_marketplace_from,d_hz_sip*G1547,0))</f>
        <v/>
      </c>
      <c r="AZ1548" s="40">
        <f>AZ1547*d_rho_sip+AY1548*IF(B1548&gt;=in_marketplace_from,d_hz_sip*G1548,0)</f>
        <v/>
      </c>
      <c r="BA1548" s="40">
        <f>d_rho_sip*(BA1547+AZ1547)</f>
        <v/>
      </c>
      <c r="BB1548" s="14">
        <f>F1548*in_sip_ticket*(BA1548+0.5*AZ1548)*in_sip_comm/12</f>
        <v/>
      </c>
      <c r="BC1548" s="40">
        <f>BC1547*(1-IF(B1547&gt;=in_marketplace_from,d_hz_choti*G1547,0))</f>
        <v/>
      </c>
      <c r="BD1548" s="46">
        <f>BC1548*IF(B1548&gt;=in_marketplace_from,d_hz_choti*G1548,0)</f>
        <v/>
      </c>
      <c r="BE1548" s="14">
        <f>F1548*SUMIFS(BD1532:BD1555,B1532:B1555,B1548-in_choti_months)*in_choti_renew*in_choti_ticket</f>
        <v/>
      </c>
      <c r="BF1548" s="40">
        <f>BF1547*(1-IF(B1547&gt;=in_marketplace_from,d_hz_nps*G1547,0))</f>
        <v/>
      </c>
      <c r="BG1548" s="14">
        <f>F1548*BF1548*IF(B1548&gt;=in_marketplace_from,d_hz_nps*G1548,0)*in_nps_ticket*in_nps_comm</f>
        <v/>
      </c>
      <c r="BH1548" s="40">
        <f>BH1547*(1-IF(B1547&gt;=in_marketplace_from,d_hz_gold*G1547,0))</f>
        <v/>
      </c>
      <c r="BI1548" s="40">
        <f>BI1547*d_rho_gold+BH1548*IF(B1548&gt;=in_marketplace_from,d_hz_gold*G1548,0)</f>
        <v/>
      </c>
      <c r="BJ1548" s="14">
        <f>F1548*BI1548*in_gold_ticket*in_gold_comm</f>
        <v/>
      </c>
      <c r="BK1548" s="40">
        <f>BK1547*(1-IF(B1547&gt;=in_marketplace_from,d_hz_fd*G1547,0))</f>
        <v/>
      </c>
      <c r="BL1548" s="14">
        <f>F1548*BK1548*IF(B1548&gt;=in_marketplace_from,d_hz_fd*G1548,0)*in_fd_ticket*in_fd_comm</f>
        <v/>
      </c>
      <c r="BM1548" s="40">
        <f>BM1547*(1-IF(B1547&gt;=in_marketplace_from,d_hz_recharge*G1547,0))</f>
        <v/>
      </c>
      <c r="BN1548" s="40">
        <f>BN1547*d_rho_recharge+BM1548*IF(B1548&gt;=in_marketplace_from,d_hz_recharge*G1548,0)</f>
        <v/>
      </c>
      <c r="BO1548" s="14">
        <f>F1548*BN1548*in_recharge_ticket*in_recharge_comm/12</f>
        <v/>
      </c>
      <c r="BP1548" s="40">
        <f>BP1547*(1-IF(B1547&gt;=in_marketplace_from,d_hz_bills*G1547,0))</f>
        <v/>
      </c>
      <c r="BQ1548" s="40">
        <f>BQ1547*d_rho_bills+BP1548*IF(B1548&gt;=in_marketplace_from,d_hz_bills*G1548,0)</f>
        <v/>
      </c>
      <c r="BR1548" s="14">
        <f>F1548*BQ1548*in_bills_ticket*in_bills_comm/12</f>
        <v/>
      </c>
      <c r="BS1548" s="40">
        <f>BS1547*(1-IF(B1547&gt;=in_marketplace_from,d_hz_loan_gold*G1547,0))</f>
        <v/>
      </c>
      <c r="BT1548" s="14">
        <f>F1548*BS1548*IF(B1548&gt;=in_marketplace_from,d_hz_loan_gold*G1548,0)*in_loan_gold_ticket*in_loan_gold_comm</f>
        <v/>
      </c>
      <c r="BU1548" s="40">
        <f>BU1547*(1-IF(B1547&gt;=in_marketplace_from,d_hz_loan_cd*G1547,0))</f>
        <v/>
      </c>
      <c r="BV1548" s="14">
        <f>F1548*BU1548*IF(B1548&gt;=in_marketplace_from,d_hz_loan_cd*G1548,0)*in_loan_cd_ticket*in_loan_cd_comm</f>
        <v/>
      </c>
      <c r="BW1548" s="40">
        <f>BW1547*(1-IF(B1547&gt;=in_marketplace_from,d_hz_loan_vehicle*G1547,0))</f>
        <v/>
      </c>
      <c r="BX1548" s="14">
        <f>F1548*BW1548*IF(B1548&gt;=in_marketplace_from,d_hz_loan_vehicle*G1548,0)*in_loan_vehicle_ticket*in_loan_vehicle_comm</f>
        <v/>
      </c>
      <c r="BY1548" s="40">
        <f>BY1547*(1-IF(B1547&gt;=in_marketplace_from,d_hz_loan_home*G1547,0)*BZ1547)</f>
        <v/>
      </c>
      <c r="BZ1548" s="11">
        <f>MIN(in_approval_cap,in_loan_home_approval*INDEX('Age profile'!$O$2:$O$61,B1548)*(1+in_approval_growth)^(D1548-1))</f>
        <v/>
      </c>
      <c r="CA1548" s="14">
        <f>F1548*BY1548*IF(B1548&gt;=in_marketplace_from,d_hz_loan_home*G1548,0)*BZ1548*in_loan_home_ticket*in_loan_home_comm</f>
        <v/>
      </c>
      <c r="CB1548" s="40">
        <f>CB1547*(1-IF(B1547&gt;=in_marketplace_from,d_hz_loan_lap*G1547,0)*CC1547)</f>
        <v/>
      </c>
      <c r="CC1548" s="11">
        <f>MIN(in_approval_cap,in_loan_lap_approval*INDEX('Age profile'!$O$2:$O$61,B1548)*(1+in_approval_growth)^(D1548-1))</f>
        <v/>
      </c>
      <c r="CD1548" s="14">
        <f>F1548*CB1548*IF(B1548&gt;=in_marketplace_from,d_hz_loan_lap*G1548,0)*CC1548*in_loan_lap_ticket*in_loan_lap_comm</f>
        <v/>
      </c>
      <c r="CE1548" s="14">
        <f>AA1548+AB1548+AC1548+AD1548+AG1548+AJ1548+AM1548+AP1548+AS1548+AU1548+AX1548+BB1548+BE1548+BG1548+BJ1548+BL1548+BO1548+BR1548+BT1548+BV1548+BX1548+CA1548+CD1548</f>
        <v/>
      </c>
    </row>
    <row r="1549">
      <c r="A1549" s="39" t="n">
        <v>37</v>
      </c>
      <c r="B1549" s="39" t="n">
        <v>18</v>
      </c>
      <c r="C1549" s="39">
        <f>A1549+B1549-1</f>
        <v/>
      </c>
      <c r="D1549" s="39">
        <f>INT((C1549-1)/12)+1</f>
        <v/>
      </c>
      <c r="E1549" s="44">
        <f>INDEX(Monthly!$B$2:$B$61,A1549)</f>
        <v/>
      </c>
      <c r="F1549" s="44">
        <f>E1549*INDEX('Age profile'!$B$2:$B$61,B1549)</f>
        <v/>
      </c>
      <c r="G1549" s="45">
        <f>MIN(in_takeup_cap,INDEX('Age profile'!$N$2:$N$61,B1549)*(1+in_takeup_growth)^(D1549-1))</f>
        <v/>
      </c>
      <c r="H1549" s="11">
        <f>MIN(in_approval_cap,in_approved_first*INDEX('Age profile'!$O$2:$O$61,B1549)*(1+in_approval_growth)^(D1549-1))</f>
        <v/>
      </c>
      <c r="I1549" s="45">
        <f>G1549*MIN(in_takeup_cap,INDEX('Age profile'!$O$2:$O$61,B1549)*(1+in_approval_growth)^(D1549-1))</f>
        <v/>
      </c>
      <c r="J1549" s="40">
        <f>(J1548-L1548)*F1549/F1548</f>
        <v/>
      </c>
      <c r="K1549" s="40">
        <f>(K1548-M1548)*F1549/F1548+SUMIFS(O1532:O1548,B1532:B1548,B1549-1-d_T)*F1549</f>
        <v/>
      </c>
      <c r="L1549" s="40">
        <f>IF(B1549&gt;=in_marketplace_from,J1549*d_hz*G1549*in_eligible*H1549,0)</f>
        <v/>
      </c>
      <c r="M1549" s="40">
        <f>IF(B1549&gt;=in_marketplace_from,K1549*d_hz*G1549*in_eligible*in_approved_repeat,0)</f>
        <v/>
      </c>
      <c r="N1549" s="40">
        <f>L1549+M1549</f>
        <v/>
      </c>
      <c r="O1549" s="46">
        <f>N1549/F1549</f>
        <v/>
      </c>
      <c r="P1549" s="40">
        <f>F1549-J1549-K1549</f>
        <v/>
      </c>
      <c r="Q1549" s="40">
        <f>IF(B1549&gt;=in_marketplace_from,(J1549+K1549)*d_hz*G1549,0)</f>
        <v/>
      </c>
      <c r="R1549" s="40">
        <f>SUMIFS(N1532:N1555,B1532:B1555,"&gt;="&amp;(B1549-d_T),B1532:B1555,"&lt;="&amp;(B1549-1))</f>
        <v/>
      </c>
      <c r="S1549" s="46">
        <f>(1-d_u)*S1548+IF(d_T&gt;in_topup_lag,SUMIFS(O1532:O1555,B1532:B1555,B1549-in_topup_lag)-d_udrop*SUMIFS(O1532:O1555,B1532:B1555,B1549-d_T),0)</f>
        <v/>
      </c>
      <c r="T1549" s="40">
        <f>F1549*d_u*S1549</f>
        <v/>
      </c>
      <c r="U1549" s="9">
        <f>L1549*in_ticket+M1549*d_rep_ticket</f>
        <v/>
      </c>
      <c r="V1549" s="9">
        <f>U1549+T1549*d_topup_amt</f>
        <v/>
      </c>
      <c r="W1549" s="40">
        <f>N1549+T1549*d_topup_ratio</f>
        <v/>
      </c>
      <c r="X1549" s="40">
        <f>SUMIFS(W1532:W1555,B1532:B1555,B1549-in_dpd_lag)*d_cured</f>
        <v/>
      </c>
      <c r="Y1549" s="40">
        <f>SUMIFS(W1532:W1555,B1532:B1555,B1549-in_rec_lag)*d_recd</f>
        <v/>
      </c>
      <c r="Z1549" s="40">
        <f>IF(AND(B1549&gt;=in_marketplace_from,B1549&lt;in_marketplace_from+in_card_months),in_card_share/in_card_months*F1549*I1549,IF(AND(B1549&gt;=in_marketplace_from+in_card_months,B1549&lt;in_marketplace_from+2*in_card_months),in_card_share*d_card_rem/in_card_months*F1549*MIN(in_takeup_cap,(1+in_takeup_growth)^(D1549-1))*MIN(in_takeup_cap,(1+in_approval_growth)^(D1549-1)),0))</f>
        <v/>
      </c>
      <c r="AA1549" s="14">
        <f>V1549*in_fee*(1-in_taken_back)</f>
        <v/>
      </c>
      <c r="AB1549" s="14">
        <f>SUMIFS(W1532:W1555,B1532:B1555,B1549-in_dpd_lag)*d_dpd</f>
        <v/>
      </c>
      <c r="AC1549" s="14">
        <f>SUMIFS(W1532:W1555,B1532:B1555,B1549-in_rec_lag)*d_rec</f>
        <v/>
      </c>
      <c r="AD1549" s="14">
        <f>Z1549*in_card_fee</f>
        <v/>
      </c>
      <c r="AE1549" s="40">
        <f>AE1548*(1-IF(B1548&gt;=in_marketplace_from,d_hz_hlth_small*G1548,0))</f>
        <v/>
      </c>
      <c r="AF1549" s="46">
        <f>AE1549*IF(B1549&gt;=in_marketplace_from,d_hz_hlth_small*G1549,0)</f>
        <v/>
      </c>
      <c r="AG1549" s="14">
        <f>F1549*AF1549*in_hlth_small_ticket*in_hlth_small_comm*in_ins_partner_share+F1549*in_hlth_small_ticket*in_hlth_small_renew_comm*in_ins_partner_share*(in_hlth_small_renew^1*SUMIFS(AF1532:AF1555,B1532:B1555,B1549-12)+in_hlth_small_renew^2*SUMIFS(AF1532:AF1555,B1532:B1555,B1549-24)+in_hlth_small_renew^3*SUMIFS(AF1532:AF1555,B1532:B1555,B1549-36)+in_hlth_small_renew^4*SUMIFS(AF1532:AF1555,B1532:B1555,B1549-48))</f>
        <v/>
      </c>
      <c r="AH1549" s="40">
        <f>AH1548*(1-IF(B1548&gt;=in_marketplace_from,d_hz_hlth_family*G1548,0))</f>
        <v/>
      </c>
      <c r="AI1549" s="46">
        <f>AH1549*IF(B1549&gt;=in_marketplace_from,d_hz_hlth_family*G1549,0)</f>
        <v/>
      </c>
      <c r="AJ1549" s="14">
        <f>F1549*AI1549*in_hlth_family_ticket*in_hlth_family_comm*in_ins_partner_share+F1549*in_hlth_family_ticket*in_hlth_family_renew_comm*in_ins_partner_share*(in_hlth_family_renew^1*SUMIFS(AI1532:AI1555,B1532:B1555,B1549-12)+in_hlth_family_renew^2*SUMIFS(AI1532:AI1555,B1532:B1555,B1549-24)+in_hlth_family_renew^3*SUMIFS(AI1532:AI1555,B1532:B1555,B1549-36)+in_hlth_family_renew^4*SUMIFS(AI1532:AI1555,B1532:B1555,B1549-48))</f>
        <v/>
      </c>
      <c r="AK1549" s="40">
        <f>AK1548*(1-IF(B1548&gt;=in_marketplace_from,d_hz_life_term*G1548,0))</f>
        <v/>
      </c>
      <c r="AL1549" s="46">
        <f>AK1549*IF(B1549&gt;=in_marketplace_from,d_hz_life_term*G1549,0)</f>
        <v/>
      </c>
      <c r="AM1549" s="14">
        <f>F1549*AL1549*in_life_term_ticket*in_life_term_comm*in_ins_partner_share+F1549*in_life_term_ticket*in_life_term_renew_comm*in_ins_partner_share*(in_life_term_renew^1*SUMIFS(AL1532:AL1555,B1532:B1555,B1549-12)+in_life_term_renew^2*SUMIFS(AL1532:AL1555,B1532:B1555,B1549-24)+in_life_term_renew^3*SUMIFS(AL1532:AL1555,B1532:B1555,B1549-36)+in_life_term_renew^4*SUMIFS(AL1532:AL1555,B1532:B1555,B1549-48))</f>
        <v/>
      </c>
      <c r="AN1549" s="40">
        <f>AN1548*(1-IF(B1548&gt;=in_marketplace_from,d_hz_accident*G1548,0))</f>
        <v/>
      </c>
      <c r="AO1549" s="46">
        <f>AN1549*IF(B1549&gt;=in_marketplace_from,d_hz_accident*G1549,0)</f>
        <v/>
      </c>
      <c r="AP1549" s="14">
        <f>F1549*AO1549*in_accident_ticket*in_accident_comm*in_ins_partner_share+F1549*in_accident_ticket*in_accident_renew_comm*in_ins_partner_share*(in_accident_renew^1*SUMIFS(AO1532:AO1555,B1532:B1555,B1549-12)+in_accident_renew^2*SUMIFS(AO1532:AO1555,B1532:B1555,B1549-24)+in_accident_renew^3*SUMIFS(AO1532:AO1555,B1532:B1555,B1549-36)+in_accident_renew^4*SUMIFS(AO1532:AO1555,B1532:B1555,B1549-48))</f>
        <v/>
      </c>
      <c r="AQ1549" s="40">
        <f>AQ1548*(1-IF(B1548&gt;=in_marketplace_from,d_hz_two_wheeler*G1548,0))</f>
        <v/>
      </c>
      <c r="AR1549" s="46">
        <f>AQ1549*IF(B1549&gt;=in_marketplace_from,d_hz_two_wheeler*G1549,0)</f>
        <v/>
      </c>
      <c r="AS1549" s="14">
        <f>F1549*AR1549*in_two_wheeler_ticket*in_two_wheeler_comm*in_ins_partner_share+F1549*in_two_wheeler_ticket*in_two_wheeler_comm*in_ins_partner_share*(in_two_wheeler_renew^1*SUMIFS(AR1532:AR1555,B1532:B1555,B1549-12)+in_two_wheeler_renew^2*SUMIFS(AR1532:AR1555,B1532:B1555,B1549-24)+in_two_wheeler_renew^3*SUMIFS(AR1532:AR1555,B1532:B1555,B1549-36)+in_two_wheeler_renew^4*SUMIFS(AR1532:AR1555,B1532:B1555,B1549-48))</f>
        <v/>
      </c>
      <c r="AT1549" s="40">
        <f>AT1548*(1-IF(B1548&gt;=in_marketplace_from,d_hz_device*G1548,0))</f>
        <v/>
      </c>
      <c r="AU1549" s="14">
        <f>F1549*AT1549*IF(B1549&gt;=in_marketplace_from,d_hz_device*G1549,0)*in_device_ticket*in_device_comm*in_ins_partner_share</f>
        <v/>
      </c>
      <c r="AV1549" s="40">
        <f>AV1548*(1-IF(B1548&gt;=in_marketplace_from,d_hz_shop*G1548,0))</f>
        <v/>
      </c>
      <c r="AW1549" s="46">
        <f>AV1549*IF(B1549&gt;=in_marketplace_from,d_hz_shop*G1549,0)</f>
        <v/>
      </c>
      <c r="AX1549" s="14">
        <f>F1549*AW1549*in_shop_ticket*in_shop_comm*in_ins_partner_share+F1549*in_shop_ticket*in_shop_renew_comm*in_ins_partner_share*(in_shop_renew^1*SUMIFS(AW1532:AW1555,B1532:B1555,B1549-12)+in_shop_renew^2*SUMIFS(AW1532:AW1555,B1532:B1555,B1549-24)+in_shop_renew^3*SUMIFS(AW1532:AW1555,B1532:B1555,B1549-36)+in_shop_renew^4*SUMIFS(AW1532:AW1555,B1532:B1555,B1549-48))</f>
        <v/>
      </c>
      <c r="AY1549" s="40">
        <f>AY1548*(1-IF(B1548&gt;=in_marketplace_from,d_hz_sip*G1548,0))</f>
        <v/>
      </c>
      <c r="AZ1549" s="40">
        <f>AZ1548*d_rho_sip+AY1549*IF(B1549&gt;=in_marketplace_from,d_hz_sip*G1549,0)</f>
        <v/>
      </c>
      <c r="BA1549" s="40">
        <f>d_rho_sip*(BA1548+AZ1548)</f>
        <v/>
      </c>
      <c r="BB1549" s="14">
        <f>F1549*in_sip_ticket*(BA1549+0.5*AZ1549)*in_sip_comm/12</f>
        <v/>
      </c>
      <c r="BC1549" s="40">
        <f>BC1548*(1-IF(B1548&gt;=in_marketplace_from,d_hz_choti*G1548,0))</f>
        <v/>
      </c>
      <c r="BD1549" s="46">
        <f>BC1549*IF(B1549&gt;=in_marketplace_from,d_hz_choti*G1549,0)</f>
        <v/>
      </c>
      <c r="BE1549" s="14">
        <f>F1549*SUMIFS(BD1532:BD1555,B1532:B1555,B1549-in_choti_months)*in_choti_renew*in_choti_ticket</f>
        <v/>
      </c>
      <c r="BF1549" s="40">
        <f>BF1548*(1-IF(B1548&gt;=in_marketplace_from,d_hz_nps*G1548,0))</f>
        <v/>
      </c>
      <c r="BG1549" s="14">
        <f>F1549*BF1549*IF(B1549&gt;=in_marketplace_from,d_hz_nps*G1549,0)*in_nps_ticket*in_nps_comm</f>
        <v/>
      </c>
      <c r="BH1549" s="40">
        <f>BH1548*(1-IF(B1548&gt;=in_marketplace_from,d_hz_gold*G1548,0))</f>
        <v/>
      </c>
      <c r="BI1549" s="40">
        <f>BI1548*d_rho_gold+BH1549*IF(B1549&gt;=in_marketplace_from,d_hz_gold*G1549,0)</f>
        <v/>
      </c>
      <c r="BJ1549" s="14">
        <f>F1549*BI1549*in_gold_ticket*in_gold_comm</f>
        <v/>
      </c>
      <c r="BK1549" s="40">
        <f>BK1548*(1-IF(B1548&gt;=in_marketplace_from,d_hz_fd*G1548,0))</f>
        <v/>
      </c>
      <c r="BL1549" s="14">
        <f>F1549*BK1549*IF(B1549&gt;=in_marketplace_from,d_hz_fd*G1549,0)*in_fd_ticket*in_fd_comm</f>
        <v/>
      </c>
      <c r="BM1549" s="40">
        <f>BM1548*(1-IF(B1548&gt;=in_marketplace_from,d_hz_recharge*G1548,0))</f>
        <v/>
      </c>
      <c r="BN1549" s="40">
        <f>BN1548*d_rho_recharge+BM1549*IF(B1549&gt;=in_marketplace_from,d_hz_recharge*G1549,0)</f>
        <v/>
      </c>
      <c r="BO1549" s="14">
        <f>F1549*BN1549*in_recharge_ticket*in_recharge_comm/12</f>
        <v/>
      </c>
      <c r="BP1549" s="40">
        <f>BP1548*(1-IF(B1548&gt;=in_marketplace_from,d_hz_bills*G1548,0))</f>
        <v/>
      </c>
      <c r="BQ1549" s="40">
        <f>BQ1548*d_rho_bills+BP1549*IF(B1549&gt;=in_marketplace_from,d_hz_bills*G1549,0)</f>
        <v/>
      </c>
      <c r="BR1549" s="14">
        <f>F1549*BQ1549*in_bills_ticket*in_bills_comm/12</f>
        <v/>
      </c>
      <c r="BS1549" s="40">
        <f>BS1548*(1-IF(B1548&gt;=in_marketplace_from,d_hz_loan_gold*G1548,0))</f>
        <v/>
      </c>
      <c r="BT1549" s="14">
        <f>F1549*BS1549*IF(B1549&gt;=in_marketplace_from,d_hz_loan_gold*G1549,0)*in_loan_gold_ticket*in_loan_gold_comm</f>
        <v/>
      </c>
      <c r="BU1549" s="40">
        <f>BU1548*(1-IF(B1548&gt;=in_marketplace_from,d_hz_loan_cd*G1548,0))</f>
        <v/>
      </c>
      <c r="BV1549" s="14">
        <f>F1549*BU1549*IF(B1549&gt;=in_marketplace_from,d_hz_loan_cd*G1549,0)*in_loan_cd_ticket*in_loan_cd_comm</f>
        <v/>
      </c>
      <c r="BW1549" s="40">
        <f>BW1548*(1-IF(B1548&gt;=in_marketplace_from,d_hz_loan_vehicle*G1548,0))</f>
        <v/>
      </c>
      <c r="BX1549" s="14">
        <f>F1549*BW1549*IF(B1549&gt;=in_marketplace_from,d_hz_loan_vehicle*G1549,0)*in_loan_vehicle_ticket*in_loan_vehicle_comm</f>
        <v/>
      </c>
      <c r="BY1549" s="40">
        <f>BY1548*(1-IF(B1548&gt;=in_marketplace_from,d_hz_loan_home*G1548,0)*BZ1548)</f>
        <v/>
      </c>
      <c r="BZ1549" s="11">
        <f>MIN(in_approval_cap,in_loan_home_approval*INDEX('Age profile'!$O$2:$O$61,B1549)*(1+in_approval_growth)^(D1549-1))</f>
        <v/>
      </c>
      <c r="CA1549" s="14">
        <f>F1549*BY1549*IF(B1549&gt;=in_marketplace_from,d_hz_loan_home*G1549,0)*BZ1549*in_loan_home_ticket*in_loan_home_comm</f>
        <v/>
      </c>
      <c r="CB1549" s="40">
        <f>CB1548*(1-IF(B1548&gt;=in_marketplace_from,d_hz_loan_lap*G1548,0)*CC1548)</f>
        <v/>
      </c>
      <c r="CC1549" s="11">
        <f>MIN(in_approval_cap,in_loan_lap_approval*INDEX('Age profile'!$O$2:$O$61,B1549)*(1+in_approval_growth)^(D1549-1))</f>
        <v/>
      </c>
      <c r="CD1549" s="14">
        <f>F1549*CB1549*IF(B1549&gt;=in_marketplace_from,d_hz_loan_lap*G1549,0)*CC1549*in_loan_lap_ticket*in_loan_lap_comm</f>
        <v/>
      </c>
      <c r="CE1549" s="14">
        <f>AA1549+AB1549+AC1549+AD1549+AG1549+AJ1549+AM1549+AP1549+AS1549+AU1549+AX1549+BB1549+BE1549+BG1549+BJ1549+BL1549+BO1549+BR1549+BT1549+BV1549+BX1549+CA1549+CD1549</f>
        <v/>
      </c>
    </row>
    <row r="1550">
      <c r="A1550" s="39" t="n">
        <v>37</v>
      </c>
      <c r="B1550" s="39" t="n">
        <v>19</v>
      </c>
      <c r="C1550" s="39">
        <f>A1550+B1550-1</f>
        <v/>
      </c>
      <c r="D1550" s="39">
        <f>INT((C1550-1)/12)+1</f>
        <v/>
      </c>
      <c r="E1550" s="44">
        <f>INDEX(Monthly!$B$2:$B$61,A1550)</f>
        <v/>
      </c>
      <c r="F1550" s="44">
        <f>E1550*INDEX('Age profile'!$B$2:$B$61,B1550)</f>
        <v/>
      </c>
      <c r="G1550" s="45">
        <f>MIN(in_takeup_cap,INDEX('Age profile'!$N$2:$N$61,B1550)*(1+in_takeup_growth)^(D1550-1))</f>
        <v/>
      </c>
      <c r="H1550" s="11">
        <f>MIN(in_approval_cap,in_approved_first*INDEX('Age profile'!$O$2:$O$61,B1550)*(1+in_approval_growth)^(D1550-1))</f>
        <v/>
      </c>
      <c r="I1550" s="45">
        <f>G1550*MIN(in_takeup_cap,INDEX('Age profile'!$O$2:$O$61,B1550)*(1+in_approval_growth)^(D1550-1))</f>
        <v/>
      </c>
      <c r="J1550" s="40">
        <f>(J1549-L1549)*F1550/F1549</f>
        <v/>
      </c>
      <c r="K1550" s="40">
        <f>(K1549-M1549)*F1550/F1549+SUMIFS(O1532:O1549,B1532:B1549,B1550-1-d_T)*F1550</f>
        <v/>
      </c>
      <c r="L1550" s="40">
        <f>IF(B1550&gt;=in_marketplace_from,J1550*d_hz*G1550*in_eligible*H1550,0)</f>
        <v/>
      </c>
      <c r="M1550" s="40">
        <f>IF(B1550&gt;=in_marketplace_from,K1550*d_hz*G1550*in_eligible*in_approved_repeat,0)</f>
        <v/>
      </c>
      <c r="N1550" s="40">
        <f>L1550+M1550</f>
        <v/>
      </c>
      <c r="O1550" s="46">
        <f>N1550/F1550</f>
        <v/>
      </c>
      <c r="P1550" s="40">
        <f>F1550-J1550-K1550</f>
        <v/>
      </c>
      <c r="Q1550" s="40">
        <f>IF(B1550&gt;=in_marketplace_from,(J1550+K1550)*d_hz*G1550,0)</f>
        <v/>
      </c>
      <c r="R1550" s="40">
        <f>SUMIFS(N1532:N1555,B1532:B1555,"&gt;="&amp;(B1550-d_T),B1532:B1555,"&lt;="&amp;(B1550-1))</f>
        <v/>
      </c>
      <c r="S1550" s="46">
        <f>(1-d_u)*S1549+IF(d_T&gt;in_topup_lag,SUMIFS(O1532:O1555,B1532:B1555,B1550-in_topup_lag)-d_udrop*SUMIFS(O1532:O1555,B1532:B1555,B1550-d_T),0)</f>
        <v/>
      </c>
      <c r="T1550" s="40">
        <f>F1550*d_u*S1550</f>
        <v/>
      </c>
      <c r="U1550" s="9">
        <f>L1550*in_ticket+M1550*d_rep_ticket</f>
        <v/>
      </c>
      <c r="V1550" s="9">
        <f>U1550+T1550*d_topup_amt</f>
        <v/>
      </c>
      <c r="W1550" s="40">
        <f>N1550+T1550*d_topup_ratio</f>
        <v/>
      </c>
      <c r="X1550" s="40">
        <f>SUMIFS(W1532:W1555,B1532:B1555,B1550-in_dpd_lag)*d_cured</f>
        <v/>
      </c>
      <c r="Y1550" s="40">
        <f>SUMIFS(W1532:W1555,B1532:B1555,B1550-in_rec_lag)*d_recd</f>
        <v/>
      </c>
      <c r="Z1550" s="40">
        <f>IF(AND(B1550&gt;=in_marketplace_from,B1550&lt;in_marketplace_from+in_card_months),in_card_share/in_card_months*F1550*I1550,IF(AND(B1550&gt;=in_marketplace_from+in_card_months,B1550&lt;in_marketplace_from+2*in_card_months),in_card_share*d_card_rem/in_card_months*F1550*MIN(in_takeup_cap,(1+in_takeup_growth)^(D1550-1))*MIN(in_takeup_cap,(1+in_approval_growth)^(D1550-1)),0))</f>
        <v/>
      </c>
      <c r="AA1550" s="14">
        <f>V1550*in_fee*(1-in_taken_back)</f>
        <v/>
      </c>
      <c r="AB1550" s="14">
        <f>SUMIFS(W1532:W1555,B1532:B1555,B1550-in_dpd_lag)*d_dpd</f>
        <v/>
      </c>
      <c r="AC1550" s="14">
        <f>SUMIFS(W1532:W1555,B1532:B1555,B1550-in_rec_lag)*d_rec</f>
        <v/>
      </c>
      <c r="AD1550" s="14">
        <f>Z1550*in_card_fee</f>
        <v/>
      </c>
      <c r="AE1550" s="40">
        <f>AE1549*(1-IF(B1549&gt;=in_marketplace_from,d_hz_hlth_small*G1549,0))</f>
        <v/>
      </c>
      <c r="AF1550" s="46">
        <f>AE1550*IF(B1550&gt;=in_marketplace_from,d_hz_hlth_small*G1550,0)</f>
        <v/>
      </c>
      <c r="AG1550" s="14">
        <f>F1550*AF1550*in_hlth_small_ticket*in_hlth_small_comm*in_ins_partner_share+F1550*in_hlth_small_ticket*in_hlth_small_renew_comm*in_ins_partner_share*(in_hlth_small_renew^1*SUMIFS(AF1532:AF1555,B1532:B1555,B1550-12)+in_hlth_small_renew^2*SUMIFS(AF1532:AF1555,B1532:B1555,B1550-24)+in_hlth_small_renew^3*SUMIFS(AF1532:AF1555,B1532:B1555,B1550-36)+in_hlth_small_renew^4*SUMIFS(AF1532:AF1555,B1532:B1555,B1550-48))</f>
        <v/>
      </c>
      <c r="AH1550" s="40">
        <f>AH1549*(1-IF(B1549&gt;=in_marketplace_from,d_hz_hlth_family*G1549,0))</f>
        <v/>
      </c>
      <c r="AI1550" s="46">
        <f>AH1550*IF(B1550&gt;=in_marketplace_from,d_hz_hlth_family*G1550,0)</f>
        <v/>
      </c>
      <c r="AJ1550" s="14">
        <f>F1550*AI1550*in_hlth_family_ticket*in_hlth_family_comm*in_ins_partner_share+F1550*in_hlth_family_ticket*in_hlth_family_renew_comm*in_ins_partner_share*(in_hlth_family_renew^1*SUMIFS(AI1532:AI1555,B1532:B1555,B1550-12)+in_hlth_family_renew^2*SUMIFS(AI1532:AI1555,B1532:B1555,B1550-24)+in_hlth_family_renew^3*SUMIFS(AI1532:AI1555,B1532:B1555,B1550-36)+in_hlth_family_renew^4*SUMIFS(AI1532:AI1555,B1532:B1555,B1550-48))</f>
        <v/>
      </c>
      <c r="AK1550" s="40">
        <f>AK1549*(1-IF(B1549&gt;=in_marketplace_from,d_hz_life_term*G1549,0))</f>
        <v/>
      </c>
      <c r="AL1550" s="46">
        <f>AK1550*IF(B1550&gt;=in_marketplace_from,d_hz_life_term*G1550,0)</f>
        <v/>
      </c>
      <c r="AM1550" s="14">
        <f>F1550*AL1550*in_life_term_ticket*in_life_term_comm*in_ins_partner_share+F1550*in_life_term_ticket*in_life_term_renew_comm*in_ins_partner_share*(in_life_term_renew^1*SUMIFS(AL1532:AL1555,B1532:B1555,B1550-12)+in_life_term_renew^2*SUMIFS(AL1532:AL1555,B1532:B1555,B1550-24)+in_life_term_renew^3*SUMIFS(AL1532:AL1555,B1532:B1555,B1550-36)+in_life_term_renew^4*SUMIFS(AL1532:AL1555,B1532:B1555,B1550-48))</f>
        <v/>
      </c>
      <c r="AN1550" s="40">
        <f>AN1549*(1-IF(B1549&gt;=in_marketplace_from,d_hz_accident*G1549,0))</f>
        <v/>
      </c>
      <c r="AO1550" s="46">
        <f>AN1550*IF(B1550&gt;=in_marketplace_from,d_hz_accident*G1550,0)</f>
        <v/>
      </c>
      <c r="AP1550" s="14">
        <f>F1550*AO1550*in_accident_ticket*in_accident_comm*in_ins_partner_share+F1550*in_accident_ticket*in_accident_renew_comm*in_ins_partner_share*(in_accident_renew^1*SUMIFS(AO1532:AO1555,B1532:B1555,B1550-12)+in_accident_renew^2*SUMIFS(AO1532:AO1555,B1532:B1555,B1550-24)+in_accident_renew^3*SUMIFS(AO1532:AO1555,B1532:B1555,B1550-36)+in_accident_renew^4*SUMIFS(AO1532:AO1555,B1532:B1555,B1550-48))</f>
        <v/>
      </c>
      <c r="AQ1550" s="40">
        <f>AQ1549*(1-IF(B1549&gt;=in_marketplace_from,d_hz_two_wheeler*G1549,0))</f>
        <v/>
      </c>
      <c r="AR1550" s="46">
        <f>AQ1550*IF(B1550&gt;=in_marketplace_from,d_hz_two_wheeler*G1550,0)</f>
        <v/>
      </c>
      <c r="AS1550" s="14">
        <f>F1550*AR1550*in_two_wheeler_ticket*in_two_wheeler_comm*in_ins_partner_share+F1550*in_two_wheeler_ticket*in_two_wheeler_comm*in_ins_partner_share*(in_two_wheeler_renew^1*SUMIFS(AR1532:AR1555,B1532:B1555,B1550-12)+in_two_wheeler_renew^2*SUMIFS(AR1532:AR1555,B1532:B1555,B1550-24)+in_two_wheeler_renew^3*SUMIFS(AR1532:AR1555,B1532:B1555,B1550-36)+in_two_wheeler_renew^4*SUMIFS(AR1532:AR1555,B1532:B1555,B1550-48))</f>
        <v/>
      </c>
      <c r="AT1550" s="40">
        <f>AT1549*(1-IF(B1549&gt;=in_marketplace_from,d_hz_device*G1549,0))</f>
        <v/>
      </c>
      <c r="AU1550" s="14">
        <f>F1550*AT1550*IF(B1550&gt;=in_marketplace_from,d_hz_device*G1550,0)*in_device_ticket*in_device_comm*in_ins_partner_share</f>
        <v/>
      </c>
      <c r="AV1550" s="40">
        <f>AV1549*(1-IF(B1549&gt;=in_marketplace_from,d_hz_shop*G1549,0))</f>
        <v/>
      </c>
      <c r="AW1550" s="46">
        <f>AV1550*IF(B1550&gt;=in_marketplace_from,d_hz_shop*G1550,0)</f>
        <v/>
      </c>
      <c r="AX1550" s="14">
        <f>F1550*AW1550*in_shop_ticket*in_shop_comm*in_ins_partner_share+F1550*in_shop_ticket*in_shop_renew_comm*in_ins_partner_share*(in_shop_renew^1*SUMIFS(AW1532:AW1555,B1532:B1555,B1550-12)+in_shop_renew^2*SUMIFS(AW1532:AW1555,B1532:B1555,B1550-24)+in_shop_renew^3*SUMIFS(AW1532:AW1555,B1532:B1555,B1550-36)+in_shop_renew^4*SUMIFS(AW1532:AW1555,B1532:B1555,B1550-48))</f>
        <v/>
      </c>
      <c r="AY1550" s="40">
        <f>AY1549*(1-IF(B1549&gt;=in_marketplace_from,d_hz_sip*G1549,0))</f>
        <v/>
      </c>
      <c r="AZ1550" s="40">
        <f>AZ1549*d_rho_sip+AY1550*IF(B1550&gt;=in_marketplace_from,d_hz_sip*G1550,0)</f>
        <v/>
      </c>
      <c r="BA1550" s="40">
        <f>d_rho_sip*(BA1549+AZ1549)</f>
        <v/>
      </c>
      <c r="BB1550" s="14">
        <f>F1550*in_sip_ticket*(BA1550+0.5*AZ1550)*in_sip_comm/12</f>
        <v/>
      </c>
      <c r="BC1550" s="40">
        <f>BC1549*(1-IF(B1549&gt;=in_marketplace_from,d_hz_choti*G1549,0))</f>
        <v/>
      </c>
      <c r="BD1550" s="46">
        <f>BC1550*IF(B1550&gt;=in_marketplace_from,d_hz_choti*G1550,0)</f>
        <v/>
      </c>
      <c r="BE1550" s="14">
        <f>F1550*SUMIFS(BD1532:BD1555,B1532:B1555,B1550-in_choti_months)*in_choti_renew*in_choti_ticket</f>
        <v/>
      </c>
      <c r="BF1550" s="40">
        <f>BF1549*(1-IF(B1549&gt;=in_marketplace_from,d_hz_nps*G1549,0))</f>
        <v/>
      </c>
      <c r="BG1550" s="14">
        <f>F1550*BF1550*IF(B1550&gt;=in_marketplace_from,d_hz_nps*G1550,0)*in_nps_ticket*in_nps_comm</f>
        <v/>
      </c>
      <c r="BH1550" s="40">
        <f>BH1549*(1-IF(B1549&gt;=in_marketplace_from,d_hz_gold*G1549,0))</f>
        <v/>
      </c>
      <c r="BI1550" s="40">
        <f>BI1549*d_rho_gold+BH1550*IF(B1550&gt;=in_marketplace_from,d_hz_gold*G1550,0)</f>
        <v/>
      </c>
      <c r="BJ1550" s="14">
        <f>F1550*BI1550*in_gold_ticket*in_gold_comm</f>
        <v/>
      </c>
      <c r="BK1550" s="40">
        <f>BK1549*(1-IF(B1549&gt;=in_marketplace_from,d_hz_fd*G1549,0))</f>
        <v/>
      </c>
      <c r="BL1550" s="14">
        <f>F1550*BK1550*IF(B1550&gt;=in_marketplace_from,d_hz_fd*G1550,0)*in_fd_ticket*in_fd_comm</f>
        <v/>
      </c>
      <c r="BM1550" s="40">
        <f>BM1549*(1-IF(B1549&gt;=in_marketplace_from,d_hz_recharge*G1549,0))</f>
        <v/>
      </c>
      <c r="BN1550" s="40">
        <f>BN1549*d_rho_recharge+BM1550*IF(B1550&gt;=in_marketplace_from,d_hz_recharge*G1550,0)</f>
        <v/>
      </c>
      <c r="BO1550" s="14">
        <f>F1550*BN1550*in_recharge_ticket*in_recharge_comm/12</f>
        <v/>
      </c>
      <c r="BP1550" s="40">
        <f>BP1549*(1-IF(B1549&gt;=in_marketplace_from,d_hz_bills*G1549,0))</f>
        <v/>
      </c>
      <c r="BQ1550" s="40">
        <f>BQ1549*d_rho_bills+BP1550*IF(B1550&gt;=in_marketplace_from,d_hz_bills*G1550,0)</f>
        <v/>
      </c>
      <c r="BR1550" s="14">
        <f>F1550*BQ1550*in_bills_ticket*in_bills_comm/12</f>
        <v/>
      </c>
      <c r="BS1550" s="40">
        <f>BS1549*(1-IF(B1549&gt;=in_marketplace_from,d_hz_loan_gold*G1549,0))</f>
        <v/>
      </c>
      <c r="BT1550" s="14">
        <f>F1550*BS1550*IF(B1550&gt;=in_marketplace_from,d_hz_loan_gold*G1550,0)*in_loan_gold_ticket*in_loan_gold_comm</f>
        <v/>
      </c>
      <c r="BU1550" s="40">
        <f>BU1549*(1-IF(B1549&gt;=in_marketplace_from,d_hz_loan_cd*G1549,0))</f>
        <v/>
      </c>
      <c r="BV1550" s="14">
        <f>F1550*BU1550*IF(B1550&gt;=in_marketplace_from,d_hz_loan_cd*G1550,0)*in_loan_cd_ticket*in_loan_cd_comm</f>
        <v/>
      </c>
      <c r="BW1550" s="40">
        <f>BW1549*(1-IF(B1549&gt;=in_marketplace_from,d_hz_loan_vehicle*G1549,0))</f>
        <v/>
      </c>
      <c r="BX1550" s="14">
        <f>F1550*BW1550*IF(B1550&gt;=in_marketplace_from,d_hz_loan_vehicle*G1550,0)*in_loan_vehicle_ticket*in_loan_vehicle_comm</f>
        <v/>
      </c>
      <c r="BY1550" s="40">
        <f>BY1549*(1-IF(B1549&gt;=in_marketplace_from,d_hz_loan_home*G1549,0)*BZ1549)</f>
        <v/>
      </c>
      <c r="BZ1550" s="11">
        <f>MIN(in_approval_cap,in_loan_home_approval*INDEX('Age profile'!$O$2:$O$61,B1550)*(1+in_approval_growth)^(D1550-1))</f>
        <v/>
      </c>
      <c r="CA1550" s="14">
        <f>F1550*BY1550*IF(B1550&gt;=in_marketplace_from,d_hz_loan_home*G1550,0)*BZ1550*in_loan_home_ticket*in_loan_home_comm</f>
        <v/>
      </c>
      <c r="CB1550" s="40">
        <f>CB1549*(1-IF(B1549&gt;=in_marketplace_from,d_hz_loan_lap*G1549,0)*CC1549)</f>
        <v/>
      </c>
      <c r="CC1550" s="11">
        <f>MIN(in_approval_cap,in_loan_lap_approval*INDEX('Age profile'!$O$2:$O$61,B1550)*(1+in_approval_growth)^(D1550-1))</f>
        <v/>
      </c>
      <c r="CD1550" s="14">
        <f>F1550*CB1550*IF(B1550&gt;=in_marketplace_from,d_hz_loan_lap*G1550,0)*CC1550*in_loan_lap_ticket*in_loan_lap_comm</f>
        <v/>
      </c>
      <c r="CE1550" s="14">
        <f>AA1550+AB1550+AC1550+AD1550+AG1550+AJ1550+AM1550+AP1550+AS1550+AU1550+AX1550+BB1550+BE1550+BG1550+BJ1550+BL1550+BO1550+BR1550+BT1550+BV1550+BX1550+CA1550+CD1550</f>
        <v/>
      </c>
    </row>
    <row r="1551">
      <c r="A1551" s="39" t="n">
        <v>37</v>
      </c>
      <c r="B1551" s="39" t="n">
        <v>20</v>
      </c>
      <c r="C1551" s="39">
        <f>A1551+B1551-1</f>
        <v/>
      </c>
      <c r="D1551" s="39">
        <f>INT((C1551-1)/12)+1</f>
        <v/>
      </c>
      <c r="E1551" s="44">
        <f>INDEX(Monthly!$B$2:$B$61,A1551)</f>
        <v/>
      </c>
      <c r="F1551" s="44">
        <f>E1551*INDEX('Age profile'!$B$2:$B$61,B1551)</f>
        <v/>
      </c>
      <c r="G1551" s="45">
        <f>MIN(in_takeup_cap,INDEX('Age profile'!$N$2:$N$61,B1551)*(1+in_takeup_growth)^(D1551-1))</f>
        <v/>
      </c>
      <c r="H1551" s="11">
        <f>MIN(in_approval_cap,in_approved_first*INDEX('Age profile'!$O$2:$O$61,B1551)*(1+in_approval_growth)^(D1551-1))</f>
        <v/>
      </c>
      <c r="I1551" s="45">
        <f>G1551*MIN(in_takeup_cap,INDEX('Age profile'!$O$2:$O$61,B1551)*(1+in_approval_growth)^(D1551-1))</f>
        <v/>
      </c>
      <c r="J1551" s="40">
        <f>(J1550-L1550)*F1551/F1550</f>
        <v/>
      </c>
      <c r="K1551" s="40">
        <f>(K1550-M1550)*F1551/F1550+SUMIFS(O1532:O1550,B1532:B1550,B1551-1-d_T)*F1551</f>
        <v/>
      </c>
      <c r="L1551" s="40">
        <f>IF(B1551&gt;=in_marketplace_from,J1551*d_hz*G1551*in_eligible*H1551,0)</f>
        <v/>
      </c>
      <c r="M1551" s="40">
        <f>IF(B1551&gt;=in_marketplace_from,K1551*d_hz*G1551*in_eligible*in_approved_repeat,0)</f>
        <v/>
      </c>
      <c r="N1551" s="40">
        <f>L1551+M1551</f>
        <v/>
      </c>
      <c r="O1551" s="46">
        <f>N1551/F1551</f>
        <v/>
      </c>
      <c r="P1551" s="40">
        <f>F1551-J1551-K1551</f>
        <v/>
      </c>
      <c r="Q1551" s="40">
        <f>IF(B1551&gt;=in_marketplace_from,(J1551+K1551)*d_hz*G1551,0)</f>
        <v/>
      </c>
      <c r="R1551" s="40">
        <f>SUMIFS(N1532:N1555,B1532:B1555,"&gt;="&amp;(B1551-d_T),B1532:B1555,"&lt;="&amp;(B1551-1))</f>
        <v/>
      </c>
      <c r="S1551" s="46">
        <f>(1-d_u)*S1550+IF(d_T&gt;in_topup_lag,SUMIFS(O1532:O1555,B1532:B1555,B1551-in_topup_lag)-d_udrop*SUMIFS(O1532:O1555,B1532:B1555,B1551-d_T),0)</f>
        <v/>
      </c>
      <c r="T1551" s="40">
        <f>F1551*d_u*S1551</f>
        <v/>
      </c>
      <c r="U1551" s="9">
        <f>L1551*in_ticket+M1551*d_rep_ticket</f>
        <v/>
      </c>
      <c r="V1551" s="9">
        <f>U1551+T1551*d_topup_amt</f>
        <v/>
      </c>
      <c r="W1551" s="40">
        <f>N1551+T1551*d_topup_ratio</f>
        <v/>
      </c>
      <c r="X1551" s="40">
        <f>SUMIFS(W1532:W1555,B1532:B1555,B1551-in_dpd_lag)*d_cured</f>
        <v/>
      </c>
      <c r="Y1551" s="40">
        <f>SUMIFS(W1532:W1555,B1532:B1555,B1551-in_rec_lag)*d_recd</f>
        <v/>
      </c>
      <c r="Z1551" s="40">
        <f>IF(AND(B1551&gt;=in_marketplace_from,B1551&lt;in_marketplace_from+in_card_months),in_card_share/in_card_months*F1551*I1551,IF(AND(B1551&gt;=in_marketplace_from+in_card_months,B1551&lt;in_marketplace_from+2*in_card_months),in_card_share*d_card_rem/in_card_months*F1551*MIN(in_takeup_cap,(1+in_takeup_growth)^(D1551-1))*MIN(in_takeup_cap,(1+in_approval_growth)^(D1551-1)),0))</f>
        <v/>
      </c>
      <c r="AA1551" s="14">
        <f>V1551*in_fee*(1-in_taken_back)</f>
        <v/>
      </c>
      <c r="AB1551" s="14">
        <f>SUMIFS(W1532:W1555,B1532:B1555,B1551-in_dpd_lag)*d_dpd</f>
        <v/>
      </c>
      <c r="AC1551" s="14">
        <f>SUMIFS(W1532:W1555,B1532:B1555,B1551-in_rec_lag)*d_rec</f>
        <v/>
      </c>
      <c r="AD1551" s="14">
        <f>Z1551*in_card_fee</f>
        <v/>
      </c>
      <c r="AE1551" s="40">
        <f>AE1550*(1-IF(B1550&gt;=in_marketplace_from,d_hz_hlth_small*G1550,0))</f>
        <v/>
      </c>
      <c r="AF1551" s="46">
        <f>AE1551*IF(B1551&gt;=in_marketplace_from,d_hz_hlth_small*G1551,0)</f>
        <v/>
      </c>
      <c r="AG1551" s="14">
        <f>F1551*AF1551*in_hlth_small_ticket*in_hlth_small_comm*in_ins_partner_share+F1551*in_hlth_small_ticket*in_hlth_small_renew_comm*in_ins_partner_share*(in_hlth_small_renew^1*SUMIFS(AF1532:AF1555,B1532:B1555,B1551-12)+in_hlth_small_renew^2*SUMIFS(AF1532:AF1555,B1532:B1555,B1551-24)+in_hlth_small_renew^3*SUMIFS(AF1532:AF1555,B1532:B1555,B1551-36)+in_hlth_small_renew^4*SUMIFS(AF1532:AF1555,B1532:B1555,B1551-48))</f>
        <v/>
      </c>
      <c r="AH1551" s="40">
        <f>AH1550*(1-IF(B1550&gt;=in_marketplace_from,d_hz_hlth_family*G1550,0))</f>
        <v/>
      </c>
      <c r="AI1551" s="46">
        <f>AH1551*IF(B1551&gt;=in_marketplace_from,d_hz_hlth_family*G1551,0)</f>
        <v/>
      </c>
      <c r="AJ1551" s="14">
        <f>F1551*AI1551*in_hlth_family_ticket*in_hlth_family_comm*in_ins_partner_share+F1551*in_hlth_family_ticket*in_hlth_family_renew_comm*in_ins_partner_share*(in_hlth_family_renew^1*SUMIFS(AI1532:AI1555,B1532:B1555,B1551-12)+in_hlth_family_renew^2*SUMIFS(AI1532:AI1555,B1532:B1555,B1551-24)+in_hlth_family_renew^3*SUMIFS(AI1532:AI1555,B1532:B1555,B1551-36)+in_hlth_family_renew^4*SUMIFS(AI1532:AI1555,B1532:B1555,B1551-48))</f>
        <v/>
      </c>
      <c r="AK1551" s="40">
        <f>AK1550*(1-IF(B1550&gt;=in_marketplace_from,d_hz_life_term*G1550,0))</f>
        <v/>
      </c>
      <c r="AL1551" s="46">
        <f>AK1551*IF(B1551&gt;=in_marketplace_from,d_hz_life_term*G1551,0)</f>
        <v/>
      </c>
      <c r="AM1551" s="14">
        <f>F1551*AL1551*in_life_term_ticket*in_life_term_comm*in_ins_partner_share+F1551*in_life_term_ticket*in_life_term_renew_comm*in_ins_partner_share*(in_life_term_renew^1*SUMIFS(AL1532:AL1555,B1532:B1555,B1551-12)+in_life_term_renew^2*SUMIFS(AL1532:AL1555,B1532:B1555,B1551-24)+in_life_term_renew^3*SUMIFS(AL1532:AL1555,B1532:B1555,B1551-36)+in_life_term_renew^4*SUMIFS(AL1532:AL1555,B1532:B1555,B1551-48))</f>
        <v/>
      </c>
      <c r="AN1551" s="40">
        <f>AN1550*(1-IF(B1550&gt;=in_marketplace_from,d_hz_accident*G1550,0))</f>
        <v/>
      </c>
      <c r="AO1551" s="46">
        <f>AN1551*IF(B1551&gt;=in_marketplace_from,d_hz_accident*G1551,0)</f>
        <v/>
      </c>
      <c r="AP1551" s="14">
        <f>F1551*AO1551*in_accident_ticket*in_accident_comm*in_ins_partner_share+F1551*in_accident_ticket*in_accident_renew_comm*in_ins_partner_share*(in_accident_renew^1*SUMIFS(AO1532:AO1555,B1532:B1555,B1551-12)+in_accident_renew^2*SUMIFS(AO1532:AO1555,B1532:B1555,B1551-24)+in_accident_renew^3*SUMIFS(AO1532:AO1555,B1532:B1555,B1551-36)+in_accident_renew^4*SUMIFS(AO1532:AO1555,B1532:B1555,B1551-48))</f>
        <v/>
      </c>
      <c r="AQ1551" s="40">
        <f>AQ1550*(1-IF(B1550&gt;=in_marketplace_from,d_hz_two_wheeler*G1550,0))</f>
        <v/>
      </c>
      <c r="AR1551" s="46">
        <f>AQ1551*IF(B1551&gt;=in_marketplace_from,d_hz_two_wheeler*G1551,0)</f>
        <v/>
      </c>
      <c r="AS1551" s="14">
        <f>F1551*AR1551*in_two_wheeler_ticket*in_two_wheeler_comm*in_ins_partner_share+F1551*in_two_wheeler_ticket*in_two_wheeler_comm*in_ins_partner_share*(in_two_wheeler_renew^1*SUMIFS(AR1532:AR1555,B1532:B1555,B1551-12)+in_two_wheeler_renew^2*SUMIFS(AR1532:AR1555,B1532:B1555,B1551-24)+in_two_wheeler_renew^3*SUMIFS(AR1532:AR1555,B1532:B1555,B1551-36)+in_two_wheeler_renew^4*SUMIFS(AR1532:AR1555,B1532:B1555,B1551-48))</f>
        <v/>
      </c>
      <c r="AT1551" s="40">
        <f>AT1550*(1-IF(B1550&gt;=in_marketplace_from,d_hz_device*G1550,0))</f>
        <v/>
      </c>
      <c r="AU1551" s="14">
        <f>F1551*AT1551*IF(B1551&gt;=in_marketplace_from,d_hz_device*G1551,0)*in_device_ticket*in_device_comm*in_ins_partner_share</f>
        <v/>
      </c>
      <c r="AV1551" s="40">
        <f>AV1550*(1-IF(B1550&gt;=in_marketplace_from,d_hz_shop*G1550,0))</f>
        <v/>
      </c>
      <c r="AW1551" s="46">
        <f>AV1551*IF(B1551&gt;=in_marketplace_from,d_hz_shop*G1551,0)</f>
        <v/>
      </c>
      <c r="AX1551" s="14">
        <f>F1551*AW1551*in_shop_ticket*in_shop_comm*in_ins_partner_share+F1551*in_shop_ticket*in_shop_renew_comm*in_ins_partner_share*(in_shop_renew^1*SUMIFS(AW1532:AW1555,B1532:B1555,B1551-12)+in_shop_renew^2*SUMIFS(AW1532:AW1555,B1532:B1555,B1551-24)+in_shop_renew^3*SUMIFS(AW1532:AW1555,B1532:B1555,B1551-36)+in_shop_renew^4*SUMIFS(AW1532:AW1555,B1532:B1555,B1551-48))</f>
        <v/>
      </c>
      <c r="AY1551" s="40">
        <f>AY1550*(1-IF(B1550&gt;=in_marketplace_from,d_hz_sip*G1550,0))</f>
        <v/>
      </c>
      <c r="AZ1551" s="40">
        <f>AZ1550*d_rho_sip+AY1551*IF(B1551&gt;=in_marketplace_from,d_hz_sip*G1551,0)</f>
        <v/>
      </c>
      <c r="BA1551" s="40">
        <f>d_rho_sip*(BA1550+AZ1550)</f>
        <v/>
      </c>
      <c r="BB1551" s="14">
        <f>F1551*in_sip_ticket*(BA1551+0.5*AZ1551)*in_sip_comm/12</f>
        <v/>
      </c>
      <c r="BC1551" s="40">
        <f>BC1550*(1-IF(B1550&gt;=in_marketplace_from,d_hz_choti*G1550,0))</f>
        <v/>
      </c>
      <c r="BD1551" s="46">
        <f>BC1551*IF(B1551&gt;=in_marketplace_from,d_hz_choti*G1551,0)</f>
        <v/>
      </c>
      <c r="BE1551" s="14">
        <f>F1551*SUMIFS(BD1532:BD1555,B1532:B1555,B1551-in_choti_months)*in_choti_renew*in_choti_ticket</f>
        <v/>
      </c>
      <c r="BF1551" s="40">
        <f>BF1550*(1-IF(B1550&gt;=in_marketplace_from,d_hz_nps*G1550,0))</f>
        <v/>
      </c>
      <c r="BG1551" s="14">
        <f>F1551*BF1551*IF(B1551&gt;=in_marketplace_from,d_hz_nps*G1551,0)*in_nps_ticket*in_nps_comm</f>
        <v/>
      </c>
      <c r="BH1551" s="40">
        <f>BH1550*(1-IF(B1550&gt;=in_marketplace_from,d_hz_gold*G1550,0))</f>
        <v/>
      </c>
      <c r="BI1551" s="40">
        <f>BI1550*d_rho_gold+BH1551*IF(B1551&gt;=in_marketplace_from,d_hz_gold*G1551,0)</f>
        <v/>
      </c>
      <c r="BJ1551" s="14">
        <f>F1551*BI1551*in_gold_ticket*in_gold_comm</f>
        <v/>
      </c>
      <c r="BK1551" s="40">
        <f>BK1550*(1-IF(B1550&gt;=in_marketplace_from,d_hz_fd*G1550,0))</f>
        <v/>
      </c>
      <c r="BL1551" s="14">
        <f>F1551*BK1551*IF(B1551&gt;=in_marketplace_from,d_hz_fd*G1551,0)*in_fd_ticket*in_fd_comm</f>
        <v/>
      </c>
      <c r="BM1551" s="40">
        <f>BM1550*(1-IF(B1550&gt;=in_marketplace_from,d_hz_recharge*G1550,0))</f>
        <v/>
      </c>
      <c r="BN1551" s="40">
        <f>BN1550*d_rho_recharge+BM1551*IF(B1551&gt;=in_marketplace_from,d_hz_recharge*G1551,0)</f>
        <v/>
      </c>
      <c r="BO1551" s="14">
        <f>F1551*BN1551*in_recharge_ticket*in_recharge_comm/12</f>
        <v/>
      </c>
      <c r="BP1551" s="40">
        <f>BP1550*(1-IF(B1550&gt;=in_marketplace_from,d_hz_bills*G1550,0))</f>
        <v/>
      </c>
      <c r="BQ1551" s="40">
        <f>BQ1550*d_rho_bills+BP1551*IF(B1551&gt;=in_marketplace_from,d_hz_bills*G1551,0)</f>
        <v/>
      </c>
      <c r="BR1551" s="14">
        <f>F1551*BQ1551*in_bills_ticket*in_bills_comm/12</f>
        <v/>
      </c>
      <c r="BS1551" s="40">
        <f>BS1550*(1-IF(B1550&gt;=in_marketplace_from,d_hz_loan_gold*G1550,0))</f>
        <v/>
      </c>
      <c r="BT1551" s="14">
        <f>F1551*BS1551*IF(B1551&gt;=in_marketplace_from,d_hz_loan_gold*G1551,0)*in_loan_gold_ticket*in_loan_gold_comm</f>
        <v/>
      </c>
      <c r="BU1551" s="40">
        <f>BU1550*(1-IF(B1550&gt;=in_marketplace_from,d_hz_loan_cd*G1550,0))</f>
        <v/>
      </c>
      <c r="BV1551" s="14">
        <f>F1551*BU1551*IF(B1551&gt;=in_marketplace_from,d_hz_loan_cd*G1551,0)*in_loan_cd_ticket*in_loan_cd_comm</f>
        <v/>
      </c>
      <c r="BW1551" s="40">
        <f>BW1550*(1-IF(B1550&gt;=in_marketplace_from,d_hz_loan_vehicle*G1550,0))</f>
        <v/>
      </c>
      <c r="BX1551" s="14">
        <f>F1551*BW1551*IF(B1551&gt;=in_marketplace_from,d_hz_loan_vehicle*G1551,0)*in_loan_vehicle_ticket*in_loan_vehicle_comm</f>
        <v/>
      </c>
      <c r="BY1551" s="40">
        <f>BY1550*(1-IF(B1550&gt;=in_marketplace_from,d_hz_loan_home*G1550,0)*BZ1550)</f>
        <v/>
      </c>
      <c r="BZ1551" s="11">
        <f>MIN(in_approval_cap,in_loan_home_approval*INDEX('Age profile'!$O$2:$O$61,B1551)*(1+in_approval_growth)^(D1551-1))</f>
        <v/>
      </c>
      <c r="CA1551" s="14">
        <f>F1551*BY1551*IF(B1551&gt;=in_marketplace_from,d_hz_loan_home*G1551,0)*BZ1551*in_loan_home_ticket*in_loan_home_comm</f>
        <v/>
      </c>
      <c r="CB1551" s="40">
        <f>CB1550*(1-IF(B1550&gt;=in_marketplace_from,d_hz_loan_lap*G1550,0)*CC1550)</f>
        <v/>
      </c>
      <c r="CC1551" s="11">
        <f>MIN(in_approval_cap,in_loan_lap_approval*INDEX('Age profile'!$O$2:$O$61,B1551)*(1+in_approval_growth)^(D1551-1))</f>
        <v/>
      </c>
      <c r="CD1551" s="14">
        <f>F1551*CB1551*IF(B1551&gt;=in_marketplace_from,d_hz_loan_lap*G1551,0)*CC1551*in_loan_lap_ticket*in_loan_lap_comm</f>
        <v/>
      </c>
      <c r="CE1551" s="14">
        <f>AA1551+AB1551+AC1551+AD1551+AG1551+AJ1551+AM1551+AP1551+AS1551+AU1551+AX1551+BB1551+BE1551+BG1551+BJ1551+BL1551+BO1551+BR1551+BT1551+BV1551+BX1551+CA1551+CD1551</f>
        <v/>
      </c>
    </row>
    <row r="1552">
      <c r="A1552" s="39" t="n">
        <v>37</v>
      </c>
      <c r="B1552" s="39" t="n">
        <v>21</v>
      </c>
      <c r="C1552" s="39">
        <f>A1552+B1552-1</f>
        <v/>
      </c>
      <c r="D1552" s="39">
        <f>INT((C1552-1)/12)+1</f>
        <v/>
      </c>
      <c r="E1552" s="44">
        <f>INDEX(Monthly!$B$2:$B$61,A1552)</f>
        <v/>
      </c>
      <c r="F1552" s="44">
        <f>E1552*INDEX('Age profile'!$B$2:$B$61,B1552)</f>
        <v/>
      </c>
      <c r="G1552" s="45">
        <f>MIN(in_takeup_cap,INDEX('Age profile'!$N$2:$N$61,B1552)*(1+in_takeup_growth)^(D1552-1))</f>
        <v/>
      </c>
      <c r="H1552" s="11">
        <f>MIN(in_approval_cap,in_approved_first*INDEX('Age profile'!$O$2:$O$61,B1552)*(1+in_approval_growth)^(D1552-1))</f>
        <v/>
      </c>
      <c r="I1552" s="45">
        <f>G1552*MIN(in_takeup_cap,INDEX('Age profile'!$O$2:$O$61,B1552)*(1+in_approval_growth)^(D1552-1))</f>
        <v/>
      </c>
      <c r="J1552" s="40">
        <f>(J1551-L1551)*F1552/F1551</f>
        <v/>
      </c>
      <c r="K1552" s="40">
        <f>(K1551-M1551)*F1552/F1551+SUMIFS(O1532:O1551,B1532:B1551,B1552-1-d_T)*F1552</f>
        <v/>
      </c>
      <c r="L1552" s="40">
        <f>IF(B1552&gt;=in_marketplace_from,J1552*d_hz*G1552*in_eligible*H1552,0)</f>
        <v/>
      </c>
      <c r="M1552" s="40">
        <f>IF(B1552&gt;=in_marketplace_from,K1552*d_hz*G1552*in_eligible*in_approved_repeat,0)</f>
        <v/>
      </c>
      <c r="N1552" s="40">
        <f>L1552+M1552</f>
        <v/>
      </c>
      <c r="O1552" s="46">
        <f>N1552/F1552</f>
        <v/>
      </c>
      <c r="P1552" s="40">
        <f>F1552-J1552-K1552</f>
        <v/>
      </c>
      <c r="Q1552" s="40">
        <f>IF(B1552&gt;=in_marketplace_from,(J1552+K1552)*d_hz*G1552,0)</f>
        <v/>
      </c>
      <c r="R1552" s="40">
        <f>SUMIFS(N1532:N1555,B1532:B1555,"&gt;="&amp;(B1552-d_T),B1532:B1555,"&lt;="&amp;(B1552-1))</f>
        <v/>
      </c>
      <c r="S1552" s="46">
        <f>(1-d_u)*S1551+IF(d_T&gt;in_topup_lag,SUMIFS(O1532:O1555,B1532:B1555,B1552-in_topup_lag)-d_udrop*SUMIFS(O1532:O1555,B1532:B1555,B1552-d_T),0)</f>
        <v/>
      </c>
      <c r="T1552" s="40">
        <f>F1552*d_u*S1552</f>
        <v/>
      </c>
      <c r="U1552" s="9">
        <f>L1552*in_ticket+M1552*d_rep_ticket</f>
        <v/>
      </c>
      <c r="V1552" s="9">
        <f>U1552+T1552*d_topup_amt</f>
        <v/>
      </c>
      <c r="W1552" s="40">
        <f>N1552+T1552*d_topup_ratio</f>
        <v/>
      </c>
      <c r="X1552" s="40">
        <f>SUMIFS(W1532:W1555,B1532:B1555,B1552-in_dpd_lag)*d_cured</f>
        <v/>
      </c>
      <c r="Y1552" s="40">
        <f>SUMIFS(W1532:W1555,B1532:B1555,B1552-in_rec_lag)*d_recd</f>
        <v/>
      </c>
      <c r="Z1552" s="40">
        <f>IF(AND(B1552&gt;=in_marketplace_from,B1552&lt;in_marketplace_from+in_card_months),in_card_share/in_card_months*F1552*I1552,IF(AND(B1552&gt;=in_marketplace_from+in_card_months,B1552&lt;in_marketplace_from+2*in_card_months),in_card_share*d_card_rem/in_card_months*F1552*MIN(in_takeup_cap,(1+in_takeup_growth)^(D1552-1))*MIN(in_takeup_cap,(1+in_approval_growth)^(D1552-1)),0))</f>
        <v/>
      </c>
      <c r="AA1552" s="14">
        <f>V1552*in_fee*(1-in_taken_back)</f>
        <v/>
      </c>
      <c r="AB1552" s="14">
        <f>SUMIFS(W1532:W1555,B1532:B1555,B1552-in_dpd_lag)*d_dpd</f>
        <v/>
      </c>
      <c r="AC1552" s="14">
        <f>SUMIFS(W1532:W1555,B1532:B1555,B1552-in_rec_lag)*d_rec</f>
        <v/>
      </c>
      <c r="AD1552" s="14">
        <f>Z1552*in_card_fee</f>
        <v/>
      </c>
      <c r="AE1552" s="40">
        <f>AE1551*(1-IF(B1551&gt;=in_marketplace_from,d_hz_hlth_small*G1551,0))</f>
        <v/>
      </c>
      <c r="AF1552" s="46">
        <f>AE1552*IF(B1552&gt;=in_marketplace_from,d_hz_hlth_small*G1552,0)</f>
        <v/>
      </c>
      <c r="AG1552" s="14">
        <f>F1552*AF1552*in_hlth_small_ticket*in_hlth_small_comm*in_ins_partner_share+F1552*in_hlth_small_ticket*in_hlth_small_renew_comm*in_ins_partner_share*(in_hlth_small_renew^1*SUMIFS(AF1532:AF1555,B1532:B1555,B1552-12)+in_hlth_small_renew^2*SUMIFS(AF1532:AF1555,B1532:B1555,B1552-24)+in_hlth_small_renew^3*SUMIFS(AF1532:AF1555,B1532:B1555,B1552-36)+in_hlth_small_renew^4*SUMIFS(AF1532:AF1555,B1532:B1555,B1552-48))</f>
        <v/>
      </c>
      <c r="AH1552" s="40">
        <f>AH1551*(1-IF(B1551&gt;=in_marketplace_from,d_hz_hlth_family*G1551,0))</f>
        <v/>
      </c>
      <c r="AI1552" s="46">
        <f>AH1552*IF(B1552&gt;=in_marketplace_from,d_hz_hlth_family*G1552,0)</f>
        <v/>
      </c>
      <c r="AJ1552" s="14">
        <f>F1552*AI1552*in_hlth_family_ticket*in_hlth_family_comm*in_ins_partner_share+F1552*in_hlth_family_ticket*in_hlth_family_renew_comm*in_ins_partner_share*(in_hlth_family_renew^1*SUMIFS(AI1532:AI1555,B1532:B1555,B1552-12)+in_hlth_family_renew^2*SUMIFS(AI1532:AI1555,B1532:B1555,B1552-24)+in_hlth_family_renew^3*SUMIFS(AI1532:AI1555,B1532:B1555,B1552-36)+in_hlth_family_renew^4*SUMIFS(AI1532:AI1555,B1532:B1555,B1552-48))</f>
        <v/>
      </c>
      <c r="AK1552" s="40">
        <f>AK1551*(1-IF(B1551&gt;=in_marketplace_from,d_hz_life_term*G1551,0))</f>
        <v/>
      </c>
      <c r="AL1552" s="46">
        <f>AK1552*IF(B1552&gt;=in_marketplace_from,d_hz_life_term*G1552,0)</f>
        <v/>
      </c>
      <c r="AM1552" s="14">
        <f>F1552*AL1552*in_life_term_ticket*in_life_term_comm*in_ins_partner_share+F1552*in_life_term_ticket*in_life_term_renew_comm*in_ins_partner_share*(in_life_term_renew^1*SUMIFS(AL1532:AL1555,B1532:B1555,B1552-12)+in_life_term_renew^2*SUMIFS(AL1532:AL1555,B1532:B1555,B1552-24)+in_life_term_renew^3*SUMIFS(AL1532:AL1555,B1532:B1555,B1552-36)+in_life_term_renew^4*SUMIFS(AL1532:AL1555,B1532:B1555,B1552-48))</f>
        <v/>
      </c>
      <c r="AN1552" s="40">
        <f>AN1551*(1-IF(B1551&gt;=in_marketplace_from,d_hz_accident*G1551,0))</f>
        <v/>
      </c>
      <c r="AO1552" s="46">
        <f>AN1552*IF(B1552&gt;=in_marketplace_from,d_hz_accident*G1552,0)</f>
        <v/>
      </c>
      <c r="AP1552" s="14">
        <f>F1552*AO1552*in_accident_ticket*in_accident_comm*in_ins_partner_share+F1552*in_accident_ticket*in_accident_renew_comm*in_ins_partner_share*(in_accident_renew^1*SUMIFS(AO1532:AO1555,B1532:B1555,B1552-12)+in_accident_renew^2*SUMIFS(AO1532:AO1555,B1532:B1555,B1552-24)+in_accident_renew^3*SUMIFS(AO1532:AO1555,B1532:B1555,B1552-36)+in_accident_renew^4*SUMIFS(AO1532:AO1555,B1532:B1555,B1552-48))</f>
        <v/>
      </c>
      <c r="AQ1552" s="40">
        <f>AQ1551*(1-IF(B1551&gt;=in_marketplace_from,d_hz_two_wheeler*G1551,0))</f>
        <v/>
      </c>
      <c r="AR1552" s="46">
        <f>AQ1552*IF(B1552&gt;=in_marketplace_from,d_hz_two_wheeler*G1552,0)</f>
        <v/>
      </c>
      <c r="AS1552" s="14">
        <f>F1552*AR1552*in_two_wheeler_ticket*in_two_wheeler_comm*in_ins_partner_share+F1552*in_two_wheeler_ticket*in_two_wheeler_comm*in_ins_partner_share*(in_two_wheeler_renew^1*SUMIFS(AR1532:AR1555,B1532:B1555,B1552-12)+in_two_wheeler_renew^2*SUMIFS(AR1532:AR1555,B1532:B1555,B1552-24)+in_two_wheeler_renew^3*SUMIFS(AR1532:AR1555,B1532:B1555,B1552-36)+in_two_wheeler_renew^4*SUMIFS(AR1532:AR1555,B1532:B1555,B1552-48))</f>
        <v/>
      </c>
      <c r="AT1552" s="40">
        <f>AT1551*(1-IF(B1551&gt;=in_marketplace_from,d_hz_device*G1551,0))</f>
        <v/>
      </c>
      <c r="AU1552" s="14">
        <f>F1552*AT1552*IF(B1552&gt;=in_marketplace_from,d_hz_device*G1552,0)*in_device_ticket*in_device_comm*in_ins_partner_share</f>
        <v/>
      </c>
      <c r="AV1552" s="40">
        <f>AV1551*(1-IF(B1551&gt;=in_marketplace_from,d_hz_shop*G1551,0))</f>
        <v/>
      </c>
      <c r="AW1552" s="46">
        <f>AV1552*IF(B1552&gt;=in_marketplace_from,d_hz_shop*G1552,0)</f>
        <v/>
      </c>
      <c r="AX1552" s="14">
        <f>F1552*AW1552*in_shop_ticket*in_shop_comm*in_ins_partner_share+F1552*in_shop_ticket*in_shop_renew_comm*in_ins_partner_share*(in_shop_renew^1*SUMIFS(AW1532:AW1555,B1532:B1555,B1552-12)+in_shop_renew^2*SUMIFS(AW1532:AW1555,B1532:B1555,B1552-24)+in_shop_renew^3*SUMIFS(AW1532:AW1555,B1532:B1555,B1552-36)+in_shop_renew^4*SUMIFS(AW1532:AW1555,B1532:B1555,B1552-48))</f>
        <v/>
      </c>
      <c r="AY1552" s="40">
        <f>AY1551*(1-IF(B1551&gt;=in_marketplace_from,d_hz_sip*G1551,0))</f>
        <v/>
      </c>
      <c r="AZ1552" s="40">
        <f>AZ1551*d_rho_sip+AY1552*IF(B1552&gt;=in_marketplace_from,d_hz_sip*G1552,0)</f>
        <v/>
      </c>
      <c r="BA1552" s="40">
        <f>d_rho_sip*(BA1551+AZ1551)</f>
        <v/>
      </c>
      <c r="BB1552" s="14">
        <f>F1552*in_sip_ticket*(BA1552+0.5*AZ1552)*in_sip_comm/12</f>
        <v/>
      </c>
      <c r="BC1552" s="40">
        <f>BC1551*(1-IF(B1551&gt;=in_marketplace_from,d_hz_choti*G1551,0))</f>
        <v/>
      </c>
      <c r="BD1552" s="46">
        <f>BC1552*IF(B1552&gt;=in_marketplace_from,d_hz_choti*G1552,0)</f>
        <v/>
      </c>
      <c r="BE1552" s="14">
        <f>F1552*SUMIFS(BD1532:BD1555,B1532:B1555,B1552-in_choti_months)*in_choti_renew*in_choti_ticket</f>
        <v/>
      </c>
      <c r="BF1552" s="40">
        <f>BF1551*(1-IF(B1551&gt;=in_marketplace_from,d_hz_nps*G1551,0))</f>
        <v/>
      </c>
      <c r="BG1552" s="14">
        <f>F1552*BF1552*IF(B1552&gt;=in_marketplace_from,d_hz_nps*G1552,0)*in_nps_ticket*in_nps_comm</f>
        <v/>
      </c>
      <c r="BH1552" s="40">
        <f>BH1551*(1-IF(B1551&gt;=in_marketplace_from,d_hz_gold*G1551,0))</f>
        <v/>
      </c>
      <c r="BI1552" s="40">
        <f>BI1551*d_rho_gold+BH1552*IF(B1552&gt;=in_marketplace_from,d_hz_gold*G1552,0)</f>
        <v/>
      </c>
      <c r="BJ1552" s="14">
        <f>F1552*BI1552*in_gold_ticket*in_gold_comm</f>
        <v/>
      </c>
      <c r="BK1552" s="40">
        <f>BK1551*(1-IF(B1551&gt;=in_marketplace_from,d_hz_fd*G1551,0))</f>
        <v/>
      </c>
      <c r="BL1552" s="14">
        <f>F1552*BK1552*IF(B1552&gt;=in_marketplace_from,d_hz_fd*G1552,0)*in_fd_ticket*in_fd_comm</f>
        <v/>
      </c>
      <c r="BM1552" s="40">
        <f>BM1551*(1-IF(B1551&gt;=in_marketplace_from,d_hz_recharge*G1551,0))</f>
        <v/>
      </c>
      <c r="BN1552" s="40">
        <f>BN1551*d_rho_recharge+BM1552*IF(B1552&gt;=in_marketplace_from,d_hz_recharge*G1552,0)</f>
        <v/>
      </c>
      <c r="BO1552" s="14">
        <f>F1552*BN1552*in_recharge_ticket*in_recharge_comm/12</f>
        <v/>
      </c>
      <c r="BP1552" s="40">
        <f>BP1551*(1-IF(B1551&gt;=in_marketplace_from,d_hz_bills*G1551,0))</f>
        <v/>
      </c>
      <c r="BQ1552" s="40">
        <f>BQ1551*d_rho_bills+BP1552*IF(B1552&gt;=in_marketplace_from,d_hz_bills*G1552,0)</f>
        <v/>
      </c>
      <c r="BR1552" s="14">
        <f>F1552*BQ1552*in_bills_ticket*in_bills_comm/12</f>
        <v/>
      </c>
      <c r="BS1552" s="40">
        <f>BS1551*(1-IF(B1551&gt;=in_marketplace_from,d_hz_loan_gold*G1551,0))</f>
        <v/>
      </c>
      <c r="BT1552" s="14">
        <f>F1552*BS1552*IF(B1552&gt;=in_marketplace_from,d_hz_loan_gold*G1552,0)*in_loan_gold_ticket*in_loan_gold_comm</f>
        <v/>
      </c>
      <c r="BU1552" s="40">
        <f>BU1551*(1-IF(B1551&gt;=in_marketplace_from,d_hz_loan_cd*G1551,0))</f>
        <v/>
      </c>
      <c r="BV1552" s="14">
        <f>F1552*BU1552*IF(B1552&gt;=in_marketplace_from,d_hz_loan_cd*G1552,0)*in_loan_cd_ticket*in_loan_cd_comm</f>
        <v/>
      </c>
      <c r="BW1552" s="40">
        <f>BW1551*(1-IF(B1551&gt;=in_marketplace_from,d_hz_loan_vehicle*G1551,0))</f>
        <v/>
      </c>
      <c r="BX1552" s="14">
        <f>F1552*BW1552*IF(B1552&gt;=in_marketplace_from,d_hz_loan_vehicle*G1552,0)*in_loan_vehicle_ticket*in_loan_vehicle_comm</f>
        <v/>
      </c>
      <c r="BY1552" s="40">
        <f>BY1551*(1-IF(B1551&gt;=in_marketplace_from,d_hz_loan_home*G1551,0)*BZ1551)</f>
        <v/>
      </c>
      <c r="BZ1552" s="11">
        <f>MIN(in_approval_cap,in_loan_home_approval*INDEX('Age profile'!$O$2:$O$61,B1552)*(1+in_approval_growth)^(D1552-1))</f>
        <v/>
      </c>
      <c r="CA1552" s="14">
        <f>F1552*BY1552*IF(B1552&gt;=in_marketplace_from,d_hz_loan_home*G1552,0)*BZ1552*in_loan_home_ticket*in_loan_home_comm</f>
        <v/>
      </c>
      <c r="CB1552" s="40">
        <f>CB1551*(1-IF(B1551&gt;=in_marketplace_from,d_hz_loan_lap*G1551,0)*CC1551)</f>
        <v/>
      </c>
      <c r="CC1552" s="11">
        <f>MIN(in_approval_cap,in_loan_lap_approval*INDEX('Age profile'!$O$2:$O$61,B1552)*(1+in_approval_growth)^(D1552-1))</f>
        <v/>
      </c>
      <c r="CD1552" s="14">
        <f>F1552*CB1552*IF(B1552&gt;=in_marketplace_from,d_hz_loan_lap*G1552,0)*CC1552*in_loan_lap_ticket*in_loan_lap_comm</f>
        <v/>
      </c>
      <c r="CE1552" s="14">
        <f>AA1552+AB1552+AC1552+AD1552+AG1552+AJ1552+AM1552+AP1552+AS1552+AU1552+AX1552+BB1552+BE1552+BG1552+BJ1552+BL1552+BO1552+BR1552+BT1552+BV1552+BX1552+CA1552+CD1552</f>
        <v/>
      </c>
    </row>
    <row r="1553">
      <c r="A1553" s="39" t="n">
        <v>37</v>
      </c>
      <c r="B1553" s="39" t="n">
        <v>22</v>
      </c>
      <c r="C1553" s="39">
        <f>A1553+B1553-1</f>
        <v/>
      </c>
      <c r="D1553" s="39">
        <f>INT((C1553-1)/12)+1</f>
        <v/>
      </c>
      <c r="E1553" s="44">
        <f>INDEX(Monthly!$B$2:$B$61,A1553)</f>
        <v/>
      </c>
      <c r="F1553" s="44">
        <f>E1553*INDEX('Age profile'!$B$2:$B$61,B1553)</f>
        <v/>
      </c>
      <c r="G1553" s="45">
        <f>MIN(in_takeup_cap,INDEX('Age profile'!$N$2:$N$61,B1553)*(1+in_takeup_growth)^(D1553-1))</f>
        <v/>
      </c>
      <c r="H1553" s="11">
        <f>MIN(in_approval_cap,in_approved_first*INDEX('Age profile'!$O$2:$O$61,B1553)*(1+in_approval_growth)^(D1553-1))</f>
        <v/>
      </c>
      <c r="I1553" s="45">
        <f>G1553*MIN(in_takeup_cap,INDEX('Age profile'!$O$2:$O$61,B1553)*(1+in_approval_growth)^(D1553-1))</f>
        <v/>
      </c>
      <c r="J1553" s="40">
        <f>(J1552-L1552)*F1553/F1552</f>
        <v/>
      </c>
      <c r="K1553" s="40">
        <f>(K1552-M1552)*F1553/F1552+SUMIFS(O1532:O1552,B1532:B1552,B1553-1-d_T)*F1553</f>
        <v/>
      </c>
      <c r="L1553" s="40">
        <f>IF(B1553&gt;=in_marketplace_from,J1553*d_hz*G1553*in_eligible*H1553,0)</f>
        <v/>
      </c>
      <c r="M1553" s="40">
        <f>IF(B1553&gt;=in_marketplace_from,K1553*d_hz*G1553*in_eligible*in_approved_repeat,0)</f>
        <v/>
      </c>
      <c r="N1553" s="40">
        <f>L1553+M1553</f>
        <v/>
      </c>
      <c r="O1553" s="46">
        <f>N1553/F1553</f>
        <v/>
      </c>
      <c r="P1553" s="40">
        <f>F1553-J1553-K1553</f>
        <v/>
      </c>
      <c r="Q1553" s="40">
        <f>IF(B1553&gt;=in_marketplace_from,(J1553+K1553)*d_hz*G1553,0)</f>
        <v/>
      </c>
      <c r="R1553" s="40">
        <f>SUMIFS(N1532:N1555,B1532:B1555,"&gt;="&amp;(B1553-d_T),B1532:B1555,"&lt;="&amp;(B1553-1))</f>
        <v/>
      </c>
      <c r="S1553" s="46">
        <f>(1-d_u)*S1552+IF(d_T&gt;in_topup_lag,SUMIFS(O1532:O1555,B1532:B1555,B1553-in_topup_lag)-d_udrop*SUMIFS(O1532:O1555,B1532:B1555,B1553-d_T),0)</f>
        <v/>
      </c>
      <c r="T1553" s="40">
        <f>F1553*d_u*S1553</f>
        <v/>
      </c>
      <c r="U1553" s="9">
        <f>L1553*in_ticket+M1553*d_rep_ticket</f>
        <v/>
      </c>
      <c r="V1553" s="9">
        <f>U1553+T1553*d_topup_amt</f>
        <v/>
      </c>
      <c r="W1553" s="40">
        <f>N1553+T1553*d_topup_ratio</f>
        <v/>
      </c>
      <c r="X1553" s="40">
        <f>SUMIFS(W1532:W1555,B1532:B1555,B1553-in_dpd_lag)*d_cured</f>
        <v/>
      </c>
      <c r="Y1553" s="40">
        <f>SUMIFS(W1532:W1555,B1532:B1555,B1553-in_rec_lag)*d_recd</f>
        <v/>
      </c>
      <c r="Z1553" s="40">
        <f>IF(AND(B1553&gt;=in_marketplace_from,B1553&lt;in_marketplace_from+in_card_months),in_card_share/in_card_months*F1553*I1553,IF(AND(B1553&gt;=in_marketplace_from+in_card_months,B1553&lt;in_marketplace_from+2*in_card_months),in_card_share*d_card_rem/in_card_months*F1553*MIN(in_takeup_cap,(1+in_takeup_growth)^(D1553-1))*MIN(in_takeup_cap,(1+in_approval_growth)^(D1553-1)),0))</f>
        <v/>
      </c>
      <c r="AA1553" s="14">
        <f>V1553*in_fee*(1-in_taken_back)</f>
        <v/>
      </c>
      <c r="AB1553" s="14">
        <f>SUMIFS(W1532:W1555,B1532:B1555,B1553-in_dpd_lag)*d_dpd</f>
        <v/>
      </c>
      <c r="AC1553" s="14">
        <f>SUMIFS(W1532:W1555,B1532:B1555,B1553-in_rec_lag)*d_rec</f>
        <v/>
      </c>
      <c r="AD1553" s="14">
        <f>Z1553*in_card_fee</f>
        <v/>
      </c>
      <c r="AE1553" s="40">
        <f>AE1552*(1-IF(B1552&gt;=in_marketplace_from,d_hz_hlth_small*G1552,0))</f>
        <v/>
      </c>
      <c r="AF1553" s="46">
        <f>AE1553*IF(B1553&gt;=in_marketplace_from,d_hz_hlth_small*G1553,0)</f>
        <v/>
      </c>
      <c r="AG1553" s="14">
        <f>F1553*AF1553*in_hlth_small_ticket*in_hlth_small_comm*in_ins_partner_share+F1553*in_hlth_small_ticket*in_hlth_small_renew_comm*in_ins_partner_share*(in_hlth_small_renew^1*SUMIFS(AF1532:AF1555,B1532:B1555,B1553-12)+in_hlth_small_renew^2*SUMIFS(AF1532:AF1555,B1532:B1555,B1553-24)+in_hlth_small_renew^3*SUMIFS(AF1532:AF1555,B1532:B1555,B1553-36)+in_hlth_small_renew^4*SUMIFS(AF1532:AF1555,B1532:B1555,B1553-48))</f>
        <v/>
      </c>
      <c r="AH1553" s="40">
        <f>AH1552*(1-IF(B1552&gt;=in_marketplace_from,d_hz_hlth_family*G1552,0))</f>
        <v/>
      </c>
      <c r="AI1553" s="46">
        <f>AH1553*IF(B1553&gt;=in_marketplace_from,d_hz_hlth_family*G1553,0)</f>
        <v/>
      </c>
      <c r="AJ1553" s="14">
        <f>F1553*AI1553*in_hlth_family_ticket*in_hlth_family_comm*in_ins_partner_share+F1553*in_hlth_family_ticket*in_hlth_family_renew_comm*in_ins_partner_share*(in_hlth_family_renew^1*SUMIFS(AI1532:AI1555,B1532:B1555,B1553-12)+in_hlth_family_renew^2*SUMIFS(AI1532:AI1555,B1532:B1555,B1553-24)+in_hlth_family_renew^3*SUMIFS(AI1532:AI1555,B1532:B1555,B1553-36)+in_hlth_family_renew^4*SUMIFS(AI1532:AI1555,B1532:B1555,B1553-48))</f>
        <v/>
      </c>
      <c r="AK1553" s="40">
        <f>AK1552*(1-IF(B1552&gt;=in_marketplace_from,d_hz_life_term*G1552,0))</f>
        <v/>
      </c>
      <c r="AL1553" s="46">
        <f>AK1553*IF(B1553&gt;=in_marketplace_from,d_hz_life_term*G1553,0)</f>
        <v/>
      </c>
      <c r="AM1553" s="14">
        <f>F1553*AL1553*in_life_term_ticket*in_life_term_comm*in_ins_partner_share+F1553*in_life_term_ticket*in_life_term_renew_comm*in_ins_partner_share*(in_life_term_renew^1*SUMIFS(AL1532:AL1555,B1532:B1555,B1553-12)+in_life_term_renew^2*SUMIFS(AL1532:AL1555,B1532:B1555,B1553-24)+in_life_term_renew^3*SUMIFS(AL1532:AL1555,B1532:B1555,B1553-36)+in_life_term_renew^4*SUMIFS(AL1532:AL1555,B1532:B1555,B1553-48))</f>
        <v/>
      </c>
      <c r="AN1553" s="40">
        <f>AN1552*(1-IF(B1552&gt;=in_marketplace_from,d_hz_accident*G1552,0))</f>
        <v/>
      </c>
      <c r="AO1553" s="46">
        <f>AN1553*IF(B1553&gt;=in_marketplace_from,d_hz_accident*G1553,0)</f>
        <v/>
      </c>
      <c r="AP1553" s="14">
        <f>F1553*AO1553*in_accident_ticket*in_accident_comm*in_ins_partner_share+F1553*in_accident_ticket*in_accident_renew_comm*in_ins_partner_share*(in_accident_renew^1*SUMIFS(AO1532:AO1555,B1532:B1555,B1553-12)+in_accident_renew^2*SUMIFS(AO1532:AO1555,B1532:B1555,B1553-24)+in_accident_renew^3*SUMIFS(AO1532:AO1555,B1532:B1555,B1553-36)+in_accident_renew^4*SUMIFS(AO1532:AO1555,B1532:B1555,B1553-48))</f>
        <v/>
      </c>
      <c r="AQ1553" s="40">
        <f>AQ1552*(1-IF(B1552&gt;=in_marketplace_from,d_hz_two_wheeler*G1552,0))</f>
        <v/>
      </c>
      <c r="AR1553" s="46">
        <f>AQ1553*IF(B1553&gt;=in_marketplace_from,d_hz_two_wheeler*G1553,0)</f>
        <v/>
      </c>
      <c r="AS1553" s="14">
        <f>F1553*AR1553*in_two_wheeler_ticket*in_two_wheeler_comm*in_ins_partner_share+F1553*in_two_wheeler_ticket*in_two_wheeler_comm*in_ins_partner_share*(in_two_wheeler_renew^1*SUMIFS(AR1532:AR1555,B1532:B1555,B1553-12)+in_two_wheeler_renew^2*SUMIFS(AR1532:AR1555,B1532:B1555,B1553-24)+in_two_wheeler_renew^3*SUMIFS(AR1532:AR1555,B1532:B1555,B1553-36)+in_two_wheeler_renew^4*SUMIFS(AR1532:AR1555,B1532:B1555,B1553-48))</f>
        <v/>
      </c>
      <c r="AT1553" s="40">
        <f>AT1552*(1-IF(B1552&gt;=in_marketplace_from,d_hz_device*G1552,0))</f>
        <v/>
      </c>
      <c r="AU1553" s="14">
        <f>F1553*AT1553*IF(B1553&gt;=in_marketplace_from,d_hz_device*G1553,0)*in_device_ticket*in_device_comm*in_ins_partner_share</f>
        <v/>
      </c>
      <c r="AV1553" s="40">
        <f>AV1552*(1-IF(B1552&gt;=in_marketplace_from,d_hz_shop*G1552,0))</f>
        <v/>
      </c>
      <c r="AW1553" s="46">
        <f>AV1553*IF(B1553&gt;=in_marketplace_from,d_hz_shop*G1553,0)</f>
        <v/>
      </c>
      <c r="AX1553" s="14">
        <f>F1553*AW1553*in_shop_ticket*in_shop_comm*in_ins_partner_share+F1553*in_shop_ticket*in_shop_renew_comm*in_ins_partner_share*(in_shop_renew^1*SUMIFS(AW1532:AW1555,B1532:B1555,B1553-12)+in_shop_renew^2*SUMIFS(AW1532:AW1555,B1532:B1555,B1553-24)+in_shop_renew^3*SUMIFS(AW1532:AW1555,B1532:B1555,B1553-36)+in_shop_renew^4*SUMIFS(AW1532:AW1555,B1532:B1555,B1553-48))</f>
        <v/>
      </c>
      <c r="AY1553" s="40">
        <f>AY1552*(1-IF(B1552&gt;=in_marketplace_from,d_hz_sip*G1552,0))</f>
        <v/>
      </c>
      <c r="AZ1553" s="40">
        <f>AZ1552*d_rho_sip+AY1553*IF(B1553&gt;=in_marketplace_from,d_hz_sip*G1553,0)</f>
        <v/>
      </c>
      <c r="BA1553" s="40">
        <f>d_rho_sip*(BA1552+AZ1552)</f>
        <v/>
      </c>
      <c r="BB1553" s="14">
        <f>F1553*in_sip_ticket*(BA1553+0.5*AZ1553)*in_sip_comm/12</f>
        <v/>
      </c>
      <c r="BC1553" s="40">
        <f>BC1552*(1-IF(B1552&gt;=in_marketplace_from,d_hz_choti*G1552,0))</f>
        <v/>
      </c>
      <c r="BD1553" s="46">
        <f>BC1553*IF(B1553&gt;=in_marketplace_from,d_hz_choti*G1553,0)</f>
        <v/>
      </c>
      <c r="BE1553" s="14">
        <f>F1553*SUMIFS(BD1532:BD1555,B1532:B1555,B1553-in_choti_months)*in_choti_renew*in_choti_ticket</f>
        <v/>
      </c>
      <c r="BF1553" s="40">
        <f>BF1552*(1-IF(B1552&gt;=in_marketplace_from,d_hz_nps*G1552,0))</f>
        <v/>
      </c>
      <c r="BG1553" s="14">
        <f>F1553*BF1553*IF(B1553&gt;=in_marketplace_from,d_hz_nps*G1553,0)*in_nps_ticket*in_nps_comm</f>
        <v/>
      </c>
      <c r="BH1553" s="40">
        <f>BH1552*(1-IF(B1552&gt;=in_marketplace_from,d_hz_gold*G1552,0))</f>
        <v/>
      </c>
      <c r="BI1553" s="40">
        <f>BI1552*d_rho_gold+BH1553*IF(B1553&gt;=in_marketplace_from,d_hz_gold*G1553,0)</f>
        <v/>
      </c>
      <c r="BJ1553" s="14">
        <f>F1553*BI1553*in_gold_ticket*in_gold_comm</f>
        <v/>
      </c>
      <c r="BK1553" s="40">
        <f>BK1552*(1-IF(B1552&gt;=in_marketplace_from,d_hz_fd*G1552,0))</f>
        <v/>
      </c>
      <c r="BL1553" s="14">
        <f>F1553*BK1553*IF(B1553&gt;=in_marketplace_from,d_hz_fd*G1553,0)*in_fd_ticket*in_fd_comm</f>
        <v/>
      </c>
      <c r="BM1553" s="40">
        <f>BM1552*(1-IF(B1552&gt;=in_marketplace_from,d_hz_recharge*G1552,0))</f>
        <v/>
      </c>
      <c r="BN1553" s="40">
        <f>BN1552*d_rho_recharge+BM1553*IF(B1553&gt;=in_marketplace_from,d_hz_recharge*G1553,0)</f>
        <v/>
      </c>
      <c r="BO1553" s="14">
        <f>F1553*BN1553*in_recharge_ticket*in_recharge_comm/12</f>
        <v/>
      </c>
      <c r="BP1553" s="40">
        <f>BP1552*(1-IF(B1552&gt;=in_marketplace_from,d_hz_bills*G1552,0))</f>
        <v/>
      </c>
      <c r="BQ1553" s="40">
        <f>BQ1552*d_rho_bills+BP1553*IF(B1553&gt;=in_marketplace_from,d_hz_bills*G1553,0)</f>
        <v/>
      </c>
      <c r="BR1553" s="14">
        <f>F1553*BQ1553*in_bills_ticket*in_bills_comm/12</f>
        <v/>
      </c>
      <c r="BS1553" s="40">
        <f>BS1552*(1-IF(B1552&gt;=in_marketplace_from,d_hz_loan_gold*G1552,0))</f>
        <v/>
      </c>
      <c r="BT1553" s="14">
        <f>F1553*BS1553*IF(B1553&gt;=in_marketplace_from,d_hz_loan_gold*G1553,0)*in_loan_gold_ticket*in_loan_gold_comm</f>
        <v/>
      </c>
      <c r="BU1553" s="40">
        <f>BU1552*(1-IF(B1552&gt;=in_marketplace_from,d_hz_loan_cd*G1552,0))</f>
        <v/>
      </c>
      <c r="BV1553" s="14">
        <f>F1553*BU1553*IF(B1553&gt;=in_marketplace_from,d_hz_loan_cd*G1553,0)*in_loan_cd_ticket*in_loan_cd_comm</f>
        <v/>
      </c>
      <c r="BW1553" s="40">
        <f>BW1552*(1-IF(B1552&gt;=in_marketplace_from,d_hz_loan_vehicle*G1552,0))</f>
        <v/>
      </c>
      <c r="BX1553" s="14">
        <f>F1553*BW1553*IF(B1553&gt;=in_marketplace_from,d_hz_loan_vehicle*G1553,0)*in_loan_vehicle_ticket*in_loan_vehicle_comm</f>
        <v/>
      </c>
      <c r="BY1553" s="40">
        <f>BY1552*(1-IF(B1552&gt;=in_marketplace_from,d_hz_loan_home*G1552,0)*BZ1552)</f>
        <v/>
      </c>
      <c r="BZ1553" s="11">
        <f>MIN(in_approval_cap,in_loan_home_approval*INDEX('Age profile'!$O$2:$O$61,B1553)*(1+in_approval_growth)^(D1553-1))</f>
        <v/>
      </c>
      <c r="CA1553" s="14">
        <f>F1553*BY1553*IF(B1553&gt;=in_marketplace_from,d_hz_loan_home*G1553,0)*BZ1553*in_loan_home_ticket*in_loan_home_comm</f>
        <v/>
      </c>
      <c r="CB1553" s="40">
        <f>CB1552*(1-IF(B1552&gt;=in_marketplace_from,d_hz_loan_lap*G1552,0)*CC1552)</f>
        <v/>
      </c>
      <c r="CC1553" s="11">
        <f>MIN(in_approval_cap,in_loan_lap_approval*INDEX('Age profile'!$O$2:$O$61,B1553)*(1+in_approval_growth)^(D1553-1))</f>
        <v/>
      </c>
      <c r="CD1553" s="14">
        <f>F1553*CB1553*IF(B1553&gt;=in_marketplace_from,d_hz_loan_lap*G1553,0)*CC1553*in_loan_lap_ticket*in_loan_lap_comm</f>
        <v/>
      </c>
      <c r="CE1553" s="14">
        <f>AA1553+AB1553+AC1553+AD1553+AG1553+AJ1553+AM1553+AP1553+AS1553+AU1553+AX1553+BB1553+BE1553+BG1553+BJ1553+BL1553+BO1553+BR1553+BT1553+BV1553+BX1553+CA1553+CD1553</f>
        <v/>
      </c>
    </row>
    <row r="1554">
      <c r="A1554" s="39" t="n">
        <v>37</v>
      </c>
      <c r="B1554" s="39" t="n">
        <v>23</v>
      </c>
      <c r="C1554" s="39">
        <f>A1554+B1554-1</f>
        <v/>
      </c>
      <c r="D1554" s="39">
        <f>INT((C1554-1)/12)+1</f>
        <v/>
      </c>
      <c r="E1554" s="44">
        <f>INDEX(Monthly!$B$2:$B$61,A1554)</f>
        <v/>
      </c>
      <c r="F1554" s="44">
        <f>E1554*INDEX('Age profile'!$B$2:$B$61,B1554)</f>
        <v/>
      </c>
      <c r="G1554" s="45">
        <f>MIN(in_takeup_cap,INDEX('Age profile'!$N$2:$N$61,B1554)*(1+in_takeup_growth)^(D1554-1))</f>
        <v/>
      </c>
      <c r="H1554" s="11">
        <f>MIN(in_approval_cap,in_approved_first*INDEX('Age profile'!$O$2:$O$61,B1554)*(1+in_approval_growth)^(D1554-1))</f>
        <v/>
      </c>
      <c r="I1554" s="45">
        <f>G1554*MIN(in_takeup_cap,INDEX('Age profile'!$O$2:$O$61,B1554)*(1+in_approval_growth)^(D1554-1))</f>
        <v/>
      </c>
      <c r="J1554" s="40">
        <f>(J1553-L1553)*F1554/F1553</f>
        <v/>
      </c>
      <c r="K1554" s="40">
        <f>(K1553-M1553)*F1554/F1553+SUMIFS(O1532:O1553,B1532:B1553,B1554-1-d_T)*F1554</f>
        <v/>
      </c>
      <c r="L1554" s="40">
        <f>IF(B1554&gt;=in_marketplace_from,J1554*d_hz*G1554*in_eligible*H1554,0)</f>
        <v/>
      </c>
      <c r="M1554" s="40">
        <f>IF(B1554&gt;=in_marketplace_from,K1554*d_hz*G1554*in_eligible*in_approved_repeat,0)</f>
        <v/>
      </c>
      <c r="N1554" s="40">
        <f>L1554+M1554</f>
        <v/>
      </c>
      <c r="O1554" s="46">
        <f>N1554/F1554</f>
        <v/>
      </c>
      <c r="P1554" s="40">
        <f>F1554-J1554-K1554</f>
        <v/>
      </c>
      <c r="Q1554" s="40">
        <f>IF(B1554&gt;=in_marketplace_from,(J1554+K1554)*d_hz*G1554,0)</f>
        <v/>
      </c>
      <c r="R1554" s="40">
        <f>SUMIFS(N1532:N1555,B1532:B1555,"&gt;="&amp;(B1554-d_T),B1532:B1555,"&lt;="&amp;(B1554-1))</f>
        <v/>
      </c>
      <c r="S1554" s="46">
        <f>(1-d_u)*S1553+IF(d_T&gt;in_topup_lag,SUMIFS(O1532:O1555,B1532:B1555,B1554-in_topup_lag)-d_udrop*SUMIFS(O1532:O1555,B1532:B1555,B1554-d_T),0)</f>
        <v/>
      </c>
      <c r="T1554" s="40">
        <f>F1554*d_u*S1554</f>
        <v/>
      </c>
      <c r="U1554" s="9">
        <f>L1554*in_ticket+M1554*d_rep_ticket</f>
        <v/>
      </c>
      <c r="V1554" s="9">
        <f>U1554+T1554*d_topup_amt</f>
        <v/>
      </c>
      <c r="W1554" s="40">
        <f>N1554+T1554*d_topup_ratio</f>
        <v/>
      </c>
      <c r="X1554" s="40">
        <f>SUMIFS(W1532:W1555,B1532:B1555,B1554-in_dpd_lag)*d_cured</f>
        <v/>
      </c>
      <c r="Y1554" s="40">
        <f>SUMIFS(W1532:W1555,B1532:B1555,B1554-in_rec_lag)*d_recd</f>
        <v/>
      </c>
      <c r="Z1554" s="40">
        <f>IF(AND(B1554&gt;=in_marketplace_from,B1554&lt;in_marketplace_from+in_card_months),in_card_share/in_card_months*F1554*I1554,IF(AND(B1554&gt;=in_marketplace_from+in_card_months,B1554&lt;in_marketplace_from+2*in_card_months),in_card_share*d_card_rem/in_card_months*F1554*MIN(in_takeup_cap,(1+in_takeup_growth)^(D1554-1))*MIN(in_takeup_cap,(1+in_approval_growth)^(D1554-1)),0))</f>
        <v/>
      </c>
      <c r="AA1554" s="14">
        <f>V1554*in_fee*(1-in_taken_back)</f>
        <v/>
      </c>
      <c r="AB1554" s="14">
        <f>SUMIFS(W1532:W1555,B1532:B1555,B1554-in_dpd_lag)*d_dpd</f>
        <v/>
      </c>
      <c r="AC1554" s="14">
        <f>SUMIFS(W1532:W1555,B1532:B1555,B1554-in_rec_lag)*d_rec</f>
        <v/>
      </c>
      <c r="AD1554" s="14">
        <f>Z1554*in_card_fee</f>
        <v/>
      </c>
      <c r="AE1554" s="40">
        <f>AE1553*(1-IF(B1553&gt;=in_marketplace_from,d_hz_hlth_small*G1553,0))</f>
        <v/>
      </c>
      <c r="AF1554" s="46">
        <f>AE1554*IF(B1554&gt;=in_marketplace_from,d_hz_hlth_small*G1554,0)</f>
        <v/>
      </c>
      <c r="AG1554" s="14">
        <f>F1554*AF1554*in_hlth_small_ticket*in_hlth_small_comm*in_ins_partner_share+F1554*in_hlth_small_ticket*in_hlth_small_renew_comm*in_ins_partner_share*(in_hlth_small_renew^1*SUMIFS(AF1532:AF1555,B1532:B1555,B1554-12)+in_hlth_small_renew^2*SUMIFS(AF1532:AF1555,B1532:B1555,B1554-24)+in_hlth_small_renew^3*SUMIFS(AF1532:AF1555,B1532:B1555,B1554-36)+in_hlth_small_renew^4*SUMIFS(AF1532:AF1555,B1532:B1555,B1554-48))</f>
        <v/>
      </c>
      <c r="AH1554" s="40">
        <f>AH1553*(1-IF(B1553&gt;=in_marketplace_from,d_hz_hlth_family*G1553,0))</f>
        <v/>
      </c>
      <c r="AI1554" s="46">
        <f>AH1554*IF(B1554&gt;=in_marketplace_from,d_hz_hlth_family*G1554,0)</f>
        <v/>
      </c>
      <c r="AJ1554" s="14">
        <f>F1554*AI1554*in_hlth_family_ticket*in_hlth_family_comm*in_ins_partner_share+F1554*in_hlth_family_ticket*in_hlth_family_renew_comm*in_ins_partner_share*(in_hlth_family_renew^1*SUMIFS(AI1532:AI1555,B1532:B1555,B1554-12)+in_hlth_family_renew^2*SUMIFS(AI1532:AI1555,B1532:B1555,B1554-24)+in_hlth_family_renew^3*SUMIFS(AI1532:AI1555,B1532:B1555,B1554-36)+in_hlth_family_renew^4*SUMIFS(AI1532:AI1555,B1532:B1555,B1554-48))</f>
        <v/>
      </c>
      <c r="AK1554" s="40">
        <f>AK1553*(1-IF(B1553&gt;=in_marketplace_from,d_hz_life_term*G1553,0))</f>
        <v/>
      </c>
      <c r="AL1554" s="46">
        <f>AK1554*IF(B1554&gt;=in_marketplace_from,d_hz_life_term*G1554,0)</f>
        <v/>
      </c>
      <c r="AM1554" s="14">
        <f>F1554*AL1554*in_life_term_ticket*in_life_term_comm*in_ins_partner_share+F1554*in_life_term_ticket*in_life_term_renew_comm*in_ins_partner_share*(in_life_term_renew^1*SUMIFS(AL1532:AL1555,B1532:B1555,B1554-12)+in_life_term_renew^2*SUMIFS(AL1532:AL1555,B1532:B1555,B1554-24)+in_life_term_renew^3*SUMIFS(AL1532:AL1555,B1532:B1555,B1554-36)+in_life_term_renew^4*SUMIFS(AL1532:AL1555,B1532:B1555,B1554-48))</f>
        <v/>
      </c>
      <c r="AN1554" s="40">
        <f>AN1553*(1-IF(B1553&gt;=in_marketplace_from,d_hz_accident*G1553,0))</f>
        <v/>
      </c>
      <c r="AO1554" s="46">
        <f>AN1554*IF(B1554&gt;=in_marketplace_from,d_hz_accident*G1554,0)</f>
        <v/>
      </c>
      <c r="AP1554" s="14">
        <f>F1554*AO1554*in_accident_ticket*in_accident_comm*in_ins_partner_share+F1554*in_accident_ticket*in_accident_renew_comm*in_ins_partner_share*(in_accident_renew^1*SUMIFS(AO1532:AO1555,B1532:B1555,B1554-12)+in_accident_renew^2*SUMIFS(AO1532:AO1555,B1532:B1555,B1554-24)+in_accident_renew^3*SUMIFS(AO1532:AO1555,B1532:B1555,B1554-36)+in_accident_renew^4*SUMIFS(AO1532:AO1555,B1532:B1555,B1554-48))</f>
        <v/>
      </c>
      <c r="AQ1554" s="40">
        <f>AQ1553*(1-IF(B1553&gt;=in_marketplace_from,d_hz_two_wheeler*G1553,0))</f>
        <v/>
      </c>
      <c r="AR1554" s="46">
        <f>AQ1554*IF(B1554&gt;=in_marketplace_from,d_hz_two_wheeler*G1554,0)</f>
        <v/>
      </c>
      <c r="AS1554" s="14">
        <f>F1554*AR1554*in_two_wheeler_ticket*in_two_wheeler_comm*in_ins_partner_share+F1554*in_two_wheeler_ticket*in_two_wheeler_comm*in_ins_partner_share*(in_two_wheeler_renew^1*SUMIFS(AR1532:AR1555,B1532:B1555,B1554-12)+in_two_wheeler_renew^2*SUMIFS(AR1532:AR1555,B1532:B1555,B1554-24)+in_two_wheeler_renew^3*SUMIFS(AR1532:AR1555,B1532:B1555,B1554-36)+in_two_wheeler_renew^4*SUMIFS(AR1532:AR1555,B1532:B1555,B1554-48))</f>
        <v/>
      </c>
      <c r="AT1554" s="40">
        <f>AT1553*(1-IF(B1553&gt;=in_marketplace_from,d_hz_device*G1553,0))</f>
        <v/>
      </c>
      <c r="AU1554" s="14">
        <f>F1554*AT1554*IF(B1554&gt;=in_marketplace_from,d_hz_device*G1554,0)*in_device_ticket*in_device_comm*in_ins_partner_share</f>
        <v/>
      </c>
      <c r="AV1554" s="40">
        <f>AV1553*(1-IF(B1553&gt;=in_marketplace_from,d_hz_shop*G1553,0))</f>
        <v/>
      </c>
      <c r="AW1554" s="46">
        <f>AV1554*IF(B1554&gt;=in_marketplace_from,d_hz_shop*G1554,0)</f>
        <v/>
      </c>
      <c r="AX1554" s="14">
        <f>F1554*AW1554*in_shop_ticket*in_shop_comm*in_ins_partner_share+F1554*in_shop_ticket*in_shop_renew_comm*in_ins_partner_share*(in_shop_renew^1*SUMIFS(AW1532:AW1555,B1532:B1555,B1554-12)+in_shop_renew^2*SUMIFS(AW1532:AW1555,B1532:B1555,B1554-24)+in_shop_renew^3*SUMIFS(AW1532:AW1555,B1532:B1555,B1554-36)+in_shop_renew^4*SUMIFS(AW1532:AW1555,B1532:B1555,B1554-48))</f>
        <v/>
      </c>
      <c r="AY1554" s="40">
        <f>AY1553*(1-IF(B1553&gt;=in_marketplace_from,d_hz_sip*G1553,0))</f>
        <v/>
      </c>
      <c r="AZ1554" s="40">
        <f>AZ1553*d_rho_sip+AY1554*IF(B1554&gt;=in_marketplace_from,d_hz_sip*G1554,0)</f>
        <v/>
      </c>
      <c r="BA1554" s="40">
        <f>d_rho_sip*(BA1553+AZ1553)</f>
        <v/>
      </c>
      <c r="BB1554" s="14">
        <f>F1554*in_sip_ticket*(BA1554+0.5*AZ1554)*in_sip_comm/12</f>
        <v/>
      </c>
      <c r="BC1554" s="40">
        <f>BC1553*(1-IF(B1553&gt;=in_marketplace_from,d_hz_choti*G1553,0))</f>
        <v/>
      </c>
      <c r="BD1554" s="46">
        <f>BC1554*IF(B1554&gt;=in_marketplace_from,d_hz_choti*G1554,0)</f>
        <v/>
      </c>
      <c r="BE1554" s="14">
        <f>F1554*SUMIFS(BD1532:BD1555,B1532:B1555,B1554-in_choti_months)*in_choti_renew*in_choti_ticket</f>
        <v/>
      </c>
      <c r="BF1554" s="40">
        <f>BF1553*(1-IF(B1553&gt;=in_marketplace_from,d_hz_nps*G1553,0))</f>
        <v/>
      </c>
      <c r="BG1554" s="14">
        <f>F1554*BF1554*IF(B1554&gt;=in_marketplace_from,d_hz_nps*G1554,0)*in_nps_ticket*in_nps_comm</f>
        <v/>
      </c>
      <c r="BH1554" s="40">
        <f>BH1553*(1-IF(B1553&gt;=in_marketplace_from,d_hz_gold*G1553,0))</f>
        <v/>
      </c>
      <c r="BI1554" s="40">
        <f>BI1553*d_rho_gold+BH1554*IF(B1554&gt;=in_marketplace_from,d_hz_gold*G1554,0)</f>
        <v/>
      </c>
      <c r="BJ1554" s="14">
        <f>F1554*BI1554*in_gold_ticket*in_gold_comm</f>
        <v/>
      </c>
      <c r="BK1554" s="40">
        <f>BK1553*(1-IF(B1553&gt;=in_marketplace_from,d_hz_fd*G1553,0))</f>
        <v/>
      </c>
      <c r="BL1554" s="14">
        <f>F1554*BK1554*IF(B1554&gt;=in_marketplace_from,d_hz_fd*G1554,0)*in_fd_ticket*in_fd_comm</f>
        <v/>
      </c>
      <c r="BM1554" s="40">
        <f>BM1553*(1-IF(B1553&gt;=in_marketplace_from,d_hz_recharge*G1553,0))</f>
        <v/>
      </c>
      <c r="BN1554" s="40">
        <f>BN1553*d_rho_recharge+BM1554*IF(B1554&gt;=in_marketplace_from,d_hz_recharge*G1554,0)</f>
        <v/>
      </c>
      <c r="BO1554" s="14">
        <f>F1554*BN1554*in_recharge_ticket*in_recharge_comm/12</f>
        <v/>
      </c>
      <c r="BP1554" s="40">
        <f>BP1553*(1-IF(B1553&gt;=in_marketplace_from,d_hz_bills*G1553,0))</f>
        <v/>
      </c>
      <c r="BQ1554" s="40">
        <f>BQ1553*d_rho_bills+BP1554*IF(B1554&gt;=in_marketplace_from,d_hz_bills*G1554,0)</f>
        <v/>
      </c>
      <c r="BR1554" s="14">
        <f>F1554*BQ1554*in_bills_ticket*in_bills_comm/12</f>
        <v/>
      </c>
      <c r="BS1554" s="40">
        <f>BS1553*(1-IF(B1553&gt;=in_marketplace_from,d_hz_loan_gold*G1553,0))</f>
        <v/>
      </c>
      <c r="BT1554" s="14">
        <f>F1554*BS1554*IF(B1554&gt;=in_marketplace_from,d_hz_loan_gold*G1554,0)*in_loan_gold_ticket*in_loan_gold_comm</f>
        <v/>
      </c>
      <c r="BU1554" s="40">
        <f>BU1553*(1-IF(B1553&gt;=in_marketplace_from,d_hz_loan_cd*G1553,0))</f>
        <v/>
      </c>
      <c r="BV1554" s="14">
        <f>F1554*BU1554*IF(B1554&gt;=in_marketplace_from,d_hz_loan_cd*G1554,0)*in_loan_cd_ticket*in_loan_cd_comm</f>
        <v/>
      </c>
      <c r="BW1554" s="40">
        <f>BW1553*(1-IF(B1553&gt;=in_marketplace_from,d_hz_loan_vehicle*G1553,0))</f>
        <v/>
      </c>
      <c r="BX1554" s="14">
        <f>F1554*BW1554*IF(B1554&gt;=in_marketplace_from,d_hz_loan_vehicle*G1554,0)*in_loan_vehicle_ticket*in_loan_vehicle_comm</f>
        <v/>
      </c>
      <c r="BY1554" s="40">
        <f>BY1553*(1-IF(B1553&gt;=in_marketplace_from,d_hz_loan_home*G1553,0)*BZ1553)</f>
        <v/>
      </c>
      <c r="BZ1554" s="11">
        <f>MIN(in_approval_cap,in_loan_home_approval*INDEX('Age profile'!$O$2:$O$61,B1554)*(1+in_approval_growth)^(D1554-1))</f>
        <v/>
      </c>
      <c r="CA1554" s="14">
        <f>F1554*BY1554*IF(B1554&gt;=in_marketplace_from,d_hz_loan_home*G1554,0)*BZ1554*in_loan_home_ticket*in_loan_home_comm</f>
        <v/>
      </c>
      <c r="CB1554" s="40">
        <f>CB1553*(1-IF(B1553&gt;=in_marketplace_from,d_hz_loan_lap*G1553,0)*CC1553)</f>
        <v/>
      </c>
      <c r="CC1554" s="11">
        <f>MIN(in_approval_cap,in_loan_lap_approval*INDEX('Age profile'!$O$2:$O$61,B1554)*(1+in_approval_growth)^(D1554-1))</f>
        <v/>
      </c>
      <c r="CD1554" s="14">
        <f>F1554*CB1554*IF(B1554&gt;=in_marketplace_from,d_hz_loan_lap*G1554,0)*CC1554*in_loan_lap_ticket*in_loan_lap_comm</f>
        <v/>
      </c>
      <c r="CE1554" s="14">
        <f>AA1554+AB1554+AC1554+AD1554+AG1554+AJ1554+AM1554+AP1554+AS1554+AU1554+AX1554+BB1554+BE1554+BG1554+BJ1554+BL1554+BO1554+BR1554+BT1554+BV1554+BX1554+CA1554+CD1554</f>
        <v/>
      </c>
    </row>
    <row r="1555">
      <c r="A1555" s="39" t="n">
        <v>37</v>
      </c>
      <c r="B1555" s="39" t="n">
        <v>24</v>
      </c>
      <c r="C1555" s="39">
        <f>A1555+B1555-1</f>
        <v/>
      </c>
      <c r="D1555" s="39">
        <f>INT((C1555-1)/12)+1</f>
        <v/>
      </c>
      <c r="E1555" s="44">
        <f>INDEX(Monthly!$B$2:$B$61,A1555)</f>
        <v/>
      </c>
      <c r="F1555" s="44">
        <f>E1555*INDEX('Age profile'!$B$2:$B$61,B1555)</f>
        <v/>
      </c>
      <c r="G1555" s="45">
        <f>MIN(in_takeup_cap,INDEX('Age profile'!$N$2:$N$61,B1555)*(1+in_takeup_growth)^(D1555-1))</f>
        <v/>
      </c>
      <c r="H1555" s="11">
        <f>MIN(in_approval_cap,in_approved_first*INDEX('Age profile'!$O$2:$O$61,B1555)*(1+in_approval_growth)^(D1555-1))</f>
        <v/>
      </c>
      <c r="I1555" s="45">
        <f>G1555*MIN(in_takeup_cap,INDEX('Age profile'!$O$2:$O$61,B1555)*(1+in_approval_growth)^(D1555-1))</f>
        <v/>
      </c>
      <c r="J1555" s="40">
        <f>(J1554-L1554)*F1555/F1554</f>
        <v/>
      </c>
      <c r="K1555" s="40">
        <f>(K1554-M1554)*F1555/F1554+SUMIFS(O1532:O1554,B1532:B1554,B1555-1-d_T)*F1555</f>
        <v/>
      </c>
      <c r="L1555" s="40">
        <f>IF(B1555&gt;=in_marketplace_from,J1555*d_hz*G1555*in_eligible*H1555,0)</f>
        <v/>
      </c>
      <c r="M1555" s="40">
        <f>IF(B1555&gt;=in_marketplace_from,K1555*d_hz*G1555*in_eligible*in_approved_repeat,0)</f>
        <v/>
      </c>
      <c r="N1555" s="40">
        <f>L1555+M1555</f>
        <v/>
      </c>
      <c r="O1555" s="46">
        <f>N1555/F1555</f>
        <v/>
      </c>
      <c r="P1555" s="40">
        <f>F1555-J1555-K1555</f>
        <v/>
      </c>
      <c r="Q1555" s="40">
        <f>IF(B1555&gt;=in_marketplace_from,(J1555+K1555)*d_hz*G1555,0)</f>
        <v/>
      </c>
      <c r="R1555" s="40">
        <f>SUMIFS(N1532:N1555,B1532:B1555,"&gt;="&amp;(B1555-d_T),B1532:B1555,"&lt;="&amp;(B1555-1))</f>
        <v/>
      </c>
      <c r="S1555" s="46">
        <f>(1-d_u)*S1554+IF(d_T&gt;in_topup_lag,SUMIFS(O1532:O1555,B1532:B1555,B1555-in_topup_lag)-d_udrop*SUMIFS(O1532:O1555,B1532:B1555,B1555-d_T),0)</f>
        <v/>
      </c>
      <c r="T1555" s="40">
        <f>F1555*d_u*S1555</f>
        <v/>
      </c>
      <c r="U1555" s="9">
        <f>L1555*in_ticket+M1555*d_rep_ticket</f>
        <v/>
      </c>
      <c r="V1555" s="9">
        <f>U1555+T1555*d_topup_amt</f>
        <v/>
      </c>
      <c r="W1555" s="40">
        <f>N1555+T1555*d_topup_ratio</f>
        <v/>
      </c>
      <c r="X1555" s="40">
        <f>SUMIFS(W1532:W1555,B1532:B1555,B1555-in_dpd_lag)*d_cured</f>
        <v/>
      </c>
      <c r="Y1555" s="40">
        <f>SUMIFS(W1532:W1555,B1532:B1555,B1555-in_rec_lag)*d_recd</f>
        <v/>
      </c>
      <c r="Z1555" s="40">
        <f>IF(AND(B1555&gt;=in_marketplace_from,B1555&lt;in_marketplace_from+in_card_months),in_card_share/in_card_months*F1555*I1555,IF(AND(B1555&gt;=in_marketplace_from+in_card_months,B1555&lt;in_marketplace_from+2*in_card_months),in_card_share*d_card_rem/in_card_months*F1555*MIN(in_takeup_cap,(1+in_takeup_growth)^(D1555-1))*MIN(in_takeup_cap,(1+in_approval_growth)^(D1555-1)),0))</f>
        <v/>
      </c>
      <c r="AA1555" s="14">
        <f>V1555*in_fee*(1-in_taken_back)</f>
        <v/>
      </c>
      <c r="AB1555" s="14">
        <f>SUMIFS(W1532:W1555,B1532:B1555,B1555-in_dpd_lag)*d_dpd</f>
        <v/>
      </c>
      <c r="AC1555" s="14">
        <f>SUMIFS(W1532:W1555,B1532:B1555,B1555-in_rec_lag)*d_rec</f>
        <v/>
      </c>
      <c r="AD1555" s="14">
        <f>Z1555*in_card_fee</f>
        <v/>
      </c>
      <c r="AE1555" s="40">
        <f>AE1554*(1-IF(B1554&gt;=in_marketplace_from,d_hz_hlth_small*G1554,0))</f>
        <v/>
      </c>
      <c r="AF1555" s="46">
        <f>AE1555*IF(B1555&gt;=in_marketplace_from,d_hz_hlth_small*G1555,0)</f>
        <v/>
      </c>
      <c r="AG1555" s="14">
        <f>F1555*AF1555*in_hlth_small_ticket*in_hlth_small_comm*in_ins_partner_share+F1555*in_hlth_small_ticket*in_hlth_small_renew_comm*in_ins_partner_share*(in_hlth_small_renew^1*SUMIFS(AF1532:AF1555,B1532:B1555,B1555-12)+in_hlth_small_renew^2*SUMIFS(AF1532:AF1555,B1532:B1555,B1555-24)+in_hlth_small_renew^3*SUMIFS(AF1532:AF1555,B1532:B1555,B1555-36)+in_hlth_small_renew^4*SUMIFS(AF1532:AF1555,B1532:B1555,B1555-48))</f>
        <v/>
      </c>
      <c r="AH1555" s="40">
        <f>AH1554*(1-IF(B1554&gt;=in_marketplace_from,d_hz_hlth_family*G1554,0))</f>
        <v/>
      </c>
      <c r="AI1555" s="46">
        <f>AH1555*IF(B1555&gt;=in_marketplace_from,d_hz_hlth_family*G1555,0)</f>
        <v/>
      </c>
      <c r="AJ1555" s="14">
        <f>F1555*AI1555*in_hlth_family_ticket*in_hlth_family_comm*in_ins_partner_share+F1555*in_hlth_family_ticket*in_hlth_family_renew_comm*in_ins_partner_share*(in_hlth_family_renew^1*SUMIFS(AI1532:AI1555,B1532:B1555,B1555-12)+in_hlth_family_renew^2*SUMIFS(AI1532:AI1555,B1532:B1555,B1555-24)+in_hlth_family_renew^3*SUMIFS(AI1532:AI1555,B1532:B1555,B1555-36)+in_hlth_family_renew^4*SUMIFS(AI1532:AI1555,B1532:B1555,B1555-48))</f>
        <v/>
      </c>
      <c r="AK1555" s="40">
        <f>AK1554*(1-IF(B1554&gt;=in_marketplace_from,d_hz_life_term*G1554,0))</f>
        <v/>
      </c>
      <c r="AL1555" s="46">
        <f>AK1555*IF(B1555&gt;=in_marketplace_from,d_hz_life_term*G1555,0)</f>
        <v/>
      </c>
      <c r="AM1555" s="14">
        <f>F1555*AL1555*in_life_term_ticket*in_life_term_comm*in_ins_partner_share+F1555*in_life_term_ticket*in_life_term_renew_comm*in_ins_partner_share*(in_life_term_renew^1*SUMIFS(AL1532:AL1555,B1532:B1555,B1555-12)+in_life_term_renew^2*SUMIFS(AL1532:AL1555,B1532:B1555,B1555-24)+in_life_term_renew^3*SUMIFS(AL1532:AL1555,B1532:B1555,B1555-36)+in_life_term_renew^4*SUMIFS(AL1532:AL1555,B1532:B1555,B1555-48))</f>
        <v/>
      </c>
      <c r="AN1555" s="40">
        <f>AN1554*(1-IF(B1554&gt;=in_marketplace_from,d_hz_accident*G1554,0))</f>
        <v/>
      </c>
      <c r="AO1555" s="46">
        <f>AN1555*IF(B1555&gt;=in_marketplace_from,d_hz_accident*G1555,0)</f>
        <v/>
      </c>
      <c r="AP1555" s="14">
        <f>F1555*AO1555*in_accident_ticket*in_accident_comm*in_ins_partner_share+F1555*in_accident_ticket*in_accident_renew_comm*in_ins_partner_share*(in_accident_renew^1*SUMIFS(AO1532:AO1555,B1532:B1555,B1555-12)+in_accident_renew^2*SUMIFS(AO1532:AO1555,B1532:B1555,B1555-24)+in_accident_renew^3*SUMIFS(AO1532:AO1555,B1532:B1555,B1555-36)+in_accident_renew^4*SUMIFS(AO1532:AO1555,B1532:B1555,B1555-48))</f>
        <v/>
      </c>
      <c r="AQ1555" s="40">
        <f>AQ1554*(1-IF(B1554&gt;=in_marketplace_from,d_hz_two_wheeler*G1554,0))</f>
        <v/>
      </c>
      <c r="AR1555" s="46">
        <f>AQ1555*IF(B1555&gt;=in_marketplace_from,d_hz_two_wheeler*G1555,0)</f>
        <v/>
      </c>
      <c r="AS1555" s="14">
        <f>F1555*AR1555*in_two_wheeler_ticket*in_two_wheeler_comm*in_ins_partner_share+F1555*in_two_wheeler_ticket*in_two_wheeler_comm*in_ins_partner_share*(in_two_wheeler_renew^1*SUMIFS(AR1532:AR1555,B1532:B1555,B1555-12)+in_two_wheeler_renew^2*SUMIFS(AR1532:AR1555,B1532:B1555,B1555-24)+in_two_wheeler_renew^3*SUMIFS(AR1532:AR1555,B1532:B1555,B1555-36)+in_two_wheeler_renew^4*SUMIFS(AR1532:AR1555,B1532:B1555,B1555-48))</f>
        <v/>
      </c>
      <c r="AT1555" s="40">
        <f>AT1554*(1-IF(B1554&gt;=in_marketplace_from,d_hz_device*G1554,0))</f>
        <v/>
      </c>
      <c r="AU1555" s="14">
        <f>F1555*AT1555*IF(B1555&gt;=in_marketplace_from,d_hz_device*G1555,0)*in_device_ticket*in_device_comm*in_ins_partner_share</f>
        <v/>
      </c>
      <c r="AV1555" s="40">
        <f>AV1554*(1-IF(B1554&gt;=in_marketplace_from,d_hz_shop*G1554,0))</f>
        <v/>
      </c>
      <c r="AW1555" s="46">
        <f>AV1555*IF(B1555&gt;=in_marketplace_from,d_hz_shop*G1555,0)</f>
        <v/>
      </c>
      <c r="AX1555" s="14">
        <f>F1555*AW1555*in_shop_ticket*in_shop_comm*in_ins_partner_share+F1555*in_shop_ticket*in_shop_renew_comm*in_ins_partner_share*(in_shop_renew^1*SUMIFS(AW1532:AW1555,B1532:B1555,B1555-12)+in_shop_renew^2*SUMIFS(AW1532:AW1555,B1532:B1555,B1555-24)+in_shop_renew^3*SUMIFS(AW1532:AW1555,B1532:B1555,B1555-36)+in_shop_renew^4*SUMIFS(AW1532:AW1555,B1532:B1555,B1555-48))</f>
        <v/>
      </c>
      <c r="AY1555" s="40">
        <f>AY1554*(1-IF(B1554&gt;=in_marketplace_from,d_hz_sip*G1554,0))</f>
        <v/>
      </c>
      <c r="AZ1555" s="40">
        <f>AZ1554*d_rho_sip+AY1555*IF(B1555&gt;=in_marketplace_from,d_hz_sip*G1555,0)</f>
        <v/>
      </c>
      <c r="BA1555" s="40">
        <f>d_rho_sip*(BA1554+AZ1554)</f>
        <v/>
      </c>
      <c r="BB1555" s="14">
        <f>F1555*in_sip_ticket*(BA1555+0.5*AZ1555)*in_sip_comm/12</f>
        <v/>
      </c>
      <c r="BC1555" s="40">
        <f>BC1554*(1-IF(B1554&gt;=in_marketplace_from,d_hz_choti*G1554,0))</f>
        <v/>
      </c>
      <c r="BD1555" s="46">
        <f>BC1555*IF(B1555&gt;=in_marketplace_from,d_hz_choti*G1555,0)</f>
        <v/>
      </c>
      <c r="BE1555" s="14">
        <f>F1555*SUMIFS(BD1532:BD1555,B1532:B1555,B1555-in_choti_months)*in_choti_renew*in_choti_ticket</f>
        <v/>
      </c>
      <c r="BF1555" s="40">
        <f>BF1554*(1-IF(B1554&gt;=in_marketplace_from,d_hz_nps*G1554,0))</f>
        <v/>
      </c>
      <c r="BG1555" s="14">
        <f>F1555*BF1555*IF(B1555&gt;=in_marketplace_from,d_hz_nps*G1555,0)*in_nps_ticket*in_nps_comm</f>
        <v/>
      </c>
      <c r="BH1555" s="40">
        <f>BH1554*(1-IF(B1554&gt;=in_marketplace_from,d_hz_gold*G1554,0))</f>
        <v/>
      </c>
      <c r="BI1555" s="40">
        <f>BI1554*d_rho_gold+BH1555*IF(B1555&gt;=in_marketplace_from,d_hz_gold*G1555,0)</f>
        <v/>
      </c>
      <c r="BJ1555" s="14">
        <f>F1555*BI1555*in_gold_ticket*in_gold_comm</f>
        <v/>
      </c>
      <c r="BK1555" s="40">
        <f>BK1554*(1-IF(B1554&gt;=in_marketplace_from,d_hz_fd*G1554,0))</f>
        <v/>
      </c>
      <c r="BL1555" s="14">
        <f>F1555*BK1555*IF(B1555&gt;=in_marketplace_from,d_hz_fd*G1555,0)*in_fd_ticket*in_fd_comm</f>
        <v/>
      </c>
      <c r="BM1555" s="40">
        <f>BM1554*(1-IF(B1554&gt;=in_marketplace_from,d_hz_recharge*G1554,0))</f>
        <v/>
      </c>
      <c r="BN1555" s="40">
        <f>BN1554*d_rho_recharge+BM1555*IF(B1555&gt;=in_marketplace_from,d_hz_recharge*G1555,0)</f>
        <v/>
      </c>
      <c r="BO1555" s="14">
        <f>F1555*BN1555*in_recharge_ticket*in_recharge_comm/12</f>
        <v/>
      </c>
      <c r="BP1555" s="40">
        <f>BP1554*(1-IF(B1554&gt;=in_marketplace_from,d_hz_bills*G1554,0))</f>
        <v/>
      </c>
      <c r="BQ1555" s="40">
        <f>BQ1554*d_rho_bills+BP1555*IF(B1555&gt;=in_marketplace_from,d_hz_bills*G1555,0)</f>
        <v/>
      </c>
      <c r="BR1555" s="14">
        <f>F1555*BQ1555*in_bills_ticket*in_bills_comm/12</f>
        <v/>
      </c>
      <c r="BS1555" s="40">
        <f>BS1554*(1-IF(B1554&gt;=in_marketplace_from,d_hz_loan_gold*G1554,0))</f>
        <v/>
      </c>
      <c r="BT1555" s="14">
        <f>F1555*BS1555*IF(B1555&gt;=in_marketplace_from,d_hz_loan_gold*G1555,0)*in_loan_gold_ticket*in_loan_gold_comm</f>
        <v/>
      </c>
      <c r="BU1555" s="40">
        <f>BU1554*(1-IF(B1554&gt;=in_marketplace_from,d_hz_loan_cd*G1554,0))</f>
        <v/>
      </c>
      <c r="BV1555" s="14">
        <f>F1555*BU1555*IF(B1555&gt;=in_marketplace_from,d_hz_loan_cd*G1555,0)*in_loan_cd_ticket*in_loan_cd_comm</f>
        <v/>
      </c>
      <c r="BW1555" s="40">
        <f>BW1554*(1-IF(B1554&gt;=in_marketplace_from,d_hz_loan_vehicle*G1554,0))</f>
        <v/>
      </c>
      <c r="BX1555" s="14">
        <f>F1555*BW1555*IF(B1555&gt;=in_marketplace_from,d_hz_loan_vehicle*G1555,0)*in_loan_vehicle_ticket*in_loan_vehicle_comm</f>
        <v/>
      </c>
      <c r="BY1555" s="40">
        <f>BY1554*(1-IF(B1554&gt;=in_marketplace_from,d_hz_loan_home*G1554,0)*BZ1554)</f>
        <v/>
      </c>
      <c r="BZ1555" s="11">
        <f>MIN(in_approval_cap,in_loan_home_approval*INDEX('Age profile'!$O$2:$O$61,B1555)*(1+in_approval_growth)^(D1555-1))</f>
        <v/>
      </c>
      <c r="CA1555" s="14">
        <f>F1555*BY1555*IF(B1555&gt;=in_marketplace_from,d_hz_loan_home*G1555,0)*BZ1555*in_loan_home_ticket*in_loan_home_comm</f>
        <v/>
      </c>
      <c r="CB1555" s="40">
        <f>CB1554*(1-IF(B1554&gt;=in_marketplace_from,d_hz_loan_lap*G1554,0)*CC1554)</f>
        <v/>
      </c>
      <c r="CC1555" s="11">
        <f>MIN(in_approval_cap,in_loan_lap_approval*INDEX('Age profile'!$O$2:$O$61,B1555)*(1+in_approval_growth)^(D1555-1))</f>
        <v/>
      </c>
      <c r="CD1555" s="14">
        <f>F1555*CB1555*IF(B1555&gt;=in_marketplace_from,d_hz_loan_lap*G1555,0)*CC1555*in_loan_lap_ticket*in_loan_lap_comm</f>
        <v/>
      </c>
      <c r="CE1555" s="14">
        <f>AA1555+AB1555+AC1555+AD1555+AG1555+AJ1555+AM1555+AP1555+AS1555+AU1555+AX1555+BB1555+BE1555+BG1555+BJ1555+BL1555+BO1555+BR1555+BT1555+BV1555+BX1555+CA1555+CD1555</f>
        <v/>
      </c>
    </row>
    <row r="1556">
      <c r="A1556" s="39" t="n">
        <v>38</v>
      </c>
      <c r="B1556" s="39" t="n">
        <v>1</v>
      </c>
      <c r="C1556" s="39">
        <f>A1556+B1556-1</f>
        <v/>
      </c>
      <c r="D1556" s="39">
        <f>INT((C1556-1)/12)+1</f>
        <v/>
      </c>
      <c r="E1556" s="44">
        <f>INDEX(Monthly!$B$2:$B$61,A1556)</f>
        <v/>
      </c>
      <c r="F1556" s="44">
        <f>E1556*INDEX('Age profile'!$B$2:$B$61,B1556)</f>
        <v/>
      </c>
      <c r="G1556" s="45">
        <f>MIN(in_takeup_cap,INDEX('Age profile'!$N$2:$N$61,B1556)*(1+in_takeup_growth)^(D1556-1))</f>
        <v/>
      </c>
      <c r="H1556" s="11">
        <f>MIN(in_approval_cap,in_approved_first*INDEX('Age profile'!$O$2:$O$61,B1556)*(1+in_approval_growth)^(D1556-1))</f>
        <v/>
      </c>
      <c r="I1556" s="45">
        <f>G1556*MIN(in_takeup_cap,INDEX('Age profile'!$O$2:$O$61,B1556)*(1+in_approval_growth)^(D1556-1))</f>
        <v/>
      </c>
      <c r="J1556" s="40">
        <f>E1556</f>
        <v/>
      </c>
      <c r="K1556" s="40" t="n">
        <v>0</v>
      </c>
      <c r="L1556" s="40">
        <f>IF(B1556&gt;=in_marketplace_from,J1556*d_hz*G1556*in_eligible*H1556,0)</f>
        <v/>
      </c>
      <c r="M1556" s="40">
        <f>IF(B1556&gt;=in_marketplace_from,K1556*d_hz*G1556*in_eligible*in_approved_repeat,0)</f>
        <v/>
      </c>
      <c r="N1556" s="40">
        <f>L1556+M1556</f>
        <v/>
      </c>
      <c r="O1556" s="46">
        <f>N1556/F1556</f>
        <v/>
      </c>
      <c r="P1556" s="40">
        <f>F1556-J1556-K1556</f>
        <v/>
      </c>
      <c r="Q1556" s="40">
        <f>IF(B1556&gt;=in_marketplace_from,(J1556+K1556)*d_hz*G1556,0)</f>
        <v/>
      </c>
      <c r="R1556" s="40">
        <f>SUMIFS(N1556:N1578,B1556:B1578,"&gt;="&amp;(B1556-d_T),B1556:B1578,"&lt;="&amp;(B1556-1))</f>
        <v/>
      </c>
      <c r="S1556" s="46" t="n">
        <v>0</v>
      </c>
      <c r="T1556" s="40">
        <f>F1556*d_u*S1556</f>
        <v/>
      </c>
      <c r="U1556" s="9">
        <f>L1556*in_ticket+M1556*d_rep_ticket</f>
        <v/>
      </c>
      <c r="V1556" s="9">
        <f>U1556+T1556*d_topup_amt</f>
        <v/>
      </c>
      <c r="W1556" s="40">
        <f>N1556+T1556*d_topup_ratio</f>
        <v/>
      </c>
      <c r="X1556" s="40">
        <f>SUMIFS(W1556:W1578,B1556:B1578,B1556-in_dpd_lag)*d_cured</f>
        <v/>
      </c>
      <c r="Y1556" s="40">
        <f>SUMIFS(W1556:W1578,B1556:B1578,B1556-in_rec_lag)*d_recd</f>
        <v/>
      </c>
      <c r="Z1556" s="40">
        <f>IF(AND(B1556&gt;=in_marketplace_from,B1556&lt;in_marketplace_from+in_card_months),in_card_share/in_card_months*F1556*I1556,IF(AND(B1556&gt;=in_marketplace_from+in_card_months,B1556&lt;in_marketplace_from+2*in_card_months),in_card_share*d_card_rem/in_card_months*F1556*MIN(in_takeup_cap,(1+in_takeup_growth)^(D1556-1))*MIN(in_takeup_cap,(1+in_approval_growth)^(D1556-1)),0))</f>
        <v/>
      </c>
      <c r="AA1556" s="14">
        <f>V1556*in_fee*(1-in_taken_back)</f>
        <v/>
      </c>
      <c r="AB1556" s="14">
        <f>SUMIFS(W1556:W1578,B1556:B1578,B1556-in_dpd_lag)*d_dpd</f>
        <v/>
      </c>
      <c r="AC1556" s="14">
        <f>SUMIFS(W1556:W1578,B1556:B1578,B1556-in_rec_lag)*d_rec</f>
        <v/>
      </c>
      <c r="AD1556" s="14">
        <f>Z1556*in_card_fee</f>
        <v/>
      </c>
      <c r="AE1556" s="40" t="n">
        <v>1</v>
      </c>
      <c r="AF1556" s="46">
        <f>AE1556*IF(B1556&gt;=in_marketplace_from,d_hz_hlth_small*G1556,0)</f>
        <v/>
      </c>
      <c r="AG1556" s="14">
        <f>F1556*AF1556*in_hlth_small_ticket*in_hlth_small_comm*in_ins_partner_share+F1556*in_hlth_small_ticket*in_hlth_small_renew_comm*in_ins_partner_share*(in_hlth_small_renew^1*SUMIFS(AF1556:AF1578,B1556:B1578,B1556-12)+in_hlth_small_renew^2*SUMIFS(AF1556:AF1578,B1556:B1578,B1556-24)+in_hlth_small_renew^3*SUMIFS(AF1556:AF1578,B1556:B1578,B1556-36)+in_hlth_small_renew^4*SUMIFS(AF1556:AF1578,B1556:B1578,B1556-48))</f>
        <v/>
      </c>
      <c r="AH1556" s="40" t="n">
        <v>1</v>
      </c>
      <c r="AI1556" s="46">
        <f>AH1556*IF(B1556&gt;=in_marketplace_from,d_hz_hlth_family*G1556,0)</f>
        <v/>
      </c>
      <c r="AJ1556" s="14">
        <f>F1556*AI1556*in_hlth_family_ticket*in_hlth_family_comm*in_ins_partner_share+F1556*in_hlth_family_ticket*in_hlth_family_renew_comm*in_ins_partner_share*(in_hlth_family_renew^1*SUMIFS(AI1556:AI1578,B1556:B1578,B1556-12)+in_hlth_family_renew^2*SUMIFS(AI1556:AI1578,B1556:B1578,B1556-24)+in_hlth_family_renew^3*SUMIFS(AI1556:AI1578,B1556:B1578,B1556-36)+in_hlth_family_renew^4*SUMIFS(AI1556:AI1578,B1556:B1578,B1556-48))</f>
        <v/>
      </c>
      <c r="AK1556" s="40" t="n">
        <v>1</v>
      </c>
      <c r="AL1556" s="46">
        <f>AK1556*IF(B1556&gt;=in_marketplace_from,d_hz_life_term*G1556,0)</f>
        <v/>
      </c>
      <c r="AM1556" s="14">
        <f>F1556*AL1556*in_life_term_ticket*in_life_term_comm*in_ins_partner_share+F1556*in_life_term_ticket*in_life_term_renew_comm*in_ins_partner_share*(in_life_term_renew^1*SUMIFS(AL1556:AL1578,B1556:B1578,B1556-12)+in_life_term_renew^2*SUMIFS(AL1556:AL1578,B1556:B1578,B1556-24)+in_life_term_renew^3*SUMIFS(AL1556:AL1578,B1556:B1578,B1556-36)+in_life_term_renew^4*SUMIFS(AL1556:AL1578,B1556:B1578,B1556-48))</f>
        <v/>
      </c>
      <c r="AN1556" s="40" t="n">
        <v>1</v>
      </c>
      <c r="AO1556" s="46">
        <f>AN1556*IF(B1556&gt;=in_marketplace_from,d_hz_accident*G1556,0)</f>
        <v/>
      </c>
      <c r="AP1556" s="14">
        <f>F1556*AO1556*in_accident_ticket*in_accident_comm*in_ins_partner_share+F1556*in_accident_ticket*in_accident_renew_comm*in_ins_partner_share*(in_accident_renew^1*SUMIFS(AO1556:AO1578,B1556:B1578,B1556-12)+in_accident_renew^2*SUMIFS(AO1556:AO1578,B1556:B1578,B1556-24)+in_accident_renew^3*SUMIFS(AO1556:AO1578,B1556:B1578,B1556-36)+in_accident_renew^4*SUMIFS(AO1556:AO1578,B1556:B1578,B1556-48))</f>
        <v/>
      </c>
      <c r="AQ1556" s="40" t="n">
        <v>1</v>
      </c>
      <c r="AR1556" s="46">
        <f>AQ1556*IF(B1556&gt;=in_marketplace_from,d_hz_two_wheeler*G1556,0)</f>
        <v/>
      </c>
      <c r="AS1556" s="14">
        <f>F1556*AR1556*in_two_wheeler_ticket*in_two_wheeler_comm*in_ins_partner_share+F1556*in_two_wheeler_ticket*in_two_wheeler_comm*in_ins_partner_share*(in_two_wheeler_renew^1*SUMIFS(AR1556:AR1578,B1556:B1578,B1556-12)+in_two_wheeler_renew^2*SUMIFS(AR1556:AR1578,B1556:B1578,B1556-24)+in_two_wheeler_renew^3*SUMIFS(AR1556:AR1578,B1556:B1578,B1556-36)+in_two_wheeler_renew^4*SUMIFS(AR1556:AR1578,B1556:B1578,B1556-48))</f>
        <v/>
      </c>
      <c r="AT1556" s="40" t="n">
        <v>1</v>
      </c>
      <c r="AU1556" s="14">
        <f>F1556*AT1556*IF(B1556&gt;=in_marketplace_from,d_hz_device*G1556,0)*in_device_ticket*in_device_comm*in_ins_partner_share</f>
        <v/>
      </c>
      <c r="AV1556" s="40" t="n">
        <v>1</v>
      </c>
      <c r="AW1556" s="46">
        <f>AV1556*IF(B1556&gt;=in_marketplace_from,d_hz_shop*G1556,0)</f>
        <v/>
      </c>
      <c r="AX1556" s="14">
        <f>F1556*AW1556*in_shop_ticket*in_shop_comm*in_ins_partner_share+F1556*in_shop_ticket*in_shop_renew_comm*in_ins_partner_share*(in_shop_renew^1*SUMIFS(AW1556:AW1578,B1556:B1578,B1556-12)+in_shop_renew^2*SUMIFS(AW1556:AW1578,B1556:B1578,B1556-24)+in_shop_renew^3*SUMIFS(AW1556:AW1578,B1556:B1578,B1556-36)+in_shop_renew^4*SUMIFS(AW1556:AW1578,B1556:B1578,B1556-48))</f>
        <v/>
      </c>
      <c r="AY1556" s="40" t="n">
        <v>1</v>
      </c>
      <c r="AZ1556" s="40">
        <f>AY1556*IF(B1556&gt;=in_marketplace_from,d_hz_sip*G1556,0)</f>
        <v/>
      </c>
      <c r="BA1556" s="40" t="n">
        <v>0</v>
      </c>
      <c r="BB1556" s="14">
        <f>F1556*in_sip_ticket*(BA1556+0.5*AZ1556)*in_sip_comm/12</f>
        <v/>
      </c>
      <c r="BC1556" s="40" t="n">
        <v>1</v>
      </c>
      <c r="BD1556" s="46">
        <f>BC1556*IF(B1556&gt;=in_marketplace_from,d_hz_choti*G1556,0)</f>
        <v/>
      </c>
      <c r="BE1556" s="14">
        <f>F1556*SUMIFS(BD1556:BD1578,B1556:B1578,B1556-in_choti_months)*in_choti_renew*in_choti_ticket</f>
        <v/>
      </c>
      <c r="BF1556" s="40" t="n">
        <v>1</v>
      </c>
      <c r="BG1556" s="14">
        <f>F1556*BF1556*IF(B1556&gt;=in_marketplace_from,d_hz_nps*G1556,0)*in_nps_ticket*in_nps_comm</f>
        <v/>
      </c>
      <c r="BH1556" s="40" t="n">
        <v>1</v>
      </c>
      <c r="BI1556" s="40">
        <f>BH1556*IF(B1556&gt;=in_marketplace_from,d_hz_gold*G1556,0)</f>
        <v/>
      </c>
      <c r="BJ1556" s="14">
        <f>F1556*BI1556*in_gold_ticket*in_gold_comm</f>
        <v/>
      </c>
      <c r="BK1556" s="40" t="n">
        <v>1</v>
      </c>
      <c r="BL1556" s="14">
        <f>F1556*BK1556*IF(B1556&gt;=in_marketplace_from,d_hz_fd*G1556,0)*in_fd_ticket*in_fd_comm</f>
        <v/>
      </c>
      <c r="BM1556" s="40" t="n">
        <v>1</v>
      </c>
      <c r="BN1556" s="40">
        <f>BM1556*IF(B1556&gt;=in_marketplace_from,d_hz_recharge*G1556,0)</f>
        <v/>
      </c>
      <c r="BO1556" s="14">
        <f>F1556*BN1556*in_recharge_ticket*in_recharge_comm/12</f>
        <v/>
      </c>
      <c r="BP1556" s="40" t="n">
        <v>1</v>
      </c>
      <c r="BQ1556" s="40">
        <f>BP1556*IF(B1556&gt;=in_marketplace_from,d_hz_bills*G1556,0)</f>
        <v/>
      </c>
      <c r="BR1556" s="14">
        <f>F1556*BQ1556*in_bills_ticket*in_bills_comm/12</f>
        <v/>
      </c>
      <c r="BS1556" s="40" t="n">
        <v>1</v>
      </c>
      <c r="BT1556" s="14">
        <f>F1556*BS1556*IF(B1556&gt;=in_marketplace_from,d_hz_loan_gold*G1556,0)*in_loan_gold_ticket*in_loan_gold_comm</f>
        <v/>
      </c>
      <c r="BU1556" s="40" t="n">
        <v>1</v>
      </c>
      <c r="BV1556" s="14">
        <f>F1556*BU1556*IF(B1556&gt;=in_marketplace_from,d_hz_loan_cd*G1556,0)*in_loan_cd_ticket*in_loan_cd_comm</f>
        <v/>
      </c>
      <c r="BW1556" s="40" t="n">
        <v>1</v>
      </c>
      <c r="BX1556" s="14">
        <f>F1556*BW1556*IF(B1556&gt;=in_marketplace_from,d_hz_loan_vehicle*G1556,0)*in_loan_vehicle_ticket*in_loan_vehicle_comm</f>
        <v/>
      </c>
      <c r="BY1556" s="40" t="n">
        <v>1</v>
      </c>
      <c r="BZ1556" s="11">
        <f>MIN(in_approval_cap,in_loan_home_approval*INDEX('Age profile'!$O$2:$O$61,B1556)*(1+in_approval_growth)^(D1556-1))</f>
        <v/>
      </c>
      <c r="CA1556" s="14">
        <f>F1556*BY1556*IF(B1556&gt;=in_marketplace_from,d_hz_loan_home*G1556,0)*BZ1556*in_loan_home_ticket*in_loan_home_comm</f>
        <v/>
      </c>
      <c r="CB1556" s="40" t="n">
        <v>1</v>
      </c>
      <c r="CC1556" s="11">
        <f>MIN(in_approval_cap,in_loan_lap_approval*INDEX('Age profile'!$O$2:$O$61,B1556)*(1+in_approval_growth)^(D1556-1))</f>
        <v/>
      </c>
      <c r="CD1556" s="14">
        <f>F1556*CB1556*IF(B1556&gt;=in_marketplace_from,d_hz_loan_lap*G1556,0)*CC1556*in_loan_lap_ticket*in_loan_lap_comm</f>
        <v/>
      </c>
      <c r="CE1556" s="14">
        <f>AA1556+AB1556+AC1556+AD1556+AG1556+AJ1556+AM1556+AP1556+AS1556+AU1556+AX1556+BB1556+BE1556+BG1556+BJ1556+BL1556+BO1556+BR1556+BT1556+BV1556+BX1556+CA1556+CD1556</f>
        <v/>
      </c>
    </row>
    <row r="1557">
      <c r="A1557" s="39" t="n">
        <v>38</v>
      </c>
      <c r="B1557" s="39" t="n">
        <v>2</v>
      </c>
      <c r="C1557" s="39">
        <f>A1557+B1557-1</f>
        <v/>
      </c>
      <c r="D1557" s="39">
        <f>INT((C1557-1)/12)+1</f>
        <v/>
      </c>
      <c r="E1557" s="44">
        <f>INDEX(Monthly!$B$2:$B$61,A1557)</f>
        <v/>
      </c>
      <c r="F1557" s="44">
        <f>E1557*INDEX('Age profile'!$B$2:$B$61,B1557)</f>
        <v/>
      </c>
      <c r="G1557" s="45">
        <f>MIN(in_takeup_cap,INDEX('Age profile'!$N$2:$N$61,B1557)*(1+in_takeup_growth)^(D1557-1))</f>
        <v/>
      </c>
      <c r="H1557" s="11">
        <f>MIN(in_approval_cap,in_approved_first*INDEX('Age profile'!$O$2:$O$61,B1557)*(1+in_approval_growth)^(D1557-1))</f>
        <v/>
      </c>
      <c r="I1557" s="45">
        <f>G1557*MIN(in_takeup_cap,INDEX('Age profile'!$O$2:$O$61,B1557)*(1+in_approval_growth)^(D1557-1))</f>
        <v/>
      </c>
      <c r="J1557" s="40">
        <f>(J1556-L1556)*F1557/F1556</f>
        <v/>
      </c>
      <c r="K1557" s="40">
        <f>(K1556-M1556)*F1557/F1556+SUMIFS(O1556:O1556,B1556:B1556,B1557-1-d_T)*F1557</f>
        <v/>
      </c>
      <c r="L1557" s="40">
        <f>IF(B1557&gt;=in_marketplace_from,J1557*d_hz*G1557*in_eligible*H1557,0)</f>
        <v/>
      </c>
      <c r="M1557" s="40">
        <f>IF(B1557&gt;=in_marketplace_from,K1557*d_hz*G1557*in_eligible*in_approved_repeat,0)</f>
        <v/>
      </c>
      <c r="N1557" s="40">
        <f>L1557+M1557</f>
        <v/>
      </c>
      <c r="O1557" s="46">
        <f>N1557/F1557</f>
        <v/>
      </c>
      <c r="P1557" s="40">
        <f>F1557-J1557-K1557</f>
        <v/>
      </c>
      <c r="Q1557" s="40">
        <f>IF(B1557&gt;=in_marketplace_from,(J1557+K1557)*d_hz*G1557,0)</f>
        <v/>
      </c>
      <c r="R1557" s="40">
        <f>SUMIFS(N1556:N1578,B1556:B1578,"&gt;="&amp;(B1557-d_T),B1556:B1578,"&lt;="&amp;(B1557-1))</f>
        <v/>
      </c>
      <c r="S1557" s="46">
        <f>(1-d_u)*S1556+IF(d_T&gt;in_topup_lag,SUMIFS(O1556:O1578,B1556:B1578,B1557-in_topup_lag)-d_udrop*SUMIFS(O1556:O1578,B1556:B1578,B1557-d_T),0)</f>
        <v/>
      </c>
      <c r="T1557" s="40">
        <f>F1557*d_u*S1557</f>
        <v/>
      </c>
      <c r="U1557" s="9">
        <f>L1557*in_ticket+M1557*d_rep_ticket</f>
        <v/>
      </c>
      <c r="V1557" s="9">
        <f>U1557+T1557*d_topup_amt</f>
        <v/>
      </c>
      <c r="W1557" s="40">
        <f>N1557+T1557*d_topup_ratio</f>
        <v/>
      </c>
      <c r="X1557" s="40">
        <f>SUMIFS(W1556:W1578,B1556:B1578,B1557-in_dpd_lag)*d_cured</f>
        <v/>
      </c>
      <c r="Y1557" s="40">
        <f>SUMIFS(W1556:W1578,B1556:B1578,B1557-in_rec_lag)*d_recd</f>
        <v/>
      </c>
      <c r="Z1557" s="40">
        <f>IF(AND(B1557&gt;=in_marketplace_from,B1557&lt;in_marketplace_from+in_card_months),in_card_share/in_card_months*F1557*I1557,IF(AND(B1557&gt;=in_marketplace_from+in_card_months,B1557&lt;in_marketplace_from+2*in_card_months),in_card_share*d_card_rem/in_card_months*F1557*MIN(in_takeup_cap,(1+in_takeup_growth)^(D1557-1))*MIN(in_takeup_cap,(1+in_approval_growth)^(D1557-1)),0))</f>
        <v/>
      </c>
      <c r="AA1557" s="14">
        <f>V1557*in_fee*(1-in_taken_back)</f>
        <v/>
      </c>
      <c r="AB1557" s="14">
        <f>SUMIFS(W1556:W1578,B1556:B1578,B1557-in_dpd_lag)*d_dpd</f>
        <v/>
      </c>
      <c r="AC1557" s="14">
        <f>SUMIFS(W1556:W1578,B1556:B1578,B1557-in_rec_lag)*d_rec</f>
        <v/>
      </c>
      <c r="AD1557" s="14">
        <f>Z1557*in_card_fee</f>
        <v/>
      </c>
      <c r="AE1557" s="40">
        <f>AE1556*(1-IF(B1556&gt;=in_marketplace_from,d_hz_hlth_small*G1556,0))</f>
        <v/>
      </c>
      <c r="AF1557" s="46">
        <f>AE1557*IF(B1557&gt;=in_marketplace_from,d_hz_hlth_small*G1557,0)</f>
        <v/>
      </c>
      <c r="AG1557" s="14">
        <f>F1557*AF1557*in_hlth_small_ticket*in_hlth_small_comm*in_ins_partner_share+F1557*in_hlth_small_ticket*in_hlth_small_renew_comm*in_ins_partner_share*(in_hlth_small_renew^1*SUMIFS(AF1556:AF1578,B1556:B1578,B1557-12)+in_hlth_small_renew^2*SUMIFS(AF1556:AF1578,B1556:B1578,B1557-24)+in_hlth_small_renew^3*SUMIFS(AF1556:AF1578,B1556:B1578,B1557-36)+in_hlth_small_renew^4*SUMIFS(AF1556:AF1578,B1556:B1578,B1557-48))</f>
        <v/>
      </c>
      <c r="AH1557" s="40">
        <f>AH1556*(1-IF(B1556&gt;=in_marketplace_from,d_hz_hlth_family*G1556,0))</f>
        <v/>
      </c>
      <c r="AI1557" s="46">
        <f>AH1557*IF(B1557&gt;=in_marketplace_from,d_hz_hlth_family*G1557,0)</f>
        <v/>
      </c>
      <c r="AJ1557" s="14">
        <f>F1557*AI1557*in_hlth_family_ticket*in_hlth_family_comm*in_ins_partner_share+F1557*in_hlth_family_ticket*in_hlth_family_renew_comm*in_ins_partner_share*(in_hlth_family_renew^1*SUMIFS(AI1556:AI1578,B1556:B1578,B1557-12)+in_hlth_family_renew^2*SUMIFS(AI1556:AI1578,B1556:B1578,B1557-24)+in_hlth_family_renew^3*SUMIFS(AI1556:AI1578,B1556:B1578,B1557-36)+in_hlth_family_renew^4*SUMIFS(AI1556:AI1578,B1556:B1578,B1557-48))</f>
        <v/>
      </c>
      <c r="AK1557" s="40">
        <f>AK1556*(1-IF(B1556&gt;=in_marketplace_from,d_hz_life_term*G1556,0))</f>
        <v/>
      </c>
      <c r="AL1557" s="46">
        <f>AK1557*IF(B1557&gt;=in_marketplace_from,d_hz_life_term*G1557,0)</f>
        <v/>
      </c>
      <c r="AM1557" s="14">
        <f>F1557*AL1557*in_life_term_ticket*in_life_term_comm*in_ins_partner_share+F1557*in_life_term_ticket*in_life_term_renew_comm*in_ins_partner_share*(in_life_term_renew^1*SUMIFS(AL1556:AL1578,B1556:B1578,B1557-12)+in_life_term_renew^2*SUMIFS(AL1556:AL1578,B1556:B1578,B1557-24)+in_life_term_renew^3*SUMIFS(AL1556:AL1578,B1556:B1578,B1557-36)+in_life_term_renew^4*SUMIFS(AL1556:AL1578,B1556:B1578,B1557-48))</f>
        <v/>
      </c>
      <c r="AN1557" s="40">
        <f>AN1556*(1-IF(B1556&gt;=in_marketplace_from,d_hz_accident*G1556,0))</f>
        <v/>
      </c>
      <c r="AO1557" s="46">
        <f>AN1557*IF(B1557&gt;=in_marketplace_from,d_hz_accident*G1557,0)</f>
        <v/>
      </c>
      <c r="AP1557" s="14">
        <f>F1557*AO1557*in_accident_ticket*in_accident_comm*in_ins_partner_share+F1557*in_accident_ticket*in_accident_renew_comm*in_ins_partner_share*(in_accident_renew^1*SUMIFS(AO1556:AO1578,B1556:B1578,B1557-12)+in_accident_renew^2*SUMIFS(AO1556:AO1578,B1556:B1578,B1557-24)+in_accident_renew^3*SUMIFS(AO1556:AO1578,B1556:B1578,B1557-36)+in_accident_renew^4*SUMIFS(AO1556:AO1578,B1556:B1578,B1557-48))</f>
        <v/>
      </c>
      <c r="AQ1557" s="40">
        <f>AQ1556*(1-IF(B1556&gt;=in_marketplace_from,d_hz_two_wheeler*G1556,0))</f>
        <v/>
      </c>
      <c r="AR1557" s="46">
        <f>AQ1557*IF(B1557&gt;=in_marketplace_from,d_hz_two_wheeler*G1557,0)</f>
        <v/>
      </c>
      <c r="AS1557" s="14">
        <f>F1557*AR1557*in_two_wheeler_ticket*in_two_wheeler_comm*in_ins_partner_share+F1557*in_two_wheeler_ticket*in_two_wheeler_comm*in_ins_partner_share*(in_two_wheeler_renew^1*SUMIFS(AR1556:AR1578,B1556:B1578,B1557-12)+in_two_wheeler_renew^2*SUMIFS(AR1556:AR1578,B1556:B1578,B1557-24)+in_two_wheeler_renew^3*SUMIFS(AR1556:AR1578,B1556:B1578,B1557-36)+in_two_wheeler_renew^4*SUMIFS(AR1556:AR1578,B1556:B1578,B1557-48))</f>
        <v/>
      </c>
      <c r="AT1557" s="40">
        <f>AT1556*(1-IF(B1556&gt;=in_marketplace_from,d_hz_device*G1556,0))</f>
        <v/>
      </c>
      <c r="AU1557" s="14">
        <f>F1557*AT1557*IF(B1557&gt;=in_marketplace_from,d_hz_device*G1557,0)*in_device_ticket*in_device_comm*in_ins_partner_share</f>
        <v/>
      </c>
      <c r="AV1557" s="40">
        <f>AV1556*(1-IF(B1556&gt;=in_marketplace_from,d_hz_shop*G1556,0))</f>
        <v/>
      </c>
      <c r="AW1557" s="46">
        <f>AV1557*IF(B1557&gt;=in_marketplace_from,d_hz_shop*G1557,0)</f>
        <v/>
      </c>
      <c r="AX1557" s="14">
        <f>F1557*AW1557*in_shop_ticket*in_shop_comm*in_ins_partner_share+F1557*in_shop_ticket*in_shop_renew_comm*in_ins_partner_share*(in_shop_renew^1*SUMIFS(AW1556:AW1578,B1556:B1578,B1557-12)+in_shop_renew^2*SUMIFS(AW1556:AW1578,B1556:B1578,B1557-24)+in_shop_renew^3*SUMIFS(AW1556:AW1578,B1556:B1578,B1557-36)+in_shop_renew^4*SUMIFS(AW1556:AW1578,B1556:B1578,B1557-48))</f>
        <v/>
      </c>
      <c r="AY1557" s="40">
        <f>AY1556*(1-IF(B1556&gt;=in_marketplace_from,d_hz_sip*G1556,0))</f>
        <v/>
      </c>
      <c r="AZ1557" s="40">
        <f>AZ1556*d_rho_sip+AY1557*IF(B1557&gt;=in_marketplace_from,d_hz_sip*G1557,0)</f>
        <v/>
      </c>
      <c r="BA1557" s="40">
        <f>d_rho_sip*(BA1556+AZ1556)</f>
        <v/>
      </c>
      <c r="BB1557" s="14">
        <f>F1557*in_sip_ticket*(BA1557+0.5*AZ1557)*in_sip_comm/12</f>
        <v/>
      </c>
      <c r="BC1557" s="40">
        <f>BC1556*(1-IF(B1556&gt;=in_marketplace_from,d_hz_choti*G1556,0))</f>
        <v/>
      </c>
      <c r="BD1557" s="46">
        <f>BC1557*IF(B1557&gt;=in_marketplace_from,d_hz_choti*G1557,0)</f>
        <v/>
      </c>
      <c r="BE1557" s="14">
        <f>F1557*SUMIFS(BD1556:BD1578,B1556:B1578,B1557-in_choti_months)*in_choti_renew*in_choti_ticket</f>
        <v/>
      </c>
      <c r="BF1557" s="40">
        <f>BF1556*(1-IF(B1556&gt;=in_marketplace_from,d_hz_nps*G1556,0))</f>
        <v/>
      </c>
      <c r="BG1557" s="14">
        <f>F1557*BF1557*IF(B1557&gt;=in_marketplace_from,d_hz_nps*G1557,0)*in_nps_ticket*in_nps_comm</f>
        <v/>
      </c>
      <c r="BH1557" s="40">
        <f>BH1556*(1-IF(B1556&gt;=in_marketplace_from,d_hz_gold*G1556,0))</f>
        <v/>
      </c>
      <c r="BI1557" s="40">
        <f>BI1556*d_rho_gold+BH1557*IF(B1557&gt;=in_marketplace_from,d_hz_gold*G1557,0)</f>
        <v/>
      </c>
      <c r="BJ1557" s="14">
        <f>F1557*BI1557*in_gold_ticket*in_gold_comm</f>
        <v/>
      </c>
      <c r="BK1557" s="40">
        <f>BK1556*(1-IF(B1556&gt;=in_marketplace_from,d_hz_fd*G1556,0))</f>
        <v/>
      </c>
      <c r="BL1557" s="14">
        <f>F1557*BK1557*IF(B1557&gt;=in_marketplace_from,d_hz_fd*G1557,0)*in_fd_ticket*in_fd_comm</f>
        <v/>
      </c>
      <c r="BM1557" s="40">
        <f>BM1556*(1-IF(B1556&gt;=in_marketplace_from,d_hz_recharge*G1556,0))</f>
        <v/>
      </c>
      <c r="BN1557" s="40">
        <f>BN1556*d_rho_recharge+BM1557*IF(B1557&gt;=in_marketplace_from,d_hz_recharge*G1557,0)</f>
        <v/>
      </c>
      <c r="BO1557" s="14">
        <f>F1557*BN1557*in_recharge_ticket*in_recharge_comm/12</f>
        <v/>
      </c>
      <c r="BP1557" s="40">
        <f>BP1556*(1-IF(B1556&gt;=in_marketplace_from,d_hz_bills*G1556,0))</f>
        <v/>
      </c>
      <c r="BQ1557" s="40">
        <f>BQ1556*d_rho_bills+BP1557*IF(B1557&gt;=in_marketplace_from,d_hz_bills*G1557,0)</f>
        <v/>
      </c>
      <c r="BR1557" s="14">
        <f>F1557*BQ1557*in_bills_ticket*in_bills_comm/12</f>
        <v/>
      </c>
      <c r="BS1557" s="40">
        <f>BS1556*(1-IF(B1556&gt;=in_marketplace_from,d_hz_loan_gold*G1556,0))</f>
        <v/>
      </c>
      <c r="BT1557" s="14">
        <f>F1557*BS1557*IF(B1557&gt;=in_marketplace_from,d_hz_loan_gold*G1557,0)*in_loan_gold_ticket*in_loan_gold_comm</f>
        <v/>
      </c>
      <c r="BU1557" s="40">
        <f>BU1556*(1-IF(B1556&gt;=in_marketplace_from,d_hz_loan_cd*G1556,0))</f>
        <v/>
      </c>
      <c r="BV1557" s="14">
        <f>F1557*BU1557*IF(B1557&gt;=in_marketplace_from,d_hz_loan_cd*G1557,0)*in_loan_cd_ticket*in_loan_cd_comm</f>
        <v/>
      </c>
      <c r="BW1557" s="40">
        <f>BW1556*(1-IF(B1556&gt;=in_marketplace_from,d_hz_loan_vehicle*G1556,0))</f>
        <v/>
      </c>
      <c r="BX1557" s="14">
        <f>F1557*BW1557*IF(B1557&gt;=in_marketplace_from,d_hz_loan_vehicle*G1557,0)*in_loan_vehicle_ticket*in_loan_vehicle_comm</f>
        <v/>
      </c>
      <c r="BY1557" s="40">
        <f>BY1556*(1-IF(B1556&gt;=in_marketplace_from,d_hz_loan_home*G1556,0)*BZ1556)</f>
        <v/>
      </c>
      <c r="BZ1557" s="11">
        <f>MIN(in_approval_cap,in_loan_home_approval*INDEX('Age profile'!$O$2:$O$61,B1557)*(1+in_approval_growth)^(D1557-1))</f>
        <v/>
      </c>
      <c r="CA1557" s="14">
        <f>F1557*BY1557*IF(B1557&gt;=in_marketplace_from,d_hz_loan_home*G1557,0)*BZ1557*in_loan_home_ticket*in_loan_home_comm</f>
        <v/>
      </c>
      <c r="CB1557" s="40">
        <f>CB1556*(1-IF(B1556&gt;=in_marketplace_from,d_hz_loan_lap*G1556,0)*CC1556)</f>
        <v/>
      </c>
      <c r="CC1557" s="11">
        <f>MIN(in_approval_cap,in_loan_lap_approval*INDEX('Age profile'!$O$2:$O$61,B1557)*(1+in_approval_growth)^(D1557-1))</f>
        <v/>
      </c>
      <c r="CD1557" s="14">
        <f>F1557*CB1557*IF(B1557&gt;=in_marketplace_from,d_hz_loan_lap*G1557,0)*CC1557*in_loan_lap_ticket*in_loan_lap_comm</f>
        <v/>
      </c>
      <c r="CE1557" s="14">
        <f>AA1557+AB1557+AC1557+AD1557+AG1557+AJ1557+AM1557+AP1557+AS1557+AU1557+AX1557+BB1557+BE1557+BG1557+BJ1557+BL1557+BO1557+BR1557+BT1557+BV1557+BX1557+CA1557+CD1557</f>
        <v/>
      </c>
    </row>
    <row r="1558">
      <c r="A1558" s="39" t="n">
        <v>38</v>
      </c>
      <c r="B1558" s="39" t="n">
        <v>3</v>
      </c>
      <c r="C1558" s="39">
        <f>A1558+B1558-1</f>
        <v/>
      </c>
      <c r="D1558" s="39">
        <f>INT((C1558-1)/12)+1</f>
        <v/>
      </c>
      <c r="E1558" s="44">
        <f>INDEX(Monthly!$B$2:$B$61,A1558)</f>
        <v/>
      </c>
      <c r="F1558" s="44">
        <f>E1558*INDEX('Age profile'!$B$2:$B$61,B1558)</f>
        <v/>
      </c>
      <c r="G1558" s="45">
        <f>MIN(in_takeup_cap,INDEX('Age profile'!$N$2:$N$61,B1558)*(1+in_takeup_growth)^(D1558-1))</f>
        <v/>
      </c>
      <c r="H1558" s="11">
        <f>MIN(in_approval_cap,in_approved_first*INDEX('Age profile'!$O$2:$O$61,B1558)*(1+in_approval_growth)^(D1558-1))</f>
        <v/>
      </c>
      <c r="I1558" s="45">
        <f>G1558*MIN(in_takeup_cap,INDEX('Age profile'!$O$2:$O$61,B1558)*(1+in_approval_growth)^(D1558-1))</f>
        <v/>
      </c>
      <c r="J1558" s="40">
        <f>(J1557-L1557)*F1558/F1557</f>
        <v/>
      </c>
      <c r="K1558" s="40">
        <f>(K1557-M1557)*F1558/F1557+SUMIFS(O1556:O1557,B1556:B1557,B1558-1-d_T)*F1558</f>
        <v/>
      </c>
      <c r="L1558" s="40">
        <f>IF(B1558&gt;=in_marketplace_from,J1558*d_hz*G1558*in_eligible*H1558,0)</f>
        <v/>
      </c>
      <c r="M1558" s="40">
        <f>IF(B1558&gt;=in_marketplace_from,K1558*d_hz*G1558*in_eligible*in_approved_repeat,0)</f>
        <v/>
      </c>
      <c r="N1558" s="40">
        <f>L1558+M1558</f>
        <v/>
      </c>
      <c r="O1558" s="46">
        <f>N1558/F1558</f>
        <v/>
      </c>
      <c r="P1558" s="40">
        <f>F1558-J1558-K1558</f>
        <v/>
      </c>
      <c r="Q1558" s="40">
        <f>IF(B1558&gt;=in_marketplace_from,(J1558+K1558)*d_hz*G1558,0)</f>
        <v/>
      </c>
      <c r="R1558" s="40">
        <f>SUMIFS(N1556:N1578,B1556:B1578,"&gt;="&amp;(B1558-d_T),B1556:B1578,"&lt;="&amp;(B1558-1))</f>
        <v/>
      </c>
      <c r="S1558" s="46">
        <f>(1-d_u)*S1557+IF(d_T&gt;in_topup_lag,SUMIFS(O1556:O1578,B1556:B1578,B1558-in_topup_lag)-d_udrop*SUMIFS(O1556:O1578,B1556:B1578,B1558-d_T),0)</f>
        <v/>
      </c>
      <c r="T1558" s="40">
        <f>F1558*d_u*S1558</f>
        <v/>
      </c>
      <c r="U1558" s="9">
        <f>L1558*in_ticket+M1558*d_rep_ticket</f>
        <v/>
      </c>
      <c r="V1558" s="9">
        <f>U1558+T1558*d_topup_amt</f>
        <v/>
      </c>
      <c r="W1558" s="40">
        <f>N1558+T1558*d_topup_ratio</f>
        <v/>
      </c>
      <c r="X1558" s="40">
        <f>SUMIFS(W1556:W1578,B1556:B1578,B1558-in_dpd_lag)*d_cured</f>
        <v/>
      </c>
      <c r="Y1558" s="40">
        <f>SUMIFS(W1556:W1578,B1556:B1578,B1558-in_rec_lag)*d_recd</f>
        <v/>
      </c>
      <c r="Z1558" s="40">
        <f>IF(AND(B1558&gt;=in_marketplace_from,B1558&lt;in_marketplace_from+in_card_months),in_card_share/in_card_months*F1558*I1558,IF(AND(B1558&gt;=in_marketplace_from+in_card_months,B1558&lt;in_marketplace_from+2*in_card_months),in_card_share*d_card_rem/in_card_months*F1558*MIN(in_takeup_cap,(1+in_takeup_growth)^(D1558-1))*MIN(in_takeup_cap,(1+in_approval_growth)^(D1558-1)),0))</f>
        <v/>
      </c>
      <c r="AA1558" s="14">
        <f>V1558*in_fee*(1-in_taken_back)</f>
        <v/>
      </c>
      <c r="AB1558" s="14">
        <f>SUMIFS(W1556:W1578,B1556:B1578,B1558-in_dpd_lag)*d_dpd</f>
        <v/>
      </c>
      <c r="AC1558" s="14">
        <f>SUMIFS(W1556:W1578,B1556:B1578,B1558-in_rec_lag)*d_rec</f>
        <v/>
      </c>
      <c r="AD1558" s="14">
        <f>Z1558*in_card_fee</f>
        <v/>
      </c>
      <c r="AE1558" s="40">
        <f>AE1557*(1-IF(B1557&gt;=in_marketplace_from,d_hz_hlth_small*G1557,0))</f>
        <v/>
      </c>
      <c r="AF1558" s="46">
        <f>AE1558*IF(B1558&gt;=in_marketplace_from,d_hz_hlth_small*G1558,0)</f>
        <v/>
      </c>
      <c r="AG1558" s="14">
        <f>F1558*AF1558*in_hlth_small_ticket*in_hlth_small_comm*in_ins_partner_share+F1558*in_hlth_small_ticket*in_hlth_small_renew_comm*in_ins_partner_share*(in_hlth_small_renew^1*SUMIFS(AF1556:AF1578,B1556:B1578,B1558-12)+in_hlth_small_renew^2*SUMIFS(AF1556:AF1578,B1556:B1578,B1558-24)+in_hlth_small_renew^3*SUMIFS(AF1556:AF1578,B1556:B1578,B1558-36)+in_hlth_small_renew^4*SUMIFS(AF1556:AF1578,B1556:B1578,B1558-48))</f>
        <v/>
      </c>
      <c r="AH1558" s="40">
        <f>AH1557*(1-IF(B1557&gt;=in_marketplace_from,d_hz_hlth_family*G1557,0))</f>
        <v/>
      </c>
      <c r="AI1558" s="46">
        <f>AH1558*IF(B1558&gt;=in_marketplace_from,d_hz_hlth_family*G1558,0)</f>
        <v/>
      </c>
      <c r="AJ1558" s="14">
        <f>F1558*AI1558*in_hlth_family_ticket*in_hlth_family_comm*in_ins_partner_share+F1558*in_hlth_family_ticket*in_hlth_family_renew_comm*in_ins_partner_share*(in_hlth_family_renew^1*SUMIFS(AI1556:AI1578,B1556:B1578,B1558-12)+in_hlth_family_renew^2*SUMIFS(AI1556:AI1578,B1556:B1578,B1558-24)+in_hlth_family_renew^3*SUMIFS(AI1556:AI1578,B1556:B1578,B1558-36)+in_hlth_family_renew^4*SUMIFS(AI1556:AI1578,B1556:B1578,B1558-48))</f>
        <v/>
      </c>
      <c r="AK1558" s="40">
        <f>AK1557*(1-IF(B1557&gt;=in_marketplace_from,d_hz_life_term*G1557,0))</f>
        <v/>
      </c>
      <c r="AL1558" s="46">
        <f>AK1558*IF(B1558&gt;=in_marketplace_from,d_hz_life_term*G1558,0)</f>
        <v/>
      </c>
      <c r="AM1558" s="14">
        <f>F1558*AL1558*in_life_term_ticket*in_life_term_comm*in_ins_partner_share+F1558*in_life_term_ticket*in_life_term_renew_comm*in_ins_partner_share*(in_life_term_renew^1*SUMIFS(AL1556:AL1578,B1556:B1578,B1558-12)+in_life_term_renew^2*SUMIFS(AL1556:AL1578,B1556:B1578,B1558-24)+in_life_term_renew^3*SUMIFS(AL1556:AL1578,B1556:B1578,B1558-36)+in_life_term_renew^4*SUMIFS(AL1556:AL1578,B1556:B1578,B1558-48))</f>
        <v/>
      </c>
      <c r="AN1558" s="40">
        <f>AN1557*(1-IF(B1557&gt;=in_marketplace_from,d_hz_accident*G1557,0))</f>
        <v/>
      </c>
      <c r="AO1558" s="46">
        <f>AN1558*IF(B1558&gt;=in_marketplace_from,d_hz_accident*G1558,0)</f>
        <v/>
      </c>
      <c r="AP1558" s="14">
        <f>F1558*AO1558*in_accident_ticket*in_accident_comm*in_ins_partner_share+F1558*in_accident_ticket*in_accident_renew_comm*in_ins_partner_share*(in_accident_renew^1*SUMIFS(AO1556:AO1578,B1556:B1578,B1558-12)+in_accident_renew^2*SUMIFS(AO1556:AO1578,B1556:B1578,B1558-24)+in_accident_renew^3*SUMIFS(AO1556:AO1578,B1556:B1578,B1558-36)+in_accident_renew^4*SUMIFS(AO1556:AO1578,B1556:B1578,B1558-48))</f>
        <v/>
      </c>
      <c r="AQ1558" s="40">
        <f>AQ1557*(1-IF(B1557&gt;=in_marketplace_from,d_hz_two_wheeler*G1557,0))</f>
        <v/>
      </c>
      <c r="AR1558" s="46">
        <f>AQ1558*IF(B1558&gt;=in_marketplace_from,d_hz_two_wheeler*G1558,0)</f>
        <v/>
      </c>
      <c r="AS1558" s="14">
        <f>F1558*AR1558*in_two_wheeler_ticket*in_two_wheeler_comm*in_ins_partner_share+F1558*in_two_wheeler_ticket*in_two_wheeler_comm*in_ins_partner_share*(in_two_wheeler_renew^1*SUMIFS(AR1556:AR1578,B1556:B1578,B1558-12)+in_two_wheeler_renew^2*SUMIFS(AR1556:AR1578,B1556:B1578,B1558-24)+in_two_wheeler_renew^3*SUMIFS(AR1556:AR1578,B1556:B1578,B1558-36)+in_two_wheeler_renew^4*SUMIFS(AR1556:AR1578,B1556:B1578,B1558-48))</f>
        <v/>
      </c>
      <c r="AT1558" s="40">
        <f>AT1557*(1-IF(B1557&gt;=in_marketplace_from,d_hz_device*G1557,0))</f>
        <v/>
      </c>
      <c r="AU1558" s="14">
        <f>F1558*AT1558*IF(B1558&gt;=in_marketplace_from,d_hz_device*G1558,0)*in_device_ticket*in_device_comm*in_ins_partner_share</f>
        <v/>
      </c>
      <c r="AV1558" s="40">
        <f>AV1557*(1-IF(B1557&gt;=in_marketplace_from,d_hz_shop*G1557,0))</f>
        <v/>
      </c>
      <c r="AW1558" s="46">
        <f>AV1558*IF(B1558&gt;=in_marketplace_from,d_hz_shop*G1558,0)</f>
        <v/>
      </c>
      <c r="AX1558" s="14">
        <f>F1558*AW1558*in_shop_ticket*in_shop_comm*in_ins_partner_share+F1558*in_shop_ticket*in_shop_renew_comm*in_ins_partner_share*(in_shop_renew^1*SUMIFS(AW1556:AW1578,B1556:B1578,B1558-12)+in_shop_renew^2*SUMIFS(AW1556:AW1578,B1556:B1578,B1558-24)+in_shop_renew^3*SUMIFS(AW1556:AW1578,B1556:B1578,B1558-36)+in_shop_renew^4*SUMIFS(AW1556:AW1578,B1556:B1578,B1558-48))</f>
        <v/>
      </c>
      <c r="AY1558" s="40">
        <f>AY1557*(1-IF(B1557&gt;=in_marketplace_from,d_hz_sip*G1557,0))</f>
        <v/>
      </c>
      <c r="AZ1558" s="40">
        <f>AZ1557*d_rho_sip+AY1558*IF(B1558&gt;=in_marketplace_from,d_hz_sip*G1558,0)</f>
        <v/>
      </c>
      <c r="BA1558" s="40">
        <f>d_rho_sip*(BA1557+AZ1557)</f>
        <v/>
      </c>
      <c r="BB1558" s="14">
        <f>F1558*in_sip_ticket*(BA1558+0.5*AZ1558)*in_sip_comm/12</f>
        <v/>
      </c>
      <c r="BC1558" s="40">
        <f>BC1557*(1-IF(B1557&gt;=in_marketplace_from,d_hz_choti*G1557,0))</f>
        <v/>
      </c>
      <c r="BD1558" s="46">
        <f>BC1558*IF(B1558&gt;=in_marketplace_from,d_hz_choti*G1558,0)</f>
        <v/>
      </c>
      <c r="BE1558" s="14">
        <f>F1558*SUMIFS(BD1556:BD1578,B1556:B1578,B1558-in_choti_months)*in_choti_renew*in_choti_ticket</f>
        <v/>
      </c>
      <c r="BF1558" s="40">
        <f>BF1557*(1-IF(B1557&gt;=in_marketplace_from,d_hz_nps*G1557,0))</f>
        <v/>
      </c>
      <c r="BG1558" s="14">
        <f>F1558*BF1558*IF(B1558&gt;=in_marketplace_from,d_hz_nps*G1558,0)*in_nps_ticket*in_nps_comm</f>
        <v/>
      </c>
      <c r="BH1558" s="40">
        <f>BH1557*(1-IF(B1557&gt;=in_marketplace_from,d_hz_gold*G1557,0))</f>
        <v/>
      </c>
      <c r="BI1558" s="40">
        <f>BI1557*d_rho_gold+BH1558*IF(B1558&gt;=in_marketplace_from,d_hz_gold*G1558,0)</f>
        <v/>
      </c>
      <c r="BJ1558" s="14">
        <f>F1558*BI1558*in_gold_ticket*in_gold_comm</f>
        <v/>
      </c>
      <c r="BK1558" s="40">
        <f>BK1557*(1-IF(B1557&gt;=in_marketplace_from,d_hz_fd*G1557,0))</f>
        <v/>
      </c>
      <c r="BL1558" s="14">
        <f>F1558*BK1558*IF(B1558&gt;=in_marketplace_from,d_hz_fd*G1558,0)*in_fd_ticket*in_fd_comm</f>
        <v/>
      </c>
      <c r="BM1558" s="40">
        <f>BM1557*(1-IF(B1557&gt;=in_marketplace_from,d_hz_recharge*G1557,0))</f>
        <v/>
      </c>
      <c r="BN1558" s="40">
        <f>BN1557*d_rho_recharge+BM1558*IF(B1558&gt;=in_marketplace_from,d_hz_recharge*G1558,0)</f>
        <v/>
      </c>
      <c r="BO1558" s="14">
        <f>F1558*BN1558*in_recharge_ticket*in_recharge_comm/12</f>
        <v/>
      </c>
      <c r="BP1558" s="40">
        <f>BP1557*(1-IF(B1557&gt;=in_marketplace_from,d_hz_bills*G1557,0))</f>
        <v/>
      </c>
      <c r="BQ1558" s="40">
        <f>BQ1557*d_rho_bills+BP1558*IF(B1558&gt;=in_marketplace_from,d_hz_bills*G1558,0)</f>
        <v/>
      </c>
      <c r="BR1558" s="14">
        <f>F1558*BQ1558*in_bills_ticket*in_bills_comm/12</f>
        <v/>
      </c>
      <c r="BS1558" s="40">
        <f>BS1557*(1-IF(B1557&gt;=in_marketplace_from,d_hz_loan_gold*G1557,0))</f>
        <v/>
      </c>
      <c r="BT1558" s="14">
        <f>F1558*BS1558*IF(B1558&gt;=in_marketplace_from,d_hz_loan_gold*G1558,0)*in_loan_gold_ticket*in_loan_gold_comm</f>
        <v/>
      </c>
      <c r="BU1558" s="40">
        <f>BU1557*(1-IF(B1557&gt;=in_marketplace_from,d_hz_loan_cd*G1557,0))</f>
        <v/>
      </c>
      <c r="BV1558" s="14">
        <f>F1558*BU1558*IF(B1558&gt;=in_marketplace_from,d_hz_loan_cd*G1558,0)*in_loan_cd_ticket*in_loan_cd_comm</f>
        <v/>
      </c>
      <c r="BW1558" s="40">
        <f>BW1557*(1-IF(B1557&gt;=in_marketplace_from,d_hz_loan_vehicle*G1557,0))</f>
        <v/>
      </c>
      <c r="BX1558" s="14">
        <f>F1558*BW1558*IF(B1558&gt;=in_marketplace_from,d_hz_loan_vehicle*G1558,0)*in_loan_vehicle_ticket*in_loan_vehicle_comm</f>
        <v/>
      </c>
      <c r="BY1558" s="40">
        <f>BY1557*(1-IF(B1557&gt;=in_marketplace_from,d_hz_loan_home*G1557,0)*BZ1557)</f>
        <v/>
      </c>
      <c r="BZ1558" s="11">
        <f>MIN(in_approval_cap,in_loan_home_approval*INDEX('Age profile'!$O$2:$O$61,B1558)*(1+in_approval_growth)^(D1558-1))</f>
        <v/>
      </c>
      <c r="CA1558" s="14">
        <f>F1558*BY1558*IF(B1558&gt;=in_marketplace_from,d_hz_loan_home*G1558,0)*BZ1558*in_loan_home_ticket*in_loan_home_comm</f>
        <v/>
      </c>
      <c r="CB1558" s="40">
        <f>CB1557*(1-IF(B1557&gt;=in_marketplace_from,d_hz_loan_lap*G1557,0)*CC1557)</f>
        <v/>
      </c>
      <c r="CC1558" s="11">
        <f>MIN(in_approval_cap,in_loan_lap_approval*INDEX('Age profile'!$O$2:$O$61,B1558)*(1+in_approval_growth)^(D1558-1))</f>
        <v/>
      </c>
      <c r="CD1558" s="14">
        <f>F1558*CB1558*IF(B1558&gt;=in_marketplace_from,d_hz_loan_lap*G1558,0)*CC1558*in_loan_lap_ticket*in_loan_lap_comm</f>
        <v/>
      </c>
      <c r="CE1558" s="14">
        <f>AA1558+AB1558+AC1558+AD1558+AG1558+AJ1558+AM1558+AP1558+AS1558+AU1558+AX1558+BB1558+BE1558+BG1558+BJ1558+BL1558+BO1558+BR1558+BT1558+BV1558+BX1558+CA1558+CD1558</f>
        <v/>
      </c>
    </row>
    <row r="1559">
      <c r="A1559" s="39" t="n">
        <v>38</v>
      </c>
      <c r="B1559" s="39" t="n">
        <v>4</v>
      </c>
      <c r="C1559" s="39">
        <f>A1559+B1559-1</f>
        <v/>
      </c>
      <c r="D1559" s="39">
        <f>INT((C1559-1)/12)+1</f>
        <v/>
      </c>
      <c r="E1559" s="44">
        <f>INDEX(Monthly!$B$2:$B$61,A1559)</f>
        <v/>
      </c>
      <c r="F1559" s="44">
        <f>E1559*INDEX('Age profile'!$B$2:$B$61,B1559)</f>
        <v/>
      </c>
      <c r="G1559" s="45">
        <f>MIN(in_takeup_cap,INDEX('Age profile'!$N$2:$N$61,B1559)*(1+in_takeup_growth)^(D1559-1))</f>
        <v/>
      </c>
      <c r="H1559" s="11">
        <f>MIN(in_approval_cap,in_approved_first*INDEX('Age profile'!$O$2:$O$61,B1559)*(1+in_approval_growth)^(D1559-1))</f>
        <v/>
      </c>
      <c r="I1559" s="45">
        <f>G1559*MIN(in_takeup_cap,INDEX('Age profile'!$O$2:$O$61,B1559)*(1+in_approval_growth)^(D1559-1))</f>
        <v/>
      </c>
      <c r="J1559" s="40">
        <f>(J1558-L1558)*F1559/F1558</f>
        <v/>
      </c>
      <c r="K1559" s="40">
        <f>(K1558-M1558)*F1559/F1558+SUMIFS(O1556:O1558,B1556:B1558,B1559-1-d_T)*F1559</f>
        <v/>
      </c>
      <c r="L1559" s="40">
        <f>IF(B1559&gt;=in_marketplace_from,J1559*d_hz*G1559*in_eligible*H1559,0)</f>
        <v/>
      </c>
      <c r="M1559" s="40">
        <f>IF(B1559&gt;=in_marketplace_from,K1559*d_hz*G1559*in_eligible*in_approved_repeat,0)</f>
        <v/>
      </c>
      <c r="N1559" s="40">
        <f>L1559+M1559</f>
        <v/>
      </c>
      <c r="O1559" s="46">
        <f>N1559/F1559</f>
        <v/>
      </c>
      <c r="P1559" s="40">
        <f>F1559-J1559-K1559</f>
        <v/>
      </c>
      <c r="Q1559" s="40">
        <f>IF(B1559&gt;=in_marketplace_from,(J1559+K1559)*d_hz*G1559,0)</f>
        <v/>
      </c>
      <c r="R1559" s="40">
        <f>SUMIFS(N1556:N1578,B1556:B1578,"&gt;="&amp;(B1559-d_T),B1556:B1578,"&lt;="&amp;(B1559-1))</f>
        <v/>
      </c>
      <c r="S1559" s="46">
        <f>(1-d_u)*S1558+IF(d_T&gt;in_topup_lag,SUMIFS(O1556:O1578,B1556:B1578,B1559-in_topup_lag)-d_udrop*SUMIFS(O1556:O1578,B1556:B1578,B1559-d_T),0)</f>
        <v/>
      </c>
      <c r="T1559" s="40">
        <f>F1559*d_u*S1559</f>
        <v/>
      </c>
      <c r="U1559" s="9">
        <f>L1559*in_ticket+M1559*d_rep_ticket</f>
        <v/>
      </c>
      <c r="V1559" s="9">
        <f>U1559+T1559*d_topup_amt</f>
        <v/>
      </c>
      <c r="W1559" s="40">
        <f>N1559+T1559*d_topup_ratio</f>
        <v/>
      </c>
      <c r="X1559" s="40">
        <f>SUMIFS(W1556:W1578,B1556:B1578,B1559-in_dpd_lag)*d_cured</f>
        <v/>
      </c>
      <c r="Y1559" s="40">
        <f>SUMIFS(W1556:W1578,B1556:B1578,B1559-in_rec_lag)*d_recd</f>
        <v/>
      </c>
      <c r="Z1559" s="40">
        <f>IF(AND(B1559&gt;=in_marketplace_from,B1559&lt;in_marketplace_from+in_card_months),in_card_share/in_card_months*F1559*I1559,IF(AND(B1559&gt;=in_marketplace_from+in_card_months,B1559&lt;in_marketplace_from+2*in_card_months),in_card_share*d_card_rem/in_card_months*F1559*MIN(in_takeup_cap,(1+in_takeup_growth)^(D1559-1))*MIN(in_takeup_cap,(1+in_approval_growth)^(D1559-1)),0))</f>
        <v/>
      </c>
      <c r="AA1559" s="14">
        <f>V1559*in_fee*(1-in_taken_back)</f>
        <v/>
      </c>
      <c r="AB1559" s="14">
        <f>SUMIFS(W1556:W1578,B1556:B1578,B1559-in_dpd_lag)*d_dpd</f>
        <v/>
      </c>
      <c r="AC1559" s="14">
        <f>SUMIFS(W1556:W1578,B1556:B1578,B1559-in_rec_lag)*d_rec</f>
        <v/>
      </c>
      <c r="AD1559" s="14">
        <f>Z1559*in_card_fee</f>
        <v/>
      </c>
      <c r="AE1559" s="40">
        <f>AE1558*(1-IF(B1558&gt;=in_marketplace_from,d_hz_hlth_small*G1558,0))</f>
        <v/>
      </c>
      <c r="AF1559" s="46">
        <f>AE1559*IF(B1559&gt;=in_marketplace_from,d_hz_hlth_small*G1559,0)</f>
        <v/>
      </c>
      <c r="AG1559" s="14">
        <f>F1559*AF1559*in_hlth_small_ticket*in_hlth_small_comm*in_ins_partner_share+F1559*in_hlth_small_ticket*in_hlth_small_renew_comm*in_ins_partner_share*(in_hlth_small_renew^1*SUMIFS(AF1556:AF1578,B1556:B1578,B1559-12)+in_hlth_small_renew^2*SUMIFS(AF1556:AF1578,B1556:B1578,B1559-24)+in_hlth_small_renew^3*SUMIFS(AF1556:AF1578,B1556:B1578,B1559-36)+in_hlth_small_renew^4*SUMIFS(AF1556:AF1578,B1556:B1578,B1559-48))</f>
        <v/>
      </c>
      <c r="AH1559" s="40">
        <f>AH1558*(1-IF(B1558&gt;=in_marketplace_from,d_hz_hlth_family*G1558,0))</f>
        <v/>
      </c>
      <c r="AI1559" s="46">
        <f>AH1559*IF(B1559&gt;=in_marketplace_from,d_hz_hlth_family*G1559,0)</f>
        <v/>
      </c>
      <c r="AJ1559" s="14">
        <f>F1559*AI1559*in_hlth_family_ticket*in_hlth_family_comm*in_ins_partner_share+F1559*in_hlth_family_ticket*in_hlth_family_renew_comm*in_ins_partner_share*(in_hlth_family_renew^1*SUMIFS(AI1556:AI1578,B1556:B1578,B1559-12)+in_hlth_family_renew^2*SUMIFS(AI1556:AI1578,B1556:B1578,B1559-24)+in_hlth_family_renew^3*SUMIFS(AI1556:AI1578,B1556:B1578,B1559-36)+in_hlth_family_renew^4*SUMIFS(AI1556:AI1578,B1556:B1578,B1559-48))</f>
        <v/>
      </c>
      <c r="AK1559" s="40">
        <f>AK1558*(1-IF(B1558&gt;=in_marketplace_from,d_hz_life_term*G1558,0))</f>
        <v/>
      </c>
      <c r="AL1559" s="46">
        <f>AK1559*IF(B1559&gt;=in_marketplace_from,d_hz_life_term*G1559,0)</f>
        <v/>
      </c>
      <c r="AM1559" s="14">
        <f>F1559*AL1559*in_life_term_ticket*in_life_term_comm*in_ins_partner_share+F1559*in_life_term_ticket*in_life_term_renew_comm*in_ins_partner_share*(in_life_term_renew^1*SUMIFS(AL1556:AL1578,B1556:B1578,B1559-12)+in_life_term_renew^2*SUMIFS(AL1556:AL1578,B1556:B1578,B1559-24)+in_life_term_renew^3*SUMIFS(AL1556:AL1578,B1556:B1578,B1559-36)+in_life_term_renew^4*SUMIFS(AL1556:AL1578,B1556:B1578,B1559-48))</f>
        <v/>
      </c>
      <c r="AN1559" s="40">
        <f>AN1558*(1-IF(B1558&gt;=in_marketplace_from,d_hz_accident*G1558,0))</f>
        <v/>
      </c>
      <c r="AO1559" s="46">
        <f>AN1559*IF(B1559&gt;=in_marketplace_from,d_hz_accident*G1559,0)</f>
        <v/>
      </c>
      <c r="AP1559" s="14">
        <f>F1559*AO1559*in_accident_ticket*in_accident_comm*in_ins_partner_share+F1559*in_accident_ticket*in_accident_renew_comm*in_ins_partner_share*(in_accident_renew^1*SUMIFS(AO1556:AO1578,B1556:B1578,B1559-12)+in_accident_renew^2*SUMIFS(AO1556:AO1578,B1556:B1578,B1559-24)+in_accident_renew^3*SUMIFS(AO1556:AO1578,B1556:B1578,B1559-36)+in_accident_renew^4*SUMIFS(AO1556:AO1578,B1556:B1578,B1559-48))</f>
        <v/>
      </c>
      <c r="AQ1559" s="40">
        <f>AQ1558*(1-IF(B1558&gt;=in_marketplace_from,d_hz_two_wheeler*G1558,0))</f>
        <v/>
      </c>
      <c r="AR1559" s="46">
        <f>AQ1559*IF(B1559&gt;=in_marketplace_from,d_hz_two_wheeler*G1559,0)</f>
        <v/>
      </c>
      <c r="AS1559" s="14">
        <f>F1559*AR1559*in_two_wheeler_ticket*in_two_wheeler_comm*in_ins_partner_share+F1559*in_two_wheeler_ticket*in_two_wheeler_comm*in_ins_partner_share*(in_two_wheeler_renew^1*SUMIFS(AR1556:AR1578,B1556:B1578,B1559-12)+in_two_wheeler_renew^2*SUMIFS(AR1556:AR1578,B1556:B1578,B1559-24)+in_two_wheeler_renew^3*SUMIFS(AR1556:AR1578,B1556:B1578,B1559-36)+in_two_wheeler_renew^4*SUMIFS(AR1556:AR1578,B1556:B1578,B1559-48))</f>
        <v/>
      </c>
      <c r="AT1559" s="40">
        <f>AT1558*(1-IF(B1558&gt;=in_marketplace_from,d_hz_device*G1558,0))</f>
        <v/>
      </c>
      <c r="AU1559" s="14">
        <f>F1559*AT1559*IF(B1559&gt;=in_marketplace_from,d_hz_device*G1559,0)*in_device_ticket*in_device_comm*in_ins_partner_share</f>
        <v/>
      </c>
      <c r="AV1559" s="40">
        <f>AV1558*(1-IF(B1558&gt;=in_marketplace_from,d_hz_shop*G1558,0))</f>
        <v/>
      </c>
      <c r="AW1559" s="46">
        <f>AV1559*IF(B1559&gt;=in_marketplace_from,d_hz_shop*G1559,0)</f>
        <v/>
      </c>
      <c r="AX1559" s="14">
        <f>F1559*AW1559*in_shop_ticket*in_shop_comm*in_ins_partner_share+F1559*in_shop_ticket*in_shop_renew_comm*in_ins_partner_share*(in_shop_renew^1*SUMIFS(AW1556:AW1578,B1556:B1578,B1559-12)+in_shop_renew^2*SUMIFS(AW1556:AW1578,B1556:B1578,B1559-24)+in_shop_renew^3*SUMIFS(AW1556:AW1578,B1556:B1578,B1559-36)+in_shop_renew^4*SUMIFS(AW1556:AW1578,B1556:B1578,B1559-48))</f>
        <v/>
      </c>
      <c r="AY1559" s="40">
        <f>AY1558*(1-IF(B1558&gt;=in_marketplace_from,d_hz_sip*G1558,0))</f>
        <v/>
      </c>
      <c r="AZ1559" s="40">
        <f>AZ1558*d_rho_sip+AY1559*IF(B1559&gt;=in_marketplace_from,d_hz_sip*G1559,0)</f>
        <v/>
      </c>
      <c r="BA1559" s="40">
        <f>d_rho_sip*(BA1558+AZ1558)</f>
        <v/>
      </c>
      <c r="BB1559" s="14">
        <f>F1559*in_sip_ticket*(BA1559+0.5*AZ1559)*in_sip_comm/12</f>
        <v/>
      </c>
      <c r="BC1559" s="40">
        <f>BC1558*(1-IF(B1558&gt;=in_marketplace_from,d_hz_choti*G1558,0))</f>
        <v/>
      </c>
      <c r="BD1559" s="46">
        <f>BC1559*IF(B1559&gt;=in_marketplace_from,d_hz_choti*G1559,0)</f>
        <v/>
      </c>
      <c r="BE1559" s="14">
        <f>F1559*SUMIFS(BD1556:BD1578,B1556:B1578,B1559-in_choti_months)*in_choti_renew*in_choti_ticket</f>
        <v/>
      </c>
      <c r="BF1559" s="40">
        <f>BF1558*(1-IF(B1558&gt;=in_marketplace_from,d_hz_nps*G1558,0))</f>
        <v/>
      </c>
      <c r="BG1559" s="14">
        <f>F1559*BF1559*IF(B1559&gt;=in_marketplace_from,d_hz_nps*G1559,0)*in_nps_ticket*in_nps_comm</f>
        <v/>
      </c>
      <c r="BH1559" s="40">
        <f>BH1558*(1-IF(B1558&gt;=in_marketplace_from,d_hz_gold*G1558,0))</f>
        <v/>
      </c>
      <c r="BI1559" s="40">
        <f>BI1558*d_rho_gold+BH1559*IF(B1559&gt;=in_marketplace_from,d_hz_gold*G1559,0)</f>
        <v/>
      </c>
      <c r="BJ1559" s="14">
        <f>F1559*BI1559*in_gold_ticket*in_gold_comm</f>
        <v/>
      </c>
      <c r="BK1559" s="40">
        <f>BK1558*(1-IF(B1558&gt;=in_marketplace_from,d_hz_fd*G1558,0))</f>
        <v/>
      </c>
      <c r="BL1559" s="14">
        <f>F1559*BK1559*IF(B1559&gt;=in_marketplace_from,d_hz_fd*G1559,0)*in_fd_ticket*in_fd_comm</f>
        <v/>
      </c>
      <c r="BM1559" s="40">
        <f>BM1558*(1-IF(B1558&gt;=in_marketplace_from,d_hz_recharge*G1558,0))</f>
        <v/>
      </c>
      <c r="BN1559" s="40">
        <f>BN1558*d_rho_recharge+BM1559*IF(B1559&gt;=in_marketplace_from,d_hz_recharge*G1559,0)</f>
        <v/>
      </c>
      <c r="BO1559" s="14">
        <f>F1559*BN1559*in_recharge_ticket*in_recharge_comm/12</f>
        <v/>
      </c>
      <c r="BP1559" s="40">
        <f>BP1558*(1-IF(B1558&gt;=in_marketplace_from,d_hz_bills*G1558,0))</f>
        <v/>
      </c>
      <c r="BQ1559" s="40">
        <f>BQ1558*d_rho_bills+BP1559*IF(B1559&gt;=in_marketplace_from,d_hz_bills*G1559,0)</f>
        <v/>
      </c>
      <c r="BR1559" s="14">
        <f>F1559*BQ1559*in_bills_ticket*in_bills_comm/12</f>
        <v/>
      </c>
      <c r="BS1559" s="40">
        <f>BS1558*(1-IF(B1558&gt;=in_marketplace_from,d_hz_loan_gold*G1558,0))</f>
        <v/>
      </c>
      <c r="BT1559" s="14">
        <f>F1559*BS1559*IF(B1559&gt;=in_marketplace_from,d_hz_loan_gold*G1559,0)*in_loan_gold_ticket*in_loan_gold_comm</f>
        <v/>
      </c>
      <c r="BU1559" s="40">
        <f>BU1558*(1-IF(B1558&gt;=in_marketplace_from,d_hz_loan_cd*G1558,0))</f>
        <v/>
      </c>
      <c r="BV1559" s="14">
        <f>F1559*BU1559*IF(B1559&gt;=in_marketplace_from,d_hz_loan_cd*G1559,0)*in_loan_cd_ticket*in_loan_cd_comm</f>
        <v/>
      </c>
      <c r="BW1559" s="40">
        <f>BW1558*(1-IF(B1558&gt;=in_marketplace_from,d_hz_loan_vehicle*G1558,0))</f>
        <v/>
      </c>
      <c r="BX1559" s="14">
        <f>F1559*BW1559*IF(B1559&gt;=in_marketplace_from,d_hz_loan_vehicle*G1559,0)*in_loan_vehicle_ticket*in_loan_vehicle_comm</f>
        <v/>
      </c>
      <c r="BY1559" s="40">
        <f>BY1558*(1-IF(B1558&gt;=in_marketplace_from,d_hz_loan_home*G1558,0)*BZ1558)</f>
        <v/>
      </c>
      <c r="BZ1559" s="11">
        <f>MIN(in_approval_cap,in_loan_home_approval*INDEX('Age profile'!$O$2:$O$61,B1559)*(1+in_approval_growth)^(D1559-1))</f>
        <v/>
      </c>
      <c r="CA1559" s="14">
        <f>F1559*BY1559*IF(B1559&gt;=in_marketplace_from,d_hz_loan_home*G1559,0)*BZ1559*in_loan_home_ticket*in_loan_home_comm</f>
        <v/>
      </c>
      <c r="CB1559" s="40">
        <f>CB1558*(1-IF(B1558&gt;=in_marketplace_from,d_hz_loan_lap*G1558,0)*CC1558)</f>
        <v/>
      </c>
      <c r="CC1559" s="11">
        <f>MIN(in_approval_cap,in_loan_lap_approval*INDEX('Age profile'!$O$2:$O$61,B1559)*(1+in_approval_growth)^(D1559-1))</f>
        <v/>
      </c>
      <c r="CD1559" s="14">
        <f>F1559*CB1559*IF(B1559&gt;=in_marketplace_from,d_hz_loan_lap*G1559,0)*CC1559*in_loan_lap_ticket*in_loan_lap_comm</f>
        <v/>
      </c>
      <c r="CE1559" s="14">
        <f>AA1559+AB1559+AC1559+AD1559+AG1559+AJ1559+AM1559+AP1559+AS1559+AU1559+AX1559+BB1559+BE1559+BG1559+BJ1559+BL1559+BO1559+BR1559+BT1559+BV1559+BX1559+CA1559+CD1559</f>
        <v/>
      </c>
    </row>
    <row r="1560">
      <c r="A1560" s="39" t="n">
        <v>38</v>
      </c>
      <c r="B1560" s="39" t="n">
        <v>5</v>
      </c>
      <c r="C1560" s="39">
        <f>A1560+B1560-1</f>
        <v/>
      </c>
      <c r="D1560" s="39">
        <f>INT((C1560-1)/12)+1</f>
        <v/>
      </c>
      <c r="E1560" s="44">
        <f>INDEX(Monthly!$B$2:$B$61,A1560)</f>
        <v/>
      </c>
      <c r="F1560" s="44">
        <f>E1560*INDEX('Age profile'!$B$2:$B$61,B1560)</f>
        <v/>
      </c>
      <c r="G1560" s="45">
        <f>MIN(in_takeup_cap,INDEX('Age profile'!$N$2:$N$61,B1560)*(1+in_takeup_growth)^(D1560-1))</f>
        <v/>
      </c>
      <c r="H1560" s="11">
        <f>MIN(in_approval_cap,in_approved_first*INDEX('Age profile'!$O$2:$O$61,B1560)*(1+in_approval_growth)^(D1560-1))</f>
        <v/>
      </c>
      <c r="I1560" s="45">
        <f>G1560*MIN(in_takeup_cap,INDEX('Age profile'!$O$2:$O$61,B1560)*(1+in_approval_growth)^(D1560-1))</f>
        <v/>
      </c>
      <c r="J1560" s="40">
        <f>(J1559-L1559)*F1560/F1559</f>
        <v/>
      </c>
      <c r="K1560" s="40">
        <f>(K1559-M1559)*F1560/F1559+SUMIFS(O1556:O1559,B1556:B1559,B1560-1-d_T)*F1560</f>
        <v/>
      </c>
      <c r="L1560" s="40">
        <f>IF(B1560&gt;=in_marketplace_from,J1560*d_hz*G1560*in_eligible*H1560,0)</f>
        <v/>
      </c>
      <c r="M1560" s="40">
        <f>IF(B1560&gt;=in_marketplace_from,K1560*d_hz*G1560*in_eligible*in_approved_repeat,0)</f>
        <v/>
      </c>
      <c r="N1560" s="40">
        <f>L1560+M1560</f>
        <v/>
      </c>
      <c r="O1560" s="46">
        <f>N1560/F1560</f>
        <v/>
      </c>
      <c r="P1560" s="40">
        <f>F1560-J1560-K1560</f>
        <v/>
      </c>
      <c r="Q1560" s="40">
        <f>IF(B1560&gt;=in_marketplace_from,(J1560+K1560)*d_hz*G1560,0)</f>
        <v/>
      </c>
      <c r="R1560" s="40">
        <f>SUMIFS(N1556:N1578,B1556:B1578,"&gt;="&amp;(B1560-d_T),B1556:B1578,"&lt;="&amp;(B1560-1))</f>
        <v/>
      </c>
      <c r="S1560" s="46">
        <f>(1-d_u)*S1559+IF(d_T&gt;in_topup_lag,SUMIFS(O1556:O1578,B1556:B1578,B1560-in_topup_lag)-d_udrop*SUMIFS(O1556:O1578,B1556:B1578,B1560-d_T),0)</f>
        <v/>
      </c>
      <c r="T1560" s="40">
        <f>F1560*d_u*S1560</f>
        <v/>
      </c>
      <c r="U1560" s="9">
        <f>L1560*in_ticket+M1560*d_rep_ticket</f>
        <v/>
      </c>
      <c r="V1560" s="9">
        <f>U1560+T1560*d_topup_amt</f>
        <v/>
      </c>
      <c r="W1560" s="40">
        <f>N1560+T1560*d_topup_ratio</f>
        <v/>
      </c>
      <c r="X1560" s="40">
        <f>SUMIFS(W1556:W1578,B1556:B1578,B1560-in_dpd_lag)*d_cured</f>
        <v/>
      </c>
      <c r="Y1560" s="40">
        <f>SUMIFS(W1556:W1578,B1556:B1578,B1560-in_rec_lag)*d_recd</f>
        <v/>
      </c>
      <c r="Z1560" s="40">
        <f>IF(AND(B1560&gt;=in_marketplace_from,B1560&lt;in_marketplace_from+in_card_months),in_card_share/in_card_months*F1560*I1560,IF(AND(B1560&gt;=in_marketplace_from+in_card_months,B1560&lt;in_marketplace_from+2*in_card_months),in_card_share*d_card_rem/in_card_months*F1560*MIN(in_takeup_cap,(1+in_takeup_growth)^(D1560-1))*MIN(in_takeup_cap,(1+in_approval_growth)^(D1560-1)),0))</f>
        <v/>
      </c>
      <c r="AA1560" s="14">
        <f>V1560*in_fee*(1-in_taken_back)</f>
        <v/>
      </c>
      <c r="AB1560" s="14">
        <f>SUMIFS(W1556:W1578,B1556:B1578,B1560-in_dpd_lag)*d_dpd</f>
        <v/>
      </c>
      <c r="AC1560" s="14">
        <f>SUMIFS(W1556:W1578,B1556:B1578,B1560-in_rec_lag)*d_rec</f>
        <v/>
      </c>
      <c r="AD1560" s="14">
        <f>Z1560*in_card_fee</f>
        <v/>
      </c>
      <c r="AE1560" s="40">
        <f>AE1559*(1-IF(B1559&gt;=in_marketplace_from,d_hz_hlth_small*G1559,0))</f>
        <v/>
      </c>
      <c r="AF1560" s="46">
        <f>AE1560*IF(B1560&gt;=in_marketplace_from,d_hz_hlth_small*G1560,0)</f>
        <v/>
      </c>
      <c r="AG1560" s="14">
        <f>F1560*AF1560*in_hlth_small_ticket*in_hlth_small_comm*in_ins_partner_share+F1560*in_hlth_small_ticket*in_hlth_small_renew_comm*in_ins_partner_share*(in_hlth_small_renew^1*SUMIFS(AF1556:AF1578,B1556:B1578,B1560-12)+in_hlth_small_renew^2*SUMIFS(AF1556:AF1578,B1556:B1578,B1560-24)+in_hlth_small_renew^3*SUMIFS(AF1556:AF1578,B1556:B1578,B1560-36)+in_hlth_small_renew^4*SUMIFS(AF1556:AF1578,B1556:B1578,B1560-48))</f>
        <v/>
      </c>
      <c r="AH1560" s="40">
        <f>AH1559*(1-IF(B1559&gt;=in_marketplace_from,d_hz_hlth_family*G1559,0))</f>
        <v/>
      </c>
      <c r="AI1560" s="46">
        <f>AH1560*IF(B1560&gt;=in_marketplace_from,d_hz_hlth_family*G1560,0)</f>
        <v/>
      </c>
      <c r="AJ1560" s="14">
        <f>F1560*AI1560*in_hlth_family_ticket*in_hlth_family_comm*in_ins_partner_share+F1560*in_hlth_family_ticket*in_hlth_family_renew_comm*in_ins_partner_share*(in_hlth_family_renew^1*SUMIFS(AI1556:AI1578,B1556:B1578,B1560-12)+in_hlth_family_renew^2*SUMIFS(AI1556:AI1578,B1556:B1578,B1560-24)+in_hlth_family_renew^3*SUMIFS(AI1556:AI1578,B1556:B1578,B1560-36)+in_hlth_family_renew^4*SUMIFS(AI1556:AI1578,B1556:B1578,B1560-48))</f>
        <v/>
      </c>
      <c r="AK1560" s="40">
        <f>AK1559*(1-IF(B1559&gt;=in_marketplace_from,d_hz_life_term*G1559,0))</f>
        <v/>
      </c>
      <c r="AL1560" s="46">
        <f>AK1560*IF(B1560&gt;=in_marketplace_from,d_hz_life_term*G1560,0)</f>
        <v/>
      </c>
      <c r="AM1560" s="14">
        <f>F1560*AL1560*in_life_term_ticket*in_life_term_comm*in_ins_partner_share+F1560*in_life_term_ticket*in_life_term_renew_comm*in_ins_partner_share*(in_life_term_renew^1*SUMIFS(AL1556:AL1578,B1556:B1578,B1560-12)+in_life_term_renew^2*SUMIFS(AL1556:AL1578,B1556:B1578,B1560-24)+in_life_term_renew^3*SUMIFS(AL1556:AL1578,B1556:B1578,B1560-36)+in_life_term_renew^4*SUMIFS(AL1556:AL1578,B1556:B1578,B1560-48))</f>
        <v/>
      </c>
      <c r="AN1560" s="40">
        <f>AN1559*(1-IF(B1559&gt;=in_marketplace_from,d_hz_accident*G1559,0))</f>
        <v/>
      </c>
      <c r="AO1560" s="46">
        <f>AN1560*IF(B1560&gt;=in_marketplace_from,d_hz_accident*G1560,0)</f>
        <v/>
      </c>
      <c r="AP1560" s="14">
        <f>F1560*AO1560*in_accident_ticket*in_accident_comm*in_ins_partner_share+F1560*in_accident_ticket*in_accident_renew_comm*in_ins_partner_share*(in_accident_renew^1*SUMIFS(AO1556:AO1578,B1556:B1578,B1560-12)+in_accident_renew^2*SUMIFS(AO1556:AO1578,B1556:B1578,B1560-24)+in_accident_renew^3*SUMIFS(AO1556:AO1578,B1556:B1578,B1560-36)+in_accident_renew^4*SUMIFS(AO1556:AO1578,B1556:B1578,B1560-48))</f>
        <v/>
      </c>
      <c r="AQ1560" s="40">
        <f>AQ1559*(1-IF(B1559&gt;=in_marketplace_from,d_hz_two_wheeler*G1559,0))</f>
        <v/>
      </c>
      <c r="AR1560" s="46">
        <f>AQ1560*IF(B1560&gt;=in_marketplace_from,d_hz_two_wheeler*G1560,0)</f>
        <v/>
      </c>
      <c r="AS1560" s="14">
        <f>F1560*AR1560*in_two_wheeler_ticket*in_two_wheeler_comm*in_ins_partner_share+F1560*in_two_wheeler_ticket*in_two_wheeler_comm*in_ins_partner_share*(in_two_wheeler_renew^1*SUMIFS(AR1556:AR1578,B1556:B1578,B1560-12)+in_two_wheeler_renew^2*SUMIFS(AR1556:AR1578,B1556:B1578,B1560-24)+in_two_wheeler_renew^3*SUMIFS(AR1556:AR1578,B1556:B1578,B1560-36)+in_two_wheeler_renew^4*SUMIFS(AR1556:AR1578,B1556:B1578,B1560-48))</f>
        <v/>
      </c>
      <c r="AT1560" s="40">
        <f>AT1559*(1-IF(B1559&gt;=in_marketplace_from,d_hz_device*G1559,0))</f>
        <v/>
      </c>
      <c r="AU1560" s="14">
        <f>F1560*AT1560*IF(B1560&gt;=in_marketplace_from,d_hz_device*G1560,0)*in_device_ticket*in_device_comm*in_ins_partner_share</f>
        <v/>
      </c>
      <c r="AV1560" s="40">
        <f>AV1559*(1-IF(B1559&gt;=in_marketplace_from,d_hz_shop*G1559,0))</f>
        <v/>
      </c>
      <c r="AW1560" s="46">
        <f>AV1560*IF(B1560&gt;=in_marketplace_from,d_hz_shop*G1560,0)</f>
        <v/>
      </c>
      <c r="AX1560" s="14">
        <f>F1560*AW1560*in_shop_ticket*in_shop_comm*in_ins_partner_share+F1560*in_shop_ticket*in_shop_renew_comm*in_ins_partner_share*(in_shop_renew^1*SUMIFS(AW1556:AW1578,B1556:B1578,B1560-12)+in_shop_renew^2*SUMIFS(AW1556:AW1578,B1556:B1578,B1560-24)+in_shop_renew^3*SUMIFS(AW1556:AW1578,B1556:B1578,B1560-36)+in_shop_renew^4*SUMIFS(AW1556:AW1578,B1556:B1578,B1560-48))</f>
        <v/>
      </c>
      <c r="AY1560" s="40">
        <f>AY1559*(1-IF(B1559&gt;=in_marketplace_from,d_hz_sip*G1559,0))</f>
        <v/>
      </c>
      <c r="AZ1560" s="40">
        <f>AZ1559*d_rho_sip+AY1560*IF(B1560&gt;=in_marketplace_from,d_hz_sip*G1560,0)</f>
        <v/>
      </c>
      <c r="BA1560" s="40">
        <f>d_rho_sip*(BA1559+AZ1559)</f>
        <v/>
      </c>
      <c r="BB1560" s="14">
        <f>F1560*in_sip_ticket*(BA1560+0.5*AZ1560)*in_sip_comm/12</f>
        <v/>
      </c>
      <c r="BC1560" s="40">
        <f>BC1559*(1-IF(B1559&gt;=in_marketplace_from,d_hz_choti*G1559,0))</f>
        <v/>
      </c>
      <c r="BD1560" s="46">
        <f>BC1560*IF(B1560&gt;=in_marketplace_from,d_hz_choti*G1560,0)</f>
        <v/>
      </c>
      <c r="BE1560" s="14">
        <f>F1560*SUMIFS(BD1556:BD1578,B1556:B1578,B1560-in_choti_months)*in_choti_renew*in_choti_ticket</f>
        <v/>
      </c>
      <c r="BF1560" s="40">
        <f>BF1559*(1-IF(B1559&gt;=in_marketplace_from,d_hz_nps*G1559,0))</f>
        <v/>
      </c>
      <c r="BG1560" s="14">
        <f>F1560*BF1560*IF(B1560&gt;=in_marketplace_from,d_hz_nps*G1560,0)*in_nps_ticket*in_nps_comm</f>
        <v/>
      </c>
      <c r="BH1560" s="40">
        <f>BH1559*(1-IF(B1559&gt;=in_marketplace_from,d_hz_gold*G1559,0))</f>
        <v/>
      </c>
      <c r="BI1560" s="40">
        <f>BI1559*d_rho_gold+BH1560*IF(B1560&gt;=in_marketplace_from,d_hz_gold*G1560,0)</f>
        <v/>
      </c>
      <c r="BJ1560" s="14">
        <f>F1560*BI1560*in_gold_ticket*in_gold_comm</f>
        <v/>
      </c>
      <c r="BK1560" s="40">
        <f>BK1559*(1-IF(B1559&gt;=in_marketplace_from,d_hz_fd*G1559,0))</f>
        <v/>
      </c>
      <c r="BL1560" s="14">
        <f>F1560*BK1560*IF(B1560&gt;=in_marketplace_from,d_hz_fd*G1560,0)*in_fd_ticket*in_fd_comm</f>
        <v/>
      </c>
      <c r="BM1560" s="40">
        <f>BM1559*(1-IF(B1559&gt;=in_marketplace_from,d_hz_recharge*G1559,0))</f>
        <v/>
      </c>
      <c r="BN1560" s="40">
        <f>BN1559*d_rho_recharge+BM1560*IF(B1560&gt;=in_marketplace_from,d_hz_recharge*G1560,0)</f>
        <v/>
      </c>
      <c r="BO1560" s="14">
        <f>F1560*BN1560*in_recharge_ticket*in_recharge_comm/12</f>
        <v/>
      </c>
      <c r="BP1560" s="40">
        <f>BP1559*(1-IF(B1559&gt;=in_marketplace_from,d_hz_bills*G1559,0))</f>
        <v/>
      </c>
      <c r="BQ1560" s="40">
        <f>BQ1559*d_rho_bills+BP1560*IF(B1560&gt;=in_marketplace_from,d_hz_bills*G1560,0)</f>
        <v/>
      </c>
      <c r="BR1560" s="14">
        <f>F1560*BQ1560*in_bills_ticket*in_bills_comm/12</f>
        <v/>
      </c>
      <c r="BS1560" s="40">
        <f>BS1559*(1-IF(B1559&gt;=in_marketplace_from,d_hz_loan_gold*G1559,0))</f>
        <v/>
      </c>
      <c r="BT1560" s="14">
        <f>F1560*BS1560*IF(B1560&gt;=in_marketplace_from,d_hz_loan_gold*G1560,0)*in_loan_gold_ticket*in_loan_gold_comm</f>
        <v/>
      </c>
      <c r="BU1560" s="40">
        <f>BU1559*(1-IF(B1559&gt;=in_marketplace_from,d_hz_loan_cd*G1559,0))</f>
        <v/>
      </c>
      <c r="BV1560" s="14">
        <f>F1560*BU1560*IF(B1560&gt;=in_marketplace_from,d_hz_loan_cd*G1560,0)*in_loan_cd_ticket*in_loan_cd_comm</f>
        <v/>
      </c>
      <c r="BW1560" s="40">
        <f>BW1559*(1-IF(B1559&gt;=in_marketplace_from,d_hz_loan_vehicle*G1559,0))</f>
        <v/>
      </c>
      <c r="BX1560" s="14">
        <f>F1560*BW1560*IF(B1560&gt;=in_marketplace_from,d_hz_loan_vehicle*G1560,0)*in_loan_vehicle_ticket*in_loan_vehicle_comm</f>
        <v/>
      </c>
      <c r="BY1560" s="40">
        <f>BY1559*(1-IF(B1559&gt;=in_marketplace_from,d_hz_loan_home*G1559,0)*BZ1559)</f>
        <v/>
      </c>
      <c r="BZ1560" s="11">
        <f>MIN(in_approval_cap,in_loan_home_approval*INDEX('Age profile'!$O$2:$O$61,B1560)*(1+in_approval_growth)^(D1560-1))</f>
        <v/>
      </c>
      <c r="CA1560" s="14">
        <f>F1560*BY1560*IF(B1560&gt;=in_marketplace_from,d_hz_loan_home*G1560,0)*BZ1560*in_loan_home_ticket*in_loan_home_comm</f>
        <v/>
      </c>
      <c r="CB1560" s="40">
        <f>CB1559*(1-IF(B1559&gt;=in_marketplace_from,d_hz_loan_lap*G1559,0)*CC1559)</f>
        <v/>
      </c>
      <c r="CC1560" s="11">
        <f>MIN(in_approval_cap,in_loan_lap_approval*INDEX('Age profile'!$O$2:$O$61,B1560)*(1+in_approval_growth)^(D1560-1))</f>
        <v/>
      </c>
      <c r="CD1560" s="14">
        <f>F1560*CB1560*IF(B1560&gt;=in_marketplace_from,d_hz_loan_lap*G1560,0)*CC1560*in_loan_lap_ticket*in_loan_lap_comm</f>
        <v/>
      </c>
      <c r="CE1560" s="14">
        <f>AA1560+AB1560+AC1560+AD1560+AG1560+AJ1560+AM1560+AP1560+AS1560+AU1560+AX1560+BB1560+BE1560+BG1560+BJ1560+BL1560+BO1560+BR1560+BT1560+BV1560+BX1560+CA1560+CD1560</f>
        <v/>
      </c>
    </row>
    <row r="1561">
      <c r="A1561" s="39" t="n">
        <v>38</v>
      </c>
      <c r="B1561" s="39" t="n">
        <v>6</v>
      </c>
      <c r="C1561" s="39">
        <f>A1561+B1561-1</f>
        <v/>
      </c>
      <c r="D1561" s="39">
        <f>INT((C1561-1)/12)+1</f>
        <v/>
      </c>
      <c r="E1561" s="44">
        <f>INDEX(Monthly!$B$2:$B$61,A1561)</f>
        <v/>
      </c>
      <c r="F1561" s="44">
        <f>E1561*INDEX('Age profile'!$B$2:$B$61,B1561)</f>
        <v/>
      </c>
      <c r="G1561" s="45">
        <f>MIN(in_takeup_cap,INDEX('Age profile'!$N$2:$N$61,B1561)*(1+in_takeup_growth)^(D1561-1))</f>
        <v/>
      </c>
      <c r="H1561" s="11">
        <f>MIN(in_approval_cap,in_approved_first*INDEX('Age profile'!$O$2:$O$61,B1561)*(1+in_approval_growth)^(D1561-1))</f>
        <v/>
      </c>
      <c r="I1561" s="45">
        <f>G1561*MIN(in_takeup_cap,INDEX('Age profile'!$O$2:$O$61,B1561)*(1+in_approval_growth)^(D1561-1))</f>
        <v/>
      </c>
      <c r="J1561" s="40">
        <f>(J1560-L1560)*F1561/F1560</f>
        <v/>
      </c>
      <c r="K1561" s="40">
        <f>(K1560-M1560)*F1561/F1560+SUMIFS(O1556:O1560,B1556:B1560,B1561-1-d_T)*F1561</f>
        <v/>
      </c>
      <c r="L1561" s="40">
        <f>IF(B1561&gt;=in_marketplace_from,J1561*d_hz*G1561*in_eligible*H1561,0)</f>
        <v/>
      </c>
      <c r="M1561" s="40">
        <f>IF(B1561&gt;=in_marketplace_from,K1561*d_hz*G1561*in_eligible*in_approved_repeat,0)</f>
        <v/>
      </c>
      <c r="N1561" s="40">
        <f>L1561+M1561</f>
        <v/>
      </c>
      <c r="O1561" s="46">
        <f>N1561/F1561</f>
        <v/>
      </c>
      <c r="P1561" s="40">
        <f>F1561-J1561-K1561</f>
        <v/>
      </c>
      <c r="Q1561" s="40">
        <f>IF(B1561&gt;=in_marketplace_from,(J1561+K1561)*d_hz*G1561,0)</f>
        <v/>
      </c>
      <c r="R1561" s="40">
        <f>SUMIFS(N1556:N1578,B1556:B1578,"&gt;="&amp;(B1561-d_T),B1556:B1578,"&lt;="&amp;(B1561-1))</f>
        <v/>
      </c>
      <c r="S1561" s="46">
        <f>(1-d_u)*S1560+IF(d_T&gt;in_topup_lag,SUMIFS(O1556:O1578,B1556:B1578,B1561-in_topup_lag)-d_udrop*SUMIFS(O1556:O1578,B1556:B1578,B1561-d_T),0)</f>
        <v/>
      </c>
      <c r="T1561" s="40">
        <f>F1561*d_u*S1561</f>
        <v/>
      </c>
      <c r="U1561" s="9">
        <f>L1561*in_ticket+M1561*d_rep_ticket</f>
        <v/>
      </c>
      <c r="V1561" s="9">
        <f>U1561+T1561*d_topup_amt</f>
        <v/>
      </c>
      <c r="W1561" s="40">
        <f>N1561+T1561*d_topup_ratio</f>
        <v/>
      </c>
      <c r="X1561" s="40">
        <f>SUMIFS(W1556:W1578,B1556:B1578,B1561-in_dpd_lag)*d_cured</f>
        <v/>
      </c>
      <c r="Y1561" s="40">
        <f>SUMIFS(W1556:W1578,B1556:B1578,B1561-in_rec_lag)*d_recd</f>
        <v/>
      </c>
      <c r="Z1561" s="40">
        <f>IF(AND(B1561&gt;=in_marketplace_from,B1561&lt;in_marketplace_from+in_card_months),in_card_share/in_card_months*F1561*I1561,IF(AND(B1561&gt;=in_marketplace_from+in_card_months,B1561&lt;in_marketplace_from+2*in_card_months),in_card_share*d_card_rem/in_card_months*F1561*MIN(in_takeup_cap,(1+in_takeup_growth)^(D1561-1))*MIN(in_takeup_cap,(1+in_approval_growth)^(D1561-1)),0))</f>
        <v/>
      </c>
      <c r="AA1561" s="14">
        <f>V1561*in_fee*(1-in_taken_back)</f>
        <v/>
      </c>
      <c r="AB1561" s="14">
        <f>SUMIFS(W1556:W1578,B1556:B1578,B1561-in_dpd_lag)*d_dpd</f>
        <v/>
      </c>
      <c r="AC1561" s="14">
        <f>SUMIFS(W1556:W1578,B1556:B1578,B1561-in_rec_lag)*d_rec</f>
        <v/>
      </c>
      <c r="AD1561" s="14">
        <f>Z1561*in_card_fee</f>
        <v/>
      </c>
      <c r="AE1561" s="40">
        <f>AE1560*(1-IF(B1560&gt;=in_marketplace_from,d_hz_hlth_small*G1560,0))</f>
        <v/>
      </c>
      <c r="AF1561" s="46">
        <f>AE1561*IF(B1561&gt;=in_marketplace_from,d_hz_hlth_small*G1561,0)</f>
        <v/>
      </c>
      <c r="AG1561" s="14">
        <f>F1561*AF1561*in_hlth_small_ticket*in_hlth_small_comm*in_ins_partner_share+F1561*in_hlth_small_ticket*in_hlth_small_renew_comm*in_ins_partner_share*(in_hlth_small_renew^1*SUMIFS(AF1556:AF1578,B1556:B1578,B1561-12)+in_hlth_small_renew^2*SUMIFS(AF1556:AF1578,B1556:B1578,B1561-24)+in_hlth_small_renew^3*SUMIFS(AF1556:AF1578,B1556:B1578,B1561-36)+in_hlth_small_renew^4*SUMIFS(AF1556:AF1578,B1556:B1578,B1561-48))</f>
        <v/>
      </c>
      <c r="AH1561" s="40">
        <f>AH1560*(1-IF(B1560&gt;=in_marketplace_from,d_hz_hlth_family*G1560,0))</f>
        <v/>
      </c>
      <c r="AI1561" s="46">
        <f>AH1561*IF(B1561&gt;=in_marketplace_from,d_hz_hlth_family*G1561,0)</f>
        <v/>
      </c>
      <c r="AJ1561" s="14">
        <f>F1561*AI1561*in_hlth_family_ticket*in_hlth_family_comm*in_ins_partner_share+F1561*in_hlth_family_ticket*in_hlth_family_renew_comm*in_ins_partner_share*(in_hlth_family_renew^1*SUMIFS(AI1556:AI1578,B1556:B1578,B1561-12)+in_hlth_family_renew^2*SUMIFS(AI1556:AI1578,B1556:B1578,B1561-24)+in_hlth_family_renew^3*SUMIFS(AI1556:AI1578,B1556:B1578,B1561-36)+in_hlth_family_renew^4*SUMIFS(AI1556:AI1578,B1556:B1578,B1561-48))</f>
        <v/>
      </c>
      <c r="AK1561" s="40">
        <f>AK1560*(1-IF(B1560&gt;=in_marketplace_from,d_hz_life_term*G1560,0))</f>
        <v/>
      </c>
      <c r="AL1561" s="46">
        <f>AK1561*IF(B1561&gt;=in_marketplace_from,d_hz_life_term*G1561,0)</f>
        <v/>
      </c>
      <c r="AM1561" s="14">
        <f>F1561*AL1561*in_life_term_ticket*in_life_term_comm*in_ins_partner_share+F1561*in_life_term_ticket*in_life_term_renew_comm*in_ins_partner_share*(in_life_term_renew^1*SUMIFS(AL1556:AL1578,B1556:B1578,B1561-12)+in_life_term_renew^2*SUMIFS(AL1556:AL1578,B1556:B1578,B1561-24)+in_life_term_renew^3*SUMIFS(AL1556:AL1578,B1556:B1578,B1561-36)+in_life_term_renew^4*SUMIFS(AL1556:AL1578,B1556:B1578,B1561-48))</f>
        <v/>
      </c>
      <c r="AN1561" s="40">
        <f>AN1560*(1-IF(B1560&gt;=in_marketplace_from,d_hz_accident*G1560,0))</f>
        <v/>
      </c>
      <c r="AO1561" s="46">
        <f>AN1561*IF(B1561&gt;=in_marketplace_from,d_hz_accident*G1561,0)</f>
        <v/>
      </c>
      <c r="AP1561" s="14">
        <f>F1561*AO1561*in_accident_ticket*in_accident_comm*in_ins_partner_share+F1561*in_accident_ticket*in_accident_renew_comm*in_ins_partner_share*(in_accident_renew^1*SUMIFS(AO1556:AO1578,B1556:B1578,B1561-12)+in_accident_renew^2*SUMIFS(AO1556:AO1578,B1556:B1578,B1561-24)+in_accident_renew^3*SUMIFS(AO1556:AO1578,B1556:B1578,B1561-36)+in_accident_renew^4*SUMIFS(AO1556:AO1578,B1556:B1578,B1561-48))</f>
        <v/>
      </c>
      <c r="AQ1561" s="40">
        <f>AQ1560*(1-IF(B1560&gt;=in_marketplace_from,d_hz_two_wheeler*G1560,0))</f>
        <v/>
      </c>
      <c r="AR1561" s="46">
        <f>AQ1561*IF(B1561&gt;=in_marketplace_from,d_hz_two_wheeler*G1561,0)</f>
        <v/>
      </c>
      <c r="AS1561" s="14">
        <f>F1561*AR1561*in_two_wheeler_ticket*in_two_wheeler_comm*in_ins_partner_share+F1561*in_two_wheeler_ticket*in_two_wheeler_comm*in_ins_partner_share*(in_two_wheeler_renew^1*SUMIFS(AR1556:AR1578,B1556:B1578,B1561-12)+in_two_wheeler_renew^2*SUMIFS(AR1556:AR1578,B1556:B1578,B1561-24)+in_two_wheeler_renew^3*SUMIFS(AR1556:AR1578,B1556:B1578,B1561-36)+in_two_wheeler_renew^4*SUMIFS(AR1556:AR1578,B1556:B1578,B1561-48))</f>
        <v/>
      </c>
      <c r="AT1561" s="40">
        <f>AT1560*(1-IF(B1560&gt;=in_marketplace_from,d_hz_device*G1560,0))</f>
        <v/>
      </c>
      <c r="AU1561" s="14">
        <f>F1561*AT1561*IF(B1561&gt;=in_marketplace_from,d_hz_device*G1561,0)*in_device_ticket*in_device_comm*in_ins_partner_share</f>
        <v/>
      </c>
      <c r="AV1561" s="40">
        <f>AV1560*(1-IF(B1560&gt;=in_marketplace_from,d_hz_shop*G1560,0))</f>
        <v/>
      </c>
      <c r="AW1561" s="46">
        <f>AV1561*IF(B1561&gt;=in_marketplace_from,d_hz_shop*G1561,0)</f>
        <v/>
      </c>
      <c r="AX1561" s="14">
        <f>F1561*AW1561*in_shop_ticket*in_shop_comm*in_ins_partner_share+F1561*in_shop_ticket*in_shop_renew_comm*in_ins_partner_share*(in_shop_renew^1*SUMIFS(AW1556:AW1578,B1556:B1578,B1561-12)+in_shop_renew^2*SUMIFS(AW1556:AW1578,B1556:B1578,B1561-24)+in_shop_renew^3*SUMIFS(AW1556:AW1578,B1556:B1578,B1561-36)+in_shop_renew^4*SUMIFS(AW1556:AW1578,B1556:B1578,B1561-48))</f>
        <v/>
      </c>
      <c r="AY1561" s="40">
        <f>AY1560*(1-IF(B1560&gt;=in_marketplace_from,d_hz_sip*G1560,0))</f>
        <v/>
      </c>
      <c r="AZ1561" s="40">
        <f>AZ1560*d_rho_sip+AY1561*IF(B1561&gt;=in_marketplace_from,d_hz_sip*G1561,0)</f>
        <v/>
      </c>
      <c r="BA1561" s="40">
        <f>d_rho_sip*(BA1560+AZ1560)</f>
        <v/>
      </c>
      <c r="BB1561" s="14">
        <f>F1561*in_sip_ticket*(BA1561+0.5*AZ1561)*in_sip_comm/12</f>
        <v/>
      </c>
      <c r="BC1561" s="40">
        <f>BC1560*(1-IF(B1560&gt;=in_marketplace_from,d_hz_choti*G1560,0))</f>
        <v/>
      </c>
      <c r="BD1561" s="46">
        <f>BC1561*IF(B1561&gt;=in_marketplace_from,d_hz_choti*G1561,0)</f>
        <v/>
      </c>
      <c r="BE1561" s="14">
        <f>F1561*SUMIFS(BD1556:BD1578,B1556:B1578,B1561-in_choti_months)*in_choti_renew*in_choti_ticket</f>
        <v/>
      </c>
      <c r="BF1561" s="40">
        <f>BF1560*(1-IF(B1560&gt;=in_marketplace_from,d_hz_nps*G1560,0))</f>
        <v/>
      </c>
      <c r="BG1561" s="14">
        <f>F1561*BF1561*IF(B1561&gt;=in_marketplace_from,d_hz_nps*G1561,0)*in_nps_ticket*in_nps_comm</f>
        <v/>
      </c>
      <c r="BH1561" s="40">
        <f>BH1560*(1-IF(B1560&gt;=in_marketplace_from,d_hz_gold*G1560,0))</f>
        <v/>
      </c>
      <c r="BI1561" s="40">
        <f>BI1560*d_rho_gold+BH1561*IF(B1561&gt;=in_marketplace_from,d_hz_gold*G1561,0)</f>
        <v/>
      </c>
      <c r="BJ1561" s="14">
        <f>F1561*BI1561*in_gold_ticket*in_gold_comm</f>
        <v/>
      </c>
      <c r="BK1561" s="40">
        <f>BK1560*(1-IF(B1560&gt;=in_marketplace_from,d_hz_fd*G1560,0))</f>
        <v/>
      </c>
      <c r="BL1561" s="14">
        <f>F1561*BK1561*IF(B1561&gt;=in_marketplace_from,d_hz_fd*G1561,0)*in_fd_ticket*in_fd_comm</f>
        <v/>
      </c>
      <c r="BM1561" s="40">
        <f>BM1560*(1-IF(B1560&gt;=in_marketplace_from,d_hz_recharge*G1560,0))</f>
        <v/>
      </c>
      <c r="BN1561" s="40">
        <f>BN1560*d_rho_recharge+BM1561*IF(B1561&gt;=in_marketplace_from,d_hz_recharge*G1561,0)</f>
        <v/>
      </c>
      <c r="BO1561" s="14">
        <f>F1561*BN1561*in_recharge_ticket*in_recharge_comm/12</f>
        <v/>
      </c>
      <c r="BP1561" s="40">
        <f>BP1560*(1-IF(B1560&gt;=in_marketplace_from,d_hz_bills*G1560,0))</f>
        <v/>
      </c>
      <c r="BQ1561" s="40">
        <f>BQ1560*d_rho_bills+BP1561*IF(B1561&gt;=in_marketplace_from,d_hz_bills*G1561,0)</f>
        <v/>
      </c>
      <c r="BR1561" s="14">
        <f>F1561*BQ1561*in_bills_ticket*in_bills_comm/12</f>
        <v/>
      </c>
      <c r="BS1561" s="40">
        <f>BS1560*(1-IF(B1560&gt;=in_marketplace_from,d_hz_loan_gold*G1560,0))</f>
        <v/>
      </c>
      <c r="BT1561" s="14">
        <f>F1561*BS1561*IF(B1561&gt;=in_marketplace_from,d_hz_loan_gold*G1561,0)*in_loan_gold_ticket*in_loan_gold_comm</f>
        <v/>
      </c>
      <c r="BU1561" s="40">
        <f>BU1560*(1-IF(B1560&gt;=in_marketplace_from,d_hz_loan_cd*G1560,0))</f>
        <v/>
      </c>
      <c r="BV1561" s="14">
        <f>F1561*BU1561*IF(B1561&gt;=in_marketplace_from,d_hz_loan_cd*G1561,0)*in_loan_cd_ticket*in_loan_cd_comm</f>
        <v/>
      </c>
      <c r="BW1561" s="40">
        <f>BW1560*(1-IF(B1560&gt;=in_marketplace_from,d_hz_loan_vehicle*G1560,0))</f>
        <v/>
      </c>
      <c r="BX1561" s="14">
        <f>F1561*BW1561*IF(B1561&gt;=in_marketplace_from,d_hz_loan_vehicle*G1561,0)*in_loan_vehicle_ticket*in_loan_vehicle_comm</f>
        <v/>
      </c>
      <c r="BY1561" s="40">
        <f>BY1560*(1-IF(B1560&gt;=in_marketplace_from,d_hz_loan_home*G1560,0)*BZ1560)</f>
        <v/>
      </c>
      <c r="BZ1561" s="11">
        <f>MIN(in_approval_cap,in_loan_home_approval*INDEX('Age profile'!$O$2:$O$61,B1561)*(1+in_approval_growth)^(D1561-1))</f>
        <v/>
      </c>
      <c r="CA1561" s="14">
        <f>F1561*BY1561*IF(B1561&gt;=in_marketplace_from,d_hz_loan_home*G1561,0)*BZ1561*in_loan_home_ticket*in_loan_home_comm</f>
        <v/>
      </c>
      <c r="CB1561" s="40">
        <f>CB1560*(1-IF(B1560&gt;=in_marketplace_from,d_hz_loan_lap*G1560,0)*CC1560)</f>
        <v/>
      </c>
      <c r="CC1561" s="11">
        <f>MIN(in_approval_cap,in_loan_lap_approval*INDEX('Age profile'!$O$2:$O$61,B1561)*(1+in_approval_growth)^(D1561-1))</f>
        <v/>
      </c>
      <c r="CD1561" s="14">
        <f>F1561*CB1561*IF(B1561&gt;=in_marketplace_from,d_hz_loan_lap*G1561,0)*CC1561*in_loan_lap_ticket*in_loan_lap_comm</f>
        <v/>
      </c>
      <c r="CE1561" s="14">
        <f>AA1561+AB1561+AC1561+AD1561+AG1561+AJ1561+AM1561+AP1561+AS1561+AU1561+AX1561+BB1561+BE1561+BG1561+BJ1561+BL1561+BO1561+BR1561+BT1561+BV1561+BX1561+CA1561+CD1561</f>
        <v/>
      </c>
    </row>
    <row r="1562">
      <c r="A1562" s="39" t="n">
        <v>38</v>
      </c>
      <c r="B1562" s="39" t="n">
        <v>7</v>
      </c>
      <c r="C1562" s="39">
        <f>A1562+B1562-1</f>
        <v/>
      </c>
      <c r="D1562" s="39">
        <f>INT((C1562-1)/12)+1</f>
        <v/>
      </c>
      <c r="E1562" s="44">
        <f>INDEX(Monthly!$B$2:$B$61,A1562)</f>
        <v/>
      </c>
      <c r="F1562" s="44">
        <f>E1562*INDEX('Age profile'!$B$2:$B$61,B1562)</f>
        <v/>
      </c>
      <c r="G1562" s="45">
        <f>MIN(in_takeup_cap,INDEX('Age profile'!$N$2:$N$61,B1562)*(1+in_takeup_growth)^(D1562-1))</f>
        <v/>
      </c>
      <c r="H1562" s="11">
        <f>MIN(in_approval_cap,in_approved_first*INDEX('Age profile'!$O$2:$O$61,B1562)*(1+in_approval_growth)^(D1562-1))</f>
        <v/>
      </c>
      <c r="I1562" s="45">
        <f>G1562*MIN(in_takeup_cap,INDEX('Age profile'!$O$2:$O$61,B1562)*(1+in_approval_growth)^(D1562-1))</f>
        <v/>
      </c>
      <c r="J1562" s="40">
        <f>(J1561-L1561)*F1562/F1561</f>
        <v/>
      </c>
      <c r="K1562" s="40">
        <f>(K1561-M1561)*F1562/F1561+SUMIFS(O1556:O1561,B1556:B1561,B1562-1-d_T)*F1562</f>
        <v/>
      </c>
      <c r="L1562" s="40">
        <f>IF(B1562&gt;=in_marketplace_from,J1562*d_hz*G1562*in_eligible*H1562,0)</f>
        <v/>
      </c>
      <c r="M1562" s="40">
        <f>IF(B1562&gt;=in_marketplace_from,K1562*d_hz*G1562*in_eligible*in_approved_repeat,0)</f>
        <v/>
      </c>
      <c r="N1562" s="40">
        <f>L1562+M1562</f>
        <v/>
      </c>
      <c r="O1562" s="46">
        <f>N1562/F1562</f>
        <v/>
      </c>
      <c r="P1562" s="40">
        <f>F1562-J1562-K1562</f>
        <v/>
      </c>
      <c r="Q1562" s="40">
        <f>IF(B1562&gt;=in_marketplace_from,(J1562+K1562)*d_hz*G1562,0)</f>
        <v/>
      </c>
      <c r="R1562" s="40">
        <f>SUMIFS(N1556:N1578,B1556:B1578,"&gt;="&amp;(B1562-d_T),B1556:B1578,"&lt;="&amp;(B1562-1))</f>
        <v/>
      </c>
      <c r="S1562" s="46">
        <f>(1-d_u)*S1561+IF(d_T&gt;in_topup_lag,SUMIFS(O1556:O1578,B1556:B1578,B1562-in_topup_lag)-d_udrop*SUMIFS(O1556:O1578,B1556:B1578,B1562-d_T),0)</f>
        <v/>
      </c>
      <c r="T1562" s="40">
        <f>F1562*d_u*S1562</f>
        <v/>
      </c>
      <c r="U1562" s="9">
        <f>L1562*in_ticket+M1562*d_rep_ticket</f>
        <v/>
      </c>
      <c r="V1562" s="9">
        <f>U1562+T1562*d_topup_amt</f>
        <v/>
      </c>
      <c r="W1562" s="40">
        <f>N1562+T1562*d_topup_ratio</f>
        <v/>
      </c>
      <c r="X1562" s="40">
        <f>SUMIFS(W1556:W1578,B1556:B1578,B1562-in_dpd_lag)*d_cured</f>
        <v/>
      </c>
      <c r="Y1562" s="40">
        <f>SUMIFS(W1556:W1578,B1556:B1578,B1562-in_rec_lag)*d_recd</f>
        <v/>
      </c>
      <c r="Z1562" s="40">
        <f>IF(AND(B1562&gt;=in_marketplace_from,B1562&lt;in_marketplace_from+in_card_months),in_card_share/in_card_months*F1562*I1562,IF(AND(B1562&gt;=in_marketplace_from+in_card_months,B1562&lt;in_marketplace_from+2*in_card_months),in_card_share*d_card_rem/in_card_months*F1562*MIN(in_takeup_cap,(1+in_takeup_growth)^(D1562-1))*MIN(in_takeup_cap,(1+in_approval_growth)^(D1562-1)),0))</f>
        <v/>
      </c>
      <c r="AA1562" s="14">
        <f>V1562*in_fee*(1-in_taken_back)</f>
        <v/>
      </c>
      <c r="AB1562" s="14">
        <f>SUMIFS(W1556:W1578,B1556:B1578,B1562-in_dpd_lag)*d_dpd</f>
        <v/>
      </c>
      <c r="AC1562" s="14">
        <f>SUMIFS(W1556:W1578,B1556:B1578,B1562-in_rec_lag)*d_rec</f>
        <v/>
      </c>
      <c r="AD1562" s="14">
        <f>Z1562*in_card_fee</f>
        <v/>
      </c>
      <c r="AE1562" s="40">
        <f>AE1561*(1-IF(B1561&gt;=in_marketplace_from,d_hz_hlth_small*G1561,0))</f>
        <v/>
      </c>
      <c r="AF1562" s="46">
        <f>AE1562*IF(B1562&gt;=in_marketplace_from,d_hz_hlth_small*G1562,0)</f>
        <v/>
      </c>
      <c r="AG1562" s="14">
        <f>F1562*AF1562*in_hlth_small_ticket*in_hlth_small_comm*in_ins_partner_share+F1562*in_hlth_small_ticket*in_hlth_small_renew_comm*in_ins_partner_share*(in_hlth_small_renew^1*SUMIFS(AF1556:AF1578,B1556:B1578,B1562-12)+in_hlth_small_renew^2*SUMIFS(AF1556:AF1578,B1556:B1578,B1562-24)+in_hlth_small_renew^3*SUMIFS(AF1556:AF1578,B1556:B1578,B1562-36)+in_hlth_small_renew^4*SUMIFS(AF1556:AF1578,B1556:B1578,B1562-48))</f>
        <v/>
      </c>
      <c r="AH1562" s="40">
        <f>AH1561*(1-IF(B1561&gt;=in_marketplace_from,d_hz_hlth_family*G1561,0))</f>
        <v/>
      </c>
      <c r="AI1562" s="46">
        <f>AH1562*IF(B1562&gt;=in_marketplace_from,d_hz_hlth_family*G1562,0)</f>
        <v/>
      </c>
      <c r="AJ1562" s="14">
        <f>F1562*AI1562*in_hlth_family_ticket*in_hlth_family_comm*in_ins_partner_share+F1562*in_hlth_family_ticket*in_hlth_family_renew_comm*in_ins_partner_share*(in_hlth_family_renew^1*SUMIFS(AI1556:AI1578,B1556:B1578,B1562-12)+in_hlth_family_renew^2*SUMIFS(AI1556:AI1578,B1556:B1578,B1562-24)+in_hlth_family_renew^3*SUMIFS(AI1556:AI1578,B1556:B1578,B1562-36)+in_hlth_family_renew^4*SUMIFS(AI1556:AI1578,B1556:B1578,B1562-48))</f>
        <v/>
      </c>
      <c r="AK1562" s="40">
        <f>AK1561*(1-IF(B1561&gt;=in_marketplace_from,d_hz_life_term*G1561,0))</f>
        <v/>
      </c>
      <c r="AL1562" s="46">
        <f>AK1562*IF(B1562&gt;=in_marketplace_from,d_hz_life_term*G1562,0)</f>
        <v/>
      </c>
      <c r="AM1562" s="14">
        <f>F1562*AL1562*in_life_term_ticket*in_life_term_comm*in_ins_partner_share+F1562*in_life_term_ticket*in_life_term_renew_comm*in_ins_partner_share*(in_life_term_renew^1*SUMIFS(AL1556:AL1578,B1556:B1578,B1562-12)+in_life_term_renew^2*SUMIFS(AL1556:AL1578,B1556:B1578,B1562-24)+in_life_term_renew^3*SUMIFS(AL1556:AL1578,B1556:B1578,B1562-36)+in_life_term_renew^4*SUMIFS(AL1556:AL1578,B1556:B1578,B1562-48))</f>
        <v/>
      </c>
      <c r="AN1562" s="40">
        <f>AN1561*(1-IF(B1561&gt;=in_marketplace_from,d_hz_accident*G1561,0))</f>
        <v/>
      </c>
      <c r="AO1562" s="46">
        <f>AN1562*IF(B1562&gt;=in_marketplace_from,d_hz_accident*G1562,0)</f>
        <v/>
      </c>
      <c r="AP1562" s="14">
        <f>F1562*AO1562*in_accident_ticket*in_accident_comm*in_ins_partner_share+F1562*in_accident_ticket*in_accident_renew_comm*in_ins_partner_share*(in_accident_renew^1*SUMIFS(AO1556:AO1578,B1556:B1578,B1562-12)+in_accident_renew^2*SUMIFS(AO1556:AO1578,B1556:B1578,B1562-24)+in_accident_renew^3*SUMIFS(AO1556:AO1578,B1556:B1578,B1562-36)+in_accident_renew^4*SUMIFS(AO1556:AO1578,B1556:B1578,B1562-48))</f>
        <v/>
      </c>
      <c r="AQ1562" s="40">
        <f>AQ1561*(1-IF(B1561&gt;=in_marketplace_from,d_hz_two_wheeler*G1561,0))</f>
        <v/>
      </c>
      <c r="AR1562" s="46">
        <f>AQ1562*IF(B1562&gt;=in_marketplace_from,d_hz_two_wheeler*G1562,0)</f>
        <v/>
      </c>
      <c r="AS1562" s="14">
        <f>F1562*AR1562*in_two_wheeler_ticket*in_two_wheeler_comm*in_ins_partner_share+F1562*in_two_wheeler_ticket*in_two_wheeler_comm*in_ins_partner_share*(in_two_wheeler_renew^1*SUMIFS(AR1556:AR1578,B1556:B1578,B1562-12)+in_two_wheeler_renew^2*SUMIFS(AR1556:AR1578,B1556:B1578,B1562-24)+in_two_wheeler_renew^3*SUMIFS(AR1556:AR1578,B1556:B1578,B1562-36)+in_two_wheeler_renew^4*SUMIFS(AR1556:AR1578,B1556:B1578,B1562-48))</f>
        <v/>
      </c>
      <c r="AT1562" s="40">
        <f>AT1561*(1-IF(B1561&gt;=in_marketplace_from,d_hz_device*G1561,0))</f>
        <v/>
      </c>
      <c r="AU1562" s="14">
        <f>F1562*AT1562*IF(B1562&gt;=in_marketplace_from,d_hz_device*G1562,0)*in_device_ticket*in_device_comm*in_ins_partner_share</f>
        <v/>
      </c>
      <c r="AV1562" s="40">
        <f>AV1561*(1-IF(B1561&gt;=in_marketplace_from,d_hz_shop*G1561,0))</f>
        <v/>
      </c>
      <c r="AW1562" s="46">
        <f>AV1562*IF(B1562&gt;=in_marketplace_from,d_hz_shop*G1562,0)</f>
        <v/>
      </c>
      <c r="AX1562" s="14">
        <f>F1562*AW1562*in_shop_ticket*in_shop_comm*in_ins_partner_share+F1562*in_shop_ticket*in_shop_renew_comm*in_ins_partner_share*(in_shop_renew^1*SUMIFS(AW1556:AW1578,B1556:B1578,B1562-12)+in_shop_renew^2*SUMIFS(AW1556:AW1578,B1556:B1578,B1562-24)+in_shop_renew^3*SUMIFS(AW1556:AW1578,B1556:B1578,B1562-36)+in_shop_renew^4*SUMIFS(AW1556:AW1578,B1556:B1578,B1562-48))</f>
        <v/>
      </c>
      <c r="AY1562" s="40">
        <f>AY1561*(1-IF(B1561&gt;=in_marketplace_from,d_hz_sip*G1561,0))</f>
        <v/>
      </c>
      <c r="AZ1562" s="40">
        <f>AZ1561*d_rho_sip+AY1562*IF(B1562&gt;=in_marketplace_from,d_hz_sip*G1562,0)</f>
        <v/>
      </c>
      <c r="BA1562" s="40">
        <f>d_rho_sip*(BA1561+AZ1561)</f>
        <v/>
      </c>
      <c r="BB1562" s="14">
        <f>F1562*in_sip_ticket*(BA1562+0.5*AZ1562)*in_sip_comm/12</f>
        <v/>
      </c>
      <c r="BC1562" s="40">
        <f>BC1561*(1-IF(B1561&gt;=in_marketplace_from,d_hz_choti*G1561,0))</f>
        <v/>
      </c>
      <c r="BD1562" s="46">
        <f>BC1562*IF(B1562&gt;=in_marketplace_from,d_hz_choti*G1562,0)</f>
        <v/>
      </c>
      <c r="BE1562" s="14">
        <f>F1562*SUMIFS(BD1556:BD1578,B1556:B1578,B1562-in_choti_months)*in_choti_renew*in_choti_ticket</f>
        <v/>
      </c>
      <c r="BF1562" s="40">
        <f>BF1561*(1-IF(B1561&gt;=in_marketplace_from,d_hz_nps*G1561,0))</f>
        <v/>
      </c>
      <c r="BG1562" s="14">
        <f>F1562*BF1562*IF(B1562&gt;=in_marketplace_from,d_hz_nps*G1562,0)*in_nps_ticket*in_nps_comm</f>
        <v/>
      </c>
      <c r="BH1562" s="40">
        <f>BH1561*(1-IF(B1561&gt;=in_marketplace_from,d_hz_gold*G1561,0))</f>
        <v/>
      </c>
      <c r="BI1562" s="40">
        <f>BI1561*d_rho_gold+BH1562*IF(B1562&gt;=in_marketplace_from,d_hz_gold*G1562,0)</f>
        <v/>
      </c>
      <c r="BJ1562" s="14">
        <f>F1562*BI1562*in_gold_ticket*in_gold_comm</f>
        <v/>
      </c>
      <c r="BK1562" s="40">
        <f>BK1561*(1-IF(B1561&gt;=in_marketplace_from,d_hz_fd*G1561,0))</f>
        <v/>
      </c>
      <c r="BL1562" s="14">
        <f>F1562*BK1562*IF(B1562&gt;=in_marketplace_from,d_hz_fd*G1562,0)*in_fd_ticket*in_fd_comm</f>
        <v/>
      </c>
      <c r="BM1562" s="40">
        <f>BM1561*(1-IF(B1561&gt;=in_marketplace_from,d_hz_recharge*G1561,0))</f>
        <v/>
      </c>
      <c r="BN1562" s="40">
        <f>BN1561*d_rho_recharge+BM1562*IF(B1562&gt;=in_marketplace_from,d_hz_recharge*G1562,0)</f>
        <v/>
      </c>
      <c r="BO1562" s="14">
        <f>F1562*BN1562*in_recharge_ticket*in_recharge_comm/12</f>
        <v/>
      </c>
      <c r="BP1562" s="40">
        <f>BP1561*(1-IF(B1561&gt;=in_marketplace_from,d_hz_bills*G1561,0))</f>
        <v/>
      </c>
      <c r="BQ1562" s="40">
        <f>BQ1561*d_rho_bills+BP1562*IF(B1562&gt;=in_marketplace_from,d_hz_bills*G1562,0)</f>
        <v/>
      </c>
      <c r="BR1562" s="14">
        <f>F1562*BQ1562*in_bills_ticket*in_bills_comm/12</f>
        <v/>
      </c>
      <c r="BS1562" s="40">
        <f>BS1561*(1-IF(B1561&gt;=in_marketplace_from,d_hz_loan_gold*G1561,0))</f>
        <v/>
      </c>
      <c r="BT1562" s="14">
        <f>F1562*BS1562*IF(B1562&gt;=in_marketplace_from,d_hz_loan_gold*G1562,0)*in_loan_gold_ticket*in_loan_gold_comm</f>
        <v/>
      </c>
      <c r="BU1562" s="40">
        <f>BU1561*(1-IF(B1561&gt;=in_marketplace_from,d_hz_loan_cd*G1561,0))</f>
        <v/>
      </c>
      <c r="BV1562" s="14">
        <f>F1562*BU1562*IF(B1562&gt;=in_marketplace_from,d_hz_loan_cd*G1562,0)*in_loan_cd_ticket*in_loan_cd_comm</f>
        <v/>
      </c>
      <c r="BW1562" s="40">
        <f>BW1561*(1-IF(B1561&gt;=in_marketplace_from,d_hz_loan_vehicle*G1561,0))</f>
        <v/>
      </c>
      <c r="BX1562" s="14">
        <f>F1562*BW1562*IF(B1562&gt;=in_marketplace_from,d_hz_loan_vehicle*G1562,0)*in_loan_vehicle_ticket*in_loan_vehicle_comm</f>
        <v/>
      </c>
      <c r="BY1562" s="40">
        <f>BY1561*(1-IF(B1561&gt;=in_marketplace_from,d_hz_loan_home*G1561,0)*BZ1561)</f>
        <v/>
      </c>
      <c r="BZ1562" s="11">
        <f>MIN(in_approval_cap,in_loan_home_approval*INDEX('Age profile'!$O$2:$O$61,B1562)*(1+in_approval_growth)^(D1562-1))</f>
        <v/>
      </c>
      <c r="CA1562" s="14">
        <f>F1562*BY1562*IF(B1562&gt;=in_marketplace_from,d_hz_loan_home*G1562,0)*BZ1562*in_loan_home_ticket*in_loan_home_comm</f>
        <v/>
      </c>
      <c r="CB1562" s="40">
        <f>CB1561*(1-IF(B1561&gt;=in_marketplace_from,d_hz_loan_lap*G1561,0)*CC1561)</f>
        <v/>
      </c>
      <c r="CC1562" s="11">
        <f>MIN(in_approval_cap,in_loan_lap_approval*INDEX('Age profile'!$O$2:$O$61,B1562)*(1+in_approval_growth)^(D1562-1))</f>
        <v/>
      </c>
      <c r="CD1562" s="14">
        <f>F1562*CB1562*IF(B1562&gt;=in_marketplace_from,d_hz_loan_lap*G1562,0)*CC1562*in_loan_lap_ticket*in_loan_lap_comm</f>
        <v/>
      </c>
      <c r="CE1562" s="14">
        <f>AA1562+AB1562+AC1562+AD1562+AG1562+AJ1562+AM1562+AP1562+AS1562+AU1562+AX1562+BB1562+BE1562+BG1562+BJ1562+BL1562+BO1562+BR1562+BT1562+BV1562+BX1562+CA1562+CD1562</f>
        <v/>
      </c>
    </row>
    <row r="1563">
      <c r="A1563" s="39" t="n">
        <v>38</v>
      </c>
      <c r="B1563" s="39" t="n">
        <v>8</v>
      </c>
      <c r="C1563" s="39">
        <f>A1563+B1563-1</f>
        <v/>
      </c>
      <c r="D1563" s="39">
        <f>INT((C1563-1)/12)+1</f>
        <v/>
      </c>
      <c r="E1563" s="44">
        <f>INDEX(Monthly!$B$2:$B$61,A1563)</f>
        <v/>
      </c>
      <c r="F1563" s="44">
        <f>E1563*INDEX('Age profile'!$B$2:$B$61,B1563)</f>
        <v/>
      </c>
      <c r="G1563" s="45">
        <f>MIN(in_takeup_cap,INDEX('Age profile'!$N$2:$N$61,B1563)*(1+in_takeup_growth)^(D1563-1))</f>
        <v/>
      </c>
      <c r="H1563" s="11">
        <f>MIN(in_approval_cap,in_approved_first*INDEX('Age profile'!$O$2:$O$61,B1563)*(1+in_approval_growth)^(D1563-1))</f>
        <v/>
      </c>
      <c r="I1563" s="45">
        <f>G1563*MIN(in_takeup_cap,INDEX('Age profile'!$O$2:$O$61,B1563)*(1+in_approval_growth)^(D1563-1))</f>
        <v/>
      </c>
      <c r="J1563" s="40">
        <f>(J1562-L1562)*F1563/F1562</f>
        <v/>
      </c>
      <c r="K1563" s="40">
        <f>(K1562-M1562)*F1563/F1562+SUMIFS(O1556:O1562,B1556:B1562,B1563-1-d_T)*F1563</f>
        <v/>
      </c>
      <c r="L1563" s="40">
        <f>IF(B1563&gt;=in_marketplace_from,J1563*d_hz*G1563*in_eligible*H1563,0)</f>
        <v/>
      </c>
      <c r="M1563" s="40">
        <f>IF(B1563&gt;=in_marketplace_from,K1563*d_hz*G1563*in_eligible*in_approved_repeat,0)</f>
        <v/>
      </c>
      <c r="N1563" s="40">
        <f>L1563+M1563</f>
        <v/>
      </c>
      <c r="O1563" s="46">
        <f>N1563/F1563</f>
        <v/>
      </c>
      <c r="P1563" s="40">
        <f>F1563-J1563-K1563</f>
        <v/>
      </c>
      <c r="Q1563" s="40">
        <f>IF(B1563&gt;=in_marketplace_from,(J1563+K1563)*d_hz*G1563,0)</f>
        <v/>
      </c>
      <c r="R1563" s="40">
        <f>SUMIFS(N1556:N1578,B1556:B1578,"&gt;="&amp;(B1563-d_T),B1556:B1578,"&lt;="&amp;(B1563-1))</f>
        <v/>
      </c>
      <c r="S1563" s="46">
        <f>(1-d_u)*S1562+IF(d_T&gt;in_topup_lag,SUMIFS(O1556:O1578,B1556:B1578,B1563-in_topup_lag)-d_udrop*SUMIFS(O1556:O1578,B1556:B1578,B1563-d_T),0)</f>
        <v/>
      </c>
      <c r="T1563" s="40">
        <f>F1563*d_u*S1563</f>
        <v/>
      </c>
      <c r="U1563" s="9">
        <f>L1563*in_ticket+M1563*d_rep_ticket</f>
        <v/>
      </c>
      <c r="V1563" s="9">
        <f>U1563+T1563*d_topup_amt</f>
        <v/>
      </c>
      <c r="W1563" s="40">
        <f>N1563+T1563*d_topup_ratio</f>
        <v/>
      </c>
      <c r="X1563" s="40">
        <f>SUMIFS(W1556:W1578,B1556:B1578,B1563-in_dpd_lag)*d_cured</f>
        <v/>
      </c>
      <c r="Y1563" s="40">
        <f>SUMIFS(W1556:W1578,B1556:B1578,B1563-in_rec_lag)*d_recd</f>
        <v/>
      </c>
      <c r="Z1563" s="40">
        <f>IF(AND(B1563&gt;=in_marketplace_from,B1563&lt;in_marketplace_from+in_card_months),in_card_share/in_card_months*F1563*I1563,IF(AND(B1563&gt;=in_marketplace_from+in_card_months,B1563&lt;in_marketplace_from+2*in_card_months),in_card_share*d_card_rem/in_card_months*F1563*MIN(in_takeup_cap,(1+in_takeup_growth)^(D1563-1))*MIN(in_takeup_cap,(1+in_approval_growth)^(D1563-1)),0))</f>
        <v/>
      </c>
      <c r="AA1563" s="14">
        <f>V1563*in_fee*(1-in_taken_back)</f>
        <v/>
      </c>
      <c r="AB1563" s="14">
        <f>SUMIFS(W1556:W1578,B1556:B1578,B1563-in_dpd_lag)*d_dpd</f>
        <v/>
      </c>
      <c r="AC1563" s="14">
        <f>SUMIFS(W1556:W1578,B1556:B1578,B1563-in_rec_lag)*d_rec</f>
        <v/>
      </c>
      <c r="AD1563" s="14">
        <f>Z1563*in_card_fee</f>
        <v/>
      </c>
      <c r="AE1563" s="40">
        <f>AE1562*(1-IF(B1562&gt;=in_marketplace_from,d_hz_hlth_small*G1562,0))</f>
        <v/>
      </c>
      <c r="AF1563" s="46">
        <f>AE1563*IF(B1563&gt;=in_marketplace_from,d_hz_hlth_small*G1563,0)</f>
        <v/>
      </c>
      <c r="AG1563" s="14">
        <f>F1563*AF1563*in_hlth_small_ticket*in_hlth_small_comm*in_ins_partner_share+F1563*in_hlth_small_ticket*in_hlth_small_renew_comm*in_ins_partner_share*(in_hlth_small_renew^1*SUMIFS(AF1556:AF1578,B1556:B1578,B1563-12)+in_hlth_small_renew^2*SUMIFS(AF1556:AF1578,B1556:B1578,B1563-24)+in_hlth_small_renew^3*SUMIFS(AF1556:AF1578,B1556:B1578,B1563-36)+in_hlth_small_renew^4*SUMIFS(AF1556:AF1578,B1556:B1578,B1563-48))</f>
        <v/>
      </c>
      <c r="AH1563" s="40">
        <f>AH1562*(1-IF(B1562&gt;=in_marketplace_from,d_hz_hlth_family*G1562,0))</f>
        <v/>
      </c>
      <c r="AI1563" s="46">
        <f>AH1563*IF(B1563&gt;=in_marketplace_from,d_hz_hlth_family*G1563,0)</f>
        <v/>
      </c>
      <c r="AJ1563" s="14">
        <f>F1563*AI1563*in_hlth_family_ticket*in_hlth_family_comm*in_ins_partner_share+F1563*in_hlth_family_ticket*in_hlth_family_renew_comm*in_ins_partner_share*(in_hlth_family_renew^1*SUMIFS(AI1556:AI1578,B1556:B1578,B1563-12)+in_hlth_family_renew^2*SUMIFS(AI1556:AI1578,B1556:B1578,B1563-24)+in_hlth_family_renew^3*SUMIFS(AI1556:AI1578,B1556:B1578,B1563-36)+in_hlth_family_renew^4*SUMIFS(AI1556:AI1578,B1556:B1578,B1563-48))</f>
        <v/>
      </c>
      <c r="AK1563" s="40">
        <f>AK1562*(1-IF(B1562&gt;=in_marketplace_from,d_hz_life_term*G1562,0))</f>
        <v/>
      </c>
      <c r="AL1563" s="46">
        <f>AK1563*IF(B1563&gt;=in_marketplace_from,d_hz_life_term*G1563,0)</f>
        <v/>
      </c>
      <c r="AM1563" s="14">
        <f>F1563*AL1563*in_life_term_ticket*in_life_term_comm*in_ins_partner_share+F1563*in_life_term_ticket*in_life_term_renew_comm*in_ins_partner_share*(in_life_term_renew^1*SUMIFS(AL1556:AL1578,B1556:B1578,B1563-12)+in_life_term_renew^2*SUMIFS(AL1556:AL1578,B1556:B1578,B1563-24)+in_life_term_renew^3*SUMIFS(AL1556:AL1578,B1556:B1578,B1563-36)+in_life_term_renew^4*SUMIFS(AL1556:AL1578,B1556:B1578,B1563-48))</f>
        <v/>
      </c>
      <c r="AN1563" s="40">
        <f>AN1562*(1-IF(B1562&gt;=in_marketplace_from,d_hz_accident*G1562,0))</f>
        <v/>
      </c>
      <c r="AO1563" s="46">
        <f>AN1563*IF(B1563&gt;=in_marketplace_from,d_hz_accident*G1563,0)</f>
        <v/>
      </c>
      <c r="AP1563" s="14">
        <f>F1563*AO1563*in_accident_ticket*in_accident_comm*in_ins_partner_share+F1563*in_accident_ticket*in_accident_renew_comm*in_ins_partner_share*(in_accident_renew^1*SUMIFS(AO1556:AO1578,B1556:B1578,B1563-12)+in_accident_renew^2*SUMIFS(AO1556:AO1578,B1556:B1578,B1563-24)+in_accident_renew^3*SUMIFS(AO1556:AO1578,B1556:B1578,B1563-36)+in_accident_renew^4*SUMIFS(AO1556:AO1578,B1556:B1578,B1563-48))</f>
        <v/>
      </c>
      <c r="AQ1563" s="40">
        <f>AQ1562*(1-IF(B1562&gt;=in_marketplace_from,d_hz_two_wheeler*G1562,0))</f>
        <v/>
      </c>
      <c r="AR1563" s="46">
        <f>AQ1563*IF(B1563&gt;=in_marketplace_from,d_hz_two_wheeler*G1563,0)</f>
        <v/>
      </c>
      <c r="AS1563" s="14">
        <f>F1563*AR1563*in_two_wheeler_ticket*in_two_wheeler_comm*in_ins_partner_share+F1563*in_two_wheeler_ticket*in_two_wheeler_comm*in_ins_partner_share*(in_two_wheeler_renew^1*SUMIFS(AR1556:AR1578,B1556:B1578,B1563-12)+in_two_wheeler_renew^2*SUMIFS(AR1556:AR1578,B1556:B1578,B1563-24)+in_two_wheeler_renew^3*SUMIFS(AR1556:AR1578,B1556:B1578,B1563-36)+in_two_wheeler_renew^4*SUMIFS(AR1556:AR1578,B1556:B1578,B1563-48))</f>
        <v/>
      </c>
      <c r="AT1563" s="40">
        <f>AT1562*(1-IF(B1562&gt;=in_marketplace_from,d_hz_device*G1562,0))</f>
        <v/>
      </c>
      <c r="AU1563" s="14">
        <f>F1563*AT1563*IF(B1563&gt;=in_marketplace_from,d_hz_device*G1563,0)*in_device_ticket*in_device_comm*in_ins_partner_share</f>
        <v/>
      </c>
      <c r="AV1563" s="40">
        <f>AV1562*(1-IF(B1562&gt;=in_marketplace_from,d_hz_shop*G1562,0))</f>
        <v/>
      </c>
      <c r="AW1563" s="46">
        <f>AV1563*IF(B1563&gt;=in_marketplace_from,d_hz_shop*G1563,0)</f>
        <v/>
      </c>
      <c r="AX1563" s="14">
        <f>F1563*AW1563*in_shop_ticket*in_shop_comm*in_ins_partner_share+F1563*in_shop_ticket*in_shop_renew_comm*in_ins_partner_share*(in_shop_renew^1*SUMIFS(AW1556:AW1578,B1556:B1578,B1563-12)+in_shop_renew^2*SUMIFS(AW1556:AW1578,B1556:B1578,B1563-24)+in_shop_renew^3*SUMIFS(AW1556:AW1578,B1556:B1578,B1563-36)+in_shop_renew^4*SUMIFS(AW1556:AW1578,B1556:B1578,B1563-48))</f>
        <v/>
      </c>
      <c r="AY1563" s="40">
        <f>AY1562*(1-IF(B1562&gt;=in_marketplace_from,d_hz_sip*G1562,0))</f>
        <v/>
      </c>
      <c r="AZ1563" s="40">
        <f>AZ1562*d_rho_sip+AY1563*IF(B1563&gt;=in_marketplace_from,d_hz_sip*G1563,0)</f>
        <v/>
      </c>
      <c r="BA1563" s="40">
        <f>d_rho_sip*(BA1562+AZ1562)</f>
        <v/>
      </c>
      <c r="BB1563" s="14">
        <f>F1563*in_sip_ticket*(BA1563+0.5*AZ1563)*in_sip_comm/12</f>
        <v/>
      </c>
      <c r="BC1563" s="40">
        <f>BC1562*(1-IF(B1562&gt;=in_marketplace_from,d_hz_choti*G1562,0))</f>
        <v/>
      </c>
      <c r="BD1563" s="46">
        <f>BC1563*IF(B1563&gt;=in_marketplace_from,d_hz_choti*G1563,0)</f>
        <v/>
      </c>
      <c r="BE1563" s="14">
        <f>F1563*SUMIFS(BD1556:BD1578,B1556:B1578,B1563-in_choti_months)*in_choti_renew*in_choti_ticket</f>
        <v/>
      </c>
      <c r="BF1563" s="40">
        <f>BF1562*(1-IF(B1562&gt;=in_marketplace_from,d_hz_nps*G1562,0))</f>
        <v/>
      </c>
      <c r="BG1563" s="14">
        <f>F1563*BF1563*IF(B1563&gt;=in_marketplace_from,d_hz_nps*G1563,0)*in_nps_ticket*in_nps_comm</f>
        <v/>
      </c>
      <c r="BH1563" s="40">
        <f>BH1562*(1-IF(B1562&gt;=in_marketplace_from,d_hz_gold*G1562,0))</f>
        <v/>
      </c>
      <c r="BI1563" s="40">
        <f>BI1562*d_rho_gold+BH1563*IF(B1563&gt;=in_marketplace_from,d_hz_gold*G1563,0)</f>
        <v/>
      </c>
      <c r="BJ1563" s="14">
        <f>F1563*BI1563*in_gold_ticket*in_gold_comm</f>
        <v/>
      </c>
      <c r="BK1563" s="40">
        <f>BK1562*(1-IF(B1562&gt;=in_marketplace_from,d_hz_fd*G1562,0))</f>
        <v/>
      </c>
      <c r="BL1563" s="14">
        <f>F1563*BK1563*IF(B1563&gt;=in_marketplace_from,d_hz_fd*G1563,0)*in_fd_ticket*in_fd_comm</f>
        <v/>
      </c>
      <c r="BM1563" s="40">
        <f>BM1562*(1-IF(B1562&gt;=in_marketplace_from,d_hz_recharge*G1562,0))</f>
        <v/>
      </c>
      <c r="BN1563" s="40">
        <f>BN1562*d_rho_recharge+BM1563*IF(B1563&gt;=in_marketplace_from,d_hz_recharge*G1563,0)</f>
        <v/>
      </c>
      <c r="BO1563" s="14">
        <f>F1563*BN1563*in_recharge_ticket*in_recharge_comm/12</f>
        <v/>
      </c>
      <c r="BP1563" s="40">
        <f>BP1562*(1-IF(B1562&gt;=in_marketplace_from,d_hz_bills*G1562,0))</f>
        <v/>
      </c>
      <c r="BQ1563" s="40">
        <f>BQ1562*d_rho_bills+BP1563*IF(B1563&gt;=in_marketplace_from,d_hz_bills*G1563,0)</f>
        <v/>
      </c>
      <c r="BR1563" s="14">
        <f>F1563*BQ1563*in_bills_ticket*in_bills_comm/12</f>
        <v/>
      </c>
      <c r="BS1563" s="40">
        <f>BS1562*(1-IF(B1562&gt;=in_marketplace_from,d_hz_loan_gold*G1562,0))</f>
        <v/>
      </c>
      <c r="BT1563" s="14">
        <f>F1563*BS1563*IF(B1563&gt;=in_marketplace_from,d_hz_loan_gold*G1563,0)*in_loan_gold_ticket*in_loan_gold_comm</f>
        <v/>
      </c>
      <c r="BU1563" s="40">
        <f>BU1562*(1-IF(B1562&gt;=in_marketplace_from,d_hz_loan_cd*G1562,0))</f>
        <v/>
      </c>
      <c r="BV1563" s="14">
        <f>F1563*BU1563*IF(B1563&gt;=in_marketplace_from,d_hz_loan_cd*G1563,0)*in_loan_cd_ticket*in_loan_cd_comm</f>
        <v/>
      </c>
      <c r="BW1563" s="40">
        <f>BW1562*(1-IF(B1562&gt;=in_marketplace_from,d_hz_loan_vehicle*G1562,0))</f>
        <v/>
      </c>
      <c r="BX1563" s="14">
        <f>F1563*BW1563*IF(B1563&gt;=in_marketplace_from,d_hz_loan_vehicle*G1563,0)*in_loan_vehicle_ticket*in_loan_vehicle_comm</f>
        <v/>
      </c>
      <c r="BY1563" s="40">
        <f>BY1562*(1-IF(B1562&gt;=in_marketplace_from,d_hz_loan_home*G1562,0)*BZ1562)</f>
        <v/>
      </c>
      <c r="BZ1563" s="11">
        <f>MIN(in_approval_cap,in_loan_home_approval*INDEX('Age profile'!$O$2:$O$61,B1563)*(1+in_approval_growth)^(D1563-1))</f>
        <v/>
      </c>
      <c r="CA1563" s="14">
        <f>F1563*BY1563*IF(B1563&gt;=in_marketplace_from,d_hz_loan_home*G1563,0)*BZ1563*in_loan_home_ticket*in_loan_home_comm</f>
        <v/>
      </c>
      <c r="CB1563" s="40">
        <f>CB1562*(1-IF(B1562&gt;=in_marketplace_from,d_hz_loan_lap*G1562,0)*CC1562)</f>
        <v/>
      </c>
      <c r="CC1563" s="11">
        <f>MIN(in_approval_cap,in_loan_lap_approval*INDEX('Age profile'!$O$2:$O$61,B1563)*(1+in_approval_growth)^(D1563-1))</f>
        <v/>
      </c>
      <c r="CD1563" s="14">
        <f>F1563*CB1563*IF(B1563&gt;=in_marketplace_from,d_hz_loan_lap*G1563,0)*CC1563*in_loan_lap_ticket*in_loan_lap_comm</f>
        <v/>
      </c>
      <c r="CE1563" s="14">
        <f>AA1563+AB1563+AC1563+AD1563+AG1563+AJ1563+AM1563+AP1563+AS1563+AU1563+AX1563+BB1563+BE1563+BG1563+BJ1563+BL1563+BO1563+BR1563+BT1563+BV1563+BX1563+CA1563+CD1563</f>
        <v/>
      </c>
    </row>
    <row r="1564">
      <c r="A1564" s="39" t="n">
        <v>38</v>
      </c>
      <c r="B1564" s="39" t="n">
        <v>9</v>
      </c>
      <c r="C1564" s="39">
        <f>A1564+B1564-1</f>
        <v/>
      </c>
      <c r="D1564" s="39">
        <f>INT((C1564-1)/12)+1</f>
        <v/>
      </c>
      <c r="E1564" s="44">
        <f>INDEX(Monthly!$B$2:$B$61,A1564)</f>
        <v/>
      </c>
      <c r="F1564" s="44">
        <f>E1564*INDEX('Age profile'!$B$2:$B$61,B1564)</f>
        <v/>
      </c>
      <c r="G1564" s="45">
        <f>MIN(in_takeup_cap,INDEX('Age profile'!$N$2:$N$61,B1564)*(1+in_takeup_growth)^(D1564-1))</f>
        <v/>
      </c>
      <c r="H1564" s="11">
        <f>MIN(in_approval_cap,in_approved_first*INDEX('Age profile'!$O$2:$O$61,B1564)*(1+in_approval_growth)^(D1564-1))</f>
        <v/>
      </c>
      <c r="I1564" s="45">
        <f>G1564*MIN(in_takeup_cap,INDEX('Age profile'!$O$2:$O$61,B1564)*(1+in_approval_growth)^(D1564-1))</f>
        <v/>
      </c>
      <c r="J1564" s="40">
        <f>(J1563-L1563)*F1564/F1563</f>
        <v/>
      </c>
      <c r="K1564" s="40">
        <f>(K1563-M1563)*F1564/F1563+SUMIFS(O1556:O1563,B1556:B1563,B1564-1-d_T)*F1564</f>
        <v/>
      </c>
      <c r="L1564" s="40">
        <f>IF(B1564&gt;=in_marketplace_from,J1564*d_hz*G1564*in_eligible*H1564,0)</f>
        <v/>
      </c>
      <c r="M1564" s="40">
        <f>IF(B1564&gt;=in_marketplace_from,K1564*d_hz*G1564*in_eligible*in_approved_repeat,0)</f>
        <v/>
      </c>
      <c r="N1564" s="40">
        <f>L1564+M1564</f>
        <v/>
      </c>
      <c r="O1564" s="46">
        <f>N1564/F1564</f>
        <v/>
      </c>
      <c r="P1564" s="40">
        <f>F1564-J1564-K1564</f>
        <v/>
      </c>
      <c r="Q1564" s="40">
        <f>IF(B1564&gt;=in_marketplace_from,(J1564+K1564)*d_hz*G1564,0)</f>
        <v/>
      </c>
      <c r="R1564" s="40">
        <f>SUMIFS(N1556:N1578,B1556:B1578,"&gt;="&amp;(B1564-d_T),B1556:B1578,"&lt;="&amp;(B1564-1))</f>
        <v/>
      </c>
      <c r="S1564" s="46">
        <f>(1-d_u)*S1563+IF(d_T&gt;in_topup_lag,SUMIFS(O1556:O1578,B1556:B1578,B1564-in_topup_lag)-d_udrop*SUMIFS(O1556:O1578,B1556:B1578,B1564-d_T),0)</f>
        <v/>
      </c>
      <c r="T1564" s="40">
        <f>F1564*d_u*S1564</f>
        <v/>
      </c>
      <c r="U1564" s="9">
        <f>L1564*in_ticket+M1564*d_rep_ticket</f>
        <v/>
      </c>
      <c r="V1564" s="9">
        <f>U1564+T1564*d_topup_amt</f>
        <v/>
      </c>
      <c r="W1564" s="40">
        <f>N1564+T1564*d_topup_ratio</f>
        <v/>
      </c>
      <c r="X1564" s="40">
        <f>SUMIFS(W1556:W1578,B1556:B1578,B1564-in_dpd_lag)*d_cured</f>
        <v/>
      </c>
      <c r="Y1564" s="40">
        <f>SUMIFS(W1556:W1578,B1556:B1578,B1564-in_rec_lag)*d_recd</f>
        <v/>
      </c>
      <c r="Z1564" s="40">
        <f>IF(AND(B1564&gt;=in_marketplace_from,B1564&lt;in_marketplace_from+in_card_months),in_card_share/in_card_months*F1564*I1564,IF(AND(B1564&gt;=in_marketplace_from+in_card_months,B1564&lt;in_marketplace_from+2*in_card_months),in_card_share*d_card_rem/in_card_months*F1564*MIN(in_takeup_cap,(1+in_takeup_growth)^(D1564-1))*MIN(in_takeup_cap,(1+in_approval_growth)^(D1564-1)),0))</f>
        <v/>
      </c>
      <c r="AA1564" s="14">
        <f>V1564*in_fee*(1-in_taken_back)</f>
        <v/>
      </c>
      <c r="AB1564" s="14">
        <f>SUMIFS(W1556:W1578,B1556:B1578,B1564-in_dpd_lag)*d_dpd</f>
        <v/>
      </c>
      <c r="AC1564" s="14">
        <f>SUMIFS(W1556:W1578,B1556:B1578,B1564-in_rec_lag)*d_rec</f>
        <v/>
      </c>
      <c r="AD1564" s="14">
        <f>Z1564*in_card_fee</f>
        <v/>
      </c>
      <c r="AE1564" s="40">
        <f>AE1563*(1-IF(B1563&gt;=in_marketplace_from,d_hz_hlth_small*G1563,0))</f>
        <v/>
      </c>
      <c r="AF1564" s="46">
        <f>AE1564*IF(B1564&gt;=in_marketplace_from,d_hz_hlth_small*G1564,0)</f>
        <v/>
      </c>
      <c r="AG1564" s="14">
        <f>F1564*AF1564*in_hlth_small_ticket*in_hlth_small_comm*in_ins_partner_share+F1564*in_hlth_small_ticket*in_hlth_small_renew_comm*in_ins_partner_share*(in_hlth_small_renew^1*SUMIFS(AF1556:AF1578,B1556:B1578,B1564-12)+in_hlth_small_renew^2*SUMIFS(AF1556:AF1578,B1556:B1578,B1564-24)+in_hlth_small_renew^3*SUMIFS(AF1556:AF1578,B1556:B1578,B1564-36)+in_hlth_small_renew^4*SUMIFS(AF1556:AF1578,B1556:B1578,B1564-48))</f>
        <v/>
      </c>
      <c r="AH1564" s="40">
        <f>AH1563*(1-IF(B1563&gt;=in_marketplace_from,d_hz_hlth_family*G1563,0))</f>
        <v/>
      </c>
      <c r="AI1564" s="46">
        <f>AH1564*IF(B1564&gt;=in_marketplace_from,d_hz_hlth_family*G1564,0)</f>
        <v/>
      </c>
      <c r="AJ1564" s="14">
        <f>F1564*AI1564*in_hlth_family_ticket*in_hlth_family_comm*in_ins_partner_share+F1564*in_hlth_family_ticket*in_hlth_family_renew_comm*in_ins_partner_share*(in_hlth_family_renew^1*SUMIFS(AI1556:AI1578,B1556:B1578,B1564-12)+in_hlth_family_renew^2*SUMIFS(AI1556:AI1578,B1556:B1578,B1564-24)+in_hlth_family_renew^3*SUMIFS(AI1556:AI1578,B1556:B1578,B1564-36)+in_hlth_family_renew^4*SUMIFS(AI1556:AI1578,B1556:B1578,B1564-48))</f>
        <v/>
      </c>
      <c r="AK1564" s="40">
        <f>AK1563*(1-IF(B1563&gt;=in_marketplace_from,d_hz_life_term*G1563,0))</f>
        <v/>
      </c>
      <c r="AL1564" s="46">
        <f>AK1564*IF(B1564&gt;=in_marketplace_from,d_hz_life_term*G1564,0)</f>
        <v/>
      </c>
      <c r="AM1564" s="14">
        <f>F1564*AL1564*in_life_term_ticket*in_life_term_comm*in_ins_partner_share+F1564*in_life_term_ticket*in_life_term_renew_comm*in_ins_partner_share*(in_life_term_renew^1*SUMIFS(AL1556:AL1578,B1556:B1578,B1564-12)+in_life_term_renew^2*SUMIFS(AL1556:AL1578,B1556:B1578,B1564-24)+in_life_term_renew^3*SUMIFS(AL1556:AL1578,B1556:B1578,B1564-36)+in_life_term_renew^4*SUMIFS(AL1556:AL1578,B1556:B1578,B1564-48))</f>
        <v/>
      </c>
      <c r="AN1564" s="40">
        <f>AN1563*(1-IF(B1563&gt;=in_marketplace_from,d_hz_accident*G1563,0))</f>
        <v/>
      </c>
      <c r="AO1564" s="46">
        <f>AN1564*IF(B1564&gt;=in_marketplace_from,d_hz_accident*G1564,0)</f>
        <v/>
      </c>
      <c r="AP1564" s="14">
        <f>F1564*AO1564*in_accident_ticket*in_accident_comm*in_ins_partner_share+F1564*in_accident_ticket*in_accident_renew_comm*in_ins_partner_share*(in_accident_renew^1*SUMIFS(AO1556:AO1578,B1556:B1578,B1564-12)+in_accident_renew^2*SUMIFS(AO1556:AO1578,B1556:B1578,B1564-24)+in_accident_renew^3*SUMIFS(AO1556:AO1578,B1556:B1578,B1564-36)+in_accident_renew^4*SUMIFS(AO1556:AO1578,B1556:B1578,B1564-48))</f>
        <v/>
      </c>
      <c r="AQ1564" s="40">
        <f>AQ1563*(1-IF(B1563&gt;=in_marketplace_from,d_hz_two_wheeler*G1563,0))</f>
        <v/>
      </c>
      <c r="AR1564" s="46">
        <f>AQ1564*IF(B1564&gt;=in_marketplace_from,d_hz_two_wheeler*G1564,0)</f>
        <v/>
      </c>
      <c r="AS1564" s="14">
        <f>F1564*AR1564*in_two_wheeler_ticket*in_two_wheeler_comm*in_ins_partner_share+F1564*in_two_wheeler_ticket*in_two_wheeler_comm*in_ins_partner_share*(in_two_wheeler_renew^1*SUMIFS(AR1556:AR1578,B1556:B1578,B1564-12)+in_two_wheeler_renew^2*SUMIFS(AR1556:AR1578,B1556:B1578,B1564-24)+in_two_wheeler_renew^3*SUMIFS(AR1556:AR1578,B1556:B1578,B1564-36)+in_two_wheeler_renew^4*SUMIFS(AR1556:AR1578,B1556:B1578,B1564-48))</f>
        <v/>
      </c>
      <c r="AT1564" s="40">
        <f>AT1563*(1-IF(B1563&gt;=in_marketplace_from,d_hz_device*G1563,0))</f>
        <v/>
      </c>
      <c r="AU1564" s="14">
        <f>F1564*AT1564*IF(B1564&gt;=in_marketplace_from,d_hz_device*G1564,0)*in_device_ticket*in_device_comm*in_ins_partner_share</f>
        <v/>
      </c>
      <c r="AV1564" s="40">
        <f>AV1563*(1-IF(B1563&gt;=in_marketplace_from,d_hz_shop*G1563,0))</f>
        <v/>
      </c>
      <c r="AW1564" s="46">
        <f>AV1564*IF(B1564&gt;=in_marketplace_from,d_hz_shop*G1564,0)</f>
        <v/>
      </c>
      <c r="AX1564" s="14">
        <f>F1564*AW1564*in_shop_ticket*in_shop_comm*in_ins_partner_share+F1564*in_shop_ticket*in_shop_renew_comm*in_ins_partner_share*(in_shop_renew^1*SUMIFS(AW1556:AW1578,B1556:B1578,B1564-12)+in_shop_renew^2*SUMIFS(AW1556:AW1578,B1556:B1578,B1564-24)+in_shop_renew^3*SUMIFS(AW1556:AW1578,B1556:B1578,B1564-36)+in_shop_renew^4*SUMIFS(AW1556:AW1578,B1556:B1578,B1564-48))</f>
        <v/>
      </c>
      <c r="AY1564" s="40">
        <f>AY1563*(1-IF(B1563&gt;=in_marketplace_from,d_hz_sip*G1563,0))</f>
        <v/>
      </c>
      <c r="AZ1564" s="40">
        <f>AZ1563*d_rho_sip+AY1564*IF(B1564&gt;=in_marketplace_from,d_hz_sip*G1564,0)</f>
        <v/>
      </c>
      <c r="BA1564" s="40">
        <f>d_rho_sip*(BA1563+AZ1563)</f>
        <v/>
      </c>
      <c r="BB1564" s="14">
        <f>F1564*in_sip_ticket*(BA1564+0.5*AZ1564)*in_sip_comm/12</f>
        <v/>
      </c>
      <c r="BC1564" s="40">
        <f>BC1563*(1-IF(B1563&gt;=in_marketplace_from,d_hz_choti*G1563,0))</f>
        <v/>
      </c>
      <c r="BD1564" s="46">
        <f>BC1564*IF(B1564&gt;=in_marketplace_from,d_hz_choti*G1564,0)</f>
        <v/>
      </c>
      <c r="BE1564" s="14">
        <f>F1564*SUMIFS(BD1556:BD1578,B1556:B1578,B1564-in_choti_months)*in_choti_renew*in_choti_ticket</f>
        <v/>
      </c>
      <c r="BF1564" s="40">
        <f>BF1563*(1-IF(B1563&gt;=in_marketplace_from,d_hz_nps*G1563,0))</f>
        <v/>
      </c>
      <c r="BG1564" s="14">
        <f>F1564*BF1564*IF(B1564&gt;=in_marketplace_from,d_hz_nps*G1564,0)*in_nps_ticket*in_nps_comm</f>
        <v/>
      </c>
      <c r="BH1564" s="40">
        <f>BH1563*(1-IF(B1563&gt;=in_marketplace_from,d_hz_gold*G1563,0))</f>
        <v/>
      </c>
      <c r="BI1564" s="40">
        <f>BI1563*d_rho_gold+BH1564*IF(B1564&gt;=in_marketplace_from,d_hz_gold*G1564,0)</f>
        <v/>
      </c>
      <c r="BJ1564" s="14">
        <f>F1564*BI1564*in_gold_ticket*in_gold_comm</f>
        <v/>
      </c>
      <c r="BK1564" s="40">
        <f>BK1563*(1-IF(B1563&gt;=in_marketplace_from,d_hz_fd*G1563,0))</f>
        <v/>
      </c>
      <c r="BL1564" s="14">
        <f>F1564*BK1564*IF(B1564&gt;=in_marketplace_from,d_hz_fd*G1564,0)*in_fd_ticket*in_fd_comm</f>
        <v/>
      </c>
      <c r="BM1564" s="40">
        <f>BM1563*(1-IF(B1563&gt;=in_marketplace_from,d_hz_recharge*G1563,0))</f>
        <v/>
      </c>
      <c r="BN1564" s="40">
        <f>BN1563*d_rho_recharge+BM1564*IF(B1564&gt;=in_marketplace_from,d_hz_recharge*G1564,0)</f>
        <v/>
      </c>
      <c r="BO1564" s="14">
        <f>F1564*BN1564*in_recharge_ticket*in_recharge_comm/12</f>
        <v/>
      </c>
      <c r="BP1564" s="40">
        <f>BP1563*(1-IF(B1563&gt;=in_marketplace_from,d_hz_bills*G1563,0))</f>
        <v/>
      </c>
      <c r="BQ1564" s="40">
        <f>BQ1563*d_rho_bills+BP1564*IF(B1564&gt;=in_marketplace_from,d_hz_bills*G1564,0)</f>
        <v/>
      </c>
      <c r="BR1564" s="14">
        <f>F1564*BQ1564*in_bills_ticket*in_bills_comm/12</f>
        <v/>
      </c>
      <c r="BS1564" s="40">
        <f>BS1563*(1-IF(B1563&gt;=in_marketplace_from,d_hz_loan_gold*G1563,0))</f>
        <v/>
      </c>
      <c r="BT1564" s="14">
        <f>F1564*BS1564*IF(B1564&gt;=in_marketplace_from,d_hz_loan_gold*G1564,0)*in_loan_gold_ticket*in_loan_gold_comm</f>
        <v/>
      </c>
      <c r="BU1564" s="40">
        <f>BU1563*(1-IF(B1563&gt;=in_marketplace_from,d_hz_loan_cd*G1563,0))</f>
        <v/>
      </c>
      <c r="BV1564" s="14">
        <f>F1564*BU1564*IF(B1564&gt;=in_marketplace_from,d_hz_loan_cd*G1564,0)*in_loan_cd_ticket*in_loan_cd_comm</f>
        <v/>
      </c>
      <c r="BW1564" s="40">
        <f>BW1563*(1-IF(B1563&gt;=in_marketplace_from,d_hz_loan_vehicle*G1563,0))</f>
        <v/>
      </c>
      <c r="BX1564" s="14">
        <f>F1564*BW1564*IF(B1564&gt;=in_marketplace_from,d_hz_loan_vehicle*G1564,0)*in_loan_vehicle_ticket*in_loan_vehicle_comm</f>
        <v/>
      </c>
      <c r="BY1564" s="40">
        <f>BY1563*(1-IF(B1563&gt;=in_marketplace_from,d_hz_loan_home*G1563,0)*BZ1563)</f>
        <v/>
      </c>
      <c r="BZ1564" s="11">
        <f>MIN(in_approval_cap,in_loan_home_approval*INDEX('Age profile'!$O$2:$O$61,B1564)*(1+in_approval_growth)^(D1564-1))</f>
        <v/>
      </c>
      <c r="CA1564" s="14">
        <f>F1564*BY1564*IF(B1564&gt;=in_marketplace_from,d_hz_loan_home*G1564,0)*BZ1564*in_loan_home_ticket*in_loan_home_comm</f>
        <v/>
      </c>
      <c r="CB1564" s="40">
        <f>CB1563*(1-IF(B1563&gt;=in_marketplace_from,d_hz_loan_lap*G1563,0)*CC1563)</f>
        <v/>
      </c>
      <c r="CC1564" s="11">
        <f>MIN(in_approval_cap,in_loan_lap_approval*INDEX('Age profile'!$O$2:$O$61,B1564)*(1+in_approval_growth)^(D1564-1))</f>
        <v/>
      </c>
      <c r="CD1564" s="14">
        <f>F1564*CB1564*IF(B1564&gt;=in_marketplace_from,d_hz_loan_lap*G1564,0)*CC1564*in_loan_lap_ticket*in_loan_lap_comm</f>
        <v/>
      </c>
      <c r="CE1564" s="14">
        <f>AA1564+AB1564+AC1564+AD1564+AG1564+AJ1564+AM1564+AP1564+AS1564+AU1564+AX1564+BB1564+BE1564+BG1564+BJ1564+BL1564+BO1564+BR1564+BT1564+BV1564+BX1564+CA1564+CD1564</f>
        <v/>
      </c>
    </row>
    <row r="1565">
      <c r="A1565" s="39" t="n">
        <v>38</v>
      </c>
      <c r="B1565" s="39" t="n">
        <v>10</v>
      </c>
      <c r="C1565" s="39">
        <f>A1565+B1565-1</f>
        <v/>
      </c>
      <c r="D1565" s="39">
        <f>INT((C1565-1)/12)+1</f>
        <v/>
      </c>
      <c r="E1565" s="44">
        <f>INDEX(Monthly!$B$2:$B$61,A1565)</f>
        <v/>
      </c>
      <c r="F1565" s="44">
        <f>E1565*INDEX('Age profile'!$B$2:$B$61,B1565)</f>
        <v/>
      </c>
      <c r="G1565" s="45">
        <f>MIN(in_takeup_cap,INDEX('Age profile'!$N$2:$N$61,B1565)*(1+in_takeup_growth)^(D1565-1))</f>
        <v/>
      </c>
      <c r="H1565" s="11">
        <f>MIN(in_approval_cap,in_approved_first*INDEX('Age profile'!$O$2:$O$61,B1565)*(1+in_approval_growth)^(D1565-1))</f>
        <v/>
      </c>
      <c r="I1565" s="45">
        <f>G1565*MIN(in_takeup_cap,INDEX('Age profile'!$O$2:$O$61,B1565)*(1+in_approval_growth)^(D1565-1))</f>
        <v/>
      </c>
      <c r="J1565" s="40">
        <f>(J1564-L1564)*F1565/F1564</f>
        <v/>
      </c>
      <c r="K1565" s="40">
        <f>(K1564-M1564)*F1565/F1564+SUMIFS(O1556:O1564,B1556:B1564,B1565-1-d_T)*F1565</f>
        <v/>
      </c>
      <c r="L1565" s="40">
        <f>IF(B1565&gt;=in_marketplace_from,J1565*d_hz*G1565*in_eligible*H1565,0)</f>
        <v/>
      </c>
      <c r="M1565" s="40">
        <f>IF(B1565&gt;=in_marketplace_from,K1565*d_hz*G1565*in_eligible*in_approved_repeat,0)</f>
        <v/>
      </c>
      <c r="N1565" s="40">
        <f>L1565+M1565</f>
        <v/>
      </c>
      <c r="O1565" s="46">
        <f>N1565/F1565</f>
        <v/>
      </c>
      <c r="P1565" s="40">
        <f>F1565-J1565-K1565</f>
        <v/>
      </c>
      <c r="Q1565" s="40">
        <f>IF(B1565&gt;=in_marketplace_from,(J1565+K1565)*d_hz*G1565,0)</f>
        <v/>
      </c>
      <c r="R1565" s="40">
        <f>SUMIFS(N1556:N1578,B1556:B1578,"&gt;="&amp;(B1565-d_T),B1556:B1578,"&lt;="&amp;(B1565-1))</f>
        <v/>
      </c>
      <c r="S1565" s="46">
        <f>(1-d_u)*S1564+IF(d_T&gt;in_topup_lag,SUMIFS(O1556:O1578,B1556:B1578,B1565-in_topup_lag)-d_udrop*SUMIFS(O1556:O1578,B1556:B1578,B1565-d_T),0)</f>
        <v/>
      </c>
      <c r="T1565" s="40">
        <f>F1565*d_u*S1565</f>
        <v/>
      </c>
      <c r="U1565" s="9">
        <f>L1565*in_ticket+M1565*d_rep_ticket</f>
        <v/>
      </c>
      <c r="V1565" s="9">
        <f>U1565+T1565*d_topup_amt</f>
        <v/>
      </c>
      <c r="W1565" s="40">
        <f>N1565+T1565*d_topup_ratio</f>
        <v/>
      </c>
      <c r="X1565" s="40">
        <f>SUMIFS(W1556:W1578,B1556:B1578,B1565-in_dpd_lag)*d_cured</f>
        <v/>
      </c>
      <c r="Y1565" s="40">
        <f>SUMIFS(W1556:W1578,B1556:B1578,B1565-in_rec_lag)*d_recd</f>
        <v/>
      </c>
      <c r="Z1565" s="40">
        <f>IF(AND(B1565&gt;=in_marketplace_from,B1565&lt;in_marketplace_from+in_card_months),in_card_share/in_card_months*F1565*I1565,IF(AND(B1565&gt;=in_marketplace_from+in_card_months,B1565&lt;in_marketplace_from+2*in_card_months),in_card_share*d_card_rem/in_card_months*F1565*MIN(in_takeup_cap,(1+in_takeup_growth)^(D1565-1))*MIN(in_takeup_cap,(1+in_approval_growth)^(D1565-1)),0))</f>
        <v/>
      </c>
      <c r="AA1565" s="14">
        <f>V1565*in_fee*(1-in_taken_back)</f>
        <v/>
      </c>
      <c r="AB1565" s="14">
        <f>SUMIFS(W1556:W1578,B1556:B1578,B1565-in_dpd_lag)*d_dpd</f>
        <v/>
      </c>
      <c r="AC1565" s="14">
        <f>SUMIFS(W1556:W1578,B1556:B1578,B1565-in_rec_lag)*d_rec</f>
        <v/>
      </c>
      <c r="AD1565" s="14">
        <f>Z1565*in_card_fee</f>
        <v/>
      </c>
      <c r="AE1565" s="40">
        <f>AE1564*(1-IF(B1564&gt;=in_marketplace_from,d_hz_hlth_small*G1564,0))</f>
        <v/>
      </c>
      <c r="AF1565" s="46">
        <f>AE1565*IF(B1565&gt;=in_marketplace_from,d_hz_hlth_small*G1565,0)</f>
        <v/>
      </c>
      <c r="AG1565" s="14">
        <f>F1565*AF1565*in_hlth_small_ticket*in_hlth_small_comm*in_ins_partner_share+F1565*in_hlth_small_ticket*in_hlth_small_renew_comm*in_ins_partner_share*(in_hlth_small_renew^1*SUMIFS(AF1556:AF1578,B1556:B1578,B1565-12)+in_hlth_small_renew^2*SUMIFS(AF1556:AF1578,B1556:B1578,B1565-24)+in_hlth_small_renew^3*SUMIFS(AF1556:AF1578,B1556:B1578,B1565-36)+in_hlth_small_renew^4*SUMIFS(AF1556:AF1578,B1556:B1578,B1565-48))</f>
        <v/>
      </c>
      <c r="AH1565" s="40">
        <f>AH1564*(1-IF(B1564&gt;=in_marketplace_from,d_hz_hlth_family*G1564,0))</f>
        <v/>
      </c>
      <c r="AI1565" s="46">
        <f>AH1565*IF(B1565&gt;=in_marketplace_from,d_hz_hlth_family*G1565,0)</f>
        <v/>
      </c>
      <c r="AJ1565" s="14">
        <f>F1565*AI1565*in_hlth_family_ticket*in_hlth_family_comm*in_ins_partner_share+F1565*in_hlth_family_ticket*in_hlth_family_renew_comm*in_ins_partner_share*(in_hlth_family_renew^1*SUMIFS(AI1556:AI1578,B1556:B1578,B1565-12)+in_hlth_family_renew^2*SUMIFS(AI1556:AI1578,B1556:B1578,B1565-24)+in_hlth_family_renew^3*SUMIFS(AI1556:AI1578,B1556:B1578,B1565-36)+in_hlth_family_renew^4*SUMIFS(AI1556:AI1578,B1556:B1578,B1565-48))</f>
        <v/>
      </c>
      <c r="AK1565" s="40">
        <f>AK1564*(1-IF(B1564&gt;=in_marketplace_from,d_hz_life_term*G1564,0))</f>
        <v/>
      </c>
      <c r="AL1565" s="46">
        <f>AK1565*IF(B1565&gt;=in_marketplace_from,d_hz_life_term*G1565,0)</f>
        <v/>
      </c>
      <c r="AM1565" s="14">
        <f>F1565*AL1565*in_life_term_ticket*in_life_term_comm*in_ins_partner_share+F1565*in_life_term_ticket*in_life_term_renew_comm*in_ins_partner_share*(in_life_term_renew^1*SUMIFS(AL1556:AL1578,B1556:B1578,B1565-12)+in_life_term_renew^2*SUMIFS(AL1556:AL1578,B1556:B1578,B1565-24)+in_life_term_renew^3*SUMIFS(AL1556:AL1578,B1556:B1578,B1565-36)+in_life_term_renew^4*SUMIFS(AL1556:AL1578,B1556:B1578,B1565-48))</f>
        <v/>
      </c>
      <c r="AN1565" s="40">
        <f>AN1564*(1-IF(B1564&gt;=in_marketplace_from,d_hz_accident*G1564,0))</f>
        <v/>
      </c>
      <c r="AO1565" s="46">
        <f>AN1565*IF(B1565&gt;=in_marketplace_from,d_hz_accident*G1565,0)</f>
        <v/>
      </c>
      <c r="AP1565" s="14">
        <f>F1565*AO1565*in_accident_ticket*in_accident_comm*in_ins_partner_share+F1565*in_accident_ticket*in_accident_renew_comm*in_ins_partner_share*(in_accident_renew^1*SUMIFS(AO1556:AO1578,B1556:B1578,B1565-12)+in_accident_renew^2*SUMIFS(AO1556:AO1578,B1556:B1578,B1565-24)+in_accident_renew^3*SUMIFS(AO1556:AO1578,B1556:B1578,B1565-36)+in_accident_renew^4*SUMIFS(AO1556:AO1578,B1556:B1578,B1565-48))</f>
        <v/>
      </c>
      <c r="AQ1565" s="40">
        <f>AQ1564*(1-IF(B1564&gt;=in_marketplace_from,d_hz_two_wheeler*G1564,0))</f>
        <v/>
      </c>
      <c r="AR1565" s="46">
        <f>AQ1565*IF(B1565&gt;=in_marketplace_from,d_hz_two_wheeler*G1565,0)</f>
        <v/>
      </c>
      <c r="AS1565" s="14">
        <f>F1565*AR1565*in_two_wheeler_ticket*in_two_wheeler_comm*in_ins_partner_share+F1565*in_two_wheeler_ticket*in_two_wheeler_comm*in_ins_partner_share*(in_two_wheeler_renew^1*SUMIFS(AR1556:AR1578,B1556:B1578,B1565-12)+in_two_wheeler_renew^2*SUMIFS(AR1556:AR1578,B1556:B1578,B1565-24)+in_two_wheeler_renew^3*SUMIFS(AR1556:AR1578,B1556:B1578,B1565-36)+in_two_wheeler_renew^4*SUMIFS(AR1556:AR1578,B1556:B1578,B1565-48))</f>
        <v/>
      </c>
      <c r="AT1565" s="40">
        <f>AT1564*(1-IF(B1564&gt;=in_marketplace_from,d_hz_device*G1564,0))</f>
        <v/>
      </c>
      <c r="AU1565" s="14">
        <f>F1565*AT1565*IF(B1565&gt;=in_marketplace_from,d_hz_device*G1565,0)*in_device_ticket*in_device_comm*in_ins_partner_share</f>
        <v/>
      </c>
      <c r="AV1565" s="40">
        <f>AV1564*(1-IF(B1564&gt;=in_marketplace_from,d_hz_shop*G1564,0))</f>
        <v/>
      </c>
      <c r="AW1565" s="46">
        <f>AV1565*IF(B1565&gt;=in_marketplace_from,d_hz_shop*G1565,0)</f>
        <v/>
      </c>
      <c r="AX1565" s="14">
        <f>F1565*AW1565*in_shop_ticket*in_shop_comm*in_ins_partner_share+F1565*in_shop_ticket*in_shop_renew_comm*in_ins_partner_share*(in_shop_renew^1*SUMIFS(AW1556:AW1578,B1556:B1578,B1565-12)+in_shop_renew^2*SUMIFS(AW1556:AW1578,B1556:B1578,B1565-24)+in_shop_renew^3*SUMIFS(AW1556:AW1578,B1556:B1578,B1565-36)+in_shop_renew^4*SUMIFS(AW1556:AW1578,B1556:B1578,B1565-48))</f>
        <v/>
      </c>
      <c r="AY1565" s="40">
        <f>AY1564*(1-IF(B1564&gt;=in_marketplace_from,d_hz_sip*G1564,0))</f>
        <v/>
      </c>
      <c r="AZ1565" s="40">
        <f>AZ1564*d_rho_sip+AY1565*IF(B1565&gt;=in_marketplace_from,d_hz_sip*G1565,0)</f>
        <v/>
      </c>
      <c r="BA1565" s="40">
        <f>d_rho_sip*(BA1564+AZ1564)</f>
        <v/>
      </c>
      <c r="BB1565" s="14">
        <f>F1565*in_sip_ticket*(BA1565+0.5*AZ1565)*in_sip_comm/12</f>
        <v/>
      </c>
      <c r="BC1565" s="40">
        <f>BC1564*(1-IF(B1564&gt;=in_marketplace_from,d_hz_choti*G1564,0))</f>
        <v/>
      </c>
      <c r="BD1565" s="46">
        <f>BC1565*IF(B1565&gt;=in_marketplace_from,d_hz_choti*G1565,0)</f>
        <v/>
      </c>
      <c r="BE1565" s="14">
        <f>F1565*SUMIFS(BD1556:BD1578,B1556:B1578,B1565-in_choti_months)*in_choti_renew*in_choti_ticket</f>
        <v/>
      </c>
      <c r="BF1565" s="40">
        <f>BF1564*(1-IF(B1564&gt;=in_marketplace_from,d_hz_nps*G1564,0))</f>
        <v/>
      </c>
      <c r="BG1565" s="14">
        <f>F1565*BF1565*IF(B1565&gt;=in_marketplace_from,d_hz_nps*G1565,0)*in_nps_ticket*in_nps_comm</f>
        <v/>
      </c>
      <c r="BH1565" s="40">
        <f>BH1564*(1-IF(B1564&gt;=in_marketplace_from,d_hz_gold*G1564,0))</f>
        <v/>
      </c>
      <c r="BI1565" s="40">
        <f>BI1564*d_rho_gold+BH1565*IF(B1565&gt;=in_marketplace_from,d_hz_gold*G1565,0)</f>
        <v/>
      </c>
      <c r="BJ1565" s="14">
        <f>F1565*BI1565*in_gold_ticket*in_gold_comm</f>
        <v/>
      </c>
      <c r="BK1565" s="40">
        <f>BK1564*(1-IF(B1564&gt;=in_marketplace_from,d_hz_fd*G1564,0))</f>
        <v/>
      </c>
      <c r="BL1565" s="14">
        <f>F1565*BK1565*IF(B1565&gt;=in_marketplace_from,d_hz_fd*G1565,0)*in_fd_ticket*in_fd_comm</f>
        <v/>
      </c>
      <c r="BM1565" s="40">
        <f>BM1564*(1-IF(B1564&gt;=in_marketplace_from,d_hz_recharge*G1564,0))</f>
        <v/>
      </c>
      <c r="BN1565" s="40">
        <f>BN1564*d_rho_recharge+BM1565*IF(B1565&gt;=in_marketplace_from,d_hz_recharge*G1565,0)</f>
        <v/>
      </c>
      <c r="BO1565" s="14">
        <f>F1565*BN1565*in_recharge_ticket*in_recharge_comm/12</f>
        <v/>
      </c>
      <c r="BP1565" s="40">
        <f>BP1564*(1-IF(B1564&gt;=in_marketplace_from,d_hz_bills*G1564,0))</f>
        <v/>
      </c>
      <c r="BQ1565" s="40">
        <f>BQ1564*d_rho_bills+BP1565*IF(B1565&gt;=in_marketplace_from,d_hz_bills*G1565,0)</f>
        <v/>
      </c>
      <c r="BR1565" s="14">
        <f>F1565*BQ1565*in_bills_ticket*in_bills_comm/12</f>
        <v/>
      </c>
      <c r="BS1565" s="40">
        <f>BS1564*(1-IF(B1564&gt;=in_marketplace_from,d_hz_loan_gold*G1564,0))</f>
        <v/>
      </c>
      <c r="BT1565" s="14">
        <f>F1565*BS1565*IF(B1565&gt;=in_marketplace_from,d_hz_loan_gold*G1565,0)*in_loan_gold_ticket*in_loan_gold_comm</f>
        <v/>
      </c>
      <c r="BU1565" s="40">
        <f>BU1564*(1-IF(B1564&gt;=in_marketplace_from,d_hz_loan_cd*G1564,0))</f>
        <v/>
      </c>
      <c r="BV1565" s="14">
        <f>F1565*BU1565*IF(B1565&gt;=in_marketplace_from,d_hz_loan_cd*G1565,0)*in_loan_cd_ticket*in_loan_cd_comm</f>
        <v/>
      </c>
      <c r="BW1565" s="40">
        <f>BW1564*(1-IF(B1564&gt;=in_marketplace_from,d_hz_loan_vehicle*G1564,0))</f>
        <v/>
      </c>
      <c r="BX1565" s="14">
        <f>F1565*BW1565*IF(B1565&gt;=in_marketplace_from,d_hz_loan_vehicle*G1565,0)*in_loan_vehicle_ticket*in_loan_vehicle_comm</f>
        <v/>
      </c>
      <c r="BY1565" s="40">
        <f>BY1564*(1-IF(B1564&gt;=in_marketplace_from,d_hz_loan_home*G1564,0)*BZ1564)</f>
        <v/>
      </c>
      <c r="BZ1565" s="11">
        <f>MIN(in_approval_cap,in_loan_home_approval*INDEX('Age profile'!$O$2:$O$61,B1565)*(1+in_approval_growth)^(D1565-1))</f>
        <v/>
      </c>
      <c r="CA1565" s="14">
        <f>F1565*BY1565*IF(B1565&gt;=in_marketplace_from,d_hz_loan_home*G1565,0)*BZ1565*in_loan_home_ticket*in_loan_home_comm</f>
        <v/>
      </c>
      <c r="CB1565" s="40">
        <f>CB1564*(1-IF(B1564&gt;=in_marketplace_from,d_hz_loan_lap*G1564,0)*CC1564)</f>
        <v/>
      </c>
      <c r="CC1565" s="11">
        <f>MIN(in_approval_cap,in_loan_lap_approval*INDEX('Age profile'!$O$2:$O$61,B1565)*(1+in_approval_growth)^(D1565-1))</f>
        <v/>
      </c>
      <c r="CD1565" s="14">
        <f>F1565*CB1565*IF(B1565&gt;=in_marketplace_from,d_hz_loan_lap*G1565,0)*CC1565*in_loan_lap_ticket*in_loan_lap_comm</f>
        <v/>
      </c>
      <c r="CE1565" s="14">
        <f>AA1565+AB1565+AC1565+AD1565+AG1565+AJ1565+AM1565+AP1565+AS1565+AU1565+AX1565+BB1565+BE1565+BG1565+BJ1565+BL1565+BO1565+BR1565+BT1565+BV1565+BX1565+CA1565+CD1565</f>
        <v/>
      </c>
    </row>
    <row r="1566">
      <c r="A1566" s="39" t="n">
        <v>38</v>
      </c>
      <c r="B1566" s="39" t="n">
        <v>11</v>
      </c>
      <c r="C1566" s="39">
        <f>A1566+B1566-1</f>
        <v/>
      </c>
      <c r="D1566" s="39">
        <f>INT((C1566-1)/12)+1</f>
        <v/>
      </c>
      <c r="E1566" s="44">
        <f>INDEX(Monthly!$B$2:$B$61,A1566)</f>
        <v/>
      </c>
      <c r="F1566" s="44">
        <f>E1566*INDEX('Age profile'!$B$2:$B$61,B1566)</f>
        <v/>
      </c>
      <c r="G1566" s="45">
        <f>MIN(in_takeup_cap,INDEX('Age profile'!$N$2:$N$61,B1566)*(1+in_takeup_growth)^(D1566-1))</f>
        <v/>
      </c>
      <c r="H1566" s="11">
        <f>MIN(in_approval_cap,in_approved_first*INDEX('Age profile'!$O$2:$O$61,B1566)*(1+in_approval_growth)^(D1566-1))</f>
        <v/>
      </c>
      <c r="I1566" s="45">
        <f>G1566*MIN(in_takeup_cap,INDEX('Age profile'!$O$2:$O$61,B1566)*(1+in_approval_growth)^(D1566-1))</f>
        <v/>
      </c>
      <c r="J1566" s="40">
        <f>(J1565-L1565)*F1566/F1565</f>
        <v/>
      </c>
      <c r="K1566" s="40">
        <f>(K1565-M1565)*F1566/F1565+SUMIFS(O1556:O1565,B1556:B1565,B1566-1-d_T)*F1566</f>
        <v/>
      </c>
      <c r="L1566" s="40">
        <f>IF(B1566&gt;=in_marketplace_from,J1566*d_hz*G1566*in_eligible*H1566,0)</f>
        <v/>
      </c>
      <c r="M1566" s="40">
        <f>IF(B1566&gt;=in_marketplace_from,K1566*d_hz*G1566*in_eligible*in_approved_repeat,0)</f>
        <v/>
      </c>
      <c r="N1566" s="40">
        <f>L1566+M1566</f>
        <v/>
      </c>
      <c r="O1566" s="46">
        <f>N1566/F1566</f>
        <v/>
      </c>
      <c r="P1566" s="40">
        <f>F1566-J1566-K1566</f>
        <v/>
      </c>
      <c r="Q1566" s="40">
        <f>IF(B1566&gt;=in_marketplace_from,(J1566+K1566)*d_hz*G1566,0)</f>
        <v/>
      </c>
      <c r="R1566" s="40">
        <f>SUMIFS(N1556:N1578,B1556:B1578,"&gt;="&amp;(B1566-d_T),B1556:B1578,"&lt;="&amp;(B1566-1))</f>
        <v/>
      </c>
      <c r="S1566" s="46">
        <f>(1-d_u)*S1565+IF(d_T&gt;in_topup_lag,SUMIFS(O1556:O1578,B1556:B1578,B1566-in_topup_lag)-d_udrop*SUMIFS(O1556:O1578,B1556:B1578,B1566-d_T),0)</f>
        <v/>
      </c>
      <c r="T1566" s="40">
        <f>F1566*d_u*S1566</f>
        <v/>
      </c>
      <c r="U1566" s="9">
        <f>L1566*in_ticket+M1566*d_rep_ticket</f>
        <v/>
      </c>
      <c r="V1566" s="9">
        <f>U1566+T1566*d_topup_amt</f>
        <v/>
      </c>
      <c r="W1566" s="40">
        <f>N1566+T1566*d_topup_ratio</f>
        <v/>
      </c>
      <c r="X1566" s="40">
        <f>SUMIFS(W1556:W1578,B1556:B1578,B1566-in_dpd_lag)*d_cured</f>
        <v/>
      </c>
      <c r="Y1566" s="40">
        <f>SUMIFS(W1556:W1578,B1556:B1578,B1566-in_rec_lag)*d_recd</f>
        <v/>
      </c>
      <c r="Z1566" s="40">
        <f>IF(AND(B1566&gt;=in_marketplace_from,B1566&lt;in_marketplace_from+in_card_months),in_card_share/in_card_months*F1566*I1566,IF(AND(B1566&gt;=in_marketplace_from+in_card_months,B1566&lt;in_marketplace_from+2*in_card_months),in_card_share*d_card_rem/in_card_months*F1566*MIN(in_takeup_cap,(1+in_takeup_growth)^(D1566-1))*MIN(in_takeup_cap,(1+in_approval_growth)^(D1566-1)),0))</f>
        <v/>
      </c>
      <c r="AA1566" s="14">
        <f>V1566*in_fee*(1-in_taken_back)</f>
        <v/>
      </c>
      <c r="AB1566" s="14">
        <f>SUMIFS(W1556:W1578,B1556:B1578,B1566-in_dpd_lag)*d_dpd</f>
        <v/>
      </c>
      <c r="AC1566" s="14">
        <f>SUMIFS(W1556:W1578,B1556:B1578,B1566-in_rec_lag)*d_rec</f>
        <v/>
      </c>
      <c r="AD1566" s="14">
        <f>Z1566*in_card_fee</f>
        <v/>
      </c>
      <c r="AE1566" s="40">
        <f>AE1565*(1-IF(B1565&gt;=in_marketplace_from,d_hz_hlth_small*G1565,0))</f>
        <v/>
      </c>
      <c r="AF1566" s="46">
        <f>AE1566*IF(B1566&gt;=in_marketplace_from,d_hz_hlth_small*G1566,0)</f>
        <v/>
      </c>
      <c r="AG1566" s="14">
        <f>F1566*AF1566*in_hlth_small_ticket*in_hlth_small_comm*in_ins_partner_share+F1566*in_hlth_small_ticket*in_hlth_small_renew_comm*in_ins_partner_share*(in_hlth_small_renew^1*SUMIFS(AF1556:AF1578,B1556:B1578,B1566-12)+in_hlth_small_renew^2*SUMIFS(AF1556:AF1578,B1556:B1578,B1566-24)+in_hlth_small_renew^3*SUMIFS(AF1556:AF1578,B1556:B1578,B1566-36)+in_hlth_small_renew^4*SUMIFS(AF1556:AF1578,B1556:B1578,B1566-48))</f>
        <v/>
      </c>
      <c r="AH1566" s="40">
        <f>AH1565*(1-IF(B1565&gt;=in_marketplace_from,d_hz_hlth_family*G1565,0))</f>
        <v/>
      </c>
      <c r="AI1566" s="46">
        <f>AH1566*IF(B1566&gt;=in_marketplace_from,d_hz_hlth_family*G1566,0)</f>
        <v/>
      </c>
      <c r="AJ1566" s="14">
        <f>F1566*AI1566*in_hlth_family_ticket*in_hlth_family_comm*in_ins_partner_share+F1566*in_hlth_family_ticket*in_hlth_family_renew_comm*in_ins_partner_share*(in_hlth_family_renew^1*SUMIFS(AI1556:AI1578,B1556:B1578,B1566-12)+in_hlth_family_renew^2*SUMIFS(AI1556:AI1578,B1556:B1578,B1566-24)+in_hlth_family_renew^3*SUMIFS(AI1556:AI1578,B1556:B1578,B1566-36)+in_hlth_family_renew^4*SUMIFS(AI1556:AI1578,B1556:B1578,B1566-48))</f>
        <v/>
      </c>
      <c r="AK1566" s="40">
        <f>AK1565*(1-IF(B1565&gt;=in_marketplace_from,d_hz_life_term*G1565,0))</f>
        <v/>
      </c>
      <c r="AL1566" s="46">
        <f>AK1566*IF(B1566&gt;=in_marketplace_from,d_hz_life_term*G1566,0)</f>
        <v/>
      </c>
      <c r="AM1566" s="14">
        <f>F1566*AL1566*in_life_term_ticket*in_life_term_comm*in_ins_partner_share+F1566*in_life_term_ticket*in_life_term_renew_comm*in_ins_partner_share*(in_life_term_renew^1*SUMIFS(AL1556:AL1578,B1556:B1578,B1566-12)+in_life_term_renew^2*SUMIFS(AL1556:AL1578,B1556:B1578,B1566-24)+in_life_term_renew^3*SUMIFS(AL1556:AL1578,B1556:B1578,B1566-36)+in_life_term_renew^4*SUMIFS(AL1556:AL1578,B1556:B1578,B1566-48))</f>
        <v/>
      </c>
      <c r="AN1566" s="40">
        <f>AN1565*(1-IF(B1565&gt;=in_marketplace_from,d_hz_accident*G1565,0))</f>
        <v/>
      </c>
      <c r="AO1566" s="46">
        <f>AN1566*IF(B1566&gt;=in_marketplace_from,d_hz_accident*G1566,0)</f>
        <v/>
      </c>
      <c r="AP1566" s="14">
        <f>F1566*AO1566*in_accident_ticket*in_accident_comm*in_ins_partner_share+F1566*in_accident_ticket*in_accident_renew_comm*in_ins_partner_share*(in_accident_renew^1*SUMIFS(AO1556:AO1578,B1556:B1578,B1566-12)+in_accident_renew^2*SUMIFS(AO1556:AO1578,B1556:B1578,B1566-24)+in_accident_renew^3*SUMIFS(AO1556:AO1578,B1556:B1578,B1566-36)+in_accident_renew^4*SUMIFS(AO1556:AO1578,B1556:B1578,B1566-48))</f>
        <v/>
      </c>
      <c r="AQ1566" s="40">
        <f>AQ1565*(1-IF(B1565&gt;=in_marketplace_from,d_hz_two_wheeler*G1565,0))</f>
        <v/>
      </c>
      <c r="AR1566" s="46">
        <f>AQ1566*IF(B1566&gt;=in_marketplace_from,d_hz_two_wheeler*G1566,0)</f>
        <v/>
      </c>
      <c r="AS1566" s="14">
        <f>F1566*AR1566*in_two_wheeler_ticket*in_two_wheeler_comm*in_ins_partner_share+F1566*in_two_wheeler_ticket*in_two_wheeler_comm*in_ins_partner_share*(in_two_wheeler_renew^1*SUMIFS(AR1556:AR1578,B1556:B1578,B1566-12)+in_two_wheeler_renew^2*SUMIFS(AR1556:AR1578,B1556:B1578,B1566-24)+in_two_wheeler_renew^3*SUMIFS(AR1556:AR1578,B1556:B1578,B1566-36)+in_two_wheeler_renew^4*SUMIFS(AR1556:AR1578,B1556:B1578,B1566-48))</f>
        <v/>
      </c>
      <c r="AT1566" s="40">
        <f>AT1565*(1-IF(B1565&gt;=in_marketplace_from,d_hz_device*G1565,0))</f>
        <v/>
      </c>
      <c r="AU1566" s="14">
        <f>F1566*AT1566*IF(B1566&gt;=in_marketplace_from,d_hz_device*G1566,0)*in_device_ticket*in_device_comm*in_ins_partner_share</f>
        <v/>
      </c>
      <c r="AV1566" s="40">
        <f>AV1565*(1-IF(B1565&gt;=in_marketplace_from,d_hz_shop*G1565,0))</f>
        <v/>
      </c>
      <c r="AW1566" s="46">
        <f>AV1566*IF(B1566&gt;=in_marketplace_from,d_hz_shop*G1566,0)</f>
        <v/>
      </c>
      <c r="AX1566" s="14">
        <f>F1566*AW1566*in_shop_ticket*in_shop_comm*in_ins_partner_share+F1566*in_shop_ticket*in_shop_renew_comm*in_ins_partner_share*(in_shop_renew^1*SUMIFS(AW1556:AW1578,B1556:B1578,B1566-12)+in_shop_renew^2*SUMIFS(AW1556:AW1578,B1556:B1578,B1566-24)+in_shop_renew^3*SUMIFS(AW1556:AW1578,B1556:B1578,B1566-36)+in_shop_renew^4*SUMIFS(AW1556:AW1578,B1556:B1578,B1566-48))</f>
        <v/>
      </c>
      <c r="AY1566" s="40">
        <f>AY1565*(1-IF(B1565&gt;=in_marketplace_from,d_hz_sip*G1565,0))</f>
        <v/>
      </c>
      <c r="AZ1566" s="40">
        <f>AZ1565*d_rho_sip+AY1566*IF(B1566&gt;=in_marketplace_from,d_hz_sip*G1566,0)</f>
        <v/>
      </c>
      <c r="BA1566" s="40">
        <f>d_rho_sip*(BA1565+AZ1565)</f>
        <v/>
      </c>
      <c r="BB1566" s="14">
        <f>F1566*in_sip_ticket*(BA1566+0.5*AZ1566)*in_sip_comm/12</f>
        <v/>
      </c>
      <c r="BC1566" s="40">
        <f>BC1565*(1-IF(B1565&gt;=in_marketplace_from,d_hz_choti*G1565,0))</f>
        <v/>
      </c>
      <c r="BD1566" s="46">
        <f>BC1566*IF(B1566&gt;=in_marketplace_from,d_hz_choti*G1566,0)</f>
        <v/>
      </c>
      <c r="BE1566" s="14">
        <f>F1566*SUMIFS(BD1556:BD1578,B1556:B1578,B1566-in_choti_months)*in_choti_renew*in_choti_ticket</f>
        <v/>
      </c>
      <c r="BF1566" s="40">
        <f>BF1565*(1-IF(B1565&gt;=in_marketplace_from,d_hz_nps*G1565,0))</f>
        <v/>
      </c>
      <c r="BG1566" s="14">
        <f>F1566*BF1566*IF(B1566&gt;=in_marketplace_from,d_hz_nps*G1566,0)*in_nps_ticket*in_nps_comm</f>
        <v/>
      </c>
      <c r="BH1566" s="40">
        <f>BH1565*(1-IF(B1565&gt;=in_marketplace_from,d_hz_gold*G1565,0))</f>
        <v/>
      </c>
      <c r="BI1566" s="40">
        <f>BI1565*d_rho_gold+BH1566*IF(B1566&gt;=in_marketplace_from,d_hz_gold*G1566,0)</f>
        <v/>
      </c>
      <c r="BJ1566" s="14">
        <f>F1566*BI1566*in_gold_ticket*in_gold_comm</f>
        <v/>
      </c>
      <c r="BK1566" s="40">
        <f>BK1565*(1-IF(B1565&gt;=in_marketplace_from,d_hz_fd*G1565,0))</f>
        <v/>
      </c>
      <c r="BL1566" s="14">
        <f>F1566*BK1566*IF(B1566&gt;=in_marketplace_from,d_hz_fd*G1566,0)*in_fd_ticket*in_fd_comm</f>
        <v/>
      </c>
      <c r="BM1566" s="40">
        <f>BM1565*(1-IF(B1565&gt;=in_marketplace_from,d_hz_recharge*G1565,0))</f>
        <v/>
      </c>
      <c r="BN1566" s="40">
        <f>BN1565*d_rho_recharge+BM1566*IF(B1566&gt;=in_marketplace_from,d_hz_recharge*G1566,0)</f>
        <v/>
      </c>
      <c r="BO1566" s="14">
        <f>F1566*BN1566*in_recharge_ticket*in_recharge_comm/12</f>
        <v/>
      </c>
      <c r="BP1566" s="40">
        <f>BP1565*(1-IF(B1565&gt;=in_marketplace_from,d_hz_bills*G1565,0))</f>
        <v/>
      </c>
      <c r="BQ1566" s="40">
        <f>BQ1565*d_rho_bills+BP1566*IF(B1566&gt;=in_marketplace_from,d_hz_bills*G1566,0)</f>
        <v/>
      </c>
      <c r="BR1566" s="14">
        <f>F1566*BQ1566*in_bills_ticket*in_bills_comm/12</f>
        <v/>
      </c>
      <c r="BS1566" s="40">
        <f>BS1565*(1-IF(B1565&gt;=in_marketplace_from,d_hz_loan_gold*G1565,0))</f>
        <v/>
      </c>
      <c r="BT1566" s="14">
        <f>F1566*BS1566*IF(B1566&gt;=in_marketplace_from,d_hz_loan_gold*G1566,0)*in_loan_gold_ticket*in_loan_gold_comm</f>
        <v/>
      </c>
      <c r="BU1566" s="40">
        <f>BU1565*(1-IF(B1565&gt;=in_marketplace_from,d_hz_loan_cd*G1565,0))</f>
        <v/>
      </c>
      <c r="BV1566" s="14">
        <f>F1566*BU1566*IF(B1566&gt;=in_marketplace_from,d_hz_loan_cd*G1566,0)*in_loan_cd_ticket*in_loan_cd_comm</f>
        <v/>
      </c>
      <c r="BW1566" s="40">
        <f>BW1565*(1-IF(B1565&gt;=in_marketplace_from,d_hz_loan_vehicle*G1565,0))</f>
        <v/>
      </c>
      <c r="BX1566" s="14">
        <f>F1566*BW1566*IF(B1566&gt;=in_marketplace_from,d_hz_loan_vehicle*G1566,0)*in_loan_vehicle_ticket*in_loan_vehicle_comm</f>
        <v/>
      </c>
      <c r="BY1566" s="40">
        <f>BY1565*(1-IF(B1565&gt;=in_marketplace_from,d_hz_loan_home*G1565,0)*BZ1565)</f>
        <v/>
      </c>
      <c r="BZ1566" s="11">
        <f>MIN(in_approval_cap,in_loan_home_approval*INDEX('Age profile'!$O$2:$O$61,B1566)*(1+in_approval_growth)^(D1566-1))</f>
        <v/>
      </c>
      <c r="CA1566" s="14">
        <f>F1566*BY1566*IF(B1566&gt;=in_marketplace_from,d_hz_loan_home*G1566,0)*BZ1566*in_loan_home_ticket*in_loan_home_comm</f>
        <v/>
      </c>
      <c r="CB1566" s="40">
        <f>CB1565*(1-IF(B1565&gt;=in_marketplace_from,d_hz_loan_lap*G1565,0)*CC1565)</f>
        <v/>
      </c>
      <c r="CC1566" s="11">
        <f>MIN(in_approval_cap,in_loan_lap_approval*INDEX('Age profile'!$O$2:$O$61,B1566)*(1+in_approval_growth)^(D1566-1))</f>
        <v/>
      </c>
      <c r="CD1566" s="14">
        <f>F1566*CB1566*IF(B1566&gt;=in_marketplace_from,d_hz_loan_lap*G1566,0)*CC1566*in_loan_lap_ticket*in_loan_lap_comm</f>
        <v/>
      </c>
      <c r="CE1566" s="14">
        <f>AA1566+AB1566+AC1566+AD1566+AG1566+AJ1566+AM1566+AP1566+AS1566+AU1566+AX1566+BB1566+BE1566+BG1566+BJ1566+BL1566+BO1566+BR1566+BT1566+BV1566+BX1566+CA1566+CD1566</f>
        <v/>
      </c>
    </row>
    <row r="1567">
      <c r="A1567" s="39" t="n">
        <v>38</v>
      </c>
      <c r="B1567" s="39" t="n">
        <v>12</v>
      </c>
      <c r="C1567" s="39">
        <f>A1567+B1567-1</f>
        <v/>
      </c>
      <c r="D1567" s="39">
        <f>INT((C1567-1)/12)+1</f>
        <v/>
      </c>
      <c r="E1567" s="44">
        <f>INDEX(Monthly!$B$2:$B$61,A1567)</f>
        <v/>
      </c>
      <c r="F1567" s="44">
        <f>E1567*INDEX('Age profile'!$B$2:$B$61,B1567)</f>
        <v/>
      </c>
      <c r="G1567" s="45">
        <f>MIN(in_takeup_cap,INDEX('Age profile'!$N$2:$N$61,B1567)*(1+in_takeup_growth)^(D1567-1))</f>
        <v/>
      </c>
      <c r="H1567" s="11">
        <f>MIN(in_approval_cap,in_approved_first*INDEX('Age profile'!$O$2:$O$61,B1567)*(1+in_approval_growth)^(D1567-1))</f>
        <v/>
      </c>
      <c r="I1567" s="45">
        <f>G1567*MIN(in_takeup_cap,INDEX('Age profile'!$O$2:$O$61,B1567)*(1+in_approval_growth)^(D1567-1))</f>
        <v/>
      </c>
      <c r="J1567" s="40">
        <f>(J1566-L1566)*F1567/F1566</f>
        <v/>
      </c>
      <c r="K1567" s="40">
        <f>(K1566-M1566)*F1567/F1566+SUMIFS(O1556:O1566,B1556:B1566,B1567-1-d_T)*F1567</f>
        <v/>
      </c>
      <c r="L1567" s="40">
        <f>IF(B1567&gt;=in_marketplace_from,J1567*d_hz*G1567*in_eligible*H1567,0)</f>
        <v/>
      </c>
      <c r="M1567" s="40">
        <f>IF(B1567&gt;=in_marketplace_from,K1567*d_hz*G1567*in_eligible*in_approved_repeat,0)</f>
        <v/>
      </c>
      <c r="N1567" s="40">
        <f>L1567+M1567</f>
        <v/>
      </c>
      <c r="O1567" s="46">
        <f>N1567/F1567</f>
        <v/>
      </c>
      <c r="P1567" s="40">
        <f>F1567-J1567-K1567</f>
        <v/>
      </c>
      <c r="Q1567" s="40">
        <f>IF(B1567&gt;=in_marketplace_from,(J1567+K1567)*d_hz*G1567,0)</f>
        <v/>
      </c>
      <c r="R1567" s="40">
        <f>SUMIFS(N1556:N1578,B1556:B1578,"&gt;="&amp;(B1567-d_T),B1556:B1578,"&lt;="&amp;(B1567-1))</f>
        <v/>
      </c>
      <c r="S1567" s="46">
        <f>(1-d_u)*S1566+IF(d_T&gt;in_topup_lag,SUMIFS(O1556:O1578,B1556:B1578,B1567-in_topup_lag)-d_udrop*SUMIFS(O1556:O1578,B1556:B1578,B1567-d_T),0)</f>
        <v/>
      </c>
      <c r="T1567" s="40">
        <f>F1567*d_u*S1567</f>
        <v/>
      </c>
      <c r="U1567" s="9">
        <f>L1567*in_ticket+M1567*d_rep_ticket</f>
        <v/>
      </c>
      <c r="V1567" s="9">
        <f>U1567+T1567*d_topup_amt</f>
        <v/>
      </c>
      <c r="W1567" s="40">
        <f>N1567+T1567*d_topup_ratio</f>
        <v/>
      </c>
      <c r="X1567" s="40">
        <f>SUMIFS(W1556:W1578,B1556:B1578,B1567-in_dpd_lag)*d_cured</f>
        <v/>
      </c>
      <c r="Y1567" s="40">
        <f>SUMIFS(W1556:W1578,B1556:B1578,B1567-in_rec_lag)*d_recd</f>
        <v/>
      </c>
      <c r="Z1567" s="40">
        <f>IF(AND(B1567&gt;=in_marketplace_from,B1567&lt;in_marketplace_from+in_card_months),in_card_share/in_card_months*F1567*I1567,IF(AND(B1567&gt;=in_marketplace_from+in_card_months,B1567&lt;in_marketplace_from+2*in_card_months),in_card_share*d_card_rem/in_card_months*F1567*MIN(in_takeup_cap,(1+in_takeup_growth)^(D1567-1))*MIN(in_takeup_cap,(1+in_approval_growth)^(D1567-1)),0))</f>
        <v/>
      </c>
      <c r="AA1567" s="14">
        <f>V1567*in_fee*(1-in_taken_back)</f>
        <v/>
      </c>
      <c r="AB1567" s="14">
        <f>SUMIFS(W1556:W1578,B1556:B1578,B1567-in_dpd_lag)*d_dpd</f>
        <v/>
      </c>
      <c r="AC1567" s="14">
        <f>SUMIFS(W1556:W1578,B1556:B1578,B1567-in_rec_lag)*d_rec</f>
        <v/>
      </c>
      <c r="AD1567" s="14">
        <f>Z1567*in_card_fee</f>
        <v/>
      </c>
      <c r="AE1567" s="40">
        <f>AE1566*(1-IF(B1566&gt;=in_marketplace_from,d_hz_hlth_small*G1566,0))</f>
        <v/>
      </c>
      <c r="AF1567" s="46">
        <f>AE1567*IF(B1567&gt;=in_marketplace_from,d_hz_hlth_small*G1567,0)</f>
        <v/>
      </c>
      <c r="AG1567" s="14">
        <f>F1567*AF1567*in_hlth_small_ticket*in_hlth_small_comm*in_ins_partner_share+F1567*in_hlth_small_ticket*in_hlth_small_renew_comm*in_ins_partner_share*(in_hlth_small_renew^1*SUMIFS(AF1556:AF1578,B1556:B1578,B1567-12)+in_hlth_small_renew^2*SUMIFS(AF1556:AF1578,B1556:B1578,B1567-24)+in_hlth_small_renew^3*SUMIFS(AF1556:AF1578,B1556:B1578,B1567-36)+in_hlth_small_renew^4*SUMIFS(AF1556:AF1578,B1556:B1578,B1567-48))</f>
        <v/>
      </c>
      <c r="AH1567" s="40">
        <f>AH1566*(1-IF(B1566&gt;=in_marketplace_from,d_hz_hlth_family*G1566,0))</f>
        <v/>
      </c>
      <c r="AI1567" s="46">
        <f>AH1567*IF(B1567&gt;=in_marketplace_from,d_hz_hlth_family*G1567,0)</f>
        <v/>
      </c>
      <c r="AJ1567" s="14">
        <f>F1567*AI1567*in_hlth_family_ticket*in_hlth_family_comm*in_ins_partner_share+F1567*in_hlth_family_ticket*in_hlth_family_renew_comm*in_ins_partner_share*(in_hlth_family_renew^1*SUMIFS(AI1556:AI1578,B1556:B1578,B1567-12)+in_hlth_family_renew^2*SUMIFS(AI1556:AI1578,B1556:B1578,B1567-24)+in_hlth_family_renew^3*SUMIFS(AI1556:AI1578,B1556:B1578,B1567-36)+in_hlth_family_renew^4*SUMIFS(AI1556:AI1578,B1556:B1578,B1567-48))</f>
        <v/>
      </c>
      <c r="AK1567" s="40">
        <f>AK1566*(1-IF(B1566&gt;=in_marketplace_from,d_hz_life_term*G1566,0))</f>
        <v/>
      </c>
      <c r="AL1567" s="46">
        <f>AK1567*IF(B1567&gt;=in_marketplace_from,d_hz_life_term*G1567,0)</f>
        <v/>
      </c>
      <c r="AM1567" s="14">
        <f>F1567*AL1567*in_life_term_ticket*in_life_term_comm*in_ins_partner_share+F1567*in_life_term_ticket*in_life_term_renew_comm*in_ins_partner_share*(in_life_term_renew^1*SUMIFS(AL1556:AL1578,B1556:B1578,B1567-12)+in_life_term_renew^2*SUMIFS(AL1556:AL1578,B1556:B1578,B1567-24)+in_life_term_renew^3*SUMIFS(AL1556:AL1578,B1556:B1578,B1567-36)+in_life_term_renew^4*SUMIFS(AL1556:AL1578,B1556:B1578,B1567-48))</f>
        <v/>
      </c>
      <c r="AN1567" s="40">
        <f>AN1566*(1-IF(B1566&gt;=in_marketplace_from,d_hz_accident*G1566,0))</f>
        <v/>
      </c>
      <c r="AO1567" s="46">
        <f>AN1567*IF(B1567&gt;=in_marketplace_from,d_hz_accident*G1567,0)</f>
        <v/>
      </c>
      <c r="AP1567" s="14">
        <f>F1567*AO1567*in_accident_ticket*in_accident_comm*in_ins_partner_share+F1567*in_accident_ticket*in_accident_renew_comm*in_ins_partner_share*(in_accident_renew^1*SUMIFS(AO1556:AO1578,B1556:B1578,B1567-12)+in_accident_renew^2*SUMIFS(AO1556:AO1578,B1556:B1578,B1567-24)+in_accident_renew^3*SUMIFS(AO1556:AO1578,B1556:B1578,B1567-36)+in_accident_renew^4*SUMIFS(AO1556:AO1578,B1556:B1578,B1567-48))</f>
        <v/>
      </c>
      <c r="AQ1567" s="40">
        <f>AQ1566*(1-IF(B1566&gt;=in_marketplace_from,d_hz_two_wheeler*G1566,0))</f>
        <v/>
      </c>
      <c r="AR1567" s="46">
        <f>AQ1567*IF(B1567&gt;=in_marketplace_from,d_hz_two_wheeler*G1567,0)</f>
        <v/>
      </c>
      <c r="AS1567" s="14">
        <f>F1567*AR1567*in_two_wheeler_ticket*in_two_wheeler_comm*in_ins_partner_share+F1567*in_two_wheeler_ticket*in_two_wheeler_comm*in_ins_partner_share*(in_two_wheeler_renew^1*SUMIFS(AR1556:AR1578,B1556:B1578,B1567-12)+in_two_wheeler_renew^2*SUMIFS(AR1556:AR1578,B1556:B1578,B1567-24)+in_two_wheeler_renew^3*SUMIFS(AR1556:AR1578,B1556:B1578,B1567-36)+in_two_wheeler_renew^4*SUMIFS(AR1556:AR1578,B1556:B1578,B1567-48))</f>
        <v/>
      </c>
      <c r="AT1567" s="40">
        <f>AT1566*(1-IF(B1566&gt;=in_marketplace_from,d_hz_device*G1566,0))</f>
        <v/>
      </c>
      <c r="AU1567" s="14">
        <f>F1567*AT1567*IF(B1567&gt;=in_marketplace_from,d_hz_device*G1567,0)*in_device_ticket*in_device_comm*in_ins_partner_share</f>
        <v/>
      </c>
      <c r="AV1567" s="40">
        <f>AV1566*(1-IF(B1566&gt;=in_marketplace_from,d_hz_shop*G1566,0))</f>
        <v/>
      </c>
      <c r="AW1567" s="46">
        <f>AV1567*IF(B1567&gt;=in_marketplace_from,d_hz_shop*G1567,0)</f>
        <v/>
      </c>
      <c r="AX1567" s="14">
        <f>F1567*AW1567*in_shop_ticket*in_shop_comm*in_ins_partner_share+F1567*in_shop_ticket*in_shop_renew_comm*in_ins_partner_share*(in_shop_renew^1*SUMIFS(AW1556:AW1578,B1556:B1578,B1567-12)+in_shop_renew^2*SUMIFS(AW1556:AW1578,B1556:B1578,B1567-24)+in_shop_renew^3*SUMIFS(AW1556:AW1578,B1556:B1578,B1567-36)+in_shop_renew^4*SUMIFS(AW1556:AW1578,B1556:B1578,B1567-48))</f>
        <v/>
      </c>
      <c r="AY1567" s="40">
        <f>AY1566*(1-IF(B1566&gt;=in_marketplace_from,d_hz_sip*G1566,0))</f>
        <v/>
      </c>
      <c r="AZ1567" s="40">
        <f>AZ1566*d_rho_sip+AY1567*IF(B1567&gt;=in_marketplace_from,d_hz_sip*G1567,0)</f>
        <v/>
      </c>
      <c r="BA1567" s="40">
        <f>d_rho_sip*(BA1566+AZ1566)</f>
        <v/>
      </c>
      <c r="BB1567" s="14">
        <f>F1567*in_sip_ticket*(BA1567+0.5*AZ1567)*in_sip_comm/12</f>
        <v/>
      </c>
      <c r="BC1567" s="40">
        <f>BC1566*(1-IF(B1566&gt;=in_marketplace_from,d_hz_choti*G1566,0))</f>
        <v/>
      </c>
      <c r="BD1567" s="46">
        <f>BC1567*IF(B1567&gt;=in_marketplace_from,d_hz_choti*G1567,0)</f>
        <v/>
      </c>
      <c r="BE1567" s="14">
        <f>F1567*SUMIFS(BD1556:BD1578,B1556:B1578,B1567-in_choti_months)*in_choti_renew*in_choti_ticket</f>
        <v/>
      </c>
      <c r="BF1567" s="40">
        <f>BF1566*(1-IF(B1566&gt;=in_marketplace_from,d_hz_nps*G1566,0))</f>
        <v/>
      </c>
      <c r="BG1567" s="14">
        <f>F1567*BF1567*IF(B1567&gt;=in_marketplace_from,d_hz_nps*G1567,0)*in_nps_ticket*in_nps_comm</f>
        <v/>
      </c>
      <c r="BH1567" s="40">
        <f>BH1566*(1-IF(B1566&gt;=in_marketplace_from,d_hz_gold*G1566,0))</f>
        <v/>
      </c>
      <c r="BI1567" s="40">
        <f>BI1566*d_rho_gold+BH1567*IF(B1567&gt;=in_marketplace_from,d_hz_gold*G1567,0)</f>
        <v/>
      </c>
      <c r="BJ1567" s="14">
        <f>F1567*BI1567*in_gold_ticket*in_gold_comm</f>
        <v/>
      </c>
      <c r="BK1567" s="40">
        <f>BK1566*(1-IF(B1566&gt;=in_marketplace_from,d_hz_fd*G1566,0))</f>
        <v/>
      </c>
      <c r="BL1567" s="14">
        <f>F1567*BK1567*IF(B1567&gt;=in_marketplace_from,d_hz_fd*G1567,0)*in_fd_ticket*in_fd_comm</f>
        <v/>
      </c>
      <c r="BM1567" s="40">
        <f>BM1566*(1-IF(B1566&gt;=in_marketplace_from,d_hz_recharge*G1566,0))</f>
        <v/>
      </c>
      <c r="BN1567" s="40">
        <f>BN1566*d_rho_recharge+BM1567*IF(B1567&gt;=in_marketplace_from,d_hz_recharge*G1567,0)</f>
        <v/>
      </c>
      <c r="BO1567" s="14">
        <f>F1567*BN1567*in_recharge_ticket*in_recharge_comm/12</f>
        <v/>
      </c>
      <c r="BP1567" s="40">
        <f>BP1566*(1-IF(B1566&gt;=in_marketplace_from,d_hz_bills*G1566,0))</f>
        <v/>
      </c>
      <c r="BQ1567" s="40">
        <f>BQ1566*d_rho_bills+BP1567*IF(B1567&gt;=in_marketplace_from,d_hz_bills*G1567,0)</f>
        <v/>
      </c>
      <c r="BR1567" s="14">
        <f>F1567*BQ1567*in_bills_ticket*in_bills_comm/12</f>
        <v/>
      </c>
      <c r="BS1567" s="40">
        <f>BS1566*(1-IF(B1566&gt;=in_marketplace_from,d_hz_loan_gold*G1566,0))</f>
        <v/>
      </c>
      <c r="BT1567" s="14">
        <f>F1567*BS1567*IF(B1567&gt;=in_marketplace_from,d_hz_loan_gold*G1567,0)*in_loan_gold_ticket*in_loan_gold_comm</f>
        <v/>
      </c>
      <c r="BU1567" s="40">
        <f>BU1566*(1-IF(B1566&gt;=in_marketplace_from,d_hz_loan_cd*G1566,0))</f>
        <v/>
      </c>
      <c r="BV1567" s="14">
        <f>F1567*BU1567*IF(B1567&gt;=in_marketplace_from,d_hz_loan_cd*G1567,0)*in_loan_cd_ticket*in_loan_cd_comm</f>
        <v/>
      </c>
      <c r="BW1567" s="40">
        <f>BW1566*(1-IF(B1566&gt;=in_marketplace_from,d_hz_loan_vehicle*G1566,0))</f>
        <v/>
      </c>
      <c r="BX1567" s="14">
        <f>F1567*BW1567*IF(B1567&gt;=in_marketplace_from,d_hz_loan_vehicle*G1567,0)*in_loan_vehicle_ticket*in_loan_vehicle_comm</f>
        <v/>
      </c>
      <c r="BY1567" s="40">
        <f>BY1566*(1-IF(B1566&gt;=in_marketplace_from,d_hz_loan_home*G1566,0)*BZ1566)</f>
        <v/>
      </c>
      <c r="BZ1567" s="11">
        <f>MIN(in_approval_cap,in_loan_home_approval*INDEX('Age profile'!$O$2:$O$61,B1567)*(1+in_approval_growth)^(D1567-1))</f>
        <v/>
      </c>
      <c r="CA1567" s="14">
        <f>F1567*BY1567*IF(B1567&gt;=in_marketplace_from,d_hz_loan_home*G1567,0)*BZ1567*in_loan_home_ticket*in_loan_home_comm</f>
        <v/>
      </c>
      <c r="CB1567" s="40">
        <f>CB1566*(1-IF(B1566&gt;=in_marketplace_from,d_hz_loan_lap*G1566,0)*CC1566)</f>
        <v/>
      </c>
      <c r="CC1567" s="11">
        <f>MIN(in_approval_cap,in_loan_lap_approval*INDEX('Age profile'!$O$2:$O$61,B1567)*(1+in_approval_growth)^(D1567-1))</f>
        <v/>
      </c>
      <c r="CD1567" s="14">
        <f>F1567*CB1567*IF(B1567&gt;=in_marketplace_from,d_hz_loan_lap*G1567,0)*CC1567*in_loan_lap_ticket*in_loan_lap_comm</f>
        <v/>
      </c>
      <c r="CE1567" s="14">
        <f>AA1567+AB1567+AC1567+AD1567+AG1567+AJ1567+AM1567+AP1567+AS1567+AU1567+AX1567+BB1567+BE1567+BG1567+BJ1567+BL1567+BO1567+BR1567+BT1567+BV1567+BX1567+CA1567+CD1567</f>
        <v/>
      </c>
    </row>
    <row r="1568">
      <c r="A1568" s="39" t="n">
        <v>38</v>
      </c>
      <c r="B1568" s="39" t="n">
        <v>13</v>
      </c>
      <c r="C1568" s="39">
        <f>A1568+B1568-1</f>
        <v/>
      </c>
      <c r="D1568" s="39">
        <f>INT((C1568-1)/12)+1</f>
        <v/>
      </c>
      <c r="E1568" s="44">
        <f>INDEX(Monthly!$B$2:$B$61,A1568)</f>
        <v/>
      </c>
      <c r="F1568" s="44">
        <f>E1568*INDEX('Age profile'!$B$2:$B$61,B1568)</f>
        <v/>
      </c>
      <c r="G1568" s="45">
        <f>MIN(in_takeup_cap,INDEX('Age profile'!$N$2:$N$61,B1568)*(1+in_takeup_growth)^(D1568-1))</f>
        <v/>
      </c>
      <c r="H1568" s="11">
        <f>MIN(in_approval_cap,in_approved_first*INDEX('Age profile'!$O$2:$O$61,B1568)*(1+in_approval_growth)^(D1568-1))</f>
        <v/>
      </c>
      <c r="I1568" s="45">
        <f>G1568*MIN(in_takeup_cap,INDEX('Age profile'!$O$2:$O$61,B1568)*(1+in_approval_growth)^(D1568-1))</f>
        <v/>
      </c>
      <c r="J1568" s="40">
        <f>(J1567-L1567)*F1568/F1567</f>
        <v/>
      </c>
      <c r="K1568" s="40">
        <f>(K1567-M1567)*F1568/F1567+SUMIFS(O1556:O1567,B1556:B1567,B1568-1-d_T)*F1568</f>
        <v/>
      </c>
      <c r="L1568" s="40">
        <f>IF(B1568&gt;=in_marketplace_from,J1568*d_hz*G1568*in_eligible*H1568,0)</f>
        <v/>
      </c>
      <c r="M1568" s="40">
        <f>IF(B1568&gt;=in_marketplace_from,K1568*d_hz*G1568*in_eligible*in_approved_repeat,0)</f>
        <v/>
      </c>
      <c r="N1568" s="40">
        <f>L1568+M1568</f>
        <v/>
      </c>
      <c r="O1568" s="46">
        <f>N1568/F1568</f>
        <v/>
      </c>
      <c r="P1568" s="40">
        <f>F1568-J1568-K1568</f>
        <v/>
      </c>
      <c r="Q1568" s="40">
        <f>IF(B1568&gt;=in_marketplace_from,(J1568+K1568)*d_hz*G1568,0)</f>
        <v/>
      </c>
      <c r="R1568" s="40">
        <f>SUMIFS(N1556:N1578,B1556:B1578,"&gt;="&amp;(B1568-d_T),B1556:B1578,"&lt;="&amp;(B1568-1))</f>
        <v/>
      </c>
      <c r="S1568" s="46">
        <f>(1-d_u)*S1567+IF(d_T&gt;in_topup_lag,SUMIFS(O1556:O1578,B1556:B1578,B1568-in_topup_lag)-d_udrop*SUMIFS(O1556:O1578,B1556:B1578,B1568-d_T),0)</f>
        <v/>
      </c>
      <c r="T1568" s="40">
        <f>F1568*d_u*S1568</f>
        <v/>
      </c>
      <c r="U1568" s="9">
        <f>L1568*in_ticket+M1568*d_rep_ticket</f>
        <v/>
      </c>
      <c r="V1568" s="9">
        <f>U1568+T1568*d_topup_amt</f>
        <v/>
      </c>
      <c r="W1568" s="40">
        <f>N1568+T1568*d_topup_ratio</f>
        <v/>
      </c>
      <c r="X1568" s="40">
        <f>SUMIFS(W1556:W1578,B1556:B1578,B1568-in_dpd_lag)*d_cured</f>
        <v/>
      </c>
      <c r="Y1568" s="40">
        <f>SUMIFS(W1556:W1578,B1556:B1578,B1568-in_rec_lag)*d_recd</f>
        <v/>
      </c>
      <c r="Z1568" s="40">
        <f>IF(AND(B1568&gt;=in_marketplace_from,B1568&lt;in_marketplace_from+in_card_months),in_card_share/in_card_months*F1568*I1568,IF(AND(B1568&gt;=in_marketplace_from+in_card_months,B1568&lt;in_marketplace_from+2*in_card_months),in_card_share*d_card_rem/in_card_months*F1568*MIN(in_takeup_cap,(1+in_takeup_growth)^(D1568-1))*MIN(in_takeup_cap,(1+in_approval_growth)^(D1568-1)),0))</f>
        <v/>
      </c>
      <c r="AA1568" s="14">
        <f>V1568*in_fee*(1-in_taken_back)</f>
        <v/>
      </c>
      <c r="AB1568" s="14">
        <f>SUMIFS(W1556:W1578,B1556:B1578,B1568-in_dpd_lag)*d_dpd</f>
        <v/>
      </c>
      <c r="AC1568" s="14">
        <f>SUMIFS(W1556:W1578,B1556:B1578,B1568-in_rec_lag)*d_rec</f>
        <v/>
      </c>
      <c r="AD1568" s="14">
        <f>Z1568*in_card_fee</f>
        <v/>
      </c>
      <c r="AE1568" s="40">
        <f>AE1567*(1-IF(B1567&gt;=in_marketplace_from,d_hz_hlth_small*G1567,0))</f>
        <v/>
      </c>
      <c r="AF1568" s="46">
        <f>AE1568*IF(B1568&gt;=in_marketplace_from,d_hz_hlth_small*G1568,0)</f>
        <v/>
      </c>
      <c r="AG1568" s="14">
        <f>F1568*AF1568*in_hlth_small_ticket*in_hlth_small_comm*in_ins_partner_share+F1568*in_hlth_small_ticket*in_hlth_small_renew_comm*in_ins_partner_share*(in_hlth_small_renew^1*SUMIFS(AF1556:AF1578,B1556:B1578,B1568-12)+in_hlth_small_renew^2*SUMIFS(AF1556:AF1578,B1556:B1578,B1568-24)+in_hlth_small_renew^3*SUMIFS(AF1556:AF1578,B1556:B1578,B1568-36)+in_hlth_small_renew^4*SUMIFS(AF1556:AF1578,B1556:B1578,B1568-48))</f>
        <v/>
      </c>
      <c r="AH1568" s="40">
        <f>AH1567*(1-IF(B1567&gt;=in_marketplace_from,d_hz_hlth_family*G1567,0))</f>
        <v/>
      </c>
      <c r="AI1568" s="46">
        <f>AH1568*IF(B1568&gt;=in_marketplace_from,d_hz_hlth_family*G1568,0)</f>
        <v/>
      </c>
      <c r="AJ1568" s="14">
        <f>F1568*AI1568*in_hlth_family_ticket*in_hlth_family_comm*in_ins_partner_share+F1568*in_hlth_family_ticket*in_hlth_family_renew_comm*in_ins_partner_share*(in_hlth_family_renew^1*SUMIFS(AI1556:AI1578,B1556:B1578,B1568-12)+in_hlth_family_renew^2*SUMIFS(AI1556:AI1578,B1556:B1578,B1568-24)+in_hlth_family_renew^3*SUMIFS(AI1556:AI1578,B1556:B1578,B1568-36)+in_hlth_family_renew^4*SUMIFS(AI1556:AI1578,B1556:B1578,B1568-48))</f>
        <v/>
      </c>
      <c r="AK1568" s="40">
        <f>AK1567*(1-IF(B1567&gt;=in_marketplace_from,d_hz_life_term*G1567,0))</f>
        <v/>
      </c>
      <c r="AL1568" s="46">
        <f>AK1568*IF(B1568&gt;=in_marketplace_from,d_hz_life_term*G1568,0)</f>
        <v/>
      </c>
      <c r="AM1568" s="14">
        <f>F1568*AL1568*in_life_term_ticket*in_life_term_comm*in_ins_partner_share+F1568*in_life_term_ticket*in_life_term_renew_comm*in_ins_partner_share*(in_life_term_renew^1*SUMIFS(AL1556:AL1578,B1556:B1578,B1568-12)+in_life_term_renew^2*SUMIFS(AL1556:AL1578,B1556:B1578,B1568-24)+in_life_term_renew^3*SUMIFS(AL1556:AL1578,B1556:B1578,B1568-36)+in_life_term_renew^4*SUMIFS(AL1556:AL1578,B1556:B1578,B1568-48))</f>
        <v/>
      </c>
      <c r="AN1568" s="40">
        <f>AN1567*(1-IF(B1567&gt;=in_marketplace_from,d_hz_accident*G1567,0))</f>
        <v/>
      </c>
      <c r="AO1568" s="46">
        <f>AN1568*IF(B1568&gt;=in_marketplace_from,d_hz_accident*G1568,0)</f>
        <v/>
      </c>
      <c r="AP1568" s="14">
        <f>F1568*AO1568*in_accident_ticket*in_accident_comm*in_ins_partner_share+F1568*in_accident_ticket*in_accident_renew_comm*in_ins_partner_share*(in_accident_renew^1*SUMIFS(AO1556:AO1578,B1556:B1578,B1568-12)+in_accident_renew^2*SUMIFS(AO1556:AO1578,B1556:B1578,B1568-24)+in_accident_renew^3*SUMIFS(AO1556:AO1578,B1556:B1578,B1568-36)+in_accident_renew^4*SUMIFS(AO1556:AO1578,B1556:B1578,B1568-48))</f>
        <v/>
      </c>
      <c r="AQ1568" s="40">
        <f>AQ1567*(1-IF(B1567&gt;=in_marketplace_from,d_hz_two_wheeler*G1567,0))</f>
        <v/>
      </c>
      <c r="AR1568" s="46">
        <f>AQ1568*IF(B1568&gt;=in_marketplace_from,d_hz_two_wheeler*G1568,0)</f>
        <v/>
      </c>
      <c r="AS1568" s="14">
        <f>F1568*AR1568*in_two_wheeler_ticket*in_two_wheeler_comm*in_ins_partner_share+F1568*in_two_wheeler_ticket*in_two_wheeler_comm*in_ins_partner_share*(in_two_wheeler_renew^1*SUMIFS(AR1556:AR1578,B1556:B1578,B1568-12)+in_two_wheeler_renew^2*SUMIFS(AR1556:AR1578,B1556:B1578,B1568-24)+in_two_wheeler_renew^3*SUMIFS(AR1556:AR1578,B1556:B1578,B1568-36)+in_two_wheeler_renew^4*SUMIFS(AR1556:AR1578,B1556:B1578,B1568-48))</f>
        <v/>
      </c>
      <c r="AT1568" s="40">
        <f>AT1567*(1-IF(B1567&gt;=in_marketplace_from,d_hz_device*G1567,0))</f>
        <v/>
      </c>
      <c r="AU1568" s="14">
        <f>F1568*AT1568*IF(B1568&gt;=in_marketplace_from,d_hz_device*G1568,0)*in_device_ticket*in_device_comm*in_ins_partner_share</f>
        <v/>
      </c>
      <c r="AV1568" s="40">
        <f>AV1567*(1-IF(B1567&gt;=in_marketplace_from,d_hz_shop*G1567,0))</f>
        <v/>
      </c>
      <c r="AW1568" s="46">
        <f>AV1568*IF(B1568&gt;=in_marketplace_from,d_hz_shop*G1568,0)</f>
        <v/>
      </c>
      <c r="AX1568" s="14">
        <f>F1568*AW1568*in_shop_ticket*in_shop_comm*in_ins_partner_share+F1568*in_shop_ticket*in_shop_renew_comm*in_ins_partner_share*(in_shop_renew^1*SUMIFS(AW1556:AW1578,B1556:B1578,B1568-12)+in_shop_renew^2*SUMIFS(AW1556:AW1578,B1556:B1578,B1568-24)+in_shop_renew^3*SUMIFS(AW1556:AW1578,B1556:B1578,B1568-36)+in_shop_renew^4*SUMIFS(AW1556:AW1578,B1556:B1578,B1568-48))</f>
        <v/>
      </c>
      <c r="AY1568" s="40">
        <f>AY1567*(1-IF(B1567&gt;=in_marketplace_from,d_hz_sip*G1567,0))</f>
        <v/>
      </c>
      <c r="AZ1568" s="40">
        <f>AZ1567*d_rho_sip+AY1568*IF(B1568&gt;=in_marketplace_from,d_hz_sip*G1568,0)</f>
        <v/>
      </c>
      <c r="BA1568" s="40">
        <f>d_rho_sip*(BA1567+AZ1567)</f>
        <v/>
      </c>
      <c r="BB1568" s="14">
        <f>F1568*in_sip_ticket*(BA1568+0.5*AZ1568)*in_sip_comm/12</f>
        <v/>
      </c>
      <c r="BC1568" s="40">
        <f>BC1567*(1-IF(B1567&gt;=in_marketplace_from,d_hz_choti*G1567,0))</f>
        <v/>
      </c>
      <c r="BD1568" s="46">
        <f>BC1568*IF(B1568&gt;=in_marketplace_from,d_hz_choti*G1568,0)</f>
        <v/>
      </c>
      <c r="BE1568" s="14">
        <f>F1568*SUMIFS(BD1556:BD1578,B1556:B1578,B1568-in_choti_months)*in_choti_renew*in_choti_ticket</f>
        <v/>
      </c>
      <c r="BF1568" s="40">
        <f>BF1567*(1-IF(B1567&gt;=in_marketplace_from,d_hz_nps*G1567,0))</f>
        <v/>
      </c>
      <c r="BG1568" s="14">
        <f>F1568*BF1568*IF(B1568&gt;=in_marketplace_from,d_hz_nps*G1568,0)*in_nps_ticket*in_nps_comm</f>
        <v/>
      </c>
      <c r="BH1568" s="40">
        <f>BH1567*(1-IF(B1567&gt;=in_marketplace_from,d_hz_gold*G1567,0))</f>
        <v/>
      </c>
      <c r="BI1568" s="40">
        <f>BI1567*d_rho_gold+BH1568*IF(B1568&gt;=in_marketplace_from,d_hz_gold*G1568,0)</f>
        <v/>
      </c>
      <c r="BJ1568" s="14">
        <f>F1568*BI1568*in_gold_ticket*in_gold_comm</f>
        <v/>
      </c>
      <c r="BK1568" s="40">
        <f>BK1567*(1-IF(B1567&gt;=in_marketplace_from,d_hz_fd*G1567,0))</f>
        <v/>
      </c>
      <c r="BL1568" s="14">
        <f>F1568*BK1568*IF(B1568&gt;=in_marketplace_from,d_hz_fd*G1568,0)*in_fd_ticket*in_fd_comm</f>
        <v/>
      </c>
      <c r="BM1568" s="40">
        <f>BM1567*(1-IF(B1567&gt;=in_marketplace_from,d_hz_recharge*G1567,0))</f>
        <v/>
      </c>
      <c r="BN1568" s="40">
        <f>BN1567*d_rho_recharge+BM1568*IF(B1568&gt;=in_marketplace_from,d_hz_recharge*G1568,0)</f>
        <v/>
      </c>
      <c r="BO1568" s="14">
        <f>F1568*BN1568*in_recharge_ticket*in_recharge_comm/12</f>
        <v/>
      </c>
      <c r="BP1568" s="40">
        <f>BP1567*(1-IF(B1567&gt;=in_marketplace_from,d_hz_bills*G1567,0))</f>
        <v/>
      </c>
      <c r="BQ1568" s="40">
        <f>BQ1567*d_rho_bills+BP1568*IF(B1568&gt;=in_marketplace_from,d_hz_bills*G1568,0)</f>
        <v/>
      </c>
      <c r="BR1568" s="14">
        <f>F1568*BQ1568*in_bills_ticket*in_bills_comm/12</f>
        <v/>
      </c>
      <c r="BS1568" s="40">
        <f>BS1567*(1-IF(B1567&gt;=in_marketplace_from,d_hz_loan_gold*G1567,0))</f>
        <v/>
      </c>
      <c r="BT1568" s="14">
        <f>F1568*BS1568*IF(B1568&gt;=in_marketplace_from,d_hz_loan_gold*G1568,0)*in_loan_gold_ticket*in_loan_gold_comm</f>
        <v/>
      </c>
      <c r="BU1568" s="40">
        <f>BU1567*(1-IF(B1567&gt;=in_marketplace_from,d_hz_loan_cd*G1567,0))</f>
        <v/>
      </c>
      <c r="BV1568" s="14">
        <f>F1568*BU1568*IF(B1568&gt;=in_marketplace_from,d_hz_loan_cd*G1568,0)*in_loan_cd_ticket*in_loan_cd_comm</f>
        <v/>
      </c>
      <c r="BW1568" s="40">
        <f>BW1567*(1-IF(B1567&gt;=in_marketplace_from,d_hz_loan_vehicle*G1567,0))</f>
        <v/>
      </c>
      <c r="BX1568" s="14">
        <f>F1568*BW1568*IF(B1568&gt;=in_marketplace_from,d_hz_loan_vehicle*G1568,0)*in_loan_vehicle_ticket*in_loan_vehicle_comm</f>
        <v/>
      </c>
      <c r="BY1568" s="40">
        <f>BY1567*(1-IF(B1567&gt;=in_marketplace_from,d_hz_loan_home*G1567,0)*BZ1567)</f>
        <v/>
      </c>
      <c r="BZ1568" s="11">
        <f>MIN(in_approval_cap,in_loan_home_approval*INDEX('Age profile'!$O$2:$O$61,B1568)*(1+in_approval_growth)^(D1568-1))</f>
        <v/>
      </c>
      <c r="CA1568" s="14">
        <f>F1568*BY1568*IF(B1568&gt;=in_marketplace_from,d_hz_loan_home*G1568,0)*BZ1568*in_loan_home_ticket*in_loan_home_comm</f>
        <v/>
      </c>
      <c r="CB1568" s="40">
        <f>CB1567*(1-IF(B1567&gt;=in_marketplace_from,d_hz_loan_lap*G1567,0)*CC1567)</f>
        <v/>
      </c>
      <c r="CC1568" s="11">
        <f>MIN(in_approval_cap,in_loan_lap_approval*INDEX('Age profile'!$O$2:$O$61,B1568)*(1+in_approval_growth)^(D1568-1))</f>
        <v/>
      </c>
      <c r="CD1568" s="14">
        <f>F1568*CB1568*IF(B1568&gt;=in_marketplace_from,d_hz_loan_lap*G1568,0)*CC1568*in_loan_lap_ticket*in_loan_lap_comm</f>
        <v/>
      </c>
      <c r="CE1568" s="14">
        <f>AA1568+AB1568+AC1568+AD1568+AG1568+AJ1568+AM1568+AP1568+AS1568+AU1568+AX1568+BB1568+BE1568+BG1568+BJ1568+BL1568+BO1568+BR1568+BT1568+BV1568+BX1568+CA1568+CD1568</f>
        <v/>
      </c>
    </row>
    <row r="1569">
      <c r="A1569" s="39" t="n">
        <v>38</v>
      </c>
      <c r="B1569" s="39" t="n">
        <v>14</v>
      </c>
      <c r="C1569" s="39">
        <f>A1569+B1569-1</f>
        <v/>
      </c>
      <c r="D1569" s="39">
        <f>INT((C1569-1)/12)+1</f>
        <v/>
      </c>
      <c r="E1569" s="44">
        <f>INDEX(Monthly!$B$2:$B$61,A1569)</f>
        <v/>
      </c>
      <c r="F1569" s="44">
        <f>E1569*INDEX('Age profile'!$B$2:$B$61,B1569)</f>
        <v/>
      </c>
      <c r="G1569" s="45">
        <f>MIN(in_takeup_cap,INDEX('Age profile'!$N$2:$N$61,B1569)*(1+in_takeup_growth)^(D1569-1))</f>
        <v/>
      </c>
      <c r="H1569" s="11">
        <f>MIN(in_approval_cap,in_approved_first*INDEX('Age profile'!$O$2:$O$61,B1569)*(1+in_approval_growth)^(D1569-1))</f>
        <v/>
      </c>
      <c r="I1569" s="45">
        <f>G1569*MIN(in_takeup_cap,INDEX('Age profile'!$O$2:$O$61,B1569)*(1+in_approval_growth)^(D1569-1))</f>
        <v/>
      </c>
      <c r="J1569" s="40">
        <f>(J1568-L1568)*F1569/F1568</f>
        <v/>
      </c>
      <c r="K1569" s="40">
        <f>(K1568-M1568)*F1569/F1568+SUMIFS(O1556:O1568,B1556:B1568,B1569-1-d_T)*F1569</f>
        <v/>
      </c>
      <c r="L1569" s="40">
        <f>IF(B1569&gt;=in_marketplace_from,J1569*d_hz*G1569*in_eligible*H1569,0)</f>
        <v/>
      </c>
      <c r="M1569" s="40">
        <f>IF(B1569&gt;=in_marketplace_from,K1569*d_hz*G1569*in_eligible*in_approved_repeat,0)</f>
        <v/>
      </c>
      <c r="N1569" s="40">
        <f>L1569+M1569</f>
        <v/>
      </c>
      <c r="O1569" s="46">
        <f>N1569/F1569</f>
        <v/>
      </c>
      <c r="P1569" s="40">
        <f>F1569-J1569-K1569</f>
        <v/>
      </c>
      <c r="Q1569" s="40">
        <f>IF(B1569&gt;=in_marketplace_from,(J1569+K1569)*d_hz*G1569,0)</f>
        <v/>
      </c>
      <c r="R1569" s="40">
        <f>SUMIFS(N1556:N1578,B1556:B1578,"&gt;="&amp;(B1569-d_T),B1556:B1578,"&lt;="&amp;(B1569-1))</f>
        <v/>
      </c>
      <c r="S1569" s="46">
        <f>(1-d_u)*S1568+IF(d_T&gt;in_topup_lag,SUMIFS(O1556:O1578,B1556:B1578,B1569-in_topup_lag)-d_udrop*SUMIFS(O1556:O1578,B1556:B1578,B1569-d_T),0)</f>
        <v/>
      </c>
      <c r="T1569" s="40">
        <f>F1569*d_u*S1569</f>
        <v/>
      </c>
      <c r="U1569" s="9">
        <f>L1569*in_ticket+M1569*d_rep_ticket</f>
        <v/>
      </c>
      <c r="V1569" s="9">
        <f>U1569+T1569*d_topup_amt</f>
        <v/>
      </c>
      <c r="W1569" s="40">
        <f>N1569+T1569*d_topup_ratio</f>
        <v/>
      </c>
      <c r="X1569" s="40">
        <f>SUMIFS(W1556:W1578,B1556:B1578,B1569-in_dpd_lag)*d_cured</f>
        <v/>
      </c>
      <c r="Y1569" s="40">
        <f>SUMIFS(W1556:W1578,B1556:B1578,B1569-in_rec_lag)*d_recd</f>
        <v/>
      </c>
      <c r="Z1569" s="40">
        <f>IF(AND(B1569&gt;=in_marketplace_from,B1569&lt;in_marketplace_from+in_card_months),in_card_share/in_card_months*F1569*I1569,IF(AND(B1569&gt;=in_marketplace_from+in_card_months,B1569&lt;in_marketplace_from+2*in_card_months),in_card_share*d_card_rem/in_card_months*F1569*MIN(in_takeup_cap,(1+in_takeup_growth)^(D1569-1))*MIN(in_takeup_cap,(1+in_approval_growth)^(D1569-1)),0))</f>
        <v/>
      </c>
      <c r="AA1569" s="14">
        <f>V1569*in_fee*(1-in_taken_back)</f>
        <v/>
      </c>
      <c r="AB1569" s="14">
        <f>SUMIFS(W1556:W1578,B1556:B1578,B1569-in_dpd_lag)*d_dpd</f>
        <v/>
      </c>
      <c r="AC1569" s="14">
        <f>SUMIFS(W1556:W1578,B1556:B1578,B1569-in_rec_lag)*d_rec</f>
        <v/>
      </c>
      <c r="AD1569" s="14">
        <f>Z1569*in_card_fee</f>
        <v/>
      </c>
      <c r="AE1569" s="40">
        <f>AE1568*(1-IF(B1568&gt;=in_marketplace_from,d_hz_hlth_small*G1568,0))</f>
        <v/>
      </c>
      <c r="AF1569" s="46">
        <f>AE1569*IF(B1569&gt;=in_marketplace_from,d_hz_hlth_small*G1569,0)</f>
        <v/>
      </c>
      <c r="AG1569" s="14">
        <f>F1569*AF1569*in_hlth_small_ticket*in_hlth_small_comm*in_ins_partner_share+F1569*in_hlth_small_ticket*in_hlth_small_renew_comm*in_ins_partner_share*(in_hlth_small_renew^1*SUMIFS(AF1556:AF1578,B1556:B1578,B1569-12)+in_hlth_small_renew^2*SUMIFS(AF1556:AF1578,B1556:B1578,B1569-24)+in_hlth_small_renew^3*SUMIFS(AF1556:AF1578,B1556:B1578,B1569-36)+in_hlth_small_renew^4*SUMIFS(AF1556:AF1578,B1556:B1578,B1569-48))</f>
        <v/>
      </c>
      <c r="AH1569" s="40">
        <f>AH1568*(1-IF(B1568&gt;=in_marketplace_from,d_hz_hlth_family*G1568,0))</f>
        <v/>
      </c>
      <c r="AI1569" s="46">
        <f>AH1569*IF(B1569&gt;=in_marketplace_from,d_hz_hlth_family*G1569,0)</f>
        <v/>
      </c>
      <c r="AJ1569" s="14">
        <f>F1569*AI1569*in_hlth_family_ticket*in_hlth_family_comm*in_ins_partner_share+F1569*in_hlth_family_ticket*in_hlth_family_renew_comm*in_ins_partner_share*(in_hlth_family_renew^1*SUMIFS(AI1556:AI1578,B1556:B1578,B1569-12)+in_hlth_family_renew^2*SUMIFS(AI1556:AI1578,B1556:B1578,B1569-24)+in_hlth_family_renew^3*SUMIFS(AI1556:AI1578,B1556:B1578,B1569-36)+in_hlth_family_renew^4*SUMIFS(AI1556:AI1578,B1556:B1578,B1569-48))</f>
        <v/>
      </c>
      <c r="AK1569" s="40">
        <f>AK1568*(1-IF(B1568&gt;=in_marketplace_from,d_hz_life_term*G1568,0))</f>
        <v/>
      </c>
      <c r="AL1569" s="46">
        <f>AK1569*IF(B1569&gt;=in_marketplace_from,d_hz_life_term*G1569,0)</f>
        <v/>
      </c>
      <c r="AM1569" s="14">
        <f>F1569*AL1569*in_life_term_ticket*in_life_term_comm*in_ins_partner_share+F1569*in_life_term_ticket*in_life_term_renew_comm*in_ins_partner_share*(in_life_term_renew^1*SUMIFS(AL1556:AL1578,B1556:B1578,B1569-12)+in_life_term_renew^2*SUMIFS(AL1556:AL1578,B1556:B1578,B1569-24)+in_life_term_renew^3*SUMIFS(AL1556:AL1578,B1556:B1578,B1569-36)+in_life_term_renew^4*SUMIFS(AL1556:AL1578,B1556:B1578,B1569-48))</f>
        <v/>
      </c>
      <c r="AN1569" s="40">
        <f>AN1568*(1-IF(B1568&gt;=in_marketplace_from,d_hz_accident*G1568,0))</f>
        <v/>
      </c>
      <c r="AO1569" s="46">
        <f>AN1569*IF(B1569&gt;=in_marketplace_from,d_hz_accident*G1569,0)</f>
        <v/>
      </c>
      <c r="AP1569" s="14">
        <f>F1569*AO1569*in_accident_ticket*in_accident_comm*in_ins_partner_share+F1569*in_accident_ticket*in_accident_renew_comm*in_ins_partner_share*(in_accident_renew^1*SUMIFS(AO1556:AO1578,B1556:B1578,B1569-12)+in_accident_renew^2*SUMIFS(AO1556:AO1578,B1556:B1578,B1569-24)+in_accident_renew^3*SUMIFS(AO1556:AO1578,B1556:B1578,B1569-36)+in_accident_renew^4*SUMIFS(AO1556:AO1578,B1556:B1578,B1569-48))</f>
        <v/>
      </c>
      <c r="AQ1569" s="40">
        <f>AQ1568*(1-IF(B1568&gt;=in_marketplace_from,d_hz_two_wheeler*G1568,0))</f>
        <v/>
      </c>
      <c r="AR1569" s="46">
        <f>AQ1569*IF(B1569&gt;=in_marketplace_from,d_hz_two_wheeler*G1569,0)</f>
        <v/>
      </c>
      <c r="AS1569" s="14">
        <f>F1569*AR1569*in_two_wheeler_ticket*in_two_wheeler_comm*in_ins_partner_share+F1569*in_two_wheeler_ticket*in_two_wheeler_comm*in_ins_partner_share*(in_two_wheeler_renew^1*SUMIFS(AR1556:AR1578,B1556:B1578,B1569-12)+in_two_wheeler_renew^2*SUMIFS(AR1556:AR1578,B1556:B1578,B1569-24)+in_two_wheeler_renew^3*SUMIFS(AR1556:AR1578,B1556:B1578,B1569-36)+in_two_wheeler_renew^4*SUMIFS(AR1556:AR1578,B1556:B1578,B1569-48))</f>
        <v/>
      </c>
      <c r="AT1569" s="40">
        <f>AT1568*(1-IF(B1568&gt;=in_marketplace_from,d_hz_device*G1568,0))</f>
        <v/>
      </c>
      <c r="AU1569" s="14">
        <f>F1569*AT1569*IF(B1569&gt;=in_marketplace_from,d_hz_device*G1569,0)*in_device_ticket*in_device_comm*in_ins_partner_share</f>
        <v/>
      </c>
      <c r="AV1569" s="40">
        <f>AV1568*(1-IF(B1568&gt;=in_marketplace_from,d_hz_shop*G1568,0))</f>
        <v/>
      </c>
      <c r="AW1569" s="46">
        <f>AV1569*IF(B1569&gt;=in_marketplace_from,d_hz_shop*G1569,0)</f>
        <v/>
      </c>
      <c r="AX1569" s="14">
        <f>F1569*AW1569*in_shop_ticket*in_shop_comm*in_ins_partner_share+F1569*in_shop_ticket*in_shop_renew_comm*in_ins_partner_share*(in_shop_renew^1*SUMIFS(AW1556:AW1578,B1556:B1578,B1569-12)+in_shop_renew^2*SUMIFS(AW1556:AW1578,B1556:B1578,B1569-24)+in_shop_renew^3*SUMIFS(AW1556:AW1578,B1556:B1578,B1569-36)+in_shop_renew^4*SUMIFS(AW1556:AW1578,B1556:B1578,B1569-48))</f>
        <v/>
      </c>
      <c r="AY1569" s="40">
        <f>AY1568*(1-IF(B1568&gt;=in_marketplace_from,d_hz_sip*G1568,0))</f>
        <v/>
      </c>
      <c r="AZ1569" s="40">
        <f>AZ1568*d_rho_sip+AY1569*IF(B1569&gt;=in_marketplace_from,d_hz_sip*G1569,0)</f>
        <v/>
      </c>
      <c r="BA1569" s="40">
        <f>d_rho_sip*(BA1568+AZ1568)</f>
        <v/>
      </c>
      <c r="BB1569" s="14">
        <f>F1569*in_sip_ticket*(BA1569+0.5*AZ1569)*in_sip_comm/12</f>
        <v/>
      </c>
      <c r="BC1569" s="40">
        <f>BC1568*(1-IF(B1568&gt;=in_marketplace_from,d_hz_choti*G1568,0))</f>
        <v/>
      </c>
      <c r="BD1569" s="46">
        <f>BC1569*IF(B1569&gt;=in_marketplace_from,d_hz_choti*G1569,0)</f>
        <v/>
      </c>
      <c r="BE1569" s="14">
        <f>F1569*SUMIFS(BD1556:BD1578,B1556:B1578,B1569-in_choti_months)*in_choti_renew*in_choti_ticket</f>
        <v/>
      </c>
      <c r="BF1569" s="40">
        <f>BF1568*(1-IF(B1568&gt;=in_marketplace_from,d_hz_nps*G1568,0))</f>
        <v/>
      </c>
      <c r="BG1569" s="14">
        <f>F1569*BF1569*IF(B1569&gt;=in_marketplace_from,d_hz_nps*G1569,0)*in_nps_ticket*in_nps_comm</f>
        <v/>
      </c>
      <c r="BH1569" s="40">
        <f>BH1568*(1-IF(B1568&gt;=in_marketplace_from,d_hz_gold*G1568,0))</f>
        <v/>
      </c>
      <c r="BI1569" s="40">
        <f>BI1568*d_rho_gold+BH1569*IF(B1569&gt;=in_marketplace_from,d_hz_gold*G1569,0)</f>
        <v/>
      </c>
      <c r="BJ1569" s="14">
        <f>F1569*BI1569*in_gold_ticket*in_gold_comm</f>
        <v/>
      </c>
      <c r="BK1569" s="40">
        <f>BK1568*(1-IF(B1568&gt;=in_marketplace_from,d_hz_fd*G1568,0))</f>
        <v/>
      </c>
      <c r="BL1569" s="14">
        <f>F1569*BK1569*IF(B1569&gt;=in_marketplace_from,d_hz_fd*G1569,0)*in_fd_ticket*in_fd_comm</f>
        <v/>
      </c>
      <c r="BM1569" s="40">
        <f>BM1568*(1-IF(B1568&gt;=in_marketplace_from,d_hz_recharge*G1568,0))</f>
        <v/>
      </c>
      <c r="BN1569" s="40">
        <f>BN1568*d_rho_recharge+BM1569*IF(B1569&gt;=in_marketplace_from,d_hz_recharge*G1569,0)</f>
        <v/>
      </c>
      <c r="BO1569" s="14">
        <f>F1569*BN1569*in_recharge_ticket*in_recharge_comm/12</f>
        <v/>
      </c>
      <c r="BP1569" s="40">
        <f>BP1568*(1-IF(B1568&gt;=in_marketplace_from,d_hz_bills*G1568,0))</f>
        <v/>
      </c>
      <c r="BQ1569" s="40">
        <f>BQ1568*d_rho_bills+BP1569*IF(B1569&gt;=in_marketplace_from,d_hz_bills*G1569,0)</f>
        <v/>
      </c>
      <c r="BR1569" s="14">
        <f>F1569*BQ1569*in_bills_ticket*in_bills_comm/12</f>
        <v/>
      </c>
      <c r="BS1569" s="40">
        <f>BS1568*(1-IF(B1568&gt;=in_marketplace_from,d_hz_loan_gold*G1568,0))</f>
        <v/>
      </c>
      <c r="BT1569" s="14">
        <f>F1569*BS1569*IF(B1569&gt;=in_marketplace_from,d_hz_loan_gold*G1569,0)*in_loan_gold_ticket*in_loan_gold_comm</f>
        <v/>
      </c>
      <c r="BU1569" s="40">
        <f>BU1568*(1-IF(B1568&gt;=in_marketplace_from,d_hz_loan_cd*G1568,0))</f>
        <v/>
      </c>
      <c r="BV1569" s="14">
        <f>F1569*BU1569*IF(B1569&gt;=in_marketplace_from,d_hz_loan_cd*G1569,0)*in_loan_cd_ticket*in_loan_cd_comm</f>
        <v/>
      </c>
      <c r="BW1569" s="40">
        <f>BW1568*(1-IF(B1568&gt;=in_marketplace_from,d_hz_loan_vehicle*G1568,0))</f>
        <v/>
      </c>
      <c r="BX1569" s="14">
        <f>F1569*BW1569*IF(B1569&gt;=in_marketplace_from,d_hz_loan_vehicle*G1569,0)*in_loan_vehicle_ticket*in_loan_vehicle_comm</f>
        <v/>
      </c>
      <c r="BY1569" s="40">
        <f>BY1568*(1-IF(B1568&gt;=in_marketplace_from,d_hz_loan_home*G1568,0)*BZ1568)</f>
        <v/>
      </c>
      <c r="BZ1569" s="11">
        <f>MIN(in_approval_cap,in_loan_home_approval*INDEX('Age profile'!$O$2:$O$61,B1569)*(1+in_approval_growth)^(D1569-1))</f>
        <v/>
      </c>
      <c r="CA1569" s="14">
        <f>F1569*BY1569*IF(B1569&gt;=in_marketplace_from,d_hz_loan_home*G1569,0)*BZ1569*in_loan_home_ticket*in_loan_home_comm</f>
        <v/>
      </c>
      <c r="CB1569" s="40">
        <f>CB1568*(1-IF(B1568&gt;=in_marketplace_from,d_hz_loan_lap*G1568,0)*CC1568)</f>
        <v/>
      </c>
      <c r="CC1569" s="11">
        <f>MIN(in_approval_cap,in_loan_lap_approval*INDEX('Age profile'!$O$2:$O$61,B1569)*(1+in_approval_growth)^(D1569-1))</f>
        <v/>
      </c>
      <c r="CD1569" s="14">
        <f>F1569*CB1569*IF(B1569&gt;=in_marketplace_from,d_hz_loan_lap*G1569,0)*CC1569*in_loan_lap_ticket*in_loan_lap_comm</f>
        <v/>
      </c>
      <c r="CE1569" s="14">
        <f>AA1569+AB1569+AC1569+AD1569+AG1569+AJ1569+AM1569+AP1569+AS1569+AU1569+AX1569+BB1569+BE1569+BG1569+BJ1569+BL1569+BO1569+BR1569+BT1569+BV1569+BX1569+CA1569+CD1569</f>
        <v/>
      </c>
    </row>
    <row r="1570">
      <c r="A1570" s="39" t="n">
        <v>38</v>
      </c>
      <c r="B1570" s="39" t="n">
        <v>15</v>
      </c>
      <c r="C1570" s="39">
        <f>A1570+B1570-1</f>
        <v/>
      </c>
      <c r="D1570" s="39">
        <f>INT((C1570-1)/12)+1</f>
        <v/>
      </c>
      <c r="E1570" s="44">
        <f>INDEX(Monthly!$B$2:$B$61,A1570)</f>
        <v/>
      </c>
      <c r="F1570" s="44">
        <f>E1570*INDEX('Age profile'!$B$2:$B$61,B1570)</f>
        <v/>
      </c>
      <c r="G1570" s="45">
        <f>MIN(in_takeup_cap,INDEX('Age profile'!$N$2:$N$61,B1570)*(1+in_takeup_growth)^(D1570-1))</f>
        <v/>
      </c>
      <c r="H1570" s="11">
        <f>MIN(in_approval_cap,in_approved_first*INDEX('Age profile'!$O$2:$O$61,B1570)*(1+in_approval_growth)^(D1570-1))</f>
        <v/>
      </c>
      <c r="I1570" s="45">
        <f>G1570*MIN(in_takeup_cap,INDEX('Age profile'!$O$2:$O$61,B1570)*(1+in_approval_growth)^(D1570-1))</f>
        <v/>
      </c>
      <c r="J1570" s="40">
        <f>(J1569-L1569)*F1570/F1569</f>
        <v/>
      </c>
      <c r="K1570" s="40">
        <f>(K1569-M1569)*F1570/F1569+SUMIFS(O1556:O1569,B1556:B1569,B1570-1-d_T)*F1570</f>
        <v/>
      </c>
      <c r="L1570" s="40">
        <f>IF(B1570&gt;=in_marketplace_from,J1570*d_hz*G1570*in_eligible*H1570,0)</f>
        <v/>
      </c>
      <c r="M1570" s="40">
        <f>IF(B1570&gt;=in_marketplace_from,K1570*d_hz*G1570*in_eligible*in_approved_repeat,0)</f>
        <v/>
      </c>
      <c r="N1570" s="40">
        <f>L1570+M1570</f>
        <v/>
      </c>
      <c r="O1570" s="46">
        <f>N1570/F1570</f>
        <v/>
      </c>
      <c r="P1570" s="40">
        <f>F1570-J1570-K1570</f>
        <v/>
      </c>
      <c r="Q1570" s="40">
        <f>IF(B1570&gt;=in_marketplace_from,(J1570+K1570)*d_hz*G1570,0)</f>
        <v/>
      </c>
      <c r="R1570" s="40">
        <f>SUMIFS(N1556:N1578,B1556:B1578,"&gt;="&amp;(B1570-d_T),B1556:B1578,"&lt;="&amp;(B1570-1))</f>
        <v/>
      </c>
      <c r="S1570" s="46">
        <f>(1-d_u)*S1569+IF(d_T&gt;in_topup_lag,SUMIFS(O1556:O1578,B1556:B1578,B1570-in_topup_lag)-d_udrop*SUMIFS(O1556:O1578,B1556:B1578,B1570-d_T),0)</f>
        <v/>
      </c>
      <c r="T1570" s="40">
        <f>F1570*d_u*S1570</f>
        <v/>
      </c>
      <c r="U1570" s="9">
        <f>L1570*in_ticket+M1570*d_rep_ticket</f>
        <v/>
      </c>
      <c r="V1570" s="9">
        <f>U1570+T1570*d_topup_amt</f>
        <v/>
      </c>
      <c r="W1570" s="40">
        <f>N1570+T1570*d_topup_ratio</f>
        <v/>
      </c>
      <c r="X1570" s="40">
        <f>SUMIFS(W1556:W1578,B1556:B1578,B1570-in_dpd_lag)*d_cured</f>
        <v/>
      </c>
      <c r="Y1570" s="40">
        <f>SUMIFS(W1556:W1578,B1556:B1578,B1570-in_rec_lag)*d_recd</f>
        <v/>
      </c>
      <c r="Z1570" s="40">
        <f>IF(AND(B1570&gt;=in_marketplace_from,B1570&lt;in_marketplace_from+in_card_months),in_card_share/in_card_months*F1570*I1570,IF(AND(B1570&gt;=in_marketplace_from+in_card_months,B1570&lt;in_marketplace_from+2*in_card_months),in_card_share*d_card_rem/in_card_months*F1570*MIN(in_takeup_cap,(1+in_takeup_growth)^(D1570-1))*MIN(in_takeup_cap,(1+in_approval_growth)^(D1570-1)),0))</f>
        <v/>
      </c>
      <c r="AA1570" s="14">
        <f>V1570*in_fee*(1-in_taken_back)</f>
        <v/>
      </c>
      <c r="AB1570" s="14">
        <f>SUMIFS(W1556:W1578,B1556:B1578,B1570-in_dpd_lag)*d_dpd</f>
        <v/>
      </c>
      <c r="AC1570" s="14">
        <f>SUMIFS(W1556:W1578,B1556:B1578,B1570-in_rec_lag)*d_rec</f>
        <v/>
      </c>
      <c r="AD1570" s="14">
        <f>Z1570*in_card_fee</f>
        <v/>
      </c>
      <c r="AE1570" s="40">
        <f>AE1569*(1-IF(B1569&gt;=in_marketplace_from,d_hz_hlth_small*G1569,0))</f>
        <v/>
      </c>
      <c r="AF1570" s="46">
        <f>AE1570*IF(B1570&gt;=in_marketplace_from,d_hz_hlth_small*G1570,0)</f>
        <v/>
      </c>
      <c r="AG1570" s="14">
        <f>F1570*AF1570*in_hlth_small_ticket*in_hlth_small_comm*in_ins_partner_share+F1570*in_hlth_small_ticket*in_hlth_small_renew_comm*in_ins_partner_share*(in_hlth_small_renew^1*SUMIFS(AF1556:AF1578,B1556:B1578,B1570-12)+in_hlth_small_renew^2*SUMIFS(AF1556:AF1578,B1556:B1578,B1570-24)+in_hlth_small_renew^3*SUMIFS(AF1556:AF1578,B1556:B1578,B1570-36)+in_hlth_small_renew^4*SUMIFS(AF1556:AF1578,B1556:B1578,B1570-48))</f>
        <v/>
      </c>
      <c r="AH1570" s="40">
        <f>AH1569*(1-IF(B1569&gt;=in_marketplace_from,d_hz_hlth_family*G1569,0))</f>
        <v/>
      </c>
      <c r="AI1570" s="46">
        <f>AH1570*IF(B1570&gt;=in_marketplace_from,d_hz_hlth_family*G1570,0)</f>
        <v/>
      </c>
      <c r="AJ1570" s="14">
        <f>F1570*AI1570*in_hlth_family_ticket*in_hlth_family_comm*in_ins_partner_share+F1570*in_hlth_family_ticket*in_hlth_family_renew_comm*in_ins_partner_share*(in_hlth_family_renew^1*SUMIFS(AI1556:AI1578,B1556:B1578,B1570-12)+in_hlth_family_renew^2*SUMIFS(AI1556:AI1578,B1556:B1578,B1570-24)+in_hlth_family_renew^3*SUMIFS(AI1556:AI1578,B1556:B1578,B1570-36)+in_hlth_family_renew^4*SUMIFS(AI1556:AI1578,B1556:B1578,B1570-48))</f>
        <v/>
      </c>
      <c r="AK1570" s="40">
        <f>AK1569*(1-IF(B1569&gt;=in_marketplace_from,d_hz_life_term*G1569,0))</f>
        <v/>
      </c>
      <c r="AL1570" s="46">
        <f>AK1570*IF(B1570&gt;=in_marketplace_from,d_hz_life_term*G1570,0)</f>
        <v/>
      </c>
      <c r="AM1570" s="14">
        <f>F1570*AL1570*in_life_term_ticket*in_life_term_comm*in_ins_partner_share+F1570*in_life_term_ticket*in_life_term_renew_comm*in_ins_partner_share*(in_life_term_renew^1*SUMIFS(AL1556:AL1578,B1556:B1578,B1570-12)+in_life_term_renew^2*SUMIFS(AL1556:AL1578,B1556:B1578,B1570-24)+in_life_term_renew^3*SUMIFS(AL1556:AL1578,B1556:B1578,B1570-36)+in_life_term_renew^4*SUMIFS(AL1556:AL1578,B1556:B1578,B1570-48))</f>
        <v/>
      </c>
      <c r="AN1570" s="40">
        <f>AN1569*(1-IF(B1569&gt;=in_marketplace_from,d_hz_accident*G1569,0))</f>
        <v/>
      </c>
      <c r="AO1570" s="46">
        <f>AN1570*IF(B1570&gt;=in_marketplace_from,d_hz_accident*G1570,0)</f>
        <v/>
      </c>
      <c r="AP1570" s="14">
        <f>F1570*AO1570*in_accident_ticket*in_accident_comm*in_ins_partner_share+F1570*in_accident_ticket*in_accident_renew_comm*in_ins_partner_share*(in_accident_renew^1*SUMIFS(AO1556:AO1578,B1556:B1578,B1570-12)+in_accident_renew^2*SUMIFS(AO1556:AO1578,B1556:B1578,B1570-24)+in_accident_renew^3*SUMIFS(AO1556:AO1578,B1556:B1578,B1570-36)+in_accident_renew^4*SUMIFS(AO1556:AO1578,B1556:B1578,B1570-48))</f>
        <v/>
      </c>
      <c r="AQ1570" s="40">
        <f>AQ1569*(1-IF(B1569&gt;=in_marketplace_from,d_hz_two_wheeler*G1569,0))</f>
        <v/>
      </c>
      <c r="AR1570" s="46">
        <f>AQ1570*IF(B1570&gt;=in_marketplace_from,d_hz_two_wheeler*G1570,0)</f>
        <v/>
      </c>
      <c r="AS1570" s="14">
        <f>F1570*AR1570*in_two_wheeler_ticket*in_two_wheeler_comm*in_ins_partner_share+F1570*in_two_wheeler_ticket*in_two_wheeler_comm*in_ins_partner_share*(in_two_wheeler_renew^1*SUMIFS(AR1556:AR1578,B1556:B1578,B1570-12)+in_two_wheeler_renew^2*SUMIFS(AR1556:AR1578,B1556:B1578,B1570-24)+in_two_wheeler_renew^3*SUMIFS(AR1556:AR1578,B1556:B1578,B1570-36)+in_two_wheeler_renew^4*SUMIFS(AR1556:AR1578,B1556:B1578,B1570-48))</f>
        <v/>
      </c>
      <c r="AT1570" s="40">
        <f>AT1569*(1-IF(B1569&gt;=in_marketplace_from,d_hz_device*G1569,0))</f>
        <v/>
      </c>
      <c r="AU1570" s="14">
        <f>F1570*AT1570*IF(B1570&gt;=in_marketplace_from,d_hz_device*G1570,0)*in_device_ticket*in_device_comm*in_ins_partner_share</f>
        <v/>
      </c>
      <c r="AV1570" s="40">
        <f>AV1569*(1-IF(B1569&gt;=in_marketplace_from,d_hz_shop*G1569,0))</f>
        <v/>
      </c>
      <c r="AW1570" s="46">
        <f>AV1570*IF(B1570&gt;=in_marketplace_from,d_hz_shop*G1570,0)</f>
        <v/>
      </c>
      <c r="AX1570" s="14">
        <f>F1570*AW1570*in_shop_ticket*in_shop_comm*in_ins_partner_share+F1570*in_shop_ticket*in_shop_renew_comm*in_ins_partner_share*(in_shop_renew^1*SUMIFS(AW1556:AW1578,B1556:B1578,B1570-12)+in_shop_renew^2*SUMIFS(AW1556:AW1578,B1556:B1578,B1570-24)+in_shop_renew^3*SUMIFS(AW1556:AW1578,B1556:B1578,B1570-36)+in_shop_renew^4*SUMIFS(AW1556:AW1578,B1556:B1578,B1570-48))</f>
        <v/>
      </c>
      <c r="AY1570" s="40">
        <f>AY1569*(1-IF(B1569&gt;=in_marketplace_from,d_hz_sip*G1569,0))</f>
        <v/>
      </c>
      <c r="AZ1570" s="40">
        <f>AZ1569*d_rho_sip+AY1570*IF(B1570&gt;=in_marketplace_from,d_hz_sip*G1570,0)</f>
        <v/>
      </c>
      <c r="BA1570" s="40">
        <f>d_rho_sip*(BA1569+AZ1569)</f>
        <v/>
      </c>
      <c r="BB1570" s="14">
        <f>F1570*in_sip_ticket*(BA1570+0.5*AZ1570)*in_sip_comm/12</f>
        <v/>
      </c>
      <c r="BC1570" s="40">
        <f>BC1569*(1-IF(B1569&gt;=in_marketplace_from,d_hz_choti*G1569,0))</f>
        <v/>
      </c>
      <c r="BD1570" s="46">
        <f>BC1570*IF(B1570&gt;=in_marketplace_from,d_hz_choti*G1570,0)</f>
        <v/>
      </c>
      <c r="BE1570" s="14">
        <f>F1570*SUMIFS(BD1556:BD1578,B1556:B1578,B1570-in_choti_months)*in_choti_renew*in_choti_ticket</f>
        <v/>
      </c>
      <c r="BF1570" s="40">
        <f>BF1569*(1-IF(B1569&gt;=in_marketplace_from,d_hz_nps*G1569,0))</f>
        <v/>
      </c>
      <c r="BG1570" s="14">
        <f>F1570*BF1570*IF(B1570&gt;=in_marketplace_from,d_hz_nps*G1570,0)*in_nps_ticket*in_nps_comm</f>
        <v/>
      </c>
      <c r="BH1570" s="40">
        <f>BH1569*(1-IF(B1569&gt;=in_marketplace_from,d_hz_gold*G1569,0))</f>
        <v/>
      </c>
      <c r="BI1570" s="40">
        <f>BI1569*d_rho_gold+BH1570*IF(B1570&gt;=in_marketplace_from,d_hz_gold*G1570,0)</f>
        <v/>
      </c>
      <c r="BJ1570" s="14">
        <f>F1570*BI1570*in_gold_ticket*in_gold_comm</f>
        <v/>
      </c>
      <c r="BK1570" s="40">
        <f>BK1569*(1-IF(B1569&gt;=in_marketplace_from,d_hz_fd*G1569,0))</f>
        <v/>
      </c>
      <c r="BL1570" s="14">
        <f>F1570*BK1570*IF(B1570&gt;=in_marketplace_from,d_hz_fd*G1570,0)*in_fd_ticket*in_fd_comm</f>
        <v/>
      </c>
      <c r="BM1570" s="40">
        <f>BM1569*(1-IF(B1569&gt;=in_marketplace_from,d_hz_recharge*G1569,0))</f>
        <v/>
      </c>
      <c r="BN1570" s="40">
        <f>BN1569*d_rho_recharge+BM1570*IF(B1570&gt;=in_marketplace_from,d_hz_recharge*G1570,0)</f>
        <v/>
      </c>
      <c r="BO1570" s="14">
        <f>F1570*BN1570*in_recharge_ticket*in_recharge_comm/12</f>
        <v/>
      </c>
      <c r="BP1570" s="40">
        <f>BP1569*(1-IF(B1569&gt;=in_marketplace_from,d_hz_bills*G1569,0))</f>
        <v/>
      </c>
      <c r="BQ1570" s="40">
        <f>BQ1569*d_rho_bills+BP1570*IF(B1570&gt;=in_marketplace_from,d_hz_bills*G1570,0)</f>
        <v/>
      </c>
      <c r="BR1570" s="14">
        <f>F1570*BQ1570*in_bills_ticket*in_bills_comm/12</f>
        <v/>
      </c>
      <c r="BS1570" s="40">
        <f>BS1569*(1-IF(B1569&gt;=in_marketplace_from,d_hz_loan_gold*G1569,0))</f>
        <v/>
      </c>
      <c r="BT1570" s="14">
        <f>F1570*BS1570*IF(B1570&gt;=in_marketplace_from,d_hz_loan_gold*G1570,0)*in_loan_gold_ticket*in_loan_gold_comm</f>
        <v/>
      </c>
      <c r="BU1570" s="40">
        <f>BU1569*(1-IF(B1569&gt;=in_marketplace_from,d_hz_loan_cd*G1569,0))</f>
        <v/>
      </c>
      <c r="BV1570" s="14">
        <f>F1570*BU1570*IF(B1570&gt;=in_marketplace_from,d_hz_loan_cd*G1570,0)*in_loan_cd_ticket*in_loan_cd_comm</f>
        <v/>
      </c>
      <c r="BW1570" s="40">
        <f>BW1569*(1-IF(B1569&gt;=in_marketplace_from,d_hz_loan_vehicle*G1569,0))</f>
        <v/>
      </c>
      <c r="BX1570" s="14">
        <f>F1570*BW1570*IF(B1570&gt;=in_marketplace_from,d_hz_loan_vehicle*G1570,0)*in_loan_vehicle_ticket*in_loan_vehicle_comm</f>
        <v/>
      </c>
      <c r="BY1570" s="40">
        <f>BY1569*(1-IF(B1569&gt;=in_marketplace_from,d_hz_loan_home*G1569,0)*BZ1569)</f>
        <v/>
      </c>
      <c r="BZ1570" s="11">
        <f>MIN(in_approval_cap,in_loan_home_approval*INDEX('Age profile'!$O$2:$O$61,B1570)*(1+in_approval_growth)^(D1570-1))</f>
        <v/>
      </c>
      <c r="CA1570" s="14">
        <f>F1570*BY1570*IF(B1570&gt;=in_marketplace_from,d_hz_loan_home*G1570,0)*BZ1570*in_loan_home_ticket*in_loan_home_comm</f>
        <v/>
      </c>
      <c r="CB1570" s="40">
        <f>CB1569*(1-IF(B1569&gt;=in_marketplace_from,d_hz_loan_lap*G1569,0)*CC1569)</f>
        <v/>
      </c>
      <c r="CC1570" s="11">
        <f>MIN(in_approval_cap,in_loan_lap_approval*INDEX('Age profile'!$O$2:$O$61,B1570)*(1+in_approval_growth)^(D1570-1))</f>
        <v/>
      </c>
      <c r="CD1570" s="14">
        <f>F1570*CB1570*IF(B1570&gt;=in_marketplace_from,d_hz_loan_lap*G1570,0)*CC1570*in_loan_lap_ticket*in_loan_lap_comm</f>
        <v/>
      </c>
      <c r="CE1570" s="14">
        <f>AA1570+AB1570+AC1570+AD1570+AG1570+AJ1570+AM1570+AP1570+AS1570+AU1570+AX1570+BB1570+BE1570+BG1570+BJ1570+BL1570+BO1570+BR1570+BT1570+BV1570+BX1570+CA1570+CD1570</f>
        <v/>
      </c>
    </row>
    <row r="1571">
      <c r="A1571" s="39" t="n">
        <v>38</v>
      </c>
      <c r="B1571" s="39" t="n">
        <v>16</v>
      </c>
      <c r="C1571" s="39">
        <f>A1571+B1571-1</f>
        <v/>
      </c>
      <c r="D1571" s="39">
        <f>INT((C1571-1)/12)+1</f>
        <v/>
      </c>
      <c r="E1571" s="44">
        <f>INDEX(Monthly!$B$2:$B$61,A1571)</f>
        <v/>
      </c>
      <c r="F1571" s="44">
        <f>E1571*INDEX('Age profile'!$B$2:$B$61,B1571)</f>
        <v/>
      </c>
      <c r="G1571" s="45">
        <f>MIN(in_takeup_cap,INDEX('Age profile'!$N$2:$N$61,B1571)*(1+in_takeup_growth)^(D1571-1))</f>
        <v/>
      </c>
      <c r="H1571" s="11">
        <f>MIN(in_approval_cap,in_approved_first*INDEX('Age profile'!$O$2:$O$61,B1571)*(1+in_approval_growth)^(D1571-1))</f>
        <v/>
      </c>
      <c r="I1571" s="45">
        <f>G1571*MIN(in_takeup_cap,INDEX('Age profile'!$O$2:$O$61,B1571)*(1+in_approval_growth)^(D1571-1))</f>
        <v/>
      </c>
      <c r="J1571" s="40">
        <f>(J1570-L1570)*F1571/F1570</f>
        <v/>
      </c>
      <c r="K1571" s="40">
        <f>(K1570-M1570)*F1571/F1570+SUMIFS(O1556:O1570,B1556:B1570,B1571-1-d_T)*F1571</f>
        <v/>
      </c>
      <c r="L1571" s="40">
        <f>IF(B1571&gt;=in_marketplace_from,J1571*d_hz*G1571*in_eligible*H1571,0)</f>
        <v/>
      </c>
      <c r="M1571" s="40">
        <f>IF(B1571&gt;=in_marketplace_from,K1571*d_hz*G1571*in_eligible*in_approved_repeat,0)</f>
        <v/>
      </c>
      <c r="N1571" s="40">
        <f>L1571+M1571</f>
        <v/>
      </c>
      <c r="O1571" s="46">
        <f>N1571/F1571</f>
        <v/>
      </c>
      <c r="P1571" s="40">
        <f>F1571-J1571-K1571</f>
        <v/>
      </c>
      <c r="Q1571" s="40">
        <f>IF(B1571&gt;=in_marketplace_from,(J1571+K1571)*d_hz*G1571,0)</f>
        <v/>
      </c>
      <c r="R1571" s="40">
        <f>SUMIFS(N1556:N1578,B1556:B1578,"&gt;="&amp;(B1571-d_T),B1556:B1578,"&lt;="&amp;(B1571-1))</f>
        <v/>
      </c>
      <c r="S1571" s="46">
        <f>(1-d_u)*S1570+IF(d_T&gt;in_topup_lag,SUMIFS(O1556:O1578,B1556:B1578,B1571-in_topup_lag)-d_udrop*SUMIFS(O1556:O1578,B1556:B1578,B1571-d_T),0)</f>
        <v/>
      </c>
      <c r="T1571" s="40">
        <f>F1571*d_u*S1571</f>
        <v/>
      </c>
      <c r="U1571" s="9">
        <f>L1571*in_ticket+M1571*d_rep_ticket</f>
        <v/>
      </c>
      <c r="V1571" s="9">
        <f>U1571+T1571*d_topup_amt</f>
        <v/>
      </c>
      <c r="W1571" s="40">
        <f>N1571+T1571*d_topup_ratio</f>
        <v/>
      </c>
      <c r="X1571" s="40">
        <f>SUMIFS(W1556:W1578,B1556:B1578,B1571-in_dpd_lag)*d_cured</f>
        <v/>
      </c>
      <c r="Y1571" s="40">
        <f>SUMIFS(W1556:W1578,B1556:B1578,B1571-in_rec_lag)*d_recd</f>
        <v/>
      </c>
      <c r="Z1571" s="40">
        <f>IF(AND(B1571&gt;=in_marketplace_from,B1571&lt;in_marketplace_from+in_card_months),in_card_share/in_card_months*F1571*I1571,IF(AND(B1571&gt;=in_marketplace_from+in_card_months,B1571&lt;in_marketplace_from+2*in_card_months),in_card_share*d_card_rem/in_card_months*F1571*MIN(in_takeup_cap,(1+in_takeup_growth)^(D1571-1))*MIN(in_takeup_cap,(1+in_approval_growth)^(D1571-1)),0))</f>
        <v/>
      </c>
      <c r="AA1571" s="14">
        <f>V1571*in_fee*(1-in_taken_back)</f>
        <v/>
      </c>
      <c r="AB1571" s="14">
        <f>SUMIFS(W1556:W1578,B1556:B1578,B1571-in_dpd_lag)*d_dpd</f>
        <v/>
      </c>
      <c r="AC1571" s="14">
        <f>SUMIFS(W1556:W1578,B1556:B1578,B1571-in_rec_lag)*d_rec</f>
        <v/>
      </c>
      <c r="AD1571" s="14">
        <f>Z1571*in_card_fee</f>
        <v/>
      </c>
      <c r="AE1571" s="40">
        <f>AE1570*(1-IF(B1570&gt;=in_marketplace_from,d_hz_hlth_small*G1570,0))</f>
        <v/>
      </c>
      <c r="AF1571" s="46">
        <f>AE1571*IF(B1571&gt;=in_marketplace_from,d_hz_hlth_small*G1571,0)</f>
        <v/>
      </c>
      <c r="AG1571" s="14">
        <f>F1571*AF1571*in_hlth_small_ticket*in_hlth_small_comm*in_ins_partner_share+F1571*in_hlth_small_ticket*in_hlth_small_renew_comm*in_ins_partner_share*(in_hlth_small_renew^1*SUMIFS(AF1556:AF1578,B1556:B1578,B1571-12)+in_hlth_small_renew^2*SUMIFS(AF1556:AF1578,B1556:B1578,B1571-24)+in_hlth_small_renew^3*SUMIFS(AF1556:AF1578,B1556:B1578,B1571-36)+in_hlth_small_renew^4*SUMIFS(AF1556:AF1578,B1556:B1578,B1571-48))</f>
        <v/>
      </c>
      <c r="AH1571" s="40">
        <f>AH1570*(1-IF(B1570&gt;=in_marketplace_from,d_hz_hlth_family*G1570,0))</f>
        <v/>
      </c>
      <c r="AI1571" s="46">
        <f>AH1571*IF(B1571&gt;=in_marketplace_from,d_hz_hlth_family*G1571,0)</f>
        <v/>
      </c>
      <c r="AJ1571" s="14">
        <f>F1571*AI1571*in_hlth_family_ticket*in_hlth_family_comm*in_ins_partner_share+F1571*in_hlth_family_ticket*in_hlth_family_renew_comm*in_ins_partner_share*(in_hlth_family_renew^1*SUMIFS(AI1556:AI1578,B1556:B1578,B1571-12)+in_hlth_family_renew^2*SUMIFS(AI1556:AI1578,B1556:B1578,B1571-24)+in_hlth_family_renew^3*SUMIFS(AI1556:AI1578,B1556:B1578,B1571-36)+in_hlth_family_renew^4*SUMIFS(AI1556:AI1578,B1556:B1578,B1571-48))</f>
        <v/>
      </c>
      <c r="AK1571" s="40">
        <f>AK1570*(1-IF(B1570&gt;=in_marketplace_from,d_hz_life_term*G1570,0))</f>
        <v/>
      </c>
      <c r="AL1571" s="46">
        <f>AK1571*IF(B1571&gt;=in_marketplace_from,d_hz_life_term*G1571,0)</f>
        <v/>
      </c>
      <c r="AM1571" s="14">
        <f>F1571*AL1571*in_life_term_ticket*in_life_term_comm*in_ins_partner_share+F1571*in_life_term_ticket*in_life_term_renew_comm*in_ins_partner_share*(in_life_term_renew^1*SUMIFS(AL1556:AL1578,B1556:B1578,B1571-12)+in_life_term_renew^2*SUMIFS(AL1556:AL1578,B1556:B1578,B1571-24)+in_life_term_renew^3*SUMIFS(AL1556:AL1578,B1556:B1578,B1571-36)+in_life_term_renew^4*SUMIFS(AL1556:AL1578,B1556:B1578,B1571-48))</f>
        <v/>
      </c>
      <c r="AN1571" s="40">
        <f>AN1570*(1-IF(B1570&gt;=in_marketplace_from,d_hz_accident*G1570,0))</f>
        <v/>
      </c>
      <c r="AO1571" s="46">
        <f>AN1571*IF(B1571&gt;=in_marketplace_from,d_hz_accident*G1571,0)</f>
        <v/>
      </c>
      <c r="AP1571" s="14">
        <f>F1571*AO1571*in_accident_ticket*in_accident_comm*in_ins_partner_share+F1571*in_accident_ticket*in_accident_renew_comm*in_ins_partner_share*(in_accident_renew^1*SUMIFS(AO1556:AO1578,B1556:B1578,B1571-12)+in_accident_renew^2*SUMIFS(AO1556:AO1578,B1556:B1578,B1571-24)+in_accident_renew^3*SUMIFS(AO1556:AO1578,B1556:B1578,B1571-36)+in_accident_renew^4*SUMIFS(AO1556:AO1578,B1556:B1578,B1571-48))</f>
        <v/>
      </c>
      <c r="AQ1571" s="40">
        <f>AQ1570*(1-IF(B1570&gt;=in_marketplace_from,d_hz_two_wheeler*G1570,0))</f>
        <v/>
      </c>
      <c r="AR1571" s="46">
        <f>AQ1571*IF(B1571&gt;=in_marketplace_from,d_hz_two_wheeler*G1571,0)</f>
        <v/>
      </c>
      <c r="AS1571" s="14">
        <f>F1571*AR1571*in_two_wheeler_ticket*in_two_wheeler_comm*in_ins_partner_share+F1571*in_two_wheeler_ticket*in_two_wheeler_comm*in_ins_partner_share*(in_two_wheeler_renew^1*SUMIFS(AR1556:AR1578,B1556:B1578,B1571-12)+in_two_wheeler_renew^2*SUMIFS(AR1556:AR1578,B1556:B1578,B1571-24)+in_two_wheeler_renew^3*SUMIFS(AR1556:AR1578,B1556:B1578,B1571-36)+in_two_wheeler_renew^4*SUMIFS(AR1556:AR1578,B1556:B1578,B1571-48))</f>
        <v/>
      </c>
      <c r="AT1571" s="40">
        <f>AT1570*(1-IF(B1570&gt;=in_marketplace_from,d_hz_device*G1570,0))</f>
        <v/>
      </c>
      <c r="AU1571" s="14">
        <f>F1571*AT1571*IF(B1571&gt;=in_marketplace_from,d_hz_device*G1571,0)*in_device_ticket*in_device_comm*in_ins_partner_share</f>
        <v/>
      </c>
      <c r="AV1571" s="40">
        <f>AV1570*(1-IF(B1570&gt;=in_marketplace_from,d_hz_shop*G1570,0))</f>
        <v/>
      </c>
      <c r="AW1571" s="46">
        <f>AV1571*IF(B1571&gt;=in_marketplace_from,d_hz_shop*G1571,0)</f>
        <v/>
      </c>
      <c r="AX1571" s="14">
        <f>F1571*AW1571*in_shop_ticket*in_shop_comm*in_ins_partner_share+F1571*in_shop_ticket*in_shop_renew_comm*in_ins_partner_share*(in_shop_renew^1*SUMIFS(AW1556:AW1578,B1556:B1578,B1571-12)+in_shop_renew^2*SUMIFS(AW1556:AW1578,B1556:B1578,B1571-24)+in_shop_renew^3*SUMIFS(AW1556:AW1578,B1556:B1578,B1571-36)+in_shop_renew^4*SUMIFS(AW1556:AW1578,B1556:B1578,B1571-48))</f>
        <v/>
      </c>
      <c r="AY1571" s="40">
        <f>AY1570*(1-IF(B1570&gt;=in_marketplace_from,d_hz_sip*G1570,0))</f>
        <v/>
      </c>
      <c r="AZ1571" s="40">
        <f>AZ1570*d_rho_sip+AY1571*IF(B1571&gt;=in_marketplace_from,d_hz_sip*G1571,0)</f>
        <v/>
      </c>
      <c r="BA1571" s="40">
        <f>d_rho_sip*(BA1570+AZ1570)</f>
        <v/>
      </c>
      <c r="BB1571" s="14">
        <f>F1571*in_sip_ticket*(BA1571+0.5*AZ1571)*in_sip_comm/12</f>
        <v/>
      </c>
      <c r="BC1571" s="40">
        <f>BC1570*(1-IF(B1570&gt;=in_marketplace_from,d_hz_choti*G1570,0))</f>
        <v/>
      </c>
      <c r="BD1571" s="46">
        <f>BC1571*IF(B1571&gt;=in_marketplace_from,d_hz_choti*G1571,0)</f>
        <v/>
      </c>
      <c r="BE1571" s="14">
        <f>F1571*SUMIFS(BD1556:BD1578,B1556:B1578,B1571-in_choti_months)*in_choti_renew*in_choti_ticket</f>
        <v/>
      </c>
      <c r="BF1571" s="40">
        <f>BF1570*(1-IF(B1570&gt;=in_marketplace_from,d_hz_nps*G1570,0))</f>
        <v/>
      </c>
      <c r="BG1571" s="14">
        <f>F1571*BF1571*IF(B1571&gt;=in_marketplace_from,d_hz_nps*G1571,0)*in_nps_ticket*in_nps_comm</f>
        <v/>
      </c>
      <c r="BH1571" s="40">
        <f>BH1570*(1-IF(B1570&gt;=in_marketplace_from,d_hz_gold*G1570,0))</f>
        <v/>
      </c>
      <c r="BI1571" s="40">
        <f>BI1570*d_rho_gold+BH1571*IF(B1571&gt;=in_marketplace_from,d_hz_gold*G1571,0)</f>
        <v/>
      </c>
      <c r="BJ1571" s="14">
        <f>F1571*BI1571*in_gold_ticket*in_gold_comm</f>
        <v/>
      </c>
      <c r="BK1571" s="40">
        <f>BK1570*(1-IF(B1570&gt;=in_marketplace_from,d_hz_fd*G1570,0))</f>
        <v/>
      </c>
      <c r="BL1571" s="14">
        <f>F1571*BK1571*IF(B1571&gt;=in_marketplace_from,d_hz_fd*G1571,0)*in_fd_ticket*in_fd_comm</f>
        <v/>
      </c>
      <c r="BM1571" s="40">
        <f>BM1570*(1-IF(B1570&gt;=in_marketplace_from,d_hz_recharge*G1570,0))</f>
        <v/>
      </c>
      <c r="BN1571" s="40">
        <f>BN1570*d_rho_recharge+BM1571*IF(B1571&gt;=in_marketplace_from,d_hz_recharge*G1571,0)</f>
        <v/>
      </c>
      <c r="BO1571" s="14">
        <f>F1571*BN1571*in_recharge_ticket*in_recharge_comm/12</f>
        <v/>
      </c>
      <c r="BP1571" s="40">
        <f>BP1570*(1-IF(B1570&gt;=in_marketplace_from,d_hz_bills*G1570,0))</f>
        <v/>
      </c>
      <c r="BQ1571" s="40">
        <f>BQ1570*d_rho_bills+BP1571*IF(B1571&gt;=in_marketplace_from,d_hz_bills*G1571,0)</f>
        <v/>
      </c>
      <c r="BR1571" s="14">
        <f>F1571*BQ1571*in_bills_ticket*in_bills_comm/12</f>
        <v/>
      </c>
      <c r="BS1571" s="40">
        <f>BS1570*(1-IF(B1570&gt;=in_marketplace_from,d_hz_loan_gold*G1570,0))</f>
        <v/>
      </c>
      <c r="BT1571" s="14">
        <f>F1571*BS1571*IF(B1571&gt;=in_marketplace_from,d_hz_loan_gold*G1571,0)*in_loan_gold_ticket*in_loan_gold_comm</f>
        <v/>
      </c>
      <c r="BU1571" s="40">
        <f>BU1570*(1-IF(B1570&gt;=in_marketplace_from,d_hz_loan_cd*G1570,0))</f>
        <v/>
      </c>
      <c r="BV1571" s="14">
        <f>F1571*BU1571*IF(B1571&gt;=in_marketplace_from,d_hz_loan_cd*G1571,0)*in_loan_cd_ticket*in_loan_cd_comm</f>
        <v/>
      </c>
      <c r="BW1571" s="40">
        <f>BW1570*(1-IF(B1570&gt;=in_marketplace_from,d_hz_loan_vehicle*G1570,0))</f>
        <v/>
      </c>
      <c r="BX1571" s="14">
        <f>F1571*BW1571*IF(B1571&gt;=in_marketplace_from,d_hz_loan_vehicle*G1571,0)*in_loan_vehicle_ticket*in_loan_vehicle_comm</f>
        <v/>
      </c>
      <c r="BY1571" s="40">
        <f>BY1570*(1-IF(B1570&gt;=in_marketplace_from,d_hz_loan_home*G1570,0)*BZ1570)</f>
        <v/>
      </c>
      <c r="BZ1571" s="11">
        <f>MIN(in_approval_cap,in_loan_home_approval*INDEX('Age profile'!$O$2:$O$61,B1571)*(1+in_approval_growth)^(D1571-1))</f>
        <v/>
      </c>
      <c r="CA1571" s="14">
        <f>F1571*BY1571*IF(B1571&gt;=in_marketplace_from,d_hz_loan_home*G1571,0)*BZ1571*in_loan_home_ticket*in_loan_home_comm</f>
        <v/>
      </c>
      <c r="CB1571" s="40">
        <f>CB1570*(1-IF(B1570&gt;=in_marketplace_from,d_hz_loan_lap*G1570,0)*CC1570)</f>
        <v/>
      </c>
      <c r="CC1571" s="11">
        <f>MIN(in_approval_cap,in_loan_lap_approval*INDEX('Age profile'!$O$2:$O$61,B1571)*(1+in_approval_growth)^(D1571-1))</f>
        <v/>
      </c>
      <c r="CD1571" s="14">
        <f>F1571*CB1571*IF(B1571&gt;=in_marketplace_from,d_hz_loan_lap*G1571,0)*CC1571*in_loan_lap_ticket*in_loan_lap_comm</f>
        <v/>
      </c>
      <c r="CE1571" s="14">
        <f>AA1571+AB1571+AC1571+AD1571+AG1571+AJ1571+AM1571+AP1571+AS1571+AU1571+AX1571+BB1571+BE1571+BG1571+BJ1571+BL1571+BO1571+BR1571+BT1571+BV1571+BX1571+CA1571+CD1571</f>
        <v/>
      </c>
    </row>
    <row r="1572">
      <c r="A1572" s="39" t="n">
        <v>38</v>
      </c>
      <c r="B1572" s="39" t="n">
        <v>17</v>
      </c>
      <c r="C1572" s="39">
        <f>A1572+B1572-1</f>
        <v/>
      </c>
      <c r="D1572" s="39">
        <f>INT((C1572-1)/12)+1</f>
        <v/>
      </c>
      <c r="E1572" s="44">
        <f>INDEX(Monthly!$B$2:$B$61,A1572)</f>
        <v/>
      </c>
      <c r="F1572" s="44">
        <f>E1572*INDEX('Age profile'!$B$2:$B$61,B1572)</f>
        <v/>
      </c>
      <c r="G1572" s="45">
        <f>MIN(in_takeup_cap,INDEX('Age profile'!$N$2:$N$61,B1572)*(1+in_takeup_growth)^(D1572-1))</f>
        <v/>
      </c>
      <c r="H1572" s="11">
        <f>MIN(in_approval_cap,in_approved_first*INDEX('Age profile'!$O$2:$O$61,B1572)*(1+in_approval_growth)^(D1572-1))</f>
        <v/>
      </c>
      <c r="I1572" s="45">
        <f>G1572*MIN(in_takeup_cap,INDEX('Age profile'!$O$2:$O$61,B1572)*(1+in_approval_growth)^(D1572-1))</f>
        <v/>
      </c>
      <c r="J1572" s="40">
        <f>(J1571-L1571)*F1572/F1571</f>
        <v/>
      </c>
      <c r="K1572" s="40">
        <f>(K1571-M1571)*F1572/F1571+SUMIFS(O1556:O1571,B1556:B1571,B1572-1-d_T)*F1572</f>
        <v/>
      </c>
      <c r="L1572" s="40">
        <f>IF(B1572&gt;=in_marketplace_from,J1572*d_hz*G1572*in_eligible*H1572,0)</f>
        <v/>
      </c>
      <c r="M1572" s="40">
        <f>IF(B1572&gt;=in_marketplace_from,K1572*d_hz*G1572*in_eligible*in_approved_repeat,0)</f>
        <v/>
      </c>
      <c r="N1572" s="40">
        <f>L1572+M1572</f>
        <v/>
      </c>
      <c r="O1572" s="46">
        <f>N1572/F1572</f>
        <v/>
      </c>
      <c r="P1572" s="40">
        <f>F1572-J1572-K1572</f>
        <v/>
      </c>
      <c r="Q1572" s="40">
        <f>IF(B1572&gt;=in_marketplace_from,(J1572+K1572)*d_hz*G1572,0)</f>
        <v/>
      </c>
      <c r="R1572" s="40">
        <f>SUMIFS(N1556:N1578,B1556:B1578,"&gt;="&amp;(B1572-d_T),B1556:B1578,"&lt;="&amp;(B1572-1))</f>
        <v/>
      </c>
      <c r="S1572" s="46">
        <f>(1-d_u)*S1571+IF(d_T&gt;in_topup_lag,SUMIFS(O1556:O1578,B1556:B1578,B1572-in_topup_lag)-d_udrop*SUMIFS(O1556:O1578,B1556:B1578,B1572-d_T),0)</f>
        <v/>
      </c>
      <c r="T1572" s="40">
        <f>F1572*d_u*S1572</f>
        <v/>
      </c>
      <c r="U1572" s="9">
        <f>L1572*in_ticket+M1572*d_rep_ticket</f>
        <v/>
      </c>
      <c r="V1572" s="9">
        <f>U1572+T1572*d_topup_amt</f>
        <v/>
      </c>
      <c r="W1572" s="40">
        <f>N1572+T1572*d_topup_ratio</f>
        <v/>
      </c>
      <c r="X1572" s="40">
        <f>SUMIFS(W1556:W1578,B1556:B1578,B1572-in_dpd_lag)*d_cured</f>
        <v/>
      </c>
      <c r="Y1572" s="40">
        <f>SUMIFS(W1556:W1578,B1556:B1578,B1572-in_rec_lag)*d_recd</f>
        <v/>
      </c>
      <c r="Z1572" s="40">
        <f>IF(AND(B1572&gt;=in_marketplace_from,B1572&lt;in_marketplace_from+in_card_months),in_card_share/in_card_months*F1572*I1572,IF(AND(B1572&gt;=in_marketplace_from+in_card_months,B1572&lt;in_marketplace_from+2*in_card_months),in_card_share*d_card_rem/in_card_months*F1572*MIN(in_takeup_cap,(1+in_takeup_growth)^(D1572-1))*MIN(in_takeup_cap,(1+in_approval_growth)^(D1572-1)),0))</f>
        <v/>
      </c>
      <c r="AA1572" s="14">
        <f>V1572*in_fee*(1-in_taken_back)</f>
        <v/>
      </c>
      <c r="AB1572" s="14">
        <f>SUMIFS(W1556:W1578,B1556:B1578,B1572-in_dpd_lag)*d_dpd</f>
        <v/>
      </c>
      <c r="AC1572" s="14">
        <f>SUMIFS(W1556:W1578,B1556:B1578,B1572-in_rec_lag)*d_rec</f>
        <v/>
      </c>
      <c r="AD1572" s="14">
        <f>Z1572*in_card_fee</f>
        <v/>
      </c>
      <c r="AE1572" s="40">
        <f>AE1571*(1-IF(B1571&gt;=in_marketplace_from,d_hz_hlth_small*G1571,0))</f>
        <v/>
      </c>
      <c r="AF1572" s="46">
        <f>AE1572*IF(B1572&gt;=in_marketplace_from,d_hz_hlth_small*G1572,0)</f>
        <v/>
      </c>
      <c r="AG1572" s="14">
        <f>F1572*AF1572*in_hlth_small_ticket*in_hlth_small_comm*in_ins_partner_share+F1572*in_hlth_small_ticket*in_hlth_small_renew_comm*in_ins_partner_share*(in_hlth_small_renew^1*SUMIFS(AF1556:AF1578,B1556:B1578,B1572-12)+in_hlth_small_renew^2*SUMIFS(AF1556:AF1578,B1556:B1578,B1572-24)+in_hlth_small_renew^3*SUMIFS(AF1556:AF1578,B1556:B1578,B1572-36)+in_hlth_small_renew^4*SUMIFS(AF1556:AF1578,B1556:B1578,B1572-48))</f>
        <v/>
      </c>
      <c r="AH1572" s="40">
        <f>AH1571*(1-IF(B1571&gt;=in_marketplace_from,d_hz_hlth_family*G1571,0))</f>
        <v/>
      </c>
      <c r="AI1572" s="46">
        <f>AH1572*IF(B1572&gt;=in_marketplace_from,d_hz_hlth_family*G1572,0)</f>
        <v/>
      </c>
      <c r="AJ1572" s="14">
        <f>F1572*AI1572*in_hlth_family_ticket*in_hlth_family_comm*in_ins_partner_share+F1572*in_hlth_family_ticket*in_hlth_family_renew_comm*in_ins_partner_share*(in_hlth_family_renew^1*SUMIFS(AI1556:AI1578,B1556:B1578,B1572-12)+in_hlth_family_renew^2*SUMIFS(AI1556:AI1578,B1556:B1578,B1572-24)+in_hlth_family_renew^3*SUMIFS(AI1556:AI1578,B1556:B1578,B1572-36)+in_hlth_family_renew^4*SUMIFS(AI1556:AI1578,B1556:B1578,B1572-48))</f>
        <v/>
      </c>
      <c r="AK1572" s="40">
        <f>AK1571*(1-IF(B1571&gt;=in_marketplace_from,d_hz_life_term*G1571,0))</f>
        <v/>
      </c>
      <c r="AL1572" s="46">
        <f>AK1572*IF(B1572&gt;=in_marketplace_from,d_hz_life_term*G1572,0)</f>
        <v/>
      </c>
      <c r="AM1572" s="14">
        <f>F1572*AL1572*in_life_term_ticket*in_life_term_comm*in_ins_partner_share+F1572*in_life_term_ticket*in_life_term_renew_comm*in_ins_partner_share*(in_life_term_renew^1*SUMIFS(AL1556:AL1578,B1556:B1578,B1572-12)+in_life_term_renew^2*SUMIFS(AL1556:AL1578,B1556:B1578,B1572-24)+in_life_term_renew^3*SUMIFS(AL1556:AL1578,B1556:B1578,B1572-36)+in_life_term_renew^4*SUMIFS(AL1556:AL1578,B1556:B1578,B1572-48))</f>
        <v/>
      </c>
      <c r="AN1572" s="40">
        <f>AN1571*(1-IF(B1571&gt;=in_marketplace_from,d_hz_accident*G1571,0))</f>
        <v/>
      </c>
      <c r="AO1572" s="46">
        <f>AN1572*IF(B1572&gt;=in_marketplace_from,d_hz_accident*G1572,0)</f>
        <v/>
      </c>
      <c r="AP1572" s="14">
        <f>F1572*AO1572*in_accident_ticket*in_accident_comm*in_ins_partner_share+F1572*in_accident_ticket*in_accident_renew_comm*in_ins_partner_share*(in_accident_renew^1*SUMIFS(AO1556:AO1578,B1556:B1578,B1572-12)+in_accident_renew^2*SUMIFS(AO1556:AO1578,B1556:B1578,B1572-24)+in_accident_renew^3*SUMIFS(AO1556:AO1578,B1556:B1578,B1572-36)+in_accident_renew^4*SUMIFS(AO1556:AO1578,B1556:B1578,B1572-48))</f>
        <v/>
      </c>
      <c r="AQ1572" s="40">
        <f>AQ1571*(1-IF(B1571&gt;=in_marketplace_from,d_hz_two_wheeler*G1571,0))</f>
        <v/>
      </c>
      <c r="AR1572" s="46">
        <f>AQ1572*IF(B1572&gt;=in_marketplace_from,d_hz_two_wheeler*G1572,0)</f>
        <v/>
      </c>
      <c r="AS1572" s="14">
        <f>F1572*AR1572*in_two_wheeler_ticket*in_two_wheeler_comm*in_ins_partner_share+F1572*in_two_wheeler_ticket*in_two_wheeler_comm*in_ins_partner_share*(in_two_wheeler_renew^1*SUMIFS(AR1556:AR1578,B1556:B1578,B1572-12)+in_two_wheeler_renew^2*SUMIFS(AR1556:AR1578,B1556:B1578,B1572-24)+in_two_wheeler_renew^3*SUMIFS(AR1556:AR1578,B1556:B1578,B1572-36)+in_two_wheeler_renew^4*SUMIFS(AR1556:AR1578,B1556:B1578,B1572-48))</f>
        <v/>
      </c>
      <c r="AT1572" s="40">
        <f>AT1571*(1-IF(B1571&gt;=in_marketplace_from,d_hz_device*G1571,0))</f>
        <v/>
      </c>
      <c r="AU1572" s="14">
        <f>F1572*AT1572*IF(B1572&gt;=in_marketplace_from,d_hz_device*G1572,0)*in_device_ticket*in_device_comm*in_ins_partner_share</f>
        <v/>
      </c>
      <c r="AV1572" s="40">
        <f>AV1571*(1-IF(B1571&gt;=in_marketplace_from,d_hz_shop*G1571,0))</f>
        <v/>
      </c>
      <c r="AW1572" s="46">
        <f>AV1572*IF(B1572&gt;=in_marketplace_from,d_hz_shop*G1572,0)</f>
        <v/>
      </c>
      <c r="AX1572" s="14">
        <f>F1572*AW1572*in_shop_ticket*in_shop_comm*in_ins_partner_share+F1572*in_shop_ticket*in_shop_renew_comm*in_ins_partner_share*(in_shop_renew^1*SUMIFS(AW1556:AW1578,B1556:B1578,B1572-12)+in_shop_renew^2*SUMIFS(AW1556:AW1578,B1556:B1578,B1572-24)+in_shop_renew^3*SUMIFS(AW1556:AW1578,B1556:B1578,B1572-36)+in_shop_renew^4*SUMIFS(AW1556:AW1578,B1556:B1578,B1572-48))</f>
        <v/>
      </c>
      <c r="AY1572" s="40">
        <f>AY1571*(1-IF(B1571&gt;=in_marketplace_from,d_hz_sip*G1571,0))</f>
        <v/>
      </c>
      <c r="AZ1572" s="40">
        <f>AZ1571*d_rho_sip+AY1572*IF(B1572&gt;=in_marketplace_from,d_hz_sip*G1572,0)</f>
        <v/>
      </c>
      <c r="BA1572" s="40">
        <f>d_rho_sip*(BA1571+AZ1571)</f>
        <v/>
      </c>
      <c r="BB1572" s="14">
        <f>F1572*in_sip_ticket*(BA1572+0.5*AZ1572)*in_sip_comm/12</f>
        <v/>
      </c>
      <c r="BC1572" s="40">
        <f>BC1571*(1-IF(B1571&gt;=in_marketplace_from,d_hz_choti*G1571,0))</f>
        <v/>
      </c>
      <c r="BD1572" s="46">
        <f>BC1572*IF(B1572&gt;=in_marketplace_from,d_hz_choti*G1572,0)</f>
        <v/>
      </c>
      <c r="BE1572" s="14">
        <f>F1572*SUMIFS(BD1556:BD1578,B1556:B1578,B1572-in_choti_months)*in_choti_renew*in_choti_ticket</f>
        <v/>
      </c>
      <c r="BF1572" s="40">
        <f>BF1571*(1-IF(B1571&gt;=in_marketplace_from,d_hz_nps*G1571,0))</f>
        <v/>
      </c>
      <c r="BG1572" s="14">
        <f>F1572*BF1572*IF(B1572&gt;=in_marketplace_from,d_hz_nps*G1572,0)*in_nps_ticket*in_nps_comm</f>
        <v/>
      </c>
      <c r="BH1572" s="40">
        <f>BH1571*(1-IF(B1571&gt;=in_marketplace_from,d_hz_gold*G1571,0))</f>
        <v/>
      </c>
      <c r="BI1572" s="40">
        <f>BI1571*d_rho_gold+BH1572*IF(B1572&gt;=in_marketplace_from,d_hz_gold*G1572,0)</f>
        <v/>
      </c>
      <c r="BJ1572" s="14">
        <f>F1572*BI1572*in_gold_ticket*in_gold_comm</f>
        <v/>
      </c>
      <c r="BK1572" s="40">
        <f>BK1571*(1-IF(B1571&gt;=in_marketplace_from,d_hz_fd*G1571,0))</f>
        <v/>
      </c>
      <c r="BL1572" s="14">
        <f>F1572*BK1572*IF(B1572&gt;=in_marketplace_from,d_hz_fd*G1572,0)*in_fd_ticket*in_fd_comm</f>
        <v/>
      </c>
      <c r="BM1572" s="40">
        <f>BM1571*(1-IF(B1571&gt;=in_marketplace_from,d_hz_recharge*G1571,0))</f>
        <v/>
      </c>
      <c r="BN1572" s="40">
        <f>BN1571*d_rho_recharge+BM1572*IF(B1572&gt;=in_marketplace_from,d_hz_recharge*G1572,0)</f>
        <v/>
      </c>
      <c r="BO1572" s="14">
        <f>F1572*BN1572*in_recharge_ticket*in_recharge_comm/12</f>
        <v/>
      </c>
      <c r="BP1572" s="40">
        <f>BP1571*(1-IF(B1571&gt;=in_marketplace_from,d_hz_bills*G1571,0))</f>
        <v/>
      </c>
      <c r="BQ1572" s="40">
        <f>BQ1571*d_rho_bills+BP1572*IF(B1572&gt;=in_marketplace_from,d_hz_bills*G1572,0)</f>
        <v/>
      </c>
      <c r="BR1572" s="14">
        <f>F1572*BQ1572*in_bills_ticket*in_bills_comm/12</f>
        <v/>
      </c>
      <c r="BS1572" s="40">
        <f>BS1571*(1-IF(B1571&gt;=in_marketplace_from,d_hz_loan_gold*G1571,0))</f>
        <v/>
      </c>
      <c r="BT1572" s="14">
        <f>F1572*BS1572*IF(B1572&gt;=in_marketplace_from,d_hz_loan_gold*G1572,0)*in_loan_gold_ticket*in_loan_gold_comm</f>
        <v/>
      </c>
      <c r="BU1572" s="40">
        <f>BU1571*(1-IF(B1571&gt;=in_marketplace_from,d_hz_loan_cd*G1571,0))</f>
        <v/>
      </c>
      <c r="BV1572" s="14">
        <f>F1572*BU1572*IF(B1572&gt;=in_marketplace_from,d_hz_loan_cd*G1572,0)*in_loan_cd_ticket*in_loan_cd_comm</f>
        <v/>
      </c>
      <c r="BW1572" s="40">
        <f>BW1571*(1-IF(B1571&gt;=in_marketplace_from,d_hz_loan_vehicle*G1571,0))</f>
        <v/>
      </c>
      <c r="BX1572" s="14">
        <f>F1572*BW1572*IF(B1572&gt;=in_marketplace_from,d_hz_loan_vehicle*G1572,0)*in_loan_vehicle_ticket*in_loan_vehicle_comm</f>
        <v/>
      </c>
      <c r="BY1572" s="40">
        <f>BY1571*(1-IF(B1571&gt;=in_marketplace_from,d_hz_loan_home*G1571,0)*BZ1571)</f>
        <v/>
      </c>
      <c r="BZ1572" s="11">
        <f>MIN(in_approval_cap,in_loan_home_approval*INDEX('Age profile'!$O$2:$O$61,B1572)*(1+in_approval_growth)^(D1572-1))</f>
        <v/>
      </c>
      <c r="CA1572" s="14">
        <f>F1572*BY1572*IF(B1572&gt;=in_marketplace_from,d_hz_loan_home*G1572,0)*BZ1572*in_loan_home_ticket*in_loan_home_comm</f>
        <v/>
      </c>
      <c r="CB1572" s="40">
        <f>CB1571*(1-IF(B1571&gt;=in_marketplace_from,d_hz_loan_lap*G1571,0)*CC1571)</f>
        <v/>
      </c>
      <c r="CC1572" s="11">
        <f>MIN(in_approval_cap,in_loan_lap_approval*INDEX('Age profile'!$O$2:$O$61,B1572)*(1+in_approval_growth)^(D1572-1))</f>
        <v/>
      </c>
      <c r="CD1572" s="14">
        <f>F1572*CB1572*IF(B1572&gt;=in_marketplace_from,d_hz_loan_lap*G1572,0)*CC1572*in_loan_lap_ticket*in_loan_lap_comm</f>
        <v/>
      </c>
      <c r="CE1572" s="14">
        <f>AA1572+AB1572+AC1572+AD1572+AG1572+AJ1572+AM1572+AP1572+AS1572+AU1572+AX1572+BB1572+BE1572+BG1572+BJ1572+BL1572+BO1572+BR1572+BT1572+BV1572+BX1572+CA1572+CD1572</f>
        <v/>
      </c>
    </row>
    <row r="1573">
      <c r="A1573" s="39" t="n">
        <v>38</v>
      </c>
      <c r="B1573" s="39" t="n">
        <v>18</v>
      </c>
      <c r="C1573" s="39">
        <f>A1573+B1573-1</f>
        <v/>
      </c>
      <c r="D1573" s="39">
        <f>INT((C1573-1)/12)+1</f>
        <v/>
      </c>
      <c r="E1573" s="44">
        <f>INDEX(Monthly!$B$2:$B$61,A1573)</f>
        <v/>
      </c>
      <c r="F1573" s="44">
        <f>E1573*INDEX('Age profile'!$B$2:$B$61,B1573)</f>
        <v/>
      </c>
      <c r="G1573" s="45">
        <f>MIN(in_takeup_cap,INDEX('Age profile'!$N$2:$N$61,B1573)*(1+in_takeup_growth)^(D1573-1))</f>
        <v/>
      </c>
      <c r="H1573" s="11">
        <f>MIN(in_approval_cap,in_approved_first*INDEX('Age profile'!$O$2:$O$61,B1573)*(1+in_approval_growth)^(D1573-1))</f>
        <v/>
      </c>
      <c r="I1573" s="45">
        <f>G1573*MIN(in_takeup_cap,INDEX('Age profile'!$O$2:$O$61,B1573)*(1+in_approval_growth)^(D1573-1))</f>
        <v/>
      </c>
      <c r="J1573" s="40">
        <f>(J1572-L1572)*F1573/F1572</f>
        <v/>
      </c>
      <c r="K1573" s="40">
        <f>(K1572-M1572)*F1573/F1572+SUMIFS(O1556:O1572,B1556:B1572,B1573-1-d_T)*F1573</f>
        <v/>
      </c>
      <c r="L1573" s="40">
        <f>IF(B1573&gt;=in_marketplace_from,J1573*d_hz*G1573*in_eligible*H1573,0)</f>
        <v/>
      </c>
      <c r="M1573" s="40">
        <f>IF(B1573&gt;=in_marketplace_from,K1573*d_hz*G1573*in_eligible*in_approved_repeat,0)</f>
        <v/>
      </c>
      <c r="N1573" s="40">
        <f>L1573+M1573</f>
        <v/>
      </c>
      <c r="O1573" s="46">
        <f>N1573/F1573</f>
        <v/>
      </c>
      <c r="P1573" s="40">
        <f>F1573-J1573-K1573</f>
        <v/>
      </c>
      <c r="Q1573" s="40">
        <f>IF(B1573&gt;=in_marketplace_from,(J1573+K1573)*d_hz*G1573,0)</f>
        <v/>
      </c>
      <c r="R1573" s="40">
        <f>SUMIFS(N1556:N1578,B1556:B1578,"&gt;="&amp;(B1573-d_T),B1556:B1578,"&lt;="&amp;(B1573-1))</f>
        <v/>
      </c>
      <c r="S1573" s="46">
        <f>(1-d_u)*S1572+IF(d_T&gt;in_topup_lag,SUMIFS(O1556:O1578,B1556:B1578,B1573-in_topup_lag)-d_udrop*SUMIFS(O1556:O1578,B1556:B1578,B1573-d_T),0)</f>
        <v/>
      </c>
      <c r="T1573" s="40">
        <f>F1573*d_u*S1573</f>
        <v/>
      </c>
      <c r="U1573" s="9">
        <f>L1573*in_ticket+M1573*d_rep_ticket</f>
        <v/>
      </c>
      <c r="V1573" s="9">
        <f>U1573+T1573*d_topup_amt</f>
        <v/>
      </c>
      <c r="W1573" s="40">
        <f>N1573+T1573*d_topup_ratio</f>
        <v/>
      </c>
      <c r="X1573" s="40">
        <f>SUMIFS(W1556:W1578,B1556:B1578,B1573-in_dpd_lag)*d_cured</f>
        <v/>
      </c>
      <c r="Y1573" s="40">
        <f>SUMIFS(W1556:W1578,B1556:B1578,B1573-in_rec_lag)*d_recd</f>
        <v/>
      </c>
      <c r="Z1573" s="40">
        <f>IF(AND(B1573&gt;=in_marketplace_from,B1573&lt;in_marketplace_from+in_card_months),in_card_share/in_card_months*F1573*I1573,IF(AND(B1573&gt;=in_marketplace_from+in_card_months,B1573&lt;in_marketplace_from+2*in_card_months),in_card_share*d_card_rem/in_card_months*F1573*MIN(in_takeup_cap,(1+in_takeup_growth)^(D1573-1))*MIN(in_takeup_cap,(1+in_approval_growth)^(D1573-1)),0))</f>
        <v/>
      </c>
      <c r="AA1573" s="14">
        <f>V1573*in_fee*(1-in_taken_back)</f>
        <v/>
      </c>
      <c r="AB1573" s="14">
        <f>SUMIFS(W1556:W1578,B1556:B1578,B1573-in_dpd_lag)*d_dpd</f>
        <v/>
      </c>
      <c r="AC1573" s="14">
        <f>SUMIFS(W1556:W1578,B1556:B1578,B1573-in_rec_lag)*d_rec</f>
        <v/>
      </c>
      <c r="AD1573" s="14">
        <f>Z1573*in_card_fee</f>
        <v/>
      </c>
      <c r="AE1573" s="40">
        <f>AE1572*(1-IF(B1572&gt;=in_marketplace_from,d_hz_hlth_small*G1572,0))</f>
        <v/>
      </c>
      <c r="AF1573" s="46">
        <f>AE1573*IF(B1573&gt;=in_marketplace_from,d_hz_hlth_small*G1573,0)</f>
        <v/>
      </c>
      <c r="AG1573" s="14">
        <f>F1573*AF1573*in_hlth_small_ticket*in_hlth_small_comm*in_ins_partner_share+F1573*in_hlth_small_ticket*in_hlth_small_renew_comm*in_ins_partner_share*(in_hlth_small_renew^1*SUMIFS(AF1556:AF1578,B1556:B1578,B1573-12)+in_hlth_small_renew^2*SUMIFS(AF1556:AF1578,B1556:B1578,B1573-24)+in_hlth_small_renew^3*SUMIFS(AF1556:AF1578,B1556:B1578,B1573-36)+in_hlth_small_renew^4*SUMIFS(AF1556:AF1578,B1556:B1578,B1573-48))</f>
        <v/>
      </c>
      <c r="AH1573" s="40">
        <f>AH1572*(1-IF(B1572&gt;=in_marketplace_from,d_hz_hlth_family*G1572,0))</f>
        <v/>
      </c>
      <c r="AI1573" s="46">
        <f>AH1573*IF(B1573&gt;=in_marketplace_from,d_hz_hlth_family*G1573,0)</f>
        <v/>
      </c>
      <c r="AJ1573" s="14">
        <f>F1573*AI1573*in_hlth_family_ticket*in_hlth_family_comm*in_ins_partner_share+F1573*in_hlth_family_ticket*in_hlth_family_renew_comm*in_ins_partner_share*(in_hlth_family_renew^1*SUMIFS(AI1556:AI1578,B1556:B1578,B1573-12)+in_hlth_family_renew^2*SUMIFS(AI1556:AI1578,B1556:B1578,B1573-24)+in_hlth_family_renew^3*SUMIFS(AI1556:AI1578,B1556:B1578,B1573-36)+in_hlth_family_renew^4*SUMIFS(AI1556:AI1578,B1556:B1578,B1573-48))</f>
        <v/>
      </c>
      <c r="AK1573" s="40">
        <f>AK1572*(1-IF(B1572&gt;=in_marketplace_from,d_hz_life_term*G1572,0))</f>
        <v/>
      </c>
      <c r="AL1573" s="46">
        <f>AK1573*IF(B1573&gt;=in_marketplace_from,d_hz_life_term*G1573,0)</f>
        <v/>
      </c>
      <c r="AM1573" s="14">
        <f>F1573*AL1573*in_life_term_ticket*in_life_term_comm*in_ins_partner_share+F1573*in_life_term_ticket*in_life_term_renew_comm*in_ins_partner_share*(in_life_term_renew^1*SUMIFS(AL1556:AL1578,B1556:B1578,B1573-12)+in_life_term_renew^2*SUMIFS(AL1556:AL1578,B1556:B1578,B1573-24)+in_life_term_renew^3*SUMIFS(AL1556:AL1578,B1556:B1578,B1573-36)+in_life_term_renew^4*SUMIFS(AL1556:AL1578,B1556:B1578,B1573-48))</f>
        <v/>
      </c>
      <c r="AN1573" s="40">
        <f>AN1572*(1-IF(B1572&gt;=in_marketplace_from,d_hz_accident*G1572,0))</f>
        <v/>
      </c>
      <c r="AO1573" s="46">
        <f>AN1573*IF(B1573&gt;=in_marketplace_from,d_hz_accident*G1573,0)</f>
        <v/>
      </c>
      <c r="AP1573" s="14">
        <f>F1573*AO1573*in_accident_ticket*in_accident_comm*in_ins_partner_share+F1573*in_accident_ticket*in_accident_renew_comm*in_ins_partner_share*(in_accident_renew^1*SUMIFS(AO1556:AO1578,B1556:B1578,B1573-12)+in_accident_renew^2*SUMIFS(AO1556:AO1578,B1556:B1578,B1573-24)+in_accident_renew^3*SUMIFS(AO1556:AO1578,B1556:B1578,B1573-36)+in_accident_renew^4*SUMIFS(AO1556:AO1578,B1556:B1578,B1573-48))</f>
        <v/>
      </c>
      <c r="AQ1573" s="40">
        <f>AQ1572*(1-IF(B1572&gt;=in_marketplace_from,d_hz_two_wheeler*G1572,0))</f>
        <v/>
      </c>
      <c r="AR1573" s="46">
        <f>AQ1573*IF(B1573&gt;=in_marketplace_from,d_hz_two_wheeler*G1573,0)</f>
        <v/>
      </c>
      <c r="AS1573" s="14">
        <f>F1573*AR1573*in_two_wheeler_ticket*in_two_wheeler_comm*in_ins_partner_share+F1573*in_two_wheeler_ticket*in_two_wheeler_comm*in_ins_partner_share*(in_two_wheeler_renew^1*SUMIFS(AR1556:AR1578,B1556:B1578,B1573-12)+in_two_wheeler_renew^2*SUMIFS(AR1556:AR1578,B1556:B1578,B1573-24)+in_two_wheeler_renew^3*SUMIFS(AR1556:AR1578,B1556:B1578,B1573-36)+in_two_wheeler_renew^4*SUMIFS(AR1556:AR1578,B1556:B1578,B1573-48))</f>
        <v/>
      </c>
      <c r="AT1573" s="40">
        <f>AT1572*(1-IF(B1572&gt;=in_marketplace_from,d_hz_device*G1572,0))</f>
        <v/>
      </c>
      <c r="AU1573" s="14">
        <f>F1573*AT1573*IF(B1573&gt;=in_marketplace_from,d_hz_device*G1573,0)*in_device_ticket*in_device_comm*in_ins_partner_share</f>
        <v/>
      </c>
      <c r="AV1573" s="40">
        <f>AV1572*(1-IF(B1572&gt;=in_marketplace_from,d_hz_shop*G1572,0))</f>
        <v/>
      </c>
      <c r="AW1573" s="46">
        <f>AV1573*IF(B1573&gt;=in_marketplace_from,d_hz_shop*G1573,0)</f>
        <v/>
      </c>
      <c r="AX1573" s="14">
        <f>F1573*AW1573*in_shop_ticket*in_shop_comm*in_ins_partner_share+F1573*in_shop_ticket*in_shop_renew_comm*in_ins_partner_share*(in_shop_renew^1*SUMIFS(AW1556:AW1578,B1556:B1578,B1573-12)+in_shop_renew^2*SUMIFS(AW1556:AW1578,B1556:B1578,B1573-24)+in_shop_renew^3*SUMIFS(AW1556:AW1578,B1556:B1578,B1573-36)+in_shop_renew^4*SUMIFS(AW1556:AW1578,B1556:B1578,B1573-48))</f>
        <v/>
      </c>
      <c r="AY1573" s="40">
        <f>AY1572*(1-IF(B1572&gt;=in_marketplace_from,d_hz_sip*G1572,0))</f>
        <v/>
      </c>
      <c r="AZ1573" s="40">
        <f>AZ1572*d_rho_sip+AY1573*IF(B1573&gt;=in_marketplace_from,d_hz_sip*G1573,0)</f>
        <v/>
      </c>
      <c r="BA1573" s="40">
        <f>d_rho_sip*(BA1572+AZ1572)</f>
        <v/>
      </c>
      <c r="BB1573" s="14">
        <f>F1573*in_sip_ticket*(BA1573+0.5*AZ1573)*in_sip_comm/12</f>
        <v/>
      </c>
      <c r="BC1573" s="40">
        <f>BC1572*(1-IF(B1572&gt;=in_marketplace_from,d_hz_choti*G1572,0))</f>
        <v/>
      </c>
      <c r="BD1573" s="46">
        <f>BC1573*IF(B1573&gt;=in_marketplace_from,d_hz_choti*G1573,0)</f>
        <v/>
      </c>
      <c r="BE1573" s="14">
        <f>F1573*SUMIFS(BD1556:BD1578,B1556:B1578,B1573-in_choti_months)*in_choti_renew*in_choti_ticket</f>
        <v/>
      </c>
      <c r="BF1573" s="40">
        <f>BF1572*(1-IF(B1572&gt;=in_marketplace_from,d_hz_nps*G1572,0))</f>
        <v/>
      </c>
      <c r="BG1573" s="14">
        <f>F1573*BF1573*IF(B1573&gt;=in_marketplace_from,d_hz_nps*G1573,0)*in_nps_ticket*in_nps_comm</f>
        <v/>
      </c>
      <c r="BH1573" s="40">
        <f>BH1572*(1-IF(B1572&gt;=in_marketplace_from,d_hz_gold*G1572,0))</f>
        <v/>
      </c>
      <c r="BI1573" s="40">
        <f>BI1572*d_rho_gold+BH1573*IF(B1573&gt;=in_marketplace_from,d_hz_gold*G1573,0)</f>
        <v/>
      </c>
      <c r="BJ1573" s="14">
        <f>F1573*BI1573*in_gold_ticket*in_gold_comm</f>
        <v/>
      </c>
      <c r="BK1573" s="40">
        <f>BK1572*(1-IF(B1572&gt;=in_marketplace_from,d_hz_fd*G1572,0))</f>
        <v/>
      </c>
      <c r="BL1573" s="14">
        <f>F1573*BK1573*IF(B1573&gt;=in_marketplace_from,d_hz_fd*G1573,0)*in_fd_ticket*in_fd_comm</f>
        <v/>
      </c>
      <c r="BM1573" s="40">
        <f>BM1572*(1-IF(B1572&gt;=in_marketplace_from,d_hz_recharge*G1572,0))</f>
        <v/>
      </c>
      <c r="BN1573" s="40">
        <f>BN1572*d_rho_recharge+BM1573*IF(B1573&gt;=in_marketplace_from,d_hz_recharge*G1573,0)</f>
        <v/>
      </c>
      <c r="BO1573" s="14">
        <f>F1573*BN1573*in_recharge_ticket*in_recharge_comm/12</f>
        <v/>
      </c>
      <c r="BP1573" s="40">
        <f>BP1572*(1-IF(B1572&gt;=in_marketplace_from,d_hz_bills*G1572,0))</f>
        <v/>
      </c>
      <c r="BQ1573" s="40">
        <f>BQ1572*d_rho_bills+BP1573*IF(B1573&gt;=in_marketplace_from,d_hz_bills*G1573,0)</f>
        <v/>
      </c>
      <c r="BR1573" s="14">
        <f>F1573*BQ1573*in_bills_ticket*in_bills_comm/12</f>
        <v/>
      </c>
      <c r="BS1573" s="40">
        <f>BS1572*(1-IF(B1572&gt;=in_marketplace_from,d_hz_loan_gold*G1572,0))</f>
        <v/>
      </c>
      <c r="BT1573" s="14">
        <f>F1573*BS1573*IF(B1573&gt;=in_marketplace_from,d_hz_loan_gold*G1573,0)*in_loan_gold_ticket*in_loan_gold_comm</f>
        <v/>
      </c>
      <c r="BU1573" s="40">
        <f>BU1572*(1-IF(B1572&gt;=in_marketplace_from,d_hz_loan_cd*G1572,0))</f>
        <v/>
      </c>
      <c r="BV1573" s="14">
        <f>F1573*BU1573*IF(B1573&gt;=in_marketplace_from,d_hz_loan_cd*G1573,0)*in_loan_cd_ticket*in_loan_cd_comm</f>
        <v/>
      </c>
      <c r="BW1573" s="40">
        <f>BW1572*(1-IF(B1572&gt;=in_marketplace_from,d_hz_loan_vehicle*G1572,0))</f>
        <v/>
      </c>
      <c r="BX1573" s="14">
        <f>F1573*BW1573*IF(B1573&gt;=in_marketplace_from,d_hz_loan_vehicle*G1573,0)*in_loan_vehicle_ticket*in_loan_vehicle_comm</f>
        <v/>
      </c>
      <c r="BY1573" s="40">
        <f>BY1572*(1-IF(B1572&gt;=in_marketplace_from,d_hz_loan_home*G1572,0)*BZ1572)</f>
        <v/>
      </c>
      <c r="BZ1573" s="11">
        <f>MIN(in_approval_cap,in_loan_home_approval*INDEX('Age profile'!$O$2:$O$61,B1573)*(1+in_approval_growth)^(D1573-1))</f>
        <v/>
      </c>
      <c r="CA1573" s="14">
        <f>F1573*BY1573*IF(B1573&gt;=in_marketplace_from,d_hz_loan_home*G1573,0)*BZ1573*in_loan_home_ticket*in_loan_home_comm</f>
        <v/>
      </c>
      <c r="CB1573" s="40">
        <f>CB1572*(1-IF(B1572&gt;=in_marketplace_from,d_hz_loan_lap*G1572,0)*CC1572)</f>
        <v/>
      </c>
      <c r="CC1573" s="11">
        <f>MIN(in_approval_cap,in_loan_lap_approval*INDEX('Age profile'!$O$2:$O$61,B1573)*(1+in_approval_growth)^(D1573-1))</f>
        <v/>
      </c>
      <c r="CD1573" s="14">
        <f>F1573*CB1573*IF(B1573&gt;=in_marketplace_from,d_hz_loan_lap*G1573,0)*CC1573*in_loan_lap_ticket*in_loan_lap_comm</f>
        <v/>
      </c>
      <c r="CE1573" s="14">
        <f>AA1573+AB1573+AC1573+AD1573+AG1573+AJ1573+AM1573+AP1573+AS1573+AU1573+AX1573+BB1573+BE1573+BG1573+BJ1573+BL1573+BO1573+BR1573+BT1573+BV1573+BX1573+CA1573+CD1573</f>
        <v/>
      </c>
    </row>
    <row r="1574">
      <c r="A1574" s="39" t="n">
        <v>38</v>
      </c>
      <c r="B1574" s="39" t="n">
        <v>19</v>
      </c>
      <c r="C1574" s="39">
        <f>A1574+B1574-1</f>
        <v/>
      </c>
      <c r="D1574" s="39">
        <f>INT((C1574-1)/12)+1</f>
        <v/>
      </c>
      <c r="E1574" s="44">
        <f>INDEX(Monthly!$B$2:$B$61,A1574)</f>
        <v/>
      </c>
      <c r="F1574" s="44">
        <f>E1574*INDEX('Age profile'!$B$2:$B$61,B1574)</f>
        <v/>
      </c>
      <c r="G1574" s="45">
        <f>MIN(in_takeup_cap,INDEX('Age profile'!$N$2:$N$61,B1574)*(1+in_takeup_growth)^(D1574-1))</f>
        <v/>
      </c>
      <c r="H1574" s="11">
        <f>MIN(in_approval_cap,in_approved_first*INDEX('Age profile'!$O$2:$O$61,B1574)*(1+in_approval_growth)^(D1574-1))</f>
        <v/>
      </c>
      <c r="I1574" s="45">
        <f>G1574*MIN(in_takeup_cap,INDEX('Age profile'!$O$2:$O$61,B1574)*(1+in_approval_growth)^(D1574-1))</f>
        <v/>
      </c>
      <c r="J1574" s="40">
        <f>(J1573-L1573)*F1574/F1573</f>
        <v/>
      </c>
      <c r="K1574" s="40">
        <f>(K1573-M1573)*F1574/F1573+SUMIFS(O1556:O1573,B1556:B1573,B1574-1-d_T)*F1574</f>
        <v/>
      </c>
      <c r="L1574" s="40">
        <f>IF(B1574&gt;=in_marketplace_from,J1574*d_hz*G1574*in_eligible*H1574,0)</f>
        <v/>
      </c>
      <c r="M1574" s="40">
        <f>IF(B1574&gt;=in_marketplace_from,K1574*d_hz*G1574*in_eligible*in_approved_repeat,0)</f>
        <v/>
      </c>
      <c r="N1574" s="40">
        <f>L1574+M1574</f>
        <v/>
      </c>
      <c r="O1574" s="46">
        <f>N1574/F1574</f>
        <v/>
      </c>
      <c r="P1574" s="40">
        <f>F1574-J1574-K1574</f>
        <v/>
      </c>
      <c r="Q1574" s="40">
        <f>IF(B1574&gt;=in_marketplace_from,(J1574+K1574)*d_hz*G1574,0)</f>
        <v/>
      </c>
      <c r="R1574" s="40">
        <f>SUMIFS(N1556:N1578,B1556:B1578,"&gt;="&amp;(B1574-d_T),B1556:B1578,"&lt;="&amp;(B1574-1))</f>
        <v/>
      </c>
      <c r="S1574" s="46">
        <f>(1-d_u)*S1573+IF(d_T&gt;in_topup_lag,SUMIFS(O1556:O1578,B1556:B1578,B1574-in_topup_lag)-d_udrop*SUMIFS(O1556:O1578,B1556:B1578,B1574-d_T),0)</f>
        <v/>
      </c>
      <c r="T1574" s="40">
        <f>F1574*d_u*S1574</f>
        <v/>
      </c>
      <c r="U1574" s="9">
        <f>L1574*in_ticket+M1574*d_rep_ticket</f>
        <v/>
      </c>
      <c r="V1574" s="9">
        <f>U1574+T1574*d_topup_amt</f>
        <v/>
      </c>
      <c r="W1574" s="40">
        <f>N1574+T1574*d_topup_ratio</f>
        <v/>
      </c>
      <c r="X1574" s="40">
        <f>SUMIFS(W1556:W1578,B1556:B1578,B1574-in_dpd_lag)*d_cured</f>
        <v/>
      </c>
      <c r="Y1574" s="40">
        <f>SUMIFS(W1556:W1578,B1556:B1578,B1574-in_rec_lag)*d_recd</f>
        <v/>
      </c>
      <c r="Z1574" s="40">
        <f>IF(AND(B1574&gt;=in_marketplace_from,B1574&lt;in_marketplace_from+in_card_months),in_card_share/in_card_months*F1574*I1574,IF(AND(B1574&gt;=in_marketplace_from+in_card_months,B1574&lt;in_marketplace_from+2*in_card_months),in_card_share*d_card_rem/in_card_months*F1574*MIN(in_takeup_cap,(1+in_takeup_growth)^(D1574-1))*MIN(in_takeup_cap,(1+in_approval_growth)^(D1574-1)),0))</f>
        <v/>
      </c>
      <c r="AA1574" s="14">
        <f>V1574*in_fee*(1-in_taken_back)</f>
        <v/>
      </c>
      <c r="AB1574" s="14">
        <f>SUMIFS(W1556:W1578,B1556:B1578,B1574-in_dpd_lag)*d_dpd</f>
        <v/>
      </c>
      <c r="AC1574" s="14">
        <f>SUMIFS(W1556:W1578,B1556:B1578,B1574-in_rec_lag)*d_rec</f>
        <v/>
      </c>
      <c r="AD1574" s="14">
        <f>Z1574*in_card_fee</f>
        <v/>
      </c>
      <c r="AE1574" s="40">
        <f>AE1573*(1-IF(B1573&gt;=in_marketplace_from,d_hz_hlth_small*G1573,0))</f>
        <v/>
      </c>
      <c r="AF1574" s="46">
        <f>AE1574*IF(B1574&gt;=in_marketplace_from,d_hz_hlth_small*G1574,0)</f>
        <v/>
      </c>
      <c r="AG1574" s="14">
        <f>F1574*AF1574*in_hlth_small_ticket*in_hlth_small_comm*in_ins_partner_share+F1574*in_hlth_small_ticket*in_hlth_small_renew_comm*in_ins_partner_share*(in_hlth_small_renew^1*SUMIFS(AF1556:AF1578,B1556:B1578,B1574-12)+in_hlth_small_renew^2*SUMIFS(AF1556:AF1578,B1556:B1578,B1574-24)+in_hlth_small_renew^3*SUMIFS(AF1556:AF1578,B1556:B1578,B1574-36)+in_hlth_small_renew^4*SUMIFS(AF1556:AF1578,B1556:B1578,B1574-48))</f>
        <v/>
      </c>
      <c r="AH1574" s="40">
        <f>AH1573*(1-IF(B1573&gt;=in_marketplace_from,d_hz_hlth_family*G1573,0))</f>
        <v/>
      </c>
      <c r="AI1574" s="46">
        <f>AH1574*IF(B1574&gt;=in_marketplace_from,d_hz_hlth_family*G1574,0)</f>
        <v/>
      </c>
      <c r="AJ1574" s="14">
        <f>F1574*AI1574*in_hlth_family_ticket*in_hlth_family_comm*in_ins_partner_share+F1574*in_hlth_family_ticket*in_hlth_family_renew_comm*in_ins_partner_share*(in_hlth_family_renew^1*SUMIFS(AI1556:AI1578,B1556:B1578,B1574-12)+in_hlth_family_renew^2*SUMIFS(AI1556:AI1578,B1556:B1578,B1574-24)+in_hlth_family_renew^3*SUMIFS(AI1556:AI1578,B1556:B1578,B1574-36)+in_hlth_family_renew^4*SUMIFS(AI1556:AI1578,B1556:B1578,B1574-48))</f>
        <v/>
      </c>
      <c r="AK1574" s="40">
        <f>AK1573*(1-IF(B1573&gt;=in_marketplace_from,d_hz_life_term*G1573,0))</f>
        <v/>
      </c>
      <c r="AL1574" s="46">
        <f>AK1574*IF(B1574&gt;=in_marketplace_from,d_hz_life_term*G1574,0)</f>
        <v/>
      </c>
      <c r="AM1574" s="14">
        <f>F1574*AL1574*in_life_term_ticket*in_life_term_comm*in_ins_partner_share+F1574*in_life_term_ticket*in_life_term_renew_comm*in_ins_partner_share*(in_life_term_renew^1*SUMIFS(AL1556:AL1578,B1556:B1578,B1574-12)+in_life_term_renew^2*SUMIFS(AL1556:AL1578,B1556:B1578,B1574-24)+in_life_term_renew^3*SUMIFS(AL1556:AL1578,B1556:B1578,B1574-36)+in_life_term_renew^4*SUMIFS(AL1556:AL1578,B1556:B1578,B1574-48))</f>
        <v/>
      </c>
      <c r="AN1574" s="40">
        <f>AN1573*(1-IF(B1573&gt;=in_marketplace_from,d_hz_accident*G1573,0))</f>
        <v/>
      </c>
      <c r="AO1574" s="46">
        <f>AN1574*IF(B1574&gt;=in_marketplace_from,d_hz_accident*G1574,0)</f>
        <v/>
      </c>
      <c r="AP1574" s="14">
        <f>F1574*AO1574*in_accident_ticket*in_accident_comm*in_ins_partner_share+F1574*in_accident_ticket*in_accident_renew_comm*in_ins_partner_share*(in_accident_renew^1*SUMIFS(AO1556:AO1578,B1556:B1578,B1574-12)+in_accident_renew^2*SUMIFS(AO1556:AO1578,B1556:B1578,B1574-24)+in_accident_renew^3*SUMIFS(AO1556:AO1578,B1556:B1578,B1574-36)+in_accident_renew^4*SUMIFS(AO1556:AO1578,B1556:B1578,B1574-48))</f>
        <v/>
      </c>
      <c r="AQ1574" s="40">
        <f>AQ1573*(1-IF(B1573&gt;=in_marketplace_from,d_hz_two_wheeler*G1573,0))</f>
        <v/>
      </c>
      <c r="AR1574" s="46">
        <f>AQ1574*IF(B1574&gt;=in_marketplace_from,d_hz_two_wheeler*G1574,0)</f>
        <v/>
      </c>
      <c r="AS1574" s="14">
        <f>F1574*AR1574*in_two_wheeler_ticket*in_two_wheeler_comm*in_ins_partner_share+F1574*in_two_wheeler_ticket*in_two_wheeler_comm*in_ins_partner_share*(in_two_wheeler_renew^1*SUMIFS(AR1556:AR1578,B1556:B1578,B1574-12)+in_two_wheeler_renew^2*SUMIFS(AR1556:AR1578,B1556:B1578,B1574-24)+in_two_wheeler_renew^3*SUMIFS(AR1556:AR1578,B1556:B1578,B1574-36)+in_two_wheeler_renew^4*SUMIFS(AR1556:AR1578,B1556:B1578,B1574-48))</f>
        <v/>
      </c>
      <c r="AT1574" s="40">
        <f>AT1573*(1-IF(B1573&gt;=in_marketplace_from,d_hz_device*G1573,0))</f>
        <v/>
      </c>
      <c r="AU1574" s="14">
        <f>F1574*AT1574*IF(B1574&gt;=in_marketplace_from,d_hz_device*G1574,0)*in_device_ticket*in_device_comm*in_ins_partner_share</f>
        <v/>
      </c>
      <c r="AV1574" s="40">
        <f>AV1573*(1-IF(B1573&gt;=in_marketplace_from,d_hz_shop*G1573,0))</f>
        <v/>
      </c>
      <c r="AW1574" s="46">
        <f>AV1574*IF(B1574&gt;=in_marketplace_from,d_hz_shop*G1574,0)</f>
        <v/>
      </c>
      <c r="AX1574" s="14">
        <f>F1574*AW1574*in_shop_ticket*in_shop_comm*in_ins_partner_share+F1574*in_shop_ticket*in_shop_renew_comm*in_ins_partner_share*(in_shop_renew^1*SUMIFS(AW1556:AW1578,B1556:B1578,B1574-12)+in_shop_renew^2*SUMIFS(AW1556:AW1578,B1556:B1578,B1574-24)+in_shop_renew^3*SUMIFS(AW1556:AW1578,B1556:B1578,B1574-36)+in_shop_renew^4*SUMIFS(AW1556:AW1578,B1556:B1578,B1574-48))</f>
        <v/>
      </c>
      <c r="AY1574" s="40">
        <f>AY1573*(1-IF(B1573&gt;=in_marketplace_from,d_hz_sip*G1573,0))</f>
        <v/>
      </c>
      <c r="AZ1574" s="40">
        <f>AZ1573*d_rho_sip+AY1574*IF(B1574&gt;=in_marketplace_from,d_hz_sip*G1574,0)</f>
        <v/>
      </c>
      <c r="BA1574" s="40">
        <f>d_rho_sip*(BA1573+AZ1573)</f>
        <v/>
      </c>
      <c r="BB1574" s="14">
        <f>F1574*in_sip_ticket*(BA1574+0.5*AZ1574)*in_sip_comm/12</f>
        <v/>
      </c>
      <c r="BC1574" s="40">
        <f>BC1573*(1-IF(B1573&gt;=in_marketplace_from,d_hz_choti*G1573,0))</f>
        <v/>
      </c>
      <c r="BD1574" s="46">
        <f>BC1574*IF(B1574&gt;=in_marketplace_from,d_hz_choti*G1574,0)</f>
        <v/>
      </c>
      <c r="BE1574" s="14">
        <f>F1574*SUMIFS(BD1556:BD1578,B1556:B1578,B1574-in_choti_months)*in_choti_renew*in_choti_ticket</f>
        <v/>
      </c>
      <c r="BF1574" s="40">
        <f>BF1573*(1-IF(B1573&gt;=in_marketplace_from,d_hz_nps*G1573,0))</f>
        <v/>
      </c>
      <c r="BG1574" s="14">
        <f>F1574*BF1574*IF(B1574&gt;=in_marketplace_from,d_hz_nps*G1574,0)*in_nps_ticket*in_nps_comm</f>
        <v/>
      </c>
      <c r="BH1574" s="40">
        <f>BH1573*(1-IF(B1573&gt;=in_marketplace_from,d_hz_gold*G1573,0))</f>
        <v/>
      </c>
      <c r="BI1574" s="40">
        <f>BI1573*d_rho_gold+BH1574*IF(B1574&gt;=in_marketplace_from,d_hz_gold*G1574,0)</f>
        <v/>
      </c>
      <c r="BJ1574" s="14">
        <f>F1574*BI1574*in_gold_ticket*in_gold_comm</f>
        <v/>
      </c>
      <c r="BK1574" s="40">
        <f>BK1573*(1-IF(B1573&gt;=in_marketplace_from,d_hz_fd*G1573,0))</f>
        <v/>
      </c>
      <c r="BL1574" s="14">
        <f>F1574*BK1574*IF(B1574&gt;=in_marketplace_from,d_hz_fd*G1574,0)*in_fd_ticket*in_fd_comm</f>
        <v/>
      </c>
      <c r="BM1574" s="40">
        <f>BM1573*(1-IF(B1573&gt;=in_marketplace_from,d_hz_recharge*G1573,0))</f>
        <v/>
      </c>
      <c r="BN1574" s="40">
        <f>BN1573*d_rho_recharge+BM1574*IF(B1574&gt;=in_marketplace_from,d_hz_recharge*G1574,0)</f>
        <v/>
      </c>
      <c r="BO1574" s="14">
        <f>F1574*BN1574*in_recharge_ticket*in_recharge_comm/12</f>
        <v/>
      </c>
      <c r="BP1574" s="40">
        <f>BP1573*(1-IF(B1573&gt;=in_marketplace_from,d_hz_bills*G1573,0))</f>
        <v/>
      </c>
      <c r="BQ1574" s="40">
        <f>BQ1573*d_rho_bills+BP1574*IF(B1574&gt;=in_marketplace_from,d_hz_bills*G1574,0)</f>
        <v/>
      </c>
      <c r="BR1574" s="14">
        <f>F1574*BQ1574*in_bills_ticket*in_bills_comm/12</f>
        <v/>
      </c>
      <c r="BS1574" s="40">
        <f>BS1573*(1-IF(B1573&gt;=in_marketplace_from,d_hz_loan_gold*G1573,0))</f>
        <v/>
      </c>
      <c r="BT1574" s="14">
        <f>F1574*BS1574*IF(B1574&gt;=in_marketplace_from,d_hz_loan_gold*G1574,0)*in_loan_gold_ticket*in_loan_gold_comm</f>
        <v/>
      </c>
      <c r="BU1574" s="40">
        <f>BU1573*(1-IF(B1573&gt;=in_marketplace_from,d_hz_loan_cd*G1573,0))</f>
        <v/>
      </c>
      <c r="BV1574" s="14">
        <f>F1574*BU1574*IF(B1574&gt;=in_marketplace_from,d_hz_loan_cd*G1574,0)*in_loan_cd_ticket*in_loan_cd_comm</f>
        <v/>
      </c>
      <c r="BW1574" s="40">
        <f>BW1573*(1-IF(B1573&gt;=in_marketplace_from,d_hz_loan_vehicle*G1573,0))</f>
        <v/>
      </c>
      <c r="BX1574" s="14">
        <f>F1574*BW1574*IF(B1574&gt;=in_marketplace_from,d_hz_loan_vehicle*G1574,0)*in_loan_vehicle_ticket*in_loan_vehicle_comm</f>
        <v/>
      </c>
      <c r="BY1574" s="40">
        <f>BY1573*(1-IF(B1573&gt;=in_marketplace_from,d_hz_loan_home*G1573,0)*BZ1573)</f>
        <v/>
      </c>
      <c r="BZ1574" s="11">
        <f>MIN(in_approval_cap,in_loan_home_approval*INDEX('Age profile'!$O$2:$O$61,B1574)*(1+in_approval_growth)^(D1574-1))</f>
        <v/>
      </c>
      <c r="CA1574" s="14">
        <f>F1574*BY1574*IF(B1574&gt;=in_marketplace_from,d_hz_loan_home*G1574,0)*BZ1574*in_loan_home_ticket*in_loan_home_comm</f>
        <v/>
      </c>
      <c r="CB1574" s="40">
        <f>CB1573*(1-IF(B1573&gt;=in_marketplace_from,d_hz_loan_lap*G1573,0)*CC1573)</f>
        <v/>
      </c>
      <c r="CC1574" s="11">
        <f>MIN(in_approval_cap,in_loan_lap_approval*INDEX('Age profile'!$O$2:$O$61,B1574)*(1+in_approval_growth)^(D1574-1))</f>
        <v/>
      </c>
      <c r="CD1574" s="14">
        <f>F1574*CB1574*IF(B1574&gt;=in_marketplace_from,d_hz_loan_lap*G1574,0)*CC1574*in_loan_lap_ticket*in_loan_lap_comm</f>
        <v/>
      </c>
      <c r="CE1574" s="14">
        <f>AA1574+AB1574+AC1574+AD1574+AG1574+AJ1574+AM1574+AP1574+AS1574+AU1574+AX1574+BB1574+BE1574+BG1574+BJ1574+BL1574+BO1574+BR1574+BT1574+BV1574+BX1574+CA1574+CD1574</f>
        <v/>
      </c>
    </row>
    <row r="1575">
      <c r="A1575" s="39" t="n">
        <v>38</v>
      </c>
      <c r="B1575" s="39" t="n">
        <v>20</v>
      </c>
      <c r="C1575" s="39">
        <f>A1575+B1575-1</f>
        <v/>
      </c>
      <c r="D1575" s="39">
        <f>INT((C1575-1)/12)+1</f>
        <v/>
      </c>
      <c r="E1575" s="44">
        <f>INDEX(Monthly!$B$2:$B$61,A1575)</f>
        <v/>
      </c>
      <c r="F1575" s="44">
        <f>E1575*INDEX('Age profile'!$B$2:$B$61,B1575)</f>
        <v/>
      </c>
      <c r="G1575" s="45">
        <f>MIN(in_takeup_cap,INDEX('Age profile'!$N$2:$N$61,B1575)*(1+in_takeup_growth)^(D1575-1))</f>
        <v/>
      </c>
      <c r="H1575" s="11">
        <f>MIN(in_approval_cap,in_approved_first*INDEX('Age profile'!$O$2:$O$61,B1575)*(1+in_approval_growth)^(D1575-1))</f>
        <v/>
      </c>
      <c r="I1575" s="45">
        <f>G1575*MIN(in_takeup_cap,INDEX('Age profile'!$O$2:$O$61,B1575)*(1+in_approval_growth)^(D1575-1))</f>
        <v/>
      </c>
      <c r="J1575" s="40">
        <f>(J1574-L1574)*F1575/F1574</f>
        <v/>
      </c>
      <c r="K1575" s="40">
        <f>(K1574-M1574)*F1575/F1574+SUMIFS(O1556:O1574,B1556:B1574,B1575-1-d_T)*F1575</f>
        <v/>
      </c>
      <c r="L1575" s="40">
        <f>IF(B1575&gt;=in_marketplace_from,J1575*d_hz*G1575*in_eligible*H1575,0)</f>
        <v/>
      </c>
      <c r="M1575" s="40">
        <f>IF(B1575&gt;=in_marketplace_from,K1575*d_hz*G1575*in_eligible*in_approved_repeat,0)</f>
        <v/>
      </c>
      <c r="N1575" s="40">
        <f>L1575+M1575</f>
        <v/>
      </c>
      <c r="O1575" s="46">
        <f>N1575/F1575</f>
        <v/>
      </c>
      <c r="P1575" s="40">
        <f>F1575-J1575-K1575</f>
        <v/>
      </c>
      <c r="Q1575" s="40">
        <f>IF(B1575&gt;=in_marketplace_from,(J1575+K1575)*d_hz*G1575,0)</f>
        <v/>
      </c>
      <c r="R1575" s="40">
        <f>SUMIFS(N1556:N1578,B1556:B1578,"&gt;="&amp;(B1575-d_T),B1556:B1578,"&lt;="&amp;(B1575-1))</f>
        <v/>
      </c>
      <c r="S1575" s="46">
        <f>(1-d_u)*S1574+IF(d_T&gt;in_topup_lag,SUMIFS(O1556:O1578,B1556:B1578,B1575-in_topup_lag)-d_udrop*SUMIFS(O1556:O1578,B1556:B1578,B1575-d_T),0)</f>
        <v/>
      </c>
      <c r="T1575" s="40">
        <f>F1575*d_u*S1575</f>
        <v/>
      </c>
      <c r="U1575" s="9">
        <f>L1575*in_ticket+M1575*d_rep_ticket</f>
        <v/>
      </c>
      <c r="V1575" s="9">
        <f>U1575+T1575*d_topup_amt</f>
        <v/>
      </c>
      <c r="W1575" s="40">
        <f>N1575+T1575*d_topup_ratio</f>
        <v/>
      </c>
      <c r="X1575" s="40">
        <f>SUMIFS(W1556:W1578,B1556:B1578,B1575-in_dpd_lag)*d_cured</f>
        <v/>
      </c>
      <c r="Y1575" s="40">
        <f>SUMIFS(W1556:W1578,B1556:B1578,B1575-in_rec_lag)*d_recd</f>
        <v/>
      </c>
      <c r="Z1575" s="40">
        <f>IF(AND(B1575&gt;=in_marketplace_from,B1575&lt;in_marketplace_from+in_card_months),in_card_share/in_card_months*F1575*I1575,IF(AND(B1575&gt;=in_marketplace_from+in_card_months,B1575&lt;in_marketplace_from+2*in_card_months),in_card_share*d_card_rem/in_card_months*F1575*MIN(in_takeup_cap,(1+in_takeup_growth)^(D1575-1))*MIN(in_takeup_cap,(1+in_approval_growth)^(D1575-1)),0))</f>
        <v/>
      </c>
      <c r="AA1575" s="14">
        <f>V1575*in_fee*(1-in_taken_back)</f>
        <v/>
      </c>
      <c r="AB1575" s="14">
        <f>SUMIFS(W1556:W1578,B1556:B1578,B1575-in_dpd_lag)*d_dpd</f>
        <v/>
      </c>
      <c r="AC1575" s="14">
        <f>SUMIFS(W1556:W1578,B1556:B1578,B1575-in_rec_lag)*d_rec</f>
        <v/>
      </c>
      <c r="AD1575" s="14">
        <f>Z1575*in_card_fee</f>
        <v/>
      </c>
      <c r="AE1575" s="40">
        <f>AE1574*(1-IF(B1574&gt;=in_marketplace_from,d_hz_hlth_small*G1574,0))</f>
        <v/>
      </c>
      <c r="AF1575" s="46">
        <f>AE1575*IF(B1575&gt;=in_marketplace_from,d_hz_hlth_small*G1575,0)</f>
        <v/>
      </c>
      <c r="AG1575" s="14">
        <f>F1575*AF1575*in_hlth_small_ticket*in_hlth_small_comm*in_ins_partner_share+F1575*in_hlth_small_ticket*in_hlth_small_renew_comm*in_ins_partner_share*(in_hlth_small_renew^1*SUMIFS(AF1556:AF1578,B1556:B1578,B1575-12)+in_hlth_small_renew^2*SUMIFS(AF1556:AF1578,B1556:B1578,B1575-24)+in_hlth_small_renew^3*SUMIFS(AF1556:AF1578,B1556:B1578,B1575-36)+in_hlth_small_renew^4*SUMIFS(AF1556:AF1578,B1556:B1578,B1575-48))</f>
        <v/>
      </c>
      <c r="AH1575" s="40">
        <f>AH1574*(1-IF(B1574&gt;=in_marketplace_from,d_hz_hlth_family*G1574,0))</f>
        <v/>
      </c>
      <c r="AI1575" s="46">
        <f>AH1575*IF(B1575&gt;=in_marketplace_from,d_hz_hlth_family*G1575,0)</f>
        <v/>
      </c>
      <c r="AJ1575" s="14">
        <f>F1575*AI1575*in_hlth_family_ticket*in_hlth_family_comm*in_ins_partner_share+F1575*in_hlth_family_ticket*in_hlth_family_renew_comm*in_ins_partner_share*(in_hlth_family_renew^1*SUMIFS(AI1556:AI1578,B1556:B1578,B1575-12)+in_hlth_family_renew^2*SUMIFS(AI1556:AI1578,B1556:B1578,B1575-24)+in_hlth_family_renew^3*SUMIFS(AI1556:AI1578,B1556:B1578,B1575-36)+in_hlth_family_renew^4*SUMIFS(AI1556:AI1578,B1556:B1578,B1575-48))</f>
        <v/>
      </c>
      <c r="AK1575" s="40">
        <f>AK1574*(1-IF(B1574&gt;=in_marketplace_from,d_hz_life_term*G1574,0))</f>
        <v/>
      </c>
      <c r="AL1575" s="46">
        <f>AK1575*IF(B1575&gt;=in_marketplace_from,d_hz_life_term*G1575,0)</f>
        <v/>
      </c>
      <c r="AM1575" s="14">
        <f>F1575*AL1575*in_life_term_ticket*in_life_term_comm*in_ins_partner_share+F1575*in_life_term_ticket*in_life_term_renew_comm*in_ins_partner_share*(in_life_term_renew^1*SUMIFS(AL1556:AL1578,B1556:B1578,B1575-12)+in_life_term_renew^2*SUMIFS(AL1556:AL1578,B1556:B1578,B1575-24)+in_life_term_renew^3*SUMIFS(AL1556:AL1578,B1556:B1578,B1575-36)+in_life_term_renew^4*SUMIFS(AL1556:AL1578,B1556:B1578,B1575-48))</f>
        <v/>
      </c>
      <c r="AN1575" s="40">
        <f>AN1574*(1-IF(B1574&gt;=in_marketplace_from,d_hz_accident*G1574,0))</f>
        <v/>
      </c>
      <c r="AO1575" s="46">
        <f>AN1575*IF(B1575&gt;=in_marketplace_from,d_hz_accident*G1575,0)</f>
        <v/>
      </c>
      <c r="AP1575" s="14">
        <f>F1575*AO1575*in_accident_ticket*in_accident_comm*in_ins_partner_share+F1575*in_accident_ticket*in_accident_renew_comm*in_ins_partner_share*(in_accident_renew^1*SUMIFS(AO1556:AO1578,B1556:B1578,B1575-12)+in_accident_renew^2*SUMIFS(AO1556:AO1578,B1556:B1578,B1575-24)+in_accident_renew^3*SUMIFS(AO1556:AO1578,B1556:B1578,B1575-36)+in_accident_renew^4*SUMIFS(AO1556:AO1578,B1556:B1578,B1575-48))</f>
        <v/>
      </c>
      <c r="AQ1575" s="40">
        <f>AQ1574*(1-IF(B1574&gt;=in_marketplace_from,d_hz_two_wheeler*G1574,0))</f>
        <v/>
      </c>
      <c r="AR1575" s="46">
        <f>AQ1575*IF(B1575&gt;=in_marketplace_from,d_hz_two_wheeler*G1575,0)</f>
        <v/>
      </c>
      <c r="AS1575" s="14">
        <f>F1575*AR1575*in_two_wheeler_ticket*in_two_wheeler_comm*in_ins_partner_share+F1575*in_two_wheeler_ticket*in_two_wheeler_comm*in_ins_partner_share*(in_two_wheeler_renew^1*SUMIFS(AR1556:AR1578,B1556:B1578,B1575-12)+in_two_wheeler_renew^2*SUMIFS(AR1556:AR1578,B1556:B1578,B1575-24)+in_two_wheeler_renew^3*SUMIFS(AR1556:AR1578,B1556:B1578,B1575-36)+in_two_wheeler_renew^4*SUMIFS(AR1556:AR1578,B1556:B1578,B1575-48))</f>
        <v/>
      </c>
      <c r="AT1575" s="40">
        <f>AT1574*(1-IF(B1574&gt;=in_marketplace_from,d_hz_device*G1574,0))</f>
        <v/>
      </c>
      <c r="AU1575" s="14">
        <f>F1575*AT1575*IF(B1575&gt;=in_marketplace_from,d_hz_device*G1575,0)*in_device_ticket*in_device_comm*in_ins_partner_share</f>
        <v/>
      </c>
      <c r="AV1575" s="40">
        <f>AV1574*(1-IF(B1574&gt;=in_marketplace_from,d_hz_shop*G1574,0))</f>
        <v/>
      </c>
      <c r="AW1575" s="46">
        <f>AV1575*IF(B1575&gt;=in_marketplace_from,d_hz_shop*G1575,0)</f>
        <v/>
      </c>
      <c r="AX1575" s="14">
        <f>F1575*AW1575*in_shop_ticket*in_shop_comm*in_ins_partner_share+F1575*in_shop_ticket*in_shop_renew_comm*in_ins_partner_share*(in_shop_renew^1*SUMIFS(AW1556:AW1578,B1556:B1578,B1575-12)+in_shop_renew^2*SUMIFS(AW1556:AW1578,B1556:B1578,B1575-24)+in_shop_renew^3*SUMIFS(AW1556:AW1578,B1556:B1578,B1575-36)+in_shop_renew^4*SUMIFS(AW1556:AW1578,B1556:B1578,B1575-48))</f>
        <v/>
      </c>
      <c r="AY1575" s="40">
        <f>AY1574*(1-IF(B1574&gt;=in_marketplace_from,d_hz_sip*G1574,0))</f>
        <v/>
      </c>
      <c r="AZ1575" s="40">
        <f>AZ1574*d_rho_sip+AY1575*IF(B1575&gt;=in_marketplace_from,d_hz_sip*G1575,0)</f>
        <v/>
      </c>
      <c r="BA1575" s="40">
        <f>d_rho_sip*(BA1574+AZ1574)</f>
        <v/>
      </c>
      <c r="BB1575" s="14">
        <f>F1575*in_sip_ticket*(BA1575+0.5*AZ1575)*in_sip_comm/12</f>
        <v/>
      </c>
      <c r="BC1575" s="40">
        <f>BC1574*(1-IF(B1574&gt;=in_marketplace_from,d_hz_choti*G1574,0))</f>
        <v/>
      </c>
      <c r="BD1575" s="46">
        <f>BC1575*IF(B1575&gt;=in_marketplace_from,d_hz_choti*G1575,0)</f>
        <v/>
      </c>
      <c r="BE1575" s="14">
        <f>F1575*SUMIFS(BD1556:BD1578,B1556:B1578,B1575-in_choti_months)*in_choti_renew*in_choti_ticket</f>
        <v/>
      </c>
      <c r="BF1575" s="40">
        <f>BF1574*(1-IF(B1574&gt;=in_marketplace_from,d_hz_nps*G1574,0))</f>
        <v/>
      </c>
      <c r="BG1575" s="14">
        <f>F1575*BF1575*IF(B1575&gt;=in_marketplace_from,d_hz_nps*G1575,0)*in_nps_ticket*in_nps_comm</f>
        <v/>
      </c>
      <c r="BH1575" s="40">
        <f>BH1574*(1-IF(B1574&gt;=in_marketplace_from,d_hz_gold*G1574,0))</f>
        <v/>
      </c>
      <c r="BI1575" s="40">
        <f>BI1574*d_rho_gold+BH1575*IF(B1575&gt;=in_marketplace_from,d_hz_gold*G1575,0)</f>
        <v/>
      </c>
      <c r="BJ1575" s="14">
        <f>F1575*BI1575*in_gold_ticket*in_gold_comm</f>
        <v/>
      </c>
      <c r="BK1575" s="40">
        <f>BK1574*(1-IF(B1574&gt;=in_marketplace_from,d_hz_fd*G1574,0))</f>
        <v/>
      </c>
      <c r="BL1575" s="14">
        <f>F1575*BK1575*IF(B1575&gt;=in_marketplace_from,d_hz_fd*G1575,0)*in_fd_ticket*in_fd_comm</f>
        <v/>
      </c>
      <c r="BM1575" s="40">
        <f>BM1574*(1-IF(B1574&gt;=in_marketplace_from,d_hz_recharge*G1574,0))</f>
        <v/>
      </c>
      <c r="BN1575" s="40">
        <f>BN1574*d_rho_recharge+BM1575*IF(B1575&gt;=in_marketplace_from,d_hz_recharge*G1575,0)</f>
        <v/>
      </c>
      <c r="BO1575" s="14">
        <f>F1575*BN1575*in_recharge_ticket*in_recharge_comm/12</f>
        <v/>
      </c>
      <c r="BP1575" s="40">
        <f>BP1574*(1-IF(B1574&gt;=in_marketplace_from,d_hz_bills*G1574,0))</f>
        <v/>
      </c>
      <c r="BQ1575" s="40">
        <f>BQ1574*d_rho_bills+BP1575*IF(B1575&gt;=in_marketplace_from,d_hz_bills*G1575,0)</f>
        <v/>
      </c>
      <c r="BR1575" s="14">
        <f>F1575*BQ1575*in_bills_ticket*in_bills_comm/12</f>
        <v/>
      </c>
      <c r="BS1575" s="40">
        <f>BS1574*(1-IF(B1574&gt;=in_marketplace_from,d_hz_loan_gold*G1574,0))</f>
        <v/>
      </c>
      <c r="BT1575" s="14">
        <f>F1575*BS1575*IF(B1575&gt;=in_marketplace_from,d_hz_loan_gold*G1575,0)*in_loan_gold_ticket*in_loan_gold_comm</f>
        <v/>
      </c>
      <c r="BU1575" s="40">
        <f>BU1574*(1-IF(B1574&gt;=in_marketplace_from,d_hz_loan_cd*G1574,0))</f>
        <v/>
      </c>
      <c r="BV1575" s="14">
        <f>F1575*BU1575*IF(B1575&gt;=in_marketplace_from,d_hz_loan_cd*G1575,0)*in_loan_cd_ticket*in_loan_cd_comm</f>
        <v/>
      </c>
      <c r="BW1575" s="40">
        <f>BW1574*(1-IF(B1574&gt;=in_marketplace_from,d_hz_loan_vehicle*G1574,0))</f>
        <v/>
      </c>
      <c r="BX1575" s="14">
        <f>F1575*BW1575*IF(B1575&gt;=in_marketplace_from,d_hz_loan_vehicle*G1575,0)*in_loan_vehicle_ticket*in_loan_vehicle_comm</f>
        <v/>
      </c>
      <c r="BY1575" s="40">
        <f>BY1574*(1-IF(B1574&gt;=in_marketplace_from,d_hz_loan_home*G1574,0)*BZ1574)</f>
        <v/>
      </c>
      <c r="BZ1575" s="11">
        <f>MIN(in_approval_cap,in_loan_home_approval*INDEX('Age profile'!$O$2:$O$61,B1575)*(1+in_approval_growth)^(D1575-1))</f>
        <v/>
      </c>
      <c r="CA1575" s="14">
        <f>F1575*BY1575*IF(B1575&gt;=in_marketplace_from,d_hz_loan_home*G1575,0)*BZ1575*in_loan_home_ticket*in_loan_home_comm</f>
        <v/>
      </c>
      <c r="CB1575" s="40">
        <f>CB1574*(1-IF(B1574&gt;=in_marketplace_from,d_hz_loan_lap*G1574,0)*CC1574)</f>
        <v/>
      </c>
      <c r="CC1575" s="11">
        <f>MIN(in_approval_cap,in_loan_lap_approval*INDEX('Age profile'!$O$2:$O$61,B1575)*(1+in_approval_growth)^(D1575-1))</f>
        <v/>
      </c>
      <c r="CD1575" s="14">
        <f>F1575*CB1575*IF(B1575&gt;=in_marketplace_from,d_hz_loan_lap*G1575,0)*CC1575*in_loan_lap_ticket*in_loan_lap_comm</f>
        <v/>
      </c>
      <c r="CE1575" s="14">
        <f>AA1575+AB1575+AC1575+AD1575+AG1575+AJ1575+AM1575+AP1575+AS1575+AU1575+AX1575+BB1575+BE1575+BG1575+BJ1575+BL1575+BO1575+BR1575+BT1575+BV1575+BX1575+CA1575+CD1575</f>
        <v/>
      </c>
    </row>
    <row r="1576">
      <c r="A1576" s="39" t="n">
        <v>38</v>
      </c>
      <c r="B1576" s="39" t="n">
        <v>21</v>
      </c>
      <c r="C1576" s="39">
        <f>A1576+B1576-1</f>
        <v/>
      </c>
      <c r="D1576" s="39">
        <f>INT((C1576-1)/12)+1</f>
        <v/>
      </c>
      <c r="E1576" s="44">
        <f>INDEX(Monthly!$B$2:$B$61,A1576)</f>
        <v/>
      </c>
      <c r="F1576" s="44">
        <f>E1576*INDEX('Age profile'!$B$2:$B$61,B1576)</f>
        <v/>
      </c>
      <c r="G1576" s="45">
        <f>MIN(in_takeup_cap,INDEX('Age profile'!$N$2:$N$61,B1576)*(1+in_takeup_growth)^(D1576-1))</f>
        <v/>
      </c>
      <c r="H1576" s="11">
        <f>MIN(in_approval_cap,in_approved_first*INDEX('Age profile'!$O$2:$O$61,B1576)*(1+in_approval_growth)^(D1576-1))</f>
        <v/>
      </c>
      <c r="I1576" s="45">
        <f>G1576*MIN(in_takeup_cap,INDEX('Age profile'!$O$2:$O$61,B1576)*(1+in_approval_growth)^(D1576-1))</f>
        <v/>
      </c>
      <c r="J1576" s="40">
        <f>(J1575-L1575)*F1576/F1575</f>
        <v/>
      </c>
      <c r="K1576" s="40">
        <f>(K1575-M1575)*F1576/F1575+SUMIFS(O1556:O1575,B1556:B1575,B1576-1-d_T)*F1576</f>
        <v/>
      </c>
      <c r="L1576" s="40">
        <f>IF(B1576&gt;=in_marketplace_from,J1576*d_hz*G1576*in_eligible*H1576,0)</f>
        <v/>
      </c>
      <c r="M1576" s="40">
        <f>IF(B1576&gt;=in_marketplace_from,K1576*d_hz*G1576*in_eligible*in_approved_repeat,0)</f>
        <v/>
      </c>
      <c r="N1576" s="40">
        <f>L1576+M1576</f>
        <v/>
      </c>
      <c r="O1576" s="46">
        <f>N1576/F1576</f>
        <v/>
      </c>
      <c r="P1576" s="40">
        <f>F1576-J1576-K1576</f>
        <v/>
      </c>
      <c r="Q1576" s="40">
        <f>IF(B1576&gt;=in_marketplace_from,(J1576+K1576)*d_hz*G1576,0)</f>
        <v/>
      </c>
      <c r="R1576" s="40">
        <f>SUMIFS(N1556:N1578,B1556:B1578,"&gt;="&amp;(B1576-d_T),B1556:B1578,"&lt;="&amp;(B1576-1))</f>
        <v/>
      </c>
      <c r="S1576" s="46">
        <f>(1-d_u)*S1575+IF(d_T&gt;in_topup_lag,SUMIFS(O1556:O1578,B1556:B1578,B1576-in_topup_lag)-d_udrop*SUMIFS(O1556:O1578,B1556:B1578,B1576-d_T),0)</f>
        <v/>
      </c>
      <c r="T1576" s="40">
        <f>F1576*d_u*S1576</f>
        <v/>
      </c>
      <c r="U1576" s="9">
        <f>L1576*in_ticket+M1576*d_rep_ticket</f>
        <v/>
      </c>
      <c r="V1576" s="9">
        <f>U1576+T1576*d_topup_amt</f>
        <v/>
      </c>
      <c r="W1576" s="40">
        <f>N1576+T1576*d_topup_ratio</f>
        <v/>
      </c>
      <c r="X1576" s="40">
        <f>SUMIFS(W1556:W1578,B1556:B1578,B1576-in_dpd_lag)*d_cured</f>
        <v/>
      </c>
      <c r="Y1576" s="40">
        <f>SUMIFS(W1556:W1578,B1556:B1578,B1576-in_rec_lag)*d_recd</f>
        <v/>
      </c>
      <c r="Z1576" s="40">
        <f>IF(AND(B1576&gt;=in_marketplace_from,B1576&lt;in_marketplace_from+in_card_months),in_card_share/in_card_months*F1576*I1576,IF(AND(B1576&gt;=in_marketplace_from+in_card_months,B1576&lt;in_marketplace_from+2*in_card_months),in_card_share*d_card_rem/in_card_months*F1576*MIN(in_takeup_cap,(1+in_takeup_growth)^(D1576-1))*MIN(in_takeup_cap,(1+in_approval_growth)^(D1576-1)),0))</f>
        <v/>
      </c>
      <c r="AA1576" s="14">
        <f>V1576*in_fee*(1-in_taken_back)</f>
        <v/>
      </c>
      <c r="AB1576" s="14">
        <f>SUMIFS(W1556:W1578,B1556:B1578,B1576-in_dpd_lag)*d_dpd</f>
        <v/>
      </c>
      <c r="AC1576" s="14">
        <f>SUMIFS(W1556:W1578,B1556:B1578,B1576-in_rec_lag)*d_rec</f>
        <v/>
      </c>
      <c r="AD1576" s="14">
        <f>Z1576*in_card_fee</f>
        <v/>
      </c>
      <c r="AE1576" s="40">
        <f>AE1575*(1-IF(B1575&gt;=in_marketplace_from,d_hz_hlth_small*G1575,0))</f>
        <v/>
      </c>
      <c r="AF1576" s="46">
        <f>AE1576*IF(B1576&gt;=in_marketplace_from,d_hz_hlth_small*G1576,0)</f>
        <v/>
      </c>
      <c r="AG1576" s="14">
        <f>F1576*AF1576*in_hlth_small_ticket*in_hlth_small_comm*in_ins_partner_share+F1576*in_hlth_small_ticket*in_hlth_small_renew_comm*in_ins_partner_share*(in_hlth_small_renew^1*SUMIFS(AF1556:AF1578,B1556:B1578,B1576-12)+in_hlth_small_renew^2*SUMIFS(AF1556:AF1578,B1556:B1578,B1576-24)+in_hlth_small_renew^3*SUMIFS(AF1556:AF1578,B1556:B1578,B1576-36)+in_hlth_small_renew^4*SUMIFS(AF1556:AF1578,B1556:B1578,B1576-48))</f>
        <v/>
      </c>
      <c r="AH1576" s="40">
        <f>AH1575*(1-IF(B1575&gt;=in_marketplace_from,d_hz_hlth_family*G1575,0))</f>
        <v/>
      </c>
      <c r="AI1576" s="46">
        <f>AH1576*IF(B1576&gt;=in_marketplace_from,d_hz_hlth_family*G1576,0)</f>
        <v/>
      </c>
      <c r="AJ1576" s="14">
        <f>F1576*AI1576*in_hlth_family_ticket*in_hlth_family_comm*in_ins_partner_share+F1576*in_hlth_family_ticket*in_hlth_family_renew_comm*in_ins_partner_share*(in_hlth_family_renew^1*SUMIFS(AI1556:AI1578,B1556:B1578,B1576-12)+in_hlth_family_renew^2*SUMIFS(AI1556:AI1578,B1556:B1578,B1576-24)+in_hlth_family_renew^3*SUMIFS(AI1556:AI1578,B1556:B1578,B1576-36)+in_hlth_family_renew^4*SUMIFS(AI1556:AI1578,B1556:B1578,B1576-48))</f>
        <v/>
      </c>
      <c r="AK1576" s="40">
        <f>AK1575*(1-IF(B1575&gt;=in_marketplace_from,d_hz_life_term*G1575,0))</f>
        <v/>
      </c>
      <c r="AL1576" s="46">
        <f>AK1576*IF(B1576&gt;=in_marketplace_from,d_hz_life_term*G1576,0)</f>
        <v/>
      </c>
      <c r="AM1576" s="14">
        <f>F1576*AL1576*in_life_term_ticket*in_life_term_comm*in_ins_partner_share+F1576*in_life_term_ticket*in_life_term_renew_comm*in_ins_partner_share*(in_life_term_renew^1*SUMIFS(AL1556:AL1578,B1556:B1578,B1576-12)+in_life_term_renew^2*SUMIFS(AL1556:AL1578,B1556:B1578,B1576-24)+in_life_term_renew^3*SUMIFS(AL1556:AL1578,B1556:B1578,B1576-36)+in_life_term_renew^4*SUMIFS(AL1556:AL1578,B1556:B1578,B1576-48))</f>
        <v/>
      </c>
      <c r="AN1576" s="40">
        <f>AN1575*(1-IF(B1575&gt;=in_marketplace_from,d_hz_accident*G1575,0))</f>
        <v/>
      </c>
      <c r="AO1576" s="46">
        <f>AN1576*IF(B1576&gt;=in_marketplace_from,d_hz_accident*G1576,0)</f>
        <v/>
      </c>
      <c r="AP1576" s="14">
        <f>F1576*AO1576*in_accident_ticket*in_accident_comm*in_ins_partner_share+F1576*in_accident_ticket*in_accident_renew_comm*in_ins_partner_share*(in_accident_renew^1*SUMIFS(AO1556:AO1578,B1556:B1578,B1576-12)+in_accident_renew^2*SUMIFS(AO1556:AO1578,B1556:B1578,B1576-24)+in_accident_renew^3*SUMIFS(AO1556:AO1578,B1556:B1578,B1576-36)+in_accident_renew^4*SUMIFS(AO1556:AO1578,B1556:B1578,B1576-48))</f>
        <v/>
      </c>
      <c r="AQ1576" s="40">
        <f>AQ1575*(1-IF(B1575&gt;=in_marketplace_from,d_hz_two_wheeler*G1575,0))</f>
        <v/>
      </c>
      <c r="AR1576" s="46">
        <f>AQ1576*IF(B1576&gt;=in_marketplace_from,d_hz_two_wheeler*G1576,0)</f>
        <v/>
      </c>
      <c r="AS1576" s="14">
        <f>F1576*AR1576*in_two_wheeler_ticket*in_two_wheeler_comm*in_ins_partner_share+F1576*in_two_wheeler_ticket*in_two_wheeler_comm*in_ins_partner_share*(in_two_wheeler_renew^1*SUMIFS(AR1556:AR1578,B1556:B1578,B1576-12)+in_two_wheeler_renew^2*SUMIFS(AR1556:AR1578,B1556:B1578,B1576-24)+in_two_wheeler_renew^3*SUMIFS(AR1556:AR1578,B1556:B1578,B1576-36)+in_two_wheeler_renew^4*SUMIFS(AR1556:AR1578,B1556:B1578,B1576-48))</f>
        <v/>
      </c>
      <c r="AT1576" s="40">
        <f>AT1575*(1-IF(B1575&gt;=in_marketplace_from,d_hz_device*G1575,0))</f>
        <v/>
      </c>
      <c r="AU1576" s="14">
        <f>F1576*AT1576*IF(B1576&gt;=in_marketplace_from,d_hz_device*G1576,0)*in_device_ticket*in_device_comm*in_ins_partner_share</f>
        <v/>
      </c>
      <c r="AV1576" s="40">
        <f>AV1575*(1-IF(B1575&gt;=in_marketplace_from,d_hz_shop*G1575,0))</f>
        <v/>
      </c>
      <c r="AW1576" s="46">
        <f>AV1576*IF(B1576&gt;=in_marketplace_from,d_hz_shop*G1576,0)</f>
        <v/>
      </c>
      <c r="AX1576" s="14">
        <f>F1576*AW1576*in_shop_ticket*in_shop_comm*in_ins_partner_share+F1576*in_shop_ticket*in_shop_renew_comm*in_ins_partner_share*(in_shop_renew^1*SUMIFS(AW1556:AW1578,B1556:B1578,B1576-12)+in_shop_renew^2*SUMIFS(AW1556:AW1578,B1556:B1578,B1576-24)+in_shop_renew^3*SUMIFS(AW1556:AW1578,B1556:B1578,B1576-36)+in_shop_renew^4*SUMIFS(AW1556:AW1578,B1556:B1578,B1576-48))</f>
        <v/>
      </c>
      <c r="AY1576" s="40">
        <f>AY1575*(1-IF(B1575&gt;=in_marketplace_from,d_hz_sip*G1575,0))</f>
        <v/>
      </c>
      <c r="AZ1576" s="40">
        <f>AZ1575*d_rho_sip+AY1576*IF(B1576&gt;=in_marketplace_from,d_hz_sip*G1576,0)</f>
        <v/>
      </c>
      <c r="BA1576" s="40">
        <f>d_rho_sip*(BA1575+AZ1575)</f>
        <v/>
      </c>
      <c r="BB1576" s="14">
        <f>F1576*in_sip_ticket*(BA1576+0.5*AZ1576)*in_sip_comm/12</f>
        <v/>
      </c>
      <c r="BC1576" s="40">
        <f>BC1575*(1-IF(B1575&gt;=in_marketplace_from,d_hz_choti*G1575,0))</f>
        <v/>
      </c>
      <c r="BD1576" s="46">
        <f>BC1576*IF(B1576&gt;=in_marketplace_from,d_hz_choti*G1576,0)</f>
        <v/>
      </c>
      <c r="BE1576" s="14">
        <f>F1576*SUMIFS(BD1556:BD1578,B1556:B1578,B1576-in_choti_months)*in_choti_renew*in_choti_ticket</f>
        <v/>
      </c>
      <c r="BF1576" s="40">
        <f>BF1575*(1-IF(B1575&gt;=in_marketplace_from,d_hz_nps*G1575,0))</f>
        <v/>
      </c>
      <c r="BG1576" s="14">
        <f>F1576*BF1576*IF(B1576&gt;=in_marketplace_from,d_hz_nps*G1576,0)*in_nps_ticket*in_nps_comm</f>
        <v/>
      </c>
      <c r="BH1576" s="40">
        <f>BH1575*(1-IF(B1575&gt;=in_marketplace_from,d_hz_gold*G1575,0))</f>
        <v/>
      </c>
      <c r="BI1576" s="40">
        <f>BI1575*d_rho_gold+BH1576*IF(B1576&gt;=in_marketplace_from,d_hz_gold*G1576,0)</f>
        <v/>
      </c>
      <c r="BJ1576" s="14">
        <f>F1576*BI1576*in_gold_ticket*in_gold_comm</f>
        <v/>
      </c>
      <c r="BK1576" s="40">
        <f>BK1575*(1-IF(B1575&gt;=in_marketplace_from,d_hz_fd*G1575,0))</f>
        <v/>
      </c>
      <c r="BL1576" s="14">
        <f>F1576*BK1576*IF(B1576&gt;=in_marketplace_from,d_hz_fd*G1576,0)*in_fd_ticket*in_fd_comm</f>
        <v/>
      </c>
      <c r="BM1576" s="40">
        <f>BM1575*(1-IF(B1575&gt;=in_marketplace_from,d_hz_recharge*G1575,0))</f>
        <v/>
      </c>
      <c r="BN1576" s="40">
        <f>BN1575*d_rho_recharge+BM1576*IF(B1576&gt;=in_marketplace_from,d_hz_recharge*G1576,0)</f>
        <v/>
      </c>
      <c r="BO1576" s="14">
        <f>F1576*BN1576*in_recharge_ticket*in_recharge_comm/12</f>
        <v/>
      </c>
      <c r="BP1576" s="40">
        <f>BP1575*(1-IF(B1575&gt;=in_marketplace_from,d_hz_bills*G1575,0))</f>
        <v/>
      </c>
      <c r="BQ1576" s="40">
        <f>BQ1575*d_rho_bills+BP1576*IF(B1576&gt;=in_marketplace_from,d_hz_bills*G1576,0)</f>
        <v/>
      </c>
      <c r="BR1576" s="14">
        <f>F1576*BQ1576*in_bills_ticket*in_bills_comm/12</f>
        <v/>
      </c>
      <c r="BS1576" s="40">
        <f>BS1575*(1-IF(B1575&gt;=in_marketplace_from,d_hz_loan_gold*G1575,0))</f>
        <v/>
      </c>
      <c r="BT1576" s="14">
        <f>F1576*BS1576*IF(B1576&gt;=in_marketplace_from,d_hz_loan_gold*G1576,0)*in_loan_gold_ticket*in_loan_gold_comm</f>
        <v/>
      </c>
      <c r="BU1576" s="40">
        <f>BU1575*(1-IF(B1575&gt;=in_marketplace_from,d_hz_loan_cd*G1575,0))</f>
        <v/>
      </c>
      <c r="BV1576" s="14">
        <f>F1576*BU1576*IF(B1576&gt;=in_marketplace_from,d_hz_loan_cd*G1576,0)*in_loan_cd_ticket*in_loan_cd_comm</f>
        <v/>
      </c>
      <c r="BW1576" s="40">
        <f>BW1575*(1-IF(B1575&gt;=in_marketplace_from,d_hz_loan_vehicle*G1575,0))</f>
        <v/>
      </c>
      <c r="BX1576" s="14">
        <f>F1576*BW1576*IF(B1576&gt;=in_marketplace_from,d_hz_loan_vehicle*G1576,0)*in_loan_vehicle_ticket*in_loan_vehicle_comm</f>
        <v/>
      </c>
      <c r="BY1576" s="40">
        <f>BY1575*(1-IF(B1575&gt;=in_marketplace_from,d_hz_loan_home*G1575,0)*BZ1575)</f>
        <v/>
      </c>
      <c r="BZ1576" s="11">
        <f>MIN(in_approval_cap,in_loan_home_approval*INDEX('Age profile'!$O$2:$O$61,B1576)*(1+in_approval_growth)^(D1576-1))</f>
        <v/>
      </c>
      <c r="CA1576" s="14">
        <f>F1576*BY1576*IF(B1576&gt;=in_marketplace_from,d_hz_loan_home*G1576,0)*BZ1576*in_loan_home_ticket*in_loan_home_comm</f>
        <v/>
      </c>
      <c r="CB1576" s="40">
        <f>CB1575*(1-IF(B1575&gt;=in_marketplace_from,d_hz_loan_lap*G1575,0)*CC1575)</f>
        <v/>
      </c>
      <c r="CC1576" s="11">
        <f>MIN(in_approval_cap,in_loan_lap_approval*INDEX('Age profile'!$O$2:$O$61,B1576)*(1+in_approval_growth)^(D1576-1))</f>
        <v/>
      </c>
      <c r="CD1576" s="14">
        <f>F1576*CB1576*IF(B1576&gt;=in_marketplace_from,d_hz_loan_lap*G1576,0)*CC1576*in_loan_lap_ticket*in_loan_lap_comm</f>
        <v/>
      </c>
      <c r="CE1576" s="14">
        <f>AA1576+AB1576+AC1576+AD1576+AG1576+AJ1576+AM1576+AP1576+AS1576+AU1576+AX1576+BB1576+BE1576+BG1576+BJ1576+BL1576+BO1576+BR1576+BT1576+BV1576+BX1576+CA1576+CD1576</f>
        <v/>
      </c>
    </row>
    <row r="1577">
      <c r="A1577" s="39" t="n">
        <v>38</v>
      </c>
      <c r="B1577" s="39" t="n">
        <v>22</v>
      </c>
      <c r="C1577" s="39">
        <f>A1577+B1577-1</f>
        <v/>
      </c>
      <c r="D1577" s="39">
        <f>INT((C1577-1)/12)+1</f>
        <v/>
      </c>
      <c r="E1577" s="44">
        <f>INDEX(Monthly!$B$2:$B$61,A1577)</f>
        <v/>
      </c>
      <c r="F1577" s="44">
        <f>E1577*INDEX('Age profile'!$B$2:$B$61,B1577)</f>
        <v/>
      </c>
      <c r="G1577" s="45">
        <f>MIN(in_takeup_cap,INDEX('Age profile'!$N$2:$N$61,B1577)*(1+in_takeup_growth)^(D1577-1))</f>
        <v/>
      </c>
      <c r="H1577" s="11">
        <f>MIN(in_approval_cap,in_approved_first*INDEX('Age profile'!$O$2:$O$61,B1577)*(1+in_approval_growth)^(D1577-1))</f>
        <v/>
      </c>
      <c r="I1577" s="45">
        <f>G1577*MIN(in_takeup_cap,INDEX('Age profile'!$O$2:$O$61,B1577)*(1+in_approval_growth)^(D1577-1))</f>
        <v/>
      </c>
      <c r="J1577" s="40">
        <f>(J1576-L1576)*F1577/F1576</f>
        <v/>
      </c>
      <c r="K1577" s="40">
        <f>(K1576-M1576)*F1577/F1576+SUMIFS(O1556:O1576,B1556:B1576,B1577-1-d_T)*F1577</f>
        <v/>
      </c>
      <c r="L1577" s="40">
        <f>IF(B1577&gt;=in_marketplace_from,J1577*d_hz*G1577*in_eligible*H1577,0)</f>
        <v/>
      </c>
      <c r="M1577" s="40">
        <f>IF(B1577&gt;=in_marketplace_from,K1577*d_hz*G1577*in_eligible*in_approved_repeat,0)</f>
        <v/>
      </c>
      <c r="N1577" s="40">
        <f>L1577+M1577</f>
        <v/>
      </c>
      <c r="O1577" s="46">
        <f>N1577/F1577</f>
        <v/>
      </c>
      <c r="P1577" s="40">
        <f>F1577-J1577-K1577</f>
        <v/>
      </c>
      <c r="Q1577" s="40">
        <f>IF(B1577&gt;=in_marketplace_from,(J1577+K1577)*d_hz*G1577,0)</f>
        <v/>
      </c>
      <c r="R1577" s="40">
        <f>SUMIFS(N1556:N1578,B1556:B1578,"&gt;="&amp;(B1577-d_T),B1556:B1578,"&lt;="&amp;(B1577-1))</f>
        <v/>
      </c>
      <c r="S1577" s="46">
        <f>(1-d_u)*S1576+IF(d_T&gt;in_topup_lag,SUMIFS(O1556:O1578,B1556:B1578,B1577-in_topup_lag)-d_udrop*SUMIFS(O1556:O1578,B1556:B1578,B1577-d_T),0)</f>
        <v/>
      </c>
      <c r="T1577" s="40">
        <f>F1577*d_u*S1577</f>
        <v/>
      </c>
      <c r="U1577" s="9">
        <f>L1577*in_ticket+M1577*d_rep_ticket</f>
        <v/>
      </c>
      <c r="V1577" s="9">
        <f>U1577+T1577*d_topup_amt</f>
        <v/>
      </c>
      <c r="W1577" s="40">
        <f>N1577+T1577*d_topup_ratio</f>
        <v/>
      </c>
      <c r="X1577" s="40">
        <f>SUMIFS(W1556:W1578,B1556:B1578,B1577-in_dpd_lag)*d_cured</f>
        <v/>
      </c>
      <c r="Y1577" s="40">
        <f>SUMIFS(W1556:W1578,B1556:B1578,B1577-in_rec_lag)*d_recd</f>
        <v/>
      </c>
      <c r="Z1577" s="40">
        <f>IF(AND(B1577&gt;=in_marketplace_from,B1577&lt;in_marketplace_from+in_card_months),in_card_share/in_card_months*F1577*I1577,IF(AND(B1577&gt;=in_marketplace_from+in_card_months,B1577&lt;in_marketplace_from+2*in_card_months),in_card_share*d_card_rem/in_card_months*F1577*MIN(in_takeup_cap,(1+in_takeup_growth)^(D1577-1))*MIN(in_takeup_cap,(1+in_approval_growth)^(D1577-1)),0))</f>
        <v/>
      </c>
      <c r="AA1577" s="14">
        <f>V1577*in_fee*(1-in_taken_back)</f>
        <v/>
      </c>
      <c r="AB1577" s="14">
        <f>SUMIFS(W1556:W1578,B1556:B1578,B1577-in_dpd_lag)*d_dpd</f>
        <v/>
      </c>
      <c r="AC1577" s="14">
        <f>SUMIFS(W1556:W1578,B1556:B1578,B1577-in_rec_lag)*d_rec</f>
        <v/>
      </c>
      <c r="AD1577" s="14">
        <f>Z1577*in_card_fee</f>
        <v/>
      </c>
      <c r="AE1577" s="40">
        <f>AE1576*(1-IF(B1576&gt;=in_marketplace_from,d_hz_hlth_small*G1576,0))</f>
        <v/>
      </c>
      <c r="AF1577" s="46">
        <f>AE1577*IF(B1577&gt;=in_marketplace_from,d_hz_hlth_small*G1577,0)</f>
        <v/>
      </c>
      <c r="AG1577" s="14">
        <f>F1577*AF1577*in_hlth_small_ticket*in_hlth_small_comm*in_ins_partner_share+F1577*in_hlth_small_ticket*in_hlth_small_renew_comm*in_ins_partner_share*(in_hlth_small_renew^1*SUMIFS(AF1556:AF1578,B1556:B1578,B1577-12)+in_hlth_small_renew^2*SUMIFS(AF1556:AF1578,B1556:B1578,B1577-24)+in_hlth_small_renew^3*SUMIFS(AF1556:AF1578,B1556:B1578,B1577-36)+in_hlth_small_renew^4*SUMIFS(AF1556:AF1578,B1556:B1578,B1577-48))</f>
        <v/>
      </c>
      <c r="AH1577" s="40">
        <f>AH1576*(1-IF(B1576&gt;=in_marketplace_from,d_hz_hlth_family*G1576,0))</f>
        <v/>
      </c>
      <c r="AI1577" s="46">
        <f>AH1577*IF(B1577&gt;=in_marketplace_from,d_hz_hlth_family*G1577,0)</f>
        <v/>
      </c>
      <c r="AJ1577" s="14">
        <f>F1577*AI1577*in_hlth_family_ticket*in_hlth_family_comm*in_ins_partner_share+F1577*in_hlth_family_ticket*in_hlth_family_renew_comm*in_ins_partner_share*(in_hlth_family_renew^1*SUMIFS(AI1556:AI1578,B1556:B1578,B1577-12)+in_hlth_family_renew^2*SUMIFS(AI1556:AI1578,B1556:B1578,B1577-24)+in_hlth_family_renew^3*SUMIFS(AI1556:AI1578,B1556:B1578,B1577-36)+in_hlth_family_renew^4*SUMIFS(AI1556:AI1578,B1556:B1578,B1577-48))</f>
        <v/>
      </c>
      <c r="AK1577" s="40">
        <f>AK1576*(1-IF(B1576&gt;=in_marketplace_from,d_hz_life_term*G1576,0))</f>
        <v/>
      </c>
      <c r="AL1577" s="46">
        <f>AK1577*IF(B1577&gt;=in_marketplace_from,d_hz_life_term*G1577,0)</f>
        <v/>
      </c>
      <c r="AM1577" s="14">
        <f>F1577*AL1577*in_life_term_ticket*in_life_term_comm*in_ins_partner_share+F1577*in_life_term_ticket*in_life_term_renew_comm*in_ins_partner_share*(in_life_term_renew^1*SUMIFS(AL1556:AL1578,B1556:B1578,B1577-12)+in_life_term_renew^2*SUMIFS(AL1556:AL1578,B1556:B1578,B1577-24)+in_life_term_renew^3*SUMIFS(AL1556:AL1578,B1556:B1578,B1577-36)+in_life_term_renew^4*SUMIFS(AL1556:AL1578,B1556:B1578,B1577-48))</f>
        <v/>
      </c>
      <c r="AN1577" s="40">
        <f>AN1576*(1-IF(B1576&gt;=in_marketplace_from,d_hz_accident*G1576,0))</f>
        <v/>
      </c>
      <c r="AO1577" s="46">
        <f>AN1577*IF(B1577&gt;=in_marketplace_from,d_hz_accident*G1577,0)</f>
        <v/>
      </c>
      <c r="AP1577" s="14">
        <f>F1577*AO1577*in_accident_ticket*in_accident_comm*in_ins_partner_share+F1577*in_accident_ticket*in_accident_renew_comm*in_ins_partner_share*(in_accident_renew^1*SUMIFS(AO1556:AO1578,B1556:B1578,B1577-12)+in_accident_renew^2*SUMIFS(AO1556:AO1578,B1556:B1578,B1577-24)+in_accident_renew^3*SUMIFS(AO1556:AO1578,B1556:B1578,B1577-36)+in_accident_renew^4*SUMIFS(AO1556:AO1578,B1556:B1578,B1577-48))</f>
        <v/>
      </c>
      <c r="AQ1577" s="40">
        <f>AQ1576*(1-IF(B1576&gt;=in_marketplace_from,d_hz_two_wheeler*G1576,0))</f>
        <v/>
      </c>
      <c r="AR1577" s="46">
        <f>AQ1577*IF(B1577&gt;=in_marketplace_from,d_hz_two_wheeler*G1577,0)</f>
        <v/>
      </c>
      <c r="AS1577" s="14">
        <f>F1577*AR1577*in_two_wheeler_ticket*in_two_wheeler_comm*in_ins_partner_share+F1577*in_two_wheeler_ticket*in_two_wheeler_comm*in_ins_partner_share*(in_two_wheeler_renew^1*SUMIFS(AR1556:AR1578,B1556:B1578,B1577-12)+in_two_wheeler_renew^2*SUMIFS(AR1556:AR1578,B1556:B1578,B1577-24)+in_two_wheeler_renew^3*SUMIFS(AR1556:AR1578,B1556:B1578,B1577-36)+in_two_wheeler_renew^4*SUMIFS(AR1556:AR1578,B1556:B1578,B1577-48))</f>
        <v/>
      </c>
      <c r="AT1577" s="40">
        <f>AT1576*(1-IF(B1576&gt;=in_marketplace_from,d_hz_device*G1576,0))</f>
        <v/>
      </c>
      <c r="AU1577" s="14">
        <f>F1577*AT1577*IF(B1577&gt;=in_marketplace_from,d_hz_device*G1577,0)*in_device_ticket*in_device_comm*in_ins_partner_share</f>
        <v/>
      </c>
      <c r="AV1577" s="40">
        <f>AV1576*(1-IF(B1576&gt;=in_marketplace_from,d_hz_shop*G1576,0))</f>
        <v/>
      </c>
      <c r="AW1577" s="46">
        <f>AV1577*IF(B1577&gt;=in_marketplace_from,d_hz_shop*G1577,0)</f>
        <v/>
      </c>
      <c r="AX1577" s="14">
        <f>F1577*AW1577*in_shop_ticket*in_shop_comm*in_ins_partner_share+F1577*in_shop_ticket*in_shop_renew_comm*in_ins_partner_share*(in_shop_renew^1*SUMIFS(AW1556:AW1578,B1556:B1578,B1577-12)+in_shop_renew^2*SUMIFS(AW1556:AW1578,B1556:B1578,B1577-24)+in_shop_renew^3*SUMIFS(AW1556:AW1578,B1556:B1578,B1577-36)+in_shop_renew^4*SUMIFS(AW1556:AW1578,B1556:B1578,B1577-48))</f>
        <v/>
      </c>
      <c r="AY1577" s="40">
        <f>AY1576*(1-IF(B1576&gt;=in_marketplace_from,d_hz_sip*G1576,0))</f>
        <v/>
      </c>
      <c r="AZ1577" s="40">
        <f>AZ1576*d_rho_sip+AY1577*IF(B1577&gt;=in_marketplace_from,d_hz_sip*G1577,0)</f>
        <v/>
      </c>
      <c r="BA1577" s="40">
        <f>d_rho_sip*(BA1576+AZ1576)</f>
        <v/>
      </c>
      <c r="BB1577" s="14">
        <f>F1577*in_sip_ticket*(BA1577+0.5*AZ1577)*in_sip_comm/12</f>
        <v/>
      </c>
      <c r="BC1577" s="40">
        <f>BC1576*(1-IF(B1576&gt;=in_marketplace_from,d_hz_choti*G1576,0))</f>
        <v/>
      </c>
      <c r="BD1577" s="46">
        <f>BC1577*IF(B1577&gt;=in_marketplace_from,d_hz_choti*G1577,0)</f>
        <v/>
      </c>
      <c r="BE1577" s="14">
        <f>F1577*SUMIFS(BD1556:BD1578,B1556:B1578,B1577-in_choti_months)*in_choti_renew*in_choti_ticket</f>
        <v/>
      </c>
      <c r="BF1577" s="40">
        <f>BF1576*(1-IF(B1576&gt;=in_marketplace_from,d_hz_nps*G1576,0))</f>
        <v/>
      </c>
      <c r="BG1577" s="14">
        <f>F1577*BF1577*IF(B1577&gt;=in_marketplace_from,d_hz_nps*G1577,0)*in_nps_ticket*in_nps_comm</f>
        <v/>
      </c>
      <c r="BH1577" s="40">
        <f>BH1576*(1-IF(B1576&gt;=in_marketplace_from,d_hz_gold*G1576,0))</f>
        <v/>
      </c>
      <c r="BI1577" s="40">
        <f>BI1576*d_rho_gold+BH1577*IF(B1577&gt;=in_marketplace_from,d_hz_gold*G1577,0)</f>
        <v/>
      </c>
      <c r="BJ1577" s="14">
        <f>F1577*BI1577*in_gold_ticket*in_gold_comm</f>
        <v/>
      </c>
      <c r="BK1577" s="40">
        <f>BK1576*(1-IF(B1576&gt;=in_marketplace_from,d_hz_fd*G1576,0))</f>
        <v/>
      </c>
      <c r="BL1577" s="14">
        <f>F1577*BK1577*IF(B1577&gt;=in_marketplace_from,d_hz_fd*G1577,0)*in_fd_ticket*in_fd_comm</f>
        <v/>
      </c>
      <c r="BM1577" s="40">
        <f>BM1576*(1-IF(B1576&gt;=in_marketplace_from,d_hz_recharge*G1576,0))</f>
        <v/>
      </c>
      <c r="BN1577" s="40">
        <f>BN1576*d_rho_recharge+BM1577*IF(B1577&gt;=in_marketplace_from,d_hz_recharge*G1577,0)</f>
        <v/>
      </c>
      <c r="BO1577" s="14">
        <f>F1577*BN1577*in_recharge_ticket*in_recharge_comm/12</f>
        <v/>
      </c>
      <c r="BP1577" s="40">
        <f>BP1576*(1-IF(B1576&gt;=in_marketplace_from,d_hz_bills*G1576,0))</f>
        <v/>
      </c>
      <c r="BQ1577" s="40">
        <f>BQ1576*d_rho_bills+BP1577*IF(B1577&gt;=in_marketplace_from,d_hz_bills*G1577,0)</f>
        <v/>
      </c>
      <c r="BR1577" s="14">
        <f>F1577*BQ1577*in_bills_ticket*in_bills_comm/12</f>
        <v/>
      </c>
      <c r="BS1577" s="40">
        <f>BS1576*(1-IF(B1576&gt;=in_marketplace_from,d_hz_loan_gold*G1576,0))</f>
        <v/>
      </c>
      <c r="BT1577" s="14">
        <f>F1577*BS1577*IF(B1577&gt;=in_marketplace_from,d_hz_loan_gold*G1577,0)*in_loan_gold_ticket*in_loan_gold_comm</f>
        <v/>
      </c>
      <c r="BU1577" s="40">
        <f>BU1576*(1-IF(B1576&gt;=in_marketplace_from,d_hz_loan_cd*G1576,0))</f>
        <v/>
      </c>
      <c r="BV1577" s="14">
        <f>F1577*BU1577*IF(B1577&gt;=in_marketplace_from,d_hz_loan_cd*G1577,0)*in_loan_cd_ticket*in_loan_cd_comm</f>
        <v/>
      </c>
      <c r="BW1577" s="40">
        <f>BW1576*(1-IF(B1576&gt;=in_marketplace_from,d_hz_loan_vehicle*G1576,0))</f>
        <v/>
      </c>
      <c r="BX1577" s="14">
        <f>F1577*BW1577*IF(B1577&gt;=in_marketplace_from,d_hz_loan_vehicle*G1577,0)*in_loan_vehicle_ticket*in_loan_vehicle_comm</f>
        <v/>
      </c>
      <c r="BY1577" s="40">
        <f>BY1576*(1-IF(B1576&gt;=in_marketplace_from,d_hz_loan_home*G1576,0)*BZ1576)</f>
        <v/>
      </c>
      <c r="BZ1577" s="11">
        <f>MIN(in_approval_cap,in_loan_home_approval*INDEX('Age profile'!$O$2:$O$61,B1577)*(1+in_approval_growth)^(D1577-1))</f>
        <v/>
      </c>
      <c r="CA1577" s="14">
        <f>F1577*BY1577*IF(B1577&gt;=in_marketplace_from,d_hz_loan_home*G1577,0)*BZ1577*in_loan_home_ticket*in_loan_home_comm</f>
        <v/>
      </c>
      <c r="CB1577" s="40">
        <f>CB1576*(1-IF(B1576&gt;=in_marketplace_from,d_hz_loan_lap*G1576,0)*CC1576)</f>
        <v/>
      </c>
      <c r="CC1577" s="11">
        <f>MIN(in_approval_cap,in_loan_lap_approval*INDEX('Age profile'!$O$2:$O$61,B1577)*(1+in_approval_growth)^(D1577-1))</f>
        <v/>
      </c>
      <c r="CD1577" s="14">
        <f>F1577*CB1577*IF(B1577&gt;=in_marketplace_from,d_hz_loan_lap*G1577,0)*CC1577*in_loan_lap_ticket*in_loan_lap_comm</f>
        <v/>
      </c>
      <c r="CE1577" s="14">
        <f>AA1577+AB1577+AC1577+AD1577+AG1577+AJ1577+AM1577+AP1577+AS1577+AU1577+AX1577+BB1577+BE1577+BG1577+BJ1577+BL1577+BO1577+BR1577+BT1577+BV1577+BX1577+CA1577+CD1577</f>
        <v/>
      </c>
    </row>
    <row r="1578">
      <c r="A1578" s="39" t="n">
        <v>38</v>
      </c>
      <c r="B1578" s="39" t="n">
        <v>23</v>
      </c>
      <c r="C1578" s="39">
        <f>A1578+B1578-1</f>
        <v/>
      </c>
      <c r="D1578" s="39">
        <f>INT((C1578-1)/12)+1</f>
        <v/>
      </c>
      <c r="E1578" s="44">
        <f>INDEX(Monthly!$B$2:$B$61,A1578)</f>
        <v/>
      </c>
      <c r="F1578" s="44">
        <f>E1578*INDEX('Age profile'!$B$2:$B$61,B1578)</f>
        <v/>
      </c>
      <c r="G1578" s="45">
        <f>MIN(in_takeup_cap,INDEX('Age profile'!$N$2:$N$61,B1578)*(1+in_takeup_growth)^(D1578-1))</f>
        <v/>
      </c>
      <c r="H1578" s="11">
        <f>MIN(in_approval_cap,in_approved_first*INDEX('Age profile'!$O$2:$O$61,B1578)*(1+in_approval_growth)^(D1578-1))</f>
        <v/>
      </c>
      <c r="I1578" s="45">
        <f>G1578*MIN(in_takeup_cap,INDEX('Age profile'!$O$2:$O$61,B1578)*(1+in_approval_growth)^(D1578-1))</f>
        <v/>
      </c>
      <c r="J1578" s="40">
        <f>(J1577-L1577)*F1578/F1577</f>
        <v/>
      </c>
      <c r="K1578" s="40">
        <f>(K1577-M1577)*F1578/F1577+SUMIFS(O1556:O1577,B1556:B1577,B1578-1-d_T)*F1578</f>
        <v/>
      </c>
      <c r="L1578" s="40">
        <f>IF(B1578&gt;=in_marketplace_from,J1578*d_hz*G1578*in_eligible*H1578,0)</f>
        <v/>
      </c>
      <c r="M1578" s="40">
        <f>IF(B1578&gt;=in_marketplace_from,K1578*d_hz*G1578*in_eligible*in_approved_repeat,0)</f>
        <v/>
      </c>
      <c r="N1578" s="40">
        <f>L1578+M1578</f>
        <v/>
      </c>
      <c r="O1578" s="46">
        <f>N1578/F1578</f>
        <v/>
      </c>
      <c r="P1578" s="40">
        <f>F1578-J1578-K1578</f>
        <v/>
      </c>
      <c r="Q1578" s="40">
        <f>IF(B1578&gt;=in_marketplace_from,(J1578+K1578)*d_hz*G1578,0)</f>
        <v/>
      </c>
      <c r="R1578" s="40">
        <f>SUMIFS(N1556:N1578,B1556:B1578,"&gt;="&amp;(B1578-d_T),B1556:B1578,"&lt;="&amp;(B1578-1))</f>
        <v/>
      </c>
      <c r="S1578" s="46">
        <f>(1-d_u)*S1577+IF(d_T&gt;in_topup_lag,SUMIFS(O1556:O1578,B1556:B1578,B1578-in_topup_lag)-d_udrop*SUMIFS(O1556:O1578,B1556:B1578,B1578-d_T),0)</f>
        <v/>
      </c>
      <c r="T1578" s="40">
        <f>F1578*d_u*S1578</f>
        <v/>
      </c>
      <c r="U1578" s="9">
        <f>L1578*in_ticket+M1578*d_rep_ticket</f>
        <v/>
      </c>
      <c r="V1578" s="9">
        <f>U1578+T1578*d_topup_amt</f>
        <v/>
      </c>
      <c r="W1578" s="40">
        <f>N1578+T1578*d_topup_ratio</f>
        <v/>
      </c>
      <c r="X1578" s="40">
        <f>SUMIFS(W1556:W1578,B1556:B1578,B1578-in_dpd_lag)*d_cured</f>
        <v/>
      </c>
      <c r="Y1578" s="40">
        <f>SUMIFS(W1556:W1578,B1556:B1578,B1578-in_rec_lag)*d_recd</f>
        <v/>
      </c>
      <c r="Z1578" s="40">
        <f>IF(AND(B1578&gt;=in_marketplace_from,B1578&lt;in_marketplace_from+in_card_months),in_card_share/in_card_months*F1578*I1578,IF(AND(B1578&gt;=in_marketplace_from+in_card_months,B1578&lt;in_marketplace_from+2*in_card_months),in_card_share*d_card_rem/in_card_months*F1578*MIN(in_takeup_cap,(1+in_takeup_growth)^(D1578-1))*MIN(in_takeup_cap,(1+in_approval_growth)^(D1578-1)),0))</f>
        <v/>
      </c>
      <c r="AA1578" s="14">
        <f>V1578*in_fee*(1-in_taken_back)</f>
        <v/>
      </c>
      <c r="AB1578" s="14">
        <f>SUMIFS(W1556:W1578,B1556:B1578,B1578-in_dpd_lag)*d_dpd</f>
        <v/>
      </c>
      <c r="AC1578" s="14">
        <f>SUMIFS(W1556:W1578,B1556:B1578,B1578-in_rec_lag)*d_rec</f>
        <v/>
      </c>
      <c r="AD1578" s="14">
        <f>Z1578*in_card_fee</f>
        <v/>
      </c>
      <c r="AE1578" s="40">
        <f>AE1577*(1-IF(B1577&gt;=in_marketplace_from,d_hz_hlth_small*G1577,0))</f>
        <v/>
      </c>
      <c r="AF1578" s="46">
        <f>AE1578*IF(B1578&gt;=in_marketplace_from,d_hz_hlth_small*G1578,0)</f>
        <v/>
      </c>
      <c r="AG1578" s="14">
        <f>F1578*AF1578*in_hlth_small_ticket*in_hlth_small_comm*in_ins_partner_share+F1578*in_hlth_small_ticket*in_hlth_small_renew_comm*in_ins_partner_share*(in_hlth_small_renew^1*SUMIFS(AF1556:AF1578,B1556:B1578,B1578-12)+in_hlth_small_renew^2*SUMIFS(AF1556:AF1578,B1556:B1578,B1578-24)+in_hlth_small_renew^3*SUMIFS(AF1556:AF1578,B1556:B1578,B1578-36)+in_hlth_small_renew^4*SUMIFS(AF1556:AF1578,B1556:B1578,B1578-48))</f>
        <v/>
      </c>
      <c r="AH1578" s="40">
        <f>AH1577*(1-IF(B1577&gt;=in_marketplace_from,d_hz_hlth_family*G1577,0))</f>
        <v/>
      </c>
      <c r="AI1578" s="46">
        <f>AH1578*IF(B1578&gt;=in_marketplace_from,d_hz_hlth_family*G1578,0)</f>
        <v/>
      </c>
      <c r="AJ1578" s="14">
        <f>F1578*AI1578*in_hlth_family_ticket*in_hlth_family_comm*in_ins_partner_share+F1578*in_hlth_family_ticket*in_hlth_family_renew_comm*in_ins_partner_share*(in_hlth_family_renew^1*SUMIFS(AI1556:AI1578,B1556:B1578,B1578-12)+in_hlth_family_renew^2*SUMIFS(AI1556:AI1578,B1556:B1578,B1578-24)+in_hlth_family_renew^3*SUMIFS(AI1556:AI1578,B1556:B1578,B1578-36)+in_hlth_family_renew^4*SUMIFS(AI1556:AI1578,B1556:B1578,B1578-48))</f>
        <v/>
      </c>
      <c r="AK1578" s="40">
        <f>AK1577*(1-IF(B1577&gt;=in_marketplace_from,d_hz_life_term*G1577,0))</f>
        <v/>
      </c>
      <c r="AL1578" s="46">
        <f>AK1578*IF(B1578&gt;=in_marketplace_from,d_hz_life_term*G1578,0)</f>
        <v/>
      </c>
      <c r="AM1578" s="14">
        <f>F1578*AL1578*in_life_term_ticket*in_life_term_comm*in_ins_partner_share+F1578*in_life_term_ticket*in_life_term_renew_comm*in_ins_partner_share*(in_life_term_renew^1*SUMIFS(AL1556:AL1578,B1556:B1578,B1578-12)+in_life_term_renew^2*SUMIFS(AL1556:AL1578,B1556:B1578,B1578-24)+in_life_term_renew^3*SUMIFS(AL1556:AL1578,B1556:B1578,B1578-36)+in_life_term_renew^4*SUMIFS(AL1556:AL1578,B1556:B1578,B1578-48))</f>
        <v/>
      </c>
      <c r="AN1578" s="40">
        <f>AN1577*(1-IF(B1577&gt;=in_marketplace_from,d_hz_accident*G1577,0))</f>
        <v/>
      </c>
      <c r="AO1578" s="46">
        <f>AN1578*IF(B1578&gt;=in_marketplace_from,d_hz_accident*G1578,0)</f>
        <v/>
      </c>
      <c r="AP1578" s="14">
        <f>F1578*AO1578*in_accident_ticket*in_accident_comm*in_ins_partner_share+F1578*in_accident_ticket*in_accident_renew_comm*in_ins_partner_share*(in_accident_renew^1*SUMIFS(AO1556:AO1578,B1556:B1578,B1578-12)+in_accident_renew^2*SUMIFS(AO1556:AO1578,B1556:B1578,B1578-24)+in_accident_renew^3*SUMIFS(AO1556:AO1578,B1556:B1578,B1578-36)+in_accident_renew^4*SUMIFS(AO1556:AO1578,B1556:B1578,B1578-48))</f>
        <v/>
      </c>
      <c r="AQ1578" s="40">
        <f>AQ1577*(1-IF(B1577&gt;=in_marketplace_from,d_hz_two_wheeler*G1577,0))</f>
        <v/>
      </c>
      <c r="AR1578" s="46">
        <f>AQ1578*IF(B1578&gt;=in_marketplace_from,d_hz_two_wheeler*G1578,0)</f>
        <v/>
      </c>
      <c r="AS1578" s="14">
        <f>F1578*AR1578*in_two_wheeler_ticket*in_two_wheeler_comm*in_ins_partner_share+F1578*in_two_wheeler_ticket*in_two_wheeler_comm*in_ins_partner_share*(in_two_wheeler_renew^1*SUMIFS(AR1556:AR1578,B1556:B1578,B1578-12)+in_two_wheeler_renew^2*SUMIFS(AR1556:AR1578,B1556:B1578,B1578-24)+in_two_wheeler_renew^3*SUMIFS(AR1556:AR1578,B1556:B1578,B1578-36)+in_two_wheeler_renew^4*SUMIFS(AR1556:AR1578,B1556:B1578,B1578-48))</f>
        <v/>
      </c>
      <c r="AT1578" s="40">
        <f>AT1577*(1-IF(B1577&gt;=in_marketplace_from,d_hz_device*G1577,0))</f>
        <v/>
      </c>
      <c r="AU1578" s="14">
        <f>F1578*AT1578*IF(B1578&gt;=in_marketplace_from,d_hz_device*G1578,0)*in_device_ticket*in_device_comm*in_ins_partner_share</f>
        <v/>
      </c>
      <c r="AV1578" s="40">
        <f>AV1577*(1-IF(B1577&gt;=in_marketplace_from,d_hz_shop*G1577,0))</f>
        <v/>
      </c>
      <c r="AW1578" s="46">
        <f>AV1578*IF(B1578&gt;=in_marketplace_from,d_hz_shop*G1578,0)</f>
        <v/>
      </c>
      <c r="AX1578" s="14">
        <f>F1578*AW1578*in_shop_ticket*in_shop_comm*in_ins_partner_share+F1578*in_shop_ticket*in_shop_renew_comm*in_ins_partner_share*(in_shop_renew^1*SUMIFS(AW1556:AW1578,B1556:B1578,B1578-12)+in_shop_renew^2*SUMIFS(AW1556:AW1578,B1556:B1578,B1578-24)+in_shop_renew^3*SUMIFS(AW1556:AW1578,B1556:B1578,B1578-36)+in_shop_renew^4*SUMIFS(AW1556:AW1578,B1556:B1578,B1578-48))</f>
        <v/>
      </c>
      <c r="AY1578" s="40">
        <f>AY1577*(1-IF(B1577&gt;=in_marketplace_from,d_hz_sip*G1577,0))</f>
        <v/>
      </c>
      <c r="AZ1578" s="40">
        <f>AZ1577*d_rho_sip+AY1578*IF(B1578&gt;=in_marketplace_from,d_hz_sip*G1578,0)</f>
        <v/>
      </c>
      <c r="BA1578" s="40">
        <f>d_rho_sip*(BA1577+AZ1577)</f>
        <v/>
      </c>
      <c r="BB1578" s="14">
        <f>F1578*in_sip_ticket*(BA1578+0.5*AZ1578)*in_sip_comm/12</f>
        <v/>
      </c>
      <c r="BC1578" s="40">
        <f>BC1577*(1-IF(B1577&gt;=in_marketplace_from,d_hz_choti*G1577,0))</f>
        <v/>
      </c>
      <c r="BD1578" s="46">
        <f>BC1578*IF(B1578&gt;=in_marketplace_from,d_hz_choti*G1578,0)</f>
        <v/>
      </c>
      <c r="BE1578" s="14">
        <f>F1578*SUMIFS(BD1556:BD1578,B1556:B1578,B1578-in_choti_months)*in_choti_renew*in_choti_ticket</f>
        <v/>
      </c>
      <c r="BF1578" s="40">
        <f>BF1577*(1-IF(B1577&gt;=in_marketplace_from,d_hz_nps*G1577,0))</f>
        <v/>
      </c>
      <c r="BG1578" s="14">
        <f>F1578*BF1578*IF(B1578&gt;=in_marketplace_from,d_hz_nps*G1578,0)*in_nps_ticket*in_nps_comm</f>
        <v/>
      </c>
      <c r="BH1578" s="40">
        <f>BH1577*(1-IF(B1577&gt;=in_marketplace_from,d_hz_gold*G1577,0))</f>
        <v/>
      </c>
      <c r="BI1578" s="40">
        <f>BI1577*d_rho_gold+BH1578*IF(B1578&gt;=in_marketplace_from,d_hz_gold*G1578,0)</f>
        <v/>
      </c>
      <c r="BJ1578" s="14">
        <f>F1578*BI1578*in_gold_ticket*in_gold_comm</f>
        <v/>
      </c>
      <c r="BK1578" s="40">
        <f>BK1577*(1-IF(B1577&gt;=in_marketplace_from,d_hz_fd*G1577,0))</f>
        <v/>
      </c>
      <c r="BL1578" s="14">
        <f>F1578*BK1578*IF(B1578&gt;=in_marketplace_from,d_hz_fd*G1578,0)*in_fd_ticket*in_fd_comm</f>
        <v/>
      </c>
      <c r="BM1578" s="40">
        <f>BM1577*(1-IF(B1577&gt;=in_marketplace_from,d_hz_recharge*G1577,0))</f>
        <v/>
      </c>
      <c r="BN1578" s="40">
        <f>BN1577*d_rho_recharge+BM1578*IF(B1578&gt;=in_marketplace_from,d_hz_recharge*G1578,0)</f>
        <v/>
      </c>
      <c r="BO1578" s="14">
        <f>F1578*BN1578*in_recharge_ticket*in_recharge_comm/12</f>
        <v/>
      </c>
      <c r="BP1578" s="40">
        <f>BP1577*(1-IF(B1577&gt;=in_marketplace_from,d_hz_bills*G1577,0))</f>
        <v/>
      </c>
      <c r="BQ1578" s="40">
        <f>BQ1577*d_rho_bills+BP1578*IF(B1578&gt;=in_marketplace_from,d_hz_bills*G1578,0)</f>
        <v/>
      </c>
      <c r="BR1578" s="14">
        <f>F1578*BQ1578*in_bills_ticket*in_bills_comm/12</f>
        <v/>
      </c>
      <c r="BS1578" s="40">
        <f>BS1577*(1-IF(B1577&gt;=in_marketplace_from,d_hz_loan_gold*G1577,0))</f>
        <v/>
      </c>
      <c r="BT1578" s="14">
        <f>F1578*BS1578*IF(B1578&gt;=in_marketplace_from,d_hz_loan_gold*G1578,0)*in_loan_gold_ticket*in_loan_gold_comm</f>
        <v/>
      </c>
      <c r="BU1578" s="40">
        <f>BU1577*(1-IF(B1577&gt;=in_marketplace_from,d_hz_loan_cd*G1577,0))</f>
        <v/>
      </c>
      <c r="BV1578" s="14">
        <f>F1578*BU1578*IF(B1578&gt;=in_marketplace_from,d_hz_loan_cd*G1578,0)*in_loan_cd_ticket*in_loan_cd_comm</f>
        <v/>
      </c>
      <c r="BW1578" s="40">
        <f>BW1577*(1-IF(B1577&gt;=in_marketplace_from,d_hz_loan_vehicle*G1577,0))</f>
        <v/>
      </c>
      <c r="BX1578" s="14">
        <f>F1578*BW1578*IF(B1578&gt;=in_marketplace_from,d_hz_loan_vehicle*G1578,0)*in_loan_vehicle_ticket*in_loan_vehicle_comm</f>
        <v/>
      </c>
      <c r="BY1578" s="40">
        <f>BY1577*(1-IF(B1577&gt;=in_marketplace_from,d_hz_loan_home*G1577,0)*BZ1577)</f>
        <v/>
      </c>
      <c r="BZ1578" s="11">
        <f>MIN(in_approval_cap,in_loan_home_approval*INDEX('Age profile'!$O$2:$O$61,B1578)*(1+in_approval_growth)^(D1578-1))</f>
        <v/>
      </c>
      <c r="CA1578" s="14">
        <f>F1578*BY1578*IF(B1578&gt;=in_marketplace_from,d_hz_loan_home*G1578,0)*BZ1578*in_loan_home_ticket*in_loan_home_comm</f>
        <v/>
      </c>
      <c r="CB1578" s="40">
        <f>CB1577*(1-IF(B1577&gt;=in_marketplace_from,d_hz_loan_lap*G1577,0)*CC1577)</f>
        <v/>
      </c>
      <c r="CC1578" s="11">
        <f>MIN(in_approval_cap,in_loan_lap_approval*INDEX('Age profile'!$O$2:$O$61,B1578)*(1+in_approval_growth)^(D1578-1))</f>
        <v/>
      </c>
      <c r="CD1578" s="14">
        <f>F1578*CB1578*IF(B1578&gt;=in_marketplace_from,d_hz_loan_lap*G1578,0)*CC1578*in_loan_lap_ticket*in_loan_lap_comm</f>
        <v/>
      </c>
      <c r="CE1578" s="14">
        <f>AA1578+AB1578+AC1578+AD1578+AG1578+AJ1578+AM1578+AP1578+AS1578+AU1578+AX1578+BB1578+BE1578+BG1578+BJ1578+BL1578+BO1578+BR1578+BT1578+BV1578+BX1578+CA1578+CD1578</f>
        <v/>
      </c>
    </row>
    <row r="1579">
      <c r="A1579" s="39" t="n">
        <v>39</v>
      </c>
      <c r="B1579" s="39" t="n">
        <v>1</v>
      </c>
      <c r="C1579" s="39">
        <f>A1579+B1579-1</f>
        <v/>
      </c>
      <c r="D1579" s="39">
        <f>INT((C1579-1)/12)+1</f>
        <v/>
      </c>
      <c r="E1579" s="44">
        <f>INDEX(Monthly!$B$2:$B$61,A1579)</f>
        <v/>
      </c>
      <c r="F1579" s="44">
        <f>E1579*INDEX('Age profile'!$B$2:$B$61,B1579)</f>
        <v/>
      </c>
      <c r="G1579" s="45">
        <f>MIN(in_takeup_cap,INDEX('Age profile'!$N$2:$N$61,B1579)*(1+in_takeup_growth)^(D1579-1))</f>
        <v/>
      </c>
      <c r="H1579" s="11">
        <f>MIN(in_approval_cap,in_approved_first*INDEX('Age profile'!$O$2:$O$61,B1579)*(1+in_approval_growth)^(D1579-1))</f>
        <v/>
      </c>
      <c r="I1579" s="45">
        <f>G1579*MIN(in_takeup_cap,INDEX('Age profile'!$O$2:$O$61,B1579)*(1+in_approval_growth)^(D1579-1))</f>
        <v/>
      </c>
      <c r="J1579" s="40">
        <f>E1579</f>
        <v/>
      </c>
      <c r="K1579" s="40" t="n">
        <v>0</v>
      </c>
      <c r="L1579" s="40">
        <f>IF(B1579&gt;=in_marketplace_from,J1579*d_hz*G1579*in_eligible*H1579,0)</f>
        <v/>
      </c>
      <c r="M1579" s="40">
        <f>IF(B1579&gt;=in_marketplace_from,K1579*d_hz*G1579*in_eligible*in_approved_repeat,0)</f>
        <v/>
      </c>
      <c r="N1579" s="40">
        <f>L1579+M1579</f>
        <v/>
      </c>
      <c r="O1579" s="46">
        <f>N1579/F1579</f>
        <v/>
      </c>
      <c r="P1579" s="40">
        <f>F1579-J1579-K1579</f>
        <v/>
      </c>
      <c r="Q1579" s="40">
        <f>IF(B1579&gt;=in_marketplace_from,(J1579+K1579)*d_hz*G1579,0)</f>
        <v/>
      </c>
      <c r="R1579" s="40">
        <f>SUMIFS(N1579:N1600,B1579:B1600,"&gt;="&amp;(B1579-d_T),B1579:B1600,"&lt;="&amp;(B1579-1))</f>
        <v/>
      </c>
      <c r="S1579" s="46" t="n">
        <v>0</v>
      </c>
      <c r="T1579" s="40">
        <f>F1579*d_u*S1579</f>
        <v/>
      </c>
      <c r="U1579" s="9">
        <f>L1579*in_ticket+M1579*d_rep_ticket</f>
        <v/>
      </c>
      <c r="V1579" s="9">
        <f>U1579+T1579*d_topup_amt</f>
        <v/>
      </c>
      <c r="W1579" s="40">
        <f>N1579+T1579*d_topup_ratio</f>
        <v/>
      </c>
      <c r="X1579" s="40">
        <f>SUMIFS(W1579:W1600,B1579:B1600,B1579-in_dpd_lag)*d_cured</f>
        <v/>
      </c>
      <c r="Y1579" s="40">
        <f>SUMIFS(W1579:W1600,B1579:B1600,B1579-in_rec_lag)*d_recd</f>
        <v/>
      </c>
      <c r="Z1579" s="40">
        <f>IF(AND(B1579&gt;=in_marketplace_from,B1579&lt;in_marketplace_from+in_card_months),in_card_share/in_card_months*F1579*I1579,IF(AND(B1579&gt;=in_marketplace_from+in_card_months,B1579&lt;in_marketplace_from+2*in_card_months),in_card_share*d_card_rem/in_card_months*F1579*MIN(in_takeup_cap,(1+in_takeup_growth)^(D1579-1))*MIN(in_takeup_cap,(1+in_approval_growth)^(D1579-1)),0))</f>
        <v/>
      </c>
      <c r="AA1579" s="14">
        <f>V1579*in_fee*(1-in_taken_back)</f>
        <v/>
      </c>
      <c r="AB1579" s="14">
        <f>SUMIFS(W1579:W1600,B1579:B1600,B1579-in_dpd_lag)*d_dpd</f>
        <v/>
      </c>
      <c r="AC1579" s="14">
        <f>SUMIFS(W1579:W1600,B1579:B1600,B1579-in_rec_lag)*d_rec</f>
        <v/>
      </c>
      <c r="AD1579" s="14">
        <f>Z1579*in_card_fee</f>
        <v/>
      </c>
      <c r="AE1579" s="40" t="n">
        <v>1</v>
      </c>
      <c r="AF1579" s="46">
        <f>AE1579*IF(B1579&gt;=in_marketplace_from,d_hz_hlth_small*G1579,0)</f>
        <v/>
      </c>
      <c r="AG1579" s="14">
        <f>F1579*AF1579*in_hlth_small_ticket*in_hlth_small_comm*in_ins_partner_share+F1579*in_hlth_small_ticket*in_hlth_small_renew_comm*in_ins_partner_share*(in_hlth_small_renew^1*SUMIFS(AF1579:AF1600,B1579:B1600,B1579-12)+in_hlth_small_renew^2*SUMIFS(AF1579:AF1600,B1579:B1600,B1579-24)+in_hlth_small_renew^3*SUMIFS(AF1579:AF1600,B1579:B1600,B1579-36)+in_hlth_small_renew^4*SUMIFS(AF1579:AF1600,B1579:B1600,B1579-48))</f>
        <v/>
      </c>
      <c r="AH1579" s="40" t="n">
        <v>1</v>
      </c>
      <c r="AI1579" s="46">
        <f>AH1579*IF(B1579&gt;=in_marketplace_from,d_hz_hlth_family*G1579,0)</f>
        <v/>
      </c>
      <c r="AJ1579" s="14">
        <f>F1579*AI1579*in_hlth_family_ticket*in_hlth_family_comm*in_ins_partner_share+F1579*in_hlth_family_ticket*in_hlth_family_renew_comm*in_ins_partner_share*(in_hlth_family_renew^1*SUMIFS(AI1579:AI1600,B1579:B1600,B1579-12)+in_hlth_family_renew^2*SUMIFS(AI1579:AI1600,B1579:B1600,B1579-24)+in_hlth_family_renew^3*SUMIFS(AI1579:AI1600,B1579:B1600,B1579-36)+in_hlth_family_renew^4*SUMIFS(AI1579:AI1600,B1579:B1600,B1579-48))</f>
        <v/>
      </c>
      <c r="AK1579" s="40" t="n">
        <v>1</v>
      </c>
      <c r="AL1579" s="46">
        <f>AK1579*IF(B1579&gt;=in_marketplace_from,d_hz_life_term*G1579,0)</f>
        <v/>
      </c>
      <c r="AM1579" s="14">
        <f>F1579*AL1579*in_life_term_ticket*in_life_term_comm*in_ins_partner_share+F1579*in_life_term_ticket*in_life_term_renew_comm*in_ins_partner_share*(in_life_term_renew^1*SUMIFS(AL1579:AL1600,B1579:B1600,B1579-12)+in_life_term_renew^2*SUMIFS(AL1579:AL1600,B1579:B1600,B1579-24)+in_life_term_renew^3*SUMIFS(AL1579:AL1600,B1579:B1600,B1579-36)+in_life_term_renew^4*SUMIFS(AL1579:AL1600,B1579:B1600,B1579-48))</f>
        <v/>
      </c>
      <c r="AN1579" s="40" t="n">
        <v>1</v>
      </c>
      <c r="AO1579" s="46">
        <f>AN1579*IF(B1579&gt;=in_marketplace_from,d_hz_accident*G1579,0)</f>
        <v/>
      </c>
      <c r="AP1579" s="14">
        <f>F1579*AO1579*in_accident_ticket*in_accident_comm*in_ins_partner_share+F1579*in_accident_ticket*in_accident_renew_comm*in_ins_partner_share*(in_accident_renew^1*SUMIFS(AO1579:AO1600,B1579:B1600,B1579-12)+in_accident_renew^2*SUMIFS(AO1579:AO1600,B1579:B1600,B1579-24)+in_accident_renew^3*SUMIFS(AO1579:AO1600,B1579:B1600,B1579-36)+in_accident_renew^4*SUMIFS(AO1579:AO1600,B1579:B1600,B1579-48))</f>
        <v/>
      </c>
      <c r="AQ1579" s="40" t="n">
        <v>1</v>
      </c>
      <c r="AR1579" s="46">
        <f>AQ1579*IF(B1579&gt;=in_marketplace_from,d_hz_two_wheeler*G1579,0)</f>
        <v/>
      </c>
      <c r="AS1579" s="14">
        <f>F1579*AR1579*in_two_wheeler_ticket*in_two_wheeler_comm*in_ins_partner_share+F1579*in_two_wheeler_ticket*in_two_wheeler_comm*in_ins_partner_share*(in_two_wheeler_renew^1*SUMIFS(AR1579:AR1600,B1579:B1600,B1579-12)+in_two_wheeler_renew^2*SUMIFS(AR1579:AR1600,B1579:B1600,B1579-24)+in_two_wheeler_renew^3*SUMIFS(AR1579:AR1600,B1579:B1600,B1579-36)+in_two_wheeler_renew^4*SUMIFS(AR1579:AR1600,B1579:B1600,B1579-48))</f>
        <v/>
      </c>
      <c r="AT1579" s="40" t="n">
        <v>1</v>
      </c>
      <c r="AU1579" s="14">
        <f>F1579*AT1579*IF(B1579&gt;=in_marketplace_from,d_hz_device*G1579,0)*in_device_ticket*in_device_comm*in_ins_partner_share</f>
        <v/>
      </c>
      <c r="AV1579" s="40" t="n">
        <v>1</v>
      </c>
      <c r="AW1579" s="46">
        <f>AV1579*IF(B1579&gt;=in_marketplace_from,d_hz_shop*G1579,0)</f>
        <v/>
      </c>
      <c r="AX1579" s="14">
        <f>F1579*AW1579*in_shop_ticket*in_shop_comm*in_ins_partner_share+F1579*in_shop_ticket*in_shop_renew_comm*in_ins_partner_share*(in_shop_renew^1*SUMIFS(AW1579:AW1600,B1579:B1600,B1579-12)+in_shop_renew^2*SUMIFS(AW1579:AW1600,B1579:B1600,B1579-24)+in_shop_renew^3*SUMIFS(AW1579:AW1600,B1579:B1600,B1579-36)+in_shop_renew^4*SUMIFS(AW1579:AW1600,B1579:B1600,B1579-48))</f>
        <v/>
      </c>
      <c r="AY1579" s="40" t="n">
        <v>1</v>
      </c>
      <c r="AZ1579" s="40">
        <f>AY1579*IF(B1579&gt;=in_marketplace_from,d_hz_sip*G1579,0)</f>
        <v/>
      </c>
      <c r="BA1579" s="40" t="n">
        <v>0</v>
      </c>
      <c r="BB1579" s="14">
        <f>F1579*in_sip_ticket*(BA1579+0.5*AZ1579)*in_sip_comm/12</f>
        <v/>
      </c>
      <c r="BC1579" s="40" t="n">
        <v>1</v>
      </c>
      <c r="BD1579" s="46">
        <f>BC1579*IF(B1579&gt;=in_marketplace_from,d_hz_choti*G1579,0)</f>
        <v/>
      </c>
      <c r="BE1579" s="14">
        <f>F1579*SUMIFS(BD1579:BD1600,B1579:B1600,B1579-in_choti_months)*in_choti_renew*in_choti_ticket</f>
        <v/>
      </c>
      <c r="BF1579" s="40" t="n">
        <v>1</v>
      </c>
      <c r="BG1579" s="14">
        <f>F1579*BF1579*IF(B1579&gt;=in_marketplace_from,d_hz_nps*G1579,0)*in_nps_ticket*in_nps_comm</f>
        <v/>
      </c>
      <c r="BH1579" s="40" t="n">
        <v>1</v>
      </c>
      <c r="BI1579" s="40">
        <f>BH1579*IF(B1579&gt;=in_marketplace_from,d_hz_gold*G1579,0)</f>
        <v/>
      </c>
      <c r="BJ1579" s="14">
        <f>F1579*BI1579*in_gold_ticket*in_gold_comm</f>
        <v/>
      </c>
      <c r="BK1579" s="40" t="n">
        <v>1</v>
      </c>
      <c r="BL1579" s="14">
        <f>F1579*BK1579*IF(B1579&gt;=in_marketplace_from,d_hz_fd*G1579,0)*in_fd_ticket*in_fd_comm</f>
        <v/>
      </c>
      <c r="BM1579" s="40" t="n">
        <v>1</v>
      </c>
      <c r="BN1579" s="40">
        <f>BM1579*IF(B1579&gt;=in_marketplace_from,d_hz_recharge*G1579,0)</f>
        <v/>
      </c>
      <c r="BO1579" s="14">
        <f>F1579*BN1579*in_recharge_ticket*in_recharge_comm/12</f>
        <v/>
      </c>
      <c r="BP1579" s="40" t="n">
        <v>1</v>
      </c>
      <c r="BQ1579" s="40">
        <f>BP1579*IF(B1579&gt;=in_marketplace_from,d_hz_bills*G1579,0)</f>
        <v/>
      </c>
      <c r="BR1579" s="14">
        <f>F1579*BQ1579*in_bills_ticket*in_bills_comm/12</f>
        <v/>
      </c>
      <c r="BS1579" s="40" t="n">
        <v>1</v>
      </c>
      <c r="BT1579" s="14">
        <f>F1579*BS1579*IF(B1579&gt;=in_marketplace_from,d_hz_loan_gold*G1579,0)*in_loan_gold_ticket*in_loan_gold_comm</f>
        <v/>
      </c>
      <c r="BU1579" s="40" t="n">
        <v>1</v>
      </c>
      <c r="BV1579" s="14">
        <f>F1579*BU1579*IF(B1579&gt;=in_marketplace_from,d_hz_loan_cd*G1579,0)*in_loan_cd_ticket*in_loan_cd_comm</f>
        <v/>
      </c>
      <c r="BW1579" s="40" t="n">
        <v>1</v>
      </c>
      <c r="BX1579" s="14">
        <f>F1579*BW1579*IF(B1579&gt;=in_marketplace_from,d_hz_loan_vehicle*G1579,0)*in_loan_vehicle_ticket*in_loan_vehicle_comm</f>
        <v/>
      </c>
      <c r="BY1579" s="40" t="n">
        <v>1</v>
      </c>
      <c r="BZ1579" s="11">
        <f>MIN(in_approval_cap,in_loan_home_approval*INDEX('Age profile'!$O$2:$O$61,B1579)*(1+in_approval_growth)^(D1579-1))</f>
        <v/>
      </c>
      <c r="CA1579" s="14">
        <f>F1579*BY1579*IF(B1579&gt;=in_marketplace_from,d_hz_loan_home*G1579,0)*BZ1579*in_loan_home_ticket*in_loan_home_comm</f>
        <v/>
      </c>
      <c r="CB1579" s="40" t="n">
        <v>1</v>
      </c>
      <c r="CC1579" s="11">
        <f>MIN(in_approval_cap,in_loan_lap_approval*INDEX('Age profile'!$O$2:$O$61,B1579)*(1+in_approval_growth)^(D1579-1))</f>
        <v/>
      </c>
      <c r="CD1579" s="14">
        <f>F1579*CB1579*IF(B1579&gt;=in_marketplace_from,d_hz_loan_lap*G1579,0)*CC1579*in_loan_lap_ticket*in_loan_lap_comm</f>
        <v/>
      </c>
      <c r="CE1579" s="14">
        <f>AA1579+AB1579+AC1579+AD1579+AG1579+AJ1579+AM1579+AP1579+AS1579+AU1579+AX1579+BB1579+BE1579+BG1579+BJ1579+BL1579+BO1579+BR1579+BT1579+BV1579+BX1579+CA1579+CD1579</f>
        <v/>
      </c>
    </row>
    <row r="1580">
      <c r="A1580" s="39" t="n">
        <v>39</v>
      </c>
      <c r="B1580" s="39" t="n">
        <v>2</v>
      </c>
      <c r="C1580" s="39">
        <f>A1580+B1580-1</f>
        <v/>
      </c>
      <c r="D1580" s="39">
        <f>INT((C1580-1)/12)+1</f>
        <v/>
      </c>
      <c r="E1580" s="44">
        <f>INDEX(Monthly!$B$2:$B$61,A1580)</f>
        <v/>
      </c>
      <c r="F1580" s="44">
        <f>E1580*INDEX('Age profile'!$B$2:$B$61,B1580)</f>
        <v/>
      </c>
      <c r="G1580" s="45">
        <f>MIN(in_takeup_cap,INDEX('Age profile'!$N$2:$N$61,B1580)*(1+in_takeup_growth)^(D1580-1))</f>
        <v/>
      </c>
      <c r="H1580" s="11">
        <f>MIN(in_approval_cap,in_approved_first*INDEX('Age profile'!$O$2:$O$61,B1580)*(1+in_approval_growth)^(D1580-1))</f>
        <v/>
      </c>
      <c r="I1580" s="45">
        <f>G1580*MIN(in_takeup_cap,INDEX('Age profile'!$O$2:$O$61,B1580)*(1+in_approval_growth)^(D1580-1))</f>
        <v/>
      </c>
      <c r="J1580" s="40">
        <f>(J1579-L1579)*F1580/F1579</f>
        <v/>
      </c>
      <c r="K1580" s="40">
        <f>(K1579-M1579)*F1580/F1579+SUMIFS(O1579:O1579,B1579:B1579,B1580-1-d_T)*F1580</f>
        <v/>
      </c>
      <c r="L1580" s="40">
        <f>IF(B1580&gt;=in_marketplace_from,J1580*d_hz*G1580*in_eligible*H1580,0)</f>
        <v/>
      </c>
      <c r="M1580" s="40">
        <f>IF(B1580&gt;=in_marketplace_from,K1580*d_hz*G1580*in_eligible*in_approved_repeat,0)</f>
        <v/>
      </c>
      <c r="N1580" s="40">
        <f>L1580+M1580</f>
        <v/>
      </c>
      <c r="O1580" s="46">
        <f>N1580/F1580</f>
        <v/>
      </c>
      <c r="P1580" s="40">
        <f>F1580-J1580-K1580</f>
        <v/>
      </c>
      <c r="Q1580" s="40">
        <f>IF(B1580&gt;=in_marketplace_from,(J1580+K1580)*d_hz*G1580,0)</f>
        <v/>
      </c>
      <c r="R1580" s="40">
        <f>SUMIFS(N1579:N1600,B1579:B1600,"&gt;="&amp;(B1580-d_T),B1579:B1600,"&lt;="&amp;(B1580-1))</f>
        <v/>
      </c>
      <c r="S1580" s="46">
        <f>(1-d_u)*S1579+IF(d_T&gt;in_topup_lag,SUMIFS(O1579:O1600,B1579:B1600,B1580-in_topup_lag)-d_udrop*SUMIFS(O1579:O1600,B1579:B1600,B1580-d_T),0)</f>
        <v/>
      </c>
      <c r="T1580" s="40">
        <f>F1580*d_u*S1580</f>
        <v/>
      </c>
      <c r="U1580" s="9">
        <f>L1580*in_ticket+M1580*d_rep_ticket</f>
        <v/>
      </c>
      <c r="V1580" s="9">
        <f>U1580+T1580*d_topup_amt</f>
        <v/>
      </c>
      <c r="W1580" s="40">
        <f>N1580+T1580*d_topup_ratio</f>
        <v/>
      </c>
      <c r="X1580" s="40">
        <f>SUMIFS(W1579:W1600,B1579:B1600,B1580-in_dpd_lag)*d_cured</f>
        <v/>
      </c>
      <c r="Y1580" s="40">
        <f>SUMIFS(W1579:W1600,B1579:B1600,B1580-in_rec_lag)*d_recd</f>
        <v/>
      </c>
      <c r="Z1580" s="40">
        <f>IF(AND(B1580&gt;=in_marketplace_from,B1580&lt;in_marketplace_from+in_card_months),in_card_share/in_card_months*F1580*I1580,IF(AND(B1580&gt;=in_marketplace_from+in_card_months,B1580&lt;in_marketplace_from+2*in_card_months),in_card_share*d_card_rem/in_card_months*F1580*MIN(in_takeup_cap,(1+in_takeup_growth)^(D1580-1))*MIN(in_takeup_cap,(1+in_approval_growth)^(D1580-1)),0))</f>
        <v/>
      </c>
      <c r="AA1580" s="14">
        <f>V1580*in_fee*(1-in_taken_back)</f>
        <v/>
      </c>
      <c r="AB1580" s="14">
        <f>SUMIFS(W1579:W1600,B1579:B1600,B1580-in_dpd_lag)*d_dpd</f>
        <v/>
      </c>
      <c r="AC1580" s="14">
        <f>SUMIFS(W1579:W1600,B1579:B1600,B1580-in_rec_lag)*d_rec</f>
        <v/>
      </c>
      <c r="AD1580" s="14">
        <f>Z1580*in_card_fee</f>
        <v/>
      </c>
      <c r="AE1580" s="40">
        <f>AE1579*(1-IF(B1579&gt;=in_marketplace_from,d_hz_hlth_small*G1579,0))</f>
        <v/>
      </c>
      <c r="AF1580" s="46">
        <f>AE1580*IF(B1580&gt;=in_marketplace_from,d_hz_hlth_small*G1580,0)</f>
        <v/>
      </c>
      <c r="AG1580" s="14">
        <f>F1580*AF1580*in_hlth_small_ticket*in_hlth_small_comm*in_ins_partner_share+F1580*in_hlth_small_ticket*in_hlth_small_renew_comm*in_ins_partner_share*(in_hlth_small_renew^1*SUMIFS(AF1579:AF1600,B1579:B1600,B1580-12)+in_hlth_small_renew^2*SUMIFS(AF1579:AF1600,B1579:B1600,B1580-24)+in_hlth_small_renew^3*SUMIFS(AF1579:AF1600,B1579:B1600,B1580-36)+in_hlth_small_renew^4*SUMIFS(AF1579:AF1600,B1579:B1600,B1580-48))</f>
        <v/>
      </c>
      <c r="AH1580" s="40">
        <f>AH1579*(1-IF(B1579&gt;=in_marketplace_from,d_hz_hlth_family*G1579,0))</f>
        <v/>
      </c>
      <c r="AI1580" s="46">
        <f>AH1580*IF(B1580&gt;=in_marketplace_from,d_hz_hlth_family*G1580,0)</f>
        <v/>
      </c>
      <c r="AJ1580" s="14">
        <f>F1580*AI1580*in_hlth_family_ticket*in_hlth_family_comm*in_ins_partner_share+F1580*in_hlth_family_ticket*in_hlth_family_renew_comm*in_ins_partner_share*(in_hlth_family_renew^1*SUMIFS(AI1579:AI1600,B1579:B1600,B1580-12)+in_hlth_family_renew^2*SUMIFS(AI1579:AI1600,B1579:B1600,B1580-24)+in_hlth_family_renew^3*SUMIFS(AI1579:AI1600,B1579:B1600,B1580-36)+in_hlth_family_renew^4*SUMIFS(AI1579:AI1600,B1579:B1600,B1580-48))</f>
        <v/>
      </c>
      <c r="AK1580" s="40">
        <f>AK1579*(1-IF(B1579&gt;=in_marketplace_from,d_hz_life_term*G1579,0))</f>
        <v/>
      </c>
      <c r="AL1580" s="46">
        <f>AK1580*IF(B1580&gt;=in_marketplace_from,d_hz_life_term*G1580,0)</f>
        <v/>
      </c>
      <c r="AM1580" s="14">
        <f>F1580*AL1580*in_life_term_ticket*in_life_term_comm*in_ins_partner_share+F1580*in_life_term_ticket*in_life_term_renew_comm*in_ins_partner_share*(in_life_term_renew^1*SUMIFS(AL1579:AL1600,B1579:B1600,B1580-12)+in_life_term_renew^2*SUMIFS(AL1579:AL1600,B1579:B1600,B1580-24)+in_life_term_renew^3*SUMIFS(AL1579:AL1600,B1579:B1600,B1580-36)+in_life_term_renew^4*SUMIFS(AL1579:AL1600,B1579:B1600,B1580-48))</f>
        <v/>
      </c>
      <c r="AN1580" s="40">
        <f>AN1579*(1-IF(B1579&gt;=in_marketplace_from,d_hz_accident*G1579,0))</f>
        <v/>
      </c>
      <c r="AO1580" s="46">
        <f>AN1580*IF(B1580&gt;=in_marketplace_from,d_hz_accident*G1580,0)</f>
        <v/>
      </c>
      <c r="AP1580" s="14">
        <f>F1580*AO1580*in_accident_ticket*in_accident_comm*in_ins_partner_share+F1580*in_accident_ticket*in_accident_renew_comm*in_ins_partner_share*(in_accident_renew^1*SUMIFS(AO1579:AO1600,B1579:B1600,B1580-12)+in_accident_renew^2*SUMIFS(AO1579:AO1600,B1579:B1600,B1580-24)+in_accident_renew^3*SUMIFS(AO1579:AO1600,B1579:B1600,B1580-36)+in_accident_renew^4*SUMIFS(AO1579:AO1600,B1579:B1600,B1580-48))</f>
        <v/>
      </c>
      <c r="AQ1580" s="40">
        <f>AQ1579*(1-IF(B1579&gt;=in_marketplace_from,d_hz_two_wheeler*G1579,0))</f>
        <v/>
      </c>
      <c r="AR1580" s="46">
        <f>AQ1580*IF(B1580&gt;=in_marketplace_from,d_hz_two_wheeler*G1580,0)</f>
        <v/>
      </c>
      <c r="AS1580" s="14">
        <f>F1580*AR1580*in_two_wheeler_ticket*in_two_wheeler_comm*in_ins_partner_share+F1580*in_two_wheeler_ticket*in_two_wheeler_comm*in_ins_partner_share*(in_two_wheeler_renew^1*SUMIFS(AR1579:AR1600,B1579:B1600,B1580-12)+in_two_wheeler_renew^2*SUMIFS(AR1579:AR1600,B1579:B1600,B1580-24)+in_two_wheeler_renew^3*SUMIFS(AR1579:AR1600,B1579:B1600,B1580-36)+in_two_wheeler_renew^4*SUMIFS(AR1579:AR1600,B1579:B1600,B1580-48))</f>
        <v/>
      </c>
      <c r="AT1580" s="40">
        <f>AT1579*(1-IF(B1579&gt;=in_marketplace_from,d_hz_device*G1579,0))</f>
        <v/>
      </c>
      <c r="AU1580" s="14">
        <f>F1580*AT1580*IF(B1580&gt;=in_marketplace_from,d_hz_device*G1580,0)*in_device_ticket*in_device_comm*in_ins_partner_share</f>
        <v/>
      </c>
      <c r="AV1580" s="40">
        <f>AV1579*(1-IF(B1579&gt;=in_marketplace_from,d_hz_shop*G1579,0))</f>
        <v/>
      </c>
      <c r="AW1580" s="46">
        <f>AV1580*IF(B1580&gt;=in_marketplace_from,d_hz_shop*G1580,0)</f>
        <v/>
      </c>
      <c r="AX1580" s="14">
        <f>F1580*AW1580*in_shop_ticket*in_shop_comm*in_ins_partner_share+F1580*in_shop_ticket*in_shop_renew_comm*in_ins_partner_share*(in_shop_renew^1*SUMIFS(AW1579:AW1600,B1579:B1600,B1580-12)+in_shop_renew^2*SUMIFS(AW1579:AW1600,B1579:B1600,B1580-24)+in_shop_renew^3*SUMIFS(AW1579:AW1600,B1579:B1600,B1580-36)+in_shop_renew^4*SUMIFS(AW1579:AW1600,B1579:B1600,B1580-48))</f>
        <v/>
      </c>
      <c r="AY1580" s="40">
        <f>AY1579*(1-IF(B1579&gt;=in_marketplace_from,d_hz_sip*G1579,0))</f>
        <v/>
      </c>
      <c r="AZ1580" s="40">
        <f>AZ1579*d_rho_sip+AY1580*IF(B1580&gt;=in_marketplace_from,d_hz_sip*G1580,0)</f>
        <v/>
      </c>
      <c r="BA1580" s="40">
        <f>d_rho_sip*(BA1579+AZ1579)</f>
        <v/>
      </c>
      <c r="BB1580" s="14">
        <f>F1580*in_sip_ticket*(BA1580+0.5*AZ1580)*in_sip_comm/12</f>
        <v/>
      </c>
      <c r="BC1580" s="40">
        <f>BC1579*(1-IF(B1579&gt;=in_marketplace_from,d_hz_choti*G1579,0))</f>
        <v/>
      </c>
      <c r="BD1580" s="46">
        <f>BC1580*IF(B1580&gt;=in_marketplace_from,d_hz_choti*G1580,0)</f>
        <v/>
      </c>
      <c r="BE1580" s="14">
        <f>F1580*SUMIFS(BD1579:BD1600,B1579:B1600,B1580-in_choti_months)*in_choti_renew*in_choti_ticket</f>
        <v/>
      </c>
      <c r="BF1580" s="40">
        <f>BF1579*(1-IF(B1579&gt;=in_marketplace_from,d_hz_nps*G1579,0))</f>
        <v/>
      </c>
      <c r="BG1580" s="14">
        <f>F1580*BF1580*IF(B1580&gt;=in_marketplace_from,d_hz_nps*G1580,0)*in_nps_ticket*in_nps_comm</f>
        <v/>
      </c>
      <c r="BH1580" s="40">
        <f>BH1579*(1-IF(B1579&gt;=in_marketplace_from,d_hz_gold*G1579,0))</f>
        <v/>
      </c>
      <c r="BI1580" s="40">
        <f>BI1579*d_rho_gold+BH1580*IF(B1580&gt;=in_marketplace_from,d_hz_gold*G1580,0)</f>
        <v/>
      </c>
      <c r="BJ1580" s="14">
        <f>F1580*BI1580*in_gold_ticket*in_gold_comm</f>
        <v/>
      </c>
      <c r="BK1580" s="40">
        <f>BK1579*(1-IF(B1579&gt;=in_marketplace_from,d_hz_fd*G1579,0))</f>
        <v/>
      </c>
      <c r="BL1580" s="14">
        <f>F1580*BK1580*IF(B1580&gt;=in_marketplace_from,d_hz_fd*G1580,0)*in_fd_ticket*in_fd_comm</f>
        <v/>
      </c>
      <c r="BM1580" s="40">
        <f>BM1579*(1-IF(B1579&gt;=in_marketplace_from,d_hz_recharge*G1579,0))</f>
        <v/>
      </c>
      <c r="BN1580" s="40">
        <f>BN1579*d_rho_recharge+BM1580*IF(B1580&gt;=in_marketplace_from,d_hz_recharge*G1580,0)</f>
        <v/>
      </c>
      <c r="BO1580" s="14">
        <f>F1580*BN1580*in_recharge_ticket*in_recharge_comm/12</f>
        <v/>
      </c>
      <c r="BP1580" s="40">
        <f>BP1579*(1-IF(B1579&gt;=in_marketplace_from,d_hz_bills*G1579,0))</f>
        <v/>
      </c>
      <c r="BQ1580" s="40">
        <f>BQ1579*d_rho_bills+BP1580*IF(B1580&gt;=in_marketplace_from,d_hz_bills*G1580,0)</f>
        <v/>
      </c>
      <c r="BR1580" s="14">
        <f>F1580*BQ1580*in_bills_ticket*in_bills_comm/12</f>
        <v/>
      </c>
      <c r="BS1580" s="40">
        <f>BS1579*(1-IF(B1579&gt;=in_marketplace_from,d_hz_loan_gold*G1579,0))</f>
        <v/>
      </c>
      <c r="BT1580" s="14">
        <f>F1580*BS1580*IF(B1580&gt;=in_marketplace_from,d_hz_loan_gold*G1580,0)*in_loan_gold_ticket*in_loan_gold_comm</f>
        <v/>
      </c>
      <c r="BU1580" s="40">
        <f>BU1579*(1-IF(B1579&gt;=in_marketplace_from,d_hz_loan_cd*G1579,0))</f>
        <v/>
      </c>
      <c r="BV1580" s="14">
        <f>F1580*BU1580*IF(B1580&gt;=in_marketplace_from,d_hz_loan_cd*G1580,0)*in_loan_cd_ticket*in_loan_cd_comm</f>
        <v/>
      </c>
      <c r="BW1580" s="40">
        <f>BW1579*(1-IF(B1579&gt;=in_marketplace_from,d_hz_loan_vehicle*G1579,0))</f>
        <v/>
      </c>
      <c r="BX1580" s="14">
        <f>F1580*BW1580*IF(B1580&gt;=in_marketplace_from,d_hz_loan_vehicle*G1580,0)*in_loan_vehicle_ticket*in_loan_vehicle_comm</f>
        <v/>
      </c>
      <c r="BY1580" s="40">
        <f>BY1579*(1-IF(B1579&gt;=in_marketplace_from,d_hz_loan_home*G1579,0)*BZ1579)</f>
        <v/>
      </c>
      <c r="BZ1580" s="11">
        <f>MIN(in_approval_cap,in_loan_home_approval*INDEX('Age profile'!$O$2:$O$61,B1580)*(1+in_approval_growth)^(D1580-1))</f>
        <v/>
      </c>
      <c r="CA1580" s="14">
        <f>F1580*BY1580*IF(B1580&gt;=in_marketplace_from,d_hz_loan_home*G1580,0)*BZ1580*in_loan_home_ticket*in_loan_home_comm</f>
        <v/>
      </c>
      <c r="CB1580" s="40">
        <f>CB1579*(1-IF(B1579&gt;=in_marketplace_from,d_hz_loan_lap*G1579,0)*CC1579)</f>
        <v/>
      </c>
      <c r="CC1580" s="11">
        <f>MIN(in_approval_cap,in_loan_lap_approval*INDEX('Age profile'!$O$2:$O$61,B1580)*(1+in_approval_growth)^(D1580-1))</f>
        <v/>
      </c>
      <c r="CD1580" s="14">
        <f>F1580*CB1580*IF(B1580&gt;=in_marketplace_from,d_hz_loan_lap*G1580,0)*CC1580*in_loan_lap_ticket*in_loan_lap_comm</f>
        <v/>
      </c>
      <c r="CE1580" s="14">
        <f>AA1580+AB1580+AC1580+AD1580+AG1580+AJ1580+AM1580+AP1580+AS1580+AU1580+AX1580+BB1580+BE1580+BG1580+BJ1580+BL1580+BO1580+BR1580+BT1580+BV1580+BX1580+CA1580+CD1580</f>
        <v/>
      </c>
    </row>
    <row r="1581">
      <c r="A1581" s="39" t="n">
        <v>39</v>
      </c>
      <c r="B1581" s="39" t="n">
        <v>3</v>
      </c>
      <c r="C1581" s="39">
        <f>A1581+B1581-1</f>
        <v/>
      </c>
      <c r="D1581" s="39">
        <f>INT((C1581-1)/12)+1</f>
        <v/>
      </c>
      <c r="E1581" s="44">
        <f>INDEX(Monthly!$B$2:$B$61,A1581)</f>
        <v/>
      </c>
      <c r="F1581" s="44">
        <f>E1581*INDEX('Age profile'!$B$2:$B$61,B1581)</f>
        <v/>
      </c>
      <c r="G1581" s="45">
        <f>MIN(in_takeup_cap,INDEX('Age profile'!$N$2:$N$61,B1581)*(1+in_takeup_growth)^(D1581-1))</f>
        <v/>
      </c>
      <c r="H1581" s="11">
        <f>MIN(in_approval_cap,in_approved_first*INDEX('Age profile'!$O$2:$O$61,B1581)*(1+in_approval_growth)^(D1581-1))</f>
        <v/>
      </c>
      <c r="I1581" s="45">
        <f>G1581*MIN(in_takeup_cap,INDEX('Age profile'!$O$2:$O$61,B1581)*(1+in_approval_growth)^(D1581-1))</f>
        <v/>
      </c>
      <c r="J1581" s="40">
        <f>(J1580-L1580)*F1581/F1580</f>
        <v/>
      </c>
      <c r="K1581" s="40">
        <f>(K1580-M1580)*F1581/F1580+SUMIFS(O1579:O1580,B1579:B1580,B1581-1-d_T)*F1581</f>
        <v/>
      </c>
      <c r="L1581" s="40">
        <f>IF(B1581&gt;=in_marketplace_from,J1581*d_hz*G1581*in_eligible*H1581,0)</f>
        <v/>
      </c>
      <c r="M1581" s="40">
        <f>IF(B1581&gt;=in_marketplace_from,K1581*d_hz*G1581*in_eligible*in_approved_repeat,0)</f>
        <v/>
      </c>
      <c r="N1581" s="40">
        <f>L1581+M1581</f>
        <v/>
      </c>
      <c r="O1581" s="46">
        <f>N1581/F1581</f>
        <v/>
      </c>
      <c r="P1581" s="40">
        <f>F1581-J1581-K1581</f>
        <v/>
      </c>
      <c r="Q1581" s="40">
        <f>IF(B1581&gt;=in_marketplace_from,(J1581+K1581)*d_hz*G1581,0)</f>
        <v/>
      </c>
      <c r="R1581" s="40">
        <f>SUMIFS(N1579:N1600,B1579:B1600,"&gt;="&amp;(B1581-d_T),B1579:B1600,"&lt;="&amp;(B1581-1))</f>
        <v/>
      </c>
      <c r="S1581" s="46">
        <f>(1-d_u)*S1580+IF(d_T&gt;in_topup_lag,SUMIFS(O1579:O1600,B1579:B1600,B1581-in_topup_lag)-d_udrop*SUMIFS(O1579:O1600,B1579:B1600,B1581-d_T),0)</f>
        <v/>
      </c>
      <c r="T1581" s="40">
        <f>F1581*d_u*S1581</f>
        <v/>
      </c>
      <c r="U1581" s="9">
        <f>L1581*in_ticket+M1581*d_rep_ticket</f>
        <v/>
      </c>
      <c r="V1581" s="9">
        <f>U1581+T1581*d_topup_amt</f>
        <v/>
      </c>
      <c r="W1581" s="40">
        <f>N1581+T1581*d_topup_ratio</f>
        <v/>
      </c>
      <c r="X1581" s="40">
        <f>SUMIFS(W1579:W1600,B1579:B1600,B1581-in_dpd_lag)*d_cured</f>
        <v/>
      </c>
      <c r="Y1581" s="40">
        <f>SUMIFS(W1579:W1600,B1579:B1600,B1581-in_rec_lag)*d_recd</f>
        <v/>
      </c>
      <c r="Z1581" s="40">
        <f>IF(AND(B1581&gt;=in_marketplace_from,B1581&lt;in_marketplace_from+in_card_months),in_card_share/in_card_months*F1581*I1581,IF(AND(B1581&gt;=in_marketplace_from+in_card_months,B1581&lt;in_marketplace_from+2*in_card_months),in_card_share*d_card_rem/in_card_months*F1581*MIN(in_takeup_cap,(1+in_takeup_growth)^(D1581-1))*MIN(in_takeup_cap,(1+in_approval_growth)^(D1581-1)),0))</f>
        <v/>
      </c>
      <c r="AA1581" s="14">
        <f>V1581*in_fee*(1-in_taken_back)</f>
        <v/>
      </c>
      <c r="AB1581" s="14">
        <f>SUMIFS(W1579:W1600,B1579:B1600,B1581-in_dpd_lag)*d_dpd</f>
        <v/>
      </c>
      <c r="AC1581" s="14">
        <f>SUMIFS(W1579:W1600,B1579:B1600,B1581-in_rec_lag)*d_rec</f>
        <v/>
      </c>
      <c r="AD1581" s="14">
        <f>Z1581*in_card_fee</f>
        <v/>
      </c>
      <c r="AE1581" s="40">
        <f>AE1580*(1-IF(B1580&gt;=in_marketplace_from,d_hz_hlth_small*G1580,0))</f>
        <v/>
      </c>
      <c r="AF1581" s="46">
        <f>AE1581*IF(B1581&gt;=in_marketplace_from,d_hz_hlth_small*G1581,0)</f>
        <v/>
      </c>
      <c r="AG1581" s="14">
        <f>F1581*AF1581*in_hlth_small_ticket*in_hlth_small_comm*in_ins_partner_share+F1581*in_hlth_small_ticket*in_hlth_small_renew_comm*in_ins_partner_share*(in_hlth_small_renew^1*SUMIFS(AF1579:AF1600,B1579:B1600,B1581-12)+in_hlth_small_renew^2*SUMIFS(AF1579:AF1600,B1579:B1600,B1581-24)+in_hlth_small_renew^3*SUMIFS(AF1579:AF1600,B1579:B1600,B1581-36)+in_hlth_small_renew^4*SUMIFS(AF1579:AF1600,B1579:B1600,B1581-48))</f>
        <v/>
      </c>
      <c r="AH1581" s="40">
        <f>AH1580*(1-IF(B1580&gt;=in_marketplace_from,d_hz_hlth_family*G1580,0))</f>
        <v/>
      </c>
      <c r="AI1581" s="46">
        <f>AH1581*IF(B1581&gt;=in_marketplace_from,d_hz_hlth_family*G1581,0)</f>
        <v/>
      </c>
      <c r="AJ1581" s="14">
        <f>F1581*AI1581*in_hlth_family_ticket*in_hlth_family_comm*in_ins_partner_share+F1581*in_hlth_family_ticket*in_hlth_family_renew_comm*in_ins_partner_share*(in_hlth_family_renew^1*SUMIFS(AI1579:AI1600,B1579:B1600,B1581-12)+in_hlth_family_renew^2*SUMIFS(AI1579:AI1600,B1579:B1600,B1581-24)+in_hlth_family_renew^3*SUMIFS(AI1579:AI1600,B1579:B1600,B1581-36)+in_hlth_family_renew^4*SUMIFS(AI1579:AI1600,B1579:B1600,B1581-48))</f>
        <v/>
      </c>
      <c r="AK1581" s="40">
        <f>AK1580*(1-IF(B1580&gt;=in_marketplace_from,d_hz_life_term*G1580,0))</f>
        <v/>
      </c>
      <c r="AL1581" s="46">
        <f>AK1581*IF(B1581&gt;=in_marketplace_from,d_hz_life_term*G1581,0)</f>
        <v/>
      </c>
      <c r="AM1581" s="14">
        <f>F1581*AL1581*in_life_term_ticket*in_life_term_comm*in_ins_partner_share+F1581*in_life_term_ticket*in_life_term_renew_comm*in_ins_partner_share*(in_life_term_renew^1*SUMIFS(AL1579:AL1600,B1579:B1600,B1581-12)+in_life_term_renew^2*SUMIFS(AL1579:AL1600,B1579:B1600,B1581-24)+in_life_term_renew^3*SUMIFS(AL1579:AL1600,B1579:B1600,B1581-36)+in_life_term_renew^4*SUMIFS(AL1579:AL1600,B1579:B1600,B1581-48))</f>
        <v/>
      </c>
      <c r="AN1581" s="40">
        <f>AN1580*(1-IF(B1580&gt;=in_marketplace_from,d_hz_accident*G1580,0))</f>
        <v/>
      </c>
      <c r="AO1581" s="46">
        <f>AN1581*IF(B1581&gt;=in_marketplace_from,d_hz_accident*G1581,0)</f>
        <v/>
      </c>
      <c r="AP1581" s="14">
        <f>F1581*AO1581*in_accident_ticket*in_accident_comm*in_ins_partner_share+F1581*in_accident_ticket*in_accident_renew_comm*in_ins_partner_share*(in_accident_renew^1*SUMIFS(AO1579:AO1600,B1579:B1600,B1581-12)+in_accident_renew^2*SUMIFS(AO1579:AO1600,B1579:B1600,B1581-24)+in_accident_renew^3*SUMIFS(AO1579:AO1600,B1579:B1600,B1581-36)+in_accident_renew^4*SUMIFS(AO1579:AO1600,B1579:B1600,B1581-48))</f>
        <v/>
      </c>
      <c r="AQ1581" s="40">
        <f>AQ1580*(1-IF(B1580&gt;=in_marketplace_from,d_hz_two_wheeler*G1580,0))</f>
        <v/>
      </c>
      <c r="AR1581" s="46">
        <f>AQ1581*IF(B1581&gt;=in_marketplace_from,d_hz_two_wheeler*G1581,0)</f>
        <v/>
      </c>
      <c r="AS1581" s="14">
        <f>F1581*AR1581*in_two_wheeler_ticket*in_two_wheeler_comm*in_ins_partner_share+F1581*in_two_wheeler_ticket*in_two_wheeler_comm*in_ins_partner_share*(in_two_wheeler_renew^1*SUMIFS(AR1579:AR1600,B1579:B1600,B1581-12)+in_two_wheeler_renew^2*SUMIFS(AR1579:AR1600,B1579:B1600,B1581-24)+in_two_wheeler_renew^3*SUMIFS(AR1579:AR1600,B1579:B1600,B1581-36)+in_two_wheeler_renew^4*SUMIFS(AR1579:AR1600,B1579:B1600,B1581-48))</f>
        <v/>
      </c>
      <c r="AT1581" s="40">
        <f>AT1580*(1-IF(B1580&gt;=in_marketplace_from,d_hz_device*G1580,0))</f>
        <v/>
      </c>
      <c r="AU1581" s="14">
        <f>F1581*AT1581*IF(B1581&gt;=in_marketplace_from,d_hz_device*G1581,0)*in_device_ticket*in_device_comm*in_ins_partner_share</f>
        <v/>
      </c>
      <c r="AV1581" s="40">
        <f>AV1580*(1-IF(B1580&gt;=in_marketplace_from,d_hz_shop*G1580,0))</f>
        <v/>
      </c>
      <c r="AW1581" s="46">
        <f>AV1581*IF(B1581&gt;=in_marketplace_from,d_hz_shop*G1581,0)</f>
        <v/>
      </c>
      <c r="AX1581" s="14">
        <f>F1581*AW1581*in_shop_ticket*in_shop_comm*in_ins_partner_share+F1581*in_shop_ticket*in_shop_renew_comm*in_ins_partner_share*(in_shop_renew^1*SUMIFS(AW1579:AW1600,B1579:B1600,B1581-12)+in_shop_renew^2*SUMIFS(AW1579:AW1600,B1579:B1600,B1581-24)+in_shop_renew^3*SUMIFS(AW1579:AW1600,B1579:B1600,B1581-36)+in_shop_renew^4*SUMIFS(AW1579:AW1600,B1579:B1600,B1581-48))</f>
        <v/>
      </c>
      <c r="AY1581" s="40">
        <f>AY1580*(1-IF(B1580&gt;=in_marketplace_from,d_hz_sip*G1580,0))</f>
        <v/>
      </c>
      <c r="AZ1581" s="40">
        <f>AZ1580*d_rho_sip+AY1581*IF(B1581&gt;=in_marketplace_from,d_hz_sip*G1581,0)</f>
        <v/>
      </c>
      <c r="BA1581" s="40">
        <f>d_rho_sip*(BA1580+AZ1580)</f>
        <v/>
      </c>
      <c r="BB1581" s="14">
        <f>F1581*in_sip_ticket*(BA1581+0.5*AZ1581)*in_sip_comm/12</f>
        <v/>
      </c>
      <c r="BC1581" s="40">
        <f>BC1580*(1-IF(B1580&gt;=in_marketplace_from,d_hz_choti*G1580,0))</f>
        <v/>
      </c>
      <c r="BD1581" s="46">
        <f>BC1581*IF(B1581&gt;=in_marketplace_from,d_hz_choti*G1581,0)</f>
        <v/>
      </c>
      <c r="BE1581" s="14">
        <f>F1581*SUMIFS(BD1579:BD1600,B1579:B1600,B1581-in_choti_months)*in_choti_renew*in_choti_ticket</f>
        <v/>
      </c>
      <c r="BF1581" s="40">
        <f>BF1580*(1-IF(B1580&gt;=in_marketplace_from,d_hz_nps*G1580,0))</f>
        <v/>
      </c>
      <c r="BG1581" s="14">
        <f>F1581*BF1581*IF(B1581&gt;=in_marketplace_from,d_hz_nps*G1581,0)*in_nps_ticket*in_nps_comm</f>
        <v/>
      </c>
      <c r="BH1581" s="40">
        <f>BH1580*(1-IF(B1580&gt;=in_marketplace_from,d_hz_gold*G1580,0))</f>
        <v/>
      </c>
      <c r="BI1581" s="40">
        <f>BI1580*d_rho_gold+BH1581*IF(B1581&gt;=in_marketplace_from,d_hz_gold*G1581,0)</f>
        <v/>
      </c>
      <c r="BJ1581" s="14">
        <f>F1581*BI1581*in_gold_ticket*in_gold_comm</f>
        <v/>
      </c>
      <c r="BK1581" s="40">
        <f>BK1580*(1-IF(B1580&gt;=in_marketplace_from,d_hz_fd*G1580,0))</f>
        <v/>
      </c>
      <c r="BL1581" s="14">
        <f>F1581*BK1581*IF(B1581&gt;=in_marketplace_from,d_hz_fd*G1581,0)*in_fd_ticket*in_fd_comm</f>
        <v/>
      </c>
      <c r="BM1581" s="40">
        <f>BM1580*(1-IF(B1580&gt;=in_marketplace_from,d_hz_recharge*G1580,0))</f>
        <v/>
      </c>
      <c r="BN1581" s="40">
        <f>BN1580*d_rho_recharge+BM1581*IF(B1581&gt;=in_marketplace_from,d_hz_recharge*G1581,0)</f>
        <v/>
      </c>
      <c r="BO1581" s="14">
        <f>F1581*BN1581*in_recharge_ticket*in_recharge_comm/12</f>
        <v/>
      </c>
      <c r="BP1581" s="40">
        <f>BP1580*(1-IF(B1580&gt;=in_marketplace_from,d_hz_bills*G1580,0))</f>
        <v/>
      </c>
      <c r="BQ1581" s="40">
        <f>BQ1580*d_rho_bills+BP1581*IF(B1581&gt;=in_marketplace_from,d_hz_bills*G1581,0)</f>
        <v/>
      </c>
      <c r="BR1581" s="14">
        <f>F1581*BQ1581*in_bills_ticket*in_bills_comm/12</f>
        <v/>
      </c>
      <c r="BS1581" s="40">
        <f>BS1580*(1-IF(B1580&gt;=in_marketplace_from,d_hz_loan_gold*G1580,0))</f>
        <v/>
      </c>
      <c r="BT1581" s="14">
        <f>F1581*BS1581*IF(B1581&gt;=in_marketplace_from,d_hz_loan_gold*G1581,0)*in_loan_gold_ticket*in_loan_gold_comm</f>
        <v/>
      </c>
      <c r="BU1581" s="40">
        <f>BU1580*(1-IF(B1580&gt;=in_marketplace_from,d_hz_loan_cd*G1580,0))</f>
        <v/>
      </c>
      <c r="BV1581" s="14">
        <f>F1581*BU1581*IF(B1581&gt;=in_marketplace_from,d_hz_loan_cd*G1581,0)*in_loan_cd_ticket*in_loan_cd_comm</f>
        <v/>
      </c>
      <c r="BW1581" s="40">
        <f>BW1580*(1-IF(B1580&gt;=in_marketplace_from,d_hz_loan_vehicle*G1580,0))</f>
        <v/>
      </c>
      <c r="BX1581" s="14">
        <f>F1581*BW1581*IF(B1581&gt;=in_marketplace_from,d_hz_loan_vehicle*G1581,0)*in_loan_vehicle_ticket*in_loan_vehicle_comm</f>
        <v/>
      </c>
      <c r="BY1581" s="40">
        <f>BY1580*(1-IF(B1580&gt;=in_marketplace_from,d_hz_loan_home*G1580,0)*BZ1580)</f>
        <v/>
      </c>
      <c r="BZ1581" s="11">
        <f>MIN(in_approval_cap,in_loan_home_approval*INDEX('Age profile'!$O$2:$O$61,B1581)*(1+in_approval_growth)^(D1581-1))</f>
        <v/>
      </c>
      <c r="CA1581" s="14">
        <f>F1581*BY1581*IF(B1581&gt;=in_marketplace_from,d_hz_loan_home*G1581,0)*BZ1581*in_loan_home_ticket*in_loan_home_comm</f>
        <v/>
      </c>
      <c r="CB1581" s="40">
        <f>CB1580*(1-IF(B1580&gt;=in_marketplace_from,d_hz_loan_lap*G1580,0)*CC1580)</f>
        <v/>
      </c>
      <c r="CC1581" s="11">
        <f>MIN(in_approval_cap,in_loan_lap_approval*INDEX('Age profile'!$O$2:$O$61,B1581)*(1+in_approval_growth)^(D1581-1))</f>
        <v/>
      </c>
      <c r="CD1581" s="14">
        <f>F1581*CB1581*IF(B1581&gt;=in_marketplace_from,d_hz_loan_lap*G1581,0)*CC1581*in_loan_lap_ticket*in_loan_lap_comm</f>
        <v/>
      </c>
      <c r="CE1581" s="14">
        <f>AA1581+AB1581+AC1581+AD1581+AG1581+AJ1581+AM1581+AP1581+AS1581+AU1581+AX1581+BB1581+BE1581+BG1581+BJ1581+BL1581+BO1581+BR1581+BT1581+BV1581+BX1581+CA1581+CD1581</f>
        <v/>
      </c>
    </row>
    <row r="1582">
      <c r="A1582" s="39" t="n">
        <v>39</v>
      </c>
      <c r="B1582" s="39" t="n">
        <v>4</v>
      </c>
      <c r="C1582" s="39">
        <f>A1582+B1582-1</f>
        <v/>
      </c>
      <c r="D1582" s="39">
        <f>INT((C1582-1)/12)+1</f>
        <v/>
      </c>
      <c r="E1582" s="44">
        <f>INDEX(Monthly!$B$2:$B$61,A1582)</f>
        <v/>
      </c>
      <c r="F1582" s="44">
        <f>E1582*INDEX('Age profile'!$B$2:$B$61,B1582)</f>
        <v/>
      </c>
      <c r="G1582" s="45">
        <f>MIN(in_takeup_cap,INDEX('Age profile'!$N$2:$N$61,B1582)*(1+in_takeup_growth)^(D1582-1))</f>
        <v/>
      </c>
      <c r="H1582" s="11">
        <f>MIN(in_approval_cap,in_approved_first*INDEX('Age profile'!$O$2:$O$61,B1582)*(1+in_approval_growth)^(D1582-1))</f>
        <v/>
      </c>
      <c r="I1582" s="45">
        <f>G1582*MIN(in_takeup_cap,INDEX('Age profile'!$O$2:$O$61,B1582)*(1+in_approval_growth)^(D1582-1))</f>
        <v/>
      </c>
      <c r="J1582" s="40">
        <f>(J1581-L1581)*F1582/F1581</f>
        <v/>
      </c>
      <c r="K1582" s="40">
        <f>(K1581-M1581)*F1582/F1581+SUMIFS(O1579:O1581,B1579:B1581,B1582-1-d_T)*F1582</f>
        <v/>
      </c>
      <c r="L1582" s="40">
        <f>IF(B1582&gt;=in_marketplace_from,J1582*d_hz*G1582*in_eligible*H1582,0)</f>
        <v/>
      </c>
      <c r="M1582" s="40">
        <f>IF(B1582&gt;=in_marketplace_from,K1582*d_hz*G1582*in_eligible*in_approved_repeat,0)</f>
        <v/>
      </c>
      <c r="N1582" s="40">
        <f>L1582+M1582</f>
        <v/>
      </c>
      <c r="O1582" s="46">
        <f>N1582/F1582</f>
        <v/>
      </c>
      <c r="P1582" s="40">
        <f>F1582-J1582-K1582</f>
        <v/>
      </c>
      <c r="Q1582" s="40">
        <f>IF(B1582&gt;=in_marketplace_from,(J1582+K1582)*d_hz*G1582,0)</f>
        <v/>
      </c>
      <c r="R1582" s="40">
        <f>SUMIFS(N1579:N1600,B1579:B1600,"&gt;="&amp;(B1582-d_T),B1579:B1600,"&lt;="&amp;(B1582-1))</f>
        <v/>
      </c>
      <c r="S1582" s="46">
        <f>(1-d_u)*S1581+IF(d_T&gt;in_topup_lag,SUMIFS(O1579:O1600,B1579:B1600,B1582-in_topup_lag)-d_udrop*SUMIFS(O1579:O1600,B1579:B1600,B1582-d_T),0)</f>
        <v/>
      </c>
      <c r="T1582" s="40">
        <f>F1582*d_u*S1582</f>
        <v/>
      </c>
      <c r="U1582" s="9">
        <f>L1582*in_ticket+M1582*d_rep_ticket</f>
        <v/>
      </c>
      <c r="V1582" s="9">
        <f>U1582+T1582*d_topup_amt</f>
        <v/>
      </c>
      <c r="W1582" s="40">
        <f>N1582+T1582*d_topup_ratio</f>
        <v/>
      </c>
      <c r="X1582" s="40">
        <f>SUMIFS(W1579:W1600,B1579:B1600,B1582-in_dpd_lag)*d_cured</f>
        <v/>
      </c>
      <c r="Y1582" s="40">
        <f>SUMIFS(W1579:W1600,B1579:B1600,B1582-in_rec_lag)*d_recd</f>
        <v/>
      </c>
      <c r="Z1582" s="40">
        <f>IF(AND(B1582&gt;=in_marketplace_from,B1582&lt;in_marketplace_from+in_card_months),in_card_share/in_card_months*F1582*I1582,IF(AND(B1582&gt;=in_marketplace_from+in_card_months,B1582&lt;in_marketplace_from+2*in_card_months),in_card_share*d_card_rem/in_card_months*F1582*MIN(in_takeup_cap,(1+in_takeup_growth)^(D1582-1))*MIN(in_takeup_cap,(1+in_approval_growth)^(D1582-1)),0))</f>
        <v/>
      </c>
      <c r="AA1582" s="14">
        <f>V1582*in_fee*(1-in_taken_back)</f>
        <v/>
      </c>
      <c r="AB1582" s="14">
        <f>SUMIFS(W1579:W1600,B1579:B1600,B1582-in_dpd_lag)*d_dpd</f>
        <v/>
      </c>
      <c r="AC1582" s="14">
        <f>SUMIFS(W1579:W1600,B1579:B1600,B1582-in_rec_lag)*d_rec</f>
        <v/>
      </c>
      <c r="AD1582" s="14">
        <f>Z1582*in_card_fee</f>
        <v/>
      </c>
      <c r="AE1582" s="40">
        <f>AE1581*(1-IF(B1581&gt;=in_marketplace_from,d_hz_hlth_small*G1581,0))</f>
        <v/>
      </c>
      <c r="AF1582" s="46">
        <f>AE1582*IF(B1582&gt;=in_marketplace_from,d_hz_hlth_small*G1582,0)</f>
        <v/>
      </c>
      <c r="AG1582" s="14">
        <f>F1582*AF1582*in_hlth_small_ticket*in_hlth_small_comm*in_ins_partner_share+F1582*in_hlth_small_ticket*in_hlth_small_renew_comm*in_ins_partner_share*(in_hlth_small_renew^1*SUMIFS(AF1579:AF1600,B1579:B1600,B1582-12)+in_hlth_small_renew^2*SUMIFS(AF1579:AF1600,B1579:B1600,B1582-24)+in_hlth_small_renew^3*SUMIFS(AF1579:AF1600,B1579:B1600,B1582-36)+in_hlth_small_renew^4*SUMIFS(AF1579:AF1600,B1579:B1600,B1582-48))</f>
        <v/>
      </c>
      <c r="AH1582" s="40">
        <f>AH1581*(1-IF(B1581&gt;=in_marketplace_from,d_hz_hlth_family*G1581,0))</f>
        <v/>
      </c>
      <c r="AI1582" s="46">
        <f>AH1582*IF(B1582&gt;=in_marketplace_from,d_hz_hlth_family*G1582,0)</f>
        <v/>
      </c>
      <c r="AJ1582" s="14">
        <f>F1582*AI1582*in_hlth_family_ticket*in_hlth_family_comm*in_ins_partner_share+F1582*in_hlth_family_ticket*in_hlth_family_renew_comm*in_ins_partner_share*(in_hlth_family_renew^1*SUMIFS(AI1579:AI1600,B1579:B1600,B1582-12)+in_hlth_family_renew^2*SUMIFS(AI1579:AI1600,B1579:B1600,B1582-24)+in_hlth_family_renew^3*SUMIFS(AI1579:AI1600,B1579:B1600,B1582-36)+in_hlth_family_renew^4*SUMIFS(AI1579:AI1600,B1579:B1600,B1582-48))</f>
        <v/>
      </c>
      <c r="AK1582" s="40">
        <f>AK1581*(1-IF(B1581&gt;=in_marketplace_from,d_hz_life_term*G1581,0))</f>
        <v/>
      </c>
      <c r="AL1582" s="46">
        <f>AK1582*IF(B1582&gt;=in_marketplace_from,d_hz_life_term*G1582,0)</f>
        <v/>
      </c>
      <c r="AM1582" s="14">
        <f>F1582*AL1582*in_life_term_ticket*in_life_term_comm*in_ins_partner_share+F1582*in_life_term_ticket*in_life_term_renew_comm*in_ins_partner_share*(in_life_term_renew^1*SUMIFS(AL1579:AL1600,B1579:B1600,B1582-12)+in_life_term_renew^2*SUMIFS(AL1579:AL1600,B1579:B1600,B1582-24)+in_life_term_renew^3*SUMIFS(AL1579:AL1600,B1579:B1600,B1582-36)+in_life_term_renew^4*SUMIFS(AL1579:AL1600,B1579:B1600,B1582-48))</f>
        <v/>
      </c>
      <c r="AN1582" s="40">
        <f>AN1581*(1-IF(B1581&gt;=in_marketplace_from,d_hz_accident*G1581,0))</f>
        <v/>
      </c>
      <c r="AO1582" s="46">
        <f>AN1582*IF(B1582&gt;=in_marketplace_from,d_hz_accident*G1582,0)</f>
        <v/>
      </c>
      <c r="AP1582" s="14">
        <f>F1582*AO1582*in_accident_ticket*in_accident_comm*in_ins_partner_share+F1582*in_accident_ticket*in_accident_renew_comm*in_ins_partner_share*(in_accident_renew^1*SUMIFS(AO1579:AO1600,B1579:B1600,B1582-12)+in_accident_renew^2*SUMIFS(AO1579:AO1600,B1579:B1600,B1582-24)+in_accident_renew^3*SUMIFS(AO1579:AO1600,B1579:B1600,B1582-36)+in_accident_renew^4*SUMIFS(AO1579:AO1600,B1579:B1600,B1582-48))</f>
        <v/>
      </c>
      <c r="AQ1582" s="40">
        <f>AQ1581*(1-IF(B1581&gt;=in_marketplace_from,d_hz_two_wheeler*G1581,0))</f>
        <v/>
      </c>
      <c r="AR1582" s="46">
        <f>AQ1582*IF(B1582&gt;=in_marketplace_from,d_hz_two_wheeler*G1582,0)</f>
        <v/>
      </c>
      <c r="AS1582" s="14">
        <f>F1582*AR1582*in_two_wheeler_ticket*in_two_wheeler_comm*in_ins_partner_share+F1582*in_two_wheeler_ticket*in_two_wheeler_comm*in_ins_partner_share*(in_two_wheeler_renew^1*SUMIFS(AR1579:AR1600,B1579:B1600,B1582-12)+in_two_wheeler_renew^2*SUMIFS(AR1579:AR1600,B1579:B1600,B1582-24)+in_two_wheeler_renew^3*SUMIFS(AR1579:AR1600,B1579:B1600,B1582-36)+in_two_wheeler_renew^4*SUMIFS(AR1579:AR1600,B1579:B1600,B1582-48))</f>
        <v/>
      </c>
      <c r="AT1582" s="40">
        <f>AT1581*(1-IF(B1581&gt;=in_marketplace_from,d_hz_device*G1581,0))</f>
        <v/>
      </c>
      <c r="AU1582" s="14">
        <f>F1582*AT1582*IF(B1582&gt;=in_marketplace_from,d_hz_device*G1582,0)*in_device_ticket*in_device_comm*in_ins_partner_share</f>
        <v/>
      </c>
      <c r="AV1582" s="40">
        <f>AV1581*(1-IF(B1581&gt;=in_marketplace_from,d_hz_shop*G1581,0))</f>
        <v/>
      </c>
      <c r="AW1582" s="46">
        <f>AV1582*IF(B1582&gt;=in_marketplace_from,d_hz_shop*G1582,0)</f>
        <v/>
      </c>
      <c r="AX1582" s="14">
        <f>F1582*AW1582*in_shop_ticket*in_shop_comm*in_ins_partner_share+F1582*in_shop_ticket*in_shop_renew_comm*in_ins_partner_share*(in_shop_renew^1*SUMIFS(AW1579:AW1600,B1579:B1600,B1582-12)+in_shop_renew^2*SUMIFS(AW1579:AW1600,B1579:B1600,B1582-24)+in_shop_renew^3*SUMIFS(AW1579:AW1600,B1579:B1600,B1582-36)+in_shop_renew^4*SUMIFS(AW1579:AW1600,B1579:B1600,B1582-48))</f>
        <v/>
      </c>
      <c r="AY1582" s="40">
        <f>AY1581*(1-IF(B1581&gt;=in_marketplace_from,d_hz_sip*G1581,0))</f>
        <v/>
      </c>
      <c r="AZ1582" s="40">
        <f>AZ1581*d_rho_sip+AY1582*IF(B1582&gt;=in_marketplace_from,d_hz_sip*G1582,0)</f>
        <v/>
      </c>
      <c r="BA1582" s="40">
        <f>d_rho_sip*(BA1581+AZ1581)</f>
        <v/>
      </c>
      <c r="BB1582" s="14">
        <f>F1582*in_sip_ticket*(BA1582+0.5*AZ1582)*in_sip_comm/12</f>
        <v/>
      </c>
      <c r="BC1582" s="40">
        <f>BC1581*(1-IF(B1581&gt;=in_marketplace_from,d_hz_choti*G1581,0))</f>
        <v/>
      </c>
      <c r="BD1582" s="46">
        <f>BC1582*IF(B1582&gt;=in_marketplace_from,d_hz_choti*G1582,0)</f>
        <v/>
      </c>
      <c r="BE1582" s="14">
        <f>F1582*SUMIFS(BD1579:BD1600,B1579:B1600,B1582-in_choti_months)*in_choti_renew*in_choti_ticket</f>
        <v/>
      </c>
      <c r="BF1582" s="40">
        <f>BF1581*(1-IF(B1581&gt;=in_marketplace_from,d_hz_nps*G1581,0))</f>
        <v/>
      </c>
      <c r="BG1582" s="14">
        <f>F1582*BF1582*IF(B1582&gt;=in_marketplace_from,d_hz_nps*G1582,0)*in_nps_ticket*in_nps_comm</f>
        <v/>
      </c>
      <c r="BH1582" s="40">
        <f>BH1581*(1-IF(B1581&gt;=in_marketplace_from,d_hz_gold*G1581,0))</f>
        <v/>
      </c>
      <c r="BI1582" s="40">
        <f>BI1581*d_rho_gold+BH1582*IF(B1582&gt;=in_marketplace_from,d_hz_gold*G1582,0)</f>
        <v/>
      </c>
      <c r="BJ1582" s="14">
        <f>F1582*BI1582*in_gold_ticket*in_gold_comm</f>
        <v/>
      </c>
      <c r="BK1582" s="40">
        <f>BK1581*(1-IF(B1581&gt;=in_marketplace_from,d_hz_fd*G1581,0))</f>
        <v/>
      </c>
      <c r="BL1582" s="14">
        <f>F1582*BK1582*IF(B1582&gt;=in_marketplace_from,d_hz_fd*G1582,0)*in_fd_ticket*in_fd_comm</f>
        <v/>
      </c>
      <c r="BM1582" s="40">
        <f>BM1581*(1-IF(B1581&gt;=in_marketplace_from,d_hz_recharge*G1581,0))</f>
        <v/>
      </c>
      <c r="BN1582" s="40">
        <f>BN1581*d_rho_recharge+BM1582*IF(B1582&gt;=in_marketplace_from,d_hz_recharge*G1582,0)</f>
        <v/>
      </c>
      <c r="BO1582" s="14">
        <f>F1582*BN1582*in_recharge_ticket*in_recharge_comm/12</f>
        <v/>
      </c>
      <c r="BP1582" s="40">
        <f>BP1581*(1-IF(B1581&gt;=in_marketplace_from,d_hz_bills*G1581,0))</f>
        <v/>
      </c>
      <c r="BQ1582" s="40">
        <f>BQ1581*d_rho_bills+BP1582*IF(B1582&gt;=in_marketplace_from,d_hz_bills*G1582,0)</f>
        <v/>
      </c>
      <c r="BR1582" s="14">
        <f>F1582*BQ1582*in_bills_ticket*in_bills_comm/12</f>
        <v/>
      </c>
      <c r="BS1582" s="40">
        <f>BS1581*(1-IF(B1581&gt;=in_marketplace_from,d_hz_loan_gold*G1581,0))</f>
        <v/>
      </c>
      <c r="BT1582" s="14">
        <f>F1582*BS1582*IF(B1582&gt;=in_marketplace_from,d_hz_loan_gold*G1582,0)*in_loan_gold_ticket*in_loan_gold_comm</f>
        <v/>
      </c>
      <c r="BU1582" s="40">
        <f>BU1581*(1-IF(B1581&gt;=in_marketplace_from,d_hz_loan_cd*G1581,0))</f>
        <v/>
      </c>
      <c r="BV1582" s="14">
        <f>F1582*BU1582*IF(B1582&gt;=in_marketplace_from,d_hz_loan_cd*G1582,0)*in_loan_cd_ticket*in_loan_cd_comm</f>
        <v/>
      </c>
      <c r="BW1582" s="40">
        <f>BW1581*(1-IF(B1581&gt;=in_marketplace_from,d_hz_loan_vehicle*G1581,0))</f>
        <v/>
      </c>
      <c r="BX1582" s="14">
        <f>F1582*BW1582*IF(B1582&gt;=in_marketplace_from,d_hz_loan_vehicle*G1582,0)*in_loan_vehicle_ticket*in_loan_vehicle_comm</f>
        <v/>
      </c>
      <c r="BY1582" s="40">
        <f>BY1581*(1-IF(B1581&gt;=in_marketplace_from,d_hz_loan_home*G1581,0)*BZ1581)</f>
        <v/>
      </c>
      <c r="BZ1582" s="11">
        <f>MIN(in_approval_cap,in_loan_home_approval*INDEX('Age profile'!$O$2:$O$61,B1582)*(1+in_approval_growth)^(D1582-1))</f>
        <v/>
      </c>
      <c r="CA1582" s="14">
        <f>F1582*BY1582*IF(B1582&gt;=in_marketplace_from,d_hz_loan_home*G1582,0)*BZ1582*in_loan_home_ticket*in_loan_home_comm</f>
        <v/>
      </c>
      <c r="CB1582" s="40">
        <f>CB1581*(1-IF(B1581&gt;=in_marketplace_from,d_hz_loan_lap*G1581,0)*CC1581)</f>
        <v/>
      </c>
      <c r="CC1582" s="11">
        <f>MIN(in_approval_cap,in_loan_lap_approval*INDEX('Age profile'!$O$2:$O$61,B1582)*(1+in_approval_growth)^(D1582-1))</f>
        <v/>
      </c>
      <c r="CD1582" s="14">
        <f>F1582*CB1582*IF(B1582&gt;=in_marketplace_from,d_hz_loan_lap*G1582,0)*CC1582*in_loan_lap_ticket*in_loan_lap_comm</f>
        <v/>
      </c>
      <c r="CE1582" s="14">
        <f>AA1582+AB1582+AC1582+AD1582+AG1582+AJ1582+AM1582+AP1582+AS1582+AU1582+AX1582+BB1582+BE1582+BG1582+BJ1582+BL1582+BO1582+BR1582+BT1582+BV1582+BX1582+CA1582+CD1582</f>
        <v/>
      </c>
    </row>
    <row r="1583">
      <c r="A1583" s="39" t="n">
        <v>39</v>
      </c>
      <c r="B1583" s="39" t="n">
        <v>5</v>
      </c>
      <c r="C1583" s="39">
        <f>A1583+B1583-1</f>
        <v/>
      </c>
      <c r="D1583" s="39">
        <f>INT((C1583-1)/12)+1</f>
        <v/>
      </c>
      <c r="E1583" s="44">
        <f>INDEX(Monthly!$B$2:$B$61,A1583)</f>
        <v/>
      </c>
      <c r="F1583" s="44">
        <f>E1583*INDEX('Age profile'!$B$2:$B$61,B1583)</f>
        <v/>
      </c>
      <c r="G1583" s="45">
        <f>MIN(in_takeup_cap,INDEX('Age profile'!$N$2:$N$61,B1583)*(1+in_takeup_growth)^(D1583-1))</f>
        <v/>
      </c>
      <c r="H1583" s="11">
        <f>MIN(in_approval_cap,in_approved_first*INDEX('Age profile'!$O$2:$O$61,B1583)*(1+in_approval_growth)^(D1583-1))</f>
        <v/>
      </c>
      <c r="I1583" s="45">
        <f>G1583*MIN(in_takeup_cap,INDEX('Age profile'!$O$2:$O$61,B1583)*(1+in_approval_growth)^(D1583-1))</f>
        <v/>
      </c>
      <c r="J1583" s="40">
        <f>(J1582-L1582)*F1583/F1582</f>
        <v/>
      </c>
      <c r="K1583" s="40">
        <f>(K1582-M1582)*F1583/F1582+SUMIFS(O1579:O1582,B1579:B1582,B1583-1-d_T)*F1583</f>
        <v/>
      </c>
      <c r="L1583" s="40">
        <f>IF(B1583&gt;=in_marketplace_from,J1583*d_hz*G1583*in_eligible*H1583,0)</f>
        <v/>
      </c>
      <c r="M1583" s="40">
        <f>IF(B1583&gt;=in_marketplace_from,K1583*d_hz*G1583*in_eligible*in_approved_repeat,0)</f>
        <v/>
      </c>
      <c r="N1583" s="40">
        <f>L1583+M1583</f>
        <v/>
      </c>
      <c r="O1583" s="46">
        <f>N1583/F1583</f>
        <v/>
      </c>
      <c r="P1583" s="40">
        <f>F1583-J1583-K1583</f>
        <v/>
      </c>
      <c r="Q1583" s="40">
        <f>IF(B1583&gt;=in_marketplace_from,(J1583+K1583)*d_hz*G1583,0)</f>
        <v/>
      </c>
      <c r="R1583" s="40">
        <f>SUMIFS(N1579:N1600,B1579:B1600,"&gt;="&amp;(B1583-d_T),B1579:B1600,"&lt;="&amp;(B1583-1))</f>
        <v/>
      </c>
      <c r="S1583" s="46">
        <f>(1-d_u)*S1582+IF(d_T&gt;in_topup_lag,SUMIFS(O1579:O1600,B1579:B1600,B1583-in_topup_lag)-d_udrop*SUMIFS(O1579:O1600,B1579:B1600,B1583-d_T),0)</f>
        <v/>
      </c>
      <c r="T1583" s="40">
        <f>F1583*d_u*S1583</f>
        <v/>
      </c>
      <c r="U1583" s="9">
        <f>L1583*in_ticket+M1583*d_rep_ticket</f>
        <v/>
      </c>
      <c r="V1583" s="9">
        <f>U1583+T1583*d_topup_amt</f>
        <v/>
      </c>
      <c r="W1583" s="40">
        <f>N1583+T1583*d_topup_ratio</f>
        <v/>
      </c>
      <c r="X1583" s="40">
        <f>SUMIFS(W1579:W1600,B1579:B1600,B1583-in_dpd_lag)*d_cured</f>
        <v/>
      </c>
      <c r="Y1583" s="40">
        <f>SUMIFS(W1579:W1600,B1579:B1600,B1583-in_rec_lag)*d_recd</f>
        <v/>
      </c>
      <c r="Z1583" s="40">
        <f>IF(AND(B1583&gt;=in_marketplace_from,B1583&lt;in_marketplace_from+in_card_months),in_card_share/in_card_months*F1583*I1583,IF(AND(B1583&gt;=in_marketplace_from+in_card_months,B1583&lt;in_marketplace_from+2*in_card_months),in_card_share*d_card_rem/in_card_months*F1583*MIN(in_takeup_cap,(1+in_takeup_growth)^(D1583-1))*MIN(in_takeup_cap,(1+in_approval_growth)^(D1583-1)),0))</f>
        <v/>
      </c>
      <c r="AA1583" s="14">
        <f>V1583*in_fee*(1-in_taken_back)</f>
        <v/>
      </c>
      <c r="AB1583" s="14">
        <f>SUMIFS(W1579:W1600,B1579:B1600,B1583-in_dpd_lag)*d_dpd</f>
        <v/>
      </c>
      <c r="AC1583" s="14">
        <f>SUMIFS(W1579:W1600,B1579:B1600,B1583-in_rec_lag)*d_rec</f>
        <v/>
      </c>
      <c r="AD1583" s="14">
        <f>Z1583*in_card_fee</f>
        <v/>
      </c>
      <c r="AE1583" s="40">
        <f>AE1582*(1-IF(B1582&gt;=in_marketplace_from,d_hz_hlth_small*G1582,0))</f>
        <v/>
      </c>
      <c r="AF1583" s="46">
        <f>AE1583*IF(B1583&gt;=in_marketplace_from,d_hz_hlth_small*G1583,0)</f>
        <v/>
      </c>
      <c r="AG1583" s="14">
        <f>F1583*AF1583*in_hlth_small_ticket*in_hlth_small_comm*in_ins_partner_share+F1583*in_hlth_small_ticket*in_hlth_small_renew_comm*in_ins_partner_share*(in_hlth_small_renew^1*SUMIFS(AF1579:AF1600,B1579:B1600,B1583-12)+in_hlth_small_renew^2*SUMIFS(AF1579:AF1600,B1579:B1600,B1583-24)+in_hlth_small_renew^3*SUMIFS(AF1579:AF1600,B1579:B1600,B1583-36)+in_hlth_small_renew^4*SUMIFS(AF1579:AF1600,B1579:B1600,B1583-48))</f>
        <v/>
      </c>
      <c r="AH1583" s="40">
        <f>AH1582*(1-IF(B1582&gt;=in_marketplace_from,d_hz_hlth_family*G1582,0))</f>
        <v/>
      </c>
      <c r="AI1583" s="46">
        <f>AH1583*IF(B1583&gt;=in_marketplace_from,d_hz_hlth_family*G1583,0)</f>
        <v/>
      </c>
      <c r="AJ1583" s="14">
        <f>F1583*AI1583*in_hlth_family_ticket*in_hlth_family_comm*in_ins_partner_share+F1583*in_hlth_family_ticket*in_hlth_family_renew_comm*in_ins_partner_share*(in_hlth_family_renew^1*SUMIFS(AI1579:AI1600,B1579:B1600,B1583-12)+in_hlth_family_renew^2*SUMIFS(AI1579:AI1600,B1579:B1600,B1583-24)+in_hlth_family_renew^3*SUMIFS(AI1579:AI1600,B1579:B1600,B1583-36)+in_hlth_family_renew^4*SUMIFS(AI1579:AI1600,B1579:B1600,B1583-48))</f>
        <v/>
      </c>
      <c r="AK1583" s="40">
        <f>AK1582*(1-IF(B1582&gt;=in_marketplace_from,d_hz_life_term*G1582,0))</f>
        <v/>
      </c>
      <c r="AL1583" s="46">
        <f>AK1583*IF(B1583&gt;=in_marketplace_from,d_hz_life_term*G1583,0)</f>
        <v/>
      </c>
      <c r="AM1583" s="14">
        <f>F1583*AL1583*in_life_term_ticket*in_life_term_comm*in_ins_partner_share+F1583*in_life_term_ticket*in_life_term_renew_comm*in_ins_partner_share*(in_life_term_renew^1*SUMIFS(AL1579:AL1600,B1579:B1600,B1583-12)+in_life_term_renew^2*SUMIFS(AL1579:AL1600,B1579:B1600,B1583-24)+in_life_term_renew^3*SUMIFS(AL1579:AL1600,B1579:B1600,B1583-36)+in_life_term_renew^4*SUMIFS(AL1579:AL1600,B1579:B1600,B1583-48))</f>
        <v/>
      </c>
      <c r="AN1583" s="40">
        <f>AN1582*(1-IF(B1582&gt;=in_marketplace_from,d_hz_accident*G1582,0))</f>
        <v/>
      </c>
      <c r="AO1583" s="46">
        <f>AN1583*IF(B1583&gt;=in_marketplace_from,d_hz_accident*G1583,0)</f>
        <v/>
      </c>
      <c r="AP1583" s="14">
        <f>F1583*AO1583*in_accident_ticket*in_accident_comm*in_ins_partner_share+F1583*in_accident_ticket*in_accident_renew_comm*in_ins_partner_share*(in_accident_renew^1*SUMIFS(AO1579:AO1600,B1579:B1600,B1583-12)+in_accident_renew^2*SUMIFS(AO1579:AO1600,B1579:B1600,B1583-24)+in_accident_renew^3*SUMIFS(AO1579:AO1600,B1579:B1600,B1583-36)+in_accident_renew^4*SUMIFS(AO1579:AO1600,B1579:B1600,B1583-48))</f>
        <v/>
      </c>
      <c r="AQ1583" s="40">
        <f>AQ1582*(1-IF(B1582&gt;=in_marketplace_from,d_hz_two_wheeler*G1582,0))</f>
        <v/>
      </c>
      <c r="AR1583" s="46">
        <f>AQ1583*IF(B1583&gt;=in_marketplace_from,d_hz_two_wheeler*G1583,0)</f>
        <v/>
      </c>
      <c r="AS1583" s="14">
        <f>F1583*AR1583*in_two_wheeler_ticket*in_two_wheeler_comm*in_ins_partner_share+F1583*in_two_wheeler_ticket*in_two_wheeler_comm*in_ins_partner_share*(in_two_wheeler_renew^1*SUMIFS(AR1579:AR1600,B1579:B1600,B1583-12)+in_two_wheeler_renew^2*SUMIFS(AR1579:AR1600,B1579:B1600,B1583-24)+in_two_wheeler_renew^3*SUMIFS(AR1579:AR1600,B1579:B1600,B1583-36)+in_two_wheeler_renew^4*SUMIFS(AR1579:AR1600,B1579:B1600,B1583-48))</f>
        <v/>
      </c>
      <c r="AT1583" s="40">
        <f>AT1582*(1-IF(B1582&gt;=in_marketplace_from,d_hz_device*G1582,0))</f>
        <v/>
      </c>
      <c r="AU1583" s="14">
        <f>F1583*AT1583*IF(B1583&gt;=in_marketplace_from,d_hz_device*G1583,0)*in_device_ticket*in_device_comm*in_ins_partner_share</f>
        <v/>
      </c>
      <c r="AV1583" s="40">
        <f>AV1582*(1-IF(B1582&gt;=in_marketplace_from,d_hz_shop*G1582,0))</f>
        <v/>
      </c>
      <c r="AW1583" s="46">
        <f>AV1583*IF(B1583&gt;=in_marketplace_from,d_hz_shop*G1583,0)</f>
        <v/>
      </c>
      <c r="AX1583" s="14">
        <f>F1583*AW1583*in_shop_ticket*in_shop_comm*in_ins_partner_share+F1583*in_shop_ticket*in_shop_renew_comm*in_ins_partner_share*(in_shop_renew^1*SUMIFS(AW1579:AW1600,B1579:B1600,B1583-12)+in_shop_renew^2*SUMIFS(AW1579:AW1600,B1579:B1600,B1583-24)+in_shop_renew^3*SUMIFS(AW1579:AW1600,B1579:B1600,B1583-36)+in_shop_renew^4*SUMIFS(AW1579:AW1600,B1579:B1600,B1583-48))</f>
        <v/>
      </c>
      <c r="AY1583" s="40">
        <f>AY1582*(1-IF(B1582&gt;=in_marketplace_from,d_hz_sip*G1582,0))</f>
        <v/>
      </c>
      <c r="AZ1583" s="40">
        <f>AZ1582*d_rho_sip+AY1583*IF(B1583&gt;=in_marketplace_from,d_hz_sip*G1583,0)</f>
        <v/>
      </c>
      <c r="BA1583" s="40">
        <f>d_rho_sip*(BA1582+AZ1582)</f>
        <v/>
      </c>
      <c r="BB1583" s="14">
        <f>F1583*in_sip_ticket*(BA1583+0.5*AZ1583)*in_sip_comm/12</f>
        <v/>
      </c>
      <c r="BC1583" s="40">
        <f>BC1582*(1-IF(B1582&gt;=in_marketplace_from,d_hz_choti*G1582,0))</f>
        <v/>
      </c>
      <c r="BD1583" s="46">
        <f>BC1583*IF(B1583&gt;=in_marketplace_from,d_hz_choti*G1583,0)</f>
        <v/>
      </c>
      <c r="BE1583" s="14">
        <f>F1583*SUMIFS(BD1579:BD1600,B1579:B1600,B1583-in_choti_months)*in_choti_renew*in_choti_ticket</f>
        <v/>
      </c>
      <c r="BF1583" s="40">
        <f>BF1582*(1-IF(B1582&gt;=in_marketplace_from,d_hz_nps*G1582,0))</f>
        <v/>
      </c>
      <c r="BG1583" s="14">
        <f>F1583*BF1583*IF(B1583&gt;=in_marketplace_from,d_hz_nps*G1583,0)*in_nps_ticket*in_nps_comm</f>
        <v/>
      </c>
      <c r="BH1583" s="40">
        <f>BH1582*(1-IF(B1582&gt;=in_marketplace_from,d_hz_gold*G1582,0))</f>
        <v/>
      </c>
      <c r="BI1583" s="40">
        <f>BI1582*d_rho_gold+BH1583*IF(B1583&gt;=in_marketplace_from,d_hz_gold*G1583,0)</f>
        <v/>
      </c>
      <c r="BJ1583" s="14">
        <f>F1583*BI1583*in_gold_ticket*in_gold_comm</f>
        <v/>
      </c>
      <c r="BK1583" s="40">
        <f>BK1582*(1-IF(B1582&gt;=in_marketplace_from,d_hz_fd*G1582,0))</f>
        <v/>
      </c>
      <c r="BL1583" s="14">
        <f>F1583*BK1583*IF(B1583&gt;=in_marketplace_from,d_hz_fd*G1583,0)*in_fd_ticket*in_fd_comm</f>
        <v/>
      </c>
      <c r="BM1583" s="40">
        <f>BM1582*(1-IF(B1582&gt;=in_marketplace_from,d_hz_recharge*G1582,0))</f>
        <v/>
      </c>
      <c r="BN1583" s="40">
        <f>BN1582*d_rho_recharge+BM1583*IF(B1583&gt;=in_marketplace_from,d_hz_recharge*G1583,0)</f>
        <v/>
      </c>
      <c r="BO1583" s="14">
        <f>F1583*BN1583*in_recharge_ticket*in_recharge_comm/12</f>
        <v/>
      </c>
      <c r="BP1583" s="40">
        <f>BP1582*(1-IF(B1582&gt;=in_marketplace_from,d_hz_bills*G1582,0))</f>
        <v/>
      </c>
      <c r="BQ1583" s="40">
        <f>BQ1582*d_rho_bills+BP1583*IF(B1583&gt;=in_marketplace_from,d_hz_bills*G1583,0)</f>
        <v/>
      </c>
      <c r="BR1583" s="14">
        <f>F1583*BQ1583*in_bills_ticket*in_bills_comm/12</f>
        <v/>
      </c>
      <c r="BS1583" s="40">
        <f>BS1582*(1-IF(B1582&gt;=in_marketplace_from,d_hz_loan_gold*G1582,0))</f>
        <v/>
      </c>
      <c r="BT1583" s="14">
        <f>F1583*BS1583*IF(B1583&gt;=in_marketplace_from,d_hz_loan_gold*G1583,0)*in_loan_gold_ticket*in_loan_gold_comm</f>
        <v/>
      </c>
      <c r="BU1583" s="40">
        <f>BU1582*(1-IF(B1582&gt;=in_marketplace_from,d_hz_loan_cd*G1582,0))</f>
        <v/>
      </c>
      <c r="BV1583" s="14">
        <f>F1583*BU1583*IF(B1583&gt;=in_marketplace_from,d_hz_loan_cd*G1583,0)*in_loan_cd_ticket*in_loan_cd_comm</f>
        <v/>
      </c>
      <c r="BW1583" s="40">
        <f>BW1582*(1-IF(B1582&gt;=in_marketplace_from,d_hz_loan_vehicle*G1582,0))</f>
        <v/>
      </c>
      <c r="BX1583" s="14">
        <f>F1583*BW1583*IF(B1583&gt;=in_marketplace_from,d_hz_loan_vehicle*G1583,0)*in_loan_vehicle_ticket*in_loan_vehicle_comm</f>
        <v/>
      </c>
      <c r="BY1583" s="40">
        <f>BY1582*(1-IF(B1582&gt;=in_marketplace_from,d_hz_loan_home*G1582,0)*BZ1582)</f>
        <v/>
      </c>
      <c r="BZ1583" s="11">
        <f>MIN(in_approval_cap,in_loan_home_approval*INDEX('Age profile'!$O$2:$O$61,B1583)*(1+in_approval_growth)^(D1583-1))</f>
        <v/>
      </c>
      <c r="CA1583" s="14">
        <f>F1583*BY1583*IF(B1583&gt;=in_marketplace_from,d_hz_loan_home*G1583,0)*BZ1583*in_loan_home_ticket*in_loan_home_comm</f>
        <v/>
      </c>
      <c r="CB1583" s="40">
        <f>CB1582*(1-IF(B1582&gt;=in_marketplace_from,d_hz_loan_lap*G1582,0)*CC1582)</f>
        <v/>
      </c>
      <c r="CC1583" s="11">
        <f>MIN(in_approval_cap,in_loan_lap_approval*INDEX('Age profile'!$O$2:$O$61,B1583)*(1+in_approval_growth)^(D1583-1))</f>
        <v/>
      </c>
      <c r="CD1583" s="14">
        <f>F1583*CB1583*IF(B1583&gt;=in_marketplace_from,d_hz_loan_lap*G1583,0)*CC1583*in_loan_lap_ticket*in_loan_lap_comm</f>
        <v/>
      </c>
      <c r="CE1583" s="14">
        <f>AA1583+AB1583+AC1583+AD1583+AG1583+AJ1583+AM1583+AP1583+AS1583+AU1583+AX1583+BB1583+BE1583+BG1583+BJ1583+BL1583+BO1583+BR1583+BT1583+BV1583+BX1583+CA1583+CD1583</f>
        <v/>
      </c>
    </row>
    <row r="1584">
      <c r="A1584" s="39" t="n">
        <v>39</v>
      </c>
      <c r="B1584" s="39" t="n">
        <v>6</v>
      </c>
      <c r="C1584" s="39">
        <f>A1584+B1584-1</f>
        <v/>
      </c>
      <c r="D1584" s="39">
        <f>INT((C1584-1)/12)+1</f>
        <v/>
      </c>
      <c r="E1584" s="44">
        <f>INDEX(Monthly!$B$2:$B$61,A1584)</f>
        <v/>
      </c>
      <c r="F1584" s="44">
        <f>E1584*INDEX('Age profile'!$B$2:$B$61,B1584)</f>
        <v/>
      </c>
      <c r="G1584" s="45">
        <f>MIN(in_takeup_cap,INDEX('Age profile'!$N$2:$N$61,B1584)*(1+in_takeup_growth)^(D1584-1))</f>
        <v/>
      </c>
      <c r="H1584" s="11">
        <f>MIN(in_approval_cap,in_approved_first*INDEX('Age profile'!$O$2:$O$61,B1584)*(1+in_approval_growth)^(D1584-1))</f>
        <v/>
      </c>
      <c r="I1584" s="45">
        <f>G1584*MIN(in_takeup_cap,INDEX('Age profile'!$O$2:$O$61,B1584)*(1+in_approval_growth)^(D1584-1))</f>
        <v/>
      </c>
      <c r="J1584" s="40">
        <f>(J1583-L1583)*F1584/F1583</f>
        <v/>
      </c>
      <c r="K1584" s="40">
        <f>(K1583-M1583)*F1584/F1583+SUMIFS(O1579:O1583,B1579:B1583,B1584-1-d_T)*F1584</f>
        <v/>
      </c>
      <c r="L1584" s="40">
        <f>IF(B1584&gt;=in_marketplace_from,J1584*d_hz*G1584*in_eligible*H1584,0)</f>
        <v/>
      </c>
      <c r="M1584" s="40">
        <f>IF(B1584&gt;=in_marketplace_from,K1584*d_hz*G1584*in_eligible*in_approved_repeat,0)</f>
        <v/>
      </c>
      <c r="N1584" s="40">
        <f>L1584+M1584</f>
        <v/>
      </c>
      <c r="O1584" s="46">
        <f>N1584/F1584</f>
        <v/>
      </c>
      <c r="P1584" s="40">
        <f>F1584-J1584-K1584</f>
        <v/>
      </c>
      <c r="Q1584" s="40">
        <f>IF(B1584&gt;=in_marketplace_from,(J1584+K1584)*d_hz*G1584,0)</f>
        <v/>
      </c>
      <c r="R1584" s="40">
        <f>SUMIFS(N1579:N1600,B1579:B1600,"&gt;="&amp;(B1584-d_T),B1579:B1600,"&lt;="&amp;(B1584-1))</f>
        <v/>
      </c>
      <c r="S1584" s="46">
        <f>(1-d_u)*S1583+IF(d_T&gt;in_topup_lag,SUMIFS(O1579:O1600,B1579:B1600,B1584-in_topup_lag)-d_udrop*SUMIFS(O1579:O1600,B1579:B1600,B1584-d_T),0)</f>
        <v/>
      </c>
      <c r="T1584" s="40">
        <f>F1584*d_u*S1584</f>
        <v/>
      </c>
      <c r="U1584" s="9">
        <f>L1584*in_ticket+M1584*d_rep_ticket</f>
        <v/>
      </c>
      <c r="V1584" s="9">
        <f>U1584+T1584*d_topup_amt</f>
        <v/>
      </c>
      <c r="W1584" s="40">
        <f>N1584+T1584*d_topup_ratio</f>
        <v/>
      </c>
      <c r="X1584" s="40">
        <f>SUMIFS(W1579:W1600,B1579:B1600,B1584-in_dpd_lag)*d_cured</f>
        <v/>
      </c>
      <c r="Y1584" s="40">
        <f>SUMIFS(W1579:W1600,B1579:B1600,B1584-in_rec_lag)*d_recd</f>
        <v/>
      </c>
      <c r="Z1584" s="40">
        <f>IF(AND(B1584&gt;=in_marketplace_from,B1584&lt;in_marketplace_from+in_card_months),in_card_share/in_card_months*F1584*I1584,IF(AND(B1584&gt;=in_marketplace_from+in_card_months,B1584&lt;in_marketplace_from+2*in_card_months),in_card_share*d_card_rem/in_card_months*F1584*MIN(in_takeup_cap,(1+in_takeup_growth)^(D1584-1))*MIN(in_takeup_cap,(1+in_approval_growth)^(D1584-1)),0))</f>
        <v/>
      </c>
      <c r="AA1584" s="14">
        <f>V1584*in_fee*(1-in_taken_back)</f>
        <v/>
      </c>
      <c r="AB1584" s="14">
        <f>SUMIFS(W1579:W1600,B1579:B1600,B1584-in_dpd_lag)*d_dpd</f>
        <v/>
      </c>
      <c r="AC1584" s="14">
        <f>SUMIFS(W1579:W1600,B1579:B1600,B1584-in_rec_lag)*d_rec</f>
        <v/>
      </c>
      <c r="AD1584" s="14">
        <f>Z1584*in_card_fee</f>
        <v/>
      </c>
      <c r="AE1584" s="40">
        <f>AE1583*(1-IF(B1583&gt;=in_marketplace_from,d_hz_hlth_small*G1583,0))</f>
        <v/>
      </c>
      <c r="AF1584" s="46">
        <f>AE1584*IF(B1584&gt;=in_marketplace_from,d_hz_hlth_small*G1584,0)</f>
        <v/>
      </c>
      <c r="AG1584" s="14">
        <f>F1584*AF1584*in_hlth_small_ticket*in_hlth_small_comm*in_ins_partner_share+F1584*in_hlth_small_ticket*in_hlth_small_renew_comm*in_ins_partner_share*(in_hlth_small_renew^1*SUMIFS(AF1579:AF1600,B1579:B1600,B1584-12)+in_hlth_small_renew^2*SUMIFS(AF1579:AF1600,B1579:B1600,B1584-24)+in_hlth_small_renew^3*SUMIFS(AF1579:AF1600,B1579:B1600,B1584-36)+in_hlth_small_renew^4*SUMIFS(AF1579:AF1600,B1579:B1600,B1584-48))</f>
        <v/>
      </c>
      <c r="AH1584" s="40">
        <f>AH1583*(1-IF(B1583&gt;=in_marketplace_from,d_hz_hlth_family*G1583,0))</f>
        <v/>
      </c>
      <c r="AI1584" s="46">
        <f>AH1584*IF(B1584&gt;=in_marketplace_from,d_hz_hlth_family*G1584,0)</f>
        <v/>
      </c>
      <c r="AJ1584" s="14">
        <f>F1584*AI1584*in_hlth_family_ticket*in_hlth_family_comm*in_ins_partner_share+F1584*in_hlth_family_ticket*in_hlth_family_renew_comm*in_ins_partner_share*(in_hlth_family_renew^1*SUMIFS(AI1579:AI1600,B1579:B1600,B1584-12)+in_hlth_family_renew^2*SUMIFS(AI1579:AI1600,B1579:B1600,B1584-24)+in_hlth_family_renew^3*SUMIFS(AI1579:AI1600,B1579:B1600,B1584-36)+in_hlth_family_renew^4*SUMIFS(AI1579:AI1600,B1579:B1600,B1584-48))</f>
        <v/>
      </c>
      <c r="AK1584" s="40">
        <f>AK1583*(1-IF(B1583&gt;=in_marketplace_from,d_hz_life_term*G1583,0))</f>
        <v/>
      </c>
      <c r="AL1584" s="46">
        <f>AK1584*IF(B1584&gt;=in_marketplace_from,d_hz_life_term*G1584,0)</f>
        <v/>
      </c>
      <c r="AM1584" s="14">
        <f>F1584*AL1584*in_life_term_ticket*in_life_term_comm*in_ins_partner_share+F1584*in_life_term_ticket*in_life_term_renew_comm*in_ins_partner_share*(in_life_term_renew^1*SUMIFS(AL1579:AL1600,B1579:B1600,B1584-12)+in_life_term_renew^2*SUMIFS(AL1579:AL1600,B1579:B1600,B1584-24)+in_life_term_renew^3*SUMIFS(AL1579:AL1600,B1579:B1600,B1584-36)+in_life_term_renew^4*SUMIFS(AL1579:AL1600,B1579:B1600,B1584-48))</f>
        <v/>
      </c>
      <c r="AN1584" s="40">
        <f>AN1583*(1-IF(B1583&gt;=in_marketplace_from,d_hz_accident*G1583,0))</f>
        <v/>
      </c>
      <c r="AO1584" s="46">
        <f>AN1584*IF(B1584&gt;=in_marketplace_from,d_hz_accident*G1584,0)</f>
        <v/>
      </c>
      <c r="AP1584" s="14">
        <f>F1584*AO1584*in_accident_ticket*in_accident_comm*in_ins_partner_share+F1584*in_accident_ticket*in_accident_renew_comm*in_ins_partner_share*(in_accident_renew^1*SUMIFS(AO1579:AO1600,B1579:B1600,B1584-12)+in_accident_renew^2*SUMIFS(AO1579:AO1600,B1579:B1600,B1584-24)+in_accident_renew^3*SUMIFS(AO1579:AO1600,B1579:B1600,B1584-36)+in_accident_renew^4*SUMIFS(AO1579:AO1600,B1579:B1600,B1584-48))</f>
        <v/>
      </c>
      <c r="AQ1584" s="40">
        <f>AQ1583*(1-IF(B1583&gt;=in_marketplace_from,d_hz_two_wheeler*G1583,0))</f>
        <v/>
      </c>
      <c r="AR1584" s="46">
        <f>AQ1584*IF(B1584&gt;=in_marketplace_from,d_hz_two_wheeler*G1584,0)</f>
        <v/>
      </c>
      <c r="AS1584" s="14">
        <f>F1584*AR1584*in_two_wheeler_ticket*in_two_wheeler_comm*in_ins_partner_share+F1584*in_two_wheeler_ticket*in_two_wheeler_comm*in_ins_partner_share*(in_two_wheeler_renew^1*SUMIFS(AR1579:AR1600,B1579:B1600,B1584-12)+in_two_wheeler_renew^2*SUMIFS(AR1579:AR1600,B1579:B1600,B1584-24)+in_two_wheeler_renew^3*SUMIFS(AR1579:AR1600,B1579:B1600,B1584-36)+in_two_wheeler_renew^4*SUMIFS(AR1579:AR1600,B1579:B1600,B1584-48))</f>
        <v/>
      </c>
      <c r="AT1584" s="40">
        <f>AT1583*(1-IF(B1583&gt;=in_marketplace_from,d_hz_device*G1583,0))</f>
        <v/>
      </c>
      <c r="AU1584" s="14">
        <f>F1584*AT1584*IF(B1584&gt;=in_marketplace_from,d_hz_device*G1584,0)*in_device_ticket*in_device_comm*in_ins_partner_share</f>
        <v/>
      </c>
      <c r="AV1584" s="40">
        <f>AV1583*(1-IF(B1583&gt;=in_marketplace_from,d_hz_shop*G1583,0))</f>
        <v/>
      </c>
      <c r="AW1584" s="46">
        <f>AV1584*IF(B1584&gt;=in_marketplace_from,d_hz_shop*G1584,0)</f>
        <v/>
      </c>
      <c r="AX1584" s="14">
        <f>F1584*AW1584*in_shop_ticket*in_shop_comm*in_ins_partner_share+F1584*in_shop_ticket*in_shop_renew_comm*in_ins_partner_share*(in_shop_renew^1*SUMIFS(AW1579:AW1600,B1579:B1600,B1584-12)+in_shop_renew^2*SUMIFS(AW1579:AW1600,B1579:B1600,B1584-24)+in_shop_renew^3*SUMIFS(AW1579:AW1600,B1579:B1600,B1584-36)+in_shop_renew^4*SUMIFS(AW1579:AW1600,B1579:B1600,B1584-48))</f>
        <v/>
      </c>
      <c r="AY1584" s="40">
        <f>AY1583*(1-IF(B1583&gt;=in_marketplace_from,d_hz_sip*G1583,0))</f>
        <v/>
      </c>
      <c r="AZ1584" s="40">
        <f>AZ1583*d_rho_sip+AY1584*IF(B1584&gt;=in_marketplace_from,d_hz_sip*G1584,0)</f>
        <v/>
      </c>
      <c r="BA1584" s="40">
        <f>d_rho_sip*(BA1583+AZ1583)</f>
        <v/>
      </c>
      <c r="BB1584" s="14">
        <f>F1584*in_sip_ticket*(BA1584+0.5*AZ1584)*in_sip_comm/12</f>
        <v/>
      </c>
      <c r="BC1584" s="40">
        <f>BC1583*(1-IF(B1583&gt;=in_marketplace_from,d_hz_choti*G1583,0))</f>
        <v/>
      </c>
      <c r="BD1584" s="46">
        <f>BC1584*IF(B1584&gt;=in_marketplace_from,d_hz_choti*G1584,0)</f>
        <v/>
      </c>
      <c r="BE1584" s="14">
        <f>F1584*SUMIFS(BD1579:BD1600,B1579:B1600,B1584-in_choti_months)*in_choti_renew*in_choti_ticket</f>
        <v/>
      </c>
      <c r="BF1584" s="40">
        <f>BF1583*(1-IF(B1583&gt;=in_marketplace_from,d_hz_nps*G1583,0))</f>
        <v/>
      </c>
      <c r="BG1584" s="14">
        <f>F1584*BF1584*IF(B1584&gt;=in_marketplace_from,d_hz_nps*G1584,0)*in_nps_ticket*in_nps_comm</f>
        <v/>
      </c>
      <c r="BH1584" s="40">
        <f>BH1583*(1-IF(B1583&gt;=in_marketplace_from,d_hz_gold*G1583,0))</f>
        <v/>
      </c>
      <c r="BI1584" s="40">
        <f>BI1583*d_rho_gold+BH1584*IF(B1584&gt;=in_marketplace_from,d_hz_gold*G1584,0)</f>
        <v/>
      </c>
      <c r="BJ1584" s="14">
        <f>F1584*BI1584*in_gold_ticket*in_gold_comm</f>
        <v/>
      </c>
      <c r="BK1584" s="40">
        <f>BK1583*(1-IF(B1583&gt;=in_marketplace_from,d_hz_fd*G1583,0))</f>
        <v/>
      </c>
      <c r="BL1584" s="14">
        <f>F1584*BK1584*IF(B1584&gt;=in_marketplace_from,d_hz_fd*G1584,0)*in_fd_ticket*in_fd_comm</f>
        <v/>
      </c>
      <c r="BM1584" s="40">
        <f>BM1583*(1-IF(B1583&gt;=in_marketplace_from,d_hz_recharge*G1583,0))</f>
        <v/>
      </c>
      <c r="BN1584" s="40">
        <f>BN1583*d_rho_recharge+BM1584*IF(B1584&gt;=in_marketplace_from,d_hz_recharge*G1584,0)</f>
        <v/>
      </c>
      <c r="BO1584" s="14">
        <f>F1584*BN1584*in_recharge_ticket*in_recharge_comm/12</f>
        <v/>
      </c>
      <c r="BP1584" s="40">
        <f>BP1583*(1-IF(B1583&gt;=in_marketplace_from,d_hz_bills*G1583,0))</f>
        <v/>
      </c>
      <c r="BQ1584" s="40">
        <f>BQ1583*d_rho_bills+BP1584*IF(B1584&gt;=in_marketplace_from,d_hz_bills*G1584,0)</f>
        <v/>
      </c>
      <c r="BR1584" s="14">
        <f>F1584*BQ1584*in_bills_ticket*in_bills_comm/12</f>
        <v/>
      </c>
      <c r="BS1584" s="40">
        <f>BS1583*(1-IF(B1583&gt;=in_marketplace_from,d_hz_loan_gold*G1583,0))</f>
        <v/>
      </c>
      <c r="BT1584" s="14">
        <f>F1584*BS1584*IF(B1584&gt;=in_marketplace_from,d_hz_loan_gold*G1584,0)*in_loan_gold_ticket*in_loan_gold_comm</f>
        <v/>
      </c>
      <c r="BU1584" s="40">
        <f>BU1583*(1-IF(B1583&gt;=in_marketplace_from,d_hz_loan_cd*G1583,0))</f>
        <v/>
      </c>
      <c r="BV1584" s="14">
        <f>F1584*BU1584*IF(B1584&gt;=in_marketplace_from,d_hz_loan_cd*G1584,0)*in_loan_cd_ticket*in_loan_cd_comm</f>
        <v/>
      </c>
      <c r="BW1584" s="40">
        <f>BW1583*(1-IF(B1583&gt;=in_marketplace_from,d_hz_loan_vehicle*G1583,0))</f>
        <v/>
      </c>
      <c r="BX1584" s="14">
        <f>F1584*BW1584*IF(B1584&gt;=in_marketplace_from,d_hz_loan_vehicle*G1584,0)*in_loan_vehicle_ticket*in_loan_vehicle_comm</f>
        <v/>
      </c>
      <c r="BY1584" s="40">
        <f>BY1583*(1-IF(B1583&gt;=in_marketplace_from,d_hz_loan_home*G1583,0)*BZ1583)</f>
        <v/>
      </c>
      <c r="BZ1584" s="11">
        <f>MIN(in_approval_cap,in_loan_home_approval*INDEX('Age profile'!$O$2:$O$61,B1584)*(1+in_approval_growth)^(D1584-1))</f>
        <v/>
      </c>
      <c r="CA1584" s="14">
        <f>F1584*BY1584*IF(B1584&gt;=in_marketplace_from,d_hz_loan_home*G1584,0)*BZ1584*in_loan_home_ticket*in_loan_home_comm</f>
        <v/>
      </c>
      <c r="CB1584" s="40">
        <f>CB1583*(1-IF(B1583&gt;=in_marketplace_from,d_hz_loan_lap*G1583,0)*CC1583)</f>
        <v/>
      </c>
      <c r="CC1584" s="11">
        <f>MIN(in_approval_cap,in_loan_lap_approval*INDEX('Age profile'!$O$2:$O$61,B1584)*(1+in_approval_growth)^(D1584-1))</f>
        <v/>
      </c>
      <c r="CD1584" s="14">
        <f>F1584*CB1584*IF(B1584&gt;=in_marketplace_from,d_hz_loan_lap*G1584,0)*CC1584*in_loan_lap_ticket*in_loan_lap_comm</f>
        <v/>
      </c>
      <c r="CE1584" s="14">
        <f>AA1584+AB1584+AC1584+AD1584+AG1584+AJ1584+AM1584+AP1584+AS1584+AU1584+AX1584+BB1584+BE1584+BG1584+BJ1584+BL1584+BO1584+BR1584+BT1584+BV1584+BX1584+CA1584+CD1584</f>
        <v/>
      </c>
    </row>
    <row r="1585">
      <c r="A1585" s="39" t="n">
        <v>39</v>
      </c>
      <c r="B1585" s="39" t="n">
        <v>7</v>
      </c>
      <c r="C1585" s="39">
        <f>A1585+B1585-1</f>
        <v/>
      </c>
      <c r="D1585" s="39">
        <f>INT((C1585-1)/12)+1</f>
        <v/>
      </c>
      <c r="E1585" s="44">
        <f>INDEX(Monthly!$B$2:$B$61,A1585)</f>
        <v/>
      </c>
      <c r="F1585" s="44">
        <f>E1585*INDEX('Age profile'!$B$2:$B$61,B1585)</f>
        <v/>
      </c>
      <c r="G1585" s="45">
        <f>MIN(in_takeup_cap,INDEX('Age profile'!$N$2:$N$61,B1585)*(1+in_takeup_growth)^(D1585-1))</f>
        <v/>
      </c>
      <c r="H1585" s="11">
        <f>MIN(in_approval_cap,in_approved_first*INDEX('Age profile'!$O$2:$O$61,B1585)*(1+in_approval_growth)^(D1585-1))</f>
        <v/>
      </c>
      <c r="I1585" s="45">
        <f>G1585*MIN(in_takeup_cap,INDEX('Age profile'!$O$2:$O$61,B1585)*(1+in_approval_growth)^(D1585-1))</f>
        <v/>
      </c>
      <c r="J1585" s="40">
        <f>(J1584-L1584)*F1585/F1584</f>
        <v/>
      </c>
      <c r="K1585" s="40">
        <f>(K1584-M1584)*F1585/F1584+SUMIFS(O1579:O1584,B1579:B1584,B1585-1-d_T)*F1585</f>
        <v/>
      </c>
      <c r="L1585" s="40">
        <f>IF(B1585&gt;=in_marketplace_from,J1585*d_hz*G1585*in_eligible*H1585,0)</f>
        <v/>
      </c>
      <c r="M1585" s="40">
        <f>IF(B1585&gt;=in_marketplace_from,K1585*d_hz*G1585*in_eligible*in_approved_repeat,0)</f>
        <v/>
      </c>
      <c r="N1585" s="40">
        <f>L1585+M1585</f>
        <v/>
      </c>
      <c r="O1585" s="46">
        <f>N1585/F1585</f>
        <v/>
      </c>
      <c r="P1585" s="40">
        <f>F1585-J1585-K1585</f>
        <v/>
      </c>
      <c r="Q1585" s="40">
        <f>IF(B1585&gt;=in_marketplace_from,(J1585+K1585)*d_hz*G1585,0)</f>
        <v/>
      </c>
      <c r="R1585" s="40">
        <f>SUMIFS(N1579:N1600,B1579:B1600,"&gt;="&amp;(B1585-d_T),B1579:B1600,"&lt;="&amp;(B1585-1))</f>
        <v/>
      </c>
      <c r="S1585" s="46">
        <f>(1-d_u)*S1584+IF(d_T&gt;in_topup_lag,SUMIFS(O1579:O1600,B1579:B1600,B1585-in_topup_lag)-d_udrop*SUMIFS(O1579:O1600,B1579:B1600,B1585-d_T),0)</f>
        <v/>
      </c>
      <c r="T1585" s="40">
        <f>F1585*d_u*S1585</f>
        <v/>
      </c>
      <c r="U1585" s="9">
        <f>L1585*in_ticket+M1585*d_rep_ticket</f>
        <v/>
      </c>
      <c r="V1585" s="9">
        <f>U1585+T1585*d_topup_amt</f>
        <v/>
      </c>
      <c r="W1585" s="40">
        <f>N1585+T1585*d_topup_ratio</f>
        <v/>
      </c>
      <c r="X1585" s="40">
        <f>SUMIFS(W1579:W1600,B1579:B1600,B1585-in_dpd_lag)*d_cured</f>
        <v/>
      </c>
      <c r="Y1585" s="40">
        <f>SUMIFS(W1579:W1600,B1579:B1600,B1585-in_rec_lag)*d_recd</f>
        <v/>
      </c>
      <c r="Z1585" s="40">
        <f>IF(AND(B1585&gt;=in_marketplace_from,B1585&lt;in_marketplace_from+in_card_months),in_card_share/in_card_months*F1585*I1585,IF(AND(B1585&gt;=in_marketplace_from+in_card_months,B1585&lt;in_marketplace_from+2*in_card_months),in_card_share*d_card_rem/in_card_months*F1585*MIN(in_takeup_cap,(1+in_takeup_growth)^(D1585-1))*MIN(in_takeup_cap,(1+in_approval_growth)^(D1585-1)),0))</f>
        <v/>
      </c>
      <c r="AA1585" s="14">
        <f>V1585*in_fee*(1-in_taken_back)</f>
        <v/>
      </c>
      <c r="AB1585" s="14">
        <f>SUMIFS(W1579:W1600,B1579:B1600,B1585-in_dpd_lag)*d_dpd</f>
        <v/>
      </c>
      <c r="AC1585" s="14">
        <f>SUMIFS(W1579:W1600,B1579:B1600,B1585-in_rec_lag)*d_rec</f>
        <v/>
      </c>
      <c r="AD1585" s="14">
        <f>Z1585*in_card_fee</f>
        <v/>
      </c>
      <c r="AE1585" s="40">
        <f>AE1584*(1-IF(B1584&gt;=in_marketplace_from,d_hz_hlth_small*G1584,0))</f>
        <v/>
      </c>
      <c r="AF1585" s="46">
        <f>AE1585*IF(B1585&gt;=in_marketplace_from,d_hz_hlth_small*G1585,0)</f>
        <v/>
      </c>
      <c r="AG1585" s="14">
        <f>F1585*AF1585*in_hlth_small_ticket*in_hlth_small_comm*in_ins_partner_share+F1585*in_hlth_small_ticket*in_hlth_small_renew_comm*in_ins_partner_share*(in_hlth_small_renew^1*SUMIFS(AF1579:AF1600,B1579:B1600,B1585-12)+in_hlth_small_renew^2*SUMIFS(AF1579:AF1600,B1579:B1600,B1585-24)+in_hlth_small_renew^3*SUMIFS(AF1579:AF1600,B1579:B1600,B1585-36)+in_hlth_small_renew^4*SUMIFS(AF1579:AF1600,B1579:B1600,B1585-48))</f>
        <v/>
      </c>
      <c r="AH1585" s="40">
        <f>AH1584*(1-IF(B1584&gt;=in_marketplace_from,d_hz_hlth_family*G1584,0))</f>
        <v/>
      </c>
      <c r="AI1585" s="46">
        <f>AH1585*IF(B1585&gt;=in_marketplace_from,d_hz_hlth_family*G1585,0)</f>
        <v/>
      </c>
      <c r="AJ1585" s="14">
        <f>F1585*AI1585*in_hlth_family_ticket*in_hlth_family_comm*in_ins_partner_share+F1585*in_hlth_family_ticket*in_hlth_family_renew_comm*in_ins_partner_share*(in_hlth_family_renew^1*SUMIFS(AI1579:AI1600,B1579:B1600,B1585-12)+in_hlth_family_renew^2*SUMIFS(AI1579:AI1600,B1579:B1600,B1585-24)+in_hlth_family_renew^3*SUMIFS(AI1579:AI1600,B1579:B1600,B1585-36)+in_hlth_family_renew^4*SUMIFS(AI1579:AI1600,B1579:B1600,B1585-48))</f>
        <v/>
      </c>
      <c r="AK1585" s="40">
        <f>AK1584*(1-IF(B1584&gt;=in_marketplace_from,d_hz_life_term*G1584,0))</f>
        <v/>
      </c>
      <c r="AL1585" s="46">
        <f>AK1585*IF(B1585&gt;=in_marketplace_from,d_hz_life_term*G1585,0)</f>
        <v/>
      </c>
      <c r="AM1585" s="14">
        <f>F1585*AL1585*in_life_term_ticket*in_life_term_comm*in_ins_partner_share+F1585*in_life_term_ticket*in_life_term_renew_comm*in_ins_partner_share*(in_life_term_renew^1*SUMIFS(AL1579:AL1600,B1579:B1600,B1585-12)+in_life_term_renew^2*SUMIFS(AL1579:AL1600,B1579:B1600,B1585-24)+in_life_term_renew^3*SUMIFS(AL1579:AL1600,B1579:B1600,B1585-36)+in_life_term_renew^4*SUMIFS(AL1579:AL1600,B1579:B1600,B1585-48))</f>
        <v/>
      </c>
      <c r="AN1585" s="40">
        <f>AN1584*(1-IF(B1584&gt;=in_marketplace_from,d_hz_accident*G1584,0))</f>
        <v/>
      </c>
      <c r="AO1585" s="46">
        <f>AN1585*IF(B1585&gt;=in_marketplace_from,d_hz_accident*G1585,0)</f>
        <v/>
      </c>
      <c r="AP1585" s="14">
        <f>F1585*AO1585*in_accident_ticket*in_accident_comm*in_ins_partner_share+F1585*in_accident_ticket*in_accident_renew_comm*in_ins_partner_share*(in_accident_renew^1*SUMIFS(AO1579:AO1600,B1579:B1600,B1585-12)+in_accident_renew^2*SUMIFS(AO1579:AO1600,B1579:B1600,B1585-24)+in_accident_renew^3*SUMIFS(AO1579:AO1600,B1579:B1600,B1585-36)+in_accident_renew^4*SUMIFS(AO1579:AO1600,B1579:B1600,B1585-48))</f>
        <v/>
      </c>
      <c r="AQ1585" s="40">
        <f>AQ1584*(1-IF(B1584&gt;=in_marketplace_from,d_hz_two_wheeler*G1584,0))</f>
        <v/>
      </c>
      <c r="AR1585" s="46">
        <f>AQ1585*IF(B1585&gt;=in_marketplace_from,d_hz_two_wheeler*G1585,0)</f>
        <v/>
      </c>
      <c r="AS1585" s="14">
        <f>F1585*AR1585*in_two_wheeler_ticket*in_two_wheeler_comm*in_ins_partner_share+F1585*in_two_wheeler_ticket*in_two_wheeler_comm*in_ins_partner_share*(in_two_wheeler_renew^1*SUMIFS(AR1579:AR1600,B1579:B1600,B1585-12)+in_two_wheeler_renew^2*SUMIFS(AR1579:AR1600,B1579:B1600,B1585-24)+in_two_wheeler_renew^3*SUMIFS(AR1579:AR1600,B1579:B1600,B1585-36)+in_two_wheeler_renew^4*SUMIFS(AR1579:AR1600,B1579:B1600,B1585-48))</f>
        <v/>
      </c>
      <c r="AT1585" s="40">
        <f>AT1584*(1-IF(B1584&gt;=in_marketplace_from,d_hz_device*G1584,0))</f>
        <v/>
      </c>
      <c r="AU1585" s="14">
        <f>F1585*AT1585*IF(B1585&gt;=in_marketplace_from,d_hz_device*G1585,0)*in_device_ticket*in_device_comm*in_ins_partner_share</f>
        <v/>
      </c>
      <c r="AV1585" s="40">
        <f>AV1584*(1-IF(B1584&gt;=in_marketplace_from,d_hz_shop*G1584,0))</f>
        <v/>
      </c>
      <c r="AW1585" s="46">
        <f>AV1585*IF(B1585&gt;=in_marketplace_from,d_hz_shop*G1585,0)</f>
        <v/>
      </c>
      <c r="AX1585" s="14">
        <f>F1585*AW1585*in_shop_ticket*in_shop_comm*in_ins_partner_share+F1585*in_shop_ticket*in_shop_renew_comm*in_ins_partner_share*(in_shop_renew^1*SUMIFS(AW1579:AW1600,B1579:B1600,B1585-12)+in_shop_renew^2*SUMIFS(AW1579:AW1600,B1579:B1600,B1585-24)+in_shop_renew^3*SUMIFS(AW1579:AW1600,B1579:B1600,B1585-36)+in_shop_renew^4*SUMIFS(AW1579:AW1600,B1579:B1600,B1585-48))</f>
        <v/>
      </c>
      <c r="AY1585" s="40">
        <f>AY1584*(1-IF(B1584&gt;=in_marketplace_from,d_hz_sip*G1584,0))</f>
        <v/>
      </c>
      <c r="AZ1585" s="40">
        <f>AZ1584*d_rho_sip+AY1585*IF(B1585&gt;=in_marketplace_from,d_hz_sip*G1585,0)</f>
        <v/>
      </c>
      <c r="BA1585" s="40">
        <f>d_rho_sip*(BA1584+AZ1584)</f>
        <v/>
      </c>
      <c r="BB1585" s="14">
        <f>F1585*in_sip_ticket*(BA1585+0.5*AZ1585)*in_sip_comm/12</f>
        <v/>
      </c>
      <c r="BC1585" s="40">
        <f>BC1584*(1-IF(B1584&gt;=in_marketplace_from,d_hz_choti*G1584,0))</f>
        <v/>
      </c>
      <c r="BD1585" s="46">
        <f>BC1585*IF(B1585&gt;=in_marketplace_from,d_hz_choti*G1585,0)</f>
        <v/>
      </c>
      <c r="BE1585" s="14">
        <f>F1585*SUMIFS(BD1579:BD1600,B1579:B1600,B1585-in_choti_months)*in_choti_renew*in_choti_ticket</f>
        <v/>
      </c>
      <c r="BF1585" s="40">
        <f>BF1584*(1-IF(B1584&gt;=in_marketplace_from,d_hz_nps*G1584,0))</f>
        <v/>
      </c>
      <c r="BG1585" s="14">
        <f>F1585*BF1585*IF(B1585&gt;=in_marketplace_from,d_hz_nps*G1585,0)*in_nps_ticket*in_nps_comm</f>
        <v/>
      </c>
      <c r="BH1585" s="40">
        <f>BH1584*(1-IF(B1584&gt;=in_marketplace_from,d_hz_gold*G1584,0))</f>
        <v/>
      </c>
      <c r="BI1585" s="40">
        <f>BI1584*d_rho_gold+BH1585*IF(B1585&gt;=in_marketplace_from,d_hz_gold*G1585,0)</f>
        <v/>
      </c>
      <c r="BJ1585" s="14">
        <f>F1585*BI1585*in_gold_ticket*in_gold_comm</f>
        <v/>
      </c>
      <c r="BK1585" s="40">
        <f>BK1584*(1-IF(B1584&gt;=in_marketplace_from,d_hz_fd*G1584,0))</f>
        <v/>
      </c>
      <c r="BL1585" s="14">
        <f>F1585*BK1585*IF(B1585&gt;=in_marketplace_from,d_hz_fd*G1585,0)*in_fd_ticket*in_fd_comm</f>
        <v/>
      </c>
      <c r="BM1585" s="40">
        <f>BM1584*(1-IF(B1584&gt;=in_marketplace_from,d_hz_recharge*G1584,0))</f>
        <v/>
      </c>
      <c r="BN1585" s="40">
        <f>BN1584*d_rho_recharge+BM1585*IF(B1585&gt;=in_marketplace_from,d_hz_recharge*G1585,0)</f>
        <v/>
      </c>
      <c r="BO1585" s="14">
        <f>F1585*BN1585*in_recharge_ticket*in_recharge_comm/12</f>
        <v/>
      </c>
      <c r="BP1585" s="40">
        <f>BP1584*(1-IF(B1584&gt;=in_marketplace_from,d_hz_bills*G1584,0))</f>
        <v/>
      </c>
      <c r="BQ1585" s="40">
        <f>BQ1584*d_rho_bills+BP1585*IF(B1585&gt;=in_marketplace_from,d_hz_bills*G1585,0)</f>
        <v/>
      </c>
      <c r="BR1585" s="14">
        <f>F1585*BQ1585*in_bills_ticket*in_bills_comm/12</f>
        <v/>
      </c>
      <c r="BS1585" s="40">
        <f>BS1584*(1-IF(B1584&gt;=in_marketplace_from,d_hz_loan_gold*G1584,0))</f>
        <v/>
      </c>
      <c r="BT1585" s="14">
        <f>F1585*BS1585*IF(B1585&gt;=in_marketplace_from,d_hz_loan_gold*G1585,0)*in_loan_gold_ticket*in_loan_gold_comm</f>
        <v/>
      </c>
      <c r="BU1585" s="40">
        <f>BU1584*(1-IF(B1584&gt;=in_marketplace_from,d_hz_loan_cd*G1584,0))</f>
        <v/>
      </c>
      <c r="BV1585" s="14">
        <f>F1585*BU1585*IF(B1585&gt;=in_marketplace_from,d_hz_loan_cd*G1585,0)*in_loan_cd_ticket*in_loan_cd_comm</f>
        <v/>
      </c>
      <c r="BW1585" s="40">
        <f>BW1584*(1-IF(B1584&gt;=in_marketplace_from,d_hz_loan_vehicle*G1584,0))</f>
        <v/>
      </c>
      <c r="BX1585" s="14">
        <f>F1585*BW1585*IF(B1585&gt;=in_marketplace_from,d_hz_loan_vehicle*G1585,0)*in_loan_vehicle_ticket*in_loan_vehicle_comm</f>
        <v/>
      </c>
      <c r="BY1585" s="40">
        <f>BY1584*(1-IF(B1584&gt;=in_marketplace_from,d_hz_loan_home*G1584,0)*BZ1584)</f>
        <v/>
      </c>
      <c r="BZ1585" s="11">
        <f>MIN(in_approval_cap,in_loan_home_approval*INDEX('Age profile'!$O$2:$O$61,B1585)*(1+in_approval_growth)^(D1585-1))</f>
        <v/>
      </c>
      <c r="CA1585" s="14">
        <f>F1585*BY1585*IF(B1585&gt;=in_marketplace_from,d_hz_loan_home*G1585,0)*BZ1585*in_loan_home_ticket*in_loan_home_comm</f>
        <v/>
      </c>
      <c r="CB1585" s="40">
        <f>CB1584*(1-IF(B1584&gt;=in_marketplace_from,d_hz_loan_lap*G1584,0)*CC1584)</f>
        <v/>
      </c>
      <c r="CC1585" s="11">
        <f>MIN(in_approval_cap,in_loan_lap_approval*INDEX('Age profile'!$O$2:$O$61,B1585)*(1+in_approval_growth)^(D1585-1))</f>
        <v/>
      </c>
      <c r="CD1585" s="14">
        <f>F1585*CB1585*IF(B1585&gt;=in_marketplace_from,d_hz_loan_lap*G1585,0)*CC1585*in_loan_lap_ticket*in_loan_lap_comm</f>
        <v/>
      </c>
      <c r="CE1585" s="14">
        <f>AA1585+AB1585+AC1585+AD1585+AG1585+AJ1585+AM1585+AP1585+AS1585+AU1585+AX1585+BB1585+BE1585+BG1585+BJ1585+BL1585+BO1585+BR1585+BT1585+BV1585+BX1585+CA1585+CD1585</f>
        <v/>
      </c>
    </row>
    <row r="1586">
      <c r="A1586" s="39" t="n">
        <v>39</v>
      </c>
      <c r="B1586" s="39" t="n">
        <v>8</v>
      </c>
      <c r="C1586" s="39">
        <f>A1586+B1586-1</f>
        <v/>
      </c>
      <c r="D1586" s="39">
        <f>INT((C1586-1)/12)+1</f>
        <v/>
      </c>
      <c r="E1586" s="44">
        <f>INDEX(Monthly!$B$2:$B$61,A1586)</f>
        <v/>
      </c>
      <c r="F1586" s="44">
        <f>E1586*INDEX('Age profile'!$B$2:$B$61,B1586)</f>
        <v/>
      </c>
      <c r="G1586" s="45">
        <f>MIN(in_takeup_cap,INDEX('Age profile'!$N$2:$N$61,B1586)*(1+in_takeup_growth)^(D1586-1))</f>
        <v/>
      </c>
      <c r="H1586" s="11">
        <f>MIN(in_approval_cap,in_approved_first*INDEX('Age profile'!$O$2:$O$61,B1586)*(1+in_approval_growth)^(D1586-1))</f>
        <v/>
      </c>
      <c r="I1586" s="45">
        <f>G1586*MIN(in_takeup_cap,INDEX('Age profile'!$O$2:$O$61,B1586)*(1+in_approval_growth)^(D1586-1))</f>
        <v/>
      </c>
      <c r="J1586" s="40">
        <f>(J1585-L1585)*F1586/F1585</f>
        <v/>
      </c>
      <c r="K1586" s="40">
        <f>(K1585-M1585)*F1586/F1585+SUMIFS(O1579:O1585,B1579:B1585,B1586-1-d_T)*F1586</f>
        <v/>
      </c>
      <c r="L1586" s="40">
        <f>IF(B1586&gt;=in_marketplace_from,J1586*d_hz*G1586*in_eligible*H1586,0)</f>
        <v/>
      </c>
      <c r="M1586" s="40">
        <f>IF(B1586&gt;=in_marketplace_from,K1586*d_hz*G1586*in_eligible*in_approved_repeat,0)</f>
        <v/>
      </c>
      <c r="N1586" s="40">
        <f>L1586+M1586</f>
        <v/>
      </c>
      <c r="O1586" s="46">
        <f>N1586/F1586</f>
        <v/>
      </c>
      <c r="P1586" s="40">
        <f>F1586-J1586-K1586</f>
        <v/>
      </c>
      <c r="Q1586" s="40">
        <f>IF(B1586&gt;=in_marketplace_from,(J1586+K1586)*d_hz*G1586,0)</f>
        <v/>
      </c>
      <c r="R1586" s="40">
        <f>SUMIFS(N1579:N1600,B1579:B1600,"&gt;="&amp;(B1586-d_T),B1579:B1600,"&lt;="&amp;(B1586-1))</f>
        <v/>
      </c>
      <c r="S1586" s="46">
        <f>(1-d_u)*S1585+IF(d_T&gt;in_topup_lag,SUMIFS(O1579:O1600,B1579:B1600,B1586-in_topup_lag)-d_udrop*SUMIFS(O1579:O1600,B1579:B1600,B1586-d_T),0)</f>
        <v/>
      </c>
      <c r="T1586" s="40">
        <f>F1586*d_u*S1586</f>
        <v/>
      </c>
      <c r="U1586" s="9">
        <f>L1586*in_ticket+M1586*d_rep_ticket</f>
        <v/>
      </c>
      <c r="V1586" s="9">
        <f>U1586+T1586*d_topup_amt</f>
        <v/>
      </c>
      <c r="W1586" s="40">
        <f>N1586+T1586*d_topup_ratio</f>
        <v/>
      </c>
      <c r="X1586" s="40">
        <f>SUMIFS(W1579:W1600,B1579:B1600,B1586-in_dpd_lag)*d_cured</f>
        <v/>
      </c>
      <c r="Y1586" s="40">
        <f>SUMIFS(W1579:W1600,B1579:B1600,B1586-in_rec_lag)*d_recd</f>
        <v/>
      </c>
      <c r="Z1586" s="40">
        <f>IF(AND(B1586&gt;=in_marketplace_from,B1586&lt;in_marketplace_from+in_card_months),in_card_share/in_card_months*F1586*I1586,IF(AND(B1586&gt;=in_marketplace_from+in_card_months,B1586&lt;in_marketplace_from+2*in_card_months),in_card_share*d_card_rem/in_card_months*F1586*MIN(in_takeup_cap,(1+in_takeup_growth)^(D1586-1))*MIN(in_takeup_cap,(1+in_approval_growth)^(D1586-1)),0))</f>
        <v/>
      </c>
      <c r="AA1586" s="14">
        <f>V1586*in_fee*(1-in_taken_back)</f>
        <v/>
      </c>
      <c r="AB1586" s="14">
        <f>SUMIFS(W1579:W1600,B1579:B1600,B1586-in_dpd_lag)*d_dpd</f>
        <v/>
      </c>
      <c r="AC1586" s="14">
        <f>SUMIFS(W1579:W1600,B1579:B1600,B1586-in_rec_lag)*d_rec</f>
        <v/>
      </c>
      <c r="AD1586" s="14">
        <f>Z1586*in_card_fee</f>
        <v/>
      </c>
      <c r="AE1586" s="40">
        <f>AE1585*(1-IF(B1585&gt;=in_marketplace_from,d_hz_hlth_small*G1585,0))</f>
        <v/>
      </c>
      <c r="AF1586" s="46">
        <f>AE1586*IF(B1586&gt;=in_marketplace_from,d_hz_hlth_small*G1586,0)</f>
        <v/>
      </c>
      <c r="AG1586" s="14">
        <f>F1586*AF1586*in_hlth_small_ticket*in_hlth_small_comm*in_ins_partner_share+F1586*in_hlth_small_ticket*in_hlth_small_renew_comm*in_ins_partner_share*(in_hlth_small_renew^1*SUMIFS(AF1579:AF1600,B1579:B1600,B1586-12)+in_hlth_small_renew^2*SUMIFS(AF1579:AF1600,B1579:B1600,B1586-24)+in_hlth_small_renew^3*SUMIFS(AF1579:AF1600,B1579:B1600,B1586-36)+in_hlth_small_renew^4*SUMIFS(AF1579:AF1600,B1579:B1600,B1586-48))</f>
        <v/>
      </c>
      <c r="AH1586" s="40">
        <f>AH1585*(1-IF(B1585&gt;=in_marketplace_from,d_hz_hlth_family*G1585,0))</f>
        <v/>
      </c>
      <c r="AI1586" s="46">
        <f>AH1586*IF(B1586&gt;=in_marketplace_from,d_hz_hlth_family*G1586,0)</f>
        <v/>
      </c>
      <c r="AJ1586" s="14">
        <f>F1586*AI1586*in_hlth_family_ticket*in_hlth_family_comm*in_ins_partner_share+F1586*in_hlth_family_ticket*in_hlth_family_renew_comm*in_ins_partner_share*(in_hlth_family_renew^1*SUMIFS(AI1579:AI1600,B1579:B1600,B1586-12)+in_hlth_family_renew^2*SUMIFS(AI1579:AI1600,B1579:B1600,B1586-24)+in_hlth_family_renew^3*SUMIFS(AI1579:AI1600,B1579:B1600,B1586-36)+in_hlth_family_renew^4*SUMIFS(AI1579:AI1600,B1579:B1600,B1586-48))</f>
        <v/>
      </c>
      <c r="AK1586" s="40">
        <f>AK1585*(1-IF(B1585&gt;=in_marketplace_from,d_hz_life_term*G1585,0))</f>
        <v/>
      </c>
      <c r="AL1586" s="46">
        <f>AK1586*IF(B1586&gt;=in_marketplace_from,d_hz_life_term*G1586,0)</f>
        <v/>
      </c>
      <c r="AM1586" s="14">
        <f>F1586*AL1586*in_life_term_ticket*in_life_term_comm*in_ins_partner_share+F1586*in_life_term_ticket*in_life_term_renew_comm*in_ins_partner_share*(in_life_term_renew^1*SUMIFS(AL1579:AL1600,B1579:B1600,B1586-12)+in_life_term_renew^2*SUMIFS(AL1579:AL1600,B1579:B1600,B1586-24)+in_life_term_renew^3*SUMIFS(AL1579:AL1600,B1579:B1600,B1586-36)+in_life_term_renew^4*SUMIFS(AL1579:AL1600,B1579:B1600,B1586-48))</f>
        <v/>
      </c>
      <c r="AN1586" s="40">
        <f>AN1585*(1-IF(B1585&gt;=in_marketplace_from,d_hz_accident*G1585,0))</f>
        <v/>
      </c>
      <c r="AO1586" s="46">
        <f>AN1586*IF(B1586&gt;=in_marketplace_from,d_hz_accident*G1586,0)</f>
        <v/>
      </c>
      <c r="AP1586" s="14">
        <f>F1586*AO1586*in_accident_ticket*in_accident_comm*in_ins_partner_share+F1586*in_accident_ticket*in_accident_renew_comm*in_ins_partner_share*(in_accident_renew^1*SUMIFS(AO1579:AO1600,B1579:B1600,B1586-12)+in_accident_renew^2*SUMIFS(AO1579:AO1600,B1579:B1600,B1586-24)+in_accident_renew^3*SUMIFS(AO1579:AO1600,B1579:B1600,B1586-36)+in_accident_renew^4*SUMIFS(AO1579:AO1600,B1579:B1600,B1586-48))</f>
        <v/>
      </c>
      <c r="AQ1586" s="40">
        <f>AQ1585*(1-IF(B1585&gt;=in_marketplace_from,d_hz_two_wheeler*G1585,0))</f>
        <v/>
      </c>
      <c r="AR1586" s="46">
        <f>AQ1586*IF(B1586&gt;=in_marketplace_from,d_hz_two_wheeler*G1586,0)</f>
        <v/>
      </c>
      <c r="AS1586" s="14">
        <f>F1586*AR1586*in_two_wheeler_ticket*in_two_wheeler_comm*in_ins_partner_share+F1586*in_two_wheeler_ticket*in_two_wheeler_comm*in_ins_partner_share*(in_two_wheeler_renew^1*SUMIFS(AR1579:AR1600,B1579:B1600,B1586-12)+in_two_wheeler_renew^2*SUMIFS(AR1579:AR1600,B1579:B1600,B1586-24)+in_two_wheeler_renew^3*SUMIFS(AR1579:AR1600,B1579:B1600,B1586-36)+in_two_wheeler_renew^4*SUMIFS(AR1579:AR1600,B1579:B1600,B1586-48))</f>
        <v/>
      </c>
      <c r="AT1586" s="40">
        <f>AT1585*(1-IF(B1585&gt;=in_marketplace_from,d_hz_device*G1585,0))</f>
        <v/>
      </c>
      <c r="AU1586" s="14">
        <f>F1586*AT1586*IF(B1586&gt;=in_marketplace_from,d_hz_device*G1586,0)*in_device_ticket*in_device_comm*in_ins_partner_share</f>
        <v/>
      </c>
      <c r="AV1586" s="40">
        <f>AV1585*(1-IF(B1585&gt;=in_marketplace_from,d_hz_shop*G1585,0))</f>
        <v/>
      </c>
      <c r="AW1586" s="46">
        <f>AV1586*IF(B1586&gt;=in_marketplace_from,d_hz_shop*G1586,0)</f>
        <v/>
      </c>
      <c r="AX1586" s="14">
        <f>F1586*AW1586*in_shop_ticket*in_shop_comm*in_ins_partner_share+F1586*in_shop_ticket*in_shop_renew_comm*in_ins_partner_share*(in_shop_renew^1*SUMIFS(AW1579:AW1600,B1579:B1600,B1586-12)+in_shop_renew^2*SUMIFS(AW1579:AW1600,B1579:B1600,B1586-24)+in_shop_renew^3*SUMIFS(AW1579:AW1600,B1579:B1600,B1586-36)+in_shop_renew^4*SUMIFS(AW1579:AW1600,B1579:B1600,B1586-48))</f>
        <v/>
      </c>
      <c r="AY1586" s="40">
        <f>AY1585*(1-IF(B1585&gt;=in_marketplace_from,d_hz_sip*G1585,0))</f>
        <v/>
      </c>
      <c r="AZ1586" s="40">
        <f>AZ1585*d_rho_sip+AY1586*IF(B1586&gt;=in_marketplace_from,d_hz_sip*G1586,0)</f>
        <v/>
      </c>
      <c r="BA1586" s="40">
        <f>d_rho_sip*(BA1585+AZ1585)</f>
        <v/>
      </c>
      <c r="BB1586" s="14">
        <f>F1586*in_sip_ticket*(BA1586+0.5*AZ1586)*in_sip_comm/12</f>
        <v/>
      </c>
      <c r="BC1586" s="40">
        <f>BC1585*(1-IF(B1585&gt;=in_marketplace_from,d_hz_choti*G1585,0))</f>
        <v/>
      </c>
      <c r="BD1586" s="46">
        <f>BC1586*IF(B1586&gt;=in_marketplace_from,d_hz_choti*G1586,0)</f>
        <v/>
      </c>
      <c r="BE1586" s="14">
        <f>F1586*SUMIFS(BD1579:BD1600,B1579:B1600,B1586-in_choti_months)*in_choti_renew*in_choti_ticket</f>
        <v/>
      </c>
      <c r="BF1586" s="40">
        <f>BF1585*(1-IF(B1585&gt;=in_marketplace_from,d_hz_nps*G1585,0))</f>
        <v/>
      </c>
      <c r="BG1586" s="14">
        <f>F1586*BF1586*IF(B1586&gt;=in_marketplace_from,d_hz_nps*G1586,0)*in_nps_ticket*in_nps_comm</f>
        <v/>
      </c>
      <c r="BH1586" s="40">
        <f>BH1585*(1-IF(B1585&gt;=in_marketplace_from,d_hz_gold*G1585,0))</f>
        <v/>
      </c>
      <c r="BI1586" s="40">
        <f>BI1585*d_rho_gold+BH1586*IF(B1586&gt;=in_marketplace_from,d_hz_gold*G1586,0)</f>
        <v/>
      </c>
      <c r="BJ1586" s="14">
        <f>F1586*BI1586*in_gold_ticket*in_gold_comm</f>
        <v/>
      </c>
      <c r="BK1586" s="40">
        <f>BK1585*(1-IF(B1585&gt;=in_marketplace_from,d_hz_fd*G1585,0))</f>
        <v/>
      </c>
      <c r="BL1586" s="14">
        <f>F1586*BK1586*IF(B1586&gt;=in_marketplace_from,d_hz_fd*G1586,0)*in_fd_ticket*in_fd_comm</f>
        <v/>
      </c>
      <c r="BM1586" s="40">
        <f>BM1585*(1-IF(B1585&gt;=in_marketplace_from,d_hz_recharge*G1585,0))</f>
        <v/>
      </c>
      <c r="BN1586" s="40">
        <f>BN1585*d_rho_recharge+BM1586*IF(B1586&gt;=in_marketplace_from,d_hz_recharge*G1586,0)</f>
        <v/>
      </c>
      <c r="BO1586" s="14">
        <f>F1586*BN1586*in_recharge_ticket*in_recharge_comm/12</f>
        <v/>
      </c>
      <c r="BP1586" s="40">
        <f>BP1585*(1-IF(B1585&gt;=in_marketplace_from,d_hz_bills*G1585,0))</f>
        <v/>
      </c>
      <c r="BQ1586" s="40">
        <f>BQ1585*d_rho_bills+BP1586*IF(B1586&gt;=in_marketplace_from,d_hz_bills*G1586,0)</f>
        <v/>
      </c>
      <c r="BR1586" s="14">
        <f>F1586*BQ1586*in_bills_ticket*in_bills_comm/12</f>
        <v/>
      </c>
      <c r="BS1586" s="40">
        <f>BS1585*(1-IF(B1585&gt;=in_marketplace_from,d_hz_loan_gold*G1585,0))</f>
        <v/>
      </c>
      <c r="BT1586" s="14">
        <f>F1586*BS1586*IF(B1586&gt;=in_marketplace_from,d_hz_loan_gold*G1586,0)*in_loan_gold_ticket*in_loan_gold_comm</f>
        <v/>
      </c>
      <c r="BU1586" s="40">
        <f>BU1585*(1-IF(B1585&gt;=in_marketplace_from,d_hz_loan_cd*G1585,0))</f>
        <v/>
      </c>
      <c r="BV1586" s="14">
        <f>F1586*BU1586*IF(B1586&gt;=in_marketplace_from,d_hz_loan_cd*G1586,0)*in_loan_cd_ticket*in_loan_cd_comm</f>
        <v/>
      </c>
      <c r="BW1586" s="40">
        <f>BW1585*(1-IF(B1585&gt;=in_marketplace_from,d_hz_loan_vehicle*G1585,0))</f>
        <v/>
      </c>
      <c r="BX1586" s="14">
        <f>F1586*BW1586*IF(B1586&gt;=in_marketplace_from,d_hz_loan_vehicle*G1586,0)*in_loan_vehicle_ticket*in_loan_vehicle_comm</f>
        <v/>
      </c>
      <c r="BY1586" s="40">
        <f>BY1585*(1-IF(B1585&gt;=in_marketplace_from,d_hz_loan_home*G1585,0)*BZ1585)</f>
        <v/>
      </c>
      <c r="BZ1586" s="11">
        <f>MIN(in_approval_cap,in_loan_home_approval*INDEX('Age profile'!$O$2:$O$61,B1586)*(1+in_approval_growth)^(D1586-1))</f>
        <v/>
      </c>
      <c r="CA1586" s="14">
        <f>F1586*BY1586*IF(B1586&gt;=in_marketplace_from,d_hz_loan_home*G1586,0)*BZ1586*in_loan_home_ticket*in_loan_home_comm</f>
        <v/>
      </c>
      <c r="CB1586" s="40">
        <f>CB1585*(1-IF(B1585&gt;=in_marketplace_from,d_hz_loan_lap*G1585,0)*CC1585)</f>
        <v/>
      </c>
      <c r="CC1586" s="11">
        <f>MIN(in_approval_cap,in_loan_lap_approval*INDEX('Age profile'!$O$2:$O$61,B1586)*(1+in_approval_growth)^(D1586-1))</f>
        <v/>
      </c>
      <c r="CD1586" s="14">
        <f>F1586*CB1586*IF(B1586&gt;=in_marketplace_from,d_hz_loan_lap*G1586,0)*CC1586*in_loan_lap_ticket*in_loan_lap_comm</f>
        <v/>
      </c>
      <c r="CE1586" s="14">
        <f>AA1586+AB1586+AC1586+AD1586+AG1586+AJ1586+AM1586+AP1586+AS1586+AU1586+AX1586+BB1586+BE1586+BG1586+BJ1586+BL1586+BO1586+BR1586+BT1586+BV1586+BX1586+CA1586+CD1586</f>
        <v/>
      </c>
    </row>
    <row r="1587">
      <c r="A1587" s="39" t="n">
        <v>39</v>
      </c>
      <c r="B1587" s="39" t="n">
        <v>9</v>
      </c>
      <c r="C1587" s="39">
        <f>A1587+B1587-1</f>
        <v/>
      </c>
      <c r="D1587" s="39">
        <f>INT((C1587-1)/12)+1</f>
        <v/>
      </c>
      <c r="E1587" s="44">
        <f>INDEX(Monthly!$B$2:$B$61,A1587)</f>
        <v/>
      </c>
      <c r="F1587" s="44">
        <f>E1587*INDEX('Age profile'!$B$2:$B$61,B1587)</f>
        <v/>
      </c>
      <c r="G1587" s="45">
        <f>MIN(in_takeup_cap,INDEX('Age profile'!$N$2:$N$61,B1587)*(1+in_takeup_growth)^(D1587-1))</f>
        <v/>
      </c>
      <c r="H1587" s="11">
        <f>MIN(in_approval_cap,in_approved_first*INDEX('Age profile'!$O$2:$O$61,B1587)*(1+in_approval_growth)^(D1587-1))</f>
        <v/>
      </c>
      <c r="I1587" s="45">
        <f>G1587*MIN(in_takeup_cap,INDEX('Age profile'!$O$2:$O$61,B1587)*(1+in_approval_growth)^(D1587-1))</f>
        <v/>
      </c>
      <c r="J1587" s="40">
        <f>(J1586-L1586)*F1587/F1586</f>
        <v/>
      </c>
      <c r="K1587" s="40">
        <f>(K1586-M1586)*F1587/F1586+SUMIFS(O1579:O1586,B1579:B1586,B1587-1-d_T)*F1587</f>
        <v/>
      </c>
      <c r="L1587" s="40">
        <f>IF(B1587&gt;=in_marketplace_from,J1587*d_hz*G1587*in_eligible*H1587,0)</f>
        <v/>
      </c>
      <c r="M1587" s="40">
        <f>IF(B1587&gt;=in_marketplace_from,K1587*d_hz*G1587*in_eligible*in_approved_repeat,0)</f>
        <v/>
      </c>
      <c r="N1587" s="40">
        <f>L1587+M1587</f>
        <v/>
      </c>
      <c r="O1587" s="46">
        <f>N1587/F1587</f>
        <v/>
      </c>
      <c r="P1587" s="40">
        <f>F1587-J1587-K1587</f>
        <v/>
      </c>
      <c r="Q1587" s="40">
        <f>IF(B1587&gt;=in_marketplace_from,(J1587+K1587)*d_hz*G1587,0)</f>
        <v/>
      </c>
      <c r="R1587" s="40">
        <f>SUMIFS(N1579:N1600,B1579:B1600,"&gt;="&amp;(B1587-d_T),B1579:B1600,"&lt;="&amp;(B1587-1))</f>
        <v/>
      </c>
      <c r="S1587" s="46">
        <f>(1-d_u)*S1586+IF(d_T&gt;in_topup_lag,SUMIFS(O1579:O1600,B1579:B1600,B1587-in_topup_lag)-d_udrop*SUMIFS(O1579:O1600,B1579:B1600,B1587-d_T),0)</f>
        <v/>
      </c>
      <c r="T1587" s="40">
        <f>F1587*d_u*S1587</f>
        <v/>
      </c>
      <c r="U1587" s="9">
        <f>L1587*in_ticket+M1587*d_rep_ticket</f>
        <v/>
      </c>
      <c r="V1587" s="9">
        <f>U1587+T1587*d_topup_amt</f>
        <v/>
      </c>
      <c r="W1587" s="40">
        <f>N1587+T1587*d_topup_ratio</f>
        <v/>
      </c>
      <c r="X1587" s="40">
        <f>SUMIFS(W1579:W1600,B1579:B1600,B1587-in_dpd_lag)*d_cured</f>
        <v/>
      </c>
      <c r="Y1587" s="40">
        <f>SUMIFS(W1579:W1600,B1579:B1600,B1587-in_rec_lag)*d_recd</f>
        <v/>
      </c>
      <c r="Z1587" s="40">
        <f>IF(AND(B1587&gt;=in_marketplace_from,B1587&lt;in_marketplace_from+in_card_months),in_card_share/in_card_months*F1587*I1587,IF(AND(B1587&gt;=in_marketplace_from+in_card_months,B1587&lt;in_marketplace_from+2*in_card_months),in_card_share*d_card_rem/in_card_months*F1587*MIN(in_takeup_cap,(1+in_takeup_growth)^(D1587-1))*MIN(in_takeup_cap,(1+in_approval_growth)^(D1587-1)),0))</f>
        <v/>
      </c>
      <c r="AA1587" s="14">
        <f>V1587*in_fee*(1-in_taken_back)</f>
        <v/>
      </c>
      <c r="AB1587" s="14">
        <f>SUMIFS(W1579:W1600,B1579:B1600,B1587-in_dpd_lag)*d_dpd</f>
        <v/>
      </c>
      <c r="AC1587" s="14">
        <f>SUMIFS(W1579:W1600,B1579:B1600,B1587-in_rec_lag)*d_rec</f>
        <v/>
      </c>
      <c r="AD1587" s="14">
        <f>Z1587*in_card_fee</f>
        <v/>
      </c>
      <c r="AE1587" s="40">
        <f>AE1586*(1-IF(B1586&gt;=in_marketplace_from,d_hz_hlth_small*G1586,0))</f>
        <v/>
      </c>
      <c r="AF1587" s="46">
        <f>AE1587*IF(B1587&gt;=in_marketplace_from,d_hz_hlth_small*G1587,0)</f>
        <v/>
      </c>
      <c r="AG1587" s="14">
        <f>F1587*AF1587*in_hlth_small_ticket*in_hlth_small_comm*in_ins_partner_share+F1587*in_hlth_small_ticket*in_hlth_small_renew_comm*in_ins_partner_share*(in_hlth_small_renew^1*SUMIFS(AF1579:AF1600,B1579:B1600,B1587-12)+in_hlth_small_renew^2*SUMIFS(AF1579:AF1600,B1579:B1600,B1587-24)+in_hlth_small_renew^3*SUMIFS(AF1579:AF1600,B1579:B1600,B1587-36)+in_hlth_small_renew^4*SUMIFS(AF1579:AF1600,B1579:B1600,B1587-48))</f>
        <v/>
      </c>
      <c r="AH1587" s="40">
        <f>AH1586*(1-IF(B1586&gt;=in_marketplace_from,d_hz_hlth_family*G1586,0))</f>
        <v/>
      </c>
      <c r="AI1587" s="46">
        <f>AH1587*IF(B1587&gt;=in_marketplace_from,d_hz_hlth_family*G1587,0)</f>
        <v/>
      </c>
      <c r="AJ1587" s="14">
        <f>F1587*AI1587*in_hlth_family_ticket*in_hlth_family_comm*in_ins_partner_share+F1587*in_hlth_family_ticket*in_hlth_family_renew_comm*in_ins_partner_share*(in_hlth_family_renew^1*SUMIFS(AI1579:AI1600,B1579:B1600,B1587-12)+in_hlth_family_renew^2*SUMIFS(AI1579:AI1600,B1579:B1600,B1587-24)+in_hlth_family_renew^3*SUMIFS(AI1579:AI1600,B1579:B1600,B1587-36)+in_hlth_family_renew^4*SUMIFS(AI1579:AI1600,B1579:B1600,B1587-48))</f>
        <v/>
      </c>
      <c r="AK1587" s="40">
        <f>AK1586*(1-IF(B1586&gt;=in_marketplace_from,d_hz_life_term*G1586,0))</f>
        <v/>
      </c>
      <c r="AL1587" s="46">
        <f>AK1587*IF(B1587&gt;=in_marketplace_from,d_hz_life_term*G1587,0)</f>
        <v/>
      </c>
      <c r="AM1587" s="14">
        <f>F1587*AL1587*in_life_term_ticket*in_life_term_comm*in_ins_partner_share+F1587*in_life_term_ticket*in_life_term_renew_comm*in_ins_partner_share*(in_life_term_renew^1*SUMIFS(AL1579:AL1600,B1579:B1600,B1587-12)+in_life_term_renew^2*SUMIFS(AL1579:AL1600,B1579:B1600,B1587-24)+in_life_term_renew^3*SUMIFS(AL1579:AL1600,B1579:B1600,B1587-36)+in_life_term_renew^4*SUMIFS(AL1579:AL1600,B1579:B1600,B1587-48))</f>
        <v/>
      </c>
      <c r="AN1587" s="40">
        <f>AN1586*(1-IF(B1586&gt;=in_marketplace_from,d_hz_accident*G1586,0))</f>
        <v/>
      </c>
      <c r="AO1587" s="46">
        <f>AN1587*IF(B1587&gt;=in_marketplace_from,d_hz_accident*G1587,0)</f>
        <v/>
      </c>
      <c r="AP1587" s="14">
        <f>F1587*AO1587*in_accident_ticket*in_accident_comm*in_ins_partner_share+F1587*in_accident_ticket*in_accident_renew_comm*in_ins_partner_share*(in_accident_renew^1*SUMIFS(AO1579:AO1600,B1579:B1600,B1587-12)+in_accident_renew^2*SUMIFS(AO1579:AO1600,B1579:B1600,B1587-24)+in_accident_renew^3*SUMIFS(AO1579:AO1600,B1579:B1600,B1587-36)+in_accident_renew^4*SUMIFS(AO1579:AO1600,B1579:B1600,B1587-48))</f>
        <v/>
      </c>
      <c r="AQ1587" s="40">
        <f>AQ1586*(1-IF(B1586&gt;=in_marketplace_from,d_hz_two_wheeler*G1586,0))</f>
        <v/>
      </c>
      <c r="AR1587" s="46">
        <f>AQ1587*IF(B1587&gt;=in_marketplace_from,d_hz_two_wheeler*G1587,0)</f>
        <v/>
      </c>
      <c r="AS1587" s="14">
        <f>F1587*AR1587*in_two_wheeler_ticket*in_two_wheeler_comm*in_ins_partner_share+F1587*in_two_wheeler_ticket*in_two_wheeler_comm*in_ins_partner_share*(in_two_wheeler_renew^1*SUMIFS(AR1579:AR1600,B1579:B1600,B1587-12)+in_two_wheeler_renew^2*SUMIFS(AR1579:AR1600,B1579:B1600,B1587-24)+in_two_wheeler_renew^3*SUMIFS(AR1579:AR1600,B1579:B1600,B1587-36)+in_two_wheeler_renew^4*SUMIFS(AR1579:AR1600,B1579:B1600,B1587-48))</f>
        <v/>
      </c>
      <c r="AT1587" s="40">
        <f>AT1586*(1-IF(B1586&gt;=in_marketplace_from,d_hz_device*G1586,0))</f>
        <v/>
      </c>
      <c r="AU1587" s="14">
        <f>F1587*AT1587*IF(B1587&gt;=in_marketplace_from,d_hz_device*G1587,0)*in_device_ticket*in_device_comm*in_ins_partner_share</f>
        <v/>
      </c>
      <c r="AV1587" s="40">
        <f>AV1586*(1-IF(B1586&gt;=in_marketplace_from,d_hz_shop*G1586,0))</f>
        <v/>
      </c>
      <c r="AW1587" s="46">
        <f>AV1587*IF(B1587&gt;=in_marketplace_from,d_hz_shop*G1587,0)</f>
        <v/>
      </c>
      <c r="AX1587" s="14">
        <f>F1587*AW1587*in_shop_ticket*in_shop_comm*in_ins_partner_share+F1587*in_shop_ticket*in_shop_renew_comm*in_ins_partner_share*(in_shop_renew^1*SUMIFS(AW1579:AW1600,B1579:B1600,B1587-12)+in_shop_renew^2*SUMIFS(AW1579:AW1600,B1579:B1600,B1587-24)+in_shop_renew^3*SUMIFS(AW1579:AW1600,B1579:B1600,B1587-36)+in_shop_renew^4*SUMIFS(AW1579:AW1600,B1579:B1600,B1587-48))</f>
        <v/>
      </c>
      <c r="AY1587" s="40">
        <f>AY1586*(1-IF(B1586&gt;=in_marketplace_from,d_hz_sip*G1586,0))</f>
        <v/>
      </c>
      <c r="AZ1587" s="40">
        <f>AZ1586*d_rho_sip+AY1587*IF(B1587&gt;=in_marketplace_from,d_hz_sip*G1587,0)</f>
        <v/>
      </c>
      <c r="BA1587" s="40">
        <f>d_rho_sip*(BA1586+AZ1586)</f>
        <v/>
      </c>
      <c r="BB1587" s="14">
        <f>F1587*in_sip_ticket*(BA1587+0.5*AZ1587)*in_sip_comm/12</f>
        <v/>
      </c>
      <c r="BC1587" s="40">
        <f>BC1586*(1-IF(B1586&gt;=in_marketplace_from,d_hz_choti*G1586,0))</f>
        <v/>
      </c>
      <c r="BD1587" s="46">
        <f>BC1587*IF(B1587&gt;=in_marketplace_from,d_hz_choti*G1587,0)</f>
        <v/>
      </c>
      <c r="BE1587" s="14">
        <f>F1587*SUMIFS(BD1579:BD1600,B1579:B1600,B1587-in_choti_months)*in_choti_renew*in_choti_ticket</f>
        <v/>
      </c>
      <c r="BF1587" s="40">
        <f>BF1586*(1-IF(B1586&gt;=in_marketplace_from,d_hz_nps*G1586,0))</f>
        <v/>
      </c>
      <c r="BG1587" s="14">
        <f>F1587*BF1587*IF(B1587&gt;=in_marketplace_from,d_hz_nps*G1587,0)*in_nps_ticket*in_nps_comm</f>
        <v/>
      </c>
      <c r="BH1587" s="40">
        <f>BH1586*(1-IF(B1586&gt;=in_marketplace_from,d_hz_gold*G1586,0))</f>
        <v/>
      </c>
      <c r="BI1587" s="40">
        <f>BI1586*d_rho_gold+BH1587*IF(B1587&gt;=in_marketplace_from,d_hz_gold*G1587,0)</f>
        <v/>
      </c>
      <c r="BJ1587" s="14">
        <f>F1587*BI1587*in_gold_ticket*in_gold_comm</f>
        <v/>
      </c>
      <c r="BK1587" s="40">
        <f>BK1586*(1-IF(B1586&gt;=in_marketplace_from,d_hz_fd*G1586,0))</f>
        <v/>
      </c>
      <c r="BL1587" s="14">
        <f>F1587*BK1587*IF(B1587&gt;=in_marketplace_from,d_hz_fd*G1587,0)*in_fd_ticket*in_fd_comm</f>
        <v/>
      </c>
      <c r="BM1587" s="40">
        <f>BM1586*(1-IF(B1586&gt;=in_marketplace_from,d_hz_recharge*G1586,0))</f>
        <v/>
      </c>
      <c r="BN1587" s="40">
        <f>BN1586*d_rho_recharge+BM1587*IF(B1587&gt;=in_marketplace_from,d_hz_recharge*G1587,0)</f>
        <v/>
      </c>
      <c r="BO1587" s="14">
        <f>F1587*BN1587*in_recharge_ticket*in_recharge_comm/12</f>
        <v/>
      </c>
      <c r="BP1587" s="40">
        <f>BP1586*(1-IF(B1586&gt;=in_marketplace_from,d_hz_bills*G1586,0))</f>
        <v/>
      </c>
      <c r="BQ1587" s="40">
        <f>BQ1586*d_rho_bills+BP1587*IF(B1587&gt;=in_marketplace_from,d_hz_bills*G1587,0)</f>
        <v/>
      </c>
      <c r="BR1587" s="14">
        <f>F1587*BQ1587*in_bills_ticket*in_bills_comm/12</f>
        <v/>
      </c>
      <c r="BS1587" s="40">
        <f>BS1586*(1-IF(B1586&gt;=in_marketplace_from,d_hz_loan_gold*G1586,0))</f>
        <v/>
      </c>
      <c r="BT1587" s="14">
        <f>F1587*BS1587*IF(B1587&gt;=in_marketplace_from,d_hz_loan_gold*G1587,0)*in_loan_gold_ticket*in_loan_gold_comm</f>
        <v/>
      </c>
      <c r="BU1587" s="40">
        <f>BU1586*(1-IF(B1586&gt;=in_marketplace_from,d_hz_loan_cd*G1586,0))</f>
        <v/>
      </c>
      <c r="BV1587" s="14">
        <f>F1587*BU1587*IF(B1587&gt;=in_marketplace_from,d_hz_loan_cd*G1587,0)*in_loan_cd_ticket*in_loan_cd_comm</f>
        <v/>
      </c>
      <c r="BW1587" s="40">
        <f>BW1586*(1-IF(B1586&gt;=in_marketplace_from,d_hz_loan_vehicle*G1586,0))</f>
        <v/>
      </c>
      <c r="BX1587" s="14">
        <f>F1587*BW1587*IF(B1587&gt;=in_marketplace_from,d_hz_loan_vehicle*G1587,0)*in_loan_vehicle_ticket*in_loan_vehicle_comm</f>
        <v/>
      </c>
      <c r="BY1587" s="40">
        <f>BY1586*(1-IF(B1586&gt;=in_marketplace_from,d_hz_loan_home*G1586,0)*BZ1586)</f>
        <v/>
      </c>
      <c r="BZ1587" s="11">
        <f>MIN(in_approval_cap,in_loan_home_approval*INDEX('Age profile'!$O$2:$O$61,B1587)*(1+in_approval_growth)^(D1587-1))</f>
        <v/>
      </c>
      <c r="CA1587" s="14">
        <f>F1587*BY1587*IF(B1587&gt;=in_marketplace_from,d_hz_loan_home*G1587,0)*BZ1587*in_loan_home_ticket*in_loan_home_comm</f>
        <v/>
      </c>
      <c r="CB1587" s="40">
        <f>CB1586*(1-IF(B1586&gt;=in_marketplace_from,d_hz_loan_lap*G1586,0)*CC1586)</f>
        <v/>
      </c>
      <c r="CC1587" s="11">
        <f>MIN(in_approval_cap,in_loan_lap_approval*INDEX('Age profile'!$O$2:$O$61,B1587)*(1+in_approval_growth)^(D1587-1))</f>
        <v/>
      </c>
      <c r="CD1587" s="14">
        <f>F1587*CB1587*IF(B1587&gt;=in_marketplace_from,d_hz_loan_lap*G1587,0)*CC1587*in_loan_lap_ticket*in_loan_lap_comm</f>
        <v/>
      </c>
      <c r="CE1587" s="14">
        <f>AA1587+AB1587+AC1587+AD1587+AG1587+AJ1587+AM1587+AP1587+AS1587+AU1587+AX1587+BB1587+BE1587+BG1587+BJ1587+BL1587+BO1587+BR1587+BT1587+BV1587+BX1587+CA1587+CD1587</f>
        <v/>
      </c>
    </row>
    <row r="1588">
      <c r="A1588" s="39" t="n">
        <v>39</v>
      </c>
      <c r="B1588" s="39" t="n">
        <v>10</v>
      </c>
      <c r="C1588" s="39">
        <f>A1588+B1588-1</f>
        <v/>
      </c>
      <c r="D1588" s="39">
        <f>INT((C1588-1)/12)+1</f>
        <v/>
      </c>
      <c r="E1588" s="44">
        <f>INDEX(Monthly!$B$2:$B$61,A1588)</f>
        <v/>
      </c>
      <c r="F1588" s="44">
        <f>E1588*INDEX('Age profile'!$B$2:$B$61,B1588)</f>
        <v/>
      </c>
      <c r="G1588" s="45">
        <f>MIN(in_takeup_cap,INDEX('Age profile'!$N$2:$N$61,B1588)*(1+in_takeup_growth)^(D1588-1))</f>
        <v/>
      </c>
      <c r="H1588" s="11">
        <f>MIN(in_approval_cap,in_approved_first*INDEX('Age profile'!$O$2:$O$61,B1588)*(1+in_approval_growth)^(D1588-1))</f>
        <v/>
      </c>
      <c r="I1588" s="45">
        <f>G1588*MIN(in_takeup_cap,INDEX('Age profile'!$O$2:$O$61,B1588)*(1+in_approval_growth)^(D1588-1))</f>
        <v/>
      </c>
      <c r="J1588" s="40">
        <f>(J1587-L1587)*F1588/F1587</f>
        <v/>
      </c>
      <c r="K1588" s="40">
        <f>(K1587-M1587)*F1588/F1587+SUMIFS(O1579:O1587,B1579:B1587,B1588-1-d_T)*F1588</f>
        <v/>
      </c>
      <c r="L1588" s="40">
        <f>IF(B1588&gt;=in_marketplace_from,J1588*d_hz*G1588*in_eligible*H1588,0)</f>
        <v/>
      </c>
      <c r="M1588" s="40">
        <f>IF(B1588&gt;=in_marketplace_from,K1588*d_hz*G1588*in_eligible*in_approved_repeat,0)</f>
        <v/>
      </c>
      <c r="N1588" s="40">
        <f>L1588+M1588</f>
        <v/>
      </c>
      <c r="O1588" s="46">
        <f>N1588/F1588</f>
        <v/>
      </c>
      <c r="P1588" s="40">
        <f>F1588-J1588-K1588</f>
        <v/>
      </c>
      <c r="Q1588" s="40">
        <f>IF(B1588&gt;=in_marketplace_from,(J1588+K1588)*d_hz*G1588,0)</f>
        <v/>
      </c>
      <c r="R1588" s="40">
        <f>SUMIFS(N1579:N1600,B1579:B1600,"&gt;="&amp;(B1588-d_T),B1579:B1600,"&lt;="&amp;(B1588-1))</f>
        <v/>
      </c>
      <c r="S1588" s="46">
        <f>(1-d_u)*S1587+IF(d_T&gt;in_topup_lag,SUMIFS(O1579:O1600,B1579:B1600,B1588-in_topup_lag)-d_udrop*SUMIFS(O1579:O1600,B1579:B1600,B1588-d_T),0)</f>
        <v/>
      </c>
      <c r="T1588" s="40">
        <f>F1588*d_u*S1588</f>
        <v/>
      </c>
      <c r="U1588" s="9">
        <f>L1588*in_ticket+M1588*d_rep_ticket</f>
        <v/>
      </c>
      <c r="V1588" s="9">
        <f>U1588+T1588*d_topup_amt</f>
        <v/>
      </c>
      <c r="W1588" s="40">
        <f>N1588+T1588*d_topup_ratio</f>
        <v/>
      </c>
      <c r="X1588" s="40">
        <f>SUMIFS(W1579:W1600,B1579:B1600,B1588-in_dpd_lag)*d_cured</f>
        <v/>
      </c>
      <c r="Y1588" s="40">
        <f>SUMIFS(W1579:W1600,B1579:B1600,B1588-in_rec_lag)*d_recd</f>
        <v/>
      </c>
      <c r="Z1588" s="40">
        <f>IF(AND(B1588&gt;=in_marketplace_from,B1588&lt;in_marketplace_from+in_card_months),in_card_share/in_card_months*F1588*I1588,IF(AND(B1588&gt;=in_marketplace_from+in_card_months,B1588&lt;in_marketplace_from+2*in_card_months),in_card_share*d_card_rem/in_card_months*F1588*MIN(in_takeup_cap,(1+in_takeup_growth)^(D1588-1))*MIN(in_takeup_cap,(1+in_approval_growth)^(D1588-1)),0))</f>
        <v/>
      </c>
      <c r="AA1588" s="14">
        <f>V1588*in_fee*(1-in_taken_back)</f>
        <v/>
      </c>
      <c r="AB1588" s="14">
        <f>SUMIFS(W1579:W1600,B1579:B1600,B1588-in_dpd_lag)*d_dpd</f>
        <v/>
      </c>
      <c r="AC1588" s="14">
        <f>SUMIFS(W1579:W1600,B1579:B1600,B1588-in_rec_lag)*d_rec</f>
        <v/>
      </c>
      <c r="AD1588" s="14">
        <f>Z1588*in_card_fee</f>
        <v/>
      </c>
      <c r="AE1588" s="40">
        <f>AE1587*(1-IF(B1587&gt;=in_marketplace_from,d_hz_hlth_small*G1587,0))</f>
        <v/>
      </c>
      <c r="AF1588" s="46">
        <f>AE1588*IF(B1588&gt;=in_marketplace_from,d_hz_hlth_small*G1588,0)</f>
        <v/>
      </c>
      <c r="AG1588" s="14">
        <f>F1588*AF1588*in_hlth_small_ticket*in_hlth_small_comm*in_ins_partner_share+F1588*in_hlth_small_ticket*in_hlth_small_renew_comm*in_ins_partner_share*(in_hlth_small_renew^1*SUMIFS(AF1579:AF1600,B1579:B1600,B1588-12)+in_hlth_small_renew^2*SUMIFS(AF1579:AF1600,B1579:B1600,B1588-24)+in_hlth_small_renew^3*SUMIFS(AF1579:AF1600,B1579:B1600,B1588-36)+in_hlth_small_renew^4*SUMIFS(AF1579:AF1600,B1579:B1600,B1588-48))</f>
        <v/>
      </c>
      <c r="AH1588" s="40">
        <f>AH1587*(1-IF(B1587&gt;=in_marketplace_from,d_hz_hlth_family*G1587,0))</f>
        <v/>
      </c>
      <c r="AI1588" s="46">
        <f>AH1588*IF(B1588&gt;=in_marketplace_from,d_hz_hlth_family*G1588,0)</f>
        <v/>
      </c>
      <c r="AJ1588" s="14">
        <f>F1588*AI1588*in_hlth_family_ticket*in_hlth_family_comm*in_ins_partner_share+F1588*in_hlth_family_ticket*in_hlth_family_renew_comm*in_ins_partner_share*(in_hlth_family_renew^1*SUMIFS(AI1579:AI1600,B1579:B1600,B1588-12)+in_hlth_family_renew^2*SUMIFS(AI1579:AI1600,B1579:B1600,B1588-24)+in_hlth_family_renew^3*SUMIFS(AI1579:AI1600,B1579:B1600,B1588-36)+in_hlth_family_renew^4*SUMIFS(AI1579:AI1600,B1579:B1600,B1588-48))</f>
        <v/>
      </c>
      <c r="AK1588" s="40">
        <f>AK1587*(1-IF(B1587&gt;=in_marketplace_from,d_hz_life_term*G1587,0))</f>
        <v/>
      </c>
      <c r="AL1588" s="46">
        <f>AK1588*IF(B1588&gt;=in_marketplace_from,d_hz_life_term*G1588,0)</f>
        <v/>
      </c>
      <c r="AM1588" s="14">
        <f>F1588*AL1588*in_life_term_ticket*in_life_term_comm*in_ins_partner_share+F1588*in_life_term_ticket*in_life_term_renew_comm*in_ins_partner_share*(in_life_term_renew^1*SUMIFS(AL1579:AL1600,B1579:B1600,B1588-12)+in_life_term_renew^2*SUMIFS(AL1579:AL1600,B1579:B1600,B1588-24)+in_life_term_renew^3*SUMIFS(AL1579:AL1600,B1579:B1600,B1588-36)+in_life_term_renew^4*SUMIFS(AL1579:AL1600,B1579:B1600,B1588-48))</f>
        <v/>
      </c>
      <c r="AN1588" s="40">
        <f>AN1587*(1-IF(B1587&gt;=in_marketplace_from,d_hz_accident*G1587,0))</f>
        <v/>
      </c>
      <c r="AO1588" s="46">
        <f>AN1588*IF(B1588&gt;=in_marketplace_from,d_hz_accident*G1588,0)</f>
        <v/>
      </c>
      <c r="AP1588" s="14">
        <f>F1588*AO1588*in_accident_ticket*in_accident_comm*in_ins_partner_share+F1588*in_accident_ticket*in_accident_renew_comm*in_ins_partner_share*(in_accident_renew^1*SUMIFS(AO1579:AO1600,B1579:B1600,B1588-12)+in_accident_renew^2*SUMIFS(AO1579:AO1600,B1579:B1600,B1588-24)+in_accident_renew^3*SUMIFS(AO1579:AO1600,B1579:B1600,B1588-36)+in_accident_renew^4*SUMIFS(AO1579:AO1600,B1579:B1600,B1588-48))</f>
        <v/>
      </c>
      <c r="AQ1588" s="40">
        <f>AQ1587*(1-IF(B1587&gt;=in_marketplace_from,d_hz_two_wheeler*G1587,0))</f>
        <v/>
      </c>
      <c r="AR1588" s="46">
        <f>AQ1588*IF(B1588&gt;=in_marketplace_from,d_hz_two_wheeler*G1588,0)</f>
        <v/>
      </c>
      <c r="AS1588" s="14">
        <f>F1588*AR1588*in_two_wheeler_ticket*in_two_wheeler_comm*in_ins_partner_share+F1588*in_two_wheeler_ticket*in_two_wheeler_comm*in_ins_partner_share*(in_two_wheeler_renew^1*SUMIFS(AR1579:AR1600,B1579:B1600,B1588-12)+in_two_wheeler_renew^2*SUMIFS(AR1579:AR1600,B1579:B1600,B1588-24)+in_two_wheeler_renew^3*SUMIFS(AR1579:AR1600,B1579:B1600,B1588-36)+in_two_wheeler_renew^4*SUMIFS(AR1579:AR1600,B1579:B1600,B1588-48))</f>
        <v/>
      </c>
      <c r="AT1588" s="40">
        <f>AT1587*(1-IF(B1587&gt;=in_marketplace_from,d_hz_device*G1587,0))</f>
        <v/>
      </c>
      <c r="AU1588" s="14">
        <f>F1588*AT1588*IF(B1588&gt;=in_marketplace_from,d_hz_device*G1588,0)*in_device_ticket*in_device_comm*in_ins_partner_share</f>
        <v/>
      </c>
      <c r="AV1588" s="40">
        <f>AV1587*(1-IF(B1587&gt;=in_marketplace_from,d_hz_shop*G1587,0))</f>
        <v/>
      </c>
      <c r="AW1588" s="46">
        <f>AV1588*IF(B1588&gt;=in_marketplace_from,d_hz_shop*G1588,0)</f>
        <v/>
      </c>
      <c r="AX1588" s="14">
        <f>F1588*AW1588*in_shop_ticket*in_shop_comm*in_ins_partner_share+F1588*in_shop_ticket*in_shop_renew_comm*in_ins_partner_share*(in_shop_renew^1*SUMIFS(AW1579:AW1600,B1579:B1600,B1588-12)+in_shop_renew^2*SUMIFS(AW1579:AW1600,B1579:B1600,B1588-24)+in_shop_renew^3*SUMIFS(AW1579:AW1600,B1579:B1600,B1588-36)+in_shop_renew^4*SUMIFS(AW1579:AW1600,B1579:B1600,B1588-48))</f>
        <v/>
      </c>
      <c r="AY1588" s="40">
        <f>AY1587*(1-IF(B1587&gt;=in_marketplace_from,d_hz_sip*G1587,0))</f>
        <v/>
      </c>
      <c r="AZ1588" s="40">
        <f>AZ1587*d_rho_sip+AY1588*IF(B1588&gt;=in_marketplace_from,d_hz_sip*G1588,0)</f>
        <v/>
      </c>
      <c r="BA1588" s="40">
        <f>d_rho_sip*(BA1587+AZ1587)</f>
        <v/>
      </c>
      <c r="BB1588" s="14">
        <f>F1588*in_sip_ticket*(BA1588+0.5*AZ1588)*in_sip_comm/12</f>
        <v/>
      </c>
      <c r="BC1588" s="40">
        <f>BC1587*(1-IF(B1587&gt;=in_marketplace_from,d_hz_choti*G1587,0))</f>
        <v/>
      </c>
      <c r="BD1588" s="46">
        <f>BC1588*IF(B1588&gt;=in_marketplace_from,d_hz_choti*G1588,0)</f>
        <v/>
      </c>
      <c r="BE1588" s="14">
        <f>F1588*SUMIFS(BD1579:BD1600,B1579:B1600,B1588-in_choti_months)*in_choti_renew*in_choti_ticket</f>
        <v/>
      </c>
      <c r="BF1588" s="40">
        <f>BF1587*(1-IF(B1587&gt;=in_marketplace_from,d_hz_nps*G1587,0))</f>
        <v/>
      </c>
      <c r="BG1588" s="14">
        <f>F1588*BF1588*IF(B1588&gt;=in_marketplace_from,d_hz_nps*G1588,0)*in_nps_ticket*in_nps_comm</f>
        <v/>
      </c>
      <c r="BH1588" s="40">
        <f>BH1587*(1-IF(B1587&gt;=in_marketplace_from,d_hz_gold*G1587,0))</f>
        <v/>
      </c>
      <c r="BI1588" s="40">
        <f>BI1587*d_rho_gold+BH1588*IF(B1588&gt;=in_marketplace_from,d_hz_gold*G1588,0)</f>
        <v/>
      </c>
      <c r="BJ1588" s="14">
        <f>F1588*BI1588*in_gold_ticket*in_gold_comm</f>
        <v/>
      </c>
      <c r="BK1588" s="40">
        <f>BK1587*(1-IF(B1587&gt;=in_marketplace_from,d_hz_fd*G1587,0))</f>
        <v/>
      </c>
      <c r="BL1588" s="14">
        <f>F1588*BK1588*IF(B1588&gt;=in_marketplace_from,d_hz_fd*G1588,0)*in_fd_ticket*in_fd_comm</f>
        <v/>
      </c>
      <c r="BM1588" s="40">
        <f>BM1587*(1-IF(B1587&gt;=in_marketplace_from,d_hz_recharge*G1587,0))</f>
        <v/>
      </c>
      <c r="BN1588" s="40">
        <f>BN1587*d_rho_recharge+BM1588*IF(B1588&gt;=in_marketplace_from,d_hz_recharge*G1588,0)</f>
        <v/>
      </c>
      <c r="BO1588" s="14">
        <f>F1588*BN1588*in_recharge_ticket*in_recharge_comm/12</f>
        <v/>
      </c>
      <c r="BP1588" s="40">
        <f>BP1587*(1-IF(B1587&gt;=in_marketplace_from,d_hz_bills*G1587,0))</f>
        <v/>
      </c>
      <c r="BQ1588" s="40">
        <f>BQ1587*d_rho_bills+BP1588*IF(B1588&gt;=in_marketplace_from,d_hz_bills*G1588,0)</f>
        <v/>
      </c>
      <c r="BR1588" s="14">
        <f>F1588*BQ1588*in_bills_ticket*in_bills_comm/12</f>
        <v/>
      </c>
      <c r="BS1588" s="40">
        <f>BS1587*(1-IF(B1587&gt;=in_marketplace_from,d_hz_loan_gold*G1587,0))</f>
        <v/>
      </c>
      <c r="BT1588" s="14">
        <f>F1588*BS1588*IF(B1588&gt;=in_marketplace_from,d_hz_loan_gold*G1588,0)*in_loan_gold_ticket*in_loan_gold_comm</f>
        <v/>
      </c>
      <c r="BU1588" s="40">
        <f>BU1587*(1-IF(B1587&gt;=in_marketplace_from,d_hz_loan_cd*G1587,0))</f>
        <v/>
      </c>
      <c r="BV1588" s="14">
        <f>F1588*BU1588*IF(B1588&gt;=in_marketplace_from,d_hz_loan_cd*G1588,0)*in_loan_cd_ticket*in_loan_cd_comm</f>
        <v/>
      </c>
      <c r="BW1588" s="40">
        <f>BW1587*(1-IF(B1587&gt;=in_marketplace_from,d_hz_loan_vehicle*G1587,0))</f>
        <v/>
      </c>
      <c r="BX1588" s="14">
        <f>F1588*BW1588*IF(B1588&gt;=in_marketplace_from,d_hz_loan_vehicle*G1588,0)*in_loan_vehicle_ticket*in_loan_vehicle_comm</f>
        <v/>
      </c>
      <c r="BY1588" s="40">
        <f>BY1587*(1-IF(B1587&gt;=in_marketplace_from,d_hz_loan_home*G1587,0)*BZ1587)</f>
        <v/>
      </c>
      <c r="BZ1588" s="11">
        <f>MIN(in_approval_cap,in_loan_home_approval*INDEX('Age profile'!$O$2:$O$61,B1588)*(1+in_approval_growth)^(D1588-1))</f>
        <v/>
      </c>
      <c r="CA1588" s="14">
        <f>F1588*BY1588*IF(B1588&gt;=in_marketplace_from,d_hz_loan_home*G1588,0)*BZ1588*in_loan_home_ticket*in_loan_home_comm</f>
        <v/>
      </c>
      <c r="CB1588" s="40">
        <f>CB1587*(1-IF(B1587&gt;=in_marketplace_from,d_hz_loan_lap*G1587,0)*CC1587)</f>
        <v/>
      </c>
      <c r="CC1588" s="11">
        <f>MIN(in_approval_cap,in_loan_lap_approval*INDEX('Age profile'!$O$2:$O$61,B1588)*(1+in_approval_growth)^(D1588-1))</f>
        <v/>
      </c>
      <c r="CD1588" s="14">
        <f>F1588*CB1588*IF(B1588&gt;=in_marketplace_from,d_hz_loan_lap*G1588,0)*CC1588*in_loan_lap_ticket*in_loan_lap_comm</f>
        <v/>
      </c>
      <c r="CE1588" s="14">
        <f>AA1588+AB1588+AC1588+AD1588+AG1588+AJ1588+AM1588+AP1588+AS1588+AU1588+AX1588+BB1588+BE1588+BG1588+BJ1588+BL1588+BO1588+BR1588+BT1588+BV1588+BX1588+CA1588+CD1588</f>
        <v/>
      </c>
    </row>
    <row r="1589">
      <c r="A1589" s="39" t="n">
        <v>39</v>
      </c>
      <c r="B1589" s="39" t="n">
        <v>11</v>
      </c>
      <c r="C1589" s="39">
        <f>A1589+B1589-1</f>
        <v/>
      </c>
      <c r="D1589" s="39">
        <f>INT((C1589-1)/12)+1</f>
        <v/>
      </c>
      <c r="E1589" s="44">
        <f>INDEX(Monthly!$B$2:$B$61,A1589)</f>
        <v/>
      </c>
      <c r="F1589" s="44">
        <f>E1589*INDEX('Age profile'!$B$2:$B$61,B1589)</f>
        <v/>
      </c>
      <c r="G1589" s="45">
        <f>MIN(in_takeup_cap,INDEX('Age profile'!$N$2:$N$61,B1589)*(1+in_takeup_growth)^(D1589-1))</f>
        <v/>
      </c>
      <c r="H1589" s="11">
        <f>MIN(in_approval_cap,in_approved_first*INDEX('Age profile'!$O$2:$O$61,B1589)*(1+in_approval_growth)^(D1589-1))</f>
        <v/>
      </c>
      <c r="I1589" s="45">
        <f>G1589*MIN(in_takeup_cap,INDEX('Age profile'!$O$2:$O$61,B1589)*(1+in_approval_growth)^(D1589-1))</f>
        <v/>
      </c>
      <c r="J1589" s="40">
        <f>(J1588-L1588)*F1589/F1588</f>
        <v/>
      </c>
      <c r="K1589" s="40">
        <f>(K1588-M1588)*F1589/F1588+SUMIFS(O1579:O1588,B1579:B1588,B1589-1-d_T)*F1589</f>
        <v/>
      </c>
      <c r="L1589" s="40">
        <f>IF(B1589&gt;=in_marketplace_from,J1589*d_hz*G1589*in_eligible*H1589,0)</f>
        <v/>
      </c>
      <c r="M1589" s="40">
        <f>IF(B1589&gt;=in_marketplace_from,K1589*d_hz*G1589*in_eligible*in_approved_repeat,0)</f>
        <v/>
      </c>
      <c r="N1589" s="40">
        <f>L1589+M1589</f>
        <v/>
      </c>
      <c r="O1589" s="46">
        <f>N1589/F1589</f>
        <v/>
      </c>
      <c r="P1589" s="40">
        <f>F1589-J1589-K1589</f>
        <v/>
      </c>
      <c r="Q1589" s="40">
        <f>IF(B1589&gt;=in_marketplace_from,(J1589+K1589)*d_hz*G1589,0)</f>
        <v/>
      </c>
      <c r="R1589" s="40">
        <f>SUMIFS(N1579:N1600,B1579:B1600,"&gt;="&amp;(B1589-d_T),B1579:B1600,"&lt;="&amp;(B1589-1))</f>
        <v/>
      </c>
      <c r="S1589" s="46">
        <f>(1-d_u)*S1588+IF(d_T&gt;in_topup_lag,SUMIFS(O1579:O1600,B1579:B1600,B1589-in_topup_lag)-d_udrop*SUMIFS(O1579:O1600,B1579:B1600,B1589-d_T),0)</f>
        <v/>
      </c>
      <c r="T1589" s="40">
        <f>F1589*d_u*S1589</f>
        <v/>
      </c>
      <c r="U1589" s="9">
        <f>L1589*in_ticket+M1589*d_rep_ticket</f>
        <v/>
      </c>
      <c r="V1589" s="9">
        <f>U1589+T1589*d_topup_amt</f>
        <v/>
      </c>
      <c r="W1589" s="40">
        <f>N1589+T1589*d_topup_ratio</f>
        <v/>
      </c>
      <c r="X1589" s="40">
        <f>SUMIFS(W1579:W1600,B1579:B1600,B1589-in_dpd_lag)*d_cured</f>
        <v/>
      </c>
      <c r="Y1589" s="40">
        <f>SUMIFS(W1579:W1600,B1579:B1600,B1589-in_rec_lag)*d_recd</f>
        <v/>
      </c>
      <c r="Z1589" s="40">
        <f>IF(AND(B1589&gt;=in_marketplace_from,B1589&lt;in_marketplace_from+in_card_months),in_card_share/in_card_months*F1589*I1589,IF(AND(B1589&gt;=in_marketplace_from+in_card_months,B1589&lt;in_marketplace_from+2*in_card_months),in_card_share*d_card_rem/in_card_months*F1589*MIN(in_takeup_cap,(1+in_takeup_growth)^(D1589-1))*MIN(in_takeup_cap,(1+in_approval_growth)^(D1589-1)),0))</f>
        <v/>
      </c>
      <c r="AA1589" s="14">
        <f>V1589*in_fee*(1-in_taken_back)</f>
        <v/>
      </c>
      <c r="AB1589" s="14">
        <f>SUMIFS(W1579:W1600,B1579:B1600,B1589-in_dpd_lag)*d_dpd</f>
        <v/>
      </c>
      <c r="AC1589" s="14">
        <f>SUMIFS(W1579:W1600,B1579:B1600,B1589-in_rec_lag)*d_rec</f>
        <v/>
      </c>
      <c r="AD1589" s="14">
        <f>Z1589*in_card_fee</f>
        <v/>
      </c>
      <c r="AE1589" s="40">
        <f>AE1588*(1-IF(B1588&gt;=in_marketplace_from,d_hz_hlth_small*G1588,0))</f>
        <v/>
      </c>
      <c r="AF1589" s="46">
        <f>AE1589*IF(B1589&gt;=in_marketplace_from,d_hz_hlth_small*G1589,0)</f>
        <v/>
      </c>
      <c r="AG1589" s="14">
        <f>F1589*AF1589*in_hlth_small_ticket*in_hlth_small_comm*in_ins_partner_share+F1589*in_hlth_small_ticket*in_hlth_small_renew_comm*in_ins_partner_share*(in_hlth_small_renew^1*SUMIFS(AF1579:AF1600,B1579:B1600,B1589-12)+in_hlth_small_renew^2*SUMIFS(AF1579:AF1600,B1579:B1600,B1589-24)+in_hlth_small_renew^3*SUMIFS(AF1579:AF1600,B1579:B1600,B1589-36)+in_hlth_small_renew^4*SUMIFS(AF1579:AF1600,B1579:B1600,B1589-48))</f>
        <v/>
      </c>
      <c r="AH1589" s="40">
        <f>AH1588*(1-IF(B1588&gt;=in_marketplace_from,d_hz_hlth_family*G1588,0))</f>
        <v/>
      </c>
      <c r="AI1589" s="46">
        <f>AH1589*IF(B1589&gt;=in_marketplace_from,d_hz_hlth_family*G1589,0)</f>
        <v/>
      </c>
      <c r="AJ1589" s="14">
        <f>F1589*AI1589*in_hlth_family_ticket*in_hlth_family_comm*in_ins_partner_share+F1589*in_hlth_family_ticket*in_hlth_family_renew_comm*in_ins_partner_share*(in_hlth_family_renew^1*SUMIFS(AI1579:AI1600,B1579:B1600,B1589-12)+in_hlth_family_renew^2*SUMIFS(AI1579:AI1600,B1579:B1600,B1589-24)+in_hlth_family_renew^3*SUMIFS(AI1579:AI1600,B1579:B1600,B1589-36)+in_hlth_family_renew^4*SUMIFS(AI1579:AI1600,B1579:B1600,B1589-48))</f>
        <v/>
      </c>
      <c r="AK1589" s="40">
        <f>AK1588*(1-IF(B1588&gt;=in_marketplace_from,d_hz_life_term*G1588,0))</f>
        <v/>
      </c>
      <c r="AL1589" s="46">
        <f>AK1589*IF(B1589&gt;=in_marketplace_from,d_hz_life_term*G1589,0)</f>
        <v/>
      </c>
      <c r="AM1589" s="14">
        <f>F1589*AL1589*in_life_term_ticket*in_life_term_comm*in_ins_partner_share+F1589*in_life_term_ticket*in_life_term_renew_comm*in_ins_partner_share*(in_life_term_renew^1*SUMIFS(AL1579:AL1600,B1579:B1600,B1589-12)+in_life_term_renew^2*SUMIFS(AL1579:AL1600,B1579:B1600,B1589-24)+in_life_term_renew^3*SUMIFS(AL1579:AL1600,B1579:B1600,B1589-36)+in_life_term_renew^4*SUMIFS(AL1579:AL1600,B1579:B1600,B1589-48))</f>
        <v/>
      </c>
      <c r="AN1589" s="40">
        <f>AN1588*(1-IF(B1588&gt;=in_marketplace_from,d_hz_accident*G1588,0))</f>
        <v/>
      </c>
      <c r="AO1589" s="46">
        <f>AN1589*IF(B1589&gt;=in_marketplace_from,d_hz_accident*G1589,0)</f>
        <v/>
      </c>
      <c r="AP1589" s="14">
        <f>F1589*AO1589*in_accident_ticket*in_accident_comm*in_ins_partner_share+F1589*in_accident_ticket*in_accident_renew_comm*in_ins_partner_share*(in_accident_renew^1*SUMIFS(AO1579:AO1600,B1579:B1600,B1589-12)+in_accident_renew^2*SUMIFS(AO1579:AO1600,B1579:B1600,B1589-24)+in_accident_renew^3*SUMIFS(AO1579:AO1600,B1579:B1600,B1589-36)+in_accident_renew^4*SUMIFS(AO1579:AO1600,B1579:B1600,B1589-48))</f>
        <v/>
      </c>
      <c r="AQ1589" s="40">
        <f>AQ1588*(1-IF(B1588&gt;=in_marketplace_from,d_hz_two_wheeler*G1588,0))</f>
        <v/>
      </c>
      <c r="AR1589" s="46">
        <f>AQ1589*IF(B1589&gt;=in_marketplace_from,d_hz_two_wheeler*G1589,0)</f>
        <v/>
      </c>
      <c r="AS1589" s="14">
        <f>F1589*AR1589*in_two_wheeler_ticket*in_two_wheeler_comm*in_ins_partner_share+F1589*in_two_wheeler_ticket*in_two_wheeler_comm*in_ins_partner_share*(in_two_wheeler_renew^1*SUMIFS(AR1579:AR1600,B1579:B1600,B1589-12)+in_two_wheeler_renew^2*SUMIFS(AR1579:AR1600,B1579:B1600,B1589-24)+in_two_wheeler_renew^3*SUMIFS(AR1579:AR1600,B1579:B1600,B1589-36)+in_two_wheeler_renew^4*SUMIFS(AR1579:AR1600,B1579:B1600,B1589-48))</f>
        <v/>
      </c>
      <c r="AT1589" s="40">
        <f>AT1588*(1-IF(B1588&gt;=in_marketplace_from,d_hz_device*G1588,0))</f>
        <v/>
      </c>
      <c r="AU1589" s="14">
        <f>F1589*AT1589*IF(B1589&gt;=in_marketplace_from,d_hz_device*G1589,0)*in_device_ticket*in_device_comm*in_ins_partner_share</f>
        <v/>
      </c>
      <c r="AV1589" s="40">
        <f>AV1588*(1-IF(B1588&gt;=in_marketplace_from,d_hz_shop*G1588,0))</f>
        <v/>
      </c>
      <c r="AW1589" s="46">
        <f>AV1589*IF(B1589&gt;=in_marketplace_from,d_hz_shop*G1589,0)</f>
        <v/>
      </c>
      <c r="AX1589" s="14">
        <f>F1589*AW1589*in_shop_ticket*in_shop_comm*in_ins_partner_share+F1589*in_shop_ticket*in_shop_renew_comm*in_ins_partner_share*(in_shop_renew^1*SUMIFS(AW1579:AW1600,B1579:B1600,B1589-12)+in_shop_renew^2*SUMIFS(AW1579:AW1600,B1579:B1600,B1589-24)+in_shop_renew^3*SUMIFS(AW1579:AW1600,B1579:B1600,B1589-36)+in_shop_renew^4*SUMIFS(AW1579:AW1600,B1579:B1600,B1589-48))</f>
        <v/>
      </c>
      <c r="AY1589" s="40">
        <f>AY1588*(1-IF(B1588&gt;=in_marketplace_from,d_hz_sip*G1588,0))</f>
        <v/>
      </c>
      <c r="AZ1589" s="40">
        <f>AZ1588*d_rho_sip+AY1589*IF(B1589&gt;=in_marketplace_from,d_hz_sip*G1589,0)</f>
        <v/>
      </c>
      <c r="BA1589" s="40">
        <f>d_rho_sip*(BA1588+AZ1588)</f>
        <v/>
      </c>
      <c r="BB1589" s="14">
        <f>F1589*in_sip_ticket*(BA1589+0.5*AZ1589)*in_sip_comm/12</f>
        <v/>
      </c>
      <c r="BC1589" s="40">
        <f>BC1588*(1-IF(B1588&gt;=in_marketplace_from,d_hz_choti*G1588,0))</f>
        <v/>
      </c>
      <c r="BD1589" s="46">
        <f>BC1589*IF(B1589&gt;=in_marketplace_from,d_hz_choti*G1589,0)</f>
        <v/>
      </c>
      <c r="BE1589" s="14">
        <f>F1589*SUMIFS(BD1579:BD1600,B1579:B1600,B1589-in_choti_months)*in_choti_renew*in_choti_ticket</f>
        <v/>
      </c>
      <c r="BF1589" s="40">
        <f>BF1588*(1-IF(B1588&gt;=in_marketplace_from,d_hz_nps*G1588,0))</f>
        <v/>
      </c>
      <c r="BG1589" s="14">
        <f>F1589*BF1589*IF(B1589&gt;=in_marketplace_from,d_hz_nps*G1589,0)*in_nps_ticket*in_nps_comm</f>
        <v/>
      </c>
      <c r="BH1589" s="40">
        <f>BH1588*(1-IF(B1588&gt;=in_marketplace_from,d_hz_gold*G1588,0))</f>
        <v/>
      </c>
      <c r="BI1589" s="40">
        <f>BI1588*d_rho_gold+BH1589*IF(B1589&gt;=in_marketplace_from,d_hz_gold*G1589,0)</f>
        <v/>
      </c>
      <c r="BJ1589" s="14">
        <f>F1589*BI1589*in_gold_ticket*in_gold_comm</f>
        <v/>
      </c>
      <c r="BK1589" s="40">
        <f>BK1588*(1-IF(B1588&gt;=in_marketplace_from,d_hz_fd*G1588,0))</f>
        <v/>
      </c>
      <c r="BL1589" s="14">
        <f>F1589*BK1589*IF(B1589&gt;=in_marketplace_from,d_hz_fd*G1589,0)*in_fd_ticket*in_fd_comm</f>
        <v/>
      </c>
      <c r="BM1589" s="40">
        <f>BM1588*(1-IF(B1588&gt;=in_marketplace_from,d_hz_recharge*G1588,0))</f>
        <v/>
      </c>
      <c r="BN1589" s="40">
        <f>BN1588*d_rho_recharge+BM1589*IF(B1589&gt;=in_marketplace_from,d_hz_recharge*G1589,0)</f>
        <v/>
      </c>
      <c r="BO1589" s="14">
        <f>F1589*BN1589*in_recharge_ticket*in_recharge_comm/12</f>
        <v/>
      </c>
      <c r="BP1589" s="40">
        <f>BP1588*(1-IF(B1588&gt;=in_marketplace_from,d_hz_bills*G1588,0))</f>
        <v/>
      </c>
      <c r="BQ1589" s="40">
        <f>BQ1588*d_rho_bills+BP1589*IF(B1589&gt;=in_marketplace_from,d_hz_bills*G1589,0)</f>
        <v/>
      </c>
      <c r="BR1589" s="14">
        <f>F1589*BQ1589*in_bills_ticket*in_bills_comm/12</f>
        <v/>
      </c>
      <c r="BS1589" s="40">
        <f>BS1588*(1-IF(B1588&gt;=in_marketplace_from,d_hz_loan_gold*G1588,0))</f>
        <v/>
      </c>
      <c r="BT1589" s="14">
        <f>F1589*BS1589*IF(B1589&gt;=in_marketplace_from,d_hz_loan_gold*G1589,0)*in_loan_gold_ticket*in_loan_gold_comm</f>
        <v/>
      </c>
      <c r="BU1589" s="40">
        <f>BU1588*(1-IF(B1588&gt;=in_marketplace_from,d_hz_loan_cd*G1588,0))</f>
        <v/>
      </c>
      <c r="BV1589" s="14">
        <f>F1589*BU1589*IF(B1589&gt;=in_marketplace_from,d_hz_loan_cd*G1589,0)*in_loan_cd_ticket*in_loan_cd_comm</f>
        <v/>
      </c>
      <c r="BW1589" s="40">
        <f>BW1588*(1-IF(B1588&gt;=in_marketplace_from,d_hz_loan_vehicle*G1588,0))</f>
        <v/>
      </c>
      <c r="BX1589" s="14">
        <f>F1589*BW1589*IF(B1589&gt;=in_marketplace_from,d_hz_loan_vehicle*G1589,0)*in_loan_vehicle_ticket*in_loan_vehicle_comm</f>
        <v/>
      </c>
      <c r="BY1589" s="40">
        <f>BY1588*(1-IF(B1588&gt;=in_marketplace_from,d_hz_loan_home*G1588,0)*BZ1588)</f>
        <v/>
      </c>
      <c r="BZ1589" s="11">
        <f>MIN(in_approval_cap,in_loan_home_approval*INDEX('Age profile'!$O$2:$O$61,B1589)*(1+in_approval_growth)^(D1589-1))</f>
        <v/>
      </c>
      <c r="CA1589" s="14">
        <f>F1589*BY1589*IF(B1589&gt;=in_marketplace_from,d_hz_loan_home*G1589,0)*BZ1589*in_loan_home_ticket*in_loan_home_comm</f>
        <v/>
      </c>
      <c r="CB1589" s="40">
        <f>CB1588*(1-IF(B1588&gt;=in_marketplace_from,d_hz_loan_lap*G1588,0)*CC1588)</f>
        <v/>
      </c>
      <c r="CC1589" s="11">
        <f>MIN(in_approval_cap,in_loan_lap_approval*INDEX('Age profile'!$O$2:$O$61,B1589)*(1+in_approval_growth)^(D1589-1))</f>
        <v/>
      </c>
      <c r="CD1589" s="14">
        <f>F1589*CB1589*IF(B1589&gt;=in_marketplace_from,d_hz_loan_lap*G1589,0)*CC1589*in_loan_lap_ticket*in_loan_lap_comm</f>
        <v/>
      </c>
      <c r="CE1589" s="14">
        <f>AA1589+AB1589+AC1589+AD1589+AG1589+AJ1589+AM1589+AP1589+AS1589+AU1589+AX1589+BB1589+BE1589+BG1589+BJ1589+BL1589+BO1589+BR1589+BT1589+BV1589+BX1589+CA1589+CD1589</f>
        <v/>
      </c>
    </row>
    <row r="1590">
      <c r="A1590" s="39" t="n">
        <v>39</v>
      </c>
      <c r="B1590" s="39" t="n">
        <v>12</v>
      </c>
      <c r="C1590" s="39">
        <f>A1590+B1590-1</f>
        <v/>
      </c>
      <c r="D1590" s="39">
        <f>INT((C1590-1)/12)+1</f>
        <v/>
      </c>
      <c r="E1590" s="44">
        <f>INDEX(Monthly!$B$2:$B$61,A1590)</f>
        <v/>
      </c>
      <c r="F1590" s="44">
        <f>E1590*INDEX('Age profile'!$B$2:$B$61,B1590)</f>
        <v/>
      </c>
      <c r="G1590" s="45">
        <f>MIN(in_takeup_cap,INDEX('Age profile'!$N$2:$N$61,B1590)*(1+in_takeup_growth)^(D1590-1))</f>
        <v/>
      </c>
      <c r="H1590" s="11">
        <f>MIN(in_approval_cap,in_approved_first*INDEX('Age profile'!$O$2:$O$61,B1590)*(1+in_approval_growth)^(D1590-1))</f>
        <v/>
      </c>
      <c r="I1590" s="45">
        <f>G1590*MIN(in_takeup_cap,INDEX('Age profile'!$O$2:$O$61,B1590)*(1+in_approval_growth)^(D1590-1))</f>
        <v/>
      </c>
      <c r="J1590" s="40">
        <f>(J1589-L1589)*F1590/F1589</f>
        <v/>
      </c>
      <c r="K1590" s="40">
        <f>(K1589-M1589)*F1590/F1589+SUMIFS(O1579:O1589,B1579:B1589,B1590-1-d_T)*F1590</f>
        <v/>
      </c>
      <c r="L1590" s="40">
        <f>IF(B1590&gt;=in_marketplace_from,J1590*d_hz*G1590*in_eligible*H1590,0)</f>
        <v/>
      </c>
      <c r="M1590" s="40">
        <f>IF(B1590&gt;=in_marketplace_from,K1590*d_hz*G1590*in_eligible*in_approved_repeat,0)</f>
        <v/>
      </c>
      <c r="N1590" s="40">
        <f>L1590+M1590</f>
        <v/>
      </c>
      <c r="O1590" s="46">
        <f>N1590/F1590</f>
        <v/>
      </c>
      <c r="P1590" s="40">
        <f>F1590-J1590-K1590</f>
        <v/>
      </c>
      <c r="Q1590" s="40">
        <f>IF(B1590&gt;=in_marketplace_from,(J1590+K1590)*d_hz*G1590,0)</f>
        <v/>
      </c>
      <c r="R1590" s="40">
        <f>SUMIFS(N1579:N1600,B1579:B1600,"&gt;="&amp;(B1590-d_T),B1579:B1600,"&lt;="&amp;(B1590-1))</f>
        <v/>
      </c>
      <c r="S1590" s="46">
        <f>(1-d_u)*S1589+IF(d_T&gt;in_topup_lag,SUMIFS(O1579:O1600,B1579:B1600,B1590-in_topup_lag)-d_udrop*SUMIFS(O1579:O1600,B1579:B1600,B1590-d_T),0)</f>
        <v/>
      </c>
      <c r="T1590" s="40">
        <f>F1590*d_u*S1590</f>
        <v/>
      </c>
      <c r="U1590" s="9">
        <f>L1590*in_ticket+M1590*d_rep_ticket</f>
        <v/>
      </c>
      <c r="V1590" s="9">
        <f>U1590+T1590*d_topup_amt</f>
        <v/>
      </c>
      <c r="W1590" s="40">
        <f>N1590+T1590*d_topup_ratio</f>
        <v/>
      </c>
      <c r="X1590" s="40">
        <f>SUMIFS(W1579:W1600,B1579:B1600,B1590-in_dpd_lag)*d_cured</f>
        <v/>
      </c>
      <c r="Y1590" s="40">
        <f>SUMIFS(W1579:W1600,B1579:B1600,B1590-in_rec_lag)*d_recd</f>
        <v/>
      </c>
      <c r="Z1590" s="40">
        <f>IF(AND(B1590&gt;=in_marketplace_from,B1590&lt;in_marketplace_from+in_card_months),in_card_share/in_card_months*F1590*I1590,IF(AND(B1590&gt;=in_marketplace_from+in_card_months,B1590&lt;in_marketplace_from+2*in_card_months),in_card_share*d_card_rem/in_card_months*F1590*MIN(in_takeup_cap,(1+in_takeup_growth)^(D1590-1))*MIN(in_takeup_cap,(1+in_approval_growth)^(D1590-1)),0))</f>
        <v/>
      </c>
      <c r="AA1590" s="14">
        <f>V1590*in_fee*(1-in_taken_back)</f>
        <v/>
      </c>
      <c r="AB1590" s="14">
        <f>SUMIFS(W1579:W1600,B1579:B1600,B1590-in_dpd_lag)*d_dpd</f>
        <v/>
      </c>
      <c r="AC1590" s="14">
        <f>SUMIFS(W1579:W1600,B1579:B1600,B1590-in_rec_lag)*d_rec</f>
        <v/>
      </c>
      <c r="AD1590" s="14">
        <f>Z1590*in_card_fee</f>
        <v/>
      </c>
      <c r="AE1590" s="40">
        <f>AE1589*(1-IF(B1589&gt;=in_marketplace_from,d_hz_hlth_small*G1589,0))</f>
        <v/>
      </c>
      <c r="AF1590" s="46">
        <f>AE1590*IF(B1590&gt;=in_marketplace_from,d_hz_hlth_small*G1590,0)</f>
        <v/>
      </c>
      <c r="AG1590" s="14">
        <f>F1590*AF1590*in_hlth_small_ticket*in_hlth_small_comm*in_ins_partner_share+F1590*in_hlth_small_ticket*in_hlth_small_renew_comm*in_ins_partner_share*(in_hlth_small_renew^1*SUMIFS(AF1579:AF1600,B1579:B1600,B1590-12)+in_hlth_small_renew^2*SUMIFS(AF1579:AF1600,B1579:B1600,B1590-24)+in_hlth_small_renew^3*SUMIFS(AF1579:AF1600,B1579:B1600,B1590-36)+in_hlth_small_renew^4*SUMIFS(AF1579:AF1600,B1579:B1600,B1590-48))</f>
        <v/>
      </c>
      <c r="AH1590" s="40">
        <f>AH1589*(1-IF(B1589&gt;=in_marketplace_from,d_hz_hlth_family*G1589,0))</f>
        <v/>
      </c>
      <c r="AI1590" s="46">
        <f>AH1590*IF(B1590&gt;=in_marketplace_from,d_hz_hlth_family*G1590,0)</f>
        <v/>
      </c>
      <c r="AJ1590" s="14">
        <f>F1590*AI1590*in_hlth_family_ticket*in_hlth_family_comm*in_ins_partner_share+F1590*in_hlth_family_ticket*in_hlth_family_renew_comm*in_ins_partner_share*(in_hlth_family_renew^1*SUMIFS(AI1579:AI1600,B1579:B1600,B1590-12)+in_hlth_family_renew^2*SUMIFS(AI1579:AI1600,B1579:B1600,B1590-24)+in_hlth_family_renew^3*SUMIFS(AI1579:AI1600,B1579:B1600,B1590-36)+in_hlth_family_renew^4*SUMIFS(AI1579:AI1600,B1579:B1600,B1590-48))</f>
        <v/>
      </c>
      <c r="AK1590" s="40">
        <f>AK1589*(1-IF(B1589&gt;=in_marketplace_from,d_hz_life_term*G1589,0))</f>
        <v/>
      </c>
      <c r="AL1590" s="46">
        <f>AK1590*IF(B1590&gt;=in_marketplace_from,d_hz_life_term*G1590,0)</f>
        <v/>
      </c>
      <c r="AM1590" s="14">
        <f>F1590*AL1590*in_life_term_ticket*in_life_term_comm*in_ins_partner_share+F1590*in_life_term_ticket*in_life_term_renew_comm*in_ins_partner_share*(in_life_term_renew^1*SUMIFS(AL1579:AL1600,B1579:B1600,B1590-12)+in_life_term_renew^2*SUMIFS(AL1579:AL1600,B1579:B1600,B1590-24)+in_life_term_renew^3*SUMIFS(AL1579:AL1600,B1579:B1600,B1590-36)+in_life_term_renew^4*SUMIFS(AL1579:AL1600,B1579:B1600,B1590-48))</f>
        <v/>
      </c>
      <c r="AN1590" s="40">
        <f>AN1589*(1-IF(B1589&gt;=in_marketplace_from,d_hz_accident*G1589,0))</f>
        <v/>
      </c>
      <c r="AO1590" s="46">
        <f>AN1590*IF(B1590&gt;=in_marketplace_from,d_hz_accident*G1590,0)</f>
        <v/>
      </c>
      <c r="AP1590" s="14">
        <f>F1590*AO1590*in_accident_ticket*in_accident_comm*in_ins_partner_share+F1590*in_accident_ticket*in_accident_renew_comm*in_ins_partner_share*(in_accident_renew^1*SUMIFS(AO1579:AO1600,B1579:B1600,B1590-12)+in_accident_renew^2*SUMIFS(AO1579:AO1600,B1579:B1600,B1590-24)+in_accident_renew^3*SUMIFS(AO1579:AO1600,B1579:B1600,B1590-36)+in_accident_renew^4*SUMIFS(AO1579:AO1600,B1579:B1600,B1590-48))</f>
        <v/>
      </c>
      <c r="AQ1590" s="40">
        <f>AQ1589*(1-IF(B1589&gt;=in_marketplace_from,d_hz_two_wheeler*G1589,0))</f>
        <v/>
      </c>
      <c r="AR1590" s="46">
        <f>AQ1590*IF(B1590&gt;=in_marketplace_from,d_hz_two_wheeler*G1590,0)</f>
        <v/>
      </c>
      <c r="AS1590" s="14">
        <f>F1590*AR1590*in_two_wheeler_ticket*in_two_wheeler_comm*in_ins_partner_share+F1590*in_two_wheeler_ticket*in_two_wheeler_comm*in_ins_partner_share*(in_two_wheeler_renew^1*SUMIFS(AR1579:AR1600,B1579:B1600,B1590-12)+in_two_wheeler_renew^2*SUMIFS(AR1579:AR1600,B1579:B1600,B1590-24)+in_two_wheeler_renew^3*SUMIFS(AR1579:AR1600,B1579:B1600,B1590-36)+in_two_wheeler_renew^4*SUMIFS(AR1579:AR1600,B1579:B1600,B1590-48))</f>
        <v/>
      </c>
      <c r="AT1590" s="40">
        <f>AT1589*(1-IF(B1589&gt;=in_marketplace_from,d_hz_device*G1589,0))</f>
        <v/>
      </c>
      <c r="AU1590" s="14">
        <f>F1590*AT1590*IF(B1590&gt;=in_marketplace_from,d_hz_device*G1590,0)*in_device_ticket*in_device_comm*in_ins_partner_share</f>
        <v/>
      </c>
      <c r="AV1590" s="40">
        <f>AV1589*(1-IF(B1589&gt;=in_marketplace_from,d_hz_shop*G1589,0))</f>
        <v/>
      </c>
      <c r="AW1590" s="46">
        <f>AV1590*IF(B1590&gt;=in_marketplace_from,d_hz_shop*G1590,0)</f>
        <v/>
      </c>
      <c r="AX1590" s="14">
        <f>F1590*AW1590*in_shop_ticket*in_shop_comm*in_ins_partner_share+F1590*in_shop_ticket*in_shop_renew_comm*in_ins_partner_share*(in_shop_renew^1*SUMIFS(AW1579:AW1600,B1579:B1600,B1590-12)+in_shop_renew^2*SUMIFS(AW1579:AW1600,B1579:B1600,B1590-24)+in_shop_renew^3*SUMIFS(AW1579:AW1600,B1579:B1600,B1590-36)+in_shop_renew^4*SUMIFS(AW1579:AW1600,B1579:B1600,B1590-48))</f>
        <v/>
      </c>
      <c r="AY1590" s="40">
        <f>AY1589*(1-IF(B1589&gt;=in_marketplace_from,d_hz_sip*G1589,0))</f>
        <v/>
      </c>
      <c r="AZ1590" s="40">
        <f>AZ1589*d_rho_sip+AY1590*IF(B1590&gt;=in_marketplace_from,d_hz_sip*G1590,0)</f>
        <v/>
      </c>
      <c r="BA1590" s="40">
        <f>d_rho_sip*(BA1589+AZ1589)</f>
        <v/>
      </c>
      <c r="BB1590" s="14">
        <f>F1590*in_sip_ticket*(BA1590+0.5*AZ1590)*in_sip_comm/12</f>
        <v/>
      </c>
      <c r="BC1590" s="40">
        <f>BC1589*(1-IF(B1589&gt;=in_marketplace_from,d_hz_choti*G1589,0))</f>
        <v/>
      </c>
      <c r="BD1590" s="46">
        <f>BC1590*IF(B1590&gt;=in_marketplace_from,d_hz_choti*G1590,0)</f>
        <v/>
      </c>
      <c r="BE1590" s="14">
        <f>F1590*SUMIFS(BD1579:BD1600,B1579:B1600,B1590-in_choti_months)*in_choti_renew*in_choti_ticket</f>
        <v/>
      </c>
      <c r="BF1590" s="40">
        <f>BF1589*(1-IF(B1589&gt;=in_marketplace_from,d_hz_nps*G1589,0))</f>
        <v/>
      </c>
      <c r="BG1590" s="14">
        <f>F1590*BF1590*IF(B1590&gt;=in_marketplace_from,d_hz_nps*G1590,0)*in_nps_ticket*in_nps_comm</f>
        <v/>
      </c>
      <c r="BH1590" s="40">
        <f>BH1589*(1-IF(B1589&gt;=in_marketplace_from,d_hz_gold*G1589,0))</f>
        <v/>
      </c>
      <c r="BI1590" s="40">
        <f>BI1589*d_rho_gold+BH1590*IF(B1590&gt;=in_marketplace_from,d_hz_gold*G1590,0)</f>
        <v/>
      </c>
      <c r="BJ1590" s="14">
        <f>F1590*BI1590*in_gold_ticket*in_gold_comm</f>
        <v/>
      </c>
      <c r="BK1590" s="40">
        <f>BK1589*(1-IF(B1589&gt;=in_marketplace_from,d_hz_fd*G1589,0))</f>
        <v/>
      </c>
      <c r="BL1590" s="14">
        <f>F1590*BK1590*IF(B1590&gt;=in_marketplace_from,d_hz_fd*G1590,0)*in_fd_ticket*in_fd_comm</f>
        <v/>
      </c>
      <c r="BM1590" s="40">
        <f>BM1589*(1-IF(B1589&gt;=in_marketplace_from,d_hz_recharge*G1589,0))</f>
        <v/>
      </c>
      <c r="BN1590" s="40">
        <f>BN1589*d_rho_recharge+BM1590*IF(B1590&gt;=in_marketplace_from,d_hz_recharge*G1590,0)</f>
        <v/>
      </c>
      <c r="BO1590" s="14">
        <f>F1590*BN1590*in_recharge_ticket*in_recharge_comm/12</f>
        <v/>
      </c>
      <c r="BP1590" s="40">
        <f>BP1589*(1-IF(B1589&gt;=in_marketplace_from,d_hz_bills*G1589,0))</f>
        <v/>
      </c>
      <c r="BQ1590" s="40">
        <f>BQ1589*d_rho_bills+BP1590*IF(B1590&gt;=in_marketplace_from,d_hz_bills*G1590,0)</f>
        <v/>
      </c>
      <c r="BR1590" s="14">
        <f>F1590*BQ1590*in_bills_ticket*in_bills_comm/12</f>
        <v/>
      </c>
      <c r="BS1590" s="40">
        <f>BS1589*(1-IF(B1589&gt;=in_marketplace_from,d_hz_loan_gold*G1589,0))</f>
        <v/>
      </c>
      <c r="BT1590" s="14">
        <f>F1590*BS1590*IF(B1590&gt;=in_marketplace_from,d_hz_loan_gold*G1590,0)*in_loan_gold_ticket*in_loan_gold_comm</f>
        <v/>
      </c>
      <c r="BU1590" s="40">
        <f>BU1589*(1-IF(B1589&gt;=in_marketplace_from,d_hz_loan_cd*G1589,0))</f>
        <v/>
      </c>
      <c r="BV1590" s="14">
        <f>F1590*BU1590*IF(B1590&gt;=in_marketplace_from,d_hz_loan_cd*G1590,0)*in_loan_cd_ticket*in_loan_cd_comm</f>
        <v/>
      </c>
      <c r="BW1590" s="40">
        <f>BW1589*(1-IF(B1589&gt;=in_marketplace_from,d_hz_loan_vehicle*G1589,0))</f>
        <v/>
      </c>
      <c r="BX1590" s="14">
        <f>F1590*BW1590*IF(B1590&gt;=in_marketplace_from,d_hz_loan_vehicle*G1590,0)*in_loan_vehicle_ticket*in_loan_vehicle_comm</f>
        <v/>
      </c>
      <c r="BY1590" s="40">
        <f>BY1589*(1-IF(B1589&gt;=in_marketplace_from,d_hz_loan_home*G1589,0)*BZ1589)</f>
        <v/>
      </c>
      <c r="BZ1590" s="11">
        <f>MIN(in_approval_cap,in_loan_home_approval*INDEX('Age profile'!$O$2:$O$61,B1590)*(1+in_approval_growth)^(D1590-1))</f>
        <v/>
      </c>
      <c r="CA1590" s="14">
        <f>F1590*BY1590*IF(B1590&gt;=in_marketplace_from,d_hz_loan_home*G1590,0)*BZ1590*in_loan_home_ticket*in_loan_home_comm</f>
        <v/>
      </c>
      <c r="CB1590" s="40">
        <f>CB1589*(1-IF(B1589&gt;=in_marketplace_from,d_hz_loan_lap*G1589,0)*CC1589)</f>
        <v/>
      </c>
      <c r="CC1590" s="11">
        <f>MIN(in_approval_cap,in_loan_lap_approval*INDEX('Age profile'!$O$2:$O$61,B1590)*(1+in_approval_growth)^(D1590-1))</f>
        <v/>
      </c>
      <c r="CD1590" s="14">
        <f>F1590*CB1590*IF(B1590&gt;=in_marketplace_from,d_hz_loan_lap*G1590,0)*CC1590*in_loan_lap_ticket*in_loan_lap_comm</f>
        <v/>
      </c>
      <c r="CE1590" s="14">
        <f>AA1590+AB1590+AC1590+AD1590+AG1590+AJ1590+AM1590+AP1590+AS1590+AU1590+AX1590+BB1590+BE1590+BG1590+BJ1590+BL1590+BO1590+BR1590+BT1590+BV1590+BX1590+CA1590+CD1590</f>
        <v/>
      </c>
    </row>
    <row r="1591">
      <c r="A1591" s="39" t="n">
        <v>39</v>
      </c>
      <c r="B1591" s="39" t="n">
        <v>13</v>
      </c>
      <c r="C1591" s="39">
        <f>A1591+B1591-1</f>
        <v/>
      </c>
      <c r="D1591" s="39">
        <f>INT((C1591-1)/12)+1</f>
        <v/>
      </c>
      <c r="E1591" s="44">
        <f>INDEX(Monthly!$B$2:$B$61,A1591)</f>
        <v/>
      </c>
      <c r="F1591" s="44">
        <f>E1591*INDEX('Age profile'!$B$2:$B$61,B1591)</f>
        <v/>
      </c>
      <c r="G1591" s="45">
        <f>MIN(in_takeup_cap,INDEX('Age profile'!$N$2:$N$61,B1591)*(1+in_takeup_growth)^(D1591-1))</f>
        <v/>
      </c>
      <c r="H1591" s="11">
        <f>MIN(in_approval_cap,in_approved_first*INDEX('Age profile'!$O$2:$O$61,B1591)*(1+in_approval_growth)^(D1591-1))</f>
        <v/>
      </c>
      <c r="I1591" s="45">
        <f>G1591*MIN(in_takeup_cap,INDEX('Age profile'!$O$2:$O$61,B1591)*(1+in_approval_growth)^(D1591-1))</f>
        <v/>
      </c>
      <c r="J1591" s="40">
        <f>(J1590-L1590)*F1591/F1590</f>
        <v/>
      </c>
      <c r="K1591" s="40">
        <f>(K1590-M1590)*F1591/F1590+SUMIFS(O1579:O1590,B1579:B1590,B1591-1-d_T)*F1591</f>
        <v/>
      </c>
      <c r="L1591" s="40">
        <f>IF(B1591&gt;=in_marketplace_from,J1591*d_hz*G1591*in_eligible*H1591,0)</f>
        <v/>
      </c>
      <c r="M1591" s="40">
        <f>IF(B1591&gt;=in_marketplace_from,K1591*d_hz*G1591*in_eligible*in_approved_repeat,0)</f>
        <v/>
      </c>
      <c r="N1591" s="40">
        <f>L1591+M1591</f>
        <v/>
      </c>
      <c r="O1591" s="46">
        <f>N1591/F1591</f>
        <v/>
      </c>
      <c r="P1591" s="40">
        <f>F1591-J1591-K1591</f>
        <v/>
      </c>
      <c r="Q1591" s="40">
        <f>IF(B1591&gt;=in_marketplace_from,(J1591+K1591)*d_hz*G1591,0)</f>
        <v/>
      </c>
      <c r="R1591" s="40">
        <f>SUMIFS(N1579:N1600,B1579:B1600,"&gt;="&amp;(B1591-d_T),B1579:B1600,"&lt;="&amp;(B1591-1))</f>
        <v/>
      </c>
      <c r="S1591" s="46">
        <f>(1-d_u)*S1590+IF(d_T&gt;in_topup_lag,SUMIFS(O1579:O1600,B1579:B1600,B1591-in_topup_lag)-d_udrop*SUMIFS(O1579:O1600,B1579:B1600,B1591-d_T),0)</f>
        <v/>
      </c>
      <c r="T1591" s="40">
        <f>F1591*d_u*S1591</f>
        <v/>
      </c>
      <c r="U1591" s="9">
        <f>L1591*in_ticket+M1591*d_rep_ticket</f>
        <v/>
      </c>
      <c r="V1591" s="9">
        <f>U1591+T1591*d_topup_amt</f>
        <v/>
      </c>
      <c r="W1591" s="40">
        <f>N1591+T1591*d_topup_ratio</f>
        <v/>
      </c>
      <c r="X1591" s="40">
        <f>SUMIFS(W1579:W1600,B1579:B1600,B1591-in_dpd_lag)*d_cured</f>
        <v/>
      </c>
      <c r="Y1591" s="40">
        <f>SUMIFS(W1579:W1600,B1579:B1600,B1591-in_rec_lag)*d_recd</f>
        <v/>
      </c>
      <c r="Z1591" s="40">
        <f>IF(AND(B1591&gt;=in_marketplace_from,B1591&lt;in_marketplace_from+in_card_months),in_card_share/in_card_months*F1591*I1591,IF(AND(B1591&gt;=in_marketplace_from+in_card_months,B1591&lt;in_marketplace_from+2*in_card_months),in_card_share*d_card_rem/in_card_months*F1591*MIN(in_takeup_cap,(1+in_takeup_growth)^(D1591-1))*MIN(in_takeup_cap,(1+in_approval_growth)^(D1591-1)),0))</f>
        <v/>
      </c>
      <c r="AA1591" s="14">
        <f>V1591*in_fee*(1-in_taken_back)</f>
        <v/>
      </c>
      <c r="AB1591" s="14">
        <f>SUMIFS(W1579:W1600,B1579:B1600,B1591-in_dpd_lag)*d_dpd</f>
        <v/>
      </c>
      <c r="AC1591" s="14">
        <f>SUMIFS(W1579:W1600,B1579:B1600,B1591-in_rec_lag)*d_rec</f>
        <v/>
      </c>
      <c r="AD1591" s="14">
        <f>Z1591*in_card_fee</f>
        <v/>
      </c>
      <c r="AE1591" s="40">
        <f>AE1590*(1-IF(B1590&gt;=in_marketplace_from,d_hz_hlth_small*G1590,0))</f>
        <v/>
      </c>
      <c r="AF1591" s="46">
        <f>AE1591*IF(B1591&gt;=in_marketplace_from,d_hz_hlth_small*G1591,0)</f>
        <v/>
      </c>
      <c r="AG1591" s="14">
        <f>F1591*AF1591*in_hlth_small_ticket*in_hlth_small_comm*in_ins_partner_share+F1591*in_hlth_small_ticket*in_hlth_small_renew_comm*in_ins_partner_share*(in_hlth_small_renew^1*SUMIFS(AF1579:AF1600,B1579:B1600,B1591-12)+in_hlth_small_renew^2*SUMIFS(AF1579:AF1600,B1579:B1600,B1591-24)+in_hlth_small_renew^3*SUMIFS(AF1579:AF1600,B1579:B1600,B1591-36)+in_hlth_small_renew^4*SUMIFS(AF1579:AF1600,B1579:B1600,B1591-48))</f>
        <v/>
      </c>
      <c r="AH1591" s="40">
        <f>AH1590*(1-IF(B1590&gt;=in_marketplace_from,d_hz_hlth_family*G1590,0))</f>
        <v/>
      </c>
      <c r="AI1591" s="46">
        <f>AH1591*IF(B1591&gt;=in_marketplace_from,d_hz_hlth_family*G1591,0)</f>
        <v/>
      </c>
      <c r="AJ1591" s="14">
        <f>F1591*AI1591*in_hlth_family_ticket*in_hlth_family_comm*in_ins_partner_share+F1591*in_hlth_family_ticket*in_hlth_family_renew_comm*in_ins_partner_share*(in_hlth_family_renew^1*SUMIFS(AI1579:AI1600,B1579:B1600,B1591-12)+in_hlth_family_renew^2*SUMIFS(AI1579:AI1600,B1579:B1600,B1591-24)+in_hlth_family_renew^3*SUMIFS(AI1579:AI1600,B1579:B1600,B1591-36)+in_hlth_family_renew^4*SUMIFS(AI1579:AI1600,B1579:B1600,B1591-48))</f>
        <v/>
      </c>
      <c r="AK1591" s="40">
        <f>AK1590*(1-IF(B1590&gt;=in_marketplace_from,d_hz_life_term*G1590,0))</f>
        <v/>
      </c>
      <c r="AL1591" s="46">
        <f>AK1591*IF(B1591&gt;=in_marketplace_from,d_hz_life_term*G1591,0)</f>
        <v/>
      </c>
      <c r="AM1591" s="14">
        <f>F1591*AL1591*in_life_term_ticket*in_life_term_comm*in_ins_partner_share+F1591*in_life_term_ticket*in_life_term_renew_comm*in_ins_partner_share*(in_life_term_renew^1*SUMIFS(AL1579:AL1600,B1579:B1600,B1591-12)+in_life_term_renew^2*SUMIFS(AL1579:AL1600,B1579:B1600,B1591-24)+in_life_term_renew^3*SUMIFS(AL1579:AL1600,B1579:B1600,B1591-36)+in_life_term_renew^4*SUMIFS(AL1579:AL1600,B1579:B1600,B1591-48))</f>
        <v/>
      </c>
      <c r="AN1591" s="40">
        <f>AN1590*(1-IF(B1590&gt;=in_marketplace_from,d_hz_accident*G1590,0))</f>
        <v/>
      </c>
      <c r="AO1591" s="46">
        <f>AN1591*IF(B1591&gt;=in_marketplace_from,d_hz_accident*G1591,0)</f>
        <v/>
      </c>
      <c r="AP1591" s="14">
        <f>F1591*AO1591*in_accident_ticket*in_accident_comm*in_ins_partner_share+F1591*in_accident_ticket*in_accident_renew_comm*in_ins_partner_share*(in_accident_renew^1*SUMIFS(AO1579:AO1600,B1579:B1600,B1591-12)+in_accident_renew^2*SUMIFS(AO1579:AO1600,B1579:B1600,B1591-24)+in_accident_renew^3*SUMIFS(AO1579:AO1600,B1579:B1600,B1591-36)+in_accident_renew^4*SUMIFS(AO1579:AO1600,B1579:B1600,B1591-48))</f>
        <v/>
      </c>
      <c r="AQ1591" s="40">
        <f>AQ1590*(1-IF(B1590&gt;=in_marketplace_from,d_hz_two_wheeler*G1590,0))</f>
        <v/>
      </c>
      <c r="AR1591" s="46">
        <f>AQ1591*IF(B1591&gt;=in_marketplace_from,d_hz_two_wheeler*G1591,0)</f>
        <v/>
      </c>
      <c r="AS1591" s="14">
        <f>F1591*AR1591*in_two_wheeler_ticket*in_two_wheeler_comm*in_ins_partner_share+F1591*in_two_wheeler_ticket*in_two_wheeler_comm*in_ins_partner_share*(in_two_wheeler_renew^1*SUMIFS(AR1579:AR1600,B1579:B1600,B1591-12)+in_two_wheeler_renew^2*SUMIFS(AR1579:AR1600,B1579:B1600,B1591-24)+in_two_wheeler_renew^3*SUMIFS(AR1579:AR1600,B1579:B1600,B1591-36)+in_two_wheeler_renew^4*SUMIFS(AR1579:AR1600,B1579:B1600,B1591-48))</f>
        <v/>
      </c>
      <c r="AT1591" s="40">
        <f>AT1590*(1-IF(B1590&gt;=in_marketplace_from,d_hz_device*G1590,0))</f>
        <v/>
      </c>
      <c r="AU1591" s="14">
        <f>F1591*AT1591*IF(B1591&gt;=in_marketplace_from,d_hz_device*G1591,0)*in_device_ticket*in_device_comm*in_ins_partner_share</f>
        <v/>
      </c>
      <c r="AV1591" s="40">
        <f>AV1590*(1-IF(B1590&gt;=in_marketplace_from,d_hz_shop*G1590,0))</f>
        <v/>
      </c>
      <c r="AW1591" s="46">
        <f>AV1591*IF(B1591&gt;=in_marketplace_from,d_hz_shop*G1591,0)</f>
        <v/>
      </c>
      <c r="AX1591" s="14">
        <f>F1591*AW1591*in_shop_ticket*in_shop_comm*in_ins_partner_share+F1591*in_shop_ticket*in_shop_renew_comm*in_ins_partner_share*(in_shop_renew^1*SUMIFS(AW1579:AW1600,B1579:B1600,B1591-12)+in_shop_renew^2*SUMIFS(AW1579:AW1600,B1579:B1600,B1591-24)+in_shop_renew^3*SUMIFS(AW1579:AW1600,B1579:B1600,B1591-36)+in_shop_renew^4*SUMIFS(AW1579:AW1600,B1579:B1600,B1591-48))</f>
        <v/>
      </c>
      <c r="AY1591" s="40">
        <f>AY1590*(1-IF(B1590&gt;=in_marketplace_from,d_hz_sip*G1590,0))</f>
        <v/>
      </c>
      <c r="AZ1591" s="40">
        <f>AZ1590*d_rho_sip+AY1591*IF(B1591&gt;=in_marketplace_from,d_hz_sip*G1591,0)</f>
        <v/>
      </c>
      <c r="BA1591" s="40">
        <f>d_rho_sip*(BA1590+AZ1590)</f>
        <v/>
      </c>
      <c r="BB1591" s="14">
        <f>F1591*in_sip_ticket*(BA1591+0.5*AZ1591)*in_sip_comm/12</f>
        <v/>
      </c>
      <c r="BC1591" s="40">
        <f>BC1590*(1-IF(B1590&gt;=in_marketplace_from,d_hz_choti*G1590,0))</f>
        <v/>
      </c>
      <c r="BD1591" s="46">
        <f>BC1591*IF(B1591&gt;=in_marketplace_from,d_hz_choti*G1591,0)</f>
        <v/>
      </c>
      <c r="BE1591" s="14">
        <f>F1591*SUMIFS(BD1579:BD1600,B1579:B1600,B1591-in_choti_months)*in_choti_renew*in_choti_ticket</f>
        <v/>
      </c>
      <c r="BF1591" s="40">
        <f>BF1590*(1-IF(B1590&gt;=in_marketplace_from,d_hz_nps*G1590,0))</f>
        <v/>
      </c>
      <c r="BG1591" s="14">
        <f>F1591*BF1591*IF(B1591&gt;=in_marketplace_from,d_hz_nps*G1591,0)*in_nps_ticket*in_nps_comm</f>
        <v/>
      </c>
      <c r="BH1591" s="40">
        <f>BH1590*(1-IF(B1590&gt;=in_marketplace_from,d_hz_gold*G1590,0))</f>
        <v/>
      </c>
      <c r="BI1591" s="40">
        <f>BI1590*d_rho_gold+BH1591*IF(B1591&gt;=in_marketplace_from,d_hz_gold*G1591,0)</f>
        <v/>
      </c>
      <c r="BJ1591" s="14">
        <f>F1591*BI1591*in_gold_ticket*in_gold_comm</f>
        <v/>
      </c>
      <c r="BK1591" s="40">
        <f>BK1590*(1-IF(B1590&gt;=in_marketplace_from,d_hz_fd*G1590,0))</f>
        <v/>
      </c>
      <c r="BL1591" s="14">
        <f>F1591*BK1591*IF(B1591&gt;=in_marketplace_from,d_hz_fd*G1591,0)*in_fd_ticket*in_fd_comm</f>
        <v/>
      </c>
      <c r="BM1591" s="40">
        <f>BM1590*(1-IF(B1590&gt;=in_marketplace_from,d_hz_recharge*G1590,0))</f>
        <v/>
      </c>
      <c r="BN1591" s="40">
        <f>BN1590*d_rho_recharge+BM1591*IF(B1591&gt;=in_marketplace_from,d_hz_recharge*G1591,0)</f>
        <v/>
      </c>
      <c r="BO1591" s="14">
        <f>F1591*BN1591*in_recharge_ticket*in_recharge_comm/12</f>
        <v/>
      </c>
      <c r="BP1591" s="40">
        <f>BP1590*(1-IF(B1590&gt;=in_marketplace_from,d_hz_bills*G1590,0))</f>
        <v/>
      </c>
      <c r="BQ1591" s="40">
        <f>BQ1590*d_rho_bills+BP1591*IF(B1591&gt;=in_marketplace_from,d_hz_bills*G1591,0)</f>
        <v/>
      </c>
      <c r="BR1591" s="14">
        <f>F1591*BQ1591*in_bills_ticket*in_bills_comm/12</f>
        <v/>
      </c>
      <c r="BS1591" s="40">
        <f>BS1590*(1-IF(B1590&gt;=in_marketplace_from,d_hz_loan_gold*G1590,0))</f>
        <v/>
      </c>
      <c r="BT1591" s="14">
        <f>F1591*BS1591*IF(B1591&gt;=in_marketplace_from,d_hz_loan_gold*G1591,0)*in_loan_gold_ticket*in_loan_gold_comm</f>
        <v/>
      </c>
      <c r="BU1591" s="40">
        <f>BU1590*(1-IF(B1590&gt;=in_marketplace_from,d_hz_loan_cd*G1590,0))</f>
        <v/>
      </c>
      <c r="BV1591" s="14">
        <f>F1591*BU1591*IF(B1591&gt;=in_marketplace_from,d_hz_loan_cd*G1591,0)*in_loan_cd_ticket*in_loan_cd_comm</f>
        <v/>
      </c>
      <c r="BW1591" s="40">
        <f>BW1590*(1-IF(B1590&gt;=in_marketplace_from,d_hz_loan_vehicle*G1590,0))</f>
        <v/>
      </c>
      <c r="BX1591" s="14">
        <f>F1591*BW1591*IF(B1591&gt;=in_marketplace_from,d_hz_loan_vehicle*G1591,0)*in_loan_vehicle_ticket*in_loan_vehicle_comm</f>
        <v/>
      </c>
      <c r="BY1591" s="40">
        <f>BY1590*(1-IF(B1590&gt;=in_marketplace_from,d_hz_loan_home*G1590,0)*BZ1590)</f>
        <v/>
      </c>
      <c r="BZ1591" s="11">
        <f>MIN(in_approval_cap,in_loan_home_approval*INDEX('Age profile'!$O$2:$O$61,B1591)*(1+in_approval_growth)^(D1591-1))</f>
        <v/>
      </c>
      <c r="CA1591" s="14">
        <f>F1591*BY1591*IF(B1591&gt;=in_marketplace_from,d_hz_loan_home*G1591,0)*BZ1591*in_loan_home_ticket*in_loan_home_comm</f>
        <v/>
      </c>
      <c r="CB1591" s="40">
        <f>CB1590*(1-IF(B1590&gt;=in_marketplace_from,d_hz_loan_lap*G1590,0)*CC1590)</f>
        <v/>
      </c>
      <c r="CC1591" s="11">
        <f>MIN(in_approval_cap,in_loan_lap_approval*INDEX('Age profile'!$O$2:$O$61,B1591)*(1+in_approval_growth)^(D1591-1))</f>
        <v/>
      </c>
      <c r="CD1591" s="14">
        <f>F1591*CB1591*IF(B1591&gt;=in_marketplace_from,d_hz_loan_lap*G1591,0)*CC1591*in_loan_lap_ticket*in_loan_lap_comm</f>
        <v/>
      </c>
      <c r="CE1591" s="14">
        <f>AA1591+AB1591+AC1591+AD1591+AG1591+AJ1591+AM1591+AP1591+AS1591+AU1591+AX1591+BB1591+BE1591+BG1591+BJ1591+BL1591+BO1591+BR1591+BT1591+BV1591+BX1591+CA1591+CD1591</f>
        <v/>
      </c>
    </row>
    <row r="1592">
      <c r="A1592" s="39" t="n">
        <v>39</v>
      </c>
      <c r="B1592" s="39" t="n">
        <v>14</v>
      </c>
      <c r="C1592" s="39">
        <f>A1592+B1592-1</f>
        <v/>
      </c>
      <c r="D1592" s="39">
        <f>INT((C1592-1)/12)+1</f>
        <v/>
      </c>
      <c r="E1592" s="44">
        <f>INDEX(Monthly!$B$2:$B$61,A1592)</f>
        <v/>
      </c>
      <c r="F1592" s="44">
        <f>E1592*INDEX('Age profile'!$B$2:$B$61,B1592)</f>
        <v/>
      </c>
      <c r="G1592" s="45">
        <f>MIN(in_takeup_cap,INDEX('Age profile'!$N$2:$N$61,B1592)*(1+in_takeup_growth)^(D1592-1))</f>
        <v/>
      </c>
      <c r="H1592" s="11">
        <f>MIN(in_approval_cap,in_approved_first*INDEX('Age profile'!$O$2:$O$61,B1592)*(1+in_approval_growth)^(D1592-1))</f>
        <v/>
      </c>
      <c r="I1592" s="45">
        <f>G1592*MIN(in_takeup_cap,INDEX('Age profile'!$O$2:$O$61,B1592)*(1+in_approval_growth)^(D1592-1))</f>
        <v/>
      </c>
      <c r="J1592" s="40">
        <f>(J1591-L1591)*F1592/F1591</f>
        <v/>
      </c>
      <c r="K1592" s="40">
        <f>(K1591-M1591)*F1592/F1591+SUMIFS(O1579:O1591,B1579:B1591,B1592-1-d_T)*F1592</f>
        <v/>
      </c>
      <c r="L1592" s="40">
        <f>IF(B1592&gt;=in_marketplace_from,J1592*d_hz*G1592*in_eligible*H1592,0)</f>
        <v/>
      </c>
      <c r="M1592" s="40">
        <f>IF(B1592&gt;=in_marketplace_from,K1592*d_hz*G1592*in_eligible*in_approved_repeat,0)</f>
        <v/>
      </c>
      <c r="N1592" s="40">
        <f>L1592+M1592</f>
        <v/>
      </c>
      <c r="O1592" s="46">
        <f>N1592/F1592</f>
        <v/>
      </c>
      <c r="P1592" s="40">
        <f>F1592-J1592-K1592</f>
        <v/>
      </c>
      <c r="Q1592" s="40">
        <f>IF(B1592&gt;=in_marketplace_from,(J1592+K1592)*d_hz*G1592,0)</f>
        <v/>
      </c>
      <c r="R1592" s="40">
        <f>SUMIFS(N1579:N1600,B1579:B1600,"&gt;="&amp;(B1592-d_T),B1579:B1600,"&lt;="&amp;(B1592-1))</f>
        <v/>
      </c>
      <c r="S1592" s="46">
        <f>(1-d_u)*S1591+IF(d_T&gt;in_topup_lag,SUMIFS(O1579:O1600,B1579:B1600,B1592-in_topup_lag)-d_udrop*SUMIFS(O1579:O1600,B1579:B1600,B1592-d_T),0)</f>
        <v/>
      </c>
      <c r="T1592" s="40">
        <f>F1592*d_u*S1592</f>
        <v/>
      </c>
      <c r="U1592" s="9">
        <f>L1592*in_ticket+M1592*d_rep_ticket</f>
        <v/>
      </c>
      <c r="V1592" s="9">
        <f>U1592+T1592*d_topup_amt</f>
        <v/>
      </c>
      <c r="W1592" s="40">
        <f>N1592+T1592*d_topup_ratio</f>
        <v/>
      </c>
      <c r="X1592" s="40">
        <f>SUMIFS(W1579:W1600,B1579:B1600,B1592-in_dpd_lag)*d_cured</f>
        <v/>
      </c>
      <c r="Y1592" s="40">
        <f>SUMIFS(W1579:W1600,B1579:B1600,B1592-in_rec_lag)*d_recd</f>
        <v/>
      </c>
      <c r="Z1592" s="40">
        <f>IF(AND(B1592&gt;=in_marketplace_from,B1592&lt;in_marketplace_from+in_card_months),in_card_share/in_card_months*F1592*I1592,IF(AND(B1592&gt;=in_marketplace_from+in_card_months,B1592&lt;in_marketplace_from+2*in_card_months),in_card_share*d_card_rem/in_card_months*F1592*MIN(in_takeup_cap,(1+in_takeup_growth)^(D1592-1))*MIN(in_takeup_cap,(1+in_approval_growth)^(D1592-1)),0))</f>
        <v/>
      </c>
      <c r="AA1592" s="14">
        <f>V1592*in_fee*(1-in_taken_back)</f>
        <v/>
      </c>
      <c r="AB1592" s="14">
        <f>SUMIFS(W1579:W1600,B1579:B1600,B1592-in_dpd_lag)*d_dpd</f>
        <v/>
      </c>
      <c r="AC1592" s="14">
        <f>SUMIFS(W1579:W1600,B1579:B1600,B1592-in_rec_lag)*d_rec</f>
        <v/>
      </c>
      <c r="AD1592" s="14">
        <f>Z1592*in_card_fee</f>
        <v/>
      </c>
      <c r="AE1592" s="40">
        <f>AE1591*(1-IF(B1591&gt;=in_marketplace_from,d_hz_hlth_small*G1591,0))</f>
        <v/>
      </c>
      <c r="AF1592" s="46">
        <f>AE1592*IF(B1592&gt;=in_marketplace_from,d_hz_hlth_small*G1592,0)</f>
        <v/>
      </c>
      <c r="AG1592" s="14">
        <f>F1592*AF1592*in_hlth_small_ticket*in_hlth_small_comm*in_ins_partner_share+F1592*in_hlth_small_ticket*in_hlth_small_renew_comm*in_ins_partner_share*(in_hlth_small_renew^1*SUMIFS(AF1579:AF1600,B1579:B1600,B1592-12)+in_hlth_small_renew^2*SUMIFS(AF1579:AF1600,B1579:B1600,B1592-24)+in_hlth_small_renew^3*SUMIFS(AF1579:AF1600,B1579:B1600,B1592-36)+in_hlth_small_renew^4*SUMIFS(AF1579:AF1600,B1579:B1600,B1592-48))</f>
        <v/>
      </c>
      <c r="AH1592" s="40">
        <f>AH1591*(1-IF(B1591&gt;=in_marketplace_from,d_hz_hlth_family*G1591,0))</f>
        <v/>
      </c>
      <c r="AI1592" s="46">
        <f>AH1592*IF(B1592&gt;=in_marketplace_from,d_hz_hlth_family*G1592,0)</f>
        <v/>
      </c>
      <c r="AJ1592" s="14">
        <f>F1592*AI1592*in_hlth_family_ticket*in_hlth_family_comm*in_ins_partner_share+F1592*in_hlth_family_ticket*in_hlth_family_renew_comm*in_ins_partner_share*(in_hlth_family_renew^1*SUMIFS(AI1579:AI1600,B1579:B1600,B1592-12)+in_hlth_family_renew^2*SUMIFS(AI1579:AI1600,B1579:B1600,B1592-24)+in_hlth_family_renew^3*SUMIFS(AI1579:AI1600,B1579:B1600,B1592-36)+in_hlth_family_renew^4*SUMIFS(AI1579:AI1600,B1579:B1600,B1592-48))</f>
        <v/>
      </c>
      <c r="AK1592" s="40">
        <f>AK1591*(1-IF(B1591&gt;=in_marketplace_from,d_hz_life_term*G1591,0))</f>
        <v/>
      </c>
      <c r="AL1592" s="46">
        <f>AK1592*IF(B1592&gt;=in_marketplace_from,d_hz_life_term*G1592,0)</f>
        <v/>
      </c>
      <c r="AM1592" s="14">
        <f>F1592*AL1592*in_life_term_ticket*in_life_term_comm*in_ins_partner_share+F1592*in_life_term_ticket*in_life_term_renew_comm*in_ins_partner_share*(in_life_term_renew^1*SUMIFS(AL1579:AL1600,B1579:B1600,B1592-12)+in_life_term_renew^2*SUMIFS(AL1579:AL1600,B1579:B1600,B1592-24)+in_life_term_renew^3*SUMIFS(AL1579:AL1600,B1579:B1600,B1592-36)+in_life_term_renew^4*SUMIFS(AL1579:AL1600,B1579:B1600,B1592-48))</f>
        <v/>
      </c>
      <c r="AN1592" s="40">
        <f>AN1591*(1-IF(B1591&gt;=in_marketplace_from,d_hz_accident*G1591,0))</f>
        <v/>
      </c>
      <c r="AO1592" s="46">
        <f>AN1592*IF(B1592&gt;=in_marketplace_from,d_hz_accident*G1592,0)</f>
        <v/>
      </c>
      <c r="AP1592" s="14">
        <f>F1592*AO1592*in_accident_ticket*in_accident_comm*in_ins_partner_share+F1592*in_accident_ticket*in_accident_renew_comm*in_ins_partner_share*(in_accident_renew^1*SUMIFS(AO1579:AO1600,B1579:B1600,B1592-12)+in_accident_renew^2*SUMIFS(AO1579:AO1600,B1579:B1600,B1592-24)+in_accident_renew^3*SUMIFS(AO1579:AO1600,B1579:B1600,B1592-36)+in_accident_renew^4*SUMIFS(AO1579:AO1600,B1579:B1600,B1592-48))</f>
        <v/>
      </c>
      <c r="AQ1592" s="40">
        <f>AQ1591*(1-IF(B1591&gt;=in_marketplace_from,d_hz_two_wheeler*G1591,0))</f>
        <v/>
      </c>
      <c r="AR1592" s="46">
        <f>AQ1592*IF(B1592&gt;=in_marketplace_from,d_hz_two_wheeler*G1592,0)</f>
        <v/>
      </c>
      <c r="AS1592" s="14">
        <f>F1592*AR1592*in_two_wheeler_ticket*in_two_wheeler_comm*in_ins_partner_share+F1592*in_two_wheeler_ticket*in_two_wheeler_comm*in_ins_partner_share*(in_two_wheeler_renew^1*SUMIFS(AR1579:AR1600,B1579:B1600,B1592-12)+in_two_wheeler_renew^2*SUMIFS(AR1579:AR1600,B1579:B1600,B1592-24)+in_two_wheeler_renew^3*SUMIFS(AR1579:AR1600,B1579:B1600,B1592-36)+in_two_wheeler_renew^4*SUMIFS(AR1579:AR1600,B1579:B1600,B1592-48))</f>
        <v/>
      </c>
      <c r="AT1592" s="40">
        <f>AT1591*(1-IF(B1591&gt;=in_marketplace_from,d_hz_device*G1591,0))</f>
        <v/>
      </c>
      <c r="AU1592" s="14">
        <f>F1592*AT1592*IF(B1592&gt;=in_marketplace_from,d_hz_device*G1592,0)*in_device_ticket*in_device_comm*in_ins_partner_share</f>
        <v/>
      </c>
      <c r="AV1592" s="40">
        <f>AV1591*(1-IF(B1591&gt;=in_marketplace_from,d_hz_shop*G1591,0))</f>
        <v/>
      </c>
      <c r="AW1592" s="46">
        <f>AV1592*IF(B1592&gt;=in_marketplace_from,d_hz_shop*G1592,0)</f>
        <v/>
      </c>
      <c r="AX1592" s="14">
        <f>F1592*AW1592*in_shop_ticket*in_shop_comm*in_ins_partner_share+F1592*in_shop_ticket*in_shop_renew_comm*in_ins_partner_share*(in_shop_renew^1*SUMIFS(AW1579:AW1600,B1579:B1600,B1592-12)+in_shop_renew^2*SUMIFS(AW1579:AW1600,B1579:B1600,B1592-24)+in_shop_renew^3*SUMIFS(AW1579:AW1600,B1579:B1600,B1592-36)+in_shop_renew^4*SUMIFS(AW1579:AW1600,B1579:B1600,B1592-48))</f>
        <v/>
      </c>
      <c r="AY1592" s="40">
        <f>AY1591*(1-IF(B1591&gt;=in_marketplace_from,d_hz_sip*G1591,0))</f>
        <v/>
      </c>
      <c r="AZ1592" s="40">
        <f>AZ1591*d_rho_sip+AY1592*IF(B1592&gt;=in_marketplace_from,d_hz_sip*G1592,0)</f>
        <v/>
      </c>
      <c r="BA1592" s="40">
        <f>d_rho_sip*(BA1591+AZ1591)</f>
        <v/>
      </c>
      <c r="BB1592" s="14">
        <f>F1592*in_sip_ticket*(BA1592+0.5*AZ1592)*in_sip_comm/12</f>
        <v/>
      </c>
      <c r="BC1592" s="40">
        <f>BC1591*(1-IF(B1591&gt;=in_marketplace_from,d_hz_choti*G1591,0))</f>
        <v/>
      </c>
      <c r="BD1592" s="46">
        <f>BC1592*IF(B1592&gt;=in_marketplace_from,d_hz_choti*G1592,0)</f>
        <v/>
      </c>
      <c r="BE1592" s="14">
        <f>F1592*SUMIFS(BD1579:BD1600,B1579:B1600,B1592-in_choti_months)*in_choti_renew*in_choti_ticket</f>
        <v/>
      </c>
      <c r="BF1592" s="40">
        <f>BF1591*(1-IF(B1591&gt;=in_marketplace_from,d_hz_nps*G1591,0))</f>
        <v/>
      </c>
      <c r="BG1592" s="14">
        <f>F1592*BF1592*IF(B1592&gt;=in_marketplace_from,d_hz_nps*G1592,0)*in_nps_ticket*in_nps_comm</f>
        <v/>
      </c>
      <c r="BH1592" s="40">
        <f>BH1591*(1-IF(B1591&gt;=in_marketplace_from,d_hz_gold*G1591,0))</f>
        <v/>
      </c>
      <c r="BI1592" s="40">
        <f>BI1591*d_rho_gold+BH1592*IF(B1592&gt;=in_marketplace_from,d_hz_gold*G1592,0)</f>
        <v/>
      </c>
      <c r="BJ1592" s="14">
        <f>F1592*BI1592*in_gold_ticket*in_gold_comm</f>
        <v/>
      </c>
      <c r="BK1592" s="40">
        <f>BK1591*(1-IF(B1591&gt;=in_marketplace_from,d_hz_fd*G1591,0))</f>
        <v/>
      </c>
      <c r="BL1592" s="14">
        <f>F1592*BK1592*IF(B1592&gt;=in_marketplace_from,d_hz_fd*G1592,0)*in_fd_ticket*in_fd_comm</f>
        <v/>
      </c>
      <c r="BM1592" s="40">
        <f>BM1591*(1-IF(B1591&gt;=in_marketplace_from,d_hz_recharge*G1591,0))</f>
        <v/>
      </c>
      <c r="BN1592" s="40">
        <f>BN1591*d_rho_recharge+BM1592*IF(B1592&gt;=in_marketplace_from,d_hz_recharge*G1592,0)</f>
        <v/>
      </c>
      <c r="BO1592" s="14">
        <f>F1592*BN1592*in_recharge_ticket*in_recharge_comm/12</f>
        <v/>
      </c>
      <c r="BP1592" s="40">
        <f>BP1591*(1-IF(B1591&gt;=in_marketplace_from,d_hz_bills*G1591,0))</f>
        <v/>
      </c>
      <c r="BQ1592" s="40">
        <f>BQ1591*d_rho_bills+BP1592*IF(B1592&gt;=in_marketplace_from,d_hz_bills*G1592,0)</f>
        <v/>
      </c>
      <c r="BR1592" s="14">
        <f>F1592*BQ1592*in_bills_ticket*in_bills_comm/12</f>
        <v/>
      </c>
      <c r="BS1592" s="40">
        <f>BS1591*(1-IF(B1591&gt;=in_marketplace_from,d_hz_loan_gold*G1591,0))</f>
        <v/>
      </c>
      <c r="BT1592" s="14">
        <f>F1592*BS1592*IF(B1592&gt;=in_marketplace_from,d_hz_loan_gold*G1592,0)*in_loan_gold_ticket*in_loan_gold_comm</f>
        <v/>
      </c>
      <c r="BU1592" s="40">
        <f>BU1591*(1-IF(B1591&gt;=in_marketplace_from,d_hz_loan_cd*G1591,0))</f>
        <v/>
      </c>
      <c r="BV1592" s="14">
        <f>F1592*BU1592*IF(B1592&gt;=in_marketplace_from,d_hz_loan_cd*G1592,0)*in_loan_cd_ticket*in_loan_cd_comm</f>
        <v/>
      </c>
      <c r="BW1592" s="40">
        <f>BW1591*(1-IF(B1591&gt;=in_marketplace_from,d_hz_loan_vehicle*G1591,0))</f>
        <v/>
      </c>
      <c r="BX1592" s="14">
        <f>F1592*BW1592*IF(B1592&gt;=in_marketplace_from,d_hz_loan_vehicle*G1592,0)*in_loan_vehicle_ticket*in_loan_vehicle_comm</f>
        <v/>
      </c>
      <c r="BY1592" s="40">
        <f>BY1591*(1-IF(B1591&gt;=in_marketplace_from,d_hz_loan_home*G1591,0)*BZ1591)</f>
        <v/>
      </c>
      <c r="BZ1592" s="11">
        <f>MIN(in_approval_cap,in_loan_home_approval*INDEX('Age profile'!$O$2:$O$61,B1592)*(1+in_approval_growth)^(D1592-1))</f>
        <v/>
      </c>
      <c r="CA1592" s="14">
        <f>F1592*BY1592*IF(B1592&gt;=in_marketplace_from,d_hz_loan_home*G1592,0)*BZ1592*in_loan_home_ticket*in_loan_home_comm</f>
        <v/>
      </c>
      <c r="CB1592" s="40">
        <f>CB1591*(1-IF(B1591&gt;=in_marketplace_from,d_hz_loan_lap*G1591,0)*CC1591)</f>
        <v/>
      </c>
      <c r="CC1592" s="11">
        <f>MIN(in_approval_cap,in_loan_lap_approval*INDEX('Age profile'!$O$2:$O$61,B1592)*(1+in_approval_growth)^(D1592-1))</f>
        <v/>
      </c>
      <c r="CD1592" s="14">
        <f>F1592*CB1592*IF(B1592&gt;=in_marketplace_from,d_hz_loan_lap*G1592,0)*CC1592*in_loan_lap_ticket*in_loan_lap_comm</f>
        <v/>
      </c>
      <c r="CE1592" s="14">
        <f>AA1592+AB1592+AC1592+AD1592+AG1592+AJ1592+AM1592+AP1592+AS1592+AU1592+AX1592+BB1592+BE1592+BG1592+BJ1592+BL1592+BO1592+BR1592+BT1592+BV1592+BX1592+CA1592+CD1592</f>
        <v/>
      </c>
    </row>
    <row r="1593">
      <c r="A1593" s="39" t="n">
        <v>39</v>
      </c>
      <c r="B1593" s="39" t="n">
        <v>15</v>
      </c>
      <c r="C1593" s="39">
        <f>A1593+B1593-1</f>
        <v/>
      </c>
      <c r="D1593" s="39">
        <f>INT((C1593-1)/12)+1</f>
        <v/>
      </c>
      <c r="E1593" s="44">
        <f>INDEX(Monthly!$B$2:$B$61,A1593)</f>
        <v/>
      </c>
      <c r="F1593" s="44">
        <f>E1593*INDEX('Age profile'!$B$2:$B$61,B1593)</f>
        <v/>
      </c>
      <c r="G1593" s="45">
        <f>MIN(in_takeup_cap,INDEX('Age profile'!$N$2:$N$61,B1593)*(1+in_takeup_growth)^(D1593-1))</f>
        <v/>
      </c>
      <c r="H1593" s="11">
        <f>MIN(in_approval_cap,in_approved_first*INDEX('Age profile'!$O$2:$O$61,B1593)*(1+in_approval_growth)^(D1593-1))</f>
        <v/>
      </c>
      <c r="I1593" s="45">
        <f>G1593*MIN(in_takeup_cap,INDEX('Age profile'!$O$2:$O$61,B1593)*(1+in_approval_growth)^(D1593-1))</f>
        <v/>
      </c>
      <c r="J1593" s="40">
        <f>(J1592-L1592)*F1593/F1592</f>
        <v/>
      </c>
      <c r="K1593" s="40">
        <f>(K1592-M1592)*F1593/F1592+SUMIFS(O1579:O1592,B1579:B1592,B1593-1-d_T)*F1593</f>
        <v/>
      </c>
      <c r="L1593" s="40">
        <f>IF(B1593&gt;=in_marketplace_from,J1593*d_hz*G1593*in_eligible*H1593,0)</f>
        <v/>
      </c>
      <c r="M1593" s="40">
        <f>IF(B1593&gt;=in_marketplace_from,K1593*d_hz*G1593*in_eligible*in_approved_repeat,0)</f>
        <v/>
      </c>
      <c r="N1593" s="40">
        <f>L1593+M1593</f>
        <v/>
      </c>
      <c r="O1593" s="46">
        <f>N1593/F1593</f>
        <v/>
      </c>
      <c r="P1593" s="40">
        <f>F1593-J1593-K1593</f>
        <v/>
      </c>
      <c r="Q1593" s="40">
        <f>IF(B1593&gt;=in_marketplace_from,(J1593+K1593)*d_hz*G1593,0)</f>
        <v/>
      </c>
      <c r="R1593" s="40">
        <f>SUMIFS(N1579:N1600,B1579:B1600,"&gt;="&amp;(B1593-d_T),B1579:B1600,"&lt;="&amp;(B1593-1))</f>
        <v/>
      </c>
      <c r="S1593" s="46">
        <f>(1-d_u)*S1592+IF(d_T&gt;in_topup_lag,SUMIFS(O1579:O1600,B1579:B1600,B1593-in_topup_lag)-d_udrop*SUMIFS(O1579:O1600,B1579:B1600,B1593-d_T),0)</f>
        <v/>
      </c>
      <c r="T1593" s="40">
        <f>F1593*d_u*S1593</f>
        <v/>
      </c>
      <c r="U1593" s="9">
        <f>L1593*in_ticket+M1593*d_rep_ticket</f>
        <v/>
      </c>
      <c r="V1593" s="9">
        <f>U1593+T1593*d_topup_amt</f>
        <v/>
      </c>
      <c r="W1593" s="40">
        <f>N1593+T1593*d_topup_ratio</f>
        <v/>
      </c>
      <c r="X1593" s="40">
        <f>SUMIFS(W1579:W1600,B1579:B1600,B1593-in_dpd_lag)*d_cured</f>
        <v/>
      </c>
      <c r="Y1593" s="40">
        <f>SUMIFS(W1579:W1600,B1579:B1600,B1593-in_rec_lag)*d_recd</f>
        <v/>
      </c>
      <c r="Z1593" s="40">
        <f>IF(AND(B1593&gt;=in_marketplace_from,B1593&lt;in_marketplace_from+in_card_months),in_card_share/in_card_months*F1593*I1593,IF(AND(B1593&gt;=in_marketplace_from+in_card_months,B1593&lt;in_marketplace_from+2*in_card_months),in_card_share*d_card_rem/in_card_months*F1593*MIN(in_takeup_cap,(1+in_takeup_growth)^(D1593-1))*MIN(in_takeup_cap,(1+in_approval_growth)^(D1593-1)),0))</f>
        <v/>
      </c>
      <c r="AA1593" s="14">
        <f>V1593*in_fee*(1-in_taken_back)</f>
        <v/>
      </c>
      <c r="AB1593" s="14">
        <f>SUMIFS(W1579:W1600,B1579:B1600,B1593-in_dpd_lag)*d_dpd</f>
        <v/>
      </c>
      <c r="AC1593" s="14">
        <f>SUMIFS(W1579:W1600,B1579:B1600,B1593-in_rec_lag)*d_rec</f>
        <v/>
      </c>
      <c r="AD1593" s="14">
        <f>Z1593*in_card_fee</f>
        <v/>
      </c>
      <c r="AE1593" s="40">
        <f>AE1592*(1-IF(B1592&gt;=in_marketplace_from,d_hz_hlth_small*G1592,0))</f>
        <v/>
      </c>
      <c r="AF1593" s="46">
        <f>AE1593*IF(B1593&gt;=in_marketplace_from,d_hz_hlth_small*G1593,0)</f>
        <v/>
      </c>
      <c r="AG1593" s="14">
        <f>F1593*AF1593*in_hlth_small_ticket*in_hlth_small_comm*in_ins_partner_share+F1593*in_hlth_small_ticket*in_hlth_small_renew_comm*in_ins_partner_share*(in_hlth_small_renew^1*SUMIFS(AF1579:AF1600,B1579:B1600,B1593-12)+in_hlth_small_renew^2*SUMIFS(AF1579:AF1600,B1579:B1600,B1593-24)+in_hlth_small_renew^3*SUMIFS(AF1579:AF1600,B1579:B1600,B1593-36)+in_hlth_small_renew^4*SUMIFS(AF1579:AF1600,B1579:B1600,B1593-48))</f>
        <v/>
      </c>
      <c r="AH1593" s="40">
        <f>AH1592*(1-IF(B1592&gt;=in_marketplace_from,d_hz_hlth_family*G1592,0))</f>
        <v/>
      </c>
      <c r="AI1593" s="46">
        <f>AH1593*IF(B1593&gt;=in_marketplace_from,d_hz_hlth_family*G1593,0)</f>
        <v/>
      </c>
      <c r="AJ1593" s="14">
        <f>F1593*AI1593*in_hlth_family_ticket*in_hlth_family_comm*in_ins_partner_share+F1593*in_hlth_family_ticket*in_hlth_family_renew_comm*in_ins_partner_share*(in_hlth_family_renew^1*SUMIFS(AI1579:AI1600,B1579:B1600,B1593-12)+in_hlth_family_renew^2*SUMIFS(AI1579:AI1600,B1579:B1600,B1593-24)+in_hlth_family_renew^3*SUMIFS(AI1579:AI1600,B1579:B1600,B1593-36)+in_hlth_family_renew^4*SUMIFS(AI1579:AI1600,B1579:B1600,B1593-48))</f>
        <v/>
      </c>
      <c r="AK1593" s="40">
        <f>AK1592*(1-IF(B1592&gt;=in_marketplace_from,d_hz_life_term*G1592,0))</f>
        <v/>
      </c>
      <c r="AL1593" s="46">
        <f>AK1593*IF(B1593&gt;=in_marketplace_from,d_hz_life_term*G1593,0)</f>
        <v/>
      </c>
      <c r="AM1593" s="14">
        <f>F1593*AL1593*in_life_term_ticket*in_life_term_comm*in_ins_partner_share+F1593*in_life_term_ticket*in_life_term_renew_comm*in_ins_partner_share*(in_life_term_renew^1*SUMIFS(AL1579:AL1600,B1579:B1600,B1593-12)+in_life_term_renew^2*SUMIFS(AL1579:AL1600,B1579:B1600,B1593-24)+in_life_term_renew^3*SUMIFS(AL1579:AL1600,B1579:B1600,B1593-36)+in_life_term_renew^4*SUMIFS(AL1579:AL1600,B1579:B1600,B1593-48))</f>
        <v/>
      </c>
      <c r="AN1593" s="40">
        <f>AN1592*(1-IF(B1592&gt;=in_marketplace_from,d_hz_accident*G1592,0))</f>
        <v/>
      </c>
      <c r="AO1593" s="46">
        <f>AN1593*IF(B1593&gt;=in_marketplace_from,d_hz_accident*G1593,0)</f>
        <v/>
      </c>
      <c r="AP1593" s="14">
        <f>F1593*AO1593*in_accident_ticket*in_accident_comm*in_ins_partner_share+F1593*in_accident_ticket*in_accident_renew_comm*in_ins_partner_share*(in_accident_renew^1*SUMIFS(AO1579:AO1600,B1579:B1600,B1593-12)+in_accident_renew^2*SUMIFS(AO1579:AO1600,B1579:B1600,B1593-24)+in_accident_renew^3*SUMIFS(AO1579:AO1600,B1579:B1600,B1593-36)+in_accident_renew^4*SUMIFS(AO1579:AO1600,B1579:B1600,B1593-48))</f>
        <v/>
      </c>
      <c r="AQ1593" s="40">
        <f>AQ1592*(1-IF(B1592&gt;=in_marketplace_from,d_hz_two_wheeler*G1592,0))</f>
        <v/>
      </c>
      <c r="AR1593" s="46">
        <f>AQ1593*IF(B1593&gt;=in_marketplace_from,d_hz_two_wheeler*G1593,0)</f>
        <v/>
      </c>
      <c r="AS1593" s="14">
        <f>F1593*AR1593*in_two_wheeler_ticket*in_two_wheeler_comm*in_ins_partner_share+F1593*in_two_wheeler_ticket*in_two_wheeler_comm*in_ins_partner_share*(in_two_wheeler_renew^1*SUMIFS(AR1579:AR1600,B1579:B1600,B1593-12)+in_two_wheeler_renew^2*SUMIFS(AR1579:AR1600,B1579:B1600,B1593-24)+in_two_wheeler_renew^3*SUMIFS(AR1579:AR1600,B1579:B1600,B1593-36)+in_two_wheeler_renew^4*SUMIFS(AR1579:AR1600,B1579:B1600,B1593-48))</f>
        <v/>
      </c>
      <c r="AT1593" s="40">
        <f>AT1592*(1-IF(B1592&gt;=in_marketplace_from,d_hz_device*G1592,0))</f>
        <v/>
      </c>
      <c r="AU1593" s="14">
        <f>F1593*AT1593*IF(B1593&gt;=in_marketplace_from,d_hz_device*G1593,0)*in_device_ticket*in_device_comm*in_ins_partner_share</f>
        <v/>
      </c>
      <c r="AV1593" s="40">
        <f>AV1592*(1-IF(B1592&gt;=in_marketplace_from,d_hz_shop*G1592,0))</f>
        <v/>
      </c>
      <c r="AW1593" s="46">
        <f>AV1593*IF(B1593&gt;=in_marketplace_from,d_hz_shop*G1593,0)</f>
        <v/>
      </c>
      <c r="AX1593" s="14">
        <f>F1593*AW1593*in_shop_ticket*in_shop_comm*in_ins_partner_share+F1593*in_shop_ticket*in_shop_renew_comm*in_ins_partner_share*(in_shop_renew^1*SUMIFS(AW1579:AW1600,B1579:B1600,B1593-12)+in_shop_renew^2*SUMIFS(AW1579:AW1600,B1579:B1600,B1593-24)+in_shop_renew^3*SUMIFS(AW1579:AW1600,B1579:B1600,B1593-36)+in_shop_renew^4*SUMIFS(AW1579:AW1600,B1579:B1600,B1593-48))</f>
        <v/>
      </c>
      <c r="AY1593" s="40">
        <f>AY1592*(1-IF(B1592&gt;=in_marketplace_from,d_hz_sip*G1592,0))</f>
        <v/>
      </c>
      <c r="AZ1593" s="40">
        <f>AZ1592*d_rho_sip+AY1593*IF(B1593&gt;=in_marketplace_from,d_hz_sip*G1593,0)</f>
        <v/>
      </c>
      <c r="BA1593" s="40">
        <f>d_rho_sip*(BA1592+AZ1592)</f>
        <v/>
      </c>
      <c r="BB1593" s="14">
        <f>F1593*in_sip_ticket*(BA1593+0.5*AZ1593)*in_sip_comm/12</f>
        <v/>
      </c>
      <c r="BC1593" s="40">
        <f>BC1592*(1-IF(B1592&gt;=in_marketplace_from,d_hz_choti*G1592,0))</f>
        <v/>
      </c>
      <c r="BD1593" s="46">
        <f>BC1593*IF(B1593&gt;=in_marketplace_from,d_hz_choti*G1593,0)</f>
        <v/>
      </c>
      <c r="BE1593" s="14">
        <f>F1593*SUMIFS(BD1579:BD1600,B1579:B1600,B1593-in_choti_months)*in_choti_renew*in_choti_ticket</f>
        <v/>
      </c>
      <c r="BF1593" s="40">
        <f>BF1592*(1-IF(B1592&gt;=in_marketplace_from,d_hz_nps*G1592,0))</f>
        <v/>
      </c>
      <c r="BG1593" s="14">
        <f>F1593*BF1593*IF(B1593&gt;=in_marketplace_from,d_hz_nps*G1593,0)*in_nps_ticket*in_nps_comm</f>
        <v/>
      </c>
      <c r="BH1593" s="40">
        <f>BH1592*(1-IF(B1592&gt;=in_marketplace_from,d_hz_gold*G1592,0))</f>
        <v/>
      </c>
      <c r="BI1593" s="40">
        <f>BI1592*d_rho_gold+BH1593*IF(B1593&gt;=in_marketplace_from,d_hz_gold*G1593,0)</f>
        <v/>
      </c>
      <c r="BJ1593" s="14">
        <f>F1593*BI1593*in_gold_ticket*in_gold_comm</f>
        <v/>
      </c>
      <c r="BK1593" s="40">
        <f>BK1592*(1-IF(B1592&gt;=in_marketplace_from,d_hz_fd*G1592,0))</f>
        <v/>
      </c>
      <c r="BL1593" s="14">
        <f>F1593*BK1593*IF(B1593&gt;=in_marketplace_from,d_hz_fd*G1593,0)*in_fd_ticket*in_fd_comm</f>
        <v/>
      </c>
      <c r="BM1593" s="40">
        <f>BM1592*(1-IF(B1592&gt;=in_marketplace_from,d_hz_recharge*G1592,0))</f>
        <v/>
      </c>
      <c r="BN1593" s="40">
        <f>BN1592*d_rho_recharge+BM1593*IF(B1593&gt;=in_marketplace_from,d_hz_recharge*G1593,0)</f>
        <v/>
      </c>
      <c r="BO1593" s="14">
        <f>F1593*BN1593*in_recharge_ticket*in_recharge_comm/12</f>
        <v/>
      </c>
      <c r="BP1593" s="40">
        <f>BP1592*(1-IF(B1592&gt;=in_marketplace_from,d_hz_bills*G1592,0))</f>
        <v/>
      </c>
      <c r="BQ1593" s="40">
        <f>BQ1592*d_rho_bills+BP1593*IF(B1593&gt;=in_marketplace_from,d_hz_bills*G1593,0)</f>
        <v/>
      </c>
      <c r="BR1593" s="14">
        <f>F1593*BQ1593*in_bills_ticket*in_bills_comm/12</f>
        <v/>
      </c>
      <c r="BS1593" s="40">
        <f>BS1592*(1-IF(B1592&gt;=in_marketplace_from,d_hz_loan_gold*G1592,0))</f>
        <v/>
      </c>
      <c r="BT1593" s="14">
        <f>F1593*BS1593*IF(B1593&gt;=in_marketplace_from,d_hz_loan_gold*G1593,0)*in_loan_gold_ticket*in_loan_gold_comm</f>
        <v/>
      </c>
      <c r="BU1593" s="40">
        <f>BU1592*(1-IF(B1592&gt;=in_marketplace_from,d_hz_loan_cd*G1592,0))</f>
        <v/>
      </c>
      <c r="BV1593" s="14">
        <f>F1593*BU1593*IF(B1593&gt;=in_marketplace_from,d_hz_loan_cd*G1593,0)*in_loan_cd_ticket*in_loan_cd_comm</f>
        <v/>
      </c>
      <c r="BW1593" s="40">
        <f>BW1592*(1-IF(B1592&gt;=in_marketplace_from,d_hz_loan_vehicle*G1592,0))</f>
        <v/>
      </c>
      <c r="BX1593" s="14">
        <f>F1593*BW1593*IF(B1593&gt;=in_marketplace_from,d_hz_loan_vehicle*G1593,0)*in_loan_vehicle_ticket*in_loan_vehicle_comm</f>
        <v/>
      </c>
      <c r="BY1593" s="40">
        <f>BY1592*(1-IF(B1592&gt;=in_marketplace_from,d_hz_loan_home*G1592,0)*BZ1592)</f>
        <v/>
      </c>
      <c r="BZ1593" s="11">
        <f>MIN(in_approval_cap,in_loan_home_approval*INDEX('Age profile'!$O$2:$O$61,B1593)*(1+in_approval_growth)^(D1593-1))</f>
        <v/>
      </c>
      <c r="CA1593" s="14">
        <f>F1593*BY1593*IF(B1593&gt;=in_marketplace_from,d_hz_loan_home*G1593,0)*BZ1593*in_loan_home_ticket*in_loan_home_comm</f>
        <v/>
      </c>
      <c r="CB1593" s="40">
        <f>CB1592*(1-IF(B1592&gt;=in_marketplace_from,d_hz_loan_lap*G1592,0)*CC1592)</f>
        <v/>
      </c>
      <c r="CC1593" s="11">
        <f>MIN(in_approval_cap,in_loan_lap_approval*INDEX('Age profile'!$O$2:$O$61,B1593)*(1+in_approval_growth)^(D1593-1))</f>
        <v/>
      </c>
      <c r="CD1593" s="14">
        <f>F1593*CB1593*IF(B1593&gt;=in_marketplace_from,d_hz_loan_lap*G1593,0)*CC1593*in_loan_lap_ticket*in_loan_lap_comm</f>
        <v/>
      </c>
      <c r="CE1593" s="14">
        <f>AA1593+AB1593+AC1593+AD1593+AG1593+AJ1593+AM1593+AP1593+AS1593+AU1593+AX1593+BB1593+BE1593+BG1593+BJ1593+BL1593+BO1593+BR1593+BT1593+BV1593+BX1593+CA1593+CD1593</f>
        <v/>
      </c>
    </row>
    <row r="1594">
      <c r="A1594" s="39" t="n">
        <v>39</v>
      </c>
      <c r="B1594" s="39" t="n">
        <v>16</v>
      </c>
      <c r="C1594" s="39">
        <f>A1594+B1594-1</f>
        <v/>
      </c>
      <c r="D1594" s="39">
        <f>INT((C1594-1)/12)+1</f>
        <v/>
      </c>
      <c r="E1594" s="44">
        <f>INDEX(Monthly!$B$2:$B$61,A1594)</f>
        <v/>
      </c>
      <c r="F1594" s="44">
        <f>E1594*INDEX('Age profile'!$B$2:$B$61,B1594)</f>
        <v/>
      </c>
      <c r="G1594" s="45">
        <f>MIN(in_takeup_cap,INDEX('Age profile'!$N$2:$N$61,B1594)*(1+in_takeup_growth)^(D1594-1))</f>
        <v/>
      </c>
      <c r="H1594" s="11">
        <f>MIN(in_approval_cap,in_approved_first*INDEX('Age profile'!$O$2:$O$61,B1594)*(1+in_approval_growth)^(D1594-1))</f>
        <v/>
      </c>
      <c r="I1594" s="45">
        <f>G1594*MIN(in_takeup_cap,INDEX('Age profile'!$O$2:$O$61,B1594)*(1+in_approval_growth)^(D1594-1))</f>
        <v/>
      </c>
      <c r="J1594" s="40">
        <f>(J1593-L1593)*F1594/F1593</f>
        <v/>
      </c>
      <c r="K1594" s="40">
        <f>(K1593-M1593)*F1594/F1593+SUMIFS(O1579:O1593,B1579:B1593,B1594-1-d_T)*F1594</f>
        <v/>
      </c>
      <c r="L1594" s="40">
        <f>IF(B1594&gt;=in_marketplace_from,J1594*d_hz*G1594*in_eligible*H1594,0)</f>
        <v/>
      </c>
      <c r="M1594" s="40">
        <f>IF(B1594&gt;=in_marketplace_from,K1594*d_hz*G1594*in_eligible*in_approved_repeat,0)</f>
        <v/>
      </c>
      <c r="N1594" s="40">
        <f>L1594+M1594</f>
        <v/>
      </c>
      <c r="O1594" s="46">
        <f>N1594/F1594</f>
        <v/>
      </c>
      <c r="P1594" s="40">
        <f>F1594-J1594-K1594</f>
        <v/>
      </c>
      <c r="Q1594" s="40">
        <f>IF(B1594&gt;=in_marketplace_from,(J1594+K1594)*d_hz*G1594,0)</f>
        <v/>
      </c>
      <c r="R1594" s="40">
        <f>SUMIFS(N1579:N1600,B1579:B1600,"&gt;="&amp;(B1594-d_T),B1579:B1600,"&lt;="&amp;(B1594-1))</f>
        <v/>
      </c>
      <c r="S1594" s="46">
        <f>(1-d_u)*S1593+IF(d_T&gt;in_topup_lag,SUMIFS(O1579:O1600,B1579:B1600,B1594-in_topup_lag)-d_udrop*SUMIFS(O1579:O1600,B1579:B1600,B1594-d_T),0)</f>
        <v/>
      </c>
      <c r="T1594" s="40">
        <f>F1594*d_u*S1594</f>
        <v/>
      </c>
      <c r="U1594" s="9">
        <f>L1594*in_ticket+M1594*d_rep_ticket</f>
        <v/>
      </c>
      <c r="V1594" s="9">
        <f>U1594+T1594*d_topup_amt</f>
        <v/>
      </c>
      <c r="W1594" s="40">
        <f>N1594+T1594*d_topup_ratio</f>
        <v/>
      </c>
      <c r="X1594" s="40">
        <f>SUMIFS(W1579:W1600,B1579:B1600,B1594-in_dpd_lag)*d_cured</f>
        <v/>
      </c>
      <c r="Y1594" s="40">
        <f>SUMIFS(W1579:W1600,B1579:B1600,B1594-in_rec_lag)*d_recd</f>
        <v/>
      </c>
      <c r="Z1594" s="40">
        <f>IF(AND(B1594&gt;=in_marketplace_from,B1594&lt;in_marketplace_from+in_card_months),in_card_share/in_card_months*F1594*I1594,IF(AND(B1594&gt;=in_marketplace_from+in_card_months,B1594&lt;in_marketplace_from+2*in_card_months),in_card_share*d_card_rem/in_card_months*F1594*MIN(in_takeup_cap,(1+in_takeup_growth)^(D1594-1))*MIN(in_takeup_cap,(1+in_approval_growth)^(D1594-1)),0))</f>
        <v/>
      </c>
      <c r="AA1594" s="14">
        <f>V1594*in_fee*(1-in_taken_back)</f>
        <v/>
      </c>
      <c r="AB1594" s="14">
        <f>SUMIFS(W1579:W1600,B1579:B1600,B1594-in_dpd_lag)*d_dpd</f>
        <v/>
      </c>
      <c r="AC1594" s="14">
        <f>SUMIFS(W1579:W1600,B1579:B1600,B1594-in_rec_lag)*d_rec</f>
        <v/>
      </c>
      <c r="AD1594" s="14">
        <f>Z1594*in_card_fee</f>
        <v/>
      </c>
      <c r="AE1594" s="40">
        <f>AE1593*(1-IF(B1593&gt;=in_marketplace_from,d_hz_hlth_small*G1593,0))</f>
        <v/>
      </c>
      <c r="AF1594" s="46">
        <f>AE1594*IF(B1594&gt;=in_marketplace_from,d_hz_hlth_small*G1594,0)</f>
        <v/>
      </c>
      <c r="AG1594" s="14">
        <f>F1594*AF1594*in_hlth_small_ticket*in_hlth_small_comm*in_ins_partner_share+F1594*in_hlth_small_ticket*in_hlth_small_renew_comm*in_ins_partner_share*(in_hlth_small_renew^1*SUMIFS(AF1579:AF1600,B1579:B1600,B1594-12)+in_hlth_small_renew^2*SUMIFS(AF1579:AF1600,B1579:B1600,B1594-24)+in_hlth_small_renew^3*SUMIFS(AF1579:AF1600,B1579:B1600,B1594-36)+in_hlth_small_renew^4*SUMIFS(AF1579:AF1600,B1579:B1600,B1594-48))</f>
        <v/>
      </c>
      <c r="AH1594" s="40">
        <f>AH1593*(1-IF(B1593&gt;=in_marketplace_from,d_hz_hlth_family*G1593,0))</f>
        <v/>
      </c>
      <c r="AI1594" s="46">
        <f>AH1594*IF(B1594&gt;=in_marketplace_from,d_hz_hlth_family*G1594,0)</f>
        <v/>
      </c>
      <c r="AJ1594" s="14">
        <f>F1594*AI1594*in_hlth_family_ticket*in_hlth_family_comm*in_ins_partner_share+F1594*in_hlth_family_ticket*in_hlth_family_renew_comm*in_ins_partner_share*(in_hlth_family_renew^1*SUMIFS(AI1579:AI1600,B1579:B1600,B1594-12)+in_hlth_family_renew^2*SUMIFS(AI1579:AI1600,B1579:B1600,B1594-24)+in_hlth_family_renew^3*SUMIFS(AI1579:AI1600,B1579:B1600,B1594-36)+in_hlth_family_renew^4*SUMIFS(AI1579:AI1600,B1579:B1600,B1594-48))</f>
        <v/>
      </c>
      <c r="AK1594" s="40">
        <f>AK1593*(1-IF(B1593&gt;=in_marketplace_from,d_hz_life_term*G1593,0))</f>
        <v/>
      </c>
      <c r="AL1594" s="46">
        <f>AK1594*IF(B1594&gt;=in_marketplace_from,d_hz_life_term*G1594,0)</f>
        <v/>
      </c>
      <c r="AM1594" s="14">
        <f>F1594*AL1594*in_life_term_ticket*in_life_term_comm*in_ins_partner_share+F1594*in_life_term_ticket*in_life_term_renew_comm*in_ins_partner_share*(in_life_term_renew^1*SUMIFS(AL1579:AL1600,B1579:B1600,B1594-12)+in_life_term_renew^2*SUMIFS(AL1579:AL1600,B1579:B1600,B1594-24)+in_life_term_renew^3*SUMIFS(AL1579:AL1600,B1579:B1600,B1594-36)+in_life_term_renew^4*SUMIFS(AL1579:AL1600,B1579:B1600,B1594-48))</f>
        <v/>
      </c>
      <c r="AN1594" s="40">
        <f>AN1593*(1-IF(B1593&gt;=in_marketplace_from,d_hz_accident*G1593,0))</f>
        <v/>
      </c>
      <c r="AO1594" s="46">
        <f>AN1594*IF(B1594&gt;=in_marketplace_from,d_hz_accident*G1594,0)</f>
        <v/>
      </c>
      <c r="AP1594" s="14">
        <f>F1594*AO1594*in_accident_ticket*in_accident_comm*in_ins_partner_share+F1594*in_accident_ticket*in_accident_renew_comm*in_ins_partner_share*(in_accident_renew^1*SUMIFS(AO1579:AO1600,B1579:B1600,B1594-12)+in_accident_renew^2*SUMIFS(AO1579:AO1600,B1579:B1600,B1594-24)+in_accident_renew^3*SUMIFS(AO1579:AO1600,B1579:B1600,B1594-36)+in_accident_renew^4*SUMIFS(AO1579:AO1600,B1579:B1600,B1594-48))</f>
        <v/>
      </c>
      <c r="AQ1594" s="40">
        <f>AQ1593*(1-IF(B1593&gt;=in_marketplace_from,d_hz_two_wheeler*G1593,0))</f>
        <v/>
      </c>
      <c r="AR1594" s="46">
        <f>AQ1594*IF(B1594&gt;=in_marketplace_from,d_hz_two_wheeler*G1594,0)</f>
        <v/>
      </c>
      <c r="AS1594" s="14">
        <f>F1594*AR1594*in_two_wheeler_ticket*in_two_wheeler_comm*in_ins_partner_share+F1594*in_two_wheeler_ticket*in_two_wheeler_comm*in_ins_partner_share*(in_two_wheeler_renew^1*SUMIFS(AR1579:AR1600,B1579:B1600,B1594-12)+in_two_wheeler_renew^2*SUMIFS(AR1579:AR1600,B1579:B1600,B1594-24)+in_two_wheeler_renew^3*SUMIFS(AR1579:AR1600,B1579:B1600,B1594-36)+in_two_wheeler_renew^4*SUMIFS(AR1579:AR1600,B1579:B1600,B1594-48))</f>
        <v/>
      </c>
      <c r="AT1594" s="40">
        <f>AT1593*(1-IF(B1593&gt;=in_marketplace_from,d_hz_device*G1593,0))</f>
        <v/>
      </c>
      <c r="AU1594" s="14">
        <f>F1594*AT1594*IF(B1594&gt;=in_marketplace_from,d_hz_device*G1594,0)*in_device_ticket*in_device_comm*in_ins_partner_share</f>
        <v/>
      </c>
      <c r="AV1594" s="40">
        <f>AV1593*(1-IF(B1593&gt;=in_marketplace_from,d_hz_shop*G1593,0))</f>
        <v/>
      </c>
      <c r="AW1594" s="46">
        <f>AV1594*IF(B1594&gt;=in_marketplace_from,d_hz_shop*G1594,0)</f>
        <v/>
      </c>
      <c r="AX1594" s="14">
        <f>F1594*AW1594*in_shop_ticket*in_shop_comm*in_ins_partner_share+F1594*in_shop_ticket*in_shop_renew_comm*in_ins_partner_share*(in_shop_renew^1*SUMIFS(AW1579:AW1600,B1579:B1600,B1594-12)+in_shop_renew^2*SUMIFS(AW1579:AW1600,B1579:B1600,B1594-24)+in_shop_renew^3*SUMIFS(AW1579:AW1600,B1579:B1600,B1594-36)+in_shop_renew^4*SUMIFS(AW1579:AW1600,B1579:B1600,B1594-48))</f>
        <v/>
      </c>
      <c r="AY1594" s="40">
        <f>AY1593*(1-IF(B1593&gt;=in_marketplace_from,d_hz_sip*G1593,0))</f>
        <v/>
      </c>
      <c r="AZ1594" s="40">
        <f>AZ1593*d_rho_sip+AY1594*IF(B1594&gt;=in_marketplace_from,d_hz_sip*G1594,0)</f>
        <v/>
      </c>
      <c r="BA1594" s="40">
        <f>d_rho_sip*(BA1593+AZ1593)</f>
        <v/>
      </c>
      <c r="BB1594" s="14">
        <f>F1594*in_sip_ticket*(BA1594+0.5*AZ1594)*in_sip_comm/12</f>
        <v/>
      </c>
      <c r="BC1594" s="40">
        <f>BC1593*(1-IF(B1593&gt;=in_marketplace_from,d_hz_choti*G1593,0))</f>
        <v/>
      </c>
      <c r="BD1594" s="46">
        <f>BC1594*IF(B1594&gt;=in_marketplace_from,d_hz_choti*G1594,0)</f>
        <v/>
      </c>
      <c r="BE1594" s="14">
        <f>F1594*SUMIFS(BD1579:BD1600,B1579:B1600,B1594-in_choti_months)*in_choti_renew*in_choti_ticket</f>
        <v/>
      </c>
      <c r="BF1594" s="40">
        <f>BF1593*(1-IF(B1593&gt;=in_marketplace_from,d_hz_nps*G1593,0))</f>
        <v/>
      </c>
      <c r="BG1594" s="14">
        <f>F1594*BF1594*IF(B1594&gt;=in_marketplace_from,d_hz_nps*G1594,0)*in_nps_ticket*in_nps_comm</f>
        <v/>
      </c>
      <c r="BH1594" s="40">
        <f>BH1593*(1-IF(B1593&gt;=in_marketplace_from,d_hz_gold*G1593,0))</f>
        <v/>
      </c>
      <c r="BI1594" s="40">
        <f>BI1593*d_rho_gold+BH1594*IF(B1594&gt;=in_marketplace_from,d_hz_gold*G1594,0)</f>
        <v/>
      </c>
      <c r="BJ1594" s="14">
        <f>F1594*BI1594*in_gold_ticket*in_gold_comm</f>
        <v/>
      </c>
      <c r="BK1594" s="40">
        <f>BK1593*(1-IF(B1593&gt;=in_marketplace_from,d_hz_fd*G1593,0))</f>
        <v/>
      </c>
      <c r="BL1594" s="14">
        <f>F1594*BK1594*IF(B1594&gt;=in_marketplace_from,d_hz_fd*G1594,0)*in_fd_ticket*in_fd_comm</f>
        <v/>
      </c>
      <c r="BM1594" s="40">
        <f>BM1593*(1-IF(B1593&gt;=in_marketplace_from,d_hz_recharge*G1593,0))</f>
        <v/>
      </c>
      <c r="BN1594" s="40">
        <f>BN1593*d_rho_recharge+BM1594*IF(B1594&gt;=in_marketplace_from,d_hz_recharge*G1594,0)</f>
        <v/>
      </c>
      <c r="BO1594" s="14">
        <f>F1594*BN1594*in_recharge_ticket*in_recharge_comm/12</f>
        <v/>
      </c>
      <c r="BP1594" s="40">
        <f>BP1593*(1-IF(B1593&gt;=in_marketplace_from,d_hz_bills*G1593,0))</f>
        <v/>
      </c>
      <c r="BQ1594" s="40">
        <f>BQ1593*d_rho_bills+BP1594*IF(B1594&gt;=in_marketplace_from,d_hz_bills*G1594,0)</f>
        <v/>
      </c>
      <c r="BR1594" s="14">
        <f>F1594*BQ1594*in_bills_ticket*in_bills_comm/12</f>
        <v/>
      </c>
      <c r="BS1594" s="40">
        <f>BS1593*(1-IF(B1593&gt;=in_marketplace_from,d_hz_loan_gold*G1593,0))</f>
        <v/>
      </c>
      <c r="BT1594" s="14">
        <f>F1594*BS1594*IF(B1594&gt;=in_marketplace_from,d_hz_loan_gold*G1594,0)*in_loan_gold_ticket*in_loan_gold_comm</f>
        <v/>
      </c>
      <c r="BU1594" s="40">
        <f>BU1593*(1-IF(B1593&gt;=in_marketplace_from,d_hz_loan_cd*G1593,0))</f>
        <v/>
      </c>
      <c r="BV1594" s="14">
        <f>F1594*BU1594*IF(B1594&gt;=in_marketplace_from,d_hz_loan_cd*G1594,0)*in_loan_cd_ticket*in_loan_cd_comm</f>
        <v/>
      </c>
      <c r="BW1594" s="40">
        <f>BW1593*(1-IF(B1593&gt;=in_marketplace_from,d_hz_loan_vehicle*G1593,0))</f>
        <v/>
      </c>
      <c r="BX1594" s="14">
        <f>F1594*BW1594*IF(B1594&gt;=in_marketplace_from,d_hz_loan_vehicle*G1594,0)*in_loan_vehicle_ticket*in_loan_vehicle_comm</f>
        <v/>
      </c>
      <c r="BY1594" s="40">
        <f>BY1593*(1-IF(B1593&gt;=in_marketplace_from,d_hz_loan_home*G1593,0)*BZ1593)</f>
        <v/>
      </c>
      <c r="BZ1594" s="11">
        <f>MIN(in_approval_cap,in_loan_home_approval*INDEX('Age profile'!$O$2:$O$61,B1594)*(1+in_approval_growth)^(D1594-1))</f>
        <v/>
      </c>
      <c r="CA1594" s="14">
        <f>F1594*BY1594*IF(B1594&gt;=in_marketplace_from,d_hz_loan_home*G1594,0)*BZ1594*in_loan_home_ticket*in_loan_home_comm</f>
        <v/>
      </c>
      <c r="CB1594" s="40">
        <f>CB1593*(1-IF(B1593&gt;=in_marketplace_from,d_hz_loan_lap*G1593,0)*CC1593)</f>
        <v/>
      </c>
      <c r="CC1594" s="11">
        <f>MIN(in_approval_cap,in_loan_lap_approval*INDEX('Age profile'!$O$2:$O$61,B1594)*(1+in_approval_growth)^(D1594-1))</f>
        <v/>
      </c>
      <c r="CD1594" s="14">
        <f>F1594*CB1594*IF(B1594&gt;=in_marketplace_from,d_hz_loan_lap*G1594,0)*CC1594*in_loan_lap_ticket*in_loan_lap_comm</f>
        <v/>
      </c>
      <c r="CE1594" s="14">
        <f>AA1594+AB1594+AC1594+AD1594+AG1594+AJ1594+AM1594+AP1594+AS1594+AU1594+AX1594+BB1594+BE1594+BG1594+BJ1594+BL1594+BO1594+BR1594+BT1594+BV1594+BX1594+CA1594+CD1594</f>
        <v/>
      </c>
    </row>
    <row r="1595">
      <c r="A1595" s="39" t="n">
        <v>39</v>
      </c>
      <c r="B1595" s="39" t="n">
        <v>17</v>
      </c>
      <c r="C1595" s="39">
        <f>A1595+B1595-1</f>
        <v/>
      </c>
      <c r="D1595" s="39">
        <f>INT((C1595-1)/12)+1</f>
        <v/>
      </c>
      <c r="E1595" s="44">
        <f>INDEX(Monthly!$B$2:$B$61,A1595)</f>
        <v/>
      </c>
      <c r="F1595" s="44">
        <f>E1595*INDEX('Age profile'!$B$2:$B$61,B1595)</f>
        <v/>
      </c>
      <c r="G1595" s="45">
        <f>MIN(in_takeup_cap,INDEX('Age profile'!$N$2:$N$61,B1595)*(1+in_takeup_growth)^(D1595-1))</f>
        <v/>
      </c>
      <c r="H1595" s="11">
        <f>MIN(in_approval_cap,in_approved_first*INDEX('Age profile'!$O$2:$O$61,B1595)*(1+in_approval_growth)^(D1595-1))</f>
        <v/>
      </c>
      <c r="I1595" s="45">
        <f>G1595*MIN(in_takeup_cap,INDEX('Age profile'!$O$2:$O$61,B1595)*(1+in_approval_growth)^(D1595-1))</f>
        <v/>
      </c>
      <c r="J1595" s="40">
        <f>(J1594-L1594)*F1595/F1594</f>
        <v/>
      </c>
      <c r="K1595" s="40">
        <f>(K1594-M1594)*F1595/F1594+SUMIFS(O1579:O1594,B1579:B1594,B1595-1-d_T)*F1595</f>
        <v/>
      </c>
      <c r="L1595" s="40">
        <f>IF(B1595&gt;=in_marketplace_from,J1595*d_hz*G1595*in_eligible*H1595,0)</f>
        <v/>
      </c>
      <c r="M1595" s="40">
        <f>IF(B1595&gt;=in_marketplace_from,K1595*d_hz*G1595*in_eligible*in_approved_repeat,0)</f>
        <v/>
      </c>
      <c r="N1595" s="40">
        <f>L1595+M1595</f>
        <v/>
      </c>
      <c r="O1595" s="46">
        <f>N1595/F1595</f>
        <v/>
      </c>
      <c r="P1595" s="40">
        <f>F1595-J1595-K1595</f>
        <v/>
      </c>
      <c r="Q1595" s="40">
        <f>IF(B1595&gt;=in_marketplace_from,(J1595+K1595)*d_hz*G1595,0)</f>
        <v/>
      </c>
      <c r="R1595" s="40">
        <f>SUMIFS(N1579:N1600,B1579:B1600,"&gt;="&amp;(B1595-d_T),B1579:B1600,"&lt;="&amp;(B1595-1))</f>
        <v/>
      </c>
      <c r="S1595" s="46">
        <f>(1-d_u)*S1594+IF(d_T&gt;in_topup_lag,SUMIFS(O1579:O1600,B1579:B1600,B1595-in_topup_lag)-d_udrop*SUMIFS(O1579:O1600,B1579:B1600,B1595-d_T),0)</f>
        <v/>
      </c>
      <c r="T1595" s="40">
        <f>F1595*d_u*S1595</f>
        <v/>
      </c>
      <c r="U1595" s="9">
        <f>L1595*in_ticket+M1595*d_rep_ticket</f>
        <v/>
      </c>
      <c r="V1595" s="9">
        <f>U1595+T1595*d_topup_amt</f>
        <v/>
      </c>
      <c r="W1595" s="40">
        <f>N1595+T1595*d_topup_ratio</f>
        <v/>
      </c>
      <c r="X1595" s="40">
        <f>SUMIFS(W1579:W1600,B1579:B1600,B1595-in_dpd_lag)*d_cured</f>
        <v/>
      </c>
      <c r="Y1595" s="40">
        <f>SUMIFS(W1579:W1600,B1579:B1600,B1595-in_rec_lag)*d_recd</f>
        <v/>
      </c>
      <c r="Z1595" s="40">
        <f>IF(AND(B1595&gt;=in_marketplace_from,B1595&lt;in_marketplace_from+in_card_months),in_card_share/in_card_months*F1595*I1595,IF(AND(B1595&gt;=in_marketplace_from+in_card_months,B1595&lt;in_marketplace_from+2*in_card_months),in_card_share*d_card_rem/in_card_months*F1595*MIN(in_takeup_cap,(1+in_takeup_growth)^(D1595-1))*MIN(in_takeup_cap,(1+in_approval_growth)^(D1595-1)),0))</f>
        <v/>
      </c>
      <c r="AA1595" s="14">
        <f>V1595*in_fee*(1-in_taken_back)</f>
        <v/>
      </c>
      <c r="AB1595" s="14">
        <f>SUMIFS(W1579:W1600,B1579:B1600,B1595-in_dpd_lag)*d_dpd</f>
        <v/>
      </c>
      <c r="AC1595" s="14">
        <f>SUMIFS(W1579:W1600,B1579:B1600,B1595-in_rec_lag)*d_rec</f>
        <v/>
      </c>
      <c r="AD1595" s="14">
        <f>Z1595*in_card_fee</f>
        <v/>
      </c>
      <c r="AE1595" s="40">
        <f>AE1594*(1-IF(B1594&gt;=in_marketplace_from,d_hz_hlth_small*G1594,0))</f>
        <v/>
      </c>
      <c r="AF1595" s="46">
        <f>AE1595*IF(B1595&gt;=in_marketplace_from,d_hz_hlth_small*G1595,0)</f>
        <v/>
      </c>
      <c r="AG1595" s="14">
        <f>F1595*AF1595*in_hlth_small_ticket*in_hlth_small_comm*in_ins_partner_share+F1595*in_hlth_small_ticket*in_hlth_small_renew_comm*in_ins_partner_share*(in_hlth_small_renew^1*SUMIFS(AF1579:AF1600,B1579:B1600,B1595-12)+in_hlth_small_renew^2*SUMIFS(AF1579:AF1600,B1579:B1600,B1595-24)+in_hlth_small_renew^3*SUMIFS(AF1579:AF1600,B1579:B1600,B1595-36)+in_hlth_small_renew^4*SUMIFS(AF1579:AF1600,B1579:B1600,B1595-48))</f>
        <v/>
      </c>
      <c r="AH1595" s="40">
        <f>AH1594*(1-IF(B1594&gt;=in_marketplace_from,d_hz_hlth_family*G1594,0))</f>
        <v/>
      </c>
      <c r="AI1595" s="46">
        <f>AH1595*IF(B1595&gt;=in_marketplace_from,d_hz_hlth_family*G1595,0)</f>
        <v/>
      </c>
      <c r="AJ1595" s="14">
        <f>F1595*AI1595*in_hlth_family_ticket*in_hlth_family_comm*in_ins_partner_share+F1595*in_hlth_family_ticket*in_hlth_family_renew_comm*in_ins_partner_share*(in_hlth_family_renew^1*SUMIFS(AI1579:AI1600,B1579:B1600,B1595-12)+in_hlth_family_renew^2*SUMIFS(AI1579:AI1600,B1579:B1600,B1595-24)+in_hlth_family_renew^3*SUMIFS(AI1579:AI1600,B1579:B1600,B1595-36)+in_hlth_family_renew^4*SUMIFS(AI1579:AI1600,B1579:B1600,B1595-48))</f>
        <v/>
      </c>
      <c r="AK1595" s="40">
        <f>AK1594*(1-IF(B1594&gt;=in_marketplace_from,d_hz_life_term*G1594,0))</f>
        <v/>
      </c>
      <c r="AL1595" s="46">
        <f>AK1595*IF(B1595&gt;=in_marketplace_from,d_hz_life_term*G1595,0)</f>
        <v/>
      </c>
      <c r="AM1595" s="14">
        <f>F1595*AL1595*in_life_term_ticket*in_life_term_comm*in_ins_partner_share+F1595*in_life_term_ticket*in_life_term_renew_comm*in_ins_partner_share*(in_life_term_renew^1*SUMIFS(AL1579:AL1600,B1579:B1600,B1595-12)+in_life_term_renew^2*SUMIFS(AL1579:AL1600,B1579:B1600,B1595-24)+in_life_term_renew^3*SUMIFS(AL1579:AL1600,B1579:B1600,B1595-36)+in_life_term_renew^4*SUMIFS(AL1579:AL1600,B1579:B1600,B1595-48))</f>
        <v/>
      </c>
      <c r="AN1595" s="40">
        <f>AN1594*(1-IF(B1594&gt;=in_marketplace_from,d_hz_accident*G1594,0))</f>
        <v/>
      </c>
      <c r="AO1595" s="46">
        <f>AN1595*IF(B1595&gt;=in_marketplace_from,d_hz_accident*G1595,0)</f>
        <v/>
      </c>
      <c r="AP1595" s="14">
        <f>F1595*AO1595*in_accident_ticket*in_accident_comm*in_ins_partner_share+F1595*in_accident_ticket*in_accident_renew_comm*in_ins_partner_share*(in_accident_renew^1*SUMIFS(AO1579:AO1600,B1579:B1600,B1595-12)+in_accident_renew^2*SUMIFS(AO1579:AO1600,B1579:B1600,B1595-24)+in_accident_renew^3*SUMIFS(AO1579:AO1600,B1579:B1600,B1595-36)+in_accident_renew^4*SUMIFS(AO1579:AO1600,B1579:B1600,B1595-48))</f>
        <v/>
      </c>
      <c r="AQ1595" s="40">
        <f>AQ1594*(1-IF(B1594&gt;=in_marketplace_from,d_hz_two_wheeler*G1594,0))</f>
        <v/>
      </c>
      <c r="AR1595" s="46">
        <f>AQ1595*IF(B1595&gt;=in_marketplace_from,d_hz_two_wheeler*G1595,0)</f>
        <v/>
      </c>
      <c r="AS1595" s="14">
        <f>F1595*AR1595*in_two_wheeler_ticket*in_two_wheeler_comm*in_ins_partner_share+F1595*in_two_wheeler_ticket*in_two_wheeler_comm*in_ins_partner_share*(in_two_wheeler_renew^1*SUMIFS(AR1579:AR1600,B1579:B1600,B1595-12)+in_two_wheeler_renew^2*SUMIFS(AR1579:AR1600,B1579:B1600,B1595-24)+in_two_wheeler_renew^3*SUMIFS(AR1579:AR1600,B1579:B1600,B1595-36)+in_two_wheeler_renew^4*SUMIFS(AR1579:AR1600,B1579:B1600,B1595-48))</f>
        <v/>
      </c>
      <c r="AT1595" s="40">
        <f>AT1594*(1-IF(B1594&gt;=in_marketplace_from,d_hz_device*G1594,0))</f>
        <v/>
      </c>
      <c r="AU1595" s="14">
        <f>F1595*AT1595*IF(B1595&gt;=in_marketplace_from,d_hz_device*G1595,0)*in_device_ticket*in_device_comm*in_ins_partner_share</f>
        <v/>
      </c>
      <c r="AV1595" s="40">
        <f>AV1594*(1-IF(B1594&gt;=in_marketplace_from,d_hz_shop*G1594,0))</f>
        <v/>
      </c>
      <c r="AW1595" s="46">
        <f>AV1595*IF(B1595&gt;=in_marketplace_from,d_hz_shop*G1595,0)</f>
        <v/>
      </c>
      <c r="AX1595" s="14">
        <f>F1595*AW1595*in_shop_ticket*in_shop_comm*in_ins_partner_share+F1595*in_shop_ticket*in_shop_renew_comm*in_ins_partner_share*(in_shop_renew^1*SUMIFS(AW1579:AW1600,B1579:B1600,B1595-12)+in_shop_renew^2*SUMIFS(AW1579:AW1600,B1579:B1600,B1595-24)+in_shop_renew^3*SUMIFS(AW1579:AW1600,B1579:B1600,B1595-36)+in_shop_renew^4*SUMIFS(AW1579:AW1600,B1579:B1600,B1595-48))</f>
        <v/>
      </c>
      <c r="AY1595" s="40">
        <f>AY1594*(1-IF(B1594&gt;=in_marketplace_from,d_hz_sip*G1594,0))</f>
        <v/>
      </c>
      <c r="AZ1595" s="40">
        <f>AZ1594*d_rho_sip+AY1595*IF(B1595&gt;=in_marketplace_from,d_hz_sip*G1595,0)</f>
        <v/>
      </c>
      <c r="BA1595" s="40">
        <f>d_rho_sip*(BA1594+AZ1594)</f>
        <v/>
      </c>
      <c r="BB1595" s="14">
        <f>F1595*in_sip_ticket*(BA1595+0.5*AZ1595)*in_sip_comm/12</f>
        <v/>
      </c>
      <c r="BC1595" s="40">
        <f>BC1594*(1-IF(B1594&gt;=in_marketplace_from,d_hz_choti*G1594,0))</f>
        <v/>
      </c>
      <c r="BD1595" s="46">
        <f>BC1595*IF(B1595&gt;=in_marketplace_from,d_hz_choti*G1595,0)</f>
        <v/>
      </c>
      <c r="BE1595" s="14">
        <f>F1595*SUMIFS(BD1579:BD1600,B1579:B1600,B1595-in_choti_months)*in_choti_renew*in_choti_ticket</f>
        <v/>
      </c>
      <c r="BF1595" s="40">
        <f>BF1594*(1-IF(B1594&gt;=in_marketplace_from,d_hz_nps*G1594,0))</f>
        <v/>
      </c>
      <c r="BG1595" s="14">
        <f>F1595*BF1595*IF(B1595&gt;=in_marketplace_from,d_hz_nps*G1595,0)*in_nps_ticket*in_nps_comm</f>
        <v/>
      </c>
      <c r="BH1595" s="40">
        <f>BH1594*(1-IF(B1594&gt;=in_marketplace_from,d_hz_gold*G1594,0))</f>
        <v/>
      </c>
      <c r="BI1595" s="40">
        <f>BI1594*d_rho_gold+BH1595*IF(B1595&gt;=in_marketplace_from,d_hz_gold*G1595,0)</f>
        <v/>
      </c>
      <c r="BJ1595" s="14">
        <f>F1595*BI1595*in_gold_ticket*in_gold_comm</f>
        <v/>
      </c>
      <c r="BK1595" s="40">
        <f>BK1594*(1-IF(B1594&gt;=in_marketplace_from,d_hz_fd*G1594,0))</f>
        <v/>
      </c>
      <c r="BL1595" s="14">
        <f>F1595*BK1595*IF(B1595&gt;=in_marketplace_from,d_hz_fd*G1595,0)*in_fd_ticket*in_fd_comm</f>
        <v/>
      </c>
      <c r="BM1595" s="40">
        <f>BM1594*(1-IF(B1594&gt;=in_marketplace_from,d_hz_recharge*G1594,0))</f>
        <v/>
      </c>
      <c r="BN1595" s="40">
        <f>BN1594*d_rho_recharge+BM1595*IF(B1595&gt;=in_marketplace_from,d_hz_recharge*G1595,0)</f>
        <v/>
      </c>
      <c r="BO1595" s="14">
        <f>F1595*BN1595*in_recharge_ticket*in_recharge_comm/12</f>
        <v/>
      </c>
      <c r="BP1595" s="40">
        <f>BP1594*(1-IF(B1594&gt;=in_marketplace_from,d_hz_bills*G1594,0))</f>
        <v/>
      </c>
      <c r="BQ1595" s="40">
        <f>BQ1594*d_rho_bills+BP1595*IF(B1595&gt;=in_marketplace_from,d_hz_bills*G1595,0)</f>
        <v/>
      </c>
      <c r="BR1595" s="14">
        <f>F1595*BQ1595*in_bills_ticket*in_bills_comm/12</f>
        <v/>
      </c>
      <c r="BS1595" s="40">
        <f>BS1594*(1-IF(B1594&gt;=in_marketplace_from,d_hz_loan_gold*G1594,0))</f>
        <v/>
      </c>
      <c r="BT1595" s="14">
        <f>F1595*BS1595*IF(B1595&gt;=in_marketplace_from,d_hz_loan_gold*G1595,0)*in_loan_gold_ticket*in_loan_gold_comm</f>
        <v/>
      </c>
      <c r="BU1595" s="40">
        <f>BU1594*(1-IF(B1594&gt;=in_marketplace_from,d_hz_loan_cd*G1594,0))</f>
        <v/>
      </c>
      <c r="BV1595" s="14">
        <f>F1595*BU1595*IF(B1595&gt;=in_marketplace_from,d_hz_loan_cd*G1595,0)*in_loan_cd_ticket*in_loan_cd_comm</f>
        <v/>
      </c>
      <c r="BW1595" s="40">
        <f>BW1594*(1-IF(B1594&gt;=in_marketplace_from,d_hz_loan_vehicle*G1594,0))</f>
        <v/>
      </c>
      <c r="BX1595" s="14">
        <f>F1595*BW1595*IF(B1595&gt;=in_marketplace_from,d_hz_loan_vehicle*G1595,0)*in_loan_vehicle_ticket*in_loan_vehicle_comm</f>
        <v/>
      </c>
      <c r="BY1595" s="40">
        <f>BY1594*(1-IF(B1594&gt;=in_marketplace_from,d_hz_loan_home*G1594,0)*BZ1594)</f>
        <v/>
      </c>
      <c r="BZ1595" s="11">
        <f>MIN(in_approval_cap,in_loan_home_approval*INDEX('Age profile'!$O$2:$O$61,B1595)*(1+in_approval_growth)^(D1595-1))</f>
        <v/>
      </c>
      <c r="CA1595" s="14">
        <f>F1595*BY1595*IF(B1595&gt;=in_marketplace_from,d_hz_loan_home*G1595,0)*BZ1595*in_loan_home_ticket*in_loan_home_comm</f>
        <v/>
      </c>
      <c r="CB1595" s="40">
        <f>CB1594*(1-IF(B1594&gt;=in_marketplace_from,d_hz_loan_lap*G1594,0)*CC1594)</f>
        <v/>
      </c>
      <c r="CC1595" s="11">
        <f>MIN(in_approval_cap,in_loan_lap_approval*INDEX('Age profile'!$O$2:$O$61,B1595)*(1+in_approval_growth)^(D1595-1))</f>
        <v/>
      </c>
      <c r="CD1595" s="14">
        <f>F1595*CB1595*IF(B1595&gt;=in_marketplace_from,d_hz_loan_lap*G1595,0)*CC1595*in_loan_lap_ticket*in_loan_lap_comm</f>
        <v/>
      </c>
      <c r="CE1595" s="14">
        <f>AA1595+AB1595+AC1595+AD1595+AG1595+AJ1595+AM1595+AP1595+AS1595+AU1595+AX1595+BB1595+BE1595+BG1595+BJ1595+BL1595+BO1595+BR1595+BT1595+BV1595+BX1595+CA1595+CD1595</f>
        <v/>
      </c>
    </row>
    <row r="1596">
      <c r="A1596" s="39" t="n">
        <v>39</v>
      </c>
      <c r="B1596" s="39" t="n">
        <v>18</v>
      </c>
      <c r="C1596" s="39">
        <f>A1596+B1596-1</f>
        <v/>
      </c>
      <c r="D1596" s="39">
        <f>INT((C1596-1)/12)+1</f>
        <v/>
      </c>
      <c r="E1596" s="44">
        <f>INDEX(Monthly!$B$2:$B$61,A1596)</f>
        <v/>
      </c>
      <c r="F1596" s="44">
        <f>E1596*INDEX('Age profile'!$B$2:$B$61,B1596)</f>
        <v/>
      </c>
      <c r="G1596" s="45">
        <f>MIN(in_takeup_cap,INDEX('Age profile'!$N$2:$N$61,B1596)*(1+in_takeup_growth)^(D1596-1))</f>
        <v/>
      </c>
      <c r="H1596" s="11">
        <f>MIN(in_approval_cap,in_approved_first*INDEX('Age profile'!$O$2:$O$61,B1596)*(1+in_approval_growth)^(D1596-1))</f>
        <v/>
      </c>
      <c r="I1596" s="45">
        <f>G1596*MIN(in_takeup_cap,INDEX('Age profile'!$O$2:$O$61,B1596)*(1+in_approval_growth)^(D1596-1))</f>
        <v/>
      </c>
      <c r="J1596" s="40">
        <f>(J1595-L1595)*F1596/F1595</f>
        <v/>
      </c>
      <c r="K1596" s="40">
        <f>(K1595-M1595)*F1596/F1595+SUMIFS(O1579:O1595,B1579:B1595,B1596-1-d_T)*F1596</f>
        <v/>
      </c>
      <c r="L1596" s="40">
        <f>IF(B1596&gt;=in_marketplace_from,J1596*d_hz*G1596*in_eligible*H1596,0)</f>
        <v/>
      </c>
      <c r="M1596" s="40">
        <f>IF(B1596&gt;=in_marketplace_from,K1596*d_hz*G1596*in_eligible*in_approved_repeat,0)</f>
        <v/>
      </c>
      <c r="N1596" s="40">
        <f>L1596+M1596</f>
        <v/>
      </c>
      <c r="O1596" s="46">
        <f>N1596/F1596</f>
        <v/>
      </c>
      <c r="P1596" s="40">
        <f>F1596-J1596-K1596</f>
        <v/>
      </c>
      <c r="Q1596" s="40">
        <f>IF(B1596&gt;=in_marketplace_from,(J1596+K1596)*d_hz*G1596,0)</f>
        <v/>
      </c>
      <c r="R1596" s="40">
        <f>SUMIFS(N1579:N1600,B1579:B1600,"&gt;="&amp;(B1596-d_T),B1579:B1600,"&lt;="&amp;(B1596-1))</f>
        <v/>
      </c>
      <c r="S1596" s="46">
        <f>(1-d_u)*S1595+IF(d_T&gt;in_topup_lag,SUMIFS(O1579:O1600,B1579:B1600,B1596-in_topup_lag)-d_udrop*SUMIFS(O1579:O1600,B1579:B1600,B1596-d_T),0)</f>
        <v/>
      </c>
      <c r="T1596" s="40">
        <f>F1596*d_u*S1596</f>
        <v/>
      </c>
      <c r="U1596" s="9">
        <f>L1596*in_ticket+M1596*d_rep_ticket</f>
        <v/>
      </c>
      <c r="V1596" s="9">
        <f>U1596+T1596*d_topup_amt</f>
        <v/>
      </c>
      <c r="W1596" s="40">
        <f>N1596+T1596*d_topup_ratio</f>
        <v/>
      </c>
      <c r="X1596" s="40">
        <f>SUMIFS(W1579:W1600,B1579:B1600,B1596-in_dpd_lag)*d_cured</f>
        <v/>
      </c>
      <c r="Y1596" s="40">
        <f>SUMIFS(W1579:W1600,B1579:B1600,B1596-in_rec_lag)*d_recd</f>
        <v/>
      </c>
      <c r="Z1596" s="40">
        <f>IF(AND(B1596&gt;=in_marketplace_from,B1596&lt;in_marketplace_from+in_card_months),in_card_share/in_card_months*F1596*I1596,IF(AND(B1596&gt;=in_marketplace_from+in_card_months,B1596&lt;in_marketplace_from+2*in_card_months),in_card_share*d_card_rem/in_card_months*F1596*MIN(in_takeup_cap,(1+in_takeup_growth)^(D1596-1))*MIN(in_takeup_cap,(1+in_approval_growth)^(D1596-1)),0))</f>
        <v/>
      </c>
      <c r="AA1596" s="14">
        <f>V1596*in_fee*(1-in_taken_back)</f>
        <v/>
      </c>
      <c r="AB1596" s="14">
        <f>SUMIFS(W1579:W1600,B1579:B1600,B1596-in_dpd_lag)*d_dpd</f>
        <v/>
      </c>
      <c r="AC1596" s="14">
        <f>SUMIFS(W1579:W1600,B1579:B1600,B1596-in_rec_lag)*d_rec</f>
        <v/>
      </c>
      <c r="AD1596" s="14">
        <f>Z1596*in_card_fee</f>
        <v/>
      </c>
      <c r="AE1596" s="40">
        <f>AE1595*(1-IF(B1595&gt;=in_marketplace_from,d_hz_hlth_small*G1595,0))</f>
        <v/>
      </c>
      <c r="AF1596" s="46">
        <f>AE1596*IF(B1596&gt;=in_marketplace_from,d_hz_hlth_small*G1596,0)</f>
        <v/>
      </c>
      <c r="AG1596" s="14">
        <f>F1596*AF1596*in_hlth_small_ticket*in_hlth_small_comm*in_ins_partner_share+F1596*in_hlth_small_ticket*in_hlth_small_renew_comm*in_ins_partner_share*(in_hlth_small_renew^1*SUMIFS(AF1579:AF1600,B1579:B1600,B1596-12)+in_hlth_small_renew^2*SUMIFS(AF1579:AF1600,B1579:B1600,B1596-24)+in_hlth_small_renew^3*SUMIFS(AF1579:AF1600,B1579:B1600,B1596-36)+in_hlth_small_renew^4*SUMIFS(AF1579:AF1600,B1579:B1600,B1596-48))</f>
        <v/>
      </c>
      <c r="AH1596" s="40">
        <f>AH1595*(1-IF(B1595&gt;=in_marketplace_from,d_hz_hlth_family*G1595,0))</f>
        <v/>
      </c>
      <c r="AI1596" s="46">
        <f>AH1596*IF(B1596&gt;=in_marketplace_from,d_hz_hlth_family*G1596,0)</f>
        <v/>
      </c>
      <c r="AJ1596" s="14">
        <f>F1596*AI1596*in_hlth_family_ticket*in_hlth_family_comm*in_ins_partner_share+F1596*in_hlth_family_ticket*in_hlth_family_renew_comm*in_ins_partner_share*(in_hlth_family_renew^1*SUMIFS(AI1579:AI1600,B1579:B1600,B1596-12)+in_hlth_family_renew^2*SUMIFS(AI1579:AI1600,B1579:B1600,B1596-24)+in_hlth_family_renew^3*SUMIFS(AI1579:AI1600,B1579:B1600,B1596-36)+in_hlth_family_renew^4*SUMIFS(AI1579:AI1600,B1579:B1600,B1596-48))</f>
        <v/>
      </c>
      <c r="AK1596" s="40">
        <f>AK1595*(1-IF(B1595&gt;=in_marketplace_from,d_hz_life_term*G1595,0))</f>
        <v/>
      </c>
      <c r="AL1596" s="46">
        <f>AK1596*IF(B1596&gt;=in_marketplace_from,d_hz_life_term*G1596,0)</f>
        <v/>
      </c>
      <c r="AM1596" s="14">
        <f>F1596*AL1596*in_life_term_ticket*in_life_term_comm*in_ins_partner_share+F1596*in_life_term_ticket*in_life_term_renew_comm*in_ins_partner_share*(in_life_term_renew^1*SUMIFS(AL1579:AL1600,B1579:B1600,B1596-12)+in_life_term_renew^2*SUMIFS(AL1579:AL1600,B1579:B1600,B1596-24)+in_life_term_renew^3*SUMIFS(AL1579:AL1600,B1579:B1600,B1596-36)+in_life_term_renew^4*SUMIFS(AL1579:AL1600,B1579:B1600,B1596-48))</f>
        <v/>
      </c>
      <c r="AN1596" s="40">
        <f>AN1595*(1-IF(B1595&gt;=in_marketplace_from,d_hz_accident*G1595,0))</f>
        <v/>
      </c>
      <c r="AO1596" s="46">
        <f>AN1596*IF(B1596&gt;=in_marketplace_from,d_hz_accident*G1596,0)</f>
        <v/>
      </c>
      <c r="AP1596" s="14">
        <f>F1596*AO1596*in_accident_ticket*in_accident_comm*in_ins_partner_share+F1596*in_accident_ticket*in_accident_renew_comm*in_ins_partner_share*(in_accident_renew^1*SUMIFS(AO1579:AO1600,B1579:B1600,B1596-12)+in_accident_renew^2*SUMIFS(AO1579:AO1600,B1579:B1600,B1596-24)+in_accident_renew^3*SUMIFS(AO1579:AO1600,B1579:B1600,B1596-36)+in_accident_renew^4*SUMIFS(AO1579:AO1600,B1579:B1600,B1596-48))</f>
        <v/>
      </c>
      <c r="AQ1596" s="40">
        <f>AQ1595*(1-IF(B1595&gt;=in_marketplace_from,d_hz_two_wheeler*G1595,0))</f>
        <v/>
      </c>
      <c r="AR1596" s="46">
        <f>AQ1596*IF(B1596&gt;=in_marketplace_from,d_hz_two_wheeler*G1596,0)</f>
        <v/>
      </c>
      <c r="AS1596" s="14">
        <f>F1596*AR1596*in_two_wheeler_ticket*in_two_wheeler_comm*in_ins_partner_share+F1596*in_two_wheeler_ticket*in_two_wheeler_comm*in_ins_partner_share*(in_two_wheeler_renew^1*SUMIFS(AR1579:AR1600,B1579:B1600,B1596-12)+in_two_wheeler_renew^2*SUMIFS(AR1579:AR1600,B1579:B1600,B1596-24)+in_two_wheeler_renew^3*SUMIFS(AR1579:AR1600,B1579:B1600,B1596-36)+in_two_wheeler_renew^4*SUMIFS(AR1579:AR1600,B1579:B1600,B1596-48))</f>
        <v/>
      </c>
      <c r="AT1596" s="40">
        <f>AT1595*(1-IF(B1595&gt;=in_marketplace_from,d_hz_device*G1595,0))</f>
        <v/>
      </c>
      <c r="AU1596" s="14">
        <f>F1596*AT1596*IF(B1596&gt;=in_marketplace_from,d_hz_device*G1596,0)*in_device_ticket*in_device_comm*in_ins_partner_share</f>
        <v/>
      </c>
      <c r="AV1596" s="40">
        <f>AV1595*(1-IF(B1595&gt;=in_marketplace_from,d_hz_shop*G1595,0))</f>
        <v/>
      </c>
      <c r="AW1596" s="46">
        <f>AV1596*IF(B1596&gt;=in_marketplace_from,d_hz_shop*G1596,0)</f>
        <v/>
      </c>
      <c r="AX1596" s="14">
        <f>F1596*AW1596*in_shop_ticket*in_shop_comm*in_ins_partner_share+F1596*in_shop_ticket*in_shop_renew_comm*in_ins_partner_share*(in_shop_renew^1*SUMIFS(AW1579:AW1600,B1579:B1600,B1596-12)+in_shop_renew^2*SUMIFS(AW1579:AW1600,B1579:B1600,B1596-24)+in_shop_renew^3*SUMIFS(AW1579:AW1600,B1579:B1600,B1596-36)+in_shop_renew^4*SUMIFS(AW1579:AW1600,B1579:B1600,B1596-48))</f>
        <v/>
      </c>
      <c r="AY1596" s="40">
        <f>AY1595*(1-IF(B1595&gt;=in_marketplace_from,d_hz_sip*G1595,0))</f>
        <v/>
      </c>
      <c r="AZ1596" s="40">
        <f>AZ1595*d_rho_sip+AY1596*IF(B1596&gt;=in_marketplace_from,d_hz_sip*G1596,0)</f>
        <v/>
      </c>
      <c r="BA1596" s="40">
        <f>d_rho_sip*(BA1595+AZ1595)</f>
        <v/>
      </c>
      <c r="BB1596" s="14">
        <f>F1596*in_sip_ticket*(BA1596+0.5*AZ1596)*in_sip_comm/12</f>
        <v/>
      </c>
      <c r="BC1596" s="40">
        <f>BC1595*(1-IF(B1595&gt;=in_marketplace_from,d_hz_choti*G1595,0))</f>
        <v/>
      </c>
      <c r="BD1596" s="46">
        <f>BC1596*IF(B1596&gt;=in_marketplace_from,d_hz_choti*G1596,0)</f>
        <v/>
      </c>
      <c r="BE1596" s="14">
        <f>F1596*SUMIFS(BD1579:BD1600,B1579:B1600,B1596-in_choti_months)*in_choti_renew*in_choti_ticket</f>
        <v/>
      </c>
      <c r="BF1596" s="40">
        <f>BF1595*(1-IF(B1595&gt;=in_marketplace_from,d_hz_nps*G1595,0))</f>
        <v/>
      </c>
      <c r="BG1596" s="14">
        <f>F1596*BF1596*IF(B1596&gt;=in_marketplace_from,d_hz_nps*G1596,0)*in_nps_ticket*in_nps_comm</f>
        <v/>
      </c>
      <c r="BH1596" s="40">
        <f>BH1595*(1-IF(B1595&gt;=in_marketplace_from,d_hz_gold*G1595,0))</f>
        <v/>
      </c>
      <c r="BI1596" s="40">
        <f>BI1595*d_rho_gold+BH1596*IF(B1596&gt;=in_marketplace_from,d_hz_gold*G1596,0)</f>
        <v/>
      </c>
      <c r="BJ1596" s="14">
        <f>F1596*BI1596*in_gold_ticket*in_gold_comm</f>
        <v/>
      </c>
      <c r="BK1596" s="40">
        <f>BK1595*(1-IF(B1595&gt;=in_marketplace_from,d_hz_fd*G1595,0))</f>
        <v/>
      </c>
      <c r="BL1596" s="14">
        <f>F1596*BK1596*IF(B1596&gt;=in_marketplace_from,d_hz_fd*G1596,0)*in_fd_ticket*in_fd_comm</f>
        <v/>
      </c>
      <c r="BM1596" s="40">
        <f>BM1595*(1-IF(B1595&gt;=in_marketplace_from,d_hz_recharge*G1595,0))</f>
        <v/>
      </c>
      <c r="BN1596" s="40">
        <f>BN1595*d_rho_recharge+BM1596*IF(B1596&gt;=in_marketplace_from,d_hz_recharge*G1596,0)</f>
        <v/>
      </c>
      <c r="BO1596" s="14">
        <f>F1596*BN1596*in_recharge_ticket*in_recharge_comm/12</f>
        <v/>
      </c>
      <c r="BP1596" s="40">
        <f>BP1595*(1-IF(B1595&gt;=in_marketplace_from,d_hz_bills*G1595,0))</f>
        <v/>
      </c>
      <c r="BQ1596" s="40">
        <f>BQ1595*d_rho_bills+BP1596*IF(B1596&gt;=in_marketplace_from,d_hz_bills*G1596,0)</f>
        <v/>
      </c>
      <c r="BR1596" s="14">
        <f>F1596*BQ1596*in_bills_ticket*in_bills_comm/12</f>
        <v/>
      </c>
      <c r="BS1596" s="40">
        <f>BS1595*(1-IF(B1595&gt;=in_marketplace_from,d_hz_loan_gold*G1595,0))</f>
        <v/>
      </c>
      <c r="BT1596" s="14">
        <f>F1596*BS1596*IF(B1596&gt;=in_marketplace_from,d_hz_loan_gold*G1596,0)*in_loan_gold_ticket*in_loan_gold_comm</f>
        <v/>
      </c>
      <c r="BU1596" s="40">
        <f>BU1595*(1-IF(B1595&gt;=in_marketplace_from,d_hz_loan_cd*G1595,0))</f>
        <v/>
      </c>
      <c r="BV1596" s="14">
        <f>F1596*BU1596*IF(B1596&gt;=in_marketplace_from,d_hz_loan_cd*G1596,0)*in_loan_cd_ticket*in_loan_cd_comm</f>
        <v/>
      </c>
      <c r="BW1596" s="40">
        <f>BW1595*(1-IF(B1595&gt;=in_marketplace_from,d_hz_loan_vehicle*G1595,0))</f>
        <v/>
      </c>
      <c r="BX1596" s="14">
        <f>F1596*BW1596*IF(B1596&gt;=in_marketplace_from,d_hz_loan_vehicle*G1596,0)*in_loan_vehicle_ticket*in_loan_vehicle_comm</f>
        <v/>
      </c>
      <c r="BY1596" s="40">
        <f>BY1595*(1-IF(B1595&gt;=in_marketplace_from,d_hz_loan_home*G1595,0)*BZ1595)</f>
        <v/>
      </c>
      <c r="BZ1596" s="11">
        <f>MIN(in_approval_cap,in_loan_home_approval*INDEX('Age profile'!$O$2:$O$61,B1596)*(1+in_approval_growth)^(D1596-1))</f>
        <v/>
      </c>
      <c r="CA1596" s="14">
        <f>F1596*BY1596*IF(B1596&gt;=in_marketplace_from,d_hz_loan_home*G1596,0)*BZ1596*in_loan_home_ticket*in_loan_home_comm</f>
        <v/>
      </c>
      <c r="CB1596" s="40">
        <f>CB1595*(1-IF(B1595&gt;=in_marketplace_from,d_hz_loan_lap*G1595,0)*CC1595)</f>
        <v/>
      </c>
      <c r="CC1596" s="11">
        <f>MIN(in_approval_cap,in_loan_lap_approval*INDEX('Age profile'!$O$2:$O$61,B1596)*(1+in_approval_growth)^(D1596-1))</f>
        <v/>
      </c>
      <c r="CD1596" s="14">
        <f>F1596*CB1596*IF(B1596&gt;=in_marketplace_from,d_hz_loan_lap*G1596,0)*CC1596*in_loan_lap_ticket*in_loan_lap_comm</f>
        <v/>
      </c>
      <c r="CE1596" s="14">
        <f>AA1596+AB1596+AC1596+AD1596+AG1596+AJ1596+AM1596+AP1596+AS1596+AU1596+AX1596+BB1596+BE1596+BG1596+BJ1596+BL1596+BO1596+BR1596+BT1596+BV1596+BX1596+CA1596+CD1596</f>
        <v/>
      </c>
    </row>
    <row r="1597">
      <c r="A1597" s="39" t="n">
        <v>39</v>
      </c>
      <c r="B1597" s="39" t="n">
        <v>19</v>
      </c>
      <c r="C1597" s="39">
        <f>A1597+B1597-1</f>
        <v/>
      </c>
      <c r="D1597" s="39">
        <f>INT((C1597-1)/12)+1</f>
        <v/>
      </c>
      <c r="E1597" s="44">
        <f>INDEX(Monthly!$B$2:$B$61,A1597)</f>
        <v/>
      </c>
      <c r="F1597" s="44">
        <f>E1597*INDEX('Age profile'!$B$2:$B$61,B1597)</f>
        <v/>
      </c>
      <c r="G1597" s="45">
        <f>MIN(in_takeup_cap,INDEX('Age profile'!$N$2:$N$61,B1597)*(1+in_takeup_growth)^(D1597-1))</f>
        <v/>
      </c>
      <c r="H1597" s="11">
        <f>MIN(in_approval_cap,in_approved_first*INDEX('Age profile'!$O$2:$O$61,B1597)*(1+in_approval_growth)^(D1597-1))</f>
        <v/>
      </c>
      <c r="I1597" s="45">
        <f>G1597*MIN(in_takeup_cap,INDEX('Age profile'!$O$2:$O$61,B1597)*(1+in_approval_growth)^(D1597-1))</f>
        <v/>
      </c>
      <c r="J1597" s="40">
        <f>(J1596-L1596)*F1597/F1596</f>
        <v/>
      </c>
      <c r="K1597" s="40">
        <f>(K1596-M1596)*F1597/F1596+SUMIFS(O1579:O1596,B1579:B1596,B1597-1-d_T)*F1597</f>
        <v/>
      </c>
      <c r="L1597" s="40">
        <f>IF(B1597&gt;=in_marketplace_from,J1597*d_hz*G1597*in_eligible*H1597,0)</f>
        <v/>
      </c>
      <c r="M1597" s="40">
        <f>IF(B1597&gt;=in_marketplace_from,K1597*d_hz*G1597*in_eligible*in_approved_repeat,0)</f>
        <v/>
      </c>
      <c r="N1597" s="40">
        <f>L1597+M1597</f>
        <v/>
      </c>
      <c r="O1597" s="46">
        <f>N1597/F1597</f>
        <v/>
      </c>
      <c r="P1597" s="40">
        <f>F1597-J1597-K1597</f>
        <v/>
      </c>
      <c r="Q1597" s="40">
        <f>IF(B1597&gt;=in_marketplace_from,(J1597+K1597)*d_hz*G1597,0)</f>
        <v/>
      </c>
      <c r="R1597" s="40">
        <f>SUMIFS(N1579:N1600,B1579:B1600,"&gt;="&amp;(B1597-d_T),B1579:B1600,"&lt;="&amp;(B1597-1))</f>
        <v/>
      </c>
      <c r="S1597" s="46">
        <f>(1-d_u)*S1596+IF(d_T&gt;in_topup_lag,SUMIFS(O1579:O1600,B1579:B1600,B1597-in_topup_lag)-d_udrop*SUMIFS(O1579:O1600,B1579:B1600,B1597-d_T),0)</f>
        <v/>
      </c>
      <c r="T1597" s="40">
        <f>F1597*d_u*S1597</f>
        <v/>
      </c>
      <c r="U1597" s="9">
        <f>L1597*in_ticket+M1597*d_rep_ticket</f>
        <v/>
      </c>
      <c r="V1597" s="9">
        <f>U1597+T1597*d_topup_amt</f>
        <v/>
      </c>
      <c r="W1597" s="40">
        <f>N1597+T1597*d_topup_ratio</f>
        <v/>
      </c>
      <c r="X1597" s="40">
        <f>SUMIFS(W1579:W1600,B1579:B1600,B1597-in_dpd_lag)*d_cured</f>
        <v/>
      </c>
      <c r="Y1597" s="40">
        <f>SUMIFS(W1579:W1600,B1579:B1600,B1597-in_rec_lag)*d_recd</f>
        <v/>
      </c>
      <c r="Z1597" s="40">
        <f>IF(AND(B1597&gt;=in_marketplace_from,B1597&lt;in_marketplace_from+in_card_months),in_card_share/in_card_months*F1597*I1597,IF(AND(B1597&gt;=in_marketplace_from+in_card_months,B1597&lt;in_marketplace_from+2*in_card_months),in_card_share*d_card_rem/in_card_months*F1597*MIN(in_takeup_cap,(1+in_takeup_growth)^(D1597-1))*MIN(in_takeup_cap,(1+in_approval_growth)^(D1597-1)),0))</f>
        <v/>
      </c>
      <c r="AA1597" s="14">
        <f>V1597*in_fee*(1-in_taken_back)</f>
        <v/>
      </c>
      <c r="AB1597" s="14">
        <f>SUMIFS(W1579:W1600,B1579:B1600,B1597-in_dpd_lag)*d_dpd</f>
        <v/>
      </c>
      <c r="AC1597" s="14">
        <f>SUMIFS(W1579:W1600,B1579:B1600,B1597-in_rec_lag)*d_rec</f>
        <v/>
      </c>
      <c r="AD1597" s="14">
        <f>Z1597*in_card_fee</f>
        <v/>
      </c>
      <c r="AE1597" s="40">
        <f>AE1596*(1-IF(B1596&gt;=in_marketplace_from,d_hz_hlth_small*G1596,0))</f>
        <v/>
      </c>
      <c r="AF1597" s="46">
        <f>AE1597*IF(B1597&gt;=in_marketplace_from,d_hz_hlth_small*G1597,0)</f>
        <v/>
      </c>
      <c r="AG1597" s="14">
        <f>F1597*AF1597*in_hlth_small_ticket*in_hlth_small_comm*in_ins_partner_share+F1597*in_hlth_small_ticket*in_hlth_small_renew_comm*in_ins_partner_share*(in_hlth_small_renew^1*SUMIFS(AF1579:AF1600,B1579:B1600,B1597-12)+in_hlth_small_renew^2*SUMIFS(AF1579:AF1600,B1579:B1600,B1597-24)+in_hlth_small_renew^3*SUMIFS(AF1579:AF1600,B1579:B1600,B1597-36)+in_hlth_small_renew^4*SUMIFS(AF1579:AF1600,B1579:B1600,B1597-48))</f>
        <v/>
      </c>
      <c r="AH1597" s="40">
        <f>AH1596*(1-IF(B1596&gt;=in_marketplace_from,d_hz_hlth_family*G1596,0))</f>
        <v/>
      </c>
      <c r="AI1597" s="46">
        <f>AH1597*IF(B1597&gt;=in_marketplace_from,d_hz_hlth_family*G1597,0)</f>
        <v/>
      </c>
      <c r="AJ1597" s="14">
        <f>F1597*AI1597*in_hlth_family_ticket*in_hlth_family_comm*in_ins_partner_share+F1597*in_hlth_family_ticket*in_hlth_family_renew_comm*in_ins_partner_share*(in_hlth_family_renew^1*SUMIFS(AI1579:AI1600,B1579:B1600,B1597-12)+in_hlth_family_renew^2*SUMIFS(AI1579:AI1600,B1579:B1600,B1597-24)+in_hlth_family_renew^3*SUMIFS(AI1579:AI1600,B1579:B1600,B1597-36)+in_hlth_family_renew^4*SUMIFS(AI1579:AI1600,B1579:B1600,B1597-48))</f>
        <v/>
      </c>
      <c r="AK1597" s="40">
        <f>AK1596*(1-IF(B1596&gt;=in_marketplace_from,d_hz_life_term*G1596,0))</f>
        <v/>
      </c>
      <c r="AL1597" s="46">
        <f>AK1597*IF(B1597&gt;=in_marketplace_from,d_hz_life_term*G1597,0)</f>
        <v/>
      </c>
      <c r="AM1597" s="14">
        <f>F1597*AL1597*in_life_term_ticket*in_life_term_comm*in_ins_partner_share+F1597*in_life_term_ticket*in_life_term_renew_comm*in_ins_partner_share*(in_life_term_renew^1*SUMIFS(AL1579:AL1600,B1579:B1600,B1597-12)+in_life_term_renew^2*SUMIFS(AL1579:AL1600,B1579:B1600,B1597-24)+in_life_term_renew^3*SUMIFS(AL1579:AL1600,B1579:B1600,B1597-36)+in_life_term_renew^4*SUMIFS(AL1579:AL1600,B1579:B1600,B1597-48))</f>
        <v/>
      </c>
      <c r="AN1597" s="40">
        <f>AN1596*(1-IF(B1596&gt;=in_marketplace_from,d_hz_accident*G1596,0))</f>
        <v/>
      </c>
      <c r="AO1597" s="46">
        <f>AN1597*IF(B1597&gt;=in_marketplace_from,d_hz_accident*G1597,0)</f>
        <v/>
      </c>
      <c r="AP1597" s="14">
        <f>F1597*AO1597*in_accident_ticket*in_accident_comm*in_ins_partner_share+F1597*in_accident_ticket*in_accident_renew_comm*in_ins_partner_share*(in_accident_renew^1*SUMIFS(AO1579:AO1600,B1579:B1600,B1597-12)+in_accident_renew^2*SUMIFS(AO1579:AO1600,B1579:B1600,B1597-24)+in_accident_renew^3*SUMIFS(AO1579:AO1600,B1579:B1600,B1597-36)+in_accident_renew^4*SUMIFS(AO1579:AO1600,B1579:B1600,B1597-48))</f>
        <v/>
      </c>
      <c r="AQ1597" s="40">
        <f>AQ1596*(1-IF(B1596&gt;=in_marketplace_from,d_hz_two_wheeler*G1596,0))</f>
        <v/>
      </c>
      <c r="AR1597" s="46">
        <f>AQ1597*IF(B1597&gt;=in_marketplace_from,d_hz_two_wheeler*G1597,0)</f>
        <v/>
      </c>
      <c r="AS1597" s="14">
        <f>F1597*AR1597*in_two_wheeler_ticket*in_two_wheeler_comm*in_ins_partner_share+F1597*in_two_wheeler_ticket*in_two_wheeler_comm*in_ins_partner_share*(in_two_wheeler_renew^1*SUMIFS(AR1579:AR1600,B1579:B1600,B1597-12)+in_two_wheeler_renew^2*SUMIFS(AR1579:AR1600,B1579:B1600,B1597-24)+in_two_wheeler_renew^3*SUMIFS(AR1579:AR1600,B1579:B1600,B1597-36)+in_two_wheeler_renew^4*SUMIFS(AR1579:AR1600,B1579:B1600,B1597-48))</f>
        <v/>
      </c>
      <c r="AT1597" s="40">
        <f>AT1596*(1-IF(B1596&gt;=in_marketplace_from,d_hz_device*G1596,0))</f>
        <v/>
      </c>
      <c r="AU1597" s="14">
        <f>F1597*AT1597*IF(B1597&gt;=in_marketplace_from,d_hz_device*G1597,0)*in_device_ticket*in_device_comm*in_ins_partner_share</f>
        <v/>
      </c>
      <c r="AV1597" s="40">
        <f>AV1596*(1-IF(B1596&gt;=in_marketplace_from,d_hz_shop*G1596,0))</f>
        <v/>
      </c>
      <c r="AW1597" s="46">
        <f>AV1597*IF(B1597&gt;=in_marketplace_from,d_hz_shop*G1597,0)</f>
        <v/>
      </c>
      <c r="AX1597" s="14">
        <f>F1597*AW1597*in_shop_ticket*in_shop_comm*in_ins_partner_share+F1597*in_shop_ticket*in_shop_renew_comm*in_ins_partner_share*(in_shop_renew^1*SUMIFS(AW1579:AW1600,B1579:B1600,B1597-12)+in_shop_renew^2*SUMIFS(AW1579:AW1600,B1579:B1600,B1597-24)+in_shop_renew^3*SUMIFS(AW1579:AW1600,B1579:B1600,B1597-36)+in_shop_renew^4*SUMIFS(AW1579:AW1600,B1579:B1600,B1597-48))</f>
        <v/>
      </c>
      <c r="AY1597" s="40">
        <f>AY1596*(1-IF(B1596&gt;=in_marketplace_from,d_hz_sip*G1596,0))</f>
        <v/>
      </c>
      <c r="AZ1597" s="40">
        <f>AZ1596*d_rho_sip+AY1597*IF(B1597&gt;=in_marketplace_from,d_hz_sip*G1597,0)</f>
        <v/>
      </c>
      <c r="BA1597" s="40">
        <f>d_rho_sip*(BA1596+AZ1596)</f>
        <v/>
      </c>
      <c r="BB1597" s="14">
        <f>F1597*in_sip_ticket*(BA1597+0.5*AZ1597)*in_sip_comm/12</f>
        <v/>
      </c>
      <c r="BC1597" s="40">
        <f>BC1596*(1-IF(B1596&gt;=in_marketplace_from,d_hz_choti*G1596,0))</f>
        <v/>
      </c>
      <c r="BD1597" s="46">
        <f>BC1597*IF(B1597&gt;=in_marketplace_from,d_hz_choti*G1597,0)</f>
        <v/>
      </c>
      <c r="BE1597" s="14">
        <f>F1597*SUMIFS(BD1579:BD1600,B1579:B1600,B1597-in_choti_months)*in_choti_renew*in_choti_ticket</f>
        <v/>
      </c>
      <c r="BF1597" s="40">
        <f>BF1596*(1-IF(B1596&gt;=in_marketplace_from,d_hz_nps*G1596,0))</f>
        <v/>
      </c>
      <c r="BG1597" s="14">
        <f>F1597*BF1597*IF(B1597&gt;=in_marketplace_from,d_hz_nps*G1597,0)*in_nps_ticket*in_nps_comm</f>
        <v/>
      </c>
      <c r="BH1597" s="40">
        <f>BH1596*(1-IF(B1596&gt;=in_marketplace_from,d_hz_gold*G1596,0))</f>
        <v/>
      </c>
      <c r="BI1597" s="40">
        <f>BI1596*d_rho_gold+BH1597*IF(B1597&gt;=in_marketplace_from,d_hz_gold*G1597,0)</f>
        <v/>
      </c>
      <c r="BJ1597" s="14">
        <f>F1597*BI1597*in_gold_ticket*in_gold_comm</f>
        <v/>
      </c>
      <c r="BK1597" s="40">
        <f>BK1596*(1-IF(B1596&gt;=in_marketplace_from,d_hz_fd*G1596,0))</f>
        <v/>
      </c>
      <c r="BL1597" s="14">
        <f>F1597*BK1597*IF(B1597&gt;=in_marketplace_from,d_hz_fd*G1597,0)*in_fd_ticket*in_fd_comm</f>
        <v/>
      </c>
      <c r="BM1597" s="40">
        <f>BM1596*(1-IF(B1596&gt;=in_marketplace_from,d_hz_recharge*G1596,0))</f>
        <v/>
      </c>
      <c r="BN1597" s="40">
        <f>BN1596*d_rho_recharge+BM1597*IF(B1597&gt;=in_marketplace_from,d_hz_recharge*G1597,0)</f>
        <v/>
      </c>
      <c r="BO1597" s="14">
        <f>F1597*BN1597*in_recharge_ticket*in_recharge_comm/12</f>
        <v/>
      </c>
      <c r="BP1597" s="40">
        <f>BP1596*(1-IF(B1596&gt;=in_marketplace_from,d_hz_bills*G1596,0))</f>
        <v/>
      </c>
      <c r="BQ1597" s="40">
        <f>BQ1596*d_rho_bills+BP1597*IF(B1597&gt;=in_marketplace_from,d_hz_bills*G1597,0)</f>
        <v/>
      </c>
      <c r="BR1597" s="14">
        <f>F1597*BQ1597*in_bills_ticket*in_bills_comm/12</f>
        <v/>
      </c>
      <c r="BS1597" s="40">
        <f>BS1596*(1-IF(B1596&gt;=in_marketplace_from,d_hz_loan_gold*G1596,0))</f>
        <v/>
      </c>
      <c r="BT1597" s="14">
        <f>F1597*BS1597*IF(B1597&gt;=in_marketplace_from,d_hz_loan_gold*G1597,0)*in_loan_gold_ticket*in_loan_gold_comm</f>
        <v/>
      </c>
      <c r="BU1597" s="40">
        <f>BU1596*(1-IF(B1596&gt;=in_marketplace_from,d_hz_loan_cd*G1596,0))</f>
        <v/>
      </c>
      <c r="BV1597" s="14">
        <f>F1597*BU1597*IF(B1597&gt;=in_marketplace_from,d_hz_loan_cd*G1597,0)*in_loan_cd_ticket*in_loan_cd_comm</f>
        <v/>
      </c>
      <c r="BW1597" s="40">
        <f>BW1596*(1-IF(B1596&gt;=in_marketplace_from,d_hz_loan_vehicle*G1596,0))</f>
        <v/>
      </c>
      <c r="BX1597" s="14">
        <f>F1597*BW1597*IF(B1597&gt;=in_marketplace_from,d_hz_loan_vehicle*G1597,0)*in_loan_vehicle_ticket*in_loan_vehicle_comm</f>
        <v/>
      </c>
      <c r="BY1597" s="40">
        <f>BY1596*(1-IF(B1596&gt;=in_marketplace_from,d_hz_loan_home*G1596,0)*BZ1596)</f>
        <v/>
      </c>
      <c r="BZ1597" s="11">
        <f>MIN(in_approval_cap,in_loan_home_approval*INDEX('Age profile'!$O$2:$O$61,B1597)*(1+in_approval_growth)^(D1597-1))</f>
        <v/>
      </c>
      <c r="CA1597" s="14">
        <f>F1597*BY1597*IF(B1597&gt;=in_marketplace_from,d_hz_loan_home*G1597,0)*BZ1597*in_loan_home_ticket*in_loan_home_comm</f>
        <v/>
      </c>
      <c r="CB1597" s="40">
        <f>CB1596*(1-IF(B1596&gt;=in_marketplace_from,d_hz_loan_lap*G1596,0)*CC1596)</f>
        <v/>
      </c>
      <c r="CC1597" s="11">
        <f>MIN(in_approval_cap,in_loan_lap_approval*INDEX('Age profile'!$O$2:$O$61,B1597)*(1+in_approval_growth)^(D1597-1))</f>
        <v/>
      </c>
      <c r="CD1597" s="14">
        <f>F1597*CB1597*IF(B1597&gt;=in_marketplace_from,d_hz_loan_lap*G1597,0)*CC1597*in_loan_lap_ticket*in_loan_lap_comm</f>
        <v/>
      </c>
      <c r="CE1597" s="14">
        <f>AA1597+AB1597+AC1597+AD1597+AG1597+AJ1597+AM1597+AP1597+AS1597+AU1597+AX1597+BB1597+BE1597+BG1597+BJ1597+BL1597+BO1597+BR1597+BT1597+BV1597+BX1597+CA1597+CD1597</f>
        <v/>
      </c>
    </row>
    <row r="1598">
      <c r="A1598" s="39" t="n">
        <v>39</v>
      </c>
      <c r="B1598" s="39" t="n">
        <v>20</v>
      </c>
      <c r="C1598" s="39">
        <f>A1598+B1598-1</f>
        <v/>
      </c>
      <c r="D1598" s="39">
        <f>INT((C1598-1)/12)+1</f>
        <v/>
      </c>
      <c r="E1598" s="44">
        <f>INDEX(Monthly!$B$2:$B$61,A1598)</f>
        <v/>
      </c>
      <c r="F1598" s="44">
        <f>E1598*INDEX('Age profile'!$B$2:$B$61,B1598)</f>
        <v/>
      </c>
      <c r="G1598" s="45">
        <f>MIN(in_takeup_cap,INDEX('Age profile'!$N$2:$N$61,B1598)*(1+in_takeup_growth)^(D1598-1))</f>
        <v/>
      </c>
      <c r="H1598" s="11">
        <f>MIN(in_approval_cap,in_approved_first*INDEX('Age profile'!$O$2:$O$61,B1598)*(1+in_approval_growth)^(D1598-1))</f>
        <v/>
      </c>
      <c r="I1598" s="45">
        <f>G1598*MIN(in_takeup_cap,INDEX('Age profile'!$O$2:$O$61,B1598)*(1+in_approval_growth)^(D1598-1))</f>
        <v/>
      </c>
      <c r="J1598" s="40">
        <f>(J1597-L1597)*F1598/F1597</f>
        <v/>
      </c>
      <c r="K1598" s="40">
        <f>(K1597-M1597)*F1598/F1597+SUMIFS(O1579:O1597,B1579:B1597,B1598-1-d_T)*F1598</f>
        <v/>
      </c>
      <c r="L1598" s="40">
        <f>IF(B1598&gt;=in_marketplace_from,J1598*d_hz*G1598*in_eligible*H1598,0)</f>
        <v/>
      </c>
      <c r="M1598" s="40">
        <f>IF(B1598&gt;=in_marketplace_from,K1598*d_hz*G1598*in_eligible*in_approved_repeat,0)</f>
        <v/>
      </c>
      <c r="N1598" s="40">
        <f>L1598+M1598</f>
        <v/>
      </c>
      <c r="O1598" s="46">
        <f>N1598/F1598</f>
        <v/>
      </c>
      <c r="P1598" s="40">
        <f>F1598-J1598-K1598</f>
        <v/>
      </c>
      <c r="Q1598" s="40">
        <f>IF(B1598&gt;=in_marketplace_from,(J1598+K1598)*d_hz*G1598,0)</f>
        <v/>
      </c>
      <c r="R1598" s="40">
        <f>SUMIFS(N1579:N1600,B1579:B1600,"&gt;="&amp;(B1598-d_T),B1579:B1600,"&lt;="&amp;(B1598-1))</f>
        <v/>
      </c>
      <c r="S1598" s="46">
        <f>(1-d_u)*S1597+IF(d_T&gt;in_topup_lag,SUMIFS(O1579:O1600,B1579:B1600,B1598-in_topup_lag)-d_udrop*SUMIFS(O1579:O1600,B1579:B1600,B1598-d_T),0)</f>
        <v/>
      </c>
      <c r="T1598" s="40">
        <f>F1598*d_u*S1598</f>
        <v/>
      </c>
      <c r="U1598" s="9">
        <f>L1598*in_ticket+M1598*d_rep_ticket</f>
        <v/>
      </c>
      <c r="V1598" s="9">
        <f>U1598+T1598*d_topup_amt</f>
        <v/>
      </c>
      <c r="W1598" s="40">
        <f>N1598+T1598*d_topup_ratio</f>
        <v/>
      </c>
      <c r="X1598" s="40">
        <f>SUMIFS(W1579:W1600,B1579:B1600,B1598-in_dpd_lag)*d_cured</f>
        <v/>
      </c>
      <c r="Y1598" s="40">
        <f>SUMIFS(W1579:W1600,B1579:B1600,B1598-in_rec_lag)*d_recd</f>
        <v/>
      </c>
      <c r="Z1598" s="40">
        <f>IF(AND(B1598&gt;=in_marketplace_from,B1598&lt;in_marketplace_from+in_card_months),in_card_share/in_card_months*F1598*I1598,IF(AND(B1598&gt;=in_marketplace_from+in_card_months,B1598&lt;in_marketplace_from+2*in_card_months),in_card_share*d_card_rem/in_card_months*F1598*MIN(in_takeup_cap,(1+in_takeup_growth)^(D1598-1))*MIN(in_takeup_cap,(1+in_approval_growth)^(D1598-1)),0))</f>
        <v/>
      </c>
      <c r="AA1598" s="14">
        <f>V1598*in_fee*(1-in_taken_back)</f>
        <v/>
      </c>
      <c r="AB1598" s="14">
        <f>SUMIFS(W1579:W1600,B1579:B1600,B1598-in_dpd_lag)*d_dpd</f>
        <v/>
      </c>
      <c r="AC1598" s="14">
        <f>SUMIFS(W1579:W1600,B1579:B1600,B1598-in_rec_lag)*d_rec</f>
        <v/>
      </c>
      <c r="AD1598" s="14">
        <f>Z1598*in_card_fee</f>
        <v/>
      </c>
      <c r="AE1598" s="40">
        <f>AE1597*(1-IF(B1597&gt;=in_marketplace_from,d_hz_hlth_small*G1597,0))</f>
        <v/>
      </c>
      <c r="AF1598" s="46">
        <f>AE1598*IF(B1598&gt;=in_marketplace_from,d_hz_hlth_small*G1598,0)</f>
        <v/>
      </c>
      <c r="AG1598" s="14">
        <f>F1598*AF1598*in_hlth_small_ticket*in_hlth_small_comm*in_ins_partner_share+F1598*in_hlth_small_ticket*in_hlth_small_renew_comm*in_ins_partner_share*(in_hlth_small_renew^1*SUMIFS(AF1579:AF1600,B1579:B1600,B1598-12)+in_hlth_small_renew^2*SUMIFS(AF1579:AF1600,B1579:B1600,B1598-24)+in_hlth_small_renew^3*SUMIFS(AF1579:AF1600,B1579:B1600,B1598-36)+in_hlth_small_renew^4*SUMIFS(AF1579:AF1600,B1579:B1600,B1598-48))</f>
        <v/>
      </c>
      <c r="AH1598" s="40">
        <f>AH1597*(1-IF(B1597&gt;=in_marketplace_from,d_hz_hlth_family*G1597,0))</f>
        <v/>
      </c>
      <c r="AI1598" s="46">
        <f>AH1598*IF(B1598&gt;=in_marketplace_from,d_hz_hlth_family*G1598,0)</f>
        <v/>
      </c>
      <c r="AJ1598" s="14">
        <f>F1598*AI1598*in_hlth_family_ticket*in_hlth_family_comm*in_ins_partner_share+F1598*in_hlth_family_ticket*in_hlth_family_renew_comm*in_ins_partner_share*(in_hlth_family_renew^1*SUMIFS(AI1579:AI1600,B1579:B1600,B1598-12)+in_hlth_family_renew^2*SUMIFS(AI1579:AI1600,B1579:B1600,B1598-24)+in_hlth_family_renew^3*SUMIFS(AI1579:AI1600,B1579:B1600,B1598-36)+in_hlth_family_renew^4*SUMIFS(AI1579:AI1600,B1579:B1600,B1598-48))</f>
        <v/>
      </c>
      <c r="AK1598" s="40">
        <f>AK1597*(1-IF(B1597&gt;=in_marketplace_from,d_hz_life_term*G1597,0))</f>
        <v/>
      </c>
      <c r="AL1598" s="46">
        <f>AK1598*IF(B1598&gt;=in_marketplace_from,d_hz_life_term*G1598,0)</f>
        <v/>
      </c>
      <c r="AM1598" s="14">
        <f>F1598*AL1598*in_life_term_ticket*in_life_term_comm*in_ins_partner_share+F1598*in_life_term_ticket*in_life_term_renew_comm*in_ins_partner_share*(in_life_term_renew^1*SUMIFS(AL1579:AL1600,B1579:B1600,B1598-12)+in_life_term_renew^2*SUMIFS(AL1579:AL1600,B1579:B1600,B1598-24)+in_life_term_renew^3*SUMIFS(AL1579:AL1600,B1579:B1600,B1598-36)+in_life_term_renew^4*SUMIFS(AL1579:AL1600,B1579:B1600,B1598-48))</f>
        <v/>
      </c>
      <c r="AN1598" s="40">
        <f>AN1597*(1-IF(B1597&gt;=in_marketplace_from,d_hz_accident*G1597,0))</f>
        <v/>
      </c>
      <c r="AO1598" s="46">
        <f>AN1598*IF(B1598&gt;=in_marketplace_from,d_hz_accident*G1598,0)</f>
        <v/>
      </c>
      <c r="AP1598" s="14">
        <f>F1598*AO1598*in_accident_ticket*in_accident_comm*in_ins_partner_share+F1598*in_accident_ticket*in_accident_renew_comm*in_ins_partner_share*(in_accident_renew^1*SUMIFS(AO1579:AO1600,B1579:B1600,B1598-12)+in_accident_renew^2*SUMIFS(AO1579:AO1600,B1579:B1600,B1598-24)+in_accident_renew^3*SUMIFS(AO1579:AO1600,B1579:B1600,B1598-36)+in_accident_renew^4*SUMIFS(AO1579:AO1600,B1579:B1600,B1598-48))</f>
        <v/>
      </c>
      <c r="AQ1598" s="40">
        <f>AQ1597*(1-IF(B1597&gt;=in_marketplace_from,d_hz_two_wheeler*G1597,0))</f>
        <v/>
      </c>
      <c r="AR1598" s="46">
        <f>AQ1598*IF(B1598&gt;=in_marketplace_from,d_hz_two_wheeler*G1598,0)</f>
        <v/>
      </c>
      <c r="AS1598" s="14">
        <f>F1598*AR1598*in_two_wheeler_ticket*in_two_wheeler_comm*in_ins_partner_share+F1598*in_two_wheeler_ticket*in_two_wheeler_comm*in_ins_partner_share*(in_two_wheeler_renew^1*SUMIFS(AR1579:AR1600,B1579:B1600,B1598-12)+in_two_wheeler_renew^2*SUMIFS(AR1579:AR1600,B1579:B1600,B1598-24)+in_two_wheeler_renew^3*SUMIFS(AR1579:AR1600,B1579:B1600,B1598-36)+in_two_wheeler_renew^4*SUMIFS(AR1579:AR1600,B1579:B1600,B1598-48))</f>
        <v/>
      </c>
      <c r="AT1598" s="40">
        <f>AT1597*(1-IF(B1597&gt;=in_marketplace_from,d_hz_device*G1597,0))</f>
        <v/>
      </c>
      <c r="AU1598" s="14">
        <f>F1598*AT1598*IF(B1598&gt;=in_marketplace_from,d_hz_device*G1598,0)*in_device_ticket*in_device_comm*in_ins_partner_share</f>
        <v/>
      </c>
      <c r="AV1598" s="40">
        <f>AV1597*(1-IF(B1597&gt;=in_marketplace_from,d_hz_shop*G1597,0))</f>
        <v/>
      </c>
      <c r="AW1598" s="46">
        <f>AV1598*IF(B1598&gt;=in_marketplace_from,d_hz_shop*G1598,0)</f>
        <v/>
      </c>
      <c r="AX1598" s="14">
        <f>F1598*AW1598*in_shop_ticket*in_shop_comm*in_ins_partner_share+F1598*in_shop_ticket*in_shop_renew_comm*in_ins_partner_share*(in_shop_renew^1*SUMIFS(AW1579:AW1600,B1579:B1600,B1598-12)+in_shop_renew^2*SUMIFS(AW1579:AW1600,B1579:B1600,B1598-24)+in_shop_renew^3*SUMIFS(AW1579:AW1600,B1579:B1600,B1598-36)+in_shop_renew^4*SUMIFS(AW1579:AW1600,B1579:B1600,B1598-48))</f>
        <v/>
      </c>
      <c r="AY1598" s="40">
        <f>AY1597*(1-IF(B1597&gt;=in_marketplace_from,d_hz_sip*G1597,0))</f>
        <v/>
      </c>
      <c r="AZ1598" s="40">
        <f>AZ1597*d_rho_sip+AY1598*IF(B1598&gt;=in_marketplace_from,d_hz_sip*G1598,0)</f>
        <v/>
      </c>
      <c r="BA1598" s="40">
        <f>d_rho_sip*(BA1597+AZ1597)</f>
        <v/>
      </c>
      <c r="BB1598" s="14">
        <f>F1598*in_sip_ticket*(BA1598+0.5*AZ1598)*in_sip_comm/12</f>
        <v/>
      </c>
      <c r="BC1598" s="40">
        <f>BC1597*(1-IF(B1597&gt;=in_marketplace_from,d_hz_choti*G1597,0))</f>
        <v/>
      </c>
      <c r="BD1598" s="46">
        <f>BC1598*IF(B1598&gt;=in_marketplace_from,d_hz_choti*G1598,0)</f>
        <v/>
      </c>
      <c r="BE1598" s="14">
        <f>F1598*SUMIFS(BD1579:BD1600,B1579:B1600,B1598-in_choti_months)*in_choti_renew*in_choti_ticket</f>
        <v/>
      </c>
      <c r="BF1598" s="40">
        <f>BF1597*(1-IF(B1597&gt;=in_marketplace_from,d_hz_nps*G1597,0))</f>
        <v/>
      </c>
      <c r="BG1598" s="14">
        <f>F1598*BF1598*IF(B1598&gt;=in_marketplace_from,d_hz_nps*G1598,0)*in_nps_ticket*in_nps_comm</f>
        <v/>
      </c>
      <c r="BH1598" s="40">
        <f>BH1597*(1-IF(B1597&gt;=in_marketplace_from,d_hz_gold*G1597,0))</f>
        <v/>
      </c>
      <c r="BI1598" s="40">
        <f>BI1597*d_rho_gold+BH1598*IF(B1598&gt;=in_marketplace_from,d_hz_gold*G1598,0)</f>
        <v/>
      </c>
      <c r="BJ1598" s="14">
        <f>F1598*BI1598*in_gold_ticket*in_gold_comm</f>
        <v/>
      </c>
      <c r="BK1598" s="40">
        <f>BK1597*(1-IF(B1597&gt;=in_marketplace_from,d_hz_fd*G1597,0))</f>
        <v/>
      </c>
      <c r="BL1598" s="14">
        <f>F1598*BK1598*IF(B1598&gt;=in_marketplace_from,d_hz_fd*G1598,0)*in_fd_ticket*in_fd_comm</f>
        <v/>
      </c>
      <c r="BM1598" s="40">
        <f>BM1597*(1-IF(B1597&gt;=in_marketplace_from,d_hz_recharge*G1597,0))</f>
        <v/>
      </c>
      <c r="BN1598" s="40">
        <f>BN1597*d_rho_recharge+BM1598*IF(B1598&gt;=in_marketplace_from,d_hz_recharge*G1598,0)</f>
        <v/>
      </c>
      <c r="BO1598" s="14">
        <f>F1598*BN1598*in_recharge_ticket*in_recharge_comm/12</f>
        <v/>
      </c>
      <c r="BP1598" s="40">
        <f>BP1597*(1-IF(B1597&gt;=in_marketplace_from,d_hz_bills*G1597,0))</f>
        <v/>
      </c>
      <c r="BQ1598" s="40">
        <f>BQ1597*d_rho_bills+BP1598*IF(B1598&gt;=in_marketplace_from,d_hz_bills*G1598,0)</f>
        <v/>
      </c>
      <c r="BR1598" s="14">
        <f>F1598*BQ1598*in_bills_ticket*in_bills_comm/12</f>
        <v/>
      </c>
      <c r="BS1598" s="40">
        <f>BS1597*(1-IF(B1597&gt;=in_marketplace_from,d_hz_loan_gold*G1597,0))</f>
        <v/>
      </c>
      <c r="BT1598" s="14">
        <f>F1598*BS1598*IF(B1598&gt;=in_marketplace_from,d_hz_loan_gold*G1598,0)*in_loan_gold_ticket*in_loan_gold_comm</f>
        <v/>
      </c>
      <c r="BU1598" s="40">
        <f>BU1597*(1-IF(B1597&gt;=in_marketplace_from,d_hz_loan_cd*G1597,0))</f>
        <v/>
      </c>
      <c r="BV1598" s="14">
        <f>F1598*BU1598*IF(B1598&gt;=in_marketplace_from,d_hz_loan_cd*G1598,0)*in_loan_cd_ticket*in_loan_cd_comm</f>
        <v/>
      </c>
      <c r="BW1598" s="40">
        <f>BW1597*(1-IF(B1597&gt;=in_marketplace_from,d_hz_loan_vehicle*G1597,0))</f>
        <v/>
      </c>
      <c r="BX1598" s="14">
        <f>F1598*BW1598*IF(B1598&gt;=in_marketplace_from,d_hz_loan_vehicle*G1598,0)*in_loan_vehicle_ticket*in_loan_vehicle_comm</f>
        <v/>
      </c>
      <c r="BY1598" s="40">
        <f>BY1597*(1-IF(B1597&gt;=in_marketplace_from,d_hz_loan_home*G1597,0)*BZ1597)</f>
        <v/>
      </c>
      <c r="BZ1598" s="11">
        <f>MIN(in_approval_cap,in_loan_home_approval*INDEX('Age profile'!$O$2:$O$61,B1598)*(1+in_approval_growth)^(D1598-1))</f>
        <v/>
      </c>
      <c r="CA1598" s="14">
        <f>F1598*BY1598*IF(B1598&gt;=in_marketplace_from,d_hz_loan_home*G1598,0)*BZ1598*in_loan_home_ticket*in_loan_home_comm</f>
        <v/>
      </c>
      <c r="CB1598" s="40">
        <f>CB1597*(1-IF(B1597&gt;=in_marketplace_from,d_hz_loan_lap*G1597,0)*CC1597)</f>
        <v/>
      </c>
      <c r="CC1598" s="11">
        <f>MIN(in_approval_cap,in_loan_lap_approval*INDEX('Age profile'!$O$2:$O$61,B1598)*(1+in_approval_growth)^(D1598-1))</f>
        <v/>
      </c>
      <c r="CD1598" s="14">
        <f>F1598*CB1598*IF(B1598&gt;=in_marketplace_from,d_hz_loan_lap*G1598,0)*CC1598*in_loan_lap_ticket*in_loan_lap_comm</f>
        <v/>
      </c>
      <c r="CE1598" s="14">
        <f>AA1598+AB1598+AC1598+AD1598+AG1598+AJ1598+AM1598+AP1598+AS1598+AU1598+AX1598+BB1598+BE1598+BG1598+BJ1598+BL1598+BO1598+BR1598+BT1598+BV1598+BX1598+CA1598+CD1598</f>
        <v/>
      </c>
    </row>
    <row r="1599">
      <c r="A1599" s="39" t="n">
        <v>39</v>
      </c>
      <c r="B1599" s="39" t="n">
        <v>21</v>
      </c>
      <c r="C1599" s="39">
        <f>A1599+B1599-1</f>
        <v/>
      </c>
      <c r="D1599" s="39">
        <f>INT((C1599-1)/12)+1</f>
        <v/>
      </c>
      <c r="E1599" s="44">
        <f>INDEX(Monthly!$B$2:$B$61,A1599)</f>
        <v/>
      </c>
      <c r="F1599" s="44">
        <f>E1599*INDEX('Age profile'!$B$2:$B$61,B1599)</f>
        <v/>
      </c>
      <c r="G1599" s="45">
        <f>MIN(in_takeup_cap,INDEX('Age profile'!$N$2:$N$61,B1599)*(1+in_takeup_growth)^(D1599-1))</f>
        <v/>
      </c>
      <c r="H1599" s="11">
        <f>MIN(in_approval_cap,in_approved_first*INDEX('Age profile'!$O$2:$O$61,B1599)*(1+in_approval_growth)^(D1599-1))</f>
        <v/>
      </c>
      <c r="I1599" s="45">
        <f>G1599*MIN(in_takeup_cap,INDEX('Age profile'!$O$2:$O$61,B1599)*(1+in_approval_growth)^(D1599-1))</f>
        <v/>
      </c>
      <c r="J1599" s="40">
        <f>(J1598-L1598)*F1599/F1598</f>
        <v/>
      </c>
      <c r="K1599" s="40">
        <f>(K1598-M1598)*F1599/F1598+SUMIFS(O1579:O1598,B1579:B1598,B1599-1-d_T)*F1599</f>
        <v/>
      </c>
      <c r="L1599" s="40">
        <f>IF(B1599&gt;=in_marketplace_from,J1599*d_hz*G1599*in_eligible*H1599,0)</f>
        <v/>
      </c>
      <c r="M1599" s="40">
        <f>IF(B1599&gt;=in_marketplace_from,K1599*d_hz*G1599*in_eligible*in_approved_repeat,0)</f>
        <v/>
      </c>
      <c r="N1599" s="40">
        <f>L1599+M1599</f>
        <v/>
      </c>
      <c r="O1599" s="46">
        <f>N1599/F1599</f>
        <v/>
      </c>
      <c r="P1599" s="40">
        <f>F1599-J1599-K1599</f>
        <v/>
      </c>
      <c r="Q1599" s="40">
        <f>IF(B1599&gt;=in_marketplace_from,(J1599+K1599)*d_hz*G1599,0)</f>
        <v/>
      </c>
      <c r="R1599" s="40">
        <f>SUMIFS(N1579:N1600,B1579:B1600,"&gt;="&amp;(B1599-d_T),B1579:B1600,"&lt;="&amp;(B1599-1))</f>
        <v/>
      </c>
      <c r="S1599" s="46">
        <f>(1-d_u)*S1598+IF(d_T&gt;in_topup_lag,SUMIFS(O1579:O1600,B1579:B1600,B1599-in_topup_lag)-d_udrop*SUMIFS(O1579:O1600,B1579:B1600,B1599-d_T),0)</f>
        <v/>
      </c>
      <c r="T1599" s="40">
        <f>F1599*d_u*S1599</f>
        <v/>
      </c>
      <c r="U1599" s="9">
        <f>L1599*in_ticket+M1599*d_rep_ticket</f>
        <v/>
      </c>
      <c r="V1599" s="9">
        <f>U1599+T1599*d_topup_amt</f>
        <v/>
      </c>
      <c r="W1599" s="40">
        <f>N1599+T1599*d_topup_ratio</f>
        <v/>
      </c>
      <c r="X1599" s="40">
        <f>SUMIFS(W1579:W1600,B1579:B1600,B1599-in_dpd_lag)*d_cured</f>
        <v/>
      </c>
      <c r="Y1599" s="40">
        <f>SUMIFS(W1579:W1600,B1579:B1600,B1599-in_rec_lag)*d_recd</f>
        <v/>
      </c>
      <c r="Z1599" s="40">
        <f>IF(AND(B1599&gt;=in_marketplace_from,B1599&lt;in_marketplace_from+in_card_months),in_card_share/in_card_months*F1599*I1599,IF(AND(B1599&gt;=in_marketplace_from+in_card_months,B1599&lt;in_marketplace_from+2*in_card_months),in_card_share*d_card_rem/in_card_months*F1599*MIN(in_takeup_cap,(1+in_takeup_growth)^(D1599-1))*MIN(in_takeup_cap,(1+in_approval_growth)^(D1599-1)),0))</f>
        <v/>
      </c>
      <c r="AA1599" s="14">
        <f>V1599*in_fee*(1-in_taken_back)</f>
        <v/>
      </c>
      <c r="AB1599" s="14">
        <f>SUMIFS(W1579:W1600,B1579:B1600,B1599-in_dpd_lag)*d_dpd</f>
        <v/>
      </c>
      <c r="AC1599" s="14">
        <f>SUMIFS(W1579:W1600,B1579:B1600,B1599-in_rec_lag)*d_rec</f>
        <v/>
      </c>
      <c r="AD1599" s="14">
        <f>Z1599*in_card_fee</f>
        <v/>
      </c>
      <c r="AE1599" s="40">
        <f>AE1598*(1-IF(B1598&gt;=in_marketplace_from,d_hz_hlth_small*G1598,0))</f>
        <v/>
      </c>
      <c r="AF1599" s="46">
        <f>AE1599*IF(B1599&gt;=in_marketplace_from,d_hz_hlth_small*G1599,0)</f>
        <v/>
      </c>
      <c r="AG1599" s="14">
        <f>F1599*AF1599*in_hlth_small_ticket*in_hlth_small_comm*in_ins_partner_share+F1599*in_hlth_small_ticket*in_hlth_small_renew_comm*in_ins_partner_share*(in_hlth_small_renew^1*SUMIFS(AF1579:AF1600,B1579:B1600,B1599-12)+in_hlth_small_renew^2*SUMIFS(AF1579:AF1600,B1579:B1600,B1599-24)+in_hlth_small_renew^3*SUMIFS(AF1579:AF1600,B1579:B1600,B1599-36)+in_hlth_small_renew^4*SUMIFS(AF1579:AF1600,B1579:B1600,B1599-48))</f>
        <v/>
      </c>
      <c r="AH1599" s="40">
        <f>AH1598*(1-IF(B1598&gt;=in_marketplace_from,d_hz_hlth_family*G1598,0))</f>
        <v/>
      </c>
      <c r="AI1599" s="46">
        <f>AH1599*IF(B1599&gt;=in_marketplace_from,d_hz_hlth_family*G1599,0)</f>
        <v/>
      </c>
      <c r="AJ1599" s="14">
        <f>F1599*AI1599*in_hlth_family_ticket*in_hlth_family_comm*in_ins_partner_share+F1599*in_hlth_family_ticket*in_hlth_family_renew_comm*in_ins_partner_share*(in_hlth_family_renew^1*SUMIFS(AI1579:AI1600,B1579:B1600,B1599-12)+in_hlth_family_renew^2*SUMIFS(AI1579:AI1600,B1579:B1600,B1599-24)+in_hlth_family_renew^3*SUMIFS(AI1579:AI1600,B1579:B1600,B1599-36)+in_hlth_family_renew^4*SUMIFS(AI1579:AI1600,B1579:B1600,B1599-48))</f>
        <v/>
      </c>
      <c r="AK1599" s="40">
        <f>AK1598*(1-IF(B1598&gt;=in_marketplace_from,d_hz_life_term*G1598,0))</f>
        <v/>
      </c>
      <c r="AL1599" s="46">
        <f>AK1599*IF(B1599&gt;=in_marketplace_from,d_hz_life_term*G1599,0)</f>
        <v/>
      </c>
      <c r="AM1599" s="14">
        <f>F1599*AL1599*in_life_term_ticket*in_life_term_comm*in_ins_partner_share+F1599*in_life_term_ticket*in_life_term_renew_comm*in_ins_partner_share*(in_life_term_renew^1*SUMIFS(AL1579:AL1600,B1579:B1600,B1599-12)+in_life_term_renew^2*SUMIFS(AL1579:AL1600,B1579:B1600,B1599-24)+in_life_term_renew^3*SUMIFS(AL1579:AL1600,B1579:B1600,B1599-36)+in_life_term_renew^4*SUMIFS(AL1579:AL1600,B1579:B1600,B1599-48))</f>
        <v/>
      </c>
      <c r="AN1599" s="40">
        <f>AN1598*(1-IF(B1598&gt;=in_marketplace_from,d_hz_accident*G1598,0))</f>
        <v/>
      </c>
      <c r="AO1599" s="46">
        <f>AN1599*IF(B1599&gt;=in_marketplace_from,d_hz_accident*G1599,0)</f>
        <v/>
      </c>
      <c r="AP1599" s="14">
        <f>F1599*AO1599*in_accident_ticket*in_accident_comm*in_ins_partner_share+F1599*in_accident_ticket*in_accident_renew_comm*in_ins_partner_share*(in_accident_renew^1*SUMIFS(AO1579:AO1600,B1579:B1600,B1599-12)+in_accident_renew^2*SUMIFS(AO1579:AO1600,B1579:B1600,B1599-24)+in_accident_renew^3*SUMIFS(AO1579:AO1600,B1579:B1600,B1599-36)+in_accident_renew^4*SUMIFS(AO1579:AO1600,B1579:B1600,B1599-48))</f>
        <v/>
      </c>
      <c r="AQ1599" s="40">
        <f>AQ1598*(1-IF(B1598&gt;=in_marketplace_from,d_hz_two_wheeler*G1598,0))</f>
        <v/>
      </c>
      <c r="AR1599" s="46">
        <f>AQ1599*IF(B1599&gt;=in_marketplace_from,d_hz_two_wheeler*G1599,0)</f>
        <v/>
      </c>
      <c r="AS1599" s="14">
        <f>F1599*AR1599*in_two_wheeler_ticket*in_two_wheeler_comm*in_ins_partner_share+F1599*in_two_wheeler_ticket*in_two_wheeler_comm*in_ins_partner_share*(in_two_wheeler_renew^1*SUMIFS(AR1579:AR1600,B1579:B1600,B1599-12)+in_two_wheeler_renew^2*SUMIFS(AR1579:AR1600,B1579:B1600,B1599-24)+in_two_wheeler_renew^3*SUMIFS(AR1579:AR1600,B1579:B1600,B1599-36)+in_two_wheeler_renew^4*SUMIFS(AR1579:AR1600,B1579:B1600,B1599-48))</f>
        <v/>
      </c>
      <c r="AT1599" s="40">
        <f>AT1598*(1-IF(B1598&gt;=in_marketplace_from,d_hz_device*G1598,0))</f>
        <v/>
      </c>
      <c r="AU1599" s="14">
        <f>F1599*AT1599*IF(B1599&gt;=in_marketplace_from,d_hz_device*G1599,0)*in_device_ticket*in_device_comm*in_ins_partner_share</f>
        <v/>
      </c>
      <c r="AV1599" s="40">
        <f>AV1598*(1-IF(B1598&gt;=in_marketplace_from,d_hz_shop*G1598,0))</f>
        <v/>
      </c>
      <c r="AW1599" s="46">
        <f>AV1599*IF(B1599&gt;=in_marketplace_from,d_hz_shop*G1599,0)</f>
        <v/>
      </c>
      <c r="AX1599" s="14">
        <f>F1599*AW1599*in_shop_ticket*in_shop_comm*in_ins_partner_share+F1599*in_shop_ticket*in_shop_renew_comm*in_ins_partner_share*(in_shop_renew^1*SUMIFS(AW1579:AW1600,B1579:B1600,B1599-12)+in_shop_renew^2*SUMIFS(AW1579:AW1600,B1579:B1600,B1599-24)+in_shop_renew^3*SUMIFS(AW1579:AW1600,B1579:B1600,B1599-36)+in_shop_renew^4*SUMIFS(AW1579:AW1600,B1579:B1600,B1599-48))</f>
        <v/>
      </c>
      <c r="AY1599" s="40">
        <f>AY1598*(1-IF(B1598&gt;=in_marketplace_from,d_hz_sip*G1598,0))</f>
        <v/>
      </c>
      <c r="AZ1599" s="40">
        <f>AZ1598*d_rho_sip+AY1599*IF(B1599&gt;=in_marketplace_from,d_hz_sip*G1599,0)</f>
        <v/>
      </c>
      <c r="BA1599" s="40">
        <f>d_rho_sip*(BA1598+AZ1598)</f>
        <v/>
      </c>
      <c r="BB1599" s="14">
        <f>F1599*in_sip_ticket*(BA1599+0.5*AZ1599)*in_sip_comm/12</f>
        <v/>
      </c>
      <c r="BC1599" s="40">
        <f>BC1598*(1-IF(B1598&gt;=in_marketplace_from,d_hz_choti*G1598,0))</f>
        <v/>
      </c>
      <c r="BD1599" s="46">
        <f>BC1599*IF(B1599&gt;=in_marketplace_from,d_hz_choti*G1599,0)</f>
        <v/>
      </c>
      <c r="BE1599" s="14">
        <f>F1599*SUMIFS(BD1579:BD1600,B1579:B1600,B1599-in_choti_months)*in_choti_renew*in_choti_ticket</f>
        <v/>
      </c>
      <c r="BF1599" s="40">
        <f>BF1598*(1-IF(B1598&gt;=in_marketplace_from,d_hz_nps*G1598,0))</f>
        <v/>
      </c>
      <c r="BG1599" s="14">
        <f>F1599*BF1599*IF(B1599&gt;=in_marketplace_from,d_hz_nps*G1599,0)*in_nps_ticket*in_nps_comm</f>
        <v/>
      </c>
      <c r="BH1599" s="40">
        <f>BH1598*(1-IF(B1598&gt;=in_marketplace_from,d_hz_gold*G1598,0))</f>
        <v/>
      </c>
      <c r="BI1599" s="40">
        <f>BI1598*d_rho_gold+BH1599*IF(B1599&gt;=in_marketplace_from,d_hz_gold*G1599,0)</f>
        <v/>
      </c>
      <c r="BJ1599" s="14">
        <f>F1599*BI1599*in_gold_ticket*in_gold_comm</f>
        <v/>
      </c>
      <c r="BK1599" s="40">
        <f>BK1598*(1-IF(B1598&gt;=in_marketplace_from,d_hz_fd*G1598,0))</f>
        <v/>
      </c>
      <c r="BL1599" s="14">
        <f>F1599*BK1599*IF(B1599&gt;=in_marketplace_from,d_hz_fd*G1599,0)*in_fd_ticket*in_fd_comm</f>
        <v/>
      </c>
      <c r="BM1599" s="40">
        <f>BM1598*(1-IF(B1598&gt;=in_marketplace_from,d_hz_recharge*G1598,0))</f>
        <v/>
      </c>
      <c r="BN1599" s="40">
        <f>BN1598*d_rho_recharge+BM1599*IF(B1599&gt;=in_marketplace_from,d_hz_recharge*G1599,0)</f>
        <v/>
      </c>
      <c r="BO1599" s="14">
        <f>F1599*BN1599*in_recharge_ticket*in_recharge_comm/12</f>
        <v/>
      </c>
      <c r="BP1599" s="40">
        <f>BP1598*(1-IF(B1598&gt;=in_marketplace_from,d_hz_bills*G1598,0))</f>
        <v/>
      </c>
      <c r="BQ1599" s="40">
        <f>BQ1598*d_rho_bills+BP1599*IF(B1599&gt;=in_marketplace_from,d_hz_bills*G1599,0)</f>
        <v/>
      </c>
      <c r="BR1599" s="14">
        <f>F1599*BQ1599*in_bills_ticket*in_bills_comm/12</f>
        <v/>
      </c>
      <c r="BS1599" s="40">
        <f>BS1598*(1-IF(B1598&gt;=in_marketplace_from,d_hz_loan_gold*G1598,0))</f>
        <v/>
      </c>
      <c r="BT1599" s="14">
        <f>F1599*BS1599*IF(B1599&gt;=in_marketplace_from,d_hz_loan_gold*G1599,0)*in_loan_gold_ticket*in_loan_gold_comm</f>
        <v/>
      </c>
      <c r="BU1599" s="40">
        <f>BU1598*(1-IF(B1598&gt;=in_marketplace_from,d_hz_loan_cd*G1598,0))</f>
        <v/>
      </c>
      <c r="BV1599" s="14">
        <f>F1599*BU1599*IF(B1599&gt;=in_marketplace_from,d_hz_loan_cd*G1599,0)*in_loan_cd_ticket*in_loan_cd_comm</f>
        <v/>
      </c>
      <c r="BW1599" s="40">
        <f>BW1598*(1-IF(B1598&gt;=in_marketplace_from,d_hz_loan_vehicle*G1598,0))</f>
        <v/>
      </c>
      <c r="BX1599" s="14">
        <f>F1599*BW1599*IF(B1599&gt;=in_marketplace_from,d_hz_loan_vehicle*G1599,0)*in_loan_vehicle_ticket*in_loan_vehicle_comm</f>
        <v/>
      </c>
      <c r="BY1599" s="40">
        <f>BY1598*(1-IF(B1598&gt;=in_marketplace_from,d_hz_loan_home*G1598,0)*BZ1598)</f>
        <v/>
      </c>
      <c r="BZ1599" s="11">
        <f>MIN(in_approval_cap,in_loan_home_approval*INDEX('Age profile'!$O$2:$O$61,B1599)*(1+in_approval_growth)^(D1599-1))</f>
        <v/>
      </c>
      <c r="CA1599" s="14">
        <f>F1599*BY1599*IF(B1599&gt;=in_marketplace_from,d_hz_loan_home*G1599,0)*BZ1599*in_loan_home_ticket*in_loan_home_comm</f>
        <v/>
      </c>
      <c r="CB1599" s="40">
        <f>CB1598*(1-IF(B1598&gt;=in_marketplace_from,d_hz_loan_lap*G1598,0)*CC1598)</f>
        <v/>
      </c>
      <c r="CC1599" s="11">
        <f>MIN(in_approval_cap,in_loan_lap_approval*INDEX('Age profile'!$O$2:$O$61,B1599)*(1+in_approval_growth)^(D1599-1))</f>
        <v/>
      </c>
      <c r="CD1599" s="14">
        <f>F1599*CB1599*IF(B1599&gt;=in_marketplace_from,d_hz_loan_lap*G1599,0)*CC1599*in_loan_lap_ticket*in_loan_lap_comm</f>
        <v/>
      </c>
      <c r="CE1599" s="14">
        <f>AA1599+AB1599+AC1599+AD1599+AG1599+AJ1599+AM1599+AP1599+AS1599+AU1599+AX1599+BB1599+BE1599+BG1599+BJ1599+BL1599+BO1599+BR1599+BT1599+BV1599+BX1599+CA1599+CD1599</f>
        <v/>
      </c>
    </row>
    <row r="1600">
      <c r="A1600" s="39" t="n">
        <v>39</v>
      </c>
      <c r="B1600" s="39" t="n">
        <v>22</v>
      </c>
      <c r="C1600" s="39">
        <f>A1600+B1600-1</f>
        <v/>
      </c>
      <c r="D1600" s="39">
        <f>INT((C1600-1)/12)+1</f>
        <v/>
      </c>
      <c r="E1600" s="44">
        <f>INDEX(Monthly!$B$2:$B$61,A1600)</f>
        <v/>
      </c>
      <c r="F1600" s="44">
        <f>E1600*INDEX('Age profile'!$B$2:$B$61,B1600)</f>
        <v/>
      </c>
      <c r="G1600" s="45">
        <f>MIN(in_takeup_cap,INDEX('Age profile'!$N$2:$N$61,B1600)*(1+in_takeup_growth)^(D1600-1))</f>
        <v/>
      </c>
      <c r="H1600" s="11">
        <f>MIN(in_approval_cap,in_approved_first*INDEX('Age profile'!$O$2:$O$61,B1600)*(1+in_approval_growth)^(D1600-1))</f>
        <v/>
      </c>
      <c r="I1600" s="45">
        <f>G1600*MIN(in_takeup_cap,INDEX('Age profile'!$O$2:$O$61,B1600)*(1+in_approval_growth)^(D1600-1))</f>
        <v/>
      </c>
      <c r="J1600" s="40">
        <f>(J1599-L1599)*F1600/F1599</f>
        <v/>
      </c>
      <c r="K1600" s="40">
        <f>(K1599-M1599)*F1600/F1599+SUMIFS(O1579:O1599,B1579:B1599,B1600-1-d_T)*F1600</f>
        <v/>
      </c>
      <c r="L1600" s="40">
        <f>IF(B1600&gt;=in_marketplace_from,J1600*d_hz*G1600*in_eligible*H1600,0)</f>
        <v/>
      </c>
      <c r="M1600" s="40">
        <f>IF(B1600&gt;=in_marketplace_from,K1600*d_hz*G1600*in_eligible*in_approved_repeat,0)</f>
        <v/>
      </c>
      <c r="N1600" s="40">
        <f>L1600+M1600</f>
        <v/>
      </c>
      <c r="O1600" s="46">
        <f>N1600/F1600</f>
        <v/>
      </c>
      <c r="P1600" s="40">
        <f>F1600-J1600-K1600</f>
        <v/>
      </c>
      <c r="Q1600" s="40">
        <f>IF(B1600&gt;=in_marketplace_from,(J1600+K1600)*d_hz*G1600,0)</f>
        <v/>
      </c>
      <c r="R1600" s="40">
        <f>SUMIFS(N1579:N1600,B1579:B1600,"&gt;="&amp;(B1600-d_T),B1579:B1600,"&lt;="&amp;(B1600-1))</f>
        <v/>
      </c>
      <c r="S1600" s="46">
        <f>(1-d_u)*S1599+IF(d_T&gt;in_topup_lag,SUMIFS(O1579:O1600,B1579:B1600,B1600-in_topup_lag)-d_udrop*SUMIFS(O1579:O1600,B1579:B1600,B1600-d_T),0)</f>
        <v/>
      </c>
      <c r="T1600" s="40">
        <f>F1600*d_u*S1600</f>
        <v/>
      </c>
      <c r="U1600" s="9">
        <f>L1600*in_ticket+M1600*d_rep_ticket</f>
        <v/>
      </c>
      <c r="V1600" s="9">
        <f>U1600+T1600*d_topup_amt</f>
        <v/>
      </c>
      <c r="W1600" s="40">
        <f>N1600+T1600*d_topup_ratio</f>
        <v/>
      </c>
      <c r="X1600" s="40">
        <f>SUMIFS(W1579:W1600,B1579:B1600,B1600-in_dpd_lag)*d_cured</f>
        <v/>
      </c>
      <c r="Y1600" s="40">
        <f>SUMIFS(W1579:W1600,B1579:B1600,B1600-in_rec_lag)*d_recd</f>
        <v/>
      </c>
      <c r="Z1600" s="40">
        <f>IF(AND(B1600&gt;=in_marketplace_from,B1600&lt;in_marketplace_from+in_card_months),in_card_share/in_card_months*F1600*I1600,IF(AND(B1600&gt;=in_marketplace_from+in_card_months,B1600&lt;in_marketplace_from+2*in_card_months),in_card_share*d_card_rem/in_card_months*F1600*MIN(in_takeup_cap,(1+in_takeup_growth)^(D1600-1))*MIN(in_takeup_cap,(1+in_approval_growth)^(D1600-1)),0))</f>
        <v/>
      </c>
      <c r="AA1600" s="14">
        <f>V1600*in_fee*(1-in_taken_back)</f>
        <v/>
      </c>
      <c r="AB1600" s="14">
        <f>SUMIFS(W1579:W1600,B1579:B1600,B1600-in_dpd_lag)*d_dpd</f>
        <v/>
      </c>
      <c r="AC1600" s="14">
        <f>SUMIFS(W1579:W1600,B1579:B1600,B1600-in_rec_lag)*d_rec</f>
        <v/>
      </c>
      <c r="AD1600" s="14">
        <f>Z1600*in_card_fee</f>
        <v/>
      </c>
      <c r="AE1600" s="40">
        <f>AE1599*(1-IF(B1599&gt;=in_marketplace_from,d_hz_hlth_small*G1599,0))</f>
        <v/>
      </c>
      <c r="AF1600" s="46">
        <f>AE1600*IF(B1600&gt;=in_marketplace_from,d_hz_hlth_small*G1600,0)</f>
        <v/>
      </c>
      <c r="AG1600" s="14">
        <f>F1600*AF1600*in_hlth_small_ticket*in_hlth_small_comm*in_ins_partner_share+F1600*in_hlth_small_ticket*in_hlth_small_renew_comm*in_ins_partner_share*(in_hlth_small_renew^1*SUMIFS(AF1579:AF1600,B1579:B1600,B1600-12)+in_hlth_small_renew^2*SUMIFS(AF1579:AF1600,B1579:B1600,B1600-24)+in_hlth_small_renew^3*SUMIFS(AF1579:AF1600,B1579:B1600,B1600-36)+in_hlth_small_renew^4*SUMIFS(AF1579:AF1600,B1579:B1600,B1600-48))</f>
        <v/>
      </c>
      <c r="AH1600" s="40">
        <f>AH1599*(1-IF(B1599&gt;=in_marketplace_from,d_hz_hlth_family*G1599,0))</f>
        <v/>
      </c>
      <c r="AI1600" s="46">
        <f>AH1600*IF(B1600&gt;=in_marketplace_from,d_hz_hlth_family*G1600,0)</f>
        <v/>
      </c>
      <c r="AJ1600" s="14">
        <f>F1600*AI1600*in_hlth_family_ticket*in_hlth_family_comm*in_ins_partner_share+F1600*in_hlth_family_ticket*in_hlth_family_renew_comm*in_ins_partner_share*(in_hlth_family_renew^1*SUMIFS(AI1579:AI1600,B1579:B1600,B1600-12)+in_hlth_family_renew^2*SUMIFS(AI1579:AI1600,B1579:B1600,B1600-24)+in_hlth_family_renew^3*SUMIFS(AI1579:AI1600,B1579:B1600,B1600-36)+in_hlth_family_renew^4*SUMIFS(AI1579:AI1600,B1579:B1600,B1600-48))</f>
        <v/>
      </c>
      <c r="AK1600" s="40">
        <f>AK1599*(1-IF(B1599&gt;=in_marketplace_from,d_hz_life_term*G1599,0))</f>
        <v/>
      </c>
      <c r="AL1600" s="46">
        <f>AK1600*IF(B1600&gt;=in_marketplace_from,d_hz_life_term*G1600,0)</f>
        <v/>
      </c>
      <c r="AM1600" s="14">
        <f>F1600*AL1600*in_life_term_ticket*in_life_term_comm*in_ins_partner_share+F1600*in_life_term_ticket*in_life_term_renew_comm*in_ins_partner_share*(in_life_term_renew^1*SUMIFS(AL1579:AL1600,B1579:B1600,B1600-12)+in_life_term_renew^2*SUMIFS(AL1579:AL1600,B1579:B1600,B1600-24)+in_life_term_renew^3*SUMIFS(AL1579:AL1600,B1579:B1600,B1600-36)+in_life_term_renew^4*SUMIFS(AL1579:AL1600,B1579:B1600,B1600-48))</f>
        <v/>
      </c>
      <c r="AN1600" s="40">
        <f>AN1599*(1-IF(B1599&gt;=in_marketplace_from,d_hz_accident*G1599,0))</f>
        <v/>
      </c>
      <c r="AO1600" s="46">
        <f>AN1600*IF(B1600&gt;=in_marketplace_from,d_hz_accident*G1600,0)</f>
        <v/>
      </c>
      <c r="AP1600" s="14">
        <f>F1600*AO1600*in_accident_ticket*in_accident_comm*in_ins_partner_share+F1600*in_accident_ticket*in_accident_renew_comm*in_ins_partner_share*(in_accident_renew^1*SUMIFS(AO1579:AO1600,B1579:B1600,B1600-12)+in_accident_renew^2*SUMIFS(AO1579:AO1600,B1579:B1600,B1600-24)+in_accident_renew^3*SUMIFS(AO1579:AO1600,B1579:B1600,B1600-36)+in_accident_renew^4*SUMIFS(AO1579:AO1600,B1579:B1600,B1600-48))</f>
        <v/>
      </c>
      <c r="AQ1600" s="40">
        <f>AQ1599*(1-IF(B1599&gt;=in_marketplace_from,d_hz_two_wheeler*G1599,0))</f>
        <v/>
      </c>
      <c r="AR1600" s="46">
        <f>AQ1600*IF(B1600&gt;=in_marketplace_from,d_hz_two_wheeler*G1600,0)</f>
        <v/>
      </c>
      <c r="AS1600" s="14">
        <f>F1600*AR1600*in_two_wheeler_ticket*in_two_wheeler_comm*in_ins_partner_share+F1600*in_two_wheeler_ticket*in_two_wheeler_comm*in_ins_partner_share*(in_two_wheeler_renew^1*SUMIFS(AR1579:AR1600,B1579:B1600,B1600-12)+in_two_wheeler_renew^2*SUMIFS(AR1579:AR1600,B1579:B1600,B1600-24)+in_two_wheeler_renew^3*SUMIFS(AR1579:AR1600,B1579:B1600,B1600-36)+in_two_wheeler_renew^4*SUMIFS(AR1579:AR1600,B1579:B1600,B1600-48))</f>
        <v/>
      </c>
      <c r="AT1600" s="40">
        <f>AT1599*(1-IF(B1599&gt;=in_marketplace_from,d_hz_device*G1599,0))</f>
        <v/>
      </c>
      <c r="AU1600" s="14">
        <f>F1600*AT1600*IF(B1600&gt;=in_marketplace_from,d_hz_device*G1600,0)*in_device_ticket*in_device_comm*in_ins_partner_share</f>
        <v/>
      </c>
      <c r="AV1600" s="40">
        <f>AV1599*(1-IF(B1599&gt;=in_marketplace_from,d_hz_shop*G1599,0))</f>
        <v/>
      </c>
      <c r="AW1600" s="46">
        <f>AV1600*IF(B1600&gt;=in_marketplace_from,d_hz_shop*G1600,0)</f>
        <v/>
      </c>
      <c r="AX1600" s="14">
        <f>F1600*AW1600*in_shop_ticket*in_shop_comm*in_ins_partner_share+F1600*in_shop_ticket*in_shop_renew_comm*in_ins_partner_share*(in_shop_renew^1*SUMIFS(AW1579:AW1600,B1579:B1600,B1600-12)+in_shop_renew^2*SUMIFS(AW1579:AW1600,B1579:B1600,B1600-24)+in_shop_renew^3*SUMIFS(AW1579:AW1600,B1579:B1600,B1600-36)+in_shop_renew^4*SUMIFS(AW1579:AW1600,B1579:B1600,B1600-48))</f>
        <v/>
      </c>
      <c r="AY1600" s="40">
        <f>AY1599*(1-IF(B1599&gt;=in_marketplace_from,d_hz_sip*G1599,0))</f>
        <v/>
      </c>
      <c r="AZ1600" s="40">
        <f>AZ1599*d_rho_sip+AY1600*IF(B1600&gt;=in_marketplace_from,d_hz_sip*G1600,0)</f>
        <v/>
      </c>
      <c r="BA1600" s="40">
        <f>d_rho_sip*(BA1599+AZ1599)</f>
        <v/>
      </c>
      <c r="BB1600" s="14">
        <f>F1600*in_sip_ticket*(BA1600+0.5*AZ1600)*in_sip_comm/12</f>
        <v/>
      </c>
      <c r="BC1600" s="40">
        <f>BC1599*(1-IF(B1599&gt;=in_marketplace_from,d_hz_choti*G1599,0))</f>
        <v/>
      </c>
      <c r="BD1600" s="46">
        <f>BC1600*IF(B1600&gt;=in_marketplace_from,d_hz_choti*G1600,0)</f>
        <v/>
      </c>
      <c r="BE1600" s="14">
        <f>F1600*SUMIFS(BD1579:BD1600,B1579:B1600,B1600-in_choti_months)*in_choti_renew*in_choti_ticket</f>
        <v/>
      </c>
      <c r="BF1600" s="40">
        <f>BF1599*(1-IF(B1599&gt;=in_marketplace_from,d_hz_nps*G1599,0))</f>
        <v/>
      </c>
      <c r="BG1600" s="14">
        <f>F1600*BF1600*IF(B1600&gt;=in_marketplace_from,d_hz_nps*G1600,0)*in_nps_ticket*in_nps_comm</f>
        <v/>
      </c>
      <c r="BH1600" s="40">
        <f>BH1599*(1-IF(B1599&gt;=in_marketplace_from,d_hz_gold*G1599,0))</f>
        <v/>
      </c>
      <c r="BI1600" s="40">
        <f>BI1599*d_rho_gold+BH1600*IF(B1600&gt;=in_marketplace_from,d_hz_gold*G1600,0)</f>
        <v/>
      </c>
      <c r="BJ1600" s="14">
        <f>F1600*BI1600*in_gold_ticket*in_gold_comm</f>
        <v/>
      </c>
      <c r="BK1600" s="40">
        <f>BK1599*(1-IF(B1599&gt;=in_marketplace_from,d_hz_fd*G1599,0))</f>
        <v/>
      </c>
      <c r="BL1600" s="14">
        <f>F1600*BK1600*IF(B1600&gt;=in_marketplace_from,d_hz_fd*G1600,0)*in_fd_ticket*in_fd_comm</f>
        <v/>
      </c>
      <c r="BM1600" s="40">
        <f>BM1599*(1-IF(B1599&gt;=in_marketplace_from,d_hz_recharge*G1599,0))</f>
        <v/>
      </c>
      <c r="BN1600" s="40">
        <f>BN1599*d_rho_recharge+BM1600*IF(B1600&gt;=in_marketplace_from,d_hz_recharge*G1600,0)</f>
        <v/>
      </c>
      <c r="BO1600" s="14">
        <f>F1600*BN1600*in_recharge_ticket*in_recharge_comm/12</f>
        <v/>
      </c>
      <c r="BP1600" s="40">
        <f>BP1599*(1-IF(B1599&gt;=in_marketplace_from,d_hz_bills*G1599,0))</f>
        <v/>
      </c>
      <c r="BQ1600" s="40">
        <f>BQ1599*d_rho_bills+BP1600*IF(B1600&gt;=in_marketplace_from,d_hz_bills*G1600,0)</f>
        <v/>
      </c>
      <c r="BR1600" s="14">
        <f>F1600*BQ1600*in_bills_ticket*in_bills_comm/12</f>
        <v/>
      </c>
      <c r="BS1600" s="40">
        <f>BS1599*(1-IF(B1599&gt;=in_marketplace_from,d_hz_loan_gold*G1599,0))</f>
        <v/>
      </c>
      <c r="BT1600" s="14">
        <f>F1600*BS1600*IF(B1600&gt;=in_marketplace_from,d_hz_loan_gold*G1600,0)*in_loan_gold_ticket*in_loan_gold_comm</f>
        <v/>
      </c>
      <c r="BU1600" s="40">
        <f>BU1599*(1-IF(B1599&gt;=in_marketplace_from,d_hz_loan_cd*G1599,0))</f>
        <v/>
      </c>
      <c r="BV1600" s="14">
        <f>F1600*BU1600*IF(B1600&gt;=in_marketplace_from,d_hz_loan_cd*G1600,0)*in_loan_cd_ticket*in_loan_cd_comm</f>
        <v/>
      </c>
      <c r="BW1600" s="40">
        <f>BW1599*(1-IF(B1599&gt;=in_marketplace_from,d_hz_loan_vehicle*G1599,0))</f>
        <v/>
      </c>
      <c r="BX1600" s="14">
        <f>F1600*BW1600*IF(B1600&gt;=in_marketplace_from,d_hz_loan_vehicle*G1600,0)*in_loan_vehicle_ticket*in_loan_vehicle_comm</f>
        <v/>
      </c>
      <c r="BY1600" s="40">
        <f>BY1599*(1-IF(B1599&gt;=in_marketplace_from,d_hz_loan_home*G1599,0)*BZ1599)</f>
        <v/>
      </c>
      <c r="BZ1600" s="11">
        <f>MIN(in_approval_cap,in_loan_home_approval*INDEX('Age profile'!$O$2:$O$61,B1600)*(1+in_approval_growth)^(D1600-1))</f>
        <v/>
      </c>
      <c r="CA1600" s="14">
        <f>F1600*BY1600*IF(B1600&gt;=in_marketplace_from,d_hz_loan_home*G1600,0)*BZ1600*in_loan_home_ticket*in_loan_home_comm</f>
        <v/>
      </c>
      <c r="CB1600" s="40">
        <f>CB1599*(1-IF(B1599&gt;=in_marketplace_from,d_hz_loan_lap*G1599,0)*CC1599)</f>
        <v/>
      </c>
      <c r="CC1600" s="11">
        <f>MIN(in_approval_cap,in_loan_lap_approval*INDEX('Age profile'!$O$2:$O$61,B1600)*(1+in_approval_growth)^(D1600-1))</f>
        <v/>
      </c>
      <c r="CD1600" s="14">
        <f>F1600*CB1600*IF(B1600&gt;=in_marketplace_from,d_hz_loan_lap*G1600,0)*CC1600*in_loan_lap_ticket*in_loan_lap_comm</f>
        <v/>
      </c>
      <c r="CE1600" s="14">
        <f>AA1600+AB1600+AC1600+AD1600+AG1600+AJ1600+AM1600+AP1600+AS1600+AU1600+AX1600+BB1600+BE1600+BG1600+BJ1600+BL1600+BO1600+BR1600+BT1600+BV1600+BX1600+CA1600+CD1600</f>
        <v/>
      </c>
    </row>
    <row r="1601">
      <c r="A1601" s="39" t="n">
        <v>40</v>
      </c>
      <c r="B1601" s="39" t="n">
        <v>1</v>
      </c>
      <c r="C1601" s="39">
        <f>A1601+B1601-1</f>
        <v/>
      </c>
      <c r="D1601" s="39">
        <f>INT((C1601-1)/12)+1</f>
        <v/>
      </c>
      <c r="E1601" s="44">
        <f>INDEX(Monthly!$B$2:$B$61,A1601)</f>
        <v/>
      </c>
      <c r="F1601" s="44">
        <f>E1601*INDEX('Age profile'!$B$2:$B$61,B1601)</f>
        <v/>
      </c>
      <c r="G1601" s="45">
        <f>MIN(in_takeup_cap,INDEX('Age profile'!$N$2:$N$61,B1601)*(1+in_takeup_growth)^(D1601-1))</f>
        <v/>
      </c>
      <c r="H1601" s="11">
        <f>MIN(in_approval_cap,in_approved_first*INDEX('Age profile'!$O$2:$O$61,B1601)*(1+in_approval_growth)^(D1601-1))</f>
        <v/>
      </c>
      <c r="I1601" s="45">
        <f>G1601*MIN(in_takeup_cap,INDEX('Age profile'!$O$2:$O$61,B1601)*(1+in_approval_growth)^(D1601-1))</f>
        <v/>
      </c>
      <c r="J1601" s="40">
        <f>E1601</f>
        <v/>
      </c>
      <c r="K1601" s="40" t="n">
        <v>0</v>
      </c>
      <c r="L1601" s="40">
        <f>IF(B1601&gt;=in_marketplace_from,J1601*d_hz*G1601*in_eligible*H1601,0)</f>
        <v/>
      </c>
      <c r="M1601" s="40">
        <f>IF(B1601&gt;=in_marketplace_from,K1601*d_hz*G1601*in_eligible*in_approved_repeat,0)</f>
        <v/>
      </c>
      <c r="N1601" s="40">
        <f>L1601+M1601</f>
        <v/>
      </c>
      <c r="O1601" s="46">
        <f>N1601/F1601</f>
        <v/>
      </c>
      <c r="P1601" s="40">
        <f>F1601-J1601-K1601</f>
        <v/>
      </c>
      <c r="Q1601" s="40">
        <f>IF(B1601&gt;=in_marketplace_from,(J1601+K1601)*d_hz*G1601,0)</f>
        <v/>
      </c>
      <c r="R1601" s="40">
        <f>SUMIFS(N1601:N1621,B1601:B1621,"&gt;="&amp;(B1601-d_T),B1601:B1621,"&lt;="&amp;(B1601-1))</f>
        <v/>
      </c>
      <c r="S1601" s="46" t="n">
        <v>0</v>
      </c>
      <c r="T1601" s="40">
        <f>F1601*d_u*S1601</f>
        <v/>
      </c>
      <c r="U1601" s="9">
        <f>L1601*in_ticket+M1601*d_rep_ticket</f>
        <v/>
      </c>
      <c r="V1601" s="9">
        <f>U1601+T1601*d_topup_amt</f>
        <v/>
      </c>
      <c r="W1601" s="40">
        <f>N1601+T1601*d_topup_ratio</f>
        <v/>
      </c>
      <c r="X1601" s="40">
        <f>SUMIFS(W1601:W1621,B1601:B1621,B1601-in_dpd_lag)*d_cured</f>
        <v/>
      </c>
      <c r="Y1601" s="40">
        <f>SUMIFS(W1601:W1621,B1601:B1621,B1601-in_rec_lag)*d_recd</f>
        <v/>
      </c>
      <c r="Z1601" s="40">
        <f>IF(AND(B1601&gt;=in_marketplace_from,B1601&lt;in_marketplace_from+in_card_months),in_card_share/in_card_months*F1601*I1601,IF(AND(B1601&gt;=in_marketplace_from+in_card_months,B1601&lt;in_marketplace_from+2*in_card_months),in_card_share*d_card_rem/in_card_months*F1601*MIN(in_takeup_cap,(1+in_takeup_growth)^(D1601-1))*MIN(in_takeup_cap,(1+in_approval_growth)^(D1601-1)),0))</f>
        <v/>
      </c>
      <c r="AA1601" s="14">
        <f>V1601*in_fee*(1-in_taken_back)</f>
        <v/>
      </c>
      <c r="AB1601" s="14">
        <f>SUMIFS(W1601:W1621,B1601:B1621,B1601-in_dpd_lag)*d_dpd</f>
        <v/>
      </c>
      <c r="AC1601" s="14">
        <f>SUMIFS(W1601:W1621,B1601:B1621,B1601-in_rec_lag)*d_rec</f>
        <v/>
      </c>
      <c r="AD1601" s="14">
        <f>Z1601*in_card_fee</f>
        <v/>
      </c>
      <c r="AE1601" s="40" t="n">
        <v>1</v>
      </c>
      <c r="AF1601" s="46">
        <f>AE1601*IF(B1601&gt;=in_marketplace_from,d_hz_hlth_small*G1601,0)</f>
        <v/>
      </c>
      <c r="AG1601" s="14">
        <f>F1601*AF1601*in_hlth_small_ticket*in_hlth_small_comm*in_ins_partner_share+F1601*in_hlth_small_ticket*in_hlth_small_renew_comm*in_ins_partner_share*(in_hlth_small_renew^1*SUMIFS(AF1601:AF1621,B1601:B1621,B1601-12)+in_hlth_small_renew^2*SUMIFS(AF1601:AF1621,B1601:B1621,B1601-24)+in_hlth_small_renew^3*SUMIFS(AF1601:AF1621,B1601:B1621,B1601-36)+in_hlth_small_renew^4*SUMIFS(AF1601:AF1621,B1601:B1621,B1601-48))</f>
        <v/>
      </c>
      <c r="AH1601" s="40" t="n">
        <v>1</v>
      </c>
      <c r="AI1601" s="46">
        <f>AH1601*IF(B1601&gt;=in_marketplace_from,d_hz_hlth_family*G1601,0)</f>
        <v/>
      </c>
      <c r="AJ1601" s="14">
        <f>F1601*AI1601*in_hlth_family_ticket*in_hlth_family_comm*in_ins_partner_share+F1601*in_hlth_family_ticket*in_hlth_family_renew_comm*in_ins_partner_share*(in_hlth_family_renew^1*SUMIFS(AI1601:AI1621,B1601:B1621,B1601-12)+in_hlth_family_renew^2*SUMIFS(AI1601:AI1621,B1601:B1621,B1601-24)+in_hlth_family_renew^3*SUMIFS(AI1601:AI1621,B1601:B1621,B1601-36)+in_hlth_family_renew^4*SUMIFS(AI1601:AI1621,B1601:B1621,B1601-48))</f>
        <v/>
      </c>
      <c r="AK1601" s="40" t="n">
        <v>1</v>
      </c>
      <c r="AL1601" s="46">
        <f>AK1601*IF(B1601&gt;=in_marketplace_from,d_hz_life_term*G1601,0)</f>
        <v/>
      </c>
      <c r="AM1601" s="14">
        <f>F1601*AL1601*in_life_term_ticket*in_life_term_comm*in_ins_partner_share+F1601*in_life_term_ticket*in_life_term_renew_comm*in_ins_partner_share*(in_life_term_renew^1*SUMIFS(AL1601:AL1621,B1601:B1621,B1601-12)+in_life_term_renew^2*SUMIFS(AL1601:AL1621,B1601:B1621,B1601-24)+in_life_term_renew^3*SUMIFS(AL1601:AL1621,B1601:B1621,B1601-36)+in_life_term_renew^4*SUMIFS(AL1601:AL1621,B1601:B1621,B1601-48))</f>
        <v/>
      </c>
      <c r="AN1601" s="40" t="n">
        <v>1</v>
      </c>
      <c r="AO1601" s="46">
        <f>AN1601*IF(B1601&gt;=in_marketplace_from,d_hz_accident*G1601,0)</f>
        <v/>
      </c>
      <c r="AP1601" s="14">
        <f>F1601*AO1601*in_accident_ticket*in_accident_comm*in_ins_partner_share+F1601*in_accident_ticket*in_accident_renew_comm*in_ins_partner_share*(in_accident_renew^1*SUMIFS(AO1601:AO1621,B1601:B1621,B1601-12)+in_accident_renew^2*SUMIFS(AO1601:AO1621,B1601:B1621,B1601-24)+in_accident_renew^3*SUMIFS(AO1601:AO1621,B1601:B1621,B1601-36)+in_accident_renew^4*SUMIFS(AO1601:AO1621,B1601:B1621,B1601-48))</f>
        <v/>
      </c>
      <c r="AQ1601" s="40" t="n">
        <v>1</v>
      </c>
      <c r="AR1601" s="46">
        <f>AQ1601*IF(B1601&gt;=in_marketplace_from,d_hz_two_wheeler*G1601,0)</f>
        <v/>
      </c>
      <c r="AS1601" s="14">
        <f>F1601*AR1601*in_two_wheeler_ticket*in_two_wheeler_comm*in_ins_partner_share+F1601*in_two_wheeler_ticket*in_two_wheeler_comm*in_ins_partner_share*(in_two_wheeler_renew^1*SUMIFS(AR1601:AR1621,B1601:B1621,B1601-12)+in_two_wheeler_renew^2*SUMIFS(AR1601:AR1621,B1601:B1621,B1601-24)+in_two_wheeler_renew^3*SUMIFS(AR1601:AR1621,B1601:B1621,B1601-36)+in_two_wheeler_renew^4*SUMIFS(AR1601:AR1621,B1601:B1621,B1601-48))</f>
        <v/>
      </c>
      <c r="AT1601" s="40" t="n">
        <v>1</v>
      </c>
      <c r="AU1601" s="14">
        <f>F1601*AT1601*IF(B1601&gt;=in_marketplace_from,d_hz_device*G1601,0)*in_device_ticket*in_device_comm*in_ins_partner_share</f>
        <v/>
      </c>
      <c r="AV1601" s="40" t="n">
        <v>1</v>
      </c>
      <c r="AW1601" s="46">
        <f>AV1601*IF(B1601&gt;=in_marketplace_from,d_hz_shop*G1601,0)</f>
        <v/>
      </c>
      <c r="AX1601" s="14">
        <f>F1601*AW1601*in_shop_ticket*in_shop_comm*in_ins_partner_share+F1601*in_shop_ticket*in_shop_renew_comm*in_ins_partner_share*(in_shop_renew^1*SUMIFS(AW1601:AW1621,B1601:B1621,B1601-12)+in_shop_renew^2*SUMIFS(AW1601:AW1621,B1601:B1621,B1601-24)+in_shop_renew^3*SUMIFS(AW1601:AW1621,B1601:B1621,B1601-36)+in_shop_renew^4*SUMIFS(AW1601:AW1621,B1601:B1621,B1601-48))</f>
        <v/>
      </c>
      <c r="AY1601" s="40" t="n">
        <v>1</v>
      </c>
      <c r="AZ1601" s="40">
        <f>AY1601*IF(B1601&gt;=in_marketplace_from,d_hz_sip*G1601,0)</f>
        <v/>
      </c>
      <c r="BA1601" s="40" t="n">
        <v>0</v>
      </c>
      <c r="BB1601" s="14">
        <f>F1601*in_sip_ticket*(BA1601+0.5*AZ1601)*in_sip_comm/12</f>
        <v/>
      </c>
      <c r="BC1601" s="40" t="n">
        <v>1</v>
      </c>
      <c r="BD1601" s="46">
        <f>BC1601*IF(B1601&gt;=in_marketplace_from,d_hz_choti*G1601,0)</f>
        <v/>
      </c>
      <c r="BE1601" s="14">
        <f>F1601*SUMIFS(BD1601:BD1621,B1601:B1621,B1601-in_choti_months)*in_choti_renew*in_choti_ticket</f>
        <v/>
      </c>
      <c r="BF1601" s="40" t="n">
        <v>1</v>
      </c>
      <c r="BG1601" s="14">
        <f>F1601*BF1601*IF(B1601&gt;=in_marketplace_from,d_hz_nps*G1601,0)*in_nps_ticket*in_nps_comm</f>
        <v/>
      </c>
      <c r="BH1601" s="40" t="n">
        <v>1</v>
      </c>
      <c r="BI1601" s="40">
        <f>BH1601*IF(B1601&gt;=in_marketplace_from,d_hz_gold*G1601,0)</f>
        <v/>
      </c>
      <c r="BJ1601" s="14">
        <f>F1601*BI1601*in_gold_ticket*in_gold_comm</f>
        <v/>
      </c>
      <c r="BK1601" s="40" t="n">
        <v>1</v>
      </c>
      <c r="BL1601" s="14">
        <f>F1601*BK1601*IF(B1601&gt;=in_marketplace_from,d_hz_fd*G1601,0)*in_fd_ticket*in_fd_comm</f>
        <v/>
      </c>
      <c r="BM1601" s="40" t="n">
        <v>1</v>
      </c>
      <c r="BN1601" s="40">
        <f>BM1601*IF(B1601&gt;=in_marketplace_from,d_hz_recharge*G1601,0)</f>
        <v/>
      </c>
      <c r="BO1601" s="14">
        <f>F1601*BN1601*in_recharge_ticket*in_recharge_comm/12</f>
        <v/>
      </c>
      <c r="BP1601" s="40" t="n">
        <v>1</v>
      </c>
      <c r="BQ1601" s="40">
        <f>BP1601*IF(B1601&gt;=in_marketplace_from,d_hz_bills*G1601,0)</f>
        <v/>
      </c>
      <c r="BR1601" s="14">
        <f>F1601*BQ1601*in_bills_ticket*in_bills_comm/12</f>
        <v/>
      </c>
      <c r="BS1601" s="40" t="n">
        <v>1</v>
      </c>
      <c r="BT1601" s="14">
        <f>F1601*BS1601*IF(B1601&gt;=in_marketplace_from,d_hz_loan_gold*G1601,0)*in_loan_gold_ticket*in_loan_gold_comm</f>
        <v/>
      </c>
      <c r="BU1601" s="40" t="n">
        <v>1</v>
      </c>
      <c r="BV1601" s="14">
        <f>F1601*BU1601*IF(B1601&gt;=in_marketplace_from,d_hz_loan_cd*G1601,0)*in_loan_cd_ticket*in_loan_cd_comm</f>
        <v/>
      </c>
      <c r="BW1601" s="40" t="n">
        <v>1</v>
      </c>
      <c r="BX1601" s="14">
        <f>F1601*BW1601*IF(B1601&gt;=in_marketplace_from,d_hz_loan_vehicle*G1601,0)*in_loan_vehicle_ticket*in_loan_vehicle_comm</f>
        <v/>
      </c>
      <c r="BY1601" s="40" t="n">
        <v>1</v>
      </c>
      <c r="BZ1601" s="11">
        <f>MIN(in_approval_cap,in_loan_home_approval*INDEX('Age profile'!$O$2:$O$61,B1601)*(1+in_approval_growth)^(D1601-1))</f>
        <v/>
      </c>
      <c r="CA1601" s="14">
        <f>F1601*BY1601*IF(B1601&gt;=in_marketplace_from,d_hz_loan_home*G1601,0)*BZ1601*in_loan_home_ticket*in_loan_home_comm</f>
        <v/>
      </c>
      <c r="CB1601" s="40" t="n">
        <v>1</v>
      </c>
      <c r="CC1601" s="11">
        <f>MIN(in_approval_cap,in_loan_lap_approval*INDEX('Age profile'!$O$2:$O$61,B1601)*(1+in_approval_growth)^(D1601-1))</f>
        <v/>
      </c>
      <c r="CD1601" s="14">
        <f>F1601*CB1601*IF(B1601&gt;=in_marketplace_from,d_hz_loan_lap*G1601,0)*CC1601*in_loan_lap_ticket*in_loan_lap_comm</f>
        <v/>
      </c>
      <c r="CE1601" s="14">
        <f>AA1601+AB1601+AC1601+AD1601+AG1601+AJ1601+AM1601+AP1601+AS1601+AU1601+AX1601+BB1601+BE1601+BG1601+BJ1601+BL1601+BO1601+BR1601+BT1601+BV1601+BX1601+CA1601+CD1601</f>
        <v/>
      </c>
    </row>
    <row r="1602">
      <c r="A1602" s="39" t="n">
        <v>40</v>
      </c>
      <c r="B1602" s="39" t="n">
        <v>2</v>
      </c>
      <c r="C1602" s="39">
        <f>A1602+B1602-1</f>
        <v/>
      </c>
      <c r="D1602" s="39">
        <f>INT((C1602-1)/12)+1</f>
        <v/>
      </c>
      <c r="E1602" s="44">
        <f>INDEX(Monthly!$B$2:$B$61,A1602)</f>
        <v/>
      </c>
      <c r="F1602" s="44">
        <f>E1602*INDEX('Age profile'!$B$2:$B$61,B1602)</f>
        <v/>
      </c>
      <c r="G1602" s="45">
        <f>MIN(in_takeup_cap,INDEX('Age profile'!$N$2:$N$61,B1602)*(1+in_takeup_growth)^(D1602-1))</f>
        <v/>
      </c>
      <c r="H1602" s="11">
        <f>MIN(in_approval_cap,in_approved_first*INDEX('Age profile'!$O$2:$O$61,B1602)*(1+in_approval_growth)^(D1602-1))</f>
        <v/>
      </c>
      <c r="I1602" s="45">
        <f>G1602*MIN(in_takeup_cap,INDEX('Age profile'!$O$2:$O$61,B1602)*(1+in_approval_growth)^(D1602-1))</f>
        <v/>
      </c>
      <c r="J1602" s="40">
        <f>(J1601-L1601)*F1602/F1601</f>
        <v/>
      </c>
      <c r="K1602" s="40">
        <f>(K1601-M1601)*F1602/F1601+SUMIFS(O1601:O1601,B1601:B1601,B1602-1-d_T)*F1602</f>
        <v/>
      </c>
      <c r="L1602" s="40">
        <f>IF(B1602&gt;=in_marketplace_from,J1602*d_hz*G1602*in_eligible*H1602,0)</f>
        <v/>
      </c>
      <c r="M1602" s="40">
        <f>IF(B1602&gt;=in_marketplace_from,K1602*d_hz*G1602*in_eligible*in_approved_repeat,0)</f>
        <v/>
      </c>
      <c r="N1602" s="40">
        <f>L1602+M1602</f>
        <v/>
      </c>
      <c r="O1602" s="46">
        <f>N1602/F1602</f>
        <v/>
      </c>
      <c r="P1602" s="40">
        <f>F1602-J1602-K1602</f>
        <v/>
      </c>
      <c r="Q1602" s="40">
        <f>IF(B1602&gt;=in_marketplace_from,(J1602+K1602)*d_hz*G1602,0)</f>
        <v/>
      </c>
      <c r="R1602" s="40">
        <f>SUMIFS(N1601:N1621,B1601:B1621,"&gt;="&amp;(B1602-d_T),B1601:B1621,"&lt;="&amp;(B1602-1))</f>
        <v/>
      </c>
      <c r="S1602" s="46">
        <f>(1-d_u)*S1601+IF(d_T&gt;in_topup_lag,SUMIFS(O1601:O1621,B1601:B1621,B1602-in_topup_lag)-d_udrop*SUMIFS(O1601:O1621,B1601:B1621,B1602-d_T),0)</f>
        <v/>
      </c>
      <c r="T1602" s="40">
        <f>F1602*d_u*S1602</f>
        <v/>
      </c>
      <c r="U1602" s="9">
        <f>L1602*in_ticket+M1602*d_rep_ticket</f>
        <v/>
      </c>
      <c r="V1602" s="9">
        <f>U1602+T1602*d_topup_amt</f>
        <v/>
      </c>
      <c r="W1602" s="40">
        <f>N1602+T1602*d_topup_ratio</f>
        <v/>
      </c>
      <c r="X1602" s="40">
        <f>SUMIFS(W1601:W1621,B1601:B1621,B1602-in_dpd_lag)*d_cured</f>
        <v/>
      </c>
      <c r="Y1602" s="40">
        <f>SUMIFS(W1601:W1621,B1601:B1621,B1602-in_rec_lag)*d_recd</f>
        <v/>
      </c>
      <c r="Z1602" s="40">
        <f>IF(AND(B1602&gt;=in_marketplace_from,B1602&lt;in_marketplace_from+in_card_months),in_card_share/in_card_months*F1602*I1602,IF(AND(B1602&gt;=in_marketplace_from+in_card_months,B1602&lt;in_marketplace_from+2*in_card_months),in_card_share*d_card_rem/in_card_months*F1602*MIN(in_takeup_cap,(1+in_takeup_growth)^(D1602-1))*MIN(in_takeup_cap,(1+in_approval_growth)^(D1602-1)),0))</f>
        <v/>
      </c>
      <c r="AA1602" s="14">
        <f>V1602*in_fee*(1-in_taken_back)</f>
        <v/>
      </c>
      <c r="AB1602" s="14">
        <f>SUMIFS(W1601:W1621,B1601:B1621,B1602-in_dpd_lag)*d_dpd</f>
        <v/>
      </c>
      <c r="AC1602" s="14">
        <f>SUMIFS(W1601:W1621,B1601:B1621,B1602-in_rec_lag)*d_rec</f>
        <v/>
      </c>
      <c r="AD1602" s="14">
        <f>Z1602*in_card_fee</f>
        <v/>
      </c>
      <c r="AE1602" s="40">
        <f>AE1601*(1-IF(B1601&gt;=in_marketplace_from,d_hz_hlth_small*G1601,0))</f>
        <v/>
      </c>
      <c r="AF1602" s="46">
        <f>AE1602*IF(B1602&gt;=in_marketplace_from,d_hz_hlth_small*G1602,0)</f>
        <v/>
      </c>
      <c r="AG1602" s="14">
        <f>F1602*AF1602*in_hlth_small_ticket*in_hlth_small_comm*in_ins_partner_share+F1602*in_hlth_small_ticket*in_hlth_small_renew_comm*in_ins_partner_share*(in_hlth_small_renew^1*SUMIFS(AF1601:AF1621,B1601:B1621,B1602-12)+in_hlth_small_renew^2*SUMIFS(AF1601:AF1621,B1601:B1621,B1602-24)+in_hlth_small_renew^3*SUMIFS(AF1601:AF1621,B1601:B1621,B1602-36)+in_hlth_small_renew^4*SUMIFS(AF1601:AF1621,B1601:B1621,B1602-48))</f>
        <v/>
      </c>
      <c r="AH1602" s="40">
        <f>AH1601*(1-IF(B1601&gt;=in_marketplace_from,d_hz_hlth_family*G1601,0))</f>
        <v/>
      </c>
      <c r="AI1602" s="46">
        <f>AH1602*IF(B1602&gt;=in_marketplace_from,d_hz_hlth_family*G1602,0)</f>
        <v/>
      </c>
      <c r="AJ1602" s="14">
        <f>F1602*AI1602*in_hlth_family_ticket*in_hlth_family_comm*in_ins_partner_share+F1602*in_hlth_family_ticket*in_hlth_family_renew_comm*in_ins_partner_share*(in_hlth_family_renew^1*SUMIFS(AI1601:AI1621,B1601:B1621,B1602-12)+in_hlth_family_renew^2*SUMIFS(AI1601:AI1621,B1601:B1621,B1602-24)+in_hlth_family_renew^3*SUMIFS(AI1601:AI1621,B1601:B1621,B1602-36)+in_hlth_family_renew^4*SUMIFS(AI1601:AI1621,B1601:B1621,B1602-48))</f>
        <v/>
      </c>
      <c r="AK1602" s="40">
        <f>AK1601*(1-IF(B1601&gt;=in_marketplace_from,d_hz_life_term*G1601,0))</f>
        <v/>
      </c>
      <c r="AL1602" s="46">
        <f>AK1602*IF(B1602&gt;=in_marketplace_from,d_hz_life_term*G1602,0)</f>
        <v/>
      </c>
      <c r="AM1602" s="14">
        <f>F1602*AL1602*in_life_term_ticket*in_life_term_comm*in_ins_partner_share+F1602*in_life_term_ticket*in_life_term_renew_comm*in_ins_partner_share*(in_life_term_renew^1*SUMIFS(AL1601:AL1621,B1601:B1621,B1602-12)+in_life_term_renew^2*SUMIFS(AL1601:AL1621,B1601:B1621,B1602-24)+in_life_term_renew^3*SUMIFS(AL1601:AL1621,B1601:B1621,B1602-36)+in_life_term_renew^4*SUMIFS(AL1601:AL1621,B1601:B1621,B1602-48))</f>
        <v/>
      </c>
      <c r="AN1602" s="40">
        <f>AN1601*(1-IF(B1601&gt;=in_marketplace_from,d_hz_accident*G1601,0))</f>
        <v/>
      </c>
      <c r="AO1602" s="46">
        <f>AN1602*IF(B1602&gt;=in_marketplace_from,d_hz_accident*G1602,0)</f>
        <v/>
      </c>
      <c r="AP1602" s="14">
        <f>F1602*AO1602*in_accident_ticket*in_accident_comm*in_ins_partner_share+F1602*in_accident_ticket*in_accident_renew_comm*in_ins_partner_share*(in_accident_renew^1*SUMIFS(AO1601:AO1621,B1601:B1621,B1602-12)+in_accident_renew^2*SUMIFS(AO1601:AO1621,B1601:B1621,B1602-24)+in_accident_renew^3*SUMIFS(AO1601:AO1621,B1601:B1621,B1602-36)+in_accident_renew^4*SUMIFS(AO1601:AO1621,B1601:B1621,B1602-48))</f>
        <v/>
      </c>
      <c r="AQ1602" s="40">
        <f>AQ1601*(1-IF(B1601&gt;=in_marketplace_from,d_hz_two_wheeler*G1601,0))</f>
        <v/>
      </c>
      <c r="AR1602" s="46">
        <f>AQ1602*IF(B1602&gt;=in_marketplace_from,d_hz_two_wheeler*G1602,0)</f>
        <v/>
      </c>
      <c r="AS1602" s="14">
        <f>F1602*AR1602*in_two_wheeler_ticket*in_two_wheeler_comm*in_ins_partner_share+F1602*in_two_wheeler_ticket*in_two_wheeler_comm*in_ins_partner_share*(in_two_wheeler_renew^1*SUMIFS(AR1601:AR1621,B1601:B1621,B1602-12)+in_two_wheeler_renew^2*SUMIFS(AR1601:AR1621,B1601:B1621,B1602-24)+in_two_wheeler_renew^3*SUMIFS(AR1601:AR1621,B1601:B1621,B1602-36)+in_two_wheeler_renew^4*SUMIFS(AR1601:AR1621,B1601:B1621,B1602-48))</f>
        <v/>
      </c>
      <c r="AT1602" s="40">
        <f>AT1601*(1-IF(B1601&gt;=in_marketplace_from,d_hz_device*G1601,0))</f>
        <v/>
      </c>
      <c r="AU1602" s="14">
        <f>F1602*AT1602*IF(B1602&gt;=in_marketplace_from,d_hz_device*G1602,0)*in_device_ticket*in_device_comm*in_ins_partner_share</f>
        <v/>
      </c>
      <c r="AV1602" s="40">
        <f>AV1601*(1-IF(B1601&gt;=in_marketplace_from,d_hz_shop*G1601,0))</f>
        <v/>
      </c>
      <c r="AW1602" s="46">
        <f>AV1602*IF(B1602&gt;=in_marketplace_from,d_hz_shop*G1602,0)</f>
        <v/>
      </c>
      <c r="AX1602" s="14">
        <f>F1602*AW1602*in_shop_ticket*in_shop_comm*in_ins_partner_share+F1602*in_shop_ticket*in_shop_renew_comm*in_ins_partner_share*(in_shop_renew^1*SUMIFS(AW1601:AW1621,B1601:B1621,B1602-12)+in_shop_renew^2*SUMIFS(AW1601:AW1621,B1601:B1621,B1602-24)+in_shop_renew^3*SUMIFS(AW1601:AW1621,B1601:B1621,B1602-36)+in_shop_renew^4*SUMIFS(AW1601:AW1621,B1601:B1621,B1602-48))</f>
        <v/>
      </c>
      <c r="AY1602" s="40">
        <f>AY1601*(1-IF(B1601&gt;=in_marketplace_from,d_hz_sip*G1601,0))</f>
        <v/>
      </c>
      <c r="AZ1602" s="40">
        <f>AZ1601*d_rho_sip+AY1602*IF(B1602&gt;=in_marketplace_from,d_hz_sip*G1602,0)</f>
        <v/>
      </c>
      <c r="BA1602" s="40">
        <f>d_rho_sip*(BA1601+AZ1601)</f>
        <v/>
      </c>
      <c r="BB1602" s="14">
        <f>F1602*in_sip_ticket*(BA1602+0.5*AZ1602)*in_sip_comm/12</f>
        <v/>
      </c>
      <c r="BC1602" s="40">
        <f>BC1601*(1-IF(B1601&gt;=in_marketplace_from,d_hz_choti*G1601,0))</f>
        <v/>
      </c>
      <c r="BD1602" s="46">
        <f>BC1602*IF(B1602&gt;=in_marketplace_from,d_hz_choti*G1602,0)</f>
        <v/>
      </c>
      <c r="BE1602" s="14">
        <f>F1602*SUMIFS(BD1601:BD1621,B1601:B1621,B1602-in_choti_months)*in_choti_renew*in_choti_ticket</f>
        <v/>
      </c>
      <c r="BF1602" s="40">
        <f>BF1601*(1-IF(B1601&gt;=in_marketplace_from,d_hz_nps*G1601,0))</f>
        <v/>
      </c>
      <c r="BG1602" s="14">
        <f>F1602*BF1602*IF(B1602&gt;=in_marketplace_from,d_hz_nps*G1602,0)*in_nps_ticket*in_nps_comm</f>
        <v/>
      </c>
      <c r="BH1602" s="40">
        <f>BH1601*(1-IF(B1601&gt;=in_marketplace_from,d_hz_gold*G1601,0))</f>
        <v/>
      </c>
      <c r="BI1602" s="40">
        <f>BI1601*d_rho_gold+BH1602*IF(B1602&gt;=in_marketplace_from,d_hz_gold*G1602,0)</f>
        <v/>
      </c>
      <c r="BJ1602" s="14">
        <f>F1602*BI1602*in_gold_ticket*in_gold_comm</f>
        <v/>
      </c>
      <c r="BK1602" s="40">
        <f>BK1601*(1-IF(B1601&gt;=in_marketplace_from,d_hz_fd*G1601,0))</f>
        <v/>
      </c>
      <c r="BL1602" s="14">
        <f>F1602*BK1602*IF(B1602&gt;=in_marketplace_from,d_hz_fd*G1602,0)*in_fd_ticket*in_fd_comm</f>
        <v/>
      </c>
      <c r="BM1602" s="40">
        <f>BM1601*(1-IF(B1601&gt;=in_marketplace_from,d_hz_recharge*G1601,0))</f>
        <v/>
      </c>
      <c r="BN1602" s="40">
        <f>BN1601*d_rho_recharge+BM1602*IF(B1602&gt;=in_marketplace_from,d_hz_recharge*G1602,0)</f>
        <v/>
      </c>
      <c r="BO1602" s="14">
        <f>F1602*BN1602*in_recharge_ticket*in_recharge_comm/12</f>
        <v/>
      </c>
      <c r="BP1602" s="40">
        <f>BP1601*(1-IF(B1601&gt;=in_marketplace_from,d_hz_bills*G1601,0))</f>
        <v/>
      </c>
      <c r="BQ1602" s="40">
        <f>BQ1601*d_rho_bills+BP1602*IF(B1602&gt;=in_marketplace_from,d_hz_bills*G1602,0)</f>
        <v/>
      </c>
      <c r="BR1602" s="14">
        <f>F1602*BQ1602*in_bills_ticket*in_bills_comm/12</f>
        <v/>
      </c>
      <c r="BS1602" s="40">
        <f>BS1601*(1-IF(B1601&gt;=in_marketplace_from,d_hz_loan_gold*G1601,0))</f>
        <v/>
      </c>
      <c r="BT1602" s="14">
        <f>F1602*BS1602*IF(B1602&gt;=in_marketplace_from,d_hz_loan_gold*G1602,0)*in_loan_gold_ticket*in_loan_gold_comm</f>
        <v/>
      </c>
      <c r="BU1602" s="40">
        <f>BU1601*(1-IF(B1601&gt;=in_marketplace_from,d_hz_loan_cd*G1601,0))</f>
        <v/>
      </c>
      <c r="BV1602" s="14">
        <f>F1602*BU1602*IF(B1602&gt;=in_marketplace_from,d_hz_loan_cd*G1602,0)*in_loan_cd_ticket*in_loan_cd_comm</f>
        <v/>
      </c>
      <c r="BW1602" s="40">
        <f>BW1601*(1-IF(B1601&gt;=in_marketplace_from,d_hz_loan_vehicle*G1601,0))</f>
        <v/>
      </c>
      <c r="BX1602" s="14">
        <f>F1602*BW1602*IF(B1602&gt;=in_marketplace_from,d_hz_loan_vehicle*G1602,0)*in_loan_vehicle_ticket*in_loan_vehicle_comm</f>
        <v/>
      </c>
      <c r="BY1602" s="40">
        <f>BY1601*(1-IF(B1601&gt;=in_marketplace_from,d_hz_loan_home*G1601,0)*BZ1601)</f>
        <v/>
      </c>
      <c r="BZ1602" s="11">
        <f>MIN(in_approval_cap,in_loan_home_approval*INDEX('Age profile'!$O$2:$O$61,B1602)*(1+in_approval_growth)^(D1602-1))</f>
        <v/>
      </c>
      <c r="CA1602" s="14">
        <f>F1602*BY1602*IF(B1602&gt;=in_marketplace_from,d_hz_loan_home*G1602,0)*BZ1602*in_loan_home_ticket*in_loan_home_comm</f>
        <v/>
      </c>
      <c r="CB1602" s="40">
        <f>CB1601*(1-IF(B1601&gt;=in_marketplace_from,d_hz_loan_lap*G1601,0)*CC1601)</f>
        <v/>
      </c>
      <c r="CC1602" s="11">
        <f>MIN(in_approval_cap,in_loan_lap_approval*INDEX('Age profile'!$O$2:$O$61,B1602)*(1+in_approval_growth)^(D1602-1))</f>
        <v/>
      </c>
      <c r="CD1602" s="14">
        <f>F1602*CB1602*IF(B1602&gt;=in_marketplace_from,d_hz_loan_lap*G1602,0)*CC1602*in_loan_lap_ticket*in_loan_lap_comm</f>
        <v/>
      </c>
      <c r="CE1602" s="14">
        <f>AA1602+AB1602+AC1602+AD1602+AG1602+AJ1602+AM1602+AP1602+AS1602+AU1602+AX1602+BB1602+BE1602+BG1602+BJ1602+BL1602+BO1602+BR1602+BT1602+BV1602+BX1602+CA1602+CD1602</f>
        <v/>
      </c>
    </row>
    <row r="1603">
      <c r="A1603" s="39" t="n">
        <v>40</v>
      </c>
      <c r="B1603" s="39" t="n">
        <v>3</v>
      </c>
      <c r="C1603" s="39">
        <f>A1603+B1603-1</f>
        <v/>
      </c>
      <c r="D1603" s="39">
        <f>INT((C1603-1)/12)+1</f>
        <v/>
      </c>
      <c r="E1603" s="44">
        <f>INDEX(Monthly!$B$2:$B$61,A1603)</f>
        <v/>
      </c>
      <c r="F1603" s="44">
        <f>E1603*INDEX('Age profile'!$B$2:$B$61,B1603)</f>
        <v/>
      </c>
      <c r="G1603" s="45">
        <f>MIN(in_takeup_cap,INDEX('Age profile'!$N$2:$N$61,B1603)*(1+in_takeup_growth)^(D1603-1))</f>
        <v/>
      </c>
      <c r="H1603" s="11">
        <f>MIN(in_approval_cap,in_approved_first*INDEX('Age profile'!$O$2:$O$61,B1603)*(1+in_approval_growth)^(D1603-1))</f>
        <v/>
      </c>
      <c r="I1603" s="45">
        <f>G1603*MIN(in_takeup_cap,INDEX('Age profile'!$O$2:$O$61,B1603)*(1+in_approval_growth)^(D1603-1))</f>
        <v/>
      </c>
      <c r="J1603" s="40">
        <f>(J1602-L1602)*F1603/F1602</f>
        <v/>
      </c>
      <c r="K1603" s="40">
        <f>(K1602-M1602)*F1603/F1602+SUMIFS(O1601:O1602,B1601:B1602,B1603-1-d_T)*F1603</f>
        <v/>
      </c>
      <c r="L1603" s="40">
        <f>IF(B1603&gt;=in_marketplace_from,J1603*d_hz*G1603*in_eligible*H1603,0)</f>
        <v/>
      </c>
      <c r="M1603" s="40">
        <f>IF(B1603&gt;=in_marketplace_from,K1603*d_hz*G1603*in_eligible*in_approved_repeat,0)</f>
        <v/>
      </c>
      <c r="N1603" s="40">
        <f>L1603+M1603</f>
        <v/>
      </c>
      <c r="O1603" s="46">
        <f>N1603/F1603</f>
        <v/>
      </c>
      <c r="P1603" s="40">
        <f>F1603-J1603-K1603</f>
        <v/>
      </c>
      <c r="Q1603" s="40">
        <f>IF(B1603&gt;=in_marketplace_from,(J1603+K1603)*d_hz*G1603,0)</f>
        <v/>
      </c>
      <c r="R1603" s="40">
        <f>SUMIFS(N1601:N1621,B1601:B1621,"&gt;="&amp;(B1603-d_T),B1601:B1621,"&lt;="&amp;(B1603-1))</f>
        <v/>
      </c>
      <c r="S1603" s="46">
        <f>(1-d_u)*S1602+IF(d_T&gt;in_topup_lag,SUMIFS(O1601:O1621,B1601:B1621,B1603-in_topup_lag)-d_udrop*SUMIFS(O1601:O1621,B1601:B1621,B1603-d_T),0)</f>
        <v/>
      </c>
      <c r="T1603" s="40">
        <f>F1603*d_u*S1603</f>
        <v/>
      </c>
      <c r="U1603" s="9">
        <f>L1603*in_ticket+M1603*d_rep_ticket</f>
        <v/>
      </c>
      <c r="V1603" s="9">
        <f>U1603+T1603*d_topup_amt</f>
        <v/>
      </c>
      <c r="W1603" s="40">
        <f>N1603+T1603*d_topup_ratio</f>
        <v/>
      </c>
      <c r="X1603" s="40">
        <f>SUMIFS(W1601:W1621,B1601:B1621,B1603-in_dpd_lag)*d_cured</f>
        <v/>
      </c>
      <c r="Y1603" s="40">
        <f>SUMIFS(W1601:W1621,B1601:B1621,B1603-in_rec_lag)*d_recd</f>
        <v/>
      </c>
      <c r="Z1603" s="40">
        <f>IF(AND(B1603&gt;=in_marketplace_from,B1603&lt;in_marketplace_from+in_card_months),in_card_share/in_card_months*F1603*I1603,IF(AND(B1603&gt;=in_marketplace_from+in_card_months,B1603&lt;in_marketplace_from+2*in_card_months),in_card_share*d_card_rem/in_card_months*F1603*MIN(in_takeup_cap,(1+in_takeup_growth)^(D1603-1))*MIN(in_takeup_cap,(1+in_approval_growth)^(D1603-1)),0))</f>
        <v/>
      </c>
      <c r="AA1603" s="14">
        <f>V1603*in_fee*(1-in_taken_back)</f>
        <v/>
      </c>
      <c r="AB1603" s="14">
        <f>SUMIFS(W1601:W1621,B1601:B1621,B1603-in_dpd_lag)*d_dpd</f>
        <v/>
      </c>
      <c r="AC1603" s="14">
        <f>SUMIFS(W1601:W1621,B1601:B1621,B1603-in_rec_lag)*d_rec</f>
        <v/>
      </c>
      <c r="AD1603" s="14">
        <f>Z1603*in_card_fee</f>
        <v/>
      </c>
      <c r="AE1603" s="40">
        <f>AE1602*(1-IF(B1602&gt;=in_marketplace_from,d_hz_hlth_small*G1602,0))</f>
        <v/>
      </c>
      <c r="AF1603" s="46">
        <f>AE1603*IF(B1603&gt;=in_marketplace_from,d_hz_hlth_small*G1603,0)</f>
        <v/>
      </c>
      <c r="AG1603" s="14">
        <f>F1603*AF1603*in_hlth_small_ticket*in_hlth_small_comm*in_ins_partner_share+F1603*in_hlth_small_ticket*in_hlth_small_renew_comm*in_ins_partner_share*(in_hlth_small_renew^1*SUMIFS(AF1601:AF1621,B1601:B1621,B1603-12)+in_hlth_small_renew^2*SUMIFS(AF1601:AF1621,B1601:B1621,B1603-24)+in_hlth_small_renew^3*SUMIFS(AF1601:AF1621,B1601:B1621,B1603-36)+in_hlth_small_renew^4*SUMIFS(AF1601:AF1621,B1601:B1621,B1603-48))</f>
        <v/>
      </c>
      <c r="AH1603" s="40">
        <f>AH1602*(1-IF(B1602&gt;=in_marketplace_from,d_hz_hlth_family*G1602,0))</f>
        <v/>
      </c>
      <c r="AI1603" s="46">
        <f>AH1603*IF(B1603&gt;=in_marketplace_from,d_hz_hlth_family*G1603,0)</f>
        <v/>
      </c>
      <c r="AJ1603" s="14">
        <f>F1603*AI1603*in_hlth_family_ticket*in_hlth_family_comm*in_ins_partner_share+F1603*in_hlth_family_ticket*in_hlth_family_renew_comm*in_ins_partner_share*(in_hlth_family_renew^1*SUMIFS(AI1601:AI1621,B1601:B1621,B1603-12)+in_hlth_family_renew^2*SUMIFS(AI1601:AI1621,B1601:B1621,B1603-24)+in_hlth_family_renew^3*SUMIFS(AI1601:AI1621,B1601:B1621,B1603-36)+in_hlth_family_renew^4*SUMIFS(AI1601:AI1621,B1601:B1621,B1603-48))</f>
        <v/>
      </c>
      <c r="AK1603" s="40">
        <f>AK1602*(1-IF(B1602&gt;=in_marketplace_from,d_hz_life_term*G1602,0))</f>
        <v/>
      </c>
      <c r="AL1603" s="46">
        <f>AK1603*IF(B1603&gt;=in_marketplace_from,d_hz_life_term*G1603,0)</f>
        <v/>
      </c>
      <c r="AM1603" s="14">
        <f>F1603*AL1603*in_life_term_ticket*in_life_term_comm*in_ins_partner_share+F1603*in_life_term_ticket*in_life_term_renew_comm*in_ins_partner_share*(in_life_term_renew^1*SUMIFS(AL1601:AL1621,B1601:B1621,B1603-12)+in_life_term_renew^2*SUMIFS(AL1601:AL1621,B1601:B1621,B1603-24)+in_life_term_renew^3*SUMIFS(AL1601:AL1621,B1601:B1621,B1603-36)+in_life_term_renew^4*SUMIFS(AL1601:AL1621,B1601:B1621,B1603-48))</f>
        <v/>
      </c>
      <c r="AN1603" s="40">
        <f>AN1602*(1-IF(B1602&gt;=in_marketplace_from,d_hz_accident*G1602,0))</f>
        <v/>
      </c>
      <c r="AO1603" s="46">
        <f>AN1603*IF(B1603&gt;=in_marketplace_from,d_hz_accident*G1603,0)</f>
        <v/>
      </c>
      <c r="AP1603" s="14">
        <f>F1603*AO1603*in_accident_ticket*in_accident_comm*in_ins_partner_share+F1603*in_accident_ticket*in_accident_renew_comm*in_ins_partner_share*(in_accident_renew^1*SUMIFS(AO1601:AO1621,B1601:B1621,B1603-12)+in_accident_renew^2*SUMIFS(AO1601:AO1621,B1601:B1621,B1603-24)+in_accident_renew^3*SUMIFS(AO1601:AO1621,B1601:B1621,B1603-36)+in_accident_renew^4*SUMIFS(AO1601:AO1621,B1601:B1621,B1603-48))</f>
        <v/>
      </c>
      <c r="AQ1603" s="40">
        <f>AQ1602*(1-IF(B1602&gt;=in_marketplace_from,d_hz_two_wheeler*G1602,0))</f>
        <v/>
      </c>
      <c r="AR1603" s="46">
        <f>AQ1603*IF(B1603&gt;=in_marketplace_from,d_hz_two_wheeler*G1603,0)</f>
        <v/>
      </c>
      <c r="AS1603" s="14">
        <f>F1603*AR1603*in_two_wheeler_ticket*in_two_wheeler_comm*in_ins_partner_share+F1603*in_two_wheeler_ticket*in_two_wheeler_comm*in_ins_partner_share*(in_two_wheeler_renew^1*SUMIFS(AR1601:AR1621,B1601:B1621,B1603-12)+in_two_wheeler_renew^2*SUMIFS(AR1601:AR1621,B1601:B1621,B1603-24)+in_two_wheeler_renew^3*SUMIFS(AR1601:AR1621,B1601:B1621,B1603-36)+in_two_wheeler_renew^4*SUMIFS(AR1601:AR1621,B1601:B1621,B1603-48))</f>
        <v/>
      </c>
      <c r="AT1603" s="40">
        <f>AT1602*(1-IF(B1602&gt;=in_marketplace_from,d_hz_device*G1602,0))</f>
        <v/>
      </c>
      <c r="AU1603" s="14">
        <f>F1603*AT1603*IF(B1603&gt;=in_marketplace_from,d_hz_device*G1603,0)*in_device_ticket*in_device_comm*in_ins_partner_share</f>
        <v/>
      </c>
      <c r="AV1603" s="40">
        <f>AV1602*(1-IF(B1602&gt;=in_marketplace_from,d_hz_shop*G1602,0))</f>
        <v/>
      </c>
      <c r="AW1603" s="46">
        <f>AV1603*IF(B1603&gt;=in_marketplace_from,d_hz_shop*G1603,0)</f>
        <v/>
      </c>
      <c r="AX1603" s="14">
        <f>F1603*AW1603*in_shop_ticket*in_shop_comm*in_ins_partner_share+F1603*in_shop_ticket*in_shop_renew_comm*in_ins_partner_share*(in_shop_renew^1*SUMIFS(AW1601:AW1621,B1601:B1621,B1603-12)+in_shop_renew^2*SUMIFS(AW1601:AW1621,B1601:B1621,B1603-24)+in_shop_renew^3*SUMIFS(AW1601:AW1621,B1601:B1621,B1603-36)+in_shop_renew^4*SUMIFS(AW1601:AW1621,B1601:B1621,B1603-48))</f>
        <v/>
      </c>
      <c r="AY1603" s="40">
        <f>AY1602*(1-IF(B1602&gt;=in_marketplace_from,d_hz_sip*G1602,0))</f>
        <v/>
      </c>
      <c r="AZ1603" s="40">
        <f>AZ1602*d_rho_sip+AY1603*IF(B1603&gt;=in_marketplace_from,d_hz_sip*G1603,0)</f>
        <v/>
      </c>
      <c r="BA1603" s="40">
        <f>d_rho_sip*(BA1602+AZ1602)</f>
        <v/>
      </c>
      <c r="BB1603" s="14">
        <f>F1603*in_sip_ticket*(BA1603+0.5*AZ1603)*in_sip_comm/12</f>
        <v/>
      </c>
      <c r="BC1603" s="40">
        <f>BC1602*(1-IF(B1602&gt;=in_marketplace_from,d_hz_choti*G1602,0))</f>
        <v/>
      </c>
      <c r="BD1603" s="46">
        <f>BC1603*IF(B1603&gt;=in_marketplace_from,d_hz_choti*G1603,0)</f>
        <v/>
      </c>
      <c r="BE1603" s="14">
        <f>F1603*SUMIFS(BD1601:BD1621,B1601:B1621,B1603-in_choti_months)*in_choti_renew*in_choti_ticket</f>
        <v/>
      </c>
      <c r="BF1603" s="40">
        <f>BF1602*(1-IF(B1602&gt;=in_marketplace_from,d_hz_nps*G1602,0))</f>
        <v/>
      </c>
      <c r="BG1603" s="14">
        <f>F1603*BF1603*IF(B1603&gt;=in_marketplace_from,d_hz_nps*G1603,0)*in_nps_ticket*in_nps_comm</f>
        <v/>
      </c>
      <c r="BH1603" s="40">
        <f>BH1602*(1-IF(B1602&gt;=in_marketplace_from,d_hz_gold*G1602,0))</f>
        <v/>
      </c>
      <c r="BI1603" s="40">
        <f>BI1602*d_rho_gold+BH1603*IF(B1603&gt;=in_marketplace_from,d_hz_gold*G1603,0)</f>
        <v/>
      </c>
      <c r="BJ1603" s="14">
        <f>F1603*BI1603*in_gold_ticket*in_gold_comm</f>
        <v/>
      </c>
      <c r="BK1603" s="40">
        <f>BK1602*(1-IF(B1602&gt;=in_marketplace_from,d_hz_fd*G1602,0))</f>
        <v/>
      </c>
      <c r="BL1603" s="14">
        <f>F1603*BK1603*IF(B1603&gt;=in_marketplace_from,d_hz_fd*G1603,0)*in_fd_ticket*in_fd_comm</f>
        <v/>
      </c>
      <c r="BM1603" s="40">
        <f>BM1602*(1-IF(B1602&gt;=in_marketplace_from,d_hz_recharge*G1602,0))</f>
        <v/>
      </c>
      <c r="BN1603" s="40">
        <f>BN1602*d_rho_recharge+BM1603*IF(B1603&gt;=in_marketplace_from,d_hz_recharge*G1603,0)</f>
        <v/>
      </c>
      <c r="BO1603" s="14">
        <f>F1603*BN1603*in_recharge_ticket*in_recharge_comm/12</f>
        <v/>
      </c>
      <c r="BP1603" s="40">
        <f>BP1602*(1-IF(B1602&gt;=in_marketplace_from,d_hz_bills*G1602,0))</f>
        <v/>
      </c>
      <c r="BQ1603" s="40">
        <f>BQ1602*d_rho_bills+BP1603*IF(B1603&gt;=in_marketplace_from,d_hz_bills*G1603,0)</f>
        <v/>
      </c>
      <c r="BR1603" s="14">
        <f>F1603*BQ1603*in_bills_ticket*in_bills_comm/12</f>
        <v/>
      </c>
      <c r="BS1603" s="40">
        <f>BS1602*(1-IF(B1602&gt;=in_marketplace_from,d_hz_loan_gold*G1602,0))</f>
        <v/>
      </c>
      <c r="BT1603" s="14">
        <f>F1603*BS1603*IF(B1603&gt;=in_marketplace_from,d_hz_loan_gold*G1603,0)*in_loan_gold_ticket*in_loan_gold_comm</f>
        <v/>
      </c>
      <c r="BU1603" s="40">
        <f>BU1602*(1-IF(B1602&gt;=in_marketplace_from,d_hz_loan_cd*G1602,0))</f>
        <v/>
      </c>
      <c r="BV1603" s="14">
        <f>F1603*BU1603*IF(B1603&gt;=in_marketplace_from,d_hz_loan_cd*G1603,0)*in_loan_cd_ticket*in_loan_cd_comm</f>
        <v/>
      </c>
      <c r="BW1603" s="40">
        <f>BW1602*(1-IF(B1602&gt;=in_marketplace_from,d_hz_loan_vehicle*G1602,0))</f>
        <v/>
      </c>
      <c r="BX1603" s="14">
        <f>F1603*BW1603*IF(B1603&gt;=in_marketplace_from,d_hz_loan_vehicle*G1603,0)*in_loan_vehicle_ticket*in_loan_vehicle_comm</f>
        <v/>
      </c>
      <c r="BY1603" s="40">
        <f>BY1602*(1-IF(B1602&gt;=in_marketplace_from,d_hz_loan_home*G1602,0)*BZ1602)</f>
        <v/>
      </c>
      <c r="BZ1603" s="11">
        <f>MIN(in_approval_cap,in_loan_home_approval*INDEX('Age profile'!$O$2:$O$61,B1603)*(1+in_approval_growth)^(D1603-1))</f>
        <v/>
      </c>
      <c r="CA1603" s="14">
        <f>F1603*BY1603*IF(B1603&gt;=in_marketplace_from,d_hz_loan_home*G1603,0)*BZ1603*in_loan_home_ticket*in_loan_home_comm</f>
        <v/>
      </c>
      <c r="CB1603" s="40">
        <f>CB1602*(1-IF(B1602&gt;=in_marketplace_from,d_hz_loan_lap*G1602,0)*CC1602)</f>
        <v/>
      </c>
      <c r="CC1603" s="11">
        <f>MIN(in_approval_cap,in_loan_lap_approval*INDEX('Age profile'!$O$2:$O$61,B1603)*(1+in_approval_growth)^(D1603-1))</f>
        <v/>
      </c>
      <c r="CD1603" s="14">
        <f>F1603*CB1603*IF(B1603&gt;=in_marketplace_from,d_hz_loan_lap*G1603,0)*CC1603*in_loan_lap_ticket*in_loan_lap_comm</f>
        <v/>
      </c>
      <c r="CE1603" s="14">
        <f>AA1603+AB1603+AC1603+AD1603+AG1603+AJ1603+AM1603+AP1603+AS1603+AU1603+AX1603+BB1603+BE1603+BG1603+BJ1603+BL1603+BO1603+BR1603+BT1603+BV1603+BX1603+CA1603+CD1603</f>
        <v/>
      </c>
    </row>
    <row r="1604">
      <c r="A1604" s="39" t="n">
        <v>40</v>
      </c>
      <c r="B1604" s="39" t="n">
        <v>4</v>
      </c>
      <c r="C1604" s="39">
        <f>A1604+B1604-1</f>
        <v/>
      </c>
      <c r="D1604" s="39">
        <f>INT((C1604-1)/12)+1</f>
        <v/>
      </c>
      <c r="E1604" s="44">
        <f>INDEX(Monthly!$B$2:$B$61,A1604)</f>
        <v/>
      </c>
      <c r="F1604" s="44">
        <f>E1604*INDEX('Age profile'!$B$2:$B$61,B1604)</f>
        <v/>
      </c>
      <c r="G1604" s="45">
        <f>MIN(in_takeup_cap,INDEX('Age profile'!$N$2:$N$61,B1604)*(1+in_takeup_growth)^(D1604-1))</f>
        <v/>
      </c>
      <c r="H1604" s="11">
        <f>MIN(in_approval_cap,in_approved_first*INDEX('Age profile'!$O$2:$O$61,B1604)*(1+in_approval_growth)^(D1604-1))</f>
        <v/>
      </c>
      <c r="I1604" s="45">
        <f>G1604*MIN(in_takeup_cap,INDEX('Age profile'!$O$2:$O$61,B1604)*(1+in_approval_growth)^(D1604-1))</f>
        <v/>
      </c>
      <c r="J1604" s="40">
        <f>(J1603-L1603)*F1604/F1603</f>
        <v/>
      </c>
      <c r="K1604" s="40">
        <f>(K1603-M1603)*F1604/F1603+SUMIFS(O1601:O1603,B1601:B1603,B1604-1-d_T)*F1604</f>
        <v/>
      </c>
      <c r="L1604" s="40">
        <f>IF(B1604&gt;=in_marketplace_from,J1604*d_hz*G1604*in_eligible*H1604,0)</f>
        <v/>
      </c>
      <c r="M1604" s="40">
        <f>IF(B1604&gt;=in_marketplace_from,K1604*d_hz*G1604*in_eligible*in_approved_repeat,0)</f>
        <v/>
      </c>
      <c r="N1604" s="40">
        <f>L1604+M1604</f>
        <v/>
      </c>
      <c r="O1604" s="46">
        <f>N1604/F1604</f>
        <v/>
      </c>
      <c r="P1604" s="40">
        <f>F1604-J1604-K1604</f>
        <v/>
      </c>
      <c r="Q1604" s="40">
        <f>IF(B1604&gt;=in_marketplace_from,(J1604+K1604)*d_hz*G1604,0)</f>
        <v/>
      </c>
      <c r="R1604" s="40">
        <f>SUMIFS(N1601:N1621,B1601:B1621,"&gt;="&amp;(B1604-d_T),B1601:B1621,"&lt;="&amp;(B1604-1))</f>
        <v/>
      </c>
      <c r="S1604" s="46">
        <f>(1-d_u)*S1603+IF(d_T&gt;in_topup_lag,SUMIFS(O1601:O1621,B1601:B1621,B1604-in_topup_lag)-d_udrop*SUMIFS(O1601:O1621,B1601:B1621,B1604-d_T),0)</f>
        <v/>
      </c>
      <c r="T1604" s="40">
        <f>F1604*d_u*S1604</f>
        <v/>
      </c>
      <c r="U1604" s="9">
        <f>L1604*in_ticket+M1604*d_rep_ticket</f>
        <v/>
      </c>
      <c r="V1604" s="9">
        <f>U1604+T1604*d_topup_amt</f>
        <v/>
      </c>
      <c r="W1604" s="40">
        <f>N1604+T1604*d_topup_ratio</f>
        <v/>
      </c>
      <c r="X1604" s="40">
        <f>SUMIFS(W1601:W1621,B1601:B1621,B1604-in_dpd_lag)*d_cured</f>
        <v/>
      </c>
      <c r="Y1604" s="40">
        <f>SUMIFS(W1601:W1621,B1601:B1621,B1604-in_rec_lag)*d_recd</f>
        <v/>
      </c>
      <c r="Z1604" s="40">
        <f>IF(AND(B1604&gt;=in_marketplace_from,B1604&lt;in_marketplace_from+in_card_months),in_card_share/in_card_months*F1604*I1604,IF(AND(B1604&gt;=in_marketplace_from+in_card_months,B1604&lt;in_marketplace_from+2*in_card_months),in_card_share*d_card_rem/in_card_months*F1604*MIN(in_takeup_cap,(1+in_takeup_growth)^(D1604-1))*MIN(in_takeup_cap,(1+in_approval_growth)^(D1604-1)),0))</f>
        <v/>
      </c>
      <c r="AA1604" s="14">
        <f>V1604*in_fee*(1-in_taken_back)</f>
        <v/>
      </c>
      <c r="AB1604" s="14">
        <f>SUMIFS(W1601:W1621,B1601:B1621,B1604-in_dpd_lag)*d_dpd</f>
        <v/>
      </c>
      <c r="AC1604" s="14">
        <f>SUMIFS(W1601:W1621,B1601:B1621,B1604-in_rec_lag)*d_rec</f>
        <v/>
      </c>
      <c r="AD1604" s="14">
        <f>Z1604*in_card_fee</f>
        <v/>
      </c>
      <c r="AE1604" s="40">
        <f>AE1603*(1-IF(B1603&gt;=in_marketplace_from,d_hz_hlth_small*G1603,0))</f>
        <v/>
      </c>
      <c r="AF1604" s="46">
        <f>AE1604*IF(B1604&gt;=in_marketplace_from,d_hz_hlth_small*G1604,0)</f>
        <v/>
      </c>
      <c r="AG1604" s="14">
        <f>F1604*AF1604*in_hlth_small_ticket*in_hlth_small_comm*in_ins_partner_share+F1604*in_hlth_small_ticket*in_hlth_small_renew_comm*in_ins_partner_share*(in_hlth_small_renew^1*SUMIFS(AF1601:AF1621,B1601:B1621,B1604-12)+in_hlth_small_renew^2*SUMIFS(AF1601:AF1621,B1601:B1621,B1604-24)+in_hlth_small_renew^3*SUMIFS(AF1601:AF1621,B1601:B1621,B1604-36)+in_hlth_small_renew^4*SUMIFS(AF1601:AF1621,B1601:B1621,B1604-48))</f>
        <v/>
      </c>
      <c r="AH1604" s="40">
        <f>AH1603*(1-IF(B1603&gt;=in_marketplace_from,d_hz_hlth_family*G1603,0))</f>
        <v/>
      </c>
      <c r="AI1604" s="46">
        <f>AH1604*IF(B1604&gt;=in_marketplace_from,d_hz_hlth_family*G1604,0)</f>
        <v/>
      </c>
      <c r="AJ1604" s="14">
        <f>F1604*AI1604*in_hlth_family_ticket*in_hlth_family_comm*in_ins_partner_share+F1604*in_hlth_family_ticket*in_hlth_family_renew_comm*in_ins_partner_share*(in_hlth_family_renew^1*SUMIFS(AI1601:AI1621,B1601:B1621,B1604-12)+in_hlth_family_renew^2*SUMIFS(AI1601:AI1621,B1601:B1621,B1604-24)+in_hlth_family_renew^3*SUMIFS(AI1601:AI1621,B1601:B1621,B1604-36)+in_hlth_family_renew^4*SUMIFS(AI1601:AI1621,B1601:B1621,B1604-48))</f>
        <v/>
      </c>
      <c r="AK1604" s="40">
        <f>AK1603*(1-IF(B1603&gt;=in_marketplace_from,d_hz_life_term*G1603,0))</f>
        <v/>
      </c>
      <c r="AL1604" s="46">
        <f>AK1604*IF(B1604&gt;=in_marketplace_from,d_hz_life_term*G1604,0)</f>
        <v/>
      </c>
      <c r="AM1604" s="14">
        <f>F1604*AL1604*in_life_term_ticket*in_life_term_comm*in_ins_partner_share+F1604*in_life_term_ticket*in_life_term_renew_comm*in_ins_partner_share*(in_life_term_renew^1*SUMIFS(AL1601:AL1621,B1601:B1621,B1604-12)+in_life_term_renew^2*SUMIFS(AL1601:AL1621,B1601:B1621,B1604-24)+in_life_term_renew^3*SUMIFS(AL1601:AL1621,B1601:B1621,B1604-36)+in_life_term_renew^4*SUMIFS(AL1601:AL1621,B1601:B1621,B1604-48))</f>
        <v/>
      </c>
      <c r="AN1604" s="40">
        <f>AN1603*(1-IF(B1603&gt;=in_marketplace_from,d_hz_accident*G1603,0))</f>
        <v/>
      </c>
      <c r="AO1604" s="46">
        <f>AN1604*IF(B1604&gt;=in_marketplace_from,d_hz_accident*G1604,0)</f>
        <v/>
      </c>
      <c r="AP1604" s="14">
        <f>F1604*AO1604*in_accident_ticket*in_accident_comm*in_ins_partner_share+F1604*in_accident_ticket*in_accident_renew_comm*in_ins_partner_share*(in_accident_renew^1*SUMIFS(AO1601:AO1621,B1601:B1621,B1604-12)+in_accident_renew^2*SUMIFS(AO1601:AO1621,B1601:B1621,B1604-24)+in_accident_renew^3*SUMIFS(AO1601:AO1621,B1601:B1621,B1604-36)+in_accident_renew^4*SUMIFS(AO1601:AO1621,B1601:B1621,B1604-48))</f>
        <v/>
      </c>
      <c r="AQ1604" s="40">
        <f>AQ1603*(1-IF(B1603&gt;=in_marketplace_from,d_hz_two_wheeler*G1603,0))</f>
        <v/>
      </c>
      <c r="AR1604" s="46">
        <f>AQ1604*IF(B1604&gt;=in_marketplace_from,d_hz_two_wheeler*G1604,0)</f>
        <v/>
      </c>
      <c r="AS1604" s="14">
        <f>F1604*AR1604*in_two_wheeler_ticket*in_two_wheeler_comm*in_ins_partner_share+F1604*in_two_wheeler_ticket*in_two_wheeler_comm*in_ins_partner_share*(in_two_wheeler_renew^1*SUMIFS(AR1601:AR1621,B1601:B1621,B1604-12)+in_two_wheeler_renew^2*SUMIFS(AR1601:AR1621,B1601:B1621,B1604-24)+in_two_wheeler_renew^3*SUMIFS(AR1601:AR1621,B1601:B1621,B1604-36)+in_two_wheeler_renew^4*SUMIFS(AR1601:AR1621,B1601:B1621,B1604-48))</f>
        <v/>
      </c>
      <c r="AT1604" s="40">
        <f>AT1603*(1-IF(B1603&gt;=in_marketplace_from,d_hz_device*G1603,0))</f>
        <v/>
      </c>
      <c r="AU1604" s="14">
        <f>F1604*AT1604*IF(B1604&gt;=in_marketplace_from,d_hz_device*G1604,0)*in_device_ticket*in_device_comm*in_ins_partner_share</f>
        <v/>
      </c>
      <c r="AV1604" s="40">
        <f>AV1603*(1-IF(B1603&gt;=in_marketplace_from,d_hz_shop*G1603,0))</f>
        <v/>
      </c>
      <c r="AW1604" s="46">
        <f>AV1604*IF(B1604&gt;=in_marketplace_from,d_hz_shop*G1604,0)</f>
        <v/>
      </c>
      <c r="AX1604" s="14">
        <f>F1604*AW1604*in_shop_ticket*in_shop_comm*in_ins_partner_share+F1604*in_shop_ticket*in_shop_renew_comm*in_ins_partner_share*(in_shop_renew^1*SUMIFS(AW1601:AW1621,B1601:B1621,B1604-12)+in_shop_renew^2*SUMIFS(AW1601:AW1621,B1601:B1621,B1604-24)+in_shop_renew^3*SUMIFS(AW1601:AW1621,B1601:B1621,B1604-36)+in_shop_renew^4*SUMIFS(AW1601:AW1621,B1601:B1621,B1604-48))</f>
        <v/>
      </c>
      <c r="AY1604" s="40">
        <f>AY1603*(1-IF(B1603&gt;=in_marketplace_from,d_hz_sip*G1603,0))</f>
        <v/>
      </c>
      <c r="AZ1604" s="40">
        <f>AZ1603*d_rho_sip+AY1604*IF(B1604&gt;=in_marketplace_from,d_hz_sip*G1604,0)</f>
        <v/>
      </c>
      <c r="BA1604" s="40">
        <f>d_rho_sip*(BA1603+AZ1603)</f>
        <v/>
      </c>
      <c r="BB1604" s="14">
        <f>F1604*in_sip_ticket*(BA1604+0.5*AZ1604)*in_sip_comm/12</f>
        <v/>
      </c>
      <c r="BC1604" s="40">
        <f>BC1603*(1-IF(B1603&gt;=in_marketplace_from,d_hz_choti*G1603,0))</f>
        <v/>
      </c>
      <c r="BD1604" s="46">
        <f>BC1604*IF(B1604&gt;=in_marketplace_from,d_hz_choti*G1604,0)</f>
        <v/>
      </c>
      <c r="BE1604" s="14">
        <f>F1604*SUMIFS(BD1601:BD1621,B1601:B1621,B1604-in_choti_months)*in_choti_renew*in_choti_ticket</f>
        <v/>
      </c>
      <c r="BF1604" s="40">
        <f>BF1603*(1-IF(B1603&gt;=in_marketplace_from,d_hz_nps*G1603,0))</f>
        <v/>
      </c>
      <c r="BG1604" s="14">
        <f>F1604*BF1604*IF(B1604&gt;=in_marketplace_from,d_hz_nps*G1604,0)*in_nps_ticket*in_nps_comm</f>
        <v/>
      </c>
      <c r="BH1604" s="40">
        <f>BH1603*(1-IF(B1603&gt;=in_marketplace_from,d_hz_gold*G1603,0))</f>
        <v/>
      </c>
      <c r="BI1604" s="40">
        <f>BI1603*d_rho_gold+BH1604*IF(B1604&gt;=in_marketplace_from,d_hz_gold*G1604,0)</f>
        <v/>
      </c>
      <c r="BJ1604" s="14">
        <f>F1604*BI1604*in_gold_ticket*in_gold_comm</f>
        <v/>
      </c>
      <c r="BK1604" s="40">
        <f>BK1603*(1-IF(B1603&gt;=in_marketplace_from,d_hz_fd*G1603,0))</f>
        <v/>
      </c>
      <c r="BL1604" s="14">
        <f>F1604*BK1604*IF(B1604&gt;=in_marketplace_from,d_hz_fd*G1604,0)*in_fd_ticket*in_fd_comm</f>
        <v/>
      </c>
      <c r="BM1604" s="40">
        <f>BM1603*(1-IF(B1603&gt;=in_marketplace_from,d_hz_recharge*G1603,0))</f>
        <v/>
      </c>
      <c r="BN1604" s="40">
        <f>BN1603*d_rho_recharge+BM1604*IF(B1604&gt;=in_marketplace_from,d_hz_recharge*G1604,0)</f>
        <v/>
      </c>
      <c r="BO1604" s="14">
        <f>F1604*BN1604*in_recharge_ticket*in_recharge_comm/12</f>
        <v/>
      </c>
      <c r="BP1604" s="40">
        <f>BP1603*(1-IF(B1603&gt;=in_marketplace_from,d_hz_bills*G1603,0))</f>
        <v/>
      </c>
      <c r="BQ1604" s="40">
        <f>BQ1603*d_rho_bills+BP1604*IF(B1604&gt;=in_marketplace_from,d_hz_bills*G1604,0)</f>
        <v/>
      </c>
      <c r="BR1604" s="14">
        <f>F1604*BQ1604*in_bills_ticket*in_bills_comm/12</f>
        <v/>
      </c>
      <c r="BS1604" s="40">
        <f>BS1603*(1-IF(B1603&gt;=in_marketplace_from,d_hz_loan_gold*G1603,0))</f>
        <v/>
      </c>
      <c r="BT1604" s="14">
        <f>F1604*BS1604*IF(B1604&gt;=in_marketplace_from,d_hz_loan_gold*G1604,0)*in_loan_gold_ticket*in_loan_gold_comm</f>
        <v/>
      </c>
      <c r="BU1604" s="40">
        <f>BU1603*(1-IF(B1603&gt;=in_marketplace_from,d_hz_loan_cd*G1603,0))</f>
        <v/>
      </c>
      <c r="BV1604" s="14">
        <f>F1604*BU1604*IF(B1604&gt;=in_marketplace_from,d_hz_loan_cd*G1604,0)*in_loan_cd_ticket*in_loan_cd_comm</f>
        <v/>
      </c>
      <c r="BW1604" s="40">
        <f>BW1603*(1-IF(B1603&gt;=in_marketplace_from,d_hz_loan_vehicle*G1603,0))</f>
        <v/>
      </c>
      <c r="BX1604" s="14">
        <f>F1604*BW1604*IF(B1604&gt;=in_marketplace_from,d_hz_loan_vehicle*G1604,0)*in_loan_vehicle_ticket*in_loan_vehicle_comm</f>
        <v/>
      </c>
      <c r="BY1604" s="40">
        <f>BY1603*(1-IF(B1603&gt;=in_marketplace_from,d_hz_loan_home*G1603,0)*BZ1603)</f>
        <v/>
      </c>
      <c r="BZ1604" s="11">
        <f>MIN(in_approval_cap,in_loan_home_approval*INDEX('Age profile'!$O$2:$O$61,B1604)*(1+in_approval_growth)^(D1604-1))</f>
        <v/>
      </c>
      <c r="CA1604" s="14">
        <f>F1604*BY1604*IF(B1604&gt;=in_marketplace_from,d_hz_loan_home*G1604,0)*BZ1604*in_loan_home_ticket*in_loan_home_comm</f>
        <v/>
      </c>
      <c r="CB1604" s="40">
        <f>CB1603*(1-IF(B1603&gt;=in_marketplace_from,d_hz_loan_lap*G1603,0)*CC1603)</f>
        <v/>
      </c>
      <c r="CC1604" s="11">
        <f>MIN(in_approval_cap,in_loan_lap_approval*INDEX('Age profile'!$O$2:$O$61,B1604)*(1+in_approval_growth)^(D1604-1))</f>
        <v/>
      </c>
      <c r="CD1604" s="14">
        <f>F1604*CB1604*IF(B1604&gt;=in_marketplace_from,d_hz_loan_lap*G1604,0)*CC1604*in_loan_lap_ticket*in_loan_lap_comm</f>
        <v/>
      </c>
      <c r="CE1604" s="14">
        <f>AA1604+AB1604+AC1604+AD1604+AG1604+AJ1604+AM1604+AP1604+AS1604+AU1604+AX1604+BB1604+BE1604+BG1604+BJ1604+BL1604+BO1604+BR1604+BT1604+BV1604+BX1604+CA1604+CD1604</f>
        <v/>
      </c>
    </row>
    <row r="1605">
      <c r="A1605" s="39" t="n">
        <v>40</v>
      </c>
      <c r="B1605" s="39" t="n">
        <v>5</v>
      </c>
      <c r="C1605" s="39">
        <f>A1605+B1605-1</f>
        <v/>
      </c>
      <c r="D1605" s="39">
        <f>INT((C1605-1)/12)+1</f>
        <v/>
      </c>
      <c r="E1605" s="44">
        <f>INDEX(Monthly!$B$2:$B$61,A1605)</f>
        <v/>
      </c>
      <c r="F1605" s="44">
        <f>E1605*INDEX('Age profile'!$B$2:$B$61,B1605)</f>
        <v/>
      </c>
      <c r="G1605" s="45">
        <f>MIN(in_takeup_cap,INDEX('Age profile'!$N$2:$N$61,B1605)*(1+in_takeup_growth)^(D1605-1))</f>
        <v/>
      </c>
      <c r="H1605" s="11">
        <f>MIN(in_approval_cap,in_approved_first*INDEX('Age profile'!$O$2:$O$61,B1605)*(1+in_approval_growth)^(D1605-1))</f>
        <v/>
      </c>
      <c r="I1605" s="45">
        <f>G1605*MIN(in_takeup_cap,INDEX('Age profile'!$O$2:$O$61,B1605)*(1+in_approval_growth)^(D1605-1))</f>
        <v/>
      </c>
      <c r="J1605" s="40">
        <f>(J1604-L1604)*F1605/F1604</f>
        <v/>
      </c>
      <c r="K1605" s="40">
        <f>(K1604-M1604)*F1605/F1604+SUMIFS(O1601:O1604,B1601:B1604,B1605-1-d_T)*F1605</f>
        <v/>
      </c>
      <c r="L1605" s="40">
        <f>IF(B1605&gt;=in_marketplace_from,J1605*d_hz*G1605*in_eligible*H1605,0)</f>
        <v/>
      </c>
      <c r="M1605" s="40">
        <f>IF(B1605&gt;=in_marketplace_from,K1605*d_hz*G1605*in_eligible*in_approved_repeat,0)</f>
        <v/>
      </c>
      <c r="N1605" s="40">
        <f>L1605+M1605</f>
        <v/>
      </c>
      <c r="O1605" s="46">
        <f>N1605/F1605</f>
        <v/>
      </c>
      <c r="P1605" s="40">
        <f>F1605-J1605-K1605</f>
        <v/>
      </c>
      <c r="Q1605" s="40">
        <f>IF(B1605&gt;=in_marketplace_from,(J1605+K1605)*d_hz*G1605,0)</f>
        <v/>
      </c>
      <c r="R1605" s="40">
        <f>SUMIFS(N1601:N1621,B1601:B1621,"&gt;="&amp;(B1605-d_T),B1601:B1621,"&lt;="&amp;(B1605-1))</f>
        <v/>
      </c>
      <c r="S1605" s="46">
        <f>(1-d_u)*S1604+IF(d_T&gt;in_topup_lag,SUMIFS(O1601:O1621,B1601:B1621,B1605-in_topup_lag)-d_udrop*SUMIFS(O1601:O1621,B1601:B1621,B1605-d_T),0)</f>
        <v/>
      </c>
      <c r="T1605" s="40">
        <f>F1605*d_u*S1605</f>
        <v/>
      </c>
      <c r="U1605" s="9">
        <f>L1605*in_ticket+M1605*d_rep_ticket</f>
        <v/>
      </c>
      <c r="V1605" s="9">
        <f>U1605+T1605*d_topup_amt</f>
        <v/>
      </c>
      <c r="W1605" s="40">
        <f>N1605+T1605*d_topup_ratio</f>
        <v/>
      </c>
      <c r="X1605" s="40">
        <f>SUMIFS(W1601:W1621,B1601:B1621,B1605-in_dpd_lag)*d_cured</f>
        <v/>
      </c>
      <c r="Y1605" s="40">
        <f>SUMIFS(W1601:W1621,B1601:B1621,B1605-in_rec_lag)*d_recd</f>
        <v/>
      </c>
      <c r="Z1605" s="40">
        <f>IF(AND(B1605&gt;=in_marketplace_from,B1605&lt;in_marketplace_from+in_card_months),in_card_share/in_card_months*F1605*I1605,IF(AND(B1605&gt;=in_marketplace_from+in_card_months,B1605&lt;in_marketplace_from+2*in_card_months),in_card_share*d_card_rem/in_card_months*F1605*MIN(in_takeup_cap,(1+in_takeup_growth)^(D1605-1))*MIN(in_takeup_cap,(1+in_approval_growth)^(D1605-1)),0))</f>
        <v/>
      </c>
      <c r="AA1605" s="14">
        <f>V1605*in_fee*(1-in_taken_back)</f>
        <v/>
      </c>
      <c r="AB1605" s="14">
        <f>SUMIFS(W1601:W1621,B1601:B1621,B1605-in_dpd_lag)*d_dpd</f>
        <v/>
      </c>
      <c r="AC1605" s="14">
        <f>SUMIFS(W1601:W1621,B1601:B1621,B1605-in_rec_lag)*d_rec</f>
        <v/>
      </c>
      <c r="AD1605" s="14">
        <f>Z1605*in_card_fee</f>
        <v/>
      </c>
      <c r="AE1605" s="40">
        <f>AE1604*(1-IF(B1604&gt;=in_marketplace_from,d_hz_hlth_small*G1604,0))</f>
        <v/>
      </c>
      <c r="AF1605" s="46">
        <f>AE1605*IF(B1605&gt;=in_marketplace_from,d_hz_hlth_small*G1605,0)</f>
        <v/>
      </c>
      <c r="AG1605" s="14">
        <f>F1605*AF1605*in_hlth_small_ticket*in_hlth_small_comm*in_ins_partner_share+F1605*in_hlth_small_ticket*in_hlth_small_renew_comm*in_ins_partner_share*(in_hlth_small_renew^1*SUMIFS(AF1601:AF1621,B1601:B1621,B1605-12)+in_hlth_small_renew^2*SUMIFS(AF1601:AF1621,B1601:B1621,B1605-24)+in_hlth_small_renew^3*SUMIFS(AF1601:AF1621,B1601:B1621,B1605-36)+in_hlth_small_renew^4*SUMIFS(AF1601:AF1621,B1601:B1621,B1605-48))</f>
        <v/>
      </c>
      <c r="AH1605" s="40">
        <f>AH1604*(1-IF(B1604&gt;=in_marketplace_from,d_hz_hlth_family*G1604,0))</f>
        <v/>
      </c>
      <c r="AI1605" s="46">
        <f>AH1605*IF(B1605&gt;=in_marketplace_from,d_hz_hlth_family*G1605,0)</f>
        <v/>
      </c>
      <c r="AJ1605" s="14">
        <f>F1605*AI1605*in_hlth_family_ticket*in_hlth_family_comm*in_ins_partner_share+F1605*in_hlth_family_ticket*in_hlth_family_renew_comm*in_ins_partner_share*(in_hlth_family_renew^1*SUMIFS(AI1601:AI1621,B1601:B1621,B1605-12)+in_hlth_family_renew^2*SUMIFS(AI1601:AI1621,B1601:B1621,B1605-24)+in_hlth_family_renew^3*SUMIFS(AI1601:AI1621,B1601:B1621,B1605-36)+in_hlth_family_renew^4*SUMIFS(AI1601:AI1621,B1601:B1621,B1605-48))</f>
        <v/>
      </c>
      <c r="AK1605" s="40">
        <f>AK1604*(1-IF(B1604&gt;=in_marketplace_from,d_hz_life_term*G1604,0))</f>
        <v/>
      </c>
      <c r="AL1605" s="46">
        <f>AK1605*IF(B1605&gt;=in_marketplace_from,d_hz_life_term*G1605,0)</f>
        <v/>
      </c>
      <c r="AM1605" s="14">
        <f>F1605*AL1605*in_life_term_ticket*in_life_term_comm*in_ins_partner_share+F1605*in_life_term_ticket*in_life_term_renew_comm*in_ins_partner_share*(in_life_term_renew^1*SUMIFS(AL1601:AL1621,B1601:B1621,B1605-12)+in_life_term_renew^2*SUMIFS(AL1601:AL1621,B1601:B1621,B1605-24)+in_life_term_renew^3*SUMIFS(AL1601:AL1621,B1601:B1621,B1605-36)+in_life_term_renew^4*SUMIFS(AL1601:AL1621,B1601:B1621,B1605-48))</f>
        <v/>
      </c>
      <c r="AN1605" s="40">
        <f>AN1604*(1-IF(B1604&gt;=in_marketplace_from,d_hz_accident*G1604,0))</f>
        <v/>
      </c>
      <c r="AO1605" s="46">
        <f>AN1605*IF(B1605&gt;=in_marketplace_from,d_hz_accident*G1605,0)</f>
        <v/>
      </c>
      <c r="AP1605" s="14">
        <f>F1605*AO1605*in_accident_ticket*in_accident_comm*in_ins_partner_share+F1605*in_accident_ticket*in_accident_renew_comm*in_ins_partner_share*(in_accident_renew^1*SUMIFS(AO1601:AO1621,B1601:B1621,B1605-12)+in_accident_renew^2*SUMIFS(AO1601:AO1621,B1601:B1621,B1605-24)+in_accident_renew^3*SUMIFS(AO1601:AO1621,B1601:B1621,B1605-36)+in_accident_renew^4*SUMIFS(AO1601:AO1621,B1601:B1621,B1605-48))</f>
        <v/>
      </c>
      <c r="AQ1605" s="40">
        <f>AQ1604*(1-IF(B1604&gt;=in_marketplace_from,d_hz_two_wheeler*G1604,0))</f>
        <v/>
      </c>
      <c r="AR1605" s="46">
        <f>AQ1605*IF(B1605&gt;=in_marketplace_from,d_hz_two_wheeler*G1605,0)</f>
        <v/>
      </c>
      <c r="AS1605" s="14">
        <f>F1605*AR1605*in_two_wheeler_ticket*in_two_wheeler_comm*in_ins_partner_share+F1605*in_two_wheeler_ticket*in_two_wheeler_comm*in_ins_partner_share*(in_two_wheeler_renew^1*SUMIFS(AR1601:AR1621,B1601:B1621,B1605-12)+in_two_wheeler_renew^2*SUMIFS(AR1601:AR1621,B1601:B1621,B1605-24)+in_two_wheeler_renew^3*SUMIFS(AR1601:AR1621,B1601:B1621,B1605-36)+in_two_wheeler_renew^4*SUMIFS(AR1601:AR1621,B1601:B1621,B1605-48))</f>
        <v/>
      </c>
      <c r="AT1605" s="40">
        <f>AT1604*(1-IF(B1604&gt;=in_marketplace_from,d_hz_device*G1604,0))</f>
        <v/>
      </c>
      <c r="AU1605" s="14">
        <f>F1605*AT1605*IF(B1605&gt;=in_marketplace_from,d_hz_device*G1605,0)*in_device_ticket*in_device_comm*in_ins_partner_share</f>
        <v/>
      </c>
      <c r="AV1605" s="40">
        <f>AV1604*(1-IF(B1604&gt;=in_marketplace_from,d_hz_shop*G1604,0))</f>
        <v/>
      </c>
      <c r="AW1605" s="46">
        <f>AV1605*IF(B1605&gt;=in_marketplace_from,d_hz_shop*G1605,0)</f>
        <v/>
      </c>
      <c r="AX1605" s="14">
        <f>F1605*AW1605*in_shop_ticket*in_shop_comm*in_ins_partner_share+F1605*in_shop_ticket*in_shop_renew_comm*in_ins_partner_share*(in_shop_renew^1*SUMIFS(AW1601:AW1621,B1601:B1621,B1605-12)+in_shop_renew^2*SUMIFS(AW1601:AW1621,B1601:B1621,B1605-24)+in_shop_renew^3*SUMIFS(AW1601:AW1621,B1601:B1621,B1605-36)+in_shop_renew^4*SUMIFS(AW1601:AW1621,B1601:B1621,B1605-48))</f>
        <v/>
      </c>
      <c r="AY1605" s="40">
        <f>AY1604*(1-IF(B1604&gt;=in_marketplace_from,d_hz_sip*G1604,0))</f>
        <v/>
      </c>
      <c r="AZ1605" s="40">
        <f>AZ1604*d_rho_sip+AY1605*IF(B1605&gt;=in_marketplace_from,d_hz_sip*G1605,0)</f>
        <v/>
      </c>
      <c r="BA1605" s="40">
        <f>d_rho_sip*(BA1604+AZ1604)</f>
        <v/>
      </c>
      <c r="BB1605" s="14">
        <f>F1605*in_sip_ticket*(BA1605+0.5*AZ1605)*in_sip_comm/12</f>
        <v/>
      </c>
      <c r="BC1605" s="40">
        <f>BC1604*(1-IF(B1604&gt;=in_marketplace_from,d_hz_choti*G1604,0))</f>
        <v/>
      </c>
      <c r="BD1605" s="46">
        <f>BC1605*IF(B1605&gt;=in_marketplace_from,d_hz_choti*G1605,0)</f>
        <v/>
      </c>
      <c r="BE1605" s="14">
        <f>F1605*SUMIFS(BD1601:BD1621,B1601:B1621,B1605-in_choti_months)*in_choti_renew*in_choti_ticket</f>
        <v/>
      </c>
      <c r="BF1605" s="40">
        <f>BF1604*(1-IF(B1604&gt;=in_marketplace_from,d_hz_nps*G1604,0))</f>
        <v/>
      </c>
      <c r="BG1605" s="14">
        <f>F1605*BF1605*IF(B1605&gt;=in_marketplace_from,d_hz_nps*G1605,0)*in_nps_ticket*in_nps_comm</f>
        <v/>
      </c>
      <c r="BH1605" s="40">
        <f>BH1604*(1-IF(B1604&gt;=in_marketplace_from,d_hz_gold*G1604,0))</f>
        <v/>
      </c>
      <c r="BI1605" s="40">
        <f>BI1604*d_rho_gold+BH1605*IF(B1605&gt;=in_marketplace_from,d_hz_gold*G1605,0)</f>
        <v/>
      </c>
      <c r="BJ1605" s="14">
        <f>F1605*BI1605*in_gold_ticket*in_gold_comm</f>
        <v/>
      </c>
      <c r="BK1605" s="40">
        <f>BK1604*(1-IF(B1604&gt;=in_marketplace_from,d_hz_fd*G1604,0))</f>
        <v/>
      </c>
      <c r="BL1605" s="14">
        <f>F1605*BK1605*IF(B1605&gt;=in_marketplace_from,d_hz_fd*G1605,0)*in_fd_ticket*in_fd_comm</f>
        <v/>
      </c>
      <c r="BM1605" s="40">
        <f>BM1604*(1-IF(B1604&gt;=in_marketplace_from,d_hz_recharge*G1604,0))</f>
        <v/>
      </c>
      <c r="BN1605" s="40">
        <f>BN1604*d_rho_recharge+BM1605*IF(B1605&gt;=in_marketplace_from,d_hz_recharge*G1605,0)</f>
        <v/>
      </c>
      <c r="BO1605" s="14">
        <f>F1605*BN1605*in_recharge_ticket*in_recharge_comm/12</f>
        <v/>
      </c>
      <c r="BP1605" s="40">
        <f>BP1604*(1-IF(B1604&gt;=in_marketplace_from,d_hz_bills*G1604,0))</f>
        <v/>
      </c>
      <c r="BQ1605" s="40">
        <f>BQ1604*d_rho_bills+BP1605*IF(B1605&gt;=in_marketplace_from,d_hz_bills*G1605,0)</f>
        <v/>
      </c>
      <c r="BR1605" s="14">
        <f>F1605*BQ1605*in_bills_ticket*in_bills_comm/12</f>
        <v/>
      </c>
      <c r="BS1605" s="40">
        <f>BS1604*(1-IF(B1604&gt;=in_marketplace_from,d_hz_loan_gold*G1604,0))</f>
        <v/>
      </c>
      <c r="BT1605" s="14">
        <f>F1605*BS1605*IF(B1605&gt;=in_marketplace_from,d_hz_loan_gold*G1605,0)*in_loan_gold_ticket*in_loan_gold_comm</f>
        <v/>
      </c>
      <c r="BU1605" s="40">
        <f>BU1604*(1-IF(B1604&gt;=in_marketplace_from,d_hz_loan_cd*G1604,0))</f>
        <v/>
      </c>
      <c r="BV1605" s="14">
        <f>F1605*BU1605*IF(B1605&gt;=in_marketplace_from,d_hz_loan_cd*G1605,0)*in_loan_cd_ticket*in_loan_cd_comm</f>
        <v/>
      </c>
      <c r="BW1605" s="40">
        <f>BW1604*(1-IF(B1604&gt;=in_marketplace_from,d_hz_loan_vehicle*G1604,0))</f>
        <v/>
      </c>
      <c r="BX1605" s="14">
        <f>F1605*BW1605*IF(B1605&gt;=in_marketplace_from,d_hz_loan_vehicle*G1605,0)*in_loan_vehicle_ticket*in_loan_vehicle_comm</f>
        <v/>
      </c>
      <c r="BY1605" s="40">
        <f>BY1604*(1-IF(B1604&gt;=in_marketplace_from,d_hz_loan_home*G1604,0)*BZ1604)</f>
        <v/>
      </c>
      <c r="BZ1605" s="11">
        <f>MIN(in_approval_cap,in_loan_home_approval*INDEX('Age profile'!$O$2:$O$61,B1605)*(1+in_approval_growth)^(D1605-1))</f>
        <v/>
      </c>
      <c r="CA1605" s="14">
        <f>F1605*BY1605*IF(B1605&gt;=in_marketplace_from,d_hz_loan_home*G1605,0)*BZ1605*in_loan_home_ticket*in_loan_home_comm</f>
        <v/>
      </c>
      <c r="CB1605" s="40">
        <f>CB1604*(1-IF(B1604&gt;=in_marketplace_from,d_hz_loan_lap*G1604,0)*CC1604)</f>
        <v/>
      </c>
      <c r="CC1605" s="11">
        <f>MIN(in_approval_cap,in_loan_lap_approval*INDEX('Age profile'!$O$2:$O$61,B1605)*(1+in_approval_growth)^(D1605-1))</f>
        <v/>
      </c>
      <c r="CD1605" s="14">
        <f>F1605*CB1605*IF(B1605&gt;=in_marketplace_from,d_hz_loan_lap*G1605,0)*CC1605*in_loan_lap_ticket*in_loan_lap_comm</f>
        <v/>
      </c>
      <c r="CE1605" s="14">
        <f>AA1605+AB1605+AC1605+AD1605+AG1605+AJ1605+AM1605+AP1605+AS1605+AU1605+AX1605+BB1605+BE1605+BG1605+BJ1605+BL1605+BO1605+BR1605+BT1605+BV1605+BX1605+CA1605+CD1605</f>
        <v/>
      </c>
    </row>
    <row r="1606">
      <c r="A1606" s="39" t="n">
        <v>40</v>
      </c>
      <c r="B1606" s="39" t="n">
        <v>6</v>
      </c>
      <c r="C1606" s="39">
        <f>A1606+B1606-1</f>
        <v/>
      </c>
      <c r="D1606" s="39">
        <f>INT((C1606-1)/12)+1</f>
        <v/>
      </c>
      <c r="E1606" s="44">
        <f>INDEX(Monthly!$B$2:$B$61,A1606)</f>
        <v/>
      </c>
      <c r="F1606" s="44">
        <f>E1606*INDEX('Age profile'!$B$2:$B$61,B1606)</f>
        <v/>
      </c>
      <c r="G1606" s="45">
        <f>MIN(in_takeup_cap,INDEX('Age profile'!$N$2:$N$61,B1606)*(1+in_takeup_growth)^(D1606-1))</f>
        <v/>
      </c>
      <c r="H1606" s="11">
        <f>MIN(in_approval_cap,in_approved_first*INDEX('Age profile'!$O$2:$O$61,B1606)*(1+in_approval_growth)^(D1606-1))</f>
        <v/>
      </c>
      <c r="I1606" s="45">
        <f>G1606*MIN(in_takeup_cap,INDEX('Age profile'!$O$2:$O$61,B1606)*(1+in_approval_growth)^(D1606-1))</f>
        <v/>
      </c>
      <c r="J1606" s="40">
        <f>(J1605-L1605)*F1606/F1605</f>
        <v/>
      </c>
      <c r="K1606" s="40">
        <f>(K1605-M1605)*F1606/F1605+SUMIFS(O1601:O1605,B1601:B1605,B1606-1-d_T)*F1606</f>
        <v/>
      </c>
      <c r="L1606" s="40">
        <f>IF(B1606&gt;=in_marketplace_from,J1606*d_hz*G1606*in_eligible*H1606,0)</f>
        <v/>
      </c>
      <c r="M1606" s="40">
        <f>IF(B1606&gt;=in_marketplace_from,K1606*d_hz*G1606*in_eligible*in_approved_repeat,0)</f>
        <v/>
      </c>
      <c r="N1606" s="40">
        <f>L1606+M1606</f>
        <v/>
      </c>
      <c r="O1606" s="46">
        <f>N1606/F1606</f>
        <v/>
      </c>
      <c r="P1606" s="40">
        <f>F1606-J1606-K1606</f>
        <v/>
      </c>
      <c r="Q1606" s="40">
        <f>IF(B1606&gt;=in_marketplace_from,(J1606+K1606)*d_hz*G1606,0)</f>
        <v/>
      </c>
      <c r="R1606" s="40">
        <f>SUMIFS(N1601:N1621,B1601:B1621,"&gt;="&amp;(B1606-d_T),B1601:B1621,"&lt;="&amp;(B1606-1))</f>
        <v/>
      </c>
      <c r="S1606" s="46">
        <f>(1-d_u)*S1605+IF(d_T&gt;in_topup_lag,SUMIFS(O1601:O1621,B1601:B1621,B1606-in_topup_lag)-d_udrop*SUMIFS(O1601:O1621,B1601:B1621,B1606-d_T),0)</f>
        <v/>
      </c>
      <c r="T1606" s="40">
        <f>F1606*d_u*S1606</f>
        <v/>
      </c>
      <c r="U1606" s="9">
        <f>L1606*in_ticket+M1606*d_rep_ticket</f>
        <v/>
      </c>
      <c r="V1606" s="9">
        <f>U1606+T1606*d_topup_amt</f>
        <v/>
      </c>
      <c r="W1606" s="40">
        <f>N1606+T1606*d_topup_ratio</f>
        <v/>
      </c>
      <c r="X1606" s="40">
        <f>SUMIFS(W1601:W1621,B1601:B1621,B1606-in_dpd_lag)*d_cured</f>
        <v/>
      </c>
      <c r="Y1606" s="40">
        <f>SUMIFS(W1601:W1621,B1601:B1621,B1606-in_rec_lag)*d_recd</f>
        <v/>
      </c>
      <c r="Z1606" s="40">
        <f>IF(AND(B1606&gt;=in_marketplace_from,B1606&lt;in_marketplace_from+in_card_months),in_card_share/in_card_months*F1606*I1606,IF(AND(B1606&gt;=in_marketplace_from+in_card_months,B1606&lt;in_marketplace_from+2*in_card_months),in_card_share*d_card_rem/in_card_months*F1606*MIN(in_takeup_cap,(1+in_takeup_growth)^(D1606-1))*MIN(in_takeup_cap,(1+in_approval_growth)^(D1606-1)),0))</f>
        <v/>
      </c>
      <c r="AA1606" s="14">
        <f>V1606*in_fee*(1-in_taken_back)</f>
        <v/>
      </c>
      <c r="AB1606" s="14">
        <f>SUMIFS(W1601:W1621,B1601:B1621,B1606-in_dpd_lag)*d_dpd</f>
        <v/>
      </c>
      <c r="AC1606" s="14">
        <f>SUMIFS(W1601:W1621,B1601:B1621,B1606-in_rec_lag)*d_rec</f>
        <v/>
      </c>
      <c r="AD1606" s="14">
        <f>Z1606*in_card_fee</f>
        <v/>
      </c>
      <c r="AE1606" s="40">
        <f>AE1605*(1-IF(B1605&gt;=in_marketplace_from,d_hz_hlth_small*G1605,0))</f>
        <v/>
      </c>
      <c r="AF1606" s="46">
        <f>AE1606*IF(B1606&gt;=in_marketplace_from,d_hz_hlth_small*G1606,0)</f>
        <v/>
      </c>
      <c r="AG1606" s="14">
        <f>F1606*AF1606*in_hlth_small_ticket*in_hlth_small_comm*in_ins_partner_share+F1606*in_hlth_small_ticket*in_hlth_small_renew_comm*in_ins_partner_share*(in_hlth_small_renew^1*SUMIFS(AF1601:AF1621,B1601:B1621,B1606-12)+in_hlth_small_renew^2*SUMIFS(AF1601:AF1621,B1601:B1621,B1606-24)+in_hlth_small_renew^3*SUMIFS(AF1601:AF1621,B1601:B1621,B1606-36)+in_hlth_small_renew^4*SUMIFS(AF1601:AF1621,B1601:B1621,B1606-48))</f>
        <v/>
      </c>
      <c r="AH1606" s="40">
        <f>AH1605*(1-IF(B1605&gt;=in_marketplace_from,d_hz_hlth_family*G1605,0))</f>
        <v/>
      </c>
      <c r="AI1606" s="46">
        <f>AH1606*IF(B1606&gt;=in_marketplace_from,d_hz_hlth_family*G1606,0)</f>
        <v/>
      </c>
      <c r="AJ1606" s="14">
        <f>F1606*AI1606*in_hlth_family_ticket*in_hlth_family_comm*in_ins_partner_share+F1606*in_hlth_family_ticket*in_hlth_family_renew_comm*in_ins_partner_share*(in_hlth_family_renew^1*SUMIFS(AI1601:AI1621,B1601:B1621,B1606-12)+in_hlth_family_renew^2*SUMIFS(AI1601:AI1621,B1601:B1621,B1606-24)+in_hlth_family_renew^3*SUMIFS(AI1601:AI1621,B1601:B1621,B1606-36)+in_hlth_family_renew^4*SUMIFS(AI1601:AI1621,B1601:B1621,B1606-48))</f>
        <v/>
      </c>
      <c r="AK1606" s="40">
        <f>AK1605*(1-IF(B1605&gt;=in_marketplace_from,d_hz_life_term*G1605,0))</f>
        <v/>
      </c>
      <c r="AL1606" s="46">
        <f>AK1606*IF(B1606&gt;=in_marketplace_from,d_hz_life_term*G1606,0)</f>
        <v/>
      </c>
      <c r="AM1606" s="14">
        <f>F1606*AL1606*in_life_term_ticket*in_life_term_comm*in_ins_partner_share+F1606*in_life_term_ticket*in_life_term_renew_comm*in_ins_partner_share*(in_life_term_renew^1*SUMIFS(AL1601:AL1621,B1601:B1621,B1606-12)+in_life_term_renew^2*SUMIFS(AL1601:AL1621,B1601:B1621,B1606-24)+in_life_term_renew^3*SUMIFS(AL1601:AL1621,B1601:B1621,B1606-36)+in_life_term_renew^4*SUMIFS(AL1601:AL1621,B1601:B1621,B1606-48))</f>
        <v/>
      </c>
      <c r="AN1606" s="40">
        <f>AN1605*(1-IF(B1605&gt;=in_marketplace_from,d_hz_accident*G1605,0))</f>
        <v/>
      </c>
      <c r="AO1606" s="46">
        <f>AN1606*IF(B1606&gt;=in_marketplace_from,d_hz_accident*G1606,0)</f>
        <v/>
      </c>
      <c r="AP1606" s="14">
        <f>F1606*AO1606*in_accident_ticket*in_accident_comm*in_ins_partner_share+F1606*in_accident_ticket*in_accident_renew_comm*in_ins_partner_share*(in_accident_renew^1*SUMIFS(AO1601:AO1621,B1601:B1621,B1606-12)+in_accident_renew^2*SUMIFS(AO1601:AO1621,B1601:B1621,B1606-24)+in_accident_renew^3*SUMIFS(AO1601:AO1621,B1601:B1621,B1606-36)+in_accident_renew^4*SUMIFS(AO1601:AO1621,B1601:B1621,B1606-48))</f>
        <v/>
      </c>
      <c r="AQ1606" s="40">
        <f>AQ1605*(1-IF(B1605&gt;=in_marketplace_from,d_hz_two_wheeler*G1605,0))</f>
        <v/>
      </c>
      <c r="AR1606" s="46">
        <f>AQ1606*IF(B1606&gt;=in_marketplace_from,d_hz_two_wheeler*G1606,0)</f>
        <v/>
      </c>
      <c r="AS1606" s="14">
        <f>F1606*AR1606*in_two_wheeler_ticket*in_two_wheeler_comm*in_ins_partner_share+F1606*in_two_wheeler_ticket*in_two_wheeler_comm*in_ins_partner_share*(in_two_wheeler_renew^1*SUMIFS(AR1601:AR1621,B1601:B1621,B1606-12)+in_two_wheeler_renew^2*SUMIFS(AR1601:AR1621,B1601:B1621,B1606-24)+in_two_wheeler_renew^3*SUMIFS(AR1601:AR1621,B1601:B1621,B1606-36)+in_two_wheeler_renew^4*SUMIFS(AR1601:AR1621,B1601:B1621,B1606-48))</f>
        <v/>
      </c>
      <c r="AT1606" s="40">
        <f>AT1605*(1-IF(B1605&gt;=in_marketplace_from,d_hz_device*G1605,0))</f>
        <v/>
      </c>
      <c r="AU1606" s="14">
        <f>F1606*AT1606*IF(B1606&gt;=in_marketplace_from,d_hz_device*G1606,0)*in_device_ticket*in_device_comm*in_ins_partner_share</f>
        <v/>
      </c>
      <c r="AV1606" s="40">
        <f>AV1605*(1-IF(B1605&gt;=in_marketplace_from,d_hz_shop*G1605,0))</f>
        <v/>
      </c>
      <c r="AW1606" s="46">
        <f>AV1606*IF(B1606&gt;=in_marketplace_from,d_hz_shop*G1606,0)</f>
        <v/>
      </c>
      <c r="AX1606" s="14">
        <f>F1606*AW1606*in_shop_ticket*in_shop_comm*in_ins_partner_share+F1606*in_shop_ticket*in_shop_renew_comm*in_ins_partner_share*(in_shop_renew^1*SUMIFS(AW1601:AW1621,B1601:B1621,B1606-12)+in_shop_renew^2*SUMIFS(AW1601:AW1621,B1601:B1621,B1606-24)+in_shop_renew^3*SUMIFS(AW1601:AW1621,B1601:B1621,B1606-36)+in_shop_renew^4*SUMIFS(AW1601:AW1621,B1601:B1621,B1606-48))</f>
        <v/>
      </c>
      <c r="AY1606" s="40">
        <f>AY1605*(1-IF(B1605&gt;=in_marketplace_from,d_hz_sip*G1605,0))</f>
        <v/>
      </c>
      <c r="AZ1606" s="40">
        <f>AZ1605*d_rho_sip+AY1606*IF(B1606&gt;=in_marketplace_from,d_hz_sip*G1606,0)</f>
        <v/>
      </c>
      <c r="BA1606" s="40">
        <f>d_rho_sip*(BA1605+AZ1605)</f>
        <v/>
      </c>
      <c r="BB1606" s="14">
        <f>F1606*in_sip_ticket*(BA1606+0.5*AZ1606)*in_sip_comm/12</f>
        <v/>
      </c>
      <c r="BC1606" s="40">
        <f>BC1605*(1-IF(B1605&gt;=in_marketplace_from,d_hz_choti*G1605,0))</f>
        <v/>
      </c>
      <c r="BD1606" s="46">
        <f>BC1606*IF(B1606&gt;=in_marketplace_from,d_hz_choti*G1606,0)</f>
        <v/>
      </c>
      <c r="BE1606" s="14">
        <f>F1606*SUMIFS(BD1601:BD1621,B1601:B1621,B1606-in_choti_months)*in_choti_renew*in_choti_ticket</f>
        <v/>
      </c>
      <c r="BF1606" s="40">
        <f>BF1605*(1-IF(B1605&gt;=in_marketplace_from,d_hz_nps*G1605,0))</f>
        <v/>
      </c>
      <c r="BG1606" s="14">
        <f>F1606*BF1606*IF(B1606&gt;=in_marketplace_from,d_hz_nps*G1606,0)*in_nps_ticket*in_nps_comm</f>
        <v/>
      </c>
      <c r="BH1606" s="40">
        <f>BH1605*(1-IF(B1605&gt;=in_marketplace_from,d_hz_gold*G1605,0))</f>
        <v/>
      </c>
      <c r="BI1606" s="40">
        <f>BI1605*d_rho_gold+BH1606*IF(B1606&gt;=in_marketplace_from,d_hz_gold*G1606,0)</f>
        <v/>
      </c>
      <c r="BJ1606" s="14">
        <f>F1606*BI1606*in_gold_ticket*in_gold_comm</f>
        <v/>
      </c>
      <c r="BK1606" s="40">
        <f>BK1605*(1-IF(B1605&gt;=in_marketplace_from,d_hz_fd*G1605,0))</f>
        <v/>
      </c>
      <c r="BL1606" s="14">
        <f>F1606*BK1606*IF(B1606&gt;=in_marketplace_from,d_hz_fd*G1606,0)*in_fd_ticket*in_fd_comm</f>
        <v/>
      </c>
      <c r="BM1606" s="40">
        <f>BM1605*(1-IF(B1605&gt;=in_marketplace_from,d_hz_recharge*G1605,0))</f>
        <v/>
      </c>
      <c r="BN1606" s="40">
        <f>BN1605*d_rho_recharge+BM1606*IF(B1606&gt;=in_marketplace_from,d_hz_recharge*G1606,0)</f>
        <v/>
      </c>
      <c r="BO1606" s="14">
        <f>F1606*BN1606*in_recharge_ticket*in_recharge_comm/12</f>
        <v/>
      </c>
      <c r="BP1606" s="40">
        <f>BP1605*(1-IF(B1605&gt;=in_marketplace_from,d_hz_bills*G1605,0))</f>
        <v/>
      </c>
      <c r="BQ1606" s="40">
        <f>BQ1605*d_rho_bills+BP1606*IF(B1606&gt;=in_marketplace_from,d_hz_bills*G1606,0)</f>
        <v/>
      </c>
      <c r="BR1606" s="14">
        <f>F1606*BQ1606*in_bills_ticket*in_bills_comm/12</f>
        <v/>
      </c>
      <c r="BS1606" s="40">
        <f>BS1605*(1-IF(B1605&gt;=in_marketplace_from,d_hz_loan_gold*G1605,0))</f>
        <v/>
      </c>
      <c r="BT1606" s="14">
        <f>F1606*BS1606*IF(B1606&gt;=in_marketplace_from,d_hz_loan_gold*G1606,0)*in_loan_gold_ticket*in_loan_gold_comm</f>
        <v/>
      </c>
      <c r="BU1606" s="40">
        <f>BU1605*(1-IF(B1605&gt;=in_marketplace_from,d_hz_loan_cd*G1605,0))</f>
        <v/>
      </c>
      <c r="BV1606" s="14">
        <f>F1606*BU1606*IF(B1606&gt;=in_marketplace_from,d_hz_loan_cd*G1606,0)*in_loan_cd_ticket*in_loan_cd_comm</f>
        <v/>
      </c>
      <c r="BW1606" s="40">
        <f>BW1605*(1-IF(B1605&gt;=in_marketplace_from,d_hz_loan_vehicle*G1605,0))</f>
        <v/>
      </c>
      <c r="BX1606" s="14">
        <f>F1606*BW1606*IF(B1606&gt;=in_marketplace_from,d_hz_loan_vehicle*G1606,0)*in_loan_vehicle_ticket*in_loan_vehicle_comm</f>
        <v/>
      </c>
      <c r="BY1606" s="40">
        <f>BY1605*(1-IF(B1605&gt;=in_marketplace_from,d_hz_loan_home*G1605,0)*BZ1605)</f>
        <v/>
      </c>
      <c r="BZ1606" s="11">
        <f>MIN(in_approval_cap,in_loan_home_approval*INDEX('Age profile'!$O$2:$O$61,B1606)*(1+in_approval_growth)^(D1606-1))</f>
        <v/>
      </c>
      <c r="CA1606" s="14">
        <f>F1606*BY1606*IF(B1606&gt;=in_marketplace_from,d_hz_loan_home*G1606,0)*BZ1606*in_loan_home_ticket*in_loan_home_comm</f>
        <v/>
      </c>
      <c r="CB1606" s="40">
        <f>CB1605*(1-IF(B1605&gt;=in_marketplace_from,d_hz_loan_lap*G1605,0)*CC1605)</f>
        <v/>
      </c>
      <c r="CC1606" s="11">
        <f>MIN(in_approval_cap,in_loan_lap_approval*INDEX('Age profile'!$O$2:$O$61,B1606)*(1+in_approval_growth)^(D1606-1))</f>
        <v/>
      </c>
      <c r="CD1606" s="14">
        <f>F1606*CB1606*IF(B1606&gt;=in_marketplace_from,d_hz_loan_lap*G1606,0)*CC1606*in_loan_lap_ticket*in_loan_lap_comm</f>
        <v/>
      </c>
      <c r="CE1606" s="14">
        <f>AA1606+AB1606+AC1606+AD1606+AG1606+AJ1606+AM1606+AP1606+AS1606+AU1606+AX1606+BB1606+BE1606+BG1606+BJ1606+BL1606+BO1606+BR1606+BT1606+BV1606+BX1606+CA1606+CD1606</f>
        <v/>
      </c>
    </row>
    <row r="1607">
      <c r="A1607" s="39" t="n">
        <v>40</v>
      </c>
      <c r="B1607" s="39" t="n">
        <v>7</v>
      </c>
      <c r="C1607" s="39">
        <f>A1607+B1607-1</f>
        <v/>
      </c>
      <c r="D1607" s="39">
        <f>INT((C1607-1)/12)+1</f>
        <v/>
      </c>
      <c r="E1607" s="44">
        <f>INDEX(Monthly!$B$2:$B$61,A1607)</f>
        <v/>
      </c>
      <c r="F1607" s="44">
        <f>E1607*INDEX('Age profile'!$B$2:$B$61,B1607)</f>
        <v/>
      </c>
      <c r="G1607" s="45">
        <f>MIN(in_takeup_cap,INDEX('Age profile'!$N$2:$N$61,B1607)*(1+in_takeup_growth)^(D1607-1))</f>
        <v/>
      </c>
      <c r="H1607" s="11">
        <f>MIN(in_approval_cap,in_approved_first*INDEX('Age profile'!$O$2:$O$61,B1607)*(1+in_approval_growth)^(D1607-1))</f>
        <v/>
      </c>
      <c r="I1607" s="45">
        <f>G1607*MIN(in_takeup_cap,INDEX('Age profile'!$O$2:$O$61,B1607)*(1+in_approval_growth)^(D1607-1))</f>
        <v/>
      </c>
      <c r="J1607" s="40">
        <f>(J1606-L1606)*F1607/F1606</f>
        <v/>
      </c>
      <c r="K1607" s="40">
        <f>(K1606-M1606)*F1607/F1606+SUMIFS(O1601:O1606,B1601:B1606,B1607-1-d_T)*F1607</f>
        <v/>
      </c>
      <c r="L1607" s="40">
        <f>IF(B1607&gt;=in_marketplace_from,J1607*d_hz*G1607*in_eligible*H1607,0)</f>
        <v/>
      </c>
      <c r="M1607" s="40">
        <f>IF(B1607&gt;=in_marketplace_from,K1607*d_hz*G1607*in_eligible*in_approved_repeat,0)</f>
        <v/>
      </c>
      <c r="N1607" s="40">
        <f>L1607+M1607</f>
        <v/>
      </c>
      <c r="O1607" s="46">
        <f>N1607/F1607</f>
        <v/>
      </c>
      <c r="P1607" s="40">
        <f>F1607-J1607-K1607</f>
        <v/>
      </c>
      <c r="Q1607" s="40">
        <f>IF(B1607&gt;=in_marketplace_from,(J1607+K1607)*d_hz*G1607,0)</f>
        <v/>
      </c>
      <c r="R1607" s="40">
        <f>SUMIFS(N1601:N1621,B1601:B1621,"&gt;="&amp;(B1607-d_T),B1601:B1621,"&lt;="&amp;(B1607-1))</f>
        <v/>
      </c>
      <c r="S1607" s="46">
        <f>(1-d_u)*S1606+IF(d_T&gt;in_topup_lag,SUMIFS(O1601:O1621,B1601:B1621,B1607-in_topup_lag)-d_udrop*SUMIFS(O1601:O1621,B1601:B1621,B1607-d_T),0)</f>
        <v/>
      </c>
      <c r="T1607" s="40">
        <f>F1607*d_u*S1607</f>
        <v/>
      </c>
      <c r="U1607" s="9">
        <f>L1607*in_ticket+M1607*d_rep_ticket</f>
        <v/>
      </c>
      <c r="V1607" s="9">
        <f>U1607+T1607*d_topup_amt</f>
        <v/>
      </c>
      <c r="W1607" s="40">
        <f>N1607+T1607*d_topup_ratio</f>
        <v/>
      </c>
      <c r="X1607" s="40">
        <f>SUMIFS(W1601:W1621,B1601:B1621,B1607-in_dpd_lag)*d_cured</f>
        <v/>
      </c>
      <c r="Y1607" s="40">
        <f>SUMIFS(W1601:W1621,B1601:B1621,B1607-in_rec_lag)*d_recd</f>
        <v/>
      </c>
      <c r="Z1607" s="40">
        <f>IF(AND(B1607&gt;=in_marketplace_from,B1607&lt;in_marketplace_from+in_card_months),in_card_share/in_card_months*F1607*I1607,IF(AND(B1607&gt;=in_marketplace_from+in_card_months,B1607&lt;in_marketplace_from+2*in_card_months),in_card_share*d_card_rem/in_card_months*F1607*MIN(in_takeup_cap,(1+in_takeup_growth)^(D1607-1))*MIN(in_takeup_cap,(1+in_approval_growth)^(D1607-1)),0))</f>
        <v/>
      </c>
      <c r="AA1607" s="14">
        <f>V1607*in_fee*(1-in_taken_back)</f>
        <v/>
      </c>
      <c r="AB1607" s="14">
        <f>SUMIFS(W1601:W1621,B1601:B1621,B1607-in_dpd_lag)*d_dpd</f>
        <v/>
      </c>
      <c r="AC1607" s="14">
        <f>SUMIFS(W1601:W1621,B1601:B1621,B1607-in_rec_lag)*d_rec</f>
        <v/>
      </c>
      <c r="AD1607" s="14">
        <f>Z1607*in_card_fee</f>
        <v/>
      </c>
      <c r="AE1607" s="40">
        <f>AE1606*(1-IF(B1606&gt;=in_marketplace_from,d_hz_hlth_small*G1606,0))</f>
        <v/>
      </c>
      <c r="AF1607" s="46">
        <f>AE1607*IF(B1607&gt;=in_marketplace_from,d_hz_hlth_small*G1607,0)</f>
        <v/>
      </c>
      <c r="AG1607" s="14">
        <f>F1607*AF1607*in_hlth_small_ticket*in_hlth_small_comm*in_ins_partner_share+F1607*in_hlth_small_ticket*in_hlth_small_renew_comm*in_ins_partner_share*(in_hlth_small_renew^1*SUMIFS(AF1601:AF1621,B1601:B1621,B1607-12)+in_hlth_small_renew^2*SUMIFS(AF1601:AF1621,B1601:B1621,B1607-24)+in_hlth_small_renew^3*SUMIFS(AF1601:AF1621,B1601:B1621,B1607-36)+in_hlth_small_renew^4*SUMIFS(AF1601:AF1621,B1601:B1621,B1607-48))</f>
        <v/>
      </c>
      <c r="AH1607" s="40">
        <f>AH1606*(1-IF(B1606&gt;=in_marketplace_from,d_hz_hlth_family*G1606,0))</f>
        <v/>
      </c>
      <c r="AI1607" s="46">
        <f>AH1607*IF(B1607&gt;=in_marketplace_from,d_hz_hlth_family*G1607,0)</f>
        <v/>
      </c>
      <c r="AJ1607" s="14">
        <f>F1607*AI1607*in_hlth_family_ticket*in_hlth_family_comm*in_ins_partner_share+F1607*in_hlth_family_ticket*in_hlth_family_renew_comm*in_ins_partner_share*(in_hlth_family_renew^1*SUMIFS(AI1601:AI1621,B1601:B1621,B1607-12)+in_hlth_family_renew^2*SUMIFS(AI1601:AI1621,B1601:B1621,B1607-24)+in_hlth_family_renew^3*SUMIFS(AI1601:AI1621,B1601:B1621,B1607-36)+in_hlth_family_renew^4*SUMIFS(AI1601:AI1621,B1601:B1621,B1607-48))</f>
        <v/>
      </c>
      <c r="AK1607" s="40">
        <f>AK1606*(1-IF(B1606&gt;=in_marketplace_from,d_hz_life_term*G1606,0))</f>
        <v/>
      </c>
      <c r="AL1607" s="46">
        <f>AK1607*IF(B1607&gt;=in_marketplace_from,d_hz_life_term*G1607,0)</f>
        <v/>
      </c>
      <c r="AM1607" s="14">
        <f>F1607*AL1607*in_life_term_ticket*in_life_term_comm*in_ins_partner_share+F1607*in_life_term_ticket*in_life_term_renew_comm*in_ins_partner_share*(in_life_term_renew^1*SUMIFS(AL1601:AL1621,B1601:B1621,B1607-12)+in_life_term_renew^2*SUMIFS(AL1601:AL1621,B1601:B1621,B1607-24)+in_life_term_renew^3*SUMIFS(AL1601:AL1621,B1601:B1621,B1607-36)+in_life_term_renew^4*SUMIFS(AL1601:AL1621,B1601:B1621,B1607-48))</f>
        <v/>
      </c>
      <c r="AN1607" s="40">
        <f>AN1606*(1-IF(B1606&gt;=in_marketplace_from,d_hz_accident*G1606,0))</f>
        <v/>
      </c>
      <c r="AO1607" s="46">
        <f>AN1607*IF(B1607&gt;=in_marketplace_from,d_hz_accident*G1607,0)</f>
        <v/>
      </c>
      <c r="AP1607" s="14">
        <f>F1607*AO1607*in_accident_ticket*in_accident_comm*in_ins_partner_share+F1607*in_accident_ticket*in_accident_renew_comm*in_ins_partner_share*(in_accident_renew^1*SUMIFS(AO1601:AO1621,B1601:B1621,B1607-12)+in_accident_renew^2*SUMIFS(AO1601:AO1621,B1601:B1621,B1607-24)+in_accident_renew^3*SUMIFS(AO1601:AO1621,B1601:B1621,B1607-36)+in_accident_renew^4*SUMIFS(AO1601:AO1621,B1601:B1621,B1607-48))</f>
        <v/>
      </c>
      <c r="AQ1607" s="40">
        <f>AQ1606*(1-IF(B1606&gt;=in_marketplace_from,d_hz_two_wheeler*G1606,0))</f>
        <v/>
      </c>
      <c r="AR1607" s="46">
        <f>AQ1607*IF(B1607&gt;=in_marketplace_from,d_hz_two_wheeler*G1607,0)</f>
        <v/>
      </c>
      <c r="AS1607" s="14">
        <f>F1607*AR1607*in_two_wheeler_ticket*in_two_wheeler_comm*in_ins_partner_share+F1607*in_two_wheeler_ticket*in_two_wheeler_comm*in_ins_partner_share*(in_two_wheeler_renew^1*SUMIFS(AR1601:AR1621,B1601:B1621,B1607-12)+in_two_wheeler_renew^2*SUMIFS(AR1601:AR1621,B1601:B1621,B1607-24)+in_two_wheeler_renew^3*SUMIFS(AR1601:AR1621,B1601:B1621,B1607-36)+in_two_wheeler_renew^4*SUMIFS(AR1601:AR1621,B1601:B1621,B1607-48))</f>
        <v/>
      </c>
      <c r="AT1607" s="40">
        <f>AT1606*(1-IF(B1606&gt;=in_marketplace_from,d_hz_device*G1606,0))</f>
        <v/>
      </c>
      <c r="AU1607" s="14">
        <f>F1607*AT1607*IF(B1607&gt;=in_marketplace_from,d_hz_device*G1607,0)*in_device_ticket*in_device_comm*in_ins_partner_share</f>
        <v/>
      </c>
      <c r="AV1607" s="40">
        <f>AV1606*(1-IF(B1606&gt;=in_marketplace_from,d_hz_shop*G1606,0))</f>
        <v/>
      </c>
      <c r="AW1607" s="46">
        <f>AV1607*IF(B1607&gt;=in_marketplace_from,d_hz_shop*G1607,0)</f>
        <v/>
      </c>
      <c r="AX1607" s="14">
        <f>F1607*AW1607*in_shop_ticket*in_shop_comm*in_ins_partner_share+F1607*in_shop_ticket*in_shop_renew_comm*in_ins_partner_share*(in_shop_renew^1*SUMIFS(AW1601:AW1621,B1601:B1621,B1607-12)+in_shop_renew^2*SUMIFS(AW1601:AW1621,B1601:B1621,B1607-24)+in_shop_renew^3*SUMIFS(AW1601:AW1621,B1601:B1621,B1607-36)+in_shop_renew^4*SUMIFS(AW1601:AW1621,B1601:B1621,B1607-48))</f>
        <v/>
      </c>
      <c r="AY1607" s="40">
        <f>AY1606*(1-IF(B1606&gt;=in_marketplace_from,d_hz_sip*G1606,0))</f>
        <v/>
      </c>
      <c r="AZ1607" s="40">
        <f>AZ1606*d_rho_sip+AY1607*IF(B1607&gt;=in_marketplace_from,d_hz_sip*G1607,0)</f>
        <v/>
      </c>
      <c r="BA1607" s="40">
        <f>d_rho_sip*(BA1606+AZ1606)</f>
        <v/>
      </c>
      <c r="BB1607" s="14">
        <f>F1607*in_sip_ticket*(BA1607+0.5*AZ1607)*in_sip_comm/12</f>
        <v/>
      </c>
      <c r="BC1607" s="40">
        <f>BC1606*(1-IF(B1606&gt;=in_marketplace_from,d_hz_choti*G1606,0))</f>
        <v/>
      </c>
      <c r="BD1607" s="46">
        <f>BC1607*IF(B1607&gt;=in_marketplace_from,d_hz_choti*G1607,0)</f>
        <v/>
      </c>
      <c r="BE1607" s="14">
        <f>F1607*SUMIFS(BD1601:BD1621,B1601:B1621,B1607-in_choti_months)*in_choti_renew*in_choti_ticket</f>
        <v/>
      </c>
      <c r="BF1607" s="40">
        <f>BF1606*(1-IF(B1606&gt;=in_marketplace_from,d_hz_nps*G1606,0))</f>
        <v/>
      </c>
      <c r="BG1607" s="14">
        <f>F1607*BF1607*IF(B1607&gt;=in_marketplace_from,d_hz_nps*G1607,0)*in_nps_ticket*in_nps_comm</f>
        <v/>
      </c>
      <c r="BH1607" s="40">
        <f>BH1606*(1-IF(B1606&gt;=in_marketplace_from,d_hz_gold*G1606,0))</f>
        <v/>
      </c>
      <c r="BI1607" s="40">
        <f>BI1606*d_rho_gold+BH1607*IF(B1607&gt;=in_marketplace_from,d_hz_gold*G1607,0)</f>
        <v/>
      </c>
      <c r="BJ1607" s="14">
        <f>F1607*BI1607*in_gold_ticket*in_gold_comm</f>
        <v/>
      </c>
      <c r="BK1607" s="40">
        <f>BK1606*(1-IF(B1606&gt;=in_marketplace_from,d_hz_fd*G1606,0))</f>
        <v/>
      </c>
      <c r="BL1607" s="14">
        <f>F1607*BK1607*IF(B1607&gt;=in_marketplace_from,d_hz_fd*G1607,0)*in_fd_ticket*in_fd_comm</f>
        <v/>
      </c>
      <c r="BM1607" s="40">
        <f>BM1606*(1-IF(B1606&gt;=in_marketplace_from,d_hz_recharge*G1606,0))</f>
        <v/>
      </c>
      <c r="BN1607" s="40">
        <f>BN1606*d_rho_recharge+BM1607*IF(B1607&gt;=in_marketplace_from,d_hz_recharge*G1607,0)</f>
        <v/>
      </c>
      <c r="BO1607" s="14">
        <f>F1607*BN1607*in_recharge_ticket*in_recharge_comm/12</f>
        <v/>
      </c>
      <c r="BP1607" s="40">
        <f>BP1606*(1-IF(B1606&gt;=in_marketplace_from,d_hz_bills*G1606,0))</f>
        <v/>
      </c>
      <c r="BQ1607" s="40">
        <f>BQ1606*d_rho_bills+BP1607*IF(B1607&gt;=in_marketplace_from,d_hz_bills*G1607,0)</f>
        <v/>
      </c>
      <c r="BR1607" s="14">
        <f>F1607*BQ1607*in_bills_ticket*in_bills_comm/12</f>
        <v/>
      </c>
      <c r="BS1607" s="40">
        <f>BS1606*(1-IF(B1606&gt;=in_marketplace_from,d_hz_loan_gold*G1606,0))</f>
        <v/>
      </c>
      <c r="BT1607" s="14">
        <f>F1607*BS1607*IF(B1607&gt;=in_marketplace_from,d_hz_loan_gold*G1607,0)*in_loan_gold_ticket*in_loan_gold_comm</f>
        <v/>
      </c>
      <c r="BU1607" s="40">
        <f>BU1606*(1-IF(B1606&gt;=in_marketplace_from,d_hz_loan_cd*G1606,0))</f>
        <v/>
      </c>
      <c r="BV1607" s="14">
        <f>F1607*BU1607*IF(B1607&gt;=in_marketplace_from,d_hz_loan_cd*G1607,0)*in_loan_cd_ticket*in_loan_cd_comm</f>
        <v/>
      </c>
      <c r="BW1607" s="40">
        <f>BW1606*(1-IF(B1606&gt;=in_marketplace_from,d_hz_loan_vehicle*G1606,0))</f>
        <v/>
      </c>
      <c r="BX1607" s="14">
        <f>F1607*BW1607*IF(B1607&gt;=in_marketplace_from,d_hz_loan_vehicle*G1607,0)*in_loan_vehicle_ticket*in_loan_vehicle_comm</f>
        <v/>
      </c>
      <c r="BY1607" s="40">
        <f>BY1606*(1-IF(B1606&gt;=in_marketplace_from,d_hz_loan_home*G1606,0)*BZ1606)</f>
        <v/>
      </c>
      <c r="BZ1607" s="11">
        <f>MIN(in_approval_cap,in_loan_home_approval*INDEX('Age profile'!$O$2:$O$61,B1607)*(1+in_approval_growth)^(D1607-1))</f>
        <v/>
      </c>
      <c r="CA1607" s="14">
        <f>F1607*BY1607*IF(B1607&gt;=in_marketplace_from,d_hz_loan_home*G1607,0)*BZ1607*in_loan_home_ticket*in_loan_home_comm</f>
        <v/>
      </c>
      <c r="CB1607" s="40">
        <f>CB1606*(1-IF(B1606&gt;=in_marketplace_from,d_hz_loan_lap*G1606,0)*CC1606)</f>
        <v/>
      </c>
      <c r="CC1607" s="11">
        <f>MIN(in_approval_cap,in_loan_lap_approval*INDEX('Age profile'!$O$2:$O$61,B1607)*(1+in_approval_growth)^(D1607-1))</f>
        <v/>
      </c>
      <c r="CD1607" s="14">
        <f>F1607*CB1607*IF(B1607&gt;=in_marketplace_from,d_hz_loan_lap*G1607,0)*CC1607*in_loan_lap_ticket*in_loan_lap_comm</f>
        <v/>
      </c>
      <c r="CE1607" s="14">
        <f>AA1607+AB1607+AC1607+AD1607+AG1607+AJ1607+AM1607+AP1607+AS1607+AU1607+AX1607+BB1607+BE1607+BG1607+BJ1607+BL1607+BO1607+BR1607+BT1607+BV1607+BX1607+CA1607+CD1607</f>
        <v/>
      </c>
    </row>
    <row r="1608">
      <c r="A1608" s="39" t="n">
        <v>40</v>
      </c>
      <c r="B1608" s="39" t="n">
        <v>8</v>
      </c>
      <c r="C1608" s="39">
        <f>A1608+B1608-1</f>
        <v/>
      </c>
      <c r="D1608" s="39">
        <f>INT((C1608-1)/12)+1</f>
        <v/>
      </c>
      <c r="E1608" s="44">
        <f>INDEX(Monthly!$B$2:$B$61,A1608)</f>
        <v/>
      </c>
      <c r="F1608" s="44">
        <f>E1608*INDEX('Age profile'!$B$2:$B$61,B1608)</f>
        <v/>
      </c>
      <c r="G1608" s="45">
        <f>MIN(in_takeup_cap,INDEX('Age profile'!$N$2:$N$61,B1608)*(1+in_takeup_growth)^(D1608-1))</f>
        <v/>
      </c>
      <c r="H1608" s="11">
        <f>MIN(in_approval_cap,in_approved_first*INDEX('Age profile'!$O$2:$O$61,B1608)*(1+in_approval_growth)^(D1608-1))</f>
        <v/>
      </c>
      <c r="I1608" s="45">
        <f>G1608*MIN(in_takeup_cap,INDEX('Age profile'!$O$2:$O$61,B1608)*(1+in_approval_growth)^(D1608-1))</f>
        <v/>
      </c>
      <c r="J1608" s="40">
        <f>(J1607-L1607)*F1608/F1607</f>
        <v/>
      </c>
      <c r="K1608" s="40">
        <f>(K1607-M1607)*F1608/F1607+SUMIFS(O1601:O1607,B1601:B1607,B1608-1-d_T)*F1608</f>
        <v/>
      </c>
      <c r="L1608" s="40">
        <f>IF(B1608&gt;=in_marketplace_from,J1608*d_hz*G1608*in_eligible*H1608,0)</f>
        <v/>
      </c>
      <c r="M1608" s="40">
        <f>IF(B1608&gt;=in_marketplace_from,K1608*d_hz*G1608*in_eligible*in_approved_repeat,0)</f>
        <v/>
      </c>
      <c r="N1608" s="40">
        <f>L1608+M1608</f>
        <v/>
      </c>
      <c r="O1608" s="46">
        <f>N1608/F1608</f>
        <v/>
      </c>
      <c r="P1608" s="40">
        <f>F1608-J1608-K1608</f>
        <v/>
      </c>
      <c r="Q1608" s="40">
        <f>IF(B1608&gt;=in_marketplace_from,(J1608+K1608)*d_hz*G1608,0)</f>
        <v/>
      </c>
      <c r="R1608" s="40">
        <f>SUMIFS(N1601:N1621,B1601:B1621,"&gt;="&amp;(B1608-d_T),B1601:B1621,"&lt;="&amp;(B1608-1))</f>
        <v/>
      </c>
      <c r="S1608" s="46">
        <f>(1-d_u)*S1607+IF(d_T&gt;in_topup_lag,SUMIFS(O1601:O1621,B1601:B1621,B1608-in_topup_lag)-d_udrop*SUMIFS(O1601:O1621,B1601:B1621,B1608-d_T),0)</f>
        <v/>
      </c>
      <c r="T1608" s="40">
        <f>F1608*d_u*S1608</f>
        <v/>
      </c>
      <c r="U1608" s="9">
        <f>L1608*in_ticket+M1608*d_rep_ticket</f>
        <v/>
      </c>
      <c r="V1608" s="9">
        <f>U1608+T1608*d_topup_amt</f>
        <v/>
      </c>
      <c r="W1608" s="40">
        <f>N1608+T1608*d_topup_ratio</f>
        <v/>
      </c>
      <c r="X1608" s="40">
        <f>SUMIFS(W1601:W1621,B1601:B1621,B1608-in_dpd_lag)*d_cured</f>
        <v/>
      </c>
      <c r="Y1608" s="40">
        <f>SUMIFS(W1601:W1621,B1601:B1621,B1608-in_rec_lag)*d_recd</f>
        <v/>
      </c>
      <c r="Z1608" s="40">
        <f>IF(AND(B1608&gt;=in_marketplace_from,B1608&lt;in_marketplace_from+in_card_months),in_card_share/in_card_months*F1608*I1608,IF(AND(B1608&gt;=in_marketplace_from+in_card_months,B1608&lt;in_marketplace_from+2*in_card_months),in_card_share*d_card_rem/in_card_months*F1608*MIN(in_takeup_cap,(1+in_takeup_growth)^(D1608-1))*MIN(in_takeup_cap,(1+in_approval_growth)^(D1608-1)),0))</f>
        <v/>
      </c>
      <c r="AA1608" s="14">
        <f>V1608*in_fee*(1-in_taken_back)</f>
        <v/>
      </c>
      <c r="AB1608" s="14">
        <f>SUMIFS(W1601:W1621,B1601:B1621,B1608-in_dpd_lag)*d_dpd</f>
        <v/>
      </c>
      <c r="AC1608" s="14">
        <f>SUMIFS(W1601:W1621,B1601:B1621,B1608-in_rec_lag)*d_rec</f>
        <v/>
      </c>
      <c r="AD1608" s="14">
        <f>Z1608*in_card_fee</f>
        <v/>
      </c>
      <c r="AE1608" s="40">
        <f>AE1607*(1-IF(B1607&gt;=in_marketplace_from,d_hz_hlth_small*G1607,0))</f>
        <v/>
      </c>
      <c r="AF1608" s="46">
        <f>AE1608*IF(B1608&gt;=in_marketplace_from,d_hz_hlth_small*G1608,0)</f>
        <v/>
      </c>
      <c r="AG1608" s="14">
        <f>F1608*AF1608*in_hlth_small_ticket*in_hlth_small_comm*in_ins_partner_share+F1608*in_hlth_small_ticket*in_hlth_small_renew_comm*in_ins_partner_share*(in_hlth_small_renew^1*SUMIFS(AF1601:AF1621,B1601:B1621,B1608-12)+in_hlth_small_renew^2*SUMIFS(AF1601:AF1621,B1601:B1621,B1608-24)+in_hlth_small_renew^3*SUMIFS(AF1601:AF1621,B1601:B1621,B1608-36)+in_hlth_small_renew^4*SUMIFS(AF1601:AF1621,B1601:B1621,B1608-48))</f>
        <v/>
      </c>
      <c r="AH1608" s="40">
        <f>AH1607*(1-IF(B1607&gt;=in_marketplace_from,d_hz_hlth_family*G1607,0))</f>
        <v/>
      </c>
      <c r="AI1608" s="46">
        <f>AH1608*IF(B1608&gt;=in_marketplace_from,d_hz_hlth_family*G1608,0)</f>
        <v/>
      </c>
      <c r="AJ1608" s="14">
        <f>F1608*AI1608*in_hlth_family_ticket*in_hlth_family_comm*in_ins_partner_share+F1608*in_hlth_family_ticket*in_hlth_family_renew_comm*in_ins_partner_share*(in_hlth_family_renew^1*SUMIFS(AI1601:AI1621,B1601:B1621,B1608-12)+in_hlth_family_renew^2*SUMIFS(AI1601:AI1621,B1601:B1621,B1608-24)+in_hlth_family_renew^3*SUMIFS(AI1601:AI1621,B1601:B1621,B1608-36)+in_hlth_family_renew^4*SUMIFS(AI1601:AI1621,B1601:B1621,B1608-48))</f>
        <v/>
      </c>
      <c r="AK1608" s="40">
        <f>AK1607*(1-IF(B1607&gt;=in_marketplace_from,d_hz_life_term*G1607,0))</f>
        <v/>
      </c>
      <c r="AL1608" s="46">
        <f>AK1608*IF(B1608&gt;=in_marketplace_from,d_hz_life_term*G1608,0)</f>
        <v/>
      </c>
      <c r="AM1608" s="14">
        <f>F1608*AL1608*in_life_term_ticket*in_life_term_comm*in_ins_partner_share+F1608*in_life_term_ticket*in_life_term_renew_comm*in_ins_partner_share*(in_life_term_renew^1*SUMIFS(AL1601:AL1621,B1601:B1621,B1608-12)+in_life_term_renew^2*SUMIFS(AL1601:AL1621,B1601:B1621,B1608-24)+in_life_term_renew^3*SUMIFS(AL1601:AL1621,B1601:B1621,B1608-36)+in_life_term_renew^4*SUMIFS(AL1601:AL1621,B1601:B1621,B1608-48))</f>
        <v/>
      </c>
      <c r="AN1608" s="40">
        <f>AN1607*(1-IF(B1607&gt;=in_marketplace_from,d_hz_accident*G1607,0))</f>
        <v/>
      </c>
      <c r="AO1608" s="46">
        <f>AN1608*IF(B1608&gt;=in_marketplace_from,d_hz_accident*G1608,0)</f>
        <v/>
      </c>
      <c r="AP1608" s="14">
        <f>F1608*AO1608*in_accident_ticket*in_accident_comm*in_ins_partner_share+F1608*in_accident_ticket*in_accident_renew_comm*in_ins_partner_share*(in_accident_renew^1*SUMIFS(AO1601:AO1621,B1601:B1621,B1608-12)+in_accident_renew^2*SUMIFS(AO1601:AO1621,B1601:B1621,B1608-24)+in_accident_renew^3*SUMIFS(AO1601:AO1621,B1601:B1621,B1608-36)+in_accident_renew^4*SUMIFS(AO1601:AO1621,B1601:B1621,B1608-48))</f>
        <v/>
      </c>
      <c r="AQ1608" s="40">
        <f>AQ1607*(1-IF(B1607&gt;=in_marketplace_from,d_hz_two_wheeler*G1607,0))</f>
        <v/>
      </c>
      <c r="AR1608" s="46">
        <f>AQ1608*IF(B1608&gt;=in_marketplace_from,d_hz_two_wheeler*G1608,0)</f>
        <v/>
      </c>
      <c r="AS1608" s="14">
        <f>F1608*AR1608*in_two_wheeler_ticket*in_two_wheeler_comm*in_ins_partner_share+F1608*in_two_wheeler_ticket*in_two_wheeler_comm*in_ins_partner_share*(in_two_wheeler_renew^1*SUMIFS(AR1601:AR1621,B1601:B1621,B1608-12)+in_two_wheeler_renew^2*SUMIFS(AR1601:AR1621,B1601:B1621,B1608-24)+in_two_wheeler_renew^3*SUMIFS(AR1601:AR1621,B1601:B1621,B1608-36)+in_two_wheeler_renew^4*SUMIFS(AR1601:AR1621,B1601:B1621,B1608-48))</f>
        <v/>
      </c>
      <c r="AT1608" s="40">
        <f>AT1607*(1-IF(B1607&gt;=in_marketplace_from,d_hz_device*G1607,0))</f>
        <v/>
      </c>
      <c r="AU1608" s="14">
        <f>F1608*AT1608*IF(B1608&gt;=in_marketplace_from,d_hz_device*G1608,0)*in_device_ticket*in_device_comm*in_ins_partner_share</f>
        <v/>
      </c>
      <c r="AV1608" s="40">
        <f>AV1607*(1-IF(B1607&gt;=in_marketplace_from,d_hz_shop*G1607,0))</f>
        <v/>
      </c>
      <c r="AW1608" s="46">
        <f>AV1608*IF(B1608&gt;=in_marketplace_from,d_hz_shop*G1608,0)</f>
        <v/>
      </c>
      <c r="AX1608" s="14">
        <f>F1608*AW1608*in_shop_ticket*in_shop_comm*in_ins_partner_share+F1608*in_shop_ticket*in_shop_renew_comm*in_ins_partner_share*(in_shop_renew^1*SUMIFS(AW1601:AW1621,B1601:B1621,B1608-12)+in_shop_renew^2*SUMIFS(AW1601:AW1621,B1601:B1621,B1608-24)+in_shop_renew^3*SUMIFS(AW1601:AW1621,B1601:B1621,B1608-36)+in_shop_renew^4*SUMIFS(AW1601:AW1621,B1601:B1621,B1608-48))</f>
        <v/>
      </c>
      <c r="AY1608" s="40">
        <f>AY1607*(1-IF(B1607&gt;=in_marketplace_from,d_hz_sip*G1607,0))</f>
        <v/>
      </c>
      <c r="AZ1608" s="40">
        <f>AZ1607*d_rho_sip+AY1608*IF(B1608&gt;=in_marketplace_from,d_hz_sip*G1608,0)</f>
        <v/>
      </c>
      <c r="BA1608" s="40">
        <f>d_rho_sip*(BA1607+AZ1607)</f>
        <v/>
      </c>
      <c r="BB1608" s="14">
        <f>F1608*in_sip_ticket*(BA1608+0.5*AZ1608)*in_sip_comm/12</f>
        <v/>
      </c>
      <c r="BC1608" s="40">
        <f>BC1607*(1-IF(B1607&gt;=in_marketplace_from,d_hz_choti*G1607,0))</f>
        <v/>
      </c>
      <c r="BD1608" s="46">
        <f>BC1608*IF(B1608&gt;=in_marketplace_from,d_hz_choti*G1608,0)</f>
        <v/>
      </c>
      <c r="BE1608" s="14">
        <f>F1608*SUMIFS(BD1601:BD1621,B1601:B1621,B1608-in_choti_months)*in_choti_renew*in_choti_ticket</f>
        <v/>
      </c>
      <c r="BF1608" s="40">
        <f>BF1607*(1-IF(B1607&gt;=in_marketplace_from,d_hz_nps*G1607,0))</f>
        <v/>
      </c>
      <c r="BG1608" s="14">
        <f>F1608*BF1608*IF(B1608&gt;=in_marketplace_from,d_hz_nps*G1608,0)*in_nps_ticket*in_nps_comm</f>
        <v/>
      </c>
      <c r="BH1608" s="40">
        <f>BH1607*(1-IF(B1607&gt;=in_marketplace_from,d_hz_gold*G1607,0))</f>
        <v/>
      </c>
      <c r="BI1608" s="40">
        <f>BI1607*d_rho_gold+BH1608*IF(B1608&gt;=in_marketplace_from,d_hz_gold*G1608,0)</f>
        <v/>
      </c>
      <c r="BJ1608" s="14">
        <f>F1608*BI1608*in_gold_ticket*in_gold_comm</f>
        <v/>
      </c>
      <c r="BK1608" s="40">
        <f>BK1607*(1-IF(B1607&gt;=in_marketplace_from,d_hz_fd*G1607,0))</f>
        <v/>
      </c>
      <c r="BL1608" s="14">
        <f>F1608*BK1608*IF(B1608&gt;=in_marketplace_from,d_hz_fd*G1608,0)*in_fd_ticket*in_fd_comm</f>
        <v/>
      </c>
      <c r="BM1608" s="40">
        <f>BM1607*(1-IF(B1607&gt;=in_marketplace_from,d_hz_recharge*G1607,0))</f>
        <v/>
      </c>
      <c r="BN1608" s="40">
        <f>BN1607*d_rho_recharge+BM1608*IF(B1608&gt;=in_marketplace_from,d_hz_recharge*G1608,0)</f>
        <v/>
      </c>
      <c r="BO1608" s="14">
        <f>F1608*BN1608*in_recharge_ticket*in_recharge_comm/12</f>
        <v/>
      </c>
      <c r="BP1608" s="40">
        <f>BP1607*(1-IF(B1607&gt;=in_marketplace_from,d_hz_bills*G1607,0))</f>
        <v/>
      </c>
      <c r="BQ1608" s="40">
        <f>BQ1607*d_rho_bills+BP1608*IF(B1608&gt;=in_marketplace_from,d_hz_bills*G1608,0)</f>
        <v/>
      </c>
      <c r="BR1608" s="14">
        <f>F1608*BQ1608*in_bills_ticket*in_bills_comm/12</f>
        <v/>
      </c>
      <c r="BS1608" s="40">
        <f>BS1607*(1-IF(B1607&gt;=in_marketplace_from,d_hz_loan_gold*G1607,0))</f>
        <v/>
      </c>
      <c r="BT1608" s="14">
        <f>F1608*BS1608*IF(B1608&gt;=in_marketplace_from,d_hz_loan_gold*G1608,0)*in_loan_gold_ticket*in_loan_gold_comm</f>
        <v/>
      </c>
      <c r="BU1608" s="40">
        <f>BU1607*(1-IF(B1607&gt;=in_marketplace_from,d_hz_loan_cd*G1607,0))</f>
        <v/>
      </c>
      <c r="BV1608" s="14">
        <f>F1608*BU1608*IF(B1608&gt;=in_marketplace_from,d_hz_loan_cd*G1608,0)*in_loan_cd_ticket*in_loan_cd_comm</f>
        <v/>
      </c>
      <c r="BW1608" s="40">
        <f>BW1607*(1-IF(B1607&gt;=in_marketplace_from,d_hz_loan_vehicle*G1607,0))</f>
        <v/>
      </c>
      <c r="BX1608" s="14">
        <f>F1608*BW1608*IF(B1608&gt;=in_marketplace_from,d_hz_loan_vehicle*G1608,0)*in_loan_vehicle_ticket*in_loan_vehicle_comm</f>
        <v/>
      </c>
      <c r="BY1608" s="40">
        <f>BY1607*(1-IF(B1607&gt;=in_marketplace_from,d_hz_loan_home*G1607,0)*BZ1607)</f>
        <v/>
      </c>
      <c r="BZ1608" s="11">
        <f>MIN(in_approval_cap,in_loan_home_approval*INDEX('Age profile'!$O$2:$O$61,B1608)*(1+in_approval_growth)^(D1608-1))</f>
        <v/>
      </c>
      <c r="CA1608" s="14">
        <f>F1608*BY1608*IF(B1608&gt;=in_marketplace_from,d_hz_loan_home*G1608,0)*BZ1608*in_loan_home_ticket*in_loan_home_comm</f>
        <v/>
      </c>
      <c r="CB1608" s="40">
        <f>CB1607*(1-IF(B1607&gt;=in_marketplace_from,d_hz_loan_lap*G1607,0)*CC1607)</f>
        <v/>
      </c>
      <c r="CC1608" s="11">
        <f>MIN(in_approval_cap,in_loan_lap_approval*INDEX('Age profile'!$O$2:$O$61,B1608)*(1+in_approval_growth)^(D1608-1))</f>
        <v/>
      </c>
      <c r="CD1608" s="14">
        <f>F1608*CB1608*IF(B1608&gt;=in_marketplace_from,d_hz_loan_lap*G1608,0)*CC1608*in_loan_lap_ticket*in_loan_lap_comm</f>
        <v/>
      </c>
      <c r="CE1608" s="14">
        <f>AA1608+AB1608+AC1608+AD1608+AG1608+AJ1608+AM1608+AP1608+AS1608+AU1608+AX1608+BB1608+BE1608+BG1608+BJ1608+BL1608+BO1608+BR1608+BT1608+BV1608+BX1608+CA1608+CD1608</f>
        <v/>
      </c>
    </row>
    <row r="1609">
      <c r="A1609" s="39" t="n">
        <v>40</v>
      </c>
      <c r="B1609" s="39" t="n">
        <v>9</v>
      </c>
      <c r="C1609" s="39">
        <f>A1609+B1609-1</f>
        <v/>
      </c>
      <c r="D1609" s="39">
        <f>INT((C1609-1)/12)+1</f>
        <v/>
      </c>
      <c r="E1609" s="44">
        <f>INDEX(Monthly!$B$2:$B$61,A1609)</f>
        <v/>
      </c>
      <c r="F1609" s="44">
        <f>E1609*INDEX('Age profile'!$B$2:$B$61,B1609)</f>
        <v/>
      </c>
      <c r="G1609" s="45">
        <f>MIN(in_takeup_cap,INDEX('Age profile'!$N$2:$N$61,B1609)*(1+in_takeup_growth)^(D1609-1))</f>
        <v/>
      </c>
      <c r="H1609" s="11">
        <f>MIN(in_approval_cap,in_approved_first*INDEX('Age profile'!$O$2:$O$61,B1609)*(1+in_approval_growth)^(D1609-1))</f>
        <v/>
      </c>
      <c r="I1609" s="45">
        <f>G1609*MIN(in_takeup_cap,INDEX('Age profile'!$O$2:$O$61,B1609)*(1+in_approval_growth)^(D1609-1))</f>
        <v/>
      </c>
      <c r="J1609" s="40">
        <f>(J1608-L1608)*F1609/F1608</f>
        <v/>
      </c>
      <c r="K1609" s="40">
        <f>(K1608-M1608)*F1609/F1608+SUMIFS(O1601:O1608,B1601:B1608,B1609-1-d_T)*F1609</f>
        <v/>
      </c>
      <c r="L1609" s="40">
        <f>IF(B1609&gt;=in_marketplace_from,J1609*d_hz*G1609*in_eligible*H1609,0)</f>
        <v/>
      </c>
      <c r="M1609" s="40">
        <f>IF(B1609&gt;=in_marketplace_from,K1609*d_hz*G1609*in_eligible*in_approved_repeat,0)</f>
        <v/>
      </c>
      <c r="N1609" s="40">
        <f>L1609+M1609</f>
        <v/>
      </c>
      <c r="O1609" s="46">
        <f>N1609/F1609</f>
        <v/>
      </c>
      <c r="P1609" s="40">
        <f>F1609-J1609-K1609</f>
        <v/>
      </c>
      <c r="Q1609" s="40">
        <f>IF(B1609&gt;=in_marketplace_from,(J1609+K1609)*d_hz*G1609,0)</f>
        <v/>
      </c>
      <c r="R1609" s="40">
        <f>SUMIFS(N1601:N1621,B1601:B1621,"&gt;="&amp;(B1609-d_T),B1601:B1621,"&lt;="&amp;(B1609-1))</f>
        <v/>
      </c>
      <c r="S1609" s="46">
        <f>(1-d_u)*S1608+IF(d_T&gt;in_topup_lag,SUMIFS(O1601:O1621,B1601:B1621,B1609-in_topup_lag)-d_udrop*SUMIFS(O1601:O1621,B1601:B1621,B1609-d_T),0)</f>
        <v/>
      </c>
      <c r="T1609" s="40">
        <f>F1609*d_u*S1609</f>
        <v/>
      </c>
      <c r="U1609" s="9">
        <f>L1609*in_ticket+M1609*d_rep_ticket</f>
        <v/>
      </c>
      <c r="V1609" s="9">
        <f>U1609+T1609*d_topup_amt</f>
        <v/>
      </c>
      <c r="W1609" s="40">
        <f>N1609+T1609*d_topup_ratio</f>
        <v/>
      </c>
      <c r="X1609" s="40">
        <f>SUMIFS(W1601:W1621,B1601:B1621,B1609-in_dpd_lag)*d_cured</f>
        <v/>
      </c>
      <c r="Y1609" s="40">
        <f>SUMIFS(W1601:W1621,B1601:B1621,B1609-in_rec_lag)*d_recd</f>
        <v/>
      </c>
      <c r="Z1609" s="40">
        <f>IF(AND(B1609&gt;=in_marketplace_from,B1609&lt;in_marketplace_from+in_card_months),in_card_share/in_card_months*F1609*I1609,IF(AND(B1609&gt;=in_marketplace_from+in_card_months,B1609&lt;in_marketplace_from+2*in_card_months),in_card_share*d_card_rem/in_card_months*F1609*MIN(in_takeup_cap,(1+in_takeup_growth)^(D1609-1))*MIN(in_takeup_cap,(1+in_approval_growth)^(D1609-1)),0))</f>
        <v/>
      </c>
      <c r="AA1609" s="14">
        <f>V1609*in_fee*(1-in_taken_back)</f>
        <v/>
      </c>
      <c r="AB1609" s="14">
        <f>SUMIFS(W1601:W1621,B1601:B1621,B1609-in_dpd_lag)*d_dpd</f>
        <v/>
      </c>
      <c r="AC1609" s="14">
        <f>SUMIFS(W1601:W1621,B1601:B1621,B1609-in_rec_lag)*d_rec</f>
        <v/>
      </c>
      <c r="AD1609" s="14">
        <f>Z1609*in_card_fee</f>
        <v/>
      </c>
      <c r="AE1609" s="40">
        <f>AE1608*(1-IF(B1608&gt;=in_marketplace_from,d_hz_hlth_small*G1608,0))</f>
        <v/>
      </c>
      <c r="AF1609" s="46">
        <f>AE1609*IF(B1609&gt;=in_marketplace_from,d_hz_hlth_small*G1609,0)</f>
        <v/>
      </c>
      <c r="AG1609" s="14">
        <f>F1609*AF1609*in_hlth_small_ticket*in_hlth_small_comm*in_ins_partner_share+F1609*in_hlth_small_ticket*in_hlth_small_renew_comm*in_ins_partner_share*(in_hlth_small_renew^1*SUMIFS(AF1601:AF1621,B1601:B1621,B1609-12)+in_hlth_small_renew^2*SUMIFS(AF1601:AF1621,B1601:B1621,B1609-24)+in_hlth_small_renew^3*SUMIFS(AF1601:AF1621,B1601:B1621,B1609-36)+in_hlth_small_renew^4*SUMIFS(AF1601:AF1621,B1601:B1621,B1609-48))</f>
        <v/>
      </c>
      <c r="AH1609" s="40">
        <f>AH1608*(1-IF(B1608&gt;=in_marketplace_from,d_hz_hlth_family*G1608,0))</f>
        <v/>
      </c>
      <c r="AI1609" s="46">
        <f>AH1609*IF(B1609&gt;=in_marketplace_from,d_hz_hlth_family*G1609,0)</f>
        <v/>
      </c>
      <c r="AJ1609" s="14">
        <f>F1609*AI1609*in_hlth_family_ticket*in_hlth_family_comm*in_ins_partner_share+F1609*in_hlth_family_ticket*in_hlth_family_renew_comm*in_ins_partner_share*(in_hlth_family_renew^1*SUMIFS(AI1601:AI1621,B1601:B1621,B1609-12)+in_hlth_family_renew^2*SUMIFS(AI1601:AI1621,B1601:B1621,B1609-24)+in_hlth_family_renew^3*SUMIFS(AI1601:AI1621,B1601:B1621,B1609-36)+in_hlth_family_renew^4*SUMIFS(AI1601:AI1621,B1601:B1621,B1609-48))</f>
        <v/>
      </c>
      <c r="AK1609" s="40">
        <f>AK1608*(1-IF(B1608&gt;=in_marketplace_from,d_hz_life_term*G1608,0))</f>
        <v/>
      </c>
      <c r="AL1609" s="46">
        <f>AK1609*IF(B1609&gt;=in_marketplace_from,d_hz_life_term*G1609,0)</f>
        <v/>
      </c>
      <c r="AM1609" s="14">
        <f>F1609*AL1609*in_life_term_ticket*in_life_term_comm*in_ins_partner_share+F1609*in_life_term_ticket*in_life_term_renew_comm*in_ins_partner_share*(in_life_term_renew^1*SUMIFS(AL1601:AL1621,B1601:B1621,B1609-12)+in_life_term_renew^2*SUMIFS(AL1601:AL1621,B1601:B1621,B1609-24)+in_life_term_renew^3*SUMIFS(AL1601:AL1621,B1601:B1621,B1609-36)+in_life_term_renew^4*SUMIFS(AL1601:AL1621,B1601:B1621,B1609-48))</f>
        <v/>
      </c>
      <c r="AN1609" s="40">
        <f>AN1608*(1-IF(B1608&gt;=in_marketplace_from,d_hz_accident*G1608,0))</f>
        <v/>
      </c>
      <c r="AO1609" s="46">
        <f>AN1609*IF(B1609&gt;=in_marketplace_from,d_hz_accident*G1609,0)</f>
        <v/>
      </c>
      <c r="AP1609" s="14">
        <f>F1609*AO1609*in_accident_ticket*in_accident_comm*in_ins_partner_share+F1609*in_accident_ticket*in_accident_renew_comm*in_ins_partner_share*(in_accident_renew^1*SUMIFS(AO1601:AO1621,B1601:B1621,B1609-12)+in_accident_renew^2*SUMIFS(AO1601:AO1621,B1601:B1621,B1609-24)+in_accident_renew^3*SUMIFS(AO1601:AO1621,B1601:B1621,B1609-36)+in_accident_renew^4*SUMIFS(AO1601:AO1621,B1601:B1621,B1609-48))</f>
        <v/>
      </c>
      <c r="AQ1609" s="40">
        <f>AQ1608*(1-IF(B1608&gt;=in_marketplace_from,d_hz_two_wheeler*G1608,0))</f>
        <v/>
      </c>
      <c r="AR1609" s="46">
        <f>AQ1609*IF(B1609&gt;=in_marketplace_from,d_hz_two_wheeler*G1609,0)</f>
        <v/>
      </c>
      <c r="AS1609" s="14">
        <f>F1609*AR1609*in_two_wheeler_ticket*in_two_wheeler_comm*in_ins_partner_share+F1609*in_two_wheeler_ticket*in_two_wheeler_comm*in_ins_partner_share*(in_two_wheeler_renew^1*SUMIFS(AR1601:AR1621,B1601:B1621,B1609-12)+in_two_wheeler_renew^2*SUMIFS(AR1601:AR1621,B1601:B1621,B1609-24)+in_two_wheeler_renew^3*SUMIFS(AR1601:AR1621,B1601:B1621,B1609-36)+in_two_wheeler_renew^4*SUMIFS(AR1601:AR1621,B1601:B1621,B1609-48))</f>
        <v/>
      </c>
      <c r="AT1609" s="40">
        <f>AT1608*(1-IF(B1608&gt;=in_marketplace_from,d_hz_device*G1608,0))</f>
        <v/>
      </c>
      <c r="AU1609" s="14">
        <f>F1609*AT1609*IF(B1609&gt;=in_marketplace_from,d_hz_device*G1609,0)*in_device_ticket*in_device_comm*in_ins_partner_share</f>
        <v/>
      </c>
      <c r="AV1609" s="40">
        <f>AV1608*(1-IF(B1608&gt;=in_marketplace_from,d_hz_shop*G1608,0))</f>
        <v/>
      </c>
      <c r="AW1609" s="46">
        <f>AV1609*IF(B1609&gt;=in_marketplace_from,d_hz_shop*G1609,0)</f>
        <v/>
      </c>
      <c r="AX1609" s="14">
        <f>F1609*AW1609*in_shop_ticket*in_shop_comm*in_ins_partner_share+F1609*in_shop_ticket*in_shop_renew_comm*in_ins_partner_share*(in_shop_renew^1*SUMIFS(AW1601:AW1621,B1601:B1621,B1609-12)+in_shop_renew^2*SUMIFS(AW1601:AW1621,B1601:B1621,B1609-24)+in_shop_renew^3*SUMIFS(AW1601:AW1621,B1601:B1621,B1609-36)+in_shop_renew^4*SUMIFS(AW1601:AW1621,B1601:B1621,B1609-48))</f>
        <v/>
      </c>
      <c r="AY1609" s="40">
        <f>AY1608*(1-IF(B1608&gt;=in_marketplace_from,d_hz_sip*G1608,0))</f>
        <v/>
      </c>
      <c r="AZ1609" s="40">
        <f>AZ1608*d_rho_sip+AY1609*IF(B1609&gt;=in_marketplace_from,d_hz_sip*G1609,0)</f>
        <v/>
      </c>
      <c r="BA1609" s="40">
        <f>d_rho_sip*(BA1608+AZ1608)</f>
        <v/>
      </c>
      <c r="BB1609" s="14">
        <f>F1609*in_sip_ticket*(BA1609+0.5*AZ1609)*in_sip_comm/12</f>
        <v/>
      </c>
      <c r="BC1609" s="40">
        <f>BC1608*(1-IF(B1608&gt;=in_marketplace_from,d_hz_choti*G1608,0))</f>
        <v/>
      </c>
      <c r="BD1609" s="46">
        <f>BC1609*IF(B1609&gt;=in_marketplace_from,d_hz_choti*G1609,0)</f>
        <v/>
      </c>
      <c r="BE1609" s="14">
        <f>F1609*SUMIFS(BD1601:BD1621,B1601:B1621,B1609-in_choti_months)*in_choti_renew*in_choti_ticket</f>
        <v/>
      </c>
      <c r="BF1609" s="40">
        <f>BF1608*(1-IF(B1608&gt;=in_marketplace_from,d_hz_nps*G1608,0))</f>
        <v/>
      </c>
      <c r="BG1609" s="14">
        <f>F1609*BF1609*IF(B1609&gt;=in_marketplace_from,d_hz_nps*G1609,0)*in_nps_ticket*in_nps_comm</f>
        <v/>
      </c>
      <c r="BH1609" s="40">
        <f>BH1608*(1-IF(B1608&gt;=in_marketplace_from,d_hz_gold*G1608,0))</f>
        <v/>
      </c>
      <c r="BI1609" s="40">
        <f>BI1608*d_rho_gold+BH1609*IF(B1609&gt;=in_marketplace_from,d_hz_gold*G1609,0)</f>
        <v/>
      </c>
      <c r="BJ1609" s="14">
        <f>F1609*BI1609*in_gold_ticket*in_gold_comm</f>
        <v/>
      </c>
      <c r="BK1609" s="40">
        <f>BK1608*(1-IF(B1608&gt;=in_marketplace_from,d_hz_fd*G1608,0))</f>
        <v/>
      </c>
      <c r="BL1609" s="14">
        <f>F1609*BK1609*IF(B1609&gt;=in_marketplace_from,d_hz_fd*G1609,0)*in_fd_ticket*in_fd_comm</f>
        <v/>
      </c>
      <c r="BM1609" s="40">
        <f>BM1608*(1-IF(B1608&gt;=in_marketplace_from,d_hz_recharge*G1608,0))</f>
        <v/>
      </c>
      <c r="BN1609" s="40">
        <f>BN1608*d_rho_recharge+BM1609*IF(B1609&gt;=in_marketplace_from,d_hz_recharge*G1609,0)</f>
        <v/>
      </c>
      <c r="BO1609" s="14">
        <f>F1609*BN1609*in_recharge_ticket*in_recharge_comm/12</f>
        <v/>
      </c>
      <c r="BP1609" s="40">
        <f>BP1608*(1-IF(B1608&gt;=in_marketplace_from,d_hz_bills*G1608,0))</f>
        <v/>
      </c>
      <c r="BQ1609" s="40">
        <f>BQ1608*d_rho_bills+BP1609*IF(B1609&gt;=in_marketplace_from,d_hz_bills*G1609,0)</f>
        <v/>
      </c>
      <c r="BR1609" s="14">
        <f>F1609*BQ1609*in_bills_ticket*in_bills_comm/12</f>
        <v/>
      </c>
      <c r="BS1609" s="40">
        <f>BS1608*(1-IF(B1608&gt;=in_marketplace_from,d_hz_loan_gold*G1608,0))</f>
        <v/>
      </c>
      <c r="BT1609" s="14">
        <f>F1609*BS1609*IF(B1609&gt;=in_marketplace_from,d_hz_loan_gold*G1609,0)*in_loan_gold_ticket*in_loan_gold_comm</f>
        <v/>
      </c>
      <c r="BU1609" s="40">
        <f>BU1608*(1-IF(B1608&gt;=in_marketplace_from,d_hz_loan_cd*G1608,0))</f>
        <v/>
      </c>
      <c r="BV1609" s="14">
        <f>F1609*BU1609*IF(B1609&gt;=in_marketplace_from,d_hz_loan_cd*G1609,0)*in_loan_cd_ticket*in_loan_cd_comm</f>
        <v/>
      </c>
      <c r="BW1609" s="40">
        <f>BW1608*(1-IF(B1608&gt;=in_marketplace_from,d_hz_loan_vehicle*G1608,0))</f>
        <v/>
      </c>
      <c r="BX1609" s="14">
        <f>F1609*BW1609*IF(B1609&gt;=in_marketplace_from,d_hz_loan_vehicle*G1609,0)*in_loan_vehicle_ticket*in_loan_vehicle_comm</f>
        <v/>
      </c>
      <c r="BY1609" s="40">
        <f>BY1608*(1-IF(B1608&gt;=in_marketplace_from,d_hz_loan_home*G1608,0)*BZ1608)</f>
        <v/>
      </c>
      <c r="BZ1609" s="11">
        <f>MIN(in_approval_cap,in_loan_home_approval*INDEX('Age profile'!$O$2:$O$61,B1609)*(1+in_approval_growth)^(D1609-1))</f>
        <v/>
      </c>
      <c r="CA1609" s="14">
        <f>F1609*BY1609*IF(B1609&gt;=in_marketplace_from,d_hz_loan_home*G1609,0)*BZ1609*in_loan_home_ticket*in_loan_home_comm</f>
        <v/>
      </c>
      <c r="CB1609" s="40">
        <f>CB1608*(1-IF(B1608&gt;=in_marketplace_from,d_hz_loan_lap*G1608,0)*CC1608)</f>
        <v/>
      </c>
      <c r="CC1609" s="11">
        <f>MIN(in_approval_cap,in_loan_lap_approval*INDEX('Age profile'!$O$2:$O$61,B1609)*(1+in_approval_growth)^(D1609-1))</f>
        <v/>
      </c>
      <c r="CD1609" s="14">
        <f>F1609*CB1609*IF(B1609&gt;=in_marketplace_from,d_hz_loan_lap*G1609,0)*CC1609*in_loan_lap_ticket*in_loan_lap_comm</f>
        <v/>
      </c>
      <c r="CE1609" s="14">
        <f>AA1609+AB1609+AC1609+AD1609+AG1609+AJ1609+AM1609+AP1609+AS1609+AU1609+AX1609+BB1609+BE1609+BG1609+BJ1609+BL1609+BO1609+BR1609+BT1609+BV1609+BX1609+CA1609+CD1609</f>
        <v/>
      </c>
    </row>
    <row r="1610">
      <c r="A1610" s="39" t="n">
        <v>40</v>
      </c>
      <c r="B1610" s="39" t="n">
        <v>10</v>
      </c>
      <c r="C1610" s="39">
        <f>A1610+B1610-1</f>
        <v/>
      </c>
      <c r="D1610" s="39">
        <f>INT((C1610-1)/12)+1</f>
        <v/>
      </c>
      <c r="E1610" s="44">
        <f>INDEX(Monthly!$B$2:$B$61,A1610)</f>
        <v/>
      </c>
      <c r="F1610" s="44">
        <f>E1610*INDEX('Age profile'!$B$2:$B$61,B1610)</f>
        <v/>
      </c>
      <c r="G1610" s="45">
        <f>MIN(in_takeup_cap,INDEX('Age profile'!$N$2:$N$61,B1610)*(1+in_takeup_growth)^(D1610-1))</f>
        <v/>
      </c>
      <c r="H1610" s="11">
        <f>MIN(in_approval_cap,in_approved_first*INDEX('Age profile'!$O$2:$O$61,B1610)*(1+in_approval_growth)^(D1610-1))</f>
        <v/>
      </c>
      <c r="I1610" s="45">
        <f>G1610*MIN(in_takeup_cap,INDEX('Age profile'!$O$2:$O$61,B1610)*(1+in_approval_growth)^(D1610-1))</f>
        <v/>
      </c>
      <c r="J1610" s="40">
        <f>(J1609-L1609)*F1610/F1609</f>
        <v/>
      </c>
      <c r="K1610" s="40">
        <f>(K1609-M1609)*F1610/F1609+SUMIFS(O1601:O1609,B1601:B1609,B1610-1-d_T)*F1610</f>
        <v/>
      </c>
      <c r="L1610" s="40">
        <f>IF(B1610&gt;=in_marketplace_from,J1610*d_hz*G1610*in_eligible*H1610,0)</f>
        <v/>
      </c>
      <c r="M1610" s="40">
        <f>IF(B1610&gt;=in_marketplace_from,K1610*d_hz*G1610*in_eligible*in_approved_repeat,0)</f>
        <v/>
      </c>
      <c r="N1610" s="40">
        <f>L1610+M1610</f>
        <v/>
      </c>
      <c r="O1610" s="46">
        <f>N1610/F1610</f>
        <v/>
      </c>
      <c r="P1610" s="40">
        <f>F1610-J1610-K1610</f>
        <v/>
      </c>
      <c r="Q1610" s="40">
        <f>IF(B1610&gt;=in_marketplace_from,(J1610+K1610)*d_hz*G1610,0)</f>
        <v/>
      </c>
      <c r="R1610" s="40">
        <f>SUMIFS(N1601:N1621,B1601:B1621,"&gt;="&amp;(B1610-d_T),B1601:B1621,"&lt;="&amp;(B1610-1))</f>
        <v/>
      </c>
      <c r="S1610" s="46">
        <f>(1-d_u)*S1609+IF(d_T&gt;in_topup_lag,SUMIFS(O1601:O1621,B1601:B1621,B1610-in_topup_lag)-d_udrop*SUMIFS(O1601:O1621,B1601:B1621,B1610-d_T),0)</f>
        <v/>
      </c>
      <c r="T1610" s="40">
        <f>F1610*d_u*S1610</f>
        <v/>
      </c>
      <c r="U1610" s="9">
        <f>L1610*in_ticket+M1610*d_rep_ticket</f>
        <v/>
      </c>
      <c r="V1610" s="9">
        <f>U1610+T1610*d_topup_amt</f>
        <v/>
      </c>
      <c r="W1610" s="40">
        <f>N1610+T1610*d_topup_ratio</f>
        <v/>
      </c>
      <c r="X1610" s="40">
        <f>SUMIFS(W1601:W1621,B1601:B1621,B1610-in_dpd_lag)*d_cured</f>
        <v/>
      </c>
      <c r="Y1610" s="40">
        <f>SUMIFS(W1601:W1621,B1601:B1621,B1610-in_rec_lag)*d_recd</f>
        <v/>
      </c>
      <c r="Z1610" s="40">
        <f>IF(AND(B1610&gt;=in_marketplace_from,B1610&lt;in_marketplace_from+in_card_months),in_card_share/in_card_months*F1610*I1610,IF(AND(B1610&gt;=in_marketplace_from+in_card_months,B1610&lt;in_marketplace_from+2*in_card_months),in_card_share*d_card_rem/in_card_months*F1610*MIN(in_takeup_cap,(1+in_takeup_growth)^(D1610-1))*MIN(in_takeup_cap,(1+in_approval_growth)^(D1610-1)),0))</f>
        <v/>
      </c>
      <c r="AA1610" s="14">
        <f>V1610*in_fee*(1-in_taken_back)</f>
        <v/>
      </c>
      <c r="AB1610" s="14">
        <f>SUMIFS(W1601:W1621,B1601:B1621,B1610-in_dpd_lag)*d_dpd</f>
        <v/>
      </c>
      <c r="AC1610" s="14">
        <f>SUMIFS(W1601:W1621,B1601:B1621,B1610-in_rec_lag)*d_rec</f>
        <v/>
      </c>
      <c r="AD1610" s="14">
        <f>Z1610*in_card_fee</f>
        <v/>
      </c>
      <c r="AE1610" s="40">
        <f>AE1609*(1-IF(B1609&gt;=in_marketplace_from,d_hz_hlth_small*G1609,0))</f>
        <v/>
      </c>
      <c r="AF1610" s="46">
        <f>AE1610*IF(B1610&gt;=in_marketplace_from,d_hz_hlth_small*G1610,0)</f>
        <v/>
      </c>
      <c r="AG1610" s="14">
        <f>F1610*AF1610*in_hlth_small_ticket*in_hlth_small_comm*in_ins_partner_share+F1610*in_hlth_small_ticket*in_hlth_small_renew_comm*in_ins_partner_share*(in_hlth_small_renew^1*SUMIFS(AF1601:AF1621,B1601:B1621,B1610-12)+in_hlth_small_renew^2*SUMIFS(AF1601:AF1621,B1601:B1621,B1610-24)+in_hlth_small_renew^3*SUMIFS(AF1601:AF1621,B1601:B1621,B1610-36)+in_hlth_small_renew^4*SUMIFS(AF1601:AF1621,B1601:B1621,B1610-48))</f>
        <v/>
      </c>
      <c r="AH1610" s="40">
        <f>AH1609*(1-IF(B1609&gt;=in_marketplace_from,d_hz_hlth_family*G1609,0))</f>
        <v/>
      </c>
      <c r="AI1610" s="46">
        <f>AH1610*IF(B1610&gt;=in_marketplace_from,d_hz_hlth_family*G1610,0)</f>
        <v/>
      </c>
      <c r="AJ1610" s="14">
        <f>F1610*AI1610*in_hlth_family_ticket*in_hlth_family_comm*in_ins_partner_share+F1610*in_hlth_family_ticket*in_hlth_family_renew_comm*in_ins_partner_share*(in_hlth_family_renew^1*SUMIFS(AI1601:AI1621,B1601:B1621,B1610-12)+in_hlth_family_renew^2*SUMIFS(AI1601:AI1621,B1601:B1621,B1610-24)+in_hlth_family_renew^3*SUMIFS(AI1601:AI1621,B1601:B1621,B1610-36)+in_hlth_family_renew^4*SUMIFS(AI1601:AI1621,B1601:B1621,B1610-48))</f>
        <v/>
      </c>
      <c r="AK1610" s="40">
        <f>AK1609*(1-IF(B1609&gt;=in_marketplace_from,d_hz_life_term*G1609,0))</f>
        <v/>
      </c>
      <c r="AL1610" s="46">
        <f>AK1610*IF(B1610&gt;=in_marketplace_from,d_hz_life_term*G1610,0)</f>
        <v/>
      </c>
      <c r="AM1610" s="14">
        <f>F1610*AL1610*in_life_term_ticket*in_life_term_comm*in_ins_partner_share+F1610*in_life_term_ticket*in_life_term_renew_comm*in_ins_partner_share*(in_life_term_renew^1*SUMIFS(AL1601:AL1621,B1601:B1621,B1610-12)+in_life_term_renew^2*SUMIFS(AL1601:AL1621,B1601:B1621,B1610-24)+in_life_term_renew^3*SUMIFS(AL1601:AL1621,B1601:B1621,B1610-36)+in_life_term_renew^4*SUMIFS(AL1601:AL1621,B1601:B1621,B1610-48))</f>
        <v/>
      </c>
      <c r="AN1610" s="40">
        <f>AN1609*(1-IF(B1609&gt;=in_marketplace_from,d_hz_accident*G1609,0))</f>
        <v/>
      </c>
      <c r="AO1610" s="46">
        <f>AN1610*IF(B1610&gt;=in_marketplace_from,d_hz_accident*G1610,0)</f>
        <v/>
      </c>
      <c r="AP1610" s="14">
        <f>F1610*AO1610*in_accident_ticket*in_accident_comm*in_ins_partner_share+F1610*in_accident_ticket*in_accident_renew_comm*in_ins_partner_share*(in_accident_renew^1*SUMIFS(AO1601:AO1621,B1601:B1621,B1610-12)+in_accident_renew^2*SUMIFS(AO1601:AO1621,B1601:B1621,B1610-24)+in_accident_renew^3*SUMIFS(AO1601:AO1621,B1601:B1621,B1610-36)+in_accident_renew^4*SUMIFS(AO1601:AO1621,B1601:B1621,B1610-48))</f>
        <v/>
      </c>
      <c r="AQ1610" s="40">
        <f>AQ1609*(1-IF(B1609&gt;=in_marketplace_from,d_hz_two_wheeler*G1609,0))</f>
        <v/>
      </c>
      <c r="AR1610" s="46">
        <f>AQ1610*IF(B1610&gt;=in_marketplace_from,d_hz_two_wheeler*G1610,0)</f>
        <v/>
      </c>
      <c r="AS1610" s="14">
        <f>F1610*AR1610*in_two_wheeler_ticket*in_two_wheeler_comm*in_ins_partner_share+F1610*in_two_wheeler_ticket*in_two_wheeler_comm*in_ins_partner_share*(in_two_wheeler_renew^1*SUMIFS(AR1601:AR1621,B1601:B1621,B1610-12)+in_two_wheeler_renew^2*SUMIFS(AR1601:AR1621,B1601:B1621,B1610-24)+in_two_wheeler_renew^3*SUMIFS(AR1601:AR1621,B1601:B1621,B1610-36)+in_two_wheeler_renew^4*SUMIFS(AR1601:AR1621,B1601:B1621,B1610-48))</f>
        <v/>
      </c>
      <c r="AT1610" s="40">
        <f>AT1609*(1-IF(B1609&gt;=in_marketplace_from,d_hz_device*G1609,0))</f>
        <v/>
      </c>
      <c r="AU1610" s="14">
        <f>F1610*AT1610*IF(B1610&gt;=in_marketplace_from,d_hz_device*G1610,0)*in_device_ticket*in_device_comm*in_ins_partner_share</f>
        <v/>
      </c>
      <c r="AV1610" s="40">
        <f>AV1609*(1-IF(B1609&gt;=in_marketplace_from,d_hz_shop*G1609,0))</f>
        <v/>
      </c>
      <c r="AW1610" s="46">
        <f>AV1610*IF(B1610&gt;=in_marketplace_from,d_hz_shop*G1610,0)</f>
        <v/>
      </c>
      <c r="AX1610" s="14">
        <f>F1610*AW1610*in_shop_ticket*in_shop_comm*in_ins_partner_share+F1610*in_shop_ticket*in_shop_renew_comm*in_ins_partner_share*(in_shop_renew^1*SUMIFS(AW1601:AW1621,B1601:B1621,B1610-12)+in_shop_renew^2*SUMIFS(AW1601:AW1621,B1601:B1621,B1610-24)+in_shop_renew^3*SUMIFS(AW1601:AW1621,B1601:B1621,B1610-36)+in_shop_renew^4*SUMIFS(AW1601:AW1621,B1601:B1621,B1610-48))</f>
        <v/>
      </c>
      <c r="AY1610" s="40">
        <f>AY1609*(1-IF(B1609&gt;=in_marketplace_from,d_hz_sip*G1609,0))</f>
        <v/>
      </c>
      <c r="AZ1610" s="40">
        <f>AZ1609*d_rho_sip+AY1610*IF(B1610&gt;=in_marketplace_from,d_hz_sip*G1610,0)</f>
        <v/>
      </c>
      <c r="BA1610" s="40">
        <f>d_rho_sip*(BA1609+AZ1609)</f>
        <v/>
      </c>
      <c r="BB1610" s="14">
        <f>F1610*in_sip_ticket*(BA1610+0.5*AZ1610)*in_sip_comm/12</f>
        <v/>
      </c>
      <c r="BC1610" s="40">
        <f>BC1609*(1-IF(B1609&gt;=in_marketplace_from,d_hz_choti*G1609,0))</f>
        <v/>
      </c>
      <c r="BD1610" s="46">
        <f>BC1610*IF(B1610&gt;=in_marketplace_from,d_hz_choti*G1610,0)</f>
        <v/>
      </c>
      <c r="BE1610" s="14">
        <f>F1610*SUMIFS(BD1601:BD1621,B1601:B1621,B1610-in_choti_months)*in_choti_renew*in_choti_ticket</f>
        <v/>
      </c>
      <c r="BF1610" s="40">
        <f>BF1609*(1-IF(B1609&gt;=in_marketplace_from,d_hz_nps*G1609,0))</f>
        <v/>
      </c>
      <c r="BG1610" s="14">
        <f>F1610*BF1610*IF(B1610&gt;=in_marketplace_from,d_hz_nps*G1610,0)*in_nps_ticket*in_nps_comm</f>
        <v/>
      </c>
      <c r="BH1610" s="40">
        <f>BH1609*(1-IF(B1609&gt;=in_marketplace_from,d_hz_gold*G1609,0))</f>
        <v/>
      </c>
      <c r="BI1610" s="40">
        <f>BI1609*d_rho_gold+BH1610*IF(B1610&gt;=in_marketplace_from,d_hz_gold*G1610,0)</f>
        <v/>
      </c>
      <c r="BJ1610" s="14">
        <f>F1610*BI1610*in_gold_ticket*in_gold_comm</f>
        <v/>
      </c>
      <c r="BK1610" s="40">
        <f>BK1609*(1-IF(B1609&gt;=in_marketplace_from,d_hz_fd*G1609,0))</f>
        <v/>
      </c>
      <c r="BL1610" s="14">
        <f>F1610*BK1610*IF(B1610&gt;=in_marketplace_from,d_hz_fd*G1610,0)*in_fd_ticket*in_fd_comm</f>
        <v/>
      </c>
      <c r="BM1610" s="40">
        <f>BM1609*(1-IF(B1609&gt;=in_marketplace_from,d_hz_recharge*G1609,0))</f>
        <v/>
      </c>
      <c r="BN1610" s="40">
        <f>BN1609*d_rho_recharge+BM1610*IF(B1610&gt;=in_marketplace_from,d_hz_recharge*G1610,0)</f>
        <v/>
      </c>
      <c r="BO1610" s="14">
        <f>F1610*BN1610*in_recharge_ticket*in_recharge_comm/12</f>
        <v/>
      </c>
      <c r="BP1610" s="40">
        <f>BP1609*(1-IF(B1609&gt;=in_marketplace_from,d_hz_bills*G1609,0))</f>
        <v/>
      </c>
      <c r="BQ1610" s="40">
        <f>BQ1609*d_rho_bills+BP1610*IF(B1610&gt;=in_marketplace_from,d_hz_bills*G1610,0)</f>
        <v/>
      </c>
      <c r="BR1610" s="14">
        <f>F1610*BQ1610*in_bills_ticket*in_bills_comm/12</f>
        <v/>
      </c>
      <c r="BS1610" s="40">
        <f>BS1609*(1-IF(B1609&gt;=in_marketplace_from,d_hz_loan_gold*G1609,0))</f>
        <v/>
      </c>
      <c r="BT1610" s="14">
        <f>F1610*BS1610*IF(B1610&gt;=in_marketplace_from,d_hz_loan_gold*G1610,0)*in_loan_gold_ticket*in_loan_gold_comm</f>
        <v/>
      </c>
      <c r="BU1610" s="40">
        <f>BU1609*(1-IF(B1609&gt;=in_marketplace_from,d_hz_loan_cd*G1609,0))</f>
        <v/>
      </c>
      <c r="BV1610" s="14">
        <f>F1610*BU1610*IF(B1610&gt;=in_marketplace_from,d_hz_loan_cd*G1610,0)*in_loan_cd_ticket*in_loan_cd_comm</f>
        <v/>
      </c>
      <c r="BW1610" s="40">
        <f>BW1609*(1-IF(B1609&gt;=in_marketplace_from,d_hz_loan_vehicle*G1609,0))</f>
        <v/>
      </c>
      <c r="BX1610" s="14">
        <f>F1610*BW1610*IF(B1610&gt;=in_marketplace_from,d_hz_loan_vehicle*G1610,0)*in_loan_vehicle_ticket*in_loan_vehicle_comm</f>
        <v/>
      </c>
      <c r="BY1610" s="40">
        <f>BY1609*(1-IF(B1609&gt;=in_marketplace_from,d_hz_loan_home*G1609,0)*BZ1609)</f>
        <v/>
      </c>
      <c r="BZ1610" s="11">
        <f>MIN(in_approval_cap,in_loan_home_approval*INDEX('Age profile'!$O$2:$O$61,B1610)*(1+in_approval_growth)^(D1610-1))</f>
        <v/>
      </c>
      <c r="CA1610" s="14">
        <f>F1610*BY1610*IF(B1610&gt;=in_marketplace_from,d_hz_loan_home*G1610,0)*BZ1610*in_loan_home_ticket*in_loan_home_comm</f>
        <v/>
      </c>
      <c r="CB1610" s="40">
        <f>CB1609*(1-IF(B1609&gt;=in_marketplace_from,d_hz_loan_lap*G1609,0)*CC1609)</f>
        <v/>
      </c>
      <c r="CC1610" s="11">
        <f>MIN(in_approval_cap,in_loan_lap_approval*INDEX('Age profile'!$O$2:$O$61,B1610)*(1+in_approval_growth)^(D1610-1))</f>
        <v/>
      </c>
      <c r="CD1610" s="14">
        <f>F1610*CB1610*IF(B1610&gt;=in_marketplace_from,d_hz_loan_lap*G1610,0)*CC1610*in_loan_lap_ticket*in_loan_lap_comm</f>
        <v/>
      </c>
      <c r="CE1610" s="14">
        <f>AA1610+AB1610+AC1610+AD1610+AG1610+AJ1610+AM1610+AP1610+AS1610+AU1610+AX1610+BB1610+BE1610+BG1610+BJ1610+BL1610+BO1610+BR1610+BT1610+BV1610+BX1610+CA1610+CD1610</f>
        <v/>
      </c>
    </row>
    <row r="1611">
      <c r="A1611" s="39" t="n">
        <v>40</v>
      </c>
      <c r="B1611" s="39" t="n">
        <v>11</v>
      </c>
      <c r="C1611" s="39">
        <f>A1611+B1611-1</f>
        <v/>
      </c>
      <c r="D1611" s="39">
        <f>INT((C1611-1)/12)+1</f>
        <v/>
      </c>
      <c r="E1611" s="44">
        <f>INDEX(Monthly!$B$2:$B$61,A1611)</f>
        <v/>
      </c>
      <c r="F1611" s="44">
        <f>E1611*INDEX('Age profile'!$B$2:$B$61,B1611)</f>
        <v/>
      </c>
      <c r="G1611" s="45">
        <f>MIN(in_takeup_cap,INDEX('Age profile'!$N$2:$N$61,B1611)*(1+in_takeup_growth)^(D1611-1))</f>
        <v/>
      </c>
      <c r="H1611" s="11">
        <f>MIN(in_approval_cap,in_approved_first*INDEX('Age profile'!$O$2:$O$61,B1611)*(1+in_approval_growth)^(D1611-1))</f>
        <v/>
      </c>
      <c r="I1611" s="45">
        <f>G1611*MIN(in_takeup_cap,INDEX('Age profile'!$O$2:$O$61,B1611)*(1+in_approval_growth)^(D1611-1))</f>
        <v/>
      </c>
      <c r="J1611" s="40">
        <f>(J1610-L1610)*F1611/F1610</f>
        <v/>
      </c>
      <c r="K1611" s="40">
        <f>(K1610-M1610)*F1611/F1610+SUMIFS(O1601:O1610,B1601:B1610,B1611-1-d_T)*F1611</f>
        <v/>
      </c>
      <c r="L1611" s="40">
        <f>IF(B1611&gt;=in_marketplace_from,J1611*d_hz*G1611*in_eligible*H1611,0)</f>
        <v/>
      </c>
      <c r="M1611" s="40">
        <f>IF(B1611&gt;=in_marketplace_from,K1611*d_hz*G1611*in_eligible*in_approved_repeat,0)</f>
        <v/>
      </c>
      <c r="N1611" s="40">
        <f>L1611+M1611</f>
        <v/>
      </c>
      <c r="O1611" s="46">
        <f>N1611/F1611</f>
        <v/>
      </c>
      <c r="P1611" s="40">
        <f>F1611-J1611-K1611</f>
        <v/>
      </c>
      <c r="Q1611" s="40">
        <f>IF(B1611&gt;=in_marketplace_from,(J1611+K1611)*d_hz*G1611,0)</f>
        <v/>
      </c>
      <c r="R1611" s="40">
        <f>SUMIFS(N1601:N1621,B1601:B1621,"&gt;="&amp;(B1611-d_T),B1601:B1621,"&lt;="&amp;(B1611-1))</f>
        <v/>
      </c>
      <c r="S1611" s="46">
        <f>(1-d_u)*S1610+IF(d_T&gt;in_topup_lag,SUMIFS(O1601:O1621,B1601:B1621,B1611-in_topup_lag)-d_udrop*SUMIFS(O1601:O1621,B1601:B1621,B1611-d_T),0)</f>
        <v/>
      </c>
      <c r="T1611" s="40">
        <f>F1611*d_u*S1611</f>
        <v/>
      </c>
      <c r="U1611" s="9">
        <f>L1611*in_ticket+M1611*d_rep_ticket</f>
        <v/>
      </c>
      <c r="V1611" s="9">
        <f>U1611+T1611*d_topup_amt</f>
        <v/>
      </c>
      <c r="W1611" s="40">
        <f>N1611+T1611*d_topup_ratio</f>
        <v/>
      </c>
      <c r="X1611" s="40">
        <f>SUMIFS(W1601:W1621,B1601:B1621,B1611-in_dpd_lag)*d_cured</f>
        <v/>
      </c>
      <c r="Y1611" s="40">
        <f>SUMIFS(W1601:W1621,B1601:B1621,B1611-in_rec_lag)*d_recd</f>
        <v/>
      </c>
      <c r="Z1611" s="40">
        <f>IF(AND(B1611&gt;=in_marketplace_from,B1611&lt;in_marketplace_from+in_card_months),in_card_share/in_card_months*F1611*I1611,IF(AND(B1611&gt;=in_marketplace_from+in_card_months,B1611&lt;in_marketplace_from+2*in_card_months),in_card_share*d_card_rem/in_card_months*F1611*MIN(in_takeup_cap,(1+in_takeup_growth)^(D1611-1))*MIN(in_takeup_cap,(1+in_approval_growth)^(D1611-1)),0))</f>
        <v/>
      </c>
      <c r="AA1611" s="14">
        <f>V1611*in_fee*(1-in_taken_back)</f>
        <v/>
      </c>
      <c r="AB1611" s="14">
        <f>SUMIFS(W1601:W1621,B1601:B1621,B1611-in_dpd_lag)*d_dpd</f>
        <v/>
      </c>
      <c r="AC1611" s="14">
        <f>SUMIFS(W1601:W1621,B1601:B1621,B1611-in_rec_lag)*d_rec</f>
        <v/>
      </c>
      <c r="AD1611" s="14">
        <f>Z1611*in_card_fee</f>
        <v/>
      </c>
      <c r="AE1611" s="40">
        <f>AE1610*(1-IF(B1610&gt;=in_marketplace_from,d_hz_hlth_small*G1610,0))</f>
        <v/>
      </c>
      <c r="AF1611" s="46">
        <f>AE1611*IF(B1611&gt;=in_marketplace_from,d_hz_hlth_small*G1611,0)</f>
        <v/>
      </c>
      <c r="AG1611" s="14">
        <f>F1611*AF1611*in_hlth_small_ticket*in_hlth_small_comm*in_ins_partner_share+F1611*in_hlth_small_ticket*in_hlth_small_renew_comm*in_ins_partner_share*(in_hlth_small_renew^1*SUMIFS(AF1601:AF1621,B1601:B1621,B1611-12)+in_hlth_small_renew^2*SUMIFS(AF1601:AF1621,B1601:B1621,B1611-24)+in_hlth_small_renew^3*SUMIFS(AF1601:AF1621,B1601:B1621,B1611-36)+in_hlth_small_renew^4*SUMIFS(AF1601:AF1621,B1601:B1621,B1611-48))</f>
        <v/>
      </c>
      <c r="AH1611" s="40">
        <f>AH1610*(1-IF(B1610&gt;=in_marketplace_from,d_hz_hlth_family*G1610,0))</f>
        <v/>
      </c>
      <c r="AI1611" s="46">
        <f>AH1611*IF(B1611&gt;=in_marketplace_from,d_hz_hlth_family*G1611,0)</f>
        <v/>
      </c>
      <c r="AJ1611" s="14">
        <f>F1611*AI1611*in_hlth_family_ticket*in_hlth_family_comm*in_ins_partner_share+F1611*in_hlth_family_ticket*in_hlth_family_renew_comm*in_ins_partner_share*(in_hlth_family_renew^1*SUMIFS(AI1601:AI1621,B1601:B1621,B1611-12)+in_hlth_family_renew^2*SUMIFS(AI1601:AI1621,B1601:B1621,B1611-24)+in_hlth_family_renew^3*SUMIFS(AI1601:AI1621,B1601:B1621,B1611-36)+in_hlth_family_renew^4*SUMIFS(AI1601:AI1621,B1601:B1621,B1611-48))</f>
        <v/>
      </c>
      <c r="AK1611" s="40">
        <f>AK1610*(1-IF(B1610&gt;=in_marketplace_from,d_hz_life_term*G1610,0))</f>
        <v/>
      </c>
      <c r="AL1611" s="46">
        <f>AK1611*IF(B1611&gt;=in_marketplace_from,d_hz_life_term*G1611,0)</f>
        <v/>
      </c>
      <c r="AM1611" s="14">
        <f>F1611*AL1611*in_life_term_ticket*in_life_term_comm*in_ins_partner_share+F1611*in_life_term_ticket*in_life_term_renew_comm*in_ins_partner_share*(in_life_term_renew^1*SUMIFS(AL1601:AL1621,B1601:B1621,B1611-12)+in_life_term_renew^2*SUMIFS(AL1601:AL1621,B1601:B1621,B1611-24)+in_life_term_renew^3*SUMIFS(AL1601:AL1621,B1601:B1621,B1611-36)+in_life_term_renew^4*SUMIFS(AL1601:AL1621,B1601:B1621,B1611-48))</f>
        <v/>
      </c>
      <c r="AN1611" s="40">
        <f>AN1610*(1-IF(B1610&gt;=in_marketplace_from,d_hz_accident*G1610,0))</f>
        <v/>
      </c>
      <c r="AO1611" s="46">
        <f>AN1611*IF(B1611&gt;=in_marketplace_from,d_hz_accident*G1611,0)</f>
        <v/>
      </c>
      <c r="AP1611" s="14">
        <f>F1611*AO1611*in_accident_ticket*in_accident_comm*in_ins_partner_share+F1611*in_accident_ticket*in_accident_renew_comm*in_ins_partner_share*(in_accident_renew^1*SUMIFS(AO1601:AO1621,B1601:B1621,B1611-12)+in_accident_renew^2*SUMIFS(AO1601:AO1621,B1601:B1621,B1611-24)+in_accident_renew^3*SUMIFS(AO1601:AO1621,B1601:B1621,B1611-36)+in_accident_renew^4*SUMIFS(AO1601:AO1621,B1601:B1621,B1611-48))</f>
        <v/>
      </c>
      <c r="AQ1611" s="40">
        <f>AQ1610*(1-IF(B1610&gt;=in_marketplace_from,d_hz_two_wheeler*G1610,0))</f>
        <v/>
      </c>
      <c r="AR1611" s="46">
        <f>AQ1611*IF(B1611&gt;=in_marketplace_from,d_hz_two_wheeler*G1611,0)</f>
        <v/>
      </c>
      <c r="AS1611" s="14">
        <f>F1611*AR1611*in_two_wheeler_ticket*in_two_wheeler_comm*in_ins_partner_share+F1611*in_two_wheeler_ticket*in_two_wheeler_comm*in_ins_partner_share*(in_two_wheeler_renew^1*SUMIFS(AR1601:AR1621,B1601:B1621,B1611-12)+in_two_wheeler_renew^2*SUMIFS(AR1601:AR1621,B1601:B1621,B1611-24)+in_two_wheeler_renew^3*SUMIFS(AR1601:AR1621,B1601:B1621,B1611-36)+in_two_wheeler_renew^4*SUMIFS(AR1601:AR1621,B1601:B1621,B1611-48))</f>
        <v/>
      </c>
      <c r="AT1611" s="40">
        <f>AT1610*(1-IF(B1610&gt;=in_marketplace_from,d_hz_device*G1610,0))</f>
        <v/>
      </c>
      <c r="AU1611" s="14">
        <f>F1611*AT1611*IF(B1611&gt;=in_marketplace_from,d_hz_device*G1611,0)*in_device_ticket*in_device_comm*in_ins_partner_share</f>
        <v/>
      </c>
      <c r="AV1611" s="40">
        <f>AV1610*(1-IF(B1610&gt;=in_marketplace_from,d_hz_shop*G1610,0))</f>
        <v/>
      </c>
      <c r="AW1611" s="46">
        <f>AV1611*IF(B1611&gt;=in_marketplace_from,d_hz_shop*G1611,0)</f>
        <v/>
      </c>
      <c r="AX1611" s="14">
        <f>F1611*AW1611*in_shop_ticket*in_shop_comm*in_ins_partner_share+F1611*in_shop_ticket*in_shop_renew_comm*in_ins_partner_share*(in_shop_renew^1*SUMIFS(AW1601:AW1621,B1601:B1621,B1611-12)+in_shop_renew^2*SUMIFS(AW1601:AW1621,B1601:B1621,B1611-24)+in_shop_renew^3*SUMIFS(AW1601:AW1621,B1601:B1621,B1611-36)+in_shop_renew^4*SUMIFS(AW1601:AW1621,B1601:B1621,B1611-48))</f>
        <v/>
      </c>
      <c r="AY1611" s="40">
        <f>AY1610*(1-IF(B1610&gt;=in_marketplace_from,d_hz_sip*G1610,0))</f>
        <v/>
      </c>
      <c r="AZ1611" s="40">
        <f>AZ1610*d_rho_sip+AY1611*IF(B1611&gt;=in_marketplace_from,d_hz_sip*G1611,0)</f>
        <v/>
      </c>
      <c r="BA1611" s="40">
        <f>d_rho_sip*(BA1610+AZ1610)</f>
        <v/>
      </c>
      <c r="BB1611" s="14">
        <f>F1611*in_sip_ticket*(BA1611+0.5*AZ1611)*in_sip_comm/12</f>
        <v/>
      </c>
      <c r="BC1611" s="40">
        <f>BC1610*(1-IF(B1610&gt;=in_marketplace_from,d_hz_choti*G1610,0))</f>
        <v/>
      </c>
      <c r="BD1611" s="46">
        <f>BC1611*IF(B1611&gt;=in_marketplace_from,d_hz_choti*G1611,0)</f>
        <v/>
      </c>
      <c r="BE1611" s="14">
        <f>F1611*SUMIFS(BD1601:BD1621,B1601:B1621,B1611-in_choti_months)*in_choti_renew*in_choti_ticket</f>
        <v/>
      </c>
      <c r="BF1611" s="40">
        <f>BF1610*(1-IF(B1610&gt;=in_marketplace_from,d_hz_nps*G1610,0))</f>
        <v/>
      </c>
      <c r="BG1611" s="14">
        <f>F1611*BF1611*IF(B1611&gt;=in_marketplace_from,d_hz_nps*G1611,0)*in_nps_ticket*in_nps_comm</f>
        <v/>
      </c>
      <c r="BH1611" s="40">
        <f>BH1610*(1-IF(B1610&gt;=in_marketplace_from,d_hz_gold*G1610,0))</f>
        <v/>
      </c>
      <c r="BI1611" s="40">
        <f>BI1610*d_rho_gold+BH1611*IF(B1611&gt;=in_marketplace_from,d_hz_gold*G1611,0)</f>
        <v/>
      </c>
      <c r="BJ1611" s="14">
        <f>F1611*BI1611*in_gold_ticket*in_gold_comm</f>
        <v/>
      </c>
      <c r="BK1611" s="40">
        <f>BK1610*(1-IF(B1610&gt;=in_marketplace_from,d_hz_fd*G1610,0))</f>
        <v/>
      </c>
      <c r="BL1611" s="14">
        <f>F1611*BK1611*IF(B1611&gt;=in_marketplace_from,d_hz_fd*G1611,0)*in_fd_ticket*in_fd_comm</f>
        <v/>
      </c>
      <c r="BM1611" s="40">
        <f>BM1610*(1-IF(B1610&gt;=in_marketplace_from,d_hz_recharge*G1610,0))</f>
        <v/>
      </c>
      <c r="BN1611" s="40">
        <f>BN1610*d_rho_recharge+BM1611*IF(B1611&gt;=in_marketplace_from,d_hz_recharge*G1611,0)</f>
        <v/>
      </c>
      <c r="BO1611" s="14">
        <f>F1611*BN1611*in_recharge_ticket*in_recharge_comm/12</f>
        <v/>
      </c>
      <c r="BP1611" s="40">
        <f>BP1610*(1-IF(B1610&gt;=in_marketplace_from,d_hz_bills*G1610,0))</f>
        <v/>
      </c>
      <c r="BQ1611" s="40">
        <f>BQ1610*d_rho_bills+BP1611*IF(B1611&gt;=in_marketplace_from,d_hz_bills*G1611,0)</f>
        <v/>
      </c>
      <c r="BR1611" s="14">
        <f>F1611*BQ1611*in_bills_ticket*in_bills_comm/12</f>
        <v/>
      </c>
      <c r="BS1611" s="40">
        <f>BS1610*(1-IF(B1610&gt;=in_marketplace_from,d_hz_loan_gold*G1610,0))</f>
        <v/>
      </c>
      <c r="BT1611" s="14">
        <f>F1611*BS1611*IF(B1611&gt;=in_marketplace_from,d_hz_loan_gold*G1611,0)*in_loan_gold_ticket*in_loan_gold_comm</f>
        <v/>
      </c>
      <c r="BU1611" s="40">
        <f>BU1610*(1-IF(B1610&gt;=in_marketplace_from,d_hz_loan_cd*G1610,0))</f>
        <v/>
      </c>
      <c r="BV1611" s="14">
        <f>F1611*BU1611*IF(B1611&gt;=in_marketplace_from,d_hz_loan_cd*G1611,0)*in_loan_cd_ticket*in_loan_cd_comm</f>
        <v/>
      </c>
      <c r="BW1611" s="40">
        <f>BW1610*(1-IF(B1610&gt;=in_marketplace_from,d_hz_loan_vehicle*G1610,0))</f>
        <v/>
      </c>
      <c r="BX1611" s="14">
        <f>F1611*BW1611*IF(B1611&gt;=in_marketplace_from,d_hz_loan_vehicle*G1611,0)*in_loan_vehicle_ticket*in_loan_vehicle_comm</f>
        <v/>
      </c>
      <c r="BY1611" s="40">
        <f>BY1610*(1-IF(B1610&gt;=in_marketplace_from,d_hz_loan_home*G1610,0)*BZ1610)</f>
        <v/>
      </c>
      <c r="BZ1611" s="11">
        <f>MIN(in_approval_cap,in_loan_home_approval*INDEX('Age profile'!$O$2:$O$61,B1611)*(1+in_approval_growth)^(D1611-1))</f>
        <v/>
      </c>
      <c r="CA1611" s="14">
        <f>F1611*BY1611*IF(B1611&gt;=in_marketplace_from,d_hz_loan_home*G1611,0)*BZ1611*in_loan_home_ticket*in_loan_home_comm</f>
        <v/>
      </c>
      <c r="CB1611" s="40">
        <f>CB1610*(1-IF(B1610&gt;=in_marketplace_from,d_hz_loan_lap*G1610,0)*CC1610)</f>
        <v/>
      </c>
      <c r="CC1611" s="11">
        <f>MIN(in_approval_cap,in_loan_lap_approval*INDEX('Age profile'!$O$2:$O$61,B1611)*(1+in_approval_growth)^(D1611-1))</f>
        <v/>
      </c>
      <c r="CD1611" s="14">
        <f>F1611*CB1611*IF(B1611&gt;=in_marketplace_from,d_hz_loan_lap*G1611,0)*CC1611*in_loan_lap_ticket*in_loan_lap_comm</f>
        <v/>
      </c>
      <c r="CE1611" s="14">
        <f>AA1611+AB1611+AC1611+AD1611+AG1611+AJ1611+AM1611+AP1611+AS1611+AU1611+AX1611+BB1611+BE1611+BG1611+BJ1611+BL1611+BO1611+BR1611+BT1611+BV1611+BX1611+CA1611+CD1611</f>
        <v/>
      </c>
    </row>
    <row r="1612">
      <c r="A1612" s="39" t="n">
        <v>40</v>
      </c>
      <c r="B1612" s="39" t="n">
        <v>12</v>
      </c>
      <c r="C1612" s="39">
        <f>A1612+B1612-1</f>
        <v/>
      </c>
      <c r="D1612" s="39">
        <f>INT((C1612-1)/12)+1</f>
        <v/>
      </c>
      <c r="E1612" s="44">
        <f>INDEX(Monthly!$B$2:$B$61,A1612)</f>
        <v/>
      </c>
      <c r="F1612" s="44">
        <f>E1612*INDEX('Age profile'!$B$2:$B$61,B1612)</f>
        <v/>
      </c>
      <c r="G1612" s="45">
        <f>MIN(in_takeup_cap,INDEX('Age profile'!$N$2:$N$61,B1612)*(1+in_takeup_growth)^(D1612-1))</f>
        <v/>
      </c>
      <c r="H1612" s="11">
        <f>MIN(in_approval_cap,in_approved_first*INDEX('Age profile'!$O$2:$O$61,B1612)*(1+in_approval_growth)^(D1612-1))</f>
        <v/>
      </c>
      <c r="I1612" s="45">
        <f>G1612*MIN(in_takeup_cap,INDEX('Age profile'!$O$2:$O$61,B1612)*(1+in_approval_growth)^(D1612-1))</f>
        <v/>
      </c>
      <c r="J1612" s="40">
        <f>(J1611-L1611)*F1612/F1611</f>
        <v/>
      </c>
      <c r="K1612" s="40">
        <f>(K1611-M1611)*F1612/F1611+SUMIFS(O1601:O1611,B1601:B1611,B1612-1-d_T)*F1612</f>
        <v/>
      </c>
      <c r="L1612" s="40">
        <f>IF(B1612&gt;=in_marketplace_from,J1612*d_hz*G1612*in_eligible*H1612,0)</f>
        <v/>
      </c>
      <c r="M1612" s="40">
        <f>IF(B1612&gt;=in_marketplace_from,K1612*d_hz*G1612*in_eligible*in_approved_repeat,0)</f>
        <v/>
      </c>
      <c r="N1612" s="40">
        <f>L1612+M1612</f>
        <v/>
      </c>
      <c r="O1612" s="46">
        <f>N1612/F1612</f>
        <v/>
      </c>
      <c r="P1612" s="40">
        <f>F1612-J1612-K1612</f>
        <v/>
      </c>
      <c r="Q1612" s="40">
        <f>IF(B1612&gt;=in_marketplace_from,(J1612+K1612)*d_hz*G1612,0)</f>
        <v/>
      </c>
      <c r="R1612" s="40">
        <f>SUMIFS(N1601:N1621,B1601:B1621,"&gt;="&amp;(B1612-d_T),B1601:B1621,"&lt;="&amp;(B1612-1))</f>
        <v/>
      </c>
      <c r="S1612" s="46">
        <f>(1-d_u)*S1611+IF(d_T&gt;in_topup_lag,SUMIFS(O1601:O1621,B1601:B1621,B1612-in_topup_lag)-d_udrop*SUMIFS(O1601:O1621,B1601:B1621,B1612-d_T),0)</f>
        <v/>
      </c>
      <c r="T1612" s="40">
        <f>F1612*d_u*S1612</f>
        <v/>
      </c>
      <c r="U1612" s="9">
        <f>L1612*in_ticket+M1612*d_rep_ticket</f>
        <v/>
      </c>
      <c r="V1612" s="9">
        <f>U1612+T1612*d_topup_amt</f>
        <v/>
      </c>
      <c r="W1612" s="40">
        <f>N1612+T1612*d_topup_ratio</f>
        <v/>
      </c>
      <c r="X1612" s="40">
        <f>SUMIFS(W1601:W1621,B1601:B1621,B1612-in_dpd_lag)*d_cured</f>
        <v/>
      </c>
      <c r="Y1612" s="40">
        <f>SUMIFS(W1601:W1621,B1601:B1621,B1612-in_rec_lag)*d_recd</f>
        <v/>
      </c>
      <c r="Z1612" s="40">
        <f>IF(AND(B1612&gt;=in_marketplace_from,B1612&lt;in_marketplace_from+in_card_months),in_card_share/in_card_months*F1612*I1612,IF(AND(B1612&gt;=in_marketplace_from+in_card_months,B1612&lt;in_marketplace_from+2*in_card_months),in_card_share*d_card_rem/in_card_months*F1612*MIN(in_takeup_cap,(1+in_takeup_growth)^(D1612-1))*MIN(in_takeup_cap,(1+in_approval_growth)^(D1612-1)),0))</f>
        <v/>
      </c>
      <c r="AA1612" s="14">
        <f>V1612*in_fee*(1-in_taken_back)</f>
        <v/>
      </c>
      <c r="AB1612" s="14">
        <f>SUMIFS(W1601:W1621,B1601:B1621,B1612-in_dpd_lag)*d_dpd</f>
        <v/>
      </c>
      <c r="AC1612" s="14">
        <f>SUMIFS(W1601:W1621,B1601:B1621,B1612-in_rec_lag)*d_rec</f>
        <v/>
      </c>
      <c r="AD1612" s="14">
        <f>Z1612*in_card_fee</f>
        <v/>
      </c>
      <c r="AE1612" s="40">
        <f>AE1611*(1-IF(B1611&gt;=in_marketplace_from,d_hz_hlth_small*G1611,0))</f>
        <v/>
      </c>
      <c r="AF1612" s="46">
        <f>AE1612*IF(B1612&gt;=in_marketplace_from,d_hz_hlth_small*G1612,0)</f>
        <v/>
      </c>
      <c r="AG1612" s="14">
        <f>F1612*AF1612*in_hlth_small_ticket*in_hlth_small_comm*in_ins_partner_share+F1612*in_hlth_small_ticket*in_hlth_small_renew_comm*in_ins_partner_share*(in_hlth_small_renew^1*SUMIFS(AF1601:AF1621,B1601:B1621,B1612-12)+in_hlth_small_renew^2*SUMIFS(AF1601:AF1621,B1601:B1621,B1612-24)+in_hlth_small_renew^3*SUMIFS(AF1601:AF1621,B1601:B1621,B1612-36)+in_hlth_small_renew^4*SUMIFS(AF1601:AF1621,B1601:B1621,B1612-48))</f>
        <v/>
      </c>
      <c r="AH1612" s="40">
        <f>AH1611*(1-IF(B1611&gt;=in_marketplace_from,d_hz_hlth_family*G1611,0))</f>
        <v/>
      </c>
      <c r="AI1612" s="46">
        <f>AH1612*IF(B1612&gt;=in_marketplace_from,d_hz_hlth_family*G1612,0)</f>
        <v/>
      </c>
      <c r="AJ1612" s="14">
        <f>F1612*AI1612*in_hlth_family_ticket*in_hlth_family_comm*in_ins_partner_share+F1612*in_hlth_family_ticket*in_hlth_family_renew_comm*in_ins_partner_share*(in_hlth_family_renew^1*SUMIFS(AI1601:AI1621,B1601:B1621,B1612-12)+in_hlth_family_renew^2*SUMIFS(AI1601:AI1621,B1601:B1621,B1612-24)+in_hlth_family_renew^3*SUMIFS(AI1601:AI1621,B1601:B1621,B1612-36)+in_hlth_family_renew^4*SUMIFS(AI1601:AI1621,B1601:B1621,B1612-48))</f>
        <v/>
      </c>
      <c r="AK1612" s="40">
        <f>AK1611*(1-IF(B1611&gt;=in_marketplace_from,d_hz_life_term*G1611,0))</f>
        <v/>
      </c>
      <c r="AL1612" s="46">
        <f>AK1612*IF(B1612&gt;=in_marketplace_from,d_hz_life_term*G1612,0)</f>
        <v/>
      </c>
      <c r="AM1612" s="14">
        <f>F1612*AL1612*in_life_term_ticket*in_life_term_comm*in_ins_partner_share+F1612*in_life_term_ticket*in_life_term_renew_comm*in_ins_partner_share*(in_life_term_renew^1*SUMIFS(AL1601:AL1621,B1601:B1621,B1612-12)+in_life_term_renew^2*SUMIFS(AL1601:AL1621,B1601:B1621,B1612-24)+in_life_term_renew^3*SUMIFS(AL1601:AL1621,B1601:B1621,B1612-36)+in_life_term_renew^4*SUMIFS(AL1601:AL1621,B1601:B1621,B1612-48))</f>
        <v/>
      </c>
      <c r="AN1612" s="40">
        <f>AN1611*(1-IF(B1611&gt;=in_marketplace_from,d_hz_accident*G1611,0))</f>
        <v/>
      </c>
      <c r="AO1612" s="46">
        <f>AN1612*IF(B1612&gt;=in_marketplace_from,d_hz_accident*G1612,0)</f>
        <v/>
      </c>
      <c r="AP1612" s="14">
        <f>F1612*AO1612*in_accident_ticket*in_accident_comm*in_ins_partner_share+F1612*in_accident_ticket*in_accident_renew_comm*in_ins_partner_share*(in_accident_renew^1*SUMIFS(AO1601:AO1621,B1601:B1621,B1612-12)+in_accident_renew^2*SUMIFS(AO1601:AO1621,B1601:B1621,B1612-24)+in_accident_renew^3*SUMIFS(AO1601:AO1621,B1601:B1621,B1612-36)+in_accident_renew^4*SUMIFS(AO1601:AO1621,B1601:B1621,B1612-48))</f>
        <v/>
      </c>
      <c r="AQ1612" s="40">
        <f>AQ1611*(1-IF(B1611&gt;=in_marketplace_from,d_hz_two_wheeler*G1611,0))</f>
        <v/>
      </c>
      <c r="AR1612" s="46">
        <f>AQ1612*IF(B1612&gt;=in_marketplace_from,d_hz_two_wheeler*G1612,0)</f>
        <v/>
      </c>
      <c r="AS1612" s="14">
        <f>F1612*AR1612*in_two_wheeler_ticket*in_two_wheeler_comm*in_ins_partner_share+F1612*in_two_wheeler_ticket*in_two_wheeler_comm*in_ins_partner_share*(in_two_wheeler_renew^1*SUMIFS(AR1601:AR1621,B1601:B1621,B1612-12)+in_two_wheeler_renew^2*SUMIFS(AR1601:AR1621,B1601:B1621,B1612-24)+in_two_wheeler_renew^3*SUMIFS(AR1601:AR1621,B1601:B1621,B1612-36)+in_two_wheeler_renew^4*SUMIFS(AR1601:AR1621,B1601:B1621,B1612-48))</f>
        <v/>
      </c>
      <c r="AT1612" s="40">
        <f>AT1611*(1-IF(B1611&gt;=in_marketplace_from,d_hz_device*G1611,0))</f>
        <v/>
      </c>
      <c r="AU1612" s="14">
        <f>F1612*AT1612*IF(B1612&gt;=in_marketplace_from,d_hz_device*G1612,0)*in_device_ticket*in_device_comm*in_ins_partner_share</f>
        <v/>
      </c>
      <c r="AV1612" s="40">
        <f>AV1611*(1-IF(B1611&gt;=in_marketplace_from,d_hz_shop*G1611,0))</f>
        <v/>
      </c>
      <c r="AW1612" s="46">
        <f>AV1612*IF(B1612&gt;=in_marketplace_from,d_hz_shop*G1612,0)</f>
        <v/>
      </c>
      <c r="AX1612" s="14">
        <f>F1612*AW1612*in_shop_ticket*in_shop_comm*in_ins_partner_share+F1612*in_shop_ticket*in_shop_renew_comm*in_ins_partner_share*(in_shop_renew^1*SUMIFS(AW1601:AW1621,B1601:B1621,B1612-12)+in_shop_renew^2*SUMIFS(AW1601:AW1621,B1601:B1621,B1612-24)+in_shop_renew^3*SUMIFS(AW1601:AW1621,B1601:B1621,B1612-36)+in_shop_renew^4*SUMIFS(AW1601:AW1621,B1601:B1621,B1612-48))</f>
        <v/>
      </c>
      <c r="AY1612" s="40">
        <f>AY1611*(1-IF(B1611&gt;=in_marketplace_from,d_hz_sip*G1611,0))</f>
        <v/>
      </c>
      <c r="AZ1612" s="40">
        <f>AZ1611*d_rho_sip+AY1612*IF(B1612&gt;=in_marketplace_from,d_hz_sip*G1612,0)</f>
        <v/>
      </c>
      <c r="BA1612" s="40">
        <f>d_rho_sip*(BA1611+AZ1611)</f>
        <v/>
      </c>
      <c r="BB1612" s="14">
        <f>F1612*in_sip_ticket*(BA1612+0.5*AZ1612)*in_sip_comm/12</f>
        <v/>
      </c>
      <c r="BC1612" s="40">
        <f>BC1611*(1-IF(B1611&gt;=in_marketplace_from,d_hz_choti*G1611,0))</f>
        <v/>
      </c>
      <c r="BD1612" s="46">
        <f>BC1612*IF(B1612&gt;=in_marketplace_from,d_hz_choti*G1612,0)</f>
        <v/>
      </c>
      <c r="BE1612" s="14">
        <f>F1612*SUMIFS(BD1601:BD1621,B1601:B1621,B1612-in_choti_months)*in_choti_renew*in_choti_ticket</f>
        <v/>
      </c>
      <c r="BF1612" s="40">
        <f>BF1611*(1-IF(B1611&gt;=in_marketplace_from,d_hz_nps*G1611,0))</f>
        <v/>
      </c>
      <c r="BG1612" s="14">
        <f>F1612*BF1612*IF(B1612&gt;=in_marketplace_from,d_hz_nps*G1612,0)*in_nps_ticket*in_nps_comm</f>
        <v/>
      </c>
      <c r="BH1612" s="40">
        <f>BH1611*(1-IF(B1611&gt;=in_marketplace_from,d_hz_gold*G1611,0))</f>
        <v/>
      </c>
      <c r="BI1612" s="40">
        <f>BI1611*d_rho_gold+BH1612*IF(B1612&gt;=in_marketplace_from,d_hz_gold*G1612,0)</f>
        <v/>
      </c>
      <c r="BJ1612" s="14">
        <f>F1612*BI1612*in_gold_ticket*in_gold_comm</f>
        <v/>
      </c>
      <c r="BK1612" s="40">
        <f>BK1611*(1-IF(B1611&gt;=in_marketplace_from,d_hz_fd*G1611,0))</f>
        <v/>
      </c>
      <c r="BL1612" s="14">
        <f>F1612*BK1612*IF(B1612&gt;=in_marketplace_from,d_hz_fd*G1612,0)*in_fd_ticket*in_fd_comm</f>
        <v/>
      </c>
      <c r="BM1612" s="40">
        <f>BM1611*(1-IF(B1611&gt;=in_marketplace_from,d_hz_recharge*G1611,0))</f>
        <v/>
      </c>
      <c r="BN1612" s="40">
        <f>BN1611*d_rho_recharge+BM1612*IF(B1612&gt;=in_marketplace_from,d_hz_recharge*G1612,0)</f>
        <v/>
      </c>
      <c r="BO1612" s="14">
        <f>F1612*BN1612*in_recharge_ticket*in_recharge_comm/12</f>
        <v/>
      </c>
      <c r="BP1612" s="40">
        <f>BP1611*(1-IF(B1611&gt;=in_marketplace_from,d_hz_bills*G1611,0))</f>
        <v/>
      </c>
      <c r="BQ1612" s="40">
        <f>BQ1611*d_rho_bills+BP1612*IF(B1612&gt;=in_marketplace_from,d_hz_bills*G1612,0)</f>
        <v/>
      </c>
      <c r="BR1612" s="14">
        <f>F1612*BQ1612*in_bills_ticket*in_bills_comm/12</f>
        <v/>
      </c>
      <c r="BS1612" s="40">
        <f>BS1611*(1-IF(B1611&gt;=in_marketplace_from,d_hz_loan_gold*G1611,0))</f>
        <v/>
      </c>
      <c r="BT1612" s="14">
        <f>F1612*BS1612*IF(B1612&gt;=in_marketplace_from,d_hz_loan_gold*G1612,0)*in_loan_gold_ticket*in_loan_gold_comm</f>
        <v/>
      </c>
      <c r="BU1612" s="40">
        <f>BU1611*(1-IF(B1611&gt;=in_marketplace_from,d_hz_loan_cd*G1611,0))</f>
        <v/>
      </c>
      <c r="BV1612" s="14">
        <f>F1612*BU1612*IF(B1612&gt;=in_marketplace_from,d_hz_loan_cd*G1612,0)*in_loan_cd_ticket*in_loan_cd_comm</f>
        <v/>
      </c>
      <c r="BW1612" s="40">
        <f>BW1611*(1-IF(B1611&gt;=in_marketplace_from,d_hz_loan_vehicle*G1611,0))</f>
        <v/>
      </c>
      <c r="BX1612" s="14">
        <f>F1612*BW1612*IF(B1612&gt;=in_marketplace_from,d_hz_loan_vehicle*G1612,0)*in_loan_vehicle_ticket*in_loan_vehicle_comm</f>
        <v/>
      </c>
      <c r="BY1612" s="40">
        <f>BY1611*(1-IF(B1611&gt;=in_marketplace_from,d_hz_loan_home*G1611,0)*BZ1611)</f>
        <v/>
      </c>
      <c r="BZ1612" s="11">
        <f>MIN(in_approval_cap,in_loan_home_approval*INDEX('Age profile'!$O$2:$O$61,B1612)*(1+in_approval_growth)^(D1612-1))</f>
        <v/>
      </c>
      <c r="CA1612" s="14">
        <f>F1612*BY1612*IF(B1612&gt;=in_marketplace_from,d_hz_loan_home*G1612,0)*BZ1612*in_loan_home_ticket*in_loan_home_comm</f>
        <v/>
      </c>
      <c r="CB1612" s="40">
        <f>CB1611*(1-IF(B1611&gt;=in_marketplace_from,d_hz_loan_lap*G1611,0)*CC1611)</f>
        <v/>
      </c>
      <c r="CC1612" s="11">
        <f>MIN(in_approval_cap,in_loan_lap_approval*INDEX('Age profile'!$O$2:$O$61,B1612)*(1+in_approval_growth)^(D1612-1))</f>
        <v/>
      </c>
      <c r="CD1612" s="14">
        <f>F1612*CB1612*IF(B1612&gt;=in_marketplace_from,d_hz_loan_lap*G1612,0)*CC1612*in_loan_lap_ticket*in_loan_lap_comm</f>
        <v/>
      </c>
      <c r="CE1612" s="14">
        <f>AA1612+AB1612+AC1612+AD1612+AG1612+AJ1612+AM1612+AP1612+AS1612+AU1612+AX1612+BB1612+BE1612+BG1612+BJ1612+BL1612+BO1612+BR1612+BT1612+BV1612+BX1612+CA1612+CD1612</f>
        <v/>
      </c>
    </row>
    <row r="1613">
      <c r="A1613" s="39" t="n">
        <v>40</v>
      </c>
      <c r="B1613" s="39" t="n">
        <v>13</v>
      </c>
      <c r="C1613" s="39">
        <f>A1613+B1613-1</f>
        <v/>
      </c>
      <c r="D1613" s="39">
        <f>INT((C1613-1)/12)+1</f>
        <v/>
      </c>
      <c r="E1613" s="44">
        <f>INDEX(Monthly!$B$2:$B$61,A1613)</f>
        <v/>
      </c>
      <c r="F1613" s="44">
        <f>E1613*INDEX('Age profile'!$B$2:$B$61,B1613)</f>
        <v/>
      </c>
      <c r="G1613" s="45">
        <f>MIN(in_takeup_cap,INDEX('Age profile'!$N$2:$N$61,B1613)*(1+in_takeup_growth)^(D1613-1))</f>
        <v/>
      </c>
      <c r="H1613" s="11">
        <f>MIN(in_approval_cap,in_approved_first*INDEX('Age profile'!$O$2:$O$61,B1613)*(1+in_approval_growth)^(D1613-1))</f>
        <v/>
      </c>
      <c r="I1613" s="45">
        <f>G1613*MIN(in_takeup_cap,INDEX('Age profile'!$O$2:$O$61,B1613)*(1+in_approval_growth)^(D1613-1))</f>
        <v/>
      </c>
      <c r="J1613" s="40">
        <f>(J1612-L1612)*F1613/F1612</f>
        <v/>
      </c>
      <c r="K1613" s="40">
        <f>(K1612-M1612)*F1613/F1612+SUMIFS(O1601:O1612,B1601:B1612,B1613-1-d_T)*F1613</f>
        <v/>
      </c>
      <c r="L1613" s="40">
        <f>IF(B1613&gt;=in_marketplace_from,J1613*d_hz*G1613*in_eligible*H1613,0)</f>
        <v/>
      </c>
      <c r="M1613" s="40">
        <f>IF(B1613&gt;=in_marketplace_from,K1613*d_hz*G1613*in_eligible*in_approved_repeat,0)</f>
        <v/>
      </c>
      <c r="N1613" s="40">
        <f>L1613+M1613</f>
        <v/>
      </c>
      <c r="O1613" s="46">
        <f>N1613/F1613</f>
        <v/>
      </c>
      <c r="P1613" s="40">
        <f>F1613-J1613-K1613</f>
        <v/>
      </c>
      <c r="Q1613" s="40">
        <f>IF(B1613&gt;=in_marketplace_from,(J1613+K1613)*d_hz*G1613,0)</f>
        <v/>
      </c>
      <c r="R1613" s="40">
        <f>SUMIFS(N1601:N1621,B1601:B1621,"&gt;="&amp;(B1613-d_T),B1601:B1621,"&lt;="&amp;(B1613-1))</f>
        <v/>
      </c>
      <c r="S1613" s="46">
        <f>(1-d_u)*S1612+IF(d_T&gt;in_topup_lag,SUMIFS(O1601:O1621,B1601:B1621,B1613-in_topup_lag)-d_udrop*SUMIFS(O1601:O1621,B1601:B1621,B1613-d_T),0)</f>
        <v/>
      </c>
      <c r="T1613" s="40">
        <f>F1613*d_u*S1613</f>
        <v/>
      </c>
      <c r="U1613" s="9">
        <f>L1613*in_ticket+M1613*d_rep_ticket</f>
        <v/>
      </c>
      <c r="V1613" s="9">
        <f>U1613+T1613*d_topup_amt</f>
        <v/>
      </c>
      <c r="W1613" s="40">
        <f>N1613+T1613*d_topup_ratio</f>
        <v/>
      </c>
      <c r="X1613" s="40">
        <f>SUMIFS(W1601:W1621,B1601:B1621,B1613-in_dpd_lag)*d_cured</f>
        <v/>
      </c>
      <c r="Y1613" s="40">
        <f>SUMIFS(W1601:W1621,B1601:B1621,B1613-in_rec_lag)*d_recd</f>
        <v/>
      </c>
      <c r="Z1613" s="40">
        <f>IF(AND(B1613&gt;=in_marketplace_from,B1613&lt;in_marketplace_from+in_card_months),in_card_share/in_card_months*F1613*I1613,IF(AND(B1613&gt;=in_marketplace_from+in_card_months,B1613&lt;in_marketplace_from+2*in_card_months),in_card_share*d_card_rem/in_card_months*F1613*MIN(in_takeup_cap,(1+in_takeup_growth)^(D1613-1))*MIN(in_takeup_cap,(1+in_approval_growth)^(D1613-1)),0))</f>
        <v/>
      </c>
      <c r="AA1613" s="14">
        <f>V1613*in_fee*(1-in_taken_back)</f>
        <v/>
      </c>
      <c r="AB1613" s="14">
        <f>SUMIFS(W1601:W1621,B1601:B1621,B1613-in_dpd_lag)*d_dpd</f>
        <v/>
      </c>
      <c r="AC1613" s="14">
        <f>SUMIFS(W1601:W1621,B1601:B1621,B1613-in_rec_lag)*d_rec</f>
        <v/>
      </c>
      <c r="AD1613" s="14">
        <f>Z1613*in_card_fee</f>
        <v/>
      </c>
      <c r="AE1613" s="40">
        <f>AE1612*(1-IF(B1612&gt;=in_marketplace_from,d_hz_hlth_small*G1612,0))</f>
        <v/>
      </c>
      <c r="AF1613" s="46">
        <f>AE1613*IF(B1613&gt;=in_marketplace_from,d_hz_hlth_small*G1613,0)</f>
        <v/>
      </c>
      <c r="AG1613" s="14">
        <f>F1613*AF1613*in_hlth_small_ticket*in_hlth_small_comm*in_ins_partner_share+F1613*in_hlth_small_ticket*in_hlth_small_renew_comm*in_ins_partner_share*(in_hlth_small_renew^1*SUMIFS(AF1601:AF1621,B1601:B1621,B1613-12)+in_hlth_small_renew^2*SUMIFS(AF1601:AF1621,B1601:B1621,B1613-24)+in_hlth_small_renew^3*SUMIFS(AF1601:AF1621,B1601:B1621,B1613-36)+in_hlth_small_renew^4*SUMIFS(AF1601:AF1621,B1601:B1621,B1613-48))</f>
        <v/>
      </c>
      <c r="AH1613" s="40">
        <f>AH1612*(1-IF(B1612&gt;=in_marketplace_from,d_hz_hlth_family*G1612,0))</f>
        <v/>
      </c>
      <c r="AI1613" s="46">
        <f>AH1613*IF(B1613&gt;=in_marketplace_from,d_hz_hlth_family*G1613,0)</f>
        <v/>
      </c>
      <c r="AJ1613" s="14">
        <f>F1613*AI1613*in_hlth_family_ticket*in_hlth_family_comm*in_ins_partner_share+F1613*in_hlth_family_ticket*in_hlth_family_renew_comm*in_ins_partner_share*(in_hlth_family_renew^1*SUMIFS(AI1601:AI1621,B1601:B1621,B1613-12)+in_hlth_family_renew^2*SUMIFS(AI1601:AI1621,B1601:B1621,B1613-24)+in_hlth_family_renew^3*SUMIFS(AI1601:AI1621,B1601:B1621,B1613-36)+in_hlth_family_renew^4*SUMIFS(AI1601:AI1621,B1601:B1621,B1613-48))</f>
        <v/>
      </c>
      <c r="AK1613" s="40">
        <f>AK1612*(1-IF(B1612&gt;=in_marketplace_from,d_hz_life_term*G1612,0))</f>
        <v/>
      </c>
      <c r="AL1613" s="46">
        <f>AK1613*IF(B1613&gt;=in_marketplace_from,d_hz_life_term*G1613,0)</f>
        <v/>
      </c>
      <c r="AM1613" s="14">
        <f>F1613*AL1613*in_life_term_ticket*in_life_term_comm*in_ins_partner_share+F1613*in_life_term_ticket*in_life_term_renew_comm*in_ins_partner_share*(in_life_term_renew^1*SUMIFS(AL1601:AL1621,B1601:B1621,B1613-12)+in_life_term_renew^2*SUMIFS(AL1601:AL1621,B1601:B1621,B1613-24)+in_life_term_renew^3*SUMIFS(AL1601:AL1621,B1601:B1621,B1613-36)+in_life_term_renew^4*SUMIFS(AL1601:AL1621,B1601:B1621,B1613-48))</f>
        <v/>
      </c>
      <c r="AN1613" s="40">
        <f>AN1612*(1-IF(B1612&gt;=in_marketplace_from,d_hz_accident*G1612,0))</f>
        <v/>
      </c>
      <c r="AO1613" s="46">
        <f>AN1613*IF(B1613&gt;=in_marketplace_from,d_hz_accident*G1613,0)</f>
        <v/>
      </c>
      <c r="AP1613" s="14">
        <f>F1613*AO1613*in_accident_ticket*in_accident_comm*in_ins_partner_share+F1613*in_accident_ticket*in_accident_renew_comm*in_ins_partner_share*(in_accident_renew^1*SUMIFS(AO1601:AO1621,B1601:B1621,B1613-12)+in_accident_renew^2*SUMIFS(AO1601:AO1621,B1601:B1621,B1613-24)+in_accident_renew^3*SUMIFS(AO1601:AO1621,B1601:B1621,B1613-36)+in_accident_renew^4*SUMIFS(AO1601:AO1621,B1601:B1621,B1613-48))</f>
        <v/>
      </c>
      <c r="AQ1613" s="40">
        <f>AQ1612*(1-IF(B1612&gt;=in_marketplace_from,d_hz_two_wheeler*G1612,0))</f>
        <v/>
      </c>
      <c r="AR1613" s="46">
        <f>AQ1613*IF(B1613&gt;=in_marketplace_from,d_hz_two_wheeler*G1613,0)</f>
        <v/>
      </c>
      <c r="AS1613" s="14">
        <f>F1613*AR1613*in_two_wheeler_ticket*in_two_wheeler_comm*in_ins_partner_share+F1613*in_two_wheeler_ticket*in_two_wheeler_comm*in_ins_partner_share*(in_two_wheeler_renew^1*SUMIFS(AR1601:AR1621,B1601:B1621,B1613-12)+in_two_wheeler_renew^2*SUMIFS(AR1601:AR1621,B1601:B1621,B1613-24)+in_two_wheeler_renew^3*SUMIFS(AR1601:AR1621,B1601:B1621,B1613-36)+in_two_wheeler_renew^4*SUMIFS(AR1601:AR1621,B1601:B1621,B1613-48))</f>
        <v/>
      </c>
      <c r="AT1613" s="40">
        <f>AT1612*(1-IF(B1612&gt;=in_marketplace_from,d_hz_device*G1612,0))</f>
        <v/>
      </c>
      <c r="AU1613" s="14">
        <f>F1613*AT1613*IF(B1613&gt;=in_marketplace_from,d_hz_device*G1613,0)*in_device_ticket*in_device_comm*in_ins_partner_share</f>
        <v/>
      </c>
      <c r="AV1613" s="40">
        <f>AV1612*(1-IF(B1612&gt;=in_marketplace_from,d_hz_shop*G1612,0))</f>
        <v/>
      </c>
      <c r="AW1613" s="46">
        <f>AV1613*IF(B1613&gt;=in_marketplace_from,d_hz_shop*G1613,0)</f>
        <v/>
      </c>
      <c r="AX1613" s="14">
        <f>F1613*AW1613*in_shop_ticket*in_shop_comm*in_ins_partner_share+F1613*in_shop_ticket*in_shop_renew_comm*in_ins_partner_share*(in_shop_renew^1*SUMIFS(AW1601:AW1621,B1601:B1621,B1613-12)+in_shop_renew^2*SUMIFS(AW1601:AW1621,B1601:B1621,B1613-24)+in_shop_renew^3*SUMIFS(AW1601:AW1621,B1601:B1621,B1613-36)+in_shop_renew^4*SUMIFS(AW1601:AW1621,B1601:B1621,B1613-48))</f>
        <v/>
      </c>
      <c r="AY1613" s="40">
        <f>AY1612*(1-IF(B1612&gt;=in_marketplace_from,d_hz_sip*G1612,0))</f>
        <v/>
      </c>
      <c r="AZ1613" s="40">
        <f>AZ1612*d_rho_sip+AY1613*IF(B1613&gt;=in_marketplace_from,d_hz_sip*G1613,0)</f>
        <v/>
      </c>
      <c r="BA1613" s="40">
        <f>d_rho_sip*(BA1612+AZ1612)</f>
        <v/>
      </c>
      <c r="BB1613" s="14">
        <f>F1613*in_sip_ticket*(BA1613+0.5*AZ1613)*in_sip_comm/12</f>
        <v/>
      </c>
      <c r="BC1613" s="40">
        <f>BC1612*(1-IF(B1612&gt;=in_marketplace_from,d_hz_choti*G1612,0))</f>
        <v/>
      </c>
      <c r="BD1613" s="46">
        <f>BC1613*IF(B1613&gt;=in_marketplace_from,d_hz_choti*G1613,0)</f>
        <v/>
      </c>
      <c r="BE1613" s="14">
        <f>F1613*SUMIFS(BD1601:BD1621,B1601:B1621,B1613-in_choti_months)*in_choti_renew*in_choti_ticket</f>
        <v/>
      </c>
      <c r="BF1613" s="40">
        <f>BF1612*(1-IF(B1612&gt;=in_marketplace_from,d_hz_nps*G1612,0))</f>
        <v/>
      </c>
      <c r="BG1613" s="14">
        <f>F1613*BF1613*IF(B1613&gt;=in_marketplace_from,d_hz_nps*G1613,0)*in_nps_ticket*in_nps_comm</f>
        <v/>
      </c>
      <c r="BH1613" s="40">
        <f>BH1612*(1-IF(B1612&gt;=in_marketplace_from,d_hz_gold*G1612,0))</f>
        <v/>
      </c>
      <c r="BI1613" s="40">
        <f>BI1612*d_rho_gold+BH1613*IF(B1613&gt;=in_marketplace_from,d_hz_gold*G1613,0)</f>
        <v/>
      </c>
      <c r="BJ1613" s="14">
        <f>F1613*BI1613*in_gold_ticket*in_gold_comm</f>
        <v/>
      </c>
      <c r="BK1613" s="40">
        <f>BK1612*(1-IF(B1612&gt;=in_marketplace_from,d_hz_fd*G1612,0))</f>
        <v/>
      </c>
      <c r="BL1613" s="14">
        <f>F1613*BK1613*IF(B1613&gt;=in_marketplace_from,d_hz_fd*G1613,0)*in_fd_ticket*in_fd_comm</f>
        <v/>
      </c>
      <c r="BM1613" s="40">
        <f>BM1612*(1-IF(B1612&gt;=in_marketplace_from,d_hz_recharge*G1612,0))</f>
        <v/>
      </c>
      <c r="BN1613" s="40">
        <f>BN1612*d_rho_recharge+BM1613*IF(B1613&gt;=in_marketplace_from,d_hz_recharge*G1613,0)</f>
        <v/>
      </c>
      <c r="BO1613" s="14">
        <f>F1613*BN1613*in_recharge_ticket*in_recharge_comm/12</f>
        <v/>
      </c>
      <c r="BP1613" s="40">
        <f>BP1612*(1-IF(B1612&gt;=in_marketplace_from,d_hz_bills*G1612,0))</f>
        <v/>
      </c>
      <c r="BQ1613" s="40">
        <f>BQ1612*d_rho_bills+BP1613*IF(B1613&gt;=in_marketplace_from,d_hz_bills*G1613,0)</f>
        <v/>
      </c>
      <c r="BR1613" s="14">
        <f>F1613*BQ1613*in_bills_ticket*in_bills_comm/12</f>
        <v/>
      </c>
      <c r="BS1613" s="40">
        <f>BS1612*(1-IF(B1612&gt;=in_marketplace_from,d_hz_loan_gold*G1612,0))</f>
        <v/>
      </c>
      <c r="BT1613" s="14">
        <f>F1613*BS1613*IF(B1613&gt;=in_marketplace_from,d_hz_loan_gold*G1613,0)*in_loan_gold_ticket*in_loan_gold_comm</f>
        <v/>
      </c>
      <c r="BU1613" s="40">
        <f>BU1612*(1-IF(B1612&gt;=in_marketplace_from,d_hz_loan_cd*G1612,0))</f>
        <v/>
      </c>
      <c r="BV1613" s="14">
        <f>F1613*BU1613*IF(B1613&gt;=in_marketplace_from,d_hz_loan_cd*G1613,0)*in_loan_cd_ticket*in_loan_cd_comm</f>
        <v/>
      </c>
      <c r="BW1613" s="40">
        <f>BW1612*(1-IF(B1612&gt;=in_marketplace_from,d_hz_loan_vehicle*G1612,0))</f>
        <v/>
      </c>
      <c r="BX1613" s="14">
        <f>F1613*BW1613*IF(B1613&gt;=in_marketplace_from,d_hz_loan_vehicle*G1613,0)*in_loan_vehicle_ticket*in_loan_vehicle_comm</f>
        <v/>
      </c>
      <c r="BY1613" s="40">
        <f>BY1612*(1-IF(B1612&gt;=in_marketplace_from,d_hz_loan_home*G1612,0)*BZ1612)</f>
        <v/>
      </c>
      <c r="BZ1613" s="11">
        <f>MIN(in_approval_cap,in_loan_home_approval*INDEX('Age profile'!$O$2:$O$61,B1613)*(1+in_approval_growth)^(D1613-1))</f>
        <v/>
      </c>
      <c r="CA1613" s="14">
        <f>F1613*BY1613*IF(B1613&gt;=in_marketplace_from,d_hz_loan_home*G1613,0)*BZ1613*in_loan_home_ticket*in_loan_home_comm</f>
        <v/>
      </c>
      <c r="CB1613" s="40">
        <f>CB1612*(1-IF(B1612&gt;=in_marketplace_from,d_hz_loan_lap*G1612,0)*CC1612)</f>
        <v/>
      </c>
      <c r="CC1613" s="11">
        <f>MIN(in_approval_cap,in_loan_lap_approval*INDEX('Age profile'!$O$2:$O$61,B1613)*(1+in_approval_growth)^(D1613-1))</f>
        <v/>
      </c>
      <c r="CD1613" s="14">
        <f>F1613*CB1613*IF(B1613&gt;=in_marketplace_from,d_hz_loan_lap*G1613,0)*CC1613*in_loan_lap_ticket*in_loan_lap_comm</f>
        <v/>
      </c>
      <c r="CE1613" s="14">
        <f>AA1613+AB1613+AC1613+AD1613+AG1613+AJ1613+AM1613+AP1613+AS1613+AU1613+AX1613+BB1613+BE1613+BG1613+BJ1613+BL1613+BO1613+BR1613+BT1613+BV1613+BX1613+CA1613+CD1613</f>
        <v/>
      </c>
    </row>
    <row r="1614">
      <c r="A1614" s="39" t="n">
        <v>40</v>
      </c>
      <c r="B1614" s="39" t="n">
        <v>14</v>
      </c>
      <c r="C1614" s="39">
        <f>A1614+B1614-1</f>
        <v/>
      </c>
      <c r="D1614" s="39">
        <f>INT((C1614-1)/12)+1</f>
        <v/>
      </c>
      <c r="E1614" s="44">
        <f>INDEX(Monthly!$B$2:$B$61,A1614)</f>
        <v/>
      </c>
      <c r="F1614" s="44">
        <f>E1614*INDEX('Age profile'!$B$2:$B$61,B1614)</f>
        <v/>
      </c>
      <c r="G1614" s="45">
        <f>MIN(in_takeup_cap,INDEX('Age profile'!$N$2:$N$61,B1614)*(1+in_takeup_growth)^(D1614-1))</f>
        <v/>
      </c>
      <c r="H1614" s="11">
        <f>MIN(in_approval_cap,in_approved_first*INDEX('Age profile'!$O$2:$O$61,B1614)*(1+in_approval_growth)^(D1614-1))</f>
        <v/>
      </c>
      <c r="I1614" s="45">
        <f>G1614*MIN(in_takeup_cap,INDEX('Age profile'!$O$2:$O$61,B1614)*(1+in_approval_growth)^(D1614-1))</f>
        <v/>
      </c>
      <c r="J1614" s="40">
        <f>(J1613-L1613)*F1614/F1613</f>
        <v/>
      </c>
      <c r="K1614" s="40">
        <f>(K1613-M1613)*F1614/F1613+SUMIFS(O1601:O1613,B1601:B1613,B1614-1-d_T)*F1614</f>
        <v/>
      </c>
      <c r="L1614" s="40">
        <f>IF(B1614&gt;=in_marketplace_from,J1614*d_hz*G1614*in_eligible*H1614,0)</f>
        <v/>
      </c>
      <c r="M1614" s="40">
        <f>IF(B1614&gt;=in_marketplace_from,K1614*d_hz*G1614*in_eligible*in_approved_repeat,0)</f>
        <v/>
      </c>
      <c r="N1614" s="40">
        <f>L1614+M1614</f>
        <v/>
      </c>
      <c r="O1614" s="46">
        <f>N1614/F1614</f>
        <v/>
      </c>
      <c r="P1614" s="40">
        <f>F1614-J1614-K1614</f>
        <v/>
      </c>
      <c r="Q1614" s="40">
        <f>IF(B1614&gt;=in_marketplace_from,(J1614+K1614)*d_hz*G1614,0)</f>
        <v/>
      </c>
      <c r="R1614" s="40">
        <f>SUMIFS(N1601:N1621,B1601:B1621,"&gt;="&amp;(B1614-d_T),B1601:B1621,"&lt;="&amp;(B1614-1))</f>
        <v/>
      </c>
      <c r="S1614" s="46">
        <f>(1-d_u)*S1613+IF(d_T&gt;in_topup_lag,SUMIFS(O1601:O1621,B1601:B1621,B1614-in_topup_lag)-d_udrop*SUMIFS(O1601:O1621,B1601:B1621,B1614-d_T),0)</f>
        <v/>
      </c>
      <c r="T1614" s="40">
        <f>F1614*d_u*S1614</f>
        <v/>
      </c>
      <c r="U1614" s="9">
        <f>L1614*in_ticket+M1614*d_rep_ticket</f>
        <v/>
      </c>
      <c r="V1614" s="9">
        <f>U1614+T1614*d_topup_amt</f>
        <v/>
      </c>
      <c r="W1614" s="40">
        <f>N1614+T1614*d_topup_ratio</f>
        <v/>
      </c>
      <c r="X1614" s="40">
        <f>SUMIFS(W1601:W1621,B1601:B1621,B1614-in_dpd_lag)*d_cured</f>
        <v/>
      </c>
      <c r="Y1614" s="40">
        <f>SUMIFS(W1601:W1621,B1601:B1621,B1614-in_rec_lag)*d_recd</f>
        <v/>
      </c>
      <c r="Z1614" s="40">
        <f>IF(AND(B1614&gt;=in_marketplace_from,B1614&lt;in_marketplace_from+in_card_months),in_card_share/in_card_months*F1614*I1614,IF(AND(B1614&gt;=in_marketplace_from+in_card_months,B1614&lt;in_marketplace_from+2*in_card_months),in_card_share*d_card_rem/in_card_months*F1614*MIN(in_takeup_cap,(1+in_takeup_growth)^(D1614-1))*MIN(in_takeup_cap,(1+in_approval_growth)^(D1614-1)),0))</f>
        <v/>
      </c>
      <c r="AA1614" s="14">
        <f>V1614*in_fee*(1-in_taken_back)</f>
        <v/>
      </c>
      <c r="AB1614" s="14">
        <f>SUMIFS(W1601:W1621,B1601:B1621,B1614-in_dpd_lag)*d_dpd</f>
        <v/>
      </c>
      <c r="AC1614" s="14">
        <f>SUMIFS(W1601:W1621,B1601:B1621,B1614-in_rec_lag)*d_rec</f>
        <v/>
      </c>
      <c r="AD1614" s="14">
        <f>Z1614*in_card_fee</f>
        <v/>
      </c>
      <c r="AE1614" s="40">
        <f>AE1613*(1-IF(B1613&gt;=in_marketplace_from,d_hz_hlth_small*G1613,0))</f>
        <v/>
      </c>
      <c r="AF1614" s="46">
        <f>AE1614*IF(B1614&gt;=in_marketplace_from,d_hz_hlth_small*G1614,0)</f>
        <v/>
      </c>
      <c r="AG1614" s="14">
        <f>F1614*AF1614*in_hlth_small_ticket*in_hlth_small_comm*in_ins_partner_share+F1614*in_hlth_small_ticket*in_hlth_small_renew_comm*in_ins_partner_share*(in_hlth_small_renew^1*SUMIFS(AF1601:AF1621,B1601:B1621,B1614-12)+in_hlth_small_renew^2*SUMIFS(AF1601:AF1621,B1601:B1621,B1614-24)+in_hlth_small_renew^3*SUMIFS(AF1601:AF1621,B1601:B1621,B1614-36)+in_hlth_small_renew^4*SUMIFS(AF1601:AF1621,B1601:B1621,B1614-48))</f>
        <v/>
      </c>
      <c r="AH1614" s="40">
        <f>AH1613*(1-IF(B1613&gt;=in_marketplace_from,d_hz_hlth_family*G1613,0))</f>
        <v/>
      </c>
      <c r="AI1614" s="46">
        <f>AH1614*IF(B1614&gt;=in_marketplace_from,d_hz_hlth_family*G1614,0)</f>
        <v/>
      </c>
      <c r="AJ1614" s="14">
        <f>F1614*AI1614*in_hlth_family_ticket*in_hlth_family_comm*in_ins_partner_share+F1614*in_hlth_family_ticket*in_hlth_family_renew_comm*in_ins_partner_share*(in_hlth_family_renew^1*SUMIFS(AI1601:AI1621,B1601:B1621,B1614-12)+in_hlth_family_renew^2*SUMIFS(AI1601:AI1621,B1601:B1621,B1614-24)+in_hlth_family_renew^3*SUMIFS(AI1601:AI1621,B1601:B1621,B1614-36)+in_hlth_family_renew^4*SUMIFS(AI1601:AI1621,B1601:B1621,B1614-48))</f>
        <v/>
      </c>
      <c r="AK1614" s="40">
        <f>AK1613*(1-IF(B1613&gt;=in_marketplace_from,d_hz_life_term*G1613,0))</f>
        <v/>
      </c>
      <c r="AL1614" s="46">
        <f>AK1614*IF(B1614&gt;=in_marketplace_from,d_hz_life_term*G1614,0)</f>
        <v/>
      </c>
      <c r="AM1614" s="14">
        <f>F1614*AL1614*in_life_term_ticket*in_life_term_comm*in_ins_partner_share+F1614*in_life_term_ticket*in_life_term_renew_comm*in_ins_partner_share*(in_life_term_renew^1*SUMIFS(AL1601:AL1621,B1601:B1621,B1614-12)+in_life_term_renew^2*SUMIFS(AL1601:AL1621,B1601:B1621,B1614-24)+in_life_term_renew^3*SUMIFS(AL1601:AL1621,B1601:B1621,B1614-36)+in_life_term_renew^4*SUMIFS(AL1601:AL1621,B1601:B1621,B1614-48))</f>
        <v/>
      </c>
      <c r="AN1614" s="40">
        <f>AN1613*(1-IF(B1613&gt;=in_marketplace_from,d_hz_accident*G1613,0))</f>
        <v/>
      </c>
      <c r="AO1614" s="46">
        <f>AN1614*IF(B1614&gt;=in_marketplace_from,d_hz_accident*G1614,0)</f>
        <v/>
      </c>
      <c r="AP1614" s="14">
        <f>F1614*AO1614*in_accident_ticket*in_accident_comm*in_ins_partner_share+F1614*in_accident_ticket*in_accident_renew_comm*in_ins_partner_share*(in_accident_renew^1*SUMIFS(AO1601:AO1621,B1601:B1621,B1614-12)+in_accident_renew^2*SUMIFS(AO1601:AO1621,B1601:B1621,B1614-24)+in_accident_renew^3*SUMIFS(AO1601:AO1621,B1601:B1621,B1614-36)+in_accident_renew^4*SUMIFS(AO1601:AO1621,B1601:B1621,B1614-48))</f>
        <v/>
      </c>
      <c r="AQ1614" s="40">
        <f>AQ1613*(1-IF(B1613&gt;=in_marketplace_from,d_hz_two_wheeler*G1613,0))</f>
        <v/>
      </c>
      <c r="AR1614" s="46">
        <f>AQ1614*IF(B1614&gt;=in_marketplace_from,d_hz_two_wheeler*G1614,0)</f>
        <v/>
      </c>
      <c r="AS1614" s="14">
        <f>F1614*AR1614*in_two_wheeler_ticket*in_two_wheeler_comm*in_ins_partner_share+F1614*in_two_wheeler_ticket*in_two_wheeler_comm*in_ins_partner_share*(in_two_wheeler_renew^1*SUMIFS(AR1601:AR1621,B1601:B1621,B1614-12)+in_two_wheeler_renew^2*SUMIFS(AR1601:AR1621,B1601:B1621,B1614-24)+in_two_wheeler_renew^3*SUMIFS(AR1601:AR1621,B1601:B1621,B1614-36)+in_two_wheeler_renew^4*SUMIFS(AR1601:AR1621,B1601:B1621,B1614-48))</f>
        <v/>
      </c>
      <c r="AT1614" s="40">
        <f>AT1613*(1-IF(B1613&gt;=in_marketplace_from,d_hz_device*G1613,0))</f>
        <v/>
      </c>
      <c r="AU1614" s="14">
        <f>F1614*AT1614*IF(B1614&gt;=in_marketplace_from,d_hz_device*G1614,0)*in_device_ticket*in_device_comm*in_ins_partner_share</f>
        <v/>
      </c>
      <c r="AV1614" s="40">
        <f>AV1613*(1-IF(B1613&gt;=in_marketplace_from,d_hz_shop*G1613,0))</f>
        <v/>
      </c>
      <c r="AW1614" s="46">
        <f>AV1614*IF(B1614&gt;=in_marketplace_from,d_hz_shop*G1614,0)</f>
        <v/>
      </c>
      <c r="AX1614" s="14">
        <f>F1614*AW1614*in_shop_ticket*in_shop_comm*in_ins_partner_share+F1614*in_shop_ticket*in_shop_renew_comm*in_ins_partner_share*(in_shop_renew^1*SUMIFS(AW1601:AW1621,B1601:B1621,B1614-12)+in_shop_renew^2*SUMIFS(AW1601:AW1621,B1601:B1621,B1614-24)+in_shop_renew^3*SUMIFS(AW1601:AW1621,B1601:B1621,B1614-36)+in_shop_renew^4*SUMIFS(AW1601:AW1621,B1601:B1621,B1614-48))</f>
        <v/>
      </c>
      <c r="AY1614" s="40">
        <f>AY1613*(1-IF(B1613&gt;=in_marketplace_from,d_hz_sip*G1613,0))</f>
        <v/>
      </c>
      <c r="AZ1614" s="40">
        <f>AZ1613*d_rho_sip+AY1614*IF(B1614&gt;=in_marketplace_from,d_hz_sip*G1614,0)</f>
        <v/>
      </c>
      <c r="BA1614" s="40">
        <f>d_rho_sip*(BA1613+AZ1613)</f>
        <v/>
      </c>
      <c r="BB1614" s="14">
        <f>F1614*in_sip_ticket*(BA1614+0.5*AZ1614)*in_sip_comm/12</f>
        <v/>
      </c>
      <c r="BC1614" s="40">
        <f>BC1613*(1-IF(B1613&gt;=in_marketplace_from,d_hz_choti*G1613,0))</f>
        <v/>
      </c>
      <c r="BD1614" s="46">
        <f>BC1614*IF(B1614&gt;=in_marketplace_from,d_hz_choti*G1614,0)</f>
        <v/>
      </c>
      <c r="BE1614" s="14">
        <f>F1614*SUMIFS(BD1601:BD1621,B1601:B1621,B1614-in_choti_months)*in_choti_renew*in_choti_ticket</f>
        <v/>
      </c>
      <c r="BF1614" s="40">
        <f>BF1613*(1-IF(B1613&gt;=in_marketplace_from,d_hz_nps*G1613,0))</f>
        <v/>
      </c>
      <c r="BG1614" s="14">
        <f>F1614*BF1614*IF(B1614&gt;=in_marketplace_from,d_hz_nps*G1614,0)*in_nps_ticket*in_nps_comm</f>
        <v/>
      </c>
      <c r="BH1614" s="40">
        <f>BH1613*(1-IF(B1613&gt;=in_marketplace_from,d_hz_gold*G1613,0))</f>
        <v/>
      </c>
      <c r="BI1614" s="40">
        <f>BI1613*d_rho_gold+BH1614*IF(B1614&gt;=in_marketplace_from,d_hz_gold*G1614,0)</f>
        <v/>
      </c>
      <c r="BJ1614" s="14">
        <f>F1614*BI1614*in_gold_ticket*in_gold_comm</f>
        <v/>
      </c>
      <c r="BK1614" s="40">
        <f>BK1613*(1-IF(B1613&gt;=in_marketplace_from,d_hz_fd*G1613,0))</f>
        <v/>
      </c>
      <c r="BL1614" s="14">
        <f>F1614*BK1614*IF(B1614&gt;=in_marketplace_from,d_hz_fd*G1614,0)*in_fd_ticket*in_fd_comm</f>
        <v/>
      </c>
      <c r="BM1614" s="40">
        <f>BM1613*(1-IF(B1613&gt;=in_marketplace_from,d_hz_recharge*G1613,0))</f>
        <v/>
      </c>
      <c r="BN1614" s="40">
        <f>BN1613*d_rho_recharge+BM1614*IF(B1614&gt;=in_marketplace_from,d_hz_recharge*G1614,0)</f>
        <v/>
      </c>
      <c r="BO1614" s="14">
        <f>F1614*BN1614*in_recharge_ticket*in_recharge_comm/12</f>
        <v/>
      </c>
      <c r="BP1614" s="40">
        <f>BP1613*(1-IF(B1613&gt;=in_marketplace_from,d_hz_bills*G1613,0))</f>
        <v/>
      </c>
      <c r="BQ1614" s="40">
        <f>BQ1613*d_rho_bills+BP1614*IF(B1614&gt;=in_marketplace_from,d_hz_bills*G1614,0)</f>
        <v/>
      </c>
      <c r="BR1614" s="14">
        <f>F1614*BQ1614*in_bills_ticket*in_bills_comm/12</f>
        <v/>
      </c>
      <c r="BS1614" s="40">
        <f>BS1613*(1-IF(B1613&gt;=in_marketplace_from,d_hz_loan_gold*G1613,0))</f>
        <v/>
      </c>
      <c r="BT1614" s="14">
        <f>F1614*BS1614*IF(B1614&gt;=in_marketplace_from,d_hz_loan_gold*G1614,0)*in_loan_gold_ticket*in_loan_gold_comm</f>
        <v/>
      </c>
      <c r="BU1614" s="40">
        <f>BU1613*(1-IF(B1613&gt;=in_marketplace_from,d_hz_loan_cd*G1613,0))</f>
        <v/>
      </c>
      <c r="BV1614" s="14">
        <f>F1614*BU1614*IF(B1614&gt;=in_marketplace_from,d_hz_loan_cd*G1614,0)*in_loan_cd_ticket*in_loan_cd_comm</f>
        <v/>
      </c>
      <c r="BW1614" s="40">
        <f>BW1613*(1-IF(B1613&gt;=in_marketplace_from,d_hz_loan_vehicle*G1613,0))</f>
        <v/>
      </c>
      <c r="BX1614" s="14">
        <f>F1614*BW1614*IF(B1614&gt;=in_marketplace_from,d_hz_loan_vehicle*G1614,0)*in_loan_vehicle_ticket*in_loan_vehicle_comm</f>
        <v/>
      </c>
      <c r="BY1614" s="40">
        <f>BY1613*(1-IF(B1613&gt;=in_marketplace_from,d_hz_loan_home*G1613,0)*BZ1613)</f>
        <v/>
      </c>
      <c r="BZ1614" s="11">
        <f>MIN(in_approval_cap,in_loan_home_approval*INDEX('Age profile'!$O$2:$O$61,B1614)*(1+in_approval_growth)^(D1614-1))</f>
        <v/>
      </c>
      <c r="CA1614" s="14">
        <f>F1614*BY1614*IF(B1614&gt;=in_marketplace_from,d_hz_loan_home*G1614,0)*BZ1614*in_loan_home_ticket*in_loan_home_comm</f>
        <v/>
      </c>
      <c r="CB1614" s="40">
        <f>CB1613*(1-IF(B1613&gt;=in_marketplace_from,d_hz_loan_lap*G1613,0)*CC1613)</f>
        <v/>
      </c>
      <c r="CC1614" s="11">
        <f>MIN(in_approval_cap,in_loan_lap_approval*INDEX('Age profile'!$O$2:$O$61,B1614)*(1+in_approval_growth)^(D1614-1))</f>
        <v/>
      </c>
      <c r="CD1614" s="14">
        <f>F1614*CB1614*IF(B1614&gt;=in_marketplace_from,d_hz_loan_lap*G1614,0)*CC1614*in_loan_lap_ticket*in_loan_lap_comm</f>
        <v/>
      </c>
      <c r="CE1614" s="14">
        <f>AA1614+AB1614+AC1614+AD1614+AG1614+AJ1614+AM1614+AP1614+AS1614+AU1614+AX1614+BB1614+BE1614+BG1614+BJ1614+BL1614+BO1614+BR1614+BT1614+BV1614+BX1614+CA1614+CD1614</f>
        <v/>
      </c>
    </row>
    <row r="1615">
      <c r="A1615" s="39" t="n">
        <v>40</v>
      </c>
      <c r="B1615" s="39" t="n">
        <v>15</v>
      </c>
      <c r="C1615" s="39">
        <f>A1615+B1615-1</f>
        <v/>
      </c>
      <c r="D1615" s="39">
        <f>INT((C1615-1)/12)+1</f>
        <v/>
      </c>
      <c r="E1615" s="44">
        <f>INDEX(Monthly!$B$2:$B$61,A1615)</f>
        <v/>
      </c>
      <c r="F1615" s="44">
        <f>E1615*INDEX('Age profile'!$B$2:$B$61,B1615)</f>
        <v/>
      </c>
      <c r="G1615" s="45">
        <f>MIN(in_takeup_cap,INDEX('Age profile'!$N$2:$N$61,B1615)*(1+in_takeup_growth)^(D1615-1))</f>
        <v/>
      </c>
      <c r="H1615" s="11">
        <f>MIN(in_approval_cap,in_approved_first*INDEX('Age profile'!$O$2:$O$61,B1615)*(1+in_approval_growth)^(D1615-1))</f>
        <v/>
      </c>
      <c r="I1615" s="45">
        <f>G1615*MIN(in_takeup_cap,INDEX('Age profile'!$O$2:$O$61,B1615)*(1+in_approval_growth)^(D1615-1))</f>
        <v/>
      </c>
      <c r="J1615" s="40">
        <f>(J1614-L1614)*F1615/F1614</f>
        <v/>
      </c>
      <c r="K1615" s="40">
        <f>(K1614-M1614)*F1615/F1614+SUMIFS(O1601:O1614,B1601:B1614,B1615-1-d_T)*F1615</f>
        <v/>
      </c>
      <c r="L1615" s="40">
        <f>IF(B1615&gt;=in_marketplace_from,J1615*d_hz*G1615*in_eligible*H1615,0)</f>
        <v/>
      </c>
      <c r="M1615" s="40">
        <f>IF(B1615&gt;=in_marketplace_from,K1615*d_hz*G1615*in_eligible*in_approved_repeat,0)</f>
        <v/>
      </c>
      <c r="N1615" s="40">
        <f>L1615+M1615</f>
        <v/>
      </c>
      <c r="O1615" s="46">
        <f>N1615/F1615</f>
        <v/>
      </c>
      <c r="P1615" s="40">
        <f>F1615-J1615-K1615</f>
        <v/>
      </c>
      <c r="Q1615" s="40">
        <f>IF(B1615&gt;=in_marketplace_from,(J1615+K1615)*d_hz*G1615,0)</f>
        <v/>
      </c>
      <c r="R1615" s="40">
        <f>SUMIFS(N1601:N1621,B1601:B1621,"&gt;="&amp;(B1615-d_T),B1601:B1621,"&lt;="&amp;(B1615-1))</f>
        <v/>
      </c>
      <c r="S1615" s="46">
        <f>(1-d_u)*S1614+IF(d_T&gt;in_topup_lag,SUMIFS(O1601:O1621,B1601:B1621,B1615-in_topup_lag)-d_udrop*SUMIFS(O1601:O1621,B1601:B1621,B1615-d_T),0)</f>
        <v/>
      </c>
      <c r="T1615" s="40">
        <f>F1615*d_u*S1615</f>
        <v/>
      </c>
      <c r="U1615" s="9">
        <f>L1615*in_ticket+M1615*d_rep_ticket</f>
        <v/>
      </c>
      <c r="V1615" s="9">
        <f>U1615+T1615*d_topup_amt</f>
        <v/>
      </c>
      <c r="W1615" s="40">
        <f>N1615+T1615*d_topup_ratio</f>
        <v/>
      </c>
      <c r="X1615" s="40">
        <f>SUMIFS(W1601:W1621,B1601:B1621,B1615-in_dpd_lag)*d_cured</f>
        <v/>
      </c>
      <c r="Y1615" s="40">
        <f>SUMIFS(W1601:W1621,B1601:B1621,B1615-in_rec_lag)*d_recd</f>
        <v/>
      </c>
      <c r="Z1615" s="40">
        <f>IF(AND(B1615&gt;=in_marketplace_from,B1615&lt;in_marketplace_from+in_card_months),in_card_share/in_card_months*F1615*I1615,IF(AND(B1615&gt;=in_marketplace_from+in_card_months,B1615&lt;in_marketplace_from+2*in_card_months),in_card_share*d_card_rem/in_card_months*F1615*MIN(in_takeup_cap,(1+in_takeup_growth)^(D1615-1))*MIN(in_takeup_cap,(1+in_approval_growth)^(D1615-1)),0))</f>
        <v/>
      </c>
      <c r="AA1615" s="14">
        <f>V1615*in_fee*(1-in_taken_back)</f>
        <v/>
      </c>
      <c r="AB1615" s="14">
        <f>SUMIFS(W1601:W1621,B1601:B1621,B1615-in_dpd_lag)*d_dpd</f>
        <v/>
      </c>
      <c r="AC1615" s="14">
        <f>SUMIFS(W1601:W1621,B1601:B1621,B1615-in_rec_lag)*d_rec</f>
        <v/>
      </c>
      <c r="AD1615" s="14">
        <f>Z1615*in_card_fee</f>
        <v/>
      </c>
      <c r="AE1615" s="40">
        <f>AE1614*(1-IF(B1614&gt;=in_marketplace_from,d_hz_hlth_small*G1614,0))</f>
        <v/>
      </c>
      <c r="AF1615" s="46">
        <f>AE1615*IF(B1615&gt;=in_marketplace_from,d_hz_hlth_small*G1615,0)</f>
        <v/>
      </c>
      <c r="AG1615" s="14">
        <f>F1615*AF1615*in_hlth_small_ticket*in_hlth_small_comm*in_ins_partner_share+F1615*in_hlth_small_ticket*in_hlth_small_renew_comm*in_ins_partner_share*(in_hlth_small_renew^1*SUMIFS(AF1601:AF1621,B1601:B1621,B1615-12)+in_hlth_small_renew^2*SUMIFS(AF1601:AF1621,B1601:B1621,B1615-24)+in_hlth_small_renew^3*SUMIFS(AF1601:AF1621,B1601:B1621,B1615-36)+in_hlth_small_renew^4*SUMIFS(AF1601:AF1621,B1601:B1621,B1615-48))</f>
        <v/>
      </c>
      <c r="AH1615" s="40">
        <f>AH1614*(1-IF(B1614&gt;=in_marketplace_from,d_hz_hlth_family*G1614,0))</f>
        <v/>
      </c>
      <c r="AI1615" s="46">
        <f>AH1615*IF(B1615&gt;=in_marketplace_from,d_hz_hlth_family*G1615,0)</f>
        <v/>
      </c>
      <c r="AJ1615" s="14">
        <f>F1615*AI1615*in_hlth_family_ticket*in_hlth_family_comm*in_ins_partner_share+F1615*in_hlth_family_ticket*in_hlth_family_renew_comm*in_ins_partner_share*(in_hlth_family_renew^1*SUMIFS(AI1601:AI1621,B1601:B1621,B1615-12)+in_hlth_family_renew^2*SUMIFS(AI1601:AI1621,B1601:B1621,B1615-24)+in_hlth_family_renew^3*SUMIFS(AI1601:AI1621,B1601:B1621,B1615-36)+in_hlth_family_renew^4*SUMIFS(AI1601:AI1621,B1601:B1621,B1615-48))</f>
        <v/>
      </c>
      <c r="AK1615" s="40">
        <f>AK1614*(1-IF(B1614&gt;=in_marketplace_from,d_hz_life_term*G1614,0))</f>
        <v/>
      </c>
      <c r="AL1615" s="46">
        <f>AK1615*IF(B1615&gt;=in_marketplace_from,d_hz_life_term*G1615,0)</f>
        <v/>
      </c>
      <c r="AM1615" s="14">
        <f>F1615*AL1615*in_life_term_ticket*in_life_term_comm*in_ins_partner_share+F1615*in_life_term_ticket*in_life_term_renew_comm*in_ins_partner_share*(in_life_term_renew^1*SUMIFS(AL1601:AL1621,B1601:B1621,B1615-12)+in_life_term_renew^2*SUMIFS(AL1601:AL1621,B1601:B1621,B1615-24)+in_life_term_renew^3*SUMIFS(AL1601:AL1621,B1601:B1621,B1615-36)+in_life_term_renew^4*SUMIFS(AL1601:AL1621,B1601:B1621,B1615-48))</f>
        <v/>
      </c>
      <c r="AN1615" s="40">
        <f>AN1614*(1-IF(B1614&gt;=in_marketplace_from,d_hz_accident*G1614,0))</f>
        <v/>
      </c>
      <c r="AO1615" s="46">
        <f>AN1615*IF(B1615&gt;=in_marketplace_from,d_hz_accident*G1615,0)</f>
        <v/>
      </c>
      <c r="AP1615" s="14">
        <f>F1615*AO1615*in_accident_ticket*in_accident_comm*in_ins_partner_share+F1615*in_accident_ticket*in_accident_renew_comm*in_ins_partner_share*(in_accident_renew^1*SUMIFS(AO1601:AO1621,B1601:B1621,B1615-12)+in_accident_renew^2*SUMIFS(AO1601:AO1621,B1601:B1621,B1615-24)+in_accident_renew^3*SUMIFS(AO1601:AO1621,B1601:B1621,B1615-36)+in_accident_renew^4*SUMIFS(AO1601:AO1621,B1601:B1621,B1615-48))</f>
        <v/>
      </c>
      <c r="AQ1615" s="40">
        <f>AQ1614*(1-IF(B1614&gt;=in_marketplace_from,d_hz_two_wheeler*G1614,0))</f>
        <v/>
      </c>
      <c r="AR1615" s="46">
        <f>AQ1615*IF(B1615&gt;=in_marketplace_from,d_hz_two_wheeler*G1615,0)</f>
        <v/>
      </c>
      <c r="AS1615" s="14">
        <f>F1615*AR1615*in_two_wheeler_ticket*in_two_wheeler_comm*in_ins_partner_share+F1615*in_two_wheeler_ticket*in_two_wheeler_comm*in_ins_partner_share*(in_two_wheeler_renew^1*SUMIFS(AR1601:AR1621,B1601:B1621,B1615-12)+in_two_wheeler_renew^2*SUMIFS(AR1601:AR1621,B1601:B1621,B1615-24)+in_two_wheeler_renew^3*SUMIFS(AR1601:AR1621,B1601:B1621,B1615-36)+in_two_wheeler_renew^4*SUMIFS(AR1601:AR1621,B1601:B1621,B1615-48))</f>
        <v/>
      </c>
      <c r="AT1615" s="40">
        <f>AT1614*(1-IF(B1614&gt;=in_marketplace_from,d_hz_device*G1614,0))</f>
        <v/>
      </c>
      <c r="AU1615" s="14">
        <f>F1615*AT1615*IF(B1615&gt;=in_marketplace_from,d_hz_device*G1615,0)*in_device_ticket*in_device_comm*in_ins_partner_share</f>
        <v/>
      </c>
      <c r="AV1615" s="40">
        <f>AV1614*(1-IF(B1614&gt;=in_marketplace_from,d_hz_shop*G1614,0))</f>
        <v/>
      </c>
      <c r="AW1615" s="46">
        <f>AV1615*IF(B1615&gt;=in_marketplace_from,d_hz_shop*G1615,0)</f>
        <v/>
      </c>
      <c r="AX1615" s="14">
        <f>F1615*AW1615*in_shop_ticket*in_shop_comm*in_ins_partner_share+F1615*in_shop_ticket*in_shop_renew_comm*in_ins_partner_share*(in_shop_renew^1*SUMIFS(AW1601:AW1621,B1601:B1621,B1615-12)+in_shop_renew^2*SUMIFS(AW1601:AW1621,B1601:B1621,B1615-24)+in_shop_renew^3*SUMIFS(AW1601:AW1621,B1601:B1621,B1615-36)+in_shop_renew^4*SUMIFS(AW1601:AW1621,B1601:B1621,B1615-48))</f>
        <v/>
      </c>
      <c r="AY1615" s="40">
        <f>AY1614*(1-IF(B1614&gt;=in_marketplace_from,d_hz_sip*G1614,0))</f>
        <v/>
      </c>
      <c r="AZ1615" s="40">
        <f>AZ1614*d_rho_sip+AY1615*IF(B1615&gt;=in_marketplace_from,d_hz_sip*G1615,0)</f>
        <v/>
      </c>
      <c r="BA1615" s="40">
        <f>d_rho_sip*(BA1614+AZ1614)</f>
        <v/>
      </c>
      <c r="BB1615" s="14">
        <f>F1615*in_sip_ticket*(BA1615+0.5*AZ1615)*in_sip_comm/12</f>
        <v/>
      </c>
      <c r="BC1615" s="40">
        <f>BC1614*(1-IF(B1614&gt;=in_marketplace_from,d_hz_choti*G1614,0))</f>
        <v/>
      </c>
      <c r="BD1615" s="46">
        <f>BC1615*IF(B1615&gt;=in_marketplace_from,d_hz_choti*G1615,0)</f>
        <v/>
      </c>
      <c r="BE1615" s="14">
        <f>F1615*SUMIFS(BD1601:BD1621,B1601:B1621,B1615-in_choti_months)*in_choti_renew*in_choti_ticket</f>
        <v/>
      </c>
      <c r="BF1615" s="40">
        <f>BF1614*(1-IF(B1614&gt;=in_marketplace_from,d_hz_nps*G1614,0))</f>
        <v/>
      </c>
      <c r="BG1615" s="14">
        <f>F1615*BF1615*IF(B1615&gt;=in_marketplace_from,d_hz_nps*G1615,0)*in_nps_ticket*in_nps_comm</f>
        <v/>
      </c>
      <c r="BH1615" s="40">
        <f>BH1614*(1-IF(B1614&gt;=in_marketplace_from,d_hz_gold*G1614,0))</f>
        <v/>
      </c>
      <c r="BI1615" s="40">
        <f>BI1614*d_rho_gold+BH1615*IF(B1615&gt;=in_marketplace_from,d_hz_gold*G1615,0)</f>
        <v/>
      </c>
      <c r="BJ1615" s="14">
        <f>F1615*BI1615*in_gold_ticket*in_gold_comm</f>
        <v/>
      </c>
      <c r="BK1615" s="40">
        <f>BK1614*(1-IF(B1614&gt;=in_marketplace_from,d_hz_fd*G1614,0))</f>
        <v/>
      </c>
      <c r="BL1615" s="14">
        <f>F1615*BK1615*IF(B1615&gt;=in_marketplace_from,d_hz_fd*G1615,0)*in_fd_ticket*in_fd_comm</f>
        <v/>
      </c>
      <c r="BM1615" s="40">
        <f>BM1614*(1-IF(B1614&gt;=in_marketplace_from,d_hz_recharge*G1614,0))</f>
        <v/>
      </c>
      <c r="BN1615" s="40">
        <f>BN1614*d_rho_recharge+BM1615*IF(B1615&gt;=in_marketplace_from,d_hz_recharge*G1615,0)</f>
        <v/>
      </c>
      <c r="BO1615" s="14">
        <f>F1615*BN1615*in_recharge_ticket*in_recharge_comm/12</f>
        <v/>
      </c>
      <c r="BP1615" s="40">
        <f>BP1614*(1-IF(B1614&gt;=in_marketplace_from,d_hz_bills*G1614,0))</f>
        <v/>
      </c>
      <c r="BQ1615" s="40">
        <f>BQ1614*d_rho_bills+BP1615*IF(B1615&gt;=in_marketplace_from,d_hz_bills*G1615,0)</f>
        <v/>
      </c>
      <c r="BR1615" s="14">
        <f>F1615*BQ1615*in_bills_ticket*in_bills_comm/12</f>
        <v/>
      </c>
      <c r="BS1615" s="40">
        <f>BS1614*(1-IF(B1614&gt;=in_marketplace_from,d_hz_loan_gold*G1614,0))</f>
        <v/>
      </c>
      <c r="BT1615" s="14">
        <f>F1615*BS1615*IF(B1615&gt;=in_marketplace_from,d_hz_loan_gold*G1615,0)*in_loan_gold_ticket*in_loan_gold_comm</f>
        <v/>
      </c>
      <c r="BU1615" s="40">
        <f>BU1614*(1-IF(B1614&gt;=in_marketplace_from,d_hz_loan_cd*G1614,0))</f>
        <v/>
      </c>
      <c r="BV1615" s="14">
        <f>F1615*BU1615*IF(B1615&gt;=in_marketplace_from,d_hz_loan_cd*G1615,0)*in_loan_cd_ticket*in_loan_cd_comm</f>
        <v/>
      </c>
      <c r="BW1615" s="40">
        <f>BW1614*(1-IF(B1614&gt;=in_marketplace_from,d_hz_loan_vehicle*G1614,0))</f>
        <v/>
      </c>
      <c r="BX1615" s="14">
        <f>F1615*BW1615*IF(B1615&gt;=in_marketplace_from,d_hz_loan_vehicle*G1615,0)*in_loan_vehicle_ticket*in_loan_vehicle_comm</f>
        <v/>
      </c>
      <c r="BY1615" s="40">
        <f>BY1614*(1-IF(B1614&gt;=in_marketplace_from,d_hz_loan_home*G1614,0)*BZ1614)</f>
        <v/>
      </c>
      <c r="BZ1615" s="11">
        <f>MIN(in_approval_cap,in_loan_home_approval*INDEX('Age profile'!$O$2:$O$61,B1615)*(1+in_approval_growth)^(D1615-1))</f>
        <v/>
      </c>
      <c r="CA1615" s="14">
        <f>F1615*BY1615*IF(B1615&gt;=in_marketplace_from,d_hz_loan_home*G1615,0)*BZ1615*in_loan_home_ticket*in_loan_home_comm</f>
        <v/>
      </c>
      <c r="CB1615" s="40">
        <f>CB1614*(1-IF(B1614&gt;=in_marketplace_from,d_hz_loan_lap*G1614,0)*CC1614)</f>
        <v/>
      </c>
      <c r="CC1615" s="11">
        <f>MIN(in_approval_cap,in_loan_lap_approval*INDEX('Age profile'!$O$2:$O$61,B1615)*(1+in_approval_growth)^(D1615-1))</f>
        <v/>
      </c>
      <c r="CD1615" s="14">
        <f>F1615*CB1615*IF(B1615&gt;=in_marketplace_from,d_hz_loan_lap*G1615,0)*CC1615*in_loan_lap_ticket*in_loan_lap_comm</f>
        <v/>
      </c>
      <c r="CE1615" s="14">
        <f>AA1615+AB1615+AC1615+AD1615+AG1615+AJ1615+AM1615+AP1615+AS1615+AU1615+AX1615+BB1615+BE1615+BG1615+BJ1615+BL1615+BO1615+BR1615+BT1615+BV1615+BX1615+CA1615+CD1615</f>
        <v/>
      </c>
    </row>
    <row r="1616">
      <c r="A1616" s="39" t="n">
        <v>40</v>
      </c>
      <c r="B1616" s="39" t="n">
        <v>16</v>
      </c>
      <c r="C1616" s="39">
        <f>A1616+B1616-1</f>
        <v/>
      </c>
      <c r="D1616" s="39">
        <f>INT((C1616-1)/12)+1</f>
        <v/>
      </c>
      <c r="E1616" s="44">
        <f>INDEX(Monthly!$B$2:$B$61,A1616)</f>
        <v/>
      </c>
      <c r="F1616" s="44">
        <f>E1616*INDEX('Age profile'!$B$2:$B$61,B1616)</f>
        <v/>
      </c>
      <c r="G1616" s="45">
        <f>MIN(in_takeup_cap,INDEX('Age profile'!$N$2:$N$61,B1616)*(1+in_takeup_growth)^(D1616-1))</f>
        <v/>
      </c>
      <c r="H1616" s="11">
        <f>MIN(in_approval_cap,in_approved_first*INDEX('Age profile'!$O$2:$O$61,B1616)*(1+in_approval_growth)^(D1616-1))</f>
        <v/>
      </c>
      <c r="I1616" s="45">
        <f>G1616*MIN(in_takeup_cap,INDEX('Age profile'!$O$2:$O$61,B1616)*(1+in_approval_growth)^(D1616-1))</f>
        <v/>
      </c>
      <c r="J1616" s="40">
        <f>(J1615-L1615)*F1616/F1615</f>
        <v/>
      </c>
      <c r="K1616" s="40">
        <f>(K1615-M1615)*F1616/F1615+SUMIFS(O1601:O1615,B1601:B1615,B1616-1-d_T)*F1616</f>
        <v/>
      </c>
      <c r="L1616" s="40">
        <f>IF(B1616&gt;=in_marketplace_from,J1616*d_hz*G1616*in_eligible*H1616,0)</f>
        <v/>
      </c>
      <c r="M1616" s="40">
        <f>IF(B1616&gt;=in_marketplace_from,K1616*d_hz*G1616*in_eligible*in_approved_repeat,0)</f>
        <v/>
      </c>
      <c r="N1616" s="40">
        <f>L1616+M1616</f>
        <v/>
      </c>
      <c r="O1616" s="46">
        <f>N1616/F1616</f>
        <v/>
      </c>
      <c r="P1616" s="40">
        <f>F1616-J1616-K1616</f>
        <v/>
      </c>
      <c r="Q1616" s="40">
        <f>IF(B1616&gt;=in_marketplace_from,(J1616+K1616)*d_hz*G1616,0)</f>
        <v/>
      </c>
      <c r="R1616" s="40">
        <f>SUMIFS(N1601:N1621,B1601:B1621,"&gt;="&amp;(B1616-d_T),B1601:B1621,"&lt;="&amp;(B1616-1))</f>
        <v/>
      </c>
      <c r="S1616" s="46">
        <f>(1-d_u)*S1615+IF(d_T&gt;in_topup_lag,SUMIFS(O1601:O1621,B1601:B1621,B1616-in_topup_lag)-d_udrop*SUMIFS(O1601:O1621,B1601:B1621,B1616-d_T),0)</f>
        <v/>
      </c>
      <c r="T1616" s="40">
        <f>F1616*d_u*S1616</f>
        <v/>
      </c>
      <c r="U1616" s="9">
        <f>L1616*in_ticket+M1616*d_rep_ticket</f>
        <v/>
      </c>
      <c r="V1616" s="9">
        <f>U1616+T1616*d_topup_amt</f>
        <v/>
      </c>
      <c r="W1616" s="40">
        <f>N1616+T1616*d_topup_ratio</f>
        <v/>
      </c>
      <c r="X1616" s="40">
        <f>SUMIFS(W1601:W1621,B1601:B1621,B1616-in_dpd_lag)*d_cured</f>
        <v/>
      </c>
      <c r="Y1616" s="40">
        <f>SUMIFS(W1601:W1621,B1601:B1621,B1616-in_rec_lag)*d_recd</f>
        <v/>
      </c>
      <c r="Z1616" s="40">
        <f>IF(AND(B1616&gt;=in_marketplace_from,B1616&lt;in_marketplace_from+in_card_months),in_card_share/in_card_months*F1616*I1616,IF(AND(B1616&gt;=in_marketplace_from+in_card_months,B1616&lt;in_marketplace_from+2*in_card_months),in_card_share*d_card_rem/in_card_months*F1616*MIN(in_takeup_cap,(1+in_takeup_growth)^(D1616-1))*MIN(in_takeup_cap,(1+in_approval_growth)^(D1616-1)),0))</f>
        <v/>
      </c>
      <c r="AA1616" s="14">
        <f>V1616*in_fee*(1-in_taken_back)</f>
        <v/>
      </c>
      <c r="AB1616" s="14">
        <f>SUMIFS(W1601:W1621,B1601:B1621,B1616-in_dpd_lag)*d_dpd</f>
        <v/>
      </c>
      <c r="AC1616" s="14">
        <f>SUMIFS(W1601:W1621,B1601:B1621,B1616-in_rec_lag)*d_rec</f>
        <v/>
      </c>
      <c r="AD1616" s="14">
        <f>Z1616*in_card_fee</f>
        <v/>
      </c>
      <c r="AE1616" s="40">
        <f>AE1615*(1-IF(B1615&gt;=in_marketplace_from,d_hz_hlth_small*G1615,0))</f>
        <v/>
      </c>
      <c r="AF1616" s="46">
        <f>AE1616*IF(B1616&gt;=in_marketplace_from,d_hz_hlth_small*G1616,0)</f>
        <v/>
      </c>
      <c r="AG1616" s="14">
        <f>F1616*AF1616*in_hlth_small_ticket*in_hlth_small_comm*in_ins_partner_share+F1616*in_hlth_small_ticket*in_hlth_small_renew_comm*in_ins_partner_share*(in_hlth_small_renew^1*SUMIFS(AF1601:AF1621,B1601:B1621,B1616-12)+in_hlth_small_renew^2*SUMIFS(AF1601:AF1621,B1601:B1621,B1616-24)+in_hlth_small_renew^3*SUMIFS(AF1601:AF1621,B1601:B1621,B1616-36)+in_hlth_small_renew^4*SUMIFS(AF1601:AF1621,B1601:B1621,B1616-48))</f>
        <v/>
      </c>
      <c r="AH1616" s="40">
        <f>AH1615*(1-IF(B1615&gt;=in_marketplace_from,d_hz_hlth_family*G1615,0))</f>
        <v/>
      </c>
      <c r="AI1616" s="46">
        <f>AH1616*IF(B1616&gt;=in_marketplace_from,d_hz_hlth_family*G1616,0)</f>
        <v/>
      </c>
      <c r="AJ1616" s="14">
        <f>F1616*AI1616*in_hlth_family_ticket*in_hlth_family_comm*in_ins_partner_share+F1616*in_hlth_family_ticket*in_hlth_family_renew_comm*in_ins_partner_share*(in_hlth_family_renew^1*SUMIFS(AI1601:AI1621,B1601:B1621,B1616-12)+in_hlth_family_renew^2*SUMIFS(AI1601:AI1621,B1601:B1621,B1616-24)+in_hlth_family_renew^3*SUMIFS(AI1601:AI1621,B1601:B1621,B1616-36)+in_hlth_family_renew^4*SUMIFS(AI1601:AI1621,B1601:B1621,B1616-48))</f>
        <v/>
      </c>
      <c r="AK1616" s="40">
        <f>AK1615*(1-IF(B1615&gt;=in_marketplace_from,d_hz_life_term*G1615,0))</f>
        <v/>
      </c>
      <c r="AL1616" s="46">
        <f>AK1616*IF(B1616&gt;=in_marketplace_from,d_hz_life_term*G1616,0)</f>
        <v/>
      </c>
      <c r="AM1616" s="14">
        <f>F1616*AL1616*in_life_term_ticket*in_life_term_comm*in_ins_partner_share+F1616*in_life_term_ticket*in_life_term_renew_comm*in_ins_partner_share*(in_life_term_renew^1*SUMIFS(AL1601:AL1621,B1601:B1621,B1616-12)+in_life_term_renew^2*SUMIFS(AL1601:AL1621,B1601:B1621,B1616-24)+in_life_term_renew^3*SUMIFS(AL1601:AL1621,B1601:B1621,B1616-36)+in_life_term_renew^4*SUMIFS(AL1601:AL1621,B1601:B1621,B1616-48))</f>
        <v/>
      </c>
      <c r="AN1616" s="40">
        <f>AN1615*(1-IF(B1615&gt;=in_marketplace_from,d_hz_accident*G1615,0))</f>
        <v/>
      </c>
      <c r="AO1616" s="46">
        <f>AN1616*IF(B1616&gt;=in_marketplace_from,d_hz_accident*G1616,0)</f>
        <v/>
      </c>
      <c r="AP1616" s="14">
        <f>F1616*AO1616*in_accident_ticket*in_accident_comm*in_ins_partner_share+F1616*in_accident_ticket*in_accident_renew_comm*in_ins_partner_share*(in_accident_renew^1*SUMIFS(AO1601:AO1621,B1601:B1621,B1616-12)+in_accident_renew^2*SUMIFS(AO1601:AO1621,B1601:B1621,B1616-24)+in_accident_renew^3*SUMIFS(AO1601:AO1621,B1601:B1621,B1616-36)+in_accident_renew^4*SUMIFS(AO1601:AO1621,B1601:B1621,B1616-48))</f>
        <v/>
      </c>
      <c r="AQ1616" s="40">
        <f>AQ1615*(1-IF(B1615&gt;=in_marketplace_from,d_hz_two_wheeler*G1615,0))</f>
        <v/>
      </c>
      <c r="AR1616" s="46">
        <f>AQ1616*IF(B1616&gt;=in_marketplace_from,d_hz_two_wheeler*G1616,0)</f>
        <v/>
      </c>
      <c r="AS1616" s="14">
        <f>F1616*AR1616*in_two_wheeler_ticket*in_two_wheeler_comm*in_ins_partner_share+F1616*in_two_wheeler_ticket*in_two_wheeler_comm*in_ins_partner_share*(in_two_wheeler_renew^1*SUMIFS(AR1601:AR1621,B1601:B1621,B1616-12)+in_two_wheeler_renew^2*SUMIFS(AR1601:AR1621,B1601:B1621,B1616-24)+in_two_wheeler_renew^3*SUMIFS(AR1601:AR1621,B1601:B1621,B1616-36)+in_two_wheeler_renew^4*SUMIFS(AR1601:AR1621,B1601:B1621,B1616-48))</f>
        <v/>
      </c>
      <c r="AT1616" s="40">
        <f>AT1615*(1-IF(B1615&gt;=in_marketplace_from,d_hz_device*G1615,0))</f>
        <v/>
      </c>
      <c r="AU1616" s="14">
        <f>F1616*AT1616*IF(B1616&gt;=in_marketplace_from,d_hz_device*G1616,0)*in_device_ticket*in_device_comm*in_ins_partner_share</f>
        <v/>
      </c>
      <c r="AV1616" s="40">
        <f>AV1615*(1-IF(B1615&gt;=in_marketplace_from,d_hz_shop*G1615,0))</f>
        <v/>
      </c>
      <c r="AW1616" s="46">
        <f>AV1616*IF(B1616&gt;=in_marketplace_from,d_hz_shop*G1616,0)</f>
        <v/>
      </c>
      <c r="AX1616" s="14">
        <f>F1616*AW1616*in_shop_ticket*in_shop_comm*in_ins_partner_share+F1616*in_shop_ticket*in_shop_renew_comm*in_ins_partner_share*(in_shop_renew^1*SUMIFS(AW1601:AW1621,B1601:B1621,B1616-12)+in_shop_renew^2*SUMIFS(AW1601:AW1621,B1601:B1621,B1616-24)+in_shop_renew^3*SUMIFS(AW1601:AW1621,B1601:B1621,B1616-36)+in_shop_renew^4*SUMIFS(AW1601:AW1621,B1601:B1621,B1616-48))</f>
        <v/>
      </c>
      <c r="AY1616" s="40">
        <f>AY1615*(1-IF(B1615&gt;=in_marketplace_from,d_hz_sip*G1615,0))</f>
        <v/>
      </c>
      <c r="AZ1616" s="40">
        <f>AZ1615*d_rho_sip+AY1616*IF(B1616&gt;=in_marketplace_from,d_hz_sip*G1616,0)</f>
        <v/>
      </c>
      <c r="BA1616" s="40">
        <f>d_rho_sip*(BA1615+AZ1615)</f>
        <v/>
      </c>
      <c r="BB1616" s="14">
        <f>F1616*in_sip_ticket*(BA1616+0.5*AZ1616)*in_sip_comm/12</f>
        <v/>
      </c>
      <c r="BC1616" s="40">
        <f>BC1615*(1-IF(B1615&gt;=in_marketplace_from,d_hz_choti*G1615,0))</f>
        <v/>
      </c>
      <c r="BD1616" s="46">
        <f>BC1616*IF(B1616&gt;=in_marketplace_from,d_hz_choti*G1616,0)</f>
        <v/>
      </c>
      <c r="BE1616" s="14">
        <f>F1616*SUMIFS(BD1601:BD1621,B1601:B1621,B1616-in_choti_months)*in_choti_renew*in_choti_ticket</f>
        <v/>
      </c>
      <c r="BF1616" s="40">
        <f>BF1615*(1-IF(B1615&gt;=in_marketplace_from,d_hz_nps*G1615,0))</f>
        <v/>
      </c>
      <c r="BG1616" s="14">
        <f>F1616*BF1616*IF(B1616&gt;=in_marketplace_from,d_hz_nps*G1616,0)*in_nps_ticket*in_nps_comm</f>
        <v/>
      </c>
      <c r="BH1616" s="40">
        <f>BH1615*(1-IF(B1615&gt;=in_marketplace_from,d_hz_gold*G1615,0))</f>
        <v/>
      </c>
      <c r="BI1616" s="40">
        <f>BI1615*d_rho_gold+BH1616*IF(B1616&gt;=in_marketplace_from,d_hz_gold*G1616,0)</f>
        <v/>
      </c>
      <c r="BJ1616" s="14">
        <f>F1616*BI1616*in_gold_ticket*in_gold_comm</f>
        <v/>
      </c>
      <c r="BK1616" s="40">
        <f>BK1615*(1-IF(B1615&gt;=in_marketplace_from,d_hz_fd*G1615,0))</f>
        <v/>
      </c>
      <c r="BL1616" s="14">
        <f>F1616*BK1616*IF(B1616&gt;=in_marketplace_from,d_hz_fd*G1616,0)*in_fd_ticket*in_fd_comm</f>
        <v/>
      </c>
      <c r="BM1616" s="40">
        <f>BM1615*(1-IF(B1615&gt;=in_marketplace_from,d_hz_recharge*G1615,0))</f>
        <v/>
      </c>
      <c r="BN1616" s="40">
        <f>BN1615*d_rho_recharge+BM1616*IF(B1616&gt;=in_marketplace_from,d_hz_recharge*G1616,0)</f>
        <v/>
      </c>
      <c r="BO1616" s="14">
        <f>F1616*BN1616*in_recharge_ticket*in_recharge_comm/12</f>
        <v/>
      </c>
      <c r="BP1616" s="40">
        <f>BP1615*(1-IF(B1615&gt;=in_marketplace_from,d_hz_bills*G1615,0))</f>
        <v/>
      </c>
      <c r="BQ1616" s="40">
        <f>BQ1615*d_rho_bills+BP1616*IF(B1616&gt;=in_marketplace_from,d_hz_bills*G1616,0)</f>
        <v/>
      </c>
      <c r="BR1616" s="14">
        <f>F1616*BQ1616*in_bills_ticket*in_bills_comm/12</f>
        <v/>
      </c>
      <c r="BS1616" s="40">
        <f>BS1615*(1-IF(B1615&gt;=in_marketplace_from,d_hz_loan_gold*G1615,0))</f>
        <v/>
      </c>
      <c r="BT1616" s="14">
        <f>F1616*BS1616*IF(B1616&gt;=in_marketplace_from,d_hz_loan_gold*G1616,0)*in_loan_gold_ticket*in_loan_gold_comm</f>
        <v/>
      </c>
      <c r="BU1616" s="40">
        <f>BU1615*(1-IF(B1615&gt;=in_marketplace_from,d_hz_loan_cd*G1615,0))</f>
        <v/>
      </c>
      <c r="BV1616" s="14">
        <f>F1616*BU1616*IF(B1616&gt;=in_marketplace_from,d_hz_loan_cd*G1616,0)*in_loan_cd_ticket*in_loan_cd_comm</f>
        <v/>
      </c>
      <c r="BW1616" s="40">
        <f>BW1615*(1-IF(B1615&gt;=in_marketplace_from,d_hz_loan_vehicle*G1615,0))</f>
        <v/>
      </c>
      <c r="BX1616" s="14">
        <f>F1616*BW1616*IF(B1616&gt;=in_marketplace_from,d_hz_loan_vehicle*G1616,0)*in_loan_vehicle_ticket*in_loan_vehicle_comm</f>
        <v/>
      </c>
      <c r="BY1616" s="40">
        <f>BY1615*(1-IF(B1615&gt;=in_marketplace_from,d_hz_loan_home*G1615,0)*BZ1615)</f>
        <v/>
      </c>
      <c r="BZ1616" s="11">
        <f>MIN(in_approval_cap,in_loan_home_approval*INDEX('Age profile'!$O$2:$O$61,B1616)*(1+in_approval_growth)^(D1616-1))</f>
        <v/>
      </c>
      <c r="CA1616" s="14">
        <f>F1616*BY1616*IF(B1616&gt;=in_marketplace_from,d_hz_loan_home*G1616,0)*BZ1616*in_loan_home_ticket*in_loan_home_comm</f>
        <v/>
      </c>
      <c r="CB1616" s="40">
        <f>CB1615*(1-IF(B1615&gt;=in_marketplace_from,d_hz_loan_lap*G1615,0)*CC1615)</f>
        <v/>
      </c>
      <c r="CC1616" s="11">
        <f>MIN(in_approval_cap,in_loan_lap_approval*INDEX('Age profile'!$O$2:$O$61,B1616)*(1+in_approval_growth)^(D1616-1))</f>
        <v/>
      </c>
      <c r="CD1616" s="14">
        <f>F1616*CB1616*IF(B1616&gt;=in_marketplace_from,d_hz_loan_lap*G1616,0)*CC1616*in_loan_lap_ticket*in_loan_lap_comm</f>
        <v/>
      </c>
      <c r="CE1616" s="14">
        <f>AA1616+AB1616+AC1616+AD1616+AG1616+AJ1616+AM1616+AP1616+AS1616+AU1616+AX1616+BB1616+BE1616+BG1616+BJ1616+BL1616+BO1616+BR1616+BT1616+BV1616+BX1616+CA1616+CD1616</f>
        <v/>
      </c>
    </row>
    <row r="1617">
      <c r="A1617" s="39" t="n">
        <v>40</v>
      </c>
      <c r="B1617" s="39" t="n">
        <v>17</v>
      </c>
      <c r="C1617" s="39">
        <f>A1617+B1617-1</f>
        <v/>
      </c>
      <c r="D1617" s="39">
        <f>INT((C1617-1)/12)+1</f>
        <v/>
      </c>
      <c r="E1617" s="44">
        <f>INDEX(Monthly!$B$2:$B$61,A1617)</f>
        <v/>
      </c>
      <c r="F1617" s="44">
        <f>E1617*INDEX('Age profile'!$B$2:$B$61,B1617)</f>
        <v/>
      </c>
      <c r="G1617" s="45">
        <f>MIN(in_takeup_cap,INDEX('Age profile'!$N$2:$N$61,B1617)*(1+in_takeup_growth)^(D1617-1))</f>
        <v/>
      </c>
      <c r="H1617" s="11">
        <f>MIN(in_approval_cap,in_approved_first*INDEX('Age profile'!$O$2:$O$61,B1617)*(1+in_approval_growth)^(D1617-1))</f>
        <v/>
      </c>
      <c r="I1617" s="45">
        <f>G1617*MIN(in_takeup_cap,INDEX('Age profile'!$O$2:$O$61,B1617)*(1+in_approval_growth)^(D1617-1))</f>
        <v/>
      </c>
      <c r="J1617" s="40">
        <f>(J1616-L1616)*F1617/F1616</f>
        <v/>
      </c>
      <c r="K1617" s="40">
        <f>(K1616-M1616)*F1617/F1616+SUMIFS(O1601:O1616,B1601:B1616,B1617-1-d_T)*F1617</f>
        <v/>
      </c>
      <c r="L1617" s="40">
        <f>IF(B1617&gt;=in_marketplace_from,J1617*d_hz*G1617*in_eligible*H1617,0)</f>
        <v/>
      </c>
      <c r="M1617" s="40">
        <f>IF(B1617&gt;=in_marketplace_from,K1617*d_hz*G1617*in_eligible*in_approved_repeat,0)</f>
        <v/>
      </c>
      <c r="N1617" s="40">
        <f>L1617+M1617</f>
        <v/>
      </c>
      <c r="O1617" s="46">
        <f>N1617/F1617</f>
        <v/>
      </c>
      <c r="P1617" s="40">
        <f>F1617-J1617-K1617</f>
        <v/>
      </c>
      <c r="Q1617" s="40">
        <f>IF(B1617&gt;=in_marketplace_from,(J1617+K1617)*d_hz*G1617,0)</f>
        <v/>
      </c>
      <c r="R1617" s="40">
        <f>SUMIFS(N1601:N1621,B1601:B1621,"&gt;="&amp;(B1617-d_T),B1601:B1621,"&lt;="&amp;(B1617-1))</f>
        <v/>
      </c>
      <c r="S1617" s="46">
        <f>(1-d_u)*S1616+IF(d_T&gt;in_topup_lag,SUMIFS(O1601:O1621,B1601:B1621,B1617-in_topup_lag)-d_udrop*SUMIFS(O1601:O1621,B1601:B1621,B1617-d_T),0)</f>
        <v/>
      </c>
      <c r="T1617" s="40">
        <f>F1617*d_u*S1617</f>
        <v/>
      </c>
      <c r="U1617" s="9">
        <f>L1617*in_ticket+M1617*d_rep_ticket</f>
        <v/>
      </c>
      <c r="V1617" s="9">
        <f>U1617+T1617*d_topup_amt</f>
        <v/>
      </c>
      <c r="W1617" s="40">
        <f>N1617+T1617*d_topup_ratio</f>
        <v/>
      </c>
      <c r="X1617" s="40">
        <f>SUMIFS(W1601:W1621,B1601:B1621,B1617-in_dpd_lag)*d_cured</f>
        <v/>
      </c>
      <c r="Y1617" s="40">
        <f>SUMIFS(W1601:W1621,B1601:B1621,B1617-in_rec_lag)*d_recd</f>
        <v/>
      </c>
      <c r="Z1617" s="40">
        <f>IF(AND(B1617&gt;=in_marketplace_from,B1617&lt;in_marketplace_from+in_card_months),in_card_share/in_card_months*F1617*I1617,IF(AND(B1617&gt;=in_marketplace_from+in_card_months,B1617&lt;in_marketplace_from+2*in_card_months),in_card_share*d_card_rem/in_card_months*F1617*MIN(in_takeup_cap,(1+in_takeup_growth)^(D1617-1))*MIN(in_takeup_cap,(1+in_approval_growth)^(D1617-1)),0))</f>
        <v/>
      </c>
      <c r="AA1617" s="14">
        <f>V1617*in_fee*(1-in_taken_back)</f>
        <v/>
      </c>
      <c r="AB1617" s="14">
        <f>SUMIFS(W1601:W1621,B1601:B1621,B1617-in_dpd_lag)*d_dpd</f>
        <v/>
      </c>
      <c r="AC1617" s="14">
        <f>SUMIFS(W1601:W1621,B1601:B1621,B1617-in_rec_lag)*d_rec</f>
        <v/>
      </c>
      <c r="AD1617" s="14">
        <f>Z1617*in_card_fee</f>
        <v/>
      </c>
      <c r="AE1617" s="40">
        <f>AE1616*(1-IF(B1616&gt;=in_marketplace_from,d_hz_hlth_small*G1616,0))</f>
        <v/>
      </c>
      <c r="AF1617" s="46">
        <f>AE1617*IF(B1617&gt;=in_marketplace_from,d_hz_hlth_small*G1617,0)</f>
        <v/>
      </c>
      <c r="AG1617" s="14">
        <f>F1617*AF1617*in_hlth_small_ticket*in_hlth_small_comm*in_ins_partner_share+F1617*in_hlth_small_ticket*in_hlth_small_renew_comm*in_ins_partner_share*(in_hlth_small_renew^1*SUMIFS(AF1601:AF1621,B1601:B1621,B1617-12)+in_hlth_small_renew^2*SUMIFS(AF1601:AF1621,B1601:B1621,B1617-24)+in_hlth_small_renew^3*SUMIFS(AF1601:AF1621,B1601:B1621,B1617-36)+in_hlth_small_renew^4*SUMIFS(AF1601:AF1621,B1601:B1621,B1617-48))</f>
        <v/>
      </c>
      <c r="AH1617" s="40">
        <f>AH1616*(1-IF(B1616&gt;=in_marketplace_from,d_hz_hlth_family*G1616,0))</f>
        <v/>
      </c>
      <c r="AI1617" s="46">
        <f>AH1617*IF(B1617&gt;=in_marketplace_from,d_hz_hlth_family*G1617,0)</f>
        <v/>
      </c>
      <c r="AJ1617" s="14">
        <f>F1617*AI1617*in_hlth_family_ticket*in_hlth_family_comm*in_ins_partner_share+F1617*in_hlth_family_ticket*in_hlth_family_renew_comm*in_ins_partner_share*(in_hlth_family_renew^1*SUMIFS(AI1601:AI1621,B1601:B1621,B1617-12)+in_hlth_family_renew^2*SUMIFS(AI1601:AI1621,B1601:B1621,B1617-24)+in_hlth_family_renew^3*SUMIFS(AI1601:AI1621,B1601:B1621,B1617-36)+in_hlth_family_renew^4*SUMIFS(AI1601:AI1621,B1601:B1621,B1617-48))</f>
        <v/>
      </c>
      <c r="AK1617" s="40">
        <f>AK1616*(1-IF(B1616&gt;=in_marketplace_from,d_hz_life_term*G1616,0))</f>
        <v/>
      </c>
      <c r="AL1617" s="46">
        <f>AK1617*IF(B1617&gt;=in_marketplace_from,d_hz_life_term*G1617,0)</f>
        <v/>
      </c>
      <c r="AM1617" s="14">
        <f>F1617*AL1617*in_life_term_ticket*in_life_term_comm*in_ins_partner_share+F1617*in_life_term_ticket*in_life_term_renew_comm*in_ins_partner_share*(in_life_term_renew^1*SUMIFS(AL1601:AL1621,B1601:B1621,B1617-12)+in_life_term_renew^2*SUMIFS(AL1601:AL1621,B1601:B1621,B1617-24)+in_life_term_renew^3*SUMIFS(AL1601:AL1621,B1601:B1621,B1617-36)+in_life_term_renew^4*SUMIFS(AL1601:AL1621,B1601:B1621,B1617-48))</f>
        <v/>
      </c>
      <c r="AN1617" s="40">
        <f>AN1616*(1-IF(B1616&gt;=in_marketplace_from,d_hz_accident*G1616,0))</f>
        <v/>
      </c>
      <c r="AO1617" s="46">
        <f>AN1617*IF(B1617&gt;=in_marketplace_from,d_hz_accident*G1617,0)</f>
        <v/>
      </c>
      <c r="AP1617" s="14">
        <f>F1617*AO1617*in_accident_ticket*in_accident_comm*in_ins_partner_share+F1617*in_accident_ticket*in_accident_renew_comm*in_ins_partner_share*(in_accident_renew^1*SUMIFS(AO1601:AO1621,B1601:B1621,B1617-12)+in_accident_renew^2*SUMIFS(AO1601:AO1621,B1601:B1621,B1617-24)+in_accident_renew^3*SUMIFS(AO1601:AO1621,B1601:B1621,B1617-36)+in_accident_renew^4*SUMIFS(AO1601:AO1621,B1601:B1621,B1617-48))</f>
        <v/>
      </c>
      <c r="AQ1617" s="40">
        <f>AQ1616*(1-IF(B1616&gt;=in_marketplace_from,d_hz_two_wheeler*G1616,0))</f>
        <v/>
      </c>
      <c r="AR1617" s="46">
        <f>AQ1617*IF(B1617&gt;=in_marketplace_from,d_hz_two_wheeler*G1617,0)</f>
        <v/>
      </c>
      <c r="AS1617" s="14">
        <f>F1617*AR1617*in_two_wheeler_ticket*in_two_wheeler_comm*in_ins_partner_share+F1617*in_two_wheeler_ticket*in_two_wheeler_comm*in_ins_partner_share*(in_two_wheeler_renew^1*SUMIFS(AR1601:AR1621,B1601:B1621,B1617-12)+in_two_wheeler_renew^2*SUMIFS(AR1601:AR1621,B1601:B1621,B1617-24)+in_two_wheeler_renew^3*SUMIFS(AR1601:AR1621,B1601:B1621,B1617-36)+in_two_wheeler_renew^4*SUMIFS(AR1601:AR1621,B1601:B1621,B1617-48))</f>
        <v/>
      </c>
      <c r="AT1617" s="40">
        <f>AT1616*(1-IF(B1616&gt;=in_marketplace_from,d_hz_device*G1616,0))</f>
        <v/>
      </c>
      <c r="AU1617" s="14">
        <f>F1617*AT1617*IF(B1617&gt;=in_marketplace_from,d_hz_device*G1617,0)*in_device_ticket*in_device_comm*in_ins_partner_share</f>
        <v/>
      </c>
      <c r="AV1617" s="40">
        <f>AV1616*(1-IF(B1616&gt;=in_marketplace_from,d_hz_shop*G1616,0))</f>
        <v/>
      </c>
      <c r="AW1617" s="46">
        <f>AV1617*IF(B1617&gt;=in_marketplace_from,d_hz_shop*G1617,0)</f>
        <v/>
      </c>
      <c r="AX1617" s="14">
        <f>F1617*AW1617*in_shop_ticket*in_shop_comm*in_ins_partner_share+F1617*in_shop_ticket*in_shop_renew_comm*in_ins_partner_share*(in_shop_renew^1*SUMIFS(AW1601:AW1621,B1601:B1621,B1617-12)+in_shop_renew^2*SUMIFS(AW1601:AW1621,B1601:B1621,B1617-24)+in_shop_renew^3*SUMIFS(AW1601:AW1621,B1601:B1621,B1617-36)+in_shop_renew^4*SUMIFS(AW1601:AW1621,B1601:B1621,B1617-48))</f>
        <v/>
      </c>
      <c r="AY1617" s="40">
        <f>AY1616*(1-IF(B1616&gt;=in_marketplace_from,d_hz_sip*G1616,0))</f>
        <v/>
      </c>
      <c r="AZ1617" s="40">
        <f>AZ1616*d_rho_sip+AY1617*IF(B1617&gt;=in_marketplace_from,d_hz_sip*G1617,0)</f>
        <v/>
      </c>
      <c r="BA1617" s="40">
        <f>d_rho_sip*(BA1616+AZ1616)</f>
        <v/>
      </c>
      <c r="BB1617" s="14">
        <f>F1617*in_sip_ticket*(BA1617+0.5*AZ1617)*in_sip_comm/12</f>
        <v/>
      </c>
      <c r="BC1617" s="40">
        <f>BC1616*(1-IF(B1616&gt;=in_marketplace_from,d_hz_choti*G1616,0))</f>
        <v/>
      </c>
      <c r="BD1617" s="46">
        <f>BC1617*IF(B1617&gt;=in_marketplace_from,d_hz_choti*G1617,0)</f>
        <v/>
      </c>
      <c r="BE1617" s="14">
        <f>F1617*SUMIFS(BD1601:BD1621,B1601:B1621,B1617-in_choti_months)*in_choti_renew*in_choti_ticket</f>
        <v/>
      </c>
      <c r="BF1617" s="40">
        <f>BF1616*(1-IF(B1616&gt;=in_marketplace_from,d_hz_nps*G1616,0))</f>
        <v/>
      </c>
      <c r="BG1617" s="14">
        <f>F1617*BF1617*IF(B1617&gt;=in_marketplace_from,d_hz_nps*G1617,0)*in_nps_ticket*in_nps_comm</f>
        <v/>
      </c>
      <c r="BH1617" s="40">
        <f>BH1616*(1-IF(B1616&gt;=in_marketplace_from,d_hz_gold*G1616,0))</f>
        <v/>
      </c>
      <c r="BI1617" s="40">
        <f>BI1616*d_rho_gold+BH1617*IF(B1617&gt;=in_marketplace_from,d_hz_gold*G1617,0)</f>
        <v/>
      </c>
      <c r="BJ1617" s="14">
        <f>F1617*BI1617*in_gold_ticket*in_gold_comm</f>
        <v/>
      </c>
      <c r="BK1617" s="40">
        <f>BK1616*(1-IF(B1616&gt;=in_marketplace_from,d_hz_fd*G1616,0))</f>
        <v/>
      </c>
      <c r="BL1617" s="14">
        <f>F1617*BK1617*IF(B1617&gt;=in_marketplace_from,d_hz_fd*G1617,0)*in_fd_ticket*in_fd_comm</f>
        <v/>
      </c>
      <c r="BM1617" s="40">
        <f>BM1616*(1-IF(B1616&gt;=in_marketplace_from,d_hz_recharge*G1616,0))</f>
        <v/>
      </c>
      <c r="BN1617" s="40">
        <f>BN1616*d_rho_recharge+BM1617*IF(B1617&gt;=in_marketplace_from,d_hz_recharge*G1617,0)</f>
        <v/>
      </c>
      <c r="BO1617" s="14">
        <f>F1617*BN1617*in_recharge_ticket*in_recharge_comm/12</f>
        <v/>
      </c>
      <c r="BP1617" s="40">
        <f>BP1616*(1-IF(B1616&gt;=in_marketplace_from,d_hz_bills*G1616,0))</f>
        <v/>
      </c>
      <c r="BQ1617" s="40">
        <f>BQ1616*d_rho_bills+BP1617*IF(B1617&gt;=in_marketplace_from,d_hz_bills*G1617,0)</f>
        <v/>
      </c>
      <c r="BR1617" s="14">
        <f>F1617*BQ1617*in_bills_ticket*in_bills_comm/12</f>
        <v/>
      </c>
      <c r="BS1617" s="40">
        <f>BS1616*(1-IF(B1616&gt;=in_marketplace_from,d_hz_loan_gold*G1616,0))</f>
        <v/>
      </c>
      <c r="BT1617" s="14">
        <f>F1617*BS1617*IF(B1617&gt;=in_marketplace_from,d_hz_loan_gold*G1617,0)*in_loan_gold_ticket*in_loan_gold_comm</f>
        <v/>
      </c>
      <c r="BU1617" s="40">
        <f>BU1616*(1-IF(B1616&gt;=in_marketplace_from,d_hz_loan_cd*G1616,0))</f>
        <v/>
      </c>
      <c r="BV1617" s="14">
        <f>F1617*BU1617*IF(B1617&gt;=in_marketplace_from,d_hz_loan_cd*G1617,0)*in_loan_cd_ticket*in_loan_cd_comm</f>
        <v/>
      </c>
      <c r="BW1617" s="40">
        <f>BW1616*(1-IF(B1616&gt;=in_marketplace_from,d_hz_loan_vehicle*G1616,0))</f>
        <v/>
      </c>
      <c r="BX1617" s="14">
        <f>F1617*BW1617*IF(B1617&gt;=in_marketplace_from,d_hz_loan_vehicle*G1617,0)*in_loan_vehicle_ticket*in_loan_vehicle_comm</f>
        <v/>
      </c>
      <c r="BY1617" s="40">
        <f>BY1616*(1-IF(B1616&gt;=in_marketplace_from,d_hz_loan_home*G1616,0)*BZ1616)</f>
        <v/>
      </c>
      <c r="BZ1617" s="11">
        <f>MIN(in_approval_cap,in_loan_home_approval*INDEX('Age profile'!$O$2:$O$61,B1617)*(1+in_approval_growth)^(D1617-1))</f>
        <v/>
      </c>
      <c r="CA1617" s="14">
        <f>F1617*BY1617*IF(B1617&gt;=in_marketplace_from,d_hz_loan_home*G1617,0)*BZ1617*in_loan_home_ticket*in_loan_home_comm</f>
        <v/>
      </c>
      <c r="CB1617" s="40">
        <f>CB1616*(1-IF(B1616&gt;=in_marketplace_from,d_hz_loan_lap*G1616,0)*CC1616)</f>
        <v/>
      </c>
      <c r="CC1617" s="11">
        <f>MIN(in_approval_cap,in_loan_lap_approval*INDEX('Age profile'!$O$2:$O$61,B1617)*(1+in_approval_growth)^(D1617-1))</f>
        <v/>
      </c>
      <c r="CD1617" s="14">
        <f>F1617*CB1617*IF(B1617&gt;=in_marketplace_from,d_hz_loan_lap*G1617,0)*CC1617*in_loan_lap_ticket*in_loan_lap_comm</f>
        <v/>
      </c>
      <c r="CE1617" s="14">
        <f>AA1617+AB1617+AC1617+AD1617+AG1617+AJ1617+AM1617+AP1617+AS1617+AU1617+AX1617+BB1617+BE1617+BG1617+BJ1617+BL1617+BO1617+BR1617+BT1617+BV1617+BX1617+CA1617+CD1617</f>
        <v/>
      </c>
    </row>
    <row r="1618">
      <c r="A1618" s="39" t="n">
        <v>40</v>
      </c>
      <c r="B1618" s="39" t="n">
        <v>18</v>
      </c>
      <c r="C1618" s="39">
        <f>A1618+B1618-1</f>
        <v/>
      </c>
      <c r="D1618" s="39">
        <f>INT((C1618-1)/12)+1</f>
        <v/>
      </c>
      <c r="E1618" s="44">
        <f>INDEX(Monthly!$B$2:$B$61,A1618)</f>
        <v/>
      </c>
      <c r="F1618" s="44">
        <f>E1618*INDEX('Age profile'!$B$2:$B$61,B1618)</f>
        <v/>
      </c>
      <c r="G1618" s="45">
        <f>MIN(in_takeup_cap,INDEX('Age profile'!$N$2:$N$61,B1618)*(1+in_takeup_growth)^(D1618-1))</f>
        <v/>
      </c>
      <c r="H1618" s="11">
        <f>MIN(in_approval_cap,in_approved_first*INDEX('Age profile'!$O$2:$O$61,B1618)*(1+in_approval_growth)^(D1618-1))</f>
        <v/>
      </c>
      <c r="I1618" s="45">
        <f>G1618*MIN(in_takeup_cap,INDEX('Age profile'!$O$2:$O$61,B1618)*(1+in_approval_growth)^(D1618-1))</f>
        <v/>
      </c>
      <c r="J1618" s="40">
        <f>(J1617-L1617)*F1618/F1617</f>
        <v/>
      </c>
      <c r="K1618" s="40">
        <f>(K1617-M1617)*F1618/F1617+SUMIFS(O1601:O1617,B1601:B1617,B1618-1-d_T)*F1618</f>
        <v/>
      </c>
      <c r="L1618" s="40">
        <f>IF(B1618&gt;=in_marketplace_from,J1618*d_hz*G1618*in_eligible*H1618,0)</f>
        <v/>
      </c>
      <c r="M1618" s="40">
        <f>IF(B1618&gt;=in_marketplace_from,K1618*d_hz*G1618*in_eligible*in_approved_repeat,0)</f>
        <v/>
      </c>
      <c r="N1618" s="40">
        <f>L1618+M1618</f>
        <v/>
      </c>
      <c r="O1618" s="46">
        <f>N1618/F1618</f>
        <v/>
      </c>
      <c r="P1618" s="40">
        <f>F1618-J1618-K1618</f>
        <v/>
      </c>
      <c r="Q1618" s="40">
        <f>IF(B1618&gt;=in_marketplace_from,(J1618+K1618)*d_hz*G1618,0)</f>
        <v/>
      </c>
      <c r="R1618" s="40">
        <f>SUMIFS(N1601:N1621,B1601:B1621,"&gt;="&amp;(B1618-d_T),B1601:B1621,"&lt;="&amp;(B1618-1))</f>
        <v/>
      </c>
      <c r="S1618" s="46">
        <f>(1-d_u)*S1617+IF(d_T&gt;in_topup_lag,SUMIFS(O1601:O1621,B1601:B1621,B1618-in_topup_lag)-d_udrop*SUMIFS(O1601:O1621,B1601:B1621,B1618-d_T),0)</f>
        <v/>
      </c>
      <c r="T1618" s="40">
        <f>F1618*d_u*S1618</f>
        <v/>
      </c>
      <c r="U1618" s="9">
        <f>L1618*in_ticket+M1618*d_rep_ticket</f>
        <v/>
      </c>
      <c r="V1618" s="9">
        <f>U1618+T1618*d_topup_amt</f>
        <v/>
      </c>
      <c r="W1618" s="40">
        <f>N1618+T1618*d_topup_ratio</f>
        <v/>
      </c>
      <c r="X1618" s="40">
        <f>SUMIFS(W1601:W1621,B1601:B1621,B1618-in_dpd_lag)*d_cured</f>
        <v/>
      </c>
      <c r="Y1618" s="40">
        <f>SUMIFS(W1601:W1621,B1601:B1621,B1618-in_rec_lag)*d_recd</f>
        <v/>
      </c>
      <c r="Z1618" s="40">
        <f>IF(AND(B1618&gt;=in_marketplace_from,B1618&lt;in_marketplace_from+in_card_months),in_card_share/in_card_months*F1618*I1618,IF(AND(B1618&gt;=in_marketplace_from+in_card_months,B1618&lt;in_marketplace_from+2*in_card_months),in_card_share*d_card_rem/in_card_months*F1618*MIN(in_takeup_cap,(1+in_takeup_growth)^(D1618-1))*MIN(in_takeup_cap,(1+in_approval_growth)^(D1618-1)),0))</f>
        <v/>
      </c>
      <c r="AA1618" s="14">
        <f>V1618*in_fee*(1-in_taken_back)</f>
        <v/>
      </c>
      <c r="AB1618" s="14">
        <f>SUMIFS(W1601:W1621,B1601:B1621,B1618-in_dpd_lag)*d_dpd</f>
        <v/>
      </c>
      <c r="AC1618" s="14">
        <f>SUMIFS(W1601:W1621,B1601:B1621,B1618-in_rec_lag)*d_rec</f>
        <v/>
      </c>
      <c r="AD1618" s="14">
        <f>Z1618*in_card_fee</f>
        <v/>
      </c>
      <c r="AE1618" s="40">
        <f>AE1617*(1-IF(B1617&gt;=in_marketplace_from,d_hz_hlth_small*G1617,0))</f>
        <v/>
      </c>
      <c r="AF1618" s="46">
        <f>AE1618*IF(B1618&gt;=in_marketplace_from,d_hz_hlth_small*G1618,0)</f>
        <v/>
      </c>
      <c r="AG1618" s="14">
        <f>F1618*AF1618*in_hlth_small_ticket*in_hlth_small_comm*in_ins_partner_share+F1618*in_hlth_small_ticket*in_hlth_small_renew_comm*in_ins_partner_share*(in_hlth_small_renew^1*SUMIFS(AF1601:AF1621,B1601:B1621,B1618-12)+in_hlth_small_renew^2*SUMIFS(AF1601:AF1621,B1601:B1621,B1618-24)+in_hlth_small_renew^3*SUMIFS(AF1601:AF1621,B1601:B1621,B1618-36)+in_hlth_small_renew^4*SUMIFS(AF1601:AF1621,B1601:B1621,B1618-48))</f>
        <v/>
      </c>
      <c r="AH1618" s="40">
        <f>AH1617*(1-IF(B1617&gt;=in_marketplace_from,d_hz_hlth_family*G1617,0))</f>
        <v/>
      </c>
      <c r="AI1618" s="46">
        <f>AH1618*IF(B1618&gt;=in_marketplace_from,d_hz_hlth_family*G1618,0)</f>
        <v/>
      </c>
      <c r="AJ1618" s="14">
        <f>F1618*AI1618*in_hlth_family_ticket*in_hlth_family_comm*in_ins_partner_share+F1618*in_hlth_family_ticket*in_hlth_family_renew_comm*in_ins_partner_share*(in_hlth_family_renew^1*SUMIFS(AI1601:AI1621,B1601:B1621,B1618-12)+in_hlth_family_renew^2*SUMIFS(AI1601:AI1621,B1601:B1621,B1618-24)+in_hlth_family_renew^3*SUMIFS(AI1601:AI1621,B1601:B1621,B1618-36)+in_hlth_family_renew^4*SUMIFS(AI1601:AI1621,B1601:B1621,B1618-48))</f>
        <v/>
      </c>
      <c r="AK1618" s="40">
        <f>AK1617*(1-IF(B1617&gt;=in_marketplace_from,d_hz_life_term*G1617,0))</f>
        <v/>
      </c>
      <c r="AL1618" s="46">
        <f>AK1618*IF(B1618&gt;=in_marketplace_from,d_hz_life_term*G1618,0)</f>
        <v/>
      </c>
      <c r="AM1618" s="14">
        <f>F1618*AL1618*in_life_term_ticket*in_life_term_comm*in_ins_partner_share+F1618*in_life_term_ticket*in_life_term_renew_comm*in_ins_partner_share*(in_life_term_renew^1*SUMIFS(AL1601:AL1621,B1601:B1621,B1618-12)+in_life_term_renew^2*SUMIFS(AL1601:AL1621,B1601:B1621,B1618-24)+in_life_term_renew^3*SUMIFS(AL1601:AL1621,B1601:B1621,B1618-36)+in_life_term_renew^4*SUMIFS(AL1601:AL1621,B1601:B1621,B1618-48))</f>
        <v/>
      </c>
      <c r="AN1618" s="40">
        <f>AN1617*(1-IF(B1617&gt;=in_marketplace_from,d_hz_accident*G1617,0))</f>
        <v/>
      </c>
      <c r="AO1618" s="46">
        <f>AN1618*IF(B1618&gt;=in_marketplace_from,d_hz_accident*G1618,0)</f>
        <v/>
      </c>
      <c r="AP1618" s="14">
        <f>F1618*AO1618*in_accident_ticket*in_accident_comm*in_ins_partner_share+F1618*in_accident_ticket*in_accident_renew_comm*in_ins_partner_share*(in_accident_renew^1*SUMIFS(AO1601:AO1621,B1601:B1621,B1618-12)+in_accident_renew^2*SUMIFS(AO1601:AO1621,B1601:B1621,B1618-24)+in_accident_renew^3*SUMIFS(AO1601:AO1621,B1601:B1621,B1618-36)+in_accident_renew^4*SUMIFS(AO1601:AO1621,B1601:B1621,B1618-48))</f>
        <v/>
      </c>
      <c r="AQ1618" s="40">
        <f>AQ1617*(1-IF(B1617&gt;=in_marketplace_from,d_hz_two_wheeler*G1617,0))</f>
        <v/>
      </c>
      <c r="AR1618" s="46">
        <f>AQ1618*IF(B1618&gt;=in_marketplace_from,d_hz_two_wheeler*G1618,0)</f>
        <v/>
      </c>
      <c r="AS1618" s="14">
        <f>F1618*AR1618*in_two_wheeler_ticket*in_two_wheeler_comm*in_ins_partner_share+F1618*in_two_wheeler_ticket*in_two_wheeler_comm*in_ins_partner_share*(in_two_wheeler_renew^1*SUMIFS(AR1601:AR1621,B1601:B1621,B1618-12)+in_two_wheeler_renew^2*SUMIFS(AR1601:AR1621,B1601:B1621,B1618-24)+in_two_wheeler_renew^3*SUMIFS(AR1601:AR1621,B1601:B1621,B1618-36)+in_two_wheeler_renew^4*SUMIFS(AR1601:AR1621,B1601:B1621,B1618-48))</f>
        <v/>
      </c>
      <c r="AT1618" s="40">
        <f>AT1617*(1-IF(B1617&gt;=in_marketplace_from,d_hz_device*G1617,0))</f>
        <v/>
      </c>
      <c r="AU1618" s="14">
        <f>F1618*AT1618*IF(B1618&gt;=in_marketplace_from,d_hz_device*G1618,0)*in_device_ticket*in_device_comm*in_ins_partner_share</f>
        <v/>
      </c>
      <c r="AV1618" s="40">
        <f>AV1617*(1-IF(B1617&gt;=in_marketplace_from,d_hz_shop*G1617,0))</f>
        <v/>
      </c>
      <c r="AW1618" s="46">
        <f>AV1618*IF(B1618&gt;=in_marketplace_from,d_hz_shop*G1618,0)</f>
        <v/>
      </c>
      <c r="AX1618" s="14">
        <f>F1618*AW1618*in_shop_ticket*in_shop_comm*in_ins_partner_share+F1618*in_shop_ticket*in_shop_renew_comm*in_ins_partner_share*(in_shop_renew^1*SUMIFS(AW1601:AW1621,B1601:B1621,B1618-12)+in_shop_renew^2*SUMIFS(AW1601:AW1621,B1601:B1621,B1618-24)+in_shop_renew^3*SUMIFS(AW1601:AW1621,B1601:B1621,B1618-36)+in_shop_renew^4*SUMIFS(AW1601:AW1621,B1601:B1621,B1618-48))</f>
        <v/>
      </c>
      <c r="AY1618" s="40">
        <f>AY1617*(1-IF(B1617&gt;=in_marketplace_from,d_hz_sip*G1617,0))</f>
        <v/>
      </c>
      <c r="AZ1618" s="40">
        <f>AZ1617*d_rho_sip+AY1618*IF(B1618&gt;=in_marketplace_from,d_hz_sip*G1618,0)</f>
        <v/>
      </c>
      <c r="BA1618" s="40">
        <f>d_rho_sip*(BA1617+AZ1617)</f>
        <v/>
      </c>
      <c r="BB1618" s="14">
        <f>F1618*in_sip_ticket*(BA1618+0.5*AZ1618)*in_sip_comm/12</f>
        <v/>
      </c>
      <c r="BC1618" s="40">
        <f>BC1617*(1-IF(B1617&gt;=in_marketplace_from,d_hz_choti*G1617,0))</f>
        <v/>
      </c>
      <c r="BD1618" s="46">
        <f>BC1618*IF(B1618&gt;=in_marketplace_from,d_hz_choti*G1618,0)</f>
        <v/>
      </c>
      <c r="BE1618" s="14">
        <f>F1618*SUMIFS(BD1601:BD1621,B1601:B1621,B1618-in_choti_months)*in_choti_renew*in_choti_ticket</f>
        <v/>
      </c>
      <c r="BF1618" s="40">
        <f>BF1617*(1-IF(B1617&gt;=in_marketplace_from,d_hz_nps*G1617,0))</f>
        <v/>
      </c>
      <c r="BG1618" s="14">
        <f>F1618*BF1618*IF(B1618&gt;=in_marketplace_from,d_hz_nps*G1618,0)*in_nps_ticket*in_nps_comm</f>
        <v/>
      </c>
      <c r="BH1618" s="40">
        <f>BH1617*(1-IF(B1617&gt;=in_marketplace_from,d_hz_gold*G1617,0))</f>
        <v/>
      </c>
      <c r="BI1618" s="40">
        <f>BI1617*d_rho_gold+BH1618*IF(B1618&gt;=in_marketplace_from,d_hz_gold*G1618,0)</f>
        <v/>
      </c>
      <c r="BJ1618" s="14">
        <f>F1618*BI1618*in_gold_ticket*in_gold_comm</f>
        <v/>
      </c>
      <c r="BK1618" s="40">
        <f>BK1617*(1-IF(B1617&gt;=in_marketplace_from,d_hz_fd*G1617,0))</f>
        <v/>
      </c>
      <c r="BL1618" s="14">
        <f>F1618*BK1618*IF(B1618&gt;=in_marketplace_from,d_hz_fd*G1618,0)*in_fd_ticket*in_fd_comm</f>
        <v/>
      </c>
      <c r="BM1618" s="40">
        <f>BM1617*(1-IF(B1617&gt;=in_marketplace_from,d_hz_recharge*G1617,0))</f>
        <v/>
      </c>
      <c r="BN1618" s="40">
        <f>BN1617*d_rho_recharge+BM1618*IF(B1618&gt;=in_marketplace_from,d_hz_recharge*G1618,0)</f>
        <v/>
      </c>
      <c r="BO1618" s="14">
        <f>F1618*BN1618*in_recharge_ticket*in_recharge_comm/12</f>
        <v/>
      </c>
      <c r="BP1618" s="40">
        <f>BP1617*(1-IF(B1617&gt;=in_marketplace_from,d_hz_bills*G1617,0))</f>
        <v/>
      </c>
      <c r="BQ1618" s="40">
        <f>BQ1617*d_rho_bills+BP1618*IF(B1618&gt;=in_marketplace_from,d_hz_bills*G1618,0)</f>
        <v/>
      </c>
      <c r="BR1618" s="14">
        <f>F1618*BQ1618*in_bills_ticket*in_bills_comm/12</f>
        <v/>
      </c>
      <c r="BS1618" s="40">
        <f>BS1617*(1-IF(B1617&gt;=in_marketplace_from,d_hz_loan_gold*G1617,0))</f>
        <v/>
      </c>
      <c r="BT1618" s="14">
        <f>F1618*BS1618*IF(B1618&gt;=in_marketplace_from,d_hz_loan_gold*G1618,0)*in_loan_gold_ticket*in_loan_gold_comm</f>
        <v/>
      </c>
      <c r="BU1618" s="40">
        <f>BU1617*(1-IF(B1617&gt;=in_marketplace_from,d_hz_loan_cd*G1617,0))</f>
        <v/>
      </c>
      <c r="BV1618" s="14">
        <f>F1618*BU1618*IF(B1618&gt;=in_marketplace_from,d_hz_loan_cd*G1618,0)*in_loan_cd_ticket*in_loan_cd_comm</f>
        <v/>
      </c>
      <c r="BW1618" s="40">
        <f>BW1617*(1-IF(B1617&gt;=in_marketplace_from,d_hz_loan_vehicle*G1617,0))</f>
        <v/>
      </c>
      <c r="BX1618" s="14">
        <f>F1618*BW1618*IF(B1618&gt;=in_marketplace_from,d_hz_loan_vehicle*G1618,0)*in_loan_vehicle_ticket*in_loan_vehicle_comm</f>
        <v/>
      </c>
      <c r="BY1618" s="40">
        <f>BY1617*(1-IF(B1617&gt;=in_marketplace_from,d_hz_loan_home*G1617,0)*BZ1617)</f>
        <v/>
      </c>
      <c r="BZ1618" s="11">
        <f>MIN(in_approval_cap,in_loan_home_approval*INDEX('Age profile'!$O$2:$O$61,B1618)*(1+in_approval_growth)^(D1618-1))</f>
        <v/>
      </c>
      <c r="CA1618" s="14">
        <f>F1618*BY1618*IF(B1618&gt;=in_marketplace_from,d_hz_loan_home*G1618,0)*BZ1618*in_loan_home_ticket*in_loan_home_comm</f>
        <v/>
      </c>
      <c r="CB1618" s="40">
        <f>CB1617*(1-IF(B1617&gt;=in_marketplace_from,d_hz_loan_lap*G1617,0)*CC1617)</f>
        <v/>
      </c>
      <c r="CC1618" s="11">
        <f>MIN(in_approval_cap,in_loan_lap_approval*INDEX('Age profile'!$O$2:$O$61,B1618)*(1+in_approval_growth)^(D1618-1))</f>
        <v/>
      </c>
      <c r="CD1618" s="14">
        <f>F1618*CB1618*IF(B1618&gt;=in_marketplace_from,d_hz_loan_lap*G1618,0)*CC1618*in_loan_lap_ticket*in_loan_lap_comm</f>
        <v/>
      </c>
      <c r="CE1618" s="14">
        <f>AA1618+AB1618+AC1618+AD1618+AG1618+AJ1618+AM1618+AP1618+AS1618+AU1618+AX1618+BB1618+BE1618+BG1618+BJ1618+BL1618+BO1618+BR1618+BT1618+BV1618+BX1618+CA1618+CD1618</f>
        <v/>
      </c>
    </row>
    <row r="1619">
      <c r="A1619" s="39" t="n">
        <v>40</v>
      </c>
      <c r="B1619" s="39" t="n">
        <v>19</v>
      </c>
      <c r="C1619" s="39">
        <f>A1619+B1619-1</f>
        <v/>
      </c>
      <c r="D1619" s="39">
        <f>INT((C1619-1)/12)+1</f>
        <v/>
      </c>
      <c r="E1619" s="44">
        <f>INDEX(Monthly!$B$2:$B$61,A1619)</f>
        <v/>
      </c>
      <c r="F1619" s="44">
        <f>E1619*INDEX('Age profile'!$B$2:$B$61,B1619)</f>
        <v/>
      </c>
      <c r="G1619" s="45">
        <f>MIN(in_takeup_cap,INDEX('Age profile'!$N$2:$N$61,B1619)*(1+in_takeup_growth)^(D1619-1))</f>
        <v/>
      </c>
      <c r="H1619" s="11">
        <f>MIN(in_approval_cap,in_approved_first*INDEX('Age profile'!$O$2:$O$61,B1619)*(1+in_approval_growth)^(D1619-1))</f>
        <v/>
      </c>
      <c r="I1619" s="45">
        <f>G1619*MIN(in_takeup_cap,INDEX('Age profile'!$O$2:$O$61,B1619)*(1+in_approval_growth)^(D1619-1))</f>
        <v/>
      </c>
      <c r="J1619" s="40">
        <f>(J1618-L1618)*F1619/F1618</f>
        <v/>
      </c>
      <c r="K1619" s="40">
        <f>(K1618-M1618)*F1619/F1618+SUMIFS(O1601:O1618,B1601:B1618,B1619-1-d_T)*F1619</f>
        <v/>
      </c>
      <c r="L1619" s="40">
        <f>IF(B1619&gt;=in_marketplace_from,J1619*d_hz*G1619*in_eligible*H1619,0)</f>
        <v/>
      </c>
      <c r="M1619" s="40">
        <f>IF(B1619&gt;=in_marketplace_from,K1619*d_hz*G1619*in_eligible*in_approved_repeat,0)</f>
        <v/>
      </c>
      <c r="N1619" s="40">
        <f>L1619+M1619</f>
        <v/>
      </c>
      <c r="O1619" s="46">
        <f>N1619/F1619</f>
        <v/>
      </c>
      <c r="P1619" s="40">
        <f>F1619-J1619-K1619</f>
        <v/>
      </c>
      <c r="Q1619" s="40">
        <f>IF(B1619&gt;=in_marketplace_from,(J1619+K1619)*d_hz*G1619,0)</f>
        <v/>
      </c>
      <c r="R1619" s="40">
        <f>SUMIFS(N1601:N1621,B1601:B1621,"&gt;="&amp;(B1619-d_T),B1601:B1621,"&lt;="&amp;(B1619-1))</f>
        <v/>
      </c>
      <c r="S1619" s="46">
        <f>(1-d_u)*S1618+IF(d_T&gt;in_topup_lag,SUMIFS(O1601:O1621,B1601:B1621,B1619-in_topup_lag)-d_udrop*SUMIFS(O1601:O1621,B1601:B1621,B1619-d_T),0)</f>
        <v/>
      </c>
      <c r="T1619" s="40">
        <f>F1619*d_u*S1619</f>
        <v/>
      </c>
      <c r="U1619" s="9">
        <f>L1619*in_ticket+M1619*d_rep_ticket</f>
        <v/>
      </c>
      <c r="V1619" s="9">
        <f>U1619+T1619*d_topup_amt</f>
        <v/>
      </c>
      <c r="W1619" s="40">
        <f>N1619+T1619*d_topup_ratio</f>
        <v/>
      </c>
      <c r="X1619" s="40">
        <f>SUMIFS(W1601:W1621,B1601:B1621,B1619-in_dpd_lag)*d_cured</f>
        <v/>
      </c>
      <c r="Y1619" s="40">
        <f>SUMIFS(W1601:W1621,B1601:B1621,B1619-in_rec_lag)*d_recd</f>
        <v/>
      </c>
      <c r="Z1619" s="40">
        <f>IF(AND(B1619&gt;=in_marketplace_from,B1619&lt;in_marketplace_from+in_card_months),in_card_share/in_card_months*F1619*I1619,IF(AND(B1619&gt;=in_marketplace_from+in_card_months,B1619&lt;in_marketplace_from+2*in_card_months),in_card_share*d_card_rem/in_card_months*F1619*MIN(in_takeup_cap,(1+in_takeup_growth)^(D1619-1))*MIN(in_takeup_cap,(1+in_approval_growth)^(D1619-1)),0))</f>
        <v/>
      </c>
      <c r="AA1619" s="14">
        <f>V1619*in_fee*(1-in_taken_back)</f>
        <v/>
      </c>
      <c r="AB1619" s="14">
        <f>SUMIFS(W1601:W1621,B1601:B1621,B1619-in_dpd_lag)*d_dpd</f>
        <v/>
      </c>
      <c r="AC1619" s="14">
        <f>SUMIFS(W1601:W1621,B1601:B1621,B1619-in_rec_lag)*d_rec</f>
        <v/>
      </c>
      <c r="AD1619" s="14">
        <f>Z1619*in_card_fee</f>
        <v/>
      </c>
      <c r="AE1619" s="40">
        <f>AE1618*(1-IF(B1618&gt;=in_marketplace_from,d_hz_hlth_small*G1618,0))</f>
        <v/>
      </c>
      <c r="AF1619" s="46">
        <f>AE1619*IF(B1619&gt;=in_marketplace_from,d_hz_hlth_small*G1619,0)</f>
        <v/>
      </c>
      <c r="AG1619" s="14">
        <f>F1619*AF1619*in_hlth_small_ticket*in_hlth_small_comm*in_ins_partner_share+F1619*in_hlth_small_ticket*in_hlth_small_renew_comm*in_ins_partner_share*(in_hlth_small_renew^1*SUMIFS(AF1601:AF1621,B1601:B1621,B1619-12)+in_hlth_small_renew^2*SUMIFS(AF1601:AF1621,B1601:B1621,B1619-24)+in_hlth_small_renew^3*SUMIFS(AF1601:AF1621,B1601:B1621,B1619-36)+in_hlth_small_renew^4*SUMIFS(AF1601:AF1621,B1601:B1621,B1619-48))</f>
        <v/>
      </c>
      <c r="AH1619" s="40">
        <f>AH1618*(1-IF(B1618&gt;=in_marketplace_from,d_hz_hlth_family*G1618,0))</f>
        <v/>
      </c>
      <c r="AI1619" s="46">
        <f>AH1619*IF(B1619&gt;=in_marketplace_from,d_hz_hlth_family*G1619,0)</f>
        <v/>
      </c>
      <c r="AJ1619" s="14">
        <f>F1619*AI1619*in_hlth_family_ticket*in_hlth_family_comm*in_ins_partner_share+F1619*in_hlth_family_ticket*in_hlth_family_renew_comm*in_ins_partner_share*(in_hlth_family_renew^1*SUMIFS(AI1601:AI1621,B1601:B1621,B1619-12)+in_hlth_family_renew^2*SUMIFS(AI1601:AI1621,B1601:B1621,B1619-24)+in_hlth_family_renew^3*SUMIFS(AI1601:AI1621,B1601:B1621,B1619-36)+in_hlth_family_renew^4*SUMIFS(AI1601:AI1621,B1601:B1621,B1619-48))</f>
        <v/>
      </c>
      <c r="AK1619" s="40">
        <f>AK1618*(1-IF(B1618&gt;=in_marketplace_from,d_hz_life_term*G1618,0))</f>
        <v/>
      </c>
      <c r="AL1619" s="46">
        <f>AK1619*IF(B1619&gt;=in_marketplace_from,d_hz_life_term*G1619,0)</f>
        <v/>
      </c>
      <c r="AM1619" s="14">
        <f>F1619*AL1619*in_life_term_ticket*in_life_term_comm*in_ins_partner_share+F1619*in_life_term_ticket*in_life_term_renew_comm*in_ins_partner_share*(in_life_term_renew^1*SUMIFS(AL1601:AL1621,B1601:B1621,B1619-12)+in_life_term_renew^2*SUMIFS(AL1601:AL1621,B1601:B1621,B1619-24)+in_life_term_renew^3*SUMIFS(AL1601:AL1621,B1601:B1621,B1619-36)+in_life_term_renew^4*SUMIFS(AL1601:AL1621,B1601:B1621,B1619-48))</f>
        <v/>
      </c>
      <c r="AN1619" s="40">
        <f>AN1618*(1-IF(B1618&gt;=in_marketplace_from,d_hz_accident*G1618,0))</f>
        <v/>
      </c>
      <c r="AO1619" s="46">
        <f>AN1619*IF(B1619&gt;=in_marketplace_from,d_hz_accident*G1619,0)</f>
        <v/>
      </c>
      <c r="AP1619" s="14">
        <f>F1619*AO1619*in_accident_ticket*in_accident_comm*in_ins_partner_share+F1619*in_accident_ticket*in_accident_renew_comm*in_ins_partner_share*(in_accident_renew^1*SUMIFS(AO1601:AO1621,B1601:B1621,B1619-12)+in_accident_renew^2*SUMIFS(AO1601:AO1621,B1601:B1621,B1619-24)+in_accident_renew^3*SUMIFS(AO1601:AO1621,B1601:B1621,B1619-36)+in_accident_renew^4*SUMIFS(AO1601:AO1621,B1601:B1621,B1619-48))</f>
        <v/>
      </c>
      <c r="AQ1619" s="40">
        <f>AQ1618*(1-IF(B1618&gt;=in_marketplace_from,d_hz_two_wheeler*G1618,0))</f>
        <v/>
      </c>
      <c r="AR1619" s="46">
        <f>AQ1619*IF(B1619&gt;=in_marketplace_from,d_hz_two_wheeler*G1619,0)</f>
        <v/>
      </c>
      <c r="AS1619" s="14">
        <f>F1619*AR1619*in_two_wheeler_ticket*in_two_wheeler_comm*in_ins_partner_share+F1619*in_two_wheeler_ticket*in_two_wheeler_comm*in_ins_partner_share*(in_two_wheeler_renew^1*SUMIFS(AR1601:AR1621,B1601:B1621,B1619-12)+in_two_wheeler_renew^2*SUMIFS(AR1601:AR1621,B1601:B1621,B1619-24)+in_two_wheeler_renew^3*SUMIFS(AR1601:AR1621,B1601:B1621,B1619-36)+in_two_wheeler_renew^4*SUMIFS(AR1601:AR1621,B1601:B1621,B1619-48))</f>
        <v/>
      </c>
      <c r="AT1619" s="40">
        <f>AT1618*(1-IF(B1618&gt;=in_marketplace_from,d_hz_device*G1618,0))</f>
        <v/>
      </c>
      <c r="AU1619" s="14">
        <f>F1619*AT1619*IF(B1619&gt;=in_marketplace_from,d_hz_device*G1619,0)*in_device_ticket*in_device_comm*in_ins_partner_share</f>
        <v/>
      </c>
      <c r="AV1619" s="40">
        <f>AV1618*(1-IF(B1618&gt;=in_marketplace_from,d_hz_shop*G1618,0))</f>
        <v/>
      </c>
      <c r="AW1619" s="46">
        <f>AV1619*IF(B1619&gt;=in_marketplace_from,d_hz_shop*G1619,0)</f>
        <v/>
      </c>
      <c r="AX1619" s="14">
        <f>F1619*AW1619*in_shop_ticket*in_shop_comm*in_ins_partner_share+F1619*in_shop_ticket*in_shop_renew_comm*in_ins_partner_share*(in_shop_renew^1*SUMIFS(AW1601:AW1621,B1601:B1621,B1619-12)+in_shop_renew^2*SUMIFS(AW1601:AW1621,B1601:B1621,B1619-24)+in_shop_renew^3*SUMIFS(AW1601:AW1621,B1601:B1621,B1619-36)+in_shop_renew^4*SUMIFS(AW1601:AW1621,B1601:B1621,B1619-48))</f>
        <v/>
      </c>
      <c r="AY1619" s="40">
        <f>AY1618*(1-IF(B1618&gt;=in_marketplace_from,d_hz_sip*G1618,0))</f>
        <v/>
      </c>
      <c r="AZ1619" s="40">
        <f>AZ1618*d_rho_sip+AY1619*IF(B1619&gt;=in_marketplace_from,d_hz_sip*G1619,0)</f>
        <v/>
      </c>
      <c r="BA1619" s="40">
        <f>d_rho_sip*(BA1618+AZ1618)</f>
        <v/>
      </c>
      <c r="BB1619" s="14">
        <f>F1619*in_sip_ticket*(BA1619+0.5*AZ1619)*in_sip_comm/12</f>
        <v/>
      </c>
      <c r="BC1619" s="40">
        <f>BC1618*(1-IF(B1618&gt;=in_marketplace_from,d_hz_choti*G1618,0))</f>
        <v/>
      </c>
      <c r="BD1619" s="46">
        <f>BC1619*IF(B1619&gt;=in_marketplace_from,d_hz_choti*G1619,0)</f>
        <v/>
      </c>
      <c r="BE1619" s="14">
        <f>F1619*SUMIFS(BD1601:BD1621,B1601:B1621,B1619-in_choti_months)*in_choti_renew*in_choti_ticket</f>
        <v/>
      </c>
      <c r="BF1619" s="40">
        <f>BF1618*(1-IF(B1618&gt;=in_marketplace_from,d_hz_nps*G1618,0))</f>
        <v/>
      </c>
      <c r="BG1619" s="14">
        <f>F1619*BF1619*IF(B1619&gt;=in_marketplace_from,d_hz_nps*G1619,0)*in_nps_ticket*in_nps_comm</f>
        <v/>
      </c>
      <c r="BH1619" s="40">
        <f>BH1618*(1-IF(B1618&gt;=in_marketplace_from,d_hz_gold*G1618,0))</f>
        <v/>
      </c>
      <c r="BI1619" s="40">
        <f>BI1618*d_rho_gold+BH1619*IF(B1619&gt;=in_marketplace_from,d_hz_gold*G1619,0)</f>
        <v/>
      </c>
      <c r="BJ1619" s="14">
        <f>F1619*BI1619*in_gold_ticket*in_gold_comm</f>
        <v/>
      </c>
      <c r="BK1619" s="40">
        <f>BK1618*(1-IF(B1618&gt;=in_marketplace_from,d_hz_fd*G1618,0))</f>
        <v/>
      </c>
      <c r="BL1619" s="14">
        <f>F1619*BK1619*IF(B1619&gt;=in_marketplace_from,d_hz_fd*G1619,0)*in_fd_ticket*in_fd_comm</f>
        <v/>
      </c>
      <c r="BM1619" s="40">
        <f>BM1618*(1-IF(B1618&gt;=in_marketplace_from,d_hz_recharge*G1618,0))</f>
        <v/>
      </c>
      <c r="BN1619" s="40">
        <f>BN1618*d_rho_recharge+BM1619*IF(B1619&gt;=in_marketplace_from,d_hz_recharge*G1619,0)</f>
        <v/>
      </c>
      <c r="BO1619" s="14">
        <f>F1619*BN1619*in_recharge_ticket*in_recharge_comm/12</f>
        <v/>
      </c>
      <c r="BP1619" s="40">
        <f>BP1618*(1-IF(B1618&gt;=in_marketplace_from,d_hz_bills*G1618,0))</f>
        <v/>
      </c>
      <c r="BQ1619" s="40">
        <f>BQ1618*d_rho_bills+BP1619*IF(B1619&gt;=in_marketplace_from,d_hz_bills*G1619,0)</f>
        <v/>
      </c>
      <c r="BR1619" s="14">
        <f>F1619*BQ1619*in_bills_ticket*in_bills_comm/12</f>
        <v/>
      </c>
      <c r="BS1619" s="40">
        <f>BS1618*(1-IF(B1618&gt;=in_marketplace_from,d_hz_loan_gold*G1618,0))</f>
        <v/>
      </c>
      <c r="BT1619" s="14">
        <f>F1619*BS1619*IF(B1619&gt;=in_marketplace_from,d_hz_loan_gold*G1619,0)*in_loan_gold_ticket*in_loan_gold_comm</f>
        <v/>
      </c>
      <c r="BU1619" s="40">
        <f>BU1618*(1-IF(B1618&gt;=in_marketplace_from,d_hz_loan_cd*G1618,0))</f>
        <v/>
      </c>
      <c r="BV1619" s="14">
        <f>F1619*BU1619*IF(B1619&gt;=in_marketplace_from,d_hz_loan_cd*G1619,0)*in_loan_cd_ticket*in_loan_cd_comm</f>
        <v/>
      </c>
      <c r="BW1619" s="40">
        <f>BW1618*(1-IF(B1618&gt;=in_marketplace_from,d_hz_loan_vehicle*G1618,0))</f>
        <v/>
      </c>
      <c r="BX1619" s="14">
        <f>F1619*BW1619*IF(B1619&gt;=in_marketplace_from,d_hz_loan_vehicle*G1619,0)*in_loan_vehicle_ticket*in_loan_vehicle_comm</f>
        <v/>
      </c>
      <c r="BY1619" s="40">
        <f>BY1618*(1-IF(B1618&gt;=in_marketplace_from,d_hz_loan_home*G1618,0)*BZ1618)</f>
        <v/>
      </c>
      <c r="BZ1619" s="11">
        <f>MIN(in_approval_cap,in_loan_home_approval*INDEX('Age profile'!$O$2:$O$61,B1619)*(1+in_approval_growth)^(D1619-1))</f>
        <v/>
      </c>
      <c r="CA1619" s="14">
        <f>F1619*BY1619*IF(B1619&gt;=in_marketplace_from,d_hz_loan_home*G1619,0)*BZ1619*in_loan_home_ticket*in_loan_home_comm</f>
        <v/>
      </c>
      <c r="CB1619" s="40">
        <f>CB1618*(1-IF(B1618&gt;=in_marketplace_from,d_hz_loan_lap*G1618,0)*CC1618)</f>
        <v/>
      </c>
      <c r="CC1619" s="11">
        <f>MIN(in_approval_cap,in_loan_lap_approval*INDEX('Age profile'!$O$2:$O$61,B1619)*(1+in_approval_growth)^(D1619-1))</f>
        <v/>
      </c>
      <c r="CD1619" s="14">
        <f>F1619*CB1619*IF(B1619&gt;=in_marketplace_from,d_hz_loan_lap*G1619,0)*CC1619*in_loan_lap_ticket*in_loan_lap_comm</f>
        <v/>
      </c>
      <c r="CE1619" s="14">
        <f>AA1619+AB1619+AC1619+AD1619+AG1619+AJ1619+AM1619+AP1619+AS1619+AU1619+AX1619+BB1619+BE1619+BG1619+BJ1619+BL1619+BO1619+BR1619+BT1619+BV1619+BX1619+CA1619+CD1619</f>
        <v/>
      </c>
    </row>
    <row r="1620">
      <c r="A1620" s="39" t="n">
        <v>40</v>
      </c>
      <c r="B1620" s="39" t="n">
        <v>20</v>
      </c>
      <c r="C1620" s="39">
        <f>A1620+B1620-1</f>
        <v/>
      </c>
      <c r="D1620" s="39">
        <f>INT((C1620-1)/12)+1</f>
        <v/>
      </c>
      <c r="E1620" s="44">
        <f>INDEX(Monthly!$B$2:$B$61,A1620)</f>
        <v/>
      </c>
      <c r="F1620" s="44">
        <f>E1620*INDEX('Age profile'!$B$2:$B$61,B1620)</f>
        <v/>
      </c>
      <c r="G1620" s="45">
        <f>MIN(in_takeup_cap,INDEX('Age profile'!$N$2:$N$61,B1620)*(1+in_takeup_growth)^(D1620-1))</f>
        <v/>
      </c>
      <c r="H1620" s="11">
        <f>MIN(in_approval_cap,in_approved_first*INDEX('Age profile'!$O$2:$O$61,B1620)*(1+in_approval_growth)^(D1620-1))</f>
        <v/>
      </c>
      <c r="I1620" s="45">
        <f>G1620*MIN(in_takeup_cap,INDEX('Age profile'!$O$2:$O$61,B1620)*(1+in_approval_growth)^(D1620-1))</f>
        <v/>
      </c>
      <c r="J1620" s="40">
        <f>(J1619-L1619)*F1620/F1619</f>
        <v/>
      </c>
      <c r="K1620" s="40">
        <f>(K1619-M1619)*F1620/F1619+SUMIFS(O1601:O1619,B1601:B1619,B1620-1-d_T)*F1620</f>
        <v/>
      </c>
      <c r="L1620" s="40">
        <f>IF(B1620&gt;=in_marketplace_from,J1620*d_hz*G1620*in_eligible*H1620,0)</f>
        <v/>
      </c>
      <c r="M1620" s="40">
        <f>IF(B1620&gt;=in_marketplace_from,K1620*d_hz*G1620*in_eligible*in_approved_repeat,0)</f>
        <v/>
      </c>
      <c r="N1620" s="40">
        <f>L1620+M1620</f>
        <v/>
      </c>
      <c r="O1620" s="46">
        <f>N1620/F1620</f>
        <v/>
      </c>
      <c r="P1620" s="40">
        <f>F1620-J1620-K1620</f>
        <v/>
      </c>
      <c r="Q1620" s="40">
        <f>IF(B1620&gt;=in_marketplace_from,(J1620+K1620)*d_hz*G1620,0)</f>
        <v/>
      </c>
      <c r="R1620" s="40">
        <f>SUMIFS(N1601:N1621,B1601:B1621,"&gt;="&amp;(B1620-d_T),B1601:B1621,"&lt;="&amp;(B1620-1))</f>
        <v/>
      </c>
      <c r="S1620" s="46">
        <f>(1-d_u)*S1619+IF(d_T&gt;in_topup_lag,SUMIFS(O1601:O1621,B1601:B1621,B1620-in_topup_lag)-d_udrop*SUMIFS(O1601:O1621,B1601:B1621,B1620-d_T),0)</f>
        <v/>
      </c>
      <c r="T1620" s="40">
        <f>F1620*d_u*S1620</f>
        <v/>
      </c>
      <c r="U1620" s="9">
        <f>L1620*in_ticket+M1620*d_rep_ticket</f>
        <v/>
      </c>
      <c r="V1620" s="9">
        <f>U1620+T1620*d_topup_amt</f>
        <v/>
      </c>
      <c r="W1620" s="40">
        <f>N1620+T1620*d_topup_ratio</f>
        <v/>
      </c>
      <c r="X1620" s="40">
        <f>SUMIFS(W1601:W1621,B1601:B1621,B1620-in_dpd_lag)*d_cured</f>
        <v/>
      </c>
      <c r="Y1620" s="40">
        <f>SUMIFS(W1601:W1621,B1601:B1621,B1620-in_rec_lag)*d_recd</f>
        <v/>
      </c>
      <c r="Z1620" s="40">
        <f>IF(AND(B1620&gt;=in_marketplace_from,B1620&lt;in_marketplace_from+in_card_months),in_card_share/in_card_months*F1620*I1620,IF(AND(B1620&gt;=in_marketplace_from+in_card_months,B1620&lt;in_marketplace_from+2*in_card_months),in_card_share*d_card_rem/in_card_months*F1620*MIN(in_takeup_cap,(1+in_takeup_growth)^(D1620-1))*MIN(in_takeup_cap,(1+in_approval_growth)^(D1620-1)),0))</f>
        <v/>
      </c>
      <c r="AA1620" s="14">
        <f>V1620*in_fee*(1-in_taken_back)</f>
        <v/>
      </c>
      <c r="AB1620" s="14">
        <f>SUMIFS(W1601:W1621,B1601:B1621,B1620-in_dpd_lag)*d_dpd</f>
        <v/>
      </c>
      <c r="AC1620" s="14">
        <f>SUMIFS(W1601:W1621,B1601:B1621,B1620-in_rec_lag)*d_rec</f>
        <v/>
      </c>
      <c r="AD1620" s="14">
        <f>Z1620*in_card_fee</f>
        <v/>
      </c>
      <c r="AE1620" s="40">
        <f>AE1619*(1-IF(B1619&gt;=in_marketplace_from,d_hz_hlth_small*G1619,0))</f>
        <v/>
      </c>
      <c r="AF1620" s="46">
        <f>AE1620*IF(B1620&gt;=in_marketplace_from,d_hz_hlth_small*G1620,0)</f>
        <v/>
      </c>
      <c r="AG1620" s="14">
        <f>F1620*AF1620*in_hlth_small_ticket*in_hlth_small_comm*in_ins_partner_share+F1620*in_hlth_small_ticket*in_hlth_small_renew_comm*in_ins_partner_share*(in_hlth_small_renew^1*SUMIFS(AF1601:AF1621,B1601:B1621,B1620-12)+in_hlth_small_renew^2*SUMIFS(AF1601:AF1621,B1601:B1621,B1620-24)+in_hlth_small_renew^3*SUMIFS(AF1601:AF1621,B1601:B1621,B1620-36)+in_hlth_small_renew^4*SUMIFS(AF1601:AF1621,B1601:B1621,B1620-48))</f>
        <v/>
      </c>
      <c r="AH1620" s="40">
        <f>AH1619*(1-IF(B1619&gt;=in_marketplace_from,d_hz_hlth_family*G1619,0))</f>
        <v/>
      </c>
      <c r="AI1620" s="46">
        <f>AH1620*IF(B1620&gt;=in_marketplace_from,d_hz_hlth_family*G1620,0)</f>
        <v/>
      </c>
      <c r="AJ1620" s="14">
        <f>F1620*AI1620*in_hlth_family_ticket*in_hlth_family_comm*in_ins_partner_share+F1620*in_hlth_family_ticket*in_hlth_family_renew_comm*in_ins_partner_share*(in_hlth_family_renew^1*SUMIFS(AI1601:AI1621,B1601:B1621,B1620-12)+in_hlth_family_renew^2*SUMIFS(AI1601:AI1621,B1601:B1621,B1620-24)+in_hlth_family_renew^3*SUMIFS(AI1601:AI1621,B1601:B1621,B1620-36)+in_hlth_family_renew^4*SUMIFS(AI1601:AI1621,B1601:B1621,B1620-48))</f>
        <v/>
      </c>
      <c r="AK1620" s="40">
        <f>AK1619*(1-IF(B1619&gt;=in_marketplace_from,d_hz_life_term*G1619,0))</f>
        <v/>
      </c>
      <c r="AL1620" s="46">
        <f>AK1620*IF(B1620&gt;=in_marketplace_from,d_hz_life_term*G1620,0)</f>
        <v/>
      </c>
      <c r="AM1620" s="14">
        <f>F1620*AL1620*in_life_term_ticket*in_life_term_comm*in_ins_partner_share+F1620*in_life_term_ticket*in_life_term_renew_comm*in_ins_partner_share*(in_life_term_renew^1*SUMIFS(AL1601:AL1621,B1601:B1621,B1620-12)+in_life_term_renew^2*SUMIFS(AL1601:AL1621,B1601:B1621,B1620-24)+in_life_term_renew^3*SUMIFS(AL1601:AL1621,B1601:B1621,B1620-36)+in_life_term_renew^4*SUMIFS(AL1601:AL1621,B1601:B1621,B1620-48))</f>
        <v/>
      </c>
      <c r="AN1620" s="40">
        <f>AN1619*(1-IF(B1619&gt;=in_marketplace_from,d_hz_accident*G1619,0))</f>
        <v/>
      </c>
      <c r="AO1620" s="46">
        <f>AN1620*IF(B1620&gt;=in_marketplace_from,d_hz_accident*G1620,0)</f>
        <v/>
      </c>
      <c r="AP1620" s="14">
        <f>F1620*AO1620*in_accident_ticket*in_accident_comm*in_ins_partner_share+F1620*in_accident_ticket*in_accident_renew_comm*in_ins_partner_share*(in_accident_renew^1*SUMIFS(AO1601:AO1621,B1601:B1621,B1620-12)+in_accident_renew^2*SUMIFS(AO1601:AO1621,B1601:B1621,B1620-24)+in_accident_renew^3*SUMIFS(AO1601:AO1621,B1601:B1621,B1620-36)+in_accident_renew^4*SUMIFS(AO1601:AO1621,B1601:B1621,B1620-48))</f>
        <v/>
      </c>
      <c r="AQ1620" s="40">
        <f>AQ1619*(1-IF(B1619&gt;=in_marketplace_from,d_hz_two_wheeler*G1619,0))</f>
        <v/>
      </c>
      <c r="AR1620" s="46">
        <f>AQ1620*IF(B1620&gt;=in_marketplace_from,d_hz_two_wheeler*G1620,0)</f>
        <v/>
      </c>
      <c r="AS1620" s="14">
        <f>F1620*AR1620*in_two_wheeler_ticket*in_two_wheeler_comm*in_ins_partner_share+F1620*in_two_wheeler_ticket*in_two_wheeler_comm*in_ins_partner_share*(in_two_wheeler_renew^1*SUMIFS(AR1601:AR1621,B1601:B1621,B1620-12)+in_two_wheeler_renew^2*SUMIFS(AR1601:AR1621,B1601:B1621,B1620-24)+in_two_wheeler_renew^3*SUMIFS(AR1601:AR1621,B1601:B1621,B1620-36)+in_two_wheeler_renew^4*SUMIFS(AR1601:AR1621,B1601:B1621,B1620-48))</f>
        <v/>
      </c>
      <c r="AT1620" s="40">
        <f>AT1619*(1-IF(B1619&gt;=in_marketplace_from,d_hz_device*G1619,0))</f>
        <v/>
      </c>
      <c r="AU1620" s="14">
        <f>F1620*AT1620*IF(B1620&gt;=in_marketplace_from,d_hz_device*G1620,0)*in_device_ticket*in_device_comm*in_ins_partner_share</f>
        <v/>
      </c>
      <c r="AV1620" s="40">
        <f>AV1619*(1-IF(B1619&gt;=in_marketplace_from,d_hz_shop*G1619,0))</f>
        <v/>
      </c>
      <c r="AW1620" s="46">
        <f>AV1620*IF(B1620&gt;=in_marketplace_from,d_hz_shop*G1620,0)</f>
        <v/>
      </c>
      <c r="AX1620" s="14">
        <f>F1620*AW1620*in_shop_ticket*in_shop_comm*in_ins_partner_share+F1620*in_shop_ticket*in_shop_renew_comm*in_ins_partner_share*(in_shop_renew^1*SUMIFS(AW1601:AW1621,B1601:B1621,B1620-12)+in_shop_renew^2*SUMIFS(AW1601:AW1621,B1601:B1621,B1620-24)+in_shop_renew^3*SUMIFS(AW1601:AW1621,B1601:B1621,B1620-36)+in_shop_renew^4*SUMIFS(AW1601:AW1621,B1601:B1621,B1620-48))</f>
        <v/>
      </c>
      <c r="AY1620" s="40">
        <f>AY1619*(1-IF(B1619&gt;=in_marketplace_from,d_hz_sip*G1619,0))</f>
        <v/>
      </c>
      <c r="AZ1620" s="40">
        <f>AZ1619*d_rho_sip+AY1620*IF(B1620&gt;=in_marketplace_from,d_hz_sip*G1620,0)</f>
        <v/>
      </c>
      <c r="BA1620" s="40">
        <f>d_rho_sip*(BA1619+AZ1619)</f>
        <v/>
      </c>
      <c r="BB1620" s="14">
        <f>F1620*in_sip_ticket*(BA1620+0.5*AZ1620)*in_sip_comm/12</f>
        <v/>
      </c>
      <c r="BC1620" s="40">
        <f>BC1619*(1-IF(B1619&gt;=in_marketplace_from,d_hz_choti*G1619,0))</f>
        <v/>
      </c>
      <c r="BD1620" s="46">
        <f>BC1620*IF(B1620&gt;=in_marketplace_from,d_hz_choti*G1620,0)</f>
        <v/>
      </c>
      <c r="BE1620" s="14">
        <f>F1620*SUMIFS(BD1601:BD1621,B1601:B1621,B1620-in_choti_months)*in_choti_renew*in_choti_ticket</f>
        <v/>
      </c>
      <c r="BF1620" s="40">
        <f>BF1619*(1-IF(B1619&gt;=in_marketplace_from,d_hz_nps*G1619,0))</f>
        <v/>
      </c>
      <c r="BG1620" s="14">
        <f>F1620*BF1620*IF(B1620&gt;=in_marketplace_from,d_hz_nps*G1620,0)*in_nps_ticket*in_nps_comm</f>
        <v/>
      </c>
      <c r="BH1620" s="40">
        <f>BH1619*(1-IF(B1619&gt;=in_marketplace_from,d_hz_gold*G1619,0))</f>
        <v/>
      </c>
      <c r="BI1620" s="40">
        <f>BI1619*d_rho_gold+BH1620*IF(B1620&gt;=in_marketplace_from,d_hz_gold*G1620,0)</f>
        <v/>
      </c>
      <c r="BJ1620" s="14">
        <f>F1620*BI1620*in_gold_ticket*in_gold_comm</f>
        <v/>
      </c>
      <c r="BK1620" s="40">
        <f>BK1619*(1-IF(B1619&gt;=in_marketplace_from,d_hz_fd*G1619,0))</f>
        <v/>
      </c>
      <c r="BL1620" s="14">
        <f>F1620*BK1620*IF(B1620&gt;=in_marketplace_from,d_hz_fd*G1620,0)*in_fd_ticket*in_fd_comm</f>
        <v/>
      </c>
      <c r="BM1620" s="40">
        <f>BM1619*(1-IF(B1619&gt;=in_marketplace_from,d_hz_recharge*G1619,0))</f>
        <v/>
      </c>
      <c r="BN1620" s="40">
        <f>BN1619*d_rho_recharge+BM1620*IF(B1620&gt;=in_marketplace_from,d_hz_recharge*G1620,0)</f>
        <v/>
      </c>
      <c r="BO1620" s="14">
        <f>F1620*BN1620*in_recharge_ticket*in_recharge_comm/12</f>
        <v/>
      </c>
      <c r="BP1620" s="40">
        <f>BP1619*(1-IF(B1619&gt;=in_marketplace_from,d_hz_bills*G1619,0))</f>
        <v/>
      </c>
      <c r="BQ1620" s="40">
        <f>BQ1619*d_rho_bills+BP1620*IF(B1620&gt;=in_marketplace_from,d_hz_bills*G1620,0)</f>
        <v/>
      </c>
      <c r="BR1620" s="14">
        <f>F1620*BQ1620*in_bills_ticket*in_bills_comm/12</f>
        <v/>
      </c>
      <c r="BS1620" s="40">
        <f>BS1619*(1-IF(B1619&gt;=in_marketplace_from,d_hz_loan_gold*G1619,0))</f>
        <v/>
      </c>
      <c r="BT1620" s="14">
        <f>F1620*BS1620*IF(B1620&gt;=in_marketplace_from,d_hz_loan_gold*G1620,0)*in_loan_gold_ticket*in_loan_gold_comm</f>
        <v/>
      </c>
      <c r="BU1620" s="40">
        <f>BU1619*(1-IF(B1619&gt;=in_marketplace_from,d_hz_loan_cd*G1619,0))</f>
        <v/>
      </c>
      <c r="BV1620" s="14">
        <f>F1620*BU1620*IF(B1620&gt;=in_marketplace_from,d_hz_loan_cd*G1620,0)*in_loan_cd_ticket*in_loan_cd_comm</f>
        <v/>
      </c>
      <c r="BW1620" s="40">
        <f>BW1619*(1-IF(B1619&gt;=in_marketplace_from,d_hz_loan_vehicle*G1619,0))</f>
        <v/>
      </c>
      <c r="BX1620" s="14">
        <f>F1620*BW1620*IF(B1620&gt;=in_marketplace_from,d_hz_loan_vehicle*G1620,0)*in_loan_vehicle_ticket*in_loan_vehicle_comm</f>
        <v/>
      </c>
      <c r="BY1620" s="40">
        <f>BY1619*(1-IF(B1619&gt;=in_marketplace_from,d_hz_loan_home*G1619,0)*BZ1619)</f>
        <v/>
      </c>
      <c r="BZ1620" s="11">
        <f>MIN(in_approval_cap,in_loan_home_approval*INDEX('Age profile'!$O$2:$O$61,B1620)*(1+in_approval_growth)^(D1620-1))</f>
        <v/>
      </c>
      <c r="CA1620" s="14">
        <f>F1620*BY1620*IF(B1620&gt;=in_marketplace_from,d_hz_loan_home*G1620,0)*BZ1620*in_loan_home_ticket*in_loan_home_comm</f>
        <v/>
      </c>
      <c r="CB1620" s="40">
        <f>CB1619*(1-IF(B1619&gt;=in_marketplace_from,d_hz_loan_lap*G1619,0)*CC1619)</f>
        <v/>
      </c>
      <c r="CC1620" s="11">
        <f>MIN(in_approval_cap,in_loan_lap_approval*INDEX('Age profile'!$O$2:$O$61,B1620)*(1+in_approval_growth)^(D1620-1))</f>
        <v/>
      </c>
      <c r="CD1620" s="14">
        <f>F1620*CB1620*IF(B1620&gt;=in_marketplace_from,d_hz_loan_lap*G1620,0)*CC1620*in_loan_lap_ticket*in_loan_lap_comm</f>
        <v/>
      </c>
      <c r="CE1620" s="14">
        <f>AA1620+AB1620+AC1620+AD1620+AG1620+AJ1620+AM1620+AP1620+AS1620+AU1620+AX1620+BB1620+BE1620+BG1620+BJ1620+BL1620+BO1620+BR1620+BT1620+BV1620+BX1620+CA1620+CD1620</f>
        <v/>
      </c>
    </row>
    <row r="1621">
      <c r="A1621" s="39" t="n">
        <v>40</v>
      </c>
      <c r="B1621" s="39" t="n">
        <v>21</v>
      </c>
      <c r="C1621" s="39">
        <f>A1621+B1621-1</f>
        <v/>
      </c>
      <c r="D1621" s="39">
        <f>INT((C1621-1)/12)+1</f>
        <v/>
      </c>
      <c r="E1621" s="44">
        <f>INDEX(Monthly!$B$2:$B$61,A1621)</f>
        <v/>
      </c>
      <c r="F1621" s="44">
        <f>E1621*INDEX('Age profile'!$B$2:$B$61,B1621)</f>
        <v/>
      </c>
      <c r="G1621" s="45">
        <f>MIN(in_takeup_cap,INDEX('Age profile'!$N$2:$N$61,B1621)*(1+in_takeup_growth)^(D1621-1))</f>
        <v/>
      </c>
      <c r="H1621" s="11">
        <f>MIN(in_approval_cap,in_approved_first*INDEX('Age profile'!$O$2:$O$61,B1621)*(1+in_approval_growth)^(D1621-1))</f>
        <v/>
      </c>
      <c r="I1621" s="45">
        <f>G1621*MIN(in_takeup_cap,INDEX('Age profile'!$O$2:$O$61,B1621)*(1+in_approval_growth)^(D1621-1))</f>
        <v/>
      </c>
      <c r="J1621" s="40">
        <f>(J1620-L1620)*F1621/F1620</f>
        <v/>
      </c>
      <c r="K1621" s="40">
        <f>(K1620-M1620)*F1621/F1620+SUMIFS(O1601:O1620,B1601:B1620,B1621-1-d_T)*F1621</f>
        <v/>
      </c>
      <c r="L1621" s="40">
        <f>IF(B1621&gt;=in_marketplace_from,J1621*d_hz*G1621*in_eligible*H1621,0)</f>
        <v/>
      </c>
      <c r="M1621" s="40">
        <f>IF(B1621&gt;=in_marketplace_from,K1621*d_hz*G1621*in_eligible*in_approved_repeat,0)</f>
        <v/>
      </c>
      <c r="N1621" s="40">
        <f>L1621+M1621</f>
        <v/>
      </c>
      <c r="O1621" s="46">
        <f>N1621/F1621</f>
        <v/>
      </c>
      <c r="P1621" s="40">
        <f>F1621-J1621-K1621</f>
        <v/>
      </c>
      <c r="Q1621" s="40">
        <f>IF(B1621&gt;=in_marketplace_from,(J1621+K1621)*d_hz*G1621,0)</f>
        <v/>
      </c>
      <c r="R1621" s="40">
        <f>SUMIFS(N1601:N1621,B1601:B1621,"&gt;="&amp;(B1621-d_T),B1601:B1621,"&lt;="&amp;(B1621-1))</f>
        <v/>
      </c>
      <c r="S1621" s="46">
        <f>(1-d_u)*S1620+IF(d_T&gt;in_topup_lag,SUMIFS(O1601:O1621,B1601:B1621,B1621-in_topup_lag)-d_udrop*SUMIFS(O1601:O1621,B1601:B1621,B1621-d_T),0)</f>
        <v/>
      </c>
      <c r="T1621" s="40">
        <f>F1621*d_u*S1621</f>
        <v/>
      </c>
      <c r="U1621" s="9">
        <f>L1621*in_ticket+M1621*d_rep_ticket</f>
        <v/>
      </c>
      <c r="V1621" s="9">
        <f>U1621+T1621*d_topup_amt</f>
        <v/>
      </c>
      <c r="W1621" s="40">
        <f>N1621+T1621*d_topup_ratio</f>
        <v/>
      </c>
      <c r="X1621" s="40">
        <f>SUMIFS(W1601:W1621,B1601:B1621,B1621-in_dpd_lag)*d_cured</f>
        <v/>
      </c>
      <c r="Y1621" s="40">
        <f>SUMIFS(W1601:W1621,B1601:B1621,B1621-in_rec_lag)*d_recd</f>
        <v/>
      </c>
      <c r="Z1621" s="40">
        <f>IF(AND(B1621&gt;=in_marketplace_from,B1621&lt;in_marketplace_from+in_card_months),in_card_share/in_card_months*F1621*I1621,IF(AND(B1621&gt;=in_marketplace_from+in_card_months,B1621&lt;in_marketplace_from+2*in_card_months),in_card_share*d_card_rem/in_card_months*F1621*MIN(in_takeup_cap,(1+in_takeup_growth)^(D1621-1))*MIN(in_takeup_cap,(1+in_approval_growth)^(D1621-1)),0))</f>
        <v/>
      </c>
      <c r="AA1621" s="14">
        <f>V1621*in_fee*(1-in_taken_back)</f>
        <v/>
      </c>
      <c r="AB1621" s="14">
        <f>SUMIFS(W1601:W1621,B1601:B1621,B1621-in_dpd_lag)*d_dpd</f>
        <v/>
      </c>
      <c r="AC1621" s="14">
        <f>SUMIFS(W1601:W1621,B1601:B1621,B1621-in_rec_lag)*d_rec</f>
        <v/>
      </c>
      <c r="AD1621" s="14">
        <f>Z1621*in_card_fee</f>
        <v/>
      </c>
      <c r="AE1621" s="40">
        <f>AE1620*(1-IF(B1620&gt;=in_marketplace_from,d_hz_hlth_small*G1620,0))</f>
        <v/>
      </c>
      <c r="AF1621" s="46">
        <f>AE1621*IF(B1621&gt;=in_marketplace_from,d_hz_hlth_small*G1621,0)</f>
        <v/>
      </c>
      <c r="AG1621" s="14">
        <f>F1621*AF1621*in_hlth_small_ticket*in_hlth_small_comm*in_ins_partner_share+F1621*in_hlth_small_ticket*in_hlth_small_renew_comm*in_ins_partner_share*(in_hlth_small_renew^1*SUMIFS(AF1601:AF1621,B1601:B1621,B1621-12)+in_hlth_small_renew^2*SUMIFS(AF1601:AF1621,B1601:B1621,B1621-24)+in_hlth_small_renew^3*SUMIFS(AF1601:AF1621,B1601:B1621,B1621-36)+in_hlth_small_renew^4*SUMIFS(AF1601:AF1621,B1601:B1621,B1621-48))</f>
        <v/>
      </c>
      <c r="AH1621" s="40">
        <f>AH1620*(1-IF(B1620&gt;=in_marketplace_from,d_hz_hlth_family*G1620,0))</f>
        <v/>
      </c>
      <c r="AI1621" s="46">
        <f>AH1621*IF(B1621&gt;=in_marketplace_from,d_hz_hlth_family*G1621,0)</f>
        <v/>
      </c>
      <c r="AJ1621" s="14">
        <f>F1621*AI1621*in_hlth_family_ticket*in_hlth_family_comm*in_ins_partner_share+F1621*in_hlth_family_ticket*in_hlth_family_renew_comm*in_ins_partner_share*(in_hlth_family_renew^1*SUMIFS(AI1601:AI1621,B1601:B1621,B1621-12)+in_hlth_family_renew^2*SUMIFS(AI1601:AI1621,B1601:B1621,B1621-24)+in_hlth_family_renew^3*SUMIFS(AI1601:AI1621,B1601:B1621,B1621-36)+in_hlth_family_renew^4*SUMIFS(AI1601:AI1621,B1601:B1621,B1621-48))</f>
        <v/>
      </c>
      <c r="AK1621" s="40">
        <f>AK1620*(1-IF(B1620&gt;=in_marketplace_from,d_hz_life_term*G1620,0))</f>
        <v/>
      </c>
      <c r="AL1621" s="46">
        <f>AK1621*IF(B1621&gt;=in_marketplace_from,d_hz_life_term*G1621,0)</f>
        <v/>
      </c>
      <c r="AM1621" s="14">
        <f>F1621*AL1621*in_life_term_ticket*in_life_term_comm*in_ins_partner_share+F1621*in_life_term_ticket*in_life_term_renew_comm*in_ins_partner_share*(in_life_term_renew^1*SUMIFS(AL1601:AL1621,B1601:B1621,B1621-12)+in_life_term_renew^2*SUMIFS(AL1601:AL1621,B1601:B1621,B1621-24)+in_life_term_renew^3*SUMIFS(AL1601:AL1621,B1601:B1621,B1621-36)+in_life_term_renew^4*SUMIFS(AL1601:AL1621,B1601:B1621,B1621-48))</f>
        <v/>
      </c>
      <c r="AN1621" s="40">
        <f>AN1620*(1-IF(B1620&gt;=in_marketplace_from,d_hz_accident*G1620,0))</f>
        <v/>
      </c>
      <c r="AO1621" s="46">
        <f>AN1621*IF(B1621&gt;=in_marketplace_from,d_hz_accident*G1621,0)</f>
        <v/>
      </c>
      <c r="AP1621" s="14">
        <f>F1621*AO1621*in_accident_ticket*in_accident_comm*in_ins_partner_share+F1621*in_accident_ticket*in_accident_renew_comm*in_ins_partner_share*(in_accident_renew^1*SUMIFS(AO1601:AO1621,B1601:B1621,B1621-12)+in_accident_renew^2*SUMIFS(AO1601:AO1621,B1601:B1621,B1621-24)+in_accident_renew^3*SUMIFS(AO1601:AO1621,B1601:B1621,B1621-36)+in_accident_renew^4*SUMIFS(AO1601:AO1621,B1601:B1621,B1621-48))</f>
        <v/>
      </c>
      <c r="AQ1621" s="40">
        <f>AQ1620*(1-IF(B1620&gt;=in_marketplace_from,d_hz_two_wheeler*G1620,0))</f>
        <v/>
      </c>
      <c r="AR1621" s="46">
        <f>AQ1621*IF(B1621&gt;=in_marketplace_from,d_hz_two_wheeler*G1621,0)</f>
        <v/>
      </c>
      <c r="AS1621" s="14">
        <f>F1621*AR1621*in_two_wheeler_ticket*in_two_wheeler_comm*in_ins_partner_share+F1621*in_two_wheeler_ticket*in_two_wheeler_comm*in_ins_partner_share*(in_two_wheeler_renew^1*SUMIFS(AR1601:AR1621,B1601:B1621,B1621-12)+in_two_wheeler_renew^2*SUMIFS(AR1601:AR1621,B1601:B1621,B1621-24)+in_two_wheeler_renew^3*SUMIFS(AR1601:AR1621,B1601:B1621,B1621-36)+in_two_wheeler_renew^4*SUMIFS(AR1601:AR1621,B1601:B1621,B1621-48))</f>
        <v/>
      </c>
      <c r="AT1621" s="40">
        <f>AT1620*(1-IF(B1620&gt;=in_marketplace_from,d_hz_device*G1620,0))</f>
        <v/>
      </c>
      <c r="AU1621" s="14">
        <f>F1621*AT1621*IF(B1621&gt;=in_marketplace_from,d_hz_device*G1621,0)*in_device_ticket*in_device_comm*in_ins_partner_share</f>
        <v/>
      </c>
      <c r="AV1621" s="40">
        <f>AV1620*(1-IF(B1620&gt;=in_marketplace_from,d_hz_shop*G1620,0))</f>
        <v/>
      </c>
      <c r="AW1621" s="46">
        <f>AV1621*IF(B1621&gt;=in_marketplace_from,d_hz_shop*G1621,0)</f>
        <v/>
      </c>
      <c r="AX1621" s="14">
        <f>F1621*AW1621*in_shop_ticket*in_shop_comm*in_ins_partner_share+F1621*in_shop_ticket*in_shop_renew_comm*in_ins_partner_share*(in_shop_renew^1*SUMIFS(AW1601:AW1621,B1601:B1621,B1621-12)+in_shop_renew^2*SUMIFS(AW1601:AW1621,B1601:B1621,B1621-24)+in_shop_renew^3*SUMIFS(AW1601:AW1621,B1601:B1621,B1621-36)+in_shop_renew^4*SUMIFS(AW1601:AW1621,B1601:B1621,B1621-48))</f>
        <v/>
      </c>
      <c r="AY1621" s="40">
        <f>AY1620*(1-IF(B1620&gt;=in_marketplace_from,d_hz_sip*G1620,0))</f>
        <v/>
      </c>
      <c r="AZ1621" s="40">
        <f>AZ1620*d_rho_sip+AY1621*IF(B1621&gt;=in_marketplace_from,d_hz_sip*G1621,0)</f>
        <v/>
      </c>
      <c r="BA1621" s="40">
        <f>d_rho_sip*(BA1620+AZ1620)</f>
        <v/>
      </c>
      <c r="BB1621" s="14">
        <f>F1621*in_sip_ticket*(BA1621+0.5*AZ1621)*in_sip_comm/12</f>
        <v/>
      </c>
      <c r="BC1621" s="40">
        <f>BC1620*(1-IF(B1620&gt;=in_marketplace_from,d_hz_choti*G1620,0))</f>
        <v/>
      </c>
      <c r="BD1621" s="46">
        <f>BC1621*IF(B1621&gt;=in_marketplace_from,d_hz_choti*G1621,0)</f>
        <v/>
      </c>
      <c r="BE1621" s="14">
        <f>F1621*SUMIFS(BD1601:BD1621,B1601:B1621,B1621-in_choti_months)*in_choti_renew*in_choti_ticket</f>
        <v/>
      </c>
      <c r="BF1621" s="40">
        <f>BF1620*(1-IF(B1620&gt;=in_marketplace_from,d_hz_nps*G1620,0))</f>
        <v/>
      </c>
      <c r="BG1621" s="14">
        <f>F1621*BF1621*IF(B1621&gt;=in_marketplace_from,d_hz_nps*G1621,0)*in_nps_ticket*in_nps_comm</f>
        <v/>
      </c>
      <c r="BH1621" s="40">
        <f>BH1620*(1-IF(B1620&gt;=in_marketplace_from,d_hz_gold*G1620,0))</f>
        <v/>
      </c>
      <c r="BI1621" s="40">
        <f>BI1620*d_rho_gold+BH1621*IF(B1621&gt;=in_marketplace_from,d_hz_gold*G1621,0)</f>
        <v/>
      </c>
      <c r="BJ1621" s="14">
        <f>F1621*BI1621*in_gold_ticket*in_gold_comm</f>
        <v/>
      </c>
      <c r="BK1621" s="40">
        <f>BK1620*(1-IF(B1620&gt;=in_marketplace_from,d_hz_fd*G1620,0))</f>
        <v/>
      </c>
      <c r="BL1621" s="14">
        <f>F1621*BK1621*IF(B1621&gt;=in_marketplace_from,d_hz_fd*G1621,0)*in_fd_ticket*in_fd_comm</f>
        <v/>
      </c>
      <c r="BM1621" s="40">
        <f>BM1620*(1-IF(B1620&gt;=in_marketplace_from,d_hz_recharge*G1620,0))</f>
        <v/>
      </c>
      <c r="BN1621" s="40">
        <f>BN1620*d_rho_recharge+BM1621*IF(B1621&gt;=in_marketplace_from,d_hz_recharge*G1621,0)</f>
        <v/>
      </c>
      <c r="BO1621" s="14">
        <f>F1621*BN1621*in_recharge_ticket*in_recharge_comm/12</f>
        <v/>
      </c>
      <c r="BP1621" s="40">
        <f>BP1620*(1-IF(B1620&gt;=in_marketplace_from,d_hz_bills*G1620,0))</f>
        <v/>
      </c>
      <c r="BQ1621" s="40">
        <f>BQ1620*d_rho_bills+BP1621*IF(B1621&gt;=in_marketplace_from,d_hz_bills*G1621,0)</f>
        <v/>
      </c>
      <c r="BR1621" s="14">
        <f>F1621*BQ1621*in_bills_ticket*in_bills_comm/12</f>
        <v/>
      </c>
      <c r="BS1621" s="40">
        <f>BS1620*(1-IF(B1620&gt;=in_marketplace_from,d_hz_loan_gold*G1620,0))</f>
        <v/>
      </c>
      <c r="BT1621" s="14">
        <f>F1621*BS1621*IF(B1621&gt;=in_marketplace_from,d_hz_loan_gold*G1621,0)*in_loan_gold_ticket*in_loan_gold_comm</f>
        <v/>
      </c>
      <c r="BU1621" s="40">
        <f>BU1620*(1-IF(B1620&gt;=in_marketplace_from,d_hz_loan_cd*G1620,0))</f>
        <v/>
      </c>
      <c r="BV1621" s="14">
        <f>F1621*BU1621*IF(B1621&gt;=in_marketplace_from,d_hz_loan_cd*G1621,0)*in_loan_cd_ticket*in_loan_cd_comm</f>
        <v/>
      </c>
      <c r="BW1621" s="40">
        <f>BW1620*(1-IF(B1620&gt;=in_marketplace_from,d_hz_loan_vehicle*G1620,0))</f>
        <v/>
      </c>
      <c r="BX1621" s="14">
        <f>F1621*BW1621*IF(B1621&gt;=in_marketplace_from,d_hz_loan_vehicle*G1621,0)*in_loan_vehicle_ticket*in_loan_vehicle_comm</f>
        <v/>
      </c>
      <c r="BY1621" s="40">
        <f>BY1620*(1-IF(B1620&gt;=in_marketplace_from,d_hz_loan_home*G1620,0)*BZ1620)</f>
        <v/>
      </c>
      <c r="BZ1621" s="11">
        <f>MIN(in_approval_cap,in_loan_home_approval*INDEX('Age profile'!$O$2:$O$61,B1621)*(1+in_approval_growth)^(D1621-1))</f>
        <v/>
      </c>
      <c r="CA1621" s="14">
        <f>F1621*BY1621*IF(B1621&gt;=in_marketplace_from,d_hz_loan_home*G1621,0)*BZ1621*in_loan_home_ticket*in_loan_home_comm</f>
        <v/>
      </c>
      <c r="CB1621" s="40">
        <f>CB1620*(1-IF(B1620&gt;=in_marketplace_from,d_hz_loan_lap*G1620,0)*CC1620)</f>
        <v/>
      </c>
      <c r="CC1621" s="11">
        <f>MIN(in_approval_cap,in_loan_lap_approval*INDEX('Age profile'!$O$2:$O$61,B1621)*(1+in_approval_growth)^(D1621-1))</f>
        <v/>
      </c>
      <c r="CD1621" s="14">
        <f>F1621*CB1621*IF(B1621&gt;=in_marketplace_from,d_hz_loan_lap*G1621,0)*CC1621*in_loan_lap_ticket*in_loan_lap_comm</f>
        <v/>
      </c>
      <c r="CE1621" s="14">
        <f>AA1621+AB1621+AC1621+AD1621+AG1621+AJ1621+AM1621+AP1621+AS1621+AU1621+AX1621+BB1621+BE1621+BG1621+BJ1621+BL1621+BO1621+BR1621+BT1621+BV1621+BX1621+CA1621+CD1621</f>
        <v/>
      </c>
    </row>
    <row r="1622">
      <c r="A1622" s="39" t="n">
        <v>41</v>
      </c>
      <c r="B1622" s="39" t="n">
        <v>1</v>
      </c>
      <c r="C1622" s="39">
        <f>A1622+B1622-1</f>
        <v/>
      </c>
      <c r="D1622" s="39">
        <f>INT((C1622-1)/12)+1</f>
        <v/>
      </c>
      <c r="E1622" s="44">
        <f>INDEX(Monthly!$B$2:$B$61,A1622)</f>
        <v/>
      </c>
      <c r="F1622" s="44">
        <f>E1622*INDEX('Age profile'!$B$2:$B$61,B1622)</f>
        <v/>
      </c>
      <c r="G1622" s="45">
        <f>MIN(in_takeup_cap,INDEX('Age profile'!$N$2:$N$61,B1622)*(1+in_takeup_growth)^(D1622-1))</f>
        <v/>
      </c>
      <c r="H1622" s="11">
        <f>MIN(in_approval_cap,in_approved_first*INDEX('Age profile'!$O$2:$O$61,B1622)*(1+in_approval_growth)^(D1622-1))</f>
        <v/>
      </c>
      <c r="I1622" s="45">
        <f>G1622*MIN(in_takeup_cap,INDEX('Age profile'!$O$2:$O$61,B1622)*(1+in_approval_growth)^(D1622-1))</f>
        <v/>
      </c>
      <c r="J1622" s="40">
        <f>E1622</f>
        <v/>
      </c>
      <c r="K1622" s="40" t="n">
        <v>0</v>
      </c>
      <c r="L1622" s="40">
        <f>IF(B1622&gt;=in_marketplace_from,J1622*d_hz*G1622*in_eligible*H1622,0)</f>
        <v/>
      </c>
      <c r="M1622" s="40">
        <f>IF(B1622&gt;=in_marketplace_from,K1622*d_hz*G1622*in_eligible*in_approved_repeat,0)</f>
        <v/>
      </c>
      <c r="N1622" s="40">
        <f>L1622+M1622</f>
        <v/>
      </c>
      <c r="O1622" s="46">
        <f>N1622/F1622</f>
        <v/>
      </c>
      <c r="P1622" s="40">
        <f>F1622-J1622-K1622</f>
        <v/>
      </c>
      <c r="Q1622" s="40">
        <f>IF(B1622&gt;=in_marketplace_from,(J1622+K1622)*d_hz*G1622,0)</f>
        <v/>
      </c>
      <c r="R1622" s="40">
        <f>SUMIFS(N1622:N1641,B1622:B1641,"&gt;="&amp;(B1622-d_T),B1622:B1641,"&lt;="&amp;(B1622-1))</f>
        <v/>
      </c>
      <c r="S1622" s="46" t="n">
        <v>0</v>
      </c>
      <c r="T1622" s="40">
        <f>F1622*d_u*S1622</f>
        <v/>
      </c>
      <c r="U1622" s="9">
        <f>L1622*in_ticket+M1622*d_rep_ticket</f>
        <v/>
      </c>
      <c r="V1622" s="9">
        <f>U1622+T1622*d_topup_amt</f>
        <v/>
      </c>
      <c r="W1622" s="40">
        <f>N1622+T1622*d_topup_ratio</f>
        <v/>
      </c>
      <c r="X1622" s="40">
        <f>SUMIFS(W1622:W1641,B1622:B1641,B1622-in_dpd_lag)*d_cured</f>
        <v/>
      </c>
      <c r="Y1622" s="40">
        <f>SUMIFS(W1622:W1641,B1622:B1641,B1622-in_rec_lag)*d_recd</f>
        <v/>
      </c>
      <c r="Z1622" s="40">
        <f>IF(AND(B1622&gt;=in_marketplace_from,B1622&lt;in_marketplace_from+in_card_months),in_card_share/in_card_months*F1622*I1622,IF(AND(B1622&gt;=in_marketplace_from+in_card_months,B1622&lt;in_marketplace_from+2*in_card_months),in_card_share*d_card_rem/in_card_months*F1622*MIN(in_takeup_cap,(1+in_takeup_growth)^(D1622-1))*MIN(in_takeup_cap,(1+in_approval_growth)^(D1622-1)),0))</f>
        <v/>
      </c>
      <c r="AA1622" s="14">
        <f>V1622*in_fee*(1-in_taken_back)</f>
        <v/>
      </c>
      <c r="AB1622" s="14">
        <f>SUMIFS(W1622:W1641,B1622:B1641,B1622-in_dpd_lag)*d_dpd</f>
        <v/>
      </c>
      <c r="AC1622" s="14">
        <f>SUMIFS(W1622:W1641,B1622:B1641,B1622-in_rec_lag)*d_rec</f>
        <v/>
      </c>
      <c r="AD1622" s="14">
        <f>Z1622*in_card_fee</f>
        <v/>
      </c>
      <c r="AE1622" s="40" t="n">
        <v>1</v>
      </c>
      <c r="AF1622" s="46">
        <f>AE1622*IF(B1622&gt;=in_marketplace_from,d_hz_hlth_small*G1622,0)</f>
        <v/>
      </c>
      <c r="AG1622" s="14">
        <f>F1622*AF1622*in_hlth_small_ticket*in_hlth_small_comm*in_ins_partner_share+F1622*in_hlth_small_ticket*in_hlth_small_renew_comm*in_ins_partner_share*(in_hlth_small_renew^1*SUMIFS(AF1622:AF1641,B1622:B1641,B1622-12)+in_hlth_small_renew^2*SUMIFS(AF1622:AF1641,B1622:B1641,B1622-24)+in_hlth_small_renew^3*SUMIFS(AF1622:AF1641,B1622:B1641,B1622-36)+in_hlth_small_renew^4*SUMIFS(AF1622:AF1641,B1622:B1641,B1622-48))</f>
        <v/>
      </c>
      <c r="AH1622" s="40" t="n">
        <v>1</v>
      </c>
      <c r="AI1622" s="46">
        <f>AH1622*IF(B1622&gt;=in_marketplace_from,d_hz_hlth_family*G1622,0)</f>
        <v/>
      </c>
      <c r="AJ1622" s="14">
        <f>F1622*AI1622*in_hlth_family_ticket*in_hlth_family_comm*in_ins_partner_share+F1622*in_hlth_family_ticket*in_hlth_family_renew_comm*in_ins_partner_share*(in_hlth_family_renew^1*SUMIFS(AI1622:AI1641,B1622:B1641,B1622-12)+in_hlth_family_renew^2*SUMIFS(AI1622:AI1641,B1622:B1641,B1622-24)+in_hlth_family_renew^3*SUMIFS(AI1622:AI1641,B1622:B1641,B1622-36)+in_hlth_family_renew^4*SUMIFS(AI1622:AI1641,B1622:B1641,B1622-48))</f>
        <v/>
      </c>
      <c r="AK1622" s="40" t="n">
        <v>1</v>
      </c>
      <c r="AL1622" s="46">
        <f>AK1622*IF(B1622&gt;=in_marketplace_from,d_hz_life_term*G1622,0)</f>
        <v/>
      </c>
      <c r="AM1622" s="14">
        <f>F1622*AL1622*in_life_term_ticket*in_life_term_comm*in_ins_partner_share+F1622*in_life_term_ticket*in_life_term_renew_comm*in_ins_partner_share*(in_life_term_renew^1*SUMIFS(AL1622:AL1641,B1622:B1641,B1622-12)+in_life_term_renew^2*SUMIFS(AL1622:AL1641,B1622:B1641,B1622-24)+in_life_term_renew^3*SUMIFS(AL1622:AL1641,B1622:B1641,B1622-36)+in_life_term_renew^4*SUMIFS(AL1622:AL1641,B1622:B1641,B1622-48))</f>
        <v/>
      </c>
      <c r="AN1622" s="40" t="n">
        <v>1</v>
      </c>
      <c r="AO1622" s="46">
        <f>AN1622*IF(B1622&gt;=in_marketplace_from,d_hz_accident*G1622,0)</f>
        <v/>
      </c>
      <c r="AP1622" s="14">
        <f>F1622*AO1622*in_accident_ticket*in_accident_comm*in_ins_partner_share+F1622*in_accident_ticket*in_accident_renew_comm*in_ins_partner_share*(in_accident_renew^1*SUMIFS(AO1622:AO1641,B1622:B1641,B1622-12)+in_accident_renew^2*SUMIFS(AO1622:AO1641,B1622:B1641,B1622-24)+in_accident_renew^3*SUMIFS(AO1622:AO1641,B1622:B1641,B1622-36)+in_accident_renew^4*SUMIFS(AO1622:AO1641,B1622:B1641,B1622-48))</f>
        <v/>
      </c>
      <c r="AQ1622" s="40" t="n">
        <v>1</v>
      </c>
      <c r="AR1622" s="46">
        <f>AQ1622*IF(B1622&gt;=in_marketplace_from,d_hz_two_wheeler*G1622,0)</f>
        <v/>
      </c>
      <c r="AS1622" s="14">
        <f>F1622*AR1622*in_two_wheeler_ticket*in_two_wheeler_comm*in_ins_partner_share+F1622*in_two_wheeler_ticket*in_two_wheeler_comm*in_ins_partner_share*(in_two_wheeler_renew^1*SUMIFS(AR1622:AR1641,B1622:B1641,B1622-12)+in_two_wheeler_renew^2*SUMIFS(AR1622:AR1641,B1622:B1641,B1622-24)+in_two_wheeler_renew^3*SUMIFS(AR1622:AR1641,B1622:B1641,B1622-36)+in_two_wheeler_renew^4*SUMIFS(AR1622:AR1641,B1622:B1641,B1622-48))</f>
        <v/>
      </c>
      <c r="AT1622" s="40" t="n">
        <v>1</v>
      </c>
      <c r="AU1622" s="14">
        <f>F1622*AT1622*IF(B1622&gt;=in_marketplace_from,d_hz_device*G1622,0)*in_device_ticket*in_device_comm*in_ins_partner_share</f>
        <v/>
      </c>
      <c r="AV1622" s="40" t="n">
        <v>1</v>
      </c>
      <c r="AW1622" s="46">
        <f>AV1622*IF(B1622&gt;=in_marketplace_from,d_hz_shop*G1622,0)</f>
        <v/>
      </c>
      <c r="AX1622" s="14">
        <f>F1622*AW1622*in_shop_ticket*in_shop_comm*in_ins_partner_share+F1622*in_shop_ticket*in_shop_renew_comm*in_ins_partner_share*(in_shop_renew^1*SUMIFS(AW1622:AW1641,B1622:B1641,B1622-12)+in_shop_renew^2*SUMIFS(AW1622:AW1641,B1622:B1641,B1622-24)+in_shop_renew^3*SUMIFS(AW1622:AW1641,B1622:B1641,B1622-36)+in_shop_renew^4*SUMIFS(AW1622:AW1641,B1622:B1641,B1622-48))</f>
        <v/>
      </c>
      <c r="AY1622" s="40" t="n">
        <v>1</v>
      </c>
      <c r="AZ1622" s="40">
        <f>AY1622*IF(B1622&gt;=in_marketplace_from,d_hz_sip*G1622,0)</f>
        <v/>
      </c>
      <c r="BA1622" s="40" t="n">
        <v>0</v>
      </c>
      <c r="BB1622" s="14">
        <f>F1622*in_sip_ticket*(BA1622+0.5*AZ1622)*in_sip_comm/12</f>
        <v/>
      </c>
      <c r="BC1622" s="40" t="n">
        <v>1</v>
      </c>
      <c r="BD1622" s="46">
        <f>BC1622*IF(B1622&gt;=in_marketplace_from,d_hz_choti*G1622,0)</f>
        <v/>
      </c>
      <c r="BE1622" s="14">
        <f>F1622*SUMIFS(BD1622:BD1641,B1622:B1641,B1622-in_choti_months)*in_choti_renew*in_choti_ticket</f>
        <v/>
      </c>
      <c r="BF1622" s="40" t="n">
        <v>1</v>
      </c>
      <c r="BG1622" s="14">
        <f>F1622*BF1622*IF(B1622&gt;=in_marketplace_from,d_hz_nps*G1622,0)*in_nps_ticket*in_nps_comm</f>
        <v/>
      </c>
      <c r="BH1622" s="40" t="n">
        <v>1</v>
      </c>
      <c r="BI1622" s="40">
        <f>BH1622*IF(B1622&gt;=in_marketplace_from,d_hz_gold*G1622,0)</f>
        <v/>
      </c>
      <c r="BJ1622" s="14">
        <f>F1622*BI1622*in_gold_ticket*in_gold_comm</f>
        <v/>
      </c>
      <c r="BK1622" s="40" t="n">
        <v>1</v>
      </c>
      <c r="BL1622" s="14">
        <f>F1622*BK1622*IF(B1622&gt;=in_marketplace_from,d_hz_fd*G1622,0)*in_fd_ticket*in_fd_comm</f>
        <v/>
      </c>
      <c r="BM1622" s="40" t="n">
        <v>1</v>
      </c>
      <c r="BN1622" s="40">
        <f>BM1622*IF(B1622&gt;=in_marketplace_from,d_hz_recharge*G1622,0)</f>
        <v/>
      </c>
      <c r="BO1622" s="14">
        <f>F1622*BN1622*in_recharge_ticket*in_recharge_comm/12</f>
        <v/>
      </c>
      <c r="BP1622" s="40" t="n">
        <v>1</v>
      </c>
      <c r="BQ1622" s="40">
        <f>BP1622*IF(B1622&gt;=in_marketplace_from,d_hz_bills*G1622,0)</f>
        <v/>
      </c>
      <c r="BR1622" s="14">
        <f>F1622*BQ1622*in_bills_ticket*in_bills_comm/12</f>
        <v/>
      </c>
      <c r="BS1622" s="40" t="n">
        <v>1</v>
      </c>
      <c r="BT1622" s="14">
        <f>F1622*BS1622*IF(B1622&gt;=in_marketplace_from,d_hz_loan_gold*G1622,0)*in_loan_gold_ticket*in_loan_gold_comm</f>
        <v/>
      </c>
      <c r="BU1622" s="40" t="n">
        <v>1</v>
      </c>
      <c r="BV1622" s="14">
        <f>F1622*BU1622*IF(B1622&gt;=in_marketplace_from,d_hz_loan_cd*G1622,0)*in_loan_cd_ticket*in_loan_cd_comm</f>
        <v/>
      </c>
      <c r="BW1622" s="40" t="n">
        <v>1</v>
      </c>
      <c r="BX1622" s="14">
        <f>F1622*BW1622*IF(B1622&gt;=in_marketplace_from,d_hz_loan_vehicle*G1622,0)*in_loan_vehicle_ticket*in_loan_vehicle_comm</f>
        <v/>
      </c>
      <c r="BY1622" s="40" t="n">
        <v>1</v>
      </c>
      <c r="BZ1622" s="11">
        <f>MIN(in_approval_cap,in_loan_home_approval*INDEX('Age profile'!$O$2:$O$61,B1622)*(1+in_approval_growth)^(D1622-1))</f>
        <v/>
      </c>
      <c r="CA1622" s="14">
        <f>F1622*BY1622*IF(B1622&gt;=in_marketplace_from,d_hz_loan_home*G1622,0)*BZ1622*in_loan_home_ticket*in_loan_home_comm</f>
        <v/>
      </c>
      <c r="CB1622" s="40" t="n">
        <v>1</v>
      </c>
      <c r="CC1622" s="11">
        <f>MIN(in_approval_cap,in_loan_lap_approval*INDEX('Age profile'!$O$2:$O$61,B1622)*(1+in_approval_growth)^(D1622-1))</f>
        <v/>
      </c>
      <c r="CD1622" s="14">
        <f>F1622*CB1622*IF(B1622&gt;=in_marketplace_from,d_hz_loan_lap*G1622,0)*CC1622*in_loan_lap_ticket*in_loan_lap_comm</f>
        <v/>
      </c>
      <c r="CE1622" s="14">
        <f>AA1622+AB1622+AC1622+AD1622+AG1622+AJ1622+AM1622+AP1622+AS1622+AU1622+AX1622+BB1622+BE1622+BG1622+BJ1622+BL1622+BO1622+BR1622+BT1622+BV1622+BX1622+CA1622+CD1622</f>
        <v/>
      </c>
    </row>
    <row r="1623">
      <c r="A1623" s="39" t="n">
        <v>41</v>
      </c>
      <c r="B1623" s="39" t="n">
        <v>2</v>
      </c>
      <c r="C1623" s="39">
        <f>A1623+B1623-1</f>
        <v/>
      </c>
      <c r="D1623" s="39">
        <f>INT((C1623-1)/12)+1</f>
        <v/>
      </c>
      <c r="E1623" s="44">
        <f>INDEX(Monthly!$B$2:$B$61,A1623)</f>
        <v/>
      </c>
      <c r="F1623" s="44">
        <f>E1623*INDEX('Age profile'!$B$2:$B$61,B1623)</f>
        <v/>
      </c>
      <c r="G1623" s="45">
        <f>MIN(in_takeup_cap,INDEX('Age profile'!$N$2:$N$61,B1623)*(1+in_takeup_growth)^(D1623-1))</f>
        <v/>
      </c>
      <c r="H1623" s="11">
        <f>MIN(in_approval_cap,in_approved_first*INDEX('Age profile'!$O$2:$O$61,B1623)*(1+in_approval_growth)^(D1623-1))</f>
        <v/>
      </c>
      <c r="I1623" s="45">
        <f>G1623*MIN(in_takeup_cap,INDEX('Age profile'!$O$2:$O$61,B1623)*(1+in_approval_growth)^(D1623-1))</f>
        <v/>
      </c>
      <c r="J1623" s="40">
        <f>(J1622-L1622)*F1623/F1622</f>
        <v/>
      </c>
      <c r="K1623" s="40">
        <f>(K1622-M1622)*F1623/F1622+SUMIFS(O1622:O1622,B1622:B1622,B1623-1-d_T)*F1623</f>
        <v/>
      </c>
      <c r="L1623" s="40">
        <f>IF(B1623&gt;=in_marketplace_from,J1623*d_hz*G1623*in_eligible*H1623,0)</f>
        <v/>
      </c>
      <c r="M1623" s="40">
        <f>IF(B1623&gt;=in_marketplace_from,K1623*d_hz*G1623*in_eligible*in_approved_repeat,0)</f>
        <v/>
      </c>
      <c r="N1623" s="40">
        <f>L1623+M1623</f>
        <v/>
      </c>
      <c r="O1623" s="46">
        <f>N1623/F1623</f>
        <v/>
      </c>
      <c r="P1623" s="40">
        <f>F1623-J1623-K1623</f>
        <v/>
      </c>
      <c r="Q1623" s="40">
        <f>IF(B1623&gt;=in_marketplace_from,(J1623+K1623)*d_hz*G1623,0)</f>
        <v/>
      </c>
      <c r="R1623" s="40">
        <f>SUMIFS(N1622:N1641,B1622:B1641,"&gt;="&amp;(B1623-d_T),B1622:B1641,"&lt;="&amp;(B1623-1))</f>
        <v/>
      </c>
      <c r="S1623" s="46">
        <f>(1-d_u)*S1622+IF(d_T&gt;in_topup_lag,SUMIFS(O1622:O1641,B1622:B1641,B1623-in_topup_lag)-d_udrop*SUMIFS(O1622:O1641,B1622:B1641,B1623-d_T),0)</f>
        <v/>
      </c>
      <c r="T1623" s="40">
        <f>F1623*d_u*S1623</f>
        <v/>
      </c>
      <c r="U1623" s="9">
        <f>L1623*in_ticket+M1623*d_rep_ticket</f>
        <v/>
      </c>
      <c r="V1623" s="9">
        <f>U1623+T1623*d_topup_amt</f>
        <v/>
      </c>
      <c r="W1623" s="40">
        <f>N1623+T1623*d_topup_ratio</f>
        <v/>
      </c>
      <c r="X1623" s="40">
        <f>SUMIFS(W1622:W1641,B1622:B1641,B1623-in_dpd_lag)*d_cured</f>
        <v/>
      </c>
      <c r="Y1623" s="40">
        <f>SUMIFS(W1622:W1641,B1622:B1641,B1623-in_rec_lag)*d_recd</f>
        <v/>
      </c>
      <c r="Z1623" s="40">
        <f>IF(AND(B1623&gt;=in_marketplace_from,B1623&lt;in_marketplace_from+in_card_months),in_card_share/in_card_months*F1623*I1623,IF(AND(B1623&gt;=in_marketplace_from+in_card_months,B1623&lt;in_marketplace_from+2*in_card_months),in_card_share*d_card_rem/in_card_months*F1623*MIN(in_takeup_cap,(1+in_takeup_growth)^(D1623-1))*MIN(in_takeup_cap,(1+in_approval_growth)^(D1623-1)),0))</f>
        <v/>
      </c>
      <c r="AA1623" s="14">
        <f>V1623*in_fee*(1-in_taken_back)</f>
        <v/>
      </c>
      <c r="AB1623" s="14">
        <f>SUMIFS(W1622:W1641,B1622:B1641,B1623-in_dpd_lag)*d_dpd</f>
        <v/>
      </c>
      <c r="AC1623" s="14">
        <f>SUMIFS(W1622:W1641,B1622:B1641,B1623-in_rec_lag)*d_rec</f>
        <v/>
      </c>
      <c r="AD1623" s="14">
        <f>Z1623*in_card_fee</f>
        <v/>
      </c>
      <c r="AE1623" s="40">
        <f>AE1622*(1-IF(B1622&gt;=in_marketplace_from,d_hz_hlth_small*G1622,0))</f>
        <v/>
      </c>
      <c r="AF1623" s="46">
        <f>AE1623*IF(B1623&gt;=in_marketplace_from,d_hz_hlth_small*G1623,0)</f>
        <v/>
      </c>
      <c r="AG1623" s="14">
        <f>F1623*AF1623*in_hlth_small_ticket*in_hlth_small_comm*in_ins_partner_share+F1623*in_hlth_small_ticket*in_hlth_small_renew_comm*in_ins_partner_share*(in_hlth_small_renew^1*SUMIFS(AF1622:AF1641,B1622:B1641,B1623-12)+in_hlth_small_renew^2*SUMIFS(AF1622:AF1641,B1622:B1641,B1623-24)+in_hlth_small_renew^3*SUMIFS(AF1622:AF1641,B1622:B1641,B1623-36)+in_hlth_small_renew^4*SUMIFS(AF1622:AF1641,B1622:B1641,B1623-48))</f>
        <v/>
      </c>
      <c r="AH1623" s="40">
        <f>AH1622*(1-IF(B1622&gt;=in_marketplace_from,d_hz_hlth_family*G1622,0))</f>
        <v/>
      </c>
      <c r="AI1623" s="46">
        <f>AH1623*IF(B1623&gt;=in_marketplace_from,d_hz_hlth_family*G1623,0)</f>
        <v/>
      </c>
      <c r="AJ1623" s="14">
        <f>F1623*AI1623*in_hlth_family_ticket*in_hlth_family_comm*in_ins_partner_share+F1623*in_hlth_family_ticket*in_hlth_family_renew_comm*in_ins_partner_share*(in_hlth_family_renew^1*SUMIFS(AI1622:AI1641,B1622:B1641,B1623-12)+in_hlth_family_renew^2*SUMIFS(AI1622:AI1641,B1622:B1641,B1623-24)+in_hlth_family_renew^3*SUMIFS(AI1622:AI1641,B1622:B1641,B1623-36)+in_hlth_family_renew^4*SUMIFS(AI1622:AI1641,B1622:B1641,B1623-48))</f>
        <v/>
      </c>
      <c r="AK1623" s="40">
        <f>AK1622*(1-IF(B1622&gt;=in_marketplace_from,d_hz_life_term*G1622,0))</f>
        <v/>
      </c>
      <c r="AL1623" s="46">
        <f>AK1623*IF(B1623&gt;=in_marketplace_from,d_hz_life_term*G1623,0)</f>
        <v/>
      </c>
      <c r="AM1623" s="14">
        <f>F1623*AL1623*in_life_term_ticket*in_life_term_comm*in_ins_partner_share+F1623*in_life_term_ticket*in_life_term_renew_comm*in_ins_partner_share*(in_life_term_renew^1*SUMIFS(AL1622:AL1641,B1622:B1641,B1623-12)+in_life_term_renew^2*SUMIFS(AL1622:AL1641,B1622:B1641,B1623-24)+in_life_term_renew^3*SUMIFS(AL1622:AL1641,B1622:B1641,B1623-36)+in_life_term_renew^4*SUMIFS(AL1622:AL1641,B1622:B1641,B1623-48))</f>
        <v/>
      </c>
      <c r="AN1623" s="40">
        <f>AN1622*(1-IF(B1622&gt;=in_marketplace_from,d_hz_accident*G1622,0))</f>
        <v/>
      </c>
      <c r="AO1623" s="46">
        <f>AN1623*IF(B1623&gt;=in_marketplace_from,d_hz_accident*G1623,0)</f>
        <v/>
      </c>
      <c r="AP1623" s="14">
        <f>F1623*AO1623*in_accident_ticket*in_accident_comm*in_ins_partner_share+F1623*in_accident_ticket*in_accident_renew_comm*in_ins_partner_share*(in_accident_renew^1*SUMIFS(AO1622:AO1641,B1622:B1641,B1623-12)+in_accident_renew^2*SUMIFS(AO1622:AO1641,B1622:B1641,B1623-24)+in_accident_renew^3*SUMIFS(AO1622:AO1641,B1622:B1641,B1623-36)+in_accident_renew^4*SUMIFS(AO1622:AO1641,B1622:B1641,B1623-48))</f>
        <v/>
      </c>
      <c r="AQ1623" s="40">
        <f>AQ1622*(1-IF(B1622&gt;=in_marketplace_from,d_hz_two_wheeler*G1622,0))</f>
        <v/>
      </c>
      <c r="AR1623" s="46">
        <f>AQ1623*IF(B1623&gt;=in_marketplace_from,d_hz_two_wheeler*G1623,0)</f>
        <v/>
      </c>
      <c r="AS1623" s="14">
        <f>F1623*AR1623*in_two_wheeler_ticket*in_two_wheeler_comm*in_ins_partner_share+F1623*in_two_wheeler_ticket*in_two_wheeler_comm*in_ins_partner_share*(in_two_wheeler_renew^1*SUMIFS(AR1622:AR1641,B1622:B1641,B1623-12)+in_two_wheeler_renew^2*SUMIFS(AR1622:AR1641,B1622:B1641,B1623-24)+in_two_wheeler_renew^3*SUMIFS(AR1622:AR1641,B1622:B1641,B1623-36)+in_two_wheeler_renew^4*SUMIFS(AR1622:AR1641,B1622:B1641,B1623-48))</f>
        <v/>
      </c>
      <c r="AT1623" s="40">
        <f>AT1622*(1-IF(B1622&gt;=in_marketplace_from,d_hz_device*G1622,0))</f>
        <v/>
      </c>
      <c r="AU1623" s="14">
        <f>F1623*AT1623*IF(B1623&gt;=in_marketplace_from,d_hz_device*G1623,0)*in_device_ticket*in_device_comm*in_ins_partner_share</f>
        <v/>
      </c>
      <c r="AV1623" s="40">
        <f>AV1622*(1-IF(B1622&gt;=in_marketplace_from,d_hz_shop*G1622,0))</f>
        <v/>
      </c>
      <c r="AW1623" s="46">
        <f>AV1623*IF(B1623&gt;=in_marketplace_from,d_hz_shop*G1623,0)</f>
        <v/>
      </c>
      <c r="AX1623" s="14">
        <f>F1623*AW1623*in_shop_ticket*in_shop_comm*in_ins_partner_share+F1623*in_shop_ticket*in_shop_renew_comm*in_ins_partner_share*(in_shop_renew^1*SUMIFS(AW1622:AW1641,B1622:B1641,B1623-12)+in_shop_renew^2*SUMIFS(AW1622:AW1641,B1622:B1641,B1623-24)+in_shop_renew^3*SUMIFS(AW1622:AW1641,B1622:B1641,B1623-36)+in_shop_renew^4*SUMIFS(AW1622:AW1641,B1622:B1641,B1623-48))</f>
        <v/>
      </c>
      <c r="AY1623" s="40">
        <f>AY1622*(1-IF(B1622&gt;=in_marketplace_from,d_hz_sip*G1622,0))</f>
        <v/>
      </c>
      <c r="AZ1623" s="40">
        <f>AZ1622*d_rho_sip+AY1623*IF(B1623&gt;=in_marketplace_from,d_hz_sip*G1623,0)</f>
        <v/>
      </c>
      <c r="BA1623" s="40">
        <f>d_rho_sip*(BA1622+AZ1622)</f>
        <v/>
      </c>
      <c r="BB1623" s="14">
        <f>F1623*in_sip_ticket*(BA1623+0.5*AZ1623)*in_sip_comm/12</f>
        <v/>
      </c>
      <c r="BC1623" s="40">
        <f>BC1622*(1-IF(B1622&gt;=in_marketplace_from,d_hz_choti*G1622,0))</f>
        <v/>
      </c>
      <c r="BD1623" s="46">
        <f>BC1623*IF(B1623&gt;=in_marketplace_from,d_hz_choti*G1623,0)</f>
        <v/>
      </c>
      <c r="BE1623" s="14">
        <f>F1623*SUMIFS(BD1622:BD1641,B1622:B1641,B1623-in_choti_months)*in_choti_renew*in_choti_ticket</f>
        <v/>
      </c>
      <c r="BF1623" s="40">
        <f>BF1622*(1-IF(B1622&gt;=in_marketplace_from,d_hz_nps*G1622,0))</f>
        <v/>
      </c>
      <c r="BG1623" s="14">
        <f>F1623*BF1623*IF(B1623&gt;=in_marketplace_from,d_hz_nps*G1623,0)*in_nps_ticket*in_nps_comm</f>
        <v/>
      </c>
      <c r="BH1623" s="40">
        <f>BH1622*(1-IF(B1622&gt;=in_marketplace_from,d_hz_gold*G1622,0))</f>
        <v/>
      </c>
      <c r="BI1623" s="40">
        <f>BI1622*d_rho_gold+BH1623*IF(B1623&gt;=in_marketplace_from,d_hz_gold*G1623,0)</f>
        <v/>
      </c>
      <c r="BJ1623" s="14">
        <f>F1623*BI1623*in_gold_ticket*in_gold_comm</f>
        <v/>
      </c>
      <c r="BK1623" s="40">
        <f>BK1622*(1-IF(B1622&gt;=in_marketplace_from,d_hz_fd*G1622,0))</f>
        <v/>
      </c>
      <c r="BL1623" s="14">
        <f>F1623*BK1623*IF(B1623&gt;=in_marketplace_from,d_hz_fd*G1623,0)*in_fd_ticket*in_fd_comm</f>
        <v/>
      </c>
      <c r="BM1623" s="40">
        <f>BM1622*(1-IF(B1622&gt;=in_marketplace_from,d_hz_recharge*G1622,0))</f>
        <v/>
      </c>
      <c r="BN1623" s="40">
        <f>BN1622*d_rho_recharge+BM1623*IF(B1623&gt;=in_marketplace_from,d_hz_recharge*G1623,0)</f>
        <v/>
      </c>
      <c r="BO1623" s="14">
        <f>F1623*BN1623*in_recharge_ticket*in_recharge_comm/12</f>
        <v/>
      </c>
      <c r="BP1623" s="40">
        <f>BP1622*(1-IF(B1622&gt;=in_marketplace_from,d_hz_bills*G1622,0))</f>
        <v/>
      </c>
      <c r="BQ1623" s="40">
        <f>BQ1622*d_rho_bills+BP1623*IF(B1623&gt;=in_marketplace_from,d_hz_bills*G1623,0)</f>
        <v/>
      </c>
      <c r="BR1623" s="14">
        <f>F1623*BQ1623*in_bills_ticket*in_bills_comm/12</f>
        <v/>
      </c>
      <c r="BS1623" s="40">
        <f>BS1622*(1-IF(B1622&gt;=in_marketplace_from,d_hz_loan_gold*G1622,0))</f>
        <v/>
      </c>
      <c r="BT1623" s="14">
        <f>F1623*BS1623*IF(B1623&gt;=in_marketplace_from,d_hz_loan_gold*G1623,0)*in_loan_gold_ticket*in_loan_gold_comm</f>
        <v/>
      </c>
      <c r="BU1623" s="40">
        <f>BU1622*(1-IF(B1622&gt;=in_marketplace_from,d_hz_loan_cd*G1622,0))</f>
        <v/>
      </c>
      <c r="BV1623" s="14">
        <f>F1623*BU1623*IF(B1623&gt;=in_marketplace_from,d_hz_loan_cd*G1623,0)*in_loan_cd_ticket*in_loan_cd_comm</f>
        <v/>
      </c>
      <c r="BW1623" s="40">
        <f>BW1622*(1-IF(B1622&gt;=in_marketplace_from,d_hz_loan_vehicle*G1622,0))</f>
        <v/>
      </c>
      <c r="BX1623" s="14">
        <f>F1623*BW1623*IF(B1623&gt;=in_marketplace_from,d_hz_loan_vehicle*G1623,0)*in_loan_vehicle_ticket*in_loan_vehicle_comm</f>
        <v/>
      </c>
      <c r="BY1623" s="40">
        <f>BY1622*(1-IF(B1622&gt;=in_marketplace_from,d_hz_loan_home*G1622,0)*BZ1622)</f>
        <v/>
      </c>
      <c r="BZ1623" s="11">
        <f>MIN(in_approval_cap,in_loan_home_approval*INDEX('Age profile'!$O$2:$O$61,B1623)*(1+in_approval_growth)^(D1623-1))</f>
        <v/>
      </c>
      <c r="CA1623" s="14">
        <f>F1623*BY1623*IF(B1623&gt;=in_marketplace_from,d_hz_loan_home*G1623,0)*BZ1623*in_loan_home_ticket*in_loan_home_comm</f>
        <v/>
      </c>
      <c r="CB1623" s="40">
        <f>CB1622*(1-IF(B1622&gt;=in_marketplace_from,d_hz_loan_lap*G1622,0)*CC1622)</f>
        <v/>
      </c>
      <c r="CC1623" s="11">
        <f>MIN(in_approval_cap,in_loan_lap_approval*INDEX('Age profile'!$O$2:$O$61,B1623)*(1+in_approval_growth)^(D1623-1))</f>
        <v/>
      </c>
      <c r="CD1623" s="14">
        <f>F1623*CB1623*IF(B1623&gt;=in_marketplace_from,d_hz_loan_lap*G1623,0)*CC1623*in_loan_lap_ticket*in_loan_lap_comm</f>
        <v/>
      </c>
      <c r="CE1623" s="14">
        <f>AA1623+AB1623+AC1623+AD1623+AG1623+AJ1623+AM1623+AP1623+AS1623+AU1623+AX1623+BB1623+BE1623+BG1623+BJ1623+BL1623+BO1623+BR1623+BT1623+BV1623+BX1623+CA1623+CD1623</f>
        <v/>
      </c>
    </row>
    <row r="1624">
      <c r="A1624" s="39" t="n">
        <v>41</v>
      </c>
      <c r="B1624" s="39" t="n">
        <v>3</v>
      </c>
      <c r="C1624" s="39">
        <f>A1624+B1624-1</f>
        <v/>
      </c>
      <c r="D1624" s="39">
        <f>INT((C1624-1)/12)+1</f>
        <v/>
      </c>
      <c r="E1624" s="44">
        <f>INDEX(Monthly!$B$2:$B$61,A1624)</f>
        <v/>
      </c>
      <c r="F1624" s="44">
        <f>E1624*INDEX('Age profile'!$B$2:$B$61,B1624)</f>
        <v/>
      </c>
      <c r="G1624" s="45">
        <f>MIN(in_takeup_cap,INDEX('Age profile'!$N$2:$N$61,B1624)*(1+in_takeup_growth)^(D1624-1))</f>
        <v/>
      </c>
      <c r="H1624" s="11">
        <f>MIN(in_approval_cap,in_approved_first*INDEX('Age profile'!$O$2:$O$61,B1624)*(1+in_approval_growth)^(D1624-1))</f>
        <v/>
      </c>
      <c r="I1624" s="45">
        <f>G1624*MIN(in_takeup_cap,INDEX('Age profile'!$O$2:$O$61,B1624)*(1+in_approval_growth)^(D1624-1))</f>
        <v/>
      </c>
      <c r="J1624" s="40">
        <f>(J1623-L1623)*F1624/F1623</f>
        <v/>
      </c>
      <c r="K1624" s="40">
        <f>(K1623-M1623)*F1624/F1623+SUMIFS(O1622:O1623,B1622:B1623,B1624-1-d_T)*F1624</f>
        <v/>
      </c>
      <c r="L1624" s="40">
        <f>IF(B1624&gt;=in_marketplace_from,J1624*d_hz*G1624*in_eligible*H1624,0)</f>
        <v/>
      </c>
      <c r="M1624" s="40">
        <f>IF(B1624&gt;=in_marketplace_from,K1624*d_hz*G1624*in_eligible*in_approved_repeat,0)</f>
        <v/>
      </c>
      <c r="N1624" s="40">
        <f>L1624+M1624</f>
        <v/>
      </c>
      <c r="O1624" s="46">
        <f>N1624/F1624</f>
        <v/>
      </c>
      <c r="P1624" s="40">
        <f>F1624-J1624-K1624</f>
        <v/>
      </c>
      <c r="Q1624" s="40">
        <f>IF(B1624&gt;=in_marketplace_from,(J1624+K1624)*d_hz*G1624,0)</f>
        <v/>
      </c>
      <c r="R1624" s="40">
        <f>SUMIFS(N1622:N1641,B1622:B1641,"&gt;="&amp;(B1624-d_T),B1622:B1641,"&lt;="&amp;(B1624-1))</f>
        <v/>
      </c>
      <c r="S1624" s="46">
        <f>(1-d_u)*S1623+IF(d_T&gt;in_topup_lag,SUMIFS(O1622:O1641,B1622:B1641,B1624-in_topup_lag)-d_udrop*SUMIFS(O1622:O1641,B1622:B1641,B1624-d_T),0)</f>
        <v/>
      </c>
      <c r="T1624" s="40">
        <f>F1624*d_u*S1624</f>
        <v/>
      </c>
      <c r="U1624" s="9">
        <f>L1624*in_ticket+M1624*d_rep_ticket</f>
        <v/>
      </c>
      <c r="V1624" s="9">
        <f>U1624+T1624*d_topup_amt</f>
        <v/>
      </c>
      <c r="W1624" s="40">
        <f>N1624+T1624*d_topup_ratio</f>
        <v/>
      </c>
      <c r="X1624" s="40">
        <f>SUMIFS(W1622:W1641,B1622:B1641,B1624-in_dpd_lag)*d_cured</f>
        <v/>
      </c>
      <c r="Y1624" s="40">
        <f>SUMIFS(W1622:W1641,B1622:B1641,B1624-in_rec_lag)*d_recd</f>
        <v/>
      </c>
      <c r="Z1624" s="40">
        <f>IF(AND(B1624&gt;=in_marketplace_from,B1624&lt;in_marketplace_from+in_card_months),in_card_share/in_card_months*F1624*I1624,IF(AND(B1624&gt;=in_marketplace_from+in_card_months,B1624&lt;in_marketplace_from+2*in_card_months),in_card_share*d_card_rem/in_card_months*F1624*MIN(in_takeup_cap,(1+in_takeup_growth)^(D1624-1))*MIN(in_takeup_cap,(1+in_approval_growth)^(D1624-1)),0))</f>
        <v/>
      </c>
      <c r="AA1624" s="14">
        <f>V1624*in_fee*(1-in_taken_back)</f>
        <v/>
      </c>
      <c r="AB1624" s="14">
        <f>SUMIFS(W1622:W1641,B1622:B1641,B1624-in_dpd_lag)*d_dpd</f>
        <v/>
      </c>
      <c r="AC1624" s="14">
        <f>SUMIFS(W1622:W1641,B1622:B1641,B1624-in_rec_lag)*d_rec</f>
        <v/>
      </c>
      <c r="AD1624" s="14">
        <f>Z1624*in_card_fee</f>
        <v/>
      </c>
      <c r="AE1624" s="40">
        <f>AE1623*(1-IF(B1623&gt;=in_marketplace_from,d_hz_hlth_small*G1623,0))</f>
        <v/>
      </c>
      <c r="AF1624" s="46">
        <f>AE1624*IF(B1624&gt;=in_marketplace_from,d_hz_hlth_small*G1624,0)</f>
        <v/>
      </c>
      <c r="AG1624" s="14">
        <f>F1624*AF1624*in_hlth_small_ticket*in_hlth_small_comm*in_ins_partner_share+F1624*in_hlth_small_ticket*in_hlth_small_renew_comm*in_ins_partner_share*(in_hlth_small_renew^1*SUMIFS(AF1622:AF1641,B1622:B1641,B1624-12)+in_hlth_small_renew^2*SUMIFS(AF1622:AF1641,B1622:B1641,B1624-24)+in_hlth_small_renew^3*SUMIFS(AF1622:AF1641,B1622:B1641,B1624-36)+in_hlth_small_renew^4*SUMIFS(AF1622:AF1641,B1622:B1641,B1624-48))</f>
        <v/>
      </c>
      <c r="AH1624" s="40">
        <f>AH1623*(1-IF(B1623&gt;=in_marketplace_from,d_hz_hlth_family*G1623,0))</f>
        <v/>
      </c>
      <c r="AI1624" s="46">
        <f>AH1624*IF(B1624&gt;=in_marketplace_from,d_hz_hlth_family*G1624,0)</f>
        <v/>
      </c>
      <c r="AJ1624" s="14">
        <f>F1624*AI1624*in_hlth_family_ticket*in_hlth_family_comm*in_ins_partner_share+F1624*in_hlth_family_ticket*in_hlth_family_renew_comm*in_ins_partner_share*(in_hlth_family_renew^1*SUMIFS(AI1622:AI1641,B1622:B1641,B1624-12)+in_hlth_family_renew^2*SUMIFS(AI1622:AI1641,B1622:B1641,B1624-24)+in_hlth_family_renew^3*SUMIFS(AI1622:AI1641,B1622:B1641,B1624-36)+in_hlth_family_renew^4*SUMIFS(AI1622:AI1641,B1622:B1641,B1624-48))</f>
        <v/>
      </c>
      <c r="AK1624" s="40">
        <f>AK1623*(1-IF(B1623&gt;=in_marketplace_from,d_hz_life_term*G1623,0))</f>
        <v/>
      </c>
      <c r="AL1624" s="46">
        <f>AK1624*IF(B1624&gt;=in_marketplace_from,d_hz_life_term*G1624,0)</f>
        <v/>
      </c>
      <c r="AM1624" s="14">
        <f>F1624*AL1624*in_life_term_ticket*in_life_term_comm*in_ins_partner_share+F1624*in_life_term_ticket*in_life_term_renew_comm*in_ins_partner_share*(in_life_term_renew^1*SUMIFS(AL1622:AL1641,B1622:B1641,B1624-12)+in_life_term_renew^2*SUMIFS(AL1622:AL1641,B1622:B1641,B1624-24)+in_life_term_renew^3*SUMIFS(AL1622:AL1641,B1622:B1641,B1624-36)+in_life_term_renew^4*SUMIFS(AL1622:AL1641,B1622:B1641,B1624-48))</f>
        <v/>
      </c>
      <c r="AN1624" s="40">
        <f>AN1623*(1-IF(B1623&gt;=in_marketplace_from,d_hz_accident*G1623,0))</f>
        <v/>
      </c>
      <c r="AO1624" s="46">
        <f>AN1624*IF(B1624&gt;=in_marketplace_from,d_hz_accident*G1624,0)</f>
        <v/>
      </c>
      <c r="AP1624" s="14">
        <f>F1624*AO1624*in_accident_ticket*in_accident_comm*in_ins_partner_share+F1624*in_accident_ticket*in_accident_renew_comm*in_ins_partner_share*(in_accident_renew^1*SUMIFS(AO1622:AO1641,B1622:B1641,B1624-12)+in_accident_renew^2*SUMIFS(AO1622:AO1641,B1622:B1641,B1624-24)+in_accident_renew^3*SUMIFS(AO1622:AO1641,B1622:B1641,B1624-36)+in_accident_renew^4*SUMIFS(AO1622:AO1641,B1622:B1641,B1624-48))</f>
        <v/>
      </c>
      <c r="AQ1624" s="40">
        <f>AQ1623*(1-IF(B1623&gt;=in_marketplace_from,d_hz_two_wheeler*G1623,0))</f>
        <v/>
      </c>
      <c r="AR1624" s="46">
        <f>AQ1624*IF(B1624&gt;=in_marketplace_from,d_hz_two_wheeler*G1624,0)</f>
        <v/>
      </c>
      <c r="AS1624" s="14">
        <f>F1624*AR1624*in_two_wheeler_ticket*in_two_wheeler_comm*in_ins_partner_share+F1624*in_two_wheeler_ticket*in_two_wheeler_comm*in_ins_partner_share*(in_two_wheeler_renew^1*SUMIFS(AR1622:AR1641,B1622:B1641,B1624-12)+in_two_wheeler_renew^2*SUMIFS(AR1622:AR1641,B1622:B1641,B1624-24)+in_two_wheeler_renew^3*SUMIFS(AR1622:AR1641,B1622:B1641,B1624-36)+in_two_wheeler_renew^4*SUMIFS(AR1622:AR1641,B1622:B1641,B1624-48))</f>
        <v/>
      </c>
      <c r="AT1624" s="40">
        <f>AT1623*(1-IF(B1623&gt;=in_marketplace_from,d_hz_device*G1623,0))</f>
        <v/>
      </c>
      <c r="AU1624" s="14">
        <f>F1624*AT1624*IF(B1624&gt;=in_marketplace_from,d_hz_device*G1624,0)*in_device_ticket*in_device_comm*in_ins_partner_share</f>
        <v/>
      </c>
      <c r="AV1624" s="40">
        <f>AV1623*(1-IF(B1623&gt;=in_marketplace_from,d_hz_shop*G1623,0))</f>
        <v/>
      </c>
      <c r="AW1624" s="46">
        <f>AV1624*IF(B1624&gt;=in_marketplace_from,d_hz_shop*G1624,0)</f>
        <v/>
      </c>
      <c r="AX1624" s="14">
        <f>F1624*AW1624*in_shop_ticket*in_shop_comm*in_ins_partner_share+F1624*in_shop_ticket*in_shop_renew_comm*in_ins_partner_share*(in_shop_renew^1*SUMIFS(AW1622:AW1641,B1622:B1641,B1624-12)+in_shop_renew^2*SUMIFS(AW1622:AW1641,B1622:B1641,B1624-24)+in_shop_renew^3*SUMIFS(AW1622:AW1641,B1622:B1641,B1624-36)+in_shop_renew^4*SUMIFS(AW1622:AW1641,B1622:B1641,B1624-48))</f>
        <v/>
      </c>
      <c r="AY1624" s="40">
        <f>AY1623*(1-IF(B1623&gt;=in_marketplace_from,d_hz_sip*G1623,0))</f>
        <v/>
      </c>
      <c r="AZ1624" s="40">
        <f>AZ1623*d_rho_sip+AY1624*IF(B1624&gt;=in_marketplace_from,d_hz_sip*G1624,0)</f>
        <v/>
      </c>
      <c r="BA1624" s="40">
        <f>d_rho_sip*(BA1623+AZ1623)</f>
        <v/>
      </c>
      <c r="BB1624" s="14">
        <f>F1624*in_sip_ticket*(BA1624+0.5*AZ1624)*in_sip_comm/12</f>
        <v/>
      </c>
      <c r="BC1624" s="40">
        <f>BC1623*(1-IF(B1623&gt;=in_marketplace_from,d_hz_choti*G1623,0))</f>
        <v/>
      </c>
      <c r="BD1624" s="46">
        <f>BC1624*IF(B1624&gt;=in_marketplace_from,d_hz_choti*G1624,0)</f>
        <v/>
      </c>
      <c r="BE1624" s="14">
        <f>F1624*SUMIFS(BD1622:BD1641,B1622:B1641,B1624-in_choti_months)*in_choti_renew*in_choti_ticket</f>
        <v/>
      </c>
      <c r="BF1624" s="40">
        <f>BF1623*(1-IF(B1623&gt;=in_marketplace_from,d_hz_nps*G1623,0))</f>
        <v/>
      </c>
      <c r="BG1624" s="14">
        <f>F1624*BF1624*IF(B1624&gt;=in_marketplace_from,d_hz_nps*G1624,0)*in_nps_ticket*in_nps_comm</f>
        <v/>
      </c>
      <c r="BH1624" s="40">
        <f>BH1623*(1-IF(B1623&gt;=in_marketplace_from,d_hz_gold*G1623,0))</f>
        <v/>
      </c>
      <c r="BI1624" s="40">
        <f>BI1623*d_rho_gold+BH1624*IF(B1624&gt;=in_marketplace_from,d_hz_gold*G1624,0)</f>
        <v/>
      </c>
      <c r="BJ1624" s="14">
        <f>F1624*BI1624*in_gold_ticket*in_gold_comm</f>
        <v/>
      </c>
      <c r="BK1624" s="40">
        <f>BK1623*(1-IF(B1623&gt;=in_marketplace_from,d_hz_fd*G1623,0))</f>
        <v/>
      </c>
      <c r="BL1624" s="14">
        <f>F1624*BK1624*IF(B1624&gt;=in_marketplace_from,d_hz_fd*G1624,0)*in_fd_ticket*in_fd_comm</f>
        <v/>
      </c>
      <c r="BM1624" s="40">
        <f>BM1623*(1-IF(B1623&gt;=in_marketplace_from,d_hz_recharge*G1623,0))</f>
        <v/>
      </c>
      <c r="BN1624" s="40">
        <f>BN1623*d_rho_recharge+BM1624*IF(B1624&gt;=in_marketplace_from,d_hz_recharge*G1624,0)</f>
        <v/>
      </c>
      <c r="BO1624" s="14">
        <f>F1624*BN1624*in_recharge_ticket*in_recharge_comm/12</f>
        <v/>
      </c>
      <c r="BP1624" s="40">
        <f>BP1623*(1-IF(B1623&gt;=in_marketplace_from,d_hz_bills*G1623,0))</f>
        <v/>
      </c>
      <c r="BQ1624" s="40">
        <f>BQ1623*d_rho_bills+BP1624*IF(B1624&gt;=in_marketplace_from,d_hz_bills*G1624,0)</f>
        <v/>
      </c>
      <c r="BR1624" s="14">
        <f>F1624*BQ1624*in_bills_ticket*in_bills_comm/12</f>
        <v/>
      </c>
      <c r="BS1624" s="40">
        <f>BS1623*(1-IF(B1623&gt;=in_marketplace_from,d_hz_loan_gold*G1623,0))</f>
        <v/>
      </c>
      <c r="BT1624" s="14">
        <f>F1624*BS1624*IF(B1624&gt;=in_marketplace_from,d_hz_loan_gold*G1624,0)*in_loan_gold_ticket*in_loan_gold_comm</f>
        <v/>
      </c>
      <c r="BU1624" s="40">
        <f>BU1623*(1-IF(B1623&gt;=in_marketplace_from,d_hz_loan_cd*G1623,0))</f>
        <v/>
      </c>
      <c r="BV1624" s="14">
        <f>F1624*BU1624*IF(B1624&gt;=in_marketplace_from,d_hz_loan_cd*G1624,0)*in_loan_cd_ticket*in_loan_cd_comm</f>
        <v/>
      </c>
      <c r="BW1624" s="40">
        <f>BW1623*(1-IF(B1623&gt;=in_marketplace_from,d_hz_loan_vehicle*G1623,0))</f>
        <v/>
      </c>
      <c r="BX1624" s="14">
        <f>F1624*BW1624*IF(B1624&gt;=in_marketplace_from,d_hz_loan_vehicle*G1624,0)*in_loan_vehicle_ticket*in_loan_vehicle_comm</f>
        <v/>
      </c>
      <c r="BY1624" s="40">
        <f>BY1623*(1-IF(B1623&gt;=in_marketplace_from,d_hz_loan_home*G1623,0)*BZ1623)</f>
        <v/>
      </c>
      <c r="BZ1624" s="11">
        <f>MIN(in_approval_cap,in_loan_home_approval*INDEX('Age profile'!$O$2:$O$61,B1624)*(1+in_approval_growth)^(D1624-1))</f>
        <v/>
      </c>
      <c r="CA1624" s="14">
        <f>F1624*BY1624*IF(B1624&gt;=in_marketplace_from,d_hz_loan_home*G1624,0)*BZ1624*in_loan_home_ticket*in_loan_home_comm</f>
        <v/>
      </c>
      <c r="CB1624" s="40">
        <f>CB1623*(1-IF(B1623&gt;=in_marketplace_from,d_hz_loan_lap*G1623,0)*CC1623)</f>
        <v/>
      </c>
      <c r="CC1624" s="11">
        <f>MIN(in_approval_cap,in_loan_lap_approval*INDEX('Age profile'!$O$2:$O$61,B1624)*(1+in_approval_growth)^(D1624-1))</f>
        <v/>
      </c>
      <c r="CD1624" s="14">
        <f>F1624*CB1624*IF(B1624&gt;=in_marketplace_from,d_hz_loan_lap*G1624,0)*CC1624*in_loan_lap_ticket*in_loan_lap_comm</f>
        <v/>
      </c>
      <c r="CE1624" s="14">
        <f>AA1624+AB1624+AC1624+AD1624+AG1624+AJ1624+AM1624+AP1624+AS1624+AU1624+AX1624+BB1624+BE1624+BG1624+BJ1624+BL1624+BO1624+BR1624+BT1624+BV1624+BX1624+CA1624+CD1624</f>
        <v/>
      </c>
    </row>
    <row r="1625">
      <c r="A1625" s="39" t="n">
        <v>41</v>
      </c>
      <c r="B1625" s="39" t="n">
        <v>4</v>
      </c>
      <c r="C1625" s="39">
        <f>A1625+B1625-1</f>
        <v/>
      </c>
      <c r="D1625" s="39">
        <f>INT((C1625-1)/12)+1</f>
        <v/>
      </c>
      <c r="E1625" s="44">
        <f>INDEX(Monthly!$B$2:$B$61,A1625)</f>
        <v/>
      </c>
      <c r="F1625" s="44">
        <f>E1625*INDEX('Age profile'!$B$2:$B$61,B1625)</f>
        <v/>
      </c>
      <c r="G1625" s="45">
        <f>MIN(in_takeup_cap,INDEX('Age profile'!$N$2:$N$61,B1625)*(1+in_takeup_growth)^(D1625-1))</f>
        <v/>
      </c>
      <c r="H1625" s="11">
        <f>MIN(in_approval_cap,in_approved_first*INDEX('Age profile'!$O$2:$O$61,B1625)*(1+in_approval_growth)^(D1625-1))</f>
        <v/>
      </c>
      <c r="I1625" s="45">
        <f>G1625*MIN(in_takeup_cap,INDEX('Age profile'!$O$2:$O$61,B1625)*(1+in_approval_growth)^(D1625-1))</f>
        <v/>
      </c>
      <c r="J1625" s="40">
        <f>(J1624-L1624)*F1625/F1624</f>
        <v/>
      </c>
      <c r="K1625" s="40">
        <f>(K1624-M1624)*F1625/F1624+SUMIFS(O1622:O1624,B1622:B1624,B1625-1-d_T)*F1625</f>
        <v/>
      </c>
      <c r="L1625" s="40">
        <f>IF(B1625&gt;=in_marketplace_from,J1625*d_hz*G1625*in_eligible*H1625,0)</f>
        <v/>
      </c>
      <c r="M1625" s="40">
        <f>IF(B1625&gt;=in_marketplace_from,K1625*d_hz*G1625*in_eligible*in_approved_repeat,0)</f>
        <v/>
      </c>
      <c r="N1625" s="40">
        <f>L1625+M1625</f>
        <v/>
      </c>
      <c r="O1625" s="46">
        <f>N1625/F1625</f>
        <v/>
      </c>
      <c r="P1625" s="40">
        <f>F1625-J1625-K1625</f>
        <v/>
      </c>
      <c r="Q1625" s="40">
        <f>IF(B1625&gt;=in_marketplace_from,(J1625+K1625)*d_hz*G1625,0)</f>
        <v/>
      </c>
      <c r="R1625" s="40">
        <f>SUMIFS(N1622:N1641,B1622:B1641,"&gt;="&amp;(B1625-d_T),B1622:B1641,"&lt;="&amp;(B1625-1))</f>
        <v/>
      </c>
      <c r="S1625" s="46">
        <f>(1-d_u)*S1624+IF(d_T&gt;in_topup_lag,SUMIFS(O1622:O1641,B1622:B1641,B1625-in_topup_lag)-d_udrop*SUMIFS(O1622:O1641,B1622:B1641,B1625-d_T),0)</f>
        <v/>
      </c>
      <c r="T1625" s="40">
        <f>F1625*d_u*S1625</f>
        <v/>
      </c>
      <c r="U1625" s="9">
        <f>L1625*in_ticket+M1625*d_rep_ticket</f>
        <v/>
      </c>
      <c r="V1625" s="9">
        <f>U1625+T1625*d_topup_amt</f>
        <v/>
      </c>
      <c r="W1625" s="40">
        <f>N1625+T1625*d_topup_ratio</f>
        <v/>
      </c>
      <c r="X1625" s="40">
        <f>SUMIFS(W1622:W1641,B1622:B1641,B1625-in_dpd_lag)*d_cured</f>
        <v/>
      </c>
      <c r="Y1625" s="40">
        <f>SUMIFS(W1622:W1641,B1622:B1641,B1625-in_rec_lag)*d_recd</f>
        <v/>
      </c>
      <c r="Z1625" s="40">
        <f>IF(AND(B1625&gt;=in_marketplace_from,B1625&lt;in_marketplace_from+in_card_months),in_card_share/in_card_months*F1625*I1625,IF(AND(B1625&gt;=in_marketplace_from+in_card_months,B1625&lt;in_marketplace_from+2*in_card_months),in_card_share*d_card_rem/in_card_months*F1625*MIN(in_takeup_cap,(1+in_takeup_growth)^(D1625-1))*MIN(in_takeup_cap,(1+in_approval_growth)^(D1625-1)),0))</f>
        <v/>
      </c>
      <c r="AA1625" s="14">
        <f>V1625*in_fee*(1-in_taken_back)</f>
        <v/>
      </c>
      <c r="AB1625" s="14">
        <f>SUMIFS(W1622:W1641,B1622:B1641,B1625-in_dpd_lag)*d_dpd</f>
        <v/>
      </c>
      <c r="AC1625" s="14">
        <f>SUMIFS(W1622:W1641,B1622:B1641,B1625-in_rec_lag)*d_rec</f>
        <v/>
      </c>
      <c r="AD1625" s="14">
        <f>Z1625*in_card_fee</f>
        <v/>
      </c>
      <c r="AE1625" s="40">
        <f>AE1624*(1-IF(B1624&gt;=in_marketplace_from,d_hz_hlth_small*G1624,0))</f>
        <v/>
      </c>
      <c r="AF1625" s="46">
        <f>AE1625*IF(B1625&gt;=in_marketplace_from,d_hz_hlth_small*G1625,0)</f>
        <v/>
      </c>
      <c r="AG1625" s="14">
        <f>F1625*AF1625*in_hlth_small_ticket*in_hlth_small_comm*in_ins_partner_share+F1625*in_hlth_small_ticket*in_hlth_small_renew_comm*in_ins_partner_share*(in_hlth_small_renew^1*SUMIFS(AF1622:AF1641,B1622:B1641,B1625-12)+in_hlth_small_renew^2*SUMIFS(AF1622:AF1641,B1622:B1641,B1625-24)+in_hlth_small_renew^3*SUMIFS(AF1622:AF1641,B1622:B1641,B1625-36)+in_hlth_small_renew^4*SUMIFS(AF1622:AF1641,B1622:B1641,B1625-48))</f>
        <v/>
      </c>
      <c r="AH1625" s="40">
        <f>AH1624*(1-IF(B1624&gt;=in_marketplace_from,d_hz_hlth_family*G1624,0))</f>
        <v/>
      </c>
      <c r="AI1625" s="46">
        <f>AH1625*IF(B1625&gt;=in_marketplace_from,d_hz_hlth_family*G1625,0)</f>
        <v/>
      </c>
      <c r="AJ1625" s="14">
        <f>F1625*AI1625*in_hlth_family_ticket*in_hlth_family_comm*in_ins_partner_share+F1625*in_hlth_family_ticket*in_hlth_family_renew_comm*in_ins_partner_share*(in_hlth_family_renew^1*SUMIFS(AI1622:AI1641,B1622:B1641,B1625-12)+in_hlth_family_renew^2*SUMIFS(AI1622:AI1641,B1622:B1641,B1625-24)+in_hlth_family_renew^3*SUMIFS(AI1622:AI1641,B1622:B1641,B1625-36)+in_hlth_family_renew^4*SUMIFS(AI1622:AI1641,B1622:B1641,B1625-48))</f>
        <v/>
      </c>
      <c r="AK1625" s="40">
        <f>AK1624*(1-IF(B1624&gt;=in_marketplace_from,d_hz_life_term*G1624,0))</f>
        <v/>
      </c>
      <c r="AL1625" s="46">
        <f>AK1625*IF(B1625&gt;=in_marketplace_from,d_hz_life_term*G1625,0)</f>
        <v/>
      </c>
      <c r="AM1625" s="14">
        <f>F1625*AL1625*in_life_term_ticket*in_life_term_comm*in_ins_partner_share+F1625*in_life_term_ticket*in_life_term_renew_comm*in_ins_partner_share*(in_life_term_renew^1*SUMIFS(AL1622:AL1641,B1622:B1641,B1625-12)+in_life_term_renew^2*SUMIFS(AL1622:AL1641,B1622:B1641,B1625-24)+in_life_term_renew^3*SUMIFS(AL1622:AL1641,B1622:B1641,B1625-36)+in_life_term_renew^4*SUMIFS(AL1622:AL1641,B1622:B1641,B1625-48))</f>
        <v/>
      </c>
      <c r="AN1625" s="40">
        <f>AN1624*(1-IF(B1624&gt;=in_marketplace_from,d_hz_accident*G1624,0))</f>
        <v/>
      </c>
      <c r="AO1625" s="46">
        <f>AN1625*IF(B1625&gt;=in_marketplace_from,d_hz_accident*G1625,0)</f>
        <v/>
      </c>
      <c r="AP1625" s="14">
        <f>F1625*AO1625*in_accident_ticket*in_accident_comm*in_ins_partner_share+F1625*in_accident_ticket*in_accident_renew_comm*in_ins_partner_share*(in_accident_renew^1*SUMIFS(AO1622:AO1641,B1622:B1641,B1625-12)+in_accident_renew^2*SUMIFS(AO1622:AO1641,B1622:B1641,B1625-24)+in_accident_renew^3*SUMIFS(AO1622:AO1641,B1622:B1641,B1625-36)+in_accident_renew^4*SUMIFS(AO1622:AO1641,B1622:B1641,B1625-48))</f>
        <v/>
      </c>
      <c r="AQ1625" s="40">
        <f>AQ1624*(1-IF(B1624&gt;=in_marketplace_from,d_hz_two_wheeler*G1624,0))</f>
        <v/>
      </c>
      <c r="AR1625" s="46">
        <f>AQ1625*IF(B1625&gt;=in_marketplace_from,d_hz_two_wheeler*G1625,0)</f>
        <v/>
      </c>
      <c r="AS1625" s="14">
        <f>F1625*AR1625*in_two_wheeler_ticket*in_two_wheeler_comm*in_ins_partner_share+F1625*in_two_wheeler_ticket*in_two_wheeler_comm*in_ins_partner_share*(in_two_wheeler_renew^1*SUMIFS(AR1622:AR1641,B1622:B1641,B1625-12)+in_two_wheeler_renew^2*SUMIFS(AR1622:AR1641,B1622:B1641,B1625-24)+in_two_wheeler_renew^3*SUMIFS(AR1622:AR1641,B1622:B1641,B1625-36)+in_two_wheeler_renew^4*SUMIFS(AR1622:AR1641,B1622:B1641,B1625-48))</f>
        <v/>
      </c>
      <c r="AT1625" s="40">
        <f>AT1624*(1-IF(B1624&gt;=in_marketplace_from,d_hz_device*G1624,0))</f>
        <v/>
      </c>
      <c r="AU1625" s="14">
        <f>F1625*AT1625*IF(B1625&gt;=in_marketplace_from,d_hz_device*G1625,0)*in_device_ticket*in_device_comm*in_ins_partner_share</f>
        <v/>
      </c>
      <c r="AV1625" s="40">
        <f>AV1624*(1-IF(B1624&gt;=in_marketplace_from,d_hz_shop*G1624,0))</f>
        <v/>
      </c>
      <c r="AW1625" s="46">
        <f>AV1625*IF(B1625&gt;=in_marketplace_from,d_hz_shop*G1625,0)</f>
        <v/>
      </c>
      <c r="AX1625" s="14">
        <f>F1625*AW1625*in_shop_ticket*in_shop_comm*in_ins_partner_share+F1625*in_shop_ticket*in_shop_renew_comm*in_ins_partner_share*(in_shop_renew^1*SUMIFS(AW1622:AW1641,B1622:B1641,B1625-12)+in_shop_renew^2*SUMIFS(AW1622:AW1641,B1622:B1641,B1625-24)+in_shop_renew^3*SUMIFS(AW1622:AW1641,B1622:B1641,B1625-36)+in_shop_renew^4*SUMIFS(AW1622:AW1641,B1622:B1641,B1625-48))</f>
        <v/>
      </c>
      <c r="AY1625" s="40">
        <f>AY1624*(1-IF(B1624&gt;=in_marketplace_from,d_hz_sip*G1624,0))</f>
        <v/>
      </c>
      <c r="AZ1625" s="40">
        <f>AZ1624*d_rho_sip+AY1625*IF(B1625&gt;=in_marketplace_from,d_hz_sip*G1625,0)</f>
        <v/>
      </c>
      <c r="BA1625" s="40">
        <f>d_rho_sip*(BA1624+AZ1624)</f>
        <v/>
      </c>
      <c r="BB1625" s="14">
        <f>F1625*in_sip_ticket*(BA1625+0.5*AZ1625)*in_sip_comm/12</f>
        <v/>
      </c>
      <c r="BC1625" s="40">
        <f>BC1624*(1-IF(B1624&gt;=in_marketplace_from,d_hz_choti*G1624,0))</f>
        <v/>
      </c>
      <c r="BD1625" s="46">
        <f>BC1625*IF(B1625&gt;=in_marketplace_from,d_hz_choti*G1625,0)</f>
        <v/>
      </c>
      <c r="BE1625" s="14">
        <f>F1625*SUMIFS(BD1622:BD1641,B1622:B1641,B1625-in_choti_months)*in_choti_renew*in_choti_ticket</f>
        <v/>
      </c>
      <c r="BF1625" s="40">
        <f>BF1624*(1-IF(B1624&gt;=in_marketplace_from,d_hz_nps*G1624,0))</f>
        <v/>
      </c>
      <c r="BG1625" s="14">
        <f>F1625*BF1625*IF(B1625&gt;=in_marketplace_from,d_hz_nps*G1625,0)*in_nps_ticket*in_nps_comm</f>
        <v/>
      </c>
      <c r="BH1625" s="40">
        <f>BH1624*(1-IF(B1624&gt;=in_marketplace_from,d_hz_gold*G1624,0))</f>
        <v/>
      </c>
      <c r="BI1625" s="40">
        <f>BI1624*d_rho_gold+BH1625*IF(B1625&gt;=in_marketplace_from,d_hz_gold*G1625,0)</f>
        <v/>
      </c>
      <c r="BJ1625" s="14">
        <f>F1625*BI1625*in_gold_ticket*in_gold_comm</f>
        <v/>
      </c>
      <c r="BK1625" s="40">
        <f>BK1624*(1-IF(B1624&gt;=in_marketplace_from,d_hz_fd*G1624,0))</f>
        <v/>
      </c>
      <c r="BL1625" s="14">
        <f>F1625*BK1625*IF(B1625&gt;=in_marketplace_from,d_hz_fd*G1625,0)*in_fd_ticket*in_fd_comm</f>
        <v/>
      </c>
      <c r="BM1625" s="40">
        <f>BM1624*(1-IF(B1624&gt;=in_marketplace_from,d_hz_recharge*G1624,0))</f>
        <v/>
      </c>
      <c r="BN1625" s="40">
        <f>BN1624*d_rho_recharge+BM1625*IF(B1625&gt;=in_marketplace_from,d_hz_recharge*G1625,0)</f>
        <v/>
      </c>
      <c r="BO1625" s="14">
        <f>F1625*BN1625*in_recharge_ticket*in_recharge_comm/12</f>
        <v/>
      </c>
      <c r="BP1625" s="40">
        <f>BP1624*(1-IF(B1624&gt;=in_marketplace_from,d_hz_bills*G1624,0))</f>
        <v/>
      </c>
      <c r="BQ1625" s="40">
        <f>BQ1624*d_rho_bills+BP1625*IF(B1625&gt;=in_marketplace_from,d_hz_bills*G1625,0)</f>
        <v/>
      </c>
      <c r="BR1625" s="14">
        <f>F1625*BQ1625*in_bills_ticket*in_bills_comm/12</f>
        <v/>
      </c>
      <c r="BS1625" s="40">
        <f>BS1624*(1-IF(B1624&gt;=in_marketplace_from,d_hz_loan_gold*G1624,0))</f>
        <v/>
      </c>
      <c r="BT1625" s="14">
        <f>F1625*BS1625*IF(B1625&gt;=in_marketplace_from,d_hz_loan_gold*G1625,0)*in_loan_gold_ticket*in_loan_gold_comm</f>
        <v/>
      </c>
      <c r="BU1625" s="40">
        <f>BU1624*(1-IF(B1624&gt;=in_marketplace_from,d_hz_loan_cd*G1624,0))</f>
        <v/>
      </c>
      <c r="BV1625" s="14">
        <f>F1625*BU1625*IF(B1625&gt;=in_marketplace_from,d_hz_loan_cd*G1625,0)*in_loan_cd_ticket*in_loan_cd_comm</f>
        <v/>
      </c>
      <c r="BW1625" s="40">
        <f>BW1624*(1-IF(B1624&gt;=in_marketplace_from,d_hz_loan_vehicle*G1624,0))</f>
        <v/>
      </c>
      <c r="BX1625" s="14">
        <f>F1625*BW1625*IF(B1625&gt;=in_marketplace_from,d_hz_loan_vehicle*G1625,0)*in_loan_vehicle_ticket*in_loan_vehicle_comm</f>
        <v/>
      </c>
      <c r="BY1625" s="40">
        <f>BY1624*(1-IF(B1624&gt;=in_marketplace_from,d_hz_loan_home*G1624,0)*BZ1624)</f>
        <v/>
      </c>
      <c r="BZ1625" s="11">
        <f>MIN(in_approval_cap,in_loan_home_approval*INDEX('Age profile'!$O$2:$O$61,B1625)*(1+in_approval_growth)^(D1625-1))</f>
        <v/>
      </c>
      <c r="CA1625" s="14">
        <f>F1625*BY1625*IF(B1625&gt;=in_marketplace_from,d_hz_loan_home*G1625,0)*BZ1625*in_loan_home_ticket*in_loan_home_comm</f>
        <v/>
      </c>
      <c r="CB1625" s="40">
        <f>CB1624*(1-IF(B1624&gt;=in_marketplace_from,d_hz_loan_lap*G1624,0)*CC1624)</f>
        <v/>
      </c>
      <c r="CC1625" s="11">
        <f>MIN(in_approval_cap,in_loan_lap_approval*INDEX('Age profile'!$O$2:$O$61,B1625)*(1+in_approval_growth)^(D1625-1))</f>
        <v/>
      </c>
      <c r="CD1625" s="14">
        <f>F1625*CB1625*IF(B1625&gt;=in_marketplace_from,d_hz_loan_lap*G1625,0)*CC1625*in_loan_lap_ticket*in_loan_lap_comm</f>
        <v/>
      </c>
      <c r="CE1625" s="14">
        <f>AA1625+AB1625+AC1625+AD1625+AG1625+AJ1625+AM1625+AP1625+AS1625+AU1625+AX1625+BB1625+BE1625+BG1625+BJ1625+BL1625+BO1625+BR1625+BT1625+BV1625+BX1625+CA1625+CD1625</f>
        <v/>
      </c>
    </row>
    <row r="1626">
      <c r="A1626" s="39" t="n">
        <v>41</v>
      </c>
      <c r="B1626" s="39" t="n">
        <v>5</v>
      </c>
      <c r="C1626" s="39">
        <f>A1626+B1626-1</f>
        <v/>
      </c>
      <c r="D1626" s="39">
        <f>INT((C1626-1)/12)+1</f>
        <v/>
      </c>
      <c r="E1626" s="44">
        <f>INDEX(Monthly!$B$2:$B$61,A1626)</f>
        <v/>
      </c>
      <c r="F1626" s="44">
        <f>E1626*INDEX('Age profile'!$B$2:$B$61,B1626)</f>
        <v/>
      </c>
      <c r="G1626" s="45">
        <f>MIN(in_takeup_cap,INDEX('Age profile'!$N$2:$N$61,B1626)*(1+in_takeup_growth)^(D1626-1))</f>
        <v/>
      </c>
      <c r="H1626" s="11">
        <f>MIN(in_approval_cap,in_approved_first*INDEX('Age profile'!$O$2:$O$61,B1626)*(1+in_approval_growth)^(D1626-1))</f>
        <v/>
      </c>
      <c r="I1626" s="45">
        <f>G1626*MIN(in_takeup_cap,INDEX('Age profile'!$O$2:$O$61,B1626)*(1+in_approval_growth)^(D1626-1))</f>
        <v/>
      </c>
      <c r="J1626" s="40">
        <f>(J1625-L1625)*F1626/F1625</f>
        <v/>
      </c>
      <c r="K1626" s="40">
        <f>(K1625-M1625)*F1626/F1625+SUMIFS(O1622:O1625,B1622:B1625,B1626-1-d_T)*F1626</f>
        <v/>
      </c>
      <c r="L1626" s="40">
        <f>IF(B1626&gt;=in_marketplace_from,J1626*d_hz*G1626*in_eligible*H1626,0)</f>
        <v/>
      </c>
      <c r="M1626" s="40">
        <f>IF(B1626&gt;=in_marketplace_from,K1626*d_hz*G1626*in_eligible*in_approved_repeat,0)</f>
        <v/>
      </c>
      <c r="N1626" s="40">
        <f>L1626+M1626</f>
        <v/>
      </c>
      <c r="O1626" s="46">
        <f>N1626/F1626</f>
        <v/>
      </c>
      <c r="P1626" s="40">
        <f>F1626-J1626-K1626</f>
        <v/>
      </c>
      <c r="Q1626" s="40">
        <f>IF(B1626&gt;=in_marketplace_from,(J1626+K1626)*d_hz*G1626,0)</f>
        <v/>
      </c>
      <c r="R1626" s="40">
        <f>SUMIFS(N1622:N1641,B1622:B1641,"&gt;="&amp;(B1626-d_T),B1622:B1641,"&lt;="&amp;(B1626-1))</f>
        <v/>
      </c>
      <c r="S1626" s="46">
        <f>(1-d_u)*S1625+IF(d_T&gt;in_topup_lag,SUMIFS(O1622:O1641,B1622:B1641,B1626-in_topup_lag)-d_udrop*SUMIFS(O1622:O1641,B1622:B1641,B1626-d_T),0)</f>
        <v/>
      </c>
      <c r="T1626" s="40">
        <f>F1626*d_u*S1626</f>
        <v/>
      </c>
      <c r="U1626" s="9">
        <f>L1626*in_ticket+M1626*d_rep_ticket</f>
        <v/>
      </c>
      <c r="V1626" s="9">
        <f>U1626+T1626*d_topup_amt</f>
        <v/>
      </c>
      <c r="W1626" s="40">
        <f>N1626+T1626*d_topup_ratio</f>
        <v/>
      </c>
      <c r="X1626" s="40">
        <f>SUMIFS(W1622:W1641,B1622:B1641,B1626-in_dpd_lag)*d_cured</f>
        <v/>
      </c>
      <c r="Y1626" s="40">
        <f>SUMIFS(W1622:W1641,B1622:B1641,B1626-in_rec_lag)*d_recd</f>
        <v/>
      </c>
      <c r="Z1626" s="40">
        <f>IF(AND(B1626&gt;=in_marketplace_from,B1626&lt;in_marketplace_from+in_card_months),in_card_share/in_card_months*F1626*I1626,IF(AND(B1626&gt;=in_marketplace_from+in_card_months,B1626&lt;in_marketplace_from+2*in_card_months),in_card_share*d_card_rem/in_card_months*F1626*MIN(in_takeup_cap,(1+in_takeup_growth)^(D1626-1))*MIN(in_takeup_cap,(1+in_approval_growth)^(D1626-1)),0))</f>
        <v/>
      </c>
      <c r="AA1626" s="14">
        <f>V1626*in_fee*(1-in_taken_back)</f>
        <v/>
      </c>
      <c r="AB1626" s="14">
        <f>SUMIFS(W1622:W1641,B1622:B1641,B1626-in_dpd_lag)*d_dpd</f>
        <v/>
      </c>
      <c r="AC1626" s="14">
        <f>SUMIFS(W1622:W1641,B1622:B1641,B1626-in_rec_lag)*d_rec</f>
        <v/>
      </c>
      <c r="AD1626" s="14">
        <f>Z1626*in_card_fee</f>
        <v/>
      </c>
      <c r="AE1626" s="40">
        <f>AE1625*(1-IF(B1625&gt;=in_marketplace_from,d_hz_hlth_small*G1625,0))</f>
        <v/>
      </c>
      <c r="AF1626" s="46">
        <f>AE1626*IF(B1626&gt;=in_marketplace_from,d_hz_hlth_small*G1626,0)</f>
        <v/>
      </c>
      <c r="AG1626" s="14">
        <f>F1626*AF1626*in_hlth_small_ticket*in_hlth_small_comm*in_ins_partner_share+F1626*in_hlth_small_ticket*in_hlth_small_renew_comm*in_ins_partner_share*(in_hlth_small_renew^1*SUMIFS(AF1622:AF1641,B1622:B1641,B1626-12)+in_hlth_small_renew^2*SUMIFS(AF1622:AF1641,B1622:B1641,B1626-24)+in_hlth_small_renew^3*SUMIFS(AF1622:AF1641,B1622:B1641,B1626-36)+in_hlth_small_renew^4*SUMIFS(AF1622:AF1641,B1622:B1641,B1626-48))</f>
        <v/>
      </c>
      <c r="AH1626" s="40">
        <f>AH1625*(1-IF(B1625&gt;=in_marketplace_from,d_hz_hlth_family*G1625,0))</f>
        <v/>
      </c>
      <c r="AI1626" s="46">
        <f>AH1626*IF(B1626&gt;=in_marketplace_from,d_hz_hlth_family*G1626,0)</f>
        <v/>
      </c>
      <c r="AJ1626" s="14">
        <f>F1626*AI1626*in_hlth_family_ticket*in_hlth_family_comm*in_ins_partner_share+F1626*in_hlth_family_ticket*in_hlth_family_renew_comm*in_ins_partner_share*(in_hlth_family_renew^1*SUMIFS(AI1622:AI1641,B1622:B1641,B1626-12)+in_hlth_family_renew^2*SUMIFS(AI1622:AI1641,B1622:B1641,B1626-24)+in_hlth_family_renew^3*SUMIFS(AI1622:AI1641,B1622:B1641,B1626-36)+in_hlth_family_renew^4*SUMIFS(AI1622:AI1641,B1622:B1641,B1626-48))</f>
        <v/>
      </c>
      <c r="AK1626" s="40">
        <f>AK1625*(1-IF(B1625&gt;=in_marketplace_from,d_hz_life_term*G1625,0))</f>
        <v/>
      </c>
      <c r="AL1626" s="46">
        <f>AK1626*IF(B1626&gt;=in_marketplace_from,d_hz_life_term*G1626,0)</f>
        <v/>
      </c>
      <c r="AM1626" s="14">
        <f>F1626*AL1626*in_life_term_ticket*in_life_term_comm*in_ins_partner_share+F1626*in_life_term_ticket*in_life_term_renew_comm*in_ins_partner_share*(in_life_term_renew^1*SUMIFS(AL1622:AL1641,B1622:B1641,B1626-12)+in_life_term_renew^2*SUMIFS(AL1622:AL1641,B1622:B1641,B1626-24)+in_life_term_renew^3*SUMIFS(AL1622:AL1641,B1622:B1641,B1626-36)+in_life_term_renew^4*SUMIFS(AL1622:AL1641,B1622:B1641,B1626-48))</f>
        <v/>
      </c>
      <c r="AN1626" s="40">
        <f>AN1625*(1-IF(B1625&gt;=in_marketplace_from,d_hz_accident*G1625,0))</f>
        <v/>
      </c>
      <c r="AO1626" s="46">
        <f>AN1626*IF(B1626&gt;=in_marketplace_from,d_hz_accident*G1626,0)</f>
        <v/>
      </c>
      <c r="AP1626" s="14">
        <f>F1626*AO1626*in_accident_ticket*in_accident_comm*in_ins_partner_share+F1626*in_accident_ticket*in_accident_renew_comm*in_ins_partner_share*(in_accident_renew^1*SUMIFS(AO1622:AO1641,B1622:B1641,B1626-12)+in_accident_renew^2*SUMIFS(AO1622:AO1641,B1622:B1641,B1626-24)+in_accident_renew^3*SUMIFS(AO1622:AO1641,B1622:B1641,B1626-36)+in_accident_renew^4*SUMIFS(AO1622:AO1641,B1622:B1641,B1626-48))</f>
        <v/>
      </c>
      <c r="AQ1626" s="40">
        <f>AQ1625*(1-IF(B1625&gt;=in_marketplace_from,d_hz_two_wheeler*G1625,0))</f>
        <v/>
      </c>
      <c r="AR1626" s="46">
        <f>AQ1626*IF(B1626&gt;=in_marketplace_from,d_hz_two_wheeler*G1626,0)</f>
        <v/>
      </c>
      <c r="AS1626" s="14">
        <f>F1626*AR1626*in_two_wheeler_ticket*in_two_wheeler_comm*in_ins_partner_share+F1626*in_two_wheeler_ticket*in_two_wheeler_comm*in_ins_partner_share*(in_two_wheeler_renew^1*SUMIFS(AR1622:AR1641,B1622:B1641,B1626-12)+in_two_wheeler_renew^2*SUMIFS(AR1622:AR1641,B1622:B1641,B1626-24)+in_two_wheeler_renew^3*SUMIFS(AR1622:AR1641,B1622:B1641,B1626-36)+in_two_wheeler_renew^4*SUMIFS(AR1622:AR1641,B1622:B1641,B1626-48))</f>
        <v/>
      </c>
      <c r="AT1626" s="40">
        <f>AT1625*(1-IF(B1625&gt;=in_marketplace_from,d_hz_device*G1625,0))</f>
        <v/>
      </c>
      <c r="AU1626" s="14">
        <f>F1626*AT1626*IF(B1626&gt;=in_marketplace_from,d_hz_device*G1626,0)*in_device_ticket*in_device_comm*in_ins_partner_share</f>
        <v/>
      </c>
      <c r="AV1626" s="40">
        <f>AV1625*(1-IF(B1625&gt;=in_marketplace_from,d_hz_shop*G1625,0))</f>
        <v/>
      </c>
      <c r="AW1626" s="46">
        <f>AV1626*IF(B1626&gt;=in_marketplace_from,d_hz_shop*G1626,0)</f>
        <v/>
      </c>
      <c r="AX1626" s="14">
        <f>F1626*AW1626*in_shop_ticket*in_shop_comm*in_ins_partner_share+F1626*in_shop_ticket*in_shop_renew_comm*in_ins_partner_share*(in_shop_renew^1*SUMIFS(AW1622:AW1641,B1622:B1641,B1626-12)+in_shop_renew^2*SUMIFS(AW1622:AW1641,B1622:B1641,B1626-24)+in_shop_renew^3*SUMIFS(AW1622:AW1641,B1622:B1641,B1626-36)+in_shop_renew^4*SUMIFS(AW1622:AW1641,B1622:B1641,B1626-48))</f>
        <v/>
      </c>
      <c r="AY1626" s="40">
        <f>AY1625*(1-IF(B1625&gt;=in_marketplace_from,d_hz_sip*G1625,0))</f>
        <v/>
      </c>
      <c r="AZ1626" s="40">
        <f>AZ1625*d_rho_sip+AY1626*IF(B1626&gt;=in_marketplace_from,d_hz_sip*G1626,0)</f>
        <v/>
      </c>
      <c r="BA1626" s="40">
        <f>d_rho_sip*(BA1625+AZ1625)</f>
        <v/>
      </c>
      <c r="BB1626" s="14">
        <f>F1626*in_sip_ticket*(BA1626+0.5*AZ1626)*in_sip_comm/12</f>
        <v/>
      </c>
      <c r="BC1626" s="40">
        <f>BC1625*(1-IF(B1625&gt;=in_marketplace_from,d_hz_choti*G1625,0))</f>
        <v/>
      </c>
      <c r="BD1626" s="46">
        <f>BC1626*IF(B1626&gt;=in_marketplace_from,d_hz_choti*G1626,0)</f>
        <v/>
      </c>
      <c r="BE1626" s="14">
        <f>F1626*SUMIFS(BD1622:BD1641,B1622:B1641,B1626-in_choti_months)*in_choti_renew*in_choti_ticket</f>
        <v/>
      </c>
      <c r="BF1626" s="40">
        <f>BF1625*(1-IF(B1625&gt;=in_marketplace_from,d_hz_nps*G1625,0))</f>
        <v/>
      </c>
      <c r="BG1626" s="14">
        <f>F1626*BF1626*IF(B1626&gt;=in_marketplace_from,d_hz_nps*G1626,0)*in_nps_ticket*in_nps_comm</f>
        <v/>
      </c>
      <c r="BH1626" s="40">
        <f>BH1625*(1-IF(B1625&gt;=in_marketplace_from,d_hz_gold*G1625,0))</f>
        <v/>
      </c>
      <c r="BI1626" s="40">
        <f>BI1625*d_rho_gold+BH1626*IF(B1626&gt;=in_marketplace_from,d_hz_gold*G1626,0)</f>
        <v/>
      </c>
      <c r="BJ1626" s="14">
        <f>F1626*BI1626*in_gold_ticket*in_gold_comm</f>
        <v/>
      </c>
      <c r="BK1626" s="40">
        <f>BK1625*(1-IF(B1625&gt;=in_marketplace_from,d_hz_fd*G1625,0))</f>
        <v/>
      </c>
      <c r="BL1626" s="14">
        <f>F1626*BK1626*IF(B1626&gt;=in_marketplace_from,d_hz_fd*G1626,0)*in_fd_ticket*in_fd_comm</f>
        <v/>
      </c>
      <c r="BM1626" s="40">
        <f>BM1625*(1-IF(B1625&gt;=in_marketplace_from,d_hz_recharge*G1625,0))</f>
        <v/>
      </c>
      <c r="BN1626" s="40">
        <f>BN1625*d_rho_recharge+BM1626*IF(B1626&gt;=in_marketplace_from,d_hz_recharge*G1626,0)</f>
        <v/>
      </c>
      <c r="BO1626" s="14">
        <f>F1626*BN1626*in_recharge_ticket*in_recharge_comm/12</f>
        <v/>
      </c>
      <c r="BP1626" s="40">
        <f>BP1625*(1-IF(B1625&gt;=in_marketplace_from,d_hz_bills*G1625,0))</f>
        <v/>
      </c>
      <c r="BQ1626" s="40">
        <f>BQ1625*d_rho_bills+BP1626*IF(B1626&gt;=in_marketplace_from,d_hz_bills*G1626,0)</f>
        <v/>
      </c>
      <c r="BR1626" s="14">
        <f>F1626*BQ1626*in_bills_ticket*in_bills_comm/12</f>
        <v/>
      </c>
      <c r="BS1626" s="40">
        <f>BS1625*(1-IF(B1625&gt;=in_marketplace_from,d_hz_loan_gold*G1625,0))</f>
        <v/>
      </c>
      <c r="BT1626" s="14">
        <f>F1626*BS1626*IF(B1626&gt;=in_marketplace_from,d_hz_loan_gold*G1626,0)*in_loan_gold_ticket*in_loan_gold_comm</f>
        <v/>
      </c>
      <c r="BU1626" s="40">
        <f>BU1625*(1-IF(B1625&gt;=in_marketplace_from,d_hz_loan_cd*G1625,0))</f>
        <v/>
      </c>
      <c r="BV1626" s="14">
        <f>F1626*BU1626*IF(B1626&gt;=in_marketplace_from,d_hz_loan_cd*G1626,0)*in_loan_cd_ticket*in_loan_cd_comm</f>
        <v/>
      </c>
      <c r="BW1626" s="40">
        <f>BW1625*(1-IF(B1625&gt;=in_marketplace_from,d_hz_loan_vehicle*G1625,0))</f>
        <v/>
      </c>
      <c r="BX1626" s="14">
        <f>F1626*BW1626*IF(B1626&gt;=in_marketplace_from,d_hz_loan_vehicle*G1626,0)*in_loan_vehicle_ticket*in_loan_vehicle_comm</f>
        <v/>
      </c>
      <c r="BY1626" s="40">
        <f>BY1625*(1-IF(B1625&gt;=in_marketplace_from,d_hz_loan_home*G1625,0)*BZ1625)</f>
        <v/>
      </c>
      <c r="BZ1626" s="11">
        <f>MIN(in_approval_cap,in_loan_home_approval*INDEX('Age profile'!$O$2:$O$61,B1626)*(1+in_approval_growth)^(D1626-1))</f>
        <v/>
      </c>
      <c r="CA1626" s="14">
        <f>F1626*BY1626*IF(B1626&gt;=in_marketplace_from,d_hz_loan_home*G1626,0)*BZ1626*in_loan_home_ticket*in_loan_home_comm</f>
        <v/>
      </c>
      <c r="CB1626" s="40">
        <f>CB1625*(1-IF(B1625&gt;=in_marketplace_from,d_hz_loan_lap*G1625,0)*CC1625)</f>
        <v/>
      </c>
      <c r="CC1626" s="11">
        <f>MIN(in_approval_cap,in_loan_lap_approval*INDEX('Age profile'!$O$2:$O$61,B1626)*(1+in_approval_growth)^(D1626-1))</f>
        <v/>
      </c>
      <c r="CD1626" s="14">
        <f>F1626*CB1626*IF(B1626&gt;=in_marketplace_from,d_hz_loan_lap*G1626,0)*CC1626*in_loan_lap_ticket*in_loan_lap_comm</f>
        <v/>
      </c>
      <c r="CE1626" s="14">
        <f>AA1626+AB1626+AC1626+AD1626+AG1626+AJ1626+AM1626+AP1626+AS1626+AU1626+AX1626+BB1626+BE1626+BG1626+BJ1626+BL1626+BO1626+BR1626+BT1626+BV1626+BX1626+CA1626+CD1626</f>
        <v/>
      </c>
    </row>
    <row r="1627">
      <c r="A1627" s="39" t="n">
        <v>41</v>
      </c>
      <c r="B1627" s="39" t="n">
        <v>6</v>
      </c>
      <c r="C1627" s="39">
        <f>A1627+B1627-1</f>
        <v/>
      </c>
      <c r="D1627" s="39">
        <f>INT((C1627-1)/12)+1</f>
        <v/>
      </c>
      <c r="E1627" s="44">
        <f>INDEX(Monthly!$B$2:$B$61,A1627)</f>
        <v/>
      </c>
      <c r="F1627" s="44">
        <f>E1627*INDEX('Age profile'!$B$2:$B$61,B1627)</f>
        <v/>
      </c>
      <c r="G1627" s="45">
        <f>MIN(in_takeup_cap,INDEX('Age profile'!$N$2:$N$61,B1627)*(1+in_takeup_growth)^(D1627-1))</f>
        <v/>
      </c>
      <c r="H1627" s="11">
        <f>MIN(in_approval_cap,in_approved_first*INDEX('Age profile'!$O$2:$O$61,B1627)*(1+in_approval_growth)^(D1627-1))</f>
        <v/>
      </c>
      <c r="I1627" s="45">
        <f>G1627*MIN(in_takeup_cap,INDEX('Age profile'!$O$2:$O$61,B1627)*(1+in_approval_growth)^(D1627-1))</f>
        <v/>
      </c>
      <c r="J1627" s="40">
        <f>(J1626-L1626)*F1627/F1626</f>
        <v/>
      </c>
      <c r="K1627" s="40">
        <f>(K1626-M1626)*F1627/F1626+SUMIFS(O1622:O1626,B1622:B1626,B1627-1-d_T)*F1627</f>
        <v/>
      </c>
      <c r="L1627" s="40">
        <f>IF(B1627&gt;=in_marketplace_from,J1627*d_hz*G1627*in_eligible*H1627,0)</f>
        <v/>
      </c>
      <c r="M1627" s="40">
        <f>IF(B1627&gt;=in_marketplace_from,K1627*d_hz*G1627*in_eligible*in_approved_repeat,0)</f>
        <v/>
      </c>
      <c r="N1627" s="40">
        <f>L1627+M1627</f>
        <v/>
      </c>
      <c r="O1627" s="46">
        <f>N1627/F1627</f>
        <v/>
      </c>
      <c r="P1627" s="40">
        <f>F1627-J1627-K1627</f>
        <v/>
      </c>
      <c r="Q1627" s="40">
        <f>IF(B1627&gt;=in_marketplace_from,(J1627+K1627)*d_hz*G1627,0)</f>
        <v/>
      </c>
      <c r="R1627" s="40">
        <f>SUMIFS(N1622:N1641,B1622:B1641,"&gt;="&amp;(B1627-d_T),B1622:B1641,"&lt;="&amp;(B1627-1))</f>
        <v/>
      </c>
      <c r="S1627" s="46">
        <f>(1-d_u)*S1626+IF(d_T&gt;in_topup_lag,SUMIFS(O1622:O1641,B1622:B1641,B1627-in_topup_lag)-d_udrop*SUMIFS(O1622:O1641,B1622:B1641,B1627-d_T),0)</f>
        <v/>
      </c>
      <c r="T1627" s="40">
        <f>F1627*d_u*S1627</f>
        <v/>
      </c>
      <c r="U1627" s="9">
        <f>L1627*in_ticket+M1627*d_rep_ticket</f>
        <v/>
      </c>
      <c r="V1627" s="9">
        <f>U1627+T1627*d_topup_amt</f>
        <v/>
      </c>
      <c r="W1627" s="40">
        <f>N1627+T1627*d_topup_ratio</f>
        <v/>
      </c>
      <c r="X1627" s="40">
        <f>SUMIFS(W1622:W1641,B1622:B1641,B1627-in_dpd_lag)*d_cured</f>
        <v/>
      </c>
      <c r="Y1627" s="40">
        <f>SUMIFS(W1622:W1641,B1622:B1641,B1627-in_rec_lag)*d_recd</f>
        <v/>
      </c>
      <c r="Z1627" s="40">
        <f>IF(AND(B1627&gt;=in_marketplace_from,B1627&lt;in_marketplace_from+in_card_months),in_card_share/in_card_months*F1627*I1627,IF(AND(B1627&gt;=in_marketplace_from+in_card_months,B1627&lt;in_marketplace_from+2*in_card_months),in_card_share*d_card_rem/in_card_months*F1627*MIN(in_takeup_cap,(1+in_takeup_growth)^(D1627-1))*MIN(in_takeup_cap,(1+in_approval_growth)^(D1627-1)),0))</f>
        <v/>
      </c>
      <c r="AA1627" s="14">
        <f>V1627*in_fee*(1-in_taken_back)</f>
        <v/>
      </c>
      <c r="AB1627" s="14">
        <f>SUMIFS(W1622:W1641,B1622:B1641,B1627-in_dpd_lag)*d_dpd</f>
        <v/>
      </c>
      <c r="AC1627" s="14">
        <f>SUMIFS(W1622:W1641,B1622:B1641,B1627-in_rec_lag)*d_rec</f>
        <v/>
      </c>
      <c r="AD1627" s="14">
        <f>Z1627*in_card_fee</f>
        <v/>
      </c>
      <c r="AE1627" s="40">
        <f>AE1626*(1-IF(B1626&gt;=in_marketplace_from,d_hz_hlth_small*G1626,0))</f>
        <v/>
      </c>
      <c r="AF1627" s="46">
        <f>AE1627*IF(B1627&gt;=in_marketplace_from,d_hz_hlth_small*G1627,0)</f>
        <v/>
      </c>
      <c r="AG1627" s="14">
        <f>F1627*AF1627*in_hlth_small_ticket*in_hlth_small_comm*in_ins_partner_share+F1627*in_hlth_small_ticket*in_hlth_small_renew_comm*in_ins_partner_share*(in_hlth_small_renew^1*SUMIFS(AF1622:AF1641,B1622:B1641,B1627-12)+in_hlth_small_renew^2*SUMIFS(AF1622:AF1641,B1622:B1641,B1627-24)+in_hlth_small_renew^3*SUMIFS(AF1622:AF1641,B1622:B1641,B1627-36)+in_hlth_small_renew^4*SUMIFS(AF1622:AF1641,B1622:B1641,B1627-48))</f>
        <v/>
      </c>
      <c r="AH1627" s="40">
        <f>AH1626*(1-IF(B1626&gt;=in_marketplace_from,d_hz_hlth_family*G1626,0))</f>
        <v/>
      </c>
      <c r="AI1627" s="46">
        <f>AH1627*IF(B1627&gt;=in_marketplace_from,d_hz_hlth_family*G1627,0)</f>
        <v/>
      </c>
      <c r="AJ1627" s="14">
        <f>F1627*AI1627*in_hlth_family_ticket*in_hlth_family_comm*in_ins_partner_share+F1627*in_hlth_family_ticket*in_hlth_family_renew_comm*in_ins_partner_share*(in_hlth_family_renew^1*SUMIFS(AI1622:AI1641,B1622:B1641,B1627-12)+in_hlth_family_renew^2*SUMIFS(AI1622:AI1641,B1622:B1641,B1627-24)+in_hlth_family_renew^3*SUMIFS(AI1622:AI1641,B1622:B1641,B1627-36)+in_hlth_family_renew^4*SUMIFS(AI1622:AI1641,B1622:B1641,B1627-48))</f>
        <v/>
      </c>
      <c r="AK1627" s="40">
        <f>AK1626*(1-IF(B1626&gt;=in_marketplace_from,d_hz_life_term*G1626,0))</f>
        <v/>
      </c>
      <c r="AL1627" s="46">
        <f>AK1627*IF(B1627&gt;=in_marketplace_from,d_hz_life_term*G1627,0)</f>
        <v/>
      </c>
      <c r="AM1627" s="14">
        <f>F1627*AL1627*in_life_term_ticket*in_life_term_comm*in_ins_partner_share+F1627*in_life_term_ticket*in_life_term_renew_comm*in_ins_partner_share*(in_life_term_renew^1*SUMIFS(AL1622:AL1641,B1622:B1641,B1627-12)+in_life_term_renew^2*SUMIFS(AL1622:AL1641,B1622:B1641,B1627-24)+in_life_term_renew^3*SUMIFS(AL1622:AL1641,B1622:B1641,B1627-36)+in_life_term_renew^4*SUMIFS(AL1622:AL1641,B1622:B1641,B1627-48))</f>
        <v/>
      </c>
      <c r="AN1627" s="40">
        <f>AN1626*(1-IF(B1626&gt;=in_marketplace_from,d_hz_accident*G1626,0))</f>
        <v/>
      </c>
      <c r="AO1627" s="46">
        <f>AN1627*IF(B1627&gt;=in_marketplace_from,d_hz_accident*G1627,0)</f>
        <v/>
      </c>
      <c r="AP1627" s="14">
        <f>F1627*AO1627*in_accident_ticket*in_accident_comm*in_ins_partner_share+F1627*in_accident_ticket*in_accident_renew_comm*in_ins_partner_share*(in_accident_renew^1*SUMIFS(AO1622:AO1641,B1622:B1641,B1627-12)+in_accident_renew^2*SUMIFS(AO1622:AO1641,B1622:B1641,B1627-24)+in_accident_renew^3*SUMIFS(AO1622:AO1641,B1622:B1641,B1627-36)+in_accident_renew^4*SUMIFS(AO1622:AO1641,B1622:B1641,B1627-48))</f>
        <v/>
      </c>
      <c r="AQ1627" s="40">
        <f>AQ1626*(1-IF(B1626&gt;=in_marketplace_from,d_hz_two_wheeler*G1626,0))</f>
        <v/>
      </c>
      <c r="AR1627" s="46">
        <f>AQ1627*IF(B1627&gt;=in_marketplace_from,d_hz_two_wheeler*G1627,0)</f>
        <v/>
      </c>
      <c r="AS1627" s="14">
        <f>F1627*AR1627*in_two_wheeler_ticket*in_two_wheeler_comm*in_ins_partner_share+F1627*in_two_wheeler_ticket*in_two_wheeler_comm*in_ins_partner_share*(in_two_wheeler_renew^1*SUMIFS(AR1622:AR1641,B1622:B1641,B1627-12)+in_two_wheeler_renew^2*SUMIFS(AR1622:AR1641,B1622:B1641,B1627-24)+in_two_wheeler_renew^3*SUMIFS(AR1622:AR1641,B1622:B1641,B1627-36)+in_two_wheeler_renew^4*SUMIFS(AR1622:AR1641,B1622:B1641,B1627-48))</f>
        <v/>
      </c>
      <c r="AT1627" s="40">
        <f>AT1626*(1-IF(B1626&gt;=in_marketplace_from,d_hz_device*G1626,0))</f>
        <v/>
      </c>
      <c r="AU1627" s="14">
        <f>F1627*AT1627*IF(B1627&gt;=in_marketplace_from,d_hz_device*G1627,0)*in_device_ticket*in_device_comm*in_ins_partner_share</f>
        <v/>
      </c>
      <c r="AV1627" s="40">
        <f>AV1626*(1-IF(B1626&gt;=in_marketplace_from,d_hz_shop*G1626,0))</f>
        <v/>
      </c>
      <c r="AW1627" s="46">
        <f>AV1627*IF(B1627&gt;=in_marketplace_from,d_hz_shop*G1627,0)</f>
        <v/>
      </c>
      <c r="AX1627" s="14">
        <f>F1627*AW1627*in_shop_ticket*in_shop_comm*in_ins_partner_share+F1627*in_shop_ticket*in_shop_renew_comm*in_ins_partner_share*(in_shop_renew^1*SUMIFS(AW1622:AW1641,B1622:B1641,B1627-12)+in_shop_renew^2*SUMIFS(AW1622:AW1641,B1622:B1641,B1627-24)+in_shop_renew^3*SUMIFS(AW1622:AW1641,B1622:B1641,B1627-36)+in_shop_renew^4*SUMIFS(AW1622:AW1641,B1622:B1641,B1627-48))</f>
        <v/>
      </c>
      <c r="AY1627" s="40">
        <f>AY1626*(1-IF(B1626&gt;=in_marketplace_from,d_hz_sip*G1626,0))</f>
        <v/>
      </c>
      <c r="AZ1627" s="40">
        <f>AZ1626*d_rho_sip+AY1627*IF(B1627&gt;=in_marketplace_from,d_hz_sip*G1627,0)</f>
        <v/>
      </c>
      <c r="BA1627" s="40">
        <f>d_rho_sip*(BA1626+AZ1626)</f>
        <v/>
      </c>
      <c r="BB1627" s="14">
        <f>F1627*in_sip_ticket*(BA1627+0.5*AZ1627)*in_sip_comm/12</f>
        <v/>
      </c>
      <c r="BC1627" s="40">
        <f>BC1626*(1-IF(B1626&gt;=in_marketplace_from,d_hz_choti*G1626,0))</f>
        <v/>
      </c>
      <c r="BD1627" s="46">
        <f>BC1627*IF(B1627&gt;=in_marketplace_from,d_hz_choti*G1627,0)</f>
        <v/>
      </c>
      <c r="BE1627" s="14">
        <f>F1627*SUMIFS(BD1622:BD1641,B1622:B1641,B1627-in_choti_months)*in_choti_renew*in_choti_ticket</f>
        <v/>
      </c>
      <c r="BF1627" s="40">
        <f>BF1626*(1-IF(B1626&gt;=in_marketplace_from,d_hz_nps*G1626,0))</f>
        <v/>
      </c>
      <c r="BG1627" s="14">
        <f>F1627*BF1627*IF(B1627&gt;=in_marketplace_from,d_hz_nps*G1627,0)*in_nps_ticket*in_nps_comm</f>
        <v/>
      </c>
      <c r="BH1627" s="40">
        <f>BH1626*(1-IF(B1626&gt;=in_marketplace_from,d_hz_gold*G1626,0))</f>
        <v/>
      </c>
      <c r="BI1627" s="40">
        <f>BI1626*d_rho_gold+BH1627*IF(B1627&gt;=in_marketplace_from,d_hz_gold*G1627,0)</f>
        <v/>
      </c>
      <c r="BJ1627" s="14">
        <f>F1627*BI1627*in_gold_ticket*in_gold_comm</f>
        <v/>
      </c>
      <c r="BK1627" s="40">
        <f>BK1626*(1-IF(B1626&gt;=in_marketplace_from,d_hz_fd*G1626,0))</f>
        <v/>
      </c>
      <c r="BL1627" s="14">
        <f>F1627*BK1627*IF(B1627&gt;=in_marketplace_from,d_hz_fd*G1627,0)*in_fd_ticket*in_fd_comm</f>
        <v/>
      </c>
      <c r="BM1627" s="40">
        <f>BM1626*(1-IF(B1626&gt;=in_marketplace_from,d_hz_recharge*G1626,0))</f>
        <v/>
      </c>
      <c r="BN1627" s="40">
        <f>BN1626*d_rho_recharge+BM1627*IF(B1627&gt;=in_marketplace_from,d_hz_recharge*G1627,0)</f>
        <v/>
      </c>
      <c r="BO1627" s="14">
        <f>F1627*BN1627*in_recharge_ticket*in_recharge_comm/12</f>
        <v/>
      </c>
      <c r="BP1627" s="40">
        <f>BP1626*(1-IF(B1626&gt;=in_marketplace_from,d_hz_bills*G1626,0))</f>
        <v/>
      </c>
      <c r="BQ1627" s="40">
        <f>BQ1626*d_rho_bills+BP1627*IF(B1627&gt;=in_marketplace_from,d_hz_bills*G1627,0)</f>
        <v/>
      </c>
      <c r="BR1627" s="14">
        <f>F1627*BQ1627*in_bills_ticket*in_bills_comm/12</f>
        <v/>
      </c>
      <c r="BS1627" s="40">
        <f>BS1626*(1-IF(B1626&gt;=in_marketplace_from,d_hz_loan_gold*G1626,0))</f>
        <v/>
      </c>
      <c r="BT1627" s="14">
        <f>F1627*BS1627*IF(B1627&gt;=in_marketplace_from,d_hz_loan_gold*G1627,0)*in_loan_gold_ticket*in_loan_gold_comm</f>
        <v/>
      </c>
      <c r="BU1627" s="40">
        <f>BU1626*(1-IF(B1626&gt;=in_marketplace_from,d_hz_loan_cd*G1626,0))</f>
        <v/>
      </c>
      <c r="BV1627" s="14">
        <f>F1627*BU1627*IF(B1627&gt;=in_marketplace_from,d_hz_loan_cd*G1627,0)*in_loan_cd_ticket*in_loan_cd_comm</f>
        <v/>
      </c>
      <c r="BW1627" s="40">
        <f>BW1626*(1-IF(B1626&gt;=in_marketplace_from,d_hz_loan_vehicle*G1626,0))</f>
        <v/>
      </c>
      <c r="BX1627" s="14">
        <f>F1627*BW1627*IF(B1627&gt;=in_marketplace_from,d_hz_loan_vehicle*G1627,0)*in_loan_vehicle_ticket*in_loan_vehicle_comm</f>
        <v/>
      </c>
      <c r="BY1627" s="40">
        <f>BY1626*(1-IF(B1626&gt;=in_marketplace_from,d_hz_loan_home*G1626,0)*BZ1626)</f>
        <v/>
      </c>
      <c r="BZ1627" s="11">
        <f>MIN(in_approval_cap,in_loan_home_approval*INDEX('Age profile'!$O$2:$O$61,B1627)*(1+in_approval_growth)^(D1627-1))</f>
        <v/>
      </c>
      <c r="CA1627" s="14">
        <f>F1627*BY1627*IF(B1627&gt;=in_marketplace_from,d_hz_loan_home*G1627,0)*BZ1627*in_loan_home_ticket*in_loan_home_comm</f>
        <v/>
      </c>
      <c r="CB1627" s="40">
        <f>CB1626*(1-IF(B1626&gt;=in_marketplace_from,d_hz_loan_lap*G1626,0)*CC1626)</f>
        <v/>
      </c>
      <c r="CC1627" s="11">
        <f>MIN(in_approval_cap,in_loan_lap_approval*INDEX('Age profile'!$O$2:$O$61,B1627)*(1+in_approval_growth)^(D1627-1))</f>
        <v/>
      </c>
      <c r="CD1627" s="14">
        <f>F1627*CB1627*IF(B1627&gt;=in_marketplace_from,d_hz_loan_lap*G1627,0)*CC1627*in_loan_lap_ticket*in_loan_lap_comm</f>
        <v/>
      </c>
      <c r="CE1627" s="14">
        <f>AA1627+AB1627+AC1627+AD1627+AG1627+AJ1627+AM1627+AP1627+AS1627+AU1627+AX1627+BB1627+BE1627+BG1627+BJ1627+BL1627+BO1627+BR1627+BT1627+BV1627+BX1627+CA1627+CD1627</f>
        <v/>
      </c>
    </row>
    <row r="1628">
      <c r="A1628" s="39" t="n">
        <v>41</v>
      </c>
      <c r="B1628" s="39" t="n">
        <v>7</v>
      </c>
      <c r="C1628" s="39">
        <f>A1628+B1628-1</f>
        <v/>
      </c>
      <c r="D1628" s="39">
        <f>INT((C1628-1)/12)+1</f>
        <v/>
      </c>
      <c r="E1628" s="44">
        <f>INDEX(Monthly!$B$2:$B$61,A1628)</f>
        <v/>
      </c>
      <c r="F1628" s="44">
        <f>E1628*INDEX('Age profile'!$B$2:$B$61,B1628)</f>
        <v/>
      </c>
      <c r="G1628" s="45">
        <f>MIN(in_takeup_cap,INDEX('Age profile'!$N$2:$N$61,B1628)*(1+in_takeup_growth)^(D1628-1))</f>
        <v/>
      </c>
      <c r="H1628" s="11">
        <f>MIN(in_approval_cap,in_approved_first*INDEX('Age profile'!$O$2:$O$61,B1628)*(1+in_approval_growth)^(D1628-1))</f>
        <v/>
      </c>
      <c r="I1628" s="45">
        <f>G1628*MIN(in_takeup_cap,INDEX('Age profile'!$O$2:$O$61,B1628)*(1+in_approval_growth)^(D1628-1))</f>
        <v/>
      </c>
      <c r="J1628" s="40">
        <f>(J1627-L1627)*F1628/F1627</f>
        <v/>
      </c>
      <c r="K1628" s="40">
        <f>(K1627-M1627)*F1628/F1627+SUMIFS(O1622:O1627,B1622:B1627,B1628-1-d_T)*F1628</f>
        <v/>
      </c>
      <c r="L1628" s="40">
        <f>IF(B1628&gt;=in_marketplace_from,J1628*d_hz*G1628*in_eligible*H1628,0)</f>
        <v/>
      </c>
      <c r="M1628" s="40">
        <f>IF(B1628&gt;=in_marketplace_from,K1628*d_hz*G1628*in_eligible*in_approved_repeat,0)</f>
        <v/>
      </c>
      <c r="N1628" s="40">
        <f>L1628+M1628</f>
        <v/>
      </c>
      <c r="O1628" s="46">
        <f>N1628/F1628</f>
        <v/>
      </c>
      <c r="P1628" s="40">
        <f>F1628-J1628-K1628</f>
        <v/>
      </c>
      <c r="Q1628" s="40">
        <f>IF(B1628&gt;=in_marketplace_from,(J1628+K1628)*d_hz*G1628,0)</f>
        <v/>
      </c>
      <c r="R1628" s="40">
        <f>SUMIFS(N1622:N1641,B1622:B1641,"&gt;="&amp;(B1628-d_T),B1622:B1641,"&lt;="&amp;(B1628-1))</f>
        <v/>
      </c>
      <c r="S1628" s="46">
        <f>(1-d_u)*S1627+IF(d_T&gt;in_topup_lag,SUMIFS(O1622:O1641,B1622:B1641,B1628-in_topup_lag)-d_udrop*SUMIFS(O1622:O1641,B1622:B1641,B1628-d_T),0)</f>
        <v/>
      </c>
      <c r="T1628" s="40">
        <f>F1628*d_u*S1628</f>
        <v/>
      </c>
      <c r="U1628" s="9">
        <f>L1628*in_ticket+M1628*d_rep_ticket</f>
        <v/>
      </c>
      <c r="V1628" s="9">
        <f>U1628+T1628*d_topup_amt</f>
        <v/>
      </c>
      <c r="W1628" s="40">
        <f>N1628+T1628*d_topup_ratio</f>
        <v/>
      </c>
      <c r="X1628" s="40">
        <f>SUMIFS(W1622:W1641,B1622:B1641,B1628-in_dpd_lag)*d_cured</f>
        <v/>
      </c>
      <c r="Y1628" s="40">
        <f>SUMIFS(W1622:W1641,B1622:B1641,B1628-in_rec_lag)*d_recd</f>
        <v/>
      </c>
      <c r="Z1628" s="40">
        <f>IF(AND(B1628&gt;=in_marketplace_from,B1628&lt;in_marketplace_from+in_card_months),in_card_share/in_card_months*F1628*I1628,IF(AND(B1628&gt;=in_marketplace_from+in_card_months,B1628&lt;in_marketplace_from+2*in_card_months),in_card_share*d_card_rem/in_card_months*F1628*MIN(in_takeup_cap,(1+in_takeup_growth)^(D1628-1))*MIN(in_takeup_cap,(1+in_approval_growth)^(D1628-1)),0))</f>
        <v/>
      </c>
      <c r="AA1628" s="14">
        <f>V1628*in_fee*(1-in_taken_back)</f>
        <v/>
      </c>
      <c r="AB1628" s="14">
        <f>SUMIFS(W1622:W1641,B1622:B1641,B1628-in_dpd_lag)*d_dpd</f>
        <v/>
      </c>
      <c r="AC1628" s="14">
        <f>SUMIFS(W1622:W1641,B1622:B1641,B1628-in_rec_lag)*d_rec</f>
        <v/>
      </c>
      <c r="AD1628" s="14">
        <f>Z1628*in_card_fee</f>
        <v/>
      </c>
      <c r="AE1628" s="40">
        <f>AE1627*(1-IF(B1627&gt;=in_marketplace_from,d_hz_hlth_small*G1627,0))</f>
        <v/>
      </c>
      <c r="AF1628" s="46">
        <f>AE1628*IF(B1628&gt;=in_marketplace_from,d_hz_hlth_small*G1628,0)</f>
        <v/>
      </c>
      <c r="AG1628" s="14">
        <f>F1628*AF1628*in_hlth_small_ticket*in_hlth_small_comm*in_ins_partner_share+F1628*in_hlth_small_ticket*in_hlth_small_renew_comm*in_ins_partner_share*(in_hlth_small_renew^1*SUMIFS(AF1622:AF1641,B1622:B1641,B1628-12)+in_hlth_small_renew^2*SUMIFS(AF1622:AF1641,B1622:B1641,B1628-24)+in_hlth_small_renew^3*SUMIFS(AF1622:AF1641,B1622:B1641,B1628-36)+in_hlth_small_renew^4*SUMIFS(AF1622:AF1641,B1622:B1641,B1628-48))</f>
        <v/>
      </c>
      <c r="AH1628" s="40">
        <f>AH1627*(1-IF(B1627&gt;=in_marketplace_from,d_hz_hlth_family*G1627,0))</f>
        <v/>
      </c>
      <c r="AI1628" s="46">
        <f>AH1628*IF(B1628&gt;=in_marketplace_from,d_hz_hlth_family*G1628,0)</f>
        <v/>
      </c>
      <c r="AJ1628" s="14">
        <f>F1628*AI1628*in_hlth_family_ticket*in_hlth_family_comm*in_ins_partner_share+F1628*in_hlth_family_ticket*in_hlth_family_renew_comm*in_ins_partner_share*(in_hlth_family_renew^1*SUMIFS(AI1622:AI1641,B1622:B1641,B1628-12)+in_hlth_family_renew^2*SUMIFS(AI1622:AI1641,B1622:B1641,B1628-24)+in_hlth_family_renew^3*SUMIFS(AI1622:AI1641,B1622:B1641,B1628-36)+in_hlth_family_renew^4*SUMIFS(AI1622:AI1641,B1622:B1641,B1628-48))</f>
        <v/>
      </c>
      <c r="AK1628" s="40">
        <f>AK1627*(1-IF(B1627&gt;=in_marketplace_from,d_hz_life_term*G1627,0))</f>
        <v/>
      </c>
      <c r="AL1628" s="46">
        <f>AK1628*IF(B1628&gt;=in_marketplace_from,d_hz_life_term*G1628,0)</f>
        <v/>
      </c>
      <c r="AM1628" s="14">
        <f>F1628*AL1628*in_life_term_ticket*in_life_term_comm*in_ins_partner_share+F1628*in_life_term_ticket*in_life_term_renew_comm*in_ins_partner_share*(in_life_term_renew^1*SUMIFS(AL1622:AL1641,B1622:B1641,B1628-12)+in_life_term_renew^2*SUMIFS(AL1622:AL1641,B1622:B1641,B1628-24)+in_life_term_renew^3*SUMIFS(AL1622:AL1641,B1622:B1641,B1628-36)+in_life_term_renew^4*SUMIFS(AL1622:AL1641,B1622:B1641,B1628-48))</f>
        <v/>
      </c>
      <c r="AN1628" s="40">
        <f>AN1627*(1-IF(B1627&gt;=in_marketplace_from,d_hz_accident*G1627,0))</f>
        <v/>
      </c>
      <c r="AO1628" s="46">
        <f>AN1628*IF(B1628&gt;=in_marketplace_from,d_hz_accident*G1628,0)</f>
        <v/>
      </c>
      <c r="AP1628" s="14">
        <f>F1628*AO1628*in_accident_ticket*in_accident_comm*in_ins_partner_share+F1628*in_accident_ticket*in_accident_renew_comm*in_ins_partner_share*(in_accident_renew^1*SUMIFS(AO1622:AO1641,B1622:B1641,B1628-12)+in_accident_renew^2*SUMIFS(AO1622:AO1641,B1622:B1641,B1628-24)+in_accident_renew^3*SUMIFS(AO1622:AO1641,B1622:B1641,B1628-36)+in_accident_renew^4*SUMIFS(AO1622:AO1641,B1622:B1641,B1628-48))</f>
        <v/>
      </c>
      <c r="AQ1628" s="40">
        <f>AQ1627*(1-IF(B1627&gt;=in_marketplace_from,d_hz_two_wheeler*G1627,0))</f>
        <v/>
      </c>
      <c r="AR1628" s="46">
        <f>AQ1628*IF(B1628&gt;=in_marketplace_from,d_hz_two_wheeler*G1628,0)</f>
        <v/>
      </c>
      <c r="AS1628" s="14">
        <f>F1628*AR1628*in_two_wheeler_ticket*in_two_wheeler_comm*in_ins_partner_share+F1628*in_two_wheeler_ticket*in_two_wheeler_comm*in_ins_partner_share*(in_two_wheeler_renew^1*SUMIFS(AR1622:AR1641,B1622:B1641,B1628-12)+in_two_wheeler_renew^2*SUMIFS(AR1622:AR1641,B1622:B1641,B1628-24)+in_two_wheeler_renew^3*SUMIFS(AR1622:AR1641,B1622:B1641,B1628-36)+in_two_wheeler_renew^4*SUMIFS(AR1622:AR1641,B1622:B1641,B1628-48))</f>
        <v/>
      </c>
      <c r="AT1628" s="40">
        <f>AT1627*(1-IF(B1627&gt;=in_marketplace_from,d_hz_device*G1627,0))</f>
        <v/>
      </c>
      <c r="AU1628" s="14">
        <f>F1628*AT1628*IF(B1628&gt;=in_marketplace_from,d_hz_device*G1628,0)*in_device_ticket*in_device_comm*in_ins_partner_share</f>
        <v/>
      </c>
      <c r="AV1628" s="40">
        <f>AV1627*(1-IF(B1627&gt;=in_marketplace_from,d_hz_shop*G1627,0))</f>
        <v/>
      </c>
      <c r="AW1628" s="46">
        <f>AV1628*IF(B1628&gt;=in_marketplace_from,d_hz_shop*G1628,0)</f>
        <v/>
      </c>
      <c r="AX1628" s="14">
        <f>F1628*AW1628*in_shop_ticket*in_shop_comm*in_ins_partner_share+F1628*in_shop_ticket*in_shop_renew_comm*in_ins_partner_share*(in_shop_renew^1*SUMIFS(AW1622:AW1641,B1622:B1641,B1628-12)+in_shop_renew^2*SUMIFS(AW1622:AW1641,B1622:B1641,B1628-24)+in_shop_renew^3*SUMIFS(AW1622:AW1641,B1622:B1641,B1628-36)+in_shop_renew^4*SUMIFS(AW1622:AW1641,B1622:B1641,B1628-48))</f>
        <v/>
      </c>
      <c r="AY1628" s="40">
        <f>AY1627*(1-IF(B1627&gt;=in_marketplace_from,d_hz_sip*G1627,0))</f>
        <v/>
      </c>
      <c r="AZ1628" s="40">
        <f>AZ1627*d_rho_sip+AY1628*IF(B1628&gt;=in_marketplace_from,d_hz_sip*G1628,0)</f>
        <v/>
      </c>
      <c r="BA1628" s="40">
        <f>d_rho_sip*(BA1627+AZ1627)</f>
        <v/>
      </c>
      <c r="BB1628" s="14">
        <f>F1628*in_sip_ticket*(BA1628+0.5*AZ1628)*in_sip_comm/12</f>
        <v/>
      </c>
      <c r="BC1628" s="40">
        <f>BC1627*(1-IF(B1627&gt;=in_marketplace_from,d_hz_choti*G1627,0))</f>
        <v/>
      </c>
      <c r="BD1628" s="46">
        <f>BC1628*IF(B1628&gt;=in_marketplace_from,d_hz_choti*G1628,0)</f>
        <v/>
      </c>
      <c r="BE1628" s="14">
        <f>F1628*SUMIFS(BD1622:BD1641,B1622:B1641,B1628-in_choti_months)*in_choti_renew*in_choti_ticket</f>
        <v/>
      </c>
      <c r="BF1628" s="40">
        <f>BF1627*(1-IF(B1627&gt;=in_marketplace_from,d_hz_nps*G1627,0))</f>
        <v/>
      </c>
      <c r="BG1628" s="14">
        <f>F1628*BF1628*IF(B1628&gt;=in_marketplace_from,d_hz_nps*G1628,0)*in_nps_ticket*in_nps_comm</f>
        <v/>
      </c>
      <c r="BH1628" s="40">
        <f>BH1627*(1-IF(B1627&gt;=in_marketplace_from,d_hz_gold*G1627,0))</f>
        <v/>
      </c>
      <c r="BI1628" s="40">
        <f>BI1627*d_rho_gold+BH1628*IF(B1628&gt;=in_marketplace_from,d_hz_gold*G1628,0)</f>
        <v/>
      </c>
      <c r="BJ1628" s="14">
        <f>F1628*BI1628*in_gold_ticket*in_gold_comm</f>
        <v/>
      </c>
      <c r="BK1628" s="40">
        <f>BK1627*(1-IF(B1627&gt;=in_marketplace_from,d_hz_fd*G1627,0))</f>
        <v/>
      </c>
      <c r="BL1628" s="14">
        <f>F1628*BK1628*IF(B1628&gt;=in_marketplace_from,d_hz_fd*G1628,0)*in_fd_ticket*in_fd_comm</f>
        <v/>
      </c>
      <c r="BM1628" s="40">
        <f>BM1627*(1-IF(B1627&gt;=in_marketplace_from,d_hz_recharge*G1627,0))</f>
        <v/>
      </c>
      <c r="BN1628" s="40">
        <f>BN1627*d_rho_recharge+BM1628*IF(B1628&gt;=in_marketplace_from,d_hz_recharge*G1628,0)</f>
        <v/>
      </c>
      <c r="BO1628" s="14">
        <f>F1628*BN1628*in_recharge_ticket*in_recharge_comm/12</f>
        <v/>
      </c>
      <c r="BP1628" s="40">
        <f>BP1627*(1-IF(B1627&gt;=in_marketplace_from,d_hz_bills*G1627,0))</f>
        <v/>
      </c>
      <c r="BQ1628" s="40">
        <f>BQ1627*d_rho_bills+BP1628*IF(B1628&gt;=in_marketplace_from,d_hz_bills*G1628,0)</f>
        <v/>
      </c>
      <c r="BR1628" s="14">
        <f>F1628*BQ1628*in_bills_ticket*in_bills_comm/12</f>
        <v/>
      </c>
      <c r="BS1628" s="40">
        <f>BS1627*(1-IF(B1627&gt;=in_marketplace_from,d_hz_loan_gold*G1627,0))</f>
        <v/>
      </c>
      <c r="BT1628" s="14">
        <f>F1628*BS1628*IF(B1628&gt;=in_marketplace_from,d_hz_loan_gold*G1628,0)*in_loan_gold_ticket*in_loan_gold_comm</f>
        <v/>
      </c>
      <c r="BU1628" s="40">
        <f>BU1627*(1-IF(B1627&gt;=in_marketplace_from,d_hz_loan_cd*G1627,0))</f>
        <v/>
      </c>
      <c r="BV1628" s="14">
        <f>F1628*BU1628*IF(B1628&gt;=in_marketplace_from,d_hz_loan_cd*G1628,0)*in_loan_cd_ticket*in_loan_cd_comm</f>
        <v/>
      </c>
      <c r="BW1628" s="40">
        <f>BW1627*(1-IF(B1627&gt;=in_marketplace_from,d_hz_loan_vehicle*G1627,0))</f>
        <v/>
      </c>
      <c r="BX1628" s="14">
        <f>F1628*BW1628*IF(B1628&gt;=in_marketplace_from,d_hz_loan_vehicle*G1628,0)*in_loan_vehicle_ticket*in_loan_vehicle_comm</f>
        <v/>
      </c>
      <c r="BY1628" s="40">
        <f>BY1627*(1-IF(B1627&gt;=in_marketplace_from,d_hz_loan_home*G1627,0)*BZ1627)</f>
        <v/>
      </c>
      <c r="BZ1628" s="11">
        <f>MIN(in_approval_cap,in_loan_home_approval*INDEX('Age profile'!$O$2:$O$61,B1628)*(1+in_approval_growth)^(D1628-1))</f>
        <v/>
      </c>
      <c r="CA1628" s="14">
        <f>F1628*BY1628*IF(B1628&gt;=in_marketplace_from,d_hz_loan_home*G1628,0)*BZ1628*in_loan_home_ticket*in_loan_home_comm</f>
        <v/>
      </c>
      <c r="CB1628" s="40">
        <f>CB1627*(1-IF(B1627&gt;=in_marketplace_from,d_hz_loan_lap*G1627,0)*CC1627)</f>
        <v/>
      </c>
      <c r="CC1628" s="11">
        <f>MIN(in_approval_cap,in_loan_lap_approval*INDEX('Age profile'!$O$2:$O$61,B1628)*(1+in_approval_growth)^(D1628-1))</f>
        <v/>
      </c>
      <c r="CD1628" s="14">
        <f>F1628*CB1628*IF(B1628&gt;=in_marketplace_from,d_hz_loan_lap*G1628,0)*CC1628*in_loan_lap_ticket*in_loan_lap_comm</f>
        <v/>
      </c>
      <c r="CE1628" s="14">
        <f>AA1628+AB1628+AC1628+AD1628+AG1628+AJ1628+AM1628+AP1628+AS1628+AU1628+AX1628+BB1628+BE1628+BG1628+BJ1628+BL1628+BO1628+BR1628+BT1628+BV1628+BX1628+CA1628+CD1628</f>
        <v/>
      </c>
    </row>
    <row r="1629">
      <c r="A1629" s="39" t="n">
        <v>41</v>
      </c>
      <c r="B1629" s="39" t="n">
        <v>8</v>
      </c>
      <c r="C1629" s="39">
        <f>A1629+B1629-1</f>
        <v/>
      </c>
      <c r="D1629" s="39">
        <f>INT((C1629-1)/12)+1</f>
        <v/>
      </c>
      <c r="E1629" s="44">
        <f>INDEX(Monthly!$B$2:$B$61,A1629)</f>
        <v/>
      </c>
      <c r="F1629" s="44">
        <f>E1629*INDEX('Age profile'!$B$2:$B$61,B1629)</f>
        <v/>
      </c>
      <c r="G1629" s="45">
        <f>MIN(in_takeup_cap,INDEX('Age profile'!$N$2:$N$61,B1629)*(1+in_takeup_growth)^(D1629-1))</f>
        <v/>
      </c>
      <c r="H1629" s="11">
        <f>MIN(in_approval_cap,in_approved_first*INDEX('Age profile'!$O$2:$O$61,B1629)*(1+in_approval_growth)^(D1629-1))</f>
        <v/>
      </c>
      <c r="I1629" s="45">
        <f>G1629*MIN(in_takeup_cap,INDEX('Age profile'!$O$2:$O$61,B1629)*(1+in_approval_growth)^(D1629-1))</f>
        <v/>
      </c>
      <c r="J1629" s="40">
        <f>(J1628-L1628)*F1629/F1628</f>
        <v/>
      </c>
      <c r="K1629" s="40">
        <f>(K1628-M1628)*F1629/F1628+SUMIFS(O1622:O1628,B1622:B1628,B1629-1-d_T)*F1629</f>
        <v/>
      </c>
      <c r="L1629" s="40">
        <f>IF(B1629&gt;=in_marketplace_from,J1629*d_hz*G1629*in_eligible*H1629,0)</f>
        <v/>
      </c>
      <c r="M1629" s="40">
        <f>IF(B1629&gt;=in_marketplace_from,K1629*d_hz*G1629*in_eligible*in_approved_repeat,0)</f>
        <v/>
      </c>
      <c r="N1629" s="40">
        <f>L1629+M1629</f>
        <v/>
      </c>
      <c r="O1629" s="46">
        <f>N1629/F1629</f>
        <v/>
      </c>
      <c r="P1629" s="40">
        <f>F1629-J1629-K1629</f>
        <v/>
      </c>
      <c r="Q1629" s="40">
        <f>IF(B1629&gt;=in_marketplace_from,(J1629+K1629)*d_hz*G1629,0)</f>
        <v/>
      </c>
      <c r="R1629" s="40">
        <f>SUMIFS(N1622:N1641,B1622:B1641,"&gt;="&amp;(B1629-d_T),B1622:B1641,"&lt;="&amp;(B1629-1))</f>
        <v/>
      </c>
      <c r="S1629" s="46">
        <f>(1-d_u)*S1628+IF(d_T&gt;in_topup_lag,SUMIFS(O1622:O1641,B1622:B1641,B1629-in_topup_lag)-d_udrop*SUMIFS(O1622:O1641,B1622:B1641,B1629-d_T),0)</f>
        <v/>
      </c>
      <c r="T1629" s="40">
        <f>F1629*d_u*S1629</f>
        <v/>
      </c>
      <c r="U1629" s="9">
        <f>L1629*in_ticket+M1629*d_rep_ticket</f>
        <v/>
      </c>
      <c r="V1629" s="9">
        <f>U1629+T1629*d_topup_amt</f>
        <v/>
      </c>
      <c r="W1629" s="40">
        <f>N1629+T1629*d_topup_ratio</f>
        <v/>
      </c>
      <c r="X1629" s="40">
        <f>SUMIFS(W1622:W1641,B1622:B1641,B1629-in_dpd_lag)*d_cured</f>
        <v/>
      </c>
      <c r="Y1629" s="40">
        <f>SUMIFS(W1622:W1641,B1622:B1641,B1629-in_rec_lag)*d_recd</f>
        <v/>
      </c>
      <c r="Z1629" s="40">
        <f>IF(AND(B1629&gt;=in_marketplace_from,B1629&lt;in_marketplace_from+in_card_months),in_card_share/in_card_months*F1629*I1629,IF(AND(B1629&gt;=in_marketplace_from+in_card_months,B1629&lt;in_marketplace_from+2*in_card_months),in_card_share*d_card_rem/in_card_months*F1629*MIN(in_takeup_cap,(1+in_takeup_growth)^(D1629-1))*MIN(in_takeup_cap,(1+in_approval_growth)^(D1629-1)),0))</f>
        <v/>
      </c>
      <c r="AA1629" s="14">
        <f>V1629*in_fee*(1-in_taken_back)</f>
        <v/>
      </c>
      <c r="AB1629" s="14">
        <f>SUMIFS(W1622:W1641,B1622:B1641,B1629-in_dpd_lag)*d_dpd</f>
        <v/>
      </c>
      <c r="AC1629" s="14">
        <f>SUMIFS(W1622:W1641,B1622:B1641,B1629-in_rec_lag)*d_rec</f>
        <v/>
      </c>
      <c r="AD1629" s="14">
        <f>Z1629*in_card_fee</f>
        <v/>
      </c>
      <c r="AE1629" s="40">
        <f>AE1628*(1-IF(B1628&gt;=in_marketplace_from,d_hz_hlth_small*G1628,0))</f>
        <v/>
      </c>
      <c r="AF1629" s="46">
        <f>AE1629*IF(B1629&gt;=in_marketplace_from,d_hz_hlth_small*G1629,0)</f>
        <v/>
      </c>
      <c r="AG1629" s="14">
        <f>F1629*AF1629*in_hlth_small_ticket*in_hlth_small_comm*in_ins_partner_share+F1629*in_hlth_small_ticket*in_hlth_small_renew_comm*in_ins_partner_share*(in_hlth_small_renew^1*SUMIFS(AF1622:AF1641,B1622:B1641,B1629-12)+in_hlth_small_renew^2*SUMIFS(AF1622:AF1641,B1622:B1641,B1629-24)+in_hlth_small_renew^3*SUMIFS(AF1622:AF1641,B1622:B1641,B1629-36)+in_hlth_small_renew^4*SUMIFS(AF1622:AF1641,B1622:B1641,B1629-48))</f>
        <v/>
      </c>
      <c r="AH1629" s="40">
        <f>AH1628*(1-IF(B1628&gt;=in_marketplace_from,d_hz_hlth_family*G1628,0))</f>
        <v/>
      </c>
      <c r="AI1629" s="46">
        <f>AH1629*IF(B1629&gt;=in_marketplace_from,d_hz_hlth_family*G1629,0)</f>
        <v/>
      </c>
      <c r="AJ1629" s="14">
        <f>F1629*AI1629*in_hlth_family_ticket*in_hlth_family_comm*in_ins_partner_share+F1629*in_hlth_family_ticket*in_hlth_family_renew_comm*in_ins_partner_share*(in_hlth_family_renew^1*SUMIFS(AI1622:AI1641,B1622:B1641,B1629-12)+in_hlth_family_renew^2*SUMIFS(AI1622:AI1641,B1622:B1641,B1629-24)+in_hlth_family_renew^3*SUMIFS(AI1622:AI1641,B1622:B1641,B1629-36)+in_hlth_family_renew^4*SUMIFS(AI1622:AI1641,B1622:B1641,B1629-48))</f>
        <v/>
      </c>
      <c r="AK1629" s="40">
        <f>AK1628*(1-IF(B1628&gt;=in_marketplace_from,d_hz_life_term*G1628,0))</f>
        <v/>
      </c>
      <c r="AL1629" s="46">
        <f>AK1629*IF(B1629&gt;=in_marketplace_from,d_hz_life_term*G1629,0)</f>
        <v/>
      </c>
      <c r="AM1629" s="14">
        <f>F1629*AL1629*in_life_term_ticket*in_life_term_comm*in_ins_partner_share+F1629*in_life_term_ticket*in_life_term_renew_comm*in_ins_partner_share*(in_life_term_renew^1*SUMIFS(AL1622:AL1641,B1622:B1641,B1629-12)+in_life_term_renew^2*SUMIFS(AL1622:AL1641,B1622:B1641,B1629-24)+in_life_term_renew^3*SUMIFS(AL1622:AL1641,B1622:B1641,B1629-36)+in_life_term_renew^4*SUMIFS(AL1622:AL1641,B1622:B1641,B1629-48))</f>
        <v/>
      </c>
      <c r="AN1629" s="40">
        <f>AN1628*(1-IF(B1628&gt;=in_marketplace_from,d_hz_accident*G1628,0))</f>
        <v/>
      </c>
      <c r="AO1629" s="46">
        <f>AN1629*IF(B1629&gt;=in_marketplace_from,d_hz_accident*G1629,0)</f>
        <v/>
      </c>
      <c r="AP1629" s="14">
        <f>F1629*AO1629*in_accident_ticket*in_accident_comm*in_ins_partner_share+F1629*in_accident_ticket*in_accident_renew_comm*in_ins_partner_share*(in_accident_renew^1*SUMIFS(AO1622:AO1641,B1622:B1641,B1629-12)+in_accident_renew^2*SUMIFS(AO1622:AO1641,B1622:B1641,B1629-24)+in_accident_renew^3*SUMIFS(AO1622:AO1641,B1622:B1641,B1629-36)+in_accident_renew^4*SUMIFS(AO1622:AO1641,B1622:B1641,B1629-48))</f>
        <v/>
      </c>
      <c r="AQ1629" s="40">
        <f>AQ1628*(1-IF(B1628&gt;=in_marketplace_from,d_hz_two_wheeler*G1628,0))</f>
        <v/>
      </c>
      <c r="AR1629" s="46">
        <f>AQ1629*IF(B1629&gt;=in_marketplace_from,d_hz_two_wheeler*G1629,0)</f>
        <v/>
      </c>
      <c r="AS1629" s="14">
        <f>F1629*AR1629*in_two_wheeler_ticket*in_two_wheeler_comm*in_ins_partner_share+F1629*in_two_wheeler_ticket*in_two_wheeler_comm*in_ins_partner_share*(in_two_wheeler_renew^1*SUMIFS(AR1622:AR1641,B1622:B1641,B1629-12)+in_two_wheeler_renew^2*SUMIFS(AR1622:AR1641,B1622:B1641,B1629-24)+in_two_wheeler_renew^3*SUMIFS(AR1622:AR1641,B1622:B1641,B1629-36)+in_two_wheeler_renew^4*SUMIFS(AR1622:AR1641,B1622:B1641,B1629-48))</f>
        <v/>
      </c>
      <c r="AT1629" s="40">
        <f>AT1628*(1-IF(B1628&gt;=in_marketplace_from,d_hz_device*G1628,0))</f>
        <v/>
      </c>
      <c r="AU1629" s="14">
        <f>F1629*AT1629*IF(B1629&gt;=in_marketplace_from,d_hz_device*G1629,0)*in_device_ticket*in_device_comm*in_ins_partner_share</f>
        <v/>
      </c>
      <c r="AV1629" s="40">
        <f>AV1628*(1-IF(B1628&gt;=in_marketplace_from,d_hz_shop*G1628,0))</f>
        <v/>
      </c>
      <c r="AW1629" s="46">
        <f>AV1629*IF(B1629&gt;=in_marketplace_from,d_hz_shop*G1629,0)</f>
        <v/>
      </c>
      <c r="AX1629" s="14">
        <f>F1629*AW1629*in_shop_ticket*in_shop_comm*in_ins_partner_share+F1629*in_shop_ticket*in_shop_renew_comm*in_ins_partner_share*(in_shop_renew^1*SUMIFS(AW1622:AW1641,B1622:B1641,B1629-12)+in_shop_renew^2*SUMIFS(AW1622:AW1641,B1622:B1641,B1629-24)+in_shop_renew^3*SUMIFS(AW1622:AW1641,B1622:B1641,B1629-36)+in_shop_renew^4*SUMIFS(AW1622:AW1641,B1622:B1641,B1629-48))</f>
        <v/>
      </c>
      <c r="AY1629" s="40">
        <f>AY1628*(1-IF(B1628&gt;=in_marketplace_from,d_hz_sip*G1628,0))</f>
        <v/>
      </c>
      <c r="AZ1629" s="40">
        <f>AZ1628*d_rho_sip+AY1629*IF(B1629&gt;=in_marketplace_from,d_hz_sip*G1629,0)</f>
        <v/>
      </c>
      <c r="BA1629" s="40">
        <f>d_rho_sip*(BA1628+AZ1628)</f>
        <v/>
      </c>
      <c r="BB1629" s="14">
        <f>F1629*in_sip_ticket*(BA1629+0.5*AZ1629)*in_sip_comm/12</f>
        <v/>
      </c>
      <c r="BC1629" s="40">
        <f>BC1628*(1-IF(B1628&gt;=in_marketplace_from,d_hz_choti*G1628,0))</f>
        <v/>
      </c>
      <c r="BD1629" s="46">
        <f>BC1629*IF(B1629&gt;=in_marketplace_from,d_hz_choti*G1629,0)</f>
        <v/>
      </c>
      <c r="BE1629" s="14">
        <f>F1629*SUMIFS(BD1622:BD1641,B1622:B1641,B1629-in_choti_months)*in_choti_renew*in_choti_ticket</f>
        <v/>
      </c>
      <c r="BF1629" s="40">
        <f>BF1628*(1-IF(B1628&gt;=in_marketplace_from,d_hz_nps*G1628,0))</f>
        <v/>
      </c>
      <c r="BG1629" s="14">
        <f>F1629*BF1629*IF(B1629&gt;=in_marketplace_from,d_hz_nps*G1629,0)*in_nps_ticket*in_nps_comm</f>
        <v/>
      </c>
      <c r="BH1629" s="40">
        <f>BH1628*(1-IF(B1628&gt;=in_marketplace_from,d_hz_gold*G1628,0))</f>
        <v/>
      </c>
      <c r="BI1629" s="40">
        <f>BI1628*d_rho_gold+BH1629*IF(B1629&gt;=in_marketplace_from,d_hz_gold*G1629,0)</f>
        <v/>
      </c>
      <c r="BJ1629" s="14">
        <f>F1629*BI1629*in_gold_ticket*in_gold_comm</f>
        <v/>
      </c>
      <c r="BK1629" s="40">
        <f>BK1628*(1-IF(B1628&gt;=in_marketplace_from,d_hz_fd*G1628,0))</f>
        <v/>
      </c>
      <c r="BL1629" s="14">
        <f>F1629*BK1629*IF(B1629&gt;=in_marketplace_from,d_hz_fd*G1629,0)*in_fd_ticket*in_fd_comm</f>
        <v/>
      </c>
      <c r="BM1629" s="40">
        <f>BM1628*(1-IF(B1628&gt;=in_marketplace_from,d_hz_recharge*G1628,0))</f>
        <v/>
      </c>
      <c r="BN1629" s="40">
        <f>BN1628*d_rho_recharge+BM1629*IF(B1629&gt;=in_marketplace_from,d_hz_recharge*G1629,0)</f>
        <v/>
      </c>
      <c r="BO1629" s="14">
        <f>F1629*BN1629*in_recharge_ticket*in_recharge_comm/12</f>
        <v/>
      </c>
      <c r="BP1629" s="40">
        <f>BP1628*(1-IF(B1628&gt;=in_marketplace_from,d_hz_bills*G1628,0))</f>
        <v/>
      </c>
      <c r="BQ1629" s="40">
        <f>BQ1628*d_rho_bills+BP1629*IF(B1629&gt;=in_marketplace_from,d_hz_bills*G1629,0)</f>
        <v/>
      </c>
      <c r="BR1629" s="14">
        <f>F1629*BQ1629*in_bills_ticket*in_bills_comm/12</f>
        <v/>
      </c>
      <c r="BS1629" s="40">
        <f>BS1628*(1-IF(B1628&gt;=in_marketplace_from,d_hz_loan_gold*G1628,0))</f>
        <v/>
      </c>
      <c r="BT1629" s="14">
        <f>F1629*BS1629*IF(B1629&gt;=in_marketplace_from,d_hz_loan_gold*G1629,0)*in_loan_gold_ticket*in_loan_gold_comm</f>
        <v/>
      </c>
      <c r="BU1629" s="40">
        <f>BU1628*(1-IF(B1628&gt;=in_marketplace_from,d_hz_loan_cd*G1628,0))</f>
        <v/>
      </c>
      <c r="BV1629" s="14">
        <f>F1629*BU1629*IF(B1629&gt;=in_marketplace_from,d_hz_loan_cd*G1629,0)*in_loan_cd_ticket*in_loan_cd_comm</f>
        <v/>
      </c>
      <c r="BW1629" s="40">
        <f>BW1628*(1-IF(B1628&gt;=in_marketplace_from,d_hz_loan_vehicle*G1628,0))</f>
        <v/>
      </c>
      <c r="BX1629" s="14">
        <f>F1629*BW1629*IF(B1629&gt;=in_marketplace_from,d_hz_loan_vehicle*G1629,0)*in_loan_vehicle_ticket*in_loan_vehicle_comm</f>
        <v/>
      </c>
      <c r="BY1629" s="40">
        <f>BY1628*(1-IF(B1628&gt;=in_marketplace_from,d_hz_loan_home*G1628,0)*BZ1628)</f>
        <v/>
      </c>
      <c r="BZ1629" s="11">
        <f>MIN(in_approval_cap,in_loan_home_approval*INDEX('Age profile'!$O$2:$O$61,B1629)*(1+in_approval_growth)^(D1629-1))</f>
        <v/>
      </c>
      <c r="CA1629" s="14">
        <f>F1629*BY1629*IF(B1629&gt;=in_marketplace_from,d_hz_loan_home*G1629,0)*BZ1629*in_loan_home_ticket*in_loan_home_comm</f>
        <v/>
      </c>
      <c r="CB1629" s="40">
        <f>CB1628*(1-IF(B1628&gt;=in_marketplace_from,d_hz_loan_lap*G1628,0)*CC1628)</f>
        <v/>
      </c>
      <c r="CC1629" s="11">
        <f>MIN(in_approval_cap,in_loan_lap_approval*INDEX('Age profile'!$O$2:$O$61,B1629)*(1+in_approval_growth)^(D1629-1))</f>
        <v/>
      </c>
      <c r="CD1629" s="14">
        <f>F1629*CB1629*IF(B1629&gt;=in_marketplace_from,d_hz_loan_lap*G1629,0)*CC1629*in_loan_lap_ticket*in_loan_lap_comm</f>
        <v/>
      </c>
      <c r="CE1629" s="14">
        <f>AA1629+AB1629+AC1629+AD1629+AG1629+AJ1629+AM1629+AP1629+AS1629+AU1629+AX1629+BB1629+BE1629+BG1629+BJ1629+BL1629+BO1629+BR1629+BT1629+BV1629+BX1629+CA1629+CD1629</f>
        <v/>
      </c>
    </row>
    <row r="1630">
      <c r="A1630" s="39" t="n">
        <v>41</v>
      </c>
      <c r="B1630" s="39" t="n">
        <v>9</v>
      </c>
      <c r="C1630" s="39">
        <f>A1630+B1630-1</f>
        <v/>
      </c>
      <c r="D1630" s="39">
        <f>INT((C1630-1)/12)+1</f>
        <v/>
      </c>
      <c r="E1630" s="44">
        <f>INDEX(Monthly!$B$2:$B$61,A1630)</f>
        <v/>
      </c>
      <c r="F1630" s="44">
        <f>E1630*INDEX('Age profile'!$B$2:$B$61,B1630)</f>
        <v/>
      </c>
      <c r="G1630" s="45">
        <f>MIN(in_takeup_cap,INDEX('Age profile'!$N$2:$N$61,B1630)*(1+in_takeup_growth)^(D1630-1))</f>
        <v/>
      </c>
      <c r="H1630" s="11">
        <f>MIN(in_approval_cap,in_approved_first*INDEX('Age profile'!$O$2:$O$61,B1630)*(1+in_approval_growth)^(D1630-1))</f>
        <v/>
      </c>
      <c r="I1630" s="45">
        <f>G1630*MIN(in_takeup_cap,INDEX('Age profile'!$O$2:$O$61,B1630)*(1+in_approval_growth)^(D1630-1))</f>
        <v/>
      </c>
      <c r="J1630" s="40">
        <f>(J1629-L1629)*F1630/F1629</f>
        <v/>
      </c>
      <c r="K1630" s="40">
        <f>(K1629-M1629)*F1630/F1629+SUMIFS(O1622:O1629,B1622:B1629,B1630-1-d_T)*F1630</f>
        <v/>
      </c>
      <c r="L1630" s="40">
        <f>IF(B1630&gt;=in_marketplace_from,J1630*d_hz*G1630*in_eligible*H1630,0)</f>
        <v/>
      </c>
      <c r="M1630" s="40">
        <f>IF(B1630&gt;=in_marketplace_from,K1630*d_hz*G1630*in_eligible*in_approved_repeat,0)</f>
        <v/>
      </c>
      <c r="N1630" s="40">
        <f>L1630+M1630</f>
        <v/>
      </c>
      <c r="O1630" s="46">
        <f>N1630/F1630</f>
        <v/>
      </c>
      <c r="P1630" s="40">
        <f>F1630-J1630-K1630</f>
        <v/>
      </c>
      <c r="Q1630" s="40">
        <f>IF(B1630&gt;=in_marketplace_from,(J1630+K1630)*d_hz*G1630,0)</f>
        <v/>
      </c>
      <c r="R1630" s="40">
        <f>SUMIFS(N1622:N1641,B1622:B1641,"&gt;="&amp;(B1630-d_T),B1622:B1641,"&lt;="&amp;(B1630-1))</f>
        <v/>
      </c>
      <c r="S1630" s="46">
        <f>(1-d_u)*S1629+IF(d_T&gt;in_topup_lag,SUMIFS(O1622:O1641,B1622:B1641,B1630-in_topup_lag)-d_udrop*SUMIFS(O1622:O1641,B1622:B1641,B1630-d_T),0)</f>
        <v/>
      </c>
      <c r="T1630" s="40">
        <f>F1630*d_u*S1630</f>
        <v/>
      </c>
      <c r="U1630" s="9">
        <f>L1630*in_ticket+M1630*d_rep_ticket</f>
        <v/>
      </c>
      <c r="V1630" s="9">
        <f>U1630+T1630*d_topup_amt</f>
        <v/>
      </c>
      <c r="W1630" s="40">
        <f>N1630+T1630*d_topup_ratio</f>
        <v/>
      </c>
      <c r="X1630" s="40">
        <f>SUMIFS(W1622:W1641,B1622:B1641,B1630-in_dpd_lag)*d_cured</f>
        <v/>
      </c>
      <c r="Y1630" s="40">
        <f>SUMIFS(W1622:W1641,B1622:B1641,B1630-in_rec_lag)*d_recd</f>
        <v/>
      </c>
      <c r="Z1630" s="40">
        <f>IF(AND(B1630&gt;=in_marketplace_from,B1630&lt;in_marketplace_from+in_card_months),in_card_share/in_card_months*F1630*I1630,IF(AND(B1630&gt;=in_marketplace_from+in_card_months,B1630&lt;in_marketplace_from+2*in_card_months),in_card_share*d_card_rem/in_card_months*F1630*MIN(in_takeup_cap,(1+in_takeup_growth)^(D1630-1))*MIN(in_takeup_cap,(1+in_approval_growth)^(D1630-1)),0))</f>
        <v/>
      </c>
      <c r="AA1630" s="14">
        <f>V1630*in_fee*(1-in_taken_back)</f>
        <v/>
      </c>
      <c r="AB1630" s="14">
        <f>SUMIFS(W1622:W1641,B1622:B1641,B1630-in_dpd_lag)*d_dpd</f>
        <v/>
      </c>
      <c r="AC1630" s="14">
        <f>SUMIFS(W1622:W1641,B1622:B1641,B1630-in_rec_lag)*d_rec</f>
        <v/>
      </c>
      <c r="AD1630" s="14">
        <f>Z1630*in_card_fee</f>
        <v/>
      </c>
      <c r="AE1630" s="40">
        <f>AE1629*(1-IF(B1629&gt;=in_marketplace_from,d_hz_hlth_small*G1629,0))</f>
        <v/>
      </c>
      <c r="AF1630" s="46">
        <f>AE1630*IF(B1630&gt;=in_marketplace_from,d_hz_hlth_small*G1630,0)</f>
        <v/>
      </c>
      <c r="AG1630" s="14">
        <f>F1630*AF1630*in_hlth_small_ticket*in_hlth_small_comm*in_ins_partner_share+F1630*in_hlth_small_ticket*in_hlth_small_renew_comm*in_ins_partner_share*(in_hlth_small_renew^1*SUMIFS(AF1622:AF1641,B1622:B1641,B1630-12)+in_hlth_small_renew^2*SUMIFS(AF1622:AF1641,B1622:B1641,B1630-24)+in_hlth_small_renew^3*SUMIFS(AF1622:AF1641,B1622:B1641,B1630-36)+in_hlth_small_renew^4*SUMIFS(AF1622:AF1641,B1622:B1641,B1630-48))</f>
        <v/>
      </c>
      <c r="AH1630" s="40">
        <f>AH1629*(1-IF(B1629&gt;=in_marketplace_from,d_hz_hlth_family*G1629,0))</f>
        <v/>
      </c>
      <c r="AI1630" s="46">
        <f>AH1630*IF(B1630&gt;=in_marketplace_from,d_hz_hlth_family*G1630,0)</f>
        <v/>
      </c>
      <c r="AJ1630" s="14">
        <f>F1630*AI1630*in_hlth_family_ticket*in_hlth_family_comm*in_ins_partner_share+F1630*in_hlth_family_ticket*in_hlth_family_renew_comm*in_ins_partner_share*(in_hlth_family_renew^1*SUMIFS(AI1622:AI1641,B1622:B1641,B1630-12)+in_hlth_family_renew^2*SUMIFS(AI1622:AI1641,B1622:B1641,B1630-24)+in_hlth_family_renew^3*SUMIFS(AI1622:AI1641,B1622:B1641,B1630-36)+in_hlth_family_renew^4*SUMIFS(AI1622:AI1641,B1622:B1641,B1630-48))</f>
        <v/>
      </c>
      <c r="AK1630" s="40">
        <f>AK1629*(1-IF(B1629&gt;=in_marketplace_from,d_hz_life_term*G1629,0))</f>
        <v/>
      </c>
      <c r="AL1630" s="46">
        <f>AK1630*IF(B1630&gt;=in_marketplace_from,d_hz_life_term*G1630,0)</f>
        <v/>
      </c>
      <c r="AM1630" s="14">
        <f>F1630*AL1630*in_life_term_ticket*in_life_term_comm*in_ins_partner_share+F1630*in_life_term_ticket*in_life_term_renew_comm*in_ins_partner_share*(in_life_term_renew^1*SUMIFS(AL1622:AL1641,B1622:B1641,B1630-12)+in_life_term_renew^2*SUMIFS(AL1622:AL1641,B1622:B1641,B1630-24)+in_life_term_renew^3*SUMIFS(AL1622:AL1641,B1622:B1641,B1630-36)+in_life_term_renew^4*SUMIFS(AL1622:AL1641,B1622:B1641,B1630-48))</f>
        <v/>
      </c>
      <c r="AN1630" s="40">
        <f>AN1629*(1-IF(B1629&gt;=in_marketplace_from,d_hz_accident*G1629,0))</f>
        <v/>
      </c>
      <c r="AO1630" s="46">
        <f>AN1630*IF(B1630&gt;=in_marketplace_from,d_hz_accident*G1630,0)</f>
        <v/>
      </c>
      <c r="AP1630" s="14">
        <f>F1630*AO1630*in_accident_ticket*in_accident_comm*in_ins_partner_share+F1630*in_accident_ticket*in_accident_renew_comm*in_ins_partner_share*(in_accident_renew^1*SUMIFS(AO1622:AO1641,B1622:B1641,B1630-12)+in_accident_renew^2*SUMIFS(AO1622:AO1641,B1622:B1641,B1630-24)+in_accident_renew^3*SUMIFS(AO1622:AO1641,B1622:B1641,B1630-36)+in_accident_renew^4*SUMIFS(AO1622:AO1641,B1622:B1641,B1630-48))</f>
        <v/>
      </c>
      <c r="AQ1630" s="40">
        <f>AQ1629*(1-IF(B1629&gt;=in_marketplace_from,d_hz_two_wheeler*G1629,0))</f>
        <v/>
      </c>
      <c r="AR1630" s="46">
        <f>AQ1630*IF(B1630&gt;=in_marketplace_from,d_hz_two_wheeler*G1630,0)</f>
        <v/>
      </c>
      <c r="AS1630" s="14">
        <f>F1630*AR1630*in_two_wheeler_ticket*in_two_wheeler_comm*in_ins_partner_share+F1630*in_two_wheeler_ticket*in_two_wheeler_comm*in_ins_partner_share*(in_two_wheeler_renew^1*SUMIFS(AR1622:AR1641,B1622:B1641,B1630-12)+in_two_wheeler_renew^2*SUMIFS(AR1622:AR1641,B1622:B1641,B1630-24)+in_two_wheeler_renew^3*SUMIFS(AR1622:AR1641,B1622:B1641,B1630-36)+in_two_wheeler_renew^4*SUMIFS(AR1622:AR1641,B1622:B1641,B1630-48))</f>
        <v/>
      </c>
      <c r="AT1630" s="40">
        <f>AT1629*(1-IF(B1629&gt;=in_marketplace_from,d_hz_device*G1629,0))</f>
        <v/>
      </c>
      <c r="AU1630" s="14">
        <f>F1630*AT1630*IF(B1630&gt;=in_marketplace_from,d_hz_device*G1630,0)*in_device_ticket*in_device_comm*in_ins_partner_share</f>
        <v/>
      </c>
      <c r="AV1630" s="40">
        <f>AV1629*(1-IF(B1629&gt;=in_marketplace_from,d_hz_shop*G1629,0))</f>
        <v/>
      </c>
      <c r="AW1630" s="46">
        <f>AV1630*IF(B1630&gt;=in_marketplace_from,d_hz_shop*G1630,0)</f>
        <v/>
      </c>
      <c r="AX1630" s="14">
        <f>F1630*AW1630*in_shop_ticket*in_shop_comm*in_ins_partner_share+F1630*in_shop_ticket*in_shop_renew_comm*in_ins_partner_share*(in_shop_renew^1*SUMIFS(AW1622:AW1641,B1622:B1641,B1630-12)+in_shop_renew^2*SUMIFS(AW1622:AW1641,B1622:B1641,B1630-24)+in_shop_renew^3*SUMIFS(AW1622:AW1641,B1622:B1641,B1630-36)+in_shop_renew^4*SUMIFS(AW1622:AW1641,B1622:B1641,B1630-48))</f>
        <v/>
      </c>
      <c r="AY1630" s="40">
        <f>AY1629*(1-IF(B1629&gt;=in_marketplace_from,d_hz_sip*G1629,0))</f>
        <v/>
      </c>
      <c r="AZ1630" s="40">
        <f>AZ1629*d_rho_sip+AY1630*IF(B1630&gt;=in_marketplace_from,d_hz_sip*G1630,0)</f>
        <v/>
      </c>
      <c r="BA1630" s="40">
        <f>d_rho_sip*(BA1629+AZ1629)</f>
        <v/>
      </c>
      <c r="BB1630" s="14">
        <f>F1630*in_sip_ticket*(BA1630+0.5*AZ1630)*in_sip_comm/12</f>
        <v/>
      </c>
      <c r="BC1630" s="40">
        <f>BC1629*(1-IF(B1629&gt;=in_marketplace_from,d_hz_choti*G1629,0))</f>
        <v/>
      </c>
      <c r="BD1630" s="46">
        <f>BC1630*IF(B1630&gt;=in_marketplace_from,d_hz_choti*G1630,0)</f>
        <v/>
      </c>
      <c r="BE1630" s="14">
        <f>F1630*SUMIFS(BD1622:BD1641,B1622:B1641,B1630-in_choti_months)*in_choti_renew*in_choti_ticket</f>
        <v/>
      </c>
      <c r="BF1630" s="40">
        <f>BF1629*(1-IF(B1629&gt;=in_marketplace_from,d_hz_nps*G1629,0))</f>
        <v/>
      </c>
      <c r="BG1630" s="14">
        <f>F1630*BF1630*IF(B1630&gt;=in_marketplace_from,d_hz_nps*G1630,0)*in_nps_ticket*in_nps_comm</f>
        <v/>
      </c>
      <c r="BH1630" s="40">
        <f>BH1629*(1-IF(B1629&gt;=in_marketplace_from,d_hz_gold*G1629,0))</f>
        <v/>
      </c>
      <c r="BI1630" s="40">
        <f>BI1629*d_rho_gold+BH1630*IF(B1630&gt;=in_marketplace_from,d_hz_gold*G1630,0)</f>
        <v/>
      </c>
      <c r="BJ1630" s="14">
        <f>F1630*BI1630*in_gold_ticket*in_gold_comm</f>
        <v/>
      </c>
      <c r="BK1630" s="40">
        <f>BK1629*(1-IF(B1629&gt;=in_marketplace_from,d_hz_fd*G1629,0))</f>
        <v/>
      </c>
      <c r="BL1630" s="14">
        <f>F1630*BK1630*IF(B1630&gt;=in_marketplace_from,d_hz_fd*G1630,0)*in_fd_ticket*in_fd_comm</f>
        <v/>
      </c>
      <c r="BM1630" s="40">
        <f>BM1629*(1-IF(B1629&gt;=in_marketplace_from,d_hz_recharge*G1629,0))</f>
        <v/>
      </c>
      <c r="BN1630" s="40">
        <f>BN1629*d_rho_recharge+BM1630*IF(B1630&gt;=in_marketplace_from,d_hz_recharge*G1630,0)</f>
        <v/>
      </c>
      <c r="BO1630" s="14">
        <f>F1630*BN1630*in_recharge_ticket*in_recharge_comm/12</f>
        <v/>
      </c>
      <c r="BP1630" s="40">
        <f>BP1629*(1-IF(B1629&gt;=in_marketplace_from,d_hz_bills*G1629,0))</f>
        <v/>
      </c>
      <c r="BQ1630" s="40">
        <f>BQ1629*d_rho_bills+BP1630*IF(B1630&gt;=in_marketplace_from,d_hz_bills*G1630,0)</f>
        <v/>
      </c>
      <c r="BR1630" s="14">
        <f>F1630*BQ1630*in_bills_ticket*in_bills_comm/12</f>
        <v/>
      </c>
      <c r="BS1630" s="40">
        <f>BS1629*(1-IF(B1629&gt;=in_marketplace_from,d_hz_loan_gold*G1629,0))</f>
        <v/>
      </c>
      <c r="BT1630" s="14">
        <f>F1630*BS1630*IF(B1630&gt;=in_marketplace_from,d_hz_loan_gold*G1630,0)*in_loan_gold_ticket*in_loan_gold_comm</f>
        <v/>
      </c>
      <c r="BU1630" s="40">
        <f>BU1629*(1-IF(B1629&gt;=in_marketplace_from,d_hz_loan_cd*G1629,0))</f>
        <v/>
      </c>
      <c r="BV1630" s="14">
        <f>F1630*BU1630*IF(B1630&gt;=in_marketplace_from,d_hz_loan_cd*G1630,0)*in_loan_cd_ticket*in_loan_cd_comm</f>
        <v/>
      </c>
      <c r="BW1630" s="40">
        <f>BW1629*(1-IF(B1629&gt;=in_marketplace_from,d_hz_loan_vehicle*G1629,0))</f>
        <v/>
      </c>
      <c r="BX1630" s="14">
        <f>F1630*BW1630*IF(B1630&gt;=in_marketplace_from,d_hz_loan_vehicle*G1630,0)*in_loan_vehicle_ticket*in_loan_vehicle_comm</f>
        <v/>
      </c>
      <c r="BY1630" s="40">
        <f>BY1629*(1-IF(B1629&gt;=in_marketplace_from,d_hz_loan_home*G1629,0)*BZ1629)</f>
        <v/>
      </c>
      <c r="BZ1630" s="11">
        <f>MIN(in_approval_cap,in_loan_home_approval*INDEX('Age profile'!$O$2:$O$61,B1630)*(1+in_approval_growth)^(D1630-1))</f>
        <v/>
      </c>
      <c r="CA1630" s="14">
        <f>F1630*BY1630*IF(B1630&gt;=in_marketplace_from,d_hz_loan_home*G1630,0)*BZ1630*in_loan_home_ticket*in_loan_home_comm</f>
        <v/>
      </c>
      <c r="CB1630" s="40">
        <f>CB1629*(1-IF(B1629&gt;=in_marketplace_from,d_hz_loan_lap*G1629,0)*CC1629)</f>
        <v/>
      </c>
      <c r="CC1630" s="11">
        <f>MIN(in_approval_cap,in_loan_lap_approval*INDEX('Age profile'!$O$2:$O$61,B1630)*(1+in_approval_growth)^(D1630-1))</f>
        <v/>
      </c>
      <c r="CD1630" s="14">
        <f>F1630*CB1630*IF(B1630&gt;=in_marketplace_from,d_hz_loan_lap*G1630,0)*CC1630*in_loan_lap_ticket*in_loan_lap_comm</f>
        <v/>
      </c>
      <c r="CE1630" s="14">
        <f>AA1630+AB1630+AC1630+AD1630+AG1630+AJ1630+AM1630+AP1630+AS1630+AU1630+AX1630+BB1630+BE1630+BG1630+BJ1630+BL1630+BO1630+BR1630+BT1630+BV1630+BX1630+CA1630+CD1630</f>
        <v/>
      </c>
    </row>
    <row r="1631">
      <c r="A1631" s="39" t="n">
        <v>41</v>
      </c>
      <c r="B1631" s="39" t="n">
        <v>10</v>
      </c>
      <c r="C1631" s="39">
        <f>A1631+B1631-1</f>
        <v/>
      </c>
      <c r="D1631" s="39">
        <f>INT((C1631-1)/12)+1</f>
        <v/>
      </c>
      <c r="E1631" s="44">
        <f>INDEX(Monthly!$B$2:$B$61,A1631)</f>
        <v/>
      </c>
      <c r="F1631" s="44">
        <f>E1631*INDEX('Age profile'!$B$2:$B$61,B1631)</f>
        <v/>
      </c>
      <c r="G1631" s="45">
        <f>MIN(in_takeup_cap,INDEX('Age profile'!$N$2:$N$61,B1631)*(1+in_takeup_growth)^(D1631-1))</f>
        <v/>
      </c>
      <c r="H1631" s="11">
        <f>MIN(in_approval_cap,in_approved_first*INDEX('Age profile'!$O$2:$O$61,B1631)*(1+in_approval_growth)^(D1631-1))</f>
        <v/>
      </c>
      <c r="I1631" s="45">
        <f>G1631*MIN(in_takeup_cap,INDEX('Age profile'!$O$2:$O$61,B1631)*(1+in_approval_growth)^(D1631-1))</f>
        <v/>
      </c>
      <c r="J1631" s="40">
        <f>(J1630-L1630)*F1631/F1630</f>
        <v/>
      </c>
      <c r="K1631" s="40">
        <f>(K1630-M1630)*F1631/F1630+SUMIFS(O1622:O1630,B1622:B1630,B1631-1-d_T)*F1631</f>
        <v/>
      </c>
      <c r="L1631" s="40">
        <f>IF(B1631&gt;=in_marketplace_from,J1631*d_hz*G1631*in_eligible*H1631,0)</f>
        <v/>
      </c>
      <c r="M1631" s="40">
        <f>IF(B1631&gt;=in_marketplace_from,K1631*d_hz*G1631*in_eligible*in_approved_repeat,0)</f>
        <v/>
      </c>
      <c r="N1631" s="40">
        <f>L1631+M1631</f>
        <v/>
      </c>
      <c r="O1631" s="46">
        <f>N1631/F1631</f>
        <v/>
      </c>
      <c r="P1631" s="40">
        <f>F1631-J1631-K1631</f>
        <v/>
      </c>
      <c r="Q1631" s="40">
        <f>IF(B1631&gt;=in_marketplace_from,(J1631+K1631)*d_hz*G1631,0)</f>
        <v/>
      </c>
      <c r="R1631" s="40">
        <f>SUMIFS(N1622:N1641,B1622:B1641,"&gt;="&amp;(B1631-d_T),B1622:B1641,"&lt;="&amp;(B1631-1))</f>
        <v/>
      </c>
      <c r="S1631" s="46">
        <f>(1-d_u)*S1630+IF(d_T&gt;in_topup_lag,SUMIFS(O1622:O1641,B1622:B1641,B1631-in_topup_lag)-d_udrop*SUMIFS(O1622:O1641,B1622:B1641,B1631-d_T),0)</f>
        <v/>
      </c>
      <c r="T1631" s="40">
        <f>F1631*d_u*S1631</f>
        <v/>
      </c>
      <c r="U1631" s="9">
        <f>L1631*in_ticket+M1631*d_rep_ticket</f>
        <v/>
      </c>
      <c r="V1631" s="9">
        <f>U1631+T1631*d_topup_amt</f>
        <v/>
      </c>
      <c r="W1631" s="40">
        <f>N1631+T1631*d_topup_ratio</f>
        <v/>
      </c>
      <c r="X1631" s="40">
        <f>SUMIFS(W1622:W1641,B1622:B1641,B1631-in_dpd_lag)*d_cured</f>
        <v/>
      </c>
      <c r="Y1631" s="40">
        <f>SUMIFS(W1622:W1641,B1622:B1641,B1631-in_rec_lag)*d_recd</f>
        <v/>
      </c>
      <c r="Z1631" s="40">
        <f>IF(AND(B1631&gt;=in_marketplace_from,B1631&lt;in_marketplace_from+in_card_months),in_card_share/in_card_months*F1631*I1631,IF(AND(B1631&gt;=in_marketplace_from+in_card_months,B1631&lt;in_marketplace_from+2*in_card_months),in_card_share*d_card_rem/in_card_months*F1631*MIN(in_takeup_cap,(1+in_takeup_growth)^(D1631-1))*MIN(in_takeup_cap,(1+in_approval_growth)^(D1631-1)),0))</f>
        <v/>
      </c>
      <c r="AA1631" s="14">
        <f>V1631*in_fee*(1-in_taken_back)</f>
        <v/>
      </c>
      <c r="AB1631" s="14">
        <f>SUMIFS(W1622:W1641,B1622:B1641,B1631-in_dpd_lag)*d_dpd</f>
        <v/>
      </c>
      <c r="AC1631" s="14">
        <f>SUMIFS(W1622:W1641,B1622:B1641,B1631-in_rec_lag)*d_rec</f>
        <v/>
      </c>
      <c r="AD1631" s="14">
        <f>Z1631*in_card_fee</f>
        <v/>
      </c>
      <c r="AE1631" s="40">
        <f>AE1630*(1-IF(B1630&gt;=in_marketplace_from,d_hz_hlth_small*G1630,0))</f>
        <v/>
      </c>
      <c r="AF1631" s="46">
        <f>AE1631*IF(B1631&gt;=in_marketplace_from,d_hz_hlth_small*G1631,0)</f>
        <v/>
      </c>
      <c r="AG1631" s="14">
        <f>F1631*AF1631*in_hlth_small_ticket*in_hlth_small_comm*in_ins_partner_share+F1631*in_hlth_small_ticket*in_hlth_small_renew_comm*in_ins_partner_share*(in_hlth_small_renew^1*SUMIFS(AF1622:AF1641,B1622:B1641,B1631-12)+in_hlth_small_renew^2*SUMIFS(AF1622:AF1641,B1622:B1641,B1631-24)+in_hlth_small_renew^3*SUMIFS(AF1622:AF1641,B1622:B1641,B1631-36)+in_hlth_small_renew^4*SUMIFS(AF1622:AF1641,B1622:B1641,B1631-48))</f>
        <v/>
      </c>
      <c r="AH1631" s="40">
        <f>AH1630*(1-IF(B1630&gt;=in_marketplace_from,d_hz_hlth_family*G1630,0))</f>
        <v/>
      </c>
      <c r="AI1631" s="46">
        <f>AH1631*IF(B1631&gt;=in_marketplace_from,d_hz_hlth_family*G1631,0)</f>
        <v/>
      </c>
      <c r="AJ1631" s="14">
        <f>F1631*AI1631*in_hlth_family_ticket*in_hlth_family_comm*in_ins_partner_share+F1631*in_hlth_family_ticket*in_hlth_family_renew_comm*in_ins_partner_share*(in_hlth_family_renew^1*SUMIFS(AI1622:AI1641,B1622:B1641,B1631-12)+in_hlth_family_renew^2*SUMIFS(AI1622:AI1641,B1622:B1641,B1631-24)+in_hlth_family_renew^3*SUMIFS(AI1622:AI1641,B1622:B1641,B1631-36)+in_hlth_family_renew^4*SUMIFS(AI1622:AI1641,B1622:B1641,B1631-48))</f>
        <v/>
      </c>
      <c r="AK1631" s="40">
        <f>AK1630*(1-IF(B1630&gt;=in_marketplace_from,d_hz_life_term*G1630,0))</f>
        <v/>
      </c>
      <c r="AL1631" s="46">
        <f>AK1631*IF(B1631&gt;=in_marketplace_from,d_hz_life_term*G1631,0)</f>
        <v/>
      </c>
      <c r="AM1631" s="14">
        <f>F1631*AL1631*in_life_term_ticket*in_life_term_comm*in_ins_partner_share+F1631*in_life_term_ticket*in_life_term_renew_comm*in_ins_partner_share*(in_life_term_renew^1*SUMIFS(AL1622:AL1641,B1622:B1641,B1631-12)+in_life_term_renew^2*SUMIFS(AL1622:AL1641,B1622:B1641,B1631-24)+in_life_term_renew^3*SUMIFS(AL1622:AL1641,B1622:B1641,B1631-36)+in_life_term_renew^4*SUMIFS(AL1622:AL1641,B1622:B1641,B1631-48))</f>
        <v/>
      </c>
      <c r="AN1631" s="40">
        <f>AN1630*(1-IF(B1630&gt;=in_marketplace_from,d_hz_accident*G1630,0))</f>
        <v/>
      </c>
      <c r="AO1631" s="46">
        <f>AN1631*IF(B1631&gt;=in_marketplace_from,d_hz_accident*G1631,0)</f>
        <v/>
      </c>
      <c r="AP1631" s="14">
        <f>F1631*AO1631*in_accident_ticket*in_accident_comm*in_ins_partner_share+F1631*in_accident_ticket*in_accident_renew_comm*in_ins_partner_share*(in_accident_renew^1*SUMIFS(AO1622:AO1641,B1622:B1641,B1631-12)+in_accident_renew^2*SUMIFS(AO1622:AO1641,B1622:B1641,B1631-24)+in_accident_renew^3*SUMIFS(AO1622:AO1641,B1622:B1641,B1631-36)+in_accident_renew^4*SUMIFS(AO1622:AO1641,B1622:B1641,B1631-48))</f>
        <v/>
      </c>
      <c r="AQ1631" s="40">
        <f>AQ1630*(1-IF(B1630&gt;=in_marketplace_from,d_hz_two_wheeler*G1630,0))</f>
        <v/>
      </c>
      <c r="AR1631" s="46">
        <f>AQ1631*IF(B1631&gt;=in_marketplace_from,d_hz_two_wheeler*G1631,0)</f>
        <v/>
      </c>
      <c r="AS1631" s="14">
        <f>F1631*AR1631*in_two_wheeler_ticket*in_two_wheeler_comm*in_ins_partner_share+F1631*in_two_wheeler_ticket*in_two_wheeler_comm*in_ins_partner_share*(in_two_wheeler_renew^1*SUMIFS(AR1622:AR1641,B1622:B1641,B1631-12)+in_two_wheeler_renew^2*SUMIFS(AR1622:AR1641,B1622:B1641,B1631-24)+in_two_wheeler_renew^3*SUMIFS(AR1622:AR1641,B1622:B1641,B1631-36)+in_two_wheeler_renew^4*SUMIFS(AR1622:AR1641,B1622:B1641,B1631-48))</f>
        <v/>
      </c>
      <c r="AT1631" s="40">
        <f>AT1630*(1-IF(B1630&gt;=in_marketplace_from,d_hz_device*G1630,0))</f>
        <v/>
      </c>
      <c r="AU1631" s="14">
        <f>F1631*AT1631*IF(B1631&gt;=in_marketplace_from,d_hz_device*G1631,0)*in_device_ticket*in_device_comm*in_ins_partner_share</f>
        <v/>
      </c>
      <c r="AV1631" s="40">
        <f>AV1630*(1-IF(B1630&gt;=in_marketplace_from,d_hz_shop*G1630,0))</f>
        <v/>
      </c>
      <c r="AW1631" s="46">
        <f>AV1631*IF(B1631&gt;=in_marketplace_from,d_hz_shop*G1631,0)</f>
        <v/>
      </c>
      <c r="AX1631" s="14">
        <f>F1631*AW1631*in_shop_ticket*in_shop_comm*in_ins_partner_share+F1631*in_shop_ticket*in_shop_renew_comm*in_ins_partner_share*(in_shop_renew^1*SUMIFS(AW1622:AW1641,B1622:B1641,B1631-12)+in_shop_renew^2*SUMIFS(AW1622:AW1641,B1622:B1641,B1631-24)+in_shop_renew^3*SUMIFS(AW1622:AW1641,B1622:B1641,B1631-36)+in_shop_renew^4*SUMIFS(AW1622:AW1641,B1622:B1641,B1631-48))</f>
        <v/>
      </c>
      <c r="AY1631" s="40">
        <f>AY1630*(1-IF(B1630&gt;=in_marketplace_from,d_hz_sip*G1630,0))</f>
        <v/>
      </c>
      <c r="AZ1631" s="40">
        <f>AZ1630*d_rho_sip+AY1631*IF(B1631&gt;=in_marketplace_from,d_hz_sip*G1631,0)</f>
        <v/>
      </c>
      <c r="BA1631" s="40">
        <f>d_rho_sip*(BA1630+AZ1630)</f>
        <v/>
      </c>
      <c r="BB1631" s="14">
        <f>F1631*in_sip_ticket*(BA1631+0.5*AZ1631)*in_sip_comm/12</f>
        <v/>
      </c>
      <c r="BC1631" s="40">
        <f>BC1630*(1-IF(B1630&gt;=in_marketplace_from,d_hz_choti*G1630,0))</f>
        <v/>
      </c>
      <c r="BD1631" s="46">
        <f>BC1631*IF(B1631&gt;=in_marketplace_from,d_hz_choti*G1631,0)</f>
        <v/>
      </c>
      <c r="BE1631" s="14">
        <f>F1631*SUMIFS(BD1622:BD1641,B1622:B1641,B1631-in_choti_months)*in_choti_renew*in_choti_ticket</f>
        <v/>
      </c>
      <c r="BF1631" s="40">
        <f>BF1630*(1-IF(B1630&gt;=in_marketplace_from,d_hz_nps*G1630,0))</f>
        <v/>
      </c>
      <c r="BG1631" s="14">
        <f>F1631*BF1631*IF(B1631&gt;=in_marketplace_from,d_hz_nps*G1631,0)*in_nps_ticket*in_nps_comm</f>
        <v/>
      </c>
      <c r="BH1631" s="40">
        <f>BH1630*(1-IF(B1630&gt;=in_marketplace_from,d_hz_gold*G1630,0))</f>
        <v/>
      </c>
      <c r="BI1631" s="40">
        <f>BI1630*d_rho_gold+BH1631*IF(B1631&gt;=in_marketplace_from,d_hz_gold*G1631,0)</f>
        <v/>
      </c>
      <c r="BJ1631" s="14">
        <f>F1631*BI1631*in_gold_ticket*in_gold_comm</f>
        <v/>
      </c>
      <c r="BK1631" s="40">
        <f>BK1630*(1-IF(B1630&gt;=in_marketplace_from,d_hz_fd*G1630,0))</f>
        <v/>
      </c>
      <c r="BL1631" s="14">
        <f>F1631*BK1631*IF(B1631&gt;=in_marketplace_from,d_hz_fd*G1631,0)*in_fd_ticket*in_fd_comm</f>
        <v/>
      </c>
      <c r="BM1631" s="40">
        <f>BM1630*(1-IF(B1630&gt;=in_marketplace_from,d_hz_recharge*G1630,0))</f>
        <v/>
      </c>
      <c r="BN1631" s="40">
        <f>BN1630*d_rho_recharge+BM1631*IF(B1631&gt;=in_marketplace_from,d_hz_recharge*G1631,0)</f>
        <v/>
      </c>
      <c r="BO1631" s="14">
        <f>F1631*BN1631*in_recharge_ticket*in_recharge_comm/12</f>
        <v/>
      </c>
      <c r="BP1631" s="40">
        <f>BP1630*(1-IF(B1630&gt;=in_marketplace_from,d_hz_bills*G1630,0))</f>
        <v/>
      </c>
      <c r="BQ1631" s="40">
        <f>BQ1630*d_rho_bills+BP1631*IF(B1631&gt;=in_marketplace_from,d_hz_bills*G1631,0)</f>
        <v/>
      </c>
      <c r="BR1631" s="14">
        <f>F1631*BQ1631*in_bills_ticket*in_bills_comm/12</f>
        <v/>
      </c>
      <c r="BS1631" s="40">
        <f>BS1630*(1-IF(B1630&gt;=in_marketplace_from,d_hz_loan_gold*G1630,0))</f>
        <v/>
      </c>
      <c r="BT1631" s="14">
        <f>F1631*BS1631*IF(B1631&gt;=in_marketplace_from,d_hz_loan_gold*G1631,0)*in_loan_gold_ticket*in_loan_gold_comm</f>
        <v/>
      </c>
      <c r="BU1631" s="40">
        <f>BU1630*(1-IF(B1630&gt;=in_marketplace_from,d_hz_loan_cd*G1630,0))</f>
        <v/>
      </c>
      <c r="BV1631" s="14">
        <f>F1631*BU1631*IF(B1631&gt;=in_marketplace_from,d_hz_loan_cd*G1631,0)*in_loan_cd_ticket*in_loan_cd_comm</f>
        <v/>
      </c>
      <c r="BW1631" s="40">
        <f>BW1630*(1-IF(B1630&gt;=in_marketplace_from,d_hz_loan_vehicle*G1630,0))</f>
        <v/>
      </c>
      <c r="BX1631" s="14">
        <f>F1631*BW1631*IF(B1631&gt;=in_marketplace_from,d_hz_loan_vehicle*G1631,0)*in_loan_vehicle_ticket*in_loan_vehicle_comm</f>
        <v/>
      </c>
      <c r="BY1631" s="40">
        <f>BY1630*(1-IF(B1630&gt;=in_marketplace_from,d_hz_loan_home*G1630,0)*BZ1630)</f>
        <v/>
      </c>
      <c r="BZ1631" s="11">
        <f>MIN(in_approval_cap,in_loan_home_approval*INDEX('Age profile'!$O$2:$O$61,B1631)*(1+in_approval_growth)^(D1631-1))</f>
        <v/>
      </c>
      <c r="CA1631" s="14">
        <f>F1631*BY1631*IF(B1631&gt;=in_marketplace_from,d_hz_loan_home*G1631,0)*BZ1631*in_loan_home_ticket*in_loan_home_comm</f>
        <v/>
      </c>
      <c r="CB1631" s="40">
        <f>CB1630*(1-IF(B1630&gt;=in_marketplace_from,d_hz_loan_lap*G1630,0)*CC1630)</f>
        <v/>
      </c>
      <c r="CC1631" s="11">
        <f>MIN(in_approval_cap,in_loan_lap_approval*INDEX('Age profile'!$O$2:$O$61,B1631)*(1+in_approval_growth)^(D1631-1))</f>
        <v/>
      </c>
      <c r="CD1631" s="14">
        <f>F1631*CB1631*IF(B1631&gt;=in_marketplace_from,d_hz_loan_lap*G1631,0)*CC1631*in_loan_lap_ticket*in_loan_lap_comm</f>
        <v/>
      </c>
      <c r="CE1631" s="14">
        <f>AA1631+AB1631+AC1631+AD1631+AG1631+AJ1631+AM1631+AP1631+AS1631+AU1631+AX1631+BB1631+BE1631+BG1631+BJ1631+BL1631+BO1631+BR1631+BT1631+BV1631+BX1631+CA1631+CD1631</f>
        <v/>
      </c>
    </row>
    <row r="1632">
      <c r="A1632" s="39" t="n">
        <v>41</v>
      </c>
      <c r="B1632" s="39" t="n">
        <v>11</v>
      </c>
      <c r="C1632" s="39">
        <f>A1632+B1632-1</f>
        <v/>
      </c>
      <c r="D1632" s="39">
        <f>INT((C1632-1)/12)+1</f>
        <v/>
      </c>
      <c r="E1632" s="44">
        <f>INDEX(Monthly!$B$2:$B$61,A1632)</f>
        <v/>
      </c>
      <c r="F1632" s="44">
        <f>E1632*INDEX('Age profile'!$B$2:$B$61,B1632)</f>
        <v/>
      </c>
      <c r="G1632" s="45">
        <f>MIN(in_takeup_cap,INDEX('Age profile'!$N$2:$N$61,B1632)*(1+in_takeup_growth)^(D1632-1))</f>
        <v/>
      </c>
      <c r="H1632" s="11">
        <f>MIN(in_approval_cap,in_approved_first*INDEX('Age profile'!$O$2:$O$61,B1632)*(1+in_approval_growth)^(D1632-1))</f>
        <v/>
      </c>
      <c r="I1632" s="45">
        <f>G1632*MIN(in_takeup_cap,INDEX('Age profile'!$O$2:$O$61,B1632)*(1+in_approval_growth)^(D1632-1))</f>
        <v/>
      </c>
      <c r="J1632" s="40">
        <f>(J1631-L1631)*F1632/F1631</f>
        <v/>
      </c>
      <c r="K1632" s="40">
        <f>(K1631-M1631)*F1632/F1631+SUMIFS(O1622:O1631,B1622:B1631,B1632-1-d_T)*F1632</f>
        <v/>
      </c>
      <c r="L1632" s="40">
        <f>IF(B1632&gt;=in_marketplace_from,J1632*d_hz*G1632*in_eligible*H1632,0)</f>
        <v/>
      </c>
      <c r="M1632" s="40">
        <f>IF(B1632&gt;=in_marketplace_from,K1632*d_hz*G1632*in_eligible*in_approved_repeat,0)</f>
        <v/>
      </c>
      <c r="N1632" s="40">
        <f>L1632+M1632</f>
        <v/>
      </c>
      <c r="O1632" s="46">
        <f>N1632/F1632</f>
        <v/>
      </c>
      <c r="P1632" s="40">
        <f>F1632-J1632-K1632</f>
        <v/>
      </c>
      <c r="Q1632" s="40">
        <f>IF(B1632&gt;=in_marketplace_from,(J1632+K1632)*d_hz*G1632,0)</f>
        <v/>
      </c>
      <c r="R1632" s="40">
        <f>SUMIFS(N1622:N1641,B1622:B1641,"&gt;="&amp;(B1632-d_T),B1622:B1641,"&lt;="&amp;(B1632-1))</f>
        <v/>
      </c>
      <c r="S1632" s="46">
        <f>(1-d_u)*S1631+IF(d_T&gt;in_topup_lag,SUMIFS(O1622:O1641,B1622:B1641,B1632-in_topup_lag)-d_udrop*SUMIFS(O1622:O1641,B1622:B1641,B1632-d_T),0)</f>
        <v/>
      </c>
      <c r="T1632" s="40">
        <f>F1632*d_u*S1632</f>
        <v/>
      </c>
      <c r="U1632" s="9">
        <f>L1632*in_ticket+M1632*d_rep_ticket</f>
        <v/>
      </c>
      <c r="V1632" s="9">
        <f>U1632+T1632*d_topup_amt</f>
        <v/>
      </c>
      <c r="W1632" s="40">
        <f>N1632+T1632*d_topup_ratio</f>
        <v/>
      </c>
      <c r="X1632" s="40">
        <f>SUMIFS(W1622:W1641,B1622:B1641,B1632-in_dpd_lag)*d_cured</f>
        <v/>
      </c>
      <c r="Y1632" s="40">
        <f>SUMIFS(W1622:W1641,B1622:B1641,B1632-in_rec_lag)*d_recd</f>
        <v/>
      </c>
      <c r="Z1632" s="40">
        <f>IF(AND(B1632&gt;=in_marketplace_from,B1632&lt;in_marketplace_from+in_card_months),in_card_share/in_card_months*F1632*I1632,IF(AND(B1632&gt;=in_marketplace_from+in_card_months,B1632&lt;in_marketplace_from+2*in_card_months),in_card_share*d_card_rem/in_card_months*F1632*MIN(in_takeup_cap,(1+in_takeup_growth)^(D1632-1))*MIN(in_takeup_cap,(1+in_approval_growth)^(D1632-1)),0))</f>
        <v/>
      </c>
      <c r="AA1632" s="14">
        <f>V1632*in_fee*(1-in_taken_back)</f>
        <v/>
      </c>
      <c r="AB1632" s="14">
        <f>SUMIFS(W1622:W1641,B1622:B1641,B1632-in_dpd_lag)*d_dpd</f>
        <v/>
      </c>
      <c r="AC1632" s="14">
        <f>SUMIFS(W1622:W1641,B1622:B1641,B1632-in_rec_lag)*d_rec</f>
        <v/>
      </c>
      <c r="AD1632" s="14">
        <f>Z1632*in_card_fee</f>
        <v/>
      </c>
      <c r="AE1632" s="40">
        <f>AE1631*(1-IF(B1631&gt;=in_marketplace_from,d_hz_hlth_small*G1631,0))</f>
        <v/>
      </c>
      <c r="AF1632" s="46">
        <f>AE1632*IF(B1632&gt;=in_marketplace_from,d_hz_hlth_small*G1632,0)</f>
        <v/>
      </c>
      <c r="AG1632" s="14">
        <f>F1632*AF1632*in_hlth_small_ticket*in_hlth_small_comm*in_ins_partner_share+F1632*in_hlth_small_ticket*in_hlth_small_renew_comm*in_ins_partner_share*(in_hlth_small_renew^1*SUMIFS(AF1622:AF1641,B1622:B1641,B1632-12)+in_hlth_small_renew^2*SUMIFS(AF1622:AF1641,B1622:B1641,B1632-24)+in_hlth_small_renew^3*SUMIFS(AF1622:AF1641,B1622:B1641,B1632-36)+in_hlth_small_renew^4*SUMIFS(AF1622:AF1641,B1622:B1641,B1632-48))</f>
        <v/>
      </c>
      <c r="AH1632" s="40">
        <f>AH1631*(1-IF(B1631&gt;=in_marketplace_from,d_hz_hlth_family*G1631,0))</f>
        <v/>
      </c>
      <c r="AI1632" s="46">
        <f>AH1632*IF(B1632&gt;=in_marketplace_from,d_hz_hlth_family*G1632,0)</f>
        <v/>
      </c>
      <c r="AJ1632" s="14">
        <f>F1632*AI1632*in_hlth_family_ticket*in_hlth_family_comm*in_ins_partner_share+F1632*in_hlth_family_ticket*in_hlth_family_renew_comm*in_ins_partner_share*(in_hlth_family_renew^1*SUMIFS(AI1622:AI1641,B1622:B1641,B1632-12)+in_hlth_family_renew^2*SUMIFS(AI1622:AI1641,B1622:B1641,B1632-24)+in_hlth_family_renew^3*SUMIFS(AI1622:AI1641,B1622:B1641,B1632-36)+in_hlth_family_renew^4*SUMIFS(AI1622:AI1641,B1622:B1641,B1632-48))</f>
        <v/>
      </c>
      <c r="AK1632" s="40">
        <f>AK1631*(1-IF(B1631&gt;=in_marketplace_from,d_hz_life_term*G1631,0))</f>
        <v/>
      </c>
      <c r="AL1632" s="46">
        <f>AK1632*IF(B1632&gt;=in_marketplace_from,d_hz_life_term*G1632,0)</f>
        <v/>
      </c>
      <c r="AM1632" s="14">
        <f>F1632*AL1632*in_life_term_ticket*in_life_term_comm*in_ins_partner_share+F1632*in_life_term_ticket*in_life_term_renew_comm*in_ins_partner_share*(in_life_term_renew^1*SUMIFS(AL1622:AL1641,B1622:B1641,B1632-12)+in_life_term_renew^2*SUMIFS(AL1622:AL1641,B1622:B1641,B1632-24)+in_life_term_renew^3*SUMIFS(AL1622:AL1641,B1622:B1641,B1632-36)+in_life_term_renew^4*SUMIFS(AL1622:AL1641,B1622:B1641,B1632-48))</f>
        <v/>
      </c>
      <c r="AN1632" s="40">
        <f>AN1631*(1-IF(B1631&gt;=in_marketplace_from,d_hz_accident*G1631,0))</f>
        <v/>
      </c>
      <c r="AO1632" s="46">
        <f>AN1632*IF(B1632&gt;=in_marketplace_from,d_hz_accident*G1632,0)</f>
        <v/>
      </c>
      <c r="AP1632" s="14">
        <f>F1632*AO1632*in_accident_ticket*in_accident_comm*in_ins_partner_share+F1632*in_accident_ticket*in_accident_renew_comm*in_ins_partner_share*(in_accident_renew^1*SUMIFS(AO1622:AO1641,B1622:B1641,B1632-12)+in_accident_renew^2*SUMIFS(AO1622:AO1641,B1622:B1641,B1632-24)+in_accident_renew^3*SUMIFS(AO1622:AO1641,B1622:B1641,B1632-36)+in_accident_renew^4*SUMIFS(AO1622:AO1641,B1622:B1641,B1632-48))</f>
        <v/>
      </c>
      <c r="AQ1632" s="40">
        <f>AQ1631*(1-IF(B1631&gt;=in_marketplace_from,d_hz_two_wheeler*G1631,0))</f>
        <v/>
      </c>
      <c r="AR1632" s="46">
        <f>AQ1632*IF(B1632&gt;=in_marketplace_from,d_hz_two_wheeler*G1632,0)</f>
        <v/>
      </c>
      <c r="AS1632" s="14">
        <f>F1632*AR1632*in_two_wheeler_ticket*in_two_wheeler_comm*in_ins_partner_share+F1632*in_two_wheeler_ticket*in_two_wheeler_comm*in_ins_partner_share*(in_two_wheeler_renew^1*SUMIFS(AR1622:AR1641,B1622:B1641,B1632-12)+in_two_wheeler_renew^2*SUMIFS(AR1622:AR1641,B1622:B1641,B1632-24)+in_two_wheeler_renew^3*SUMIFS(AR1622:AR1641,B1622:B1641,B1632-36)+in_two_wheeler_renew^4*SUMIFS(AR1622:AR1641,B1622:B1641,B1632-48))</f>
        <v/>
      </c>
      <c r="AT1632" s="40">
        <f>AT1631*(1-IF(B1631&gt;=in_marketplace_from,d_hz_device*G1631,0))</f>
        <v/>
      </c>
      <c r="AU1632" s="14">
        <f>F1632*AT1632*IF(B1632&gt;=in_marketplace_from,d_hz_device*G1632,0)*in_device_ticket*in_device_comm*in_ins_partner_share</f>
        <v/>
      </c>
      <c r="AV1632" s="40">
        <f>AV1631*(1-IF(B1631&gt;=in_marketplace_from,d_hz_shop*G1631,0))</f>
        <v/>
      </c>
      <c r="AW1632" s="46">
        <f>AV1632*IF(B1632&gt;=in_marketplace_from,d_hz_shop*G1632,0)</f>
        <v/>
      </c>
      <c r="AX1632" s="14">
        <f>F1632*AW1632*in_shop_ticket*in_shop_comm*in_ins_partner_share+F1632*in_shop_ticket*in_shop_renew_comm*in_ins_partner_share*(in_shop_renew^1*SUMIFS(AW1622:AW1641,B1622:B1641,B1632-12)+in_shop_renew^2*SUMIFS(AW1622:AW1641,B1622:B1641,B1632-24)+in_shop_renew^3*SUMIFS(AW1622:AW1641,B1622:B1641,B1632-36)+in_shop_renew^4*SUMIFS(AW1622:AW1641,B1622:B1641,B1632-48))</f>
        <v/>
      </c>
      <c r="AY1632" s="40">
        <f>AY1631*(1-IF(B1631&gt;=in_marketplace_from,d_hz_sip*G1631,0))</f>
        <v/>
      </c>
      <c r="AZ1632" s="40">
        <f>AZ1631*d_rho_sip+AY1632*IF(B1632&gt;=in_marketplace_from,d_hz_sip*G1632,0)</f>
        <v/>
      </c>
      <c r="BA1632" s="40">
        <f>d_rho_sip*(BA1631+AZ1631)</f>
        <v/>
      </c>
      <c r="BB1632" s="14">
        <f>F1632*in_sip_ticket*(BA1632+0.5*AZ1632)*in_sip_comm/12</f>
        <v/>
      </c>
      <c r="BC1632" s="40">
        <f>BC1631*(1-IF(B1631&gt;=in_marketplace_from,d_hz_choti*G1631,0))</f>
        <v/>
      </c>
      <c r="BD1632" s="46">
        <f>BC1632*IF(B1632&gt;=in_marketplace_from,d_hz_choti*G1632,0)</f>
        <v/>
      </c>
      <c r="BE1632" s="14">
        <f>F1632*SUMIFS(BD1622:BD1641,B1622:B1641,B1632-in_choti_months)*in_choti_renew*in_choti_ticket</f>
        <v/>
      </c>
      <c r="BF1632" s="40">
        <f>BF1631*(1-IF(B1631&gt;=in_marketplace_from,d_hz_nps*G1631,0))</f>
        <v/>
      </c>
      <c r="BG1632" s="14">
        <f>F1632*BF1632*IF(B1632&gt;=in_marketplace_from,d_hz_nps*G1632,0)*in_nps_ticket*in_nps_comm</f>
        <v/>
      </c>
      <c r="BH1632" s="40">
        <f>BH1631*(1-IF(B1631&gt;=in_marketplace_from,d_hz_gold*G1631,0))</f>
        <v/>
      </c>
      <c r="BI1632" s="40">
        <f>BI1631*d_rho_gold+BH1632*IF(B1632&gt;=in_marketplace_from,d_hz_gold*G1632,0)</f>
        <v/>
      </c>
      <c r="BJ1632" s="14">
        <f>F1632*BI1632*in_gold_ticket*in_gold_comm</f>
        <v/>
      </c>
      <c r="BK1632" s="40">
        <f>BK1631*(1-IF(B1631&gt;=in_marketplace_from,d_hz_fd*G1631,0))</f>
        <v/>
      </c>
      <c r="BL1632" s="14">
        <f>F1632*BK1632*IF(B1632&gt;=in_marketplace_from,d_hz_fd*G1632,0)*in_fd_ticket*in_fd_comm</f>
        <v/>
      </c>
      <c r="BM1632" s="40">
        <f>BM1631*(1-IF(B1631&gt;=in_marketplace_from,d_hz_recharge*G1631,0))</f>
        <v/>
      </c>
      <c r="BN1632" s="40">
        <f>BN1631*d_rho_recharge+BM1632*IF(B1632&gt;=in_marketplace_from,d_hz_recharge*G1632,0)</f>
        <v/>
      </c>
      <c r="BO1632" s="14">
        <f>F1632*BN1632*in_recharge_ticket*in_recharge_comm/12</f>
        <v/>
      </c>
      <c r="BP1632" s="40">
        <f>BP1631*(1-IF(B1631&gt;=in_marketplace_from,d_hz_bills*G1631,0))</f>
        <v/>
      </c>
      <c r="BQ1632" s="40">
        <f>BQ1631*d_rho_bills+BP1632*IF(B1632&gt;=in_marketplace_from,d_hz_bills*G1632,0)</f>
        <v/>
      </c>
      <c r="BR1632" s="14">
        <f>F1632*BQ1632*in_bills_ticket*in_bills_comm/12</f>
        <v/>
      </c>
      <c r="BS1632" s="40">
        <f>BS1631*(1-IF(B1631&gt;=in_marketplace_from,d_hz_loan_gold*G1631,0))</f>
        <v/>
      </c>
      <c r="BT1632" s="14">
        <f>F1632*BS1632*IF(B1632&gt;=in_marketplace_from,d_hz_loan_gold*G1632,0)*in_loan_gold_ticket*in_loan_gold_comm</f>
        <v/>
      </c>
      <c r="BU1632" s="40">
        <f>BU1631*(1-IF(B1631&gt;=in_marketplace_from,d_hz_loan_cd*G1631,0))</f>
        <v/>
      </c>
      <c r="BV1632" s="14">
        <f>F1632*BU1632*IF(B1632&gt;=in_marketplace_from,d_hz_loan_cd*G1632,0)*in_loan_cd_ticket*in_loan_cd_comm</f>
        <v/>
      </c>
      <c r="BW1632" s="40">
        <f>BW1631*(1-IF(B1631&gt;=in_marketplace_from,d_hz_loan_vehicle*G1631,0))</f>
        <v/>
      </c>
      <c r="BX1632" s="14">
        <f>F1632*BW1632*IF(B1632&gt;=in_marketplace_from,d_hz_loan_vehicle*G1632,0)*in_loan_vehicle_ticket*in_loan_vehicle_comm</f>
        <v/>
      </c>
      <c r="BY1632" s="40">
        <f>BY1631*(1-IF(B1631&gt;=in_marketplace_from,d_hz_loan_home*G1631,0)*BZ1631)</f>
        <v/>
      </c>
      <c r="BZ1632" s="11">
        <f>MIN(in_approval_cap,in_loan_home_approval*INDEX('Age profile'!$O$2:$O$61,B1632)*(1+in_approval_growth)^(D1632-1))</f>
        <v/>
      </c>
      <c r="CA1632" s="14">
        <f>F1632*BY1632*IF(B1632&gt;=in_marketplace_from,d_hz_loan_home*G1632,0)*BZ1632*in_loan_home_ticket*in_loan_home_comm</f>
        <v/>
      </c>
      <c r="CB1632" s="40">
        <f>CB1631*(1-IF(B1631&gt;=in_marketplace_from,d_hz_loan_lap*G1631,0)*CC1631)</f>
        <v/>
      </c>
      <c r="CC1632" s="11">
        <f>MIN(in_approval_cap,in_loan_lap_approval*INDEX('Age profile'!$O$2:$O$61,B1632)*(1+in_approval_growth)^(D1632-1))</f>
        <v/>
      </c>
      <c r="CD1632" s="14">
        <f>F1632*CB1632*IF(B1632&gt;=in_marketplace_from,d_hz_loan_lap*G1632,0)*CC1632*in_loan_lap_ticket*in_loan_lap_comm</f>
        <v/>
      </c>
      <c r="CE1632" s="14">
        <f>AA1632+AB1632+AC1632+AD1632+AG1632+AJ1632+AM1632+AP1632+AS1632+AU1632+AX1632+BB1632+BE1632+BG1632+BJ1632+BL1632+BO1632+BR1632+BT1632+BV1632+BX1632+CA1632+CD1632</f>
        <v/>
      </c>
    </row>
    <row r="1633">
      <c r="A1633" s="39" t="n">
        <v>41</v>
      </c>
      <c r="B1633" s="39" t="n">
        <v>12</v>
      </c>
      <c r="C1633" s="39">
        <f>A1633+B1633-1</f>
        <v/>
      </c>
      <c r="D1633" s="39">
        <f>INT((C1633-1)/12)+1</f>
        <v/>
      </c>
      <c r="E1633" s="44">
        <f>INDEX(Monthly!$B$2:$B$61,A1633)</f>
        <v/>
      </c>
      <c r="F1633" s="44">
        <f>E1633*INDEX('Age profile'!$B$2:$B$61,B1633)</f>
        <v/>
      </c>
      <c r="G1633" s="45">
        <f>MIN(in_takeup_cap,INDEX('Age profile'!$N$2:$N$61,B1633)*(1+in_takeup_growth)^(D1633-1))</f>
        <v/>
      </c>
      <c r="H1633" s="11">
        <f>MIN(in_approval_cap,in_approved_first*INDEX('Age profile'!$O$2:$O$61,B1633)*(1+in_approval_growth)^(D1633-1))</f>
        <v/>
      </c>
      <c r="I1633" s="45">
        <f>G1633*MIN(in_takeup_cap,INDEX('Age profile'!$O$2:$O$61,B1633)*(1+in_approval_growth)^(D1633-1))</f>
        <v/>
      </c>
      <c r="J1633" s="40">
        <f>(J1632-L1632)*F1633/F1632</f>
        <v/>
      </c>
      <c r="K1633" s="40">
        <f>(K1632-M1632)*F1633/F1632+SUMIFS(O1622:O1632,B1622:B1632,B1633-1-d_T)*F1633</f>
        <v/>
      </c>
      <c r="L1633" s="40">
        <f>IF(B1633&gt;=in_marketplace_from,J1633*d_hz*G1633*in_eligible*H1633,0)</f>
        <v/>
      </c>
      <c r="M1633" s="40">
        <f>IF(B1633&gt;=in_marketplace_from,K1633*d_hz*G1633*in_eligible*in_approved_repeat,0)</f>
        <v/>
      </c>
      <c r="N1633" s="40">
        <f>L1633+M1633</f>
        <v/>
      </c>
      <c r="O1633" s="46">
        <f>N1633/F1633</f>
        <v/>
      </c>
      <c r="P1633" s="40">
        <f>F1633-J1633-K1633</f>
        <v/>
      </c>
      <c r="Q1633" s="40">
        <f>IF(B1633&gt;=in_marketplace_from,(J1633+K1633)*d_hz*G1633,0)</f>
        <v/>
      </c>
      <c r="R1633" s="40">
        <f>SUMIFS(N1622:N1641,B1622:B1641,"&gt;="&amp;(B1633-d_T),B1622:B1641,"&lt;="&amp;(B1633-1))</f>
        <v/>
      </c>
      <c r="S1633" s="46">
        <f>(1-d_u)*S1632+IF(d_T&gt;in_topup_lag,SUMIFS(O1622:O1641,B1622:B1641,B1633-in_topup_lag)-d_udrop*SUMIFS(O1622:O1641,B1622:B1641,B1633-d_T),0)</f>
        <v/>
      </c>
      <c r="T1633" s="40">
        <f>F1633*d_u*S1633</f>
        <v/>
      </c>
      <c r="U1633" s="9">
        <f>L1633*in_ticket+M1633*d_rep_ticket</f>
        <v/>
      </c>
      <c r="V1633" s="9">
        <f>U1633+T1633*d_topup_amt</f>
        <v/>
      </c>
      <c r="W1633" s="40">
        <f>N1633+T1633*d_topup_ratio</f>
        <v/>
      </c>
      <c r="X1633" s="40">
        <f>SUMIFS(W1622:W1641,B1622:B1641,B1633-in_dpd_lag)*d_cured</f>
        <v/>
      </c>
      <c r="Y1633" s="40">
        <f>SUMIFS(W1622:W1641,B1622:B1641,B1633-in_rec_lag)*d_recd</f>
        <v/>
      </c>
      <c r="Z1633" s="40">
        <f>IF(AND(B1633&gt;=in_marketplace_from,B1633&lt;in_marketplace_from+in_card_months),in_card_share/in_card_months*F1633*I1633,IF(AND(B1633&gt;=in_marketplace_from+in_card_months,B1633&lt;in_marketplace_from+2*in_card_months),in_card_share*d_card_rem/in_card_months*F1633*MIN(in_takeup_cap,(1+in_takeup_growth)^(D1633-1))*MIN(in_takeup_cap,(1+in_approval_growth)^(D1633-1)),0))</f>
        <v/>
      </c>
      <c r="AA1633" s="14">
        <f>V1633*in_fee*(1-in_taken_back)</f>
        <v/>
      </c>
      <c r="AB1633" s="14">
        <f>SUMIFS(W1622:W1641,B1622:B1641,B1633-in_dpd_lag)*d_dpd</f>
        <v/>
      </c>
      <c r="AC1633" s="14">
        <f>SUMIFS(W1622:W1641,B1622:B1641,B1633-in_rec_lag)*d_rec</f>
        <v/>
      </c>
      <c r="AD1633" s="14">
        <f>Z1633*in_card_fee</f>
        <v/>
      </c>
      <c r="AE1633" s="40">
        <f>AE1632*(1-IF(B1632&gt;=in_marketplace_from,d_hz_hlth_small*G1632,0))</f>
        <v/>
      </c>
      <c r="AF1633" s="46">
        <f>AE1633*IF(B1633&gt;=in_marketplace_from,d_hz_hlth_small*G1633,0)</f>
        <v/>
      </c>
      <c r="AG1633" s="14">
        <f>F1633*AF1633*in_hlth_small_ticket*in_hlth_small_comm*in_ins_partner_share+F1633*in_hlth_small_ticket*in_hlth_small_renew_comm*in_ins_partner_share*(in_hlth_small_renew^1*SUMIFS(AF1622:AF1641,B1622:B1641,B1633-12)+in_hlth_small_renew^2*SUMIFS(AF1622:AF1641,B1622:B1641,B1633-24)+in_hlth_small_renew^3*SUMIFS(AF1622:AF1641,B1622:B1641,B1633-36)+in_hlth_small_renew^4*SUMIFS(AF1622:AF1641,B1622:B1641,B1633-48))</f>
        <v/>
      </c>
      <c r="AH1633" s="40">
        <f>AH1632*(1-IF(B1632&gt;=in_marketplace_from,d_hz_hlth_family*G1632,0))</f>
        <v/>
      </c>
      <c r="AI1633" s="46">
        <f>AH1633*IF(B1633&gt;=in_marketplace_from,d_hz_hlth_family*G1633,0)</f>
        <v/>
      </c>
      <c r="AJ1633" s="14">
        <f>F1633*AI1633*in_hlth_family_ticket*in_hlth_family_comm*in_ins_partner_share+F1633*in_hlth_family_ticket*in_hlth_family_renew_comm*in_ins_partner_share*(in_hlth_family_renew^1*SUMIFS(AI1622:AI1641,B1622:B1641,B1633-12)+in_hlth_family_renew^2*SUMIFS(AI1622:AI1641,B1622:B1641,B1633-24)+in_hlth_family_renew^3*SUMIFS(AI1622:AI1641,B1622:B1641,B1633-36)+in_hlth_family_renew^4*SUMIFS(AI1622:AI1641,B1622:B1641,B1633-48))</f>
        <v/>
      </c>
      <c r="AK1633" s="40">
        <f>AK1632*(1-IF(B1632&gt;=in_marketplace_from,d_hz_life_term*G1632,0))</f>
        <v/>
      </c>
      <c r="AL1633" s="46">
        <f>AK1633*IF(B1633&gt;=in_marketplace_from,d_hz_life_term*G1633,0)</f>
        <v/>
      </c>
      <c r="AM1633" s="14">
        <f>F1633*AL1633*in_life_term_ticket*in_life_term_comm*in_ins_partner_share+F1633*in_life_term_ticket*in_life_term_renew_comm*in_ins_partner_share*(in_life_term_renew^1*SUMIFS(AL1622:AL1641,B1622:B1641,B1633-12)+in_life_term_renew^2*SUMIFS(AL1622:AL1641,B1622:B1641,B1633-24)+in_life_term_renew^3*SUMIFS(AL1622:AL1641,B1622:B1641,B1633-36)+in_life_term_renew^4*SUMIFS(AL1622:AL1641,B1622:B1641,B1633-48))</f>
        <v/>
      </c>
      <c r="AN1633" s="40">
        <f>AN1632*(1-IF(B1632&gt;=in_marketplace_from,d_hz_accident*G1632,0))</f>
        <v/>
      </c>
      <c r="AO1633" s="46">
        <f>AN1633*IF(B1633&gt;=in_marketplace_from,d_hz_accident*G1633,0)</f>
        <v/>
      </c>
      <c r="AP1633" s="14">
        <f>F1633*AO1633*in_accident_ticket*in_accident_comm*in_ins_partner_share+F1633*in_accident_ticket*in_accident_renew_comm*in_ins_partner_share*(in_accident_renew^1*SUMIFS(AO1622:AO1641,B1622:B1641,B1633-12)+in_accident_renew^2*SUMIFS(AO1622:AO1641,B1622:B1641,B1633-24)+in_accident_renew^3*SUMIFS(AO1622:AO1641,B1622:B1641,B1633-36)+in_accident_renew^4*SUMIFS(AO1622:AO1641,B1622:B1641,B1633-48))</f>
        <v/>
      </c>
      <c r="AQ1633" s="40">
        <f>AQ1632*(1-IF(B1632&gt;=in_marketplace_from,d_hz_two_wheeler*G1632,0))</f>
        <v/>
      </c>
      <c r="AR1633" s="46">
        <f>AQ1633*IF(B1633&gt;=in_marketplace_from,d_hz_two_wheeler*G1633,0)</f>
        <v/>
      </c>
      <c r="AS1633" s="14">
        <f>F1633*AR1633*in_two_wheeler_ticket*in_two_wheeler_comm*in_ins_partner_share+F1633*in_two_wheeler_ticket*in_two_wheeler_comm*in_ins_partner_share*(in_two_wheeler_renew^1*SUMIFS(AR1622:AR1641,B1622:B1641,B1633-12)+in_two_wheeler_renew^2*SUMIFS(AR1622:AR1641,B1622:B1641,B1633-24)+in_two_wheeler_renew^3*SUMIFS(AR1622:AR1641,B1622:B1641,B1633-36)+in_two_wheeler_renew^4*SUMIFS(AR1622:AR1641,B1622:B1641,B1633-48))</f>
        <v/>
      </c>
      <c r="AT1633" s="40">
        <f>AT1632*(1-IF(B1632&gt;=in_marketplace_from,d_hz_device*G1632,0))</f>
        <v/>
      </c>
      <c r="AU1633" s="14">
        <f>F1633*AT1633*IF(B1633&gt;=in_marketplace_from,d_hz_device*G1633,0)*in_device_ticket*in_device_comm*in_ins_partner_share</f>
        <v/>
      </c>
      <c r="AV1633" s="40">
        <f>AV1632*(1-IF(B1632&gt;=in_marketplace_from,d_hz_shop*G1632,0))</f>
        <v/>
      </c>
      <c r="AW1633" s="46">
        <f>AV1633*IF(B1633&gt;=in_marketplace_from,d_hz_shop*G1633,0)</f>
        <v/>
      </c>
      <c r="AX1633" s="14">
        <f>F1633*AW1633*in_shop_ticket*in_shop_comm*in_ins_partner_share+F1633*in_shop_ticket*in_shop_renew_comm*in_ins_partner_share*(in_shop_renew^1*SUMIFS(AW1622:AW1641,B1622:B1641,B1633-12)+in_shop_renew^2*SUMIFS(AW1622:AW1641,B1622:B1641,B1633-24)+in_shop_renew^3*SUMIFS(AW1622:AW1641,B1622:B1641,B1633-36)+in_shop_renew^4*SUMIFS(AW1622:AW1641,B1622:B1641,B1633-48))</f>
        <v/>
      </c>
      <c r="AY1633" s="40">
        <f>AY1632*(1-IF(B1632&gt;=in_marketplace_from,d_hz_sip*G1632,0))</f>
        <v/>
      </c>
      <c r="AZ1633" s="40">
        <f>AZ1632*d_rho_sip+AY1633*IF(B1633&gt;=in_marketplace_from,d_hz_sip*G1633,0)</f>
        <v/>
      </c>
      <c r="BA1633" s="40">
        <f>d_rho_sip*(BA1632+AZ1632)</f>
        <v/>
      </c>
      <c r="BB1633" s="14">
        <f>F1633*in_sip_ticket*(BA1633+0.5*AZ1633)*in_sip_comm/12</f>
        <v/>
      </c>
      <c r="BC1633" s="40">
        <f>BC1632*(1-IF(B1632&gt;=in_marketplace_from,d_hz_choti*G1632,0))</f>
        <v/>
      </c>
      <c r="BD1633" s="46">
        <f>BC1633*IF(B1633&gt;=in_marketplace_from,d_hz_choti*G1633,0)</f>
        <v/>
      </c>
      <c r="BE1633" s="14">
        <f>F1633*SUMIFS(BD1622:BD1641,B1622:B1641,B1633-in_choti_months)*in_choti_renew*in_choti_ticket</f>
        <v/>
      </c>
      <c r="BF1633" s="40">
        <f>BF1632*(1-IF(B1632&gt;=in_marketplace_from,d_hz_nps*G1632,0))</f>
        <v/>
      </c>
      <c r="BG1633" s="14">
        <f>F1633*BF1633*IF(B1633&gt;=in_marketplace_from,d_hz_nps*G1633,0)*in_nps_ticket*in_nps_comm</f>
        <v/>
      </c>
      <c r="BH1633" s="40">
        <f>BH1632*(1-IF(B1632&gt;=in_marketplace_from,d_hz_gold*G1632,0))</f>
        <v/>
      </c>
      <c r="BI1633" s="40">
        <f>BI1632*d_rho_gold+BH1633*IF(B1633&gt;=in_marketplace_from,d_hz_gold*G1633,0)</f>
        <v/>
      </c>
      <c r="BJ1633" s="14">
        <f>F1633*BI1633*in_gold_ticket*in_gold_comm</f>
        <v/>
      </c>
      <c r="BK1633" s="40">
        <f>BK1632*(1-IF(B1632&gt;=in_marketplace_from,d_hz_fd*G1632,0))</f>
        <v/>
      </c>
      <c r="BL1633" s="14">
        <f>F1633*BK1633*IF(B1633&gt;=in_marketplace_from,d_hz_fd*G1633,0)*in_fd_ticket*in_fd_comm</f>
        <v/>
      </c>
      <c r="BM1633" s="40">
        <f>BM1632*(1-IF(B1632&gt;=in_marketplace_from,d_hz_recharge*G1632,0))</f>
        <v/>
      </c>
      <c r="BN1633" s="40">
        <f>BN1632*d_rho_recharge+BM1633*IF(B1633&gt;=in_marketplace_from,d_hz_recharge*G1633,0)</f>
        <v/>
      </c>
      <c r="BO1633" s="14">
        <f>F1633*BN1633*in_recharge_ticket*in_recharge_comm/12</f>
        <v/>
      </c>
      <c r="BP1633" s="40">
        <f>BP1632*(1-IF(B1632&gt;=in_marketplace_from,d_hz_bills*G1632,0))</f>
        <v/>
      </c>
      <c r="BQ1633" s="40">
        <f>BQ1632*d_rho_bills+BP1633*IF(B1633&gt;=in_marketplace_from,d_hz_bills*G1633,0)</f>
        <v/>
      </c>
      <c r="BR1633" s="14">
        <f>F1633*BQ1633*in_bills_ticket*in_bills_comm/12</f>
        <v/>
      </c>
      <c r="BS1633" s="40">
        <f>BS1632*(1-IF(B1632&gt;=in_marketplace_from,d_hz_loan_gold*G1632,0))</f>
        <v/>
      </c>
      <c r="BT1633" s="14">
        <f>F1633*BS1633*IF(B1633&gt;=in_marketplace_from,d_hz_loan_gold*G1633,0)*in_loan_gold_ticket*in_loan_gold_comm</f>
        <v/>
      </c>
      <c r="BU1633" s="40">
        <f>BU1632*(1-IF(B1632&gt;=in_marketplace_from,d_hz_loan_cd*G1632,0))</f>
        <v/>
      </c>
      <c r="BV1633" s="14">
        <f>F1633*BU1633*IF(B1633&gt;=in_marketplace_from,d_hz_loan_cd*G1633,0)*in_loan_cd_ticket*in_loan_cd_comm</f>
        <v/>
      </c>
      <c r="BW1633" s="40">
        <f>BW1632*(1-IF(B1632&gt;=in_marketplace_from,d_hz_loan_vehicle*G1632,0))</f>
        <v/>
      </c>
      <c r="BX1633" s="14">
        <f>F1633*BW1633*IF(B1633&gt;=in_marketplace_from,d_hz_loan_vehicle*G1633,0)*in_loan_vehicle_ticket*in_loan_vehicle_comm</f>
        <v/>
      </c>
      <c r="BY1633" s="40">
        <f>BY1632*(1-IF(B1632&gt;=in_marketplace_from,d_hz_loan_home*G1632,0)*BZ1632)</f>
        <v/>
      </c>
      <c r="BZ1633" s="11">
        <f>MIN(in_approval_cap,in_loan_home_approval*INDEX('Age profile'!$O$2:$O$61,B1633)*(1+in_approval_growth)^(D1633-1))</f>
        <v/>
      </c>
      <c r="CA1633" s="14">
        <f>F1633*BY1633*IF(B1633&gt;=in_marketplace_from,d_hz_loan_home*G1633,0)*BZ1633*in_loan_home_ticket*in_loan_home_comm</f>
        <v/>
      </c>
      <c r="CB1633" s="40">
        <f>CB1632*(1-IF(B1632&gt;=in_marketplace_from,d_hz_loan_lap*G1632,0)*CC1632)</f>
        <v/>
      </c>
      <c r="CC1633" s="11">
        <f>MIN(in_approval_cap,in_loan_lap_approval*INDEX('Age profile'!$O$2:$O$61,B1633)*(1+in_approval_growth)^(D1633-1))</f>
        <v/>
      </c>
      <c r="CD1633" s="14">
        <f>F1633*CB1633*IF(B1633&gt;=in_marketplace_from,d_hz_loan_lap*G1633,0)*CC1633*in_loan_lap_ticket*in_loan_lap_comm</f>
        <v/>
      </c>
      <c r="CE1633" s="14">
        <f>AA1633+AB1633+AC1633+AD1633+AG1633+AJ1633+AM1633+AP1633+AS1633+AU1633+AX1633+BB1633+BE1633+BG1633+BJ1633+BL1633+BO1633+BR1633+BT1633+BV1633+BX1633+CA1633+CD1633</f>
        <v/>
      </c>
    </row>
    <row r="1634">
      <c r="A1634" s="39" t="n">
        <v>41</v>
      </c>
      <c r="B1634" s="39" t="n">
        <v>13</v>
      </c>
      <c r="C1634" s="39">
        <f>A1634+B1634-1</f>
        <v/>
      </c>
      <c r="D1634" s="39">
        <f>INT((C1634-1)/12)+1</f>
        <v/>
      </c>
      <c r="E1634" s="44">
        <f>INDEX(Monthly!$B$2:$B$61,A1634)</f>
        <v/>
      </c>
      <c r="F1634" s="44">
        <f>E1634*INDEX('Age profile'!$B$2:$B$61,B1634)</f>
        <v/>
      </c>
      <c r="G1634" s="45">
        <f>MIN(in_takeup_cap,INDEX('Age profile'!$N$2:$N$61,B1634)*(1+in_takeup_growth)^(D1634-1))</f>
        <v/>
      </c>
      <c r="H1634" s="11">
        <f>MIN(in_approval_cap,in_approved_first*INDEX('Age profile'!$O$2:$O$61,B1634)*(1+in_approval_growth)^(D1634-1))</f>
        <v/>
      </c>
      <c r="I1634" s="45">
        <f>G1634*MIN(in_takeup_cap,INDEX('Age profile'!$O$2:$O$61,B1634)*(1+in_approval_growth)^(D1634-1))</f>
        <v/>
      </c>
      <c r="J1634" s="40">
        <f>(J1633-L1633)*F1634/F1633</f>
        <v/>
      </c>
      <c r="K1634" s="40">
        <f>(K1633-M1633)*F1634/F1633+SUMIFS(O1622:O1633,B1622:B1633,B1634-1-d_T)*F1634</f>
        <v/>
      </c>
      <c r="L1634" s="40">
        <f>IF(B1634&gt;=in_marketplace_from,J1634*d_hz*G1634*in_eligible*H1634,0)</f>
        <v/>
      </c>
      <c r="M1634" s="40">
        <f>IF(B1634&gt;=in_marketplace_from,K1634*d_hz*G1634*in_eligible*in_approved_repeat,0)</f>
        <v/>
      </c>
      <c r="N1634" s="40">
        <f>L1634+M1634</f>
        <v/>
      </c>
      <c r="O1634" s="46">
        <f>N1634/F1634</f>
        <v/>
      </c>
      <c r="P1634" s="40">
        <f>F1634-J1634-K1634</f>
        <v/>
      </c>
      <c r="Q1634" s="40">
        <f>IF(B1634&gt;=in_marketplace_from,(J1634+K1634)*d_hz*G1634,0)</f>
        <v/>
      </c>
      <c r="R1634" s="40">
        <f>SUMIFS(N1622:N1641,B1622:B1641,"&gt;="&amp;(B1634-d_T),B1622:B1641,"&lt;="&amp;(B1634-1))</f>
        <v/>
      </c>
      <c r="S1634" s="46">
        <f>(1-d_u)*S1633+IF(d_T&gt;in_topup_lag,SUMIFS(O1622:O1641,B1622:B1641,B1634-in_topup_lag)-d_udrop*SUMIFS(O1622:O1641,B1622:B1641,B1634-d_T),0)</f>
        <v/>
      </c>
      <c r="T1634" s="40">
        <f>F1634*d_u*S1634</f>
        <v/>
      </c>
      <c r="U1634" s="9">
        <f>L1634*in_ticket+M1634*d_rep_ticket</f>
        <v/>
      </c>
      <c r="V1634" s="9">
        <f>U1634+T1634*d_topup_amt</f>
        <v/>
      </c>
      <c r="W1634" s="40">
        <f>N1634+T1634*d_topup_ratio</f>
        <v/>
      </c>
      <c r="X1634" s="40">
        <f>SUMIFS(W1622:W1641,B1622:B1641,B1634-in_dpd_lag)*d_cured</f>
        <v/>
      </c>
      <c r="Y1634" s="40">
        <f>SUMIFS(W1622:W1641,B1622:B1641,B1634-in_rec_lag)*d_recd</f>
        <v/>
      </c>
      <c r="Z1634" s="40">
        <f>IF(AND(B1634&gt;=in_marketplace_from,B1634&lt;in_marketplace_from+in_card_months),in_card_share/in_card_months*F1634*I1634,IF(AND(B1634&gt;=in_marketplace_from+in_card_months,B1634&lt;in_marketplace_from+2*in_card_months),in_card_share*d_card_rem/in_card_months*F1634*MIN(in_takeup_cap,(1+in_takeup_growth)^(D1634-1))*MIN(in_takeup_cap,(1+in_approval_growth)^(D1634-1)),0))</f>
        <v/>
      </c>
      <c r="AA1634" s="14">
        <f>V1634*in_fee*(1-in_taken_back)</f>
        <v/>
      </c>
      <c r="AB1634" s="14">
        <f>SUMIFS(W1622:W1641,B1622:B1641,B1634-in_dpd_lag)*d_dpd</f>
        <v/>
      </c>
      <c r="AC1634" s="14">
        <f>SUMIFS(W1622:W1641,B1622:B1641,B1634-in_rec_lag)*d_rec</f>
        <v/>
      </c>
      <c r="AD1634" s="14">
        <f>Z1634*in_card_fee</f>
        <v/>
      </c>
      <c r="AE1634" s="40">
        <f>AE1633*(1-IF(B1633&gt;=in_marketplace_from,d_hz_hlth_small*G1633,0))</f>
        <v/>
      </c>
      <c r="AF1634" s="46">
        <f>AE1634*IF(B1634&gt;=in_marketplace_from,d_hz_hlth_small*G1634,0)</f>
        <v/>
      </c>
      <c r="AG1634" s="14">
        <f>F1634*AF1634*in_hlth_small_ticket*in_hlth_small_comm*in_ins_partner_share+F1634*in_hlth_small_ticket*in_hlth_small_renew_comm*in_ins_partner_share*(in_hlth_small_renew^1*SUMIFS(AF1622:AF1641,B1622:B1641,B1634-12)+in_hlth_small_renew^2*SUMIFS(AF1622:AF1641,B1622:B1641,B1634-24)+in_hlth_small_renew^3*SUMIFS(AF1622:AF1641,B1622:B1641,B1634-36)+in_hlth_small_renew^4*SUMIFS(AF1622:AF1641,B1622:B1641,B1634-48))</f>
        <v/>
      </c>
      <c r="AH1634" s="40">
        <f>AH1633*(1-IF(B1633&gt;=in_marketplace_from,d_hz_hlth_family*G1633,0))</f>
        <v/>
      </c>
      <c r="AI1634" s="46">
        <f>AH1634*IF(B1634&gt;=in_marketplace_from,d_hz_hlth_family*G1634,0)</f>
        <v/>
      </c>
      <c r="AJ1634" s="14">
        <f>F1634*AI1634*in_hlth_family_ticket*in_hlth_family_comm*in_ins_partner_share+F1634*in_hlth_family_ticket*in_hlth_family_renew_comm*in_ins_partner_share*(in_hlth_family_renew^1*SUMIFS(AI1622:AI1641,B1622:B1641,B1634-12)+in_hlth_family_renew^2*SUMIFS(AI1622:AI1641,B1622:B1641,B1634-24)+in_hlth_family_renew^3*SUMIFS(AI1622:AI1641,B1622:B1641,B1634-36)+in_hlth_family_renew^4*SUMIFS(AI1622:AI1641,B1622:B1641,B1634-48))</f>
        <v/>
      </c>
      <c r="AK1634" s="40">
        <f>AK1633*(1-IF(B1633&gt;=in_marketplace_from,d_hz_life_term*G1633,0))</f>
        <v/>
      </c>
      <c r="AL1634" s="46">
        <f>AK1634*IF(B1634&gt;=in_marketplace_from,d_hz_life_term*G1634,0)</f>
        <v/>
      </c>
      <c r="AM1634" s="14">
        <f>F1634*AL1634*in_life_term_ticket*in_life_term_comm*in_ins_partner_share+F1634*in_life_term_ticket*in_life_term_renew_comm*in_ins_partner_share*(in_life_term_renew^1*SUMIFS(AL1622:AL1641,B1622:B1641,B1634-12)+in_life_term_renew^2*SUMIFS(AL1622:AL1641,B1622:B1641,B1634-24)+in_life_term_renew^3*SUMIFS(AL1622:AL1641,B1622:B1641,B1634-36)+in_life_term_renew^4*SUMIFS(AL1622:AL1641,B1622:B1641,B1634-48))</f>
        <v/>
      </c>
      <c r="AN1634" s="40">
        <f>AN1633*(1-IF(B1633&gt;=in_marketplace_from,d_hz_accident*G1633,0))</f>
        <v/>
      </c>
      <c r="AO1634" s="46">
        <f>AN1634*IF(B1634&gt;=in_marketplace_from,d_hz_accident*G1634,0)</f>
        <v/>
      </c>
      <c r="AP1634" s="14">
        <f>F1634*AO1634*in_accident_ticket*in_accident_comm*in_ins_partner_share+F1634*in_accident_ticket*in_accident_renew_comm*in_ins_partner_share*(in_accident_renew^1*SUMIFS(AO1622:AO1641,B1622:B1641,B1634-12)+in_accident_renew^2*SUMIFS(AO1622:AO1641,B1622:B1641,B1634-24)+in_accident_renew^3*SUMIFS(AO1622:AO1641,B1622:B1641,B1634-36)+in_accident_renew^4*SUMIFS(AO1622:AO1641,B1622:B1641,B1634-48))</f>
        <v/>
      </c>
      <c r="AQ1634" s="40">
        <f>AQ1633*(1-IF(B1633&gt;=in_marketplace_from,d_hz_two_wheeler*G1633,0))</f>
        <v/>
      </c>
      <c r="AR1634" s="46">
        <f>AQ1634*IF(B1634&gt;=in_marketplace_from,d_hz_two_wheeler*G1634,0)</f>
        <v/>
      </c>
      <c r="AS1634" s="14">
        <f>F1634*AR1634*in_two_wheeler_ticket*in_two_wheeler_comm*in_ins_partner_share+F1634*in_two_wheeler_ticket*in_two_wheeler_comm*in_ins_partner_share*(in_two_wheeler_renew^1*SUMIFS(AR1622:AR1641,B1622:B1641,B1634-12)+in_two_wheeler_renew^2*SUMIFS(AR1622:AR1641,B1622:B1641,B1634-24)+in_two_wheeler_renew^3*SUMIFS(AR1622:AR1641,B1622:B1641,B1634-36)+in_two_wheeler_renew^4*SUMIFS(AR1622:AR1641,B1622:B1641,B1634-48))</f>
        <v/>
      </c>
      <c r="AT1634" s="40">
        <f>AT1633*(1-IF(B1633&gt;=in_marketplace_from,d_hz_device*G1633,0))</f>
        <v/>
      </c>
      <c r="AU1634" s="14">
        <f>F1634*AT1634*IF(B1634&gt;=in_marketplace_from,d_hz_device*G1634,0)*in_device_ticket*in_device_comm*in_ins_partner_share</f>
        <v/>
      </c>
      <c r="AV1634" s="40">
        <f>AV1633*(1-IF(B1633&gt;=in_marketplace_from,d_hz_shop*G1633,0))</f>
        <v/>
      </c>
      <c r="AW1634" s="46">
        <f>AV1634*IF(B1634&gt;=in_marketplace_from,d_hz_shop*G1634,0)</f>
        <v/>
      </c>
      <c r="AX1634" s="14">
        <f>F1634*AW1634*in_shop_ticket*in_shop_comm*in_ins_partner_share+F1634*in_shop_ticket*in_shop_renew_comm*in_ins_partner_share*(in_shop_renew^1*SUMIFS(AW1622:AW1641,B1622:B1641,B1634-12)+in_shop_renew^2*SUMIFS(AW1622:AW1641,B1622:B1641,B1634-24)+in_shop_renew^3*SUMIFS(AW1622:AW1641,B1622:B1641,B1634-36)+in_shop_renew^4*SUMIFS(AW1622:AW1641,B1622:B1641,B1634-48))</f>
        <v/>
      </c>
      <c r="AY1634" s="40">
        <f>AY1633*(1-IF(B1633&gt;=in_marketplace_from,d_hz_sip*G1633,0))</f>
        <v/>
      </c>
      <c r="AZ1634" s="40">
        <f>AZ1633*d_rho_sip+AY1634*IF(B1634&gt;=in_marketplace_from,d_hz_sip*G1634,0)</f>
        <v/>
      </c>
      <c r="BA1634" s="40">
        <f>d_rho_sip*(BA1633+AZ1633)</f>
        <v/>
      </c>
      <c r="BB1634" s="14">
        <f>F1634*in_sip_ticket*(BA1634+0.5*AZ1634)*in_sip_comm/12</f>
        <v/>
      </c>
      <c r="BC1634" s="40">
        <f>BC1633*(1-IF(B1633&gt;=in_marketplace_from,d_hz_choti*G1633,0))</f>
        <v/>
      </c>
      <c r="BD1634" s="46">
        <f>BC1634*IF(B1634&gt;=in_marketplace_from,d_hz_choti*G1634,0)</f>
        <v/>
      </c>
      <c r="BE1634" s="14">
        <f>F1634*SUMIFS(BD1622:BD1641,B1622:B1641,B1634-in_choti_months)*in_choti_renew*in_choti_ticket</f>
        <v/>
      </c>
      <c r="BF1634" s="40">
        <f>BF1633*(1-IF(B1633&gt;=in_marketplace_from,d_hz_nps*G1633,0))</f>
        <v/>
      </c>
      <c r="BG1634" s="14">
        <f>F1634*BF1634*IF(B1634&gt;=in_marketplace_from,d_hz_nps*G1634,0)*in_nps_ticket*in_nps_comm</f>
        <v/>
      </c>
      <c r="BH1634" s="40">
        <f>BH1633*(1-IF(B1633&gt;=in_marketplace_from,d_hz_gold*G1633,0))</f>
        <v/>
      </c>
      <c r="BI1634" s="40">
        <f>BI1633*d_rho_gold+BH1634*IF(B1634&gt;=in_marketplace_from,d_hz_gold*G1634,0)</f>
        <v/>
      </c>
      <c r="BJ1634" s="14">
        <f>F1634*BI1634*in_gold_ticket*in_gold_comm</f>
        <v/>
      </c>
      <c r="BK1634" s="40">
        <f>BK1633*(1-IF(B1633&gt;=in_marketplace_from,d_hz_fd*G1633,0))</f>
        <v/>
      </c>
      <c r="BL1634" s="14">
        <f>F1634*BK1634*IF(B1634&gt;=in_marketplace_from,d_hz_fd*G1634,0)*in_fd_ticket*in_fd_comm</f>
        <v/>
      </c>
      <c r="BM1634" s="40">
        <f>BM1633*(1-IF(B1633&gt;=in_marketplace_from,d_hz_recharge*G1633,0))</f>
        <v/>
      </c>
      <c r="BN1634" s="40">
        <f>BN1633*d_rho_recharge+BM1634*IF(B1634&gt;=in_marketplace_from,d_hz_recharge*G1634,0)</f>
        <v/>
      </c>
      <c r="BO1634" s="14">
        <f>F1634*BN1634*in_recharge_ticket*in_recharge_comm/12</f>
        <v/>
      </c>
      <c r="BP1634" s="40">
        <f>BP1633*(1-IF(B1633&gt;=in_marketplace_from,d_hz_bills*G1633,0))</f>
        <v/>
      </c>
      <c r="BQ1634" s="40">
        <f>BQ1633*d_rho_bills+BP1634*IF(B1634&gt;=in_marketplace_from,d_hz_bills*G1634,0)</f>
        <v/>
      </c>
      <c r="BR1634" s="14">
        <f>F1634*BQ1634*in_bills_ticket*in_bills_comm/12</f>
        <v/>
      </c>
      <c r="BS1634" s="40">
        <f>BS1633*(1-IF(B1633&gt;=in_marketplace_from,d_hz_loan_gold*G1633,0))</f>
        <v/>
      </c>
      <c r="BT1634" s="14">
        <f>F1634*BS1634*IF(B1634&gt;=in_marketplace_from,d_hz_loan_gold*G1634,0)*in_loan_gold_ticket*in_loan_gold_comm</f>
        <v/>
      </c>
      <c r="BU1634" s="40">
        <f>BU1633*(1-IF(B1633&gt;=in_marketplace_from,d_hz_loan_cd*G1633,0))</f>
        <v/>
      </c>
      <c r="BV1634" s="14">
        <f>F1634*BU1634*IF(B1634&gt;=in_marketplace_from,d_hz_loan_cd*G1634,0)*in_loan_cd_ticket*in_loan_cd_comm</f>
        <v/>
      </c>
      <c r="BW1634" s="40">
        <f>BW1633*(1-IF(B1633&gt;=in_marketplace_from,d_hz_loan_vehicle*G1633,0))</f>
        <v/>
      </c>
      <c r="BX1634" s="14">
        <f>F1634*BW1634*IF(B1634&gt;=in_marketplace_from,d_hz_loan_vehicle*G1634,0)*in_loan_vehicle_ticket*in_loan_vehicle_comm</f>
        <v/>
      </c>
      <c r="BY1634" s="40">
        <f>BY1633*(1-IF(B1633&gt;=in_marketplace_from,d_hz_loan_home*G1633,0)*BZ1633)</f>
        <v/>
      </c>
      <c r="BZ1634" s="11">
        <f>MIN(in_approval_cap,in_loan_home_approval*INDEX('Age profile'!$O$2:$O$61,B1634)*(1+in_approval_growth)^(D1634-1))</f>
        <v/>
      </c>
      <c r="CA1634" s="14">
        <f>F1634*BY1634*IF(B1634&gt;=in_marketplace_from,d_hz_loan_home*G1634,0)*BZ1634*in_loan_home_ticket*in_loan_home_comm</f>
        <v/>
      </c>
      <c r="CB1634" s="40">
        <f>CB1633*(1-IF(B1633&gt;=in_marketplace_from,d_hz_loan_lap*G1633,0)*CC1633)</f>
        <v/>
      </c>
      <c r="CC1634" s="11">
        <f>MIN(in_approval_cap,in_loan_lap_approval*INDEX('Age profile'!$O$2:$O$61,B1634)*(1+in_approval_growth)^(D1634-1))</f>
        <v/>
      </c>
      <c r="CD1634" s="14">
        <f>F1634*CB1634*IF(B1634&gt;=in_marketplace_from,d_hz_loan_lap*G1634,0)*CC1634*in_loan_lap_ticket*in_loan_lap_comm</f>
        <v/>
      </c>
      <c r="CE1634" s="14">
        <f>AA1634+AB1634+AC1634+AD1634+AG1634+AJ1634+AM1634+AP1634+AS1634+AU1634+AX1634+BB1634+BE1634+BG1634+BJ1634+BL1634+BO1634+BR1634+BT1634+BV1634+BX1634+CA1634+CD1634</f>
        <v/>
      </c>
    </row>
    <row r="1635">
      <c r="A1635" s="39" t="n">
        <v>41</v>
      </c>
      <c r="B1635" s="39" t="n">
        <v>14</v>
      </c>
      <c r="C1635" s="39">
        <f>A1635+B1635-1</f>
        <v/>
      </c>
      <c r="D1635" s="39">
        <f>INT((C1635-1)/12)+1</f>
        <v/>
      </c>
      <c r="E1635" s="44">
        <f>INDEX(Monthly!$B$2:$B$61,A1635)</f>
        <v/>
      </c>
      <c r="F1635" s="44">
        <f>E1635*INDEX('Age profile'!$B$2:$B$61,B1635)</f>
        <v/>
      </c>
      <c r="G1635" s="45">
        <f>MIN(in_takeup_cap,INDEX('Age profile'!$N$2:$N$61,B1635)*(1+in_takeup_growth)^(D1635-1))</f>
        <v/>
      </c>
      <c r="H1635" s="11">
        <f>MIN(in_approval_cap,in_approved_first*INDEX('Age profile'!$O$2:$O$61,B1635)*(1+in_approval_growth)^(D1635-1))</f>
        <v/>
      </c>
      <c r="I1635" s="45">
        <f>G1635*MIN(in_takeup_cap,INDEX('Age profile'!$O$2:$O$61,B1635)*(1+in_approval_growth)^(D1635-1))</f>
        <v/>
      </c>
      <c r="J1635" s="40">
        <f>(J1634-L1634)*F1635/F1634</f>
        <v/>
      </c>
      <c r="K1635" s="40">
        <f>(K1634-M1634)*F1635/F1634+SUMIFS(O1622:O1634,B1622:B1634,B1635-1-d_T)*F1635</f>
        <v/>
      </c>
      <c r="L1635" s="40">
        <f>IF(B1635&gt;=in_marketplace_from,J1635*d_hz*G1635*in_eligible*H1635,0)</f>
        <v/>
      </c>
      <c r="M1635" s="40">
        <f>IF(B1635&gt;=in_marketplace_from,K1635*d_hz*G1635*in_eligible*in_approved_repeat,0)</f>
        <v/>
      </c>
      <c r="N1635" s="40">
        <f>L1635+M1635</f>
        <v/>
      </c>
      <c r="O1635" s="46">
        <f>N1635/F1635</f>
        <v/>
      </c>
      <c r="P1635" s="40">
        <f>F1635-J1635-K1635</f>
        <v/>
      </c>
      <c r="Q1635" s="40">
        <f>IF(B1635&gt;=in_marketplace_from,(J1635+K1635)*d_hz*G1635,0)</f>
        <v/>
      </c>
      <c r="R1635" s="40">
        <f>SUMIFS(N1622:N1641,B1622:B1641,"&gt;="&amp;(B1635-d_T),B1622:B1641,"&lt;="&amp;(B1635-1))</f>
        <v/>
      </c>
      <c r="S1635" s="46">
        <f>(1-d_u)*S1634+IF(d_T&gt;in_topup_lag,SUMIFS(O1622:O1641,B1622:B1641,B1635-in_topup_lag)-d_udrop*SUMIFS(O1622:O1641,B1622:B1641,B1635-d_T),0)</f>
        <v/>
      </c>
      <c r="T1635" s="40">
        <f>F1635*d_u*S1635</f>
        <v/>
      </c>
      <c r="U1635" s="9">
        <f>L1635*in_ticket+M1635*d_rep_ticket</f>
        <v/>
      </c>
      <c r="V1635" s="9">
        <f>U1635+T1635*d_topup_amt</f>
        <v/>
      </c>
      <c r="W1635" s="40">
        <f>N1635+T1635*d_topup_ratio</f>
        <v/>
      </c>
      <c r="X1635" s="40">
        <f>SUMIFS(W1622:W1641,B1622:B1641,B1635-in_dpd_lag)*d_cured</f>
        <v/>
      </c>
      <c r="Y1635" s="40">
        <f>SUMIFS(W1622:W1641,B1622:B1641,B1635-in_rec_lag)*d_recd</f>
        <v/>
      </c>
      <c r="Z1635" s="40">
        <f>IF(AND(B1635&gt;=in_marketplace_from,B1635&lt;in_marketplace_from+in_card_months),in_card_share/in_card_months*F1635*I1635,IF(AND(B1635&gt;=in_marketplace_from+in_card_months,B1635&lt;in_marketplace_from+2*in_card_months),in_card_share*d_card_rem/in_card_months*F1635*MIN(in_takeup_cap,(1+in_takeup_growth)^(D1635-1))*MIN(in_takeup_cap,(1+in_approval_growth)^(D1635-1)),0))</f>
        <v/>
      </c>
      <c r="AA1635" s="14">
        <f>V1635*in_fee*(1-in_taken_back)</f>
        <v/>
      </c>
      <c r="AB1635" s="14">
        <f>SUMIFS(W1622:W1641,B1622:B1641,B1635-in_dpd_lag)*d_dpd</f>
        <v/>
      </c>
      <c r="AC1635" s="14">
        <f>SUMIFS(W1622:W1641,B1622:B1641,B1635-in_rec_lag)*d_rec</f>
        <v/>
      </c>
      <c r="AD1635" s="14">
        <f>Z1635*in_card_fee</f>
        <v/>
      </c>
      <c r="AE1635" s="40">
        <f>AE1634*(1-IF(B1634&gt;=in_marketplace_from,d_hz_hlth_small*G1634,0))</f>
        <v/>
      </c>
      <c r="AF1635" s="46">
        <f>AE1635*IF(B1635&gt;=in_marketplace_from,d_hz_hlth_small*G1635,0)</f>
        <v/>
      </c>
      <c r="AG1635" s="14">
        <f>F1635*AF1635*in_hlth_small_ticket*in_hlth_small_comm*in_ins_partner_share+F1635*in_hlth_small_ticket*in_hlth_small_renew_comm*in_ins_partner_share*(in_hlth_small_renew^1*SUMIFS(AF1622:AF1641,B1622:B1641,B1635-12)+in_hlth_small_renew^2*SUMIFS(AF1622:AF1641,B1622:B1641,B1635-24)+in_hlth_small_renew^3*SUMIFS(AF1622:AF1641,B1622:B1641,B1635-36)+in_hlth_small_renew^4*SUMIFS(AF1622:AF1641,B1622:B1641,B1635-48))</f>
        <v/>
      </c>
      <c r="AH1635" s="40">
        <f>AH1634*(1-IF(B1634&gt;=in_marketplace_from,d_hz_hlth_family*G1634,0))</f>
        <v/>
      </c>
      <c r="AI1635" s="46">
        <f>AH1635*IF(B1635&gt;=in_marketplace_from,d_hz_hlth_family*G1635,0)</f>
        <v/>
      </c>
      <c r="AJ1635" s="14">
        <f>F1635*AI1635*in_hlth_family_ticket*in_hlth_family_comm*in_ins_partner_share+F1635*in_hlth_family_ticket*in_hlth_family_renew_comm*in_ins_partner_share*(in_hlth_family_renew^1*SUMIFS(AI1622:AI1641,B1622:B1641,B1635-12)+in_hlth_family_renew^2*SUMIFS(AI1622:AI1641,B1622:B1641,B1635-24)+in_hlth_family_renew^3*SUMIFS(AI1622:AI1641,B1622:B1641,B1635-36)+in_hlth_family_renew^4*SUMIFS(AI1622:AI1641,B1622:B1641,B1635-48))</f>
        <v/>
      </c>
      <c r="AK1635" s="40">
        <f>AK1634*(1-IF(B1634&gt;=in_marketplace_from,d_hz_life_term*G1634,0))</f>
        <v/>
      </c>
      <c r="AL1635" s="46">
        <f>AK1635*IF(B1635&gt;=in_marketplace_from,d_hz_life_term*G1635,0)</f>
        <v/>
      </c>
      <c r="AM1635" s="14">
        <f>F1635*AL1635*in_life_term_ticket*in_life_term_comm*in_ins_partner_share+F1635*in_life_term_ticket*in_life_term_renew_comm*in_ins_partner_share*(in_life_term_renew^1*SUMIFS(AL1622:AL1641,B1622:B1641,B1635-12)+in_life_term_renew^2*SUMIFS(AL1622:AL1641,B1622:B1641,B1635-24)+in_life_term_renew^3*SUMIFS(AL1622:AL1641,B1622:B1641,B1635-36)+in_life_term_renew^4*SUMIFS(AL1622:AL1641,B1622:B1641,B1635-48))</f>
        <v/>
      </c>
      <c r="AN1635" s="40">
        <f>AN1634*(1-IF(B1634&gt;=in_marketplace_from,d_hz_accident*G1634,0))</f>
        <v/>
      </c>
      <c r="AO1635" s="46">
        <f>AN1635*IF(B1635&gt;=in_marketplace_from,d_hz_accident*G1635,0)</f>
        <v/>
      </c>
      <c r="AP1635" s="14">
        <f>F1635*AO1635*in_accident_ticket*in_accident_comm*in_ins_partner_share+F1635*in_accident_ticket*in_accident_renew_comm*in_ins_partner_share*(in_accident_renew^1*SUMIFS(AO1622:AO1641,B1622:B1641,B1635-12)+in_accident_renew^2*SUMIFS(AO1622:AO1641,B1622:B1641,B1635-24)+in_accident_renew^3*SUMIFS(AO1622:AO1641,B1622:B1641,B1635-36)+in_accident_renew^4*SUMIFS(AO1622:AO1641,B1622:B1641,B1635-48))</f>
        <v/>
      </c>
      <c r="AQ1635" s="40">
        <f>AQ1634*(1-IF(B1634&gt;=in_marketplace_from,d_hz_two_wheeler*G1634,0))</f>
        <v/>
      </c>
      <c r="AR1635" s="46">
        <f>AQ1635*IF(B1635&gt;=in_marketplace_from,d_hz_two_wheeler*G1635,0)</f>
        <v/>
      </c>
      <c r="AS1635" s="14">
        <f>F1635*AR1635*in_two_wheeler_ticket*in_two_wheeler_comm*in_ins_partner_share+F1635*in_two_wheeler_ticket*in_two_wheeler_comm*in_ins_partner_share*(in_two_wheeler_renew^1*SUMIFS(AR1622:AR1641,B1622:B1641,B1635-12)+in_two_wheeler_renew^2*SUMIFS(AR1622:AR1641,B1622:B1641,B1635-24)+in_two_wheeler_renew^3*SUMIFS(AR1622:AR1641,B1622:B1641,B1635-36)+in_two_wheeler_renew^4*SUMIFS(AR1622:AR1641,B1622:B1641,B1635-48))</f>
        <v/>
      </c>
      <c r="AT1635" s="40">
        <f>AT1634*(1-IF(B1634&gt;=in_marketplace_from,d_hz_device*G1634,0))</f>
        <v/>
      </c>
      <c r="AU1635" s="14">
        <f>F1635*AT1635*IF(B1635&gt;=in_marketplace_from,d_hz_device*G1635,0)*in_device_ticket*in_device_comm*in_ins_partner_share</f>
        <v/>
      </c>
      <c r="AV1635" s="40">
        <f>AV1634*(1-IF(B1634&gt;=in_marketplace_from,d_hz_shop*G1634,0))</f>
        <v/>
      </c>
      <c r="AW1635" s="46">
        <f>AV1635*IF(B1635&gt;=in_marketplace_from,d_hz_shop*G1635,0)</f>
        <v/>
      </c>
      <c r="AX1635" s="14">
        <f>F1635*AW1635*in_shop_ticket*in_shop_comm*in_ins_partner_share+F1635*in_shop_ticket*in_shop_renew_comm*in_ins_partner_share*(in_shop_renew^1*SUMIFS(AW1622:AW1641,B1622:B1641,B1635-12)+in_shop_renew^2*SUMIFS(AW1622:AW1641,B1622:B1641,B1635-24)+in_shop_renew^3*SUMIFS(AW1622:AW1641,B1622:B1641,B1635-36)+in_shop_renew^4*SUMIFS(AW1622:AW1641,B1622:B1641,B1635-48))</f>
        <v/>
      </c>
      <c r="AY1635" s="40">
        <f>AY1634*(1-IF(B1634&gt;=in_marketplace_from,d_hz_sip*G1634,0))</f>
        <v/>
      </c>
      <c r="AZ1635" s="40">
        <f>AZ1634*d_rho_sip+AY1635*IF(B1635&gt;=in_marketplace_from,d_hz_sip*G1635,0)</f>
        <v/>
      </c>
      <c r="BA1635" s="40">
        <f>d_rho_sip*(BA1634+AZ1634)</f>
        <v/>
      </c>
      <c r="BB1635" s="14">
        <f>F1635*in_sip_ticket*(BA1635+0.5*AZ1635)*in_sip_comm/12</f>
        <v/>
      </c>
      <c r="BC1635" s="40">
        <f>BC1634*(1-IF(B1634&gt;=in_marketplace_from,d_hz_choti*G1634,0))</f>
        <v/>
      </c>
      <c r="BD1635" s="46">
        <f>BC1635*IF(B1635&gt;=in_marketplace_from,d_hz_choti*G1635,0)</f>
        <v/>
      </c>
      <c r="BE1635" s="14">
        <f>F1635*SUMIFS(BD1622:BD1641,B1622:B1641,B1635-in_choti_months)*in_choti_renew*in_choti_ticket</f>
        <v/>
      </c>
      <c r="BF1635" s="40">
        <f>BF1634*(1-IF(B1634&gt;=in_marketplace_from,d_hz_nps*G1634,0))</f>
        <v/>
      </c>
      <c r="BG1635" s="14">
        <f>F1635*BF1635*IF(B1635&gt;=in_marketplace_from,d_hz_nps*G1635,0)*in_nps_ticket*in_nps_comm</f>
        <v/>
      </c>
      <c r="BH1635" s="40">
        <f>BH1634*(1-IF(B1634&gt;=in_marketplace_from,d_hz_gold*G1634,0))</f>
        <v/>
      </c>
      <c r="BI1635" s="40">
        <f>BI1634*d_rho_gold+BH1635*IF(B1635&gt;=in_marketplace_from,d_hz_gold*G1635,0)</f>
        <v/>
      </c>
      <c r="BJ1635" s="14">
        <f>F1635*BI1635*in_gold_ticket*in_gold_comm</f>
        <v/>
      </c>
      <c r="BK1635" s="40">
        <f>BK1634*(1-IF(B1634&gt;=in_marketplace_from,d_hz_fd*G1634,0))</f>
        <v/>
      </c>
      <c r="BL1635" s="14">
        <f>F1635*BK1635*IF(B1635&gt;=in_marketplace_from,d_hz_fd*G1635,0)*in_fd_ticket*in_fd_comm</f>
        <v/>
      </c>
      <c r="BM1635" s="40">
        <f>BM1634*(1-IF(B1634&gt;=in_marketplace_from,d_hz_recharge*G1634,0))</f>
        <v/>
      </c>
      <c r="BN1635" s="40">
        <f>BN1634*d_rho_recharge+BM1635*IF(B1635&gt;=in_marketplace_from,d_hz_recharge*G1635,0)</f>
        <v/>
      </c>
      <c r="BO1635" s="14">
        <f>F1635*BN1635*in_recharge_ticket*in_recharge_comm/12</f>
        <v/>
      </c>
      <c r="BP1635" s="40">
        <f>BP1634*(1-IF(B1634&gt;=in_marketplace_from,d_hz_bills*G1634,0))</f>
        <v/>
      </c>
      <c r="BQ1635" s="40">
        <f>BQ1634*d_rho_bills+BP1635*IF(B1635&gt;=in_marketplace_from,d_hz_bills*G1635,0)</f>
        <v/>
      </c>
      <c r="BR1635" s="14">
        <f>F1635*BQ1635*in_bills_ticket*in_bills_comm/12</f>
        <v/>
      </c>
      <c r="BS1635" s="40">
        <f>BS1634*(1-IF(B1634&gt;=in_marketplace_from,d_hz_loan_gold*G1634,0))</f>
        <v/>
      </c>
      <c r="BT1635" s="14">
        <f>F1635*BS1635*IF(B1635&gt;=in_marketplace_from,d_hz_loan_gold*G1635,0)*in_loan_gold_ticket*in_loan_gold_comm</f>
        <v/>
      </c>
      <c r="BU1635" s="40">
        <f>BU1634*(1-IF(B1634&gt;=in_marketplace_from,d_hz_loan_cd*G1634,0))</f>
        <v/>
      </c>
      <c r="BV1635" s="14">
        <f>F1635*BU1635*IF(B1635&gt;=in_marketplace_from,d_hz_loan_cd*G1635,0)*in_loan_cd_ticket*in_loan_cd_comm</f>
        <v/>
      </c>
      <c r="BW1635" s="40">
        <f>BW1634*(1-IF(B1634&gt;=in_marketplace_from,d_hz_loan_vehicle*G1634,0))</f>
        <v/>
      </c>
      <c r="BX1635" s="14">
        <f>F1635*BW1635*IF(B1635&gt;=in_marketplace_from,d_hz_loan_vehicle*G1635,0)*in_loan_vehicle_ticket*in_loan_vehicle_comm</f>
        <v/>
      </c>
      <c r="BY1635" s="40">
        <f>BY1634*(1-IF(B1634&gt;=in_marketplace_from,d_hz_loan_home*G1634,0)*BZ1634)</f>
        <v/>
      </c>
      <c r="BZ1635" s="11">
        <f>MIN(in_approval_cap,in_loan_home_approval*INDEX('Age profile'!$O$2:$O$61,B1635)*(1+in_approval_growth)^(D1635-1))</f>
        <v/>
      </c>
      <c r="CA1635" s="14">
        <f>F1635*BY1635*IF(B1635&gt;=in_marketplace_from,d_hz_loan_home*G1635,0)*BZ1635*in_loan_home_ticket*in_loan_home_comm</f>
        <v/>
      </c>
      <c r="CB1635" s="40">
        <f>CB1634*(1-IF(B1634&gt;=in_marketplace_from,d_hz_loan_lap*G1634,0)*CC1634)</f>
        <v/>
      </c>
      <c r="CC1635" s="11">
        <f>MIN(in_approval_cap,in_loan_lap_approval*INDEX('Age profile'!$O$2:$O$61,B1635)*(1+in_approval_growth)^(D1635-1))</f>
        <v/>
      </c>
      <c r="CD1635" s="14">
        <f>F1635*CB1635*IF(B1635&gt;=in_marketplace_from,d_hz_loan_lap*G1635,0)*CC1635*in_loan_lap_ticket*in_loan_lap_comm</f>
        <v/>
      </c>
      <c r="CE1635" s="14">
        <f>AA1635+AB1635+AC1635+AD1635+AG1635+AJ1635+AM1635+AP1635+AS1635+AU1635+AX1635+BB1635+BE1635+BG1635+BJ1635+BL1635+BO1635+BR1635+BT1635+BV1635+BX1635+CA1635+CD1635</f>
        <v/>
      </c>
    </row>
    <row r="1636">
      <c r="A1636" s="39" t="n">
        <v>41</v>
      </c>
      <c r="B1636" s="39" t="n">
        <v>15</v>
      </c>
      <c r="C1636" s="39">
        <f>A1636+B1636-1</f>
        <v/>
      </c>
      <c r="D1636" s="39">
        <f>INT((C1636-1)/12)+1</f>
        <v/>
      </c>
      <c r="E1636" s="44">
        <f>INDEX(Monthly!$B$2:$B$61,A1636)</f>
        <v/>
      </c>
      <c r="F1636" s="44">
        <f>E1636*INDEX('Age profile'!$B$2:$B$61,B1636)</f>
        <v/>
      </c>
      <c r="G1636" s="45">
        <f>MIN(in_takeup_cap,INDEX('Age profile'!$N$2:$N$61,B1636)*(1+in_takeup_growth)^(D1636-1))</f>
        <v/>
      </c>
      <c r="H1636" s="11">
        <f>MIN(in_approval_cap,in_approved_first*INDEX('Age profile'!$O$2:$O$61,B1636)*(1+in_approval_growth)^(D1636-1))</f>
        <v/>
      </c>
      <c r="I1636" s="45">
        <f>G1636*MIN(in_takeup_cap,INDEX('Age profile'!$O$2:$O$61,B1636)*(1+in_approval_growth)^(D1636-1))</f>
        <v/>
      </c>
      <c r="J1636" s="40">
        <f>(J1635-L1635)*F1636/F1635</f>
        <v/>
      </c>
      <c r="K1636" s="40">
        <f>(K1635-M1635)*F1636/F1635+SUMIFS(O1622:O1635,B1622:B1635,B1636-1-d_T)*F1636</f>
        <v/>
      </c>
      <c r="L1636" s="40">
        <f>IF(B1636&gt;=in_marketplace_from,J1636*d_hz*G1636*in_eligible*H1636,0)</f>
        <v/>
      </c>
      <c r="M1636" s="40">
        <f>IF(B1636&gt;=in_marketplace_from,K1636*d_hz*G1636*in_eligible*in_approved_repeat,0)</f>
        <v/>
      </c>
      <c r="N1636" s="40">
        <f>L1636+M1636</f>
        <v/>
      </c>
      <c r="O1636" s="46">
        <f>N1636/F1636</f>
        <v/>
      </c>
      <c r="P1636" s="40">
        <f>F1636-J1636-K1636</f>
        <v/>
      </c>
      <c r="Q1636" s="40">
        <f>IF(B1636&gt;=in_marketplace_from,(J1636+K1636)*d_hz*G1636,0)</f>
        <v/>
      </c>
      <c r="R1636" s="40">
        <f>SUMIFS(N1622:N1641,B1622:B1641,"&gt;="&amp;(B1636-d_T),B1622:B1641,"&lt;="&amp;(B1636-1))</f>
        <v/>
      </c>
      <c r="S1636" s="46">
        <f>(1-d_u)*S1635+IF(d_T&gt;in_topup_lag,SUMIFS(O1622:O1641,B1622:B1641,B1636-in_topup_lag)-d_udrop*SUMIFS(O1622:O1641,B1622:B1641,B1636-d_T),0)</f>
        <v/>
      </c>
      <c r="T1636" s="40">
        <f>F1636*d_u*S1636</f>
        <v/>
      </c>
      <c r="U1636" s="9">
        <f>L1636*in_ticket+M1636*d_rep_ticket</f>
        <v/>
      </c>
      <c r="V1636" s="9">
        <f>U1636+T1636*d_topup_amt</f>
        <v/>
      </c>
      <c r="W1636" s="40">
        <f>N1636+T1636*d_topup_ratio</f>
        <v/>
      </c>
      <c r="X1636" s="40">
        <f>SUMIFS(W1622:W1641,B1622:B1641,B1636-in_dpd_lag)*d_cured</f>
        <v/>
      </c>
      <c r="Y1636" s="40">
        <f>SUMIFS(W1622:W1641,B1622:B1641,B1636-in_rec_lag)*d_recd</f>
        <v/>
      </c>
      <c r="Z1636" s="40">
        <f>IF(AND(B1636&gt;=in_marketplace_from,B1636&lt;in_marketplace_from+in_card_months),in_card_share/in_card_months*F1636*I1636,IF(AND(B1636&gt;=in_marketplace_from+in_card_months,B1636&lt;in_marketplace_from+2*in_card_months),in_card_share*d_card_rem/in_card_months*F1636*MIN(in_takeup_cap,(1+in_takeup_growth)^(D1636-1))*MIN(in_takeup_cap,(1+in_approval_growth)^(D1636-1)),0))</f>
        <v/>
      </c>
      <c r="AA1636" s="14">
        <f>V1636*in_fee*(1-in_taken_back)</f>
        <v/>
      </c>
      <c r="AB1636" s="14">
        <f>SUMIFS(W1622:W1641,B1622:B1641,B1636-in_dpd_lag)*d_dpd</f>
        <v/>
      </c>
      <c r="AC1636" s="14">
        <f>SUMIFS(W1622:W1641,B1622:B1641,B1636-in_rec_lag)*d_rec</f>
        <v/>
      </c>
      <c r="AD1636" s="14">
        <f>Z1636*in_card_fee</f>
        <v/>
      </c>
      <c r="AE1636" s="40">
        <f>AE1635*(1-IF(B1635&gt;=in_marketplace_from,d_hz_hlth_small*G1635,0))</f>
        <v/>
      </c>
      <c r="AF1636" s="46">
        <f>AE1636*IF(B1636&gt;=in_marketplace_from,d_hz_hlth_small*G1636,0)</f>
        <v/>
      </c>
      <c r="AG1636" s="14">
        <f>F1636*AF1636*in_hlth_small_ticket*in_hlth_small_comm*in_ins_partner_share+F1636*in_hlth_small_ticket*in_hlth_small_renew_comm*in_ins_partner_share*(in_hlth_small_renew^1*SUMIFS(AF1622:AF1641,B1622:B1641,B1636-12)+in_hlth_small_renew^2*SUMIFS(AF1622:AF1641,B1622:B1641,B1636-24)+in_hlth_small_renew^3*SUMIFS(AF1622:AF1641,B1622:B1641,B1636-36)+in_hlth_small_renew^4*SUMIFS(AF1622:AF1641,B1622:B1641,B1636-48))</f>
        <v/>
      </c>
      <c r="AH1636" s="40">
        <f>AH1635*(1-IF(B1635&gt;=in_marketplace_from,d_hz_hlth_family*G1635,0))</f>
        <v/>
      </c>
      <c r="AI1636" s="46">
        <f>AH1636*IF(B1636&gt;=in_marketplace_from,d_hz_hlth_family*G1636,0)</f>
        <v/>
      </c>
      <c r="AJ1636" s="14">
        <f>F1636*AI1636*in_hlth_family_ticket*in_hlth_family_comm*in_ins_partner_share+F1636*in_hlth_family_ticket*in_hlth_family_renew_comm*in_ins_partner_share*(in_hlth_family_renew^1*SUMIFS(AI1622:AI1641,B1622:B1641,B1636-12)+in_hlth_family_renew^2*SUMIFS(AI1622:AI1641,B1622:B1641,B1636-24)+in_hlth_family_renew^3*SUMIFS(AI1622:AI1641,B1622:B1641,B1636-36)+in_hlth_family_renew^4*SUMIFS(AI1622:AI1641,B1622:B1641,B1636-48))</f>
        <v/>
      </c>
      <c r="AK1636" s="40">
        <f>AK1635*(1-IF(B1635&gt;=in_marketplace_from,d_hz_life_term*G1635,0))</f>
        <v/>
      </c>
      <c r="AL1636" s="46">
        <f>AK1636*IF(B1636&gt;=in_marketplace_from,d_hz_life_term*G1636,0)</f>
        <v/>
      </c>
      <c r="AM1636" s="14">
        <f>F1636*AL1636*in_life_term_ticket*in_life_term_comm*in_ins_partner_share+F1636*in_life_term_ticket*in_life_term_renew_comm*in_ins_partner_share*(in_life_term_renew^1*SUMIFS(AL1622:AL1641,B1622:B1641,B1636-12)+in_life_term_renew^2*SUMIFS(AL1622:AL1641,B1622:B1641,B1636-24)+in_life_term_renew^3*SUMIFS(AL1622:AL1641,B1622:B1641,B1636-36)+in_life_term_renew^4*SUMIFS(AL1622:AL1641,B1622:B1641,B1636-48))</f>
        <v/>
      </c>
      <c r="AN1636" s="40">
        <f>AN1635*(1-IF(B1635&gt;=in_marketplace_from,d_hz_accident*G1635,0))</f>
        <v/>
      </c>
      <c r="AO1636" s="46">
        <f>AN1636*IF(B1636&gt;=in_marketplace_from,d_hz_accident*G1636,0)</f>
        <v/>
      </c>
      <c r="AP1636" s="14">
        <f>F1636*AO1636*in_accident_ticket*in_accident_comm*in_ins_partner_share+F1636*in_accident_ticket*in_accident_renew_comm*in_ins_partner_share*(in_accident_renew^1*SUMIFS(AO1622:AO1641,B1622:B1641,B1636-12)+in_accident_renew^2*SUMIFS(AO1622:AO1641,B1622:B1641,B1636-24)+in_accident_renew^3*SUMIFS(AO1622:AO1641,B1622:B1641,B1636-36)+in_accident_renew^4*SUMIFS(AO1622:AO1641,B1622:B1641,B1636-48))</f>
        <v/>
      </c>
      <c r="AQ1636" s="40">
        <f>AQ1635*(1-IF(B1635&gt;=in_marketplace_from,d_hz_two_wheeler*G1635,0))</f>
        <v/>
      </c>
      <c r="AR1636" s="46">
        <f>AQ1636*IF(B1636&gt;=in_marketplace_from,d_hz_two_wheeler*G1636,0)</f>
        <v/>
      </c>
      <c r="AS1636" s="14">
        <f>F1636*AR1636*in_two_wheeler_ticket*in_two_wheeler_comm*in_ins_partner_share+F1636*in_two_wheeler_ticket*in_two_wheeler_comm*in_ins_partner_share*(in_two_wheeler_renew^1*SUMIFS(AR1622:AR1641,B1622:B1641,B1636-12)+in_two_wheeler_renew^2*SUMIFS(AR1622:AR1641,B1622:B1641,B1636-24)+in_two_wheeler_renew^3*SUMIFS(AR1622:AR1641,B1622:B1641,B1636-36)+in_two_wheeler_renew^4*SUMIFS(AR1622:AR1641,B1622:B1641,B1636-48))</f>
        <v/>
      </c>
      <c r="AT1636" s="40">
        <f>AT1635*(1-IF(B1635&gt;=in_marketplace_from,d_hz_device*G1635,0))</f>
        <v/>
      </c>
      <c r="AU1636" s="14">
        <f>F1636*AT1636*IF(B1636&gt;=in_marketplace_from,d_hz_device*G1636,0)*in_device_ticket*in_device_comm*in_ins_partner_share</f>
        <v/>
      </c>
      <c r="AV1636" s="40">
        <f>AV1635*(1-IF(B1635&gt;=in_marketplace_from,d_hz_shop*G1635,0))</f>
        <v/>
      </c>
      <c r="AW1636" s="46">
        <f>AV1636*IF(B1636&gt;=in_marketplace_from,d_hz_shop*G1636,0)</f>
        <v/>
      </c>
      <c r="AX1636" s="14">
        <f>F1636*AW1636*in_shop_ticket*in_shop_comm*in_ins_partner_share+F1636*in_shop_ticket*in_shop_renew_comm*in_ins_partner_share*(in_shop_renew^1*SUMIFS(AW1622:AW1641,B1622:B1641,B1636-12)+in_shop_renew^2*SUMIFS(AW1622:AW1641,B1622:B1641,B1636-24)+in_shop_renew^3*SUMIFS(AW1622:AW1641,B1622:B1641,B1636-36)+in_shop_renew^4*SUMIFS(AW1622:AW1641,B1622:B1641,B1636-48))</f>
        <v/>
      </c>
      <c r="AY1636" s="40">
        <f>AY1635*(1-IF(B1635&gt;=in_marketplace_from,d_hz_sip*G1635,0))</f>
        <v/>
      </c>
      <c r="AZ1636" s="40">
        <f>AZ1635*d_rho_sip+AY1636*IF(B1636&gt;=in_marketplace_from,d_hz_sip*G1636,0)</f>
        <v/>
      </c>
      <c r="BA1636" s="40">
        <f>d_rho_sip*(BA1635+AZ1635)</f>
        <v/>
      </c>
      <c r="BB1636" s="14">
        <f>F1636*in_sip_ticket*(BA1636+0.5*AZ1636)*in_sip_comm/12</f>
        <v/>
      </c>
      <c r="BC1636" s="40">
        <f>BC1635*(1-IF(B1635&gt;=in_marketplace_from,d_hz_choti*G1635,0))</f>
        <v/>
      </c>
      <c r="BD1636" s="46">
        <f>BC1636*IF(B1636&gt;=in_marketplace_from,d_hz_choti*G1636,0)</f>
        <v/>
      </c>
      <c r="BE1636" s="14">
        <f>F1636*SUMIFS(BD1622:BD1641,B1622:B1641,B1636-in_choti_months)*in_choti_renew*in_choti_ticket</f>
        <v/>
      </c>
      <c r="BF1636" s="40">
        <f>BF1635*(1-IF(B1635&gt;=in_marketplace_from,d_hz_nps*G1635,0))</f>
        <v/>
      </c>
      <c r="BG1636" s="14">
        <f>F1636*BF1636*IF(B1636&gt;=in_marketplace_from,d_hz_nps*G1636,0)*in_nps_ticket*in_nps_comm</f>
        <v/>
      </c>
      <c r="BH1636" s="40">
        <f>BH1635*(1-IF(B1635&gt;=in_marketplace_from,d_hz_gold*G1635,0))</f>
        <v/>
      </c>
      <c r="BI1636" s="40">
        <f>BI1635*d_rho_gold+BH1636*IF(B1636&gt;=in_marketplace_from,d_hz_gold*G1636,0)</f>
        <v/>
      </c>
      <c r="BJ1636" s="14">
        <f>F1636*BI1636*in_gold_ticket*in_gold_comm</f>
        <v/>
      </c>
      <c r="BK1636" s="40">
        <f>BK1635*(1-IF(B1635&gt;=in_marketplace_from,d_hz_fd*G1635,0))</f>
        <v/>
      </c>
      <c r="BL1636" s="14">
        <f>F1636*BK1636*IF(B1636&gt;=in_marketplace_from,d_hz_fd*G1636,0)*in_fd_ticket*in_fd_comm</f>
        <v/>
      </c>
      <c r="BM1636" s="40">
        <f>BM1635*(1-IF(B1635&gt;=in_marketplace_from,d_hz_recharge*G1635,0))</f>
        <v/>
      </c>
      <c r="BN1636" s="40">
        <f>BN1635*d_rho_recharge+BM1636*IF(B1636&gt;=in_marketplace_from,d_hz_recharge*G1636,0)</f>
        <v/>
      </c>
      <c r="BO1636" s="14">
        <f>F1636*BN1636*in_recharge_ticket*in_recharge_comm/12</f>
        <v/>
      </c>
      <c r="BP1636" s="40">
        <f>BP1635*(1-IF(B1635&gt;=in_marketplace_from,d_hz_bills*G1635,0))</f>
        <v/>
      </c>
      <c r="BQ1636" s="40">
        <f>BQ1635*d_rho_bills+BP1636*IF(B1636&gt;=in_marketplace_from,d_hz_bills*G1636,0)</f>
        <v/>
      </c>
      <c r="BR1636" s="14">
        <f>F1636*BQ1636*in_bills_ticket*in_bills_comm/12</f>
        <v/>
      </c>
      <c r="BS1636" s="40">
        <f>BS1635*(1-IF(B1635&gt;=in_marketplace_from,d_hz_loan_gold*G1635,0))</f>
        <v/>
      </c>
      <c r="BT1636" s="14">
        <f>F1636*BS1636*IF(B1636&gt;=in_marketplace_from,d_hz_loan_gold*G1636,0)*in_loan_gold_ticket*in_loan_gold_comm</f>
        <v/>
      </c>
      <c r="BU1636" s="40">
        <f>BU1635*(1-IF(B1635&gt;=in_marketplace_from,d_hz_loan_cd*G1635,0))</f>
        <v/>
      </c>
      <c r="BV1636" s="14">
        <f>F1636*BU1636*IF(B1636&gt;=in_marketplace_from,d_hz_loan_cd*G1636,0)*in_loan_cd_ticket*in_loan_cd_comm</f>
        <v/>
      </c>
      <c r="BW1636" s="40">
        <f>BW1635*(1-IF(B1635&gt;=in_marketplace_from,d_hz_loan_vehicle*G1635,0))</f>
        <v/>
      </c>
      <c r="BX1636" s="14">
        <f>F1636*BW1636*IF(B1636&gt;=in_marketplace_from,d_hz_loan_vehicle*G1636,0)*in_loan_vehicle_ticket*in_loan_vehicle_comm</f>
        <v/>
      </c>
      <c r="BY1636" s="40">
        <f>BY1635*(1-IF(B1635&gt;=in_marketplace_from,d_hz_loan_home*G1635,0)*BZ1635)</f>
        <v/>
      </c>
      <c r="BZ1636" s="11">
        <f>MIN(in_approval_cap,in_loan_home_approval*INDEX('Age profile'!$O$2:$O$61,B1636)*(1+in_approval_growth)^(D1636-1))</f>
        <v/>
      </c>
      <c r="CA1636" s="14">
        <f>F1636*BY1636*IF(B1636&gt;=in_marketplace_from,d_hz_loan_home*G1636,0)*BZ1636*in_loan_home_ticket*in_loan_home_comm</f>
        <v/>
      </c>
      <c r="CB1636" s="40">
        <f>CB1635*(1-IF(B1635&gt;=in_marketplace_from,d_hz_loan_lap*G1635,0)*CC1635)</f>
        <v/>
      </c>
      <c r="CC1636" s="11">
        <f>MIN(in_approval_cap,in_loan_lap_approval*INDEX('Age profile'!$O$2:$O$61,B1636)*(1+in_approval_growth)^(D1636-1))</f>
        <v/>
      </c>
      <c r="CD1636" s="14">
        <f>F1636*CB1636*IF(B1636&gt;=in_marketplace_from,d_hz_loan_lap*G1636,0)*CC1636*in_loan_lap_ticket*in_loan_lap_comm</f>
        <v/>
      </c>
      <c r="CE1636" s="14">
        <f>AA1636+AB1636+AC1636+AD1636+AG1636+AJ1636+AM1636+AP1636+AS1636+AU1636+AX1636+BB1636+BE1636+BG1636+BJ1636+BL1636+BO1636+BR1636+BT1636+BV1636+BX1636+CA1636+CD1636</f>
        <v/>
      </c>
    </row>
    <row r="1637">
      <c r="A1637" s="39" t="n">
        <v>41</v>
      </c>
      <c r="B1637" s="39" t="n">
        <v>16</v>
      </c>
      <c r="C1637" s="39">
        <f>A1637+B1637-1</f>
        <v/>
      </c>
      <c r="D1637" s="39">
        <f>INT((C1637-1)/12)+1</f>
        <v/>
      </c>
      <c r="E1637" s="44">
        <f>INDEX(Monthly!$B$2:$B$61,A1637)</f>
        <v/>
      </c>
      <c r="F1637" s="44">
        <f>E1637*INDEX('Age profile'!$B$2:$B$61,B1637)</f>
        <v/>
      </c>
      <c r="G1637" s="45">
        <f>MIN(in_takeup_cap,INDEX('Age profile'!$N$2:$N$61,B1637)*(1+in_takeup_growth)^(D1637-1))</f>
        <v/>
      </c>
      <c r="H1637" s="11">
        <f>MIN(in_approval_cap,in_approved_first*INDEX('Age profile'!$O$2:$O$61,B1637)*(1+in_approval_growth)^(D1637-1))</f>
        <v/>
      </c>
      <c r="I1637" s="45">
        <f>G1637*MIN(in_takeup_cap,INDEX('Age profile'!$O$2:$O$61,B1637)*(1+in_approval_growth)^(D1637-1))</f>
        <v/>
      </c>
      <c r="J1637" s="40">
        <f>(J1636-L1636)*F1637/F1636</f>
        <v/>
      </c>
      <c r="K1637" s="40">
        <f>(K1636-M1636)*F1637/F1636+SUMIFS(O1622:O1636,B1622:B1636,B1637-1-d_T)*F1637</f>
        <v/>
      </c>
      <c r="L1637" s="40">
        <f>IF(B1637&gt;=in_marketplace_from,J1637*d_hz*G1637*in_eligible*H1637,0)</f>
        <v/>
      </c>
      <c r="M1637" s="40">
        <f>IF(B1637&gt;=in_marketplace_from,K1637*d_hz*G1637*in_eligible*in_approved_repeat,0)</f>
        <v/>
      </c>
      <c r="N1637" s="40">
        <f>L1637+M1637</f>
        <v/>
      </c>
      <c r="O1637" s="46">
        <f>N1637/F1637</f>
        <v/>
      </c>
      <c r="P1637" s="40">
        <f>F1637-J1637-K1637</f>
        <v/>
      </c>
      <c r="Q1637" s="40">
        <f>IF(B1637&gt;=in_marketplace_from,(J1637+K1637)*d_hz*G1637,0)</f>
        <v/>
      </c>
      <c r="R1637" s="40">
        <f>SUMIFS(N1622:N1641,B1622:B1641,"&gt;="&amp;(B1637-d_T),B1622:B1641,"&lt;="&amp;(B1637-1))</f>
        <v/>
      </c>
      <c r="S1637" s="46">
        <f>(1-d_u)*S1636+IF(d_T&gt;in_topup_lag,SUMIFS(O1622:O1641,B1622:B1641,B1637-in_topup_lag)-d_udrop*SUMIFS(O1622:O1641,B1622:B1641,B1637-d_T),0)</f>
        <v/>
      </c>
      <c r="T1637" s="40">
        <f>F1637*d_u*S1637</f>
        <v/>
      </c>
      <c r="U1637" s="9">
        <f>L1637*in_ticket+M1637*d_rep_ticket</f>
        <v/>
      </c>
      <c r="V1637" s="9">
        <f>U1637+T1637*d_topup_amt</f>
        <v/>
      </c>
      <c r="W1637" s="40">
        <f>N1637+T1637*d_topup_ratio</f>
        <v/>
      </c>
      <c r="X1637" s="40">
        <f>SUMIFS(W1622:W1641,B1622:B1641,B1637-in_dpd_lag)*d_cured</f>
        <v/>
      </c>
      <c r="Y1637" s="40">
        <f>SUMIFS(W1622:W1641,B1622:B1641,B1637-in_rec_lag)*d_recd</f>
        <v/>
      </c>
      <c r="Z1637" s="40">
        <f>IF(AND(B1637&gt;=in_marketplace_from,B1637&lt;in_marketplace_from+in_card_months),in_card_share/in_card_months*F1637*I1637,IF(AND(B1637&gt;=in_marketplace_from+in_card_months,B1637&lt;in_marketplace_from+2*in_card_months),in_card_share*d_card_rem/in_card_months*F1637*MIN(in_takeup_cap,(1+in_takeup_growth)^(D1637-1))*MIN(in_takeup_cap,(1+in_approval_growth)^(D1637-1)),0))</f>
        <v/>
      </c>
      <c r="AA1637" s="14">
        <f>V1637*in_fee*(1-in_taken_back)</f>
        <v/>
      </c>
      <c r="AB1637" s="14">
        <f>SUMIFS(W1622:W1641,B1622:B1641,B1637-in_dpd_lag)*d_dpd</f>
        <v/>
      </c>
      <c r="AC1637" s="14">
        <f>SUMIFS(W1622:W1641,B1622:B1641,B1637-in_rec_lag)*d_rec</f>
        <v/>
      </c>
      <c r="AD1637" s="14">
        <f>Z1637*in_card_fee</f>
        <v/>
      </c>
      <c r="AE1637" s="40">
        <f>AE1636*(1-IF(B1636&gt;=in_marketplace_from,d_hz_hlth_small*G1636,0))</f>
        <v/>
      </c>
      <c r="AF1637" s="46">
        <f>AE1637*IF(B1637&gt;=in_marketplace_from,d_hz_hlth_small*G1637,0)</f>
        <v/>
      </c>
      <c r="AG1637" s="14">
        <f>F1637*AF1637*in_hlth_small_ticket*in_hlth_small_comm*in_ins_partner_share+F1637*in_hlth_small_ticket*in_hlth_small_renew_comm*in_ins_partner_share*(in_hlth_small_renew^1*SUMIFS(AF1622:AF1641,B1622:B1641,B1637-12)+in_hlth_small_renew^2*SUMIFS(AF1622:AF1641,B1622:B1641,B1637-24)+in_hlth_small_renew^3*SUMIFS(AF1622:AF1641,B1622:B1641,B1637-36)+in_hlth_small_renew^4*SUMIFS(AF1622:AF1641,B1622:B1641,B1637-48))</f>
        <v/>
      </c>
      <c r="AH1637" s="40">
        <f>AH1636*(1-IF(B1636&gt;=in_marketplace_from,d_hz_hlth_family*G1636,0))</f>
        <v/>
      </c>
      <c r="AI1637" s="46">
        <f>AH1637*IF(B1637&gt;=in_marketplace_from,d_hz_hlth_family*G1637,0)</f>
        <v/>
      </c>
      <c r="AJ1637" s="14">
        <f>F1637*AI1637*in_hlth_family_ticket*in_hlth_family_comm*in_ins_partner_share+F1637*in_hlth_family_ticket*in_hlth_family_renew_comm*in_ins_partner_share*(in_hlth_family_renew^1*SUMIFS(AI1622:AI1641,B1622:B1641,B1637-12)+in_hlth_family_renew^2*SUMIFS(AI1622:AI1641,B1622:B1641,B1637-24)+in_hlth_family_renew^3*SUMIFS(AI1622:AI1641,B1622:B1641,B1637-36)+in_hlth_family_renew^4*SUMIFS(AI1622:AI1641,B1622:B1641,B1637-48))</f>
        <v/>
      </c>
      <c r="AK1637" s="40">
        <f>AK1636*(1-IF(B1636&gt;=in_marketplace_from,d_hz_life_term*G1636,0))</f>
        <v/>
      </c>
      <c r="AL1637" s="46">
        <f>AK1637*IF(B1637&gt;=in_marketplace_from,d_hz_life_term*G1637,0)</f>
        <v/>
      </c>
      <c r="AM1637" s="14">
        <f>F1637*AL1637*in_life_term_ticket*in_life_term_comm*in_ins_partner_share+F1637*in_life_term_ticket*in_life_term_renew_comm*in_ins_partner_share*(in_life_term_renew^1*SUMIFS(AL1622:AL1641,B1622:B1641,B1637-12)+in_life_term_renew^2*SUMIFS(AL1622:AL1641,B1622:B1641,B1637-24)+in_life_term_renew^3*SUMIFS(AL1622:AL1641,B1622:B1641,B1637-36)+in_life_term_renew^4*SUMIFS(AL1622:AL1641,B1622:B1641,B1637-48))</f>
        <v/>
      </c>
      <c r="AN1637" s="40">
        <f>AN1636*(1-IF(B1636&gt;=in_marketplace_from,d_hz_accident*G1636,0))</f>
        <v/>
      </c>
      <c r="AO1637" s="46">
        <f>AN1637*IF(B1637&gt;=in_marketplace_from,d_hz_accident*G1637,0)</f>
        <v/>
      </c>
      <c r="AP1637" s="14">
        <f>F1637*AO1637*in_accident_ticket*in_accident_comm*in_ins_partner_share+F1637*in_accident_ticket*in_accident_renew_comm*in_ins_partner_share*(in_accident_renew^1*SUMIFS(AO1622:AO1641,B1622:B1641,B1637-12)+in_accident_renew^2*SUMIFS(AO1622:AO1641,B1622:B1641,B1637-24)+in_accident_renew^3*SUMIFS(AO1622:AO1641,B1622:B1641,B1637-36)+in_accident_renew^4*SUMIFS(AO1622:AO1641,B1622:B1641,B1637-48))</f>
        <v/>
      </c>
      <c r="AQ1637" s="40">
        <f>AQ1636*(1-IF(B1636&gt;=in_marketplace_from,d_hz_two_wheeler*G1636,0))</f>
        <v/>
      </c>
      <c r="AR1637" s="46">
        <f>AQ1637*IF(B1637&gt;=in_marketplace_from,d_hz_two_wheeler*G1637,0)</f>
        <v/>
      </c>
      <c r="AS1637" s="14">
        <f>F1637*AR1637*in_two_wheeler_ticket*in_two_wheeler_comm*in_ins_partner_share+F1637*in_two_wheeler_ticket*in_two_wheeler_comm*in_ins_partner_share*(in_two_wheeler_renew^1*SUMIFS(AR1622:AR1641,B1622:B1641,B1637-12)+in_two_wheeler_renew^2*SUMIFS(AR1622:AR1641,B1622:B1641,B1637-24)+in_two_wheeler_renew^3*SUMIFS(AR1622:AR1641,B1622:B1641,B1637-36)+in_two_wheeler_renew^4*SUMIFS(AR1622:AR1641,B1622:B1641,B1637-48))</f>
        <v/>
      </c>
      <c r="AT1637" s="40">
        <f>AT1636*(1-IF(B1636&gt;=in_marketplace_from,d_hz_device*G1636,0))</f>
        <v/>
      </c>
      <c r="AU1637" s="14">
        <f>F1637*AT1637*IF(B1637&gt;=in_marketplace_from,d_hz_device*G1637,0)*in_device_ticket*in_device_comm*in_ins_partner_share</f>
        <v/>
      </c>
      <c r="AV1637" s="40">
        <f>AV1636*(1-IF(B1636&gt;=in_marketplace_from,d_hz_shop*G1636,0))</f>
        <v/>
      </c>
      <c r="AW1637" s="46">
        <f>AV1637*IF(B1637&gt;=in_marketplace_from,d_hz_shop*G1637,0)</f>
        <v/>
      </c>
      <c r="AX1637" s="14">
        <f>F1637*AW1637*in_shop_ticket*in_shop_comm*in_ins_partner_share+F1637*in_shop_ticket*in_shop_renew_comm*in_ins_partner_share*(in_shop_renew^1*SUMIFS(AW1622:AW1641,B1622:B1641,B1637-12)+in_shop_renew^2*SUMIFS(AW1622:AW1641,B1622:B1641,B1637-24)+in_shop_renew^3*SUMIFS(AW1622:AW1641,B1622:B1641,B1637-36)+in_shop_renew^4*SUMIFS(AW1622:AW1641,B1622:B1641,B1637-48))</f>
        <v/>
      </c>
      <c r="AY1637" s="40">
        <f>AY1636*(1-IF(B1636&gt;=in_marketplace_from,d_hz_sip*G1636,0))</f>
        <v/>
      </c>
      <c r="AZ1637" s="40">
        <f>AZ1636*d_rho_sip+AY1637*IF(B1637&gt;=in_marketplace_from,d_hz_sip*G1637,0)</f>
        <v/>
      </c>
      <c r="BA1637" s="40">
        <f>d_rho_sip*(BA1636+AZ1636)</f>
        <v/>
      </c>
      <c r="BB1637" s="14">
        <f>F1637*in_sip_ticket*(BA1637+0.5*AZ1637)*in_sip_comm/12</f>
        <v/>
      </c>
      <c r="BC1637" s="40">
        <f>BC1636*(1-IF(B1636&gt;=in_marketplace_from,d_hz_choti*G1636,0))</f>
        <v/>
      </c>
      <c r="BD1637" s="46">
        <f>BC1637*IF(B1637&gt;=in_marketplace_from,d_hz_choti*G1637,0)</f>
        <v/>
      </c>
      <c r="BE1637" s="14">
        <f>F1637*SUMIFS(BD1622:BD1641,B1622:B1641,B1637-in_choti_months)*in_choti_renew*in_choti_ticket</f>
        <v/>
      </c>
      <c r="BF1637" s="40">
        <f>BF1636*(1-IF(B1636&gt;=in_marketplace_from,d_hz_nps*G1636,0))</f>
        <v/>
      </c>
      <c r="BG1637" s="14">
        <f>F1637*BF1637*IF(B1637&gt;=in_marketplace_from,d_hz_nps*G1637,0)*in_nps_ticket*in_nps_comm</f>
        <v/>
      </c>
      <c r="BH1637" s="40">
        <f>BH1636*(1-IF(B1636&gt;=in_marketplace_from,d_hz_gold*G1636,0))</f>
        <v/>
      </c>
      <c r="BI1637" s="40">
        <f>BI1636*d_rho_gold+BH1637*IF(B1637&gt;=in_marketplace_from,d_hz_gold*G1637,0)</f>
        <v/>
      </c>
      <c r="BJ1637" s="14">
        <f>F1637*BI1637*in_gold_ticket*in_gold_comm</f>
        <v/>
      </c>
      <c r="BK1637" s="40">
        <f>BK1636*(1-IF(B1636&gt;=in_marketplace_from,d_hz_fd*G1636,0))</f>
        <v/>
      </c>
      <c r="BL1637" s="14">
        <f>F1637*BK1637*IF(B1637&gt;=in_marketplace_from,d_hz_fd*G1637,0)*in_fd_ticket*in_fd_comm</f>
        <v/>
      </c>
      <c r="BM1637" s="40">
        <f>BM1636*(1-IF(B1636&gt;=in_marketplace_from,d_hz_recharge*G1636,0))</f>
        <v/>
      </c>
      <c r="BN1637" s="40">
        <f>BN1636*d_rho_recharge+BM1637*IF(B1637&gt;=in_marketplace_from,d_hz_recharge*G1637,0)</f>
        <v/>
      </c>
      <c r="BO1637" s="14">
        <f>F1637*BN1637*in_recharge_ticket*in_recharge_comm/12</f>
        <v/>
      </c>
      <c r="BP1637" s="40">
        <f>BP1636*(1-IF(B1636&gt;=in_marketplace_from,d_hz_bills*G1636,0))</f>
        <v/>
      </c>
      <c r="BQ1637" s="40">
        <f>BQ1636*d_rho_bills+BP1637*IF(B1637&gt;=in_marketplace_from,d_hz_bills*G1637,0)</f>
        <v/>
      </c>
      <c r="BR1637" s="14">
        <f>F1637*BQ1637*in_bills_ticket*in_bills_comm/12</f>
        <v/>
      </c>
      <c r="BS1637" s="40">
        <f>BS1636*(1-IF(B1636&gt;=in_marketplace_from,d_hz_loan_gold*G1636,0))</f>
        <v/>
      </c>
      <c r="BT1637" s="14">
        <f>F1637*BS1637*IF(B1637&gt;=in_marketplace_from,d_hz_loan_gold*G1637,0)*in_loan_gold_ticket*in_loan_gold_comm</f>
        <v/>
      </c>
      <c r="BU1637" s="40">
        <f>BU1636*(1-IF(B1636&gt;=in_marketplace_from,d_hz_loan_cd*G1636,0))</f>
        <v/>
      </c>
      <c r="BV1637" s="14">
        <f>F1637*BU1637*IF(B1637&gt;=in_marketplace_from,d_hz_loan_cd*G1637,0)*in_loan_cd_ticket*in_loan_cd_comm</f>
        <v/>
      </c>
      <c r="BW1637" s="40">
        <f>BW1636*(1-IF(B1636&gt;=in_marketplace_from,d_hz_loan_vehicle*G1636,0))</f>
        <v/>
      </c>
      <c r="BX1637" s="14">
        <f>F1637*BW1637*IF(B1637&gt;=in_marketplace_from,d_hz_loan_vehicle*G1637,0)*in_loan_vehicle_ticket*in_loan_vehicle_comm</f>
        <v/>
      </c>
      <c r="BY1637" s="40">
        <f>BY1636*(1-IF(B1636&gt;=in_marketplace_from,d_hz_loan_home*G1636,0)*BZ1636)</f>
        <v/>
      </c>
      <c r="BZ1637" s="11">
        <f>MIN(in_approval_cap,in_loan_home_approval*INDEX('Age profile'!$O$2:$O$61,B1637)*(1+in_approval_growth)^(D1637-1))</f>
        <v/>
      </c>
      <c r="CA1637" s="14">
        <f>F1637*BY1637*IF(B1637&gt;=in_marketplace_from,d_hz_loan_home*G1637,0)*BZ1637*in_loan_home_ticket*in_loan_home_comm</f>
        <v/>
      </c>
      <c r="CB1637" s="40">
        <f>CB1636*(1-IF(B1636&gt;=in_marketplace_from,d_hz_loan_lap*G1636,0)*CC1636)</f>
        <v/>
      </c>
      <c r="CC1637" s="11">
        <f>MIN(in_approval_cap,in_loan_lap_approval*INDEX('Age profile'!$O$2:$O$61,B1637)*(1+in_approval_growth)^(D1637-1))</f>
        <v/>
      </c>
      <c r="CD1637" s="14">
        <f>F1637*CB1637*IF(B1637&gt;=in_marketplace_from,d_hz_loan_lap*G1637,0)*CC1637*in_loan_lap_ticket*in_loan_lap_comm</f>
        <v/>
      </c>
      <c r="CE1637" s="14">
        <f>AA1637+AB1637+AC1637+AD1637+AG1637+AJ1637+AM1637+AP1637+AS1637+AU1637+AX1637+BB1637+BE1637+BG1637+BJ1637+BL1637+BO1637+BR1637+BT1637+BV1637+BX1637+CA1637+CD1637</f>
        <v/>
      </c>
    </row>
    <row r="1638">
      <c r="A1638" s="39" t="n">
        <v>41</v>
      </c>
      <c r="B1638" s="39" t="n">
        <v>17</v>
      </c>
      <c r="C1638" s="39">
        <f>A1638+B1638-1</f>
        <v/>
      </c>
      <c r="D1638" s="39">
        <f>INT((C1638-1)/12)+1</f>
        <v/>
      </c>
      <c r="E1638" s="44">
        <f>INDEX(Monthly!$B$2:$B$61,A1638)</f>
        <v/>
      </c>
      <c r="F1638" s="44">
        <f>E1638*INDEX('Age profile'!$B$2:$B$61,B1638)</f>
        <v/>
      </c>
      <c r="G1638" s="45">
        <f>MIN(in_takeup_cap,INDEX('Age profile'!$N$2:$N$61,B1638)*(1+in_takeup_growth)^(D1638-1))</f>
        <v/>
      </c>
      <c r="H1638" s="11">
        <f>MIN(in_approval_cap,in_approved_first*INDEX('Age profile'!$O$2:$O$61,B1638)*(1+in_approval_growth)^(D1638-1))</f>
        <v/>
      </c>
      <c r="I1638" s="45">
        <f>G1638*MIN(in_takeup_cap,INDEX('Age profile'!$O$2:$O$61,B1638)*(1+in_approval_growth)^(D1638-1))</f>
        <v/>
      </c>
      <c r="J1638" s="40">
        <f>(J1637-L1637)*F1638/F1637</f>
        <v/>
      </c>
      <c r="K1638" s="40">
        <f>(K1637-M1637)*F1638/F1637+SUMIFS(O1622:O1637,B1622:B1637,B1638-1-d_T)*F1638</f>
        <v/>
      </c>
      <c r="L1638" s="40">
        <f>IF(B1638&gt;=in_marketplace_from,J1638*d_hz*G1638*in_eligible*H1638,0)</f>
        <v/>
      </c>
      <c r="M1638" s="40">
        <f>IF(B1638&gt;=in_marketplace_from,K1638*d_hz*G1638*in_eligible*in_approved_repeat,0)</f>
        <v/>
      </c>
      <c r="N1638" s="40">
        <f>L1638+M1638</f>
        <v/>
      </c>
      <c r="O1638" s="46">
        <f>N1638/F1638</f>
        <v/>
      </c>
      <c r="P1638" s="40">
        <f>F1638-J1638-K1638</f>
        <v/>
      </c>
      <c r="Q1638" s="40">
        <f>IF(B1638&gt;=in_marketplace_from,(J1638+K1638)*d_hz*G1638,0)</f>
        <v/>
      </c>
      <c r="R1638" s="40">
        <f>SUMIFS(N1622:N1641,B1622:B1641,"&gt;="&amp;(B1638-d_T),B1622:B1641,"&lt;="&amp;(B1638-1))</f>
        <v/>
      </c>
      <c r="S1638" s="46">
        <f>(1-d_u)*S1637+IF(d_T&gt;in_topup_lag,SUMIFS(O1622:O1641,B1622:B1641,B1638-in_topup_lag)-d_udrop*SUMIFS(O1622:O1641,B1622:B1641,B1638-d_T),0)</f>
        <v/>
      </c>
      <c r="T1638" s="40">
        <f>F1638*d_u*S1638</f>
        <v/>
      </c>
      <c r="U1638" s="9">
        <f>L1638*in_ticket+M1638*d_rep_ticket</f>
        <v/>
      </c>
      <c r="V1638" s="9">
        <f>U1638+T1638*d_topup_amt</f>
        <v/>
      </c>
      <c r="W1638" s="40">
        <f>N1638+T1638*d_topup_ratio</f>
        <v/>
      </c>
      <c r="X1638" s="40">
        <f>SUMIFS(W1622:W1641,B1622:B1641,B1638-in_dpd_lag)*d_cured</f>
        <v/>
      </c>
      <c r="Y1638" s="40">
        <f>SUMIFS(W1622:W1641,B1622:B1641,B1638-in_rec_lag)*d_recd</f>
        <v/>
      </c>
      <c r="Z1638" s="40">
        <f>IF(AND(B1638&gt;=in_marketplace_from,B1638&lt;in_marketplace_from+in_card_months),in_card_share/in_card_months*F1638*I1638,IF(AND(B1638&gt;=in_marketplace_from+in_card_months,B1638&lt;in_marketplace_from+2*in_card_months),in_card_share*d_card_rem/in_card_months*F1638*MIN(in_takeup_cap,(1+in_takeup_growth)^(D1638-1))*MIN(in_takeup_cap,(1+in_approval_growth)^(D1638-1)),0))</f>
        <v/>
      </c>
      <c r="AA1638" s="14">
        <f>V1638*in_fee*(1-in_taken_back)</f>
        <v/>
      </c>
      <c r="AB1638" s="14">
        <f>SUMIFS(W1622:W1641,B1622:B1641,B1638-in_dpd_lag)*d_dpd</f>
        <v/>
      </c>
      <c r="AC1638" s="14">
        <f>SUMIFS(W1622:W1641,B1622:B1641,B1638-in_rec_lag)*d_rec</f>
        <v/>
      </c>
      <c r="AD1638" s="14">
        <f>Z1638*in_card_fee</f>
        <v/>
      </c>
      <c r="AE1638" s="40">
        <f>AE1637*(1-IF(B1637&gt;=in_marketplace_from,d_hz_hlth_small*G1637,0))</f>
        <v/>
      </c>
      <c r="AF1638" s="46">
        <f>AE1638*IF(B1638&gt;=in_marketplace_from,d_hz_hlth_small*G1638,0)</f>
        <v/>
      </c>
      <c r="AG1638" s="14">
        <f>F1638*AF1638*in_hlth_small_ticket*in_hlth_small_comm*in_ins_partner_share+F1638*in_hlth_small_ticket*in_hlth_small_renew_comm*in_ins_partner_share*(in_hlth_small_renew^1*SUMIFS(AF1622:AF1641,B1622:B1641,B1638-12)+in_hlth_small_renew^2*SUMIFS(AF1622:AF1641,B1622:B1641,B1638-24)+in_hlth_small_renew^3*SUMIFS(AF1622:AF1641,B1622:B1641,B1638-36)+in_hlth_small_renew^4*SUMIFS(AF1622:AF1641,B1622:B1641,B1638-48))</f>
        <v/>
      </c>
      <c r="AH1638" s="40">
        <f>AH1637*(1-IF(B1637&gt;=in_marketplace_from,d_hz_hlth_family*G1637,0))</f>
        <v/>
      </c>
      <c r="AI1638" s="46">
        <f>AH1638*IF(B1638&gt;=in_marketplace_from,d_hz_hlth_family*G1638,0)</f>
        <v/>
      </c>
      <c r="AJ1638" s="14">
        <f>F1638*AI1638*in_hlth_family_ticket*in_hlth_family_comm*in_ins_partner_share+F1638*in_hlth_family_ticket*in_hlth_family_renew_comm*in_ins_partner_share*(in_hlth_family_renew^1*SUMIFS(AI1622:AI1641,B1622:B1641,B1638-12)+in_hlth_family_renew^2*SUMIFS(AI1622:AI1641,B1622:B1641,B1638-24)+in_hlth_family_renew^3*SUMIFS(AI1622:AI1641,B1622:B1641,B1638-36)+in_hlth_family_renew^4*SUMIFS(AI1622:AI1641,B1622:B1641,B1638-48))</f>
        <v/>
      </c>
      <c r="AK1638" s="40">
        <f>AK1637*(1-IF(B1637&gt;=in_marketplace_from,d_hz_life_term*G1637,0))</f>
        <v/>
      </c>
      <c r="AL1638" s="46">
        <f>AK1638*IF(B1638&gt;=in_marketplace_from,d_hz_life_term*G1638,0)</f>
        <v/>
      </c>
      <c r="AM1638" s="14">
        <f>F1638*AL1638*in_life_term_ticket*in_life_term_comm*in_ins_partner_share+F1638*in_life_term_ticket*in_life_term_renew_comm*in_ins_partner_share*(in_life_term_renew^1*SUMIFS(AL1622:AL1641,B1622:B1641,B1638-12)+in_life_term_renew^2*SUMIFS(AL1622:AL1641,B1622:B1641,B1638-24)+in_life_term_renew^3*SUMIFS(AL1622:AL1641,B1622:B1641,B1638-36)+in_life_term_renew^4*SUMIFS(AL1622:AL1641,B1622:B1641,B1638-48))</f>
        <v/>
      </c>
      <c r="AN1638" s="40">
        <f>AN1637*(1-IF(B1637&gt;=in_marketplace_from,d_hz_accident*G1637,0))</f>
        <v/>
      </c>
      <c r="AO1638" s="46">
        <f>AN1638*IF(B1638&gt;=in_marketplace_from,d_hz_accident*G1638,0)</f>
        <v/>
      </c>
      <c r="AP1638" s="14">
        <f>F1638*AO1638*in_accident_ticket*in_accident_comm*in_ins_partner_share+F1638*in_accident_ticket*in_accident_renew_comm*in_ins_partner_share*(in_accident_renew^1*SUMIFS(AO1622:AO1641,B1622:B1641,B1638-12)+in_accident_renew^2*SUMIFS(AO1622:AO1641,B1622:B1641,B1638-24)+in_accident_renew^3*SUMIFS(AO1622:AO1641,B1622:B1641,B1638-36)+in_accident_renew^4*SUMIFS(AO1622:AO1641,B1622:B1641,B1638-48))</f>
        <v/>
      </c>
      <c r="AQ1638" s="40">
        <f>AQ1637*(1-IF(B1637&gt;=in_marketplace_from,d_hz_two_wheeler*G1637,0))</f>
        <v/>
      </c>
      <c r="AR1638" s="46">
        <f>AQ1638*IF(B1638&gt;=in_marketplace_from,d_hz_two_wheeler*G1638,0)</f>
        <v/>
      </c>
      <c r="AS1638" s="14">
        <f>F1638*AR1638*in_two_wheeler_ticket*in_two_wheeler_comm*in_ins_partner_share+F1638*in_two_wheeler_ticket*in_two_wheeler_comm*in_ins_partner_share*(in_two_wheeler_renew^1*SUMIFS(AR1622:AR1641,B1622:B1641,B1638-12)+in_two_wheeler_renew^2*SUMIFS(AR1622:AR1641,B1622:B1641,B1638-24)+in_two_wheeler_renew^3*SUMIFS(AR1622:AR1641,B1622:B1641,B1638-36)+in_two_wheeler_renew^4*SUMIFS(AR1622:AR1641,B1622:B1641,B1638-48))</f>
        <v/>
      </c>
      <c r="AT1638" s="40">
        <f>AT1637*(1-IF(B1637&gt;=in_marketplace_from,d_hz_device*G1637,0))</f>
        <v/>
      </c>
      <c r="AU1638" s="14">
        <f>F1638*AT1638*IF(B1638&gt;=in_marketplace_from,d_hz_device*G1638,0)*in_device_ticket*in_device_comm*in_ins_partner_share</f>
        <v/>
      </c>
      <c r="AV1638" s="40">
        <f>AV1637*(1-IF(B1637&gt;=in_marketplace_from,d_hz_shop*G1637,0))</f>
        <v/>
      </c>
      <c r="AW1638" s="46">
        <f>AV1638*IF(B1638&gt;=in_marketplace_from,d_hz_shop*G1638,0)</f>
        <v/>
      </c>
      <c r="AX1638" s="14">
        <f>F1638*AW1638*in_shop_ticket*in_shop_comm*in_ins_partner_share+F1638*in_shop_ticket*in_shop_renew_comm*in_ins_partner_share*(in_shop_renew^1*SUMIFS(AW1622:AW1641,B1622:B1641,B1638-12)+in_shop_renew^2*SUMIFS(AW1622:AW1641,B1622:B1641,B1638-24)+in_shop_renew^3*SUMIFS(AW1622:AW1641,B1622:B1641,B1638-36)+in_shop_renew^4*SUMIFS(AW1622:AW1641,B1622:B1641,B1638-48))</f>
        <v/>
      </c>
      <c r="AY1638" s="40">
        <f>AY1637*(1-IF(B1637&gt;=in_marketplace_from,d_hz_sip*G1637,0))</f>
        <v/>
      </c>
      <c r="AZ1638" s="40">
        <f>AZ1637*d_rho_sip+AY1638*IF(B1638&gt;=in_marketplace_from,d_hz_sip*G1638,0)</f>
        <v/>
      </c>
      <c r="BA1638" s="40">
        <f>d_rho_sip*(BA1637+AZ1637)</f>
        <v/>
      </c>
      <c r="BB1638" s="14">
        <f>F1638*in_sip_ticket*(BA1638+0.5*AZ1638)*in_sip_comm/12</f>
        <v/>
      </c>
      <c r="BC1638" s="40">
        <f>BC1637*(1-IF(B1637&gt;=in_marketplace_from,d_hz_choti*G1637,0))</f>
        <v/>
      </c>
      <c r="BD1638" s="46">
        <f>BC1638*IF(B1638&gt;=in_marketplace_from,d_hz_choti*G1638,0)</f>
        <v/>
      </c>
      <c r="BE1638" s="14">
        <f>F1638*SUMIFS(BD1622:BD1641,B1622:B1641,B1638-in_choti_months)*in_choti_renew*in_choti_ticket</f>
        <v/>
      </c>
      <c r="BF1638" s="40">
        <f>BF1637*(1-IF(B1637&gt;=in_marketplace_from,d_hz_nps*G1637,0))</f>
        <v/>
      </c>
      <c r="BG1638" s="14">
        <f>F1638*BF1638*IF(B1638&gt;=in_marketplace_from,d_hz_nps*G1638,0)*in_nps_ticket*in_nps_comm</f>
        <v/>
      </c>
      <c r="BH1638" s="40">
        <f>BH1637*(1-IF(B1637&gt;=in_marketplace_from,d_hz_gold*G1637,0))</f>
        <v/>
      </c>
      <c r="BI1638" s="40">
        <f>BI1637*d_rho_gold+BH1638*IF(B1638&gt;=in_marketplace_from,d_hz_gold*G1638,0)</f>
        <v/>
      </c>
      <c r="BJ1638" s="14">
        <f>F1638*BI1638*in_gold_ticket*in_gold_comm</f>
        <v/>
      </c>
      <c r="BK1638" s="40">
        <f>BK1637*(1-IF(B1637&gt;=in_marketplace_from,d_hz_fd*G1637,0))</f>
        <v/>
      </c>
      <c r="BL1638" s="14">
        <f>F1638*BK1638*IF(B1638&gt;=in_marketplace_from,d_hz_fd*G1638,0)*in_fd_ticket*in_fd_comm</f>
        <v/>
      </c>
      <c r="BM1638" s="40">
        <f>BM1637*(1-IF(B1637&gt;=in_marketplace_from,d_hz_recharge*G1637,0))</f>
        <v/>
      </c>
      <c r="BN1638" s="40">
        <f>BN1637*d_rho_recharge+BM1638*IF(B1638&gt;=in_marketplace_from,d_hz_recharge*G1638,0)</f>
        <v/>
      </c>
      <c r="BO1638" s="14">
        <f>F1638*BN1638*in_recharge_ticket*in_recharge_comm/12</f>
        <v/>
      </c>
      <c r="BP1638" s="40">
        <f>BP1637*(1-IF(B1637&gt;=in_marketplace_from,d_hz_bills*G1637,0))</f>
        <v/>
      </c>
      <c r="BQ1638" s="40">
        <f>BQ1637*d_rho_bills+BP1638*IF(B1638&gt;=in_marketplace_from,d_hz_bills*G1638,0)</f>
        <v/>
      </c>
      <c r="BR1638" s="14">
        <f>F1638*BQ1638*in_bills_ticket*in_bills_comm/12</f>
        <v/>
      </c>
      <c r="BS1638" s="40">
        <f>BS1637*(1-IF(B1637&gt;=in_marketplace_from,d_hz_loan_gold*G1637,0))</f>
        <v/>
      </c>
      <c r="BT1638" s="14">
        <f>F1638*BS1638*IF(B1638&gt;=in_marketplace_from,d_hz_loan_gold*G1638,0)*in_loan_gold_ticket*in_loan_gold_comm</f>
        <v/>
      </c>
      <c r="BU1638" s="40">
        <f>BU1637*(1-IF(B1637&gt;=in_marketplace_from,d_hz_loan_cd*G1637,0))</f>
        <v/>
      </c>
      <c r="BV1638" s="14">
        <f>F1638*BU1638*IF(B1638&gt;=in_marketplace_from,d_hz_loan_cd*G1638,0)*in_loan_cd_ticket*in_loan_cd_comm</f>
        <v/>
      </c>
      <c r="BW1638" s="40">
        <f>BW1637*(1-IF(B1637&gt;=in_marketplace_from,d_hz_loan_vehicle*G1637,0))</f>
        <v/>
      </c>
      <c r="BX1638" s="14">
        <f>F1638*BW1638*IF(B1638&gt;=in_marketplace_from,d_hz_loan_vehicle*G1638,0)*in_loan_vehicle_ticket*in_loan_vehicle_comm</f>
        <v/>
      </c>
      <c r="BY1638" s="40">
        <f>BY1637*(1-IF(B1637&gt;=in_marketplace_from,d_hz_loan_home*G1637,0)*BZ1637)</f>
        <v/>
      </c>
      <c r="BZ1638" s="11">
        <f>MIN(in_approval_cap,in_loan_home_approval*INDEX('Age profile'!$O$2:$O$61,B1638)*(1+in_approval_growth)^(D1638-1))</f>
        <v/>
      </c>
      <c r="CA1638" s="14">
        <f>F1638*BY1638*IF(B1638&gt;=in_marketplace_from,d_hz_loan_home*G1638,0)*BZ1638*in_loan_home_ticket*in_loan_home_comm</f>
        <v/>
      </c>
      <c r="CB1638" s="40">
        <f>CB1637*(1-IF(B1637&gt;=in_marketplace_from,d_hz_loan_lap*G1637,0)*CC1637)</f>
        <v/>
      </c>
      <c r="CC1638" s="11">
        <f>MIN(in_approval_cap,in_loan_lap_approval*INDEX('Age profile'!$O$2:$O$61,B1638)*(1+in_approval_growth)^(D1638-1))</f>
        <v/>
      </c>
      <c r="CD1638" s="14">
        <f>F1638*CB1638*IF(B1638&gt;=in_marketplace_from,d_hz_loan_lap*G1638,0)*CC1638*in_loan_lap_ticket*in_loan_lap_comm</f>
        <v/>
      </c>
      <c r="CE1638" s="14">
        <f>AA1638+AB1638+AC1638+AD1638+AG1638+AJ1638+AM1638+AP1638+AS1638+AU1638+AX1638+BB1638+BE1638+BG1638+BJ1638+BL1638+BO1638+BR1638+BT1638+BV1638+BX1638+CA1638+CD1638</f>
        <v/>
      </c>
    </row>
    <row r="1639">
      <c r="A1639" s="39" t="n">
        <v>41</v>
      </c>
      <c r="B1639" s="39" t="n">
        <v>18</v>
      </c>
      <c r="C1639" s="39">
        <f>A1639+B1639-1</f>
        <v/>
      </c>
      <c r="D1639" s="39">
        <f>INT((C1639-1)/12)+1</f>
        <v/>
      </c>
      <c r="E1639" s="44">
        <f>INDEX(Monthly!$B$2:$B$61,A1639)</f>
        <v/>
      </c>
      <c r="F1639" s="44">
        <f>E1639*INDEX('Age profile'!$B$2:$B$61,B1639)</f>
        <v/>
      </c>
      <c r="G1639" s="45">
        <f>MIN(in_takeup_cap,INDEX('Age profile'!$N$2:$N$61,B1639)*(1+in_takeup_growth)^(D1639-1))</f>
        <v/>
      </c>
      <c r="H1639" s="11">
        <f>MIN(in_approval_cap,in_approved_first*INDEX('Age profile'!$O$2:$O$61,B1639)*(1+in_approval_growth)^(D1639-1))</f>
        <v/>
      </c>
      <c r="I1639" s="45">
        <f>G1639*MIN(in_takeup_cap,INDEX('Age profile'!$O$2:$O$61,B1639)*(1+in_approval_growth)^(D1639-1))</f>
        <v/>
      </c>
      <c r="J1639" s="40">
        <f>(J1638-L1638)*F1639/F1638</f>
        <v/>
      </c>
      <c r="K1639" s="40">
        <f>(K1638-M1638)*F1639/F1638+SUMIFS(O1622:O1638,B1622:B1638,B1639-1-d_T)*F1639</f>
        <v/>
      </c>
      <c r="L1639" s="40">
        <f>IF(B1639&gt;=in_marketplace_from,J1639*d_hz*G1639*in_eligible*H1639,0)</f>
        <v/>
      </c>
      <c r="M1639" s="40">
        <f>IF(B1639&gt;=in_marketplace_from,K1639*d_hz*G1639*in_eligible*in_approved_repeat,0)</f>
        <v/>
      </c>
      <c r="N1639" s="40">
        <f>L1639+M1639</f>
        <v/>
      </c>
      <c r="O1639" s="46">
        <f>N1639/F1639</f>
        <v/>
      </c>
      <c r="P1639" s="40">
        <f>F1639-J1639-K1639</f>
        <v/>
      </c>
      <c r="Q1639" s="40">
        <f>IF(B1639&gt;=in_marketplace_from,(J1639+K1639)*d_hz*G1639,0)</f>
        <v/>
      </c>
      <c r="R1639" s="40">
        <f>SUMIFS(N1622:N1641,B1622:B1641,"&gt;="&amp;(B1639-d_T),B1622:B1641,"&lt;="&amp;(B1639-1))</f>
        <v/>
      </c>
      <c r="S1639" s="46">
        <f>(1-d_u)*S1638+IF(d_T&gt;in_topup_lag,SUMIFS(O1622:O1641,B1622:B1641,B1639-in_topup_lag)-d_udrop*SUMIFS(O1622:O1641,B1622:B1641,B1639-d_T),0)</f>
        <v/>
      </c>
      <c r="T1639" s="40">
        <f>F1639*d_u*S1639</f>
        <v/>
      </c>
      <c r="U1639" s="9">
        <f>L1639*in_ticket+M1639*d_rep_ticket</f>
        <v/>
      </c>
      <c r="V1639" s="9">
        <f>U1639+T1639*d_topup_amt</f>
        <v/>
      </c>
      <c r="W1639" s="40">
        <f>N1639+T1639*d_topup_ratio</f>
        <v/>
      </c>
      <c r="X1639" s="40">
        <f>SUMIFS(W1622:W1641,B1622:B1641,B1639-in_dpd_lag)*d_cured</f>
        <v/>
      </c>
      <c r="Y1639" s="40">
        <f>SUMIFS(W1622:W1641,B1622:B1641,B1639-in_rec_lag)*d_recd</f>
        <v/>
      </c>
      <c r="Z1639" s="40">
        <f>IF(AND(B1639&gt;=in_marketplace_from,B1639&lt;in_marketplace_from+in_card_months),in_card_share/in_card_months*F1639*I1639,IF(AND(B1639&gt;=in_marketplace_from+in_card_months,B1639&lt;in_marketplace_from+2*in_card_months),in_card_share*d_card_rem/in_card_months*F1639*MIN(in_takeup_cap,(1+in_takeup_growth)^(D1639-1))*MIN(in_takeup_cap,(1+in_approval_growth)^(D1639-1)),0))</f>
        <v/>
      </c>
      <c r="AA1639" s="14">
        <f>V1639*in_fee*(1-in_taken_back)</f>
        <v/>
      </c>
      <c r="AB1639" s="14">
        <f>SUMIFS(W1622:W1641,B1622:B1641,B1639-in_dpd_lag)*d_dpd</f>
        <v/>
      </c>
      <c r="AC1639" s="14">
        <f>SUMIFS(W1622:W1641,B1622:B1641,B1639-in_rec_lag)*d_rec</f>
        <v/>
      </c>
      <c r="AD1639" s="14">
        <f>Z1639*in_card_fee</f>
        <v/>
      </c>
      <c r="AE1639" s="40">
        <f>AE1638*(1-IF(B1638&gt;=in_marketplace_from,d_hz_hlth_small*G1638,0))</f>
        <v/>
      </c>
      <c r="AF1639" s="46">
        <f>AE1639*IF(B1639&gt;=in_marketplace_from,d_hz_hlth_small*G1639,0)</f>
        <v/>
      </c>
      <c r="AG1639" s="14">
        <f>F1639*AF1639*in_hlth_small_ticket*in_hlth_small_comm*in_ins_partner_share+F1639*in_hlth_small_ticket*in_hlth_small_renew_comm*in_ins_partner_share*(in_hlth_small_renew^1*SUMIFS(AF1622:AF1641,B1622:B1641,B1639-12)+in_hlth_small_renew^2*SUMIFS(AF1622:AF1641,B1622:B1641,B1639-24)+in_hlth_small_renew^3*SUMIFS(AF1622:AF1641,B1622:B1641,B1639-36)+in_hlth_small_renew^4*SUMIFS(AF1622:AF1641,B1622:B1641,B1639-48))</f>
        <v/>
      </c>
      <c r="AH1639" s="40">
        <f>AH1638*(1-IF(B1638&gt;=in_marketplace_from,d_hz_hlth_family*G1638,0))</f>
        <v/>
      </c>
      <c r="AI1639" s="46">
        <f>AH1639*IF(B1639&gt;=in_marketplace_from,d_hz_hlth_family*G1639,0)</f>
        <v/>
      </c>
      <c r="AJ1639" s="14">
        <f>F1639*AI1639*in_hlth_family_ticket*in_hlth_family_comm*in_ins_partner_share+F1639*in_hlth_family_ticket*in_hlth_family_renew_comm*in_ins_partner_share*(in_hlth_family_renew^1*SUMIFS(AI1622:AI1641,B1622:B1641,B1639-12)+in_hlth_family_renew^2*SUMIFS(AI1622:AI1641,B1622:B1641,B1639-24)+in_hlth_family_renew^3*SUMIFS(AI1622:AI1641,B1622:B1641,B1639-36)+in_hlth_family_renew^4*SUMIFS(AI1622:AI1641,B1622:B1641,B1639-48))</f>
        <v/>
      </c>
      <c r="AK1639" s="40">
        <f>AK1638*(1-IF(B1638&gt;=in_marketplace_from,d_hz_life_term*G1638,0))</f>
        <v/>
      </c>
      <c r="AL1639" s="46">
        <f>AK1639*IF(B1639&gt;=in_marketplace_from,d_hz_life_term*G1639,0)</f>
        <v/>
      </c>
      <c r="AM1639" s="14">
        <f>F1639*AL1639*in_life_term_ticket*in_life_term_comm*in_ins_partner_share+F1639*in_life_term_ticket*in_life_term_renew_comm*in_ins_partner_share*(in_life_term_renew^1*SUMIFS(AL1622:AL1641,B1622:B1641,B1639-12)+in_life_term_renew^2*SUMIFS(AL1622:AL1641,B1622:B1641,B1639-24)+in_life_term_renew^3*SUMIFS(AL1622:AL1641,B1622:B1641,B1639-36)+in_life_term_renew^4*SUMIFS(AL1622:AL1641,B1622:B1641,B1639-48))</f>
        <v/>
      </c>
      <c r="AN1639" s="40">
        <f>AN1638*(1-IF(B1638&gt;=in_marketplace_from,d_hz_accident*G1638,0))</f>
        <v/>
      </c>
      <c r="AO1639" s="46">
        <f>AN1639*IF(B1639&gt;=in_marketplace_from,d_hz_accident*G1639,0)</f>
        <v/>
      </c>
      <c r="AP1639" s="14">
        <f>F1639*AO1639*in_accident_ticket*in_accident_comm*in_ins_partner_share+F1639*in_accident_ticket*in_accident_renew_comm*in_ins_partner_share*(in_accident_renew^1*SUMIFS(AO1622:AO1641,B1622:B1641,B1639-12)+in_accident_renew^2*SUMIFS(AO1622:AO1641,B1622:B1641,B1639-24)+in_accident_renew^3*SUMIFS(AO1622:AO1641,B1622:B1641,B1639-36)+in_accident_renew^4*SUMIFS(AO1622:AO1641,B1622:B1641,B1639-48))</f>
        <v/>
      </c>
      <c r="AQ1639" s="40">
        <f>AQ1638*(1-IF(B1638&gt;=in_marketplace_from,d_hz_two_wheeler*G1638,0))</f>
        <v/>
      </c>
      <c r="AR1639" s="46">
        <f>AQ1639*IF(B1639&gt;=in_marketplace_from,d_hz_two_wheeler*G1639,0)</f>
        <v/>
      </c>
      <c r="AS1639" s="14">
        <f>F1639*AR1639*in_two_wheeler_ticket*in_two_wheeler_comm*in_ins_partner_share+F1639*in_two_wheeler_ticket*in_two_wheeler_comm*in_ins_partner_share*(in_two_wheeler_renew^1*SUMIFS(AR1622:AR1641,B1622:B1641,B1639-12)+in_two_wheeler_renew^2*SUMIFS(AR1622:AR1641,B1622:B1641,B1639-24)+in_two_wheeler_renew^3*SUMIFS(AR1622:AR1641,B1622:B1641,B1639-36)+in_two_wheeler_renew^4*SUMIFS(AR1622:AR1641,B1622:B1641,B1639-48))</f>
        <v/>
      </c>
      <c r="AT1639" s="40">
        <f>AT1638*(1-IF(B1638&gt;=in_marketplace_from,d_hz_device*G1638,0))</f>
        <v/>
      </c>
      <c r="AU1639" s="14">
        <f>F1639*AT1639*IF(B1639&gt;=in_marketplace_from,d_hz_device*G1639,0)*in_device_ticket*in_device_comm*in_ins_partner_share</f>
        <v/>
      </c>
      <c r="AV1639" s="40">
        <f>AV1638*(1-IF(B1638&gt;=in_marketplace_from,d_hz_shop*G1638,0))</f>
        <v/>
      </c>
      <c r="AW1639" s="46">
        <f>AV1639*IF(B1639&gt;=in_marketplace_from,d_hz_shop*G1639,0)</f>
        <v/>
      </c>
      <c r="AX1639" s="14">
        <f>F1639*AW1639*in_shop_ticket*in_shop_comm*in_ins_partner_share+F1639*in_shop_ticket*in_shop_renew_comm*in_ins_partner_share*(in_shop_renew^1*SUMIFS(AW1622:AW1641,B1622:B1641,B1639-12)+in_shop_renew^2*SUMIFS(AW1622:AW1641,B1622:B1641,B1639-24)+in_shop_renew^3*SUMIFS(AW1622:AW1641,B1622:B1641,B1639-36)+in_shop_renew^4*SUMIFS(AW1622:AW1641,B1622:B1641,B1639-48))</f>
        <v/>
      </c>
      <c r="AY1639" s="40">
        <f>AY1638*(1-IF(B1638&gt;=in_marketplace_from,d_hz_sip*G1638,0))</f>
        <v/>
      </c>
      <c r="AZ1639" s="40">
        <f>AZ1638*d_rho_sip+AY1639*IF(B1639&gt;=in_marketplace_from,d_hz_sip*G1639,0)</f>
        <v/>
      </c>
      <c r="BA1639" s="40">
        <f>d_rho_sip*(BA1638+AZ1638)</f>
        <v/>
      </c>
      <c r="BB1639" s="14">
        <f>F1639*in_sip_ticket*(BA1639+0.5*AZ1639)*in_sip_comm/12</f>
        <v/>
      </c>
      <c r="BC1639" s="40">
        <f>BC1638*(1-IF(B1638&gt;=in_marketplace_from,d_hz_choti*G1638,0))</f>
        <v/>
      </c>
      <c r="BD1639" s="46">
        <f>BC1639*IF(B1639&gt;=in_marketplace_from,d_hz_choti*G1639,0)</f>
        <v/>
      </c>
      <c r="BE1639" s="14">
        <f>F1639*SUMIFS(BD1622:BD1641,B1622:B1641,B1639-in_choti_months)*in_choti_renew*in_choti_ticket</f>
        <v/>
      </c>
      <c r="BF1639" s="40">
        <f>BF1638*(1-IF(B1638&gt;=in_marketplace_from,d_hz_nps*G1638,0))</f>
        <v/>
      </c>
      <c r="BG1639" s="14">
        <f>F1639*BF1639*IF(B1639&gt;=in_marketplace_from,d_hz_nps*G1639,0)*in_nps_ticket*in_nps_comm</f>
        <v/>
      </c>
      <c r="BH1639" s="40">
        <f>BH1638*(1-IF(B1638&gt;=in_marketplace_from,d_hz_gold*G1638,0))</f>
        <v/>
      </c>
      <c r="BI1639" s="40">
        <f>BI1638*d_rho_gold+BH1639*IF(B1639&gt;=in_marketplace_from,d_hz_gold*G1639,0)</f>
        <v/>
      </c>
      <c r="BJ1639" s="14">
        <f>F1639*BI1639*in_gold_ticket*in_gold_comm</f>
        <v/>
      </c>
      <c r="BK1639" s="40">
        <f>BK1638*(1-IF(B1638&gt;=in_marketplace_from,d_hz_fd*G1638,0))</f>
        <v/>
      </c>
      <c r="BL1639" s="14">
        <f>F1639*BK1639*IF(B1639&gt;=in_marketplace_from,d_hz_fd*G1639,0)*in_fd_ticket*in_fd_comm</f>
        <v/>
      </c>
      <c r="BM1639" s="40">
        <f>BM1638*(1-IF(B1638&gt;=in_marketplace_from,d_hz_recharge*G1638,0))</f>
        <v/>
      </c>
      <c r="BN1639" s="40">
        <f>BN1638*d_rho_recharge+BM1639*IF(B1639&gt;=in_marketplace_from,d_hz_recharge*G1639,0)</f>
        <v/>
      </c>
      <c r="BO1639" s="14">
        <f>F1639*BN1639*in_recharge_ticket*in_recharge_comm/12</f>
        <v/>
      </c>
      <c r="BP1639" s="40">
        <f>BP1638*(1-IF(B1638&gt;=in_marketplace_from,d_hz_bills*G1638,0))</f>
        <v/>
      </c>
      <c r="BQ1639" s="40">
        <f>BQ1638*d_rho_bills+BP1639*IF(B1639&gt;=in_marketplace_from,d_hz_bills*G1639,0)</f>
        <v/>
      </c>
      <c r="BR1639" s="14">
        <f>F1639*BQ1639*in_bills_ticket*in_bills_comm/12</f>
        <v/>
      </c>
      <c r="BS1639" s="40">
        <f>BS1638*(1-IF(B1638&gt;=in_marketplace_from,d_hz_loan_gold*G1638,0))</f>
        <v/>
      </c>
      <c r="BT1639" s="14">
        <f>F1639*BS1639*IF(B1639&gt;=in_marketplace_from,d_hz_loan_gold*G1639,0)*in_loan_gold_ticket*in_loan_gold_comm</f>
        <v/>
      </c>
      <c r="BU1639" s="40">
        <f>BU1638*(1-IF(B1638&gt;=in_marketplace_from,d_hz_loan_cd*G1638,0))</f>
        <v/>
      </c>
      <c r="BV1639" s="14">
        <f>F1639*BU1639*IF(B1639&gt;=in_marketplace_from,d_hz_loan_cd*G1639,0)*in_loan_cd_ticket*in_loan_cd_comm</f>
        <v/>
      </c>
      <c r="BW1639" s="40">
        <f>BW1638*(1-IF(B1638&gt;=in_marketplace_from,d_hz_loan_vehicle*G1638,0))</f>
        <v/>
      </c>
      <c r="BX1639" s="14">
        <f>F1639*BW1639*IF(B1639&gt;=in_marketplace_from,d_hz_loan_vehicle*G1639,0)*in_loan_vehicle_ticket*in_loan_vehicle_comm</f>
        <v/>
      </c>
      <c r="BY1639" s="40">
        <f>BY1638*(1-IF(B1638&gt;=in_marketplace_from,d_hz_loan_home*G1638,0)*BZ1638)</f>
        <v/>
      </c>
      <c r="BZ1639" s="11">
        <f>MIN(in_approval_cap,in_loan_home_approval*INDEX('Age profile'!$O$2:$O$61,B1639)*(1+in_approval_growth)^(D1639-1))</f>
        <v/>
      </c>
      <c r="CA1639" s="14">
        <f>F1639*BY1639*IF(B1639&gt;=in_marketplace_from,d_hz_loan_home*G1639,0)*BZ1639*in_loan_home_ticket*in_loan_home_comm</f>
        <v/>
      </c>
      <c r="CB1639" s="40">
        <f>CB1638*(1-IF(B1638&gt;=in_marketplace_from,d_hz_loan_lap*G1638,0)*CC1638)</f>
        <v/>
      </c>
      <c r="CC1639" s="11">
        <f>MIN(in_approval_cap,in_loan_lap_approval*INDEX('Age profile'!$O$2:$O$61,B1639)*(1+in_approval_growth)^(D1639-1))</f>
        <v/>
      </c>
      <c r="CD1639" s="14">
        <f>F1639*CB1639*IF(B1639&gt;=in_marketplace_from,d_hz_loan_lap*G1639,0)*CC1639*in_loan_lap_ticket*in_loan_lap_comm</f>
        <v/>
      </c>
      <c r="CE1639" s="14">
        <f>AA1639+AB1639+AC1639+AD1639+AG1639+AJ1639+AM1639+AP1639+AS1639+AU1639+AX1639+BB1639+BE1639+BG1639+BJ1639+BL1639+BO1639+BR1639+BT1639+BV1639+BX1639+CA1639+CD1639</f>
        <v/>
      </c>
    </row>
    <row r="1640">
      <c r="A1640" s="39" t="n">
        <v>41</v>
      </c>
      <c r="B1640" s="39" t="n">
        <v>19</v>
      </c>
      <c r="C1640" s="39">
        <f>A1640+B1640-1</f>
        <v/>
      </c>
      <c r="D1640" s="39">
        <f>INT((C1640-1)/12)+1</f>
        <v/>
      </c>
      <c r="E1640" s="44">
        <f>INDEX(Monthly!$B$2:$B$61,A1640)</f>
        <v/>
      </c>
      <c r="F1640" s="44">
        <f>E1640*INDEX('Age profile'!$B$2:$B$61,B1640)</f>
        <v/>
      </c>
      <c r="G1640" s="45">
        <f>MIN(in_takeup_cap,INDEX('Age profile'!$N$2:$N$61,B1640)*(1+in_takeup_growth)^(D1640-1))</f>
        <v/>
      </c>
      <c r="H1640" s="11">
        <f>MIN(in_approval_cap,in_approved_first*INDEX('Age profile'!$O$2:$O$61,B1640)*(1+in_approval_growth)^(D1640-1))</f>
        <v/>
      </c>
      <c r="I1640" s="45">
        <f>G1640*MIN(in_takeup_cap,INDEX('Age profile'!$O$2:$O$61,B1640)*(1+in_approval_growth)^(D1640-1))</f>
        <v/>
      </c>
      <c r="J1640" s="40">
        <f>(J1639-L1639)*F1640/F1639</f>
        <v/>
      </c>
      <c r="K1640" s="40">
        <f>(K1639-M1639)*F1640/F1639+SUMIFS(O1622:O1639,B1622:B1639,B1640-1-d_T)*F1640</f>
        <v/>
      </c>
      <c r="L1640" s="40">
        <f>IF(B1640&gt;=in_marketplace_from,J1640*d_hz*G1640*in_eligible*H1640,0)</f>
        <v/>
      </c>
      <c r="M1640" s="40">
        <f>IF(B1640&gt;=in_marketplace_from,K1640*d_hz*G1640*in_eligible*in_approved_repeat,0)</f>
        <v/>
      </c>
      <c r="N1640" s="40">
        <f>L1640+M1640</f>
        <v/>
      </c>
      <c r="O1640" s="46">
        <f>N1640/F1640</f>
        <v/>
      </c>
      <c r="P1640" s="40">
        <f>F1640-J1640-K1640</f>
        <v/>
      </c>
      <c r="Q1640" s="40">
        <f>IF(B1640&gt;=in_marketplace_from,(J1640+K1640)*d_hz*G1640,0)</f>
        <v/>
      </c>
      <c r="R1640" s="40">
        <f>SUMIFS(N1622:N1641,B1622:B1641,"&gt;="&amp;(B1640-d_T),B1622:B1641,"&lt;="&amp;(B1640-1))</f>
        <v/>
      </c>
      <c r="S1640" s="46">
        <f>(1-d_u)*S1639+IF(d_T&gt;in_topup_lag,SUMIFS(O1622:O1641,B1622:B1641,B1640-in_topup_lag)-d_udrop*SUMIFS(O1622:O1641,B1622:B1641,B1640-d_T),0)</f>
        <v/>
      </c>
      <c r="T1640" s="40">
        <f>F1640*d_u*S1640</f>
        <v/>
      </c>
      <c r="U1640" s="9">
        <f>L1640*in_ticket+M1640*d_rep_ticket</f>
        <v/>
      </c>
      <c r="V1640" s="9">
        <f>U1640+T1640*d_topup_amt</f>
        <v/>
      </c>
      <c r="W1640" s="40">
        <f>N1640+T1640*d_topup_ratio</f>
        <v/>
      </c>
      <c r="X1640" s="40">
        <f>SUMIFS(W1622:W1641,B1622:B1641,B1640-in_dpd_lag)*d_cured</f>
        <v/>
      </c>
      <c r="Y1640" s="40">
        <f>SUMIFS(W1622:W1641,B1622:B1641,B1640-in_rec_lag)*d_recd</f>
        <v/>
      </c>
      <c r="Z1640" s="40">
        <f>IF(AND(B1640&gt;=in_marketplace_from,B1640&lt;in_marketplace_from+in_card_months),in_card_share/in_card_months*F1640*I1640,IF(AND(B1640&gt;=in_marketplace_from+in_card_months,B1640&lt;in_marketplace_from+2*in_card_months),in_card_share*d_card_rem/in_card_months*F1640*MIN(in_takeup_cap,(1+in_takeup_growth)^(D1640-1))*MIN(in_takeup_cap,(1+in_approval_growth)^(D1640-1)),0))</f>
        <v/>
      </c>
      <c r="AA1640" s="14">
        <f>V1640*in_fee*(1-in_taken_back)</f>
        <v/>
      </c>
      <c r="AB1640" s="14">
        <f>SUMIFS(W1622:W1641,B1622:B1641,B1640-in_dpd_lag)*d_dpd</f>
        <v/>
      </c>
      <c r="AC1640" s="14">
        <f>SUMIFS(W1622:W1641,B1622:B1641,B1640-in_rec_lag)*d_rec</f>
        <v/>
      </c>
      <c r="AD1640" s="14">
        <f>Z1640*in_card_fee</f>
        <v/>
      </c>
      <c r="AE1640" s="40">
        <f>AE1639*(1-IF(B1639&gt;=in_marketplace_from,d_hz_hlth_small*G1639,0))</f>
        <v/>
      </c>
      <c r="AF1640" s="46">
        <f>AE1640*IF(B1640&gt;=in_marketplace_from,d_hz_hlth_small*G1640,0)</f>
        <v/>
      </c>
      <c r="AG1640" s="14">
        <f>F1640*AF1640*in_hlth_small_ticket*in_hlth_small_comm*in_ins_partner_share+F1640*in_hlth_small_ticket*in_hlth_small_renew_comm*in_ins_partner_share*(in_hlth_small_renew^1*SUMIFS(AF1622:AF1641,B1622:B1641,B1640-12)+in_hlth_small_renew^2*SUMIFS(AF1622:AF1641,B1622:B1641,B1640-24)+in_hlth_small_renew^3*SUMIFS(AF1622:AF1641,B1622:B1641,B1640-36)+in_hlth_small_renew^4*SUMIFS(AF1622:AF1641,B1622:B1641,B1640-48))</f>
        <v/>
      </c>
      <c r="AH1640" s="40">
        <f>AH1639*(1-IF(B1639&gt;=in_marketplace_from,d_hz_hlth_family*G1639,0))</f>
        <v/>
      </c>
      <c r="AI1640" s="46">
        <f>AH1640*IF(B1640&gt;=in_marketplace_from,d_hz_hlth_family*G1640,0)</f>
        <v/>
      </c>
      <c r="AJ1640" s="14">
        <f>F1640*AI1640*in_hlth_family_ticket*in_hlth_family_comm*in_ins_partner_share+F1640*in_hlth_family_ticket*in_hlth_family_renew_comm*in_ins_partner_share*(in_hlth_family_renew^1*SUMIFS(AI1622:AI1641,B1622:B1641,B1640-12)+in_hlth_family_renew^2*SUMIFS(AI1622:AI1641,B1622:B1641,B1640-24)+in_hlth_family_renew^3*SUMIFS(AI1622:AI1641,B1622:B1641,B1640-36)+in_hlth_family_renew^4*SUMIFS(AI1622:AI1641,B1622:B1641,B1640-48))</f>
        <v/>
      </c>
      <c r="AK1640" s="40">
        <f>AK1639*(1-IF(B1639&gt;=in_marketplace_from,d_hz_life_term*G1639,0))</f>
        <v/>
      </c>
      <c r="AL1640" s="46">
        <f>AK1640*IF(B1640&gt;=in_marketplace_from,d_hz_life_term*G1640,0)</f>
        <v/>
      </c>
      <c r="AM1640" s="14">
        <f>F1640*AL1640*in_life_term_ticket*in_life_term_comm*in_ins_partner_share+F1640*in_life_term_ticket*in_life_term_renew_comm*in_ins_partner_share*(in_life_term_renew^1*SUMIFS(AL1622:AL1641,B1622:B1641,B1640-12)+in_life_term_renew^2*SUMIFS(AL1622:AL1641,B1622:B1641,B1640-24)+in_life_term_renew^3*SUMIFS(AL1622:AL1641,B1622:B1641,B1640-36)+in_life_term_renew^4*SUMIFS(AL1622:AL1641,B1622:B1641,B1640-48))</f>
        <v/>
      </c>
      <c r="AN1640" s="40">
        <f>AN1639*(1-IF(B1639&gt;=in_marketplace_from,d_hz_accident*G1639,0))</f>
        <v/>
      </c>
      <c r="AO1640" s="46">
        <f>AN1640*IF(B1640&gt;=in_marketplace_from,d_hz_accident*G1640,0)</f>
        <v/>
      </c>
      <c r="AP1640" s="14">
        <f>F1640*AO1640*in_accident_ticket*in_accident_comm*in_ins_partner_share+F1640*in_accident_ticket*in_accident_renew_comm*in_ins_partner_share*(in_accident_renew^1*SUMIFS(AO1622:AO1641,B1622:B1641,B1640-12)+in_accident_renew^2*SUMIFS(AO1622:AO1641,B1622:B1641,B1640-24)+in_accident_renew^3*SUMIFS(AO1622:AO1641,B1622:B1641,B1640-36)+in_accident_renew^4*SUMIFS(AO1622:AO1641,B1622:B1641,B1640-48))</f>
        <v/>
      </c>
      <c r="AQ1640" s="40">
        <f>AQ1639*(1-IF(B1639&gt;=in_marketplace_from,d_hz_two_wheeler*G1639,0))</f>
        <v/>
      </c>
      <c r="AR1640" s="46">
        <f>AQ1640*IF(B1640&gt;=in_marketplace_from,d_hz_two_wheeler*G1640,0)</f>
        <v/>
      </c>
      <c r="AS1640" s="14">
        <f>F1640*AR1640*in_two_wheeler_ticket*in_two_wheeler_comm*in_ins_partner_share+F1640*in_two_wheeler_ticket*in_two_wheeler_comm*in_ins_partner_share*(in_two_wheeler_renew^1*SUMIFS(AR1622:AR1641,B1622:B1641,B1640-12)+in_two_wheeler_renew^2*SUMIFS(AR1622:AR1641,B1622:B1641,B1640-24)+in_two_wheeler_renew^3*SUMIFS(AR1622:AR1641,B1622:B1641,B1640-36)+in_two_wheeler_renew^4*SUMIFS(AR1622:AR1641,B1622:B1641,B1640-48))</f>
        <v/>
      </c>
      <c r="AT1640" s="40">
        <f>AT1639*(1-IF(B1639&gt;=in_marketplace_from,d_hz_device*G1639,0))</f>
        <v/>
      </c>
      <c r="AU1640" s="14">
        <f>F1640*AT1640*IF(B1640&gt;=in_marketplace_from,d_hz_device*G1640,0)*in_device_ticket*in_device_comm*in_ins_partner_share</f>
        <v/>
      </c>
      <c r="AV1640" s="40">
        <f>AV1639*(1-IF(B1639&gt;=in_marketplace_from,d_hz_shop*G1639,0))</f>
        <v/>
      </c>
      <c r="AW1640" s="46">
        <f>AV1640*IF(B1640&gt;=in_marketplace_from,d_hz_shop*G1640,0)</f>
        <v/>
      </c>
      <c r="AX1640" s="14">
        <f>F1640*AW1640*in_shop_ticket*in_shop_comm*in_ins_partner_share+F1640*in_shop_ticket*in_shop_renew_comm*in_ins_partner_share*(in_shop_renew^1*SUMIFS(AW1622:AW1641,B1622:B1641,B1640-12)+in_shop_renew^2*SUMIFS(AW1622:AW1641,B1622:B1641,B1640-24)+in_shop_renew^3*SUMIFS(AW1622:AW1641,B1622:B1641,B1640-36)+in_shop_renew^4*SUMIFS(AW1622:AW1641,B1622:B1641,B1640-48))</f>
        <v/>
      </c>
      <c r="AY1640" s="40">
        <f>AY1639*(1-IF(B1639&gt;=in_marketplace_from,d_hz_sip*G1639,0))</f>
        <v/>
      </c>
      <c r="AZ1640" s="40">
        <f>AZ1639*d_rho_sip+AY1640*IF(B1640&gt;=in_marketplace_from,d_hz_sip*G1640,0)</f>
        <v/>
      </c>
      <c r="BA1640" s="40">
        <f>d_rho_sip*(BA1639+AZ1639)</f>
        <v/>
      </c>
      <c r="BB1640" s="14">
        <f>F1640*in_sip_ticket*(BA1640+0.5*AZ1640)*in_sip_comm/12</f>
        <v/>
      </c>
      <c r="BC1640" s="40">
        <f>BC1639*(1-IF(B1639&gt;=in_marketplace_from,d_hz_choti*G1639,0))</f>
        <v/>
      </c>
      <c r="BD1640" s="46">
        <f>BC1640*IF(B1640&gt;=in_marketplace_from,d_hz_choti*G1640,0)</f>
        <v/>
      </c>
      <c r="BE1640" s="14">
        <f>F1640*SUMIFS(BD1622:BD1641,B1622:B1641,B1640-in_choti_months)*in_choti_renew*in_choti_ticket</f>
        <v/>
      </c>
      <c r="BF1640" s="40">
        <f>BF1639*(1-IF(B1639&gt;=in_marketplace_from,d_hz_nps*G1639,0))</f>
        <v/>
      </c>
      <c r="BG1640" s="14">
        <f>F1640*BF1640*IF(B1640&gt;=in_marketplace_from,d_hz_nps*G1640,0)*in_nps_ticket*in_nps_comm</f>
        <v/>
      </c>
      <c r="BH1640" s="40">
        <f>BH1639*(1-IF(B1639&gt;=in_marketplace_from,d_hz_gold*G1639,0))</f>
        <v/>
      </c>
      <c r="BI1640" s="40">
        <f>BI1639*d_rho_gold+BH1640*IF(B1640&gt;=in_marketplace_from,d_hz_gold*G1640,0)</f>
        <v/>
      </c>
      <c r="BJ1640" s="14">
        <f>F1640*BI1640*in_gold_ticket*in_gold_comm</f>
        <v/>
      </c>
      <c r="BK1640" s="40">
        <f>BK1639*(1-IF(B1639&gt;=in_marketplace_from,d_hz_fd*G1639,0))</f>
        <v/>
      </c>
      <c r="BL1640" s="14">
        <f>F1640*BK1640*IF(B1640&gt;=in_marketplace_from,d_hz_fd*G1640,0)*in_fd_ticket*in_fd_comm</f>
        <v/>
      </c>
      <c r="BM1640" s="40">
        <f>BM1639*(1-IF(B1639&gt;=in_marketplace_from,d_hz_recharge*G1639,0))</f>
        <v/>
      </c>
      <c r="BN1640" s="40">
        <f>BN1639*d_rho_recharge+BM1640*IF(B1640&gt;=in_marketplace_from,d_hz_recharge*G1640,0)</f>
        <v/>
      </c>
      <c r="BO1640" s="14">
        <f>F1640*BN1640*in_recharge_ticket*in_recharge_comm/12</f>
        <v/>
      </c>
      <c r="BP1640" s="40">
        <f>BP1639*(1-IF(B1639&gt;=in_marketplace_from,d_hz_bills*G1639,0))</f>
        <v/>
      </c>
      <c r="BQ1640" s="40">
        <f>BQ1639*d_rho_bills+BP1640*IF(B1640&gt;=in_marketplace_from,d_hz_bills*G1640,0)</f>
        <v/>
      </c>
      <c r="BR1640" s="14">
        <f>F1640*BQ1640*in_bills_ticket*in_bills_comm/12</f>
        <v/>
      </c>
      <c r="BS1640" s="40">
        <f>BS1639*(1-IF(B1639&gt;=in_marketplace_from,d_hz_loan_gold*G1639,0))</f>
        <v/>
      </c>
      <c r="BT1640" s="14">
        <f>F1640*BS1640*IF(B1640&gt;=in_marketplace_from,d_hz_loan_gold*G1640,0)*in_loan_gold_ticket*in_loan_gold_comm</f>
        <v/>
      </c>
      <c r="BU1640" s="40">
        <f>BU1639*(1-IF(B1639&gt;=in_marketplace_from,d_hz_loan_cd*G1639,0))</f>
        <v/>
      </c>
      <c r="BV1640" s="14">
        <f>F1640*BU1640*IF(B1640&gt;=in_marketplace_from,d_hz_loan_cd*G1640,0)*in_loan_cd_ticket*in_loan_cd_comm</f>
        <v/>
      </c>
      <c r="BW1640" s="40">
        <f>BW1639*(1-IF(B1639&gt;=in_marketplace_from,d_hz_loan_vehicle*G1639,0))</f>
        <v/>
      </c>
      <c r="BX1640" s="14">
        <f>F1640*BW1640*IF(B1640&gt;=in_marketplace_from,d_hz_loan_vehicle*G1640,0)*in_loan_vehicle_ticket*in_loan_vehicle_comm</f>
        <v/>
      </c>
      <c r="BY1640" s="40">
        <f>BY1639*(1-IF(B1639&gt;=in_marketplace_from,d_hz_loan_home*G1639,0)*BZ1639)</f>
        <v/>
      </c>
      <c r="BZ1640" s="11">
        <f>MIN(in_approval_cap,in_loan_home_approval*INDEX('Age profile'!$O$2:$O$61,B1640)*(1+in_approval_growth)^(D1640-1))</f>
        <v/>
      </c>
      <c r="CA1640" s="14">
        <f>F1640*BY1640*IF(B1640&gt;=in_marketplace_from,d_hz_loan_home*G1640,0)*BZ1640*in_loan_home_ticket*in_loan_home_comm</f>
        <v/>
      </c>
      <c r="CB1640" s="40">
        <f>CB1639*(1-IF(B1639&gt;=in_marketplace_from,d_hz_loan_lap*G1639,0)*CC1639)</f>
        <v/>
      </c>
      <c r="CC1640" s="11">
        <f>MIN(in_approval_cap,in_loan_lap_approval*INDEX('Age profile'!$O$2:$O$61,B1640)*(1+in_approval_growth)^(D1640-1))</f>
        <v/>
      </c>
      <c r="CD1640" s="14">
        <f>F1640*CB1640*IF(B1640&gt;=in_marketplace_from,d_hz_loan_lap*G1640,0)*CC1640*in_loan_lap_ticket*in_loan_lap_comm</f>
        <v/>
      </c>
      <c r="CE1640" s="14">
        <f>AA1640+AB1640+AC1640+AD1640+AG1640+AJ1640+AM1640+AP1640+AS1640+AU1640+AX1640+BB1640+BE1640+BG1640+BJ1640+BL1640+BO1640+BR1640+BT1640+BV1640+BX1640+CA1640+CD1640</f>
        <v/>
      </c>
    </row>
    <row r="1641">
      <c r="A1641" s="39" t="n">
        <v>41</v>
      </c>
      <c r="B1641" s="39" t="n">
        <v>20</v>
      </c>
      <c r="C1641" s="39">
        <f>A1641+B1641-1</f>
        <v/>
      </c>
      <c r="D1641" s="39">
        <f>INT((C1641-1)/12)+1</f>
        <v/>
      </c>
      <c r="E1641" s="44">
        <f>INDEX(Monthly!$B$2:$B$61,A1641)</f>
        <v/>
      </c>
      <c r="F1641" s="44">
        <f>E1641*INDEX('Age profile'!$B$2:$B$61,B1641)</f>
        <v/>
      </c>
      <c r="G1641" s="45">
        <f>MIN(in_takeup_cap,INDEX('Age profile'!$N$2:$N$61,B1641)*(1+in_takeup_growth)^(D1641-1))</f>
        <v/>
      </c>
      <c r="H1641" s="11">
        <f>MIN(in_approval_cap,in_approved_first*INDEX('Age profile'!$O$2:$O$61,B1641)*(1+in_approval_growth)^(D1641-1))</f>
        <v/>
      </c>
      <c r="I1641" s="45">
        <f>G1641*MIN(in_takeup_cap,INDEX('Age profile'!$O$2:$O$61,B1641)*(1+in_approval_growth)^(D1641-1))</f>
        <v/>
      </c>
      <c r="J1641" s="40">
        <f>(J1640-L1640)*F1641/F1640</f>
        <v/>
      </c>
      <c r="K1641" s="40">
        <f>(K1640-M1640)*F1641/F1640+SUMIFS(O1622:O1640,B1622:B1640,B1641-1-d_T)*F1641</f>
        <v/>
      </c>
      <c r="L1641" s="40">
        <f>IF(B1641&gt;=in_marketplace_from,J1641*d_hz*G1641*in_eligible*H1641,0)</f>
        <v/>
      </c>
      <c r="M1641" s="40">
        <f>IF(B1641&gt;=in_marketplace_from,K1641*d_hz*G1641*in_eligible*in_approved_repeat,0)</f>
        <v/>
      </c>
      <c r="N1641" s="40">
        <f>L1641+M1641</f>
        <v/>
      </c>
      <c r="O1641" s="46">
        <f>N1641/F1641</f>
        <v/>
      </c>
      <c r="P1641" s="40">
        <f>F1641-J1641-K1641</f>
        <v/>
      </c>
      <c r="Q1641" s="40">
        <f>IF(B1641&gt;=in_marketplace_from,(J1641+K1641)*d_hz*G1641,0)</f>
        <v/>
      </c>
      <c r="R1641" s="40">
        <f>SUMIFS(N1622:N1641,B1622:B1641,"&gt;="&amp;(B1641-d_T),B1622:B1641,"&lt;="&amp;(B1641-1))</f>
        <v/>
      </c>
      <c r="S1641" s="46">
        <f>(1-d_u)*S1640+IF(d_T&gt;in_topup_lag,SUMIFS(O1622:O1641,B1622:B1641,B1641-in_topup_lag)-d_udrop*SUMIFS(O1622:O1641,B1622:B1641,B1641-d_T),0)</f>
        <v/>
      </c>
      <c r="T1641" s="40">
        <f>F1641*d_u*S1641</f>
        <v/>
      </c>
      <c r="U1641" s="9">
        <f>L1641*in_ticket+M1641*d_rep_ticket</f>
        <v/>
      </c>
      <c r="V1641" s="9">
        <f>U1641+T1641*d_topup_amt</f>
        <v/>
      </c>
      <c r="W1641" s="40">
        <f>N1641+T1641*d_topup_ratio</f>
        <v/>
      </c>
      <c r="X1641" s="40">
        <f>SUMIFS(W1622:W1641,B1622:B1641,B1641-in_dpd_lag)*d_cured</f>
        <v/>
      </c>
      <c r="Y1641" s="40">
        <f>SUMIFS(W1622:W1641,B1622:B1641,B1641-in_rec_lag)*d_recd</f>
        <v/>
      </c>
      <c r="Z1641" s="40">
        <f>IF(AND(B1641&gt;=in_marketplace_from,B1641&lt;in_marketplace_from+in_card_months),in_card_share/in_card_months*F1641*I1641,IF(AND(B1641&gt;=in_marketplace_from+in_card_months,B1641&lt;in_marketplace_from+2*in_card_months),in_card_share*d_card_rem/in_card_months*F1641*MIN(in_takeup_cap,(1+in_takeup_growth)^(D1641-1))*MIN(in_takeup_cap,(1+in_approval_growth)^(D1641-1)),0))</f>
        <v/>
      </c>
      <c r="AA1641" s="14">
        <f>V1641*in_fee*(1-in_taken_back)</f>
        <v/>
      </c>
      <c r="AB1641" s="14">
        <f>SUMIFS(W1622:W1641,B1622:B1641,B1641-in_dpd_lag)*d_dpd</f>
        <v/>
      </c>
      <c r="AC1641" s="14">
        <f>SUMIFS(W1622:W1641,B1622:B1641,B1641-in_rec_lag)*d_rec</f>
        <v/>
      </c>
      <c r="AD1641" s="14">
        <f>Z1641*in_card_fee</f>
        <v/>
      </c>
      <c r="AE1641" s="40">
        <f>AE1640*(1-IF(B1640&gt;=in_marketplace_from,d_hz_hlth_small*G1640,0))</f>
        <v/>
      </c>
      <c r="AF1641" s="46">
        <f>AE1641*IF(B1641&gt;=in_marketplace_from,d_hz_hlth_small*G1641,0)</f>
        <v/>
      </c>
      <c r="AG1641" s="14">
        <f>F1641*AF1641*in_hlth_small_ticket*in_hlth_small_comm*in_ins_partner_share+F1641*in_hlth_small_ticket*in_hlth_small_renew_comm*in_ins_partner_share*(in_hlth_small_renew^1*SUMIFS(AF1622:AF1641,B1622:B1641,B1641-12)+in_hlth_small_renew^2*SUMIFS(AF1622:AF1641,B1622:B1641,B1641-24)+in_hlth_small_renew^3*SUMIFS(AF1622:AF1641,B1622:B1641,B1641-36)+in_hlth_small_renew^4*SUMIFS(AF1622:AF1641,B1622:B1641,B1641-48))</f>
        <v/>
      </c>
      <c r="AH1641" s="40">
        <f>AH1640*(1-IF(B1640&gt;=in_marketplace_from,d_hz_hlth_family*G1640,0))</f>
        <v/>
      </c>
      <c r="AI1641" s="46">
        <f>AH1641*IF(B1641&gt;=in_marketplace_from,d_hz_hlth_family*G1641,0)</f>
        <v/>
      </c>
      <c r="AJ1641" s="14">
        <f>F1641*AI1641*in_hlth_family_ticket*in_hlth_family_comm*in_ins_partner_share+F1641*in_hlth_family_ticket*in_hlth_family_renew_comm*in_ins_partner_share*(in_hlth_family_renew^1*SUMIFS(AI1622:AI1641,B1622:B1641,B1641-12)+in_hlth_family_renew^2*SUMIFS(AI1622:AI1641,B1622:B1641,B1641-24)+in_hlth_family_renew^3*SUMIFS(AI1622:AI1641,B1622:B1641,B1641-36)+in_hlth_family_renew^4*SUMIFS(AI1622:AI1641,B1622:B1641,B1641-48))</f>
        <v/>
      </c>
      <c r="AK1641" s="40">
        <f>AK1640*(1-IF(B1640&gt;=in_marketplace_from,d_hz_life_term*G1640,0))</f>
        <v/>
      </c>
      <c r="AL1641" s="46">
        <f>AK1641*IF(B1641&gt;=in_marketplace_from,d_hz_life_term*G1641,0)</f>
        <v/>
      </c>
      <c r="AM1641" s="14">
        <f>F1641*AL1641*in_life_term_ticket*in_life_term_comm*in_ins_partner_share+F1641*in_life_term_ticket*in_life_term_renew_comm*in_ins_partner_share*(in_life_term_renew^1*SUMIFS(AL1622:AL1641,B1622:B1641,B1641-12)+in_life_term_renew^2*SUMIFS(AL1622:AL1641,B1622:B1641,B1641-24)+in_life_term_renew^3*SUMIFS(AL1622:AL1641,B1622:B1641,B1641-36)+in_life_term_renew^4*SUMIFS(AL1622:AL1641,B1622:B1641,B1641-48))</f>
        <v/>
      </c>
      <c r="AN1641" s="40">
        <f>AN1640*(1-IF(B1640&gt;=in_marketplace_from,d_hz_accident*G1640,0))</f>
        <v/>
      </c>
      <c r="AO1641" s="46">
        <f>AN1641*IF(B1641&gt;=in_marketplace_from,d_hz_accident*G1641,0)</f>
        <v/>
      </c>
      <c r="AP1641" s="14">
        <f>F1641*AO1641*in_accident_ticket*in_accident_comm*in_ins_partner_share+F1641*in_accident_ticket*in_accident_renew_comm*in_ins_partner_share*(in_accident_renew^1*SUMIFS(AO1622:AO1641,B1622:B1641,B1641-12)+in_accident_renew^2*SUMIFS(AO1622:AO1641,B1622:B1641,B1641-24)+in_accident_renew^3*SUMIFS(AO1622:AO1641,B1622:B1641,B1641-36)+in_accident_renew^4*SUMIFS(AO1622:AO1641,B1622:B1641,B1641-48))</f>
        <v/>
      </c>
      <c r="AQ1641" s="40">
        <f>AQ1640*(1-IF(B1640&gt;=in_marketplace_from,d_hz_two_wheeler*G1640,0))</f>
        <v/>
      </c>
      <c r="AR1641" s="46">
        <f>AQ1641*IF(B1641&gt;=in_marketplace_from,d_hz_two_wheeler*G1641,0)</f>
        <v/>
      </c>
      <c r="AS1641" s="14">
        <f>F1641*AR1641*in_two_wheeler_ticket*in_two_wheeler_comm*in_ins_partner_share+F1641*in_two_wheeler_ticket*in_two_wheeler_comm*in_ins_partner_share*(in_two_wheeler_renew^1*SUMIFS(AR1622:AR1641,B1622:B1641,B1641-12)+in_two_wheeler_renew^2*SUMIFS(AR1622:AR1641,B1622:B1641,B1641-24)+in_two_wheeler_renew^3*SUMIFS(AR1622:AR1641,B1622:B1641,B1641-36)+in_two_wheeler_renew^4*SUMIFS(AR1622:AR1641,B1622:B1641,B1641-48))</f>
        <v/>
      </c>
      <c r="AT1641" s="40">
        <f>AT1640*(1-IF(B1640&gt;=in_marketplace_from,d_hz_device*G1640,0))</f>
        <v/>
      </c>
      <c r="AU1641" s="14">
        <f>F1641*AT1641*IF(B1641&gt;=in_marketplace_from,d_hz_device*G1641,0)*in_device_ticket*in_device_comm*in_ins_partner_share</f>
        <v/>
      </c>
      <c r="AV1641" s="40">
        <f>AV1640*(1-IF(B1640&gt;=in_marketplace_from,d_hz_shop*G1640,0))</f>
        <v/>
      </c>
      <c r="AW1641" s="46">
        <f>AV1641*IF(B1641&gt;=in_marketplace_from,d_hz_shop*G1641,0)</f>
        <v/>
      </c>
      <c r="AX1641" s="14">
        <f>F1641*AW1641*in_shop_ticket*in_shop_comm*in_ins_partner_share+F1641*in_shop_ticket*in_shop_renew_comm*in_ins_partner_share*(in_shop_renew^1*SUMIFS(AW1622:AW1641,B1622:B1641,B1641-12)+in_shop_renew^2*SUMIFS(AW1622:AW1641,B1622:B1641,B1641-24)+in_shop_renew^3*SUMIFS(AW1622:AW1641,B1622:B1641,B1641-36)+in_shop_renew^4*SUMIFS(AW1622:AW1641,B1622:B1641,B1641-48))</f>
        <v/>
      </c>
      <c r="AY1641" s="40">
        <f>AY1640*(1-IF(B1640&gt;=in_marketplace_from,d_hz_sip*G1640,0))</f>
        <v/>
      </c>
      <c r="AZ1641" s="40">
        <f>AZ1640*d_rho_sip+AY1641*IF(B1641&gt;=in_marketplace_from,d_hz_sip*G1641,0)</f>
        <v/>
      </c>
      <c r="BA1641" s="40">
        <f>d_rho_sip*(BA1640+AZ1640)</f>
        <v/>
      </c>
      <c r="BB1641" s="14">
        <f>F1641*in_sip_ticket*(BA1641+0.5*AZ1641)*in_sip_comm/12</f>
        <v/>
      </c>
      <c r="BC1641" s="40">
        <f>BC1640*(1-IF(B1640&gt;=in_marketplace_from,d_hz_choti*G1640,0))</f>
        <v/>
      </c>
      <c r="BD1641" s="46">
        <f>BC1641*IF(B1641&gt;=in_marketplace_from,d_hz_choti*G1641,0)</f>
        <v/>
      </c>
      <c r="BE1641" s="14">
        <f>F1641*SUMIFS(BD1622:BD1641,B1622:B1641,B1641-in_choti_months)*in_choti_renew*in_choti_ticket</f>
        <v/>
      </c>
      <c r="BF1641" s="40">
        <f>BF1640*(1-IF(B1640&gt;=in_marketplace_from,d_hz_nps*G1640,0))</f>
        <v/>
      </c>
      <c r="BG1641" s="14">
        <f>F1641*BF1641*IF(B1641&gt;=in_marketplace_from,d_hz_nps*G1641,0)*in_nps_ticket*in_nps_comm</f>
        <v/>
      </c>
      <c r="BH1641" s="40">
        <f>BH1640*(1-IF(B1640&gt;=in_marketplace_from,d_hz_gold*G1640,0))</f>
        <v/>
      </c>
      <c r="BI1641" s="40">
        <f>BI1640*d_rho_gold+BH1641*IF(B1641&gt;=in_marketplace_from,d_hz_gold*G1641,0)</f>
        <v/>
      </c>
      <c r="BJ1641" s="14">
        <f>F1641*BI1641*in_gold_ticket*in_gold_comm</f>
        <v/>
      </c>
      <c r="BK1641" s="40">
        <f>BK1640*(1-IF(B1640&gt;=in_marketplace_from,d_hz_fd*G1640,0))</f>
        <v/>
      </c>
      <c r="BL1641" s="14">
        <f>F1641*BK1641*IF(B1641&gt;=in_marketplace_from,d_hz_fd*G1641,0)*in_fd_ticket*in_fd_comm</f>
        <v/>
      </c>
      <c r="BM1641" s="40">
        <f>BM1640*(1-IF(B1640&gt;=in_marketplace_from,d_hz_recharge*G1640,0))</f>
        <v/>
      </c>
      <c r="BN1641" s="40">
        <f>BN1640*d_rho_recharge+BM1641*IF(B1641&gt;=in_marketplace_from,d_hz_recharge*G1641,0)</f>
        <v/>
      </c>
      <c r="BO1641" s="14">
        <f>F1641*BN1641*in_recharge_ticket*in_recharge_comm/12</f>
        <v/>
      </c>
      <c r="BP1641" s="40">
        <f>BP1640*(1-IF(B1640&gt;=in_marketplace_from,d_hz_bills*G1640,0))</f>
        <v/>
      </c>
      <c r="BQ1641" s="40">
        <f>BQ1640*d_rho_bills+BP1641*IF(B1641&gt;=in_marketplace_from,d_hz_bills*G1641,0)</f>
        <v/>
      </c>
      <c r="BR1641" s="14">
        <f>F1641*BQ1641*in_bills_ticket*in_bills_comm/12</f>
        <v/>
      </c>
      <c r="BS1641" s="40">
        <f>BS1640*(1-IF(B1640&gt;=in_marketplace_from,d_hz_loan_gold*G1640,0))</f>
        <v/>
      </c>
      <c r="BT1641" s="14">
        <f>F1641*BS1641*IF(B1641&gt;=in_marketplace_from,d_hz_loan_gold*G1641,0)*in_loan_gold_ticket*in_loan_gold_comm</f>
        <v/>
      </c>
      <c r="BU1641" s="40">
        <f>BU1640*(1-IF(B1640&gt;=in_marketplace_from,d_hz_loan_cd*G1640,0))</f>
        <v/>
      </c>
      <c r="BV1641" s="14">
        <f>F1641*BU1641*IF(B1641&gt;=in_marketplace_from,d_hz_loan_cd*G1641,0)*in_loan_cd_ticket*in_loan_cd_comm</f>
        <v/>
      </c>
      <c r="BW1641" s="40">
        <f>BW1640*(1-IF(B1640&gt;=in_marketplace_from,d_hz_loan_vehicle*G1640,0))</f>
        <v/>
      </c>
      <c r="BX1641" s="14">
        <f>F1641*BW1641*IF(B1641&gt;=in_marketplace_from,d_hz_loan_vehicle*G1641,0)*in_loan_vehicle_ticket*in_loan_vehicle_comm</f>
        <v/>
      </c>
      <c r="BY1641" s="40">
        <f>BY1640*(1-IF(B1640&gt;=in_marketplace_from,d_hz_loan_home*G1640,0)*BZ1640)</f>
        <v/>
      </c>
      <c r="BZ1641" s="11">
        <f>MIN(in_approval_cap,in_loan_home_approval*INDEX('Age profile'!$O$2:$O$61,B1641)*(1+in_approval_growth)^(D1641-1))</f>
        <v/>
      </c>
      <c r="CA1641" s="14">
        <f>F1641*BY1641*IF(B1641&gt;=in_marketplace_from,d_hz_loan_home*G1641,0)*BZ1641*in_loan_home_ticket*in_loan_home_comm</f>
        <v/>
      </c>
      <c r="CB1641" s="40">
        <f>CB1640*(1-IF(B1640&gt;=in_marketplace_from,d_hz_loan_lap*G1640,0)*CC1640)</f>
        <v/>
      </c>
      <c r="CC1641" s="11">
        <f>MIN(in_approval_cap,in_loan_lap_approval*INDEX('Age profile'!$O$2:$O$61,B1641)*(1+in_approval_growth)^(D1641-1))</f>
        <v/>
      </c>
      <c r="CD1641" s="14">
        <f>F1641*CB1641*IF(B1641&gt;=in_marketplace_from,d_hz_loan_lap*G1641,0)*CC1641*in_loan_lap_ticket*in_loan_lap_comm</f>
        <v/>
      </c>
      <c r="CE1641" s="14">
        <f>AA1641+AB1641+AC1641+AD1641+AG1641+AJ1641+AM1641+AP1641+AS1641+AU1641+AX1641+BB1641+BE1641+BG1641+BJ1641+BL1641+BO1641+BR1641+BT1641+BV1641+BX1641+CA1641+CD1641</f>
        <v/>
      </c>
    </row>
    <row r="1642">
      <c r="A1642" s="39" t="n">
        <v>42</v>
      </c>
      <c r="B1642" s="39" t="n">
        <v>1</v>
      </c>
      <c r="C1642" s="39">
        <f>A1642+B1642-1</f>
        <v/>
      </c>
      <c r="D1642" s="39">
        <f>INT((C1642-1)/12)+1</f>
        <v/>
      </c>
      <c r="E1642" s="44">
        <f>INDEX(Monthly!$B$2:$B$61,A1642)</f>
        <v/>
      </c>
      <c r="F1642" s="44">
        <f>E1642*INDEX('Age profile'!$B$2:$B$61,B1642)</f>
        <v/>
      </c>
      <c r="G1642" s="45">
        <f>MIN(in_takeup_cap,INDEX('Age profile'!$N$2:$N$61,B1642)*(1+in_takeup_growth)^(D1642-1))</f>
        <v/>
      </c>
      <c r="H1642" s="11">
        <f>MIN(in_approval_cap,in_approved_first*INDEX('Age profile'!$O$2:$O$61,B1642)*(1+in_approval_growth)^(D1642-1))</f>
        <v/>
      </c>
      <c r="I1642" s="45">
        <f>G1642*MIN(in_takeup_cap,INDEX('Age profile'!$O$2:$O$61,B1642)*(1+in_approval_growth)^(D1642-1))</f>
        <v/>
      </c>
      <c r="J1642" s="40">
        <f>E1642</f>
        <v/>
      </c>
      <c r="K1642" s="40" t="n">
        <v>0</v>
      </c>
      <c r="L1642" s="40">
        <f>IF(B1642&gt;=in_marketplace_from,J1642*d_hz*G1642*in_eligible*H1642,0)</f>
        <v/>
      </c>
      <c r="M1642" s="40">
        <f>IF(B1642&gt;=in_marketplace_from,K1642*d_hz*G1642*in_eligible*in_approved_repeat,0)</f>
        <v/>
      </c>
      <c r="N1642" s="40">
        <f>L1642+M1642</f>
        <v/>
      </c>
      <c r="O1642" s="46">
        <f>N1642/F1642</f>
        <v/>
      </c>
      <c r="P1642" s="40">
        <f>F1642-J1642-K1642</f>
        <v/>
      </c>
      <c r="Q1642" s="40">
        <f>IF(B1642&gt;=in_marketplace_from,(J1642+K1642)*d_hz*G1642,0)</f>
        <v/>
      </c>
      <c r="R1642" s="40">
        <f>SUMIFS(N1642:N1660,B1642:B1660,"&gt;="&amp;(B1642-d_T),B1642:B1660,"&lt;="&amp;(B1642-1))</f>
        <v/>
      </c>
      <c r="S1642" s="46" t="n">
        <v>0</v>
      </c>
      <c r="T1642" s="40">
        <f>F1642*d_u*S1642</f>
        <v/>
      </c>
      <c r="U1642" s="9">
        <f>L1642*in_ticket+M1642*d_rep_ticket</f>
        <v/>
      </c>
      <c r="V1642" s="9">
        <f>U1642+T1642*d_topup_amt</f>
        <v/>
      </c>
      <c r="W1642" s="40">
        <f>N1642+T1642*d_topup_ratio</f>
        <v/>
      </c>
      <c r="X1642" s="40">
        <f>SUMIFS(W1642:W1660,B1642:B1660,B1642-in_dpd_lag)*d_cured</f>
        <v/>
      </c>
      <c r="Y1642" s="40">
        <f>SUMIFS(W1642:W1660,B1642:B1660,B1642-in_rec_lag)*d_recd</f>
        <v/>
      </c>
      <c r="Z1642" s="40">
        <f>IF(AND(B1642&gt;=in_marketplace_from,B1642&lt;in_marketplace_from+in_card_months),in_card_share/in_card_months*F1642*I1642,IF(AND(B1642&gt;=in_marketplace_from+in_card_months,B1642&lt;in_marketplace_from+2*in_card_months),in_card_share*d_card_rem/in_card_months*F1642*MIN(in_takeup_cap,(1+in_takeup_growth)^(D1642-1))*MIN(in_takeup_cap,(1+in_approval_growth)^(D1642-1)),0))</f>
        <v/>
      </c>
      <c r="AA1642" s="14">
        <f>V1642*in_fee*(1-in_taken_back)</f>
        <v/>
      </c>
      <c r="AB1642" s="14">
        <f>SUMIFS(W1642:W1660,B1642:B1660,B1642-in_dpd_lag)*d_dpd</f>
        <v/>
      </c>
      <c r="AC1642" s="14">
        <f>SUMIFS(W1642:W1660,B1642:B1660,B1642-in_rec_lag)*d_rec</f>
        <v/>
      </c>
      <c r="AD1642" s="14">
        <f>Z1642*in_card_fee</f>
        <v/>
      </c>
      <c r="AE1642" s="40" t="n">
        <v>1</v>
      </c>
      <c r="AF1642" s="46">
        <f>AE1642*IF(B1642&gt;=in_marketplace_from,d_hz_hlth_small*G1642,0)</f>
        <v/>
      </c>
      <c r="AG1642" s="14">
        <f>F1642*AF1642*in_hlth_small_ticket*in_hlth_small_comm*in_ins_partner_share+F1642*in_hlth_small_ticket*in_hlth_small_renew_comm*in_ins_partner_share*(in_hlth_small_renew^1*SUMIFS(AF1642:AF1660,B1642:B1660,B1642-12)+in_hlth_small_renew^2*SUMIFS(AF1642:AF1660,B1642:B1660,B1642-24)+in_hlth_small_renew^3*SUMIFS(AF1642:AF1660,B1642:B1660,B1642-36)+in_hlth_small_renew^4*SUMIFS(AF1642:AF1660,B1642:B1660,B1642-48))</f>
        <v/>
      </c>
      <c r="AH1642" s="40" t="n">
        <v>1</v>
      </c>
      <c r="AI1642" s="46">
        <f>AH1642*IF(B1642&gt;=in_marketplace_from,d_hz_hlth_family*G1642,0)</f>
        <v/>
      </c>
      <c r="AJ1642" s="14">
        <f>F1642*AI1642*in_hlth_family_ticket*in_hlth_family_comm*in_ins_partner_share+F1642*in_hlth_family_ticket*in_hlth_family_renew_comm*in_ins_partner_share*(in_hlth_family_renew^1*SUMIFS(AI1642:AI1660,B1642:B1660,B1642-12)+in_hlth_family_renew^2*SUMIFS(AI1642:AI1660,B1642:B1660,B1642-24)+in_hlth_family_renew^3*SUMIFS(AI1642:AI1660,B1642:B1660,B1642-36)+in_hlth_family_renew^4*SUMIFS(AI1642:AI1660,B1642:B1660,B1642-48))</f>
        <v/>
      </c>
      <c r="AK1642" s="40" t="n">
        <v>1</v>
      </c>
      <c r="AL1642" s="46">
        <f>AK1642*IF(B1642&gt;=in_marketplace_from,d_hz_life_term*G1642,0)</f>
        <v/>
      </c>
      <c r="AM1642" s="14">
        <f>F1642*AL1642*in_life_term_ticket*in_life_term_comm*in_ins_partner_share+F1642*in_life_term_ticket*in_life_term_renew_comm*in_ins_partner_share*(in_life_term_renew^1*SUMIFS(AL1642:AL1660,B1642:B1660,B1642-12)+in_life_term_renew^2*SUMIFS(AL1642:AL1660,B1642:B1660,B1642-24)+in_life_term_renew^3*SUMIFS(AL1642:AL1660,B1642:B1660,B1642-36)+in_life_term_renew^4*SUMIFS(AL1642:AL1660,B1642:B1660,B1642-48))</f>
        <v/>
      </c>
      <c r="AN1642" s="40" t="n">
        <v>1</v>
      </c>
      <c r="AO1642" s="46">
        <f>AN1642*IF(B1642&gt;=in_marketplace_from,d_hz_accident*G1642,0)</f>
        <v/>
      </c>
      <c r="AP1642" s="14">
        <f>F1642*AO1642*in_accident_ticket*in_accident_comm*in_ins_partner_share+F1642*in_accident_ticket*in_accident_renew_comm*in_ins_partner_share*(in_accident_renew^1*SUMIFS(AO1642:AO1660,B1642:B1660,B1642-12)+in_accident_renew^2*SUMIFS(AO1642:AO1660,B1642:B1660,B1642-24)+in_accident_renew^3*SUMIFS(AO1642:AO1660,B1642:B1660,B1642-36)+in_accident_renew^4*SUMIFS(AO1642:AO1660,B1642:B1660,B1642-48))</f>
        <v/>
      </c>
      <c r="AQ1642" s="40" t="n">
        <v>1</v>
      </c>
      <c r="AR1642" s="46">
        <f>AQ1642*IF(B1642&gt;=in_marketplace_from,d_hz_two_wheeler*G1642,0)</f>
        <v/>
      </c>
      <c r="AS1642" s="14">
        <f>F1642*AR1642*in_two_wheeler_ticket*in_two_wheeler_comm*in_ins_partner_share+F1642*in_two_wheeler_ticket*in_two_wheeler_comm*in_ins_partner_share*(in_two_wheeler_renew^1*SUMIFS(AR1642:AR1660,B1642:B1660,B1642-12)+in_two_wheeler_renew^2*SUMIFS(AR1642:AR1660,B1642:B1660,B1642-24)+in_two_wheeler_renew^3*SUMIFS(AR1642:AR1660,B1642:B1660,B1642-36)+in_two_wheeler_renew^4*SUMIFS(AR1642:AR1660,B1642:B1660,B1642-48))</f>
        <v/>
      </c>
      <c r="AT1642" s="40" t="n">
        <v>1</v>
      </c>
      <c r="AU1642" s="14">
        <f>F1642*AT1642*IF(B1642&gt;=in_marketplace_from,d_hz_device*G1642,0)*in_device_ticket*in_device_comm*in_ins_partner_share</f>
        <v/>
      </c>
      <c r="AV1642" s="40" t="n">
        <v>1</v>
      </c>
      <c r="AW1642" s="46">
        <f>AV1642*IF(B1642&gt;=in_marketplace_from,d_hz_shop*G1642,0)</f>
        <v/>
      </c>
      <c r="AX1642" s="14">
        <f>F1642*AW1642*in_shop_ticket*in_shop_comm*in_ins_partner_share+F1642*in_shop_ticket*in_shop_renew_comm*in_ins_partner_share*(in_shop_renew^1*SUMIFS(AW1642:AW1660,B1642:B1660,B1642-12)+in_shop_renew^2*SUMIFS(AW1642:AW1660,B1642:B1660,B1642-24)+in_shop_renew^3*SUMIFS(AW1642:AW1660,B1642:B1660,B1642-36)+in_shop_renew^4*SUMIFS(AW1642:AW1660,B1642:B1660,B1642-48))</f>
        <v/>
      </c>
      <c r="AY1642" s="40" t="n">
        <v>1</v>
      </c>
      <c r="AZ1642" s="40">
        <f>AY1642*IF(B1642&gt;=in_marketplace_from,d_hz_sip*G1642,0)</f>
        <v/>
      </c>
      <c r="BA1642" s="40" t="n">
        <v>0</v>
      </c>
      <c r="BB1642" s="14">
        <f>F1642*in_sip_ticket*(BA1642+0.5*AZ1642)*in_sip_comm/12</f>
        <v/>
      </c>
      <c r="BC1642" s="40" t="n">
        <v>1</v>
      </c>
      <c r="BD1642" s="46">
        <f>BC1642*IF(B1642&gt;=in_marketplace_from,d_hz_choti*G1642,0)</f>
        <v/>
      </c>
      <c r="BE1642" s="14">
        <f>F1642*SUMIFS(BD1642:BD1660,B1642:B1660,B1642-in_choti_months)*in_choti_renew*in_choti_ticket</f>
        <v/>
      </c>
      <c r="BF1642" s="40" t="n">
        <v>1</v>
      </c>
      <c r="BG1642" s="14">
        <f>F1642*BF1642*IF(B1642&gt;=in_marketplace_from,d_hz_nps*G1642,0)*in_nps_ticket*in_nps_comm</f>
        <v/>
      </c>
      <c r="BH1642" s="40" t="n">
        <v>1</v>
      </c>
      <c r="BI1642" s="40">
        <f>BH1642*IF(B1642&gt;=in_marketplace_from,d_hz_gold*G1642,0)</f>
        <v/>
      </c>
      <c r="BJ1642" s="14">
        <f>F1642*BI1642*in_gold_ticket*in_gold_comm</f>
        <v/>
      </c>
      <c r="BK1642" s="40" t="n">
        <v>1</v>
      </c>
      <c r="BL1642" s="14">
        <f>F1642*BK1642*IF(B1642&gt;=in_marketplace_from,d_hz_fd*G1642,0)*in_fd_ticket*in_fd_comm</f>
        <v/>
      </c>
      <c r="BM1642" s="40" t="n">
        <v>1</v>
      </c>
      <c r="BN1642" s="40">
        <f>BM1642*IF(B1642&gt;=in_marketplace_from,d_hz_recharge*G1642,0)</f>
        <v/>
      </c>
      <c r="BO1642" s="14">
        <f>F1642*BN1642*in_recharge_ticket*in_recharge_comm/12</f>
        <v/>
      </c>
      <c r="BP1642" s="40" t="n">
        <v>1</v>
      </c>
      <c r="BQ1642" s="40">
        <f>BP1642*IF(B1642&gt;=in_marketplace_from,d_hz_bills*G1642,0)</f>
        <v/>
      </c>
      <c r="BR1642" s="14">
        <f>F1642*BQ1642*in_bills_ticket*in_bills_comm/12</f>
        <v/>
      </c>
      <c r="BS1642" s="40" t="n">
        <v>1</v>
      </c>
      <c r="BT1642" s="14">
        <f>F1642*BS1642*IF(B1642&gt;=in_marketplace_from,d_hz_loan_gold*G1642,0)*in_loan_gold_ticket*in_loan_gold_comm</f>
        <v/>
      </c>
      <c r="BU1642" s="40" t="n">
        <v>1</v>
      </c>
      <c r="BV1642" s="14">
        <f>F1642*BU1642*IF(B1642&gt;=in_marketplace_from,d_hz_loan_cd*G1642,0)*in_loan_cd_ticket*in_loan_cd_comm</f>
        <v/>
      </c>
      <c r="BW1642" s="40" t="n">
        <v>1</v>
      </c>
      <c r="BX1642" s="14">
        <f>F1642*BW1642*IF(B1642&gt;=in_marketplace_from,d_hz_loan_vehicle*G1642,0)*in_loan_vehicle_ticket*in_loan_vehicle_comm</f>
        <v/>
      </c>
      <c r="BY1642" s="40" t="n">
        <v>1</v>
      </c>
      <c r="BZ1642" s="11">
        <f>MIN(in_approval_cap,in_loan_home_approval*INDEX('Age profile'!$O$2:$O$61,B1642)*(1+in_approval_growth)^(D1642-1))</f>
        <v/>
      </c>
      <c r="CA1642" s="14">
        <f>F1642*BY1642*IF(B1642&gt;=in_marketplace_from,d_hz_loan_home*G1642,0)*BZ1642*in_loan_home_ticket*in_loan_home_comm</f>
        <v/>
      </c>
      <c r="CB1642" s="40" t="n">
        <v>1</v>
      </c>
      <c r="CC1642" s="11">
        <f>MIN(in_approval_cap,in_loan_lap_approval*INDEX('Age profile'!$O$2:$O$61,B1642)*(1+in_approval_growth)^(D1642-1))</f>
        <v/>
      </c>
      <c r="CD1642" s="14">
        <f>F1642*CB1642*IF(B1642&gt;=in_marketplace_from,d_hz_loan_lap*G1642,0)*CC1642*in_loan_lap_ticket*in_loan_lap_comm</f>
        <v/>
      </c>
      <c r="CE1642" s="14">
        <f>AA1642+AB1642+AC1642+AD1642+AG1642+AJ1642+AM1642+AP1642+AS1642+AU1642+AX1642+BB1642+BE1642+BG1642+BJ1642+BL1642+BO1642+BR1642+BT1642+BV1642+BX1642+CA1642+CD1642</f>
        <v/>
      </c>
    </row>
    <row r="1643">
      <c r="A1643" s="39" t="n">
        <v>42</v>
      </c>
      <c r="B1643" s="39" t="n">
        <v>2</v>
      </c>
      <c r="C1643" s="39">
        <f>A1643+B1643-1</f>
        <v/>
      </c>
      <c r="D1643" s="39">
        <f>INT((C1643-1)/12)+1</f>
        <v/>
      </c>
      <c r="E1643" s="44">
        <f>INDEX(Monthly!$B$2:$B$61,A1643)</f>
        <v/>
      </c>
      <c r="F1643" s="44">
        <f>E1643*INDEX('Age profile'!$B$2:$B$61,B1643)</f>
        <v/>
      </c>
      <c r="G1643" s="45">
        <f>MIN(in_takeup_cap,INDEX('Age profile'!$N$2:$N$61,B1643)*(1+in_takeup_growth)^(D1643-1))</f>
        <v/>
      </c>
      <c r="H1643" s="11">
        <f>MIN(in_approval_cap,in_approved_first*INDEX('Age profile'!$O$2:$O$61,B1643)*(1+in_approval_growth)^(D1643-1))</f>
        <v/>
      </c>
      <c r="I1643" s="45">
        <f>G1643*MIN(in_takeup_cap,INDEX('Age profile'!$O$2:$O$61,B1643)*(1+in_approval_growth)^(D1643-1))</f>
        <v/>
      </c>
      <c r="J1643" s="40">
        <f>(J1642-L1642)*F1643/F1642</f>
        <v/>
      </c>
      <c r="K1643" s="40">
        <f>(K1642-M1642)*F1643/F1642+SUMIFS(O1642:O1642,B1642:B1642,B1643-1-d_T)*F1643</f>
        <v/>
      </c>
      <c r="L1643" s="40">
        <f>IF(B1643&gt;=in_marketplace_from,J1643*d_hz*G1643*in_eligible*H1643,0)</f>
        <v/>
      </c>
      <c r="M1643" s="40">
        <f>IF(B1643&gt;=in_marketplace_from,K1643*d_hz*G1643*in_eligible*in_approved_repeat,0)</f>
        <v/>
      </c>
      <c r="N1643" s="40">
        <f>L1643+M1643</f>
        <v/>
      </c>
      <c r="O1643" s="46">
        <f>N1643/F1643</f>
        <v/>
      </c>
      <c r="P1643" s="40">
        <f>F1643-J1643-K1643</f>
        <v/>
      </c>
      <c r="Q1643" s="40">
        <f>IF(B1643&gt;=in_marketplace_from,(J1643+K1643)*d_hz*G1643,0)</f>
        <v/>
      </c>
      <c r="R1643" s="40">
        <f>SUMIFS(N1642:N1660,B1642:B1660,"&gt;="&amp;(B1643-d_T),B1642:B1660,"&lt;="&amp;(B1643-1))</f>
        <v/>
      </c>
      <c r="S1643" s="46">
        <f>(1-d_u)*S1642+IF(d_T&gt;in_topup_lag,SUMIFS(O1642:O1660,B1642:B1660,B1643-in_topup_lag)-d_udrop*SUMIFS(O1642:O1660,B1642:B1660,B1643-d_T),0)</f>
        <v/>
      </c>
      <c r="T1643" s="40">
        <f>F1643*d_u*S1643</f>
        <v/>
      </c>
      <c r="U1643" s="9">
        <f>L1643*in_ticket+M1643*d_rep_ticket</f>
        <v/>
      </c>
      <c r="V1643" s="9">
        <f>U1643+T1643*d_topup_amt</f>
        <v/>
      </c>
      <c r="W1643" s="40">
        <f>N1643+T1643*d_topup_ratio</f>
        <v/>
      </c>
      <c r="X1643" s="40">
        <f>SUMIFS(W1642:W1660,B1642:B1660,B1643-in_dpd_lag)*d_cured</f>
        <v/>
      </c>
      <c r="Y1643" s="40">
        <f>SUMIFS(W1642:W1660,B1642:B1660,B1643-in_rec_lag)*d_recd</f>
        <v/>
      </c>
      <c r="Z1643" s="40">
        <f>IF(AND(B1643&gt;=in_marketplace_from,B1643&lt;in_marketplace_from+in_card_months),in_card_share/in_card_months*F1643*I1643,IF(AND(B1643&gt;=in_marketplace_from+in_card_months,B1643&lt;in_marketplace_from+2*in_card_months),in_card_share*d_card_rem/in_card_months*F1643*MIN(in_takeup_cap,(1+in_takeup_growth)^(D1643-1))*MIN(in_takeup_cap,(1+in_approval_growth)^(D1643-1)),0))</f>
        <v/>
      </c>
      <c r="AA1643" s="14">
        <f>V1643*in_fee*(1-in_taken_back)</f>
        <v/>
      </c>
      <c r="AB1643" s="14">
        <f>SUMIFS(W1642:W1660,B1642:B1660,B1643-in_dpd_lag)*d_dpd</f>
        <v/>
      </c>
      <c r="AC1643" s="14">
        <f>SUMIFS(W1642:W1660,B1642:B1660,B1643-in_rec_lag)*d_rec</f>
        <v/>
      </c>
      <c r="AD1643" s="14">
        <f>Z1643*in_card_fee</f>
        <v/>
      </c>
      <c r="AE1643" s="40">
        <f>AE1642*(1-IF(B1642&gt;=in_marketplace_from,d_hz_hlth_small*G1642,0))</f>
        <v/>
      </c>
      <c r="AF1643" s="46">
        <f>AE1643*IF(B1643&gt;=in_marketplace_from,d_hz_hlth_small*G1643,0)</f>
        <v/>
      </c>
      <c r="AG1643" s="14">
        <f>F1643*AF1643*in_hlth_small_ticket*in_hlth_small_comm*in_ins_partner_share+F1643*in_hlth_small_ticket*in_hlth_small_renew_comm*in_ins_partner_share*(in_hlth_small_renew^1*SUMIFS(AF1642:AF1660,B1642:B1660,B1643-12)+in_hlth_small_renew^2*SUMIFS(AF1642:AF1660,B1642:B1660,B1643-24)+in_hlth_small_renew^3*SUMIFS(AF1642:AF1660,B1642:B1660,B1643-36)+in_hlth_small_renew^4*SUMIFS(AF1642:AF1660,B1642:B1660,B1643-48))</f>
        <v/>
      </c>
      <c r="AH1643" s="40">
        <f>AH1642*(1-IF(B1642&gt;=in_marketplace_from,d_hz_hlth_family*G1642,0))</f>
        <v/>
      </c>
      <c r="AI1643" s="46">
        <f>AH1643*IF(B1643&gt;=in_marketplace_from,d_hz_hlth_family*G1643,0)</f>
        <v/>
      </c>
      <c r="AJ1643" s="14">
        <f>F1643*AI1643*in_hlth_family_ticket*in_hlth_family_comm*in_ins_partner_share+F1643*in_hlth_family_ticket*in_hlth_family_renew_comm*in_ins_partner_share*(in_hlth_family_renew^1*SUMIFS(AI1642:AI1660,B1642:B1660,B1643-12)+in_hlth_family_renew^2*SUMIFS(AI1642:AI1660,B1642:B1660,B1643-24)+in_hlth_family_renew^3*SUMIFS(AI1642:AI1660,B1642:B1660,B1643-36)+in_hlth_family_renew^4*SUMIFS(AI1642:AI1660,B1642:B1660,B1643-48))</f>
        <v/>
      </c>
      <c r="AK1643" s="40">
        <f>AK1642*(1-IF(B1642&gt;=in_marketplace_from,d_hz_life_term*G1642,0))</f>
        <v/>
      </c>
      <c r="AL1643" s="46">
        <f>AK1643*IF(B1643&gt;=in_marketplace_from,d_hz_life_term*G1643,0)</f>
        <v/>
      </c>
      <c r="AM1643" s="14">
        <f>F1643*AL1643*in_life_term_ticket*in_life_term_comm*in_ins_partner_share+F1643*in_life_term_ticket*in_life_term_renew_comm*in_ins_partner_share*(in_life_term_renew^1*SUMIFS(AL1642:AL1660,B1642:B1660,B1643-12)+in_life_term_renew^2*SUMIFS(AL1642:AL1660,B1642:B1660,B1643-24)+in_life_term_renew^3*SUMIFS(AL1642:AL1660,B1642:B1660,B1643-36)+in_life_term_renew^4*SUMIFS(AL1642:AL1660,B1642:B1660,B1643-48))</f>
        <v/>
      </c>
      <c r="AN1643" s="40">
        <f>AN1642*(1-IF(B1642&gt;=in_marketplace_from,d_hz_accident*G1642,0))</f>
        <v/>
      </c>
      <c r="AO1643" s="46">
        <f>AN1643*IF(B1643&gt;=in_marketplace_from,d_hz_accident*G1643,0)</f>
        <v/>
      </c>
      <c r="AP1643" s="14">
        <f>F1643*AO1643*in_accident_ticket*in_accident_comm*in_ins_partner_share+F1643*in_accident_ticket*in_accident_renew_comm*in_ins_partner_share*(in_accident_renew^1*SUMIFS(AO1642:AO1660,B1642:B1660,B1643-12)+in_accident_renew^2*SUMIFS(AO1642:AO1660,B1642:B1660,B1643-24)+in_accident_renew^3*SUMIFS(AO1642:AO1660,B1642:B1660,B1643-36)+in_accident_renew^4*SUMIFS(AO1642:AO1660,B1642:B1660,B1643-48))</f>
        <v/>
      </c>
      <c r="AQ1643" s="40">
        <f>AQ1642*(1-IF(B1642&gt;=in_marketplace_from,d_hz_two_wheeler*G1642,0))</f>
        <v/>
      </c>
      <c r="AR1643" s="46">
        <f>AQ1643*IF(B1643&gt;=in_marketplace_from,d_hz_two_wheeler*G1643,0)</f>
        <v/>
      </c>
      <c r="AS1643" s="14">
        <f>F1643*AR1643*in_two_wheeler_ticket*in_two_wheeler_comm*in_ins_partner_share+F1643*in_two_wheeler_ticket*in_two_wheeler_comm*in_ins_partner_share*(in_two_wheeler_renew^1*SUMIFS(AR1642:AR1660,B1642:B1660,B1643-12)+in_two_wheeler_renew^2*SUMIFS(AR1642:AR1660,B1642:B1660,B1643-24)+in_two_wheeler_renew^3*SUMIFS(AR1642:AR1660,B1642:B1660,B1643-36)+in_two_wheeler_renew^4*SUMIFS(AR1642:AR1660,B1642:B1660,B1643-48))</f>
        <v/>
      </c>
      <c r="AT1643" s="40">
        <f>AT1642*(1-IF(B1642&gt;=in_marketplace_from,d_hz_device*G1642,0))</f>
        <v/>
      </c>
      <c r="AU1643" s="14">
        <f>F1643*AT1643*IF(B1643&gt;=in_marketplace_from,d_hz_device*G1643,0)*in_device_ticket*in_device_comm*in_ins_partner_share</f>
        <v/>
      </c>
      <c r="AV1643" s="40">
        <f>AV1642*(1-IF(B1642&gt;=in_marketplace_from,d_hz_shop*G1642,0))</f>
        <v/>
      </c>
      <c r="AW1643" s="46">
        <f>AV1643*IF(B1643&gt;=in_marketplace_from,d_hz_shop*G1643,0)</f>
        <v/>
      </c>
      <c r="AX1643" s="14">
        <f>F1643*AW1643*in_shop_ticket*in_shop_comm*in_ins_partner_share+F1643*in_shop_ticket*in_shop_renew_comm*in_ins_partner_share*(in_shop_renew^1*SUMIFS(AW1642:AW1660,B1642:B1660,B1643-12)+in_shop_renew^2*SUMIFS(AW1642:AW1660,B1642:B1660,B1643-24)+in_shop_renew^3*SUMIFS(AW1642:AW1660,B1642:B1660,B1643-36)+in_shop_renew^4*SUMIFS(AW1642:AW1660,B1642:B1660,B1643-48))</f>
        <v/>
      </c>
      <c r="AY1643" s="40">
        <f>AY1642*(1-IF(B1642&gt;=in_marketplace_from,d_hz_sip*G1642,0))</f>
        <v/>
      </c>
      <c r="AZ1643" s="40">
        <f>AZ1642*d_rho_sip+AY1643*IF(B1643&gt;=in_marketplace_from,d_hz_sip*G1643,0)</f>
        <v/>
      </c>
      <c r="BA1643" s="40">
        <f>d_rho_sip*(BA1642+AZ1642)</f>
        <v/>
      </c>
      <c r="BB1643" s="14">
        <f>F1643*in_sip_ticket*(BA1643+0.5*AZ1643)*in_sip_comm/12</f>
        <v/>
      </c>
      <c r="BC1643" s="40">
        <f>BC1642*(1-IF(B1642&gt;=in_marketplace_from,d_hz_choti*G1642,0))</f>
        <v/>
      </c>
      <c r="BD1643" s="46">
        <f>BC1643*IF(B1643&gt;=in_marketplace_from,d_hz_choti*G1643,0)</f>
        <v/>
      </c>
      <c r="BE1643" s="14">
        <f>F1643*SUMIFS(BD1642:BD1660,B1642:B1660,B1643-in_choti_months)*in_choti_renew*in_choti_ticket</f>
        <v/>
      </c>
      <c r="BF1643" s="40">
        <f>BF1642*(1-IF(B1642&gt;=in_marketplace_from,d_hz_nps*G1642,0))</f>
        <v/>
      </c>
      <c r="BG1643" s="14">
        <f>F1643*BF1643*IF(B1643&gt;=in_marketplace_from,d_hz_nps*G1643,0)*in_nps_ticket*in_nps_comm</f>
        <v/>
      </c>
      <c r="BH1643" s="40">
        <f>BH1642*(1-IF(B1642&gt;=in_marketplace_from,d_hz_gold*G1642,0))</f>
        <v/>
      </c>
      <c r="BI1643" s="40">
        <f>BI1642*d_rho_gold+BH1643*IF(B1643&gt;=in_marketplace_from,d_hz_gold*G1643,0)</f>
        <v/>
      </c>
      <c r="BJ1643" s="14">
        <f>F1643*BI1643*in_gold_ticket*in_gold_comm</f>
        <v/>
      </c>
      <c r="BK1643" s="40">
        <f>BK1642*(1-IF(B1642&gt;=in_marketplace_from,d_hz_fd*G1642,0))</f>
        <v/>
      </c>
      <c r="BL1643" s="14">
        <f>F1643*BK1643*IF(B1643&gt;=in_marketplace_from,d_hz_fd*G1643,0)*in_fd_ticket*in_fd_comm</f>
        <v/>
      </c>
      <c r="BM1643" s="40">
        <f>BM1642*(1-IF(B1642&gt;=in_marketplace_from,d_hz_recharge*G1642,0))</f>
        <v/>
      </c>
      <c r="BN1643" s="40">
        <f>BN1642*d_rho_recharge+BM1643*IF(B1643&gt;=in_marketplace_from,d_hz_recharge*G1643,0)</f>
        <v/>
      </c>
      <c r="BO1643" s="14">
        <f>F1643*BN1643*in_recharge_ticket*in_recharge_comm/12</f>
        <v/>
      </c>
      <c r="BP1643" s="40">
        <f>BP1642*(1-IF(B1642&gt;=in_marketplace_from,d_hz_bills*G1642,0))</f>
        <v/>
      </c>
      <c r="BQ1643" s="40">
        <f>BQ1642*d_rho_bills+BP1643*IF(B1643&gt;=in_marketplace_from,d_hz_bills*G1643,0)</f>
        <v/>
      </c>
      <c r="BR1643" s="14">
        <f>F1643*BQ1643*in_bills_ticket*in_bills_comm/12</f>
        <v/>
      </c>
      <c r="BS1643" s="40">
        <f>BS1642*(1-IF(B1642&gt;=in_marketplace_from,d_hz_loan_gold*G1642,0))</f>
        <v/>
      </c>
      <c r="BT1643" s="14">
        <f>F1643*BS1643*IF(B1643&gt;=in_marketplace_from,d_hz_loan_gold*G1643,0)*in_loan_gold_ticket*in_loan_gold_comm</f>
        <v/>
      </c>
      <c r="BU1643" s="40">
        <f>BU1642*(1-IF(B1642&gt;=in_marketplace_from,d_hz_loan_cd*G1642,0))</f>
        <v/>
      </c>
      <c r="BV1643" s="14">
        <f>F1643*BU1643*IF(B1643&gt;=in_marketplace_from,d_hz_loan_cd*G1643,0)*in_loan_cd_ticket*in_loan_cd_comm</f>
        <v/>
      </c>
      <c r="BW1643" s="40">
        <f>BW1642*(1-IF(B1642&gt;=in_marketplace_from,d_hz_loan_vehicle*G1642,0))</f>
        <v/>
      </c>
      <c r="BX1643" s="14">
        <f>F1643*BW1643*IF(B1643&gt;=in_marketplace_from,d_hz_loan_vehicle*G1643,0)*in_loan_vehicle_ticket*in_loan_vehicle_comm</f>
        <v/>
      </c>
      <c r="BY1643" s="40">
        <f>BY1642*(1-IF(B1642&gt;=in_marketplace_from,d_hz_loan_home*G1642,0)*BZ1642)</f>
        <v/>
      </c>
      <c r="BZ1643" s="11">
        <f>MIN(in_approval_cap,in_loan_home_approval*INDEX('Age profile'!$O$2:$O$61,B1643)*(1+in_approval_growth)^(D1643-1))</f>
        <v/>
      </c>
      <c r="CA1643" s="14">
        <f>F1643*BY1643*IF(B1643&gt;=in_marketplace_from,d_hz_loan_home*G1643,0)*BZ1643*in_loan_home_ticket*in_loan_home_comm</f>
        <v/>
      </c>
      <c r="CB1643" s="40">
        <f>CB1642*(1-IF(B1642&gt;=in_marketplace_from,d_hz_loan_lap*G1642,0)*CC1642)</f>
        <v/>
      </c>
      <c r="CC1643" s="11">
        <f>MIN(in_approval_cap,in_loan_lap_approval*INDEX('Age profile'!$O$2:$O$61,B1643)*(1+in_approval_growth)^(D1643-1))</f>
        <v/>
      </c>
      <c r="CD1643" s="14">
        <f>F1643*CB1643*IF(B1643&gt;=in_marketplace_from,d_hz_loan_lap*G1643,0)*CC1643*in_loan_lap_ticket*in_loan_lap_comm</f>
        <v/>
      </c>
      <c r="CE1643" s="14">
        <f>AA1643+AB1643+AC1643+AD1643+AG1643+AJ1643+AM1643+AP1643+AS1643+AU1643+AX1643+BB1643+BE1643+BG1643+BJ1643+BL1643+BO1643+BR1643+BT1643+BV1643+BX1643+CA1643+CD1643</f>
        <v/>
      </c>
    </row>
    <row r="1644">
      <c r="A1644" s="39" t="n">
        <v>42</v>
      </c>
      <c r="B1644" s="39" t="n">
        <v>3</v>
      </c>
      <c r="C1644" s="39">
        <f>A1644+B1644-1</f>
        <v/>
      </c>
      <c r="D1644" s="39">
        <f>INT((C1644-1)/12)+1</f>
        <v/>
      </c>
      <c r="E1644" s="44">
        <f>INDEX(Monthly!$B$2:$B$61,A1644)</f>
        <v/>
      </c>
      <c r="F1644" s="44">
        <f>E1644*INDEX('Age profile'!$B$2:$B$61,B1644)</f>
        <v/>
      </c>
      <c r="G1644" s="45">
        <f>MIN(in_takeup_cap,INDEX('Age profile'!$N$2:$N$61,B1644)*(1+in_takeup_growth)^(D1644-1))</f>
        <v/>
      </c>
      <c r="H1644" s="11">
        <f>MIN(in_approval_cap,in_approved_first*INDEX('Age profile'!$O$2:$O$61,B1644)*(1+in_approval_growth)^(D1644-1))</f>
        <v/>
      </c>
      <c r="I1644" s="45">
        <f>G1644*MIN(in_takeup_cap,INDEX('Age profile'!$O$2:$O$61,B1644)*(1+in_approval_growth)^(D1644-1))</f>
        <v/>
      </c>
      <c r="J1644" s="40">
        <f>(J1643-L1643)*F1644/F1643</f>
        <v/>
      </c>
      <c r="K1644" s="40">
        <f>(K1643-M1643)*F1644/F1643+SUMIFS(O1642:O1643,B1642:B1643,B1644-1-d_T)*F1644</f>
        <v/>
      </c>
      <c r="L1644" s="40">
        <f>IF(B1644&gt;=in_marketplace_from,J1644*d_hz*G1644*in_eligible*H1644,0)</f>
        <v/>
      </c>
      <c r="M1644" s="40">
        <f>IF(B1644&gt;=in_marketplace_from,K1644*d_hz*G1644*in_eligible*in_approved_repeat,0)</f>
        <v/>
      </c>
      <c r="N1644" s="40">
        <f>L1644+M1644</f>
        <v/>
      </c>
      <c r="O1644" s="46">
        <f>N1644/F1644</f>
        <v/>
      </c>
      <c r="P1644" s="40">
        <f>F1644-J1644-K1644</f>
        <v/>
      </c>
      <c r="Q1644" s="40">
        <f>IF(B1644&gt;=in_marketplace_from,(J1644+K1644)*d_hz*G1644,0)</f>
        <v/>
      </c>
      <c r="R1644" s="40">
        <f>SUMIFS(N1642:N1660,B1642:B1660,"&gt;="&amp;(B1644-d_T),B1642:B1660,"&lt;="&amp;(B1644-1))</f>
        <v/>
      </c>
      <c r="S1644" s="46">
        <f>(1-d_u)*S1643+IF(d_T&gt;in_topup_lag,SUMIFS(O1642:O1660,B1642:B1660,B1644-in_topup_lag)-d_udrop*SUMIFS(O1642:O1660,B1642:B1660,B1644-d_T),0)</f>
        <v/>
      </c>
      <c r="T1644" s="40">
        <f>F1644*d_u*S1644</f>
        <v/>
      </c>
      <c r="U1644" s="9">
        <f>L1644*in_ticket+M1644*d_rep_ticket</f>
        <v/>
      </c>
      <c r="V1644" s="9">
        <f>U1644+T1644*d_topup_amt</f>
        <v/>
      </c>
      <c r="W1644" s="40">
        <f>N1644+T1644*d_topup_ratio</f>
        <v/>
      </c>
      <c r="X1644" s="40">
        <f>SUMIFS(W1642:W1660,B1642:B1660,B1644-in_dpd_lag)*d_cured</f>
        <v/>
      </c>
      <c r="Y1644" s="40">
        <f>SUMIFS(W1642:W1660,B1642:B1660,B1644-in_rec_lag)*d_recd</f>
        <v/>
      </c>
      <c r="Z1644" s="40">
        <f>IF(AND(B1644&gt;=in_marketplace_from,B1644&lt;in_marketplace_from+in_card_months),in_card_share/in_card_months*F1644*I1644,IF(AND(B1644&gt;=in_marketplace_from+in_card_months,B1644&lt;in_marketplace_from+2*in_card_months),in_card_share*d_card_rem/in_card_months*F1644*MIN(in_takeup_cap,(1+in_takeup_growth)^(D1644-1))*MIN(in_takeup_cap,(1+in_approval_growth)^(D1644-1)),0))</f>
        <v/>
      </c>
      <c r="AA1644" s="14">
        <f>V1644*in_fee*(1-in_taken_back)</f>
        <v/>
      </c>
      <c r="AB1644" s="14">
        <f>SUMIFS(W1642:W1660,B1642:B1660,B1644-in_dpd_lag)*d_dpd</f>
        <v/>
      </c>
      <c r="AC1644" s="14">
        <f>SUMIFS(W1642:W1660,B1642:B1660,B1644-in_rec_lag)*d_rec</f>
        <v/>
      </c>
      <c r="AD1644" s="14">
        <f>Z1644*in_card_fee</f>
        <v/>
      </c>
      <c r="AE1644" s="40">
        <f>AE1643*(1-IF(B1643&gt;=in_marketplace_from,d_hz_hlth_small*G1643,0))</f>
        <v/>
      </c>
      <c r="AF1644" s="46">
        <f>AE1644*IF(B1644&gt;=in_marketplace_from,d_hz_hlth_small*G1644,0)</f>
        <v/>
      </c>
      <c r="AG1644" s="14">
        <f>F1644*AF1644*in_hlth_small_ticket*in_hlth_small_comm*in_ins_partner_share+F1644*in_hlth_small_ticket*in_hlth_small_renew_comm*in_ins_partner_share*(in_hlth_small_renew^1*SUMIFS(AF1642:AF1660,B1642:B1660,B1644-12)+in_hlth_small_renew^2*SUMIFS(AF1642:AF1660,B1642:B1660,B1644-24)+in_hlth_small_renew^3*SUMIFS(AF1642:AF1660,B1642:B1660,B1644-36)+in_hlth_small_renew^4*SUMIFS(AF1642:AF1660,B1642:B1660,B1644-48))</f>
        <v/>
      </c>
      <c r="AH1644" s="40">
        <f>AH1643*(1-IF(B1643&gt;=in_marketplace_from,d_hz_hlth_family*G1643,0))</f>
        <v/>
      </c>
      <c r="AI1644" s="46">
        <f>AH1644*IF(B1644&gt;=in_marketplace_from,d_hz_hlth_family*G1644,0)</f>
        <v/>
      </c>
      <c r="AJ1644" s="14">
        <f>F1644*AI1644*in_hlth_family_ticket*in_hlth_family_comm*in_ins_partner_share+F1644*in_hlth_family_ticket*in_hlth_family_renew_comm*in_ins_partner_share*(in_hlth_family_renew^1*SUMIFS(AI1642:AI1660,B1642:B1660,B1644-12)+in_hlth_family_renew^2*SUMIFS(AI1642:AI1660,B1642:B1660,B1644-24)+in_hlth_family_renew^3*SUMIFS(AI1642:AI1660,B1642:B1660,B1644-36)+in_hlth_family_renew^4*SUMIFS(AI1642:AI1660,B1642:B1660,B1644-48))</f>
        <v/>
      </c>
      <c r="AK1644" s="40">
        <f>AK1643*(1-IF(B1643&gt;=in_marketplace_from,d_hz_life_term*G1643,0))</f>
        <v/>
      </c>
      <c r="AL1644" s="46">
        <f>AK1644*IF(B1644&gt;=in_marketplace_from,d_hz_life_term*G1644,0)</f>
        <v/>
      </c>
      <c r="AM1644" s="14">
        <f>F1644*AL1644*in_life_term_ticket*in_life_term_comm*in_ins_partner_share+F1644*in_life_term_ticket*in_life_term_renew_comm*in_ins_partner_share*(in_life_term_renew^1*SUMIFS(AL1642:AL1660,B1642:B1660,B1644-12)+in_life_term_renew^2*SUMIFS(AL1642:AL1660,B1642:B1660,B1644-24)+in_life_term_renew^3*SUMIFS(AL1642:AL1660,B1642:B1660,B1644-36)+in_life_term_renew^4*SUMIFS(AL1642:AL1660,B1642:B1660,B1644-48))</f>
        <v/>
      </c>
      <c r="AN1644" s="40">
        <f>AN1643*(1-IF(B1643&gt;=in_marketplace_from,d_hz_accident*G1643,0))</f>
        <v/>
      </c>
      <c r="AO1644" s="46">
        <f>AN1644*IF(B1644&gt;=in_marketplace_from,d_hz_accident*G1644,0)</f>
        <v/>
      </c>
      <c r="AP1644" s="14">
        <f>F1644*AO1644*in_accident_ticket*in_accident_comm*in_ins_partner_share+F1644*in_accident_ticket*in_accident_renew_comm*in_ins_partner_share*(in_accident_renew^1*SUMIFS(AO1642:AO1660,B1642:B1660,B1644-12)+in_accident_renew^2*SUMIFS(AO1642:AO1660,B1642:B1660,B1644-24)+in_accident_renew^3*SUMIFS(AO1642:AO1660,B1642:B1660,B1644-36)+in_accident_renew^4*SUMIFS(AO1642:AO1660,B1642:B1660,B1644-48))</f>
        <v/>
      </c>
      <c r="AQ1644" s="40">
        <f>AQ1643*(1-IF(B1643&gt;=in_marketplace_from,d_hz_two_wheeler*G1643,0))</f>
        <v/>
      </c>
      <c r="AR1644" s="46">
        <f>AQ1644*IF(B1644&gt;=in_marketplace_from,d_hz_two_wheeler*G1644,0)</f>
        <v/>
      </c>
      <c r="AS1644" s="14">
        <f>F1644*AR1644*in_two_wheeler_ticket*in_two_wheeler_comm*in_ins_partner_share+F1644*in_two_wheeler_ticket*in_two_wheeler_comm*in_ins_partner_share*(in_two_wheeler_renew^1*SUMIFS(AR1642:AR1660,B1642:B1660,B1644-12)+in_two_wheeler_renew^2*SUMIFS(AR1642:AR1660,B1642:B1660,B1644-24)+in_two_wheeler_renew^3*SUMIFS(AR1642:AR1660,B1642:B1660,B1644-36)+in_two_wheeler_renew^4*SUMIFS(AR1642:AR1660,B1642:B1660,B1644-48))</f>
        <v/>
      </c>
      <c r="AT1644" s="40">
        <f>AT1643*(1-IF(B1643&gt;=in_marketplace_from,d_hz_device*G1643,0))</f>
        <v/>
      </c>
      <c r="AU1644" s="14">
        <f>F1644*AT1644*IF(B1644&gt;=in_marketplace_from,d_hz_device*G1644,0)*in_device_ticket*in_device_comm*in_ins_partner_share</f>
        <v/>
      </c>
      <c r="AV1644" s="40">
        <f>AV1643*(1-IF(B1643&gt;=in_marketplace_from,d_hz_shop*G1643,0))</f>
        <v/>
      </c>
      <c r="AW1644" s="46">
        <f>AV1644*IF(B1644&gt;=in_marketplace_from,d_hz_shop*G1644,0)</f>
        <v/>
      </c>
      <c r="AX1644" s="14">
        <f>F1644*AW1644*in_shop_ticket*in_shop_comm*in_ins_partner_share+F1644*in_shop_ticket*in_shop_renew_comm*in_ins_partner_share*(in_shop_renew^1*SUMIFS(AW1642:AW1660,B1642:B1660,B1644-12)+in_shop_renew^2*SUMIFS(AW1642:AW1660,B1642:B1660,B1644-24)+in_shop_renew^3*SUMIFS(AW1642:AW1660,B1642:B1660,B1644-36)+in_shop_renew^4*SUMIFS(AW1642:AW1660,B1642:B1660,B1644-48))</f>
        <v/>
      </c>
      <c r="AY1644" s="40">
        <f>AY1643*(1-IF(B1643&gt;=in_marketplace_from,d_hz_sip*G1643,0))</f>
        <v/>
      </c>
      <c r="AZ1644" s="40">
        <f>AZ1643*d_rho_sip+AY1644*IF(B1644&gt;=in_marketplace_from,d_hz_sip*G1644,0)</f>
        <v/>
      </c>
      <c r="BA1644" s="40">
        <f>d_rho_sip*(BA1643+AZ1643)</f>
        <v/>
      </c>
      <c r="BB1644" s="14">
        <f>F1644*in_sip_ticket*(BA1644+0.5*AZ1644)*in_sip_comm/12</f>
        <v/>
      </c>
      <c r="BC1644" s="40">
        <f>BC1643*(1-IF(B1643&gt;=in_marketplace_from,d_hz_choti*G1643,0))</f>
        <v/>
      </c>
      <c r="BD1644" s="46">
        <f>BC1644*IF(B1644&gt;=in_marketplace_from,d_hz_choti*G1644,0)</f>
        <v/>
      </c>
      <c r="BE1644" s="14">
        <f>F1644*SUMIFS(BD1642:BD1660,B1642:B1660,B1644-in_choti_months)*in_choti_renew*in_choti_ticket</f>
        <v/>
      </c>
      <c r="BF1644" s="40">
        <f>BF1643*(1-IF(B1643&gt;=in_marketplace_from,d_hz_nps*G1643,0))</f>
        <v/>
      </c>
      <c r="BG1644" s="14">
        <f>F1644*BF1644*IF(B1644&gt;=in_marketplace_from,d_hz_nps*G1644,0)*in_nps_ticket*in_nps_comm</f>
        <v/>
      </c>
      <c r="BH1644" s="40">
        <f>BH1643*(1-IF(B1643&gt;=in_marketplace_from,d_hz_gold*G1643,0))</f>
        <v/>
      </c>
      <c r="BI1644" s="40">
        <f>BI1643*d_rho_gold+BH1644*IF(B1644&gt;=in_marketplace_from,d_hz_gold*G1644,0)</f>
        <v/>
      </c>
      <c r="BJ1644" s="14">
        <f>F1644*BI1644*in_gold_ticket*in_gold_comm</f>
        <v/>
      </c>
      <c r="BK1644" s="40">
        <f>BK1643*(1-IF(B1643&gt;=in_marketplace_from,d_hz_fd*G1643,0))</f>
        <v/>
      </c>
      <c r="BL1644" s="14">
        <f>F1644*BK1644*IF(B1644&gt;=in_marketplace_from,d_hz_fd*G1644,0)*in_fd_ticket*in_fd_comm</f>
        <v/>
      </c>
      <c r="BM1644" s="40">
        <f>BM1643*(1-IF(B1643&gt;=in_marketplace_from,d_hz_recharge*G1643,0))</f>
        <v/>
      </c>
      <c r="BN1644" s="40">
        <f>BN1643*d_rho_recharge+BM1644*IF(B1644&gt;=in_marketplace_from,d_hz_recharge*G1644,0)</f>
        <v/>
      </c>
      <c r="BO1644" s="14">
        <f>F1644*BN1644*in_recharge_ticket*in_recharge_comm/12</f>
        <v/>
      </c>
      <c r="BP1644" s="40">
        <f>BP1643*(1-IF(B1643&gt;=in_marketplace_from,d_hz_bills*G1643,0))</f>
        <v/>
      </c>
      <c r="BQ1644" s="40">
        <f>BQ1643*d_rho_bills+BP1644*IF(B1644&gt;=in_marketplace_from,d_hz_bills*G1644,0)</f>
        <v/>
      </c>
      <c r="BR1644" s="14">
        <f>F1644*BQ1644*in_bills_ticket*in_bills_comm/12</f>
        <v/>
      </c>
      <c r="BS1644" s="40">
        <f>BS1643*(1-IF(B1643&gt;=in_marketplace_from,d_hz_loan_gold*G1643,0))</f>
        <v/>
      </c>
      <c r="BT1644" s="14">
        <f>F1644*BS1644*IF(B1644&gt;=in_marketplace_from,d_hz_loan_gold*G1644,0)*in_loan_gold_ticket*in_loan_gold_comm</f>
        <v/>
      </c>
      <c r="BU1644" s="40">
        <f>BU1643*(1-IF(B1643&gt;=in_marketplace_from,d_hz_loan_cd*G1643,0))</f>
        <v/>
      </c>
      <c r="BV1644" s="14">
        <f>F1644*BU1644*IF(B1644&gt;=in_marketplace_from,d_hz_loan_cd*G1644,0)*in_loan_cd_ticket*in_loan_cd_comm</f>
        <v/>
      </c>
      <c r="BW1644" s="40">
        <f>BW1643*(1-IF(B1643&gt;=in_marketplace_from,d_hz_loan_vehicle*G1643,0))</f>
        <v/>
      </c>
      <c r="BX1644" s="14">
        <f>F1644*BW1644*IF(B1644&gt;=in_marketplace_from,d_hz_loan_vehicle*G1644,0)*in_loan_vehicle_ticket*in_loan_vehicle_comm</f>
        <v/>
      </c>
      <c r="BY1644" s="40">
        <f>BY1643*(1-IF(B1643&gt;=in_marketplace_from,d_hz_loan_home*G1643,0)*BZ1643)</f>
        <v/>
      </c>
      <c r="BZ1644" s="11">
        <f>MIN(in_approval_cap,in_loan_home_approval*INDEX('Age profile'!$O$2:$O$61,B1644)*(1+in_approval_growth)^(D1644-1))</f>
        <v/>
      </c>
      <c r="CA1644" s="14">
        <f>F1644*BY1644*IF(B1644&gt;=in_marketplace_from,d_hz_loan_home*G1644,0)*BZ1644*in_loan_home_ticket*in_loan_home_comm</f>
        <v/>
      </c>
      <c r="CB1644" s="40">
        <f>CB1643*(1-IF(B1643&gt;=in_marketplace_from,d_hz_loan_lap*G1643,0)*CC1643)</f>
        <v/>
      </c>
      <c r="CC1644" s="11">
        <f>MIN(in_approval_cap,in_loan_lap_approval*INDEX('Age profile'!$O$2:$O$61,B1644)*(1+in_approval_growth)^(D1644-1))</f>
        <v/>
      </c>
      <c r="CD1644" s="14">
        <f>F1644*CB1644*IF(B1644&gt;=in_marketplace_from,d_hz_loan_lap*G1644,0)*CC1644*in_loan_lap_ticket*in_loan_lap_comm</f>
        <v/>
      </c>
      <c r="CE1644" s="14">
        <f>AA1644+AB1644+AC1644+AD1644+AG1644+AJ1644+AM1644+AP1644+AS1644+AU1644+AX1644+BB1644+BE1644+BG1644+BJ1644+BL1644+BO1644+BR1644+BT1644+BV1644+BX1644+CA1644+CD1644</f>
        <v/>
      </c>
    </row>
    <row r="1645">
      <c r="A1645" s="39" t="n">
        <v>42</v>
      </c>
      <c r="B1645" s="39" t="n">
        <v>4</v>
      </c>
      <c r="C1645" s="39">
        <f>A1645+B1645-1</f>
        <v/>
      </c>
      <c r="D1645" s="39">
        <f>INT((C1645-1)/12)+1</f>
        <v/>
      </c>
      <c r="E1645" s="44">
        <f>INDEX(Monthly!$B$2:$B$61,A1645)</f>
        <v/>
      </c>
      <c r="F1645" s="44">
        <f>E1645*INDEX('Age profile'!$B$2:$B$61,B1645)</f>
        <v/>
      </c>
      <c r="G1645" s="45">
        <f>MIN(in_takeup_cap,INDEX('Age profile'!$N$2:$N$61,B1645)*(1+in_takeup_growth)^(D1645-1))</f>
        <v/>
      </c>
      <c r="H1645" s="11">
        <f>MIN(in_approval_cap,in_approved_first*INDEX('Age profile'!$O$2:$O$61,B1645)*(1+in_approval_growth)^(D1645-1))</f>
        <v/>
      </c>
      <c r="I1645" s="45">
        <f>G1645*MIN(in_takeup_cap,INDEX('Age profile'!$O$2:$O$61,B1645)*(1+in_approval_growth)^(D1645-1))</f>
        <v/>
      </c>
      <c r="J1645" s="40">
        <f>(J1644-L1644)*F1645/F1644</f>
        <v/>
      </c>
      <c r="K1645" s="40">
        <f>(K1644-M1644)*F1645/F1644+SUMIFS(O1642:O1644,B1642:B1644,B1645-1-d_T)*F1645</f>
        <v/>
      </c>
      <c r="L1645" s="40">
        <f>IF(B1645&gt;=in_marketplace_from,J1645*d_hz*G1645*in_eligible*H1645,0)</f>
        <v/>
      </c>
      <c r="M1645" s="40">
        <f>IF(B1645&gt;=in_marketplace_from,K1645*d_hz*G1645*in_eligible*in_approved_repeat,0)</f>
        <v/>
      </c>
      <c r="N1645" s="40">
        <f>L1645+M1645</f>
        <v/>
      </c>
      <c r="O1645" s="46">
        <f>N1645/F1645</f>
        <v/>
      </c>
      <c r="P1645" s="40">
        <f>F1645-J1645-K1645</f>
        <v/>
      </c>
      <c r="Q1645" s="40">
        <f>IF(B1645&gt;=in_marketplace_from,(J1645+K1645)*d_hz*G1645,0)</f>
        <v/>
      </c>
      <c r="R1645" s="40">
        <f>SUMIFS(N1642:N1660,B1642:B1660,"&gt;="&amp;(B1645-d_T),B1642:B1660,"&lt;="&amp;(B1645-1))</f>
        <v/>
      </c>
      <c r="S1645" s="46">
        <f>(1-d_u)*S1644+IF(d_T&gt;in_topup_lag,SUMIFS(O1642:O1660,B1642:B1660,B1645-in_topup_lag)-d_udrop*SUMIFS(O1642:O1660,B1642:B1660,B1645-d_T),0)</f>
        <v/>
      </c>
      <c r="T1645" s="40">
        <f>F1645*d_u*S1645</f>
        <v/>
      </c>
      <c r="U1645" s="9">
        <f>L1645*in_ticket+M1645*d_rep_ticket</f>
        <v/>
      </c>
      <c r="V1645" s="9">
        <f>U1645+T1645*d_topup_amt</f>
        <v/>
      </c>
      <c r="W1645" s="40">
        <f>N1645+T1645*d_topup_ratio</f>
        <v/>
      </c>
      <c r="X1645" s="40">
        <f>SUMIFS(W1642:W1660,B1642:B1660,B1645-in_dpd_lag)*d_cured</f>
        <v/>
      </c>
      <c r="Y1645" s="40">
        <f>SUMIFS(W1642:W1660,B1642:B1660,B1645-in_rec_lag)*d_recd</f>
        <v/>
      </c>
      <c r="Z1645" s="40">
        <f>IF(AND(B1645&gt;=in_marketplace_from,B1645&lt;in_marketplace_from+in_card_months),in_card_share/in_card_months*F1645*I1645,IF(AND(B1645&gt;=in_marketplace_from+in_card_months,B1645&lt;in_marketplace_from+2*in_card_months),in_card_share*d_card_rem/in_card_months*F1645*MIN(in_takeup_cap,(1+in_takeup_growth)^(D1645-1))*MIN(in_takeup_cap,(1+in_approval_growth)^(D1645-1)),0))</f>
        <v/>
      </c>
      <c r="AA1645" s="14">
        <f>V1645*in_fee*(1-in_taken_back)</f>
        <v/>
      </c>
      <c r="AB1645" s="14">
        <f>SUMIFS(W1642:W1660,B1642:B1660,B1645-in_dpd_lag)*d_dpd</f>
        <v/>
      </c>
      <c r="AC1645" s="14">
        <f>SUMIFS(W1642:W1660,B1642:B1660,B1645-in_rec_lag)*d_rec</f>
        <v/>
      </c>
      <c r="AD1645" s="14">
        <f>Z1645*in_card_fee</f>
        <v/>
      </c>
      <c r="AE1645" s="40">
        <f>AE1644*(1-IF(B1644&gt;=in_marketplace_from,d_hz_hlth_small*G1644,0))</f>
        <v/>
      </c>
      <c r="AF1645" s="46">
        <f>AE1645*IF(B1645&gt;=in_marketplace_from,d_hz_hlth_small*G1645,0)</f>
        <v/>
      </c>
      <c r="AG1645" s="14">
        <f>F1645*AF1645*in_hlth_small_ticket*in_hlth_small_comm*in_ins_partner_share+F1645*in_hlth_small_ticket*in_hlth_small_renew_comm*in_ins_partner_share*(in_hlth_small_renew^1*SUMIFS(AF1642:AF1660,B1642:B1660,B1645-12)+in_hlth_small_renew^2*SUMIFS(AF1642:AF1660,B1642:B1660,B1645-24)+in_hlth_small_renew^3*SUMIFS(AF1642:AF1660,B1642:B1660,B1645-36)+in_hlth_small_renew^4*SUMIFS(AF1642:AF1660,B1642:B1660,B1645-48))</f>
        <v/>
      </c>
      <c r="AH1645" s="40">
        <f>AH1644*(1-IF(B1644&gt;=in_marketplace_from,d_hz_hlth_family*G1644,0))</f>
        <v/>
      </c>
      <c r="AI1645" s="46">
        <f>AH1645*IF(B1645&gt;=in_marketplace_from,d_hz_hlth_family*G1645,0)</f>
        <v/>
      </c>
      <c r="AJ1645" s="14">
        <f>F1645*AI1645*in_hlth_family_ticket*in_hlth_family_comm*in_ins_partner_share+F1645*in_hlth_family_ticket*in_hlth_family_renew_comm*in_ins_partner_share*(in_hlth_family_renew^1*SUMIFS(AI1642:AI1660,B1642:B1660,B1645-12)+in_hlth_family_renew^2*SUMIFS(AI1642:AI1660,B1642:B1660,B1645-24)+in_hlth_family_renew^3*SUMIFS(AI1642:AI1660,B1642:B1660,B1645-36)+in_hlth_family_renew^4*SUMIFS(AI1642:AI1660,B1642:B1660,B1645-48))</f>
        <v/>
      </c>
      <c r="AK1645" s="40">
        <f>AK1644*(1-IF(B1644&gt;=in_marketplace_from,d_hz_life_term*G1644,0))</f>
        <v/>
      </c>
      <c r="AL1645" s="46">
        <f>AK1645*IF(B1645&gt;=in_marketplace_from,d_hz_life_term*G1645,0)</f>
        <v/>
      </c>
      <c r="AM1645" s="14">
        <f>F1645*AL1645*in_life_term_ticket*in_life_term_comm*in_ins_partner_share+F1645*in_life_term_ticket*in_life_term_renew_comm*in_ins_partner_share*(in_life_term_renew^1*SUMIFS(AL1642:AL1660,B1642:B1660,B1645-12)+in_life_term_renew^2*SUMIFS(AL1642:AL1660,B1642:B1660,B1645-24)+in_life_term_renew^3*SUMIFS(AL1642:AL1660,B1642:B1660,B1645-36)+in_life_term_renew^4*SUMIFS(AL1642:AL1660,B1642:B1660,B1645-48))</f>
        <v/>
      </c>
      <c r="AN1645" s="40">
        <f>AN1644*(1-IF(B1644&gt;=in_marketplace_from,d_hz_accident*G1644,0))</f>
        <v/>
      </c>
      <c r="AO1645" s="46">
        <f>AN1645*IF(B1645&gt;=in_marketplace_from,d_hz_accident*G1645,0)</f>
        <v/>
      </c>
      <c r="AP1645" s="14">
        <f>F1645*AO1645*in_accident_ticket*in_accident_comm*in_ins_partner_share+F1645*in_accident_ticket*in_accident_renew_comm*in_ins_partner_share*(in_accident_renew^1*SUMIFS(AO1642:AO1660,B1642:B1660,B1645-12)+in_accident_renew^2*SUMIFS(AO1642:AO1660,B1642:B1660,B1645-24)+in_accident_renew^3*SUMIFS(AO1642:AO1660,B1642:B1660,B1645-36)+in_accident_renew^4*SUMIFS(AO1642:AO1660,B1642:B1660,B1645-48))</f>
        <v/>
      </c>
      <c r="AQ1645" s="40">
        <f>AQ1644*(1-IF(B1644&gt;=in_marketplace_from,d_hz_two_wheeler*G1644,0))</f>
        <v/>
      </c>
      <c r="AR1645" s="46">
        <f>AQ1645*IF(B1645&gt;=in_marketplace_from,d_hz_two_wheeler*G1645,0)</f>
        <v/>
      </c>
      <c r="AS1645" s="14">
        <f>F1645*AR1645*in_two_wheeler_ticket*in_two_wheeler_comm*in_ins_partner_share+F1645*in_two_wheeler_ticket*in_two_wheeler_comm*in_ins_partner_share*(in_two_wheeler_renew^1*SUMIFS(AR1642:AR1660,B1642:B1660,B1645-12)+in_two_wheeler_renew^2*SUMIFS(AR1642:AR1660,B1642:B1660,B1645-24)+in_two_wheeler_renew^3*SUMIFS(AR1642:AR1660,B1642:B1660,B1645-36)+in_two_wheeler_renew^4*SUMIFS(AR1642:AR1660,B1642:B1660,B1645-48))</f>
        <v/>
      </c>
      <c r="AT1645" s="40">
        <f>AT1644*(1-IF(B1644&gt;=in_marketplace_from,d_hz_device*G1644,0))</f>
        <v/>
      </c>
      <c r="AU1645" s="14">
        <f>F1645*AT1645*IF(B1645&gt;=in_marketplace_from,d_hz_device*G1645,0)*in_device_ticket*in_device_comm*in_ins_partner_share</f>
        <v/>
      </c>
      <c r="AV1645" s="40">
        <f>AV1644*(1-IF(B1644&gt;=in_marketplace_from,d_hz_shop*G1644,0))</f>
        <v/>
      </c>
      <c r="AW1645" s="46">
        <f>AV1645*IF(B1645&gt;=in_marketplace_from,d_hz_shop*G1645,0)</f>
        <v/>
      </c>
      <c r="AX1645" s="14">
        <f>F1645*AW1645*in_shop_ticket*in_shop_comm*in_ins_partner_share+F1645*in_shop_ticket*in_shop_renew_comm*in_ins_partner_share*(in_shop_renew^1*SUMIFS(AW1642:AW1660,B1642:B1660,B1645-12)+in_shop_renew^2*SUMIFS(AW1642:AW1660,B1642:B1660,B1645-24)+in_shop_renew^3*SUMIFS(AW1642:AW1660,B1642:B1660,B1645-36)+in_shop_renew^4*SUMIFS(AW1642:AW1660,B1642:B1660,B1645-48))</f>
        <v/>
      </c>
      <c r="AY1645" s="40">
        <f>AY1644*(1-IF(B1644&gt;=in_marketplace_from,d_hz_sip*G1644,0))</f>
        <v/>
      </c>
      <c r="AZ1645" s="40">
        <f>AZ1644*d_rho_sip+AY1645*IF(B1645&gt;=in_marketplace_from,d_hz_sip*G1645,0)</f>
        <v/>
      </c>
      <c r="BA1645" s="40">
        <f>d_rho_sip*(BA1644+AZ1644)</f>
        <v/>
      </c>
      <c r="BB1645" s="14">
        <f>F1645*in_sip_ticket*(BA1645+0.5*AZ1645)*in_sip_comm/12</f>
        <v/>
      </c>
      <c r="BC1645" s="40">
        <f>BC1644*(1-IF(B1644&gt;=in_marketplace_from,d_hz_choti*G1644,0))</f>
        <v/>
      </c>
      <c r="BD1645" s="46">
        <f>BC1645*IF(B1645&gt;=in_marketplace_from,d_hz_choti*G1645,0)</f>
        <v/>
      </c>
      <c r="BE1645" s="14">
        <f>F1645*SUMIFS(BD1642:BD1660,B1642:B1660,B1645-in_choti_months)*in_choti_renew*in_choti_ticket</f>
        <v/>
      </c>
      <c r="BF1645" s="40">
        <f>BF1644*(1-IF(B1644&gt;=in_marketplace_from,d_hz_nps*G1644,0))</f>
        <v/>
      </c>
      <c r="BG1645" s="14">
        <f>F1645*BF1645*IF(B1645&gt;=in_marketplace_from,d_hz_nps*G1645,0)*in_nps_ticket*in_nps_comm</f>
        <v/>
      </c>
      <c r="BH1645" s="40">
        <f>BH1644*(1-IF(B1644&gt;=in_marketplace_from,d_hz_gold*G1644,0))</f>
        <v/>
      </c>
      <c r="BI1645" s="40">
        <f>BI1644*d_rho_gold+BH1645*IF(B1645&gt;=in_marketplace_from,d_hz_gold*G1645,0)</f>
        <v/>
      </c>
      <c r="BJ1645" s="14">
        <f>F1645*BI1645*in_gold_ticket*in_gold_comm</f>
        <v/>
      </c>
      <c r="BK1645" s="40">
        <f>BK1644*(1-IF(B1644&gt;=in_marketplace_from,d_hz_fd*G1644,0))</f>
        <v/>
      </c>
      <c r="BL1645" s="14">
        <f>F1645*BK1645*IF(B1645&gt;=in_marketplace_from,d_hz_fd*G1645,0)*in_fd_ticket*in_fd_comm</f>
        <v/>
      </c>
      <c r="BM1645" s="40">
        <f>BM1644*(1-IF(B1644&gt;=in_marketplace_from,d_hz_recharge*G1644,0))</f>
        <v/>
      </c>
      <c r="BN1645" s="40">
        <f>BN1644*d_rho_recharge+BM1645*IF(B1645&gt;=in_marketplace_from,d_hz_recharge*G1645,0)</f>
        <v/>
      </c>
      <c r="BO1645" s="14">
        <f>F1645*BN1645*in_recharge_ticket*in_recharge_comm/12</f>
        <v/>
      </c>
      <c r="BP1645" s="40">
        <f>BP1644*(1-IF(B1644&gt;=in_marketplace_from,d_hz_bills*G1644,0))</f>
        <v/>
      </c>
      <c r="BQ1645" s="40">
        <f>BQ1644*d_rho_bills+BP1645*IF(B1645&gt;=in_marketplace_from,d_hz_bills*G1645,0)</f>
        <v/>
      </c>
      <c r="BR1645" s="14">
        <f>F1645*BQ1645*in_bills_ticket*in_bills_comm/12</f>
        <v/>
      </c>
      <c r="BS1645" s="40">
        <f>BS1644*(1-IF(B1644&gt;=in_marketplace_from,d_hz_loan_gold*G1644,0))</f>
        <v/>
      </c>
      <c r="BT1645" s="14">
        <f>F1645*BS1645*IF(B1645&gt;=in_marketplace_from,d_hz_loan_gold*G1645,0)*in_loan_gold_ticket*in_loan_gold_comm</f>
        <v/>
      </c>
      <c r="BU1645" s="40">
        <f>BU1644*(1-IF(B1644&gt;=in_marketplace_from,d_hz_loan_cd*G1644,0))</f>
        <v/>
      </c>
      <c r="BV1645" s="14">
        <f>F1645*BU1645*IF(B1645&gt;=in_marketplace_from,d_hz_loan_cd*G1645,0)*in_loan_cd_ticket*in_loan_cd_comm</f>
        <v/>
      </c>
      <c r="BW1645" s="40">
        <f>BW1644*(1-IF(B1644&gt;=in_marketplace_from,d_hz_loan_vehicle*G1644,0))</f>
        <v/>
      </c>
      <c r="BX1645" s="14">
        <f>F1645*BW1645*IF(B1645&gt;=in_marketplace_from,d_hz_loan_vehicle*G1645,0)*in_loan_vehicle_ticket*in_loan_vehicle_comm</f>
        <v/>
      </c>
      <c r="BY1645" s="40">
        <f>BY1644*(1-IF(B1644&gt;=in_marketplace_from,d_hz_loan_home*G1644,0)*BZ1644)</f>
        <v/>
      </c>
      <c r="BZ1645" s="11">
        <f>MIN(in_approval_cap,in_loan_home_approval*INDEX('Age profile'!$O$2:$O$61,B1645)*(1+in_approval_growth)^(D1645-1))</f>
        <v/>
      </c>
      <c r="CA1645" s="14">
        <f>F1645*BY1645*IF(B1645&gt;=in_marketplace_from,d_hz_loan_home*G1645,0)*BZ1645*in_loan_home_ticket*in_loan_home_comm</f>
        <v/>
      </c>
      <c r="CB1645" s="40">
        <f>CB1644*(1-IF(B1644&gt;=in_marketplace_from,d_hz_loan_lap*G1644,0)*CC1644)</f>
        <v/>
      </c>
      <c r="CC1645" s="11">
        <f>MIN(in_approval_cap,in_loan_lap_approval*INDEX('Age profile'!$O$2:$O$61,B1645)*(1+in_approval_growth)^(D1645-1))</f>
        <v/>
      </c>
      <c r="CD1645" s="14">
        <f>F1645*CB1645*IF(B1645&gt;=in_marketplace_from,d_hz_loan_lap*G1645,0)*CC1645*in_loan_lap_ticket*in_loan_lap_comm</f>
        <v/>
      </c>
      <c r="CE1645" s="14">
        <f>AA1645+AB1645+AC1645+AD1645+AG1645+AJ1645+AM1645+AP1645+AS1645+AU1645+AX1645+BB1645+BE1645+BG1645+BJ1645+BL1645+BO1645+BR1645+BT1645+BV1645+BX1645+CA1645+CD1645</f>
        <v/>
      </c>
    </row>
    <row r="1646">
      <c r="A1646" s="39" t="n">
        <v>42</v>
      </c>
      <c r="B1646" s="39" t="n">
        <v>5</v>
      </c>
      <c r="C1646" s="39">
        <f>A1646+B1646-1</f>
        <v/>
      </c>
      <c r="D1646" s="39">
        <f>INT((C1646-1)/12)+1</f>
        <v/>
      </c>
      <c r="E1646" s="44">
        <f>INDEX(Monthly!$B$2:$B$61,A1646)</f>
        <v/>
      </c>
      <c r="F1646" s="44">
        <f>E1646*INDEX('Age profile'!$B$2:$B$61,B1646)</f>
        <v/>
      </c>
      <c r="G1646" s="45">
        <f>MIN(in_takeup_cap,INDEX('Age profile'!$N$2:$N$61,B1646)*(1+in_takeup_growth)^(D1646-1))</f>
        <v/>
      </c>
      <c r="H1646" s="11">
        <f>MIN(in_approval_cap,in_approved_first*INDEX('Age profile'!$O$2:$O$61,B1646)*(1+in_approval_growth)^(D1646-1))</f>
        <v/>
      </c>
      <c r="I1646" s="45">
        <f>G1646*MIN(in_takeup_cap,INDEX('Age profile'!$O$2:$O$61,B1646)*(1+in_approval_growth)^(D1646-1))</f>
        <v/>
      </c>
      <c r="J1646" s="40">
        <f>(J1645-L1645)*F1646/F1645</f>
        <v/>
      </c>
      <c r="K1646" s="40">
        <f>(K1645-M1645)*F1646/F1645+SUMIFS(O1642:O1645,B1642:B1645,B1646-1-d_T)*F1646</f>
        <v/>
      </c>
      <c r="L1646" s="40">
        <f>IF(B1646&gt;=in_marketplace_from,J1646*d_hz*G1646*in_eligible*H1646,0)</f>
        <v/>
      </c>
      <c r="M1646" s="40">
        <f>IF(B1646&gt;=in_marketplace_from,K1646*d_hz*G1646*in_eligible*in_approved_repeat,0)</f>
        <v/>
      </c>
      <c r="N1646" s="40">
        <f>L1646+M1646</f>
        <v/>
      </c>
      <c r="O1646" s="46">
        <f>N1646/F1646</f>
        <v/>
      </c>
      <c r="P1646" s="40">
        <f>F1646-J1646-K1646</f>
        <v/>
      </c>
      <c r="Q1646" s="40">
        <f>IF(B1646&gt;=in_marketplace_from,(J1646+K1646)*d_hz*G1646,0)</f>
        <v/>
      </c>
      <c r="R1646" s="40">
        <f>SUMIFS(N1642:N1660,B1642:B1660,"&gt;="&amp;(B1646-d_T),B1642:B1660,"&lt;="&amp;(B1646-1))</f>
        <v/>
      </c>
      <c r="S1646" s="46">
        <f>(1-d_u)*S1645+IF(d_T&gt;in_topup_lag,SUMIFS(O1642:O1660,B1642:B1660,B1646-in_topup_lag)-d_udrop*SUMIFS(O1642:O1660,B1642:B1660,B1646-d_T),0)</f>
        <v/>
      </c>
      <c r="T1646" s="40">
        <f>F1646*d_u*S1646</f>
        <v/>
      </c>
      <c r="U1646" s="9">
        <f>L1646*in_ticket+M1646*d_rep_ticket</f>
        <v/>
      </c>
      <c r="V1646" s="9">
        <f>U1646+T1646*d_topup_amt</f>
        <v/>
      </c>
      <c r="W1646" s="40">
        <f>N1646+T1646*d_topup_ratio</f>
        <v/>
      </c>
      <c r="X1646" s="40">
        <f>SUMIFS(W1642:W1660,B1642:B1660,B1646-in_dpd_lag)*d_cured</f>
        <v/>
      </c>
      <c r="Y1646" s="40">
        <f>SUMIFS(W1642:W1660,B1642:B1660,B1646-in_rec_lag)*d_recd</f>
        <v/>
      </c>
      <c r="Z1646" s="40">
        <f>IF(AND(B1646&gt;=in_marketplace_from,B1646&lt;in_marketplace_from+in_card_months),in_card_share/in_card_months*F1646*I1646,IF(AND(B1646&gt;=in_marketplace_from+in_card_months,B1646&lt;in_marketplace_from+2*in_card_months),in_card_share*d_card_rem/in_card_months*F1646*MIN(in_takeup_cap,(1+in_takeup_growth)^(D1646-1))*MIN(in_takeup_cap,(1+in_approval_growth)^(D1646-1)),0))</f>
        <v/>
      </c>
      <c r="AA1646" s="14">
        <f>V1646*in_fee*(1-in_taken_back)</f>
        <v/>
      </c>
      <c r="AB1646" s="14">
        <f>SUMIFS(W1642:W1660,B1642:B1660,B1646-in_dpd_lag)*d_dpd</f>
        <v/>
      </c>
      <c r="AC1646" s="14">
        <f>SUMIFS(W1642:W1660,B1642:B1660,B1646-in_rec_lag)*d_rec</f>
        <v/>
      </c>
      <c r="AD1646" s="14">
        <f>Z1646*in_card_fee</f>
        <v/>
      </c>
      <c r="AE1646" s="40">
        <f>AE1645*(1-IF(B1645&gt;=in_marketplace_from,d_hz_hlth_small*G1645,0))</f>
        <v/>
      </c>
      <c r="AF1646" s="46">
        <f>AE1646*IF(B1646&gt;=in_marketplace_from,d_hz_hlth_small*G1646,0)</f>
        <v/>
      </c>
      <c r="AG1646" s="14">
        <f>F1646*AF1646*in_hlth_small_ticket*in_hlth_small_comm*in_ins_partner_share+F1646*in_hlth_small_ticket*in_hlth_small_renew_comm*in_ins_partner_share*(in_hlth_small_renew^1*SUMIFS(AF1642:AF1660,B1642:B1660,B1646-12)+in_hlth_small_renew^2*SUMIFS(AF1642:AF1660,B1642:B1660,B1646-24)+in_hlth_small_renew^3*SUMIFS(AF1642:AF1660,B1642:B1660,B1646-36)+in_hlth_small_renew^4*SUMIFS(AF1642:AF1660,B1642:B1660,B1646-48))</f>
        <v/>
      </c>
      <c r="AH1646" s="40">
        <f>AH1645*(1-IF(B1645&gt;=in_marketplace_from,d_hz_hlth_family*G1645,0))</f>
        <v/>
      </c>
      <c r="AI1646" s="46">
        <f>AH1646*IF(B1646&gt;=in_marketplace_from,d_hz_hlth_family*G1646,0)</f>
        <v/>
      </c>
      <c r="AJ1646" s="14">
        <f>F1646*AI1646*in_hlth_family_ticket*in_hlth_family_comm*in_ins_partner_share+F1646*in_hlth_family_ticket*in_hlth_family_renew_comm*in_ins_partner_share*(in_hlth_family_renew^1*SUMIFS(AI1642:AI1660,B1642:B1660,B1646-12)+in_hlth_family_renew^2*SUMIFS(AI1642:AI1660,B1642:B1660,B1646-24)+in_hlth_family_renew^3*SUMIFS(AI1642:AI1660,B1642:B1660,B1646-36)+in_hlth_family_renew^4*SUMIFS(AI1642:AI1660,B1642:B1660,B1646-48))</f>
        <v/>
      </c>
      <c r="AK1646" s="40">
        <f>AK1645*(1-IF(B1645&gt;=in_marketplace_from,d_hz_life_term*G1645,0))</f>
        <v/>
      </c>
      <c r="AL1646" s="46">
        <f>AK1646*IF(B1646&gt;=in_marketplace_from,d_hz_life_term*G1646,0)</f>
        <v/>
      </c>
      <c r="AM1646" s="14">
        <f>F1646*AL1646*in_life_term_ticket*in_life_term_comm*in_ins_partner_share+F1646*in_life_term_ticket*in_life_term_renew_comm*in_ins_partner_share*(in_life_term_renew^1*SUMIFS(AL1642:AL1660,B1642:B1660,B1646-12)+in_life_term_renew^2*SUMIFS(AL1642:AL1660,B1642:B1660,B1646-24)+in_life_term_renew^3*SUMIFS(AL1642:AL1660,B1642:B1660,B1646-36)+in_life_term_renew^4*SUMIFS(AL1642:AL1660,B1642:B1660,B1646-48))</f>
        <v/>
      </c>
      <c r="AN1646" s="40">
        <f>AN1645*(1-IF(B1645&gt;=in_marketplace_from,d_hz_accident*G1645,0))</f>
        <v/>
      </c>
      <c r="AO1646" s="46">
        <f>AN1646*IF(B1646&gt;=in_marketplace_from,d_hz_accident*G1646,0)</f>
        <v/>
      </c>
      <c r="AP1646" s="14">
        <f>F1646*AO1646*in_accident_ticket*in_accident_comm*in_ins_partner_share+F1646*in_accident_ticket*in_accident_renew_comm*in_ins_partner_share*(in_accident_renew^1*SUMIFS(AO1642:AO1660,B1642:B1660,B1646-12)+in_accident_renew^2*SUMIFS(AO1642:AO1660,B1642:B1660,B1646-24)+in_accident_renew^3*SUMIFS(AO1642:AO1660,B1642:B1660,B1646-36)+in_accident_renew^4*SUMIFS(AO1642:AO1660,B1642:B1660,B1646-48))</f>
        <v/>
      </c>
      <c r="AQ1646" s="40">
        <f>AQ1645*(1-IF(B1645&gt;=in_marketplace_from,d_hz_two_wheeler*G1645,0))</f>
        <v/>
      </c>
      <c r="AR1646" s="46">
        <f>AQ1646*IF(B1646&gt;=in_marketplace_from,d_hz_two_wheeler*G1646,0)</f>
        <v/>
      </c>
      <c r="AS1646" s="14">
        <f>F1646*AR1646*in_two_wheeler_ticket*in_two_wheeler_comm*in_ins_partner_share+F1646*in_two_wheeler_ticket*in_two_wheeler_comm*in_ins_partner_share*(in_two_wheeler_renew^1*SUMIFS(AR1642:AR1660,B1642:B1660,B1646-12)+in_two_wheeler_renew^2*SUMIFS(AR1642:AR1660,B1642:B1660,B1646-24)+in_two_wheeler_renew^3*SUMIFS(AR1642:AR1660,B1642:B1660,B1646-36)+in_two_wheeler_renew^4*SUMIFS(AR1642:AR1660,B1642:B1660,B1646-48))</f>
        <v/>
      </c>
      <c r="AT1646" s="40">
        <f>AT1645*(1-IF(B1645&gt;=in_marketplace_from,d_hz_device*G1645,0))</f>
        <v/>
      </c>
      <c r="AU1646" s="14">
        <f>F1646*AT1646*IF(B1646&gt;=in_marketplace_from,d_hz_device*G1646,0)*in_device_ticket*in_device_comm*in_ins_partner_share</f>
        <v/>
      </c>
      <c r="AV1646" s="40">
        <f>AV1645*(1-IF(B1645&gt;=in_marketplace_from,d_hz_shop*G1645,0))</f>
        <v/>
      </c>
      <c r="AW1646" s="46">
        <f>AV1646*IF(B1646&gt;=in_marketplace_from,d_hz_shop*G1646,0)</f>
        <v/>
      </c>
      <c r="AX1646" s="14">
        <f>F1646*AW1646*in_shop_ticket*in_shop_comm*in_ins_partner_share+F1646*in_shop_ticket*in_shop_renew_comm*in_ins_partner_share*(in_shop_renew^1*SUMIFS(AW1642:AW1660,B1642:B1660,B1646-12)+in_shop_renew^2*SUMIFS(AW1642:AW1660,B1642:B1660,B1646-24)+in_shop_renew^3*SUMIFS(AW1642:AW1660,B1642:B1660,B1646-36)+in_shop_renew^4*SUMIFS(AW1642:AW1660,B1642:B1660,B1646-48))</f>
        <v/>
      </c>
      <c r="AY1646" s="40">
        <f>AY1645*(1-IF(B1645&gt;=in_marketplace_from,d_hz_sip*G1645,0))</f>
        <v/>
      </c>
      <c r="AZ1646" s="40">
        <f>AZ1645*d_rho_sip+AY1646*IF(B1646&gt;=in_marketplace_from,d_hz_sip*G1646,0)</f>
        <v/>
      </c>
      <c r="BA1646" s="40">
        <f>d_rho_sip*(BA1645+AZ1645)</f>
        <v/>
      </c>
      <c r="BB1646" s="14">
        <f>F1646*in_sip_ticket*(BA1646+0.5*AZ1646)*in_sip_comm/12</f>
        <v/>
      </c>
      <c r="BC1646" s="40">
        <f>BC1645*(1-IF(B1645&gt;=in_marketplace_from,d_hz_choti*G1645,0))</f>
        <v/>
      </c>
      <c r="BD1646" s="46">
        <f>BC1646*IF(B1646&gt;=in_marketplace_from,d_hz_choti*G1646,0)</f>
        <v/>
      </c>
      <c r="BE1646" s="14">
        <f>F1646*SUMIFS(BD1642:BD1660,B1642:B1660,B1646-in_choti_months)*in_choti_renew*in_choti_ticket</f>
        <v/>
      </c>
      <c r="BF1646" s="40">
        <f>BF1645*(1-IF(B1645&gt;=in_marketplace_from,d_hz_nps*G1645,0))</f>
        <v/>
      </c>
      <c r="BG1646" s="14">
        <f>F1646*BF1646*IF(B1646&gt;=in_marketplace_from,d_hz_nps*G1646,0)*in_nps_ticket*in_nps_comm</f>
        <v/>
      </c>
      <c r="BH1646" s="40">
        <f>BH1645*(1-IF(B1645&gt;=in_marketplace_from,d_hz_gold*G1645,0))</f>
        <v/>
      </c>
      <c r="BI1646" s="40">
        <f>BI1645*d_rho_gold+BH1646*IF(B1646&gt;=in_marketplace_from,d_hz_gold*G1646,0)</f>
        <v/>
      </c>
      <c r="BJ1646" s="14">
        <f>F1646*BI1646*in_gold_ticket*in_gold_comm</f>
        <v/>
      </c>
      <c r="BK1646" s="40">
        <f>BK1645*(1-IF(B1645&gt;=in_marketplace_from,d_hz_fd*G1645,0))</f>
        <v/>
      </c>
      <c r="BL1646" s="14">
        <f>F1646*BK1646*IF(B1646&gt;=in_marketplace_from,d_hz_fd*G1646,0)*in_fd_ticket*in_fd_comm</f>
        <v/>
      </c>
      <c r="BM1646" s="40">
        <f>BM1645*(1-IF(B1645&gt;=in_marketplace_from,d_hz_recharge*G1645,0))</f>
        <v/>
      </c>
      <c r="BN1646" s="40">
        <f>BN1645*d_rho_recharge+BM1646*IF(B1646&gt;=in_marketplace_from,d_hz_recharge*G1646,0)</f>
        <v/>
      </c>
      <c r="BO1646" s="14">
        <f>F1646*BN1646*in_recharge_ticket*in_recharge_comm/12</f>
        <v/>
      </c>
      <c r="BP1646" s="40">
        <f>BP1645*(1-IF(B1645&gt;=in_marketplace_from,d_hz_bills*G1645,0))</f>
        <v/>
      </c>
      <c r="BQ1646" s="40">
        <f>BQ1645*d_rho_bills+BP1646*IF(B1646&gt;=in_marketplace_from,d_hz_bills*G1646,0)</f>
        <v/>
      </c>
      <c r="BR1646" s="14">
        <f>F1646*BQ1646*in_bills_ticket*in_bills_comm/12</f>
        <v/>
      </c>
      <c r="BS1646" s="40">
        <f>BS1645*(1-IF(B1645&gt;=in_marketplace_from,d_hz_loan_gold*G1645,0))</f>
        <v/>
      </c>
      <c r="BT1646" s="14">
        <f>F1646*BS1646*IF(B1646&gt;=in_marketplace_from,d_hz_loan_gold*G1646,0)*in_loan_gold_ticket*in_loan_gold_comm</f>
        <v/>
      </c>
      <c r="BU1646" s="40">
        <f>BU1645*(1-IF(B1645&gt;=in_marketplace_from,d_hz_loan_cd*G1645,0))</f>
        <v/>
      </c>
      <c r="BV1646" s="14">
        <f>F1646*BU1646*IF(B1646&gt;=in_marketplace_from,d_hz_loan_cd*G1646,0)*in_loan_cd_ticket*in_loan_cd_comm</f>
        <v/>
      </c>
      <c r="BW1646" s="40">
        <f>BW1645*(1-IF(B1645&gt;=in_marketplace_from,d_hz_loan_vehicle*G1645,0))</f>
        <v/>
      </c>
      <c r="BX1646" s="14">
        <f>F1646*BW1646*IF(B1646&gt;=in_marketplace_from,d_hz_loan_vehicle*G1646,0)*in_loan_vehicle_ticket*in_loan_vehicle_comm</f>
        <v/>
      </c>
      <c r="BY1646" s="40">
        <f>BY1645*(1-IF(B1645&gt;=in_marketplace_from,d_hz_loan_home*G1645,0)*BZ1645)</f>
        <v/>
      </c>
      <c r="BZ1646" s="11">
        <f>MIN(in_approval_cap,in_loan_home_approval*INDEX('Age profile'!$O$2:$O$61,B1646)*(1+in_approval_growth)^(D1646-1))</f>
        <v/>
      </c>
      <c r="CA1646" s="14">
        <f>F1646*BY1646*IF(B1646&gt;=in_marketplace_from,d_hz_loan_home*G1646,0)*BZ1646*in_loan_home_ticket*in_loan_home_comm</f>
        <v/>
      </c>
      <c r="CB1646" s="40">
        <f>CB1645*(1-IF(B1645&gt;=in_marketplace_from,d_hz_loan_lap*G1645,0)*CC1645)</f>
        <v/>
      </c>
      <c r="CC1646" s="11">
        <f>MIN(in_approval_cap,in_loan_lap_approval*INDEX('Age profile'!$O$2:$O$61,B1646)*(1+in_approval_growth)^(D1646-1))</f>
        <v/>
      </c>
      <c r="CD1646" s="14">
        <f>F1646*CB1646*IF(B1646&gt;=in_marketplace_from,d_hz_loan_lap*G1646,0)*CC1646*in_loan_lap_ticket*in_loan_lap_comm</f>
        <v/>
      </c>
      <c r="CE1646" s="14">
        <f>AA1646+AB1646+AC1646+AD1646+AG1646+AJ1646+AM1646+AP1646+AS1646+AU1646+AX1646+BB1646+BE1646+BG1646+BJ1646+BL1646+BO1646+BR1646+BT1646+BV1646+BX1646+CA1646+CD1646</f>
        <v/>
      </c>
    </row>
    <row r="1647">
      <c r="A1647" s="39" t="n">
        <v>42</v>
      </c>
      <c r="B1647" s="39" t="n">
        <v>6</v>
      </c>
      <c r="C1647" s="39">
        <f>A1647+B1647-1</f>
        <v/>
      </c>
      <c r="D1647" s="39">
        <f>INT((C1647-1)/12)+1</f>
        <v/>
      </c>
      <c r="E1647" s="44">
        <f>INDEX(Monthly!$B$2:$B$61,A1647)</f>
        <v/>
      </c>
      <c r="F1647" s="44">
        <f>E1647*INDEX('Age profile'!$B$2:$B$61,B1647)</f>
        <v/>
      </c>
      <c r="G1647" s="45">
        <f>MIN(in_takeup_cap,INDEX('Age profile'!$N$2:$N$61,B1647)*(1+in_takeup_growth)^(D1647-1))</f>
        <v/>
      </c>
      <c r="H1647" s="11">
        <f>MIN(in_approval_cap,in_approved_first*INDEX('Age profile'!$O$2:$O$61,B1647)*(1+in_approval_growth)^(D1647-1))</f>
        <v/>
      </c>
      <c r="I1647" s="45">
        <f>G1647*MIN(in_takeup_cap,INDEX('Age profile'!$O$2:$O$61,B1647)*(1+in_approval_growth)^(D1647-1))</f>
        <v/>
      </c>
      <c r="J1647" s="40">
        <f>(J1646-L1646)*F1647/F1646</f>
        <v/>
      </c>
      <c r="K1647" s="40">
        <f>(K1646-M1646)*F1647/F1646+SUMIFS(O1642:O1646,B1642:B1646,B1647-1-d_T)*F1647</f>
        <v/>
      </c>
      <c r="L1647" s="40">
        <f>IF(B1647&gt;=in_marketplace_from,J1647*d_hz*G1647*in_eligible*H1647,0)</f>
        <v/>
      </c>
      <c r="M1647" s="40">
        <f>IF(B1647&gt;=in_marketplace_from,K1647*d_hz*G1647*in_eligible*in_approved_repeat,0)</f>
        <v/>
      </c>
      <c r="N1647" s="40">
        <f>L1647+M1647</f>
        <v/>
      </c>
      <c r="O1647" s="46">
        <f>N1647/F1647</f>
        <v/>
      </c>
      <c r="P1647" s="40">
        <f>F1647-J1647-K1647</f>
        <v/>
      </c>
      <c r="Q1647" s="40">
        <f>IF(B1647&gt;=in_marketplace_from,(J1647+K1647)*d_hz*G1647,0)</f>
        <v/>
      </c>
      <c r="R1647" s="40">
        <f>SUMIFS(N1642:N1660,B1642:B1660,"&gt;="&amp;(B1647-d_T),B1642:B1660,"&lt;="&amp;(B1647-1))</f>
        <v/>
      </c>
      <c r="S1647" s="46">
        <f>(1-d_u)*S1646+IF(d_T&gt;in_topup_lag,SUMIFS(O1642:O1660,B1642:B1660,B1647-in_topup_lag)-d_udrop*SUMIFS(O1642:O1660,B1642:B1660,B1647-d_T),0)</f>
        <v/>
      </c>
      <c r="T1647" s="40">
        <f>F1647*d_u*S1647</f>
        <v/>
      </c>
      <c r="U1647" s="9">
        <f>L1647*in_ticket+M1647*d_rep_ticket</f>
        <v/>
      </c>
      <c r="V1647" s="9">
        <f>U1647+T1647*d_topup_amt</f>
        <v/>
      </c>
      <c r="W1647" s="40">
        <f>N1647+T1647*d_topup_ratio</f>
        <v/>
      </c>
      <c r="X1647" s="40">
        <f>SUMIFS(W1642:W1660,B1642:B1660,B1647-in_dpd_lag)*d_cured</f>
        <v/>
      </c>
      <c r="Y1647" s="40">
        <f>SUMIFS(W1642:W1660,B1642:B1660,B1647-in_rec_lag)*d_recd</f>
        <v/>
      </c>
      <c r="Z1647" s="40">
        <f>IF(AND(B1647&gt;=in_marketplace_from,B1647&lt;in_marketplace_from+in_card_months),in_card_share/in_card_months*F1647*I1647,IF(AND(B1647&gt;=in_marketplace_from+in_card_months,B1647&lt;in_marketplace_from+2*in_card_months),in_card_share*d_card_rem/in_card_months*F1647*MIN(in_takeup_cap,(1+in_takeup_growth)^(D1647-1))*MIN(in_takeup_cap,(1+in_approval_growth)^(D1647-1)),0))</f>
        <v/>
      </c>
      <c r="AA1647" s="14">
        <f>V1647*in_fee*(1-in_taken_back)</f>
        <v/>
      </c>
      <c r="AB1647" s="14">
        <f>SUMIFS(W1642:W1660,B1642:B1660,B1647-in_dpd_lag)*d_dpd</f>
        <v/>
      </c>
      <c r="AC1647" s="14">
        <f>SUMIFS(W1642:W1660,B1642:B1660,B1647-in_rec_lag)*d_rec</f>
        <v/>
      </c>
      <c r="AD1647" s="14">
        <f>Z1647*in_card_fee</f>
        <v/>
      </c>
      <c r="AE1647" s="40">
        <f>AE1646*(1-IF(B1646&gt;=in_marketplace_from,d_hz_hlth_small*G1646,0))</f>
        <v/>
      </c>
      <c r="AF1647" s="46">
        <f>AE1647*IF(B1647&gt;=in_marketplace_from,d_hz_hlth_small*G1647,0)</f>
        <v/>
      </c>
      <c r="AG1647" s="14">
        <f>F1647*AF1647*in_hlth_small_ticket*in_hlth_small_comm*in_ins_partner_share+F1647*in_hlth_small_ticket*in_hlth_small_renew_comm*in_ins_partner_share*(in_hlth_small_renew^1*SUMIFS(AF1642:AF1660,B1642:B1660,B1647-12)+in_hlth_small_renew^2*SUMIFS(AF1642:AF1660,B1642:B1660,B1647-24)+in_hlth_small_renew^3*SUMIFS(AF1642:AF1660,B1642:B1660,B1647-36)+in_hlth_small_renew^4*SUMIFS(AF1642:AF1660,B1642:B1660,B1647-48))</f>
        <v/>
      </c>
      <c r="AH1647" s="40">
        <f>AH1646*(1-IF(B1646&gt;=in_marketplace_from,d_hz_hlth_family*G1646,0))</f>
        <v/>
      </c>
      <c r="AI1647" s="46">
        <f>AH1647*IF(B1647&gt;=in_marketplace_from,d_hz_hlth_family*G1647,0)</f>
        <v/>
      </c>
      <c r="AJ1647" s="14">
        <f>F1647*AI1647*in_hlth_family_ticket*in_hlth_family_comm*in_ins_partner_share+F1647*in_hlth_family_ticket*in_hlth_family_renew_comm*in_ins_partner_share*(in_hlth_family_renew^1*SUMIFS(AI1642:AI1660,B1642:B1660,B1647-12)+in_hlth_family_renew^2*SUMIFS(AI1642:AI1660,B1642:B1660,B1647-24)+in_hlth_family_renew^3*SUMIFS(AI1642:AI1660,B1642:B1660,B1647-36)+in_hlth_family_renew^4*SUMIFS(AI1642:AI1660,B1642:B1660,B1647-48))</f>
        <v/>
      </c>
      <c r="AK1647" s="40">
        <f>AK1646*(1-IF(B1646&gt;=in_marketplace_from,d_hz_life_term*G1646,0))</f>
        <v/>
      </c>
      <c r="AL1647" s="46">
        <f>AK1647*IF(B1647&gt;=in_marketplace_from,d_hz_life_term*G1647,0)</f>
        <v/>
      </c>
      <c r="AM1647" s="14">
        <f>F1647*AL1647*in_life_term_ticket*in_life_term_comm*in_ins_partner_share+F1647*in_life_term_ticket*in_life_term_renew_comm*in_ins_partner_share*(in_life_term_renew^1*SUMIFS(AL1642:AL1660,B1642:B1660,B1647-12)+in_life_term_renew^2*SUMIFS(AL1642:AL1660,B1642:B1660,B1647-24)+in_life_term_renew^3*SUMIFS(AL1642:AL1660,B1642:B1660,B1647-36)+in_life_term_renew^4*SUMIFS(AL1642:AL1660,B1642:B1660,B1647-48))</f>
        <v/>
      </c>
      <c r="AN1647" s="40">
        <f>AN1646*(1-IF(B1646&gt;=in_marketplace_from,d_hz_accident*G1646,0))</f>
        <v/>
      </c>
      <c r="AO1647" s="46">
        <f>AN1647*IF(B1647&gt;=in_marketplace_from,d_hz_accident*G1647,0)</f>
        <v/>
      </c>
      <c r="AP1647" s="14">
        <f>F1647*AO1647*in_accident_ticket*in_accident_comm*in_ins_partner_share+F1647*in_accident_ticket*in_accident_renew_comm*in_ins_partner_share*(in_accident_renew^1*SUMIFS(AO1642:AO1660,B1642:B1660,B1647-12)+in_accident_renew^2*SUMIFS(AO1642:AO1660,B1642:B1660,B1647-24)+in_accident_renew^3*SUMIFS(AO1642:AO1660,B1642:B1660,B1647-36)+in_accident_renew^4*SUMIFS(AO1642:AO1660,B1642:B1660,B1647-48))</f>
        <v/>
      </c>
      <c r="AQ1647" s="40">
        <f>AQ1646*(1-IF(B1646&gt;=in_marketplace_from,d_hz_two_wheeler*G1646,0))</f>
        <v/>
      </c>
      <c r="AR1647" s="46">
        <f>AQ1647*IF(B1647&gt;=in_marketplace_from,d_hz_two_wheeler*G1647,0)</f>
        <v/>
      </c>
      <c r="AS1647" s="14">
        <f>F1647*AR1647*in_two_wheeler_ticket*in_two_wheeler_comm*in_ins_partner_share+F1647*in_two_wheeler_ticket*in_two_wheeler_comm*in_ins_partner_share*(in_two_wheeler_renew^1*SUMIFS(AR1642:AR1660,B1642:B1660,B1647-12)+in_two_wheeler_renew^2*SUMIFS(AR1642:AR1660,B1642:B1660,B1647-24)+in_two_wheeler_renew^3*SUMIFS(AR1642:AR1660,B1642:B1660,B1647-36)+in_two_wheeler_renew^4*SUMIFS(AR1642:AR1660,B1642:B1660,B1647-48))</f>
        <v/>
      </c>
      <c r="AT1647" s="40">
        <f>AT1646*(1-IF(B1646&gt;=in_marketplace_from,d_hz_device*G1646,0))</f>
        <v/>
      </c>
      <c r="AU1647" s="14">
        <f>F1647*AT1647*IF(B1647&gt;=in_marketplace_from,d_hz_device*G1647,0)*in_device_ticket*in_device_comm*in_ins_partner_share</f>
        <v/>
      </c>
      <c r="AV1647" s="40">
        <f>AV1646*(1-IF(B1646&gt;=in_marketplace_from,d_hz_shop*G1646,0))</f>
        <v/>
      </c>
      <c r="AW1647" s="46">
        <f>AV1647*IF(B1647&gt;=in_marketplace_from,d_hz_shop*G1647,0)</f>
        <v/>
      </c>
      <c r="AX1647" s="14">
        <f>F1647*AW1647*in_shop_ticket*in_shop_comm*in_ins_partner_share+F1647*in_shop_ticket*in_shop_renew_comm*in_ins_partner_share*(in_shop_renew^1*SUMIFS(AW1642:AW1660,B1642:B1660,B1647-12)+in_shop_renew^2*SUMIFS(AW1642:AW1660,B1642:B1660,B1647-24)+in_shop_renew^3*SUMIFS(AW1642:AW1660,B1642:B1660,B1647-36)+in_shop_renew^4*SUMIFS(AW1642:AW1660,B1642:B1660,B1647-48))</f>
        <v/>
      </c>
      <c r="AY1647" s="40">
        <f>AY1646*(1-IF(B1646&gt;=in_marketplace_from,d_hz_sip*G1646,0))</f>
        <v/>
      </c>
      <c r="AZ1647" s="40">
        <f>AZ1646*d_rho_sip+AY1647*IF(B1647&gt;=in_marketplace_from,d_hz_sip*G1647,0)</f>
        <v/>
      </c>
      <c r="BA1647" s="40">
        <f>d_rho_sip*(BA1646+AZ1646)</f>
        <v/>
      </c>
      <c r="BB1647" s="14">
        <f>F1647*in_sip_ticket*(BA1647+0.5*AZ1647)*in_sip_comm/12</f>
        <v/>
      </c>
      <c r="BC1647" s="40">
        <f>BC1646*(1-IF(B1646&gt;=in_marketplace_from,d_hz_choti*G1646,0))</f>
        <v/>
      </c>
      <c r="BD1647" s="46">
        <f>BC1647*IF(B1647&gt;=in_marketplace_from,d_hz_choti*G1647,0)</f>
        <v/>
      </c>
      <c r="BE1647" s="14">
        <f>F1647*SUMIFS(BD1642:BD1660,B1642:B1660,B1647-in_choti_months)*in_choti_renew*in_choti_ticket</f>
        <v/>
      </c>
      <c r="BF1647" s="40">
        <f>BF1646*(1-IF(B1646&gt;=in_marketplace_from,d_hz_nps*G1646,0))</f>
        <v/>
      </c>
      <c r="BG1647" s="14">
        <f>F1647*BF1647*IF(B1647&gt;=in_marketplace_from,d_hz_nps*G1647,0)*in_nps_ticket*in_nps_comm</f>
        <v/>
      </c>
      <c r="BH1647" s="40">
        <f>BH1646*(1-IF(B1646&gt;=in_marketplace_from,d_hz_gold*G1646,0))</f>
        <v/>
      </c>
      <c r="BI1647" s="40">
        <f>BI1646*d_rho_gold+BH1647*IF(B1647&gt;=in_marketplace_from,d_hz_gold*G1647,0)</f>
        <v/>
      </c>
      <c r="BJ1647" s="14">
        <f>F1647*BI1647*in_gold_ticket*in_gold_comm</f>
        <v/>
      </c>
      <c r="BK1647" s="40">
        <f>BK1646*(1-IF(B1646&gt;=in_marketplace_from,d_hz_fd*G1646,0))</f>
        <v/>
      </c>
      <c r="BL1647" s="14">
        <f>F1647*BK1647*IF(B1647&gt;=in_marketplace_from,d_hz_fd*G1647,0)*in_fd_ticket*in_fd_comm</f>
        <v/>
      </c>
      <c r="BM1647" s="40">
        <f>BM1646*(1-IF(B1646&gt;=in_marketplace_from,d_hz_recharge*G1646,0))</f>
        <v/>
      </c>
      <c r="BN1647" s="40">
        <f>BN1646*d_rho_recharge+BM1647*IF(B1647&gt;=in_marketplace_from,d_hz_recharge*G1647,0)</f>
        <v/>
      </c>
      <c r="BO1647" s="14">
        <f>F1647*BN1647*in_recharge_ticket*in_recharge_comm/12</f>
        <v/>
      </c>
      <c r="BP1647" s="40">
        <f>BP1646*(1-IF(B1646&gt;=in_marketplace_from,d_hz_bills*G1646,0))</f>
        <v/>
      </c>
      <c r="BQ1647" s="40">
        <f>BQ1646*d_rho_bills+BP1647*IF(B1647&gt;=in_marketplace_from,d_hz_bills*G1647,0)</f>
        <v/>
      </c>
      <c r="BR1647" s="14">
        <f>F1647*BQ1647*in_bills_ticket*in_bills_comm/12</f>
        <v/>
      </c>
      <c r="BS1647" s="40">
        <f>BS1646*(1-IF(B1646&gt;=in_marketplace_from,d_hz_loan_gold*G1646,0))</f>
        <v/>
      </c>
      <c r="BT1647" s="14">
        <f>F1647*BS1647*IF(B1647&gt;=in_marketplace_from,d_hz_loan_gold*G1647,0)*in_loan_gold_ticket*in_loan_gold_comm</f>
        <v/>
      </c>
      <c r="BU1647" s="40">
        <f>BU1646*(1-IF(B1646&gt;=in_marketplace_from,d_hz_loan_cd*G1646,0))</f>
        <v/>
      </c>
      <c r="BV1647" s="14">
        <f>F1647*BU1647*IF(B1647&gt;=in_marketplace_from,d_hz_loan_cd*G1647,0)*in_loan_cd_ticket*in_loan_cd_comm</f>
        <v/>
      </c>
      <c r="BW1647" s="40">
        <f>BW1646*(1-IF(B1646&gt;=in_marketplace_from,d_hz_loan_vehicle*G1646,0))</f>
        <v/>
      </c>
      <c r="BX1647" s="14">
        <f>F1647*BW1647*IF(B1647&gt;=in_marketplace_from,d_hz_loan_vehicle*G1647,0)*in_loan_vehicle_ticket*in_loan_vehicle_comm</f>
        <v/>
      </c>
      <c r="BY1647" s="40">
        <f>BY1646*(1-IF(B1646&gt;=in_marketplace_from,d_hz_loan_home*G1646,0)*BZ1646)</f>
        <v/>
      </c>
      <c r="BZ1647" s="11">
        <f>MIN(in_approval_cap,in_loan_home_approval*INDEX('Age profile'!$O$2:$O$61,B1647)*(1+in_approval_growth)^(D1647-1))</f>
        <v/>
      </c>
      <c r="CA1647" s="14">
        <f>F1647*BY1647*IF(B1647&gt;=in_marketplace_from,d_hz_loan_home*G1647,0)*BZ1647*in_loan_home_ticket*in_loan_home_comm</f>
        <v/>
      </c>
      <c r="CB1647" s="40">
        <f>CB1646*(1-IF(B1646&gt;=in_marketplace_from,d_hz_loan_lap*G1646,0)*CC1646)</f>
        <v/>
      </c>
      <c r="CC1647" s="11">
        <f>MIN(in_approval_cap,in_loan_lap_approval*INDEX('Age profile'!$O$2:$O$61,B1647)*(1+in_approval_growth)^(D1647-1))</f>
        <v/>
      </c>
      <c r="CD1647" s="14">
        <f>F1647*CB1647*IF(B1647&gt;=in_marketplace_from,d_hz_loan_lap*G1647,0)*CC1647*in_loan_lap_ticket*in_loan_lap_comm</f>
        <v/>
      </c>
      <c r="CE1647" s="14">
        <f>AA1647+AB1647+AC1647+AD1647+AG1647+AJ1647+AM1647+AP1647+AS1647+AU1647+AX1647+BB1647+BE1647+BG1647+BJ1647+BL1647+BO1647+BR1647+BT1647+BV1647+BX1647+CA1647+CD1647</f>
        <v/>
      </c>
    </row>
    <row r="1648">
      <c r="A1648" s="39" t="n">
        <v>42</v>
      </c>
      <c r="B1648" s="39" t="n">
        <v>7</v>
      </c>
      <c r="C1648" s="39">
        <f>A1648+B1648-1</f>
        <v/>
      </c>
      <c r="D1648" s="39">
        <f>INT((C1648-1)/12)+1</f>
        <v/>
      </c>
      <c r="E1648" s="44">
        <f>INDEX(Monthly!$B$2:$B$61,A1648)</f>
        <v/>
      </c>
      <c r="F1648" s="44">
        <f>E1648*INDEX('Age profile'!$B$2:$B$61,B1648)</f>
        <v/>
      </c>
      <c r="G1648" s="45">
        <f>MIN(in_takeup_cap,INDEX('Age profile'!$N$2:$N$61,B1648)*(1+in_takeup_growth)^(D1648-1))</f>
        <v/>
      </c>
      <c r="H1648" s="11">
        <f>MIN(in_approval_cap,in_approved_first*INDEX('Age profile'!$O$2:$O$61,B1648)*(1+in_approval_growth)^(D1648-1))</f>
        <v/>
      </c>
      <c r="I1648" s="45">
        <f>G1648*MIN(in_takeup_cap,INDEX('Age profile'!$O$2:$O$61,B1648)*(1+in_approval_growth)^(D1648-1))</f>
        <v/>
      </c>
      <c r="J1648" s="40">
        <f>(J1647-L1647)*F1648/F1647</f>
        <v/>
      </c>
      <c r="K1648" s="40">
        <f>(K1647-M1647)*F1648/F1647+SUMIFS(O1642:O1647,B1642:B1647,B1648-1-d_T)*F1648</f>
        <v/>
      </c>
      <c r="L1648" s="40">
        <f>IF(B1648&gt;=in_marketplace_from,J1648*d_hz*G1648*in_eligible*H1648,0)</f>
        <v/>
      </c>
      <c r="M1648" s="40">
        <f>IF(B1648&gt;=in_marketplace_from,K1648*d_hz*G1648*in_eligible*in_approved_repeat,0)</f>
        <v/>
      </c>
      <c r="N1648" s="40">
        <f>L1648+M1648</f>
        <v/>
      </c>
      <c r="O1648" s="46">
        <f>N1648/F1648</f>
        <v/>
      </c>
      <c r="P1648" s="40">
        <f>F1648-J1648-K1648</f>
        <v/>
      </c>
      <c r="Q1648" s="40">
        <f>IF(B1648&gt;=in_marketplace_from,(J1648+K1648)*d_hz*G1648,0)</f>
        <v/>
      </c>
      <c r="R1648" s="40">
        <f>SUMIFS(N1642:N1660,B1642:B1660,"&gt;="&amp;(B1648-d_T),B1642:B1660,"&lt;="&amp;(B1648-1))</f>
        <v/>
      </c>
      <c r="S1648" s="46">
        <f>(1-d_u)*S1647+IF(d_T&gt;in_topup_lag,SUMIFS(O1642:O1660,B1642:B1660,B1648-in_topup_lag)-d_udrop*SUMIFS(O1642:O1660,B1642:B1660,B1648-d_T),0)</f>
        <v/>
      </c>
      <c r="T1648" s="40">
        <f>F1648*d_u*S1648</f>
        <v/>
      </c>
      <c r="U1648" s="9">
        <f>L1648*in_ticket+M1648*d_rep_ticket</f>
        <v/>
      </c>
      <c r="V1648" s="9">
        <f>U1648+T1648*d_topup_amt</f>
        <v/>
      </c>
      <c r="W1648" s="40">
        <f>N1648+T1648*d_topup_ratio</f>
        <v/>
      </c>
      <c r="X1648" s="40">
        <f>SUMIFS(W1642:W1660,B1642:B1660,B1648-in_dpd_lag)*d_cured</f>
        <v/>
      </c>
      <c r="Y1648" s="40">
        <f>SUMIFS(W1642:W1660,B1642:B1660,B1648-in_rec_lag)*d_recd</f>
        <v/>
      </c>
      <c r="Z1648" s="40">
        <f>IF(AND(B1648&gt;=in_marketplace_from,B1648&lt;in_marketplace_from+in_card_months),in_card_share/in_card_months*F1648*I1648,IF(AND(B1648&gt;=in_marketplace_from+in_card_months,B1648&lt;in_marketplace_from+2*in_card_months),in_card_share*d_card_rem/in_card_months*F1648*MIN(in_takeup_cap,(1+in_takeup_growth)^(D1648-1))*MIN(in_takeup_cap,(1+in_approval_growth)^(D1648-1)),0))</f>
        <v/>
      </c>
      <c r="AA1648" s="14">
        <f>V1648*in_fee*(1-in_taken_back)</f>
        <v/>
      </c>
      <c r="AB1648" s="14">
        <f>SUMIFS(W1642:W1660,B1642:B1660,B1648-in_dpd_lag)*d_dpd</f>
        <v/>
      </c>
      <c r="AC1648" s="14">
        <f>SUMIFS(W1642:W1660,B1642:B1660,B1648-in_rec_lag)*d_rec</f>
        <v/>
      </c>
      <c r="AD1648" s="14">
        <f>Z1648*in_card_fee</f>
        <v/>
      </c>
      <c r="AE1648" s="40">
        <f>AE1647*(1-IF(B1647&gt;=in_marketplace_from,d_hz_hlth_small*G1647,0))</f>
        <v/>
      </c>
      <c r="AF1648" s="46">
        <f>AE1648*IF(B1648&gt;=in_marketplace_from,d_hz_hlth_small*G1648,0)</f>
        <v/>
      </c>
      <c r="AG1648" s="14">
        <f>F1648*AF1648*in_hlth_small_ticket*in_hlth_small_comm*in_ins_partner_share+F1648*in_hlth_small_ticket*in_hlth_small_renew_comm*in_ins_partner_share*(in_hlth_small_renew^1*SUMIFS(AF1642:AF1660,B1642:B1660,B1648-12)+in_hlth_small_renew^2*SUMIFS(AF1642:AF1660,B1642:B1660,B1648-24)+in_hlth_small_renew^3*SUMIFS(AF1642:AF1660,B1642:B1660,B1648-36)+in_hlth_small_renew^4*SUMIFS(AF1642:AF1660,B1642:B1660,B1648-48))</f>
        <v/>
      </c>
      <c r="AH1648" s="40">
        <f>AH1647*(1-IF(B1647&gt;=in_marketplace_from,d_hz_hlth_family*G1647,0))</f>
        <v/>
      </c>
      <c r="AI1648" s="46">
        <f>AH1648*IF(B1648&gt;=in_marketplace_from,d_hz_hlth_family*G1648,0)</f>
        <v/>
      </c>
      <c r="AJ1648" s="14">
        <f>F1648*AI1648*in_hlth_family_ticket*in_hlth_family_comm*in_ins_partner_share+F1648*in_hlth_family_ticket*in_hlth_family_renew_comm*in_ins_partner_share*(in_hlth_family_renew^1*SUMIFS(AI1642:AI1660,B1642:B1660,B1648-12)+in_hlth_family_renew^2*SUMIFS(AI1642:AI1660,B1642:B1660,B1648-24)+in_hlth_family_renew^3*SUMIFS(AI1642:AI1660,B1642:B1660,B1648-36)+in_hlth_family_renew^4*SUMIFS(AI1642:AI1660,B1642:B1660,B1648-48))</f>
        <v/>
      </c>
      <c r="AK1648" s="40">
        <f>AK1647*(1-IF(B1647&gt;=in_marketplace_from,d_hz_life_term*G1647,0))</f>
        <v/>
      </c>
      <c r="AL1648" s="46">
        <f>AK1648*IF(B1648&gt;=in_marketplace_from,d_hz_life_term*G1648,0)</f>
        <v/>
      </c>
      <c r="AM1648" s="14">
        <f>F1648*AL1648*in_life_term_ticket*in_life_term_comm*in_ins_partner_share+F1648*in_life_term_ticket*in_life_term_renew_comm*in_ins_partner_share*(in_life_term_renew^1*SUMIFS(AL1642:AL1660,B1642:B1660,B1648-12)+in_life_term_renew^2*SUMIFS(AL1642:AL1660,B1642:B1660,B1648-24)+in_life_term_renew^3*SUMIFS(AL1642:AL1660,B1642:B1660,B1648-36)+in_life_term_renew^4*SUMIFS(AL1642:AL1660,B1642:B1660,B1648-48))</f>
        <v/>
      </c>
      <c r="AN1648" s="40">
        <f>AN1647*(1-IF(B1647&gt;=in_marketplace_from,d_hz_accident*G1647,0))</f>
        <v/>
      </c>
      <c r="AO1648" s="46">
        <f>AN1648*IF(B1648&gt;=in_marketplace_from,d_hz_accident*G1648,0)</f>
        <v/>
      </c>
      <c r="AP1648" s="14">
        <f>F1648*AO1648*in_accident_ticket*in_accident_comm*in_ins_partner_share+F1648*in_accident_ticket*in_accident_renew_comm*in_ins_partner_share*(in_accident_renew^1*SUMIFS(AO1642:AO1660,B1642:B1660,B1648-12)+in_accident_renew^2*SUMIFS(AO1642:AO1660,B1642:B1660,B1648-24)+in_accident_renew^3*SUMIFS(AO1642:AO1660,B1642:B1660,B1648-36)+in_accident_renew^4*SUMIFS(AO1642:AO1660,B1642:B1660,B1648-48))</f>
        <v/>
      </c>
      <c r="AQ1648" s="40">
        <f>AQ1647*(1-IF(B1647&gt;=in_marketplace_from,d_hz_two_wheeler*G1647,0))</f>
        <v/>
      </c>
      <c r="AR1648" s="46">
        <f>AQ1648*IF(B1648&gt;=in_marketplace_from,d_hz_two_wheeler*G1648,0)</f>
        <v/>
      </c>
      <c r="AS1648" s="14">
        <f>F1648*AR1648*in_two_wheeler_ticket*in_two_wheeler_comm*in_ins_partner_share+F1648*in_two_wheeler_ticket*in_two_wheeler_comm*in_ins_partner_share*(in_two_wheeler_renew^1*SUMIFS(AR1642:AR1660,B1642:B1660,B1648-12)+in_two_wheeler_renew^2*SUMIFS(AR1642:AR1660,B1642:B1660,B1648-24)+in_two_wheeler_renew^3*SUMIFS(AR1642:AR1660,B1642:B1660,B1648-36)+in_two_wheeler_renew^4*SUMIFS(AR1642:AR1660,B1642:B1660,B1648-48))</f>
        <v/>
      </c>
      <c r="AT1648" s="40">
        <f>AT1647*(1-IF(B1647&gt;=in_marketplace_from,d_hz_device*G1647,0))</f>
        <v/>
      </c>
      <c r="AU1648" s="14">
        <f>F1648*AT1648*IF(B1648&gt;=in_marketplace_from,d_hz_device*G1648,0)*in_device_ticket*in_device_comm*in_ins_partner_share</f>
        <v/>
      </c>
      <c r="AV1648" s="40">
        <f>AV1647*(1-IF(B1647&gt;=in_marketplace_from,d_hz_shop*G1647,0))</f>
        <v/>
      </c>
      <c r="AW1648" s="46">
        <f>AV1648*IF(B1648&gt;=in_marketplace_from,d_hz_shop*G1648,0)</f>
        <v/>
      </c>
      <c r="AX1648" s="14">
        <f>F1648*AW1648*in_shop_ticket*in_shop_comm*in_ins_partner_share+F1648*in_shop_ticket*in_shop_renew_comm*in_ins_partner_share*(in_shop_renew^1*SUMIFS(AW1642:AW1660,B1642:B1660,B1648-12)+in_shop_renew^2*SUMIFS(AW1642:AW1660,B1642:B1660,B1648-24)+in_shop_renew^3*SUMIFS(AW1642:AW1660,B1642:B1660,B1648-36)+in_shop_renew^4*SUMIFS(AW1642:AW1660,B1642:B1660,B1648-48))</f>
        <v/>
      </c>
      <c r="AY1648" s="40">
        <f>AY1647*(1-IF(B1647&gt;=in_marketplace_from,d_hz_sip*G1647,0))</f>
        <v/>
      </c>
      <c r="AZ1648" s="40">
        <f>AZ1647*d_rho_sip+AY1648*IF(B1648&gt;=in_marketplace_from,d_hz_sip*G1648,0)</f>
        <v/>
      </c>
      <c r="BA1648" s="40">
        <f>d_rho_sip*(BA1647+AZ1647)</f>
        <v/>
      </c>
      <c r="BB1648" s="14">
        <f>F1648*in_sip_ticket*(BA1648+0.5*AZ1648)*in_sip_comm/12</f>
        <v/>
      </c>
      <c r="BC1648" s="40">
        <f>BC1647*(1-IF(B1647&gt;=in_marketplace_from,d_hz_choti*G1647,0))</f>
        <v/>
      </c>
      <c r="BD1648" s="46">
        <f>BC1648*IF(B1648&gt;=in_marketplace_from,d_hz_choti*G1648,0)</f>
        <v/>
      </c>
      <c r="BE1648" s="14">
        <f>F1648*SUMIFS(BD1642:BD1660,B1642:B1660,B1648-in_choti_months)*in_choti_renew*in_choti_ticket</f>
        <v/>
      </c>
      <c r="BF1648" s="40">
        <f>BF1647*(1-IF(B1647&gt;=in_marketplace_from,d_hz_nps*G1647,0))</f>
        <v/>
      </c>
      <c r="BG1648" s="14">
        <f>F1648*BF1648*IF(B1648&gt;=in_marketplace_from,d_hz_nps*G1648,0)*in_nps_ticket*in_nps_comm</f>
        <v/>
      </c>
      <c r="BH1648" s="40">
        <f>BH1647*(1-IF(B1647&gt;=in_marketplace_from,d_hz_gold*G1647,0))</f>
        <v/>
      </c>
      <c r="BI1648" s="40">
        <f>BI1647*d_rho_gold+BH1648*IF(B1648&gt;=in_marketplace_from,d_hz_gold*G1648,0)</f>
        <v/>
      </c>
      <c r="BJ1648" s="14">
        <f>F1648*BI1648*in_gold_ticket*in_gold_comm</f>
        <v/>
      </c>
      <c r="BK1648" s="40">
        <f>BK1647*(1-IF(B1647&gt;=in_marketplace_from,d_hz_fd*G1647,0))</f>
        <v/>
      </c>
      <c r="BL1648" s="14">
        <f>F1648*BK1648*IF(B1648&gt;=in_marketplace_from,d_hz_fd*G1648,0)*in_fd_ticket*in_fd_comm</f>
        <v/>
      </c>
      <c r="BM1648" s="40">
        <f>BM1647*(1-IF(B1647&gt;=in_marketplace_from,d_hz_recharge*G1647,0))</f>
        <v/>
      </c>
      <c r="BN1648" s="40">
        <f>BN1647*d_rho_recharge+BM1648*IF(B1648&gt;=in_marketplace_from,d_hz_recharge*G1648,0)</f>
        <v/>
      </c>
      <c r="BO1648" s="14">
        <f>F1648*BN1648*in_recharge_ticket*in_recharge_comm/12</f>
        <v/>
      </c>
      <c r="BP1648" s="40">
        <f>BP1647*(1-IF(B1647&gt;=in_marketplace_from,d_hz_bills*G1647,0))</f>
        <v/>
      </c>
      <c r="BQ1648" s="40">
        <f>BQ1647*d_rho_bills+BP1648*IF(B1648&gt;=in_marketplace_from,d_hz_bills*G1648,0)</f>
        <v/>
      </c>
      <c r="BR1648" s="14">
        <f>F1648*BQ1648*in_bills_ticket*in_bills_comm/12</f>
        <v/>
      </c>
      <c r="BS1648" s="40">
        <f>BS1647*(1-IF(B1647&gt;=in_marketplace_from,d_hz_loan_gold*G1647,0))</f>
        <v/>
      </c>
      <c r="BT1648" s="14">
        <f>F1648*BS1648*IF(B1648&gt;=in_marketplace_from,d_hz_loan_gold*G1648,0)*in_loan_gold_ticket*in_loan_gold_comm</f>
        <v/>
      </c>
      <c r="BU1648" s="40">
        <f>BU1647*(1-IF(B1647&gt;=in_marketplace_from,d_hz_loan_cd*G1647,0))</f>
        <v/>
      </c>
      <c r="BV1648" s="14">
        <f>F1648*BU1648*IF(B1648&gt;=in_marketplace_from,d_hz_loan_cd*G1648,0)*in_loan_cd_ticket*in_loan_cd_comm</f>
        <v/>
      </c>
      <c r="BW1648" s="40">
        <f>BW1647*(1-IF(B1647&gt;=in_marketplace_from,d_hz_loan_vehicle*G1647,0))</f>
        <v/>
      </c>
      <c r="BX1648" s="14">
        <f>F1648*BW1648*IF(B1648&gt;=in_marketplace_from,d_hz_loan_vehicle*G1648,0)*in_loan_vehicle_ticket*in_loan_vehicle_comm</f>
        <v/>
      </c>
      <c r="BY1648" s="40">
        <f>BY1647*(1-IF(B1647&gt;=in_marketplace_from,d_hz_loan_home*G1647,0)*BZ1647)</f>
        <v/>
      </c>
      <c r="BZ1648" s="11">
        <f>MIN(in_approval_cap,in_loan_home_approval*INDEX('Age profile'!$O$2:$O$61,B1648)*(1+in_approval_growth)^(D1648-1))</f>
        <v/>
      </c>
      <c r="CA1648" s="14">
        <f>F1648*BY1648*IF(B1648&gt;=in_marketplace_from,d_hz_loan_home*G1648,0)*BZ1648*in_loan_home_ticket*in_loan_home_comm</f>
        <v/>
      </c>
      <c r="CB1648" s="40">
        <f>CB1647*(1-IF(B1647&gt;=in_marketplace_from,d_hz_loan_lap*G1647,0)*CC1647)</f>
        <v/>
      </c>
      <c r="CC1648" s="11">
        <f>MIN(in_approval_cap,in_loan_lap_approval*INDEX('Age profile'!$O$2:$O$61,B1648)*(1+in_approval_growth)^(D1648-1))</f>
        <v/>
      </c>
      <c r="CD1648" s="14">
        <f>F1648*CB1648*IF(B1648&gt;=in_marketplace_from,d_hz_loan_lap*G1648,0)*CC1648*in_loan_lap_ticket*in_loan_lap_comm</f>
        <v/>
      </c>
      <c r="CE1648" s="14">
        <f>AA1648+AB1648+AC1648+AD1648+AG1648+AJ1648+AM1648+AP1648+AS1648+AU1648+AX1648+BB1648+BE1648+BG1648+BJ1648+BL1648+BO1648+BR1648+BT1648+BV1648+BX1648+CA1648+CD1648</f>
        <v/>
      </c>
    </row>
    <row r="1649">
      <c r="A1649" s="39" t="n">
        <v>42</v>
      </c>
      <c r="B1649" s="39" t="n">
        <v>8</v>
      </c>
      <c r="C1649" s="39">
        <f>A1649+B1649-1</f>
        <v/>
      </c>
      <c r="D1649" s="39">
        <f>INT((C1649-1)/12)+1</f>
        <v/>
      </c>
      <c r="E1649" s="44">
        <f>INDEX(Monthly!$B$2:$B$61,A1649)</f>
        <v/>
      </c>
      <c r="F1649" s="44">
        <f>E1649*INDEX('Age profile'!$B$2:$B$61,B1649)</f>
        <v/>
      </c>
      <c r="G1649" s="45">
        <f>MIN(in_takeup_cap,INDEX('Age profile'!$N$2:$N$61,B1649)*(1+in_takeup_growth)^(D1649-1))</f>
        <v/>
      </c>
      <c r="H1649" s="11">
        <f>MIN(in_approval_cap,in_approved_first*INDEX('Age profile'!$O$2:$O$61,B1649)*(1+in_approval_growth)^(D1649-1))</f>
        <v/>
      </c>
      <c r="I1649" s="45">
        <f>G1649*MIN(in_takeup_cap,INDEX('Age profile'!$O$2:$O$61,B1649)*(1+in_approval_growth)^(D1649-1))</f>
        <v/>
      </c>
      <c r="J1649" s="40">
        <f>(J1648-L1648)*F1649/F1648</f>
        <v/>
      </c>
      <c r="K1649" s="40">
        <f>(K1648-M1648)*F1649/F1648+SUMIFS(O1642:O1648,B1642:B1648,B1649-1-d_T)*F1649</f>
        <v/>
      </c>
      <c r="L1649" s="40">
        <f>IF(B1649&gt;=in_marketplace_from,J1649*d_hz*G1649*in_eligible*H1649,0)</f>
        <v/>
      </c>
      <c r="M1649" s="40">
        <f>IF(B1649&gt;=in_marketplace_from,K1649*d_hz*G1649*in_eligible*in_approved_repeat,0)</f>
        <v/>
      </c>
      <c r="N1649" s="40">
        <f>L1649+M1649</f>
        <v/>
      </c>
      <c r="O1649" s="46">
        <f>N1649/F1649</f>
        <v/>
      </c>
      <c r="P1649" s="40">
        <f>F1649-J1649-K1649</f>
        <v/>
      </c>
      <c r="Q1649" s="40">
        <f>IF(B1649&gt;=in_marketplace_from,(J1649+K1649)*d_hz*G1649,0)</f>
        <v/>
      </c>
      <c r="R1649" s="40">
        <f>SUMIFS(N1642:N1660,B1642:B1660,"&gt;="&amp;(B1649-d_T),B1642:B1660,"&lt;="&amp;(B1649-1))</f>
        <v/>
      </c>
      <c r="S1649" s="46">
        <f>(1-d_u)*S1648+IF(d_T&gt;in_topup_lag,SUMIFS(O1642:O1660,B1642:B1660,B1649-in_topup_lag)-d_udrop*SUMIFS(O1642:O1660,B1642:B1660,B1649-d_T),0)</f>
        <v/>
      </c>
      <c r="T1649" s="40">
        <f>F1649*d_u*S1649</f>
        <v/>
      </c>
      <c r="U1649" s="9">
        <f>L1649*in_ticket+M1649*d_rep_ticket</f>
        <v/>
      </c>
      <c r="V1649" s="9">
        <f>U1649+T1649*d_topup_amt</f>
        <v/>
      </c>
      <c r="W1649" s="40">
        <f>N1649+T1649*d_topup_ratio</f>
        <v/>
      </c>
      <c r="X1649" s="40">
        <f>SUMIFS(W1642:W1660,B1642:B1660,B1649-in_dpd_lag)*d_cured</f>
        <v/>
      </c>
      <c r="Y1649" s="40">
        <f>SUMIFS(W1642:W1660,B1642:B1660,B1649-in_rec_lag)*d_recd</f>
        <v/>
      </c>
      <c r="Z1649" s="40">
        <f>IF(AND(B1649&gt;=in_marketplace_from,B1649&lt;in_marketplace_from+in_card_months),in_card_share/in_card_months*F1649*I1649,IF(AND(B1649&gt;=in_marketplace_from+in_card_months,B1649&lt;in_marketplace_from+2*in_card_months),in_card_share*d_card_rem/in_card_months*F1649*MIN(in_takeup_cap,(1+in_takeup_growth)^(D1649-1))*MIN(in_takeup_cap,(1+in_approval_growth)^(D1649-1)),0))</f>
        <v/>
      </c>
      <c r="AA1649" s="14">
        <f>V1649*in_fee*(1-in_taken_back)</f>
        <v/>
      </c>
      <c r="AB1649" s="14">
        <f>SUMIFS(W1642:W1660,B1642:B1660,B1649-in_dpd_lag)*d_dpd</f>
        <v/>
      </c>
      <c r="AC1649" s="14">
        <f>SUMIFS(W1642:W1660,B1642:B1660,B1649-in_rec_lag)*d_rec</f>
        <v/>
      </c>
      <c r="AD1649" s="14">
        <f>Z1649*in_card_fee</f>
        <v/>
      </c>
      <c r="AE1649" s="40">
        <f>AE1648*(1-IF(B1648&gt;=in_marketplace_from,d_hz_hlth_small*G1648,0))</f>
        <v/>
      </c>
      <c r="AF1649" s="46">
        <f>AE1649*IF(B1649&gt;=in_marketplace_from,d_hz_hlth_small*G1649,0)</f>
        <v/>
      </c>
      <c r="AG1649" s="14">
        <f>F1649*AF1649*in_hlth_small_ticket*in_hlth_small_comm*in_ins_partner_share+F1649*in_hlth_small_ticket*in_hlth_small_renew_comm*in_ins_partner_share*(in_hlth_small_renew^1*SUMIFS(AF1642:AF1660,B1642:B1660,B1649-12)+in_hlth_small_renew^2*SUMIFS(AF1642:AF1660,B1642:B1660,B1649-24)+in_hlth_small_renew^3*SUMIFS(AF1642:AF1660,B1642:B1660,B1649-36)+in_hlth_small_renew^4*SUMIFS(AF1642:AF1660,B1642:B1660,B1649-48))</f>
        <v/>
      </c>
      <c r="AH1649" s="40">
        <f>AH1648*(1-IF(B1648&gt;=in_marketplace_from,d_hz_hlth_family*G1648,0))</f>
        <v/>
      </c>
      <c r="AI1649" s="46">
        <f>AH1649*IF(B1649&gt;=in_marketplace_from,d_hz_hlth_family*G1649,0)</f>
        <v/>
      </c>
      <c r="AJ1649" s="14">
        <f>F1649*AI1649*in_hlth_family_ticket*in_hlth_family_comm*in_ins_partner_share+F1649*in_hlth_family_ticket*in_hlth_family_renew_comm*in_ins_partner_share*(in_hlth_family_renew^1*SUMIFS(AI1642:AI1660,B1642:B1660,B1649-12)+in_hlth_family_renew^2*SUMIFS(AI1642:AI1660,B1642:B1660,B1649-24)+in_hlth_family_renew^3*SUMIFS(AI1642:AI1660,B1642:B1660,B1649-36)+in_hlth_family_renew^4*SUMIFS(AI1642:AI1660,B1642:B1660,B1649-48))</f>
        <v/>
      </c>
      <c r="AK1649" s="40">
        <f>AK1648*(1-IF(B1648&gt;=in_marketplace_from,d_hz_life_term*G1648,0))</f>
        <v/>
      </c>
      <c r="AL1649" s="46">
        <f>AK1649*IF(B1649&gt;=in_marketplace_from,d_hz_life_term*G1649,0)</f>
        <v/>
      </c>
      <c r="AM1649" s="14">
        <f>F1649*AL1649*in_life_term_ticket*in_life_term_comm*in_ins_partner_share+F1649*in_life_term_ticket*in_life_term_renew_comm*in_ins_partner_share*(in_life_term_renew^1*SUMIFS(AL1642:AL1660,B1642:B1660,B1649-12)+in_life_term_renew^2*SUMIFS(AL1642:AL1660,B1642:B1660,B1649-24)+in_life_term_renew^3*SUMIFS(AL1642:AL1660,B1642:B1660,B1649-36)+in_life_term_renew^4*SUMIFS(AL1642:AL1660,B1642:B1660,B1649-48))</f>
        <v/>
      </c>
      <c r="AN1649" s="40">
        <f>AN1648*(1-IF(B1648&gt;=in_marketplace_from,d_hz_accident*G1648,0))</f>
        <v/>
      </c>
      <c r="AO1649" s="46">
        <f>AN1649*IF(B1649&gt;=in_marketplace_from,d_hz_accident*G1649,0)</f>
        <v/>
      </c>
      <c r="AP1649" s="14">
        <f>F1649*AO1649*in_accident_ticket*in_accident_comm*in_ins_partner_share+F1649*in_accident_ticket*in_accident_renew_comm*in_ins_partner_share*(in_accident_renew^1*SUMIFS(AO1642:AO1660,B1642:B1660,B1649-12)+in_accident_renew^2*SUMIFS(AO1642:AO1660,B1642:B1660,B1649-24)+in_accident_renew^3*SUMIFS(AO1642:AO1660,B1642:B1660,B1649-36)+in_accident_renew^4*SUMIFS(AO1642:AO1660,B1642:B1660,B1649-48))</f>
        <v/>
      </c>
      <c r="AQ1649" s="40">
        <f>AQ1648*(1-IF(B1648&gt;=in_marketplace_from,d_hz_two_wheeler*G1648,0))</f>
        <v/>
      </c>
      <c r="AR1649" s="46">
        <f>AQ1649*IF(B1649&gt;=in_marketplace_from,d_hz_two_wheeler*G1649,0)</f>
        <v/>
      </c>
      <c r="AS1649" s="14">
        <f>F1649*AR1649*in_two_wheeler_ticket*in_two_wheeler_comm*in_ins_partner_share+F1649*in_two_wheeler_ticket*in_two_wheeler_comm*in_ins_partner_share*(in_two_wheeler_renew^1*SUMIFS(AR1642:AR1660,B1642:B1660,B1649-12)+in_two_wheeler_renew^2*SUMIFS(AR1642:AR1660,B1642:B1660,B1649-24)+in_two_wheeler_renew^3*SUMIFS(AR1642:AR1660,B1642:B1660,B1649-36)+in_two_wheeler_renew^4*SUMIFS(AR1642:AR1660,B1642:B1660,B1649-48))</f>
        <v/>
      </c>
      <c r="AT1649" s="40">
        <f>AT1648*(1-IF(B1648&gt;=in_marketplace_from,d_hz_device*G1648,0))</f>
        <v/>
      </c>
      <c r="AU1649" s="14">
        <f>F1649*AT1649*IF(B1649&gt;=in_marketplace_from,d_hz_device*G1649,0)*in_device_ticket*in_device_comm*in_ins_partner_share</f>
        <v/>
      </c>
      <c r="AV1649" s="40">
        <f>AV1648*(1-IF(B1648&gt;=in_marketplace_from,d_hz_shop*G1648,0))</f>
        <v/>
      </c>
      <c r="AW1649" s="46">
        <f>AV1649*IF(B1649&gt;=in_marketplace_from,d_hz_shop*G1649,0)</f>
        <v/>
      </c>
      <c r="AX1649" s="14">
        <f>F1649*AW1649*in_shop_ticket*in_shop_comm*in_ins_partner_share+F1649*in_shop_ticket*in_shop_renew_comm*in_ins_partner_share*(in_shop_renew^1*SUMIFS(AW1642:AW1660,B1642:B1660,B1649-12)+in_shop_renew^2*SUMIFS(AW1642:AW1660,B1642:B1660,B1649-24)+in_shop_renew^3*SUMIFS(AW1642:AW1660,B1642:B1660,B1649-36)+in_shop_renew^4*SUMIFS(AW1642:AW1660,B1642:B1660,B1649-48))</f>
        <v/>
      </c>
      <c r="AY1649" s="40">
        <f>AY1648*(1-IF(B1648&gt;=in_marketplace_from,d_hz_sip*G1648,0))</f>
        <v/>
      </c>
      <c r="AZ1649" s="40">
        <f>AZ1648*d_rho_sip+AY1649*IF(B1649&gt;=in_marketplace_from,d_hz_sip*G1649,0)</f>
        <v/>
      </c>
      <c r="BA1649" s="40">
        <f>d_rho_sip*(BA1648+AZ1648)</f>
        <v/>
      </c>
      <c r="BB1649" s="14">
        <f>F1649*in_sip_ticket*(BA1649+0.5*AZ1649)*in_sip_comm/12</f>
        <v/>
      </c>
      <c r="BC1649" s="40">
        <f>BC1648*(1-IF(B1648&gt;=in_marketplace_from,d_hz_choti*G1648,0))</f>
        <v/>
      </c>
      <c r="BD1649" s="46">
        <f>BC1649*IF(B1649&gt;=in_marketplace_from,d_hz_choti*G1649,0)</f>
        <v/>
      </c>
      <c r="BE1649" s="14">
        <f>F1649*SUMIFS(BD1642:BD1660,B1642:B1660,B1649-in_choti_months)*in_choti_renew*in_choti_ticket</f>
        <v/>
      </c>
      <c r="BF1649" s="40">
        <f>BF1648*(1-IF(B1648&gt;=in_marketplace_from,d_hz_nps*G1648,0))</f>
        <v/>
      </c>
      <c r="BG1649" s="14">
        <f>F1649*BF1649*IF(B1649&gt;=in_marketplace_from,d_hz_nps*G1649,0)*in_nps_ticket*in_nps_comm</f>
        <v/>
      </c>
      <c r="BH1649" s="40">
        <f>BH1648*(1-IF(B1648&gt;=in_marketplace_from,d_hz_gold*G1648,0))</f>
        <v/>
      </c>
      <c r="BI1649" s="40">
        <f>BI1648*d_rho_gold+BH1649*IF(B1649&gt;=in_marketplace_from,d_hz_gold*G1649,0)</f>
        <v/>
      </c>
      <c r="BJ1649" s="14">
        <f>F1649*BI1649*in_gold_ticket*in_gold_comm</f>
        <v/>
      </c>
      <c r="BK1649" s="40">
        <f>BK1648*(1-IF(B1648&gt;=in_marketplace_from,d_hz_fd*G1648,0))</f>
        <v/>
      </c>
      <c r="BL1649" s="14">
        <f>F1649*BK1649*IF(B1649&gt;=in_marketplace_from,d_hz_fd*G1649,0)*in_fd_ticket*in_fd_comm</f>
        <v/>
      </c>
      <c r="BM1649" s="40">
        <f>BM1648*(1-IF(B1648&gt;=in_marketplace_from,d_hz_recharge*G1648,0))</f>
        <v/>
      </c>
      <c r="BN1649" s="40">
        <f>BN1648*d_rho_recharge+BM1649*IF(B1649&gt;=in_marketplace_from,d_hz_recharge*G1649,0)</f>
        <v/>
      </c>
      <c r="BO1649" s="14">
        <f>F1649*BN1649*in_recharge_ticket*in_recharge_comm/12</f>
        <v/>
      </c>
      <c r="BP1649" s="40">
        <f>BP1648*(1-IF(B1648&gt;=in_marketplace_from,d_hz_bills*G1648,0))</f>
        <v/>
      </c>
      <c r="BQ1649" s="40">
        <f>BQ1648*d_rho_bills+BP1649*IF(B1649&gt;=in_marketplace_from,d_hz_bills*G1649,0)</f>
        <v/>
      </c>
      <c r="BR1649" s="14">
        <f>F1649*BQ1649*in_bills_ticket*in_bills_comm/12</f>
        <v/>
      </c>
      <c r="BS1649" s="40">
        <f>BS1648*(1-IF(B1648&gt;=in_marketplace_from,d_hz_loan_gold*G1648,0))</f>
        <v/>
      </c>
      <c r="BT1649" s="14">
        <f>F1649*BS1649*IF(B1649&gt;=in_marketplace_from,d_hz_loan_gold*G1649,0)*in_loan_gold_ticket*in_loan_gold_comm</f>
        <v/>
      </c>
      <c r="BU1649" s="40">
        <f>BU1648*(1-IF(B1648&gt;=in_marketplace_from,d_hz_loan_cd*G1648,0))</f>
        <v/>
      </c>
      <c r="BV1649" s="14">
        <f>F1649*BU1649*IF(B1649&gt;=in_marketplace_from,d_hz_loan_cd*G1649,0)*in_loan_cd_ticket*in_loan_cd_comm</f>
        <v/>
      </c>
      <c r="BW1649" s="40">
        <f>BW1648*(1-IF(B1648&gt;=in_marketplace_from,d_hz_loan_vehicle*G1648,0))</f>
        <v/>
      </c>
      <c r="BX1649" s="14">
        <f>F1649*BW1649*IF(B1649&gt;=in_marketplace_from,d_hz_loan_vehicle*G1649,0)*in_loan_vehicle_ticket*in_loan_vehicle_comm</f>
        <v/>
      </c>
      <c r="BY1649" s="40">
        <f>BY1648*(1-IF(B1648&gt;=in_marketplace_from,d_hz_loan_home*G1648,0)*BZ1648)</f>
        <v/>
      </c>
      <c r="BZ1649" s="11">
        <f>MIN(in_approval_cap,in_loan_home_approval*INDEX('Age profile'!$O$2:$O$61,B1649)*(1+in_approval_growth)^(D1649-1))</f>
        <v/>
      </c>
      <c r="CA1649" s="14">
        <f>F1649*BY1649*IF(B1649&gt;=in_marketplace_from,d_hz_loan_home*G1649,0)*BZ1649*in_loan_home_ticket*in_loan_home_comm</f>
        <v/>
      </c>
      <c r="CB1649" s="40">
        <f>CB1648*(1-IF(B1648&gt;=in_marketplace_from,d_hz_loan_lap*G1648,0)*CC1648)</f>
        <v/>
      </c>
      <c r="CC1649" s="11">
        <f>MIN(in_approval_cap,in_loan_lap_approval*INDEX('Age profile'!$O$2:$O$61,B1649)*(1+in_approval_growth)^(D1649-1))</f>
        <v/>
      </c>
      <c r="CD1649" s="14">
        <f>F1649*CB1649*IF(B1649&gt;=in_marketplace_from,d_hz_loan_lap*G1649,0)*CC1649*in_loan_lap_ticket*in_loan_lap_comm</f>
        <v/>
      </c>
      <c r="CE1649" s="14">
        <f>AA1649+AB1649+AC1649+AD1649+AG1649+AJ1649+AM1649+AP1649+AS1649+AU1649+AX1649+BB1649+BE1649+BG1649+BJ1649+BL1649+BO1649+BR1649+BT1649+BV1649+BX1649+CA1649+CD1649</f>
        <v/>
      </c>
    </row>
    <row r="1650">
      <c r="A1650" s="39" t="n">
        <v>42</v>
      </c>
      <c r="B1650" s="39" t="n">
        <v>9</v>
      </c>
      <c r="C1650" s="39">
        <f>A1650+B1650-1</f>
        <v/>
      </c>
      <c r="D1650" s="39">
        <f>INT((C1650-1)/12)+1</f>
        <v/>
      </c>
      <c r="E1650" s="44">
        <f>INDEX(Monthly!$B$2:$B$61,A1650)</f>
        <v/>
      </c>
      <c r="F1650" s="44">
        <f>E1650*INDEX('Age profile'!$B$2:$B$61,B1650)</f>
        <v/>
      </c>
      <c r="G1650" s="45">
        <f>MIN(in_takeup_cap,INDEX('Age profile'!$N$2:$N$61,B1650)*(1+in_takeup_growth)^(D1650-1))</f>
        <v/>
      </c>
      <c r="H1650" s="11">
        <f>MIN(in_approval_cap,in_approved_first*INDEX('Age profile'!$O$2:$O$61,B1650)*(1+in_approval_growth)^(D1650-1))</f>
        <v/>
      </c>
      <c r="I1650" s="45">
        <f>G1650*MIN(in_takeup_cap,INDEX('Age profile'!$O$2:$O$61,B1650)*(1+in_approval_growth)^(D1650-1))</f>
        <v/>
      </c>
      <c r="J1650" s="40">
        <f>(J1649-L1649)*F1650/F1649</f>
        <v/>
      </c>
      <c r="K1650" s="40">
        <f>(K1649-M1649)*F1650/F1649+SUMIFS(O1642:O1649,B1642:B1649,B1650-1-d_T)*F1650</f>
        <v/>
      </c>
      <c r="L1650" s="40">
        <f>IF(B1650&gt;=in_marketplace_from,J1650*d_hz*G1650*in_eligible*H1650,0)</f>
        <v/>
      </c>
      <c r="M1650" s="40">
        <f>IF(B1650&gt;=in_marketplace_from,K1650*d_hz*G1650*in_eligible*in_approved_repeat,0)</f>
        <v/>
      </c>
      <c r="N1650" s="40">
        <f>L1650+M1650</f>
        <v/>
      </c>
      <c r="O1650" s="46">
        <f>N1650/F1650</f>
        <v/>
      </c>
      <c r="P1650" s="40">
        <f>F1650-J1650-K1650</f>
        <v/>
      </c>
      <c r="Q1650" s="40">
        <f>IF(B1650&gt;=in_marketplace_from,(J1650+K1650)*d_hz*G1650,0)</f>
        <v/>
      </c>
      <c r="R1650" s="40">
        <f>SUMIFS(N1642:N1660,B1642:B1660,"&gt;="&amp;(B1650-d_T),B1642:B1660,"&lt;="&amp;(B1650-1))</f>
        <v/>
      </c>
      <c r="S1650" s="46">
        <f>(1-d_u)*S1649+IF(d_T&gt;in_topup_lag,SUMIFS(O1642:O1660,B1642:B1660,B1650-in_topup_lag)-d_udrop*SUMIFS(O1642:O1660,B1642:B1660,B1650-d_T),0)</f>
        <v/>
      </c>
      <c r="T1650" s="40">
        <f>F1650*d_u*S1650</f>
        <v/>
      </c>
      <c r="U1650" s="9">
        <f>L1650*in_ticket+M1650*d_rep_ticket</f>
        <v/>
      </c>
      <c r="V1650" s="9">
        <f>U1650+T1650*d_topup_amt</f>
        <v/>
      </c>
      <c r="W1650" s="40">
        <f>N1650+T1650*d_topup_ratio</f>
        <v/>
      </c>
      <c r="X1650" s="40">
        <f>SUMIFS(W1642:W1660,B1642:B1660,B1650-in_dpd_lag)*d_cured</f>
        <v/>
      </c>
      <c r="Y1650" s="40">
        <f>SUMIFS(W1642:W1660,B1642:B1660,B1650-in_rec_lag)*d_recd</f>
        <v/>
      </c>
      <c r="Z1650" s="40">
        <f>IF(AND(B1650&gt;=in_marketplace_from,B1650&lt;in_marketplace_from+in_card_months),in_card_share/in_card_months*F1650*I1650,IF(AND(B1650&gt;=in_marketplace_from+in_card_months,B1650&lt;in_marketplace_from+2*in_card_months),in_card_share*d_card_rem/in_card_months*F1650*MIN(in_takeup_cap,(1+in_takeup_growth)^(D1650-1))*MIN(in_takeup_cap,(1+in_approval_growth)^(D1650-1)),0))</f>
        <v/>
      </c>
      <c r="AA1650" s="14">
        <f>V1650*in_fee*(1-in_taken_back)</f>
        <v/>
      </c>
      <c r="AB1650" s="14">
        <f>SUMIFS(W1642:W1660,B1642:B1660,B1650-in_dpd_lag)*d_dpd</f>
        <v/>
      </c>
      <c r="AC1650" s="14">
        <f>SUMIFS(W1642:W1660,B1642:B1660,B1650-in_rec_lag)*d_rec</f>
        <v/>
      </c>
      <c r="AD1650" s="14">
        <f>Z1650*in_card_fee</f>
        <v/>
      </c>
      <c r="AE1650" s="40">
        <f>AE1649*(1-IF(B1649&gt;=in_marketplace_from,d_hz_hlth_small*G1649,0))</f>
        <v/>
      </c>
      <c r="AF1650" s="46">
        <f>AE1650*IF(B1650&gt;=in_marketplace_from,d_hz_hlth_small*G1650,0)</f>
        <v/>
      </c>
      <c r="AG1650" s="14">
        <f>F1650*AF1650*in_hlth_small_ticket*in_hlth_small_comm*in_ins_partner_share+F1650*in_hlth_small_ticket*in_hlth_small_renew_comm*in_ins_partner_share*(in_hlth_small_renew^1*SUMIFS(AF1642:AF1660,B1642:B1660,B1650-12)+in_hlth_small_renew^2*SUMIFS(AF1642:AF1660,B1642:B1660,B1650-24)+in_hlth_small_renew^3*SUMIFS(AF1642:AF1660,B1642:B1660,B1650-36)+in_hlth_small_renew^4*SUMIFS(AF1642:AF1660,B1642:B1660,B1650-48))</f>
        <v/>
      </c>
      <c r="AH1650" s="40">
        <f>AH1649*(1-IF(B1649&gt;=in_marketplace_from,d_hz_hlth_family*G1649,0))</f>
        <v/>
      </c>
      <c r="AI1650" s="46">
        <f>AH1650*IF(B1650&gt;=in_marketplace_from,d_hz_hlth_family*G1650,0)</f>
        <v/>
      </c>
      <c r="AJ1650" s="14">
        <f>F1650*AI1650*in_hlth_family_ticket*in_hlth_family_comm*in_ins_partner_share+F1650*in_hlth_family_ticket*in_hlth_family_renew_comm*in_ins_partner_share*(in_hlth_family_renew^1*SUMIFS(AI1642:AI1660,B1642:B1660,B1650-12)+in_hlth_family_renew^2*SUMIFS(AI1642:AI1660,B1642:B1660,B1650-24)+in_hlth_family_renew^3*SUMIFS(AI1642:AI1660,B1642:B1660,B1650-36)+in_hlth_family_renew^4*SUMIFS(AI1642:AI1660,B1642:B1660,B1650-48))</f>
        <v/>
      </c>
      <c r="AK1650" s="40">
        <f>AK1649*(1-IF(B1649&gt;=in_marketplace_from,d_hz_life_term*G1649,0))</f>
        <v/>
      </c>
      <c r="AL1650" s="46">
        <f>AK1650*IF(B1650&gt;=in_marketplace_from,d_hz_life_term*G1650,0)</f>
        <v/>
      </c>
      <c r="AM1650" s="14">
        <f>F1650*AL1650*in_life_term_ticket*in_life_term_comm*in_ins_partner_share+F1650*in_life_term_ticket*in_life_term_renew_comm*in_ins_partner_share*(in_life_term_renew^1*SUMIFS(AL1642:AL1660,B1642:B1660,B1650-12)+in_life_term_renew^2*SUMIFS(AL1642:AL1660,B1642:B1660,B1650-24)+in_life_term_renew^3*SUMIFS(AL1642:AL1660,B1642:B1660,B1650-36)+in_life_term_renew^4*SUMIFS(AL1642:AL1660,B1642:B1660,B1650-48))</f>
        <v/>
      </c>
      <c r="AN1650" s="40">
        <f>AN1649*(1-IF(B1649&gt;=in_marketplace_from,d_hz_accident*G1649,0))</f>
        <v/>
      </c>
      <c r="AO1650" s="46">
        <f>AN1650*IF(B1650&gt;=in_marketplace_from,d_hz_accident*G1650,0)</f>
        <v/>
      </c>
      <c r="AP1650" s="14">
        <f>F1650*AO1650*in_accident_ticket*in_accident_comm*in_ins_partner_share+F1650*in_accident_ticket*in_accident_renew_comm*in_ins_partner_share*(in_accident_renew^1*SUMIFS(AO1642:AO1660,B1642:B1660,B1650-12)+in_accident_renew^2*SUMIFS(AO1642:AO1660,B1642:B1660,B1650-24)+in_accident_renew^3*SUMIFS(AO1642:AO1660,B1642:B1660,B1650-36)+in_accident_renew^4*SUMIFS(AO1642:AO1660,B1642:B1660,B1650-48))</f>
        <v/>
      </c>
      <c r="AQ1650" s="40">
        <f>AQ1649*(1-IF(B1649&gt;=in_marketplace_from,d_hz_two_wheeler*G1649,0))</f>
        <v/>
      </c>
      <c r="AR1650" s="46">
        <f>AQ1650*IF(B1650&gt;=in_marketplace_from,d_hz_two_wheeler*G1650,0)</f>
        <v/>
      </c>
      <c r="AS1650" s="14">
        <f>F1650*AR1650*in_two_wheeler_ticket*in_two_wheeler_comm*in_ins_partner_share+F1650*in_two_wheeler_ticket*in_two_wheeler_comm*in_ins_partner_share*(in_two_wheeler_renew^1*SUMIFS(AR1642:AR1660,B1642:B1660,B1650-12)+in_two_wheeler_renew^2*SUMIFS(AR1642:AR1660,B1642:B1660,B1650-24)+in_two_wheeler_renew^3*SUMIFS(AR1642:AR1660,B1642:B1660,B1650-36)+in_two_wheeler_renew^4*SUMIFS(AR1642:AR1660,B1642:B1660,B1650-48))</f>
        <v/>
      </c>
      <c r="AT1650" s="40">
        <f>AT1649*(1-IF(B1649&gt;=in_marketplace_from,d_hz_device*G1649,0))</f>
        <v/>
      </c>
      <c r="AU1650" s="14">
        <f>F1650*AT1650*IF(B1650&gt;=in_marketplace_from,d_hz_device*G1650,0)*in_device_ticket*in_device_comm*in_ins_partner_share</f>
        <v/>
      </c>
      <c r="AV1650" s="40">
        <f>AV1649*(1-IF(B1649&gt;=in_marketplace_from,d_hz_shop*G1649,0))</f>
        <v/>
      </c>
      <c r="AW1650" s="46">
        <f>AV1650*IF(B1650&gt;=in_marketplace_from,d_hz_shop*G1650,0)</f>
        <v/>
      </c>
      <c r="AX1650" s="14">
        <f>F1650*AW1650*in_shop_ticket*in_shop_comm*in_ins_partner_share+F1650*in_shop_ticket*in_shop_renew_comm*in_ins_partner_share*(in_shop_renew^1*SUMIFS(AW1642:AW1660,B1642:B1660,B1650-12)+in_shop_renew^2*SUMIFS(AW1642:AW1660,B1642:B1660,B1650-24)+in_shop_renew^3*SUMIFS(AW1642:AW1660,B1642:B1660,B1650-36)+in_shop_renew^4*SUMIFS(AW1642:AW1660,B1642:B1660,B1650-48))</f>
        <v/>
      </c>
      <c r="AY1650" s="40">
        <f>AY1649*(1-IF(B1649&gt;=in_marketplace_from,d_hz_sip*G1649,0))</f>
        <v/>
      </c>
      <c r="AZ1650" s="40">
        <f>AZ1649*d_rho_sip+AY1650*IF(B1650&gt;=in_marketplace_from,d_hz_sip*G1650,0)</f>
        <v/>
      </c>
      <c r="BA1650" s="40">
        <f>d_rho_sip*(BA1649+AZ1649)</f>
        <v/>
      </c>
      <c r="BB1650" s="14">
        <f>F1650*in_sip_ticket*(BA1650+0.5*AZ1650)*in_sip_comm/12</f>
        <v/>
      </c>
      <c r="BC1650" s="40">
        <f>BC1649*(1-IF(B1649&gt;=in_marketplace_from,d_hz_choti*G1649,0))</f>
        <v/>
      </c>
      <c r="BD1650" s="46">
        <f>BC1650*IF(B1650&gt;=in_marketplace_from,d_hz_choti*G1650,0)</f>
        <v/>
      </c>
      <c r="BE1650" s="14">
        <f>F1650*SUMIFS(BD1642:BD1660,B1642:B1660,B1650-in_choti_months)*in_choti_renew*in_choti_ticket</f>
        <v/>
      </c>
      <c r="BF1650" s="40">
        <f>BF1649*(1-IF(B1649&gt;=in_marketplace_from,d_hz_nps*G1649,0))</f>
        <v/>
      </c>
      <c r="BG1650" s="14">
        <f>F1650*BF1650*IF(B1650&gt;=in_marketplace_from,d_hz_nps*G1650,0)*in_nps_ticket*in_nps_comm</f>
        <v/>
      </c>
      <c r="BH1650" s="40">
        <f>BH1649*(1-IF(B1649&gt;=in_marketplace_from,d_hz_gold*G1649,0))</f>
        <v/>
      </c>
      <c r="BI1650" s="40">
        <f>BI1649*d_rho_gold+BH1650*IF(B1650&gt;=in_marketplace_from,d_hz_gold*G1650,0)</f>
        <v/>
      </c>
      <c r="BJ1650" s="14">
        <f>F1650*BI1650*in_gold_ticket*in_gold_comm</f>
        <v/>
      </c>
      <c r="BK1650" s="40">
        <f>BK1649*(1-IF(B1649&gt;=in_marketplace_from,d_hz_fd*G1649,0))</f>
        <v/>
      </c>
      <c r="BL1650" s="14">
        <f>F1650*BK1650*IF(B1650&gt;=in_marketplace_from,d_hz_fd*G1650,0)*in_fd_ticket*in_fd_comm</f>
        <v/>
      </c>
      <c r="BM1650" s="40">
        <f>BM1649*(1-IF(B1649&gt;=in_marketplace_from,d_hz_recharge*G1649,0))</f>
        <v/>
      </c>
      <c r="BN1650" s="40">
        <f>BN1649*d_rho_recharge+BM1650*IF(B1650&gt;=in_marketplace_from,d_hz_recharge*G1650,0)</f>
        <v/>
      </c>
      <c r="BO1650" s="14">
        <f>F1650*BN1650*in_recharge_ticket*in_recharge_comm/12</f>
        <v/>
      </c>
      <c r="BP1650" s="40">
        <f>BP1649*(1-IF(B1649&gt;=in_marketplace_from,d_hz_bills*G1649,0))</f>
        <v/>
      </c>
      <c r="BQ1650" s="40">
        <f>BQ1649*d_rho_bills+BP1650*IF(B1650&gt;=in_marketplace_from,d_hz_bills*G1650,0)</f>
        <v/>
      </c>
      <c r="BR1650" s="14">
        <f>F1650*BQ1650*in_bills_ticket*in_bills_comm/12</f>
        <v/>
      </c>
      <c r="BS1650" s="40">
        <f>BS1649*(1-IF(B1649&gt;=in_marketplace_from,d_hz_loan_gold*G1649,0))</f>
        <v/>
      </c>
      <c r="BT1650" s="14">
        <f>F1650*BS1650*IF(B1650&gt;=in_marketplace_from,d_hz_loan_gold*G1650,0)*in_loan_gold_ticket*in_loan_gold_comm</f>
        <v/>
      </c>
      <c r="BU1650" s="40">
        <f>BU1649*(1-IF(B1649&gt;=in_marketplace_from,d_hz_loan_cd*G1649,0))</f>
        <v/>
      </c>
      <c r="BV1650" s="14">
        <f>F1650*BU1650*IF(B1650&gt;=in_marketplace_from,d_hz_loan_cd*G1650,0)*in_loan_cd_ticket*in_loan_cd_comm</f>
        <v/>
      </c>
      <c r="BW1650" s="40">
        <f>BW1649*(1-IF(B1649&gt;=in_marketplace_from,d_hz_loan_vehicle*G1649,0))</f>
        <v/>
      </c>
      <c r="BX1650" s="14">
        <f>F1650*BW1650*IF(B1650&gt;=in_marketplace_from,d_hz_loan_vehicle*G1650,0)*in_loan_vehicle_ticket*in_loan_vehicle_comm</f>
        <v/>
      </c>
      <c r="BY1650" s="40">
        <f>BY1649*(1-IF(B1649&gt;=in_marketplace_from,d_hz_loan_home*G1649,0)*BZ1649)</f>
        <v/>
      </c>
      <c r="BZ1650" s="11">
        <f>MIN(in_approval_cap,in_loan_home_approval*INDEX('Age profile'!$O$2:$O$61,B1650)*(1+in_approval_growth)^(D1650-1))</f>
        <v/>
      </c>
      <c r="CA1650" s="14">
        <f>F1650*BY1650*IF(B1650&gt;=in_marketplace_from,d_hz_loan_home*G1650,0)*BZ1650*in_loan_home_ticket*in_loan_home_comm</f>
        <v/>
      </c>
      <c r="CB1650" s="40">
        <f>CB1649*(1-IF(B1649&gt;=in_marketplace_from,d_hz_loan_lap*G1649,0)*CC1649)</f>
        <v/>
      </c>
      <c r="CC1650" s="11">
        <f>MIN(in_approval_cap,in_loan_lap_approval*INDEX('Age profile'!$O$2:$O$61,B1650)*(1+in_approval_growth)^(D1650-1))</f>
        <v/>
      </c>
      <c r="CD1650" s="14">
        <f>F1650*CB1650*IF(B1650&gt;=in_marketplace_from,d_hz_loan_lap*G1650,0)*CC1650*in_loan_lap_ticket*in_loan_lap_comm</f>
        <v/>
      </c>
      <c r="CE1650" s="14">
        <f>AA1650+AB1650+AC1650+AD1650+AG1650+AJ1650+AM1650+AP1650+AS1650+AU1650+AX1650+BB1650+BE1650+BG1650+BJ1650+BL1650+BO1650+BR1650+BT1650+BV1650+BX1650+CA1650+CD1650</f>
        <v/>
      </c>
    </row>
    <row r="1651">
      <c r="A1651" s="39" t="n">
        <v>42</v>
      </c>
      <c r="B1651" s="39" t="n">
        <v>10</v>
      </c>
      <c r="C1651" s="39">
        <f>A1651+B1651-1</f>
        <v/>
      </c>
      <c r="D1651" s="39">
        <f>INT((C1651-1)/12)+1</f>
        <v/>
      </c>
      <c r="E1651" s="44">
        <f>INDEX(Monthly!$B$2:$B$61,A1651)</f>
        <v/>
      </c>
      <c r="F1651" s="44">
        <f>E1651*INDEX('Age profile'!$B$2:$B$61,B1651)</f>
        <v/>
      </c>
      <c r="G1651" s="45">
        <f>MIN(in_takeup_cap,INDEX('Age profile'!$N$2:$N$61,B1651)*(1+in_takeup_growth)^(D1651-1))</f>
        <v/>
      </c>
      <c r="H1651" s="11">
        <f>MIN(in_approval_cap,in_approved_first*INDEX('Age profile'!$O$2:$O$61,B1651)*(1+in_approval_growth)^(D1651-1))</f>
        <v/>
      </c>
      <c r="I1651" s="45">
        <f>G1651*MIN(in_takeup_cap,INDEX('Age profile'!$O$2:$O$61,B1651)*(1+in_approval_growth)^(D1651-1))</f>
        <v/>
      </c>
      <c r="J1651" s="40">
        <f>(J1650-L1650)*F1651/F1650</f>
        <v/>
      </c>
      <c r="K1651" s="40">
        <f>(K1650-M1650)*F1651/F1650+SUMIFS(O1642:O1650,B1642:B1650,B1651-1-d_T)*F1651</f>
        <v/>
      </c>
      <c r="L1651" s="40">
        <f>IF(B1651&gt;=in_marketplace_from,J1651*d_hz*G1651*in_eligible*H1651,0)</f>
        <v/>
      </c>
      <c r="M1651" s="40">
        <f>IF(B1651&gt;=in_marketplace_from,K1651*d_hz*G1651*in_eligible*in_approved_repeat,0)</f>
        <v/>
      </c>
      <c r="N1651" s="40">
        <f>L1651+M1651</f>
        <v/>
      </c>
      <c r="O1651" s="46">
        <f>N1651/F1651</f>
        <v/>
      </c>
      <c r="P1651" s="40">
        <f>F1651-J1651-K1651</f>
        <v/>
      </c>
      <c r="Q1651" s="40">
        <f>IF(B1651&gt;=in_marketplace_from,(J1651+K1651)*d_hz*G1651,0)</f>
        <v/>
      </c>
      <c r="R1651" s="40">
        <f>SUMIFS(N1642:N1660,B1642:B1660,"&gt;="&amp;(B1651-d_T),B1642:B1660,"&lt;="&amp;(B1651-1))</f>
        <v/>
      </c>
      <c r="S1651" s="46">
        <f>(1-d_u)*S1650+IF(d_T&gt;in_topup_lag,SUMIFS(O1642:O1660,B1642:B1660,B1651-in_topup_lag)-d_udrop*SUMIFS(O1642:O1660,B1642:B1660,B1651-d_T),0)</f>
        <v/>
      </c>
      <c r="T1651" s="40">
        <f>F1651*d_u*S1651</f>
        <v/>
      </c>
      <c r="U1651" s="9">
        <f>L1651*in_ticket+M1651*d_rep_ticket</f>
        <v/>
      </c>
      <c r="V1651" s="9">
        <f>U1651+T1651*d_topup_amt</f>
        <v/>
      </c>
      <c r="W1651" s="40">
        <f>N1651+T1651*d_topup_ratio</f>
        <v/>
      </c>
      <c r="X1651" s="40">
        <f>SUMIFS(W1642:W1660,B1642:B1660,B1651-in_dpd_lag)*d_cured</f>
        <v/>
      </c>
      <c r="Y1651" s="40">
        <f>SUMIFS(W1642:W1660,B1642:B1660,B1651-in_rec_lag)*d_recd</f>
        <v/>
      </c>
      <c r="Z1651" s="40">
        <f>IF(AND(B1651&gt;=in_marketplace_from,B1651&lt;in_marketplace_from+in_card_months),in_card_share/in_card_months*F1651*I1651,IF(AND(B1651&gt;=in_marketplace_from+in_card_months,B1651&lt;in_marketplace_from+2*in_card_months),in_card_share*d_card_rem/in_card_months*F1651*MIN(in_takeup_cap,(1+in_takeup_growth)^(D1651-1))*MIN(in_takeup_cap,(1+in_approval_growth)^(D1651-1)),0))</f>
        <v/>
      </c>
      <c r="AA1651" s="14">
        <f>V1651*in_fee*(1-in_taken_back)</f>
        <v/>
      </c>
      <c r="AB1651" s="14">
        <f>SUMIFS(W1642:W1660,B1642:B1660,B1651-in_dpd_lag)*d_dpd</f>
        <v/>
      </c>
      <c r="AC1651" s="14">
        <f>SUMIFS(W1642:W1660,B1642:B1660,B1651-in_rec_lag)*d_rec</f>
        <v/>
      </c>
      <c r="AD1651" s="14">
        <f>Z1651*in_card_fee</f>
        <v/>
      </c>
      <c r="AE1651" s="40">
        <f>AE1650*(1-IF(B1650&gt;=in_marketplace_from,d_hz_hlth_small*G1650,0))</f>
        <v/>
      </c>
      <c r="AF1651" s="46">
        <f>AE1651*IF(B1651&gt;=in_marketplace_from,d_hz_hlth_small*G1651,0)</f>
        <v/>
      </c>
      <c r="AG1651" s="14">
        <f>F1651*AF1651*in_hlth_small_ticket*in_hlth_small_comm*in_ins_partner_share+F1651*in_hlth_small_ticket*in_hlth_small_renew_comm*in_ins_partner_share*(in_hlth_small_renew^1*SUMIFS(AF1642:AF1660,B1642:B1660,B1651-12)+in_hlth_small_renew^2*SUMIFS(AF1642:AF1660,B1642:B1660,B1651-24)+in_hlth_small_renew^3*SUMIFS(AF1642:AF1660,B1642:B1660,B1651-36)+in_hlth_small_renew^4*SUMIFS(AF1642:AF1660,B1642:B1660,B1651-48))</f>
        <v/>
      </c>
      <c r="AH1651" s="40">
        <f>AH1650*(1-IF(B1650&gt;=in_marketplace_from,d_hz_hlth_family*G1650,0))</f>
        <v/>
      </c>
      <c r="AI1651" s="46">
        <f>AH1651*IF(B1651&gt;=in_marketplace_from,d_hz_hlth_family*G1651,0)</f>
        <v/>
      </c>
      <c r="AJ1651" s="14">
        <f>F1651*AI1651*in_hlth_family_ticket*in_hlth_family_comm*in_ins_partner_share+F1651*in_hlth_family_ticket*in_hlth_family_renew_comm*in_ins_partner_share*(in_hlth_family_renew^1*SUMIFS(AI1642:AI1660,B1642:B1660,B1651-12)+in_hlth_family_renew^2*SUMIFS(AI1642:AI1660,B1642:B1660,B1651-24)+in_hlth_family_renew^3*SUMIFS(AI1642:AI1660,B1642:B1660,B1651-36)+in_hlth_family_renew^4*SUMIFS(AI1642:AI1660,B1642:B1660,B1651-48))</f>
        <v/>
      </c>
      <c r="AK1651" s="40">
        <f>AK1650*(1-IF(B1650&gt;=in_marketplace_from,d_hz_life_term*G1650,0))</f>
        <v/>
      </c>
      <c r="AL1651" s="46">
        <f>AK1651*IF(B1651&gt;=in_marketplace_from,d_hz_life_term*G1651,0)</f>
        <v/>
      </c>
      <c r="AM1651" s="14">
        <f>F1651*AL1651*in_life_term_ticket*in_life_term_comm*in_ins_partner_share+F1651*in_life_term_ticket*in_life_term_renew_comm*in_ins_partner_share*(in_life_term_renew^1*SUMIFS(AL1642:AL1660,B1642:B1660,B1651-12)+in_life_term_renew^2*SUMIFS(AL1642:AL1660,B1642:B1660,B1651-24)+in_life_term_renew^3*SUMIFS(AL1642:AL1660,B1642:B1660,B1651-36)+in_life_term_renew^4*SUMIFS(AL1642:AL1660,B1642:B1660,B1651-48))</f>
        <v/>
      </c>
      <c r="AN1651" s="40">
        <f>AN1650*(1-IF(B1650&gt;=in_marketplace_from,d_hz_accident*G1650,0))</f>
        <v/>
      </c>
      <c r="AO1651" s="46">
        <f>AN1651*IF(B1651&gt;=in_marketplace_from,d_hz_accident*G1651,0)</f>
        <v/>
      </c>
      <c r="AP1651" s="14">
        <f>F1651*AO1651*in_accident_ticket*in_accident_comm*in_ins_partner_share+F1651*in_accident_ticket*in_accident_renew_comm*in_ins_partner_share*(in_accident_renew^1*SUMIFS(AO1642:AO1660,B1642:B1660,B1651-12)+in_accident_renew^2*SUMIFS(AO1642:AO1660,B1642:B1660,B1651-24)+in_accident_renew^3*SUMIFS(AO1642:AO1660,B1642:B1660,B1651-36)+in_accident_renew^4*SUMIFS(AO1642:AO1660,B1642:B1660,B1651-48))</f>
        <v/>
      </c>
      <c r="AQ1651" s="40">
        <f>AQ1650*(1-IF(B1650&gt;=in_marketplace_from,d_hz_two_wheeler*G1650,0))</f>
        <v/>
      </c>
      <c r="AR1651" s="46">
        <f>AQ1651*IF(B1651&gt;=in_marketplace_from,d_hz_two_wheeler*G1651,0)</f>
        <v/>
      </c>
      <c r="AS1651" s="14">
        <f>F1651*AR1651*in_two_wheeler_ticket*in_two_wheeler_comm*in_ins_partner_share+F1651*in_two_wheeler_ticket*in_two_wheeler_comm*in_ins_partner_share*(in_two_wheeler_renew^1*SUMIFS(AR1642:AR1660,B1642:B1660,B1651-12)+in_two_wheeler_renew^2*SUMIFS(AR1642:AR1660,B1642:B1660,B1651-24)+in_two_wheeler_renew^3*SUMIFS(AR1642:AR1660,B1642:B1660,B1651-36)+in_two_wheeler_renew^4*SUMIFS(AR1642:AR1660,B1642:B1660,B1651-48))</f>
        <v/>
      </c>
      <c r="AT1651" s="40">
        <f>AT1650*(1-IF(B1650&gt;=in_marketplace_from,d_hz_device*G1650,0))</f>
        <v/>
      </c>
      <c r="AU1651" s="14">
        <f>F1651*AT1651*IF(B1651&gt;=in_marketplace_from,d_hz_device*G1651,0)*in_device_ticket*in_device_comm*in_ins_partner_share</f>
        <v/>
      </c>
      <c r="AV1651" s="40">
        <f>AV1650*(1-IF(B1650&gt;=in_marketplace_from,d_hz_shop*G1650,0))</f>
        <v/>
      </c>
      <c r="AW1651" s="46">
        <f>AV1651*IF(B1651&gt;=in_marketplace_from,d_hz_shop*G1651,0)</f>
        <v/>
      </c>
      <c r="AX1651" s="14">
        <f>F1651*AW1651*in_shop_ticket*in_shop_comm*in_ins_partner_share+F1651*in_shop_ticket*in_shop_renew_comm*in_ins_partner_share*(in_shop_renew^1*SUMIFS(AW1642:AW1660,B1642:B1660,B1651-12)+in_shop_renew^2*SUMIFS(AW1642:AW1660,B1642:B1660,B1651-24)+in_shop_renew^3*SUMIFS(AW1642:AW1660,B1642:B1660,B1651-36)+in_shop_renew^4*SUMIFS(AW1642:AW1660,B1642:B1660,B1651-48))</f>
        <v/>
      </c>
      <c r="AY1651" s="40">
        <f>AY1650*(1-IF(B1650&gt;=in_marketplace_from,d_hz_sip*G1650,0))</f>
        <v/>
      </c>
      <c r="AZ1651" s="40">
        <f>AZ1650*d_rho_sip+AY1651*IF(B1651&gt;=in_marketplace_from,d_hz_sip*G1651,0)</f>
        <v/>
      </c>
      <c r="BA1651" s="40">
        <f>d_rho_sip*(BA1650+AZ1650)</f>
        <v/>
      </c>
      <c r="BB1651" s="14">
        <f>F1651*in_sip_ticket*(BA1651+0.5*AZ1651)*in_sip_comm/12</f>
        <v/>
      </c>
      <c r="BC1651" s="40">
        <f>BC1650*(1-IF(B1650&gt;=in_marketplace_from,d_hz_choti*G1650,0))</f>
        <v/>
      </c>
      <c r="BD1651" s="46">
        <f>BC1651*IF(B1651&gt;=in_marketplace_from,d_hz_choti*G1651,0)</f>
        <v/>
      </c>
      <c r="BE1651" s="14">
        <f>F1651*SUMIFS(BD1642:BD1660,B1642:B1660,B1651-in_choti_months)*in_choti_renew*in_choti_ticket</f>
        <v/>
      </c>
      <c r="BF1651" s="40">
        <f>BF1650*(1-IF(B1650&gt;=in_marketplace_from,d_hz_nps*G1650,0))</f>
        <v/>
      </c>
      <c r="BG1651" s="14">
        <f>F1651*BF1651*IF(B1651&gt;=in_marketplace_from,d_hz_nps*G1651,0)*in_nps_ticket*in_nps_comm</f>
        <v/>
      </c>
      <c r="BH1651" s="40">
        <f>BH1650*(1-IF(B1650&gt;=in_marketplace_from,d_hz_gold*G1650,0))</f>
        <v/>
      </c>
      <c r="BI1651" s="40">
        <f>BI1650*d_rho_gold+BH1651*IF(B1651&gt;=in_marketplace_from,d_hz_gold*G1651,0)</f>
        <v/>
      </c>
      <c r="BJ1651" s="14">
        <f>F1651*BI1651*in_gold_ticket*in_gold_comm</f>
        <v/>
      </c>
      <c r="BK1651" s="40">
        <f>BK1650*(1-IF(B1650&gt;=in_marketplace_from,d_hz_fd*G1650,0))</f>
        <v/>
      </c>
      <c r="BL1651" s="14">
        <f>F1651*BK1651*IF(B1651&gt;=in_marketplace_from,d_hz_fd*G1651,0)*in_fd_ticket*in_fd_comm</f>
        <v/>
      </c>
      <c r="BM1651" s="40">
        <f>BM1650*(1-IF(B1650&gt;=in_marketplace_from,d_hz_recharge*G1650,0))</f>
        <v/>
      </c>
      <c r="BN1651" s="40">
        <f>BN1650*d_rho_recharge+BM1651*IF(B1651&gt;=in_marketplace_from,d_hz_recharge*G1651,0)</f>
        <v/>
      </c>
      <c r="BO1651" s="14">
        <f>F1651*BN1651*in_recharge_ticket*in_recharge_comm/12</f>
        <v/>
      </c>
      <c r="BP1651" s="40">
        <f>BP1650*(1-IF(B1650&gt;=in_marketplace_from,d_hz_bills*G1650,0))</f>
        <v/>
      </c>
      <c r="BQ1651" s="40">
        <f>BQ1650*d_rho_bills+BP1651*IF(B1651&gt;=in_marketplace_from,d_hz_bills*G1651,0)</f>
        <v/>
      </c>
      <c r="BR1651" s="14">
        <f>F1651*BQ1651*in_bills_ticket*in_bills_comm/12</f>
        <v/>
      </c>
      <c r="BS1651" s="40">
        <f>BS1650*(1-IF(B1650&gt;=in_marketplace_from,d_hz_loan_gold*G1650,0))</f>
        <v/>
      </c>
      <c r="BT1651" s="14">
        <f>F1651*BS1651*IF(B1651&gt;=in_marketplace_from,d_hz_loan_gold*G1651,0)*in_loan_gold_ticket*in_loan_gold_comm</f>
        <v/>
      </c>
      <c r="BU1651" s="40">
        <f>BU1650*(1-IF(B1650&gt;=in_marketplace_from,d_hz_loan_cd*G1650,0))</f>
        <v/>
      </c>
      <c r="BV1651" s="14">
        <f>F1651*BU1651*IF(B1651&gt;=in_marketplace_from,d_hz_loan_cd*G1651,0)*in_loan_cd_ticket*in_loan_cd_comm</f>
        <v/>
      </c>
      <c r="BW1651" s="40">
        <f>BW1650*(1-IF(B1650&gt;=in_marketplace_from,d_hz_loan_vehicle*G1650,0))</f>
        <v/>
      </c>
      <c r="BX1651" s="14">
        <f>F1651*BW1651*IF(B1651&gt;=in_marketplace_from,d_hz_loan_vehicle*G1651,0)*in_loan_vehicle_ticket*in_loan_vehicle_comm</f>
        <v/>
      </c>
      <c r="BY1651" s="40">
        <f>BY1650*(1-IF(B1650&gt;=in_marketplace_from,d_hz_loan_home*G1650,0)*BZ1650)</f>
        <v/>
      </c>
      <c r="BZ1651" s="11">
        <f>MIN(in_approval_cap,in_loan_home_approval*INDEX('Age profile'!$O$2:$O$61,B1651)*(1+in_approval_growth)^(D1651-1))</f>
        <v/>
      </c>
      <c r="CA1651" s="14">
        <f>F1651*BY1651*IF(B1651&gt;=in_marketplace_from,d_hz_loan_home*G1651,0)*BZ1651*in_loan_home_ticket*in_loan_home_comm</f>
        <v/>
      </c>
      <c r="CB1651" s="40">
        <f>CB1650*(1-IF(B1650&gt;=in_marketplace_from,d_hz_loan_lap*G1650,0)*CC1650)</f>
        <v/>
      </c>
      <c r="CC1651" s="11">
        <f>MIN(in_approval_cap,in_loan_lap_approval*INDEX('Age profile'!$O$2:$O$61,B1651)*(1+in_approval_growth)^(D1651-1))</f>
        <v/>
      </c>
      <c r="CD1651" s="14">
        <f>F1651*CB1651*IF(B1651&gt;=in_marketplace_from,d_hz_loan_lap*G1651,0)*CC1651*in_loan_lap_ticket*in_loan_lap_comm</f>
        <v/>
      </c>
      <c r="CE1651" s="14">
        <f>AA1651+AB1651+AC1651+AD1651+AG1651+AJ1651+AM1651+AP1651+AS1651+AU1651+AX1651+BB1651+BE1651+BG1651+BJ1651+BL1651+BO1651+BR1651+BT1651+BV1651+BX1651+CA1651+CD1651</f>
        <v/>
      </c>
    </row>
    <row r="1652">
      <c r="A1652" s="39" t="n">
        <v>42</v>
      </c>
      <c r="B1652" s="39" t="n">
        <v>11</v>
      </c>
      <c r="C1652" s="39">
        <f>A1652+B1652-1</f>
        <v/>
      </c>
      <c r="D1652" s="39">
        <f>INT((C1652-1)/12)+1</f>
        <v/>
      </c>
      <c r="E1652" s="44">
        <f>INDEX(Monthly!$B$2:$B$61,A1652)</f>
        <v/>
      </c>
      <c r="F1652" s="44">
        <f>E1652*INDEX('Age profile'!$B$2:$B$61,B1652)</f>
        <v/>
      </c>
      <c r="G1652" s="45">
        <f>MIN(in_takeup_cap,INDEX('Age profile'!$N$2:$N$61,B1652)*(1+in_takeup_growth)^(D1652-1))</f>
        <v/>
      </c>
      <c r="H1652" s="11">
        <f>MIN(in_approval_cap,in_approved_first*INDEX('Age profile'!$O$2:$O$61,B1652)*(1+in_approval_growth)^(D1652-1))</f>
        <v/>
      </c>
      <c r="I1652" s="45">
        <f>G1652*MIN(in_takeup_cap,INDEX('Age profile'!$O$2:$O$61,B1652)*(1+in_approval_growth)^(D1652-1))</f>
        <v/>
      </c>
      <c r="J1652" s="40">
        <f>(J1651-L1651)*F1652/F1651</f>
        <v/>
      </c>
      <c r="K1652" s="40">
        <f>(K1651-M1651)*F1652/F1651+SUMIFS(O1642:O1651,B1642:B1651,B1652-1-d_T)*F1652</f>
        <v/>
      </c>
      <c r="L1652" s="40">
        <f>IF(B1652&gt;=in_marketplace_from,J1652*d_hz*G1652*in_eligible*H1652,0)</f>
        <v/>
      </c>
      <c r="M1652" s="40">
        <f>IF(B1652&gt;=in_marketplace_from,K1652*d_hz*G1652*in_eligible*in_approved_repeat,0)</f>
        <v/>
      </c>
      <c r="N1652" s="40">
        <f>L1652+M1652</f>
        <v/>
      </c>
      <c r="O1652" s="46">
        <f>N1652/F1652</f>
        <v/>
      </c>
      <c r="P1652" s="40">
        <f>F1652-J1652-K1652</f>
        <v/>
      </c>
      <c r="Q1652" s="40">
        <f>IF(B1652&gt;=in_marketplace_from,(J1652+K1652)*d_hz*G1652,0)</f>
        <v/>
      </c>
      <c r="R1652" s="40">
        <f>SUMIFS(N1642:N1660,B1642:B1660,"&gt;="&amp;(B1652-d_T),B1642:B1660,"&lt;="&amp;(B1652-1))</f>
        <v/>
      </c>
      <c r="S1652" s="46">
        <f>(1-d_u)*S1651+IF(d_T&gt;in_topup_lag,SUMIFS(O1642:O1660,B1642:B1660,B1652-in_topup_lag)-d_udrop*SUMIFS(O1642:O1660,B1642:B1660,B1652-d_T),0)</f>
        <v/>
      </c>
      <c r="T1652" s="40">
        <f>F1652*d_u*S1652</f>
        <v/>
      </c>
      <c r="U1652" s="9">
        <f>L1652*in_ticket+M1652*d_rep_ticket</f>
        <v/>
      </c>
      <c r="V1652" s="9">
        <f>U1652+T1652*d_topup_amt</f>
        <v/>
      </c>
      <c r="W1652" s="40">
        <f>N1652+T1652*d_topup_ratio</f>
        <v/>
      </c>
      <c r="X1652" s="40">
        <f>SUMIFS(W1642:W1660,B1642:B1660,B1652-in_dpd_lag)*d_cured</f>
        <v/>
      </c>
      <c r="Y1652" s="40">
        <f>SUMIFS(W1642:W1660,B1642:B1660,B1652-in_rec_lag)*d_recd</f>
        <v/>
      </c>
      <c r="Z1652" s="40">
        <f>IF(AND(B1652&gt;=in_marketplace_from,B1652&lt;in_marketplace_from+in_card_months),in_card_share/in_card_months*F1652*I1652,IF(AND(B1652&gt;=in_marketplace_from+in_card_months,B1652&lt;in_marketplace_from+2*in_card_months),in_card_share*d_card_rem/in_card_months*F1652*MIN(in_takeup_cap,(1+in_takeup_growth)^(D1652-1))*MIN(in_takeup_cap,(1+in_approval_growth)^(D1652-1)),0))</f>
        <v/>
      </c>
      <c r="AA1652" s="14">
        <f>V1652*in_fee*(1-in_taken_back)</f>
        <v/>
      </c>
      <c r="AB1652" s="14">
        <f>SUMIFS(W1642:W1660,B1642:B1660,B1652-in_dpd_lag)*d_dpd</f>
        <v/>
      </c>
      <c r="AC1652" s="14">
        <f>SUMIFS(W1642:W1660,B1642:B1660,B1652-in_rec_lag)*d_rec</f>
        <v/>
      </c>
      <c r="AD1652" s="14">
        <f>Z1652*in_card_fee</f>
        <v/>
      </c>
      <c r="AE1652" s="40">
        <f>AE1651*(1-IF(B1651&gt;=in_marketplace_from,d_hz_hlth_small*G1651,0))</f>
        <v/>
      </c>
      <c r="AF1652" s="46">
        <f>AE1652*IF(B1652&gt;=in_marketplace_from,d_hz_hlth_small*G1652,0)</f>
        <v/>
      </c>
      <c r="AG1652" s="14">
        <f>F1652*AF1652*in_hlth_small_ticket*in_hlth_small_comm*in_ins_partner_share+F1652*in_hlth_small_ticket*in_hlth_small_renew_comm*in_ins_partner_share*(in_hlth_small_renew^1*SUMIFS(AF1642:AF1660,B1642:B1660,B1652-12)+in_hlth_small_renew^2*SUMIFS(AF1642:AF1660,B1642:B1660,B1652-24)+in_hlth_small_renew^3*SUMIFS(AF1642:AF1660,B1642:B1660,B1652-36)+in_hlth_small_renew^4*SUMIFS(AF1642:AF1660,B1642:B1660,B1652-48))</f>
        <v/>
      </c>
      <c r="AH1652" s="40">
        <f>AH1651*(1-IF(B1651&gt;=in_marketplace_from,d_hz_hlth_family*G1651,0))</f>
        <v/>
      </c>
      <c r="AI1652" s="46">
        <f>AH1652*IF(B1652&gt;=in_marketplace_from,d_hz_hlth_family*G1652,0)</f>
        <v/>
      </c>
      <c r="AJ1652" s="14">
        <f>F1652*AI1652*in_hlth_family_ticket*in_hlth_family_comm*in_ins_partner_share+F1652*in_hlth_family_ticket*in_hlth_family_renew_comm*in_ins_partner_share*(in_hlth_family_renew^1*SUMIFS(AI1642:AI1660,B1642:B1660,B1652-12)+in_hlth_family_renew^2*SUMIFS(AI1642:AI1660,B1642:B1660,B1652-24)+in_hlth_family_renew^3*SUMIFS(AI1642:AI1660,B1642:B1660,B1652-36)+in_hlth_family_renew^4*SUMIFS(AI1642:AI1660,B1642:B1660,B1652-48))</f>
        <v/>
      </c>
      <c r="AK1652" s="40">
        <f>AK1651*(1-IF(B1651&gt;=in_marketplace_from,d_hz_life_term*G1651,0))</f>
        <v/>
      </c>
      <c r="AL1652" s="46">
        <f>AK1652*IF(B1652&gt;=in_marketplace_from,d_hz_life_term*G1652,0)</f>
        <v/>
      </c>
      <c r="AM1652" s="14">
        <f>F1652*AL1652*in_life_term_ticket*in_life_term_comm*in_ins_partner_share+F1652*in_life_term_ticket*in_life_term_renew_comm*in_ins_partner_share*(in_life_term_renew^1*SUMIFS(AL1642:AL1660,B1642:B1660,B1652-12)+in_life_term_renew^2*SUMIFS(AL1642:AL1660,B1642:B1660,B1652-24)+in_life_term_renew^3*SUMIFS(AL1642:AL1660,B1642:B1660,B1652-36)+in_life_term_renew^4*SUMIFS(AL1642:AL1660,B1642:B1660,B1652-48))</f>
        <v/>
      </c>
      <c r="AN1652" s="40">
        <f>AN1651*(1-IF(B1651&gt;=in_marketplace_from,d_hz_accident*G1651,0))</f>
        <v/>
      </c>
      <c r="AO1652" s="46">
        <f>AN1652*IF(B1652&gt;=in_marketplace_from,d_hz_accident*G1652,0)</f>
        <v/>
      </c>
      <c r="AP1652" s="14">
        <f>F1652*AO1652*in_accident_ticket*in_accident_comm*in_ins_partner_share+F1652*in_accident_ticket*in_accident_renew_comm*in_ins_partner_share*(in_accident_renew^1*SUMIFS(AO1642:AO1660,B1642:B1660,B1652-12)+in_accident_renew^2*SUMIFS(AO1642:AO1660,B1642:B1660,B1652-24)+in_accident_renew^3*SUMIFS(AO1642:AO1660,B1642:B1660,B1652-36)+in_accident_renew^4*SUMIFS(AO1642:AO1660,B1642:B1660,B1652-48))</f>
        <v/>
      </c>
      <c r="AQ1652" s="40">
        <f>AQ1651*(1-IF(B1651&gt;=in_marketplace_from,d_hz_two_wheeler*G1651,0))</f>
        <v/>
      </c>
      <c r="AR1652" s="46">
        <f>AQ1652*IF(B1652&gt;=in_marketplace_from,d_hz_two_wheeler*G1652,0)</f>
        <v/>
      </c>
      <c r="AS1652" s="14">
        <f>F1652*AR1652*in_two_wheeler_ticket*in_two_wheeler_comm*in_ins_partner_share+F1652*in_two_wheeler_ticket*in_two_wheeler_comm*in_ins_partner_share*(in_two_wheeler_renew^1*SUMIFS(AR1642:AR1660,B1642:B1660,B1652-12)+in_two_wheeler_renew^2*SUMIFS(AR1642:AR1660,B1642:B1660,B1652-24)+in_two_wheeler_renew^3*SUMIFS(AR1642:AR1660,B1642:B1660,B1652-36)+in_two_wheeler_renew^4*SUMIFS(AR1642:AR1660,B1642:B1660,B1652-48))</f>
        <v/>
      </c>
      <c r="AT1652" s="40">
        <f>AT1651*(1-IF(B1651&gt;=in_marketplace_from,d_hz_device*G1651,0))</f>
        <v/>
      </c>
      <c r="AU1652" s="14">
        <f>F1652*AT1652*IF(B1652&gt;=in_marketplace_from,d_hz_device*G1652,0)*in_device_ticket*in_device_comm*in_ins_partner_share</f>
        <v/>
      </c>
      <c r="AV1652" s="40">
        <f>AV1651*(1-IF(B1651&gt;=in_marketplace_from,d_hz_shop*G1651,0))</f>
        <v/>
      </c>
      <c r="AW1652" s="46">
        <f>AV1652*IF(B1652&gt;=in_marketplace_from,d_hz_shop*G1652,0)</f>
        <v/>
      </c>
      <c r="AX1652" s="14">
        <f>F1652*AW1652*in_shop_ticket*in_shop_comm*in_ins_partner_share+F1652*in_shop_ticket*in_shop_renew_comm*in_ins_partner_share*(in_shop_renew^1*SUMIFS(AW1642:AW1660,B1642:B1660,B1652-12)+in_shop_renew^2*SUMIFS(AW1642:AW1660,B1642:B1660,B1652-24)+in_shop_renew^3*SUMIFS(AW1642:AW1660,B1642:B1660,B1652-36)+in_shop_renew^4*SUMIFS(AW1642:AW1660,B1642:B1660,B1652-48))</f>
        <v/>
      </c>
      <c r="AY1652" s="40">
        <f>AY1651*(1-IF(B1651&gt;=in_marketplace_from,d_hz_sip*G1651,0))</f>
        <v/>
      </c>
      <c r="AZ1652" s="40">
        <f>AZ1651*d_rho_sip+AY1652*IF(B1652&gt;=in_marketplace_from,d_hz_sip*G1652,0)</f>
        <v/>
      </c>
      <c r="BA1652" s="40">
        <f>d_rho_sip*(BA1651+AZ1651)</f>
        <v/>
      </c>
      <c r="BB1652" s="14">
        <f>F1652*in_sip_ticket*(BA1652+0.5*AZ1652)*in_sip_comm/12</f>
        <v/>
      </c>
      <c r="BC1652" s="40">
        <f>BC1651*(1-IF(B1651&gt;=in_marketplace_from,d_hz_choti*G1651,0))</f>
        <v/>
      </c>
      <c r="BD1652" s="46">
        <f>BC1652*IF(B1652&gt;=in_marketplace_from,d_hz_choti*G1652,0)</f>
        <v/>
      </c>
      <c r="BE1652" s="14">
        <f>F1652*SUMIFS(BD1642:BD1660,B1642:B1660,B1652-in_choti_months)*in_choti_renew*in_choti_ticket</f>
        <v/>
      </c>
      <c r="BF1652" s="40">
        <f>BF1651*(1-IF(B1651&gt;=in_marketplace_from,d_hz_nps*G1651,0))</f>
        <v/>
      </c>
      <c r="BG1652" s="14">
        <f>F1652*BF1652*IF(B1652&gt;=in_marketplace_from,d_hz_nps*G1652,0)*in_nps_ticket*in_nps_comm</f>
        <v/>
      </c>
      <c r="BH1652" s="40">
        <f>BH1651*(1-IF(B1651&gt;=in_marketplace_from,d_hz_gold*G1651,0))</f>
        <v/>
      </c>
      <c r="BI1652" s="40">
        <f>BI1651*d_rho_gold+BH1652*IF(B1652&gt;=in_marketplace_from,d_hz_gold*G1652,0)</f>
        <v/>
      </c>
      <c r="BJ1652" s="14">
        <f>F1652*BI1652*in_gold_ticket*in_gold_comm</f>
        <v/>
      </c>
      <c r="BK1652" s="40">
        <f>BK1651*(1-IF(B1651&gt;=in_marketplace_from,d_hz_fd*G1651,0))</f>
        <v/>
      </c>
      <c r="BL1652" s="14">
        <f>F1652*BK1652*IF(B1652&gt;=in_marketplace_from,d_hz_fd*G1652,0)*in_fd_ticket*in_fd_comm</f>
        <v/>
      </c>
      <c r="BM1652" s="40">
        <f>BM1651*(1-IF(B1651&gt;=in_marketplace_from,d_hz_recharge*G1651,0))</f>
        <v/>
      </c>
      <c r="BN1652" s="40">
        <f>BN1651*d_rho_recharge+BM1652*IF(B1652&gt;=in_marketplace_from,d_hz_recharge*G1652,0)</f>
        <v/>
      </c>
      <c r="BO1652" s="14">
        <f>F1652*BN1652*in_recharge_ticket*in_recharge_comm/12</f>
        <v/>
      </c>
      <c r="BP1652" s="40">
        <f>BP1651*(1-IF(B1651&gt;=in_marketplace_from,d_hz_bills*G1651,0))</f>
        <v/>
      </c>
      <c r="BQ1652" s="40">
        <f>BQ1651*d_rho_bills+BP1652*IF(B1652&gt;=in_marketplace_from,d_hz_bills*G1652,0)</f>
        <v/>
      </c>
      <c r="BR1652" s="14">
        <f>F1652*BQ1652*in_bills_ticket*in_bills_comm/12</f>
        <v/>
      </c>
      <c r="BS1652" s="40">
        <f>BS1651*(1-IF(B1651&gt;=in_marketplace_from,d_hz_loan_gold*G1651,0))</f>
        <v/>
      </c>
      <c r="BT1652" s="14">
        <f>F1652*BS1652*IF(B1652&gt;=in_marketplace_from,d_hz_loan_gold*G1652,0)*in_loan_gold_ticket*in_loan_gold_comm</f>
        <v/>
      </c>
      <c r="BU1652" s="40">
        <f>BU1651*(1-IF(B1651&gt;=in_marketplace_from,d_hz_loan_cd*G1651,0))</f>
        <v/>
      </c>
      <c r="BV1652" s="14">
        <f>F1652*BU1652*IF(B1652&gt;=in_marketplace_from,d_hz_loan_cd*G1652,0)*in_loan_cd_ticket*in_loan_cd_comm</f>
        <v/>
      </c>
      <c r="BW1652" s="40">
        <f>BW1651*(1-IF(B1651&gt;=in_marketplace_from,d_hz_loan_vehicle*G1651,0))</f>
        <v/>
      </c>
      <c r="BX1652" s="14">
        <f>F1652*BW1652*IF(B1652&gt;=in_marketplace_from,d_hz_loan_vehicle*G1652,0)*in_loan_vehicle_ticket*in_loan_vehicle_comm</f>
        <v/>
      </c>
      <c r="BY1652" s="40">
        <f>BY1651*(1-IF(B1651&gt;=in_marketplace_from,d_hz_loan_home*G1651,0)*BZ1651)</f>
        <v/>
      </c>
      <c r="BZ1652" s="11">
        <f>MIN(in_approval_cap,in_loan_home_approval*INDEX('Age profile'!$O$2:$O$61,B1652)*(1+in_approval_growth)^(D1652-1))</f>
        <v/>
      </c>
      <c r="CA1652" s="14">
        <f>F1652*BY1652*IF(B1652&gt;=in_marketplace_from,d_hz_loan_home*G1652,0)*BZ1652*in_loan_home_ticket*in_loan_home_comm</f>
        <v/>
      </c>
      <c r="CB1652" s="40">
        <f>CB1651*(1-IF(B1651&gt;=in_marketplace_from,d_hz_loan_lap*G1651,0)*CC1651)</f>
        <v/>
      </c>
      <c r="CC1652" s="11">
        <f>MIN(in_approval_cap,in_loan_lap_approval*INDEX('Age profile'!$O$2:$O$61,B1652)*(1+in_approval_growth)^(D1652-1))</f>
        <v/>
      </c>
      <c r="CD1652" s="14">
        <f>F1652*CB1652*IF(B1652&gt;=in_marketplace_from,d_hz_loan_lap*G1652,0)*CC1652*in_loan_lap_ticket*in_loan_lap_comm</f>
        <v/>
      </c>
      <c r="CE1652" s="14">
        <f>AA1652+AB1652+AC1652+AD1652+AG1652+AJ1652+AM1652+AP1652+AS1652+AU1652+AX1652+BB1652+BE1652+BG1652+BJ1652+BL1652+BO1652+BR1652+BT1652+BV1652+BX1652+CA1652+CD1652</f>
        <v/>
      </c>
    </row>
    <row r="1653">
      <c r="A1653" s="39" t="n">
        <v>42</v>
      </c>
      <c r="B1653" s="39" t="n">
        <v>12</v>
      </c>
      <c r="C1653" s="39">
        <f>A1653+B1653-1</f>
        <v/>
      </c>
      <c r="D1653" s="39">
        <f>INT((C1653-1)/12)+1</f>
        <v/>
      </c>
      <c r="E1653" s="44">
        <f>INDEX(Monthly!$B$2:$B$61,A1653)</f>
        <v/>
      </c>
      <c r="F1653" s="44">
        <f>E1653*INDEX('Age profile'!$B$2:$B$61,B1653)</f>
        <v/>
      </c>
      <c r="G1653" s="45">
        <f>MIN(in_takeup_cap,INDEX('Age profile'!$N$2:$N$61,B1653)*(1+in_takeup_growth)^(D1653-1))</f>
        <v/>
      </c>
      <c r="H1653" s="11">
        <f>MIN(in_approval_cap,in_approved_first*INDEX('Age profile'!$O$2:$O$61,B1653)*(1+in_approval_growth)^(D1653-1))</f>
        <v/>
      </c>
      <c r="I1653" s="45">
        <f>G1653*MIN(in_takeup_cap,INDEX('Age profile'!$O$2:$O$61,B1653)*(1+in_approval_growth)^(D1653-1))</f>
        <v/>
      </c>
      <c r="J1653" s="40">
        <f>(J1652-L1652)*F1653/F1652</f>
        <v/>
      </c>
      <c r="K1653" s="40">
        <f>(K1652-M1652)*F1653/F1652+SUMIFS(O1642:O1652,B1642:B1652,B1653-1-d_T)*F1653</f>
        <v/>
      </c>
      <c r="L1653" s="40">
        <f>IF(B1653&gt;=in_marketplace_from,J1653*d_hz*G1653*in_eligible*H1653,0)</f>
        <v/>
      </c>
      <c r="M1653" s="40">
        <f>IF(B1653&gt;=in_marketplace_from,K1653*d_hz*G1653*in_eligible*in_approved_repeat,0)</f>
        <v/>
      </c>
      <c r="N1653" s="40">
        <f>L1653+M1653</f>
        <v/>
      </c>
      <c r="O1653" s="46">
        <f>N1653/F1653</f>
        <v/>
      </c>
      <c r="P1653" s="40">
        <f>F1653-J1653-K1653</f>
        <v/>
      </c>
      <c r="Q1653" s="40">
        <f>IF(B1653&gt;=in_marketplace_from,(J1653+K1653)*d_hz*G1653,0)</f>
        <v/>
      </c>
      <c r="R1653" s="40">
        <f>SUMIFS(N1642:N1660,B1642:B1660,"&gt;="&amp;(B1653-d_T),B1642:B1660,"&lt;="&amp;(B1653-1))</f>
        <v/>
      </c>
      <c r="S1653" s="46">
        <f>(1-d_u)*S1652+IF(d_T&gt;in_topup_lag,SUMIFS(O1642:O1660,B1642:B1660,B1653-in_topup_lag)-d_udrop*SUMIFS(O1642:O1660,B1642:B1660,B1653-d_T),0)</f>
        <v/>
      </c>
      <c r="T1653" s="40">
        <f>F1653*d_u*S1653</f>
        <v/>
      </c>
      <c r="U1653" s="9">
        <f>L1653*in_ticket+M1653*d_rep_ticket</f>
        <v/>
      </c>
      <c r="V1653" s="9">
        <f>U1653+T1653*d_topup_amt</f>
        <v/>
      </c>
      <c r="W1653" s="40">
        <f>N1653+T1653*d_topup_ratio</f>
        <v/>
      </c>
      <c r="X1653" s="40">
        <f>SUMIFS(W1642:W1660,B1642:B1660,B1653-in_dpd_lag)*d_cured</f>
        <v/>
      </c>
      <c r="Y1653" s="40">
        <f>SUMIFS(W1642:W1660,B1642:B1660,B1653-in_rec_lag)*d_recd</f>
        <v/>
      </c>
      <c r="Z1653" s="40">
        <f>IF(AND(B1653&gt;=in_marketplace_from,B1653&lt;in_marketplace_from+in_card_months),in_card_share/in_card_months*F1653*I1653,IF(AND(B1653&gt;=in_marketplace_from+in_card_months,B1653&lt;in_marketplace_from+2*in_card_months),in_card_share*d_card_rem/in_card_months*F1653*MIN(in_takeup_cap,(1+in_takeup_growth)^(D1653-1))*MIN(in_takeup_cap,(1+in_approval_growth)^(D1653-1)),0))</f>
        <v/>
      </c>
      <c r="AA1653" s="14">
        <f>V1653*in_fee*(1-in_taken_back)</f>
        <v/>
      </c>
      <c r="AB1653" s="14">
        <f>SUMIFS(W1642:W1660,B1642:B1660,B1653-in_dpd_lag)*d_dpd</f>
        <v/>
      </c>
      <c r="AC1653" s="14">
        <f>SUMIFS(W1642:W1660,B1642:B1660,B1653-in_rec_lag)*d_rec</f>
        <v/>
      </c>
      <c r="AD1653" s="14">
        <f>Z1653*in_card_fee</f>
        <v/>
      </c>
      <c r="AE1653" s="40">
        <f>AE1652*(1-IF(B1652&gt;=in_marketplace_from,d_hz_hlth_small*G1652,0))</f>
        <v/>
      </c>
      <c r="AF1653" s="46">
        <f>AE1653*IF(B1653&gt;=in_marketplace_from,d_hz_hlth_small*G1653,0)</f>
        <v/>
      </c>
      <c r="AG1653" s="14">
        <f>F1653*AF1653*in_hlth_small_ticket*in_hlth_small_comm*in_ins_partner_share+F1653*in_hlth_small_ticket*in_hlth_small_renew_comm*in_ins_partner_share*(in_hlth_small_renew^1*SUMIFS(AF1642:AF1660,B1642:B1660,B1653-12)+in_hlth_small_renew^2*SUMIFS(AF1642:AF1660,B1642:B1660,B1653-24)+in_hlth_small_renew^3*SUMIFS(AF1642:AF1660,B1642:B1660,B1653-36)+in_hlth_small_renew^4*SUMIFS(AF1642:AF1660,B1642:B1660,B1653-48))</f>
        <v/>
      </c>
      <c r="AH1653" s="40">
        <f>AH1652*(1-IF(B1652&gt;=in_marketplace_from,d_hz_hlth_family*G1652,0))</f>
        <v/>
      </c>
      <c r="AI1653" s="46">
        <f>AH1653*IF(B1653&gt;=in_marketplace_from,d_hz_hlth_family*G1653,0)</f>
        <v/>
      </c>
      <c r="AJ1653" s="14">
        <f>F1653*AI1653*in_hlth_family_ticket*in_hlth_family_comm*in_ins_partner_share+F1653*in_hlth_family_ticket*in_hlth_family_renew_comm*in_ins_partner_share*(in_hlth_family_renew^1*SUMIFS(AI1642:AI1660,B1642:B1660,B1653-12)+in_hlth_family_renew^2*SUMIFS(AI1642:AI1660,B1642:B1660,B1653-24)+in_hlth_family_renew^3*SUMIFS(AI1642:AI1660,B1642:B1660,B1653-36)+in_hlth_family_renew^4*SUMIFS(AI1642:AI1660,B1642:B1660,B1653-48))</f>
        <v/>
      </c>
      <c r="AK1653" s="40">
        <f>AK1652*(1-IF(B1652&gt;=in_marketplace_from,d_hz_life_term*G1652,0))</f>
        <v/>
      </c>
      <c r="AL1653" s="46">
        <f>AK1653*IF(B1653&gt;=in_marketplace_from,d_hz_life_term*G1653,0)</f>
        <v/>
      </c>
      <c r="AM1653" s="14">
        <f>F1653*AL1653*in_life_term_ticket*in_life_term_comm*in_ins_partner_share+F1653*in_life_term_ticket*in_life_term_renew_comm*in_ins_partner_share*(in_life_term_renew^1*SUMIFS(AL1642:AL1660,B1642:B1660,B1653-12)+in_life_term_renew^2*SUMIFS(AL1642:AL1660,B1642:B1660,B1653-24)+in_life_term_renew^3*SUMIFS(AL1642:AL1660,B1642:B1660,B1653-36)+in_life_term_renew^4*SUMIFS(AL1642:AL1660,B1642:B1660,B1653-48))</f>
        <v/>
      </c>
      <c r="AN1653" s="40">
        <f>AN1652*(1-IF(B1652&gt;=in_marketplace_from,d_hz_accident*G1652,0))</f>
        <v/>
      </c>
      <c r="AO1653" s="46">
        <f>AN1653*IF(B1653&gt;=in_marketplace_from,d_hz_accident*G1653,0)</f>
        <v/>
      </c>
      <c r="AP1653" s="14">
        <f>F1653*AO1653*in_accident_ticket*in_accident_comm*in_ins_partner_share+F1653*in_accident_ticket*in_accident_renew_comm*in_ins_partner_share*(in_accident_renew^1*SUMIFS(AO1642:AO1660,B1642:B1660,B1653-12)+in_accident_renew^2*SUMIFS(AO1642:AO1660,B1642:B1660,B1653-24)+in_accident_renew^3*SUMIFS(AO1642:AO1660,B1642:B1660,B1653-36)+in_accident_renew^4*SUMIFS(AO1642:AO1660,B1642:B1660,B1653-48))</f>
        <v/>
      </c>
      <c r="AQ1653" s="40">
        <f>AQ1652*(1-IF(B1652&gt;=in_marketplace_from,d_hz_two_wheeler*G1652,0))</f>
        <v/>
      </c>
      <c r="AR1653" s="46">
        <f>AQ1653*IF(B1653&gt;=in_marketplace_from,d_hz_two_wheeler*G1653,0)</f>
        <v/>
      </c>
      <c r="AS1653" s="14">
        <f>F1653*AR1653*in_two_wheeler_ticket*in_two_wheeler_comm*in_ins_partner_share+F1653*in_two_wheeler_ticket*in_two_wheeler_comm*in_ins_partner_share*(in_two_wheeler_renew^1*SUMIFS(AR1642:AR1660,B1642:B1660,B1653-12)+in_two_wheeler_renew^2*SUMIFS(AR1642:AR1660,B1642:B1660,B1653-24)+in_two_wheeler_renew^3*SUMIFS(AR1642:AR1660,B1642:B1660,B1653-36)+in_two_wheeler_renew^4*SUMIFS(AR1642:AR1660,B1642:B1660,B1653-48))</f>
        <v/>
      </c>
      <c r="AT1653" s="40">
        <f>AT1652*(1-IF(B1652&gt;=in_marketplace_from,d_hz_device*G1652,0))</f>
        <v/>
      </c>
      <c r="AU1653" s="14">
        <f>F1653*AT1653*IF(B1653&gt;=in_marketplace_from,d_hz_device*G1653,0)*in_device_ticket*in_device_comm*in_ins_partner_share</f>
        <v/>
      </c>
      <c r="AV1653" s="40">
        <f>AV1652*(1-IF(B1652&gt;=in_marketplace_from,d_hz_shop*G1652,0))</f>
        <v/>
      </c>
      <c r="AW1653" s="46">
        <f>AV1653*IF(B1653&gt;=in_marketplace_from,d_hz_shop*G1653,0)</f>
        <v/>
      </c>
      <c r="AX1653" s="14">
        <f>F1653*AW1653*in_shop_ticket*in_shop_comm*in_ins_partner_share+F1653*in_shop_ticket*in_shop_renew_comm*in_ins_partner_share*(in_shop_renew^1*SUMIFS(AW1642:AW1660,B1642:B1660,B1653-12)+in_shop_renew^2*SUMIFS(AW1642:AW1660,B1642:B1660,B1653-24)+in_shop_renew^3*SUMIFS(AW1642:AW1660,B1642:B1660,B1653-36)+in_shop_renew^4*SUMIFS(AW1642:AW1660,B1642:B1660,B1653-48))</f>
        <v/>
      </c>
      <c r="AY1653" s="40">
        <f>AY1652*(1-IF(B1652&gt;=in_marketplace_from,d_hz_sip*G1652,0))</f>
        <v/>
      </c>
      <c r="AZ1653" s="40">
        <f>AZ1652*d_rho_sip+AY1653*IF(B1653&gt;=in_marketplace_from,d_hz_sip*G1653,0)</f>
        <v/>
      </c>
      <c r="BA1653" s="40">
        <f>d_rho_sip*(BA1652+AZ1652)</f>
        <v/>
      </c>
      <c r="BB1653" s="14">
        <f>F1653*in_sip_ticket*(BA1653+0.5*AZ1653)*in_sip_comm/12</f>
        <v/>
      </c>
      <c r="BC1653" s="40">
        <f>BC1652*(1-IF(B1652&gt;=in_marketplace_from,d_hz_choti*G1652,0))</f>
        <v/>
      </c>
      <c r="BD1653" s="46">
        <f>BC1653*IF(B1653&gt;=in_marketplace_from,d_hz_choti*G1653,0)</f>
        <v/>
      </c>
      <c r="BE1653" s="14">
        <f>F1653*SUMIFS(BD1642:BD1660,B1642:B1660,B1653-in_choti_months)*in_choti_renew*in_choti_ticket</f>
        <v/>
      </c>
      <c r="BF1653" s="40">
        <f>BF1652*(1-IF(B1652&gt;=in_marketplace_from,d_hz_nps*G1652,0))</f>
        <v/>
      </c>
      <c r="BG1653" s="14">
        <f>F1653*BF1653*IF(B1653&gt;=in_marketplace_from,d_hz_nps*G1653,0)*in_nps_ticket*in_nps_comm</f>
        <v/>
      </c>
      <c r="BH1653" s="40">
        <f>BH1652*(1-IF(B1652&gt;=in_marketplace_from,d_hz_gold*G1652,0))</f>
        <v/>
      </c>
      <c r="BI1653" s="40">
        <f>BI1652*d_rho_gold+BH1653*IF(B1653&gt;=in_marketplace_from,d_hz_gold*G1653,0)</f>
        <v/>
      </c>
      <c r="BJ1653" s="14">
        <f>F1653*BI1653*in_gold_ticket*in_gold_comm</f>
        <v/>
      </c>
      <c r="BK1653" s="40">
        <f>BK1652*(1-IF(B1652&gt;=in_marketplace_from,d_hz_fd*G1652,0))</f>
        <v/>
      </c>
      <c r="BL1653" s="14">
        <f>F1653*BK1653*IF(B1653&gt;=in_marketplace_from,d_hz_fd*G1653,0)*in_fd_ticket*in_fd_comm</f>
        <v/>
      </c>
      <c r="BM1653" s="40">
        <f>BM1652*(1-IF(B1652&gt;=in_marketplace_from,d_hz_recharge*G1652,0))</f>
        <v/>
      </c>
      <c r="BN1653" s="40">
        <f>BN1652*d_rho_recharge+BM1653*IF(B1653&gt;=in_marketplace_from,d_hz_recharge*G1653,0)</f>
        <v/>
      </c>
      <c r="BO1653" s="14">
        <f>F1653*BN1653*in_recharge_ticket*in_recharge_comm/12</f>
        <v/>
      </c>
      <c r="BP1653" s="40">
        <f>BP1652*(1-IF(B1652&gt;=in_marketplace_from,d_hz_bills*G1652,0))</f>
        <v/>
      </c>
      <c r="BQ1653" s="40">
        <f>BQ1652*d_rho_bills+BP1653*IF(B1653&gt;=in_marketplace_from,d_hz_bills*G1653,0)</f>
        <v/>
      </c>
      <c r="BR1653" s="14">
        <f>F1653*BQ1653*in_bills_ticket*in_bills_comm/12</f>
        <v/>
      </c>
      <c r="BS1653" s="40">
        <f>BS1652*(1-IF(B1652&gt;=in_marketplace_from,d_hz_loan_gold*G1652,0))</f>
        <v/>
      </c>
      <c r="BT1653" s="14">
        <f>F1653*BS1653*IF(B1653&gt;=in_marketplace_from,d_hz_loan_gold*G1653,0)*in_loan_gold_ticket*in_loan_gold_comm</f>
        <v/>
      </c>
      <c r="BU1653" s="40">
        <f>BU1652*(1-IF(B1652&gt;=in_marketplace_from,d_hz_loan_cd*G1652,0))</f>
        <v/>
      </c>
      <c r="BV1653" s="14">
        <f>F1653*BU1653*IF(B1653&gt;=in_marketplace_from,d_hz_loan_cd*G1653,0)*in_loan_cd_ticket*in_loan_cd_comm</f>
        <v/>
      </c>
      <c r="BW1653" s="40">
        <f>BW1652*(1-IF(B1652&gt;=in_marketplace_from,d_hz_loan_vehicle*G1652,0))</f>
        <v/>
      </c>
      <c r="BX1653" s="14">
        <f>F1653*BW1653*IF(B1653&gt;=in_marketplace_from,d_hz_loan_vehicle*G1653,0)*in_loan_vehicle_ticket*in_loan_vehicle_comm</f>
        <v/>
      </c>
      <c r="BY1653" s="40">
        <f>BY1652*(1-IF(B1652&gt;=in_marketplace_from,d_hz_loan_home*G1652,0)*BZ1652)</f>
        <v/>
      </c>
      <c r="BZ1653" s="11">
        <f>MIN(in_approval_cap,in_loan_home_approval*INDEX('Age profile'!$O$2:$O$61,B1653)*(1+in_approval_growth)^(D1653-1))</f>
        <v/>
      </c>
      <c r="CA1653" s="14">
        <f>F1653*BY1653*IF(B1653&gt;=in_marketplace_from,d_hz_loan_home*G1653,0)*BZ1653*in_loan_home_ticket*in_loan_home_comm</f>
        <v/>
      </c>
      <c r="CB1653" s="40">
        <f>CB1652*(1-IF(B1652&gt;=in_marketplace_from,d_hz_loan_lap*G1652,0)*CC1652)</f>
        <v/>
      </c>
      <c r="CC1653" s="11">
        <f>MIN(in_approval_cap,in_loan_lap_approval*INDEX('Age profile'!$O$2:$O$61,B1653)*(1+in_approval_growth)^(D1653-1))</f>
        <v/>
      </c>
      <c r="CD1653" s="14">
        <f>F1653*CB1653*IF(B1653&gt;=in_marketplace_from,d_hz_loan_lap*G1653,0)*CC1653*in_loan_lap_ticket*in_loan_lap_comm</f>
        <v/>
      </c>
      <c r="CE1653" s="14">
        <f>AA1653+AB1653+AC1653+AD1653+AG1653+AJ1653+AM1653+AP1653+AS1653+AU1653+AX1653+BB1653+BE1653+BG1653+BJ1653+BL1653+BO1653+BR1653+BT1653+BV1653+BX1653+CA1653+CD1653</f>
        <v/>
      </c>
    </row>
    <row r="1654">
      <c r="A1654" s="39" t="n">
        <v>42</v>
      </c>
      <c r="B1654" s="39" t="n">
        <v>13</v>
      </c>
      <c r="C1654" s="39">
        <f>A1654+B1654-1</f>
        <v/>
      </c>
      <c r="D1654" s="39">
        <f>INT((C1654-1)/12)+1</f>
        <v/>
      </c>
      <c r="E1654" s="44">
        <f>INDEX(Monthly!$B$2:$B$61,A1654)</f>
        <v/>
      </c>
      <c r="F1654" s="44">
        <f>E1654*INDEX('Age profile'!$B$2:$B$61,B1654)</f>
        <v/>
      </c>
      <c r="G1654" s="45">
        <f>MIN(in_takeup_cap,INDEX('Age profile'!$N$2:$N$61,B1654)*(1+in_takeup_growth)^(D1654-1))</f>
        <v/>
      </c>
      <c r="H1654" s="11">
        <f>MIN(in_approval_cap,in_approved_first*INDEX('Age profile'!$O$2:$O$61,B1654)*(1+in_approval_growth)^(D1654-1))</f>
        <v/>
      </c>
      <c r="I1654" s="45">
        <f>G1654*MIN(in_takeup_cap,INDEX('Age profile'!$O$2:$O$61,B1654)*(1+in_approval_growth)^(D1654-1))</f>
        <v/>
      </c>
      <c r="J1654" s="40">
        <f>(J1653-L1653)*F1654/F1653</f>
        <v/>
      </c>
      <c r="K1654" s="40">
        <f>(K1653-M1653)*F1654/F1653+SUMIFS(O1642:O1653,B1642:B1653,B1654-1-d_T)*F1654</f>
        <v/>
      </c>
      <c r="L1654" s="40">
        <f>IF(B1654&gt;=in_marketplace_from,J1654*d_hz*G1654*in_eligible*H1654,0)</f>
        <v/>
      </c>
      <c r="M1654" s="40">
        <f>IF(B1654&gt;=in_marketplace_from,K1654*d_hz*G1654*in_eligible*in_approved_repeat,0)</f>
        <v/>
      </c>
      <c r="N1654" s="40">
        <f>L1654+M1654</f>
        <v/>
      </c>
      <c r="O1654" s="46">
        <f>N1654/F1654</f>
        <v/>
      </c>
      <c r="P1654" s="40">
        <f>F1654-J1654-K1654</f>
        <v/>
      </c>
      <c r="Q1654" s="40">
        <f>IF(B1654&gt;=in_marketplace_from,(J1654+K1654)*d_hz*G1654,0)</f>
        <v/>
      </c>
      <c r="R1654" s="40">
        <f>SUMIFS(N1642:N1660,B1642:B1660,"&gt;="&amp;(B1654-d_T),B1642:B1660,"&lt;="&amp;(B1654-1))</f>
        <v/>
      </c>
      <c r="S1654" s="46">
        <f>(1-d_u)*S1653+IF(d_T&gt;in_topup_lag,SUMIFS(O1642:O1660,B1642:B1660,B1654-in_topup_lag)-d_udrop*SUMIFS(O1642:O1660,B1642:B1660,B1654-d_T),0)</f>
        <v/>
      </c>
      <c r="T1654" s="40">
        <f>F1654*d_u*S1654</f>
        <v/>
      </c>
      <c r="U1654" s="9">
        <f>L1654*in_ticket+M1654*d_rep_ticket</f>
        <v/>
      </c>
      <c r="V1654" s="9">
        <f>U1654+T1654*d_topup_amt</f>
        <v/>
      </c>
      <c r="W1654" s="40">
        <f>N1654+T1654*d_topup_ratio</f>
        <v/>
      </c>
      <c r="X1654" s="40">
        <f>SUMIFS(W1642:W1660,B1642:B1660,B1654-in_dpd_lag)*d_cured</f>
        <v/>
      </c>
      <c r="Y1654" s="40">
        <f>SUMIFS(W1642:W1660,B1642:B1660,B1654-in_rec_lag)*d_recd</f>
        <v/>
      </c>
      <c r="Z1654" s="40">
        <f>IF(AND(B1654&gt;=in_marketplace_from,B1654&lt;in_marketplace_from+in_card_months),in_card_share/in_card_months*F1654*I1654,IF(AND(B1654&gt;=in_marketplace_from+in_card_months,B1654&lt;in_marketplace_from+2*in_card_months),in_card_share*d_card_rem/in_card_months*F1654*MIN(in_takeup_cap,(1+in_takeup_growth)^(D1654-1))*MIN(in_takeup_cap,(1+in_approval_growth)^(D1654-1)),0))</f>
        <v/>
      </c>
      <c r="AA1654" s="14">
        <f>V1654*in_fee*(1-in_taken_back)</f>
        <v/>
      </c>
      <c r="AB1654" s="14">
        <f>SUMIFS(W1642:W1660,B1642:B1660,B1654-in_dpd_lag)*d_dpd</f>
        <v/>
      </c>
      <c r="AC1654" s="14">
        <f>SUMIFS(W1642:W1660,B1642:B1660,B1654-in_rec_lag)*d_rec</f>
        <v/>
      </c>
      <c r="AD1654" s="14">
        <f>Z1654*in_card_fee</f>
        <v/>
      </c>
      <c r="AE1654" s="40">
        <f>AE1653*(1-IF(B1653&gt;=in_marketplace_from,d_hz_hlth_small*G1653,0))</f>
        <v/>
      </c>
      <c r="AF1654" s="46">
        <f>AE1654*IF(B1654&gt;=in_marketplace_from,d_hz_hlth_small*G1654,0)</f>
        <v/>
      </c>
      <c r="AG1654" s="14">
        <f>F1654*AF1654*in_hlth_small_ticket*in_hlth_small_comm*in_ins_partner_share+F1654*in_hlth_small_ticket*in_hlth_small_renew_comm*in_ins_partner_share*(in_hlth_small_renew^1*SUMIFS(AF1642:AF1660,B1642:B1660,B1654-12)+in_hlth_small_renew^2*SUMIFS(AF1642:AF1660,B1642:B1660,B1654-24)+in_hlth_small_renew^3*SUMIFS(AF1642:AF1660,B1642:B1660,B1654-36)+in_hlth_small_renew^4*SUMIFS(AF1642:AF1660,B1642:B1660,B1654-48))</f>
        <v/>
      </c>
      <c r="AH1654" s="40">
        <f>AH1653*(1-IF(B1653&gt;=in_marketplace_from,d_hz_hlth_family*G1653,0))</f>
        <v/>
      </c>
      <c r="AI1654" s="46">
        <f>AH1654*IF(B1654&gt;=in_marketplace_from,d_hz_hlth_family*G1654,0)</f>
        <v/>
      </c>
      <c r="AJ1654" s="14">
        <f>F1654*AI1654*in_hlth_family_ticket*in_hlth_family_comm*in_ins_partner_share+F1654*in_hlth_family_ticket*in_hlth_family_renew_comm*in_ins_partner_share*(in_hlth_family_renew^1*SUMIFS(AI1642:AI1660,B1642:B1660,B1654-12)+in_hlth_family_renew^2*SUMIFS(AI1642:AI1660,B1642:B1660,B1654-24)+in_hlth_family_renew^3*SUMIFS(AI1642:AI1660,B1642:B1660,B1654-36)+in_hlth_family_renew^4*SUMIFS(AI1642:AI1660,B1642:B1660,B1654-48))</f>
        <v/>
      </c>
      <c r="AK1654" s="40">
        <f>AK1653*(1-IF(B1653&gt;=in_marketplace_from,d_hz_life_term*G1653,0))</f>
        <v/>
      </c>
      <c r="AL1654" s="46">
        <f>AK1654*IF(B1654&gt;=in_marketplace_from,d_hz_life_term*G1654,0)</f>
        <v/>
      </c>
      <c r="AM1654" s="14">
        <f>F1654*AL1654*in_life_term_ticket*in_life_term_comm*in_ins_partner_share+F1654*in_life_term_ticket*in_life_term_renew_comm*in_ins_partner_share*(in_life_term_renew^1*SUMIFS(AL1642:AL1660,B1642:B1660,B1654-12)+in_life_term_renew^2*SUMIFS(AL1642:AL1660,B1642:B1660,B1654-24)+in_life_term_renew^3*SUMIFS(AL1642:AL1660,B1642:B1660,B1654-36)+in_life_term_renew^4*SUMIFS(AL1642:AL1660,B1642:B1660,B1654-48))</f>
        <v/>
      </c>
      <c r="AN1654" s="40">
        <f>AN1653*(1-IF(B1653&gt;=in_marketplace_from,d_hz_accident*G1653,0))</f>
        <v/>
      </c>
      <c r="AO1654" s="46">
        <f>AN1654*IF(B1654&gt;=in_marketplace_from,d_hz_accident*G1654,0)</f>
        <v/>
      </c>
      <c r="AP1654" s="14">
        <f>F1654*AO1654*in_accident_ticket*in_accident_comm*in_ins_partner_share+F1654*in_accident_ticket*in_accident_renew_comm*in_ins_partner_share*(in_accident_renew^1*SUMIFS(AO1642:AO1660,B1642:B1660,B1654-12)+in_accident_renew^2*SUMIFS(AO1642:AO1660,B1642:B1660,B1654-24)+in_accident_renew^3*SUMIFS(AO1642:AO1660,B1642:B1660,B1654-36)+in_accident_renew^4*SUMIFS(AO1642:AO1660,B1642:B1660,B1654-48))</f>
        <v/>
      </c>
      <c r="AQ1654" s="40">
        <f>AQ1653*(1-IF(B1653&gt;=in_marketplace_from,d_hz_two_wheeler*G1653,0))</f>
        <v/>
      </c>
      <c r="AR1654" s="46">
        <f>AQ1654*IF(B1654&gt;=in_marketplace_from,d_hz_two_wheeler*G1654,0)</f>
        <v/>
      </c>
      <c r="AS1654" s="14">
        <f>F1654*AR1654*in_two_wheeler_ticket*in_two_wheeler_comm*in_ins_partner_share+F1654*in_two_wheeler_ticket*in_two_wheeler_comm*in_ins_partner_share*(in_two_wheeler_renew^1*SUMIFS(AR1642:AR1660,B1642:B1660,B1654-12)+in_two_wheeler_renew^2*SUMIFS(AR1642:AR1660,B1642:B1660,B1654-24)+in_two_wheeler_renew^3*SUMIFS(AR1642:AR1660,B1642:B1660,B1654-36)+in_two_wheeler_renew^4*SUMIFS(AR1642:AR1660,B1642:B1660,B1654-48))</f>
        <v/>
      </c>
      <c r="AT1654" s="40">
        <f>AT1653*(1-IF(B1653&gt;=in_marketplace_from,d_hz_device*G1653,0))</f>
        <v/>
      </c>
      <c r="AU1654" s="14">
        <f>F1654*AT1654*IF(B1654&gt;=in_marketplace_from,d_hz_device*G1654,0)*in_device_ticket*in_device_comm*in_ins_partner_share</f>
        <v/>
      </c>
      <c r="AV1654" s="40">
        <f>AV1653*(1-IF(B1653&gt;=in_marketplace_from,d_hz_shop*G1653,0))</f>
        <v/>
      </c>
      <c r="AW1654" s="46">
        <f>AV1654*IF(B1654&gt;=in_marketplace_from,d_hz_shop*G1654,0)</f>
        <v/>
      </c>
      <c r="AX1654" s="14">
        <f>F1654*AW1654*in_shop_ticket*in_shop_comm*in_ins_partner_share+F1654*in_shop_ticket*in_shop_renew_comm*in_ins_partner_share*(in_shop_renew^1*SUMIFS(AW1642:AW1660,B1642:B1660,B1654-12)+in_shop_renew^2*SUMIFS(AW1642:AW1660,B1642:B1660,B1654-24)+in_shop_renew^3*SUMIFS(AW1642:AW1660,B1642:B1660,B1654-36)+in_shop_renew^4*SUMIFS(AW1642:AW1660,B1642:B1660,B1654-48))</f>
        <v/>
      </c>
      <c r="AY1654" s="40">
        <f>AY1653*(1-IF(B1653&gt;=in_marketplace_from,d_hz_sip*G1653,0))</f>
        <v/>
      </c>
      <c r="AZ1654" s="40">
        <f>AZ1653*d_rho_sip+AY1654*IF(B1654&gt;=in_marketplace_from,d_hz_sip*G1654,0)</f>
        <v/>
      </c>
      <c r="BA1654" s="40">
        <f>d_rho_sip*(BA1653+AZ1653)</f>
        <v/>
      </c>
      <c r="BB1654" s="14">
        <f>F1654*in_sip_ticket*(BA1654+0.5*AZ1654)*in_sip_comm/12</f>
        <v/>
      </c>
      <c r="BC1654" s="40">
        <f>BC1653*(1-IF(B1653&gt;=in_marketplace_from,d_hz_choti*G1653,0))</f>
        <v/>
      </c>
      <c r="BD1654" s="46">
        <f>BC1654*IF(B1654&gt;=in_marketplace_from,d_hz_choti*G1654,0)</f>
        <v/>
      </c>
      <c r="BE1654" s="14">
        <f>F1654*SUMIFS(BD1642:BD1660,B1642:B1660,B1654-in_choti_months)*in_choti_renew*in_choti_ticket</f>
        <v/>
      </c>
      <c r="BF1654" s="40">
        <f>BF1653*(1-IF(B1653&gt;=in_marketplace_from,d_hz_nps*G1653,0))</f>
        <v/>
      </c>
      <c r="BG1654" s="14">
        <f>F1654*BF1654*IF(B1654&gt;=in_marketplace_from,d_hz_nps*G1654,0)*in_nps_ticket*in_nps_comm</f>
        <v/>
      </c>
      <c r="BH1654" s="40">
        <f>BH1653*(1-IF(B1653&gt;=in_marketplace_from,d_hz_gold*G1653,0))</f>
        <v/>
      </c>
      <c r="BI1654" s="40">
        <f>BI1653*d_rho_gold+BH1654*IF(B1654&gt;=in_marketplace_from,d_hz_gold*G1654,0)</f>
        <v/>
      </c>
      <c r="BJ1654" s="14">
        <f>F1654*BI1654*in_gold_ticket*in_gold_comm</f>
        <v/>
      </c>
      <c r="BK1654" s="40">
        <f>BK1653*(1-IF(B1653&gt;=in_marketplace_from,d_hz_fd*G1653,0))</f>
        <v/>
      </c>
      <c r="BL1654" s="14">
        <f>F1654*BK1654*IF(B1654&gt;=in_marketplace_from,d_hz_fd*G1654,0)*in_fd_ticket*in_fd_comm</f>
        <v/>
      </c>
      <c r="BM1654" s="40">
        <f>BM1653*(1-IF(B1653&gt;=in_marketplace_from,d_hz_recharge*G1653,0))</f>
        <v/>
      </c>
      <c r="BN1654" s="40">
        <f>BN1653*d_rho_recharge+BM1654*IF(B1654&gt;=in_marketplace_from,d_hz_recharge*G1654,0)</f>
        <v/>
      </c>
      <c r="BO1654" s="14">
        <f>F1654*BN1654*in_recharge_ticket*in_recharge_comm/12</f>
        <v/>
      </c>
      <c r="BP1654" s="40">
        <f>BP1653*(1-IF(B1653&gt;=in_marketplace_from,d_hz_bills*G1653,0))</f>
        <v/>
      </c>
      <c r="BQ1654" s="40">
        <f>BQ1653*d_rho_bills+BP1654*IF(B1654&gt;=in_marketplace_from,d_hz_bills*G1654,0)</f>
        <v/>
      </c>
      <c r="BR1654" s="14">
        <f>F1654*BQ1654*in_bills_ticket*in_bills_comm/12</f>
        <v/>
      </c>
      <c r="BS1654" s="40">
        <f>BS1653*(1-IF(B1653&gt;=in_marketplace_from,d_hz_loan_gold*G1653,0))</f>
        <v/>
      </c>
      <c r="BT1654" s="14">
        <f>F1654*BS1654*IF(B1654&gt;=in_marketplace_from,d_hz_loan_gold*G1654,0)*in_loan_gold_ticket*in_loan_gold_comm</f>
        <v/>
      </c>
      <c r="BU1654" s="40">
        <f>BU1653*(1-IF(B1653&gt;=in_marketplace_from,d_hz_loan_cd*G1653,0))</f>
        <v/>
      </c>
      <c r="BV1654" s="14">
        <f>F1654*BU1654*IF(B1654&gt;=in_marketplace_from,d_hz_loan_cd*G1654,0)*in_loan_cd_ticket*in_loan_cd_comm</f>
        <v/>
      </c>
      <c r="BW1654" s="40">
        <f>BW1653*(1-IF(B1653&gt;=in_marketplace_from,d_hz_loan_vehicle*G1653,0))</f>
        <v/>
      </c>
      <c r="BX1654" s="14">
        <f>F1654*BW1654*IF(B1654&gt;=in_marketplace_from,d_hz_loan_vehicle*G1654,0)*in_loan_vehicle_ticket*in_loan_vehicle_comm</f>
        <v/>
      </c>
      <c r="BY1654" s="40">
        <f>BY1653*(1-IF(B1653&gt;=in_marketplace_from,d_hz_loan_home*G1653,0)*BZ1653)</f>
        <v/>
      </c>
      <c r="BZ1654" s="11">
        <f>MIN(in_approval_cap,in_loan_home_approval*INDEX('Age profile'!$O$2:$O$61,B1654)*(1+in_approval_growth)^(D1654-1))</f>
        <v/>
      </c>
      <c r="CA1654" s="14">
        <f>F1654*BY1654*IF(B1654&gt;=in_marketplace_from,d_hz_loan_home*G1654,0)*BZ1654*in_loan_home_ticket*in_loan_home_comm</f>
        <v/>
      </c>
      <c r="CB1654" s="40">
        <f>CB1653*(1-IF(B1653&gt;=in_marketplace_from,d_hz_loan_lap*G1653,0)*CC1653)</f>
        <v/>
      </c>
      <c r="CC1654" s="11">
        <f>MIN(in_approval_cap,in_loan_lap_approval*INDEX('Age profile'!$O$2:$O$61,B1654)*(1+in_approval_growth)^(D1654-1))</f>
        <v/>
      </c>
      <c r="CD1654" s="14">
        <f>F1654*CB1654*IF(B1654&gt;=in_marketplace_from,d_hz_loan_lap*G1654,0)*CC1654*in_loan_lap_ticket*in_loan_lap_comm</f>
        <v/>
      </c>
      <c r="CE1654" s="14">
        <f>AA1654+AB1654+AC1654+AD1654+AG1654+AJ1654+AM1654+AP1654+AS1654+AU1654+AX1654+BB1654+BE1654+BG1654+BJ1654+BL1654+BO1654+BR1654+BT1654+BV1654+BX1654+CA1654+CD1654</f>
        <v/>
      </c>
    </row>
    <row r="1655">
      <c r="A1655" s="39" t="n">
        <v>42</v>
      </c>
      <c r="B1655" s="39" t="n">
        <v>14</v>
      </c>
      <c r="C1655" s="39">
        <f>A1655+B1655-1</f>
        <v/>
      </c>
      <c r="D1655" s="39">
        <f>INT((C1655-1)/12)+1</f>
        <v/>
      </c>
      <c r="E1655" s="44">
        <f>INDEX(Monthly!$B$2:$B$61,A1655)</f>
        <v/>
      </c>
      <c r="F1655" s="44">
        <f>E1655*INDEX('Age profile'!$B$2:$B$61,B1655)</f>
        <v/>
      </c>
      <c r="G1655" s="45">
        <f>MIN(in_takeup_cap,INDEX('Age profile'!$N$2:$N$61,B1655)*(1+in_takeup_growth)^(D1655-1))</f>
        <v/>
      </c>
      <c r="H1655" s="11">
        <f>MIN(in_approval_cap,in_approved_first*INDEX('Age profile'!$O$2:$O$61,B1655)*(1+in_approval_growth)^(D1655-1))</f>
        <v/>
      </c>
      <c r="I1655" s="45">
        <f>G1655*MIN(in_takeup_cap,INDEX('Age profile'!$O$2:$O$61,B1655)*(1+in_approval_growth)^(D1655-1))</f>
        <v/>
      </c>
      <c r="J1655" s="40">
        <f>(J1654-L1654)*F1655/F1654</f>
        <v/>
      </c>
      <c r="K1655" s="40">
        <f>(K1654-M1654)*F1655/F1654+SUMIFS(O1642:O1654,B1642:B1654,B1655-1-d_T)*F1655</f>
        <v/>
      </c>
      <c r="L1655" s="40">
        <f>IF(B1655&gt;=in_marketplace_from,J1655*d_hz*G1655*in_eligible*H1655,0)</f>
        <v/>
      </c>
      <c r="M1655" s="40">
        <f>IF(B1655&gt;=in_marketplace_from,K1655*d_hz*G1655*in_eligible*in_approved_repeat,0)</f>
        <v/>
      </c>
      <c r="N1655" s="40">
        <f>L1655+M1655</f>
        <v/>
      </c>
      <c r="O1655" s="46">
        <f>N1655/F1655</f>
        <v/>
      </c>
      <c r="P1655" s="40">
        <f>F1655-J1655-K1655</f>
        <v/>
      </c>
      <c r="Q1655" s="40">
        <f>IF(B1655&gt;=in_marketplace_from,(J1655+K1655)*d_hz*G1655,0)</f>
        <v/>
      </c>
      <c r="R1655" s="40">
        <f>SUMIFS(N1642:N1660,B1642:B1660,"&gt;="&amp;(B1655-d_T),B1642:B1660,"&lt;="&amp;(B1655-1))</f>
        <v/>
      </c>
      <c r="S1655" s="46">
        <f>(1-d_u)*S1654+IF(d_T&gt;in_topup_lag,SUMIFS(O1642:O1660,B1642:B1660,B1655-in_topup_lag)-d_udrop*SUMIFS(O1642:O1660,B1642:B1660,B1655-d_T),0)</f>
        <v/>
      </c>
      <c r="T1655" s="40">
        <f>F1655*d_u*S1655</f>
        <v/>
      </c>
      <c r="U1655" s="9">
        <f>L1655*in_ticket+M1655*d_rep_ticket</f>
        <v/>
      </c>
      <c r="V1655" s="9">
        <f>U1655+T1655*d_topup_amt</f>
        <v/>
      </c>
      <c r="W1655" s="40">
        <f>N1655+T1655*d_topup_ratio</f>
        <v/>
      </c>
      <c r="X1655" s="40">
        <f>SUMIFS(W1642:W1660,B1642:B1660,B1655-in_dpd_lag)*d_cured</f>
        <v/>
      </c>
      <c r="Y1655" s="40">
        <f>SUMIFS(W1642:W1660,B1642:B1660,B1655-in_rec_lag)*d_recd</f>
        <v/>
      </c>
      <c r="Z1655" s="40">
        <f>IF(AND(B1655&gt;=in_marketplace_from,B1655&lt;in_marketplace_from+in_card_months),in_card_share/in_card_months*F1655*I1655,IF(AND(B1655&gt;=in_marketplace_from+in_card_months,B1655&lt;in_marketplace_from+2*in_card_months),in_card_share*d_card_rem/in_card_months*F1655*MIN(in_takeup_cap,(1+in_takeup_growth)^(D1655-1))*MIN(in_takeup_cap,(1+in_approval_growth)^(D1655-1)),0))</f>
        <v/>
      </c>
      <c r="AA1655" s="14">
        <f>V1655*in_fee*(1-in_taken_back)</f>
        <v/>
      </c>
      <c r="AB1655" s="14">
        <f>SUMIFS(W1642:W1660,B1642:B1660,B1655-in_dpd_lag)*d_dpd</f>
        <v/>
      </c>
      <c r="AC1655" s="14">
        <f>SUMIFS(W1642:W1660,B1642:B1660,B1655-in_rec_lag)*d_rec</f>
        <v/>
      </c>
      <c r="AD1655" s="14">
        <f>Z1655*in_card_fee</f>
        <v/>
      </c>
      <c r="AE1655" s="40">
        <f>AE1654*(1-IF(B1654&gt;=in_marketplace_from,d_hz_hlth_small*G1654,0))</f>
        <v/>
      </c>
      <c r="AF1655" s="46">
        <f>AE1655*IF(B1655&gt;=in_marketplace_from,d_hz_hlth_small*G1655,0)</f>
        <v/>
      </c>
      <c r="AG1655" s="14">
        <f>F1655*AF1655*in_hlth_small_ticket*in_hlth_small_comm*in_ins_partner_share+F1655*in_hlth_small_ticket*in_hlth_small_renew_comm*in_ins_partner_share*(in_hlth_small_renew^1*SUMIFS(AF1642:AF1660,B1642:B1660,B1655-12)+in_hlth_small_renew^2*SUMIFS(AF1642:AF1660,B1642:B1660,B1655-24)+in_hlth_small_renew^3*SUMIFS(AF1642:AF1660,B1642:B1660,B1655-36)+in_hlth_small_renew^4*SUMIFS(AF1642:AF1660,B1642:B1660,B1655-48))</f>
        <v/>
      </c>
      <c r="AH1655" s="40">
        <f>AH1654*(1-IF(B1654&gt;=in_marketplace_from,d_hz_hlth_family*G1654,0))</f>
        <v/>
      </c>
      <c r="AI1655" s="46">
        <f>AH1655*IF(B1655&gt;=in_marketplace_from,d_hz_hlth_family*G1655,0)</f>
        <v/>
      </c>
      <c r="AJ1655" s="14">
        <f>F1655*AI1655*in_hlth_family_ticket*in_hlth_family_comm*in_ins_partner_share+F1655*in_hlth_family_ticket*in_hlth_family_renew_comm*in_ins_partner_share*(in_hlth_family_renew^1*SUMIFS(AI1642:AI1660,B1642:B1660,B1655-12)+in_hlth_family_renew^2*SUMIFS(AI1642:AI1660,B1642:B1660,B1655-24)+in_hlth_family_renew^3*SUMIFS(AI1642:AI1660,B1642:B1660,B1655-36)+in_hlth_family_renew^4*SUMIFS(AI1642:AI1660,B1642:B1660,B1655-48))</f>
        <v/>
      </c>
      <c r="AK1655" s="40">
        <f>AK1654*(1-IF(B1654&gt;=in_marketplace_from,d_hz_life_term*G1654,0))</f>
        <v/>
      </c>
      <c r="AL1655" s="46">
        <f>AK1655*IF(B1655&gt;=in_marketplace_from,d_hz_life_term*G1655,0)</f>
        <v/>
      </c>
      <c r="AM1655" s="14">
        <f>F1655*AL1655*in_life_term_ticket*in_life_term_comm*in_ins_partner_share+F1655*in_life_term_ticket*in_life_term_renew_comm*in_ins_partner_share*(in_life_term_renew^1*SUMIFS(AL1642:AL1660,B1642:B1660,B1655-12)+in_life_term_renew^2*SUMIFS(AL1642:AL1660,B1642:B1660,B1655-24)+in_life_term_renew^3*SUMIFS(AL1642:AL1660,B1642:B1660,B1655-36)+in_life_term_renew^4*SUMIFS(AL1642:AL1660,B1642:B1660,B1655-48))</f>
        <v/>
      </c>
      <c r="AN1655" s="40">
        <f>AN1654*(1-IF(B1654&gt;=in_marketplace_from,d_hz_accident*G1654,0))</f>
        <v/>
      </c>
      <c r="AO1655" s="46">
        <f>AN1655*IF(B1655&gt;=in_marketplace_from,d_hz_accident*G1655,0)</f>
        <v/>
      </c>
      <c r="AP1655" s="14">
        <f>F1655*AO1655*in_accident_ticket*in_accident_comm*in_ins_partner_share+F1655*in_accident_ticket*in_accident_renew_comm*in_ins_partner_share*(in_accident_renew^1*SUMIFS(AO1642:AO1660,B1642:B1660,B1655-12)+in_accident_renew^2*SUMIFS(AO1642:AO1660,B1642:B1660,B1655-24)+in_accident_renew^3*SUMIFS(AO1642:AO1660,B1642:B1660,B1655-36)+in_accident_renew^4*SUMIFS(AO1642:AO1660,B1642:B1660,B1655-48))</f>
        <v/>
      </c>
      <c r="AQ1655" s="40">
        <f>AQ1654*(1-IF(B1654&gt;=in_marketplace_from,d_hz_two_wheeler*G1654,0))</f>
        <v/>
      </c>
      <c r="AR1655" s="46">
        <f>AQ1655*IF(B1655&gt;=in_marketplace_from,d_hz_two_wheeler*G1655,0)</f>
        <v/>
      </c>
      <c r="AS1655" s="14">
        <f>F1655*AR1655*in_two_wheeler_ticket*in_two_wheeler_comm*in_ins_partner_share+F1655*in_two_wheeler_ticket*in_two_wheeler_comm*in_ins_partner_share*(in_two_wheeler_renew^1*SUMIFS(AR1642:AR1660,B1642:B1660,B1655-12)+in_two_wheeler_renew^2*SUMIFS(AR1642:AR1660,B1642:B1660,B1655-24)+in_two_wheeler_renew^3*SUMIFS(AR1642:AR1660,B1642:B1660,B1655-36)+in_two_wheeler_renew^4*SUMIFS(AR1642:AR1660,B1642:B1660,B1655-48))</f>
        <v/>
      </c>
      <c r="AT1655" s="40">
        <f>AT1654*(1-IF(B1654&gt;=in_marketplace_from,d_hz_device*G1654,0))</f>
        <v/>
      </c>
      <c r="AU1655" s="14">
        <f>F1655*AT1655*IF(B1655&gt;=in_marketplace_from,d_hz_device*G1655,0)*in_device_ticket*in_device_comm*in_ins_partner_share</f>
        <v/>
      </c>
      <c r="AV1655" s="40">
        <f>AV1654*(1-IF(B1654&gt;=in_marketplace_from,d_hz_shop*G1654,0))</f>
        <v/>
      </c>
      <c r="AW1655" s="46">
        <f>AV1655*IF(B1655&gt;=in_marketplace_from,d_hz_shop*G1655,0)</f>
        <v/>
      </c>
      <c r="AX1655" s="14">
        <f>F1655*AW1655*in_shop_ticket*in_shop_comm*in_ins_partner_share+F1655*in_shop_ticket*in_shop_renew_comm*in_ins_partner_share*(in_shop_renew^1*SUMIFS(AW1642:AW1660,B1642:B1660,B1655-12)+in_shop_renew^2*SUMIFS(AW1642:AW1660,B1642:B1660,B1655-24)+in_shop_renew^3*SUMIFS(AW1642:AW1660,B1642:B1660,B1655-36)+in_shop_renew^4*SUMIFS(AW1642:AW1660,B1642:B1660,B1655-48))</f>
        <v/>
      </c>
      <c r="AY1655" s="40">
        <f>AY1654*(1-IF(B1654&gt;=in_marketplace_from,d_hz_sip*G1654,0))</f>
        <v/>
      </c>
      <c r="AZ1655" s="40">
        <f>AZ1654*d_rho_sip+AY1655*IF(B1655&gt;=in_marketplace_from,d_hz_sip*G1655,0)</f>
        <v/>
      </c>
      <c r="BA1655" s="40">
        <f>d_rho_sip*(BA1654+AZ1654)</f>
        <v/>
      </c>
      <c r="BB1655" s="14">
        <f>F1655*in_sip_ticket*(BA1655+0.5*AZ1655)*in_sip_comm/12</f>
        <v/>
      </c>
      <c r="BC1655" s="40">
        <f>BC1654*(1-IF(B1654&gt;=in_marketplace_from,d_hz_choti*G1654,0))</f>
        <v/>
      </c>
      <c r="BD1655" s="46">
        <f>BC1655*IF(B1655&gt;=in_marketplace_from,d_hz_choti*G1655,0)</f>
        <v/>
      </c>
      <c r="BE1655" s="14">
        <f>F1655*SUMIFS(BD1642:BD1660,B1642:B1660,B1655-in_choti_months)*in_choti_renew*in_choti_ticket</f>
        <v/>
      </c>
      <c r="BF1655" s="40">
        <f>BF1654*(1-IF(B1654&gt;=in_marketplace_from,d_hz_nps*G1654,0))</f>
        <v/>
      </c>
      <c r="BG1655" s="14">
        <f>F1655*BF1655*IF(B1655&gt;=in_marketplace_from,d_hz_nps*G1655,0)*in_nps_ticket*in_nps_comm</f>
        <v/>
      </c>
      <c r="BH1655" s="40">
        <f>BH1654*(1-IF(B1654&gt;=in_marketplace_from,d_hz_gold*G1654,0))</f>
        <v/>
      </c>
      <c r="BI1655" s="40">
        <f>BI1654*d_rho_gold+BH1655*IF(B1655&gt;=in_marketplace_from,d_hz_gold*G1655,0)</f>
        <v/>
      </c>
      <c r="BJ1655" s="14">
        <f>F1655*BI1655*in_gold_ticket*in_gold_comm</f>
        <v/>
      </c>
      <c r="BK1655" s="40">
        <f>BK1654*(1-IF(B1654&gt;=in_marketplace_from,d_hz_fd*G1654,0))</f>
        <v/>
      </c>
      <c r="BL1655" s="14">
        <f>F1655*BK1655*IF(B1655&gt;=in_marketplace_from,d_hz_fd*G1655,0)*in_fd_ticket*in_fd_comm</f>
        <v/>
      </c>
      <c r="BM1655" s="40">
        <f>BM1654*(1-IF(B1654&gt;=in_marketplace_from,d_hz_recharge*G1654,0))</f>
        <v/>
      </c>
      <c r="BN1655" s="40">
        <f>BN1654*d_rho_recharge+BM1655*IF(B1655&gt;=in_marketplace_from,d_hz_recharge*G1655,0)</f>
        <v/>
      </c>
      <c r="BO1655" s="14">
        <f>F1655*BN1655*in_recharge_ticket*in_recharge_comm/12</f>
        <v/>
      </c>
      <c r="BP1655" s="40">
        <f>BP1654*(1-IF(B1654&gt;=in_marketplace_from,d_hz_bills*G1654,0))</f>
        <v/>
      </c>
      <c r="BQ1655" s="40">
        <f>BQ1654*d_rho_bills+BP1655*IF(B1655&gt;=in_marketplace_from,d_hz_bills*G1655,0)</f>
        <v/>
      </c>
      <c r="BR1655" s="14">
        <f>F1655*BQ1655*in_bills_ticket*in_bills_comm/12</f>
        <v/>
      </c>
      <c r="BS1655" s="40">
        <f>BS1654*(1-IF(B1654&gt;=in_marketplace_from,d_hz_loan_gold*G1654,0))</f>
        <v/>
      </c>
      <c r="BT1655" s="14">
        <f>F1655*BS1655*IF(B1655&gt;=in_marketplace_from,d_hz_loan_gold*G1655,0)*in_loan_gold_ticket*in_loan_gold_comm</f>
        <v/>
      </c>
      <c r="BU1655" s="40">
        <f>BU1654*(1-IF(B1654&gt;=in_marketplace_from,d_hz_loan_cd*G1654,0))</f>
        <v/>
      </c>
      <c r="BV1655" s="14">
        <f>F1655*BU1655*IF(B1655&gt;=in_marketplace_from,d_hz_loan_cd*G1655,0)*in_loan_cd_ticket*in_loan_cd_comm</f>
        <v/>
      </c>
      <c r="BW1655" s="40">
        <f>BW1654*(1-IF(B1654&gt;=in_marketplace_from,d_hz_loan_vehicle*G1654,0))</f>
        <v/>
      </c>
      <c r="BX1655" s="14">
        <f>F1655*BW1655*IF(B1655&gt;=in_marketplace_from,d_hz_loan_vehicle*G1655,0)*in_loan_vehicle_ticket*in_loan_vehicle_comm</f>
        <v/>
      </c>
      <c r="BY1655" s="40">
        <f>BY1654*(1-IF(B1654&gt;=in_marketplace_from,d_hz_loan_home*G1654,0)*BZ1654)</f>
        <v/>
      </c>
      <c r="BZ1655" s="11">
        <f>MIN(in_approval_cap,in_loan_home_approval*INDEX('Age profile'!$O$2:$O$61,B1655)*(1+in_approval_growth)^(D1655-1))</f>
        <v/>
      </c>
      <c r="CA1655" s="14">
        <f>F1655*BY1655*IF(B1655&gt;=in_marketplace_from,d_hz_loan_home*G1655,0)*BZ1655*in_loan_home_ticket*in_loan_home_comm</f>
        <v/>
      </c>
      <c r="CB1655" s="40">
        <f>CB1654*(1-IF(B1654&gt;=in_marketplace_from,d_hz_loan_lap*G1654,0)*CC1654)</f>
        <v/>
      </c>
      <c r="CC1655" s="11">
        <f>MIN(in_approval_cap,in_loan_lap_approval*INDEX('Age profile'!$O$2:$O$61,B1655)*(1+in_approval_growth)^(D1655-1))</f>
        <v/>
      </c>
      <c r="CD1655" s="14">
        <f>F1655*CB1655*IF(B1655&gt;=in_marketplace_from,d_hz_loan_lap*G1655,0)*CC1655*in_loan_lap_ticket*in_loan_lap_comm</f>
        <v/>
      </c>
      <c r="CE1655" s="14">
        <f>AA1655+AB1655+AC1655+AD1655+AG1655+AJ1655+AM1655+AP1655+AS1655+AU1655+AX1655+BB1655+BE1655+BG1655+BJ1655+BL1655+BO1655+BR1655+BT1655+BV1655+BX1655+CA1655+CD1655</f>
        <v/>
      </c>
    </row>
    <row r="1656">
      <c r="A1656" s="39" t="n">
        <v>42</v>
      </c>
      <c r="B1656" s="39" t="n">
        <v>15</v>
      </c>
      <c r="C1656" s="39">
        <f>A1656+B1656-1</f>
        <v/>
      </c>
      <c r="D1656" s="39">
        <f>INT((C1656-1)/12)+1</f>
        <v/>
      </c>
      <c r="E1656" s="44">
        <f>INDEX(Monthly!$B$2:$B$61,A1656)</f>
        <v/>
      </c>
      <c r="F1656" s="44">
        <f>E1656*INDEX('Age profile'!$B$2:$B$61,B1656)</f>
        <v/>
      </c>
      <c r="G1656" s="45">
        <f>MIN(in_takeup_cap,INDEX('Age profile'!$N$2:$N$61,B1656)*(1+in_takeup_growth)^(D1656-1))</f>
        <v/>
      </c>
      <c r="H1656" s="11">
        <f>MIN(in_approval_cap,in_approved_first*INDEX('Age profile'!$O$2:$O$61,B1656)*(1+in_approval_growth)^(D1656-1))</f>
        <v/>
      </c>
      <c r="I1656" s="45">
        <f>G1656*MIN(in_takeup_cap,INDEX('Age profile'!$O$2:$O$61,B1656)*(1+in_approval_growth)^(D1656-1))</f>
        <v/>
      </c>
      <c r="J1656" s="40">
        <f>(J1655-L1655)*F1656/F1655</f>
        <v/>
      </c>
      <c r="K1656" s="40">
        <f>(K1655-M1655)*F1656/F1655+SUMIFS(O1642:O1655,B1642:B1655,B1656-1-d_T)*F1656</f>
        <v/>
      </c>
      <c r="L1656" s="40">
        <f>IF(B1656&gt;=in_marketplace_from,J1656*d_hz*G1656*in_eligible*H1656,0)</f>
        <v/>
      </c>
      <c r="M1656" s="40">
        <f>IF(B1656&gt;=in_marketplace_from,K1656*d_hz*G1656*in_eligible*in_approved_repeat,0)</f>
        <v/>
      </c>
      <c r="N1656" s="40">
        <f>L1656+M1656</f>
        <v/>
      </c>
      <c r="O1656" s="46">
        <f>N1656/F1656</f>
        <v/>
      </c>
      <c r="P1656" s="40">
        <f>F1656-J1656-K1656</f>
        <v/>
      </c>
      <c r="Q1656" s="40">
        <f>IF(B1656&gt;=in_marketplace_from,(J1656+K1656)*d_hz*G1656,0)</f>
        <v/>
      </c>
      <c r="R1656" s="40">
        <f>SUMIFS(N1642:N1660,B1642:B1660,"&gt;="&amp;(B1656-d_T),B1642:B1660,"&lt;="&amp;(B1656-1))</f>
        <v/>
      </c>
      <c r="S1656" s="46">
        <f>(1-d_u)*S1655+IF(d_T&gt;in_topup_lag,SUMIFS(O1642:O1660,B1642:B1660,B1656-in_topup_lag)-d_udrop*SUMIFS(O1642:O1660,B1642:B1660,B1656-d_T),0)</f>
        <v/>
      </c>
      <c r="T1656" s="40">
        <f>F1656*d_u*S1656</f>
        <v/>
      </c>
      <c r="U1656" s="9">
        <f>L1656*in_ticket+M1656*d_rep_ticket</f>
        <v/>
      </c>
      <c r="V1656" s="9">
        <f>U1656+T1656*d_topup_amt</f>
        <v/>
      </c>
      <c r="W1656" s="40">
        <f>N1656+T1656*d_topup_ratio</f>
        <v/>
      </c>
      <c r="X1656" s="40">
        <f>SUMIFS(W1642:W1660,B1642:B1660,B1656-in_dpd_lag)*d_cured</f>
        <v/>
      </c>
      <c r="Y1656" s="40">
        <f>SUMIFS(W1642:W1660,B1642:B1660,B1656-in_rec_lag)*d_recd</f>
        <v/>
      </c>
      <c r="Z1656" s="40">
        <f>IF(AND(B1656&gt;=in_marketplace_from,B1656&lt;in_marketplace_from+in_card_months),in_card_share/in_card_months*F1656*I1656,IF(AND(B1656&gt;=in_marketplace_from+in_card_months,B1656&lt;in_marketplace_from+2*in_card_months),in_card_share*d_card_rem/in_card_months*F1656*MIN(in_takeup_cap,(1+in_takeup_growth)^(D1656-1))*MIN(in_takeup_cap,(1+in_approval_growth)^(D1656-1)),0))</f>
        <v/>
      </c>
      <c r="AA1656" s="14">
        <f>V1656*in_fee*(1-in_taken_back)</f>
        <v/>
      </c>
      <c r="AB1656" s="14">
        <f>SUMIFS(W1642:W1660,B1642:B1660,B1656-in_dpd_lag)*d_dpd</f>
        <v/>
      </c>
      <c r="AC1656" s="14">
        <f>SUMIFS(W1642:W1660,B1642:B1660,B1656-in_rec_lag)*d_rec</f>
        <v/>
      </c>
      <c r="AD1656" s="14">
        <f>Z1656*in_card_fee</f>
        <v/>
      </c>
      <c r="AE1656" s="40">
        <f>AE1655*(1-IF(B1655&gt;=in_marketplace_from,d_hz_hlth_small*G1655,0))</f>
        <v/>
      </c>
      <c r="AF1656" s="46">
        <f>AE1656*IF(B1656&gt;=in_marketplace_from,d_hz_hlth_small*G1656,0)</f>
        <v/>
      </c>
      <c r="AG1656" s="14">
        <f>F1656*AF1656*in_hlth_small_ticket*in_hlth_small_comm*in_ins_partner_share+F1656*in_hlth_small_ticket*in_hlth_small_renew_comm*in_ins_partner_share*(in_hlth_small_renew^1*SUMIFS(AF1642:AF1660,B1642:B1660,B1656-12)+in_hlth_small_renew^2*SUMIFS(AF1642:AF1660,B1642:B1660,B1656-24)+in_hlth_small_renew^3*SUMIFS(AF1642:AF1660,B1642:B1660,B1656-36)+in_hlth_small_renew^4*SUMIFS(AF1642:AF1660,B1642:B1660,B1656-48))</f>
        <v/>
      </c>
      <c r="AH1656" s="40">
        <f>AH1655*(1-IF(B1655&gt;=in_marketplace_from,d_hz_hlth_family*G1655,0))</f>
        <v/>
      </c>
      <c r="AI1656" s="46">
        <f>AH1656*IF(B1656&gt;=in_marketplace_from,d_hz_hlth_family*G1656,0)</f>
        <v/>
      </c>
      <c r="AJ1656" s="14">
        <f>F1656*AI1656*in_hlth_family_ticket*in_hlth_family_comm*in_ins_partner_share+F1656*in_hlth_family_ticket*in_hlth_family_renew_comm*in_ins_partner_share*(in_hlth_family_renew^1*SUMIFS(AI1642:AI1660,B1642:B1660,B1656-12)+in_hlth_family_renew^2*SUMIFS(AI1642:AI1660,B1642:B1660,B1656-24)+in_hlth_family_renew^3*SUMIFS(AI1642:AI1660,B1642:B1660,B1656-36)+in_hlth_family_renew^4*SUMIFS(AI1642:AI1660,B1642:B1660,B1656-48))</f>
        <v/>
      </c>
      <c r="AK1656" s="40">
        <f>AK1655*(1-IF(B1655&gt;=in_marketplace_from,d_hz_life_term*G1655,0))</f>
        <v/>
      </c>
      <c r="AL1656" s="46">
        <f>AK1656*IF(B1656&gt;=in_marketplace_from,d_hz_life_term*G1656,0)</f>
        <v/>
      </c>
      <c r="AM1656" s="14">
        <f>F1656*AL1656*in_life_term_ticket*in_life_term_comm*in_ins_partner_share+F1656*in_life_term_ticket*in_life_term_renew_comm*in_ins_partner_share*(in_life_term_renew^1*SUMIFS(AL1642:AL1660,B1642:B1660,B1656-12)+in_life_term_renew^2*SUMIFS(AL1642:AL1660,B1642:B1660,B1656-24)+in_life_term_renew^3*SUMIFS(AL1642:AL1660,B1642:B1660,B1656-36)+in_life_term_renew^4*SUMIFS(AL1642:AL1660,B1642:B1660,B1656-48))</f>
        <v/>
      </c>
      <c r="AN1656" s="40">
        <f>AN1655*(1-IF(B1655&gt;=in_marketplace_from,d_hz_accident*G1655,0))</f>
        <v/>
      </c>
      <c r="AO1656" s="46">
        <f>AN1656*IF(B1656&gt;=in_marketplace_from,d_hz_accident*G1656,0)</f>
        <v/>
      </c>
      <c r="AP1656" s="14">
        <f>F1656*AO1656*in_accident_ticket*in_accident_comm*in_ins_partner_share+F1656*in_accident_ticket*in_accident_renew_comm*in_ins_partner_share*(in_accident_renew^1*SUMIFS(AO1642:AO1660,B1642:B1660,B1656-12)+in_accident_renew^2*SUMIFS(AO1642:AO1660,B1642:B1660,B1656-24)+in_accident_renew^3*SUMIFS(AO1642:AO1660,B1642:B1660,B1656-36)+in_accident_renew^4*SUMIFS(AO1642:AO1660,B1642:B1660,B1656-48))</f>
        <v/>
      </c>
      <c r="AQ1656" s="40">
        <f>AQ1655*(1-IF(B1655&gt;=in_marketplace_from,d_hz_two_wheeler*G1655,0))</f>
        <v/>
      </c>
      <c r="AR1656" s="46">
        <f>AQ1656*IF(B1656&gt;=in_marketplace_from,d_hz_two_wheeler*G1656,0)</f>
        <v/>
      </c>
      <c r="AS1656" s="14">
        <f>F1656*AR1656*in_two_wheeler_ticket*in_two_wheeler_comm*in_ins_partner_share+F1656*in_two_wheeler_ticket*in_two_wheeler_comm*in_ins_partner_share*(in_two_wheeler_renew^1*SUMIFS(AR1642:AR1660,B1642:B1660,B1656-12)+in_two_wheeler_renew^2*SUMIFS(AR1642:AR1660,B1642:B1660,B1656-24)+in_two_wheeler_renew^3*SUMIFS(AR1642:AR1660,B1642:B1660,B1656-36)+in_two_wheeler_renew^4*SUMIFS(AR1642:AR1660,B1642:B1660,B1656-48))</f>
        <v/>
      </c>
      <c r="AT1656" s="40">
        <f>AT1655*(1-IF(B1655&gt;=in_marketplace_from,d_hz_device*G1655,0))</f>
        <v/>
      </c>
      <c r="AU1656" s="14">
        <f>F1656*AT1656*IF(B1656&gt;=in_marketplace_from,d_hz_device*G1656,0)*in_device_ticket*in_device_comm*in_ins_partner_share</f>
        <v/>
      </c>
      <c r="AV1656" s="40">
        <f>AV1655*(1-IF(B1655&gt;=in_marketplace_from,d_hz_shop*G1655,0))</f>
        <v/>
      </c>
      <c r="AW1656" s="46">
        <f>AV1656*IF(B1656&gt;=in_marketplace_from,d_hz_shop*G1656,0)</f>
        <v/>
      </c>
      <c r="AX1656" s="14">
        <f>F1656*AW1656*in_shop_ticket*in_shop_comm*in_ins_partner_share+F1656*in_shop_ticket*in_shop_renew_comm*in_ins_partner_share*(in_shop_renew^1*SUMIFS(AW1642:AW1660,B1642:B1660,B1656-12)+in_shop_renew^2*SUMIFS(AW1642:AW1660,B1642:B1660,B1656-24)+in_shop_renew^3*SUMIFS(AW1642:AW1660,B1642:B1660,B1656-36)+in_shop_renew^4*SUMIFS(AW1642:AW1660,B1642:B1660,B1656-48))</f>
        <v/>
      </c>
      <c r="AY1656" s="40">
        <f>AY1655*(1-IF(B1655&gt;=in_marketplace_from,d_hz_sip*G1655,0))</f>
        <v/>
      </c>
      <c r="AZ1656" s="40">
        <f>AZ1655*d_rho_sip+AY1656*IF(B1656&gt;=in_marketplace_from,d_hz_sip*G1656,0)</f>
        <v/>
      </c>
      <c r="BA1656" s="40">
        <f>d_rho_sip*(BA1655+AZ1655)</f>
        <v/>
      </c>
      <c r="BB1656" s="14">
        <f>F1656*in_sip_ticket*(BA1656+0.5*AZ1656)*in_sip_comm/12</f>
        <v/>
      </c>
      <c r="BC1656" s="40">
        <f>BC1655*(1-IF(B1655&gt;=in_marketplace_from,d_hz_choti*G1655,0))</f>
        <v/>
      </c>
      <c r="BD1656" s="46">
        <f>BC1656*IF(B1656&gt;=in_marketplace_from,d_hz_choti*G1656,0)</f>
        <v/>
      </c>
      <c r="BE1656" s="14">
        <f>F1656*SUMIFS(BD1642:BD1660,B1642:B1660,B1656-in_choti_months)*in_choti_renew*in_choti_ticket</f>
        <v/>
      </c>
      <c r="BF1656" s="40">
        <f>BF1655*(1-IF(B1655&gt;=in_marketplace_from,d_hz_nps*G1655,0))</f>
        <v/>
      </c>
      <c r="BG1656" s="14">
        <f>F1656*BF1656*IF(B1656&gt;=in_marketplace_from,d_hz_nps*G1656,0)*in_nps_ticket*in_nps_comm</f>
        <v/>
      </c>
      <c r="BH1656" s="40">
        <f>BH1655*(1-IF(B1655&gt;=in_marketplace_from,d_hz_gold*G1655,0))</f>
        <v/>
      </c>
      <c r="BI1656" s="40">
        <f>BI1655*d_rho_gold+BH1656*IF(B1656&gt;=in_marketplace_from,d_hz_gold*G1656,0)</f>
        <v/>
      </c>
      <c r="BJ1656" s="14">
        <f>F1656*BI1656*in_gold_ticket*in_gold_comm</f>
        <v/>
      </c>
      <c r="BK1656" s="40">
        <f>BK1655*(1-IF(B1655&gt;=in_marketplace_from,d_hz_fd*G1655,0))</f>
        <v/>
      </c>
      <c r="BL1656" s="14">
        <f>F1656*BK1656*IF(B1656&gt;=in_marketplace_from,d_hz_fd*G1656,0)*in_fd_ticket*in_fd_comm</f>
        <v/>
      </c>
      <c r="BM1656" s="40">
        <f>BM1655*(1-IF(B1655&gt;=in_marketplace_from,d_hz_recharge*G1655,0))</f>
        <v/>
      </c>
      <c r="BN1656" s="40">
        <f>BN1655*d_rho_recharge+BM1656*IF(B1656&gt;=in_marketplace_from,d_hz_recharge*G1656,0)</f>
        <v/>
      </c>
      <c r="BO1656" s="14">
        <f>F1656*BN1656*in_recharge_ticket*in_recharge_comm/12</f>
        <v/>
      </c>
      <c r="BP1656" s="40">
        <f>BP1655*(1-IF(B1655&gt;=in_marketplace_from,d_hz_bills*G1655,0))</f>
        <v/>
      </c>
      <c r="BQ1656" s="40">
        <f>BQ1655*d_rho_bills+BP1656*IF(B1656&gt;=in_marketplace_from,d_hz_bills*G1656,0)</f>
        <v/>
      </c>
      <c r="BR1656" s="14">
        <f>F1656*BQ1656*in_bills_ticket*in_bills_comm/12</f>
        <v/>
      </c>
      <c r="BS1656" s="40">
        <f>BS1655*(1-IF(B1655&gt;=in_marketplace_from,d_hz_loan_gold*G1655,0))</f>
        <v/>
      </c>
      <c r="BT1656" s="14">
        <f>F1656*BS1656*IF(B1656&gt;=in_marketplace_from,d_hz_loan_gold*G1656,0)*in_loan_gold_ticket*in_loan_gold_comm</f>
        <v/>
      </c>
      <c r="BU1656" s="40">
        <f>BU1655*(1-IF(B1655&gt;=in_marketplace_from,d_hz_loan_cd*G1655,0))</f>
        <v/>
      </c>
      <c r="BV1656" s="14">
        <f>F1656*BU1656*IF(B1656&gt;=in_marketplace_from,d_hz_loan_cd*G1656,0)*in_loan_cd_ticket*in_loan_cd_comm</f>
        <v/>
      </c>
      <c r="BW1656" s="40">
        <f>BW1655*(1-IF(B1655&gt;=in_marketplace_from,d_hz_loan_vehicle*G1655,0))</f>
        <v/>
      </c>
      <c r="BX1656" s="14">
        <f>F1656*BW1656*IF(B1656&gt;=in_marketplace_from,d_hz_loan_vehicle*G1656,0)*in_loan_vehicle_ticket*in_loan_vehicle_comm</f>
        <v/>
      </c>
      <c r="BY1656" s="40">
        <f>BY1655*(1-IF(B1655&gt;=in_marketplace_from,d_hz_loan_home*G1655,0)*BZ1655)</f>
        <v/>
      </c>
      <c r="BZ1656" s="11">
        <f>MIN(in_approval_cap,in_loan_home_approval*INDEX('Age profile'!$O$2:$O$61,B1656)*(1+in_approval_growth)^(D1656-1))</f>
        <v/>
      </c>
      <c r="CA1656" s="14">
        <f>F1656*BY1656*IF(B1656&gt;=in_marketplace_from,d_hz_loan_home*G1656,0)*BZ1656*in_loan_home_ticket*in_loan_home_comm</f>
        <v/>
      </c>
      <c r="CB1656" s="40">
        <f>CB1655*(1-IF(B1655&gt;=in_marketplace_from,d_hz_loan_lap*G1655,0)*CC1655)</f>
        <v/>
      </c>
      <c r="CC1656" s="11">
        <f>MIN(in_approval_cap,in_loan_lap_approval*INDEX('Age profile'!$O$2:$O$61,B1656)*(1+in_approval_growth)^(D1656-1))</f>
        <v/>
      </c>
      <c r="CD1656" s="14">
        <f>F1656*CB1656*IF(B1656&gt;=in_marketplace_from,d_hz_loan_lap*G1656,0)*CC1656*in_loan_lap_ticket*in_loan_lap_comm</f>
        <v/>
      </c>
      <c r="CE1656" s="14">
        <f>AA1656+AB1656+AC1656+AD1656+AG1656+AJ1656+AM1656+AP1656+AS1656+AU1656+AX1656+BB1656+BE1656+BG1656+BJ1656+BL1656+BO1656+BR1656+BT1656+BV1656+BX1656+CA1656+CD1656</f>
        <v/>
      </c>
    </row>
    <row r="1657">
      <c r="A1657" s="39" t="n">
        <v>42</v>
      </c>
      <c r="B1657" s="39" t="n">
        <v>16</v>
      </c>
      <c r="C1657" s="39">
        <f>A1657+B1657-1</f>
        <v/>
      </c>
      <c r="D1657" s="39">
        <f>INT((C1657-1)/12)+1</f>
        <v/>
      </c>
      <c r="E1657" s="44">
        <f>INDEX(Monthly!$B$2:$B$61,A1657)</f>
        <v/>
      </c>
      <c r="F1657" s="44">
        <f>E1657*INDEX('Age profile'!$B$2:$B$61,B1657)</f>
        <v/>
      </c>
      <c r="G1657" s="45">
        <f>MIN(in_takeup_cap,INDEX('Age profile'!$N$2:$N$61,B1657)*(1+in_takeup_growth)^(D1657-1))</f>
        <v/>
      </c>
      <c r="H1657" s="11">
        <f>MIN(in_approval_cap,in_approved_first*INDEX('Age profile'!$O$2:$O$61,B1657)*(1+in_approval_growth)^(D1657-1))</f>
        <v/>
      </c>
      <c r="I1657" s="45">
        <f>G1657*MIN(in_takeup_cap,INDEX('Age profile'!$O$2:$O$61,B1657)*(1+in_approval_growth)^(D1657-1))</f>
        <v/>
      </c>
      <c r="J1657" s="40">
        <f>(J1656-L1656)*F1657/F1656</f>
        <v/>
      </c>
      <c r="K1657" s="40">
        <f>(K1656-M1656)*F1657/F1656+SUMIFS(O1642:O1656,B1642:B1656,B1657-1-d_T)*F1657</f>
        <v/>
      </c>
      <c r="L1657" s="40">
        <f>IF(B1657&gt;=in_marketplace_from,J1657*d_hz*G1657*in_eligible*H1657,0)</f>
        <v/>
      </c>
      <c r="M1657" s="40">
        <f>IF(B1657&gt;=in_marketplace_from,K1657*d_hz*G1657*in_eligible*in_approved_repeat,0)</f>
        <v/>
      </c>
      <c r="N1657" s="40">
        <f>L1657+M1657</f>
        <v/>
      </c>
      <c r="O1657" s="46">
        <f>N1657/F1657</f>
        <v/>
      </c>
      <c r="P1657" s="40">
        <f>F1657-J1657-K1657</f>
        <v/>
      </c>
      <c r="Q1657" s="40">
        <f>IF(B1657&gt;=in_marketplace_from,(J1657+K1657)*d_hz*G1657,0)</f>
        <v/>
      </c>
      <c r="R1657" s="40">
        <f>SUMIFS(N1642:N1660,B1642:B1660,"&gt;="&amp;(B1657-d_T),B1642:B1660,"&lt;="&amp;(B1657-1))</f>
        <v/>
      </c>
      <c r="S1657" s="46">
        <f>(1-d_u)*S1656+IF(d_T&gt;in_topup_lag,SUMIFS(O1642:O1660,B1642:B1660,B1657-in_topup_lag)-d_udrop*SUMIFS(O1642:O1660,B1642:B1660,B1657-d_T),0)</f>
        <v/>
      </c>
      <c r="T1657" s="40">
        <f>F1657*d_u*S1657</f>
        <v/>
      </c>
      <c r="U1657" s="9">
        <f>L1657*in_ticket+M1657*d_rep_ticket</f>
        <v/>
      </c>
      <c r="V1657" s="9">
        <f>U1657+T1657*d_topup_amt</f>
        <v/>
      </c>
      <c r="W1657" s="40">
        <f>N1657+T1657*d_topup_ratio</f>
        <v/>
      </c>
      <c r="X1657" s="40">
        <f>SUMIFS(W1642:W1660,B1642:B1660,B1657-in_dpd_lag)*d_cured</f>
        <v/>
      </c>
      <c r="Y1657" s="40">
        <f>SUMIFS(W1642:W1660,B1642:B1660,B1657-in_rec_lag)*d_recd</f>
        <v/>
      </c>
      <c r="Z1657" s="40">
        <f>IF(AND(B1657&gt;=in_marketplace_from,B1657&lt;in_marketplace_from+in_card_months),in_card_share/in_card_months*F1657*I1657,IF(AND(B1657&gt;=in_marketplace_from+in_card_months,B1657&lt;in_marketplace_from+2*in_card_months),in_card_share*d_card_rem/in_card_months*F1657*MIN(in_takeup_cap,(1+in_takeup_growth)^(D1657-1))*MIN(in_takeup_cap,(1+in_approval_growth)^(D1657-1)),0))</f>
        <v/>
      </c>
      <c r="AA1657" s="14">
        <f>V1657*in_fee*(1-in_taken_back)</f>
        <v/>
      </c>
      <c r="AB1657" s="14">
        <f>SUMIFS(W1642:W1660,B1642:B1660,B1657-in_dpd_lag)*d_dpd</f>
        <v/>
      </c>
      <c r="AC1657" s="14">
        <f>SUMIFS(W1642:W1660,B1642:B1660,B1657-in_rec_lag)*d_rec</f>
        <v/>
      </c>
      <c r="AD1657" s="14">
        <f>Z1657*in_card_fee</f>
        <v/>
      </c>
      <c r="AE1657" s="40">
        <f>AE1656*(1-IF(B1656&gt;=in_marketplace_from,d_hz_hlth_small*G1656,0))</f>
        <v/>
      </c>
      <c r="AF1657" s="46">
        <f>AE1657*IF(B1657&gt;=in_marketplace_from,d_hz_hlth_small*G1657,0)</f>
        <v/>
      </c>
      <c r="AG1657" s="14">
        <f>F1657*AF1657*in_hlth_small_ticket*in_hlth_small_comm*in_ins_partner_share+F1657*in_hlth_small_ticket*in_hlth_small_renew_comm*in_ins_partner_share*(in_hlth_small_renew^1*SUMIFS(AF1642:AF1660,B1642:B1660,B1657-12)+in_hlth_small_renew^2*SUMIFS(AF1642:AF1660,B1642:B1660,B1657-24)+in_hlth_small_renew^3*SUMIFS(AF1642:AF1660,B1642:B1660,B1657-36)+in_hlth_small_renew^4*SUMIFS(AF1642:AF1660,B1642:B1660,B1657-48))</f>
        <v/>
      </c>
      <c r="AH1657" s="40">
        <f>AH1656*(1-IF(B1656&gt;=in_marketplace_from,d_hz_hlth_family*G1656,0))</f>
        <v/>
      </c>
      <c r="AI1657" s="46">
        <f>AH1657*IF(B1657&gt;=in_marketplace_from,d_hz_hlth_family*G1657,0)</f>
        <v/>
      </c>
      <c r="AJ1657" s="14">
        <f>F1657*AI1657*in_hlth_family_ticket*in_hlth_family_comm*in_ins_partner_share+F1657*in_hlth_family_ticket*in_hlth_family_renew_comm*in_ins_partner_share*(in_hlth_family_renew^1*SUMIFS(AI1642:AI1660,B1642:B1660,B1657-12)+in_hlth_family_renew^2*SUMIFS(AI1642:AI1660,B1642:B1660,B1657-24)+in_hlth_family_renew^3*SUMIFS(AI1642:AI1660,B1642:B1660,B1657-36)+in_hlth_family_renew^4*SUMIFS(AI1642:AI1660,B1642:B1660,B1657-48))</f>
        <v/>
      </c>
      <c r="AK1657" s="40">
        <f>AK1656*(1-IF(B1656&gt;=in_marketplace_from,d_hz_life_term*G1656,0))</f>
        <v/>
      </c>
      <c r="AL1657" s="46">
        <f>AK1657*IF(B1657&gt;=in_marketplace_from,d_hz_life_term*G1657,0)</f>
        <v/>
      </c>
      <c r="AM1657" s="14">
        <f>F1657*AL1657*in_life_term_ticket*in_life_term_comm*in_ins_partner_share+F1657*in_life_term_ticket*in_life_term_renew_comm*in_ins_partner_share*(in_life_term_renew^1*SUMIFS(AL1642:AL1660,B1642:B1660,B1657-12)+in_life_term_renew^2*SUMIFS(AL1642:AL1660,B1642:B1660,B1657-24)+in_life_term_renew^3*SUMIFS(AL1642:AL1660,B1642:B1660,B1657-36)+in_life_term_renew^4*SUMIFS(AL1642:AL1660,B1642:B1660,B1657-48))</f>
        <v/>
      </c>
      <c r="AN1657" s="40">
        <f>AN1656*(1-IF(B1656&gt;=in_marketplace_from,d_hz_accident*G1656,0))</f>
        <v/>
      </c>
      <c r="AO1657" s="46">
        <f>AN1657*IF(B1657&gt;=in_marketplace_from,d_hz_accident*G1657,0)</f>
        <v/>
      </c>
      <c r="AP1657" s="14">
        <f>F1657*AO1657*in_accident_ticket*in_accident_comm*in_ins_partner_share+F1657*in_accident_ticket*in_accident_renew_comm*in_ins_partner_share*(in_accident_renew^1*SUMIFS(AO1642:AO1660,B1642:B1660,B1657-12)+in_accident_renew^2*SUMIFS(AO1642:AO1660,B1642:B1660,B1657-24)+in_accident_renew^3*SUMIFS(AO1642:AO1660,B1642:B1660,B1657-36)+in_accident_renew^4*SUMIFS(AO1642:AO1660,B1642:B1660,B1657-48))</f>
        <v/>
      </c>
      <c r="AQ1657" s="40">
        <f>AQ1656*(1-IF(B1656&gt;=in_marketplace_from,d_hz_two_wheeler*G1656,0))</f>
        <v/>
      </c>
      <c r="AR1657" s="46">
        <f>AQ1657*IF(B1657&gt;=in_marketplace_from,d_hz_two_wheeler*G1657,0)</f>
        <v/>
      </c>
      <c r="AS1657" s="14">
        <f>F1657*AR1657*in_two_wheeler_ticket*in_two_wheeler_comm*in_ins_partner_share+F1657*in_two_wheeler_ticket*in_two_wheeler_comm*in_ins_partner_share*(in_two_wheeler_renew^1*SUMIFS(AR1642:AR1660,B1642:B1660,B1657-12)+in_two_wheeler_renew^2*SUMIFS(AR1642:AR1660,B1642:B1660,B1657-24)+in_two_wheeler_renew^3*SUMIFS(AR1642:AR1660,B1642:B1660,B1657-36)+in_two_wheeler_renew^4*SUMIFS(AR1642:AR1660,B1642:B1660,B1657-48))</f>
        <v/>
      </c>
      <c r="AT1657" s="40">
        <f>AT1656*(1-IF(B1656&gt;=in_marketplace_from,d_hz_device*G1656,0))</f>
        <v/>
      </c>
      <c r="AU1657" s="14">
        <f>F1657*AT1657*IF(B1657&gt;=in_marketplace_from,d_hz_device*G1657,0)*in_device_ticket*in_device_comm*in_ins_partner_share</f>
        <v/>
      </c>
      <c r="AV1657" s="40">
        <f>AV1656*(1-IF(B1656&gt;=in_marketplace_from,d_hz_shop*G1656,0))</f>
        <v/>
      </c>
      <c r="AW1657" s="46">
        <f>AV1657*IF(B1657&gt;=in_marketplace_from,d_hz_shop*G1657,0)</f>
        <v/>
      </c>
      <c r="AX1657" s="14">
        <f>F1657*AW1657*in_shop_ticket*in_shop_comm*in_ins_partner_share+F1657*in_shop_ticket*in_shop_renew_comm*in_ins_partner_share*(in_shop_renew^1*SUMIFS(AW1642:AW1660,B1642:B1660,B1657-12)+in_shop_renew^2*SUMIFS(AW1642:AW1660,B1642:B1660,B1657-24)+in_shop_renew^3*SUMIFS(AW1642:AW1660,B1642:B1660,B1657-36)+in_shop_renew^4*SUMIFS(AW1642:AW1660,B1642:B1660,B1657-48))</f>
        <v/>
      </c>
      <c r="AY1657" s="40">
        <f>AY1656*(1-IF(B1656&gt;=in_marketplace_from,d_hz_sip*G1656,0))</f>
        <v/>
      </c>
      <c r="AZ1657" s="40">
        <f>AZ1656*d_rho_sip+AY1657*IF(B1657&gt;=in_marketplace_from,d_hz_sip*G1657,0)</f>
        <v/>
      </c>
      <c r="BA1657" s="40">
        <f>d_rho_sip*(BA1656+AZ1656)</f>
        <v/>
      </c>
      <c r="BB1657" s="14">
        <f>F1657*in_sip_ticket*(BA1657+0.5*AZ1657)*in_sip_comm/12</f>
        <v/>
      </c>
      <c r="BC1657" s="40">
        <f>BC1656*(1-IF(B1656&gt;=in_marketplace_from,d_hz_choti*G1656,0))</f>
        <v/>
      </c>
      <c r="BD1657" s="46">
        <f>BC1657*IF(B1657&gt;=in_marketplace_from,d_hz_choti*G1657,0)</f>
        <v/>
      </c>
      <c r="BE1657" s="14">
        <f>F1657*SUMIFS(BD1642:BD1660,B1642:B1660,B1657-in_choti_months)*in_choti_renew*in_choti_ticket</f>
        <v/>
      </c>
      <c r="BF1657" s="40">
        <f>BF1656*(1-IF(B1656&gt;=in_marketplace_from,d_hz_nps*G1656,0))</f>
        <v/>
      </c>
      <c r="BG1657" s="14">
        <f>F1657*BF1657*IF(B1657&gt;=in_marketplace_from,d_hz_nps*G1657,0)*in_nps_ticket*in_nps_comm</f>
        <v/>
      </c>
      <c r="BH1657" s="40">
        <f>BH1656*(1-IF(B1656&gt;=in_marketplace_from,d_hz_gold*G1656,0))</f>
        <v/>
      </c>
      <c r="BI1657" s="40">
        <f>BI1656*d_rho_gold+BH1657*IF(B1657&gt;=in_marketplace_from,d_hz_gold*G1657,0)</f>
        <v/>
      </c>
      <c r="BJ1657" s="14">
        <f>F1657*BI1657*in_gold_ticket*in_gold_comm</f>
        <v/>
      </c>
      <c r="BK1657" s="40">
        <f>BK1656*(1-IF(B1656&gt;=in_marketplace_from,d_hz_fd*G1656,0))</f>
        <v/>
      </c>
      <c r="BL1657" s="14">
        <f>F1657*BK1657*IF(B1657&gt;=in_marketplace_from,d_hz_fd*G1657,0)*in_fd_ticket*in_fd_comm</f>
        <v/>
      </c>
      <c r="BM1657" s="40">
        <f>BM1656*(1-IF(B1656&gt;=in_marketplace_from,d_hz_recharge*G1656,0))</f>
        <v/>
      </c>
      <c r="BN1657" s="40">
        <f>BN1656*d_rho_recharge+BM1657*IF(B1657&gt;=in_marketplace_from,d_hz_recharge*G1657,0)</f>
        <v/>
      </c>
      <c r="BO1657" s="14">
        <f>F1657*BN1657*in_recharge_ticket*in_recharge_comm/12</f>
        <v/>
      </c>
      <c r="BP1657" s="40">
        <f>BP1656*(1-IF(B1656&gt;=in_marketplace_from,d_hz_bills*G1656,0))</f>
        <v/>
      </c>
      <c r="BQ1657" s="40">
        <f>BQ1656*d_rho_bills+BP1657*IF(B1657&gt;=in_marketplace_from,d_hz_bills*G1657,0)</f>
        <v/>
      </c>
      <c r="BR1657" s="14">
        <f>F1657*BQ1657*in_bills_ticket*in_bills_comm/12</f>
        <v/>
      </c>
      <c r="BS1657" s="40">
        <f>BS1656*(1-IF(B1656&gt;=in_marketplace_from,d_hz_loan_gold*G1656,0))</f>
        <v/>
      </c>
      <c r="BT1657" s="14">
        <f>F1657*BS1657*IF(B1657&gt;=in_marketplace_from,d_hz_loan_gold*G1657,0)*in_loan_gold_ticket*in_loan_gold_comm</f>
        <v/>
      </c>
      <c r="BU1657" s="40">
        <f>BU1656*(1-IF(B1656&gt;=in_marketplace_from,d_hz_loan_cd*G1656,0))</f>
        <v/>
      </c>
      <c r="BV1657" s="14">
        <f>F1657*BU1657*IF(B1657&gt;=in_marketplace_from,d_hz_loan_cd*G1657,0)*in_loan_cd_ticket*in_loan_cd_comm</f>
        <v/>
      </c>
      <c r="BW1657" s="40">
        <f>BW1656*(1-IF(B1656&gt;=in_marketplace_from,d_hz_loan_vehicle*G1656,0))</f>
        <v/>
      </c>
      <c r="BX1657" s="14">
        <f>F1657*BW1657*IF(B1657&gt;=in_marketplace_from,d_hz_loan_vehicle*G1657,0)*in_loan_vehicle_ticket*in_loan_vehicle_comm</f>
        <v/>
      </c>
      <c r="BY1657" s="40">
        <f>BY1656*(1-IF(B1656&gt;=in_marketplace_from,d_hz_loan_home*G1656,0)*BZ1656)</f>
        <v/>
      </c>
      <c r="BZ1657" s="11">
        <f>MIN(in_approval_cap,in_loan_home_approval*INDEX('Age profile'!$O$2:$O$61,B1657)*(1+in_approval_growth)^(D1657-1))</f>
        <v/>
      </c>
      <c r="CA1657" s="14">
        <f>F1657*BY1657*IF(B1657&gt;=in_marketplace_from,d_hz_loan_home*G1657,0)*BZ1657*in_loan_home_ticket*in_loan_home_comm</f>
        <v/>
      </c>
      <c r="CB1657" s="40">
        <f>CB1656*(1-IF(B1656&gt;=in_marketplace_from,d_hz_loan_lap*G1656,0)*CC1656)</f>
        <v/>
      </c>
      <c r="CC1657" s="11">
        <f>MIN(in_approval_cap,in_loan_lap_approval*INDEX('Age profile'!$O$2:$O$61,B1657)*(1+in_approval_growth)^(D1657-1))</f>
        <v/>
      </c>
      <c r="CD1657" s="14">
        <f>F1657*CB1657*IF(B1657&gt;=in_marketplace_from,d_hz_loan_lap*G1657,0)*CC1657*in_loan_lap_ticket*in_loan_lap_comm</f>
        <v/>
      </c>
      <c r="CE1657" s="14">
        <f>AA1657+AB1657+AC1657+AD1657+AG1657+AJ1657+AM1657+AP1657+AS1657+AU1657+AX1657+BB1657+BE1657+BG1657+BJ1657+BL1657+BO1657+BR1657+BT1657+BV1657+BX1657+CA1657+CD1657</f>
        <v/>
      </c>
    </row>
    <row r="1658">
      <c r="A1658" s="39" t="n">
        <v>42</v>
      </c>
      <c r="B1658" s="39" t="n">
        <v>17</v>
      </c>
      <c r="C1658" s="39">
        <f>A1658+B1658-1</f>
        <v/>
      </c>
      <c r="D1658" s="39">
        <f>INT((C1658-1)/12)+1</f>
        <v/>
      </c>
      <c r="E1658" s="44">
        <f>INDEX(Monthly!$B$2:$B$61,A1658)</f>
        <v/>
      </c>
      <c r="F1658" s="44">
        <f>E1658*INDEX('Age profile'!$B$2:$B$61,B1658)</f>
        <v/>
      </c>
      <c r="G1658" s="45">
        <f>MIN(in_takeup_cap,INDEX('Age profile'!$N$2:$N$61,B1658)*(1+in_takeup_growth)^(D1658-1))</f>
        <v/>
      </c>
      <c r="H1658" s="11">
        <f>MIN(in_approval_cap,in_approved_first*INDEX('Age profile'!$O$2:$O$61,B1658)*(1+in_approval_growth)^(D1658-1))</f>
        <v/>
      </c>
      <c r="I1658" s="45">
        <f>G1658*MIN(in_takeup_cap,INDEX('Age profile'!$O$2:$O$61,B1658)*(1+in_approval_growth)^(D1658-1))</f>
        <v/>
      </c>
      <c r="J1658" s="40">
        <f>(J1657-L1657)*F1658/F1657</f>
        <v/>
      </c>
      <c r="K1658" s="40">
        <f>(K1657-M1657)*F1658/F1657+SUMIFS(O1642:O1657,B1642:B1657,B1658-1-d_T)*F1658</f>
        <v/>
      </c>
      <c r="L1658" s="40">
        <f>IF(B1658&gt;=in_marketplace_from,J1658*d_hz*G1658*in_eligible*H1658,0)</f>
        <v/>
      </c>
      <c r="M1658" s="40">
        <f>IF(B1658&gt;=in_marketplace_from,K1658*d_hz*G1658*in_eligible*in_approved_repeat,0)</f>
        <v/>
      </c>
      <c r="N1658" s="40">
        <f>L1658+M1658</f>
        <v/>
      </c>
      <c r="O1658" s="46">
        <f>N1658/F1658</f>
        <v/>
      </c>
      <c r="P1658" s="40">
        <f>F1658-J1658-K1658</f>
        <v/>
      </c>
      <c r="Q1658" s="40">
        <f>IF(B1658&gt;=in_marketplace_from,(J1658+K1658)*d_hz*G1658,0)</f>
        <v/>
      </c>
      <c r="R1658" s="40">
        <f>SUMIFS(N1642:N1660,B1642:B1660,"&gt;="&amp;(B1658-d_T),B1642:B1660,"&lt;="&amp;(B1658-1))</f>
        <v/>
      </c>
      <c r="S1658" s="46">
        <f>(1-d_u)*S1657+IF(d_T&gt;in_topup_lag,SUMIFS(O1642:O1660,B1642:B1660,B1658-in_topup_lag)-d_udrop*SUMIFS(O1642:O1660,B1642:B1660,B1658-d_T),0)</f>
        <v/>
      </c>
      <c r="T1658" s="40">
        <f>F1658*d_u*S1658</f>
        <v/>
      </c>
      <c r="U1658" s="9">
        <f>L1658*in_ticket+M1658*d_rep_ticket</f>
        <v/>
      </c>
      <c r="V1658" s="9">
        <f>U1658+T1658*d_topup_amt</f>
        <v/>
      </c>
      <c r="W1658" s="40">
        <f>N1658+T1658*d_topup_ratio</f>
        <v/>
      </c>
      <c r="X1658" s="40">
        <f>SUMIFS(W1642:W1660,B1642:B1660,B1658-in_dpd_lag)*d_cured</f>
        <v/>
      </c>
      <c r="Y1658" s="40">
        <f>SUMIFS(W1642:W1660,B1642:B1660,B1658-in_rec_lag)*d_recd</f>
        <v/>
      </c>
      <c r="Z1658" s="40">
        <f>IF(AND(B1658&gt;=in_marketplace_from,B1658&lt;in_marketplace_from+in_card_months),in_card_share/in_card_months*F1658*I1658,IF(AND(B1658&gt;=in_marketplace_from+in_card_months,B1658&lt;in_marketplace_from+2*in_card_months),in_card_share*d_card_rem/in_card_months*F1658*MIN(in_takeup_cap,(1+in_takeup_growth)^(D1658-1))*MIN(in_takeup_cap,(1+in_approval_growth)^(D1658-1)),0))</f>
        <v/>
      </c>
      <c r="AA1658" s="14">
        <f>V1658*in_fee*(1-in_taken_back)</f>
        <v/>
      </c>
      <c r="AB1658" s="14">
        <f>SUMIFS(W1642:W1660,B1642:B1660,B1658-in_dpd_lag)*d_dpd</f>
        <v/>
      </c>
      <c r="AC1658" s="14">
        <f>SUMIFS(W1642:W1660,B1642:B1660,B1658-in_rec_lag)*d_rec</f>
        <v/>
      </c>
      <c r="AD1658" s="14">
        <f>Z1658*in_card_fee</f>
        <v/>
      </c>
      <c r="AE1658" s="40">
        <f>AE1657*(1-IF(B1657&gt;=in_marketplace_from,d_hz_hlth_small*G1657,0))</f>
        <v/>
      </c>
      <c r="AF1658" s="46">
        <f>AE1658*IF(B1658&gt;=in_marketplace_from,d_hz_hlth_small*G1658,0)</f>
        <v/>
      </c>
      <c r="AG1658" s="14">
        <f>F1658*AF1658*in_hlth_small_ticket*in_hlth_small_comm*in_ins_partner_share+F1658*in_hlth_small_ticket*in_hlth_small_renew_comm*in_ins_partner_share*(in_hlth_small_renew^1*SUMIFS(AF1642:AF1660,B1642:B1660,B1658-12)+in_hlth_small_renew^2*SUMIFS(AF1642:AF1660,B1642:B1660,B1658-24)+in_hlth_small_renew^3*SUMIFS(AF1642:AF1660,B1642:B1660,B1658-36)+in_hlth_small_renew^4*SUMIFS(AF1642:AF1660,B1642:B1660,B1658-48))</f>
        <v/>
      </c>
      <c r="AH1658" s="40">
        <f>AH1657*(1-IF(B1657&gt;=in_marketplace_from,d_hz_hlth_family*G1657,0))</f>
        <v/>
      </c>
      <c r="AI1658" s="46">
        <f>AH1658*IF(B1658&gt;=in_marketplace_from,d_hz_hlth_family*G1658,0)</f>
        <v/>
      </c>
      <c r="AJ1658" s="14">
        <f>F1658*AI1658*in_hlth_family_ticket*in_hlth_family_comm*in_ins_partner_share+F1658*in_hlth_family_ticket*in_hlth_family_renew_comm*in_ins_partner_share*(in_hlth_family_renew^1*SUMIFS(AI1642:AI1660,B1642:B1660,B1658-12)+in_hlth_family_renew^2*SUMIFS(AI1642:AI1660,B1642:B1660,B1658-24)+in_hlth_family_renew^3*SUMIFS(AI1642:AI1660,B1642:B1660,B1658-36)+in_hlth_family_renew^4*SUMIFS(AI1642:AI1660,B1642:B1660,B1658-48))</f>
        <v/>
      </c>
      <c r="AK1658" s="40">
        <f>AK1657*(1-IF(B1657&gt;=in_marketplace_from,d_hz_life_term*G1657,0))</f>
        <v/>
      </c>
      <c r="AL1658" s="46">
        <f>AK1658*IF(B1658&gt;=in_marketplace_from,d_hz_life_term*G1658,0)</f>
        <v/>
      </c>
      <c r="AM1658" s="14">
        <f>F1658*AL1658*in_life_term_ticket*in_life_term_comm*in_ins_partner_share+F1658*in_life_term_ticket*in_life_term_renew_comm*in_ins_partner_share*(in_life_term_renew^1*SUMIFS(AL1642:AL1660,B1642:B1660,B1658-12)+in_life_term_renew^2*SUMIFS(AL1642:AL1660,B1642:B1660,B1658-24)+in_life_term_renew^3*SUMIFS(AL1642:AL1660,B1642:B1660,B1658-36)+in_life_term_renew^4*SUMIFS(AL1642:AL1660,B1642:B1660,B1658-48))</f>
        <v/>
      </c>
      <c r="AN1658" s="40">
        <f>AN1657*(1-IF(B1657&gt;=in_marketplace_from,d_hz_accident*G1657,0))</f>
        <v/>
      </c>
      <c r="AO1658" s="46">
        <f>AN1658*IF(B1658&gt;=in_marketplace_from,d_hz_accident*G1658,0)</f>
        <v/>
      </c>
      <c r="AP1658" s="14">
        <f>F1658*AO1658*in_accident_ticket*in_accident_comm*in_ins_partner_share+F1658*in_accident_ticket*in_accident_renew_comm*in_ins_partner_share*(in_accident_renew^1*SUMIFS(AO1642:AO1660,B1642:B1660,B1658-12)+in_accident_renew^2*SUMIFS(AO1642:AO1660,B1642:B1660,B1658-24)+in_accident_renew^3*SUMIFS(AO1642:AO1660,B1642:B1660,B1658-36)+in_accident_renew^4*SUMIFS(AO1642:AO1660,B1642:B1660,B1658-48))</f>
        <v/>
      </c>
      <c r="AQ1658" s="40">
        <f>AQ1657*(1-IF(B1657&gt;=in_marketplace_from,d_hz_two_wheeler*G1657,0))</f>
        <v/>
      </c>
      <c r="AR1658" s="46">
        <f>AQ1658*IF(B1658&gt;=in_marketplace_from,d_hz_two_wheeler*G1658,0)</f>
        <v/>
      </c>
      <c r="AS1658" s="14">
        <f>F1658*AR1658*in_two_wheeler_ticket*in_two_wheeler_comm*in_ins_partner_share+F1658*in_two_wheeler_ticket*in_two_wheeler_comm*in_ins_partner_share*(in_two_wheeler_renew^1*SUMIFS(AR1642:AR1660,B1642:B1660,B1658-12)+in_two_wheeler_renew^2*SUMIFS(AR1642:AR1660,B1642:B1660,B1658-24)+in_two_wheeler_renew^3*SUMIFS(AR1642:AR1660,B1642:B1660,B1658-36)+in_two_wheeler_renew^4*SUMIFS(AR1642:AR1660,B1642:B1660,B1658-48))</f>
        <v/>
      </c>
      <c r="AT1658" s="40">
        <f>AT1657*(1-IF(B1657&gt;=in_marketplace_from,d_hz_device*G1657,0))</f>
        <v/>
      </c>
      <c r="AU1658" s="14">
        <f>F1658*AT1658*IF(B1658&gt;=in_marketplace_from,d_hz_device*G1658,0)*in_device_ticket*in_device_comm*in_ins_partner_share</f>
        <v/>
      </c>
      <c r="AV1658" s="40">
        <f>AV1657*(1-IF(B1657&gt;=in_marketplace_from,d_hz_shop*G1657,0))</f>
        <v/>
      </c>
      <c r="AW1658" s="46">
        <f>AV1658*IF(B1658&gt;=in_marketplace_from,d_hz_shop*G1658,0)</f>
        <v/>
      </c>
      <c r="AX1658" s="14">
        <f>F1658*AW1658*in_shop_ticket*in_shop_comm*in_ins_partner_share+F1658*in_shop_ticket*in_shop_renew_comm*in_ins_partner_share*(in_shop_renew^1*SUMIFS(AW1642:AW1660,B1642:B1660,B1658-12)+in_shop_renew^2*SUMIFS(AW1642:AW1660,B1642:B1660,B1658-24)+in_shop_renew^3*SUMIFS(AW1642:AW1660,B1642:B1660,B1658-36)+in_shop_renew^4*SUMIFS(AW1642:AW1660,B1642:B1660,B1658-48))</f>
        <v/>
      </c>
      <c r="AY1658" s="40">
        <f>AY1657*(1-IF(B1657&gt;=in_marketplace_from,d_hz_sip*G1657,0))</f>
        <v/>
      </c>
      <c r="AZ1658" s="40">
        <f>AZ1657*d_rho_sip+AY1658*IF(B1658&gt;=in_marketplace_from,d_hz_sip*G1658,0)</f>
        <v/>
      </c>
      <c r="BA1658" s="40">
        <f>d_rho_sip*(BA1657+AZ1657)</f>
        <v/>
      </c>
      <c r="BB1658" s="14">
        <f>F1658*in_sip_ticket*(BA1658+0.5*AZ1658)*in_sip_comm/12</f>
        <v/>
      </c>
      <c r="BC1658" s="40">
        <f>BC1657*(1-IF(B1657&gt;=in_marketplace_from,d_hz_choti*G1657,0))</f>
        <v/>
      </c>
      <c r="BD1658" s="46">
        <f>BC1658*IF(B1658&gt;=in_marketplace_from,d_hz_choti*G1658,0)</f>
        <v/>
      </c>
      <c r="BE1658" s="14">
        <f>F1658*SUMIFS(BD1642:BD1660,B1642:B1660,B1658-in_choti_months)*in_choti_renew*in_choti_ticket</f>
        <v/>
      </c>
      <c r="BF1658" s="40">
        <f>BF1657*(1-IF(B1657&gt;=in_marketplace_from,d_hz_nps*G1657,0))</f>
        <v/>
      </c>
      <c r="BG1658" s="14">
        <f>F1658*BF1658*IF(B1658&gt;=in_marketplace_from,d_hz_nps*G1658,0)*in_nps_ticket*in_nps_comm</f>
        <v/>
      </c>
      <c r="BH1658" s="40">
        <f>BH1657*(1-IF(B1657&gt;=in_marketplace_from,d_hz_gold*G1657,0))</f>
        <v/>
      </c>
      <c r="BI1658" s="40">
        <f>BI1657*d_rho_gold+BH1658*IF(B1658&gt;=in_marketplace_from,d_hz_gold*G1658,0)</f>
        <v/>
      </c>
      <c r="BJ1658" s="14">
        <f>F1658*BI1658*in_gold_ticket*in_gold_comm</f>
        <v/>
      </c>
      <c r="BK1658" s="40">
        <f>BK1657*(1-IF(B1657&gt;=in_marketplace_from,d_hz_fd*G1657,0))</f>
        <v/>
      </c>
      <c r="BL1658" s="14">
        <f>F1658*BK1658*IF(B1658&gt;=in_marketplace_from,d_hz_fd*G1658,0)*in_fd_ticket*in_fd_comm</f>
        <v/>
      </c>
      <c r="BM1658" s="40">
        <f>BM1657*(1-IF(B1657&gt;=in_marketplace_from,d_hz_recharge*G1657,0))</f>
        <v/>
      </c>
      <c r="BN1658" s="40">
        <f>BN1657*d_rho_recharge+BM1658*IF(B1658&gt;=in_marketplace_from,d_hz_recharge*G1658,0)</f>
        <v/>
      </c>
      <c r="BO1658" s="14">
        <f>F1658*BN1658*in_recharge_ticket*in_recharge_comm/12</f>
        <v/>
      </c>
      <c r="BP1658" s="40">
        <f>BP1657*(1-IF(B1657&gt;=in_marketplace_from,d_hz_bills*G1657,0))</f>
        <v/>
      </c>
      <c r="BQ1658" s="40">
        <f>BQ1657*d_rho_bills+BP1658*IF(B1658&gt;=in_marketplace_from,d_hz_bills*G1658,0)</f>
        <v/>
      </c>
      <c r="BR1658" s="14">
        <f>F1658*BQ1658*in_bills_ticket*in_bills_comm/12</f>
        <v/>
      </c>
      <c r="BS1658" s="40">
        <f>BS1657*(1-IF(B1657&gt;=in_marketplace_from,d_hz_loan_gold*G1657,0))</f>
        <v/>
      </c>
      <c r="BT1658" s="14">
        <f>F1658*BS1658*IF(B1658&gt;=in_marketplace_from,d_hz_loan_gold*G1658,0)*in_loan_gold_ticket*in_loan_gold_comm</f>
        <v/>
      </c>
      <c r="BU1658" s="40">
        <f>BU1657*(1-IF(B1657&gt;=in_marketplace_from,d_hz_loan_cd*G1657,0))</f>
        <v/>
      </c>
      <c r="BV1658" s="14">
        <f>F1658*BU1658*IF(B1658&gt;=in_marketplace_from,d_hz_loan_cd*G1658,0)*in_loan_cd_ticket*in_loan_cd_comm</f>
        <v/>
      </c>
      <c r="BW1658" s="40">
        <f>BW1657*(1-IF(B1657&gt;=in_marketplace_from,d_hz_loan_vehicle*G1657,0))</f>
        <v/>
      </c>
      <c r="BX1658" s="14">
        <f>F1658*BW1658*IF(B1658&gt;=in_marketplace_from,d_hz_loan_vehicle*G1658,0)*in_loan_vehicle_ticket*in_loan_vehicle_comm</f>
        <v/>
      </c>
      <c r="BY1658" s="40">
        <f>BY1657*(1-IF(B1657&gt;=in_marketplace_from,d_hz_loan_home*G1657,0)*BZ1657)</f>
        <v/>
      </c>
      <c r="BZ1658" s="11">
        <f>MIN(in_approval_cap,in_loan_home_approval*INDEX('Age profile'!$O$2:$O$61,B1658)*(1+in_approval_growth)^(D1658-1))</f>
        <v/>
      </c>
      <c r="CA1658" s="14">
        <f>F1658*BY1658*IF(B1658&gt;=in_marketplace_from,d_hz_loan_home*G1658,0)*BZ1658*in_loan_home_ticket*in_loan_home_comm</f>
        <v/>
      </c>
      <c r="CB1658" s="40">
        <f>CB1657*(1-IF(B1657&gt;=in_marketplace_from,d_hz_loan_lap*G1657,0)*CC1657)</f>
        <v/>
      </c>
      <c r="CC1658" s="11">
        <f>MIN(in_approval_cap,in_loan_lap_approval*INDEX('Age profile'!$O$2:$O$61,B1658)*(1+in_approval_growth)^(D1658-1))</f>
        <v/>
      </c>
      <c r="CD1658" s="14">
        <f>F1658*CB1658*IF(B1658&gt;=in_marketplace_from,d_hz_loan_lap*G1658,0)*CC1658*in_loan_lap_ticket*in_loan_lap_comm</f>
        <v/>
      </c>
      <c r="CE1658" s="14">
        <f>AA1658+AB1658+AC1658+AD1658+AG1658+AJ1658+AM1658+AP1658+AS1658+AU1658+AX1658+BB1658+BE1658+BG1658+BJ1658+BL1658+BO1658+BR1658+BT1658+BV1658+BX1658+CA1658+CD1658</f>
        <v/>
      </c>
    </row>
    <row r="1659">
      <c r="A1659" s="39" t="n">
        <v>42</v>
      </c>
      <c r="B1659" s="39" t="n">
        <v>18</v>
      </c>
      <c r="C1659" s="39">
        <f>A1659+B1659-1</f>
        <v/>
      </c>
      <c r="D1659" s="39">
        <f>INT((C1659-1)/12)+1</f>
        <v/>
      </c>
      <c r="E1659" s="44">
        <f>INDEX(Monthly!$B$2:$B$61,A1659)</f>
        <v/>
      </c>
      <c r="F1659" s="44">
        <f>E1659*INDEX('Age profile'!$B$2:$B$61,B1659)</f>
        <v/>
      </c>
      <c r="G1659" s="45">
        <f>MIN(in_takeup_cap,INDEX('Age profile'!$N$2:$N$61,B1659)*(1+in_takeup_growth)^(D1659-1))</f>
        <v/>
      </c>
      <c r="H1659" s="11">
        <f>MIN(in_approval_cap,in_approved_first*INDEX('Age profile'!$O$2:$O$61,B1659)*(1+in_approval_growth)^(D1659-1))</f>
        <v/>
      </c>
      <c r="I1659" s="45">
        <f>G1659*MIN(in_takeup_cap,INDEX('Age profile'!$O$2:$O$61,B1659)*(1+in_approval_growth)^(D1659-1))</f>
        <v/>
      </c>
      <c r="J1659" s="40">
        <f>(J1658-L1658)*F1659/F1658</f>
        <v/>
      </c>
      <c r="K1659" s="40">
        <f>(K1658-M1658)*F1659/F1658+SUMIFS(O1642:O1658,B1642:B1658,B1659-1-d_T)*F1659</f>
        <v/>
      </c>
      <c r="L1659" s="40">
        <f>IF(B1659&gt;=in_marketplace_from,J1659*d_hz*G1659*in_eligible*H1659,0)</f>
        <v/>
      </c>
      <c r="M1659" s="40">
        <f>IF(B1659&gt;=in_marketplace_from,K1659*d_hz*G1659*in_eligible*in_approved_repeat,0)</f>
        <v/>
      </c>
      <c r="N1659" s="40">
        <f>L1659+M1659</f>
        <v/>
      </c>
      <c r="O1659" s="46">
        <f>N1659/F1659</f>
        <v/>
      </c>
      <c r="P1659" s="40">
        <f>F1659-J1659-K1659</f>
        <v/>
      </c>
      <c r="Q1659" s="40">
        <f>IF(B1659&gt;=in_marketplace_from,(J1659+K1659)*d_hz*G1659,0)</f>
        <v/>
      </c>
      <c r="R1659" s="40">
        <f>SUMIFS(N1642:N1660,B1642:B1660,"&gt;="&amp;(B1659-d_T),B1642:B1660,"&lt;="&amp;(B1659-1))</f>
        <v/>
      </c>
      <c r="S1659" s="46">
        <f>(1-d_u)*S1658+IF(d_T&gt;in_topup_lag,SUMIFS(O1642:O1660,B1642:B1660,B1659-in_topup_lag)-d_udrop*SUMIFS(O1642:O1660,B1642:B1660,B1659-d_T),0)</f>
        <v/>
      </c>
      <c r="T1659" s="40">
        <f>F1659*d_u*S1659</f>
        <v/>
      </c>
      <c r="U1659" s="9">
        <f>L1659*in_ticket+M1659*d_rep_ticket</f>
        <v/>
      </c>
      <c r="V1659" s="9">
        <f>U1659+T1659*d_topup_amt</f>
        <v/>
      </c>
      <c r="W1659" s="40">
        <f>N1659+T1659*d_topup_ratio</f>
        <v/>
      </c>
      <c r="X1659" s="40">
        <f>SUMIFS(W1642:W1660,B1642:B1660,B1659-in_dpd_lag)*d_cured</f>
        <v/>
      </c>
      <c r="Y1659" s="40">
        <f>SUMIFS(W1642:W1660,B1642:B1660,B1659-in_rec_lag)*d_recd</f>
        <v/>
      </c>
      <c r="Z1659" s="40">
        <f>IF(AND(B1659&gt;=in_marketplace_from,B1659&lt;in_marketplace_from+in_card_months),in_card_share/in_card_months*F1659*I1659,IF(AND(B1659&gt;=in_marketplace_from+in_card_months,B1659&lt;in_marketplace_from+2*in_card_months),in_card_share*d_card_rem/in_card_months*F1659*MIN(in_takeup_cap,(1+in_takeup_growth)^(D1659-1))*MIN(in_takeup_cap,(1+in_approval_growth)^(D1659-1)),0))</f>
        <v/>
      </c>
      <c r="AA1659" s="14">
        <f>V1659*in_fee*(1-in_taken_back)</f>
        <v/>
      </c>
      <c r="AB1659" s="14">
        <f>SUMIFS(W1642:W1660,B1642:B1660,B1659-in_dpd_lag)*d_dpd</f>
        <v/>
      </c>
      <c r="AC1659" s="14">
        <f>SUMIFS(W1642:W1660,B1642:B1660,B1659-in_rec_lag)*d_rec</f>
        <v/>
      </c>
      <c r="AD1659" s="14">
        <f>Z1659*in_card_fee</f>
        <v/>
      </c>
      <c r="AE1659" s="40">
        <f>AE1658*(1-IF(B1658&gt;=in_marketplace_from,d_hz_hlth_small*G1658,0))</f>
        <v/>
      </c>
      <c r="AF1659" s="46">
        <f>AE1659*IF(B1659&gt;=in_marketplace_from,d_hz_hlth_small*G1659,0)</f>
        <v/>
      </c>
      <c r="AG1659" s="14">
        <f>F1659*AF1659*in_hlth_small_ticket*in_hlth_small_comm*in_ins_partner_share+F1659*in_hlth_small_ticket*in_hlth_small_renew_comm*in_ins_partner_share*(in_hlth_small_renew^1*SUMIFS(AF1642:AF1660,B1642:B1660,B1659-12)+in_hlth_small_renew^2*SUMIFS(AF1642:AF1660,B1642:B1660,B1659-24)+in_hlth_small_renew^3*SUMIFS(AF1642:AF1660,B1642:B1660,B1659-36)+in_hlth_small_renew^4*SUMIFS(AF1642:AF1660,B1642:B1660,B1659-48))</f>
        <v/>
      </c>
      <c r="AH1659" s="40">
        <f>AH1658*(1-IF(B1658&gt;=in_marketplace_from,d_hz_hlth_family*G1658,0))</f>
        <v/>
      </c>
      <c r="AI1659" s="46">
        <f>AH1659*IF(B1659&gt;=in_marketplace_from,d_hz_hlth_family*G1659,0)</f>
        <v/>
      </c>
      <c r="AJ1659" s="14">
        <f>F1659*AI1659*in_hlth_family_ticket*in_hlth_family_comm*in_ins_partner_share+F1659*in_hlth_family_ticket*in_hlth_family_renew_comm*in_ins_partner_share*(in_hlth_family_renew^1*SUMIFS(AI1642:AI1660,B1642:B1660,B1659-12)+in_hlth_family_renew^2*SUMIFS(AI1642:AI1660,B1642:B1660,B1659-24)+in_hlth_family_renew^3*SUMIFS(AI1642:AI1660,B1642:B1660,B1659-36)+in_hlth_family_renew^4*SUMIFS(AI1642:AI1660,B1642:B1660,B1659-48))</f>
        <v/>
      </c>
      <c r="AK1659" s="40">
        <f>AK1658*(1-IF(B1658&gt;=in_marketplace_from,d_hz_life_term*G1658,0))</f>
        <v/>
      </c>
      <c r="AL1659" s="46">
        <f>AK1659*IF(B1659&gt;=in_marketplace_from,d_hz_life_term*G1659,0)</f>
        <v/>
      </c>
      <c r="AM1659" s="14">
        <f>F1659*AL1659*in_life_term_ticket*in_life_term_comm*in_ins_partner_share+F1659*in_life_term_ticket*in_life_term_renew_comm*in_ins_partner_share*(in_life_term_renew^1*SUMIFS(AL1642:AL1660,B1642:B1660,B1659-12)+in_life_term_renew^2*SUMIFS(AL1642:AL1660,B1642:B1660,B1659-24)+in_life_term_renew^3*SUMIFS(AL1642:AL1660,B1642:B1660,B1659-36)+in_life_term_renew^4*SUMIFS(AL1642:AL1660,B1642:B1660,B1659-48))</f>
        <v/>
      </c>
      <c r="AN1659" s="40">
        <f>AN1658*(1-IF(B1658&gt;=in_marketplace_from,d_hz_accident*G1658,0))</f>
        <v/>
      </c>
      <c r="AO1659" s="46">
        <f>AN1659*IF(B1659&gt;=in_marketplace_from,d_hz_accident*G1659,0)</f>
        <v/>
      </c>
      <c r="AP1659" s="14">
        <f>F1659*AO1659*in_accident_ticket*in_accident_comm*in_ins_partner_share+F1659*in_accident_ticket*in_accident_renew_comm*in_ins_partner_share*(in_accident_renew^1*SUMIFS(AO1642:AO1660,B1642:B1660,B1659-12)+in_accident_renew^2*SUMIFS(AO1642:AO1660,B1642:B1660,B1659-24)+in_accident_renew^3*SUMIFS(AO1642:AO1660,B1642:B1660,B1659-36)+in_accident_renew^4*SUMIFS(AO1642:AO1660,B1642:B1660,B1659-48))</f>
        <v/>
      </c>
      <c r="AQ1659" s="40">
        <f>AQ1658*(1-IF(B1658&gt;=in_marketplace_from,d_hz_two_wheeler*G1658,0))</f>
        <v/>
      </c>
      <c r="AR1659" s="46">
        <f>AQ1659*IF(B1659&gt;=in_marketplace_from,d_hz_two_wheeler*G1659,0)</f>
        <v/>
      </c>
      <c r="AS1659" s="14">
        <f>F1659*AR1659*in_two_wheeler_ticket*in_two_wheeler_comm*in_ins_partner_share+F1659*in_two_wheeler_ticket*in_two_wheeler_comm*in_ins_partner_share*(in_two_wheeler_renew^1*SUMIFS(AR1642:AR1660,B1642:B1660,B1659-12)+in_two_wheeler_renew^2*SUMIFS(AR1642:AR1660,B1642:B1660,B1659-24)+in_two_wheeler_renew^3*SUMIFS(AR1642:AR1660,B1642:B1660,B1659-36)+in_two_wheeler_renew^4*SUMIFS(AR1642:AR1660,B1642:B1660,B1659-48))</f>
        <v/>
      </c>
      <c r="AT1659" s="40">
        <f>AT1658*(1-IF(B1658&gt;=in_marketplace_from,d_hz_device*G1658,0))</f>
        <v/>
      </c>
      <c r="AU1659" s="14">
        <f>F1659*AT1659*IF(B1659&gt;=in_marketplace_from,d_hz_device*G1659,0)*in_device_ticket*in_device_comm*in_ins_partner_share</f>
        <v/>
      </c>
      <c r="AV1659" s="40">
        <f>AV1658*(1-IF(B1658&gt;=in_marketplace_from,d_hz_shop*G1658,0))</f>
        <v/>
      </c>
      <c r="AW1659" s="46">
        <f>AV1659*IF(B1659&gt;=in_marketplace_from,d_hz_shop*G1659,0)</f>
        <v/>
      </c>
      <c r="AX1659" s="14">
        <f>F1659*AW1659*in_shop_ticket*in_shop_comm*in_ins_partner_share+F1659*in_shop_ticket*in_shop_renew_comm*in_ins_partner_share*(in_shop_renew^1*SUMIFS(AW1642:AW1660,B1642:B1660,B1659-12)+in_shop_renew^2*SUMIFS(AW1642:AW1660,B1642:B1660,B1659-24)+in_shop_renew^3*SUMIFS(AW1642:AW1660,B1642:B1660,B1659-36)+in_shop_renew^4*SUMIFS(AW1642:AW1660,B1642:B1660,B1659-48))</f>
        <v/>
      </c>
      <c r="AY1659" s="40">
        <f>AY1658*(1-IF(B1658&gt;=in_marketplace_from,d_hz_sip*G1658,0))</f>
        <v/>
      </c>
      <c r="AZ1659" s="40">
        <f>AZ1658*d_rho_sip+AY1659*IF(B1659&gt;=in_marketplace_from,d_hz_sip*G1659,0)</f>
        <v/>
      </c>
      <c r="BA1659" s="40">
        <f>d_rho_sip*(BA1658+AZ1658)</f>
        <v/>
      </c>
      <c r="BB1659" s="14">
        <f>F1659*in_sip_ticket*(BA1659+0.5*AZ1659)*in_sip_comm/12</f>
        <v/>
      </c>
      <c r="BC1659" s="40">
        <f>BC1658*(1-IF(B1658&gt;=in_marketplace_from,d_hz_choti*G1658,0))</f>
        <v/>
      </c>
      <c r="BD1659" s="46">
        <f>BC1659*IF(B1659&gt;=in_marketplace_from,d_hz_choti*G1659,0)</f>
        <v/>
      </c>
      <c r="BE1659" s="14">
        <f>F1659*SUMIFS(BD1642:BD1660,B1642:B1660,B1659-in_choti_months)*in_choti_renew*in_choti_ticket</f>
        <v/>
      </c>
      <c r="BF1659" s="40">
        <f>BF1658*(1-IF(B1658&gt;=in_marketplace_from,d_hz_nps*G1658,0))</f>
        <v/>
      </c>
      <c r="BG1659" s="14">
        <f>F1659*BF1659*IF(B1659&gt;=in_marketplace_from,d_hz_nps*G1659,0)*in_nps_ticket*in_nps_comm</f>
        <v/>
      </c>
      <c r="BH1659" s="40">
        <f>BH1658*(1-IF(B1658&gt;=in_marketplace_from,d_hz_gold*G1658,0))</f>
        <v/>
      </c>
      <c r="BI1659" s="40">
        <f>BI1658*d_rho_gold+BH1659*IF(B1659&gt;=in_marketplace_from,d_hz_gold*G1659,0)</f>
        <v/>
      </c>
      <c r="BJ1659" s="14">
        <f>F1659*BI1659*in_gold_ticket*in_gold_comm</f>
        <v/>
      </c>
      <c r="BK1659" s="40">
        <f>BK1658*(1-IF(B1658&gt;=in_marketplace_from,d_hz_fd*G1658,0))</f>
        <v/>
      </c>
      <c r="BL1659" s="14">
        <f>F1659*BK1659*IF(B1659&gt;=in_marketplace_from,d_hz_fd*G1659,0)*in_fd_ticket*in_fd_comm</f>
        <v/>
      </c>
      <c r="BM1659" s="40">
        <f>BM1658*(1-IF(B1658&gt;=in_marketplace_from,d_hz_recharge*G1658,0))</f>
        <v/>
      </c>
      <c r="BN1659" s="40">
        <f>BN1658*d_rho_recharge+BM1659*IF(B1659&gt;=in_marketplace_from,d_hz_recharge*G1659,0)</f>
        <v/>
      </c>
      <c r="BO1659" s="14">
        <f>F1659*BN1659*in_recharge_ticket*in_recharge_comm/12</f>
        <v/>
      </c>
      <c r="BP1659" s="40">
        <f>BP1658*(1-IF(B1658&gt;=in_marketplace_from,d_hz_bills*G1658,0))</f>
        <v/>
      </c>
      <c r="BQ1659" s="40">
        <f>BQ1658*d_rho_bills+BP1659*IF(B1659&gt;=in_marketplace_from,d_hz_bills*G1659,0)</f>
        <v/>
      </c>
      <c r="BR1659" s="14">
        <f>F1659*BQ1659*in_bills_ticket*in_bills_comm/12</f>
        <v/>
      </c>
      <c r="BS1659" s="40">
        <f>BS1658*(1-IF(B1658&gt;=in_marketplace_from,d_hz_loan_gold*G1658,0))</f>
        <v/>
      </c>
      <c r="BT1659" s="14">
        <f>F1659*BS1659*IF(B1659&gt;=in_marketplace_from,d_hz_loan_gold*G1659,0)*in_loan_gold_ticket*in_loan_gold_comm</f>
        <v/>
      </c>
      <c r="BU1659" s="40">
        <f>BU1658*(1-IF(B1658&gt;=in_marketplace_from,d_hz_loan_cd*G1658,0))</f>
        <v/>
      </c>
      <c r="BV1659" s="14">
        <f>F1659*BU1659*IF(B1659&gt;=in_marketplace_from,d_hz_loan_cd*G1659,0)*in_loan_cd_ticket*in_loan_cd_comm</f>
        <v/>
      </c>
      <c r="BW1659" s="40">
        <f>BW1658*(1-IF(B1658&gt;=in_marketplace_from,d_hz_loan_vehicle*G1658,0))</f>
        <v/>
      </c>
      <c r="BX1659" s="14">
        <f>F1659*BW1659*IF(B1659&gt;=in_marketplace_from,d_hz_loan_vehicle*G1659,0)*in_loan_vehicle_ticket*in_loan_vehicle_comm</f>
        <v/>
      </c>
      <c r="BY1659" s="40">
        <f>BY1658*(1-IF(B1658&gt;=in_marketplace_from,d_hz_loan_home*G1658,0)*BZ1658)</f>
        <v/>
      </c>
      <c r="BZ1659" s="11">
        <f>MIN(in_approval_cap,in_loan_home_approval*INDEX('Age profile'!$O$2:$O$61,B1659)*(1+in_approval_growth)^(D1659-1))</f>
        <v/>
      </c>
      <c r="CA1659" s="14">
        <f>F1659*BY1659*IF(B1659&gt;=in_marketplace_from,d_hz_loan_home*G1659,0)*BZ1659*in_loan_home_ticket*in_loan_home_comm</f>
        <v/>
      </c>
      <c r="CB1659" s="40">
        <f>CB1658*(1-IF(B1658&gt;=in_marketplace_from,d_hz_loan_lap*G1658,0)*CC1658)</f>
        <v/>
      </c>
      <c r="CC1659" s="11">
        <f>MIN(in_approval_cap,in_loan_lap_approval*INDEX('Age profile'!$O$2:$O$61,B1659)*(1+in_approval_growth)^(D1659-1))</f>
        <v/>
      </c>
      <c r="CD1659" s="14">
        <f>F1659*CB1659*IF(B1659&gt;=in_marketplace_from,d_hz_loan_lap*G1659,0)*CC1659*in_loan_lap_ticket*in_loan_lap_comm</f>
        <v/>
      </c>
      <c r="CE1659" s="14">
        <f>AA1659+AB1659+AC1659+AD1659+AG1659+AJ1659+AM1659+AP1659+AS1659+AU1659+AX1659+BB1659+BE1659+BG1659+BJ1659+BL1659+BO1659+BR1659+BT1659+BV1659+BX1659+CA1659+CD1659</f>
        <v/>
      </c>
    </row>
    <row r="1660">
      <c r="A1660" s="39" t="n">
        <v>42</v>
      </c>
      <c r="B1660" s="39" t="n">
        <v>19</v>
      </c>
      <c r="C1660" s="39">
        <f>A1660+B1660-1</f>
        <v/>
      </c>
      <c r="D1660" s="39">
        <f>INT((C1660-1)/12)+1</f>
        <v/>
      </c>
      <c r="E1660" s="44">
        <f>INDEX(Monthly!$B$2:$B$61,A1660)</f>
        <v/>
      </c>
      <c r="F1660" s="44">
        <f>E1660*INDEX('Age profile'!$B$2:$B$61,B1660)</f>
        <v/>
      </c>
      <c r="G1660" s="45">
        <f>MIN(in_takeup_cap,INDEX('Age profile'!$N$2:$N$61,B1660)*(1+in_takeup_growth)^(D1660-1))</f>
        <v/>
      </c>
      <c r="H1660" s="11">
        <f>MIN(in_approval_cap,in_approved_first*INDEX('Age profile'!$O$2:$O$61,B1660)*(1+in_approval_growth)^(D1660-1))</f>
        <v/>
      </c>
      <c r="I1660" s="45">
        <f>G1660*MIN(in_takeup_cap,INDEX('Age profile'!$O$2:$O$61,B1660)*(1+in_approval_growth)^(D1660-1))</f>
        <v/>
      </c>
      <c r="J1660" s="40">
        <f>(J1659-L1659)*F1660/F1659</f>
        <v/>
      </c>
      <c r="K1660" s="40">
        <f>(K1659-M1659)*F1660/F1659+SUMIFS(O1642:O1659,B1642:B1659,B1660-1-d_T)*F1660</f>
        <v/>
      </c>
      <c r="L1660" s="40">
        <f>IF(B1660&gt;=in_marketplace_from,J1660*d_hz*G1660*in_eligible*H1660,0)</f>
        <v/>
      </c>
      <c r="M1660" s="40">
        <f>IF(B1660&gt;=in_marketplace_from,K1660*d_hz*G1660*in_eligible*in_approved_repeat,0)</f>
        <v/>
      </c>
      <c r="N1660" s="40">
        <f>L1660+M1660</f>
        <v/>
      </c>
      <c r="O1660" s="46">
        <f>N1660/F1660</f>
        <v/>
      </c>
      <c r="P1660" s="40">
        <f>F1660-J1660-K1660</f>
        <v/>
      </c>
      <c r="Q1660" s="40">
        <f>IF(B1660&gt;=in_marketplace_from,(J1660+K1660)*d_hz*G1660,0)</f>
        <v/>
      </c>
      <c r="R1660" s="40">
        <f>SUMIFS(N1642:N1660,B1642:B1660,"&gt;="&amp;(B1660-d_T),B1642:B1660,"&lt;="&amp;(B1660-1))</f>
        <v/>
      </c>
      <c r="S1660" s="46">
        <f>(1-d_u)*S1659+IF(d_T&gt;in_topup_lag,SUMIFS(O1642:O1660,B1642:B1660,B1660-in_topup_lag)-d_udrop*SUMIFS(O1642:O1660,B1642:B1660,B1660-d_T),0)</f>
        <v/>
      </c>
      <c r="T1660" s="40">
        <f>F1660*d_u*S1660</f>
        <v/>
      </c>
      <c r="U1660" s="9">
        <f>L1660*in_ticket+M1660*d_rep_ticket</f>
        <v/>
      </c>
      <c r="V1660" s="9">
        <f>U1660+T1660*d_topup_amt</f>
        <v/>
      </c>
      <c r="W1660" s="40">
        <f>N1660+T1660*d_topup_ratio</f>
        <v/>
      </c>
      <c r="X1660" s="40">
        <f>SUMIFS(W1642:W1660,B1642:B1660,B1660-in_dpd_lag)*d_cured</f>
        <v/>
      </c>
      <c r="Y1660" s="40">
        <f>SUMIFS(W1642:W1660,B1642:B1660,B1660-in_rec_lag)*d_recd</f>
        <v/>
      </c>
      <c r="Z1660" s="40">
        <f>IF(AND(B1660&gt;=in_marketplace_from,B1660&lt;in_marketplace_from+in_card_months),in_card_share/in_card_months*F1660*I1660,IF(AND(B1660&gt;=in_marketplace_from+in_card_months,B1660&lt;in_marketplace_from+2*in_card_months),in_card_share*d_card_rem/in_card_months*F1660*MIN(in_takeup_cap,(1+in_takeup_growth)^(D1660-1))*MIN(in_takeup_cap,(1+in_approval_growth)^(D1660-1)),0))</f>
        <v/>
      </c>
      <c r="AA1660" s="14">
        <f>V1660*in_fee*(1-in_taken_back)</f>
        <v/>
      </c>
      <c r="AB1660" s="14">
        <f>SUMIFS(W1642:W1660,B1642:B1660,B1660-in_dpd_lag)*d_dpd</f>
        <v/>
      </c>
      <c r="AC1660" s="14">
        <f>SUMIFS(W1642:W1660,B1642:B1660,B1660-in_rec_lag)*d_rec</f>
        <v/>
      </c>
      <c r="AD1660" s="14">
        <f>Z1660*in_card_fee</f>
        <v/>
      </c>
      <c r="AE1660" s="40">
        <f>AE1659*(1-IF(B1659&gt;=in_marketplace_from,d_hz_hlth_small*G1659,0))</f>
        <v/>
      </c>
      <c r="AF1660" s="46">
        <f>AE1660*IF(B1660&gt;=in_marketplace_from,d_hz_hlth_small*G1660,0)</f>
        <v/>
      </c>
      <c r="AG1660" s="14">
        <f>F1660*AF1660*in_hlth_small_ticket*in_hlth_small_comm*in_ins_partner_share+F1660*in_hlth_small_ticket*in_hlth_small_renew_comm*in_ins_partner_share*(in_hlth_small_renew^1*SUMIFS(AF1642:AF1660,B1642:B1660,B1660-12)+in_hlth_small_renew^2*SUMIFS(AF1642:AF1660,B1642:B1660,B1660-24)+in_hlth_small_renew^3*SUMIFS(AF1642:AF1660,B1642:B1660,B1660-36)+in_hlth_small_renew^4*SUMIFS(AF1642:AF1660,B1642:B1660,B1660-48))</f>
        <v/>
      </c>
      <c r="AH1660" s="40">
        <f>AH1659*(1-IF(B1659&gt;=in_marketplace_from,d_hz_hlth_family*G1659,0))</f>
        <v/>
      </c>
      <c r="AI1660" s="46">
        <f>AH1660*IF(B1660&gt;=in_marketplace_from,d_hz_hlth_family*G1660,0)</f>
        <v/>
      </c>
      <c r="AJ1660" s="14">
        <f>F1660*AI1660*in_hlth_family_ticket*in_hlth_family_comm*in_ins_partner_share+F1660*in_hlth_family_ticket*in_hlth_family_renew_comm*in_ins_partner_share*(in_hlth_family_renew^1*SUMIFS(AI1642:AI1660,B1642:B1660,B1660-12)+in_hlth_family_renew^2*SUMIFS(AI1642:AI1660,B1642:B1660,B1660-24)+in_hlth_family_renew^3*SUMIFS(AI1642:AI1660,B1642:B1660,B1660-36)+in_hlth_family_renew^4*SUMIFS(AI1642:AI1660,B1642:B1660,B1660-48))</f>
        <v/>
      </c>
      <c r="AK1660" s="40">
        <f>AK1659*(1-IF(B1659&gt;=in_marketplace_from,d_hz_life_term*G1659,0))</f>
        <v/>
      </c>
      <c r="AL1660" s="46">
        <f>AK1660*IF(B1660&gt;=in_marketplace_from,d_hz_life_term*G1660,0)</f>
        <v/>
      </c>
      <c r="AM1660" s="14">
        <f>F1660*AL1660*in_life_term_ticket*in_life_term_comm*in_ins_partner_share+F1660*in_life_term_ticket*in_life_term_renew_comm*in_ins_partner_share*(in_life_term_renew^1*SUMIFS(AL1642:AL1660,B1642:B1660,B1660-12)+in_life_term_renew^2*SUMIFS(AL1642:AL1660,B1642:B1660,B1660-24)+in_life_term_renew^3*SUMIFS(AL1642:AL1660,B1642:B1660,B1660-36)+in_life_term_renew^4*SUMIFS(AL1642:AL1660,B1642:B1660,B1660-48))</f>
        <v/>
      </c>
      <c r="AN1660" s="40">
        <f>AN1659*(1-IF(B1659&gt;=in_marketplace_from,d_hz_accident*G1659,0))</f>
        <v/>
      </c>
      <c r="AO1660" s="46">
        <f>AN1660*IF(B1660&gt;=in_marketplace_from,d_hz_accident*G1660,0)</f>
        <v/>
      </c>
      <c r="AP1660" s="14">
        <f>F1660*AO1660*in_accident_ticket*in_accident_comm*in_ins_partner_share+F1660*in_accident_ticket*in_accident_renew_comm*in_ins_partner_share*(in_accident_renew^1*SUMIFS(AO1642:AO1660,B1642:B1660,B1660-12)+in_accident_renew^2*SUMIFS(AO1642:AO1660,B1642:B1660,B1660-24)+in_accident_renew^3*SUMIFS(AO1642:AO1660,B1642:B1660,B1660-36)+in_accident_renew^4*SUMIFS(AO1642:AO1660,B1642:B1660,B1660-48))</f>
        <v/>
      </c>
      <c r="AQ1660" s="40">
        <f>AQ1659*(1-IF(B1659&gt;=in_marketplace_from,d_hz_two_wheeler*G1659,0))</f>
        <v/>
      </c>
      <c r="AR1660" s="46">
        <f>AQ1660*IF(B1660&gt;=in_marketplace_from,d_hz_two_wheeler*G1660,0)</f>
        <v/>
      </c>
      <c r="AS1660" s="14">
        <f>F1660*AR1660*in_two_wheeler_ticket*in_two_wheeler_comm*in_ins_partner_share+F1660*in_two_wheeler_ticket*in_two_wheeler_comm*in_ins_partner_share*(in_two_wheeler_renew^1*SUMIFS(AR1642:AR1660,B1642:B1660,B1660-12)+in_two_wheeler_renew^2*SUMIFS(AR1642:AR1660,B1642:B1660,B1660-24)+in_two_wheeler_renew^3*SUMIFS(AR1642:AR1660,B1642:B1660,B1660-36)+in_two_wheeler_renew^4*SUMIFS(AR1642:AR1660,B1642:B1660,B1660-48))</f>
        <v/>
      </c>
      <c r="AT1660" s="40">
        <f>AT1659*(1-IF(B1659&gt;=in_marketplace_from,d_hz_device*G1659,0))</f>
        <v/>
      </c>
      <c r="AU1660" s="14">
        <f>F1660*AT1660*IF(B1660&gt;=in_marketplace_from,d_hz_device*G1660,0)*in_device_ticket*in_device_comm*in_ins_partner_share</f>
        <v/>
      </c>
      <c r="AV1660" s="40">
        <f>AV1659*(1-IF(B1659&gt;=in_marketplace_from,d_hz_shop*G1659,0))</f>
        <v/>
      </c>
      <c r="AW1660" s="46">
        <f>AV1660*IF(B1660&gt;=in_marketplace_from,d_hz_shop*G1660,0)</f>
        <v/>
      </c>
      <c r="AX1660" s="14">
        <f>F1660*AW1660*in_shop_ticket*in_shop_comm*in_ins_partner_share+F1660*in_shop_ticket*in_shop_renew_comm*in_ins_partner_share*(in_shop_renew^1*SUMIFS(AW1642:AW1660,B1642:B1660,B1660-12)+in_shop_renew^2*SUMIFS(AW1642:AW1660,B1642:B1660,B1660-24)+in_shop_renew^3*SUMIFS(AW1642:AW1660,B1642:B1660,B1660-36)+in_shop_renew^4*SUMIFS(AW1642:AW1660,B1642:B1660,B1660-48))</f>
        <v/>
      </c>
      <c r="AY1660" s="40">
        <f>AY1659*(1-IF(B1659&gt;=in_marketplace_from,d_hz_sip*G1659,0))</f>
        <v/>
      </c>
      <c r="AZ1660" s="40">
        <f>AZ1659*d_rho_sip+AY1660*IF(B1660&gt;=in_marketplace_from,d_hz_sip*G1660,0)</f>
        <v/>
      </c>
      <c r="BA1660" s="40">
        <f>d_rho_sip*(BA1659+AZ1659)</f>
        <v/>
      </c>
      <c r="BB1660" s="14">
        <f>F1660*in_sip_ticket*(BA1660+0.5*AZ1660)*in_sip_comm/12</f>
        <v/>
      </c>
      <c r="BC1660" s="40">
        <f>BC1659*(1-IF(B1659&gt;=in_marketplace_from,d_hz_choti*G1659,0))</f>
        <v/>
      </c>
      <c r="BD1660" s="46">
        <f>BC1660*IF(B1660&gt;=in_marketplace_from,d_hz_choti*G1660,0)</f>
        <v/>
      </c>
      <c r="BE1660" s="14">
        <f>F1660*SUMIFS(BD1642:BD1660,B1642:B1660,B1660-in_choti_months)*in_choti_renew*in_choti_ticket</f>
        <v/>
      </c>
      <c r="BF1660" s="40">
        <f>BF1659*(1-IF(B1659&gt;=in_marketplace_from,d_hz_nps*G1659,0))</f>
        <v/>
      </c>
      <c r="BG1660" s="14">
        <f>F1660*BF1660*IF(B1660&gt;=in_marketplace_from,d_hz_nps*G1660,0)*in_nps_ticket*in_nps_comm</f>
        <v/>
      </c>
      <c r="BH1660" s="40">
        <f>BH1659*(1-IF(B1659&gt;=in_marketplace_from,d_hz_gold*G1659,0))</f>
        <v/>
      </c>
      <c r="BI1660" s="40">
        <f>BI1659*d_rho_gold+BH1660*IF(B1660&gt;=in_marketplace_from,d_hz_gold*G1660,0)</f>
        <v/>
      </c>
      <c r="BJ1660" s="14">
        <f>F1660*BI1660*in_gold_ticket*in_gold_comm</f>
        <v/>
      </c>
      <c r="BK1660" s="40">
        <f>BK1659*(1-IF(B1659&gt;=in_marketplace_from,d_hz_fd*G1659,0))</f>
        <v/>
      </c>
      <c r="BL1660" s="14">
        <f>F1660*BK1660*IF(B1660&gt;=in_marketplace_from,d_hz_fd*G1660,0)*in_fd_ticket*in_fd_comm</f>
        <v/>
      </c>
      <c r="BM1660" s="40">
        <f>BM1659*(1-IF(B1659&gt;=in_marketplace_from,d_hz_recharge*G1659,0))</f>
        <v/>
      </c>
      <c r="BN1660" s="40">
        <f>BN1659*d_rho_recharge+BM1660*IF(B1660&gt;=in_marketplace_from,d_hz_recharge*G1660,0)</f>
        <v/>
      </c>
      <c r="BO1660" s="14">
        <f>F1660*BN1660*in_recharge_ticket*in_recharge_comm/12</f>
        <v/>
      </c>
      <c r="BP1660" s="40">
        <f>BP1659*(1-IF(B1659&gt;=in_marketplace_from,d_hz_bills*G1659,0))</f>
        <v/>
      </c>
      <c r="BQ1660" s="40">
        <f>BQ1659*d_rho_bills+BP1660*IF(B1660&gt;=in_marketplace_from,d_hz_bills*G1660,0)</f>
        <v/>
      </c>
      <c r="BR1660" s="14">
        <f>F1660*BQ1660*in_bills_ticket*in_bills_comm/12</f>
        <v/>
      </c>
      <c r="BS1660" s="40">
        <f>BS1659*(1-IF(B1659&gt;=in_marketplace_from,d_hz_loan_gold*G1659,0))</f>
        <v/>
      </c>
      <c r="BT1660" s="14">
        <f>F1660*BS1660*IF(B1660&gt;=in_marketplace_from,d_hz_loan_gold*G1660,0)*in_loan_gold_ticket*in_loan_gold_comm</f>
        <v/>
      </c>
      <c r="BU1660" s="40">
        <f>BU1659*(1-IF(B1659&gt;=in_marketplace_from,d_hz_loan_cd*G1659,0))</f>
        <v/>
      </c>
      <c r="BV1660" s="14">
        <f>F1660*BU1660*IF(B1660&gt;=in_marketplace_from,d_hz_loan_cd*G1660,0)*in_loan_cd_ticket*in_loan_cd_comm</f>
        <v/>
      </c>
      <c r="BW1660" s="40">
        <f>BW1659*(1-IF(B1659&gt;=in_marketplace_from,d_hz_loan_vehicle*G1659,0))</f>
        <v/>
      </c>
      <c r="BX1660" s="14">
        <f>F1660*BW1660*IF(B1660&gt;=in_marketplace_from,d_hz_loan_vehicle*G1660,0)*in_loan_vehicle_ticket*in_loan_vehicle_comm</f>
        <v/>
      </c>
      <c r="BY1660" s="40">
        <f>BY1659*(1-IF(B1659&gt;=in_marketplace_from,d_hz_loan_home*G1659,0)*BZ1659)</f>
        <v/>
      </c>
      <c r="BZ1660" s="11">
        <f>MIN(in_approval_cap,in_loan_home_approval*INDEX('Age profile'!$O$2:$O$61,B1660)*(1+in_approval_growth)^(D1660-1))</f>
        <v/>
      </c>
      <c r="CA1660" s="14">
        <f>F1660*BY1660*IF(B1660&gt;=in_marketplace_from,d_hz_loan_home*G1660,0)*BZ1660*in_loan_home_ticket*in_loan_home_comm</f>
        <v/>
      </c>
      <c r="CB1660" s="40">
        <f>CB1659*(1-IF(B1659&gt;=in_marketplace_from,d_hz_loan_lap*G1659,0)*CC1659)</f>
        <v/>
      </c>
      <c r="CC1660" s="11">
        <f>MIN(in_approval_cap,in_loan_lap_approval*INDEX('Age profile'!$O$2:$O$61,B1660)*(1+in_approval_growth)^(D1660-1))</f>
        <v/>
      </c>
      <c r="CD1660" s="14">
        <f>F1660*CB1660*IF(B1660&gt;=in_marketplace_from,d_hz_loan_lap*G1660,0)*CC1660*in_loan_lap_ticket*in_loan_lap_comm</f>
        <v/>
      </c>
      <c r="CE1660" s="14">
        <f>AA1660+AB1660+AC1660+AD1660+AG1660+AJ1660+AM1660+AP1660+AS1660+AU1660+AX1660+BB1660+BE1660+BG1660+BJ1660+BL1660+BO1660+BR1660+BT1660+BV1660+BX1660+CA1660+CD1660</f>
        <v/>
      </c>
    </row>
    <row r="1661">
      <c r="A1661" s="39" t="n">
        <v>43</v>
      </c>
      <c r="B1661" s="39" t="n">
        <v>1</v>
      </c>
      <c r="C1661" s="39">
        <f>A1661+B1661-1</f>
        <v/>
      </c>
      <c r="D1661" s="39">
        <f>INT((C1661-1)/12)+1</f>
        <v/>
      </c>
      <c r="E1661" s="44">
        <f>INDEX(Monthly!$B$2:$B$61,A1661)</f>
        <v/>
      </c>
      <c r="F1661" s="44">
        <f>E1661*INDEX('Age profile'!$B$2:$B$61,B1661)</f>
        <v/>
      </c>
      <c r="G1661" s="45">
        <f>MIN(in_takeup_cap,INDEX('Age profile'!$N$2:$N$61,B1661)*(1+in_takeup_growth)^(D1661-1))</f>
        <v/>
      </c>
      <c r="H1661" s="11">
        <f>MIN(in_approval_cap,in_approved_first*INDEX('Age profile'!$O$2:$O$61,B1661)*(1+in_approval_growth)^(D1661-1))</f>
        <v/>
      </c>
      <c r="I1661" s="45">
        <f>G1661*MIN(in_takeup_cap,INDEX('Age profile'!$O$2:$O$61,B1661)*(1+in_approval_growth)^(D1661-1))</f>
        <v/>
      </c>
      <c r="J1661" s="40">
        <f>E1661</f>
        <v/>
      </c>
      <c r="K1661" s="40" t="n">
        <v>0</v>
      </c>
      <c r="L1661" s="40">
        <f>IF(B1661&gt;=in_marketplace_from,J1661*d_hz*G1661*in_eligible*H1661,0)</f>
        <v/>
      </c>
      <c r="M1661" s="40">
        <f>IF(B1661&gt;=in_marketplace_from,K1661*d_hz*G1661*in_eligible*in_approved_repeat,0)</f>
        <v/>
      </c>
      <c r="N1661" s="40">
        <f>L1661+M1661</f>
        <v/>
      </c>
      <c r="O1661" s="46">
        <f>N1661/F1661</f>
        <v/>
      </c>
      <c r="P1661" s="40">
        <f>F1661-J1661-K1661</f>
        <v/>
      </c>
      <c r="Q1661" s="40">
        <f>IF(B1661&gt;=in_marketplace_from,(J1661+K1661)*d_hz*G1661,0)</f>
        <v/>
      </c>
      <c r="R1661" s="40">
        <f>SUMIFS(N1661:N1678,B1661:B1678,"&gt;="&amp;(B1661-d_T),B1661:B1678,"&lt;="&amp;(B1661-1))</f>
        <v/>
      </c>
      <c r="S1661" s="46" t="n">
        <v>0</v>
      </c>
      <c r="T1661" s="40">
        <f>F1661*d_u*S1661</f>
        <v/>
      </c>
      <c r="U1661" s="9">
        <f>L1661*in_ticket+M1661*d_rep_ticket</f>
        <v/>
      </c>
      <c r="V1661" s="9">
        <f>U1661+T1661*d_topup_amt</f>
        <v/>
      </c>
      <c r="W1661" s="40">
        <f>N1661+T1661*d_topup_ratio</f>
        <v/>
      </c>
      <c r="X1661" s="40">
        <f>SUMIFS(W1661:W1678,B1661:B1678,B1661-in_dpd_lag)*d_cured</f>
        <v/>
      </c>
      <c r="Y1661" s="40">
        <f>SUMIFS(W1661:W1678,B1661:B1678,B1661-in_rec_lag)*d_recd</f>
        <v/>
      </c>
      <c r="Z1661" s="40">
        <f>IF(AND(B1661&gt;=in_marketplace_from,B1661&lt;in_marketplace_from+in_card_months),in_card_share/in_card_months*F1661*I1661,IF(AND(B1661&gt;=in_marketplace_from+in_card_months,B1661&lt;in_marketplace_from+2*in_card_months),in_card_share*d_card_rem/in_card_months*F1661*MIN(in_takeup_cap,(1+in_takeup_growth)^(D1661-1))*MIN(in_takeup_cap,(1+in_approval_growth)^(D1661-1)),0))</f>
        <v/>
      </c>
      <c r="AA1661" s="14">
        <f>V1661*in_fee*(1-in_taken_back)</f>
        <v/>
      </c>
      <c r="AB1661" s="14">
        <f>SUMIFS(W1661:W1678,B1661:B1678,B1661-in_dpd_lag)*d_dpd</f>
        <v/>
      </c>
      <c r="AC1661" s="14">
        <f>SUMIFS(W1661:W1678,B1661:B1678,B1661-in_rec_lag)*d_rec</f>
        <v/>
      </c>
      <c r="AD1661" s="14">
        <f>Z1661*in_card_fee</f>
        <v/>
      </c>
      <c r="AE1661" s="40" t="n">
        <v>1</v>
      </c>
      <c r="AF1661" s="46">
        <f>AE1661*IF(B1661&gt;=in_marketplace_from,d_hz_hlth_small*G1661,0)</f>
        <v/>
      </c>
      <c r="AG1661" s="14">
        <f>F1661*AF1661*in_hlth_small_ticket*in_hlth_small_comm*in_ins_partner_share+F1661*in_hlth_small_ticket*in_hlth_small_renew_comm*in_ins_partner_share*(in_hlth_small_renew^1*SUMIFS(AF1661:AF1678,B1661:B1678,B1661-12)+in_hlth_small_renew^2*SUMIFS(AF1661:AF1678,B1661:B1678,B1661-24)+in_hlth_small_renew^3*SUMIFS(AF1661:AF1678,B1661:B1678,B1661-36)+in_hlth_small_renew^4*SUMIFS(AF1661:AF1678,B1661:B1678,B1661-48))</f>
        <v/>
      </c>
      <c r="AH1661" s="40" t="n">
        <v>1</v>
      </c>
      <c r="AI1661" s="46">
        <f>AH1661*IF(B1661&gt;=in_marketplace_from,d_hz_hlth_family*G1661,0)</f>
        <v/>
      </c>
      <c r="AJ1661" s="14">
        <f>F1661*AI1661*in_hlth_family_ticket*in_hlth_family_comm*in_ins_partner_share+F1661*in_hlth_family_ticket*in_hlth_family_renew_comm*in_ins_partner_share*(in_hlth_family_renew^1*SUMIFS(AI1661:AI1678,B1661:B1678,B1661-12)+in_hlth_family_renew^2*SUMIFS(AI1661:AI1678,B1661:B1678,B1661-24)+in_hlth_family_renew^3*SUMIFS(AI1661:AI1678,B1661:B1678,B1661-36)+in_hlth_family_renew^4*SUMIFS(AI1661:AI1678,B1661:B1678,B1661-48))</f>
        <v/>
      </c>
      <c r="AK1661" s="40" t="n">
        <v>1</v>
      </c>
      <c r="AL1661" s="46">
        <f>AK1661*IF(B1661&gt;=in_marketplace_from,d_hz_life_term*G1661,0)</f>
        <v/>
      </c>
      <c r="AM1661" s="14">
        <f>F1661*AL1661*in_life_term_ticket*in_life_term_comm*in_ins_partner_share+F1661*in_life_term_ticket*in_life_term_renew_comm*in_ins_partner_share*(in_life_term_renew^1*SUMIFS(AL1661:AL1678,B1661:B1678,B1661-12)+in_life_term_renew^2*SUMIFS(AL1661:AL1678,B1661:B1678,B1661-24)+in_life_term_renew^3*SUMIFS(AL1661:AL1678,B1661:B1678,B1661-36)+in_life_term_renew^4*SUMIFS(AL1661:AL1678,B1661:B1678,B1661-48))</f>
        <v/>
      </c>
      <c r="AN1661" s="40" t="n">
        <v>1</v>
      </c>
      <c r="AO1661" s="46">
        <f>AN1661*IF(B1661&gt;=in_marketplace_from,d_hz_accident*G1661,0)</f>
        <v/>
      </c>
      <c r="AP1661" s="14">
        <f>F1661*AO1661*in_accident_ticket*in_accident_comm*in_ins_partner_share+F1661*in_accident_ticket*in_accident_renew_comm*in_ins_partner_share*(in_accident_renew^1*SUMIFS(AO1661:AO1678,B1661:B1678,B1661-12)+in_accident_renew^2*SUMIFS(AO1661:AO1678,B1661:B1678,B1661-24)+in_accident_renew^3*SUMIFS(AO1661:AO1678,B1661:B1678,B1661-36)+in_accident_renew^4*SUMIFS(AO1661:AO1678,B1661:B1678,B1661-48))</f>
        <v/>
      </c>
      <c r="AQ1661" s="40" t="n">
        <v>1</v>
      </c>
      <c r="AR1661" s="46">
        <f>AQ1661*IF(B1661&gt;=in_marketplace_from,d_hz_two_wheeler*G1661,0)</f>
        <v/>
      </c>
      <c r="AS1661" s="14">
        <f>F1661*AR1661*in_two_wheeler_ticket*in_two_wheeler_comm*in_ins_partner_share+F1661*in_two_wheeler_ticket*in_two_wheeler_comm*in_ins_partner_share*(in_two_wheeler_renew^1*SUMIFS(AR1661:AR1678,B1661:B1678,B1661-12)+in_two_wheeler_renew^2*SUMIFS(AR1661:AR1678,B1661:B1678,B1661-24)+in_two_wheeler_renew^3*SUMIFS(AR1661:AR1678,B1661:B1678,B1661-36)+in_two_wheeler_renew^4*SUMIFS(AR1661:AR1678,B1661:B1678,B1661-48))</f>
        <v/>
      </c>
      <c r="AT1661" s="40" t="n">
        <v>1</v>
      </c>
      <c r="AU1661" s="14">
        <f>F1661*AT1661*IF(B1661&gt;=in_marketplace_from,d_hz_device*G1661,0)*in_device_ticket*in_device_comm*in_ins_partner_share</f>
        <v/>
      </c>
      <c r="AV1661" s="40" t="n">
        <v>1</v>
      </c>
      <c r="AW1661" s="46">
        <f>AV1661*IF(B1661&gt;=in_marketplace_from,d_hz_shop*G1661,0)</f>
        <v/>
      </c>
      <c r="AX1661" s="14">
        <f>F1661*AW1661*in_shop_ticket*in_shop_comm*in_ins_partner_share+F1661*in_shop_ticket*in_shop_renew_comm*in_ins_partner_share*(in_shop_renew^1*SUMIFS(AW1661:AW1678,B1661:B1678,B1661-12)+in_shop_renew^2*SUMIFS(AW1661:AW1678,B1661:B1678,B1661-24)+in_shop_renew^3*SUMIFS(AW1661:AW1678,B1661:B1678,B1661-36)+in_shop_renew^4*SUMIFS(AW1661:AW1678,B1661:B1678,B1661-48))</f>
        <v/>
      </c>
      <c r="AY1661" s="40" t="n">
        <v>1</v>
      </c>
      <c r="AZ1661" s="40">
        <f>AY1661*IF(B1661&gt;=in_marketplace_from,d_hz_sip*G1661,0)</f>
        <v/>
      </c>
      <c r="BA1661" s="40" t="n">
        <v>0</v>
      </c>
      <c r="BB1661" s="14">
        <f>F1661*in_sip_ticket*(BA1661+0.5*AZ1661)*in_sip_comm/12</f>
        <v/>
      </c>
      <c r="BC1661" s="40" t="n">
        <v>1</v>
      </c>
      <c r="BD1661" s="46">
        <f>BC1661*IF(B1661&gt;=in_marketplace_from,d_hz_choti*G1661,0)</f>
        <v/>
      </c>
      <c r="BE1661" s="14">
        <f>F1661*SUMIFS(BD1661:BD1678,B1661:B1678,B1661-in_choti_months)*in_choti_renew*in_choti_ticket</f>
        <v/>
      </c>
      <c r="BF1661" s="40" t="n">
        <v>1</v>
      </c>
      <c r="BG1661" s="14">
        <f>F1661*BF1661*IF(B1661&gt;=in_marketplace_from,d_hz_nps*G1661,0)*in_nps_ticket*in_nps_comm</f>
        <v/>
      </c>
      <c r="BH1661" s="40" t="n">
        <v>1</v>
      </c>
      <c r="BI1661" s="40">
        <f>BH1661*IF(B1661&gt;=in_marketplace_from,d_hz_gold*G1661,0)</f>
        <v/>
      </c>
      <c r="BJ1661" s="14">
        <f>F1661*BI1661*in_gold_ticket*in_gold_comm</f>
        <v/>
      </c>
      <c r="BK1661" s="40" t="n">
        <v>1</v>
      </c>
      <c r="BL1661" s="14">
        <f>F1661*BK1661*IF(B1661&gt;=in_marketplace_from,d_hz_fd*G1661,0)*in_fd_ticket*in_fd_comm</f>
        <v/>
      </c>
      <c r="BM1661" s="40" t="n">
        <v>1</v>
      </c>
      <c r="BN1661" s="40">
        <f>BM1661*IF(B1661&gt;=in_marketplace_from,d_hz_recharge*G1661,0)</f>
        <v/>
      </c>
      <c r="BO1661" s="14">
        <f>F1661*BN1661*in_recharge_ticket*in_recharge_comm/12</f>
        <v/>
      </c>
      <c r="BP1661" s="40" t="n">
        <v>1</v>
      </c>
      <c r="BQ1661" s="40">
        <f>BP1661*IF(B1661&gt;=in_marketplace_from,d_hz_bills*G1661,0)</f>
        <v/>
      </c>
      <c r="BR1661" s="14">
        <f>F1661*BQ1661*in_bills_ticket*in_bills_comm/12</f>
        <v/>
      </c>
      <c r="BS1661" s="40" t="n">
        <v>1</v>
      </c>
      <c r="BT1661" s="14">
        <f>F1661*BS1661*IF(B1661&gt;=in_marketplace_from,d_hz_loan_gold*G1661,0)*in_loan_gold_ticket*in_loan_gold_comm</f>
        <v/>
      </c>
      <c r="BU1661" s="40" t="n">
        <v>1</v>
      </c>
      <c r="BV1661" s="14">
        <f>F1661*BU1661*IF(B1661&gt;=in_marketplace_from,d_hz_loan_cd*G1661,0)*in_loan_cd_ticket*in_loan_cd_comm</f>
        <v/>
      </c>
      <c r="BW1661" s="40" t="n">
        <v>1</v>
      </c>
      <c r="BX1661" s="14">
        <f>F1661*BW1661*IF(B1661&gt;=in_marketplace_from,d_hz_loan_vehicle*G1661,0)*in_loan_vehicle_ticket*in_loan_vehicle_comm</f>
        <v/>
      </c>
      <c r="BY1661" s="40" t="n">
        <v>1</v>
      </c>
      <c r="BZ1661" s="11">
        <f>MIN(in_approval_cap,in_loan_home_approval*INDEX('Age profile'!$O$2:$O$61,B1661)*(1+in_approval_growth)^(D1661-1))</f>
        <v/>
      </c>
      <c r="CA1661" s="14">
        <f>F1661*BY1661*IF(B1661&gt;=in_marketplace_from,d_hz_loan_home*G1661,0)*BZ1661*in_loan_home_ticket*in_loan_home_comm</f>
        <v/>
      </c>
      <c r="CB1661" s="40" t="n">
        <v>1</v>
      </c>
      <c r="CC1661" s="11">
        <f>MIN(in_approval_cap,in_loan_lap_approval*INDEX('Age profile'!$O$2:$O$61,B1661)*(1+in_approval_growth)^(D1661-1))</f>
        <v/>
      </c>
      <c r="CD1661" s="14">
        <f>F1661*CB1661*IF(B1661&gt;=in_marketplace_from,d_hz_loan_lap*G1661,0)*CC1661*in_loan_lap_ticket*in_loan_lap_comm</f>
        <v/>
      </c>
      <c r="CE1661" s="14">
        <f>AA1661+AB1661+AC1661+AD1661+AG1661+AJ1661+AM1661+AP1661+AS1661+AU1661+AX1661+BB1661+BE1661+BG1661+BJ1661+BL1661+BO1661+BR1661+BT1661+BV1661+BX1661+CA1661+CD1661</f>
        <v/>
      </c>
    </row>
    <row r="1662">
      <c r="A1662" s="39" t="n">
        <v>43</v>
      </c>
      <c r="B1662" s="39" t="n">
        <v>2</v>
      </c>
      <c r="C1662" s="39">
        <f>A1662+B1662-1</f>
        <v/>
      </c>
      <c r="D1662" s="39">
        <f>INT((C1662-1)/12)+1</f>
        <v/>
      </c>
      <c r="E1662" s="44">
        <f>INDEX(Monthly!$B$2:$B$61,A1662)</f>
        <v/>
      </c>
      <c r="F1662" s="44">
        <f>E1662*INDEX('Age profile'!$B$2:$B$61,B1662)</f>
        <v/>
      </c>
      <c r="G1662" s="45">
        <f>MIN(in_takeup_cap,INDEX('Age profile'!$N$2:$N$61,B1662)*(1+in_takeup_growth)^(D1662-1))</f>
        <v/>
      </c>
      <c r="H1662" s="11">
        <f>MIN(in_approval_cap,in_approved_first*INDEX('Age profile'!$O$2:$O$61,B1662)*(1+in_approval_growth)^(D1662-1))</f>
        <v/>
      </c>
      <c r="I1662" s="45">
        <f>G1662*MIN(in_takeup_cap,INDEX('Age profile'!$O$2:$O$61,B1662)*(1+in_approval_growth)^(D1662-1))</f>
        <v/>
      </c>
      <c r="J1662" s="40">
        <f>(J1661-L1661)*F1662/F1661</f>
        <v/>
      </c>
      <c r="K1662" s="40">
        <f>(K1661-M1661)*F1662/F1661+SUMIFS(O1661:O1661,B1661:B1661,B1662-1-d_T)*F1662</f>
        <v/>
      </c>
      <c r="L1662" s="40">
        <f>IF(B1662&gt;=in_marketplace_from,J1662*d_hz*G1662*in_eligible*H1662,0)</f>
        <v/>
      </c>
      <c r="M1662" s="40">
        <f>IF(B1662&gt;=in_marketplace_from,K1662*d_hz*G1662*in_eligible*in_approved_repeat,0)</f>
        <v/>
      </c>
      <c r="N1662" s="40">
        <f>L1662+M1662</f>
        <v/>
      </c>
      <c r="O1662" s="46">
        <f>N1662/F1662</f>
        <v/>
      </c>
      <c r="P1662" s="40">
        <f>F1662-J1662-K1662</f>
        <v/>
      </c>
      <c r="Q1662" s="40">
        <f>IF(B1662&gt;=in_marketplace_from,(J1662+K1662)*d_hz*G1662,0)</f>
        <v/>
      </c>
      <c r="R1662" s="40">
        <f>SUMIFS(N1661:N1678,B1661:B1678,"&gt;="&amp;(B1662-d_T),B1661:B1678,"&lt;="&amp;(B1662-1))</f>
        <v/>
      </c>
      <c r="S1662" s="46">
        <f>(1-d_u)*S1661+IF(d_T&gt;in_topup_lag,SUMIFS(O1661:O1678,B1661:B1678,B1662-in_topup_lag)-d_udrop*SUMIFS(O1661:O1678,B1661:B1678,B1662-d_T),0)</f>
        <v/>
      </c>
      <c r="T1662" s="40">
        <f>F1662*d_u*S1662</f>
        <v/>
      </c>
      <c r="U1662" s="9">
        <f>L1662*in_ticket+M1662*d_rep_ticket</f>
        <v/>
      </c>
      <c r="V1662" s="9">
        <f>U1662+T1662*d_topup_amt</f>
        <v/>
      </c>
      <c r="W1662" s="40">
        <f>N1662+T1662*d_topup_ratio</f>
        <v/>
      </c>
      <c r="X1662" s="40">
        <f>SUMIFS(W1661:W1678,B1661:B1678,B1662-in_dpd_lag)*d_cured</f>
        <v/>
      </c>
      <c r="Y1662" s="40">
        <f>SUMIFS(W1661:W1678,B1661:B1678,B1662-in_rec_lag)*d_recd</f>
        <v/>
      </c>
      <c r="Z1662" s="40">
        <f>IF(AND(B1662&gt;=in_marketplace_from,B1662&lt;in_marketplace_from+in_card_months),in_card_share/in_card_months*F1662*I1662,IF(AND(B1662&gt;=in_marketplace_from+in_card_months,B1662&lt;in_marketplace_from+2*in_card_months),in_card_share*d_card_rem/in_card_months*F1662*MIN(in_takeup_cap,(1+in_takeup_growth)^(D1662-1))*MIN(in_takeup_cap,(1+in_approval_growth)^(D1662-1)),0))</f>
        <v/>
      </c>
      <c r="AA1662" s="14">
        <f>V1662*in_fee*(1-in_taken_back)</f>
        <v/>
      </c>
      <c r="AB1662" s="14">
        <f>SUMIFS(W1661:W1678,B1661:B1678,B1662-in_dpd_lag)*d_dpd</f>
        <v/>
      </c>
      <c r="AC1662" s="14">
        <f>SUMIFS(W1661:W1678,B1661:B1678,B1662-in_rec_lag)*d_rec</f>
        <v/>
      </c>
      <c r="AD1662" s="14">
        <f>Z1662*in_card_fee</f>
        <v/>
      </c>
      <c r="AE1662" s="40">
        <f>AE1661*(1-IF(B1661&gt;=in_marketplace_from,d_hz_hlth_small*G1661,0))</f>
        <v/>
      </c>
      <c r="AF1662" s="46">
        <f>AE1662*IF(B1662&gt;=in_marketplace_from,d_hz_hlth_small*G1662,0)</f>
        <v/>
      </c>
      <c r="AG1662" s="14">
        <f>F1662*AF1662*in_hlth_small_ticket*in_hlth_small_comm*in_ins_partner_share+F1662*in_hlth_small_ticket*in_hlth_small_renew_comm*in_ins_partner_share*(in_hlth_small_renew^1*SUMIFS(AF1661:AF1678,B1661:B1678,B1662-12)+in_hlth_small_renew^2*SUMIFS(AF1661:AF1678,B1661:B1678,B1662-24)+in_hlth_small_renew^3*SUMIFS(AF1661:AF1678,B1661:B1678,B1662-36)+in_hlth_small_renew^4*SUMIFS(AF1661:AF1678,B1661:B1678,B1662-48))</f>
        <v/>
      </c>
      <c r="AH1662" s="40">
        <f>AH1661*(1-IF(B1661&gt;=in_marketplace_from,d_hz_hlth_family*G1661,0))</f>
        <v/>
      </c>
      <c r="AI1662" s="46">
        <f>AH1662*IF(B1662&gt;=in_marketplace_from,d_hz_hlth_family*G1662,0)</f>
        <v/>
      </c>
      <c r="AJ1662" s="14">
        <f>F1662*AI1662*in_hlth_family_ticket*in_hlth_family_comm*in_ins_partner_share+F1662*in_hlth_family_ticket*in_hlth_family_renew_comm*in_ins_partner_share*(in_hlth_family_renew^1*SUMIFS(AI1661:AI1678,B1661:B1678,B1662-12)+in_hlth_family_renew^2*SUMIFS(AI1661:AI1678,B1661:B1678,B1662-24)+in_hlth_family_renew^3*SUMIFS(AI1661:AI1678,B1661:B1678,B1662-36)+in_hlth_family_renew^4*SUMIFS(AI1661:AI1678,B1661:B1678,B1662-48))</f>
        <v/>
      </c>
      <c r="AK1662" s="40">
        <f>AK1661*(1-IF(B1661&gt;=in_marketplace_from,d_hz_life_term*G1661,0))</f>
        <v/>
      </c>
      <c r="AL1662" s="46">
        <f>AK1662*IF(B1662&gt;=in_marketplace_from,d_hz_life_term*G1662,0)</f>
        <v/>
      </c>
      <c r="AM1662" s="14">
        <f>F1662*AL1662*in_life_term_ticket*in_life_term_comm*in_ins_partner_share+F1662*in_life_term_ticket*in_life_term_renew_comm*in_ins_partner_share*(in_life_term_renew^1*SUMIFS(AL1661:AL1678,B1661:B1678,B1662-12)+in_life_term_renew^2*SUMIFS(AL1661:AL1678,B1661:B1678,B1662-24)+in_life_term_renew^3*SUMIFS(AL1661:AL1678,B1661:B1678,B1662-36)+in_life_term_renew^4*SUMIFS(AL1661:AL1678,B1661:B1678,B1662-48))</f>
        <v/>
      </c>
      <c r="AN1662" s="40">
        <f>AN1661*(1-IF(B1661&gt;=in_marketplace_from,d_hz_accident*G1661,0))</f>
        <v/>
      </c>
      <c r="AO1662" s="46">
        <f>AN1662*IF(B1662&gt;=in_marketplace_from,d_hz_accident*G1662,0)</f>
        <v/>
      </c>
      <c r="AP1662" s="14">
        <f>F1662*AO1662*in_accident_ticket*in_accident_comm*in_ins_partner_share+F1662*in_accident_ticket*in_accident_renew_comm*in_ins_partner_share*(in_accident_renew^1*SUMIFS(AO1661:AO1678,B1661:B1678,B1662-12)+in_accident_renew^2*SUMIFS(AO1661:AO1678,B1661:B1678,B1662-24)+in_accident_renew^3*SUMIFS(AO1661:AO1678,B1661:B1678,B1662-36)+in_accident_renew^4*SUMIFS(AO1661:AO1678,B1661:B1678,B1662-48))</f>
        <v/>
      </c>
      <c r="AQ1662" s="40">
        <f>AQ1661*(1-IF(B1661&gt;=in_marketplace_from,d_hz_two_wheeler*G1661,0))</f>
        <v/>
      </c>
      <c r="AR1662" s="46">
        <f>AQ1662*IF(B1662&gt;=in_marketplace_from,d_hz_two_wheeler*G1662,0)</f>
        <v/>
      </c>
      <c r="AS1662" s="14">
        <f>F1662*AR1662*in_two_wheeler_ticket*in_two_wheeler_comm*in_ins_partner_share+F1662*in_two_wheeler_ticket*in_two_wheeler_comm*in_ins_partner_share*(in_two_wheeler_renew^1*SUMIFS(AR1661:AR1678,B1661:B1678,B1662-12)+in_two_wheeler_renew^2*SUMIFS(AR1661:AR1678,B1661:B1678,B1662-24)+in_two_wheeler_renew^3*SUMIFS(AR1661:AR1678,B1661:B1678,B1662-36)+in_two_wheeler_renew^4*SUMIFS(AR1661:AR1678,B1661:B1678,B1662-48))</f>
        <v/>
      </c>
      <c r="AT1662" s="40">
        <f>AT1661*(1-IF(B1661&gt;=in_marketplace_from,d_hz_device*G1661,0))</f>
        <v/>
      </c>
      <c r="AU1662" s="14">
        <f>F1662*AT1662*IF(B1662&gt;=in_marketplace_from,d_hz_device*G1662,0)*in_device_ticket*in_device_comm*in_ins_partner_share</f>
        <v/>
      </c>
      <c r="AV1662" s="40">
        <f>AV1661*(1-IF(B1661&gt;=in_marketplace_from,d_hz_shop*G1661,0))</f>
        <v/>
      </c>
      <c r="AW1662" s="46">
        <f>AV1662*IF(B1662&gt;=in_marketplace_from,d_hz_shop*G1662,0)</f>
        <v/>
      </c>
      <c r="AX1662" s="14">
        <f>F1662*AW1662*in_shop_ticket*in_shop_comm*in_ins_partner_share+F1662*in_shop_ticket*in_shop_renew_comm*in_ins_partner_share*(in_shop_renew^1*SUMIFS(AW1661:AW1678,B1661:B1678,B1662-12)+in_shop_renew^2*SUMIFS(AW1661:AW1678,B1661:B1678,B1662-24)+in_shop_renew^3*SUMIFS(AW1661:AW1678,B1661:B1678,B1662-36)+in_shop_renew^4*SUMIFS(AW1661:AW1678,B1661:B1678,B1662-48))</f>
        <v/>
      </c>
      <c r="AY1662" s="40">
        <f>AY1661*(1-IF(B1661&gt;=in_marketplace_from,d_hz_sip*G1661,0))</f>
        <v/>
      </c>
      <c r="AZ1662" s="40">
        <f>AZ1661*d_rho_sip+AY1662*IF(B1662&gt;=in_marketplace_from,d_hz_sip*G1662,0)</f>
        <v/>
      </c>
      <c r="BA1662" s="40">
        <f>d_rho_sip*(BA1661+AZ1661)</f>
        <v/>
      </c>
      <c r="BB1662" s="14">
        <f>F1662*in_sip_ticket*(BA1662+0.5*AZ1662)*in_sip_comm/12</f>
        <v/>
      </c>
      <c r="BC1662" s="40">
        <f>BC1661*(1-IF(B1661&gt;=in_marketplace_from,d_hz_choti*G1661,0))</f>
        <v/>
      </c>
      <c r="BD1662" s="46">
        <f>BC1662*IF(B1662&gt;=in_marketplace_from,d_hz_choti*G1662,0)</f>
        <v/>
      </c>
      <c r="BE1662" s="14">
        <f>F1662*SUMIFS(BD1661:BD1678,B1661:B1678,B1662-in_choti_months)*in_choti_renew*in_choti_ticket</f>
        <v/>
      </c>
      <c r="BF1662" s="40">
        <f>BF1661*(1-IF(B1661&gt;=in_marketplace_from,d_hz_nps*G1661,0))</f>
        <v/>
      </c>
      <c r="BG1662" s="14">
        <f>F1662*BF1662*IF(B1662&gt;=in_marketplace_from,d_hz_nps*G1662,0)*in_nps_ticket*in_nps_comm</f>
        <v/>
      </c>
      <c r="BH1662" s="40">
        <f>BH1661*(1-IF(B1661&gt;=in_marketplace_from,d_hz_gold*G1661,0))</f>
        <v/>
      </c>
      <c r="BI1662" s="40">
        <f>BI1661*d_rho_gold+BH1662*IF(B1662&gt;=in_marketplace_from,d_hz_gold*G1662,0)</f>
        <v/>
      </c>
      <c r="BJ1662" s="14">
        <f>F1662*BI1662*in_gold_ticket*in_gold_comm</f>
        <v/>
      </c>
      <c r="BK1662" s="40">
        <f>BK1661*(1-IF(B1661&gt;=in_marketplace_from,d_hz_fd*G1661,0))</f>
        <v/>
      </c>
      <c r="BL1662" s="14">
        <f>F1662*BK1662*IF(B1662&gt;=in_marketplace_from,d_hz_fd*G1662,0)*in_fd_ticket*in_fd_comm</f>
        <v/>
      </c>
      <c r="BM1662" s="40">
        <f>BM1661*(1-IF(B1661&gt;=in_marketplace_from,d_hz_recharge*G1661,0))</f>
        <v/>
      </c>
      <c r="BN1662" s="40">
        <f>BN1661*d_rho_recharge+BM1662*IF(B1662&gt;=in_marketplace_from,d_hz_recharge*G1662,0)</f>
        <v/>
      </c>
      <c r="BO1662" s="14">
        <f>F1662*BN1662*in_recharge_ticket*in_recharge_comm/12</f>
        <v/>
      </c>
      <c r="BP1662" s="40">
        <f>BP1661*(1-IF(B1661&gt;=in_marketplace_from,d_hz_bills*G1661,0))</f>
        <v/>
      </c>
      <c r="BQ1662" s="40">
        <f>BQ1661*d_rho_bills+BP1662*IF(B1662&gt;=in_marketplace_from,d_hz_bills*G1662,0)</f>
        <v/>
      </c>
      <c r="BR1662" s="14">
        <f>F1662*BQ1662*in_bills_ticket*in_bills_comm/12</f>
        <v/>
      </c>
      <c r="BS1662" s="40">
        <f>BS1661*(1-IF(B1661&gt;=in_marketplace_from,d_hz_loan_gold*G1661,0))</f>
        <v/>
      </c>
      <c r="BT1662" s="14">
        <f>F1662*BS1662*IF(B1662&gt;=in_marketplace_from,d_hz_loan_gold*G1662,0)*in_loan_gold_ticket*in_loan_gold_comm</f>
        <v/>
      </c>
      <c r="BU1662" s="40">
        <f>BU1661*(1-IF(B1661&gt;=in_marketplace_from,d_hz_loan_cd*G1661,0))</f>
        <v/>
      </c>
      <c r="BV1662" s="14">
        <f>F1662*BU1662*IF(B1662&gt;=in_marketplace_from,d_hz_loan_cd*G1662,0)*in_loan_cd_ticket*in_loan_cd_comm</f>
        <v/>
      </c>
      <c r="BW1662" s="40">
        <f>BW1661*(1-IF(B1661&gt;=in_marketplace_from,d_hz_loan_vehicle*G1661,0))</f>
        <v/>
      </c>
      <c r="BX1662" s="14">
        <f>F1662*BW1662*IF(B1662&gt;=in_marketplace_from,d_hz_loan_vehicle*G1662,0)*in_loan_vehicle_ticket*in_loan_vehicle_comm</f>
        <v/>
      </c>
      <c r="BY1662" s="40">
        <f>BY1661*(1-IF(B1661&gt;=in_marketplace_from,d_hz_loan_home*G1661,0)*BZ1661)</f>
        <v/>
      </c>
      <c r="BZ1662" s="11">
        <f>MIN(in_approval_cap,in_loan_home_approval*INDEX('Age profile'!$O$2:$O$61,B1662)*(1+in_approval_growth)^(D1662-1))</f>
        <v/>
      </c>
      <c r="CA1662" s="14">
        <f>F1662*BY1662*IF(B1662&gt;=in_marketplace_from,d_hz_loan_home*G1662,0)*BZ1662*in_loan_home_ticket*in_loan_home_comm</f>
        <v/>
      </c>
      <c r="CB1662" s="40">
        <f>CB1661*(1-IF(B1661&gt;=in_marketplace_from,d_hz_loan_lap*G1661,0)*CC1661)</f>
        <v/>
      </c>
      <c r="CC1662" s="11">
        <f>MIN(in_approval_cap,in_loan_lap_approval*INDEX('Age profile'!$O$2:$O$61,B1662)*(1+in_approval_growth)^(D1662-1))</f>
        <v/>
      </c>
      <c r="CD1662" s="14">
        <f>F1662*CB1662*IF(B1662&gt;=in_marketplace_from,d_hz_loan_lap*G1662,0)*CC1662*in_loan_lap_ticket*in_loan_lap_comm</f>
        <v/>
      </c>
      <c r="CE1662" s="14">
        <f>AA1662+AB1662+AC1662+AD1662+AG1662+AJ1662+AM1662+AP1662+AS1662+AU1662+AX1662+BB1662+BE1662+BG1662+BJ1662+BL1662+BO1662+BR1662+BT1662+BV1662+BX1662+CA1662+CD1662</f>
        <v/>
      </c>
    </row>
    <row r="1663">
      <c r="A1663" s="39" t="n">
        <v>43</v>
      </c>
      <c r="B1663" s="39" t="n">
        <v>3</v>
      </c>
      <c r="C1663" s="39">
        <f>A1663+B1663-1</f>
        <v/>
      </c>
      <c r="D1663" s="39">
        <f>INT((C1663-1)/12)+1</f>
        <v/>
      </c>
      <c r="E1663" s="44">
        <f>INDEX(Monthly!$B$2:$B$61,A1663)</f>
        <v/>
      </c>
      <c r="F1663" s="44">
        <f>E1663*INDEX('Age profile'!$B$2:$B$61,B1663)</f>
        <v/>
      </c>
      <c r="G1663" s="45">
        <f>MIN(in_takeup_cap,INDEX('Age profile'!$N$2:$N$61,B1663)*(1+in_takeup_growth)^(D1663-1))</f>
        <v/>
      </c>
      <c r="H1663" s="11">
        <f>MIN(in_approval_cap,in_approved_first*INDEX('Age profile'!$O$2:$O$61,B1663)*(1+in_approval_growth)^(D1663-1))</f>
        <v/>
      </c>
      <c r="I1663" s="45">
        <f>G1663*MIN(in_takeup_cap,INDEX('Age profile'!$O$2:$O$61,B1663)*(1+in_approval_growth)^(D1663-1))</f>
        <v/>
      </c>
      <c r="J1663" s="40">
        <f>(J1662-L1662)*F1663/F1662</f>
        <v/>
      </c>
      <c r="K1663" s="40">
        <f>(K1662-M1662)*F1663/F1662+SUMIFS(O1661:O1662,B1661:B1662,B1663-1-d_T)*F1663</f>
        <v/>
      </c>
      <c r="L1663" s="40">
        <f>IF(B1663&gt;=in_marketplace_from,J1663*d_hz*G1663*in_eligible*H1663,0)</f>
        <v/>
      </c>
      <c r="M1663" s="40">
        <f>IF(B1663&gt;=in_marketplace_from,K1663*d_hz*G1663*in_eligible*in_approved_repeat,0)</f>
        <v/>
      </c>
      <c r="N1663" s="40">
        <f>L1663+M1663</f>
        <v/>
      </c>
      <c r="O1663" s="46">
        <f>N1663/F1663</f>
        <v/>
      </c>
      <c r="P1663" s="40">
        <f>F1663-J1663-K1663</f>
        <v/>
      </c>
      <c r="Q1663" s="40">
        <f>IF(B1663&gt;=in_marketplace_from,(J1663+K1663)*d_hz*G1663,0)</f>
        <v/>
      </c>
      <c r="R1663" s="40">
        <f>SUMIFS(N1661:N1678,B1661:B1678,"&gt;="&amp;(B1663-d_T),B1661:B1678,"&lt;="&amp;(B1663-1))</f>
        <v/>
      </c>
      <c r="S1663" s="46">
        <f>(1-d_u)*S1662+IF(d_T&gt;in_topup_lag,SUMIFS(O1661:O1678,B1661:B1678,B1663-in_topup_lag)-d_udrop*SUMIFS(O1661:O1678,B1661:B1678,B1663-d_T),0)</f>
        <v/>
      </c>
      <c r="T1663" s="40">
        <f>F1663*d_u*S1663</f>
        <v/>
      </c>
      <c r="U1663" s="9">
        <f>L1663*in_ticket+M1663*d_rep_ticket</f>
        <v/>
      </c>
      <c r="V1663" s="9">
        <f>U1663+T1663*d_topup_amt</f>
        <v/>
      </c>
      <c r="W1663" s="40">
        <f>N1663+T1663*d_topup_ratio</f>
        <v/>
      </c>
      <c r="X1663" s="40">
        <f>SUMIFS(W1661:W1678,B1661:B1678,B1663-in_dpd_lag)*d_cured</f>
        <v/>
      </c>
      <c r="Y1663" s="40">
        <f>SUMIFS(W1661:W1678,B1661:B1678,B1663-in_rec_lag)*d_recd</f>
        <v/>
      </c>
      <c r="Z1663" s="40">
        <f>IF(AND(B1663&gt;=in_marketplace_from,B1663&lt;in_marketplace_from+in_card_months),in_card_share/in_card_months*F1663*I1663,IF(AND(B1663&gt;=in_marketplace_from+in_card_months,B1663&lt;in_marketplace_from+2*in_card_months),in_card_share*d_card_rem/in_card_months*F1663*MIN(in_takeup_cap,(1+in_takeup_growth)^(D1663-1))*MIN(in_takeup_cap,(1+in_approval_growth)^(D1663-1)),0))</f>
        <v/>
      </c>
      <c r="AA1663" s="14">
        <f>V1663*in_fee*(1-in_taken_back)</f>
        <v/>
      </c>
      <c r="AB1663" s="14">
        <f>SUMIFS(W1661:W1678,B1661:B1678,B1663-in_dpd_lag)*d_dpd</f>
        <v/>
      </c>
      <c r="AC1663" s="14">
        <f>SUMIFS(W1661:W1678,B1661:B1678,B1663-in_rec_lag)*d_rec</f>
        <v/>
      </c>
      <c r="AD1663" s="14">
        <f>Z1663*in_card_fee</f>
        <v/>
      </c>
      <c r="AE1663" s="40">
        <f>AE1662*(1-IF(B1662&gt;=in_marketplace_from,d_hz_hlth_small*G1662,0))</f>
        <v/>
      </c>
      <c r="AF1663" s="46">
        <f>AE1663*IF(B1663&gt;=in_marketplace_from,d_hz_hlth_small*G1663,0)</f>
        <v/>
      </c>
      <c r="AG1663" s="14">
        <f>F1663*AF1663*in_hlth_small_ticket*in_hlth_small_comm*in_ins_partner_share+F1663*in_hlth_small_ticket*in_hlth_small_renew_comm*in_ins_partner_share*(in_hlth_small_renew^1*SUMIFS(AF1661:AF1678,B1661:B1678,B1663-12)+in_hlth_small_renew^2*SUMIFS(AF1661:AF1678,B1661:B1678,B1663-24)+in_hlth_small_renew^3*SUMIFS(AF1661:AF1678,B1661:B1678,B1663-36)+in_hlth_small_renew^4*SUMIFS(AF1661:AF1678,B1661:B1678,B1663-48))</f>
        <v/>
      </c>
      <c r="AH1663" s="40">
        <f>AH1662*(1-IF(B1662&gt;=in_marketplace_from,d_hz_hlth_family*G1662,0))</f>
        <v/>
      </c>
      <c r="AI1663" s="46">
        <f>AH1663*IF(B1663&gt;=in_marketplace_from,d_hz_hlth_family*G1663,0)</f>
        <v/>
      </c>
      <c r="AJ1663" s="14">
        <f>F1663*AI1663*in_hlth_family_ticket*in_hlth_family_comm*in_ins_partner_share+F1663*in_hlth_family_ticket*in_hlth_family_renew_comm*in_ins_partner_share*(in_hlth_family_renew^1*SUMIFS(AI1661:AI1678,B1661:B1678,B1663-12)+in_hlth_family_renew^2*SUMIFS(AI1661:AI1678,B1661:B1678,B1663-24)+in_hlth_family_renew^3*SUMIFS(AI1661:AI1678,B1661:B1678,B1663-36)+in_hlth_family_renew^4*SUMIFS(AI1661:AI1678,B1661:B1678,B1663-48))</f>
        <v/>
      </c>
      <c r="AK1663" s="40">
        <f>AK1662*(1-IF(B1662&gt;=in_marketplace_from,d_hz_life_term*G1662,0))</f>
        <v/>
      </c>
      <c r="AL1663" s="46">
        <f>AK1663*IF(B1663&gt;=in_marketplace_from,d_hz_life_term*G1663,0)</f>
        <v/>
      </c>
      <c r="AM1663" s="14">
        <f>F1663*AL1663*in_life_term_ticket*in_life_term_comm*in_ins_partner_share+F1663*in_life_term_ticket*in_life_term_renew_comm*in_ins_partner_share*(in_life_term_renew^1*SUMIFS(AL1661:AL1678,B1661:B1678,B1663-12)+in_life_term_renew^2*SUMIFS(AL1661:AL1678,B1661:B1678,B1663-24)+in_life_term_renew^3*SUMIFS(AL1661:AL1678,B1661:B1678,B1663-36)+in_life_term_renew^4*SUMIFS(AL1661:AL1678,B1661:B1678,B1663-48))</f>
        <v/>
      </c>
      <c r="AN1663" s="40">
        <f>AN1662*(1-IF(B1662&gt;=in_marketplace_from,d_hz_accident*G1662,0))</f>
        <v/>
      </c>
      <c r="AO1663" s="46">
        <f>AN1663*IF(B1663&gt;=in_marketplace_from,d_hz_accident*G1663,0)</f>
        <v/>
      </c>
      <c r="AP1663" s="14">
        <f>F1663*AO1663*in_accident_ticket*in_accident_comm*in_ins_partner_share+F1663*in_accident_ticket*in_accident_renew_comm*in_ins_partner_share*(in_accident_renew^1*SUMIFS(AO1661:AO1678,B1661:B1678,B1663-12)+in_accident_renew^2*SUMIFS(AO1661:AO1678,B1661:B1678,B1663-24)+in_accident_renew^3*SUMIFS(AO1661:AO1678,B1661:B1678,B1663-36)+in_accident_renew^4*SUMIFS(AO1661:AO1678,B1661:B1678,B1663-48))</f>
        <v/>
      </c>
      <c r="AQ1663" s="40">
        <f>AQ1662*(1-IF(B1662&gt;=in_marketplace_from,d_hz_two_wheeler*G1662,0))</f>
        <v/>
      </c>
      <c r="AR1663" s="46">
        <f>AQ1663*IF(B1663&gt;=in_marketplace_from,d_hz_two_wheeler*G1663,0)</f>
        <v/>
      </c>
      <c r="AS1663" s="14">
        <f>F1663*AR1663*in_two_wheeler_ticket*in_two_wheeler_comm*in_ins_partner_share+F1663*in_two_wheeler_ticket*in_two_wheeler_comm*in_ins_partner_share*(in_two_wheeler_renew^1*SUMIFS(AR1661:AR1678,B1661:B1678,B1663-12)+in_two_wheeler_renew^2*SUMIFS(AR1661:AR1678,B1661:B1678,B1663-24)+in_two_wheeler_renew^3*SUMIFS(AR1661:AR1678,B1661:B1678,B1663-36)+in_two_wheeler_renew^4*SUMIFS(AR1661:AR1678,B1661:B1678,B1663-48))</f>
        <v/>
      </c>
      <c r="AT1663" s="40">
        <f>AT1662*(1-IF(B1662&gt;=in_marketplace_from,d_hz_device*G1662,0))</f>
        <v/>
      </c>
      <c r="AU1663" s="14">
        <f>F1663*AT1663*IF(B1663&gt;=in_marketplace_from,d_hz_device*G1663,0)*in_device_ticket*in_device_comm*in_ins_partner_share</f>
        <v/>
      </c>
      <c r="AV1663" s="40">
        <f>AV1662*(1-IF(B1662&gt;=in_marketplace_from,d_hz_shop*G1662,0))</f>
        <v/>
      </c>
      <c r="AW1663" s="46">
        <f>AV1663*IF(B1663&gt;=in_marketplace_from,d_hz_shop*G1663,0)</f>
        <v/>
      </c>
      <c r="AX1663" s="14">
        <f>F1663*AW1663*in_shop_ticket*in_shop_comm*in_ins_partner_share+F1663*in_shop_ticket*in_shop_renew_comm*in_ins_partner_share*(in_shop_renew^1*SUMIFS(AW1661:AW1678,B1661:B1678,B1663-12)+in_shop_renew^2*SUMIFS(AW1661:AW1678,B1661:B1678,B1663-24)+in_shop_renew^3*SUMIFS(AW1661:AW1678,B1661:B1678,B1663-36)+in_shop_renew^4*SUMIFS(AW1661:AW1678,B1661:B1678,B1663-48))</f>
        <v/>
      </c>
      <c r="AY1663" s="40">
        <f>AY1662*(1-IF(B1662&gt;=in_marketplace_from,d_hz_sip*G1662,0))</f>
        <v/>
      </c>
      <c r="AZ1663" s="40">
        <f>AZ1662*d_rho_sip+AY1663*IF(B1663&gt;=in_marketplace_from,d_hz_sip*G1663,0)</f>
        <v/>
      </c>
      <c r="BA1663" s="40">
        <f>d_rho_sip*(BA1662+AZ1662)</f>
        <v/>
      </c>
      <c r="BB1663" s="14">
        <f>F1663*in_sip_ticket*(BA1663+0.5*AZ1663)*in_sip_comm/12</f>
        <v/>
      </c>
      <c r="BC1663" s="40">
        <f>BC1662*(1-IF(B1662&gt;=in_marketplace_from,d_hz_choti*G1662,0))</f>
        <v/>
      </c>
      <c r="BD1663" s="46">
        <f>BC1663*IF(B1663&gt;=in_marketplace_from,d_hz_choti*G1663,0)</f>
        <v/>
      </c>
      <c r="BE1663" s="14">
        <f>F1663*SUMIFS(BD1661:BD1678,B1661:B1678,B1663-in_choti_months)*in_choti_renew*in_choti_ticket</f>
        <v/>
      </c>
      <c r="BF1663" s="40">
        <f>BF1662*(1-IF(B1662&gt;=in_marketplace_from,d_hz_nps*G1662,0))</f>
        <v/>
      </c>
      <c r="BG1663" s="14">
        <f>F1663*BF1663*IF(B1663&gt;=in_marketplace_from,d_hz_nps*G1663,0)*in_nps_ticket*in_nps_comm</f>
        <v/>
      </c>
      <c r="BH1663" s="40">
        <f>BH1662*(1-IF(B1662&gt;=in_marketplace_from,d_hz_gold*G1662,0))</f>
        <v/>
      </c>
      <c r="BI1663" s="40">
        <f>BI1662*d_rho_gold+BH1663*IF(B1663&gt;=in_marketplace_from,d_hz_gold*G1663,0)</f>
        <v/>
      </c>
      <c r="BJ1663" s="14">
        <f>F1663*BI1663*in_gold_ticket*in_gold_comm</f>
        <v/>
      </c>
      <c r="BK1663" s="40">
        <f>BK1662*(1-IF(B1662&gt;=in_marketplace_from,d_hz_fd*G1662,0))</f>
        <v/>
      </c>
      <c r="BL1663" s="14">
        <f>F1663*BK1663*IF(B1663&gt;=in_marketplace_from,d_hz_fd*G1663,0)*in_fd_ticket*in_fd_comm</f>
        <v/>
      </c>
      <c r="BM1663" s="40">
        <f>BM1662*(1-IF(B1662&gt;=in_marketplace_from,d_hz_recharge*G1662,0))</f>
        <v/>
      </c>
      <c r="BN1663" s="40">
        <f>BN1662*d_rho_recharge+BM1663*IF(B1663&gt;=in_marketplace_from,d_hz_recharge*G1663,0)</f>
        <v/>
      </c>
      <c r="BO1663" s="14">
        <f>F1663*BN1663*in_recharge_ticket*in_recharge_comm/12</f>
        <v/>
      </c>
      <c r="BP1663" s="40">
        <f>BP1662*(1-IF(B1662&gt;=in_marketplace_from,d_hz_bills*G1662,0))</f>
        <v/>
      </c>
      <c r="BQ1663" s="40">
        <f>BQ1662*d_rho_bills+BP1663*IF(B1663&gt;=in_marketplace_from,d_hz_bills*G1663,0)</f>
        <v/>
      </c>
      <c r="BR1663" s="14">
        <f>F1663*BQ1663*in_bills_ticket*in_bills_comm/12</f>
        <v/>
      </c>
      <c r="BS1663" s="40">
        <f>BS1662*(1-IF(B1662&gt;=in_marketplace_from,d_hz_loan_gold*G1662,0))</f>
        <v/>
      </c>
      <c r="BT1663" s="14">
        <f>F1663*BS1663*IF(B1663&gt;=in_marketplace_from,d_hz_loan_gold*G1663,0)*in_loan_gold_ticket*in_loan_gold_comm</f>
        <v/>
      </c>
      <c r="BU1663" s="40">
        <f>BU1662*(1-IF(B1662&gt;=in_marketplace_from,d_hz_loan_cd*G1662,0))</f>
        <v/>
      </c>
      <c r="BV1663" s="14">
        <f>F1663*BU1663*IF(B1663&gt;=in_marketplace_from,d_hz_loan_cd*G1663,0)*in_loan_cd_ticket*in_loan_cd_comm</f>
        <v/>
      </c>
      <c r="BW1663" s="40">
        <f>BW1662*(1-IF(B1662&gt;=in_marketplace_from,d_hz_loan_vehicle*G1662,0))</f>
        <v/>
      </c>
      <c r="BX1663" s="14">
        <f>F1663*BW1663*IF(B1663&gt;=in_marketplace_from,d_hz_loan_vehicle*G1663,0)*in_loan_vehicle_ticket*in_loan_vehicle_comm</f>
        <v/>
      </c>
      <c r="BY1663" s="40">
        <f>BY1662*(1-IF(B1662&gt;=in_marketplace_from,d_hz_loan_home*G1662,0)*BZ1662)</f>
        <v/>
      </c>
      <c r="BZ1663" s="11">
        <f>MIN(in_approval_cap,in_loan_home_approval*INDEX('Age profile'!$O$2:$O$61,B1663)*(1+in_approval_growth)^(D1663-1))</f>
        <v/>
      </c>
      <c r="CA1663" s="14">
        <f>F1663*BY1663*IF(B1663&gt;=in_marketplace_from,d_hz_loan_home*G1663,0)*BZ1663*in_loan_home_ticket*in_loan_home_comm</f>
        <v/>
      </c>
      <c r="CB1663" s="40">
        <f>CB1662*(1-IF(B1662&gt;=in_marketplace_from,d_hz_loan_lap*G1662,0)*CC1662)</f>
        <v/>
      </c>
      <c r="CC1663" s="11">
        <f>MIN(in_approval_cap,in_loan_lap_approval*INDEX('Age profile'!$O$2:$O$61,B1663)*(1+in_approval_growth)^(D1663-1))</f>
        <v/>
      </c>
      <c r="CD1663" s="14">
        <f>F1663*CB1663*IF(B1663&gt;=in_marketplace_from,d_hz_loan_lap*G1663,0)*CC1663*in_loan_lap_ticket*in_loan_lap_comm</f>
        <v/>
      </c>
      <c r="CE1663" s="14">
        <f>AA1663+AB1663+AC1663+AD1663+AG1663+AJ1663+AM1663+AP1663+AS1663+AU1663+AX1663+BB1663+BE1663+BG1663+BJ1663+BL1663+BO1663+BR1663+BT1663+BV1663+BX1663+CA1663+CD1663</f>
        <v/>
      </c>
    </row>
    <row r="1664">
      <c r="A1664" s="39" t="n">
        <v>43</v>
      </c>
      <c r="B1664" s="39" t="n">
        <v>4</v>
      </c>
      <c r="C1664" s="39">
        <f>A1664+B1664-1</f>
        <v/>
      </c>
      <c r="D1664" s="39">
        <f>INT((C1664-1)/12)+1</f>
        <v/>
      </c>
      <c r="E1664" s="44">
        <f>INDEX(Monthly!$B$2:$B$61,A1664)</f>
        <v/>
      </c>
      <c r="F1664" s="44">
        <f>E1664*INDEX('Age profile'!$B$2:$B$61,B1664)</f>
        <v/>
      </c>
      <c r="G1664" s="45">
        <f>MIN(in_takeup_cap,INDEX('Age profile'!$N$2:$N$61,B1664)*(1+in_takeup_growth)^(D1664-1))</f>
        <v/>
      </c>
      <c r="H1664" s="11">
        <f>MIN(in_approval_cap,in_approved_first*INDEX('Age profile'!$O$2:$O$61,B1664)*(1+in_approval_growth)^(D1664-1))</f>
        <v/>
      </c>
      <c r="I1664" s="45">
        <f>G1664*MIN(in_takeup_cap,INDEX('Age profile'!$O$2:$O$61,B1664)*(1+in_approval_growth)^(D1664-1))</f>
        <v/>
      </c>
      <c r="J1664" s="40">
        <f>(J1663-L1663)*F1664/F1663</f>
        <v/>
      </c>
      <c r="K1664" s="40">
        <f>(K1663-M1663)*F1664/F1663+SUMIFS(O1661:O1663,B1661:B1663,B1664-1-d_T)*F1664</f>
        <v/>
      </c>
      <c r="L1664" s="40">
        <f>IF(B1664&gt;=in_marketplace_from,J1664*d_hz*G1664*in_eligible*H1664,0)</f>
        <v/>
      </c>
      <c r="M1664" s="40">
        <f>IF(B1664&gt;=in_marketplace_from,K1664*d_hz*G1664*in_eligible*in_approved_repeat,0)</f>
        <v/>
      </c>
      <c r="N1664" s="40">
        <f>L1664+M1664</f>
        <v/>
      </c>
      <c r="O1664" s="46">
        <f>N1664/F1664</f>
        <v/>
      </c>
      <c r="P1664" s="40">
        <f>F1664-J1664-K1664</f>
        <v/>
      </c>
      <c r="Q1664" s="40">
        <f>IF(B1664&gt;=in_marketplace_from,(J1664+K1664)*d_hz*G1664,0)</f>
        <v/>
      </c>
      <c r="R1664" s="40">
        <f>SUMIFS(N1661:N1678,B1661:B1678,"&gt;="&amp;(B1664-d_T),B1661:B1678,"&lt;="&amp;(B1664-1))</f>
        <v/>
      </c>
      <c r="S1664" s="46">
        <f>(1-d_u)*S1663+IF(d_T&gt;in_topup_lag,SUMIFS(O1661:O1678,B1661:B1678,B1664-in_topup_lag)-d_udrop*SUMIFS(O1661:O1678,B1661:B1678,B1664-d_T),0)</f>
        <v/>
      </c>
      <c r="T1664" s="40">
        <f>F1664*d_u*S1664</f>
        <v/>
      </c>
      <c r="U1664" s="9">
        <f>L1664*in_ticket+M1664*d_rep_ticket</f>
        <v/>
      </c>
      <c r="V1664" s="9">
        <f>U1664+T1664*d_topup_amt</f>
        <v/>
      </c>
      <c r="W1664" s="40">
        <f>N1664+T1664*d_topup_ratio</f>
        <v/>
      </c>
      <c r="X1664" s="40">
        <f>SUMIFS(W1661:W1678,B1661:B1678,B1664-in_dpd_lag)*d_cured</f>
        <v/>
      </c>
      <c r="Y1664" s="40">
        <f>SUMIFS(W1661:W1678,B1661:B1678,B1664-in_rec_lag)*d_recd</f>
        <v/>
      </c>
      <c r="Z1664" s="40">
        <f>IF(AND(B1664&gt;=in_marketplace_from,B1664&lt;in_marketplace_from+in_card_months),in_card_share/in_card_months*F1664*I1664,IF(AND(B1664&gt;=in_marketplace_from+in_card_months,B1664&lt;in_marketplace_from+2*in_card_months),in_card_share*d_card_rem/in_card_months*F1664*MIN(in_takeup_cap,(1+in_takeup_growth)^(D1664-1))*MIN(in_takeup_cap,(1+in_approval_growth)^(D1664-1)),0))</f>
        <v/>
      </c>
      <c r="AA1664" s="14">
        <f>V1664*in_fee*(1-in_taken_back)</f>
        <v/>
      </c>
      <c r="AB1664" s="14">
        <f>SUMIFS(W1661:W1678,B1661:B1678,B1664-in_dpd_lag)*d_dpd</f>
        <v/>
      </c>
      <c r="AC1664" s="14">
        <f>SUMIFS(W1661:W1678,B1661:B1678,B1664-in_rec_lag)*d_rec</f>
        <v/>
      </c>
      <c r="AD1664" s="14">
        <f>Z1664*in_card_fee</f>
        <v/>
      </c>
      <c r="AE1664" s="40">
        <f>AE1663*(1-IF(B1663&gt;=in_marketplace_from,d_hz_hlth_small*G1663,0))</f>
        <v/>
      </c>
      <c r="AF1664" s="46">
        <f>AE1664*IF(B1664&gt;=in_marketplace_from,d_hz_hlth_small*G1664,0)</f>
        <v/>
      </c>
      <c r="AG1664" s="14">
        <f>F1664*AF1664*in_hlth_small_ticket*in_hlth_small_comm*in_ins_partner_share+F1664*in_hlth_small_ticket*in_hlth_small_renew_comm*in_ins_partner_share*(in_hlth_small_renew^1*SUMIFS(AF1661:AF1678,B1661:B1678,B1664-12)+in_hlth_small_renew^2*SUMIFS(AF1661:AF1678,B1661:B1678,B1664-24)+in_hlth_small_renew^3*SUMIFS(AF1661:AF1678,B1661:B1678,B1664-36)+in_hlth_small_renew^4*SUMIFS(AF1661:AF1678,B1661:B1678,B1664-48))</f>
        <v/>
      </c>
      <c r="AH1664" s="40">
        <f>AH1663*(1-IF(B1663&gt;=in_marketplace_from,d_hz_hlth_family*G1663,0))</f>
        <v/>
      </c>
      <c r="AI1664" s="46">
        <f>AH1664*IF(B1664&gt;=in_marketplace_from,d_hz_hlth_family*G1664,0)</f>
        <v/>
      </c>
      <c r="AJ1664" s="14">
        <f>F1664*AI1664*in_hlth_family_ticket*in_hlth_family_comm*in_ins_partner_share+F1664*in_hlth_family_ticket*in_hlth_family_renew_comm*in_ins_partner_share*(in_hlth_family_renew^1*SUMIFS(AI1661:AI1678,B1661:B1678,B1664-12)+in_hlth_family_renew^2*SUMIFS(AI1661:AI1678,B1661:B1678,B1664-24)+in_hlth_family_renew^3*SUMIFS(AI1661:AI1678,B1661:B1678,B1664-36)+in_hlth_family_renew^4*SUMIFS(AI1661:AI1678,B1661:B1678,B1664-48))</f>
        <v/>
      </c>
      <c r="AK1664" s="40">
        <f>AK1663*(1-IF(B1663&gt;=in_marketplace_from,d_hz_life_term*G1663,0))</f>
        <v/>
      </c>
      <c r="AL1664" s="46">
        <f>AK1664*IF(B1664&gt;=in_marketplace_from,d_hz_life_term*G1664,0)</f>
        <v/>
      </c>
      <c r="AM1664" s="14">
        <f>F1664*AL1664*in_life_term_ticket*in_life_term_comm*in_ins_partner_share+F1664*in_life_term_ticket*in_life_term_renew_comm*in_ins_partner_share*(in_life_term_renew^1*SUMIFS(AL1661:AL1678,B1661:B1678,B1664-12)+in_life_term_renew^2*SUMIFS(AL1661:AL1678,B1661:B1678,B1664-24)+in_life_term_renew^3*SUMIFS(AL1661:AL1678,B1661:B1678,B1664-36)+in_life_term_renew^4*SUMIFS(AL1661:AL1678,B1661:B1678,B1664-48))</f>
        <v/>
      </c>
      <c r="AN1664" s="40">
        <f>AN1663*(1-IF(B1663&gt;=in_marketplace_from,d_hz_accident*G1663,0))</f>
        <v/>
      </c>
      <c r="AO1664" s="46">
        <f>AN1664*IF(B1664&gt;=in_marketplace_from,d_hz_accident*G1664,0)</f>
        <v/>
      </c>
      <c r="AP1664" s="14">
        <f>F1664*AO1664*in_accident_ticket*in_accident_comm*in_ins_partner_share+F1664*in_accident_ticket*in_accident_renew_comm*in_ins_partner_share*(in_accident_renew^1*SUMIFS(AO1661:AO1678,B1661:B1678,B1664-12)+in_accident_renew^2*SUMIFS(AO1661:AO1678,B1661:B1678,B1664-24)+in_accident_renew^3*SUMIFS(AO1661:AO1678,B1661:B1678,B1664-36)+in_accident_renew^4*SUMIFS(AO1661:AO1678,B1661:B1678,B1664-48))</f>
        <v/>
      </c>
      <c r="AQ1664" s="40">
        <f>AQ1663*(1-IF(B1663&gt;=in_marketplace_from,d_hz_two_wheeler*G1663,0))</f>
        <v/>
      </c>
      <c r="AR1664" s="46">
        <f>AQ1664*IF(B1664&gt;=in_marketplace_from,d_hz_two_wheeler*G1664,0)</f>
        <v/>
      </c>
      <c r="AS1664" s="14">
        <f>F1664*AR1664*in_two_wheeler_ticket*in_two_wheeler_comm*in_ins_partner_share+F1664*in_two_wheeler_ticket*in_two_wheeler_comm*in_ins_partner_share*(in_two_wheeler_renew^1*SUMIFS(AR1661:AR1678,B1661:B1678,B1664-12)+in_two_wheeler_renew^2*SUMIFS(AR1661:AR1678,B1661:B1678,B1664-24)+in_two_wheeler_renew^3*SUMIFS(AR1661:AR1678,B1661:B1678,B1664-36)+in_two_wheeler_renew^4*SUMIFS(AR1661:AR1678,B1661:B1678,B1664-48))</f>
        <v/>
      </c>
      <c r="AT1664" s="40">
        <f>AT1663*(1-IF(B1663&gt;=in_marketplace_from,d_hz_device*G1663,0))</f>
        <v/>
      </c>
      <c r="AU1664" s="14">
        <f>F1664*AT1664*IF(B1664&gt;=in_marketplace_from,d_hz_device*G1664,0)*in_device_ticket*in_device_comm*in_ins_partner_share</f>
        <v/>
      </c>
      <c r="AV1664" s="40">
        <f>AV1663*(1-IF(B1663&gt;=in_marketplace_from,d_hz_shop*G1663,0))</f>
        <v/>
      </c>
      <c r="AW1664" s="46">
        <f>AV1664*IF(B1664&gt;=in_marketplace_from,d_hz_shop*G1664,0)</f>
        <v/>
      </c>
      <c r="AX1664" s="14">
        <f>F1664*AW1664*in_shop_ticket*in_shop_comm*in_ins_partner_share+F1664*in_shop_ticket*in_shop_renew_comm*in_ins_partner_share*(in_shop_renew^1*SUMIFS(AW1661:AW1678,B1661:B1678,B1664-12)+in_shop_renew^2*SUMIFS(AW1661:AW1678,B1661:B1678,B1664-24)+in_shop_renew^3*SUMIFS(AW1661:AW1678,B1661:B1678,B1664-36)+in_shop_renew^4*SUMIFS(AW1661:AW1678,B1661:B1678,B1664-48))</f>
        <v/>
      </c>
      <c r="AY1664" s="40">
        <f>AY1663*(1-IF(B1663&gt;=in_marketplace_from,d_hz_sip*G1663,0))</f>
        <v/>
      </c>
      <c r="AZ1664" s="40">
        <f>AZ1663*d_rho_sip+AY1664*IF(B1664&gt;=in_marketplace_from,d_hz_sip*G1664,0)</f>
        <v/>
      </c>
      <c r="BA1664" s="40">
        <f>d_rho_sip*(BA1663+AZ1663)</f>
        <v/>
      </c>
      <c r="BB1664" s="14">
        <f>F1664*in_sip_ticket*(BA1664+0.5*AZ1664)*in_sip_comm/12</f>
        <v/>
      </c>
      <c r="BC1664" s="40">
        <f>BC1663*(1-IF(B1663&gt;=in_marketplace_from,d_hz_choti*G1663,0))</f>
        <v/>
      </c>
      <c r="BD1664" s="46">
        <f>BC1664*IF(B1664&gt;=in_marketplace_from,d_hz_choti*G1664,0)</f>
        <v/>
      </c>
      <c r="BE1664" s="14">
        <f>F1664*SUMIFS(BD1661:BD1678,B1661:B1678,B1664-in_choti_months)*in_choti_renew*in_choti_ticket</f>
        <v/>
      </c>
      <c r="BF1664" s="40">
        <f>BF1663*(1-IF(B1663&gt;=in_marketplace_from,d_hz_nps*G1663,0))</f>
        <v/>
      </c>
      <c r="BG1664" s="14">
        <f>F1664*BF1664*IF(B1664&gt;=in_marketplace_from,d_hz_nps*G1664,0)*in_nps_ticket*in_nps_comm</f>
        <v/>
      </c>
      <c r="BH1664" s="40">
        <f>BH1663*(1-IF(B1663&gt;=in_marketplace_from,d_hz_gold*G1663,0))</f>
        <v/>
      </c>
      <c r="BI1664" s="40">
        <f>BI1663*d_rho_gold+BH1664*IF(B1664&gt;=in_marketplace_from,d_hz_gold*G1664,0)</f>
        <v/>
      </c>
      <c r="BJ1664" s="14">
        <f>F1664*BI1664*in_gold_ticket*in_gold_comm</f>
        <v/>
      </c>
      <c r="BK1664" s="40">
        <f>BK1663*(1-IF(B1663&gt;=in_marketplace_from,d_hz_fd*G1663,0))</f>
        <v/>
      </c>
      <c r="BL1664" s="14">
        <f>F1664*BK1664*IF(B1664&gt;=in_marketplace_from,d_hz_fd*G1664,0)*in_fd_ticket*in_fd_comm</f>
        <v/>
      </c>
      <c r="BM1664" s="40">
        <f>BM1663*(1-IF(B1663&gt;=in_marketplace_from,d_hz_recharge*G1663,0))</f>
        <v/>
      </c>
      <c r="BN1664" s="40">
        <f>BN1663*d_rho_recharge+BM1664*IF(B1664&gt;=in_marketplace_from,d_hz_recharge*G1664,0)</f>
        <v/>
      </c>
      <c r="BO1664" s="14">
        <f>F1664*BN1664*in_recharge_ticket*in_recharge_comm/12</f>
        <v/>
      </c>
      <c r="BP1664" s="40">
        <f>BP1663*(1-IF(B1663&gt;=in_marketplace_from,d_hz_bills*G1663,0))</f>
        <v/>
      </c>
      <c r="BQ1664" s="40">
        <f>BQ1663*d_rho_bills+BP1664*IF(B1664&gt;=in_marketplace_from,d_hz_bills*G1664,0)</f>
        <v/>
      </c>
      <c r="BR1664" s="14">
        <f>F1664*BQ1664*in_bills_ticket*in_bills_comm/12</f>
        <v/>
      </c>
      <c r="BS1664" s="40">
        <f>BS1663*(1-IF(B1663&gt;=in_marketplace_from,d_hz_loan_gold*G1663,0))</f>
        <v/>
      </c>
      <c r="BT1664" s="14">
        <f>F1664*BS1664*IF(B1664&gt;=in_marketplace_from,d_hz_loan_gold*G1664,0)*in_loan_gold_ticket*in_loan_gold_comm</f>
        <v/>
      </c>
      <c r="BU1664" s="40">
        <f>BU1663*(1-IF(B1663&gt;=in_marketplace_from,d_hz_loan_cd*G1663,0))</f>
        <v/>
      </c>
      <c r="BV1664" s="14">
        <f>F1664*BU1664*IF(B1664&gt;=in_marketplace_from,d_hz_loan_cd*G1664,0)*in_loan_cd_ticket*in_loan_cd_comm</f>
        <v/>
      </c>
      <c r="BW1664" s="40">
        <f>BW1663*(1-IF(B1663&gt;=in_marketplace_from,d_hz_loan_vehicle*G1663,0))</f>
        <v/>
      </c>
      <c r="BX1664" s="14">
        <f>F1664*BW1664*IF(B1664&gt;=in_marketplace_from,d_hz_loan_vehicle*G1664,0)*in_loan_vehicle_ticket*in_loan_vehicle_comm</f>
        <v/>
      </c>
      <c r="BY1664" s="40">
        <f>BY1663*(1-IF(B1663&gt;=in_marketplace_from,d_hz_loan_home*G1663,0)*BZ1663)</f>
        <v/>
      </c>
      <c r="BZ1664" s="11">
        <f>MIN(in_approval_cap,in_loan_home_approval*INDEX('Age profile'!$O$2:$O$61,B1664)*(1+in_approval_growth)^(D1664-1))</f>
        <v/>
      </c>
      <c r="CA1664" s="14">
        <f>F1664*BY1664*IF(B1664&gt;=in_marketplace_from,d_hz_loan_home*G1664,0)*BZ1664*in_loan_home_ticket*in_loan_home_comm</f>
        <v/>
      </c>
      <c r="CB1664" s="40">
        <f>CB1663*(1-IF(B1663&gt;=in_marketplace_from,d_hz_loan_lap*G1663,0)*CC1663)</f>
        <v/>
      </c>
      <c r="CC1664" s="11">
        <f>MIN(in_approval_cap,in_loan_lap_approval*INDEX('Age profile'!$O$2:$O$61,B1664)*(1+in_approval_growth)^(D1664-1))</f>
        <v/>
      </c>
      <c r="CD1664" s="14">
        <f>F1664*CB1664*IF(B1664&gt;=in_marketplace_from,d_hz_loan_lap*G1664,0)*CC1664*in_loan_lap_ticket*in_loan_lap_comm</f>
        <v/>
      </c>
      <c r="CE1664" s="14">
        <f>AA1664+AB1664+AC1664+AD1664+AG1664+AJ1664+AM1664+AP1664+AS1664+AU1664+AX1664+BB1664+BE1664+BG1664+BJ1664+BL1664+BO1664+BR1664+BT1664+BV1664+BX1664+CA1664+CD1664</f>
        <v/>
      </c>
    </row>
    <row r="1665">
      <c r="A1665" s="39" t="n">
        <v>43</v>
      </c>
      <c r="B1665" s="39" t="n">
        <v>5</v>
      </c>
      <c r="C1665" s="39">
        <f>A1665+B1665-1</f>
        <v/>
      </c>
      <c r="D1665" s="39">
        <f>INT((C1665-1)/12)+1</f>
        <v/>
      </c>
      <c r="E1665" s="44">
        <f>INDEX(Monthly!$B$2:$B$61,A1665)</f>
        <v/>
      </c>
      <c r="F1665" s="44">
        <f>E1665*INDEX('Age profile'!$B$2:$B$61,B1665)</f>
        <v/>
      </c>
      <c r="G1665" s="45">
        <f>MIN(in_takeup_cap,INDEX('Age profile'!$N$2:$N$61,B1665)*(1+in_takeup_growth)^(D1665-1))</f>
        <v/>
      </c>
      <c r="H1665" s="11">
        <f>MIN(in_approval_cap,in_approved_first*INDEX('Age profile'!$O$2:$O$61,B1665)*(1+in_approval_growth)^(D1665-1))</f>
        <v/>
      </c>
      <c r="I1665" s="45">
        <f>G1665*MIN(in_takeup_cap,INDEX('Age profile'!$O$2:$O$61,B1665)*(1+in_approval_growth)^(D1665-1))</f>
        <v/>
      </c>
      <c r="J1665" s="40">
        <f>(J1664-L1664)*F1665/F1664</f>
        <v/>
      </c>
      <c r="K1665" s="40">
        <f>(K1664-M1664)*F1665/F1664+SUMIFS(O1661:O1664,B1661:B1664,B1665-1-d_T)*F1665</f>
        <v/>
      </c>
      <c r="L1665" s="40">
        <f>IF(B1665&gt;=in_marketplace_from,J1665*d_hz*G1665*in_eligible*H1665,0)</f>
        <v/>
      </c>
      <c r="M1665" s="40">
        <f>IF(B1665&gt;=in_marketplace_from,K1665*d_hz*G1665*in_eligible*in_approved_repeat,0)</f>
        <v/>
      </c>
      <c r="N1665" s="40">
        <f>L1665+M1665</f>
        <v/>
      </c>
      <c r="O1665" s="46">
        <f>N1665/F1665</f>
        <v/>
      </c>
      <c r="P1665" s="40">
        <f>F1665-J1665-K1665</f>
        <v/>
      </c>
      <c r="Q1665" s="40">
        <f>IF(B1665&gt;=in_marketplace_from,(J1665+K1665)*d_hz*G1665,0)</f>
        <v/>
      </c>
      <c r="R1665" s="40">
        <f>SUMIFS(N1661:N1678,B1661:B1678,"&gt;="&amp;(B1665-d_T),B1661:B1678,"&lt;="&amp;(B1665-1))</f>
        <v/>
      </c>
      <c r="S1665" s="46">
        <f>(1-d_u)*S1664+IF(d_T&gt;in_topup_lag,SUMIFS(O1661:O1678,B1661:B1678,B1665-in_topup_lag)-d_udrop*SUMIFS(O1661:O1678,B1661:B1678,B1665-d_T),0)</f>
        <v/>
      </c>
      <c r="T1665" s="40">
        <f>F1665*d_u*S1665</f>
        <v/>
      </c>
      <c r="U1665" s="9">
        <f>L1665*in_ticket+M1665*d_rep_ticket</f>
        <v/>
      </c>
      <c r="V1665" s="9">
        <f>U1665+T1665*d_topup_amt</f>
        <v/>
      </c>
      <c r="W1665" s="40">
        <f>N1665+T1665*d_topup_ratio</f>
        <v/>
      </c>
      <c r="X1665" s="40">
        <f>SUMIFS(W1661:W1678,B1661:B1678,B1665-in_dpd_lag)*d_cured</f>
        <v/>
      </c>
      <c r="Y1665" s="40">
        <f>SUMIFS(W1661:W1678,B1661:B1678,B1665-in_rec_lag)*d_recd</f>
        <v/>
      </c>
      <c r="Z1665" s="40">
        <f>IF(AND(B1665&gt;=in_marketplace_from,B1665&lt;in_marketplace_from+in_card_months),in_card_share/in_card_months*F1665*I1665,IF(AND(B1665&gt;=in_marketplace_from+in_card_months,B1665&lt;in_marketplace_from+2*in_card_months),in_card_share*d_card_rem/in_card_months*F1665*MIN(in_takeup_cap,(1+in_takeup_growth)^(D1665-1))*MIN(in_takeup_cap,(1+in_approval_growth)^(D1665-1)),0))</f>
        <v/>
      </c>
      <c r="AA1665" s="14">
        <f>V1665*in_fee*(1-in_taken_back)</f>
        <v/>
      </c>
      <c r="AB1665" s="14">
        <f>SUMIFS(W1661:W1678,B1661:B1678,B1665-in_dpd_lag)*d_dpd</f>
        <v/>
      </c>
      <c r="AC1665" s="14">
        <f>SUMIFS(W1661:W1678,B1661:B1678,B1665-in_rec_lag)*d_rec</f>
        <v/>
      </c>
      <c r="AD1665" s="14">
        <f>Z1665*in_card_fee</f>
        <v/>
      </c>
      <c r="AE1665" s="40">
        <f>AE1664*(1-IF(B1664&gt;=in_marketplace_from,d_hz_hlth_small*G1664,0))</f>
        <v/>
      </c>
      <c r="AF1665" s="46">
        <f>AE1665*IF(B1665&gt;=in_marketplace_from,d_hz_hlth_small*G1665,0)</f>
        <v/>
      </c>
      <c r="AG1665" s="14">
        <f>F1665*AF1665*in_hlth_small_ticket*in_hlth_small_comm*in_ins_partner_share+F1665*in_hlth_small_ticket*in_hlth_small_renew_comm*in_ins_partner_share*(in_hlth_small_renew^1*SUMIFS(AF1661:AF1678,B1661:B1678,B1665-12)+in_hlth_small_renew^2*SUMIFS(AF1661:AF1678,B1661:B1678,B1665-24)+in_hlth_small_renew^3*SUMIFS(AF1661:AF1678,B1661:B1678,B1665-36)+in_hlth_small_renew^4*SUMIFS(AF1661:AF1678,B1661:B1678,B1665-48))</f>
        <v/>
      </c>
      <c r="AH1665" s="40">
        <f>AH1664*(1-IF(B1664&gt;=in_marketplace_from,d_hz_hlth_family*G1664,0))</f>
        <v/>
      </c>
      <c r="AI1665" s="46">
        <f>AH1665*IF(B1665&gt;=in_marketplace_from,d_hz_hlth_family*G1665,0)</f>
        <v/>
      </c>
      <c r="AJ1665" s="14">
        <f>F1665*AI1665*in_hlth_family_ticket*in_hlth_family_comm*in_ins_partner_share+F1665*in_hlth_family_ticket*in_hlth_family_renew_comm*in_ins_partner_share*(in_hlth_family_renew^1*SUMIFS(AI1661:AI1678,B1661:B1678,B1665-12)+in_hlth_family_renew^2*SUMIFS(AI1661:AI1678,B1661:B1678,B1665-24)+in_hlth_family_renew^3*SUMIFS(AI1661:AI1678,B1661:B1678,B1665-36)+in_hlth_family_renew^4*SUMIFS(AI1661:AI1678,B1661:B1678,B1665-48))</f>
        <v/>
      </c>
      <c r="AK1665" s="40">
        <f>AK1664*(1-IF(B1664&gt;=in_marketplace_from,d_hz_life_term*G1664,0))</f>
        <v/>
      </c>
      <c r="AL1665" s="46">
        <f>AK1665*IF(B1665&gt;=in_marketplace_from,d_hz_life_term*G1665,0)</f>
        <v/>
      </c>
      <c r="AM1665" s="14">
        <f>F1665*AL1665*in_life_term_ticket*in_life_term_comm*in_ins_partner_share+F1665*in_life_term_ticket*in_life_term_renew_comm*in_ins_partner_share*(in_life_term_renew^1*SUMIFS(AL1661:AL1678,B1661:B1678,B1665-12)+in_life_term_renew^2*SUMIFS(AL1661:AL1678,B1661:B1678,B1665-24)+in_life_term_renew^3*SUMIFS(AL1661:AL1678,B1661:B1678,B1665-36)+in_life_term_renew^4*SUMIFS(AL1661:AL1678,B1661:B1678,B1665-48))</f>
        <v/>
      </c>
      <c r="AN1665" s="40">
        <f>AN1664*(1-IF(B1664&gt;=in_marketplace_from,d_hz_accident*G1664,0))</f>
        <v/>
      </c>
      <c r="AO1665" s="46">
        <f>AN1665*IF(B1665&gt;=in_marketplace_from,d_hz_accident*G1665,0)</f>
        <v/>
      </c>
      <c r="AP1665" s="14">
        <f>F1665*AO1665*in_accident_ticket*in_accident_comm*in_ins_partner_share+F1665*in_accident_ticket*in_accident_renew_comm*in_ins_partner_share*(in_accident_renew^1*SUMIFS(AO1661:AO1678,B1661:B1678,B1665-12)+in_accident_renew^2*SUMIFS(AO1661:AO1678,B1661:B1678,B1665-24)+in_accident_renew^3*SUMIFS(AO1661:AO1678,B1661:B1678,B1665-36)+in_accident_renew^4*SUMIFS(AO1661:AO1678,B1661:B1678,B1665-48))</f>
        <v/>
      </c>
      <c r="AQ1665" s="40">
        <f>AQ1664*(1-IF(B1664&gt;=in_marketplace_from,d_hz_two_wheeler*G1664,0))</f>
        <v/>
      </c>
      <c r="AR1665" s="46">
        <f>AQ1665*IF(B1665&gt;=in_marketplace_from,d_hz_two_wheeler*G1665,0)</f>
        <v/>
      </c>
      <c r="AS1665" s="14">
        <f>F1665*AR1665*in_two_wheeler_ticket*in_two_wheeler_comm*in_ins_partner_share+F1665*in_two_wheeler_ticket*in_two_wheeler_comm*in_ins_partner_share*(in_two_wheeler_renew^1*SUMIFS(AR1661:AR1678,B1661:B1678,B1665-12)+in_two_wheeler_renew^2*SUMIFS(AR1661:AR1678,B1661:B1678,B1665-24)+in_two_wheeler_renew^3*SUMIFS(AR1661:AR1678,B1661:B1678,B1665-36)+in_two_wheeler_renew^4*SUMIFS(AR1661:AR1678,B1661:B1678,B1665-48))</f>
        <v/>
      </c>
      <c r="AT1665" s="40">
        <f>AT1664*(1-IF(B1664&gt;=in_marketplace_from,d_hz_device*G1664,0))</f>
        <v/>
      </c>
      <c r="AU1665" s="14">
        <f>F1665*AT1665*IF(B1665&gt;=in_marketplace_from,d_hz_device*G1665,0)*in_device_ticket*in_device_comm*in_ins_partner_share</f>
        <v/>
      </c>
      <c r="AV1665" s="40">
        <f>AV1664*(1-IF(B1664&gt;=in_marketplace_from,d_hz_shop*G1664,0))</f>
        <v/>
      </c>
      <c r="AW1665" s="46">
        <f>AV1665*IF(B1665&gt;=in_marketplace_from,d_hz_shop*G1665,0)</f>
        <v/>
      </c>
      <c r="AX1665" s="14">
        <f>F1665*AW1665*in_shop_ticket*in_shop_comm*in_ins_partner_share+F1665*in_shop_ticket*in_shop_renew_comm*in_ins_partner_share*(in_shop_renew^1*SUMIFS(AW1661:AW1678,B1661:B1678,B1665-12)+in_shop_renew^2*SUMIFS(AW1661:AW1678,B1661:B1678,B1665-24)+in_shop_renew^3*SUMIFS(AW1661:AW1678,B1661:B1678,B1665-36)+in_shop_renew^4*SUMIFS(AW1661:AW1678,B1661:B1678,B1665-48))</f>
        <v/>
      </c>
      <c r="AY1665" s="40">
        <f>AY1664*(1-IF(B1664&gt;=in_marketplace_from,d_hz_sip*G1664,0))</f>
        <v/>
      </c>
      <c r="AZ1665" s="40">
        <f>AZ1664*d_rho_sip+AY1665*IF(B1665&gt;=in_marketplace_from,d_hz_sip*G1665,0)</f>
        <v/>
      </c>
      <c r="BA1665" s="40">
        <f>d_rho_sip*(BA1664+AZ1664)</f>
        <v/>
      </c>
      <c r="BB1665" s="14">
        <f>F1665*in_sip_ticket*(BA1665+0.5*AZ1665)*in_sip_comm/12</f>
        <v/>
      </c>
      <c r="BC1665" s="40">
        <f>BC1664*(1-IF(B1664&gt;=in_marketplace_from,d_hz_choti*G1664,0))</f>
        <v/>
      </c>
      <c r="BD1665" s="46">
        <f>BC1665*IF(B1665&gt;=in_marketplace_from,d_hz_choti*G1665,0)</f>
        <v/>
      </c>
      <c r="BE1665" s="14">
        <f>F1665*SUMIFS(BD1661:BD1678,B1661:B1678,B1665-in_choti_months)*in_choti_renew*in_choti_ticket</f>
        <v/>
      </c>
      <c r="BF1665" s="40">
        <f>BF1664*(1-IF(B1664&gt;=in_marketplace_from,d_hz_nps*G1664,0))</f>
        <v/>
      </c>
      <c r="BG1665" s="14">
        <f>F1665*BF1665*IF(B1665&gt;=in_marketplace_from,d_hz_nps*G1665,0)*in_nps_ticket*in_nps_comm</f>
        <v/>
      </c>
      <c r="BH1665" s="40">
        <f>BH1664*(1-IF(B1664&gt;=in_marketplace_from,d_hz_gold*G1664,0))</f>
        <v/>
      </c>
      <c r="BI1665" s="40">
        <f>BI1664*d_rho_gold+BH1665*IF(B1665&gt;=in_marketplace_from,d_hz_gold*G1665,0)</f>
        <v/>
      </c>
      <c r="BJ1665" s="14">
        <f>F1665*BI1665*in_gold_ticket*in_gold_comm</f>
        <v/>
      </c>
      <c r="BK1665" s="40">
        <f>BK1664*(1-IF(B1664&gt;=in_marketplace_from,d_hz_fd*G1664,0))</f>
        <v/>
      </c>
      <c r="BL1665" s="14">
        <f>F1665*BK1665*IF(B1665&gt;=in_marketplace_from,d_hz_fd*G1665,0)*in_fd_ticket*in_fd_comm</f>
        <v/>
      </c>
      <c r="BM1665" s="40">
        <f>BM1664*(1-IF(B1664&gt;=in_marketplace_from,d_hz_recharge*G1664,0))</f>
        <v/>
      </c>
      <c r="BN1665" s="40">
        <f>BN1664*d_rho_recharge+BM1665*IF(B1665&gt;=in_marketplace_from,d_hz_recharge*G1665,0)</f>
        <v/>
      </c>
      <c r="BO1665" s="14">
        <f>F1665*BN1665*in_recharge_ticket*in_recharge_comm/12</f>
        <v/>
      </c>
      <c r="BP1665" s="40">
        <f>BP1664*(1-IF(B1664&gt;=in_marketplace_from,d_hz_bills*G1664,0))</f>
        <v/>
      </c>
      <c r="BQ1665" s="40">
        <f>BQ1664*d_rho_bills+BP1665*IF(B1665&gt;=in_marketplace_from,d_hz_bills*G1665,0)</f>
        <v/>
      </c>
      <c r="BR1665" s="14">
        <f>F1665*BQ1665*in_bills_ticket*in_bills_comm/12</f>
        <v/>
      </c>
      <c r="BS1665" s="40">
        <f>BS1664*(1-IF(B1664&gt;=in_marketplace_from,d_hz_loan_gold*G1664,0))</f>
        <v/>
      </c>
      <c r="BT1665" s="14">
        <f>F1665*BS1665*IF(B1665&gt;=in_marketplace_from,d_hz_loan_gold*G1665,0)*in_loan_gold_ticket*in_loan_gold_comm</f>
        <v/>
      </c>
      <c r="BU1665" s="40">
        <f>BU1664*(1-IF(B1664&gt;=in_marketplace_from,d_hz_loan_cd*G1664,0))</f>
        <v/>
      </c>
      <c r="BV1665" s="14">
        <f>F1665*BU1665*IF(B1665&gt;=in_marketplace_from,d_hz_loan_cd*G1665,0)*in_loan_cd_ticket*in_loan_cd_comm</f>
        <v/>
      </c>
      <c r="BW1665" s="40">
        <f>BW1664*(1-IF(B1664&gt;=in_marketplace_from,d_hz_loan_vehicle*G1664,0))</f>
        <v/>
      </c>
      <c r="BX1665" s="14">
        <f>F1665*BW1665*IF(B1665&gt;=in_marketplace_from,d_hz_loan_vehicle*G1665,0)*in_loan_vehicle_ticket*in_loan_vehicle_comm</f>
        <v/>
      </c>
      <c r="BY1665" s="40">
        <f>BY1664*(1-IF(B1664&gt;=in_marketplace_from,d_hz_loan_home*G1664,0)*BZ1664)</f>
        <v/>
      </c>
      <c r="BZ1665" s="11">
        <f>MIN(in_approval_cap,in_loan_home_approval*INDEX('Age profile'!$O$2:$O$61,B1665)*(1+in_approval_growth)^(D1665-1))</f>
        <v/>
      </c>
      <c r="CA1665" s="14">
        <f>F1665*BY1665*IF(B1665&gt;=in_marketplace_from,d_hz_loan_home*G1665,0)*BZ1665*in_loan_home_ticket*in_loan_home_comm</f>
        <v/>
      </c>
      <c r="CB1665" s="40">
        <f>CB1664*(1-IF(B1664&gt;=in_marketplace_from,d_hz_loan_lap*G1664,0)*CC1664)</f>
        <v/>
      </c>
      <c r="CC1665" s="11">
        <f>MIN(in_approval_cap,in_loan_lap_approval*INDEX('Age profile'!$O$2:$O$61,B1665)*(1+in_approval_growth)^(D1665-1))</f>
        <v/>
      </c>
      <c r="CD1665" s="14">
        <f>F1665*CB1665*IF(B1665&gt;=in_marketplace_from,d_hz_loan_lap*G1665,0)*CC1665*in_loan_lap_ticket*in_loan_lap_comm</f>
        <v/>
      </c>
      <c r="CE1665" s="14">
        <f>AA1665+AB1665+AC1665+AD1665+AG1665+AJ1665+AM1665+AP1665+AS1665+AU1665+AX1665+BB1665+BE1665+BG1665+BJ1665+BL1665+BO1665+BR1665+BT1665+BV1665+BX1665+CA1665+CD1665</f>
        <v/>
      </c>
    </row>
    <row r="1666">
      <c r="A1666" s="39" t="n">
        <v>43</v>
      </c>
      <c r="B1666" s="39" t="n">
        <v>6</v>
      </c>
      <c r="C1666" s="39">
        <f>A1666+B1666-1</f>
        <v/>
      </c>
      <c r="D1666" s="39">
        <f>INT((C1666-1)/12)+1</f>
        <v/>
      </c>
      <c r="E1666" s="44">
        <f>INDEX(Monthly!$B$2:$B$61,A1666)</f>
        <v/>
      </c>
      <c r="F1666" s="44">
        <f>E1666*INDEX('Age profile'!$B$2:$B$61,B1666)</f>
        <v/>
      </c>
      <c r="G1666" s="45">
        <f>MIN(in_takeup_cap,INDEX('Age profile'!$N$2:$N$61,B1666)*(1+in_takeup_growth)^(D1666-1))</f>
        <v/>
      </c>
      <c r="H1666" s="11">
        <f>MIN(in_approval_cap,in_approved_first*INDEX('Age profile'!$O$2:$O$61,B1666)*(1+in_approval_growth)^(D1666-1))</f>
        <v/>
      </c>
      <c r="I1666" s="45">
        <f>G1666*MIN(in_takeup_cap,INDEX('Age profile'!$O$2:$O$61,B1666)*(1+in_approval_growth)^(D1666-1))</f>
        <v/>
      </c>
      <c r="J1666" s="40">
        <f>(J1665-L1665)*F1666/F1665</f>
        <v/>
      </c>
      <c r="K1666" s="40">
        <f>(K1665-M1665)*F1666/F1665+SUMIFS(O1661:O1665,B1661:B1665,B1666-1-d_T)*F1666</f>
        <v/>
      </c>
      <c r="L1666" s="40">
        <f>IF(B1666&gt;=in_marketplace_from,J1666*d_hz*G1666*in_eligible*H1666,0)</f>
        <v/>
      </c>
      <c r="M1666" s="40">
        <f>IF(B1666&gt;=in_marketplace_from,K1666*d_hz*G1666*in_eligible*in_approved_repeat,0)</f>
        <v/>
      </c>
      <c r="N1666" s="40">
        <f>L1666+M1666</f>
        <v/>
      </c>
      <c r="O1666" s="46">
        <f>N1666/F1666</f>
        <v/>
      </c>
      <c r="P1666" s="40">
        <f>F1666-J1666-K1666</f>
        <v/>
      </c>
      <c r="Q1666" s="40">
        <f>IF(B1666&gt;=in_marketplace_from,(J1666+K1666)*d_hz*G1666,0)</f>
        <v/>
      </c>
      <c r="R1666" s="40">
        <f>SUMIFS(N1661:N1678,B1661:B1678,"&gt;="&amp;(B1666-d_T),B1661:B1678,"&lt;="&amp;(B1666-1))</f>
        <v/>
      </c>
      <c r="S1666" s="46">
        <f>(1-d_u)*S1665+IF(d_T&gt;in_topup_lag,SUMIFS(O1661:O1678,B1661:B1678,B1666-in_topup_lag)-d_udrop*SUMIFS(O1661:O1678,B1661:B1678,B1666-d_T),0)</f>
        <v/>
      </c>
      <c r="T1666" s="40">
        <f>F1666*d_u*S1666</f>
        <v/>
      </c>
      <c r="U1666" s="9">
        <f>L1666*in_ticket+M1666*d_rep_ticket</f>
        <v/>
      </c>
      <c r="V1666" s="9">
        <f>U1666+T1666*d_topup_amt</f>
        <v/>
      </c>
      <c r="W1666" s="40">
        <f>N1666+T1666*d_topup_ratio</f>
        <v/>
      </c>
      <c r="X1666" s="40">
        <f>SUMIFS(W1661:W1678,B1661:B1678,B1666-in_dpd_lag)*d_cured</f>
        <v/>
      </c>
      <c r="Y1666" s="40">
        <f>SUMIFS(W1661:W1678,B1661:B1678,B1666-in_rec_lag)*d_recd</f>
        <v/>
      </c>
      <c r="Z1666" s="40">
        <f>IF(AND(B1666&gt;=in_marketplace_from,B1666&lt;in_marketplace_from+in_card_months),in_card_share/in_card_months*F1666*I1666,IF(AND(B1666&gt;=in_marketplace_from+in_card_months,B1666&lt;in_marketplace_from+2*in_card_months),in_card_share*d_card_rem/in_card_months*F1666*MIN(in_takeup_cap,(1+in_takeup_growth)^(D1666-1))*MIN(in_takeup_cap,(1+in_approval_growth)^(D1666-1)),0))</f>
        <v/>
      </c>
      <c r="AA1666" s="14">
        <f>V1666*in_fee*(1-in_taken_back)</f>
        <v/>
      </c>
      <c r="AB1666" s="14">
        <f>SUMIFS(W1661:W1678,B1661:B1678,B1666-in_dpd_lag)*d_dpd</f>
        <v/>
      </c>
      <c r="AC1666" s="14">
        <f>SUMIFS(W1661:W1678,B1661:B1678,B1666-in_rec_lag)*d_rec</f>
        <v/>
      </c>
      <c r="AD1666" s="14">
        <f>Z1666*in_card_fee</f>
        <v/>
      </c>
      <c r="AE1666" s="40">
        <f>AE1665*(1-IF(B1665&gt;=in_marketplace_from,d_hz_hlth_small*G1665,0))</f>
        <v/>
      </c>
      <c r="AF1666" s="46">
        <f>AE1666*IF(B1666&gt;=in_marketplace_from,d_hz_hlth_small*G1666,0)</f>
        <v/>
      </c>
      <c r="AG1666" s="14">
        <f>F1666*AF1666*in_hlth_small_ticket*in_hlth_small_comm*in_ins_partner_share+F1666*in_hlth_small_ticket*in_hlth_small_renew_comm*in_ins_partner_share*(in_hlth_small_renew^1*SUMIFS(AF1661:AF1678,B1661:B1678,B1666-12)+in_hlth_small_renew^2*SUMIFS(AF1661:AF1678,B1661:B1678,B1666-24)+in_hlth_small_renew^3*SUMIFS(AF1661:AF1678,B1661:B1678,B1666-36)+in_hlth_small_renew^4*SUMIFS(AF1661:AF1678,B1661:B1678,B1666-48))</f>
        <v/>
      </c>
      <c r="AH1666" s="40">
        <f>AH1665*(1-IF(B1665&gt;=in_marketplace_from,d_hz_hlth_family*G1665,0))</f>
        <v/>
      </c>
      <c r="AI1666" s="46">
        <f>AH1666*IF(B1666&gt;=in_marketplace_from,d_hz_hlth_family*G1666,0)</f>
        <v/>
      </c>
      <c r="AJ1666" s="14">
        <f>F1666*AI1666*in_hlth_family_ticket*in_hlth_family_comm*in_ins_partner_share+F1666*in_hlth_family_ticket*in_hlth_family_renew_comm*in_ins_partner_share*(in_hlth_family_renew^1*SUMIFS(AI1661:AI1678,B1661:B1678,B1666-12)+in_hlth_family_renew^2*SUMIFS(AI1661:AI1678,B1661:B1678,B1666-24)+in_hlth_family_renew^3*SUMIFS(AI1661:AI1678,B1661:B1678,B1666-36)+in_hlth_family_renew^4*SUMIFS(AI1661:AI1678,B1661:B1678,B1666-48))</f>
        <v/>
      </c>
      <c r="AK1666" s="40">
        <f>AK1665*(1-IF(B1665&gt;=in_marketplace_from,d_hz_life_term*G1665,0))</f>
        <v/>
      </c>
      <c r="AL1666" s="46">
        <f>AK1666*IF(B1666&gt;=in_marketplace_from,d_hz_life_term*G1666,0)</f>
        <v/>
      </c>
      <c r="AM1666" s="14">
        <f>F1666*AL1666*in_life_term_ticket*in_life_term_comm*in_ins_partner_share+F1666*in_life_term_ticket*in_life_term_renew_comm*in_ins_partner_share*(in_life_term_renew^1*SUMIFS(AL1661:AL1678,B1661:B1678,B1666-12)+in_life_term_renew^2*SUMIFS(AL1661:AL1678,B1661:B1678,B1666-24)+in_life_term_renew^3*SUMIFS(AL1661:AL1678,B1661:B1678,B1666-36)+in_life_term_renew^4*SUMIFS(AL1661:AL1678,B1661:B1678,B1666-48))</f>
        <v/>
      </c>
      <c r="AN1666" s="40">
        <f>AN1665*(1-IF(B1665&gt;=in_marketplace_from,d_hz_accident*G1665,0))</f>
        <v/>
      </c>
      <c r="AO1666" s="46">
        <f>AN1666*IF(B1666&gt;=in_marketplace_from,d_hz_accident*G1666,0)</f>
        <v/>
      </c>
      <c r="AP1666" s="14">
        <f>F1666*AO1666*in_accident_ticket*in_accident_comm*in_ins_partner_share+F1666*in_accident_ticket*in_accident_renew_comm*in_ins_partner_share*(in_accident_renew^1*SUMIFS(AO1661:AO1678,B1661:B1678,B1666-12)+in_accident_renew^2*SUMIFS(AO1661:AO1678,B1661:B1678,B1666-24)+in_accident_renew^3*SUMIFS(AO1661:AO1678,B1661:B1678,B1666-36)+in_accident_renew^4*SUMIFS(AO1661:AO1678,B1661:B1678,B1666-48))</f>
        <v/>
      </c>
      <c r="AQ1666" s="40">
        <f>AQ1665*(1-IF(B1665&gt;=in_marketplace_from,d_hz_two_wheeler*G1665,0))</f>
        <v/>
      </c>
      <c r="AR1666" s="46">
        <f>AQ1666*IF(B1666&gt;=in_marketplace_from,d_hz_two_wheeler*G1666,0)</f>
        <v/>
      </c>
      <c r="AS1666" s="14">
        <f>F1666*AR1666*in_two_wheeler_ticket*in_two_wheeler_comm*in_ins_partner_share+F1666*in_two_wheeler_ticket*in_two_wheeler_comm*in_ins_partner_share*(in_two_wheeler_renew^1*SUMIFS(AR1661:AR1678,B1661:B1678,B1666-12)+in_two_wheeler_renew^2*SUMIFS(AR1661:AR1678,B1661:B1678,B1666-24)+in_two_wheeler_renew^3*SUMIFS(AR1661:AR1678,B1661:B1678,B1666-36)+in_two_wheeler_renew^4*SUMIFS(AR1661:AR1678,B1661:B1678,B1666-48))</f>
        <v/>
      </c>
      <c r="AT1666" s="40">
        <f>AT1665*(1-IF(B1665&gt;=in_marketplace_from,d_hz_device*G1665,0))</f>
        <v/>
      </c>
      <c r="AU1666" s="14">
        <f>F1666*AT1666*IF(B1666&gt;=in_marketplace_from,d_hz_device*G1666,0)*in_device_ticket*in_device_comm*in_ins_partner_share</f>
        <v/>
      </c>
      <c r="AV1666" s="40">
        <f>AV1665*(1-IF(B1665&gt;=in_marketplace_from,d_hz_shop*G1665,0))</f>
        <v/>
      </c>
      <c r="AW1666" s="46">
        <f>AV1666*IF(B1666&gt;=in_marketplace_from,d_hz_shop*G1666,0)</f>
        <v/>
      </c>
      <c r="AX1666" s="14">
        <f>F1666*AW1666*in_shop_ticket*in_shop_comm*in_ins_partner_share+F1666*in_shop_ticket*in_shop_renew_comm*in_ins_partner_share*(in_shop_renew^1*SUMIFS(AW1661:AW1678,B1661:B1678,B1666-12)+in_shop_renew^2*SUMIFS(AW1661:AW1678,B1661:B1678,B1666-24)+in_shop_renew^3*SUMIFS(AW1661:AW1678,B1661:B1678,B1666-36)+in_shop_renew^4*SUMIFS(AW1661:AW1678,B1661:B1678,B1666-48))</f>
        <v/>
      </c>
      <c r="AY1666" s="40">
        <f>AY1665*(1-IF(B1665&gt;=in_marketplace_from,d_hz_sip*G1665,0))</f>
        <v/>
      </c>
      <c r="AZ1666" s="40">
        <f>AZ1665*d_rho_sip+AY1666*IF(B1666&gt;=in_marketplace_from,d_hz_sip*G1666,0)</f>
        <v/>
      </c>
      <c r="BA1666" s="40">
        <f>d_rho_sip*(BA1665+AZ1665)</f>
        <v/>
      </c>
      <c r="BB1666" s="14">
        <f>F1666*in_sip_ticket*(BA1666+0.5*AZ1666)*in_sip_comm/12</f>
        <v/>
      </c>
      <c r="BC1666" s="40">
        <f>BC1665*(1-IF(B1665&gt;=in_marketplace_from,d_hz_choti*G1665,0))</f>
        <v/>
      </c>
      <c r="BD1666" s="46">
        <f>BC1666*IF(B1666&gt;=in_marketplace_from,d_hz_choti*G1666,0)</f>
        <v/>
      </c>
      <c r="BE1666" s="14">
        <f>F1666*SUMIFS(BD1661:BD1678,B1661:B1678,B1666-in_choti_months)*in_choti_renew*in_choti_ticket</f>
        <v/>
      </c>
      <c r="BF1666" s="40">
        <f>BF1665*(1-IF(B1665&gt;=in_marketplace_from,d_hz_nps*G1665,0))</f>
        <v/>
      </c>
      <c r="BG1666" s="14">
        <f>F1666*BF1666*IF(B1666&gt;=in_marketplace_from,d_hz_nps*G1666,0)*in_nps_ticket*in_nps_comm</f>
        <v/>
      </c>
      <c r="BH1666" s="40">
        <f>BH1665*(1-IF(B1665&gt;=in_marketplace_from,d_hz_gold*G1665,0))</f>
        <v/>
      </c>
      <c r="BI1666" s="40">
        <f>BI1665*d_rho_gold+BH1666*IF(B1666&gt;=in_marketplace_from,d_hz_gold*G1666,0)</f>
        <v/>
      </c>
      <c r="BJ1666" s="14">
        <f>F1666*BI1666*in_gold_ticket*in_gold_comm</f>
        <v/>
      </c>
      <c r="BK1666" s="40">
        <f>BK1665*(1-IF(B1665&gt;=in_marketplace_from,d_hz_fd*G1665,0))</f>
        <v/>
      </c>
      <c r="BL1666" s="14">
        <f>F1666*BK1666*IF(B1666&gt;=in_marketplace_from,d_hz_fd*G1666,0)*in_fd_ticket*in_fd_comm</f>
        <v/>
      </c>
      <c r="BM1666" s="40">
        <f>BM1665*(1-IF(B1665&gt;=in_marketplace_from,d_hz_recharge*G1665,0))</f>
        <v/>
      </c>
      <c r="BN1666" s="40">
        <f>BN1665*d_rho_recharge+BM1666*IF(B1666&gt;=in_marketplace_from,d_hz_recharge*G1666,0)</f>
        <v/>
      </c>
      <c r="BO1666" s="14">
        <f>F1666*BN1666*in_recharge_ticket*in_recharge_comm/12</f>
        <v/>
      </c>
      <c r="BP1666" s="40">
        <f>BP1665*(1-IF(B1665&gt;=in_marketplace_from,d_hz_bills*G1665,0))</f>
        <v/>
      </c>
      <c r="BQ1666" s="40">
        <f>BQ1665*d_rho_bills+BP1666*IF(B1666&gt;=in_marketplace_from,d_hz_bills*G1666,0)</f>
        <v/>
      </c>
      <c r="BR1666" s="14">
        <f>F1666*BQ1666*in_bills_ticket*in_bills_comm/12</f>
        <v/>
      </c>
      <c r="BS1666" s="40">
        <f>BS1665*(1-IF(B1665&gt;=in_marketplace_from,d_hz_loan_gold*G1665,0))</f>
        <v/>
      </c>
      <c r="BT1666" s="14">
        <f>F1666*BS1666*IF(B1666&gt;=in_marketplace_from,d_hz_loan_gold*G1666,0)*in_loan_gold_ticket*in_loan_gold_comm</f>
        <v/>
      </c>
      <c r="BU1666" s="40">
        <f>BU1665*(1-IF(B1665&gt;=in_marketplace_from,d_hz_loan_cd*G1665,0))</f>
        <v/>
      </c>
      <c r="BV1666" s="14">
        <f>F1666*BU1666*IF(B1666&gt;=in_marketplace_from,d_hz_loan_cd*G1666,0)*in_loan_cd_ticket*in_loan_cd_comm</f>
        <v/>
      </c>
      <c r="BW1666" s="40">
        <f>BW1665*(1-IF(B1665&gt;=in_marketplace_from,d_hz_loan_vehicle*G1665,0))</f>
        <v/>
      </c>
      <c r="BX1666" s="14">
        <f>F1666*BW1666*IF(B1666&gt;=in_marketplace_from,d_hz_loan_vehicle*G1666,0)*in_loan_vehicle_ticket*in_loan_vehicle_comm</f>
        <v/>
      </c>
      <c r="BY1666" s="40">
        <f>BY1665*(1-IF(B1665&gt;=in_marketplace_from,d_hz_loan_home*G1665,0)*BZ1665)</f>
        <v/>
      </c>
      <c r="BZ1666" s="11">
        <f>MIN(in_approval_cap,in_loan_home_approval*INDEX('Age profile'!$O$2:$O$61,B1666)*(1+in_approval_growth)^(D1666-1))</f>
        <v/>
      </c>
      <c r="CA1666" s="14">
        <f>F1666*BY1666*IF(B1666&gt;=in_marketplace_from,d_hz_loan_home*G1666,0)*BZ1666*in_loan_home_ticket*in_loan_home_comm</f>
        <v/>
      </c>
      <c r="CB1666" s="40">
        <f>CB1665*(1-IF(B1665&gt;=in_marketplace_from,d_hz_loan_lap*G1665,0)*CC1665)</f>
        <v/>
      </c>
      <c r="CC1666" s="11">
        <f>MIN(in_approval_cap,in_loan_lap_approval*INDEX('Age profile'!$O$2:$O$61,B1666)*(1+in_approval_growth)^(D1666-1))</f>
        <v/>
      </c>
      <c r="CD1666" s="14">
        <f>F1666*CB1666*IF(B1666&gt;=in_marketplace_from,d_hz_loan_lap*G1666,0)*CC1666*in_loan_lap_ticket*in_loan_lap_comm</f>
        <v/>
      </c>
      <c r="CE1666" s="14">
        <f>AA1666+AB1666+AC1666+AD1666+AG1666+AJ1666+AM1666+AP1666+AS1666+AU1666+AX1666+BB1666+BE1666+BG1666+BJ1666+BL1666+BO1666+BR1666+BT1666+BV1666+BX1666+CA1666+CD1666</f>
        <v/>
      </c>
    </row>
    <row r="1667">
      <c r="A1667" s="39" t="n">
        <v>43</v>
      </c>
      <c r="B1667" s="39" t="n">
        <v>7</v>
      </c>
      <c r="C1667" s="39">
        <f>A1667+B1667-1</f>
        <v/>
      </c>
      <c r="D1667" s="39">
        <f>INT((C1667-1)/12)+1</f>
        <v/>
      </c>
      <c r="E1667" s="44">
        <f>INDEX(Monthly!$B$2:$B$61,A1667)</f>
        <v/>
      </c>
      <c r="F1667" s="44">
        <f>E1667*INDEX('Age profile'!$B$2:$B$61,B1667)</f>
        <v/>
      </c>
      <c r="G1667" s="45">
        <f>MIN(in_takeup_cap,INDEX('Age profile'!$N$2:$N$61,B1667)*(1+in_takeup_growth)^(D1667-1))</f>
        <v/>
      </c>
      <c r="H1667" s="11">
        <f>MIN(in_approval_cap,in_approved_first*INDEX('Age profile'!$O$2:$O$61,B1667)*(1+in_approval_growth)^(D1667-1))</f>
        <v/>
      </c>
      <c r="I1667" s="45">
        <f>G1667*MIN(in_takeup_cap,INDEX('Age profile'!$O$2:$O$61,B1667)*(1+in_approval_growth)^(D1667-1))</f>
        <v/>
      </c>
      <c r="J1667" s="40">
        <f>(J1666-L1666)*F1667/F1666</f>
        <v/>
      </c>
      <c r="K1667" s="40">
        <f>(K1666-M1666)*F1667/F1666+SUMIFS(O1661:O1666,B1661:B1666,B1667-1-d_T)*F1667</f>
        <v/>
      </c>
      <c r="L1667" s="40">
        <f>IF(B1667&gt;=in_marketplace_from,J1667*d_hz*G1667*in_eligible*H1667,0)</f>
        <v/>
      </c>
      <c r="M1667" s="40">
        <f>IF(B1667&gt;=in_marketplace_from,K1667*d_hz*G1667*in_eligible*in_approved_repeat,0)</f>
        <v/>
      </c>
      <c r="N1667" s="40">
        <f>L1667+M1667</f>
        <v/>
      </c>
      <c r="O1667" s="46">
        <f>N1667/F1667</f>
        <v/>
      </c>
      <c r="P1667" s="40">
        <f>F1667-J1667-K1667</f>
        <v/>
      </c>
      <c r="Q1667" s="40">
        <f>IF(B1667&gt;=in_marketplace_from,(J1667+K1667)*d_hz*G1667,0)</f>
        <v/>
      </c>
      <c r="R1667" s="40">
        <f>SUMIFS(N1661:N1678,B1661:B1678,"&gt;="&amp;(B1667-d_T),B1661:B1678,"&lt;="&amp;(B1667-1))</f>
        <v/>
      </c>
      <c r="S1667" s="46">
        <f>(1-d_u)*S1666+IF(d_T&gt;in_topup_lag,SUMIFS(O1661:O1678,B1661:B1678,B1667-in_topup_lag)-d_udrop*SUMIFS(O1661:O1678,B1661:B1678,B1667-d_T),0)</f>
        <v/>
      </c>
      <c r="T1667" s="40">
        <f>F1667*d_u*S1667</f>
        <v/>
      </c>
      <c r="U1667" s="9">
        <f>L1667*in_ticket+M1667*d_rep_ticket</f>
        <v/>
      </c>
      <c r="V1667" s="9">
        <f>U1667+T1667*d_topup_amt</f>
        <v/>
      </c>
      <c r="W1667" s="40">
        <f>N1667+T1667*d_topup_ratio</f>
        <v/>
      </c>
      <c r="X1667" s="40">
        <f>SUMIFS(W1661:W1678,B1661:B1678,B1667-in_dpd_lag)*d_cured</f>
        <v/>
      </c>
      <c r="Y1667" s="40">
        <f>SUMIFS(W1661:W1678,B1661:B1678,B1667-in_rec_lag)*d_recd</f>
        <v/>
      </c>
      <c r="Z1667" s="40">
        <f>IF(AND(B1667&gt;=in_marketplace_from,B1667&lt;in_marketplace_from+in_card_months),in_card_share/in_card_months*F1667*I1667,IF(AND(B1667&gt;=in_marketplace_from+in_card_months,B1667&lt;in_marketplace_from+2*in_card_months),in_card_share*d_card_rem/in_card_months*F1667*MIN(in_takeup_cap,(1+in_takeup_growth)^(D1667-1))*MIN(in_takeup_cap,(1+in_approval_growth)^(D1667-1)),0))</f>
        <v/>
      </c>
      <c r="AA1667" s="14">
        <f>V1667*in_fee*(1-in_taken_back)</f>
        <v/>
      </c>
      <c r="AB1667" s="14">
        <f>SUMIFS(W1661:W1678,B1661:B1678,B1667-in_dpd_lag)*d_dpd</f>
        <v/>
      </c>
      <c r="AC1667" s="14">
        <f>SUMIFS(W1661:W1678,B1661:B1678,B1667-in_rec_lag)*d_rec</f>
        <v/>
      </c>
      <c r="AD1667" s="14">
        <f>Z1667*in_card_fee</f>
        <v/>
      </c>
      <c r="AE1667" s="40">
        <f>AE1666*(1-IF(B1666&gt;=in_marketplace_from,d_hz_hlth_small*G1666,0))</f>
        <v/>
      </c>
      <c r="AF1667" s="46">
        <f>AE1667*IF(B1667&gt;=in_marketplace_from,d_hz_hlth_small*G1667,0)</f>
        <v/>
      </c>
      <c r="AG1667" s="14">
        <f>F1667*AF1667*in_hlth_small_ticket*in_hlth_small_comm*in_ins_partner_share+F1667*in_hlth_small_ticket*in_hlth_small_renew_comm*in_ins_partner_share*(in_hlth_small_renew^1*SUMIFS(AF1661:AF1678,B1661:B1678,B1667-12)+in_hlth_small_renew^2*SUMIFS(AF1661:AF1678,B1661:B1678,B1667-24)+in_hlth_small_renew^3*SUMIFS(AF1661:AF1678,B1661:B1678,B1667-36)+in_hlth_small_renew^4*SUMIFS(AF1661:AF1678,B1661:B1678,B1667-48))</f>
        <v/>
      </c>
      <c r="AH1667" s="40">
        <f>AH1666*(1-IF(B1666&gt;=in_marketplace_from,d_hz_hlth_family*G1666,0))</f>
        <v/>
      </c>
      <c r="AI1667" s="46">
        <f>AH1667*IF(B1667&gt;=in_marketplace_from,d_hz_hlth_family*G1667,0)</f>
        <v/>
      </c>
      <c r="AJ1667" s="14">
        <f>F1667*AI1667*in_hlth_family_ticket*in_hlth_family_comm*in_ins_partner_share+F1667*in_hlth_family_ticket*in_hlth_family_renew_comm*in_ins_partner_share*(in_hlth_family_renew^1*SUMIFS(AI1661:AI1678,B1661:B1678,B1667-12)+in_hlth_family_renew^2*SUMIFS(AI1661:AI1678,B1661:B1678,B1667-24)+in_hlth_family_renew^3*SUMIFS(AI1661:AI1678,B1661:B1678,B1667-36)+in_hlth_family_renew^4*SUMIFS(AI1661:AI1678,B1661:B1678,B1667-48))</f>
        <v/>
      </c>
      <c r="AK1667" s="40">
        <f>AK1666*(1-IF(B1666&gt;=in_marketplace_from,d_hz_life_term*G1666,0))</f>
        <v/>
      </c>
      <c r="AL1667" s="46">
        <f>AK1667*IF(B1667&gt;=in_marketplace_from,d_hz_life_term*G1667,0)</f>
        <v/>
      </c>
      <c r="AM1667" s="14">
        <f>F1667*AL1667*in_life_term_ticket*in_life_term_comm*in_ins_partner_share+F1667*in_life_term_ticket*in_life_term_renew_comm*in_ins_partner_share*(in_life_term_renew^1*SUMIFS(AL1661:AL1678,B1661:B1678,B1667-12)+in_life_term_renew^2*SUMIFS(AL1661:AL1678,B1661:B1678,B1667-24)+in_life_term_renew^3*SUMIFS(AL1661:AL1678,B1661:B1678,B1667-36)+in_life_term_renew^4*SUMIFS(AL1661:AL1678,B1661:B1678,B1667-48))</f>
        <v/>
      </c>
      <c r="AN1667" s="40">
        <f>AN1666*(1-IF(B1666&gt;=in_marketplace_from,d_hz_accident*G1666,0))</f>
        <v/>
      </c>
      <c r="AO1667" s="46">
        <f>AN1667*IF(B1667&gt;=in_marketplace_from,d_hz_accident*G1667,0)</f>
        <v/>
      </c>
      <c r="AP1667" s="14">
        <f>F1667*AO1667*in_accident_ticket*in_accident_comm*in_ins_partner_share+F1667*in_accident_ticket*in_accident_renew_comm*in_ins_partner_share*(in_accident_renew^1*SUMIFS(AO1661:AO1678,B1661:B1678,B1667-12)+in_accident_renew^2*SUMIFS(AO1661:AO1678,B1661:B1678,B1667-24)+in_accident_renew^3*SUMIFS(AO1661:AO1678,B1661:B1678,B1667-36)+in_accident_renew^4*SUMIFS(AO1661:AO1678,B1661:B1678,B1667-48))</f>
        <v/>
      </c>
      <c r="AQ1667" s="40">
        <f>AQ1666*(1-IF(B1666&gt;=in_marketplace_from,d_hz_two_wheeler*G1666,0))</f>
        <v/>
      </c>
      <c r="AR1667" s="46">
        <f>AQ1667*IF(B1667&gt;=in_marketplace_from,d_hz_two_wheeler*G1667,0)</f>
        <v/>
      </c>
      <c r="AS1667" s="14">
        <f>F1667*AR1667*in_two_wheeler_ticket*in_two_wheeler_comm*in_ins_partner_share+F1667*in_two_wheeler_ticket*in_two_wheeler_comm*in_ins_partner_share*(in_two_wheeler_renew^1*SUMIFS(AR1661:AR1678,B1661:B1678,B1667-12)+in_two_wheeler_renew^2*SUMIFS(AR1661:AR1678,B1661:B1678,B1667-24)+in_two_wheeler_renew^3*SUMIFS(AR1661:AR1678,B1661:B1678,B1667-36)+in_two_wheeler_renew^4*SUMIFS(AR1661:AR1678,B1661:B1678,B1667-48))</f>
        <v/>
      </c>
      <c r="AT1667" s="40">
        <f>AT1666*(1-IF(B1666&gt;=in_marketplace_from,d_hz_device*G1666,0))</f>
        <v/>
      </c>
      <c r="AU1667" s="14">
        <f>F1667*AT1667*IF(B1667&gt;=in_marketplace_from,d_hz_device*G1667,0)*in_device_ticket*in_device_comm*in_ins_partner_share</f>
        <v/>
      </c>
      <c r="AV1667" s="40">
        <f>AV1666*(1-IF(B1666&gt;=in_marketplace_from,d_hz_shop*G1666,0))</f>
        <v/>
      </c>
      <c r="AW1667" s="46">
        <f>AV1667*IF(B1667&gt;=in_marketplace_from,d_hz_shop*G1667,0)</f>
        <v/>
      </c>
      <c r="AX1667" s="14">
        <f>F1667*AW1667*in_shop_ticket*in_shop_comm*in_ins_partner_share+F1667*in_shop_ticket*in_shop_renew_comm*in_ins_partner_share*(in_shop_renew^1*SUMIFS(AW1661:AW1678,B1661:B1678,B1667-12)+in_shop_renew^2*SUMIFS(AW1661:AW1678,B1661:B1678,B1667-24)+in_shop_renew^3*SUMIFS(AW1661:AW1678,B1661:B1678,B1667-36)+in_shop_renew^4*SUMIFS(AW1661:AW1678,B1661:B1678,B1667-48))</f>
        <v/>
      </c>
      <c r="AY1667" s="40">
        <f>AY1666*(1-IF(B1666&gt;=in_marketplace_from,d_hz_sip*G1666,0))</f>
        <v/>
      </c>
      <c r="AZ1667" s="40">
        <f>AZ1666*d_rho_sip+AY1667*IF(B1667&gt;=in_marketplace_from,d_hz_sip*G1667,0)</f>
        <v/>
      </c>
      <c r="BA1667" s="40">
        <f>d_rho_sip*(BA1666+AZ1666)</f>
        <v/>
      </c>
      <c r="BB1667" s="14">
        <f>F1667*in_sip_ticket*(BA1667+0.5*AZ1667)*in_sip_comm/12</f>
        <v/>
      </c>
      <c r="BC1667" s="40">
        <f>BC1666*(1-IF(B1666&gt;=in_marketplace_from,d_hz_choti*G1666,0))</f>
        <v/>
      </c>
      <c r="BD1667" s="46">
        <f>BC1667*IF(B1667&gt;=in_marketplace_from,d_hz_choti*G1667,0)</f>
        <v/>
      </c>
      <c r="BE1667" s="14">
        <f>F1667*SUMIFS(BD1661:BD1678,B1661:B1678,B1667-in_choti_months)*in_choti_renew*in_choti_ticket</f>
        <v/>
      </c>
      <c r="BF1667" s="40">
        <f>BF1666*(1-IF(B1666&gt;=in_marketplace_from,d_hz_nps*G1666,0))</f>
        <v/>
      </c>
      <c r="BG1667" s="14">
        <f>F1667*BF1667*IF(B1667&gt;=in_marketplace_from,d_hz_nps*G1667,0)*in_nps_ticket*in_nps_comm</f>
        <v/>
      </c>
      <c r="BH1667" s="40">
        <f>BH1666*(1-IF(B1666&gt;=in_marketplace_from,d_hz_gold*G1666,0))</f>
        <v/>
      </c>
      <c r="BI1667" s="40">
        <f>BI1666*d_rho_gold+BH1667*IF(B1667&gt;=in_marketplace_from,d_hz_gold*G1667,0)</f>
        <v/>
      </c>
      <c r="BJ1667" s="14">
        <f>F1667*BI1667*in_gold_ticket*in_gold_comm</f>
        <v/>
      </c>
      <c r="BK1667" s="40">
        <f>BK1666*(1-IF(B1666&gt;=in_marketplace_from,d_hz_fd*G1666,0))</f>
        <v/>
      </c>
      <c r="BL1667" s="14">
        <f>F1667*BK1667*IF(B1667&gt;=in_marketplace_from,d_hz_fd*G1667,0)*in_fd_ticket*in_fd_comm</f>
        <v/>
      </c>
      <c r="BM1667" s="40">
        <f>BM1666*(1-IF(B1666&gt;=in_marketplace_from,d_hz_recharge*G1666,0))</f>
        <v/>
      </c>
      <c r="BN1667" s="40">
        <f>BN1666*d_rho_recharge+BM1667*IF(B1667&gt;=in_marketplace_from,d_hz_recharge*G1667,0)</f>
        <v/>
      </c>
      <c r="BO1667" s="14">
        <f>F1667*BN1667*in_recharge_ticket*in_recharge_comm/12</f>
        <v/>
      </c>
      <c r="BP1667" s="40">
        <f>BP1666*(1-IF(B1666&gt;=in_marketplace_from,d_hz_bills*G1666,0))</f>
        <v/>
      </c>
      <c r="BQ1667" s="40">
        <f>BQ1666*d_rho_bills+BP1667*IF(B1667&gt;=in_marketplace_from,d_hz_bills*G1667,0)</f>
        <v/>
      </c>
      <c r="BR1667" s="14">
        <f>F1667*BQ1667*in_bills_ticket*in_bills_comm/12</f>
        <v/>
      </c>
      <c r="BS1667" s="40">
        <f>BS1666*(1-IF(B1666&gt;=in_marketplace_from,d_hz_loan_gold*G1666,0))</f>
        <v/>
      </c>
      <c r="BT1667" s="14">
        <f>F1667*BS1667*IF(B1667&gt;=in_marketplace_from,d_hz_loan_gold*G1667,0)*in_loan_gold_ticket*in_loan_gold_comm</f>
        <v/>
      </c>
      <c r="BU1667" s="40">
        <f>BU1666*(1-IF(B1666&gt;=in_marketplace_from,d_hz_loan_cd*G1666,0))</f>
        <v/>
      </c>
      <c r="BV1667" s="14">
        <f>F1667*BU1667*IF(B1667&gt;=in_marketplace_from,d_hz_loan_cd*G1667,0)*in_loan_cd_ticket*in_loan_cd_comm</f>
        <v/>
      </c>
      <c r="BW1667" s="40">
        <f>BW1666*(1-IF(B1666&gt;=in_marketplace_from,d_hz_loan_vehicle*G1666,0))</f>
        <v/>
      </c>
      <c r="BX1667" s="14">
        <f>F1667*BW1667*IF(B1667&gt;=in_marketplace_from,d_hz_loan_vehicle*G1667,0)*in_loan_vehicle_ticket*in_loan_vehicle_comm</f>
        <v/>
      </c>
      <c r="BY1667" s="40">
        <f>BY1666*(1-IF(B1666&gt;=in_marketplace_from,d_hz_loan_home*G1666,0)*BZ1666)</f>
        <v/>
      </c>
      <c r="BZ1667" s="11">
        <f>MIN(in_approval_cap,in_loan_home_approval*INDEX('Age profile'!$O$2:$O$61,B1667)*(1+in_approval_growth)^(D1667-1))</f>
        <v/>
      </c>
      <c r="CA1667" s="14">
        <f>F1667*BY1667*IF(B1667&gt;=in_marketplace_from,d_hz_loan_home*G1667,0)*BZ1667*in_loan_home_ticket*in_loan_home_comm</f>
        <v/>
      </c>
      <c r="CB1667" s="40">
        <f>CB1666*(1-IF(B1666&gt;=in_marketplace_from,d_hz_loan_lap*G1666,0)*CC1666)</f>
        <v/>
      </c>
      <c r="CC1667" s="11">
        <f>MIN(in_approval_cap,in_loan_lap_approval*INDEX('Age profile'!$O$2:$O$61,B1667)*(1+in_approval_growth)^(D1667-1))</f>
        <v/>
      </c>
      <c r="CD1667" s="14">
        <f>F1667*CB1667*IF(B1667&gt;=in_marketplace_from,d_hz_loan_lap*G1667,0)*CC1667*in_loan_lap_ticket*in_loan_lap_comm</f>
        <v/>
      </c>
      <c r="CE1667" s="14">
        <f>AA1667+AB1667+AC1667+AD1667+AG1667+AJ1667+AM1667+AP1667+AS1667+AU1667+AX1667+BB1667+BE1667+BG1667+BJ1667+BL1667+BO1667+BR1667+BT1667+BV1667+BX1667+CA1667+CD1667</f>
        <v/>
      </c>
    </row>
    <row r="1668">
      <c r="A1668" s="39" t="n">
        <v>43</v>
      </c>
      <c r="B1668" s="39" t="n">
        <v>8</v>
      </c>
      <c r="C1668" s="39">
        <f>A1668+B1668-1</f>
        <v/>
      </c>
      <c r="D1668" s="39">
        <f>INT((C1668-1)/12)+1</f>
        <v/>
      </c>
      <c r="E1668" s="44">
        <f>INDEX(Monthly!$B$2:$B$61,A1668)</f>
        <v/>
      </c>
      <c r="F1668" s="44">
        <f>E1668*INDEX('Age profile'!$B$2:$B$61,B1668)</f>
        <v/>
      </c>
      <c r="G1668" s="45">
        <f>MIN(in_takeup_cap,INDEX('Age profile'!$N$2:$N$61,B1668)*(1+in_takeup_growth)^(D1668-1))</f>
        <v/>
      </c>
      <c r="H1668" s="11">
        <f>MIN(in_approval_cap,in_approved_first*INDEX('Age profile'!$O$2:$O$61,B1668)*(1+in_approval_growth)^(D1668-1))</f>
        <v/>
      </c>
      <c r="I1668" s="45">
        <f>G1668*MIN(in_takeup_cap,INDEX('Age profile'!$O$2:$O$61,B1668)*(1+in_approval_growth)^(D1668-1))</f>
        <v/>
      </c>
      <c r="J1668" s="40">
        <f>(J1667-L1667)*F1668/F1667</f>
        <v/>
      </c>
      <c r="K1668" s="40">
        <f>(K1667-M1667)*F1668/F1667+SUMIFS(O1661:O1667,B1661:B1667,B1668-1-d_T)*F1668</f>
        <v/>
      </c>
      <c r="L1668" s="40">
        <f>IF(B1668&gt;=in_marketplace_from,J1668*d_hz*G1668*in_eligible*H1668,0)</f>
        <v/>
      </c>
      <c r="M1668" s="40">
        <f>IF(B1668&gt;=in_marketplace_from,K1668*d_hz*G1668*in_eligible*in_approved_repeat,0)</f>
        <v/>
      </c>
      <c r="N1668" s="40">
        <f>L1668+M1668</f>
        <v/>
      </c>
      <c r="O1668" s="46">
        <f>N1668/F1668</f>
        <v/>
      </c>
      <c r="P1668" s="40">
        <f>F1668-J1668-K1668</f>
        <v/>
      </c>
      <c r="Q1668" s="40">
        <f>IF(B1668&gt;=in_marketplace_from,(J1668+K1668)*d_hz*G1668,0)</f>
        <v/>
      </c>
      <c r="R1668" s="40">
        <f>SUMIFS(N1661:N1678,B1661:B1678,"&gt;="&amp;(B1668-d_T),B1661:B1678,"&lt;="&amp;(B1668-1))</f>
        <v/>
      </c>
      <c r="S1668" s="46">
        <f>(1-d_u)*S1667+IF(d_T&gt;in_topup_lag,SUMIFS(O1661:O1678,B1661:B1678,B1668-in_topup_lag)-d_udrop*SUMIFS(O1661:O1678,B1661:B1678,B1668-d_T),0)</f>
        <v/>
      </c>
      <c r="T1668" s="40">
        <f>F1668*d_u*S1668</f>
        <v/>
      </c>
      <c r="U1668" s="9">
        <f>L1668*in_ticket+M1668*d_rep_ticket</f>
        <v/>
      </c>
      <c r="V1668" s="9">
        <f>U1668+T1668*d_topup_amt</f>
        <v/>
      </c>
      <c r="W1668" s="40">
        <f>N1668+T1668*d_topup_ratio</f>
        <v/>
      </c>
      <c r="X1668" s="40">
        <f>SUMIFS(W1661:W1678,B1661:B1678,B1668-in_dpd_lag)*d_cured</f>
        <v/>
      </c>
      <c r="Y1668" s="40">
        <f>SUMIFS(W1661:W1678,B1661:B1678,B1668-in_rec_lag)*d_recd</f>
        <v/>
      </c>
      <c r="Z1668" s="40">
        <f>IF(AND(B1668&gt;=in_marketplace_from,B1668&lt;in_marketplace_from+in_card_months),in_card_share/in_card_months*F1668*I1668,IF(AND(B1668&gt;=in_marketplace_from+in_card_months,B1668&lt;in_marketplace_from+2*in_card_months),in_card_share*d_card_rem/in_card_months*F1668*MIN(in_takeup_cap,(1+in_takeup_growth)^(D1668-1))*MIN(in_takeup_cap,(1+in_approval_growth)^(D1668-1)),0))</f>
        <v/>
      </c>
      <c r="AA1668" s="14">
        <f>V1668*in_fee*(1-in_taken_back)</f>
        <v/>
      </c>
      <c r="AB1668" s="14">
        <f>SUMIFS(W1661:W1678,B1661:B1678,B1668-in_dpd_lag)*d_dpd</f>
        <v/>
      </c>
      <c r="AC1668" s="14">
        <f>SUMIFS(W1661:W1678,B1661:B1678,B1668-in_rec_lag)*d_rec</f>
        <v/>
      </c>
      <c r="AD1668" s="14">
        <f>Z1668*in_card_fee</f>
        <v/>
      </c>
      <c r="AE1668" s="40">
        <f>AE1667*(1-IF(B1667&gt;=in_marketplace_from,d_hz_hlth_small*G1667,0))</f>
        <v/>
      </c>
      <c r="AF1668" s="46">
        <f>AE1668*IF(B1668&gt;=in_marketplace_from,d_hz_hlth_small*G1668,0)</f>
        <v/>
      </c>
      <c r="AG1668" s="14">
        <f>F1668*AF1668*in_hlth_small_ticket*in_hlth_small_comm*in_ins_partner_share+F1668*in_hlth_small_ticket*in_hlth_small_renew_comm*in_ins_partner_share*(in_hlth_small_renew^1*SUMIFS(AF1661:AF1678,B1661:B1678,B1668-12)+in_hlth_small_renew^2*SUMIFS(AF1661:AF1678,B1661:B1678,B1668-24)+in_hlth_small_renew^3*SUMIFS(AF1661:AF1678,B1661:B1678,B1668-36)+in_hlth_small_renew^4*SUMIFS(AF1661:AF1678,B1661:B1678,B1668-48))</f>
        <v/>
      </c>
      <c r="AH1668" s="40">
        <f>AH1667*(1-IF(B1667&gt;=in_marketplace_from,d_hz_hlth_family*G1667,0))</f>
        <v/>
      </c>
      <c r="AI1668" s="46">
        <f>AH1668*IF(B1668&gt;=in_marketplace_from,d_hz_hlth_family*G1668,0)</f>
        <v/>
      </c>
      <c r="AJ1668" s="14">
        <f>F1668*AI1668*in_hlth_family_ticket*in_hlth_family_comm*in_ins_partner_share+F1668*in_hlth_family_ticket*in_hlth_family_renew_comm*in_ins_partner_share*(in_hlth_family_renew^1*SUMIFS(AI1661:AI1678,B1661:B1678,B1668-12)+in_hlth_family_renew^2*SUMIFS(AI1661:AI1678,B1661:B1678,B1668-24)+in_hlth_family_renew^3*SUMIFS(AI1661:AI1678,B1661:B1678,B1668-36)+in_hlth_family_renew^4*SUMIFS(AI1661:AI1678,B1661:B1678,B1668-48))</f>
        <v/>
      </c>
      <c r="AK1668" s="40">
        <f>AK1667*(1-IF(B1667&gt;=in_marketplace_from,d_hz_life_term*G1667,0))</f>
        <v/>
      </c>
      <c r="AL1668" s="46">
        <f>AK1668*IF(B1668&gt;=in_marketplace_from,d_hz_life_term*G1668,0)</f>
        <v/>
      </c>
      <c r="AM1668" s="14">
        <f>F1668*AL1668*in_life_term_ticket*in_life_term_comm*in_ins_partner_share+F1668*in_life_term_ticket*in_life_term_renew_comm*in_ins_partner_share*(in_life_term_renew^1*SUMIFS(AL1661:AL1678,B1661:B1678,B1668-12)+in_life_term_renew^2*SUMIFS(AL1661:AL1678,B1661:B1678,B1668-24)+in_life_term_renew^3*SUMIFS(AL1661:AL1678,B1661:B1678,B1668-36)+in_life_term_renew^4*SUMIFS(AL1661:AL1678,B1661:B1678,B1668-48))</f>
        <v/>
      </c>
      <c r="AN1668" s="40">
        <f>AN1667*(1-IF(B1667&gt;=in_marketplace_from,d_hz_accident*G1667,0))</f>
        <v/>
      </c>
      <c r="AO1668" s="46">
        <f>AN1668*IF(B1668&gt;=in_marketplace_from,d_hz_accident*G1668,0)</f>
        <v/>
      </c>
      <c r="AP1668" s="14">
        <f>F1668*AO1668*in_accident_ticket*in_accident_comm*in_ins_partner_share+F1668*in_accident_ticket*in_accident_renew_comm*in_ins_partner_share*(in_accident_renew^1*SUMIFS(AO1661:AO1678,B1661:B1678,B1668-12)+in_accident_renew^2*SUMIFS(AO1661:AO1678,B1661:B1678,B1668-24)+in_accident_renew^3*SUMIFS(AO1661:AO1678,B1661:B1678,B1668-36)+in_accident_renew^4*SUMIFS(AO1661:AO1678,B1661:B1678,B1668-48))</f>
        <v/>
      </c>
      <c r="AQ1668" s="40">
        <f>AQ1667*(1-IF(B1667&gt;=in_marketplace_from,d_hz_two_wheeler*G1667,0))</f>
        <v/>
      </c>
      <c r="AR1668" s="46">
        <f>AQ1668*IF(B1668&gt;=in_marketplace_from,d_hz_two_wheeler*G1668,0)</f>
        <v/>
      </c>
      <c r="AS1668" s="14">
        <f>F1668*AR1668*in_two_wheeler_ticket*in_two_wheeler_comm*in_ins_partner_share+F1668*in_two_wheeler_ticket*in_two_wheeler_comm*in_ins_partner_share*(in_two_wheeler_renew^1*SUMIFS(AR1661:AR1678,B1661:B1678,B1668-12)+in_two_wheeler_renew^2*SUMIFS(AR1661:AR1678,B1661:B1678,B1668-24)+in_two_wheeler_renew^3*SUMIFS(AR1661:AR1678,B1661:B1678,B1668-36)+in_two_wheeler_renew^4*SUMIFS(AR1661:AR1678,B1661:B1678,B1668-48))</f>
        <v/>
      </c>
      <c r="AT1668" s="40">
        <f>AT1667*(1-IF(B1667&gt;=in_marketplace_from,d_hz_device*G1667,0))</f>
        <v/>
      </c>
      <c r="AU1668" s="14">
        <f>F1668*AT1668*IF(B1668&gt;=in_marketplace_from,d_hz_device*G1668,0)*in_device_ticket*in_device_comm*in_ins_partner_share</f>
        <v/>
      </c>
      <c r="AV1668" s="40">
        <f>AV1667*(1-IF(B1667&gt;=in_marketplace_from,d_hz_shop*G1667,0))</f>
        <v/>
      </c>
      <c r="AW1668" s="46">
        <f>AV1668*IF(B1668&gt;=in_marketplace_from,d_hz_shop*G1668,0)</f>
        <v/>
      </c>
      <c r="AX1668" s="14">
        <f>F1668*AW1668*in_shop_ticket*in_shop_comm*in_ins_partner_share+F1668*in_shop_ticket*in_shop_renew_comm*in_ins_partner_share*(in_shop_renew^1*SUMIFS(AW1661:AW1678,B1661:B1678,B1668-12)+in_shop_renew^2*SUMIFS(AW1661:AW1678,B1661:B1678,B1668-24)+in_shop_renew^3*SUMIFS(AW1661:AW1678,B1661:B1678,B1668-36)+in_shop_renew^4*SUMIFS(AW1661:AW1678,B1661:B1678,B1668-48))</f>
        <v/>
      </c>
      <c r="AY1668" s="40">
        <f>AY1667*(1-IF(B1667&gt;=in_marketplace_from,d_hz_sip*G1667,0))</f>
        <v/>
      </c>
      <c r="AZ1668" s="40">
        <f>AZ1667*d_rho_sip+AY1668*IF(B1668&gt;=in_marketplace_from,d_hz_sip*G1668,0)</f>
        <v/>
      </c>
      <c r="BA1668" s="40">
        <f>d_rho_sip*(BA1667+AZ1667)</f>
        <v/>
      </c>
      <c r="BB1668" s="14">
        <f>F1668*in_sip_ticket*(BA1668+0.5*AZ1668)*in_sip_comm/12</f>
        <v/>
      </c>
      <c r="BC1668" s="40">
        <f>BC1667*(1-IF(B1667&gt;=in_marketplace_from,d_hz_choti*G1667,0))</f>
        <v/>
      </c>
      <c r="BD1668" s="46">
        <f>BC1668*IF(B1668&gt;=in_marketplace_from,d_hz_choti*G1668,0)</f>
        <v/>
      </c>
      <c r="BE1668" s="14">
        <f>F1668*SUMIFS(BD1661:BD1678,B1661:B1678,B1668-in_choti_months)*in_choti_renew*in_choti_ticket</f>
        <v/>
      </c>
      <c r="BF1668" s="40">
        <f>BF1667*(1-IF(B1667&gt;=in_marketplace_from,d_hz_nps*G1667,0))</f>
        <v/>
      </c>
      <c r="BG1668" s="14">
        <f>F1668*BF1668*IF(B1668&gt;=in_marketplace_from,d_hz_nps*G1668,0)*in_nps_ticket*in_nps_comm</f>
        <v/>
      </c>
      <c r="BH1668" s="40">
        <f>BH1667*(1-IF(B1667&gt;=in_marketplace_from,d_hz_gold*G1667,0))</f>
        <v/>
      </c>
      <c r="BI1668" s="40">
        <f>BI1667*d_rho_gold+BH1668*IF(B1668&gt;=in_marketplace_from,d_hz_gold*G1668,0)</f>
        <v/>
      </c>
      <c r="BJ1668" s="14">
        <f>F1668*BI1668*in_gold_ticket*in_gold_comm</f>
        <v/>
      </c>
      <c r="BK1668" s="40">
        <f>BK1667*(1-IF(B1667&gt;=in_marketplace_from,d_hz_fd*G1667,0))</f>
        <v/>
      </c>
      <c r="BL1668" s="14">
        <f>F1668*BK1668*IF(B1668&gt;=in_marketplace_from,d_hz_fd*G1668,0)*in_fd_ticket*in_fd_comm</f>
        <v/>
      </c>
      <c r="BM1668" s="40">
        <f>BM1667*(1-IF(B1667&gt;=in_marketplace_from,d_hz_recharge*G1667,0))</f>
        <v/>
      </c>
      <c r="BN1668" s="40">
        <f>BN1667*d_rho_recharge+BM1668*IF(B1668&gt;=in_marketplace_from,d_hz_recharge*G1668,0)</f>
        <v/>
      </c>
      <c r="BO1668" s="14">
        <f>F1668*BN1668*in_recharge_ticket*in_recharge_comm/12</f>
        <v/>
      </c>
      <c r="BP1668" s="40">
        <f>BP1667*(1-IF(B1667&gt;=in_marketplace_from,d_hz_bills*G1667,0))</f>
        <v/>
      </c>
      <c r="BQ1668" s="40">
        <f>BQ1667*d_rho_bills+BP1668*IF(B1668&gt;=in_marketplace_from,d_hz_bills*G1668,0)</f>
        <v/>
      </c>
      <c r="BR1668" s="14">
        <f>F1668*BQ1668*in_bills_ticket*in_bills_comm/12</f>
        <v/>
      </c>
      <c r="BS1668" s="40">
        <f>BS1667*(1-IF(B1667&gt;=in_marketplace_from,d_hz_loan_gold*G1667,0))</f>
        <v/>
      </c>
      <c r="BT1668" s="14">
        <f>F1668*BS1668*IF(B1668&gt;=in_marketplace_from,d_hz_loan_gold*G1668,0)*in_loan_gold_ticket*in_loan_gold_comm</f>
        <v/>
      </c>
      <c r="BU1668" s="40">
        <f>BU1667*(1-IF(B1667&gt;=in_marketplace_from,d_hz_loan_cd*G1667,0))</f>
        <v/>
      </c>
      <c r="BV1668" s="14">
        <f>F1668*BU1668*IF(B1668&gt;=in_marketplace_from,d_hz_loan_cd*G1668,0)*in_loan_cd_ticket*in_loan_cd_comm</f>
        <v/>
      </c>
      <c r="BW1668" s="40">
        <f>BW1667*(1-IF(B1667&gt;=in_marketplace_from,d_hz_loan_vehicle*G1667,0))</f>
        <v/>
      </c>
      <c r="BX1668" s="14">
        <f>F1668*BW1668*IF(B1668&gt;=in_marketplace_from,d_hz_loan_vehicle*G1668,0)*in_loan_vehicle_ticket*in_loan_vehicle_comm</f>
        <v/>
      </c>
      <c r="BY1668" s="40">
        <f>BY1667*(1-IF(B1667&gt;=in_marketplace_from,d_hz_loan_home*G1667,0)*BZ1667)</f>
        <v/>
      </c>
      <c r="BZ1668" s="11">
        <f>MIN(in_approval_cap,in_loan_home_approval*INDEX('Age profile'!$O$2:$O$61,B1668)*(1+in_approval_growth)^(D1668-1))</f>
        <v/>
      </c>
      <c r="CA1668" s="14">
        <f>F1668*BY1668*IF(B1668&gt;=in_marketplace_from,d_hz_loan_home*G1668,0)*BZ1668*in_loan_home_ticket*in_loan_home_comm</f>
        <v/>
      </c>
      <c r="CB1668" s="40">
        <f>CB1667*(1-IF(B1667&gt;=in_marketplace_from,d_hz_loan_lap*G1667,0)*CC1667)</f>
        <v/>
      </c>
      <c r="CC1668" s="11">
        <f>MIN(in_approval_cap,in_loan_lap_approval*INDEX('Age profile'!$O$2:$O$61,B1668)*(1+in_approval_growth)^(D1668-1))</f>
        <v/>
      </c>
      <c r="CD1668" s="14">
        <f>F1668*CB1668*IF(B1668&gt;=in_marketplace_from,d_hz_loan_lap*G1668,0)*CC1668*in_loan_lap_ticket*in_loan_lap_comm</f>
        <v/>
      </c>
      <c r="CE1668" s="14">
        <f>AA1668+AB1668+AC1668+AD1668+AG1668+AJ1668+AM1668+AP1668+AS1668+AU1668+AX1668+BB1668+BE1668+BG1668+BJ1668+BL1668+BO1668+BR1668+BT1668+BV1668+BX1668+CA1668+CD1668</f>
        <v/>
      </c>
    </row>
    <row r="1669">
      <c r="A1669" s="39" t="n">
        <v>43</v>
      </c>
      <c r="B1669" s="39" t="n">
        <v>9</v>
      </c>
      <c r="C1669" s="39">
        <f>A1669+B1669-1</f>
        <v/>
      </c>
      <c r="D1669" s="39">
        <f>INT((C1669-1)/12)+1</f>
        <v/>
      </c>
      <c r="E1669" s="44">
        <f>INDEX(Monthly!$B$2:$B$61,A1669)</f>
        <v/>
      </c>
      <c r="F1669" s="44">
        <f>E1669*INDEX('Age profile'!$B$2:$B$61,B1669)</f>
        <v/>
      </c>
      <c r="G1669" s="45">
        <f>MIN(in_takeup_cap,INDEX('Age profile'!$N$2:$N$61,B1669)*(1+in_takeup_growth)^(D1669-1))</f>
        <v/>
      </c>
      <c r="H1669" s="11">
        <f>MIN(in_approval_cap,in_approved_first*INDEX('Age profile'!$O$2:$O$61,B1669)*(1+in_approval_growth)^(D1669-1))</f>
        <v/>
      </c>
      <c r="I1669" s="45">
        <f>G1669*MIN(in_takeup_cap,INDEX('Age profile'!$O$2:$O$61,B1669)*(1+in_approval_growth)^(D1669-1))</f>
        <v/>
      </c>
      <c r="J1669" s="40">
        <f>(J1668-L1668)*F1669/F1668</f>
        <v/>
      </c>
      <c r="K1669" s="40">
        <f>(K1668-M1668)*F1669/F1668+SUMIFS(O1661:O1668,B1661:B1668,B1669-1-d_T)*F1669</f>
        <v/>
      </c>
      <c r="L1669" s="40">
        <f>IF(B1669&gt;=in_marketplace_from,J1669*d_hz*G1669*in_eligible*H1669,0)</f>
        <v/>
      </c>
      <c r="M1669" s="40">
        <f>IF(B1669&gt;=in_marketplace_from,K1669*d_hz*G1669*in_eligible*in_approved_repeat,0)</f>
        <v/>
      </c>
      <c r="N1669" s="40">
        <f>L1669+M1669</f>
        <v/>
      </c>
      <c r="O1669" s="46">
        <f>N1669/F1669</f>
        <v/>
      </c>
      <c r="P1669" s="40">
        <f>F1669-J1669-K1669</f>
        <v/>
      </c>
      <c r="Q1669" s="40">
        <f>IF(B1669&gt;=in_marketplace_from,(J1669+K1669)*d_hz*G1669,0)</f>
        <v/>
      </c>
      <c r="R1669" s="40">
        <f>SUMIFS(N1661:N1678,B1661:B1678,"&gt;="&amp;(B1669-d_T),B1661:B1678,"&lt;="&amp;(B1669-1))</f>
        <v/>
      </c>
      <c r="S1669" s="46">
        <f>(1-d_u)*S1668+IF(d_T&gt;in_topup_lag,SUMIFS(O1661:O1678,B1661:B1678,B1669-in_topup_lag)-d_udrop*SUMIFS(O1661:O1678,B1661:B1678,B1669-d_T),0)</f>
        <v/>
      </c>
      <c r="T1669" s="40">
        <f>F1669*d_u*S1669</f>
        <v/>
      </c>
      <c r="U1669" s="9">
        <f>L1669*in_ticket+M1669*d_rep_ticket</f>
        <v/>
      </c>
      <c r="V1669" s="9">
        <f>U1669+T1669*d_topup_amt</f>
        <v/>
      </c>
      <c r="W1669" s="40">
        <f>N1669+T1669*d_topup_ratio</f>
        <v/>
      </c>
      <c r="X1669" s="40">
        <f>SUMIFS(W1661:W1678,B1661:B1678,B1669-in_dpd_lag)*d_cured</f>
        <v/>
      </c>
      <c r="Y1669" s="40">
        <f>SUMIFS(W1661:W1678,B1661:B1678,B1669-in_rec_lag)*d_recd</f>
        <v/>
      </c>
      <c r="Z1669" s="40">
        <f>IF(AND(B1669&gt;=in_marketplace_from,B1669&lt;in_marketplace_from+in_card_months),in_card_share/in_card_months*F1669*I1669,IF(AND(B1669&gt;=in_marketplace_from+in_card_months,B1669&lt;in_marketplace_from+2*in_card_months),in_card_share*d_card_rem/in_card_months*F1669*MIN(in_takeup_cap,(1+in_takeup_growth)^(D1669-1))*MIN(in_takeup_cap,(1+in_approval_growth)^(D1669-1)),0))</f>
        <v/>
      </c>
      <c r="AA1669" s="14">
        <f>V1669*in_fee*(1-in_taken_back)</f>
        <v/>
      </c>
      <c r="AB1669" s="14">
        <f>SUMIFS(W1661:W1678,B1661:B1678,B1669-in_dpd_lag)*d_dpd</f>
        <v/>
      </c>
      <c r="AC1669" s="14">
        <f>SUMIFS(W1661:W1678,B1661:B1678,B1669-in_rec_lag)*d_rec</f>
        <v/>
      </c>
      <c r="AD1669" s="14">
        <f>Z1669*in_card_fee</f>
        <v/>
      </c>
      <c r="AE1669" s="40">
        <f>AE1668*(1-IF(B1668&gt;=in_marketplace_from,d_hz_hlth_small*G1668,0))</f>
        <v/>
      </c>
      <c r="AF1669" s="46">
        <f>AE1669*IF(B1669&gt;=in_marketplace_from,d_hz_hlth_small*G1669,0)</f>
        <v/>
      </c>
      <c r="AG1669" s="14">
        <f>F1669*AF1669*in_hlth_small_ticket*in_hlth_small_comm*in_ins_partner_share+F1669*in_hlth_small_ticket*in_hlth_small_renew_comm*in_ins_partner_share*(in_hlth_small_renew^1*SUMIFS(AF1661:AF1678,B1661:B1678,B1669-12)+in_hlth_small_renew^2*SUMIFS(AF1661:AF1678,B1661:B1678,B1669-24)+in_hlth_small_renew^3*SUMIFS(AF1661:AF1678,B1661:B1678,B1669-36)+in_hlth_small_renew^4*SUMIFS(AF1661:AF1678,B1661:B1678,B1669-48))</f>
        <v/>
      </c>
      <c r="AH1669" s="40">
        <f>AH1668*(1-IF(B1668&gt;=in_marketplace_from,d_hz_hlth_family*G1668,0))</f>
        <v/>
      </c>
      <c r="AI1669" s="46">
        <f>AH1669*IF(B1669&gt;=in_marketplace_from,d_hz_hlth_family*G1669,0)</f>
        <v/>
      </c>
      <c r="AJ1669" s="14">
        <f>F1669*AI1669*in_hlth_family_ticket*in_hlth_family_comm*in_ins_partner_share+F1669*in_hlth_family_ticket*in_hlth_family_renew_comm*in_ins_partner_share*(in_hlth_family_renew^1*SUMIFS(AI1661:AI1678,B1661:B1678,B1669-12)+in_hlth_family_renew^2*SUMIFS(AI1661:AI1678,B1661:B1678,B1669-24)+in_hlth_family_renew^3*SUMIFS(AI1661:AI1678,B1661:B1678,B1669-36)+in_hlth_family_renew^4*SUMIFS(AI1661:AI1678,B1661:B1678,B1669-48))</f>
        <v/>
      </c>
      <c r="AK1669" s="40">
        <f>AK1668*(1-IF(B1668&gt;=in_marketplace_from,d_hz_life_term*G1668,0))</f>
        <v/>
      </c>
      <c r="AL1669" s="46">
        <f>AK1669*IF(B1669&gt;=in_marketplace_from,d_hz_life_term*G1669,0)</f>
        <v/>
      </c>
      <c r="AM1669" s="14">
        <f>F1669*AL1669*in_life_term_ticket*in_life_term_comm*in_ins_partner_share+F1669*in_life_term_ticket*in_life_term_renew_comm*in_ins_partner_share*(in_life_term_renew^1*SUMIFS(AL1661:AL1678,B1661:B1678,B1669-12)+in_life_term_renew^2*SUMIFS(AL1661:AL1678,B1661:B1678,B1669-24)+in_life_term_renew^3*SUMIFS(AL1661:AL1678,B1661:B1678,B1669-36)+in_life_term_renew^4*SUMIFS(AL1661:AL1678,B1661:B1678,B1669-48))</f>
        <v/>
      </c>
      <c r="AN1669" s="40">
        <f>AN1668*(1-IF(B1668&gt;=in_marketplace_from,d_hz_accident*G1668,0))</f>
        <v/>
      </c>
      <c r="AO1669" s="46">
        <f>AN1669*IF(B1669&gt;=in_marketplace_from,d_hz_accident*G1669,0)</f>
        <v/>
      </c>
      <c r="AP1669" s="14">
        <f>F1669*AO1669*in_accident_ticket*in_accident_comm*in_ins_partner_share+F1669*in_accident_ticket*in_accident_renew_comm*in_ins_partner_share*(in_accident_renew^1*SUMIFS(AO1661:AO1678,B1661:B1678,B1669-12)+in_accident_renew^2*SUMIFS(AO1661:AO1678,B1661:B1678,B1669-24)+in_accident_renew^3*SUMIFS(AO1661:AO1678,B1661:B1678,B1669-36)+in_accident_renew^4*SUMIFS(AO1661:AO1678,B1661:B1678,B1669-48))</f>
        <v/>
      </c>
      <c r="AQ1669" s="40">
        <f>AQ1668*(1-IF(B1668&gt;=in_marketplace_from,d_hz_two_wheeler*G1668,0))</f>
        <v/>
      </c>
      <c r="AR1669" s="46">
        <f>AQ1669*IF(B1669&gt;=in_marketplace_from,d_hz_two_wheeler*G1669,0)</f>
        <v/>
      </c>
      <c r="AS1669" s="14">
        <f>F1669*AR1669*in_two_wheeler_ticket*in_two_wheeler_comm*in_ins_partner_share+F1669*in_two_wheeler_ticket*in_two_wheeler_comm*in_ins_partner_share*(in_two_wheeler_renew^1*SUMIFS(AR1661:AR1678,B1661:B1678,B1669-12)+in_two_wheeler_renew^2*SUMIFS(AR1661:AR1678,B1661:B1678,B1669-24)+in_two_wheeler_renew^3*SUMIFS(AR1661:AR1678,B1661:B1678,B1669-36)+in_two_wheeler_renew^4*SUMIFS(AR1661:AR1678,B1661:B1678,B1669-48))</f>
        <v/>
      </c>
      <c r="AT1669" s="40">
        <f>AT1668*(1-IF(B1668&gt;=in_marketplace_from,d_hz_device*G1668,0))</f>
        <v/>
      </c>
      <c r="AU1669" s="14">
        <f>F1669*AT1669*IF(B1669&gt;=in_marketplace_from,d_hz_device*G1669,0)*in_device_ticket*in_device_comm*in_ins_partner_share</f>
        <v/>
      </c>
      <c r="AV1669" s="40">
        <f>AV1668*(1-IF(B1668&gt;=in_marketplace_from,d_hz_shop*G1668,0))</f>
        <v/>
      </c>
      <c r="AW1669" s="46">
        <f>AV1669*IF(B1669&gt;=in_marketplace_from,d_hz_shop*G1669,0)</f>
        <v/>
      </c>
      <c r="AX1669" s="14">
        <f>F1669*AW1669*in_shop_ticket*in_shop_comm*in_ins_partner_share+F1669*in_shop_ticket*in_shop_renew_comm*in_ins_partner_share*(in_shop_renew^1*SUMIFS(AW1661:AW1678,B1661:B1678,B1669-12)+in_shop_renew^2*SUMIFS(AW1661:AW1678,B1661:B1678,B1669-24)+in_shop_renew^3*SUMIFS(AW1661:AW1678,B1661:B1678,B1669-36)+in_shop_renew^4*SUMIFS(AW1661:AW1678,B1661:B1678,B1669-48))</f>
        <v/>
      </c>
      <c r="AY1669" s="40">
        <f>AY1668*(1-IF(B1668&gt;=in_marketplace_from,d_hz_sip*G1668,0))</f>
        <v/>
      </c>
      <c r="AZ1669" s="40">
        <f>AZ1668*d_rho_sip+AY1669*IF(B1669&gt;=in_marketplace_from,d_hz_sip*G1669,0)</f>
        <v/>
      </c>
      <c r="BA1669" s="40">
        <f>d_rho_sip*(BA1668+AZ1668)</f>
        <v/>
      </c>
      <c r="BB1669" s="14">
        <f>F1669*in_sip_ticket*(BA1669+0.5*AZ1669)*in_sip_comm/12</f>
        <v/>
      </c>
      <c r="BC1669" s="40">
        <f>BC1668*(1-IF(B1668&gt;=in_marketplace_from,d_hz_choti*G1668,0))</f>
        <v/>
      </c>
      <c r="BD1669" s="46">
        <f>BC1669*IF(B1669&gt;=in_marketplace_from,d_hz_choti*G1669,0)</f>
        <v/>
      </c>
      <c r="BE1669" s="14">
        <f>F1669*SUMIFS(BD1661:BD1678,B1661:B1678,B1669-in_choti_months)*in_choti_renew*in_choti_ticket</f>
        <v/>
      </c>
      <c r="BF1669" s="40">
        <f>BF1668*(1-IF(B1668&gt;=in_marketplace_from,d_hz_nps*G1668,0))</f>
        <v/>
      </c>
      <c r="BG1669" s="14">
        <f>F1669*BF1669*IF(B1669&gt;=in_marketplace_from,d_hz_nps*G1669,0)*in_nps_ticket*in_nps_comm</f>
        <v/>
      </c>
      <c r="BH1669" s="40">
        <f>BH1668*(1-IF(B1668&gt;=in_marketplace_from,d_hz_gold*G1668,0))</f>
        <v/>
      </c>
      <c r="BI1669" s="40">
        <f>BI1668*d_rho_gold+BH1669*IF(B1669&gt;=in_marketplace_from,d_hz_gold*G1669,0)</f>
        <v/>
      </c>
      <c r="BJ1669" s="14">
        <f>F1669*BI1669*in_gold_ticket*in_gold_comm</f>
        <v/>
      </c>
      <c r="BK1669" s="40">
        <f>BK1668*(1-IF(B1668&gt;=in_marketplace_from,d_hz_fd*G1668,0))</f>
        <v/>
      </c>
      <c r="BL1669" s="14">
        <f>F1669*BK1669*IF(B1669&gt;=in_marketplace_from,d_hz_fd*G1669,0)*in_fd_ticket*in_fd_comm</f>
        <v/>
      </c>
      <c r="BM1669" s="40">
        <f>BM1668*(1-IF(B1668&gt;=in_marketplace_from,d_hz_recharge*G1668,0))</f>
        <v/>
      </c>
      <c r="BN1669" s="40">
        <f>BN1668*d_rho_recharge+BM1669*IF(B1669&gt;=in_marketplace_from,d_hz_recharge*G1669,0)</f>
        <v/>
      </c>
      <c r="BO1669" s="14">
        <f>F1669*BN1669*in_recharge_ticket*in_recharge_comm/12</f>
        <v/>
      </c>
      <c r="BP1669" s="40">
        <f>BP1668*(1-IF(B1668&gt;=in_marketplace_from,d_hz_bills*G1668,0))</f>
        <v/>
      </c>
      <c r="BQ1669" s="40">
        <f>BQ1668*d_rho_bills+BP1669*IF(B1669&gt;=in_marketplace_from,d_hz_bills*G1669,0)</f>
        <v/>
      </c>
      <c r="BR1669" s="14">
        <f>F1669*BQ1669*in_bills_ticket*in_bills_comm/12</f>
        <v/>
      </c>
      <c r="BS1669" s="40">
        <f>BS1668*(1-IF(B1668&gt;=in_marketplace_from,d_hz_loan_gold*G1668,0))</f>
        <v/>
      </c>
      <c r="BT1669" s="14">
        <f>F1669*BS1669*IF(B1669&gt;=in_marketplace_from,d_hz_loan_gold*G1669,0)*in_loan_gold_ticket*in_loan_gold_comm</f>
        <v/>
      </c>
      <c r="BU1669" s="40">
        <f>BU1668*(1-IF(B1668&gt;=in_marketplace_from,d_hz_loan_cd*G1668,0))</f>
        <v/>
      </c>
      <c r="BV1669" s="14">
        <f>F1669*BU1669*IF(B1669&gt;=in_marketplace_from,d_hz_loan_cd*G1669,0)*in_loan_cd_ticket*in_loan_cd_comm</f>
        <v/>
      </c>
      <c r="BW1669" s="40">
        <f>BW1668*(1-IF(B1668&gt;=in_marketplace_from,d_hz_loan_vehicle*G1668,0))</f>
        <v/>
      </c>
      <c r="BX1669" s="14">
        <f>F1669*BW1669*IF(B1669&gt;=in_marketplace_from,d_hz_loan_vehicle*G1669,0)*in_loan_vehicle_ticket*in_loan_vehicle_comm</f>
        <v/>
      </c>
      <c r="BY1669" s="40">
        <f>BY1668*(1-IF(B1668&gt;=in_marketplace_from,d_hz_loan_home*G1668,0)*BZ1668)</f>
        <v/>
      </c>
      <c r="BZ1669" s="11">
        <f>MIN(in_approval_cap,in_loan_home_approval*INDEX('Age profile'!$O$2:$O$61,B1669)*(1+in_approval_growth)^(D1669-1))</f>
        <v/>
      </c>
      <c r="CA1669" s="14">
        <f>F1669*BY1669*IF(B1669&gt;=in_marketplace_from,d_hz_loan_home*G1669,0)*BZ1669*in_loan_home_ticket*in_loan_home_comm</f>
        <v/>
      </c>
      <c r="CB1669" s="40">
        <f>CB1668*(1-IF(B1668&gt;=in_marketplace_from,d_hz_loan_lap*G1668,0)*CC1668)</f>
        <v/>
      </c>
      <c r="CC1669" s="11">
        <f>MIN(in_approval_cap,in_loan_lap_approval*INDEX('Age profile'!$O$2:$O$61,B1669)*(1+in_approval_growth)^(D1669-1))</f>
        <v/>
      </c>
      <c r="CD1669" s="14">
        <f>F1669*CB1669*IF(B1669&gt;=in_marketplace_from,d_hz_loan_lap*G1669,0)*CC1669*in_loan_lap_ticket*in_loan_lap_comm</f>
        <v/>
      </c>
      <c r="CE1669" s="14">
        <f>AA1669+AB1669+AC1669+AD1669+AG1669+AJ1669+AM1669+AP1669+AS1669+AU1669+AX1669+BB1669+BE1669+BG1669+BJ1669+BL1669+BO1669+BR1669+BT1669+BV1669+BX1669+CA1669+CD1669</f>
        <v/>
      </c>
    </row>
    <row r="1670">
      <c r="A1670" s="39" t="n">
        <v>43</v>
      </c>
      <c r="B1670" s="39" t="n">
        <v>10</v>
      </c>
      <c r="C1670" s="39">
        <f>A1670+B1670-1</f>
        <v/>
      </c>
      <c r="D1670" s="39">
        <f>INT((C1670-1)/12)+1</f>
        <v/>
      </c>
      <c r="E1670" s="44">
        <f>INDEX(Monthly!$B$2:$B$61,A1670)</f>
        <v/>
      </c>
      <c r="F1670" s="44">
        <f>E1670*INDEX('Age profile'!$B$2:$B$61,B1670)</f>
        <v/>
      </c>
      <c r="G1670" s="45">
        <f>MIN(in_takeup_cap,INDEX('Age profile'!$N$2:$N$61,B1670)*(1+in_takeup_growth)^(D1670-1))</f>
        <v/>
      </c>
      <c r="H1670" s="11">
        <f>MIN(in_approval_cap,in_approved_first*INDEX('Age profile'!$O$2:$O$61,B1670)*(1+in_approval_growth)^(D1670-1))</f>
        <v/>
      </c>
      <c r="I1670" s="45">
        <f>G1670*MIN(in_takeup_cap,INDEX('Age profile'!$O$2:$O$61,B1670)*(1+in_approval_growth)^(D1670-1))</f>
        <v/>
      </c>
      <c r="J1670" s="40">
        <f>(J1669-L1669)*F1670/F1669</f>
        <v/>
      </c>
      <c r="K1670" s="40">
        <f>(K1669-M1669)*F1670/F1669+SUMIFS(O1661:O1669,B1661:B1669,B1670-1-d_T)*F1670</f>
        <v/>
      </c>
      <c r="L1670" s="40">
        <f>IF(B1670&gt;=in_marketplace_from,J1670*d_hz*G1670*in_eligible*H1670,0)</f>
        <v/>
      </c>
      <c r="M1670" s="40">
        <f>IF(B1670&gt;=in_marketplace_from,K1670*d_hz*G1670*in_eligible*in_approved_repeat,0)</f>
        <v/>
      </c>
      <c r="N1670" s="40">
        <f>L1670+M1670</f>
        <v/>
      </c>
      <c r="O1670" s="46">
        <f>N1670/F1670</f>
        <v/>
      </c>
      <c r="P1670" s="40">
        <f>F1670-J1670-K1670</f>
        <v/>
      </c>
      <c r="Q1670" s="40">
        <f>IF(B1670&gt;=in_marketplace_from,(J1670+K1670)*d_hz*G1670,0)</f>
        <v/>
      </c>
      <c r="R1670" s="40">
        <f>SUMIFS(N1661:N1678,B1661:B1678,"&gt;="&amp;(B1670-d_T),B1661:B1678,"&lt;="&amp;(B1670-1))</f>
        <v/>
      </c>
      <c r="S1670" s="46">
        <f>(1-d_u)*S1669+IF(d_T&gt;in_topup_lag,SUMIFS(O1661:O1678,B1661:B1678,B1670-in_topup_lag)-d_udrop*SUMIFS(O1661:O1678,B1661:B1678,B1670-d_T),0)</f>
        <v/>
      </c>
      <c r="T1670" s="40">
        <f>F1670*d_u*S1670</f>
        <v/>
      </c>
      <c r="U1670" s="9">
        <f>L1670*in_ticket+M1670*d_rep_ticket</f>
        <v/>
      </c>
      <c r="V1670" s="9">
        <f>U1670+T1670*d_topup_amt</f>
        <v/>
      </c>
      <c r="W1670" s="40">
        <f>N1670+T1670*d_topup_ratio</f>
        <v/>
      </c>
      <c r="X1670" s="40">
        <f>SUMIFS(W1661:W1678,B1661:B1678,B1670-in_dpd_lag)*d_cured</f>
        <v/>
      </c>
      <c r="Y1670" s="40">
        <f>SUMIFS(W1661:W1678,B1661:B1678,B1670-in_rec_lag)*d_recd</f>
        <v/>
      </c>
      <c r="Z1670" s="40">
        <f>IF(AND(B1670&gt;=in_marketplace_from,B1670&lt;in_marketplace_from+in_card_months),in_card_share/in_card_months*F1670*I1670,IF(AND(B1670&gt;=in_marketplace_from+in_card_months,B1670&lt;in_marketplace_from+2*in_card_months),in_card_share*d_card_rem/in_card_months*F1670*MIN(in_takeup_cap,(1+in_takeup_growth)^(D1670-1))*MIN(in_takeup_cap,(1+in_approval_growth)^(D1670-1)),0))</f>
        <v/>
      </c>
      <c r="AA1670" s="14">
        <f>V1670*in_fee*(1-in_taken_back)</f>
        <v/>
      </c>
      <c r="AB1670" s="14">
        <f>SUMIFS(W1661:W1678,B1661:B1678,B1670-in_dpd_lag)*d_dpd</f>
        <v/>
      </c>
      <c r="AC1670" s="14">
        <f>SUMIFS(W1661:W1678,B1661:B1678,B1670-in_rec_lag)*d_rec</f>
        <v/>
      </c>
      <c r="AD1670" s="14">
        <f>Z1670*in_card_fee</f>
        <v/>
      </c>
      <c r="AE1670" s="40">
        <f>AE1669*(1-IF(B1669&gt;=in_marketplace_from,d_hz_hlth_small*G1669,0))</f>
        <v/>
      </c>
      <c r="AF1670" s="46">
        <f>AE1670*IF(B1670&gt;=in_marketplace_from,d_hz_hlth_small*G1670,0)</f>
        <v/>
      </c>
      <c r="AG1670" s="14">
        <f>F1670*AF1670*in_hlth_small_ticket*in_hlth_small_comm*in_ins_partner_share+F1670*in_hlth_small_ticket*in_hlth_small_renew_comm*in_ins_partner_share*(in_hlth_small_renew^1*SUMIFS(AF1661:AF1678,B1661:B1678,B1670-12)+in_hlth_small_renew^2*SUMIFS(AF1661:AF1678,B1661:B1678,B1670-24)+in_hlth_small_renew^3*SUMIFS(AF1661:AF1678,B1661:B1678,B1670-36)+in_hlth_small_renew^4*SUMIFS(AF1661:AF1678,B1661:B1678,B1670-48))</f>
        <v/>
      </c>
      <c r="AH1670" s="40">
        <f>AH1669*(1-IF(B1669&gt;=in_marketplace_from,d_hz_hlth_family*G1669,0))</f>
        <v/>
      </c>
      <c r="AI1670" s="46">
        <f>AH1670*IF(B1670&gt;=in_marketplace_from,d_hz_hlth_family*G1670,0)</f>
        <v/>
      </c>
      <c r="AJ1670" s="14">
        <f>F1670*AI1670*in_hlth_family_ticket*in_hlth_family_comm*in_ins_partner_share+F1670*in_hlth_family_ticket*in_hlth_family_renew_comm*in_ins_partner_share*(in_hlth_family_renew^1*SUMIFS(AI1661:AI1678,B1661:B1678,B1670-12)+in_hlth_family_renew^2*SUMIFS(AI1661:AI1678,B1661:B1678,B1670-24)+in_hlth_family_renew^3*SUMIFS(AI1661:AI1678,B1661:B1678,B1670-36)+in_hlth_family_renew^4*SUMIFS(AI1661:AI1678,B1661:B1678,B1670-48))</f>
        <v/>
      </c>
      <c r="AK1670" s="40">
        <f>AK1669*(1-IF(B1669&gt;=in_marketplace_from,d_hz_life_term*G1669,0))</f>
        <v/>
      </c>
      <c r="AL1670" s="46">
        <f>AK1670*IF(B1670&gt;=in_marketplace_from,d_hz_life_term*G1670,0)</f>
        <v/>
      </c>
      <c r="AM1670" s="14">
        <f>F1670*AL1670*in_life_term_ticket*in_life_term_comm*in_ins_partner_share+F1670*in_life_term_ticket*in_life_term_renew_comm*in_ins_partner_share*(in_life_term_renew^1*SUMIFS(AL1661:AL1678,B1661:B1678,B1670-12)+in_life_term_renew^2*SUMIFS(AL1661:AL1678,B1661:B1678,B1670-24)+in_life_term_renew^3*SUMIFS(AL1661:AL1678,B1661:B1678,B1670-36)+in_life_term_renew^4*SUMIFS(AL1661:AL1678,B1661:B1678,B1670-48))</f>
        <v/>
      </c>
      <c r="AN1670" s="40">
        <f>AN1669*(1-IF(B1669&gt;=in_marketplace_from,d_hz_accident*G1669,0))</f>
        <v/>
      </c>
      <c r="AO1670" s="46">
        <f>AN1670*IF(B1670&gt;=in_marketplace_from,d_hz_accident*G1670,0)</f>
        <v/>
      </c>
      <c r="AP1670" s="14">
        <f>F1670*AO1670*in_accident_ticket*in_accident_comm*in_ins_partner_share+F1670*in_accident_ticket*in_accident_renew_comm*in_ins_partner_share*(in_accident_renew^1*SUMIFS(AO1661:AO1678,B1661:B1678,B1670-12)+in_accident_renew^2*SUMIFS(AO1661:AO1678,B1661:B1678,B1670-24)+in_accident_renew^3*SUMIFS(AO1661:AO1678,B1661:B1678,B1670-36)+in_accident_renew^4*SUMIFS(AO1661:AO1678,B1661:B1678,B1670-48))</f>
        <v/>
      </c>
      <c r="AQ1670" s="40">
        <f>AQ1669*(1-IF(B1669&gt;=in_marketplace_from,d_hz_two_wheeler*G1669,0))</f>
        <v/>
      </c>
      <c r="AR1670" s="46">
        <f>AQ1670*IF(B1670&gt;=in_marketplace_from,d_hz_two_wheeler*G1670,0)</f>
        <v/>
      </c>
      <c r="AS1670" s="14">
        <f>F1670*AR1670*in_two_wheeler_ticket*in_two_wheeler_comm*in_ins_partner_share+F1670*in_two_wheeler_ticket*in_two_wheeler_comm*in_ins_partner_share*(in_two_wheeler_renew^1*SUMIFS(AR1661:AR1678,B1661:B1678,B1670-12)+in_two_wheeler_renew^2*SUMIFS(AR1661:AR1678,B1661:B1678,B1670-24)+in_two_wheeler_renew^3*SUMIFS(AR1661:AR1678,B1661:B1678,B1670-36)+in_two_wheeler_renew^4*SUMIFS(AR1661:AR1678,B1661:B1678,B1670-48))</f>
        <v/>
      </c>
      <c r="AT1670" s="40">
        <f>AT1669*(1-IF(B1669&gt;=in_marketplace_from,d_hz_device*G1669,0))</f>
        <v/>
      </c>
      <c r="AU1670" s="14">
        <f>F1670*AT1670*IF(B1670&gt;=in_marketplace_from,d_hz_device*G1670,0)*in_device_ticket*in_device_comm*in_ins_partner_share</f>
        <v/>
      </c>
      <c r="AV1670" s="40">
        <f>AV1669*(1-IF(B1669&gt;=in_marketplace_from,d_hz_shop*G1669,0))</f>
        <v/>
      </c>
      <c r="AW1670" s="46">
        <f>AV1670*IF(B1670&gt;=in_marketplace_from,d_hz_shop*G1670,0)</f>
        <v/>
      </c>
      <c r="AX1670" s="14">
        <f>F1670*AW1670*in_shop_ticket*in_shop_comm*in_ins_partner_share+F1670*in_shop_ticket*in_shop_renew_comm*in_ins_partner_share*(in_shop_renew^1*SUMIFS(AW1661:AW1678,B1661:B1678,B1670-12)+in_shop_renew^2*SUMIFS(AW1661:AW1678,B1661:B1678,B1670-24)+in_shop_renew^3*SUMIFS(AW1661:AW1678,B1661:B1678,B1670-36)+in_shop_renew^4*SUMIFS(AW1661:AW1678,B1661:B1678,B1670-48))</f>
        <v/>
      </c>
      <c r="AY1670" s="40">
        <f>AY1669*(1-IF(B1669&gt;=in_marketplace_from,d_hz_sip*G1669,0))</f>
        <v/>
      </c>
      <c r="AZ1670" s="40">
        <f>AZ1669*d_rho_sip+AY1670*IF(B1670&gt;=in_marketplace_from,d_hz_sip*G1670,0)</f>
        <v/>
      </c>
      <c r="BA1670" s="40">
        <f>d_rho_sip*(BA1669+AZ1669)</f>
        <v/>
      </c>
      <c r="BB1670" s="14">
        <f>F1670*in_sip_ticket*(BA1670+0.5*AZ1670)*in_sip_comm/12</f>
        <v/>
      </c>
      <c r="BC1670" s="40">
        <f>BC1669*(1-IF(B1669&gt;=in_marketplace_from,d_hz_choti*G1669,0))</f>
        <v/>
      </c>
      <c r="BD1670" s="46">
        <f>BC1670*IF(B1670&gt;=in_marketplace_from,d_hz_choti*G1670,0)</f>
        <v/>
      </c>
      <c r="BE1670" s="14">
        <f>F1670*SUMIFS(BD1661:BD1678,B1661:B1678,B1670-in_choti_months)*in_choti_renew*in_choti_ticket</f>
        <v/>
      </c>
      <c r="BF1670" s="40">
        <f>BF1669*(1-IF(B1669&gt;=in_marketplace_from,d_hz_nps*G1669,0))</f>
        <v/>
      </c>
      <c r="BG1670" s="14">
        <f>F1670*BF1670*IF(B1670&gt;=in_marketplace_from,d_hz_nps*G1670,0)*in_nps_ticket*in_nps_comm</f>
        <v/>
      </c>
      <c r="BH1670" s="40">
        <f>BH1669*(1-IF(B1669&gt;=in_marketplace_from,d_hz_gold*G1669,0))</f>
        <v/>
      </c>
      <c r="BI1670" s="40">
        <f>BI1669*d_rho_gold+BH1670*IF(B1670&gt;=in_marketplace_from,d_hz_gold*G1670,0)</f>
        <v/>
      </c>
      <c r="BJ1670" s="14">
        <f>F1670*BI1670*in_gold_ticket*in_gold_comm</f>
        <v/>
      </c>
      <c r="BK1670" s="40">
        <f>BK1669*(1-IF(B1669&gt;=in_marketplace_from,d_hz_fd*G1669,0))</f>
        <v/>
      </c>
      <c r="BL1670" s="14">
        <f>F1670*BK1670*IF(B1670&gt;=in_marketplace_from,d_hz_fd*G1670,0)*in_fd_ticket*in_fd_comm</f>
        <v/>
      </c>
      <c r="BM1670" s="40">
        <f>BM1669*(1-IF(B1669&gt;=in_marketplace_from,d_hz_recharge*G1669,0))</f>
        <v/>
      </c>
      <c r="BN1670" s="40">
        <f>BN1669*d_rho_recharge+BM1670*IF(B1670&gt;=in_marketplace_from,d_hz_recharge*G1670,0)</f>
        <v/>
      </c>
      <c r="BO1670" s="14">
        <f>F1670*BN1670*in_recharge_ticket*in_recharge_comm/12</f>
        <v/>
      </c>
      <c r="BP1670" s="40">
        <f>BP1669*(1-IF(B1669&gt;=in_marketplace_from,d_hz_bills*G1669,0))</f>
        <v/>
      </c>
      <c r="BQ1670" s="40">
        <f>BQ1669*d_rho_bills+BP1670*IF(B1670&gt;=in_marketplace_from,d_hz_bills*G1670,0)</f>
        <v/>
      </c>
      <c r="BR1670" s="14">
        <f>F1670*BQ1670*in_bills_ticket*in_bills_comm/12</f>
        <v/>
      </c>
      <c r="BS1670" s="40">
        <f>BS1669*(1-IF(B1669&gt;=in_marketplace_from,d_hz_loan_gold*G1669,0))</f>
        <v/>
      </c>
      <c r="BT1670" s="14">
        <f>F1670*BS1670*IF(B1670&gt;=in_marketplace_from,d_hz_loan_gold*G1670,0)*in_loan_gold_ticket*in_loan_gold_comm</f>
        <v/>
      </c>
      <c r="BU1670" s="40">
        <f>BU1669*(1-IF(B1669&gt;=in_marketplace_from,d_hz_loan_cd*G1669,0))</f>
        <v/>
      </c>
      <c r="BV1670" s="14">
        <f>F1670*BU1670*IF(B1670&gt;=in_marketplace_from,d_hz_loan_cd*G1670,0)*in_loan_cd_ticket*in_loan_cd_comm</f>
        <v/>
      </c>
      <c r="BW1670" s="40">
        <f>BW1669*(1-IF(B1669&gt;=in_marketplace_from,d_hz_loan_vehicle*G1669,0))</f>
        <v/>
      </c>
      <c r="BX1670" s="14">
        <f>F1670*BW1670*IF(B1670&gt;=in_marketplace_from,d_hz_loan_vehicle*G1670,0)*in_loan_vehicle_ticket*in_loan_vehicle_comm</f>
        <v/>
      </c>
      <c r="BY1670" s="40">
        <f>BY1669*(1-IF(B1669&gt;=in_marketplace_from,d_hz_loan_home*G1669,0)*BZ1669)</f>
        <v/>
      </c>
      <c r="BZ1670" s="11">
        <f>MIN(in_approval_cap,in_loan_home_approval*INDEX('Age profile'!$O$2:$O$61,B1670)*(1+in_approval_growth)^(D1670-1))</f>
        <v/>
      </c>
      <c r="CA1670" s="14">
        <f>F1670*BY1670*IF(B1670&gt;=in_marketplace_from,d_hz_loan_home*G1670,0)*BZ1670*in_loan_home_ticket*in_loan_home_comm</f>
        <v/>
      </c>
      <c r="CB1670" s="40">
        <f>CB1669*(1-IF(B1669&gt;=in_marketplace_from,d_hz_loan_lap*G1669,0)*CC1669)</f>
        <v/>
      </c>
      <c r="CC1670" s="11">
        <f>MIN(in_approval_cap,in_loan_lap_approval*INDEX('Age profile'!$O$2:$O$61,B1670)*(1+in_approval_growth)^(D1670-1))</f>
        <v/>
      </c>
      <c r="CD1670" s="14">
        <f>F1670*CB1670*IF(B1670&gt;=in_marketplace_from,d_hz_loan_lap*G1670,0)*CC1670*in_loan_lap_ticket*in_loan_lap_comm</f>
        <v/>
      </c>
      <c r="CE1670" s="14">
        <f>AA1670+AB1670+AC1670+AD1670+AG1670+AJ1670+AM1670+AP1670+AS1670+AU1670+AX1670+BB1670+BE1670+BG1670+BJ1670+BL1670+BO1670+BR1670+BT1670+BV1670+BX1670+CA1670+CD1670</f>
        <v/>
      </c>
    </row>
    <row r="1671">
      <c r="A1671" s="39" t="n">
        <v>43</v>
      </c>
      <c r="B1671" s="39" t="n">
        <v>11</v>
      </c>
      <c r="C1671" s="39">
        <f>A1671+B1671-1</f>
        <v/>
      </c>
      <c r="D1671" s="39">
        <f>INT((C1671-1)/12)+1</f>
        <v/>
      </c>
      <c r="E1671" s="44">
        <f>INDEX(Monthly!$B$2:$B$61,A1671)</f>
        <v/>
      </c>
      <c r="F1671" s="44">
        <f>E1671*INDEX('Age profile'!$B$2:$B$61,B1671)</f>
        <v/>
      </c>
      <c r="G1671" s="45">
        <f>MIN(in_takeup_cap,INDEX('Age profile'!$N$2:$N$61,B1671)*(1+in_takeup_growth)^(D1671-1))</f>
        <v/>
      </c>
      <c r="H1671" s="11">
        <f>MIN(in_approval_cap,in_approved_first*INDEX('Age profile'!$O$2:$O$61,B1671)*(1+in_approval_growth)^(D1671-1))</f>
        <v/>
      </c>
      <c r="I1671" s="45">
        <f>G1671*MIN(in_takeup_cap,INDEX('Age profile'!$O$2:$O$61,B1671)*(1+in_approval_growth)^(D1671-1))</f>
        <v/>
      </c>
      <c r="J1671" s="40">
        <f>(J1670-L1670)*F1671/F1670</f>
        <v/>
      </c>
      <c r="K1671" s="40">
        <f>(K1670-M1670)*F1671/F1670+SUMIFS(O1661:O1670,B1661:B1670,B1671-1-d_T)*F1671</f>
        <v/>
      </c>
      <c r="L1671" s="40">
        <f>IF(B1671&gt;=in_marketplace_from,J1671*d_hz*G1671*in_eligible*H1671,0)</f>
        <v/>
      </c>
      <c r="M1671" s="40">
        <f>IF(B1671&gt;=in_marketplace_from,K1671*d_hz*G1671*in_eligible*in_approved_repeat,0)</f>
        <v/>
      </c>
      <c r="N1671" s="40">
        <f>L1671+M1671</f>
        <v/>
      </c>
      <c r="O1671" s="46">
        <f>N1671/F1671</f>
        <v/>
      </c>
      <c r="P1671" s="40">
        <f>F1671-J1671-K1671</f>
        <v/>
      </c>
      <c r="Q1671" s="40">
        <f>IF(B1671&gt;=in_marketplace_from,(J1671+K1671)*d_hz*G1671,0)</f>
        <v/>
      </c>
      <c r="R1671" s="40">
        <f>SUMIFS(N1661:N1678,B1661:B1678,"&gt;="&amp;(B1671-d_T),B1661:B1678,"&lt;="&amp;(B1671-1))</f>
        <v/>
      </c>
      <c r="S1671" s="46">
        <f>(1-d_u)*S1670+IF(d_T&gt;in_topup_lag,SUMIFS(O1661:O1678,B1661:B1678,B1671-in_topup_lag)-d_udrop*SUMIFS(O1661:O1678,B1661:B1678,B1671-d_T),0)</f>
        <v/>
      </c>
      <c r="T1671" s="40">
        <f>F1671*d_u*S1671</f>
        <v/>
      </c>
      <c r="U1671" s="9">
        <f>L1671*in_ticket+M1671*d_rep_ticket</f>
        <v/>
      </c>
      <c r="V1671" s="9">
        <f>U1671+T1671*d_topup_amt</f>
        <v/>
      </c>
      <c r="W1671" s="40">
        <f>N1671+T1671*d_topup_ratio</f>
        <v/>
      </c>
      <c r="X1671" s="40">
        <f>SUMIFS(W1661:W1678,B1661:B1678,B1671-in_dpd_lag)*d_cured</f>
        <v/>
      </c>
      <c r="Y1671" s="40">
        <f>SUMIFS(W1661:W1678,B1661:B1678,B1671-in_rec_lag)*d_recd</f>
        <v/>
      </c>
      <c r="Z1671" s="40">
        <f>IF(AND(B1671&gt;=in_marketplace_from,B1671&lt;in_marketplace_from+in_card_months),in_card_share/in_card_months*F1671*I1671,IF(AND(B1671&gt;=in_marketplace_from+in_card_months,B1671&lt;in_marketplace_from+2*in_card_months),in_card_share*d_card_rem/in_card_months*F1671*MIN(in_takeup_cap,(1+in_takeup_growth)^(D1671-1))*MIN(in_takeup_cap,(1+in_approval_growth)^(D1671-1)),0))</f>
        <v/>
      </c>
      <c r="AA1671" s="14">
        <f>V1671*in_fee*(1-in_taken_back)</f>
        <v/>
      </c>
      <c r="AB1671" s="14">
        <f>SUMIFS(W1661:W1678,B1661:B1678,B1671-in_dpd_lag)*d_dpd</f>
        <v/>
      </c>
      <c r="AC1671" s="14">
        <f>SUMIFS(W1661:W1678,B1661:B1678,B1671-in_rec_lag)*d_rec</f>
        <v/>
      </c>
      <c r="AD1671" s="14">
        <f>Z1671*in_card_fee</f>
        <v/>
      </c>
      <c r="AE1671" s="40">
        <f>AE1670*(1-IF(B1670&gt;=in_marketplace_from,d_hz_hlth_small*G1670,0))</f>
        <v/>
      </c>
      <c r="AF1671" s="46">
        <f>AE1671*IF(B1671&gt;=in_marketplace_from,d_hz_hlth_small*G1671,0)</f>
        <v/>
      </c>
      <c r="AG1671" s="14">
        <f>F1671*AF1671*in_hlth_small_ticket*in_hlth_small_comm*in_ins_partner_share+F1671*in_hlth_small_ticket*in_hlth_small_renew_comm*in_ins_partner_share*(in_hlth_small_renew^1*SUMIFS(AF1661:AF1678,B1661:B1678,B1671-12)+in_hlth_small_renew^2*SUMIFS(AF1661:AF1678,B1661:B1678,B1671-24)+in_hlth_small_renew^3*SUMIFS(AF1661:AF1678,B1661:B1678,B1671-36)+in_hlth_small_renew^4*SUMIFS(AF1661:AF1678,B1661:B1678,B1671-48))</f>
        <v/>
      </c>
      <c r="AH1671" s="40">
        <f>AH1670*(1-IF(B1670&gt;=in_marketplace_from,d_hz_hlth_family*G1670,0))</f>
        <v/>
      </c>
      <c r="AI1671" s="46">
        <f>AH1671*IF(B1671&gt;=in_marketplace_from,d_hz_hlth_family*G1671,0)</f>
        <v/>
      </c>
      <c r="AJ1671" s="14">
        <f>F1671*AI1671*in_hlth_family_ticket*in_hlth_family_comm*in_ins_partner_share+F1671*in_hlth_family_ticket*in_hlth_family_renew_comm*in_ins_partner_share*(in_hlth_family_renew^1*SUMIFS(AI1661:AI1678,B1661:B1678,B1671-12)+in_hlth_family_renew^2*SUMIFS(AI1661:AI1678,B1661:B1678,B1671-24)+in_hlth_family_renew^3*SUMIFS(AI1661:AI1678,B1661:B1678,B1671-36)+in_hlth_family_renew^4*SUMIFS(AI1661:AI1678,B1661:B1678,B1671-48))</f>
        <v/>
      </c>
      <c r="AK1671" s="40">
        <f>AK1670*(1-IF(B1670&gt;=in_marketplace_from,d_hz_life_term*G1670,0))</f>
        <v/>
      </c>
      <c r="AL1671" s="46">
        <f>AK1671*IF(B1671&gt;=in_marketplace_from,d_hz_life_term*G1671,0)</f>
        <v/>
      </c>
      <c r="AM1671" s="14">
        <f>F1671*AL1671*in_life_term_ticket*in_life_term_comm*in_ins_partner_share+F1671*in_life_term_ticket*in_life_term_renew_comm*in_ins_partner_share*(in_life_term_renew^1*SUMIFS(AL1661:AL1678,B1661:B1678,B1671-12)+in_life_term_renew^2*SUMIFS(AL1661:AL1678,B1661:B1678,B1671-24)+in_life_term_renew^3*SUMIFS(AL1661:AL1678,B1661:B1678,B1671-36)+in_life_term_renew^4*SUMIFS(AL1661:AL1678,B1661:B1678,B1671-48))</f>
        <v/>
      </c>
      <c r="AN1671" s="40">
        <f>AN1670*(1-IF(B1670&gt;=in_marketplace_from,d_hz_accident*G1670,0))</f>
        <v/>
      </c>
      <c r="AO1671" s="46">
        <f>AN1671*IF(B1671&gt;=in_marketplace_from,d_hz_accident*G1671,0)</f>
        <v/>
      </c>
      <c r="AP1671" s="14">
        <f>F1671*AO1671*in_accident_ticket*in_accident_comm*in_ins_partner_share+F1671*in_accident_ticket*in_accident_renew_comm*in_ins_partner_share*(in_accident_renew^1*SUMIFS(AO1661:AO1678,B1661:B1678,B1671-12)+in_accident_renew^2*SUMIFS(AO1661:AO1678,B1661:B1678,B1671-24)+in_accident_renew^3*SUMIFS(AO1661:AO1678,B1661:B1678,B1671-36)+in_accident_renew^4*SUMIFS(AO1661:AO1678,B1661:B1678,B1671-48))</f>
        <v/>
      </c>
      <c r="AQ1671" s="40">
        <f>AQ1670*(1-IF(B1670&gt;=in_marketplace_from,d_hz_two_wheeler*G1670,0))</f>
        <v/>
      </c>
      <c r="AR1671" s="46">
        <f>AQ1671*IF(B1671&gt;=in_marketplace_from,d_hz_two_wheeler*G1671,0)</f>
        <v/>
      </c>
      <c r="AS1671" s="14">
        <f>F1671*AR1671*in_two_wheeler_ticket*in_two_wheeler_comm*in_ins_partner_share+F1671*in_two_wheeler_ticket*in_two_wheeler_comm*in_ins_partner_share*(in_two_wheeler_renew^1*SUMIFS(AR1661:AR1678,B1661:B1678,B1671-12)+in_two_wheeler_renew^2*SUMIFS(AR1661:AR1678,B1661:B1678,B1671-24)+in_two_wheeler_renew^3*SUMIFS(AR1661:AR1678,B1661:B1678,B1671-36)+in_two_wheeler_renew^4*SUMIFS(AR1661:AR1678,B1661:B1678,B1671-48))</f>
        <v/>
      </c>
      <c r="AT1671" s="40">
        <f>AT1670*(1-IF(B1670&gt;=in_marketplace_from,d_hz_device*G1670,0))</f>
        <v/>
      </c>
      <c r="AU1671" s="14">
        <f>F1671*AT1671*IF(B1671&gt;=in_marketplace_from,d_hz_device*G1671,0)*in_device_ticket*in_device_comm*in_ins_partner_share</f>
        <v/>
      </c>
      <c r="AV1671" s="40">
        <f>AV1670*(1-IF(B1670&gt;=in_marketplace_from,d_hz_shop*G1670,0))</f>
        <v/>
      </c>
      <c r="AW1671" s="46">
        <f>AV1671*IF(B1671&gt;=in_marketplace_from,d_hz_shop*G1671,0)</f>
        <v/>
      </c>
      <c r="AX1671" s="14">
        <f>F1671*AW1671*in_shop_ticket*in_shop_comm*in_ins_partner_share+F1671*in_shop_ticket*in_shop_renew_comm*in_ins_partner_share*(in_shop_renew^1*SUMIFS(AW1661:AW1678,B1661:B1678,B1671-12)+in_shop_renew^2*SUMIFS(AW1661:AW1678,B1661:B1678,B1671-24)+in_shop_renew^3*SUMIFS(AW1661:AW1678,B1661:B1678,B1671-36)+in_shop_renew^4*SUMIFS(AW1661:AW1678,B1661:B1678,B1671-48))</f>
        <v/>
      </c>
      <c r="AY1671" s="40">
        <f>AY1670*(1-IF(B1670&gt;=in_marketplace_from,d_hz_sip*G1670,0))</f>
        <v/>
      </c>
      <c r="AZ1671" s="40">
        <f>AZ1670*d_rho_sip+AY1671*IF(B1671&gt;=in_marketplace_from,d_hz_sip*G1671,0)</f>
        <v/>
      </c>
      <c r="BA1671" s="40">
        <f>d_rho_sip*(BA1670+AZ1670)</f>
        <v/>
      </c>
      <c r="BB1671" s="14">
        <f>F1671*in_sip_ticket*(BA1671+0.5*AZ1671)*in_sip_comm/12</f>
        <v/>
      </c>
      <c r="BC1671" s="40">
        <f>BC1670*(1-IF(B1670&gt;=in_marketplace_from,d_hz_choti*G1670,0))</f>
        <v/>
      </c>
      <c r="BD1671" s="46">
        <f>BC1671*IF(B1671&gt;=in_marketplace_from,d_hz_choti*G1671,0)</f>
        <v/>
      </c>
      <c r="BE1671" s="14">
        <f>F1671*SUMIFS(BD1661:BD1678,B1661:B1678,B1671-in_choti_months)*in_choti_renew*in_choti_ticket</f>
        <v/>
      </c>
      <c r="BF1671" s="40">
        <f>BF1670*(1-IF(B1670&gt;=in_marketplace_from,d_hz_nps*G1670,0))</f>
        <v/>
      </c>
      <c r="BG1671" s="14">
        <f>F1671*BF1671*IF(B1671&gt;=in_marketplace_from,d_hz_nps*G1671,0)*in_nps_ticket*in_nps_comm</f>
        <v/>
      </c>
      <c r="BH1671" s="40">
        <f>BH1670*(1-IF(B1670&gt;=in_marketplace_from,d_hz_gold*G1670,0))</f>
        <v/>
      </c>
      <c r="BI1671" s="40">
        <f>BI1670*d_rho_gold+BH1671*IF(B1671&gt;=in_marketplace_from,d_hz_gold*G1671,0)</f>
        <v/>
      </c>
      <c r="BJ1671" s="14">
        <f>F1671*BI1671*in_gold_ticket*in_gold_comm</f>
        <v/>
      </c>
      <c r="BK1671" s="40">
        <f>BK1670*(1-IF(B1670&gt;=in_marketplace_from,d_hz_fd*G1670,0))</f>
        <v/>
      </c>
      <c r="BL1671" s="14">
        <f>F1671*BK1671*IF(B1671&gt;=in_marketplace_from,d_hz_fd*G1671,0)*in_fd_ticket*in_fd_comm</f>
        <v/>
      </c>
      <c r="BM1671" s="40">
        <f>BM1670*(1-IF(B1670&gt;=in_marketplace_from,d_hz_recharge*G1670,0))</f>
        <v/>
      </c>
      <c r="BN1671" s="40">
        <f>BN1670*d_rho_recharge+BM1671*IF(B1671&gt;=in_marketplace_from,d_hz_recharge*G1671,0)</f>
        <v/>
      </c>
      <c r="BO1671" s="14">
        <f>F1671*BN1671*in_recharge_ticket*in_recharge_comm/12</f>
        <v/>
      </c>
      <c r="BP1671" s="40">
        <f>BP1670*(1-IF(B1670&gt;=in_marketplace_from,d_hz_bills*G1670,0))</f>
        <v/>
      </c>
      <c r="BQ1671" s="40">
        <f>BQ1670*d_rho_bills+BP1671*IF(B1671&gt;=in_marketplace_from,d_hz_bills*G1671,0)</f>
        <v/>
      </c>
      <c r="BR1671" s="14">
        <f>F1671*BQ1671*in_bills_ticket*in_bills_comm/12</f>
        <v/>
      </c>
      <c r="BS1671" s="40">
        <f>BS1670*(1-IF(B1670&gt;=in_marketplace_from,d_hz_loan_gold*G1670,0))</f>
        <v/>
      </c>
      <c r="BT1671" s="14">
        <f>F1671*BS1671*IF(B1671&gt;=in_marketplace_from,d_hz_loan_gold*G1671,0)*in_loan_gold_ticket*in_loan_gold_comm</f>
        <v/>
      </c>
      <c r="BU1671" s="40">
        <f>BU1670*(1-IF(B1670&gt;=in_marketplace_from,d_hz_loan_cd*G1670,0))</f>
        <v/>
      </c>
      <c r="BV1671" s="14">
        <f>F1671*BU1671*IF(B1671&gt;=in_marketplace_from,d_hz_loan_cd*G1671,0)*in_loan_cd_ticket*in_loan_cd_comm</f>
        <v/>
      </c>
      <c r="BW1671" s="40">
        <f>BW1670*(1-IF(B1670&gt;=in_marketplace_from,d_hz_loan_vehicle*G1670,0))</f>
        <v/>
      </c>
      <c r="BX1671" s="14">
        <f>F1671*BW1671*IF(B1671&gt;=in_marketplace_from,d_hz_loan_vehicle*G1671,0)*in_loan_vehicle_ticket*in_loan_vehicle_comm</f>
        <v/>
      </c>
      <c r="BY1671" s="40">
        <f>BY1670*(1-IF(B1670&gt;=in_marketplace_from,d_hz_loan_home*G1670,0)*BZ1670)</f>
        <v/>
      </c>
      <c r="BZ1671" s="11">
        <f>MIN(in_approval_cap,in_loan_home_approval*INDEX('Age profile'!$O$2:$O$61,B1671)*(1+in_approval_growth)^(D1671-1))</f>
        <v/>
      </c>
      <c r="CA1671" s="14">
        <f>F1671*BY1671*IF(B1671&gt;=in_marketplace_from,d_hz_loan_home*G1671,0)*BZ1671*in_loan_home_ticket*in_loan_home_comm</f>
        <v/>
      </c>
      <c r="CB1671" s="40">
        <f>CB1670*(1-IF(B1670&gt;=in_marketplace_from,d_hz_loan_lap*G1670,0)*CC1670)</f>
        <v/>
      </c>
      <c r="CC1671" s="11">
        <f>MIN(in_approval_cap,in_loan_lap_approval*INDEX('Age profile'!$O$2:$O$61,B1671)*(1+in_approval_growth)^(D1671-1))</f>
        <v/>
      </c>
      <c r="CD1671" s="14">
        <f>F1671*CB1671*IF(B1671&gt;=in_marketplace_from,d_hz_loan_lap*G1671,0)*CC1671*in_loan_lap_ticket*in_loan_lap_comm</f>
        <v/>
      </c>
      <c r="CE1671" s="14">
        <f>AA1671+AB1671+AC1671+AD1671+AG1671+AJ1671+AM1671+AP1671+AS1671+AU1671+AX1671+BB1671+BE1671+BG1671+BJ1671+BL1671+BO1671+BR1671+BT1671+BV1671+BX1671+CA1671+CD1671</f>
        <v/>
      </c>
    </row>
    <row r="1672">
      <c r="A1672" s="39" t="n">
        <v>43</v>
      </c>
      <c r="B1672" s="39" t="n">
        <v>12</v>
      </c>
      <c r="C1672" s="39">
        <f>A1672+B1672-1</f>
        <v/>
      </c>
      <c r="D1672" s="39">
        <f>INT((C1672-1)/12)+1</f>
        <v/>
      </c>
      <c r="E1672" s="44">
        <f>INDEX(Monthly!$B$2:$B$61,A1672)</f>
        <v/>
      </c>
      <c r="F1672" s="44">
        <f>E1672*INDEX('Age profile'!$B$2:$B$61,B1672)</f>
        <v/>
      </c>
      <c r="G1672" s="45">
        <f>MIN(in_takeup_cap,INDEX('Age profile'!$N$2:$N$61,B1672)*(1+in_takeup_growth)^(D1672-1))</f>
        <v/>
      </c>
      <c r="H1672" s="11">
        <f>MIN(in_approval_cap,in_approved_first*INDEX('Age profile'!$O$2:$O$61,B1672)*(1+in_approval_growth)^(D1672-1))</f>
        <v/>
      </c>
      <c r="I1672" s="45">
        <f>G1672*MIN(in_takeup_cap,INDEX('Age profile'!$O$2:$O$61,B1672)*(1+in_approval_growth)^(D1672-1))</f>
        <v/>
      </c>
      <c r="J1672" s="40">
        <f>(J1671-L1671)*F1672/F1671</f>
        <v/>
      </c>
      <c r="K1672" s="40">
        <f>(K1671-M1671)*F1672/F1671+SUMIFS(O1661:O1671,B1661:B1671,B1672-1-d_T)*F1672</f>
        <v/>
      </c>
      <c r="L1672" s="40">
        <f>IF(B1672&gt;=in_marketplace_from,J1672*d_hz*G1672*in_eligible*H1672,0)</f>
        <v/>
      </c>
      <c r="M1672" s="40">
        <f>IF(B1672&gt;=in_marketplace_from,K1672*d_hz*G1672*in_eligible*in_approved_repeat,0)</f>
        <v/>
      </c>
      <c r="N1672" s="40">
        <f>L1672+M1672</f>
        <v/>
      </c>
      <c r="O1672" s="46">
        <f>N1672/F1672</f>
        <v/>
      </c>
      <c r="P1672" s="40">
        <f>F1672-J1672-K1672</f>
        <v/>
      </c>
      <c r="Q1672" s="40">
        <f>IF(B1672&gt;=in_marketplace_from,(J1672+K1672)*d_hz*G1672,0)</f>
        <v/>
      </c>
      <c r="R1672" s="40">
        <f>SUMIFS(N1661:N1678,B1661:B1678,"&gt;="&amp;(B1672-d_T),B1661:B1678,"&lt;="&amp;(B1672-1))</f>
        <v/>
      </c>
      <c r="S1672" s="46">
        <f>(1-d_u)*S1671+IF(d_T&gt;in_topup_lag,SUMIFS(O1661:O1678,B1661:B1678,B1672-in_topup_lag)-d_udrop*SUMIFS(O1661:O1678,B1661:B1678,B1672-d_T),0)</f>
        <v/>
      </c>
      <c r="T1672" s="40">
        <f>F1672*d_u*S1672</f>
        <v/>
      </c>
      <c r="U1672" s="9">
        <f>L1672*in_ticket+M1672*d_rep_ticket</f>
        <v/>
      </c>
      <c r="V1672" s="9">
        <f>U1672+T1672*d_topup_amt</f>
        <v/>
      </c>
      <c r="W1672" s="40">
        <f>N1672+T1672*d_topup_ratio</f>
        <v/>
      </c>
      <c r="X1672" s="40">
        <f>SUMIFS(W1661:W1678,B1661:B1678,B1672-in_dpd_lag)*d_cured</f>
        <v/>
      </c>
      <c r="Y1672" s="40">
        <f>SUMIFS(W1661:W1678,B1661:B1678,B1672-in_rec_lag)*d_recd</f>
        <v/>
      </c>
      <c r="Z1672" s="40">
        <f>IF(AND(B1672&gt;=in_marketplace_from,B1672&lt;in_marketplace_from+in_card_months),in_card_share/in_card_months*F1672*I1672,IF(AND(B1672&gt;=in_marketplace_from+in_card_months,B1672&lt;in_marketplace_from+2*in_card_months),in_card_share*d_card_rem/in_card_months*F1672*MIN(in_takeup_cap,(1+in_takeup_growth)^(D1672-1))*MIN(in_takeup_cap,(1+in_approval_growth)^(D1672-1)),0))</f>
        <v/>
      </c>
      <c r="AA1672" s="14">
        <f>V1672*in_fee*(1-in_taken_back)</f>
        <v/>
      </c>
      <c r="AB1672" s="14">
        <f>SUMIFS(W1661:W1678,B1661:B1678,B1672-in_dpd_lag)*d_dpd</f>
        <v/>
      </c>
      <c r="AC1672" s="14">
        <f>SUMIFS(W1661:W1678,B1661:B1678,B1672-in_rec_lag)*d_rec</f>
        <v/>
      </c>
      <c r="AD1672" s="14">
        <f>Z1672*in_card_fee</f>
        <v/>
      </c>
      <c r="AE1672" s="40">
        <f>AE1671*(1-IF(B1671&gt;=in_marketplace_from,d_hz_hlth_small*G1671,0))</f>
        <v/>
      </c>
      <c r="AF1672" s="46">
        <f>AE1672*IF(B1672&gt;=in_marketplace_from,d_hz_hlth_small*G1672,0)</f>
        <v/>
      </c>
      <c r="AG1672" s="14">
        <f>F1672*AF1672*in_hlth_small_ticket*in_hlth_small_comm*in_ins_partner_share+F1672*in_hlth_small_ticket*in_hlth_small_renew_comm*in_ins_partner_share*(in_hlth_small_renew^1*SUMIFS(AF1661:AF1678,B1661:B1678,B1672-12)+in_hlth_small_renew^2*SUMIFS(AF1661:AF1678,B1661:B1678,B1672-24)+in_hlth_small_renew^3*SUMIFS(AF1661:AF1678,B1661:B1678,B1672-36)+in_hlth_small_renew^4*SUMIFS(AF1661:AF1678,B1661:B1678,B1672-48))</f>
        <v/>
      </c>
      <c r="AH1672" s="40">
        <f>AH1671*(1-IF(B1671&gt;=in_marketplace_from,d_hz_hlth_family*G1671,0))</f>
        <v/>
      </c>
      <c r="AI1672" s="46">
        <f>AH1672*IF(B1672&gt;=in_marketplace_from,d_hz_hlth_family*G1672,0)</f>
        <v/>
      </c>
      <c r="AJ1672" s="14">
        <f>F1672*AI1672*in_hlth_family_ticket*in_hlth_family_comm*in_ins_partner_share+F1672*in_hlth_family_ticket*in_hlth_family_renew_comm*in_ins_partner_share*(in_hlth_family_renew^1*SUMIFS(AI1661:AI1678,B1661:B1678,B1672-12)+in_hlth_family_renew^2*SUMIFS(AI1661:AI1678,B1661:B1678,B1672-24)+in_hlth_family_renew^3*SUMIFS(AI1661:AI1678,B1661:B1678,B1672-36)+in_hlth_family_renew^4*SUMIFS(AI1661:AI1678,B1661:B1678,B1672-48))</f>
        <v/>
      </c>
      <c r="AK1672" s="40">
        <f>AK1671*(1-IF(B1671&gt;=in_marketplace_from,d_hz_life_term*G1671,0))</f>
        <v/>
      </c>
      <c r="AL1672" s="46">
        <f>AK1672*IF(B1672&gt;=in_marketplace_from,d_hz_life_term*G1672,0)</f>
        <v/>
      </c>
      <c r="AM1672" s="14">
        <f>F1672*AL1672*in_life_term_ticket*in_life_term_comm*in_ins_partner_share+F1672*in_life_term_ticket*in_life_term_renew_comm*in_ins_partner_share*(in_life_term_renew^1*SUMIFS(AL1661:AL1678,B1661:B1678,B1672-12)+in_life_term_renew^2*SUMIFS(AL1661:AL1678,B1661:B1678,B1672-24)+in_life_term_renew^3*SUMIFS(AL1661:AL1678,B1661:B1678,B1672-36)+in_life_term_renew^4*SUMIFS(AL1661:AL1678,B1661:B1678,B1672-48))</f>
        <v/>
      </c>
      <c r="AN1672" s="40">
        <f>AN1671*(1-IF(B1671&gt;=in_marketplace_from,d_hz_accident*G1671,0))</f>
        <v/>
      </c>
      <c r="AO1672" s="46">
        <f>AN1672*IF(B1672&gt;=in_marketplace_from,d_hz_accident*G1672,0)</f>
        <v/>
      </c>
      <c r="AP1672" s="14">
        <f>F1672*AO1672*in_accident_ticket*in_accident_comm*in_ins_partner_share+F1672*in_accident_ticket*in_accident_renew_comm*in_ins_partner_share*(in_accident_renew^1*SUMIFS(AO1661:AO1678,B1661:B1678,B1672-12)+in_accident_renew^2*SUMIFS(AO1661:AO1678,B1661:B1678,B1672-24)+in_accident_renew^3*SUMIFS(AO1661:AO1678,B1661:B1678,B1672-36)+in_accident_renew^4*SUMIFS(AO1661:AO1678,B1661:B1678,B1672-48))</f>
        <v/>
      </c>
      <c r="AQ1672" s="40">
        <f>AQ1671*(1-IF(B1671&gt;=in_marketplace_from,d_hz_two_wheeler*G1671,0))</f>
        <v/>
      </c>
      <c r="AR1672" s="46">
        <f>AQ1672*IF(B1672&gt;=in_marketplace_from,d_hz_two_wheeler*G1672,0)</f>
        <v/>
      </c>
      <c r="AS1672" s="14">
        <f>F1672*AR1672*in_two_wheeler_ticket*in_two_wheeler_comm*in_ins_partner_share+F1672*in_two_wheeler_ticket*in_two_wheeler_comm*in_ins_partner_share*(in_two_wheeler_renew^1*SUMIFS(AR1661:AR1678,B1661:B1678,B1672-12)+in_two_wheeler_renew^2*SUMIFS(AR1661:AR1678,B1661:B1678,B1672-24)+in_two_wheeler_renew^3*SUMIFS(AR1661:AR1678,B1661:B1678,B1672-36)+in_two_wheeler_renew^4*SUMIFS(AR1661:AR1678,B1661:B1678,B1672-48))</f>
        <v/>
      </c>
      <c r="AT1672" s="40">
        <f>AT1671*(1-IF(B1671&gt;=in_marketplace_from,d_hz_device*G1671,0))</f>
        <v/>
      </c>
      <c r="AU1672" s="14">
        <f>F1672*AT1672*IF(B1672&gt;=in_marketplace_from,d_hz_device*G1672,0)*in_device_ticket*in_device_comm*in_ins_partner_share</f>
        <v/>
      </c>
      <c r="AV1672" s="40">
        <f>AV1671*(1-IF(B1671&gt;=in_marketplace_from,d_hz_shop*G1671,0))</f>
        <v/>
      </c>
      <c r="AW1672" s="46">
        <f>AV1672*IF(B1672&gt;=in_marketplace_from,d_hz_shop*G1672,0)</f>
        <v/>
      </c>
      <c r="AX1672" s="14">
        <f>F1672*AW1672*in_shop_ticket*in_shop_comm*in_ins_partner_share+F1672*in_shop_ticket*in_shop_renew_comm*in_ins_partner_share*(in_shop_renew^1*SUMIFS(AW1661:AW1678,B1661:B1678,B1672-12)+in_shop_renew^2*SUMIFS(AW1661:AW1678,B1661:B1678,B1672-24)+in_shop_renew^3*SUMIFS(AW1661:AW1678,B1661:B1678,B1672-36)+in_shop_renew^4*SUMIFS(AW1661:AW1678,B1661:B1678,B1672-48))</f>
        <v/>
      </c>
      <c r="AY1672" s="40">
        <f>AY1671*(1-IF(B1671&gt;=in_marketplace_from,d_hz_sip*G1671,0))</f>
        <v/>
      </c>
      <c r="AZ1672" s="40">
        <f>AZ1671*d_rho_sip+AY1672*IF(B1672&gt;=in_marketplace_from,d_hz_sip*G1672,0)</f>
        <v/>
      </c>
      <c r="BA1672" s="40">
        <f>d_rho_sip*(BA1671+AZ1671)</f>
        <v/>
      </c>
      <c r="BB1672" s="14">
        <f>F1672*in_sip_ticket*(BA1672+0.5*AZ1672)*in_sip_comm/12</f>
        <v/>
      </c>
      <c r="BC1672" s="40">
        <f>BC1671*(1-IF(B1671&gt;=in_marketplace_from,d_hz_choti*G1671,0))</f>
        <v/>
      </c>
      <c r="BD1672" s="46">
        <f>BC1672*IF(B1672&gt;=in_marketplace_from,d_hz_choti*G1672,0)</f>
        <v/>
      </c>
      <c r="BE1672" s="14">
        <f>F1672*SUMIFS(BD1661:BD1678,B1661:B1678,B1672-in_choti_months)*in_choti_renew*in_choti_ticket</f>
        <v/>
      </c>
      <c r="BF1672" s="40">
        <f>BF1671*(1-IF(B1671&gt;=in_marketplace_from,d_hz_nps*G1671,0))</f>
        <v/>
      </c>
      <c r="BG1672" s="14">
        <f>F1672*BF1672*IF(B1672&gt;=in_marketplace_from,d_hz_nps*G1672,0)*in_nps_ticket*in_nps_comm</f>
        <v/>
      </c>
      <c r="BH1672" s="40">
        <f>BH1671*(1-IF(B1671&gt;=in_marketplace_from,d_hz_gold*G1671,0))</f>
        <v/>
      </c>
      <c r="BI1672" s="40">
        <f>BI1671*d_rho_gold+BH1672*IF(B1672&gt;=in_marketplace_from,d_hz_gold*G1672,0)</f>
        <v/>
      </c>
      <c r="BJ1672" s="14">
        <f>F1672*BI1672*in_gold_ticket*in_gold_comm</f>
        <v/>
      </c>
      <c r="BK1672" s="40">
        <f>BK1671*(1-IF(B1671&gt;=in_marketplace_from,d_hz_fd*G1671,0))</f>
        <v/>
      </c>
      <c r="BL1672" s="14">
        <f>F1672*BK1672*IF(B1672&gt;=in_marketplace_from,d_hz_fd*G1672,0)*in_fd_ticket*in_fd_comm</f>
        <v/>
      </c>
      <c r="BM1672" s="40">
        <f>BM1671*(1-IF(B1671&gt;=in_marketplace_from,d_hz_recharge*G1671,0))</f>
        <v/>
      </c>
      <c r="BN1672" s="40">
        <f>BN1671*d_rho_recharge+BM1672*IF(B1672&gt;=in_marketplace_from,d_hz_recharge*G1672,0)</f>
        <v/>
      </c>
      <c r="BO1672" s="14">
        <f>F1672*BN1672*in_recharge_ticket*in_recharge_comm/12</f>
        <v/>
      </c>
      <c r="BP1672" s="40">
        <f>BP1671*(1-IF(B1671&gt;=in_marketplace_from,d_hz_bills*G1671,0))</f>
        <v/>
      </c>
      <c r="BQ1672" s="40">
        <f>BQ1671*d_rho_bills+BP1672*IF(B1672&gt;=in_marketplace_from,d_hz_bills*G1672,0)</f>
        <v/>
      </c>
      <c r="BR1672" s="14">
        <f>F1672*BQ1672*in_bills_ticket*in_bills_comm/12</f>
        <v/>
      </c>
      <c r="BS1672" s="40">
        <f>BS1671*(1-IF(B1671&gt;=in_marketplace_from,d_hz_loan_gold*G1671,0))</f>
        <v/>
      </c>
      <c r="BT1672" s="14">
        <f>F1672*BS1672*IF(B1672&gt;=in_marketplace_from,d_hz_loan_gold*G1672,0)*in_loan_gold_ticket*in_loan_gold_comm</f>
        <v/>
      </c>
      <c r="BU1672" s="40">
        <f>BU1671*(1-IF(B1671&gt;=in_marketplace_from,d_hz_loan_cd*G1671,0))</f>
        <v/>
      </c>
      <c r="BV1672" s="14">
        <f>F1672*BU1672*IF(B1672&gt;=in_marketplace_from,d_hz_loan_cd*G1672,0)*in_loan_cd_ticket*in_loan_cd_comm</f>
        <v/>
      </c>
      <c r="BW1672" s="40">
        <f>BW1671*(1-IF(B1671&gt;=in_marketplace_from,d_hz_loan_vehicle*G1671,0))</f>
        <v/>
      </c>
      <c r="BX1672" s="14">
        <f>F1672*BW1672*IF(B1672&gt;=in_marketplace_from,d_hz_loan_vehicle*G1672,0)*in_loan_vehicle_ticket*in_loan_vehicle_comm</f>
        <v/>
      </c>
      <c r="BY1672" s="40">
        <f>BY1671*(1-IF(B1671&gt;=in_marketplace_from,d_hz_loan_home*G1671,0)*BZ1671)</f>
        <v/>
      </c>
      <c r="BZ1672" s="11">
        <f>MIN(in_approval_cap,in_loan_home_approval*INDEX('Age profile'!$O$2:$O$61,B1672)*(1+in_approval_growth)^(D1672-1))</f>
        <v/>
      </c>
      <c r="CA1672" s="14">
        <f>F1672*BY1672*IF(B1672&gt;=in_marketplace_from,d_hz_loan_home*G1672,0)*BZ1672*in_loan_home_ticket*in_loan_home_comm</f>
        <v/>
      </c>
      <c r="CB1672" s="40">
        <f>CB1671*(1-IF(B1671&gt;=in_marketplace_from,d_hz_loan_lap*G1671,0)*CC1671)</f>
        <v/>
      </c>
      <c r="CC1672" s="11">
        <f>MIN(in_approval_cap,in_loan_lap_approval*INDEX('Age profile'!$O$2:$O$61,B1672)*(1+in_approval_growth)^(D1672-1))</f>
        <v/>
      </c>
      <c r="CD1672" s="14">
        <f>F1672*CB1672*IF(B1672&gt;=in_marketplace_from,d_hz_loan_lap*G1672,0)*CC1672*in_loan_lap_ticket*in_loan_lap_comm</f>
        <v/>
      </c>
      <c r="CE1672" s="14">
        <f>AA1672+AB1672+AC1672+AD1672+AG1672+AJ1672+AM1672+AP1672+AS1672+AU1672+AX1672+BB1672+BE1672+BG1672+BJ1672+BL1672+BO1672+BR1672+BT1672+BV1672+BX1672+CA1672+CD1672</f>
        <v/>
      </c>
    </row>
    <row r="1673">
      <c r="A1673" s="39" t="n">
        <v>43</v>
      </c>
      <c r="B1673" s="39" t="n">
        <v>13</v>
      </c>
      <c r="C1673" s="39">
        <f>A1673+B1673-1</f>
        <v/>
      </c>
      <c r="D1673" s="39">
        <f>INT((C1673-1)/12)+1</f>
        <v/>
      </c>
      <c r="E1673" s="44">
        <f>INDEX(Monthly!$B$2:$B$61,A1673)</f>
        <v/>
      </c>
      <c r="F1673" s="44">
        <f>E1673*INDEX('Age profile'!$B$2:$B$61,B1673)</f>
        <v/>
      </c>
      <c r="G1673" s="45">
        <f>MIN(in_takeup_cap,INDEX('Age profile'!$N$2:$N$61,B1673)*(1+in_takeup_growth)^(D1673-1))</f>
        <v/>
      </c>
      <c r="H1673" s="11">
        <f>MIN(in_approval_cap,in_approved_first*INDEX('Age profile'!$O$2:$O$61,B1673)*(1+in_approval_growth)^(D1673-1))</f>
        <v/>
      </c>
      <c r="I1673" s="45">
        <f>G1673*MIN(in_takeup_cap,INDEX('Age profile'!$O$2:$O$61,B1673)*(1+in_approval_growth)^(D1673-1))</f>
        <v/>
      </c>
      <c r="J1673" s="40">
        <f>(J1672-L1672)*F1673/F1672</f>
        <v/>
      </c>
      <c r="K1673" s="40">
        <f>(K1672-M1672)*F1673/F1672+SUMIFS(O1661:O1672,B1661:B1672,B1673-1-d_T)*F1673</f>
        <v/>
      </c>
      <c r="L1673" s="40">
        <f>IF(B1673&gt;=in_marketplace_from,J1673*d_hz*G1673*in_eligible*H1673,0)</f>
        <v/>
      </c>
      <c r="M1673" s="40">
        <f>IF(B1673&gt;=in_marketplace_from,K1673*d_hz*G1673*in_eligible*in_approved_repeat,0)</f>
        <v/>
      </c>
      <c r="N1673" s="40">
        <f>L1673+M1673</f>
        <v/>
      </c>
      <c r="O1673" s="46">
        <f>N1673/F1673</f>
        <v/>
      </c>
      <c r="P1673" s="40">
        <f>F1673-J1673-K1673</f>
        <v/>
      </c>
      <c r="Q1673" s="40">
        <f>IF(B1673&gt;=in_marketplace_from,(J1673+K1673)*d_hz*G1673,0)</f>
        <v/>
      </c>
      <c r="R1673" s="40">
        <f>SUMIFS(N1661:N1678,B1661:B1678,"&gt;="&amp;(B1673-d_T),B1661:B1678,"&lt;="&amp;(B1673-1))</f>
        <v/>
      </c>
      <c r="S1673" s="46">
        <f>(1-d_u)*S1672+IF(d_T&gt;in_topup_lag,SUMIFS(O1661:O1678,B1661:B1678,B1673-in_topup_lag)-d_udrop*SUMIFS(O1661:O1678,B1661:B1678,B1673-d_T),0)</f>
        <v/>
      </c>
      <c r="T1673" s="40">
        <f>F1673*d_u*S1673</f>
        <v/>
      </c>
      <c r="U1673" s="9">
        <f>L1673*in_ticket+M1673*d_rep_ticket</f>
        <v/>
      </c>
      <c r="V1673" s="9">
        <f>U1673+T1673*d_topup_amt</f>
        <v/>
      </c>
      <c r="W1673" s="40">
        <f>N1673+T1673*d_topup_ratio</f>
        <v/>
      </c>
      <c r="X1673" s="40">
        <f>SUMIFS(W1661:W1678,B1661:B1678,B1673-in_dpd_lag)*d_cured</f>
        <v/>
      </c>
      <c r="Y1673" s="40">
        <f>SUMIFS(W1661:W1678,B1661:B1678,B1673-in_rec_lag)*d_recd</f>
        <v/>
      </c>
      <c r="Z1673" s="40">
        <f>IF(AND(B1673&gt;=in_marketplace_from,B1673&lt;in_marketplace_from+in_card_months),in_card_share/in_card_months*F1673*I1673,IF(AND(B1673&gt;=in_marketplace_from+in_card_months,B1673&lt;in_marketplace_from+2*in_card_months),in_card_share*d_card_rem/in_card_months*F1673*MIN(in_takeup_cap,(1+in_takeup_growth)^(D1673-1))*MIN(in_takeup_cap,(1+in_approval_growth)^(D1673-1)),0))</f>
        <v/>
      </c>
      <c r="AA1673" s="14">
        <f>V1673*in_fee*(1-in_taken_back)</f>
        <v/>
      </c>
      <c r="AB1673" s="14">
        <f>SUMIFS(W1661:W1678,B1661:B1678,B1673-in_dpd_lag)*d_dpd</f>
        <v/>
      </c>
      <c r="AC1673" s="14">
        <f>SUMIFS(W1661:W1678,B1661:B1678,B1673-in_rec_lag)*d_rec</f>
        <v/>
      </c>
      <c r="AD1673" s="14">
        <f>Z1673*in_card_fee</f>
        <v/>
      </c>
      <c r="AE1673" s="40">
        <f>AE1672*(1-IF(B1672&gt;=in_marketplace_from,d_hz_hlth_small*G1672,0))</f>
        <v/>
      </c>
      <c r="AF1673" s="46">
        <f>AE1673*IF(B1673&gt;=in_marketplace_from,d_hz_hlth_small*G1673,0)</f>
        <v/>
      </c>
      <c r="AG1673" s="14">
        <f>F1673*AF1673*in_hlth_small_ticket*in_hlth_small_comm*in_ins_partner_share+F1673*in_hlth_small_ticket*in_hlth_small_renew_comm*in_ins_partner_share*(in_hlth_small_renew^1*SUMIFS(AF1661:AF1678,B1661:B1678,B1673-12)+in_hlth_small_renew^2*SUMIFS(AF1661:AF1678,B1661:B1678,B1673-24)+in_hlth_small_renew^3*SUMIFS(AF1661:AF1678,B1661:B1678,B1673-36)+in_hlth_small_renew^4*SUMIFS(AF1661:AF1678,B1661:B1678,B1673-48))</f>
        <v/>
      </c>
      <c r="AH1673" s="40">
        <f>AH1672*(1-IF(B1672&gt;=in_marketplace_from,d_hz_hlth_family*G1672,0))</f>
        <v/>
      </c>
      <c r="AI1673" s="46">
        <f>AH1673*IF(B1673&gt;=in_marketplace_from,d_hz_hlth_family*G1673,0)</f>
        <v/>
      </c>
      <c r="AJ1673" s="14">
        <f>F1673*AI1673*in_hlth_family_ticket*in_hlth_family_comm*in_ins_partner_share+F1673*in_hlth_family_ticket*in_hlth_family_renew_comm*in_ins_partner_share*(in_hlth_family_renew^1*SUMIFS(AI1661:AI1678,B1661:B1678,B1673-12)+in_hlth_family_renew^2*SUMIFS(AI1661:AI1678,B1661:B1678,B1673-24)+in_hlth_family_renew^3*SUMIFS(AI1661:AI1678,B1661:B1678,B1673-36)+in_hlth_family_renew^4*SUMIFS(AI1661:AI1678,B1661:B1678,B1673-48))</f>
        <v/>
      </c>
      <c r="AK1673" s="40">
        <f>AK1672*(1-IF(B1672&gt;=in_marketplace_from,d_hz_life_term*G1672,0))</f>
        <v/>
      </c>
      <c r="AL1673" s="46">
        <f>AK1673*IF(B1673&gt;=in_marketplace_from,d_hz_life_term*G1673,0)</f>
        <v/>
      </c>
      <c r="AM1673" s="14">
        <f>F1673*AL1673*in_life_term_ticket*in_life_term_comm*in_ins_partner_share+F1673*in_life_term_ticket*in_life_term_renew_comm*in_ins_partner_share*(in_life_term_renew^1*SUMIFS(AL1661:AL1678,B1661:B1678,B1673-12)+in_life_term_renew^2*SUMIFS(AL1661:AL1678,B1661:B1678,B1673-24)+in_life_term_renew^3*SUMIFS(AL1661:AL1678,B1661:B1678,B1673-36)+in_life_term_renew^4*SUMIFS(AL1661:AL1678,B1661:B1678,B1673-48))</f>
        <v/>
      </c>
      <c r="AN1673" s="40">
        <f>AN1672*(1-IF(B1672&gt;=in_marketplace_from,d_hz_accident*G1672,0))</f>
        <v/>
      </c>
      <c r="AO1673" s="46">
        <f>AN1673*IF(B1673&gt;=in_marketplace_from,d_hz_accident*G1673,0)</f>
        <v/>
      </c>
      <c r="AP1673" s="14">
        <f>F1673*AO1673*in_accident_ticket*in_accident_comm*in_ins_partner_share+F1673*in_accident_ticket*in_accident_renew_comm*in_ins_partner_share*(in_accident_renew^1*SUMIFS(AO1661:AO1678,B1661:B1678,B1673-12)+in_accident_renew^2*SUMIFS(AO1661:AO1678,B1661:B1678,B1673-24)+in_accident_renew^3*SUMIFS(AO1661:AO1678,B1661:B1678,B1673-36)+in_accident_renew^4*SUMIFS(AO1661:AO1678,B1661:B1678,B1673-48))</f>
        <v/>
      </c>
      <c r="AQ1673" s="40">
        <f>AQ1672*(1-IF(B1672&gt;=in_marketplace_from,d_hz_two_wheeler*G1672,0))</f>
        <v/>
      </c>
      <c r="AR1673" s="46">
        <f>AQ1673*IF(B1673&gt;=in_marketplace_from,d_hz_two_wheeler*G1673,0)</f>
        <v/>
      </c>
      <c r="AS1673" s="14">
        <f>F1673*AR1673*in_two_wheeler_ticket*in_two_wheeler_comm*in_ins_partner_share+F1673*in_two_wheeler_ticket*in_two_wheeler_comm*in_ins_partner_share*(in_two_wheeler_renew^1*SUMIFS(AR1661:AR1678,B1661:B1678,B1673-12)+in_two_wheeler_renew^2*SUMIFS(AR1661:AR1678,B1661:B1678,B1673-24)+in_two_wheeler_renew^3*SUMIFS(AR1661:AR1678,B1661:B1678,B1673-36)+in_two_wheeler_renew^4*SUMIFS(AR1661:AR1678,B1661:B1678,B1673-48))</f>
        <v/>
      </c>
      <c r="AT1673" s="40">
        <f>AT1672*(1-IF(B1672&gt;=in_marketplace_from,d_hz_device*G1672,0))</f>
        <v/>
      </c>
      <c r="AU1673" s="14">
        <f>F1673*AT1673*IF(B1673&gt;=in_marketplace_from,d_hz_device*G1673,0)*in_device_ticket*in_device_comm*in_ins_partner_share</f>
        <v/>
      </c>
      <c r="AV1673" s="40">
        <f>AV1672*(1-IF(B1672&gt;=in_marketplace_from,d_hz_shop*G1672,0))</f>
        <v/>
      </c>
      <c r="AW1673" s="46">
        <f>AV1673*IF(B1673&gt;=in_marketplace_from,d_hz_shop*G1673,0)</f>
        <v/>
      </c>
      <c r="AX1673" s="14">
        <f>F1673*AW1673*in_shop_ticket*in_shop_comm*in_ins_partner_share+F1673*in_shop_ticket*in_shop_renew_comm*in_ins_partner_share*(in_shop_renew^1*SUMIFS(AW1661:AW1678,B1661:B1678,B1673-12)+in_shop_renew^2*SUMIFS(AW1661:AW1678,B1661:B1678,B1673-24)+in_shop_renew^3*SUMIFS(AW1661:AW1678,B1661:B1678,B1673-36)+in_shop_renew^4*SUMIFS(AW1661:AW1678,B1661:B1678,B1673-48))</f>
        <v/>
      </c>
      <c r="AY1673" s="40">
        <f>AY1672*(1-IF(B1672&gt;=in_marketplace_from,d_hz_sip*G1672,0))</f>
        <v/>
      </c>
      <c r="AZ1673" s="40">
        <f>AZ1672*d_rho_sip+AY1673*IF(B1673&gt;=in_marketplace_from,d_hz_sip*G1673,0)</f>
        <v/>
      </c>
      <c r="BA1673" s="40">
        <f>d_rho_sip*(BA1672+AZ1672)</f>
        <v/>
      </c>
      <c r="BB1673" s="14">
        <f>F1673*in_sip_ticket*(BA1673+0.5*AZ1673)*in_sip_comm/12</f>
        <v/>
      </c>
      <c r="BC1673" s="40">
        <f>BC1672*(1-IF(B1672&gt;=in_marketplace_from,d_hz_choti*G1672,0))</f>
        <v/>
      </c>
      <c r="BD1673" s="46">
        <f>BC1673*IF(B1673&gt;=in_marketplace_from,d_hz_choti*G1673,0)</f>
        <v/>
      </c>
      <c r="BE1673" s="14">
        <f>F1673*SUMIFS(BD1661:BD1678,B1661:B1678,B1673-in_choti_months)*in_choti_renew*in_choti_ticket</f>
        <v/>
      </c>
      <c r="BF1673" s="40">
        <f>BF1672*(1-IF(B1672&gt;=in_marketplace_from,d_hz_nps*G1672,0))</f>
        <v/>
      </c>
      <c r="BG1673" s="14">
        <f>F1673*BF1673*IF(B1673&gt;=in_marketplace_from,d_hz_nps*G1673,0)*in_nps_ticket*in_nps_comm</f>
        <v/>
      </c>
      <c r="BH1673" s="40">
        <f>BH1672*(1-IF(B1672&gt;=in_marketplace_from,d_hz_gold*G1672,0))</f>
        <v/>
      </c>
      <c r="BI1673" s="40">
        <f>BI1672*d_rho_gold+BH1673*IF(B1673&gt;=in_marketplace_from,d_hz_gold*G1673,0)</f>
        <v/>
      </c>
      <c r="BJ1673" s="14">
        <f>F1673*BI1673*in_gold_ticket*in_gold_comm</f>
        <v/>
      </c>
      <c r="BK1673" s="40">
        <f>BK1672*(1-IF(B1672&gt;=in_marketplace_from,d_hz_fd*G1672,0))</f>
        <v/>
      </c>
      <c r="BL1673" s="14">
        <f>F1673*BK1673*IF(B1673&gt;=in_marketplace_from,d_hz_fd*G1673,0)*in_fd_ticket*in_fd_comm</f>
        <v/>
      </c>
      <c r="BM1673" s="40">
        <f>BM1672*(1-IF(B1672&gt;=in_marketplace_from,d_hz_recharge*G1672,0))</f>
        <v/>
      </c>
      <c r="BN1673" s="40">
        <f>BN1672*d_rho_recharge+BM1673*IF(B1673&gt;=in_marketplace_from,d_hz_recharge*G1673,0)</f>
        <v/>
      </c>
      <c r="BO1673" s="14">
        <f>F1673*BN1673*in_recharge_ticket*in_recharge_comm/12</f>
        <v/>
      </c>
      <c r="BP1673" s="40">
        <f>BP1672*(1-IF(B1672&gt;=in_marketplace_from,d_hz_bills*G1672,0))</f>
        <v/>
      </c>
      <c r="BQ1673" s="40">
        <f>BQ1672*d_rho_bills+BP1673*IF(B1673&gt;=in_marketplace_from,d_hz_bills*G1673,0)</f>
        <v/>
      </c>
      <c r="BR1673" s="14">
        <f>F1673*BQ1673*in_bills_ticket*in_bills_comm/12</f>
        <v/>
      </c>
      <c r="BS1673" s="40">
        <f>BS1672*(1-IF(B1672&gt;=in_marketplace_from,d_hz_loan_gold*G1672,0))</f>
        <v/>
      </c>
      <c r="BT1673" s="14">
        <f>F1673*BS1673*IF(B1673&gt;=in_marketplace_from,d_hz_loan_gold*G1673,0)*in_loan_gold_ticket*in_loan_gold_comm</f>
        <v/>
      </c>
      <c r="BU1673" s="40">
        <f>BU1672*(1-IF(B1672&gt;=in_marketplace_from,d_hz_loan_cd*G1672,0))</f>
        <v/>
      </c>
      <c r="BV1673" s="14">
        <f>F1673*BU1673*IF(B1673&gt;=in_marketplace_from,d_hz_loan_cd*G1673,0)*in_loan_cd_ticket*in_loan_cd_comm</f>
        <v/>
      </c>
      <c r="BW1673" s="40">
        <f>BW1672*(1-IF(B1672&gt;=in_marketplace_from,d_hz_loan_vehicle*G1672,0))</f>
        <v/>
      </c>
      <c r="BX1673" s="14">
        <f>F1673*BW1673*IF(B1673&gt;=in_marketplace_from,d_hz_loan_vehicle*G1673,0)*in_loan_vehicle_ticket*in_loan_vehicle_comm</f>
        <v/>
      </c>
      <c r="BY1673" s="40">
        <f>BY1672*(1-IF(B1672&gt;=in_marketplace_from,d_hz_loan_home*G1672,0)*BZ1672)</f>
        <v/>
      </c>
      <c r="BZ1673" s="11">
        <f>MIN(in_approval_cap,in_loan_home_approval*INDEX('Age profile'!$O$2:$O$61,B1673)*(1+in_approval_growth)^(D1673-1))</f>
        <v/>
      </c>
      <c r="CA1673" s="14">
        <f>F1673*BY1673*IF(B1673&gt;=in_marketplace_from,d_hz_loan_home*G1673,0)*BZ1673*in_loan_home_ticket*in_loan_home_comm</f>
        <v/>
      </c>
      <c r="CB1673" s="40">
        <f>CB1672*(1-IF(B1672&gt;=in_marketplace_from,d_hz_loan_lap*G1672,0)*CC1672)</f>
        <v/>
      </c>
      <c r="CC1673" s="11">
        <f>MIN(in_approval_cap,in_loan_lap_approval*INDEX('Age profile'!$O$2:$O$61,B1673)*(1+in_approval_growth)^(D1673-1))</f>
        <v/>
      </c>
      <c r="CD1673" s="14">
        <f>F1673*CB1673*IF(B1673&gt;=in_marketplace_from,d_hz_loan_lap*G1673,0)*CC1673*in_loan_lap_ticket*in_loan_lap_comm</f>
        <v/>
      </c>
      <c r="CE1673" s="14">
        <f>AA1673+AB1673+AC1673+AD1673+AG1673+AJ1673+AM1673+AP1673+AS1673+AU1673+AX1673+BB1673+BE1673+BG1673+BJ1673+BL1673+BO1673+BR1673+BT1673+BV1673+BX1673+CA1673+CD1673</f>
        <v/>
      </c>
    </row>
    <row r="1674">
      <c r="A1674" s="39" t="n">
        <v>43</v>
      </c>
      <c r="B1674" s="39" t="n">
        <v>14</v>
      </c>
      <c r="C1674" s="39">
        <f>A1674+B1674-1</f>
        <v/>
      </c>
      <c r="D1674" s="39">
        <f>INT((C1674-1)/12)+1</f>
        <v/>
      </c>
      <c r="E1674" s="44">
        <f>INDEX(Monthly!$B$2:$B$61,A1674)</f>
        <v/>
      </c>
      <c r="F1674" s="44">
        <f>E1674*INDEX('Age profile'!$B$2:$B$61,B1674)</f>
        <v/>
      </c>
      <c r="G1674" s="45">
        <f>MIN(in_takeup_cap,INDEX('Age profile'!$N$2:$N$61,B1674)*(1+in_takeup_growth)^(D1674-1))</f>
        <v/>
      </c>
      <c r="H1674" s="11">
        <f>MIN(in_approval_cap,in_approved_first*INDEX('Age profile'!$O$2:$O$61,B1674)*(1+in_approval_growth)^(D1674-1))</f>
        <v/>
      </c>
      <c r="I1674" s="45">
        <f>G1674*MIN(in_takeup_cap,INDEX('Age profile'!$O$2:$O$61,B1674)*(1+in_approval_growth)^(D1674-1))</f>
        <v/>
      </c>
      <c r="J1674" s="40">
        <f>(J1673-L1673)*F1674/F1673</f>
        <v/>
      </c>
      <c r="K1674" s="40">
        <f>(K1673-M1673)*F1674/F1673+SUMIFS(O1661:O1673,B1661:B1673,B1674-1-d_T)*F1674</f>
        <v/>
      </c>
      <c r="L1674" s="40">
        <f>IF(B1674&gt;=in_marketplace_from,J1674*d_hz*G1674*in_eligible*H1674,0)</f>
        <v/>
      </c>
      <c r="M1674" s="40">
        <f>IF(B1674&gt;=in_marketplace_from,K1674*d_hz*G1674*in_eligible*in_approved_repeat,0)</f>
        <v/>
      </c>
      <c r="N1674" s="40">
        <f>L1674+M1674</f>
        <v/>
      </c>
      <c r="O1674" s="46">
        <f>N1674/F1674</f>
        <v/>
      </c>
      <c r="P1674" s="40">
        <f>F1674-J1674-K1674</f>
        <v/>
      </c>
      <c r="Q1674" s="40">
        <f>IF(B1674&gt;=in_marketplace_from,(J1674+K1674)*d_hz*G1674,0)</f>
        <v/>
      </c>
      <c r="R1674" s="40">
        <f>SUMIFS(N1661:N1678,B1661:B1678,"&gt;="&amp;(B1674-d_T),B1661:B1678,"&lt;="&amp;(B1674-1))</f>
        <v/>
      </c>
      <c r="S1674" s="46">
        <f>(1-d_u)*S1673+IF(d_T&gt;in_topup_lag,SUMIFS(O1661:O1678,B1661:B1678,B1674-in_topup_lag)-d_udrop*SUMIFS(O1661:O1678,B1661:B1678,B1674-d_T),0)</f>
        <v/>
      </c>
      <c r="T1674" s="40">
        <f>F1674*d_u*S1674</f>
        <v/>
      </c>
      <c r="U1674" s="9">
        <f>L1674*in_ticket+M1674*d_rep_ticket</f>
        <v/>
      </c>
      <c r="V1674" s="9">
        <f>U1674+T1674*d_topup_amt</f>
        <v/>
      </c>
      <c r="W1674" s="40">
        <f>N1674+T1674*d_topup_ratio</f>
        <v/>
      </c>
      <c r="X1674" s="40">
        <f>SUMIFS(W1661:W1678,B1661:B1678,B1674-in_dpd_lag)*d_cured</f>
        <v/>
      </c>
      <c r="Y1674" s="40">
        <f>SUMIFS(W1661:W1678,B1661:B1678,B1674-in_rec_lag)*d_recd</f>
        <v/>
      </c>
      <c r="Z1674" s="40">
        <f>IF(AND(B1674&gt;=in_marketplace_from,B1674&lt;in_marketplace_from+in_card_months),in_card_share/in_card_months*F1674*I1674,IF(AND(B1674&gt;=in_marketplace_from+in_card_months,B1674&lt;in_marketplace_from+2*in_card_months),in_card_share*d_card_rem/in_card_months*F1674*MIN(in_takeup_cap,(1+in_takeup_growth)^(D1674-1))*MIN(in_takeup_cap,(1+in_approval_growth)^(D1674-1)),0))</f>
        <v/>
      </c>
      <c r="AA1674" s="14">
        <f>V1674*in_fee*(1-in_taken_back)</f>
        <v/>
      </c>
      <c r="AB1674" s="14">
        <f>SUMIFS(W1661:W1678,B1661:B1678,B1674-in_dpd_lag)*d_dpd</f>
        <v/>
      </c>
      <c r="AC1674" s="14">
        <f>SUMIFS(W1661:W1678,B1661:B1678,B1674-in_rec_lag)*d_rec</f>
        <v/>
      </c>
      <c r="AD1674" s="14">
        <f>Z1674*in_card_fee</f>
        <v/>
      </c>
      <c r="AE1674" s="40">
        <f>AE1673*(1-IF(B1673&gt;=in_marketplace_from,d_hz_hlth_small*G1673,0))</f>
        <v/>
      </c>
      <c r="AF1674" s="46">
        <f>AE1674*IF(B1674&gt;=in_marketplace_from,d_hz_hlth_small*G1674,0)</f>
        <v/>
      </c>
      <c r="AG1674" s="14">
        <f>F1674*AF1674*in_hlth_small_ticket*in_hlth_small_comm*in_ins_partner_share+F1674*in_hlth_small_ticket*in_hlth_small_renew_comm*in_ins_partner_share*(in_hlth_small_renew^1*SUMIFS(AF1661:AF1678,B1661:B1678,B1674-12)+in_hlth_small_renew^2*SUMIFS(AF1661:AF1678,B1661:B1678,B1674-24)+in_hlth_small_renew^3*SUMIFS(AF1661:AF1678,B1661:B1678,B1674-36)+in_hlth_small_renew^4*SUMIFS(AF1661:AF1678,B1661:B1678,B1674-48))</f>
        <v/>
      </c>
      <c r="AH1674" s="40">
        <f>AH1673*(1-IF(B1673&gt;=in_marketplace_from,d_hz_hlth_family*G1673,0))</f>
        <v/>
      </c>
      <c r="AI1674" s="46">
        <f>AH1674*IF(B1674&gt;=in_marketplace_from,d_hz_hlth_family*G1674,0)</f>
        <v/>
      </c>
      <c r="AJ1674" s="14">
        <f>F1674*AI1674*in_hlth_family_ticket*in_hlth_family_comm*in_ins_partner_share+F1674*in_hlth_family_ticket*in_hlth_family_renew_comm*in_ins_partner_share*(in_hlth_family_renew^1*SUMIFS(AI1661:AI1678,B1661:B1678,B1674-12)+in_hlth_family_renew^2*SUMIFS(AI1661:AI1678,B1661:B1678,B1674-24)+in_hlth_family_renew^3*SUMIFS(AI1661:AI1678,B1661:B1678,B1674-36)+in_hlth_family_renew^4*SUMIFS(AI1661:AI1678,B1661:B1678,B1674-48))</f>
        <v/>
      </c>
      <c r="AK1674" s="40">
        <f>AK1673*(1-IF(B1673&gt;=in_marketplace_from,d_hz_life_term*G1673,0))</f>
        <v/>
      </c>
      <c r="AL1674" s="46">
        <f>AK1674*IF(B1674&gt;=in_marketplace_from,d_hz_life_term*G1674,0)</f>
        <v/>
      </c>
      <c r="AM1674" s="14">
        <f>F1674*AL1674*in_life_term_ticket*in_life_term_comm*in_ins_partner_share+F1674*in_life_term_ticket*in_life_term_renew_comm*in_ins_partner_share*(in_life_term_renew^1*SUMIFS(AL1661:AL1678,B1661:B1678,B1674-12)+in_life_term_renew^2*SUMIFS(AL1661:AL1678,B1661:B1678,B1674-24)+in_life_term_renew^3*SUMIFS(AL1661:AL1678,B1661:B1678,B1674-36)+in_life_term_renew^4*SUMIFS(AL1661:AL1678,B1661:B1678,B1674-48))</f>
        <v/>
      </c>
      <c r="AN1674" s="40">
        <f>AN1673*(1-IF(B1673&gt;=in_marketplace_from,d_hz_accident*G1673,0))</f>
        <v/>
      </c>
      <c r="AO1674" s="46">
        <f>AN1674*IF(B1674&gt;=in_marketplace_from,d_hz_accident*G1674,0)</f>
        <v/>
      </c>
      <c r="AP1674" s="14">
        <f>F1674*AO1674*in_accident_ticket*in_accident_comm*in_ins_partner_share+F1674*in_accident_ticket*in_accident_renew_comm*in_ins_partner_share*(in_accident_renew^1*SUMIFS(AO1661:AO1678,B1661:B1678,B1674-12)+in_accident_renew^2*SUMIFS(AO1661:AO1678,B1661:B1678,B1674-24)+in_accident_renew^3*SUMIFS(AO1661:AO1678,B1661:B1678,B1674-36)+in_accident_renew^4*SUMIFS(AO1661:AO1678,B1661:B1678,B1674-48))</f>
        <v/>
      </c>
      <c r="AQ1674" s="40">
        <f>AQ1673*(1-IF(B1673&gt;=in_marketplace_from,d_hz_two_wheeler*G1673,0))</f>
        <v/>
      </c>
      <c r="AR1674" s="46">
        <f>AQ1674*IF(B1674&gt;=in_marketplace_from,d_hz_two_wheeler*G1674,0)</f>
        <v/>
      </c>
      <c r="AS1674" s="14">
        <f>F1674*AR1674*in_two_wheeler_ticket*in_two_wheeler_comm*in_ins_partner_share+F1674*in_two_wheeler_ticket*in_two_wheeler_comm*in_ins_partner_share*(in_two_wheeler_renew^1*SUMIFS(AR1661:AR1678,B1661:B1678,B1674-12)+in_two_wheeler_renew^2*SUMIFS(AR1661:AR1678,B1661:B1678,B1674-24)+in_two_wheeler_renew^3*SUMIFS(AR1661:AR1678,B1661:B1678,B1674-36)+in_two_wheeler_renew^4*SUMIFS(AR1661:AR1678,B1661:B1678,B1674-48))</f>
        <v/>
      </c>
      <c r="AT1674" s="40">
        <f>AT1673*(1-IF(B1673&gt;=in_marketplace_from,d_hz_device*G1673,0))</f>
        <v/>
      </c>
      <c r="AU1674" s="14">
        <f>F1674*AT1674*IF(B1674&gt;=in_marketplace_from,d_hz_device*G1674,0)*in_device_ticket*in_device_comm*in_ins_partner_share</f>
        <v/>
      </c>
      <c r="AV1674" s="40">
        <f>AV1673*(1-IF(B1673&gt;=in_marketplace_from,d_hz_shop*G1673,0))</f>
        <v/>
      </c>
      <c r="AW1674" s="46">
        <f>AV1674*IF(B1674&gt;=in_marketplace_from,d_hz_shop*G1674,0)</f>
        <v/>
      </c>
      <c r="AX1674" s="14">
        <f>F1674*AW1674*in_shop_ticket*in_shop_comm*in_ins_partner_share+F1674*in_shop_ticket*in_shop_renew_comm*in_ins_partner_share*(in_shop_renew^1*SUMIFS(AW1661:AW1678,B1661:B1678,B1674-12)+in_shop_renew^2*SUMIFS(AW1661:AW1678,B1661:B1678,B1674-24)+in_shop_renew^3*SUMIFS(AW1661:AW1678,B1661:B1678,B1674-36)+in_shop_renew^4*SUMIFS(AW1661:AW1678,B1661:B1678,B1674-48))</f>
        <v/>
      </c>
      <c r="AY1674" s="40">
        <f>AY1673*(1-IF(B1673&gt;=in_marketplace_from,d_hz_sip*G1673,0))</f>
        <v/>
      </c>
      <c r="AZ1674" s="40">
        <f>AZ1673*d_rho_sip+AY1674*IF(B1674&gt;=in_marketplace_from,d_hz_sip*G1674,0)</f>
        <v/>
      </c>
      <c r="BA1674" s="40">
        <f>d_rho_sip*(BA1673+AZ1673)</f>
        <v/>
      </c>
      <c r="BB1674" s="14">
        <f>F1674*in_sip_ticket*(BA1674+0.5*AZ1674)*in_sip_comm/12</f>
        <v/>
      </c>
      <c r="BC1674" s="40">
        <f>BC1673*(1-IF(B1673&gt;=in_marketplace_from,d_hz_choti*G1673,0))</f>
        <v/>
      </c>
      <c r="BD1674" s="46">
        <f>BC1674*IF(B1674&gt;=in_marketplace_from,d_hz_choti*G1674,0)</f>
        <v/>
      </c>
      <c r="BE1674" s="14">
        <f>F1674*SUMIFS(BD1661:BD1678,B1661:B1678,B1674-in_choti_months)*in_choti_renew*in_choti_ticket</f>
        <v/>
      </c>
      <c r="BF1674" s="40">
        <f>BF1673*(1-IF(B1673&gt;=in_marketplace_from,d_hz_nps*G1673,0))</f>
        <v/>
      </c>
      <c r="BG1674" s="14">
        <f>F1674*BF1674*IF(B1674&gt;=in_marketplace_from,d_hz_nps*G1674,0)*in_nps_ticket*in_nps_comm</f>
        <v/>
      </c>
      <c r="BH1674" s="40">
        <f>BH1673*(1-IF(B1673&gt;=in_marketplace_from,d_hz_gold*G1673,0))</f>
        <v/>
      </c>
      <c r="BI1674" s="40">
        <f>BI1673*d_rho_gold+BH1674*IF(B1674&gt;=in_marketplace_from,d_hz_gold*G1674,0)</f>
        <v/>
      </c>
      <c r="BJ1674" s="14">
        <f>F1674*BI1674*in_gold_ticket*in_gold_comm</f>
        <v/>
      </c>
      <c r="BK1674" s="40">
        <f>BK1673*(1-IF(B1673&gt;=in_marketplace_from,d_hz_fd*G1673,0))</f>
        <v/>
      </c>
      <c r="BL1674" s="14">
        <f>F1674*BK1674*IF(B1674&gt;=in_marketplace_from,d_hz_fd*G1674,0)*in_fd_ticket*in_fd_comm</f>
        <v/>
      </c>
      <c r="BM1674" s="40">
        <f>BM1673*(1-IF(B1673&gt;=in_marketplace_from,d_hz_recharge*G1673,0))</f>
        <v/>
      </c>
      <c r="BN1674" s="40">
        <f>BN1673*d_rho_recharge+BM1674*IF(B1674&gt;=in_marketplace_from,d_hz_recharge*G1674,0)</f>
        <v/>
      </c>
      <c r="BO1674" s="14">
        <f>F1674*BN1674*in_recharge_ticket*in_recharge_comm/12</f>
        <v/>
      </c>
      <c r="BP1674" s="40">
        <f>BP1673*(1-IF(B1673&gt;=in_marketplace_from,d_hz_bills*G1673,0))</f>
        <v/>
      </c>
      <c r="BQ1674" s="40">
        <f>BQ1673*d_rho_bills+BP1674*IF(B1674&gt;=in_marketplace_from,d_hz_bills*G1674,0)</f>
        <v/>
      </c>
      <c r="BR1674" s="14">
        <f>F1674*BQ1674*in_bills_ticket*in_bills_comm/12</f>
        <v/>
      </c>
      <c r="BS1674" s="40">
        <f>BS1673*(1-IF(B1673&gt;=in_marketplace_from,d_hz_loan_gold*G1673,0))</f>
        <v/>
      </c>
      <c r="BT1674" s="14">
        <f>F1674*BS1674*IF(B1674&gt;=in_marketplace_from,d_hz_loan_gold*G1674,0)*in_loan_gold_ticket*in_loan_gold_comm</f>
        <v/>
      </c>
      <c r="BU1674" s="40">
        <f>BU1673*(1-IF(B1673&gt;=in_marketplace_from,d_hz_loan_cd*G1673,0))</f>
        <v/>
      </c>
      <c r="BV1674" s="14">
        <f>F1674*BU1674*IF(B1674&gt;=in_marketplace_from,d_hz_loan_cd*G1674,0)*in_loan_cd_ticket*in_loan_cd_comm</f>
        <v/>
      </c>
      <c r="BW1674" s="40">
        <f>BW1673*(1-IF(B1673&gt;=in_marketplace_from,d_hz_loan_vehicle*G1673,0))</f>
        <v/>
      </c>
      <c r="BX1674" s="14">
        <f>F1674*BW1674*IF(B1674&gt;=in_marketplace_from,d_hz_loan_vehicle*G1674,0)*in_loan_vehicle_ticket*in_loan_vehicle_comm</f>
        <v/>
      </c>
      <c r="BY1674" s="40">
        <f>BY1673*(1-IF(B1673&gt;=in_marketplace_from,d_hz_loan_home*G1673,0)*BZ1673)</f>
        <v/>
      </c>
      <c r="BZ1674" s="11">
        <f>MIN(in_approval_cap,in_loan_home_approval*INDEX('Age profile'!$O$2:$O$61,B1674)*(1+in_approval_growth)^(D1674-1))</f>
        <v/>
      </c>
      <c r="CA1674" s="14">
        <f>F1674*BY1674*IF(B1674&gt;=in_marketplace_from,d_hz_loan_home*G1674,0)*BZ1674*in_loan_home_ticket*in_loan_home_comm</f>
        <v/>
      </c>
      <c r="CB1674" s="40">
        <f>CB1673*(1-IF(B1673&gt;=in_marketplace_from,d_hz_loan_lap*G1673,0)*CC1673)</f>
        <v/>
      </c>
      <c r="CC1674" s="11">
        <f>MIN(in_approval_cap,in_loan_lap_approval*INDEX('Age profile'!$O$2:$O$61,B1674)*(1+in_approval_growth)^(D1674-1))</f>
        <v/>
      </c>
      <c r="CD1674" s="14">
        <f>F1674*CB1674*IF(B1674&gt;=in_marketplace_from,d_hz_loan_lap*G1674,0)*CC1674*in_loan_lap_ticket*in_loan_lap_comm</f>
        <v/>
      </c>
      <c r="CE1674" s="14">
        <f>AA1674+AB1674+AC1674+AD1674+AG1674+AJ1674+AM1674+AP1674+AS1674+AU1674+AX1674+BB1674+BE1674+BG1674+BJ1674+BL1674+BO1674+BR1674+BT1674+BV1674+BX1674+CA1674+CD1674</f>
        <v/>
      </c>
    </row>
    <row r="1675">
      <c r="A1675" s="39" t="n">
        <v>43</v>
      </c>
      <c r="B1675" s="39" t="n">
        <v>15</v>
      </c>
      <c r="C1675" s="39">
        <f>A1675+B1675-1</f>
        <v/>
      </c>
      <c r="D1675" s="39">
        <f>INT((C1675-1)/12)+1</f>
        <v/>
      </c>
      <c r="E1675" s="44">
        <f>INDEX(Monthly!$B$2:$B$61,A1675)</f>
        <v/>
      </c>
      <c r="F1675" s="44">
        <f>E1675*INDEX('Age profile'!$B$2:$B$61,B1675)</f>
        <v/>
      </c>
      <c r="G1675" s="45">
        <f>MIN(in_takeup_cap,INDEX('Age profile'!$N$2:$N$61,B1675)*(1+in_takeup_growth)^(D1675-1))</f>
        <v/>
      </c>
      <c r="H1675" s="11">
        <f>MIN(in_approval_cap,in_approved_first*INDEX('Age profile'!$O$2:$O$61,B1675)*(1+in_approval_growth)^(D1675-1))</f>
        <v/>
      </c>
      <c r="I1675" s="45">
        <f>G1675*MIN(in_takeup_cap,INDEX('Age profile'!$O$2:$O$61,B1675)*(1+in_approval_growth)^(D1675-1))</f>
        <v/>
      </c>
      <c r="J1675" s="40">
        <f>(J1674-L1674)*F1675/F1674</f>
        <v/>
      </c>
      <c r="K1675" s="40">
        <f>(K1674-M1674)*F1675/F1674+SUMIFS(O1661:O1674,B1661:B1674,B1675-1-d_T)*F1675</f>
        <v/>
      </c>
      <c r="L1675" s="40">
        <f>IF(B1675&gt;=in_marketplace_from,J1675*d_hz*G1675*in_eligible*H1675,0)</f>
        <v/>
      </c>
      <c r="M1675" s="40">
        <f>IF(B1675&gt;=in_marketplace_from,K1675*d_hz*G1675*in_eligible*in_approved_repeat,0)</f>
        <v/>
      </c>
      <c r="N1675" s="40">
        <f>L1675+M1675</f>
        <v/>
      </c>
      <c r="O1675" s="46">
        <f>N1675/F1675</f>
        <v/>
      </c>
      <c r="P1675" s="40">
        <f>F1675-J1675-K1675</f>
        <v/>
      </c>
      <c r="Q1675" s="40">
        <f>IF(B1675&gt;=in_marketplace_from,(J1675+K1675)*d_hz*G1675,0)</f>
        <v/>
      </c>
      <c r="R1675" s="40">
        <f>SUMIFS(N1661:N1678,B1661:B1678,"&gt;="&amp;(B1675-d_T),B1661:B1678,"&lt;="&amp;(B1675-1))</f>
        <v/>
      </c>
      <c r="S1675" s="46">
        <f>(1-d_u)*S1674+IF(d_T&gt;in_topup_lag,SUMIFS(O1661:O1678,B1661:B1678,B1675-in_topup_lag)-d_udrop*SUMIFS(O1661:O1678,B1661:B1678,B1675-d_T),0)</f>
        <v/>
      </c>
      <c r="T1675" s="40">
        <f>F1675*d_u*S1675</f>
        <v/>
      </c>
      <c r="U1675" s="9">
        <f>L1675*in_ticket+M1675*d_rep_ticket</f>
        <v/>
      </c>
      <c r="V1675" s="9">
        <f>U1675+T1675*d_topup_amt</f>
        <v/>
      </c>
      <c r="W1675" s="40">
        <f>N1675+T1675*d_topup_ratio</f>
        <v/>
      </c>
      <c r="X1675" s="40">
        <f>SUMIFS(W1661:W1678,B1661:B1678,B1675-in_dpd_lag)*d_cured</f>
        <v/>
      </c>
      <c r="Y1675" s="40">
        <f>SUMIFS(W1661:W1678,B1661:B1678,B1675-in_rec_lag)*d_recd</f>
        <v/>
      </c>
      <c r="Z1675" s="40">
        <f>IF(AND(B1675&gt;=in_marketplace_from,B1675&lt;in_marketplace_from+in_card_months),in_card_share/in_card_months*F1675*I1675,IF(AND(B1675&gt;=in_marketplace_from+in_card_months,B1675&lt;in_marketplace_from+2*in_card_months),in_card_share*d_card_rem/in_card_months*F1675*MIN(in_takeup_cap,(1+in_takeup_growth)^(D1675-1))*MIN(in_takeup_cap,(1+in_approval_growth)^(D1675-1)),0))</f>
        <v/>
      </c>
      <c r="AA1675" s="14">
        <f>V1675*in_fee*(1-in_taken_back)</f>
        <v/>
      </c>
      <c r="AB1675" s="14">
        <f>SUMIFS(W1661:W1678,B1661:B1678,B1675-in_dpd_lag)*d_dpd</f>
        <v/>
      </c>
      <c r="AC1675" s="14">
        <f>SUMIFS(W1661:W1678,B1661:B1678,B1675-in_rec_lag)*d_rec</f>
        <v/>
      </c>
      <c r="AD1675" s="14">
        <f>Z1675*in_card_fee</f>
        <v/>
      </c>
      <c r="AE1675" s="40">
        <f>AE1674*(1-IF(B1674&gt;=in_marketplace_from,d_hz_hlth_small*G1674,0))</f>
        <v/>
      </c>
      <c r="AF1675" s="46">
        <f>AE1675*IF(B1675&gt;=in_marketplace_from,d_hz_hlth_small*G1675,0)</f>
        <v/>
      </c>
      <c r="AG1675" s="14">
        <f>F1675*AF1675*in_hlth_small_ticket*in_hlth_small_comm*in_ins_partner_share+F1675*in_hlth_small_ticket*in_hlth_small_renew_comm*in_ins_partner_share*(in_hlth_small_renew^1*SUMIFS(AF1661:AF1678,B1661:B1678,B1675-12)+in_hlth_small_renew^2*SUMIFS(AF1661:AF1678,B1661:B1678,B1675-24)+in_hlth_small_renew^3*SUMIFS(AF1661:AF1678,B1661:B1678,B1675-36)+in_hlth_small_renew^4*SUMIFS(AF1661:AF1678,B1661:B1678,B1675-48))</f>
        <v/>
      </c>
      <c r="AH1675" s="40">
        <f>AH1674*(1-IF(B1674&gt;=in_marketplace_from,d_hz_hlth_family*G1674,0))</f>
        <v/>
      </c>
      <c r="AI1675" s="46">
        <f>AH1675*IF(B1675&gt;=in_marketplace_from,d_hz_hlth_family*G1675,0)</f>
        <v/>
      </c>
      <c r="AJ1675" s="14">
        <f>F1675*AI1675*in_hlth_family_ticket*in_hlth_family_comm*in_ins_partner_share+F1675*in_hlth_family_ticket*in_hlth_family_renew_comm*in_ins_partner_share*(in_hlth_family_renew^1*SUMIFS(AI1661:AI1678,B1661:B1678,B1675-12)+in_hlth_family_renew^2*SUMIFS(AI1661:AI1678,B1661:B1678,B1675-24)+in_hlth_family_renew^3*SUMIFS(AI1661:AI1678,B1661:B1678,B1675-36)+in_hlth_family_renew^4*SUMIFS(AI1661:AI1678,B1661:B1678,B1675-48))</f>
        <v/>
      </c>
      <c r="AK1675" s="40">
        <f>AK1674*(1-IF(B1674&gt;=in_marketplace_from,d_hz_life_term*G1674,0))</f>
        <v/>
      </c>
      <c r="AL1675" s="46">
        <f>AK1675*IF(B1675&gt;=in_marketplace_from,d_hz_life_term*G1675,0)</f>
        <v/>
      </c>
      <c r="AM1675" s="14">
        <f>F1675*AL1675*in_life_term_ticket*in_life_term_comm*in_ins_partner_share+F1675*in_life_term_ticket*in_life_term_renew_comm*in_ins_partner_share*(in_life_term_renew^1*SUMIFS(AL1661:AL1678,B1661:B1678,B1675-12)+in_life_term_renew^2*SUMIFS(AL1661:AL1678,B1661:B1678,B1675-24)+in_life_term_renew^3*SUMIFS(AL1661:AL1678,B1661:B1678,B1675-36)+in_life_term_renew^4*SUMIFS(AL1661:AL1678,B1661:B1678,B1675-48))</f>
        <v/>
      </c>
      <c r="AN1675" s="40">
        <f>AN1674*(1-IF(B1674&gt;=in_marketplace_from,d_hz_accident*G1674,0))</f>
        <v/>
      </c>
      <c r="AO1675" s="46">
        <f>AN1675*IF(B1675&gt;=in_marketplace_from,d_hz_accident*G1675,0)</f>
        <v/>
      </c>
      <c r="AP1675" s="14">
        <f>F1675*AO1675*in_accident_ticket*in_accident_comm*in_ins_partner_share+F1675*in_accident_ticket*in_accident_renew_comm*in_ins_partner_share*(in_accident_renew^1*SUMIFS(AO1661:AO1678,B1661:B1678,B1675-12)+in_accident_renew^2*SUMIFS(AO1661:AO1678,B1661:B1678,B1675-24)+in_accident_renew^3*SUMIFS(AO1661:AO1678,B1661:B1678,B1675-36)+in_accident_renew^4*SUMIFS(AO1661:AO1678,B1661:B1678,B1675-48))</f>
        <v/>
      </c>
      <c r="AQ1675" s="40">
        <f>AQ1674*(1-IF(B1674&gt;=in_marketplace_from,d_hz_two_wheeler*G1674,0))</f>
        <v/>
      </c>
      <c r="AR1675" s="46">
        <f>AQ1675*IF(B1675&gt;=in_marketplace_from,d_hz_two_wheeler*G1675,0)</f>
        <v/>
      </c>
      <c r="AS1675" s="14">
        <f>F1675*AR1675*in_two_wheeler_ticket*in_two_wheeler_comm*in_ins_partner_share+F1675*in_two_wheeler_ticket*in_two_wheeler_comm*in_ins_partner_share*(in_two_wheeler_renew^1*SUMIFS(AR1661:AR1678,B1661:B1678,B1675-12)+in_two_wheeler_renew^2*SUMIFS(AR1661:AR1678,B1661:B1678,B1675-24)+in_two_wheeler_renew^3*SUMIFS(AR1661:AR1678,B1661:B1678,B1675-36)+in_two_wheeler_renew^4*SUMIFS(AR1661:AR1678,B1661:B1678,B1675-48))</f>
        <v/>
      </c>
      <c r="AT1675" s="40">
        <f>AT1674*(1-IF(B1674&gt;=in_marketplace_from,d_hz_device*G1674,0))</f>
        <v/>
      </c>
      <c r="AU1675" s="14">
        <f>F1675*AT1675*IF(B1675&gt;=in_marketplace_from,d_hz_device*G1675,0)*in_device_ticket*in_device_comm*in_ins_partner_share</f>
        <v/>
      </c>
      <c r="AV1675" s="40">
        <f>AV1674*(1-IF(B1674&gt;=in_marketplace_from,d_hz_shop*G1674,0))</f>
        <v/>
      </c>
      <c r="AW1675" s="46">
        <f>AV1675*IF(B1675&gt;=in_marketplace_from,d_hz_shop*G1675,0)</f>
        <v/>
      </c>
      <c r="AX1675" s="14">
        <f>F1675*AW1675*in_shop_ticket*in_shop_comm*in_ins_partner_share+F1675*in_shop_ticket*in_shop_renew_comm*in_ins_partner_share*(in_shop_renew^1*SUMIFS(AW1661:AW1678,B1661:B1678,B1675-12)+in_shop_renew^2*SUMIFS(AW1661:AW1678,B1661:B1678,B1675-24)+in_shop_renew^3*SUMIFS(AW1661:AW1678,B1661:B1678,B1675-36)+in_shop_renew^4*SUMIFS(AW1661:AW1678,B1661:B1678,B1675-48))</f>
        <v/>
      </c>
      <c r="AY1675" s="40">
        <f>AY1674*(1-IF(B1674&gt;=in_marketplace_from,d_hz_sip*G1674,0))</f>
        <v/>
      </c>
      <c r="AZ1675" s="40">
        <f>AZ1674*d_rho_sip+AY1675*IF(B1675&gt;=in_marketplace_from,d_hz_sip*G1675,0)</f>
        <v/>
      </c>
      <c r="BA1675" s="40">
        <f>d_rho_sip*(BA1674+AZ1674)</f>
        <v/>
      </c>
      <c r="BB1675" s="14">
        <f>F1675*in_sip_ticket*(BA1675+0.5*AZ1675)*in_sip_comm/12</f>
        <v/>
      </c>
      <c r="BC1675" s="40">
        <f>BC1674*(1-IF(B1674&gt;=in_marketplace_from,d_hz_choti*G1674,0))</f>
        <v/>
      </c>
      <c r="BD1675" s="46">
        <f>BC1675*IF(B1675&gt;=in_marketplace_from,d_hz_choti*G1675,0)</f>
        <v/>
      </c>
      <c r="BE1675" s="14">
        <f>F1675*SUMIFS(BD1661:BD1678,B1661:B1678,B1675-in_choti_months)*in_choti_renew*in_choti_ticket</f>
        <v/>
      </c>
      <c r="BF1675" s="40">
        <f>BF1674*(1-IF(B1674&gt;=in_marketplace_from,d_hz_nps*G1674,0))</f>
        <v/>
      </c>
      <c r="BG1675" s="14">
        <f>F1675*BF1675*IF(B1675&gt;=in_marketplace_from,d_hz_nps*G1675,0)*in_nps_ticket*in_nps_comm</f>
        <v/>
      </c>
      <c r="BH1675" s="40">
        <f>BH1674*(1-IF(B1674&gt;=in_marketplace_from,d_hz_gold*G1674,0))</f>
        <v/>
      </c>
      <c r="BI1675" s="40">
        <f>BI1674*d_rho_gold+BH1675*IF(B1675&gt;=in_marketplace_from,d_hz_gold*G1675,0)</f>
        <v/>
      </c>
      <c r="BJ1675" s="14">
        <f>F1675*BI1675*in_gold_ticket*in_gold_comm</f>
        <v/>
      </c>
      <c r="BK1675" s="40">
        <f>BK1674*(1-IF(B1674&gt;=in_marketplace_from,d_hz_fd*G1674,0))</f>
        <v/>
      </c>
      <c r="BL1675" s="14">
        <f>F1675*BK1675*IF(B1675&gt;=in_marketplace_from,d_hz_fd*G1675,0)*in_fd_ticket*in_fd_comm</f>
        <v/>
      </c>
      <c r="BM1675" s="40">
        <f>BM1674*(1-IF(B1674&gt;=in_marketplace_from,d_hz_recharge*G1674,0))</f>
        <v/>
      </c>
      <c r="BN1675" s="40">
        <f>BN1674*d_rho_recharge+BM1675*IF(B1675&gt;=in_marketplace_from,d_hz_recharge*G1675,0)</f>
        <v/>
      </c>
      <c r="BO1675" s="14">
        <f>F1675*BN1675*in_recharge_ticket*in_recharge_comm/12</f>
        <v/>
      </c>
      <c r="BP1675" s="40">
        <f>BP1674*(1-IF(B1674&gt;=in_marketplace_from,d_hz_bills*G1674,0))</f>
        <v/>
      </c>
      <c r="BQ1675" s="40">
        <f>BQ1674*d_rho_bills+BP1675*IF(B1675&gt;=in_marketplace_from,d_hz_bills*G1675,0)</f>
        <v/>
      </c>
      <c r="BR1675" s="14">
        <f>F1675*BQ1675*in_bills_ticket*in_bills_comm/12</f>
        <v/>
      </c>
      <c r="BS1675" s="40">
        <f>BS1674*(1-IF(B1674&gt;=in_marketplace_from,d_hz_loan_gold*G1674,0))</f>
        <v/>
      </c>
      <c r="BT1675" s="14">
        <f>F1675*BS1675*IF(B1675&gt;=in_marketplace_from,d_hz_loan_gold*G1675,0)*in_loan_gold_ticket*in_loan_gold_comm</f>
        <v/>
      </c>
      <c r="BU1675" s="40">
        <f>BU1674*(1-IF(B1674&gt;=in_marketplace_from,d_hz_loan_cd*G1674,0))</f>
        <v/>
      </c>
      <c r="BV1675" s="14">
        <f>F1675*BU1675*IF(B1675&gt;=in_marketplace_from,d_hz_loan_cd*G1675,0)*in_loan_cd_ticket*in_loan_cd_comm</f>
        <v/>
      </c>
      <c r="BW1675" s="40">
        <f>BW1674*(1-IF(B1674&gt;=in_marketplace_from,d_hz_loan_vehicle*G1674,0))</f>
        <v/>
      </c>
      <c r="BX1675" s="14">
        <f>F1675*BW1675*IF(B1675&gt;=in_marketplace_from,d_hz_loan_vehicle*G1675,0)*in_loan_vehicle_ticket*in_loan_vehicle_comm</f>
        <v/>
      </c>
      <c r="BY1675" s="40">
        <f>BY1674*(1-IF(B1674&gt;=in_marketplace_from,d_hz_loan_home*G1674,0)*BZ1674)</f>
        <v/>
      </c>
      <c r="BZ1675" s="11">
        <f>MIN(in_approval_cap,in_loan_home_approval*INDEX('Age profile'!$O$2:$O$61,B1675)*(1+in_approval_growth)^(D1675-1))</f>
        <v/>
      </c>
      <c r="CA1675" s="14">
        <f>F1675*BY1675*IF(B1675&gt;=in_marketplace_from,d_hz_loan_home*G1675,0)*BZ1675*in_loan_home_ticket*in_loan_home_comm</f>
        <v/>
      </c>
      <c r="CB1675" s="40">
        <f>CB1674*(1-IF(B1674&gt;=in_marketplace_from,d_hz_loan_lap*G1674,0)*CC1674)</f>
        <v/>
      </c>
      <c r="CC1675" s="11">
        <f>MIN(in_approval_cap,in_loan_lap_approval*INDEX('Age profile'!$O$2:$O$61,B1675)*(1+in_approval_growth)^(D1675-1))</f>
        <v/>
      </c>
      <c r="CD1675" s="14">
        <f>F1675*CB1675*IF(B1675&gt;=in_marketplace_from,d_hz_loan_lap*G1675,0)*CC1675*in_loan_lap_ticket*in_loan_lap_comm</f>
        <v/>
      </c>
      <c r="CE1675" s="14">
        <f>AA1675+AB1675+AC1675+AD1675+AG1675+AJ1675+AM1675+AP1675+AS1675+AU1675+AX1675+BB1675+BE1675+BG1675+BJ1675+BL1675+BO1675+BR1675+BT1675+BV1675+BX1675+CA1675+CD1675</f>
        <v/>
      </c>
    </row>
    <row r="1676">
      <c r="A1676" s="39" t="n">
        <v>43</v>
      </c>
      <c r="B1676" s="39" t="n">
        <v>16</v>
      </c>
      <c r="C1676" s="39">
        <f>A1676+B1676-1</f>
        <v/>
      </c>
      <c r="D1676" s="39">
        <f>INT((C1676-1)/12)+1</f>
        <v/>
      </c>
      <c r="E1676" s="44">
        <f>INDEX(Monthly!$B$2:$B$61,A1676)</f>
        <v/>
      </c>
      <c r="F1676" s="44">
        <f>E1676*INDEX('Age profile'!$B$2:$B$61,B1676)</f>
        <v/>
      </c>
      <c r="G1676" s="45">
        <f>MIN(in_takeup_cap,INDEX('Age profile'!$N$2:$N$61,B1676)*(1+in_takeup_growth)^(D1676-1))</f>
        <v/>
      </c>
      <c r="H1676" s="11">
        <f>MIN(in_approval_cap,in_approved_first*INDEX('Age profile'!$O$2:$O$61,B1676)*(1+in_approval_growth)^(D1676-1))</f>
        <v/>
      </c>
      <c r="I1676" s="45">
        <f>G1676*MIN(in_takeup_cap,INDEX('Age profile'!$O$2:$O$61,B1676)*(1+in_approval_growth)^(D1676-1))</f>
        <v/>
      </c>
      <c r="J1676" s="40">
        <f>(J1675-L1675)*F1676/F1675</f>
        <v/>
      </c>
      <c r="K1676" s="40">
        <f>(K1675-M1675)*F1676/F1675+SUMIFS(O1661:O1675,B1661:B1675,B1676-1-d_T)*F1676</f>
        <v/>
      </c>
      <c r="L1676" s="40">
        <f>IF(B1676&gt;=in_marketplace_from,J1676*d_hz*G1676*in_eligible*H1676,0)</f>
        <v/>
      </c>
      <c r="M1676" s="40">
        <f>IF(B1676&gt;=in_marketplace_from,K1676*d_hz*G1676*in_eligible*in_approved_repeat,0)</f>
        <v/>
      </c>
      <c r="N1676" s="40">
        <f>L1676+M1676</f>
        <v/>
      </c>
      <c r="O1676" s="46">
        <f>N1676/F1676</f>
        <v/>
      </c>
      <c r="P1676" s="40">
        <f>F1676-J1676-K1676</f>
        <v/>
      </c>
      <c r="Q1676" s="40">
        <f>IF(B1676&gt;=in_marketplace_from,(J1676+K1676)*d_hz*G1676,0)</f>
        <v/>
      </c>
      <c r="R1676" s="40">
        <f>SUMIFS(N1661:N1678,B1661:B1678,"&gt;="&amp;(B1676-d_T),B1661:B1678,"&lt;="&amp;(B1676-1))</f>
        <v/>
      </c>
      <c r="S1676" s="46">
        <f>(1-d_u)*S1675+IF(d_T&gt;in_topup_lag,SUMIFS(O1661:O1678,B1661:B1678,B1676-in_topup_lag)-d_udrop*SUMIFS(O1661:O1678,B1661:B1678,B1676-d_T),0)</f>
        <v/>
      </c>
      <c r="T1676" s="40">
        <f>F1676*d_u*S1676</f>
        <v/>
      </c>
      <c r="U1676" s="9">
        <f>L1676*in_ticket+M1676*d_rep_ticket</f>
        <v/>
      </c>
      <c r="V1676" s="9">
        <f>U1676+T1676*d_topup_amt</f>
        <v/>
      </c>
      <c r="W1676" s="40">
        <f>N1676+T1676*d_topup_ratio</f>
        <v/>
      </c>
      <c r="X1676" s="40">
        <f>SUMIFS(W1661:W1678,B1661:B1678,B1676-in_dpd_lag)*d_cured</f>
        <v/>
      </c>
      <c r="Y1676" s="40">
        <f>SUMIFS(W1661:W1678,B1661:B1678,B1676-in_rec_lag)*d_recd</f>
        <v/>
      </c>
      <c r="Z1676" s="40">
        <f>IF(AND(B1676&gt;=in_marketplace_from,B1676&lt;in_marketplace_from+in_card_months),in_card_share/in_card_months*F1676*I1676,IF(AND(B1676&gt;=in_marketplace_from+in_card_months,B1676&lt;in_marketplace_from+2*in_card_months),in_card_share*d_card_rem/in_card_months*F1676*MIN(in_takeup_cap,(1+in_takeup_growth)^(D1676-1))*MIN(in_takeup_cap,(1+in_approval_growth)^(D1676-1)),0))</f>
        <v/>
      </c>
      <c r="AA1676" s="14">
        <f>V1676*in_fee*(1-in_taken_back)</f>
        <v/>
      </c>
      <c r="AB1676" s="14">
        <f>SUMIFS(W1661:W1678,B1661:B1678,B1676-in_dpd_lag)*d_dpd</f>
        <v/>
      </c>
      <c r="AC1676" s="14">
        <f>SUMIFS(W1661:W1678,B1661:B1678,B1676-in_rec_lag)*d_rec</f>
        <v/>
      </c>
      <c r="AD1676" s="14">
        <f>Z1676*in_card_fee</f>
        <v/>
      </c>
      <c r="AE1676" s="40">
        <f>AE1675*(1-IF(B1675&gt;=in_marketplace_from,d_hz_hlth_small*G1675,0))</f>
        <v/>
      </c>
      <c r="AF1676" s="46">
        <f>AE1676*IF(B1676&gt;=in_marketplace_from,d_hz_hlth_small*G1676,0)</f>
        <v/>
      </c>
      <c r="AG1676" s="14">
        <f>F1676*AF1676*in_hlth_small_ticket*in_hlth_small_comm*in_ins_partner_share+F1676*in_hlth_small_ticket*in_hlth_small_renew_comm*in_ins_partner_share*(in_hlth_small_renew^1*SUMIFS(AF1661:AF1678,B1661:B1678,B1676-12)+in_hlth_small_renew^2*SUMIFS(AF1661:AF1678,B1661:B1678,B1676-24)+in_hlth_small_renew^3*SUMIFS(AF1661:AF1678,B1661:B1678,B1676-36)+in_hlth_small_renew^4*SUMIFS(AF1661:AF1678,B1661:B1678,B1676-48))</f>
        <v/>
      </c>
      <c r="AH1676" s="40">
        <f>AH1675*(1-IF(B1675&gt;=in_marketplace_from,d_hz_hlth_family*G1675,0))</f>
        <v/>
      </c>
      <c r="AI1676" s="46">
        <f>AH1676*IF(B1676&gt;=in_marketplace_from,d_hz_hlth_family*G1676,0)</f>
        <v/>
      </c>
      <c r="AJ1676" s="14">
        <f>F1676*AI1676*in_hlth_family_ticket*in_hlth_family_comm*in_ins_partner_share+F1676*in_hlth_family_ticket*in_hlth_family_renew_comm*in_ins_partner_share*(in_hlth_family_renew^1*SUMIFS(AI1661:AI1678,B1661:B1678,B1676-12)+in_hlth_family_renew^2*SUMIFS(AI1661:AI1678,B1661:B1678,B1676-24)+in_hlth_family_renew^3*SUMIFS(AI1661:AI1678,B1661:B1678,B1676-36)+in_hlth_family_renew^4*SUMIFS(AI1661:AI1678,B1661:B1678,B1676-48))</f>
        <v/>
      </c>
      <c r="AK1676" s="40">
        <f>AK1675*(1-IF(B1675&gt;=in_marketplace_from,d_hz_life_term*G1675,0))</f>
        <v/>
      </c>
      <c r="AL1676" s="46">
        <f>AK1676*IF(B1676&gt;=in_marketplace_from,d_hz_life_term*G1676,0)</f>
        <v/>
      </c>
      <c r="AM1676" s="14">
        <f>F1676*AL1676*in_life_term_ticket*in_life_term_comm*in_ins_partner_share+F1676*in_life_term_ticket*in_life_term_renew_comm*in_ins_partner_share*(in_life_term_renew^1*SUMIFS(AL1661:AL1678,B1661:B1678,B1676-12)+in_life_term_renew^2*SUMIFS(AL1661:AL1678,B1661:B1678,B1676-24)+in_life_term_renew^3*SUMIFS(AL1661:AL1678,B1661:B1678,B1676-36)+in_life_term_renew^4*SUMIFS(AL1661:AL1678,B1661:B1678,B1676-48))</f>
        <v/>
      </c>
      <c r="AN1676" s="40">
        <f>AN1675*(1-IF(B1675&gt;=in_marketplace_from,d_hz_accident*G1675,0))</f>
        <v/>
      </c>
      <c r="AO1676" s="46">
        <f>AN1676*IF(B1676&gt;=in_marketplace_from,d_hz_accident*G1676,0)</f>
        <v/>
      </c>
      <c r="AP1676" s="14">
        <f>F1676*AO1676*in_accident_ticket*in_accident_comm*in_ins_partner_share+F1676*in_accident_ticket*in_accident_renew_comm*in_ins_partner_share*(in_accident_renew^1*SUMIFS(AO1661:AO1678,B1661:B1678,B1676-12)+in_accident_renew^2*SUMIFS(AO1661:AO1678,B1661:B1678,B1676-24)+in_accident_renew^3*SUMIFS(AO1661:AO1678,B1661:B1678,B1676-36)+in_accident_renew^4*SUMIFS(AO1661:AO1678,B1661:B1678,B1676-48))</f>
        <v/>
      </c>
      <c r="AQ1676" s="40">
        <f>AQ1675*(1-IF(B1675&gt;=in_marketplace_from,d_hz_two_wheeler*G1675,0))</f>
        <v/>
      </c>
      <c r="AR1676" s="46">
        <f>AQ1676*IF(B1676&gt;=in_marketplace_from,d_hz_two_wheeler*G1676,0)</f>
        <v/>
      </c>
      <c r="AS1676" s="14">
        <f>F1676*AR1676*in_two_wheeler_ticket*in_two_wheeler_comm*in_ins_partner_share+F1676*in_two_wheeler_ticket*in_two_wheeler_comm*in_ins_partner_share*(in_two_wheeler_renew^1*SUMIFS(AR1661:AR1678,B1661:B1678,B1676-12)+in_two_wheeler_renew^2*SUMIFS(AR1661:AR1678,B1661:B1678,B1676-24)+in_two_wheeler_renew^3*SUMIFS(AR1661:AR1678,B1661:B1678,B1676-36)+in_two_wheeler_renew^4*SUMIFS(AR1661:AR1678,B1661:B1678,B1676-48))</f>
        <v/>
      </c>
      <c r="AT1676" s="40">
        <f>AT1675*(1-IF(B1675&gt;=in_marketplace_from,d_hz_device*G1675,0))</f>
        <v/>
      </c>
      <c r="AU1676" s="14">
        <f>F1676*AT1676*IF(B1676&gt;=in_marketplace_from,d_hz_device*G1676,0)*in_device_ticket*in_device_comm*in_ins_partner_share</f>
        <v/>
      </c>
      <c r="AV1676" s="40">
        <f>AV1675*(1-IF(B1675&gt;=in_marketplace_from,d_hz_shop*G1675,0))</f>
        <v/>
      </c>
      <c r="AW1676" s="46">
        <f>AV1676*IF(B1676&gt;=in_marketplace_from,d_hz_shop*G1676,0)</f>
        <v/>
      </c>
      <c r="AX1676" s="14">
        <f>F1676*AW1676*in_shop_ticket*in_shop_comm*in_ins_partner_share+F1676*in_shop_ticket*in_shop_renew_comm*in_ins_partner_share*(in_shop_renew^1*SUMIFS(AW1661:AW1678,B1661:B1678,B1676-12)+in_shop_renew^2*SUMIFS(AW1661:AW1678,B1661:B1678,B1676-24)+in_shop_renew^3*SUMIFS(AW1661:AW1678,B1661:B1678,B1676-36)+in_shop_renew^4*SUMIFS(AW1661:AW1678,B1661:B1678,B1676-48))</f>
        <v/>
      </c>
      <c r="AY1676" s="40">
        <f>AY1675*(1-IF(B1675&gt;=in_marketplace_from,d_hz_sip*G1675,0))</f>
        <v/>
      </c>
      <c r="AZ1676" s="40">
        <f>AZ1675*d_rho_sip+AY1676*IF(B1676&gt;=in_marketplace_from,d_hz_sip*G1676,0)</f>
        <v/>
      </c>
      <c r="BA1676" s="40">
        <f>d_rho_sip*(BA1675+AZ1675)</f>
        <v/>
      </c>
      <c r="BB1676" s="14">
        <f>F1676*in_sip_ticket*(BA1676+0.5*AZ1676)*in_sip_comm/12</f>
        <v/>
      </c>
      <c r="BC1676" s="40">
        <f>BC1675*(1-IF(B1675&gt;=in_marketplace_from,d_hz_choti*G1675,0))</f>
        <v/>
      </c>
      <c r="BD1676" s="46">
        <f>BC1676*IF(B1676&gt;=in_marketplace_from,d_hz_choti*G1676,0)</f>
        <v/>
      </c>
      <c r="BE1676" s="14">
        <f>F1676*SUMIFS(BD1661:BD1678,B1661:B1678,B1676-in_choti_months)*in_choti_renew*in_choti_ticket</f>
        <v/>
      </c>
      <c r="BF1676" s="40">
        <f>BF1675*(1-IF(B1675&gt;=in_marketplace_from,d_hz_nps*G1675,0))</f>
        <v/>
      </c>
      <c r="BG1676" s="14">
        <f>F1676*BF1676*IF(B1676&gt;=in_marketplace_from,d_hz_nps*G1676,0)*in_nps_ticket*in_nps_comm</f>
        <v/>
      </c>
      <c r="BH1676" s="40">
        <f>BH1675*(1-IF(B1675&gt;=in_marketplace_from,d_hz_gold*G1675,0))</f>
        <v/>
      </c>
      <c r="BI1676" s="40">
        <f>BI1675*d_rho_gold+BH1676*IF(B1676&gt;=in_marketplace_from,d_hz_gold*G1676,0)</f>
        <v/>
      </c>
      <c r="BJ1676" s="14">
        <f>F1676*BI1676*in_gold_ticket*in_gold_comm</f>
        <v/>
      </c>
      <c r="BK1676" s="40">
        <f>BK1675*(1-IF(B1675&gt;=in_marketplace_from,d_hz_fd*G1675,0))</f>
        <v/>
      </c>
      <c r="BL1676" s="14">
        <f>F1676*BK1676*IF(B1676&gt;=in_marketplace_from,d_hz_fd*G1676,0)*in_fd_ticket*in_fd_comm</f>
        <v/>
      </c>
      <c r="BM1676" s="40">
        <f>BM1675*(1-IF(B1675&gt;=in_marketplace_from,d_hz_recharge*G1675,0))</f>
        <v/>
      </c>
      <c r="BN1676" s="40">
        <f>BN1675*d_rho_recharge+BM1676*IF(B1676&gt;=in_marketplace_from,d_hz_recharge*G1676,0)</f>
        <v/>
      </c>
      <c r="BO1676" s="14">
        <f>F1676*BN1676*in_recharge_ticket*in_recharge_comm/12</f>
        <v/>
      </c>
      <c r="BP1676" s="40">
        <f>BP1675*(1-IF(B1675&gt;=in_marketplace_from,d_hz_bills*G1675,0))</f>
        <v/>
      </c>
      <c r="BQ1676" s="40">
        <f>BQ1675*d_rho_bills+BP1676*IF(B1676&gt;=in_marketplace_from,d_hz_bills*G1676,0)</f>
        <v/>
      </c>
      <c r="BR1676" s="14">
        <f>F1676*BQ1676*in_bills_ticket*in_bills_comm/12</f>
        <v/>
      </c>
      <c r="BS1676" s="40">
        <f>BS1675*(1-IF(B1675&gt;=in_marketplace_from,d_hz_loan_gold*G1675,0))</f>
        <v/>
      </c>
      <c r="BT1676" s="14">
        <f>F1676*BS1676*IF(B1676&gt;=in_marketplace_from,d_hz_loan_gold*G1676,0)*in_loan_gold_ticket*in_loan_gold_comm</f>
        <v/>
      </c>
      <c r="BU1676" s="40">
        <f>BU1675*(1-IF(B1675&gt;=in_marketplace_from,d_hz_loan_cd*G1675,0))</f>
        <v/>
      </c>
      <c r="BV1676" s="14">
        <f>F1676*BU1676*IF(B1676&gt;=in_marketplace_from,d_hz_loan_cd*G1676,0)*in_loan_cd_ticket*in_loan_cd_comm</f>
        <v/>
      </c>
      <c r="BW1676" s="40">
        <f>BW1675*(1-IF(B1675&gt;=in_marketplace_from,d_hz_loan_vehicle*G1675,0))</f>
        <v/>
      </c>
      <c r="BX1676" s="14">
        <f>F1676*BW1676*IF(B1676&gt;=in_marketplace_from,d_hz_loan_vehicle*G1676,0)*in_loan_vehicle_ticket*in_loan_vehicle_comm</f>
        <v/>
      </c>
      <c r="BY1676" s="40">
        <f>BY1675*(1-IF(B1675&gt;=in_marketplace_from,d_hz_loan_home*G1675,0)*BZ1675)</f>
        <v/>
      </c>
      <c r="BZ1676" s="11">
        <f>MIN(in_approval_cap,in_loan_home_approval*INDEX('Age profile'!$O$2:$O$61,B1676)*(1+in_approval_growth)^(D1676-1))</f>
        <v/>
      </c>
      <c r="CA1676" s="14">
        <f>F1676*BY1676*IF(B1676&gt;=in_marketplace_from,d_hz_loan_home*G1676,0)*BZ1676*in_loan_home_ticket*in_loan_home_comm</f>
        <v/>
      </c>
      <c r="CB1676" s="40">
        <f>CB1675*(1-IF(B1675&gt;=in_marketplace_from,d_hz_loan_lap*G1675,0)*CC1675)</f>
        <v/>
      </c>
      <c r="CC1676" s="11">
        <f>MIN(in_approval_cap,in_loan_lap_approval*INDEX('Age profile'!$O$2:$O$61,B1676)*(1+in_approval_growth)^(D1676-1))</f>
        <v/>
      </c>
      <c r="CD1676" s="14">
        <f>F1676*CB1676*IF(B1676&gt;=in_marketplace_from,d_hz_loan_lap*G1676,0)*CC1676*in_loan_lap_ticket*in_loan_lap_comm</f>
        <v/>
      </c>
      <c r="CE1676" s="14">
        <f>AA1676+AB1676+AC1676+AD1676+AG1676+AJ1676+AM1676+AP1676+AS1676+AU1676+AX1676+BB1676+BE1676+BG1676+BJ1676+BL1676+BO1676+BR1676+BT1676+BV1676+BX1676+CA1676+CD1676</f>
        <v/>
      </c>
    </row>
    <row r="1677">
      <c r="A1677" s="39" t="n">
        <v>43</v>
      </c>
      <c r="B1677" s="39" t="n">
        <v>17</v>
      </c>
      <c r="C1677" s="39">
        <f>A1677+B1677-1</f>
        <v/>
      </c>
      <c r="D1677" s="39">
        <f>INT((C1677-1)/12)+1</f>
        <v/>
      </c>
      <c r="E1677" s="44">
        <f>INDEX(Monthly!$B$2:$B$61,A1677)</f>
        <v/>
      </c>
      <c r="F1677" s="44">
        <f>E1677*INDEX('Age profile'!$B$2:$B$61,B1677)</f>
        <v/>
      </c>
      <c r="G1677" s="45">
        <f>MIN(in_takeup_cap,INDEX('Age profile'!$N$2:$N$61,B1677)*(1+in_takeup_growth)^(D1677-1))</f>
        <v/>
      </c>
      <c r="H1677" s="11">
        <f>MIN(in_approval_cap,in_approved_first*INDEX('Age profile'!$O$2:$O$61,B1677)*(1+in_approval_growth)^(D1677-1))</f>
        <v/>
      </c>
      <c r="I1677" s="45">
        <f>G1677*MIN(in_takeup_cap,INDEX('Age profile'!$O$2:$O$61,B1677)*(1+in_approval_growth)^(D1677-1))</f>
        <v/>
      </c>
      <c r="J1677" s="40">
        <f>(J1676-L1676)*F1677/F1676</f>
        <v/>
      </c>
      <c r="K1677" s="40">
        <f>(K1676-M1676)*F1677/F1676+SUMIFS(O1661:O1676,B1661:B1676,B1677-1-d_T)*F1677</f>
        <v/>
      </c>
      <c r="L1677" s="40">
        <f>IF(B1677&gt;=in_marketplace_from,J1677*d_hz*G1677*in_eligible*H1677,0)</f>
        <v/>
      </c>
      <c r="M1677" s="40">
        <f>IF(B1677&gt;=in_marketplace_from,K1677*d_hz*G1677*in_eligible*in_approved_repeat,0)</f>
        <v/>
      </c>
      <c r="N1677" s="40">
        <f>L1677+M1677</f>
        <v/>
      </c>
      <c r="O1677" s="46">
        <f>N1677/F1677</f>
        <v/>
      </c>
      <c r="P1677" s="40">
        <f>F1677-J1677-K1677</f>
        <v/>
      </c>
      <c r="Q1677" s="40">
        <f>IF(B1677&gt;=in_marketplace_from,(J1677+K1677)*d_hz*G1677,0)</f>
        <v/>
      </c>
      <c r="R1677" s="40">
        <f>SUMIFS(N1661:N1678,B1661:B1678,"&gt;="&amp;(B1677-d_T),B1661:B1678,"&lt;="&amp;(B1677-1))</f>
        <v/>
      </c>
      <c r="S1677" s="46">
        <f>(1-d_u)*S1676+IF(d_T&gt;in_topup_lag,SUMIFS(O1661:O1678,B1661:B1678,B1677-in_topup_lag)-d_udrop*SUMIFS(O1661:O1678,B1661:B1678,B1677-d_T),0)</f>
        <v/>
      </c>
      <c r="T1677" s="40">
        <f>F1677*d_u*S1677</f>
        <v/>
      </c>
      <c r="U1677" s="9">
        <f>L1677*in_ticket+M1677*d_rep_ticket</f>
        <v/>
      </c>
      <c r="V1677" s="9">
        <f>U1677+T1677*d_topup_amt</f>
        <v/>
      </c>
      <c r="W1677" s="40">
        <f>N1677+T1677*d_topup_ratio</f>
        <v/>
      </c>
      <c r="X1677" s="40">
        <f>SUMIFS(W1661:W1678,B1661:B1678,B1677-in_dpd_lag)*d_cured</f>
        <v/>
      </c>
      <c r="Y1677" s="40">
        <f>SUMIFS(W1661:W1678,B1661:B1678,B1677-in_rec_lag)*d_recd</f>
        <v/>
      </c>
      <c r="Z1677" s="40">
        <f>IF(AND(B1677&gt;=in_marketplace_from,B1677&lt;in_marketplace_from+in_card_months),in_card_share/in_card_months*F1677*I1677,IF(AND(B1677&gt;=in_marketplace_from+in_card_months,B1677&lt;in_marketplace_from+2*in_card_months),in_card_share*d_card_rem/in_card_months*F1677*MIN(in_takeup_cap,(1+in_takeup_growth)^(D1677-1))*MIN(in_takeup_cap,(1+in_approval_growth)^(D1677-1)),0))</f>
        <v/>
      </c>
      <c r="AA1677" s="14">
        <f>V1677*in_fee*(1-in_taken_back)</f>
        <v/>
      </c>
      <c r="AB1677" s="14">
        <f>SUMIFS(W1661:W1678,B1661:B1678,B1677-in_dpd_lag)*d_dpd</f>
        <v/>
      </c>
      <c r="AC1677" s="14">
        <f>SUMIFS(W1661:W1678,B1661:B1678,B1677-in_rec_lag)*d_rec</f>
        <v/>
      </c>
      <c r="AD1677" s="14">
        <f>Z1677*in_card_fee</f>
        <v/>
      </c>
      <c r="AE1677" s="40">
        <f>AE1676*(1-IF(B1676&gt;=in_marketplace_from,d_hz_hlth_small*G1676,0))</f>
        <v/>
      </c>
      <c r="AF1677" s="46">
        <f>AE1677*IF(B1677&gt;=in_marketplace_from,d_hz_hlth_small*G1677,0)</f>
        <v/>
      </c>
      <c r="AG1677" s="14">
        <f>F1677*AF1677*in_hlth_small_ticket*in_hlth_small_comm*in_ins_partner_share+F1677*in_hlth_small_ticket*in_hlth_small_renew_comm*in_ins_partner_share*(in_hlth_small_renew^1*SUMIFS(AF1661:AF1678,B1661:B1678,B1677-12)+in_hlth_small_renew^2*SUMIFS(AF1661:AF1678,B1661:B1678,B1677-24)+in_hlth_small_renew^3*SUMIFS(AF1661:AF1678,B1661:B1678,B1677-36)+in_hlth_small_renew^4*SUMIFS(AF1661:AF1678,B1661:B1678,B1677-48))</f>
        <v/>
      </c>
      <c r="AH1677" s="40">
        <f>AH1676*(1-IF(B1676&gt;=in_marketplace_from,d_hz_hlth_family*G1676,0))</f>
        <v/>
      </c>
      <c r="AI1677" s="46">
        <f>AH1677*IF(B1677&gt;=in_marketplace_from,d_hz_hlth_family*G1677,0)</f>
        <v/>
      </c>
      <c r="AJ1677" s="14">
        <f>F1677*AI1677*in_hlth_family_ticket*in_hlth_family_comm*in_ins_partner_share+F1677*in_hlth_family_ticket*in_hlth_family_renew_comm*in_ins_partner_share*(in_hlth_family_renew^1*SUMIFS(AI1661:AI1678,B1661:B1678,B1677-12)+in_hlth_family_renew^2*SUMIFS(AI1661:AI1678,B1661:B1678,B1677-24)+in_hlth_family_renew^3*SUMIFS(AI1661:AI1678,B1661:B1678,B1677-36)+in_hlth_family_renew^4*SUMIFS(AI1661:AI1678,B1661:B1678,B1677-48))</f>
        <v/>
      </c>
      <c r="AK1677" s="40">
        <f>AK1676*(1-IF(B1676&gt;=in_marketplace_from,d_hz_life_term*G1676,0))</f>
        <v/>
      </c>
      <c r="AL1677" s="46">
        <f>AK1677*IF(B1677&gt;=in_marketplace_from,d_hz_life_term*G1677,0)</f>
        <v/>
      </c>
      <c r="AM1677" s="14">
        <f>F1677*AL1677*in_life_term_ticket*in_life_term_comm*in_ins_partner_share+F1677*in_life_term_ticket*in_life_term_renew_comm*in_ins_partner_share*(in_life_term_renew^1*SUMIFS(AL1661:AL1678,B1661:B1678,B1677-12)+in_life_term_renew^2*SUMIFS(AL1661:AL1678,B1661:B1678,B1677-24)+in_life_term_renew^3*SUMIFS(AL1661:AL1678,B1661:B1678,B1677-36)+in_life_term_renew^4*SUMIFS(AL1661:AL1678,B1661:B1678,B1677-48))</f>
        <v/>
      </c>
      <c r="AN1677" s="40">
        <f>AN1676*(1-IF(B1676&gt;=in_marketplace_from,d_hz_accident*G1676,0))</f>
        <v/>
      </c>
      <c r="AO1677" s="46">
        <f>AN1677*IF(B1677&gt;=in_marketplace_from,d_hz_accident*G1677,0)</f>
        <v/>
      </c>
      <c r="AP1677" s="14">
        <f>F1677*AO1677*in_accident_ticket*in_accident_comm*in_ins_partner_share+F1677*in_accident_ticket*in_accident_renew_comm*in_ins_partner_share*(in_accident_renew^1*SUMIFS(AO1661:AO1678,B1661:B1678,B1677-12)+in_accident_renew^2*SUMIFS(AO1661:AO1678,B1661:B1678,B1677-24)+in_accident_renew^3*SUMIFS(AO1661:AO1678,B1661:B1678,B1677-36)+in_accident_renew^4*SUMIFS(AO1661:AO1678,B1661:B1678,B1677-48))</f>
        <v/>
      </c>
      <c r="AQ1677" s="40">
        <f>AQ1676*(1-IF(B1676&gt;=in_marketplace_from,d_hz_two_wheeler*G1676,0))</f>
        <v/>
      </c>
      <c r="AR1677" s="46">
        <f>AQ1677*IF(B1677&gt;=in_marketplace_from,d_hz_two_wheeler*G1677,0)</f>
        <v/>
      </c>
      <c r="AS1677" s="14">
        <f>F1677*AR1677*in_two_wheeler_ticket*in_two_wheeler_comm*in_ins_partner_share+F1677*in_two_wheeler_ticket*in_two_wheeler_comm*in_ins_partner_share*(in_two_wheeler_renew^1*SUMIFS(AR1661:AR1678,B1661:B1678,B1677-12)+in_two_wheeler_renew^2*SUMIFS(AR1661:AR1678,B1661:B1678,B1677-24)+in_two_wheeler_renew^3*SUMIFS(AR1661:AR1678,B1661:B1678,B1677-36)+in_two_wheeler_renew^4*SUMIFS(AR1661:AR1678,B1661:B1678,B1677-48))</f>
        <v/>
      </c>
      <c r="AT1677" s="40">
        <f>AT1676*(1-IF(B1676&gt;=in_marketplace_from,d_hz_device*G1676,0))</f>
        <v/>
      </c>
      <c r="AU1677" s="14">
        <f>F1677*AT1677*IF(B1677&gt;=in_marketplace_from,d_hz_device*G1677,0)*in_device_ticket*in_device_comm*in_ins_partner_share</f>
        <v/>
      </c>
      <c r="AV1677" s="40">
        <f>AV1676*(1-IF(B1676&gt;=in_marketplace_from,d_hz_shop*G1676,0))</f>
        <v/>
      </c>
      <c r="AW1677" s="46">
        <f>AV1677*IF(B1677&gt;=in_marketplace_from,d_hz_shop*G1677,0)</f>
        <v/>
      </c>
      <c r="AX1677" s="14">
        <f>F1677*AW1677*in_shop_ticket*in_shop_comm*in_ins_partner_share+F1677*in_shop_ticket*in_shop_renew_comm*in_ins_partner_share*(in_shop_renew^1*SUMIFS(AW1661:AW1678,B1661:B1678,B1677-12)+in_shop_renew^2*SUMIFS(AW1661:AW1678,B1661:B1678,B1677-24)+in_shop_renew^3*SUMIFS(AW1661:AW1678,B1661:B1678,B1677-36)+in_shop_renew^4*SUMIFS(AW1661:AW1678,B1661:B1678,B1677-48))</f>
        <v/>
      </c>
      <c r="AY1677" s="40">
        <f>AY1676*(1-IF(B1676&gt;=in_marketplace_from,d_hz_sip*G1676,0))</f>
        <v/>
      </c>
      <c r="AZ1677" s="40">
        <f>AZ1676*d_rho_sip+AY1677*IF(B1677&gt;=in_marketplace_from,d_hz_sip*G1677,0)</f>
        <v/>
      </c>
      <c r="BA1677" s="40">
        <f>d_rho_sip*(BA1676+AZ1676)</f>
        <v/>
      </c>
      <c r="BB1677" s="14">
        <f>F1677*in_sip_ticket*(BA1677+0.5*AZ1677)*in_sip_comm/12</f>
        <v/>
      </c>
      <c r="BC1677" s="40">
        <f>BC1676*(1-IF(B1676&gt;=in_marketplace_from,d_hz_choti*G1676,0))</f>
        <v/>
      </c>
      <c r="BD1677" s="46">
        <f>BC1677*IF(B1677&gt;=in_marketplace_from,d_hz_choti*G1677,0)</f>
        <v/>
      </c>
      <c r="BE1677" s="14">
        <f>F1677*SUMIFS(BD1661:BD1678,B1661:B1678,B1677-in_choti_months)*in_choti_renew*in_choti_ticket</f>
        <v/>
      </c>
      <c r="BF1677" s="40">
        <f>BF1676*(1-IF(B1676&gt;=in_marketplace_from,d_hz_nps*G1676,0))</f>
        <v/>
      </c>
      <c r="BG1677" s="14">
        <f>F1677*BF1677*IF(B1677&gt;=in_marketplace_from,d_hz_nps*G1677,0)*in_nps_ticket*in_nps_comm</f>
        <v/>
      </c>
      <c r="BH1677" s="40">
        <f>BH1676*(1-IF(B1676&gt;=in_marketplace_from,d_hz_gold*G1676,0))</f>
        <v/>
      </c>
      <c r="BI1677" s="40">
        <f>BI1676*d_rho_gold+BH1677*IF(B1677&gt;=in_marketplace_from,d_hz_gold*G1677,0)</f>
        <v/>
      </c>
      <c r="BJ1677" s="14">
        <f>F1677*BI1677*in_gold_ticket*in_gold_comm</f>
        <v/>
      </c>
      <c r="BK1677" s="40">
        <f>BK1676*(1-IF(B1676&gt;=in_marketplace_from,d_hz_fd*G1676,0))</f>
        <v/>
      </c>
      <c r="BL1677" s="14">
        <f>F1677*BK1677*IF(B1677&gt;=in_marketplace_from,d_hz_fd*G1677,0)*in_fd_ticket*in_fd_comm</f>
        <v/>
      </c>
      <c r="BM1677" s="40">
        <f>BM1676*(1-IF(B1676&gt;=in_marketplace_from,d_hz_recharge*G1676,0))</f>
        <v/>
      </c>
      <c r="BN1677" s="40">
        <f>BN1676*d_rho_recharge+BM1677*IF(B1677&gt;=in_marketplace_from,d_hz_recharge*G1677,0)</f>
        <v/>
      </c>
      <c r="BO1677" s="14">
        <f>F1677*BN1677*in_recharge_ticket*in_recharge_comm/12</f>
        <v/>
      </c>
      <c r="BP1677" s="40">
        <f>BP1676*(1-IF(B1676&gt;=in_marketplace_from,d_hz_bills*G1676,0))</f>
        <v/>
      </c>
      <c r="BQ1677" s="40">
        <f>BQ1676*d_rho_bills+BP1677*IF(B1677&gt;=in_marketplace_from,d_hz_bills*G1677,0)</f>
        <v/>
      </c>
      <c r="BR1677" s="14">
        <f>F1677*BQ1677*in_bills_ticket*in_bills_comm/12</f>
        <v/>
      </c>
      <c r="BS1677" s="40">
        <f>BS1676*(1-IF(B1676&gt;=in_marketplace_from,d_hz_loan_gold*G1676,0))</f>
        <v/>
      </c>
      <c r="BT1677" s="14">
        <f>F1677*BS1677*IF(B1677&gt;=in_marketplace_from,d_hz_loan_gold*G1677,0)*in_loan_gold_ticket*in_loan_gold_comm</f>
        <v/>
      </c>
      <c r="BU1677" s="40">
        <f>BU1676*(1-IF(B1676&gt;=in_marketplace_from,d_hz_loan_cd*G1676,0))</f>
        <v/>
      </c>
      <c r="BV1677" s="14">
        <f>F1677*BU1677*IF(B1677&gt;=in_marketplace_from,d_hz_loan_cd*G1677,0)*in_loan_cd_ticket*in_loan_cd_comm</f>
        <v/>
      </c>
      <c r="BW1677" s="40">
        <f>BW1676*(1-IF(B1676&gt;=in_marketplace_from,d_hz_loan_vehicle*G1676,0))</f>
        <v/>
      </c>
      <c r="BX1677" s="14">
        <f>F1677*BW1677*IF(B1677&gt;=in_marketplace_from,d_hz_loan_vehicle*G1677,0)*in_loan_vehicle_ticket*in_loan_vehicle_comm</f>
        <v/>
      </c>
      <c r="BY1677" s="40">
        <f>BY1676*(1-IF(B1676&gt;=in_marketplace_from,d_hz_loan_home*G1676,0)*BZ1676)</f>
        <v/>
      </c>
      <c r="BZ1677" s="11">
        <f>MIN(in_approval_cap,in_loan_home_approval*INDEX('Age profile'!$O$2:$O$61,B1677)*(1+in_approval_growth)^(D1677-1))</f>
        <v/>
      </c>
      <c r="CA1677" s="14">
        <f>F1677*BY1677*IF(B1677&gt;=in_marketplace_from,d_hz_loan_home*G1677,0)*BZ1677*in_loan_home_ticket*in_loan_home_comm</f>
        <v/>
      </c>
      <c r="CB1677" s="40">
        <f>CB1676*(1-IF(B1676&gt;=in_marketplace_from,d_hz_loan_lap*G1676,0)*CC1676)</f>
        <v/>
      </c>
      <c r="CC1677" s="11">
        <f>MIN(in_approval_cap,in_loan_lap_approval*INDEX('Age profile'!$O$2:$O$61,B1677)*(1+in_approval_growth)^(D1677-1))</f>
        <v/>
      </c>
      <c r="CD1677" s="14">
        <f>F1677*CB1677*IF(B1677&gt;=in_marketplace_from,d_hz_loan_lap*G1677,0)*CC1677*in_loan_lap_ticket*in_loan_lap_comm</f>
        <v/>
      </c>
      <c r="CE1677" s="14">
        <f>AA1677+AB1677+AC1677+AD1677+AG1677+AJ1677+AM1677+AP1677+AS1677+AU1677+AX1677+BB1677+BE1677+BG1677+BJ1677+BL1677+BO1677+BR1677+BT1677+BV1677+BX1677+CA1677+CD1677</f>
        <v/>
      </c>
    </row>
    <row r="1678">
      <c r="A1678" s="39" t="n">
        <v>43</v>
      </c>
      <c r="B1678" s="39" t="n">
        <v>18</v>
      </c>
      <c r="C1678" s="39">
        <f>A1678+B1678-1</f>
        <v/>
      </c>
      <c r="D1678" s="39">
        <f>INT((C1678-1)/12)+1</f>
        <v/>
      </c>
      <c r="E1678" s="44">
        <f>INDEX(Monthly!$B$2:$B$61,A1678)</f>
        <v/>
      </c>
      <c r="F1678" s="44">
        <f>E1678*INDEX('Age profile'!$B$2:$B$61,B1678)</f>
        <v/>
      </c>
      <c r="G1678" s="45">
        <f>MIN(in_takeup_cap,INDEX('Age profile'!$N$2:$N$61,B1678)*(1+in_takeup_growth)^(D1678-1))</f>
        <v/>
      </c>
      <c r="H1678" s="11">
        <f>MIN(in_approval_cap,in_approved_first*INDEX('Age profile'!$O$2:$O$61,B1678)*(1+in_approval_growth)^(D1678-1))</f>
        <v/>
      </c>
      <c r="I1678" s="45">
        <f>G1678*MIN(in_takeup_cap,INDEX('Age profile'!$O$2:$O$61,B1678)*(1+in_approval_growth)^(D1678-1))</f>
        <v/>
      </c>
      <c r="J1678" s="40">
        <f>(J1677-L1677)*F1678/F1677</f>
        <v/>
      </c>
      <c r="K1678" s="40">
        <f>(K1677-M1677)*F1678/F1677+SUMIFS(O1661:O1677,B1661:B1677,B1678-1-d_T)*F1678</f>
        <v/>
      </c>
      <c r="L1678" s="40">
        <f>IF(B1678&gt;=in_marketplace_from,J1678*d_hz*G1678*in_eligible*H1678,0)</f>
        <v/>
      </c>
      <c r="M1678" s="40">
        <f>IF(B1678&gt;=in_marketplace_from,K1678*d_hz*G1678*in_eligible*in_approved_repeat,0)</f>
        <v/>
      </c>
      <c r="N1678" s="40">
        <f>L1678+M1678</f>
        <v/>
      </c>
      <c r="O1678" s="46">
        <f>N1678/F1678</f>
        <v/>
      </c>
      <c r="P1678" s="40">
        <f>F1678-J1678-K1678</f>
        <v/>
      </c>
      <c r="Q1678" s="40">
        <f>IF(B1678&gt;=in_marketplace_from,(J1678+K1678)*d_hz*G1678,0)</f>
        <v/>
      </c>
      <c r="R1678" s="40">
        <f>SUMIFS(N1661:N1678,B1661:B1678,"&gt;="&amp;(B1678-d_T),B1661:B1678,"&lt;="&amp;(B1678-1))</f>
        <v/>
      </c>
      <c r="S1678" s="46">
        <f>(1-d_u)*S1677+IF(d_T&gt;in_topup_lag,SUMIFS(O1661:O1678,B1661:B1678,B1678-in_topup_lag)-d_udrop*SUMIFS(O1661:O1678,B1661:B1678,B1678-d_T),0)</f>
        <v/>
      </c>
      <c r="T1678" s="40">
        <f>F1678*d_u*S1678</f>
        <v/>
      </c>
      <c r="U1678" s="9">
        <f>L1678*in_ticket+M1678*d_rep_ticket</f>
        <v/>
      </c>
      <c r="V1678" s="9">
        <f>U1678+T1678*d_topup_amt</f>
        <v/>
      </c>
      <c r="W1678" s="40">
        <f>N1678+T1678*d_topup_ratio</f>
        <v/>
      </c>
      <c r="X1678" s="40">
        <f>SUMIFS(W1661:W1678,B1661:B1678,B1678-in_dpd_lag)*d_cured</f>
        <v/>
      </c>
      <c r="Y1678" s="40">
        <f>SUMIFS(W1661:W1678,B1661:B1678,B1678-in_rec_lag)*d_recd</f>
        <v/>
      </c>
      <c r="Z1678" s="40">
        <f>IF(AND(B1678&gt;=in_marketplace_from,B1678&lt;in_marketplace_from+in_card_months),in_card_share/in_card_months*F1678*I1678,IF(AND(B1678&gt;=in_marketplace_from+in_card_months,B1678&lt;in_marketplace_from+2*in_card_months),in_card_share*d_card_rem/in_card_months*F1678*MIN(in_takeup_cap,(1+in_takeup_growth)^(D1678-1))*MIN(in_takeup_cap,(1+in_approval_growth)^(D1678-1)),0))</f>
        <v/>
      </c>
      <c r="AA1678" s="14">
        <f>V1678*in_fee*(1-in_taken_back)</f>
        <v/>
      </c>
      <c r="AB1678" s="14">
        <f>SUMIFS(W1661:W1678,B1661:B1678,B1678-in_dpd_lag)*d_dpd</f>
        <v/>
      </c>
      <c r="AC1678" s="14">
        <f>SUMIFS(W1661:W1678,B1661:B1678,B1678-in_rec_lag)*d_rec</f>
        <v/>
      </c>
      <c r="AD1678" s="14">
        <f>Z1678*in_card_fee</f>
        <v/>
      </c>
      <c r="AE1678" s="40">
        <f>AE1677*(1-IF(B1677&gt;=in_marketplace_from,d_hz_hlth_small*G1677,0))</f>
        <v/>
      </c>
      <c r="AF1678" s="46">
        <f>AE1678*IF(B1678&gt;=in_marketplace_from,d_hz_hlth_small*G1678,0)</f>
        <v/>
      </c>
      <c r="AG1678" s="14">
        <f>F1678*AF1678*in_hlth_small_ticket*in_hlth_small_comm*in_ins_partner_share+F1678*in_hlth_small_ticket*in_hlth_small_renew_comm*in_ins_partner_share*(in_hlth_small_renew^1*SUMIFS(AF1661:AF1678,B1661:B1678,B1678-12)+in_hlth_small_renew^2*SUMIFS(AF1661:AF1678,B1661:B1678,B1678-24)+in_hlth_small_renew^3*SUMIFS(AF1661:AF1678,B1661:B1678,B1678-36)+in_hlth_small_renew^4*SUMIFS(AF1661:AF1678,B1661:B1678,B1678-48))</f>
        <v/>
      </c>
      <c r="AH1678" s="40">
        <f>AH1677*(1-IF(B1677&gt;=in_marketplace_from,d_hz_hlth_family*G1677,0))</f>
        <v/>
      </c>
      <c r="AI1678" s="46">
        <f>AH1678*IF(B1678&gt;=in_marketplace_from,d_hz_hlth_family*G1678,0)</f>
        <v/>
      </c>
      <c r="AJ1678" s="14">
        <f>F1678*AI1678*in_hlth_family_ticket*in_hlth_family_comm*in_ins_partner_share+F1678*in_hlth_family_ticket*in_hlth_family_renew_comm*in_ins_partner_share*(in_hlth_family_renew^1*SUMIFS(AI1661:AI1678,B1661:B1678,B1678-12)+in_hlth_family_renew^2*SUMIFS(AI1661:AI1678,B1661:B1678,B1678-24)+in_hlth_family_renew^3*SUMIFS(AI1661:AI1678,B1661:B1678,B1678-36)+in_hlth_family_renew^4*SUMIFS(AI1661:AI1678,B1661:B1678,B1678-48))</f>
        <v/>
      </c>
      <c r="AK1678" s="40">
        <f>AK1677*(1-IF(B1677&gt;=in_marketplace_from,d_hz_life_term*G1677,0))</f>
        <v/>
      </c>
      <c r="AL1678" s="46">
        <f>AK1678*IF(B1678&gt;=in_marketplace_from,d_hz_life_term*G1678,0)</f>
        <v/>
      </c>
      <c r="AM1678" s="14">
        <f>F1678*AL1678*in_life_term_ticket*in_life_term_comm*in_ins_partner_share+F1678*in_life_term_ticket*in_life_term_renew_comm*in_ins_partner_share*(in_life_term_renew^1*SUMIFS(AL1661:AL1678,B1661:B1678,B1678-12)+in_life_term_renew^2*SUMIFS(AL1661:AL1678,B1661:B1678,B1678-24)+in_life_term_renew^3*SUMIFS(AL1661:AL1678,B1661:B1678,B1678-36)+in_life_term_renew^4*SUMIFS(AL1661:AL1678,B1661:B1678,B1678-48))</f>
        <v/>
      </c>
      <c r="AN1678" s="40">
        <f>AN1677*(1-IF(B1677&gt;=in_marketplace_from,d_hz_accident*G1677,0))</f>
        <v/>
      </c>
      <c r="AO1678" s="46">
        <f>AN1678*IF(B1678&gt;=in_marketplace_from,d_hz_accident*G1678,0)</f>
        <v/>
      </c>
      <c r="AP1678" s="14">
        <f>F1678*AO1678*in_accident_ticket*in_accident_comm*in_ins_partner_share+F1678*in_accident_ticket*in_accident_renew_comm*in_ins_partner_share*(in_accident_renew^1*SUMIFS(AO1661:AO1678,B1661:B1678,B1678-12)+in_accident_renew^2*SUMIFS(AO1661:AO1678,B1661:B1678,B1678-24)+in_accident_renew^3*SUMIFS(AO1661:AO1678,B1661:B1678,B1678-36)+in_accident_renew^4*SUMIFS(AO1661:AO1678,B1661:B1678,B1678-48))</f>
        <v/>
      </c>
      <c r="AQ1678" s="40">
        <f>AQ1677*(1-IF(B1677&gt;=in_marketplace_from,d_hz_two_wheeler*G1677,0))</f>
        <v/>
      </c>
      <c r="AR1678" s="46">
        <f>AQ1678*IF(B1678&gt;=in_marketplace_from,d_hz_two_wheeler*G1678,0)</f>
        <v/>
      </c>
      <c r="AS1678" s="14">
        <f>F1678*AR1678*in_two_wheeler_ticket*in_two_wheeler_comm*in_ins_partner_share+F1678*in_two_wheeler_ticket*in_two_wheeler_comm*in_ins_partner_share*(in_two_wheeler_renew^1*SUMIFS(AR1661:AR1678,B1661:B1678,B1678-12)+in_two_wheeler_renew^2*SUMIFS(AR1661:AR1678,B1661:B1678,B1678-24)+in_two_wheeler_renew^3*SUMIFS(AR1661:AR1678,B1661:B1678,B1678-36)+in_two_wheeler_renew^4*SUMIFS(AR1661:AR1678,B1661:B1678,B1678-48))</f>
        <v/>
      </c>
      <c r="AT1678" s="40">
        <f>AT1677*(1-IF(B1677&gt;=in_marketplace_from,d_hz_device*G1677,0))</f>
        <v/>
      </c>
      <c r="AU1678" s="14">
        <f>F1678*AT1678*IF(B1678&gt;=in_marketplace_from,d_hz_device*G1678,0)*in_device_ticket*in_device_comm*in_ins_partner_share</f>
        <v/>
      </c>
      <c r="AV1678" s="40">
        <f>AV1677*(1-IF(B1677&gt;=in_marketplace_from,d_hz_shop*G1677,0))</f>
        <v/>
      </c>
      <c r="AW1678" s="46">
        <f>AV1678*IF(B1678&gt;=in_marketplace_from,d_hz_shop*G1678,0)</f>
        <v/>
      </c>
      <c r="AX1678" s="14">
        <f>F1678*AW1678*in_shop_ticket*in_shop_comm*in_ins_partner_share+F1678*in_shop_ticket*in_shop_renew_comm*in_ins_partner_share*(in_shop_renew^1*SUMIFS(AW1661:AW1678,B1661:B1678,B1678-12)+in_shop_renew^2*SUMIFS(AW1661:AW1678,B1661:B1678,B1678-24)+in_shop_renew^3*SUMIFS(AW1661:AW1678,B1661:B1678,B1678-36)+in_shop_renew^4*SUMIFS(AW1661:AW1678,B1661:B1678,B1678-48))</f>
        <v/>
      </c>
      <c r="AY1678" s="40">
        <f>AY1677*(1-IF(B1677&gt;=in_marketplace_from,d_hz_sip*G1677,0))</f>
        <v/>
      </c>
      <c r="AZ1678" s="40">
        <f>AZ1677*d_rho_sip+AY1678*IF(B1678&gt;=in_marketplace_from,d_hz_sip*G1678,0)</f>
        <v/>
      </c>
      <c r="BA1678" s="40">
        <f>d_rho_sip*(BA1677+AZ1677)</f>
        <v/>
      </c>
      <c r="BB1678" s="14">
        <f>F1678*in_sip_ticket*(BA1678+0.5*AZ1678)*in_sip_comm/12</f>
        <v/>
      </c>
      <c r="BC1678" s="40">
        <f>BC1677*(1-IF(B1677&gt;=in_marketplace_from,d_hz_choti*G1677,0))</f>
        <v/>
      </c>
      <c r="BD1678" s="46">
        <f>BC1678*IF(B1678&gt;=in_marketplace_from,d_hz_choti*G1678,0)</f>
        <v/>
      </c>
      <c r="BE1678" s="14">
        <f>F1678*SUMIFS(BD1661:BD1678,B1661:B1678,B1678-in_choti_months)*in_choti_renew*in_choti_ticket</f>
        <v/>
      </c>
      <c r="BF1678" s="40">
        <f>BF1677*(1-IF(B1677&gt;=in_marketplace_from,d_hz_nps*G1677,0))</f>
        <v/>
      </c>
      <c r="BG1678" s="14">
        <f>F1678*BF1678*IF(B1678&gt;=in_marketplace_from,d_hz_nps*G1678,0)*in_nps_ticket*in_nps_comm</f>
        <v/>
      </c>
      <c r="BH1678" s="40">
        <f>BH1677*(1-IF(B1677&gt;=in_marketplace_from,d_hz_gold*G1677,0))</f>
        <v/>
      </c>
      <c r="BI1678" s="40">
        <f>BI1677*d_rho_gold+BH1678*IF(B1678&gt;=in_marketplace_from,d_hz_gold*G1678,0)</f>
        <v/>
      </c>
      <c r="BJ1678" s="14">
        <f>F1678*BI1678*in_gold_ticket*in_gold_comm</f>
        <v/>
      </c>
      <c r="BK1678" s="40">
        <f>BK1677*(1-IF(B1677&gt;=in_marketplace_from,d_hz_fd*G1677,0))</f>
        <v/>
      </c>
      <c r="BL1678" s="14">
        <f>F1678*BK1678*IF(B1678&gt;=in_marketplace_from,d_hz_fd*G1678,0)*in_fd_ticket*in_fd_comm</f>
        <v/>
      </c>
      <c r="BM1678" s="40">
        <f>BM1677*(1-IF(B1677&gt;=in_marketplace_from,d_hz_recharge*G1677,0))</f>
        <v/>
      </c>
      <c r="BN1678" s="40">
        <f>BN1677*d_rho_recharge+BM1678*IF(B1678&gt;=in_marketplace_from,d_hz_recharge*G1678,0)</f>
        <v/>
      </c>
      <c r="BO1678" s="14">
        <f>F1678*BN1678*in_recharge_ticket*in_recharge_comm/12</f>
        <v/>
      </c>
      <c r="BP1678" s="40">
        <f>BP1677*(1-IF(B1677&gt;=in_marketplace_from,d_hz_bills*G1677,0))</f>
        <v/>
      </c>
      <c r="BQ1678" s="40">
        <f>BQ1677*d_rho_bills+BP1678*IF(B1678&gt;=in_marketplace_from,d_hz_bills*G1678,0)</f>
        <v/>
      </c>
      <c r="BR1678" s="14">
        <f>F1678*BQ1678*in_bills_ticket*in_bills_comm/12</f>
        <v/>
      </c>
      <c r="BS1678" s="40">
        <f>BS1677*(1-IF(B1677&gt;=in_marketplace_from,d_hz_loan_gold*G1677,0))</f>
        <v/>
      </c>
      <c r="BT1678" s="14">
        <f>F1678*BS1678*IF(B1678&gt;=in_marketplace_from,d_hz_loan_gold*G1678,0)*in_loan_gold_ticket*in_loan_gold_comm</f>
        <v/>
      </c>
      <c r="BU1678" s="40">
        <f>BU1677*(1-IF(B1677&gt;=in_marketplace_from,d_hz_loan_cd*G1677,0))</f>
        <v/>
      </c>
      <c r="BV1678" s="14">
        <f>F1678*BU1678*IF(B1678&gt;=in_marketplace_from,d_hz_loan_cd*G1678,0)*in_loan_cd_ticket*in_loan_cd_comm</f>
        <v/>
      </c>
      <c r="BW1678" s="40">
        <f>BW1677*(1-IF(B1677&gt;=in_marketplace_from,d_hz_loan_vehicle*G1677,0))</f>
        <v/>
      </c>
      <c r="BX1678" s="14">
        <f>F1678*BW1678*IF(B1678&gt;=in_marketplace_from,d_hz_loan_vehicle*G1678,0)*in_loan_vehicle_ticket*in_loan_vehicle_comm</f>
        <v/>
      </c>
      <c r="BY1678" s="40">
        <f>BY1677*(1-IF(B1677&gt;=in_marketplace_from,d_hz_loan_home*G1677,0)*BZ1677)</f>
        <v/>
      </c>
      <c r="BZ1678" s="11">
        <f>MIN(in_approval_cap,in_loan_home_approval*INDEX('Age profile'!$O$2:$O$61,B1678)*(1+in_approval_growth)^(D1678-1))</f>
        <v/>
      </c>
      <c r="CA1678" s="14">
        <f>F1678*BY1678*IF(B1678&gt;=in_marketplace_from,d_hz_loan_home*G1678,0)*BZ1678*in_loan_home_ticket*in_loan_home_comm</f>
        <v/>
      </c>
      <c r="CB1678" s="40">
        <f>CB1677*(1-IF(B1677&gt;=in_marketplace_from,d_hz_loan_lap*G1677,0)*CC1677)</f>
        <v/>
      </c>
      <c r="CC1678" s="11">
        <f>MIN(in_approval_cap,in_loan_lap_approval*INDEX('Age profile'!$O$2:$O$61,B1678)*(1+in_approval_growth)^(D1678-1))</f>
        <v/>
      </c>
      <c r="CD1678" s="14">
        <f>F1678*CB1678*IF(B1678&gt;=in_marketplace_from,d_hz_loan_lap*G1678,0)*CC1678*in_loan_lap_ticket*in_loan_lap_comm</f>
        <v/>
      </c>
      <c r="CE1678" s="14">
        <f>AA1678+AB1678+AC1678+AD1678+AG1678+AJ1678+AM1678+AP1678+AS1678+AU1678+AX1678+BB1678+BE1678+BG1678+BJ1678+BL1678+BO1678+BR1678+BT1678+BV1678+BX1678+CA1678+CD1678</f>
        <v/>
      </c>
    </row>
    <row r="1679">
      <c r="A1679" s="39" t="n">
        <v>44</v>
      </c>
      <c r="B1679" s="39" t="n">
        <v>1</v>
      </c>
      <c r="C1679" s="39">
        <f>A1679+B1679-1</f>
        <v/>
      </c>
      <c r="D1679" s="39">
        <f>INT((C1679-1)/12)+1</f>
        <v/>
      </c>
      <c r="E1679" s="44">
        <f>INDEX(Monthly!$B$2:$B$61,A1679)</f>
        <v/>
      </c>
      <c r="F1679" s="44">
        <f>E1679*INDEX('Age profile'!$B$2:$B$61,B1679)</f>
        <v/>
      </c>
      <c r="G1679" s="45">
        <f>MIN(in_takeup_cap,INDEX('Age profile'!$N$2:$N$61,B1679)*(1+in_takeup_growth)^(D1679-1))</f>
        <v/>
      </c>
      <c r="H1679" s="11">
        <f>MIN(in_approval_cap,in_approved_first*INDEX('Age profile'!$O$2:$O$61,B1679)*(1+in_approval_growth)^(D1679-1))</f>
        <v/>
      </c>
      <c r="I1679" s="45">
        <f>G1679*MIN(in_takeup_cap,INDEX('Age profile'!$O$2:$O$61,B1679)*(1+in_approval_growth)^(D1679-1))</f>
        <v/>
      </c>
      <c r="J1679" s="40">
        <f>E1679</f>
        <v/>
      </c>
      <c r="K1679" s="40" t="n">
        <v>0</v>
      </c>
      <c r="L1679" s="40">
        <f>IF(B1679&gt;=in_marketplace_from,J1679*d_hz*G1679*in_eligible*H1679,0)</f>
        <v/>
      </c>
      <c r="M1679" s="40">
        <f>IF(B1679&gt;=in_marketplace_from,K1679*d_hz*G1679*in_eligible*in_approved_repeat,0)</f>
        <v/>
      </c>
      <c r="N1679" s="40">
        <f>L1679+M1679</f>
        <v/>
      </c>
      <c r="O1679" s="46">
        <f>N1679/F1679</f>
        <v/>
      </c>
      <c r="P1679" s="40">
        <f>F1679-J1679-K1679</f>
        <v/>
      </c>
      <c r="Q1679" s="40">
        <f>IF(B1679&gt;=in_marketplace_from,(J1679+K1679)*d_hz*G1679,0)</f>
        <v/>
      </c>
      <c r="R1679" s="40">
        <f>SUMIFS(N1679:N1695,B1679:B1695,"&gt;="&amp;(B1679-d_T),B1679:B1695,"&lt;="&amp;(B1679-1))</f>
        <v/>
      </c>
      <c r="S1679" s="46" t="n">
        <v>0</v>
      </c>
      <c r="T1679" s="40">
        <f>F1679*d_u*S1679</f>
        <v/>
      </c>
      <c r="U1679" s="9">
        <f>L1679*in_ticket+M1679*d_rep_ticket</f>
        <v/>
      </c>
      <c r="V1679" s="9">
        <f>U1679+T1679*d_topup_amt</f>
        <v/>
      </c>
      <c r="W1679" s="40">
        <f>N1679+T1679*d_topup_ratio</f>
        <v/>
      </c>
      <c r="X1679" s="40">
        <f>SUMIFS(W1679:W1695,B1679:B1695,B1679-in_dpd_lag)*d_cured</f>
        <v/>
      </c>
      <c r="Y1679" s="40">
        <f>SUMIFS(W1679:W1695,B1679:B1695,B1679-in_rec_lag)*d_recd</f>
        <v/>
      </c>
      <c r="Z1679" s="40">
        <f>IF(AND(B1679&gt;=in_marketplace_from,B1679&lt;in_marketplace_from+in_card_months),in_card_share/in_card_months*F1679*I1679,IF(AND(B1679&gt;=in_marketplace_from+in_card_months,B1679&lt;in_marketplace_from+2*in_card_months),in_card_share*d_card_rem/in_card_months*F1679*MIN(in_takeup_cap,(1+in_takeup_growth)^(D1679-1))*MIN(in_takeup_cap,(1+in_approval_growth)^(D1679-1)),0))</f>
        <v/>
      </c>
      <c r="AA1679" s="14">
        <f>V1679*in_fee*(1-in_taken_back)</f>
        <v/>
      </c>
      <c r="AB1679" s="14">
        <f>SUMIFS(W1679:W1695,B1679:B1695,B1679-in_dpd_lag)*d_dpd</f>
        <v/>
      </c>
      <c r="AC1679" s="14">
        <f>SUMIFS(W1679:W1695,B1679:B1695,B1679-in_rec_lag)*d_rec</f>
        <v/>
      </c>
      <c r="AD1679" s="14">
        <f>Z1679*in_card_fee</f>
        <v/>
      </c>
      <c r="AE1679" s="40" t="n">
        <v>1</v>
      </c>
      <c r="AF1679" s="46">
        <f>AE1679*IF(B1679&gt;=in_marketplace_from,d_hz_hlth_small*G1679,0)</f>
        <v/>
      </c>
      <c r="AG1679" s="14">
        <f>F1679*AF1679*in_hlth_small_ticket*in_hlth_small_comm*in_ins_partner_share+F1679*in_hlth_small_ticket*in_hlth_small_renew_comm*in_ins_partner_share*(in_hlth_small_renew^1*SUMIFS(AF1679:AF1695,B1679:B1695,B1679-12)+in_hlth_small_renew^2*SUMIFS(AF1679:AF1695,B1679:B1695,B1679-24)+in_hlth_small_renew^3*SUMIFS(AF1679:AF1695,B1679:B1695,B1679-36)+in_hlth_small_renew^4*SUMIFS(AF1679:AF1695,B1679:B1695,B1679-48))</f>
        <v/>
      </c>
      <c r="AH1679" s="40" t="n">
        <v>1</v>
      </c>
      <c r="AI1679" s="46">
        <f>AH1679*IF(B1679&gt;=in_marketplace_from,d_hz_hlth_family*G1679,0)</f>
        <v/>
      </c>
      <c r="AJ1679" s="14">
        <f>F1679*AI1679*in_hlth_family_ticket*in_hlth_family_comm*in_ins_partner_share+F1679*in_hlth_family_ticket*in_hlth_family_renew_comm*in_ins_partner_share*(in_hlth_family_renew^1*SUMIFS(AI1679:AI1695,B1679:B1695,B1679-12)+in_hlth_family_renew^2*SUMIFS(AI1679:AI1695,B1679:B1695,B1679-24)+in_hlth_family_renew^3*SUMIFS(AI1679:AI1695,B1679:B1695,B1679-36)+in_hlth_family_renew^4*SUMIFS(AI1679:AI1695,B1679:B1695,B1679-48))</f>
        <v/>
      </c>
      <c r="AK1679" s="40" t="n">
        <v>1</v>
      </c>
      <c r="AL1679" s="46">
        <f>AK1679*IF(B1679&gt;=in_marketplace_from,d_hz_life_term*G1679,0)</f>
        <v/>
      </c>
      <c r="AM1679" s="14">
        <f>F1679*AL1679*in_life_term_ticket*in_life_term_comm*in_ins_partner_share+F1679*in_life_term_ticket*in_life_term_renew_comm*in_ins_partner_share*(in_life_term_renew^1*SUMIFS(AL1679:AL1695,B1679:B1695,B1679-12)+in_life_term_renew^2*SUMIFS(AL1679:AL1695,B1679:B1695,B1679-24)+in_life_term_renew^3*SUMIFS(AL1679:AL1695,B1679:B1695,B1679-36)+in_life_term_renew^4*SUMIFS(AL1679:AL1695,B1679:B1695,B1679-48))</f>
        <v/>
      </c>
      <c r="AN1679" s="40" t="n">
        <v>1</v>
      </c>
      <c r="AO1679" s="46">
        <f>AN1679*IF(B1679&gt;=in_marketplace_from,d_hz_accident*G1679,0)</f>
        <v/>
      </c>
      <c r="AP1679" s="14">
        <f>F1679*AO1679*in_accident_ticket*in_accident_comm*in_ins_partner_share+F1679*in_accident_ticket*in_accident_renew_comm*in_ins_partner_share*(in_accident_renew^1*SUMIFS(AO1679:AO1695,B1679:B1695,B1679-12)+in_accident_renew^2*SUMIFS(AO1679:AO1695,B1679:B1695,B1679-24)+in_accident_renew^3*SUMIFS(AO1679:AO1695,B1679:B1695,B1679-36)+in_accident_renew^4*SUMIFS(AO1679:AO1695,B1679:B1695,B1679-48))</f>
        <v/>
      </c>
      <c r="AQ1679" s="40" t="n">
        <v>1</v>
      </c>
      <c r="AR1679" s="46">
        <f>AQ1679*IF(B1679&gt;=in_marketplace_from,d_hz_two_wheeler*G1679,0)</f>
        <v/>
      </c>
      <c r="AS1679" s="14">
        <f>F1679*AR1679*in_two_wheeler_ticket*in_two_wheeler_comm*in_ins_partner_share+F1679*in_two_wheeler_ticket*in_two_wheeler_comm*in_ins_partner_share*(in_two_wheeler_renew^1*SUMIFS(AR1679:AR1695,B1679:B1695,B1679-12)+in_two_wheeler_renew^2*SUMIFS(AR1679:AR1695,B1679:B1695,B1679-24)+in_two_wheeler_renew^3*SUMIFS(AR1679:AR1695,B1679:B1695,B1679-36)+in_two_wheeler_renew^4*SUMIFS(AR1679:AR1695,B1679:B1695,B1679-48))</f>
        <v/>
      </c>
      <c r="AT1679" s="40" t="n">
        <v>1</v>
      </c>
      <c r="AU1679" s="14">
        <f>F1679*AT1679*IF(B1679&gt;=in_marketplace_from,d_hz_device*G1679,0)*in_device_ticket*in_device_comm*in_ins_partner_share</f>
        <v/>
      </c>
      <c r="AV1679" s="40" t="n">
        <v>1</v>
      </c>
      <c r="AW1679" s="46">
        <f>AV1679*IF(B1679&gt;=in_marketplace_from,d_hz_shop*G1679,0)</f>
        <v/>
      </c>
      <c r="AX1679" s="14">
        <f>F1679*AW1679*in_shop_ticket*in_shop_comm*in_ins_partner_share+F1679*in_shop_ticket*in_shop_renew_comm*in_ins_partner_share*(in_shop_renew^1*SUMIFS(AW1679:AW1695,B1679:B1695,B1679-12)+in_shop_renew^2*SUMIFS(AW1679:AW1695,B1679:B1695,B1679-24)+in_shop_renew^3*SUMIFS(AW1679:AW1695,B1679:B1695,B1679-36)+in_shop_renew^4*SUMIFS(AW1679:AW1695,B1679:B1695,B1679-48))</f>
        <v/>
      </c>
      <c r="AY1679" s="40" t="n">
        <v>1</v>
      </c>
      <c r="AZ1679" s="40">
        <f>AY1679*IF(B1679&gt;=in_marketplace_from,d_hz_sip*G1679,0)</f>
        <v/>
      </c>
      <c r="BA1679" s="40" t="n">
        <v>0</v>
      </c>
      <c r="BB1679" s="14">
        <f>F1679*in_sip_ticket*(BA1679+0.5*AZ1679)*in_sip_comm/12</f>
        <v/>
      </c>
      <c r="BC1679" s="40" t="n">
        <v>1</v>
      </c>
      <c r="BD1679" s="46">
        <f>BC1679*IF(B1679&gt;=in_marketplace_from,d_hz_choti*G1679,0)</f>
        <v/>
      </c>
      <c r="BE1679" s="14">
        <f>F1679*SUMIFS(BD1679:BD1695,B1679:B1695,B1679-in_choti_months)*in_choti_renew*in_choti_ticket</f>
        <v/>
      </c>
      <c r="BF1679" s="40" t="n">
        <v>1</v>
      </c>
      <c r="BG1679" s="14">
        <f>F1679*BF1679*IF(B1679&gt;=in_marketplace_from,d_hz_nps*G1679,0)*in_nps_ticket*in_nps_comm</f>
        <v/>
      </c>
      <c r="BH1679" s="40" t="n">
        <v>1</v>
      </c>
      <c r="BI1679" s="40">
        <f>BH1679*IF(B1679&gt;=in_marketplace_from,d_hz_gold*G1679,0)</f>
        <v/>
      </c>
      <c r="BJ1679" s="14">
        <f>F1679*BI1679*in_gold_ticket*in_gold_comm</f>
        <v/>
      </c>
      <c r="BK1679" s="40" t="n">
        <v>1</v>
      </c>
      <c r="BL1679" s="14">
        <f>F1679*BK1679*IF(B1679&gt;=in_marketplace_from,d_hz_fd*G1679,0)*in_fd_ticket*in_fd_comm</f>
        <v/>
      </c>
      <c r="BM1679" s="40" t="n">
        <v>1</v>
      </c>
      <c r="BN1679" s="40">
        <f>BM1679*IF(B1679&gt;=in_marketplace_from,d_hz_recharge*G1679,0)</f>
        <v/>
      </c>
      <c r="BO1679" s="14">
        <f>F1679*BN1679*in_recharge_ticket*in_recharge_comm/12</f>
        <v/>
      </c>
      <c r="BP1679" s="40" t="n">
        <v>1</v>
      </c>
      <c r="BQ1679" s="40">
        <f>BP1679*IF(B1679&gt;=in_marketplace_from,d_hz_bills*G1679,0)</f>
        <v/>
      </c>
      <c r="BR1679" s="14">
        <f>F1679*BQ1679*in_bills_ticket*in_bills_comm/12</f>
        <v/>
      </c>
      <c r="BS1679" s="40" t="n">
        <v>1</v>
      </c>
      <c r="BT1679" s="14">
        <f>F1679*BS1679*IF(B1679&gt;=in_marketplace_from,d_hz_loan_gold*G1679,0)*in_loan_gold_ticket*in_loan_gold_comm</f>
        <v/>
      </c>
      <c r="BU1679" s="40" t="n">
        <v>1</v>
      </c>
      <c r="BV1679" s="14">
        <f>F1679*BU1679*IF(B1679&gt;=in_marketplace_from,d_hz_loan_cd*G1679,0)*in_loan_cd_ticket*in_loan_cd_comm</f>
        <v/>
      </c>
      <c r="BW1679" s="40" t="n">
        <v>1</v>
      </c>
      <c r="BX1679" s="14">
        <f>F1679*BW1679*IF(B1679&gt;=in_marketplace_from,d_hz_loan_vehicle*G1679,0)*in_loan_vehicle_ticket*in_loan_vehicle_comm</f>
        <v/>
      </c>
      <c r="BY1679" s="40" t="n">
        <v>1</v>
      </c>
      <c r="BZ1679" s="11">
        <f>MIN(in_approval_cap,in_loan_home_approval*INDEX('Age profile'!$O$2:$O$61,B1679)*(1+in_approval_growth)^(D1679-1))</f>
        <v/>
      </c>
      <c r="CA1679" s="14">
        <f>F1679*BY1679*IF(B1679&gt;=in_marketplace_from,d_hz_loan_home*G1679,0)*BZ1679*in_loan_home_ticket*in_loan_home_comm</f>
        <v/>
      </c>
      <c r="CB1679" s="40" t="n">
        <v>1</v>
      </c>
      <c r="CC1679" s="11">
        <f>MIN(in_approval_cap,in_loan_lap_approval*INDEX('Age profile'!$O$2:$O$61,B1679)*(1+in_approval_growth)^(D1679-1))</f>
        <v/>
      </c>
      <c r="CD1679" s="14">
        <f>F1679*CB1679*IF(B1679&gt;=in_marketplace_from,d_hz_loan_lap*G1679,0)*CC1679*in_loan_lap_ticket*in_loan_lap_comm</f>
        <v/>
      </c>
      <c r="CE1679" s="14">
        <f>AA1679+AB1679+AC1679+AD1679+AG1679+AJ1679+AM1679+AP1679+AS1679+AU1679+AX1679+BB1679+BE1679+BG1679+BJ1679+BL1679+BO1679+BR1679+BT1679+BV1679+BX1679+CA1679+CD1679</f>
        <v/>
      </c>
    </row>
    <row r="1680">
      <c r="A1680" s="39" t="n">
        <v>44</v>
      </c>
      <c r="B1680" s="39" t="n">
        <v>2</v>
      </c>
      <c r="C1680" s="39">
        <f>A1680+B1680-1</f>
        <v/>
      </c>
      <c r="D1680" s="39">
        <f>INT((C1680-1)/12)+1</f>
        <v/>
      </c>
      <c r="E1680" s="44">
        <f>INDEX(Monthly!$B$2:$B$61,A1680)</f>
        <v/>
      </c>
      <c r="F1680" s="44">
        <f>E1680*INDEX('Age profile'!$B$2:$B$61,B1680)</f>
        <v/>
      </c>
      <c r="G1680" s="45">
        <f>MIN(in_takeup_cap,INDEX('Age profile'!$N$2:$N$61,B1680)*(1+in_takeup_growth)^(D1680-1))</f>
        <v/>
      </c>
      <c r="H1680" s="11">
        <f>MIN(in_approval_cap,in_approved_first*INDEX('Age profile'!$O$2:$O$61,B1680)*(1+in_approval_growth)^(D1680-1))</f>
        <v/>
      </c>
      <c r="I1680" s="45">
        <f>G1680*MIN(in_takeup_cap,INDEX('Age profile'!$O$2:$O$61,B1680)*(1+in_approval_growth)^(D1680-1))</f>
        <v/>
      </c>
      <c r="J1680" s="40">
        <f>(J1679-L1679)*F1680/F1679</f>
        <v/>
      </c>
      <c r="K1680" s="40">
        <f>(K1679-M1679)*F1680/F1679+SUMIFS(O1679:O1679,B1679:B1679,B1680-1-d_T)*F1680</f>
        <v/>
      </c>
      <c r="L1680" s="40">
        <f>IF(B1680&gt;=in_marketplace_from,J1680*d_hz*G1680*in_eligible*H1680,0)</f>
        <v/>
      </c>
      <c r="M1680" s="40">
        <f>IF(B1680&gt;=in_marketplace_from,K1680*d_hz*G1680*in_eligible*in_approved_repeat,0)</f>
        <v/>
      </c>
      <c r="N1680" s="40">
        <f>L1680+M1680</f>
        <v/>
      </c>
      <c r="O1680" s="46">
        <f>N1680/F1680</f>
        <v/>
      </c>
      <c r="P1680" s="40">
        <f>F1680-J1680-K1680</f>
        <v/>
      </c>
      <c r="Q1680" s="40">
        <f>IF(B1680&gt;=in_marketplace_from,(J1680+K1680)*d_hz*G1680,0)</f>
        <v/>
      </c>
      <c r="R1680" s="40">
        <f>SUMIFS(N1679:N1695,B1679:B1695,"&gt;="&amp;(B1680-d_T),B1679:B1695,"&lt;="&amp;(B1680-1))</f>
        <v/>
      </c>
      <c r="S1680" s="46">
        <f>(1-d_u)*S1679+IF(d_T&gt;in_topup_lag,SUMIFS(O1679:O1695,B1679:B1695,B1680-in_topup_lag)-d_udrop*SUMIFS(O1679:O1695,B1679:B1695,B1680-d_T),0)</f>
        <v/>
      </c>
      <c r="T1680" s="40">
        <f>F1680*d_u*S1680</f>
        <v/>
      </c>
      <c r="U1680" s="9">
        <f>L1680*in_ticket+M1680*d_rep_ticket</f>
        <v/>
      </c>
      <c r="V1680" s="9">
        <f>U1680+T1680*d_topup_amt</f>
        <v/>
      </c>
      <c r="W1680" s="40">
        <f>N1680+T1680*d_topup_ratio</f>
        <v/>
      </c>
      <c r="X1680" s="40">
        <f>SUMIFS(W1679:W1695,B1679:B1695,B1680-in_dpd_lag)*d_cured</f>
        <v/>
      </c>
      <c r="Y1680" s="40">
        <f>SUMIFS(W1679:W1695,B1679:B1695,B1680-in_rec_lag)*d_recd</f>
        <v/>
      </c>
      <c r="Z1680" s="40">
        <f>IF(AND(B1680&gt;=in_marketplace_from,B1680&lt;in_marketplace_from+in_card_months),in_card_share/in_card_months*F1680*I1680,IF(AND(B1680&gt;=in_marketplace_from+in_card_months,B1680&lt;in_marketplace_from+2*in_card_months),in_card_share*d_card_rem/in_card_months*F1680*MIN(in_takeup_cap,(1+in_takeup_growth)^(D1680-1))*MIN(in_takeup_cap,(1+in_approval_growth)^(D1680-1)),0))</f>
        <v/>
      </c>
      <c r="AA1680" s="14">
        <f>V1680*in_fee*(1-in_taken_back)</f>
        <v/>
      </c>
      <c r="AB1680" s="14">
        <f>SUMIFS(W1679:W1695,B1679:B1695,B1680-in_dpd_lag)*d_dpd</f>
        <v/>
      </c>
      <c r="AC1680" s="14">
        <f>SUMIFS(W1679:W1695,B1679:B1695,B1680-in_rec_lag)*d_rec</f>
        <v/>
      </c>
      <c r="AD1680" s="14">
        <f>Z1680*in_card_fee</f>
        <v/>
      </c>
      <c r="AE1680" s="40">
        <f>AE1679*(1-IF(B1679&gt;=in_marketplace_from,d_hz_hlth_small*G1679,0))</f>
        <v/>
      </c>
      <c r="AF1680" s="46">
        <f>AE1680*IF(B1680&gt;=in_marketplace_from,d_hz_hlth_small*G1680,0)</f>
        <v/>
      </c>
      <c r="AG1680" s="14">
        <f>F1680*AF1680*in_hlth_small_ticket*in_hlth_small_comm*in_ins_partner_share+F1680*in_hlth_small_ticket*in_hlth_small_renew_comm*in_ins_partner_share*(in_hlth_small_renew^1*SUMIFS(AF1679:AF1695,B1679:B1695,B1680-12)+in_hlth_small_renew^2*SUMIFS(AF1679:AF1695,B1679:B1695,B1680-24)+in_hlth_small_renew^3*SUMIFS(AF1679:AF1695,B1679:B1695,B1680-36)+in_hlth_small_renew^4*SUMIFS(AF1679:AF1695,B1679:B1695,B1680-48))</f>
        <v/>
      </c>
      <c r="AH1680" s="40">
        <f>AH1679*(1-IF(B1679&gt;=in_marketplace_from,d_hz_hlth_family*G1679,0))</f>
        <v/>
      </c>
      <c r="AI1680" s="46">
        <f>AH1680*IF(B1680&gt;=in_marketplace_from,d_hz_hlth_family*G1680,0)</f>
        <v/>
      </c>
      <c r="AJ1680" s="14">
        <f>F1680*AI1680*in_hlth_family_ticket*in_hlth_family_comm*in_ins_partner_share+F1680*in_hlth_family_ticket*in_hlth_family_renew_comm*in_ins_partner_share*(in_hlth_family_renew^1*SUMIFS(AI1679:AI1695,B1679:B1695,B1680-12)+in_hlth_family_renew^2*SUMIFS(AI1679:AI1695,B1679:B1695,B1680-24)+in_hlth_family_renew^3*SUMIFS(AI1679:AI1695,B1679:B1695,B1680-36)+in_hlth_family_renew^4*SUMIFS(AI1679:AI1695,B1679:B1695,B1680-48))</f>
        <v/>
      </c>
      <c r="AK1680" s="40">
        <f>AK1679*(1-IF(B1679&gt;=in_marketplace_from,d_hz_life_term*G1679,0))</f>
        <v/>
      </c>
      <c r="AL1680" s="46">
        <f>AK1680*IF(B1680&gt;=in_marketplace_from,d_hz_life_term*G1680,0)</f>
        <v/>
      </c>
      <c r="AM1680" s="14">
        <f>F1680*AL1680*in_life_term_ticket*in_life_term_comm*in_ins_partner_share+F1680*in_life_term_ticket*in_life_term_renew_comm*in_ins_partner_share*(in_life_term_renew^1*SUMIFS(AL1679:AL1695,B1679:B1695,B1680-12)+in_life_term_renew^2*SUMIFS(AL1679:AL1695,B1679:B1695,B1680-24)+in_life_term_renew^3*SUMIFS(AL1679:AL1695,B1679:B1695,B1680-36)+in_life_term_renew^4*SUMIFS(AL1679:AL1695,B1679:B1695,B1680-48))</f>
        <v/>
      </c>
      <c r="AN1680" s="40">
        <f>AN1679*(1-IF(B1679&gt;=in_marketplace_from,d_hz_accident*G1679,0))</f>
        <v/>
      </c>
      <c r="AO1680" s="46">
        <f>AN1680*IF(B1680&gt;=in_marketplace_from,d_hz_accident*G1680,0)</f>
        <v/>
      </c>
      <c r="AP1680" s="14">
        <f>F1680*AO1680*in_accident_ticket*in_accident_comm*in_ins_partner_share+F1680*in_accident_ticket*in_accident_renew_comm*in_ins_partner_share*(in_accident_renew^1*SUMIFS(AO1679:AO1695,B1679:B1695,B1680-12)+in_accident_renew^2*SUMIFS(AO1679:AO1695,B1679:B1695,B1680-24)+in_accident_renew^3*SUMIFS(AO1679:AO1695,B1679:B1695,B1680-36)+in_accident_renew^4*SUMIFS(AO1679:AO1695,B1679:B1695,B1680-48))</f>
        <v/>
      </c>
      <c r="AQ1680" s="40">
        <f>AQ1679*(1-IF(B1679&gt;=in_marketplace_from,d_hz_two_wheeler*G1679,0))</f>
        <v/>
      </c>
      <c r="AR1680" s="46">
        <f>AQ1680*IF(B1680&gt;=in_marketplace_from,d_hz_two_wheeler*G1680,0)</f>
        <v/>
      </c>
      <c r="AS1680" s="14">
        <f>F1680*AR1680*in_two_wheeler_ticket*in_two_wheeler_comm*in_ins_partner_share+F1680*in_two_wheeler_ticket*in_two_wheeler_comm*in_ins_partner_share*(in_two_wheeler_renew^1*SUMIFS(AR1679:AR1695,B1679:B1695,B1680-12)+in_two_wheeler_renew^2*SUMIFS(AR1679:AR1695,B1679:B1695,B1680-24)+in_two_wheeler_renew^3*SUMIFS(AR1679:AR1695,B1679:B1695,B1680-36)+in_two_wheeler_renew^4*SUMIFS(AR1679:AR1695,B1679:B1695,B1680-48))</f>
        <v/>
      </c>
      <c r="AT1680" s="40">
        <f>AT1679*(1-IF(B1679&gt;=in_marketplace_from,d_hz_device*G1679,0))</f>
        <v/>
      </c>
      <c r="AU1680" s="14">
        <f>F1680*AT1680*IF(B1680&gt;=in_marketplace_from,d_hz_device*G1680,0)*in_device_ticket*in_device_comm*in_ins_partner_share</f>
        <v/>
      </c>
      <c r="AV1680" s="40">
        <f>AV1679*(1-IF(B1679&gt;=in_marketplace_from,d_hz_shop*G1679,0))</f>
        <v/>
      </c>
      <c r="AW1680" s="46">
        <f>AV1680*IF(B1680&gt;=in_marketplace_from,d_hz_shop*G1680,0)</f>
        <v/>
      </c>
      <c r="AX1680" s="14">
        <f>F1680*AW1680*in_shop_ticket*in_shop_comm*in_ins_partner_share+F1680*in_shop_ticket*in_shop_renew_comm*in_ins_partner_share*(in_shop_renew^1*SUMIFS(AW1679:AW1695,B1679:B1695,B1680-12)+in_shop_renew^2*SUMIFS(AW1679:AW1695,B1679:B1695,B1680-24)+in_shop_renew^3*SUMIFS(AW1679:AW1695,B1679:B1695,B1680-36)+in_shop_renew^4*SUMIFS(AW1679:AW1695,B1679:B1695,B1680-48))</f>
        <v/>
      </c>
      <c r="AY1680" s="40">
        <f>AY1679*(1-IF(B1679&gt;=in_marketplace_from,d_hz_sip*G1679,0))</f>
        <v/>
      </c>
      <c r="AZ1680" s="40">
        <f>AZ1679*d_rho_sip+AY1680*IF(B1680&gt;=in_marketplace_from,d_hz_sip*G1680,0)</f>
        <v/>
      </c>
      <c r="BA1680" s="40">
        <f>d_rho_sip*(BA1679+AZ1679)</f>
        <v/>
      </c>
      <c r="BB1680" s="14">
        <f>F1680*in_sip_ticket*(BA1680+0.5*AZ1680)*in_sip_comm/12</f>
        <v/>
      </c>
      <c r="BC1680" s="40">
        <f>BC1679*(1-IF(B1679&gt;=in_marketplace_from,d_hz_choti*G1679,0))</f>
        <v/>
      </c>
      <c r="BD1680" s="46">
        <f>BC1680*IF(B1680&gt;=in_marketplace_from,d_hz_choti*G1680,0)</f>
        <v/>
      </c>
      <c r="BE1680" s="14">
        <f>F1680*SUMIFS(BD1679:BD1695,B1679:B1695,B1680-in_choti_months)*in_choti_renew*in_choti_ticket</f>
        <v/>
      </c>
      <c r="BF1680" s="40">
        <f>BF1679*(1-IF(B1679&gt;=in_marketplace_from,d_hz_nps*G1679,0))</f>
        <v/>
      </c>
      <c r="BG1680" s="14">
        <f>F1680*BF1680*IF(B1680&gt;=in_marketplace_from,d_hz_nps*G1680,0)*in_nps_ticket*in_nps_comm</f>
        <v/>
      </c>
      <c r="BH1680" s="40">
        <f>BH1679*(1-IF(B1679&gt;=in_marketplace_from,d_hz_gold*G1679,0))</f>
        <v/>
      </c>
      <c r="BI1680" s="40">
        <f>BI1679*d_rho_gold+BH1680*IF(B1680&gt;=in_marketplace_from,d_hz_gold*G1680,0)</f>
        <v/>
      </c>
      <c r="BJ1680" s="14">
        <f>F1680*BI1680*in_gold_ticket*in_gold_comm</f>
        <v/>
      </c>
      <c r="BK1680" s="40">
        <f>BK1679*(1-IF(B1679&gt;=in_marketplace_from,d_hz_fd*G1679,0))</f>
        <v/>
      </c>
      <c r="BL1680" s="14">
        <f>F1680*BK1680*IF(B1680&gt;=in_marketplace_from,d_hz_fd*G1680,0)*in_fd_ticket*in_fd_comm</f>
        <v/>
      </c>
      <c r="BM1680" s="40">
        <f>BM1679*(1-IF(B1679&gt;=in_marketplace_from,d_hz_recharge*G1679,0))</f>
        <v/>
      </c>
      <c r="BN1680" s="40">
        <f>BN1679*d_rho_recharge+BM1680*IF(B1680&gt;=in_marketplace_from,d_hz_recharge*G1680,0)</f>
        <v/>
      </c>
      <c r="BO1680" s="14">
        <f>F1680*BN1680*in_recharge_ticket*in_recharge_comm/12</f>
        <v/>
      </c>
      <c r="BP1680" s="40">
        <f>BP1679*(1-IF(B1679&gt;=in_marketplace_from,d_hz_bills*G1679,0))</f>
        <v/>
      </c>
      <c r="BQ1680" s="40">
        <f>BQ1679*d_rho_bills+BP1680*IF(B1680&gt;=in_marketplace_from,d_hz_bills*G1680,0)</f>
        <v/>
      </c>
      <c r="BR1680" s="14">
        <f>F1680*BQ1680*in_bills_ticket*in_bills_comm/12</f>
        <v/>
      </c>
      <c r="BS1680" s="40">
        <f>BS1679*(1-IF(B1679&gt;=in_marketplace_from,d_hz_loan_gold*G1679,0))</f>
        <v/>
      </c>
      <c r="BT1680" s="14">
        <f>F1680*BS1680*IF(B1680&gt;=in_marketplace_from,d_hz_loan_gold*G1680,0)*in_loan_gold_ticket*in_loan_gold_comm</f>
        <v/>
      </c>
      <c r="BU1680" s="40">
        <f>BU1679*(1-IF(B1679&gt;=in_marketplace_from,d_hz_loan_cd*G1679,0))</f>
        <v/>
      </c>
      <c r="BV1680" s="14">
        <f>F1680*BU1680*IF(B1680&gt;=in_marketplace_from,d_hz_loan_cd*G1680,0)*in_loan_cd_ticket*in_loan_cd_comm</f>
        <v/>
      </c>
      <c r="BW1680" s="40">
        <f>BW1679*(1-IF(B1679&gt;=in_marketplace_from,d_hz_loan_vehicle*G1679,0))</f>
        <v/>
      </c>
      <c r="BX1680" s="14">
        <f>F1680*BW1680*IF(B1680&gt;=in_marketplace_from,d_hz_loan_vehicle*G1680,0)*in_loan_vehicle_ticket*in_loan_vehicle_comm</f>
        <v/>
      </c>
      <c r="BY1680" s="40">
        <f>BY1679*(1-IF(B1679&gt;=in_marketplace_from,d_hz_loan_home*G1679,0)*BZ1679)</f>
        <v/>
      </c>
      <c r="BZ1680" s="11">
        <f>MIN(in_approval_cap,in_loan_home_approval*INDEX('Age profile'!$O$2:$O$61,B1680)*(1+in_approval_growth)^(D1680-1))</f>
        <v/>
      </c>
      <c r="CA1680" s="14">
        <f>F1680*BY1680*IF(B1680&gt;=in_marketplace_from,d_hz_loan_home*G1680,0)*BZ1680*in_loan_home_ticket*in_loan_home_comm</f>
        <v/>
      </c>
      <c r="CB1680" s="40">
        <f>CB1679*(1-IF(B1679&gt;=in_marketplace_from,d_hz_loan_lap*G1679,0)*CC1679)</f>
        <v/>
      </c>
      <c r="CC1680" s="11">
        <f>MIN(in_approval_cap,in_loan_lap_approval*INDEX('Age profile'!$O$2:$O$61,B1680)*(1+in_approval_growth)^(D1680-1))</f>
        <v/>
      </c>
      <c r="CD1680" s="14">
        <f>F1680*CB1680*IF(B1680&gt;=in_marketplace_from,d_hz_loan_lap*G1680,0)*CC1680*in_loan_lap_ticket*in_loan_lap_comm</f>
        <v/>
      </c>
      <c r="CE1680" s="14">
        <f>AA1680+AB1680+AC1680+AD1680+AG1680+AJ1680+AM1680+AP1680+AS1680+AU1680+AX1680+BB1680+BE1680+BG1680+BJ1680+BL1680+BO1680+BR1680+BT1680+BV1680+BX1680+CA1680+CD1680</f>
        <v/>
      </c>
    </row>
    <row r="1681">
      <c r="A1681" s="39" t="n">
        <v>44</v>
      </c>
      <c r="B1681" s="39" t="n">
        <v>3</v>
      </c>
      <c r="C1681" s="39">
        <f>A1681+B1681-1</f>
        <v/>
      </c>
      <c r="D1681" s="39">
        <f>INT((C1681-1)/12)+1</f>
        <v/>
      </c>
      <c r="E1681" s="44">
        <f>INDEX(Monthly!$B$2:$B$61,A1681)</f>
        <v/>
      </c>
      <c r="F1681" s="44">
        <f>E1681*INDEX('Age profile'!$B$2:$B$61,B1681)</f>
        <v/>
      </c>
      <c r="G1681" s="45">
        <f>MIN(in_takeup_cap,INDEX('Age profile'!$N$2:$N$61,B1681)*(1+in_takeup_growth)^(D1681-1))</f>
        <v/>
      </c>
      <c r="H1681" s="11">
        <f>MIN(in_approval_cap,in_approved_first*INDEX('Age profile'!$O$2:$O$61,B1681)*(1+in_approval_growth)^(D1681-1))</f>
        <v/>
      </c>
      <c r="I1681" s="45">
        <f>G1681*MIN(in_takeup_cap,INDEX('Age profile'!$O$2:$O$61,B1681)*(1+in_approval_growth)^(D1681-1))</f>
        <v/>
      </c>
      <c r="J1681" s="40">
        <f>(J1680-L1680)*F1681/F1680</f>
        <v/>
      </c>
      <c r="K1681" s="40">
        <f>(K1680-M1680)*F1681/F1680+SUMIFS(O1679:O1680,B1679:B1680,B1681-1-d_T)*F1681</f>
        <v/>
      </c>
      <c r="L1681" s="40">
        <f>IF(B1681&gt;=in_marketplace_from,J1681*d_hz*G1681*in_eligible*H1681,0)</f>
        <v/>
      </c>
      <c r="M1681" s="40">
        <f>IF(B1681&gt;=in_marketplace_from,K1681*d_hz*G1681*in_eligible*in_approved_repeat,0)</f>
        <v/>
      </c>
      <c r="N1681" s="40">
        <f>L1681+M1681</f>
        <v/>
      </c>
      <c r="O1681" s="46">
        <f>N1681/F1681</f>
        <v/>
      </c>
      <c r="P1681" s="40">
        <f>F1681-J1681-K1681</f>
        <v/>
      </c>
      <c r="Q1681" s="40">
        <f>IF(B1681&gt;=in_marketplace_from,(J1681+K1681)*d_hz*G1681,0)</f>
        <v/>
      </c>
      <c r="R1681" s="40">
        <f>SUMIFS(N1679:N1695,B1679:B1695,"&gt;="&amp;(B1681-d_T),B1679:B1695,"&lt;="&amp;(B1681-1))</f>
        <v/>
      </c>
      <c r="S1681" s="46">
        <f>(1-d_u)*S1680+IF(d_T&gt;in_topup_lag,SUMIFS(O1679:O1695,B1679:B1695,B1681-in_topup_lag)-d_udrop*SUMIFS(O1679:O1695,B1679:B1695,B1681-d_T),0)</f>
        <v/>
      </c>
      <c r="T1681" s="40">
        <f>F1681*d_u*S1681</f>
        <v/>
      </c>
      <c r="U1681" s="9">
        <f>L1681*in_ticket+M1681*d_rep_ticket</f>
        <v/>
      </c>
      <c r="V1681" s="9">
        <f>U1681+T1681*d_topup_amt</f>
        <v/>
      </c>
      <c r="W1681" s="40">
        <f>N1681+T1681*d_topup_ratio</f>
        <v/>
      </c>
      <c r="X1681" s="40">
        <f>SUMIFS(W1679:W1695,B1679:B1695,B1681-in_dpd_lag)*d_cured</f>
        <v/>
      </c>
      <c r="Y1681" s="40">
        <f>SUMIFS(W1679:W1695,B1679:B1695,B1681-in_rec_lag)*d_recd</f>
        <v/>
      </c>
      <c r="Z1681" s="40">
        <f>IF(AND(B1681&gt;=in_marketplace_from,B1681&lt;in_marketplace_from+in_card_months),in_card_share/in_card_months*F1681*I1681,IF(AND(B1681&gt;=in_marketplace_from+in_card_months,B1681&lt;in_marketplace_from+2*in_card_months),in_card_share*d_card_rem/in_card_months*F1681*MIN(in_takeup_cap,(1+in_takeup_growth)^(D1681-1))*MIN(in_takeup_cap,(1+in_approval_growth)^(D1681-1)),0))</f>
        <v/>
      </c>
      <c r="AA1681" s="14">
        <f>V1681*in_fee*(1-in_taken_back)</f>
        <v/>
      </c>
      <c r="AB1681" s="14">
        <f>SUMIFS(W1679:W1695,B1679:B1695,B1681-in_dpd_lag)*d_dpd</f>
        <v/>
      </c>
      <c r="AC1681" s="14">
        <f>SUMIFS(W1679:W1695,B1679:B1695,B1681-in_rec_lag)*d_rec</f>
        <v/>
      </c>
      <c r="AD1681" s="14">
        <f>Z1681*in_card_fee</f>
        <v/>
      </c>
      <c r="AE1681" s="40">
        <f>AE1680*(1-IF(B1680&gt;=in_marketplace_from,d_hz_hlth_small*G1680,0))</f>
        <v/>
      </c>
      <c r="AF1681" s="46">
        <f>AE1681*IF(B1681&gt;=in_marketplace_from,d_hz_hlth_small*G1681,0)</f>
        <v/>
      </c>
      <c r="AG1681" s="14">
        <f>F1681*AF1681*in_hlth_small_ticket*in_hlth_small_comm*in_ins_partner_share+F1681*in_hlth_small_ticket*in_hlth_small_renew_comm*in_ins_partner_share*(in_hlth_small_renew^1*SUMIFS(AF1679:AF1695,B1679:B1695,B1681-12)+in_hlth_small_renew^2*SUMIFS(AF1679:AF1695,B1679:B1695,B1681-24)+in_hlth_small_renew^3*SUMIFS(AF1679:AF1695,B1679:B1695,B1681-36)+in_hlth_small_renew^4*SUMIFS(AF1679:AF1695,B1679:B1695,B1681-48))</f>
        <v/>
      </c>
      <c r="AH1681" s="40">
        <f>AH1680*(1-IF(B1680&gt;=in_marketplace_from,d_hz_hlth_family*G1680,0))</f>
        <v/>
      </c>
      <c r="AI1681" s="46">
        <f>AH1681*IF(B1681&gt;=in_marketplace_from,d_hz_hlth_family*G1681,0)</f>
        <v/>
      </c>
      <c r="AJ1681" s="14">
        <f>F1681*AI1681*in_hlth_family_ticket*in_hlth_family_comm*in_ins_partner_share+F1681*in_hlth_family_ticket*in_hlth_family_renew_comm*in_ins_partner_share*(in_hlth_family_renew^1*SUMIFS(AI1679:AI1695,B1679:B1695,B1681-12)+in_hlth_family_renew^2*SUMIFS(AI1679:AI1695,B1679:B1695,B1681-24)+in_hlth_family_renew^3*SUMIFS(AI1679:AI1695,B1679:B1695,B1681-36)+in_hlth_family_renew^4*SUMIFS(AI1679:AI1695,B1679:B1695,B1681-48))</f>
        <v/>
      </c>
      <c r="AK1681" s="40">
        <f>AK1680*(1-IF(B1680&gt;=in_marketplace_from,d_hz_life_term*G1680,0))</f>
        <v/>
      </c>
      <c r="AL1681" s="46">
        <f>AK1681*IF(B1681&gt;=in_marketplace_from,d_hz_life_term*G1681,0)</f>
        <v/>
      </c>
      <c r="AM1681" s="14">
        <f>F1681*AL1681*in_life_term_ticket*in_life_term_comm*in_ins_partner_share+F1681*in_life_term_ticket*in_life_term_renew_comm*in_ins_partner_share*(in_life_term_renew^1*SUMIFS(AL1679:AL1695,B1679:B1695,B1681-12)+in_life_term_renew^2*SUMIFS(AL1679:AL1695,B1679:B1695,B1681-24)+in_life_term_renew^3*SUMIFS(AL1679:AL1695,B1679:B1695,B1681-36)+in_life_term_renew^4*SUMIFS(AL1679:AL1695,B1679:B1695,B1681-48))</f>
        <v/>
      </c>
      <c r="AN1681" s="40">
        <f>AN1680*(1-IF(B1680&gt;=in_marketplace_from,d_hz_accident*G1680,0))</f>
        <v/>
      </c>
      <c r="AO1681" s="46">
        <f>AN1681*IF(B1681&gt;=in_marketplace_from,d_hz_accident*G1681,0)</f>
        <v/>
      </c>
      <c r="AP1681" s="14">
        <f>F1681*AO1681*in_accident_ticket*in_accident_comm*in_ins_partner_share+F1681*in_accident_ticket*in_accident_renew_comm*in_ins_partner_share*(in_accident_renew^1*SUMIFS(AO1679:AO1695,B1679:B1695,B1681-12)+in_accident_renew^2*SUMIFS(AO1679:AO1695,B1679:B1695,B1681-24)+in_accident_renew^3*SUMIFS(AO1679:AO1695,B1679:B1695,B1681-36)+in_accident_renew^4*SUMIFS(AO1679:AO1695,B1679:B1695,B1681-48))</f>
        <v/>
      </c>
      <c r="AQ1681" s="40">
        <f>AQ1680*(1-IF(B1680&gt;=in_marketplace_from,d_hz_two_wheeler*G1680,0))</f>
        <v/>
      </c>
      <c r="AR1681" s="46">
        <f>AQ1681*IF(B1681&gt;=in_marketplace_from,d_hz_two_wheeler*G1681,0)</f>
        <v/>
      </c>
      <c r="AS1681" s="14">
        <f>F1681*AR1681*in_two_wheeler_ticket*in_two_wheeler_comm*in_ins_partner_share+F1681*in_two_wheeler_ticket*in_two_wheeler_comm*in_ins_partner_share*(in_two_wheeler_renew^1*SUMIFS(AR1679:AR1695,B1679:B1695,B1681-12)+in_two_wheeler_renew^2*SUMIFS(AR1679:AR1695,B1679:B1695,B1681-24)+in_two_wheeler_renew^3*SUMIFS(AR1679:AR1695,B1679:B1695,B1681-36)+in_two_wheeler_renew^4*SUMIFS(AR1679:AR1695,B1679:B1695,B1681-48))</f>
        <v/>
      </c>
      <c r="AT1681" s="40">
        <f>AT1680*(1-IF(B1680&gt;=in_marketplace_from,d_hz_device*G1680,0))</f>
        <v/>
      </c>
      <c r="AU1681" s="14">
        <f>F1681*AT1681*IF(B1681&gt;=in_marketplace_from,d_hz_device*G1681,0)*in_device_ticket*in_device_comm*in_ins_partner_share</f>
        <v/>
      </c>
      <c r="AV1681" s="40">
        <f>AV1680*(1-IF(B1680&gt;=in_marketplace_from,d_hz_shop*G1680,0))</f>
        <v/>
      </c>
      <c r="AW1681" s="46">
        <f>AV1681*IF(B1681&gt;=in_marketplace_from,d_hz_shop*G1681,0)</f>
        <v/>
      </c>
      <c r="AX1681" s="14">
        <f>F1681*AW1681*in_shop_ticket*in_shop_comm*in_ins_partner_share+F1681*in_shop_ticket*in_shop_renew_comm*in_ins_partner_share*(in_shop_renew^1*SUMIFS(AW1679:AW1695,B1679:B1695,B1681-12)+in_shop_renew^2*SUMIFS(AW1679:AW1695,B1679:B1695,B1681-24)+in_shop_renew^3*SUMIFS(AW1679:AW1695,B1679:B1695,B1681-36)+in_shop_renew^4*SUMIFS(AW1679:AW1695,B1679:B1695,B1681-48))</f>
        <v/>
      </c>
      <c r="AY1681" s="40">
        <f>AY1680*(1-IF(B1680&gt;=in_marketplace_from,d_hz_sip*G1680,0))</f>
        <v/>
      </c>
      <c r="AZ1681" s="40">
        <f>AZ1680*d_rho_sip+AY1681*IF(B1681&gt;=in_marketplace_from,d_hz_sip*G1681,0)</f>
        <v/>
      </c>
      <c r="BA1681" s="40">
        <f>d_rho_sip*(BA1680+AZ1680)</f>
        <v/>
      </c>
      <c r="BB1681" s="14">
        <f>F1681*in_sip_ticket*(BA1681+0.5*AZ1681)*in_sip_comm/12</f>
        <v/>
      </c>
      <c r="BC1681" s="40">
        <f>BC1680*(1-IF(B1680&gt;=in_marketplace_from,d_hz_choti*G1680,0))</f>
        <v/>
      </c>
      <c r="BD1681" s="46">
        <f>BC1681*IF(B1681&gt;=in_marketplace_from,d_hz_choti*G1681,0)</f>
        <v/>
      </c>
      <c r="BE1681" s="14">
        <f>F1681*SUMIFS(BD1679:BD1695,B1679:B1695,B1681-in_choti_months)*in_choti_renew*in_choti_ticket</f>
        <v/>
      </c>
      <c r="BF1681" s="40">
        <f>BF1680*(1-IF(B1680&gt;=in_marketplace_from,d_hz_nps*G1680,0))</f>
        <v/>
      </c>
      <c r="BG1681" s="14">
        <f>F1681*BF1681*IF(B1681&gt;=in_marketplace_from,d_hz_nps*G1681,0)*in_nps_ticket*in_nps_comm</f>
        <v/>
      </c>
      <c r="BH1681" s="40">
        <f>BH1680*(1-IF(B1680&gt;=in_marketplace_from,d_hz_gold*G1680,0))</f>
        <v/>
      </c>
      <c r="BI1681" s="40">
        <f>BI1680*d_rho_gold+BH1681*IF(B1681&gt;=in_marketplace_from,d_hz_gold*G1681,0)</f>
        <v/>
      </c>
      <c r="BJ1681" s="14">
        <f>F1681*BI1681*in_gold_ticket*in_gold_comm</f>
        <v/>
      </c>
      <c r="BK1681" s="40">
        <f>BK1680*(1-IF(B1680&gt;=in_marketplace_from,d_hz_fd*G1680,0))</f>
        <v/>
      </c>
      <c r="BL1681" s="14">
        <f>F1681*BK1681*IF(B1681&gt;=in_marketplace_from,d_hz_fd*G1681,0)*in_fd_ticket*in_fd_comm</f>
        <v/>
      </c>
      <c r="BM1681" s="40">
        <f>BM1680*(1-IF(B1680&gt;=in_marketplace_from,d_hz_recharge*G1680,0))</f>
        <v/>
      </c>
      <c r="BN1681" s="40">
        <f>BN1680*d_rho_recharge+BM1681*IF(B1681&gt;=in_marketplace_from,d_hz_recharge*G1681,0)</f>
        <v/>
      </c>
      <c r="BO1681" s="14">
        <f>F1681*BN1681*in_recharge_ticket*in_recharge_comm/12</f>
        <v/>
      </c>
      <c r="BP1681" s="40">
        <f>BP1680*(1-IF(B1680&gt;=in_marketplace_from,d_hz_bills*G1680,0))</f>
        <v/>
      </c>
      <c r="BQ1681" s="40">
        <f>BQ1680*d_rho_bills+BP1681*IF(B1681&gt;=in_marketplace_from,d_hz_bills*G1681,0)</f>
        <v/>
      </c>
      <c r="BR1681" s="14">
        <f>F1681*BQ1681*in_bills_ticket*in_bills_comm/12</f>
        <v/>
      </c>
      <c r="BS1681" s="40">
        <f>BS1680*(1-IF(B1680&gt;=in_marketplace_from,d_hz_loan_gold*G1680,0))</f>
        <v/>
      </c>
      <c r="BT1681" s="14">
        <f>F1681*BS1681*IF(B1681&gt;=in_marketplace_from,d_hz_loan_gold*G1681,0)*in_loan_gold_ticket*in_loan_gold_comm</f>
        <v/>
      </c>
      <c r="BU1681" s="40">
        <f>BU1680*(1-IF(B1680&gt;=in_marketplace_from,d_hz_loan_cd*G1680,0))</f>
        <v/>
      </c>
      <c r="BV1681" s="14">
        <f>F1681*BU1681*IF(B1681&gt;=in_marketplace_from,d_hz_loan_cd*G1681,0)*in_loan_cd_ticket*in_loan_cd_comm</f>
        <v/>
      </c>
      <c r="BW1681" s="40">
        <f>BW1680*(1-IF(B1680&gt;=in_marketplace_from,d_hz_loan_vehicle*G1680,0))</f>
        <v/>
      </c>
      <c r="BX1681" s="14">
        <f>F1681*BW1681*IF(B1681&gt;=in_marketplace_from,d_hz_loan_vehicle*G1681,0)*in_loan_vehicle_ticket*in_loan_vehicle_comm</f>
        <v/>
      </c>
      <c r="BY1681" s="40">
        <f>BY1680*(1-IF(B1680&gt;=in_marketplace_from,d_hz_loan_home*G1680,0)*BZ1680)</f>
        <v/>
      </c>
      <c r="BZ1681" s="11">
        <f>MIN(in_approval_cap,in_loan_home_approval*INDEX('Age profile'!$O$2:$O$61,B1681)*(1+in_approval_growth)^(D1681-1))</f>
        <v/>
      </c>
      <c r="CA1681" s="14">
        <f>F1681*BY1681*IF(B1681&gt;=in_marketplace_from,d_hz_loan_home*G1681,0)*BZ1681*in_loan_home_ticket*in_loan_home_comm</f>
        <v/>
      </c>
      <c r="CB1681" s="40">
        <f>CB1680*(1-IF(B1680&gt;=in_marketplace_from,d_hz_loan_lap*G1680,0)*CC1680)</f>
        <v/>
      </c>
      <c r="CC1681" s="11">
        <f>MIN(in_approval_cap,in_loan_lap_approval*INDEX('Age profile'!$O$2:$O$61,B1681)*(1+in_approval_growth)^(D1681-1))</f>
        <v/>
      </c>
      <c r="CD1681" s="14">
        <f>F1681*CB1681*IF(B1681&gt;=in_marketplace_from,d_hz_loan_lap*G1681,0)*CC1681*in_loan_lap_ticket*in_loan_lap_comm</f>
        <v/>
      </c>
      <c r="CE1681" s="14">
        <f>AA1681+AB1681+AC1681+AD1681+AG1681+AJ1681+AM1681+AP1681+AS1681+AU1681+AX1681+BB1681+BE1681+BG1681+BJ1681+BL1681+BO1681+BR1681+BT1681+BV1681+BX1681+CA1681+CD1681</f>
        <v/>
      </c>
    </row>
    <row r="1682">
      <c r="A1682" s="39" t="n">
        <v>44</v>
      </c>
      <c r="B1682" s="39" t="n">
        <v>4</v>
      </c>
      <c r="C1682" s="39">
        <f>A1682+B1682-1</f>
        <v/>
      </c>
      <c r="D1682" s="39">
        <f>INT((C1682-1)/12)+1</f>
        <v/>
      </c>
      <c r="E1682" s="44">
        <f>INDEX(Monthly!$B$2:$B$61,A1682)</f>
        <v/>
      </c>
      <c r="F1682" s="44">
        <f>E1682*INDEX('Age profile'!$B$2:$B$61,B1682)</f>
        <v/>
      </c>
      <c r="G1682" s="45">
        <f>MIN(in_takeup_cap,INDEX('Age profile'!$N$2:$N$61,B1682)*(1+in_takeup_growth)^(D1682-1))</f>
        <v/>
      </c>
      <c r="H1682" s="11">
        <f>MIN(in_approval_cap,in_approved_first*INDEX('Age profile'!$O$2:$O$61,B1682)*(1+in_approval_growth)^(D1682-1))</f>
        <v/>
      </c>
      <c r="I1682" s="45">
        <f>G1682*MIN(in_takeup_cap,INDEX('Age profile'!$O$2:$O$61,B1682)*(1+in_approval_growth)^(D1682-1))</f>
        <v/>
      </c>
      <c r="J1682" s="40">
        <f>(J1681-L1681)*F1682/F1681</f>
        <v/>
      </c>
      <c r="K1682" s="40">
        <f>(K1681-M1681)*F1682/F1681+SUMIFS(O1679:O1681,B1679:B1681,B1682-1-d_T)*F1682</f>
        <v/>
      </c>
      <c r="L1682" s="40">
        <f>IF(B1682&gt;=in_marketplace_from,J1682*d_hz*G1682*in_eligible*H1682,0)</f>
        <v/>
      </c>
      <c r="M1682" s="40">
        <f>IF(B1682&gt;=in_marketplace_from,K1682*d_hz*G1682*in_eligible*in_approved_repeat,0)</f>
        <v/>
      </c>
      <c r="N1682" s="40">
        <f>L1682+M1682</f>
        <v/>
      </c>
      <c r="O1682" s="46">
        <f>N1682/F1682</f>
        <v/>
      </c>
      <c r="P1682" s="40">
        <f>F1682-J1682-K1682</f>
        <v/>
      </c>
      <c r="Q1682" s="40">
        <f>IF(B1682&gt;=in_marketplace_from,(J1682+K1682)*d_hz*G1682,0)</f>
        <v/>
      </c>
      <c r="R1682" s="40">
        <f>SUMIFS(N1679:N1695,B1679:B1695,"&gt;="&amp;(B1682-d_T),B1679:B1695,"&lt;="&amp;(B1682-1))</f>
        <v/>
      </c>
      <c r="S1682" s="46">
        <f>(1-d_u)*S1681+IF(d_T&gt;in_topup_lag,SUMIFS(O1679:O1695,B1679:B1695,B1682-in_topup_lag)-d_udrop*SUMIFS(O1679:O1695,B1679:B1695,B1682-d_T),0)</f>
        <v/>
      </c>
      <c r="T1682" s="40">
        <f>F1682*d_u*S1682</f>
        <v/>
      </c>
      <c r="U1682" s="9">
        <f>L1682*in_ticket+M1682*d_rep_ticket</f>
        <v/>
      </c>
      <c r="V1682" s="9">
        <f>U1682+T1682*d_topup_amt</f>
        <v/>
      </c>
      <c r="W1682" s="40">
        <f>N1682+T1682*d_topup_ratio</f>
        <v/>
      </c>
      <c r="X1682" s="40">
        <f>SUMIFS(W1679:W1695,B1679:B1695,B1682-in_dpd_lag)*d_cured</f>
        <v/>
      </c>
      <c r="Y1682" s="40">
        <f>SUMIFS(W1679:W1695,B1679:B1695,B1682-in_rec_lag)*d_recd</f>
        <v/>
      </c>
      <c r="Z1682" s="40">
        <f>IF(AND(B1682&gt;=in_marketplace_from,B1682&lt;in_marketplace_from+in_card_months),in_card_share/in_card_months*F1682*I1682,IF(AND(B1682&gt;=in_marketplace_from+in_card_months,B1682&lt;in_marketplace_from+2*in_card_months),in_card_share*d_card_rem/in_card_months*F1682*MIN(in_takeup_cap,(1+in_takeup_growth)^(D1682-1))*MIN(in_takeup_cap,(1+in_approval_growth)^(D1682-1)),0))</f>
        <v/>
      </c>
      <c r="AA1682" s="14">
        <f>V1682*in_fee*(1-in_taken_back)</f>
        <v/>
      </c>
      <c r="AB1682" s="14">
        <f>SUMIFS(W1679:W1695,B1679:B1695,B1682-in_dpd_lag)*d_dpd</f>
        <v/>
      </c>
      <c r="AC1682" s="14">
        <f>SUMIFS(W1679:W1695,B1679:B1695,B1682-in_rec_lag)*d_rec</f>
        <v/>
      </c>
      <c r="AD1682" s="14">
        <f>Z1682*in_card_fee</f>
        <v/>
      </c>
      <c r="AE1682" s="40">
        <f>AE1681*(1-IF(B1681&gt;=in_marketplace_from,d_hz_hlth_small*G1681,0))</f>
        <v/>
      </c>
      <c r="AF1682" s="46">
        <f>AE1682*IF(B1682&gt;=in_marketplace_from,d_hz_hlth_small*G1682,0)</f>
        <v/>
      </c>
      <c r="AG1682" s="14">
        <f>F1682*AF1682*in_hlth_small_ticket*in_hlth_small_comm*in_ins_partner_share+F1682*in_hlth_small_ticket*in_hlth_small_renew_comm*in_ins_partner_share*(in_hlth_small_renew^1*SUMIFS(AF1679:AF1695,B1679:B1695,B1682-12)+in_hlth_small_renew^2*SUMIFS(AF1679:AF1695,B1679:B1695,B1682-24)+in_hlth_small_renew^3*SUMIFS(AF1679:AF1695,B1679:B1695,B1682-36)+in_hlth_small_renew^4*SUMIFS(AF1679:AF1695,B1679:B1695,B1682-48))</f>
        <v/>
      </c>
      <c r="AH1682" s="40">
        <f>AH1681*(1-IF(B1681&gt;=in_marketplace_from,d_hz_hlth_family*G1681,0))</f>
        <v/>
      </c>
      <c r="AI1682" s="46">
        <f>AH1682*IF(B1682&gt;=in_marketplace_from,d_hz_hlth_family*G1682,0)</f>
        <v/>
      </c>
      <c r="AJ1682" s="14">
        <f>F1682*AI1682*in_hlth_family_ticket*in_hlth_family_comm*in_ins_partner_share+F1682*in_hlth_family_ticket*in_hlth_family_renew_comm*in_ins_partner_share*(in_hlth_family_renew^1*SUMIFS(AI1679:AI1695,B1679:B1695,B1682-12)+in_hlth_family_renew^2*SUMIFS(AI1679:AI1695,B1679:B1695,B1682-24)+in_hlth_family_renew^3*SUMIFS(AI1679:AI1695,B1679:B1695,B1682-36)+in_hlth_family_renew^4*SUMIFS(AI1679:AI1695,B1679:B1695,B1682-48))</f>
        <v/>
      </c>
      <c r="AK1682" s="40">
        <f>AK1681*(1-IF(B1681&gt;=in_marketplace_from,d_hz_life_term*G1681,0))</f>
        <v/>
      </c>
      <c r="AL1682" s="46">
        <f>AK1682*IF(B1682&gt;=in_marketplace_from,d_hz_life_term*G1682,0)</f>
        <v/>
      </c>
      <c r="AM1682" s="14">
        <f>F1682*AL1682*in_life_term_ticket*in_life_term_comm*in_ins_partner_share+F1682*in_life_term_ticket*in_life_term_renew_comm*in_ins_partner_share*(in_life_term_renew^1*SUMIFS(AL1679:AL1695,B1679:B1695,B1682-12)+in_life_term_renew^2*SUMIFS(AL1679:AL1695,B1679:B1695,B1682-24)+in_life_term_renew^3*SUMIFS(AL1679:AL1695,B1679:B1695,B1682-36)+in_life_term_renew^4*SUMIFS(AL1679:AL1695,B1679:B1695,B1682-48))</f>
        <v/>
      </c>
      <c r="AN1682" s="40">
        <f>AN1681*(1-IF(B1681&gt;=in_marketplace_from,d_hz_accident*G1681,0))</f>
        <v/>
      </c>
      <c r="AO1682" s="46">
        <f>AN1682*IF(B1682&gt;=in_marketplace_from,d_hz_accident*G1682,0)</f>
        <v/>
      </c>
      <c r="AP1682" s="14">
        <f>F1682*AO1682*in_accident_ticket*in_accident_comm*in_ins_partner_share+F1682*in_accident_ticket*in_accident_renew_comm*in_ins_partner_share*(in_accident_renew^1*SUMIFS(AO1679:AO1695,B1679:B1695,B1682-12)+in_accident_renew^2*SUMIFS(AO1679:AO1695,B1679:B1695,B1682-24)+in_accident_renew^3*SUMIFS(AO1679:AO1695,B1679:B1695,B1682-36)+in_accident_renew^4*SUMIFS(AO1679:AO1695,B1679:B1695,B1682-48))</f>
        <v/>
      </c>
      <c r="AQ1682" s="40">
        <f>AQ1681*(1-IF(B1681&gt;=in_marketplace_from,d_hz_two_wheeler*G1681,0))</f>
        <v/>
      </c>
      <c r="AR1682" s="46">
        <f>AQ1682*IF(B1682&gt;=in_marketplace_from,d_hz_two_wheeler*G1682,0)</f>
        <v/>
      </c>
      <c r="AS1682" s="14">
        <f>F1682*AR1682*in_two_wheeler_ticket*in_two_wheeler_comm*in_ins_partner_share+F1682*in_two_wheeler_ticket*in_two_wheeler_comm*in_ins_partner_share*(in_two_wheeler_renew^1*SUMIFS(AR1679:AR1695,B1679:B1695,B1682-12)+in_two_wheeler_renew^2*SUMIFS(AR1679:AR1695,B1679:B1695,B1682-24)+in_two_wheeler_renew^3*SUMIFS(AR1679:AR1695,B1679:B1695,B1682-36)+in_two_wheeler_renew^4*SUMIFS(AR1679:AR1695,B1679:B1695,B1682-48))</f>
        <v/>
      </c>
      <c r="AT1682" s="40">
        <f>AT1681*(1-IF(B1681&gt;=in_marketplace_from,d_hz_device*G1681,0))</f>
        <v/>
      </c>
      <c r="AU1682" s="14">
        <f>F1682*AT1682*IF(B1682&gt;=in_marketplace_from,d_hz_device*G1682,0)*in_device_ticket*in_device_comm*in_ins_partner_share</f>
        <v/>
      </c>
      <c r="AV1682" s="40">
        <f>AV1681*(1-IF(B1681&gt;=in_marketplace_from,d_hz_shop*G1681,0))</f>
        <v/>
      </c>
      <c r="AW1682" s="46">
        <f>AV1682*IF(B1682&gt;=in_marketplace_from,d_hz_shop*G1682,0)</f>
        <v/>
      </c>
      <c r="AX1682" s="14">
        <f>F1682*AW1682*in_shop_ticket*in_shop_comm*in_ins_partner_share+F1682*in_shop_ticket*in_shop_renew_comm*in_ins_partner_share*(in_shop_renew^1*SUMIFS(AW1679:AW1695,B1679:B1695,B1682-12)+in_shop_renew^2*SUMIFS(AW1679:AW1695,B1679:B1695,B1682-24)+in_shop_renew^3*SUMIFS(AW1679:AW1695,B1679:B1695,B1682-36)+in_shop_renew^4*SUMIFS(AW1679:AW1695,B1679:B1695,B1682-48))</f>
        <v/>
      </c>
      <c r="AY1682" s="40">
        <f>AY1681*(1-IF(B1681&gt;=in_marketplace_from,d_hz_sip*G1681,0))</f>
        <v/>
      </c>
      <c r="AZ1682" s="40">
        <f>AZ1681*d_rho_sip+AY1682*IF(B1682&gt;=in_marketplace_from,d_hz_sip*G1682,0)</f>
        <v/>
      </c>
      <c r="BA1682" s="40">
        <f>d_rho_sip*(BA1681+AZ1681)</f>
        <v/>
      </c>
      <c r="BB1682" s="14">
        <f>F1682*in_sip_ticket*(BA1682+0.5*AZ1682)*in_sip_comm/12</f>
        <v/>
      </c>
      <c r="BC1682" s="40">
        <f>BC1681*(1-IF(B1681&gt;=in_marketplace_from,d_hz_choti*G1681,0))</f>
        <v/>
      </c>
      <c r="BD1682" s="46">
        <f>BC1682*IF(B1682&gt;=in_marketplace_from,d_hz_choti*G1682,0)</f>
        <v/>
      </c>
      <c r="BE1682" s="14">
        <f>F1682*SUMIFS(BD1679:BD1695,B1679:B1695,B1682-in_choti_months)*in_choti_renew*in_choti_ticket</f>
        <v/>
      </c>
      <c r="BF1682" s="40">
        <f>BF1681*(1-IF(B1681&gt;=in_marketplace_from,d_hz_nps*G1681,0))</f>
        <v/>
      </c>
      <c r="BG1682" s="14">
        <f>F1682*BF1682*IF(B1682&gt;=in_marketplace_from,d_hz_nps*G1682,0)*in_nps_ticket*in_nps_comm</f>
        <v/>
      </c>
      <c r="BH1682" s="40">
        <f>BH1681*(1-IF(B1681&gt;=in_marketplace_from,d_hz_gold*G1681,0))</f>
        <v/>
      </c>
      <c r="BI1682" s="40">
        <f>BI1681*d_rho_gold+BH1682*IF(B1682&gt;=in_marketplace_from,d_hz_gold*G1682,0)</f>
        <v/>
      </c>
      <c r="BJ1682" s="14">
        <f>F1682*BI1682*in_gold_ticket*in_gold_comm</f>
        <v/>
      </c>
      <c r="BK1682" s="40">
        <f>BK1681*(1-IF(B1681&gt;=in_marketplace_from,d_hz_fd*G1681,0))</f>
        <v/>
      </c>
      <c r="BL1682" s="14">
        <f>F1682*BK1682*IF(B1682&gt;=in_marketplace_from,d_hz_fd*G1682,0)*in_fd_ticket*in_fd_comm</f>
        <v/>
      </c>
      <c r="BM1682" s="40">
        <f>BM1681*(1-IF(B1681&gt;=in_marketplace_from,d_hz_recharge*G1681,0))</f>
        <v/>
      </c>
      <c r="BN1682" s="40">
        <f>BN1681*d_rho_recharge+BM1682*IF(B1682&gt;=in_marketplace_from,d_hz_recharge*G1682,0)</f>
        <v/>
      </c>
      <c r="BO1682" s="14">
        <f>F1682*BN1682*in_recharge_ticket*in_recharge_comm/12</f>
        <v/>
      </c>
      <c r="BP1682" s="40">
        <f>BP1681*(1-IF(B1681&gt;=in_marketplace_from,d_hz_bills*G1681,0))</f>
        <v/>
      </c>
      <c r="BQ1682" s="40">
        <f>BQ1681*d_rho_bills+BP1682*IF(B1682&gt;=in_marketplace_from,d_hz_bills*G1682,0)</f>
        <v/>
      </c>
      <c r="BR1682" s="14">
        <f>F1682*BQ1682*in_bills_ticket*in_bills_comm/12</f>
        <v/>
      </c>
      <c r="BS1682" s="40">
        <f>BS1681*(1-IF(B1681&gt;=in_marketplace_from,d_hz_loan_gold*G1681,0))</f>
        <v/>
      </c>
      <c r="BT1682" s="14">
        <f>F1682*BS1682*IF(B1682&gt;=in_marketplace_from,d_hz_loan_gold*G1682,0)*in_loan_gold_ticket*in_loan_gold_comm</f>
        <v/>
      </c>
      <c r="BU1682" s="40">
        <f>BU1681*(1-IF(B1681&gt;=in_marketplace_from,d_hz_loan_cd*G1681,0))</f>
        <v/>
      </c>
      <c r="BV1682" s="14">
        <f>F1682*BU1682*IF(B1682&gt;=in_marketplace_from,d_hz_loan_cd*G1682,0)*in_loan_cd_ticket*in_loan_cd_comm</f>
        <v/>
      </c>
      <c r="BW1682" s="40">
        <f>BW1681*(1-IF(B1681&gt;=in_marketplace_from,d_hz_loan_vehicle*G1681,0))</f>
        <v/>
      </c>
      <c r="BX1682" s="14">
        <f>F1682*BW1682*IF(B1682&gt;=in_marketplace_from,d_hz_loan_vehicle*G1682,0)*in_loan_vehicle_ticket*in_loan_vehicle_comm</f>
        <v/>
      </c>
      <c r="BY1682" s="40">
        <f>BY1681*(1-IF(B1681&gt;=in_marketplace_from,d_hz_loan_home*G1681,0)*BZ1681)</f>
        <v/>
      </c>
      <c r="BZ1682" s="11">
        <f>MIN(in_approval_cap,in_loan_home_approval*INDEX('Age profile'!$O$2:$O$61,B1682)*(1+in_approval_growth)^(D1682-1))</f>
        <v/>
      </c>
      <c r="CA1682" s="14">
        <f>F1682*BY1682*IF(B1682&gt;=in_marketplace_from,d_hz_loan_home*G1682,0)*BZ1682*in_loan_home_ticket*in_loan_home_comm</f>
        <v/>
      </c>
      <c r="CB1682" s="40">
        <f>CB1681*(1-IF(B1681&gt;=in_marketplace_from,d_hz_loan_lap*G1681,0)*CC1681)</f>
        <v/>
      </c>
      <c r="CC1682" s="11">
        <f>MIN(in_approval_cap,in_loan_lap_approval*INDEX('Age profile'!$O$2:$O$61,B1682)*(1+in_approval_growth)^(D1682-1))</f>
        <v/>
      </c>
      <c r="CD1682" s="14">
        <f>F1682*CB1682*IF(B1682&gt;=in_marketplace_from,d_hz_loan_lap*G1682,0)*CC1682*in_loan_lap_ticket*in_loan_lap_comm</f>
        <v/>
      </c>
      <c r="CE1682" s="14">
        <f>AA1682+AB1682+AC1682+AD1682+AG1682+AJ1682+AM1682+AP1682+AS1682+AU1682+AX1682+BB1682+BE1682+BG1682+BJ1682+BL1682+BO1682+BR1682+BT1682+BV1682+BX1682+CA1682+CD1682</f>
        <v/>
      </c>
    </row>
    <row r="1683">
      <c r="A1683" s="39" t="n">
        <v>44</v>
      </c>
      <c r="B1683" s="39" t="n">
        <v>5</v>
      </c>
      <c r="C1683" s="39">
        <f>A1683+B1683-1</f>
        <v/>
      </c>
      <c r="D1683" s="39">
        <f>INT((C1683-1)/12)+1</f>
        <v/>
      </c>
      <c r="E1683" s="44">
        <f>INDEX(Monthly!$B$2:$B$61,A1683)</f>
        <v/>
      </c>
      <c r="F1683" s="44">
        <f>E1683*INDEX('Age profile'!$B$2:$B$61,B1683)</f>
        <v/>
      </c>
      <c r="G1683" s="45">
        <f>MIN(in_takeup_cap,INDEX('Age profile'!$N$2:$N$61,B1683)*(1+in_takeup_growth)^(D1683-1))</f>
        <v/>
      </c>
      <c r="H1683" s="11">
        <f>MIN(in_approval_cap,in_approved_first*INDEX('Age profile'!$O$2:$O$61,B1683)*(1+in_approval_growth)^(D1683-1))</f>
        <v/>
      </c>
      <c r="I1683" s="45">
        <f>G1683*MIN(in_takeup_cap,INDEX('Age profile'!$O$2:$O$61,B1683)*(1+in_approval_growth)^(D1683-1))</f>
        <v/>
      </c>
      <c r="J1683" s="40">
        <f>(J1682-L1682)*F1683/F1682</f>
        <v/>
      </c>
      <c r="K1683" s="40">
        <f>(K1682-M1682)*F1683/F1682+SUMIFS(O1679:O1682,B1679:B1682,B1683-1-d_T)*F1683</f>
        <v/>
      </c>
      <c r="L1683" s="40">
        <f>IF(B1683&gt;=in_marketplace_from,J1683*d_hz*G1683*in_eligible*H1683,0)</f>
        <v/>
      </c>
      <c r="M1683" s="40">
        <f>IF(B1683&gt;=in_marketplace_from,K1683*d_hz*G1683*in_eligible*in_approved_repeat,0)</f>
        <v/>
      </c>
      <c r="N1683" s="40">
        <f>L1683+M1683</f>
        <v/>
      </c>
      <c r="O1683" s="46">
        <f>N1683/F1683</f>
        <v/>
      </c>
      <c r="P1683" s="40">
        <f>F1683-J1683-K1683</f>
        <v/>
      </c>
      <c r="Q1683" s="40">
        <f>IF(B1683&gt;=in_marketplace_from,(J1683+K1683)*d_hz*G1683,0)</f>
        <v/>
      </c>
      <c r="R1683" s="40">
        <f>SUMIFS(N1679:N1695,B1679:B1695,"&gt;="&amp;(B1683-d_T),B1679:B1695,"&lt;="&amp;(B1683-1))</f>
        <v/>
      </c>
      <c r="S1683" s="46">
        <f>(1-d_u)*S1682+IF(d_T&gt;in_topup_lag,SUMIFS(O1679:O1695,B1679:B1695,B1683-in_topup_lag)-d_udrop*SUMIFS(O1679:O1695,B1679:B1695,B1683-d_T),0)</f>
        <v/>
      </c>
      <c r="T1683" s="40">
        <f>F1683*d_u*S1683</f>
        <v/>
      </c>
      <c r="U1683" s="9">
        <f>L1683*in_ticket+M1683*d_rep_ticket</f>
        <v/>
      </c>
      <c r="V1683" s="9">
        <f>U1683+T1683*d_topup_amt</f>
        <v/>
      </c>
      <c r="W1683" s="40">
        <f>N1683+T1683*d_topup_ratio</f>
        <v/>
      </c>
      <c r="X1683" s="40">
        <f>SUMIFS(W1679:W1695,B1679:B1695,B1683-in_dpd_lag)*d_cured</f>
        <v/>
      </c>
      <c r="Y1683" s="40">
        <f>SUMIFS(W1679:W1695,B1679:B1695,B1683-in_rec_lag)*d_recd</f>
        <v/>
      </c>
      <c r="Z1683" s="40">
        <f>IF(AND(B1683&gt;=in_marketplace_from,B1683&lt;in_marketplace_from+in_card_months),in_card_share/in_card_months*F1683*I1683,IF(AND(B1683&gt;=in_marketplace_from+in_card_months,B1683&lt;in_marketplace_from+2*in_card_months),in_card_share*d_card_rem/in_card_months*F1683*MIN(in_takeup_cap,(1+in_takeup_growth)^(D1683-1))*MIN(in_takeup_cap,(1+in_approval_growth)^(D1683-1)),0))</f>
        <v/>
      </c>
      <c r="AA1683" s="14">
        <f>V1683*in_fee*(1-in_taken_back)</f>
        <v/>
      </c>
      <c r="AB1683" s="14">
        <f>SUMIFS(W1679:W1695,B1679:B1695,B1683-in_dpd_lag)*d_dpd</f>
        <v/>
      </c>
      <c r="AC1683" s="14">
        <f>SUMIFS(W1679:W1695,B1679:B1695,B1683-in_rec_lag)*d_rec</f>
        <v/>
      </c>
      <c r="AD1683" s="14">
        <f>Z1683*in_card_fee</f>
        <v/>
      </c>
      <c r="AE1683" s="40">
        <f>AE1682*(1-IF(B1682&gt;=in_marketplace_from,d_hz_hlth_small*G1682,0))</f>
        <v/>
      </c>
      <c r="AF1683" s="46">
        <f>AE1683*IF(B1683&gt;=in_marketplace_from,d_hz_hlth_small*G1683,0)</f>
        <v/>
      </c>
      <c r="AG1683" s="14">
        <f>F1683*AF1683*in_hlth_small_ticket*in_hlth_small_comm*in_ins_partner_share+F1683*in_hlth_small_ticket*in_hlth_small_renew_comm*in_ins_partner_share*(in_hlth_small_renew^1*SUMIFS(AF1679:AF1695,B1679:B1695,B1683-12)+in_hlth_small_renew^2*SUMIFS(AF1679:AF1695,B1679:B1695,B1683-24)+in_hlth_small_renew^3*SUMIFS(AF1679:AF1695,B1679:B1695,B1683-36)+in_hlth_small_renew^4*SUMIFS(AF1679:AF1695,B1679:B1695,B1683-48))</f>
        <v/>
      </c>
      <c r="AH1683" s="40">
        <f>AH1682*(1-IF(B1682&gt;=in_marketplace_from,d_hz_hlth_family*G1682,0))</f>
        <v/>
      </c>
      <c r="AI1683" s="46">
        <f>AH1683*IF(B1683&gt;=in_marketplace_from,d_hz_hlth_family*G1683,0)</f>
        <v/>
      </c>
      <c r="AJ1683" s="14">
        <f>F1683*AI1683*in_hlth_family_ticket*in_hlth_family_comm*in_ins_partner_share+F1683*in_hlth_family_ticket*in_hlth_family_renew_comm*in_ins_partner_share*(in_hlth_family_renew^1*SUMIFS(AI1679:AI1695,B1679:B1695,B1683-12)+in_hlth_family_renew^2*SUMIFS(AI1679:AI1695,B1679:B1695,B1683-24)+in_hlth_family_renew^3*SUMIFS(AI1679:AI1695,B1679:B1695,B1683-36)+in_hlth_family_renew^4*SUMIFS(AI1679:AI1695,B1679:B1695,B1683-48))</f>
        <v/>
      </c>
      <c r="AK1683" s="40">
        <f>AK1682*(1-IF(B1682&gt;=in_marketplace_from,d_hz_life_term*G1682,0))</f>
        <v/>
      </c>
      <c r="AL1683" s="46">
        <f>AK1683*IF(B1683&gt;=in_marketplace_from,d_hz_life_term*G1683,0)</f>
        <v/>
      </c>
      <c r="AM1683" s="14">
        <f>F1683*AL1683*in_life_term_ticket*in_life_term_comm*in_ins_partner_share+F1683*in_life_term_ticket*in_life_term_renew_comm*in_ins_partner_share*(in_life_term_renew^1*SUMIFS(AL1679:AL1695,B1679:B1695,B1683-12)+in_life_term_renew^2*SUMIFS(AL1679:AL1695,B1679:B1695,B1683-24)+in_life_term_renew^3*SUMIFS(AL1679:AL1695,B1679:B1695,B1683-36)+in_life_term_renew^4*SUMIFS(AL1679:AL1695,B1679:B1695,B1683-48))</f>
        <v/>
      </c>
      <c r="AN1683" s="40">
        <f>AN1682*(1-IF(B1682&gt;=in_marketplace_from,d_hz_accident*G1682,0))</f>
        <v/>
      </c>
      <c r="AO1683" s="46">
        <f>AN1683*IF(B1683&gt;=in_marketplace_from,d_hz_accident*G1683,0)</f>
        <v/>
      </c>
      <c r="AP1683" s="14">
        <f>F1683*AO1683*in_accident_ticket*in_accident_comm*in_ins_partner_share+F1683*in_accident_ticket*in_accident_renew_comm*in_ins_partner_share*(in_accident_renew^1*SUMIFS(AO1679:AO1695,B1679:B1695,B1683-12)+in_accident_renew^2*SUMIFS(AO1679:AO1695,B1679:B1695,B1683-24)+in_accident_renew^3*SUMIFS(AO1679:AO1695,B1679:B1695,B1683-36)+in_accident_renew^4*SUMIFS(AO1679:AO1695,B1679:B1695,B1683-48))</f>
        <v/>
      </c>
      <c r="AQ1683" s="40">
        <f>AQ1682*(1-IF(B1682&gt;=in_marketplace_from,d_hz_two_wheeler*G1682,0))</f>
        <v/>
      </c>
      <c r="AR1683" s="46">
        <f>AQ1683*IF(B1683&gt;=in_marketplace_from,d_hz_two_wheeler*G1683,0)</f>
        <v/>
      </c>
      <c r="AS1683" s="14">
        <f>F1683*AR1683*in_two_wheeler_ticket*in_two_wheeler_comm*in_ins_partner_share+F1683*in_two_wheeler_ticket*in_two_wheeler_comm*in_ins_partner_share*(in_two_wheeler_renew^1*SUMIFS(AR1679:AR1695,B1679:B1695,B1683-12)+in_two_wheeler_renew^2*SUMIFS(AR1679:AR1695,B1679:B1695,B1683-24)+in_two_wheeler_renew^3*SUMIFS(AR1679:AR1695,B1679:B1695,B1683-36)+in_two_wheeler_renew^4*SUMIFS(AR1679:AR1695,B1679:B1695,B1683-48))</f>
        <v/>
      </c>
      <c r="AT1683" s="40">
        <f>AT1682*(1-IF(B1682&gt;=in_marketplace_from,d_hz_device*G1682,0))</f>
        <v/>
      </c>
      <c r="AU1683" s="14">
        <f>F1683*AT1683*IF(B1683&gt;=in_marketplace_from,d_hz_device*G1683,0)*in_device_ticket*in_device_comm*in_ins_partner_share</f>
        <v/>
      </c>
      <c r="AV1683" s="40">
        <f>AV1682*(1-IF(B1682&gt;=in_marketplace_from,d_hz_shop*G1682,0))</f>
        <v/>
      </c>
      <c r="AW1683" s="46">
        <f>AV1683*IF(B1683&gt;=in_marketplace_from,d_hz_shop*G1683,0)</f>
        <v/>
      </c>
      <c r="AX1683" s="14">
        <f>F1683*AW1683*in_shop_ticket*in_shop_comm*in_ins_partner_share+F1683*in_shop_ticket*in_shop_renew_comm*in_ins_partner_share*(in_shop_renew^1*SUMIFS(AW1679:AW1695,B1679:B1695,B1683-12)+in_shop_renew^2*SUMIFS(AW1679:AW1695,B1679:B1695,B1683-24)+in_shop_renew^3*SUMIFS(AW1679:AW1695,B1679:B1695,B1683-36)+in_shop_renew^4*SUMIFS(AW1679:AW1695,B1679:B1695,B1683-48))</f>
        <v/>
      </c>
      <c r="AY1683" s="40">
        <f>AY1682*(1-IF(B1682&gt;=in_marketplace_from,d_hz_sip*G1682,0))</f>
        <v/>
      </c>
      <c r="AZ1683" s="40">
        <f>AZ1682*d_rho_sip+AY1683*IF(B1683&gt;=in_marketplace_from,d_hz_sip*G1683,0)</f>
        <v/>
      </c>
      <c r="BA1683" s="40">
        <f>d_rho_sip*(BA1682+AZ1682)</f>
        <v/>
      </c>
      <c r="BB1683" s="14">
        <f>F1683*in_sip_ticket*(BA1683+0.5*AZ1683)*in_sip_comm/12</f>
        <v/>
      </c>
      <c r="BC1683" s="40">
        <f>BC1682*(1-IF(B1682&gt;=in_marketplace_from,d_hz_choti*G1682,0))</f>
        <v/>
      </c>
      <c r="BD1683" s="46">
        <f>BC1683*IF(B1683&gt;=in_marketplace_from,d_hz_choti*G1683,0)</f>
        <v/>
      </c>
      <c r="BE1683" s="14">
        <f>F1683*SUMIFS(BD1679:BD1695,B1679:B1695,B1683-in_choti_months)*in_choti_renew*in_choti_ticket</f>
        <v/>
      </c>
      <c r="BF1683" s="40">
        <f>BF1682*(1-IF(B1682&gt;=in_marketplace_from,d_hz_nps*G1682,0))</f>
        <v/>
      </c>
      <c r="BG1683" s="14">
        <f>F1683*BF1683*IF(B1683&gt;=in_marketplace_from,d_hz_nps*G1683,0)*in_nps_ticket*in_nps_comm</f>
        <v/>
      </c>
      <c r="BH1683" s="40">
        <f>BH1682*(1-IF(B1682&gt;=in_marketplace_from,d_hz_gold*G1682,0))</f>
        <v/>
      </c>
      <c r="BI1683" s="40">
        <f>BI1682*d_rho_gold+BH1683*IF(B1683&gt;=in_marketplace_from,d_hz_gold*G1683,0)</f>
        <v/>
      </c>
      <c r="BJ1683" s="14">
        <f>F1683*BI1683*in_gold_ticket*in_gold_comm</f>
        <v/>
      </c>
      <c r="BK1683" s="40">
        <f>BK1682*(1-IF(B1682&gt;=in_marketplace_from,d_hz_fd*G1682,0))</f>
        <v/>
      </c>
      <c r="BL1683" s="14">
        <f>F1683*BK1683*IF(B1683&gt;=in_marketplace_from,d_hz_fd*G1683,0)*in_fd_ticket*in_fd_comm</f>
        <v/>
      </c>
      <c r="BM1683" s="40">
        <f>BM1682*(1-IF(B1682&gt;=in_marketplace_from,d_hz_recharge*G1682,0))</f>
        <v/>
      </c>
      <c r="BN1683" s="40">
        <f>BN1682*d_rho_recharge+BM1683*IF(B1683&gt;=in_marketplace_from,d_hz_recharge*G1683,0)</f>
        <v/>
      </c>
      <c r="BO1683" s="14">
        <f>F1683*BN1683*in_recharge_ticket*in_recharge_comm/12</f>
        <v/>
      </c>
      <c r="BP1683" s="40">
        <f>BP1682*(1-IF(B1682&gt;=in_marketplace_from,d_hz_bills*G1682,0))</f>
        <v/>
      </c>
      <c r="BQ1683" s="40">
        <f>BQ1682*d_rho_bills+BP1683*IF(B1683&gt;=in_marketplace_from,d_hz_bills*G1683,0)</f>
        <v/>
      </c>
      <c r="BR1683" s="14">
        <f>F1683*BQ1683*in_bills_ticket*in_bills_comm/12</f>
        <v/>
      </c>
      <c r="BS1683" s="40">
        <f>BS1682*(1-IF(B1682&gt;=in_marketplace_from,d_hz_loan_gold*G1682,0))</f>
        <v/>
      </c>
      <c r="BT1683" s="14">
        <f>F1683*BS1683*IF(B1683&gt;=in_marketplace_from,d_hz_loan_gold*G1683,0)*in_loan_gold_ticket*in_loan_gold_comm</f>
        <v/>
      </c>
      <c r="BU1683" s="40">
        <f>BU1682*(1-IF(B1682&gt;=in_marketplace_from,d_hz_loan_cd*G1682,0))</f>
        <v/>
      </c>
      <c r="BV1683" s="14">
        <f>F1683*BU1683*IF(B1683&gt;=in_marketplace_from,d_hz_loan_cd*G1683,0)*in_loan_cd_ticket*in_loan_cd_comm</f>
        <v/>
      </c>
      <c r="BW1683" s="40">
        <f>BW1682*(1-IF(B1682&gt;=in_marketplace_from,d_hz_loan_vehicle*G1682,0))</f>
        <v/>
      </c>
      <c r="BX1683" s="14">
        <f>F1683*BW1683*IF(B1683&gt;=in_marketplace_from,d_hz_loan_vehicle*G1683,0)*in_loan_vehicle_ticket*in_loan_vehicle_comm</f>
        <v/>
      </c>
      <c r="BY1683" s="40">
        <f>BY1682*(1-IF(B1682&gt;=in_marketplace_from,d_hz_loan_home*G1682,0)*BZ1682)</f>
        <v/>
      </c>
      <c r="BZ1683" s="11">
        <f>MIN(in_approval_cap,in_loan_home_approval*INDEX('Age profile'!$O$2:$O$61,B1683)*(1+in_approval_growth)^(D1683-1))</f>
        <v/>
      </c>
      <c r="CA1683" s="14">
        <f>F1683*BY1683*IF(B1683&gt;=in_marketplace_from,d_hz_loan_home*G1683,0)*BZ1683*in_loan_home_ticket*in_loan_home_comm</f>
        <v/>
      </c>
      <c r="CB1683" s="40">
        <f>CB1682*(1-IF(B1682&gt;=in_marketplace_from,d_hz_loan_lap*G1682,0)*CC1682)</f>
        <v/>
      </c>
      <c r="CC1683" s="11">
        <f>MIN(in_approval_cap,in_loan_lap_approval*INDEX('Age profile'!$O$2:$O$61,B1683)*(1+in_approval_growth)^(D1683-1))</f>
        <v/>
      </c>
      <c r="CD1683" s="14">
        <f>F1683*CB1683*IF(B1683&gt;=in_marketplace_from,d_hz_loan_lap*G1683,0)*CC1683*in_loan_lap_ticket*in_loan_lap_comm</f>
        <v/>
      </c>
      <c r="CE1683" s="14">
        <f>AA1683+AB1683+AC1683+AD1683+AG1683+AJ1683+AM1683+AP1683+AS1683+AU1683+AX1683+BB1683+BE1683+BG1683+BJ1683+BL1683+BO1683+BR1683+BT1683+BV1683+BX1683+CA1683+CD1683</f>
        <v/>
      </c>
    </row>
    <row r="1684">
      <c r="A1684" s="39" t="n">
        <v>44</v>
      </c>
      <c r="B1684" s="39" t="n">
        <v>6</v>
      </c>
      <c r="C1684" s="39">
        <f>A1684+B1684-1</f>
        <v/>
      </c>
      <c r="D1684" s="39">
        <f>INT((C1684-1)/12)+1</f>
        <v/>
      </c>
      <c r="E1684" s="44">
        <f>INDEX(Monthly!$B$2:$B$61,A1684)</f>
        <v/>
      </c>
      <c r="F1684" s="44">
        <f>E1684*INDEX('Age profile'!$B$2:$B$61,B1684)</f>
        <v/>
      </c>
      <c r="G1684" s="45">
        <f>MIN(in_takeup_cap,INDEX('Age profile'!$N$2:$N$61,B1684)*(1+in_takeup_growth)^(D1684-1))</f>
        <v/>
      </c>
      <c r="H1684" s="11">
        <f>MIN(in_approval_cap,in_approved_first*INDEX('Age profile'!$O$2:$O$61,B1684)*(1+in_approval_growth)^(D1684-1))</f>
        <v/>
      </c>
      <c r="I1684" s="45">
        <f>G1684*MIN(in_takeup_cap,INDEX('Age profile'!$O$2:$O$61,B1684)*(1+in_approval_growth)^(D1684-1))</f>
        <v/>
      </c>
      <c r="J1684" s="40">
        <f>(J1683-L1683)*F1684/F1683</f>
        <v/>
      </c>
      <c r="K1684" s="40">
        <f>(K1683-M1683)*F1684/F1683+SUMIFS(O1679:O1683,B1679:B1683,B1684-1-d_T)*F1684</f>
        <v/>
      </c>
      <c r="L1684" s="40">
        <f>IF(B1684&gt;=in_marketplace_from,J1684*d_hz*G1684*in_eligible*H1684,0)</f>
        <v/>
      </c>
      <c r="M1684" s="40">
        <f>IF(B1684&gt;=in_marketplace_from,K1684*d_hz*G1684*in_eligible*in_approved_repeat,0)</f>
        <v/>
      </c>
      <c r="N1684" s="40">
        <f>L1684+M1684</f>
        <v/>
      </c>
      <c r="O1684" s="46">
        <f>N1684/F1684</f>
        <v/>
      </c>
      <c r="P1684" s="40">
        <f>F1684-J1684-K1684</f>
        <v/>
      </c>
      <c r="Q1684" s="40">
        <f>IF(B1684&gt;=in_marketplace_from,(J1684+K1684)*d_hz*G1684,0)</f>
        <v/>
      </c>
      <c r="R1684" s="40">
        <f>SUMIFS(N1679:N1695,B1679:B1695,"&gt;="&amp;(B1684-d_T),B1679:B1695,"&lt;="&amp;(B1684-1))</f>
        <v/>
      </c>
      <c r="S1684" s="46">
        <f>(1-d_u)*S1683+IF(d_T&gt;in_topup_lag,SUMIFS(O1679:O1695,B1679:B1695,B1684-in_topup_lag)-d_udrop*SUMIFS(O1679:O1695,B1679:B1695,B1684-d_T),0)</f>
        <v/>
      </c>
      <c r="T1684" s="40">
        <f>F1684*d_u*S1684</f>
        <v/>
      </c>
      <c r="U1684" s="9">
        <f>L1684*in_ticket+M1684*d_rep_ticket</f>
        <v/>
      </c>
      <c r="V1684" s="9">
        <f>U1684+T1684*d_topup_amt</f>
        <v/>
      </c>
      <c r="W1684" s="40">
        <f>N1684+T1684*d_topup_ratio</f>
        <v/>
      </c>
      <c r="X1684" s="40">
        <f>SUMIFS(W1679:W1695,B1679:B1695,B1684-in_dpd_lag)*d_cured</f>
        <v/>
      </c>
      <c r="Y1684" s="40">
        <f>SUMIFS(W1679:W1695,B1679:B1695,B1684-in_rec_lag)*d_recd</f>
        <v/>
      </c>
      <c r="Z1684" s="40">
        <f>IF(AND(B1684&gt;=in_marketplace_from,B1684&lt;in_marketplace_from+in_card_months),in_card_share/in_card_months*F1684*I1684,IF(AND(B1684&gt;=in_marketplace_from+in_card_months,B1684&lt;in_marketplace_from+2*in_card_months),in_card_share*d_card_rem/in_card_months*F1684*MIN(in_takeup_cap,(1+in_takeup_growth)^(D1684-1))*MIN(in_takeup_cap,(1+in_approval_growth)^(D1684-1)),0))</f>
        <v/>
      </c>
      <c r="AA1684" s="14">
        <f>V1684*in_fee*(1-in_taken_back)</f>
        <v/>
      </c>
      <c r="AB1684" s="14">
        <f>SUMIFS(W1679:W1695,B1679:B1695,B1684-in_dpd_lag)*d_dpd</f>
        <v/>
      </c>
      <c r="AC1684" s="14">
        <f>SUMIFS(W1679:W1695,B1679:B1695,B1684-in_rec_lag)*d_rec</f>
        <v/>
      </c>
      <c r="AD1684" s="14">
        <f>Z1684*in_card_fee</f>
        <v/>
      </c>
      <c r="AE1684" s="40">
        <f>AE1683*(1-IF(B1683&gt;=in_marketplace_from,d_hz_hlth_small*G1683,0))</f>
        <v/>
      </c>
      <c r="AF1684" s="46">
        <f>AE1684*IF(B1684&gt;=in_marketplace_from,d_hz_hlth_small*G1684,0)</f>
        <v/>
      </c>
      <c r="AG1684" s="14">
        <f>F1684*AF1684*in_hlth_small_ticket*in_hlth_small_comm*in_ins_partner_share+F1684*in_hlth_small_ticket*in_hlth_small_renew_comm*in_ins_partner_share*(in_hlth_small_renew^1*SUMIFS(AF1679:AF1695,B1679:B1695,B1684-12)+in_hlth_small_renew^2*SUMIFS(AF1679:AF1695,B1679:B1695,B1684-24)+in_hlth_small_renew^3*SUMIFS(AF1679:AF1695,B1679:B1695,B1684-36)+in_hlth_small_renew^4*SUMIFS(AF1679:AF1695,B1679:B1695,B1684-48))</f>
        <v/>
      </c>
      <c r="AH1684" s="40">
        <f>AH1683*(1-IF(B1683&gt;=in_marketplace_from,d_hz_hlth_family*G1683,0))</f>
        <v/>
      </c>
      <c r="AI1684" s="46">
        <f>AH1684*IF(B1684&gt;=in_marketplace_from,d_hz_hlth_family*G1684,0)</f>
        <v/>
      </c>
      <c r="AJ1684" s="14">
        <f>F1684*AI1684*in_hlth_family_ticket*in_hlth_family_comm*in_ins_partner_share+F1684*in_hlth_family_ticket*in_hlth_family_renew_comm*in_ins_partner_share*(in_hlth_family_renew^1*SUMIFS(AI1679:AI1695,B1679:B1695,B1684-12)+in_hlth_family_renew^2*SUMIFS(AI1679:AI1695,B1679:B1695,B1684-24)+in_hlth_family_renew^3*SUMIFS(AI1679:AI1695,B1679:B1695,B1684-36)+in_hlth_family_renew^4*SUMIFS(AI1679:AI1695,B1679:B1695,B1684-48))</f>
        <v/>
      </c>
      <c r="AK1684" s="40">
        <f>AK1683*(1-IF(B1683&gt;=in_marketplace_from,d_hz_life_term*G1683,0))</f>
        <v/>
      </c>
      <c r="AL1684" s="46">
        <f>AK1684*IF(B1684&gt;=in_marketplace_from,d_hz_life_term*G1684,0)</f>
        <v/>
      </c>
      <c r="AM1684" s="14">
        <f>F1684*AL1684*in_life_term_ticket*in_life_term_comm*in_ins_partner_share+F1684*in_life_term_ticket*in_life_term_renew_comm*in_ins_partner_share*(in_life_term_renew^1*SUMIFS(AL1679:AL1695,B1679:B1695,B1684-12)+in_life_term_renew^2*SUMIFS(AL1679:AL1695,B1679:B1695,B1684-24)+in_life_term_renew^3*SUMIFS(AL1679:AL1695,B1679:B1695,B1684-36)+in_life_term_renew^4*SUMIFS(AL1679:AL1695,B1679:B1695,B1684-48))</f>
        <v/>
      </c>
      <c r="AN1684" s="40">
        <f>AN1683*(1-IF(B1683&gt;=in_marketplace_from,d_hz_accident*G1683,0))</f>
        <v/>
      </c>
      <c r="AO1684" s="46">
        <f>AN1684*IF(B1684&gt;=in_marketplace_from,d_hz_accident*G1684,0)</f>
        <v/>
      </c>
      <c r="AP1684" s="14">
        <f>F1684*AO1684*in_accident_ticket*in_accident_comm*in_ins_partner_share+F1684*in_accident_ticket*in_accident_renew_comm*in_ins_partner_share*(in_accident_renew^1*SUMIFS(AO1679:AO1695,B1679:B1695,B1684-12)+in_accident_renew^2*SUMIFS(AO1679:AO1695,B1679:B1695,B1684-24)+in_accident_renew^3*SUMIFS(AO1679:AO1695,B1679:B1695,B1684-36)+in_accident_renew^4*SUMIFS(AO1679:AO1695,B1679:B1695,B1684-48))</f>
        <v/>
      </c>
      <c r="AQ1684" s="40">
        <f>AQ1683*(1-IF(B1683&gt;=in_marketplace_from,d_hz_two_wheeler*G1683,0))</f>
        <v/>
      </c>
      <c r="AR1684" s="46">
        <f>AQ1684*IF(B1684&gt;=in_marketplace_from,d_hz_two_wheeler*G1684,0)</f>
        <v/>
      </c>
      <c r="AS1684" s="14">
        <f>F1684*AR1684*in_two_wheeler_ticket*in_two_wheeler_comm*in_ins_partner_share+F1684*in_two_wheeler_ticket*in_two_wheeler_comm*in_ins_partner_share*(in_two_wheeler_renew^1*SUMIFS(AR1679:AR1695,B1679:B1695,B1684-12)+in_two_wheeler_renew^2*SUMIFS(AR1679:AR1695,B1679:B1695,B1684-24)+in_two_wheeler_renew^3*SUMIFS(AR1679:AR1695,B1679:B1695,B1684-36)+in_two_wheeler_renew^4*SUMIFS(AR1679:AR1695,B1679:B1695,B1684-48))</f>
        <v/>
      </c>
      <c r="AT1684" s="40">
        <f>AT1683*(1-IF(B1683&gt;=in_marketplace_from,d_hz_device*G1683,0))</f>
        <v/>
      </c>
      <c r="AU1684" s="14">
        <f>F1684*AT1684*IF(B1684&gt;=in_marketplace_from,d_hz_device*G1684,0)*in_device_ticket*in_device_comm*in_ins_partner_share</f>
        <v/>
      </c>
      <c r="AV1684" s="40">
        <f>AV1683*(1-IF(B1683&gt;=in_marketplace_from,d_hz_shop*G1683,0))</f>
        <v/>
      </c>
      <c r="AW1684" s="46">
        <f>AV1684*IF(B1684&gt;=in_marketplace_from,d_hz_shop*G1684,0)</f>
        <v/>
      </c>
      <c r="AX1684" s="14">
        <f>F1684*AW1684*in_shop_ticket*in_shop_comm*in_ins_partner_share+F1684*in_shop_ticket*in_shop_renew_comm*in_ins_partner_share*(in_shop_renew^1*SUMIFS(AW1679:AW1695,B1679:B1695,B1684-12)+in_shop_renew^2*SUMIFS(AW1679:AW1695,B1679:B1695,B1684-24)+in_shop_renew^3*SUMIFS(AW1679:AW1695,B1679:B1695,B1684-36)+in_shop_renew^4*SUMIFS(AW1679:AW1695,B1679:B1695,B1684-48))</f>
        <v/>
      </c>
      <c r="AY1684" s="40">
        <f>AY1683*(1-IF(B1683&gt;=in_marketplace_from,d_hz_sip*G1683,0))</f>
        <v/>
      </c>
      <c r="AZ1684" s="40">
        <f>AZ1683*d_rho_sip+AY1684*IF(B1684&gt;=in_marketplace_from,d_hz_sip*G1684,0)</f>
        <v/>
      </c>
      <c r="BA1684" s="40">
        <f>d_rho_sip*(BA1683+AZ1683)</f>
        <v/>
      </c>
      <c r="BB1684" s="14">
        <f>F1684*in_sip_ticket*(BA1684+0.5*AZ1684)*in_sip_comm/12</f>
        <v/>
      </c>
      <c r="BC1684" s="40">
        <f>BC1683*(1-IF(B1683&gt;=in_marketplace_from,d_hz_choti*G1683,0))</f>
        <v/>
      </c>
      <c r="BD1684" s="46">
        <f>BC1684*IF(B1684&gt;=in_marketplace_from,d_hz_choti*G1684,0)</f>
        <v/>
      </c>
      <c r="BE1684" s="14">
        <f>F1684*SUMIFS(BD1679:BD1695,B1679:B1695,B1684-in_choti_months)*in_choti_renew*in_choti_ticket</f>
        <v/>
      </c>
      <c r="BF1684" s="40">
        <f>BF1683*(1-IF(B1683&gt;=in_marketplace_from,d_hz_nps*G1683,0))</f>
        <v/>
      </c>
      <c r="BG1684" s="14">
        <f>F1684*BF1684*IF(B1684&gt;=in_marketplace_from,d_hz_nps*G1684,0)*in_nps_ticket*in_nps_comm</f>
        <v/>
      </c>
      <c r="BH1684" s="40">
        <f>BH1683*(1-IF(B1683&gt;=in_marketplace_from,d_hz_gold*G1683,0))</f>
        <v/>
      </c>
      <c r="BI1684" s="40">
        <f>BI1683*d_rho_gold+BH1684*IF(B1684&gt;=in_marketplace_from,d_hz_gold*G1684,0)</f>
        <v/>
      </c>
      <c r="BJ1684" s="14">
        <f>F1684*BI1684*in_gold_ticket*in_gold_comm</f>
        <v/>
      </c>
      <c r="BK1684" s="40">
        <f>BK1683*(1-IF(B1683&gt;=in_marketplace_from,d_hz_fd*G1683,0))</f>
        <v/>
      </c>
      <c r="BL1684" s="14">
        <f>F1684*BK1684*IF(B1684&gt;=in_marketplace_from,d_hz_fd*G1684,0)*in_fd_ticket*in_fd_comm</f>
        <v/>
      </c>
      <c r="BM1684" s="40">
        <f>BM1683*(1-IF(B1683&gt;=in_marketplace_from,d_hz_recharge*G1683,0))</f>
        <v/>
      </c>
      <c r="BN1684" s="40">
        <f>BN1683*d_rho_recharge+BM1684*IF(B1684&gt;=in_marketplace_from,d_hz_recharge*G1684,0)</f>
        <v/>
      </c>
      <c r="BO1684" s="14">
        <f>F1684*BN1684*in_recharge_ticket*in_recharge_comm/12</f>
        <v/>
      </c>
      <c r="BP1684" s="40">
        <f>BP1683*(1-IF(B1683&gt;=in_marketplace_from,d_hz_bills*G1683,0))</f>
        <v/>
      </c>
      <c r="BQ1684" s="40">
        <f>BQ1683*d_rho_bills+BP1684*IF(B1684&gt;=in_marketplace_from,d_hz_bills*G1684,0)</f>
        <v/>
      </c>
      <c r="BR1684" s="14">
        <f>F1684*BQ1684*in_bills_ticket*in_bills_comm/12</f>
        <v/>
      </c>
      <c r="BS1684" s="40">
        <f>BS1683*(1-IF(B1683&gt;=in_marketplace_from,d_hz_loan_gold*G1683,0))</f>
        <v/>
      </c>
      <c r="BT1684" s="14">
        <f>F1684*BS1684*IF(B1684&gt;=in_marketplace_from,d_hz_loan_gold*G1684,0)*in_loan_gold_ticket*in_loan_gold_comm</f>
        <v/>
      </c>
      <c r="BU1684" s="40">
        <f>BU1683*(1-IF(B1683&gt;=in_marketplace_from,d_hz_loan_cd*G1683,0))</f>
        <v/>
      </c>
      <c r="BV1684" s="14">
        <f>F1684*BU1684*IF(B1684&gt;=in_marketplace_from,d_hz_loan_cd*G1684,0)*in_loan_cd_ticket*in_loan_cd_comm</f>
        <v/>
      </c>
      <c r="BW1684" s="40">
        <f>BW1683*(1-IF(B1683&gt;=in_marketplace_from,d_hz_loan_vehicle*G1683,0))</f>
        <v/>
      </c>
      <c r="BX1684" s="14">
        <f>F1684*BW1684*IF(B1684&gt;=in_marketplace_from,d_hz_loan_vehicle*G1684,0)*in_loan_vehicle_ticket*in_loan_vehicle_comm</f>
        <v/>
      </c>
      <c r="BY1684" s="40">
        <f>BY1683*(1-IF(B1683&gt;=in_marketplace_from,d_hz_loan_home*G1683,0)*BZ1683)</f>
        <v/>
      </c>
      <c r="BZ1684" s="11">
        <f>MIN(in_approval_cap,in_loan_home_approval*INDEX('Age profile'!$O$2:$O$61,B1684)*(1+in_approval_growth)^(D1684-1))</f>
        <v/>
      </c>
      <c r="CA1684" s="14">
        <f>F1684*BY1684*IF(B1684&gt;=in_marketplace_from,d_hz_loan_home*G1684,0)*BZ1684*in_loan_home_ticket*in_loan_home_comm</f>
        <v/>
      </c>
      <c r="CB1684" s="40">
        <f>CB1683*(1-IF(B1683&gt;=in_marketplace_from,d_hz_loan_lap*G1683,0)*CC1683)</f>
        <v/>
      </c>
      <c r="CC1684" s="11">
        <f>MIN(in_approval_cap,in_loan_lap_approval*INDEX('Age profile'!$O$2:$O$61,B1684)*(1+in_approval_growth)^(D1684-1))</f>
        <v/>
      </c>
      <c r="CD1684" s="14">
        <f>F1684*CB1684*IF(B1684&gt;=in_marketplace_from,d_hz_loan_lap*G1684,0)*CC1684*in_loan_lap_ticket*in_loan_lap_comm</f>
        <v/>
      </c>
      <c r="CE1684" s="14">
        <f>AA1684+AB1684+AC1684+AD1684+AG1684+AJ1684+AM1684+AP1684+AS1684+AU1684+AX1684+BB1684+BE1684+BG1684+BJ1684+BL1684+BO1684+BR1684+BT1684+BV1684+BX1684+CA1684+CD1684</f>
        <v/>
      </c>
    </row>
    <row r="1685">
      <c r="A1685" s="39" t="n">
        <v>44</v>
      </c>
      <c r="B1685" s="39" t="n">
        <v>7</v>
      </c>
      <c r="C1685" s="39">
        <f>A1685+B1685-1</f>
        <v/>
      </c>
      <c r="D1685" s="39">
        <f>INT((C1685-1)/12)+1</f>
        <v/>
      </c>
      <c r="E1685" s="44">
        <f>INDEX(Monthly!$B$2:$B$61,A1685)</f>
        <v/>
      </c>
      <c r="F1685" s="44">
        <f>E1685*INDEX('Age profile'!$B$2:$B$61,B1685)</f>
        <v/>
      </c>
      <c r="G1685" s="45">
        <f>MIN(in_takeup_cap,INDEX('Age profile'!$N$2:$N$61,B1685)*(1+in_takeup_growth)^(D1685-1))</f>
        <v/>
      </c>
      <c r="H1685" s="11">
        <f>MIN(in_approval_cap,in_approved_first*INDEX('Age profile'!$O$2:$O$61,B1685)*(1+in_approval_growth)^(D1685-1))</f>
        <v/>
      </c>
      <c r="I1685" s="45">
        <f>G1685*MIN(in_takeup_cap,INDEX('Age profile'!$O$2:$O$61,B1685)*(1+in_approval_growth)^(D1685-1))</f>
        <v/>
      </c>
      <c r="J1685" s="40">
        <f>(J1684-L1684)*F1685/F1684</f>
        <v/>
      </c>
      <c r="K1685" s="40">
        <f>(K1684-M1684)*F1685/F1684+SUMIFS(O1679:O1684,B1679:B1684,B1685-1-d_T)*F1685</f>
        <v/>
      </c>
      <c r="L1685" s="40">
        <f>IF(B1685&gt;=in_marketplace_from,J1685*d_hz*G1685*in_eligible*H1685,0)</f>
        <v/>
      </c>
      <c r="M1685" s="40">
        <f>IF(B1685&gt;=in_marketplace_from,K1685*d_hz*G1685*in_eligible*in_approved_repeat,0)</f>
        <v/>
      </c>
      <c r="N1685" s="40">
        <f>L1685+M1685</f>
        <v/>
      </c>
      <c r="O1685" s="46">
        <f>N1685/F1685</f>
        <v/>
      </c>
      <c r="P1685" s="40">
        <f>F1685-J1685-K1685</f>
        <v/>
      </c>
      <c r="Q1685" s="40">
        <f>IF(B1685&gt;=in_marketplace_from,(J1685+K1685)*d_hz*G1685,0)</f>
        <v/>
      </c>
      <c r="R1685" s="40">
        <f>SUMIFS(N1679:N1695,B1679:B1695,"&gt;="&amp;(B1685-d_T),B1679:B1695,"&lt;="&amp;(B1685-1))</f>
        <v/>
      </c>
      <c r="S1685" s="46">
        <f>(1-d_u)*S1684+IF(d_T&gt;in_topup_lag,SUMIFS(O1679:O1695,B1679:B1695,B1685-in_topup_lag)-d_udrop*SUMIFS(O1679:O1695,B1679:B1695,B1685-d_T),0)</f>
        <v/>
      </c>
      <c r="T1685" s="40">
        <f>F1685*d_u*S1685</f>
        <v/>
      </c>
      <c r="U1685" s="9">
        <f>L1685*in_ticket+M1685*d_rep_ticket</f>
        <v/>
      </c>
      <c r="V1685" s="9">
        <f>U1685+T1685*d_topup_amt</f>
        <v/>
      </c>
      <c r="W1685" s="40">
        <f>N1685+T1685*d_topup_ratio</f>
        <v/>
      </c>
      <c r="X1685" s="40">
        <f>SUMIFS(W1679:W1695,B1679:B1695,B1685-in_dpd_lag)*d_cured</f>
        <v/>
      </c>
      <c r="Y1685" s="40">
        <f>SUMIFS(W1679:W1695,B1679:B1695,B1685-in_rec_lag)*d_recd</f>
        <v/>
      </c>
      <c r="Z1685" s="40">
        <f>IF(AND(B1685&gt;=in_marketplace_from,B1685&lt;in_marketplace_from+in_card_months),in_card_share/in_card_months*F1685*I1685,IF(AND(B1685&gt;=in_marketplace_from+in_card_months,B1685&lt;in_marketplace_from+2*in_card_months),in_card_share*d_card_rem/in_card_months*F1685*MIN(in_takeup_cap,(1+in_takeup_growth)^(D1685-1))*MIN(in_takeup_cap,(1+in_approval_growth)^(D1685-1)),0))</f>
        <v/>
      </c>
      <c r="AA1685" s="14">
        <f>V1685*in_fee*(1-in_taken_back)</f>
        <v/>
      </c>
      <c r="AB1685" s="14">
        <f>SUMIFS(W1679:W1695,B1679:B1695,B1685-in_dpd_lag)*d_dpd</f>
        <v/>
      </c>
      <c r="AC1685" s="14">
        <f>SUMIFS(W1679:W1695,B1679:B1695,B1685-in_rec_lag)*d_rec</f>
        <v/>
      </c>
      <c r="AD1685" s="14">
        <f>Z1685*in_card_fee</f>
        <v/>
      </c>
      <c r="AE1685" s="40">
        <f>AE1684*(1-IF(B1684&gt;=in_marketplace_from,d_hz_hlth_small*G1684,0))</f>
        <v/>
      </c>
      <c r="AF1685" s="46">
        <f>AE1685*IF(B1685&gt;=in_marketplace_from,d_hz_hlth_small*G1685,0)</f>
        <v/>
      </c>
      <c r="AG1685" s="14">
        <f>F1685*AF1685*in_hlth_small_ticket*in_hlth_small_comm*in_ins_partner_share+F1685*in_hlth_small_ticket*in_hlth_small_renew_comm*in_ins_partner_share*(in_hlth_small_renew^1*SUMIFS(AF1679:AF1695,B1679:B1695,B1685-12)+in_hlth_small_renew^2*SUMIFS(AF1679:AF1695,B1679:B1695,B1685-24)+in_hlth_small_renew^3*SUMIFS(AF1679:AF1695,B1679:B1695,B1685-36)+in_hlth_small_renew^4*SUMIFS(AF1679:AF1695,B1679:B1695,B1685-48))</f>
        <v/>
      </c>
      <c r="AH1685" s="40">
        <f>AH1684*(1-IF(B1684&gt;=in_marketplace_from,d_hz_hlth_family*G1684,0))</f>
        <v/>
      </c>
      <c r="AI1685" s="46">
        <f>AH1685*IF(B1685&gt;=in_marketplace_from,d_hz_hlth_family*G1685,0)</f>
        <v/>
      </c>
      <c r="AJ1685" s="14">
        <f>F1685*AI1685*in_hlth_family_ticket*in_hlth_family_comm*in_ins_partner_share+F1685*in_hlth_family_ticket*in_hlth_family_renew_comm*in_ins_partner_share*(in_hlth_family_renew^1*SUMIFS(AI1679:AI1695,B1679:B1695,B1685-12)+in_hlth_family_renew^2*SUMIFS(AI1679:AI1695,B1679:B1695,B1685-24)+in_hlth_family_renew^3*SUMIFS(AI1679:AI1695,B1679:B1695,B1685-36)+in_hlth_family_renew^4*SUMIFS(AI1679:AI1695,B1679:B1695,B1685-48))</f>
        <v/>
      </c>
      <c r="AK1685" s="40">
        <f>AK1684*(1-IF(B1684&gt;=in_marketplace_from,d_hz_life_term*G1684,0))</f>
        <v/>
      </c>
      <c r="AL1685" s="46">
        <f>AK1685*IF(B1685&gt;=in_marketplace_from,d_hz_life_term*G1685,0)</f>
        <v/>
      </c>
      <c r="AM1685" s="14">
        <f>F1685*AL1685*in_life_term_ticket*in_life_term_comm*in_ins_partner_share+F1685*in_life_term_ticket*in_life_term_renew_comm*in_ins_partner_share*(in_life_term_renew^1*SUMIFS(AL1679:AL1695,B1679:B1695,B1685-12)+in_life_term_renew^2*SUMIFS(AL1679:AL1695,B1679:B1695,B1685-24)+in_life_term_renew^3*SUMIFS(AL1679:AL1695,B1679:B1695,B1685-36)+in_life_term_renew^4*SUMIFS(AL1679:AL1695,B1679:B1695,B1685-48))</f>
        <v/>
      </c>
      <c r="AN1685" s="40">
        <f>AN1684*(1-IF(B1684&gt;=in_marketplace_from,d_hz_accident*G1684,0))</f>
        <v/>
      </c>
      <c r="AO1685" s="46">
        <f>AN1685*IF(B1685&gt;=in_marketplace_from,d_hz_accident*G1685,0)</f>
        <v/>
      </c>
      <c r="AP1685" s="14">
        <f>F1685*AO1685*in_accident_ticket*in_accident_comm*in_ins_partner_share+F1685*in_accident_ticket*in_accident_renew_comm*in_ins_partner_share*(in_accident_renew^1*SUMIFS(AO1679:AO1695,B1679:B1695,B1685-12)+in_accident_renew^2*SUMIFS(AO1679:AO1695,B1679:B1695,B1685-24)+in_accident_renew^3*SUMIFS(AO1679:AO1695,B1679:B1695,B1685-36)+in_accident_renew^4*SUMIFS(AO1679:AO1695,B1679:B1695,B1685-48))</f>
        <v/>
      </c>
      <c r="AQ1685" s="40">
        <f>AQ1684*(1-IF(B1684&gt;=in_marketplace_from,d_hz_two_wheeler*G1684,0))</f>
        <v/>
      </c>
      <c r="AR1685" s="46">
        <f>AQ1685*IF(B1685&gt;=in_marketplace_from,d_hz_two_wheeler*G1685,0)</f>
        <v/>
      </c>
      <c r="AS1685" s="14">
        <f>F1685*AR1685*in_two_wheeler_ticket*in_two_wheeler_comm*in_ins_partner_share+F1685*in_two_wheeler_ticket*in_two_wheeler_comm*in_ins_partner_share*(in_two_wheeler_renew^1*SUMIFS(AR1679:AR1695,B1679:B1695,B1685-12)+in_two_wheeler_renew^2*SUMIFS(AR1679:AR1695,B1679:B1695,B1685-24)+in_two_wheeler_renew^3*SUMIFS(AR1679:AR1695,B1679:B1695,B1685-36)+in_two_wheeler_renew^4*SUMIFS(AR1679:AR1695,B1679:B1695,B1685-48))</f>
        <v/>
      </c>
      <c r="AT1685" s="40">
        <f>AT1684*(1-IF(B1684&gt;=in_marketplace_from,d_hz_device*G1684,0))</f>
        <v/>
      </c>
      <c r="AU1685" s="14">
        <f>F1685*AT1685*IF(B1685&gt;=in_marketplace_from,d_hz_device*G1685,0)*in_device_ticket*in_device_comm*in_ins_partner_share</f>
        <v/>
      </c>
      <c r="AV1685" s="40">
        <f>AV1684*(1-IF(B1684&gt;=in_marketplace_from,d_hz_shop*G1684,0))</f>
        <v/>
      </c>
      <c r="AW1685" s="46">
        <f>AV1685*IF(B1685&gt;=in_marketplace_from,d_hz_shop*G1685,0)</f>
        <v/>
      </c>
      <c r="AX1685" s="14">
        <f>F1685*AW1685*in_shop_ticket*in_shop_comm*in_ins_partner_share+F1685*in_shop_ticket*in_shop_renew_comm*in_ins_partner_share*(in_shop_renew^1*SUMIFS(AW1679:AW1695,B1679:B1695,B1685-12)+in_shop_renew^2*SUMIFS(AW1679:AW1695,B1679:B1695,B1685-24)+in_shop_renew^3*SUMIFS(AW1679:AW1695,B1679:B1695,B1685-36)+in_shop_renew^4*SUMIFS(AW1679:AW1695,B1679:B1695,B1685-48))</f>
        <v/>
      </c>
      <c r="AY1685" s="40">
        <f>AY1684*(1-IF(B1684&gt;=in_marketplace_from,d_hz_sip*G1684,0))</f>
        <v/>
      </c>
      <c r="AZ1685" s="40">
        <f>AZ1684*d_rho_sip+AY1685*IF(B1685&gt;=in_marketplace_from,d_hz_sip*G1685,0)</f>
        <v/>
      </c>
      <c r="BA1685" s="40">
        <f>d_rho_sip*(BA1684+AZ1684)</f>
        <v/>
      </c>
      <c r="BB1685" s="14">
        <f>F1685*in_sip_ticket*(BA1685+0.5*AZ1685)*in_sip_comm/12</f>
        <v/>
      </c>
      <c r="BC1685" s="40">
        <f>BC1684*(1-IF(B1684&gt;=in_marketplace_from,d_hz_choti*G1684,0))</f>
        <v/>
      </c>
      <c r="BD1685" s="46">
        <f>BC1685*IF(B1685&gt;=in_marketplace_from,d_hz_choti*G1685,0)</f>
        <v/>
      </c>
      <c r="BE1685" s="14">
        <f>F1685*SUMIFS(BD1679:BD1695,B1679:B1695,B1685-in_choti_months)*in_choti_renew*in_choti_ticket</f>
        <v/>
      </c>
      <c r="BF1685" s="40">
        <f>BF1684*(1-IF(B1684&gt;=in_marketplace_from,d_hz_nps*G1684,0))</f>
        <v/>
      </c>
      <c r="BG1685" s="14">
        <f>F1685*BF1685*IF(B1685&gt;=in_marketplace_from,d_hz_nps*G1685,0)*in_nps_ticket*in_nps_comm</f>
        <v/>
      </c>
      <c r="BH1685" s="40">
        <f>BH1684*(1-IF(B1684&gt;=in_marketplace_from,d_hz_gold*G1684,0))</f>
        <v/>
      </c>
      <c r="BI1685" s="40">
        <f>BI1684*d_rho_gold+BH1685*IF(B1685&gt;=in_marketplace_from,d_hz_gold*G1685,0)</f>
        <v/>
      </c>
      <c r="BJ1685" s="14">
        <f>F1685*BI1685*in_gold_ticket*in_gold_comm</f>
        <v/>
      </c>
      <c r="BK1685" s="40">
        <f>BK1684*(1-IF(B1684&gt;=in_marketplace_from,d_hz_fd*G1684,0))</f>
        <v/>
      </c>
      <c r="BL1685" s="14">
        <f>F1685*BK1685*IF(B1685&gt;=in_marketplace_from,d_hz_fd*G1685,0)*in_fd_ticket*in_fd_comm</f>
        <v/>
      </c>
      <c r="BM1685" s="40">
        <f>BM1684*(1-IF(B1684&gt;=in_marketplace_from,d_hz_recharge*G1684,0))</f>
        <v/>
      </c>
      <c r="BN1685" s="40">
        <f>BN1684*d_rho_recharge+BM1685*IF(B1685&gt;=in_marketplace_from,d_hz_recharge*G1685,0)</f>
        <v/>
      </c>
      <c r="BO1685" s="14">
        <f>F1685*BN1685*in_recharge_ticket*in_recharge_comm/12</f>
        <v/>
      </c>
      <c r="BP1685" s="40">
        <f>BP1684*(1-IF(B1684&gt;=in_marketplace_from,d_hz_bills*G1684,0))</f>
        <v/>
      </c>
      <c r="BQ1685" s="40">
        <f>BQ1684*d_rho_bills+BP1685*IF(B1685&gt;=in_marketplace_from,d_hz_bills*G1685,0)</f>
        <v/>
      </c>
      <c r="BR1685" s="14">
        <f>F1685*BQ1685*in_bills_ticket*in_bills_comm/12</f>
        <v/>
      </c>
      <c r="BS1685" s="40">
        <f>BS1684*(1-IF(B1684&gt;=in_marketplace_from,d_hz_loan_gold*G1684,0))</f>
        <v/>
      </c>
      <c r="BT1685" s="14">
        <f>F1685*BS1685*IF(B1685&gt;=in_marketplace_from,d_hz_loan_gold*G1685,0)*in_loan_gold_ticket*in_loan_gold_comm</f>
        <v/>
      </c>
      <c r="BU1685" s="40">
        <f>BU1684*(1-IF(B1684&gt;=in_marketplace_from,d_hz_loan_cd*G1684,0))</f>
        <v/>
      </c>
      <c r="BV1685" s="14">
        <f>F1685*BU1685*IF(B1685&gt;=in_marketplace_from,d_hz_loan_cd*G1685,0)*in_loan_cd_ticket*in_loan_cd_comm</f>
        <v/>
      </c>
      <c r="BW1685" s="40">
        <f>BW1684*(1-IF(B1684&gt;=in_marketplace_from,d_hz_loan_vehicle*G1684,0))</f>
        <v/>
      </c>
      <c r="BX1685" s="14">
        <f>F1685*BW1685*IF(B1685&gt;=in_marketplace_from,d_hz_loan_vehicle*G1685,0)*in_loan_vehicle_ticket*in_loan_vehicle_comm</f>
        <v/>
      </c>
      <c r="BY1685" s="40">
        <f>BY1684*(1-IF(B1684&gt;=in_marketplace_from,d_hz_loan_home*G1684,0)*BZ1684)</f>
        <v/>
      </c>
      <c r="BZ1685" s="11">
        <f>MIN(in_approval_cap,in_loan_home_approval*INDEX('Age profile'!$O$2:$O$61,B1685)*(1+in_approval_growth)^(D1685-1))</f>
        <v/>
      </c>
      <c r="CA1685" s="14">
        <f>F1685*BY1685*IF(B1685&gt;=in_marketplace_from,d_hz_loan_home*G1685,0)*BZ1685*in_loan_home_ticket*in_loan_home_comm</f>
        <v/>
      </c>
      <c r="CB1685" s="40">
        <f>CB1684*(1-IF(B1684&gt;=in_marketplace_from,d_hz_loan_lap*G1684,0)*CC1684)</f>
        <v/>
      </c>
      <c r="CC1685" s="11">
        <f>MIN(in_approval_cap,in_loan_lap_approval*INDEX('Age profile'!$O$2:$O$61,B1685)*(1+in_approval_growth)^(D1685-1))</f>
        <v/>
      </c>
      <c r="CD1685" s="14">
        <f>F1685*CB1685*IF(B1685&gt;=in_marketplace_from,d_hz_loan_lap*G1685,0)*CC1685*in_loan_lap_ticket*in_loan_lap_comm</f>
        <v/>
      </c>
      <c r="CE1685" s="14">
        <f>AA1685+AB1685+AC1685+AD1685+AG1685+AJ1685+AM1685+AP1685+AS1685+AU1685+AX1685+BB1685+BE1685+BG1685+BJ1685+BL1685+BO1685+BR1685+BT1685+BV1685+BX1685+CA1685+CD1685</f>
        <v/>
      </c>
    </row>
    <row r="1686">
      <c r="A1686" s="39" t="n">
        <v>44</v>
      </c>
      <c r="B1686" s="39" t="n">
        <v>8</v>
      </c>
      <c r="C1686" s="39">
        <f>A1686+B1686-1</f>
        <v/>
      </c>
      <c r="D1686" s="39">
        <f>INT((C1686-1)/12)+1</f>
        <v/>
      </c>
      <c r="E1686" s="44">
        <f>INDEX(Monthly!$B$2:$B$61,A1686)</f>
        <v/>
      </c>
      <c r="F1686" s="44">
        <f>E1686*INDEX('Age profile'!$B$2:$B$61,B1686)</f>
        <v/>
      </c>
      <c r="G1686" s="45">
        <f>MIN(in_takeup_cap,INDEX('Age profile'!$N$2:$N$61,B1686)*(1+in_takeup_growth)^(D1686-1))</f>
        <v/>
      </c>
      <c r="H1686" s="11">
        <f>MIN(in_approval_cap,in_approved_first*INDEX('Age profile'!$O$2:$O$61,B1686)*(1+in_approval_growth)^(D1686-1))</f>
        <v/>
      </c>
      <c r="I1686" s="45">
        <f>G1686*MIN(in_takeup_cap,INDEX('Age profile'!$O$2:$O$61,B1686)*(1+in_approval_growth)^(D1686-1))</f>
        <v/>
      </c>
      <c r="J1686" s="40">
        <f>(J1685-L1685)*F1686/F1685</f>
        <v/>
      </c>
      <c r="K1686" s="40">
        <f>(K1685-M1685)*F1686/F1685+SUMIFS(O1679:O1685,B1679:B1685,B1686-1-d_T)*F1686</f>
        <v/>
      </c>
      <c r="L1686" s="40">
        <f>IF(B1686&gt;=in_marketplace_from,J1686*d_hz*G1686*in_eligible*H1686,0)</f>
        <v/>
      </c>
      <c r="M1686" s="40">
        <f>IF(B1686&gt;=in_marketplace_from,K1686*d_hz*G1686*in_eligible*in_approved_repeat,0)</f>
        <v/>
      </c>
      <c r="N1686" s="40">
        <f>L1686+M1686</f>
        <v/>
      </c>
      <c r="O1686" s="46">
        <f>N1686/F1686</f>
        <v/>
      </c>
      <c r="P1686" s="40">
        <f>F1686-J1686-K1686</f>
        <v/>
      </c>
      <c r="Q1686" s="40">
        <f>IF(B1686&gt;=in_marketplace_from,(J1686+K1686)*d_hz*G1686,0)</f>
        <v/>
      </c>
      <c r="R1686" s="40">
        <f>SUMIFS(N1679:N1695,B1679:B1695,"&gt;="&amp;(B1686-d_T),B1679:B1695,"&lt;="&amp;(B1686-1))</f>
        <v/>
      </c>
      <c r="S1686" s="46">
        <f>(1-d_u)*S1685+IF(d_T&gt;in_topup_lag,SUMIFS(O1679:O1695,B1679:B1695,B1686-in_topup_lag)-d_udrop*SUMIFS(O1679:O1695,B1679:B1695,B1686-d_T),0)</f>
        <v/>
      </c>
      <c r="T1686" s="40">
        <f>F1686*d_u*S1686</f>
        <v/>
      </c>
      <c r="U1686" s="9">
        <f>L1686*in_ticket+M1686*d_rep_ticket</f>
        <v/>
      </c>
      <c r="V1686" s="9">
        <f>U1686+T1686*d_topup_amt</f>
        <v/>
      </c>
      <c r="W1686" s="40">
        <f>N1686+T1686*d_topup_ratio</f>
        <v/>
      </c>
      <c r="X1686" s="40">
        <f>SUMIFS(W1679:W1695,B1679:B1695,B1686-in_dpd_lag)*d_cured</f>
        <v/>
      </c>
      <c r="Y1686" s="40">
        <f>SUMIFS(W1679:W1695,B1679:B1695,B1686-in_rec_lag)*d_recd</f>
        <v/>
      </c>
      <c r="Z1686" s="40">
        <f>IF(AND(B1686&gt;=in_marketplace_from,B1686&lt;in_marketplace_from+in_card_months),in_card_share/in_card_months*F1686*I1686,IF(AND(B1686&gt;=in_marketplace_from+in_card_months,B1686&lt;in_marketplace_from+2*in_card_months),in_card_share*d_card_rem/in_card_months*F1686*MIN(in_takeup_cap,(1+in_takeup_growth)^(D1686-1))*MIN(in_takeup_cap,(1+in_approval_growth)^(D1686-1)),0))</f>
        <v/>
      </c>
      <c r="AA1686" s="14">
        <f>V1686*in_fee*(1-in_taken_back)</f>
        <v/>
      </c>
      <c r="AB1686" s="14">
        <f>SUMIFS(W1679:W1695,B1679:B1695,B1686-in_dpd_lag)*d_dpd</f>
        <v/>
      </c>
      <c r="AC1686" s="14">
        <f>SUMIFS(W1679:W1695,B1679:B1695,B1686-in_rec_lag)*d_rec</f>
        <v/>
      </c>
      <c r="AD1686" s="14">
        <f>Z1686*in_card_fee</f>
        <v/>
      </c>
      <c r="AE1686" s="40">
        <f>AE1685*(1-IF(B1685&gt;=in_marketplace_from,d_hz_hlth_small*G1685,0))</f>
        <v/>
      </c>
      <c r="AF1686" s="46">
        <f>AE1686*IF(B1686&gt;=in_marketplace_from,d_hz_hlth_small*G1686,0)</f>
        <v/>
      </c>
      <c r="AG1686" s="14">
        <f>F1686*AF1686*in_hlth_small_ticket*in_hlth_small_comm*in_ins_partner_share+F1686*in_hlth_small_ticket*in_hlth_small_renew_comm*in_ins_partner_share*(in_hlth_small_renew^1*SUMIFS(AF1679:AF1695,B1679:B1695,B1686-12)+in_hlth_small_renew^2*SUMIFS(AF1679:AF1695,B1679:B1695,B1686-24)+in_hlth_small_renew^3*SUMIFS(AF1679:AF1695,B1679:B1695,B1686-36)+in_hlth_small_renew^4*SUMIFS(AF1679:AF1695,B1679:B1695,B1686-48))</f>
        <v/>
      </c>
      <c r="AH1686" s="40">
        <f>AH1685*(1-IF(B1685&gt;=in_marketplace_from,d_hz_hlth_family*G1685,0))</f>
        <v/>
      </c>
      <c r="AI1686" s="46">
        <f>AH1686*IF(B1686&gt;=in_marketplace_from,d_hz_hlth_family*G1686,0)</f>
        <v/>
      </c>
      <c r="AJ1686" s="14">
        <f>F1686*AI1686*in_hlth_family_ticket*in_hlth_family_comm*in_ins_partner_share+F1686*in_hlth_family_ticket*in_hlth_family_renew_comm*in_ins_partner_share*(in_hlth_family_renew^1*SUMIFS(AI1679:AI1695,B1679:B1695,B1686-12)+in_hlth_family_renew^2*SUMIFS(AI1679:AI1695,B1679:B1695,B1686-24)+in_hlth_family_renew^3*SUMIFS(AI1679:AI1695,B1679:B1695,B1686-36)+in_hlth_family_renew^4*SUMIFS(AI1679:AI1695,B1679:B1695,B1686-48))</f>
        <v/>
      </c>
      <c r="AK1686" s="40">
        <f>AK1685*(1-IF(B1685&gt;=in_marketplace_from,d_hz_life_term*G1685,0))</f>
        <v/>
      </c>
      <c r="AL1686" s="46">
        <f>AK1686*IF(B1686&gt;=in_marketplace_from,d_hz_life_term*G1686,0)</f>
        <v/>
      </c>
      <c r="AM1686" s="14">
        <f>F1686*AL1686*in_life_term_ticket*in_life_term_comm*in_ins_partner_share+F1686*in_life_term_ticket*in_life_term_renew_comm*in_ins_partner_share*(in_life_term_renew^1*SUMIFS(AL1679:AL1695,B1679:B1695,B1686-12)+in_life_term_renew^2*SUMIFS(AL1679:AL1695,B1679:B1695,B1686-24)+in_life_term_renew^3*SUMIFS(AL1679:AL1695,B1679:B1695,B1686-36)+in_life_term_renew^4*SUMIFS(AL1679:AL1695,B1679:B1695,B1686-48))</f>
        <v/>
      </c>
      <c r="AN1686" s="40">
        <f>AN1685*(1-IF(B1685&gt;=in_marketplace_from,d_hz_accident*G1685,0))</f>
        <v/>
      </c>
      <c r="AO1686" s="46">
        <f>AN1686*IF(B1686&gt;=in_marketplace_from,d_hz_accident*G1686,0)</f>
        <v/>
      </c>
      <c r="AP1686" s="14">
        <f>F1686*AO1686*in_accident_ticket*in_accident_comm*in_ins_partner_share+F1686*in_accident_ticket*in_accident_renew_comm*in_ins_partner_share*(in_accident_renew^1*SUMIFS(AO1679:AO1695,B1679:B1695,B1686-12)+in_accident_renew^2*SUMIFS(AO1679:AO1695,B1679:B1695,B1686-24)+in_accident_renew^3*SUMIFS(AO1679:AO1695,B1679:B1695,B1686-36)+in_accident_renew^4*SUMIFS(AO1679:AO1695,B1679:B1695,B1686-48))</f>
        <v/>
      </c>
      <c r="AQ1686" s="40">
        <f>AQ1685*(1-IF(B1685&gt;=in_marketplace_from,d_hz_two_wheeler*G1685,0))</f>
        <v/>
      </c>
      <c r="AR1686" s="46">
        <f>AQ1686*IF(B1686&gt;=in_marketplace_from,d_hz_two_wheeler*G1686,0)</f>
        <v/>
      </c>
      <c r="AS1686" s="14">
        <f>F1686*AR1686*in_two_wheeler_ticket*in_two_wheeler_comm*in_ins_partner_share+F1686*in_two_wheeler_ticket*in_two_wheeler_comm*in_ins_partner_share*(in_two_wheeler_renew^1*SUMIFS(AR1679:AR1695,B1679:B1695,B1686-12)+in_two_wheeler_renew^2*SUMIFS(AR1679:AR1695,B1679:B1695,B1686-24)+in_two_wheeler_renew^3*SUMIFS(AR1679:AR1695,B1679:B1695,B1686-36)+in_two_wheeler_renew^4*SUMIFS(AR1679:AR1695,B1679:B1695,B1686-48))</f>
        <v/>
      </c>
      <c r="AT1686" s="40">
        <f>AT1685*(1-IF(B1685&gt;=in_marketplace_from,d_hz_device*G1685,0))</f>
        <v/>
      </c>
      <c r="AU1686" s="14">
        <f>F1686*AT1686*IF(B1686&gt;=in_marketplace_from,d_hz_device*G1686,0)*in_device_ticket*in_device_comm*in_ins_partner_share</f>
        <v/>
      </c>
      <c r="AV1686" s="40">
        <f>AV1685*(1-IF(B1685&gt;=in_marketplace_from,d_hz_shop*G1685,0))</f>
        <v/>
      </c>
      <c r="AW1686" s="46">
        <f>AV1686*IF(B1686&gt;=in_marketplace_from,d_hz_shop*G1686,0)</f>
        <v/>
      </c>
      <c r="AX1686" s="14">
        <f>F1686*AW1686*in_shop_ticket*in_shop_comm*in_ins_partner_share+F1686*in_shop_ticket*in_shop_renew_comm*in_ins_partner_share*(in_shop_renew^1*SUMIFS(AW1679:AW1695,B1679:B1695,B1686-12)+in_shop_renew^2*SUMIFS(AW1679:AW1695,B1679:B1695,B1686-24)+in_shop_renew^3*SUMIFS(AW1679:AW1695,B1679:B1695,B1686-36)+in_shop_renew^4*SUMIFS(AW1679:AW1695,B1679:B1695,B1686-48))</f>
        <v/>
      </c>
      <c r="AY1686" s="40">
        <f>AY1685*(1-IF(B1685&gt;=in_marketplace_from,d_hz_sip*G1685,0))</f>
        <v/>
      </c>
      <c r="AZ1686" s="40">
        <f>AZ1685*d_rho_sip+AY1686*IF(B1686&gt;=in_marketplace_from,d_hz_sip*G1686,0)</f>
        <v/>
      </c>
      <c r="BA1686" s="40">
        <f>d_rho_sip*(BA1685+AZ1685)</f>
        <v/>
      </c>
      <c r="BB1686" s="14">
        <f>F1686*in_sip_ticket*(BA1686+0.5*AZ1686)*in_sip_comm/12</f>
        <v/>
      </c>
      <c r="BC1686" s="40">
        <f>BC1685*(1-IF(B1685&gt;=in_marketplace_from,d_hz_choti*G1685,0))</f>
        <v/>
      </c>
      <c r="BD1686" s="46">
        <f>BC1686*IF(B1686&gt;=in_marketplace_from,d_hz_choti*G1686,0)</f>
        <v/>
      </c>
      <c r="BE1686" s="14">
        <f>F1686*SUMIFS(BD1679:BD1695,B1679:B1695,B1686-in_choti_months)*in_choti_renew*in_choti_ticket</f>
        <v/>
      </c>
      <c r="BF1686" s="40">
        <f>BF1685*(1-IF(B1685&gt;=in_marketplace_from,d_hz_nps*G1685,0))</f>
        <v/>
      </c>
      <c r="BG1686" s="14">
        <f>F1686*BF1686*IF(B1686&gt;=in_marketplace_from,d_hz_nps*G1686,0)*in_nps_ticket*in_nps_comm</f>
        <v/>
      </c>
      <c r="BH1686" s="40">
        <f>BH1685*(1-IF(B1685&gt;=in_marketplace_from,d_hz_gold*G1685,0))</f>
        <v/>
      </c>
      <c r="BI1686" s="40">
        <f>BI1685*d_rho_gold+BH1686*IF(B1686&gt;=in_marketplace_from,d_hz_gold*G1686,0)</f>
        <v/>
      </c>
      <c r="BJ1686" s="14">
        <f>F1686*BI1686*in_gold_ticket*in_gold_comm</f>
        <v/>
      </c>
      <c r="BK1686" s="40">
        <f>BK1685*(1-IF(B1685&gt;=in_marketplace_from,d_hz_fd*G1685,0))</f>
        <v/>
      </c>
      <c r="BL1686" s="14">
        <f>F1686*BK1686*IF(B1686&gt;=in_marketplace_from,d_hz_fd*G1686,0)*in_fd_ticket*in_fd_comm</f>
        <v/>
      </c>
      <c r="BM1686" s="40">
        <f>BM1685*(1-IF(B1685&gt;=in_marketplace_from,d_hz_recharge*G1685,0))</f>
        <v/>
      </c>
      <c r="BN1686" s="40">
        <f>BN1685*d_rho_recharge+BM1686*IF(B1686&gt;=in_marketplace_from,d_hz_recharge*G1686,0)</f>
        <v/>
      </c>
      <c r="BO1686" s="14">
        <f>F1686*BN1686*in_recharge_ticket*in_recharge_comm/12</f>
        <v/>
      </c>
      <c r="BP1686" s="40">
        <f>BP1685*(1-IF(B1685&gt;=in_marketplace_from,d_hz_bills*G1685,0))</f>
        <v/>
      </c>
      <c r="BQ1686" s="40">
        <f>BQ1685*d_rho_bills+BP1686*IF(B1686&gt;=in_marketplace_from,d_hz_bills*G1686,0)</f>
        <v/>
      </c>
      <c r="BR1686" s="14">
        <f>F1686*BQ1686*in_bills_ticket*in_bills_comm/12</f>
        <v/>
      </c>
      <c r="BS1686" s="40">
        <f>BS1685*(1-IF(B1685&gt;=in_marketplace_from,d_hz_loan_gold*G1685,0))</f>
        <v/>
      </c>
      <c r="BT1686" s="14">
        <f>F1686*BS1686*IF(B1686&gt;=in_marketplace_from,d_hz_loan_gold*G1686,0)*in_loan_gold_ticket*in_loan_gold_comm</f>
        <v/>
      </c>
      <c r="BU1686" s="40">
        <f>BU1685*(1-IF(B1685&gt;=in_marketplace_from,d_hz_loan_cd*G1685,0))</f>
        <v/>
      </c>
      <c r="BV1686" s="14">
        <f>F1686*BU1686*IF(B1686&gt;=in_marketplace_from,d_hz_loan_cd*G1686,0)*in_loan_cd_ticket*in_loan_cd_comm</f>
        <v/>
      </c>
      <c r="BW1686" s="40">
        <f>BW1685*(1-IF(B1685&gt;=in_marketplace_from,d_hz_loan_vehicle*G1685,0))</f>
        <v/>
      </c>
      <c r="BX1686" s="14">
        <f>F1686*BW1686*IF(B1686&gt;=in_marketplace_from,d_hz_loan_vehicle*G1686,0)*in_loan_vehicle_ticket*in_loan_vehicle_comm</f>
        <v/>
      </c>
      <c r="BY1686" s="40">
        <f>BY1685*(1-IF(B1685&gt;=in_marketplace_from,d_hz_loan_home*G1685,0)*BZ1685)</f>
        <v/>
      </c>
      <c r="BZ1686" s="11">
        <f>MIN(in_approval_cap,in_loan_home_approval*INDEX('Age profile'!$O$2:$O$61,B1686)*(1+in_approval_growth)^(D1686-1))</f>
        <v/>
      </c>
      <c r="CA1686" s="14">
        <f>F1686*BY1686*IF(B1686&gt;=in_marketplace_from,d_hz_loan_home*G1686,0)*BZ1686*in_loan_home_ticket*in_loan_home_comm</f>
        <v/>
      </c>
      <c r="CB1686" s="40">
        <f>CB1685*(1-IF(B1685&gt;=in_marketplace_from,d_hz_loan_lap*G1685,0)*CC1685)</f>
        <v/>
      </c>
      <c r="CC1686" s="11">
        <f>MIN(in_approval_cap,in_loan_lap_approval*INDEX('Age profile'!$O$2:$O$61,B1686)*(1+in_approval_growth)^(D1686-1))</f>
        <v/>
      </c>
      <c r="CD1686" s="14">
        <f>F1686*CB1686*IF(B1686&gt;=in_marketplace_from,d_hz_loan_lap*G1686,0)*CC1686*in_loan_lap_ticket*in_loan_lap_comm</f>
        <v/>
      </c>
      <c r="CE1686" s="14">
        <f>AA1686+AB1686+AC1686+AD1686+AG1686+AJ1686+AM1686+AP1686+AS1686+AU1686+AX1686+BB1686+BE1686+BG1686+BJ1686+BL1686+BO1686+BR1686+BT1686+BV1686+BX1686+CA1686+CD1686</f>
        <v/>
      </c>
    </row>
    <row r="1687">
      <c r="A1687" s="39" t="n">
        <v>44</v>
      </c>
      <c r="B1687" s="39" t="n">
        <v>9</v>
      </c>
      <c r="C1687" s="39">
        <f>A1687+B1687-1</f>
        <v/>
      </c>
      <c r="D1687" s="39">
        <f>INT((C1687-1)/12)+1</f>
        <v/>
      </c>
      <c r="E1687" s="44">
        <f>INDEX(Monthly!$B$2:$B$61,A1687)</f>
        <v/>
      </c>
      <c r="F1687" s="44">
        <f>E1687*INDEX('Age profile'!$B$2:$B$61,B1687)</f>
        <v/>
      </c>
      <c r="G1687" s="45">
        <f>MIN(in_takeup_cap,INDEX('Age profile'!$N$2:$N$61,B1687)*(1+in_takeup_growth)^(D1687-1))</f>
        <v/>
      </c>
      <c r="H1687" s="11">
        <f>MIN(in_approval_cap,in_approved_first*INDEX('Age profile'!$O$2:$O$61,B1687)*(1+in_approval_growth)^(D1687-1))</f>
        <v/>
      </c>
      <c r="I1687" s="45">
        <f>G1687*MIN(in_takeup_cap,INDEX('Age profile'!$O$2:$O$61,B1687)*(1+in_approval_growth)^(D1687-1))</f>
        <v/>
      </c>
      <c r="J1687" s="40">
        <f>(J1686-L1686)*F1687/F1686</f>
        <v/>
      </c>
      <c r="K1687" s="40">
        <f>(K1686-M1686)*F1687/F1686+SUMIFS(O1679:O1686,B1679:B1686,B1687-1-d_T)*F1687</f>
        <v/>
      </c>
      <c r="L1687" s="40">
        <f>IF(B1687&gt;=in_marketplace_from,J1687*d_hz*G1687*in_eligible*H1687,0)</f>
        <v/>
      </c>
      <c r="M1687" s="40">
        <f>IF(B1687&gt;=in_marketplace_from,K1687*d_hz*G1687*in_eligible*in_approved_repeat,0)</f>
        <v/>
      </c>
      <c r="N1687" s="40">
        <f>L1687+M1687</f>
        <v/>
      </c>
      <c r="O1687" s="46">
        <f>N1687/F1687</f>
        <v/>
      </c>
      <c r="P1687" s="40">
        <f>F1687-J1687-K1687</f>
        <v/>
      </c>
      <c r="Q1687" s="40">
        <f>IF(B1687&gt;=in_marketplace_from,(J1687+K1687)*d_hz*G1687,0)</f>
        <v/>
      </c>
      <c r="R1687" s="40">
        <f>SUMIFS(N1679:N1695,B1679:B1695,"&gt;="&amp;(B1687-d_T),B1679:B1695,"&lt;="&amp;(B1687-1))</f>
        <v/>
      </c>
      <c r="S1687" s="46">
        <f>(1-d_u)*S1686+IF(d_T&gt;in_topup_lag,SUMIFS(O1679:O1695,B1679:B1695,B1687-in_topup_lag)-d_udrop*SUMIFS(O1679:O1695,B1679:B1695,B1687-d_T),0)</f>
        <v/>
      </c>
      <c r="T1687" s="40">
        <f>F1687*d_u*S1687</f>
        <v/>
      </c>
      <c r="U1687" s="9">
        <f>L1687*in_ticket+M1687*d_rep_ticket</f>
        <v/>
      </c>
      <c r="V1687" s="9">
        <f>U1687+T1687*d_topup_amt</f>
        <v/>
      </c>
      <c r="W1687" s="40">
        <f>N1687+T1687*d_topup_ratio</f>
        <v/>
      </c>
      <c r="X1687" s="40">
        <f>SUMIFS(W1679:W1695,B1679:B1695,B1687-in_dpd_lag)*d_cured</f>
        <v/>
      </c>
      <c r="Y1687" s="40">
        <f>SUMIFS(W1679:W1695,B1679:B1695,B1687-in_rec_lag)*d_recd</f>
        <v/>
      </c>
      <c r="Z1687" s="40">
        <f>IF(AND(B1687&gt;=in_marketplace_from,B1687&lt;in_marketplace_from+in_card_months),in_card_share/in_card_months*F1687*I1687,IF(AND(B1687&gt;=in_marketplace_from+in_card_months,B1687&lt;in_marketplace_from+2*in_card_months),in_card_share*d_card_rem/in_card_months*F1687*MIN(in_takeup_cap,(1+in_takeup_growth)^(D1687-1))*MIN(in_takeup_cap,(1+in_approval_growth)^(D1687-1)),0))</f>
        <v/>
      </c>
      <c r="AA1687" s="14">
        <f>V1687*in_fee*(1-in_taken_back)</f>
        <v/>
      </c>
      <c r="AB1687" s="14">
        <f>SUMIFS(W1679:W1695,B1679:B1695,B1687-in_dpd_lag)*d_dpd</f>
        <v/>
      </c>
      <c r="AC1687" s="14">
        <f>SUMIFS(W1679:W1695,B1679:B1695,B1687-in_rec_lag)*d_rec</f>
        <v/>
      </c>
      <c r="AD1687" s="14">
        <f>Z1687*in_card_fee</f>
        <v/>
      </c>
      <c r="AE1687" s="40">
        <f>AE1686*(1-IF(B1686&gt;=in_marketplace_from,d_hz_hlth_small*G1686,0))</f>
        <v/>
      </c>
      <c r="AF1687" s="46">
        <f>AE1687*IF(B1687&gt;=in_marketplace_from,d_hz_hlth_small*G1687,0)</f>
        <v/>
      </c>
      <c r="AG1687" s="14">
        <f>F1687*AF1687*in_hlth_small_ticket*in_hlth_small_comm*in_ins_partner_share+F1687*in_hlth_small_ticket*in_hlth_small_renew_comm*in_ins_partner_share*(in_hlth_small_renew^1*SUMIFS(AF1679:AF1695,B1679:B1695,B1687-12)+in_hlth_small_renew^2*SUMIFS(AF1679:AF1695,B1679:B1695,B1687-24)+in_hlth_small_renew^3*SUMIFS(AF1679:AF1695,B1679:B1695,B1687-36)+in_hlth_small_renew^4*SUMIFS(AF1679:AF1695,B1679:B1695,B1687-48))</f>
        <v/>
      </c>
      <c r="AH1687" s="40">
        <f>AH1686*(1-IF(B1686&gt;=in_marketplace_from,d_hz_hlth_family*G1686,0))</f>
        <v/>
      </c>
      <c r="AI1687" s="46">
        <f>AH1687*IF(B1687&gt;=in_marketplace_from,d_hz_hlth_family*G1687,0)</f>
        <v/>
      </c>
      <c r="AJ1687" s="14">
        <f>F1687*AI1687*in_hlth_family_ticket*in_hlth_family_comm*in_ins_partner_share+F1687*in_hlth_family_ticket*in_hlth_family_renew_comm*in_ins_partner_share*(in_hlth_family_renew^1*SUMIFS(AI1679:AI1695,B1679:B1695,B1687-12)+in_hlth_family_renew^2*SUMIFS(AI1679:AI1695,B1679:B1695,B1687-24)+in_hlth_family_renew^3*SUMIFS(AI1679:AI1695,B1679:B1695,B1687-36)+in_hlth_family_renew^4*SUMIFS(AI1679:AI1695,B1679:B1695,B1687-48))</f>
        <v/>
      </c>
      <c r="AK1687" s="40">
        <f>AK1686*(1-IF(B1686&gt;=in_marketplace_from,d_hz_life_term*G1686,0))</f>
        <v/>
      </c>
      <c r="AL1687" s="46">
        <f>AK1687*IF(B1687&gt;=in_marketplace_from,d_hz_life_term*G1687,0)</f>
        <v/>
      </c>
      <c r="AM1687" s="14">
        <f>F1687*AL1687*in_life_term_ticket*in_life_term_comm*in_ins_partner_share+F1687*in_life_term_ticket*in_life_term_renew_comm*in_ins_partner_share*(in_life_term_renew^1*SUMIFS(AL1679:AL1695,B1679:B1695,B1687-12)+in_life_term_renew^2*SUMIFS(AL1679:AL1695,B1679:B1695,B1687-24)+in_life_term_renew^3*SUMIFS(AL1679:AL1695,B1679:B1695,B1687-36)+in_life_term_renew^4*SUMIFS(AL1679:AL1695,B1679:B1695,B1687-48))</f>
        <v/>
      </c>
      <c r="AN1687" s="40">
        <f>AN1686*(1-IF(B1686&gt;=in_marketplace_from,d_hz_accident*G1686,0))</f>
        <v/>
      </c>
      <c r="AO1687" s="46">
        <f>AN1687*IF(B1687&gt;=in_marketplace_from,d_hz_accident*G1687,0)</f>
        <v/>
      </c>
      <c r="AP1687" s="14">
        <f>F1687*AO1687*in_accident_ticket*in_accident_comm*in_ins_partner_share+F1687*in_accident_ticket*in_accident_renew_comm*in_ins_partner_share*(in_accident_renew^1*SUMIFS(AO1679:AO1695,B1679:B1695,B1687-12)+in_accident_renew^2*SUMIFS(AO1679:AO1695,B1679:B1695,B1687-24)+in_accident_renew^3*SUMIFS(AO1679:AO1695,B1679:B1695,B1687-36)+in_accident_renew^4*SUMIFS(AO1679:AO1695,B1679:B1695,B1687-48))</f>
        <v/>
      </c>
      <c r="AQ1687" s="40">
        <f>AQ1686*(1-IF(B1686&gt;=in_marketplace_from,d_hz_two_wheeler*G1686,0))</f>
        <v/>
      </c>
      <c r="AR1687" s="46">
        <f>AQ1687*IF(B1687&gt;=in_marketplace_from,d_hz_two_wheeler*G1687,0)</f>
        <v/>
      </c>
      <c r="AS1687" s="14">
        <f>F1687*AR1687*in_two_wheeler_ticket*in_two_wheeler_comm*in_ins_partner_share+F1687*in_two_wheeler_ticket*in_two_wheeler_comm*in_ins_partner_share*(in_two_wheeler_renew^1*SUMIFS(AR1679:AR1695,B1679:B1695,B1687-12)+in_two_wheeler_renew^2*SUMIFS(AR1679:AR1695,B1679:B1695,B1687-24)+in_two_wheeler_renew^3*SUMIFS(AR1679:AR1695,B1679:B1695,B1687-36)+in_two_wheeler_renew^4*SUMIFS(AR1679:AR1695,B1679:B1695,B1687-48))</f>
        <v/>
      </c>
      <c r="AT1687" s="40">
        <f>AT1686*(1-IF(B1686&gt;=in_marketplace_from,d_hz_device*G1686,0))</f>
        <v/>
      </c>
      <c r="AU1687" s="14">
        <f>F1687*AT1687*IF(B1687&gt;=in_marketplace_from,d_hz_device*G1687,0)*in_device_ticket*in_device_comm*in_ins_partner_share</f>
        <v/>
      </c>
      <c r="AV1687" s="40">
        <f>AV1686*(1-IF(B1686&gt;=in_marketplace_from,d_hz_shop*G1686,0))</f>
        <v/>
      </c>
      <c r="AW1687" s="46">
        <f>AV1687*IF(B1687&gt;=in_marketplace_from,d_hz_shop*G1687,0)</f>
        <v/>
      </c>
      <c r="AX1687" s="14">
        <f>F1687*AW1687*in_shop_ticket*in_shop_comm*in_ins_partner_share+F1687*in_shop_ticket*in_shop_renew_comm*in_ins_partner_share*(in_shop_renew^1*SUMIFS(AW1679:AW1695,B1679:B1695,B1687-12)+in_shop_renew^2*SUMIFS(AW1679:AW1695,B1679:B1695,B1687-24)+in_shop_renew^3*SUMIFS(AW1679:AW1695,B1679:B1695,B1687-36)+in_shop_renew^4*SUMIFS(AW1679:AW1695,B1679:B1695,B1687-48))</f>
        <v/>
      </c>
      <c r="AY1687" s="40">
        <f>AY1686*(1-IF(B1686&gt;=in_marketplace_from,d_hz_sip*G1686,0))</f>
        <v/>
      </c>
      <c r="AZ1687" s="40">
        <f>AZ1686*d_rho_sip+AY1687*IF(B1687&gt;=in_marketplace_from,d_hz_sip*G1687,0)</f>
        <v/>
      </c>
      <c r="BA1687" s="40">
        <f>d_rho_sip*(BA1686+AZ1686)</f>
        <v/>
      </c>
      <c r="BB1687" s="14">
        <f>F1687*in_sip_ticket*(BA1687+0.5*AZ1687)*in_sip_comm/12</f>
        <v/>
      </c>
      <c r="BC1687" s="40">
        <f>BC1686*(1-IF(B1686&gt;=in_marketplace_from,d_hz_choti*G1686,0))</f>
        <v/>
      </c>
      <c r="BD1687" s="46">
        <f>BC1687*IF(B1687&gt;=in_marketplace_from,d_hz_choti*G1687,0)</f>
        <v/>
      </c>
      <c r="BE1687" s="14">
        <f>F1687*SUMIFS(BD1679:BD1695,B1679:B1695,B1687-in_choti_months)*in_choti_renew*in_choti_ticket</f>
        <v/>
      </c>
      <c r="BF1687" s="40">
        <f>BF1686*(1-IF(B1686&gt;=in_marketplace_from,d_hz_nps*G1686,0))</f>
        <v/>
      </c>
      <c r="BG1687" s="14">
        <f>F1687*BF1687*IF(B1687&gt;=in_marketplace_from,d_hz_nps*G1687,0)*in_nps_ticket*in_nps_comm</f>
        <v/>
      </c>
      <c r="BH1687" s="40">
        <f>BH1686*(1-IF(B1686&gt;=in_marketplace_from,d_hz_gold*G1686,0))</f>
        <v/>
      </c>
      <c r="BI1687" s="40">
        <f>BI1686*d_rho_gold+BH1687*IF(B1687&gt;=in_marketplace_from,d_hz_gold*G1687,0)</f>
        <v/>
      </c>
      <c r="BJ1687" s="14">
        <f>F1687*BI1687*in_gold_ticket*in_gold_comm</f>
        <v/>
      </c>
      <c r="BK1687" s="40">
        <f>BK1686*(1-IF(B1686&gt;=in_marketplace_from,d_hz_fd*G1686,0))</f>
        <v/>
      </c>
      <c r="BL1687" s="14">
        <f>F1687*BK1687*IF(B1687&gt;=in_marketplace_from,d_hz_fd*G1687,0)*in_fd_ticket*in_fd_comm</f>
        <v/>
      </c>
      <c r="BM1687" s="40">
        <f>BM1686*(1-IF(B1686&gt;=in_marketplace_from,d_hz_recharge*G1686,0))</f>
        <v/>
      </c>
      <c r="BN1687" s="40">
        <f>BN1686*d_rho_recharge+BM1687*IF(B1687&gt;=in_marketplace_from,d_hz_recharge*G1687,0)</f>
        <v/>
      </c>
      <c r="BO1687" s="14">
        <f>F1687*BN1687*in_recharge_ticket*in_recharge_comm/12</f>
        <v/>
      </c>
      <c r="BP1687" s="40">
        <f>BP1686*(1-IF(B1686&gt;=in_marketplace_from,d_hz_bills*G1686,0))</f>
        <v/>
      </c>
      <c r="BQ1687" s="40">
        <f>BQ1686*d_rho_bills+BP1687*IF(B1687&gt;=in_marketplace_from,d_hz_bills*G1687,0)</f>
        <v/>
      </c>
      <c r="BR1687" s="14">
        <f>F1687*BQ1687*in_bills_ticket*in_bills_comm/12</f>
        <v/>
      </c>
      <c r="BS1687" s="40">
        <f>BS1686*(1-IF(B1686&gt;=in_marketplace_from,d_hz_loan_gold*G1686,0))</f>
        <v/>
      </c>
      <c r="BT1687" s="14">
        <f>F1687*BS1687*IF(B1687&gt;=in_marketplace_from,d_hz_loan_gold*G1687,0)*in_loan_gold_ticket*in_loan_gold_comm</f>
        <v/>
      </c>
      <c r="BU1687" s="40">
        <f>BU1686*(1-IF(B1686&gt;=in_marketplace_from,d_hz_loan_cd*G1686,0))</f>
        <v/>
      </c>
      <c r="BV1687" s="14">
        <f>F1687*BU1687*IF(B1687&gt;=in_marketplace_from,d_hz_loan_cd*G1687,0)*in_loan_cd_ticket*in_loan_cd_comm</f>
        <v/>
      </c>
      <c r="BW1687" s="40">
        <f>BW1686*(1-IF(B1686&gt;=in_marketplace_from,d_hz_loan_vehicle*G1686,0))</f>
        <v/>
      </c>
      <c r="BX1687" s="14">
        <f>F1687*BW1687*IF(B1687&gt;=in_marketplace_from,d_hz_loan_vehicle*G1687,0)*in_loan_vehicle_ticket*in_loan_vehicle_comm</f>
        <v/>
      </c>
      <c r="BY1687" s="40">
        <f>BY1686*(1-IF(B1686&gt;=in_marketplace_from,d_hz_loan_home*G1686,0)*BZ1686)</f>
        <v/>
      </c>
      <c r="BZ1687" s="11">
        <f>MIN(in_approval_cap,in_loan_home_approval*INDEX('Age profile'!$O$2:$O$61,B1687)*(1+in_approval_growth)^(D1687-1))</f>
        <v/>
      </c>
      <c r="CA1687" s="14">
        <f>F1687*BY1687*IF(B1687&gt;=in_marketplace_from,d_hz_loan_home*G1687,0)*BZ1687*in_loan_home_ticket*in_loan_home_comm</f>
        <v/>
      </c>
      <c r="CB1687" s="40">
        <f>CB1686*(1-IF(B1686&gt;=in_marketplace_from,d_hz_loan_lap*G1686,0)*CC1686)</f>
        <v/>
      </c>
      <c r="CC1687" s="11">
        <f>MIN(in_approval_cap,in_loan_lap_approval*INDEX('Age profile'!$O$2:$O$61,B1687)*(1+in_approval_growth)^(D1687-1))</f>
        <v/>
      </c>
      <c r="CD1687" s="14">
        <f>F1687*CB1687*IF(B1687&gt;=in_marketplace_from,d_hz_loan_lap*G1687,0)*CC1687*in_loan_lap_ticket*in_loan_lap_comm</f>
        <v/>
      </c>
      <c r="CE1687" s="14">
        <f>AA1687+AB1687+AC1687+AD1687+AG1687+AJ1687+AM1687+AP1687+AS1687+AU1687+AX1687+BB1687+BE1687+BG1687+BJ1687+BL1687+BO1687+BR1687+BT1687+BV1687+BX1687+CA1687+CD1687</f>
        <v/>
      </c>
    </row>
    <row r="1688">
      <c r="A1688" s="39" t="n">
        <v>44</v>
      </c>
      <c r="B1688" s="39" t="n">
        <v>10</v>
      </c>
      <c r="C1688" s="39">
        <f>A1688+B1688-1</f>
        <v/>
      </c>
      <c r="D1688" s="39">
        <f>INT((C1688-1)/12)+1</f>
        <v/>
      </c>
      <c r="E1688" s="44">
        <f>INDEX(Monthly!$B$2:$B$61,A1688)</f>
        <v/>
      </c>
      <c r="F1688" s="44">
        <f>E1688*INDEX('Age profile'!$B$2:$B$61,B1688)</f>
        <v/>
      </c>
      <c r="G1688" s="45">
        <f>MIN(in_takeup_cap,INDEX('Age profile'!$N$2:$N$61,B1688)*(1+in_takeup_growth)^(D1688-1))</f>
        <v/>
      </c>
      <c r="H1688" s="11">
        <f>MIN(in_approval_cap,in_approved_first*INDEX('Age profile'!$O$2:$O$61,B1688)*(1+in_approval_growth)^(D1688-1))</f>
        <v/>
      </c>
      <c r="I1688" s="45">
        <f>G1688*MIN(in_takeup_cap,INDEX('Age profile'!$O$2:$O$61,B1688)*(1+in_approval_growth)^(D1688-1))</f>
        <v/>
      </c>
      <c r="J1688" s="40">
        <f>(J1687-L1687)*F1688/F1687</f>
        <v/>
      </c>
      <c r="K1688" s="40">
        <f>(K1687-M1687)*F1688/F1687+SUMIFS(O1679:O1687,B1679:B1687,B1688-1-d_T)*F1688</f>
        <v/>
      </c>
      <c r="L1688" s="40">
        <f>IF(B1688&gt;=in_marketplace_from,J1688*d_hz*G1688*in_eligible*H1688,0)</f>
        <v/>
      </c>
      <c r="M1688" s="40">
        <f>IF(B1688&gt;=in_marketplace_from,K1688*d_hz*G1688*in_eligible*in_approved_repeat,0)</f>
        <v/>
      </c>
      <c r="N1688" s="40">
        <f>L1688+M1688</f>
        <v/>
      </c>
      <c r="O1688" s="46">
        <f>N1688/F1688</f>
        <v/>
      </c>
      <c r="P1688" s="40">
        <f>F1688-J1688-K1688</f>
        <v/>
      </c>
      <c r="Q1688" s="40">
        <f>IF(B1688&gt;=in_marketplace_from,(J1688+K1688)*d_hz*G1688,0)</f>
        <v/>
      </c>
      <c r="R1688" s="40">
        <f>SUMIFS(N1679:N1695,B1679:B1695,"&gt;="&amp;(B1688-d_T),B1679:B1695,"&lt;="&amp;(B1688-1))</f>
        <v/>
      </c>
      <c r="S1688" s="46">
        <f>(1-d_u)*S1687+IF(d_T&gt;in_topup_lag,SUMIFS(O1679:O1695,B1679:B1695,B1688-in_topup_lag)-d_udrop*SUMIFS(O1679:O1695,B1679:B1695,B1688-d_T),0)</f>
        <v/>
      </c>
      <c r="T1688" s="40">
        <f>F1688*d_u*S1688</f>
        <v/>
      </c>
      <c r="U1688" s="9">
        <f>L1688*in_ticket+M1688*d_rep_ticket</f>
        <v/>
      </c>
      <c r="V1688" s="9">
        <f>U1688+T1688*d_topup_amt</f>
        <v/>
      </c>
      <c r="W1688" s="40">
        <f>N1688+T1688*d_topup_ratio</f>
        <v/>
      </c>
      <c r="X1688" s="40">
        <f>SUMIFS(W1679:W1695,B1679:B1695,B1688-in_dpd_lag)*d_cured</f>
        <v/>
      </c>
      <c r="Y1688" s="40">
        <f>SUMIFS(W1679:W1695,B1679:B1695,B1688-in_rec_lag)*d_recd</f>
        <v/>
      </c>
      <c r="Z1688" s="40">
        <f>IF(AND(B1688&gt;=in_marketplace_from,B1688&lt;in_marketplace_from+in_card_months),in_card_share/in_card_months*F1688*I1688,IF(AND(B1688&gt;=in_marketplace_from+in_card_months,B1688&lt;in_marketplace_from+2*in_card_months),in_card_share*d_card_rem/in_card_months*F1688*MIN(in_takeup_cap,(1+in_takeup_growth)^(D1688-1))*MIN(in_takeup_cap,(1+in_approval_growth)^(D1688-1)),0))</f>
        <v/>
      </c>
      <c r="AA1688" s="14">
        <f>V1688*in_fee*(1-in_taken_back)</f>
        <v/>
      </c>
      <c r="AB1688" s="14">
        <f>SUMIFS(W1679:W1695,B1679:B1695,B1688-in_dpd_lag)*d_dpd</f>
        <v/>
      </c>
      <c r="AC1688" s="14">
        <f>SUMIFS(W1679:W1695,B1679:B1695,B1688-in_rec_lag)*d_rec</f>
        <v/>
      </c>
      <c r="AD1688" s="14">
        <f>Z1688*in_card_fee</f>
        <v/>
      </c>
      <c r="AE1688" s="40">
        <f>AE1687*(1-IF(B1687&gt;=in_marketplace_from,d_hz_hlth_small*G1687,0))</f>
        <v/>
      </c>
      <c r="AF1688" s="46">
        <f>AE1688*IF(B1688&gt;=in_marketplace_from,d_hz_hlth_small*G1688,0)</f>
        <v/>
      </c>
      <c r="AG1688" s="14">
        <f>F1688*AF1688*in_hlth_small_ticket*in_hlth_small_comm*in_ins_partner_share+F1688*in_hlth_small_ticket*in_hlth_small_renew_comm*in_ins_partner_share*(in_hlth_small_renew^1*SUMIFS(AF1679:AF1695,B1679:B1695,B1688-12)+in_hlth_small_renew^2*SUMIFS(AF1679:AF1695,B1679:B1695,B1688-24)+in_hlth_small_renew^3*SUMIFS(AF1679:AF1695,B1679:B1695,B1688-36)+in_hlth_small_renew^4*SUMIFS(AF1679:AF1695,B1679:B1695,B1688-48))</f>
        <v/>
      </c>
      <c r="AH1688" s="40">
        <f>AH1687*(1-IF(B1687&gt;=in_marketplace_from,d_hz_hlth_family*G1687,0))</f>
        <v/>
      </c>
      <c r="AI1688" s="46">
        <f>AH1688*IF(B1688&gt;=in_marketplace_from,d_hz_hlth_family*G1688,0)</f>
        <v/>
      </c>
      <c r="AJ1688" s="14">
        <f>F1688*AI1688*in_hlth_family_ticket*in_hlth_family_comm*in_ins_partner_share+F1688*in_hlth_family_ticket*in_hlth_family_renew_comm*in_ins_partner_share*(in_hlth_family_renew^1*SUMIFS(AI1679:AI1695,B1679:B1695,B1688-12)+in_hlth_family_renew^2*SUMIFS(AI1679:AI1695,B1679:B1695,B1688-24)+in_hlth_family_renew^3*SUMIFS(AI1679:AI1695,B1679:B1695,B1688-36)+in_hlth_family_renew^4*SUMIFS(AI1679:AI1695,B1679:B1695,B1688-48))</f>
        <v/>
      </c>
      <c r="AK1688" s="40">
        <f>AK1687*(1-IF(B1687&gt;=in_marketplace_from,d_hz_life_term*G1687,0))</f>
        <v/>
      </c>
      <c r="AL1688" s="46">
        <f>AK1688*IF(B1688&gt;=in_marketplace_from,d_hz_life_term*G1688,0)</f>
        <v/>
      </c>
      <c r="AM1688" s="14">
        <f>F1688*AL1688*in_life_term_ticket*in_life_term_comm*in_ins_partner_share+F1688*in_life_term_ticket*in_life_term_renew_comm*in_ins_partner_share*(in_life_term_renew^1*SUMIFS(AL1679:AL1695,B1679:B1695,B1688-12)+in_life_term_renew^2*SUMIFS(AL1679:AL1695,B1679:B1695,B1688-24)+in_life_term_renew^3*SUMIFS(AL1679:AL1695,B1679:B1695,B1688-36)+in_life_term_renew^4*SUMIFS(AL1679:AL1695,B1679:B1695,B1688-48))</f>
        <v/>
      </c>
      <c r="AN1688" s="40">
        <f>AN1687*(1-IF(B1687&gt;=in_marketplace_from,d_hz_accident*G1687,0))</f>
        <v/>
      </c>
      <c r="AO1688" s="46">
        <f>AN1688*IF(B1688&gt;=in_marketplace_from,d_hz_accident*G1688,0)</f>
        <v/>
      </c>
      <c r="AP1688" s="14">
        <f>F1688*AO1688*in_accident_ticket*in_accident_comm*in_ins_partner_share+F1688*in_accident_ticket*in_accident_renew_comm*in_ins_partner_share*(in_accident_renew^1*SUMIFS(AO1679:AO1695,B1679:B1695,B1688-12)+in_accident_renew^2*SUMIFS(AO1679:AO1695,B1679:B1695,B1688-24)+in_accident_renew^3*SUMIFS(AO1679:AO1695,B1679:B1695,B1688-36)+in_accident_renew^4*SUMIFS(AO1679:AO1695,B1679:B1695,B1688-48))</f>
        <v/>
      </c>
      <c r="AQ1688" s="40">
        <f>AQ1687*(1-IF(B1687&gt;=in_marketplace_from,d_hz_two_wheeler*G1687,0))</f>
        <v/>
      </c>
      <c r="AR1688" s="46">
        <f>AQ1688*IF(B1688&gt;=in_marketplace_from,d_hz_two_wheeler*G1688,0)</f>
        <v/>
      </c>
      <c r="AS1688" s="14">
        <f>F1688*AR1688*in_two_wheeler_ticket*in_two_wheeler_comm*in_ins_partner_share+F1688*in_two_wheeler_ticket*in_two_wheeler_comm*in_ins_partner_share*(in_two_wheeler_renew^1*SUMIFS(AR1679:AR1695,B1679:B1695,B1688-12)+in_two_wheeler_renew^2*SUMIFS(AR1679:AR1695,B1679:B1695,B1688-24)+in_two_wheeler_renew^3*SUMIFS(AR1679:AR1695,B1679:B1695,B1688-36)+in_two_wheeler_renew^4*SUMIFS(AR1679:AR1695,B1679:B1695,B1688-48))</f>
        <v/>
      </c>
      <c r="AT1688" s="40">
        <f>AT1687*(1-IF(B1687&gt;=in_marketplace_from,d_hz_device*G1687,0))</f>
        <v/>
      </c>
      <c r="AU1688" s="14">
        <f>F1688*AT1688*IF(B1688&gt;=in_marketplace_from,d_hz_device*G1688,0)*in_device_ticket*in_device_comm*in_ins_partner_share</f>
        <v/>
      </c>
      <c r="AV1688" s="40">
        <f>AV1687*(1-IF(B1687&gt;=in_marketplace_from,d_hz_shop*G1687,0))</f>
        <v/>
      </c>
      <c r="AW1688" s="46">
        <f>AV1688*IF(B1688&gt;=in_marketplace_from,d_hz_shop*G1688,0)</f>
        <v/>
      </c>
      <c r="AX1688" s="14">
        <f>F1688*AW1688*in_shop_ticket*in_shop_comm*in_ins_partner_share+F1688*in_shop_ticket*in_shop_renew_comm*in_ins_partner_share*(in_shop_renew^1*SUMIFS(AW1679:AW1695,B1679:B1695,B1688-12)+in_shop_renew^2*SUMIFS(AW1679:AW1695,B1679:B1695,B1688-24)+in_shop_renew^3*SUMIFS(AW1679:AW1695,B1679:B1695,B1688-36)+in_shop_renew^4*SUMIFS(AW1679:AW1695,B1679:B1695,B1688-48))</f>
        <v/>
      </c>
      <c r="AY1688" s="40">
        <f>AY1687*(1-IF(B1687&gt;=in_marketplace_from,d_hz_sip*G1687,0))</f>
        <v/>
      </c>
      <c r="AZ1688" s="40">
        <f>AZ1687*d_rho_sip+AY1688*IF(B1688&gt;=in_marketplace_from,d_hz_sip*G1688,0)</f>
        <v/>
      </c>
      <c r="BA1688" s="40">
        <f>d_rho_sip*(BA1687+AZ1687)</f>
        <v/>
      </c>
      <c r="BB1688" s="14">
        <f>F1688*in_sip_ticket*(BA1688+0.5*AZ1688)*in_sip_comm/12</f>
        <v/>
      </c>
      <c r="BC1688" s="40">
        <f>BC1687*(1-IF(B1687&gt;=in_marketplace_from,d_hz_choti*G1687,0))</f>
        <v/>
      </c>
      <c r="BD1688" s="46">
        <f>BC1688*IF(B1688&gt;=in_marketplace_from,d_hz_choti*G1688,0)</f>
        <v/>
      </c>
      <c r="BE1688" s="14">
        <f>F1688*SUMIFS(BD1679:BD1695,B1679:B1695,B1688-in_choti_months)*in_choti_renew*in_choti_ticket</f>
        <v/>
      </c>
      <c r="BF1688" s="40">
        <f>BF1687*(1-IF(B1687&gt;=in_marketplace_from,d_hz_nps*G1687,0))</f>
        <v/>
      </c>
      <c r="BG1688" s="14">
        <f>F1688*BF1688*IF(B1688&gt;=in_marketplace_from,d_hz_nps*G1688,0)*in_nps_ticket*in_nps_comm</f>
        <v/>
      </c>
      <c r="BH1688" s="40">
        <f>BH1687*(1-IF(B1687&gt;=in_marketplace_from,d_hz_gold*G1687,0))</f>
        <v/>
      </c>
      <c r="BI1688" s="40">
        <f>BI1687*d_rho_gold+BH1688*IF(B1688&gt;=in_marketplace_from,d_hz_gold*G1688,0)</f>
        <v/>
      </c>
      <c r="BJ1688" s="14">
        <f>F1688*BI1688*in_gold_ticket*in_gold_comm</f>
        <v/>
      </c>
      <c r="BK1688" s="40">
        <f>BK1687*(1-IF(B1687&gt;=in_marketplace_from,d_hz_fd*G1687,0))</f>
        <v/>
      </c>
      <c r="BL1688" s="14">
        <f>F1688*BK1688*IF(B1688&gt;=in_marketplace_from,d_hz_fd*G1688,0)*in_fd_ticket*in_fd_comm</f>
        <v/>
      </c>
      <c r="BM1688" s="40">
        <f>BM1687*(1-IF(B1687&gt;=in_marketplace_from,d_hz_recharge*G1687,0))</f>
        <v/>
      </c>
      <c r="BN1688" s="40">
        <f>BN1687*d_rho_recharge+BM1688*IF(B1688&gt;=in_marketplace_from,d_hz_recharge*G1688,0)</f>
        <v/>
      </c>
      <c r="BO1688" s="14">
        <f>F1688*BN1688*in_recharge_ticket*in_recharge_comm/12</f>
        <v/>
      </c>
      <c r="BP1688" s="40">
        <f>BP1687*(1-IF(B1687&gt;=in_marketplace_from,d_hz_bills*G1687,0))</f>
        <v/>
      </c>
      <c r="BQ1688" s="40">
        <f>BQ1687*d_rho_bills+BP1688*IF(B1688&gt;=in_marketplace_from,d_hz_bills*G1688,0)</f>
        <v/>
      </c>
      <c r="BR1688" s="14">
        <f>F1688*BQ1688*in_bills_ticket*in_bills_comm/12</f>
        <v/>
      </c>
      <c r="BS1688" s="40">
        <f>BS1687*(1-IF(B1687&gt;=in_marketplace_from,d_hz_loan_gold*G1687,0))</f>
        <v/>
      </c>
      <c r="BT1688" s="14">
        <f>F1688*BS1688*IF(B1688&gt;=in_marketplace_from,d_hz_loan_gold*G1688,0)*in_loan_gold_ticket*in_loan_gold_comm</f>
        <v/>
      </c>
      <c r="BU1688" s="40">
        <f>BU1687*(1-IF(B1687&gt;=in_marketplace_from,d_hz_loan_cd*G1687,0))</f>
        <v/>
      </c>
      <c r="BV1688" s="14">
        <f>F1688*BU1688*IF(B1688&gt;=in_marketplace_from,d_hz_loan_cd*G1688,0)*in_loan_cd_ticket*in_loan_cd_comm</f>
        <v/>
      </c>
      <c r="BW1688" s="40">
        <f>BW1687*(1-IF(B1687&gt;=in_marketplace_from,d_hz_loan_vehicle*G1687,0))</f>
        <v/>
      </c>
      <c r="BX1688" s="14">
        <f>F1688*BW1688*IF(B1688&gt;=in_marketplace_from,d_hz_loan_vehicle*G1688,0)*in_loan_vehicle_ticket*in_loan_vehicle_comm</f>
        <v/>
      </c>
      <c r="BY1688" s="40">
        <f>BY1687*(1-IF(B1687&gt;=in_marketplace_from,d_hz_loan_home*G1687,0)*BZ1687)</f>
        <v/>
      </c>
      <c r="BZ1688" s="11">
        <f>MIN(in_approval_cap,in_loan_home_approval*INDEX('Age profile'!$O$2:$O$61,B1688)*(1+in_approval_growth)^(D1688-1))</f>
        <v/>
      </c>
      <c r="CA1688" s="14">
        <f>F1688*BY1688*IF(B1688&gt;=in_marketplace_from,d_hz_loan_home*G1688,0)*BZ1688*in_loan_home_ticket*in_loan_home_comm</f>
        <v/>
      </c>
      <c r="CB1688" s="40">
        <f>CB1687*(1-IF(B1687&gt;=in_marketplace_from,d_hz_loan_lap*G1687,0)*CC1687)</f>
        <v/>
      </c>
      <c r="CC1688" s="11">
        <f>MIN(in_approval_cap,in_loan_lap_approval*INDEX('Age profile'!$O$2:$O$61,B1688)*(1+in_approval_growth)^(D1688-1))</f>
        <v/>
      </c>
      <c r="CD1688" s="14">
        <f>F1688*CB1688*IF(B1688&gt;=in_marketplace_from,d_hz_loan_lap*G1688,0)*CC1688*in_loan_lap_ticket*in_loan_lap_comm</f>
        <v/>
      </c>
      <c r="CE1688" s="14">
        <f>AA1688+AB1688+AC1688+AD1688+AG1688+AJ1688+AM1688+AP1688+AS1688+AU1688+AX1688+BB1688+BE1688+BG1688+BJ1688+BL1688+BO1688+BR1688+BT1688+BV1688+BX1688+CA1688+CD1688</f>
        <v/>
      </c>
    </row>
    <row r="1689">
      <c r="A1689" s="39" t="n">
        <v>44</v>
      </c>
      <c r="B1689" s="39" t="n">
        <v>11</v>
      </c>
      <c r="C1689" s="39">
        <f>A1689+B1689-1</f>
        <v/>
      </c>
      <c r="D1689" s="39">
        <f>INT((C1689-1)/12)+1</f>
        <v/>
      </c>
      <c r="E1689" s="44">
        <f>INDEX(Monthly!$B$2:$B$61,A1689)</f>
        <v/>
      </c>
      <c r="F1689" s="44">
        <f>E1689*INDEX('Age profile'!$B$2:$B$61,B1689)</f>
        <v/>
      </c>
      <c r="G1689" s="45">
        <f>MIN(in_takeup_cap,INDEX('Age profile'!$N$2:$N$61,B1689)*(1+in_takeup_growth)^(D1689-1))</f>
        <v/>
      </c>
      <c r="H1689" s="11">
        <f>MIN(in_approval_cap,in_approved_first*INDEX('Age profile'!$O$2:$O$61,B1689)*(1+in_approval_growth)^(D1689-1))</f>
        <v/>
      </c>
      <c r="I1689" s="45">
        <f>G1689*MIN(in_takeup_cap,INDEX('Age profile'!$O$2:$O$61,B1689)*(1+in_approval_growth)^(D1689-1))</f>
        <v/>
      </c>
      <c r="J1689" s="40">
        <f>(J1688-L1688)*F1689/F1688</f>
        <v/>
      </c>
      <c r="K1689" s="40">
        <f>(K1688-M1688)*F1689/F1688+SUMIFS(O1679:O1688,B1679:B1688,B1689-1-d_T)*F1689</f>
        <v/>
      </c>
      <c r="L1689" s="40">
        <f>IF(B1689&gt;=in_marketplace_from,J1689*d_hz*G1689*in_eligible*H1689,0)</f>
        <v/>
      </c>
      <c r="M1689" s="40">
        <f>IF(B1689&gt;=in_marketplace_from,K1689*d_hz*G1689*in_eligible*in_approved_repeat,0)</f>
        <v/>
      </c>
      <c r="N1689" s="40">
        <f>L1689+M1689</f>
        <v/>
      </c>
      <c r="O1689" s="46">
        <f>N1689/F1689</f>
        <v/>
      </c>
      <c r="P1689" s="40">
        <f>F1689-J1689-K1689</f>
        <v/>
      </c>
      <c r="Q1689" s="40">
        <f>IF(B1689&gt;=in_marketplace_from,(J1689+K1689)*d_hz*G1689,0)</f>
        <v/>
      </c>
      <c r="R1689" s="40">
        <f>SUMIFS(N1679:N1695,B1679:B1695,"&gt;="&amp;(B1689-d_T),B1679:B1695,"&lt;="&amp;(B1689-1))</f>
        <v/>
      </c>
      <c r="S1689" s="46">
        <f>(1-d_u)*S1688+IF(d_T&gt;in_topup_lag,SUMIFS(O1679:O1695,B1679:B1695,B1689-in_topup_lag)-d_udrop*SUMIFS(O1679:O1695,B1679:B1695,B1689-d_T),0)</f>
        <v/>
      </c>
      <c r="T1689" s="40">
        <f>F1689*d_u*S1689</f>
        <v/>
      </c>
      <c r="U1689" s="9">
        <f>L1689*in_ticket+M1689*d_rep_ticket</f>
        <v/>
      </c>
      <c r="V1689" s="9">
        <f>U1689+T1689*d_topup_amt</f>
        <v/>
      </c>
      <c r="W1689" s="40">
        <f>N1689+T1689*d_topup_ratio</f>
        <v/>
      </c>
      <c r="X1689" s="40">
        <f>SUMIFS(W1679:W1695,B1679:B1695,B1689-in_dpd_lag)*d_cured</f>
        <v/>
      </c>
      <c r="Y1689" s="40">
        <f>SUMIFS(W1679:W1695,B1679:B1695,B1689-in_rec_lag)*d_recd</f>
        <v/>
      </c>
      <c r="Z1689" s="40">
        <f>IF(AND(B1689&gt;=in_marketplace_from,B1689&lt;in_marketplace_from+in_card_months),in_card_share/in_card_months*F1689*I1689,IF(AND(B1689&gt;=in_marketplace_from+in_card_months,B1689&lt;in_marketplace_from+2*in_card_months),in_card_share*d_card_rem/in_card_months*F1689*MIN(in_takeup_cap,(1+in_takeup_growth)^(D1689-1))*MIN(in_takeup_cap,(1+in_approval_growth)^(D1689-1)),0))</f>
        <v/>
      </c>
      <c r="AA1689" s="14">
        <f>V1689*in_fee*(1-in_taken_back)</f>
        <v/>
      </c>
      <c r="AB1689" s="14">
        <f>SUMIFS(W1679:W1695,B1679:B1695,B1689-in_dpd_lag)*d_dpd</f>
        <v/>
      </c>
      <c r="AC1689" s="14">
        <f>SUMIFS(W1679:W1695,B1679:B1695,B1689-in_rec_lag)*d_rec</f>
        <v/>
      </c>
      <c r="AD1689" s="14">
        <f>Z1689*in_card_fee</f>
        <v/>
      </c>
      <c r="AE1689" s="40">
        <f>AE1688*(1-IF(B1688&gt;=in_marketplace_from,d_hz_hlth_small*G1688,0))</f>
        <v/>
      </c>
      <c r="AF1689" s="46">
        <f>AE1689*IF(B1689&gt;=in_marketplace_from,d_hz_hlth_small*G1689,0)</f>
        <v/>
      </c>
      <c r="AG1689" s="14">
        <f>F1689*AF1689*in_hlth_small_ticket*in_hlth_small_comm*in_ins_partner_share+F1689*in_hlth_small_ticket*in_hlth_small_renew_comm*in_ins_partner_share*(in_hlth_small_renew^1*SUMIFS(AF1679:AF1695,B1679:B1695,B1689-12)+in_hlth_small_renew^2*SUMIFS(AF1679:AF1695,B1679:B1695,B1689-24)+in_hlth_small_renew^3*SUMIFS(AF1679:AF1695,B1679:B1695,B1689-36)+in_hlth_small_renew^4*SUMIFS(AF1679:AF1695,B1679:B1695,B1689-48))</f>
        <v/>
      </c>
      <c r="AH1689" s="40">
        <f>AH1688*(1-IF(B1688&gt;=in_marketplace_from,d_hz_hlth_family*G1688,0))</f>
        <v/>
      </c>
      <c r="AI1689" s="46">
        <f>AH1689*IF(B1689&gt;=in_marketplace_from,d_hz_hlth_family*G1689,0)</f>
        <v/>
      </c>
      <c r="AJ1689" s="14">
        <f>F1689*AI1689*in_hlth_family_ticket*in_hlth_family_comm*in_ins_partner_share+F1689*in_hlth_family_ticket*in_hlth_family_renew_comm*in_ins_partner_share*(in_hlth_family_renew^1*SUMIFS(AI1679:AI1695,B1679:B1695,B1689-12)+in_hlth_family_renew^2*SUMIFS(AI1679:AI1695,B1679:B1695,B1689-24)+in_hlth_family_renew^3*SUMIFS(AI1679:AI1695,B1679:B1695,B1689-36)+in_hlth_family_renew^4*SUMIFS(AI1679:AI1695,B1679:B1695,B1689-48))</f>
        <v/>
      </c>
      <c r="AK1689" s="40">
        <f>AK1688*(1-IF(B1688&gt;=in_marketplace_from,d_hz_life_term*G1688,0))</f>
        <v/>
      </c>
      <c r="AL1689" s="46">
        <f>AK1689*IF(B1689&gt;=in_marketplace_from,d_hz_life_term*G1689,0)</f>
        <v/>
      </c>
      <c r="AM1689" s="14">
        <f>F1689*AL1689*in_life_term_ticket*in_life_term_comm*in_ins_partner_share+F1689*in_life_term_ticket*in_life_term_renew_comm*in_ins_partner_share*(in_life_term_renew^1*SUMIFS(AL1679:AL1695,B1679:B1695,B1689-12)+in_life_term_renew^2*SUMIFS(AL1679:AL1695,B1679:B1695,B1689-24)+in_life_term_renew^3*SUMIFS(AL1679:AL1695,B1679:B1695,B1689-36)+in_life_term_renew^4*SUMIFS(AL1679:AL1695,B1679:B1695,B1689-48))</f>
        <v/>
      </c>
      <c r="AN1689" s="40">
        <f>AN1688*(1-IF(B1688&gt;=in_marketplace_from,d_hz_accident*G1688,0))</f>
        <v/>
      </c>
      <c r="AO1689" s="46">
        <f>AN1689*IF(B1689&gt;=in_marketplace_from,d_hz_accident*G1689,0)</f>
        <v/>
      </c>
      <c r="AP1689" s="14">
        <f>F1689*AO1689*in_accident_ticket*in_accident_comm*in_ins_partner_share+F1689*in_accident_ticket*in_accident_renew_comm*in_ins_partner_share*(in_accident_renew^1*SUMIFS(AO1679:AO1695,B1679:B1695,B1689-12)+in_accident_renew^2*SUMIFS(AO1679:AO1695,B1679:B1695,B1689-24)+in_accident_renew^3*SUMIFS(AO1679:AO1695,B1679:B1695,B1689-36)+in_accident_renew^4*SUMIFS(AO1679:AO1695,B1679:B1695,B1689-48))</f>
        <v/>
      </c>
      <c r="AQ1689" s="40">
        <f>AQ1688*(1-IF(B1688&gt;=in_marketplace_from,d_hz_two_wheeler*G1688,0))</f>
        <v/>
      </c>
      <c r="AR1689" s="46">
        <f>AQ1689*IF(B1689&gt;=in_marketplace_from,d_hz_two_wheeler*G1689,0)</f>
        <v/>
      </c>
      <c r="AS1689" s="14">
        <f>F1689*AR1689*in_two_wheeler_ticket*in_two_wheeler_comm*in_ins_partner_share+F1689*in_two_wheeler_ticket*in_two_wheeler_comm*in_ins_partner_share*(in_two_wheeler_renew^1*SUMIFS(AR1679:AR1695,B1679:B1695,B1689-12)+in_two_wheeler_renew^2*SUMIFS(AR1679:AR1695,B1679:B1695,B1689-24)+in_two_wheeler_renew^3*SUMIFS(AR1679:AR1695,B1679:B1695,B1689-36)+in_two_wheeler_renew^4*SUMIFS(AR1679:AR1695,B1679:B1695,B1689-48))</f>
        <v/>
      </c>
      <c r="AT1689" s="40">
        <f>AT1688*(1-IF(B1688&gt;=in_marketplace_from,d_hz_device*G1688,0))</f>
        <v/>
      </c>
      <c r="AU1689" s="14">
        <f>F1689*AT1689*IF(B1689&gt;=in_marketplace_from,d_hz_device*G1689,0)*in_device_ticket*in_device_comm*in_ins_partner_share</f>
        <v/>
      </c>
      <c r="AV1689" s="40">
        <f>AV1688*(1-IF(B1688&gt;=in_marketplace_from,d_hz_shop*G1688,0))</f>
        <v/>
      </c>
      <c r="AW1689" s="46">
        <f>AV1689*IF(B1689&gt;=in_marketplace_from,d_hz_shop*G1689,0)</f>
        <v/>
      </c>
      <c r="AX1689" s="14">
        <f>F1689*AW1689*in_shop_ticket*in_shop_comm*in_ins_partner_share+F1689*in_shop_ticket*in_shop_renew_comm*in_ins_partner_share*(in_shop_renew^1*SUMIFS(AW1679:AW1695,B1679:B1695,B1689-12)+in_shop_renew^2*SUMIFS(AW1679:AW1695,B1679:B1695,B1689-24)+in_shop_renew^3*SUMIFS(AW1679:AW1695,B1679:B1695,B1689-36)+in_shop_renew^4*SUMIFS(AW1679:AW1695,B1679:B1695,B1689-48))</f>
        <v/>
      </c>
      <c r="AY1689" s="40">
        <f>AY1688*(1-IF(B1688&gt;=in_marketplace_from,d_hz_sip*G1688,0))</f>
        <v/>
      </c>
      <c r="AZ1689" s="40">
        <f>AZ1688*d_rho_sip+AY1689*IF(B1689&gt;=in_marketplace_from,d_hz_sip*G1689,0)</f>
        <v/>
      </c>
      <c r="BA1689" s="40">
        <f>d_rho_sip*(BA1688+AZ1688)</f>
        <v/>
      </c>
      <c r="BB1689" s="14">
        <f>F1689*in_sip_ticket*(BA1689+0.5*AZ1689)*in_sip_comm/12</f>
        <v/>
      </c>
      <c r="BC1689" s="40">
        <f>BC1688*(1-IF(B1688&gt;=in_marketplace_from,d_hz_choti*G1688,0))</f>
        <v/>
      </c>
      <c r="BD1689" s="46">
        <f>BC1689*IF(B1689&gt;=in_marketplace_from,d_hz_choti*G1689,0)</f>
        <v/>
      </c>
      <c r="BE1689" s="14">
        <f>F1689*SUMIFS(BD1679:BD1695,B1679:B1695,B1689-in_choti_months)*in_choti_renew*in_choti_ticket</f>
        <v/>
      </c>
      <c r="BF1689" s="40">
        <f>BF1688*(1-IF(B1688&gt;=in_marketplace_from,d_hz_nps*G1688,0))</f>
        <v/>
      </c>
      <c r="BG1689" s="14">
        <f>F1689*BF1689*IF(B1689&gt;=in_marketplace_from,d_hz_nps*G1689,0)*in_nps_ticket*in_nps_comm</f>
        <v/>
      </c>
      <c r="BH1689" s="40">
        <f>BH1688*(1-IF(B1688&gt;=in_marketplace_from,d_hz_gold*G1688,0))</f>
        <v/>
      </c>
      <c r="BI1689" s="40">
        <f>BI1688*d_rho_gold+BH1689*IF(B1689&gt;=in_marketplace_from,d_hz_gold*G1689,0)</f>
        <v/>
      </c>
      <c r="BJ1689" s="14">
        <f>F1689*BI1689*in_gold_ticket*in_gold_comm</f>
        <v/>
      </c>
      <c r="BK1689" s="40">
        <f>BK1688*(1-IF(B1688&gt;=in_marketplace_from,d_hz_fd*G1688,0))</f>
        <v/>
      </c>
      <c r="BL1689" s="14">
        <f>F1689*BK1689*IF(B1689&gt;=in_marketplace_from,d_hz_fd*G1689,0)*in_fd_ticket*in_fd_comm</f>
        <v/>
      </c>
      <c r="BM1689" s="40">
        <f>BM1688*(1-IF(B1688&gt;=in_marketplace_from,d_hz_recharge*G1688,0))</f>
        <v/>
      </c>
      <c r="BN1689" s="40">
        <f>BN1688*d_rho_recharge+BM1689*IF(B1689&gt;=in_marketplace_from,d_hz_recharge*G1689,0)</f>
        <v/>
      </c>
      <c r="BO1689" s="14">
        <f>F1689*BN1689*in_recharge_ticket*in_recharge_comm/12</f>
        <v/>
      </c>
      <c r="BP1689" s="40">
        <f>BP1688*(1-IF(B1688&gt;=in_marketplace_from,d_hz_bills*G1688,0))</f>
        <v/>
      </c>
      <c r="BQ1689" s="40">
        <f>BQ1688*d_rho_bills+BP1689*IF(B1689&gt;=in_marketplace_from,d_hz_bills*G1689,0)</f>
        <v/>
      </c>
      <c r="BR1689" s="14">
        <f>F1689*BQ1689*in_bills_ticket*in_bills_comm/12</f>
        <v/>
      </c>
      <c r="BS1689" s="40">
        <f>BS1688*(1-IF(B1688&gt;=in_marketplace_from,d_hz_loan_gold*G1688,0))</f>
        <v/>
      </c>
      <c r="BT1689" s="14">
        <f>F1689*BS1689*IF(B1689&gt;=in_marketplace_from,d_hz_loan_gold*G1689,0)*in_loan_gold_ticket*in_loan_gold_comm</f>
        <v/>
      </c>
      <c r="BU1689" s="40">
        <f>BU1688*(1-IF(B1688&gt;=in_marketplace_from,d_hz_loan_cd*G1688,0))</f>
        <v/>
      </c>
      <c r="BV1689" s="14">
        <f>F1689*BU1689*IF(B1689&gt;=in_marketplace_from,d_hz_loan_cd*G1689,0)*in_loan_cd_ticket*in_loan_cd_comm</f>
        <v/>
      </c>
      <c r="BW1689" s="40">
        <f>BW1688*(1-IF(B1688&gt;=in_marketplace_from,d_hz_loan_vehicle*G1688,0))</f>
        <v/>
      </c>
      <c r="BX1689" s="14">
        <f>F1689*BW1689*IF(B1689&gt;=in_marketplace_from,d_hz_loan_vehicle*G1689,0)*in_loan_vehicle_ticket*in_loan_vehicle_comm</f>
        <v/>
      </c>
      <c r="BY1689" s="40">
        <f>BY1688*(1-IF(B1688&gt;=in_marketplace_from,d_hz_loan_home*G1688,0)*BZ1688)</f>
        <v/>
      </c>
      <c r="BZ1689" s="11">
        <f>MIN(in_approval_cap,in_loan_home_approval*INDEX('Age profile'!$O$2:$O$61,B1689)*(1+in_approval_growth)^(D1689-1))</f>
        <v/>
      </c>
      <c r="CA1689" s="14">
        <f>F1689*BY1689*IF(B1689&gt;=in_marketplace_from,d_hz_loan_home*G1689,0)*BZ1689*in_loan_home_ticket*in_loan_home_comm</f>
        <v/>
      </c>
      <c r="CB1689" s="40">
        <f>CB1688*(1-IF(B1688&gt;=in_marketplace_from,d_hz_loan_lap*G1688,0)*CC1688)</f>
        <v/>
      </c>
      <c r="CC1689" s="11">
        <f>MIN(in_approval_cap,in_loan_lap_approval*INDEX('Age profile'!$O$2:$O$61,B1689)*(1+in_approval_growth)^(D1689-1))</f>
        <v/>
      </c>
      <c r="CD1689" s="14">
        <f>F1689*CB1689*IF(B1689&gt;=in_marketplace_from,d_hz_loan_lap*G1689,0)*CC1689*in_loan_lap_ticket*in_loan_lap_comm</f>
        <v/>
      </c>
      <c r="CE1689" s="14">
        <f>AA1689+AB1689+AC1689+AD1689+AG1689+AJ1689+AM1689+AP1689+AS1689+AU1689+AX1689+BB1689+BE1689+BG1689+BJ1689+BL1689+BO1689+BR1689+BT1689+BV1689+BX1689+CA1689+CD1689</f>
        <v/>
      </c>
    </row>
    <row r="1690">
      <c r="A1690" s="39" t="n">
        <v>44</v>
      </c>
      <c r="B1690" s="39" t="n">
        <v>12</v>
      </c>
      <c r="C1690" s="39">
        <f>A1690+B1690-1</f>
        <v/>
      </c>
      <c r="D1690" s="39">
        <f>INT((C1690-1)/12)+1</f>
        <v/>
      </c>
      <c r="E1690" s="44">
        <f>INDEX(Monthly!$B$2:$B$61,A1690)</f>
        <v/>
      </c>
      <c r="F1690" s="44">
        <f>E1690*INDEX('Age profile'!$B$2:$B$61,B1690)</f>
        <v/>
      </c>
      <c r="G1690" s="45">
        <f>MIN(in_takeup_cap,INDEX('Age profile'!$N$2:$N$61,B1690)*(1+in_takeup_growth)^(D1690-1))</f>
        <v/>
      </c>
      <c r="H1690" s="11">
        <f>MIN(in_approval_cap,in_approved_first*INDEX('Age profile'!$O$2:$O$61,B1690)*(1+in_approval_growth)^(D1690-1))</f>
        <v/>
      </c>
      <c r="I1690" s="45">
        <f>G1690*MIN(in_takeup_cap,INDEX('Age profile'!$O$2:$O$61,B1690)*(1+in_approval_growth)^(D1690-1))</f>
        <v/>
      </c>
      <c r="J1690" s="40">
        <f>(J1689-L1689)*F1690/F1689</f>
        <v/>
      </c>
      <c r="K1690" s="40">
        <f>(K1689-M1689)*F1690/F1689+SUMIFS(O1679:O1689,B1679:B1689,B1690-1-d_T)*F1690</f>
        <v/>
      </c>
      <c r="L1690" s="40">
        <f>IF(B1690&gt;=in_marketplace_from,J1690*d_hz*G1690*in_eligible*H1690,0)</f>
        <v/>
      </c>
      <c r="M1690" s="40">
        <f>IF(B1690&gt;=in_marketplace_from,K1690*d_hz*G1690*in_eligible*in_approved_repeat,0)</f>
        <v/>
      </c>
      <c r="N1690" s="40">
        <f>L1690+M1690</f>
        <v/>
      </c>
      <c r="O1690" s="46">
        <f>N1690/F1690</f>
        <v/>
      </c>
      <c r="P1690" s="40">
        <f>F1690-J1690-K1690</f>
        <v/>
      </c>
      <c r="Q1690" s="40">
        <f>IF(B1690&gt;=in_marketplace_from,(J1690+K1690)*d_hz*G1690,0)</f>
        <v/>
      </c>
      <c r="R1690" s="40">
        <f>SUMIFS(N1679:N1695,B1679:B1695,"&gt;="&amp;(B1690-d_T),B1679:B1695,"&lt;="&amp;(B1690-1))</f>
        <v/>
      </c>
      <c r="S1690" s="46">
        <f>(1-d_u)*S1689+IF(d_T&gt;in_topup_lag,SUMIFS(O1679:O1695,B1679:B1695,B1690-in_topup_lag)-d_udrop*SUMIFS(O1679:O1695,B1679:B1695,B1690-d_T),0)</f>
        <v/>
      </c>
      <c r="T1690" s="40">
        <f>F1690*d_u*S1690</f>
        <v/>
      </c>
      <c r="U1690" s="9">
        <f>L1690*in_ticket+M1690*d_rep_ticket</f>
        <v/>
      </c>
      <c r="V1690" s="9">
        <f>U1690+T1690*d_topup_amt</f>
        <v/>
      </c>
      <c r="W1690" s="40">
        <f>N1690+T1690*d_topup_ratio</f>
        <v/>
      </c>
      <c r="X1690" s="40">
        <f>SUMIFS(W1679:W1695,B1679:B1695,B1690-in_dpd_lag)*d_cured</f>
        <v/>
      </c>
      <c r="Y1690" s="40">
        <f>SUMIFS(W1679:W1695,B1679:B1695,B1690-in_rec_lag)*d_recd</f>
        <v/>
      </c>
      <c r="Z1690" s="40">
        <f>IF(AND(B1690&gt;=in_marketplace_from,B1690&lt;in_marketplace_from+in_card_months),in_card_share/in_card_months*F1690*I1690,IF(AND(B1690&gt;=in_marketplace_from+in_card_months,B1690&lt;in_marketplace_from+2*in_card_months),in_card_share*d_card_rem/in_card_months*F1690*MIN(in_takeup_cap,(1+in_takeup_growth)^(D1690-1))*MIN(in_takeup_cap,(1+in_approval_growth)^(D1690-1)),0))</f>
        <v/>
      </c>
      <c r="AA1690" s="14">
        <f>V1690*in_fee*(1-in_taken_back)</f>
        <v/>
      </c>
      <c r="AB1690" s="14">
        <f>SUMIFS(W1679:W1695,B1679:B1695,B1690-in_dpd_lag)*d_dpd</f>
        <v/>
      </c>
      <c r="AC1690" s="14">
        <f>SUMIFS(W1679:W1695,B1679:B1695,B1690-in_rec_lag)*d_rec</f>
        <v/>
      </c>
      <c r="AD1690" s="14">
        <f>Z1690*in_card_fee</f>
        <v/>
      </c>
      <c r="AE1690" s="40">
        <f>AE1689*(1-IF(B1689&gt;=in_marketplace_from,d_hz_hlth_small*G1689,0))</f>
        <v/>
      </c>
      <c r="AF1690" s="46">
        <f>AE1690*IF(B1690&gt;=in_marketplace_from,d_hz_hlth_small*G1690,0)</f>
        <v/>
      </c>
      <c r="AG1690" s="14">
        <f>F1690*AF1690*in_hlth_small_ticket*in_hlth_small_comm*in_ins_partner_share+F1690*in_hlth_small_ticket*in_hlth_small_renew_comm*in_ins_partner_share*(in_hlth_small_renew^1*SUMIFS(AF1679:AF1695,B1679:B1695,B1690-12)+in_hlth_small_renew^2*SUMIFS(AF1679:AF1695,B1679:B1695,B1690-24)+in_hlth_small_renew^3*SUMIFS(AF1679:AF1695,B1679:B1695,B1690-36)+in_hlth_small_renew^4*SUMIFS(AF1679:AF1695,B1679:B1695,B1690-48))</f>
        <v/>
      </c>
      <c r="AH1690" s="40">
        <f>AH1689*(1-IF(B1689&gt;=in_marketplace_from,d_hz_hlth_family*G1689,0))</f>
        <v/>
      </c>
      <c r="AI1690" s="46">
        <f>AH1690*IF(B1690&gt;=in_marketplace_from,d_hz_hlth_family*G1690,0)</f>
        <v/>
      </c>
      <c r="AJ1690" s="14">
        <f>F1690*AI1690*in_hlth_family_ticket*in_hlth_family_comm*in_ins_partner_share+F1690*in_hlth_family_ticket*in_hlth_family_renew_comm*in_ins_partner_share*(in_hlth_family_renew^1*SUMIFS(AI1679:AI1695,B1679:B1695,B1690-12)+in_hlth_family_renew^2*SUMIFS(AI1679:AI1695,B1679:B1695,B1690-24)+in_hlth_family_renew^3*SUMIFS(AI1679:AI1695,B1679:B1695,B1690-36)+in_hlth_family_renew^4*SUMIFS(AI1679:AI1695,B1679:B1695,B1690-48))</f>
        <v/>
      </c>
      <c r="AK1690" s="40">
        <f>AK1689*(1-IF(B1689&gt;=in_marketplace_from,d_hz_life_term*G1689,0))</f>
        <v/>
      </c>
      <c r="AL1690" s="46">
        <f>AK1690*IF(B1690&gt;=in_marketplace_from,d_hz_life_term*G1690,0)</f>
        <v/>
      </c>
      <c r="AM1690" s="14">
        <f>F1690*AL1690*in_life_term_ticket*in_life_term_comm*in_ins_partner_share+F1690*in_life_term_ticket*in_life_term_renew_comm*in_ins_partner_share*(in_life_term_renew^1*SUMIFS(AL1679:AL1695,B1679:B1695,B1690-12)+in_life_term_renew^2*SUMIFS(AL1679:AL1695,B1679:B1695,B1690-24)+in_life_term_renew^3*SUMIFS(AL1679:AL1695,B1679:B1695,B1690-36)+in_life_term_renew^4*SUMIFS(AL1679:AL1695,B1679:B1695,B1690-48))</f>
        <v/>
      </c>
      <c r="AN1690" s="40">
        <f>AN1689*(1-IF(B1689&gt;=in_marketplace_from,d_hz_accident*G1689,0))</f>
        <v/>
      </c>
      <c r="AO1690" s="46">
        <f>AN1690*IF(B1690&gt;=in_marketplace_from,d_hz_accident*G1690,0)</f>
        <v/>
      </c>
      <c r="AP1690" s="14">
        <f>F1690*AO1690*in_accident_ticket*in_accident_comm*in_ins_partner_share+F1690*in_accident_ticket*in_accident_renew_comm*in_ins_partner_share*(in_accident_renew^1*SUMIFS(AO1679:AO1695,B1679:B1695,B1690-12)+in_accident_renew^2*SUMIFS(AO1679:AO1695,B1679:B1695,B1690-24)+in_accident_renew^3*SUMIFS(AO1679:AO1695,B1679:B1695,B1690-36)+in_accident_renew^4*SUMIFS(AO1679:AO1695,B1679:B1695,B1690-48))</f>
        <v/>
      </c>
      <c r="AQ1690" s="40">
        <f>AQ1689*(1-IF(B1689&gt;=in_marketplace_from,d_hz_two_wheeler*G1689,0))</f>
        <v/>
      </c>
      <c r="AR1690" s="46">
        <f>AQ1690*IF(B1690&gt;=in_marketplace_from,d_hz_two_wheeler*G1690,0)</f>
        <v/>
      </c>
      <c r="AS1690" s="14">
        <f>F1690*AR1690*in_two_wheeler_ticket*in_two_wheeler_comm*in_ins_partner_share+F1690*in_two_wheeler_ticket*in_two_wheeler_comm*in_ins_partner_share*(in_two_wheeler_renew^1*SUMIFS(AR1679:AR1695,B1679:B1695,B1690-12)+in_two_wheeler_renew^2*SUMIFS(AR1679:AR1695,B1679:B1695,B1690-24)+in_two_wheeler_renew^3*SUMIFS(AR1679:AR1695,B1679:B1695,B1690-36)+in_two_wheeler_renew^4*SUMIFS(AR1679:AR1695,B1679:B1695,B1690-48))</f>
        <v/>
      </c>
      <c r="AT1690" s="40">
        <f>AT1689*(1-IF(B1689&gt;=in_marketplace_from,d_hz_device*G1689,0))</f>
        <v/>
      </c>
      <c r="AU1690" s="14">
        <f>F1690*AT1690*IF(B1690&gt;=in_marketplace_from,d_hz_device*G1690,0)*in_device_ticket*in_device_comm*in_ins_partner_share</f>
        <v/>
      </c>
      <c r="AV1690" s="40">
        <f>AV1689*(1-IF(B1689&gt;=in_marketplace_from,d_hz_shop*G1689,0))</f>
        <v/>
      </c>
      <c r="AW1690" s="46">
        <f>AV1690*IF(B1690&gt;=in_marketplace_from,d_hz_shop*G1690,0)</f>
        <v/>
      </c>
      <c r="AX1690" s="14">
        <f>F1690*AW1690*in_shop_ticket*in_shop_comm*in_ins_partner_share+F1690*in_shop_ticket*in_shop_renew_comm*in_ins_partner_share*(in_shop_renew^1*SUMIFS(AW1679:AW1695,B1679:B1695,B1690-12)+in_shop_renew^2*SUMIFS(AW1679:AW1695,B1679:B1695,B1690-24)+in_shop_renew^3*SUMIFS(AW1679:AW1695,B1679:B1695,B1690-36)+in_shop_renew^4*SUMIFS(AW1679:AW1695,B1679:B1695,B1690-48))</f>
        <v/>
      </c>
      <c r="AY1690" s="40">
        <f>AY1689*(1-IF(B1689&gt;=in_marketplace_from,d_hz_sip*G1689,0))</f>
        <v/>
      </c>
      <c r="AZ1690" s="40">
        <f>AZ1689*d_rho_sip+AY1690*IF(B1690&gt;=in_marketplace_from,d_hz_sip*G1690,0)</f>
        <v/>
      </c>
      <c r="BA1690" s="40">
        <f>d_rho_sip*(BA1689+AZ1689)</f>
        <v/>
      </c>
      <c r="BB1690" s="14">
        <f>F1690*in_sip_ticket*(BA1690+0.5*AZ1690)*in_sip_comm/12</f>
        <v/>
      </c>
      <c r="BC1690" s="40">
        <f>BC1689*(1-IF(B1689&gt;=in_marketplace_from,d_hz_choti*G1689,0))</f>
        <v/>
      </c>
      <c r="BD1690" s="46">
        <f>BC1690*IF(B1690&gt;=in_marketplace_from,d_hz_choti*G1690,0)</f>
        <v/>
      </c>
      <c r="BE1690" s="14">
        <f>F1690*SUMIFS(BD1679:BD1695,B1679:B1695,B1690-in_choti_months)*in_choti_renew*in_choti_ticket</f>
        <v/>
      </c>
      <c r="BF1690" s="40">
        <f>BF1689*(1-IF(B1689&gt;=in_marketplace_from,d_hz_nps*G1689,0))</f>
        <v/>
      </c>
      <c r="BG1690" s="14">
        <f>F1690*BF1690*IF(B1690&gt;=in_marketplace_from,d_hz_nps*G1690,0)*in_nps_ticket*in_nps_comm</f>
        <v/>
      </c>
      <c r="BH1690" s="40">
        <f>BH1689*(1-IF(B1689&gt;=in_marketplace_from,d_hz_gold*G1689,0))</f>
        <v/>
      </c>
      <c r="BI1690" s="40">
        <f>BI1689*d_rho_gold+BH1690*IF(B1690&gt;=in_marketplace_from,d_hz_gold*G1690,0)</f>
        <v/>
      </c>
      <c r="BJ1690" s="14">
        <f>F1690*BI1690*in_gold_ticket*in_gold_comm</f>
        <v/>
      </c>
      <c r="BK1690" s="40">
        <f>BK1689*(1-IF(B1689&gt;=in_marketplace_from,d_hz_fd*G1689,0))</f>
        <v/>
      </c>
      <c r="BL1690" s="14">
        <f>F1690*BK1690*IF(B1690&gt;=in_marketplace_from,d_hz_fd*G1690,0)*in_fd_ticket*in_fd_comm</f>
        <v/>
      </c>
      <c r="BM1690" s="40">
        <f>BM1689*(1-IF(B1689&gt;=in_marketplace_from,d_hz_recharge*G1689,0))</f>
        <v/>
      </c>
      <c r="BN1690" s="40">
        <f>BN1689*d_rho_recharge+BM1690*IF(B1690&gt;=in_marketplace_from,d_hz_recharge*G1690,0)</f>
        <v/>
      </c>
      <c r="BO1690" s="14">
        <f>F1690*BN1690*in_recharge_ticket*in_recharge_comm/12</f>
        <v/>
      </c>
      <c r="BP1690" s="40">
        <f>BP1689*(1-IF(B1689&gt;=in_marketplace_from,d_hz_bills*G1689,0))</f>
        <v/>
      </c>
      <c r="BQ1690" s="40">
        <f>BQ1689*d_rho_bills+BP1690*IF(B1690&gt;=in_marketplace_from,d_hz_bills*G1690,0)</f>
        <v/>
      </c>
      <c r="BR1690" s="14">
        <f>F1690*BQ1690*in_bills_ticket*in_bills_comm/12</f>
        <v/>
      </c>
      <c r="BS1690" s="40">
        <f>BS1689*(1-IF(B1689&gt;=in_marketplace_from,d_hz_loan_gold*G1689,0))</f>
        <v/>
      </c>
      <c r="BT1690" s="14">
        <f>F1690*BS1690*IF(B1690&gt;=in_marketplace_from,d_hz_loan_gold*G1690,0)*in_loan_gold_ticket*in_loan_gold_comm</f>
        <v/>
      </c>
      <c r="BU1690" s="40">
        <f>BU1689*(1-IF(B1689&gt;=in_marketplace_from,d_hz_loan_cd*G1689,0))</f>
        <v/>
      </c>
      <c r="BV1690" s="14">
        <f>F1690*BU1690*IF(B1690&gt;=in_marketplace_from,d_hz_loan_cd*G1690,0)*in_loan_cd_ticket*in_loan_cd_comm</f>
        <v/>
      </c>
      <c r="BW1690" s="40">
        <f>BW1689*(1-IF(B1689&gt;=in_marketplace_from,d_hz_loan_vehicle*G1689,0))</f>
        <v/>
      </c>
      <c r="BX1690" s="14">
        <f>F1690*BW1690*IF(B1690&gt;=in_marketplace_from,d_hz_loan_vehicle*G1690,0)*in_loan_vehicle_ticket*in_loan_vehicle_comm</f>
        <v/>
      </c>
      <c r="BY1690" s="40">
        <f>BY1689*(1-IF(B1689&gt;=in_marketplace_from,d_hz_loan_home*G1689,0)*BZ1689)</f>
        <v/>
      </c>
      <c r="BZ1690" s="11">
        <f>MIN(in_approval_cap,in_loan_home_approval*INDEX('Age profile'!$O$2:$O$61,B1690)*(1+in_approval_growth)^(D1690-1))</f>
        <v/>
      </c>
      <c r="CA1690" s="14">
        <f>F1690*BY1690*IF(B1690&gt;=in_marketplace_from,d_hz_loan_home*G1690,0)*BZ1690*in_loan_home_ticket*in_loan_home_comm</f>
        <v/>
      </c>
      <c r="CB1690" s="40">
        <f>CB1689*(1-IF(B1689&gt;=in_marketplace_from,d_hz_loan_lap*G1689,0)*CC1689)</f>
        <v/>
      </c>
      <c r="CC1690" s="11">
        <f>MIN(in_approval_cap,in_loan_lap_approval*INDEX('Age profile'!$O$2:$O$61,B1690)*(1+in_approval_growth)^(D1690-1))</f>
        <v/>
      </c>
      <c r="CD1690" s="14">
        <f>F1690*CB1690*IF(B1690&gt;=in_marketplace_from,d_hz_loan_lap*G1690,0)*CC1690*in_loan_lap_ticket*in_loan_lap_comm</f>
        <v/>
      </c>
      <c r="CE1690" s="14">
        <f>AA1690+AB1690+AC1690+AD1690+AG1690+AJ1690+AM1690+AP1690+AS1690+AU1690+AX1690+BB1690+BE1690+BG1690+BJ1690+BL1690+BO1690+BR1690+BT1690+BV1690+BX1690+CA1690+CD1690</f>
        <v/>
      </c>
    </row>
    <row r="1691">
      <c r="A1691" s="39" t="n">
        <v>44</v>
      </c>
      <c r="B1691" s="39" t="n">
        <v>13</v>
      </c>
      <c r="C1691" s="39">
        <f>A1691+B1691-1</f>
        <v/>
      </c>
      <c r="D1691" s="39">
        <f>INT((C1691-1)/12)+1</f>
        <v/>
      </c>
      <c r="E1691" s="44">
        <f>INDEX(Monthly!$B$2:$B$61,A1691)</f>
        <v/>
      </c>
      <c r="F1691" s="44">
        <f>E1691*INDEX('Age profile'!$B$2:$B$61,B1691)</f>
        <v/>
      </c>
      <c r="G1691" s="45">
        <f>MIN(in_takeup_cap,INDEX('Age profile'!$N$2:$N$61,B1691)*(1+in_takeup_growth)^(D1691-1))</f>
        <v/>
      </c>
      <c r="H1691" s="11">
        <f>MIN(in_approval_cap,in_approved_first*INDEX('Age profile'!$O$2:$O$61,B1691)*(1+in_approval_growth)^(D1691-1))</f>
        <v/>
      </c>
      <c r="I1691" s="45">
        <f>G1691*MIN(in_takeup_cap,INDEX('Age profile'!$O$2:$O$61,B1691)*(1+in_approval_growth)^(D1691-1))</f>
        <v/>
      </c>
      <c r="J1691" s="40">
        <f>(J1690-L1690)*F1691/F1690</f>
        <v/>
      </c>
      <c r="K1691" s="40">
        <f>(K1690-M1690)*F1691/F1690+SUMIFS(O1679:O1690,B1679:B1690,B1691-1-d_T)*F1691</f>
        <v/>
      </c>
      <c r="L1691" s="40">
        <f>IF(B1691&gt;=in_marketplace_from,J1691*d_hz*G1691*in_eligible*H1691,0)</f>
        <v/>
      </c>
      <c r="M1691" s="40">
        <f>IF(B1691&gt;=in_marketplace_from,K1691*d_hz*G1691*in_eligible*in_approved_repeat,0)</f>
        <v/>
      </c>
      <c r="N1691" s="40">
        <f>L1691+M1691</f>
        <v/>
      </c>
      <c r="O1691" s="46">
        <f>N1691/F1691</f>
        <v/>
      </c>
      <c r="P1691" s="40">
        <f>F1691-J1691-K1691</f>
        <v/>
      </c>
      <c r="Q1691" s="40">
        <f>IF(B1691&gt;=in_marketplace_from,(J1691+K1691)*d_hz*G1691,0)</f>
        <v/>
      </c>
      <c r="R1691" s="40">
        <f>SUMIFS(N1679:N1695,B1679:B1695,"&gt;="&amp;(B1691-d_T),B1679:B1695,"&lt;="&amp;(B1691-1))</f>
        <v/>
      </c>
      <c r="S1691" s="46">
        <f>(1-d_u)*S1690+IF(d_T&gt;in_topup_lag,SUMIFS(O1679:O1695,B1679:B1695,B1691-in_topup_lag)-d_udrop*SUMIFS(O1679:O1695,B1679:B1695,B1691-d_T),0)</f>
        <v/>
      </c>
      <c r="T1691" s="40">
        <f>F1691*d_u*S1691</f>
        <v/>
      </c>
      <c r="U1691" s="9">
        <f>L1691*in_ticket+M1691*d_rep_ticket</f>
        <v/>
      </c>
      <c r="V1691" s="9">
        <f>U1691+T1691*d_topup_amt</f>
        <v/>
      </c>
      <c r="W1691" s="40">
        <f>N1691+T1691*d_topup_ratio</f>
        <v/>
      </c>
      <c r="X1691" s="40">
        <f>SUMIFS(W1679:W1695,B1679:B1695,B1691-in_dpd_lag)*d_cured</f>
        <v/>
      </c>
      <c r="Y1691" s="40">
        <f>SUMIFS(W1679:W1695,B1679:B1695,B1691-in_rec_lag)*d_recd</f>
        <v/>
      </c>
      <c r="Z1691" s="40">
        <f>IF(AND(B1691&gt;=in_marketplace_from,B1691&lt;in_marketplace_from+in_card_months),in_card_share/in_card_months*F1691*I1691,IF(AND(B1691&gt;=in_marketplace_from+in_card_months,B1691&lt;in_marketplace_from+2*in_card_months),in_card_share*d_card_rem/in_card_months*F1691*MIN(in_takeup_cap,(1+in_takeup_growth)^(D1691-1))*MIN(in_takeup_cap,(1+in_approval_growth)^(D1691-1)),0))</f>
        <v/>
      </c>
      <c r="AA1691" s="14">
        <f>V1691*in_fee*(1-in_taken_back)</f>
        <v/>
      </c>
      <c r="AB1691" s="14">
        <f>SUMIFS(W1679:W1695,B1679:B1695,B1691-in_dpd_lag)*d_dpd</f>
        <v/>
      </c>
      <c r="AC1691" s="14">
        <f>SUMIFS(W1679:W1695,B1679:B1695,B1691-in_rec_lag)*d_rec</f>
        <v/>
      </c>
      <c r="AD1691" s="14">
        <f>Z1691*in_card_fee</f>
        <v/>
      </c>
      <c r="AE1691" s="40">
        <f>AE1690*(1-IF(B1690&gt;=in_marketplace_from,d_hz_hlth_small*G1690,0))</f>
        <v/>
      </c>
      <c r="AF1691" s="46">
        <f>AE1691*IF(B1691&gt;=in_marketplace_from,d_hz_hlth_small*G1691,0)</f>
        <v/>
      </c>
      <c r="AG1691" s="14">
        <f>F1691*AF1691*in_hlth_small_ticket*in_hlth_small_comm*in_ins_partner_share+F1691*in_hlth_small_ticket*in_hlth_small_renew_comm*in_ins_partner_share*(in_hlth_small_renew^1*SUMIFS(AF1679:AF1695,B1679:B1695,B1691-12)+in_hlth_small_renew^2*SUMIFS(AF1679:AF1695,B1679:B1695,B1691-24)+in_hlth_small_renew^3*SUMIFS(AF1679:AF1695,B1679:B1695,B1691-36)+in_hlth_small_renew^4*SUMIFS(AF1679:AF1695,B1679:B1695,B1691-48))</f>
        <v/>
      </c>
      <c r="AH1691" s="40">
        <f>AH1690*(1-IF(B1690&gt;=in_marketplace_from,d_hz_hlth_family*G1690,0))</f>
        <v/>
      </c>
      <c r="AI1691" s="46">
        <f>AH1691*IF(B1691&gt;=in_marketplace_from,d_hz_hlth_family*G1691,0)</f>
        <v/>
      </c>
      <c r="AJ1691" s="14">
        <f>F1691*AI1691*in_hlth_family_ticket*in_hlth_family_comm*in_ins_partner_share+F1691*in_hlth_family_ticket*in_hlth_family_renew_comm*in_ins_partner_share*(in_hlth_family_renew^1*SUMIFS(AI1679:AI1695,B1679:B1695,B1691-12)+in_hlth_family_renew^2*SUMIFS(AI1679:AI1695,B1679:B1695,B1691-24)+in_hlth_family_renew^3*SUMIFS(AI1679:AI1695,B1679:B1695,B1691-36)+in_hlth_family_renew^4*SUMIFS(AI1679:AI1695,B1679:B1695,B1691-48))</f>
        <v/>
      </c>
      <c r="AK1691" s="40">
        <f>AK1690*(1-IF(B1690&gt;=in_marketplace_from,d_hz_life_term*G1690,0))</f>
        <v/>
      </c>
      <c r="AL1691" s="46">
        <f>AK1691*IF(B1691&gt;=in_marketplace_from,d_hz_life_term*G1691,0)</f>
        <v/>
      </c>
      <c r="AM1691" s="14">
        <f>F1691*AL1691*in_life_term_ticket*in_life_term_comm*in_ins_partner_share+F1691*in_life_term_ticket*in_life_term_renew_comm*in_ins_partner_share*(in_life_term_renew^1*SUMIFS(AL1679:AL1695,B1679:B1695,B1691-12)+in_life_term_renew^2*SUMIFS(AL1679:AL1695,B1679:B1695,B1691-24)+in_life_term_renew^3*SUMIFS(AL1679:AL1695,B1679:B1695,B1691-36)+in_life_term_renew^4*SUMIFS(AL1679:AL1695,B1679:B1695,B1691-48))</f>
        <v/>
      </c>
      <c r="AN1691" s="40">
        <f>AN1690*(1-IF(B1690&gt;=in_marketplace_from,d_hz_accident*G1690,0))</f>
        <v/>
      </c>
      <c r="AO1691" s="46">
        <f>AN1691*IF(B1691&gt;=in_marketplace_from,d_hz_accident*G1691,0)</f>
        <v/>
      </c>
      <c r="AP1691" s="14">
        <f>F1691*AO1691*in_accident_ticket*in_accident_comm*in_ins_partner_share+F1691*in_accident_ticket*in_accident_renew_comm*in_ins_partner_share*(in_accident_renew^1*SUMIFS(AO1679:AO1695,B1679:B1695,B1691-12)+in_accident_renew^2*SUMIFS(AO1679:AO1695,B1679:B1695,B1691-24)+in_accident_renew^3*SUMIFS(AO1679:AO1695,B1679:B1695,B1691-36)+in_accident_renew^4*SUMIFS(AO1679:AO1695,B1679:B1695,B1691-48))</f>
        <v/>
      </c>
      <c r="AQ1691" s="40">
        <f>AQ1690*(1-IF(B1690&gt;=in_marketplace_from,d_hz_two_wheeler*G1690,0))</f>
        <v/>
      </c>
      <c r="AR1691" s="46">
        <f>AQ1691*IF(B1691&gt;=in_marketplace_from,d_hz_two_wheeler*G1691,0)</f>
        <v/>
      </c>
      <c r="AS1691" s="14">
        <f>F1691*AR1691*in_two_wheeler_ticket*in_two_wheeler_comm*in_ins_partner_share+F1691*in_two_wheeler_ticket*in_two_wheeler_comm*in_ins_partner_share*(in_two_wheeler_renew^1*SUMIFS(AR1679:AR1695,B1679:B1695,B1691-12)+in_two_wheeler_renew^2*SUMIFS(AR1679:AR1695,B1679:B1695,B1691-24)+in_two_wheeler_renew^3*SUMIFS(AR1679:AR1695,B1679:B1695,B1691-36)+in_two_wheeler_renew^4*SUMIFS(AR1679:AR1695,B1679:B1695,B1691-48))</f>
        <v/>
      </c>
      <c r="AT1691" s="40">
        <f>AT1690*(1-IF(B1690&gt;=in_marketplace_from,d_hz_device*G1690,0))</f>
        <v/>
      </c>
      <c r="AU1691" s="14">
        <f>F1691*AT1691*IF(B1691&gt;=in_marketplace_from,d_hz_device*G1691,0)*in_device_ticket*in_device_comm*in_ins_partner_share</f>
        <v/>
      </c>
      <c r="AV1691" s="40">
        <f>AV1690*(1-IF(B1690&gt;=in_marketplace_from,d_hz_shop*G1690,0))</f>
        <v/>
      </c>
      <c r="AW1691" s="46">
        <f>AV1691*IF(B1691&gt;=in_marketplace_from,d_hz_shop*G1691,0)</f>
        <v/>
      </c>
      <c r="AX1691" s="14">
        <f>F1691*AW1691*in_shop_ticket*in_shop_comm*in_ins_partner_share+F1691*in_shop_ticket*in_shop_renew_comm*in_ins_partner_share*(in_shop_renew^1*SUMIFS(AW1679:AW1695,B1679:B1695,B1691-12)+in_shop_renew^2*SUMIFS(AW1679:AW1695,B1679:B1695,B1691-24)+in_shop_renew^3*SUMIFS(AW1679:AW1695,B1679:B1695,B1691-36)+in_shop_renew^4*SUMIFS(AW1679:AW1695,B1679:B1695,B1691-48))</f>
        <v/>
      </c>
      <c r="AY1691" s="40">
        <f>AY1690*(1-IF(B1690&gt;=in_marketplace_from,d_hz_sip*G1690,0))</f>
        <v/>
      </c>
      <c r="AZ1691" s="40">
        <f>AZ1690*d_rho_sip+AY1691*IF(B1691&gt;=in_marketplace_from,d_hz_sip*G1691,0)</f>
        <v/>
      </c>
      <c r="BA1691" s="40">
        <f>d_rho_sip*(BA1690+AZ1690)</f>
        <v/>
      </c>
      <c r="BB1691" s="14">
        <f>F1691*in_sip_ticket*(BA1691+0.5*AZ1691)*in_sip_comm/12</f>
        <v/>
      </c>
      <c r="BC1691" s="40">
        <f>BC1690*(1-IF(B1690&gt;=in_marketplace_from,d_hz_choti*G1690,0))</f>
        <v/>
      </c>
      <c r="BD1691" s="46">
        <f>BC1691*IF(B1691&gt;=in_marketplace_from,d_hz_choti*G1691,0)</f>
        <v/>
      </c>
      <c r="BE1691" s="14">
        <f>F1691*SUMIFS(BD1679:BD1695,B1679:B1695,B1691-in_choti_months)*in_choti_renew*in_choti_ticket</f>
        <v/>
      </c>
      <c r="BF1691" s="40">
        <f>BF1690*(1-IF(B1690&gt;=in_marketplace_from,d_hz_nps*G1690,0))</f>
        <v/>
      </c>
      <c r="BG1691" s="14">
        <f>F1691*BF1691*IF(B1691&gt;=in_marketplace_from,d_hz_nps*G1691,0)*in_nps_ticket*in_nps_comm</f>
        <v/>
      </c>
      <c r="BH1691" s="40">
        <f>BH1690*(1-IF(B1690&gt;=in_marketplace_from,d_hz_gold*G1690,0))</f>
        <v/>
      </c>
      <c r="BI1691" s="40">
        <f>BI1690*d_rho_gold+BH1691*IF(B1691&gt;=in_marketplace_from,d_hz_gold*G1691,0)</f>
        <v/>
      </c>
      <c r="BJ1691" s="14">
        <f>F1691*BI1691*in_gold_ticket*in_gold_comm</f>
        <v/>
      </c>
      <c r="BK1691" s="40">
        <f>BK1690*(1-IF(B1690&gt;=in_marketplace_from,d_hz_fd*G1690,0))</f>
        <v/>
      </c>
      <c r="BL1691" s="14">
        <f>F1691*BK1691*IF(B1691&gt;=in_marketplace_from,d_hz_fd*G1691,0)*in_fd_ticket*in_fd_comm</f>
        <v/>
      </c>
      <c r="BM1691" s="40">
        <f>BM1690*(1-IF(B1690&gt;=in_marketplace_from,d_hz_recharge*G1690,0))</f>
        <v/>
      </c>
      <c r="BN1691" s="40">
        <f>BN1690*d_rho_recharge+BM1691*IF(B1691&gt;=in_marketplace_from,d_hz_recharge*G1691,0)</f>
        <v/>
      </c>
      <c r="BO1691" s="14">
        <f>F1691*BN1691*in_recharge_ticket*in_recharge_comm/12</f>
        <v/>
      </c>
      <c r="BP1691" s="40">
        <f>BP1690*(1-IF(B1690&gt;=in_marketplace_from,d_hz_bills*G1690,0))</f>
        <v/>
      </c>
      <c r="BQ1691" s="40">
        <f>BQ1690*d_rho_bills+BP1691*IF(B1691&gt;=in_marketplace_from,d_hz_bills*G1691,0)</f>
        <v/>
      </c>
      <c r="BR1691" s="14">
        <f>F1691*BQ1691*in_bills_ticket*in_bills_comm/12</f>
        <v/>
      </c>
      <c r="BS1691" s="40">
        <f>BS1690*(1-IF(B1690&gt;=in_marketplace_from,d_hz_loan_gold*G1690,0))</f>
        <v/>
      </c>
      <c r="BT1691" s="14">
        <f>F1691*BS1691*IF(B1691&gt;=in_marketplace_from,d_hz_loan_gold*G1691,0)*in_loan_gold_ticket*in_loan_gold_comm</f>
        <v/>
      </c>
      <c r="BU1691" s="40">
        <f>BU1690*(1-IF(B1690&gt;=in_marketplace_from,d_hz_loan_cd*G1690,0))</f>
        <v/>
      </c>
      <c r="BV1691" s="14">
        <f>F1691*BU1691*IF(B1691&gt;=in_marketplace_from,d_hz_loan_cd*G1691,0)*in_loan_cd_ticket*in_loan_cd_comm</f>
        <v/>
      </c>
      <c r="BW1691" s="40">
        <f>BW1690*(1-IF(B1690&gt;=in_marketplace_from,d_hz_loan_vehicle*G1690,0))</f>
        <v/>
      </c>
      <c r="BX1691" s="14">
        <f>F1691*BW1691*IF(B1691&gt;=in_marketplace_from,d_hz_loan_vehicle*G1691,0)*in_loan_vehicle_ticket*in_loan_vehicle_comm</f>
        <v/>
      </c>
      <c r="BY1691" s="40">
        <f>BY1690*(1-IF(B1690&gt;=in_marketplace_from,d_hz_loan_home*G1690,0)*BZ1690)</f>
        <v/>
      </c>
      <c r="BZ1691" s="11">
        <f>MIN(in_approval_cap,in_loan_home_approval*INDEX('Age profile'!$O$2:$O$61,B1691)*(1+in_approval_growth)^(D1691-1))</f>
        <v/>
      </c>
      <c r="CA1691" s="14">
        <f>F1691*BY1691*IF(B1691&gt;=in_marketplace_from,d_hz_loan_home*G1691,0)*BZ1691*in_loan_home_ticket*in_loan_home_comm</f>
        <v/>
      </c>
      <c r="CB1691" s="40">
        <f>CB1690*(1-IF(B1690&gt;=in_marketplace_from,d_hz_loan_lap*G1690,0)*CC1690)</f>
        <v/>
      </c>
      <c r="CC1691" s="11">
        <f>MIN(in_approval_cap,in_loan_lap_approval*INDEX('Age profile'!$O$2:$O$61,B1691)*(1+in_approval_growth)^(D1691-1))</f>
        <v/>
      </c>
      <c r="CD1691" s="14">
        <f>F1691*CB1691*IF(B1691&gt;=in_marketplace_from,d_hz_loan_lap*G1691,0)*CC1691*in_loan_lap_ticket*in_loan_lap_comm</f>
        <v/>
      </c>
      <c r="CE1691" s="14">
        <f>AA1691+AB1691+AC1691+AD1691+AG1691+AJ1691+AM1691+AP1691+AS1691+AU1691+AX1691+BB1691+BE1691+BG1691+BJ1691+BL1691+BO1691+BR1691+BT1691+BV1691+BX1691+CA1691+CD1691</f>
        <v/>
      </c>
    </row>
    <row r="1692">
      <c r="A1692" s="39" t="n">
        <v>44</v>
      </c>
      <c r="B1692" s="39" t="n">
        <v>14</v>
      </c>
      <c r="C1692" s="39">
        <f>A1692+B1692-1</f>
        <v/>
      </c>
      <c r="D1692" s="39">
        <f>INT((C1692-1)/12)+1</f>
        <v/>
      </c>
      <c r="E1692" s="44">
        <f>INDEX(Monthly!$B$2:$B$61,A1692)</f>
        <v/>
      </c>
      <c r="F1692" s="44">
        <f>E1692*INDEX('Age profile'!$B$2:$B$61,B1692)</f>
        <v/>
      </c>
      <c r="G1692" s="45">
        <f>MIN(in_takeup_cap,INDEX('Age profile'!$N$2:$N$61,B1692)*(1+in_takeup_growth)^(D1692-1))</f>
        <v/>
      </c>
      <c r="H1692" s="11">
        <f>MIN(in_approval_cap,in_approved_first*INDEX('Age profile'!$O$2:$O$61,B1692)*(1+in_approval_growth)^(D1692-1))</f>
        <v/>
      </c>
      <c r="I1692" s="45">
        <f>G1692*MIN(in_takeup_cap,INDEX('Age profile'!$O$2:$O$61,B1692)*(1+in_approval_growth)^(D1692-1))</f>
        <v/>
      </c>
      <c r="J1692" s="40">
        <f>(J1691-L1691)*F1692/F1691</f>
        <v/>
      </c>
      <c r="K1692" s="40">
        <f>(K1691-M1691)*F1692/F1691+SUMIFS(O1679:O1691,B1679:B1691,B1692-1-d_T)*F1692</f>
        <v/>
      </c>
      <c r="L1692" s="40">
        <f>IF(B1692&gt;=in_marketplace_from,J1692*d_hz*G1692*in_eligible*H1692,0)</f>
        <v/>
      </c>
      <c r="M1692" s="40">
        <f>IF(B1692&gt;=in_marketplace_from,K1692*d_hz*G1692*in_eligible*in_approved_repeat,0)</f>
        <v/>
      </c>
      <c r="N1692" s="40">
        <f>L1692+M1692</f>
        <v/>
      </c>
      <c r="O1692" s="46">
        <f>N1692/F1692</f>
        <v/>
      </c>
      <c r="P1692" s="40">
        <f>F1692-J1692-K1692</f>
        <v/>
      </c>
      <c r="Q1692" s="40">
        <f>IF(B1692&gt;=in_marketplace_from,(J1692+K1692)*d_hz*G1692,0)</f>
        <v/>
      </c>
      <c r="R1692" s="40">
        <f>SUMIFS(N1679:N1695,B1679:B1695,"&gt;="&amp;(B1692-d_T),B1679:B1695,"&lt;="&amp;(B1692-1))</f>
        <v/>
      </c>
      <c r="S1692" s="46">
        <f>(1-d_u)*S1691+IF(d_T&gt;in_topup_lag,SUMIFS(O1679:O1695,B1679:B1695,B1692-in_topup_lag)-d_udrop*SUMIFS(O1679:O1695,B1679:B1695,B1692-d_T),0)</f>
        <v/>
      </c>
      <c r="T1692" s="40">
        <f>F1692*d_u*S1692</f>
        <v/>
      </c>
      <c r="U1692" s="9">
        <f>L1692*in_ticket+M1692*d_rep_ticket</f>
        <v/>
      </c>
      <c r="V1692" s="9">
        <f>U1692+T1692*d_topup_amt</f>
        <v/>
      </c>
      <c r="W1692" s="40">
        <f>N1692+T1692*d_topup_ratio</f>
        <v/>
      </c>
      <c r="X1692" s="40">
        <f>SUMIFS(W1679:W1695,B1679:B1695,B1692-in_dpd_lag)*d_cured</f>
        <v/>
      </c>
      <c r="Y1692" s="40">
        <f>SUMIFS(W1679:W1695,B1679:B1695,B1692-in_rec_lag)*d_recd</f>
        <v/>
      </c>
      <c r="Z1692" s="40">
        <f>IF(AND(B1692&gt;=in_marketplace_from,B1692&lt;in_marketplace_from+in_card_months),in_card_share/in_card_months*F1692*I1692,IF(AND(B1692&gt;=in_marketplace_from+in_card_months,B1692&lt;in_marketplace_from+2*in_card_months),in_card_share*d_card_rem/in_card_months*F1692*MIN(in_takeup_cap,(1+in_takeup_growth)^(D1692-1))*MIN(in_takeup_cap,(1+in_approval_growth)^(D1692-1)),0))</f>
        <v/>
      </c>
      <c r="AA1692" s="14">
        <f>V1692*in_fee*(1-in_taken_back)</f>
        <v/>
      </c>
      <c r="AB1692" s="14">
        <f>SUMIFS(W1679:W1695,B1679:B1695,B1692-in_dpd_lag)*d_dpd</f>
        <v/>
      </c>
      <c r="AC1692" s="14">
        <f>SUMIFS(W1679:W1695,B1679:B1695,B1692-in_rec_lag)*d_rec</f>
        <v/>
      </c>
      <c r="AD1692" s="14">
        <f>Z1692*in_card_fee</f>
        <v/>
      </c>
      <c r="AE1692" s="40">
        <f>AE1691*(1-IF(B1691&gt;=in_marketplace_from,d_hz_hlth_small*G1691,0))</f>
        <v/>
      </c>
      <c r="AF1692" s="46">
        <f>AE1692*IF(B1692&gt;=in_marketplace_from,d_hz_hlth_small*G1692,0)</f>
        <v/>
      </c>
      <c r="AG1692" s="14">
        <f>F1692*AF1692*in_hlth_small_ticket*in_hlth_small_comm*in_ins_partner_share+F1692*in_hlth_small_ticket*in_hlth_small_renew_comm*in_ins_partner_share*(in_hlth_small_renew^1*SUMIFS(AF1679:AF1695,B1679:B1695,B1692-12)+in_hlth_small_renew^2*SUMIFS(AF1679:AF1695,B1679:B1695,B1692-24)+in_hlth_small_renew^3*SUMIFS(AF1679:AF1695,B1679:B1695,B1692-36)+in_hlth_small_renew^4*SUMIFS(AF1679:AF1695,B1679:B1695,B1692-48))</f>
        <v/>
      </c>
      <c r="AH1692" s="40">
        <f>AH1691*(1-IF(B1691&gt;=in_marketplace_from,d_hz_hlth_family*G1691,0))</f>
        <v/>
      </c>
      <c r="AI1692" s="46">
        <f>AH1692*IF(B1692&gt;=in_marketplace_from,d_hz_hlth_family*G1692,0)</f>
        <v/>
      </c>
      <c r="AJ1692" s="14">
        <f>F1692*AI1692*in_hlth_family_ticket*in_hlth_family_comm*in_ins_partner_share+F1692*in_hlth_family_ticket*in_hlth_family_renew_comm*in_ins_partner_share*(in_hlth_family_renew^1*SUMIFS(AI1679:AI1695,B1679:B1695,B1692-12)+in_hlth_family_renew^2*SUMIFS(AI1679:AI1695,B1679:B1695,B1692-24)+in_hlth_family_renew^3*SUMIFS(AI1679:AI1695,B1679:B1695,B1692-36)+in_hlth_family_renew^4*SUMIFS(AI1679:AI1695,B1679:B1695,B1692-48))</f>
        <v/>
      </c>
      <c r="AK1692" s="40">
        <f>AK1691*(1-IF(B1691&gt;=in_marketplace_from,d_hz_life_term*G1691,0))</f>
        <v/>
      </c>
      <c r="AL1692" s="46">
        <f>AK1692*IF(B1692&gt;=in_marketplace_from,d_hz_life_term*G1692,0)</f>
        <v/>
      </c>
      <c r="AM1692" s="14">
        <f>F1692*AL1692*in_life_term_ticket*in_life_term_comm*in_ins_partner_share+F1692*in_life_term_ticket*in_life_term_renew_comm*in_ins_partner_share*(in_life_term_renew^1*SUMIFS(AL1679:AL1695,B1679:B1695,B1692-12)+in_life_term_renew^2*SUMIFS(AL1679:AL1695,B1679:B1695,B1692-24)+in_life_term_renew^3*SUMIFS(AL1679:AL1695,B1679:B1695,B1692-36)+in_life_term_renew^4*SUMIFS(AL1679:AL1695,B1679:B1695,B1692-48))</f>
        <v/>
      </c>
      <c r="AN1692" s="40">
        <f>AN1691*(1-IF(B1691&gt;=in_marketplace_from,d_hz_accident*G1691,0))</f>
        <v/>
      </c>
      <c r="AO1692" s="46">
        <f>AN1692*IF(B1692&gt;=in_marketplace_from,d_hz_accident*G1692,0)</f>
        <v/>
      </c>
      <c r="AP1692" s="14">
        <f>F1692*AO1692*in_accident_ticket*in_accident_comm*in_ins_partner_share+F1692*in_accident_ticket*in_accident_renew_comm*in_ins_partner_share*(in_accident_renew^1*SUMIFS(AO1679:AO1695,B1679:B1695,B1692-12)+in_accident_renew^2*SUMIFS(AO1679:AO1695,B1679:B1695,B1692-24)+in_accident_renew^3*SUMIFS(AO1679:AO1695,B1679:B1695,B1692-36)+in_accident_renew^4*SUMIFS(AO1679:AO1695,B1679:B1695,B1692-48))</f>
        <v/>
      </c>
      <c r="AQ1692" s="40">
        <f>AQ1691*(1-IF(B1691&gt;=in_marketplace_from,d_hz_two_wheeler*G1691,0))</f>
        <v/>
      </c>
      <c r="AR1692" s="46">
        <f>AQ1692*IF(B1692&gt;=in_marketplace_from,d_hz_two_wheeler*G1692,0)</f>
        <v/>
      </c>
      <c r="AS1692" s="14">
        <f>F1692*AR1692*in_two_wheeler_ticket*in_two_wheeler_comm*in_ins_partner_share+F1692*in_two_wheeler_ticket*in_two_wheeler_comm*in_ins_partner_share*(in_two_wheeler_renew^1*SUMIFS(AR1679:AR1695,B1679:B1695,B1692-12)+in_two_wheeler_renew^2*SUMIFS(AR1679:AR1695,B1679:B1695,B1692-24)+in_two_wheeler_renew^3*SUMIFS(AR1679:AR1695,B1679:B1695,B1692-36)+in_two_wheeler_renew^4*SUMIFS(AR1679:AR1695,B1679:B1695,B1692-48))</f>
        <v/>
      </c>
      <c r="AT1692" s="40">
        <f>AT1691*(1-IF(B1691&gt;=in_marketplace_from,d_hz_device*G1691,0))</f>
        <v/>
      </c>
      <c r="AU1692" s="14">
        <f>F1692*AT1692*IF(B1692&gt;=in_marketplace_from,d_hz_device*G1692,0)*in_device_ticket*in_device_comm*in_ins_partner_share</f>
        <v/>
      </c>
      <c r="AV1692" s="40">
        <f>AV1691*(1-IF(B1691&gt;=in_marketplace_from,d_hz_shop*G1691,0))</f>
        <v/>
      </c>
      <c r="AW1692" s="46">
        <f>AV1692*IF(B1692&gt;=in_marketplace_from,d_hz_shop*G1692,0)</f>
        <v/>
      </c>
      <c r="AX1692" s="14">
        <f>F1692*AW1692*in_shop_ticket*in_shop_comm*in_ins_partner_share+F1692*in_shop_ticket*in_shop_renew_comm*in_ins_partner_share*(in_shop_renew^1*SUMIFS(AW1679:AW1695,B1679:B1695,B1692-12)+in_shop_renew^2*SUMIFS(AW1679:AW1695,B1679:B1695,B1692-24)+in_shop_renew^3*SUMIFS(AW1679:AW1695,B1679:B1695,B1692-36)+in_shop_renew^4*SUMIFS(AW1679:AW1695,B1679:B1695,B1692-48))</f>
        <v/>
      </c>
      <c r="AY1692" s="40">
        <f>AY1691*(1-IF(B1691&gt;=in_marketplace_from,d_hz_sip*G1691,0))</f>
        <v/>
      </c>
      <c r="AZ1692" s="40">
        <f>AZ1691*d_rho_sip+AY1692*IF(B1692&gt;=in_marketplace_from,d_hz_sip*G1692,0)</f>
        <v/>
      </c>
      <c r="BA1692" s="40">
        <f>d_rho_sip*(BA1691+AZ1691)</f>
        <v/>
      </c>
      <c r="BB1692" s="14">
        <f>F1692*in_sip_ticket*(BA1692+0.5*AZ1692)*in_sip_comm/12</f>
        <v/>
      </c>
      <c r="BC1692" s="40">
        <f>BC1691*(1-IF(B1691&gt;=in_marketplace_from,d_hz_choti*G1691,0))</f>
        <v/>
      </c>
      <c r="BD1692" s="46">
        <f>BC1692*IF(B1692&gt;=in_marketplace_from,d_hz_choti*G1692,0)</f>
        <v/>
      </c>
      <c r="BE1692" s="14">
        <f>F1692*SUMIFS(BD1679:BD1695,B1679:B1695,B1692-in_choti_months)*in_choti_renew*in_choti_ticket</f>
        <v/>
      </c>
      <c r="BF1692" s="40">
        <f>BF1691*(1-IF(B1691&gt;=in_marketplace_from,d_hz_nps*G1691,0))</f>
        <v/>
      </c>
      <c r="BG1692" s="14">
        <f>F1692*BF1692*IF(B1692&gt;=in_marketplace_from,d_hz_nps*G1692,0)*in_nps_ticket*in_nps_comm</f>
        <v/>
      </c>
      <c r="BH1692" s="40">
        <f>BH1691*(1-IF(B1691&gt;=in_marketplace_from,d_hz_gold*G1691,0))</f>
        <v/>
      </c>
      <c r="BI1692" s="40">
        <f>BI1691*d_rho_gold+BH1692*IF(B1692&gt;=in_marketplace_from,d_hz_gold*G1692,0)</f>
        <v/>
      </c>
      <c r="BJ1692" s="14">
        <f>F1692*BI1692*in_gold_ticket*in_gold_comm</f>
        <v/>
      </c>
      <c r="BK1692" s="40">
        <f>BK1691*(1-IF(B1691&gt;=in_marketplace_from,d_hz_fd*G1691,0))</f>
        <v/>
      </c>
      <c r="BL1692" s="14">
        <f>F1692*BK1692*IF(B1692&gt;=in_marketplace_from,d_hz_fd*G1692,0)*in_fd_ticket*in_fd_comm</f>
        <v/>
      </c>
      <c r="BM1692" s="40">
        <f>BM1691*(1-IF(B1691&gt;=in_marketplace_from,d_hz_recharge*G1691,0))</f>
        <v/>
      </c>
      <c r="BN1692" s="40">
        <f>BN1691*d_rho_recharge+BM1692*IF(B1692&gt;=in_marketplace_from,d_hz_recharge*G1692,0)</f>
        <v/>
      </c>
      <c r="BO1692" s="14">
        <f>F1692*BN1692*in_recharge_ticket*in_recharge_comm/12</f>
        <v/>
      </c>
      <c r="BP1692" s="40">
        <f>BP1691*(1-IF(B1691&gt;=in_marketplace_from,d_hz_bills*G1691,0))</f>
        <v/>
      </c>
      <c r="BQ1692" s="40">
        <f>BQ1691*d_rho_bills+BP1692*IF(B1692&gt;=in_marketplace_from,d_hz_bills*G1692,0)</f>
        <v/>
      </c>
      <c r="BR1692" s="14">
        <f>F1692*BQ1692*in_bills_ticket*in_bills_comm/12</f>
        <v/>
      </c>
      <c r="BS1692" s="40">
        <f>BS1691*(1-IF(B1691&gt;=in_marketplace_from,d_hz_loan_gold*G1691,0))</f>
        <v/>
      </c>
      <c r="BT1692" s="14">
        <f>F1692*BS1692*IF(B1692&gt;=in_marketplace_from,d_hz_loan_gold*G1692,0)*in_loan_gold_ticket*in_loan_gold_comm</f>
        <v/>
      </c>
      <c r="BU1692" s="40">
        <f>BU1691*(1-IF(B1691&gt;=in_marketplace_from,d_hz_loan_cd*G1691,0))</f>
        <v/>
      </c>
      <c r="BV1692" s="14">
        <f>F1692*BU1692*IF(B1692&gt;=in_marketplace_from,d_hz_loan_cd*G1692,0)*in_loan_cd_ticket*in_loan_cd_comm</f>
        <v/>
      </c>
      <c r="BW1692" s="40">
        <f>BW1691*(1-IF(B1691&gt;=in_marketplace_from,d_hz_loan_vehicle*G1691,0))</f>
        <v/>
      </c>
      <c r="BX1692" s="14">
        <f>F1692*BW1692*IF(B1692&gt;=in_marketplace_from,d_hz_loan_vehicle*G1692,0)*in_loan_vehicle_ticket*in_loan_vehicle_comm</f>
        <v/>
      </c>
      <c r="BY1692" s="40">
        <f>BY1691*(1-IF(B1691&gt;=in_marketplace_from,d_hz_loan_home*G1691,0)*BZ1691)</f>
        <v/>
      </c>
      <c r="BZ1692" s="11">
        <f>MIN(in_approval_cap,in_loan_home_approval*INDEX('Age profile'!$O$2:$O$61,B1692)*(1+in_approval_growth)^(D1692-1))</f>
        <v/>
      </c>
      <c r="CA1692" s="14">
        <f>F1692*BY1692*IF(B1692&gt;=in_marketplace_from,d_hz_loan_home*G1692,0)*BZ1692*in_loan_home_ticket*in_loan_home_comm</f>
        <v/>
      </c>
      <c r="CB1692" s="40">
        <f>CB1691*(1-IF(B1691&gt;=in_marketplace_from,d_hz_loan_lap*G1691,0)*CC1691)</f>
        <v/>
      </c>
      <c r="CC1692" s="11">
        <f>MIN(in_approval_cap,in_loan_lap_approval*INDEX('Age profile'!$O$2:$O$61,B1692)*(1+in_approval_growth)^(D1692-1))</f>
        <v/>
      </c>
      <c r="CD1692" s="14">
        <f>F1692*CB1692*IF(B1692&gt;=in_marketplace_from,d_hz_loan_lap*G1692,0)*CC1692*in_loan_lap_ticket*in_loan_lap_comm</f>
        <v/>
      </c>
      <c r="CE1692" s="14">
        <f>AA1692+AB1692+AC1692+AD1692+AG1692+AJ1692+AM1692+AP1692+AS1692+AU1692+AX1692+BB1692+BE1692+BG1692+BJ1692+BL1692+BO1692+BR1692+BT1692+BV1692+BX1692+CA1692+CD1692</f>
        <v/>
      </c>
    </row>
    <row r="1693">
      <c r="A1693" s="39" t="n">
        <v>44</v>
      </c>
      <c r="B1693" s="39" t="n">
        <v>15</v>
      </c>
      <c r="C1693" s="39">
        <f>A1693+B1693-1</f>
        <v/>
      </c>
      <c r="D1693" s="39">
        <f>INT((C1693-1)/12)+1</f>
        <v/>
      </c>
      <c r="E1693" s="44">
        <f>INDEX(Monthly!$B$2:$B$61,A1693)</f>
        <v/>
      </c>
      <c r="F1693" s="44">
        <f>E1693*INDEX('Age profile'!$B$2:$B$61,B1693)</f>
        <v/>
      </c>
      <c r="G1693" s="45">
        <f>MIN(in_takeup_cap,INDEX('Age profile'!$N$2:$N$61,B1693)*(1+in_takeup_growth)^(D1693-1))</f>
        <v/>
      </c>
      <c r="H1693" s="11">
        <f>MIN(in_approval_cap,in_approved_first*INDEX('Age profile'!$O$2:$O$61,B1693)*(1+in_approval_growth)^(D1693-1))</f>
        <v/>
      </c>
      <c r="I1693" s="45">
        <f>G1693*MIN(in_takeup_cap,INDEX('Age profile'!$O$2:$O$61,B1693)*(1+in_approval_growth)^(D1693-1))</f>
        <v/>
      </c>
      <c r="J1693" s="40">
        <f>(J1692-L1692)*F1693/F1692</f>
        <v/>
      </c>
      <c r="K1693" s="40">
        <f>(K1692-M1692)*F1693/F1692+SUMIFS(O1679:O1692,B1679:B1692,B1693-1-d_T)*F1693</f>
        <v/>
      </c>
      <c r="L1693" s="40">
        <f>IF(B1693&gt;=in_marketplace_from,J1693*d_hz*G1693*in_eligible*H1693,0)</f>
        <v/>
      </c>
      <c r="M1693" s="40">
        <f>IF(B1693&gt;=in_marketplace_from,K1693*d_hz*G1693*in_eligible*in_approved_repeat,0)</f>
        <v/>
      </c>
      <c r="N1693" s="40">
        <f>L1693+M1693</f>
        <v/>
      </c>
      <c r="O1693" s="46">
        <f>N1693/F1693</f>
        <v/>
      </c>
      <c r="P1693" s="40">
        <f>F1693-J1693-K1693</f>
        <v/>
      </c>
      <c r="Q1693" s="40">
        <f>IF(B1693&gt;=in_marketplace_from,(J1693+K1693)*d_hz*G1693,0)</f>
        <v/>
      </c>
      <c r="R1693" s="40">
        <f>SUMIFS(N1679:N1695,B1679:B1695,"&gt;="&amp;(B1693-d_T),B1679:B1695,"&lt;="&amp;(B1693-1))</f>
        <v/>
      </c>
      <c r="S1693" s="46">
        <f>(1-d_u)*S1692+IF(d_T&gt;in_topup_lag,SUMIFS(O1679:O1695,B1679:B1695,B1693-in_topup_lag)-d_udrop*SUMIFS(O1679:O1695,B1679:B1695,B1693-d_T),0)</f>
        <v/>
      </c>
      <c r="T1693" s="40">
        <f>F1693*d_u*S1693</f>
        <v/>
      </c>
      <c r="U1693" s="9">
        <f>L1693*in_ticket+M1693*d_rep_ticket</f>
        <v/>
      </c>
      <c r="V1693" s="9">
        <f>U1693+T1693*d_topup_amt</f>
        <v/>
      </c>
      <c r="W1693" s="40">
        <f>N1693+T1693*d_topup_ratio</f>
        <v/>
      </c>
      <c r="X1693" s="40">
        <f>SUMIFS(W1679:W1695,B1679:B1695,B1693-in_dpd_lag)*d_cured</f>
        <v/>
      </c>
      <c r="Y1693" s="40">
        <f>SUMIFS(W1679:W1695,B1679:B1695,B1693-in_rec_lag)*d_recd</f>
        <v/>
      </c>
      <c r="Z1693" s="40">
        <f>IF(AND(B1693&gt;=in_marketplace_from,B1693&lt;in_marketplace_from+in_card_months),in_card_share/in_card_months*F1693*I1693,IF(AND(B1693&gt;=in_marketplace_from+in_card_months,B1693&lt;in_marketplace_from+2*in_card_months),in_card_share*d_card_rem/in_card_months*F1693*MIN(in_takeup_cap,(1+in_takeup_growth)^(D1693-1))*MIN(in_takeup_cap,(1+in_approval_growth)^(D1693-1)),0))</f>
        <v/>
      </c>
      <c r="AA1693" s="14">
        <f>V1693*in_fee*(1-in_taken_back)</f>
        <v/>
      </c>
      <c r="AB1693" s="14">
        <f>SUMIFS(W1679:W1695,B1679:B1695,B1693-in_dpd_lag)*d_dpd</f>
        <v/>
      </c>
      <c r="AC1693" s="14">
        <f>SUMIFS(W1679:W1695,B1679:B1695,B1693-in_rec_lag)*d_rec</f>
        <v/>
      </c>
      <c r="AD1693" s="14">
        <f>Z1693*in_card_fee</f>
        <v/>
      </c>
      <c r="AE1693" s="40">
        <f>AE1692*(1-IF(B1692&gt;=in_marketplace_from,d_hz_hlth_small*G1692,0))</f>
        <v/>
      </c>
      <c r="AF1693" s="46">
        <f>AE1693*IF(B1693&gt;=in_marketplace_from,d_hz_hlth_small*G1693,0)</f>
        <v/>
      </c>
      <c r="AG1693" s="14">
        <f>F1693*AF1693*in_hlth_small_ticket*in_hlth_small_comm*in_ins_partner_share+F1693*in_hlth_small_ticket*in_hlth_small_renew_comm*in_ins_partner_share*(in_hlth_small_renew^1*SUMIFS(AF1679:AF1695,B1679:B1695,B1693-12)+in_hlth_small_renew^2*SUMIFS(AF1679:AF1695,B1679:B1695,B1693-24)+in_hlth_small_renew^3*SUMIFS(AF1679:AF1695,B1679:B1695,B1693-36)+in_hlth_small_renew^4*SUMIFS(AF1679:AF1695,B1679:B1695,B1693-48))</f>
        <v/>
      </c>
      <c r="AH1693" s="40">
        <f>AH1692*(1-IF(B1692&gt;=in_marketplace_from,d_hz_hlth_family*G1692,0))</f>
        <v/>
      </c>
      <c r="AI1693" s="46">
        <f>AH1693*IF(B1693&gt;=in_marketplace_from,d_hz_hlth_family*G1693,0)</f>
        <v/>
      </c>
      <c r="AJ1693" s="14">
        <f>F1693*AI1693*in_hlth_family_ticket*in_hlth_family_comm*in_ins_partner_share+F1693*in_hlth_family_ticket*in_hlth_family_renew_comm*in_ins_partner_share*(in_hlth_family_renew^1*SUMIFS(AI1679:AI1695,B1679:B1695,B1693-12)+in_hlth_family_renew^2*SUMIFS(AI1679:AI1695,B1679:B1695,B1693-24)+in_hlth_family_renew^3*SUMIFS(AI1679:AI1695,B1679:B1695,B1693-36)+in_hlth_family_renew^4*SUMIFS(AI1679:AI1695,B1679:B1695,B1693-48))</f>
        <v/>
      </c>
      <c r="AK1693" s="40">
        <f>AK1692*(1-IF(B1692&gt;=in_marketplace_from,d_hz_life_term*G1692,0))</f>
        <v/>
      </c>
      <c r="AL1693" s="46">
        <f>AK1693*IF(B1693&gt;=in_marketplace_from,d_hz_life_term*G1693,0)</f>
        <v/>
      </c>
      <c r="AM1693" s="14">
        <f>F1693*AL1693*in_life_term_ticket*in_life_term_comm*in_ins_partner_share+F1693*in_life_term_ticket*in_life_term_renew_comm*in_ins_partner_share*(in_life_term_renew^1*SUMIFS(AL1679:AL1695,B1679:B1695,B1693-12)+in_life_term_renew^2*SUMIFS(AL1679:AL1695,B1679:B1695,B1693-24)+in_life_term_renew^3*SUMIFS(AL1679:AL1695,B1679:B1695,B1693-36)+in_life_term_renew^4*SUMIFS(AL1679:AL1695,B1679:B1695,B1693-48))</f>
        <v/>
      </c>
      <c r="AN1693" s="40">
        <f>AN1692*(1-IF(B1692&gt;=in_marketplace_from,d_hz_accident*G1692,0))</f>
        <v/>
      </c>
      <c r="AO1693" s="46">
        <f>AN1693*IF(B1693&gt;=in_marketplace_from,d_hz_accident*G1693,0)</f>
        <v/>
      </c>
      <c r="AP1693" s="14">
        <f>F1693*AO1693*in_accident_ticket*in_accident_comm*in_ins_partner_share+F1693*in_accident_ticket*in_accident_renew_comm*in_ins_partner_share*(in_accident_renew^1*SUMIFS(AO1679:AO1695,B1679:B1695,B1693-12)+in_accident_renew^2*SUMIFS(AO1679:AO1695,B1679:B1695,B1693-24)+in_accident_renew^3*SUMIFS(AO1679:AO1695,B1679:B1695,B1693-36)+in_accident_renew^4*SUMIFS(AO1679:AO1695,B1679:B1695,B1693-48))</f>
        <v/>
      </c>
      <c r="AQ1693" s="40">
        <f>AQ1692*(1-IF(B1692&gt;=in_marketplace_from,d_hz_two_wheeler*G1692,0))</f>
        <v/>
      </c>
      <c r="AR1693" s="46">
        <f>AQ1693*IF(B1693&gt;=in_marketplace_from,d_hz_two_wheeler*G1693,0)</f>
        <v/>
      </c>
      <c r="AS1693" s="14">
        <f>F1693*AR1693*in_two_wheeler_ticket*in_two_wheeler_comm*in_ins_partner_share+F1693*in_two_wheeler_ticket*in_two_wheeler_comm*in_ins_partner_share*(in_two_wheeler_renew^1*SUMIFS(AR1679:AR1695,B1679:B1695,B1693-12)+in_two_wheeler_renew^2*SUMIFS(AR1679:AR1695,B1679:B1695,B1693-24)+in_two_wheeler_renew^3*SUMIFS(AR1679:AR1695,B1679:B1695,B1693-36)+in_two_wheeler_renew^4*SUMIFS(AR1679:AR1695,B1679:B1695,B1693-48))</f>
        <v/>
      </c>
      <c r="AT1693" s="40">
        <f>AT1692*(1-IF(B1692&gt;=in_marketplace_from,d_hz_device*G1692,0))</f>
        <v/>
      </c>
      <c r="AU1693" s="14">
        <f>F1693*AT1693*IF(B1693&gt;=in_marketplace_from,d_hz_device*G1693,0)*in_device_ticket*in_device_comm*in_ins_partner_share</f>
        <v/>
      </c>
      <c r="AV1693" s="40">
        <f>AV1692*(1-IF(B1692&gt;=in_marketplace_from,d_hz_shop*G1692,0))</f>
        <v/>
      </c>
      <c r="AW1693" s="46">
        <f>AV1693*IF(B1693&gt;=in_marketplace_from,d_hz_shop*G1693,0)</f>
        <v/>
      </c>
      <c r="AX1693" s="14">
        <f>F1693*AW1693*in_shop_ticket*in_shop_comm*in_ins_partner_share+F1693*in_shop_ticket*in_shop_renew_comm*in_ins_partner_share*(in_shop_renew^1*SUMIFS(AW1679:AW1695,B1679:B1695,B1693-12)+in_shop_renew^2*SUMIFS(AW1679:AW1695,B1679:B1695,B1693-24)+in_shop_renew^3*SUMIFS(AW1679:AW1695,B1679:B1695,B1693-36)+in_shop_renew^4*SUMIFS(AW1679:AW1695,B1679:B1695,B1693-48))</f>
        <v/>
      </c>
      <c r="AY1693" s="40">
        <f>AY1692*(1-IF(B1692&gt;=in_marketplace_from,d_hz_sip*G1692,0))</f>
        <v/>
      </c>
      <c r="AZ1693" s="40">
        <f>AZ1692*d_rho_sip+AY1693*IF(B1693&gt;=in_marketplace_from,d_hz_sip*G1693,0)</f>
        <v/>
      </c>
      <c r="BA1693" s="40">
        <f>d_rho_sip*(BA1692+AZ1692)</f>
        <v/>
      </c>
      <c r="BB1693" s="14">
        <f>F1693*in_sip_ticket*(BA1693+0.5*AZ1693)*in_sip_comm/12</f>
        <v/>
      </c>
      <c r="BC1693" s="40">
        <f>BC1692*(1-IF(B1692&gt;=in_marketplace_from,d_hz_choti*G1692,0))</f>
        <v/>
      </c>
      <c r="BD1693" s="46">
        <f>BC1693*IF(B1693&gt;=in_marketplace_from,d_hz_choti*G1693,0)</f>
        <v/>
      </c>
      <c r="BE1693" s="14">
        <f>F1693*SUMIFS(BD1679:BD1695,B1679:B1695,B1693-in_choti_months)*in_choti_renew*in_choti_ticket</f>
        <v/>
      </c>
      <c r="BF1693" s="40">
        <f>BF1692*(1-IF(B1692&gt;=in_marketplace_from,d_hz_nps*G1692,0))</f>
        <v/>
      </c>
      <c r="BG1693" s="14">
        <f>F1693*BF1693*IF(B1693&gt;=in_marketplace_from,d_hz_nps*G1693,0)*in_nps_ticket*in_nps_comm</f>
        <v/>
      </c>
      <c r="BH1693" s="40">
        <f>BH1692*(1-IF(B1692&gt;=in_marketplace_from,d_hz_gold*G1692,0))</f>
        <v/>
      </c>
      <c r="BI1693" s="40">
        <f>BI1692*d_rho_gold+BH1693*IF(B1693&gt;=in_marketplace_from,d_hz_gold*G1693,0)</f>
        <v/>
      </c>
      <c r="BJ1693" s="14">
        <f>F1693*BI1693*in_gold_ticket*in_gold_comm</f>
        <v/>
      </c>
      <c r="BK1693" s="40">
        <f>BK1692*(1-IF(B1692&gt;=in_marketplace_from,d_hz_fd*G1692,0))</f>
        <v/>
      </c>
      <c r="BL1693" s="14">
        <f>F1693*BK1693*IF(B1693&gt;=in_marketplace_from,d_hz_fd*G1693,0)*in_fd_ticket*in_fd_comm</f>
        <v/>
      </c>
      <c r="BM1693" s="40">
        <f>BM1692*(1-IF(B1692&gt;=in_marketplace_from,d_hz_recharge*G1692,0))</f>
        <v/>
      </c>
      <c r="BN1693" s="40">
        <f>BN1692*d_rho_recharge+BM1693*IF(B1693&gt;=in_marketplace_from,d_hz_recharge*G1693,0)</f>
        <v/>
      </c>
      <c r="BO1693" s="14">
        <f>F1693*BN1693*in_recharge_ticket*in_recharge_comm/12</f>
        <v/>
      </c>
      <c r="BP1693" s="40">
        <f>BP1692*(1-IF(B1692&gt;=in_marketplace_from,d_hz_bills*G1692,0))</f>
        <v/>
      </c>
      <c r="BQ1693" s="40">
        <f>BQ1692*d_rho_bills+BP1693*IF(B1693&gt;=in_marketplace_from,d_hz_bills*G1693,0)</f>
        <v/>
      </c>
      <c r="BR1693" s="14">
        <f>F1693*BQ1693*in_bills_ticket*in_bills_comm/12</f>
        <v/>
      </c>
      <c r="BS1693" s="40">
        <f>BS1692*(1-IF(B1692&gt;=in_marketplace_from,d_hz_loan_gold*G1692,0))</f>
        <v/>
      </c>
      <c r="BT1693" s="14">
        <f>F1693*BS1693*IF(B1693&gt;=in_marketplace_from,d_hz_loan_gold*G1693,0)*in_loan_gold_ticket*in_loan_gold_comm</f>
        <v/>
      </c>
      <c r="BU1693" s="40">
        <f>BU1692*(1-IF(B1692&gt;=in_marketplace_from,d_hz_loan_cd*G1692,0))</f>
        <v/>
      </c>
      <c r="BV1693" s="14">
        <f>F1693*BU1693*IF(B1693&gt;=in_marketplace_from,d_hz_loan_cd*G1693,0)*in_loan_cd_ticket*in_loan_cd_comm</f>
        <v/>
      </c>
      <c r="BW1693" s="40">
        <f>BW1692*(1-IF(B1692&gt;=in_marketplace_from,d_hz_loan_vehicle*G1692,0))</f>
        <v/>
      </c>
      <c r="BX1693" s="14">
        <f>F1693*BW1693*IF(B1693&gt;=in_marketplace_from,d_hz_loan_vehicle*G1693,0)*in_loan_vehicle_ticket*in_loan_vehicle_comm</f>
        <v/>
      </c>
      <c r="BY1693" s="40">
        <f>BY1692*(1-IF(B1692&gt;=in_marketplace_from,d_hz_loan_home*G1692,0)*BZ1692)</f>
        <v/>
      </c>
      <c r="BZ1693" s="11">
        <f>MIN(in_approval_cap,in_loan_home_approval*INDEX('Age profile'!$O$2:$O$61,B1693)*(1+in_approval_growth)^(D1693-1))</f>
        <v/>
      </c>
      <c r="CA1693" s="14">
        <f>F1693*BY1693*IF(B1693&gt;=in_marketplace_from,d_hz_loan_home*G1693,0)*BZ1693*in_loan_home_ticket*in_loan_home_comm</f>
        <v/>
      </c>
      <c r="CB1693" s="40">
        <f>CB1692*(1-IF(B1692&gt;=in_marketplace_from,d_hz_loan_lap*G1692,0)*CC1692)</f>
        <v/>
      </c>
      <c r="CC1693" s="11">
        <f>MIN(in_approval_cap,in_loan_lap_approval*INDEX('Age profile'!$O$2:$O$61,B1693)*(1+in_approval_growth)^(D1693-1))</f>
        <v/>
      </c>
      <c r="CD1693" s="14">
        <f>F1693*CB1693*IF(B1693&gt;=in_marketplace_from,d_hz_loan_lap*G1693,0)*CC1693*in_loan_lap_ticket*in_loan_lap_comm</f>
        <v/>
      </c>
      <c r="CE1693" s="14">
        <f>AA1693+AB1693+AC1693+AD1693+AG1693+AJ1693+AM1693+AP1693+AS1693+AU1693+AX1693+BB1693+BE1693+BG1693+BJ1693+BL1693+BO1693+BR1693+BT1693+BV1693+BX1693+CA1693+CD1693</f>
        <v/>
      </c>
    </row>
    <row r="1694">
      <c r="A1694" s="39" t="n">
        <v>44</v>
      </c>
      <c r="B1694" s="39" t="n">
        <v>16</v>
      </c>
      <c r="C1694" s="39">
        <f>A1694+B1694-1</f>
        <v/>
      </c>
      <c r="D1694" s="39">
        <f>INT((C1694-1)/12)+1</f>
        <v/>
      </c>
      <c r="E1694" s="44">
        <f>INDEX(Monthly!$B$2:$B$61,A1694)</f>
        <v/>
      </c>
      <c r="F1694" s="44">
        <f>E1694*INDEX('Age profile'!$B$2:$B$61,B1694)</f>
        <v/>
      </c>
      <c r="G1694" s="45">
        <f>MIN(in_takeup_cap,INDEX('Age profile'!$N$2:$N$61,B1694)*(1+in_takeup_growth)^(D1694-1))</f>
        <v/>
      </c>
      <c r="H1694" s="11">
        <f>MIN(in_approval_cap,in_approved_first*INDEX('Age profile'!$O$2:$O$61,B1694)*(1+in_approval_growth)^(D1694-1))</f>
        <v/>
      </c>
      <c r="I1694" s="45">
        <f>G1694*MIN(in_takeup_cap,INDEX('Age profile'!$O$2:$O$61,B1694)*(1+in_approval_growth)^(D1694-1))</f>
        <v/>
      </c>
      <c r="J1694" s="40">
        <f>(J1693-L1693)*F1694/F1693</f>
        <v/>
      </c>
      <c r="K1694" s="40">
        <f>(K1693-M1693)*F1694/F1693+SUMIFS(O1679:O1693,B1679:B1693,B1694-1-d_T)*F1694</f>
        <v/>
      </c>
      <c r="L1694" s="40">
        <f>IF(B1694&gt;=in_marketplace_from,J1694*d_hz*G1694*in_eligible*H1694,0)</f>
        <v/>
      </c>
      <c r="M1694" s="40">
        <f>IF(B1694&gt;=in_marketplace_from,K1694*d_hz*G1694*in_eligible*in_approved_repeat,0)</f>
        <v/>
      </c>
      <c r="N1694" s="40">
        <f>L1694+M1694</f>
        <v/>
      </c>
      <c r="O1694" s="46">
        <f>N1694/F1694</f>
        <v/>
      </c>
      <c r="P1694" s="40">
        <f>F1694-J1694-K1694</f>
        <v/>
      </c>
      <c r="Q1694" s="40">
        <f>IF(B1694&gt;=in_marketplace_from,(J1694+K1694)*d_hz*G1694,0)</f>
        <v/>
      </c>
      <c r="R1694" s="40">
        <f>SUMIFS(N1679:N1695,B1679:B1695,"&gt;="&amp;(B1694-d_T),B1679:B1695,"&lt;="&amp;(B1694-1))</f>
        <v/>
      </c>
      <c r="S1694" s="46">
        <f>(1-d_u)*S1693+IF(d_T&gt;in_topup_lag,SUMIFS(O1679:O1695,B1679:B1695,B1694-in_topup_lag)-d_udrop*SUMIFS(O1679:O1695,B1679:B1695,B1694-d_T),0)</f>
        <v/>
      </c>
      <c r="T1694" s="40">
        <f>F1694*d_u*S1694</f>
        <v/>
      </c>
      <c r="U1694" s="9">
        <f>L1694*in_ticket+M1694*d_rep_ticket</f>
        <v/>
      </c>
      <c r="V1694" s="9">
        <f>U1694+T1694*d_topup_amt</f>
        <v/>
      </c>
      <c r="W1694" s="40">
        <f>N1694+T1694*d_topup_ratio</f>
        <v/>
      </c>
      <c r="X1694" s="40">
        <f>SUMIFS(W1679:W1695,B1679:B1695,B1694-in_dpd_lag)*d_cured</f>
        <v/>
      </c>
      <c r="Y1694" s="40">
        <f>SUMIFS(W1679:W1695,B1679:B1695,B1694-in_rec_lag)*d_recd</f>
        <v/>
      </c>
      <c r="Z1694" s="40">
        <f>IF(AND(B1694&gt;=in_marketplace_from,B1694&lt;in_marketplace_from+in_card_months),in_card_share/in_card_months*F1694*I1694,IF(AND(B1694&gt;=in_marketplace_from+in_card_months,B1694&lt;in_marketplace_from+2*in_card_months),in_card_share*d_card_rem/in_card_months*F1694*MIN(in_takeup_cap,(1+in_takeup_growth)^(D1694-1))*MIN(in_takeup_cap,(1+in_approval_growth)^(D1694-1)),0))</f>
        <v/>
      </c>
      <c r="AA1694" s="14">
        <f>V1694*in_fee*(1-in_taken_back)</f>
        <v/>
      </c>
      <c r="AB1694" s="14">
        <f>SUMIFS(W1679:W1695,B1679:B1695,B1694-in_dpd_lag)*d_dpd</f>
        <v/>
      </c>
      <c r="AC1694" s="14">
        <f>SUMIFS(W1679:W1695,B1679:B1695,B1694-in_rec_lag)*d_rec</f>
        <v/>
      </c>
      <c r="AD1694" s="14">
        <f>Z1694*in_card_fee</f>
        <v/>
      </c>
      <c r="AE1694" s="40">
        <f>AE1693*(1-IF(B1693&gt;=in_marketplace_from,d_hz_hlth_small*G1693,0))</f>
        <v/>
      </c>
      <c r="AF1694" s="46">
        <f>AE1694*IF(B1694&gt;=in_marketplace_from,d_hz_hlth_small*G1694,0)</f>
        <v/>
      </c>
      <c r="AG1694" s="14">
        <f>F1694*AF1694*in_hlth_small_ticket*in_hlth_small_comm*in_ins_partner_share+F1694*in_hlth_small_ticket*in_hlth_small_renew_comm*in_ins_partner_share*(in_hlth_small_renew^1*SUMIFS(AF1679:AF1695,B1679:B1695,B1694-12)+in_hlth_small_renew^2*SUMIFS(AF1679:AF1695,B1679:B1695,B1694-24)+in_hlth_small_renew^3*SUMIFS(AF1679:AF1695,B1679:B1695,B1694-36)+in_hlth_small_renew^4*SUMIFS(AF1679:AF1695,B1679:B1695,B1694-48))</f>
        <v/>
      </c>
      <c r="AH1694" s="40">
        <f>AH1693*(1-IF(B1693&gt;=in_marketplace_from,d_hz_hlth_family*G1693,0))</f>
        <v/>
      </c>
      <c r="AI1694" s="46">
        <f>AH1694*IF(B1694&gt;=in_marketplace_from,d_hz_hlth_family*G1694,0)</f>
        <v/>
      </c>
      <c r="AJ1694" s="14">
        <f>F1694*AI1694*in_hlth_family_ticket*in_hlth_family_comm*in_ins_partner_share+F1694*in_hlth_family_ticket*in_hlth_family_renew_comm*in_ins_partner_share*(in_hlth_family_renew^1*SUMIFS(AI1679:AI1695,B1679:B1695,B1694-12)+in_hlth_family_renew^2*SUMIFS(AI1679:AI1695,B1679:B1695,B1694-24)+in_hlth_family_renew^3*SUMIFS(AI1679:AI1695,B1679:B1695,B1694-36)+in_hlth_family_renew^4*SUMIFS(AI1679:AI1695,B1679:B1695,B1694-48))</f>
        <v/>
      </c>
      <c r="AK1694" s="40">
        <f>AK1693*(1-IF(B1693&gt;=in_marketplace_from,d_hz_life_term*G1693,0))</f>
        <v/>
      </c>
      <c r="AL1694" s="46">
        <f>AK1694*IF(B1694&gt;=in_marketplace_from,d_hz_life_term*G1694,0)</f>
        <v/>
      </c>
      <c r="AM1694" s="14">
        <f>F1694*AL1694*in_life_term_ticket*in_life_term_comm*in_ins_partner_share+F1694*in_life_term_ticket*in_life_term_renew_comm*in_ins_partner_share*(in_life_term_renew^1*SUMIFS(AL1679:AL1695,B1679:B1695,B1694-12)+in_life_term_renew^2*SUMIFS(AL1679:AL1695,B1679:B1695,B1694-24)+in_life_term_renew^3*SUMIFS(AL1679:AL1695,B1679:B1695,B1694-36)+in_life_term_renew^4*SUMIFS(AL1679:AL1695,B1679:B1695,B1694-48))</f>
        <v/>
      </c>
      <c r="AN1694" s="40">
        <f>AN1693*(1-IF(B1693&gt;=in_marketplace_from,d_hz_accident*G1693,0))</f>
        <v/>
      </c>
      <c r="AO1694" s="46">
        <f>AN1694*IF(B1694&gt;=in_marketplace_from,d_hz_accident*G1694,0)</f>
        <v/>
      </c>
      <c r="AP1694" s="14">
        <f>F1694*AO1694*in_accident_ticket*in_accident_comm*in_ins_partner_share+F1694*in_accident_ticket*in_accident_renew_comm*in_ins_partner_share*(in_accident_renew^1*SUMIFS(AO1679:AO1695,B1679:B1695,B1694-12)+in_accident_renew^2*SUMIFS(AO1679:AO1695,B1679:B1695,B1694-24)+in_accident_renew^3*SUMIFS(AO1679:AO1695,B1679:B1695,B1694-36)+in_accident_renew^4*SUMIFS(AO1679:AO1695,B1679:B1695,B1694-48))</f>
        <v/>
      </c>
      <c r="AQ1694" s="40">
        <f>AQ1693*(1-IF(B1693&gt;=in_marketplace_from,d_hz_two_wheeler*G1693,0))</f>
        <v/>
      </c>
      <c r="AR1694" s="46">
        <f>AQ1694*IF(B1694&gt;=in_marketplace_from,d_hz_two_wheeler*G1694,0)</f>
        <v/>
      </c>
      <c r="AS1694" s="14">
        <f>F1694*AR1694*in_two_wheeler_ticket*in_two_wheeler_comm*in_ins_partner_share+F1694*in_two_wheeler_ticket*in_two_wheeler_comm*in_ins_partner_share*(in_two_wheeler_renew^1*SUMIFS(AR1679:AR1695,B1679:B1695,B1694-12)+in_two_wheeler_renew^2*SUMIFS(AR1679:AR1695,B1679:B1695,B1694-24)+in_two_wheeler_renew^3*SUMIFS(AR1679:AR1695,B1679:B1695,B1694-36)+in_two_wheeler_renew^4*SUMIFS(AR1679:AR1695,B1679:B1695,B1694-48))</f>
        <v/>
      </c>
      <c r="AT1694" s="40">
        <f>AT1693*(1-IF(B1693&gt;=in_marketplace_from,d_hz_device*G1693,0))</f>
        <v/>
      </c>
      <c r="AU1694" s="14">
        <f>F1694*AT1694*IF(B1694&gt;=in_marketplace_from,d_hz_device*G1694,0)*in_device_ticket*in_device_comm*in_ins_partner_share</f>
        <v/>
      </c>
      <c r="AV1694" s="40">
        <f>AV1693*(1-IF(B1693&gt;=in_marketplace_from,d_hz_shop*G1693,0))</f>
        <v/>
      </c>
      <c r="AW1694" s="46">
        <f>AV1694*IF(B1694&gt;=in_marketplace_from,d_hz_shop*G1694,0)</f>
        <v/>
      </c>
      <c r="AX1694" s="14">
        <f>F1694*AW1694*in_shop_ticket*in_shop_comm*in_ins_partner_share+F1694*in_shop_ticket*in_shop_renew_comm*in_ins_partner_share*(in_shop_renew^1*SUMIFS(AW1679:AW1695,B1679:B1695,B1694-12)+in_shop_renew^2*SUMIFS(AW1679:AW1695,B1679:B1695,B1694-24)+in_shop_renew^3*SUMIFS(AW1679:AW1695,B1679:B1695,B1694-36)+in_shop_renew^4*SUMIFS(AW1679:AW1695,B1679:B1695,B1694-48))</f>
        <v/>
      </c>
      <c r="AY1694" s="40">
        <f>AY1693*(1-IF(B1693&gt;=in_marketplace_from,d_hz_sip*G1693,0))</f>
        <v/>
      </c>
      <c r="AZ1694" s="40">
        <f>AZ1693*d_rho_sip+AY1694*IF(B1694&gt;=in_marketplace_from,d_hz_sip*G1694,0)</f>
        <v/>
      </c>
      <c r="BA1694" s="40">
        <f>d_rho_sip*(BA1693+AZ1693)</f>
        <v/>
      </c>
      <c r="BB1694" s="14">
        <f>F1694*in_sip_ticket*(BA1694+0.5*AZ1694)*in_sip_comm/12</f>
        <v/>
      </c>
      <c r="BC1694" s="40">
        <f>BC1693*(1-IF(B1693&gt;=in_marketplace_from,d_hz_choti*G1693,0))</f>
        <v/>
      </c>
      <c r="BD1694" s="46">
        <f>BC1694*IF(B1694&gt;=in_marketplace_from,d_hz_choti*G1694,0)</f>
        <v/>
      </c>
      <c r="BE1694" s="14">
        <f>F1694*SUMIFS(BD1679:BD1695,B1679:B1695,B1694-in_choti_months)*in_choti_renew*in_choti_ticket</f>
        <v/>
      </c>
      <c r="BF1694" s="40">
        <f>BF1693*(1-IF(B1693&gt;=in_marketplace_from,d_hz_nps*G1693,0))</f>
        <v/>
      </c>
      <c r="BG1694" s="14">
        <f>F1694*BF1694*IF(B1694&gt;=in_marketplace_from,d_hz_nps*G1694,0)*in_nps_ticket*in_nps_comm</f>
        <v/>
      </c>
      <c r="BH1694" s="40">
        <f>BH1693*(1-IF(B1693&gt;=in_marketplace_from,d_hz_gold*G1693,0))</f>
        <v/>
      </c>
      <c r="BI1694" s="40">
        <f>BI1693*d_rho_gold+BH1694*IF(B1694&gt;=in_marketplace_from,d_hz_gold*G1694,0)</f>
        <v/>
      </c>
      <c r="BJ1694" s="14">
        <f>F1694*BI1694*in_gold_ticket*in_gold_comm</f>
        <v/>
      </c>
      <c r="BK1694" s="40">
        <f>BK1693*(1-IF(B1693&gt;=in_marketplace_from,d_hz_fd*G1693,0))</f>
        <v/>
      </c>
      <c r="BL1694" s="14">
        <f>F1694*BK1694*IF(B1694&gt;=in_marketplace_from,d_hz_fd*G1694,0)*in_fd_ticket*in_fd_comm</f>
        <v/>
      </c>
      <c r="BM1694" s="40">
        <f>BM1693*(1-IF(B1693&gt;=in_marketplace_from,d_hz_recharge*G1693,0))</f>
        <v/>
      </c>
      <c r="BN1694" s="40">
        <f>BN1693*d_rho_recharge+BM1694*IF(B1694&gt;=in_marketplace_from,d_hz_recharge*G1694,0)</f>
        <v/>
      </c>
      <c r="BO1694" s="14">
        <f>F1694*BN1694*in_recharge_ticket*in_recharge_comm/12</f>
        <v/>
      </c>
      <c r="BP1694" s="40">
        <f>BP1693*(1-IF(B1693&gt;=in_marketplace_from,d_hz_bills*G1693,0))</f>
        <v/>
      </c>
      <c r="BQ1694" s="40">
        <f>BQ1693*d_rho_bills+BP1694*IF(B1694&gt;=in_marketplace_from,d_hz_bills*G1694,0)</f>
        <v/>
      </c>
      <c r="BR1694" s="14">
        <f>F1694*BQ1694*in_bills_ticket*in_bills_comm/12</f>
        <v/>
      </c>
      <c r="BS1694" s="40">
        <f>BS1693*(1-IF(B1693&gt;=in_marketplace_from,d_hz_loan_gold*G1693,0))</f>
        <v/>
      </c>
      <c r="BT1694" s="14">
        <f>F1694*BS1694*IF(B1694&gt;=in_marketplace_from,d_hz_loan_gold*G1694,0)*in_loan_gold_ticket*in_loan_gold_comm</f>
        <v/>
      </c>
      <c r="BU1694" s="40">
        <f>BU1693*(1-IF(B1693&gt;=in_marketplace_from,d_hz_loan_cd*G1693,0))</f>
        <v/>
      </c>
      <c r="BV1694" s="14">
        <f>F1694*BU1694*IF(B1694&gt;=in_marketplace_from,d_hz_loan_cd*G1694,0)*in_loan_cd_ticket*in_loan_cd_comm</f>
        <v/>
      </c>
      <c r="BW1694" s="40">
        <f>BW1693*(1-IF(B1693&gt;=in_marketplace_from,d_hz_loan_vehicle*G1693,0))</f>
        <v/>
      </c>
      <c r="BX1694" s="14">
        <f>F1694*BW1694*IF(B1694&gt;=in_marketplace_from,d_hz_loan_vehicle*G1694,0)*in_loan_vehicle_ticket*in_loan_vehicle_comm</f>
        <v/>
      </c>
      <c r="BY1694" s="40">
        <f>BY1693*(1-IF(B1693&gt;=in_marketplace_from,d_hz_loan_home*G1693,0)*BZ1693)</f>
        <v/>
      </c>
      <c r="BZ1694" s="11">
        <f>MIN(in_approval_cap,in_loan_home_approval*INDEX('Age profile'!$O$2:$O$61,B1694)*(1+in_approval_growth)^(D1694-1))</f>
        <v/>
      </c>
      <c r="CA1694" s="14">
        <f>F1694*BY1694*IF(B1694&gt;=in_marketplace_from,d_hz_loan_home*G1694,0)*BZ1694*in_loan_home_ticket*in_loan_home_comm</f>
        <v/>
      </c>
      <c r="CB1694" s="40">
        <f>CB1693*(1-IF(B1693&gt;=in_marketplace_from,d_hz_loan_lap*G1693,0)*CC1693)</f>
        <v/>
      </c>
      <c r="CC1694" s="11">
        <f>MIN(in_approval_cap,in_loan_lap_approval*INDEX('Age profile'!$O$2:$O$61,B1694)*(1+in_approval_growth)^(D1694-1))</f>
        <v/>
      </c>
      <c r="CD1694" s="14">
        <f>F1694*CB1694*IF(B1694&gt;=in_marketplace_from,d_hz_loan_lap*G1694,0)*CC1694*in_loan_lap_ticket*in_loan_lap_comm</f>
        <v/>
      </c>
      <c r="CE1694" s="14">
        <f>AA1694+AB1694+AC1694+AD1694+AG1694+AJ1694+AM1694+AP1694+AS1694+AU1694+AX1694+BB1694+BE1694+BG1694+BJ1694+BL1694+BO1694+BR1694+BT1694+BV1694+BX1694+CA1694+CD1694</f>
        <v/>
      </c>
    </row>
    <row r="1695">
      <c r="A1695" s="39" t="n">
        <v>44</v>
      </c>
      <c r="B1695" s="39" t="n">
        <v>17</v>
      </c>
      <c r="C1695" s="39">
        <f>A1695+B1695-1</f>
        <v/>
      </c>
      <c r="D1695" s="39">
        <f>INT((C1695-1)/12)+1</f>
        <v/>
      </c>
      <c r="E1695" s="44">
        <f>INDEX(Monthly!$B$2:$B$61,A1695)</f>
        <v/>
      </c>
      <c r="F1695" s="44">
        <f>E1695*INDEX('Age profile'!$B$2:$B$61,B1695)</f>
        <v/>
      </c>
      <c r="G1695" s="45">
        <f>MIN(in_takeup_cap,INDEX('Age profile'!$N$2:$N$61,B1695)*(1+in_takeup_growth)^(D1695-1))</f>
        <v/>
      </c>
      <c r="H1695" s="11">
        <f>MIN(in_approval_cap,in_approved_first*INDEX('Age profile'!$O$2:$O$61,B1695)*(1+in_approval_growth)^(D1695-1))</f>
        <v/>
      </c>
      <c r="I1695" s="45">
        <f>G1695*MIN(in_takeup_cap,INDEX('Age profile'!$O$2:$O$61,B1695)*(1+in_approval_growth)^(D1695-1))</f>
        <v/>
      </c>
      <c r="J1695" s="40">
        <f>(J1694-L1694)*F1695/F1694</f>
        <v/>
      </c>
      <c r="K1695" s="40">
        <f>(K1694-M1694)*F1695/F1694+SUMIFS(O1679:O1694,B1679:B1694,B1695-1-d_T)*F1695</f>
        <v/>
      </c>
      <c r="L1695" s="40">
        <f>IF(B1695&gt;=in_marketplace_from,J1695*d_hz*G1695*in_eligible*H1695,0)</f>
        <v/>
      </c>
      <c r="M1695" s="40">
        <f>IF(B1695&gt;=in_marketplace_from,K1695*d_hz*G1695*in_eligible*in_approved_repeat,0)</f>
        <v/>
      </c>
      <c r="N1695" s="40">
        <f>L1695+M1695</f>
        <v/>
      </c>
      <c r="O1695" s="46">
        <f>N1695/F1695</f>
        <v/>
      </c>
      <c r="P1695" s="40">
        <f>F1695-J1695-K1695</f>
        <v/>
      </c>
      <c r="Q1695" s="40">
        <f>IF(B1695&gt;=in_marketplace_from,(J1695+K1695)*d_hz*G1695,0)</f>
        <v/>
      </c>
      <c r="R1695" s="40">
        <f>SUMIFS(N1679:N1695,B1679:B1695,"&gt;="&amp;(B1695-d_T),B1679:B1695,"&lt;="&amp;(B1695-1))</f>
        <v/>
      </c>
      <c r="S1695" s="46">
        <f>(1-d_u)*S1694+IF(d_T&gt;in_topup_lag,SUMIFS(O1679:O1695,B1679:B1695,B1695-in_topup_lag)-d_udrop*SUMIFS(O1679:O1695,B1679:B1695,B1695-d_T),0)</f>
        <v/>
      </c>
      <c r="T1695" s="40">
        <f>F1695*d_u*S1695</f>
        <v/>
      </c>
      <c r="U1695" s="9">
        <f>L1695*in_ticket+M1695*d_rep_ticket</f>
        <v/>
      </c>
      <c r="V1695" s="9">
        <f>U1695+T1695*d_topup_amt</f>
        <v/>
      </c>
      <c r="W1695" s="40">
        <f>N1695+T1695*d_topup_ratio</f>
        <v/>
      </c>
      <c r="X1695" s="40">
        <f>SUMIFS(W1679:W1695,B1679:B1695,B1695-in_dpd_lag)*d_cured</f>
        <v/>
      </c>
      <c r="Y1695" s="40">
        <f>SUMIFS(W1679:W1695,B1679:B1695,B1695-in_rec_lag)*d_recd</f>
        <v/>
      </c>
      <c r="Z1695" s="40">
        <f>IF(AND(B1695&gt;=in_marketplace_from,B1695&lt;in_marketplace_from+in_card_months),in_card_share/in_card_months*F1695*I1695,IF(AND(B1695&gt;=in_marketplace_from+in_card_months,B1695&lt;in_marketplace_from+2*in_card_months),in_card_share*d_card_rem/in_card_months*F1695*MIN(in_takeup_cap,(1+in_takeup_growth)^(D1695-1))*MIN(in_takeup_cap,(1+in_approval_growth)^(D1695-1)),0))</f>
        <v/>
      </c>
      <c r="AA1695" s="14">
        <f>V1695*in_fee*(1-in_taken_back)</f>
        <v/>
      </c>
      <c r="AB1695" s="14">
        <f>SUMIFS(W1679:W1695,B1679:B1695,B1695-in_dpd_lag)*d_dpd</f>
        <v/>
      </c>
      <c r="AC1695" s="14">
        <f>SUMIFS(W1679:W1695,B1679:B1695,B1695-in_rec_lag)*d_rec</f>
        <v/>
      </c>
      <c r="AD1695" s="14">
        <f>Z1695*in_card_fee</f>
        <v/>
      </c>
      <c r="AE1695" s="40">
        <f>AE1694*(1-IF(B1694&gt;=in_marketplace_from,d_hz_hlth_small*G1694,0))</f>
        <v/>
      </c>
      <c r="AF1695" s="46">
        <f>AE1695*IF(B1695&gt;=in_marketplace_from,d_hz_hlth_small*G1695,0)</f>
        <v/>
      </c>
      <c r="AG1695" s="14">
        <f>F1695*AF1695*in_hlth_small_ticket*in_hlth_small_comm*in_ins_partner_share+F1695*in_hlth_small_ticket*in_hlth_small_renew_comm*in_ins_partner_share*(in_hlth_small_renew^1*SUMIFS(AF1679:AF1695,B1679:B1695,B1695-12)+in_hlth_small_renew^2*SUMIFS(AF1679:AF1695,B1679:B1695,B1695-24)+in_hlth_small_renew^3*SUMIFS(AF1679:AF1695,B1679:B1695,B1695-36)+in_hlth_small_renew^4*SUMIFS(AF1679:AF1695,B1679:B1695,B1695-48))</f>
        <v/>
      </c>
      <c r="AH1695" s="40">
        <f>AH1694*(1-IF(B1694&gt;=in_marketplace_from,d_hz_hlth_family*G1694,0))</f>
        <v/>
      </c>
      <c r="AI1695" s="46">
        <f>AH1695*IF(B1695&gt;=in_marketplace_from,d_hz_hlth_family*G1695,0)</f>
        <v/>
      </c>
      <c r="AJ1695" s="14">
        <f>F1695*AI1695*in_hlth_family_ticket*in_hlth_family_comm*in_ins_partner_share+F1695*in_hlth_family_ticket*in_hlth_family_renew_comm*in_ins_partner_share*(in_hlth_family_renew^1*SUMIFS(AI1679:AI1695,B1679:B1695,B1695-12)+in_hlth_family_renew^2*SUMIFS(AI1679:AI1695,B1679:B1695,B1695-24)+in_hlth_family_renew^3*SUMIFS(AI1679:AI1695,B1679:B1695,B1695-36)+in_hlth_family_renew^4*SUMIFS(AI1679:AI1695,B1679:B1695,B1695-48))</f>
        <v/>
      </c>
      <c r="AK1695" s="40">
        <f>AK1694*(1-IF(B1694&gt;=in_marketplace_from,d_hz_life_term*G1694,0))</f>
        <v/>
      </c>
      <c r="AL1695" s="46">
        <f>AK1695*IF(B1695&gt;=in_marketplace_from,d_hz_life_term*G1695,0)</f>
        <v/>
      </c>
      <c r="AM1695" s="14">
        <f>F1695*AL1695*in_life_term_ticket*in_life_term_comm*in_ins_partner_share+F1695*in_life_term_ticket*in_life_term_renew_comm*in_ins_partner_share*(in_life_term_renew^1*SUMIFS(AL1679:AL1695,B1679:B1695,B1695-12)+in_life_term_renew^2*SUMIFS(AL1679:AL1695,B1679:B1695,B1695-24)+in_life_term_renew^3*SUMIFS(AL1679:AL1695,B1679:B1695,B1695-36)+in_life_term_renew^4*SUMIFS(AL1679:AL1695,B1679:B1695,B1695-48))</f>
        <v/>
      </c>
      <c r="AN1695" s="40">
        <f>AN1694*(1-IF(B1694&gt;=in_marketplace_from,d_hz_accident*G1694,0))</f>
        <v/>
      </c>
      <c r="AO1695" s="46">
        <f>AN1695*IF(B1695&gt;=in_marketplace_from,d_hz_accident*G1695,0)</f>
        <v/>
      </c>
      <c r="AP1695" s="14">
        <f>F1695*AO1695*in_accident_ticket*in_accident_comm*in_ins_partner_share+F1695*in_accident_ticket*in_accident_renew_comm*in_ins_partner_share*(in_accident_renew^1*SUMIFS(AO1679:AO1695,B1679:B1695,B1695-12)+in_accident_renew^2*SUMIFS(AO1679:AO1695,B1679:B1695,B1695-24)+in_accident_renew^3*SUMIFS(AO1679:AO1695,B1679:B1695,B1695-36)+in_accident_renew^4*SUMIFS(AO1679:AO1695,B1679:B1695,B1695-48))</f>
        <v/>
      </c>
      <c r="AQ1695" s="40">
        <f>AQ1694*(1-IF(B1694&gt;=in_marketplace_from,d_hz_two_wheeler*G1694,0))</f>
        <v/>
      </c>
      <c r="AR1695" s="46">
        <f>AQ1695*IF(B1695&gt;=in_marketplace_from,d_hz_two_wheeler*G1695,0)</f>
        <v/>
      </c>
      <c r="AS1695" s="14">
        <f>F1695*AR1695*in_two_wheeler_ticket*in_two_wheeler_comm*in_ins_partner_share+F1695*in_two_wheeler_ticket*in_two_wheeler_comm*in_ins_partner_share*(in_two_wheeler_renew^1*SUMIFS(AR1679:AR1695,B1679:B1695,B1695-12)+in_two_wheeler_renew^2*SUMIFS(AR1679:AR1695,B1679:B1695,B1695-24)+in_two_wheeler_renew^3*SUMIFS(AR1679:AR1695,B1679:B1695,B1695-36)+in_two_wheeler_renew^4*SUMIFS(AR1679:AR1695,B1679:B1695,B1695-48))</f>
        <v/>
      </c>
      <c r="AT1695" s="40">
        <f>AT1694*(1-IF(B1694&gt;=in_marketplace_from,d_hz_device*G1694,0))</f>
        <v/>
      </c>
      <c r="AU1695" s="14">
        <f>F1695*AT1695*IF(B1695&gt;=in_marketplace_from,d_hz_device*G1695,0)*in_device_ticket*in_device_comm*in_ins_partner_share</f>
        <v/>
      </c>
      <c r="AV1695" s="40">
        <f>AV1694*(1-IF(B1694&gt;=in_marketplace_from,d_hz_shop*G1694,0))</f>
        <v/>
      </c>
      <c r="AW1695" s="46">
        <f>AV1695*IF(B1695&gt;=in_marketplace_from,d_hz_shop*G1695,0)</f>
        <v/>
      </c>
      <c r="AX1695" s="14">
        <f>F1695*AW1695*in_shop_ticket*in_shop_comm*in_ins_partner_share+F1695*in_shop_ticket*in_shop_renew_comm*in_ins_partner_share*(in_shop_renew^1*SUMIFS(AW1679:AW1695,B1679:B1695,B1695-12)+in_shop_renew^2*SUMIFS(AW1679:AW1695,B1679:B1695,B1695-24)+in_shop_renew^3*SUMIFS(AW1679:AW1695,B1679:B1695,B1695-36)+in_shop_renew^4*SUMIFS(AW1679:AW1695,B1679:B1695,B1695-48))</f>
        <v/>
      </c>
      <c r="AY1695" s="40">
        <f>AY1694*(1-IF(B1694&gt;=in_marketplace_from,d_hz_sip*G1694,0))</f>
        <v/>
      </c>
      <c r="AZ1695" s="40">
        <f>AZ1694*d_rho_sip+AY1695*IF(B1695&gt;=in_marketplace_from,d_hz_sip*G1695,0)</f>
        <v/>
      </c>
      <c r="BA1695" s="40">
        <f>d_rho_sip*(BA1694+AZ1694)</f>
        <v/>
      </c>
      <c r="BB1695" s="14">
        <f>F1695*in_sip_ticket*(BA1695+0.5*AZ1695)*in_sip_comm/12</f>
        <v/>
      </c>
      <c r="BC1695" s="40">
        <f>BC1694*(1-IF(B1694&gt;=in_marketplace_from,d_hz_choti*G1694,0))</f>
        <v/>
      </c>
      <c r="BD1695" s="46">
        <f>BC1695*IF(B1695&gt;=in_marketplace_from,d_hz_choti*G1695,0)</f>
        <v/>
      </c>
      <c r="BE1695" s="14">
        <f>F1695*SUMIFS(BD1679:BD1695,B1679:B1695,B1695-in_choti_months)*in_choti_renew*in_choti_ticket</f>
        <v/>
      </c>
      <c r="BF1695" s="40">
        <f>BF1694*(1-IF(B1694&gt;=in_marketplace_from,d_hz_nps*G1694,0))</f>
        <v/>
      </c>
      <c r="BG1695" s="14">
        <f>F1695*BF1695*IF(B1695&gt;=in_marketplace_from,d_hz_nps*G1695,0)*in_nps_ticket*in_nps_comm</f>
        <v/>
      </c>
      <c r="BH1695" s="40">
        <f>BH1694*(1-IF(B1694&gt;=in_marketplace_from,d_hz_gold*G1694,0))</f>
        <v/>
      </c>
      <c r="BI1695" s="40">
        <f>BI1694*d_rho_gold+BH1695*IF(B1695&gt;=in_marketplace_from,d_hz_gold*G1695,0)</f>
        <v/>
      </c>
      <c r="BJ1695" s="14">
        <f>F1695*BI1695*in_gold_ticket*in_gold_comm</f>
        <v/>
      </c>
      <c r="BK1695" s="40">
        <f>BK1694*(1-IF(B1694&gt;=in_marketplace_from,d_hz_fd*G1694,0))</f>
        <v/>
      </c>
      <c r="BL1695" s="14">
        <f>F1695*BK1695*IF(B1695&gt;=in_marketplace_from,d_hz_fd*G1695,0)*in_fd_ticket*in_fd_comm</f>
        <v/>
      </c>
      <c r="BM1695" s="40">
        <f>BM1694*(1-IF(B1694&gt;=in_marketplace_from,d_hz_recharge*G1694,0))</f>
        <v/>
      </c>
      <c r="BN1695" s="40">
        <f>BN1694*d_rho_recharge+BM1695*IF(B1695&gt;=in_marketplace_from,d_hz_recharge*G1695,0)</f>
        <v/>
      </c>
      <c r="BO1695" s="14">
        <f>F1695*BN1695*in_recharge_ticket*in_recharge_comm/12</f>
        <v/>
      </c>
      <c r="BP1695" s="40">
        <f>BP1694*(1-IF(B1694&gt;=in_marketplace_from,d_hz_bills*G1694,0))</f>
        <v/>
      </c>
      <c r="BQ1695" s="40">
        <f>BQ1694*d_rho_bills+BP1695*IF(B1695&gt;=in_marketplace_from,d_hz_bills*G1695,0)</f>
        <v/>
      </c>
      <c r="BR1695" s="14">
        <f>F1695*BQ1695*in_bills_ticket*in_bills_comm/12</f>
        <v/>
      </c>
      <c r="BS1695" s="40">
        <f>BS1694*(1-IF(B1694&gt;=in_marketplace_from,d_hz_loan_gold*G1694,0))</f>
        <v/>
      </c>
      <c r="BT1695" s="14">
        <f>F1695*BS1695*IF(B1695&gt;=in_marketplace_from,d_hz_loan_gold*G1695,0)*in_loan_gold_ticket*in_loan_gold_comm</f>
        <v/>
      </c>
      <c r="BU1695" s="40">
        <f>BU1694*(1-IF(B1694&gt;=in_marketplace_from,d_hz_loan_cd*G1694,0))</f>
        <v/>
      </c>
      <c r="BV1695" s="14">
        <f>F1695*BU1695*IF(B1695&gt;=in_marketplace_from,d_hz_loan_cd*G1695,0)*in_loan_cd_ticket*in_loan_cd_comm</f>
        <v/>
      </c>
      <c r="BW1695" s="40">
        <f>BW1694*(1-IF(B1694&gt;=in_marketplace_from,d_hz_loan_vehicle*G1694,0))</f>
        <v/>
      </c>
      <c r="BX1695" s="14">
        <f>F1695*BW1695*IF(B1695&gt;=in_marketplace_from,d_hz_loan_vehicle*G1695,0)*in_loan_vehicle_ticket*in_loan_vehicle_comm</f>
        <v/>
      </c>
      <c r="BY1695" s="40">
        <f>BY1694*(1-IF(B1694&gt;=in_marketplace_from,d_hz_loan_home*G1694,0)*BZ1694)</f>
        <v/>
      </c>
      <c r="BZ1695" s="11">
        <f>MIN(in_approval_cap,in_loan_home_approval*INDEX('Age profile'!$O$2:$O$61,B1695)*(1+in_approval_growth)^(D1695-1))</f>
        <v/>
      </c>
      <c r="CA1695" s="14">
        <f>F1695*BY1695*IF(B1695&gt;=in_marketplace_from,d_hz_loan_home*G1695,0)*BZ1695*in_loan_home_ticket*in_loan_home_comm</f>
        <v/>
      </c>
      <c r="CB1695" s="40">
        <f>CB1694*(1-IF(B1694&gt;=in_marketplace_from,d_hz_loan_lap*G1694,0)*CC1694)</f>
        <v/>
      </c>
      <c r="CC1695" s="11">
        <f>MIN(in_approval_cap,in_loan_lap_approval*INDEX('Age profile'!$O$2:$O$61,B1695)*(1+in_approval_growth)^(D1695-1))</f>
        <v/>
      </c>
      <c r="CD1695" s="14">
        <f>F1695*CB1695*IF(B1695&gt;=in_marketplace_from,d_hz_loan_lap*G1695,0)*CC1695*in_loan_lap_ticket*in_loan_lap_comm</f>
        <v/>
      </c>
      <c r="CE1695" s="14">
        <f>AA1695+AB1695+AC1695+AD1695+AG1695+AJ1695+AM1695+AP1695+AS1695+AU1695+AX1695+BB1695+BE1695+BG1695+BJ1695+BL1695+BO1695+BR1695+BT1695+BV1695+BX1695+CA1695+CD1695</f>
        <v/>
      </c>
    </row>
    <row r="1696">
      <c r="A1696" s="39" t="n">
        <v>45</v>
      </c>
      <c r="B1696" s="39" t="n">
        <v>1</v>
      </c>
      <c r="C1696" s="39">
        <f>A1696+B1696-1</f>
        <v/>
      </c>
      <c r="D1696" s="39">
        <f>INT((C1696-1)/12)+1</f>
        <v/>
      </c>
      <c r="E1696" s="44">
        <f>INDEX(Monthly!$B$2:$B$61,A1696)</f>
        <v/>
      </c>
      <c r="F1696" s="44">
        <f>E1696*INDEX('Age profile'!$B$2:$B$61,B1696)</f>
        <v/>
      </c>
      <c r="G1696" s="45">
        <f>MIN(in_takeup_cap,INDEX('Age profile'!$N$2:$N$61,B1696)*(1+in_takeup_growth)^(D1696-1))</f>
        <v/>
      </c>
      <c r="H1696" s="11">
        <f>MIN(in_approval_cap,in_approved_first*INDEX('Age profile'!$O$2:$O$61,B1696)*(1+in_approval_growth)^(D1696-1))</f>
        <v/>
      </c>
      <c r="I1696" s="45">
        <f>G1696*MIN(in_takeup_cap,INDEX('Age profile'!$O$2:$O$61,B1696)*(1+in_approval_growth)^(D1696-1))</f>
        <v/>
      </c>
      <c r="J1696" s="40">
        <f>E1696</f>
        <v/>
      </c>
      <c r="K1696" s="40" t="n">
        <v>0</v>
      </c>
      <c r="L1696" s="40">
        <f>IF(B1696&gt;=in_marketplace_from,J1696*d_hz*G1696*in_eligible*H1696,0)</f>
        <v/>
      </c>
      <c r="M1696" s="40">
        <f>IF(B1696&gt;=in_marketplace_from,K1696*d_hz*G1696*in_eligible*in_approved_repeat,0)</f>
        <v/>
      </c>
      <c r="N1696" s="40">
        <f>L1696+M1696</f>
        <v/>
      </c>
      <c r="O1696" s="46">
        <f>N1696/F1696</f>
        <v/>
      </c>
      <c r="P1696" s="40">
        <f>F1696-J1696-K1696</f>
        <v/>
      </c>
      <c r="Q1696" s="40">
        <f>IF(B1696&gt;=in_marketplace_from,(J1696+K1696)*d_hz*G1696,0)</f>
        <v/>
      </c>
      <c r="R1696" s="40">
        <f>SUMIFS(N1696:N1711,B1696:B1711,"&gt;="&amp;(B1696-d_T),B1696:B1711,"&lt;="&amp;(B1696-1))</f>
        <v/>
      </c>
      <c r="S1696" s="46" t="n">
        <v>0</v>
      </c>
      <c r="T1696" s="40">
        <f>F1696*d_u*S1696</f>
        <v/>
      </c>
      <c r="U1696" s="9">
        <f>L1696*in_ticket+M1696*d_rep_ticket</f>
        <v/>
      </c>
      <c r="V1696" s="9">
        <f>U1696+T1696*d_topup_amt</f>
        <v/>
      </c>
      <c r="W1696" s="40">
        <f>N1696+T1696*d_topup_ratio</f>
        <v/>
      </c>
      <c r="X1696" s="40">
        <f>SUMIFS(W1696:W1711,B1696:B1711,B1696-in_dpd_lag)*d_cured</f>
        <v/>
      </c>
      <c r="Y1696" s="40">
        <f>SUMIFS(W1696:W1711,B1696:B1711,B1696-in_rec_lag)*d_recd</f>
        <v/>
      </c>
      <c r="Z1696" s="40">
        <f>IF(AND(B1696&gt;=in_marketplace_from,B1696&lt;in_marketplace_from+in_card_months),in_card_share/in_card_months*F1696*I1696,IF(AND(B1696&gt;=in_marketplace_from+in_card_months,B1696&lt;in_marketplace_from+2*in_card_months),in_card_share*d_card_rem/in_card_months*F1696*MIN(in_takeup_cap,(1+in_takeup_growth)^(D1696-1))*MIN(in_takeup_cap,(1+in_approval_growth)^(D1696-1)),0))</f>
        <v/>
      </c>
      <c r="AA1696" s="14">
        <f>V1696*in_fee*(1-in_taken_back)</f>
        <v/>
      </c>
      <c r="AB1696" s="14">
        <f>SUMIFS(W1696:W1711,B1696:B1711,B1696-in_dpd_lag)*d_dpd</f>
        <v/>
      </c>
      <c r="AC1696" s="14">
        <f>SUMIFS(W1696:W1711,B1696:B1711,B1696-in_rec_lag)*d_rec</f>
        <v/>
      </c>
      <c r="AD1696" s="14">
        <f>Z1696*in_card_fee</f>
        <v/>
      </c>
      <c r="AE1696" s="40" t="n">
        <v>1</v>
      </c>
      <c r="AF1696" s="46">
        <f>AE1696*IF(B1696&gt;=in_marketplace_from,d_hz_hlth_small*G1696,0)</f>
        <v/>
      </c>
      <c r="AG1696" s="14">
        <f>F1696*AF1696*in_hlth_small_ticket*in_hlth_small_comm*in_ins_partner_share+F1696*in_hlth_small_ticket*in_hlth_small_renew_comm*in_ins_partner_share*(in_hlth_small_renew^1*SUMIFS(AF1696:AF1711,B1696:B1711,B1696-12)+in_hlth_small_renew^2*SUMIFS(AF1696:AF1711,B1696:B1711,B1696-24)+in_hlth_small_renew^3*SUMIFS(AF1696:AF1711,B1696:B1711,B1696-36)+in_hlth_small_renew^4*SUMIFS(AF1696:AF1711,B1696:B1711,B1696-48))</f>
        <v/>
      </c>
      <c r="AH1696" s="40" t="n">
        <v>1</v>
      </c>
      <c r="AI1696" s="46">
        <f>AH1696*IF(B1696&gt;=in_marketplace_from,d_hz_hlth_family*G1696,0)</f>
        <v/>
      </c>
      <c r="AJ1696" s="14">
        <f>F1696*AI1696*in_hlth_family_ticket*in_hlth_family_comm*in_ins_partner_share+F1696*in_hlth_family_ticket*in_hlth_family_renew_comm*in_ins_partner_share*(in_hlth_family_renew^1*SUMIFS(AI1696:AI1711,B1696:B1711,B1696-12)+in_hlth_family_renew^2*SUMIFS(AI1696:AI1711,B1696:B1711,B1696-24)+in_hlth_family_renew^3*SUMIFS(AI1696:AI1711,B1696:B1711,B1696-36)+in_hlth_family_renew^4*SUMIFS(AI1696:AI1711,B1696:B1711,B1696-48))</f>
        <v/>
      </c>
      <c r="AK1696" s="40" t="n">
        <v>1</v>
      </c>
      <c r="AL1696" s="46">
        <f>AK1696*IF(B1696&gt;=in_marketplace_from,d_hz_life_term*G1696,0)</f>
        <v/>
      </c>
      <c r="AM1696" s="14">
        <f>F1696*AL1696*in_life_term_ticket*in_life_term_comm*in_ins_partner_share+F1696*in_life_term_ticket*in_life_term_renew_comm*in_ins_partner_share*(in_life_term_renew^1*SUMIFS(AL1696:AL1711,B1696:B1711,B1696-12)+in_life_term_renew^2*SUMIFS(AL1696:AL1711,B1696:B1711,B1696-24)+in_life_term_renew^3*SUMIFS(AL1696:AL1711,B1696:B1711,B1696-36)+in_life_term_renew^4*SUMIFS(AL1696:AL1711,B1696:B1711,B1696-48))</f>
        <v/>
      </c>
      <c r="AN1696" s="40" t="n">
        <v>1</v>
      </c>
      <c r="AO1696" s="46">
        <f>AN1696*IF(B1696&gt;=in_marketplace_from,d_hz_accident*G1696,0)</f>
        <v/>
      </c>
      <c r="AP1696" s="14">
        <f>F1696*AO1696*in_accident_ticket*in_accident_comm*in_ins_partner_share+F1696*in_accident_ticket*in_accident_renew_comm*in_ins_partner_share*(in_accident_renew^1*SUMIFS(AO1696:AO1711,B1696:B1711,B1696-12)+in_accident_renew^2*SUMIFS(AO1696:AO1711,B1696:B1711,B1696-24)+in_accident_renew^3*SUMIFS(AO1696:AO1711,B1696:B1711,B1696-36)+in_accident_renew^4*SUMIFS(AO1696:AO1711,B1696:B1711,B1696-48))</f>
        <v/>
      </c>
      <c r="AQ1696" s="40" t="n">
        <v>1</v>
      </c>
      <c r="AR1696" s="46">
        <f>AQ1696*IF(B1696&gt;=in_marketplace_from,d_hz_two_wheeler*G1696,0)</f>
        <v/>
      </c>
      <c r="AS1696" s="14">
        <f>F1696*AR1696*in_two_wheeler_ticket*in_two_wheeler_comm*in_ins_partner_share+F1696*in_two_wheeler_ticket*in_two_wheeler_comm*in_ins_partner_share*(in_two_wheeler_renew^1*SUMIFS(AR1696:AR1711,B1696:B1711,B1696-12)+in_two_wheeler_renew^2*SUMIFS(AR1696:AR1711,B1696:B1711,B1696-24)+in_two_wheeler_renew^3*SUMIFS(AR1696:AR1711,B1696:B1711,B1696-36)+in_two_wheeler_renew^4*SUMIFS(AR1696:AR1711,B1696:B1711,B1696-48))</f>
        <v/>
      </c>
      <c r="AT1696" s="40" t="n">
        <v>1</v>
      </c>
      <c r="AU1696" s="14">
        <f>F1696*AT1696*IF(B1696&gt;=in_marketplace_from,d_hz_device*G1696,0)*in_device_ticket*in_device_comm*in_ins_partner_share</f>
        <v/>
      </c>
      <c r="AV1696" s="40" t="n">
        <v>1</v>
      </c>
      <c r="AW1696" s="46">
        <f>AV1696*IF(B1696&gt;=in_marketplace_from,d_hz_shop*G1696,0)</f>
        <v/>
      </c>
      <c r="AX1696" s="14">
        <f>F1696*AW1696*in_shop_ticket*in_shop_comm*in_ins_partner_share+F1696*in_shop_ticket*in_shop_renew_comm*in_ins_partner_share*(in_shop_renew^1*SUMIFS(AW1696:AW1711,B1696:B1711,B1696-12)+in_shop_renew^2*SUMIFS(AW1696:AW1711,B1696:B1711,B1696-24)+in_shop_renew^3*SUMIFS(AW1696:AW1711,B1696:B1711,B1696-36)+in_shop_renew^4*SUMIFS(AW1696:AW1711,B1696:B1711,B1696-48))</f>
        <v/>
      </c>
      <c r="AY1696" s="40" t="n">
        <v>1</v>
      </c>
      <c r="AZ1696" s="40">
        <f>AY1696*IF(B1696&gt;=in_marketplace_from,d_hz_sip*G1696,0)</f>
        <v/>
      </c>
      <c r="BA1696" s="40" t="n">
        <v>0</v>
      </c>
      <c r="BB1696" s="14">
        <f>F1696*in_sip_ticket*(BA1696+0.5*AZ1696)*in_sip_comm/12</f>
        <v/>
      </c>
      <c r="BC1696" s="40" t="n">
        <v>1</v>
      </c>
      <c r="BD1696" s="46">
        <f>BC1696*IF(B1696&gt;=in_marketplace_from,d_hz_choti*G1696,0)</f>
        <v/>
      </c>
      <c r="BE1696" s="14">
        <f>F1696*SUMIFS(BD1696:BD1711,B1696:B1711,B1696-in_choti_months)*in_choti_renew*in_choti_ticket</f>
        <v/>
      </c>
      <c r="BF1696" s="40" t="n">
        <v>1</v>
      </c>
      <c r="BG1696" s="14">
        <f>F1696*BF1696*IF(B1696&gt;=in_marketplace_from,d_hz_nps*G1696,0)*in_nps_ticket*in_nps_comm</f>
        <v/>
      </c>
      <c r="BH1696" s="40" t="n">
        <v>1</v>
      </c>
      <c r="BI1696" s="40">
        <f>BH1696*IF(B1696&gt;=in_marketplace_from,d_hz_gold*G1696,0)</f>
        <v/>
      </c>
      <c r="BJ1696" s="14">
        <f>F1696*BI1696*in_gold_ticket*in_gold_comm</f>
        <v/>
      </c>
      <c r="BK1696" s="40" t="n">
        <v>1</v>
      </c>
      <c r="BL1696" s="14">
        <f>F1696*BK1696*IF(B1696&gt;=in_marketplace_from,d_hz_fd*G1696,0)*in_fd_ticket*in_fd_comm</f>
        <v/>
      </c>
      <c r="BM1696" s="40" t="n">
        <v>1</v>
      </c>
      <c r="BN1696" s="40">
        <f>BM1696*IF(B1696&gt;=in_marketplace_from,d_hz_recharge*G1696,0)</f>
        <v/>
      </c>
      <c r="BO1696" s="14">
        <f>F1696*BN1696*in_recharge_ticket*in_recharge_comm/12</f>
        <v/>
      </c>
      <c r="BP1696" s="40" t="n">
        <v>1</v>
      </c>
      <c r="BQ1696" s="40">
        <f>BP1696*IF(B1696&gt;=in_marketplace_from,d_hz_bills*G1696,0)</f>
        <v/>
      </c>
      <c r="BR1696" s="14">
        <f>F1696*BQ1696*in_bills_ticket*in_bills_comm/12</f>
        <v/>
      </c>
      <c r="BS1696" s="40" t="n">
        <v>1</v>
      </c>
      <c r="BT1696" s="14">
        <f>F1696*BS1696*IF(B1696&gt;=in_marketplace_from,d_hz_loan_gold*G1696,0)*in_loan_gold_ticket*in_loan_gold_comm</f>
        <v/>
      </c>
      <c r="BU1696" s="40" t="n">
        <v>1</v>
      </c>
      <c r="BV1696" s="14">
        <f>F1696*BU1696*IF(B1696&gt;=in_marketplace_from,d_hz_loan_cd*G1696,0)*in_loan_cd_ticket*in_loan_cd_comm</f>
        <v/>
      </c>
      <c r="BW1696" s="40" t="n">
        <v>1</v>
      </c>
      <c r="BX1696" s="14">
        <f>F1696*BW1696*IF(B1696&gt;=in_marketplace_from,d_hz_loan_vehicle*G1696,0)*in_loan_vehicle_ticket*in_loan_vehicle_comm</f>
        <v/>
      </c>
      <c r="BY1696" s="40" t="n">
        <v>1</v>
      </c>
      <c r="BZ1696" s="11">
        <f>MIN(in_approval_cap,in_loan_home_approval*INDEX('Age profile'!$O$2:$O$61,B1696)*(1+in_approval_growth)^(D1696-1))</f>
        <v/>
      </c>
      <c r="CA1696" s="14">
        <f>F1696*BY1696*IF(B1696&gt;=in_marketplace_from,d_hz_loan_home*G1696,0)*BZ1696*in_loan_home_ticket*in_loan_home_comm</f>
        <v/>
      </c>
      <c r="CB1696" s="40" t="n">
        <v>1</v>
      </c>
      <c r="CC1696" s="11">
        <f>MIN(in_approval_cap,in_loan_lap_approval*INDEX('Age profile'!$O$2:$O$61,B1696)*(1+in_approval_growth)^(D1696-1))</f>
        <v/>
      </c>
      <c r="CD1696" s="14">
        <f>F1696*CB1696*IF(B1696&gt;=in_marketplace_from,d_hz_loan_lap*G1696,0)*CC1696*in_loan_lap_ticket*in_loan_lap_comm</f>
        <v/>
      </c>
      <c r="CE1696" s="14">
        <f>AA1696+AB1696+AC1696+AD1696+AG1696+AJ1696+AM1696+AP1696+AS1696+AU1696+AX1696+BB1696+BE1696+BG1696+BJ1696+BL1696+BO1696+BR1696+BT1696+BV1696+BX1696+CA1696+CD1696</f>
        <v/>
      </c>
    </row>
    <row r="1697">
      <c r="A1697" s="39" t="n">
        <v>45</v>
      </c>
      <c r="B1697" s="39" t="n">
        <v>2</v>
      </c>
      <c r="C1697" s="39">
        <f>A1697+B1697-1</f>
        <v/>
      </c>
      <c r="D1697" s="39">
        <f>INT((C1697-1)/12)+1</f>
        <v/>
      </c>
      <c r="E1697" s="44">
        <f>INDEX(Monthly!$B$2:$B$61,A1697)</f>
        <v/>
      </c>
      <c r="F1697" s="44">
        <f>E1697*INDEX('Age profile'!$B$2:$B$61,B1697)</f>
        <v/>
      </c>
      <c r="G1697" s="45">
        <f>MIN(in_takeup_cap,INDEX('Age profile'!$N$2:$N$61,B1697)*(1+in_takeup_growth)^(D1697-1))</f>
        <v/>
      </c>
      <c r="H1697" s="11">
        <f>MIN(in_approval_cap,in_approved_first*INDEX('Age profile'!$O$2:$O$61,B1697)*(1+in_approval_growth)^(D1697-1))</f>
        <v/>
      </c>
      <c r="I1697" s="45">
        <f>G1697*MIN(in_takeup_cap,INDEX('Age profile'!$O$2:$O$61,B1697)*(1+in_approval_growth)^(D1697-1))</f>
        <v/>
      </c>
      <c r="J1697" s="40">
        <f>(J1696-L1696)*F1697/F1696</f>
        <v/>
      </c>
      <c r="K1697" s="40">
        <f>(K1696-M1696)*F1697/F1696+SUMIFS(O1696:O1696,B1696:B1696,B1697-1-d_T)*F1697</f>
        <v/>
      </c>
      <c r="L1697" s="40">
        <f>IF(B1697&gt;=in_marketplace_from,J1697*d_hz*G1697*in_eligible*H1697,0)</f>
        <v/>
      </c>
      <c r="M1697" s="40">
        <f>IF(B1697&gt;=in_marketplace_from,K1697*d_hz*G1697*in_eligible*in_approved_repeat,0)</f>
        <v/>
      </c>
      <c r="N1697" s="40">
        <f>L1697+M1697</f>
        <v/>
      </c>
      <c r="O1697" s="46">
        <f>N1697/F1697</f>
        <v/>
      </c>
      <c r="P1697" s="40">
        <f>F1697-J1697-K1697</f>
        <v/>
      </c>
      <c r="Q1697" s="40">
        <f>IF(B1697&gt;=in_marketplace_from,(J1697+K1697)*d_hz*G1697,0)</f>
        <v/>
      </c>
      <c r="R1697" s="40">
        <f>SUMIFS(N1696:N1711,B1696:B1711,"&gt;="&amp;(B1697-d_T),B1696:B1711,"&lt;="&amp;(B1697-1))</f>
        <v/>
      </c>
      <c r="S1697" s="46">
        <f>(1-d_u)*S1696+IF(d_T&gt;in_topup_lag,SUMIFS(O1696:O1711,B1696:B1711,B1697-in_topup_lag)-d_udrop*SUMIFS(O1696:O1711,B1696:B1711,B1697-d_T),0)</f>
        <v/>
      </c>
      <c r="T1697" s="40">
        <f>F1697*d_u*S1697</f>
        <v/>
      </c>
      <c r="U1697" s="9">
        <f>L1697*in_ticket+M1697*d_rep_ticket</f>
        <v/>
      </c>
      <c r="V1697" s="9">
        <f>U1697+T1697*d_topup_amt</f>
        <v/>
      </c>
      <c r="W1697" s="40">
        <f>N1697+T1697*d_topup_ratio</f>
        <v/>
      </c>
      <c r="X1697" s="40">
        <f>SUMIFS(W1696:W1711,B1696:B1711,B1697-in_dpd_lag)*d_cured</f>
        <v/>
      </c>
      <c r="Y1697" s="40">
        <f>SUMIFS(W1696:W1711,B1696:B1711,B1697-in_rec_lag)*d_recd</f>
        <v/>
      </c>
      <c r="Z1697" s="40">
        <f>IF(AND(B1697&gt;=in_marketplace_from,B1697&lt;in_marketplace_from+in_card_months),in_card_share/in_card_months*F1697*I1697,IF(AND(B1697&gt;=in_marketplace_from+in_card_months,B1697&lt;in_marketplace_from+2*in_card_months),in_card_share*d_card_rem/in_card_months*F1697*MIN(in_takeup_cap,(1+in_takeup_growth)^(D1697-1))*MIN(in_takeup_cap,(1+in_approval_growth)^(D1697-1)),0))</f>
        <v/>
      </c>
      <c r="AA1697" s="14">
        <f>V1697*in_fee*(1-in_taken_back)</f>
        <v/>
      </c>
      <c r="AB1697" s="14">
        <f>SUMIFS(W1696:W1711,B1696:B1711,B1697-in_dpd_lag)*d_dpd</f>
        <v/>
      </c>
      <c r="AC1697" s="14">
        <f>SUMIFS(W1696:W1711,B1696:B1711,B1697-in_rec_lag)*d_rec</f>
        <v/>
      </c>
      <c r="AD1697" s="14">
        <f>Z1697*in_card_fee</f>
        <v/>
      </c>
      <c r="AE1697" s="40">
        <f>AE1696*(1-IF(B1696&gt;=in_marketplace_from,d_hz_hlth_small*G1696,0))</f>
        <v/>
      </c>
      <c r="AF1697" s="46">
        <f>AE1697*IF(B1697&gt;=in_marketplace_from,d_hz_hlth_small*G1697,0)</f>
        <v/>
      </c>
      <c r="AG1697" s="14">
        <f>F1697*AF1697*in_hlth_small_ticket*in_hlth_small_comm*in_ins_partner_share+F1697*in_hlth_small_ticket*in_hlth_small_renew_comm*in_ins_partner_share*(in_hlth_small_renew^1*SUMIFS(AF1696:AF1711,B1696:B1711,B1697-12)+in_hlth_small_renew^2*SUMIFS(AF1696:AF1711,B1696:B1711,B1697-24)+in_hlth_small_renew^3*SUMIFS(AF1696:AF1711,B1696:B1711,B1697-36)+in_hlth_small_renew^4*SUMIFS(AF1696:AF1711,B1696:B1711,B1697-48))</f>
        <v/>
      </c>
      <c r="AH1697" s="40">
        <f>AH1696*(1-IF(B1696&gt;=in_marketplace_from,d_hz_hlth_family*G1696,0))</f>
        <v/>
      </c>
      <c r="AI1697" s="46">
        <f>AH1697*IF(B1697&gt;=in_marketplace_from,d_hz_hlth_family*G1697,0)</f>
        <v/>
      </c>
      <c r="AJ1697" s="14">
        <f>F1697*AI1697*in_hlth_family_ticket*in_hlth_family_comm*in_ins_partner_share+F1697*in_hlth_family_ticket*in_hlth_family_renew_comm*in_ins_partner_share*(in_hlth_family_renew^1*SUMIFS(AI1696:AI1711,B1696:B1711,B1697-12)+in_hlth_family_renew^2*SUMIFS(AI1696:AI1711,B1696:B1711,B1697-24)+in_hlth_family_renew^3*SUMIFS(AI1696:AI1711,B1696:B1711,B1697-36)+in_hlth_family_renew^4*SUMIFS(AI1696:AI1711,B1696:B1711,B1697-48))</f>
        <v/>
      </c>
      <c r="AK1697" s="40">
        <f>AK1696*(1-IF(B1696&gt;=in_marketplace_from,d_hz_life_term*G1696,0))</f>
        <v/>
      </c>
      <c r="AL1697" s="46">
        <f>AK1697*IF(B1697&gt;=in_marketplace_from,d_hz_life_term*G1697,0)</f>
        <v/>
      </c>
      <c r="AM1697" s="14">
        <f>F1697*AL1697*in_life_term_ticket*in_life_term_comm*in_ins_partner_share+F1697*in_life_term_ticket*in_life_term_renew_comm*in_ins_partner_share*(in_life_term_renew^1*SUMIFS(AL1696:AL1711,B1696:B1711,B1697-12)+in_life_term_renew^2*SUMIFS(AL1696:AL1711,B1696:B1711,B1697-24)+in_life_term_renew^3*SUMIFS(AL1696:AL1711,B1696:B1711,B1697-36)+in_life_term_renew^4*SUMIFS(AL1696:AL1711,B1696:B1711,B1697-48))</f>
        <v/>
      </c>
      <c r="AN1697" s="40">
        <f>AN1696*(1-IF(B1696&gt;=in_marketplace_from,d_hz_accident*G1696,0))</f>
        <v/>
      </c>
      <c r="AO1697" s="46">
        <f>AN1697*IF(B1697&gt;=in_marketplace_from,d_hz_accident*G1697,0)</f>
        <v/>
      </c>
      <c r="AP1697" s="14">
        <f>F1697*AO1697*in_accident_ticket*in_accident_comm*in_ins_partner_share+F1697*in_accident_ticket*in_accident_renew_comm*in_ins_partner_share*(in_accident_renew^1*SUMIFS(AO1696:AO1711,B1696:B1711,B1697-12)+in_accident_renew^2*SUMIFS(AO1696:AO1711,B1696:B1711,B1697-24)+in_accident_renew^3*SUMIFS(AO1696:AO1711,B1696:B1711,B1697-36)+in_accident_renew^4*SUMIFS(AO1696:AO1711,B1696:B1711,B1697-48))</f>
        <v/>
      </c>
      <c r="AQ1697" s="40">
        <f>AQ1696*(1-IF(B1696&gt;=in_marketplace_from,d_hz_two_wheeler*G1696,0))</f>
        <v/>
      </c>
      <c r="AR1697" s="46">
        <f>AQ1697*IF(B1697&gt;=in_marketplace_from,d_hz_two_wheeler*G1697,0)</f>
        <v/>
      </c>
      <c r="AS1697" s="14">
        <f>F1697*AR1697*in_two_wheeler_ticket*in_two_wheeler_comm*in_ins_partner_share+F1697*in_two_wheeler_ticket*in_two_wheeler_comm*in_ins_partner_share*(in_two_wheeler_renew^1*SUMIFS(AR1696:AR1711,B1696:B1711,B1697-12)+in_two_wheeler_renew^2*SUMIFS(AR1696:AR1711,B1696:B1711,B1697-24)+in_two_wheeler_renew^3*SUMIFS(AR1696:AR1711,B1696:B1711,B1697-36)+in_two_wheeler_renew^4*SUMIFS(AR1696:AR1711,B1696:B1711,B1697-48))</f>
        <v/>
      </c>
      <c r="AT1697" s="40">
        <f>AT1696*(1-IF(B1696&gt;=in_marketplace_from,d_hz_device*G1696,0))</f>
        <v/>
      </c>
      <c r="AU1697" s="14">
        <f>F1697*AT1697*IF(B1697&gt;=in_marketplace_from,d_hz_device*G1697,0)*in_device_ticket*in_device_comm*in_ins_partner_share</f>
        <v/>
      </c>
      <c r="AV1697" s="40">
        <f>AV1696*(1-IF(B1696&gt;=in_marketplace_from,d_hz_shop*G1696,0))</f>
        <v/>
      </c>
      <c r="AW1697" s="46">
        <f>AV1697*IF(B1697&gt;=in_marketplace_from,d_hz_shop*G1697,0)</f>
        <v/>
      </c>
      <c r="AX1697" s="14">
        <f>F1697*AW1697*in_shop_ticket*in_shop_comm*in_ins_partner_share+F1697*in_shop_ticket*in_shop_renew_comm*in_ins_partner_share*(in_shop_renew^1*SUMIFS(AW1696:AW1711,B1696:B1711,B1697-12)+in_shop_renew^2*SUMIFS(AW1696:AW1711,B1696:B1711,B1697-24)+in_shop_renew^3*SUMIFS(AW1696:AW1711,B1696:B1711,B1697-36)+in_shop_renew^4*SUMIFS(AW1696:AW1711,B1696:B1711,B1697-48))</f>
        <v/>
      </c>
      <c r="AY1697" s="40">
        <f>AY1696*(1-IF(B1696&gt;=in_marketplace_from,d_hz_sip*G1696,0))</f>
        <v/>
      </c>
      <c r="AZ1697" s="40">
        <f>AZ1696*d_rho_sip+AY1697*IF(B1697&gt;=in_marketplace_from,d_hz_sip*G1697,0)</f>
        <v/>
      </c>
      <c r="BA1697" s="40">
        <f>d_rho_sip*(BA1696+AZ1696)</f>
        <v/>
      </c>
      <c r="BB1697" s="14">
        <f>F1697*in_sip_ticket*(BA1697+0.5*AZ1697)*in_sip_comm/12</f>
        <v/>
      </c>
      <c r="BC1697" s="40">
        <f>BC1696*(1-IF(B1696&gt;=in_marketplace_from,d_hz_choti*G1696,0))</f>
        <v/>
      </c>
      <c r="BD1697" s="46">
        <f>BC1697*IF(B1697&gt;=in_marketplace_from,d_hz_choti*G1697,0)</f>
        <v/>
      </c>
      <c r="BE1697" s="14">
        <f>F1697*SUMIFS(BD1696:BD1711,B1696:B1711,B1697-in_choti_months)*in_choti_renew*in_choti_ticket</f>
        <v/>
      </c>
      <c r="BF1697" s="40">
        <f>BF1696*(1-IF(B1696&gt;=in_marketplace_from,d_hz_nps*G1696,0))</f>
        <v/>
      </c>
      <c r="BG1697" s="14">
        <f>F1697*BF1697*IF(B1697&gt;=in_marketplace_from,d_hz_nps*G1697,0)*in_nps_ticket*in_nps_comm</f>
        <v/>
      </c>
      <c r="BH1697" s="40">
        <f>BH1696*(1-IF(B1696&gt;=in_marketplace_from,d_hz_gold*G1696,0))</f>
        <v/>
      </c>
      <c r="BI1697" s="40">
        <f>BI1696*d_rho_gold+BH1697*IF(B1697&gt;=in_marketplace_from,d_hz_gold*G1697,0)</f>
        <v/>
      </c>
      <c r="BJ1697" s="14">
        <f>F1697*BI1697*in_gold_ticket*in_gold_comm</f>
        <v/>
      </c>
      <c r="BK1697" s="40">
        <f>BK1696*(1-IF(B1696&gt;=in_marketplace_from,d_hz_fd*G1696,0))</f>
        <v/>
      </c>
      <c r="BL1697" s="14">
        <f>F1697*BK1697*IF(B1697&gt;=in_marketplace_from,d_hz_fd*G1697,0)*in_fd_ticket*in_fd_comm</f>
        <v/>
      </c>
      <c r="BM1697" s="40">
        <f>BM1696*(1-IF(B1696&gt;=in_marketplace_from,d_hz_recharge*G1696,0))</f>
        <v/>
      </c>
      <c r="BN1697" s="40">
        <f>BN1696*d_rho_recharge+BM1697*IF(B1697&gt;=in_marketplace_from,d_hz_recharge*G1697,0)</f>
        <v/>
      </c>
      <c r="BO1697" s="14">
        <f>F1697*BN1697*in_recharge_ticket*in_recharge_comm/12</f>
        <v/>
      </c>
      <c r="BP1697" s="40">
        <f>BP1696*(1-IF(B1696&gt;=in_marketplace_from,d_hz_bills*G1696,0))</f>
        <v/>
      </c>
      <c r="BQ1697" s="40">
        <f>BQ1696*d_rho_bills+BP1697*IF(B1697&gt;=in_marketplace_from,d_hz_bills*G1697,0)</f>
        <v/>
      </c>
      <c r="BR1697" s="14">
        <f>F1697*BQ1697*in_bills_ticket*in_bills_comm/12</f>
        <v/>
      </c>
      <c r="BS1697" s="40">
        <f>BS1696*(1-IF(B1696&gt;=in_marketplace_from,d_hz_loan_gold*G1696,0))</f>
        <v/>
      </c>
      <c r="BT1697" s="14">
        <f>F1697*BS1697*IF(B1697&gt;=in_marketplace_from,d_hz_loan_gold*G1697,0)*in_loan_gold_ticket*in_loan_gold_comm</f>
        <v/>
      </c>
      <c r="BU1697" s="40">
        <f>BU1696*(1-IF(B1696&gt;=in_marketplace_from,d_hz_loan_cd*G1696,0))</f>
        <v/>
      </c>
      <c r="BV1697" s="14">
        <f>F1697*BU1697*IF(B1697&gt;=in_marketplace_from,d_hz_loan_cd*G1697,0)*in_loan_cd_ticket*in_loan_cd_comm</f>
        <v/>
      </c>
      <c r="BW1697" s="40">
        <f>BW1696*(1-IF(B1696&gt;=in_marketplace_from,d_hz_loan_vehicle*G1696,0))</f>
        <v/>
      </c>
      <c r="BX1697" s="14">
        <f>F1697*BW1697*IF(B1697&gt;=in_marketplace_from,d_hz_loan_vehicle*G1697,0)*in_loan_vehicle_ticket*in_loan_vehicle_comm</f>
        <v/>
      </c>
      <c r="BY1697" s="40">
        <f>BY1696*(1-IF(B1696&gt;=in_marketplace_from,d_hz_loan_home*G1696,0)*BZ1696)</f>
        <v/>
      </c>
      <c r="BZ1697" s="11">
        <f>MIN(in_approval_cap,in_loan_home_approval*INDEX('Age profile'!$O$2:$O$61,B1697)*(1+in_approval_growth)^(D1697-1))</f>
        <v/>
      </c>
      <c r="CA1697" s="14">
        <f>F1697*BY1697*IF(B1697&gt;=in_marketplace_from,d_hz_loan_home*G1697,0)*BZ1697*in_loan_home_ticket*in_loan_home_comm</f>
        <v/>
      </c>
      <c r="CB1697" s="40">
        <f>CB1696*(1-IF(B1696&gt;=in_marketplace_from,d_hz_loan_lap*G1696,0)*CC1696)</f>
        <v/>
      </c>
      <c r="CC1697" s="11">
        <f>MIN(in_approval_cap,in_loan_lap_approval*INDEX('Age profile'!$O$2:$O$61,B1697)*(1+in_approval_growth)^(D1697-1))</f>
        <v/>
      </c>
      <c r="CD1697" s="14">
        <f>F1697*CB1697*IF(B1697&gt;=in_marketplace_from,d_hz_loan_lap*G1697,0)*CC1697*in_loan_lap_ticket*in_loan_lap_comm</f>
        <v/>
      </c>
      <c r="CE1697" s="14">
        <f>AA1697+AB1697+AC1697+AD1697+AG1697+AJ1697+AM1697+AP1697+AS1697+AU1697+AX1697+BB1697+BE1697+BG1697+BJ1697+BL1697+BO1697+BR1697+BT1697+BV1697+BX1697+CA1697+CD1697</f>
        <v/>
      </c>
    </row>
    <row r="1698">
      <c r="A1698" s="39" t="n">
        <v>45</v>
      </c>
      <c r="B1698" s="39" t="n">
        <v>3</v>
      </c>
      <c r="C1698" s="39">
        <f>A1698+B1698-1</f>
        <v/>
      </c>
      <c r="D1698" s="39">
        <f>INT((C1698-1)/12)+1</f>
        <v/>
      </c>
      <c r="E1698" s="44">
        <f>INDEX(Monthly!$B$2:$B$61,A1698)</f>
        <v/>
      </c>
      <c r="F1698" s="44">
        <f>E1698*INDEX('Age profile'!$B$2:$B$61,B1698)</f>
        <v/>
      </c>
      <c r="G1698" s="45">
        <f>MIN(in_takeup_cap,INDEX('Age profile'!$N$2:$N$61,B1698)*(1+in_takeup_growth)^(D1698-1))</f>
        <v/>
      </c>
      <c r="H1698" s="11">
        <f>MIN(in_approval_cap,in_approved_first*INDEX('Age profile'!$O$2:$O$61,B1698)*(1+in_approval_growth)^(D1698-1))</f>
        <v/>
      </c>
      <c r="I1698" s="45">
        <f>G1698*MIN(in_takeup_cap,INDEX('Age profile'!$O$2:$O$61,B1698)*(1+in_approval_growth)^(D1698-1))</f>
        <v/>
      </c>
      <c r="J1698" s="40">
        <f>(J1697-L1697)*F1698/F1697</f>
        <v/>
      </c>
      <c r="K1698" s="40">
        <f>(K1697-M1697)*F1698/F1697+SUMIFS(O1696:O1697,B1696:B1697,B1698-1-d_T)*F1698</f>
        <v/>
      </c>
      <c r="L1698" s="40">
        <f>IF(B1698&gt;=in_marketplace_from,J1698*d_hz*G1698*in_eligible*H1698,0)</f>
        <v/>
      </c>
      <c r="M1698" s="40">
        <f>IF(B1698&gt;=in_marketplace_from,K1698*d_hz*G1698*in_eligible*in_approved_repeat,0)</f>
        <v/>
      </c>
      <c r="N1698" s="40">
        <f>L1698+M1698</f>
        <v/>
      </c>
      <c r="O1698" s="46">
        <f>N1698/F1698</f>
        <v/>
      </c>
      <c r="P1698" s="40">
        <f>F1698-J1698-K1698</f>
        <v/>
      </c>
      <c r="Q1698" s="40">
        <f>IF(B1698&gt;=in_marketplace_from,(J1698+K1698)*d_hz*G1698,0)</f>
        <v/>
      </c>
      <c r="R1698" s="40">
        <f>SUMIFS(N1696:N1711,B1696:B1711,"&gt;="&amp;(B1698-d_T),B1696:B1711,"&lt;="&amp;(B1698-1))</f>
        <v/>
      </c>
      <c r="S1698" s="46">
        <f>(1-d_u)*S1697+IF(d_T&gt;in_topup_lag,SUMIFS(O1696:O1711,B1696:B1711,B1698-in_topup_lag)-d_udrop*SUMIFS(O1696:O1711,B1696:B1711,B1698-d_T),0)</f>
        <v/>
      </c>
      <c r="T1698" s="40">
        <f>F1698*d_u*S1698</f>
        <v/>
      </c>
      <c r="U1698" s="9">
        <f>L1698*in_ticket+M1698*d_rep_ticket</f>
        <v/>
      </c>
      <c r="V1698" s="9">
        <f>U1698+T1698*d_topup_amt</f>
        <v/>
      </c>
      <c r="W1698" s="40">
        <f>N1698+T1698*d_topup_ratio</f>
        <v/>
      </c>
      <c r="X1698" s="40">
        <f>SUMIFS(W1696:W1711,B1696:B1711,B1698-in_dpd_lag)*d_cured</f>
        <v/>
      </c>
      <c r="Y1698" s="40">
        <f>SUMIFS(W1696:W1711,B1696:B1711,B1698-in_rec_lag)*d_recd</f>
        <v/>
      </c>
      <c r="Z1698" s="40">
        <f>IF(AND(B1698&gt;=in_marketplace_from,B1698&lt;in_marketplace_from+in_card_months),in_card_share/in_card_months*F1698*I1698,IF(AND(B1698&gt;=in_marketplace_from+in_card_months,B1698&lt;in_marketplace_from+2*in_card_months),in_card_share*d_card_rem/in_card_months*F1698*MIN(in_takeup_cap,(1+in_takeup_growth)^(D1698-1))*MIN(in_takeup_cap,(1+in_approval_growth)^(D1698-1)),0))</f>
        <v/>
      </c>
      <c r="AA1698" s="14">
        <f>V1698*in_fee*(1-in_taken_back)</f>
        <v/>
      </c>
      <c r="AB1698" s="14">
        <f>SUMIFS(W1696:W1711,B1696:B1711,B1698-in_dpd_lag)*d_dpd</f>
        <v/>
      </c>
      <c r="AC1698" s="14">
        <f>SUMIFS(W1696:W1711,B1696:B1711,B1698-in_rec_lag)*d_rec</f>
        <v/>
      </c>
      <c r="AD1698" s="14">
        <f>Z1698*in_card_fee</f>
        <v/>
      </c>
      <c r="AE1698" s="40">
        <f>AE1697*(1-IF(B1697&gt;=in_marketplace_from,d_hz_hlth_small*G1697,0))</f>
        <v/>
      </c>
      <c r="AF1698" s="46">
        <f>AE1698*IF(B1698&gt;=in_marketplace_from,d_hz_hlth_small*G1698,0)</f>
        <v/>
      </c>
      <c r="AG1698" s="14">
        <f>F1698*AF1698*in_hlth_small_ticket*in_hlth_small_comm*in_ins_partner_share+F1698*in_hlth_small_ticket*in_hlth_small_renew_comm*in_ins_partner_share*(in_hlth_small_renew^1*SUMIFS(AF1696:AF1711,B1696:B1711,B1698-12)+in_hlth_small_renew^2*SUMIFS(AF1696:AF1711,B1696:B1711,B1698-24)+in_hlth_small_renew^3*SUMIFS(AF1696:AF1711,B1696:B1711,B1698-36)+in_hlth_small_renew^4*SUMIFS(AF1696:AF1711,B1696:B1711,B1698-48))</f>
        <v/>
      </c>
      <c r="AH1698" s="40">
        <f>AH1697*(1-IF(B1697&gt;=in_marketplace_from,d_hz_hlth_family*G1697,0))</f>
        <v/>
      </c>
      <c r="AI1698" s="46">
        <f>AH1698*IF(B1698&gt;=in_marketplace_from,d_hz_hlth_family*G1698,0)</f>
        <v/>
      </c>
      <c r="AJ1698" s="14">
        <f>F1698*AI1698*in_hlth_family_ticket*in_hlth_family_comm*in_ins_partner_share+F1698*in_hlth_family_ticket*in_hlth_family_renew_comm*in_ins_partner_share*(in_hlth_family_renew^1*SUMIFS(AI1696:AI1711,B1696:B1711,B1698-12)+in_hlth_family_renew^2*SUMIFS(AI1696:AI1711,B1696:B1711,B1698-24)+in_hlth_family_renew^3*SUMIFS(AI1696:AI1711,B1696:B1711,B1698-36)+in_hlth_family_renew^4*SUMIFS(AI1696:AI1711,B1696:B1711,B1698-48))</f>
        <v/>
      </c>
      <c r="AK1698" s="40">
        <f>AK1697*(1-IF(B1697&gt;=in_marketplace_from,d_hz_life_term*G1697,0))</f>
        <v/>
      </c>
      <c r="AL1698" s="46">
        <f>AK1698*IF(B1698&gt;=in_marketplace_from,d_hz_life_term*G1698,0)</f>
        <v/>
      </c>
      <c r="AM1698" s="14">
        <f>F1698*AL1698*in_life_term_ticket*in_life_term_comm*in_ins_partner_share+F1698*in_life_term_ticket*in_life_term_renew_comm*in_ins_partner_share*(in_life_term_renew^1*SUMIFS(AL1696:AL1711,B1696:B1711,B1698-12)+in_life_term_renew^2*SUMIFS(AL1696:AL1711,B1696:B1711,B1698-24)+in_life_term_renew^3*SUMIFS(AL1696:AL1711,B1696:B1711,B1698-36)+in_life_term_renew^4*SUMIFS(AL1696:AL1711,B1696:B1711,B1698-48))</f>
        <v/>
      </c>
      <c r="AN1698" s="40">
        <f>AN1697*(1-IF(B1697&gt;=in_marketplace_from,d_hz_accident*G1697,0))</f>
        <v/>
      </c>
      <c r="AO1698" s="46">
        <f>AN1698*IF(B1698&gt;=in_marketplace_from,d_hz_accident*G1698,0)</f>
        <v/>
      </c>
      <c r="AP1698" s="14">
        <f>F1698*AO1698*in_accident_ticket*in_accident_comm*in_ins_partner_share+F1698*in_accident_ticket*in_accident_renew_comm*in_ins_partner_share*(in_accident_renew^1*SUMIFS(AO1696:AO1711,B1696:B1711,B1698-12)+in_accident_renew^2*SUMIFS(AO1696:AO1711,B1696:B1711,B1698-24)+in_accident_renew^3*SUMIFS(AO1696:AO1711,B1696:B1711,B1698-36)+in_accident_renew^4*SUMIFS(AO1696:AO1711,B1696:B1711,B1698-48))</f>
        <v/>
      </c>
      <c r="AQ1698" s="40">
        <f>AQ1697*(1-IF(B1697&gt;=in_marketplace_from,d_hz_two_wheeler*G1697,0))</f>
        <v/>
      </c>
      <c r="AR1698" s="46">
        <f>AQ1698*IF(B1698&gt;=in_marketplace_from,d_hz_two_wheeler*G1698,0)</f>
        <v/>
      </c>
      <c r="AS1698" s="14">
        <f>F1698*AR1698*in_two_wheeler_ticket*in_two_wheeler_comm*in_ins_partner_share+F1698*in_two_wheeler_ticket*in_two_wheeler_comm*in_ins_partner_share*(in_two_wheeler_renew^1*SUMIFS(AR1696:AR1711,B1696:B1711,B1698-12)+in_two_wheeler_renew^2*SUMIFS(AR1696:AR1711,B1696:B1711,B1698-24)+in_two_wheeler_renew^3*SUMIFS(AR1696:AR1711,B1696:B1711,B1698-36)+in_two_wheeler_renew^4*SUMIFS(AR1696:AR1711,B1696:B1711,B1698-48))</f>
        <v/>
      </c>
      <c r="AT1698" s="40">
        <f>AT1697*(1-IF(B1697&gt;=in_marketplace_from,d_hz_device*G1697,0))</f>
        <v/>
      </c>
      <c r="AU1698" s="14">
        <f>F1698*AT1698*IF(B1698&gt;=in_marketplace_from,d_hz_device*G1698,0)*in_device_ticket*in_device_comm*in_ins_partner_share</f>
        <v/>
      </c>
      <c r="AV1698" s="40">
        <f>AV1697*(1-IF(B1697&gt;=in_marketplace_from,d_hz_shop*G1697,0))</f>
        <v/>
      </c>
      <c r="AW1698" s="46">
        <f>AV1698*IF(B1698&gt;=in_marketplace_from,d_hz_shop*G1698,0)</f>
        <v/>
      </c>
      <c r="AX1698" s="14">
        <f>F1698*AW1698*in_shop_ticket*in_shop_comm*in_ins_partner_share+F1698*in_shop_ticket*in_shop_renew_comm*in_ins_partner_share*(in_shop_renew^1*SUMIFS(AW1696:AW1711,B1696:B1711,B1698-12)+in_shop_renew^2*SUMIFS(AW1696:AW1711,B1696:B1711,B1698-24)+in_shop_renew^3*SUMIFS(AW1696:AW1711,B1696:B1711,B1698-36)+in_shop_renew^4*SUMIFS(AW1696:AW1711,B1696:B1711,B1698-48))</f>
        <v/>
      </c>
      <c r="AY1698" s="40">
        <f>AY1697*(1-IF(B1697&gt;=in_marketplace_from,d_hz_sip*G1697,0))</f>
        <v/>
      </c>
      <c r="AZ1698" s="40">
        <f>AZ1697*d_rho_sip+AY1698*IF(B1698&gt;=in_marketplace_from,d_hz_sip*G1698,0)</f>
        <v/>
      </c>
      <c r="BA1698" s="40">
        <f>d_rho_sip*(BA1697+AZ1697)</f>
        <v/>
      </c>
      <c r="BB1698" s="14">
        <f>F1698*in_sip_ticket*(BA1698+0.5*AZ1698)*in_sip_comm/12</f>
        <v/>
      </c>
      <c r="BC1698" s="40">
        <f>BC1697*(1-IF(B1697&gt;=in_marketplace_from,d_hz_choti*G1697,0))</f>
        <v/>
      </c>
      <c r="BD1698" s="46">
        <f>BC1698*IF(B1698&gt;=in_marketplace_from,d_hz_choti*G1698,0)</f>
        <v/>
      </c>
      <c r="BE1698" s="14">
        <f>F1698*SUMIFS(BD1696:BD1711,B1696:B1711,B1698-in_choti_months)*in_choti_renew*in_choti_ticket</f>
        <v/>
      </c>
      <c r="BF1698" s="40">
        <f>BF1697*(1-IF(B1697&gt;=in_marketplace_from,d_hz_nps*G1697,0))</f>
        <v/>
      </c>
      <c r="BG1698" s="14">
        <f>F1698*BF1698*IF(B1698&gt;=in_marketplace_from,d_hz_nps*G1698,0)*in_nps_ticket*in_nps_comm</f>
        <v/>
      </c>
      <c r="BH1698" s="40">
        <f>BH1697*(1-IF(B1697&gt;=in_marketplace_from,d_hz_gold*G1697,0))</f>
        <v/>
      </c>
      <c r="BI1698" s="40">
        <f>BI1697*d_rho_gold+BH1698*IF(B1698&gt;=in_marketplace_from,d_hz_gold*G1698,0)</f>
        <v/>
      </c>
      <c r="BJ1698" s="14">
        <f>F1698*BI1698*in_gold_ticket*in_gold_comm</f>
        <v/>
      </c>
      <c r="BK1698" s="40">
        <f>BK1697*(1-IF(B1697&gt;=in_marketplace_from,d_hz_fd*G1697,0))</f>
        <v/>
      </c>
      <c r="BL1698" s="14">
        <f>F1698*BK1698*IF(B1698&gt;=in_marketplace_from,d_hz_fd*G1698,0)*in_fd_ticket*in_fd_comm</f>
        <v/>
      </c>
      <c r="BM1698" s="40">
        <f>BM1697*(1-IF(B1697&gt;=in_marketplace_from,d_hz_recharge*G1697,0))</f>
        <v/>
      </c>
      <c r="BN1698" s="40">
        <f>BN1697*d_rho_recharge+BM1698*IF(B1698&gt;=in_marketplace_from,d_hz_recharge*G1698,0)</f>
        <v/>
      </c>
      <c r="BO1698" s="14">
        <f>F1698*BN1698*in_recharge_ticket*in_recharge_comm/12</f>
        <v/>
      </c>
      <c r="BP1698" s="40">
        <f>BP1697*(1-IF(B1697&gt;=in_marketplace_from,d_hz_bills*G1697,0))</f>
        <v/>
      </c>
      <c r="BQ1698" s="40">
        <f>BQ1697*d_rho_bills+BP1698*IF(B1698&gt;=in_marketplace_from,d_hz_bills*G1698,0)</f>
        <v/>
      </c>
      <c r="BR1698" s="14">
        <f>F1698*BQ1698*in_bills_ticket*in_bills_comm/12</f>
        <v/>
      </c>
      <c r="BS1698" s="40">
        <f>BS1697*(1-IF(B1697&gt;=in_marketplace_from,d_hz_loan_gold*G1697,0))</f>
        <v/>
      </c>
      <c r="BT1698" s="14">
        <f>F1698*BS1698*IF(B1698&gt;=in_marketplace_from,d_hz_loan_gold*G1698,0)*in_loan_gold_ticket*in_loan_gold_comm</f>
        <v/>
      </c>
      <c r="BU1698" s="40">
        <f>BU1697*(1-IF(B1697&gt;=in_marketplace_from,d_hz_loan_cd*G1697,0))</f>
        <v/>
      </c>
      <c r="BV1698" s="14">
        <f>F1698*BU1698*IF(B1698&gt;=in_marketplace_from,d_hz_loan_cd*G1698,0)*in_loan_cd_ticket*in_loan_cd_comm</f>
        <v/>
      </c>
      <c r="BW1698" s="40">
        <f>BW1697*(1-IF(B1697&gt;=in_marketplace_from,d_hz_loan_vehicle*G1697,0))</f>
        <v/>
      </c>
      <c r="BX1698" s="14">
        <f>F1698*BW1698*IF(B1698&gt;=in_marketplace_from,d_hz_loan_vehicle*G1698,0)*in_loan_vehicle_ticket*in_loan_vehicle_comm</f>
        <v/>
      </c>
      <c r="BY1698" s="40">
        <f>BY1697*(1-IF(B1697&gt;=in_marketplace_from,d_hz_loan_home*G1697,0)*BZ1697)</f>
        <v/>
      </c>
      <c r="BZ1698" s="11">
        <f>MIN(in_approval_cap,in_loan_home_approval*INDEX('Age profile'!$O$2:$O$61,B1698)*(1+in_approval_growth)^(D1698-1))</f>
        <v/>
      </c>
      <c r="CA1698" s="14">
        <f>F1698*BY1698*IF(B1698&gt;=in_marketplace_from,d_hz_loan_home*G1698,0)*BZ1698*in_loan_home_ticket*in_loan_home_comm</f>
        <v/>
      </c>
      <c r="CB1698" s="40">
        <f>CB1697*(1-IF(B1697&gt;=in_marketplace_from,d_hz_loan_lap*G1697,0)*CC1697)</f>
        <v/>
      </c>
      <c r="CC1698" s="11">
        <f>MIN(in_approval_cap,in_loan_lap_approval*INDEX('Age profile'!$O$2:$O$61,B1698)*(1+in_approval_growth)^(D1698-1))</f>
        <v/>
      </c>
      <c r="CD1698" s="14">
        <f>F1698*CB1698*IF(B1698&gt;=in_marketplace_from,d_hz_loan_lap*G1698,0)*CC1698*in_loan_lap_ticket*in_loan_lap_comm</f>
        <v/>
      </c>
      <c r="CE1698" s="14">
        <f>AA1698+AB1698+AC1698+AD1698+AG1698+AJ1698+AM1698+AP1698+AS1698+AU1698+AX1698+BB1698+BE1698+BG1698+BJ1698+BL1698+BO1698+BR1698+BT1698+BV1698+BX1698+CA1698+CD1698</f>
        <v/>
      </c>
    </row>
    <row r="1699">
      <c r="A1699" s="39" t="n">
        <v>45</v>
      </c>
      <c r="B1699" s="39" t="n">
        <v>4</v>
      </c>
      <c r="C1699" s="39">
        <f>A1699+B1699-1</f>
        <v/>
      </c>
      <c r="D1699" s="39">
        <f>INT((C1699-1)/12)+1</f>
        <v/>
      </c>
      <c r="E1699" s="44">
        <f>INDEX(Monthly!$B$2:$B$61,A1699)</f>
        <v/>
      </c>
      <c r="F1699" s="44">
        <f>E1699*INDEX('Age profile'!$B$2:$B$61,B1699)</f>
        <v/>
      </c>
      <c r="G1699" s="45">
        <f>MIN(in_takeup_cap,INDEX('Age profile'!$N$2:$N$61,B1699)*(1+in_takeup_growth)^(D1699-1))</f>
        <v/>
      </c>
      <c r="H1699" s="11">
        <f>MIN(in_approval_cap,in_approved_first*INDEX('Age profile'!$O$2:$O$61,B1699)*(1+in_approval_growth)^(D1699-1))</f>
        <v/>
      </c>
      <c r="I1699" s="45">
        <f>G1699*MIN(in_takeup_cap,INDEX('Age profile'!$O$2:$O$61,B1699)*(1+in_approval_growth)^(D1699-1))</f>
        <v/>
      </c>
      <c r="J1699" s="40">
        <f>(J1698-L1698)*F1699/F1698</f>
        <v/>
      </c>
      <c r="K1699" s="40">
        <f>(K1698-M1698)*F1699/F1698+SUMIFS(O1696:O1698,B1696:B1698,B1699-1-d_T)*F1699</f>
        <v/>
      </c>
      <c r="L1699" s="40">
        <f>IF(B1699&gt;=in_marketplace_from,J1699*d_hz*G1699*in_eligible*H1699,0)</f>
        <v/>
      </c>
      <c r="M1699" s="40">
        <f>IF(B1699&gt;=in_marketplace_from,K1699*d_hz*G1699*in_eligible*in_approved_repeat,0)</f>
        <v/>
      </c>
      <c r="N1699" s="40">
        <f>L1699+M1699</f>
        <v/>
      </c>
      <c r="O1699" s="46">
        <f>N1699/F1699</f>
        <v/>
      </c>
      <c r="P1699" s="40">
        <f>F1699-J1699-K1699</f>
        <v/>
      </c>
      <c r="Q1699" s="40">
        <f>IF(B1699&gt;=in_marketplace_from,(J1699+K1699)*d_hz*G1699,0)</f>
        <v/>
      </c>
      <c r="R1699" s="40">
        <f>SUMIFS(N1696:N1711,B1696:B1711,"&gt;="&amp;(B1699-d_T),B1696:B1711,"&lt;="&amp;(B1699-1))</f>
        <v/>
      </c>
      <c r="S1699" s="46">
        <f>(1-d_u)*S1698+IF(d_T&gt;in_topup_lag,SUMIFS(O1696:O1711,B1696:B1711,B1699-in_topup_lag)-d_udrop*SUMIFS(O1696:O1711,B1696:B1711,B1699-d_T),0)</f>
        <v/>
      </c>
      <c r="T1699" s="40">
        <f>F1699*d_u*S1699</f>
        <v/>
      </c>
      <c r="U1699" s="9">
        <f>L1699*in_ticket+M1699*d_rep_ticket</f>
        <v/>
      </c>
      <c r="V1699" s="9">
        <f>U1699+T1699*d_topup_amt</f>
        <v/>
      </c>
      <c r="W1699" s="40">
        <f>N1699+T1699*d_topup_ratio</f>
        <v/>
      </c>
      <c r="X1699" s="40">
        <f>SUMIFS(W1696:W1711,B1696:B1711,B1699-in_dpd_lag)*d_cured</f>
        <v/>
      </c>
      <c r="Y1699" s="40">
        <f>SUMIFS(W1696:W1711,B1696:B1711,B1699-in_rec_lag)*d_recd</f>
        <v/>
      </c>
      <c r="Z1699" s="40">
        <f>IF(AND(B1699&gt;=in_marketplace_from,B1699&lt;in_marketplace_from+in_card_months),in_card_share/in_card_months*F1699*I1699,IF(AND(B1699&gt;=in_marketplace_from+in_card_months,B1699&lt;in_marketplace_from+2*in_card_months),in_card_share*d_card_rem/in_card_months*F1699*MIN(in_takeup_cap,(1+in_takeup_growth)^(D1699-1))*MIN(in_takeup_cap,(1+in_approval_growth)^(D1699-1)),0))</f>
        <v/>
      </c>
      <c r="AA1699" s="14">
        <f>V1699*in_fee*(1-in_taken_back)</f>
        <v/>
      </c>
      <c r="AB1699" s="14">
        <f>SUMIFS(W1696:W1711,B1696:B1711,B1699-in_dpd_lag)*d_dpd</f>
        <v/>
      </c>
      <c r="AC1699" s="14">
        <f>SUMIFS(W1696:W1711,B1696:B1711,B1699-in_rec_lag)*d_rec</f>
        <v/>
      </c>
      <c r="AD1699" s="14">
        <f>Z1699*in_card_fee</f>
        <v/>
      </c>
      <c r="AE1699" s="40">
        <f>AE1698*(1-IF(B1698&gt;=in_marketplace_from,d_hz_hlth_small*G1698,0))</f>
        <v/>
      </c>
      <c r="AF1699" s="46">
        <f>AE1699*IF(B1699&gt;=in_marketplace_from,d_hz_hlth_small*G1699,0)</f>
        <v/>
      </c>
      <c r="AG1699" s="14">
        <f>F1699*AF1699*in_hlth_small_ticket*in_hlth_small_comm*in_ins_partner_share+F1699*in_hlth_small_ticket*in_hlth_small_renew_comm*in_ins_partner_share*(in_hlth_small_renew^1*SUMIFS(AF1696:AF1711,B1696:B1711,B1699-12)+in_hlth_small_renew^2*SUMIFS(AF1696:AF1711,B1696:B1711,B1699-24)+in_hlth_small_renew^3*SUMIFS(AF1696:AF1711,B1696:B1711,B1699-36)+in_hlth_small_renew^4*SUMIFS(AF1696:AF1711,B1696:B1711,B1699-48))</f>
        <v/>
      </c>
      <c r="AH1699" s="40">
        <f>AH1698*(1-IF(B1698&gt;=in_marketplace_from,d_hz_hlth_family*G1698,0))</f>
        <v/>
      </c>
      <c r="AI1699" s="46">
        <f>AH1699*IF(B1699&gt;=in_marketplace_from,d_hz_hlth_family*G1699,0)</f>
        <v/>
      </c>
      <c r="AJ1699" s="14">
        <f>F1699*AI1699*in_hlth_family_ticket*in_hlth_family_comm*in_ins_partner_share+F1699*in_hlth_family_ticket*in_hlth_family_renew_comm*in_ins_partner_share*(in_hlth_family_renew^1*SUMIFS(AI1696:AI1711,B1696:B1711,B1699-12)+in_hlth_family_renew^2*SUMIFS(AI1696:AI1711,B1696:B1711,B1699-24)+in_hlth_family_renew^3*SUMIFS(AI1696:AI1711,B1696:B1711,B1699-36)+in_hlth_family_renew^4*SUMIFS(AI1696:AI1711,B1696:B1711,B1699-48))</f>
        <v/>
      </c>
      <c r="AK1699" s="40">
        <f>AK1698*(1-IF(B1698&gt;=in_marketplace_from,d_hz_life_term*G1698,0))</f>
        <v/>
      </c>
      <c r="AL1699" s="46">
        <f>AK1699*IF(B1699&gt;=in_marketplace_from,d_hz_life_term*G1699,0)</f>
        <v/>
      </c>
      <c r="AM1699" s="14">
        <f>F1699*AL1699*in_life_term_ticket*in_life_term_comm*in_ins_partner_share+F1699*in_life_term_ticket*in_life_term_renew_comm*in_ins_partner_share*(in_life_term_renew^1*SUMIFS(AL1696:AL1711,B1696:B1711,B1699-12)+in_life_term_renew^2*SUMIFS(AL1696:AL1711,B1696:B1711,B1699-24)+in_life_term_renew^3*SUMIFS(AL1696:AL1711,B1696:B1711,B1699-36)+in_life_term_renew^4*SUMIFS(AL1696:AL1711,B1696:B1711,B1699-48))</f>
        <v/>
      </c>
      <c r="AN1699" s="40">
        <f>AN1698*(1-IF(B1698&gt;=in_marketplace_from,d_hz_accident*G1698,0))</f>
        <v/>
      </c>
      <c r="AO1699" s="46">
        <f>AN1699*IF(B1699&gt;=in_marketplace_from,d_hz_accident*G1699,0)</f>
        <v/>
      </c>
      <c r="AP1699" s="14">
        <f>F1699*AO1699*in_accident_ticket*in_accident_comm*in_ins_partner_share+F1699*in_accident_ticket*in_accident_renew_comm*in_ins_partner_share*(in_accident_renew^1*SUMIFS(AO1696:AO1711,B1696:B1711,B1699-12)+in_accident_renew^2*SUMIFS(AO1696:AO1711,B1696:B1711,B1699-24)+in_accident_renew^3*SUMIFS(AO1696:AO1711,B1696:B1711,B1699-36)+in_accident_renew^4*SUMIFS(AO1696:AO1711,B1696:B1711,B1699-48))</f>
        <v/>
      </c>
      <c r="AQ1699" s="40">
        <f>AQ1698*(1-IF(B1698&gt;=in_marketplace_from,d_hz_two_wheeler*G1698,0))</f>
        <v/>
      </c>
      <c r="AR1699" s="46">
        <f>AQ1699*IF(B1699&gt;=in_marketplace_from,d_hz_two_wheeler*G1699,0)</f>
        <v/>
      </c>
      <c r="AS1699" s="14">
        <f>F1699*AR1699*in_two_wheeler_ticket*in_two_wheeler_comm*in_ins_partner_share+F1699*in_two_wheeler_ticket*in_two_wheeler_comm*in_ins_partner_share*(in_two_wheeler_renew^1*SUMIFS(AR1696:AR1711,B1696:B1711,B1699-12)+in_two_wheeler_renew^2*SUMIFS(AR1696:AR1711,B1696:B1711,B1699-24)+in_two_wheeler_renew^3*SUMIFS(AR1696:AR1711,B1696:B1711,B1699-36)+in_two_wheeler_renew^4*SUMIFS(AR1696:AR1711,B1696:B1711,B1699-48))</f>
        <v/>
      </c>
      <c r="AT1699" s="40">
        <f>AT1698*(1-IF(B1698&gt;=in_marketplace_from,d_hz_device*G1698,0))</f>
        <v/>
      </c>
      <c r="AU1699" s="14">
        <f>F1699*AT1699*IF(B1699&gt;=in_marketplace_from,d_hz_device*G1699,0)*in_device_ticket*in_device_comm*in_ins_partner_share</f>
        <v/>
      </c>
      <c r="AV1699" s="40">
        <f>AV1698*(1-IF(B1698&gt;=in_marketplace_from,d_hz_shop*G1698,0))</f>
        <v/>
      </c>
      <c r="AW1699" s="46">
        <f>AV1699*IF(B1699&gt;=in_marketplace_from,d_hz_shop*G1699,0)</f>
        <v/>
      </c>
      <c r="AX1699" s="14">
        <f>F1699*AW1699*in_shop_ticket*in_shop_comm*in_ins_partner_share+F1699*in_shop_ticket*in_shop_renew_comm*in_ins_partner_share*(in_shop_renew^1*SUMIFS(AW1696:AW1711,B1696:B1711,B1699-12)+in_shop_renew^2*SUMIFS(AW1696:AW1711,B1696:B1711,B1699-24)+in_shop_renew^3*SUMIFS(AW1696:AW1711,B1696:B1711,B1699-36)+in_shop_renew^4*SUMIFS(AW1696:AW1711,B1696:B1711,B1699-48))</f>
        <v/>
      </c>
      <c r="AY1699" s="40">
        <f>AY1698*(1-IF(B1698&gt;=in_marketplace_from,d_hz_sip*G1698,0))</f>
        <v/>
      </c>
      <c r="AZ1699" s="40">
        <f>AZ1698*d_rho_sip+AY1699*IF(B1699&gt;=in_marketplace_from,d_hz_sip*G1699,0)</f>
        <v/>
      </c>
      <c r="BA1699" s="40">
        <f>d_rho_sip*(BA1698+AZ1698)</f>
        <v/>
      </c>
      <c r="BB1699" s="14">
        <f>F1699*in_sip_ticket*(BA1699+0.5*AZ1699)*in_sip_comm/12</f>
        <v/>
      </c>
      <c r="BC1699" s="40">
        <f>BC1698*(1-IF(B1698&gt;=in_marketplace_from,d_hz_choti*G1698,0))</f>
        <v/>
      </c>
      <c r="BD1699" s="46">
        <f>BC1699*IF(B1699&gt;=in_marketplace_from,d_hz_choti*G1699,0)</f>
        <v/>
      </c>
      <c r="BE1699" s="14">
        <f>F1699*SUMIFS(BD1696:BD1711,B1696:B1711,B1699-in_choti_months)*in_choti_renew*in_choti_ticket</f>
        <v/>
      </c>
      <c r="BF1699" s="40">
        <f>BF1698*(1-IF(B1698&gt;=in_marketplace_from,d_hz_nps*G1698,0))</f>
        <v/>
      </c>
      <c r="BG1699" s="14">
        <f>F1699*BF1699*IF(B1699&gt;=in_marketplace_from,d_hz_nps*G1699,0)*in_nps_ticket*in_nps_comm</f>
        <v/>
      </c>
      <c r="BH1699" s="40">
        <f>BH1698*(1-IF(B1698&gt;=in_marketplace_from,d_hz_gold*G1698,0))</f>
        <v/>
      </c>
      <c r="BI1699" s="40">
        <f>BI1698*d_rho_gold+BH1699*IF(B1699&gt;=in_marketplace_from,d_hz_gold*G1699,0)</f>
        <v/>
      </c>
      <c r="BJ1699" s="14">
        <f>F1699*BI1699*in_gold_ticket*in_gold_comm</f>
        <v/>
      </c>
      <c r="BK1699" s="40">
        <f>BK1698*(1-IF(B1698&gt;=in_marketplace_from,d_hz_fd*G1698,0))</f>
        <v/>
      </c>
      <c r="BL1699" s="14">
        <f>F1699*BK1699*IF(B1699&gt;=in_marketplace_from,d_hz_fd*G1699,0)*in_fd_ticket*in_fd_comm</f>
        <v/>
      </c>
      <c r="BM1699" s="40">
        <f>BM1698*(1-IF(B1698&gt;=in_marketplace_from,d_hz_recharge*G1698,0))</f>
        <v/>
      </c>
      <c r="BN1699" s="40">
        <f>BN1698*d_rho_recharge+BM1699*IF(B1699&gt;=in_marketplace_from,d_hz_recharge*G1699,0)</f>
        <v/>
      </c>
      <c r="BO1699" s="14">
        <f>F1699*BN1699*in_recharge_ticket*in_recharge_comm/12</f>
        <v/>
      </c>
      <c r="BP1699" s="40">
        <f>BP1698*(1-IF(B1698&gt;=in_marketplace_from,d_hz_bills*G1698,0))</f>
        <v/>
      </c>
      <c r="BQ1699" s="40">
        <f>BQ1698*d_rho_bills+BP1699*IF(B1699&gt;=in_marketplace_from,d_hz_bills*G1699,0)</f>
        <v/>
      </c>
      <c r="BR1699" s="14">
        <f>F1699*BQ1699*in_bills_ticket*in_bills_comm/12</f>
        <v/>
      </c>
      <c r="BS1699" s="40">
        <f>BS1698*(1-IF(B1698&gt;=in_marketplace_from,d_hz_loan_gold*G1698,0))</f>
        <v/>
      </c>
      <c r="BT1699" s="14">
        <f>F1699*BS1699*IF(B1699&gt;=in_marketplace_from,d_hz_loan_gold*G1699,0)*in_loan_gold_ticket*in_loan_gold_comm</f>
        <v/>
      </c>
      <c r="BU1699" s="40">
        <f>BU1698*(1-IF(B1698&gt;=in_marketplace_from,d_hz_loan_cd*G1698,0))</f>
        <v/>
      </c>
      <c r="BV1699" s="14">
        <f>F1699*BU1699*IF(B1699&gt;=in_marketplace_from,d_hz_loan_cd*G1699,0)*in_loan_cd_ticket*in_loan_cd_comm</f>
        <v/>
      </c>
      <c r="BW1699" s="40">
        <f>BW1698*(1-IF(B1698&gt;=in_marketplace_from,d_hz_loan_vehicle*G1698,0))</f>
        <v/>
      </c>
      <c r="BX1699" s="14">
        <f>F1699*BW1699*IF(B1699&gt;=in_marketplace_from,d_hz_loan_vehicle*G1699,0)*in_loan_vehicle_ticket*in_loan_vehicle_comm</f>
        <v/>
      </c>
      <c r="BY1699" s="40">
        <f>BY1698*(1-IF(B1698&gt;=in_marketplace_from,d_hz_loan_home*G1698,0)*BZ1698)</f>
        <v/>
      </c>
      <c r="BZ1699" s="11">
        <f>MIN(in_approval_cap,in_loan_home_approval*INDEX('Age profile'!$O$2:$O$61,B1699)*(1+in_approval_growth)^(D1699-1))</f>
        <v/>
      </c>
      <c r="CA1699" s="14">
        <f>F1699*BY1699*IF(B1699&gt;=in_marketplace_from,d_hz_loan_home*G1699,0)*BZ1699*in_loan_home_ticket*in_loan_home_comm</f>
        <v/>
      </c>
      <c r="CB1699" s="40">
        <f>CB1698*(1-IF(B1698&gt;=in_marketplace_from,d_hz_loan_lap*G1698,0)*CC1698)</f>
        <v/>
      </c>
      <c r="CC1699" s="11">
        <f>MIN(in_approval_cap,in_loan_lap_approval*INDEX('Age profile'!$O$2:$O$61,B1699)*(1+in_approval_growth)^(D1699-1))</f>
        <v/>
      </c>
      <c r="CD1699" s="14">
        <f>F1699*CB1699*IF(B1699&gt;=in_marketplace_from,d_hz_loan_lap*G1699,0)*CC1699*in_loan_lap_ticket*in_loan_lap_comm</f>
        <v/>
      </c>
      <c r="CE1699" s="14">
        <f>AA1699+AB1699+AC1699+AD1699+AG1699+AJ1699+AM1699+AP1699+AS1699+AU1699+AX1699+BB1699+BE1699+BG1699+BJ1699+BL1699+BO1699+BR1699+BT1699+BV1699+BX1699+CA1699+CD1699</f>
        <v/>
      </c>
    </row>
    <row r="1700">
      <c r="A1700" s="39" t="n">
        <v>45</v>
      </c>
      <c r="B1700" s="39" t="n">
        <v>5</v>
      </c>
      <c r="C1700" s="39">
        <f>A1700+B1700-1</f>
        <v/>
      </c>
      <c r="D1700" s="39">
        <f>INT((C1700-1)/12)+1</f>
        <v/>
      </c>
      <c r="E1700" s="44">
        <f>INDEX(Monthly!$B$2:$B$61,A1700)</f>
        <v/>
      </c>
      <c r="F1700" s="44">
        <f>E1700*INDEX('Age profile'!$B$2:$B$61,B1700)</f>
        <v/>
      </c>
      <c r="G1700" s="45">
        <f>MIN(in_takeup_cap,INDEX('Age profile'!$N$2:$N$61,B1700)*(1+in_takeup_growth)^(D1700-1))</f>
        <v/>
      </c>
      <c r="H1700" s="11">
        <f>MIN(in_approval_cap,in_approved_first*INDEX('Age profile'!$O$2:$O$61,B1700)*(1+in_approval_growth)^(D1700-1))</f>
        <v/>
      </c>
      <c r="I1700" s="45">
        <f>G1700*MIN(in_takeup_cap,INDEX('Age profile'!$O$2:$O$61,B1700)*(1+in_approval_growth)^(D1700-1))</f>
        <v/>
      </c>
      <c r="J1700" s="40">
        <f>(J1699-L1699)*F1700/F1699</f>
        <v/>
      </c>
      <c r="K1700" s="40">
        <f>(K1699-M1699)*F1700/F1699+SUMIFS(O1696:O1699,B1696:B1699,B1700-1-d_T)*F1700</f>
        <v/>
      </c>
      <c r="L1700" s="40">
        <f>IF(B1700&gt;=in_marketplace_from,J1700*d_hz*G1700*in_eligible*H1700,0)</f>
        <v/>
      </c>
      <c r="M1700" s="40">
        <f>IF(B1700&gt;=in_marketplace_from,K1700*d_hz*G1700*in_eligible*in_approved_repeat,0)</f>
        <v/>
      </c>
      <c r="N1700" s="40">
        <f>L1700+M1700</f>
        <v/>
      </c>
      <c r="O1700" s="46">
        <f>N1700/F1700</f>
        <v/>
      </c>
      <c r="P1700" s="40">
        <f>F1700-J1700-K1700</f>
        <v/>
      </c>
      <c r="Q1700" s="40">
        <f>IF(B1700&gt;=in_marketplace_from,(J1700+K1700)*d_hz*G1700,0)</f>
        <v/>
      </c>
      <c r="R1700" s="40">
        <f>SUMIFS(N1696:N1711,B1696:B1711,"&gt;="&amp;(B1700-d_T),B1696:B1711,"&lt;="&amp;(B1700-1))</f>
        <v/>
      </c>
      <c r="S1700" s="46">
        <f>(1-d_u)*S1699+IF(d_T&gt;in_topup_lag,SUMIFS(O1696:O1711,B1696:B1711,B1700-in_topup_lag)-d_udrop*SUMIFS(O1696:O1711,B1696:B1711,B1700-d_T),0)</f>
        <v/>
      </c>
      <c r="T1700" s="40">
        <f>F1700*d_u*S1700</f>
        <v/>
      </c>
      <c r="U1700" s="9">
        <f>L1700*in_ticket+M1700*d_rep_ticket</f>
        <v/>
      </c>
      <c r="V1700" s="9">
        <f>U1700+T1700*d_topup_amt</f>
        <v/>
      </c>
      <c r="W1700" s="40">
        <f>N1700+T1700*d_topup_ratio</f>
        <v/>
      </c>
      <c r="X1700" s="40">
        <f>SUMIFS(W1696:W1711,B1696:B1711,B1700-in_dpd_lag)*d_cured</f>
        <v/>
      </c>
      <c r="Y1700" s="40">
        <f>SUMIFS(W1696:W1711,B1696:B1711,B1700-in_rec_lag)*d_recd</f>
        <v/>
      </c>
      <c r="Z1700" s="40">
        <f>IF(AND(B1700&gt;=in_marketplace_from,B1700&lt;in_marketplace_from+in_card_months),in_card_share/in_card_months*F1700*I1700,IF(AND(B1700&gt;=in_marketplace_from+in_card_months,B1700&lt;in_marketplace_from+2*in_card_months),in_card_share*d_card_rem/in_card_months*F1700*MIN(in_takeup_cap,(1+in_takeup_growth)^(D1700-1))*MIN(in_takeup_cap,(1+in_approval_growth)^(D1700-1)),0))</f>
        <v/>
      </c>
      <c r="AA1700" s="14">
        <f>V1700*in_fee*(1-in_taken_back)</f>
        <v/>
      </c>
      <c r="AB1700" s="14">
        <f>SUMIFS(W1696:W1711,B1696:B1711,B1700-in_dpd_lag)*d_dpd</f>
        <v/>
      </c>
      <c r="AC1700" s="14">
        <f>SUMIFS(W1696:W1711,B1696:B1711,B1700-in_rec_lag)*d_rec</f>
        <v/>
      </c>
      <c r="AD1700" s="14">
        <f>Z1700*in_card_fee</f>
        <v/>
      </c>
      <c r="AE1700" s="40">
        <f>AE1699*(1-IF(B1699&gt;=in_marketplace_from,d_hz_hlth_small*G1699,0))</f>
        <v/>
      </c>
      <c r="AF1700" s="46">
        <f>AE1700*IF(B1700&gt;=in_marketplace_from,d_hz_hlth_small*G1700,0)</f>
        <v/>
      </c>
      <c r="AG1700" s="14">
        <f>F1700*AF1700*in_hlth_small_ticket*in_hlth_small_comm*in_ins_partner_share+F1700*in_hlth_small_ticket*in_hlth_small_renew_comm*in_ins_partner_share*(in_hlth_small_renew^1*SUMIFS(AF1696:AF1711,B1696:B1711,B1700-12)+in_hlth_small_renew^2*SUMIFS(AF1696:AF1711,B1696:B1711,B1700-24)+in_hlth_small_renew^3*SUMIFS(AF1696:AF1711,B1696:B1711,B1700-36)+in_hlth_small_renew^4*SUMIFS(AF1696:AF1711,B1696:B1711,B1700-48))</f>
        <v/>
      </c>
      <c r="AH1700" s="40">
        <f>AH1699*(1-IF(B1699&gt;=in_marketplace_from,d_hz_hlth_family*G1699,0))</f>
        <v/>
      </c>
      <c r="AI1700" s="46">
        <f>AH1700*IF(B1700&gt;=in_marketplace_from,d_hz_hlth_family*G1700,0)</f>
        <v/>
      </c>
      <c r="AJ1700" s="14">
        <f>F1700*AI1700*in_hlth_family_ticket*in_hlth_family_comm*in_ins_partner_share+F1700*in_hlth_family_ticket*in_hlth_family_renew_comm*in_ins_partner_share*(in_hlth_family_renew^1*SUMIFS(AI1696:AI1711,B1696:B1711,B1700-12)+in_hlth_family_renew^2*SUMIFS(AI1696:AI1711,B1696:B1711,B1700-24)+in_hlth_family_renew^3*SUMIFS(AI1696:AI1711,B1696:B1711,B1700-36)+in_hlth_family_renew^4*SUMIFS(AI1696:AI1711,B1696:B1711,B1700-48))</f>
        <v/>
      </c>
      <c r="AK1700" s="40">
        <f>AK1699*(1-IF(B1699&gt;=in_marketplace_from,d_hz_life_term*G1699,0))</f>
        <v/>
      </c>
      <c r="AL1700" s="46">
        <f>AK1700*IF(B1700&gt;=in_marketplace_from,d_hz_life_term*G1700,0)</f>
        <v/>
      </c>
      <c r="AM1700" s="14">
        <f>F1700*AL1700*in_life_term_ticket*in_life_term_comm*in_ins_partner_share+F1700*in_life_term_ticket*in_life_term_renew_comm*in_ins_partner_share*(in_life_term_renew^1*SUMIFS(AL1696:AL1711,B1696:B1711,B1700-12)+in_life_term_renew^2*SUMIFS(AL1696:AL1711,B1696:B1711,B1700-24)+in_life_term_renew^3*SUMIFS(AL1696:AL1711,B1696:B1711,B1700-36)+in_life_term_renew^4*SUMIFS(AL1696:AL1711,B1696:B1711,B1700-48))</f>
        <v/>
      </c>
      <c r="AN1700" s="40">
        <f>AN1699*(1-IF(B1699&gt;=in_marketplace_from,d_hz_accident*G1699,0))</f>
        <v/>
      </c>
      <c r="AO1700" s="46">
        <f>AN1700*IF(B1700&gt;=in_marketplace_from,d_hz_accident*G1700,0)</f>
        <v/>
      </c>
      <c r="AP1700" s="14">
        <f>F1700*AO1700*in_accident_ticket*in_accident_comm*in_ins_partner_share+F1700*in_accident_ticket*in_accident_renew_comm*in_ins_partner_share*(in_accident_renew^1*SUMIFS(AO1696:AO1711,B1696:B1711,B1700-12)+in_accident_renew^2*SUMIFS(AO1696:AO1711,B1696:B1711,B1700-24)+in_accident_renew^3*SUMIFS(AO1696:AO1711,B1696:B1711,B1700-36)+in_accident_renew^4*SUMIFS(AO1696:AO1711,B1696:B1711,B1700-48))</f>
        <v/>
      </c>
      <c r="AQ1700" s="40">
        <f>AQ1699*(1-IF(B1699&gt;=in_marketplace_from,d_hz_two_wheeler*G1699,0))</f>
        <v/>
      </c>
      <c r="AR1700" s="46">
        <f>AQ1700*IF(B1700&gt;=in_marketplace_from,d_hz_two_wheeler*G1700,0)</f>
        <v/>
      </c>
      <c r="AS1700" s="14">
        <f>F1700*AR1700*in_two_wheeler_ticket*in_two_wheeler_comm*in_ins_partner_share+F1700*in_two_wheeler_ticket*in_two_wheeler_comm*in_ins_partner_share*(in_two_wheeler_renew^1*SUMIFS(AR1696:AR1711,B1696:B1711,B1700-12)+in_two_wheeler_renew^2*SUMIFS(AR1696:AR1711,B1696:B1711,B1700-24)+in_two_wheeler_renew^3*SUMIFS(AR1696:AR1711,B1696:B1711,B1700-36)+in_two_wheeler_renew^4*SUMIFS(AR1696:AR1711,B1696:B1711,B1700-48))</f>
        <v/>
      </c>
      <c r="AT1700" s="40">
        <f>AT1699*(1-IF(B1699&gt;=in_marketplace_from,d_hz_device*G1699,0))</f>
        <v/>
      </c>
      <c r="AU1700" s="14">
        <f>F1700*AT1700*IF(B1700&gt;=in_marketplace_from,d_hz_device*G1700,0)*in_device_ticket*in_device_comm*in_ins_partner_share</f>
        <v/>
      </c>
      <c r="AV1700" s="40">
        <f>AV1699*(1-IF(B1699&gt;=in_marketplace_from,d_hz_shop*G1699,0))</f>
        <v/>
      </c>
      <c r="AW1700" s="46">
        <f>AV1700*IF(B1700&gt;=in_marketplace_from,d_hz_shop*G1700,0)</f>
        <v/>
      </c>
      <c r="AX1700" s="14">
        <f>F1700*AW1700*in_shop_ticket*in_shop_comm*in_ins_partner_share+F1700*in_shop_ticket*in_shop_renew_comm*in_ins_partner_share*(in_shop_renew^1*SUMIFS(AW1696:AW1711,B1696:B1711,B1700-12)+in_shop_renew^2*SUMIFS(AW1696:AW1711,B1696:B1711,B1700-24)+in_shop_renew^3*SUMIFS(AW1696:AW1711,B1696:B1711,B1700-36)+in_shop_renew^4*SUMIFS(AW1696:AW1711,B1696:B1711,B1700-48))</f>
        <v/>
      </c>
      <c r="AY1700" s="40">
        <f>AY1699*(1-IF(B1699&gt;=in_marketplace_from,d_hz_sip*G1699,0))</f>
        <v/>
      </c>
      <c r="AZ1700" s="40">
        <f>AZ1699*d_rho_sip+AY1700*IF(B1700&gt;=in_marketplace_from,d_hz_sip*G1700,0)</f>
        <v/>
      </c>
      <c r="BA1700" s="40">
        <f>d_rho_sip*(BA1699+AZ1699)</f>
        <v/>
      </c>
      <c r="BB1700" s="14">
        <f>F1700*in_sip_ticket*(BA1700+0.5*AZ1700)*in_sip_comm/12</f>
        <v/>
      </c>
      <c r="BC1700" s="40">
        <f>BC1699*(1-IF(B1699&gt;=in_marketplace_from,d_hz_choti*G1699,0))</f>
        <v/>
      </c>
      <c r="BD1700" s="46">
        <f>BC1700*IF(B1700&gt;=in_marketplace_from,d_hz_choti*G1700,0)</f>
        <v/>
      </c>
      <c r="BE1700" s="14">
        <f>F1700*SUMIFS(BD1696:BD1711,B1696:B1711,B1700-in_choti_months)*in_choti_renew*in_choti_ticket</f>
        <v/>
      </c>
      <c r="BF1700" s="40">
        <f>BF1699*(1-IF(B1699&gt;=in_marketplace_from,d_hz_nps*G1699,0))</f>
        <v/>
      </c>
      <c r="BG1700" s="14">
        <f>F1700*BF1700*IF(B1700&gt;=in_marketplace_from,d_hz_nps*G1700,0)*in_nps_ticket*in_nps_comm</f>
        <v/>
      </c>
      <c r="BH1700" s="40">
        <f>BH1699*(1-IF(B1699&gt;=in_marketplace_from,d_hz_gold*G1699,0))</f>
        <v/>
      </c>
      <c r="BI1700" s="40">
        <f>BI1699*d_rho_gold+BH1700*IF(B1700&gt;=in_marketplace_from,d_hz_gold*G1700,0)</f>
        <v/>
      </c>
      <c r="BJ1700" s="14">
        <f>F1700*BI1700*in_gold_ticket*in_gold_comm</f>
        <v/>
      </c>
      <c r="BK1700" s="40">
        <f>BK1699*(1-IF(B1699&gt;=in_marketplace_from,d_hz_fd*G1699,0))</f>
        <v/>
      </c>
      <c r="BL1700" s="14">
        <f>F1700*BK1700*IF(B1700&gt;=in_marketplace_from,d_hz_fd*G1700,0)*in_fd_ticket*in_fd_comm</f>
        <v/>
      </c>
      <c r="BM1700" s="40">
        <f>BM1699*(1-IF(B1699&gt;=in_marketplace_from,d_hz_recharge*G1699,0))</f>
        <v/>
      </c>
      <c r="BN1700" s="40">
        <f>BN1699*d_rho_recharge+BM1700*IF(B1700&gt;=in_marketplace_from,d_hz_recharge*G1700,0)</f>
        <v/>
      </c>
      <c r="BO1700" s="14">
        <f>F1700*BN1700*in_recharge_ticket*in_recharge_comm/12</f>
        <v/>
      </c>
      <c r="BP1700" s="40">
        <f>BP1699*(1-IF(B1699&gt;=in_marketplace_from,d_hz_bills*G1699,0))</f>
        <v/>
      </c>
      <c r="BQ1700" s="40">
        <f>BQ1699*d_rho_bills+BP1700*IF(B1700&gt;=in_marketplace_from,d_hz_bills*G1700,0)</f>
        <v/>
      </c>
      <c r="BR1700" s="14">
        <f>F1700*BQ1700*in_bills_ticket*in_bills_comm/12</f>
        <v/>
      </c>
      <c r="BS1700" s="40">
        <f>BS1699*(1-IF(B1699&gt;=in_marketplace_from,d_hz_loan_gold*G1699,0))</f>
        <v/>
      </c>
      <c r="BT1700" s="14">
        <f>F1700*BS1700*IF(B1700&gt;=in_marketplace_from,d_hz_loan_gold*G1700,0)*in_loan_gold_ticket*in_loan_gold_comm</f>
        <v/>
      </c>
      <c r="BU1700" s="40">
        <f>BU1699*(1-IF(B1699&gt;=in_marketplace_from,d_hz_loan_cd*G1699,0))</f>
        <v/>
      </c>
      <c r="BV1700" s="14">
        <f>F1700*BU1700*IF(B1700&gt;=in_marketplace_from,d_hz_loan_cd*G1700,0)*in_loan_cd_ticket*in_loan_cd_comm</f>
        <v/>
      </c>
      <c r="BW1700" s="40">
        <f>BW1699*(1-IF(B1699&gt;=in_marketplace_from,d_hz_loan_vehicle*G1699,0))</f>
        <v/>
      </c>
      <c r="BX1700" s="14">
        <f>F1700*BW1700*IF(B1700&gt;=in_marketplace_from,d_hz_loan_vehicle*G1700,0)*in_loan_vehicle_ticket*in_loan_vehicle_comm</f>
        <v/>
      </c>
      <c r="BY1700" s="40">
        <f>BY1699*(1-IF(B1699&gt;=in_marketplace_from,d_hz_loan_home*G1699,0)*BZ1699)</f>
        <v/>
      </c>
      <c r="BZ1700" s="11">
        <f>MIN(in_approval_cap,in_loan_home_approval*INDEX('Age profile'!$O$2:$O$61,B1700)*(1+in_approval_growth)^(D1700-1))</f>
        <v/>
      </c>
      <c r="CA1700" s="14">
        <f>F1700*BY1700*IF(B1700&gt;=in_marketplace_from,d_hz_loan_home*G1700,0)*BZ1700*in_loan_home_ticket*in_loan_home_comm</f>
        <v/>
      </c>
      <c r="CB1700" s="40">
        <f>CB1699*(1-IF(B1699&gt;=in_marketplace_from,d_hz_loan_lap*G1699,0)*CC1699)</f>
        <v/>
      </c>
      <c r="CC1700" s="11">
        <f>MIN(in_approval_cap,in_loan_lap_approval*INDEX('Age profile'!$O$2:$O$61,B1700)*(1+in_approval_growth)^(D1700-1))</f>
        <v/>
      </c>
      <c r="CD1700" s="14">
        <f>F1700*CB1700*IF(B1700&gt;=in_marketplace_from,d_hz_loan_lap*G1700,0)*CC1700*in_loan_lap_ticket*in_loan_lap_comm</f>
        <v/>
      </c>
      <c r="CE1700" s="14">
        <f>AA1700+AB1700+AC1700+AD1700+AG1700+AJ1700+AM1700+AP1700+AS1700+AU1700+AX1700+BB1700+BE1700+BG1700+BJ1700+BL1700+BO1700+BR1700+BT1700+BV1700+BX1700+CA1700+CD1700</f>
        <v/>
      </c>
    </row>
    <row r="1701">
      <c r="A1701" s="39" t="n">
        <v>45</v>
      </c>
      <c r="B1701" s="39" t="n">
        <v>6</v>
      </c>
      <c r="C1701" s="39">
        <f>A1701+B1701-1</f>
        <v/>
      </c>
      <c r="D1701" s="39">
        <f>INT((C1701-1)/12)+1</f>
        <v/>
      </c>
      <c r="E1701" s="44">
        <f>INDEX(Monthly!$B$2:$B$61,A1701)</f>
        <v/>
      </c>
      <c r="F1701" s="44">
        <f>E1701*INDEX('Age profile'!$B$2:$B$61,B1701)</f>
        <v/>
      </c>
      <c r="G1701" s="45">
        <f>MIN(in_takeup_cap,INDEX('Age profile'!$N$2:$N$61,B1701)*(1+in_takeup_growth)^(D1701-1))</f>
        <v/>
      </c>
      <c r="H1701" s="11">
        <f>MIN(in_approval_cap,in_approved_first*INDEX('Age profile'!$O$2:$O$61,B1701)*(1+in_approval_growth)^(D1701-1))</f>
        <v/>
      </c>
      <c r="I1701" s="45">
        <f>G1701*MIN(in_takeup_cap,INDEX('Age profile'!$O$2:$O$61,B1701)*(1+in_approval_growth)^(D1701-1))</f>
        <v/>
      </c>
      <c r="J1701" s="40">
        <f>(J1700-L1700)*F1701/F1700</f>
        <v/>
      </c>
      <c r="K1701" s="40">
        <f>(K1700-M1700)*F1701/F1700+SUMIFS(O1696:O1700,B1696:B1700,B1701-1-d_T)*F1701</f>
        <v/>
      </c>
      <c r="L1701" s="40">
        <f>IF(B1701&gt;=in_marketplace_from,J1701*d_hz*G1701*in_eligible*H1701,0)</f>
        <v/>
      </c>
      <c r="M1701" s="40">
        <f>IF(B1701&gt;=in_marketplace_from,K1701*d_hz*G1701*in_eligible*in_approved_repeat,0)</f>
        <v/>
      </c>
      <c r="N1701" s="40">
        <f>L1701+M1701</f>
        <v/>
      </c>
      <c r="O1701" s="46">
        <f>N1701/F1701</f>
        <v/>
      </c>
      <c r="P1701" s="40">
        <f>F1701-J1701-K1701</f>
        <v/>
      </c>
      <c r="Q1701" s="40">
        <f>IF(B1701&gt;=in_marketplace_from,(J1701+K1701)*d_hz*G1701,0)</f>
        <v/>
      </c>
      <c r="R1701" s="40">
        <f>SUMIFS(N1696:N1711,B1696:B1711,"&gt;="&amp;(B1701-d_T),B1696:B1711,"&lt;="&amp;(B1701-1))</f>
        <v/>
      </c>
      <c r="S1701" s="46">
        <f>(1-d_u)*S1700+IF(d_T&gt;in_topup_lag,SUMIFS(O1696:O1711,B1696:B1711,B1701-in_topup_lag)-d_udrop*SUMIFS(O1696:O1711,B1696:B1711,B1701-d_T),0)</f>
        <v/>
      </c>
      <c r="T1701" s="40">
        <f>F1701*d_u*S1701</f>
        <v/>
      </c>
      <c r="U1701" s="9">
        <f>L1701*in_ticket+M1701*d_rep_ticket</f>
        <v/>
      </c>
      <c r="V1701" s="9">
        <f>U1701+T1701*d_topup_amt</f>
        <v/>
      </c>
      <c r="W1701" s="40">
        <f>N1701+T1701*d_topup_ratio</f>
        <v/>
      </c>
      <c r="X1701" s="40">
        <f>SUMIFS(W1696:W1711,B1696:B1711,B1701-in_dpd_lag)*d_cured</f>
        <v/>
      </c>
      <c r="Y1701" s="40">
        <f>SUMIFS(W1696:W1711,B1696:B1711,B1701-in_rec_lag)*d_recd</f>
        <v/>
      </c>
      <c r="Z1701" s="40">
        <f>IF(AND(B1701&gt;=in_marketplace_from,B1701&lt;in_marketplace_from+in_card_months),in_card_share/in_card_months*F1701*I1701,IF(AND(B1701&gt;=in_marketplace_from+in_card_months,B1701&lt;in_marketplace_from+2*in_card_months),in_card_share*d_card_rem/in_card_months*F1701*MIN(in_takeup_cap,(1+in_takeup_growth)^(D1701-1))*MIN(in_takeup_cap,(1+in_approval_growth)^(D1701-1)),0))</f>
        <v/>
      </c>
      <c r="AA1701" s="14">
        <f>V1701*in_fee*(1-in_taken_back)</f>
        <v/>
      </c>
      <c r="AB1701" s="14">
        <f>SUMIFS(W1696:W1711,B1696:B1711,B1701-in_dpd_lag)*d_dpd</f>
        <v/>
      </c>
      <c r="AC1701" s="14">
        <f>SUMIFS(W1696:W1711,B1696:B1711,B1701-in_rec_lag)*d_rec</f>
        <v/>
      </c>
      <c r="AD1701" s="14">
        <f>Z1701*in_card_fee</f>
        <v/>
      </c>
      <c r="AE1701" s="40">
        <f>AE1700*(1-IF(B1700&gt;=in_marketplace_from,d_hz_hlth_small*G1700,0))</f>
        <v/>
      </c>
      <c r="AF1701" s="46">
        <f>AE1701*IF(B1701&gt;=in_marketplace_from,d_hz_hlth_small*G1701,0)</f>
        <v/>
      </c>
      <c r="AG1701" s="14">
        <f>F1701*AF1701*in_hlth_small_ticket*in_hlth_small_comm*in_ins_partner_share+F1701*in_hlth_small_ticket*in_hlth_small_renew_comm*in_ins_partner_share*(in_hlth_small_renew^1*SUMIFS(AF1696:AF1711,B1696:B1711,B1701-12)+in_hlth_small_renew^2*SUMIFS(AF1696:AF1711,B1696:B1711,B1701-24)+in_hlth_small_renew^3*SUMIFS(AF1696:AF1711,B1696:B1711,B1701-36)+in_hlth_small_renew^4*SUMIFS(AF1696:AF1711,B1696:B1711,B1701-48))</f>
        <v/>
      </c>
      <c r="AH1701" s="40">
        <f>AH1700*(1-IF(B1700&gt;=in_marketplace_from,d_hz_hlth_family*G1700,0))</f>
        <v/>
      </c>
      <c r="AI1701" s="46">
        <f>AH1701*IF(B1701&gt;=in_marketplace_from,d_hz_hlth_family*G1701,0)</f>
        <v/>
      </c>
      <c r="AJ1701" s="14">
        <f>F1701*AI1701*in_hlth_family_ticket*in_hlth_family_comm*in_ins_partner_share+F1701*in_hlth_family_ticket*in_hlth_family_renew_comm*in_ins_partner_share*(in_hlth_family_renew^1*SUMIFS(AI1696:AI1711,B1696:B1711,B1701-12)+in_hlth_family_renew^2*SUMIFS(AI1696:AI1711,B1696:B1711,B1701-24)+in_hlth_family_renew^3*SUMIFS(AI1696:AI1711,B1696:B1711,B1701-36)+in_hlth_family_renew^4*SUMIFS(AI1696:AI1711,B1696:B1711,B1701-48))</f>
        <v/>
      </c>
      <c r="AK1701" s="40">
        <f>AK1700*(1-IF(B1700&gt;=in_marketplace_from,d_hz_life_term*G1700,0))</f>
        <v/>
      </c>
      <c r="AL1701" s="46">
        <f>AK1701*IF(B1701&gt;=in_marketplace_from,d_hz_life_term*G1701,0)</f>
        <v/>
      </c>
      <c r="AM1701" s="14">
        <f>F1701*AL1701*in_life_term_ticket*in_life_term_comm*in_ins_partner_share+F1701*in_life_term_ticket*in_life_term_renew_comm*in_ins_partner_share*(in_life_term_renew^1*SUMIFS(AL1696:AL1711,B1696:B1711,B1701-12)+in_life_term_renew^2*SUMIFS(AL1696:AL1711,B1696:B1711,B1701-24)+in_life_term_renew^3*SUMIFS(AL1696:AL1711,B1696:B1711,B1701-36)+in_life_term_renew^4*SUMIFS(AL1696:AL1711,B1696:B1711,B1701-48))</f>
        <v/>
      </c>
      <c r="AN1701" s="40">
        <f>AN1700*(1-IF(B1700&gt;=in_marketplace_from,d_hz_accident*G1700,0))</f>
        <v/>
      </c>
      <c r="AO1701" s="46">
        <f>AN1701*IF(B1701&gt;=in_marketplace_from,d_hz_accident*G1701,0)</f>
        <v/>
      </c>
      <c r="AP1701" s="14">
        <f>F1701*AO1701*in_accident_ticket*in_accident_comm*in_ins_partner_share+F1701*in_accident_ticket*in_accident_renew_comm*in_ins_partner_share*(in_accident_renew^1*SUMIFS(AO1696:AO1711,B1696:B1711,B1701-12)+in_accident_renew^2*SUMIFS(AO1696:AO1711,B1696:B1711,B1701-24)+in_accident_renew^3*SUMIFS(AO1696:AO1711,B1696:B1711,B1701-36)+in_accident_renew^4*SUMIFS(AO1696:AO1711,B1696:B1711,B1701-48))</f>
        <v/>
      </c>
      <c r="AQ1701" s="40">
        <f>AQ1700*(1-IF(B1700&gt;=in_marketplace_from,d_hz_two_wheeler*G1700,0))</f>
        <v/>
      </c>
      <c r="AR1701" s="46">
        <f>AQ1701*IF(B1701&gt;=in_marketplace_from,d_hz_two_wheeler*G1701,0)</f>
        <v/>
      </c>
      <c r="AS1701" s="14">
        <f>F1701*AR1701*in_two_wheeler_ticket*in_two_wheeler_comm*in_ins_partner_share+F1701*in_two_wheeler_ticket*in_two_wheeler_comm*in_ins_partner_share*(in_two_wheeler_renew^1*SUMIFS(AR1696:AR1711,B1696:B1711,B1701-12)+in_two_wheeler_renew^2*SUMIFS(AR1696:AR1711,B1696:B1711,B1701-24)+in_two_wheeler_renew^3*SUMIFS(AR1696:AR1711,B1696:B1711,B1701-36)+in_two_wheeler_renew^4*SUMIFS(AR1696:AR1711,B1696:B1711,B1701-48))</f>
        <v/>
      </c>
      <c r="AT1701" s="40">
        <f>AT1700*(1-IF(B1700&gt;=in_marketplace_from,d_hz_device*G1700,0))</f>
        <v/>
      </c>
      <c r="AU1701" s="14">
        <f>F1701*AT1701*IF(B1701&gt;=in_marketplace_from,d_hz_device*G1701,0)*in_device_ticket*in_device_comm*in_ins_partner_share</f>
        <v/>
      </c>
      <c r="AV1701" s="40">
        <f>AV1700*(1-IF(B1700&gt;=in_marketplace_from,d_hz_shop*G1700,0))</f>
        <v/>
      </c>
      <c r="AW1701" s="46">
        <f>AV1701*IF(B1701&gt;=in_marketplace_from,d_hz_shop*G1701,0)</f>
        <v/>
      </c>
      <c r="AX1701" s="14">
        <f>F1701*AW1701*in_shop_ticket*in_shop_comm*in_ins_partner_share+F1701*in_shop_ticket*in_shop_renew_comm*in_ins_partner_share*(in_shop_renew^1*SUMIFS(AW1696:AW1711,B1696:B1711,B1701-12)+in_shop_renew^2*SUMIFS(AW1696:AW1711,B1696:B1711,B1701-24)+in_shop_renew^3*SUMIFS(AW1696:AW1711,B1696:B1711,B1701-36)+in_shop_renew^4*SUMIFS(AW1696:AW1711,B1696:B1711,B1701-48))</f>
        <v/>
      </c>
      <c r="AY1701" s="40">
        <f>AY1700*(1-IF(B1700&gt;=in_marketplace_from,d_hz_sip*G1700,0))</f>
        <v/>
      </c>
      <c r="AZ1701" s="40">
        <f>AZ1700*d_rho_sip+AY1701*IF(B1701&gt;=in_marketplace_from,d_hz_sip*G1701,0)</f>
        <v/>
      </c>
      <c r="BA1701" s="40">
        <f>d_rho_sip*(BA1700+AZ1700)</f>
        <v/>
      </c>
      <c r="BB1701" s="14">
        <f>F1701*in_sip_ticket*(BA1701+0.5*AZ1701)*in_sip_comm/12</f>
        <v/>
      </c>
      <c r="BC1701" s="40">
        <f>BC1700*(1-IF(B1700&gt;=in_marketplace_from,d_hz_choti*G1700,0))</f>
        <v/>
      </c>
      <c r="BD1701" s="46">
        <f>BC1701*IF(B1701&gt;=in_marketplace_from,d_hz_choti*G1701,0)</f>
        <v/>
      </c>
      <c r="BE1701" s="14">
        <f>F1701*SUMIFS(BD1696:BD1711,B1696:B1711,B1701-in_choti_months)*in_choti_renew*in_choti_ticket</f>
        <v/>
      </c>
      <c r="BF1701" s="40">
        <f>BF1700*(1-IF(B1700&gt;=in_marketplace_from,d_hz_nps*G1700,0))</f>
        <v/>
      </c>
      <c r="BG1701" s="14">
        <f>F1701*BF1701*IF(B1701&gt;=in_marketplace_from,d_hz_nps*G1701,0)*in_nps_ticket*in_nps_comm</f>
        <v/>
      </c>
      <c r="BH1701" s="40">
        <f>BH1700*(1-IF(B1700&gt;=in_marketplace_from,d_hz_gold*G1700,0))</f>
        <v/>
      </c>
      <c r="BI1701" s="40">
        <f>BI1700*d_rho_gold+BH1701*IF(B1701&gt;=in_marketplace_from,d_hz_gold*G1701,0)</f>
        <v/>
      </c>
      <c r="BJ1701" s="14">
        <f>F1701*BI1701*in_gold_ticket*in_gold_comm</f>
        <v/>
      </c>
      <c r="BK1701" s="40">
        <f>BK1700*(1-IF(B1700&gt;=in_marketplace_from,d_hz_fd*G1700,0))</f>
        <v/>
      </c>
      <c r="BL1701" s="14">
        <f>F1701*BK1701*IF(B1701&gt;=in_marketplace_from,d_hz_fd*G1701,0)*in_fd_ticket*in_fd_comm</f>
        <v/>
      </c>
      <c r="BM1701" s="40">
        <f>BM1700*(1-IF(B1700&gt;=in_marketplace_from,d_hz_recharge*G1700,0))</f>
        <v/>
      </c>
      <c r="BN1701" s="40">
        <f>BN1700*d_rho_recharge+BM1701*IF(B1701&gt;=in_marketplace_from,d_hz_recharge*G1701,0)</f>
        <v/>
      </c>
      <c r="BO1701" s="14">
        <f>F1701*BN1701*in_recharge_ticket*in_recharge_comm/12</f>
        <v/>
      </c>
      <c r="BP1701" s="40">
        <f>BP1700*(1-IF(B1700&gt;=in_marketplace_from,d_hz_bills*G1700,0))</f>
        <v/>
      </c>
      <c r="BQ1701" s="40">
        <f>BQ1700*d_rho_bills+BP1701*IF(B1701&gt;=in_marketplace_from,d_hz_bills*G1701,0)</f>
        <v/>
      </c>
      <c r="BR1701" s="14">
        <f>F1701*BQ1701*in_bills_ticket*in_bills_comm/12</f>
        <v/>
      </c>
      <c r="BS1701" s="40">
        <f>BS1700*(1-IF(B1700&gt;=in_marketplace_from,d_hz_loan_gold*G1700,0))</f>
        <v/>
      </c>
      <c r="BT1701" s="14">
        <f>F1701*BS1701*IF(B1701&gt;=in_marketplace_from,d_hz_loan_gold*G1701,0)*in_loan_gold_ticket*in_loan_gold_comm</f>
        <v/>
      </c>
      <c r="BU1701" s="40">
        <f>BU1700*(1-IF(B1700&gt;=in_marketplace_from,d_hz_loan_cd*G1700,0))</f>
        <v/>
      </c>
      <c r="BV1701" s="14">
        <f>F1701*BU1701*IF(B1701&gt;=in_marketplace_from,d_hz_loan_cd*G1701,0)*in_loan_cd_ticket*in_loan_cd_comm</f>
        <v/>
      </c>
      <c r="BW1701" s="40">
        <f>BW1700*(1-IF(B1700&gt;=in_marketplace_from,d_hz_loan_vehicle*G1700,0))</f>
        <v/>
      </c>
      <c r="BX1701" s="14">
        <f>F1701*BW1701*IF(B1701&gt;=in_marketplace_from,d_hz_loan_vehicle*G1701,0)*in_loan_vehicle_ticket*in_loan_vehicle_comm</f>
        <v/>
      </c>
      <c r="BY1701" s="40">
        <f>BY1700*(1-IF(B1700&gt;=in_marketplace_from,d_hz_loan_home*G1700,0)*BZ1700)</f>
        <v/>
      </c>
      <c r="BZ1701" s="11">
        <f>MIN(in_approval_cap,in_loan_home_approval*INDEX('Age profile'!$O$2:$O$61,B1701)*(1+in_approval_growth)^(D1701-1))</f>
        <v/>
      </c>
      <c r="CA1701" s="14">
        <f>F1701*BY1701*IF(B1701&gt;=in_marketplace_from,d_hz_loan_home*G1701,0)*BZ1701*in_loan_home_ticket*in_loan_home_comm</f>
        <v/>
      </c>
      <c r="CB1701" s="40">
        <f>CB1700*(1-IF(B1700&gt;=in_marketplace_from,d_hz_loan_lap*G1700,0)*CC1700)</f>
        <v/>
      </c>
      <c r="CC1701" s="11">
        <f>MIN(in_approval_cap,in_loan_lap_approval*INDEX('Age profile'!$O$2:$O$61,B1701)*(1+in_approval_growth)^(D1701-1))</f>
        <v/>
      </c>
      <c r="CD1701" s="14">
        <f>F1701*CB1701*IF(B1701&gt;=in_marketplace_from,d_hz_loan_lap*G1701,0)*CC1701*in_loan_lap_ticket*in_loan_lap_comm</f>
        <v/>
      </c>
      <c r="CE1701" s="14">
        <f>AA1701+AB1701+AC1701+AD1701+AG1701+AJ1701+AM1701+AP1701+AS1701+AU1701+AX1701+BB1701+BE1701+BG1701+BJ1701+BL1701+BO1701+BR1701+BT1701+BV1701+BX1701+CA1701+CD1701</f>
        <v/>
      </c>
    </row>
    <row r="1702">
      <c r="A1702" s="39" t="n">
        <v>45</v>
      </c>
      <c r="B1702" s="39" t="n">
        <v>7</v>
      </c>
      <c r="C1702" s="39">
        <f>A1702+B1702-1</f>
        <v/>
      </c>
      <c r="D1702" s="39">
        <f>INT((C1702-1)/12)+1</f>
        <v/>
      </c>
      <c r="E1702" s="44">
        <f>INDEX(Monthly!$B$2:$B$61,A1702)</f>
        <v/>
      </c>
      <c r="F1702" s="44">
        <f>E1702*INDEX('Age profile'!$B$2:$B$61,B1702)</f>
        <v/>
      </c>
      <c r="G1702" s="45">
        <f>MIN(in_takeup_cap,INDEX('Age profile'!$N$2:$N$61,B1702)*(1+in_takeup_growth)^(D1702-1))</f>
        <v/>
      </c>
      <c r="H1702" s="11">
        <f>MIN(in_approval_cap,in_approved_first*INDEX('Age profile'!$O$2:$O$61,B1702)*(1+in_approval_growth)^(D1702-1))</f>
        <v/>
      </c>
      <c r="I1702" s="45">
        <f>G1702*MIN(in_takeup_cap,INDEX('Age profile'!$O$2:$O$61,B1702)*(1+in_approval_growth)^(D1702-1))</f>
        <v/>
      </c>
      <c r="J1702" s="40">
        <f>(J1701-L1701)*F1702/F1701</f>
        <v/>
      </c>
      <c r="K1702" s="40">
        <f>(K1701-M1701)*F1702/F1701+SUMIFS(O1696:O1701,B1696:B1701,B1702-1-d_T)*F1702</f>
        <v/>
      </c>
      <c r="L1702" s="40">
        <f>IF(B1702&gt;=in_marketplace_from,J1702*d_hz*G1702*in_eligible*H1702,0)</f>
        <v/>
      </c>
      <c r="M1702" s="40">
        <f>IF(B1702&gt;=in_marketplace_from,K1702*d_hz*G1702*in_eligible*in_approved_repeat,0)</f>
        <v/>
      </c>
      <c r="N1702" s="40">
        <f>L1702+M1702</f>
        <v/>
      </c>
      <c r="O1702" s="46">
        <f>N1702/F1702</f>
        <v/>
      </c>
      <c r="P1702" s="40">
        <f>F1702-J1702-K1702</f>
        <v/>
      </c>
      <c r="Q1702" s="40">
        <f>IF(B1702&gt;=in_marketplace_from,(J1702+K1702)*d_hz*G1702,0)</f>
        <v/>
      </c>
      <c r="R1702" s="40">
        <f>SUMIFS(N1696:N1711,B1696:B1711,"&gt;="&amp;(B1702-d_T),B1696:B1711,"&lt;="&amp;(B1702-1))</f>
        <v/>
      </c>
      <c r="S1702" s="46">
        <f>(1-d_u)*S1701+IF(d_T&gt;in_topup_lag,SUMIFS(O1696:O1711,B1696:B1711,B1702-in_topup_lag)-d_udrop*SUMIFS(O1696:O1711,B1696:B1711,B1702-d_T),0)</f>
        <v/>
      </c>
      <c r="T1702" s="40">
        <f>F1702*d_u*S1702</f>
        <v/>
      </c>
      <c r="U1702" s="9">
        <f>L1702*in_ticket+M1702*d_rep_ticket</f>
        <v/>
      </c>
      <c r="V1702" s="9">
        <f>U1702+T1702*d_topup_amt</f>
        <v/>
      </c>
      <c r="W1702" s="40">
        <f>N1702+T1702*d_topup_ratio</f>
        <v/>
      </c>
      <c r="X1702" s="40">
        <f>SUMIFS(W1696:W1711,B1696:B1711,B1702-in_dpd_lag)*d_cured</f>
        <v/>
      </c>
      <c r="Y1702" s="40">
        <f>SUMIFS(W1696:W1711,B1696:B1711,B1702-in_rec_lag)*d_recd</f>
        <v/>
      </c>
      <c r="Z1702" s="40">
        <f>IF(AND(B1702&gt;=in_marketplace_from,B1702&lt;in_marketplace_from+in_card_months),in_card_share/in_card_months*F1702*I1702,IF(AND(B1702&gt;=in_marketplace_from+in_card_months,B1702&lt;in_marketplace_from+2*in_card_months),in_card_share*d_card_rem/in_card_months*F1702*MIN(in_takeup_cap,(1+in_takeup_growth)^(D1702-1))*MIN(in_takeup_cap,(1+in_approval_growth)^(D1702-1)),0))</f>
        <v/>
      </c>
      <c r="AA1702" s="14">
        <f>V1702*in_fee*(1-in_taken_back)</f>
        <v/>
      </c>
      <c r="AB1702" s="14">
        <f>SUMIFS(W1696:W1711,B1696:B1711,B1702-in_dpd_lag)*d_dpd</f>
        <v/>
      </c>
      <c r="AC1702" s="14">
        <f>SUMIFS(W1696:W1711,B1696:B1711,B1702-in_rec_lag)*d_rec</f>
        <v/>
      </c>
      <c r="AD1702" s="14">
        <f>Z1702*in_card_fee</f>
        <v/>
      </c>
      <c r="AE1702" s="40">
        <f>AE1701*(1-IF(B1701&gt;=in_marketplace_from,d_hz_hlth_small*G1701,0))</f>
        <v/>
      </c>
      <c r="AF1702" s="46">
        <f>AE1702*IF(B1702&gt;=in_marketplace_from,d_hz_hlth_small*G1702,0)</f>
        <v/>
      </c>
      <c r="AG1702" s="14">
        <f>F1702*AF1702*in_hlth_small_ticket*in_hlth_small_comm*in_ins_partner_share+F1702*in_hlth_small_ticket*in_hlth_small_renew_comm*in_ins_partner_share*(in_hlth_small_renew^1*SUMIFS(AF1696:AF1711,B1696:B1711,B1702-12)+in_hlth_small_renew^2*SUMIFS(AF1696:AF1711,B1696:B1711,B1702-24)+in_hlth_small_renew^3*SUMIFS(AF1696:AF1711,B1696:B1711,B1702-36)+in_hlth_small_renew^4*SUMIFS(AF1696:AF1711,B1696:B1711,B1702-48))</f>
        <v/>
      </c>
      <c r="AH1702" s="40">
        <f>AH1701*(1-IF(B1701&gt;=in_marketplace_from,d_hz_hlth_family*G1701,0))</f>
        <v/>
      </c>
      <c r="AI1702" s="46">
        <f>AH1702*IF(B1702&gt;=in_marketplace_from,d_hz_hlth_family*G1702,0)</f>
        <v/>
      </c>
      <c r="AJ1702" s="14">
        <f>F1702*AI1702*in_hlth_family_ticket*in_hlth_family_comm*in_ins_partner_share+F1702*in_hlth_family_ticket*in_hlth_family_renew_comm*in_ins_partner_share*(in_hlth_family_renew^1*SUMIFS(AI1696:AI1711,B1696:B1711,B1702-12)+in_hlth_family_renew^2*SUMIFS(AI1696:AI1711,B1696:B1711,B1702-24)+in_hlth_family_renew^3*SUMIFS(AI1696:AI1711,B1696:B1711,B1702-36)+in_hlth_family_renew^4*SUMIFS(AI1696:AI1711,B1696:B1711,B1702-48))</f>
        <v/>
      </c>
      <c r="AK1702" s="40">
        <f>AK1701*(1-IF(B1701&gt;=in_marketplace_from,d_hz_life_term*G1701,0))</f>
        <v/>
      </c>
      <c r="AL1702" s="46">
        <f>AK1702*IF(B1702&gt;=in_marketplace_from,d_hz_life_term*G1702,0)</f>
        <v/>
      </c>
      <c r="AM1702" s="14">
        <f>F1702*AL1702*in_life_term_ticket*in_life_term_comm*in_ins_partner_share+F1702*in_life_term_ticket*in_life_term_renew_comm*in_ins_partner_share*(in_life_term_renew^1*SUMIFS(AL1696:AL1711,B1696:B1711,B1702-12)+in_life_term_renew^2*SUMIFS(AL1696:AL1711,B1696:B1711,B1702-24)+in_life_term_renew^3*SUMIFS(AL1696:AL1711,B1696:B1711,B1702-36)+in_life_term_renew^4*SUMIFS(AL1696:AL1711,B1696:B1711,B1702-48))</f>
        <v/>
      </c>
      <c r="AN1702" s="40">
        <f>AN1701*(1-IF(B1701&gt;=in_marketplace_from,d_hz_accident*G1701,0))</f>
        <v/>
      </c>
      <c r="AO1702" s="46">
        <f>AN1702*IF(B1702&gt;=in_marketplace_from,d_hz_accident*G1702,0)</f>
        <v/>
      </c>
      <c r="AP1702" s="14">
        <f>F1702*AO1702*in_accident_ticket*in_accident_comm*in_ins_partner_share+F1702*in_accident_ticket*in_accident_renew_comm*in_ins_partner_share*(in_accident_renew^1*SUMIFS(AO1696:AO1711,B1696:B1711,B1702-12)+in_accident_renew^2*SUMIFS(AO1696:AO1711,B1696:B1711,B1702-24)+in_accident_renew^3*SUMIFS(AO1696:AO1711,B1696:B1711,B1702-36)+in_accident_renew^4*SUMIFS(AO1696:AO1711,B1696:B1711,B1702-48))</f>
        <v/>
      </c>
      <c r="AQ1702" s="40">
        <f>AQ1701*(1-IF(B1701&gt;=in_marketplace_from,d_hz_two_wheeler*G1701,0))</f>
        <v/>
      </c>
      <c r="AR1702" s="46">
        <f>AQ1702*IF(B1702&gt;=in_marketplace_from,d_hz_two_wheeler*G1702,0)</f>
        <v/>
      </c>
      <c r="AS1702" s="14">
        <f>F1702*AR1702*in_two_wheeler_ticket*in_two_wheeler_comm*in_ins_partner_share+F1702*in_two_wheeler_ticket*in_two_wheeler_comm*in_ins_partner_share*(in_two_wheeler_renew^1*SUMIFS(AR1696:AR1711,B1696:B1711,B1702-12)+in_two_wheeler_renew^2*SUMIFS(AR1696:AR1711,B1696:B1711,B1702-24)+in_two_wheeler_renew^3*SUMIFS(AR1696:AR1711,B1696:B1711,B1702-36)+in_two_wheeler_renew^4*SUMIFS(AR1696:AR1711,B1696:B1711,B1702-48))</f>
        <v/>
      </c>
      <c r="AT1702" s="40">
        <f>AT1701*(1-IF(B1701&gt;=in_marketplace_from,d_hz_device*G1701,0))</f>
        <v/>
      </c>
      <c r="AU1702" s="14">
        <f>F1702*AT1702*IF(B1702&gt;=in_marketplace_from,d_hz_device*G1702,0)*in_device_ticket*in_device_comm*in_ins_partner_share</f>
        <v/>
      </c>
      <c r="AV1702" s="40">
        <f>AV1701*(1-IF(B1701&gt;=in_marketplace_from,d_hz_shop*G1701,0))</f>
        <v/>
      </c>
      <c r="AW1702" s="46">
        <f>AV1702*IF(B1702&gt;=in_marketplace_from,d_hz_shop*G1702,0)</f>
        <v/>
      </c>
      <c r="AX1702" s="14">
        <f>F1702*AW1702*in_shop_ticket*in_shop_comm*in_ins_partner_share+F1702*in_shop_ticket*in_shop_renew_comm*in_ins_partner_share*(in_shop_renew^1*SUMIFS(AW1696:AW1711,B1696:B1711,B1702-12)+in_shop_renew^2*SUMIFS(AW1696:AW1711,B1696:B1711,B1702-24)+in_shop_renew^3*SUMIFS(AW1696:AW1711,B1696:B1711,B1702-36)+in_shop_renew^4*SUMIFS(AW1696:AW1711,B1696:B1711,B1702-48))</f>
        <v/>
      </c>
      <c r="AY1702" s="40">
        <f>AY1701*(1-IF(B1701&gt;=in_marketplace_from,d_hz_sip*G1701,0))</f>
        <v/>
      </c>
      <c r="AZ1702" s="40">
        <f>AZ1701*d_rho_sip+AY1702*IF(B1702&gt;=in_marketplace_from,d_hz_sip*G1702,0)</f>
        <v/>
      </c>
      <c r="BA1702" s="40">
        <f>d_rho_sip*(BA1701+AZ1701)</f>
        <v/>
      </c>
      <c r="BB1702" s="14">
        <f>F1702*in_sip_ticket*(BA1702+0.5*AZ1702)*in_sip_comm/12</f>
        <v/>
      </c>
      <c r="BC1702" s="40">
        <f>BC1701*(1-IF(B1701&gt;=in_marketplace_from,d_hz_choti*G1701,0))</f>
        <v/>
      </c>
      <c r="BD1702" s="46">
        <f>BC1702*IF(B1702&gt;=in_marketplace_from,d_hz_choti*G1702,0)</f>
        <v/>
      </c>
      <c r="BE1702" s="14">
        <f>F1702*SUMIFS(BD1696:BD1711,B1696:B1711,B1702-in_choti_months)*in_choti_renew*in_choti_ticket</f>
        <v/>
      </c>
      <c r="BF1702" s="40">
        <f>BF1701*(1-IF(B1701&gt;=in_marketplace_from,d_hz_nps*G1701,0))</f>
        <v/>
      </c>
      <c r="BG1702" s="14">
        <f>F1702*BF1702*IF(B1702&gt;=in_marketplace_from,d_hz_nps*G1702,0)*in_nps_ticket*in_nps_comm</f>
        <v/>
      </c>
      <c r="BH1702" s="40">
        <f>BH1701*(1-IF(B1701&gt;=in_marketplace_from,d_hz_gold*G1701,0))</f>
        <v/>
      </c>
      <c r="BI1702" s="40">
        <f>BI1701*d_rho_gold+BH1702*IF(B1702&gt;=in_marketplace_from,d_hz_gold*G1702,0)</f>
        <v/>
      </c>
      <c r="BJ1702" s="14">
        <f>F1702*BI1702*in_gold_ticket*in_gold_comm</f>
        <v/>
      </c>
      <c r="BK1702" s="40">
        <f>BK1701*(1-IF(B1701&gt;=in_marketplace_from,d_hz_fd*G1701,0))</f>
        <v/>
      </c>
      <c r="BL1702" s="14">
        <f>F1702*BK1702*IF(B1702&gt;=in_marketplace_from,d_hz_fd*G1702,0)*in_fd_ticket*in_fd_comm</f>
        <v/>
      </c>
      <c r="BM1702" s="40">
        <f>BM1701*(1-IF(B1701&gt;=in_marketplace_from,d_hz_recharge*G1701,0))</f>
        <v/>
      </c>
      <c r="BN1702" s="40">
        <f>BN1701*d_rho_recharge+BM1702*IF(B1702&gt;=in_marketplace_from,d_hz_recharge*G1702,0)</f>
        <v/>
      </c>
      <c r="BO1702" s="14">
        <f>F1702*BN1702*in_recharge_ticket*in_recharge_comm/12</f>
        <v/>
      </c>
      <c r="BP1702" s="40">
        <f>BP1701*(1-IF(B1701&gt;=in_marketplace_from,d_hz_bills*G1701,0))</f>
        <v/>
      </c>
      <c r="BQ1702" s="40">
        <f>BQ1701*d_rho_bills+BP1702*IF(B1702&gt;=in_marketplace_from,d_hz_bills*G1702,0)</f>
        <v/>
      </c>
      <c r="BR1702" s="14">
        <f>F1702*BQ1702*in_bills_ticket*in_bills_comm/12</f>
        <v/>
      </c>
      <c r="BS1702" s="40">
        <f>BS1701*(1-IF(B1701&gt;=in_marketplace_from,d_hz_loan_gold*G1701,0))</f>
        <v/>
      </c>
      <c r="BT1702" s="14">
        <f>F1702*BS1702*IF(B1702&gt;=in_marketplace_from,d_hz_loan_gold*G1702,0)*in_loan_gold_ticket*in_loan_gold_comm</f>
        <v/>
      </c>
      <c r="BU1702" s="40">
        <f>BU1701*(1-IF(B1701&gt;=in_marketplace_from,d_hz_loan_cd*G1701,0))</f>
        <v/>
      </c>
      <c r="BV1702" s="14">
        <f>F1702*BU1702*IF(B1702&gt;=in_marketplace_from,d_hz_loan_cd*G1702,0)*in_loan_cd_ticket*in_loan_cd_comm</f>
        <v/>
      </c>
      <c r="BW1702" s="40">
        <f>BW1701*(1-IF(B1701&gt;=in_marketplace_from,d_hz_loan_vehicle*G1701,0))</f>
        <v/>
      </c>
      <c r="BX1702" s="14">
        <f>F1702*BW1702*IF(B1702&gt;=in_marketplace_from,d_hz_loan_vehicle*G1702,0)*in_loan_vehicle_ticket*in_loan_vehicle_comm</f>
        <v/>
      </c>
      <c r="BY1702" s="40">
        <f>BY1701*(1-IF(B1701&gt;=in_marketplace_from,d_hz_loan_home*G1701,0)*BZ1701)</f>
        <v/>
      </c>
      <c r="BZ1702" s="11">
        <f>MIN(in_approval_cap,in_loan_home_approval*INDEX('Age profile'!$O$2:$O$61,B1702)*(1+in_approval_growth)^(D1702-1))</f>
        <v/>
      </c>
      <c r="CA1702" s="14">
        <f>F1702*BY1702*IF(B1702&gt;=in_marketplace_from,d_hz_loan_home*G1702,0)*BZ1702*in_loan_home_ticket*in_loan_home_comm</f>
        <v/>
      </c>
      <c r="CB1702" s="40">
        <f>CB1701*(1-IF(B1701&gt;=in_marketplace_from,d_hz_loan_lap*G1701,0)*CC1701)</f>
        <v/>
      </c>
      <c r="CC1702" s="11">
        <f>MIN(in_approval_cap,in_loan_lap_approval*INDEX('Age profile'!$O$2:$O$61,B1702)*(1+in_approval_growth)^(D1702-1))</f>
        <v/>
      </c>
      <c r="CD1702" s="14">
        <f>F1702*CB1702*IF(B1702&gt;=in_marketplace_from,d_hz_loan_lap*G1702,0)*CC1702*in_loan_lap_ticket*in_loan_lap_comm</f>
        <v/>
      </c>
      <c r="CE1702" s="14">
        <f>AA1702+AB1702+AC1702+AD1702+AG1702+AJ1702+AM1702+AP1702+AS1702+AU1702+AX1702+BB1702+BE1702+BG1702+BJ1702+BL1702+BO1702+BR1702+BT1702+BV1702+BX1702+CA1702+CD1702</f>
        <v/>
      </c>
    </row>
    <row r="1703">
      <c r="A1703" s="39" t="n">
        <v>45</v>
      </c>
      <c r="B1703" s="39" t="n">
        <v>8</v>
      </c>
      <c r="C1703" s="39">
        <f>A1703+B1703-1</f>
        <v/>
      </c>
      <c r="D1703" s="39">
        <f>INT((C1703-1)/12)+1</f>
        <v/>
      </c>
      <c r="E1703" s="44">
        <f>INDEX(Monthly!$B$2:$B$61,A1703)</f>
        <v/>
      </c>
      <c r="F1703" s="44">
        <f>E1703*INDEX('Age profile'!$B$2:$B$61,B1703)</f>
        <v/>
      </c>
      <c r="G1703" s="45">
        <f>MIN(in_takeup_cap,INDEX('Age profile'!$N$2:$N$61,B1703)*(1+in_takeup_growth)^(D1703-1))</f>
        <v/>
      </c>
      <c r="H1703" s="11">
        <f>MIN(in_approval_cap,in_approved_first*INDEX('Age profile'!$O$2:$O$61,B1703)*(1+in_approval_growth)^(D1703-1))</f>
        <v/>
      </c>
      <c r="I1703" s="45">
        <f>G1703*MIN(in_takeup_cap,INDEX('Age profile'!$O$2:$O$61,B1703)*(1+in_approval_growth)^(D1703-1))</f>
        <v/>
      </c>
      <c r="J1703" s="40">
        <f>(J1702-L1702)*F1703/F1702</f>
        <v/>
      </c>
      <c r="K1703" s="40">
        <f>(K1702-M1702)*F1703/F1702+SUMIFS(O1696:O1702,B1696:B1702,B1703-1-d_T)*F1703</f>
        <v/>
      </c>
      <c r="L1703" s="40">
        <f>IF(B1703&gt;=in_marketplace_from,J1703*d_hz*G1703*in_eligible*H1703,0)</f>
        <v/>
      </c>
      <c r="M1703" s="40">
        <f>IF(B1703&gt;=in_marketplace_from,K1703*d_hz*G1703*in_eligible*in_approved_repeat,0)</f>
        <v/>
      </c>
      <c r="N1703" s="40">
        <f>L1703+M1703</f>
        <v/>
      </c>
      <c r="O1703" s="46">
        <f>N1703/F1703</f>
        <v/>
      </c>
      <c r="P1703" s="40">
        <f>F1703-J1703-K1703</f>
        <v/>
      </c>
      <c r="Q1703" s="40">
        <f>IF(B1703&gt;=in_marketplace_from,(J1703+K1703)*d_hz*G1703,0)</f>
        <v/>
      </c>
      <c r="R1703" s="40">
        <f>SUMIFS(N1696:N1711,B1696:B1711,"&gt;="&amp;(B1703-d_T),B1696:B1711,"&lt;="&amp;(B1703-1))</f>
        <v/>
      </c>
      <c r="S1703" s="46">
        <f>(1-d_u)*S1702+IF(d_T&gt;in_topup_lag,SUMIFS(O1696:O1711,B1696:B1711,B1703-in_topup_lag)-d_udrop*SUMIFS(O1696:O1711,B1696:B1711,B1703-d_T),0)</f>
        <v/>
      </c>
      <c r="T1703" s="40">
        <f>F1703*d_u*S1703</f>
        <v/>
      </c>
      <c r="U1703" s="9">
        <f>L1703*in_ticket+M1703*d_rep_ticket</f>
        <v/>
      </c>
      <c r="V1703" s="9">
        <f>U1703+T1703*d_topup_amt</f>
        <v/>
      </c>
      <c r="W1703" s="40">
        <f>N1703+T1703*d_topup_ratio</f>
        <v/>
      </c>
      <c r="X1703" s="40">
        <f>SUMIFS(W1696:W1711,B1696:B1711,B1703-in_dpd_lag)*d_cured</f>
        <v/>
      </c>
      <c r="Y1703" s="40">
        <f>SUMIFS(W1696:W1711,B1696:B1711,B1703-in_rec_lag)*d_recd</f>
        <v/>
      </c>
      <c r="Z1703" s="40">
        <f>IF(AND(B1703&gt;=in_marketplace_from,B1703&lt;in_marketplace_from+in_card_months),in_card_share/in_card_months*F1703*I1703,IF(AND(B1703&gt;=in_marketplace_from+in_card_months,B1703&lt;in_marketplace_from+2*in_card_months),in_card_share*d_card_rem/in_card_months*F1703*MIN(in_takeup_cap,(1+in_takeup_growth)^(D1703-1))*MIN(in_takeup_cap,(1+in_approval_growth)^(D1703-1)),0))</f>
        <v/>
      </c>
      <c r="AA1703" s="14">
        <f>V1703*in_fee*(1-in_taken_back)</f>
        <v/>
      </c>
      <c r="AB1703" s="14">
        <f>SUMIFS(W1696:W1711,B1696:B1711,B1703-in_dpd_lag)*d_dpd</f>
        <v/>
      </c>
      <c r="AC1703" s="14">
        <f>SUMIFS(W1696:W1711,B1696:B1711,B1703-in_rec_lag)*d_rec</f>
        <v/>
      </c>
      <c r="AD1703" s="14">
        <f>Z1703*in_card_fee</f>
        <v/>
      </c>
      <c r="AE1703" s="40">
        <f>AE1702*(1-IF(B1702&gt;=in_marketplace_from,d_hz_hlth_small*G1702,0))</f>
        <v/>
      </c>
      <c r="AF1703" s="46">
        <f>AE1703*IF(B1703&gt;=in_marketplace_from,d_hz_hlth_small*G1703,0)</f>
        <v/>
      </c>
      <c r="AG1703" s="14">
        <f>F1703*AF1703*in_hlth_small_ticket*in_hlth_small_comm*in_ins_partner_share+F1703*in_hlth_small_ticket*in_hlth_small_renew_comm*in_ins_partner_share*(in_hlth_small_renew^1*SUMIFS(AF1696:AF1711,B1696:B1711,B1703-12)+in_hlth_small_renew^2*SUMIFS(AF1696:AF1711,B1696:B1711,B1703-24)+in_hlth_small_renew^3*SUMIFS(AF1696:AF1711,B1696:B1711,B1703-36)+in_hlth_small_renew^4*SUMIFS(AF1696:AF1711,B1696:B1711,B1703-48))</f>
        <v/>
      </c>
      <c r="AH1703" s="40">
        <f>AH1702*(1-IF(B1702&gt;=in_marketplace_from,d_hz_hlth_family*G1702,0))</f>
        <v/>
      </c>
      <c r="AI1703" s="46">
        <f>AH1703*IF(B1703&gt;=in_marketplace_from,d_hz_hlth_family*G1703,0)</f>
        <v/>
      </c>
      <c r="AJ1703" s="14">
        <f>F1703*AI1703*in_hlth_family_ticket*in_hlth_family_comm*in_ins_partner_share+F1703*in_hlth_family_ticket*in_hlth_family_renew_comm*in_ins_partner_share*(in_hlth_family_renew^1*SUMIFS(AI1696:AI1711,B1696:B1711,B1703-12)+in_hlth_family_renew^2*SUMIFS(AI1696:AI1711,B1696:B1711,B1703-24)+in_hlth_family_renew^3*SUMIFS(AI1696:AI1711,B1696:B1711,B1703-36)+in_hlth_family_renew^4*SUMIFS(AI1696:AI1711,B1696:B1711,B1703-48))</f>
        <v/>
      </c>
      <c r="AK1703" s="40">
        <f>AK1702*(1-IF(B1702&gt;=in_marketplace_from,d_hz_life_term*G1702,0))</f>
        <v/>
      </c>
      <c r="AL1703" s="46">
        <f>AK1703*IF(B1703&gt;=in_marketplace_from,d_hz_life_term*G1703,0)</f>
        <v/>
      </c>
      <c r="AM1703" s="14">
        <f>F1703*AL1703*in_life_term_ticket*in_life_term_comm*in_ins_partner_share+F1703*in_life_term_ticket*in_life_term_renew_comm*in_ins_partner_share*(in_life_term_renew^1*SUMIFS(AL1696:AL1711,B1696:B1711,B1703-12)+in_life_term_renew^2*SUMIFS(AL1696:AL1711,B1696:B1711,B1703-24)+in_life_term_renew^3*SUMIFS(AL1696:AL1711,B1696:B1711,B1703-36)+in_life_term_renew^4*SUMIFS(AL1696:AL1711,B1696:B1711,B1703-48))</f>
        <v/>
      </c>
      <c r="AN1703" s="40">
        <f>AN1702*(1-IF(B1702&gt;=in_marketplace_from,d_hz_accident*G1702,0))</f>
        <v/>
      </c>
      <c r="AO1703" s="46">
        <f>AN1703*IF(B1703&gt;=in_marketplace_from,d_hz_accident*G1703,0)</f>
        <v/>
      </c>
      <c r="AP1703" s="14">
        <f>F1703*AO1703*in_accident_ticket*in_accident_comm*in_ins_partner_share+F1703*in_accident_ticket*in_accident_renew_comm*in_ins_partner_share*(in_accident_renew^1*SUMIFS(AO1696:AO1711,B1696:B1711,B1703-12)+in_accident_renew^2*SUMIFS(AO1696:AO1711,B1696:B1711,B1703-24)+in_accident_renew^3*SUMIFS(AO1696:AO1711,B1696:B1711,B1703-36)+in_accident_renew^4*SUMIFS(AO1696:AO1711,B1696:B1711,B1703-48))</f>
        <v/>
      </c>
      <c r="AQ1703" s="40">
        <f>AQ1702*(1-IF(B1702&gt;=in_marketplace_from,d_hz_two_wheeler*G1702,0))</f>
        <v/>
      </c>
      <c r="AR1703" s="46">
        <f>AQ1703*IF(B1703&gt;=in_marketplace_from,d_hz_two_wheeler*G1703,0)</f>
        <v/>
      </c>
      <c r="AS1703" s="14">
        <f>F1703*AR1703*in_two_wheeler_ticket*in_two_wheeler_comm*in_ins_partner_share+F1703*in_two_wheeler_ticket*in_two_wheeler_comm*in_ins_partner_share*(in_two_wheeler_renew^1*SUMIFS(AR1696:AR1711,B1696:B1711,B1703-12)+in_two_wheeler_renew^2*SUMIFS(AR1696:AR1711,B1696:B1711,B1703-24)+in_two_wheeler_renew^3*SUMIFS(AR1696:AR1711,B1696:B1711,B1703-36)+in_two_wheeler_renew^4*SUMIFS(AR1696:AR1711,B1696:B1711,B1703-48))</f>
        <v/>
      </c>
      <c r="AT1703" s="40">
        <f>AT1702*(1-IF(B1702&gt;=in_marketplace_from,d_hz_device*G1702,0))</f>
        <v/>
      </c>
      <c r="AU1703" s="14">
        <f>F1703*AT1703*IF(B1703&gt;=in_marketplace_from,d_hz_device*G1703,0)*in_device_ticket*in_device_comm*in_ins_partner_share</f>
        <v/>
      </c>
      <c r="AV1703" s="40">
        <f>AV1702*(1-IF(B1702&gt;=in_marketplace_from,d_hz_shop*G1702,0))</f>
        <v/>
      </c>
      <c r="AW1703" s="46">
        <f>AV1703*IF(B1703&gt;=in_marketplace_from,d_hz_shop*G1703,0)</f>
        <v/>
      </c>
      <c r="AX1703" s="14">
        <f>F1703*AW1703*in_shop_ticket*in_shop_comm*in_ins_partner_share+F1703*in_shop_ticket*in_shop_renew_comm*in_ins_partner_share*(in_shop_renew^1*SUMIFS(AW1696:AW1711,B1696:B1711,B1703-12)+in_shop_renew^2*SUMIFS(AW1696:AW1711,B1696:B1711,B1703-24)+in_shop_renew^3*SUMIFS(AW1696:AW1711,B1696:B1711,B1703-36)+in_shop_renew^4*SUMIFS(AW1696:AW1711,B1696:B1711,B1703-48))</f>
        <v/>
      </c>
      <c r="AY1703" s="40">
        <f>AY1702*(1-IF(B1702&gt;=in_marketplace_from,d_hz_sip*G1702,0))</f>
        <v/>
      </c>
      <c r="AZ1703" s="40">
        <f>AZ1702*d_rho_sip+AY1703*IF(B1703&gt;=in_marketplace_from,d_hz_sip*G1703,0)</f>
        <v/>
      </c>
      <c r="BA1703" s="40">
        <f>d_rho_sip*(BA1702+AZ1702)</f>
        <v/>
      </c>
      <c r="BB1703" s="14">
        <f>F1703*in_sip_ticket*(BA1703+0.5*AZ1703)*in_sip_comm/12</f>
        <v/>
      </c>
      <c r="BC1703" s="40">
        <f>BC1702*(1-IF(B1702&gt;=in_marketplace_from,d_hz_choti*G1702,0))</f>
        <v/>
      </c>
      <c r="BD1703" s="46">
        <f>BC1703*IF(B1703&gt;=in_marketplace_from,d_hz_choti*G1703,0)</f>
        <v/>
      </c>
      <c r="BE1703" s="14">
        <f>F1703*SUMIFS(BD1696:BD1711,B1696:B1711,B1703-in_choti_months)*in_choti_renew*in_choti_ticket</f>
        <v/>
      </c>
      <c r="BF1703" s="40">
        <f>BF1702*(1-IF(B1702&gt;=in_marketplace_from,d_hz_nps*G1702,0))</f>
        <v/>
      </c>
      <c r="BG1703" s="14">
        <f>F1703*BF1703*IF(B1703&gt;=in_marketplace_from,d_hz_nps*G1703,0)*in_nps_ticket*in_nps_comm</f>
        <v/>
      </c>
      <c r="BH1703" s="40">
        <f>BH1702*(1-IF(B1702&gt;=in_marketplace_from,d_hz_gold*G1702,0))</f>
        <v/>
      </c>
      <c r="BI1703" s="40">
        <f>BI1702*d_rho_gold+BH1703*IF(B1703&gt;=in_marketplace_from,d_hz_gold*G1703,0)</f>
        <v/>
      </c>
      <c r="BJ1703" s="14">
        <f>F1703*BI1703*in_gold_ticket*in_gold_comm</f>
        <v/>
      </c>
      <c r="BK1703" s="40">
        <f>BK1702*(1-IF(B1702&gt;=in_marketplace_from,d_hz_fd*G1702,0))</f>
        <v/>
      </c>
      <c r="BL1703" s="14">
        <f>F1703*BK1703*IF(B1703&gt;=in_marketplace_from,d_hz_fd*G1703,0)*in_fd_ticket*in_fd_comm</f>
        <v/>
      </c>
      <c r="BM1703" s="40">
        <f>BM1702*(1-IF(B1702&gt;=in_marketplace_from,d_hz_recharge*G1702,0))</f>
        <v/>
      </c>
      <c r="BN1703" s="40">
        <f>BN1702*d_rho_recharge+BM1703*IF(B1703&gt;=in_marketplace_from,d_hz_recharge*G1703,0)</f>
        <v/>
      </c>
      <c r="BO1703" s="14">
        <f>F1703*BN1703*in_recharge_ticket*in_recharge_comm/12</f>
        <v/>
      </c>
      <c r="BP1703" s="40">
        <f>BP1702*(1-IF(B1702&gt;=in_marketplace_from,d_hz_bills*G1702,0))</f>
        <v/>
      </c>
      <c r="BQ1703" s="40">
        <f>BQ1702*d_rho_bills+BP1703*IF(B1703&gt;=in_marketplace_from,d_hz_bills*G1703,0)</f>
        <v/>
      </c>
      <c r="BR1703" s="14">
        <f>F1703*BQ1703*in_bills_ticket*in_bills_comm/12</f>
        <v/>
      </c>
      <c r="BS1703" s="40">
        <f>BS1702*(1-IF(B1702&gt;=in_marketplace_from,d_hz_loan_gold*G1702,0))</f>
        <v/>
      </c>
      <c r="BT1703" s="14">
        <f>F1703*BS1703*IF(B1703&gt;=in_marketplace_from,d_hz_loan_gold*G1703,0)*in_loan_gold_ticket*in_loan_gold_comm</f>
        <v/>
      </c>
      <c r="BU1703" s="40">
        <f>BU1702*(1-IF(B1702&gt;=in_marketplace_from,d_hz_loan_cd*G1702,0))</f>
        <v/>
      </c>
      <c r="BV1703" s="14">
        <f>F1703*BU1703*IF(B1703&gt;=in_marketplace_from,d_hz_loan_cd*G1703,0)*in_loan_cd_ticket*in_loan_cd_comm</f>
        <v/>
      </c>
      <c r="BW1703" s="40">
        <f>BW1702*(1-IF(B1702&gt;=in_marketplace_from,d_hz_loan_vehicle*G1702,0))</f>
        <v/>
      </c>
      <c r="BX1703" s="14">
        <f>F1703*BW1703*IF(B1703&gt;=in_marketplace_from,d_hz_loan_vehicle*G1703,0)*in_loan_vehicle_ticket*in_loan_vehicle_comm</f>
        <v/>
      </c>
      <c r="BY1703" s="40">
        <f>BY1702*(1-IF(B1702&gt;=in_marketplace_from,d_hz_loan_home*G1702,0)*BZ1702)</f>
        <v/>
      </c>
      <c r="BZ1703" s="11">
        <f>MIN(in_approval_cap,in_loan_home_approval*INDEX('Age profile'!$O$2:$O$61,B1703)*(1+in_approval_growth)^(D1703-1))</f>
        <v/>
      </c>
      <c r="CA1703" s="14">
        <f>F1703*BY1703*IF(B1703&gt;=in_marketplace_from,d_hz_loan_home*G1703,0)*BZ1703*in_loan_home_ticket*in_loan_home_comm</f>
        <v/>
      </c>
      <c r="CB1703" s="40">
        <f>CB1702*(1-IF(B1702&gt;=in_marketplace_from,d_hz_loan_lap*G1702,0)*CC1702)</f>
        <v/>
      </c>
      <c r="CC1703" s="11">
        <f>MIN(in_approval_cap,in_loan_lap_approval*INDEX('Age profile'!$O$2:$O$61,B1703)*(1+in_approval_growth)^(D1703-1))</f>
        <v/>
      </c>
      <c r="CD1703" s="14">
        <f>F1703*CB1703*IF(B1703&gt;=in_marketplace_from,d_hz_loan_lap*G1703,0)*CC1703*in_loan_lap_ticket*in_loan_lap_comm</f>
        <v/>
      </c>
      <c r="CE1703" s="14">
        <f>AA1703+AB1703+AC1703+AD1703+AG1703+AJ1703+AM1703+AP1703+AS1703+AU1703+AX1703+BB1703+BE1703+BG1703+BJ1703+BL1703+BO1703+BR1703+BT1703+BV1703+BX1703+CA1703+CD1703</f>
        <v/>
      </c>
    </row>
    <row r="1704">
      <c r="A1704" s="39" t="n">
        <v>45</v>
      </c>
      <c r="B1704" s="39" t="n">
        <v>9</v>
      </c>
      <c r="C1704" s="39">
        <f>A1704+B1704-1</f>
        <v/>
      </c>
      <c r="D1704" s="39">
        <f>INT((C1704-1)/12)+1</f>
        <v/>
      </c>
      <c r="E1704" s="44">
        <f>INDEX(Monthly!$B$2:$B$61,A1704)</f>
        <v/>
      </c>
      <c r="F1704" s="44">
        <f>E1704*INDEX('Age profile'!$B$2:$B$61,B1704)</f>
        <v/>
      </c>
      <c r="G1704" s="45">
        <f>MIN(in_takeup_cap,INDEX('Age profile'!$N$2:$N$61,B1704)*(1+in_takeup_growth)^(D1704-1))</f>
        <v/>
      </c>
      <c r="H1704" s="11">
        <f>MIN(in_approval_cap,in_approved_first*INDEX('Age profile'!$O$2:$O$61,B1704)*(1+in_approval_growth)^(D1704-1))</f>
        <v/>
      </c>
      <c r="I1704" s="45">
        <f>G1704*MIN(in_takeup_cap,INDEX('Age profile'!$O$2:$O$61,B1704)*(1+in_approval_growth)^(D1704-1))</f>
        <v/>
      </c>
      <c r="J1704" s="40">
        <f>(J1703-L1703)*F1704/F1703</f>
        <v/>
      </c>
      <c r="K1704" s="40">
        <f>(K1703-M1703)*F1704/F1703+SUMIFS(O1696:O1703,B1696:B1703,B1704-1-d_T)*F1704</f>
        <v/>
      </c>
      <c r="L1704" s="40">
        <f>IF(B1704&gt;=in_marketplace_from,J1704*d_hz*G1704*in_eligible*H1704,0)</f>
        <v/>
      </c>
      <c r="M1704" s="40">
        <f>IF(B1704&gt;=in_marketplace_from,K1704*d_hz*G1704*in_eligible*in_approved_repeat,0)</f>
        <v/>
      </c>
      <c r="N1704" s="40">
        <f>L1704+M1704</f>
        <v/>
      </c>
      <c r="O1704" s="46">
        <f>N1704/F1704</f>
        <v/>
      </c>
      <c r="P1704" s="40">
        <f>F1704-J1704-K1704</f>
        <v/>
      </c>
      <c r="Q1704" s="40">
        <f>IF(B1704&gt;=in_marketplace_from,(J1704+K1704)*d_hz*G1704,0)</f>
        <v/>
      </c>
      <c r="R1704" s="40">
        <f>SUMIFS(N1696:N1711,B1696:B1711,"&gt;="&amp;(B1704-d_T),B1696:B1711,"&lt;="&amp;(B1704-1))</f>
        <v/>
      </c>
      <c r="S1704" s="46">
        <f>(1-d_u)*S1703+IF(d_T&gt;in_topup_lag,SUMIFS(O1696:O1711,B1696:B1711,B1704-in_topup_lag)-d_udrop*SUMIFS(O1696:O1711,B1696:B1711,B1704-d_T),0)</f>
        <v/>
      </c>
      <c r="T1704" s="40">
        <f>F1704*d_u*S1704</f>
        <v/>
      </c>
      <c r="U1704" s="9">
        <f>L1704*in_ticket+M1704*d_rep_ticket</f>
        <v/>
      </c>
      <c r="V1704" s="9">
        <f>U1704+T1704*d_topup_amt</f>
        <v/>
      </c>
      <c r="W1704" s="40">
        <f>N1704+T1704*d_topup_ratio</f>
        <v/>
      </c>
      <c r="X1704" s="40">
        <f>SUMIFS(W1696:W1711,B1696:B1711,B1704-in_dpd_lag)*d_cured</f>
        <v/>
      </c>
      <c r="Y1704" s="40">
        <f>SUMIFS(W1696:W1711,B1696:B1711,B1704-in_rec_lag)*d_recd</f>
        <v/>
      </c>
      <c r="Z1704" s="40">
        <f>IF(AND(B1704&gt;=in_marketplace_from,B1704&lt;in_marketplace_from+in_card_months),in_card_share/in_card_months*F1704*I1704,IF(AND(B1704&gt;=in_marketplace_from+in_card_months,B1704&lt;in_marketplace_from+2*in_card_months),in_card_share*d_card_rem/in_card_months*F1704*MIN(in_takeup_cap,(1+in_takeup_growth)^(D1704-1))*MIN(in_takeup_cap,(1+in_approval_growth)^(D1704-1)),0))</f>
        <v/>
      </c>
      <c r="AA1704" s="14">
        <f>V1704*in_fee*(1-in_taken_back)</f>
        <v/>
      </c>
      <c r="AB1704" s="14">
        <f>SUMIFS(W1696:W1711,B1696:B1711,B1704-in_dpd_lag)*d_dpd</f>
        <v/>
      </c>
      <c r="AC1704" s="14">
        <f>SUMIFS(W1696:W1711,B1696:B1711,B1704-in_rec_lag)*d_rec</f>
        <v/>
      </c>
      <c r="AD1704" s="14">
        <f>Z1704*in_card_fee</f>
        <v/>
      </c>
      <c r="AE1704" s="40">
        <f>AE1703*(1-IF(B1703&gt;=in_marketplace_from,d_hz_hlth_small*G1703,0))</f>
        <v/>
      </c>
      <c r="AF1704" s="46">
        <f>AE1704*IF(B1704&gt;=in_marketplace_from,d_hz_hlth_small*G1704,0)</f>
        <v/>
      </c>
      <c r="AG1704" s="14">
        <f>F1704*AF1704*in_hlth_small_ticket*in_hlth_small_comm*in_ins_partner_share+F1704*in_hlth_small_ticket*in_hlth_small_renew_comm*in_ins_partner_share*(in_hlth_small_renew^1*SUMIFS(AF1696:AF1711,B1696:B1711,B1704-12)+in_hlth_small_renew^2*SUMIFS(AF1696:AF1711,B1696:B1711,B1704-24)+in_hlth_small_renew^3*SUMIFS(AF1696:AF1711,B1696:B1711,B1704-36)+in_hlth_small_renew^4*SUMIFS(AF1696:AF1711,B1696:B1711,B1704-48))</f>
        <v/>
      </c>
      <c r="AH1704" s="40">
        <f>AH1703*(1-IF(B1703&gt;=in_marketplace_from,d_hz_hlth_family*G1703,0))</f>
        <v/>
      </c>
      <c r="AI1704" s="46">
        <f>AH1704*IF(B1704&gt;=in_marketplace_from,d_hz_hlth_family*G1704,0)</f>
        <v/>
      </c>
      <c r="AJ1704" s="14">
        <f>F1704*AI1704*in_hlth_family_ticket*in_hlth_family_comm*in_ins_partner_share+F1704*in_hlth_family_ticket*in_hlth_family_renew_comm*in_ins_partner_share*(in_hlth_family_renew^1*SUMIFS(AI1696:AI1711,B1696:B1711,B1704-12)+in_hlth_family_renew^2*SUMIFS(AI1696:AI1711,B1696:B1711,B1704-24)+in_hlth_family_renew^3*SUMIFS(AI1696:AI1711,B1696:B1711,B1704-36)+in_hlth_family_renew^4*SUMIFS(AI1696:AI1711,B1696:B1711,B1704-48))</f>
        <v/>
      </c>
      <c r="AK1704" s="40">
        <f>AK1703*(1-IF(B1703&gt;=in_marketplace_from,d_hz_life_term*G1703,0))</f>
        <v/>
      </c>
      <c r="AL1704" s="46">
        <f>AK1704*IF(B1704&gt;=in_marketplace_from,d_hz_life_term*G1704,0)</f>
        <v/>
      </c>
      <c r="AM1704" s="14">
        <f>F1704*AL1704*in_life_term_ticket*in_life_term_comm*in_ins_partner_share+F1704*in_life_term_ticket*in_life_term_renew_comm*in_ins_partner_share*(in_life_term_renew^1*SUMIFS(AL1696:AL1711,B1696:B1711,B1704-12)+in_life_term_renew^2*SUMIFS(AL1696:AL1711,B1696:B1711,B1704-24)+in_life_term_renew^3*SUMIFS(AL1696:AL1711,B1696:B1711,B1704-36)+in_life_term_renew^4*SUMIFS(AL1696:AL1711,B1696:B1711,B1704-48))</f>
        <v/>
      </c>
      <c r="AN1704" s="40">
        <f>AN1703*(1-IF(B1703&gt;=in_marketplace_from,d_hz_accident*G1703,0))</f>
        <v/>
      </c>
      <c r="AO1704" s="46">
        <f>AN1704*IF(B1704&gt;=in_marketplace_from,d_hz_accident*G1704,0)</f>
        <v/>
      </c>
      <c r="AP1704" s="14">
        <f>F1704*AO1704*in_accident_ticket*in_accident_comm*in_ins_partner_share+F1704*in_accident_ticket*in_accident_renew_comm*in_ins_partner_share*(in_accident_renew^1*SUMIFS(AO1696:AO1711,B1696:B1711,B1704-12)+in_accident_renew^2*SUMIFS(AO1696:AO1711,B1696:B1711,B1704-24)+in_accident_renew^3*SUMIFS(AO1696:AO1711,B1696:B1711,B1704-36)+in_accident_renew^4*SUMIFS(AO1696:AO1711,B1696:B1711,B1704-48))</f>
        <v/>
      </c>
      <c r="AQ1704" s="40">
        <f>AQ1703*(1-IF(B1703&gt;=in_marketplace_from,d_hz_two_wheeler*G1703,0))</f>
        <v/>
      </c>
      <c r="AR1704" s="46">
        <f>AQ1704*IF(B1704&gt;=in_marketplace_from,d_hz_two_wheeler*G1704,0)</f>
        <v/>
      </c>
      <c r="AS1704" s="14">
        <f>F1704*AR1704*in_two_wheeler_ticket*in_two_wheeler_comm*in_ins_partner_share+F1704*in_two_wheeler_ticket*in_two_wheeler_comm*in_ins_partner_share*(in_two_wheeler_renew^1*SUMIFS(AR1696:AR1711,B1696:B1711,B1704-12)+in_two_wheeler_renew^2*SUMIFS(AR1696:AR1711,B1696:B1711,B1704-24)+in_two_wheeler_renew^3*SUMIFS(AR1696:AR1711,B1696:B1711,B1704-36)+in_two_wheeler_renew^4*SUMIFS(AR1696:AR1711,B1696:B1711,B1704-48))</f>
        <v/>
      </c>
      <c r="AT1704" s="40">
        <f>AT1703*(1-IF(B1703&gt;=in_marketplace_from,d_hz_device*G1703,0))</f>
        <v/>
      </c>
      <c r="AU1704" s="14">
        <f>F1704*AT1704*IF(B1704&gt;=in_marketplace_from,d_hz_device*G1704,0)*in_device_ticket*in_device_comm*in_ins_partner_share</f>
        <v/>
      </c>
      <c r="AV1704" s="40">
        <f>AV1703*(1-IF(B1703&gt;=in_marketplace_from,d_hz_shop*G1703,0))</f>
        <v/>
      </c>
      <c r="AW1704" s="46">
        <f>AV1704*IF(B1704&gt;=in_marketplace_from,d_hz_shop*G1704,0)</f>
        <v/>
      </c>
      <c r="AX1704" s="14">
        <f>F1704*AW1704*in_shop_ticket*in_shop_comm*in_ins_partner_share+F1704*in_shop_ticket*in_shop_renew_comm*in_ins_partner_share*(in_shop_renew^1*SUMIFS(AW1696:AW1711,B1696:B1711,B1704-12)+in_shop_renew^2*SUMIFS(AW1696:AW1711,B1696:B1711,B1704-24)+in_shop_renew^3*SUMIFS(AW1696:AW1711,B1696:B1711,B1704-36)+in_shop_renew^4*SUMIFS(AW1696:AW1711,B1696:B1711,B1704-48))</f>
        <v/>
      </c>
      <c r="AY1704" s="40">
        <f>AY1703*(1-IF(B1703&gt;=in_marketplace_from,d_hz_sip*G1703,0))</f>
        <v/>
      </c>
      <c r="AZ1704" s="40">
        <f>AZ1703*d_rho_sip+AY1704*IF(B1704&gt;=in_marketplace_from,d_hz_sip*G1704,0)</f>
        <v/>
      </c>
      <c r="BA1704" s="40">
        <f>d_rho_sip*(BA1703+AZ1703)</f>
        <v/>
      </c>
      <c r="BB1704" s="14">
        <f>F1704*in_sip_ticket*(BA1704+0.5*AZ1704)*in_sip_comm/12</f>
        <v/>
      </c>
      <c r="BC1704" s="40">
        <f>BC1703*(1-IF(B1703&gt;=in_marketplace_from,d_hz_choti*G1703,0))</f>
        <v/>
      </c>
      <c r="BD1704" s="46">
        <f>BC1704*IF(B1704&gt;=in_marketplace_from,d_hz_choti*G1704,0)</f>
        <v/>
      </c>
      <c r="BE1704" s="14">
        <f>F1704*SUMIFS(BD1696:BD1711,B1696:B1711,B1704-in_choti_months)*in_choti_renew*in_choti_ticket</f>
        <v/>
      </c>
      <c r="BF1704" s="40">
        <f>BF1703*(1-IF(B1703&gt;=in_marketplace_from,d_hz_nps*G1703,0))</f>
        <v/>
      </c>
      <c r="BG1704" s="14">
        <f>F1704*BF1704*IF(B1704&gt;=in_marketplace_from,d_hz_nps*G1704,0)*in_nps_ticket*in_nps_comm</f>
        <v/>
      </c>
      <c r="BH1704" s="40">
        <f>BH1703*(1-IF(B1703&gt;=in_marketplace_from,d_hz_gold*G1703,0))</f>
        <v/>
      </c>
      <c r="BI1704" s="40">
        <f>BI1703*d_rho_gold+BH1704*IF(B1704&gt;=in_marketplace_from,d_hz_gold*G1704,0)</f>
        <v/>
      </c>
      <c r="BJ1704" s="14">
        <f>F1704*BI1704*in_gold_ticket*in_gold_comm</f>
        <v/>
      </c>
      <c r="BK1704" s="40">
        <f>BK1703*(1-IF(B1703&gt;=in_marketplace_from,d_hz_fd*G1703,0))</f>
        <v/>
      </c>
      <c r="BL1704" s="14">
        <f>F1704*BK1704*IF(B1704&gt;=in_marketplace_from,d_hz_fd*G1704,0)*in_fd_ticket*in_fd_comm</f>
        <v/>
      </c>
      <c r="BM1704" s="40">
        <f>BM1703*(1-IF(B1703&gt;=in_marketplace_from,d_hz_recharge*G1703,0))</f>
        <v/>
      </c>
      <c r="BN1704" s="40">
        <f>BN1703*d_rho_recharge+BM1704*IF(B1704&gt;=in_marketplace_from,d_hz_recharge*G1704,0)</f>
        <v/>
      </c>
      <c r="BO1704" s="14">
        <f>F1704*BN1704*in_recharge_ticket*in_recharge_comm/12</f>
        <v/>
      </c>
      <c r="BP1704" s="40">
        <f>BP1703*(1-IF(B1703&gt;=in_marketplace_from,d_hz_bills*G1703,0))</f>
        <v/>
      </c>
      <c r="BQ1704" s="40">
        <f>BQ1703*d_rho_bills+BP1704*IF(B1704&gt;=in_marketplace_from,d_hz_bills*G1704,0)</f>
        <v/>
      </c>
      <c r="BR1704" s="14">
        <f>F1704*BQ1704*in_bills_ticket*in_bills_comm/12</f>
        <v/>
      </c>
      <c r="BS1704" s="40">
        <f>BS1703*(1-IF(B1703&gt;=in_marketplace_from,d_hz_loan_gold*G1703,0))</f>
        <v/>
      </c>
      <c r="BT1704" s="14">
        <f>F1704*BS1704*IF(B1704&gt;=in_marketplace_from,d_hz_loan_gold*G1704,0)*in_loan_gold_ticket*in_loan_gold_comm</f>
        <v/>
      </c>
      <c r="BU1704" s="40">
        <f>BU1703*(1-IF(B1703&gt;=in_marketplace_from,d_hz_loan_cd*G1703,0))</f>
        <v/>
      </c>
      <c r="BV1704" s="14">
        <f>F1704*BU1704*IF(B1704&gt;=in_marketplace_from,d_hz_loan_cd*G1704,0)*in_loan_cd_ticket*in_loan_cd_comm</f>
        <v/>
      </c>
      <c r="BW1704" s="40">
        <f>BW1703*(1-IF(B1703&gt;=in_marketplace_from,d_hz_loan_vehicle*G1703,0))</f>
        <v/>
      </c>
      <c r="BX1704" s="14">
        <f>F1704*BW1704*IF(B1704&gt;=in_marketplace_from,d_hz_loan_vehicle*G1704,0)*in_loan_vehicle_ticket*in_loan_vehicle_comm</f>
        <v/>
      </c>
      <c r="BY1704" s="40">
        <f>BY1703*(1-IF(B1703&gt;=in_marketplace_from,d_hz_loan_home*G1703,0)*BZ1703)</f>
        <v/>
      </c>
      <c r="BZ1704" s="11">
        <f>MIN(in_approval_cap,in_loan_home_approval*INDEX('Age profile'!$O$2:$O$61,B1704)*(1+in_approval_growth)^(D1704-1))</f>
        <v/>
      </c>
      <c r="CA1704" s="14">
        <f>F1704*BY1704*IF(B1704&gt;=in_marketplace_from,d_hz_loan_home*G1704,0)*BZ1704*in_loan_home_ticket*in_loan_home_comm</f>
        <v/>
      </c>
      <c r="CB1704" s="40">
        <f>CB1703*(1-IF(B1703&gt;=in_marketplace_from,d_hz_loan_lap*G1703,0)*CC1703)</f>
        <v/>
      </c>
      <c r="CC1704" s="11">
        <f>MIN(in_approval_cap,in_loan_lap_approval*INDEX('Age profile'!$O$2:$O$61,B1704)*(1+in_approval_growth)^(D1704-1))</f>
        <v/>
      </c>
      <c r="CD1704" s="14">
        <f>F1704*CB1704*IF(B1704&gt;=in_marketplace_from,d_hz_loan_lap*G1704,0)*CC1704*in_loan_lap_ticket*in_loan_lap_comm</f>
        <v/>
      </c>
      <c r="CE1704" s="14">
        <f>AA1704+AB1704+AC1704+AD1704+AG1704+AJ1704+AM1704+AP1704+AS1704+AU1704+AX1704+BB1704+BE1704+BG1704+BJ1704+BL1704+BO1704+BR1704+BT1704+BV1704+BX1704+CA1704+CD1704</f>
        <v/>
      </c>
    </row>
    <row r="1705">
      <c r="A1705" s="39" t="n">
        <v>45</v>
      </c>
      <c r="B1705" s="39" t="n">
        <v>10</v>
      </c>
      <c r="C1705" s="39">
        <f>A1705+B1705-1</f>
        <v/>
      </c>
      <c r="D1705" s="39">
        <f>INT((C1705-1)/12)+1</f>
        <v/>
      </c>
      <c r="E1705" s="44">
        <f>INDEX(Monthly!$B$2:$B$61,A1705)</f>
        <v/>
      </c>
      <c r="F1705" s="44">
        <f>E1705*INDEX('Age profile'!$B$2:$B$61,B1705)</f>
        <v/>
      </c>
      <c r="G1705" s="45">
        <f>MIN(in_takeup_cap,INDEX('Age profile'!$N$2:$N$61,B1705)*(1+in_takeup_growth)^(D1705-1))</f>
        <v/>
      </c>
      <c r="H1705" s="11">
        <f>MIN(in_approval_cap,in_approved_first*INDEX('Age profile'!$O$2:$O$61,B1705)*(1+in_approval_growth)^(D1705-1))</f>
        <v/>
      </c>
      <c r="I1705" s="45">
        <f>G1705*MIN(in_takeup_cap,INDEX('Age profile'!$O$2:$O$61,B1705)*(1+in_approval_growth)^(D1705-1))</f>
        <v/>
      </c>
      <c r="J1705" s="40">
        <f>(J1704-L1704)*F1705/F1704</f>
        <v/>
      </c>
      <c r="K1705" s="40">
        <f>(K1704-M1704)*F1705/F1704+SUMIFS(O1696:O1704,B1696:B1704,B1705-1-d_T)*F1705</f>
        <v/>
      </c>
      <c r="L1705" s="40">
        <f>IF(B1705&gt;=in_marketplace_from,J1705*d_hz*G1705*in_eligible*H1705,0)</f>
        <v/>
      </c>
      <c r="M1705" s="40">
        <f>IF(B1705&gt;=in_marketplace_from,K1705*d_hz*G1705*in_eligible*in_approved_repeat,0)</f>
        <v/>
      </c>
      <c r="N1705" s="40">
        <f>L1705+M1705</f>
        <v/>
      </c>
      <c r="O1705" s="46">
        <f>N1705/F1705</f>
        <v/>
      </c>
      <c r="P1705" s="40">
        <f>F1705-J1705-K1705</f>
        <v/>
      </c>
      <c r="Q1705" s="40">
        <f>IF(B1705&gt;=in_marketplace_from,(J1705+K1705)*d_hz*G1705,0)</f>
        <v/>
      </c>
      <c r="R1705" s="40">
        <f>SUMIFS(N1696:N1711,B1696:B1711,"&gt;="&amp;(B1705-d_T),B1696:B1711,"&lt;="&amp;(B1705-1))</f>
        <v/>
      </c>
      <c r="S1705" s="46">
        <f>(1-d_u)*S1704+IF(d_T&gt;in_topup_lag,SUMIFS(O1696:O1711,B1696:B1711,B1705-in_topup_lag)-d_udrop*SUMIFS(O1696:O1711,B1696:B1711,B1705-d_T),0)</f>
        <v/>
      </c>
      <c r="T1705" s="40">
        <f>F1705*d_u*S1705</f>
        <v/>
      </c>
      <c r="U1705" s="9">
        <f>L1705*in_ticket+M1705*d_rep_ticket</f>
        <v/>
      </c>
      <c r="V1705" s="9">
        <f>U1705+T1705*d_topup_amt</f>
        <v/>
      </c>
      <c r="W1705" s="40">
        <f>N1705+T1705*d_topup_ratio</f>
        <v/>
      </c>
      <c r="X1705" s="40">
        <f>SUMIFS(W1696:W1711,B1696:B1711,B1705-in_dpd_lag)*d_cured</f>
        <v/>
      </c>
      <c r="Y1705" s="40">
        <f>SUMIFS(W1696:W1711,B1696:B1711,B1705-in_rec_lag)*d_recd</f>
        <v/>
      </c>
      <c r="Z1705" s="40">
        <f>IF(AND(B1705&gt;=in_marketplace_from,B1705&lt;in_marketplace_from+in_card_months),in_card_share/in_card_months*F1705*I1705,IF(AND(B1705&gt;=in_marketplace_from+in_card_months,B1705&lt;in_marketplace_from+2*in_card_months),in_card_share*d_card_rem/in_card_months*F1705*MIN(in_takeup_cap,(1+in_takeup_growth)^(D1705-1))*MIN(in_takeup_cap,(1+in_approval_growth)^(D1705-1)),0))</f>
        <v/>
      </c>
      <c r="AA1705" s="14">
        <f>V1705*in_fee*(1-in_taken_back)</f>
        <v/>
      </c>
      <c r="AB1705" s="14">
        <f>SUMIFS(W1696:W1711,B1696:B1711,B1705-in_dpd_lag)*d_dpd</f>
        <v/>
      </c>
      <c r="AC1705" s="14">
        <f>SUMIFS(W1696:W1711,B1696:B1711,B1705-in_rec_lag)*d_rec</f>
        <v/>
      </c>
      <c r="AD1705" s="14">
        <f>Z1705*in_card_fee</f>
        <v/>
      </c>
      <c r="AE1705" s="40">
        <f>AE1704*(1-IF(B1704&gt;=in_marketplace_from,d_hz_hlth_small*G1704,0))</f>
        <v/>
      </c>
      <c r="AF1705" s="46">
        <f>AE1705*IF(B1705&gt;=in_marketplace_from,d_hz_hlth_small*G1705,0)</f>
        <v/>
      </c>
      <c r="AG1705" s="14">
        <f>F1705*AF1705*in_hlth_small_ticket*in_hlth_small_comm*in_ins_partner_share+F1705*in_hlth_small_ticket*in_hlth_small_renew_comm*in_ins_partner_share*(in_hlth_small_renew^1*SUMIFS(AF1696:AF1711,B1696:B1711,B1705-12)+in_hlth_small_renew^2*SUMIFS(AF1696:AF1711,B1696:B1711,B1705-24)+in_hlth_small_renew^3*SUMIFS(AF1696:AF1711,B1696:B1711,B1705-36)+in_hlth_small_renew^4*SUMIFS(AF1696:AF1711,B1696:B1711,B1705-48))</f>
        <v/>
      </c>
      <c r="AH1705" s="40">
        <f>AH1704*(1-IF(B1704&gt;=in_marketplace_from,d_hz_hlth_family*G1704,0))</f>
        <v/>
      </c>
      <c r="AI1705" s="46">
        <f>AH1705*IF(B1705&gt;=in_marketplace_from,d_hz_hlth_family*G1705,0)</f>
        <v/>
      </c>
      <c r="AJ1705" s="14">
        <f>F1705*AI1705*in_hlth_family_ticket*in_hlth_family_comm*in_ins_partner_share+F1705*in_hlth_family_ticket*in_hlth_family_renew_comm*in_ins_partner_share*(in_hlth_family_renew^1*SUMIFS(AI1696:AI1711,B1696:B1711,B1705-12)+in_hlth_family_renew^2*SUMIFS(AI1696:AI1711,B1696:B1711,B1705-24)+in_hlth_family_renew^3*SUMIFS(AI1696:AI1711,B1696:B1711,B1705-36)+in_hlth_family_renew^4*SUMIFS(AI1696:AI1711,B1696:B1711,B1705-48))</f>
        <v/>
      </c>
      <c r="AK1705" s="40">
        <f>AK1704*(1-IF(B1704&gt;=in_marketplace_from,d_hz_life_term*G1704,0))</f>
        <v/>
      </c>
      <c r="AL1705" s="46">
        <f>AK1705*IF(B1705&gt;=in_marketplace_from,d_hz_life_term*G1705,0)</f>
        <v/>
      </c>
      <c r="AM1705" s="14">
        <f>F1705*AL1705*in_life_term_ticket*in_life_term_comm*in_ins_partner_share+F1705*in_life_term_ticket*in_life_term_renew_comm*in_ins_partner_share*(in_life_term_renew^1*SUMIFS(AL1696:AL1711,B1696:B1711,B1705-12)+in_life_term_renew^2*SUMIFS(AL1696:AL1711,B1696:B1711,B1705-24)+in_life_term_renew^3*SUMIFS(AL1696:AL1711,B1696:B1711,B1705-36)+in_life_term_renew^4*SUMIFS(AL1696:AL1711,B1696:B1711,B1705-48))</f>
        <v/>
      </c>
      <c r="AN1705" s="40">
        <f>AN1704*(1-IF(B1704&gt;=in_marketplace_from,d_hz_accident*G1704,0))</f>
        <v/>
      </c>
      <c r="AO1705" s="46">
        <f>AN1705*IF(B1705&gt;=in_marketplace_from,d_hz_accident*G1705,0)</f>
        <v/>
      </c>
      <c r="AP1705" s="14">
        <f>F1705*AO1705*in_accident_ticket*in_accident_comm*in_ins_partner_share+F1705*in_accident_ticket*in_accident_renew_comm*in_ins_partner_share*(in_accident_renew^1*SUMIFS(AO1696:AO1711,B1696:B1711,B1705-12)+in_accident_renew^2*SUMIFS(AO1696:AO1711,B1696:B1711,B1705-24)+in_accident_renew^3*SUMIFS(AO1696:AO1711,B1696:B1711,B1705-36)+in_accident_renew^4*SUMIFS(AO1696:AO1711,B1696:B1711,B1705-48))</f>
        <v/>
      </c>
      <c r="AQ1705" s="40">
        <f>AQ1704*(1-IF(B1704&gt;=in_marketplace_from,d_hz_two_wheeler*G1704,0))</f>
        <v/>
      </c>
      <c r="AR1705" s="46">
        <f>AQ1705*IF(B1705&gt;=in_marketplace_from,d_hz_two_wheeler*G1705,0)</f>
        <v/>
      </c>
      <c r="AS1705" s="14">
        <f>F1705*AR1705*in_two_wheeler_ticket*in_two_wheeler_comm*in_ins_partner_share+F1705*in_two_wheeler_ticket*in_two_wheeler_comm*in_ins_partner_share*(in_two_wheeler_renew^1*SUMIFS(AR1696:AR1711,B1696:B1711,B1705-12)+in_two_wheeler_renew^2*SUMIFS(AR1696:AR1711,B1696:B1711,B1705-24)+in_two_wheeler_renew^3*SUMIFS(AR1696:AR1711,B1696:B1711,B1705-36)+in_two_wheeler_renew^4*SUMIFS(AR1696:AR1711,B1696:B1711,B1705-48))</f>
        <v/>
      </c>
      <c r="AT1705" s="40">
        <f>AT1704*(1-IF(B1704&gt;=in_marketplace_from,d_hz_device*G1704,0))</f>
        <v/>
      </c>
      <c r="AU1705" s="14">
        <f>F1705*AT1705*IF(B1705&gt;=in_marketplace_from,d_hz_device*G1705,0)*in_device_ticket*in_device_comm*in_ins_partner_share</f>
        <v/>
      </c>
      <c r="AV1705" s="40">
        <f>AV1704*(1-IF(B1704&gt;=in_marketplace_from,d_hz_shop*G1704,0))</f>
        <v/>
      </c>
      <c r="AW1705" s="46">
        <f>AV1705*IF(B1705&gt;=in_marketplace_from,d_hz_shop*G1705,0)</f>
        <v/>
      </c>
      <c r="AX1705" s="14">
        <f>F1705*AW1705*in_shop_ticket*in_shop_comm*in_ins_partner_share+F1705*in_shop_ticket*in_shop_renew_comm*in_ins_partner_share*(in_shop_renew^1*SUMIFS(AW1696:AW1711,B1696:B1711,B1705-12)+in_shop_renew^2*SUMIFS(AW1696:AW1711,B1696:B1711,B1705-24)+in_shop_renew^3*SUMIFS(AW1696:AW1711,B1696:B1711,B1705-36)+in_shop_renew^4*SUMIFS(AW1696:AW1711,B1696:B1711,B1705-48))</f>
        <v/>
      </c>
      <c r="AY1705" s="40">
        <f>AY1704*(1-IF(B1704&gt;=in_marketplace_from,d_hz_sip*G1704,0))</f>
        <v/>
      </c>
      <c r="AZ1705" s="40">
        <f>AZ1704*d_rho_sip+AY1705*IF(B1705&gt;=in_marketplace_from,d_hz_sip*G1705,0)</f>
        <v/>
      </c>
      <c r="BA1705" s="40">
        <f>d_rho_sip*(BA1704+AZ1704)</f>
        <v/>
      </c>
      <c r="BB1705" s="14">
        <f>F1705*in_sip_ticket*(BA1705+0.5*AZ1705)*in_sip_comm/12</f>
        <v/>
      </c>
      <c r="BC1705" s="40">
        <f>BC1704*(1-IF(B1704&gt;=in_marketplace_from,d_hz_choti*G1704,0))</f>
        <v/>
      </c>
      <c r="BD1705" s="46">
        <f>BC1705*IF(B1705&gt;=in_marketplace_from,d_hz_choti*G1705,0)</f>
        <v/>
      </c>
      <c r="BE1705" s="14">
        <f>F1705*SUMIFS(BD1696:BD1711,B1696:B1711,B1705-in_choti_months)*in_choti_renew*in_choti_ticket</f>
        <v/>
      </c>
      <c r="BF1705" s="40">
        <f>BF1704*(1-IF(B1704&gt;=in_marketplace_from,d_hz_nps*G1704,0))</f>
        <v/>
      </c>
      <c r="BG1705" s="14">
        <f>F1705*BF1705*IF(B1705&gt;=in_marketplace_from,d_hz_nps*G1705,0)*in_nps_ticket*in_nps_comm</f>
        <v/>
      </c>
      <c r="BH1705" s="40">
        <f>BH1704*(1-IF(B1704&gt;=in_marketplace_from,d_hz_gold*G1704,0))</f>
        <v/>
      </c>
      <c r="BI1705" s="40">
        <f>BI1704*d_rho_gold+BH1705*IF(B1705&gt;=in_marketplace_from,d_hz_gold*G1705,0)</f>
        <v/>
      </c>
      <c r="BJ1705" s="14">
        <f>F1705*BI1705*in_gold_ticket*in_gold_comm</f>
        <v/>
      </c>
      <c r="BK1705" s="40">
        <f>BK1704*(1-IF(B1704&gt;=in_marketplace_from,d_hz_fd*G1704,0))</f>
        <v/>
      </c>
      <c r="BL1705" s="14">
        <f>F1705*BK1705*IF(B1705&gt;=in_marketplace_from,d_hz_fd*G1705,0)*in_fd_ticket*in_fd_comm</f>
        <v/>
      </c>
      <c r="BM1705" s="40">
        <f>BM1704*(1-IF(B1704&gt;=in_marketplace_from,d_hz_recharge*G1704,0))</f>
        <v/>
      </c>
      <c r="BN1705" s="40">
        <f>BN1704*d_rho_recharge+BM1705*IF(B1705&gt;=in_marketplace_from,d_hz_recharge*G1705,0)</f>
        <v/>
      </c>
      <c r="BO1705" s="14">
        <f>F1705*BN1705*in_recharge_ticket*in_recharge_comm/12</f>
        <v/>
      </c>
      <c r="BP1705" s="40">
        <f>BP1704*(1-IF(B1704&gt;=in_marketplace_from,d_hz_bills*G1704,0))</f>
        <v/>
      </c>
      <c r="BQ1705" s="40">
        <f>BQ1704*d_rho_bills+BP1705*IF(B1705&gt;=in_marketplace_from,d_hz_bills*G1705,0)</f>
        <v/>
      </c>
      <c r="BR1705" s="14">
        <f>F1705*BQ1705*in_bills_ticket*in_bills_comm/12</f>
        <v/>
      </c>
      <c r="BS1705" s="40">
        <f>BS1704*(1-IF(B1704&gt;=in_marketplace_from,d_hz_loan_gold*G1704,0))</f>
        <v/>
      </c>
      <c r="BT1705" s="14">
        <f>F1705*BS1705*IF(B1705&gt;=in_marketplace_from,d_hz_loan_gold*G1705,0)*in_loan_gold_ticket*in_loan_gold_comm</f>
        <v/>
      </c>
      <c r="BU1705" s="40">
        <f>BU1704*(1-IF(B1704&gt;=in_marketplace_from,d_hz_loan_cd*G1704,0))</f>
        <v/>
      </c>
      <c r="BV1705" s="14">
        <f>F1705*BU1705*IF(B1705&gt;=in_marketplace_from,d_hz_loan_cd*G1705,0)*in_loan_cd_ticket*in_loan_cd_comm</f>
        <v/>
      </c>
      <c r="BW1705" s="40">
        <f>BW1704*(1-IF(B1704&gt;=in_marketplace_from,d_hz_loan_vehicle*G1704,0))</f>
        <v/>
      </c>
      <c r="BX1705" s="14">
        <f>F1705*BW1705*IF(B1705&gt;=in_marketplace_from,d_hz_loan_vehicle*G1705,0)*in_loan_vehicle_ticket*in_loan_vehicle_comm</f>
        <v/>
      </c>
      <c r="BY1705" s="40">
        <f>BY1704*(1-IF(B1704&gt;=in_marketplace_from,d_hz_loan_home*G1704,0)*BZ1704)</f>
        <v/>
      </c>
      <c r="BZ1705" s="11">
        <f>MIN(in_approval_cap,in_loan_home_approval*INDEX('Age profile'!$O$2:$O$61,B1705)*(1+in_approval_growth)^(D1705-1))</f>
        <v/>
      </c>
      <c r="CA1705" s="14">
        <f>F1705*BY1705*IF(B1705&gt;=in_marketplace_from,d_hz_loan_home*G1705,0)*BZ1705*in_loan_home_ticket*in_loan_home_comm</f>
        <v/>
      </c>
      <c r="CB1705" s="40">
        <f>CB1704*(1-IF(B1704&gt;=in_marketplace_from,d_hz_loan_lap*G1704,0)*CC1704)</f>
        <v/>
      </c>
      <c r="CC1705" s="11">
        <f>MIN(in_approval_cap,in_loan_lap_approval*INDEX('Age profile'!$O$2:$O$61,B1705)*(1+in_approval_growth)^(D1705-1))</f>
        <v/>
      </c>
      <c r="CD1705" s="14">
        <f>F1705*CB1705*IF(B1705&gt;=in_marketplace_from,d_hz_loan_lap*G1705,0)*CC1705*in_loan_lap_ticket*in_loan_lap_comm</f>
        <v/>
      </c>
      <c r="CE1705" s="14">
        <f>AA1705+AB1705+AC1705+AD1705+AG1705+AJ1705+AM1705+AP1705+AS1705+AU1705+AX1705+BB1705+BE1705+BG1705+BJ1705+BL1705+BO1705+BR1705+BT1705+BV1705+BX1705+CA1705+CD1705</f>
        <v/>
      </c>
    </row>
    <row r="1706">
      <c r="A1706" s="39" t="n">
        <v>45</v>
      </c>
      <c r="B1706" s="39" t="n">
        <v>11</v>
      </c>
      <c r="C1706" s="39">
        <f>A1706+B1706-1</f>
        <v/>
      </c>
      <c r="D1706" s="39">
        <f>INT((C1706-1)/12)+1</f>
        <v/>
      </c>
      <c r="E1706" s="44">
        <f>INDEX(Monthly!$B$2:$B$61,A1706)</f>
        <v/>
      </c>
      <c r="F1706" s="44">
        <f>E1706*INDEX('Age profile'!$B$2:$B$61,B1706)</f>
        <v/>
      </c>
      <c r="G1706" s="45">
        <f>MIN(in_takeup_cap,INDEX('Age profile'!$N$2:$N$61,B1706)*(1+in_takeup_growth)^(D1706-1))</f>
        <v/>
      </c>
      <c r="H1706" s="11">
        <f>MIN(in_approval_cap,in_approved_first*INDEX('Age profile'!$O$2:$O$61,B1706)*(1+in_approval_growth)^(D1706-1))</f>
        <v/>
      </c>
      <c r="I1706" s="45">
        <f>G1706*MIN(in_takeup_cap,INDEX('Age profile'!$O$2:$O$61,B1706)*(1+in_approval_growth)^(D1706-1))</f>
        <v/>
      </c>
      <c r="J1706" s="40">
        <f>(J1705-L1705)*F1706/F1705</f>
        <v/>
      </c>
      <c r="K1706" s="40">
        <f>(K1705-M1705)*F1706/F1705+SUMIFS(O1696:O1705,B1696:B1705,B1706-1-d_T)*F1706</f>
        <v/>
      </c>
      <c r="L1706" s="40">
        <f>IF(B1706&gt;=in_marketplace_from,J1706*d_hz*G1706*in_eligible*H1706,0)</f>
        <v/>
      </c>
      <c r="M1706" s="40">
        <f>IF(B1706&gt;=in_marketplace_from,K1706*d_hz*G1706*in_eligible*in_approved_repeat,0)</f>
        <v/>
      </c>
      <c r="N1706" s="40">
        <f>L1706+M1706</f>
        <v/>
      </c>
      <c r="O1706" s="46">
        <f>N1706/F1706</f>
        <v/>
      </c>
      <c r="P1706" s="40">
        <f>F1706-J1706-K1706</f>
        <v/>
      </c>
      <c r="Q1706" s="40">
        <f>IF(B1706&gt;=in_marketplace_from,(J1706+K1706)*d_hz*G1706,0)</f>
        <v/>
      </c>
      <c r="R1706" s="40">
        <f>SUMIFS(N1696:N1711,B1696:B1711,"&gt;="&amp;(B1706-d_T),B1696:B1711,"&lt;="&amp;(B1706-1))</f>
        <v/>
      </c>
      <c r="S1706" s="46">
        <f>(1-d_u)*S1705+IF(d_T&gt;in_topup_lag,SUMIFS(O1696:O1711,B1696:B1711,B1706-in_topup_lag)-d_udrop*SUMIFS(O1696:O1711,B1696:B1711,B1706-d_T),0)</f>
        <v/>
      </c>
      <c r="T1706" s="40">
        <f>F1706*d_u*S1706</f>
        <v/>
      </c>
      <c r="U1706" s="9">
        <f>L1706*in_ticket+M1706*d_rep_ticket</f>
        <v/>
      </c>
      <c r="V1706" s="9">
        <f>U1706+T1706*d_topup_amt</f>
        <v/>
      </c>
      <c r="W1706" s="40">
        <f>N1706+T1706*d_topup_ratio</f>
        <v/>
      </c>
      <c r="X1706" s="40">
        <f>SUMIFS(W1696:W1711,B1696:B1711,B1706-in_dpd_lag)*d_cured</f>
        <v/>
      </c>
      <c r="Y1706" s="40">
        <f>SUMIFS(W1696:W1711,B1696:B1711,B1706-in_rec_lag)*d_recd</f>
        <v/>
      </c>
      <c r="Z1706" s="40">
        <f>IF(AND(B1706&gt;=in_marketplace_from,B1706&lt;in_marketplace_from+in_card_months),in_card_share/in_card_months*F1706*I1706,IF(AND(B1706&gt;=in_marketplace_from+in_card_months,B1706&lt;in_marketplace_from+2*in_card_months),in_card_share*d_card_rem/in_card_months*F1706*MIN(in_takeup_cap,(1+in_takeup_growth)^(D1706-1))*MIN(in_takeup_cap,(1+in_approval_growth)^(D1706-1)),0))</f>
        <v/>
      </c>
      <c r="AA1706" s="14">
        <f>V1706*in_fee*(1-in_taken_back)</f>
        <v/>
      </c>
      <c r="AB1706" s="14">
        <f>SUMIFS(W1696:W1711,B1696:B1711,B1706-in_dpd_lag)*d_dpd</f>
        <v/>
      </c>
      <c r="AC1706" s="14">
        <f>SUMIFS(W1696:W1711,B1696:B1711,B1706-in_rec_lag)*d_rec</f>
        <v/>
      </c>
      <c r="AD1706" s="14">
        <f>Z1706*in_card_fee</f>
        <v/>
      </c>
      <c r="AE1706" s="40">
        <f>AE1705*(1-IF(B1705&gt;=in_marketplace_from,d_hz_hlth_small*G1705,0))</f>
        <v/>
      </c>
      <c r="AF1706" s="46">
        <f>AE1706*IF(B1706&gt;=in_marketplace_from,d_hz_hlth_small*G1706,0)</f>
        <v/>
      </c>
      <c r="AG1706" s="14">
        <f>F1706*AF1706*in_hlth_small_ticket*in_hlth_small_comm*in_ins_partner_share+F1706*in_hlth_small_ticket*in_hlth_small_renew_comm*in_ins_partner_share*(in_hlth_small_renew^1*SUMIFS(AF1696:AF1711,B1696:B1711,B1706-12)+in_hlth_small_renew^2*SUMIFS(AF1696:AF1711,B1696:B1711,B1706-24)+in_hlth_small_renew^3*SUMIFS(AF1696:AF1711,B1696:B1711,B1706-36)+in_hlth_small_renew^4*SUMIFS(AF1696:AF1711,B1696:B1711,B1706-48))</f>
        <v/>
      </c>
      <c r="AH1706" s="40">
        <f>AH1705*(1-IF(B1705&gt;=in_marketplace_from,d_hz_hlth_family*G1705,0))</f>
        <v/>
      </c>
      <c r="AI1706" s="46">
        <f>AH1706*IF(B1706&gt;=in_marketplace_from,d_hz_hlth_family*G1706,0)</f>
        <v/>
      </c>
      <c r="AJ1706" s="14">
        <f>F1706*AI1706*in_hlth_family_ticket*in_hlth_family_comm*in_ins_partner_share+F1706*in_hlth_family_ticket*in_hlth_family_renew_comm*in_ins_partner_share*(in_hlth_family_renew^1*SUMIFS(AI1696:AI1711,B1696:B1711,B1706-12)+in_hlth_family_renew^2*SUMIFS(AI1696:AI1711,B1696:B1711,B1706-24)+in_hlth_family_renew^3*SUMIFS(AI1696:AI1711,B1696:B1711,B1706-36)+in_hlth_family_renew^4*SUMIFS(AI1696:AI1711,B1696:B1711,B1706-48))</f>
        <v/>
      </c>
      <c r="AK1706" s="40">
        <f>AK1705*(1-IF(B1705&gt;=in_marketplace_from,d_hz_life_term*G1705,0))</f>
        <v/>
      </c>
      <c r="AL1706" s="46">
        <f>AK1706*IF(B1706&gt;=in_marketplace_from,d_hz_life_term*G1706,0)</f>
        <v/>
      </c>
      <c r="AM1706" s="14">
        <f>F1706*AL1706*in_life_term_ticket*in_life_term_comm*in_ins_partner_share+F1706*in_life_term_ticket*in_life_term_renew_comm*in_ins_partner_share*(in_life_term_renew^1*SUMIFS(AL1696:AL1711,B1696:B1711,B1706-12)+in_life_term_renew^2*SUMIFS(AL1696:AL1711,B1696:B1711,B1706-24)+in_life_term_renew^3*SUMIFS(AL1696:AL1711,B1696:B1711,B1706-36)+in_life_term_renew^4*SUMIFS(AL1696:AL1711,B1696:B1711,B1706-48))</f>
        <v/>
      </c>
      <c r="AN1706" s="40">
        <f>AN1705*(1-IF(B1705&gt;=in_marketplace_from,d_hz_accident*G1705,0))</f>
        <v/>
      </c>
      <c r="AO1706" s="46">
        <f>AN1706*IF(B1706&gt;=in_marketplace_from,d_hz_accident*G1706,0)</f>
        <v/>
      </c>
      <c r="AP1706" s="14">
        <f>F1706*AO1706*in_accident_ticket*in_accident_comm*in_ins_partner_share+F1706*in_accident_ticket*in_accident_renew_comm*in_ins_partner_share*(in_accident_renew^1*SUMIFS(AO1696:AO1711,B1696:B1711,B1706-12)+in_accident_renew^2*SUMIFS(AO1696:AO1711,B1696:B1711,B1706-24)+in_accident_renew^3*SUMIFS(AO1696:AO1711,B1696:B1711,B1706-36)+in_accident_renew^4*SUMIFS(AO1696:AO1711,B1696:B1711,B1706-48))</f>
        <v/>
      </c>
      <c r="AQ1706" s="40">
        <f>AQ1705*(1-IF(B1705&gt;=in_marketplace_from,d_hz_two_wheeler*G1705,0))</f>
        <v/>
      </c>
      <c r="AR1706" s="46">
        <f>AQ1706*IF(B1706&gt;=in_marketplace_from,d_hz_two_wheeler*G1706,0)</f>
        <v/>
      </c>
      <c r="AS1706" s="14">
        <f>F1706*AR1706*in_two_wheeler_ticket*in_two_wheeler_comm*in_ins_partner_share+F1706*in_two_wheeler_ticket*in_two_wheeler_comm*in_ins_partner_share*(in_two_wheeler_renew^1*SUMIFS(AR1696:AR1711,B1696:B1711,B1706-12)+in_two_wheeler_renew^2*SUMIFS(AR1696:AR1711,B1696:B1711,B1706-24)+in_two_wheeler_renew^3*SUMIFS(AR1696:AR1711,B1696:B1711,B1706-36)+in_two_wheeler_renew^4*SUMIFS(AR1696:AR1711,B1696:B1711,B1706-48))</f>
        <v/>
      </c>
      <c r="AT1706" s="40">
        <f>AT1705*(1-IF(B1705&gt;=in_marketplace_from,d_hz_device*G1705,0))</f>
        <v/>
      </c>
      <c r="AU1706" s="14">
        <f>F1706*AT1706*IF(B1706&gt;=in_marketplace_from,d_hz_device*G1706,0)*in_device_ticket*in_device_comm*in_ins_partner_share</f>
        <v/>
      </c>
      <c r="AV1706" s="40">
        <f>AV1705*(1-IF(B1705&gt;=in_marketplace_from,d_hz_shop*G1705,0))</f>
        <v/>
      </c>
      <c r="AW1706" s="46">
        <f>AV1706*IF(B1706&gt;=in_marketplace_from,d_hz_shop*G1706,0)</f>
        <v/>
      </c>
      <c r="AX1706" s="14">
        <f>F1706*AW1706*in_shop_ticket*in_shop_comm*in_ins_partner_share+F1706*in_shop_ticket*in_shop_renew_comm*in_ins_partner_share*(in_shop_renew^1*SUMIFS(AW1696:AW1711,B1696:B1711,B1706-12)+in_shop_renew^2*SUMIFS(AW1696:AW1711,B1696:B1711,B1706-24)+in_shop_renew^3*SUMIFS(AW1696:AW1711,B1696:B1711,B1706-36)+in_shop_renew^4*SUMIFS(AW1696:AW1711,B1696:B1711,B1706-48))</f>
        <v/>
      </c>
      <c r="AY1706" s="40">
        <f>AY1705*(1-IF(B1705&gt;=in_marketplace_from,d_hz_sip*G1705,0))</f>
        <v/>
      </c>
      <c r="AZ1706" s="40">
        <f>AZ1705*d_rho_sip+AY1706*IF(B1706&gt;=in_marketplace_from,d_hz_sip*G1706,0)</f>
        <v/>
      </c>
      <c r="BA1706" s="40">
        <f>d_rho_sip*(BA1705+AZ1705)</f>
        <v/>
      </c>
      <c r="BB1706" s="14">
        <f>F1706*in_sip_ticket*(BA1706+0.5*AZ1706)*in_sip_comm/12</f>
        <v/>
      </c>
      <c r="BC1706" s="40">
        <f>BC1705*(1-IF(B1705&gt;=in_marketplace_from,d_hz_choti*G1705,0))</f>
        <v/>
      </c>
      <c r="BD1706" s="46">
        <f>BC1706*IF(B1706&gt;=in_marketplace_from,d_hz_choti*G1706,0)</f>
        <v/>
      </c>
      <c r="BE1706" s="14">
        <f>F1706*SUMIFS(BD1696:BD1711,B1696:B1711,B1706-in_choti_months)*in_choti_renew*in_choti_ticket</f>
        <v/>
      </c>
      <c r="BF1706" s="40">
        <f>BF1705*(1-IF(B1705&gt;=in_marketplace_from,d_hz_nps*G1705,0))</f>
        <v/>
      </c>
      <c r="BG1706" s="14">
        <f>F1706*BF1706*IF(B1706&gt;=in_marketplace_from,d_hz_nps*G1706,0)*in_nps_ticket*in_nps_comm</f>
        <v/>
      </c>
      <c r="BH1706" s="40">
        <f>BH1705*(1-IF(B1705&gt;=in_marketplace_from,d_hz_gold*G1705,0))</f>
        <v/>
      </c>
      <c r="BI1706" s="40">
        <f>BI1705*d_rho_gold+BH1706*IF(B1706&gt;=in_marketplace_from,d_hz_gold*G1706,0)</f>
        <v/>
      </c>
      <c r="BJ1706" s="14">
        <f>F1706*BI1706*in_gold_ticket*in_gold_comm</f>
        <v/>
      </c>
      <c r="BK1706" s="40">
        <f>BK1705*(1-IF(B1705&gt;=in_marketplace_from,d_hz_fd*G1705,0))</f>
        <v/>
      </c>
      <c r="BL1706" s="14">
        <f>F1706*BK1706*IF(B1706&gt;=in_marketplace_from,d_hz_fd*G1706,0)*in_fd_ticket*in_fd_comm</f>
        <v/>
      </c>
      <c r="BM1706" s="40">
        <f>BM1705*(1-IF(B1705&gt;=in_marketplace_from,d_hz_recharge*G1705,0))</f>
        <v/>
      </c>
      <c r="BN1706" s="40">
        <f>BN1705*d_rho_recharge+BM1706*IF(B1706&gt;=in_marketplace_from,d_hz_recharge*G1706,0)</f>
        <v/>
      </c>
      <c r="BO1706" s="14">
        <f>F1706*BN1706*in_recharge_ticket*in_recharge_comm/12</f>
        <v/>
      </c>
      <c r="BP1706" s="40">
        <f>BP1705*(1-IF(B1705&gt;=in_marketplace_from,d_hz_bills*G1705,0))</f>
        <v/>
      </c>
      <c r="BQ1706" s="40">
        <f>BQ1705*d_rho_bills+BP1706*IF(B1706&gt;=in_marketplace_from,d_hz_bills*G1706,0)</f>
        <v/>
      </c>
      <c r="BR1706" s="14">
        <f>F1706*BQ1706*in_bills_ticket*in_bills_comm/12</f>
        <v/>
      </c>
      <c r="BS1706" s="40">
        <f>BS1705*(1-IF(B1705&gt;=in_marketplace_from,d_hz_loan_gold*G1705,0))</f>
        <v/>
      </c>
      <c r="BT1706" s="14">
        <f>F1706*BS1706*IF(B1706&gt;=in_marketplace_from,d_hz_loan_gold*G1706,0)*in_loan_gold_ticket*in_loan_gold_comm</f>
        <v/>
      </c>
      <c r="BU1706" s="40">
        <f>BU1705*(1-IF(B1705&gt;=in_marketplace_from,d_hz_loan_cd*G1705,0))</f>
        <v/>
      </c>
      <c r="BV1706" s="14">
        <f>F1706*BU1706*IF(B1706&gt;=in_marketplace_from,d_hz_loan_cd*G1706,0)*in_loan_cd_ticket*in_loan_cd_comm</f>
        <v/>
      </c>
      <c r="BW1706" s="40">
        <f>BW1705*(1-IF(B1705&gt;=in_marketplace_from,d_hz_loan_vehicle*G1705,0))</f>
        <v/>
      </c>
      <c r="BX1706" s="14">
        <f>F1706*BW1706*IF(B1706&gt;=in_marketplace_from,d_hz_loan_vehicle*G1706,0)*in_loan_vehicle_ticket*in_loan_vehicle_comm</f>
        <v/>
      </c>
      <c r="BY1706" s="40">
        <f>BY1705*(1-IF(B1705&gt;=in_marketplace_from,d_hz_loan_home*G1705,0)*BZ1705)</f>
        <v/>
      </c>
      <c r="BZ1706" s="11">
        <f>MIN(in_approval_cap,in_loan_home_approval*INDEX('Age profile'!$O$2:$O$61,B1706)*(1+in_approval_growth)^(D1706-1))</f>
        <v/>
      </c>
      <c r="CA1706" s="14">
        <f>F1706*BY1706*IF(B1706&gt;=in_marketplace_from,d_hz_loan_home*G1706,0)*BZ1706*in_loan_home_ticket*in_loan_home_comm</f>
        <v/>
      </c>
      <c r="CB1706" s="40">
        <f>CB1705*(1-IF(B1705&gt;=in_marketplace_from,d_hz_loan_lap*G1705,0)*CC1705)</f>
        <v/>
      </c>
      <c r="CC1706" s="11">
        <f>MIN(in_approval_cap,in_loan_lap_approval*INDEX('Age profile'!$O$2:$O$61,B1706)*(1+in_approval_growth)^(D1706-1))</f>
        <v/>
      </c>
      <c r="CD1706" s="14">
        <f>F1706*CB1706*IF(B1706&gt;=in_marketplace_from,d_hz_loan_lap*G1706,0)*CC1706*in_loan_lap_ticket*in_loan_lap_comm</f>
        <v/>
      </c>
      <c r="CE1706" s="14">
        <f>AA1706+AB1706+AC1706+AD1706+AG1706+AJ1706+AM1706+AP1706+AS1706+AU1706+AX1706+BB1706+BE1706+BG1706+BJ1706+BL1706+BO1706+BR1706+BT1706+BV1706+BX1706+CA1706+CD1706</f>
        <v/>
      </c>
    </row>
    <row r="1707">
      <c r="A1707" s="39" t="n">
        <v>45</v>
      </c>
      <c r="B1707" s="39" t="n">
        <v>12</v>
      </c>
      <c r="C1707" s="39">
        <f>A1707+B1707-1</f>
        <v/>
      </c>
      <c r="D1707" s="39">
        <f>INT((C1707-1)/12)+1</f>
        <v/>
      </c>
      <c r="E1707" s="44">
        <f>INDEX(Monthly!$B$2:$B$61,A1707)</f>
        <v/>
      </c>
      <c r="F1707" s="44">
        <f>E1707*INDEX('Age profile'!$B$2:$B$61,B1707)</f>
        <v/>
      </c>
      <c r="G1707" s="45">
        <f>MIN(in_takeup_cap,INDEX('Age profile'!$N$2:$N$61,B1707)*(1+in_takeup_growth)^(D1707-1))</f>
        <v/>
      </c>
      <c r="H1707" s="11">
        <f>MIN(in_approval_cap,in_approved_first*INDEX('Age profile'!$O$2:$O$61,B1707)*(1+in_approval_growth)^(D1707-1))</f>
        <v/>
      </c>
      <c r="I1707" s="45">
        <f>G1707*MIN(in_takeup_cap,INDEX('Age profile'!$O$2:$O$61,B1707)*(1+in_approval_growth)^(D1707-1))</f>
        <v/>
      </c>
      <c r="J1707" s="40">
        <f>(J1706-L1706)*F1707/F1706</f>
        <v/>
      </c>
      <c r="K1707" s="40">
        <f>(K1706-M1706)*F1707/F1706+SUMIFS(O1696:O1706,B1696:B1706,B1707-1-d_T)*F1707</f>
        <v/>
      </c>
      <c r="L1707" s="40">
        <f>IF(B1707&gt;=in_marketplace_from,J1707*d_hz*G1707*in_eligible*H1707,0)</f>
        <v/>
      </c>
      <c r="M1707" s="40">
        <f>IF(B1707&gt;=in_marketplace_from,K1707*d_hz*G1707*in_eligible*in_approved_repeat,0)</f>
        <v/>
      </c>
      <c r="N1707" s="40">
        <f>L1707+M1707</f>
        <v/>
      </c>
      <c r="O1707" s="46">
        <f>N1707/F1707</f>
        <v/>
      </c>
      <c r="P1707" s="40">
        <f>F1707-J1707-K1707</f>
        <v/>
      </c>
      <c r="Q1707" s="40">
        <f>IF(B1707&gt;=in_marketplace_from,(J1707+K1707)*d_hz*G1707,0)</f>
        <v/>
      </c>
      <c r="R1707" s="40">
        <f>SUMIFS(N1696:N1711,B1696:B1711,"&gt;="&amp;(B1707-d_T),B1696:B1711,"&lt;="&amp;(B1707-1))</f>
        <v/>
      </c>
      <c r="S1707" s="46">
        <f>(1-d_u)*S1706+IF(d_T&gt;in_topup_lag,SUMIFS(O1696:O1711,B1696:B1711,B1707-in_topup_lag)-d_udrop*SUMIFS(O1696:O1711,B1696:B1711,B1707-d_T),0)</f>
        <v/>
      </c>
      <c r="T1707" s="40">
        <f>F1707*d_u*S1707</f>
        <v/>
      </c>
      <c r="U1707" s="9">
        <f>L1707*in_ticket+M1707*d_rep_ticket</f>
        <v/>
      </c>
      <c r="V1707" s="9">
        <f>U1707+T1707*d_topup_amt</f>
        <v/>
      </c>
      <c r="W1707" s="40">
        <f>N1707+T1707*d_topup_ratio</f>
        <v/>
      </c>
      <c r="X1707" s="40">
        <f>SUMIFS(W1696:W1711,B1696:B1711,B1707-in_dpd_lag)*d_cured</f>
        <v/>
      </c>
      <c r="Y1707" s="40">
        <f>SUMIFS(W1696:W1711,B1696:B1711,B1707-in_rec_lag)*d_recd</f>
        <v/>
      </c>
      <c r="Z1707" s="40">
        <f>IF(AND(B1707&gt;=in_marketplace_from,B1707&lt;in_marketplace_from+in_card_months),in_card_share/in_card_months*F1707*I1707,IF(AND(B1707&gt;=in_marketplace_from+in_card_months,B1707&lt;in_marketplace_from+2*in_card_months),in_card_share*d_card_rem/in_card_months*F1707*MIN(in_takeup_cap,(1+in_takeup_growth)^(D1707-1))*MIN(in_takeup_cap,(1+in_approval_growth)^(D1707-1)),0))</f>
        <v/>
      </c>
      <c r="AA1707" s="14">
        <f>V1707*in_fee*(1-in_taken_back)</f>
        <v/>
      </c>
      <c r="AB1707" s="14">
        <f>SUMIFS(W1696:W1711,B1696:B1711,B1707-in_dpd_lag)*d_dpd</f>
        <v/>
      </c>
      <c r="AC1707" s="14">
        <f>SUMIFS(W1696:W1711,B1696:B1711,B1707-in_rec_lag)*d_rec</f>
        <v/>
      </c>
      <c r="AD1707" s="14">
        <f>Z1707*in_card_fee</f>
        <v/>
      </c>
      <c r="AE1707" s="40">
        <f>AE1706*(1-IF(B1706&gt;=in_marketplace_from,d_hz_hlth_small*G1706,0))</f>
        <v/>
      </c>
      <c r="AF1707" s="46">
        <f>AE1707*IF(B1707&gt;=in_marketplace_from,d_hz_hlth_small*G1707,0)</f>
        <v/>
      </c>
      <c r="AG1707" s="14">
        <f>F1707*AF1707*in_hlth_small_ticket*in_hlth_small_comm*in_ins_partner_share+F1707*in_hlth_small_ticket*in_hlth_small_renew_comm*in_ins_partner_share*(in_hlth_small_renew^1*SUMIFS(AF1696:AF1711,B1696:B1711,B1707-12)+in_hlth_small_renew^2*SUMIFS(AF1696:AF1711,B1696:B1711,B1707-24)+in_hlth_small_renew^3*SUMIFS(AF1696:AF1711,B1696:B1711,B1707-36)+in_hlth_small_renew^4*SUMIFS(AF1696:AF1711,B1696:B1711,B1707-48))</f>
        <v/>
      </c>
      <c r="AH1707" s="40">
        <f>AH1706*(1-IF(B1706&gt;=in_marketplace_from,d_hz_hlth_family*G1706,0))</f>
        <v/>
      </c>
      <c r="AI1707" s="46">
        <f>AH1707*IF(B1707&gt;=in_marketplace_from,d_hz_hlth_family*G1707,0)</f>
        <v/>
      </c>
      <c r="AJ1707" s="14">
        <f>F1707*AI1707*in_hlth_family_ticket*in_hlth_family_comm*in_ins_partner_share+F1707*in_hlth_family_ticket*in_hlth_family_renew_comm*in_ins_partner_share*(in_hlth_family_renew^1*SUMIFS(AI1696:AI1711,B1696:B1711,B1707-12)+in_hlth_family_renew^2*SUMIFS(AI1696:AI1711,B1696:B1711,B1707-24)+in_hlth_family_renew^3*SUMIFS(AI1696:AI1711,B1696:B1711,B1707-36)+in_hlth_family_renew^4*SUMIFS(AI1696:AI1711,B1696:B1711,B1707-48))</f>
        <v/>
      </c>
      <c r="AK1707" s="40">
        <f>AK1706*(1-IF(B1706&gt;=in_marketplace_from,d_hz_life_term*G1706,0))</f>
        <v/>
      </c>
      <c r="AL1707" s="46">
        <f>AK1707*IF(B1707&gt;=in_marketplace_from,d_hz_life_term*G1707,0)</f>
        <v/>
      </c>
      <c r="AM1707" s="14">
        <f>F1707*AL1707*in_life_term_ticket*in_life_term_comm*in_ins_partner_share+F1707*in_life_term_ticket*in_life_term_renew_comm*in_ins_partner_share*(in_life_term_renew^1*SUMIFS(AL1696:AL1711,B1696:B1711,B1707-12)+in_life_term_renew^2*SUMIFS(AL1696:AL1711,B1696:B1711,B1707-24)+in_life_term_renew^3*SUMIFS(AL1696:AL1711,B1696:B1711,B1707-36)+in_life_term_renew^4*SUMIFS(AL1696:AL1711,B1696:B1711,B1707-48))</f>
        <v/>
      </c>
      <c r="AN1707" s="40">
        <f>AN1706*(1-IF(B1706&gt;=in_marketplace_from,d_hz_accident*G1706,0))</f>
        <v/>
      </c>
      <c r="AO1707" s="46">
        <f>AN1707*IF(B1707&gt;=in_marketplace_from,d_hz_accident*G1707,0)</f>
        <v/>
      </c>
      <c r="AP1707" s="14">
        <f>F1707*AO1707*in_accident_ticket*in_accident_comm*in_ins_partner_share+F1707*in_accident_ticket*in_accident_renew_comm*in_ins_partner_share*(in_accident_renew^1*SUMIFS(AO1696:AO1711,B1696:B1711,B1707-12)+in_accident_renew^2*SUMIFS(AO1696:AO1711,B1696:B1711,B1707-24)+in_accident_renew^3*SUMIFS(AO1696:AO1711,B1696:B1711,B1707-36)+in_accident_renew^4*SUMIFS(AO1696:AO1711,B1696:B1711,B1707-48))</f>
        <v/>
      </c>
      <c r="AQ1707" s="40">
        <f>AQ1706*(1-IF(B1706&gt;=in_marketplace_from,d_hz_two_wheeler*G1706,0))</f>
        <v/>
      </c>
      <c r="AR1707" s="46">
        <f>AQ1707*IF(B1707&gt;=in_marketplace_from,d_hz_two_wheeler*G1707,0)</f>
        <v/>
      </c>
      <c r="AS1707" s="14">
        <f>F1707*AR1707*in_two_wheeler_ticket*in_two_wheeler_comm*in_ins_partner_share+F1707*in_two_wheeler_ticket*in_two_wheeler_comm*in_ins_partner_share*(in_two_wheeler_renew^1*SUMIFS(AR1696:AR1711,B1696:B1711,B1707-12)+in_two_wheeler_renew^2*SUMIFS(AR1696:AR1711,B1696:B1711,B1707-24)+in_two_wheeler_renew^3*SUMIFS(AR1696:AR1711,B1696:B1711,B1707-36)+in_two_wheeler_renew^4*SUMIFS(AR1696:AR1711,B1696:B1711,B1707-48))</f>
        <v/>
      </c>
      <c r="AT1707" s="40">
        <f>AT1706*(1-IF(B1706&gt;=in_marketplace_from,d_hz_device*G1706,0))</f>
        <v/>
      </c>
      <c r="AU1707" s="14">
        <f>F1707*AT1707*IF(B1707&gt;=in_marketplace_from,d_hz_device*G1707,0)*in_device_ticket*in_device_comm*in_ins_partner_share</f>
        <v/>
      </c>
      <c r="AV1707" s="40">
        <f>AV1706*(1-IF(B1706&gt;=in_marketplace_from,d_hz_shop*G1706,0))</f>
        <v/>
      </c>
      <c r="AW1707" s="46">
        <f>AV1707*IF(B1707&gt;=in_marketplace_from,d_hz_shop*G1707,0)</f>
        <v/>
      </c>
      <c r="AX1707" s="14">
        <f>F1707*AW1707*in_shop_ticket*in_shop_comm*in_ins_partner_share+F1707*in_shop_ticket*in_shop_renew_comm*in_ins_partner_share*(in_shop_renew^1*SUMIFS(AW1696:AW1711,B1696:B1711,B1707-12)+in_shop_renew^2*SUMIFS(AW1696:AW1711,B1696:B1711,B1707-24)+in_shop_renew^3*SUMIFS(AW1696:AW1711,B1696:B1711,B1707-36)+in_shop_renew^4*SUMIFS(AW1696:AW1711,B1696:B1711,B1707-48))</f>
        <v/>
      </c>
      <c r="AY1707" s="40">
        <f>AY1706*(1-IF(B1706&gt;=in_marketplace_from,d_hz_sip*G1706,0))</f>
        <v/>
      </c>
      <c r="AZ1707" s="40">
        <f>AZ1706*d_rho_sip+AY1707*IF(B1707&gt;=in_marketplace_from,d_hz_sip*G1707,0)</f>
        <v/>
      </c>
      <c r="BA1707" s="40">
        <f>d_rho_sip*(BA1706+AZ1706)</f>
        <v/>
      </c>
      <c r="BB1707" s="14">
        <f>F1707*in_sip_ticket*(BA1707+0.5*AZ1707)*in_sip_comm/12</f>
        <v/>
      </c>
      <c r="BC1707" s="40">
        <f>BC1706*(1-IF(B1706&gt;=in_marketplace_from,d_hz_choti*G1706,0))</f>
        <v/>
      </c>
      <c r="BD1707" s="46">
        <f>BC1707*IF(B1707&gt;=in_marketplace_from,d_hz_choti*G1707,0)</f>
        <v/>
      </c>
      <c r="BE1707" s="14">
        <f>F1707*SUMIFS(BD1696:BD1711,B1696:B1711,B1707-in_choti_months)*in_choti_renew*in_choti_ticket</f>
        <v/>
      </c>
      <c r="BF1707" s="40">
        <f>BF1706*(1-IF(B1706&gt;=in_marketplace_from,d_hz_nps*G1706,0))</f>
        <v/>
      </c>
      <c r="BG1707" s="14">
        <f>F1707*BF1707*IF(B1707&gt;=in_marketplace_from,d_hz_nps*G1707,0)*in_nps_ticket*in_nps_comm</f>
        <v/>
      </c>
      <c r="BH1707" s="40">
        <f>BH1706*(1-IF(B1706&gt;=in_marketplace_from,d_hz_gold*G1706,0))</f>
        <v/>
      </c>
      <c r="BI1707" s="40">
        <f>BI1706*d_rho_gold+BH1707*IF(B1707&gt;=in_marketplace_from,d_hz_gold*G1707,0)</f>
        <v/>
      </c>
      <c r="BJ1707" s="14">
        <f>F1707*BI1707*in_gold_ticket*in_gold_comm</f>
        <v/>
      </c>
      <c r="BK1707" s="40">
        <f>BK1706*(1-IF(B1706&gt;=in_marketplace_from,d_hz_fd*G1706,0))</f>
        <v/>
      </c>
      <c r="BL1707" s="14">
        <f>F1707*BK1707*IF(B1707&gt;=in_marketplace_from,d_hz_fd*G1707,0)*in_fd_ticket*in_fd_comm</f>
        <v/>
      </c>
      <c r="BM1707" s="40">
        <f>BM1706*(1-IF(B1706&gt;=in_marketplace_from,d_hz_recharge*G1706,0))</f>
        <v/>
      </c>
      <c r="BN1707" s="40">
        <f>BN1706*d_rho_recharge+BM1707*IF(B1707&gt;=in_marketplace_from,d_hz_recharge*G1707,0)</f>
        <v/>
      </c>
      <c r="BO1707" s="14">
        <f>F1707*BN1707*in_recharge_ticket*in_recharge_comm/12</f>
        <v/>
      </c>
      <c r="BP1707" s="40">
        <f>BP1706*(1-IF(B1706&gt;=in_marketplace_from,d_hz_bills*G1706,0))</f>
        <v/>
      </c>
      <c r="BQ1707" s="40">
        <f>BQ1706*d_rho_bills+BP1707*IF(B1707&gt;=in_marketplace_from,d_hz_bills*G1707,0)</f>
        <v/>
      </c>
      <c r="BR1707" s="14">
        <f>F1707*BQ1707*in_bills_ticket*in_bills_comm/12</f>
        <v/>
      </c>
      <c r="BS1707" s="40">
        <f>BS1706*(1-IF(B1706&gt;=in_marketplace_from,d_hz_loan_gold*G1706,0))</f>
        <v/>
      </c>
      <c r="BT1707" s="14">
        <f>F1707*BS1707*IF(B1707&gt;=in_marketplace_from,d_hz_loan_gold*G1707,0)*in_loan_gold_ticket*in_loan_gold_comm</f>
        <v/>
      </c>
      <c r="BU1707" s="40">
        <f>BU1706*(1-IF(B1706&gt;=in_marketplace_from,d_hz_loan_cd*G1706,0))</f>
        <v/>
      </c>
      <c r="BV1707" s="14">
        <f>F1707*BU1707*IF(B1707&gt;=in_marketplace_from,d_hz_loan_cd*G1707,0)*in_loan_cd_ticket*in_loan_cd_comm</f>
        <v/>
      </c>
      <c r="BW1707" s="40">
        <f>BW1706*(1-IF(B1706&gt;=in_marketplace_from,d_hz_loan_vehicle*G1706,0))</f>
        <v/>
      </c>
      <c r="BX1707" s="14">
        <f>F1707*BW1707*IF(B1707&gt;=in_marketplace_from,d_hz_loan_vehicle*G1707,0)*in_loan_vehicle_ticket*in_loan_vehicle_comm</f>
        <v/>
      </c>
      <c r="BY1707" s="40">
        <f>BY1706*(1-IF(B1706&gt;=in_marketplace_from,d_hz_loan_home*G1706,0)*BZ1706)</f>
        <v/>
      </c>
      <c r="BZ1707" s="11">
        <f>MIN(in_approval_cap,in_loan_home_approval*INDEX('Age profile'!$O$2:$O$61,B1707)*(1+in_approval_growth)^(D1707-1))</f>
        <v/>
      </c>
      <c r="CA1707" s="14">
        <f>F1707*BY1707*IF(B1707&gt;=in_marketplace_from,d_hz_loan_home*G1707,0)*BZ1707*in_loan_home_ticket*in_loan_home_comm</f>
        <v/>
      </c>
      <c r="CB1707" s="40">
        <f>CB1706*(1-IF(B1706&gt;=in_marketplace_from,d_hz_loan_lap*G1706,0)*CC1706)</f>
        <v/>
      </c>
      <c r="CC1707" s="11">
        <f>MIN(in_approval_cap,in_loan_lap_approval*INDEX('Age profile'!$O$2:$O$61,B1707)*(1+in_approval_growth)^(D1707-1))</f>
        <v/>
      </c>
      <c r="CD1707" s="14">
        <f>F1707*CB1707*IF(B1707&gt;=in_marketplace_from,d_hz_loan_lap*G1707,0)*CC1707*in_loan_lap_ticket*in_loan_lap_comm</f>
        <v/>
      </c>
      <c r="CE1707" s="14">
        <f>AA1707+AB1707+AC1707+AD1707+AG1707+AJ1707+AM1707+AP1707+AS1707+AU1707+AX1707+BB1707+BE1707+BG1707+BJ1707+BL1707+BO1707+BR1707+BT1707+BV1707+BX1707+CA1707+CD1707</f>
        <v/>
      </c>
    </row>
    <row r="1708">
      <c r="A1708" s="39" t="n">
        <v>45</v>
      </c>
      <c r="B1708" s="39" t="n">
        <v>13</v>
      </c>
      <c r="C1708" s="39">
        <f>A1708+B1708-1</f>
        <v/>
      </c>
      <c r="D1708" s="39">
        <f>INT((C1708-1)/12)+1</f>
        <v/>
      </c>
      <c r="E1708" s="44">
        <f>INDEX(Monthly!$B$2:$B$61,A1708)</f>
        <v/>
      </c>
      <c r="F1708" s="44">
        <f>E1708*INDEX('Age profile'!$B$2:$B$61,B1708)</f>
        <v/>
      </c>
      <c r="G1708" s="45">
        <f>MIN(in_takeup_cap,INDEX('Age profile'!$N$2:$N$61,B1708)*(1+in_takeup_growth)^(D1708-1))</f>
        <v/>
      </c>
      <c r="H1708" s="11">
        <f>MIN(in_approval_cap,in_approved_first*INDEX('Age profile'!$O$2:$O$61,B1708)*(1+in_approval_growth)^(D1708-1))</f>
        <v/>
      </c>
      <c r="I1708" s="45">
        <f>G1708*MIN(in_takeup_cap,INDEX('Age profile'!$O$2:$O$61,B1708)*(1+in_approval_growth)^(D1708-1))</f>
        <v/>
      </c>
      <c r="J1708" s="40">
        <f>(J1707-L1707)*F1708/F1707</f>
        <v/>
      </c>
      <c r="K1708" s="40">
        <f>(K1707-M1707)*F1708/F1707+SUMIFS(O1696:O1707,B1696:B1707,B1708-1-d_T)*F1708</f>
        <v/>
      </c>
      <c r="L1708" s="40">
        <f>IF(B1708&gt;=in_marketplace_from,J1708*d_hz*G1708*in_eligible*H1708,0)</f>
        <v/>
      </c>
      <c r="M1708" s="40">
        <f>IF(B1708&gt;=in_marketplace_from,K1708*d_hz*G1708*in_eligible*in_approved_repeat,0)</f>
        <v/>
      </c>
      <c r="N1708" s="40">
        <f>L1708+M1708</f>
        <v/>
      </c>
      <c r="O1708" s="46">
        <f>N1708/F1708</f>
        <v/>
      </c>
      <c r="P1708" s="40">
        <f>F1708-J1708-K1708</f>
        <v/>
      </c>
      <c r="Q1708" s="40">
        <f>IF(B1708&gt;=in_marketplace_from,(J1708+K1708)*d_hz*G1708,0)</f>
        <v/>
      </c>
      <c r="R1708" s="40">
        <f>SUMIFS(N1696:N1711,B1696:B1711,"&gt;="&amp;(B1708-d_T),B1696:B1711,"&lt;="&amp;(B1708-1))</f>
        <v/>
      </c>
      <c r="S1708" s="46">
        <f>(1-d_u)*S1707+IF(d_T&gt;in_topup_lag,SUMIFS(O1696:O1711,B1696:B1711,B1708-in_topup_lag)-d_udrop*SUMIFS(O1696:O1711,B1696:B1711,B1708-d_T),0)</f>
        <v/>
      </c>
      <c r="T1708" s="40">
        <f>F1708*d_u*S1708</f>
        <v/>
      </c>
      <c r="U1708" s="9">
        <f>L1708*in_ticket+M1708*d_rep_ticket</f>
        <v/>
      </c>
      <c r="V1708" s="9">
        <f>U1708+T1708*d_topup_amt</f>
        <v/>
      </c>
      <c r="W1708" s="40">
        <f>N1708+T1708*d_topup_ratio</f>
        <v/>
      </c>
      <c r="X1708" s="40">
        <f>SUMIFS(W1696:W1711,B1696:B1711,B1708-in_dpd_lag)*d_cured</f>
        <v/>
      </c>
      <c r="Y1708" s="40">
        <f>SUMIFS(W1696:W1711,B1696:B1711,B1708-in_rec_lag)*d_recd</f>
        <v/>
      </c>
      <c r="Z1708" s="40">
        <f>IF(AND(B1708&gt;=in_marketplace_from,B1708&lt;in_marketplace_from+in_card_months),in_card_share/in_card_months*F1708*I1708,IF(AND(B1708&gt;=in_marketplace_from+in_card_months,B1708&lt;in_marketplace_from+2*in_card_months),in_card_share*d_card_rem/in_card_months*F1708*MIN(in_takeup_cap,(1+in_takeup_growth)^(D1708-1))*MIN(in_takeup_cap,(1+in_approval_growth)^(D1708-1)),0))</f>
        <v/>
      </c>
      <c r="AA1708" s="14">
        <f>V1708*in_fee*(1-in_taken_back)</f>
        <v/>
      </c>
      <c r="AB1708" s="14">
        <f>SUMIFS(W1696:W1711,B1696:B1711,B1708-in_dpd_lag)*d_dpd</f>
        <v/>
      </c>
      <c r="AC1708" s="14">
        <f>SUMIFS(W1696:W1711,B1696:B1711,B1708-in_rec_lag)*d_rec</f>
        <v/>
      </c>
      <c r="AD1708" s="14">
        <f>Z1708*in_card_fee</f>
        <v/>
      </c>
      <c r="AE1708" s="40">
        <f>AE1707*(1-IF(B1707&gt;=in_marketplace_from,d_hz_hlth_small*G1707,0))</f>
        <v/>
      </c>
      <c r="AF1708" s="46">
        <f>AE1708*IF(B1708&gt;=in_marketplace_from,d_hz_hlth_small*G1708,0)</f>
        <v/>
      </c>
      <c r="AG1708" s="14">
        <f>F1708*AF1708*in_hlth_small_ticket*in_hlth_small_comm*in_ins_partner_share+F1708*in_hlth_small_ticket*in_hlth_small_renew_comm*in_ins_partner_share*(in_hlth_small_renew^1*SUMIFS(AF1696:AF1711,B1696:B1711,B1708-12)+in_hlth_small_renew^2*SUMIFS(AF1696:AF1711,B1696:B1711,B1708-24)+in_hlth_small_renew^3*SUMIFS(AF1696:AF1711,B1696:B1711,B1708-36)+in_hlth_small_renew^4*SUMIFS(AF1696:AF1711,B1696:B1711,B1708-48))</f>
        <v/>
      </c>
      <c r="AH1708" s="40">
        <f>AH1707*(1-IF(B1707&gt;=in_marketplace_from,d_hz_hlth_family*G1707,0))</f>
        <v/>
      </c>
      <c r="AI1708" s="46">
        <f>AH1708*IF(B1708&gt;=in_marketplace_from,d_hz_hlth_family*G1708,0)</f>
        <v/>
      </c>
      <c r="AJ1708" s="14">
        <f>F1708*AI1708*in_hlth_family_ticket*in_hlth_family_comm*in_ins_partner_share+F1708*in_hlth_family_ticket*in_hlth_family_renew_comm*in_ins_partner_share*(in_hlth_family_renew^1*SUMIFS(AI1696:AI1711,B1696:B1711,B1708-12)+in_hlth_family_renew^2*SUMIFS(AI1696:AI1711,B1696:B1711,B1708-24)+in_hlth_family_renew^3*SUMIFS(AI1696:AI1711,B1696:B1711,B1708-36)+in_hlth_family_renew^4*SUMIFS(AI1696:AI1711,B1696:B1711,B1708-48))</f>
        <v/>
      </c>
      <c r="AK1708" s="40">
        <f>AK1707*(1-IF(B1707&gt;=in_marketplace_from,d_hz_life_term*G1707,0))</f>
        <v/>
      </c>
      <c r="AL1708" s="46">
        <f>AK1708*IF(B1708&gt;=in_marketplace_from,d_hz_life_term*G1708,0)</f>
        <v/>
      </c>
      <c r="AM1708" s="14">
        <f>F1708*AL1708*in_life_term_ticket*in_life_term_comm*in_ins_partner_share+F1708*in_life_term_ticket*in_life_term_renew_comm*in_ins_partner_share*(in_life_term_renew^1*SUMIFS(AL1696:AL1711,B1696:B1711,B1708-12)+in_life_term_renew^2*SUMIFS(AL1696:AL1711,B1696:B1711,B1708-24)+in_life_term_renew^3*SUMIFS(AL1696:AL1711,B1696:B1711,B1708-36)+in_life_term_renew^4*SUMIFS(AL1696:AL1711,B1696:B1711,B1708-48))</f>
        <v/>
      </c>
      <c r="AN1708" s="40">
        <f>AN1707*(1-IF(B1707&gt;=in_marketplace_from,d_hz_accident*G1707,0))</f>
        <v/>
      </c>
      <c r="AO1708" s="46">
        <f>AN1708*IF(B1708&gt;=in_marketplace_from,d_hz_accident*G1708,0)</f>
        <v/>
      </c>
      <c r="AP1708" s="14">
        <f>F1708*AO1708*in_accident_ticket*in_accident_comm*in_ins_partner_share+F1708*in_accident_ticket*in_accident_renew_comm*in_ins_partner_share*(in_accident_renew^1*SUMIFS(AO1696:AO1711,B1696:B1711,B1708-12)+in_accident_renew^2*SUMIFS(AO1696:AO1711,B1696:B1711,B1708-24)+in_accident_renew^3*SUMIFS(AO1696:AO1711,B1696:B1711,B1708-36)+in_accident_renew^4*SUMIFS(AO1696:AO1711,B1696:B1711,B1708-48))</f>
        <v/>
      </c>
      <c r="AQ1708" s="40">
        <f>AQ1707*(1-IF(B1707&gt;=in_marketplace_from,d_hz_two_wheeler*G1707,0))</f>
        <v/>
      </c>
      <c r="AR1708" s="46">
        <f>AQ1708*IF(B1708&gt;=in_marketplace_from,d_hz_two_wheeler*G1708,0)</f>
        <v/>
      </c>
      <c r="AS1708" s="14">
        <f>F1708*AR1708*in_two_wheeler_ticket*in_two_wheeler_comm*in_ins_partner_share+F1708*in_two_wheeler_ticket*in_two_wheeler_comm*in_ins_partner_share*(in_two_wheeler_renew^1*SUMIFS(AR1696:AR1711,B1696:B1711,B1708-12)+in_two_wheeler_renew^2*SUMIFS(AR1696:AR1711,B1696:B1711,B1708-24)+in_two_wheeler_renew^3*SUMIFS(AR1696:AR1711,B1696:B1711,B1708-36)+in_two_wheeler_renew^4*SUMIFS(AR1696:AR1711,B1696:B1711,B1708-48))</f>
        <v/>
      </c>
      <c r="AT1708" s="40">
        <f>AT1707*(1-IF(B1707&gt;=in_marketplace_from,d_hz_device*G1707,0))</f>
        <v/>
      </c>
      <c r="AU1708" s="14">
        <f>F1708*AT1708*IF(B1708&gt;=in_marketplace_from,d_hz_device*G1708,0)*in_device_ticket*in_device_comm*in_ins_partner_share</f>
        <v/>
      </c>
      <c r="AV1708" s="40">
        <f>AV1707*(1-IF(B1707&gt;=in_marketplace_from,d_hz_shop*G1707,0))</f>
        <v/>
      </c>
      <c r="AW1708" s="46">
        <f>AV1708*IF(B1708&gt;=in_marketplace_from,d_hz_shop*G1708,0)</f>
        <v/>
      </c>
      <c r="AX1708" s="14">
        <f>F1708*AW1708*in_shop_ticket*in_shop_comm*in_ins_partner_share+F1708*in_shop_ticket*in_shop_renew_comm*in_ins_partner_share*(in_shop_renew^1*SUMIFS(AW1696:AW1711,B1696:B1711,B1708-12)+in_shop_renew^2*SUMIFS(AW1696:AW1711,B1696:B1711,B1708-24)+in_shop_renew^3*SUMIFS(AW1696:AW1711,B1696:B1711,B1708-36)+in_shop_renew^4*SUMIFS(AW1696:AW1711,B1696:B1711,B1708-48))</f>
        <v/>
      </c>
      <c r="AY1708" s="40">
        <f>AY1707*(1-IF(B1707&gt;=in_marketplace_from,d_hz_sip*G1707,0))</f>
        <v/>
      </c>
      <c r="AZ1708" s="40">
        <f>AZ1707*d_rho_sip+AY1708*IF(B1708&gt;=in_marketplace_from,d_hz_sip*G1708,0)</f>
        <v/>
      </c>
      <c r="BA1708" s="40">
        <f>d_rho_sip*(BA1707+AZ1707)</f>
        <v/>
      </c>
      <c r="BB1708" s="14">
        <f>F1708*in_sip_ticket*(BA1708+0.5*AZ1708)*in_sip_comm/12</f>
        <v/>
      </c>
      <c r="BC1708" s="40">
        <f>BC1707*(1-IF(B1707&gt;=in_marketplace_from,d_hz_choti*G1707,0))</f>
        <v/>
      </c>
      <c r="BD1708" s="46">
        <f>BC1708*IF(B1708&gt;=in_marketplace_from,d_hz_choti*G1708,0)</f>
        <v/>
      </c>
      <c r="BE1708" s="14">
        <f>F1708*SUMIFS(BD1696:BD1711,B1696:B1711,B1708-in_choti_months)*in_choti_renew*in_choti_ticket</f>
        <v/>
      </c>
      <c r="BF1708" s="40">
        <f>BF1707*(1-IF(B1707&gt;=in_marketplace_from,d_hz_nps*G1707,0))</f>
        <v/>
      </c>
      <c r="BG1708" s="14">
        <f>F1708*BF1708*IF(B1708&gt;=in_marketplace_from,d_hz_nps*G1708,0)*in_nps_ticket*in_nps_comm</f>
        <v/>
      </c>
      <c r="BH1708" s="40">
        <f>BH1707*(1-IF(B1707&gt;=in_marketplace_from,d_hz_gold*G1707,0))</f>
        <v/>
      </c>
      <c r="BI1708" s="40">
        <f>BI1707*d_rho_gold+BH1708*IF(B1708&gt;=in_marketplace_from,d_hz_gold*G1708,0)</f>
        <v/>
      </c>
      <c r="BJ1708" s="14">
        <f>F1708*BI1708*in_gold_ticket*in_gold_comm</f>
        <v/>
      </c>
      <c r="BK1708" s="40">
        <f>BK1707*(1-IF(B1707&gt;=in_marketplace_from,d_hz_fd*G1707,0))</f>
        <v/>
      </c>
      <c r="BL1708" s="14">
        <f>F1708*BK1708*IF(B1708&gt;=in_marketplace_from,d_hz_fd*G1708,0)*in_fd_ticket*in_fd_comm</f>
        <v/>
      </c>
      <c r="BM1708" s="40">
        <f>BM1707*(1-IF(B1707&gt;=in_marketplace_from,d_hz_recharge*G1707,0))</f>
        <v/>
      </c>
      <c r="BN1708" s="40">
        <f>BN1707*d_rho_recharge+BM1708*IF(B1708&gt;=in_marketplace_from,d_hz_recharge*G1708,0)</f>
        <v/>
      </c>
      <c r="BO1708" s="14">
        <f>F1708*BN1708*in_recharge_ticket*in_recharge_comm/12</f>
        <v/>
      </c>
      <c r="BP1708" s="40">
        <f>BP1707*(1-IF(B1707&gt;=in_marketplace_from,d_hz_bills*G1707,0))</f>
        <v/>
      </c>
      <c r="BQ1708" s="40">
        <f>BQ1707*d_rho_bills+BP1708*IF(B1708&gt;=in_marketplace_from,d_hz_bills*G1708,0)</f>
        <v/>
      </c>
      <c r="BR1708" s="14">
        <f>F1708*BQ1708*in_bills_ticket*in_bills_comm/12</f>
        <v/>
      </c>
      <c r="BS1708" s="40">
        <f>BS1707*(1-IF(B1707&gt;=in_marketplace_from,d_hz_loan_gold*G1707,0))</f>
        <v/>
      </c>
      <c r="BT1708" s="14">
        <f>F1708*BS1708*IF(B1708&gt;=in_marketplace_from,d_hz_loan_gold*G1708,0)*in_loan_gold_ticket*in_loan_gold_comm</f>
        <v/>
      </c>
      <c r="BU1708" s="40">
        <f>BU1707*(1-IF(B1707&gt;=in_marketplace_from,d_hz_loan_cd*G1707,0))</f>
        <v/>
      </c>
      <c r="BV1708" s="14">
        <f>F1708*BU1708*IF(B1708&gt;=in_marketplace_from,d_hz_loan_cd*G1708,0)*in_loan_cd_ticket*in_loan_cd_comm</f>
        <v/>
      </c>
      <c r="BW1708" s="40">
        <f>BW1707*(1-IF(B1707&gt;=in_marketplace_from,d_hz_loan_vehicle*G1707,0))</f>
        <v/>
      </c>
      <c r="BX1708" s="14">
        <f>F1708*BW1708*IF(B1708&gt;=in_marketplace_from,d_hz_loan_vehicle*G1708,0)*in_loan_vehicle_ticket*in_loan_vehicle_comm</f>
        <v/>
      </c>
      <c r="BY1708" s="40">
        <f>BY1707*(1-IF(B1707&gt;=in_marketplace_from,d_hz_loan_home*G1707,0)*BZ1707)</f>
        <v/>
      </c>
      <c r="BZ1708" s="11">
        <f>MIN(in_approval_cap,in_loan_home_approval*INDEX('Age profile'!$O$2:$O$61,B1708)*(1+in_approval_growth)^(D1708-1))</f>
        <v/>
      </c>
      <c r="CA1708" s="14">
        <f>F1708*BY1708*IF(B1708&gt;=in_marketplace_from,d_hz_loan_home*G1708,0)*BZ1708*in_loan_home_ticket*in_loan_home_comm</f>
        <v/>
      </c>
      <c r="CB1708" s="40">
        <f>CB1707*(1-IF(B1707&gt;=in_marketplace_from,d_hz_loan_lap*G1707,0)*CC1707)</f>
        <v/>
      </c>
      <c r="CC1708" s="11">
        <f>MIN(in_approval_cap,in_loan_lap_approval*INDEX('Age profile'!$O$2:$O$61,B1708)*(1+in_approval_growth)^(D1708-1))</f>
        <v/>
      </c>
      <c r="CD1708" s="14">
        <f>F1708*CB1708*IF(B1708&gt;=in_marketplace_from,d_hz_loan_lap*G1708,0)*CC1708*in_loan_lap_ticket*in_loan_lap_comm</f>
        <v/>
      </c>
      <c r="CE1708" s="14">
        <f>AA1708+AB1708+AC1708+AD1708+AG1708+AJ1708+AM1708+AP1708+AS1708+AU1708+AX1708+BB1708+BE1708+BG1708+BJ1708+BL1708+BO1708+BR1708+BT1708+BV1708+BX1708+CA1708+CD1708</f>
        <v/>
      </c>
    </row>
    <row r="1709">
      <c r="A1709" s="39" t="n">
        <v>45</v>
      </c>
      <c r="B1709" s="39" t="n">
        <v>14</v>
      </c>
      <c r="C1709" s="39">
        <f>A1709+B1709-1</f>
        <v/>
      </c>
      <c r="D1709" s="39">
        <f>INT((C1709-1)/12)+1</f>
        <v/>
      </c>
      <c r="E1709" s="44">
        <f>INDEX(Monthly!$B$2:$B$61,A1709)</f>
        <v/>
      </c>
      <c r="F1709" s="44">
        <f>E1709*INDEX('Age profile'!$B$2:$B$61,B1709)</f>
        <v/>
      </c>
      <c r="G1709" s="45">
        <f>MIN(in_takeup_cap,INDEX('Age profile'!$N$2:$N$61,B1709)*(1+in_takeup_growth)^(D1709-1))</f>
        <v/>
      </c>
      <c r="H1709" s="11">
        <f>MIN(in_approval_cap,in_approved_first*INDEX('Age profile'!$O$2:$O$61,B1709)*(1+in_approval_growth)^(D1709-1))</f>
        <v/>
      </c>
      <c r="I1709" s="45">
        <f>G1709*MIN(in_takeup_cap,INDEX('Age profile'!$O$2:$O$61,B1709)*(1+in_approval_growth)^(D1709-1))</f>
        <v/>
      </c>
      <c r="J1709" s="40">
        <f>(J1708-L1708)*F1709/F1708</f>
        <v/>
      </c>
      <c r="K1709" s="40">
        <f>(K1708-M1708)*F1709/F1708+SUMIFS(O1696:O1708,B1696:B1708,B1709-1-d_T)*F1709</f>
        <v/>
      </c>
      <c r="L1709" s="40">
        <f>IF(B1709&gt;=in_marketplace_from,J1709*d_hz*G1709*in_eligible*H1709,0)</f>
        <v/>
      </c>
      <c r="M1709" s="40">
        <f>IF(B1709&gt;=in_marketplace_from,K1709*d_hz*G1709*in_eligible*in_approved_repeat,0)</f>
        <v/>
      </c>
      <c r="N1709" s="40">
        <f>L1709+M1709</f>
        <v/>
      </c>
      <c r="O1709" s="46">
        <f>N1709/F1709</f>
        <v/>
      </c>
      <c r="P1709" s="40">
        <f>F1709-J1709-K1709</f>
        <v/>
      </c>
      <c r="Q1709" s="40">
        <f>IF(B1709&gt;=in_marketplace_from,(J1709+K1709)*d_hz*G1709,0)</f>
        <v/>
      </c>
      <c r="R1709" s="40">
        <f>SUMIFS(N1696:N1711,B1696:B1711,"&gt;="&amp;(B1709-d_T),B1696:B1711,"&lt;="&amp;(B1709-1))</f>
        <v/>
      </c>
      <c r="S1709" s="46">
        <f>(1-d_u)*S1708+IF(d_T&gt;in_topup_lag,SUMIFS(O1696:O1711,B1696:B1711,B1709-in_topup_lag)-d_udrop*SUMIFS(O1696:O1711,B1696:B1711,B1709-d_T),0)</f>
        <v/>
      </c>
      <c r="T1709" s="40">
        <f>F1709*d_u*S1709</f>
        <v/>
      </c>
      <c r="U1709" s="9">
        <f>L1709*in_ticket+M1709*d_rep_ticket</f>
        <v/>
      </c>
      <c r="V1709" s="9">
        <f>U1709+T1709*d_topup_amt</f>
        <v/>
      </c>
      <c r="W1709" s="40">
        <f>N1709+T1709*d_topup_ratio</f>
        <v/>
      </c>
      <c r="X1709" s="40">
        <f>SUMIFS(W1696:W1711,B1696:B1711,B1709-in_dpd_lag)*d_cured</f>
        <v/>
      </c>
      <c r="Y1709" s="40">
        <f>SUMIFS(W1696:W1711,B1696:B1711,B1709-in_rec_lag)*d_recd</f>
        <v/>
      </c>
      <c r="Z1709" s="40">
        <f>IF(AND(B1709&gt;=in_marketplace_from,B1709&lt;in_marketplace_from+in_card_months),in_card_share/in_card_months*F1709*I1709,IF(AND(B1709&gt;=in_marketplace_from+in_card_months,B1709&lt;in_marketplace_from+2*in_card_months),in_card_share*d_card_rem/in_card_months*F1709*MIN(in_takeup_cap,(1+in_takeup_growth)^(D1709-1))*MIN(in_takeup_cap,(1+in_approval_growth)^(D1709-1)),0))</f>
        <v/>
      </c>
      <c r="AA1709" s="14">
        <f>V1709*in_fee*(1-in_taken_back)</f>
        <v/>
      </c>
      <c r="AB1709" s="14">
        <f>SUMIFS(W1696:W1711,B1696:B1711,B1709-in_dpd_lag)*d_dpd</f>
        <v/>
      </c>
      <c r="AC1709" s="14">
        <f>SUMIFS(W1696:W1711,B1696:B1711,B1709-in_rec_lag)*d_rec</f>
        <v/>
      </c>
      <c r="AD1709" s="14">
        <f>Z1709*in_card_fee</f>
        <v/>
      </c>
      <c r="AE1709" s="40">
        <f>AE1708*(1-IF(B1708&gt;=in_marketplace_from,d_hz_hlth_small*G1708,0))</f>
        <v/>
      </c>
      <c r="AF1709" s="46">
        <f>AE1709*IF(B1709&gt;=in_marketplace_from,d_hz_hlth_small*G1709,0)</f>
        <v/>
      </c>
      <c r="AG1709" s="14">
        <f>F1709*AF1709*in_hlth_small_ticket*in_hlth_small_comm*in_ins_partner_share+F1709*in_hlth_small_ticket*in_hlth_small_renew_comm*in_ins_partner_share*(in_hlth_small_renew^1*SUMIFS(AF1696:AF1711,B1696:B1711,B1709-12)+in_hlth_small_renew^2*SUMIFS(AF1696:AF1711,B1696:B1711,B1709-24)+in_hlth_small_renew^3*SUMIFS(AF1696:AF1711,B1696:B1711,B1709-36)+in_hlth_small_renew^4*SUMIFS(AF1696:AF1711,B1696:B1711,B1709-48))</f>
        <v/>
      </c>
      <c r="AH1709" s="40">
        <f>AH1708*(1-IF(B1708&gt;=in_marketplace_from,d_hz_hlth_family*G1708,0))</f>
        <v/>
      </c>
      <c r="AI1709" s="46">
        <f>AH1709*IF(B1709&gt;=in_marketplace_from,d_hz_hlth_family*G1709,0)</f>
        <v/>
      </c>
      <c r="AJ1709" s="14">
        <f>F1709*AI1709*in_hlth_family_ticket*in_hlth_family_comm*in_ins_partner_share+F1709*in_hlth_family_ticket*in_hlth_family_renew_comm*in_ins_partner_share*(in_hlth_family_renew^1*SUMIFS(AI1696:AI1711,B1696:B1711,B1709-12)+in_hlth_family_renew^2*SUMIFS(AI1696:AI1711,B1696:B1711,B1709-24)+in_hlth_family_renew^3*SUMIFS(AI1696:AI1711,B1696:B1711,B1709-36)+in_hlth_family_renew^4*SUMIFS(AI1696:AI1711,B1696:B1711,B1709-48))</f>
        <v/>
      </c>
      <c r="AK1709" s="40">
        <f>AK1708*(1-IF(B1708&gt;=in_marketplace_from,d_hz_life_term*G1708,0))</f>
        <v/>
      </c>
      <c r="AL1709" s="46">
        <f>AK1709*IF(B1709&gt;=in_marketplace_from,d_hz_life_term*G1709,0)</f>
        <v/>
      </c>
      <c r="AM1709" s="14">
        <f>F1709*AL1709*in_life_term_ticket*in_life_term_comm*in_ins_partner_share+F1709*in_life_term_ticket*in_life_term_renew_comm*in_ins_partner_share*(in_life_term_renew^1*SUMIFS(AL1696:AL1711,B1696:B1711,B1709-12)+in_life_term_renew^2*SUMIFS(AL1696:AL1711,B1696:B1711,B1709-24)+in_life_term_renew^3*SUMIFS(AL1696:AL1711,B1696:B1711,B1709-36)+in_life_term_renew^4*SUMIFS(AL1696:AL1711,B1696:B1711,B1709-48))</f>
        <v/>
      </c>
      <c r="AN1709" s="40">
        <f>AN1708*(1-IF(B1708&gt;=in_marketplace_from,d_hz_accident*G1708,0))</f>
        <v/>
      </c>
      <c r="AO1709" s="46">
        <f>AN1709*IF(B1709&gt;=in_marketplace_from,d_hz_accident*G1709,0)</f>
        <v/>
      </c>
      <c r="AP1709" s="14">
        <f>F1709*AO1709*in_accident_ticket*in_accident_comm*in_ins_partner_share+F1709*in_accident_ticket*in_accident_renew_comm*in_ins_partner_share*(in_accident_renew^1*SUMIFS(AO1696:AO1711,B1696:B1711,B1709-12)+in_accident_renew^2*SUMIFS(AO1696:AO1711,B1696:B1711,B1709-24)+in_accident_renew^3*SUMIFS(AO1696:AO1711,B1696:B1711,B1709-36)+in_accident_renew^4*SUMIFS(AO1696:AO1711,B1696:B1711,B1709-48))</f>
        <v/>
      </c>
      <c r="AQ1709" s="40">
        <f>AQ1708*(1-IF(B1708&gt;=in_marketplace_from,d_hz_two_wheeler*G1708,0))</f>
        <v/>
      </c>
      <c r="AR1709" s="46">
        <f>AQ1709*IF(B1709&gt;=in_marketplace_from,d_hz_two_wheeler*G1709,0)</f>
        <v/>
      </c>
      <c r="AS1709" s="14">
        <f>F1709*AR1709*in_two_wheeler_ticket*in_two_wheeler_comm*in_ins_partner_share+F1709*in_two_wheeler_ticket*in_two_wheeler_comm*in_ins_partner_share*(in_two_wheeler_renew^1*SUMIFS(AR1696:AR1711,B1696:B1711,B1709-12)+in_two_wheeler_renew^2*SUMIFS(AR1696:AR1711,B1696:B1711,B1709-24)+in_two_wheeler_renew^3*SUMIFS(AR1696:AR1711,B1696:B1711,B1709-36)+in_two_wheeler_renew^4*SUMIFS(AR1696:AR1711,B1696:B1711,B1709-48))</f>
        <v/>
      </c>
      <c r="AT1709" s="40">
        <f>AT1708*(1-IF(B1708&gt;=in_marketplace_from,d_hz_device*G1708,0))</f>
        <v/>
      </c>
      <c r="AU1709" s="14">
        <f>F1709*AT1709*IF(B1709&gt;=in_marketplace_from,d_hz_device*G1709,0)*in_device_ticket*in_device_comm*in_ins_partner_share</f>
        <v/>
      </c>
      <c r="AV1709" s="40">
        <f>AV1708*(1-IF(B1708&gt;=in_marketplace_from,d_hz_shop*G1708,0))</f>
        <v/>
      </c>
      <c r="AW1709" s="46">
        <f>AV1709*IF(B1709&gt;=in_marketplace_from,d_hz_shop*G1709,0)</f>
        <v/>
      </c>
      <c r="AX1709" s="14">
        <f>F1709*AW1709*in_shop_ticket*in_shop_comm*in_ins_partner_share+F1709*in_shop_ticket*in_shop_renew_comm*in_ins_partner_share*(in_shop_renew^1*SUMIFS(AW1696:AW1711,B1696:B1711,B1709-12)+in_shop_renew^2*SUMIFS(AW1696:AW1711,B1696:B1711,B1709-24)+in_shop_renew^3*SUMIFS(AW1696:AW1711,B1696:B1711,B1709-36)+in_shop_renew^4*SUMIFS(AW1696:AW1711,B1696:B1711,B1709-48))</f>
        <v/>
      </c>
      <c r="AY1709" s="40">
        <f>AY1708*(1-IF(B1708&gt;=in_marketplace_from,d_hz_sip*G1708,0))</f>
        <v/>
      </c>
      <c r="AZ1709" s="40">
        <f>AZ1708*d_rho_sip+AY1709*IF(B1709&gt;=in_marketplace_from,d_hz_sip*G1709,0)</f>
        <v/>
      </c>
      <c r="BA1709" s="40">
        <f>d_rho_sip*(BA1708+AZ1708)</f>
        <v/>
      </c>
      <c r="BB1709" s="14">
        <f>F1709*in_sip_ticket*(BA1709+0.5*AZ1709)*in_sip_comm/12</f>
        <v/>
      </c>
      <c r="BC1709" s="40">
        <f>BC1708*(1-IF(B1708&gt;=in_marketplace_from,d_hz_choti*G1708,0))</f>
        <v/>
      </c>
      <c r="BD1709" s="46">
        <f>BC1709*IF(B1709&gt;=in_marketplace_from,d_hz_choti*G1709,0)</f>
        <v/>
      </c>
      <c r="BE1709" s="14">
        <f>F1709*SUMIFS(BD1696:BD1711,B1696:B1711,B1709-in_choti_months)*in_choti_renew*in_choti_ticket</f>
        <v/>
      </c>
      <c r="BF1709" s="40">
        <f>BF1708*(1-IF(B1708&gt;=in_marketplace_from,d_hz_nps*G1708,0))</f>
        <v/>
      </c>
      <c r="BG1709" s="14">
        <f>F1709*BF1709*IF(B1709&gt;=in_marketplace_from,d_hz_nps*G1709,0)*in_nps_ticket*in_nps_comm</f>
        <v/>
      </c>
      <c r="BH1709" s="40">
        <f>BH1708*(1-IF(B1708&gt;=in_marketplace_from,d_hz_gold*G1708,0))</f>
        <v/>
      </c>
      <c r="BI1709" s="40">
        <f>BI1708*d_rho_gold+BH1709*IF(B1709&gt;=in_marketplace_from,d_hz_gold*G1709,0)</f>
        <v/>
      </c>
      <c r="BJ1709" s="14">
        <f>F1709*BI1709*in_gold_ticket*in_gold_comm</f>
        <v/>
      </c>
      <c r="BK1709" s="40">
        <f>BK1708*(1-IF(B1708&gt;=in_marketplace_from,d_hz_fd*G1708,0))</f>
        <v/>
      </c>
      <c r="BL1709" s="14">
        <f>F1709*BK1709*IF(B1709&gt;=in_marketplace_from,d_hz_fd*G1709,0)*in_fd_ticket*in_fd_comm</f>
        <v/>
      </c>
      <c r="BM1709" s="40">
        <f>BM1708*(1-IF(B1708&gt;=in_marketplace_from,d_hz_recharge*G1708,0))</f>
        <v/>
      </c>
      <c r="BN1709" s="40">
        <f>BN1708*d_rho_recharge+BM1709*IF(B1709&gt;=in_marketplace_from,d_hz_recharge*G1709,0)</f>
        <v/>
      </c>
      <c r="BO1709" s="14">
        <f>F1709*BN1709*in_recharge_ticket*in_recharge_comm/12</f>
        <v/>
      </c>
      <c r="BP1709" s="40">
        <f>BP1708*(1-IF(B1708&gt;=in_marketplace_from,d_hz_bills*G1708,0))</f>
        <v/>
      </c>
      <c r="BQ1709" s="40">
        <f>BQ1708*d_rho_bills+BP1709*IF(B1709&gt;=in_marketplace_from,d_hz_bills*G1709,0)</f>
        <v/>
      </c>
      <c r="BR1709" s="14">
        <f>F1709*BQ1709*in_bills_ticket*in_bills_comm/12</f>
        <v/>
      </c>
      <c r="BS1709" s="40">
        <f>BS1708*(1-IF(B1708&gt;=in_marketplace_from,d_hz_loan_gold*G1708,0))</f>
        <v/>
      </c>
      <c r="BT1709" s="14">
        <f>F1709*BS1709*IF(B1709&gt;=in_marketplace_from,d_hz_loan_gold*G1709,0)*in_loan_gold_ticket*in_loan_gold_comm</f>
        <v/>
      </c>
      <c r="BU1709" s="40">
        <f>BU1708*(1-IF(B1708&gt;=in_marketplace_from,d_hz_loan_cd*G1708,0))</f>
        <v/>
      </c>
      <c r="BV1709" s="14">
        <f>F1709*BU1709*IF(B1709&gt;=in_marketplace_from,d_hz_loan_cd*G1709,0)*in_loan_cd_ticket*in_loan_cd_comm</f>
        <v/>
      </c>
      <c r="BW1709" s="40">
        <f>BW1708*(1-IF(B1708&gt;=in_marketplace_from,d_hz_loan_vehicle*G1708,0))</f>
        <v/>
      </c>
      <c r="BX1709" s="14">
        <f>F1709*BW1709*IF(B1709&gt;=in_marketplace_from,d_hz_loan_vehicle*G1709,0)*in_loan_vehicle_ticket*in_loan_vehicle_comm</f>
        <v/>
      </c>
      <c r="BY1709" s="40">
        <f>BY1708*(1-IF(B1708&gt;=in_marketplace_from,d_hz_loan_home*G1708,0)*BZ1708)</f>
        <v/>
      </c>
      <c r="BZ1709" s="11">
        <f>MIN(in_approval_cap,in_loan_home_approval*INDEX('Age profile'!$O$2:$O$61,B1709)*(1+in_approval_growth)^(D1709-1))</f>
        <v/>
      </c>
      <c r="CA1709" s="14">
        <f>F1709*BY1709*IF(B1709&gt;=in_marketplace_from,d_hz_loan_home*G1709,0)*BZ1709*in_loan_home_ticket*in_loan_home_comm</f>
        <v/>
      </c>
      <c r="CB1709" s="40">
        <f>CB1708*(1-IF(B1708&gt;=in_marketplace_from,d_hz_loan_lap*G1708,0)*CC1708)</f>
        <v/>
      </c>
      <c r="CC1709" s="11">
        <f>MIN(in_approval_cap,in_loan_lap_approval*INDEX('Age profile'!$O$2:$O$61,B1709)*(1+in_approval_growth)^(D1709-1))</f>
        <v/>
      </c>
      <c r="CD1709" s="14">
        <f>F1709*CB1709*IF(B1709&gt;=in_marketplace_from,d_hz_loan_lap*G1709,0)*CC1709*in_loan_lap_ticket*in_loan_lap_comm</f>
        <v/>
      </c>
      <c r="CE1709" s="14">
        <f>AA1709+AB1709+AC1709+AD1709+AG1709+AJ1709+AM1709+AP1709+AS1709+AU1709+AX1709+BB1709+BE1709+BG1709+BJ1709+BL1709+BO1709+BR1709+BT1709+BV1709+BX1709+CA1709+CD1709</f>
        <v/>
      </c>
    </row>
    <row r="1710">
      <c r="A1710" s="39" t="n">
        <v>45</v>
      </c>
      <c r="B1710" s="39" t="n">
        <v>15</v>
      </c>
      <c r="C1710" s="39">
        <f>A1710+B1710-1</f>
        <v/>
      </c>
      <c r="D1710" s="39">
        <f>INT((C1710-1)/12)+1</f>
        <v/>
      </c>
      <c r="E1710" s="44">
        <f>INDEX(Monthly!$B$2:$B$61,A1710)</f>
        <v/>
      </c>
      <c r="F1710" s="44">
        <f>E1710*INDEX('Age profile'!$B$2:$B$61,B1710)</f>
        <v/>
      </c>
      <c r="G1710" s="45">
        <f>MIN(in_takeup_cap,INDEX('Age profile'!$N$2:$N$61,B1710)*(1+in_takeup_growth)^(D1710-1))</f>
        <v/>
      </c>
      <c r="H1710" s="11">
        <f>MIN(in_approval_cap,in_approved_first*INDEX('Age profile'!$O$2:$O$61,B1710)*(1+in_approval_growth)^(D1710-1))</f>
        <v/>
      </c>
      <c r="I1710" s="45">
        <f>G1710*MIN(in_takeup_cap,INDEX('Age profile'!$O$2:$O$61,B1710)*(1+in_approval_growth)^(D1710-1))</f>
        <v/>
      </c>
      <c r="J1710" s="40">
        <f>(J1709-L1709)*F1710/F1709</f>
        <v/>
      </c>
      <c r="K1710" s="40">
        <f>(K1709-M1709)*F1710/F1709+SUMIFS(O1696:O1709,B1696:B1709,B1710-1-d_T)*F1710</f>
        <v/>
      </c>
      <c r="L1710" s="40">
        <f>IF(B1710&gt;=in_marketplace_from,J1710*d_hz*G1710*in_eligible*H1710,0)</f>
        <v/>
      </c>
      <c r="M1710" s="40">
        <f>IF(B1710&gt;=in_marketplace_from,K1710*d_hz*G1710*in_eligible*in_approved_repeat,0)</f>
        <v/>
      </c>
      <c r="N1710" s="40">
        <f>L1710+M1710</f>
        <v/>
      </c>
      <c r="O1710" s="46">
        <f>N1710/F1710</f>
        <v/>
      </c>
      <c r="P1710" s="40">
        <f>F1710-J1710-K1710</f>
        <v/>
      </c>
      <c r="Q1710" s="40">
        <f>IF(B1710&gt;=in_marketplace_from,(J1710+K1710)*d_hz*G1710,0)</f>
        <v/>
      </c>
      <c r="R1710" s="40">
        <f>SUMIFS(N1696:N1711,B1696:B1711,"&gt;="&amp;(B1710-d_T),B1696:B1711,"&lt;="&amp;(B1710-1))</f>
        <v/>
      </c>
      <c r="S1710" s="46">
        <f>(1-d_u)*S1709+IF(d_T&gt;in_topup_lag,SUMIFS(O1696:O1711,B1696:B1711,B1710-in_topup_lag)-d_udrop*SUMIFS(O1696:O1711,B1696:B1711,B1710-d_T),0)</f>
        <v/>
      </c>
      <c r="T1710" s="40">
        <f>F1710*d_u*S1710</f>
        <v/>
      </c>
      <c r="U1710" s="9">
        <f>L1710*in_ticket+M1710*d_rep_ticket</f>
        <v/>
      </c>
      <c r="V1710" s="9">
        <f>U1710+T1710*d_topup_amt</f>
        <v/>
      </c>
      <c r="W1710" s="40">
        <f>N1710+T1710*d_topup_ratio</f>
        <v/>
      </c>
      <c r="X1710" s="40">
        <f>SUMIFS(W1696:W1711,B1696:B1711,B1710-in_dpd_lag)*d_cured</f>
        <v/>
      </c>
      <c r="Y1710" s="40">
        <f>SUMIFS(W1696:W1711,B1696:B1711,B1710-in_rec_lag)*d_recd</f>
        <v/>
      </c>
      <c r="Z1710" s="40">
        <f>IF(AND(B1710&gt;=in_marketplace_from,B1710&lt;in_marketplace_from+in_card_months),in_card_share/in_card_months*F1710*I1710,IF(AND(B1710&gt;=in_marketplace_from+in_card_months,B1710&lt;in_marketplace_from+2*in_card_months),in_card_share*d_card_rem/in_card_months*F1710*MIN(in_takeup_cap,(1+in_takeup_growth)^(D1710-1))*MIN(in_takeup_cap,(1+in_approval_growth)^(D1710-1)),0))</f>
        <v/>
      </c>
      <c r="AA1710" s="14">
        <f>V1710*in_fee*(1-in_taken_back)</f>
        <v/>
      </c>
      <c r="AB1710" s="14">
        <f>SUMIFS(W1696:W1711,B1696:B1711,B1710-in_dpd_lag)*d_dpd</f>
        <v/>
      </c>
      <c r="AC1710" s="14">
        <f>SUMIFS(W1696:W1711,B1696:B1711,B1710-in_rec_lag)*d_rec</f>
        <v/>
      </c>
      <c r="AD1710" s="14">
        <f>Z1710*in_card_fee</f>
        <v/>
      </c>
      <c r="AE1710" s="40">
        <f>AE1709*(1-IF(B1709&gt;=in_marketplace_from,d_hz_hlth_small*G1709,0))</f>
        <v/>
      </c>
      <c r="AF1710" s="46">
        <f>AE1710*IF(B1710&gt;=in_marketplace_from,d_hz_hlth_small*G1710,0)</f>
        <v/>
      </c>
      <c r="AG1710" s="14">
        <f>F1710*AF1710*in_hlth_small_ticket*in_hlth_small_comm*in_ins_partner_share+F1710*in_hlth_small_ticket*in_hlth_small_renew_comm*in_ins_partner_share*(in_hlth_small_renew^1*SUMIFS(AF1696:AF1711,B1696:B1711,B1710-12)+in_hlth_small_renew^2*SUMIFS(AF1696:AF1711,B1696:B1711,B1710-24)+in_hlth_small_renew^3*SUMIFS(AF1696:AF1711,B1696:B1711,B1710-36)+in_hlth_small_renew^4*SUMIFS(AF1696:AF1711,B1696:B1711,B1710-48))</f>
        <v/>
      </c>
      <c r="AH1710" s="40">
        <f>AH1709*(1-IF(B1709&gt;=in_marketplace_from,d_hz_hlth_family*G1709,0))</f>
        <v/>
      </c>
      <c r="AI1710" s="46">
        <f>AH1710*IF(B1710&gt;=in_marketplace_from,d_hz_hlth_family*G1710,0)</f>
        <v/>
      </c>
      <c r="AJ1710" s="14">
        <f>F1710*AI1710*in_hlth_family_ticket*in_hlth_family_comm*in_ins_partner_share+F1710*in_hlth_family_ticket*in_hlth_family_renew_comm*in_ins_partner_share*(in_hlth_family_renew^1*SUMIFS(AI1696:AI1711,B1696:B1711,B1710-12)+in_hlth_family_renew^2*SUMIFS(AI1696:AI1711,B1696:B1711,B1710-24)+in_hlth_family_renew^3*SUMIFS(AI1696:AI1711,B1696:B1711,B1710-36)+in_hlth_family_renew^4*SUMIFS(AI1696:AI1711,B1696:B1711,B1710-48))</f>
        <v/>
      </c>
      <c r="AK1710" s="40">
        <f>AK1709*(1-IF(B1709&gt;=in_marketplace_from,d_hz_life_term*G1709,0))</f>
        <v/>
      </c>
      <c r="AL1710" s="46">
        <f>AK1710*IF(B1710&gt;=in_marketplace_from,d_hz_life_term*G1710,0)</f>
        <v/>
      </c>
      <c r="AM1710" s="14">
        <f>F1710*AL1710*in_life_term_ticket*in_life_term_comm*in_ins_partner_share+F1710*in_life_term_ticket*in_life_term_renew_comm*in_ins_partner_share*(in_life_term_renew^1*SUMIFS(AL1696:AL1711,B1696:B1711,B1710-12)+in_life_term_renew^2*SUMIFS(AL1696:AL1711,B1696:B1711,B1710-24)+in_life_term_renew^3*SUMIFS(AL1696:AL1711,B1696:B1711,B1710-36)+in_life_term_renew^4*SUMIFS(AL1696:AL1711,B1696:B1711,B1710-48))</f>
        <v/>
      </c>
      <c r="AN1710" s="40">
        <f>AN1709*(1-IF(B1709&gt;=in_marketplace_from,d_hz_accident*G1709,0))</f>
        <v/>
      </c>
      <c r="AO1710" s="46">
        <f>AN1710*IF(B1710&gt;=in_marketplace_from,d_hz_accident*G1710,0)</f>
        <v/>
      </c>
      <c r="AP1710" s="14">
        <f>F1710*AO1710*in_accident_ticket*in_accident_comm*in_ins_partner_share+F1710*in_accident_ticket*in_accident_renew_comm*in_ins_partner_share*(in_accident_renew^1*SUMIFS(AO1696:AO1711,B1696:B1711,B1710-12)+in_accident_renew^2*SUMIFS(AO1696:AO1711,B1696:B1711,B1710-24)+in_accident_renew^3*SUMIFS(AO1696:AO1711,B1696:B1711,B1710-36)+in_accident_renew^4*SUMIFS(AO1696:AO1711,B1696:B1711,B1710-48))</f>
        <v/>
      </c>
      <c r="AQ1710" s="40">
        <f>AQ1709*(1-IF(B1709&gt;=in_marketplace_from,d_hz_two_wheeler*G1709,0))</f>
        <v/>
      </c>
      <c r="AR1710" s="46">
        <f>AQ1710*IF(B1710&gt;=in_marketplace_from,d_hz_two_wheeler*G1710,0)</f>
        <v/>
      </c>
      <c r="AS1710" s="14">
        <f>F1710*AR1710*in_two_wheeler_ticket*in_two_wheeler_comm*in_ins_partner_share+F1710*in_two_wheeler_ticket*in_two_wheeler_comm*in_ins_partner_share*(in_two_wheeler_renew^1*SUMIFS(AR1696:AR1711,B1696:B1711,B1710-12)+in_two_wheeler_renew^2*SUMIFS(AR1696:AR1711,B1696:B1711,B1710-24)+in_two_wheeler_renew^3*SUMIFS(AR1696:AR1711,B1696:B1711,B1710-36)+in_two_wheeler_renew^4*SUMIFS(AR1696:AR1711,B1696:B1711,B1710-48))</f>
        <v/>
      </c>
      <c r="AT1710" s="40">
        <f>AT1709*(1-IF(B1709&gt;=in_marketplace_from,d_hz_device*G1709,0))</f>
        <v/>
      </c>
      <c r="AU1710" s="14">
        <f>F1710*AT1710*IF(B1710&gt;=in_marketplace_from,d_hz_device*G1710,0)*in_device_ticket*in_device_comm*in_ins_partner_share</f>
        <v/>
      </c>
      <c r="AV1710" s="40">
        <f>AV1709*(1-IF(B1709&gt;=in_marketplace_from,d_hz_shop*G1709,0))</f>
        <v/>
      </c>
      <c r="AW1710" s="46">
        <f>AV1710*IF(B1710&gt;=in_marketplace_from,d_hz_shop*G1710,0)</f>
        <v/>
      </c>
      <c r="AX1710" s="14">
        <f>F1710*AW1710*in_shop_ticket*in_shop_comm*in_ins_partner_share+F1710*in_shop_ticket*in_shop_renew_comm*in_ins_partner_share*(in_shop_renew^1*SUMIFS(AW1696:AW1711,B1696:B1711,B1710-12)+in_shop_renew^2*SUMIFS(AW1696:AW1711,B1696:B1711,B1710-24)+in_shop_renew^3*SUMIFS(AW1696:AW1711,B1696:B1711,B1710-36)+in_shop_renew^4*SUMIFS(AW1696:AW1711,B1696:B1711,B1710-48))</f>
        <v/>
      </c>
      <c r="AY1710" s="40">
        <f>AY1709*(1-IF(B1709&gt;=in_marketplace_from,d_hz_sip*G1709,0))</f>
        <v/>
      </c>
      <c r="AZ1710" s="40">
        <f>AZ1709*d_rho_sip+AY1710*IF(B1710&gt;=in_marketplace_from,d_hz_sip*G1710,0)</f>
        <v/>
      </c>
      <c r="BA1710" s="40">
        <f>d_rho_sip*(BA1709+AZ1709)</f>
        <v/>
      </c>
      <c r="BB1710" s="14">
        <f>F1710*in_sip_ticket*(BA1710+0.5*AZ1710)*in_sip_comm/12</f>
        <v/>
      </c>
      <c r="BC1710" s="40">
        <f>BC1709*(1-IF(B1709&gt;=in_marketplace_from,d_hz_choti*G1709,0))</f>
        <v/>
      </c>
      <c r="BD1710" s="46">
        <f>BC1710*IF(B1710&gt;=in_marketplace_from,d_hz_choti*G1710,0)</f>
        <v/>
      </c>
      <c r="BE1710" s="14">
        <f>F1710*SUMIFS(BD1696:BD1711,B1696:B1711,B1710-in_choti_months)*in_choti_renew*in_choti_ticket</f>
        <v/>
      </c>
      <c r="BF1710" s="40">
        <f>BF1709*(1-IF(B1709&gt;=in_marketplace_from,d_hz_nps*G1709,0))</f>
        <v/>
      </c>
      <c r="BG1710" s="14">
        <f>F1710*BF1710*IF(B1710&gt;=in_marketplace_from,d_hz_nps*G1710,0)*in_nps_ticket*in_nps_comm</f>
        <v/>
      </c>
      <c r="BH1710" s="40">
        <f>BH1709*(1-IF(B1709&gt;=in_marketplace_from,d_hz_gold*G1709,0))</f>
        <v/>
      </c>
      <c r="BI1710" s="40">
        <f>BI1709*d_rho_gold+BH1710*IF(B1710&gt;=in_marketplace_from,d_hz_gold*G1710,0)</f>
        <v/>
      </c>
      <c r="BJ1710" s="14">
        <f>F1710*BI1710*in_gold_ticket*in_gold_comm</f>
        <v/>
      </c>
      <c r="BK1710" s="40">
        <f>BK1709*(1-IF(B1709&gt;=in_marketplace_from,d_hz_fd*G1709,0))</f>
        <v/>
      </c>
      <c r="BL1710" s="14">
        <f>F1710*BK1710*IF(B1710&gt;=in_marketplace_from,d_hz_fd*G1710,0)*in_fd_ticket*in_fd_comm</f>
        <v/>
      </c>
      <c r="BM1710" s="40">
        <f>BM1709*(1-IF(B1709&gt;=in_marketplace_from,d_hz_recharge*G1709,0))</f>
        <v/>
      </c>
      <c r="BN1710" s="40">
        <f>BN1709*d_rho_recharge+BM1710*IF(B1710&gt;=in_marketplace_from,d_hz_recharge*G1710,0)</f>
        <v/>
      </c>
      <c r="BO1710" s="14">
        <f>F1710*BN1710*in_recharge_ticket*in_recharge_comm/12</f>
        <v/>
      </c>
      <c r="BP1710" s="40">
        <f>BP1709*(1-IF(B1709&gt;=in_marketplace_from,d_hz_bills*G1709,0))</f>
        <v/>
      </c>
      <c r="BQ1710" s="40">
        <f>BQ1709*d_rho_bills+BP1710*IF(B1710&gt;=in_marketplace_from,d_hz_bills*G1710,0)</f>
        <v/>
      </c>
      <c r="BR1710" s="14">
        <f>F1710*BQ1710*in_bills_ticket*in_bills_comm/12</f>
        <v/>
      </c>
      <c r="BS1710" s="40">
        <f>BS1709*(1-IF(B1709&gt;=in_marketplace_from,d_hz_loan_gold*G1709,0))</f>
        <v/>
      </c>
      <c r="BT1710" s="14">
        <f>F1710*BS1710*IF(B1710&gt;=in_marketplace_from,d_hz_loan_gold*G1710,0)*in_loan_gold_ticket*in_loan_gold_comm</f>
        <v/>
      </c>
      <c r="BU1710" s="40">
        <f>BU1709*(1-IF(B1709&gt;=in_marketplace_from,d_hz_loan_cd*G1709,0))</f>
        <v/>
      </c>
      <c r="BV1710" s="14">
        <f>F1710*BU1710*IF(B1710&gt;=in_marketplace_from,d_hz_loan_cd*G1710,0)*in_loan_cd_ticket*in_loan_cd_comm</f>
        <v/>
      </c>
      <c r="BW1710" s="40">
        <f>BW1709*(1-IF(B1709&gt;=in_marketplace_from,d_hz_loan_vehicle*G1709,0))</f>
        <v/>
      </c>
      <c r="BX1710" s="14">
        <f>F1710*BW1710*IF(B1710&gt;=in_marketplace_from,d_hz_loan_vehicle*G1710,0)*in_loan_vehicle_ticket*in_loan_vehicle_comm</f>
        <v/>
      </c>
      <c r="BY1710" s="40">
        <f>BY1709*(1-IF(B1709&gt;=in_marketplace_from,d_hz_loan_home*G1709,0)*BZ1709)</f>
        <v/>
      </c>
      <c r="BZ1710" s="11">
        <f>MIN(in_approval_cap,in_loan_home_approval*INDEX('Age profile'!$O$2:$O$61,B1710)*(1+in_approval_growth)^(D1710-1))</f>
        <v/>
      </c>
      <c r="CA1710" s="14">
        <f>F1710*BY1710*IF(B1710&gt;=in_marketplace_from,d_hz_loan_home*G1710,0)*BZ1710*in_loan_home_ticket*in_loan_home_comm</f>
        <v/>
      </c>
      <c r="CB1710" s="40">
        <f>CB1709*(1-IF(B1709&gt;=in_marketplace_from,d_hz_loan_lap*G1709,0)*CC1709)</f>
        <v/>
      </c>
      <c r="CC1710" s="11">
        <f>MIN(in_approval_cap,in_loan_lap_approval*INDEX('Age profile'!$O$2:$O$61,B1710)*(1+in_approval_growth)^(D1710-1))</f>
        <v/>
      </c>
      <c r="CD1710" s="14">
        <f>F1710*CB1710*IF(B1710&gt;=in_marketplace_from,d_hz_loan_lap*G1710,0)*CC1710*in_loan_lap_ticket*in_loan_lap_comm</f>
        <v/>
      </c>
      <c r="CE1710" s="14">
        <f>AA1710+AB1710+AC1710+AD1710+AG1710+AJ1710+AM1710+AP1710+AS1710+AU1710+AX1710+BB1710+BE1710+BG1710+BJ1710+BL1710+BO1710+BR1710+BT1710+BV1710+BX1710+CA1710+CD1710</f>
        <v/>
      </c>
    </row>
    <row r="1711">
      <c r="A1711" s="39" t="n">
        <v>45</v>
      </c>
      <c r="B1711" s="39" t="n">
        <v>16</v>
      </c>
      <c r="C1711" s="39">
        <f>A1711+B1711-1</f>
        <v/>
      </c>
      <c r="D1711" s="39">
        <f>INT((C1711-1)/12)+1</f>
        <v/>
      </c>
      <c r="E1711" s="44">
        <f>INDEX(Monthly!$B$2:$B$61,A1711)</f>
        <v/>
      </c>
      <c r="F1711" s="44">
        <f>E1711*INDEX('Age profile'!$B$2:$B$61,B1711)</f>
        <v/>
      </c>
      <c r="G1711" s="45">
        <f>MIN(in_takeup_cap,INDEX('Age profile'!$N$2:$N$61,B1711)*(1+in_takeup_growth)^(D1711-1))</f>
        <v/>
      </c>
      <c r="H1711" s="11">
        <f>MIN(in_approval_cap,in_approved_first*INDEX('Age profile'!$O$2:$O$61,B1711)*(1+in_approval_growth)^(D1711-1))</f>
        <v/>
      </c>
      <c r="I1711" s="45">
        <f>G1711*MIN(in_takeup_cap,INDEX('Age profile'!$O$2:$O$61,B1711)*(1+in_approval_growth)^(D1711-1))</f>
        <v/>
      </c>
      <c r="J1711" s="40">
        <f>(J1710-L1710)*F1711/F1710</f>
        <v/>
      </c>
      <c r="K1711" s="40">
        <f>(K1710-M1710)*F1711/F1710+SUMIFS(O1696:O1710,B1696:B1710,B1711-1-d_T)*F1711</f>
        <v/>
      </c>
      <c r="L1711" s="40">
        <f>IF(B1711&gt;=in_marketplace_from,J1711*d_hz*G1711*in_eligible*H1711,0)</f>
        <v/>
      </c>
      <c r="M1711" s="40">
        <f>IF(B1711&gt;=in_marketplace_from,K1711*d_hz*G1711*in_eligible*in_approved_repeat,0)</f>
        <v/>
      </c>
      <c r="N1711" s="40">
        <f>L1711+M1711</f>
        <v/>
      </c>
      <c r="O1711" s="46">
        <f>N1711/F1711</f>
        <v/>
      </c>
      <c r="P1711" s="40">
        <f>F1711-J1711-K1711</f>
        <v/>
      </c>
      <c r="Q1711" s="40">
        <f>IF(B1711&gt;=in_marketplace_from,(J1711+K1711)*d_hz*G1711,0)</f>
        <v/>
      </c>
      <c r="R1711" s="40">
        <f>SUMIFS(N1696:N1711,B1696:B1711,"&gt;="&amp;(B1711-d_T),B1696:B1711,"&lt;="&amp;(B1711-1))</f>
        <v/>
      </c>
      <c r="S1711" s="46">
        <f>(1-d_u)*S1710+IF(d_T&gt;in_topup_lag,SUMIFS(O1696:O1711,B1696:B1711,B1711-in_topup_lag)-d_udrop*SUMIFS(O1696:O1711,B1696:B1711,B1711-d_T),0)</f>
        <v/>
      </c>
      <c r="T1711" s="40">
        <f>F1711*d_u*S1711</f>
        <v/>
      </c>
      <c r="U1711" s="9">
        <f>L1711*in_ticket+M1711*d_rep_ticket</f>
        <v/>
      </c>
      <c r="V1711" s="9">
        <f>U1711+T1711*d_topup_amt</f>
        <v/>
      </c>
      <c r="W1711" s="40">
        <f>N1711+T1711*d_topup_ratio</f>
        <v/>
      </c>
      <c r="X1711" s="40">
        <f>SUMIFS(W1696:W1711,B1696:B1711,B1711-in_dpd_lag)*d_cured</f>
        <v/>
      </c>
      <c r="Y1711" s="40">
        <f>SUMIFS(W1696:W1711,B1696:B1711,B1711-in_rec_lag)*d_recd</f>
        <v/>
      </c>
      <c r="Z1711" s="40">
        <f>IF(AND(B1711&gt;=in_marketplace_from,B1711&lt;in_marketplace_from+in_card_months),in_card_share/in_card_months*F1711*I1711,IF(AND(B1711&gt;=in_marketplace_from+in_card_months,B1711&lt;in_marketplace_from+2*in_card_months),in_card_share*d_card_rem/in_card_months*F1711*MIN(in_takeup_cap,(1+in_takeup_growth)^(D1711-1))*MIN(in_takeup_cap,(1+in_approval_growth)^(D1711-1)),0))</f>
        <v/>
      </c>
      <c r="AA1711" s="14">
        <f>V1711*in_fee*(1-in_taken_back)</f>
        <v/>
      </c>
      <c r="AB1711" s="14">
        <f>SUMIFS(W1696:W1711,B1696:B1711,B1711-in_dpd_lag)*d_dpd</f>
        <v/>
      </c>
      <c r="AC1711" s="14">
        <f>SUMIFS(W1696:W1711,B1696:B1711,B1711-in_rec_lag)*d_rec</f>
        <v/>
      </c>
      <c r="AD1711" s="14">
        <f>Z1711*in_card_fee</f>
        <v/>
      </c>
      <c r="AE1711" s="40">
        <f>AE1710*(1-IF(B1710&gt;=in_marketplace_from,d_hz_hlth_small*G1710,0))</f>
        <v/>
      </c>
      <c r="AF1711" s="46">
        <f>AE1711*IF(B1711&gt;=in_marketplace_from,d_hz_hlth_small*G1711,0)</f>
        <v/>
      </c>
      <c r="AG1711" s="14">
        <f>F1711*AF1711*in_hlth_small_ticket*in_hlth_small_comm*in_ins_partner_share+F1711*in_hlth_small_ticket*in_hlth_small_renew_comm*in_ins_partner_share*(in_hlth_small_renew^1*SUMIFS(AF1696:AF1711,B1696:B1711,B1711-12)+in_hlth_small_renew^2*SUMIFS(AF1696:AF1711,B1696:B1711,B1711-24)+in_hlth_small_renew^3*SUMIFS(AF1696:AF1711,B1696:B1711,B1711-36)+in_hlth_small_renew^4*SUMIFS(AF1696:AF1711,B1696:B1711,B1711-48))</f>
        <v/>
      </c>
      <c r="AH1711" s="40">
        <f>AH1710*(1-IF(B1710&gt;=in_marketplace_from,d_hz_hlth_family*G1710,0))</f>
        <v/>
      </c>
      <c r="AI1711" s="46">
        <f>AH1711*IF(B1711&gt;=in_marketplace_from,d_hz_hlth_family*G1711,0)</f>
        <v/>
      </c>
      <c r="AJ1711" s="14">
        <f>F1711*AI1711*in_hlth_family_ticket*in_hlth_family_comm*in_ins_partner_share+F1711*in_hlth_family_ticket*in_hlth_family_renew_comm*in_ins_partner_share*(in_hlth_family_renew^1*SUMIFS(AI1696:AI1711,B1696:B1711,B1711-12)+in_hlth_family_renew^2*SUMIFS(AI1696:AI1711,B1696:B1711,B1711-24)+in_hlth_family_renew^3*SUMIFS(AI1696:AI1711,B1696:B1711,B1711-36)+in_hlth_family_renew^4*SUMIFS(AI1696:AI1711,B1696:B1711,B1711-48))</f>
        <v/>
      </c>
      <c r="AK1711" s="40">
        <f>AK1710*(1-IF(B1710&gt;=in_marketplace_from,d_hz_life_term*G1710,0))</f>
        <v/>
      </c>
      <c r="AL1711" s="46">
        <f>AK1711*IF(B1711&gt;=in_marketplace_from,d_hz_life_term*G1711,0)</f>
        <v/>
      </c>
      <c r="AM1711" s="14">
        <f>F1711*AL1711*in_life_term_ticket*in_life_term_comm*in_ins_partner_share+F1711*in_life_term_ticket*in_life_term_renew_comm*in_ins_partner_share*(in_life_term_renew^1*SUMIFS(AL1696:AL1711,B1696:B1711,B1711-12)+in_life_term_renew^2*SUMIFS(AL1696:AL1711,B1696:B1711,B1711-24)+in_life_term_renew^3*SUMIFS(AL1696:AL1711,B1696:B1711,B1711-36)+in_life_term_renew^4*SUMIFS(AL1696:AL1711,B1696:B1711,B1711-48))</f>
        <v/>
      </c>
      <c r="AN1711" s="40">
        <f>AN1710*(1-IF(B1710&gt;=in_marketplace_from,d_hz_accident*G1710,0))</f>
        <v/>
      </c>
      <c r="AO1711" s="46">
        <f>AN1711*IF(B1711&gt;=in_marketplace_from,d_hz_accident*G1711,0)</f>
        <v/>
      </c>
      <c r="AP1711" s="14">
        <f>F1711*AO1711*in_accident_ticket*in_accident_comm*in_ins_partner_share+F1711*in_accident_ticket*in_accident_renew_comm*in_ins_partner_share*(in_accident_renew^1*SUMIFS(AO1696:AO1711,B1696:B1711,B1711-12)+in_accident_renew^2*SUMIFS(AO1696:AO1711,B1696:B1711,B1711-24)+in_accident_renew^3*SUMIFS(AO1696:AO1711,B1696:B1711,B1711-36)+in_accident_renew^4*SUMIFS(AO1696:AO1711,B1696:B1711,B1711-48))</f>
        <v/>
      </c>
      <c r="AQ1711" s="40">
        <f>AQ1710*(1-IF(B1710&gt;=in_marketplace_from,d_hz_two_wheeler*G1710,0))</f>
        <v/>
      </c>
      <c r="AR1711" s="46">
        <f>AQ1711*IF(B1711&gt;=in_marketplace_from,d_hz_two_wheeler*G1711,0)</f>
        <v/>
      </c>
      <c r="AS1711" s="14">
        <f>F1711*AR1711*in_two_wheeler_ticket*in_two_wheeler_comm*in_ins_partner_share+F1711*in_two_wheeler_ticket*in_two_wheeler_comm*in_ins_partner_share*(in_two_wheeler_renew^1*SUMIFS(AR1696:AR1711,B1696:B1711,B1711-12)+in_two_wheeler_renew^2*SUMIFS(AR1696:AR1711,B1696:B1711,B1711-24)+in_two_wheeler_renew^3*SUMIFS(AR1696:AR1711,B1696:B1711,B1711-36)+in_two_wheeler_renew^4*SUMIFS(AR1696:AR1711,B1696:B1711,B1711-48))</f>
        <v/>
      </c>
      <c r="AT1711" s="40">
        <f>AT1710*(1-IF(B1710&gt;=in_marketplace_from,d_hz_device*G1710,0))</f>
        <v/>
      </c>
      <c r="AU1711" s="14">
        <f>F1711*AT1711*IF(B1711&gt;=in_marketplace_from,d_hz_device*G1711,0)*in_device_ticket*in_device_comm*in_ins_partner_share</f>
        <v/>
      </c>
      <c r="AV1711" s="40">
        <f>AV1710*(1-IF(B1710&gt;=in_marketplace_from,d_hz_shop*G1710,0))</f>
        <v/>
      </c>
      <c r="AW1711" s="46">
        <f>AV1711*IF(B1711&gt;=in_marketplace_from,d_hz_shop*G1711,0)</f>
        <v/>
      </c>
      <c r="AX1711" s="14">
        <f>F1711*AW1711*in_shop_ticket*in_shop_comm*in_ins_partner_share+F1711*in_shop_ticket*in_shop_renew_comm*in_ins_partner_share*(in_shop_renew^1*SUMIFS(AW1696:AW1711,B1696:B1711,B1711-12)+in_shop_renew^2*SUMIFS(AW1696:AW1711,B1696:B1711,B1711-24)+in_shop_renew^3*SUMIFS(AW1696:AW1711,B1696:B1711,B1711-36)+in_shop_renew^4*SUMIFS(AW1696:AW1711,B1696:B1711,B1711-48))</f>
        <v/>
      </c>
      <c r="AY1711" s="40">
        <f>AY1710*(1-IF(B1710&gt;=in_marketplace_from,d_hz_sip*G1710,0))</f>
        <v/>
      </c>
      <c r="AZ1711" s="40">
        <f>AZ1710*d_rho_sip+AY1711*IF(B1711&gt;=in_marketplace_from,d_hz_sip*G1711,0)</f>
        <v/>
      </c>
      <c r="BA1711" s="40">
        <f>d_rho_sip*(BA1710+AZ1710)</f>
        <v/>
      </c>
      <c r="BB1711" s="14">
        <f>F1711*in_sip_ticket*(BA1711+0.5*AZ1711)*in_sip_comm/12</f>
        <v/>
      </c>
      <c r="BC1711" s="40">
        <f>BC1710*(1-IF(B1710&gt;=in_marketplace_from,d_hz_choti*G1710,0))</f>
        <v/>
      </c>
      <c r="BD1711" s="46">
        <f>BC1711*IF(B1711&gt;=in_marketplace_from,d_hz_choti*G1711,0)</f>
        <v/>
      </c>
      <c r="BE1711" s="14">
        <f>F1711*SUMIFS(BD1696:BD1711,B1696:B1711,B1711-in_choti_months)*in_choti_renew*in_choti_ticket</f>
        <v/>
      </c>
      <c r="BF1711" s="40">
        <f>BF1710*(1-IF(B1710&gt;=in_marketplace_from,d_hz_nps*G1710,0))</f>
        <v/>
      </c>
      <c r="BG1711" s="14">
        <f>F1711*BF1711*IF(B1711&gt;=in_marketplace_from,d_hz_nps*G1711,0)*in_nps_ticket*in_nps_comm</f>
        <v/>
      </c>
      <c r="BH1711" s="40">
        <f>BH1710*(1-IF(B1710&gt;=in_marketplace_from,d_hz_gold*G1710,0))</f>
        <v/>
      </c>
      <c r="BI1711" s="40">
        <f>BI1710*d_rho_gold+BH1711*IF(B1711&gt;=in_marketplace_from,d_hz_gold*G1711,0)</f>
        <v/>
      </c>
      <c r="BJ1711" s="14">
        <f>F1711*BI1711*in_gold_ticket*in_gold_comm</f>
        <v/>
      </c>
      <c r="BK1711" s="40">
        <f>BK1710*(1-IF(B1710&gt;=in_marketplace_from,d_hz_fd*G1710,0))</f>
        <v/>
      </c>
      <c r="BL1711" s="14">
        <f>F1711*BK1711*IF(B1711&gt;=in_marketplace_from,d_hz_fd*G1711,0)*in_fd_ticket*in_fd_comm</f>
        <v/>
      </c>
      <c r="BM1711" s="40">
        <f>BM1710*(1-IF(B1710&gt;=in_marketplace_from,d_hz_recharge*G1710,0))</f>
        <v/>
      </c>
      <c r="BN1711" s="40">
        <f>BN1710*d_rho_recharge+BM1711*IF(B1711&gt;=in_marketplace_from,d_hz_recharge*G1711,0)</f>
        <v/>
      </c>
      <c r="BO1711" s="14">
        <f>F1711*BN1711*in_recharge_ticket*in_recharge_comm/12</f>
        <v/>
      </c>
      <c r="BP1711" s="40">
        <f>BP1710*(1-IF(B1710&gt;=in_marketplace_from,d_hz_bills*G1710,0))</f>
        <v/>
      </c>
      <c r="BQ1711" s="40">
        <f>BQ1710*d_rho_bills+BP1711*IF(B1711&gt;=in_marketplace_from,d_hz_bills*G1711,0)</f>
        <v/>
      </c>
      <c r="BR1711" s="14">
        <f>F1711*BQ1711*in_bills_ticket*in_bills_comm/12</f>
        <v/>
      </c>
      <c r="BS1711" s="40">
        <f>BS1710*(1-IF(B1710&gt;=in_marketplace_from,d_hz_loan_gold*G1710,0))</f>
        <v/>
      </c>
      <c r="BT1711" s="14">
        <f>F1711*BS1711*IF(B1711&gt;=in_marketplace_from,d_hz_loan_gold*G1711,0)*in_loan_gold_ticket*in_loan_gold_comm</f>
        <v/>
      </c>
      <c r="BU1711" s="40">
        <f>BU1710*(1-IF(B1710&gt;=in_marketplace_from,d_hz_loan_cd*G1710,0))</f>
        <v/>
      </c>
      <c r="BV1711" s="14">
        <f>F1711*BU1711*IF(B1711&gt;=in_marketplace_from,d_hz_loan_cd*G1711,0)*in_loan_cd_ticket*in_loan_cd_comm</f>
        <v/>
      </c>
      <c r="BW1711" s="40">
        <f>BW1710*(1-IF(B1710&gt;=in_marketplace_from,d_hz_loan_vehicle*G1710,0))</f>
        <v/>
      </c>
      <c r="BX1711" s="14">
        <f>F1711*BW1711*IF(B1711&gt;=in_marketplace_from,d_hz_loan_vehicle*G1711,0)*in_loan_vehicle_ticket*in_loan_vehicle_comm</f>
        <v/>
      </c>
      <c r="BY1711" s="40">
        <f>BY1710*(1-IF(B1710&gt;=in_marketplace_from,d_hz_loan_home*G1710,0)*BZ1710)</f>
        <v/>
      </c>
      <c r="BZ1711" s="11">
        <f>MIN(in_approval_cap,in_loan_home_approval*INDEX('Age profile'!$O$2:$O$61,B1711)*(1+in_approval_growth)^(D1711-1))</f>
        <v/>
      </c>
      <c r="CA1711" s="14">
        <f>F1711*BY1711*IF(B1711&gt;=in_marketplace_from,d_hz_loan_home*G1711,0)*BZ1711*in_loan_home_ticket*in_loan_home_comm</f>
        <v/>
      </c>
      <c r="CB1711" s="40">
        <f>CB1710*(1-IF(B1710&gt;=in_marketplace_from,d_hz_loan_lap*G1710,0)*CC1710)</f>
        <v/>
      </c>
      <c r="CC1711" s="11">
        <f>MIN(in_approval_cap,in_loan_lap_approval*INDEX('Age profile'!$O$2:$O$61,B1711)*(1+in_approval_growth)^(D1711-1))</f>
        <v/>
      </c>
      <c r="CD1711" s="14">
        <f>F1711*CB1711*IF(B1711&gt;=in_marketplace_from,d_hz_loan_lap*G1711,0)*CC1711*in_loan_lap_ticket*in_loan_lap_comm</f>
        <v/>
      </c>
      <c r="CE1711" s="14">
        <f>AA1711+AB1711+AC1711+AD1711+AG1711+AJ1711+AM1711+AP1711+AS1711+AU1711+AX1711+BB1711+BE1711+BG1711+BJ1711+BL1711+BO1711+BR1711+BT1711+BV1711+BX1711+CA1711+CD1711</f>
        <v/>
      </c>
    </row>
    <row r="1712">
      <c r="A1712" s="39" t="n">
        <v>46</v>
      </c>
      <c r="B1712" s="39" t="n">
        <v>1</v>
      </c>
      <c r="C1712" s="39">
        <f>A1712+B1712-1</f>
        <v/>
      </c>
      <c r="D1712" s="39">
        <f>INT((C1712-1)/12)+1</f>
        <v/>
      </c>
      <c r="E1712" s="44">
        <f>INDEX(Monthly!$B$2:$B$61,A1712)</f>
        <v/>
      </c>
      <c r="F1712" s="44">
        <f>E1712*INDEX('Age profile'!$B$2:$B$61,B1712)</f>
        <v/>
      </c>
      <c r="G1712" s="45">
        <f>MIN(in_takeup_cap,INDEX('Age profile'!$N$2:$N$61,B1712)*(1+in_takeup_growth)^(D1712-1))</f>
        <v/>
      </c>
      <c r="H1712" s="11">
        <f>MIN(in_approval_cap,in_approved_first*INDEX('Age profile'!$O$2:$O$61,B1712)*(1+in_approval_growth)^(D1712-1))</f>
        <v/>
      </c>
      <c r="I1712" s="45">
        <f>G1712*MIN(in_takeup_cap,INDEX('Age profile'!$O$2:$O$61,B1712)*(1+in_approval_growth)^(D1712-1))</f>
        <v/>
      </c>
      <c r="J1712" s="40">
        <f>E1712</f>
        <v/>
      </c>
      <c r="K1712" s="40" t="n">
        <v>0</v>
      </c>
      <c r="L1712" s="40">
        <f>IF(B1712&gt;=in_marketplace_from,J1712*d_hz*G1712*in_eligible*H1712,0)</f>
        <v/>
      </c>
      <c r="M1712" s="40">
        <f>IF(B1712&gt;=in_marketplace_from,K1712*d_hz*G1712*in_eligible*in_approved_repeat,0)</f>
        <v/>
      </c>
      <c r="N1712" s="40">
        <f>L1712+M1712</f>
        <v/>
      </c>
      <c r="O1712" s="46">
        <f>N1712/F1712</f>
        <v/>
      </c>
      <c r="P1712" s="40">
        <f>F1712-J1712-K1712</f>
        <v/>
      </c>
      <c r="Q1712" s="40">
        <f>IF(B1712&gt;=in_marketplace_from,(J1712+K1712)*d_hz*G1712,0)</f>
        <v/>
      </c>
      <c r="R1712" s="40">
        <f>SUMIFS(N1712:N1726,B1712:B1726,"&gt;="&amp;(B1712-d_T),B1712:B1726,"&lt;="&amp;(B1712-1))</f>
        <v/>
      </c>
      <c r="S1712" s="46" t="n">
        <v>0</v>
      </c>
      <c r="T1712" s="40">
        <f>F1712*d_u*S1712</f>
        <v/>
      </c>
      <c r="U1712" s="9">
        <f>L1712*in_ticket+M1712*d_rep_ticket</f>
        <v/>
      </c>
      <c r="V1712" s="9">
        <f>U1712+T1712*d_topup_amt</f>
        <v/>
      </c>
      <c r="W1712" s="40">
        <f>N1712+T1712*d_topup_ratio</f>
        <v/>
      </c>
      <c r="X1712" s="40">
        <f>SUMIFS(W1712:W1726,B1712:B1726,B1712-in_dpd_lag)*d_cured</f>
        <v/>
      </c>
      <c r="Y1712" s="40">
        <f>SUMIFS(W1712:W1726,B1712:B1726,B1712-in_rec_lag)*d_recd</f>
        <v/>
      </c>
      <c r="Z1712" s="40">
        <f>IF(AND(B1712&gt;=in_marketplace_from,B1712&lt;in_marketplace_from+in_card_months),in_card_share/in_card_months*F1712*I1712,IF(AND(B1712&gt;=in_marketplace_from+in_card_months,B1712&lt;in_marketplace_from+2*in_card_months),in_card_share*d_card_rem/in_card_months*F1712*MIN(in_takeup_cap,(1+in_takeup_growth)^(D1712-1))*MIN(in_takeup_cap,(1+in_approval_growth)^(D1712-1)),0))</f>
        <v/>
      </c>
      <c r="AA1712" s="14">
        <f>V1712*in_fee*(1-in_taken_back)</f>
        <v/>
      </c>
      <c r="AB1712" s="14">
        <f>SUMIFS(W1712:W1726,B1712:B1726,B1712-in_dpd_lag)*d_dpd</f>
        <v/>
      </c>
      <c r="AC1712" s="14">
        <f>SUMIFS(W1712:W1726,B1712:B1726,B1712-in_rec_lag)*d_rec</f>
        <v/>
      </c>
      <c r="AD1712" s="14">
        <f>Z1712*in_card_fee</f>
        <v/>
      </c>
      <c r="AE1712" s="40" t="n">
        <v>1</v>
      </c>
      <c r="AF1712" s="46">
        <f>AE1712*IF(B1712&gt;=in_marketplace_from,d_hz_hlth_small*G1712,0)</f>
        <v/>
      </c>
      <c r="AG1712" s="14">
        <f>F1712*AF1712*in_hlth_small_ticket*in_hlth_small_comm*in_ins_partner_share+F1712*in_hlth_small_ticket*in_hlth_small_renew_comm*in_ins_partner_share*(in_hlth_small_renew^1*SUMIFS(AF1712:AF1726,B1712:B1726,B1712-12)+in_hlth_small_renew^2*SUMIFS(AF1712:AF1726,B1712:B1726,B1712-24)+in_hlth_small_renew^3*SUMIFS(AF1712:AF1726,B1712:B1726,B1712-36)+in_hlth_small_renew^4*SUMIFS(AF1712:AF1726,B1712:B1726,B1712-48))</f>
        <v/>
      </c>
      <c r="AH1712" s="40" t="n">
        <v>1</v>
      </c>
      <c r="AI1712" s="46">
        <f>AH1712*IF(B1712&gt;=in_marketplace_from,d_hz_hlth_family*G1712,0)</f>
        <v/>
      </c>
      <c r="AJ1712" s="14">
        <f>F1712*AI1712*in_hlth_family_ticket*in_hlth_family_comm*in_ins_partner_share+F1712*in_hlth_family_ticket*in_hlth_family_renew_comm*in_ins_partner_share*(in_hlth_family_renew^1*SUMIFS(AI1712:AI1726,B1712:B1726,B1712-12)+in_hlth_family_renew^2*SUMIFS(AI1712:AI1726,B1712:B1726,B1712-24)+in_hlth_family_renew^3*SUMIFS(AI1712:AI1726,B1712:B1726,B1712-36)+in_hlth_family_renew^4*SUMIFS(AI1712:AI1726,B1712:B1726,B1712-48))</f>
        <v/>
      </c>
      <c r="AK1712" s="40" t="n">
        <v>1</v>
      </c>
      <c r="AL1712" s="46">
        <f>AK1712*IF(B1712&gt;=in_marketplace_from,d_hz_life_term*G1712,0)</f>
        <v/>
      </c>
      <c r="AM1712" s="14">
        <f>F1712*AL1712*in_life_term_ticket*in_life_term_comm*in_ins_partner_share+F1712*in_life_term_ticket*in_life_term_renew_comm*in_ins_partner_share*(in_life_term_renew^1*SUMIFS(AL1712:AL1726,B1712:B1726,B1712-12)+in_life_term_renew^2*SUMIFS(AL1712:AL1726,B1712:B1726,B1712-24)+in_life_term_renew^3*SUMIFS(AL1712:AL1726,B1712:B1726,B1712-36)+in_life_term_renew^4*SUMIFS(AL1712:AL1726,B1712:B1726,B1712-48))</f>
        <v/>
      </c>
      <c r="AN1712" s="40" t="n">
        <v>1</v>
      </c>
      <c r="AO1712" s="46">
        <f>AN1712*IF(B1712&gt;=in_marketplace_from,d_hz_accident*G1712,0)</f>
        <v/>
      </c>
      <c r="AP1712" s="14">
        <f>F1712*AO1712*in_accident_ticket*in_accident_comm*in_ins_partner_share+F1712*in_accident_ticket*in_accident_renew_comm*in_ins_partner_share*(in_accident_renew^1*SUMIFS(AO1712:AO1726,B1712:B1726,B1712-12)+in_accident_renew^2*SUMIFS(AO1712:AO1726,B1712:B1726,B1712-24)+in_accident_renew^3*SUMIFS(AO1712:AO1726,B1712:B1726,B1712-36)+in_accident_renew^4*SUMIFS(AO1712:AO1726,B1712:B1726,B1712-48))</f>
        <v/>
      </c>
      <c r="AQ1712" s="40" t="n">
        <v>1</v>
      </c>
      <c r="AR1712" s="46">
        <f>AQ1712*IF(B1712&gt;=in_marketplace_from,d_hz_two_wheeler*G1712,0)</f>
        <v/>
      </c>
      <c r="AS1712" s="14">
        <f>F1712*AR1712*in_two_wheeler_ticket*in_two_wheeler_comm*in_ins_partner_share+F1712*in_two_wheeler_ticket*in_two_wheeler_comm*in_ins_partner_share*(in_two_wheeler_renew^1*SUMIFS(AR1712:AR1726,B1712:B1726,B1712-12)+in_two_wheeler_renew^2*SUMIFS(AR1712:AR1726,B1712:B1726,B1712-24)+in_two_wheeler_renew^3*SUMIFS(AR1712:AR1726,B1712:B1726,B1712-36)+in_two_wheeler_renew^4*SUMIFS(AR1712:AR1726,B1712:B1726,B1712-48))</f>
        <v/>
      </c>
      <c r="AT1712" s="40" t="n">
        <v>1</v>
      </c>
      <c r="AU1712" s="14">
        <f>F1712*AT1712*IF(B1712&gt;=in_marketplace_from,d_hz_device*G1712,0)*in_device_ticket*in_device_comm*in_ins_partner_share</f>
        <v/>
      </c>
      <c r="AV1712" s="40" t="n">
        <v>1</v>
      </c>
      <c r="AW1712" s="46">
        <f>AV1712*IF(B1712&gt;=in_marketplace_from,d_hz_shop*G1712,0)</f>
        <v/>
      </c>
      <c r="AX1712" s="14">
        <f>F1712*AW1712*in_shop_ticket*in_shop_comm*in_ins_partner_share+F1712*in_shop_ticket*in_shop_renew_comm*in_ins_partner_share*(in_shop_renew^1*SUMIFS(AW1712:AW1726,B1712:B1726,B1712-12)+in_shop_renew^2*SUMIFS(AW1712:AW1726,B1712:B1726,B1712-24)+in_shop_renew^3*SUMIFS(AW1712:AW1726,B1712:B1726,B1712-36)+in_shop_renew^4*SUMIFS(AW1712:AW1726,B1712:B1726,B1712-48))</f>
        <v/>
      </c>
      <c r="AY1712" s="40" t="n">
        <v>1</v>
      </c>
      <c r="AZ1712" s="40">
        <f>AY1712*IF(B1712&gt;=in_marketplace_from,d_hz_sip*G1712,0)</f>
        <v/>
      </c>
      <c r="BA1712" s="40" t="n">
        <v>0</v>
      </c>
      <c r="BB1712" s="14">
        <f>F1712*in_sip_ticket*(BA1712+0.5*AZ1712)*in_sip_comm/12</f>
        <v/>
      </c>
      <c r="BC1712" s="40" t="n">
        <v>1</v>
      </c>
      <c r="BD1712" s="46">
        <f>BC1712*IF(B1712&gt;=in_marketplace_from,d_hz_choti*G1712,0)</f>
        <v/>
      </c>
      <c r="BE1712" s="14">
        <f>F1712*SUMIFS(BD1712:BD1726,B1712:B1726,B1712-in_choti_months)*in_choti_renew*in_choti_ticket</f>
        <v/>
      </c>
      <c r="BF1712" s="40" t="n">
        <v>1</v>
      </c>
      <c r="BG1712" s="14">
        <f>F1712*BF1712*IF(B1712&gt;=in_marketplace_from,d_hz_nps*G1712,0)*in_nps_ticket*in_nps_comm</f>
        <v/>
      </c>
      <c r="BH1712" s="40" t="n">
        <v>1</v>
      </c>
      <c r="BI1712" s="40">
        <f>BH1712*IF(B1712&gt;=in_marketplace_from,d_hz_gold*G1712,0)</f>
        <v/>
      </c>
      <c r="BJ1712" s="14">
        <f>F1712*BI1712*in_gold_ticket*in_gold_comm</f>
        <v/>
      </c>
      <c r="BK1712" s="40" t="n">
        <v>1</v>
      </c>
      <c r="BL1712" s="14">
        <f>F1712*BK1712*IF(B1712&gt;=in_marketplace_from,d_hz_fd*G1712,0)*in_fd_ticket*in_fd_comm</f>
        <v/>
      </c>
      <c r="BM1712" s="40" t="n">
        <v>1</v>
      </c>
      <c r="BN1712" s="40">
        <f>BM1712*IF(B1712&gt;=in_marketplace_from,d_hz_recharge*G1712,0)</f>
        <v/>
      </c>
      <c r="BO1712" s="14">
        <f>F1712*BN1712*in_recharge_ticket*in_recharge_comm/12</f>
        <v/>
      </c>
      <c r="BP1712" s="40" t="n">
        <v>1</v>
      </c>
      <c r="BQ1712" s="40">
        <f>BP1712*IF(B1712&gt;=in_marketplace_from,d_hz_bills*G1712,0)</f>
        <v/>
      </c>
      <c r="BR1712" s="14">
        <f>F1712*BQ1712*in_bills_ticket*in_bills_comm/12</f>
        <v/>
      </c>
      <c r="BS1712" s="40" t="n">
        <v>1</v>
      </c>
      <c r="BT1712" s="14">
        <f>F1712*BS1712*IF(B1712&gt;=in_marketplace_from,d_hz_loan_gold*G1712,0)*in_loan_gold_ticket*in_loan_gold_comm</f>
        <v/>
      </c>
      <c r="BU1712" s="40" t="n">
        <v>1</v>
      </c>
      <c r="BV1712" s="14">
        <f>F1712*BU1712*IF(B1712&gt;=in_marketplace_from,d_hz_loan_cd*G1712,0)*in_loan_cd_ticket*in_loan_cd_comm</f>
        <v/>
      </c>
      <c r="BW1712" s="40" t="n">
        <v>1</v>
      </c>
      <c r="BX1712" s="14">
        <f>F1712*BW1712*IF(B1712&gt;=in_marketplace_from,d_hz_loan_vehicle*G1712,0)*in_loan_vehicle_ticket*in_loan_vehicle_comm</f>
        <v/>
      </c>
      <c r="BY1712" s="40" t="n">
        <v>1</v>
      </c>
      <c r="BZ1712" s="11">
        <f>MIN(in_approval_cap,in_loan_home_approval*INDEX('Age profile'!$O$2:$O$61,B1712)*(1+in_approval_growth)^(D1712-1))</f>
        <v/>
      </c>
      <c r="CA1712" s="14">
        <f>F1712*BY1712*IF(B1712&gt;=in_marketplace_from,d_hz_loan_home*G1712,0)*BZ1712*in_loan_home_ticket*in_loan_home_comm</f>
        <v/>
      </c>
      <c r="CB1712" s="40" t="n">
        <v>1</v>
      </c>
      <c r="CC1712" s="11">
        <f>MIN(in_approval_cap,in_loan_lap_approval*INDEX('Age profile'!$O$2:$O$61,B1712)*(1+in_approval_growth)^(D1712-1))</f>
        <v/>
      </c>
      <c r="CD1712" s="14">
        <f>F1712*CB1712*IF(B1712&gt;=in_marketplace_from,d_hz_loan_lap*G1712,0)*CC1712*in_loan_lap_ticket*in_loan_lap_comm</f>
        <v/>
      </c>
      <c r="CE1712" s="14">
        <f>AA1712+AB1712+AC1712+AD1712+AG1712+AJ1712+AM1712+AP1712+AS1712+AU1712+AX1712+BB1712+BE1712+BG1712+BJ1712+BL1712+BO1712+BR1712+BT1712+BV1712+BX1712+CA1712+CD1712</f>
        <v/>
      </c>
    </row>
    <row r="1713">
      <c r="A1713" s="39" t="n">
        <v>46</v>
      </c>
      <c r="B1713" s="39" t="n">
        <v>2</v>
      </c>
      <c r="C1713" s="39">
        <f>A1713+B1713-1</f>
        <v/>
      </c>
      <c r="D1713" s="39">
        <f>INT((C1713-1)/12)+1</f>
        <v/>
      </c>
      <c r="E1713" s="44">
        <f>INDEX(Monthly!$B$2:$B$61,A1713)</f>
        <v/>
      </c>
      <c r="F1713" s="44">
        <f>E1713*INDEX('Age profile'!$B$2:$B$61,B1713)</f>
        <v/>
      </c>
      <c r="G1713" s="45">
        <f>MIN(in_takeup_cap,INDEX('Age profile'!$N$2:$N$61,B1713)*(1+in_takeup_growth)^(D1713-1))</f>
        <v/>
      </c>
      <c r="H1713" s="11">
        <f>MIN(in_approval_cap,in_approved_first*INDEX('Age profile'!$O$2:$O$61,B1713)*(1+in_approval_growth)^(D1713-1))</f>
        <v/>
      </c>
      <c r="I1713" s="45">
        <f>G1713*MIN(in_takeup_cap,INDEX('Age profile'!$O$2:$O$61,B1713)*(1+in_approval_growth)^(D1713-1))</f>
        <v/>
      </c>
      <c r="J1713" s="40">
        <f>(J1712-L1712)*F1713/F1712</f>
        <v/>
      </c>
      <c r="K1713" s="40">
        <f>(K1712-M1712)*F1713/F1712+SUMIFS(O1712:O1712,B1712:B1712,B1713-1-d_T)*F1713</f>
        <v/>
      </c>
      <c r="L1713" s="40">
        <f>IF(B1713&gt;=in_marketplace_from,J1713*d_hz*G1713*in_eligible*H1713,0)</f>
        <v/>
      </c>
      <c r="M1713" s="40">
        <f>IF(B1713&gt;=in_marketplace_from,K1713*d_hz*G1713*in_eligible*in_approved_repeat,0)</f>
        <v/>
      </c>
      <c r="N1713" s="40">
        <f>L1713+M1713</f>
        <v/>
      </c>
      <c r="O1713" s="46">
        <f>N1713/F1713</f>
        <v/>
      </c>
      <c r="P1713" s="40">
        <f>F1713-J1713-K1713</f>
        <v/>
      </c>
      <c r="Q1713" s="40">
        <f>IF(B1713&gt;=in_marketplace_from,(J1713+K1713)*d_hz*G1713,0)</f>
        <v/>
      </c>
      <c r="R1713" s="40">
        <f>SUMIFS(N1712:N1726,B1712:B1726,"&gt;="&amp;(B1713-d_T),B1712:B1726,"&lt;="&amp;(B1713-1))</f>
        <v/>
      </c>
      <c r="S1713" s="46">
        <f>(1-d_u)*S1712+IF(d_T&gt;in_topup_lag,SUMIFS(O1712:O1726,B1712:B1726,B1713-in_topup_lag)-d_udrop*SUMIFS(O1712:O1726,B1712:B1726,B1713-d_T),0)</f>
        <v/>
      </c>
      <c r="T1713" s="40">
        <f>F1713*d_u*S1713</f>
        <v/>
      </c>
      <c r="U1713" s="9">
        <f>L1713*in_ticket+M1713*d_rep_ticket</f>
        <v/>
      </c>
      <c r="V1713" s="9">
        <f>U1713+T1713*d_topup_amt</f>
        <v/>
      </c>
      <c r="W1713" s="40">
        <f>N1713+T1713*d_topup_ratio</f>
        <v/>
      </c>
      <c r="X1713" s="40">
        <f>SUMIFS(W1712:W1726,B1712:B1726,B1713-in_dpd_lag)*d_cured</f>
        <v/>
      </c>
      <c r="Y1713" s="40">
        <f>SUMIFS(W1712:W1726,B1712:B1726,B1713-in_rec_lag)*d_recd</f>
        <v/>
      </c>
      <c r="Z1713" s="40">
        <f>IF(AND(B1713&gt;=in_marketplace_from,B1713&lt;in_marketplace_from+in_card_months),in_card_share/in_card_months*F1713*I1713,IF(AND(B1713&gt;=in_marketplace_from+in_card_months,B1713&lt;in_marketplace_from+2*in_card_months),in_card_share*d_card_rem/in_card_months*F1713*MIN(in_takeup_cap,(1+in_takeup_growth)^(D1713-1))*MIN(in_takeup_cap,(1+in_approval_growth)^(D1713-1)),0))</f>
        <v/>
      </c>
      <c r="AA1713" s="14">
        <f>V1713*in_fee*(1-in_taken_back)</f>
        <v/>
      </c>
      <c r="AB1713" s="14">
        <f>SUMIFS(W1712:W1726,B1712:B1726,B1713-in_dpd_lag)*d_dpd</f>
        <v/>
      </c>
      <c r="AC1713" s="14">
        <f>SUMIFS(W1712:W1726,B1712:B1726,B1713-in_rec_lag)*d_rec</f>
        <v/>
      </c>
      <c r="AD1713" s="14">
        <f>Z1713*in_card_fee</f>
        <v/>
      </c>
      <c r="AE1713" s="40">
        <f>AE1712*(1-IF(B1712&gt;=in_marketplace_from,d_hz_hlth_small*G1712,0))</f>
        <v/>
      </c>
      <c r="AF1713" s="46">
        <f>AE1713*IF(B1713&gt;=in_marketplace_from,d_hz_hlth_small*G1713,0)</f>
        <v/>
      </c>
      <c r="AG1713" s="14">
        <f>F1713*AF1713*in_hlth_small_ticket*in_hlth_small_comm*in_ins_partner_share+F1713*in_hlth_small_ticket*in_hlth_small_renew_comm*in_ins_partner_share*(in_hlth_small_renew^1*SUMIFS(AF1712:AF1726,B1712:B1726,B1713-12)+in_hlth_small_renew^2*SUMIFS(AF1712:AF1726,B1712:B1726,B1713-24)+in_hlth_small_renew^3*SUMIFS(AF1712:AF1726,B1712:B1726,B1713-36)+in_hlth_small_renew^4*SUMIFS(AF1712:AF1726,B1712:B1726,B1713-48))</f>
        <v/>
      </c>
      <c r="AH1713" s="40">
        <f>AH1712*(1-IF(B1712&gt;=in_marketplace_from,d_hz_hlth_family*G1712,0))</f>
        <v/>
      </c>
      <c r="AI1713" s="46">
        <f>AH1713*IF(B1713&gt;=in_marketplace_from,d_hz_hlth_family*G1713,0)</f>
        <v/>
      </c>
      <c r="AJ1713" s="14">
        <f>F1713*AI1713*in_hlth_family_ticket*in_hlth_family_comm*in_ins_partner_share+F1713*in_hlth_family_ticket*in_hlth_family_renew_comm*in_ins_partner_share*(in_hlth_family_renew^1*SUMIFS(AI1712:AI1726,B1712:B1726,B1713-12)+in_hlth_family_renew^2*SUMIFS(AI1712:AI1726,B1712:B1726,B1713-24)+in_hlth_family_renew^3*SUMIFS(AI1712:AI1726,B1712:B1726,B1713-36)+in_hlth_family_renew^4*SUMIFS(AI1712:AI1726,B1712:B1726,B1713-48))</f>
        <v/>
      </c>
      <c r="AK1713" s="40">
        <f>AK1712*(1-IF(B1712&gt;=in_marketplace_from,d_hz_life_term*G1712,0))</f>
        <v/>
      </c>
      <c r="AL1713" s="46">
        <f>AK1713*IF(B1713&gt;=in_marketplace_from,d_hz_life_term*G1713,0)</f>
        <v/>
      </c>
      <c r="AM1713" s="14">
        <f>F1713*AL1713*in_life_term_ticket*in_life_term_comm*in_ins_partner_share+F1713*in_life_term_ticket*in_life_term_renew_comm*in_ins_partner_share*(in_life_term_renew^1*SUMIFS(AL1712:AL1726,B1712:B1726,B1713-12)+in_life_term_renew^2*SUMIFS(AL1712:AL1726,B1712:B1726,B1713-24)+in_life_term_renew^3*SUMIFS(AL1712:AL1726,B1712:B1726,B1713-36)+in_life_term_renew^4*SUMIFS(AL1712:AL1726,B1712:B1726,B1713-48))</f>
        <v/>
      </c>
      <c r="AN1713" s="40">
        <f>AN1712*(1-IF(B1712&gt;=in_marketplace_from,d_hz_accident*G1712,0))</f>
        <v/>
      </c>
      <c r="AO1713" s="46">
        <f>AN1713*IF(B1713&gt;=in_marketplace_from,d_hz_accident*G1713,0)</f>
        <v/>
      </c>
      <c r="AP1713" s="14">
        <f>F1713*AO1713*in_accident_ticket*in_accident_comm*in_ins_partner_share+F1713*in_accident_ticket*in_accident_renew_comm*in_ins_partner_share*(in_accident_renew^1*SUMIFS(AO1712:AO1726,B1712:B1726,B1713-12)+in_accident_renew^2*SUMIFS(AO1712:AO1726,B1712:B1726,B1713-24)+in_accident_renew^3*SUMIFS(AO1712:AO1726,B1712:B1726,B1713-36)+in_accident_renew^4*SUMIFS(AO1712:AO1726,B1712:B1726,B1713-48))</f>
        <v/>
      </c>
      <c r="AQ1713" s="40">
        <f>AQ1712*(1-IF(B1712&gt;=in_marketplace_from,d_hz_two_wheeler*G1712,0))</f>
        <v/>
      </c>
      <c r="AR1713" s="46">
        <f>AQ1713*IF(B1713&gt;=in_marketplace_from,d_hz_two_wheeler*G1713,0)</f>
        <v/>
      </c>
      <c r="AS1713" s="14">
        <f>F1713*AR1713*in_two_wheeler_ticket*in_two_wheeler_comm*in_ins_partner_share+F1713*in_two_wheeler_ticket*in_two_wheeler_comm*in_ins_partner_share*(in_two_wheeler_renew^1*SUMIFS(AR1712:AR1726,B1712:B1726,B1713-12)+in_two_wheeler_renew^2*SUMIFS(AR1712:AR1726,B1712:B1726,B1713-24)+in_two_wheeler_renew^3*SUMIFS(AR1712:AR1726,B1712:B1726,B1713-36)+in_two_wheeler_renew^4*SUMIFS(AR1712:AR1726,B1712:B1726,B1713-48))</f>
        <v/>
      </c>
      <c r="AT1713" s="40">
        <f>AT1712*(1-IF(B1712&gt;=in_marketplace_from,d_hz_device*G1712,0))</f>
        <v/>
      </c>
      <c r="AU1713" s="14">
        <f>F1713*AT1713*IF(B1713&gt;=in_marketplace_from,d_hz_device*G1713,0)*in_device_ticket*in_device_comm*in_ins_partner_share</f>
        <v/>
      </c>
      <c r="AV1713" s="40">
        <f>AV1712*(1-IF(B1712&gt;=in_marketplace_from,d_hz_shop*G1712,0))</f>
        <v/>
      </c>
      <c r="AW1713" s="46">
        <f>AV1713*IF(B1713&gt;=in_marketplace_from,d_hz_shop*G1713,0)</f>
        <v/>
      </c>
      <c r="AX1713" s="14">
        <f>F1713*AW1713*in_shop_ticket*in_shop_comm*in_ins_partner_share+F1713*in_shop_ticket*in_shop_renew_comm*in_ins_partner_share*(in_shop_renew^1*SUMIFS(AW1712:AW1726,B1712:B1726,B1713-12)+in_shop_renew^2*SUMIFS(AW1712:AW1726,B1712:B1726,B1713-24)+in_shop_renew^3*SUMIFS(AW1712:AW1726,B1712:B1726,B1713-36)+in_shop_renew^4*SUMIFS(AW1712:AW1726,B1712:B1726,B1713-48))</f>
        <v/>
      </c>
      <c r="AY1713" s="40">
        <f>AY1712*(1-IF(B1712&gt;=in_marketplace_from,d_hz_sip*G1712,0))</f>
        <v/>
      </c>
      <c r="AZ1713" s="40">
        <f>AZ1712*d_rho_sip+AY1713*IF(B1713&gt;=in_marketplace_from,d_hz_sip*G1713,0)</f>
        <v/>
      </c>
      <c r="BA1713" s="40">
        <f>d_rho_sip*(BA1712+AZ1712)</f>
        <v/>
      </c>
      <c r="BB1713" s="14">
        <f>F1713*in_sip_ticket*(BA1713+0.5*AZ1713)*in_sip_comm/12</f>
        <v/>
      </c>
      <c r="BC1713" s="40">
        <f>BC1712*(1-IF(B1712&gt;=in_marketplace_from,d_hz_choti*G1712,0))</f>
        <v/>
      </c>
      <c r="BD1713" s="46">
        <f>BC1713*IF(B1713&gt;=in_marketplace_from,d_hz_choti*G1713,0)</f>
        <v/>
      </c>
      <c r="BE1713" s="14">
        <f>F1713*SUMIFS(BD1712:BD1726,B1712:B1726,B1713-in_choti_months)*in_choti_renew*in_choti_ticket</f>
        <v/>
      </c>
      <c r="BF1713" s="40">
        <f>BF1712*(1-IF(B1712&gt;=in_marketplace_from,d_hz_nps*G1712,0))</f>
        <v/>
      </c>
      <c r="BG1713" s="14">
        <f>F1713*BF1713*IF(B1713&gt;=in_marketplace_from,d_hz_nps*G1713,0)*in_nps_ticket*in_nps_comm</f>
        <v/>
      </c>
      <c r="BH1713" s="40">
        <f>BH1712*(1-IF(B1712&gt;=in_marketplace_from,d_hz_gold*G1712,0))</f>
        <v/>
      </c>
      <c r="BI1713" s="40">
        <f>BI1712*d_rho_gold+BH1713*IF(B1713&gt;=in_marketplace_from,d_hz_gold*G1713,0)</f>
        <v/>
      </c>
      <c r="BJ1713" s="14">
        <f>F1713*BI1713*in_gold_ticket*in_gold_comm</f>
        <v/>
      </c>
      <c r="BK1713" s="40">
        <f>BK1712*(1-IF(B1712&gt;=in_marketplace_from,d_hz_fd*G1712,0))</f>
        <v/>
      </c>
      <c r="BL1713" s="14">
        <f>F1713*BK1713*IF(B1713&gt;=in_marketplace_from,d_hz_fd*G1713,0)*in_fd_ticket*in_fd_comm</f>
        <v/>
      </c>
      <c r="BM1713" s="40">
        <f>BM1712*(1-IF(B1712&gt;=in_marketplace_from,d_hz_recharge*G1712,0))</f>
        <v/>
      </c>
      <c r="BN1713" s="40">
        <f>BN1712*d_rho_recharge+BM1713*IF(B1713&gt;=in_marketplace_from,d_hz_recharge*G1713,0)</f>
        <v/>
      </c>
      <c r="BO1713" s="14">
        <f>F1713*BN1713*in_recharge_ticket*in_recharge_comm/12</f>
        <v/>
      </c>
      <c r="BP1713" s="40">
        <f>BP1712*(1-IF(B1712&gt;=in_marketplace_from,d_hz_bills*G1712,0))</f>
        <v/>
      </c>
      <c r="BQ1713" s="40">
        <f>BQ1712*d_rho_bills+BP1713*IF(B1713&gt;=in_marketplace_from,d_hz_bills*G1713,0)</f>
        <v/>
      </c>
      <c r="BR1713" s="14">
        <f>F1713*BQ1713*in_bills_ticket*in_bills_comm/12</f>
        <v/>
      </c>
      <c r="BS1713" s="40">
        <f>BS1712*(1-IF(B1712&gt;=in_marketplace_from,d_hz_loan_gold*G1712,0))</f>
        <v/>
      </c>
      <c r="BT1713" s="14">
        <f>F1713*BS1713*IF(B1713&gt;=in_marketplace_from,d_hz_loan_gold*G1713,0)*in_loan_gold_ticket*in_loan_gold_comm</f>
        <v/>
      </c>
      <c r="BU1713" s="40">
        <f>BU1712*(1-IF(B1712&gt;=in_marketplace_from,d_hz_loan_cd*G1712,0))</f>
        <v/>
      </c>
      <c r="BV1713" s="14">
        <f>F1713*BU1713*IF(B1713&gt;=in_marketplace_from,d_hz_loan_cd*G1713,0)*in_loan_cd_ticket*in_loan_cd_comm</f>
        <v/>
      </c>
      <c r="BW1713" s="40">
        <f>BW1712*(1-IF(B1712&gt;=in_marketplace_from,d_hz_loan_vehicle*G1712,0))</f>
        <v/>
      </c>
      <c r="BX1713" s="14">
        <f>F1713*BW1713*IF(B1713&gt;=in_marketplace_from,d_hz_loan_vehicle*G1713,0)*in_loan_vehicle_ticket*in_loan_vehicle_comm</f>
        <v/>
      </c>
      <c r="BY1713" s="40">
        <f>BY1712*(1-IF(B1712&gt;=in_marketplace_from,d_hz_loan_home*G1712,0)*BZ1712)</f>
        <v/>
      </c>
      <c r="BZ1713" s="11">
        <f>MIN(in_approval_cap,in_loan_home_approval*INDEX('Age profile'!$O$2:$O$61,B1713)*(1+in_approval_growth)^(D1713-1))</f>
        <v/>
      </c>
      <c r="CA1713" s="14">
        <f>F1713*BY1713*IF(B1713&gt;=in_marketplace_from,d_hz_loan_home*G1713,0)*BZ1713*in_loan_home_ticket*in_loan_home_comm</f>
        <v/>
      </c>
      <c r="CB1713" s="40">
        <f>CB1712*(1-IF(B1712&gt;=in_marketplace_from,d_hz_loan_lap*G1712,0)*CC1712)</f>
        <v/>
      </c>
      <c r="CC1713" s="11">
        <f>MIN(in_approval_cap,in_loan_lap_approval*INDEX('Age profile'!$O$2:$O$61,B1713)*(1+in_approval_growth)^(D1713-1))</f>
        <v/>
      </c>
      <c r="CD1713" s="14">
        <f>F1713*CB1713*IF(B1713&gt;=in_marketplace_from,d_hz_loan_lap*G1713,0)*CC1713*in_loan_lap_ticket*in_loan_lap_comm</f>
        <v/>
      </c>
      <c r="CE1713" s="14">
        <f>AA1713+AB1713+AC1713+AD1713+AG1713+AJ1713+AM1713+AP1713+AS1713+AU1713+AX1713+BB1713+BE1713+BG1713+BJ1713+BL1713+BO1713+BR1713+BT1713+BV1713+BX1713+CA1713+CD1713</f>
        <v/>
      </c>
    </row>
    <row r="1714">
      <c r="A1714" s="39" t="n">
        <v>46</v>
      </c>
      <c r="B1714" s="39" t="n">
        <v>3</v>
      </c>
      <c r="C1714" s="39">
        <f>A1714+B1714-1</f>
        <v/>
      </c>
      <c r="D1714" s="39">
        <f>INT((C1714-1)/12)+1</f>
        <v/>
      </c>
      <c r="E1714" s="44">
        <f>INDEX(Monthly!$B$2:$B$61,A1714)</f>
        <v/>
      </c>
      <c r="F1714" s="44">
        <f>E1714*INDEX('Age profile'!$B$2:$B$61,B1714)</f>
        <v/>
      </c>
      <c r="G1714" s="45">
        <f>MIN(in_takeup_cap,INDEX('Age profile'!$N$2:$N$61,B1714)*(1+in_takeup_growth)^(D1714-1))</f>
        <v/>
      </c>
      <c r="H1714" s="11">
        <f>MIN(in_approval_cap,in_approved_first*INDEX('Age profile'!$O$2:$O$61,B1714)*(1+in_approval_growth)^(D1714-1))</f>
        <v/>
      </c>
      <c r="I1714" s="45">
        <f>G1714*MIN(in_takeup_cap,INDEX('Age profile'!$O$2:$O$61,B1714)*(1+in_approval_growth)^(D1714-1))</f>
        <v/>
      </c>
      <c r="J1714" s="40">
        <f>(J1713-L1713)*F1714/F1713</f>
        <v/>
      </c>
      <c r="K1714" s="40">
        <f>(K1713-M1713)*F1714/F1713+SUMIFS(O1712:O1713,B1712:B1713,B1714-1-d_T)*F1714</f>
        <v/>
      </c>
      <c r="L1714" s="40">
        <f>IF(B1714&gt;=in_marketplace_from,J1714*d_hz*G1714*in_eligible*H1714,0)</f>
        <v/>
      </c>
      <c r="M1714" s="40">
        <f>IF(B1714&gt;=in_marketplace_from,K1714*d_hz*G1714*in_eligible*in_approved_repeat,0)</f>
        <v/>
      </c>
      <c r="N1714" s="40">
        <f>L1714+M1714</f>
        <v/>
      </c>
      <c r="O1714" s="46">
        <f>N1714/F1714</f>
        <v/>
      </c>
      <c r="P1714" s="40">
        <f>F1714-J1714-K1714</f>
        <v/>
      </c>
      <c r="Q1714" s="40">
        <f>IF(B1714&gt;=in_marketplace_from,(J1714+K1714)*d_hz*G1714,0)</f>
        <v/>
      </c>
      <c r="R1714" s="40">
        <f>SUMIFS(N1712:N1726,B1712:B1726,"&gt;="&amp;(B1714-d_T),B1712:B1726,"&lt;="&amp;(B1714-1))</f>
        <v/>
      </c>
      <c r="S1714" s="46">
        <f>(1-d_u)*S1713+IF(d_T&gt;in_topup_lag,SUMIFS(O1712:O1726,B1712:B1726,B1714-in_topup_lag)-d_udrop*SUMIFS(O1712:O1726,B1712:B1726,B1714-d_T),0)</f>
        <v/>
      </c>
      <c r="T1714" s="40">
        <f>F1714*d_u*S1714</f>
        <v/>
      </c>
      <c r="U1714" s="9">
        <f>L1714*in_ticket+M1714*d_rep_ticket</f>
        <v/>
      </c>
      <c r="V1714" s="9">
        <f>U1714+T1714*d_topup_amt</f>
        <v/>
      </c>
      <c r="W1714" s="40">
        <f>N1714+T1714*d_topup_ratio</f>
        <v/>
      </c>
      <c r="X1714" s="40">
        <f>SUMIFS(W1712:W1726,B1712:B1726,B1714-in_dpd_lag)*d_cured</f>
        <v/>
      </c>
      <c r="Y1714" s="40">
        <f>SUMIFS(W1712:W1726,B1712:B1726,B1714-in_rec_lag)*d_recd</f>
        <v/>
      </c>
      <c r="Z1714" s="40">
        <f>IF(AND(B1714&gt;=in_marketplace_from,B1714&lt;in_marketplace_from+in_card_months),in_card_share/in_card_months*F1714*I1714,IF(AND(B1714&gt;=in_marketplace_from+in_card_months,B1714&lt;in_marketplace_from+2*in_card_months),in_card_share*d_card_rem/in_card_months*F1714*MIN(in_takeup_cap,(1+in_takeup_growth)^(D1714-1))*MIN(in_takeup_cap,(1+in_approval_growth)^(D1714-1)),0))</f>
        <v/>
      </c>
      <c r="AA1714" s="14">
        <f>V1714*in_fee*(1-in_taken_back)</f>
        <v/>
      </c>
      <c r="AB1714" s="14">
        <f>SUMIFS(W1712:W1726,B1712:B1726,B1714-in_dpd_lag)*d_dpd</f>
        <v/>
      </c>
      <c r="AC1714" s="14">
        <f>SUMIFS(W1712:W1726,B1712:B1726,B1714-in_rec_lag)*d_rec</f>
        <v/>
      </c>
      <c r="AD1714" s="14">
        <f>Z1714*in_card_fee</f>
        <v/>
      </c>
      <c r="AE1714" s="40">
        <f>AE1713*(1-IF(B1713&gt;=in_marketplace_from,d_hz_hlth_small*G1713,0))</f>
        <v/>
      </c>
      <c r="AF1714" s="46">
        <f>AE1714*IF(B1714&gt;=in_marketplace_from,d_hz_hlth_small*G1714,0)</f>
        <v/>
      </c>
      <c r="AG1714" s="14">
        <f>F1714*AF1714*in_hlth_small_ticket*in_hlth_small_comm*in_ins_partner_share+F1714*in_hlth_small_ticket*in_hlth_small_renew_comm*in_ins_partner_share*(in_hlth_small_renew^1*SUMIFS(AF1712:AF1726,B1712:B1726,B1714-12)+in_hlth_small_renew^2*SUMIFS(AF1712:AF1726,B1712:B1726,B1714-24)+in_hlth_small_renew^3*SUMIFS(AF1712:AF1726,B1712:B1726,B1714-36)+in_hlth_small_renew^4*SUMIFS(AF1712:AF1726,B1712:B1726,B1714-48))</f>
        <v/>
      </c>
      <c r="AH1714" s="40">
        <f>AH1713*(1-IF(B1713&gt;=in_marketplace_from,d_hz_hlth_family*G1713,0))</f>
        <v/>
      </c>
      <c r="AI1714" s="46">
        <f>AH1714*IF(B1714&gt;=in_marketplace_from,d_hz_hlth_family*G1714,0)</f>
        <v/>
      </c>
      <c r="AJ1714" s="14">
        <f>F1714*AI1714*in_hlth_family_ticket*in_hlth_family_comm*in_ins_partner_share+F1714*in_hlth_family_ticket*in_hlth_family_renew_comm*in_ins_partner_share*(in_hlth_family_renew^1*SUMIFS(AI1712:AI1726,B1712:B1726,B1714-12)+in_hlth_family_renew^2*SUMIFS(AI1712:AI1726,B1712:B1726,B1714-24)+in_hlth_family_renew^3*SUMIFS(AI1712:AI1726,B1712:B1726,B1714-36)+in_hlth_family_renew^4*SUMIFS(AI1712:AI1726,B1712:B1726,B1714-48))</f>
        <v/>
      </c>
      <c r="AK1714" s="40">
        <f>AK1713*(1-IF(B1713&gt;=in_marketplace_from,d_hz_life_term*G1713,0))</f>
        <v/>
      </c>
      <c r="AL1714" s="46">
        <f>AK1714*IF(B1714&gt;=in_marketplace_from,d_hz_life_term*G1714,0)</f>
        <v/>
      </c>
      <c r="AM1714" s="14">
        <f>F1714*AL1714*in_life_term_ticket*in_life_term_comm*in_ins_partner_share+F1714*in_life_term_ticket*in_life_term_renew_comm*in_ins_partner_share*(in_life_term_renew^1*SUMIFS(AL1712:AL1726,B1712:B1726,B1714-12)+in_life_term_renew^2*SUMIFS(AL1712:AL1726,B1712:B1726,B1714-24)+in_life_term_renew^3*SUMIFS(AL1712:AL1726,B1712:B1726,B1714-36)+in_life_term_renew^4*SUMIFS(AL1712:AL1726,B1712:B1726,B1714-48))</f>
        <v/>
      </c>
      <c r="AN1714" s="40">
        <f>AN1713*(1-IF(B1713&gt;=in_marketplace_from,d_hz_accident*G1713,0))</f>
        <v/>
      </c>
      <c r="AO1714" s="46">
        <f>AN1714*IF(B1714&gt;=in_marketplace_from,d_hz_accident*G1714,0)</f>
        <v/>
      </c>
      <c r="AP1714" s="14">
        <f>F1714*AO1714*in_accident_ticket*in_accident_comm*in_ins_partner_share+F1714*in_accident_ticket*in_accident_renew_comm*in_ins_partner_share*(in_accident_renew^1*SUMIFS(AO1712:AO1726,B1712:B1726,B1714-12)+in_accident_renew^2*SUMIFS(AO1712:AO1726,B1712:B1726,B1714-24)+in_accident_renew^3*SUMIFS(AO1712:AO1726,B1712:B1726,B1714-36)+in_accident_renew^4*SUMIFS(AO1712:AO1726,B1712:B1726,B1714-48))</f>
        <v/>
      </c>
      <c r="AQ1714" s="40">
        <f>AQ1713*(1-IF(B1713&gt;=in_marketplace_from,d_hz_two_wheeler*G1713,0))</f>
        <v/>
      </c>
      <c r="AR1714" s="46">
        <f>AQ1714*IF(B1714&gt;=in_marketplace_from,d_hz_two_wheeler*G1714,0)</f>
        <v/>
      </c>
      <c r="AS1714" s="14">
        <f>F1714*AR1714*in_two_wheeler_ticket*in_two_wheeler_comm*in_ins_partner_share+F1714*in_two_wheeler_ticket*in_two_wheeler_comm*in_ins_partner_share*(in_two_wheeler_renew^1*SUMIFS(AR1712:AR1726,B1712:B1726,B1714-12)+in_two_wheeler_renew^2*SUMIFS(AR1712:AR1726,B1712:B1726,B1714-24)+in_two_wheeler_renew^3*SUMIFS(AR1712:AR1726,B1712:B1726,B1714-36)+in_two_wheeler_renew^4*SUMIFS(AR1712:AR1726,B1712:B1726,B1714-48))</f>
        <v/>
      </c>
      <c r="AT1714" s="40">
        <f>AT1713*(1-IF(B1713&gt;=in_marketplace_from,d_hz_device*G1713,0))</f>
        <v/>
      </c>
      <c r="AU1714" s="14">
        <f>F1714*AT1714*IF(B1714&gt;=in_marketplace_from,d_hz_device*G1714,0)*in_device_ticket*in_device_comm*in_ins_partner_share</f>
        <v/>
      </c>
      <c r="AV1714" s="40">
        <f>AV1713*(1-IF(B1713&gt;=in_marketplace_from,d_hz_shop*G1713,0))</f>
        <v/>
      </c>
      <c r="AW1714" s="46">
        <f>AV1714*IF(B1714&gt;=in_marketplace_from,d_hz_shop*G1714,0)</f>
        <v/>
      </c>
      <c r="AX1714" s="14">
        <f>F1714*AW1714*in_shop_ticket*in_shop_comm*in_ins_partner_share+F1714*in_shop_ticket*in_shop_renew_comm*in_ins_partner_share*(in_shop_renew^1*SUMIFS(AW1712:AW1726,B1712:B1726,B1714-12)+in_shop_renew^2*SUMIFS(AW1712:AW1726,B1712:B1726,B1714-24)+in_shop_renew^3*SUMIFS(AW1712:AW1726,B1712:B1726,B1714-36)+in_shop_renew^4*SUMIFS(AW1712:AW1726,B1712:B1726,B1714-48))</f>
        <v/>
      </c>
      <c r="AY1714" s="40">
        <f>AY1713*(1-IF(B1713&gt;=in_marketplace_from,d_hz_sip*G1713,0))</f>
        <v/>
      </c>
      <c r="AZ1714" s="40">
        <f>AZ1713*d_rho_sip+AY1714*IF(B1714&gt;=in_marketplace_from,d_hz_sip*G1714,0)</f>
        <v/>
      </c>
      <c r="BA1714" s="40">
        <f>d_rho_sip*(BA1713+AZ1713)</f>
        <v/>
      </c>
      <c r="BB1714" s="14">
        <f>F1714*in_sip_ticket*(BA1714+0.5*AZ1714)*in_sip_comm/12</f>
        <v/>
      </c>
      <c r="BC1714" s="40">
        <f>BC1713*(1-IF(B1713&gt;=in_marketplace_from,d_hz_choti*G1713,0))</f>
        <v/>
      </c>
      <c r="BD1714" s="46">
        <f>BC1714*IF(B1714&gt;=in_marketplace_from,d_hz_choti*G1714,0)</f>
        <v/>
      </c>
      <c r="BE1714" s="14">
        <f>F1714*SUMIFS(BD1712:BD1726,B1712:B1726,B1714-in_choti_months)*in_choti_renew*in_choti_ticket</f>
        <v/>
      </c>
      <c r="BF1714" s="40">
        <f>BF1713*(1-IF(B1713&gt;=in_marketplace_from,d_hz_nps*G1713,0))</f>
        <v/>
      </c>
      <c r="BG1714" s="14">
        <f>F1714*BF1714*IF(B1714&gt;=in_marketplace_from,d_hz_nps*G1714,0)*in_nps_ticket*in_nps_comm</f>
        <v/>
      </c>
      <c r="BH1714" s="40">
        <f>BH1713*(1-IF(B1713&gt;=in_marketplace_from,d_hz_gold*G1713,0))</f>
        <v/>
      </c>
      <c r="BI1714" s="40">
        <f>BI1713*d_rho_gold+BH1714*IF(B1714&gt;=in_marketplace_from,d_hz_gold*G1714,0)</f>
        <v/>
      </c>
      <c r="BJ1714" s="14">
        <f>F1714*BI1714*in_gold_ticket*in_gold_comm</f>
        <v/>
      </c>
      <c r="BK1714" s="40">
        <f>BK1713*(1-IF(B1713&gt;=in_marketplace_from,d_hz_fd*G1713,0))</f>
        <v/>
      </c>
      <c r="BL1714" s="14">
        <f>F1714*BK1714*IF(B1714&gt;=in_marketplace_from,d_hz_fd*G1714,0)*in_fd_ticket*in_fd_comm</f>
        <v/>
      </c>
      <c r="BM1714" s="40">
        <f>BM1713*(1-IF(B1713&gt;=in_marketplace_from,d_hz_recharge*G1713,0))</f>
        <v/>
      </c>
      <c r="BN1714" s="40">
        <f>BN1713*d_rho_recharge+BM1714*IF(B1714&gt;=in_marketplace_from,d_hz_recharge*G1714,0)</f>
        <v/>
      </c>
      <c r="BO1714" s="14">
        <f>F1714*BN1714*in_recharge_ticket*in_recharge_comm/12</f>
        <v/>
      </c>
      <c r="BP1714" s="40">
        <f>BP1713*(1-IF(B1713&gt;=in_marketplace_from,d_hz_bills*G1713,0))</f>
        <v/>
      </c>
      <c r="BQ1714" s="40">
        <f>BQ1713*d_rho_bills+BP1714*IF(B1714&gt;=in_marketplace_from,d_hz_bills*G1714,0)</f>
        <v/>
      </c>
      <c r="BR1714" s="14">
        <f>F1714*BQ1714*in_bills_ticket*in_bills_comm/12</f>
        <v/>
      </c>
      <c r="BS1714" s="40">
        <f>BS1713*(1-IF(B1713&gt;=in_marketplace_from,d_hz_loan_gold*G1713,0))</f>
        <v/>
      </c>
      <c r="BT1714" s="14">
        <f>F1714*BS1714*IF(B1714&gt;=in_marketplace_from,d_hz_loan_gold*G1714,0)*in_loan_gold_ticket*in_loan_gold_comm</f>
        <v/>
      </c>
      <c r="BU1714" s="40">
        <f>BU1713*(1-IF(B1713&gt;=in_marketplace_from,d_hz_loan_cd*G1713,0))</f>
        <v/>
      </c>
      <c r="BV1714" s="14">
        <f>F1714*BU1714*IF(B1714&gt;=in_marketplace_from,d_hz_loan_cd*G1714,0)*in_loan_cd_ticket*in_loan_cd_comm</f>
        <v/>
      </c>
      <c r="BW1714" s="40">
        <f>BW1713*(1-IF(B1713&gt;=in_marketplace_from,d_hz_loan_vehicle*G1713,0))</f>
        <v/>
      </c>
      <c r="BX1714" s="14">
        <f>F1714*BW1714*IF(B1714&gt;=in_marketplace_from,d_hz_loan_vehicle*G1714,0)*in_loan_vehicle_ticket*in_loan_vehicle_comm</f>
        <v/>
      </c>
      <c r="BY1714" s="40">
        <f>BY1713*(1-IF(B1713&gt;=in_marketplace_from,d_hz_loan_home*G1713,0)*BZ1713)</f>
        <v/>
      </c>
      <c r="BZ1714" s="11">
        <f>MIN(in_approval_cap,in_loan_home_approval*INDEX('Age profile'!$O$2:$O$61,B1714)*(1+in_approval_growth)^(D1714-1))</f>
        <v/>
      </c>
      <c r="CA1714" s="14">
        <f>F1714*BY1714*IF(B1714&gt;=in_marketplace_from,d_hz_loan_home*G1714,0)*BZ1714*in_loan_home_ticket*in_loan_home_comm</f>
        <v/>
      </c>
      <c r="CB1714" s="40">
        <f>CB1713*(1-IF(B1713&gt;=in_marketplace_from,d_hz_loan_lap*G1713,0)*CC1713)</f>
        <v/>
      </c>
      <c r="CC1714" s="11">
        <f>MIN(in_approval_cap,in_loan_lap_approval*INDEX('Age profile'!$O$2:$O$61,B1714)*(1+in_approval_growth)^(D1714-1))</f>
        <v/>
      </c>
      <c r="CD1714" s="14">
        <f>F1714*CB1714*IF(B1714&gt;=in_marketplace_from,d_hz_loan_lap*G1714,0)*CC1714*in_loan_lap_ticket*in_loan_lap_comm</f>
        <v/>
      </c>
      <c r="CE1714" s="14">
        <f>AA1714+AB1714+AC1714+AD1714+AG1714+AJ1714+AM1714+AP1714+AS1714+AU1714+AX1714+BB1714+BE1714+BG1714+BJ1714+BL1714+BO1714+BR1714+BT1714+BV1714+BX1714+CA1714+CD1714</f>
        <v/>
      </c>
    </row>
    <row r="1715">
      <c r="A1715" s="39" t="n">
        <v>46</v>
      </c>
      <c r="B1715" s="39" t="n">
        <v>4</v>
      </c>
      <c r="C1715" s="39">
        <f>A1715+B1715-1</f>
        <v/>
      </c>
      <c r="D1715" s="39">
        <f>INT((C1715-1)/12)+1</f>
        <v/>
      </c>
      <c r="E1715" s="44">
        <f>INDEX(Monthly!$B$2:$B$61,A1715)</f>
        <v/>
      </c>
      <c r="F1715" s="44">
        <f>E1715*INDEX('Age profile'!$B$2:$B$61,B1715)</f>
        <v/>
      </c>
      <c r="G1715" s="45">
        <f>MIN(in_takeup_cap,INDEX('Age profile'!$N$2:$N$61,B1715)*(1+in_takeup_growth)^(D1715-1))</f>
        <v/>
      </c>
      <c r="H1715" s="11">
        <f>MIN(in_approval_cap,in_approved_first*INDEX('Age profile'!$O$2:$O$61,B1715)*(1+in_approval_growth)^(D1715-1))</f>
        <v/>
      </c>
      <c r="I1715" s="45">
        <f>G1715*MIN(in_takeup_cap,INDEX('Age profile'!$O$2:$O$61,B1715)*(1+in_approval_growth)^(D1715-1))</f>
        <v/>
      </c>
      <c r="J1715" s="40">
        <f>(J1714-L1714)*F1715/F1714</f>
        <v/>
      </c>
      <c r="K1715" s="40">
        <f>(K1714-M1714)*F1715/F1714+SUMIFS(O1712:O1714,B1712:B1714,B1715-1-d_T)*F1715</f>
        <v/>
      </c>
      <c r="L1715" s="40">
        <f>IF(B1715&gt;=in_marketplace_from,J1715*d_hz*G1715*in_eligible*H1715,0)</f>
        <v/>
      </c>
      <c r="M1715" s="40">
        <f>IF(B1715&gt;=in_marketplace_from,K1715*d_hz*G1715*in_eligible*in_approved_repeat,0)</f>
        <v/>
      </c>
      <c r="N1715" s="40">
        <f>L1715+M1715</f>
        <v/>
      </c>
      <c r="O1715" s="46">
        <f>N1715/F1715</f>
        <v/>
      </c>
      <c r="P1715" s="40">
        <f>F1715-J1715-K1715</f>
        <v/>
      </c>
      <c r="Q1715" s="40">
        <f>IF(B1715&gt;=in_marketplace_from,(J1715+K1715)*d_hz*G1715,0)</f>
        <v/>
      </c>
      <c r="R1715" s="40">
        <f>SUMIFS(N1712:N1726,B1712:B1726,"&gt;="&amp;(B1715-d_T),B1712:B1726,"&lt;="&amp;(B1715-1))</f>
        <v/>
      </c>
      <c r="S1715" s="46">
        <f>(1-d_u)*S1714+IF(d_T&gt;in_topup_lag,SUMIFS(O1712:O1726,B1712:B1726,B1715-in_topup_lag)-d_udrop*SUMIFS(O1712:O1726,B1712:B1726,B1715-d_T),0)</f>
        <v/>
      </c>
      <c r="T1715" s="40">
        <f>F1715*d_u*S1715</f>
        <v/>
      </c>
      <c r="U1715" s="9">
        <f>L1715*in_ticket+M1715*d_rep_ticket</f>
        <v/>
      </c>
      <c r="V1715" s="9">
        <f>U1715+T1715*d_topup_amt</f>
        <v/>
      </c>
      <c r="W1715" s="40">
        <f>N1715+T1715*d_topup_ratio</f>
        <v/>
      </c>
      <c r="X1715" s="40">
        <f>SUMIFS(W1712:W1726,B1712:B1726,B1715-in_dpd_lag)*d_cured</f>
        <v/>
      </c>
      <c r="Y1715" s="40">
        <f>SUMIFS(W1712:W1726,B1712:B1726,B1715-in_rec_lag)*d_recd</f>
        <v/>
      </c>
      <c r="Z1715" s="40">
        <f>IF(AND(B1715&gt;=in_marketplace_from,B1715&lt;in_marketplace_from+in_card_months),in_card_share/in_card_months*F1715*I1715,IF(AND(B1715&gt;=in_marketplace_from+in_card_months,B1715&lt;in_marketplace_from+2*in_card_months),in_card_share*d_card_rem/in_card_months*F1715*MIN(in_takeup_cap,(1+in_takeup_growth)^(D1715-1))*MIN(in_takeup_cap,(1+in_approval_growth)^(D1715-1)),0))</f>
        <v/>
      </c>
      <c r="AA1715" s="14">
        <f>V1715*in_fee*(1-in_taken_back)</f>
        <v/>
      </c>
      <c r="AB1715" s="14">
        <f>SUMIFS(W1712:W1726,B1712:B1726,B1715-in_dpd_lag)*d_dpd</f>
        <v/>
      </c>
      <c r="AC1715" s="14">
        <f>SUMIFS(W1712:W1726,B1712:B1726,B1715-in_rec_lag)*d_rec</f>
        <v/>
      </c>
      <c r="AD1715" s="14">
        <f>Z1715*in_card_fee</f>
        <v/>
      </c>
      <c r="AE1715" s="40">
        <f>AE1714*(1-IF(B1714&gt;=in_marketplace_from,d_hz_hlth_small*G1714,0))</f>
        <v/>
      </c>
      <c r="AF1715" s="46">
        <f>AE1715*IF(B1715&gt;=in_marketplace_from,d_hz_hlth_small*G1715,0)</f>
        <v/>
      </c>
      <c r="AG1715" s="14">
        <f>F1715*AF1715*in_hlth_small_ticket*in_hlth_small_comm*in_ins_partner_share+F1715*in_hlth_small_ticket*in_hlth_small_renew_comm*in_ins_partner_share*(in_hlth_small_renew^1*SUMIFS(AF1712:AF1726,B1712:B1726,B1715-12)+in_hlth_small_renew^2*SUMIFS(AF1712:AF1726,B1712:B1726,B1715-24)+in_hlth_small_renew^3*SUMIFS(AF1712:AF1726,B1712:B1726,B1715-36)+in_hlth_small_renew^4*SUMIFS(AF1712:AF1726,B1712:B1726,B1715-48))</f>
        <v/>
      </c>
      <c r="AH1715" s="40">
        <f>AH1714*(1-IF(B1714&gt;=in_marketplace_from,d_hz_hlth_family*G1714,0))</f>
        <v/>
      </c>
      <c r="AI1715" s="46">
        <f>AH1715*IF(B1715&gt;=in_marketplace_from,d_hz_hlth_family*G1715,0)</f>
        <v/>
      </c>
      <c r="AJ1715" s="14">
        <f>F1715*AI1715*in_hlth_family_ticket*in_hlth_family_comm*in_ins_partner_share+F1715*in_hlth_family_ticket*in_hlth_family_renew_comm*in_ins_partner_share*(in_hlth_family_renew^1*SUMIFS(AI1712:AI1726,B1712:B1726,B1715-12)+in_hlth_family_renew^2*SUMIFS(AI1712:AI1726,B1712:B1726,B1715-24)+in_hlth_family_renew^3*SUMIFS(AI1712:AI1726,B1712:B1726,B1715-36)+in_hlth_family_renew^4*SUMIFS(AI1712:AI1726,B1712:B1726,B1715-48))</f>
        <v/>
      </c>
      <c r="AK1715" s="40">
        <f>AK1714*(1-IF(B1714&gt;=in_marketplace_from,d_hz_life_term*G1714,0))</f>
        <v/>
      </c>
      <c r="AL1715" s="46">
        <f>AK1715*IF(B1715&gt;=in_marketplace_from,d_hz_life_term*G1715,0)</f>
        <v/>
      </c>
      <c r="AM1715" s="14">
        <f>F1715*AL1715*in_life_term_ticket*in_life_term_comm*in_ins_partner_share+F1715*in_life_term_ticket*in_life_term_renew_comm*in_ins_partner_share*(in_life_term_renew^1*SUMIFS(AL1712:AL1726,B1712:B1726,B1715-12)+in_life_term_renew^2*SUMIFS(AL1712:AL1726,B1712:B1726,B1715-24)+in_life_term_renew^3*SUMIFS(AL1712:AL1726,B1712:B1726,B1715-36)+in_life_term_renew^4*SUMIFS(AL1712:AL1726,B1712:B1726,B1715-48))</f>
        <v/>
      </c>
      <c r="AN1715" s="40">
        <f>AN1714*(1-IF(B1714&gt;=in_marketplace_from,d_hz_accident*G1714,0))</f>
        <v/>
      </c>
      <c r="AO1715" s="46">
        <f>AN1715*IF(B1715&gt;=in_marketplace_from,d_hz_accident*G1715,0)</f>
        <v/>
      </c>
      <c r="AP1715" s="14">
        <f>F1715*AO1715*in_accident_ticket*in_accident_comm*in_ins_partner_share+F1715*in_accident_ticket*in_accident_renew_comm*in_ins_partner_share*(in_accident_renew^1*SUMIFS(AO1712:AO1726,B1712:B1726,B1715-12)+in_accident_renew^2*SUMIFS(AO1712:AO1726,B1712:B1726,B1715-24)+in_accident_renew^3*SUMIFS(AO1712:AO1726,B1712:B1726,B1715-36)+in_accident_renew^4*SUMIFS(AO1712:AO1726,B1712:B1726,B1715-48))</f>
        <v/>
      </c>
      <c r="AQ1715" s="40">
        <f>AQ1714*(1-IF(B1714&gt;=in_marketplace_from,d_hz_two_wheeler*G1714,0))</f>
        <v/>
      </c>
      <c r="AR1715" s="46">
        <f>AQ1715*IF(B1715&gt;=in_marketplace_from,d_hz_two_wheeler*G1715,0)</f>
        <v/>
      </c>
      <c r="AS1715" s="14">
        <f>F1715*AR1715*in_two_wheeler_ticket*in_two_wheeler_comm*in_ins_partner_share+F1715*in_two_wheeler_ticket*in_two_wheeler_comm*in_ins_partner_share*(in_two_wheeler_renew^1*SUMIFS(AR1712:AR1726,B1712:B1726,B1715-12)+in_two_wheeler_renew^2*SUMIFS(AR1712:AR1726,B1712:B1726,B1715-24)+in_two_wheeler_renew^3*SUMIFS(AR1712:AR1726,B1712:B1726,B1715-36)+in_two_wheeler_renew^4*SUMIFS(AR1712:AR1726,B1712:B1726,B1715-48))</f>
        <v/>
      </c>
      <c r="AT1715" s="40">
        <f>AT1714*(1-IF(B1714&gt;=in_marketplace_from,d_hz_device*G1714,0))</f>
        <v/>
      </c>
      <c r="AU1715" s="14">
        <f>F1715*AT1715*IF(B1715&gt;=in_marketplace_from,d_hz_device*G1715,0)*in_device_ticket*in_device_comm*in_ins_partner_share</f>
        <v/>
      </c>
      <c r="AV1715" s="40">
        <f>AV1714*(1-IF(B1714&gt;=in_marketplace_from,d_hz_shop*G1714,0))</f>
        <v/>
      </c>
      <c r="AW1715" s="46">
        <f>AV1715*IF(B1715&gt;=in_marketplace_from,d_hz_shop*G1715,0)</f>
        <v/>
      </c>
      <c r="AX1715" s="14">
        <f>F1715*AW1715*in_shop_ticket*in_shop_comm*in_ins_partner_share+F1715*in_shop_ticket*in_shop_renew_comm*in_ins_partner_share*(in_shop_renew^1*SUMIFS(AW1712:AW1726,B1712:B1726,B1715-12)+in_shop_renew^2*SUMIFS(AW1712:AW1726,B1712:B1726,B1715-24)+in_shop_renew^3*SUMIFS(AW1712:AW1726,B1712:B1726,B1715-36)+in_shop_renew^4*SUMIFS(AW1712:AW1726,B1712:B1726,B1715-48))</f>
        <v/>
      </c>
      <c r="AY1715" s="40">
        <f>AY1714*(1-IF(B1714&gt;=in_marketplace_from,d_hz_sip*G1714,0))</f>
        <v/>
      </c>
      <c r="AZ1715" s="40">
        <f>AZ1714*d_rho_sip+AY1715*IF(B1715&gt;=in_marketplace_from,d_hz_sip*G1715,0)</f>
        <v/>
      </c>
      <c r="BA1715" s="40">
        <f>d_rho_sip*(BA1714+AZ1714)</f>
        <v/>
      </c>
      <c r="BB1715" s="14">
        <f>F1715*in_sip_ticket*(BA1715+0.5*AZ1715)*in_sip_comm/12</f>
        <v/>
      </c>
      <c r="BC1715" s="40">
        <f>BC1714*(1-IF(B1714&gt;=in_marketplace_from,d_hz_choti*G1714,0))</f>
        <v/>
      </c>
      <c r="BD1715" s="46">
        <f>BC1715*IF(B1715&gt;=in_marketplace_from,d_hz_choti*G1715,0)</f>
        <v/>
      </c>
      <c r="BE1715" s="14">
        <f>F1715*SUMIFS(BD1712:BD1726,B1712:B1726,B1715-in_choti_months)*in_choti_renew*in_choti_ticket</f>
        <v/>
      </c>
      <c r="BF1715" s="40">
        <f>BF1714*(1-IF(B1714&gt;=in_marketplace_from,d_hz_nps*G1714,0))</f>
        <v/>
      </c>
      <c r="BG1715" s="14">
        <f>F1715*BF1715*IF(B1715&gt;=in_marketplace_from,d_hz_nps*G1715,0)*in_nps_ticket*in_nps_comm</f>
        <v/>
      </c>
      <c r="BH1715" s="40">
        <f>BH1714*(1-IF(B1714&gt;=in_marketplace_from,d_hz_gold*G1714,0))</f>
        <v/>
      </c>
      <c r="BI1715" s="40">
        <f>BI1714*d_rho_gold+BH1715*IF(B1715&gt;=in_marketplace_from,d_hz_gold*G1715,0)</f>
        <v/>
      </c>
      <c r="BJ1715" s="14">
        <f>F1715*BI1715*in_gold_ticket*in_gold_comm</f>
        <v/>
      </c>
      <c r="BK1715" s="40">
        <f>BK1714*(1-IF(B1714&gt;=in_marketplace_from,d_hz_fd*G1714,0))</f>
        <v/>
      </c>
      <c r="BL1715" s="14">
        <f>F1715*BK1715*IF(B1715&gt;=in_marketplace_from,d_hz_fd*G1715,0)*in_fd_ticket*in_fd_comm</f>
        <v/>
      </c>
      <c r="BM1715" s="40">
        <f>BM1714*(1-IF(B1714&gt;=in_marketplace_from,d_hz_recharge*G1714,0))</f>
        <v/>
      </c>
      <c r="BN1715" s="40">
        <f>BN1714*d_rho_recharge+BM1715*IF(B1715&gt;=in_marketplace_from,d_hz_recharge*G1715,0)</f>
        <v/>
      </c>
      <c r="BO1715" s="14">
        <f>F1715*BN1715*in_recharge_ticket*in_recharge_comm/12</f>
        <v/>
      </c>
      <c r="BP1715" s="40">
        <f>BP1714*(1-IF(B1714&gt;=in_marketplace_from,d_hz_bills*G1714,0))</f>
        <v/>
      </c>
      <c r="BQ1715" s="40">
        <f>BQ1714*d_rho_bills+BP1715*IF(B1715&gt;=in_marketplace_from,d_hz_bills*G1715,0)</f>
        <v/>
      </c>
      <c r="BR1715" s="14">
        <f>F1715*BQ1715*in_bills_ticket*in_bills_comm/12</f>
        <v/>
      </c>
      <c r="BS1715" s="40">
        <f>BS1714*(1-IF(B1714&gt;=in_marketplace_from,d_hz_loan_gold*G1714,0))</f>
        <v/>
      </c>
      <c r="BT1715" s="14">
        <f>F1715*BS1715*IF(B1715&gt;=in_marketplace_from,d_hz_loan_gold*G1715,0)*in_loan_gold_ticket*in_loan_gold_comm</f>
        <v/>
      </c>
      <c r="BU1715" s="40">
        <f>BU1714*(1-IF(B1714&gt;=in_marketplace_from,d_hz_loan_cd*G1714,0))</f>
        <v/>
      </c>
      <c r="BV1715" s="14">
        <f>F1715*BU1715*IF(B1715&gt;=in_marketplace_from,d_hz_loan_cd*G1715,0)*in_loan_cd_ticket*in_loan_cd_comm</f>
        <v/>
      </c>
      <c r="BW1715" s="40">
        <f>BW1714*(1-IF(B1714&gt;=in_marketplace_from,d_hz_loan_vehicle*G1714,0))</f>
        <v/>
      </c>
      <c r="BX1715" s="14">
        <f>F1715*BW1715*IF(B1715&gt;=in_marketplace_from,d_hz_loan_vehicle*G1715,0)*in_loan_vehicle_ticket*in_loan_vehicle_comm</f>
        <v/>
      </c>
      <c r="BY1715" s="40">
        <f>BY1714*(1-IF(B1714&gt;=in_marketplace_from,d_hz_loan_home*G1714,0)*BZ1714)</f>
        <v/>
      </c>
      <c r="BZ1715" s="11">
        <f>MIN(in_approval_cap,in_loan_home_approval*INDEX('Age profile'!$O$2:$O$61,B1715)*(1+in_approval_growth)^(D1715-1))</f>
        <v/>
      </c>
      <c r="CA1715" s="14">
        <f>F1715*BY1715*IF(B1715&gt;=in_marketplace_from,d_hz_loan_home*G1715,0)*BZ1715*in_loan_home_ticket*in_loan_home_comm</f>
        <v/>
      </c>
      <c r="CB1715" s="40">
        <f>CB1714*(1-IF(B1714&gt;=in_marketplace_from,d_hz_loan_lap*G1714,0)*CC1714)</f>
        <v/>
      </c>
      <c r="CC1715" s="11">
        <f>MIN(in_approval_cap,in_loan_lap_approval*INDEX('Age profile'!$O$2:$O$61,B1715)*(1+in_approval_growth)^(D1715-1))</f>
        <v/>
      </c>
      <c r="CD1715" s="14">
        <f>F1715*CB1715*IF(B1715&gt;=in_marketplace_from,d_hz_loan_lap*G1715,0)*CC1715*in_loan_lap_ticket*in_loan_lap_comm</f>
        <v/>
      </c>
      <c r="CE1715" s="14">
        <f>AA1715+AB1715+AC1715+AD1715+AG1715+AJ1715+AM1715+AP1715+AS1715+AU1715+AX1715+BB1715+BE1715+BG1715+BJ1715+BL1715+BO1715+BR1715+BT1715+BV1715+BX1715+CA1715+CD1715</f>
        <v/>
      </c>
    </row>
    <row r="1716">
      <c r="A1716" s="39" t="n">
        <v>46</v>
      </c>
      <c r="B1716" s="39" t="n">
        <v>5</v>
      </c>
      <c r="C1716" s="39">
        <f>A1716+B1716-1</f>
        <v/>
      </c>
      <c r="D1716" s="39">
        <f>INT((C1716-1)/12)+1</f>
        <v/>
      </c>
      <c r="E1716" s="44">
        <f>INDEX(Monthly!$B$2:$B$61,A1716)</f>
        <v/>
      </c>
      <c r="F1716" s="44">
        <f>E1716*INDEX('Age profile'!$B$2:$B$61,B1716)</f>
        <v/>
      </c>
      <c r="G1716" s="45">
        <f>MIN(in_takeup_cap,INDEX('Age profile'!$N$2:$N$61,B1716)*(1+in_takeup_growth)^(D1716-1))</f>
        <v/>
      </c>
      <c r="H1716" s="11">
        <f>MIN(in_approval_cap,in_approved_first*INDEX('Age profile'!$O$2:$O$61,B1716)*(1+in_approval_growth)^(D1716-1))</f>
        <v/>
      </c>
      <c r="I1716" s="45">
        <f>G1716*MIN(in_takeup_cap,INDEX('Age profile'!$O$2:$O$61,B1716)*(1+in_approval_growth)^(D1716-1))</f>
        <v/>
      </c>
      <c r="J1716" s="40">
        <f>(J1715-L1715)*F1716/F1715</f>
        <v/>
      </c>
      <c r="K1716" s="40">
        <f>(K1715-M1715)*F1716/F1715+SUMIFS(O1712:O1715,B1712:B1715,B1716-1-d_T)*F1716</f>
        <v/>
      </c>
      <c r="L1716" s="40">
        <f>IF(B1716&gt;=in_marketplace_from,J1716*d_hz*G1716*in_eligible*H1716,0)</f>
        <v/>
      </c>
      <c r="M1716" s="40">
        <f>IF(B1716&gt;=in_marketplace_from,K1716*d_hz*G1716*in_eligible*in_approved_repeat,0)</f>
        <v/>
      </c>
      <c r="N1716" s="40">
        <f>L1716+M1716</f>
        <v/>
      </c>
      <c r="O1716" s="46">
        <f>N1716/F1716</f>
        <v/>
      </c>
      <c r="P1716" s="40">
        <f>F1716-J1716-K1716</f>
        <v/>
      </c>
      <c r="Q1716" s="40">
        <f>IF(B1716&gt;=in_marketplace_from,(J1716+K1716)*d_hz*G1716,0)</f>
        <v/>
      </c>
      <c r="R1716" s="40">
        <f>SUMIFS(N1712:N1726,B1712:B1726,"&gt;="&amp;(B1716-d_T),B1712:B1726,"&lt;="&amp;(B1716-1))</f>
        <v/>
      </c>
      <c r="S1716" s="46">
        <f>(1-d_u)*S1715+IF(d_T&gt;in_topup_lag,SUMIFS(O1712:O1726,B1712:B1726,B1716-in_topup_lag)-d_udrop*SUMIFS(O1712:O1726,B1712:B1726,B1716-d_T),0)</f>
        <v/>
      </c>
      <c r="T1716" s="40">
        <f>F1716*d_u*S1716</f>
        <v/>
      </c>
      <c r="U1716" s="9">
        <f>L1716*in_ticket+M1716*d_rep_ticket</f>
        <v/>
      </c>
      <c r="V1716" s="9">
        <f>U1716+T1716*d_topup_amt</f>
        <v/>
      </c>
      <c r="W1716" s="40">
        <f>N1716+T1716*d_topup_ratio</f>
        <v/>
      </c>
      <c r="X1716" s="40">
        <f>SUMIFS(W1712:W1726,B1712:B1726,B1716-in_dpd_lag)*d_cured</f>
        <v/>
      </c>
      <c r="Y1716" s="40">
        <f>SUMIFS(W1712:W1726,B1712:B1726,B1716-in_rec_lag)*d_recd</f>
        <v/>
      </c>
      <c r="Z1716" s="40">
        <f>IF(AND(B1716&gt;=in_marketplace_from,B1716&lt;in_marketplace_from+in_card_months),in_card_share/in_card_months*F1716*I1716,IF(AND(B1716&gt;=in_marketplace_from+in_card_months,B1716&lt;in_marketplace_from+2*in_card_months),in_card_share*d_card_rem/in_card_months*F1716*MIN(in_takeup_cap,(1+in_takeup_growth)^(D1716-1))*MIN(in_takeup_cap,(1+in_approval_growth)^(D1716-1)),0))</f>
        <v/>
      </c>
      <c r="AA1716" s="14">
        <f>V1716*in_fee*(1-in_taken_back)</f>
        <v/>
      </c>
      <c r="AB1716" s="14">
        <f>SUMIFS(W1712:W1726,B1712:B1726,B1716-in_dpd_lag)*d_dpd</f>
        <v/>
      </c>
      <c r="AC1716" s="14">
        <f>SUMIFS(W1712:W1726,B1712:B1726,B1716-in_rec_lag)*d_rec</f>
        <v/>
      </c>
      <c r="AD1716" s="14">
        <f>Z1716*in_card_fee</f>
        <v/>
      </c>
      <c r="AE1716" s="40">
        <f>AE1715*(1-IF(B1715&gt;=in_marketplace_from,d_hz_hlth_small*G1715,0))</f>
        <v/>
      </c>
      <c r="AF1716" s="46">
        <f>AE1716*IF(B1716&gt;=in_marketplace_from,d_hz_hlth_small*G1716,0)</f>
        <v/>
      </c>
      <c r="AG1716" s="14">
        <f>F1716*AF1716*in_hlth_small_ticket*in_hlth_small_comm*in_ins_partner_share+F1716*in_hlth_small_ticket*in_hlth_small_renew_comm*in_ins_partner_share*(in_hlth_small_renew^1*SUMIFS(AF1712:AF1726,B1712:B1726,B1716-12)+in_hlth_small_renew^2*SUMIFS(AF1712:AF1726,B1712:B1726,B1716-24)+in_hlth_small_renew^3*SUMIFS(AF1712:AF1726,B1712:B1726,B1716-36)+in_hlth_small_renew^4*SUMIFS(AF1712:AF1726,B1712:B1726,B1716-48))</f>
        <v/>
      </c>
      <c r="AH1716" s="40">
        <f>AH1715*(1-IF(B1715&gt;=in_marketplace_from,d_hz_hlth_family*G1715,0))</f>
        <v/>
      </c>
      <c r="AI1716" s="46">
        <f>AH1716*IF(B1716&gt;=in_marketplace_from,d_hz_hlth_family*G1716,0)</f>
        <v/>
      </c>
      <c r="AJ1716" s="14">
        <f>F1716*AI1716*in_hlth_family_ticket*in_hlth_family_comm*in_ins_partner_share+F1716*in_hlth_family_ticket*in_hlth_family_renew_comm*in_ins_partner_share*(in_hlth_family_renew^1*SUMIFS(AI1712:AI1726,B1712:B1726,B1716-12)+in_hlth_family_renew^2*SUMIFS(AI1712:AI1726,B1712:B1726,B1716-24)+in_hlth_family_renew^3*SUMIFS(AI1712:AI1726,B1712:B1726,B1716-36)+in_hlth_family_renew^4*SUMIFS(AI1712:AI1726,B1712:B1726,B1716-48))</f>
        <v/>
      </c>
      <c r="AK1716" s="40">
        <f>AK1715*(1-IF(B1715&gt;=in_marketplace_from,d_hz_life_term*G1715,0))</f>
        <v/>
      </c>
      <c r="AL1716" s="46">
        <f>AK1716*IF(B1716&gt;=in_marketplace_from,d_hz_life_term*G1716,0)</f>
        <v/>
      </c>
      <c r="AM1716" s="14">
        <f>F1716*AL1716*in_life_term_ticket*in_life_term_comm*in_ins_partner_share+F1716*in_life_term_ticket*in_life_term_renew_comm*in_ins_partner_share*(in_life_term_renew^1*SUMIFS(AL1712:AL1726,B1712:B1726,B1716-12)+in_life_term_renew^2*SUMIFS(AL1712:AL1726,B1712:B1726,B1716-24)+in_life_term_renew^3*SUMIFS(AL1712:AL1726,B1712:B1726,B1716-36)+in_life_term_renew^4*SUMIFS(AL1712:AL1726,B1712:B1726,B1716-48))</f>
        <v/>
      </c>
      <c r="AN1716" s="40">
        <f>AN1715*(1-IF(B1715&gt;=in_marketplace_from,d_hz_accident*G1715,0))</f>
        <v/>
      </c>
      <c r="AO1716" s="46">
        <f>AN1716*IF(B1716&gt;=in_marketplace_from,d_hz_accident*G1716,0)</f>
        <v/>
      </c>
      <c r="AP1716" s="14">
        <f>F1716*AO1716*in_accident_ticket*in_accident_comm*in_ins_partner_share+F1716*in_accident_ticket*in_accident_renew_comm*in_ins_partner_share*(in_accident_renew^1*SUMIFS(AO1712:AO1726,B1712:B1726,B1716-12)+in_accident_renew^2*SUMIFS(AO1712:AO1726,B1712:B1726,B1716-24)+in_accident_renew^3*SUMIFS(AO1712:AO1726,B1712:B1726,B1716-36)+in_accident_renew^4*SUMIFS(AO1712:AO1726,B1712:B1726,B1716-48))</f>
        <v/>
      </c>
      <c r="AQ1716" s="40">
        <f>AQ1715*(1-IF(B1715&gt;=in_marketplace_from,d_hz_two_wheeler*G1715,0))</f>
        <v/>
      </c>
      <c r="AR1716" s="46">
        <f>AQ1716*IF(B1716&gt;=in_marketplace_from,d_hz_two_wheeler*G1716,0)</f>
        <v/>
      </c>
      <c r="AS1716" s="14">
        <f>F1716*AR1716*in_two_wheeler_ticket*in_two_wheeler_comm*in_ins_partner_share+F1716*in_two_wheeler_ticket*in_two_wheeler_comm*in_ins_partner_share*(in_two_wheeler_renew^1*SUMIFS(AR1712:AR1726,B1712:B1726,B1716-12)+in_two_wheeler_renew^2*SUMIFS(AR1712:AR1726,B1712:B1726,B1716-24)+in_two_wheeler_renew^3*SUMIFS(AR1712:AR1726,B1712:B1726,B1716-36)+in_two_wheeler_renew^4*SUMIFS(AR1712:AR1726,B1712:B1726,B1716-48))</f>
        <v/>
      </c>
      <c r="AT1716" s="40">
        <f>AT1715*(1-IF(B1715&gt;=in_marketplace_from,d_hz_device*G1715,0))</f>
        <v/>
      </c>
      <c r="AU1716" s="14">
        <f>F1716*AT1716*IF(B1716&gt;=in_marketplace_from,d_hz_device*G1716,0)*in_device_ticket*in_device_comm*in_ins_partner_share</f>
        <v/>
      </c>
      <c r="AV1716" s="40">
        <f>AV1715*(1-IF(B1715&gt;=in_marketplace_from,d_hz_shop*G1715,0))</f>
        <v/>
      </c>
      <c r="AW1716" s="46">
        <f>AV1716*IF(B1716&gt;=in_marketplace_from,d_hz_shop*G1716,0)</f>
        <v/>
      </c>
      <c r="AX1716" s="14">
        <f>F1716*AW1716*in_shop_ticket*in_shop_comm*in_ins_partner_share+F1716*in_shop_ticket*in_shop_renew_comm*in_ins_partner_share*(in_shop_renew^1*SUMIFS(AW1712:AW1726,B1712:B1726,B1716-12)+in_shop_renew^2*SUMIFS(AW1712:AW1726,B1712:B1726,B1716-24)+in_shop_renew^3*SUMIFS(AW1712:AW1726,B1712:B1726,B1716-36)+in_shop_renew^4*SUMIFS(AW1712:AW1726,B1712:B1726,B1716-48))</f>
        <v/>
      </c>
      <c r="AY1716" s="40">
        <f>AY1715*(1-IF(B1715&gt;=in_marketplace_from,d_hz_sip*G1715,0))</f>
        <v/>
      </c>
      <c r="AZ1716" s="40">
        <f>AZ1715*d_rho_sip+AY1716*IF(B1716&gt;=in_marketplace_from,d_hz_sip*G1716,0)</f>
        <v/>
      </c>
      <c r="BA1716" s="40">
        <f>d_rho_sip*(BA1715+AZ1715)</f>
        <v/>
      </c>
      <c r="BB1716" s="14">
        <f>F1716*in_sip_ticket*(BA1716+0.5*AZ1716)*in_sip_comm/12</f>
        <v/>
      </c>
      <c r="BC1716" s="40">
        <f>BC1715*(1-IF(B1715&gt;=in_marketplace_from,d_hz_choti*G1715,0))</f>
        <v/>
      </c>
      <c r="BD1716" s="46">
        <f>BC1716*IF(B1716&gt;=in_marketplace_from,d_hz_choti*G1716,0)</f>
        <v/>
      </c>
      <c r="BE1716" s="14">
        <f>F1716*SUMIFS(BD1712:BD1726,B1712:B1726,B1716-in_choti_months)*in_choti_renew*in_choti_ticket</f>
        <v/>
      </c>
      <c r="BF1716" s="40">
        <f>BF1715*(1-IF(B1715&gt;=in_marketplace_from,d_hz_nps*G1715,0))</f>
        <v/>
      </c>
      <c r="BG1716" s="14">
        <f>F1716*BF1716*IF(B1716&gt;=in_marketplace_from,d_hz_nps*G1716,0)*in_nps_ticket*in_nps_comm</f>
        <v/>
      </c>
      <c r="BH1716" s="40">
        <f>BH1715*(1-IF(B1715&gt;=in_marketplace_from,d_hz_gold*G1715,0))</f>
        <v/>
      </c>
      <c r="BI1716" s="40">
        <f>BI1715*d_rho_gold+BH1716*IF(B1716&gt;=in_marketplace_from,d_hz_gold*G1716,0)</f>
        <v/>
      </c>
      <c r="BJ1716" s="14">
        <f>F1716*BI1716*in_gold_ticket*in_gold_comm</f>
        <v/>
      </c>
      <c r="BK1716" s="40">
        <f>BK1715*(1-IF(B1715&gt;=in_marketplace_from,d_hz_fd*G1715,0))</f>
        <v/>
      </c>
      <c r="BL1716" s="14">
        <f>F1716*BK1716*IF(B1716&gt;=in_marketplace_from,d_hz_fd*G1716,0)*in_fd_ticket*in_fd_comm</f>
        <v/>
      </c>
      <c r="BM1716" s="40">
        <f>BM1715*(1-IF(B1715&gt;=in_marketplace_from,d_hz_recharge*G1715,0))</f>
        <v/>
      </c>
      <c r="BN1716" s="40">
        <f>BN1715*d_rho_recharge+BM1716*IF(B1716&gt;=in_marketplace_from,d_hz_recharge*G1716,0)</f>
        <v/>
      </c>
      <c r="BO1716" s="14">
        <f>F1716*BN1716*in_recharge_ticket*in_recharge_comm/12</f>
        <v/>
      </c>
      <c r="BP1716" s="40">
        <f>BP1715*(1-IF(B1715&gt;=in_marketplace_from,d_hz_bills*G1715,0))</f>
        <v/>
      </c>
      <c r="BQ1716" s="40">
        <f>BQ1715*d_rho_bills+BP1716*IF(B1716&gt;=in_marketplace_from,d_hz_bills*G1716,0)</f>
        <v/>
      </c>
      <c r="BR1716" s="14">
        <f>F1716*BQ1716*in_bills_ticket*in_bills_comm/12</f>
        <v/>
      </c>
      <c r="BS1716" s="40">
        <f>BS1715*(1-IF(B1715&gt;=in_marketplace_from,d_hz_loan_gold*G1715,0))</f>
        <v/>
      </c>
      <c r="BT1716" s="14">
        <f>F1716*BS1716*IF(B1716&gt;=in_marketplace_from,d_hz_loan_gold*G1716,0)*in_loan_gold_ticket*in_loan_gold_comm</f>
        <v/>
      </c>
      <c r="BU1716" s="40">
        <f>BU1715*(1-IF(B1715&gt;=in_marketplace_from,d_hz_loan_cd*G1715,0))</f>
        <v/>
      </c>
      <c r="BV1716" s="14">
        <f>F1716*BU1716*IF(B1716&gt;=in_marketplace_from,d_hz_loan_cd*G1716,0)*in_loan_cd_ticket*in_loan_cd_comm</f>
        <v/>
      </c>
      <c r="BW1716" s="40">
        <f>BW1715*(1-IF(B1715&gt;=in_marketplace_from,d_hz_loan_vehicle*G1715,0))</f>
        <v/>
      </c>
      <c r="BX1716" s="14">
        <f>F1716*BW1716*IF(B1716&gt;=in_marketplace_from,d_hz_loan_vehicle*G1716,0)*in_loan_vehicle_ticket*in_loan_vehicle_comm</f>
        <v/>
      </c>
      <c r="BY1716" s="40">
        <f>BY1715*(1-IF(B1715&gt;=in_marketplace_from,d_hz_loan_home*G1715,0)*BZ1715)</f>
        <v/>
      </c>
      <c r="BZ1716" s="11">
        <f>MIN(in_approval_cap,in_loan_home_approval*INDEX('Age profile'!$O$2:$O$61,B1716)*(1+in_approval_growth)^(D1716-1))</f>
        <v/>
      </c>
      <c r="CA1716" s="14">
        <f>F1716*BY1716*IF(B1716&gt;=in_marketplace_from,d_hz_loan_home*G1716,0)*BZ1716*in_loan_home_ticket*in_loan_home_comm</f>
        <v/>
      </c>
      <c r="CB1716" s="40">
        <f>CB1715*(1-IF(B1715&gt;=in_marketplace_from,d_hz_loan_lap*G1715,0)*CC1715)</f>
        <v/>
      </c>
      <c r="CC1716" s="11">
        <f>MIN(in_approval_cap,in_loan_lap_approval*INDEX('Age profile'!$O$2:$O$61,B1716)*(1+in_approval_growth)^(D1716-1))</f>
        <v/>
      </c>
      <c r="CD1716" s="14">
        <f>F1716*CB1716*IF(B1716&gt;=in_marketplace_from,d_hz_loan_lap*G1716,0)*CC1716*in_loan_lap_ticket*in_loan_lap_comm</f>
        <v/>
      </c>
      <c r="CE1716" s="14">
        <f>AA1716+AB1716+AC1716+AD1716+AG1716+AJ1716+AM1716+AP1716+AS1716+AU1716+AX1716+BB1716+BE1716+BG1716+BJ1716+BL1716+BO1716+BR1716+BT1716+BV1716+BX1716+CA1716+CD1716</f>
        <v/>
      </c>
    </row>
    <row r="1717">
      <c r="A1717" s="39" t="n">
        <v>46</v>
      </c>
      <c r="B1717" s="39" t="n">
        <v>6</v>
      </c>
      <c r="C1717" s="39">
        <f>A1717+B1717-1</f>
        <v/>
      </c>
      <c r="D1717" s="39">
        <f>INT((C1717-1)/12)+1</f>
        <v/>
      </c>
      <c r="E1717" s="44">
        <f>INDEX(Monthly!$B$2:$B$61,A1717)</f>
        <v/>
      </c>
      <c r="F1717" s="44">
        <f>E1717*INDEX('Age profile'!$B$2:$B$61,B1717)</f>
        <v/>
      </c>
      <c r="G1717" s="45">
        <f>MIN(in_takeup_cap,INDEX('Age profile'!$N$2:$N$61,B1717)*(1+in_takeup_growth)^(D1717-1))</f>
        <v/>
      </c>
      <c r="H1717" s="11">
        <f>MIN(in_approval_cap,in_approved_first*INDEX('Age profile'!$O$2:$O$61,B1717)*(1+in_approval_growth)^(D1717-1))</f>
        <v/>
      </c>
      <c r="I1717" s="45">
        <f>G1717*MIN(in_takeup_cap,INDEX('Age profile'!$O$2:$O$61,B1717)*(1+in_approval_growth)^(D1717-1))</f>
        <v/>
      </c>
      <c r="J1717" s="40">
        <f>(J1716-L1716)*F1717/F1716</f>
        <v/>
      </c>
      <c r="K1717" s="40">
        <f>(K1716-M1716)*F1717/F1716+SUMIFS(O1712:O1716,B1712:B1716,B1717-1-d_T)*F1717</f>
        <v/>
      </c>
      <c r="L1717" s="40">
        <f>IF(B1717&gt;=in_marketplace_from,J1717*d_hz*G1717*in_eligible*H1717,0)</f>
        <v/>
      </c>
      <c r="M1717" s="40">
        <f>IF(B1717&gt;=in_marketplace_from,K1717*d_hz*G1717*in_eligible*in_approved_repeat,0)</f>
        <v/>
      </c>
      <c r="N1717" s="40">
        <f>L1717+M1717</f>
        <v/>
      </c>
      <c r="O1717" s="46">
        <f>N1717/F1717</f>
        <v/>
      </c>
      <c r="P1717" s="40">
        <f>F1717-J1717-K1717</f>
        <v/>
      </c>
      <c r="Q1717" s="40">
        <f>IF(B1717&gt;=in_marketplace_from,(J1717+K1717)*d_hz*G1717,0)</f>
        <v/>
      </c>
      <c r="R1717" s="40">
        <f>SUMIFS(N1712:N1726,B1712:B1726,"&gt;="&amp;(B1717-d_T),B1712:B1726,"&lt;="&amp;(B1717-1))</f>
        <v/>
      </c>
      <c r="S1717" s="46">
        <f>(1-d_u)*S1716+IF(d_T&gt;in_topup_lag,SUMIFS(O1712:O1726,B1712:B1726,B1717-in_topup_lag)-d_udrop*SUMIFS(O1712:O1726,B1712:B1726,B1717-d_T),0)</f>
        <v/>
      </c>
      <c r="T1717" s="40">
        <f>F1717*d_u*S1717</f>
        <v/>
      </c>
      <c r="U1717" s="9">
        <f>L1717*in_ticket+M1717*d_rep_ticket</f>
        <v/>
      </c>
      <c r="V1717" s="9">
        <f>U1717+T1717*d_topup_amt</f>
        <v/>
      </c>
      <c r="W1717" s="40">
        <f>N1717+T1717*d_topup_ratio</f>
        <v/>
      </c>
      <c r="X1717" s="40">
        <f>SUMIFS(W1712:W1726,B1712:B1726,B1717-in_dpd_lag)*d_cured</f>
        <v/>
      </c>
      <c r="Y1717" s="40">
        <f>SUMIFS(W1712:W1726,B1712:B1726,B1717-in_rec_lag)*d_recd</f>
        <v/>
      </c>
      <c r="Z1717" s="40">
        <f>IF(AND(B1717&gt;=in_marketplace_from,B1717&lt;in_marketplace_from+in_card_months),in_card_share/in_card_months*F1717*I1717,IF(AND(B1717&gt;=in_marketplace_from+in_card_months,B1717&lt;in_marketplace_from+2*in_card_months),in_card_share*d_card_rem/in_card_months*F1717*MIN(in_takeup_cap,(1+in_takeup_growth)^(D1717-1))*MIN(in_takeup_cap,(1+in_approval_growth)^(D1717-1)),0))</f>
        <v/>
      </c>
      <c r="AA1717" s="14">
        <f>V1717*in_fee*(1-in_taken_back)</f>
        <v/>
      </c>
      <c r="AB1717" s="14">
        <f>SUMIFS(W1712:W1726,B1712:B1726,B1717-in_dpd_lag)*d_dpd</f>
        <v/>
      </c>
      <c r="AC1717" s="14">
        <f>SUMIFS(W1712:W1726,B1712:B1726,B1717-in_rec_lag)*d_rec</f>
        <v/>
      </c>
      <c r="AD1717" s="14">
        <f>Z1717*in_card_fee</f>
        <v/>
      </c>
      <c r="AE1717" s="40">
        <f>AE1716*(1-IF(B1716&gt;=in_marketplace_from,d_hz_hlth_small*G1716,0))</f>
        <v/>
      </c>
      <c r="AF1717" s="46">
        <f>AE1717*IF(B1717&gt;=in_marketplace_from,d_hz_hlth_small*G1717,0)</f>
        <v/>
      </c>
      <c r="AG1717" s="14">
        <f>F1717*AF1717*in_hlth_small_ticket*in_hlth_small_comm*in_ins_partner_share+F1717*in_hlth_small_ticket*in_hlth_small_renew_comm*in_ins_partner_share*(in_hlth_small_renew^1*SUMIFS(AF1712:AF1726,B1712:B1726,B1717-12)+in_hlth_small_renew^2*SUMIFS(AF1712:AF1726,B1712:B1726,B1717-24)+in_hlth_small_renew^3*SUMIFS(AF1712:AF1726,B1712:B1726,B1717-36)+in_hlth_small_renew^4*SUMIFS(AF1712:AF1726,B1712:B1726,B1717-48))</f>
        <v/>
      </c>
      <c r="AH1717" s="40">
        <f>AH1716*(1-IF(B1716&gt;=in_marketplace_from,d_hz_hlth_family*G1716,0))</f>
        <v/>
      </c>
      <c r="AI1717" s="46">
        <f>AH1717*IF(B1717&gt;=in_marketplace_from,d_hz_hlth_family*G1717,0)</f>
        <v/>
      </c>
      <c r="AJ1717" s="14">
        <f>F1717*AI1717*in_hlth_family_ticket*in_hlth_family_comm*in_ins_partner_share+F1717*in_hlth_family_ticket*in_hlth_family_renew_comm*in_ins_partner_share*(in_hlth_family_renew^1*SUMIFS(AI1712:AI1726,B1712:B1726,B1717-12)+in_hlth_family_renew^2*SUMIFS(AI1712:AI1726,B1712:B1726,B1717-24)+in_hlth_family_renew^3*SUMIFS(AI1712:AI1726,B1712:B1726,B1717-36)+in_hlth_family_renew^4*SUMIFS(AI1712:AI1726,B1712:B1726,B1717-48))</f>
        <v/>
      </c>
      <c r="AK1717" s="40">
        <f>AK1716*(1-IF(B1716&gt;=in_marketplace_from,d_hz_life_term*G1716,0))</f>
        <v/>
      </c>
      <c r="AL1717" s="46">
        <f>AK1717*IF(B1717&gt;=in_marketplace_from,d_hz_life_term*G1717,0)</f>
        <v/>
      </c>
      <c r="AM1717" s="14">
        <f>F1717*AL1717*in_life_term_ticket*in_life_term_comm*in_ins_partner_share+F1717*in_life_term_ticket*in_life_term_renew_comm*in_ins_partner_share*(in_life_term_renew^1*SUMIFS(AL1712:AL1726,B1712:B1726,B1717-12)+in_life_term_renew^2*SUMIFS(AL1712:AL1726,B1712:B1726,B1717-24)+in_life_term_renew^3*SUMIFS(AL1712:AL1726,B1712:B1726,B1717-36)+in_life_term_renew^4*SUMIFS(AL1712:AL1726,B1712:B1726,B1717-48))</f>
        <v/>
      </c>
      <c r="AN1717" s="40">
        <f>AN1716*(1-IF(B1716&gt;=in_marketplace_from,d_hz_accident*G1716,0))</f>
        <v/>
      </c>
      <c r="AO1717" s="46">
        <f>AN1717*IF(B1717&gt;=in_marketplace_from,d_hz_accident*G1717,0)</f>
        <v/>
      </c>
      <c r="AP1717" s="14">
        <f>F1717*AO1717*in_accident_ticket*in_accident_comm*in_ins_partner_share+F1717*in_accident_ticket*in_accident_renew_comm*in_ins_partner_share*(in_accident_renew^1*SUMIFS(AO1712:AO1726,B1712:B1726,B1717-12)+in_accident_renew^2*SUMIFS(AO1712:AO1726,B1712:B1726,B1717-24)+in_accident_renew^3*SUMIFS(AO1712:AO1726,B1712:B1726,B1717-36)+in_accident_renew^4*SUMIFS(AO1712:AO1726,B1712:B1726,B1717-48))</f>
        <v/>
      </c>
      <c r="AQ1717" s="40">
        <f>AQ1716*(1-IF(B1716&gt;=in_marketplace_from,d_hz_two_wheeler*G1716,0))</f>
        <v/>
      </c>
      <c r="AR1717" s="46">
        <f>AQ1717*IF(B1717&gt;=in_marketplace_from,d_hz_two_wheeler*G1717,0)</f>
        <v/>
      </c>
      <c r="AS1717" s="14">
        <f>F1717*AR1717*in_two_wheeler_ticket*in_two_wheeler_comm*in_ins_partner_share+F1717*in_two_wheeler_ticket*in_two_wheeler_comm*in_ins_partner_share*(in_two_wheeler_renew^1*SUMIFS(AR1712:AR1726,B1712:B1726,B1717-12)+in_two_wheeler_renew^2*SUMIFS(AR1712:AR1726,B1712:B1726,B1717-24)+in_two_wheeler_renew^3*SUMIFS(AR1712:AR1726,B1712:B1726,B1717-36)+in_two_wheeler_renew^4*SUMIFS(AR1712:AR1726,B1712:B1726,B1717-48))</f>
        <v/>
      </c>
      <c r="AT1717" s="40">
        <f>AT1716*(1-IF(B1716&gt;=in_marketplace_from,d_hz_device*G1716,0))</f>
        <v/>
      </c>
      <c r="AU1717" s="14">
        <f>F1717*AT1717*IF(B1717&gt;=in_marketplace_from,d_hz_device*G1717,0)*in_device_ticket*in_device_comm*in_ins_partner_share</f>
        <v/>
      </c>
      <c r="AV1717" s="40">
        <f>AV1716*(1-IF(B1716&gt;=in_marketplace_from,d_hz_shop*G1716,0))</f>
        <v/>
      </c>
      <c r="AW1717" s="46">
        <f>AV1717*IF(B1717&gt;=in_marketplace_from,d_hz_shop*G1717,0)</f>
        <v/>
      </c>
      <c r="AX1717" s="14">
        <f>F1717*AW1717*in_shop_ticket*in_shop_comm*in_ins_partner_share+F1717*in_shop_ticket*in_shop_renew_comm*in_ins_partner_share*(in_shop_renew^1*SUMIFS(AW1712:AW1726,B1712:B1726,B1717-12)+in_shop_renew^2*SUMIFS(AW1712:AW1726,B1712:B1726,B1717-24)+in_shop_renew^3*SUMIFS(AW1712:AW1726,B1712:B1726,B1717-36)+in_shop_renew^4*SUMIFS(AW1712:AW1726,B1712:B1726,B1717-48))</f>
        <v/>
      </c>
      <c r="AY1717" s="40">
        <f>AY1716*(1-IF(B1716&gt;=in_marketplace_from,d_hz_sip*G1716,0))</f>
        <v/>
      </c>
      <c r="AZ1717" s="40">
        <f>AZ1716*d_rho_sip+AY1717*IF(B1717&gt;=in_marketplace_from,d_hz_sip*G1717,0)</f>
        <v/>
      </c>
      <c r="BA1717" s="40">
        <f>d_rho_sip*(BA1716+AZ1716)</f>
        <v/>
      </c>
      <c r="BB1717" s="14">
        <f>F1717*in_sip_ticket*(BA1717+0.5*AZ1717)*in_sip_comm/12</f>
        <v/>
      </c>
      <c r="BC1717" s="40">
        <f>BC1716*(1-IF(B1716&gt;=in_marketplace_from,d_hz_choti*G1716,0))</f>
        <v/>
      </c>
      <c r="BD1717" s="46">
        <f>BC1717*IF(B1717&gt;=in_marketplace_from,d_hz_choti*G1717,0)</f>
        <v/>
      </c>
      <c r="BE1717" s="14">
        <f>F1717*SUMIFS(BD1712:BD1726,B1712:B1726,B1717-in_choti_months)*in_choti_renew*in_choti_ticket</f>
        <v/>
      </c>
      <c r="BF1717" s="40">
        <f>BF1716*(1-IF(B1716&gt;=in_marketplace_from,d_hz_nps*G1716,0))</f>
        <v/>
      </c>
      <c r="BG1717" s="14">
        <f>F1717*BF1717*IF(B1717&gt;=in_marketplace_from,d_hz_nps*G1717,0)*in_nps_ticket*in_nps_comm</f>
        <v/>
      </c>
      <c r="BH1717" s="40">
        <f>BH1716*(1-IF(B1716&gt;=in_marketplace_from,d_hz_gold*G1716,0))</f>
        <v/>
      </c>
      <c r="BI1717" s="40">
        <f>BI1716*d_rho_gold+BH1717*IF(B1717&gt;=in_marketplace_from,d_hz_gold*G1717,0)</f>
        <v/>
      </c>
      <c r="BJ1717" s="14">
        <f>F1717*BI1717*in_gold_ticket*in_gold_comm</f>
        <v/>
      </c>
      <c r="BK1717" s="40">
        <f>BK1716*(1-IF(B1716&gt;=in_marketplace_from,d_hz_fd*G1716,0))</f>
        <v/>
      </c>
      <c r="BL1717" s="14">
        <f>F1717*BK1717*IF(B1717&gt;=in_marketplace_from,d_hz_fd*G1717,0)*in_fd_ticket*in_fd_comm</f>
        <v/>
      </c>
      <c r="BM1717" s="40">
        <f>BM1716*(1-IF(B1716&gt;=in_marketplace_from,d_hz_recharge*G1716,0))</f>
        <v/>
      </c>
      <c r="BN1717" s="40">
        <f>BN1716*d_rho_recharge+BM1717*IF(B1717&gt;=in_marketplace_from,d_hz_recharge*G1717,0)</f>
        <v/>
      </c>
      <c r="BO1717" s="14">
        <f>F1717*BN1717*in_recharge_ticket*in_recharge_comm/12</f>
        <v/>
      </c>
      <c r="BP1717" s="40">
        <f>BP1716*(1-IF(B1716&gt;=in_marketplace_from,d_hz_bills*G1716,0))</f>
        <v/>
      </c>
      <c r="BQ1717" s="40">
        <f>BQ1716*d_rho_bills+BP1717*IF(B1717&gt;=in_marketplace_from,d_hz_bills*G1717,0)</f>
        <v/>
      </c>
      <c r="BR1717" s="14">
        <f>F1717*BQ1717*in_bills_ticket*in_bills_comm/12</f>
        <v/>
      </c>
      <c r="BS1717" s="40">
        <f>BS1716*(1-IF(B1716&gt;=in_marketplace_from,d_hz_loan_gold*G1716,0))</f>
        <v/>
      </c>
      <c r="BT1717" s="14">
        <f>F1717*BS1717*IF(B1717&gt;=in_marketplace_from,d_hz_loan_gold*G1717,0)*in_loan_gold_ticket*in_loan_gold_comm</f>
        <v/>
      </c>
      <c r="BU1717" s="40">
        <f>BU1716*(1-IF(B1716&gt;=in_marketplace_from,d_hz_loan_cd*G1716,0))</f>
        <v/>
      </c>
      <c r="BV1717" s="14">
        <f>F1717*BU1717*IF(B1717&gt;=in_marketplace_from,d_hz_loan_cd*G1717,0)*in_loan_cd_ticket*in_loan_cd_comm</f>
        <v/>
      </c>
      <c r="BW1717" s="40">
        <f>BW1716*(1-IF(B1716&gt;=in_marketplace_from,d_hz_loan_vehicle*G1716,0))</f>
        <v/>
      </c>
      <c r="BX1717" s="14">
        <f>F1717*BW1717*IF(B1717&gt;=in_marketplace_from,d_hz_loan_vehicle*G1717,0)*in_loan_vehicle_ticket*in_loan_vehicle_comm</f>
        <v/>
      </c>
      <c r="BY1717" s="40">
        <f>BY1716*(1-IF(B1716&gt;=in_marketplace_from,d_hz_loan_home*G1716,0)*BZ1716)</f>
        <v/>
      </c>
      <c r="BZ1717" s="11">
        <f>MIN(in_approval_cap,in_loan_home_approval*INDEX('Age profile'!$O$2:$O$61,B1717)*(1+in_approval_growth)^(D1717-1))</f>
        <v/>
      </c>
      <c r="CA1717" s="14">
        <f>F1717*BY1717*IF(B1717&gt;=in_marketplace_from,d_hz_loan_home*G1717,0)*BZ1717*in_loan_home_ticket*in_loan_home_comm</f>
        <v/>
      </c>
      <c r="CB1717" s="40">
        <f>CB1716*(1-IF(B1716&gt;=in_marketplace_from,d_hz_loan_lap*G1716,0)*CC1716)</f>
        <v/>
      </c>
      <c r="CC1717" s="11">
        <f>MIN(in_approval_cap,in_loan_lap_approval*INDEX('Age profile'!$O$2:$O$61,B1717)*(1+in_approval_growth)^(D1717-1))</f>
        <v/>
      </c>
      <c r="CD1717" s="14">
        <f>F1717*CB1717*IF(B1717&gt;=in_marketplace_from,d_hz_loan_lap*G1717,0)*CC1717*in_loan_lap_ticket*in_loan_lap_comm</f>
        <v/>
      </c>
      <c r="CE1717" s="14">
        <f>AA1717+AB1717+AC1717+AD1717+AG1717+AJ1717+AM1717+AP1717+AS1717+AU1717+AX1717+BB1717+BE1717+BG1717+BJ1717+BL1717+BO1717+BR1717+BT1717+BV1717+BX1717+CA1717+CD1717</f>
        <v/>
      </c>
    </row>
    <row r="1718">
      <c r="A1718" s="39" t="n">
        <v>46</v>
      </c>
      <c r="B1718" s="39" t="n">
        <v>7</v>
      </c>
      <c r="C1718" s="39">
        <f>A1718+B1718-1</f>
        <v/>
      </c>
      <c r="D1718" s="39">
        <f>INT((C1718-1)/12)+1</f>
        <v/>
      </c>
      <c r="E1718" s="44">
        <f>INDEX(Monthly!$B$2:$B$61,A1718)</f>
        <v/>
      </c>
      <c r="F1718" s="44">
        <f>E1718*INDEX('Age profile'!$B$2:$B$61,B1718)</f>
        <v/>
      </c>
      <c r="G1718" s="45">
        <f>MIN(in_takeup_cap,INDEX('Age profile'!$N$2:$N$61,B1718)*(1+in_takeup_growth)^(D1718-1))</f>
        <v/>
      </c>
      <c r="H1718" s="11">
        <f>MIN(in_approval_cap,in_approved_first*INDEX('Age profile'!$O$2:$O$61,B1718)*(1+in_approval_growth)^(D1718-1))</f>
        <v/>
      </c>
      <c r="I1718" s="45">
        <f>G1718*MIN(in_takeup_cap,INDEX('Age profile'!$O$2:$O$61,B1718)*(1+in_approval_growth)^(D1718-1))</f>
        <v/>
      </c>
      <c r="J1718" s="40">
        <f>(J1717-L1717)*F1718/F1717</f>
        <v/>
      </c>
      <c r="K1718" s="40">
        <f>(K1717-M1717)*F1718/F1717+SUMIFS(O1712:O1717,B1712:B1717,B1718-1-d_T)*F1718</f>
        <v/>
      </c>
      <c r="L1718" s="40">
        <f>IF(B1718&gt;=in_marketplace_from,J1718*d_hz*G1718*in_eligible*H1718,0)</f>
        <v/>
      </c>
      <c r="M1718" s="40">
        <f>IF(B1718&gt;=in_marketplace_from,K1718*d_hz*G1718*in_eligible*in_approved_repeat,0)</f>
        <v/>
      </c>
      <c r="N1718" s="40">
        <f>L1718+M1718</f>
        <v/>
      </c>
      <c r="O1718" s="46">
        <f>N1718/F1718</f>
        <v/>
      </c>
      <c r="P1718" s="40">
        <f>F1718-J1718-K1718</f>
        <v/>
      </c>
      <c r="Q1718" s="40">
        <f>IF(B1718&gt;=in_marketplace_from,(J1718+K1718)*d_hz*G1718,0)</f>
        <v/>
      </c>
      <c r="R1718" s="40">
        <f>SUMIFS(N1712:N1726,B1712:B1726,"&gt;="&amp;(B1718-d_T),B1712:B1726,"&lt;="&amp;(B1718-1))</f>
        <v/>
      </c>
      <c r="S1718" s="46">
        <f>(1-d_u)*S1717+IF(d_T&gt;in_topup_lag,SUMIFS(O1712:O1726,B1712:B1726,B1718-in_topup_lag)-d_udrop*SUMIFS(O1712:O1726,B1712:B1726,B1718-d_T),0)</f>
        <v/>
      </c>
      <c r="T1718" s="40">
        <f>F1718*d_u*S1718</f>
        <v/>
      </c>
      <c r="U1718" s="9">
        <f>L1718*in_ticket+M1718*d_rep_ticket</f>
        <v/>
      </c>
      <c r="V1718" s="9">
        <f>U1718+T1718*d_topup_amt</f>
        <v/>
      </c>
      <c r="W1718" s="40">
        <f>N1718+T1718*d_topup_ratio</f>
        <v/>
      </c>
      <c r="X1718" s="40">
        <f>SUMIFS(W1712:W1726,B1712:B1726,B1718-in_dpd_lag)*d_cured</f>
        <v/>
      </c>
      <c r="Y1718" s="40">
        <f>SUMIFS(W1712:W1726,B1712:B1726,B1718-in_rec_lag)*d_recd</f>
        <v/>
      </c>
      <c r="Z1718" s="40">
        <f>IF(AND(B1718&gt;=in_marketplace_from,B1718&lt;in_marketplace_from+in_card_months),in_card_share/in_card_months*F1718*I1718,IF(AND(B1718&gt;=in_marketplace_from+in_card_months,B1718&lt;in_marketplace_from+2*in_card_months),in_card_share*d_card_rem/in_card_months*F1718*MIN(in_takeup_cap,(1+in_takeup_growth)^(D1718-1))*MIN(in_takeup_cap,(1+in_approval_growth)^(D1718-1)),0))</f>
        <v/>
      </c>
      <c r="AA1718" s="14">
        <f>V1718*in_fee*(1-in_taken_back)</f>
        <v/>
      </c>
      <c r="AB1718" s="14">
        <f>SUMIFS(W1712:W1726,B1712:B1726,B1718-in_dpd_lag)*d_dpd</f>
        <v/>
      </c>
      <c r="AC1718" s="14">
        <f>SUMIFS(W1712:W1726,B1712:B1726,B1718-in_rec_lag)*d_rec</f>
        <v/>
      </c>
      <c r="AD1718" s="14">
        <f>Z1718*in_card_fee</f>
        <v/>
      </c>
      <c r="AE1718" s="40">
        <f>AE1717*(1-IF(B1717&gt;=in_marketplace_from,d_hz_hlth_small*G1717,0))</f>
        <v/>
      </c>
      <c r="AF1718" s="46">
        <f>AE1718*IF(B1718&gt;=in_marketplace_from,d_hz_hlth_small*G1718,0)</f>
        <v/>
      </c>
      <c r="AG1718" s="14">
        <f>F1718*AF1718*in_hlth_small_ticket*in_hlth_small_comm*in_ins_partner_share+F1718*in_hlth_small_ticket*in_hlth_small_renew_comm*in_ins_partner_share*(in_hlth_small_renew^1*SUMIFS(AF1712:AF1726,B1712:B1726,B1718-12)+in_hlth_small_renew^2*SUMIFS(AF1712:AF1726,B1712:B1726,B1718-24)+in_hlth_small_renew^3*SUMIFS(AF1712:AF1726,B1712:B1726,B1718-36)+in_hlth_small_renew^4*SUMIFS(AF1712:AF1726,B1712:B1726,B1718-48))</f>
        <v/>
      </c>
      <c r="AH1718" s="40">
        <f>AH1717*(1-IF(B1717&gt;=in_marketplace_from,d_hz_hlth_family*G1717,0))</f>
        <v/>
      </c>
      <c r="AI1718" s="46">
        <f>AH1718*IF(B1718&gt;=in_marketplace_from,d_hz_hlth_family*G1718,0)</f>
        <v/>
      </c>
      <c r="AJ1718" s="14">
        <f>F1718*AI1718*in_hlth_family_ticket*in_hlth_family_comm*in_ins_partner_share+F1718*in_hlth_family_ticket*in_hlth_family_renew_comm*in_ins_partner_share*(in_hlth_family_renew^1*SUMIFS(AI1712:AI1726,B1712:B1726,B1718-12)+in_hlth_family_renew^2*SUMIFS(AI1712:AI1726,B1712:B1726,B1718-24)+in_hlth_family_renew^3*SUMIFS(AI1712:AI1726,B1712:B1726,B1718-36)+in_hlth_family_renew^4*SUMIFS(AI1712:AI1726,B1712:B1726,B1718-48))</f>
        <v/>
      </c>
      <c r="AK1718" s="40">
        <f>AK1717*(1-IF(B1717&gt;=in_marketplace_from,d_hz_life_term*G1717,0))</f>
        <v/>
      </c>
      <c r="AL1718" s="46">
        <f>AK1718*IF(B1718&gt;=in_marketplace_from,d_hz_life_term*G1718,0)</f>
        <v/>
      </c>
      <c r="AM1718" s="14">
        <f>F1718*AL1718*in_life_term_ticket*in_life_term_comm*in_ins_partner_share+F1718*in_life_term_ticket*in_life_term_renew_comm*in_ins_partner_share*(in_life_term_renew^1*SUMIFS(AL1712:AL1726,B1712:B1726,B1718-12)+in_life_term_renew^2*SUMIFS(AL1712:AL1726,B1712:B1726,B1718-24)+in_life_term_renew^3*SUMIFS(AL1712:AL1726,B1712:B1726,B1718-36)+in_life_term_renew^4*SUMIFS(AL1712:AL1726,B1712:B1726,B1718-48))</f>
        <v/>
      </c>
      <c r="AN1718" s="40">
        <f>AN1717*(1-IF(B1717&gt;=in_marketplace_from,d_hz_accident*G1717,0))</f>
        <v/>
      </c>
      <c r="AO1718" s="46">
        <f>AN1718*IF(B1718&gt;=in_marketplace_from,d_hz_accident*G1718,0)</f>
        <v/>
      </c>
      <c r="AP1718" s="14">
        <f>F1718*AO1718*in_accident_ticket*in_accident_comm*in_ins_partner_share+F1718*in_accident_ticket*in_accident_renew_comm*in_ins_partner_share*(in_accident_renew^1*SUMIFS(AO1712:AO1726,B1712:B1726,B1718-12)+in_accident_renew^2*SUMIFS(AO1712:AO1726,B1712:B1726,B1718-24)+in_accident_renew^3*SUMIFS(AO1712:AO1726,B1712:B1726,B1718-36)+in_accident_renew^4*SUMIFS(AO1712:AO1726,B1712:B1726,B1718-48))</f>
        <v/>
      </c>
      <c r="AQ1718" s="40">
        <f>AQ1717*(1-IF(B1717&gt;=in_marketplace_from,d_hz_two_wheeler*G1717,0))</f>
        <v/>
      </c>
      <c r="AR1718" s="46">
        <f>AQ1718*IF(B1718&gt;=in_marketplace_from,d_hz_two_wheeler*G1718,0)</f>
        <v/>
      </c>
      <c r="AS1718" s="14">
        <f>F1718*AR1718*in_two_wheeler_ticket*in_two_wheeler_comm*in_ins_partner_share+F1718*in_two_wheeler_ticket*in_two_wheeler_comm*in_ins_partner_share*(in_two_wheeler_renew^1*SUMIFS(AR1712:AR1726,B1712:B1726,B1718-12)+in_two_wheeler_renew^2*SUMIFS(AR1712:AR1726,B1712:B1726,B1718-24)+in_two_wheeler_renew^3*SUMIFS(AR1712:AR1726,B1712:B1726,B1718-36)+in_two_wheeler_renew^4*SUMIFS(AR1712:AR1726,B1712:B1726,B1718-48))</f>
        <v/>
      </c>
      <c r="AT1718" s="40">
        <f>AT1717*(1-IF(B1717&gt;=in_marketplace_from,d_hz_device*G1717,0))</f>
        <v/>
      </c>
      <c r="AU1718" s="14">
        <f>F1718*AT1718*IF(B1718&gt;=in_marketplace_from,d_hz_device*G1718,0)*in_device_ticket*in_device_comm*in_ins_partner_share</f>
        <v/>
      </c>
      <c r="AV1718" s="40">
        <f>AV1717*(1-IF(B1717&gt;=in_marketplace_from,d_hz_shop*G1717,0))</f>
        <v/>
      </c>
      <c r="AW1718" s="46">
        <f>AV1718*IF(B1718&gt;=in_marketplace_from,d_hz_shop*G1718,0)</f>
        <v/>
      </c>
      <c r="AX1718" s="14">
        <f>F1718*AW1718*in_shop_ticket*in_shop_comm*in_ins_partner_share+F1718*in_shop_ticket*in_shop_renew_comm*in_ins_partner_share*(in_shop_renew^1*SUMIFS(AW1712:AW1726,B1712:B1726,B1718-12)+in_shop_renew^2*SUMIFS(AW1712:AW1726,B1712:B1726,B1718-24)+in_shop_renew^3*SUMIFS(AW1712:AW1726,B1712:B1726,B1718-36)+in_shop_renew^4*SUMIFS(AW1712:AW1726,B1712:B1726,B1718-48))</f>
        <v/>
      </c>
      <c r="AY1718" s="40">
        <f>AY1717*(1-IF(B1717&gt;=in_marketplace_from,d_hz_sip*G1717,0))</f>
        <v/>
      </c>
      <c r="AZ1718" s="40">
        <f>AZ1717*d_rho_sip+AY1718*IF(B1718&gt;=in_marketplace_from,d_hz_sip*G1718,0)</f>
        <v/>
      </c>
      <c r="BA1718" s="40">
        <f>d_rho_sip*(BA1717+AZ1717)</f>
        <v/>
      </c>
      <c r="BB1718" s="14">
        <f>F1718*in_sip_ticket*(BA1718+0.5*AZ1718)*in_sip_comm/12</f>
        <v/>
      </c>
      <c r="BC1718" s="40">
        <f>BC1717*(1-IF(B1717&gt;=in_marketplace_from,d_hz_choti*G1717,0))</f>
        <v/>
      </c>
      <c r="BD1718" s="46">
        <f>BC1718*IF(B1718&gt;=in_marketplace_from,d_hz_choti*G1718,0)</f>
        <v/>
      </c>
      <c r="BE1718" s="14">
        <f>F1718*SUMIFS(BD1712:BD1726,B1712:B1726,B1718-in_choti_months)*in_choti_renew*in_choti_ticket</f>
        <v/>
      </c>
      <c r="BF1718" s="40">
        <f>BF1717*(1-IF(B1717&gt;=in_marketplace_from,d_hz_nps*G1717,0))</f>
        <v/>
      </c>
      <c r="BG1718" s="14">
        <f>F1718*BF1718*IF(B1718&gt;=in_marketplace_from,d_hz_nps*G1718,0)*in_nps_ticket*in_nps_comm</f>
        <v/>
      </c>
      <c r="BH1718" s="40">
        <f>BH1717*(1-IF(B1717&gt;=in_marketplace_from,d_hz_gold*G1717,0))</f>
        <v/>
      </c>
      <c r="BI1718" s="40">
        <f>BI1717*d_rho_gold+BH1718*IF(B1718&gt;=in_marketplace_from,d_hz_gold*G1718,0)</f>
        <v/>
      </c>
      <c r="BJ1718" s="14">
        <f>F1718*BI1718*in_gold_ticket*in_gold_comm</f>
        <v/>
      </c>
      <c r="BK1718" s="40">
        <f>BK1717*(1-IF(B1717&gt;=in_marketplace_from,d_hz_fd*G1717,0))</f>
        <v/>
      </c>
      <c r="BL1718" s="14">
        <f>F1718*BK1718*IF(B1718&gt;=in_marketplace_from,d_hz_fd*G1718,0)*in_fd_ticket*in_fd_comm</f>
        <v/>
      </c>
      <c r="BM1718" s="40">
        <f>BM1717*(1-IF(B1717&gt;=in_marketplace_from,d_hz_recharge*G1717,0))</f>
        <v/>
      </c>
      <c r="BN1718" s="40">
        <f>BN1717*d_rho_recharge+BM1718*IF(B1718&gt;=in_marketplace_from,d_hz_recharge*G1718,0)</f>
        <v/>
      </c>
      <c r="BO1718" s="14">
        <f>F1718*BN1718*in_recharge_ticket*in_recharge_comm/12</f>
        <v/>
      </c>
      <c r="BP1718" s="40">
        <f>BP1717*(1-IF(B1717&gt;=in_marketplace_from,d_hz_bills*G1717,0))</f>
        <v/>
      </c>
      <c r="BQ1718" s="40">
        <f>BQ1717*d_rho_bills+BP1718*IF(B1718&gt;=in_marketplace_from,d_hz_bills*G1718,0)</f>
        <v/>
      </c>
      <c r="BR1718" s="14">
        <f>F1718*BQ1718*in_bills_ticket*in_bills_comm/12</f>
        <v/>
      </c>
      <c r="BS1718" s="40">
        <f>BS1717*(1-IF(B1717&gt;=in_marketplace_from,d_hz_loan_gold*G1717,0))</f>
        <v/>
      </c>
      <c r="BT1718" s="14">
        <f>F1718*BS1718*IF(B1718&gt;=in_marketplace_from,d_hz_loan_gold*G1718,0)*in_loan_gold_ticket*in_loan_gold_comm</f>
        <v/>
      </c>
      <c r="BU1718" s="40">
        <f>BU1717*(1-IF(B1717&gt;=in_marketplace_from,d_hz_loan_cd*G1717,0))</f>
        <v/>
      </c>
      <c r="BV1718" s="14">
        <f>F1718*BU1718*IF(B1718&gt;=in_marketplace_from,d_hz_loan_cd*G1718,0)*in_loan_cd_ticket*in_loan_cd_comm</f>
        <v/>
      </c>
      <c r="BW1718" s="40">
        <f>BW1717*(1-IF(B1717&gt;=in_marketplace_from,d_hz_loan_vehicle*G1717,0))</f>
        <v/>
      </c>
      <c r="BX1718" s="14">
        <f>F1718*BW1718*IF(B1718&gt;=in_marketplace_from,d_hz_loan_vehicle*G1718,0)*in_loan_vehicle_ticket*in_loan_vehicle_comm</f>
        <v/>
      </c>
      <c r="BY1718" s="40">
        <f>BY1717*(1-IF(B1717&gt;=in_marketplace_from,d_hz_loan_home*G1717,0)*BZ1717)</f>
        <v/>
      </c>
      <c r="BZ1718" s="11">
        <f>MIN(in_approval_cap,in_loan_home_approval*INDEX('Age profile'!$O$2:$O$61,B1718)*(1+in_approval_growth)^(D1718-1))</f>
        <v/>
      </c>
      <c r="CA1718" s="14">
        <f>F1718*BY1718*IF(B1718&gt;=in_marketplace_from,d_hz_loan_home*G1718,0)*BZ1718*in_loan_home_ticket*in_loan_home_comm</f>
        <v/>
      </c>
      <c r="CB1718" s="40">
        <f>CB1717*(1-IF(B1717&gt;=in_marketplace_from,d_hz_loan_lap*G1717,0)*CC1717)</f>
        <v/>
      </c>
      <c r="CC1718" s="11">
        <f>MIN(in_approval_cap,in_loan_lap_approval*INDEX('Age profile'!$O$2:$O$61,B1718)*(1+in_approval_growth)^(D1718-1))</f>
        <v/>
      </c>
      <c r="CD1718" s="14">
        <f>F1718*CB1718*IF(B1718&gt;=in_marketplace_from,d_hz_loan_lap*G1718,0)*CC1718*in_loan_lap_ticket*in_loan_lap_comm</f>
        <v/>
      </c>
      <c r="CE1718" s="14">
        <f>AA1718+AB1718+AC1718+AD1718+AG1718+AJ1718+AM1718+AP1718+AS1718+AU1718+AX1718+BB1718+BE1718+BG1718+BJ1718+BL1718+BO1718+BR1718+BT1718+BV1718+BX1718+CA1718+CD1718</f>
        <v/>
      </c>
    </row>
    <row r="1719">
      <c r="A1719" s="39" t="n">
        <v>46</v>
      </c>
      <c r="B1719" s="39" t="n">
        <v>8</v>
      </c>
      <c r="C1719" s="39">
        <f>A1719+B1719-1</f>
        <v/>
      </c>
      <c r="D1719" s="39">
        <f>INT((C1719-1)/12)+1</f>
        <v/>
      </c>
      <c r="E1719" s="44">
        <f>INDEX(Monthly!$B$2:$B$61,A1719)</f>
        <v/>
      </c>
      <c r="F1719" s="44">
        <f>E1719*INDEX('Age profile'!$B$2:$B$61,B1719)</f>
        <v/>
      </c>
      <c r="G1719" s="45">
        <f>MIN(in_takeup_cap,INDEX('Age profile'!$N$2:$N$61,B1719)*(1+in_takeup_growth)^(D1719-1))</f>
        <v/>
      </c>
      <c r="H1719" s="11">
        <f>MIN(in_approval_cap,in_approved_first*INDEX('Age profile'!$O$2:$O$61,B1719)*(1+in_approval_growth)^(D1719-1))</f>
        <v/>
      </c>
      <c r="I1719" s="45">
        <f>G1719*MIN(in_takeup_cap,INDEX('Age profile'!$O$2:$O$61,B1719)*(1+in_approval_growth)^(D1719-1))</f>
        <v/>
      </c>
      <c r="J1719" s="40">
        <f>(J1718-L1718)*F1719/F1718</f>
        <v/>
      </c>
      <c r="K1719" s="40">
        <f>(K1718-M1718)*F1719/F1718+SUMIFS(O1712:O1718,B1712:B1718,B1719-1-d_T)*F1719</f>
        <v/>
      </c>
      <c r="L1719" s="40">
        <f>IF(B1719&gt;=in_marketplace_from,J1719*d_hz*G1719*in_eligible*H1719,0)</f>
        <v/>
      </c>
      <c r="M1719" s="40">
        <f>IF(B1719&gt;=in_marketplace_from,K1719*d_hz*G1719*in_eligible*in_approved_repeat,0)</f>
        <v/>
      </c>
      <c r="N1719" s="40">
        <f>L1719+M1719</f>
        <v/>
      </c>
      <c r="O1719" s="46">
        <f>N1719/F1719</f>
        <v/>
      </c>
      <c r="P1719" s="40">
        <f>F1719-J1719-K1719</f>
        <v/>
      </c>
      <c r="Q1719" s="40">
        <f>IF(B1719&gt;=in_marketplace_from,(J1719+K1719)*d_hz*G1719,0)</f>
        <v/>
      </c>
      <c r="R1719" s="40">
        <f>SUMIFS(N1712:N1726,B1712:B1726,"&gt;="&amp;(B1719-d_T),B1712:B1726,"&lt;="&amp;(B1719-1))</f>
        <v/>
      </c>
      <c r="S1719" s="46">
        <f>(1-d_u)*S1718+IF(d_T&gt;in_topup_lag,SUMIFS(O1712:O1726,B1712:B1726,B1719-in_topup_lag)-d_udrop*SUMIFS(O1712:O1726,B1712:B1726,B1719-d_T),0)</f>
        <v/>
      </c>
      <c r="T1719" s="40">
        <f>F1719*d_u*S1719</f>
        <v/>
      </c>
      <c r="U1719" s="9">
        <f>L1719*in_ticket+M1719*d_rep_ticket</f>
        <v/>
      </c>
      <c r="V1719" s="9">
        <f>U1719+T1719*d_topup_amt</f>
        <v/>
      </c>
      <c r="W1719" s="40">
        <f>N1719+T1719*d_topup_ratio</f>
        <v/>
      </c>
      <c r="X1719" s="40">
        <f>SUMIFS(W1712:W1726,B1712:B1726,B1719-in_dpd_lag)*d_cured</f>
        <v/>
      </c>
      <c r="Y1719" s="40">
        <f>SUMIFS(W1712:W1726,B1712:B1726,B1719-in_rec_lag)*d_recd</f>
        <v/>
      </c>
      <c r="Z1719" s="40">
        <f>IF(AND(B1719&gt;=in_marketplace_from,B1719&lt;in_marketplace_from+in_card_months),in_card_share/in_card_months*F1719*I1719,IF(AND(B1719&gt;=in_marketplace_from+in_card_months,B1719&lt;in_marketplace_from+2*in_card_months),in_card_share*d_card_rem/in_card_months*F1719*MIN(in_takeup_cap,(1+in_takeup_growth)^(D1719-1))*MIN(in_takeup_cap,(1+in_approval_growth)^(D1719-1)),0))</f>
        <v/>
      </c>
      <c r="AA1719" s="14">
        <f>V1719*in_fee*(1-in_taken_back)</f>
        <v/>
      </c>
      <c r="AB1719" s="14">
        <f>SUMIFS(W1712:W1726,B1712:B1726,B1719-in_dpd_lag)*d_dpd</f>
        <v/>
      </c>
      <c r="AC1719" s="14">
        <f>SUMIFS(W1712:W1726,B1712:B1726,B1719-in_rec_lag)*d_rec</f>
        <v/>
      </c>
      <c r="AD1719" s="14">
        <f>Z1719*in_card_fee</f>
        <v/>
      </c>
      <c r="AE1719" s="40">
        <f>AE1718*(1-IF(B1718&gt;=in_marketplace_from,d_hz_hlth_small*G1718,0))</f>
        <v/>
      </c>
      <c r="AF1719" s="46">
        <f>AE1719*IF(B1719&gt;=in_marketplace_from,d_hz_hlth_small*G1719,0)</f>
        <v/>
      </c>
      <c r="AG1719" s="14">
        <f>F1719*AF1719*in_hlth_small_ticket*in_hlth_small_comm*in_ins_partner_share+F1719*in_hlth_small_ticket*in_hlth_small_renew_comm*in_ins_partner_share*(in_hlth_small_renew^1*SUMIFS(AF1712:AF1726,B1712:B1726,B1719-12)+in_hlth_small_renew^2*SUMIFS(AF1712:AF1726,B1712:B1726,B1719-24)+in_hlth_small_renew^3*SUMIFS(AF1712:AF1726,B1712:B1726,B1719-36)+in_hlth_small_renew^4*SUMIFS(AF1712:AF1726,B1712:B1726,B1719-48))</f>
        <v/>
      </c>
      <c r="AH1719" s="40">
        <f>AH1718*(1-IF(B1718&gt;=in_marketplace_from,d_hz_hlth_family*G1718,0))</f>
        <v/>
      </c>
      <c r="AI1719" s="46">
        <f>AH1719*IF(B1719&gt;=in_marketplace_from,d_hz_hlth_family*G1719,0)</f>
        <v/>
      </c>
      <c r="AJ1719" s="14">
        <f>F1719*AI1719*in_hlth_family_ticket*in_hlth_family_comm*in_ins_partner_share+F1719*in_hlth_family_ticket*in_hlth_family_renew_comm*in_ins_partner_share*(in_hlth_family_renew^1*SUMIFS(AI1712:AI1726,B1712:B1726,B1719-12)+in_hlth_family_renew^2*SUMIFS(AI1712:AI1726,B1712:B1726,B1719-24)+in_hlth_family_renew^3*SUMIFS(AI1712:AI1726,B1712:B1726,B1719-36)+in_hlth_family_renew^4*SUMIFS(AI1712:AI1726,B1712:B1726,B1719-48))</f>
        <v/>
      </c>
      <c r="AK1719" s="40">
        <f>AK1718*(1-IF(B1718&gt;=in_marketplace_from,d_hz_life_term*G1718,0))</f>
        <v/>
      </c>
      <c r="AL1719" s="46">
        <f>AK1719*IF(B1719&gt;=in_marketplace_from,d_hz_life_term*G1719,0)</f>
        <v/>
      </c>
      <c r="AM1719" s="14">
        <f>F1719*AL1719*in_life_term_ticket*in_life_term_comm*in_ins_partner_share+F1719*in_life_term_ticket*in_life_term_renew_comm*in_ins_partner_share*(in_life_term_renew^1*SUMIFS(AL1712:AL1726,B1712:B1726,B1719-12)+in_life_term_renew^2*SUMIFS(AL1712:AL1726,B1712:B1726,B1719-24)+in_life_term_renew^3*SUMIFS(AL1712:AL1726,B1712:B1726,B1719-36)+in_life_term_renew^4*SUMIFS(AL1712:AL1726,B1712:B1726,B1719-48))</f>
        <v/>
      </c>
      <c r="AN1719" s="40">
        <f>AN1718*(1-IF(B1718&gt;=in_marketplace_from,d_hz_accident*G1718,0))</f>
        <v/>
      </c>
      <c r="AO1719" s="46">
        <f>AN1719*IF(B1719&gt;=in_marketplace_from,d_hz_accident*G1719,0)</f>
        <v/>
      </c>
      <c r="AP1719" s="14">
        <f>F1719*AO1719*in_accident_ticket*in_accident_comm*in_ins_partner_share+F1719*in_accident_ticket*in_accident_renew_comm*in_ins_partner_share*(in_accident_renew^1*SUMIFS(AO1712:AO1726,B1712:B1726,B1719-12)+in_accident_renew^2*SUMIFS(AO1712:AO1726,B1712:B1726,B1719-24)+in_accident_renew^3*SUMIFS(AO1712:AO1726,B1712:B1726,B1719-36)+in_accident_renew^4*SUMIFS(AO1712:AO1726,B1712:B1726,B1719-48))</f>
        <v/>
      </c>
      <c r="AQ1719" s="40">
        <f>AQ1718*(1-IF(B1718&gt;=in_marketplace_from,d_hz_two_wheeler*G1718,0))</f>
        <v/>
      </c>
      <c r="AR1719" s="46">
        <f>AQ1719*IF(B1719&gt;=in_marketplace_from,d_hz_two_wheeler*G1719,0)</f>
        <v/>
      </c>
      <c r="AS1719" s="14">
        <f>F1719*AR1719*in_two_wheeler_ticket*in_two_wheeler_comm*in_ins_partner_share+F1719*in_two_wheeler_ticket*in_two_wheeler_comm*in_ins_partner_share*(in_two_wheeler_renew^1*SUMIFS(AR1712:AR1726,B1712:B1726,B1719-12)+in_two_wheeler_renew^2*SUMIFS(AR1712:AR1726,B1712:B1726,B1719-24)+in_two_wheeler_renew^3*SUMIFS(AR1712:AR1726,B1712:B1726,B1719-36)+in_two_wheeler_renew^4*SUMIFS(AR1712:AR1726,B1712:B1726,B1719-48))</f>
        <v/>
      </c>
      <c r="AT1719" s="40">
        <f>AT1718*(1-IF(B1718&gt;=in_marketplace_from,d_hz_device*G1718,0))</f>
        <v/>
      </c>
      <c r="AU1719" s="14">
        <f>F1719*AT1719*IF(B1719&gt;=in_marketplace_from,d_hz_device*G1719,0)*in_device_ticket*in_device_comm*in_ins_partner_share</f>
        <v/>
      </c>
      <c r="AV1719" s="40">
        <f>AV1718*(1-IF(B1718&gt;=in_marketplace_from,d_hz_shop*G1718,0))</f>
        <v/>
      </c>
      <c r="AW1719" s="46">
        <f>AV1719*IF(B1719&gt;=in_marketplace_from,d_hz_shop*G1719,0)</f>
        <v/>
      </c>
      <c r="AX1719" s="14">
        <f>F1719*AW1719*in_shop_ticket*in_shop_comm*in_ins_partner_share+F1719*in_shop_ticket*in_shop_renew_comm*in_ins_partner_share*(in_shop_renew^1*SUMIFS(AW1712:AW1726,B1712:B1726,B1719-12)+in_shop_renew^2*SUMIFS(AW1712:AW1726,B1712:B1726,B1719-24)+in_shop_renew^3*SUMIFS(AW1712:AW1726,B1712:B1726,B1719-36)+in_shop_renew^4*SUMIFS(AW1712:AW1726,B1712:B1726,B1719-48))</f>
        <v/>
      </c>
      <c r="AY1719" s="40">
        <f>AY1718*(1-IF(B1718&gt;=in_marketplace_from,d_hz_sip*G1718,0))</f>
        <v/>
      </c>
      <c r="AZ1719" s="40">
        <f>AZ1718*d_rho_sip+AY1719*IF(B1719&gt;=in_marketplace_from,d_hz_sip*G1719,0)</f>
        <v/>
      </c>
      <c r="BA1719" s="40">
        <f>d_rho_sip*(BA1718+AZ1718)</f>
        <v/>
      </c>
      <c r="BB1719" s="14">
        <f>F1719*in_sip_ticket*(BA1719+0.5*AZ1719)*in_sip_comm/12</f>
        <v/>
      </c>
      <c r="BC1719" s="40">
        <f>BC1718*(1-IF(B1718&gt;=in_marketplace_from,d_hz_choti*G1718,0))</f>
        <v/>
      </c>
      <c r="BD1719" s="46">
        <f>BC1719*IF(B1719&gt;=in_marketplace_from,d_hz_choti*G1719,0)</f>
        <v/>
      </c>
      <c r="BE1719" s="14">
        <f>F1719*SUMIFS(BD1712:BD1726,B1712:B1726,B1719-in_choti_months)*in_choti_renew*in_choti_ticket</f>
        <v/>
      </c>
      <c r="BF1719" s="40">
        <f>BF1718*(1-IF(B1718&gt;=in_marketplace_from,d_hz_nps*G1718,0))</f>
        <v/>
      </c>
      <c r="BG1719" s="14">
        <f>F1719*BF1719*IF(B1719&gt;=in_marketplace_from,d_hz_nps*G1719,0)*in_nps_ticket*in_nps_comm</f>
        <v/>
      </c>
      <c r="BH1719" s="40">
        <f>BH1718*(1-IF(B1718&gt;=in_marketplace_from,d_hz_gold*G1718,0))</f>
        <v/>
      </c>
      <c r="BI1719" s="40">
        <f>BI1718*d_rho_gold+BH1719*IF(B1719&gt;=in_marketplace_from,d_hz_gold*G1719,0)</f>
        <v/>
      </c>
      <c r="BJ1719" s="14">
        <f>F1719*BI1719*in_gold_ticket*in_gold_comm</f>
        <v/>
      </c>
      <c r="BK1719" s="40">
        <f>BK1718*(1-IF(B1718&gt;=in_marketplace_from,d_hz_fd*G1718,0))</f>
        <v/>
      </c>
      <c r="BL1719" s="14">
        <f>F1719*BK1719*IF(B1719&gt;=in_marketplace_from,d_hz_fd*G1719,0)*in_fd_ticket*in_fd_comm</f>
        <v/>
      </c>
      <c r="BM1719" s="40">
        <f>BM1718*(1-IF(B1718&gt;=in_marketplace_from,d_hz_recharge*G1718,0))</f>
        <v/>
      </c>
      <c r="BN1719" s="40">
        <f>BN1718*d_rho_recharge+BM1719*IF(B1719&gt;=in_marketplace_from,d_hz_recharge*G1719,0)</f>
        <v/>
      </c>
      <c r="BO1719" s="14">
        <f>F1719*BN1719*in_recharge_ticket*in_recharge_comm/12</f>
        <v/>
      </c>
      <c r="BP1719" s="40">
        <f>BP1718*(1-IF(B1718&gt;=in_marketplace_from,d_hz_bills*G1718,0))</f>
        <v/>
      </c>
      <c r="BQ1719" s="40">
        <f>BQ1718*d_rho_bills+BP1719*IF(B1719&gt;=in_marketplace_from,d_hz_bills*G1719,0)</f>
        <v/>
      </c>
      <c r="BR1719" s="14">
        <f>F1719*BQ1719*in_bills_ticket*in_bills_comm/12</f>
        <v/>
      </c>
      <c r="BS1719" s="40">
        <f>BS1718*(1-IF(B1718&gt;=in_marketplace_from,d_hz_loan_gold*G1718,0))</f>
        <v/>
      </c>
      <c r="BT1719" s="14">
        <f>F1719*BS1719*IF(B1719&gt;=in_marketplace_from,d_hz_loan_gold*G1719,0)*in_loan_gold_ticket*in_loan_gold_comm</f>
        <v/>
      </c>
      <c r="BU1719" s="40">
        <f>BU1718*(1-IF(B1718&gt;=in_marketplace_from,d_hz_loan_cd*G1718,0))</f>
        <v/>
      </c>
      <c r="BV1719" s="14">
        <f>F1719*BU1719*IF(B1719&gt;=in_marketplace_from,d_hz_loan_cd*G1719,0)*in_loan_cd_ticket*in_loan_cd_comm</f>
        <v/>
      </c>
      <c r="BW1719" s="40">
        <f>BW1718*(1-IF(B1718&gt;=in_marketplace_from,d_hz_loan_vehicle*G1718,0))</f>
        <v/>
      </c>
      <c r="BX1719" s="14">
        <f>F1719*BW1719*IF(B1719&gt;=in_marketplace_from,d_hz_loan_vehicle*G1719,0)*in_loan_vehicle_ticket*in_loan_vehicle_comm</f>
        <v/>
      </c>
      <c r="BY1719" s="40">
        <f>BY1718*(1-IF(B1718&gt;=in_marketplace_from,d_hz_loan_home*G1718,0)*BZ1718)</f>
        <v/>
      </c>
      <c r="BZ1719" s="11">
        <f>MIN(in_approval_cap,in_loan_home_approval*INDEX('Age profile'!$O$2:$O$61,B1719)*(1+in_approval_growth)^(D1719-1))</f>
        <v/>
      </c>
      <c r="CA1719" s="14">
        <f>F1719*BY1719*IF(B1719&gt;=in_marketplace_from,d_hz_loan_home*G1719,0)*BZ1719*in_loan_home_ticket*in_loan_home_comm</f>
        <v/>
      </c>
      <c r="CB1719" s="40">
        <f>CB1718*(1-IF(B1718&gt;=in_marketplace_from,d_hz_loan_lap*G1718,0)*CC1718)</f>
        <v/>
      </c>
      <c r="CC1719" s="11">
        <f>MIN(in_approval_cap,in_loan_lap_approval*INDEX('Age profile'!$O$2:$O$61,B1719)*(1+in_approval_growth)^(D1719-1))</f>
        <v/>
      </c>
      <c r="CD1719" s="14">
        <f>F1719*CB1719*IF(B1719&gt;=in_marketplace_from,d_hz_loan_lap*G1719,0)*CC1719*in_loan_lap_ticket*in_loan_lap_comm</f>
        <v/>
      </c>
      <c r="CE1719" s="14">
        <f>AA1719+AB1719+AC1719+AD1719+AG1719+AJ1719+AM1719+AP1719+AS1719+AU1719+AX1719+BB1719+BE1719+BG1719+BJ1719+BL1719+BO1719+BR1719+BT1719+BV1719+BX1719+CA1719+CD1719</f>
        <v/>
      </c>
    </row>
    <row r="1720">
      <c r="A1720" s="39" t="n">
        <v>46</v>
      </c>
      <c r="B1720" s="39" t="n">
        <v>9</v>
      </c>
      <c r="C1720" s="39">
        <f>A1720+B1720-1</f>
        <v/>
      </c>
      <c r="D1720" s="39">
        <f>INT((C1720-1)/12)+1</f>
        <v/>
      </c>
      <c r="E1720" s="44">
        <f>INDEX(Monthly!$B$2:$B$61,A1720)</f>
        <v/>
      </c>
      <c r="F1720" s="44">
        <f>E1720*INDEX('Age profile'!$B$2:$B$61,B1720)</f>
        <v/>
      </c>
      <c r="G1720" s="45">
        <f>MIN(in_takeup_cap,INDEX('Age profile'!$N$2:$N$61,B1720)*(1+in_takeup_growth)^(D1720-1))</f>
        <v/>
      </c>
      <c r="H1720" s="11">
        <f>MIN(in_approval_cap,in_approved_first*INDEX('Age profile'!$O$2:$O$61,B1720)*(1+in_approval_growth)^(D1720-1))</f>
        <v/>
      </c>
      <c r="I1720" s="45">
        <f>G1720*MIN(in_takeup_cap,INDEX('Age profile'!$O$2:$O$61,B1720)*(1+in_approval_growth)^(D1720-1))</f>
        <v/>
      </c>
      <c r="J1720" s="40">
        <f>(J1719-L1719)*F1720/F1719</f>
        <v/>
      </c>
      <c r="K1720" s="40">
        <f>(K1719-M1719)*F1720/F1719+SUMIFS(O1712:O1719,B1712:B1719,B1720-1-d_T)*F1720</f>
        <v/>
      </c>
      <c r="L1720" s="40">
        <f>IF(B1720&gt;=in_marketplace_from,J1720*d_hz*G1720*in_eligible*H1720,0)</f>
        <v/>
      </c>
      <c r="M1720" s="40">
        <f>IF(B1720&gt;=in_marketplace_from,K1720*d_hz*G1720*in_eligible*in_approved_repeat,0)</f>
        <v/>
      </c>
      <c r="N1720" s="40">
        <f>L1720+M1720</f>
        <v/>
      </c>
      <c r="O1720" s="46">
        <f>N1720/F1720</f>
        <v/>
      </c>
      <c r="P1720" s="40">
        <f>F1720-J1720-K1720</f>
        <v/>
      </c>
      <c r="Q1720" s="40">
        <f>IF(B1720&gt;=in_marketplace_from,(J1720+K1720)*d_hz*G1720,0)</f>
        <v/>
      </c>
      <c r="R1720" s="40">
        <f>SUMIFS(N1712:N1726,B1712:B1726,"&gt;="&amp;(B1720-d_T),B1712:B1726,"&lt;="&amp;(B1720-1))</f>
        <v/>
      </c>
      <c r="S1720" s="46">
        <f>(1-d_u)*S1719+IF(d_T&gt;in_topup_lag,SUMIFS(O1712:O1726,B1712:B1726,B1720-in_topup_lag)-d_udrop*SUMIFS(O1712:O1726,B1712:B1726,B1720-d_T),0)</f>
        <v/>
      </c>
      <c r="T1720" s="40">
        <f>F1720*d_u*S1720</f>
        <v/>
      </c>
      <c r="U1720" s="9">
        <f>L1720*in_ticket+M1720*d_rep_ticket</f>
        <v/>
      </c>
      <c r="V1720" s="9">
        <f>U1720+T1720*d_topup_amt</f>
        <v/>
      </c>
      <c r="W1720" s="40">
        <f>N1720+T1720*d_topup_ratio</f>
        <v/>
      </c>
      <c r="X1720" s="40">
        <f>SUMIFS(W1712:W1726,B1712:B1726,B1720-in_dpd_lag)*d_cured</f>
        <v/>
      </c>
      <c r="Y1720" s="40">
        <f>SUMIFS(W1712:W1726,B1712:B1726,B1720-in_rec_lag)*d_recd</f>
        <v/>
      </c>
      <c r="Z1720" s="40">
        <f>IF(AND(B1720&gt;=in_marketplace_from,B1720&lt;in_marketplace_from+in_card_months),in_card_share/in_card_months*F1720*I1720,IF(AND(B1720&gt;=in_marketplace_from+in_card_months,B1720&lt;in_marketplace_from+2*in_card_months),in_card_share*d_card_rem/in_card_months*F1720*MIN(in_takeup_cap,(1+in_takeup_growth)^(D1720-1))*MIN(in_takeup_cap,(1+in_approval_growth)^(D1720-1)),0))</f>
        <v/>
      </c>
      <c r="AA1720" s="14">
        <f>V1720*in_fee*(1-in_taken_back)</f>
        <v/>
      </c>
      <c r="AB1720" s="14">
        <f>SUMIFS(W1712:W1726,B1712:B1726,B1720-in_dpd_lag)*d_dpd</f>
        <v/>
      </c>
      <c r="AC1720" s="14">
        <f>SUMIFS(W1712:W1726,B1712:B1726,B1720-in_rec_lag)*d_rec</f>
        <v/>
      </c>
      <c r="AD1720" s="14">
        <f>Z1720*in_card_fee</f>
        <v/>
      </c>
      <c r="AE1720" s="40">
        <f>AE1719*(1-IF(B1719&gt;=in_marketplace_from,d_hz_hlth_small*G1719,0))</f>
        <v/>
      </c>
      <c r="AF1720" s="46">
        <f>AE1720*IF(B1720&gt;=in_marketplace_from,d_hz_hlth_small*G1720,0)</f>
        <v/>
      </c>
      <c r="AG1720" s="14">
        <f>F1720*AF1720*in_hlth_small_ticket*in_hlth_small_comm*in_ins_partner_share+F1720*in_hlth_small_ticket*in_hlth_small_renew_comm*in_ins_partner_share*(in_hlth_small_renew^1*SUMIFS(AF1712:AF1726,B1712:B1726,B1720-12)+in_hlth_small_renew^2*SUMIFS(AF1712:AF1726,B1712:B1726,B1720-24)+in_hlth_small_renew^3*SUMIFS(AF1712:AF1726,B1712:B1726,B1720-36)+in_hlth_small_renew^4*SUMIFS(AF1712:AF1726,B1712:B1726,B1720-48))</f>
        <v/>
      </c>
      <c r="AH1720" s="40">
        <f>AH1719*(1-IF(B1719&gt;=in_marketplace_from,d_hz_hlth_family*G1719,0))</f>
        <v/>
      </c>
      <c r="AI1720" s="46">
        <f>AH1720*IF(B1720&gt;=in_marketplace_from,d_hz_hlth_family*G1720,0)</f>
        <v/>
      </c>
      <c r="AJ1720" s="14">
        <f>F1720*AI1720*in_hlth_family_ticket*in_hlth_family_comm*in_ins_partner_share+F1720*in_hlth_family_ticket*in_hlth_family_renew_comm*in_ins_partner_share*(in_hlth_family_renew^1*SUMIFS(AI1712:AI1726,B1712:B1726,B1720-12)+in_hlth_family_renew^2*SUMIFS(AI1712:AI1726,B1712:B1726,B1720-24)+in_hlth_family_renew^3*SUMIFS(AI1712:AI1726,B1712:B1726,B1720-36)+in_hlth_family_renew^4*SUMIFS(AI1712:AI1726,B1712:B1726,B1720-48))</f>
        <v/>
      </c>
      <c r="AK1720" s="40">
        <f>AK1719*(1-IF(B1719&gt;=in_marketplace_from,d_hz_life_term*G1719,0))</f>
        <v/>
      </c>
      <c r="AL1720" s="46">
        <f>AK1720*IF(B1720&gt;=in_marketplace_from,d_hz_life_term*G1720,0)</f>
        <v/>
      </c>
      <c r="AM1720" s="14">
        <f>F1720*AL1720*in_life_term_ticket*in_life_term_comm*in_ins_partner_share+F1720*in_life_term_ticket*in_life_term_renew_comm*in_ins_partner_share*(in_life_term_renew^1*SUMIFS(AL1712:AL1726,B1712:B1726,B1720-12)+in_life_term_renew^2*SUMIFS(AL1712:AL1726,B1712:B1726,B1720-24)+in_life_term_renew^3*SUMIFS(AL1712:AL1726,B1712:B1726,B1720-36)+in_life_term_renew^4*SUMIFS(AL1712:AL1726,B1712:B1726,B1720-48))</f>
        <v/>
      </c>
      <c r="AN1720" s="40">
        <f>AN1719*(1-IF(B1719&gt;=in_marketplace_from,d_hz_accident*G1719,0))</f>
        <v/>
      </c>
      <c r="AO1720" s="46">
        <f>AN1720*IF(B1720&gt;=in_marketplace_from,d_hz_accident*G1720,0)</f>
        <v/>
      </c>
      <c r="AP1720" s="14">
        <f>F1720*AO1720*in_accident_ticket*in_accident_comm*in_ins_partner_share+F1720*in_accident_ticket*in_accident_renew_comm*in_ins_partner_share*(in_accident_renew^1*SUMIFS(AO1712:AO1726,B1712:B1726,B1720-12)+in_accident_renew^2*SUMIFS(AO1712:AO1726,B1712:B1726,B1720-24)+in_accident_renew^3*SUMIFS(AO1712:AO1726,B1712:B1726,B1720-36)+in_accident_renew^4*SUMIFS(AO1712:AO1726,B1712:B1726,B1720-48))</f>
        <v/>
      </c>
      <c r="AQ1720" s="40">
        <f>AQ1719*(1-IF(B1719&gt;=in_marketplace_from,d_hz_two_wheeler*G1719,0))</f>
        <v/>
      </c>
      <c r="AR1720" s="46">
        <f>AQ1720*IF(B1720&gt;=in_marketplace_from,d_hz_two_wheeler*G1720,0)</f>
        <v/>
      </c>
      <c r="AS1720" s="14">
        <f>F1720*AR1720*in_two_wheeler_ticket*in_two_wheeler_comm*in_ins_partner_share+F1720*in_two_wheeler_ticket*in_two_wheeler_comm*in_ins_partner_share*(in_two_wheeler_renew^1*SUMIFS(AR1712:AR1726,B1712:B1726,B1720-12)+in_two_wheeler_renew^2*SUMIFS(AR1712:AR1726,B1712:B1726,B1720-24)+in_two_wheeler_renew^3*SUMIFS(AR1712:AR1726,B1712:B1726,B1720-36)+in_two_wheeler_renew^4*SUMIFS(AR1712:AR1726,B1712:B1726,B1720-48))</f>
        <v/>
      </c>
      <c r="AT1720" s="40">
        <f>AT1719*(1-IF(B1719&gt;=in_marketplace_from,d_hz_device*G1719,0))</f>
        <v/>
      </c>
      <c r="AU1720" s="14">
        <f>F1720*AT1720*IF(B1720&gt;=in_marketplace_from,d_hz_device*G1720,0)*in_device_ticket*in_device_comm*in_ins_partner_share</f>
        <v/>
      </c>
      <c r="AV1720" s="40">
        <f>AV1719*(1-IF(B1719&gt;=in_marketplace_from,d_hz_shop*G1719,0))</f>
        <v/>
      </c>
      <c r="AW1720" s="46">
        <f>AV1720*IF(B1720&gt;=in_marketplace_from,d_hz_shop*G1720,0)</f>
        <v/>
      </c>
      <c r="AX1720" s="14">
        <f>F1720*AW1720*in_shop_ticket*in_shop_comm*in_ins_partner_share+F1720*in_shop_ticket*in_shop_renew_comm*in_ins_partner_share*(in_shop_renew^1*SUMIFS(AW1712:AW1726,B1712:B1726,B1720-12)+in_shop_renew^2*SUMIFS(AW1712:AW1726,B1712:B1726,B1720-24)+in_shop_renew^3*SUMIFS(AW1712:AW1726,B1712:B1726,B1720-36)+in_shop_renew^4*SUMIFS(AW1712:AW1726,B1712:B1726,B1720-48))</f>
        <v/>
      </c>
      <c r="AY1720" s="40">
        <f>AY1719*(1-IF(B1719&gt;=in_marketplace_from,d_hz_sip*G1719,0))</f>
        <v/>
      </c>
      <c r="AZ1720" s="40">
        <f>AZ1719*d_rho_sip+AY1720*IF(B1720&gt;=in_marketplace_from,d_hz_sip*G1720,0)</f>
        <v/>
      </c>
      <c r="BA1720" s="40">
        <f>d_rho_sip*(BA1719+AZ1719)</f>
        <v/>
      </c>
      <c r="BB1720" s="14">
        <f>F1720*in_sip_ticket*(BA1720+0.5*AZ1720)*in_sip_comm/12</f>
        <v/>
      </c>
      <c r="BC1720" s="40">
        <f>BC1719*(1-IF(B1719&gt;=in_marketplace_from,d_hz_choti*G1719,0))</f>
        <v/>
      </c>
      <c r="BD1720" s="46">
        <f>BC1720*IF(B1720&gt;=in_marketplace_from,d_hz_choti*G1720,0)</f>
        <v/>
      </c>
      <c r="BE1720" s="14">
        <f>F1720*SUMIFS(BD1712:BD1726,B1712:B1726,B1720-in_choti_months)*in_choti_renew*in_choti_ticket</f>
        <v/>
      </c>
      <c r="BF1720" s="40">
        <f>BF1719*(1-IF(B1719&gt;=in_marketplace_from,d_hz_nps*G1719,0))</f>
        <v/>
      </c>
      <c r="BG1720" s="14">
        <f>F1720*BF1720*IF(B1720&gt;=in_marketplace_from,d_hz_nps*G1720,0)*in_nps_ticket*in_nps_comm</f>
        <v/>
      </c>
      <c r="BH1720" s="40">
        <f>BH1719*(1-IF(B1719&gt;=in_marketplace_from,d_hz_gold*G1719,0))</f>
        <v/>
      </c>
      <c r="BI1720" s="40">
        <f>BI1719*d_rho_gold+BH1720*IF(B1720&gt;=in_marketplace_from,d_hz_gold*G1720,0)</f>
        <v/>
      </c>
      <c r="BJ1720" s="14">
        <f>F1720*BI1720*in_gold_ticket*in_gold_comm</f>
        <v/>
      </c>
      <c r="BK1720" s="40">
        <f>BK1719*(1-IF(B1719&gt;=in_marketplace_from,d_hz_fd*G1719,0))</f>
        <v/>
      </c>
      <c r="BL1720" s="14">
        <f>F1720*BK1720*IF(B1720&gt;=in_marketplace_from,d_hz_fd*G1720,0)*in_fd_ticket*in_fd_comm</f>
        <v/>
      </c>
      <c r="BM1720" s="40">
        <f>BM1719*(1-IF(B1719&gt;=in_marketplace_from,d_hz_recharge*G1719,0))</f>
        <v/>
      </c>
      <c r="BN1720" s="40">
        <f>BN1719*d_rho_recharge+BM1720*IF(B1720&gt;=in_marketplace_from,d_hz_recharge*G1720,0)</f>
        <v/>
      </c>
      <c r="BO1720" s="14">
        <f>F1720*BN1720*in_recharge_ticket*in_recharge_comm/12</f>
        <v/>
      </c>
      <c r="BP1720" s="40">
        <f>BP1719*(1-IF(B1719&gt;=in_marketplace_from,d_hz_bills*G1719,0))</f>
        <v/>
      </c>
      <c r="BQ1720" s="40">
        <f>BQ1719*d_rho_bills+BP1720*IF(B1720&gt;=in_marketplace_from,d_hz_bills*G1720,0)</f>
        <v/>
      </c>
      <c r="BR1720" s="14">
        <f>F1720*BQ1720*in_bills_ticket*in_bills_comm/12</f>
        <v/>
      </c>
      <c r="BS1720" s="40">
        <f>BS1719*(1-IF(B1719&gt;=in_marketplace_from,d_hz_loan_gold*G1719,0))</f>
        <v/>
      </c>
      <c r="BT1720" s="14">
        <f>F1720*BS1720*IF(B1720&gt;=in_marketplace_from,d_hz_loan_gold*G1720,0)*in_loan_gold_ticket*in_loan_gold_comm</f>
        <v/>
      </c>
      <c r="BU1720" s="40">
        <f>BU1719*(1-IF(B1719&gt;=in_marketplace_from,d_hz_loan_cd*G1719,0))</f>
        <v/>
      </c>
      <c r="BV1720" s="14">
        <f>F1720*BU1720*IF(B1720&gt;=in_marketplace_from,d_hz_loan_cd*G1720,0)*in_loan_cd_ticket*in_loan_cd_comm</f>
        <v/>
      </c>
      <c r="BW1720" s="40">
        <f>BW1719*(1-IF(B1719&gt;=in_marketplace_from,d_hz_loan_vehicle*G1719,0))</f>
        <v/>
      </c>
      <c r="BX1720" s="14">
        <f>F1720*BW1720*IF(B1720&gt;=in_marketplace_from,d_hz_loan_vehicle*G1720,0)*in_loan_vehicle_ticket*in_loan_vehicle_comm</f>
        <v/>
      </c>
      <c r="BY1720" s="40">
        <f>BY1719*(1-IF(B1719&gt;=in_marketplace_from,d_hz_loan_home*G1719,0)*BZ1719)</f>
        <v/>
      </c>
      <c r="BZ1720" s="11">
        <f>MIN(in_approval_cap,in_loan_home_approval*INDEX('Age profile'!$O$2:$O$61,B1720)*(1+in_approval_growth)^(D1720-1))</f>
        <v/>
      </c>
      <c r="CA1720" s="14">
        <f>F1720*BY1720*IF(B1720&gt;=in_marketplace_from,d_hz_loan_home*G1720,0)*BZ1720*in_loan_home_ticket*in_loan_home_comm</f>
        <v/>
      </c>
      <c r="CB1720" s="40">
        <f>CB1719*(1-IF(B1719&gt;=in_marketplace_from,d_hz_loan_lap*G1719,0)*CC1719)</f>
        <v/>
      </c>
      <c r="CC1720" s="11">
        <f>MIN(in_approval_cap,in_loan_lap_approval*INDEX('Age profile'!$O$2:$O$61,B1720)*(1+in_approval_growth)^(D1720-1))</f>
        <v/>
      </c>
      <c r="CD1720" s="14">
        <f>F1720*CB1720*IF(B1720&gt;=in_marketplace_from,d_hz_loan_lap*G1720,0)*CC1720*in_loan_lap_ticket*in_loan_lap_comm</f>
        <v/>
      </c>
      <c r="CE1720" s="14">
        <f>AA1720+AB1720+AC1720+AD1720+AG1720+AJ1720+AM1720+AP1720+AS1720+AU1720+AX1720+BB1720+BE1720+BG1720+BJ1720+BL1720+BO1720+BR1720+BT1720+BV1720+BX1720+CA1720+CD1720</f>
        <v/>
      </c>
    </row>
    <row r="1721">
      <c r="A1721" s="39" t="n">
        <v>46</v>
      </c>
      <c r="B1721" s="39" t="n">
        <v>10</v>
      </c>
      <c r="C1721" s="39">
        <f>A1721+B1721-1</f>
        <v/>
      </c>
      <c r="D1721" s="39">
        <f>INT((C1721-1)/12)+1</f>
        <v/>
      </c>
      <c r="E1721" s="44">
        <f>INDEX(Monthly!$B$2:$B$61,A1721)</f>
        <v/>
      </c>
      <c r="F1721" s="44">
        <f>E1721*INDEX('Age profile'!$B$2:$B$61,B1721)</f>
        <v/>
      </c>
      <c r="G1721" s="45">
        <f>MIN(in_takeup_cap,INDEX('Age profile'!$N$2:$N$61,B1721)*(1+in_takeup_growth)^(D1721-1))</f>
        <v/>
      </c>
      <c r="H1721" s="11">
        <f>MIN(in_approval_cap,in_approved_first*INDEX('Age profile'!$O$2:$O$61,B1721)*(1+in_approval_growth)^(D1721-1))</f>
        <v/>
      </c>
      <c r="I1721" s="45">
        <f>G1721*MIN(in_takeup_cap,INDEX('Age profile'!$O$2:$O$61,B1721)*(1+in_approval_growth)^(D1721-1))</f>
        <v/>
      </c>
      <c r="J1721" s="40">
        <f>(J1720-L1720)*F1721/F1720</f>
        <v/>
      </c>
      <c r="K1721" s="40">
        <f>(K1720-M1720)*F1721/F1720+SUMIFS(O1712:O1720,B1712:B1720,B1721-1-d_T)*F1721</f>
        <v/>
      </c>
      <c r="L1721" s="40">
        <f>IF(B1721&gt;=in_marketplace_from,J1721*d_hz*G1721*in_eligible*H1721,0)</f>
        <v/>
      </c>
      <c r="M1721" s="40">
        <f>IF(B1721&gt;=in_marketplace_from,K1721*d_hz*G1721*in_eligible*in_approved_repeat,0)</f>
        <v/>
      </c>
      <c r="N1721" s="40">
        <f>L1721+M1721</f>
        <v/>
      </c>
      <c r="O1721" s="46">
        <f>N1721/F1721</f>
        <v/>
      </c>
      <c r="P1721" s="40">
        <f>F1721-J1721-K1721</f>
        <v/>
      </c>
      <c r="Q1721" s="40">
        <f>IF(B1721&gt;=in_marketplace_from,(J1721+K1721)*d_hz*G1721,0)</f>
        <v/>
      </c>
      <c r="R1721" s="40">
        <f>SUMIFS(N1712:N1726,B1712:B1726,"&gt;="&amp;(B1721-d_T),B1712:B1726,"&lt;="&amp;(B1721-1))</f>
        <v/>
      </c>
      <c r="S1721" s="46">
        <f>(1-d_u)*S1720+IF(d_T&gt;in_topup_lag,SUMIFS(O1712:O1726,B1712:B1726,B1721-in_topup_lag)-d_udrop*SUMIFS(O1712:O1726,B1712:B1726,B1721-d_T),0)</f>
        <v/>
      </c>
      <c r="T1721" s="40">
        <f>F1721*d_u*S1721</f>
        <v/>
      </c>
      <c r="U1721" s="9">
        <f>L1721*in_ticket+M1721*d_rep_ticket</f>
        <v/>
      </c>
      <c r="V1721" s="9">
        <f>U1721+T1721*d_topup_amt</f>
        <v/>
      </c>
      <c r="W1721" s="40">
        <f>N1721+T1721*d_topup_ratio</f>
        <v/>
      </c>
      <c r="X1721" s="40">
        <f>SUMIFS(W1712:W1726,B1712:B1726,B1721-in_dpd_lag)*d_cured</f>
        <v/>
      </c>
      <c r="Y1721" s="40">
        <f>SUMIFS(W1712:W1726,B1712:B1726,B1721-in_rec_lag)*d_recd</f>
        <v/>
      </c>
      <c r="Z1721" s="40">
        <f>IF(AND(B1721&gt;=in_marketplace_from,B1721&lt;in_marketplace_from+in_card_months),in_card_share/in_card_months*F1721*I1721,IF(AND(B1721&gt;=in_marketplace_from+in_card_months,B1721&lt;in_marketplace_from+2*in_card_months),in_card_share*d_card_rem/in_card_months*F1721*MIN(in_takeup_cap,(1+in_takeup_growth)^(D1721-1))*MIN(in_takeup_cap,(1+in_approval_growth)^(D1721-1)),0))</f>
        <v/>
      </c>
      <c r="AA1721" s="14">
        <f>V1721*in_fee*(1-in_taken_back)</f>
        <v/>
      </c>
      <c r="AB1721" s="14">
        <f>SUMIFS(W1712:W1726,B1712:B1726,B1721-in_dpd_lag)*d_dpd</f>
        <v/>
      </c>
      <c r="AC1721" s="14">
        <f>SUMIFS(W1712:W1726,B1712:B1726,B1721-in_rec_lag)*d_rec</f>
        <v/>
      </c>
      <c r="AD1721" s="14">
        <f>Z1721*in_card_fee</f>
        <v/>
      </c>
      <c r="AE1721" s="40">
        <f>AE1720*(1-IF(B1720&gt;=in_marketplace_from,d_hz_hlth_small*G1720,0))</f>
        <v/>
      </c>
      <c r="AF1721" s="46">
        <f>AE1721*IF(B1721&gt;=in_marketplace_from,d_hz_hlth_small*G1721,0)</f>
        <v/>
      </c>
      <c r="AG1721" s="14">
        <f>F1721*AF1721*in_hlth_small_ticket*in_hlth_small_comm*in_ins_partner_share+F1721*in_hlth_small_ticket*in_hlth_small_renew_comm*in_ins_partner_share*(in_hlth_small_renew^1*SUMIFS(AF1712:AF1726,B1712:B1726,B1721-12)+in_hlth_small_renew^2*SUMIFS(AF1712:AF1726,B1712:B1726,B1721-24)+in_hlth_small_renew^3*SUMIFS(AF1712:AF1726,B1712:B1726,B1721-36)+in_hlth_small_renew^4*SUMIFS(AF1712:AF1726,B1712:B1726,B1721-48))</f>
        <v/>
      </c>
      <c r="AH1721" s="40">
        <f>AH1720*(1-IF(B1720&gt;=in_marketplace_from,d_hz_hlth_family*G1720,0))</f>
        <v/>
      </c>
      <c r="AI1721" s="46">
        <f>AH1721*IF(B1721&gt;=in_marketplace_from,d_hz_hlth_family*G1721,0)</f>
        <v/>
      </c>
      <c r="AJ1721" s="14">
        <f>F1721*AI1721*in_hlth_family_ticket*in_hlth_family_comm*in_ins_partner_share+F1721*in_hlth_family_ticket*in_hlth_family_renew_comm*in_ins_partner_share*(in_hlth_family_renew^1*SUMIFS(AI1712:AI1726,B1712:B1726,B1721-12)+in_hlth_family_renew^2*SUMIFS(AI1712:AI1726,B1712:B1726,B1721-24)+in_hlth_family_renew^3*SUMIFS(AI1712:AI1726,B1712:B1726,B1721-36)+in_hlth_family_renew^4*SUMIFS(AI1712:AI1726,B1712:B1726,B1721-48))</f>
        <v/>
      </c>
      <c r="AK1721" s="40">
        <f>AK1720*(1-IF(B1720&gt;=in_marketplace_from,d_hz_life_term*G1720,0))</f>
        <v/>
      </c>
      <c r="AL1721" s="46">
        <f>AK1721*IF(B1721&gt;=in_marketplace_from,d_hz_life_term*G1721,0)</f>
        <v/>
      </c>
      <c r="AM1721" s="14">
        <f>F1721*AL1721*in_life_term_ticket*in_life_term_comm*in_ins_partner_share+F1721*in_life_term_ticket*in_life_term_renew_comm*in_ins_partner_share*(in_life_term_renew^1*SUMIFS(AL1712:AL1726,B1712:B1726,B1721-12)+in_life_term_renew^2*SUMIFS(AL1712:AL1726,B1712:B1726,B1721-24)+in_life_term_renew^3*SUMIFS(AL1712:AL1726,B1712:B1726,B1721-36)+in_life_term_renew^4*SUMIFS(AL1712:AL1726,B1712:B1726,B1721-48))</f>
        <v/>
      </c>
      <c r="AN1721" s="40">
        <f>AN1720*(1-IF(B1720&gt;=in_marketplace_from,d_hz_accident*G1720,0))</f>
        <v/>
      </c>
      <c r="AO1721" s="46">
        <f>AN1721*IF(B1721&gt;=in_marketplace_from,d_hz_accident*G1721,0)</f>
        <v/>
      </c>
      <c r="AP1721" s="14">
        <f>F1721*AO1721*in_accident_ticket*in_accident_comm*in_ins_partner_share+F1721*in_accident_ticket*in_accident_renew_comm*in_ins_partner_share*(in_accident_renew^1*SUMIFS(AO1712:AO1726,B1712:B1726,B1721-12)+in_accident_renew^2*SUMIFS(AO1712:AO1726,B1712:B1726,B1721-24)+in_accident_renew^3*SUMIFS(AO1712:AO1726,B1712:B1726,B1721-36)+in_accident_renew^4*SUMIFS(AO1712:AO1726,B1712:B1726,B1721-48))</f>
        <v/>
      </c>
      <c r="AQ1721" s="40">
        <f>AQ1720*(1-IF(B1720&gt;=in_marketplace_from,d_hz_two_wheeler*G1720,0))</f>
        <v/>
      </c>
      <c r="AR1721" s="46">
        <f>AQ1721*IF(B1721&gt;=in_marketplace_from,d_hz_two_wheeler*G1721,0)</f>
        <v/>
      </c>
      <c r="AS1721" s="14">
        <f>F1721*AR1721*in_two_wheeler_ticket*in_two_wheeler_comm*in_ins_partner_share+F1721*in_two_wheeler_ticket*in_two_wheeler_comm*in_ins_partner_share*(in_two_wheeler_renew^1*SUMIFS(AR1712:AR1726,B1712:B1726,B1721-12)+in_two_wheeler_renew^2*SUMIFS(AR1712:AR1726,B1712:B1726,B1721-24)+in_two_wheeler_renew^3*SUMIFS(AR1712:AR1726,B1712:B1726,B1721-36)+in_two_wheeler_renew^4*SUMIFS(AR1712:AR1726,B1712:B1726,B1721-48))</f>
        <v/>
      </c>
      <c r="AT1721" s="40">
        <f>AT1720*(1-IF(B1720&gt;=in_marketplace_from,d_hz_device*G1720,0))</f>
        <v/>
      </c>
      <c r="AU1721" s="14">
        <f>F1721*AT1721*IF(B1721&gt;=in_marketplace_from,d_hz_device*G1721,0)*in_device_ticket*in_device_comm*in_ins_partner_share</f>
        <v/>
      </c>
      <c r="AV1721" s="40">
        <f>AV1720*(1-IF(B1720&gt;=in_marketplace_from,d_hz_shop*G1720,0))</f>
        <v/>
      </c>
      <c r="AW1721" s="46">
        <f>AV1721*IF(B1721&gt;=in_marketplace_from,d_hz_shop*G1721,0)</f>
        <v/>
      </c>
      <c r="AX1721" s="14">
        <f>F1721*AW1721*in_shop_ticket*in_shop_comm*in_ins_partner_share+F1721*in_shop_ticket*in_shop_renew_comm*in_ins_partner_share*(in_shop_renew^1*SUMIFS(AW1712:AW1726,B1712:B1726,B1721-12)+in_shop_renew^2*SUMIFS(AW1712:AW1726,B1712:B1726,B1721-24)+in_shop_renew^3*SUMIFS(AW1712:AW1726,B1712:B1726,B1721-36)+in_shop_renew^4*SUMIFS(AW1712:AW1726,B1712:B1726,B1721-48))</f>
        <v/>
      </c>
      <c r="AY1721" s="40">
        <f>AY1720*(1-IF(B1720&gt;=in_marketplace_from,d_hz_sip*G1720,0))</f>
        <v/>
      </c>
      <c r="AZ1721" s="40">
        <f>AZ1720*d_rho_sip+AY1721*IF(B1721&gt;=in_marketplace_from,d_hz_sip*G1721,0)</f>
        <v/>
      </c>
      <c r="BA1721" s="40">
        <f>d_rho_sip*(BA1720+AZ1720)</f>
        <v/>
      </c>
      <c r="BB1721" s="14">
        <f>F1721*in_sip_ticket*(BA1721+0.5*AZ1721)*in_sip_comm/12</f>
        <v/>
      </c>
      <c r="BC1721" s="40">
        <f>BC1720*(1-IF(B1720&gt;=in_marketplace_from,d_hz_choti*G1720,0))</f>
        <v/>
      </c>
      <c r="BD1721" s="46">
        <f>BC1721*IF(B1721&gt;=in_marketplace_from,d_hz_choti*G1721,0)</f>
        <v/>
      </c>
      <c r="BE1721" s="14">
        <f>F1721*SUMIFS(BD1712:BD1726,B1712:B1726,B1721-in_choti_months)*in_choti_renew*in_choti_ticket</f>
        <v/>
      </c>
      <c r="BF1721" s="40">
        <f>BF1720*(1-IF(B1720&gt;=in_marketplace_from,d_hz_nps*G1720,0))</f>
        <v/>
      </c>
      <c r="BG1721" s="14">
        <f>F1721*BF1721*IF(B1721&gt;=in_marketplace_from,d_hz_nps*G1721,0)*in_nps_ticket*in_nps_comm</f>
        <v/>
      </c>
      <c r="BH1721" s="40">
        <f>BH1720*(1-IF(B1720&gt;=in_marketplace_from,d_hz_gold*G1720,0))</f>
        <v/>
      </c>
      <c r="BI1721" s="40">
        <f>BI1720*d_rho_gold+BH1721*IF(B1721&gt;=in_marketplace_from,d_hz_gold*G1721,0)</f>
        <v/>
      </c>
      <c r="BJ1721" s="14">
        <f>F1721*BI1721*in_gold_ticket*in_gold_comm</f>
        <v/>
      </c>
      <c r="BK1721" s="40">
        <f>BK1720*(1-IF(B1720&gt;=in_marketplace_from,d_hz_fd*G1720,0))</f>
        <v/>
      </c>
      <c r="BL1721" s="14">
        <f>F1721*BK1721*IF(B1721&gt;=in_marketplace_from,d_hz_fd*G1721,0)*in_fd_ticket*in_fd_comm</f>
        <v/>
      </c>
      <c r="BM1721" s="40">
        <f>BM1720*(1-IF(B1720&gt;=in_marketplace_from,d_hz_recharge*G1720,0))</f>
        <v/>
      </c>
      <c r="BN1721" s="40">
        <f>BN1720*d_rho_recharge+BM1721*IF(B1721&gt;=in_marketplace_from,d_hz_recharge*G1721,0)</f>
        <v/>
      </c>
      <c r="BO1721" s="14">
        <f>F1721*BN1721*in_recharge_ticket*in_recharge_comm/12</f>
        <v/>
      </c>
      <c r="BP1721" s="40">
        <f>BP1720*(1-IF(B1720&gt;=in_marketplace_from,d_hz_bills*G1720,0))</f>
        <v/>
      </c>
      <c r="BQ1721" s="40">
        <f>BQ1720*d_rho_bills+BP1721*IF(B1721&gt;=in_marketplace_from,d_hz_bills*G1721,0)</f>
        <v/>
      </c>
      <c r="BR1721" s="14">
        <f>F1721*BQ1721*in_bills_ticket*in_bills_comm/12</f>
        <v/>
      </c>
      <c r="BS1721" s="40">
        <f>BS1720*(1-IF(B1720&gt;=in_marketplace_from,d_hz_loan_gold*G1720,0))</f>
        <v/>
      </c>
      <c r="BT1721" s="14">
        <f>F1721*BS1721*IF(B1721&gt;=in_marketplace_from,d_hz_loan_gold*G1721,0)*in_loan_gold_ticket*in_loan_gold_comm</f>
        <v/>
      </c>
      <c r="BU1721" s="40">
        <f>BU1720*(1-IF(B1720&gt;=in_marketplace_from,d_hz_loan_cd*G1720,0))</f>
        <v/>
      </c>
      <c r="BV1721" s="14">
        <f>F1721*BU1721*IF(B1721&gt;=in_marketplace_from,d_hz_loan_cd*G1721,0)*in_loan_cd_ticket*in_loan_cd_comm</f>
        <v/>
      </c>
      <c r="BW1721" s="40">
        <f>BW1720*(1-IF(B1720&gt;=in_marketplace_from,d_hz_loan_vehicle*G1720,0))</f>
        <v/>
      </c>
      <c r="BX1721" s="14">
        <f>F1721*BW1721*IF(B1721&gt;=in_marketplace_from,d_hz_loan_vehicle*G1721,0)*in_loan_vehicle_ticket*in_loan_vehicle_comm</f>
        <v/>
      </c>
      <c r="BY1721" s="40">
        <f>BY1720*(1-IF(B1720&gt;=in_marketplace_from,d_hz_loan_home*G1720,0)*BZ1720)</f>
        <v/>
      </c>
      <c r="BZ1721" s="11">
        <f>MIN(in_approval_cap,in_loan_home_approval*INDEX('Age profile'!$O$2:$O$61,B1721)*(1+in_approval_growth)^(D1721-1))</f>
        <v/>
      </c>
      <c r="CA1721" s="14">
        <f>F1721*BY1721*IF(B1721&gt;=in_marketplace_from,d_hz_loan_home*G1721,0)*BZ1721*in_loan_home_ticket*in_loan_home_comm</f>
        <v/>
      </c>
      <c r="CB1721" s="40">
        <f>CB1720*(1-IF(B1720&gt;=in_marketplace_from,d_hz_loan_lap*G1720,0)*CC1720)</f>
        <v/>
      </c>
      <c r="CC1721" s="11">
        <f>MIN(in_approval_cap,in_loan_lap_approval*INDEX('Age profile'!$O$2:$O$61,B1721)*(1+in_approval_growth)^(D1721-1))</f>
        <v/>
      </c>
      <c r="CD1721" s="14">
        <f>F1721*CB1721*IF(B1721&gt;=in_marketplace_from,d_hz_loan_lap*G1721,0)*CC1721*in_loan_lap_ticket*in_loan_lap_comm</f>
        <v/>
      </c>
      <c r="CE1721" s="14">
        <f>AA1721+AB1721+AC1721+AD1721+AG1721+AJ1721+AM1721+AP1721+AS1721+AU1721+AX1721+BB1721+BE1721+BG1721+BJ1721+BL1721+BO1721+BR1721+BT1721+BV1721+BX1721+CA1721+CD1721</f>
        <v/>
      </c>
    </row>
    <row r="1722">
      <c r="A1722" s="39" t="n">
        <v>46</v>
      </c>
      <c r="B1722" s="39" t="n">
        <v>11</v>
      </c>
      <c r="C1722" s="39">
        <f>A1722+B1722-1</f>
        <v/>
      </c>
      <c r="D1722" s="39">
        <f>INT((C1722-1)/12)+1</f>
        <v/>
      </c>
      <c r="E1722" s="44">
        <f>INDEX(Monthly!$B$2:$B$61,A1722)</f>
        <v/>
      </c>
      <c r="F1722" s="44">
        <f>E1722*INDEX('Age profile'!$B$2:$B$61,B1722)</f>
        <v/>
      </c>
      <c r="G1722" s="45">
        <f>MIN(in_takeup_cap,INDEX('Age profile'!$N$2:$N$61,B1722)*(1+in_takeup_growth)^(D1722-1))</f>
        <v/>
      </c>
      <c r="H1722" s="11">
        <f>MIN(in_approval_cap,in_approved_first*INDEX('Age profile'!$O$2:$O$61,B1722)*(1+in_approval_growth)^(D1722-1))</f>
        <v/>
      </c>
      <c r="I1722" s="45">
        <f>G1722*MIN(in_takeup_cap,INDEX('Age profile'!$O$2:$O$61,B1722)*(1+in_approval_growth)^(D1722-1))</f>
        <v/>
      </c>
      <c r="J1722" s="40">
        <f>(J1721-L1721)*F1722/F1721</f>
        <v/>
      </c>
      <c r="K1722" s="40">
        <f>(K1721-M1721)*F1722/F1721+SUMIFS(O1712:O1721,B1712:B1721,B1722-1-d_T)*F1722</f>
        <v/>
      </c>
      <c r="L1722" s="40">
        <f>IF(B1722&gt;=in_marketplace_from,J1722*d_hz*G1722*in_eligible*H1722,0)</f>
        <v/>
      </c>
      <c r="M1722" s="40">
        <f>IF(B1722&gt;=in_marketplace_from,K1722*d_hz*G1722*in_eligible*in_approved_repeat,0)</f>
        <v/>
      </c>
      <c r="N1722" s="40">
        <f>L1722+M1722</f>
        <v/>
      </c>
      <c r="O1722" s="46">
        <f>N1722/F1722</f>
        <v/>
      </c>
      <c r="P1722" s="40">
        <f>F1722-J1722-K1722</f>
        <v/>
      </c>
      <c r="Q1722" s="40">
        <f>IF(B1722&gt;=in_marketplace_from,(J1722+K1722)*d_hz*G1722,0)</f>
        <v/>
      </c>
      <c r="R1722" s="40">
        <f>SUMIFS(N1712:N1726,B1712:B1726,"&gt;="&amp;(B1722-d_T),B1712:B1726,"&lt;="&amp;(B1722-1))</f>
        <v/>
      </c>
      <c r="S1722" s="46">
        <f>(1-d_u)*S1721+IF(d_T&gt;in_topup_lag,SUMIFS(O1712:O1726,B1712:B1726,B1722-in_topup_lag)-d_udrop*SUMIFS(O1712:O1726,B1712:B1726,B1722-d_T),0)</f>
        <v/>
      </c>
      <c r="T1722" s="40">
        <f>F1722*d_u*S1722</f>
        <v/>
      </c>
      <c r="U1722" s="9">
        <f>L1722*in_ticket+M1722*d_rep_ticket</f>
        <v/>
      </c>
      <c r="V1722" s="9">
        <f>U1722+T1722*d_topup_amt</f>
        <v/>
      </c>
      <c r="W1722" s="40">
        <f>N1722+T1722*d_topup_ratio</f>
        <v/>
      </c>
      <c r="X1722" s="40">
        <f>SUMIFS(W1712:W1726,B1712:B1726,B1722-in_dpd_lag)*d_cured</f>
        <v/>
      </c>
      <c r="Y1722" s="40">
        <f>SUMIFS(W1712:W1726,B1712:B1726,B1722-in_rec_lag)*d_recd</f>
        <v/>
      </c>
      <c r="Z1722" s="40">
        <f>IF(AND(B1722&gt;=in_marketplace_from,B1722&lt;in_marketplace_from+in_card_months),in_card_share/in_card_months*F1722*I1722,IF(AND(B1722&gt;=in_marketplace_from+in_card_months,B1722&lt;in_marketplace_from+2*in_card_months),in_card_share*d_card_rem/in_card_months*F1722*MIN(in_takeup_cap,(1+in_takeup_growth)^(D1722-1))*MIN(in_takeup_cap,(1+in_approval_growth)^(D1722-1)),0))</f>
        <v/>
      </c>
      <c r="AA1722" s="14">
        <f>V1722*in_fee*(1-in_taken_back)</f>
        <v/>
      </c>
      <c r="AB1722" s="14">
        <f>SUMIFS(W1712:W1726,B1712:B1726,B1722-in_dpd_lag)*d_dpd</f>
        <v/>
      </c>
      <c r="AC1722" s="14">
        <f>SUMIFS(W1712:W1726,B1712:B1726,B1722-in_rec_lag)*d_rec</f>
        <v/>
      </c>
      <c r="AD1722" s="14">
        <f>Z1722*in_card_fee</f>
        <v/>
      </c>
      <c r="AE1722" s="40">
        <f>AE1721*(1-IF(B1721&gt;=in_marketplace_from,d_hz_hlth_small*G1721,0))</f>
        <v/>
      </c>
      <c r="AF1722" s="46">
        <f>AE1722*IF(B1722&gt;=in_marketplace_from,d_hz_hlth_small*G1722,0)</f>
        <v/>
      </c>
      <c r="AG1722" s="14">
        <f>F1722*AF1722*in_hlth_small_ticket*in_hlth_small_comm*in_ins_partner_share+F1722*in_hlth_small_ticket*in_hlth_small_renew_comm*in_ins_partner_share*(in_hlth_small_renew^1*SUMIFS(AF1712:AF1726,B1712:B1726,B1722-12)+in_hlth_small_renew^2*SUMIFS(AF1712:AF1726,B1712:B1726,B1722-24)+in_hlth_small_renew^3*SUMIFS(AF1712:AF1726,B1712:B1726,B1722-36)+in_hlth_small_renew^4*SUMIFS(AF1712:AF1726,B1712:B1726,B1722-48))</f>
        <v/>
      </c>
      <c r="AH1722" s="40">
        <f>AH1721*(1-IF(B1721&gt;=in_marketplace_from,d_hz_hlth_family*G1721,0))</f>
        <v/>
      </c>
      <c r="AI1722" s="46">
        <f>AH1722*IF(B1722&gt;=in_marketplace_from,d_hz_hlth_family*G1722,0)</f>
        <v/>
      </c>
      <c r="AJ1722" s="14">
        <f>F1722*AI1722*in_hlth_family_ticket*in_hlth_family_comm*in_ins_partner_share+F1722*in_hlth_family_ticket*in_hlth_family_renew_comm*in_ins_partner_share*(in_hlth_family_renew^1*SUMIFS(AI1712:AI1726,B1712:B1726,B1722-12)+in_hlth_family_renew^2*SUMIFS(AI1712:AI1726,B1712:B1726,B1722-24)+in_hlth_family_renew^3*SUMIFS(AI1712:AI1726,B1712:B1726,B1722-36)+in_hlth_family_renew^4*SUMIFS(AI1712:AI1726,B1712:B1726,B1722-48))</f>
        <v/>
      </c>
      <c r="AK1722" s="40">
        <f>AK1721*(1-IF(B1721&gt;=in_marketplace_from,d_hz_life_term*G1721,0))</f>
        <v/>
      </c>
      <c r="AL1722" s="46">
        <f>AK1722*IF(B1722&gt;=in_marketplace_from,d_hz_life_term*G1722,0)</f>
        <v/>
      </c>
      <c r="AM1722" s="14">
        <f>F1722*AL1722*in_life_term_ticket*in_life_term_comm*in_ins_partner_share+F1722*in_life_term_ticket*in_life_term_renew_comm*in_ins_partner_share*(in_life_term_renew^1*SUMIFS(AL1712:AL1726,B1712:B1726,B1722-12)+in_life_term_renew^2*SUMIFS(AL1712:AL1726,B1712:B1726,B1722-24)+in_life_term_renew^3*SUMIFS(AL1712:AL1726,B1712:B1726,B1722-36)+in_life_term_renew^4*SUMIFS(AL1712:AL1726,B1712:B1726,B1722-48))</f>
        <v/>
      </c>
      <c r="AN1722" s="40">
        <f>AN1721*(1-IF(B1721&gt;=in_marketplace_from,d_hz_accident*G1721,0))</f>
        <v/>
      </c>
      <c r="AO1722" s="46">
        <f>AN1722*IF(B1722&gt;=in_marketplace_from,d_hz_accident*G1722,0)</f>
        <v/>
      </c>
      <c r="AP1722" s="14">
        <f>F1722*AO1722*in_accident_ticket*in_accident_comm*in_ins_partner_share+F1722*in_accident_ticket*in_accident_renew_comm*in_ins_partner_share*(in_accident_renew^1*SUMIFS(AO1712:AO1726,B1712:B1726,B1722-12)+in_accident_renew^2*SUMIFS(AO1712:AO1726,B1712:B1726,B1722-24)+in_accident_renew^3*SUMIFS(AO1712:AO1726,B1712:B1726,B1722-36)+in_accident_renew^4*SUMIFS(AO1712:AO1726,B1712:B1726,B1722-48))</f>
        <v/>
      </c>
      <c r="AQ1722" s="40">
        <f>AQ1721*(1-IF(B1721&gt;=in_marketplace_from,d_hz_two_wheeler*G1721,0))</f>
        <v/>
      </c>
      <c r="AR1722" s="46">
        <f>AQ1722*IF(B1722&gt;=in_marketplace_from,d_hz_two_wheeler*G1722,0)</f>
        <v/>
      </c>
      <c r="AS1722" s="14">
        <f>F1722*AR1722*in_two_wheeler_ticket*in_two_wheeler_comm*in_ins_partner_share+F1722*in_two_wheeler_ticket*in_two_wheeler_comm*in_ins_partner_share*(in_two_wheeler_renew^1*SUMIFS(AR1712:AR1726,B1712:B1726,B1722-12)+in_two_wheeler_renew^2*SUMIFS(AR1712:AR1726,B1712:B1726,B1722-24)+in_two_wheeler_renew^3*SUMIFS(AR1712:AR1726,B1712:B1726,B1722-36)+in_two_wheeler_renew^4*SUMIFS(AR1712:AR1726,B1712:B1726,B1722-48))</f>
        <v/>
      </c>
      <c r="AT1722" s="40">
        <f>AT1721*(1-IF(B1721&gt;=in_marketplace_from,d_hz_device*G1721,0))</f>
        <v/>
      </c>
      <c r="AU1722" s="14">
        <f>F1722*AT1722*IF(B1722&gt;=in_marketplace_from,d_hz_device*G1722,0)*in_device_ticket*in_device_comm*in_ins_partner_share</f>
        <v/>
      </c>
      <c r="AV1722" s="40">
        <f>AV1721*(1-IF(B1721&gt;=in_marketplace_from,d_hz_shop*G1721,0))</f>
        <v/>
      </c>
      <c r="AW1722" s="46">
        <f>AV1722*IF(B1722&gt;=in_marketplace_from,d_hz_shop*G1722,0)</f>
        <v/>
      </c>
      <c r="AX1722" s="14">
        <f>F1722*AW1722*in_shop_ticket*in_shop_comm*in_ins_partner_share+F1722*in_shop_ticket*in_shop_renew_comm*in_ins_partner_share*(in_shop_renew^1*SUMIFS(AW1712:AW1726,B1712:B1726,B1722-12)+in_shop_renew^2*SUMIFS(AW1712:AW1726,B1712:B1726,B1722-24)+in_shop_renew^3*SUMIFS(AW1712:AW1726,B1712:B1726,B1722-36)+in_shop_renew^4*SUMIFS(AW1712:AW1726,B1712:B1726,B1722-48))</f>
        <v/>
      </c>
      <c r="AY1722" s="40">
        <f>AY1721*(1-IF(B1721&gt;=in_marketplace_from,d_hz_sip*G1721,0))</f>
        <v/>
      </c>
      <c r="AZ1722" s="40">
        <f>AZ1721*d_rho_sip+AY1722*IF(B1722&gt;=in_marketplace_from,d_hz_sip*G1722,0)</f>
        <v/>
      </c>
      <c r="BA1722" s="40">
        <f>d_rho_sip*(BA1721+AZ1721)</f>
        <v/>
      </c>
      <c r="BB1722" s="14">
        <f>F1722*in_sip_ticket*(BA1722+0.5*AZ1722)*in_sip_comm/12</f>
        <v/>
      </c>
      <c r="BC1722" s="40">
        <f>BC1721*(1-IF(B1721&gt;=in_marketplace_from,d_hz_choti*G1721,0))</f>
        <v/>
      </c>
      <c r="BD1722" s="46">
        <f>BC1722*IF(B1722&gt;=in_marketplace_from,d_hz_choti*G1722,0)</f>
        <v/>
      </c>
      <c r="BE1722" s="14">
        <f>F1722*SUMIFS(BD1712:BD1726,B1712:B1726,B1722-in_choti_months)*in_choti_renew*in_choti_ticket</f>
        <v/>
      </c>
      <c r="BF1722" s="40">
        <f>BF1721*(1-IF(B1721&gt;=in_marketplace_from,d_hz_nps*G1721,0))</f>
        <v/>
      </c>
      <c r="BG1722" s="14">
        <f>F1722*BF1722*IF(B1722&gt;=in_marketplace_from,d_hz_nps*G1722,0)*in_nps_ticket*in_nps_comm</f>
        <v/>
      </c>
      <c r="BH1722" s="40">
        <f>BH1721*(1-IF(B1721&gt;=in_marketplace_from,d_hz_gold*G1721,0))</f>
        <v/>
      </c>
      <c r="BI1722" s="40">
        <f>BI1721*d_rho_gold+BH1722*IF(B1722&gt;=in_marketplace_from,d_hz_gold*G1722,0)</f>
        <v/>
      </c>
      <c r="BJ1722" s="14">
        <f>F1722*BI1722*in_gold_ticket*in_gold_comm</f>
        <v/>
      </c>
      <c r="BK1722" s="40">
        <f>BK1721*(1-IF(B1721&gt;=in_marketplace_from,d_hz_fd*G1721,0))</f>
        <v/>
      </c>
      <c r="BL1722" s="14">
        <f>F1722*BK1722*IF(B1722&gt;=in_marketplace_from,d_hz_fd*G1722,0)*in_fd_ticket*in_fd_comm</f>
        <v/>
      </c>
      <c r="BM1722" s="40">
        <f>BM1721*(1-IF(B1721&gt;=in_marketplace_from,d_hz_recharge*G1721,0))</f>
        <v/>
      </c>
      <c r="BN1722" s="40">
        <f>BN1721*d_rho_recharge+BM1722*IF(B1722&gt;=in_marketplace_from,d_hz_recharge*G1722,0)</f>
        <v/>
      </c>
      <c r="BO1722" s="14">
        <f>F1722*BN1722*in_recharge_ticket*in_recharge_comm/12</f>
        <v/>
      </c>
      <c r="BP1722" s="40">
        <f>BP1721*(1-IF(B1721&gt;=in_marketplace_from,d_hz_bills*G1721,0))</f>
        <v/>
      </c>
      <c r="BQ1722" s="40">
        <f>BQ1721*d_rho_bills+BP1722*IF(B1722&gt;=in_marketplace_from,d_hz_bills*G1722,0)</f>
        <v/>
      </c>
      <c r="BR1722" s="14">
        <f>F1722*BQ1722*in_bills_ticket*in_bills_comm/12</f>
        <v/>
      </c>
      <c r="BS1722" s="40">
        <f>BS1721*(1-IF(B1721&gt;=in_marketplace_from,d_hz_loan_gold*G1721,0))</f>
        <v/>
      </c>
      <c r="BT1722" s="14">
        <f>F1722*BS1722*IF(B1722&gt;=in_marketplace_from,d_hz_loan_gold*G1722,0)*in_loan_gold_ticket*in_loan_gold_comm</f>
        <v/>
      </c>
      <c r="BU1722" s="40">
        <f>BU1721*(1-IF(B1721&gt;=in_marketplace_from,d_hz_loan_cd*G1721,0))</f>
        <v/>
      </c>
      <c r="BV1722" s="14">
        <f>F1722*BU1722*IF(B1722&gt;=in_marketplace_from,d_hz_loan_cd*G1722,0)*in_loan_cd_ticket*in_loan_cd_comm</f>
        <v/>
      </c>
      <c r="BW1722" s="40">
        <f>BW1721*(1-IF(B1721&gt;=in_marketplace_from,d_hz_loan_vehicle*G1721,0))</f>
        <v/>
      </c>
      <c r="BX1722" s="14">
        <f>F1722*BW1722*IF(B1722&gt;=in_marketplace_from,d_hz_loan_vehicle*G1722,0)*in_loan_vehicle_ticket*in_loan_vehicle_comm</f>
        <v/>
      </c>
      <c r="BY1722" s="40">
        <f>BY1721*(1-IF(B1721&gt;=in_marketplace_from,d_hz_loan_home*G1721,0)*BZ1721)</f>
        <v/>
      </c>
      <c r="BZ1722" s="11">
        <f>MIN(in_approval_cap,in_loan_home_approval*INDEX('Age profile'!$O$2:$O$61,B1722)*(1+in_approval_growth)^(D1722-1))</f>
        <v/>
      </c>
      <c r="CA1722" s="14">
        <f>F1722*BY1722*IF(B1722&gt;=in_marketplace_from,d_hz_loan_home*G1722,0)*BZ1722*in_loan_home_ticket*in_loan_home_comm</f>
        <v/>
      </c>
      <c r="CB1722" s="40">
        <f>CB1721*(1-IF(B1721&gt;=in_marketplace_from,d_hz_loan_lap*G1721,0)*CC1721)</f>
        <v/>
      </c>
      <c r="CC1722" s="11">
        <f>MIN(in_approval_cap,in_loan_lap_approval*INDEX('Age profile'!$O$2:$O$61,B1722)*(1+in_approval_growth)^(D1722-1))</f>
        <v/>
      </c>
      <c r="CD1722" s="14">
        <f>F1722*CB1722*IF(B1722&gt;=in_marketplace_from,d_hz_loan_lap*G1722,0)*CC1722*in_loan_lap_ticket*in_loan_lap_comm</f>
        <v/>
      </c>
      <c r="CE1722" s="14">
        <f>AA1722+AB1722+AC1722+AD1722+AG1722+AJ1722+AM1722+AP1722+AS1722+AU1722+AX1722+BB1722+BE1722+BG1722+BJ1722+BL1722+BO1722+BR1722+BT1722+BV1722+BX1722+CA1722+CD1722</f>
        <v/>
      </c>
    </row>
    <row r="1723">
      <c r="A1723" s="39" t="n">
        <v>46</v>
      </c>
      <c r="B1723" s="39" t="n">
        <v>12</v>
      </c>
      <c r="C1723" s="39">
        <f>A1723+B1723-1</f>
        <v/>
      </c>
      <c r="D1723" s="39">
        <f>INT((C1723-1)/12)+1</f>
        <v/>
      </c>
      <c r="E1723" s="44">
        <f>INDEX(Monthly!$B$2:$B$61,A1723)</f>
        <v/>
      </c>
      <c r="F1723" s="44">
        <f>E1723*INDEX('Age profile'!$B$2:$B$61,B1723)</f>
        <v/>
      </c>
      <c r="G1723" s="45">
        <f>MIN(in_takeup_cap,INDEX('Age profile'!$N$2:$N$61,B1723)*(1+in_takeup_growth)^(D1723-1))</f>
        <v/>
      </c>
      <c r="H1723" s="11">
        <f>MIN(in_approval_cap,in_approved_first*INDEX('Age profile'!$O$2:$O$61,B1723)*(1+in_approval_growth)^(D1723-1))</f>
        <v/>
      </c>
      <c r="I1723" s="45">
        <f>G1723*MIN(in_takeup_cap,INDEX('Age profile'!$O$2:$O$61,B1723)*(1+in_approval_growth)^(D1723-1))</f>
        <v/>
      </c>
      <c r="J1723" s="40">
        <f>(J1722-L1722)*F1723/F1722</f>
        <v/>
      </c>
      <c r="K1723" s="40">
        <f>(K1722-M1722)*F1723/F1722+SUMIFS(O1712:O1722,B1712:B1722,B1723-1-d_T)*F1723</f>
        <v/>
      </c>
      <c r="L1723" s="40">
        <f>IF(B1723&gt;=in_marketplace_from,J1723*d_hz*G1723*in_eligible*H1723,0)</f>
        <v/>
      </c>
      <c r="M1723" s="40">
        <f>IF(B1723&gt;=in_marketplace_from,K1723*d_hz*G1723*in_eligible*in_approved_repeat,0)</f>
        <v/>
      </c>
      <c r="N1723" s="40">
        <f>L1723+M1723</f>
        <v/>
      </c>
      <c r="O1723" s="46">
        <f>N1723/F1723</f>
        <v/>
      </c>
      <c r="P1723" s="40">
        <f>F1723-J1723-K1723</f>
        <v/>
      </c>
      <c r="Q1723" s="40">
        <f>IF(B1723&gt;=in_marketplace_from,(J1723+K1723)*d_hz*G1723,0)</f>
        <v/>
      </c>
      <c r="R1723" s="40">
        <f>SUMIFS(N1712:N1726,B1712:B1726,"&gt;="&amp;(B1723-d_T),B1712:B1726,"&lt;="&amp;(B1723-1))</f>
        <v/>
      </c>
      <c r="S1723" s="46">
        <f>(1-d_u)*S1722+IF(d_T&gt;in_topup_lag,SUMIFS(O1712:O1726,B1712:B1726,B1723-in_topup_lag)-d_udrop*SUMIFS(O1712:O1726,B1712:B1726,B1723-d_T),0)</f>
        <v/>
      </c>
      <c r="T1723" s="40">
        <f>F1723*d_u*S1723</f>
        <v/>
      </c>
      <c r="U1723" s="9">
        <f>L1723*in_ticket+M1723*d_rep_ticket</f>
        <v/>
      </c>
      <c r="V1723" s="9">
        <f>U1723+T1723*d_topup_amt</f>
        <v/>
      </c>
      <c r="W1723" s="40">
        <f>N1723+T1723*d_topup_ratio</f>
        <v/>
      </c>
      <c r="X1723" s="40">
        <f>SUMIFS(W1712:W1726,B1712:B1726,B1723-in_dpd_lag)*d_cured</f>
        <v/>
      </c>
      <c r="Y1723" s="40">
        <f>SUMIFS(W1712:W1726,B1712:B1726,B1723-in_rec_lag)*d_recd</f>
        <v/>
      </c>
      <c r="Z1723" s="40">
        <f>IF(AND(B1723&gt;=in_marketplace_from,B1723&lt;in_marketplace_from+in_card_months),in_card_share/in_card_months*F1723*I1723,IF(AND(B1723&gt;=in_marketplace_from+in_card_months,B1723&lt;in_marketplace_from+2*in_card_months),in_card_share*d_card_rem/in_card_months*F1723*MIN(in_takeup_cap,(1+in_takeup_growth)^(D1723-1))*MIN(in_takeup_cap,(1+in_approval_growth)^(D1723-1)),0))</f>
        <v/>
      </c>
      <c r="AA1723" s="14">
        <f>V1723*in_fee*(1-in_taken_back)</f>
        <v/>
      </c>
      <c r="AB1723" s="14">
        <f>SUMIFS(W1712:W1726,B1712:B1726,B1723-in_dpd_lag)*d_dpd</f>
        <v/>
      </c>
      <c r="AC1723" s="14">
        <f>SUMIFS(W1712:W1726,B1712:B1726,B1723-in_rec_lag)*d_rec</f>
        <v/>
      </c>
      <c r="AD1723" s="14">
        <f>Z1723*in_card_fee</f>
        <v/>
      </c>
      <c r="AE1723" s="40">
        <f>AE1722*(1-IF(B1722&gt;=in_marketplace_from,d_hz_hlth_small*G1722,0))</f>
        <v/>
      </c>
      <c r="AF1723" s="46">
        <f>AE1723*IF(B1723&gt;=in_marketplace_from,d_hz_hlth_small*G1723,0)</f>
        <v/>
      </c>
      <c r="AG1723" s="14">
        <f>F1723*AF1723*in_hlth_small_ticket*in_hlth_small_comm*in_ins_partner_share+F1723*in_hlth_small_ticket*in_hlth_small_renew_comm*in_ins_partner_share*(in_hlth_small_renew^1*SUMIFS(AF1712:AF1726,B1712:B1726,B1723-12)+in_hlth_small_renew^2*SUMIFS(AF1712:AF1726,B1712:B1726,B1723-24)+in_hlth_small_renew^3*SUMIFS(AF1712:AF1726,B1712:B1726,B1723-36)+in_hlth_small_renew^4*SUMIFS(AF1712:AF1726,B1712:B1726,B1723-48))</f>
        <v/>
      </c>
      <c r="AH1723" s="40">
        <f>AH1722*(1-IF(B1722&gt;=in_marketplace_from,d_hz_hlth_family*G1722,0))</f>
        <v/>
      </c>
      <c r="AI1723" s="46">
        <f>AH1723*IF(B1723&gt;=in_marketplace_from,d_hz_hlth_family*G1723,0)</f>
        <v/>
      </c>
      <c r="AJ1723" s="14">
        <f>F1723*AI1723*in_hlth_family_ticket*in_hlth_family_comm*in_ins_partner_share+F1723*in_hlth_family_ticket*in_hlth_family_renew_comm*in_ins_partner_share*(in_hlth_family_renew^1*SUMIFS(AI1712:AI1726,B1712:B1726,B1723-12)+in_hlth_family_renew^2*SUMIFS(AI1712:AI1726,B1712:B1726,B1723-24)+in_hlth_family_renew^3*SUMIFS(AI1712:AI1726,B1712:B1726,B1723-36)+in_hlth_family_renew^4*SUMIFS(AI1712:AI1726,B1712:B1726,B1723-48))</f>
        <v/>
      </c>
      <c r="AK1723" s="40">
        <f>AK1722*(1-IF(B1722&gt;=in_marketplace_from,d_hz_life_term*G1722,0))</f>
        <v/>
      </c>
      <c r="AL1723" s="46">
        <f>AK1723*IF(B1723&gt;=in_marketplace_from,d_hz_life_term*G1723,0)</f>
        <v/>
      </c>
      <c r="AM1723" s="14">
        <f>F1723*AL1723*in_life_term_ticket*in_life_term_comm*in_ins_partner_share+F1723*in_life_term_ticket*in_life_term_renew_comm*in_ins_partner_share*(in_life_term_renew^1*SUMIFS(AL1712:AL1726,B1712:B1726,B1723-12)+in_life_term_renew^2*SUMIFS(AL1712:AL1726,B1712:B1726,B1723-24)+in_life_term_renew^3*SUMIFS(AL1712:AL1726,B1712:B1726,B1723-36)+in_life_term_renew^4*SUMIFS(AL1712:AL1726,B1712:B1726,B1723-48))</f>
        <v/>
      </c>
      <c r="AN1723" s="40">
        <f>AN1722*(1-IF(B1722&gt;=in_marketplace_from,d_hz_accident*G1722,0))</f>
        <v/>
      </c>
      <c r="AO1723" s="46">
        <f>AN1723*IF(B1723&gt;=in_marketplace_from,d_hz_accident*G1723,0)</f>
        <v/>
      </c>
      <c r="AP1723" s="14">
        <f>F1723*AO1723*in_accident_ticket*in_accident_comm*in_ins_partner_share+F1723*in_accident_ticket*in_accident_renew_comm*in_ins_partner_share*(in_accident_renew^1*SUMIFS(AO1712:AO1726,B1712:B1726,B1723-12)+in_accident_renew^2*SUMIFS(AO1712:AO1726,B1712:B1726,B1723-24)+in_accident_renew^3*SUMIFS(AO1712:AO1726,B1712:B1726,B1723-36)+in_accident_renew^4*SUMIFS(AO1712:AO1726,B1712:B1726,B1723-48))</f>
        <v/>
      </c>
      <c r="AQ1723" s="40">
        <f>AQ1722*(1-IF(B1722&gt;=in_marketplace_from,d_hz_two_wheeler*G1722,0))</f>
        <v/>
      </c>
      <c r="AR1723" s="46">
        <f>AQ1723*IF(B1723&gt;=in_marketplace_from,d_hz_two_wheeler*G1723,0)</f>
        <v/>
      </c>
      <c r="AS1723" s="14">
        <f>F1723*AR1723*in_two_wheeler_ticket*in_two_wheeler_comm*in_ins_partner_share+F1723*in_two_wheeler_ticket*in_two_wheeler_comm*in_ins_partner_share*(in_two_wheeler_renew^1*SUMIFS(AR1712:AR1726,B1712:B1726,B1723-12)+in_two_wheeler_renew^2*SUMIFS(AR1712:AR1726,B1712:B1726,B1723-24)+in_two_wheeler_renew^3*SUMIFS(AR1712:AR1726,B1712:B1726,B1723-36)+in_two_wheeler_renew^4*SUMIFS(AR1712:AR1726,B1712:B1726,B1723-48))</f>
        <v/>
      </c>
      <c r="AT1723" s="40">
        <f>AT1722*(1-IF(B1722&gt;=in_marketplace_from,d_hz_device*G1722,0))</f>
        <v/>
      </c>
      <c r="AU1723" s="14">
        <f>F1723*AT1723*IF(B1723&gt;=in_marketplace_from,d_hz_device*G1723,0)*in_device_ticket*in_device_comm*in_ins_partner_share</f>
        <v/>
      </c>
      <c r="AV1723" s="40">
        <f>AV1722*(1-IF(B1722&gt;=in_marketplace_from,d_hz_shop*G1722,0))</f>
        <v/>
      </c>
      <c r="AW1723" s="46">
        <f>AV1723*IF(B1723&gt;=in_marketplace_from,d_hz_shop*G1723,0)</f>
        <v/>
      </c>
      <c r="AX1723" s="14">
        <f>F1723*AW1723*in_shop_ticket*in_shop_comm*in_ins_partner_share+F1723*in_shop_ticket*in_shop_renew_comm*in_ins_partner_share*(in_shop_renew^1*SUMIFS(AW1712:AW1726,B1712:B1726,B1723-12)+in_shop_renew^2*SUMIFS(AW1712:AW1726,B1712:B1726,B1723-24)+in_shop_renew^3*SUMIFS(AW1712:AW1726,B1712:B1726,B1723-36)+in_shop_renew^4*SUMIFS(AW1712:AW1726,B1712:B1726,B1723-48))</f>
        <v/>
      </c>
      <c r="AY1723" s="40">
        <f>AY1722*(1-IF(B1722&gt;=in_marketplace_from,d_hz_sip*G1722,0))</f>
        <v/>
      </c>
      <c r="AZ1723" s="40">
        <f>AZ1722*d_rho_sip+AY1723*IF(B1723&gt;=in_marketplace_from,d_hz_sip*G1723,0)</f>
        <v/>
      </c>
      <c r="BA1723" s="40">
        <f>d_rho_sip*(BA1722+AZ1722)</f>
        <v/>
      </c>
      <c r="BB1723" s="14">
        <f>F1723*in_sip_ticket*(BA1723+0.5*AZ1723)*in_sip_comm/12</f>
        <v/>
      </c>
      <c r="BC1723" s="40">
        <f>BC1722*(1-IF(B1722&gt;=in_marketplace_from,d_hz_choti*G1722,0))</f>
        <v/>
      </c>
      <c r="BD1723" s="46">
        <f>BC1723*IF(B1723&gt;=in_marketplace_from,d_hz_choti*G1723,0)</f>
        <v/>
      </c>
      <c r="BE1723" s="14">
        <f>F1723*SUMIFS(BD1712:BD1726,B1712:B1726,B1723-in_choti_months)*in_choti_renew*in_choti_ticket</f>
        <v/>
      </c>
      <c r="BF1723" s="40">
        <f>BF1722*(1-IF(B1722&gt;=in_marketplace_from,d_hz_nps*G1722,0))</f>
        <v/>
      </c>
      <c r="BG1723" s="14">
        <f>F1723*BF1723*IF(B1723&gt;=in_marketplace_from,d_hz_nps*G1723,0)*in_nps_ticket*in_nps_comm</f>
        <v/>
      </c>
      <c r="BH1723" s="40">
        <f>BH1722*(1-IF(B1722&gt;=in_marketplace_from,d_hz_gold*G1722,0))</f>
        <v/>
      </c>
      <c r="BI1723" s="40">
        <f>BI1722*d_rho_gold+BH1723*IF(B1723&gt;=in_marketplace_from,d_hz_gold*G1723,0)</f>
        <v/>
      </c>
      <c r="BJ1723" s="14">
        <f>F1723*BI1723*in_gold_ticket*in_gold_comm</f>
        <v/>
      </c>
      <c r="BK1723" s="40">
        <f>BK1722*(1-IF(B1722&gt;=in_marketplace_from,d_hz_fd*G1722,0))</f>
        <v/>
      </c>
      <c r="BL1723" s="14">
        <f>F1723*BK1723*IF(B1723&gt;=in_marketplace_from,d_hz_fd*G1723,0)*in_fd_ticket*in_fd_comm</f>
        <v/>
      </c>
      <c r="BM1723" s="40">
        <f>BM1722*(1-IF(B1722&gt;=in_marketplace_from,d_hz_recharge*G1722,0))</f>
        <v/>
      </c>
      <c r="BN1723" s="40">
        <f>BN1722*d_rho_recharge+BM1723*IF(B1723&gt;=in_marketplace_from,d_hz_recharge*G1723,0)</f>
        <v/>
      </c>
      <c r="BO1723" s="14">
        <f>F1723*BN1723*in_recharge_ticket*in_recharge_comm/12</f>
        <v/>
      </c>
      <c r="BP1723" s="40">
        <f>BP1722*(1-IF(B1722&gt;=in_marketplace_from,d_hz_bills*G1722,0))</f>
        <v/>
      </c>
      <c r="BQ1723" s="40">
        <f>BQ1722*d_rho_bills+BP1723*IF(B1723&gt;=in_marketplace_from,d_hz_bills*G1723,0)</f>
        <v/>
      </c>
      <c r="BR1723" s="14">
        <f>F1723*BQ1723*in_bills_ticket*in_bills_comm/12</f>
        <v/>
      </c>
      <c r="BS1723" s="40">
        <f>BS1722*(1-IF(B1722&gt;=in_marketplace_from,d_hz_loan_gold*G1722,0))</f>
        <v/>
      </c>
      <c r="BT1723" s="14">
        <f>F1723*BS1723*IF(B1723&gt;=in_marketplace_from,d_hz_loan_gold*G1723,0)*in_loan_gold_ticket*in_loan_gold_comm</f>
        <v/>
      </c>
      <c r="BU1723" s="40">
        <f>BU1722*(1-IF(B1722&gt;=in_marketplace_from,d_hz_loan_cd*G1722,0))</f>
        <v/>
      </c>
      <c r="BV1723" s="14">
        <f>F1723*BU1723*IF(B1723&gt;=in_marketplace_from,d_hz_loan_cd*G1723,0)*in_loan_cd_ticket*in_loan_cd_comm</f>
        <v/>
      </c>
      <c r="BW1723" s="40">
        <f>BW1722*(1-IF(B1722&gt;=in_marketplace_from,d_hz_loan_vehicle*G1722,0))</f>
        <v/>
      </c>
      <c r="BX1723" s="14">
        <f>F1723*BW1723*IF(B1723&gt;=in_marketplace_from,d_hz_loan_vehicle*G1723,0)*in_loan_vehicle_ticket*in_loan_vehicle_comm</f>
        <v/>
      </c>
      <c r="BY1723" s="40">
        <f>BY1722*(1-IF(B1722&gt;=in_marketplace_from,d_hz_loan_home*G1722,0)*BZ1722)</f>
        <v/>
      </c>
      <c r="BZ1723" s="11">
        <f>MIN(in_approval_cap,in_loan_home_approval*INDEX('Age profile'!$O$2:$O$61,B1723)*(1+in_approval_growth)^(D1723-1))</f>
        <v/>
      </c>
      <c r="CA1723" s="14">
        <f>F1723*BY1723*IF(B1723&gt;=in_marketplace_from,d_hz_loan_home*G1723,0)*BZ1723*in_loan_home_ticket*in_loan_home_comm</f>
        <v/>
      </c>
      <c r="CB1723" s="40">
        <f>CB1722*(1-IF(B1722&gt;=in_marketplace_from,d_hz_loan_lap*G1722,0)*CC1722)</f>
        <v/>
      </c>
      <c r="CC1723" s="11">
        <f>MIN(in_approval_cap,in_loan_lap_approval*INDEX('Age profile'!$O$2:$O$61,B1723)*(1+in_approval_growth)^(D1723-1))</f>
        <v/>
      </c>
      <c r="CD1723" s="14">
        <f>F1723*CB1723*IF(B1723&gt;=in_marketplace_from,d_hz_loan_lap*G1723,0)*CC1723*in_loan_lap_ticket*in_loan_lap_comm</f>
        <v/>
      </c>
      <c r="CE1723" s="14">
        <f>AA1723+AB1723+AC1723+AD1723+AG1723+AJ1723+AM1723+AP1723+AS1723+AU1723+AX1723+BB1723+BE1723+BG1723+BJ1723+BL1723+BO1723+BR1723+BT1723+BV1723+BX1723+CA1723+CD1723</f>
        <v/>
      </c>
    </row>
    <row r="1724">
      <c r="A1724" s="39" t="n">
        <v>46</v>
      </c>
      <c r="B1724" s="39" t="n">
        <v>13</v>
      </c>
      <c r="C1724" s="39">
        <f>A1724+B1724-1</f>
        <v/>
      </c>
      <c r="D1724" s="39">
        <f>INT((C1724-1)/12)+1</f>
        <v/>
      </c>
      <c r="E1724" s="44">
        <f>INDEX(Monthly!$B$2:$B$61,A1724)</f>
        <v/>
      </c>
      <c r="F1724" s="44">
        <f>E1724*INDEX('Age profile'!$B$2:$B$61,B1724)</f>
        <v/>
      </c>
      <c r="G1724" s="45">
        <f>MIN(in_takeup_cap,INDEX('Age profile'!$N$2:$N$61,B1724)*(1+in_takeup_growth)^(D1724-1))</f>
        <v/>
      </c>
      <c r="H1724" s="11">
        <f>MIN(in_approval_cap,in_approved_first*INDEX('Age profile'!$O$2:$O$61,B1724)*(1+in_approval_growth)^(D1724-1))</f>
        <v/>
      </c>
      <c r="I1724" s="45">
        <f>G1724*MIN(in_takeup_cap,INDEX('Age profile'!$O$2:$O$61,B1724)*(1+in_approval_growth)^(D1724-1))</f>
        <v/>
      </c>
      <c r="J1724" s="40">
        <f>(J1723-L1723)*F1724/F1723</f>
        <v/>
      </c>
      <c r="K1724" s="40">
        <f>(K1723-M1723)*F1724/F1723+SUMIFS(O1712:O1723,B1712:B1723,B1724-1-d_T)*F1724</f>
        <v/>
      </c>
      <c r="L1724" s="40">
        <f>IF(B1724&gt;=in_marketplace_from,J1724*d_hz*G1724*in_eligible*H1724,0)</f>
        <v/>
      </c>
      <c r="M1724" s="40">
        <f>IF(B1724&gt;=in_marketplace_from,K1724*d_hz*G1724*in_eligible*in_approved_repeat,0)</f>
        <v/>
      </c>
      <c r="N1724" s="40">
        <f>L1724+M1724</f>
        <v/>
      </c>
      <c r="O1724" s="46">
        <f>N1724/F1724</f>
        <v/>
      </c>
      <c r="P1724" s="40">
        <f>F1724-J1724-K1724</f>
        <v/>
      </c>
      <c r="Q1724" s="40">
        <f>IF(B1724&gt;=in_marketplace_from,(J1724+K1724)*d_hz*G1724,0)</f>
        <v/>
      </c>
      <c r="R1724" s="40">
        <f>SUMIFS(N1712:N1726,B1712:B1726,"&gt;="&amp;(B1724-d_T),B1712:B1726,"&lt;="&amp;(B1724-1))</f>
        <v/>
      </c>
      <c r="S1724" s="46">
        <f>(1-d_u)*S1723+IF(d_T&gt;in_topup_lag,SUMIFS(O1712:O1726,B1712:B1726,B1724-in_topup_lag)-d_udrop*SUMIFS(O1712:O1726,B1712:B1726,B1724-d_T),0)</f>
        <v/>
      </c>
      <c r="T1724" s="40">
        <f>F1724*d_u*S1724</f>
        <v/>
      </c>
      <c r="U1724" s="9">
        <f>L1724*in_ticket+M1724*d_rep_ticket</f>
        <v/>
      </c>
      <c r="V1724" s="9">
        <f>U1724+T1724*d_topup_amt</f>
        <v/>
      </c>
      <c r="W1724" s="40">
        <f>N1724+T1724*d_topup_ratio</f>
        <v/>
      </c>
      <c r="X1724" s="40">
        <f>SUMIFS(W1712:W1726,B1712:B1726,B1724-in_dpd_lag)*d_cured</f>
        <v/>
      </c>
      <c r="Y1724" s="40">
        <f>SUMIFS(W1712:W1726,B1712:B1726,B1724-in_rec_lag)*d_recd</f>
        <v/>
      </c>
      <c r="Z1724" s="40">
        <f>IF(AND(B1724&gt;=in_marketplace_from,B1724&lt;in_marketplace_from+in_card_months),in_card_share/in_card_months*F1724*I1724,IF(AND(B1724&gt;=in_marketplace_from+in_card_months,B1724&lt;in_marketplace_from+2*in_card_months),in_card_share*d_card_rem/in_card_months*F1724*MIN(in_takeup_cap,(1+in_takeup_growth)^(D1724-1))*MIN(in_takeup_cap,(1+in_approval_growth)^(D1724-1)),0))</f>
        <v/>
      </c>
      <c r="AA1724" s="14">
        <f>V1724*in_fee*(1-in_taken_back)</f>
        <v/>
      </c>
      <c r="AB1724" s="14">
        <f>SUMIFS(W1712:W1726,B1712:B1726,B1724-in_dpd_lag)*d_dpd</f>
        <v/>
      </c>
      <c r="AC1724" s="14">
        <f>SUMIFS(W1712:W1726,B1712:B1726,B1724-in_rec_lag)*d_rec</f>
        <v/>
      </c>
      <c r="AD1724" s="14">
        <f>Z1724*in_card_fee</f>
        <v/>
      </c>
      <c r="AE1724" s="40">
        <f>AE1723*(1-IF(B1723&gt;=in_marketplace_from,d_hz_hlth_small*G1723,0))</f>
        <v/>
      </c>
      <c r="AF1724" s="46">
        <f>AE1724*IF(B1724&gt;=in_marketplace_from,d_hz_hlth_small*G1724,0)</f>
        <v/>
      </c>
      <c r="AG1724" s="14">
        <f>F1724*AF1724*in_hlth_small_ticket*in_hlth_small_comm*in_ins_partner_share+F1724*in_hlth_small_ticket*in_hlth_small_renew_comm*in_ins_partner_share*(in_hlth_small_renew^1*SUMIFS(AF1712:AF1726,B1712:B1726,B1724-12)+in_hlth_small_renew^2*SUMIFS(AF1712:AF1726,B1712:B1726,B1724-24)+in_hlth_small_renew^3*SUMIFS(AF1712:AF1726,B1712:B1726,B1724-36)+in_hlth_small_renew^4*SUMIFS(AF1712:AF1726,B1712:B1726,B1724-48))</f>
        <v/>
      </c>
      <c r="AH1724" s="40">
        <f>AH1723*(1-IF(B1723&gt;=in_marketplace_from,d_hz_hlth_family*G1723,0))</f>
        <v/>
      </c>
      <c r="AI1724" s="46">
        <f>AH1724*IF(B1724&gt;=in_marketplace_from,d_hz_hlth_family*G1724,0)</f>
        <v/>
      </c>
      <c r="AJ1724" s="14">
        <f>F1724*AI1724*in_hlth_family_ticket*in_hlth_family_comm*in_ins_partner_share+F1724*in_hlth_family_ticket*in_hlth_family_renew_comm*in_ins_partner_share*(in_hlth_family_renew^1*SUMIFS(AI1712:AI1726,B1712:B1726,B1724-12)+in_hlth_family_renew^2*SUMIFS(AI1712:AI1726,B1712:B1726,B1724-24)+in_hlth_family_renew^3*SUMIFS(AI1712:AI1726,B1712:B1726,B1724-36)+in_hlth_family_renew^4*SUMIFS(AI1712:AI1726,B1712:B1726,B1724-48))</f>
        <v/>
      </c>
      <c r="AK1724" s="40">
        <f>AK1723*(1-IF(B1723&gt;=in_marketplace_from,d_hz_life_term*G1723,0))</f>
        <v/>
      </c>
      <c r="AL1724" s="46">
        <f>AK1724*IF(B1724&gt;=in_marketplace_from,d_hz_life_term*G1724,0)</f>
        <v/>
      </c>
      <c r="AM1724" s="14">
        <f>F1724*AL1724*in_life_term_ticket*in_life_term_comm*in_ins_partner_share+F1724*in_life_term_ticket*in_life_term_renew_comm*in_ins_partner_share*(in_life_term_renew^1*SUMIFS(AL1712:AL1726,B1712:B1726,B1724-12)+in_life_term_renew^2*SUMIFS(AL1712:AL1726,B1712:B1726,B1724-24)+in_life_term_renew^3*SUMIFS(AL1712:AL1726,B1712:B1726,B1724-36)+in_life_term_renew^4*SUMIFS(AL1712:AL1726,B1712:B1726,B1724-48))</f>
        <v/>
      </c>
      <c r="AN1724" s="40">
        <f>AN1723*(1-IF(B1723&gt;=in_marketplace_from,d_hz_accident*G1723,0))</f>
        <v/>
      </c>
      <c r="AO1724" s="46">
        <f>AN1724*IF(B1724&gt;=in_marketplace_from,d_hz_accident*G1724,0)</f>
        <v/>
      </c>
      <c r="AP1724" s="14">
        <f>F1724*AO1724*in_accident_ticket*in_accident_comm*in_ins_partner_share+F1724*in_accident_ticket*in_accident_renew_comm*in_ins_partner_share*(in_accident_renew^1*SUMIFS(AO1712:AO1726,B1712:B1726,B1724-12)+in_accident_renew^2*SUMIFS(AO1712:AO1726,B1712:B1726,B1724-24)+in_accident_renew^3*SUMIFS(AO1712:AO1726,B1712:B1726,B1724-36)+in_accident_renew^4*SUMIFS(AO1712:AO1726,B1712:B1726,B1724-48))</f>
        <v/>
      </c>
      <c r="AQ1724" s="40">
        <f>AQ1723*(1-IF(B1723&gt;=in_marketplace_from,d_hz_two_wheeler*G1723,0))</f>
        <v/>
      </c>
      <c r="AR1724" s="46">
        <f>AQ1724*IF(B1724&gt;=in_marketplace_from,d_hz_two_wheeler*G1724,0)</f>
        <v/>
      </c>
      <c r="AS1724" s="14">
        <f>F1724*AR1724*in_two_wheeler_ticket*in_two_wheeler_comm*in_ins_partner_share+F1724*in_two_wheeler_ticket*in_two_wheeler_comm*in_ins_partner_share*(in_two_wheeler_renew^1*SUMIFS(AR1712:AR1726,B1712:B1726,B1724-12)+in_two_wheeler_renew^2*SUMIFS(AR1712:AR1726,B1712:B1726,B1724-24)+in_two_wheeler_renew^3*SUMIFS(AR1712:AR1726,B1712:B1726,B1724-36)+in_two_wheeler_renew^4*SUMIFS(AR1712:AR1726,B1712:B1726,B1724-48))</f>
        <v/>
      </c>
      <c r="AT1724" s="40">
        <f>AT1723*(1-IF(B1723&gt;=in_marketplace_from,d_hz_device*G1723,0))</f>
        <v/>
      </c>
      <c r="AU1724" s="14">
        <f>F1724*AT1724*IF(B1724&gt;=in_marketplace_from,d_hz_device*G1724,0)*in_device_ticket*in_device_comm*in_ins_partner_share</f>
        <v/>
      </c>
      <c r="AV1724" s="40">
        <f>AV1723*(1-IF(B1723&gt;=in_marketplace_from,d_hz_shop*G1723,0))</f>
        <v/>
      </c>
      <c r="AW1724" s="46">
        <f>AV1724*IF(B1724&gt;=in_marketplace_from,d_hz_shop*G1724,0)</f>
        <v/>
      </c>
      <c r="AX1724" s="14">
        <f>F1724*AW1724*in_shop_ticket*in_shop_comm*in_ins_partner_share+F1724*in_shop_ticket*in_shop_renew_comm*in_ins_partner_share*(in_shop_renew^1*SUMIFS(AW1712:AW1726,B1712:B1726,B1724-12)+in_shop_renew^2*SUMIFS(AW1712:AW1726,B1712:B1726,B1724-24)+in_shop_renew^3*SUMIFS(AW1712:AW1726,B1712:B1726,B1724-36)+in_shop_renew^4*SUMIFS(AW1712:AW1726,B1712:B1726,B1724-48))</f>
        <v/>
      </c>
      <c r="AY1724" s="40">
        <f>AY1723*(1-IF(B1723&gt;=in_marketplace_from,d_hz_sip*G1723,0))</f>
        <v/>
      </c>
      <c r="AZ1724" s="40">
        <f>AZ1723*d_rho_sip+AY1724*IF(B1724&gt;=in_marketplace_from,d_hz_sip*G1724,0)</f>
        <v/>
      </c>
      <c r="BA1724" s="40">
        <f>d_rho_sip*(BA1723+AZ1723)</f>
        <v/>
      </c>
      <c r="BB1724" s="14">
        <f>F1724*in_sip_ticket*(BA1724+0.5*AZ1724)*in_sip_comm/12</f>
        <v/>
      </c>
      <c r="BC1724" s="40">
        <f>BC1723*(1-IF(B1723&gt;=in_marketplace_from,d_hz_choti*G1723,0))</f>
        <v/>
      </c>
      <c r="BD1724" s="46">
        <f>BC1724*IF(B1724&gt;=in_marketplace_from,d_hz_choti*G1724,0)</f>
        <v/>
      </c>
      <c r="BE1724" s="14">
        <f>F1724*SUMIFS(BD1712:BD1726,B1712:B1726,B1724-in_choti_months)*in_choti_renew*in_choti_ticket</f>
        <v/>
      </c>
      <c r="BF1724" s="40">
        <f>BF1723*(1-IF(B1723&gt;=in_marketplace_from,d_hz_nps*G1723,0))</f>
        <v/>
      </c>
      <c r="BG1724" s="14">
        <f>F1724*BF1724*IF(B1724&gt;=in_marketplace_from,d_hz_nps*G1724,0)*in_nps_ticket*in_nps_comm</f>
        <v/>
      </c>
      <c r="BH1724" s="40">
        <f>BH1723*(1-IF(B1723&gt;=in_marketplace_from,d_hz_gold*G1723,0))</f>
        <v/>
      </c>
      <c r="BI1724" s="40">
        <f>BI1723*d_rho_gold+BH1724*IF(B1724&gt;=in_marketplace_from,d_hz_gold*G1724,0)</f>
        <v/>
      </c>
      <c r="BJ1724" s="14">
        <f>F1724*BI1724*in_gold_ticket*in_gold_comm</f>
        <v/>
      </c>
      <c r="BK1724" s="40">
        <f>BK1723*(1-IF(B1723&gt;=in_marketplace_from,d_hz_fd*G1723,0))</f>
        <v/>
      </c>
      <c r="BL1724" s="14">
        <f>F1724*BK1724*IF(B1724&gt;=in_marketplace_from,d_hz_fd*G1724,0)*in_fd_ticket*in_fd_comm</f>
        <v/>
      </c>
      <c r="BM1724" s="40">
        <f>BM1723*(1-IF(B1723&gt;=in_marketplace_from,d_hz_recharge*G1723,0))</f>
        <v/>
      </c>
      <c r="BN1724" s="40">
        <f>BN1723*d_rho_recharge+BM1724*IF(B1724&gt;=in_marketplace_from,d_hz_recharge*G1724,0)</f>
        <v/>
      </c>
      <c r="BO1724" s="14">
        <f>F1724*BN1724*in_recharge_ticket*in_recharge_comm/12</f>
        <v/>
      </c>
      <c r="BP1724" s="40">
        <f>BP1723*(1-IF(B1723&gt;=in_marketplace_from,d_hz_bills*G1723,0))</f>
        <v/>
      </c>
      <c r="BQ1724" s="40">
        <f>BQ1723*d_rho_bills+BP1724*IF(B1724&gt;=in_marketplace_from,d_hz_bills*G1724,0)</f>
        <v/>
      </c>
      <c r="BR1724" s="14">
        <f>F1724*BQ1724*in_bills_ticket*in_bills_comm/12</f>
        <v/>
      </c>
      <c r="BS1724" s="40">
        <f>BS1723*(1-IF(B1723&gt;=in_marketplace_from,d_hz_loan_gold*G1723,0))</f>
        <v/>
      </c>
      <c r="BT1724" s="14">
        <f>F1724*BS1724*IF(B1724&gt;=in_marketplace_from,d_hz_loan_gold*G1724,0)*in_loan_gold_ticket*in_loan_gold_comm</f>
        <v/>
      </c>
      <c r="BU1724" s="40">
        <f>BU1723*(1-IF(B1723&gt;=in_marketplace_from,d_hz_loan_cd*G1723,0))</f>
        <v/>
      </c>
      <c r="BV1724" s="14">
        <f>F1724*BU1724*IF(B1724&gt;=in_marketplace_from,d_hz_loan_cd*G1724,0)*in_loan_cd_ticket*in_loan_cd_comm</f>
        <v/>
      </c>
      <c r="BW1724" s="40">
        <f>BW1723*(1-IF(B1723&gt;=in_marketplace_from,d_hz_loan_vehicle*G1723,0))</f>
        <v/>
      </c>
      <c r="BX1724" s="14">
        <f>F1724*BW1724*IF(B1724&gt;=in_marketplace_from,d_hz_loan_vehicle*G1724,0)*in_loan_vehicle_ticket*in_loan_vehicle_comm</f>
        <v/>
      </c>
      <c r="BY1724" s="40">
        <f>BY1723*(1-IF(B1723&gt;=in_marketplace_from,d_hz_loan_home*G1723,0)*BZ1723)</f>
        <v/>
      </c>
      <c r="BZ1724" s="11">
        <f>MIN(in_approval_cap,in_loan_home_approval*INDEX('Age profile'!$O$2:$O$61,B1724)*(1+in_approval_growth)^(D1724-1))</f>
        <v/>
      </c>
      <c r="CA1724" s="14">
        <f>F1724*BY1724*IF(B1724&gt;=in_marketplace_from,d_hz_loan_home*G1724,0)*BZ1724*in_loan_home_ticket*in_loan_home_comm</f>
        <v/>
      </c>
      <c r="CB1724" s="40">
        <f>CB1723*(1-IF(B1723&gt;=in_marketplace_from,d_hz_loan_lap*G1723,0)*CC1723)</f>
        <v/>
      </c>
      <c r="CC1724" s="11">
        <f>MIN(in_approval_cap,in_loan_lap_approval*INDEX('Age profile'!$O$2:$O$61,B1724)*(1+in_approval_growth)^(D1724-1))</f>
        <v/>
      </c>
      <c r="CD1724" s="14">
        <f>F1724*CB1724*IF(B1724&gt;=in_marketplace_from,d_hz_loan_lap*G1724,0)*CC1724*in_loan_lap_ticket*in_loan_lap_comm</f>
        <v/>
      </c>
      <c r="CE1724" s="14">
        <f>AA1724+AB1724+AC1724+AD1724+AG1724+AJ1724+AM1724+AP1724+AS1724+AU1724+AX1724+BB1724+BE1724+BG1724+BJ1724+BL1724+BO1724+BR1724+BT1724+BV1724+BX1724+CA1724+CD1724</f>
        <v/>
      </c>
    </row>
    <row r="1725">
      <c r="A1725" s="39" t="n">
        <v>46</v>
      </c>
      <c r="B1725" s="39" t="n">
        <v>14</v>
      </c>
      <c r="C1725" s="39">
        <f>A1725+B1725-1</f>
        <v/>
      </c>
      <c r="D1725" s="39">
        <f>INT((C1725-1)/12)+1</f>
        <v/>
      </c>
      <c r="E1725" s="44">
        <f>INDEX(Monthly!$B$2:$B$61,A1725)</f>
        <v/>
      </c>
      <c r="F1725" s="44">
        <f>E1725*INDEX('Age profile'!$B$2:$B$61,B1725)</f>
        <v/>
      </c>
      <c r="G1725" s="45">
        <f>MIN(in_takeup_cap,INDEX('Age profile'!$N$2:$N$61,B1725)*(1+in_takeup_growth)^(D1725-1))</f>
        <v/>
      </c>
      <c r="H1725" s="11">
        <f>MIN(in_approval_cap,in_approved_first*INDEX('Age profile'!$O$2:$O$61,B1725)*(1+in_approval_growth)^(D1725-1))</f>
        <v/>
      </c>
      <c r="I1725" s="45">
        <f>G1725*MIN(in_takeup_cap,INDEX('Age profile'!$O$2:$O$61,B1725)*(1+in_approval_growth)^(D1725-1))</f>
        <v/>
      </c>
      <c r="J1725" s="40">
        <f>(J1724-L1724)*F1725/F1724</f>
        <v/>
      </c>
      <c r="K1725" s="40">
        <f>(K1724-M1724)*F1725/F1724+SUMIFS(O1712:O1724,B1712:B1724,B1725-1-d_T)*F1725</f>
        <v/>
      </c>
      <c r="L1725" s="40">
        <f>IF(B1725&gt;=in_marketplace_from,J1725*d_hz*G1725*in_eligible*H1725,0)</f>
        <v/>
      </c>
      <c r="M1725" s="40">
        <f>IF(B1725&gt;=in_marketplace_from,K1725*d_hz*G1725*in_eligible*in_approved_repeat,0)</f>
        <v/>
      </c>
      <c r="N1725" s="40">
        <f>L1725+M1725</f>
        <v/>
      </c>
      <c r="O1725" s="46">
        <f>N1725/F1725</f>
        <v/>
      </c>
      <c r="P1725" s="40">
        <f>F1725-J1725-K1725</f>
        <v/>
      </c>
      <c r="Q1725" s="40">
        <f>IF(B1725&gt;=in_marketplace_from,(J1725+K1725)*d_hz*G1725,0)</f>
        <v/>
      </c>
      <c r="R1725" s="40">
        <f>SUMIFS(N1712:N1726,B1712:B1726,"&gt;="&amp;(B1725-d_T),B1712:B1726,"&lt;="&amp;(B1725-1))</f>
        <v/>
      </c>
      <c r="S1725" s="46">
        <f>(1-d_u)*S1724+IF(d_T&gt;in_topup_lag,SUMIFS(O1712:O1726,B1712:B1726,B1725-in_topup_lag)-d_udrop*SUMIFS(O1712:O1726,B1712:B1726,B1725-d_T),0)</f>
        <v/>
      </c>
      <c r="T1725" s="40">
        <f>F1725*d_u*S1725</f>
        <v/>
      </c>
      <c r="U1725" s="9">
        <f>L1725*in_ticket+M1725*d_rep_ticket</f>
        <v/>
      </c>
      <c r="V1725" s="9">
        <f>U1725+T1725*d_topup_amt</f>
        <v/>
      </c>
      <c r="W1725" s="40">
        <f>N1725+T1725*d_topup_ratio</f>
        <v/>
      </c>
      <c r="X1725" s="40">
        <f>SUMIFS(W1712:W1726,B1712:B1726,B1725-in_dpd_lag)*d_cured</f>
        <v/>
      </c>
      <c r="Y1725" s="40">
        <f>SUMIFS(W1712:W1726,B1712:B1726,B1725-in_rec_lag)*d_recd</f>
        <v/>
      </c>
      <c r="Z1725" s="40">
        <f>IF(AND(B1725&gt;=in_marketplace_from,B1725&lt;in_marketplace_from+in_card_months),in_card_share/in_card_months*F1725*I1725,IF(AND(B1725&gt;=in_marketplace_from+in_card_months,B1725&lt;in_marketplace_from+2*in_card_months),in_card_share*d_card_rem/in_card_months*F1725*MIN(in_takeup_cap,(1+in_takeup_growth)^(D1725-1))*MIN(in_takeup_cap,(1+in_approval_growth)^(D1725-1)),0))</f>
        <v/>
      </c>
      <c r="AA1725" s="14">
        <f>V1725*in_fee*(1-in_taken_back)</f>
        <v/>
      </c>
      <c r="AB1725" s="14">
        <f>SUMIFS(W1712:W1726,B1712:B1726,B1725-in_dpd_lag)*d_dpd</f>
        <v/>
      </c>
      <c r="AC1725" s="14">
        <f>SUMIFS(W1712:W1726,B1712:B1726,B1725-in_rec_lag)*d_rec</f>
        <v/>
      </c>
      <c r="AD1725" s="14">
        <f>Z1725*in_card_fee</f>
        <v/>
      </c>
      <c r="AE1725" s="40">
        <f>AE1724*(1-IF(B1724&gt;=in_marketplace_from,d_hz_hlth_small*G1724,0))</f>
        <v/>
      </c>
      <c r="AF1725" s="46">
        <f>AE1725*IF(B1725&gt;=in_marketplace_from,d_hz_hlth_small*G1725,0)</f>
        <v/>
      </c>
      <c r="AG1725" s="14">
        <f>F1725*AF1725*in_hlth_small_ticket*in_hlth_small_comm*in_ins_partner_share+F1725*in_hlth_small_ticket*in_hlth_small_renew_comm*in_ins_partner_share*(in_hlth_small_renew^1*SUMIFS(AF1712:AF1726,B1712:B1726,B1725-12)+in_hlth_small_renew^2*SUMIFS(AF1712:AF1726,B1712:B1726,B1725-24)+in_hlth_small_renew^3*SUMIFS(AF1712:AF1726,B1712:B1726,B1725-36)+in_hlth_small_renew^4*SUMIFS(AF1712:AF1726,B1712:B1726,B1725-48))</f>
        <v/>
      </c>
      <c r="AH1725" s="40">
        <f>AH1724*(1-IF(B1724&gt;=in_marketplace_from,d_hz_hlth_family*G1724,0))</f>
        <v/>
      </c>
      <c r="AI1725" s="46">
        <f>AH1725*IF(B1725&gt;=in_marketplace_from,d_hz_hlth_family*G1725,0)</f>
        <v/>
      </c>
      <c r="AJ1725" s="14">
        <f>F1725*AI1725*in_hlth_family_ticket*in_hlth_family_comm*in_ins_partner_share+F1725*in_hlth_family_ticket*in_hlth_family_renew_comm*in_ins_partner_share*(in_hlth_family_renew^1*SUMIFS(AI1712:AI1726,B1712:B1726,B1725-12)+in_hlth_family_renew^2*SUMIFS(AI1712:AI1726,B1712:B1726,B1725-24)+in_hlth_family_renew^3*SUMIFS(AI1712:AI1726,B1712:B1726,B1725-36)+in_hlth_family_renew^4*SUMIFS(AI1712:AI1726,B1712:B1726,B1725-48))</f>
        <v/>
      </c>
      <c r="AK1725" s="40">
        <f>AK1724*(1-IF(B1724&gt;=in_marketplace_from,d_hz_life_term*G1724,0))</f>
        <v/>
      </c>
      <c r="AL1725" s="46">
        <f>AK1725*IF(B1725&gt;=in_marketplace_from,d_hz_life_term*G1725,0)</f>
        <v/>
      </c>
      <c r="AM1725" s="14">
        <f>F1725*AL1725*in_life_term_ticket*in_life_term_comm*in_ins_partner_share+F1725*in_life_term_ticket*in_life_term_renew_comm*in_ins_partner_share*(in_life_term_renew^1*SUMIFS(AL1712:AL1726,B1712:B1726,B1725-12)+in_life_term_renew^2*SUMIFS(AL1712:AL1726,B1712:B1726,B1725-24)+in_life_term_renew^3*SUMIFS(AL1712:AL1726,B1712:B1726,B1725-36)+in_life_term_renew^4*SUMIFS(AL1712:AL1726,B1712:B1726,B1725-48))</f>
        <v/>
      </c>
      <c r="AN1725" s="40">
        <f>AN1724*(1-IF(B1724&gt;=in_marketplace_from,d_hz_accident*G1724,0))</f>
        <v/>
      </c>
      <c r="AO1725" s="46">
        <f>AN1725*IF(B1725&gt;=in_marketplace_from,d_hz_accident*G1725,0)</f>
        <v/>
      </c>
      <c r="AP1725" s="14">
        <f>F1725*AO1725*in_accident_ticket*in_accident_comm*in_ins_partner_share+F1725*in_accident_ticket*in_accident_renew_comm*in_ins_partner_share*(in_accident_renew^1*SUMIFS(AO1712:AO1726,B1712:B1726,B1725-12)+in_accident_renew^2*SUMIFS(AO1712:AO1726,B1712:B1726,B1725-24)+in_accident_renew^3*SUMIFS(AO1712:AO1726,B1712:B1726,B1725-36)+in_accident_renew^4*SUMIFS(AO1712:AO1726,B1712:B1726,B1725-48))</f>
        <v/>
      </c>
      <c r="AQ1725" s="40">
        <f>AQ1724*(1-IF(B1724&gt;=in_marketplace_from,d_hz_two_wheeler*G1724,0))</f>
        <v/>
      </c>
      <c r="AR1725" s="46">
        <f>AQ1725*IF(B1725&gt;=in_marketplace_from,d_hz_two_wheeler*G1725,0)</f>
        <v/>
      </c>
      <c r="AS1725" s="14">
        <f>F1725*AR1725*in_two_wheeler_ticket*in_two_wheeler_comm*in_ins_partner_share+F1725*in_two_wheeler_ticket*in_two_wheeler_comm*in_ins_partner_share*(in_two_wheeler_renew^1*SUMIFS(AR1712:AR1726,B1712:B1726,B1725-12)+in_two_wheeler_renew^2*SUMIFS(AR1712:AR1726,B1712:B1726,B1725-24)+in_two_wheeler_renew^3*SUMIFS(AR1712:AR1726,B1712:B1726,B1725-36)+in_two_wheeler_renew^4*SUMIFS(AR1712:AR1726,B1712:B1726,B1725-48))</f>
        <v/>
      </c>
      <c r="AT1725" s="40">
        <f>AT1724*(1-IF(B1724&gt;=in_marketplace_from,d_hz_device*G1724,0))</f>
        <v/>
      </c>
      <c r="AU1725" s="14">
        <f>F1725*AT1725*IF(B1725&gt;=in_marketplace_from,d_hz_device*G1725,0)*in_device_ticket*in_device_comm*in_ins_partner_share</f>
        <v/>
      </c>
      <c r="AV1725" s="40">
        <f>AV1724*(1-IF(B1724&gt;=in_marketplace_from,d_hz_shop*G1724,0))</f>
        <v/>
      </c>
      <c r="AW1725" s="46">
        <f>AV1725*IF(B1725&gt;=in_marketplace_from,d_hz_shop*G1725,0)</f>
        <v/>
      </c>
      <c r="AX1725" s="14">
        <f>F1725*AW1725*in_shop_ticket*in_shop_comm*in_ins_partner_share+F1725*in_shop_ticket*in_shop_renew_comm*in_ins_partner_share*(in_shop_renew^1*SUMIFS(AW1712:AW1726,B1712:B1726,B1725-12)+in_shop_renew^2*SUMIFS(AW1712:AW1726,B1712:B1726,B1725-24)+in_shop_renew^3*SUMIFS(AW1712:AW1726,B1712:B1726,B1725-36)+in_shop_renew^4*SUMIFS(AW1712:AW1726,B1712:B1726,B1725-48))</f>
        <v/>
      </c>
      <c r="AY1725" s="40">
        <f>AY1724*(1-IF(B1724&gt;=in_marketplace_from,d_hz_sip*G1724,0))</f>
        <v/>
      </c>
      <c r="AZ1725" s="40">
        <f>AZ1724*d_rho_sip+AY1725*IF(B1725&gt;=in_marketplace_from,d_hz_sip*G1725,0)</f>
        <v/>
      </c>
      <c r="BA1725" s="40">
        <f>d_rho_sip*(BA1724+AZ1724)</f>
        <v/>
      </c>
      <c r="BB1725" s="14">
        <f>F1725*in_sip_ticket*(BA1725+0.5*AZ1725)*in_sip_comm/12</f>
        <v/>
      </c>
      <c r="BC1725" s="40">
        <f>BC1724*(1-IF(B1724&gt;=in_marketplace_from,d_hz_choti*G1724,0))</f>
        <v/>
      </c>
      <c r="BD1725" s="46">
        <f>BC1725*IF(B1725&gt;=in_marketplace_from,d_hz_choti*G1725,0)</f>
        <v/>
      </c>
      <c r="BE1725" s="14">
        <f>F1725*SUMIFS(BD1712:BD1726,B1712:B1726,B1725-in_choti_months)*in_choti_renew*in_choti_ticket</f>
        <v/>
      </c>
      <c r="BF1725" s="40">
        <f>BF1724*(1-IF(B1724&gt;=in_marketplace_from,d_hz_nps*G1724,0))</f>
        <v/>
      </c>
      <c r="BG1725" s="14">
        <f>F1725*BF1725*IF(B1725&gt;=in_marketplace_from,d_hz_nps*G1725,0)*in_nps_ticket*in_nps_comm</f>
        <v/>
      </c>
      <c r="BH1725" s="40">
        <f>BH1724*(1-IF(B1724&gt;=in_marketplace_from,d_hz_gold*G1724,0))</f>
        <v/>
      </c>
      <c r="BI1725" s="40">
        <f>BI1724*d_rho_gold+BH1725*IF(B1725&gt;=in_marketplace_from,d_hz_gold*G1725,0)</f>
        <v/>
      </c>
      <c r="BJ1725" s="14">
        <f>F1725*BI1725*in_gold_ticket*in_gold_comm</f>
        <v/>
      </c>
      <c r="BK1725" s="40">
        <f>BK1724*(1-IF(B1724&gt;=in_marketplace_from,d_hz_fd*G1724,0))</f>
        <v/>
      </c>
      <c r="BL1725" s="14">
        <f>F1725*BK1725*IF(B1725&gt;=in_marketplace_from,d_hz_fd*G1725,0)*in_fd_ticket*in_fd_comm</f>
        <v/>
      </c>
      <c r="BM1725" s="40">
        <f>BM1724*(1-IF(B1724&gt;=in_marketplace_from,d_hz_recharge*G1724,0))</f>
        <v/>
      </c>
      <c r="BN1725" s="40">
        <f>BN1724*d_rho_recharge+BM1725*IF(B1725&gt;=in_marketplace_from,d_hz_recharge*G1725,0)</f>
        <v/>
      </c>
      <c r="BO1725" s="14">
        <f>F1725*BN1725*in_recharge_ticket*in_recharge_comm/12</f>
        <v/>
      </c>
      <c r="BP1725" s="40">
        <f>BP1724*(1-IF(B1724&gt;=in_marketplace_from,d_hz_bills*G1724,0))</f>
        <v/>
      </c>
      <c r="BQ1725" s="40">
        <f>BQ1724*d_rho_bills+BP1725*IF(B1725&gt;=in_marketplace_from,d_hz_bills*G1725,0)</f>
        <v/>
      </c>
      <c r="BR1725" s="14">
        <f>F1725*BQ1725*in_bills_ticket*in_bills_comm/12</f>
        <v/>
      </c>
      <c r="BS1725" s="40">
        <f>BS1724*(1-IF(B1724&gt;=in_marketplace_from,d_hz_loan_gold*G1724,0))</f>
        <v/>
      </c>
      <c r="BT1725" s="14">
        <f>F1725*BS1725*IF(B1725&gt;=in_marketplace_from,d_hz_loan_gold*G1725,0)*in_loan_gold_ticket*in_loan_gold_comm</f>
        <v/>
      </c>
      <c r="BU1725" s="40">
        <f>BU1724*(1-IF(B1724&gt;=in_marketplace_from,d_hz_loan_cd*G1724,0))</f>
        <v/>
      </c>
      <c r="BV1725" s="14">
        <f>F1725*BU1725*IF(B1725&gt;=in_marketplace_from,d_hz_loan_cd*G1725,0)*in_loan_cd_ticket*in_loan_cd_comm</f>
        <v/>
      </c>
      <c r="BW1725" s="40">
        <f>BW1724*(1-IF(B1724&gt;=in_marketplace_from,d_hz_loan_vehicle*G1724,0))</f>
        <v/>
      </c>
      <c r="BX1725" s="14">
        <f>F1725*BW1725*IF(B1725&gt;=in_marketplace_from,d_hz_loan_vehicle*G1725,0)*in_loan_vehicle_ticket*in_loan_vehicle_comm</f>
        <v/>
      </c>
      <c r="BY1725" s="40">
        <f>BY1724*(1-IF(B1724&gt;=in_marketplace_from,d_hz_loan_home*G1724,0)*BZ1724)</f>
        <v/>
      </c>
      <c r="BZ1725" s="11">
        <f>MIN(in_approval_cap,in_loan_home_approval*INDEX('Age profile'!$O$2:$O$61,B1725)*(1+in_approval_growth)^(D1725-1))</f>
        <v/>
      </c>
      <c r="CA1725" s="14">
        <f>F1725*BY1725*IF(B1725&gt;=in_marketplace_from,d_hz_loan_home*G1725,0)*BZ1725*in_loan_home_ticket*in_loan_home_comm</f>
        <v/>
      </c>
      <c r="CB1725" s="40">
        <f>CB1724*(1-IF(B1724&gt;=in_marketplace_from,d_hz_loan_lap*G1724,0)*CC1724)</f>
        <v/>
      </c>
      <c r="CC1725" s="11">
        <f>MIN(in_approval_cap,in_loan_lap_approval*INDEX('Age profile'!$O$2:$O$61,B1725)*(1+in_approval_growth)^(D1725-1))</f>
        <v/>
      </c>
      <c r="CD1725" s="14">
        <f>F1725*CB1725*IF(B1725&gt;=in_marketplace_from,d_hz_loan_lap*G1725,0)*CC1725*in_loan_lap_ticket*in_loan_lap_comm</f>
        <v/>
      </c>
      <c r="CE1725" s="14">
        <f>AA1725+AB1725+AC1725+AD1725+AG1725+AJ1725+AM1725+AP1725+AS1725+AU1725+AX1725+BB1725+BE1725+BG1725+BJ1725+BL1725+BO1725+BR1725+BT1725+BV1725+BX1725+CA1725+CD1725</f>
        <v/>
      </c>
    </row>
    <row r="1726">
      <c r="A1726" s="39" t="n">
        <v>46</v>
      </c>
      <c r="B1726" s="39" t="n">
        <v>15</v>
      </c>
      <c r="C1726" s="39">
        <f>A1726+B1726-1</f>
        <v/>
      </c>
      <c r="D1726" s="39">
        <f>INT((C1726-1)/12)+1</f>
        <v/>
      </c>
      <c r="E1726" s="44">
        <f>INDEX(Monthly!$B$2:$B$61,A1726)</f>
        <v/>
      </c>
      <c r="F1726" s="44">
        <f>E1726*INDEX('Age profile'!$B$2:$B$61,B1726)</f>
        <v/>
      </c>
      <c r="G1726" s="45">
        <f>MIN(in_takeup_cap,INDEX('Age profile'!$N$2:$N$61,B1726)*(1+in_takeup_growth)^(D1726-1))</f>
        <v/>
      </c>
      <c r="H1726" s="11">
        <f>MIN(in_approval_cap,in_approved_first*INDEX('Age profile'!$O$2:$O$61,B1726)*(1+in_approval_growth)^(D1726-1))</f>
        <v/>
      </c>
      <c r="I1726" s="45">
        <f>G1726*MIN(in_takeup_cap,INDEX('Age profile'!$O$2:$O$61,B1726)*(1+in_approval_growth)^(D1726-1))</f>
        <v/>
      </c>
      <c r="J1726" s="40">
        <f>(J1725-L1725)*F1726/F1725</f>
        <v/>
      </c>
      <c r="K1726" s="40">
        <f>(K1725-M1725)*F1726/F1725+SUMIFS(O1712:O1725,B1712:B1725,B1726-1-d_T)*F1726</f>
        <v/>
      </c>
      <c r="L1726" s="40">
        <f>IF(B1726&gt;=in_marketplace_from,J1726*d_hz*G1726*in_eligible*H1726,0)</f>
        <v/>
      </c>
      <c r="M1726" s="40">
        <f>IF(B1726&gt;=in_marketplace_from,K1726*d_hz*G1726*in_eligible*in_approved_repeat,0)</f>
        <v/>
      </c>
      <c r="N1726" s="40">
        <f>L1726+M1726</f>
        <v/>
      </c>
      <c r="O1726" s="46">
        <f>N1726/F1726</f>
        <v/>
      </c>
      <c r="P1726" s="40">
        <f>F1726-J1726-K1726</f>
        <v/>
      </c>
      <c r="Q1726" s="40">
        <f>IF(B1726&gt;=in_marketplace_from,(J1726+K1726)*d_hz*G1726,0)</f>
        <v/>
      </c>
      <c r="R1726" s="40">
        <f>SUMIFS(N1712:N1726,B1712:B1726,"&gt;="&amp;(B1726-d_T),B1712:B1726,"&lt;="&amp;(B1726-1))</f>
        <v/>
      </c>
      <c r="S1726" s="46">
        <f>(1-d_u)*S1725+IF(d_T&gt;in_topup_lag,SUMIFS(O1712:O1726,B1712:B1726,B1726-in_topup_lag)-d_udrop*SUMIFS(O1712:O1726,B1712:B1726,B1726-d_T),0)</f>
        <v/>
      </c>
      <c r="T1726" s="40">
        <f>F1726*d_u*S1726</f>
        <v/>
      </c>
      <c r="U1726" s="9">
        <f>L1726*in_ticket+M1726*d_rep_ticket</f>
        <v/>
      </c>
      <c r="V1726" s="9">
        <f>U1726+T1726*d_topup_amt</f>
        <v/>
      </c>
      <c r="W1726" s="40">
        <f>N1726+T1726*d_topup_ratio</f>
        <v/>
      </c>
      <c r="X1726" s="40">
        <f>SUMIFS(W1712:W1726,B1712:B1726,B1726-in_dpd_lag)*d_cured</f>
        <v/>
      </c>
      <c r="Y1726" s="40">
        <f>SUMIFS(W1712:W1726,B1712:B1726,B1726-in_rec_lag)*d_recd</f>
        <v/>
      </c>
      <c r="Z1726" s="40">
        <f>IF(AND(B1726&gt;=in_marketplace_from,B1726&lt;in_marketplace_from+in_card_months),in_card_share/in_card_months*F1726*I1726,IF(AND(B1726&gt;=in_marketplace_from+in_card_months,B1726&lt;in_marketplace_from+2*in_card_months),in_card_share*d_card_rem/in_card_months*F1726*MIN(in_takeup_cap,(1+in_takeup_growth)^(D1726-1))*MIN(in_takeup_cap,(1+in_approval_growth)^(D1726-1)),0))</f>
        <v/>
      </c>
      <c r="AA1726" s="14">
        <f>V1726*in_fee*(1-in_taken_back)</f>
        <v/>
      </c>
      <c r="AB1726" s="14">
        <f>SUMIFS(W1712:W1726,B1712:B1726,B1726-in_dpd_lag)*d_dpd</f>
        <v/>
      </c>
      <c r="AC1726" s="14">
        <f>SUMIFS(W1712:W1726,B1712:B1726,B1726-in_rec_lag)*d_rec</f>
        <v/>
      </c>
      <c r="AD1726" s="14">
        <f>Z1726*in_card_fee</f>
        <v/>
      </c>
      <c r="AE1726" s="40">
        <f>AE1725*(1-IF(B1725&gt;=in_marketplace_from,d_hz_hlth_small*G1725,0))</f>
        <v/>
      </c>
      <c r="AF1726" s="46">
        <f>AE1726*IF(B1726&gt;=in_marketplace_from,d_hz_hlth_small*G1726,0)</f>
        <v/>
      </c>
      <c r="AG1726" s="14">
        <f>F1726*AF1726*in_hlth_small_ticket*in_hlth_small_comm*in_ins_partner_share+F1726*in_hlth_small_ticket*in_hlth_small_renew_comm*in_ins_partner_share*(in_hlth_small_renew^1*SUMIFS(AF1712:AF1726,B1712:B1726,B1726-12)+in_hlth_small_renew^2*SUMIFS(AF1712:AF1726,B1712:B1726,B1726-24)+in_hlth_small_renew^3*SUMIFS(AF1712:AF1726,B1712:B1726,B1726-36)+in_hlth_small_renew^4*SUMIFS(AF1712:AF1726,B1712:B1726,B1726-48))</f>
        <v/>
      </c>
      <c r="AH1726" s="40">
        <f>AH1725*(1-IF(B1725&gt;=in_marketplace_from,d_hz_hlth_family*G1725,0))</f>
        <v/>
      </c>
      <c r="AI1726" s="46">
        <f>AH1726*IF(B1726&gt;=in_marketplace_from,d_hz_hlth_family*G1726,0)</f>
        <v/>
      </c>
      <c r="AJ1726" s="14">
        <f>F1726*AI1726*in_hlth_family_ticket*in_hlth_family_comm*in_ins_partner_share+F1726*in_hlth_family_ticket*in_hlth_family_renew_comm*in_ins_partner_share*(in_hlth_family_renew^1*SUMIFS(AI1712:AI1726,B1712:B1726,B1726-12)+in_hlth_family_renew^2*SUMIFS(AI1712:AI1726,B1712:B1726,B1726-24)+in_hlth_family_renew^3*SUMIFS(AI1712:AI1726,B1712:B1726,B1726-36)+in_hlth_family_renew^4*SUMIFS(AI1712:AI1726,B1712:B1726,B1726-48))</f>
        <v/>
      </c>
      <c r="AK1726" s="40">
        <f>AK1725*(1-IF(B1725&gt;=in_marketplace_from,d_hz_life_term*G1725,0))</f>
        <v/>
      </c>
      <c r="AL1726" s="46">
        <f>AK1726*IF(B1726&gt;=in_marketplace_from,d_hz_life_term*G1726,0)</f>
        <v/>
      </c>
      <c r="AM1726" s="14">
        <f>F1726*AL1726*in_life_term_ticket*in_life_term_comm*in_ins_partner_share+F1726*in_life_term_ticket*in_life_term_renew_comm*in_ins_partner_share*(in_life_term_renew^1*SUMIFS(AL1712:AL1726,B1712:B1726,B1726-12)+in_life_term_renew^2*SUMIFS(AL1712:AL1726,B1712:B1726,B1726-24)+in_life_term_renew^3*SUMIFS(AL1712:AL1726,B1712:B1726,B1726-36)+in_life_term_renew^4*SUMIFS(AL1712:AL1726,B1712:B1726,B1726-48))</f>
        <v/>
      </c>
      <c r="AN1726" s="40">
        <f>AN1725*(1-IF(B1725&gt;=in_marketplace_from,d_hz_accident*G1725,0))</f>
        <v/>
      </c>
      <c r="AO1726" s="46">
        <f>AN1726*IF(B1726&gt;=in_marketplace_from,d_hz_accident*G1726,0)</f>
        <v/>
      </c>
      <c r="AP1726" s="14">
        <f>F1726*AO1726*in_accident_ticket*in_accident_comm*in_ins_partner_share+F1726*in_accident_ticket*in_accident_renew_comm*in_ins_partner_share*(in_accident_renew^1*SUMIFS(AO1712:AO1726,B1712:B1726,B1726-12)+in_accident_renew^2*SUMIFS(AO1712:AO1726,B1712:B1726,B1726-24)+in_accident_renew^3*SUMIFS(AO1712:AO1726,B1712:B1726,B1726-36)+in_accident_renew^4*SUMIFS(AO1712:AO1726,B1712:B1726,B1726-48))</f>
        <v/>
      </c>
      <c r="AQ1726" s="40">
        <f>AQ1725*(1-IF(B1725&gt;=in_marketplace_from,d_hz_two_wheeler*G1725,0))</f>
        <v/>
      </c>
      <c r="AR1726" s="46">
        <f>AQ1726*IF(B1726&gt;=in_marketplace_from,d_hz_two_wheeler*G1726,0)</f>
        <v/>
      </c>
      <c r="AS1726" s="14">
        <f>F1726*AR1726*in_two_wheeler_ticket*in_two_wheeler_comm*in_ins_partner_share+F1726*in_two_wheeler_ticket*in_two_wheeler_comm*in_ins_partner_share*(in_two_wheeler_renew^1*SUMIFS(AR1712:AR1726,B1712:B1726,B1726-12)+in_two_wheeler_renew^2*SUMIFS(AR1712:AR1726,B1712:B1726,B1726-24)+in_two_wheeler_renew^3*SUMIFS(AR1712:AR1726,B1712:B1726,B1726-36)+in_two_wheeler_renew^4*SUMIFS(AR1712:AR1726,B1712:B1726,B1726-48))</f>
        <v/>
      </c>
      <c r="AT1726" s="40">
        <f>AT1725*(1-IF(B1725&gt;=in_marketplace_from,d_hz_device*G1725,0))</f>
        <v/>
      </c>
      <c r="AU1726" s="14">
        <f>F1726*AT1726*IF(B1726&gt;=in_marketplace_from,d_hz_device*G1726,0)*in_device_ticket*in_device_comm*in_ins_partner_share</f>
        <v/>
      </c>
      <c r="AV1726" s="40">
        <f>AV1725*(1-IF(B1725&gt;=in_marketplace_from,d_hz_shop*G1725,0))</f>
        <v/>
      </c>
      <c r="AW1726" s="46">
        <f>AV1726*IF(B1726&gt;=in_marketplace_from,d_hz_shop*G1726,0)</f>
        <v/>
      </c>
      <c r="AX1726" s="14">
        <f>F1726*AW1726*in_shop_ticket*in_shop_comm*in_ins_partner_share+F1726*in_shop_ticket*in_shop_renew_comm*in_ins_partner_share*(in_shop_renew^1*SUMIFS(AW1712:AW1726,B1712:B1726,B1726-12)+in_shop_renew^2*SUMIFS(AW1712:AW1726,B1712:B1726,B1726-24)+in_shop_renew^3*SUMIFS(AW1712:AW1726,B1712:B1726,B1726-36)+in_shop_renew^4*SUMIFS(AW1712:AW1726,B1712:B1726,B1726-48))</f>
        <v/>
      </c>
      <c r="AY1726" s="40">
        <f>AY1725*(1-IF(B1725&gt;=in_marketplace_from,d_hz_sip*G1725,0))</f>
        <v/>
      </c>
      <c r="AZ1726" s="40">
        <f>AZ1725*d_rho_sip+AY1726*IF(B1726&gt;=in_marketplace_from,d_hz_sip*G1726,0)</f>
        <v/>
      </c>
      <c r="BA1726" s="40">
        <f>d_rho_sip*(BA1725+AZ1725)</f>
        <v/>
      </c>
      <c r="BB1726" s="14">
        <f>F1726*in_sip_ticket*(BA1726+0.5*AZ1726)*in_sip_comm/12</f>
        <v/>
      </c>
      <c r="BC1726" s="40">
        <f>BC1725*(1-IF(B1725&gt;=in_marketplace_from,d_hz_choti*G1725,0))</f>
        <v/>
      </c>
      <c r="BD1726" s="46">
        <f>BC1726*IF(B1726&gt;=in_marketplace_from,d_hz_choti*G1726,0)</f>
        <v/>
      </c>
      <c r="BE1726" s="14">
        <f>F1726*SUMIFS(BD1712:BD1726,B1712:B1726,B1726-in_choti_months)*in_choti_renew*in_choti_ticket</f>
        <v/>
      </c>
      <c r="BF1726" s="40">
        <f>BF1725*(1-IF(B1725&gt;=in_marketplace_from,d_hz_nps*G1725,0))</f>
        <v/>
      </c>
      <c r="BG1726" s="14">
        <f>F1726*BF1726*IF(B1726&gt;=in_marketplace_from,d_hz_nps*G1726,0)*in_nps_ticket*in_nps_comm</f>
        <v/>
      </c>
      <c r="BH1726" s="40">
        <f>BH1725*(1-IF(B1725&gt;=in_marketplace_from,d_hz_gold*G1725,0))</f>
        <v/>
      </c>
      <c r="BI1726" s="40">
        <f>BI1725*d_rho_gold+BH1726*IF(B1726&gt;=in_marketplace_from,d_hz_gold*G1726,0)</f>
        <v/>
      </c>
      <c r="BJ1726" s="14">
        <f>F1726*BI1726*in_gold_ticket*in_gold_comm</f>
        <v/>
      </c>
      <c r="BK1726" s="40">
        <f>BK1725*(1-IF(B1725&gt;=in_marketplace_from,d_hz_fd*G1725,0))</f>
        <v/>
      </c>
      <c r="BL1726" s="14">
        <f>F1726*BK1726*IF(B1726&gt;=in_marketplace_from,d_hz_fd*G1726,0)*in_fd_ticket*in_fd_comm</f>
        <v/>
      </c>
      <c r="BM1726" s="40">
        <f>BM1725*(1-IF(B1725&gt;=in_marketplace_from,d_hz_recharge*G1725,0))</f>
        <v/>
      </c>
      <c r="BN1726" s="40">
        <f>BN1725*d_rho_recharge+BM1726*IF(B1726&gt;=in_marketplace_from,d_hz_recharge*G1726,0)</f>
        <v/>
      </c>
      <c r="BO1726" s="14">
        <f>F1726*BN1726*in_recharge_ticket*in_recharge_comm/12</f>
        <v/>
      </c>
      <c r="BP1726" s="40">
        <f>BP1725*(1-IF(B1725&gt;=in_marketplace_from,d_hz_bills*G1725,0))</f>
        <v/>
      </c>
      <c r="BQ1726" s="40">
        <f>BQ1725*d_rho_bills+BP1726*IF(B1726&gt;=in_marketplace_from,d_hz_bills*G1726,0)</f>
        <v/>
      </c>
      <c r="BR1726" s="14">
        <f>F1726*BQ1726*in_bills_ticket*in_bills_comm/12</f>
        <v/>
      </c>
      <c r="BS1726" s="40">
        <f>BS1725*(1-IF(B1725&gt;=in_marketplace_from,d_hz_loan_gold*G1725,0))</f>
        <v/>
      </c>
      <c r="BT1726" s="14">
        <f>F1726*BS1726*IF(B1726&gt;=in_marketplace_from,d_hz_loan_gold*G1726,0)*in_loan_gold_ticket*in_loan_gold_comm</f>
        <v/>
      </c>
      <c r="BU1726" s="40">
        <f>BU1725*(1-IF(B1725&gt;=in_marketplace_from,d_hz_loan_cd*G1725,0))</f>
        <v/>
      </c>
      <c r="BV1726" s="14">
        <f>F1726*BU1726*IF(B1726&gt;=in_marketplace_from,d_hz_loan_cd*G1726,0)*in_loan_cd_ticket*in_loan_cd_comm</f>
        <v/>
      </c>
      <c r="BW1726" s="40">
        <f>BW1725*(1-IF(B1725&gt;=in_marketplace_from,d_hz_loan_vehicle*G1725,0))</f>
        <v/>
      </c>
      <c r="BX1726" s="14">
        <f>F1726*BW1726*IF(B1726&gt;=in_marketplace_from,d_hz_loan_vehicle*G1726,0)*in_loan_vehicle_ticket*in_loan_vehicle_comm</f>
        <v/>
      </c>
      <c r="BY1726" s="40">
        <f>BY1725*(1-IF(B1725&gt;=in_marketplace_from,d_hz_loan_home*G1725,0)*BZ1725)</f>
        <v/>
      </c>
      <c r="BZ1726" s="11">
        <f>MIN(in_approval_cap,in_loan_home_approval*INDEX('Age profile'!$O$2:$O$61,B1726)*(1+in_approval_growth)^(D1726-1))</f>
        <v/>
      </c>
      <c r="CA1726" s="14">
        <f>F1726*BY1726*IF(B1726&gt;=in_marketplace_from,d_hz_loan_home*G1726,0)*BZ1726*in_loan_home_ticket*in_loan_home_comm</f>
        <v/>
      </c>
      <c r="CB1726" s="40">
        <f>CB1725*(1-IF(B1725&gt;=in_marketplace_from,d_hz_loan_lap*G1725,0)*CC1725)</f>
        <v/>
      </c>
      <c r="CC1726" s="11">
        <f>MIN(in_approval_cap,in_loan_lap_approval*INDEX('Age profile'!$O$2:$O$61,B1726)*(1+in_approval_growth)^(D1726-1))</f>
        <v/>
      </c>
      <c r="CD1726" s="14">
        <f>F1726*CB1726*IF(B1726&gt;=in_marketplace_from,d_hz_loan_lap*G1726,0)*CC1726*in_loan_lap_ticket*in_loan_lap_comm</f>
        <v/>
      </c>
      <c r="CE1726" s="14">
        <f>AA1726+AB1726+AC1726+AD1726+AG1726+AJ1726+AM1726+AP1726+AS1726+AU1726+AX1726+BB1726+BE1726+BG1726+BJ1726+BL1726+BO1726+BR1726+BT1726+BV1726+BX1726+CA1726+CD1726</f>
        <v/>
      </c>
    </row>
    <row r="1727">
      <c r="A1727" s="39" t="n">
        <v>47</v>
      </c>
      <c r="B1727" s="39" t="n">
        <v>1</v>
      </c>
      <c r="C1727" s="39">
        <f>A1727+B1727-1</f>
        <v/>
      </c>
      <c r="D1727" s="39">
        <f>INT((C1727-1)/12)+1</f>
        <v/>
      </c>
      <c r="E1727" s="44">
        <f>INDEX(Monthly!$B$2:$B$61,A1727)</f>
        <v/>
      </c>
      <c r="F1727" s="44">
        <f>E1727*INDEX('Age profile'!$B$2:$B$61,B1727)</f>
        <v/>
      </c>
      <c r="G1727" s="45">
        <f>MIN(in_takeup_cap,INDEX('Age profile'!$N$2:$N$61,B1727)*(1+in_takeup_growth)^(D1727-1))</f>
        <v/>
      </c>
      <c r="H1727" s="11">
        <f>MIN(in_approval_cap,in_approved_first*INDEX('Age profile'!$O$2:$O$61,B1727)*(1+in_approval_growth)^(D1727-1))</f>
        <v/>
      </c>
      <c r="I1727" s="45">
        <f>G1727*MIN(in_takeup_cap,INDEX('Age profile'!$O$2:$O$61,B1727)*(1+in_approval_growth)^(D1727-1))</f>
        <v/>
      </c>
      <c r="J1727" s="40">
        <f>E1727</f>
        <v/>
      </c>
      <c r="K1727" s="40" t="n">
        <v>0</v>
      </c>
      <c r="L1727" s="40">
        <f>IF(B1727&gt;=in_marketplace_from,J1727*d_hz*G1727*in_eligible*H1727,0)</f>
        <v/>
      </c>
      <c r="M1727" s="40">
        <f>IF(B1727&gt;=in_marketplace_from,K1727*d_hz*G1727*in_eligible*in_approved_repeat,0)</f>
        <v/>
      </c>
      <c r="N1727" s="40">
        <f>L1727+M1727</f>
        <v/>
      </c>
      <c r="O1727" s="46">
        <f>N1727/F1727</f>
        <v/>
      </c>
      <c r="P1727" s="40">
        <f>F1727-J1727-K1727</f>
        <v/>
      </c>
      <c r="Q1727" s="40">
        <f>IF(B1727&gt;=in_marketplace_from,(J1727+K1727)*d_hz*G1727,0)</f>
        <v/>
      </c>
      <c r="R1727" s="40">
        <f>SUMIFS(N1727:N1740,B1727:B1740,"&gt;="&amp;(B1727-d_T),B1727:B1740,"&lt;="&amp;(B1727-1))</f>
        <v/>
      </c>
      <c r="S1727" s="46" t="n">
        <v>0</v>
      </c>
      <c r="T1727" s="40">
        <f>F1727*d_u*S1727</f>
        <v/>
      </c>
      <c r="U1727" s="9">
        <f>L1727*in_ticket+M1727*d_rep_ticket</f>
        <v/>
      </c>
      <c r="V1727" s="9">
        <f>U1727+T1727*d_topup_amt</f>
        <v/>
      </c>
      <c r="W1727" s="40">
        <f>N1727+T1727*d_topup_ratio</f>
        <v/>
      </c>
      <c r="X1727" s="40">
        <f>SUMIFS(W1727:W1740,B1727:B1740,B1727-in_dpd_lag)*d_cured</f>
        <v/>
      </c>
      <c r="Y1727" s="40">
        <f>SUMIFS(W1727:W1740,B1727:B1740,B1727-in_rec_lag)*d_recd</f>
        <v/>
      </c>
      <c r="Z1727" s="40">
        <f>IF(AND(B1727&gt;=in_marketplace_from,B1727&lt;in_marketplace_from+in_card_months),in_card_share/in_card_months*F1727*I1727,IF(AND(B1727&gt;=in_marketplace_from+in_card_months,B1727&lt;in_marketplace_from+2*in_card_months),in_card_share*d_card_rem/in_card_months*F1727*MIN(in_takeup_cap,(1+in_takeup_growth)^(D1727-1))*MIN(in_takeup_cap,(1+in_approval_growth)^(D1727-1)),0))</f>
        <v/>
      </c>
      <c r="AA1727" s="14">
        <f>V1727*in_fee*(1-in_taken_back)</f>
        <v/>
      </c>
      <c r="AB1727" s="14">
        <f>SUMIFS(W1727:W1740,B1727:B1740,B1727-in_dpd_lag)*d_dpd</f>
        <v/>
      </c>
      <c r="AC1727" s="14">
        <f>SUMIFS(W1727:W1740,B1727:B1740,B1727-in_rec_lag)*d_rec</f>
        <v/>
      </c>
      <c r="AD1727" s="14">
        <f>Z1727*in_card_fee</f>
        <v/>
      </c>
      <c r="AE1727" s="40" t="n">
        <v>1</v>
      </c>
      <c r="AF1727" s="46">
        <f>AE1727*IF(B1727&gt;=in_marketplace_from,d_hz_hlth_small*G1727,0)</f>
        <v/>
      </c>
      <c r="AG1727" s="14">
        <f>F1727*AF1727*in_hlth_small_ticket*in_hlth_small_comm*in_ins_partner_share+F1727*in_hlth_small_ticket*in_hlth_small_renew_comm*in_ins_partner_share*(in_hlth_small_renew^1*SUMIFS(AF1727:AF1740,B1727:B1740,B1727-12)+in_hlth_small_renew^2*SUMIFS(AF1727:AF1740,B1727:B1740,B1727-24)+in_hlth_small_renew^3*SUMIFS(AF1727:AF1740,B1727:B1740,B1727-36)+in_hlth_small_renew^4*SUMIFS(AF1727:AF1740,B1727:B1740,B1727-48))</f>
        <v/>
      </c>
      <c r="AH1727" s="40" t="n">
        <v>1</v>
      </c>
      <c r="AI1727" s="46">
        <f>AH1727*IF(B1727&gt;=in_marketplace_from,d_hz_hlth_family*G1727,0)</f>
        <v/>
      </c>
      <c r="AJ1727" s="14">
        <f>F1727*AI1727*in_hlth_family_ticket*in_hlth_family_comm*in_ins_partner_share+F1727*in_hlth_family_ticket*in_hlth_family_renew_comm*in_ins_partner_share*(in_hlth_family_renew^1*SUMIFS(AI1727:AI1740,B1727:B1740,B1727-12)+in_hlth_family_renew^2*SUMIFS(AI1727:AI1740,B1727:B1740,B1727-24)+in_hlth_family_renew^3*SUMIFS(AI1727:AI1740,B1727:B1740,B1727-36)+in_hlth_family_renew^4*SUMIFS(AI1727:AI1740,B1727:B1740,B1727-48))</f>
        <v/>
      </c>
      <c r="AK1727" s="40" t="n">
        <v>1</v>
      </c>
      <c r="AL1727" s="46">
        <f>AK1727*IF(B1727&gt;=in_marketplace_from,d_hz_life_term*G1727,0)</f>
        <v/>
      </c>
      <c r="AM1727" s="14">
        <f>F1727*AL1727*in_life_term_ticket*in_life_term_comm*in_ins_partner_share+F1727*in_life_term_ticket*in_life_term_renew_comm*in_ins_partner_share*(in_life_term_renew^1*SUMIFS(AL1727:AL1740,B1727:B1740,B1727-12)+in_life_term_renew^2*SUMIFS(AL1727:AL1740,B1727:B1740,B1727-24)+in_life_term_renew^3*SUMIFS(AL1727:AL1740,B1727:B1740,B1727-36)+in_life_term_renew^4*SUMIFS(AL1727:AL1740,B1727:B1740,B1727-48))</f>
        <v/>
      </c>
      <c r="AN1727" s="40" t="n">
        <v>1</v>
      </c>
      <c r="AO1727" s="46">
        <f>AN1727*IF(B1727&gt;=in_marketplace_from,d_hz_accident*G1727,0)</f>
        <v/>
      </c>
      <c r="AP1727" s="14">
        <f>F1727*AO1727*in_accident_ticket*in_accident_comm*in_ins_partner_share+F1727*in_accident_ticket*in_accident_renew_comm*in_ins_partner_share*(in_accident_renew^1*SUMIFS(AO1727:AO1740,B1727:B1740,B1727-12)+in_accident_renew^2*SUMIFS(AO1727:AO1740,B1727:B1740,B1727-24)+in_accident_renew^3*SUMIFS(AO1727:AO1740,B1727:B1740,B1727-36)+in_accident_renew^4*SUMIFS(AO1727:AO1740,B1727:B1740,B1727-48))</f>
        <v/>
      </c>
      <c r="AQ1727" s="40" t="n">
        <v>1</v>
      </c>
      <c r="AR1727" s="46">
        <f>AQ1727*IF(B1727&gt;=in_marketplace_from,d_hz_two_wheeler*G1727,0)</f>
        <v/>
      </c>
      <c r="AS1727" s="14">
        <f>F1727*AR1727*in_two_wheeler_ticket*in_two_wheeler_comm*in_ins_partner_share+F1727*in_two_wheeler_ticket*in_two_wheeler_comm*in_ins_partner_share*(in_two_wheeler_renew^1*SUMIFS(AR1727:AR1740,B1727:B1740,B1727-12)+in_two_wheeler_renew^2*SUMIFS(AR1727:AR1740,B1727:B1740,B1727-24)+in_two_wheeler_renew^3*SUMIFS(AR1727:AR1740,B1727:B1740,B1727-36)+in_two_wheeler_renew^4*SUMIFS(AR1727:AR1740,B1727:B1740,B1727-48))</f>
        <v/>
      </c>
      <c r="AT1727" s="40" t="n">
        <v>1</v>
      </c>
      <c r="AU1727" s="14">
        <f>F1727*AT1727*IF(B1727&gt;=in_marketplace_from,d_hz_device*G1727,0)*in_device_ticket*in_device_comm*in_ins_partner_share</f>
        <v/>
      </c>
      <c r="AV1727" s="40" t="n">
        <v>1</v>
      </c>
      <c r="AW1727" s="46">
        <f>AV1727*IF(B1727&gt;=in_marketplace_from,d_hz_shop*G1727,0)</f>
        <v/>
      </c>
      <c r="AX1727" s="14">
        <f>F1727*AW1727*in_shop_ticket*in_shop_comm*in_ins_partner_share+F1727*in_shop_ticket*in_shop_renew_comm*in_ins_partner_share*(in_shop_renew^1*SUMIFS(AW1727:AW1740,B1727:B1740,B1727-12)+in_shop_renew^2*SUMIFS(AW1727:AW1740,B1727:B1740,B1727-24)+in_shop_renew^3*SUMIFS(AW1727:AW1740,B1727:B1740,B1727-36)+in_shop_renew^4*SUMIFS(AW1727:AW1740,B1727:B1740,B1727-48))</f>
        <v/>
      </c>
      <c r="AY1727" s="40" t="n">
        <v>1</v>
      </c>
      <c r="AZ1727" s="40">
        <f>AY1727*IF(B1727&gt;=in_marketplace_from,d_hz_sip*G1727,0)</f>
        <v/>
      </c>
      <c r="BA1727" s="40" t="n">
        <v>0</v>
      </c>
      <c r="BB1727" s="14">
        <f>F1727*in_sip_ticket*(BA1727+0.5*AZ1727)*in_sip_comm/12</f>
        <v/>
      </c>
      <c r="BC1727" s="40" t="n">
        <v>1</v>
      </c>
      <c r="BD1727" s="46">
        <f>BC1727*IF(B1727&gt;=in_marketplace_from,d_hz_choti*G1727,0)</f>
        <v/>
      </c>
      <c r="BE1727" s="14">
        <f>F1727*SUMIFS(BD1727:BD1740,B1727:B1740,B1727-in_choti_months)*in_choti_renew*in_choti_ticket</f>
        <v/>
      </c>
      <c r="BF1727" s="40" t="n">
        <v>1</v>
      </c>
      <c r="BG1727" s="14">
        <f>F1727*BF1727*IF(B1727&gt;=in_marketplace_from,d_hz_nps*G1727,0)*in_nps_ticket*in_nps_comm</f>
        <v/>
      </c>
      <c r="BH1727" s="40" t="n">
        <v>1</v>
      </c>
      <c r="BI1727" s="40">
        <f>BH1727*IF(B1727&gt;=in_marketplace_from,d_hz_gold*G1727,0)</f>
        <v/>
      </c>
      <c r="BJ1727" s="14">
        <f>F1727*BI1727*in_gold_ticket*in_gold_comm</f>
        <v/>
      </c>
      <c r="BK1727" s="40" t="n">
        <v>1</v>
      </c>
      <c r="BL1727" s="14">
        <f>F1727*BK1727*IF(B1727&gt;=in_marketplace_from,d_hz_fd*G1727,0)*in_fd_ticket*in_fd_comm</f>
        <v/>
      </c>
      <c r="BM1727" s="40" t="n">
        <v>1</v>
      </c>
      <c r="BN1727" s="40">
        <f>BM1727*IF(B1727&gt;=in_marketplace_from,d_hz_recharge*G1727,0)</f>
        <v/>
      </c>
      <c r="BO1727" s="14">
        <f>F1727*BN1727*in_recharge_ticket*in_recharge_comm/12</f>
        <v/>
      </c>
      <c r="BP1727" s="40" t="n">
        <v>1</v>
      </c>
      <c r="BQ1727" s="40">
        <f>BP1727*IF(B1727&gt;=in_marketplace_from,d_hz_bills*G1727,0)</f>
        <v/>
      </c>
      <c r="BR1727" s="14">
        <f>F1727*BQ1727*in_bills_ticket*in_bills_comm/12</f>
        <v/>
      </c>
      <c r="BS1727" s="40" t="n">
        <v>1</v>
      </c>
      <c r="BT1727" s="14">
        <f>F1727*BS1727*IF(B1727&gt;=in_marketplace_from,d_hz_loan_gold*G1727,0)*in_loan_gold_ticket*in_loan_gold_comm</f>
        <v/>
      </c>
      <c r="BU1727" s="40" t="n">
        <v>1</v>
      </c>
      <c r="BV1727" s="14">
        <f>F1727*BU1727*IF(B1727&gt;=in_marketplace_from,d_hz_loan_cd*G1727,0)*in_loan_cd_ticket*in_loan_cd_comm</f>
        <v/>
      </c>
      <c r="BW1727" s="40" t="n">
        <v>1</v>
      </c>
      <c r="BX1727" s="14">
        <f>F1727*BW1727*IF(B1727&gt;=in_marketplace_from,d_hz_loan_vehicle*G1727,0)*in_loan_vehicle_ticket*in_loan_vehicle_comm</f>
        <v/>
      </c>
      <c r="BY1727" s="40" t="n">
        <v>1</v>
      </c>
      <c r="BZ1727" s="11">
        <f>MIN(in_approval_cap,in_loan_home_approval*INDEX('Age profile'!$O$2:$O$61,B1727)*(1+in_approval_growth)^(D1727-1))</f>
        <v/>
      </c>
      <c r="CA1727" s="14">
        <f>F1727*BY1727*IF(B1727&gt;=in_marketplace_from,d_hz_loan_home*G1727,0)*BZ1727*in_loan_home_ticket*in_loan_home_comm</f>
        <v/>
      </c>
      <c r="CB1727" s="40" t="n">
        <v>1</v>
      </c>
      <c r="CC1727" s="11">
        <f>MIN(in_approval_cap,in_loan_lap_approval*INDEX('Age profile'!$O$2:$O$61,B1727)*(1+in_approval_growth)^(D1727-1))</f>
        <v/>
      </c>
      <c r="CD1727" s="14">
        <f>F1727*CB1727*IF(B1727&gt;=in_marketplace_from,d_hz_loan_lap*G1727,0)*CC1727*in_loan_lap_ticket*in_loan_lap_comm</f>
        <v/>
      </c>
      <c r="CE1727" s="14">
        <f>AA1727+AB1727+AC1727+AD1727+AG1727+AJ1727+AM1727+AP1727+AS1727+AU1727+AX1727+BB1727+BE1727+BG1727+BJ1727+BL1727+BO1727+BR1727+BT1727+BV1727+BX1727+CA1727+CD1727</f>
        <v/>
      </c>
    </row>
    <row r="1728">
      <c r="A1728" s="39" t="n">
        <v>47</v>
      </c>
      <c r="B1728" s="39" t="n">
        <v>2</v>
      </c>
      <c r="C1728" s="39">
        <f>A1728+B1728-1</f>
        <v/>
      </c>
      <c r="D1728" s="39">
        <f>INT((C1728-1)/12)+1</f>
        <v/>
      </c>
      <c r="E1728" s="44">
        <f>INDEX(Monthly!$B$2:$B$61,A1728)</f>
        <v/>
      </c>
      <c r="F1728" s="44">
        <f>E1728*INDEX('Age profile'!$B$2:$B$61,B1728)</f>
        <v/>
      </c>
      <c r="G1728" s="45">
        <f>MIN(in_takeup_cap,INDEX('Age profile'!$N$2:$N$61,B1728)*(1+in_takeup_growth)^(D1728-1))</f>
        <v/>
      </c>
      <c r="H1728" s="11">
        <f>MIN(in_approval_cap,in_approved_first*INDEX('Age profile'!$O$2:$O$61,B1728)*(1+in_approval_growth)^(D1728-1))</f>
        <v/>
      </c>
      <c r="I1728" s="45">
        <f>G1728*MIN(in_takeup_cap,INDEX('Age profile'!$O$2:$O$61,B1728)*(1+in_approval_growth)^(D1728-1))</f>
        <v/>
      </c>
      <c r="J1728" s="40">
        <f>(J1727-L1727)*F1728/F1727</f>
        <v/>
      </c>
      <c r="K1728" s="40">
        <f>(K1727-M1727)*F1728/F1727+SUMIFS(O1727:O1727,B1727:B1727,B1728-1-d_T)*F1728</f>
        <v/>
      </c>
      <c r="L1728" s="40">
        <f>IF(B1728&gt;=in_marketplace_from,J1728*d_hz*G1728*in_eligible*H1728,0)</f>
        <v/>
      </c>
      <c r="M1728" s="40">
        <f>IF(B1728&gt;=in_marketplace_from,K1728*d_hz*G1728*in_eligible*in_approved_repeat,0)</f>
        <v/>
      </c>
      <c r="N1728" s="40">
        <f>L1728+M1728</f>
        <v/>
      </c>
      <c r="O1728" s="46">
        <f>N1728/F1728</f>
        <v/>
      </c>
      <c r="P1728" s="40">
        <f>F1728-J1728-K1728</f>
        <v/>
      </c>
      <c r="Q1728" s="40">
        <f>IF(B1728&gt;=in_marketplace_from,(J1728+K1728)*d_hz*G1728,0)</f>
        <v/>
      </c>
      <c r="R1728" s="40">
        <f>SUMIFS(N1727:N1740,B1727:B1740,"&gt;="&amp;(B1728-d_T),B1727:B1740,"&lt;="&amp;(B1728-1))</f>
        <v/>
      </c>
      <c r="S1728" s="46">
        <f>(1-d_u)*S1727+IF(d_T&gt;in_topup_lag,SUMIFS(O1727:O1740,B1727:B1740,B1728-in_topup_lag)-d_udrop*SUMIFS(O1727:O1740,B1727:B1740,B1728-d_T),0)</f>
        <v/>
      </c>
      <c r="T1728" s="40">
        <f>F1728*d_u*S1728</f>
        <v/>
      </c>
      <c r="U1728" s="9">
        <f>L1728*in_ticket+M1728*d_rep_ticket</f>
        <v/>
      </c>
      <c r="V1728" s="9">
        <f>U1728+T1728*d_topup_amt</f>
        <v/>
      </c>
      <c r="W1728" s="40">
        <f>N1728+T1728*d_topup_ratio</f>
        <v/>
      </c>
      <c r="X1728" s="40">
        <f>SUMIFS(W1727:W1740,B1727:B1740,B1728-in_dpd_lag)*d_cured</f>
        <v/>
      </c>
      <c r="Y1728" s="40">
        <f>SUMIFS(W1727:W1740,B1727:B1740,B1728-in_rec_lag)*d_recd</f>
        <v/>
      </c>
      <c r="Z1728" s="40">
        <f>IF(AND(B1728&gt;=in_marketplace_from,B1728&lt;in_marketplace_from+in_card_months),in_card_share/in_card_months*F1728*I1728,IF(AND(B1728&gt;=in_marketplace_from+in_card_months,B1728&lt;in_marketplace_from+2*in_card_months),in_card_share*d_card_rem/in_card_months*F1728*MIN(in_takeup_cap,(1+in_takeup_growth)^(D1728-1))*MIN(in_takeup_cap,(1+in_approval_growth)^(D1728-1)),0))</f>
        <v/>
      </c>
      <c r="AA1728" s="14">
        <f>V1728*in_fee*(1-in_taken_back)</f>
        <v/>
      </c>
      <c r="AB1728" s="14">
        <f>SUMIFS(W1727:W1740,B1727:B1740,B1728-in_dpd_lag)*d_dpd</f>
        <v/>
      </c>
      <c r="AC1728" s="14">
        <f>SUMIFS(W1727:W1740,B1727:B1740,B1728-in_rec_lag)*d_rec</f>
        <v/>
      </c>
      <c r="AD1728" s="14">
        <f>Z1728*in_card_fee</f>
        <v/>
      </c>
      <c r="AE1728" s="40">
        <f>AE1727*(1-IF(B1727&gt;=in_marketplace_from,d_hz_hlth_small*G1727,0))</f>
        <v/>
      </c>
      <c r="AF1728" s="46">
        <f>AE1728*IF(B1728&gt;=in_marketplace_from,d_hz_hlth_small*G1728,0)</f>
        <v/>
      </c>
      <c r="AG1728" s="14">
        <f>F1728*AF1728*in_hlth_small_ticket*in_hlth_small_comm*in_ins_partner_share+F1728*in_hlth_small_ticket*in_hlth_small_renew_comm*in_ins_partner_share*(in_hlth_small_renew^1*SUMIFS(AF1727:AF1740,B1727:B1740,B1728-12)+in_hlth_small_renew^2*SUMIFS(AF1727:AF1740,B1727:B1740,B1728-24)+in_hlth_small_renew^3*SUMIFS(AF1727:AF1740,B1727:B1740,B1728-36)+in_hlth_small_renew^4*SUMIFS(AF1727:AF1740,B1727:B1740,B1728-48))</f>
        <v/>
      </c>
      <c r="AH1728" s="40">
        <f>AH1727*(1-IF(B1727&gt;=in_marketplace_from,d_hz_hlth_family*G1727,0))</f>
        <v/>
      </c>
      <c r="AI1728" s="46">
        <f>AH1728*IF(B1728&gt;=in_marketplace_from,d_hz_hlth_family*G1728,0)</f>
        <v/>
      </c>
      <c r="AJ1728" s="14">
        <f>F1728*AI1728*in_hlth_family_ticket*in_hlth_family_comm*in_ins_partner_share+F1728*in_hlth_family_ticket*in_hlth_family_renew_comm*in_ins_partner_share*(in_hlth_family_renew^1*SUMIFS(AI1727:AI1740,B1727:B1740,B1728-12)+in_hlth_family_renew^2*SUMIFS(AI1727:AI1740,B1727:B1740,B1728-24)+in_hlth_family_renew^3*SUMIFS(AI1727:AI1740,B1727:B1740,B1728-36)+in_hlth_family_renew^4*SUMIFS(AI1727:AI1740,B1727:B1740,B1728-48))</f>
        <v/>
      </c>
      <c r="AK1728" s="40">
        <f>AK1727*(1-IF(B1727&gt;=in_marketplace_from,d_hz_life_term*G1727,0))</f>
        <v/>
      </c>
      <c r="AL1728" s="46">
        <f>AK1728*IF(B1728&gt;=in_marketplace_from,d_hz_life_term*G1728,0)</f>
        <v/>
      </c>
      <c r="AM1728" s="14">
        <f>F1728*AL1728*in_life_term_ticket*in_life_term_comm*in_ins_partner_share+F1728*in_life_term_ticket*in_life_term_renew_comm*in_ins_partner_share*(in_life_term_renew^1*SUMIFS(AL1727:AL1740,B1727:B1740,B1728-12)+in_life_term_renew^2*SUMIFS(AL1727:AL1740,B1727:B1740,B1728-24)+in_life_term_renew^3*SUMIFS(AL1727:AL1740,B1727:B1740,B1728-36)+in_life_term_renew^4*SUMIFS(AL1727:AL1740,B1727:B1740,B1728-48))</f>
        <v/>
      </c>
      <c r="AN1728" s="40">
        <f>AN1727*(1-IF(B1727&gt;=in_marketplace_from,d_hz_accident*G1727,0))</f>
        <v/>
      </c>
      <c r="AO1728" s="46">
        <f>AN1728*IF(B1728&gt;=in_marketplace_from,d_hz_accident*G1728,0)</f>
        <v/>
      </c>
      <c r="AP1728" s="14">
        <f>F1728*AO1728*in_accident_ticket*in_accident_comm*in_ins_partner_share+F1728*in_accident_ticket*in_accident_renew_comm*in_ins_partner_share*(in_accident_renew^1*SUMIFS(AO1727:AO1740,B1727:B1740,B1728-12)+in_accident_renew^2*SUMIFS(AO1727:AO1740,B1727:B1740,B1728-24)+in_accident_renew^3*SUMIFS(AO1727:AO1740,B1727:B1740,B1728-36)+in_accident_renew^4*SUMIFS(AO1727:AO1740,B1727:B1740,B1728-48))</f>
        <v/>
      </c>
      <c r="AQ1728" s="40">
        <f>AQ1727*(1-IF(B1727&gt;=in_marketplace_from,d_hz_two_wheeler*G1727,0))</f>
        <v/>
      </c>
      <c r="AR1728" s="46">
        <f>AQ1728*IF(B1728&gt;=in_marketplace_from,d_hz_two_wheeler*G1728,0)</f>
        <v/>
      </c>
      <c r="AS1728" s="14">
        <f>F1728*AR1728*in_two_wheeler_ticket*in_two_wheeler_comm*in_ins_partner_share+F1728*in_two_wheeler_ticket*in_two_wheeler_comm*in_ins_partner_share*(in_two_wheeler_renew^1*SUMIFS(AR1727:AR1740,B1727:B1740,B1728-12)+in_two_wheeler_renew^2*SUMIFS(AR1727:AR1740,B1727:B1740,B1728-24)+in_two_wheeler_renew^3*SUMIFS(AR1727:AR1740,B1727:B1740,B1728-36)+in_two_wheeler_renew^4*SUMIFS(AR1727:AR1740,B1727:B1740,B1728-48))</f>
        <v/>
      </c>
      <c r="AT1728" s="40">
        <f>AT1727*(1-IF(B1727&gt;=in_marketplace_from,d_hz_device*G1727,0))</f>
        <v/>
      </c>
      <c r="AU1728" s="14">
        <f>F1728*AT1728*IF(B1728&gt;=in_marketplace_from,d_hz_device*G1728,0)*in_device_ticket*in_device_comm*in_ins_partner_share</f>
        <v/>
      </c>
      <c r="AV1728" s="40">
        <f>AV1727*(1-IF(B1727&gt;=in_marketplace_from,d_hz_shop*G1727,0))</f>
        <v/>
      </c>
      <c r="AW1728" s="46">
        <f>AV1728*IF(B1728&gt;=in_marketplace_from,d_hz_shop*G1728,0)</f>
        <v/>
      </c>
      <c r="AX1728" s="14">
        <f>F1728*AW1728*in_shop_ticket*in_shop_comm*in_ins_partner_share+F1728*in_shop_ticket*in_shop_renew_comm*in_ins_partner_share*(in_shop_renew^1*SUMIFS(AW1727:AW1740,B1727:B1740,B1728-12)+in_shop_renew^2*SUMIFS(AW1727:AW1740,B1727:B1740,B1728-24)+in_shop_renew^3*SUMIFS(AW1727:AW1740,B1727:B1740,B1728-36)+in_shop_renew^4*SUMIFS(AW1727:AW1740,B1727:B1740,B1728-48))</f>
        <v/>
      </c>
      <c r="AY1728" s="40">
        <f>AY1727*(1-IF(B1727&gt;=in_marketplace_from,d_hz_sip*G1727,0))</f>
        <v/>
      </c>
      <c r="AZ1728" s="40">
        <f>AZ1727*d_rho_sip+AY1728*IF(B1728&gt;=in_marketplace_from,d_hz_sip*G1728,0)</f>
        <v/>
      </c>
      <c r="BA1728" s="40">
        <f>d_rho_sip*(BA1727+AZ1727)</f>
        <v/>
      </c>
      <c r="BB1728" s="14">
        <f>F1728*in_sip_ticket*(BA1728+0.5*AZ1728)*in_sip_comm/12</f>
        <v/>
      </c>
      <c r="BC1728" s="40">
        <f>BC1727*(1-IF(B1727&gt;=in_marketplace_from,d_hz_choti*G1727,0))</f>
        <v/>
      </c>
      <c r="BD1728" s="46">
        <f>BC1728*IF(B1728&gt;=in_marketplace_from,d_hz_choti*G1728,0)</f>
        <v/>
      </c>
      <c r="BE1728" s="14">
        <f>F1728*SUMIFS(BD1727:BD1740,B1727:B1740,B1728-in_choti_months)*in_choti_renew*in_choti_ticket</f>
        <v/>
      </c>
      <c r="BF1728" s="40">
        <f>BF1727*(1-IF(B1727&gt;=in_marketplace_from,d_hz_nps*G1727,0))</f>
        <v/>
      </c>
      <c r="BG1728" s="14">
        <f>F1728*BF1728*IF(B1728&gt;=in_marketplace_from,d_hz_nps*G1728,0)*in_nps_ticket*in_nps_comm</f>
        <v/>
      </c>
      <c r="BH1728" s="40">
        <f>BH1727*(1-IF(B1727&gt;=in_marketplace_from,d_hz_gold*G1727,0))</f>
        <v/>
      </c>
      <c r="BI1728" s="40">
        <f>BI1727*d_rho_gold+BH1728*IF(B1728&gt;=in_marketplace_from,d_hz_gold*G1728,0)</f>
        <v/>
      </c>
      <c r="BJ1728" s="14">
        <f>F1728*BI1728*in_gold_ticket*in_gold_comm</f>
        <v/>
      </c>
      <c r="BK1728" s="40">
        <f>BK1727*(1-IF(B1727&gt;=in_marketplace_from,d_hz_fd*G1727,0))</f>
        <v/>
      </c>
      <c r="BL1728" s="14">
        <f>F1728*BK1728*IF(B1728&gt;=in_marketplace_from,d_hz_fd*G1728,0)*in_fd_ticket*in_fd_comm</f>
        <v/>
      </c>
      <c r="BM1728" s="40">
        <f>BM1727*(1-IF(B1727&gt;=in_marketplace_from,d_hz_recharge*G1727,0))</f>
        <v/>
      </c>
      <c r="BN1728" s="40">
        <f>BN1727*d_rho_recharge+BM1728*IF(B1728&gt;=in_marketplace_from,d_hz_recharge*G1728,0)</f>
        <v/>
      </c>
      <c r="BO1728" s="14">
        <f>F1728*BN1728*in_recharge_ticket*in_recharge_comm/12</f>
        <v/>
      </c>
      <c r="BP1728" s="40">
        <f>BP1727*(1-IF(B1727&gt;=in_marketplace_from,d_hz_bills*G1727,0))</f>
        <v/>
      </c>
      <c r="BQ1728" s="40">
        <f>BQ1727*d_rho_bills+BP1728*IF(B1728&gt;=in_marketplace_from,d_hz_bills*G1728,0)</f>
        <v/>
      </c>
      <c r="BR1728" s="14">
        <f>F1728*BQ1728*in_bills_ticket*in_bills_comm/12</f>
        <v/>
      </c>
      <c r="BS1728" s="40">
        <f>BS1727*(1-IF(B1727&gt;=in_marketplace_from,d_hz_loan_gold*G1727,0))</f>
        <v/>
      </c>
      <c r="BT1728" s="14">
        <f>F1728*BS1728*IF(B1728&gt;=in_marketplace_from,d_hz_loan_gold*G1728,0)*in_loan_gold_ticket*in_loan_gold_comm</f>
        <v/>
      </c>
      <c r="BU1728" s="40">
        <f>BU1727*(1-IF(B1727&gt;=in_marketplace_from,d_hz_loan_cd*G1727,0))</f>
        <v/>
      </c>
      <c r="BV1728" s="14">
        <f>F1728*BU1728*IF(B1728&gt;=in_marketplace_from,d_hz_loan_cd*G1728,0)*in_loan_cd_ticket*in_loan_cd_comm</f>
        <v/>
      </c>
      <c r="BW1728" s="40">
        <f>BW1727*(1-IF(B1727&gt;=in_marketplace_from,d_hz_loan_vehicle*G1727,0))</f>
        <v/>
      </c>
      <c r="BX1728" s="14">
        <f>F1728*BW1728*IF(B1728&gt;=in_marketplace_from,d_hz_loan_vehicle*G1728,0)*in_loan_vehicle_ticket*in_loan_vehicle_comm</f>
        <v/>
      </c>
      <c r="BY1728" s="40">
        <f>BY1727*(1-IF(B1727&gt;=in_marketplace_from,d_hz_loan_home*G1727,0)*BZ1727)</f>
        <v/>
      </c>
      <c r="BZ1728" s="11">
        <f>MIN(in_approval_cap,in_loan_home_approval*INDEX('Age profile'!$O$2:$O$61,B1728)*(1+in_approval_growth)^(D1728-1))</f>
        <v/>
      </c>
      <c r="CA1728" s="14">
        <f>F1728*BY1728*IF(B1728&gt;=in_marketplace_from,d_hz_loan_home*G1728,0)*BZ1728*in_loan_home_ticket*in_loan_home_comm</f>
        <v/>
      </c>
      <c r="CB1728" s="40">
        <f>CB1727*(1-IF(B1727&gt;=in_marketplace_from,d_hz_loan_lap*G1727,0)*CC1727)</f>
        <v/>
      </c>
      <c r="CC1728" s="11">
        <f>MIN(in_approval_cap,in_loan_lap_approval*INDEX('Age profile'!$O$2:$O$61,B1728)*(1+in_approval_growth)^(D1728-1))</f>
        <v/>
      </c>
      <c r="CD1728" s="14">
        <f>F1728*CB1728*IF(B1728&gt;=in_marketplace_from,d_hz_loan_lap*G1728,0)*CC1728*in_loan_lap_ticket*in_loan_lap_comm</f>
        <v/>
      </c>
      <c r="CE1728" s="14">
        <f>AA1728+AB1728+AC1728+AD1728+AG1728+AJ1728+AM1728+AP1728+AS1728+AU1728+AX1728+BB1728+BE1728+BG1728+BJ1728+BL1728+BO1728+BR1728+BT1728+BV1728+BX1728+CA1728+CD1728</f>
        <v/>
      </c>
    </row>
    <row r="1729">
      <c r="A1729" s="39" t="n">
        <v>47</v>
      </c>
      <c r="B1729" s="39" t="n">
        <v>3</v>
      </c>
      <c r="C1729" s="39">
        <f>A1729+B1729-1</f>
        <v/>
      </c>
      <c r="D1729" s="39">
        <f>INT((C1729-1)/12)+1</f>
        <v/>
      </c>
      <c r="E1729" s="44">
        <f>INDEX(Monthly!$B$2:$B$61,A1729)</f>
        <v/>
      </c>
      <c r="F1729" s="44">
        <f>E1729*INDEX('Age profile'!$B$2:$B$61,B1729)</f>
        <v/>
      </c>
      <c r="G1729" s="45">
        <f>MIN(in_takeup_cap,INDEX('Age profile'!$N$2:$N$61,B1729)*(1+in_takeup_growth)^(D1729-1))</f>
        <v/>
      </c>
      <c r="H1729" s="11">
        <f>MIN(in_approval_cap,in_approved_first*INDEX('Age profile'!$O$2:$O$61,B1729)*(1+in_approval_growth)^(D1729-1))</f>
        <v/>
      </c>
      <c r="I1729" s="45">
        <f>G1729*MIN(in_takeup_cap,INDEX('Age profile'!$O$2:$O$61,B1729)*(1+in_approval_growth)^(D1729-1))</f>
        <v/>
      </c>
      <c r="J1729" s="40">
        <f>(J1728-L1728)*F1729/F1728</f>
        <v/>
      </c>
      <c r="K1729" s="40">
        <f>(K1728-M1728)*F1729/F1728+SUMIFS(O1727:O1728,B1727:B1728,B1729-1-d_T)*F1729</f>
        <v/>
      </c>
      <c r="L1729" s="40">
        <f>IF(B1729&gt;=in_marketplace_from,J1729*d_hz*G1729*in_eligible*H1729,0)</f>
        <v/>
      </c>
      <c r="M1729" s="40">
        <f>IF(B1729&gt;=in_marketplace_from,K1729*d_hz*G1729*in_eligible*in_approved_repeat,0)</f>
        <v/>
      </c>
      <c r="N1729" s="40">
        <f>L1729+M1729</f>
        <v/>
      </c>
      <c r="O1729" s="46">
        <f>N1729/F1729</f>
        <v/>
      </c>
      <c r="P1729" s="40">
        <f>F1729-J1729-K1729</f>
        <v/>
      </c>
      <c r="Q1729" s="40">
        <f>IF(B1729&gt;=in_marketplace_from,(J1729+K1729)*d_hz*G1729,0)</f>
        <v/>
      </c>
      <c r="R1729" s="40">
        <f>SUMIFS(N1727:N1740,B1727:B1740,"&gt;="&amp;(B1729-d_T),B1727:B1740,"&lt;="&amp;(B1729-1))</f>
        <v/>
      </c>
      <c r="S1729" s="46">
        <f>(1-d_u)*S1728+IF(d_T&gt;in_topup_lag,SUMIFS(O1727:O1740,B1727:B1740,B1729-in_topup_lag)-d_udrop*SUMIFS(O1727:O1740,B1727:B1740,B1729-d_T),0)</f>
        <v/>
      </c>
      <c r="T1729" s="40">
        <f>F1729*d_u*S1729</f>
        <v/>
      </c>
      <c r="U1729" s="9">
        <f>L1729*in_ticket+M1729*d_rep_ticket</f>
        <v/>
      </c>
      <c r="V1729" s="9">
        <f>U1729+T1729*d_topup_amt</f>
        <v/>
      </c>
      <c r="W1729" s="40">
        <f>N1729+T1729*d_topup_ratio</f>
        <v/>
      </c>
      <c r="X1729" s="40">
        <f>SUMIFS(W1727:W1740,B1727:B1740,B1729-in_dpd_lag)*d_cured</f>
        <v/>
      </c>
      <c r="Y1729" s="40">
        <f>SUMIFS(W1727:W1740,B1727:B1740,B1729-in_rec_lag)*d_recd</f>
        <v/>
      </c>
      <c r="Z1729" s="40">
        <f>IF(AND(B1729&gt;=in_marketplace_from,B1729&lt;in_marketplace_from+in_card_months),in_card_share/in_card_months*F1729*I1729,IF(AND(B1729&gt;=in_marketplace_from+in_card_months,B1729&lt;in_marketplace_from+2*in_card_months),in_card_share*d_card_rem/in_card_months*F1729*MIN(in_takeup_cap,(1+in_takeup_growth)^(D1729-1))*MIN(in_takeup_cap,(1+in_approval_growth)^(D1729-1)),0))</f>
        <v/>
      </c>
      <c r="AA1729" s="14">
        <f>V1729*in_fee*(1-in_taken_back)</f>
        <v/>
      </c>
      <c r="AB1729" s="14">
        <f>SUMIFS(W1727:W1740,B1727:B1740,B1729-in_dpd_lag)*d_dpd</f>
        <v/>
      </c>
      <c r="AC1729" s="14">
        <f>SUMIFS(W1727:W1740,B1727:B1740,B1729-in_rec_lag)*d_rec</f>
        <v/>
      </c>
      <c r="AD1729" s="14">
        <f>Z1729*in_card_fee</f>
        <v/>
      </c>
      <c r="AE1729" s="40">
        <f>AE1728*(1-IF(B1728&gt;=in_marketplace_from,d_hz_hlth_small*G1728,0))</f>
        <v/>
      </c>
      <c r="AF1729" s="46">
        <f>AE1729*IF(B1729&gt;=in_marketplace_from,d_hz_hlth_small*G1729,0)</f>
        <v/>
      </c>
      <c r="AG1729" s="14">
        <f>F1729*AF1729*in_hlth_small_ticket*in_hlth_small_comm*in_ins_partner_share+F1729*in_hlth_small_ticket*in_hlth_small_renew_comm*in_ins_partner_share*(in_hlth_small_renew^1*SUMIFS(AF1727:AF1740,B1727:B1740,B1729-12)+in_hlth_small_renew^2*SUMIFS(AF1727:AF1740,B1727:B1740,B1729-24)+in_hlth_small_renew^3*SUMIFS(AF1727:AF1740,B1727:B1740,B1729-36)+in_hlth_small_renew^4*SUMIFS(AF1727:AF1740,B1727:B1740,B1729-48))</f>
        <v/>
      </c>
      <c r="AH1729" s="40">
        <f>AH1728*(1-IF(B1728&gt;=in_marketplace_from,d_hz_hlth_family*G1728,0))</f>
        <v/>
      </c>
      <c r="AI1729" s="46">
        <f>AH1729*IF(B1729&gt;=in_marketplace_from,d_hz_hlth_family*G1729,0)</f>
        <v/>
      </c>
      <c r="AJ1729" s="14">
        <f>F1729*AI1729*in_hlth_family_ticket*in_hlth_family_comm*in_ins_partner_share+F1729*in_hlth_family_ticket*in_hlth_family_renew_comm*in_ins_partner_share*(in_hlth_family_renew^1*SUMIFS(AI1727:AI1740,B1727:B1740,B1729-12)+in_hlth_family_renew^2*SUMIFS(AI1727:AI1740,B1727:B1740,B1729-24)+in_hlth_family_renew^3*SUMIFS(AI1727:AI1740,B1727:B1740,B1729-36)+in_hlth_family_renew^4*SUMIFS(AI1727:AI1740,B1727:B1740,B1729-48))</f>
        <v/>
      </c>
      <c r="AK1729" s="40">
        <f>AK1728*(1-IF(B1728&gt;=in_marketplace_from,d_hz_life_term*G1728,0))</f>
        <v/>
      </c>
      <c r="AL1729" s="46">
        <f>AK1729*IF(B1729&gt;=in_marketplace_from,d_hz_life_term*G1729,0)</f>
        <v/>
      </c>
      <c r="AM1729" s="14">
        <f>F1729*AL1729*in_life_term_ticket*in_life_term_comm*in_ins_partner_share+F1729*in_life_term_ticket*in_life_term_renew_comm*in_ins_partner_share*(in_life_term_renew^1*SUMIFS(AL1727:AL1740,B1727:B1740,B1729-12)+in_life_term_renew^2*SUMIFS(AL1727:AL1740,B1727:B1740,B1729-24)+in_life_term_renew^3*SUMIFS(AL1727:AL1740,B1727:B1740,B1729-36)+in_life_term_renew^4*SUMIFS(AL1727:AL1740,B1727:B1740,B1729-48))</f>
        <v/>
      </c>
      <c r="AN1729" s="40">
        <f>AN1728*(1-IF(B1728&gt;=in_marketplace_from,d_hz_accident*G1728,0))</f>
        <v/>
      </c>
      <c r="AO1729" s="46">
        <f>AN1729*IF(B1729&gt;=in_marketplace_from,d_hz_accident*G1729,0)</f>
        <v/>
      </c>
      <c r="AP1729" s="14">
        <f>F1729*AO1729*in_accident_ticket*in_accident_comm*in_ins_partner_share+F1729*in_accident_ticket*in_accident_renew_comm*in_ins_partner_share*(in_accident_renew^1*SUMIFS(AO1727:AO1740,B1727:B1740,B1729-12)+in_accident_renew^2*SUMIFS(AO1727:AO1740,B1727:B1740,B1729-24)+in_accident_renew^3*SUMIFS(AO1727:AO1740,B1727:B1740,B1729-36)+in_accident_renew^4*SUMIFS(AO1727:AO1740,B1727:B1740,B1729-48))</f>
        <v/>
      </c>
      <c r="AQ1729" s="40">
        <f>AQ1728*(1-IF(B1728&gt;=in_marketplace_from,d_hz_two_wheeler*G1728,0))</f>
        <v/>
      </c>
      <c r="AR1729" s="46">
        <f>AQ1729*IF(B1729&gt;=in_marketplace_from,d_hz_two_wheeler*G1729,0)</f>
        <v/>
      </c>
      <c r="AS1729" s="14">
        <f>F1729*AR1729*in_two_wheeler_ticket*in_two_wheeler_comm*in_ins_partner_share+F1729*in_two_wheeler_ticket*in_two_wheeler_comm*in_ins_partner_share*(in_two_wheeler_renew^1*SUMIFS(AR1727:AR1740,B1727:B1740,B1729-12)+in_two_wheeler_renew^2*SUMIFS(AR1727:AR1740,B1727:B1740,B1729-24)+in_two_wheeler_renew^3*SUMIFS(AR1727:AR1740,B1727:B1740,B1729-36)+in_two_wheeler_renew^4*SUMIFS(AR1727:AR1740,B1727:B1740,B1729-48))</f>
        <v/>
      </c>
      <c r="AT1729" s="40">
        <f>AT1728*(1-IF(B1728&gt;=in_marketplace_from,d_hz_device*G1728,0))</f>
        <v/>
      </c>
      <c r="AU1729" s="14">
        <f>F1729*AT1729*IF(B1729&gt;=in_marketplace_from,d_hz_device*G1729,0)*in_device_ticket*in_device_comm*in_ins_partner_share</f>
        <v/>
      </c>
      <c r="AV1729" s="40">
        <f>AV1728*(1-IF(B1728&gt;=in_marketplace_from,d_hz_shop*G1728,0))</f>
        <v/>
      </c>
      <c r="AW1729" s="46">
        <f>AV1729*IF(B1729&gt;=in_marketplace_from,d_hz_shop*G1729,0)</f>
        <v/>
      </c>
      <c r="AX1729" s="14">
        <f>F1729*AW1729*in_shop_ticket*in_shop_comm*in_ins_partner_share+F1729*in_shop_ticket*in_shop_renew_comm*in_ins_partner_share*(in_shop_renew^1*SUMIFS(AW1727:AW1740,B1727:B1740,B1729-12)+in_shop_renew^2*SUMIFS(AW1727:AW1740,B1727:B1740,B1729-24)+in_shop_renew^3*SUMIFS(AW1727:AW1740,B1727:B1740,B1729-36)+in_shop_renew^4*SUMIFS(AW1727:AW1740,B1727:B1740,B1729-48))</f>
        <v/>
      </c>
      <c r="AY1729" s="40">
        <f>AY1728*(1-IF(B1728&gt;=in_marketplace_from,d_hz_sip*G1728,0))</f>
        <v/>
      </c>
      <c r="AZ1729" s="40">
        <f>AZ1728*d_rho_sip+AY1729*IF(B1729&gt;=in_marketplace_from,d_hz_sip*G1729,0)</f>
        <v/>
      </c>
      <c r="BA1729" s="40">
        <f>d_rho_sip*(BA1728+AZ1728)</f>
        <v/>
      </c>
      <c r="BB1729" s="14">
        <f>F1729*in_sip_ticket*(BA1729+0.5*AZ1729)*in_sip_comm/12</f>
        <v/>
      </c>
      <c r="BC1729" s="40">
        <f>BC1728*(1-IF(B1728&gt;=in_marketplace_from,d_hz_choti*G1728,0))</f>
        <v/>
      </c>
      <c r="BD1729" s="46">
        <f>BC1729*IF(B1729&gt;=in_marketplace_from,d_hz_choti*G1729,0)</f>
        <v/>
      </c>
      <c r="BE1729" s="14">
        <f>F1729*SUMIFS(BD1727:BD1740,B1727:B1740,B1729-in_choti_months)*in_choti_renew*in_choti_ticket</f>
        <v/>
      </c>
      <c r="BF1729" s="40">
        <f>BF1728*(1-IF(B1728&gt;=in_marketplace_from,d_hz_nps*G1728,0))</f>
        <v/>
      </c>
      <c r="BG1729" s="14">
        <f>F1729*BF1729*IF(B1729&gt;=in_marketplace_from,d_hz_nps*G1729,0)*in_nps_ticket*in_nps_comm</f>
        <v/>
      </c>
      <c r="BH1729" s="40">
        <f>BH1728*(1-IF(B1728&gt;=in_marketplace_from,d_hz_gold*G1728,0))</f>
        <v/>
      </c>
      <c r="BI1729" s="40">
        <f>BI1728*d_rho_gold+BH1729*IF(B1729&gt;=in_marketplace_from,d_hz_gold*G1729,0)</f>
        <v/>
      </c>
      <c r="BJ1729" s="14">
        <f>F1729*BI1729*in_gold_ticket*in_gold_comm</f>
        <v/>
      </c>
      <c r="BK1729" s="40">
        <f>BK1728*(1-IF(B1728&gt;=in_marketplace_from,d_hz_fd*G1728,0))</f>
        <v/>
      </c>
      <c r="BL1729" s="14">
        <f>F1729*BK1729*IF(B1729&gt;=in_marketplace_from,d_hz_fd*G1729,0)*in_fd_ticket*in_fd_comm</f>
        <v/>
      </c>
      <c r="BM1729" s="40">
        <f>BM1728*(1-IF(B1728&gt;=in_marketplace_from,d_hz_recharge*G1728,0))</f>
        <v/>
      </c>
      <c r="BN1729" s="40">
        <f>BN1728*d_rho_recharge+BM1729*IF(B1729&gt;=in_marketplace_from,d_hz_recharge*G1729,0)</f>
        <v/>
      </c>
      <c r="BO1729" s="14">
        <f>F1729*BN1729*in_recharge_ticket*in_recharge_comm/12</f>
        <v/>
      </c>
      <c r="BP1729" s="40">
        <f>BP1728*(1-IF(B1728&gt;=in_marketplace_from,d_hz_bills*G1728,0))</f>
        <v/>
      </c>
      <c r="BQ1729" s="40">
        <f>BQ1728*d_rho_bills+BP1729*IF(B1729&gt;=in_marketplace_from,d_hz_bills*G1729,0)</f>
        <v/>
      </c>
      <c r="BR1729" s="14">
        <f>F1729*BQ1729*in_bills_ticket*in_bills_comm/12</f>
        <v/>
      </c>
      <c r="BS1729" s="40">
        <f>BS1728*(1-IF(B1728&gt;=in_marketplace_from,d_hz_loan_gold*G1728,0))</f>
        <v/>
      </c>
      <c r="BT1729" s="14">
        <f>F1729*BS1729*IF(B1729&gt;=in_marketplace_from,d_hz_loan_gold*G1729,0)*in_loan_gold_ticket*in_loan_gold_comm</f>
        <v/>
      </c>
      <c r="BU1729" s="40">
        <f>BU1728*(1-IF(B1728&gt;=in_marketplace_from,d_hz_loan_cd*G1728,0))</f>
        <v/>
      </c>
      <c r="BV1729" s="14">
        <f>F1729*BU1729*IF(B1729&gt;=in_marketplace_from,d_hz_loan_cd*G1729,0)*in_loan_cd_ticket*in_loan_cd_comm</f>
        <v/>
      </c>
      <c r="BW1729" s="40">
        <f>BW1728*(1-IF(B1728&gt;=in_marketplace_from,d_hz_loan_vehicle*G1728,0))</f>
        <v/>
      </c>
      <c r="BX1729" s="14">
        <f>F1729*BW1729*IF(B1729&gt;=in_marketplace_from,d_hz_loan_vehicle*G1729,0)*in_loan_vehicle_ticket*in_loan_vehicle_comm</f>
        <v/>
      </c>
      <c r="BY1729" s="40">
        <f>BY1728*(1-IF(B1728&gt;=in_marketplace_from,d_hz_loan_home*G1728,0)*BZ1728)</f>
        <v/>
      </c>
      <c r="BZ1729" s="11">
        <f>MIN(in_approval_cap,in_loan_home_approval*INDEX('Age profile'!$O$2:$O$61,B1729)*(1+in_approval_growth)^(D1729-1))</f>
        <v/>
      </c>
      <c r="CA1729" s="14">
        <f>F1729*BY1729*IF(B1729&gt;=in_marketplace_from,d_hz_loan_home*G1729,0)*BZ1729*in_loan_home_ticket*in_loan_home_comm</f>
        <v/>
      </c>
      <c r="CB1729" s="40">
        <f>CB1728*(1-IF(B1728&gt;=in_marketplace_from,d_hz_loan_lap*G1728,0)*CC1728)</f>
        <v/>
      </c>
      <c r="CC1729" s="11">
        <f>MIN(in_approval_cap,in_loan_lap_approval*INDEX('Age profile'!$O$2:$O$61,B1729)*(1+in_approval_growth)^(D1729-1))</f>
        <v/>
      </c>
      <c r="CD1729" s="14">
        <f>F1729*CB1729*IF(B1729&gt;=in_marketplace_from,d_hz_loan_lap*G1729,0)*CC1729*in_loan_lap_ticket*in_loan_lap_comm</f>
        <v/>
      </c>
      <c r="CE1729" s="14">
        <f>AA1729+AB1729+AC1729+AD1729+AG1729+AJ1729+AM1729+AP1729+AS1729+AU1729+AX1729+BB1729+BE1729+BG1729+BJ1729+BL1729+BO1729+BR1729+BT1729+BV1729+BX1729+CA1729+CD1729</f>
        <v/>
      </c>
    </row>
    <row r="1730">
      <c r="A1730" s="39" t="n">
        <v>47</v>
      </c>
      <c r="B1730" s="39" t="n">
        <v>4</v>
      </c>
      <c r="C1730" s="39">
        <f>A1730+B1730-1</f>
        <v/>
      </c>
      <c r="D1730" s="39">
        <f>INT((C1730-1)/12)+1</f>
        <v/>
      </c>
      <c r="E1730" s="44">
        <f>INDEX(Monthly!$B$2:$B$61,A1730)</f>
        <v/>
      </c>
      <c r="F1730" s="44">
        <f>E1730*INDEX('Age profile'!$B$2:$B$61,B1730)</f>
        <v/>
      </c>
      <c r="G1730" s="45">
        <f>MIN(in_takeup_cap,INDEX('Age profile'!$N$2:$N$61,B1730)*(1+in_takeup_growth)^(D1730-1))</f>
        <v/>
      </c>
      <c r="H1730" s="11">
        <f>MIN(in_approval_cap,in_approved_first*INDEX('Age profile'!$O$2:$O$61,B1730)*(1+in_approval_growth)^(D1730-1))</f>
        <v/>
      </c>
      <c r="I1730" s="45">
        <f>G1730*MIN(in_takeup_cap,INDEX('Age profile'!$O$2:$O$61,B1730)*(1+in_approval_growth)^(D1730-1))</f>
        <v/>
      </c>
      <c r="J1730" s="40">
        <f>(J1729-L1729)*F1730/F1729</f>
        <v/>
      </c>
      <c r="K1730" s="40">
        <f>(K1729-M1729)*F1730/F1729+SUMIFS(O1727:O1729,B1727:B1729,B1730-1-d_T)*F1730</f>
        <v/>
      </c>
      <c r="L1730" s="40">
        <f>IF(B1730&gt;=in_marketplace_from,J1730*d_hz*G1730*in_eligible*H1730,0)</f>
        <v/>
      </c>
      <c r="M1730" s="40">
        <f>IF(B1730&gt;=in_marketplace_from,K1730*d_hz*G1730*in_eligible*in_approved_repeat,0)</f>
        <v/>
      </c>
      <c r="N1730" s="40">
        <f>L1730+M1730</f>
        <v/>
      </c>
      <c r="O1730" s="46">
        <f>N1730/F1730</f>
        <v/>
      </c>
      <c r="P1730" s="40">
        <f>F1730-J1730-K1730</f>
        <v/>
      </c>
      <c r="Q1730" s="40">
        <f>IF(B1730&gt;=in_marketplace_from,(J1730+K1730)*d_hz*G1730,0)</f>
        <v/>
      </c>
      <c r="R1730" s="40">
        <f>SUMIFS(N1727:N1740,B1727:B1740,"&gt;="&amp;(B1730-d_T),B1727:B1740,"&lt;="&amp;(B1730-1))</f>
        <v/>
      </c>
      <c r="S1730" s="46">
        <f>(1-d_u)*S1729+IF(d_T&gt;in_topup_lag,SUMIFS(O1727:O1740,B1727:B1740,B1730-in_topup_lag)-d_udrop*SUMIFS(O1727:O1740,B1727:B1740,B1730-d_T),0)</f>
        <v/>
      </c>
      <c r="T1730" s="40">
        <f>F1730*d_u*S1730</f>
        <v/>
      </c>
      <c r="U1730" s="9">
        <f>L1730*in_ticket+M1730*d_rep_ticket</f>
        <v/>
      </c>
      <c r="V1730" s="9">
        <f>U1730+T1730*d_topup_amt</f>
        <v/>
      </c>
      <c r="W1730" s="40">
        <f>N1730+T1730*d_topup_ratio</f>
        <v/>
      </c>
      <c r="X1730" s="40">
        <f>SUMIFS(W1727:W1740,B1727:B1740,B1730-in_dpd_lag)*d_cured</f>
        <v/>
      </c>
      <c r="Y1730" s="40">
        <f>SUMIFS(W1727:W1740,B1727:B1740,B1730-in_rec_lag)*d_recd</f>
        <v/>
      </c>
      <c r="Z1730" s="40">
        <f>IF(AND(B1730&gt;=in_marketplace_from,B1730&lt;in_marketplace_from+in_card_months),in_card_share/in_card_months*F1730*I1730,IF(AND(B1730&gt;=in_marketplace_from+in_card_months,B1730&lt;in_marketplace_from+2*in_card_months),in_card_share*d_card_rem/in_card_months*F1730*MIN(in_takeup_cap,(1+in_takeup_growth)^(D1730-1))*MIN(in_takeup_cap,(1+in_approval_growth)^(D1730-1)),0))</f>
        <v/>
      </c>
      <c r="AA1730" s="14">
        <f>V1730*in_fee*(1-in_taken_back)</f>
        <v/>
      </c>
      <c r="AB1730" s="14">
        <f>SUMIFS(W1727:W1740,B1727:B1740,B1730-in_dpd_lag)*d_dpd</f>
        <v/>
      </c>
      <c r="AC1730" s="14">
        <f>SUMIFS(W1727:W1740,B1727:B1740,B1730-in_rec_lag)*d_rec</f>
        <v/>
      </c>
      <c r="AD1730" s="14">
        <f>Z1730*in_card_fee</f>
        <v/>
      </c>
      <c r="AE1730" s="40">
        <f>AE1729*(1-IF(B1729&gt;=in_marketplace_from,d_hz_hlth_small*G1729,0))</f>
        <v/>
      </c>
      <c r="AF1730" s="46">
        <f>AE1730*IF(B1730&gt;=in_marketplace_from,d_hz_hlth_small*G1730,0)</f>
        <v/>
      </c>
      <c r="AG1730" s="14">
        <f>F1730*AF1730*in_hlth_small_ticket*in_hlth_small_comm*in_ins_partner_share+F1730*in_hlth_small_ticket*in_hlth_small_renew_comm*in_ins_partner_share*(in_hlth_small_renew^1*SUMIFS(AF1727:AF1740,B1727:B1740,B1730-12)+in_hlth_small_renew^2*SUMIFS(AF1727:AF1740,B1727:B1740,B1730-24)+in_hlth_small_renew^3*SUMIFS(AF1727:AF1740,B1727:B1740,B1730-36)+in_hlth_small_renew^4*SUMIFS(AF1727:AF1740,B1727:B1740,B1730-48))</f>
        <v/>
      </c>
      <c r="AH1730" s="40">
        <f>AH1729*(1-IF(B1729&gt;=in_marketplace_from,d_hz_hlth_family*G1729,0))</f>
        <v/>
      </c>
      <c r="AI1730" s="46">
        <f>AH1730*IF(B1730&gt;=in_marketplace_from,d_hz_hlth_family*G1730,0)</f>
        <v/>
      </c>
      <c r="AJ1730" s="14">
        <f>F1730*AI1730*in_hlth_family_ticket*in_hlth_family_comm*in_ins_partner_share+F1730*in_hlth_family_ticket*in_hlth_family_renew_comm*in_ins_partner_share*(in_hlth_family_renew^1*SUMIFS(AI1727:AI1740,B1727:B1740,B1730-12)+in_hlth_family_renew^2*SUMIFS(AI1727:AI1740,B1727:B1740,B1730-24)+in_hlth_family_renew^3*SUMIFS(AI1727:AI1740,B1727:B1740,B1730-36)+in_hlth_family_renew^4*SUMIFS(AI1727:AI1740,B1727:B1740,B1730-48))</f>
        <v/>
      </c>
      <c r="AK1730" s="40">
        <f>AK1729*(1-IF(B1729&gt;=in_marketplace_from,d_hz_life_term*G1729,0))</f>
        <v/>
      </c>
      <c r="AL1730" s="46">
        <f>AK1730*IF(B1730&gt;=in_marketplace_from,d_hz_life_term*G1730,0)</f>
        <v/>
      </c>
      <c r="AM1730" s="14">
        <f>F1730*AL1730*in_life_term_ticket*in_life_term_comm*in_ins_partner_share+F1730*in_life_term_ticket*in_life_term_renew_comm*in_ins_partner_share*(in_life_term_renew^1*SUMIFS(AL1727:AL1740,B1727:B1740,B1730-12)+in_life_term_renew^2*SUMIFS(AL1727:AL1740,B1727:B1740,B1730-24)+in_life_term_renew^3*SUMIFS(AL1727:AL1740,B1727:B1740,B1730-36)+in_life_term_renew^4*SUMIFS(AL1727:AL1740,B1727:B1740,B1730-48))</f>
        <v/>
      </c>
      <c r="AN1730" s="40">
        <f>AN1729*(1-IF(B1729&gt;=in_marketplace_from,d_hz_accident*G1729,0))</f>
        <v/>
      </c>
      <c r="AO1730" s="46">
        <f>AN1730*IF(B1730&gt;=in_marketplace_from,d_hz_accident*G1730,0)</f>
        <v/>
      </c>
      <c r="AP1730" s="14">
        <f>F1730*AO1730*in_accident_ticket*in_accident_comm*in_ins_partner_share+F1730*in_accident_ticket*in_accident_renew_comm*in_ins_partner_share*(in_accident_renew^1*SUMIFS(AO1727:AO1740,B1727:B1740,B1730-12)+in_accident_renew^2*SUMIFS(AO1727:AO1740,B1727:B1740,B1730-24)+in_accident_renew^3*SUMIFS(AO1727:AO1740,B1727:B1740,B1730-36)+in_accident_renew^4*SUMIFS(AO1727:AO1740,B1727:B1740,B1730-48))</f>
        <v/>
      </c>
      <c r="AQ1730" s="40">
        <f>AQ1729*(1-IF(B1729&gt;=in_marketplace_from,d_hz_two_wheeler*G1729,0))</f>
        <v/>
      </c>
      <c r="AR1730" s="46">
        <f>AQ1730*IF(B1730&gt;=in_marketplace_from,d_hz_two_wheeler*G1730,0)</f>
        <v/>
      </c>
      <c r="AS1730" s="14">
        <f>F1730*AR1730*in_two_wheeler_ticket*in_two_wheeler_comm*in_ins_partner_share+F1730*in_two_wheeler_ticket*in_two_wheeler_comm*in_ins_partner_share*(in_two_wheeler_renew^1*SUMIFS(AR1727:AR1740,B1727:B1740,B1730-12)+in_two_wheeler_renew^2*SUMIFS(AR1727:AR1740,B1727:B1740,B1730-24)+in_two_wheeler_renew^3*SUMIFS(AR1727:AR1740,B1727:B1740,B1730-36)+in_two_wheeler_renew^4*SUMIFS(AR1727:AR1740,B1727:B1740,B1730-48))</f>
        <v/>
      </c>
      <c r="AT1730" s="40">
        <f>AT1729*(1-IF(B1729&gt;=in_marketplace_from,d_hz_device*G1729,0))</f>
        <v/>
      </c>
      <c r="AU1730" s="14">
        <f>F1730*AT1730*IF(B1730&gt;=in_marketplace_from,d_hz_device*G1730,0)*in_device_ticket*in_device_comm*in_ins_partner_share</f>
        <v/>
      </c>
      <c r="AV1730" s="40">
        <f>AV1729*(1-IF(B1729&gt;=in_marketplace_from,d_hz_shop*G1729,0))</f>
        <v/>
      </c>
      <c r="AW1730" s="46">
        <f>AV1730*IF(B1730&gt;=in_marketplace_from,d_hz_shop*G1730,0)</f>
        <v/>
      </c>
      <c r="AX1730" s="14">
        <f>F1730*AW1730*in_shop_ticket*in_shop_comm*in_ins_partner_share+F1730*in_shop_ticket*in_shop_renew_comm*in_ins_partner_share*(in_shop_renew^1*SUMIFS(AW1727:AW1740,B1727:B1740,B1730-12)+in_shop_renew^2*SUMIFS(AW1727:AW1740,B1727:B1740,B1730-24)+in_shop_renew^3*SUMIFS(AW1727:AW1740,B1727:B1740,B1730-36)+in_shop_renew^4*SUMIFS(AW1727:AW1740,B1727:B1740,B1730-48))</f>
        <v/>
      </c>
      <c r="AY1730" s="40">
        <f>AY1729*(1-IF(B1729&gt;=in_marketplace_from,d_hz_sip*G1729,0))</f>
        <v/>
      </c>
      <c r="AZ1730" s="40">
        <f>AZ1729*d_rho_sip+AY1730*IF(B1730&gt;=in_marketplace_from,d_hz_sip*G1730,0)</f>
        <v/>
      </c>
      <c r="BA1730" s="40">
        <f>d_rho_sip*(BA1729+AZ1729)</f>
        <v/>
      </c>
      <c r="BB1730" s="14">
        <f>F1730*in_sip_ticket*(BA1730+0.5*AZ1730)*in_sip_comm/12</f>
        <v/>
      </c>
      <c r="BC1730" s="40">
        <f>BC1729*(1-IF(B1729&gt;=in_marketplace_from,d_hz_choti*G1729,0))</f>
        <v/>
      </c>
      <c r="BD1730" s="46">
        <f>BC1730*IF(B1730&gt;=in_marketplace_from,d_hz_choti*G1730,0)</f>
        <v/>
      </c>
      <c r="BE1730" s="14">
        <f>F1730*SUMIFS(BD1727:BD1740,B1727:B1740,B1730-in_choti_months)*in_choti_renew*in_choti_ticket</f>
        <v/>
      </c>
      <c r="BF1730" s="40">
        <f>BF1729*(1-IF(B1729&gt;=in_marketplace_from,d_hz_nps*G1729,0))</f>
        <v/>
      </c>
      <c r="BG1730" s="14">
        <f>F1730*BF1730*IF(B1730&gt;=in_marketplace_from,d_hz_nps*G1730,0)*in_nps_ticket*in_nps_comm</f>
        <v/>
      </c>
      <c r="BH1730" s="40">
        <f>BH1729*(1-IF(B1729&gt;=in_marketplace_from,d_hz_gold*G1729,0))</f>
        <v/>
      </c>
      <c r="BI1730" s="40">
        <f>BI1729*d_rho_gold+BH1730*IF(B1730&gt;=in_marketplace_from,d_hz_gold*G1730,0)</f>
        <v/>
      </c>
      <c r="BJ1730" s="14">
        <f>F1730*BI1730*in_gold_ticket*in_gold_comm</f>
        <v/>
      </c>
      <c r="BK1730" s="40">
        <f>BK1729*(1-IF(B1729&gt;=in_marketplace_from,d_hz_fd*G1729,0))</f>
        <v/>
      </c>
      <c r="BL1730" s="14">
        <f>F1730*BK1730*IF(B1730&gt;=in_marketplace_from,d_hz_fd*G1730,0)*in_fd_ticket*in_fd_comm</f>
        <v/>
      </c>
      <c r="BM1730" s="40">
        <f>BM1729*(1-IF(B1729&gt;=in_marketplace_from,d_hz_recharge*G1729,0))</f>
        <v/>
      </c>
      <c r="BN1730" s="40">
        <f>BN1729*d_rho_recharge+BM1730*IF(B1730&gt;=in_marketplace_from,d_hz_recharge*G1730,0)</f>
        <v/>
      </c>
      <c r="BO1730" s="14">
        <f>F1730*BN1730*in_recharge_ticket*in_recharge_comm/12</f>
        <v/>
      </c>
      <c r="BP1730" s="40">
        <f>BP1729*(1-IF(B1729&gt;=in_marketplace_from,d_hz_bills*G1729,0))</f>
        <v/>
      </c>
      <c r="BQ1730" s="40">
        <f>BQ1729*d_rho_bills+BP1730*IF(B1730&gt;=in_marketplace_from,d_hz_bills*G1730,0)</f>
        <v/>
      </c>
      <c r="BR1730" s="14">
        <f>F1730*BQ1730*in_bills_ticket*in_bills_comm/12</f>
        <v/>
      </c>
      <c r="BS1730" s="40">
        <f>BS1729*(1-IF(B1729&gt;=in_marketplace_from,d_hz_loan_gold*G1729,0))</f>
        <v/>
      </c>
      <c r="BT1730" s="14">
        <f>F1730*BS1730*IF(B1730&gt;=in_marketplace_from,d_hz_loan_gold*G1730,0)*in_loan_gold_ticket*in_loan_gold_comm</f>
        <v/>
      </c>
      <c r="BU1730" s="40">
        <f>BU1729*(1-IF(B1729&gt;=in_marketplace_from,d_hz_loan_cd*G1729,0))</f>
        <v/>
      </c>
      <c r="BV1730" s="14">
        <f>F1730*BU1730*IF(B1730&gt;=in_marketplace_from,d_hz_loan_cd*G1730,0)*in_loan_cd_ticket*in_loan_cd_comm</f>
        <v/>
      </c>
      <c r="BW1730" s="40">
        <f>BW1729*(1-IF(B1729&gt;=in_marketplace_from,d_hz_loan_vehicle*G1729,0))</f>
        <v/>
      </c>
      <c r="BX1730" s="14">
        <f>F1730*BW1730*IF(B1730&gt;=in_marketplace_from,d_hz_loan_vehicle*G1730,0)*in_loan_vehicle_ticket*in_loan_vehicle_comm</f>
        <v/>
      </c>
      <c r="BY1730" s="40">
        <f>BY1729*(1-IF(B1729&gt;=in_marketplace_from,d_hz_loan_home*G1729,0)*BZ1729)</f>
        <v/>
      </c>
      <c r="BZ1730" s="11">
        <f>MIN(in_approval_cap,in_loan_home_approval*INDEX('Age profile'!$O$2:$O$61,B1730)*(1+in_approval_growth)^(D1730-1))</f>
        <v/>
      </c>
      <c r="CA1730" s="14">
        <f>F1730*BY1730*IF(B1730&gt;=in_marketplace_from,d_hz_loan_home*G1730,0)*BZ1730*in_loan_home_ticket*in_loan_home_comm</f>
        <v/>
      </c>
      <c r="CB1730" s="40">
        <f>CB1729*(1-IF(B1729&gt;=in_marketplace_from,d_hz_loan_lap*G1729,0)*CC1729)</f>
        <v/>
      </c>
      <c r="CC1730" s="11">
        <f>MIN(in_approval_cap,in_loan_lap_approval*INDEX('Age profile'!$O$2:$O$61,B1730)*(1+in_approval_growth)^(D1730-1))</f>
        <v/>
      </c>
      <c r="CD1730" s="14">
        <f>F1730*CB1730*IF(B1730&gt;=in_marketplace_from,d_hz_loan_lap*G1730,0)*CC1730*in_loan_lap_ticket*in_loan_lap_comm</f>
        <v/>
      </c>
      <c r="CE1730" s="14">
        <f>AA1730+AB1730+AC1730+AD1730+AG1730+AJ1730+AM1730+AP1730+AS1730+AU1730+AX1730+BB1730+BE1730+BG1730+BJ1730+BL1730+BO1730+BR1730+BT1730+BV1730+BX1730+CA1730+CD1730</f>
        <v/>
      </c>
    </row>
    <row r="1731">
      <c r="A1731" s="39" t="n">
        <v>47</v>
      </c>
      <c r="B1731" s="39" t="n">
        <v>5</v>
      </c>
      <c r="C1731" s="39">
        <f>A1731+B1731-1</f>
        <v/>
      </c>
      <c r="D1731" s="39">
        <f>INT((C1731-1)/12)+1</f>
        <v/>
      </c>
      <c r="E1731" s="44">
        <f>INDEX(Monthly!$B$2:$B$61,A1731)</f>
        <v/>
      </c>
      <c r="F1731" s="44">
        <f>E1731*INDEX('Age profile'!$B$2:$B$61,B1731)</f>
        <v/>
      </c>
      <c r="G1731" s="45">
        <f>MIN(in_takeup_cap,INDEX('Age profile'!$N$2:$N$61,B1731)*(1+in_takeup_growth)^(D1731-1))</f>
        <v/>
      </c>
      <c r="H1731" s="11">
        <f>MIN(in_approval_cap,in_approved_first*INDEX('Age profile'!$O$2:$O$61,B1731)*(1+in_approval_growth)^(D1731-1))</f>
        <v/>
      </c>
      <c r="I1731" s="45">
        <f>G1731*MIN(in_takeup_cap,INDEX('Age profile'!$O$2:$O$61,B1731)*(1+in_approval_growth)^(D1731-1))</f>
        <v/>
      </c>
      <c r="J1731" s="40">
        <f>(J1730-L1730)*F1731/F1730</f>
        <v/>
      </c>
      <c r="K1731" s="40">
        <f>(K1730-M1730)*F1731/F1730+SUMIFS(O1727:O1730,B1727:B1730,B1731-1-d_T)*F1731</f>
        <v/>
      </c>
      <c r="L1731" s="40">
        <f>IF(B1731&gt;=in_marketplace_from,J1731*d_hz*G1731*in_eligible*H1731,0)</f>
        <v/>
      </c>
      <c r="M1731" s="40">
        <f>IF(B1731&gt;=in_marketplace_from,K1731*d_hz*G1731*in_eligible*in_approved_repeat,0)</f>
        <v/>
      </c>
      <c r="N1731" s="40">
        <f>L1731+M1731</f>
        <v/>
      </c>
      <c r="O1731" s="46">
        <f>N1731/F1731</f>
        <v/>
      </c>
      <c r="P1731" s="40">
        <f>F1731-J1731-K1731</f>
        <v/>
      </c>
      <c r="Q1731" s="40">
        <f>IF(B1731&gt;=in_marketplace_from,(J1731+K1731)*d_hz*G1731,0)</f>
        <v/>
      </c>
      <c r="R1731" s="40">
        <f>SUMIFS(N1727:N1740,B1727:B1740,"&gt;="&amp;(B1731-d_T),B1727:B1740,"&lt;="&amp;(B1731-1))</f>
        <v/>
      </c>
      <c r="S1731" s="46">
        <f>(1-d_u)*S1730+IF(d_T&gt;in_topup_lag,SUMIFS(O1727:O1740,B1727:B1740,B1731-in_topup_lag)-d_udrop*SUMIFS(O1727:O1740,B1727:B1740,B1731-d_T),0)</f>
        <v/>
      </c>
      <c r="T1731" s="40">
        <f>F1731*d_u*S1731</f>
        <v/>
      </c>
      <c r="U1731" s="9">
        <f>L1731*in_ticket+M1731*d_rep_ticket</f>
        <v/>
      </c>
      <c r="V1731" s="9">
        <f>U1731+T1731*d_topup_amt</f>
        <v/>
      </c>
      <c r="W1731" s="40">
        <f>N1731+T1731*d_topup_ratio</f>
        <v/>
      </c>
      <c r="X1731" s="40">
        <f>SUMIFS(W1727:W1740,B1727:B1740,B1731-in_dpd_lag)*d_cured</f>
        <v/>
      </c>
      <c r="Y1731" s="40">
        <f>SUMIFS(W1727:W1740,B1727:B1740,B1731-in_rec_lag)*d_recd</f>
        <v/>
      </c>
      <c r="Z1731" s="40">
        <f>IF(AND(B1731&gt;=in_marketplace_from,B1731&lt;in_marketplace_from+in_card_months),in_card_share/in_card_months*F1731*I1731,IF(AND(B1731&gt;=in_marketplace_from+in_card_months,B1731&lt;in_marketplace_from+2*in_card_months),in_card_share*d_card_rem/in_card_months*F1731*MIN(in_takeup_cap,(1+in_takeup_growth)^(D1731-1))*MIN(in_takeup_cap,(1+in_approval_growth)^(D1731-1)),0))</f>
        <v/>
      </c>
      <c r="AA1731" s="14">
        <f>V1731*in_fee*(1-in_taken_back)</f>
        <v/>
      </c>
      <c r="AB1731" s="14">
        <f>SUMIFS(W1727:W1740,B1727:B1740,B1731-in_dpd_lag)*d_dpd</f>
        <v/>
      </c>
      <c r="AC1731" s="14">
        <f>SUMIFS(W1727:W1740,B1727:B1740,B1731-in_rec_lag)*d_rec</f>
        <v/>
      </c>
      <c r="AD1731" s="14">
        <f>Z1731*in_card_fee</f>
        <v/>
      </c>
      <c r="AE1731" s="40">
        <f>AE1730*(1-IF(B1730&gt;=in_marketplace_from,d_hz_hlth_small*G1730,0))</f>
        <v/>
      </c>
      <c r="AF1731" s="46">
        <f>AE1731*IF(B1731&gt;=in_marketplace_from,d_hz_hlth_small*G1731,0)</f>
        <v/>
      </c>
      <c r="AG1731" s="14">
        <f>F1731*AF1731*in_hlth_small_ticket*in_hlth_small_comm*in_ins_partner_share+F1731*in_hlth_small_ticket*in_hlth_small_renew_comm*in_ins_partner_share*(in_hlth_small_renew^1*SUMIFS(AF1727:AF1740,B1727:B1740,B1731-12)+in_hlth_small_renew^2*SUMIFS(AF1727:AF1740,B1727:B1740,B1731-24)+in_hlth_small_renew^3*SUMIFS(AF1727:AF1740,B1727:B1740,B1731-36)+in_hlth_small_renew^4*SUMIFS(AF1727:AF1740,B1727:B1740,B1731-48))</f>
        <v/>
      </c>
      <c r="AH1731" s="40">
        <f>AH1730*(1-IF(B1730&gt;=in_marketplace_from,d_hz_hlth_family*G1730,0))</f>
        <v/>
      </c>
      <c r="AI1731" s="46">
        <f>AH1731*IF(B1731&gt;=in_marketplace_from,d_hz_hlth_family*G1731,0)</f>
        <v/>
      </c>
      <c r="AJ1731" s="14">
        <f>F1731*AI1731*in_hlth_family_ticket*in_hlth_family_comm*in_ins_partner_share+F1731*in_hlth_family_ticket*in_hlth_family_renew_comm*in_ins_partner_share*(in_hlth_family_renew^1*SUMIFS(AI1727:AI1740,B1727:B1740,B1731-12)+in_hlth_family_renew^2*SUMIFS(AI1727:AI1740,B1727:B1740,B1731-24)+in_hlth_family_renew^3*SUMIFS(AI1727:AI1740,B1727:B1740,B1731-36)+in_hlth_family_renew^4*SUMIFS(AI1727:AI1740,B1727:B1740,B1731-48))</f>
        <v/>
      </c>
      <c r="AK1731" s="40">
        <f>AK1730*(1-IF(B1730&gt;=in_marketplace_from,d_hz_life_term*G1730,0))</f>
        <v/>
      </c>
      <c r="AL1731" s="46">
        <f>AK1731*IF(B1731&gt;=in_marketplace_from,d_hz_life_term*G1731,0)</f>
        <v/>
      </c>
      <c r="AM1731" s="14">
        <f>F1731*AL1731*in_life_term_ticket*in_life_term_comm*in_ins_partner_share+F1731*in_life_term_ticket*in_life_term_renew_comm*in_ins_partner_share*(in_life_term_renew^1*SUMIFS(AL1727:AL1740,B1727:B1740,B1731-12)+in_life_term_renew^2*SUMIFS(AL1727:AL1740,B1727:B1740,B1731-24)+in_life_term_renew^3*SUMIFS(AL1727:AL1740,B1727:B1740,B1731-36)+in_life_term_renew^4*SUMIFS(AL1727:AL1740,B1727:B1740,B1731-48))</f>
        <v/>
      </c>
      <c r="AN1731" s="40">
        <f>AN1730*(1-IF(B1730&gt;=in_marketplace_from,d_hz_accident*G1730,0))</f>
        <v/>
      </c>
      <c r="AO1731" s="46">
        <f>AN1731*IF(B1731&gt;=in_marketplace_from,d_hz_accident*G1731,0)</f>
        <v/>
      </c>
      <c r="AP1731" s="14">
        <f>F1731*AO1731*in_accident_ticket*in_accident_comm*in_ins_partner_share+F1731*in_accident_ticket*in_accident_renew_comm*in_ins_partner_share*(in_accident_renew^1*SUMIFS(AO1727:AO1740,B1727:B1740,B1731-12)+in_accident_renew^2*SUMIFS(AO1727:AO1740,B1727:B1740,B1731-24)+in_accident_renew^3*SUMIFS(AO1727:AO1740,B1727:B1740,B1731-36)+in_accident_renew^4*SUMIFS(AO1727:AO1740,B1727:B1740,B1731-48))</f>
        <v/>
      </c>
      <c r="AQ1731" s="40">
        <f>AQ1730*(1-IF(B1730&gt;=in_marketplace_from,d_hz_two_wheeler*G1730,0))</f>
        <v/>
      </c>
      <c r="AR1731" s="46">
        <f>AQ1731*IF(B1731&gt;=in_marketplace_from,d_hz_two_wheeler*G1731,0)</f>
        <v/>
      </c>
      <c r="AS1731" s="14">
        <f>F1731*AR1731*in_two_wheeler_ticket*in_two_wheeler_comm*in_ins_partner_share+F1731*in_two_wheeler_ticket*in_two_wheeler_comm*in_ins_partner_share*(in_two_wheeler_renew^1*SUMIFS(AR1727:AR1740,B1727:B1740,B1731-12)+in_two_wheeler_renew^2*SUMIFS(AR1727:AR1740,B1727:B1740,B1731-24)+in_two_wheeler_renew^3*SUMIFS(AR1727:AR1740,B1727:B1740,B1731-36)+in_two_wheeler_renew^4*SUMIFS(AR1727:AR1740,B1727:B1740,B1731-48))</f>
        <v/>
      </c>
      <c r="AT1731" s="40">
        <f>AT1730*(1-IF(B1730&gt;=in_marketplace_from,d_hz_device*G1730,0))</f>
        <v/>
      </c>
      <c r="AU1731" s="14">
        <f>F1731*AT1731*IF(B1731&gt;=in_marketplace_from,d_hz_device*G1731,0)*in_device_ticket*in_device_comm*in_ins_partner_share</f>
        <v/>
      </c>
      <c r="AV1731" s="40">
        <f>AV1730*(1-IF(B1730&gt;=in_marketplace_from,d_hz_shop*G1730,0))</f>
        <v/>
      </c>
      <c r="AW1731" s="46">
        <f>AV1731*IF(B1731&gt;=in_marketplace_from,d_hz_shop*G1731,0)</f>
        <v/>
      </c>
      <c r="AX1731" s="14">
        <f>F1731*AW1731*in_shop_ticket*in_shop_comm*in_ins_partner_share+F1731*in_shop_ticket*in_shop_renew_comm*in_ins_partner_share*(in_shop_renew^1*SUMIFS(AW1727:AW1740,B1727:B1740,B1731-12)+in_shop_renew^2*SUMIFS(AW1727:AW1740,B1727:B1740,B1731-24)+in_shop_renew^3*SUMIFS(AW1727:AW1740,B1727:B1740,B1731-36)+in_shop_renew^4*SUMIFS(AW1727:AW1740,B1727:B1740,B1731-48))</f>
        <v/>
      </c>
      <c r="AY1731" s="40">
        <f>AY1730*(1-IF(B1730&gt;=in_marketplace_from,d_hz_sip*G1730,0))</f>
        <v/>
      </c>
      <c r="AZ1731" s="40">
        <f>AZ1730*d_rho_sip+AY1731*IF(B1731&gt;=in_marketplace_from,d_hz_sip*G1731,0)</f>
        <v/>
      </c>
      <c r="BA1731" s="40">
        <f>d_rho_sip*(BA1730+AZ1730)</f>
        <v/>
      </c>
      <c r="BB1731" s="14">
        <f>F1731*in_sip_ticket*(BA1731+0.5*AZ1731)*in_sip_comm/12</f>
        <v/>
      </c>
      <c r="BC1731" s="40">
        <f>BC1730*(1-IF(B1730&gt;=in_marketplace_from,d_hz_choti*G1730,0))</f>
        <v/>
      </c>
      <c r="BD1731" s="46">
        <f>BC1731*IF(B1731&gt;=in_marketplace_from,d_hz_choti*G1731,0)</f>
        <v/>
      </c>
      <c r="BE1731" s="14">
        <f>F1731*SUMIFS(BD1727:BD1740,B1727:B1740,B1731-in_choti_months)*in_choti_renew*in_choti_ticket</f>
        <v/>
      </c>
      <c r="BF1731" s="40">
        <f>BF1730*(1-IF(B1730&gt;=in_marketplace_from,d_hz_nps*G1730,0))</f>
        <v/>
      </c>
      <c r="BG1731" s="14">
        <f>F1731*BF1731*IF(B1731&gt;=in_marketplace_from,d_hz_nps*G1731,0)*in_nps_ticket*in_nps_comm</f>
        <v/>
      </c>
      <c r="BH1731" s="40">
        <f>BH1730*(1-IF(B1730&gt;=in_marketplace_from,d_hz_gold*G1730,0))</f>
        <v/>
      </c>
      <c r="BI1731" s="40">
        <f>BI1730*d_rho_gold+BH1731*IF(B1731&gt;=in_marketplace_from,d_hz_gold*G1731,0)</f>
        <v/>
      </c>
      <c r="BJ1731" s="14">
        <f>F1731*BI1731*in_gold_ticket*in_gold_comm</f>
        <v/>
      </c>
      <c r="BK1731" s="40">
        <f>BK1730*(1-IF(B1730&gt;=in_marketplace_from,d_hz_fd*G1730,0))</f>
        <v/>
      </c>
      <c r="BL1731" s="14">
        <f>F1731*BK1731*IF(B1731&gt;=in_marketplace_from,d_hz_fd*G1731,0)*in_fd_ticket*in_fd_comm</f>
        <v/>
      </c>
      <c r="BM1731" s="40">
        <f>BM1730*(1-IF(B1730&gt;=in_marketplace_from,d_hz_recharge*G1730,0))</f>
        <v/>
      </c>
      <c r="BN1731" s="40">
        <f>BN1730*d_rho_recharge+BM1731*IF(B1731&gt;=in_marketplace_from,d_hz_recharge*G1731,0)</f>
        <v/>
      </c>
      <c r="BO1731" s="14">
        <f>F1731*BN1731*in_recharge_ticket*in_recharge_comm/12</f>
        <v/>
      </c>
      <c r="BP1731" s="40">
        <f>BP1730*(1-IF(B1730&gt;=in_marketplace_from,d_hz_bills*G1730,0))</f>
        <v/>
      </c>
      <c r="BQ1731" s="40">
        <f>BQ1730*d_rho_bills+BP1731*IF(B1731&gt;=in_marketplace_from,d_hz_bills*G1731,0)</f>
        <v/>
      </c>
      <c r="BR1731" s="14">
        <f>F1731*BQ1731*in_bills_ticket*in_bills_comm/12</f>
        <v/>
      </c>
      <c r="BS1731" s="40">
        <f>BS1730*(1-IF(B1730&gt;=in_marketplace_from,d_hz_loan_gold*G1730,0))</f>
        <v/>
      </c>
      <c r="BT1731" s="14">
        <f>F1731*BS1731*IF(B1731&gt;=in_marketplace_from,d_hz_loan_gold*G1731,0)*in_loan_gold_ticket*in_loan_gold_comm</f>
        <v/>
      </c>
      <c r="BU1731" s="40">
        <f>BU1730*(1-IF(B1730&gt;=in_marketplace_from,d_hz_loan_cd*G1730,0))</f>
        <v/>
      </c>
      <c r="BV1731" s="14">
        <f>F1731*BU1731*IF(B1731&gt;=in_marketplace_from,d_hz_loan_cd*G1731,0)*in_loan_cd_ticket*in_loan_cd_comm</f>
        <v/>
      </c>
      <c r="BW1731" s="40">
        <f>BW1730*(1-IF(B1730&gt;=in_marketplace_from,d_hz_loan_vehicle*G1730,0))</f>
        <v/>
      </c>
      <c r="BX1731" s="14">
        <f>F1731*BW1731*IF(B1731&gt;=in_marketplace_from,d_hz_loan_vehicle*G1731,0)*in_loan_vehicle_ticket*in_loan_vehicle_comm</f>
        <v/>
      </c>
      <c r="BY1731" s="40">
        <f>BY1730*(1-IF(B1730&gt;=in_marketplace_from,d_hz_loan_home*G1730,0)*BZ1730)</f>
        <v/>
      </c>
      <c r="BZ1731" s="11">
        <f>MIN(in_approval_cap,in_loan_home_approval*INDEX('Age profile'!$O$2:$O$61,B1731)*(1+in_approval_growth)^(D1731-1))</f>
        <v/>
      </c>
      <c r="CA1731" s="14">
        <f>F1731*BY1731*IF(B1731&gt;=in_marketplace_from,d_hz_loan_home*G1731,0)*BZ1731*in_loan_home_ticket*in_loan_home_comm</f>
        <v/>
      </c>
      <c r="CB1731" s="40">
        <f>CB1730*(1-IF(B1730&gt;=in_marketplace_from,d_hz_loan_lap*G1730,0)*CC1730)</f>
        <v/>
      </c>
      <c r="CC1731" s="11">
        <f>MIN(in_approval_cap,in_loan_lap_approval*INDEX('Age profile'!$O$2:$O$61,B1731)*(1+in_approval_growth)^(D1731-1))</f>
        <v/>
      </c>
      <c r="CD1731" s="14">
        <f>F1731*CB1731*IF(B1731&gt;=in_marketplace_from,d_hz_loan_lap*G1731,0)*CC1731*in_loan_lap_ticket*in_loan_lap_comm</f>
        <v/>
      </c>
      <c r="CE1731" s="14">
        <f>AA1731+AB1731+AC1731+AD1731+AG1731+AJ1731+AM1731+AP1731+AS1731+AU1731+AX1731+BB1731+BE1731+BG1731+BJ1731+BL1731+BO1731+BR1731+BT1731+BV1731+BX1731+CA1731+CD1731</f>
        <v/>
      </c>
    </row>
    <row r="1732">
      <c r="A1732" s="39" t="n">
        <v>47</v>
      </c>
      <c r="B1732" s="39" t="n">
        <v>6</v>
      </c>
      <c r="C1732" s="39">
        <f>A1732+B1732-1</f>
        <v/>
      </c>
      <c r="D1732" s="39">
        <f>INT((C1732-1)/12)+1</f>
        <v/>
      </c>
      <c r="E1732" s="44">
        <f>INDEX(Monthly!$B$2:$B$61,A1732)</f>
        <v/>
      </c>
      <c r="F1732" s="44">
        <f>E1732*INDEX('Age profile'!$B$2:$B$61,B1732)</f>
        <v/>
      </c>
      <c r="G1732" s="45">
        <f>MIN(in_takeup_cap,INDEX('Age profile'!$N$2:$N$61,B1732)*(1+in_takeup_growth)^(D1732-1))</f>
        <v/>
      </c>
      <c r="H1732" s="11">
        <f>MIN(in_approval_cap,in_approved_first*INDEX('Age profile'!$O$2:$O$61,B1732)*(1+in_approval_growth)^(D1732-1))</f>
        <v/>
      </c>
      <c r="I1732" s="45">
        <f>G1732*MIN(in_takeup_cap,INDEX('Age profile'!$O$2:$O$61,B1732)*(1+in_approval_growth)^(D1732-1))</f>
        <v/>
      </c>
      <c r="J1732" s="40">
        <f>(J1731-L1731)*F1732/F1731</f>
        <v/>
      </c>
      <c r="K1732" s="40">
        <f>(K1731-M1731)*F1732/F1731+SUMIFS(O1727:O1731,B1727:B1731,B1732-1-d_T)*F1732</f>
        <v/>
      </c>
      <c r="L1732" s="40">
        <f>IF(B1732&gt;=in_marketplace_from,J1732*d_hz*G1732*in_eligible*H1732,0)</f>
        <v/>
      </c>
      <c r="M1732" s="40">
        <f>IF(B1732&gt;=in_marketplace_from,K1732*d_hz*G1732*in_eligible*in_approved_repeat,0)</f>
        <v/>
      </c>
      <c r="N1732" s="40">
        <f>L1732+M1732</f>
        <v/>
      </c>
      <c r="O1732" s="46">
        <f>N1732/F1732</f>
        <v/>
      </c>
      <c r="P1732" s="40">
        <f>F1732-J1732-K1732</f>
        <v/>
      </c>
      <c r="Q1732" s="40">
        <f>IF(B1732&gt;=in_marketplace_from,(J1732+K1732)*d_hz*G1732,0)</f>
        <v/>
      </c>
      <c r="R1732" s="40">
        <f>SUMIFS(N1727:N1740,B1727:B1740,"&gt;="&amp;(B1732-d_T),B1727:B1740,"&lt;="&amp;(B1732-1))</f>
        <v/>
      </c>
      <c r="S1732" s="46">
        <f>(1-d_u)*S1731+IF(d_T&gt;in_topup_lag,SUMIFS(O1727:O1740,B1727:B1740,B1732-in_topup_lag)-d_udrop*SUMIFS(O1727:O1740,B1727:B1740,B1732-d_T),0)</f>
        <v/>
      </c>
      <c r="T1732" s="40">
        <f>F1732*d_u*S1732</f>
        <v/>
      </c>
      <c r="U1732" s="9">
        <f>L1732*in_ticket+M1732*d_rep_ticket</f>
        <v/>
      </c>
      <c r="V1732" s="9">
        <f>U1732+T1732*d_topup_amt</f>
        <v/>
      </c>
      <c r="W1732" s="40">
        <f>N1732+T1732*d_topup_ratio</f>
        <v/>
      </c>
      <c r="X1732" s="40">
        <f>SUMIFS(W1727:W1740,B1727:B1740,B1732-in_dpd_lag)*d_cured</f>
        <v/>
      </c>
      <c r="Y1732" s="40">
        <f>SUMIFS(W1727:W1740,B1727:B1740,B1732-in_rec_lag)*d_recd</f>
        <v/>
      </c>
      <c r="Z1732" s="40">
        <f>IF(AND(B1732&gt;=in_marketplace_from,B1732&lt;in_marketplace_from+in_card_months),in_card_share/in_card_months*F1732*I1732,IF(AND(B1732&gt;=in_marketplace_from+in_card_months,B1732&lt;in_marketplace_from+2*in_card_months),in_card_share*d_card_rem/in_card_months*F1732*MIN(in_takeup_cap,(1+in_takeup_growth)^(D1732-1))*MIN(in_takeup_cap,(1+in_approval_growth)^(D1732-1)),0))</f>
        <v/>
      </c>
      <c r="AA1732" s="14">
        <f>V1732*in_fee*(1-in_taken_back)</f>
        <v/>
      </c>
      <c r="AB1732" s="14">
        <f>SUMIFS(W1727:W1740,B1727:B1740,B1732-in_dpd_lag)*d_dpd</f>
        <v/>
      </c>
      <c r="AC1732" s="14">
        <f>SUMIFS(W1727:W1740,B1727:B1740,B1732-in_rec_lag)*d_rec</f>
        <v/>
      </c>
      <c r="AD1732" s="14">
        <f>Z1732*in_card_fee</f>
        <v/>
      </c>
      <c r="AE1732" s="40">
        <f>AE1731*(1-IF(B1731&gt;=in_marketplace_from,d_hz_hlth_small*G1731,0))</f>
        <v/>
      </c>
      <c r="AF1732" s="46">
        <f>AE1732*IF(B1732&gt;=in_marketplace_from,d_hz_hlth_small*G1732,0)</f>
        <v/>
      </c>
      <c r="AG1732" s="14">
        <f>F1732*AF1732*in_hlth_small_ticket*in_hlth_small_comm*in_ins_partner_share+F1732*in_hlth_small_ticket*in_hlth_small_renew_comm*in_ins_partner_share*(in_hlth_small_renew^1*SUMIFS(AF1727:AF1740,B1727:B1740,B1732-12)+in_hlth_small_renew^2*SUMIFS(AF1727:AF1740,B1727:B1740,B1732-24)+in_hlth_small_renew^3*SUMIFS(AF1727:AF1740,B1727:B1740,B1732-36)+in_hlth_small_renew^4*SUMIFS(AF1727:AF1740,B1727:B1740,B1732-48))</f>
        <v/>
      </c>
      <c r="AH1732" s="40">
        <f>AH1731*(1-IF(B1731&gt;=in_marketplace_from,d_hz_hlth_family*G1731,0))</f>
        <v/>
      </c>
      <c r="AI1732" s="46">
        <f>AH1732*IF(B1732&gt;=in_marketplace_from,d_hz_hlth_family*G1732,0)</f>
        <v/>
      </c>
      <c r="AJ1732" s="14">
        <f>F1732*AI1732*in_hlth_family_ticket*in_hlth_family_comm*in_ins_partner_share+F1732*in_hlth_family_ticket*in_hlth_family_renew_comm*in_ins_partner_share*(in_hlth_family_renew^1*SUMIFS(AI1727:AI1740,B1727:B1740,B1732-12)+in_hlth_family_renew^2*SUMIFS(AI1727:AI1740,B1727:B1740,B1732-24)+in_hlth_family_renew^3*SUMIFS(AI1727:AI1740,B1727:B1740,B1732-36)+in_hlth_family_renew^4*SUMIFS(AI1727:AI1740,B1727:B1740,B1732-48))</f>
        <v/>
      </c>
      <c r="AK1732" s="40">
        <f>AK1731*(1-IF(B1731&gt;=in_marketplace_from,d_hz_life_term*G1731,0))</f>
        <v/>
      </c>
      <c r="AL1732" s="46">
        <f>AK1732*IF(B1732&gt;=in_marketplace_from,d_hz_life_term*G1732,0)</f>
        <v/>
      </c>
      <c r="AM1732" s="14">
        <f>F1732*AL1732*in_life_term_ticket*in_life_term_comm*in_ins_partner_share+F1732*in_life_term_ticket*in_life_term_renew_comm*in_ins_partner_share*(in_life_term_renew^1*SUMIFS(AL1727:AL1740,B1727:B1740,B1732-12)+in_life_term_renew^2*SUMIFS(AL1727:AL1740,B1727:B1740,B1732-24)+in_life_term_renew^3*SUMIFS(AL1727:AL1740,B1727:B1740,B1732-36)+in_life_term_renew^4*SUMIFS(AL1727:AL1740,B1727:B1740,B1732-48))</f>
        <v/>
      </c>
      <c r="AN1732" s="40">
        <f>AN1731*(1-IF(B1731&gt;=in_marketplace_from,d_hz_accident*G1731,0))</f>
        <v/>
      </c>
      <c r="AO1732" s="46">
        <f>AN1732*IF(B1732&gt;=in_marketplace_from,d_hz_accident*G1732,0)</f>
        <v/>
      </c>
      <c r="AP1732" s="14">
        <f>F1732*AO1732*in_accident_ticket*in_accident_comm*in_ins_partner_share+F1732*in_accident_ticket*in_accident_renew_comm*in_ins_partner_share*(in_accident_renew^1*SUMIFS(AO1727:AO1740,B1727:B1740,B1732-12)+in_accident_renew^2*SUMIFS(AO1727:AO1740,B1727:B1740,B1732-24)+in_accident_renew^3*SUMIFS(AO1727:AO1740,B1727:B1740,B1732-36)+in_accident_renew^4*SUMIFS(AO1727:AO1740,B1727:B1740,B1732-48))</f>
        <v/>
      </c>
      <c r="AQ1732" s="40">
        <f>AQ1731*(1-IF(B1731&gt;=in_marketplace_from,d_hz_two_wheeler*G1731,0))</f>
        <v/>
      </c>
      <c r="AR1732" s="46">
        <f>AQ1732*IF(B1732&gt;=in_marketplace_from,d_hz_two_wheeler*G1732,0)</f>
        <v/>
      </c>
      <c r="AS1732" s="14">
        <f>F1732*AR1732*in_two_wheeler_ticket*in_two_wheeler_comm*in_ins_partner_share+F1732*in_two_wheeler_ticket*in_two_wheeler_comm*in_ins_partner_share*(in_two_wheeler_renew^1*SUMIFS(AR1727:AR1740,B1727:B1740,B1732-12)+in_two_wheeler_renew^2*SUMIFS(AR1727:AR1740,B1727:B1740,B1732-24)+in_two_wheeler_renew^3*SUMIFS(AR1727:AR1740,B1727:B1740,B1732-36)+in_two_wheeler_renew^4*SUMIFS(AR1727:AR1740,B1727:B1740,B1732-48))</f>
        <v/>
      </c>
      <c r="AT1732" s="40">
        <f>AT1731*(1-IF(B1731&gt;=in_marketplace_from,d_hz_device*G1731,0))</f>
        <v/>
      </c>
      <c r="AU1732" s="14">
        <f>F1732*AT1732*IF(B1732&gt;=in_marketplace_from,d_hz_device*G1732,0)*in_device_ticket*in_device_comm*in_ins_partner_share</f>
        <v/>
      </c>
      <c r="AV1732" s="40">
        <f>AV1731*(1-IF(B1731&gt;=in_marketplace_from,d_hz_shop*G1731,0))</f>
        <v/>
      </c>
      <c r="AW1732" s="46">
        <f>AV1732*IF(B1732&gt;=in_marketplace_from,d_hz_shop*G1732,0)</f>
        <v/>
      </c>
      <c r="AX1732" s="14">
        <f>F1732*AW1732*in_shop_ticket*in_shop_comm*in_ins_partner_share+F1732*in_shop_ticket*in_shop_renew_comm*in_ins_partner_share*(in_shop_renew^1*SUMIFS(AW1727:AW1740,B1727:B1740,B1732-12)+in_shop_renew^2*SUMIFS(AW1727:AW1740,B1727:B1740,B1732-24)+in_shop_renew^3*SUMIFS(AW1727:AW1740,B1727:B1740,B1732-36)+in_shop_renew^4*SUMIFS(AW1727:AW1740,B1727:B1740,B1732-48))</f>
        <v/>
      </c>
      <c r="AY1732" s="40">
        <f>AY1731*(1-IF(B1731&gt;=in_marketplace_from,d_hz_sip*G1731,0))</f>
        <v/>
      </c>
      <c r="AZ1732" s="40">
        <f>AZ1731*d_rho_sip+AY1732*IF(B1732&gt;=in_marketplace_from,d_hz_sip*G1732,0)</f>
        <v/>
      </c>
      <c r="BA1732" s="40">
        <f>d_rho_sip*(BA1731+AZ1731)</f>
        <v/>
      </c>
      <c r="BB1732" s="14">
        <f>F1732*in_sip_ticket*(BA1732+0.5*AZ1732)*in_sip_comm/12</f>
        <v/>
      </c>
      <c r="BC1732" s="40">
        <f>BC1731*(1-IF(B1731&gt;=in_marketplace_from,d_hz_choti*G1731,0))</f>
        <v/>
      </c>
      <c r="BD1732" s="46">
        <f>BC1732*IF(B1732&gt;=in_marketplace_from,d_hz_choti*G1732,0)</f>
        <v/>
      </c>
      <c r="BE1732" s="14">
        <f>F1732*SUMIFS(BD1727:BD1740,B1727:B1740,B1732-in_choti_months)*in_choti_renew*in_choti_ticket</f>
        <v/>
      </c>
      <c r="BF1732" s="40">
        <f>BF1731*(1-IF(B1731&gt;=in_marketplace_from,d_hz_nps*G1731,0))</f>
        <v/>
      </c>
      <c r="BG1732" s="14">
        <f>F1732*BF1732*IF(B1732&gt;=in_marketplace_from,d_hz_nps*G1732,0)*in_nps_ticket*in_nps_comm</f>
        <v/>
      </c>
      <c r="BH1732" s="40">
        <f>BH1731*(1-IF(B1731&gt;=in_marketplace_from,d_hz_gold*G1731,0))</f>
        <v/>
      </c>
      <c r="BI1732" s="40">
        <f>BI1731*d_rho_gold+BH1732*IF(B1732&gt;=in_marketplace_from,d_hz_gold*G1732,0)</f>
        <v/>
      </c>
      <c r="BJ1732" s="14">
        <f>F1732*BI1732*in_gold_ticket*in_gold_comm</f>
        <v/>
      </c>
      <c r="BK1732" s="40">
        <f>BK1731*(1-IF(B1731&gt;=in_marketplace_from,d_hz_fd*G1731,0))</f>
        <v/>
      </c>
      <c r="BL1732" s="14">
        <f>F1732*BK1732*IF(B1732&gt;=in_marketplace_from,d_hz_fd*G1732,0)*in_fd_ticket*in_fd_comm</f>
        <v/>
      </c>
      <c r="BM1732" s="40">
        <f>BM1731*(1-IF(B1731&gt;=in_marketplace_from,d_hz_recharge*G1731,0))</f>
        <v/>
      </c>
      <c r="BN1732" s="40">
        <f>BN1731*d_rho_recharge+BM1732*IF(B1732&gt;=in_marketplace_from,d_hz_recharge*G1732,0)</f>
        <v/>
      </c>
      <c r="BO1732" s="14">
        <f>F1732*BN1732*in_recharge_ticket*in_recharge_comm/12</f>
        <v/>
      </c>
      <c r="BP1732" s="40">
        <f>BP1731*(1-IF(B1731&gt;=in_marketplace_from,d_hz_bills*G1731,0))</f>
        <v/>
      </c>
      <c r="BQ1732" s="40">
        <f>BQ1731*d_rho_bills+BP1732*IF(B1732&gt;=in_marketplace_from,d_hz_bills*G1732,0)</f>
        <v/>
      </c>
      <c r="BR1732" s="14">
        <f>F1732*BQ1732*in_bills_ticket*in_bills_comm/12</f>
        <v/>
      </c>
      <c r="BS1732" s="40">
        <f>BS1731*(1-IF(B1731&gt;=in_marketplace_from,d_hz_loan_gold*G1731,0))</f>
        <v/>
      </c>
      <c r="BT1732" s="14">
        <f>F1732*BS1732*IF(B1732&gt;=in_marketplace_from,d_hz_loan_gold*G1732,0)*in_loan_gold_ticket*in_loan_gold_comm</f>
        <v/>
      </c>
      <c r="BU1732" s="40">
        <f>BU1731*(1-IF(B1731&gt;=in_marketplace_from,d_hz_loan_cd*G1731,0))</f>
        <v/>
      </c>
      <c r="BV1732" s="14">
        <f>F1732*BU1732*IF(B1732&gt;=in_marketplace_from,d_hz_loan_cd*G1732,0)*in_loan_cd_ticket*in_loan_cd_comm</f>
        <v/>
      </c>
      <c r="BW1732" s="40">
        <f>BW1731*(1-IF(B1731&gt;=in_marketplace_from,d_hz_loan_vehicle*G1731,0))</f>
        <v/>
      </c>
      <c r="BX1732" s="14">
        <f>F1732*BW1732*IF(B1732&gt;=in_marketplace_from,d_hz_loan_vehicle*G1732,0)*in_loan_vehicle_ticket*in_loan_vehicle_comm</f>
        <v/>
      </c>
      <c r="BY1732" s="40">
        <f>BY1731*(1-IF(B1731&gt;=in_marketplace_from,d_hz_loan_home*G1731,0)*BZ1731)</f>
        <v/>
      </c>
      <c r="BZ1732" s="11">
        <f>MIN(in_approval_cap,in_loan_home_approval*INDEX('Age profile'!$O$2:$O$61,B1732)*(1+in_approval_growth)^(D1732-1))</f>
        <v/>
      </c>
      <c r="CA1732" s="14">
        <f>F1732*BY1732*IF(B1732&gt;=in_marketplace_from,d_hz_loan_home*G1732,0)*BZ1732*in_loan_home_ticket*in_loan_home_comm</f>
        <v/>
      </c>
      <c r="CB1732" s="40">
        <f>CB1731*(1-IF(B1731&gt;=in_marketplace_from,d_hz_loan_lap*G1731,0)*CC1731)</f>
        <v/>
      </c>
      <c r="CC1732" s="11">
        <f>MIN(in_approval_cap,in_loan_lap_approval*INDEX('Age profile'!$O$2:$O$61,B1732)*(1+in_approval_growth)^(D1732-1))</f>
        <v/>
      </c>
      <c r="CD1732" s="14">
        <f>F1732*CB1732*IF(B1732&gt;=in_marketplace_from,d_hz_loan_lap*G1732,0)*CC1732*in_loan_lap_ticket*in_loan_lap_comm</f>
        <v/>
      </c>
      <c r="CE1732" s="14">
        <f>AA1732+AB1732+AC1732+AD1732+AG1732+AJ1732+AM1732+AP1732+AS1732+AU1732+AX1732+BB1732+BE1732+BG1732+BJ1732+BL1732+BO1732+BR1732+BT1732+BV1732+BX1732+CA1732+CD1732</f>
        <v/>
      </c>
    </row>
    <row r="1733">
      <c r="A1733" s="39" t="n">
        <v>47</v>
      </c>
      <c r="B1733" s="39" t="n">
        <v>7</v>
      </c>
      <c r="C1733" s="39">
        <f>A1733+B1733-1</f>
        <v/>
      </c>
      <c r="D1733" s="39">
        <f>INT((C1733-1)/12)+1</f>
        <v/>
      </c>
      <c r="E1733" s="44">
        <f>INDEX(Monthly!$B$2:$B$61,A1733)</f>
        <v/>
      </c>
      <c r="F1733" s="44">
        <f>E1733*INDEX('Age profile'!$B$2:$B$61,B1733)</f>
        <v/>
      </c>
      <c r="G1733" s="45">
        <f>MIN(in_takeup_cap,INDEX('Age profile'!$N$2:$N$61,B1733)*(1+in_takeup_growth)^(D1733-1))</f>
        <v/>
      </c>
      <c r="H1733" s="11">
        <f>MIN(in_approval_cap,in_approved_first*INDEX('Age profile'!$O$2:$O$61,B1733)*(1+in_approval_growth)^(D1733-1))</f>
        <v/>
      </c>
      <c r="I1733" s="45">
        <f>G1733*MIN(in_takeup_cap,INDEX('Age profile'!$O$2:$O$61,B1733)*(1+in_approval_growth)^(D1733-1))</f>
        <v/>
      </c>
      <c r="J1733" s="40">
        <f>(J1732-L1732)*F1733/F1732</f>
        <v/>
      </c>
      <c r="K1733" s="40">
        <f>(K1732-M1732)*F1733/F1732+SUMIFS(O1727:O1732,B1727:B1732,B1733-1-d_T)*F1733</f>
        <v/>
      </c>
      <c r="L1733" s="40">
        <f>IF(B1733&gt;=in_marketplace_from,J1733*d_hz*G1733*in_eligible*H1733,0)</f>
        <v/>
      </c>
      <c r="M1733" s="40">
        <f>IF(B1733&gt;=in_marketplace_from,K1733*d_hz*G1733*in_eligible*in_approved_repeat,0)</f>
        <v/>
      </c>
      <c r="N1733" s="40">
        <f>L1733+M1733</f>
        <v/>
      </c>
      <c r="O1733" s="46">
        <f>N1733/F1733</f>
        <v/>
      </c>
      <c r="P1733" s="40">
        <f>F1733-J1733-K1733</f>
        <v/>
      </c>
      <c r="Q1733" s="40">
        <f>IF(B1733&gt;=in_marketplace_from,(J1733+K1733)*d_hz*G1733,0)</f>
        <v/>
      </c>
      <c r="R1733" s="40">
        <f>SUMIFS(N1727:N1740,B1727:B1740,"&gt;="&amp;(B1733-d_T),B1727:B1740,"&lt;="&amp;(B1733-1))</f>
        <v/>
      </c>
      <c r="S1733" s="46">
        <f>(1-d_u)*S1732+IF(d_T&gt;in_topup_lag,SUMIFS(O1727:O1740,B1727:B1740,B1733-in_topup_lag)-d_udrop*SUMIFS(O1727:O1740,B1727:B1740,B1733-d_T),0)</f>
        <v/>
      </c>
      <c r="T1733" s="40">
        <f>F1733*d_u*S1733</f>
        <v/>
      </c>
      <c r="U1733" s="9">
        <f>L1733*in_ticket+M1733*d_rep_ticket</f>
        <v/>
      </c>
      <c r="V1733" s="9">
        <f>U1733+T1733*d_topup_amt</f>
        <v/>
      </c>
      <c r="W1733" s="40">
        <f>N1733+T1733*d_topup_ratio</f>
        <v/>
      </c>
      <c r="X1733" s="40">
        <f>SUMIFS(W1727:W1740,B1727:B1740,B1733-in_dpd_lag)*d_cured</f>
        <v/>
      </c>
      <c r="Y1733" s="40">
        <f>SUMIFS(W1727:W1740,B1727:B1740,B1733-in_rec_lag)*d_recd</f>
        <v/>
      </c>
      <c r="Z1733" s="40">
        <f>IF(AND(B1733&gt;=in_marketplace_from,B1733&lt;in_marketplace_from+in_card_months),in_card_share/in_card_months*F1733*I1733,IF(AND(B1733&gt;=in_marketplace_from+in_card_months,B1733&lt;in_marketplace_from+2*in_card_months),in_card_share*d_card_rem/in_card_months*F1733*MIN(in_takeup_cap,(1+in_takeup_growth)^(D1733-1))*MIN(in_takeup_cap,(1+in_approval_growth)^(D1733-1)),0))</f>
        <v/>
      </c>
      <c r="AA1733" s="14">
        <f>V1733*in_fee*(1-in_taken_back)</f>
        <v/>
      </c>
      <c r="AB1733" s="14">
        <f>SUMIFS(W1727:W1740,B1727:B1740,B1733-in_dpd_lag)*d_dpd</f>
        <v/>
      </c>
      <c r="AC1733" s="14">
        <f>SUMIFS(W1727:W1740,B1727:B1740,B1733-in_rec_lag)*d_rec</f>
        <v/>
      </c>
      <c r="AD1733" s="14">
        <f>Z1733*in_card_fee</f>
        <v/>
      </c>
      <c r="AE1733" s="40">
        <f>AE1732*(1-IF(B1732&gt;=in_marketplace_from,d_hz_hlth_small*G1732,0))</f>
        <v/>
      </c>
      <c r="AF1733" s="46">
        <f>AE1733*IF(B1733&gt;=in_marketplace_from,d_hz_hlth_small*G1733,0)</f>
        <v/>
      </c>
      <c r="AG1733" s="14">
        <f>F1733*AF1733*in_hlth_small_ticket*in_hlth_small_comm*in_ins_partner_share+F1733*in_hlth_small_ticket*in_hlth_small_renew_comm*in_ins_partner_share*(in_hlth_small_renew^1*SUMIFS(AF1727:AF1740,B1727:B1740,B1733-12)+in_hlth_small_renew^2*SUMIFS(AF1727:AF1740,B1727:B1740,B1733-24)+in_hlth_small_renew^3*SUMIFS(AF1727:AF1740,B1727:B1740,B1733-36)+in_hlth_small_renew^4*SUMIFS(AF1727:AF1740,B1727:B1740,B1733-48))</f>
        <v/>
      </c>
      <c r="AH1733" s="40">
        <f>AH1732*(1-IF(B1732&gt;=in_marketplace_from,d_hz_hlth_family*G1732,0))</f>
        <v/>
      </c>
      <c r="AI1733" s="46">
        <f>AH1733*IF(B1733&gt;=in_marketplace_from,d_hz_hlth_family*G1733,0)</f>
        <v/>
      </c>
      <c r="AJ1733" s="14">
        <f>F1733*AI1733*in_hlth_family_ticket*in_hlth_family_comm*in_ins_partner_share+F1733*in_hlth_family_ticket*in_hlth_family_renew_comm*in_ins_partner_share*(in_hlth_family_renew^1*SUMIFS(AI1727:AI1740,B1727:B1740,B1733-12)+in_hlth_family_renew^2*SUMIFS(AI1727:AI1740,B1727:B1740,B1733-24)+in_hlth_family_renew^3*SUMIFS(AI1727:AI1740,B1727:B1740,B1733-36)+in_hlth_family_renew^4*SUMIFS(AI1727:AI1740,B1727:B1740,B1733-48))</f>
        <v/>
      </c>
      <c r="AK1733" s="40">
        <f>AK1732*(1-IF(B1732&gt;=in_marketplace_from,d_hz_life_term*G1732,0))</f>
        <v/>
      </c>
      <c r="AL1733" s="46">
        <f>AK1733*IF(B1733&gt;=in_marketplace_from,d_hz_life_term*G1733,0)</f>
        <v/>
      </c>
      <c r="AM1733" s="14">
        <f>F1733*AL1733*in_life_term_ticket*in_life_term_comm*in_ins_partner_share+F1733*in_life_term_ticket*in_life_term_renew_comm*in_ins_partner_share*(in_life_term_renew^1*SUMIFS(AL1727:AL1740,B1727:B1740,B1733-12)+in_life_term_renew^2*SUMIFS(AL1727:AL1740,B1727:B1740,B1733-24)+in_life_term_renew^3*SUMIFS(AL1727:AL1740,B1727:B1740,B1733-36)+in_life_term_renew^4*SUMIFS(AL1727:AL1740,B1727:B1740,B1733-48))</f>
        <v/>
      </c>
      <c r="AN1733" s="40">
        <f>AN1732*(1-IF(B1732&gt;=in_marketplace_from,d_hz_accident*G1732,0))</f>
        <v/>
      </c>
      <c r="AO1733" s="46">
        <f>AN1733*IF(B1733&gt;=in_marketplace_from,d_hz_accident*G1733,0)</f>
        <v/>
      </c>
      <c r="AP1733" s="14">
        <f>F1733*AO1733*in_accident_ticket*in_accident_comm*in_ins_partner_share+F1733*in_accident_ticket*in_accident_renew_comm*in_ins_partner_share*(in_accident_renew^1*SUMIFS(AO1727:AO1740,B1727:B1740,B1733-12)+in_accident_renew^2*SUMIFS(AO1727:AO1740,B1727:B1740,B1733-24)+in_accident_renew^3*SUMIFS(AO1727:AO1740,B1727:B1740,B1733-36)+in_accident_renew^4*SUMIFS(AO1727:AO1740,B1727:B1740,B1733-48))</f>
        <v/>
      </c>
      <c r="AQ1733" s="40">
        <f>AQ1732*(1-IF(B1732&gt;=in_marketplace_from,d_hz_two_wheeler*G1732,0))</f>
        <v/>
      </c>
      <c r="AR1733" s="46">
        <f>AQ1733*IF(B1733&gt;=in_marketplace_from,d_hz_two_wheeler*G1733,0)</f>
        <v/>
      </c>
      <c r="AS1733" s="14">
        <f>F1733*AR1733*in_two_wheeler_ticket*in_two_wheeler_comm*in_ins_partner_share+F1733*in_two_wheeler_ticket*in_two_wheeler_comm*in_ins_partner_share*(in_two_wheeler_renew^1*SUMIFS(AR1727:AR1740,B1727:B1740,B1733-12)+in_two_wheeler_renew^2*SUMIFS(AR1727:AR1740,B1727:B1740,B1733-24)+in_two_wheeler_renew^3*SUMIFS(AR1727:AR1740,B1727:B1740,B1733-36)+in_two_wheeler_renew^4*SUMIFS(AR1727:AR1740,B1727:B1740,B1733-48))</f>
        <v/>
      </c>
      <c r="AT1733" s="40">
        <f>AT1732*(1-IF(B1732&gt;=in_marketplace_from,d_hz_device*G1732,0))</f>
        <v/>
      </c>
      <c r="AU1733" s="14">
        <f>F1733*AT1733*IF(B1733&gt;=in_marketplace_from,d_hz_device*G1733,0)*in_device_ticket*in_device_comm*in_ins_partner_share</f>
        <v/>
      </c>
      <c r="AV1733" s="40">
        <f>AV1732*(1-IF(B1732&gt;=in_marketplace_from,d_hz_shop*G1732,0))</f>
        <v/>
      </c>
      <c r="AW1733" s="46">
        <f>AV1733*IF(B1733&gt;=in_marketplace_from,d_hz_shop*G1733,0)</f>
        <v/>
      </c>
      <c r="AX1733" s="14">
        <f>F1733*AW1733*in_shop_ticket*in_shop_comm*in_ins_partner_share+F1733*in_shop_ticket*in_shop_renew_comm*in_ins_partner_share*(in_shop_renew^1*SUMIFS(AW1727:AW1740,B1727:B1740,B1733-12)+in_shop_renew^2*SUMIFS(AW1727:AW1740,B1727:B1740,B1733-24)+in_shop_renew^3*SUMIFS(AW1727:AW1740,B1727:B1740,B1733-36)+in_shop_renew^4*SUMIFS(AW1727:AW1740,B1727:B1740,B1733-48))</f>
        <v/>
      </c>
      <c r="AY1733" s="40">
        <f>AY1732*(1-IF(B1732&gt;=in_marketplace_from,d_hz_sip*G1732,0))</f>
        <v/>
      </c>
      <c r="AZ1733" s="40">
        <f>AZ1732*d_rho_sip+AY1733*IF(B1733&gt;=in_marketplace_from,d_hz_sip*G1733,0)</f>
        <v/>
      </c>
      <c r="BA1733" s="40">
        <f>d_rho_sip*(BA1732+AZ1732)</f>
        <v/>
      </c>
      <c r="BB1733" s="14">
        <f>F1733*in_sip_ticket*(BA1733+0.5*AZ1733)*in_sip_comm/12</f>
        <v/>
      </c>
      <c r="BC1733" s="40">
        <f>BC1732*(1-IF(B1732&gt;=in_marketplace_from,d_hz_choti*G1732,0))</f>
        <v/>
      </c>
      <c r="BD1733" s="46">
        <f>BC1733*IF(B1733&gt;=in_marketplace_from,d_hz_choti*G1733,0)</f>
        <v/>
      </c>
      <c r="BE1733" s="14">
        <f>F1733*SUMIFS(BD1727:BD1740,B1727:B1740,B1733-in_choti_months)*in_choti_renew*in_choti_ticket</f>
        <v/>
      </c>
      <c r="BF1733" s="40">
        <f>BF1732*(1-IF(B1732&gt;=in_marketplace_from,d_hz_nps*G1732,0))</f>
        <v/>
      </c>
      <c r="BG1733" s="14">
        <f>F1733*BF1733*IF(B1733&gt;=in_marketplace_from,d_hz_nps*G1733,0)*in_nps_ticket*in_nps_comm</f>
        <v/>
      </c>
      <c r="BH1733" s="40">
        <f>BH1732*(1-IF(B1732&gt;=in_marketplace_from,d_hz_gold*G1732,0))</f>
        <v/>
      </c>
      <c r="BI1733" s="40">
        <f>BI1732*d_rho_gold+BH1733*IF(B1733&gt;=in_marketplace_from,d_hz_gold*G1733,0)</f>
        <v/>
      </c>
      <c r="BJ1733" s="14">
        <f>F1733*BI1733*in_gold_ticket*in_gold_comm</f>
        <v/>
      </c>
      <c r="BK1733" s="40">
        <f>BK1732*(1-IF(B1732&gt;=in_marketplace_from,d_hz_fd*G1732,0))</f>
        <v/>
      </c>
      <c r="BL1733" s="14">
        <f>F1733*BK1733*IF(B1733&gt;=in_marketplace_from,d_hz_fd*G1733,0)*in_fd_ticket*in_fd_comm</f>
        <v/>
      </c>
      <c r="BM1733" s="40">
        <f>BM1732*(1-IF(B1732&gt;=in_marketplace_from,d_hz_recharge*G1732,0))</f>
        <v/>
      </c>
      <c r="BN1733" s="40">
        <f>BN1732*d_rho_recharge+BM1733*IF(B1733&gt;=in_marketplace_from,d_hz_recharge*G1733,0)</f>
        <v/>
      </c>
      <c r="BO1733" s="14">
        <f>F1733*BN1733*in_recharge_ticket*in_recharge_comm/12</f>
        <v/>
      </c>
      <c r="BP1733" s="40">
        <f>BP1732*(1-IF(B1732&gt;=in_marketplace_from,d_hz_bills*G1732,0))</f>
        <v/>
      </c>
      <c r="BQ1733" s="40">
        <f>BQ1732*d_rho_bills+BP1733*IF(B1733&gt;=in_marketplace_from,d_hz_bills*G1733,0)</f>
        <v/>
      </c>
      <c r="BR1733" s="14">
        <f>F1733*BQ1733*in_bills_ticket*in_bills_comm/12</f>
        <v/>
      </c>
      <c r="BS1733" s="40">
        <f>BS1732*(1-IF(B1732&gt;=in_marketplace_from,d_hz_loan_gold*G1732,0))</f>
        <v/>
      </c>
      <c r="BT1733" s="14">
        <f>F1733*BS1733*IF(B1733&gt;=in_marketplace_from,d_hz_loan_gold*G1733,0)*in_loan_gold_ticket*in_loan_gold_comm</f>
        <v/>
      </c>
      <c r="BU1733" s="40">
        <f>BU1732*(1-IF(B1732&gt;=in_marketplace_from,d_hz_loan_cd*G1732,0))</f>
        <v/>
      </c>
      <c r="BV1733" s="14">
        <f>F1733*BU1733*IF(B1733&gt;=in_marketplace_from,d_hz_loan_cd*G1733,0)*in_loan_cd_ticket*in_loan_cd_comm</f>
        <v/>
      </c>
      <c r="BW1733" s="40">
        <f>BW1732*(1-IF(B1732&gt;=in_marketplace_from,d_hz_loan_vehicle*G1732,0))</f>
        <v/>
      </c>
      <c r="BX1733" s="14">
        <f>F1733*BW1733*IF(B1733&gt;=in_marketplace_from,d_hz_loan_vehicle*G1733,0)*in_loan_vehicle_ticket*in_loan_vehicle_comm</f>
        <v/>
      </c>
      <c r="BY1733" s="40">
        <f>BY1732*(1-IF(B1732&gt;=in_marketplace_from,d_hz_loan_home*G1732,0)*BZ1732)</f>
        <v/>
      </c>
      <c r="BZ1733" s="11">
        <f>MIN(in_approval_cap,in_loan_home_approval*INDEX('Age profile'!$O$2:$O$61,B1733)*(1+in_approval_growth)^(D1733-1))</f>
        <v/>
      </c>
      <c r="CA1733" s="14">
        <f>F1733*BY1733*IF(B1733&gt;=in_marketplace_from,d_hz_loan_home*G1733,0)*BZ1733*in_loan_home_ticket*in_loan_home_comm</f>
        <v/>
      </c>
      <c r="CB1733" s="40">
        <f>CB1732*(1-IF(B1732&gt;=in_marketplace_from,d_hz_loan_lap*G1732,0)*CC1732)</f>
        <v/>
      </c>
      <c r="CC1733" s="11">
        <f>MIN(in_approval_cap,in_loan_lap_approval*INDEX('Age profile'!$O$2:$O$61,B1733)*(1+in_approval_growth)^(D1733-1))</f>
        <v/>
      </c>
      <c r="CD1733" s="14">
        <f>F1733*CB1733*IF(B1733&gt;=in_marketplace_from,d_hz_loan_lap*G1733,0)*CC1733*in_loan_lap_ticket*in_loan_lap_comm</f>
        <v/>
      </c>
      <c r="CE1733" s="14">
        <f>AA1733+AB1733+AC1733+AD1733+AG1733+AJ1733+AM1733+AP1733+AS1733+AU1733+AX1733+BB1733+BE1733+BG1733+BJ1733+BL1733+BO1733+BR1733+BT1733+BV1733+BX1733+CA1733+CD1733</f>
        <v/>
      </c>
    </row>
    <row r="1734">
      <c r="A1734" s="39" t="n">
        <v>47</v>
      </c>
      <c r="B1734" s="39" t="n">
        <v>8</v>
      </c>
      <c r="C1734" s="39">
        <f>A1734+B1734-1</f>
        <v/>
      </c>
      <c r="D1734" s="39">
        <f>INT((C1734-1)/12)+1</f>
        <v/>
      </c>
      <c r="E1734" s="44">
        <f>INDEX(Monthly!$B$2:$B$61,A1734)</f>
        <v/>
      </c>
      <c r="F1734" s="44">
        <f>E1734*INDEX('Age profile'!$B$2:$B$61,B1734)</f>
        <v/>
      </c>
      <c r="G1734" s="45">
        <f>MIN(in_takeup_cap,INDEX('Age profile'!$N$2:$N$61,B1734)*(1+in_takeup_growth)^(D1734-1))</f>
        <v/>
      </c>
      <c r="H1734" s="11">
        <f>MIN(in_approval_cap,in_approved_first*INDEX('Age profile'!$O$2:$O$61,B1734)*(1+in_approval_growth)^(D1734-1))</f>
        <v/>
      </c>
      <c r="I1734" s="45">
        <f>G1734*MIN(in_takeup_cap,INDEX('Age profile'!$O$2:$O$61,B1734)*(1+in_approval_growth)^(D1734-1))</f>
        <v/>
      </c>
      <c r="J1734" s="40">
        <f>(J1733-L1733)*F1734/F1733</f>
        <v/>
      </c>
      <c r="K1734" s="40">
        <f>(K1733-M1733)*F1734/F1733+SUMIFS(O1727:O1733,B1727:B1733,B1734-1-d_T)*F1734</f>
        <v/>
      </c>
      <c r="L1734" s="40">
        <f>IF(B1734&gt;=in_marketplace_from,J1734*d_hz*G1734*in_eligible*H1734,0)</f>
        <v/>
      </c>
      <c r="M1734" s="40">
        <f>IF(B1734&gt;=in_marketplace_from,K1734*d_hz*G1734*in_eligible*in_approved_repeat,0)</f>
        <v/>
      </c>
      <c r="N1734" s="40">
        <f>L1734+M1734</f>
        <v/>
      </c>
      <c r="O1734" s="46">
        <f>N1734/F1734</f>
        <v/>
      </c>
      <c r="P1734" s="40">
        <f>F1734-J1734-K1734</f>
        <v/>
      </c>
      <c r="Q1734" s="40">
        <f>IF(B1734&gt;=in_marketplace_from,(J1734+K1734)*d_hz*G1734,0)</f>
        <v/>
      </c>
      <c r="R1734" s="40">
        <f>SUMIFS(N1727:N1740,B1727:B1740,"&gt;="&amp;(B1734-d_T),B1727:B1740,"&lt;="&amp;(B1734-1))</f>
        <v/>
      </c>
      <c r="S1734" s="46">
        <f>(1-d_u)*S1733+IF(d_T&gt;in_topup_lag,SUMIFS(O1727:O1740,B1727:B1740,B1734-in_topup_lag)-d_udrop*SUMIFS(O1727:O1740,B1727:B1740,B1734-d_T),0)</f>
        <v/>
      </c>
      <c r="T1734" s="40">
        <f>F1734*d_u*S1734</f>
        <v/>
      </c>
      <c r="U1734" s="9">
        <f>L1734*in_ticket+M1734*d_rep_ticket</f>
        <v/>
      </c>
      <c r="V1734" s="9">
        <f>U1734+T1734*d_topup_amt</f>
        <v/>
      </c>
      <c r="W1734" s="40">
        <f>N1734+T1734*d_topup_ratio</f>
        <v/>
      </c>
      <c r="X1734" s="40">
        <f>SUMIFS(W1727:W1740,B1727:B1740,B1734-in_dpd_lag)*d_cured</f>
        <v/>
      </c>
      <c r="Y1734" s="40">
        <f>SUMIFS(W1727:W1740,B1727:B1740,B1734-in_rec_lag)*d_recd</f>
        <v/>
      </c>
      <c r="Z1734" s="40">
        <f>IF(AND(B1734&gt;=in_marketplace_from,B1734&lt;in_marketplace_from+in_card_months),in_card_share/in_card_months*F1734*I1734,IF(AND(B1734&gt;=in_marketplace_from+in_card_months,B1734&lt;in_marketplace_from+2*in_card_months),in_card_share*d_card_rem/in_card_months*F1734*MIN(in_takeup_cap,(1+in_takeup_growth)^(D1734-1))*MIN(in_takeup_cap,(1+in_approval_growth)^(D1734-1)),0))</f>
        <v/>
      </c>
      <c r="AA1734" s="14">
        <f>V1734*in_fee*(1-in_taken_back)</f>
        <v/>
      </c>
      <c r="AB1734" s="14">
        <f>SUMIFS(W1727:W1740,B1727:B1740,B1734-in_dpd_lag)*d_dpd</f>
        <v/>
      </c>
      <c r="AC1734" s="14">
        <f>SUMIFS(W1727:W1740,B1727:B1740,B1734-in_rec_lag)*d_rec</f>
        <v/>
      </c>
      <c r="AD1734" s="14">
        <f>Z1734*in_card_fee</f>
        <v/>
      </c>
      <c r="AE1734" s="40">
        <f>AE1733*(1-IF(B1733&gt;=in_marketplace_from,d_hz_hlth_small*G1733,0))</f>
        <v/>
      </c>
      <c r="AF1734" s="46">
        <f>AE1734*IF(B1734&gt;=in_marketplace_from,d_hz_hlth_small*G1734,0)</f>
        <v/>
      </c>
      <c r="AG1734" s="14">
        <f>F1734*AF1734*in_hlth_small_ticket*in_hlth_small_comm*in_ins_partner_share+F1734*in_hlth_small_ticket*in_hlth_small_renew_comm*in_ins_partner_share*(in_hlth_small_renew^1*SUMIFS(AF1727:AF1740,B1727:B1740,B1734-12)+in_hlth_small_renew^2*SUMIFS(AF1727:AF1740,B1727:B1740,B1734-24)+in_hlth_small_renew^3*SUMIFS(AF1727:AF1740,B1727:B1740,B1734-36)+in_hlth_small_renew^4*SUMIFS(AF1727:AF1740,B1727:B1740,B1734-48))</f>
        <v/>
      </c>
      <c r="AH1734" s="40">
        <f>AH1733*(1-IF(B1733&gt;=in_marketplace_from,d_hz_hlth_family*G1733,0))</f>
        <v/>
      </c>
      <c r="AI1734" s="46">
        <f>AH1734*IF(B1734&gt;=in_marketplace_from,d_hz_hlth_family*G1734,0)</f>
        <v/>
      </c>
      <c r="AJ1734" s="14">
        <f>F1734*AI1734*in_hlth_family_ticket*in_hlth_family_comm*in_ins_partner_share+F1734*in_hlth_family_ticket*in_hlth_family_renew_comm*in_ins_partner_share*(in_hlth_family_renew^1*SUMIFS(AI1727:AI1740,B1727:B1740,B1734-12)+in_hlth_family_renew^2*SUMIFS(AI1727:AI1740,B1727:B1740,B1734-24)+in_hlth_family_renew^3*SUMIFS(AI1727:AI1740,B1727:B1740,B1734-36)+in_hlth_family_renew^4*SUMIFS(AI1727:AI1740,B1727:B1740,B1734-48))</f>
        <v/>
      </c>
      <c r="AK1734" s="40">
        <f>AK1733*(1-IF(B1733&gt;=in_marketplace_from,d_hz_life_term*G1733,0))</f>
        <v/>
      </c>
      <c r="AL1734" s="46">
        <f>AK1734*IF(B1734&gt;=in_marketplace_from,d_hz_life_term*G1734,0)</f>
        <v/>
      </c>
      <c r="AM1734" s="14">
        <f>F1734*AL1734*in_life_term_ticket*in_life_term_comm*in_ins_partner_share+F1734*in_life_term_ticket*in_life_term_renew_comm*in_ins_partner_share*(in_life_term_renew^1*SUMIFS(AL1727:AL1740,B1727:B1740,B1734-12)+in_life_term_renew^2*SUMIFS(AL1727:AL1740,B1727:B1740,B1734-24)+in_life_term_renew^3*SUMIFS(AL1727:AL1740,B1727:B1740,B1734-36)+in_life_term_renew^4*SUMIFS(AL1727:AL1740,B1727:B1740,B1734-48))</f>
        <v/>
      </c>
      <c r="AN1734" s="40">
        <f>AN1733*(1-IF(B1733&gt;=in_marketplace_from,d_hz_accident*G1733,0))</f>
        <v/>
      </c>
      <c r="AO1734" s="46">
        <f>AN1734*IF(B1734&gt;=in_marketplace_from,d_hz_accident*G1734,0)</f>
        <v/>
      </c>
      <c r="AP1734" s="14">
        <f>F1734*AO1734*in_accident_ticket*in_accident_comm*in_ins_partner_share+F1734*in_accident_ticket*in_accident_renew_comm*in_ins_partner_share*(in_accident_renew^1*SUMIFS(AO1727:AO1740,B1727:B1740,B1734-12)+in_accident_renew^2*SUMIFS(AO1727:AO1740,B1727:B1740,B1734-24)+in_accident_renew^3*SUMIFS(AO1727:AO1740,B1727:B1740,B1734-36)+in_accident_renew^4*SUMIFS(AO1727:AO1740,B1727:B1740,B1734-48))</f>
        <v/>
      </c>
      <c r="AQ1734" s="40">
        <f>AQ1733*(1-IF(B1733&gt;=in_marketplace_from,d_hz_two_wheeler*G1733,0))</f>
        <v/>
      </c>
      <c r="AR1734" s="46">
        <f>AQ1734*IF(B1734&gt;=in_marketplace_from,d_hz_two_wheeler*G1734,0)</f>
        <v/>
      </c>
      <c r="AS1734" s="14">
        <f>F1734*AR1734*in_two_wheeler_ticket*in_two_wheeler_comm*in_ins_partner_share+F1734*in_two_wheeler_ticket*in_two_wheeler_comm*in_ins_partner_share*(in_two_wheeler_renew^1*SUMIFS(AR1727:AR1740,B1727:B1740,B1734-12)+in_two_wheeler_renew^2*SUMIFS(AR1727:AR1740,B1727:B1740,B1734-24)+in_two_wheeler_renew^3*SUMIFS(AR1727:AR1740,B1727:B1740,B1734-36)+in_two_wheeler_renew^4*SUMIFS(AR1727:AR1740,B1727:B1740,B1734-48))</f>
        <v/>
      </c>
      <c r="AT1734" s="40">
        <f>AT1733*(1-IF(B1733&gt;=in_marketplace_from,d_hz_device*G1733,0))</f>
        <v/>
      </c>
      <c r="AU1734" s="14">
        <f>F1734*AT1734*IF(B1734&gt;=in_marketplace_from,d_hz_device*G1734,0)*in_device_ticket*in_device_comm*in_ins_partner_share</f>
        <v/>
      </c>
      <c r="AV1734" s="40">
        <f>AV1733*(1-IF(B1733&gt;=in_marketplace_from,d_hz_shop*G1733,0))</f>
        <v/>
      </c>
      <c r="AW1734" s="46">
        <f>AV1734*IF(B1734&gt;=in_marketplace_from,d_hz_shop*G1734,0)</f>
        <v/>
      </c>
      <c r="AX1734" s="14">
        <f>F1734*AW1734*in_shop_ticket*in_shop_comm*in_ins_partner_share+F1734*in_shop_ticket*in_shop_renew_comm*in_ins_partner_share*(in_shop_renew^1*SUMIFS(AW1727:AW1740,B1727:B1740,B1734-12)+in_shop_renew^2*SUMIFS(AW1727:AW1740,B1727:B1740,B1734-24)+in_shop_renew^3*SUMIFS(AW1727:AW1740,B1727:B1740,B1734-36)+in_shop_renew^4*SUMIFS(AW1727:AW1740,B1727:B1740,B1734-48))</f>
        <v/>
      </c>
      <c r="AY1734" s="40">
        <f>AY1733*(1-IF(B1733&gt;=in_marketplace_from,d_hz_sip*G1733,0))</f>
        <v/>
      </c>
      <c r="AZ1734" s="40">
        <f>AZ1733*d_rho_sip+AY1734*IF(B1734&gt;=in_marketplace_from,d_hz_sip*G1734,0)</f>
        <v/>
      </c>
      <c r="BA1734" s="40">
        <f>d_rho_sip*(BA1733+AZ1733)</f>
        <v/>
      </c>
      <c r="BB1734" s="14">
        <f>F1734*in_sip_ticket*(BA1734+0.5*AZ1734)*in_sip_comm/12</f>
        <v/>
      </c>
      <c r="BC1734" s="40">
        <f>BC1733*(1-IF(B1733&gt;=in_marketplace_from,d_hz_choti*G1733,0))</f>
        <v/>
      </c>
      <c r="BD1734" s="46">
        <f>BC1734*IF(B1734&gt;=in_marketplace_from,d_hz_choti*G1734,0)</f>
        <v/>
      </c>
      <c r="BE1734" s="14">
        <f>F1734*SUMIFS(BD1727:BD1740,B1727:B1740,B1734-in_choti_months)*in_choti_renew*in_choti_ticket</f>
        <v/>
      </c>
      <c r="BF1734" s="40">
        <f>BF1733*(1-IF(B1733&gt;=in_marketplace_from,d_hz_nps*G1733,0))</f>
        <v/>
      </c>
      <c r="BG1734" s="14">
        <f>F1734*BF1734*IF(B1734&gt;=in_marketplace_from,d_hz_nps*G1734,0)*in_nps_ticket*in_nps_comm</f>
        <v/>
      </c>
      <c r="BH1734" s="40">
        <f>BH1733*(1-IF(B1733&gt;=in_marketplace_from,d_hz_gold*G1733,0))</f>
        <v/>
      </c>
      <c r="BI1734" s="40">
        <f>BI1733*d_rho_gold+BH1734*IF(B1734&gt;=in_marketplace_from,d_hz_gold*G1734,0)</f>
        <v/>
      </c>
      <c r="BJ1734" s="14">
        <f>F1734*BI1734*in_gold_ticket*in_gold_comm</f>
        <v/>
      </c>
      <c r="BK1734" s="40">
        <f>BK1733*(1-IF(B1733&gt;=in_marketplace_from,d_hz_fd*G1733,0))</f>
        <v/>
      </c>
      <c r="BL1734" s="14">
        <f>F1734*BK1734*IF(B1734&gt;=in_marketplace_from,d_hz_fd*G1734,0)*in_fd_ticket*in_fd_comm</f>
        <v/>
      </c>
      <c r="BM1734" s="40">
        <f>BM1733*(1-IF(B1733&gt;=in_marketplace_from,d_hz_recharge*G1733,0))</f>
        <v/>
      </c>
      <c r="BN1734" s="40">
        <f>BN1733*d_rho_recharge+BM1734*IF(B1734&gt;=in_marketplace_from,d_hz_recharge*G1734,0)</f>
        <v/>
      </c>
      <c r="BO1734" s="14">
        <f>F1734*BN1734*in_recharge_ticket*in_recharge_comm/12</f>
        <v/>
      </c>
      <c r="BP1734" s="40">
        <f>BP1733*(1-IF(B1733&gt;=in_marketplace_from,d_hz_bills*G1733,0))</f>
        <v/>
      </c>
      <c r="BQ1734" s="40">
        <f>BQ1733*d_rho_bills+BP1734*IF(B1734&gt;=in_marketplace_from,d_hz_bills*G1734,0)</f>
        <v/>
      </c>
      <c r="BR1734" s="14">
        <f>F1734*BQ1734*in_bills_ticket*in_bills_comm/12</f>
        <v/>
      </c>
      <c r="BS1734" s="40">
        <f>BS1733*(1-IF(B1733&gt;=in_marketplace_from,d_hz_loan_gold*G1733,0))</f>
        <v/>
      </c>
      <c r="BT1734" s="14">
        <f>F1734*BS1734*IF(B1734&gt;=in_marketplace_from,d_hz_loan_gold*G1734,0)*in_loan_gold_ticket*in_loan_gold_comm</f>
        <v/>
      </c>
      <c r="BU1734" s="40">
        <f>BU1733*(1-IF(B1733&gt;=in_marketplace_from,d_hz_loan_cd*G1733,0))</f>
        <v/>
      </c>
      <c r="BV1734" s="14">
        <f>F1734*BU1734*IF(B1734&gt;=in_marketplace_from,d_hz_loan_cd*G1734,0)*in_loan_cd_ticket*in_loan_cd_comm</f>
        <v/>
      </c>
      <c r="BW1734" s="40">
        <f>BW1733*(1-IF(B1733&gt;=in_marketplace_from,d_hz_loan_vehicle*G1733,0))</f>
        <v/>
      </c>
      <c r="BX1734" s="14">
        <f>F1734*BW1734*IF(B1734&gt;=in_marketplace_from,d_hz_loan_vehicle*G1734,0)*in_loan_vehicle_ticket*in_loan_vehicle_comm</f>
        <v/>
      </c>
      <c r="BY1734" s="40">
        <f>BY1733*(1-IF(B1733&gt;=in_marketplace_from,d_hz_loan_home*G1733,0)*BZ1733)</f>
        <v/>
      </c>
      <c r="BZ1734" s="11">
        <f>MIN(in_approval_cap,in_loan_home_approval*INDEX('Age profile'!$O$2:$O$61,B1734)*(1+in_approval_growth)^(D1734-1))</f>
        <v/>
      </c>
      <c r="CA1734" s="14">
        <f>F1734*BY1734*IF(B1734&gt;=in_marketplace_from,d_hz_loan_home*G1734,0)*BZ1734*in_loan_home_ticket*in_loan_home_comm</f>
        <v/>
      </c>
      <c r="CB1734" s="40">
        <f>CB1733*(1-IF(B1733&gt;=in_marketplace_from,d_hz_loan_lap*G1733,0)*CC1733)</f>
        <v/>
      </c>
      <c r="CC1734" s="11">
        <f>MIN(in_approval_cap,in_loan_lap_approval*INDEX('Age profile'!$O$2:$O$61,B1734)*(1+in_approval_growth)^(D1734-1))</f>
        <v/>
      </c>
      <c r="CD1734" s="14">
        <f>F1734*CB1734*IF(B1734&gt;=in_marketplace_from,d_hz_loan_lap*G1734,0)*CC1734*in_loan_lap_ticket*in_loan_lap_comm</f>
        <v/>
      </c>
      <c r="CE1734" s="14">
        <f>AA1734+AB1734+AC1734+AD1734+AG1734+AJ1734+AM1734+AP1734+AS1734+AU1734+AX1734+BB1734+BE1734+BG1734+BJ1734+BL1734+BO1734+BR1734+BT1734+BV1734+BX1734+CA1734+CD1734</f>
        <v/>
      </c>
    </row>
    <row r="1735">
      <c r="A1735" s="39" t="n">
        <v>47</v>
      </c>
      <c r="B1735" s="39" t="n">
        <v>9</v>
      </c>
      <c r="C1735" s="39">
        <f>A1735+B1735-1</f>
        <v/>
      </c>
      <c r="D1735" s="39">
        <f>INT((C1735-1)/12)+1</f>
        <v/>
      </c>
      <c r="E1735" s="44">
        <f>INDEX(Monthly!$B$2:$B$61,A1735)</f>
        <v/>
      </c>
      <c r="F1735" s="44">
        <f>E1735*INDEX('Age profile'!$B$2:$B$61,B1735)</f>
        <v/>
      </c>
      <c r="G1735" s="45">
        <f>MIN(in_takeup_cap,INDEX('Age profile'!$N$2:$N$61,B1735)*(1+in_takeup_growth)^(D1735-1))</f>
        <v/>
      </c>
      <c r="H1735" s="11">
        <f>MIN(in_approval_cap,in_approved_first*INDEX('Age profile'!$O$2:$O$61,B1735)*(1+in_approval_growth)^(D1735-1))</f>
        <v/>
      </c>
      <c r="I1735" s="45">
        <f>G1735*MIN(in_takeup_cap,INDEX('Age profile'!$O$2:$O$61,B1735)*(1+in_approval_growth)^(D1735-1))</f>
        <v/>
      </c>
      <c r="J1735" s="40">
        <f>(J1734-L1734)*F1735/F1734</f>
        <v/>
      </c>
      <c r="K1735" s="40">
        <f>(K1734-M1734)*F1735/F1734+SUMIFS(O1727:O1734,B1727:B1734,B1735-1-d_T)*F1735</f>
        <v/>
      </c>
      <c r="L1735" s="40">
        <f>IF(B1735&gt;=in_marketplace_from,J1735*d_hz*G1735*in_eligible*H1735,0)</f>
        <v/>
      </c>
      <c r="M1735" s="40">
        <f>IF(B1735&gt;=in_marketplace_from,K1735*d_hz*G1735*in_eligible*in_approved_repeat,0)</f>
        <v/>
      </c>
      <c r="N1735" s="40">
        <f>L1735+M1735</f>
        <v/>
      </c>
      <c r="O1735" s="46">
        <f>N1735/F1735</f>
        <v/>
      </c>
      <c r="P1735" s="40">
        <f>F1735-J1735-K1735</f>
        <v/>
      </c>
      <c r="Q1735" s="40">
        <f>IF(B1735&gt;=in_marketplace_from,(J1735+K1735)*d_hz*G1735,0)</f>
        <v/>
      </c>
      <c r="R1735" s="40">
        <f>SUMIFS(N1727:N1740,B1727:B1740,"&gt;="&amp;(B1735-d_T),B1727:B1740,"&lt;="&amp;(B1735-1))</f>
        <v/>
      </c>
      <c r="S1735" s="46">
        <f>(1-d_u)*S1734+IF(d_T&gt;in_topup_lag,SUMIFS(O1727:O1740,B1727:B1740,B1735-in_topup_lag)-d_udrop*SUMIFS(O1727:O1740,B1727:B1740,B1735-d_T),0)</f>
        <v/>
      </c>
      <c r="T1735" s="40">
        <f>F1735*d_u*S1735</f>
        <v/>
      </c>
      <c r="U1735" s="9">
        <f>L1735*in_ticket+M1735*d_rep_ticket</f>
        <v/>
      </c>
      <c r="V1735" s="9">
        <f>U1735+T1735*d_topup_amt</f>
        <v/>
      </c>
      <c r="W1735" s="40">
        <f>N1735+T1735*d_topup_ratio</f>
        <v/>
      </c>
      <c r="X1735" s="40">
        <f>SUMIFS(W1727:W1740,B1727:B1740,B1735-in_dpd_lag)*d_cured</f>
        <v/>
      </c>
      <c r="Y1735" s="40">
        <f>SUMIFS(W1727:W1740,B1727:B1740,B1735-in_rec_lag)*d_recd</f>
        <v/>
      </c>
      <c r="Z1735" s="40">
        <f>IF(AND(B1735&gt;=in_marketplace_from,B1735&lt;in_marketplace_from+in_card_months),in_card_share/in_card_months*F1735*I1735,IF(AND(B1735&gt;=in_marketplace_from+in_card_months,B1735&lt;in_marketplace_from+2*in_card_months),in_card_share*d_card_rem/in_card_months*F1735*MIN(in_takeup_cap,(1+in_takeup_growth)^(D1735-1))*MIN(in_takeup_cap,(1+in_approval_growth)^(D1735-1)),0))</f>
        <v/>
      </c>
      <c r="AA1735" s="14">
        <f>V1735*in_fee*(1-in_taken_back)</f>
        <v/>
      </c>
      <c r="AB1735" s="14">
        <f>SUMIFS(W1727:W1740,B1727:B1740,B1735-in_dpd_lag)*d_dpd</f>
        <v/>
      </c>
      <c r="AC1735" s="14">
        <f>SUMIFS(W1727:W1740,B1727:B1740,B1735-in_rec_lag)*d_rec</f>
        <v/>
      </c>
      <c r="AD1735" s="14">
        <f>Z1735*in_card_fee</f>
        <v/>
      </c>
      <c r="AE1735" s="40">
        <f>AE1734*(1-IF(B1734&gt;=in_marketplace_from,d_hz_hlth_small*G1734,0))</f>
        <v/>
      </c>
      <c r="AF1735" s="46">
        <f>AE1735*IF(B1735&gt;=in_marketplace_from,d_hz_hlth_small*G1735,0)</f>
        <v/>
      </c>
      <c r="AG1735" s="14">
        <f>F1735*AF1735*in_hlth_small_ticket*in_hlth_small_comm*in_ins_partner_share+F1735*in_hlth_small_ticket*in_hlth_small_renew_comm*in_ins_partner_share*(in_hlth_small_renew^1*SUMIFS(AF1727:AF1740,B1727:B1740,B1735-12)+in_hlth_small_renew^2*SUMIFS(AF1727:AF1740,B1727:B1740,B1735-24)+in_hlth_small_renew^3*SUMIFS(AF1727:AF1740,B1727:B1740,B1735-36)+in_hlth_small_renew^4*SUMIFS(AF1727:AF1740,B1727:B1740,B1735-48))</f>
        <v/>
      </c>
      <c r="AH1735" s="40">
        <f>AH1734*(1-IF(B1734&gt;=in_marketplace_from,d_hz_hlth_family*G1734,0))</f>
        <v/>
      </c>
      <c r="AI1735" s="46">
        <f>AH1735*IF(B1735&gt;=in_marketplace_from,d_hz_hlth_family*G1735,0)</f>
        <v/>
      </c>
      <c r="AJ1735" s="14">
        <f>F1735*AI1735*in_hlth_family_ticket*in_hlth_family_comm*in_ins_partner_share+F1735*in_hlth_family_ticket*in_hlth_family_renew_comm*in_ins_partner_share*(in_hlth_family_renew^1*SUMIFS(AI1727:AI1740,B1727:B1740,B1735-12)+in_hlth_family_renew^2*SUMIFS(AI1727:AI1740,B1727:B1740,B1735-24)+in_hlth_family_renew^3*SUMIFS(AI1727:AI1740,B1727:B1740,B1735-36)+in_hlth_family_renew^4*SUMIFS(AI1727:AI1740,B1727:B1740,B1735-48))</f>
        <v/>
      </c>
      <c r="AK1735" s="40">
        <f>AK1734*(1-IF(B1734&gt;=in_marketplace_from,d_hz_life_term*G1734,0))</f>
        <v/>
      </c>
      <c r="AL1735" s="46">
        <f>AK1735*IF(B1735&gt;=in_marketplace_from,d_hz_life_term*G1735,0)</f>
        <v/>
      </c>
      <c r="AM1735" s="14">
        <f>F1735*AL1735*in_life_term_ticket*in_life_term_comm*in_ins_partner_share+F1735*in_life_term_ticket*in_life_term_renew_comm*in_ins_partner_share*(in_life_term_renew^1*SUMIFS(AL1727:AL1740,B1727:B1740,B1735-12)+in_life_term_renew^2*SUMIFS(AL1727:AL1740,B1727:B1740,B1735-24)+in_life_term_renew^3*SUMIFS(AL1727:AL1740,B1727:B1740,B1735-36)+in_life_term_renew^4*SUMIFS(AL1727:AL1740,B1727:B1740,B1735-48))</f>
        <v/>
      </c>
      <c r="AN1735" s="40">
        <f>AN1734*(1-IF(B1734&gt;=in_marketplace_from,d_hz_accident*G1734,0))</f>
        <v/>
      </c>
      <c r="AO1735" s="46">
        <f>AN1735*IF(B1735&gt;=in_marketplace_from,d_hz_accident*G1735,0)</f>
        <v/>
      </c>
      <c r="AP1735" s="14">
        <f>F1735*AO1735*in_accident_ticket*in_accident_comm*in_ins_partner_share+F1735*in_accident_ticket*in_accident_renew_comm*in_ins_partner_share*(in_accident_renew^1*SUMIFS(AO1727:AO1740,B1727:B1740,B1735-12)+in_accident_renew^2*SUMIFS(AO1727:AO1740,B1727:B1740,B1735-24)+in_accident_renew^3*SUMIFS(AO1727:AO1740,B1727:B1740,B1735-36)+in_accident_renew^4*SUMIFS(AO1727:AO1740,B1727:B1740,B1735-48))</f>
        <v/>
      </c>
      <c r="AQ1735" s="40">
        <f>AQ1734*(1-IF(B1734&gt;=in_marketplace_from,d_hz_two_wheeler*G1734,0))</f>
        <v/>
      </c>
      <c r="AR1735" s="46">
        <f>AQ1735*IF(B1735&gt;=in_marketplace_from,d_hz_two_wheeler*G1735,0)</f>
        <v/>
      </c>
      <c r="AS1735" s="14">
        <f>F1735*AR1735*in_two_wheeler_ticket*in_two_wheeler_comm*in_ins_partner_share+F1735*in_two_wheeler_ticket*in_two_wheeler_comm*in_ins_partner_share*(in_two_wheeler_renew^1*SUMIFS(AR1727:AR1740,B1727:B1740,B1735-12)+in_two_wheeler_renew^2*SUMIFS(AR1727:AR1740,B1727:B1740,B1735-24)+in_two_wheeler_renew^3*SUMIFS(AR1727:AR1740,B1727:B1740,B1735-36)+in_two_wheeler_renew^4*SUMIFS(AR1727:AR1740,B1727:B1740,B1735-48))</f>
        <v/>
      </c>
      <c r="AT1735" s="40">
        <f>AT1734*(1-IF(B1734&gt;=in_marketplace_from,d_hz_device*G1734,0))</f>
        <v/>
      </c>
      <c r="AU1735" s="14">
        <f>F1735*AT1735*IF(B1735&gt;=in_marketplace_from,d_hz_device*G1735,0)*in_device_ticket*in_device_comm*in_ins_partner_share</f>
        <v/>
      </c>
      <c r="AV1735" s="40">
        <f>AV1734*(1-IF(B1734&gt;=in_marketplace_from,d_hz_shop*G1734,0))</f>
        <v/>
      </c>
      <c r="AW1735" s="46">
        <f>AV1735*IF(B1735&gt;=in_marketplace_from,d_hz_shop*G1735,0)</f>
        <v/>
      </c>
      <c r="AX1735" s="14">
        <f>F1735*AW1735*in_shop_ticket*in_shop_comm*in_ins_partner_share+F1735*in_shop_ticket*in_shop_renew_comm*in_ins_partner_share*(in_shop_renew^1*SUMIFS(AW1727:AW1740,B1727:B1740,B1735-12)+in_shop_renew^2*SUMIFS(AW1727:AW1740,B1727:B1740,B1735-24)+in_shop_renew^3*SUMIFS(AW1727:AW1740,B1727:B1740,B1735-36)+in_shop_renew^4*SUMIFS(AW1727:AW1740,B1727:B1740,B1735-48))</f>
        <v/>
      </c>
      <c r="AY1735" s="40">
        <f>AY1734*(1-IF(B1734&gt;=in_marketplace_from,d_hz_sip*G1734,0))</f>
        <v/>
      </c>
      <c r="AZ1735" s="40">
        <f>AZ1734*d_rho_sip+AY1735*IF(B1735&gt;=in_marketplace_from,d_hz_sip*G1735,0)</f>
        <v/>
      </c>
      <c r="BA1735" s="40">
        <f>d_rho_sip*(BA1734+AZ1734)</f>
        <v/>
      </c>
      <c r="BB1735" s="14">
        <f>F1735*in_sip_ticket*(BA1735+0.5*AZ1735)*in_sip_comm/12</f>
        <v/>
      </c>
      <c r="BC1735" s="40">
        <f>BC1734*(1-IF(B1734&gt;=in_marketplace_from,d_hz_choti*G1734,0))</f>
        <v/>
      </c>
      <c r="BD1735" s="46">
        <f>BC1735*IF(B1735&gt;=in_marketplace_from,d_hz_choti*G1735,0)</f>
        <v/>
      </c>
      <c r="BE1735" s="14">
        <f>F1735*SUMIFS(BD1727:BD1740,B1727:B1740,B1735-in_choti_months)*in_choti_renew*in_choti_ticket</f>
        <v/>
      </c>
      <c r="BF1735" s="40">
        <f>BF1734*(1-IF(B1734&gt;=in_marketplace_from,d_hz_nps*G1734,0))</f>
        <v/>
      </c>
      <c r="BG1735" s="14">
        <f>F1735*BF1735*IF(B1735&gt;=in_marketplace_from,d_hz_nps*G1735,0)*in_nps_ticket*in_nps_comm</f>
        <v/>
      </c>
      <c r="BH1735" s="40">
        <f>BH1734*(1-IF(B1734&gt;=in_marketplace_from,d_hz_gold*G1734,0))</f>
        <v/>
      </c>
      <c r="BI1735" s="40">
        <f>BI1734*d_rho_gold+BH1735*IF(B1735&gt;=in_marketplace_from,d_hz_gold*G1735,0)</f>
        <v/>
      </c>
      <c r="BJ1735" s="14">
        <f>F1735*BI1735*in_gold_ticket*in_gold_comm</f>
        <v/>
      </c>
      <c r="BK1735" s="40">
        <f>BK1734*(1-IF(B1734&gt;=in_marketplace_from,d_hz_fd*G1734,0))</f>
        <v/>
      </c>
      <c r="BL1735" s="14">
        <f>F1735*BK1735*IF(B1735&gt;=in_marketplace_from,d_hz_fd*G1735,0)*in_fd_ticket*in_fd_comm</f>
        <v/>
      </c>
      <c r="BM1735" s="40">
        <f>BM1734*(1-IF(B1734&gt;=in_marketplace_from,d_hz_recharge*G1734,0))</f>
        <v/>
      </c>
      <c r="BN1735" s="40">
        <f>BN1734*d_rho_recharge+BM1735*IF(B1735&gt;=in_marketplace_from,d_hz_recharge*G1735,0)</f>
        <v/>
      </c>
      <c r="BO1735" s="14">
        <f>F1735*BN1735*in_recharge_ticket*in_recharge_comm/12</f>
        <v/>
      </c>
      <c r="BP1735" s="40">
        <f>BP1734*(1-IF(B1734&gt;=in_marketplace_from,d_hz_bills*G1734,0))</f>
        <v/>
      </c>
      <c r="BQ1735" s="40">
        <f>BQ1734*d_rho_bills+BP1735*IF(B1735&gt;=in_marketplace_from,d_hz_bills*G1735,0)</f>
        <v/>
      </c>
      <c r="BR1735" s="14">
        <f>F1735*BQ1735*in_bills_ticket*in_bills_comm/12</f>
        <v/>
      </c>
      <c r="BS1735" s="40">
        <f>BS1734*(1-IF(B1734&gt;=in_marketplace_from,d_hz_loan_gold*G1734,0))</f>
        <v/>
      </c>
      <c r="BT1735" s="14">
        <f>F1735*BS1735*IF(B1735&gt;=in_marketplace_from,d_hz_loan_gold*G1735,0)*in_loan_gold_ticket*in_loan_gold_comm</f>
        <v/>
      </c>
      <c r="BU1735" s="40">
        <f>BU1734*(1-IF(B1734&gt;=in_marketplace_from,d_hz_loan_cd*G1734,0))</f>
        <v/>
      </c>
      <c r="BV1735" s="14">
        <f>F1735*BU1735*IF(B1735&gt;=in_marketplace_from,d_hz_loan_cd*G1735,0)*in_loan_cd_ticket*in_loan_cd_comm</f>
        <v/>
      </c>
      <c r="BW1735" s="40">
        <f>BW1734*(1-IF(B1734&gt;=in_marketplace_from,d_hz_loan_vehicle*G1734,0))</f>
        <v/>
      </c>
      <c r="BX1735" s="14">
        <f>F1735*BW1735*IF(B1735&gt;=in_marketplace_from,d_hz_loan_vehicle*G1735,0)*in_loan_vehicle_ticket*in_loan_vehicle_comm</f>
        <v/>
      </c>
      <c r="BY1735" s="40">
        <f>BY1734*(1-IF(B1734&gt;=in_marketplace_from,d_hz_loan_home*G1734,0)*BZ1734)</f>
        <v/>
      </c>
      <c r="BZ1735" s="11">
        <f>MIN(in_approval_cap,in_loan_home_approval*INDEX('Age profile'!$O$2:$O$61,B1735)*(1+in_approval_growth)^(D1735-1))</f>
        <v/>
      </c>
      <c r="CA1735" s="14">
        <f>F1735*BY1735*IF(B1735&gt;=in_marketplace_from,d_hz_loan_home*G1735,0)*BZ1735*in_loan_home_ticket*in_loan_home_comm</f>
        <v/>
      </c>
      <c r="CB1735" s="40">
        <f>CB1734*(1-IF(B1734&gt;=in_marketplace_from,d_hz_loan_lap*G1734,0)*CC1734)</f>
        <v/>
      </c>
      <c r="CC1735" s="11">
        <f>MIN(in_approval_cap,in_loan_lap_approval*INDEX('Age profile'!$O$2:$O$61,B1735)*(1+in_approval_growth)^(D1735-1))</f>
        <v/>
      </c>
      <c r="CD1735" s="14">
        <f>F1735*CB1735*IF(B1735&gt;=in_marketplace_from,d_hz_loan_lap*G1735,0)*CC1735*in_loan_lap_ticket*in_loan_lap_comm</f>
        <v/>
      </c>
      <c r="CE1735" s="14">
        <f>AA1735+AB1735+AC1735+AD1735+AG1735+AJ1735+AM1735+AP1735+AS1735+AU1735+AX1735+BB1735+BE1735+BG1735+BJ1735+BL1735+BO1735+BR1735+BT1735+BV1735+BX1735+CA1735+CD1735</f>
        <v/>
      </c>
    </row>
    <row r="1736">
      <c r="A1736" s="39" t="n">
        <v>47</v>
      </c>
      <c r="B1736" s="39" t="n">
        <v>10</v>
      </c>
      <c r="C1736" s="39">
        <f>A1736+B1736-1</f>
        <v/>
      </c>
      <c r="D1736" s="39">
        <f>INT((C1736-1)/12)+1</f>
        <v/>
      </c>
      <c r="E1736" s="44">
        <f>INDEX(Monthly!$B$2:$B$61,A1736)</f>
        <v/>
      </c>
      <c r="F1736" s="44">
        <f>E1736*INDEX('Age profile'!$B$2:$B$61,B1736)</f>
        <v/>
      </c>
      <c r="G1736" s="45">
        <f>MIN(in_takeup_cap,INDEX('Age profile'!$N$2:$N$61,B1736)*(1+in_takeup_growth)^(D1736-1))</f>
        <v/>
      </c>
      <c r="H1736" s="11">
        <f>MIN(in_approval_cap,in_approved_first*INDEX('Age profile'!$O$2:$O$61,B1736)*(1+in_approval_growth)^(D1736-1))</f>
        <v/>
      </c>
      <c r="I1736" s="45">
        <f>G1736*MIN(in_takeup_cap,INDEX('Age profile'!$O$2:$O$61,B1736)*(1+in_approval_growth)^(D1736-1))</f>
        <v/>
      </c>
      <c r="J1736" s="40">
        <f>(J1735-L1735)*F1736/F1735</f>
        <v/>
      </c>
      <c r="K1736" s="40">
        <f>(K1735-M1735)*F1736/F1735+SUMIFS(O1727:O1735,B1727:B1735,B1736-1-d_T)*F1736</f>
        <v/>
      </c>
      <c r="L1736" s="40">
        <f>IF(B1736&gt;=in_marketplace_from,J1736*d_hz*G1736*in_eligible*H1736,0)</f>
        <v/>
      </c>
      <c r="M1736" s="40">
        <f>IF(B1736&gt;=in_marketplace_from,K1736*d_hz*G1736*in_eligible*in_approved_repeat,0)</f>
        <v/>
      </c>
      <c r="N1736" s="40">
        <f>L1736+M1736</f>
        <v/>
      </c>
      <c r="O1736" s="46">
        <f>N1736/F1736</f>
        <v/>
      </c>
      <c r="P1736" s="40">
        <f>F1736-J1736-K1736</f>
        <v/>
      </c>
      <c r="Q1736" s="40">
        <f>IF(B1736&gt;=in_marketplace_from,(J1736+K1736)*d_hz*G1736,0)</f>
        <v/>
      </c>
      <c r="R1736" s="40">
        <f>SUMIFS(N1727:N1740,B1727:B1740,"&gt;="&amp;(B1736-d_T),B1727:B1740,"&lt;="&amp;(B1736-1))</f>
        <v/>
      </c>
      <c r="S1736" s="46">
        <f>(1-d_u)*S1735+IF(d_T&gt;in_topup_lag,SUMIFS(O1727:O1740,B1727:B1740,B1736-in_topup_lag)-d_udrop*SUMIFS(O1727:O1740,B1727:B1740,B1736-d_T),0)</f>
        <v/>
      </c>
      <c r="T1736" s="40">
        <f>F1736*d_u*S1736</f>
        <v/>
      </c>
      <c r="U1736" s="9">
        <f>L1736*in_ticket+M1736*d_rep_ticket</f>
        <v/>
      </c>
      <c r="V1736" s="9">
        <f>U1736+T1736*d_topup_amt</f>
        <v/>
      </c>
      <c r="W1736" s="40">
        <f>N1736+T1736*d_topup_ratio</f>
        <v/>
      </c>
      <c r="X1736" s="40">
        <f>SUMIFS(W1727:W1740,B1727:B1740,B1736-in_dpd_lag)*d_cured</f>
        <v/>
      </c>
      <c r="Y1736" s="40">
        <f>SUMIFS(W1727:W1740,B1727:B1740,B1736-in_rec_lag)*d_recd</f>
        <v/>
      </c>
      <c r="Z1736" s="40">
        <f>IF(AND(B1736&gt;=in_marketplace_from,B1736&lt;in_marketplace_from+in_card_months),in_card_share/in_card_months*F1736*I1736,IF(AND(B1736&gt;=in_marketplace_from+in_card_months,B1736&lt;in_marketplace_from+2*in_card_months),in_card_share*d_card_rem/in_card_months*F1736*MIN(in_takeup_cap,(1+in_takeup_growth)^(D1736-1))*MIN(in_takeup_cap,(1+in_approval_growth)^(D1736-1)),0))</f>
        <v/>
      </c>
      <c r="AA1736" s="14">
        <f>V1736*in_fee*(1-in_taken_back)</f>
        <v/>
      </c>
      <c r="AB1736" s="14">
        <f>SUMIFS(W1727:W1740,B1727:B1740,B1736-in_dpd_lag)*d_dpd</f>
        <v/>
      </c>
      <c r="AC1736" s="14">
        <f>SUMIFS(W1727:W1740,B1727:B1740,B1736-in_rec_lag)*d_rec</f>
        <v/>
      </c>
      <c r="AD1736" s="14">
        <f>Z1736*in_card_fee</f>
        <v/>
      </c>
      <c r="AE1736" s="40">
        <f>AE1735*(1-IF(B1735&gt;=in_marketplace_from,d_hz_hlth_small*G1735,0))</f>
        <v/>
      </c>
      <c r="AF1736" s="46">
        <f>AE1736*IF(B1736&gt;=in_marketplace_from,d_hz_hlth_small*G1736,0)</f>
        <v/>
      </c>
      <c r="AG1736" s="14">
        <f>F1736*AF1736*in_hlth_small_ticket*in_hlth_small_comm*in_ins_partner_share+F1736*in_hlth_small_ticket*in_hlth_small_renew_comm*in_ins_partner_share*(in_hlth_small_renew^1*SUMIFS(AF1727:AF1740,B1727:B1740,B1736-12)+in_hlth_small_renew^2*SUMIFS(AF1727:AF1740,B1727:B1740,B1736-24)+in_hlth_small_renew^3*SUMIFS(AF1727:AF1740,B1727:B1740,B1736-36)+in_hlth_small_renew^4*SUMIFS(AF1727:AF1740,B1727:B1740,B1736-48))</f>
        <v/>
      </c>
      <c r="AH1736" s="40">
        <f>AH1735*(1-IF(B1735&gt;=in_marketplace_from,d_hz_hlth_family*G1735,0))</f>
        <v/>
      </c>
      <c r="AI1736" s="46">
        <f>AH1736*IF(B1736&gt;=in_marketplace_from,d_hz_hlth_family*G1736,0)</f>
        <v/>
      </c>
      <c r="AJ1736" s="14">
        <f>F1736*AI1736*in_hlth_family_ticket*in_hlth_family_comm*in_ins_partner_share+F1736*in_hlth_family_ticket*in_hlth_family_renew_comm*in_ins_partner_share*(in_hlth_family_renew^1*SUMIFS(AI1727:AI1740,B1727:B1740,B1736-12)+in_hlth_family_renew^2*SUMIFS(AI1727:AI1740,B1727:B1740,B1736-24)+in_hlth_family_renew^3*SUMIFS(AI1727:AI1740,B1727:B1740,B1736-36)+in_hlth_family_renew^4*SUMIFS(AI1727:AI1740,B1727:B1740,B1736-48))</f>
        <v/>
      </c>
      <c r="AK1736" s="40">
        <f>AK1735*(1-IF(B1735&gt;=in_marketplace_from,d_hz_life_term*G1735,0))</f>
        <v/>
      </c>
      <c r="AL1736" s="46">
        <f>AK1736*IF(B1736&gt;=in_marketplace_from,d_hz_life_term*G1736,0)</f>
        <v/>
      </c>
      <c r="AM1736" s="14">
        <f>F1736*AL1736*in_life_term_ticket*in_life_term_comm*in_ins_partner_share+F1736*in_life_term_ticket*in_life_term_renew_comm*in_ins_partner_share*(in_life_term_renew^1*SUMIFS(AL1727:AL1740,B1727:B1740,B1736-12)+in_life_term_renew^2*SUMIFS(AL1727:AL1740,B1727:B1740,B1736-24)+in_life_term_renew^3*SUMIFS(AL1727:AL1740,B1727:B1740,B1736-36)+in_life_term_renew^4*SUMIFS(AL1727:AL1740,B1727:B1740,B1736-48))</f>
        <v/>
      </c>
      <c r="AN1736" s="40">
        <f>AN1735*(1-IF(B1735&gt;=in_marketplace_from,d_hz_accident*G1735,0))</f>
        <v/>
      </c>
      <c r="AO1736" s="46">
        <f>AN1736*IF(B1736&gt;=in_marketplace_from,d_hz_accident*G1736,0)</f>
        <v/>
      </c>
      <c r="AP1736" s="14">
        <f>F1736*AO1736*in_accident_ticket*in_accident_comm*in_ins_partner_share+F1736*in_accident_ticket*in_accident_renew_comm*in_ins_partner_share*(in_accident_renew^1*SUMIFS(AO1727:AO1740,B1727:B1740,B1736-12)+in_accident_renew^2*SUMIFS(AO1727:AO1740,B1727:B1740,B1736-24)+in_accident_renew^3*SUMIFS(AO1727:AO1740,B1727:B1740,B1736-36)+in_accident_renew^4*SUMIFS(AO1727:AO1740,B1727:B1740,B1736-48))</f>
        <v/>
      </c>
      <c r="AQ1736" s="40">
        <f>AQ1735*(1-IF(B1735&gt;=in_marketplace_from,d_hz_two_wheeler*G1735,0))</f>
        <v/>
      </c>
      <c r="AR1736" s="46">
        <f>AQ1736*IF(B1736&gt;=in_marketplace_from,d_hz_two_wheeler*G1736,0)</f>
        <v/>
      </c>
      <c r="AS1736" s="14">
        <f>F1736*AR1736*in_two_wheeler_ticket*in_two_wheeler_comm*in_ins_partner_share+F1736*in_two_wheeler_ticket*in_two_wheeler_comm*in_ins_partner_share*(in_two_wheeler_renew^1*SUMIFS(AR1727:AR1740,B1727:B1740,B1736-12)+in_two_wheeler_renew^2*SUMIFS(AR1727:AR1740,B1727:B1740,B1736-24)+in_two_wheeler_renew^3*SUMIFS(AR1727:AR1740,B1727:B1740,B1736-36)+in_two_wheeler_renew^4*SUMIFS(AR1727:AR1740,B1727:B1740,B1736-48))</f>
        <v/>
      </c>
      <c r="AT1736" s="40">
        <f>AT1735*(1-IF(B1735&gt;=in_marketplace_from,d_hz_device*G1735,0))</f>
        <v/>
      </c>
      <c r="AU1736" s="14">
        <f>F1736*AT1736*IF(B1736&gt;=in_marketplace_from,d_hz_device*G1736,0)*in_device_ticket*in_device_comm*in_ins_partner_share</f>
        <v/>
      </c>
      <c r="AV1736" s="40">
        <f>AV1735*(1-IF(B1735&gt;=in_marketplace_from,d_hz_shop*G1735,0))</f>
        <v/>
      </c>
      <c r="AW1736" s="46">
        <f>AV1736*IF(B1736&gt;=in_marketplace_from,d_hz_shop*G1736,0)</f>
        <v/>
      </c>
      <c r="AX1736" s="14">
        <f>F1736*AW1736*in_shop_ticket*in_shop_comm*in_ins_partner_share+F1736*in_shop_ticket*in_shop_renew_comm*in_ins_partner_share*(in_shop_renew^1*SUMIFS(AW1727:AW1740,B1727:B1740,B1736-12)+in_shop_renew^2*SUMIFS(AW1727:AW1740,B1727:B1740,B1736-24)+in_shop_renew^3*SUMIFS(AW1727:AW1740,B1727:B1740,B1736-36)+in_shop_renew^4*SUMIFS(AW1727:AW1740,B1727:B1740,B1736-48))</f>
        <v/>
      </c>
      <c r="AY1736" s="40">
        <f>AY1735*(1-IF(B1735&gt;=in_marketplace_from,d_hz_sip*G1735,0))</f>
        <v/>
      </c>
      <c r="AZ1736" s="40">
        <f>AZ1735*d_rho_sip+AY1736*IF(B1736&gt;=in_marketplace_from,d_hz_sip*G1736,0)</f>
        <v/>
      </c>
      <c r="BA1736" s="40">
        <f>d_rho_sip*(BA1735+AZ1735)</f>
        <v/>
      </c>
      <c r="BB1736" s="14">
        <f>F1736*in_sip_ticket*(BA1736+0.5*AZ1736)*in_sip_comm/12</f>
        <v/>
      </c>
      <c r="BC1736" s="40">
        <f>BC1735*(1-IF(B1735&gt;=in_marketplace_from,d_hz_choti*G1735,0))</f>
        <v/>
      </c>
      <c r="BD1736" s="46">
        <f>BC1736*IF(B1736&gt;=in_marketplace_from,d_hz_choti*G1736,0)</f>
        <v/>
      </c>
      <c r="BE1736" s="14">
        <f>F1736*SUMIFS(BD1727:BD1740,B1727:B1740,B1736-in_choti_months)*in_choti_renew*in_choti_ticket</f>
        <v/>
      </c>
      <c r="BF1736" s="40">
        <f>BF1735*(1-IF(B1735&gt;=in_marketplace_from,d_hz_nps*G1735,0))</f>
        <v/>
      </c>
      <c r="BG1736" s="14">
        <f>F1736*BF1736*IF(B1736&gt;=in_marketplace_from,d_hz_nps*G1736,0)*in_nps_ticket*in_nps_comm</f>
        <v/>
      </c>
      <c r="BH1736" s="40">
        <f>BH1735*(1-IF(B1735&gt;=in_marketplace_from,d_hz_gold*G1735,0))</f>
        <v/>
      </c>
      <c r="BI1736" s="40">
        <f>BI1735*d_rho_gold+BH1736*IF(B1736&gt;=in_marketplace_from,d_hz_gold*G1736,0)</f>
        <v/>
      </c>
      <c r="BJ1736" s="14">
        <f>F1736*BI1736*in_gold_ticket*in_gold_comm</f>
        <v/>
      </c>
      <c r="BK1736" s="40">
        <f>BK1735*(1-IF(B1735&gt;=in_marketplace_from,d_hz_fd*G1735,0))</f>
        <v/>
      </c>
      <c r="BL1736" s="14">
        <f>F1736*BK1736*IF(B1736&gt;=in_marketplace_from,d_hz_fd*G1736,0)*in_fd_ticket*in_fd_comm</f>
        <v/>
      </c>
      <c r="BM1736" s="40">
        <f>BM1735*(1-IF(B1735&gt;=in_marketplace_from,d_hz_recharge*G1735,0))</f>
        <v/>
      </c>
      <c r="BN1736" s="40">
        <f>BN1735*d_rho_recharge+BM1736*IF(B1736&gt;=in_marketplace_from,d_hz_recharge*G1736,0)</f>
        <v/>
      </c>
      <c r="BO1736" s="14">
        <f>F1736*BN1736*in_recharge_ticket*in_recharge_comm/12</f>
        <v/>
      </c>
      <c r="BP1736" s="40">
        <f>BP1735*(1-IF(B1735&gt;=in_marketplace_from,d_hz_bills*G1735,0))</f>
        <v/>
      </c>
      <c r="BQ1736" s="40">
        <f>BQ1735*d_rho_bills+BP1736*IF(B1736&gt;=in_marketplace_from,d_hz_bills*G1736,0)</f>
        <v/>
      </c>
      <c r="BR1736" s="14">
        <f>F1736*BQ1736*in_bills_ticket*in_bills_comm/12</f>
        <v/>
      </c>
      <c r="BS1736" s="40">
        <f>BS1735*(1-IF(B1735&gt;=in_marketplace_from,d_hz_loan_gold*G1735,0))</f>
        <v/>
      </c>
      <c r="BT1736" s="14">
        <f>F1736*BS1736*IF(B1736&gt;=in_marketplace_from,d_hz_loan_gold*G1736,0)*in_loan_gold_ticket*in_loan_gold_comm</f>
        <v/>
      </c>
      <c r="BU1736" s="40">
        <f>BU1735*(1-IF(B1735&gt;=in_marketplace_from,d_hz_loan_cd*G1735,0))</f>
        <v/>
      </c>
      <c r="BV1736" s="14">
        <f>F1736*BU1736*IF(B1736&gt;=in_marketplace_from,d_hz_loan_cd*G1736,0)*in_loan_cd_ticket*in_loan_cd_comm</f>
        <v/>
      </c>
      <c r="BW1736" s="40">
        <f>BW1735*(1-IF(B1735&gt;=in_marketplace_from,d_hz_loan_vehicle*G1735,0))</f>
        <v/>
      </c>
      <c r="BX1736" s="14">
        <f>F1736*BW1736*IF(B1736&gt;=in_marketplace_from,d_hz_loan_vehicle*G1736,0)*in_loan_vehicle_ticket*in_loan_vehicle_comm</f>
        <v/>
      </c>
      <c r="BY1736" s="40">
        <f>BY1735*(1-IF(B1735&gt;=in_marketplace_from,d_hz_loan_home*G1735,0)*BZ1735)</f>
        <v/>
      </c>
      <c r="BZ1736" s="11">
        <f>MIN(in_approval_cap,in_loan_home_approval*INDEX('Age profile'!$O$2:$O$61,B1736)*(1+in_approval_growth)^(D1736-1))</f>
        <v/>
      </c>
      <c r="CA1736" s="14">
        <f>F1736*BY1736*IF(B1736&gt;=in_marketplace_from,d_hz_loan_home*G1736,0)*BZ1736*in_loan_home_ticket*in_loan_home_comm</f>
        <v/>
      </c>
      <c r="CB1736" s="40">
        <f>CB1735*(1-IF(B1735&gt;=in_marketplace_from,d_hz_loan_lap*G1735,0)*CC1735)</f>
        <v/>
      </c>
      <c r="CC1736" s="11">
        <f>MIN(in_approval_cap,in_loan_lap_approval*INDEX('Age profile'!$O$2:$O$61,B1736)*(1+in_approval_growth)^(D1736-1))</f>
        <v/>
      </c>
      <c r="CD1736" s="14">
        <f>F1736*CB1736*IF(B1736&gt;=in_marketplace_from,d_hz_loan_lap*G1736,0)*CC1736*in_loan_lap_ticket*in_loan_lap_comm</f>
        <v/>
      </c>
      <c r="CE1736" s="14">
        <f>AA1736+AB1736+AC1736+AD1736+AG1736+AJ1736+AM1736+AP1736+AS1736+AU1736+AX1736+BB1736+BE1736+BG1736+BJ1736+BL1736+BO1736+BR1736+BT1736+BV1736+BX1736+CA1736+CD1736</f>
        <v/>
      </c>
    </row>
    <row r="1737">
      <c r="A1737" s="39" t="n">
        <v>47</v>
      </c>
      <c r="B1737" s="39" t="n">
        <v>11</v>
      </c>
      <c r="C1737" s="39">
        <f>A1737+B1737-1</f>
        <v/>
      </c>
      <c r="D1737" s="39">
        <f>INT((C1737-1)/12)+1</f>
        <v/>
      </c>
      <c r="E1737" s="44">
        <f>INDEX(Monthly!$B$2:$B$61,A1737)</f>
        <v/>
      </c>
      <c r="F1737" s="44">
        <f>E1737*INDEX('Age profile'!$B$2:$B$61,B1737)</f>
        <v/>
      </c>
      <c r="G1737" s="45">
        <f>MIN(in_takeup_cap,INDEX('Age profile'!$N$2:$N$61,B1737)*(1+in_takeup_growth)^(D1737-1))</f>
        <v/>
      </c>
      <c r="H1737" s="11">
        <f>MIN(in_approval_cap,in_approved_first*INDEX('Age profile'!$O$2:$O$61,B1737)*(1+in_approval_growth)^(D1737-1))</f>
        <v/>
      </c>
      <c r="I1737" s="45">
        <f>G1737*MIN(in_takeup_cap,INDEX('Age profile'!$O$2:$O$61,B1737)*(1+in_approval_growth)^(D1737-1))</f>
        <v/>
      </c>
      <c r="J1737" s="40">
        <f>(J1736-L1736)*F1737/F1736</f>
        <v/>
      </c>
      <c r="K1737" s="40">
        <f>(K1736-M1736)*F1737/F1736+SUMIFS(O1727:O1736,B1727:B1736,B1737-1-d_T)*F1737</f>
        <v/>
      </c>
      <c r="L1737" s="40">
        <f>IF(B1737&gt;=in_marketplace_from,J1737*d_hz*G1737*in_eligible*H1737,0)</f>
        <v/>
      </c>
      <c r="M1737" s="40">
        <f>IF(B1737&gt;=in_marketplace_from,K1737*d_hz*G1737*in_eligible*in_approved_repeat,0)</f>
        <v/>
      </c>
      <c r="N1737" s="40">
        <f>L1737+M1737</f>
        <v/>
      </c>
      <c r="O1737" s="46">
        <f>N1737/F1737</f>
        <v/>
      </c>
      <c r="P1737" s="40">
        <f>F1737-J1737-K1737</f>
        <v/>
      </c>
      <c r="Q1737" s="40">
        <f>IF(B1737&gt;=in_marketplace_from,(J1737+K1737)*d_hz*G1737,0)</f>
        <v/>
      </c>
      <c r="R1737" s="40">
        <f>SUMIFS(N1727:N1740,B1727:B1740,"&gt;="&amp;(B1737-d_T),B1727:B1740,"&lt;="&amp;(B1737-1))</f>
        <v/>
      </c>
      <c r="S1737" s="46">
        <f>(1-d_u)*S1736+IF(d_T&gt;in_topup_lag,SUMIFS(O1727:O1740,B1727:B1740,B1737-in_topup_lag)-d_udrop*SUMIFS(O1727:O1740,B1727:B1740,B1737-d_T),0)</f>
        <v/>
      </c>
      <c r="T1737" s="40">
        <f>F1737*d_u*S1737</f>
        <v/>
      </c>
      <c r="U1737" s="9">
        <f>L1737*in_ticket+M1737*d_rep_ticket</f>
        <v/>
      </c>
      <c r="V1737" s="9">
        <f>U1737+T1737*d_topup_amt</f>
        <v/>
      </c>
      <c r="W1737" s="40">
        <f>N1737+T1737*d_topup_ratio</f>
        <v/>
      </c>
      <c r="X1737" s="40">
        <f>SUMIFS(W1727:W1740,B1727:B1740,B1737-in_dpd_lag)*d_cured</f>
        <v/>
      </c>
      <c r="Y1737" s="40">
        <f>SUMIFS(W1727:W1740,B1727:B1740,B1737-in_rec_lag)*d_recd</f>
        <v/>
      </c>
      <c r="Z1737" s="40">
        <f>IF(AND(B1737&gt;=in_marketplace_from,B1737&lt;in_marketplace_from+in_card_months),in_card_share/in_card_months*F1737*I1737,IF(AND(B1737&gt;=in_marketplace_from+in_card_months,B1737&lt;in_marketplace_from+2*in_card_months),in_card_share*d_card_rem/in_card_months*F1737*MIN(in_takeup_cap,(1+in_takeup_growth)^(D1737-1))*MIN(in_takeup_cap,(1+in_approval_growth)^(D1737-1)),0))</f>
        <v/>
      </c>
      <c r="AA1737" s="14">
        <f>V1737*in_fee*(1-in_taken_back)</f>
        <v/>
      </c>
      <c r="AB1737" s="14">
        <f>SUMIFS(W1727:W1740,B1727:B1740,B1737-in_dpd_lag)*d_dpd</f>
        <v/>
      </c>
      <c r="AC1737" s="14">
        <f>SUMIFS(W1727:W1740,B1727:B1740,B1737-in_rec_lag)*d_rec</f>
        <v/>
      </c>
      <c r="AD1737" s="14">
        <f>Z1737*in_card_fee</f>
        <v/>
      </c>
      <c r="AE1737" s="40">
        <f>AE1736*(1-IF(B1736&gt;=in_marketplace_from,d_hz_hlth_small*G1736,0))</f>
        <v/>
      </c>
      <c r="AF1737" s="46">
        <f>AE1737*IF(B1737&gt;=in_marketplace_from,d_hz_hlth_small*G1737,0)</f>
        <v/>
      </c>
      <c r="AG1737" s="14">
        <f>F1737*AF1737*in_hlth_small_ticket*in_hlth_small_comm*in_ins_partner_share+F1737*in_hlth_small_ticket*in_hlth_small_renew_comm*in_ins_partner_share*(in_hlth_small_renew^1*SUMIFS(AF1727:AF1740,B1727:B1740,B1737-12)+in_hlth_small_renew^2*SUMIFS(AF1727:AF1740,B1727:B1740,B1737-24)+in_hlth_small_renew^3*SUMIFS(AF1727:AF1740,B1727:B1740,B1737-36)+in_hlth_small_renew^4*SUMIFS(AF1727:AF1740,B1727:B1740,B1737-48))</f>
        <v/>
      </c>
      <c r="AH1737" s="40">
        <f>AH1736*(1-IF(B1736&gt;=in_marketplace_from,d_hz_hlth_family*G1736,0))</f>
        <v/>
      </c>
      <c r="AI1737" s="46">
        <f>AH1737*IF(B1737&gt;=in_marketplace_from,d_hz_hlth_family*G1737,0)</f>
        <v/>
      </c>
      <c r="AJ1737" s="14">
        <f>F1737*AI1737*in_hlth_family_ticket*in_hlth_family_comm*in_ins_partner_share+F1737*in_hlth_family_ticket*in_hlth_family_renew_comm*in_ins_partner_share*(in_hlth_family_renew^1*SUMIFS(AI1727:AI1740,B1727:B1740,B1737-12)+in_hlth_family_renew^2*SUMIFS(AI1727:AI1740,B1727:B1740,B1737-24)+in_hlth_family_renew^3*SUMIFS(AI1727:AI1740,B1727:B1740,B1737-36)+in_hlth_family_renew^4*SUMIFS(AI1727:AI1740,B1727:B1740,B1737-48))</f>
        <v/>
      </c>
      <c r="AK1737" s="40">
        <f>AK1736*(1-IF(B1736&gt;=in_marketplace_from,d_hz_life_term*G1736,0))</f>
        <v/>
      </c>
      <c r="AL1737" s="46">
        <f>AK1737*IF(B1737&gt;=in_marketplace_from,d_hz_life_term*G1737,0)</f>
        <v/>
      </c>
      <c r="AM1737" s="14">
        <f>F1737*AL1737*in_life_term_ticket*in_life_term_comm*in_ins_partner_share+F1737*in_life_term_ticket*in_life_term_renew_comm*in_ins_partner_share*(in_life_term_renew^1*SUMIFS(AL1727:AL1740,B1727:B1740,B1737-12)+in_life_term_renew^2*SUMIFS(AL1727:AL1740,B1727:B1740,B1737-24)+in_life_term_renew^3*SUMIFS(AL1727:AL1740,B1727:B1740,B1737-36)+in_life_term_renew^4*SUMIFS(AL1727:AL1740,B1727:B1740,B1737-48))</f>
        <v/>
      </c>
      <c r="AN1737" s="40">
        <f>AN1736*(1-IF(B1736&gt;=in_marketplace_from,d_hz_accident*G1736,0))</f>
        <v/>
      </c>
      <c r="AO1737" s="46">
        <f>AN1737*IF(B1737&gt;=in_marketplace_from,d_hz_accident*G1737,0)</f>
        <v/>
      </c>
      <c r="AP1737" s="14">
        <f>F1737*AO1737*in_accident_ticket*in_accident_comm*in_ins_partner_share+F1737*in_accident_ticket*in_accident_renew_comm*in_ins_partner_share*(in_accident_renew^1*SUMIFS(AO1727:AO1740,B1727:B1740,B1737-12)+in_accident_renew^2*SUMIFS(AO1727:AO1740,B1727:B1740,B1737-24)+in_accident_renew^3*SUMIFS(AO1727:AO1740,B1727:B1740,B1737-36)+in_accident_renew^4*SUMIFS(AO1727:AO1740,B1727:B1740,B1737-48))</f>
        <v/>
      </c>
      <c r="AQ1737" s="40">
        <f>AQ1736*(1-IF(B1736&gt;=in_marketplace_from,d_hz_two_wheeler*G1736,0))</f>
        <v/>
      </c>
      <c r="AR1737" s="46">
        <f>AQ1737*IF(B1737&gt;=in_marketplace_from,d_hz_two_wheeler*G1737,0)</f>
        <v/>
      </c>
      <c r="AS1737" s="14">
        <f>F1737*AR1737*in_two_wheeler_ticket*in_two_wheeler_comm*in_ins_partner_share+F1737*in_two_wheeler_ticket*in_two_wheeler_comm*in_ins_partner_share*(in_two_wheeler_renew^1*SUMIFS(AR1727:AR1740,B1727:B1740,B1737-12)+in_two_wheeler_renew^2*SUMIFS(AR1727:AR1740,B1727:B1740,B1737-24)+in_two_wheeler_renew^3*SUMIFS(AR1727:AR1740,B1727:B1740,B1737-36)+in_two_wheeler_renew^4*SUMIFS(AR1727:AR1740,B1727:B1740,B1737-48))</f>
        <v/>
      </c>
      <c r="AT1737" s="40">
        <f>AT1736*(1-IF(B1736&gt;=in_marketplace_from,d_hz_device*G1736,0))</f>
        <v/>
      </c>
      <c r="AU1737" s="14">
        <f>F1737*AT1737*IF(B1737&gt;=in_marketplace_from,d_hz_device*G1737,0)*in_device_ticket*in_device_comm*in_ins_partner_share</f>
        <v/>
      </c>
      <c r="AV1737" s="40">
        <f>AV1736*(1-IF(B1736&gt;=in_marketplace_from,d_hz_shop*G1736,0))</f>
        <v/>
      </c>
      <c r="AW1737" s="46">
        <f>AV1737*IF(B1737&gt;=in_marketplace_from,d_hz_shop*G1737,0)</f>
        <v/>
      </c>
      <c r="AX1737" s="14">
        <f>F1737*AW1737*in_shop_ticket*in_shop_comm*in_ins_partner_share+F1737*in_shop_ticket*in_shop_renew_comm*in_ins_partner_share*(in_shop_renew^1*SUMIFS(AW1727:AW1740,B1727:B1740,B1737-12)+in_shop_renew^2*SUMIFS(AW1727:AW1740,B1727:B1740,B1737-24)+in_shop_renew^3*SUMIFS(AW1727:AW1740,B1727:B1740,B1737-36)+in_shop_renew^4*SUMIFS(AW1727:AW1740,B1727:B1740,B1737-48))</f>
        <v/>
      </c>
      <c r="AY1737" s="40">
        <f>AY1736*(1-IF(B1736&gt;=in_marketplace_from,d_hz_sip*G1736,0))</f>
        <v/>
      </c>
      <c r="AZ1737" s="40">
        <f>AZ1736*d_rho_sip+AY1737*IF(B1737&gt;=in_marketplace_from,d_hz_sip*G1737,0)</f>
        <v/>
      </c>
      <c r="BA1737" s="40">
        <f>d_rho_sip*(BA1736+AZ1736)</f>
        <v/>
      </c>
      <c r="BB1737" s="14">
        <f>F1737*in_sip_ticket*(BA1737+0.5*AZ1737)*in_sip_comm/12</f>
        <v/>
      </c>
      <c r="BC1737" s="40">
        <f>BC1736*(1-IF(B1736&gt;=in_marketplace_from,d_hz_choti*G1736,0))</f>
        <v/>
      </c>
      <c r="BD1737" s="46">
        <f>BC1737*IF(B1737&gt;=in_marketplace_from,d_hz_choti*G1737,0)</f>
        <v/>
      </c>
      <c r="BE1737" s="14">
        <f>F1737*SUMIFS(BD1727:BD1740,B1727:B1740,B1737-in_choti_months)*in_choti_renew*in_choti_ticket</f>
        <v/>
      </c>
      <c r="BF1737" s="40">
        <f>BF1736*(1-IF(B1736&gt;=in_marketplace_from,d_hz_nps*G1736,0))</f>
        <v/>
      </c>
      <c r="BG1737" s="14">
        <f>F1737*BF1737*IF(B1737&gt;=in_marketplace_from,d_hz_nps*G1737,0)*in_nps_ticket*in_nps_comm</f>
        <v/>
      </c>
      <c r="BH1737" s="40">
        <f>BH1736*(1-IF(B1736&gt;=in_marketplace_from,d_hz_gold*G1736,0))</f>
        <v/>
      </c>
      <c r="BI1737" s="40">
        <f>BI1736*d_rho_gold+BH1737*IF(B1737&gt;=in_marketplace_from,d_hz_gold*G1737,0)</f>
        <v/>
      </c>
      <c r="BJ1737" s="14">
        <f>F1737*BI1737*in_gold_ticket*in_gold_comm</f>
        <v/>
      </c>
      <c r="BK1737" s="40">
        <f>BK1736*(1-IF(B1736&gt;=in_marketplace_from,d_hz_fd*G1736,0))</f>
        <v/>
      </c>
      <c r="BL1737" s="14">
        <f>F1737*BK1737*IF(B1737&gt;=in_marketplace_from,d_hz_fd*G1737,0)*in_fd_ticket*in_fd_comm</f>
        <v/>
      </c>
      <c r="BM1737" s="40">
        <f>BM1736*(1-IF(B1736&gt;=in_marketplace_from,d_hz_recharge*G1736,0))</f>
        <v/>
      </c>
      <c r="BN1737" s="40">
        <f>BN1736*d_rho_recharge+BM1737*IF(B1737&gt;=in_marketplace_from,d_hz_recharge*G1737,0)</f>
        <v/>
      </c>
      <c r="BO1737" s="14">
        <f>F1737*BN1737*in_recharge_ticket*in_recharge_comm/12</f>
        <v/>
      </c>
      <c r="BP1737" s="40">
        <f>BP1736*(1-IF(B1736&gt;=in_marketplace_from,d_hz_bills*G1736,0))</f>
        <v/>
      </c>
      <c r="BQ1737" s="40">
        <f>BQ1736*d_rho_bills+BP1737*IF(B1737&gt;=in_marketplace_from,d_hz_bills*G1737,0)</f>
        <v/>
      </c>
      <c r="BR1737" s="14">
        <f>F1737*BQ1737*in_bills_ticket*in_bills_comm/12</f>
        <v/>
      </c>
      <c r="BS1737" s="40">
        <f>BS1736*(1-IF(B1736&gt;=in_marketplace_from,d_hz_loan_gold*G1736,0))</f>
        <v/>
      </c>
      <c r="BT1737" s="14">
        <f>F1737*BS1737*IF(B1737&gt;=in_marketplace_from,d_hz_loan_gold*G1737,0)*in_loan_gold_ticket*in_loan_gold_comm</f>
        <v/>
      </c>
      <c r="BU1737" s="40">
        <f>BU1736*(1-IF(B1736&gt;=in_marketplace_from,d_hz_loan_cd*G1736,0))</f>
        <v/>
      </c>
      <c r="BV1737" s="14">
        <f>F1737*BU1737*IF(B1737&gt;=in_marketplace_from,d_hz_loan_cd*G1737,0)*in_loan_cd_ticket*in_loan_cd_comm</f>
        <v/>
      </c>
      <c r="BW1737" s="40">
        <f>BW1736*(1-IF(B1736&gt;=in_marketplace_from,d_hz_loan_vehicle*G1736,0))</f>
        <v/>
      </c>
      <c r="BX1737" s="14">
        <f>F1737*BW1737*IF(B1737&gt;=in_marketplace_from,d_hz_loan_vehicle*G1737,0)*in_loan_vehicle_ticket*in_loan_vehicle_comm</f>
        <v/>
      </c>
      <c r="BY1737" s="40">
        <f>BY1736*(1-IF(B1736&gt;=in_marketplace_from,d_hz_loan_home*G1736,0)*BZ1736)</f>
        <v/>
      </c>
      <c r="BZ1737" s="11">
        <f>MIN(in_approval_cap,in_loan_home_approval*INDEX('Age profile'!$O$2:$O$61,B1737)*(1+in_approval_growth)^(D1737-1))</f>
        <v/>
      </c>
      <c r="CA1737" s="14">
        <f>F1737*BY1737*IF(B1737&gt;=in_marketplace_from,d_hz_loan_home*G1737,0)*BZ1737*in_loan_home_ticket*in_loan_home_comm</f>
        <v/>
      </c>
      <c r="CB1737" s="40">
        <f>CB1736*(1-IF(B1736&gt;=in_marketplace_from,d_hz_loan_lap*G1736,0)*CC1736)</f>
        <v/>
      </c>
      <c r="CC1737" s="11">
        <f>MIN(in_approval_cap,in_loan_lap_approval*INDEX('Age profile'!$O$2:$O$61,B1737)*(1+in_approval_growth)^(D1737-1))</f>
        <v/>
      </c>
      <c r="CD1737" s="14">
        <f>F1737*CB1737*IF(B1737&gt;=in_marketplace_from,d_hz_loan_lap*G1737,0)*CC1737*in_loan_lap_ticket*in_loan_lap_comm</f>
        <v/>
      </c>
      <c r="CE1737" s="14">
        <f>AA1737+AB1737+AC1737+AD1737+AG1737+AJ1737+AM1737+AP1737+AS1737+AU1737+AX1737+BB1737+BE1737+BG1737+BJ1737+BL1737+BO1737+BR1737+BT1737+BV1737+BX1737+CA1737+CD1737</f>
        <v/>
      </c>
    </row>
    <row r="1738">
      <c r="A1738" s="39" t="n">
        <v>47</v>
      </c>
      <c r="B1738" s="39" t="n">
        <v>12</v>
      </c>
      <c r="C1738" s="39">
        <f>A1738+B1738-1</f>
        <v/>
      </c>
      <c r="D1738" s="39">
        <f>INT((C1738-1)/12)+1</f>
        <v/>
      </c>
      <c r="E1738" s="44">
        <f>INDEX(Monthly!$B$2:$B$61,A1738)</f>
        <v/>
      </c>
      <c r="F1738" s="44">
        <f>E1738*INDEX('Age profile'!$B$2:$B$61,B1738)</f>
        <v/>
      </c>
      <c r="G1738" s="45">
        <f>MIN(in_takeup_cap,INDEX('Age profile'!$N$2:$N$61,B1738)*(1+in_takeup_growth)^(D1738-1))</f>
        <v/>
      </c>
      <c r="H1738" s="11">
        <f>MIN(in_approval_cap,in_approved_first*INDEX('Age profile'!$O$2:$O$61,B1738)*(1+in_approval_growth)^(D1738-1))</f>
        <v/>
      </c>
      <c r="I1738" s="45">
        <f>G1738*MIN(in_takeup_cap,INDEX('Age profile'!$O$2:$O$61,B1738)*(1+in_approval_growth)^(D1738-1))</f>
        <v/>
      </c>
      <c r="J1738" s="40">
        <f>(J1737-L1737)*F1738/F1737</f>
        <v/>
      </c>
      <c r="K1738" s="40">
        <f>(K1737-M1737)*F1738/F1737+SUMIFS(O1727:O1737,B1727:B1737,B1738-1-d_T)*F1738</f>
        <v/>
      </c>
      <c r="L1738" s="40">
        <f>IF(B1738&gt;=in_marketplace_from,J1738*d_hz*G1738*in_eligible*H1738,0)</f>
        <v/>
      </c>
      <c r="M1738" s="40">
        <f>IF(B1738&gt;=in_marketplace_from,K1738*d_hz*G1738*in_eligible*in_approved_repeat,0)</f>
        <v/>
      </c>
      <c r="N1738" s="40">
        <f>L1738+M1738</f>
        <v/>
      </c>
      <c r="O1738" s="46">
        <f>N1738/F1738</f>
        <v/>
      </c>
      <c r="P1738" s="40">
        <f>F1738-J1738-K1738</f>
        <v/>
      </c>
      <c r="Q1738" s="40">
        <f>IF(B1738&gt;=in_marketplace_from,(J1738+K1738)*d_hz*G1738,0)</f>
        <v/>
      </c>
      <c r="R1738" s="40">
        <f>SUMIFS(N1727:N1740,B1727:B1740,"&gt;="&amp;(B1738-d_T),B1727:B1740,"&lt;="&amp;(B1738-1))</f>
        <v/>
      </c>
      <c r="S1738" s="46">
        <f>(1-d_u)*S1737+IF(d_T&gt;in_topup_lag,SUMIFS(O1727:O1740,B1727:B1740,B1738-in_topup_lag)-d_udrop*SUMIFS(O1727:O1740,B1727:B1740,B1738-d_T),0)</f>
        <v/>
      </c>
      <c r="T1738" s="40">
        <f>F1738*d_u*S1738</f>
        <v/>
      </c>
      <c r="U1738" s="9">
        <f>L1738*in_ticket+M1738*d_rep_ticket</f>
        <v/>
      </c>
      <c r="V1738" s="9">
        <f>U1738+T1738*d_topup_amt</f>
        <v/>
      </c>
      <c r="W1738" s="40">
        <f>N1738+T1738*d_topup_ratio</f>
        <v/>
      </c>
      <c r="X1738" s="40">
        <f>SUMIFS(W1727:W1740,B1727:B1740,B1738-in_dpd_lag)*d_cured</f>
        <v/>
      </c>
      <c r="Y1738" s="40">
        <f>SUMIFS(W1727:W1740,B1727:B1740,B1738-in_rec_lag)*d_recd</f>
        <v/>
      </c>
      <c r="Z1738" s="40">
        <f>IF(AND(B1738&gt;=in_marketplace_from,B1738&lt;in_marketplace_from+in_card_months),in_card_share/in_card_months*F1738*I1738,IF(AND(B1738&gt;=in_marketplace_from+in_card_months,B1738&lt;in_marketplace_from+2*in_card_months),in_card_share*d_card_rem/in_card_months*F1738*MIN(in_takeup_cap,(1+in_takeup_growth)^(D1738-1))*MIN(in_takeup_cap,(1+in_approval_growth)^(D1738-1)),0))</f>
        <v/>
      </c>
      <c r="AA1738" s="14">
        <f>V1738*in_fee*(1-in_taken_back)</f>
        <v/>
      </c>
      <c r="AB1738" s="14">
        <f>SUMIFS(W1727:W1740,B1727:B1740,B1738-in_dpd_lag)*d_dpd</f>
        <v/>
      </c>
      <c r="AC1738" s="14">
        <f>SUMIFS(W1727:W1740,B1727:B1740,B1738-in_rec_lag)*d_rec</f>
        <v/>
      </c>
      <c r="AD1738" s="14">
        <f>Z1738*in_card_fee</f>
        <v/>
      </c>
      <c r="AE1738" s="40">
        <f>AE1737*(1-IF(B1737&gt;=in_marketplace_from,d_hz_hlth_small*G1737,0))</f>
        <v/>
      </c>
      <c r="AF1738" s="46">
        <f>AE1738*IF(B1738&gt;=in_marketplace_from,d_hz_hlth_small*G1738,0)</f>
        <v/>
      </c>
      <c r="AG1738" s="14">
        <f>F1738*AF1738*in_hlth_small_ticket*in_hlth_small_comm*in_ins_partner_share+F1738*in_hlth_small_ticket*in_hlth_small_renew_comm*in_ins_partner_share*(in_hlth_small_renew^1*SUMIFS(AF1727:AF1740,B1727:B1740,B1738-12)+in_hlth_small_renew^2*SUMIFS(AF1727:AF1740,B1727:B1740,B1738-24)+in_hlth_small_renew^3*SUMIFS(AF1727:AF1740,B1727:B1740,B1738-36)+in_hlth_small_renew^4*SUMIFS(AF1727:AF1740,B1727:B1740,B1738-48))</f>
        <v/>
      </c>
      <c r="AH1738" s="40">
        <f>AH1737*(1-IF(B1737&gt;=in_marketplace_from,d_hz_hlth_family*G1737,0))</f>
        <v/>
      </c>
      <c r="AI1738" s="46">
        <f>AH1738*IF(B1738&gt;=in_marketplace_from,d_hz_hlth_family*G1738,0)</f>
        <v/>
      </c>
      <c r="AJ1738" s="14">
        <f>F1738*AI1738*in_hlth_family_ticket*in_hlth_family_comm*in_ins_partner_share+F1738*in_hlth_family_ticket*in_hlth_family_renew_comm*in_ins_partner_share*(in_hlth_family_renew^1*SUMIFS(AI1727:AI1740,B1727:B1740,B1738-12)+in_hlth_family_renew^2*SUMIFS(AI1727:AI1740,B1727:B1740,B1738-24)+in_hlth_family_renew^3*SUMIFS(AI1727:AI1740,B1727:B1740,B1738-36)+in_hlth_family_renew^4*SUMIFS(AI1727:AI1740,B1727:B1740,B1738-48))</f>
        <v/>
      </c>
      <c r="AK1738" s="40">
        <f>AK1737*(1-IF(B1737&gt;=in_marketplace_from,d_hz_life_term*G1737,0))</f>
        <v/>
      </c>
      <c r="AL1738" s="46">
        <f>AK1738*IF(B1738&gt;=in_marketplace_from,d_hz_life_term*G1738,0)</f>
        <v/>
      </c>
      <c r="AM1738" s="14">
        <f>F1738*AL1738*in_life_term_ticket*in_life_term_comm*in_ins_partner_share+F1738*in_life_term_ticket*in_life_term_renew_comm*in_ins_partner_share*(in_life_term_renew^1*SUMIFS(AL1727:AL1740,B1727:B1740,B1738-12)+in_life_term_renew^2*SUMIFS(AL1727:AL1740,B1727:B1740,B1738-24)+in_life_term_renew^3*SUMIFS(AL1727:AL1740,B1727:B1740,B1738-36)+in_life_term_renew^4*SUMIFS(AL1727:AL1740,B1727:B1740,B1738-48))</f>
        <v/>
      </c>
      <c r="AN1738" s="40">
        <f>AN1737*(1-IF(B1737&gt;=in_marketplace_from,d_hz_accident*G1737,0))</f>
        <v/>
      </c>
      <c r="AO1738" s="46">
        <f>AN1738*IF(B1738&gt;=in_marketplace_from,d_hz_accident*G1738,0)</f>
        <v/>
      </c>
      <c r="AP1738" s="14">
        <f>F1738*AO1738*in_accident_ticket*in_accident_comm*in_ins_partner_share+F1738*in_accident_ticket*in_accident_renew_comm*in_ins_partner_share*(in_accident_renew^1*SUMIFS(AO1727:AO1740,B1727:B1740,B1738-12)+in_accident_renew^2*SUMIFS(AO1727:AO1740,B1727:B1740,B1738-24)+in_accident_renew^3*SUMIFS(AO1727:AO1740,B1727:B1740,B1738-36)+in_accident_renew^4*SUMIFS(AO1727:AO1740,B1727:B1740,B1738-48))</f>
        <v/>
      </c>
      <c r="AQ1738" s="40">
        <f>AQ1737*(1-IF(B1737&gt;=in_marketplace_from,d_hz_two_wheeler*G1737,0))</f>
        <v/>
      </c>
      <c r="AR1738" s="46">
        <f>AQ1738*IF(B1738&gt;=in_marketplace_from,d_hz_two_wheeler*G1738,0)</f>
        <v/>
      </c>
      <c r="AS1738" s="14">
        <f>F1738*AR1738*in_two_wheeler_ticket*in_two_wheeler_comm*in_ins_partner_share+F1738*in_two_wheeler_ticket*in_two_wheeler_comm*in_ins_partner_share*(in_two_wheeler_renew^1*SUMIFS(AR1727:AR1740,B1727:B1740,B1738-12)+in_two_wheeler_renew^2*SUMIFS(AR1727:AR1740,B1727:B1740,B1738-24)+in_two_wheeler_renew^3*SUMIFS(AR1727:AR1740,B1727:B1740,B1738-36)+in_two_wheeler_renew^4*SUMIFS(AR1727:AR1740,B1727:B1740,B1738-48))</f>
        <v/>
      </c>
      <c r="AT1738" s="40">
        <f>AT1737*(1-IF(B1737&gt;=in_marketplace_from,d_hz_device*G1737,0))</f>
        <v/>
      </c>
      <c r="AU1738" s="14">
        <f>F1738*AT1738*IF(B1738&gt;=in_marketplace_from,d_hz_device*G1738,0)*in_device_ticket*in_device_comm*in_ins_partner_share</f>
        <v/>
      </c>
      <c r="AV1738" s="40">
        <f>AV1737*(1-IF(B1737&gt;=in_marketplace_from,d_hz_shop*G1737,0))</f>
        <v/>
      </c>
      <c r="AW1738" s="46">
        <f>AV1738*IF(B1738&gt;=in_marketplace_from,d_hz_shop*G1738,0)</f>
        <v/>
      </c>
      <c r="AX1738" s="14">
        <f>F1738*AW1738*in_shop_ticket*in_shop_comm*in_ins_partner_share+F1738*in_shop_ticket*in_shop_renew_comm*in_ins_partner_share*(in_shop_renew^1*SUMIFS(AW1727:AW1740,B1727:B1740,B1738-12)+in_shop_renew^2*SUMIFS(AW1727:AW1740,B1727:B1740,B1738-24)+in_shop_renew^3*SUMIFS(AW1727:AW1740,B1727:B1740,B1738-36)+in_shop_renew^4*SUMIFS(AW1727:AW1740,B1727:B1740,B1738-48))</f>
        <v/>
      </c>
      <c r="AY1738" s="40">
        <f>AY1737*(1-IF(B1737&gt;=in_marketplace_from,d_hz_sip*G1737,0))</f>
        <v/>
      </c>
      <c r="AZ1738" s="40">
        <f>AZ1737*d_rho_sip+AY1738*IF(B1738&gt;=in_marketplace_from,d_hz_sip*G1738,0)</f>
        <v/>
      </c>
      <c r="BA1738" s="40">
        <f>d_rho_sip*(BA1737+AZ1737)</f>
        <v/>
      </c>
      <c r="BB1738" s="14">
        <f>F1738*in_sip_ticket*(BA1738+0.5*AZ1738)*in_sip_comm/12</f>
        <v/>
      </c>
      <c r="BC1738" s="40">
        <f>BC1737*(1-IF(B1737&gt;=in_marketplace_from,d_hz_choti*G1737,0))</f>
        <v/>
      </c>
      <c r="BD1738" s="46">
        <f>BC1738*IF(B1738&gt;=in_marketplace_from,d_hz_choti*G1738,0)</f>
        <v/>
      </c>
      <c r="BE1738" s="14">
        <f>F1738*SUMIFS(BD1727:BD1740,B1727:B1740,B1738-in_choti_months)*in_choti_renew*in_choti_ticket</f>
        <v/>
      </c>
      <c r="BF1738" s="40">
        <f>BF1737*(1-IF(B1737&gt;=in_marketplace_from,d_hz_nps*G1737,0))</f>
        <v/>
      </c>
      <c r="BG1738" s="14">
        <f>F1738*BF1738*IF(B1738&gt;=in_marketplace_from,d_hz_nps*G1738,0)*in_nps_ticket*in_nps_comm</f>
        <v/>
      </c>
      <c r="BH1738" s="40">
        <f>BH1737*(1-IF(B1737&gt;=in_marketplace_from,d_hz_gold*G1737,0))</f>
        <v/>
      </c>
      <c r="BI1738" s="40">
        <f>BI1737*d_rho_gold+BH1738*IF(B1738&gt;=in_marketplace_from,d_hz_gold*G1738,0)</f>
        <v/>
      </c>
      <c r="BJ1738" s="14">
        <f>F1738*BI1738*in_gold_ticket*in_gold_comm</f>
        <v/>
      </c>
      <c r="BK1738" s="40">
        <f>BK1737*(1-IF(B1737&gt;=in_marketplace_from,d_hz_fd*G1737,0))</f>
        <v/>
      </c>
      <c r="BL1738" s="14">
        <f>F1738*BK1738*IF(B1738&gt;=in_marketplace_from,d_hz_fd*G1738,0)*in_fd_ticket*in_fd_comm</f>
        <v/>
      </c>
      <c r="BM1738" s="40">
        <f>BM1737*(1-IF(B1737&gt;=in_marketplace_from,d_hz_recharge*G1737,0))</f>
        <v/>
      </c>
      <c r="BN1738" s="40">
        <f>BN1737*d_rho_recharge+BM1738*IF(B1738&gt;=in_marketplace_from,d_hz_recharge*G1738,0)</f>
        <v/>
      </c>
      <c r="BO1738" s="14">
        <f>F1738*BN1738*in_recharge_ticket*in_recharge_comm/12</f>
        <v/>
      </c>
      <c r="BP1738" s="40">
        <f>BP1737*(1-IF(B1737&gt;=in_marketplace_from,d_hz_bills*G1737,0))</f>
        <v/>
      </c>
      <c r="BQ1738" s="40">
        <f>BQ1737*d_rho_bills+BP1738*IF(B1738&gt;=in_marketplace_from,d_hz_bills*G1738,0)</f>
        <v/>
      </c>
      <c r="BR1738" s="14">
        <f>F1738*BQ1738*in_bills_ticket*in_bills_comm/12</f>
        <v/>
      </c>
      <c r="BS1738" s="40">
        <f>BS1737*(1-IF(B1737&gt;=in_marketplace_from,d_hz_loan_gold*G1737,0))</f>
        <v/>
      </c>
      <c r="BT1738" s="14">
        <f>F1738*BS1738*IF(B1738&gt;=in_marketplace_from,d_hz_loan_gold*G1738,0)*in_loan_gold_ticket*in_loan_gold_comm</f>
        <v/>
      </c>
      <c r="BU1738" s="40">
        <f>BU1737*(1-IF(B1737&gt;=in_marketplace_from,d_hz_loan_cd*G1737,0))</f>
        <v/>
      </c>
      <c r="BV1738" s="14">
        <f>F1738*BU1738*IF(B1738&gt;=in_marketplace_from,d_hz_loan_cd*G1738,0)*in_loan_cd_ticket*in_loan_cd_comm</f>
        <v/>
      </c>
      <c r="BW1738" s="40">
        <f>BW1737*(1-IF(B1737&gt;=in_marketplace_from,d_hz_loan_vehicle*G1737,0))</f>
        <v/>
      </c>
      <c r="BX1738" s="14">
        <f>F1738*BW1738*IF(B1738&gt;=in_marketplace_from,d_hz_loan_vehicle*G1738,0)*in_loan_vehicle_ticket*in_loan_vehicle_comm</f>
        <v/>
      </c>
      <c r="BY1738" s="40">
        <f>BY1737*(1-IF(B1737&gt;=in_marketplace_from,d_hz_loan_home*G1737,0)*BZ1737)</f>
        <v/>
      </c>
      <c r="BZ1738" s="11">
        <f>MIN(in_approval_cap,in_loan_home_approval*INDEX('Age profile'!$O$2:$O$61,B1738)*(1+in_approval_growth)^(D1738-1))</f>
        <v/>
      </c>
      <c r="CA1738" s="14">
        <f>F1738*BY1738*IF(B1738&gt;=in_marketplace_from,d_hz_loan_home*G1738,0)*BZ1738*in_loan_home_ticket*in_loan_home_comm</f>
        <v/>
      </c>
      <c r="CB1738" s="40">
        <f>CB1737*(1-IF(B1737&gt;=in_marketplace_from,d_hz_loan_lap*G1737,0)*CC1737)</f>
        <v/>
      </c>
      <c r="CC1738" s="11">
        <f>MIN(in_approval_cap,in_loan_lap_approval*INDEX('Age profile'!$O$2:$O$61,B1738)*(1+in_approval_growth)^(D1738-1))</f>
        <v/>
      </c>
      <c r="CD1738" s="14">
        <f>F1738*CB1738*IF(B1738&gt;=in_marketplace_from,d_hz_loan_lap*G1738,0)*CC1738*in_loan_lap_ticket*in_loan_lap_comm</f>
        <v/>
      </c>
      <c r="CE1738" s="14">
        <f>AA1738+AB1738+AC1738+AD1738+AG1738+AJ1738+AM1738+AP1738+AS1738+AU1738+AX1738+BB1738+BE1738+BG1738+BJ1738+BL1738+BO1738+BR1738+BT1738+BV1738+BX1738+CA1738+CD1738</f>
        <v/>
      </c>
    </row>
    <row r="1739">
      <c r="A1739" s="39" t="n">
        <v>47</v>
      </c>
      <c r="B1739" s="39" t="n">
        <v>13</v>
      </c>
      <c r="C1739" s="39">
        <f>A1739+B1739-1</f>
        <v/>
      </c>
      <c r="D1739" s="39">
        <f>INT((C1739-1)/12)+1</f>
        <v/>
      </c>
      <c r="E1739" s="44">
        <f>INDEX(Monthly!$B$2:$B$61,A1739)</f>
        <v/>
      </c>
      <c r="F1739" s="44">
        <f>E1739*INDEX('Age profile'!$B$2:$B$61,B1739)</f>
        <v/>
      </c>
      <c r="G1739" s="45">
        <f>MIN(in_takeup_cap,INDEX('Age profile'!$N$2:$N$61,B1739)*(1+in_takeup_growth)^(D1739-1))</f>
        <v/>
      </c>
      <c r="H1739" s="11">
        <f>MIN(in_approval_cap,in_approved_first*INDEX('Age profile'!$O$2:$O$61,B1739)*(1+in_approval_growth)^(D1739-1))</f>
        <v/>
      </c>
      <c r="I1739" s="45">
        <f>G1739*MIN(in_takeup_cap,INDEX('Age profile'!$O$2:$O$61,B1739)*(1+in_approval_growth)^(D1739-1))</f>
        <v/>
      </c>
      <c r="J1739" s="40">
        <f>(J1738-L1738)*F1739/F1738</f>
        <v/>
      </c>
      <c r="K1739" s="40">
        <f>(K1738-M1738)*F1739/F1738+SUMIFS(O1727:O1738,B1727:B1738,B1739-1-d_T)*F1739</f>
        <v/>
      </c>
      <c r="L1739" s="40">
        <f>IF(B1739&gt;=in_marketplace_from,J1739*d_hz*G1739*in_eligible*H1739,0)</f>
        <v/>
      </c>
      <c r="M1739" s="40">
        <f>IF(B1739&gt;=in_marketplace_from,K1739*d_hz*G1739*in_eligible*in_approved_repeat,0)</f>
        <v/>
      </c>
      <c r="N1739" s="40">
        <f>L1739+M1739</f>
        <v/>
      </c>
      <c r="O1739" s="46">
        <f>N1739/F1739</f>
        <v/>
      </c>
      <c r="P1739" s="40">
        <f>F1739-J1739-K1739</f>
        <v/>
      </c>
      <c r="Q1739" s="40">
        <f>IF(B1739&gt;=in_marketplace_from,(J1739+K1739)*d_hz*G1739,0)</f>
        <v/>
      </c>
      <c r="R1739" s="40">
        <f>SUMIFS(N1727:N1740,B1727:B1740,"&gt;="&amp;(B1739-d_T),B1727:B1740,"&lt;="&amp;(B1739-1))</f>
        <v/>
      </c>
      <c r="S1739" s="46">
        <f>(1-d_u)*S1738+IF(d_T&gt;in_topup_lag,SUMIFS(O1727:O1740,B1727:B1740,B1739-in_topup_lag)-d_udrop*SUMIFS(O1727:O1740,B1727:B1740,B1739-d_T),0)</f>
        <v/>
      </c>
      <c r="T1739" s="40">
        <f>F1739*d_u*S1739</f>
        <v/>
      </c>
      <c r="U1739" s="9">
        <f>L1739*in_ticket+M1739*d_rep_ticket</f>
        <v/>
      </c>
      <c r="V1739" s="9">
        <f>U1739+T1739*d_topup_amt</f>
        <v/>
      </c>
      <c r="W1739" s="40">
        <f>N1739+T1739*d_topup_ratio</f>
        <v/>
      </c>
      <c r="X1739" s="40">
        <f>SUMIFS(W1727:W1740,B1727:B1740,B1739-in_dpd_lag)*d_cured</f>
        <v/>
      </c>
      <c r="Y1739" s="40">
        <f>SUMIFS(W1727:W1740,B1727:B1740,B1739-in_rec_lag)*d_recd</f>
        <v/>
      </c>
      <c r="Z1739" s="40">
        <f>IF(AND(B1739&gt;=in_marketplace_from,B1739&lt;in_marketplace_from+in_card_months),in_card_share/in_card_months*F1739*I1739,IF(AND(B1739&gt;=in_marketplace_from+in_card_months,B1739&lt;in_marketplace_from+2*in_card_months),in_card_share*d_card_rem/in_card_months*F1739*MIN(in_takeup_cap,(1+in_takeup_growth)^(D1739-1))*MIN(in_takeup_cap,(1+in_approval_growth)^(D1739-1)),0))</f>
        <v/>
      </c>
      <c r="AA1739" s="14">
        <f>V1739*in_fee*(1-in_taken_back)</f>
        <v/>
      </c>
      <c r="AB1739" s="14">
        <f>SUMIFS(W1727:W1740,B1727:B1740,B1739-in_dpd_lag)*d_dpd</f>
        <v/>
      </c>
      <c r="AC1739" s="14">
        <f>SUMIFS(W1727:W1740,B1727:B1740,B1739-in_rec_lag)*d_rec</f>
        <v/>
      </c>
      <c r="AD1739" s="14">
        <f>Z1739*in_card_fee</f>
        <v/>
      </c>
      <c r="AE1739" s="40">
        <f>AE1738*(1-IF(B1738&gt;=in_marketplace_from,d_hz_hlth_small*G1738,0))</f>
        <v/>
      </c>
      <c r="AF1739" s="46">
        <f>AE1739*IF(B1739&gt;=in_marketplace_from,d_hz_hlth_small*G1739,0)</f>
        <v/>
      </c>
      <c r="AG1739" s="14">
        <f>F1739*AF1739*in_hlth_small_ticket*in_hlth_small_comm*in_ins_partner_share+F1739*in_hlth_small_ticket*in_hlth_small_renew_comm*in_ins_partner_share*(in_hlth_small_renew^1*SUMIFS(AF1727:AF1740,B1727:B1740,B1739-12)+in_hlth_small_renew^2*SUMIFS(AF1727:AF1740,B1727:B1740,B1739-24)+in_hlth_small_renew^3*SUMIFS(AF1727:AF1740,B1727:B1740,B1739-36)+in_hlth_small_renew^4*SUMIFS(AF1727:AF1740,B1727:B1740,B1739-48))</f>
        <v/>
      </c>
      <c r="AH1739" s="40">
        <f>AH1738*(1-IF(B1738&gt;=in_marketplace_from,d_hz_hlth_family*G1738,0))</f>
        <v/>
      </c>
      <c r="AI1739" s="46">
        <f>AH1739*IF(B1739&gt;=in_marketplace_from,d_hz_hlth_family*G1739,0)</f>
        <v/>
      </c>
      <c r="AJ1739" s="14">
        <f>F1739*AI1739*in_hlth_family_ticket*in_hlth_family_comm*in_ins_partner_share+F1739*in_hlth_family_ticket*in_hlth_family_renew_comm*in_ins_partner_share*(in_hlth_family_renew^1*SUMIFS(AI1727:AI1740,B1727:B1740,B1739-12)+in_hlth_family_renew^2*SUMIFS(AI1727:AI1740,B1727:B1740,B1739-24)+in_hlth_family_renew^3*SUMIFS(AI1727:AI1740,B1727:B1740,B1739-36)+in_hlth_family_renew^4*SUMIFS(AI1727:AI1740,B1727:B1740,B1739-48))</f>
        <v/>
      </c>
      <c r="AK1739" s="40">
        <f>AK1738*(1-IF(B1738&gt;=in_marketplace_from,d_hz_life_term*G1738,0))</f>
        <v/>
      </c>
      <c r="AL1739" s="46">
        <f>AK1739*IF(B1739&gt;=in_marketplace_from,d_hz_life_term*G1739,0)</f>
        <v/>
      </c>
      <c r="AM1739" s="14">
        <f>F1739*AL1739*in_life_term_ticket*in_life_term_comm*in_ins_partner_share+F1739*in_life_term_ticket*in_life_term_renew_comm*in_ins_partner_share*(in_life_term_renew^1*SUMIFS(AL1727:AL1740,B1727:B1740,B1739-12)+in_life_term_renew^2*SUMIFS(AL1727:AL1740,B1727:B1740,B1739-24)+in_life_term_renew^3*SUMIFS(AL1727:AL1740,B1727:B1740,B1739-36)+in_life_term_renew^4*SUMIFS(AL1727:AL1740,B1727:B1740,B1739-48))</f>
        <v/>
      </c>
      <c r="AN1739" s="40">
        <f>AN1738*(1-IF(B1738&gt;=in_marketplace_from,d_hz_accident*G1738,0))</f>
        <v/>
      </c>
      <c r="AO1739" s="46">
        <f>AN1739*IF(B1739&gt;=in_marketplace_from,d_hz_accident*G1739,0)</f>
        <v/>
      </c>
      <c r="AP1739" s="14">
        <f>F1739*AO1739*in_accident_ticket*in_accident_comm*in_ins_partner_share+F1739*in_accident_ticket*in_accident_renew_comm*in_ins_partner_share*(in_accident_renew^1*SUMIFS(AO1727:AO1740,B1727:B1740,B1739-12)+in_accident_renew^2*SUMIFS(AO1727:AO1740,B1727:B1740,B1739-24)+in_accident_renew^3*SUMIFS(AO1727:AO1740,B1727:B1740,B1739-36)+in_accident_renew^4*SUMIFS(AO1727:AO1740,B1727:B1740,B1739-48))</f>
        <v/>
      </c>
      <c r="AQ1739" s="40">
        <f>AQ1738*(1-IF(B1738&gt;=in_marketplace_from,d_hz_two_wheeler*G1738,0))</f>
        <v/>
      </c>
      <c r="AR1739" s="46">
        <f>AQ1739*IF(B1739&gt;=in_marketplace_from,d_hz_two_wheeler*G1739,0)</f>
        <v/>
      </c>
      <c r="AS1739" s="14">
        <f>F1739*AR1739*in_two_wheeler_ticket*in_two_wheeler_comm*in_ins_partner_share+F1739*in_two_wheeler_ticket*in_two_wheeler_comm*in_ins_partner_share*(in_two_wheeler_renew^1*SUMIFS(AR1727:AR1740,B1727:B1740,B1739-12)+in_two_wheeler_renew^2*SUMIFS(AR1727:AR1740,B1727:B1740,B1739-24)+in_two_wheeler_renew^3*SUMIFS(AR1727:AR1740,B1727:B1740,B1739-36)+in_two_wheeler_renew^4*SUMIFS(AR1727:AR1740,B1727:B1740,B1739-48))</f>
        <v/>
      </c>
      <c r="AT1739" s="40">
        <f>AT1738*(1-IF(B1738&gt;=in_marketplace_from,d_hz_device*G1738,0))</f>
        <v/>
      </c>
      <c r="AU1739" s="14">
        <f>F1739*AT1739*IF(B1739&gt;=in_marketplace_from,d_hz_device*G1739,0)*in_device_ticket*in_device_comm*in_ins_partner_share</f>
        <v/>
      </c>
      <c r="AV1739" s="40">
        <f>AV1738*(1-IF(B1738&gt;=in_marketplace_from,d_hz_shop*G1738,0))</f>
        <v/>
      </c>
      <c r="AW1739" s="46">
        <f>AV1739*IF(B1739&gt;=in_marketplace_from,d_hz_shop*G1739,0)</f>
        <v/>
      </c>
      <c r="AX1739" s="14">
        <f>F1739*AW1739*in_shop_ticket*in_shop_comm*in_ins_partner_share+F1739*in_shop_ticket*in_shop_renew_comm*in_ins_partner_share*(in_shop_renew^1*SUMIFS(AW1727:AW1740,B1727:B1740,B1739-12)+in_shop_renew^2*SUMIFS(AW1727:AW1740,B1727:B1740,B1739-24)+in_shop_renew^3*SUMIFS(AW1727:AW1740,B1727:B1740,B1739-36)+in_shop_renew^4*SUMIFS(AW1727:AW1740,B1727:B1740,B1739-48))</f>
        <v/>
      </c>
      <c r="AY1739" s="40">
        <f>AY1738*(1-IF(B1738&gt;=in_marketplace_from,d_hz_sip*G1738,0))</f>
        <v/>
      </c>
      <c r="AZ1739" s="40">
        <f>AZ1738*d_rho_sip+AY1739*IF(B1739&gt;=in_marketplace_from,d_hz_sip*G1739,0)</f>
        <v/>
      </c>
      <c r="BA1739" s="40">
        <f>d_rho_sip*(BA1738+AZ1738)</f>
        <v/>
      </c>
      <c r="BB1739" s="14">
        <f>F1739*in_sip_ticket*(BA1739+0.5*AZ1739)*in_sip_comm/12</f>
        <v/>
      </c>
      <c r="BC1739" s="40">
        <f>BC1738*(1-IF(B1738&gt;=in_marketplace_from,d_hz_choti*G1738,0))</f>
        <v/>
      </c>
      <c r="BD1739" s="46">
        <f>BC1739*IF(B1739&gt;=in_marketplace_from,d_hz_choti*G1739,0)</f>
        <v/>
      </c>
      <c r="BE1739" s="14">
        <f>F1739*SUMIFS(BD1727:BD1740,B1727:B1740,B1739-in_choti_months)*in_choti_renew*in_choti_ticket</f>
        <v/>
      </c>
      <c r="BF1739" s="40">
        <f>BF1738*(1-IF(B1738&gt;=in_marketplace_from,d_hz_nps*G1738,0))</f>
        <v/>
      </c>
      <c r="BG1739" s="14">
        <f>F1739*BF1739*IF(B1739&gt;=in_marketplace_from,d_hz_nps*G1739,0)*in_nps_ticket*in_nps_comm</f>
        <v/>
      </c>
      <c r="BH1739" s="40">
        <f>BH1738*(1-IF(B1738&gt;=in_marketplace_from,d_hz_gold*G1738,0))</f>
        <v/>
      </c>
      <c r="BI1739" s="40">
        <f>BI1738*d_rho_gold+BH1739*IF(B1739&gt;=in_marketplace_from,d_hz_gold*G1739,0)</f>
        <v/>
      </c>
      <c r="BJ1739" s="14">
        <f>F1739*BI1739*in_gold_ticket*in_gold_comm</f>
        <v/>
      </c>
      <c r="BK1739" s="40">
        <f>BK1738*(1-IF(B1738&gt;=in_marketplace_from,d_hz_fd*G1738,0))</f>
        <v/>
      </c>
      <c r="BL1739" s="14">
        <f>F1739*BK1739*IF(B1739&gt;=in_marketplace_from,d_hz_fd*G1739,0)*in_fd_ticket*in_fd_comm</f>
        <v/>
      </c>
      <c r="BM1739" s="40">
        <f>BM1738*(1-IF(B1738&gt;=in_marketplace_from,d_hz_recharge*G1738,0))</f>
        <v/>
      </c>
      <c r="BN1739" s="40">
        <f>BN1738*d_rho_recharge+BM1739*IF(B1739&gt;=in_marketplace_from,d_hz_recharge*G1739,0)</f>
        <v/>
      </c>
      <c r="BO1739" s="14">
        <f>F1739*BN1739*in_recharge_ticket*in_recharge_comm/12</f>
        <v/>
      </c>
      <c r="BP1739" s="40">
        <f>BP1738*(1-IF(B1738&gt;=in_marketplace_from,d_hz_bills*G1738,0))</f>
        <v/>
      </c>
      <c r="BQ1739" s="40">
        <f>BQ1738*d_rho_bills+BP1739*IF(B1739&gt;=in_marketplace_from,d_hz_bills*G1739,0)</f>
        <v/>
      </c>
      <c r="BR1739" s="14">
        <f>F1739*BQ1739*in_bills_ticket*in_bills_comm/12</f>
        <v/>
      </c>
      <c r="BS1739" s="40">
        <f>BS1738*(1-IF(B1738&gt;=in_marketplace_from,d_hz_loan_gold*G1738,0))</f>
        <v/>
      </c>
      <c r="BT1739" s="14">
        <f>F1739*BS1739*IF(B1739&gt;=in_marketplace_from,d_hz_loan_gold*G1739,0)*in_loan_gold_ticket*in_loan_gold_comm</f>
        <v/>
      </c>
      <c r="BU1739" s="40">
        <f>BU1738*(1-IF(B1738&gt;=in_marketplace_from,d_hz_loan_cd*G1738,0))</f>
        <v/>
      </c>
      <c r="BV1739" s="14">
        <f>F1739*BU1739*IF(B1739&gt;=in_marketplace_from,d_hz_loan_cd*G1739,0)*in_loan_cd_ticket*in_loan_cd_comm</f>
        <v/>
      </c>
      <c r="BW1739" s="40">
        <f>BW1738*(1-IF(B1738&gt;=in_marketplace_from,d_hz_loan_vehicle*G1738,0))</f>
        <v/>
      </c>
      <c r="BX1739" s="14">
        <f>F1739*BW1739*IF(B1739&gt;=in_marketplace_from,d_hz_loan_vehicle*G1739,0)*in_loan_vehicle_ticket*in_loan_vehicle_comm</f>
        <v/>
      </c>
      <c r="BY1739" s="40">
        <f>BY1738*(1-IF(B1738&gt;=in_marketplace_from,d_hz_loan_home*G1738,0)*BZ1738)</f>
        <v/>
      </c>
      <c r="BZ1739" s="11">
        <f>MIN(in_approval_cap,in_loan_home_approval*INDEX('Age profile'!$O$2:$O$61,B1739)*(1+in_approval_growth)^(D1739-1))</f>
        <v/>
      </c>
      <c r="CA1739" s="14">
        <f>F1739*BY1739*IF(B1739&gt;=in_marketplace_from,d_hz_loan_home*G1739,0)*BZ1739*in_loan_home_ticket*in_loan_home_comm</f>
        <v/>
      </c>
      <c r="CB1739" s="40">
        <f>CB1738*(1-IF(B1738&gt;=in_marketplace_from,d_hz_loan_lap*G1738,0)*CC1738)</f>
        <v/>
      </c>
      <c r="CC1739" s="11">
        <f>MIN(in_approval_cap,in_loan_lap_approval*INDEX('Age profile'!$O$2:$O$61,B1739)*(1+in_approval_growth)^(D1739-1))</f>
        <v/>
      </c>
      <c r="CD1739" s="14">
        <f>F1739*CB1739*IF(B1739&gt;=in_marketplace_from,d_hz_loan_lap*G1739,0)*CC1739*in_loan_lap_ticket*in_loan_lap_comm</f>
        <v/>
      </c>
      <c r="CE1739" s="14">
        <f>AA1739+AB1739+AC1739+AD1739+AG1739+AJ1739+AM1739+AP1739+AS1739+AU1739+AX1739+BB1739+BE1739+BG1739+BJ1739+BL1739+BO1739+BR1739+BT1739+BV1739+BX1739+CA1739+CD1739</f>
        <v/>
      </c>
    </row>
    <row r="1740">
      <c r="A1740" s="39" t="n">
        <v>47</v>
      </c>
      <c r="B1740" s="39" t="n">
        <v>14</v>
      </c>
      <c r="C1740" s="39">
        <f>A1740+B1740-1</f>
        <v/>
      </c>
      <c r="D1740" s="39">
        <f>INT((C1740-1)/12)+1</f>
        <v/>
      </c>
      <c r="E1740" s="44">
        <f>INDEX(Monthly!$B$2:$B$61,A1740)</f>
        <v/>
      </c>
      <c r="F1740" s="44">
        <f>E1740*INDEX('Age profile'!$B$2:$B$61,B1740)</f>
        <v/>
      </c>
      <c r="G1740" s="45">
        <f>MIN(in_takeup_cap,INDEX('Age profile'!$N$2:$N$61,B1740)*(1+in_takeup_growth)^(D1740-1))</f>
        <v/>
      </c>
      <c r="H1740" s="11">
        <f>MIN(in_approval_cap,in_approved_first*INDEX('Age profile'!$O$2:$O$61,B1740)*(1+in_approval_growth)^(D1740-1))</f>
        <v/>
      </c>
      <c r="I1740" s="45">
        <f>G1740*MIN(in_takeup_cap,INDEX('Age profile'!$O$2:$O$61,B1740)*(1+in_approval_growth)^(D1740-1))</f>
        <v/>
      </c>
      <c r="J1740" s="40">
        <f>(J1739-L1739)*F1740/F1739</f>
        <v/>
      </c>
      <c r="K1740" s="40">
        <f>(K1739-M1739)*F1740/F1739+SUMIFS(O1727:O1739,B1727:B1739,B1740-1-d_T)*F1740</f>
        <v/>
      </c>
      <c r="L1740" s="40">
        <f>IF(B1740&gt;=in_marketplace_from,J1740*d_hz*G1740*in_eligible*H1740,0)</f>
        <v/>
      </c>
      <c r="M1740" s="40">
        <f>IF(B1740&gt;=in_marketplace_from,K1740*d_hz*G1740*in_eligible*in_approved_repeat,0)</f>
        <v/>
      </c>
      <c r="N1740" s="40">
        <f>L1740+M1740</f>
        <v/>
      </c>
      <c r="O1740" s="46">
        <f>N1740/F1740</f>
        <v/>
      </c>
      <c r="P1740" s="40">
        <f>F1740-J1740-K1740</f>
        <v/>
      </c>
      <c r="Q1740" s="40">
        <f>IF(B1740&gt;=in_marketplace_from,(J1740+K1740)*d_hz*G1740,0)</f>
        <v/>
      </c>
      <c r="R1740" s="40">
        <f>SUMIFS(N1727:N1740,B1727:B1740,"&gt;="&amp;(B1740-d_T),B1727:B1740,"&lt;="&amp;(B1740-1))</f>
        <v/>
      </c>
      <c r="S1740" s="46">
        <f>(1-d_u)*S1739+IF(d_T&gt;in_topup_lag,SUMIFS(O1727:O1740,B1727:B1740,B1740-in_topup_lag)-d_udrop*SUMIFS(O1727:O1740,B1727:B1740,B1740-d_T),0)</f>
        <v/>
      </c>
      <c r="T1740" s="40">
        <f>F1740*d_u*S1740</f>
        <v/>
      </c>
      <c r="U1740" s="9">
        <f>L1740*in_ticket+M1740*d_rep_ticket</f>
        <v/>
      </c>
      <c r="V1740" s="9">
        <f>U1740+T1740*d_topup_amt</f>
        <v/>
      </c>
      <c r="W1740" s="40">
        <f>N1740+T1740*d_topup_ratio</f>
        <v/>
      </c>
      <c r="X1740" s="40">
        <f>SUMIFS(W1727:W1740,B1727:B1740,B1740-in_dpd_lag)*d_cured</f>
        <v/>
      </c>
      <c r="Y1740" s="40">
        <f>SUMIFS(W1727:W1740,B1727:B1740,B1740-in_rec_lag)*d_recd</f>
        <v/>
      </c>
      <c r="Z1740" s="40">
        <f>IF(AND(B1740&gt;=in_marketplace_from,B1740&lt;in_marketplace_from+in_card_months),in_card_share/in_card_months*F1740*I1740,IF(AND(B1740&gt;=in_marketplace_from+in_card_months,B1740&lt;in_marketplace_from+2*in_card_months),in_card_share*d_card_rem/in_card_months*F1740*MIN(in_takeup_cap,(1+in_takeup_growth)^(D1740-1))*MIN(in_takeup_cap,(1+in_approval_growth)^(D1740-1)),0))</f>
        <v/>
      </c>
      <c r="AA1740" s="14">
        <f>V1740*in_fee*(1-in_taken_back)</f>
        <v/>
      </c>
      <c r="AB1740" s="14">
        <f>SUMIFS(W1727:W1740,B1727:B1740,B1740-in_dpd_lag)*d_dpd</f>
        <v/>
      </c>
      <c r="AC1740" s="14">
        <f>SUMIFS(W1727:W1740,B1727:B1740,B1740-in_rec_lag)*d_rec</f>
        <v/>
      </c>
      <c r="AD1740" s="14">
        <f>Z1740*in_card_fee</f>
        <v/>
      </c>
      <c r="AE1740" s="40">
        <f>AE1739*(1-IF(B1739&gt;=in_marketplace_from,d_hz_hlth_small*G1739,0))</f>
        <v/>
      </c>
      <c r="AF1740" s="46">
        <f>AE1740*IF(B1740&gt;=in_marketplace_from,d_hz_hlth_small*G1740,0)</f>
        <v/>
      </c>
      <c r="AG1740" s="14">
        <f>F1740*AF1740*in_hlth_small_ticket*in_hlth_small_comm*in_ins_partner_share+F1740*in_hlth_small_ticket*in_hlth_small_renew_comm*in_ins_partner_share*(in_hlth_small_renew^1*SUMIFS(AF1727:AF1740,B1727:B1740,B1740-12)+in_hlth_small_renew^2*SUMIFS(AF1727:AF1740,B1727:B1740,B1740-24)+in_hlth_small_renew^3*SUMIFS(AF1727:AF1740,B1727:B1740,B1740-36)+in_hlth_small_renew^4*SUMIFS(AF1727:AF1740,B1727:B1740,B1740-48))</f>
        <v/>
      </c>
      <c r="AH1740" s="40">
        <f>AH1739*(1-IF(B1739&gt;=in_marketplace_from,d_hz_hlth_family*G1739,0))</f>
        <v/>
      </c>
      <c r="AI1740" s="46">
        <f>AH1740*IF(B1740&gt;=in_marketplace_from,d_hz_hlth_family*G1740,0)</f>
        <v/>
      </c>
      <c r="AJ1740" s="14">
        <f>F1740*AI1740*in_hlth_family_ticket*in_hlth_family_comm*in_ins_partner_share+F1740*in_hlth_family_ticket*in_hlth_family_renew_comm*in_ins_partner_share*(in_hlth_family_renew^1*SUMIFS(AI1727:AI1740,B1727:B1740,B1740-12)+in_hlth_family_renew^2*SUMIFS(AI1727:AI1740,B1727:B1740,B1740-24)+in_hlth_family_renew^3*SUMIFS(AI1727:AI1740,B1727:B1740,B1740-36)+in_hlth_family_renew^4*SUMIFS(AI1727:AI1740,B1727:B1740,B1740-48))</f>
        <v/>
      </c>
      <c r="AK1740" s="40">
        <f>AK1739*(1-IF(B1739&gt;=in_marketplace_from,d_hz_life_term*G1739,0))</f>
        <v/>
      </c>
      <c r="AL1740" s="46">
        <f>AK1740*IF(B1740&gt;=in_marketplace_from,d_hz_life_term*G1740,0)</f>
        <v/>
      </c>
      <c r="AM1740" s="14">
        <f>F1740*AL1740*in_life_term_ticket*in_life_term_comm*in_ins_partner_share+F1740*in_life_term_ticket*in_life_term_renew_comm*in_ins_partner_share*(in_life_term_renew^1*SUMIFS(AL1727:AL1740,B1727:B1740,B1740-12)+in_life_term_renew^2*SUMIFS(AL1727:AL1740,B1727:B1740,B1740-24)+in_life_term_renew^3*SUMIFS(AL1727:AL1740,B1727:B1740,B1740-36)+in_life_term_renew^4*SUMIFS(AL1727:AL1740,B1727:B1740,B1740-48))</f>
        <v/>
      </c>
      <c r="AN1740" s="40">
        <f>AN1739*(1-IF(B1739&gt;=in_marketplace_from,d_hz_accident*G1739,0))</f>
        <v/>
      </c>
      <c r="AO1740" s="46">
        <f>AN1740*IF(B1740&gt;=in_marketplace_from,d_hz_accident*G1740,0)</f>
        <v/>
      </c>
      <c r="AP1740" s="14">
        <f>F1740*AO1740*in_accident_ticket*in_accident_comm*in_ins_partner_share+F1740*in_accident_ticket*in_accident_renew_comm*in_ins_partner_share*(in_accident_renew^1*SUMIFS(AO1727:AO1740,B1727:B1740,B1740-12)+in_accident_renew^2*SUMIFS(AO1727:AO1740,B1727:B1740,B1740-24)+in_accident_renew^3*SUMIFS(AO1727:AO1740,B1727:B1740,B1740-36)+in_accident_renew^4*SUMIFS(AO1727:AO1740,B1727:B1740,B1740-48))</f>
        <v/>
      </c>
      <c r="AQ1740" s="40">
        <f>AQ1739*(1-IF(B1739&gt;=in_marketplace_from,d_hz_two_wheeler*G1739,0))</f>
        <v/>
      </c>
      <c r="AR1740" s="46">
        <f>AQ1740*IF(B1740&gt;=in_marketplace_from,d_hz_two_wheeler*G1740,0)</f>
        <v/>
      </c>
      <c r="AS1740" s="14">
        <f>F1740*AR1740*in_two_wheeler_ticket*in_two_wheeler_comm*in_ins_partner_share+F1740*in_two_wheeler_ticket*in_two_wheeler_comm*in_ins_partner_share*(in_two_wheeler_renew^1*SUMIFS(AR1727:AR1740,B1727:B1740,B1740-12)+in_two_wheeler_renew^2*SUMIFS(AR1727:AR1740,B1727:B1740,B1740-24)+in_two_wheeler_renew^3*SUMIFS(AR1727:AR1740,B1727:B1740,B1740-36)+in_two_wheeler_renew^4*SUMIFS(AR1727:AR1740,B1727:B1740,B1740-48))</f>
        <v/>
      </c>
      <c r="AT1740" s="40">
        <f>AT1739*(1-IF(B1739&gt;=in_marketplace_from,d_hz_device*G1739,0))</f>
        <v/>
      </c>
      <c r="AU1740" s="14">
        <f>F1740*AT1740*IF(B1740&gt;=in_marketplace_from,d_hz_device*G1740,0)*in_device_ticket*in_device_comm*in_ins_partner_share</f>
        <v/>
      </c>
      <c r="AV1740" s="40">
        <f>AV1739*(1-IF(B1739&gt;=in_marketplace_from,d_hz_shop*G1739,0))</f>
        <v/>
      </c>
      <c r="AW1740" s="46">
        <f>AV1740*IF(B1740&gt;=in_marketplace_from,d_hz_shop*G1740,0)</f>
        <v/>
      </c>
      <c r="AX1740" s="14">
        <f>F1740*AW1740*in_shop_ticket*in_shop_comm*in_ins_partner_share+F1740*in_shop_ticket*in_shop_renew_comm*in_ins_partner_share*(in_shop_renew^1*SUMIFS(AW1727:AW1740,B1727:B1740,B1740-12)+in_shop_renew^2*SUMIFS(AW1727:AW1740,B1727:B1740,B1740-24)+in_shop_renew^3*SUMIFS(AW1727:AW1740,B1727:B1740,B1740-36)+in_shop_renew^4*SUMIFS(AW1727:AW1740,B1727:B1740,B1740-48))</f>
        <v/>
      </c>
      <c r="AY1740" s="40">
        <f>AY1739*(1-IF(B1739&gt;=in_marketplace_from,d_hz_sip*G1739,0))</f>
        <v/>
      </c>
      <c r="AZ1740" s="40">
        <f>AZ1739*d_rho_sip+AY1740*IF(B1740&gt;=in_marketplace_from,d_hz_sip*G1740,0)</f>
        <v/>
      </c>
      <c r="BA1740" s="40">
        <f>d_rho_sip*(BA1739+AZ1739)</f>
        <v/>
      </c>
      <c r="BB1740" s="14">
        <f>F1740*in_sip_ticket*(BA1740+0.5*AZ1740)*in_sip_comm/12</f>
        <v/>
      </c>
      <c r="BC1740" s="40">
        <f>BC1739*(1-IF(B1739&gt;=in_marketplace_from,d_hz_choti*G1739,0))</f>
        <v/>
      </c>
      <c r="BD1740" s="46">
        <f>BC1740*IF(B1740&gt;=in_marketplace_from,d_hz_choti*G1740,0)</f>
        <v/>
      </c>
      <c r="BE1740" s="14">
        <f>F1740*SUMIFS(BD1727:BD1740,B1727:B1740,B1740-in_choti_months)*in_choti_renew*in_choti_ticket</f>
        <v/>
      </c>
      <c r="BF1740" s="40">
        <f>BF1739*(1-IF(B1739&gt;=in_marketplace_from,d_hz_nps*G1739,0))</f>
        <v/>
      </c>
      <c r="BG1740" s="14">
        <f>F1740*BF1740*IF(B1740&gt;=in_marketplace_from,d_hz_nps*G1740,0)*in_nps_ticket*in_nps_comm</f>
        <v/>
      </c>
      <c r="BH1740" s="40">
        <f>BH1739*(1-IF(B1739&gt;=in_marketplace_from,d_hz_gold*G1739,0))</f>
        <v/>
      </c>
      <c r="BI1740" s="40">
        <f>BI1739*d_rho_gold+BH1740*IF(B1740&gt;=in_marketplace_from,d_hz_gold*G1740,0)</f>
        <v/>
      </c>
      <c r="BJ1740" s="14">
        <f>F1740*BI1740*in_gold_ticket*in_gold_comm</f>
        <v/>
      </c>
      <c r="BK1740" s="40">
        <f>BK1739*(1-IF(B1739&gt;=in_marketplace_from,d_hz_fd*G1739,0))</f>
        <v/>
      </c>
      <c r="BL1740" s="14">
        <f>F1740*BK1740*IF(B1740&gt;=in_marketplace_from,d_hz_fd*G1740,0)*in_fd_ticket*in_fd_comm</f>
        <v/>
      </c>
      <c r="BM1740" s="40">
        <f>BM1739*(1-IF(B1739&gt;=in_marketplace_from,d_hz_recharge*G1739,0))</f>
        <v/>
      </c>
      <c r="BN1740" s="40">
        <f>BN1739*d_rho_recharge+BM1740*IF(B1740&gt;=in_marketplace_from,d_hz_recharge*G1740,0)</f>
        <v/>
      </c>
      <c r="BO1740" s="14">
        <f>F1740*BN1740*in_recharge_ticket*in_recharge_comm/12</f>
        <v/>
      </c>
      <c r="BP1740" s="40">
        <f>BP1739*(1-IF(B1739&gt;=in_marketplace_from,d_hz_bills*G1739,0))</f>
        <v/>
      </c>
      <c r="BQ1740" s="40">
        <f>BQ1739*d_rho_bills+BP1740*IF(B1740&gt;=in_marketplace_from,d_hz_bills*G1740,0)</f>
        <v/>
      </c>
      <c r="BR1740" s="14">
        <f>F1740*BQ1740*in_bills_ticket*in_bills_comm/12</f>
        <v/>
      </c>
      <c r="BS1740" s="40">
        <f>BS1739*(1-IF(B1739&gt;=in_marketplace_from,d_hz_loan_gold*G1739,0))</f>
        <v/>
      </c>
      <c r="BT1740" s="14">
        <f>F1740*BS1740*IF(B1740&gt;=in_marketplace_from,d_hz_loan_gold*G1740,0)*in_loan_gold_ticket*in_loan_gold_comm</f>
        <v/>
      </c>
      <c r="BU1740" s="40">
        <f>BU1739*(1-IF(B1739&gt;=in_marketplace_from,d_hz_loan_cd*G1739,0))</f>
        <v/>
      </c>
      <c r="BV1740" s="14">
        <f>F1740*BU1740*IF(B1740&gt;=in_marketplace_from,d_hz_loan_cd*G1740,0)*in_loan_cd_ticket*in_loan_cd_comm</f>
        <v/>
      </c>
      <c r="BW1740" s="40">
        <f>BW1739*(1-IF(B1739&gt;=in_marketplace_from,d_hz_loan_vehicle*G1739,0))</f>
        <v/>
      </c>
      <c r="BX1740" s="14">
        <f>F1740*BW1740*IF(B1740&gt;=in_marketplace_from,d_hz_loan_vehicle*G1740,0)*in_loan_vehicle_ticket*in_loan_vehicle_comm</f>
        <v/>
      </c>
      <c r="BY1740" s="40">
        <f>BY1739*(1-IF(B1739&gt;=in_marketplace_from,d_hz_loan_home*G1739,0)*BZ1739)</f>
        <v/>
      </c>
      <c r="BZ1740" s="11">
        <f>MIN(in_approval_cap,in_loan_home_approval*INDEX('Age profile'!$O$2:$O$61,B1740)*(1+in_approval_growth)^(D1740-1))</f>
        <v/>
      </c>
      <c r="CA1740" s="14">
        <f>F1740*BY1740*IF(B1740&gt;=in_marketplace_from,d_hz_loan_home*G1740,0)*BZ1740*in_loan_home_ticket*in_loan_home_comm</f>
        <v/>
      </c>
      <c r="CB1740" s="40">
        <f>CB1739*(1-IF(B1739&gt;=in_marketplace_from,d_hz_loan_lap*G1739,0)*CC1739)</f>
        <v/>
      </c>
      <c r="CC1740" s="11">
        <f>MIN(in_approval_cap,in_loan_lap_approval*INDEX('Age profile'!$O$2:$O$61,B1740)*(1+in_approval_growth)^(D1740-1))</f>
        <v/>
      </c>
      <c r="CD1740" s="14">
        <f>F1740*CB1740*IF(B1740&gt;=in_marketplace_from,d_hz_loan_lap*G1740,0)*CC1740*in_loan_lap_ticket*in_loan_lap_comm</f>
        <v/>
      </c>
      <c r="CE1740" s="14">
        <f>AA1740+AB1740+AC1740+AD1740+AG1740+AJ1740+AM1740+AP1740+AS1740+AU1740+AX1740+BB1740+BE1740+BG1740+BJ1740+BL1740+BO1740+BR1740+BT1740+BV1740+BX1740+CA1740+CD1740</f>
        <v/>
      </c>
    </row>
    <row r="1741">
      <c r="A1741" s="39" t="n">
        <v>48</v>
      </c>
      <c r="B1741" s="39" t="n">
        <v>1</v>
      </c>
      <c r="C1741" s="39">
        <f>A1741+B1741-1</f>
        <v/>
      </c>
      <c r="D1741" s="39">
        <f>INT((C1741-1)/12)+1</f>
        <v/>
      </c>
      <c r="E1741" s="44">
        <f>INDEX(Monthly!$B$2:$B$61,A1741)</f>
        <v/>
      </c>
      <c r="F1741" s="44">
        <f>E1741*INDEX('Age profile'!$B$2:$B$61,B1741)</f>
        <v/>
      </c>
      <c r="G1741" s="45">
        <f>MIN(in_takeup_cap,INDEX('Age profile'!$N$2:$N$61,B1741)*(1+in_takeup_growth)^(D1741-1))</f>
        <v/>
      </c>
      <c r="H1741" s="11">
        <f>MIN(in_approval_cap,in_approved_first*INDEX('Age profile'!$O$2:$O$61,B1741)*(1+in_approval_growth)^(D1741-1))</f>
        <v/>
      </c>
      <c r="I1741" s="45">
        <f>G1741*MIN(in_takeup_cap,INDEX('Age profile'!$O$2:$O$61,B1741)*(1+in_approval_growth)^(D1741-1))</f>
        <v/>
      </c>
      <c r="J1741" s="40">
        <f>E1741</f>
        <v/>
      </c>
      <c r="K1741" s="40" t="n">
        <v>0</v>
      </c>
      <c r="L1741" s="40">
        <f>IF(B1741&gt;=in_marketplace_from,J1741*d_hz*G1741*in_eligible*H1741,0)</f>
        <v/>
      </c>
      <c r="M1741" s="40">
        <f>IF(B1741&gt;=in_marketplace_from,K1741*d_hz*G1741*in_eligible*in_approved_repeat,0)</f>
        <v/>
      </c>
      <c r="N1741" s="40">
        <f>L1741+M1741</f>
        <v/>
      </c>
      <c r="O1741" s="46">
        <f>N1741/F1741</f>
        <v/>
      </c>
      <c r="P1741" s="40">
        <f>F1741-J1741-K1741</f>
        <v/>
      </c>
      <c r="Q1741" s="40">
        <f>IF(B1741&gt;=in_marketplace_from,(J1741+K1741)*d_hz*G1741,0)</f>
        <v/>
      </c>
      <c r="R1741" s="40">
        <f>SUMIFS(N1741:N1753,B1741:B1753,"&gt;="&amp;(B1741-d_T),B1741:B1753,"&lt;="&amp;(B1741-1))</f>
        <v/>
      </c>
      <c r="S1741" s="46" t="n">
        <v>0</v>
      </c>
      <c r="T1741" s="40">
        <f>F1741*d_u*S1741</f>
        <v/>
      </c>
      <c r="U1741" s="9">
        <f>L1741*in_ticket+M1741*d_rep_ticket</f>
        <v/>
      </c>
      <c r="V1741" s="9">
        <f>U1741+T1741*d_topup_amt</f>
        <v/>
      </c>
      <c r="W1741" s="40">
        <f>N1741+T1741*d_topup_ratio</f>
        <v/>
      </c>
      <c r="X1741" s="40">
        <f>SUMIFS(W1741:W1753,B1741:B1753,B1741-in_dpd_lag)*d_cured</f>
        <v/>
      </c>
      <c r="Y1741" s="40">
        <f>SUMIFS(W1741:W1753,B1741:B1753,B1741-in_rec_lag)*d_recd</f>
        <v/>
      </c>
      <c r="Z1741" s="40">
        <f>IF(AND(B1741&gt;=in_marketplace_from,B1741&lt;in_marketplace_from+in_card_months),in_card_share/in_card_months*F1741*I1741,IF(AND(B1741&gt;=in_marketplace_from+in_card_months,B1741&lt;in_marketplace_from+2*in_card_months),in_card_share*d_card_rem/in_card_months*F1741*MIN(in_takeup_cap,(1+in_takeup_growth)^(D1741-1))*MIN(in_takeup_cap,(1+in_approval_growth)^(D1741-1)),0))</f>
        <v/>
      </c>
      <c r="AA1741" s="14">
        <f>V1741*in_fee*(1-in_taken_back)</f>
        <v/>
      </c>
      <c r="AB1741" s="14">
        <f>SUMIFS(W1741:W1753,B1741:B1753,B1741-in_dpd_lag)*d_dpd</f>
        <v/>
      </c>
      <c r="AC1741" s="14">
        <f>SUMIFS(W1741:W1753,B1741:B1753,B1741-in_rec_lag)*d_rec</f>
        <v/>
      </c>
      <c r="AD1741" s="14">
        <f>Z1741*in_card_fee</f>
        <v/>
      </c>
      <c r="AE1741" s="40" t="n">
        <v>1</v>
      </c>
      <c r="AF1741" s="46">
        <f>AE1741*IF(B1741&gt;=in_marketplace_from,d_hz_hlth_small*G1741,0)</f>
        <v/>
      </c>
      <c r="AG1741" s="14">
        <f>F1741*AF1741*in_hlth_small_ticket*in_hlth_small_comm*in_ins_partner_share+F1741*in_hlth_small_ticket*in_hlth_small_renew_comm*in_ins_partner_share*(in_hlth_small_renew^1*SUMIFS(AF1741:AF1753,B1741:B1753,B1741-12)+in_hlth_small_renew^2*SUMIFS(AF1741:AF1753,B1741:B1753,B1741-24)+in_hlth_small_renew^3*SUMIFS(AF1741:AF1753,B1741:B1753,B1741-36)+in_hlth_small_renew^4*SUMIFS(AF1741:AF1753,B1741:B1753,B1741-48))</f>
        <v/>
      </c>
      <c r="AH1741" s="40" t="n">
        <v>1</v>
      </c>
      <c r="AI1741" s="46">
        <f>AH1741*IF(B1741&gt;=in_marketplace_from,d_hz_hlth_family*G1741,0)</f>
        <v/>
      </c>
      <c r="AJ1741" s="14">
        <f>F1741*AI1741*in_hlth_family_ticket*in_hlth_family_comm*in_ins_partner_share+F1741*in_hlth_family_ticket*in_hlth_family_renew_comm*in_ins_partner_share*(in_hlth_family_renew^1*SUMIFS(AI1741:AI1753,B1741:B1753,B1741-12)+in_hlth_family_renew^2*SUMIFS(AI1741:AI1753,B1741:B1753,B1741-24)+in_hlth_family_renew^3*SUMIFS(AI1741:AI1753,B1741:B1753,B1741-36)+in_hlth_family_renew^4*SUMIFS(AI1741:AI1753,B1741:B1753,B1741-48))</f>
        <v/>
      </c>
      <c r="AK1741" s="40" t="n">
        <v>1</v>
      </c>
      <c r="AL1741" s="46">
        <f>AK1741*IF(B1741&gt;=in_marketplace_from,d_hz_life_term*G1741,0)</f>
        <v/>
      </c>
      <c r="AM1741" s="14">
        <f>F1741*AL1741*in_life_term_ticket*in_life_term_comm*in_ins_partner_share+F1741*in_life_term_ticket*in_life_term_renew_comm*in_ins_partner_share*(in_life_term_renew^1*SUMIFS(AL1741:AL1753,B1741:B1753,B1741-12)+in_life_term_renew^2*SUMIFS(AL1741:AL1753,B1741:B1753,B1741-24)+in_life_term_renew^3*SUMIFS(AL1741:AL1753,B1741:B1753,B1741-36)+in_life_term_renew^4*SUMIFS(AL1741:AL1753,B1741:B1753,B1741-48))</f>
        <v/>
      </c>
      <c r="AN1741" s="40" t="n">
        <v>1</v>
      </c>
      <c r="AO1741" s="46">
        <f>AN1741*IF(B1741&gt;=in_marketplace_from,d_hz_accident*G1741,0)</f>
        <v/>
      </c>
      <c r="AP1741" s="14">
        <f>F1741*AO1741*in_accident_ticket*in_accident_comm*in_ins_partner_share+F1741*in_accident_ticket*in_accident_renew_comm*in_ins_partner_share*(in_accident_renew^1*SUMIFS(AO1741:AO1753,B1741:B1753,B1741-12)+in_accident_renew^2*SUMIFS(AO1741:AO1753,B1741:B1753,B1741-24)+in_accident_renew^3*SUMIFS(AO1741:AO1753,B1741:B1753,B1741-36)+in_accident_renew^4*SUMIFS(AO1741:AO1753,B1741:B1753,B1741-48))</f>
        <v/>
      </c>
      <c r="AQ1741" s="40" t="n">
        <v>1</v>
      </c>
      <c r="AR1741" s="46">
        <f>AQ1741*IF(B1741&gt;=in_marketplace_from,d_hz_two_wheeler*G1741,0)</f>
        <v/>
      </c>
      <c r="AS1741" s="14">
        <f>F1741*AR1741*in_two_wheeler_ticket*in_two_wheeler_comm*in_ins_partner_share+F1741*in_two_wheeler_ticket*in_two_wheeler_comm*in_ins_partner_share*(in_two_wheeler_renew^1*SUMIFS(AR1741:AR1753,B1741:B1753,B1741-12)+in_two_wheeler_renew^2*SUMIFS(AR1741:AR1753,B1741:B1753,B1741-24)+in_two_wheeler_renew^3*SUMIFS(AR1741:AR1753,B1741:B1753,B1741-36)+in_two_wheeler_renew^4*SUMIFS(AR1741:AR1753,B1741:B1753,B1741-48))</f>
        <v/>
      </c>
      <c r="AT1741" s="40" t="n">
        <v>1</v>
      </c>
      <c r="AU1741" s="14">
        <f>F1741*AT1741*IF(B1741&gt;=in_marketplace_from,d_hz_device*G1741,0)*in_device_ticket*in_device_comm*in_ins_partner_share</f>
        <v/>
      </c>
      <c r="AV1741" s="40" t="n">
        <v>1</v>
      </c>
      <c r="AW1741" s="46">
        <f>AV1741*IF(B1741&gt;=in_marketplace_from,d_hz_shop*G1741,0)</f>
        <v/>
      </c>
      <c r="AX1741" s="14">
        <f>F1741*AW1741*in_shop_ticket*in_shop_comm*in_ins_partner_share+F1741*in_shop_ticket*in_shop_renew_comm*in_ins_partner_share*(in_shop_renew^1*SUMIFS(AW1741:AW1753,B1741:B1753,B1741-12)+in_shop_renew^2*SUMIFS(AW1741:AW1753,B1741:B1753,B1741-24)+in_shop_renew^3*SUMIFS(AW1741:AW1753,B1741:B1753,B1741-36)+in_shop_renew^4*SUMIFS(AW1741:AW1753,B1741:B1753,B1741-48))</f>
        <v/>
      </c>
      <c r="AY1741" s="40" t="n">
        <v>1</v>
      </c>
      <c r="AZ1741" s="40">
        <f>AY1741*IF(B1741&gt;=in_marketplace_from,d_hz_sip*G1741,0)</f>
        <v/>
      </c>
      <c r="BA1741" s="40" t="n">
        <v>0</v>
      </c>
      <c r="BB1741" s="14">
        <f>F1741*in_sip_ticket*(BA1741+0.5*AZ1741)*in_sip_comm/12</f>
        <v/>
      </c>
      <c r="BC1741" s="40" t="n">
        <v>1</v>
      </c>
      <c r="BD1741" s="46">
        <f>BC1741*IF(B1741&gt;=in_marketplace_from,d_hz_choti*G1741,0)</f>
        <v/>
      </c>
      <c r="BE1741" s="14">
        <f>F1741*SUMIFS(BD1741:BD1753,B1741:B1753,B1741-in_choti_months)*in_choti_renew*in_choti_ticket</f>
        <v/>
      </c>
      <c r="BF1741" s="40" t="n">
        <v>1</v>
      </c>
      <c r="BG1741" s="14">
        <f>F1741*BF1741*IF(B1741&gt;=in_marketplace_from,d_hz_nps*G1741,0)*in_nps_ticket*in_nps_comm</f>
        <v/>
      </c>
      <c r="BH1741" s="40" t="n">
        <v>1</v>
      </c>
      <c r="BI1741" s="40">
        <f>BH1741*IF(B1741&gt;=in_marketplace_from,d_hz_gold*G1741,0)</f>
        <v/>
      </c>
      <c r="BJ1741" s="14">
        <f>F1741*BI1741*in_gold_ticket*in_gold_comm</f>
        <v/>
      </c>
      <c r="BK1741" s="40" t="n">
        <v>1</v>
      </c>
      <c r="BL1741" s="14">
        <f>F1741*BK1741*IF(B1741&gt;=in_marketplace_from,d_hz_fd*G1741,0)*in_fd_ticket*in_fd_comm</f>
        <v/>
      </c>
      <c r="BM1741" s="40" t="n">
        <v>1</v>
      </c>
      <c r="BN1741" s="40">
        <f>BM1741*IF(B1741&gt;=in_marketplace_from,d_hz_recharge*G1741,0)</f>
        <v/>
      </c>
      <c r="BO1741" s="14">
        <f>F1741*BN1741*in_recharge_ticket*in_recharge_comm/12</f>
        <v/>
      </c>
      <c r="BP1741" s="40" t="n">
        <v>1</v>
      </c>
      <c r="BQ1741" s="40">
        <f>BP1741*IF(B1741&gt;=in_marketplace_from,d_hz_bills*G1741,0)</f>
        <v/>
      </c>
      <c r="BR1741" s="14">
        <f>F1741*BQ1741*in_bills_ticket*in_bills_comm/12</f>
        <v/>
      </c>
      <c r="BS1741" s="40" t="n">
        <v>1</v>
      </c>
      <c r="BT1741" s="14">
        <f>F1741*BS1741*IF(B1741&gt;=in_marketplace_from,d_hz_loan_gold*G1741,0)*in_loan_gold_ticket*in_loan_gold_comm</f>
        <v/>
      </c>
      <c r="BU1741" s="40" t="n">
        <v>1</v>
      </c>
      <c r="BV1741" s="14">
        <f>F1741*BU1741*IF(B1741&gt;=in_marketplace_from,d_hz_loan_cd*G1741,0)*in_loan_cd_ticket*in_loan_cd_comm</f>
        <v/>
      </c>
      <c r="BW1741" s="40" t="n">
        <v>1</v>
      </c>
      <c r="BX1741" s="14">
        <f>F1741*BW1741*IF(B1741&gt;=in_marketplace_from,d_hz_loan_vehicle*G1741,0)*in_loan_vehicle_ticket*in_loan_vehicle_comm</f>
        <v/>
      </c>
      <c r="BY1741" s="40" t="n">
        <v>1</v>
      </c>
      <c r="BZ1741" s="11">
        <f>MIN(in_approval_cap,in_loan_home_approval*INDEX('Age profile'!$O$2:$O$61,B1741)*(1+in_approval_growth)^(D1741-1))</f>
        <v/>
      </c>
      <c r="CA1741" s="14">
        <f>F1741*BY1741*IF(B1741&gt;=in_marketplace_from,d_hz_loan_home*G1741,0)*BZ1741*in_loan_home_ticket*in_loan_home_comm</f>
        <v/>
      </c>
      <c r="CB1741" s="40" t="n">
        <v>1</v>
      </c>
      <c r="CC1741" s="11">
        <f>MIN(in_approval_cap,in_loan_lap_approval*INDEX('Age profile'!$O$2:$O$61,B1741)*(1+in_approval_growth)^(D1741-1))</f>
        <v/>
      </c>
      <c r="CD1741" s="14">
        <f>F1741*CB1741*IF(B1741&gt;=in_marketplace_from,d_hz_loan_lap*G1741,0)*CC1741*in_loan_lap_ticket*in_loan_lap_comm</f>
        <v/>
      </c>
      <c r="CE1741" s="14">
        <f>AA1741+AB1741+AC1741+AD1741+AG1741+AJ1741+AM1741+AP1741+AS1741+AU1741+AX1741+BB1741+BE1741+BG1741+BJ1741+BL1741+BO1741+BR1741+BT1741+BV1741+BX1741+CA1741+CD1741</f>
        <v/>
      </c>
    </row>
    <row r="1742">
      <c r="A1742" s="39" t="n">
        <v>48</v>
      </c>
      <c r="B1742" s="39" t="n">
        <v>2</v>
      </c>
      <c r="C1742" s="39">
        <f>A1742+B1742-1</f>
        <v/>
      </c>
      <c r="D1742" s="39">
        <f>INT((C1742-1)/12)+1</f>
        <v/>
      </c>
      <c r="E1742" s="44">
        <f>INDEX(Monthly!$B$2:$B$61,A1742)</f>
        <v/>
      </c>
      <c r="F1742" s="44">
        <f>E1742*INDEX('Age profile'!$B$2:$B$61,B1742)</f>
        <v/>
      </c>
      <c r="G1742" s="45">
        <f>MIN(in_takeup_cap,INDEX('Age profile'!$N$2:$N$61,B1742)*(1+in_takeup_growth)^(D1742-1))</f>
        <v/>
      </c>
      <c r="H1742" s="11">
        <f>MIN(in_approval_cap,in_approved_first*INDEX('Age profile'!$O$2:$O$61,B1742)*(1+in_approval_growth)^(D1742-1))</f>
        <v/>
      </c>
      <c r="I1742" s="45">
        <f>G1742*MIN(in_takeup_cap,INDEX('Age profile'!$O$2:$O$61,B1742)*(1+in_approval_growth)^(D1742-1))</f>
        <v/>
      </c>
      <c r="J1742" s="40">
        <f>(J1741-L1741)*F1742/F1741</f>
        <v/>
      </c>
      <c r="K1742" s="40">
        <f>(K1741-M1741)*F1742/F1741+SUMIFS(O1741:O1741,B1741:B1741,B1742-1-d_T)*F1742</f>
        <v/>
      </c>
      <c r="L1742" s="40">
        <f>IF(B1742&gt;=in_marketplace_from,J1742*d_hz*G1742*in_eligible*H1742,0)</f>
        <v/>
      </c>
      <c r="M1742" s="40">
        <f>IF(B1742&gt;=in_marketplace_from,K1742*d_hz*G1742*in_eligible*in_approved_repeat,0)</f>
        <v/>
      </c>
      <c r="N1742" s="40">
        <f>L1742+M1742</f>
        <v/>
      </c>
      <c r="O1742" s="46">
        <f>N1742/F1742</f>
        <v/>
      </c>
      <c r="P1742" s="40">
        <f>F1742-J1742-K1742</f>
        <v/>
      </c>
      <c r="Q1742" s="40">
        <f>IF(B1742&gt;=in_marketplace_from,(J1742+K1742)*d_hz*G1742,0)</f>
        <v/>
      </c>
      <c r="R1742" s="40">
        <f>SUMIFS(N1741:N1753,B1741:B1753,"&gt;="&amp;(B1742-d_T),B1741:B1753,"&lt;="&amp;(B1742-1))</f>
        <v/>
      </c>
      <c r="S1742" s="46">
        <f>(1-d_u)*S1741+IF(d_T&gt;in_topup_lag,SUMIFS(O1741:O1753,B1741:B1753,B1742-in_topup_lag)-d_udrop*SUMIFS(O1741:O1753,B1741:B1753,B1742-d_T),0)</f>
        <v/>
      </c>
      <c r="T1742" s="40">
        <f>F1742*d_u*S1742</f>
        <v/>
      </c>
      <c r="U1742" s="9">
        <f>L1742*in_ticket+M1742*d_rep_ticket</f>
        <v/>
      </c>
      <c r="V1742" s="9">
        <f>U1742+T1742*d_topup_amt</f>
        <v/>
      </c>
      <c r="W1742" s="40">
        <f>N1742+T1742*d_topup_ratio</f>
        <v/>
      </c>
      <c r="X1742" s="40">
        <f>SUMIFS(W1741:W1753,B1741:B1753,B1742-in_dpd_lag)*d_cured</f>
        <v/>
      </c>
      <c r="Y1742" s="40">
        <f>SUMIFS(W1741:W1753,B1741:B1753,B1742-in_rec_lag)*d_recd</f>
        <v/>
      </c>
      <c r="Z1742" s="40">
        <f>IF(AND(B1742&gt;=in_marketplace_from,B1742&lt;in_marketplace_from+in_card_months),in_card_share/in_card_months*F1742*I1742,IF(AND(B1742&gt;=in_marketplace_from+in_card_months,B1742&lt;in_marketplace_from+2*in_card_months),in_card_share*d_card_rem/in_card_months*F1742*MIN(in_takeup_cap,(1+in_takeup_growth)^(D1742-1))*MIN(in_takeup_cap,(1+in_approval_growth)^(D1742-1)),0))</f>
        <v/>
      </c>
      <c r="AA1742" s="14">
        <f>V1742*in_fee*(1-in_taken_back)</f>
        <v/>
      </c>
      <c r="AB1742" s="14">
        <f>SUMIFS(W1741:W1753,B1741:B1753,B1742-in_dpd_lag)*d_dpd</f>
        <v/>
      </c>
      <c r="AC1742" s="14">
        <f>SUMIFS(W1741:W1753,B1741:B1753,B1742-in_rec_lag)*d_rec</f>
        <v/>
      </c>
      <c r="AD1742" s="14">
        <f>Z1742*in_card_fee</f>
        <v/>
      </c>
      <c r="AE1742" s="40">
        <f>AE1741*(1-IF(B1741&gt;=in_marketplace_from,d_hz_hlth_small*G1741,0))</f>
        <v/>
      </c>
      <c r="AF1742" s="46">
        <f>AE1742*IF(B1742&gt;=in_marketplace_from,d_hz_hlth_small*G1742,0)</f>
        <v/>
      </c>
      <c r="AG1742" s="14">
        <f>F1742*AF1742*in_hlth_small_ticket*in_hlth_small_comm*in_ins_partner_share+F1742*in_hlth_small_ticket*in_hlth_small_renew_comm*in_ins_partner_share*(in_hlth_small_renew^1*SUMIFS(AF1741:AF1753,B1741:B1753,B1742-12)+in_hlth_small_renew^2*SUMIFS(AF1741:AF1753,B1741:B1753,B1742-24)+in_hlth_small_renew^3*SUMIFS(AF1741:AF1753,B1741:B1753,B1742-36)+in_hlth_small_renew^4*SUMIFS(AF1741:AF1753,B1741:B1753,B1742-48))</f>
        <v/>
      </c>
      <c r="AH1742" s="40">
        <f>AH1741*(1-IF(B1741&gt;=in_marketplace_from,d_hz_hlth_family*G1741,0))</f>
        <v/>
      </c>
      <c r="AI1742" s="46">
        <f>AH1742*IF(B1742&gt;=in_marketplace_from,d_hz_hlth_family*G1742,0)</f>
        <v/>
      </c>
      <c r="AJ1742" s="14">
        <f>F1742*AI1742*in_hlth_family_ticket*in_hlth_family_comm*in_ins_partner_share+F1742*in_hlth_family_ticket*in_hlth_family_renew_comm*in_ins_partner_share*(in_hlth_family_renew^1*SUMIFS(AI1741:AI1753,B1741:B1753,B1742-12)+in_hlth_family_renew^2*SUMIFS(AI1741:AI1753,B1741:B1753,B1742-24)+in_hlth_family_renew^3*SUMIFS(AI1741:AI1753,B1741:B1753,B1742-36)+in_hlth_family_renew^4*SUMIFS(AI1741:AI1753,B1741:B1753,B1742-48))</f>
        <v/>
      </c>
      <c r="AK1742" s="40">
        <f>AK1741*(1-IF(B1741&gt;=in_marketplace_from,d_hz_life_term*G1741,0))</f>
        <v/>
      </c>
      <c r="AL1742" s="46">
        <f>AK1742*IF(B1742&gt;=in_marketplace_from,d_hz_life_term*G1742,0)</f>
        <v/>
      </c>
      <c r="AM1742" s="14">
        <f>F1742*AL1742*in_life_term_ticket*in_life_term_comm*in_ins_partner_share+F1742*in_life_term_ticket*in_life_term_renew_comm*in_ins_partner_share*(in_life_term_renew^1*SUMIFS(AL1741:AL1753,B1741:B1753,B1742-12)+in_life_term_renew^2*SUMIFS(AL1741:AL1753,B1741:B1753,B1742-24)+in_life_term_renew^3*SUMIFS(AL1741:AL1753,B1741:B1753,B1742-36)+in_life_term_renew^4*SUMIFS(AL1741:AL1753,B1741:B1753,B1742-48))</f>
        <v/>
      </c>
      <c r="AN1742" s="40">
        <f>AN1741*(1-IF(B1741&gt;=in_marketplace_from,d_hz_accident*G1741,0))</f>
        <v/>
      </c>
      <c r="AO1742" s="46">
        <f>AN1742*IF(B1742&gt;=in_marketplace_from,d_hz_accident*G1742,0)</f>
        <v/>
      </c>
      <c r="AP1742" s="14">
        <f>F1742*AO1742*in_accident_ticket*in_accident_comm*in_ins_partner_share+F1742*in_accident_ticket*in_accident_renew_comm*in_ins_partner_share*(in_accident_renew^1*SUMIFS(AO1741:AO1753,B1741:B1753,B1742-12)+in_accident_renew^2*SUMIFS(AO1741:AO1753,B1741:B1753,B1742-24)+in_accident_renew^3*SUMIFS(AO1741:AO1753,B1741:B1753,B1742-36)+in_accident_renew^4*SUMIFS(AO1741:AO1753,B1741:B1753,B1742-48))</f>
        <v/>
      </c>
      <c r="AQ1742" s="40">
        <f>AQ1741*(1-IF(B1741&gt;=in_marketplace_from,d_hz_two_wheeler*G1741,0))</f>
        <v/>
      </c>
      <c r="AR1742" s="46">
        <f>AQ1742*IF(B1742&gt;=in_marketplace_from,d_hz_two_wheeler*G1742,0)</f>
        <v/>
      </c>
      <c r="AS1742" s="14">
        <f>F1742*AR1742*in_two_wheeler_ticket*in_two_wheeler_comm*in_ins_partner_share+F1742*in_two_wheeler_ticket*in_two_wheeler_comm*in_ins_partner_share*(in_two_wheeler_renew^1*SUMIFS(AR1741:AR1753,B1741:B1753,B1742-12)+in_two_wheeler_renew^2*SUMIFS(AR1741:AR1753,B1741:B1753,B1742-24)+in_two_wheeler_renew^3*SUMIFS(AR1741:AR1753,B1741:B1753,B1742-36)+in_two_wheeler_renew^4*SUMIFS(AR1741:AR1753,B1741:B1753,B1742-48))</f>
        <v/>
      </c>
      <c r="AT1742" s="40">
        <f>AT1741*(1-IF(B1741&gt;=in_marketplace_from,d_hz_device*G1741,0))</f>
        <v/>
      </c>
      <c r="AU1742" s="14">
        <f>F1742*AT1742*IF(B1742&gt;=in_marketplace_from,d_hz_device*G1742,0)*in_device_ticket*in_device_comm*in_ins_partner_share</f>
        <v/>
      </c>
      <c r="AV1742" s="40">
        <f>AV1741*(1-IF(B1741&gt;=in_marketplace_from,d_hz_shop*G1741,0))</f>
        <v/>
      </c>
      <c r="AW1742" s="46">
        <f>AV1742*IF(B1742&gt;=in_marketplace_from,d_hz_shop*G1742,0)</f>
        <v/>
      </c>
      <c r="AX1742" s="14">
        <f>F1742*AW1742*in_shop_ticket*in_shop_comm*in_ins_partner_share+F1742*in_shop_ticket*in_shop_renew_comm*in_ins_partner_share*(in_shop_renew^1*SUMIFS(AW1741:AW1753,B1741:B1753,B1742-12)+in_shop_renew^2*SUMIFS(AW1741:AW1753,B1741:B1753,B1742-24)+in_shop_renew^3*SUMIFS(AW1741:AW1753,B1741:B1753,B1742-36)+in_shop_renew^4*SUMIFS(AW1741:AW1753,B1741:B1753,B1742-48))</f>
        <v/>
      </c>
      <c r="AY1742" s="40">
        <f>AY1741*(1-IF(B1741&gt;=in_marketplace_from,d_hz_sip*G1741,0))</f>
        <v/>
      </c>
      <c r="AZ1742" s="40">
        <f>AZ1741*d_rho_sip+AY1742*IF(B1742&gt;=in_marketplace_from,d_hz_sip*G1742,0)</f>
        <v/>
      </c>
      <c r="BA1742" s="40">
        <f>d_rho_sip*(BA1741+AZ1741)</f>
        <v/>
      </c>
      <c r="BB1742" s="14">
        <f>F1742*in_sip_ticket*(BA1742+0.5*AZ1742)*in_sip_comm/12</f>
        <v/>
      </c>
      <c r="BC1742" s="40">
        <f>BC1741*(1-IF(B1741&gt;=in_marketplace_from,d_hz_choti*G1741,0))</f>
        <v/>
      </c>
      <c r="BD1742" s="46">
        <f>BC1742*IF(B1742&gt;=in_marketplace_from,d_hz_choti*G1742,0)</f>
        <v/>
      </c>
      <c r="BE1742" s="14">
        <f>F1742*SUMIFS(BD1741:BD1753,B1741:B1753,B1742-in_choti_months)*in_choti_renew*in_choti_ticket</f>
        <v/>
      </c>
      <c r="BF1742" s="40">
        <f>BF1741*(1-IF(B1741&gt;=in_marketplace_from,d_hz_nps*G1741,0))</f>
        <v/>
      </c>
      <c r="BG1742" s="14">
        <f>F1742*BF1742*IF(B1742&gt;=in_marketplace_from,d_hz_nps*G1742,0)*in_nps_ticket*in_nps_comm</f>
        <v/>
      </c>
      <c r="BH1742" s="40">
        <f>BH1741*(1-IF(B1741&gt;=in_marketplace_from,d_hz_gold*G1741,0))</f>
        <v/>
      </c>
      <c r="BI1742" s="40">
        <f>BI1741*d_rho_gold+BH1742*IF(B1742&gt;=in_marketplace_from,d_hz_gold*G1742,0)</f>
        <v/>
      </c>
      <c r="BJ1742" s="14">
        <f>F1742*BI1742*in_gold_ticket*in_gold_comm</f>
        <v/>
      </c>
      <c r="BK1742" s="40">
        <f>BK1741*(1-IF(B1741&gt;=in_marketplace_from,d_hz_fd*G1741,0))</f>
        <v/>
      </c>
      <c r="BL1742" s="14">
        <f>F1742*BK1742*IF(B1742&gt;=in_marketplace_from,d_hz_fd*G1742,0)*in_fd_ticket*in_fd_comm</f>
        <v/>
      </c>
      <c r="BM1742" s="40">
        <f>BM1741*(1-IF(B1741&gt;=in_marketplace_from,d_hz_recharge*G1741,0))</f>
        <v/>
      </c>
      <c r="BN1742" s="40">
        <f>BN1741*d_rho_recharge+BM1742*IF(B1742&gt;=in_marketplace_from,d_hz_recharge*G1742,0)</f>
        <v/>
      </c>
      <c r="BO1742" s="14">
        <f>F1742*BN1742*in_recharge_ticket*in_recharge_comm/12</f>
        <v/>
      </c>
      <c r="BP1742" s="40">
        <f>BP1741*(1-IF(B1741&gt;=in_marketplace_from,d_hz_bills*G1741,0))</f>
        <v/>
      </c>
      <c r="BQ1742" s="40">
        <f>BQ1741*d_rho_bills+BP1742*IF(B1742&gt;=in_marketplace_from,d_hz_bills*G1742,0)</f>
        <v/>
      </c>
      <c r="BR1742" s="14">
        <f>F1742*BQ1742*in_bills_ticket*in_bills_comm/12</f>
        <v/>
      </c>
      <c r="BS1742" s="40">
        <f>BS1741*(1-IF(B1741&gt;=in_marketplace_from,d_hz_loan_gold*G1741,0))</f>
        <v/>
      </c>
      <c r="BT1742" s="14">
        <f>F1742*BS1742*IF(B1742&gt;=in_marketplace_from,d_hz_loan_gold*G1742,0)*in_loan_gold_ticket*in_loan_gold_comm</f>
        <v/>
      </c>
      <c r="BU1742" s="40">
        <f>BU1741*(1-IF(B1741&gt;=in_marketplace_from,d_hz_loan_cd*G1741,0))</f>
        <v/>
      </c>
      <c r="BV1742" s="14">
        <f>F1742*BU1742*IF(B1742&gt;=in_marketplace_from,d_hz_loan_cd*G1742,0)*in_loan_cd_ticket*in_loan_cd_comm</f>
        <v/>
      </c>
      <c r="BW1742" s="40">
        <f>BW1741*(1-IF(B1741&gt;=in_marketplace_from,d_hz_loan_vehicle*G1741,0))</f>
        <v/>
      </c>
      <c r="BX1742" s="14">
        <f>F1742*BW1742*IF(B1742&gt;=in_marketplace_from,d_hz_loan_vehicle*G1742,0)*in_loan_vehicle_ticket*in_loan_vehicle_comm</f>
        <v/>
      </c>
      <c r="BY1742" s="40">
        <f>BY1741*(1-IF(B1741&gt;=in_marketplace_from,d_hz_loan_home*G1741,0)*BZ1741)</f>
        <v/>
      </c>
      <c r="BZ1742" s="11">
        <f>MIN(in_approval_cap,in_loan_home_approval*INDEX('Age profile'!$O$2:$O$61,B1742)*(1+in_approval_growth)^(D1742-1))</f>
        <v/>
      </c>
      <c r="CA1742" s="14">
        <f>F1742*BY1742*IF(B1742&gt;=in_marketplace_from,d_hz_loan_home*G1742,0)*BZ1742*in_loan_home_ticket*in_loan_home_comm</f>
        <v/>
      </c>
      <c r="CB1742" s="40">
        <f>CB1741*(1-IF(B1741&gt;=in_marketplace_from,d_hz_loan_lap*G1741,0)*CC1741)</f>
        <v/>
      </c>
      <c r="CC1742" s="11">
        <f>MIN(in_approval_cap,in_loan_lap_approval*INDEX('Age profile'!$O$2:$O$61,B1742)*(1+in_approval_growth)^(D1742-1))</f>
        <v/>
      </c>
      <c r="CD1742" s="14">
        <f>F1742*CB1742*IF(B1742&gt;=in_marketplace_from,d_hz_loan_lap*G1742,0)*CC1742*in_loan_lap_ticket*in_loan_lap_comm</f>
        <v/>
      </c>
      <c r="CE1742" s="14">
        <f>AA1742+AB1742+AC1742+AD1742+AG1742+AJ1742+AM1742+AP1742+AS1742+AU1742+AX1742+BB1742+BE1742+BG1742+BJ1742+BL1742+BO1742+BR1742+BT1742+BV1742+BX1742+CA1742+CD1742</f>
        <v/>
      </c>
    </row>
    <row r="1743">
      <c r="A1743" s="39" t="n">
        <v>48</v>
      </c>
      <c r="B1743" s="39" t="n">
        <v>3</v>
      </c>
      <c r="C1743" s="39">
        <f>A1743+B1743-1</f>
        <v/>
      </c>
      <c r="D1743" s="39">
        <f>INT((C1743-1)/12)+1</f>
        <v/>
      </c>
      <c r="E1743" s="44">
        <f>INDEX(Monthly!$B$2:$B$61,A1743)</f>
        <v/>
      </c>
      <c r="F1743" s="44">
        <f>E1743*INDEX('Age profile'!$B$2:$B$61,B1743)</f>
        <v/>
      </c>
      <c r="G1743" s="45">
        <f>MIN(in_takeup_cap,INDEX('Age profile'!$N$2:$N$61,B1743)*(1+in_takeup_growth)^(D1743-1))</f>
        <v/>
      </c>
      <c r="H1743" s="11">
        <f>MIN(in_approval_cap,in_approved_first*INDEX('Age profile'!$O$2:$O$61,B1743)*(1+in_approval_growth)^(D1743-1))</f>
        <v/>
      </c>
      <c r="I1743" s="45">
        <f>G1743*MIN(in_takeup_cap,INDEX('Age profile'!$O$2:$O$61,B1743)*(1+in_approval_growth)^(D1743-1))</f>
        <v/>
      </c>
      <c r="J1743" s="40">
        <f>(J1742-L1742)*F1743/F1742</f>
        <v/>
      </c>
      <c r="K1743" s="40">
        <f>(K1742-M1742)*F1743/F1742+SUMIFS(O1741:O1742,B1741:B1742,B1743-1-d_T)*F1743</f>
        <v/>
      </c>
      <c r="L1743" s="40">
        <f>IF(B1743&gt;=in_marketplace_from,J1743*d_hz*G1743*in_eligible*H1743,0)</f>
        <v/>
      </c>
      <c r="M1743" s="40">
        <f>IF(B1743&gt;=in_marketplace_from,K1743*d_hz*G1743*in_eligible*in_approved_repeat,0)</f>
        <v/>
      </c>
      <c r="N1743" s="40">
        <f>L1743+M1743</f>
        <v/>
      </c>
      <c r="O1743" s="46">
        <f>N1743/F1743</f>
        <v/>
      </c>
      <c r="P1743" s="40">
        <f>F1743-J1743-K1743</f>
        <v/>
      </c>
      <c r="Q1743" s="40">
        <f>IF(B1743&gt;=in_marketplace_from,(J1743+K1743)*d_hz*G1743,0)</f>
        <v/>
      </c>
      <c r="R1743" s="40">
        <f>SUMIFS(N1741:N1753,B1741:B1753,"&gt;="&amp;(B1743-d_T),B1741:B1753,"&lt;="&amp;(B1743-1))</f>
        <v/>
      </c>
      <c r="S1743" s="46">
        <f>(1-d_u)*S1742+IF(d_T&gt;in_topup_lag,SUMIFS(O1741:O1753,B1741:B1753,B1743-in_topup_lag)-d_udrop*SUMIFS(O1741:O1753,B1741:B1753,B1743-d_T),0)</f>
        <v/>
      </c>
      <c r="T1743" s="40">
        <f>F1743*d_u*S1743</f>
        <v/>
      </c>
      <c r="U1743" s="9">
        <f>L1743*in_ticket+M1743*d_rep_ticket</f>
        <v/>
      </c>
      <c r="V1743" s="9">
        <f>U1743+T1743*d_topup_amt</f>
        <v/>
      </c>
      <c r="W1743" s="40">
        <f>N1743+T1743*d_topup_ratio</f>
        <v/>
      </c>
      <c r="X1743" s="40">
        <f>SUMIFS(W1741:W1753,B1741:B1753,B1743-in_dpd_lag)*d_cured</f>
        <v/>
      </c>
      <c r="Y1743" s="40">
        <f>SUMIFS(W1741:W1753,B1741:B1753,B1743-in_rec_lag)*d_recd</f>
        <v/>
      </c>
      <c r="Z1743" s="40">
        <f>IF(AND(B1743&gt;=in_marketplace_from,B1743&lt;in_marketplace_from+in_card_months),in_card_share/in_card_months*F1743*I1743,IF(AND(B1743&gt;=in_marketplace_from+in_card_months,B1743&lt;in_marketplace_from+2*in_card_months),in_card_share*d_card_rem/in_card_months*F1743*MIN(in_takeup_cap,(1+in_takeup_growth)^(D1743-1))*MIN(in_takeup_cap,(1+in_approval_growth)^(D1743-1)),0))</f>
        <v/>
      </c>
      <c r="AA1743" s="14">
        <f>V1743*in_fee*(1-in_taken_back)</f>
        <v/>
      </c>
      <c r="AB1743" s="14">
        <f>SUMIFS(W1741:W1753,B1741:B1753,B1743-in_dpd_lag)*d_dpd</f>
        <v/>
      </c>
      <c r="AC1743" s="14">
        <f>SUMIFS(W1741:W1753,B1741:B1753,B1743-in_rec_lag)*d_rec</f>
        <v/>
      </c>
      <c r="AD1743" s="14">
        <f>Z1743*in_card_fee</f>
        <v/>
      </c>
      <c r="AE1743" s="40">
        <f>AE1742*(1-IF(B1742&gt;=in_marketplace_from,d_hz_hlth_small*G1742,0))</f>
        <v/>
      </c>
      <c r="AF1743" s="46">
        <f>AE1743*IF(B1743&gt;=in_marketplace_from,d_hz_hlth_small*G1743,0)</f>
        <v/>
      </c>
      <c r="AG1743" s="14">
        <f>F1743*AF1743*in_hlth_small_ticket*in_hlth_small_comm*in_ins_partner_share+F1743*in_hlth_small_ticket*in_hlth_small_renew_comm*in_ins_partner_share*(in_hlth_small_renew^1*SUMIFS(AF1741:AF1753,B1741:B1753,B1743-12)+in_hlth_small_renew^2*SUMIFS(AF1741:AF1753,B1741:B1753,B1743-24)+in_hlth_small_renew^3*SUMIFS(AF1741:AF1753,B1741:B1753,B1743-36)+in_hlth_small_renew^4*SUMIFS(AF1741:AF1753,B1741:B1753,B1743-48))</f>
        <v/>
      </c>
      <c r="AH1743" s="40">
        <f>AH1742*(1-IF(B1742&gt;=in_marketplace_from,d_hz_hlth_family*G1742,0))</f>
        <v/>
      </c>
      <c r="AI1743" s="46">
        <f>AH1743*IF(B1743&gt;=in_marketplace_from,d_hz_hlth_family*G1743,0)</f>
        <v/>
      </c>
      <c r="AJ1743" s="14">
        <f>F1743*AI1743*in_hlth_family_ticket*in_hlth_family_comm*in_ins_partner_share+F1743*in_hlth_family_ticket*in_hlth_family_renew_comm*in_ins_partner_share*(in_hlth_family_renew^1*SUMIFS(AI1741:AI1753,B1741:B1753,B1743-12)+in_hlth_family_renew^2*SUMIFS(AI1741:AI1753,B1741:B1753,B1743-24)+in_hlth_family_renew^3*SUMIFS(AI1741:AI1753,B1741:B1753,B1743-36)+in_hlth_family_renew^4*SUMIFS(AI1741:AI1753,B1741:B1753,B1743-48))</f>
        <v/>
      </c>
      <c r="AK1743" s="40">
        <f>AK1742*(1-IF(B1742&gt;=in_marketplace_from,d_hz_life_term*G1742,0))</f>
        <v/>
      </c>
      <c r="AL1743" s="46">
        <f>AK1743*IF(B1743&gt;=in_marketplace_from,d_hz_life_term*G1743,0)</f>
        <v/>
      </c>
      <c r="AM1743" s="14">
        <f>F1743*AL1743*in_life_term_ticket*in_life_term_comm*in_ins_partner_share+F1743*in_life_term_ticket*in_life_term_renew_comm*in_ins_partner_share*(in_life_term_renew^1*SUMIFS(AL1741:AL1753,B1741:B1753,B1743-12)+in_life_term_renew^2*SUMIFS(AL1741:AL1753,B1741:B1753,B1743-24)+in_life_term_renew^3*SUMIFS(AL1741:AL1753,B1741:B1753,B1743-36)+in_life_term_renew^4*SUMIFS(AL1741:AL1753,B1741:B1753,B1743-48))</f>
        <v/>
      </c>
      <c r="AN1743" s="40">
        <f>AN1742*(1-IF(B1742&gt;=in_marketplace_from,d_hz_accident*G1742,0))</f>
        <v/>
      </c>
      <c r="AO1743" s="46">
        <f>AN1743*IF(B1743&gt;=in_marketplace_from,d_hz_accident*G1743,0)</f>
        <v/>
      </c>
      <c r="AP1743" s="14">
        <f>F1743*AO1743*in_accident_ticket*in_accident_comm*in_ins_partner_share+F1743*in_accident_ticket*in_accident_renew_comm*in_ins_partner_share*(in_accident_renew^1*SUMIFS(AO1741:AO1753,B1741:B1753,B1743-12)+in_accident_renew^2*SUMIFS(AO1741:AO1753,B1741:B1753,B1743-24)+in_accident_renew^3*SUMIFS(AO1741:AO1753,B1741:B1753,B1743-36)+in_accident_renew^4*SUMIFS(AO1741:AO1753,B1741:B1753,B1743-48))</f>
        <v/>
      </c>
      <c r="AQ1743" s="40">
        <f>AQ1742*(1-IF(B1742&gt;=in_marketplace_from,d_hz_two_wheeler*G1742,0))</f>
        <v/>
      </c>
      <c r="AR1743" s="46">
        <f>AQ1743*IF(B1743&gt;=in_marketplace_from,d_hz_two_wheeler*G1743,0)</f>
        <v/>
      </c>
      <c r="AS1743" s="14">
        <f>F1743*AR1743*in_two_wheeler_ticket*in_two_wheeler_comm*in_ins_partner_share+F1743*in_two_wheeler_ticket*in_two_wheeler_comm*in_ins_partner_share*(in_two_wheeler_renew^1*SUMIFS(AR1741:AR1753,B1741:B1753,B1743-12)+in_two_wheeler_renew^2*SUMIFS(AR1741:AR1753,B1741:B1753,B1743-24)+in_two_wheeler_renew^3*SUMIFS(AR1741:AR1753,B1741:B1753,B1743-36)+in_two_wheeler_renew^4*SUMIFS(AR1741:AR1753,B1741:B1753,B1743-48))</f>
        <v/>
      </c>
      <c r="AT1743" s="40">
        <f>AT1742*(1-IF(B1742&gt;=in_marketplace_from,d_hz_device*G1742,0))</f>
        <v/>
      </c>
      <c r="AU1743" s="14">
        <f>F1743*AT1743*IF(B1743&gt;=in_marketplace_from,d_hz_device*G1743,0)*in_device_ticket*in_device_comm*in_ins_partner_share</f>
        <v/>
      </c>
      <c r="AV1743" s="40">
        <f>AV1742*(1-IF(B1742&gt;=in_marketplace_from,d_hz_shop*G1742,0))</f>
        <v/>
      </c>
      <c r="AW1743" s="46">
        <f>AV1743*IF(B1743&gt;=in_marketplace_from,d_hz_shop*G1743,0)</f>
        <v/>
      </c>
      <c r="AX1743" s="14">
        <f>F1743*AW1743*in_shop_ticket*in_shop_comm*in_ins_partner_share+F1743*in_shop_ticket*in_shop_renew_comm*in_ins_partner_share*(in_shop_renew^1*SUMIFS(AW1741:AW1753,B1741:B1753,B1743-12)+in_shop_renew^2*SUMIFS(AW1741:AW1753,B1741:B1753,B1743-24)+in_shop_renew^3*SUMIFS(AW1741:AW1753,B1741:B1753,B1743-36)+in_shop_renew^4*SUMIFS(AW1741:AW1753,B1741:B1753,B1743-48))</f>
        <v/>
      </c>
      <c r="AY1743" s="40">
        <f>AY1742*(1-IF(B1742&gt;=in_marketplace_from,d_hz_sip*G1742,0))</f>
        <v/>
      </c>
      <c r="AZ1743" s="40">
        <f>AZ1742*d_rho_sip+AY1743*IF(B1743&gt;=in_marketplace_from,d_hz_sip*G1743,0)</f>
        <v/>
      </c>
      <c r="BA1743" s="40">
        <f>d_rho_sip*(BA1742+AZ1742)</f>
        <v/>
      </c>
      <c r="BB1743" s="14">
        <f>F1743*in_sip_ticket*(BA1743+0.5*AZ1743)*in_sip_comm/12</f>
        <v/>
      </c>
      <c r="BC1743" s="40">
        <f>BC1742*(1-IF(B1742&gt;=in_marketplace_from,d_hz_choti*G1742,0))</f>
        <v/>
      </c>
      <c r="BD1743" s="46">
        <f>BC1743*IF(B1743&gt;=in_marketplace_from,d_hz_choti*G1743,0)</f>
        <v/>
      </c>
      <c r="BE1743" s="14">
        <f>F1743*SUMIFS(BD1741:BD1753,B1741:B1753,B1743-in_choti_months)*in_choti_renew*in_choti_ticket</f>
        <v/>
      </c>
      <c r="BF1743" s="40">
        <f>BF1742*(1-IF(B1742&gt;=in_marketplace_from,d_hz_nps*G1742,0))</f>
        <v/>
      </c>
      <c r="BG1743" s="14">
        <f>F1743*BF1743*IF(B1743&gt;=in_marketplace_from,d_hz_nps*G1743,0)*in_nps_ticket*in_nps_comm</f>
        <v/>
      </c>
      <c r="BH1743" s="40">
        <f>BH1742*(1-IF(B1742&gt;=in_marketplace_from,d_hz_gold*G1742,0))</f>
        <v/>
      </c>
      <c r="BI1743" s="40">
        <f>BI1742*d_rho_gold+BH1743*IF(B1743&gt;=in_marketplace_from,d_hz_gold*G1743,0)</f>
        <v/>
      </c>
      <c r="BJ1743" s="14">
        <f>F1743*BI1743*in_gold_ticket*in_gold_comm</f>
        <v/>
      </c>
      <c r="BK1743" s="40">
        <f>BK1742*(1-IF(B1742&gt;=in_marketplace_from,d_hz_fd*G1742,0))</f>
        <v/>
      </c>
      <c r="BL1743" s="14">
        <f>F1743*BK1743*IF(B1743&gt;=in_marketplace_from,d_hz_fd*G1743,0)*in_fd_ticket*in_fd_comm</f>
        <v/>
      </c>
      <c r="BM1743" s="40">
        <f>BM1742*(1-IF(B1742&gt;=in_marketplace_from,d_hz_recharge*G1742,0))</f>
        <v/>
      </c>
      <c r="BN1743" s="40">
        <f>BN1742*d_rho_recharge+BM1743*IF(B1743&gt;=in_marketplace_from,d_hz_recharge*G1743,0)</f>
        <v/>
      </c>
      <c r="BO1743" s="14">
        <f>F1743*BN1743*in_recharge_ticket*in_recharge_comm/12</f>
        <v/>
      </c>
      <c r="BP1743" s="40">
        <f>BP1742*(1-IF(B1742&gt;=in_marketplace_from,d_hz_bills*G1742,0))</f>
        <v/>
      </c>
      <c r="BQ1743" s="40">
        <f>BQ1742*d_rho_bills+BP1743*IF(B1743&gt;=in_marketplace_from,d_hz_bills*G1743,0)</f>
        <v/>
      </c>
      <c r="BR1743" s="14">
        <f>F1743*BQ1743*in_bills_ticket*in_bills_comm/12</f>
        <v/>
      </c>
      <c r="BS1743" s="40">
        <f>BS1742*(1-IF(B1742&gt;=in_marketplace_from,d_hz_loan_gold*G1742,0))</f>
        <v/>
      </c>
      <c r="BT1743" s="14">
        <f>F1743*BS1743*IF(B1743&gt;=in_marketplace_from,d_hz_loan_gold*G1743,0)*in_loan_gold_ticket*in_loan_gold_comm</f>
        <v/>
      </c>
      <c r="BU1743" s="40">
        <f>BU1742*(1-IF(B1742&gt;=in_marketplace_from,d_hz_loan_cd*G1742,0))</f>
        <v/>
      </c>
      <c r="BV1743" s="14">
        <f>F1743*BU1743*IF(B1743&gt;=in_marketplace_from,d_hz_loan_cd*G1743,0)*in_loan_cd_ticket*in_loan_cd_comm</f>
        <v/>
      </c>
      <c r="BW1743" s="40">
        <f>BW1742*(1-IF(B1742&gt;=in_marketplace_from,d_hz_loan_vehicle*G1742,0))</f>
        <v/>
      </c>
      <c r="BX1743" s="14">
        <f>F1743*BW1743*IF(B1743&gt;=in_marketplace_from,d_hz_loan_vehicle*G1743,0)*in_loan_vehicle_ticket*in_loan_vehicle_comm</f>
        <v/>
      </c>
      <c r="BY1743" s="40">
        <f>BY1742*(1-IF(B1742&gt;=in_marketplace_from,d_hz_loan_home*G1742,0)*BZ1742)</f>
        <v/>
      </c>
      <c r="BZ1743" s="11">
        <f>MIN(in_approval_cap,in_loan_home_approval*INDEX('Age profile'!$O$2:$O$61,B1743)*(1+in_approval_growth)^(D1743-1))</f>
        <v/>
      </c>
      <c r="CA1743" s="14">
        <f>F1743*BY1743*IF(B1743&gt;=in_marketplace_from,d_hz_loan_home*G1743,0)*BZ1743*in_loan_home_ticket*in_loan_home_comm</f>
        <v/>
      </c>
      <c r="CB1743" s="40">
        <f>CB1742*(1-IF(B1742&gt;=in_marketplace_from,d_hz_loan_lap*G1742,0)*CC1742)</f>
        <v/>
      </c>
      <c r="CC1743" s="11">
        <f>MIN(in_approval_cap,in_loan_lap_approval*INDEX('Age profile'!$O$2:$O$61,B1743)*(1+in_approval_growth)^(D1743-1))</f>
        <v/>
      </c>
      <c r="CD1743" s="14">
        <f>F1743*CB1743*IF(B1743&gt;=in_marketplace_from,d_hz_loan_lap*G1743,0)*CC1743*in_loan_lap_ticket*in_loan_lap_comm</f>
        <v/>
      </c>
      <c r="CE1743" s="14">
        <f>AA1743+AB1743+AC1743+AD1743+AG1743+AJ1743+AM1743+AP1743+AS1743+AU1743+AX1743+BB1743+BE1743+BG1743+BJ1743+BL1743+BO1743+BR1743+BT1743+BV1743+BX1743+CA1743+CD1743</f>
        <v/>
      </c>
    </row>
    <row r="1744">
      <c r="A1744" s="39" t="n">
        <v>48</v>
      </c>
      <c r="B1744" s="39" t="n">
        <v>4</v>
      </c>
      <c r="C1744" s="39">
        <f>A1744+B1744-1</f>
        <v/>
      </c>
      <c r="D1744" s="39">
        <f>INT((C1744-1)/12)+1</f>
        <v/>
      </c>
      <c r="E1744" s="44">
        <f>INDEX(Monthly!$B$2:$B$61,A1744)</f>
        <v/>
      </c>
      <c r="F1744" s="44">
        <f>E1744*INDEX('Age profile'!$B$2:$B$61,B1744)</f>
        <v/>
      </c>
      <c r="G1744" s="45">
        <f>MIN(in_takeup_cap,INDEX('Age profile'!$N$2:$N$61,B1744)*(1+in_takeup_growth)^(D1744-1))</f>
        <v/>
      </c>
      <c r="H1744" s="11">
        <f>MIN(in_approval_cap,in_approved_first*INDEX('Age profile'!$O$2:$O$61,B1744)*(1+in_approval_growth)^(D1744-1))</f>
        <v/>
      </c>
      <c r="I1744" s="45">
        <f>G1744*MIN(in_takeup_cap,INDEX('Age profile'!$O$2:$O$61,B1744)*(1+in_approval_growth)^(D1744-1))</f>
        <v/>
      </c>
      <c r="J1744" s="40">
        <f>(J1743-L1743)*F1744/F1743</f>
        <v/>
      </c>
      <c r="K1744" s="40">
        <f>(K1743-M1743)*F1744/F1743+SUMIFS(O1741:O1743,B1741:B1743,B1744-1-d_T)*F1744</f>
        <v/>
      </c>
      <c r="L1744" s="40">
        <f>IF(B1744&gt;=in_marketplace_from,J1744*d_hz*G1744*in_eligible*H1744,0)</f>
        <v/>
      </c>
      <c r="M1744" s="40">
        <f>IF(B1744&gt;=in_marketplace_from,K1744*d_hz*G1744*in_eligible*in_approved_repeat,0)</f>
        <v/>
      </c>
      <c r="N1744" s="40">
        <f>L1744+M1744</f>
        <v/>
      </c>
      <c r="O1744" s="46">
        <f>N1744/F1744</f>
        <v/>
      </c>
      <c r="P1744" s="40">
        <f>F1744-J1744-K1744</f>
        <v/>
      </c>
      <c r="Q1744" s="40">
        <f>IF(B1744&gt;=in_marketplace_from,(J1744+K1744)*d_hz*G1744,0)</f>
        <v/>
      </c>
      <c r="R1744" s="40">
        <f>SUMIFS(N1741:N1753,B1741:B1753,"&gt;="&amp;(B1744-d_T),B1741:B1753,"&lt;="&amp;(B1744-1))</f>
        <v/>
      </c>
      <c r="S1744" s="46">
        <f>(1-d_u)*S1743+IF(d_T&gt;in_topup_lag,SUMIFS(O1741:O1753,B1741:B1753,B1744-in_topup_lag)-d_udrop*SUMIFS(O1741:O1753,B1741:B1753,B1744-d_T),0)</f>
        <v/>
      </c>
      <c r="T1744" s="40">
        <f>F1744*d_u*S1744</f>
        <v/>
      </c>
      <c r="U1744" s="9">
        <f>L1744*in_ticket+M1744*d_rep_ticket</f>
        <v/>
      </c>
      <c r="V1744" s="9">
        <f>U1744+T1744*d_topup_amt</f>
        <v/>
      </c>
      <c r="W1744" s="40">
        <f>N1744+T1744*d_topup_ratio</f>
        <v/>
      </c>
      <c r="X1744" s="40">
        <f>SUMIFS(W1741:W1753,B1741:B1753,B1744-in_dpd_lag)*d_cured</f>
        <v/>
      </c>
      <c r="Y1744" s="40">
        <f>SUMIFS(W1741:W1753,B1741:B1753,B1744-in_rec_lag)*d_recd</f>
        <v/>
      </c>
      <c r="Z1744" s="40">
        <f>IF(AND(B1744&gt;=in_marketplace_from,B1744&lt;in_marketplace_from+in_card_months),in_card_share/in_card_months*F1744*I1744,IF(AND(B1744&gt;=in_marketplace_from+in_card_months,B1744&lt;in_marketplace_from+2*in_card_months),in_card_share*d_card_rem/in_card_months*F1744*MIN(in_takeup_cap,(1+in_takeup_growth)^(D1744-1))*MIN(in_takeup_cap,(1+in_approval_growth)^(D1744-1)),0))</f>
        <v/>
      </c>
      <c r="AA1744" s="14">
        <f>V1744*in_fee*(1-in_taken_back)</f>
        <v/>
      </c>
      <c r="AB1744" s="14">
        <f>SUMIFS(W1741:W1753,B1741:B1753,B1744-in_dpd_lag)*d_dpd</f>
        <v/>
      </c>
      <c r="AC1744" s="14">
        <f>SUMIFS(W1741:W1753,B1741:B1753,B1744-in_rec_lag)*d_rec</f>
        <v/>
      </c>
      <c r="AD1744" s="14">
        <f>Z1744*in_card_fee</f>
        <v/>
      </c>
      <c r="AE1744" s="40">
        <f>AE1743*(1-IF(B1743&gt;=in_marketplace_from,d_hz_hlth_small*G1743,0))</f>
        <v/>
      </c>
      <c r="AF1744" s="46">
        <f>AE1744*IF(B1744&gt;=in_marketplace_from,d_hz_hlth_small*G1744,0)</f>
        <v/>
      </c>
      <c r="AG1744" s="14">
        <f>F1744*AF1744*in_hlth_small_ticket*in_hlth_small_comm*in_ins_partner_share+F1744*in_hlth_small_ticket*in_hlth_small_renew_comm*in_ins_partner_share*(in_hlth_small_renew^1*SUMIFS(AF1741:AF1753,B1741:B1753,B1744-12)+in_hlth_small_renew^2*SUMIFS(AF1741:AF1753,B1741:B1753,B1744-24)+in_hlth_small_renew^3*SUMIFS(AF1741:AF1753,B1741:B1753,B1744-36)+in_hlth_small_renew^4*SUMIFS(AF1741:AF1753,B1741:B1753,B1744-48))</f>
        <v/>
      </c>
      <c r="AH1744" s="40">
        <f>AH1743*(1-IF(B1743&gt;=in_marketplace_from,d_hz_hlth_family*G1743,0))</f>
        <v/>
      </c>
      <c r="AI1744" s="46">
        <f>AH1744*IF(B1744&gt;=in_marketplace_from,d_hz_hlth_family*G1744,0)</f>
        <v/>
      </c>
      <c r="AJ1744" s="14">
        <f>F1744*AI1744*in_hlth_family_ticket*in_hlth_family_comm*in_ins_partner_share+F1744*in_hlth_family_ticket*in_hlth_family_renew_comm*in_ins_partner_share*(in_hlth_family_renew^1*SUMIFS(AI1741:AI1753,B1741:B1753,B1744-12)+in_hlth_family_renew^2*SUMIFS(AI1741:AI1753,B1741:B1753,B1744-24)+in_hlth_family_renew^3*SUMIFS(AI1741:AI1753,B1741:B1753,B1744-36)+in_hlth_family_renew^4*SUMIFS(AI1741:AI1753,B1741:B1753,B1744-48))</f>
        <v/>
      </c>
      <c r="AK1744" s="40">
        <f>AK1743*(1-IF(B1743&gt;=in_marketplace_from,d_hz_life_term*G1743,0))</f>
        <v/>
      </c>
      <c r="AL1744" s="46">
        <f>AK1744*IF(B1744&gt;=in_marketplace_from,d_hz_life_term*G1744,0)</f>
        <v/>
      </c>
      <c r="AM1744" s="14">
        <f>F1744*AL1744*in_life_term_ticket*in_life_term_comm*in_ins_partner_share+F1744*in_life_term_ticket*in_life_term_renew_comm*in_ins_partner_share*(in_life_term_renew^1*SUMIFS(AL1741:AL1753,B1741:B1753,B1744-12)+in_life_term_renew^2*SUMIFS(AL1741:AL1753,B1741:B1753,B1744-24)+in_life_term_renew^3*SUMIFS(AL1741:AL1753,B1741:B1753,B1744-36)+in_life_term_renew^4*SUMIFS(AL1741:AL1753,B1741:B1753,B1744-48))</f>
        <v/>
      </c>
      <c r="AN1744" s="40">
        <f>AN1743*(1-IF(B1743&gt;=in_marketplace_from,d_hz_accident*G1743,0))</f>
        <v/>
      </c>
      <c r="AO1744" s="46">
        <f>AN1744*IF(B1744&gt;=in_marketplace_from,d_hz_accident*G1744,0)</f>
        <v/>
      </c>
      <c r="AP1744" s="14">
        <f>F1744*AO1744*in_accident_ticket*in_accident_comm*in_ins_partner_share+F1744*in_accident_ticket*in_accident_renew_comm*in_ins_partner_share*(in_accident_renew^1*SUMIFS(AO1741:AO1753,B1741:B1753,B1744-12)+in_accident_renew^2*SUMIFS(AO1741:AO1753,B1741:B1753,B1744-24)+in_accident_renew^3*SUMIFS(AO1741:AO1753,B1741:B1753,B1744-36)+in_accident_renew^4*SUMIFS(AO1741:AO1753,B1741:B1753,B1744-48))</f>
        <v/>
      </c>
      <c r="AQ1744" s="40">
        <f>AQ1743*(1-IF(B1743&gt;=in_marketplace_from,d_hz_two_wheeler*G1743,0))</f>
        <v/>
      </c>
      <c r="AR1744" s="46">
        <f>AQ1744*IF(B1744&gt;=in_marketplace_from,d_hz_two_wheeler*G1744,0)</f>
        <v/>
      </c>
      <c r="AS1744" s="14">
        <f>F1744*AR1744*in_two_wheeler_ticket*in_two_wheeler_comm*in_ins_partner_share+F1744*in_two_wheeler_ticket*in_two_wheeler_comm*in_ins_partner_share*(in_two_wheeler_renew^1*SUMIFS(AR1741:AR1753,B1741:B1753,B1744-12)+in_two_wheeler_renew^2*SUMIFS(AR1741:AR1753,B1741:B1753,B1744-24)+in_two_wheeler_renew^3*SUMIFS(AR1741:AR1753,B1741:B1753,B1744-36)+in_two_wheeler_renew^4*SUMIFS(AR1741:AR1753,B1741:B1753,B1744-48))</f>
        <v/>
      </c>
      <c r="AT1744" s="40">
        <f>AT1743*(1-IF(B1743&gt;=in_marketplace_from,d_hz_device*G1743,0))</f>
        <v/>
      </c>
      <c r="AU1744" s="14">
        <f>F1744*AT1744*IF(B1744&gt;=in_marketplace_from,d_hz_device*G1744,0)*in_device_ticket*in_device_comm*in_ins_partner_share</f>
        <v/>
      </c>
      <c r="AV1744" s="40">
        <f>AV1743*(1-IF(B1743&gt;=in_marketplace_from,d_hz_shop*G1743,0))</f>
        <v/>
      </c>
      <c r="AW1744" s="46">
        <f>AV1744*IF(B1744&gt;=in_marketplace_from,d_hz_shop*G1744,0)</f>
        <v/>
      </c>
      <c r="AX1744" s="14">
        <f>F1744*AW1744*in_shop_ticket*in_shop_comm*in_ins_partner_share+F1744*in_shop_ticket*in_shop_renew_comm*in_ins_partner_share*(in_shop_renew^1*SUMIFS(AW1741:AW1753,B1741:B1753,B1744-12)+in_shop_renew^2*SUMIFS(AW1741:AW1753,B1741:B1753,B1744-24)+in_shop_renew^3*SUMIFS(AW1741:AW1753,B1741:B1753,B1744-36)+in_shop_renew^4*SUMIFS(AW1741:AW1753,B1741:B1753,B1744-48))</f>
        <v/>
      </c>
      <c r="AY1744" s="40">
        <f>AY1743*(1-IF(B1743&gt;=in_marketplace_from,d_hz_sip*G1743,0))</f>
        <v/>
      </c>
      <c r="AZ1744" s="40">
        <f>AZ1743*d_rho_sip+AY1744*IF(B1744&gt;=in_marketplace_from,d_hz_sip*G1744,0)</f>
        <v/>
      </c>
      <c r="BA1744" s="40">
        <f>d_rho_sip*(BA1743+AZ1743)</f>
        <v/>
      </c>
      <c r="BB1744" s="14">
        <f>F1744*in_sip_ticket*(BA1744+0.5*AZ1744)*in_sip_comm/12</f>
        <v/>
      </c>
      <c r="BC1744" s="40">
        <f>BC1743*(1-IF(B1743&gt;=in_marketplace_from,d_hz_choti*G1743,0))</f>
        <v/>
      </c>
      <c r="BD1744" s="46">
        <f>BC1744*IF(B1744&gt;=in_marketplace_from,d_hz_choti*G1744,0)</f>
        <v/>
      </c>
      <c r="BE1744" s="14">
        <f>F1744*SUMIFS(BD1741:BD1753,B1741:B1753,B1744-in_choti_months)*in_choti_renew*in_choti_ticket</f>
        <v/>
      </c>
      <c r="BF1744" s="40">
        <f>BF1743*(1-IF(B1743&gt;=in_marketplace_from,d_hz_nps*G1743,0))</f>
        <v/>
      </c>
      <c r="BG1744" s="14">
        <f>F1744*BF1744*IF(B1744&gt;=in_marketplace_from,d_hz_nps*G1744,0)*in_nps_ticket*in_nps_comm</f>
        <v/>
      </c>
      <c r="BH1744" s="40">
        <f>BH1743*(1-IF(B1743&gt;=in_marketplace_from,d_hz_gold*G1743,0))</f>
        <v/>
      </c>
      <c r="BI1744" s="40">
        <f>BI1743*d_rho_gold+BH1744*IF(B1744&gt;=in_marketplace_from,d_hz_gold*G1744,0)</f>
        <v/>
      </c>
      <c r="BJ1744" s="14">
        <f>F1744*BI1744*in_gold_ticket*in_gold_comm</f>
        <v/>
      </c>
      <c r="BK1744" s="40">
        <f>BK1743*(1-IF(B1743&gt;=in_marketplace_from,d_hz_fd*G1743,0))</f>
        <v/>
      </c>
      <c r="BL1744" s="14">
        <f>F1744*BK1744*IF(B1744&gt;=in_marketplace_from,d_hz_fd*G1744,0)*in_fd_ticket*in_fd_comm</f>
        <v/>
      </c>
      <c r="BM1744" s="40">
        <f>BM1743*(1-IF(B1743&gt;=in_marketplace_from,d_hz_recharge*G1743,0))</f>
        <v/>
      </c>
      <c r="BN1744" s="40">
        <f>BN1743*d_rho_recharge+BM1744*IF(B1744&gt;=in_marketplace_from,d_hz_recharge*G1744,0)</f>
        <v/>
      </c>
      <c r="BO1744" s="14">
        <f>F1744*BN1744*in_recharge_ticket*in_recharge_comm/12</f>
        <v/>
      </c>
      <c r="BP1744" s="40">
        <f>BP1743*(1-IF(B1743&gt;=in_marketplace_from,d_hz_bills*G1743,0))</f>
        <v/>
      </c>
      <c r="BQ1744" s="40">
        <f>BQ1743*d_rho_bills+BP1744*IF(B1744&gt;=in_marketplace_from,d_hz_bills*G1744,0)</f>
        <v/>
      </c>
      <c r="BR1744" s="14">
        <f>F1744*BQ1744*in_bills_ticket*in_bills_comm/12</f>
        <v/>
      </c>
      <c r="BS1744" s="40">
        <f>BS1743*(1-IF(B1743&gt;=in_marketplace_from,d_hz_loan_gold*G1743,0))</f>
        <v/>
      </c>
      <c r="BT1744" s="14">
        <f>F1744*BS1744*IF(B1744&gt;=in_marketplace_from,d_hz_loan_gold*G1744,0)*in_loan_gold_ticket*in_loan_gold_comm</f>
        <v/>
      </c>
      <c r="BU1744" s="40">
        <f>BU1743*(1-IF(B1743&gt;=in_marketplace_from,d_hz_loan_cd*G1743,0))</f>
        <v/>
      </c>
      <c r="BV1744" s="14">
        <f>F1744*BU1744*IF(B1744&gt;=in_marketplace_from,d_hz_loan_cd*G1744,0)*in_loan_cd_ticket*in_loan_cd_comm</f>
        <v/>
      </c>
      <c r="BW1744" s="40">
        <f>BW1743*(1-IF(B1743&gt;=in_marketplace_from,d_hz_loan_vehicle*G1743,0))</f>
        <v/>
      </c>
      <c r="BX1744" s="14">
        <f>F1744*BW1744*IF(B1744&gt;=in_marketplace_from,d_hz_loan_vehicle*G1744,0)*in_loan_vehicle_ticket*in_loan_vehicle_comm</f>
        <v/>
      </c>
      <c r="BY1744" s="40">
        <f>BY1743*(1-IF(B1743&gt;=in_marketplace_from,d_hz_loan_home*G1743,0)*BZ1743)</f>
        <v/>
      </c>
      <c r="BZ1744" s="11">
        <f>MIN(in_approval_cap,in_loan_home_approval*INDEX('Age profile'!$O$2:$O$61,B1744)*(1+in_approval_growth)^(D1744-1))</f>
        <v/>
      </c>
      <c r="CA1744" s="14">
        <f>F1744*BY1744*IF(B1744&gt;=in_marketplace_from,d_hz_loan_home*G1744,0)*BZ1744*in_loan_home_ticket*in_loan_home_comm</f>
        <v/>
      </c>
      <c r="CB1744" s="40">
        <f>CB1743*(1-IF(B1743&gt;=in_marketplace_from,d_hz_loan_lap*G1743,0)*CC1743)</f>
        <v/>
      </c>
      <c r="CC1744" s="11">
        <f>MIN(in_approval_cap,in_loan_lap_approval*INDEX('Age profile'!$O$2:$O$61,B1744)*(1+in_approval_growth)^(D1744-1))</f>
        <v/>
      </c>
      <c r="CD1744" s="14">
        <f>F1744*CB1744*IF(B1744&gt;=in_marketplace_from,d_hz_loan_lap*G1744,0)*CC1744*in_loan_lap_ticket*in_loan_lap_comm</f>
        <v/>
      </c>
      <c r="CE1744" s="14">
        <f>AA1744+AB1744+AC1744+AD1744+AG1744+AJ1744+AM1744+AP1744+AS1744+AU1744+AX1744+BB1744+BE1744+BG1744+BJ1744+BL1744+BO1744+BR1744+BT1744+BV1744+BX1744+CA1744+CD1744</f>
        <v/>
      </c>
    </row>
    <row r="1745">
      <c r="A1745" s="39" t="n">
        <v>48</v>
      </c>
      <c r="B1745" s="39" t="n">
        <v>5</v>
      </c>
      <c r="C1745" s="39">
        <f>A1745+B1745-1</f>
        <v/>
      </c>
      <c r="D1745" s="39">
        <f>INT((C1745-1)/12)+1</f>
        <v/>
      </c>
      <c r="E1745" s="44">
        <f>INDEX(Monthly!$B$2:$B$61,A1745)</f>
        <v/>
      </c>
      <c r="F1745" s="44">
        <f>E1745*INDEX('Age profile'!$B$2:$B$61,B1745)</f>
        <v/>
      </c>
      <c r="G1745" s="45">
        <f>MIN(in_takeup_cap,INDEX('Age profile'!$N$2:$N$61,B1745)*(1+in_takeup_growth)^(D1745-1))</f>
        <v/>
      </c>
      <c r="H1745" s="11">
        <f>MIN(in_approval_cap,in_approved_first*INDEX('Age profile'!$O$2:$O$61,B1745)*(1+in_approval_growth)^(D1745-1))</f>
        <v/>
      </c>
      <c r="I1745" s="45">
        <f>G1745*MIN(in_takeup_cap,INDEX('Age profile'!$O$2:$O$61,B1745)*(1+in_approval_growth)^(D1745-1))</f>
        <v/>
      </c>
      <c r="J1745" s="40">
        <f>(J1744-L1744)*F1745/F1744</f>
        <v/>
      </c>
      <c r="K1745" s="40">
        <f>(K1744-M1744)*F1745/F1744+SUMIFS(O1741:O1744,B1741:B1744,B1745-1-d_T)*F1745</f>
        <v/>
      </c>
      <c r="L1745" s="40">
        <f>IF(B1745&gt;=in_marketplace_from,J1745*d_hz*G1745*in_eligible*H1745,0)</f>
        <v/>
      </c>
      <c r="M1745" s="40">
        <f>IF(B1745&gt;=in_marketplace_from,K1745*d_hz*G1745*in_eligible*in_approved_repeat,0)</f>
        <v/>
      </c>
      <c r="N1745" s="40">
        <f>L1745+M1745</f>
        <v/>
      </c>
      <c r="O1745" s="46">
        <f>N1745/F1745</f>
        <v/>
      </c>
      <c r="P1745" s="40">
        <f>F1745-J1745-K1745</f>
        <v/>
      </c>
      <c r="Q1745" s="40">
        <f>IF(B1745&gt;=in_marketplace_from,(J1745+K1745)*d_hz*G1745,0)</f>
        <v/>
      </c>
      <c r="R1745" s="40">
        <f>SUMIFS(N1741:N1753,B1741:B1753,"&gt;="&amp;(B1745-d_T),B1741:B1753,"&lt;="&amp;(B1745-1))</f>
        <v/>
      </c>
      <c r="S1745" s="46">
        <f>(1-d_u)*S1744+IF(d_T&gt;in_topup_lag,SUMIFS(O1741:O1753,B1741:B1753,B1745-in_topup_lag)-d_udrop*SUMIFS(O1741:O1753,B1741:B1753,B1745-d_T),0)</f>
        <v/>
      </c>
      <c r="T1745" s="40">
        <f>F1745*d_u*S1745</f>
        <v/>
      </c>
      <c r="U1745" s="9">
        <f>L1745*in_ticket+M1745*d_rep_ticket</f>
        <v/>
      </c>
      <c r="V1745" s="9">
        <f>U1745+T1745*d_topup_amt</f>
        <v/>
      </c>
      <c r="W1745" s="40">
        <f>N1745+T1745*d_topup_ratio</f>
        <v/>
      </c>
      <c r="X1745" s="40">
        <f>SUMIFS(W1741:W1753,B1741:B1753,B1745-in_dpd_lag)*d_cured</f>
        <v/>
      </c>
      <c r="Y1745" s="40">
        <f>SUMIFS(W1741:W1753,B1741:B1753,B1745-in_rec_lag)*d_recd</f>
        <v/>
      </c>
      <c r="Z1745" s="40">
        <f>IF(AND(B1745&gt;=in_marketplace_from,B1745&lt;in_marketplace_from+in_card_months),in_card_share/in_card_months*F1745*I1745,IF(AND(B1745&gt;=in_marketplace_from+in_card_months,B1745&lt;in_marketplace_from+2*in_card_months),in_card_share*d_card_rem/in_card_months*F1745*MIN(in_takeup_cap,(1+in_takeup_growth)^(D1745-1))*MIN(in_takeup_cap,(1+in_approval_growth)^(D1745-1)),0))</f>
        <v/>
      </c>
      <c r="AA1745" s="14">
        <f>V1745*in_fee*(1-in_taken_back)</f>
        <v/>
      </c>
      <c r="AB1745" s="14">
        <f>SUMIFS(W1741:W1753,B1741:B1753,B1745-in_dpd_lag)*d_dpd</f>
        <v/>
      </c>
      <c r="AC1745" s="14">
        <f>SUMIFS(W1741:W1753,B1741:B1753,B1745-in_rec_lag)*d_rec</f>
        <v/>
      </c>
      <c r="AD1745" s="14">
        <f>Z1745*in_card_fee</f>
        <v/>
      </c>
      <c r="AE1745" s="40">
        <f>AE1744*(1-IF(B1744&gt;=in_marketplace_from,d_hz_hlth_small*G1744,0))</f>
        <v/>
      </c>
      <c r="AF1745" s="46">
        <f>AE1745*IF(B1745&gt;=in_marketplace_from,d_hz_hlth_small*G1745,0)</f>
        <v/>
      </c>
      <c r="AG1745" s="14">
        <f>F1745*AF1745*in_hlth_small_ticket*in_hlth_small_comm*in_ins_partner_share+F1745*in_hlth_small_ticket*in_hlth_small_renew_comm*in_ins_partner_share*(in_hlth_small_renew^1*SUMIFS(AF1741:AF1753,B1741:B1753,B1745-12)+in_hlth_small_renew^2*SUMIFS(AF1741:AF1753,B1741:B1753,B1745-24)+in_hlth_small_renew^3*SUMIFS(AF1741:AF1753,B1741:B1753,B1745-36)+in_hlth_small_renew^4*SUMIFS(AF1741:AF1753,B1741:B1753,B1745-48))</f>
        <v/>
      </c>
      <c r="AH1745" s="40">
        <f>AH1744*(1-IF(B1744&gt;=in_marketplace_from,d_hz_hlth_family*G1744,0))</f>
        <v/>
      </c>
      <c r="AI1745" s="46">
        <f>AH1745*IF(B1745&gt;=in_marketplace_from,d_hz_hlth_family*G1745,0)</f>
        <v/>
      </c>
      <c r="AJ1745" s="14">
        <f>F1745*AI1745*in_hlth_family_ticket*in_hlth_family_comm*in_ins_partner_share+F1745*in_hlth_family_ticket*in_hlth_family_renew_comm*in_ins_partner_share*(in_hlth_family_renew^1*SUMIFS(AI1741:AI1753,B1741:B1753,B1745-12)+in_hlth_family_renew^2*SUMIFS(AI1741:AI1753,B1741:B1753,B1745-24)+in_hlth_family_renew^3*SUMIFS(AI1741:AI1753,B1741:B1753,B1745-36)+in_hlth_family_renew^4*SUMIFS(AI1741:AI1753,B1741:B1753,B1745-48))</f>
        <v/>
      </c>
      <c r="AK1745" s="40">
        <f>AK1744*(1-IF(B1744&gt;=in_marketplace_from,d_hz_life_term*G1744,0))</f>
        <v/>
      </c>
      <c r="AL1745" s="46">
        <f>AK1745*IF(B1745&gt;=in_marketplace_from,d_hz_life_term*G1745,0)</f>
        <v/>
      </c>
      <c r="AM1745" s="14">
        <f>F1745*AL1745*in_life_term_ticket*in_life_term_comm*in_ins_partner_share+F1745*in_life_term_ticket*in_life_term_renew_comm*in_ins_partner_share*(in_life_term_renew^1*SUMIFS(AL1741:AL1753,B1741:B1753,B1745-12)+in_life_term_renew^2*SUMIFS(AL1741:AL1753,B1741:B1753,B1745-24)+in_life_term_renew^3*SUMIFS(AL1741:AL1753,B1741:B1753,B1745-36)+in_life_term_renew^4*SUMIFS(AL1741:AL1753,B1741:B1753,B1745-48))</f>
        <v/>
      </c>
      <c r="AN1745" s="40">
        <f>AN1744*(1-IF(B1744&gt;=in_marketplace_from,d_hz_accident*G1744,0))</f>
        <v/>
      </c>
      <c r="AO1745" s="46">
        <f>AN1745*IF(B1745&gt;=in_marketplace_from,d_hz_accident*G1745,0)</f>
        <v/>
      </c>
      <c r="AP1745" s="14">
        <f>F1745*AO1745*in_accident_ticket*in_accident_comm*in_ins_partner_share+F1745*in_accident_ticket*in_accident_renew_comm*in_ins_partner_share*(in_accident_renew^1*SUMIFS(AO1741:AO1753,B1741:B1753,B1745-12)+in_accident_renew^2*SUMIFS(AO1741:AO1753,B1741:B1753,B1745-24)+in_accident_renew^3*SUMIFS(AO1741:AO1753,B1741:B1753,B1745-36)+in_accident_renew^4*SUMIFS(AO1741:AO1753,B1741:B1753,B1745-48))</f>
        <v/>
      </c>
      <c r="AQ1745" s="40">
        <f>AQ1744*(1-IF(B1744&gt;=in_marketplace_from,d_hz_two_wheeler*G1744,0))</f>
        <v/>
      </c>
      <c r="AR1745" s="46">
        <f>AQ1745*IF(B1745&gt;=in_marketplace_from,d_hz_two_wheeler*G1745,0)</f>
        <v/>
      </c>
      <c r="AS1745" s="14">
        <f>F1745*AR1745*in_two_wheeler_ticket*in_two_wheeler_comm*in_ins_partner_share+F1745*in_two_wheeler_ticket*in_two_wheeler_comm*in_ins_partner_share*(in_two_wheeler_renew^1*SUMIFS(AR1741:AR1753,B1741:B1753,B1745-12)+in_two_wheeler_renew^2*SUMIFS(AR1741:AR1753,B1741:B1753,B1745-24)+in_two_wheeler_renew^3*SUMIFS(AR1741:AR1753,B1741:B1753,B1745-36)+in_two_wheeler_renew^4*SUMIFS(AR1741:AR1753,B1741:B1753,B1745-48))</f>
        <v/>
      </c>
      <c r="AT1745" s="40">
        <f>AT1744*(1-IF(B1744&gt;=in_marketplace_from,d_hz_device*G1744,0))</f>
        <v/>
      </c>
      <c r="AU1745" s="14">
        <f>F1745*AT1745*IF(B1745&gt;=in_marketplace_from,d_hz_device*G1745,0)*in_device_ticket*in_device_comm*in_ins_partner_share</f>
        <v/>
      </c>
      <c r="AV1745" s="40">
        <f>AV1744*(1-IF(B1744&gt;=in_marketplace_from,d_hz_shop*G1744,0))</f>
        <v/>
      </c>
      <c r="AW1745" s="46">
        <f>AV1745*IF(B1745&gt;=in_marketplace_from,d_hz_shop*G1745,0)</f>
        <v/>
      </c>
      <c r="AX1745" s="14">
        <f>F1745*AW1745*in_shop_ticket*in_shop_comm*in_ins_partner_share+F1745*in_shop_ticket*in_shop_renew_comm*in_ins_partner_share*(in_shop_renew^1*SUMIFS(AW1741:AW1753,B1741:B1753,B1745-12)+in_shop_renew^2*SUMIFS(AW1741:AW1753,B1741:B1753,B1745-24)+in_shop_renew^3*SUMIFS(AW1741:AW1753,B1741:B1753,B1745-36)+in_shop_renew^4*SUMIFS(AW1741:AW1753,B1741:B1753,B1745-48))</f>
        <v/>
      </c>
      <c r="AY1745" s="40">
        <f>AY1744*(1-IF(B1744&gt;=in_marketplace_from,d_hz_sip*G1744,0))</f>
        <v/>
      </c>
      <c r="AZ1745" s="40">
        <f>AZ1744*d_rho_sip+AY1745*IF(B1745&gt;=in_marketplace_from,d_hz_sip*G1745,0)</f>
        <v/>
      </c>
      <c r="BA1745" s="40">
        <f>d_rho_sip*(BA1744+AZ1744)</f>
        <v/>
      </c>
      <c r="BB1745" s="14">
        <f>F1745*in_sip_ticket*(BA1745+0.5*AZ1745)*in_sip_comm/12</f>
        <v/>
      </c>
      <c r="BC1745" s="40">
        <f>BC1744*(1-IF(B1744&gt;=in_marketplace_from,d_hz_choti*G1744,0))</f>
        <v/>
      </c>
      <c r="BD1745" s="46">
        <f>BC1745*IF(B1745&gt;=in_marketplace_from,d_hz_choti*G1745,0)</f>
        <v/>
      </c>
      <c r="BE1745" s="14">
        <f>F1745*SUMIFS(BD1741:BD1753,B1741:B1753,B1745-in_choti_months)*in_choti_renew*in_choti_ticket</f>
        <v/>
      </c>
      <c r="BF1745" s="40">
        <f>BF1744*(1-IF(B1744&gt;=in_marketplace_from,d_hz_nps*G1744,0))</f>
        <v/>
      </c>
      <c r="BG1745" s="14">
        <f>F1745*BF1745*IF(B1745&gt;=in_marketplace_from,d_hz_nps*G1745,0)*in_nps_ticket*in_nps_comm</f>
        <v/>
      </c>
      <c r="BH1745" s="40">
        <f>BH1744*(1-IF(B1744&gt;=in_marketplace_from,d_hz_gold*G1744,0))</f>
        <v/>
      </c>
      <c r="BI1745" s="40">
        <f>BI1744*d_rho_gold+BH1745*IF(B1745&gt;=in_marketplace_from,d_hz_gold*G1745,0)</f>
        <v/>
      </c>
      <c r="BJ1745" s="14">
        <f>F1745*BI1745*in_gold_ticket*in_gold_comm</f>
        <v/>
      </c>
      <c r="BK1745" s="40">
        <f>BK1744*(1-IF(B1744&gt;=in_marketplace_from,d_hz_fd*G1744,0))</f>
        <v/>
      </c>
      <c r="BL1745" s="14">
        <f>F1745*BK1745*IF(B1745&gt;=in_marketplace_from,d_hz_fd*G1745,0)*in_fd_ticket*in_fd_comm</f>
        <v/>
      </c>
      <c r="BM1745" s="40">
        <f>BM1744*(1-IF(B1744&gt;=in_marketplace_from,d_hz_recharge*G1744,0))</f>
        <v/>
      </c>
      <c r="BN1745" s="40">
        <f>BN1744*d_rho_recharge+BM1745*IF(B1745&gt;=in_marketplace_from,d_hz_recharge*G1745,0)</f>
        <v/>
      </c>
      <c r="BO1745" s="14">
        <f>F1745*BN1745*in_recharge_ticket*in_recharge_comm/12</f>
        <v/>
      </c>
      <c r="BP1745" s="40">
        <f>BP1744*(1-IF(B1744&gt;=in_marketplace_from,d_hz_bills*G1744,0))</f>
        <v/>
      </c>
      <c r="BQ1745" s="40">
        <f>BQ1744*d_rho_bills+BP1745*IF(B1745&gt;=in_marketplace_from,d_hz_bills*G1745,0)</f>
        <v/>
      </c>
      <c r="BR1745" s="14">
        <f>F1745*BQ1745*in_bills_ticket*in_bills_comm/12</f>
        <v/>
      </c>
      <c r="BS1745" s="40">
        <f>BS1744*(1-IF(B1744&gt;=in_marketplace_from,d_hz_loan_gold*G1744,0))</f>
        <v/>
      </c>
      <c r="BT1745" s="14">
        <f>F1745*BS1745*IF(B1745&gt;=in_marketplace_from,d_hz_loan_gold*G1745,0)*in_loan_gold_ticket*in_loan_gold_comm</f>
        <v/>
      </c>
      <c r="BU1745" s="40">
        <f>BU1744*(1-IF(B1744&gt;=in_marketplace_from,d_hz_loan_cd*G1744,0))</f>
        <v/>
      </c>
      <c r="BV1745" s="14">
        <f>F1745*BU1745*IF(B1745&gt;=in_marketplace_from,d_hz_loan_cd*G1745,0)*in_loan_cd_ticket*in_loan_cd_comm</f>
        <v/>
      </c>
      <c r="BW1745" s="40">
        <f>BW1744*(1-IF(B1744&gt;=in_marketplace_from,d_hz_loan_vehicle*G1744,0))</f>
        <v/>
      </c>
      <c r="BX1745" s="14">
        <f>F1745*BW1745*IF(B1745&gt;=in_marketplace_from,d_hz_loan_vehicle*G1745,0)*in_loan_vehicle_ticket*in_loan_vehicle_comm</f>
        <v/>
      </c>
      <c r="BY1745" s="40">
        <f>BY1744*(1-IF(B1744&gt;=in_marketplace_from,d_hz_loan_home*G1744,0)*BZ1744)</f>
        <v/>
      </c>
      <c r="BZ1745" s="11">
        <f>MIN(in_approval_cap,in_loan_home_approval*INDEX('Age profile'!$O$2:$O$61,B1745)*(1+in_approval_growth)^(D1745-1))</f>
        <v/>
      </c>
      <c r="CA1745" s="14">
        <f>F1745*BY1745*IF(B1745&gt;=in_marketplace_from,d_hz_loan_home*G1745,0)*BZ1745*in_loan_home_ticket*in_loan_home_comm</f>
        <v/>
      </c>
      <c r="CB1745" s="40">
        <f>CB1744*(1-IF(B1744&gt;=in_marketplace_from,d_hz_loan_lap*G1744,0)*CC1744)</f>
        <v/>
      </c>
      <c r="CC1745" s="11">
        <f>MIN(in_approval_cap,in_loan_lap_approval*INDEX('Age profile'!$O$2:$O$61,B1745)*(1+in_approval_growth)^(D1745-1))</f>
        <v/>
      </c>
      <c r="CD1745" s="14">
        <f>F1745*CB1745*IF(B1745&gt;=in_marketplace_from,d_hz_loan_lap*G1745,0)*CC1745*in_loan_lap_ticket*in_loan_lap_comm</f>
        <v/>
      </c>
      <c r="CE1745" s="14">
        <f>AA1745+AB1745+AC1745+AD1745+AG1745+AJ1745+AM1745+AP1745+AS1745+AU1745+AX1745+BB1745+BE1745+BG1745+BJ1745+BL1745+BO1745+BR1745+BT1745+BV1745+BX1745+CA1745+CD1745</f>
        <v/>
      </c>
    </row>
    <row r="1746">
      <c r="A1746" s="39" t="n">
        <v>48</v>
      </c>
      <c r="B1746" s="39" t="n">
        <v>6</v>
      </c>
      <c r="C1746" s="39">
        <f>A1746+B1746-1</f>
        <v/>
      </c>
      <c r="D1746" s="39">
        <f>INT((C1746-1)/12)+1</f>
        <v/>
      </c>
      <c r="E1746" s="44">
        <f>INDEX(Monthly!$B$2:$B$61,A1746)</f>
        <v/>
      </c>
      <c r="F1746" s="44">
        <f>E1746*INDEX('Age profile'!$B$2:$B$61,B1746)</f>
        <v/>
      </c>
      <c r="G1746" s="45">
        <f>MIN(in_takeup_cap,INDEX('Age profile'!$N$2:$N$61,B1746)*(1+in_takeup_growth)^(D1746-1))</f>
        <v/>
      </c>
      <c r="H1746" s="11">
        <f>MIN(in_approval_cap,in_approved_first*INDEX('Age profile'!$O$2:$O$61,B1746)*(1+in_approval_growth)^(D1746-1))</f>
        <v/>
      </c>
      <c r="I1746" s="45">
        <f>G1746*MIN(in_takeup_cap,INDEX('Age profile'!$O$2:$O$61,B1746)*(1+in_approval_growth)^(D1746-1))</f>
        <v/>
      </c>
      <c r="J1746" s="40">
        <f>(J1745-L1745)*F1746/F1745</f>
        <v/>
      </c>
      <c r="K1746" s="40">
        <f>(K1745-M1745)*F1746/F1745+SUMIFS(O1741:O1745,B1741:B1745,B1746-1-d_T)*F1746</f>
        <v/>
      </c>
      <c r="L1746" s="40">
        <f>IF(B1746&gt;=in_marketplace_from,J1746*d_hz*G1746*in_eligible*H1746,0)</f>
        <v/>
      </c>
      <c r="M1746" s="40">
        <f>IF(B1746&gt;=in_marketplace_from,K1746*d_hz*G1746*in_eligible*in_approved_repeat,0)</f>
        <v/>
      </c>
      <c r="N1746" s="40">
        <f>L1746+M1746</f>
        <v/>
      </c>
      <c r="O1746" s="46">
        <f>N1746/F1746</f>
        <v/>
      </c>
      <c r="P1746" s="40">
        <f>F1746-J1746-K1746</f>
        <v/>
      </c>
      <c r="Q1746" s="40">
        <f>IF(B1746&gt;=in_marketplace_from,(J1746+K1746)*d_hz*G1746,0)</f>
        <v/>
      </c>
      <c r="R1746" s="40">
        <f>SUMIFS(N1741:N1753,B1741:B1753,"&gt;="&amp;(B1746-d_T),B1741:B1753,"&lt;="&amp;(B1746-1))</f>
        <v/>
      </c>
      <c r="S1746" s="46">
        <f>(1-d_u)*S1745+IF(d_T&gt;in_topup_lag,SUMIFS(O1741:O1753,B1741:B1753,B1746-in_topup_lag)-d_udrop*SUMIFS(O1741:O1753,B1741:B1753,B1746-d_T),0)</f>
        <v/>
      </c>
      <c r="T1746" s="40">
        <f>F1746*d_u*S1746</f>
        <v/>
      </c>
      <c r="U1746" s="9">
        <f>L1746*in_ticket+M1746*d_rep_ticket</f>
        <v/>
      </c>
      <c r="V1746" s="9">
        <f>U1746+T1746*d_topup_amt</f>
        <v/>
      </c>
      <c r="W1746" s="40">
        <f>N1746+T1746*d_topup_ratio</f>
        <v/>
      </c>
      <c r="X1746" s="40">
        <f>SUMIFS(W1741:W1753,B1741:B1753,B1746-in_dpd_lag)*d_cured</f>
        <v/>
      </c>
      <c r="Y1746" s="40">
        <f>SUMIFS(W1741:W1753,B1741:B1753,B1746-in_rec_lag)*d_recd</f>
        <v/>
      </c>
      <c r="Z1746" s="40">
        <f>IF(AND(B1746&gt;=in_marketplace_from,B1746&lt;in_marketplace_from+in_card_months),in_card_share/in_card_months*F1746*I1746,IF(AND(B1746&gt;=in_marketplace_from+in_card_months,B1746&lt;in_marketplace_from+2*in_card_months),in_card_share*d_card_rem/in_card_months*F1746*MIN(in_takeup_cap,(1+in_takeup_growth)^(D1746-1))*MIN(in_takeup_cap,(1+in_approval_growth)^(D1746-1)),0))</f>
        <v/>
      </c>
      <c r="AA1746" s="14">
        <f>V1746*in_fee*(1-in_taken_back)</f>
        <v/>
      </c>
      <c r="AB1746" s="14">
        <f>SUMIFS(W1741:W1753,B1741:B1753,B1746-in_dpd_lag)*d_dpd</f>
        <v/>
      </c>
      <c r="AC1746" s="14">
        <f>SUMIFS(W1741:W1753,B1741:B1753,B1746-in_rec_lag)*d_rec</f>
        <v/>
      </c>
      <c r="AD1746" s="14">
        <f>Z1746*in_card_fee</f>
        <v/>
      </c>
      <c r="AE1746" s="40">
        <f>AE1745*(1-IF(B1745&gt;=in_marketplace_from,d_hz_hlth_small*G1745,0))</f>
        <v/>
      </c>
      <c r="AF1746" s="46">
        <f>AE1746*IF(B1746&gt;=in_marketplace_from,d_hz_hlth_small*G1746,0)</f>
        <v/>
      </c>
      <c r="AG1746" s="14">
        <f>F1746*AF1746*in_hlth_small_ticket*in_hlth_small_comm*in_ins_partner_share+F1746*in_hlth_small_ticket*in_hlth_small_renew_comm*in_ins_partner_share*(in_hlth_small_renew^1*SUMIFS(AF1741:AF1753,B1741:B1753,B1746-12)+in_hlth_small_renew^2*SUMIFS(AF1741:AF1753,B1741:B1753,B1746-24)+in_hlth_small_renew^3*SUMIFS(AF1741:AF1753,B1741:B1753,B1746-36)+in_hlth_small_renew^4*SUMIFS(AF1741:AF1753,B1741:B1753,B1746-48))</f>
        <v/>
      </c>
      <c r="AH1746" s="40">
        <f>AH1745*(1-IF(B1745&gt;=in_marketplace_from,d_hz_hlth_family*G1745,0))</f>
        <v/>
      </c>
      <c r="AI1746" s="46">
        <f>AH1746*IF(B1746&gt;=in_marketplace_from,d_hz_hlth_family*G1746,0)</f>
        <v/>
      </c>
      <c r="AJ1746" s="14">
        <f>F1746*AI1746*in_hlth_family_ticket*in_hlth_family_comm*in_ins_partner_share+F1746*in_hlth_family_ticket*in_hlth_family_renew_comm*in_ins_partner_share*(in_hlth_family_renew^1*SUMIFS(AI1741:AI1753,B1741:B1753,B1746-12)+in_hlth_family_renew^2*SUMIFS(AI1741:AI1753,B1741:B1753,B1746-24)+in_hlth_family_renew^3*SUMIFS(AI1741:AI1753,B1741:B1753,B1746-36)+in_hlth_family_renew^4*SUMIFS(AI1741:AI1753,B1741:B1753,B1746-48))</f>
        <v/>
      </c>
      <c r="AK1746" s="40">
        <f>AK1745*(1-IF(B1745&gt;=in_marketplace_from,d_hz_life_term*G1745,0))</f>
        <v/>
      </c>
      <c r="AL1746" s="46">
        <f>AK1746*IF(B1746&gt;=in_marketplace_from,d_hz_life_term*G1746,0)</f>
        <v/>
      </c>
      <c r="AM1746" s="14">
        <f>F1746*AL1746*in_life_term_ticket*in_life_term_comm*in_ins_partner_share+F1746*in_life_term_ticket*in_life_term_renew_comm*in_ins_partner_share*(in_life_term_renew^1*SUMIFS(AL1741:AL1753,B1741:B1753,B1746-12)+in_life_term_renew^2*SUMIFS(AL1741:AL1753,B1741:B1753,B1746-24)+in_life_term_renew^3*SUMIFS(AL1741:AL1753,B1741:B1753,B1746-36)+in_life_term_renew^4*SUMIFS(AL1741:AL1753,B1741:B1753,B1746-48))</f>
        <v/>
      </c>
      <c r="AN1746" s="40">
        <f>AN1745*(1-IF(B1745&gt;=in_marketplace_from,d_hz_accident*G1745,0))</f>
        <v/>
      </c>
      <c r="AO1746" s="46">
        <f>AN1746*IF(B1746&gt;=in_marketplace_from,d_hz_accident*G1746,0)</f>
        <v/>
      </c>
      <c r="AP1746" s="14">
        <f>F1746*AO1746*in_accident_ticket*in_accident_comm*in_ins_partner_share+F1746*in_accident_ticket*in_accident_renew_comm*in_ins_partner_share*(in_accident_renew^1*SUMIFS(AO1741:AO1753,B1741:B1753,B1746-12)+in_accident_renew^2*SUMIFS(AO1741:AO1753,B1741:B1753,B1746-24)+in_accident_renew^3*SUMIFS(AO1741:AO1753,B1741:B1753,B1746-36)+in_accident_renew^4*SUMIFS(AO1741:AO1753,B1741:B1753,B1746-48))</f>
        <v/>
      </c>
      <c r="AQ1746" s="40">
        <f>AQ1745*(1-IF(B1745&gt;=in_marketplace_from,d_hz_two_wheeler*G1745,0))</f>
        <v/>
      </c>
      <c r="AR1746" s="46">
        <f>AQ1746*IF(B1746&gt;=in_marketplace_from,d_hz_two_wheeler*G1746,0)</f>
        <v/>
      </c>
      <c r="AS1746" s="14">
        <f>F1746*AR1746*in_two_wheeler_ticket*in_two_wheeler_comm*in_ins_partner_share+F1746*in_two_wheeler_ticket*in_two_wheeler_comm*in_ins_partner_share*(in_two_wheeler_renew^1*SUMIFS(AR1741:AR1753,B1741:B1753,B1746-12)+in_two_wheeler_renew^2*SUMIFS(AR1741:AR1753,B1741:B1753,B1746-24)+in_two_wheeler_renew^3*SUMIFS(AR1741:AR1753,B1741:B1753,B1746-36)+in_two_wheeler_renew^4*SUMIFS(AR1741:AR1753,B1741:B1753,B1746-48))</f>
        <v/>
      </c>
      <c r="AT1746" s="40">
        <f>AT1745*(1-IF(B1745&gt;=in_marketplace_from,d_hz_device*G1745,0))</f>
        <v/>
      </c>
      <c r="AU1746" s="14">
        <f>F1746*AT1746*IF(B1746&gt;=in_marketplace_from,d_hz_device*G1746,0)*in_device_ticket*in_device_comm*in_ins_partner_share</f>
        <v/>
      </c>
      <c r="AV1746" s="40">
        <f>AV1745*(1-IF(B1745&gt;=in_marketplace_from,d_hz_shop*G1745,0))</f>
        <v/>
      </c>
      <c r="AW1746" s="46">
        <f>AV1746*IF(B1746&gt;=in_marketplace_from,d_hz_shop*G1746,0)</f>
        <v/>
      </c>
      <c r="AX1746" s="14">
        <f>F1746*AW1746*in_shop_ticket*in_shop_comm*in_ins_partner_share+F1746*in_shop_ticket*in_shop_renew_comm*in_ins_partner_share*(in_shop_renew^1*SUMIFS(AW1741:AW1753,B1741:B1753,B1746-12)+in_shop_renew^2*SUMIFS(AW1741:AW1753,B1741:B1753,B1746-24)+in_shop_renew^3*SUMIFS(AW1741:AW1753,B1741:B1753,B1746-36)+in_shop_renew^4*SUMIFS(AW1741:AW1753,B1741:B1753,B1746-48))</f>
        <v/>
      </c>
      <c r="AY1746" s="40">
        <f>AY1745*(1-IF(B1745&gt;=in_marketplace_from,d_hz_sip*G1745,0))</f>
        <v/>
      </c>
      <c r="AZ1746" s="40">
        <f>AZ1745*d_rho_sip+AY1746*IF(B1746&gt;=in_marketplace_from,d_hz_sip*G1746,0)</f>
        <v/>
      </c>
      <c r="BA1746" s="40">
        <f>d_rho_sip*(BA1745+AZ1745)</f>
        <v/>
      </c>
      <c r="BB1746" s="14">
        <f>F1746*in_sip_ticket*(BA1746+0.5*AZ1746)*in_sip_comm/12</f>
        <v/>
      </c>
      <c r="BC1746" s="40">
        <f>BC1745*(1-IF(B1745&gt;=in_marketplace_from,d_hz_choti*G1745,0))</f>
        <v/>
      </c>
      <c r="BD1746" s="46">
        <f>BC1746*IF(B1746&gt;=in_marketplace_from,d_hz_choti*G1746,0)</f>
        <v/>
      </c>
      <c r="BE1746" s="14">
        <f>F1746*SUMIFS(BD1741:BD1753,B1741:B1753,B1746-in_choti_months)*in_choti_renew*in_choti_ticket</f>
        <v/>
      </c>
      <c r="BF1746" s="40">
        <f>BF1745*(1-IF(B1745&gt;=in_marketplace_from,d_hz_nps*G1745,0))</f>
        <v/>
      </c>
      <c r="BG1746" s="14">
        <f>F1746*BF1746*IF(B1746&gt;=in_marketplace_from,d_hz_nps*G1746,0)*in_nps_ticket*in_nps_comm</f>
        <v/>
      </c>
      <c r="BH1746" s="40">
        <f>BH1745*(1-IF(B1745&gt;=in_marketplace_from,d_hz_gold*G1745,0))</f>
        <v/>
      </c>
      <c r="BI1746" s="40">
        <f>BI1745*d_rho_gold+BH1746*IF(B1746&gt;=in_marketplace_from,d_hz_gold*G1746,0)</f>
        <v/>
      </c>
      <c r="BJ1746" s="14">
        <f>F1746*BI1746*in_gold_ticket*in_gold_comm</f>
        <v/>
      </c>
      <c r="BK1746" s="40">
        <f>BK1745*(1-IF(B1745&gt;=in_marketplace_from,d_hz_fd*G1745,0))</f>
        <v/>
      </c>
      <c r="BL1746" s="14">
        <f>F1746*BK1746*IF(B1746&gt;=in_marketplace_from,d_hz_fd*G1746,0)*in_fd_ticket*in_fd_comm</f>
        <v/>
      </c>
      <c r="BM1746" s="40">
        <f>BM1745*(1-IF(B1745&gt;=in_marketplace_from,d_hz_recharge*G1745,0))</f>
        <v/>
      </c>
      <c r="BN1746" s="40">
        <f>BN1745*d_rho_recharge+BM1746*IF(B1746&gt;=in_marketplace_from,d_hz_recharge*G1746,0)</f>
        <v/>
      </c>
      <c r="BO1746" s="14">
        <f>F1746*BN1746*in_recharge_ticket*in_recharge_comm/12</f>
        <v/>
      </c>
      <c r="BP1746" s="40">
        <f>BP1745*(1-IF(B1745&gt;=in_marketplace_from,d_hz_bills*G1745,0))</f>
        <v/>
      </c>
      <c r="BQ1746" s="40">
        <f>BQ1745*d_rho_bills+BP1746*IF(B1746&gt;=in_marketplace_from,d_hz_bills*G1746,0)</f>
        <v/>
      </c>
      <c r="BR1746" s="14">
        <f>F1746*BQ1746*in_bills_ticket*in_bills_comm/12</f>
        <v/>
      </c>
      <c r="BS1746" s="40">
        <f>BS1745*(1-IF(B1745&gt;=in_marketplace_from,d_hz_loan_gold*G1745,0))</f>
        <v/>
      </c>
      <c r="BT1746" s="14">
        <f>F1746*BS1746*IF(B1746&gt;=in_marketplace_from,d_hz_loan_gold*G1746,0)*in_loan_gold_ticket*in_loan_gold_comm</f>
        <v/>
      </c>
      <c r="BU1746" s="40">
        <f>BU1745*(1-IF(B1745&gt;=in_marketplace_from,d_hz_loan_cd*G1745,0))</f>
        <v/>
      </c>
      <c r="BV1746" s="14">
        <f>F1746*BU1746*IF(B1746&gt;=in_marketplace_from,d_hz_loan_cd*G1746,0)*in_loan_cd_ticket*in_loan_cd_comm</f>
        <v/>
      </c>
      <c r="BW1746" s="40">
        <f>BW1745*(1-IF(B1745&gt;=in_marketplace_from,d_hz_loan_vehicle*G1745,0))</f>
        <v/>
      </c>
      <c r="BX1746" s="14">
        <f>F1746*BW1746*IF(B1746&gt;=in_marketplace_from,d_hz_loan_vehicle*G1746,0)*in_loan_vehicle_ticket*in_loan_vehicle_comm</f>
        <v/>
      </c>
      <c r="BY1746" s="40">
        <f>BY1745*(1-IF(B1745&gt;=in_marketplace_from,d_hz_loan_home*G1745,0)*BZ1745)</f>
        <v/>
      </c>
      <c r="BZ1746" s="11">
        <f>MIN(in_approval_cap,in_loan_home_approval*INDEX('Age profile'!$O$2:$O$61,B1746)*(1+in_approval_growth)^(D1746-1))</f>
        <v/>
      </c>
      <c r="CA1746" s="14">
        <f>F1746*BY1746*IF(B1746&gt;=in_marketplace_from,d_hz_loan_home*G1746,0)*BZ1746*in_loan_home_ticket*in_loan_home_comm</f>
        <v/>
      </c>
      <c r="CB1746" s="40">
        <f>CB1745*(1-IF(B1745&gt;=in_marketplace_from,d_hz_loan_lap*G1745,0)*CC1745)</f>
        <v/>
      </c>
      <c r="CC1746" s="11">
        <f>MIN(in_approval_cap,in_loan_lap_approval*INDEX('Age profile'!$O$2:$O$61,B1746)*(1+in_approval_growth)^(D1746-1))</f>
        <v/>
      </c>
      <c r="CD1746" s="14">
        <f>F1746*CB1746*IF(B1746&gt;=in_marketplace_from,d_hz_loan_lap*G1746,0)*CC1746*in_loan_lap_ticket*in_loan_lap_comm</f>
        <v/>
      </c>
      <c r="CE1746" s="14">
        <f>AA1746+AB1746+AC1746+AD1746+AG1746+AJ1746+AM1746+AP1746+AS1746+AU1746+AX1746+BB1746+BE1746+BG1746+BJ1746+BL1746+BO1746+BR1746+BT1746+BV1746+BX1746+CA1746+CD1746</f>
        <v/>
      </c>
    </row>
    <row r="1747">
      <c r="A1747" s="39" t="n">
        <v>48</v>
      </c>
      <c r="B1747" s="39" t="n">
        <v>7</v>
      </c>
      <c r="C1747" s="39">
        <f>A1747+B1747-1</f>
        <v/>
      </c>
      <c r="D1747" s="39">
        <f>INT((C1747-1)/12)+1</f>
        <v/>
      </c>
      <c r="E1747" s="44">
        <f>INDEX(Monthly!$B$2:$B$61,A1747)</f>
        <v/>
      </c>
      <c r="F1747" s="44">
        <f>E1747*INDEX('Age profile'!$B$2:$B$61,B1747)</f>
        <v/>
      </c>
      <c r="G1747" s="45">
        <f>MIN(in_takeup_cap,INDEX('Age profile'!$N$2:$N$61,B1747)*(1+in_takeup_growth)^(D1747-1))</f>
        <v/>
      </c>
      <c r="H1747" s="11">
        <f>MIN(in_approval_cap,in_approved_first*INDEX('Age profile'!$O$2:$O$61,B1747)*(1+in_approval_growth)^(D1747-1))</f>
        <v/>
      </c>
      <c r="I1747" s="45">
        <f>G1747*MIN(in_takeup_cap,INDEX('Age profile'!$O$2:$O$61,B1747)*(1+in_approval_growth)^(D1747-1))</f>
        <v/>
      </c>
      <c r="J1747" s="40">
        <f>(J1746-L1746)*F1747/F1746</f>
        <v/>
      </c>
      <c r="K1747" s="40">
        <f>(K1746-M1746)*F1747/F1746+SUMIFS(O1741:O1746,B1741:B1746,B1747-1-d_T)*F1747</f>
        <v/>
      </c>
      <c r="L1747" s="40">
        <f>IF(B1747&gt;=in_marketplace_from,J1747*d_hz*G1747*in_eligible*H1747,0)</f>
        <v/>
      </c>
      <c r="M1747" s="40">
        <f>IF(B1747&gt;=in_marketplace_from,K1747*d_hz*G1747*in_eligible*in_approved_repeat,0)</f>
        <v/>
      </c>
      <c r="N1747" s="40">
        <f>L1747+M1747</f>
        <v/>
      </c>
      <c r="O1747" s="46">
        <f>N1747/F1747</f>
        <v/>
      </c>
      <c r="P1747" s="40">
        <f>F1747-J1747-K1747</f>
        <v/>
      </c>
      <c r="Q1747" s="40">
        <f>IF(B1747&gt;=in_marketplace_from,(J1747+K1747)*d_hz*G1747,0)</f>
        <v/>
      </c>
      <c r="R1747" s="40">
        <f>SUMIFS(N1741:N1753,B1741:B1753,"&gt;="&amp;(B1747-d_T),B1741:B1753,"&lt;="&amp;(B1747-1))</f>
        <v/>
      </c>
      <c r="S1747" s="46">
        <f>(1-d_u)*S1746+IF(d_T&gt;in_topup_lag,SUMIFS(O1741:O1753,B1741:B1753,B1747-in_topup_lag)-d_udrop*SUMIFS(O1741:O1753,B1741:B1753,B1747-d_T),0)</f>
        <v/>
      </c>
      <c r="T1747" s="40">
        <f>F1747*d_u*S1747</f>
        <v/>
      </c>
      <c r="U1747" s="9">
        <f>L1747*in_ticket+M1747*d_rep_ticket</f>
        <v/>
      </c>
      <c r="V1747" s="9">
        <f>U1747+T1747*d_topup_amt</f>
        <v/>
      </c>
      <c r="W1747" s="40">
        <f>N1747+T1747*d_topup_ratio</f>
        <v/>
      </c>
      <c r="X1747" s="40">
        <f>SUMIFS(W1741:W1753,B1741:B1753,B1747-in_dpd_lag)*d_cured</f>
        <v/>
      </c>
      <c r="Y1747" s="40">
        <f>SUMIFS(W1741:W1753,B1741:B1753,B1747-in_rec_lag)*d_recd</f>
        <v/>
      </c>
      <c r="Z1747" s="40">
        <f>IF(AND(B1747&gt;=in_marketplace_from,B1747&lt;in_marketplace_from+in_card_months),in_card_share/in_card_months*F1747*I1747,IF(AND(B1747&gt;=in_marketplace_from+in_card_months,B1747&lt;in_marketplace_from+2*in_card_months),in_card_share*d_card_rem/in_card_months*F1747*MIN(in_takeup_cap,(1+in_takeup_growth)^(D1747-1))*MIN(in_takeup_cap,(1+in_approval_growth)^(D1747-1)),0))</f>
        <v/>
      </c>
      <c r="AA1747" s="14">
        <f>V1747*in_fee*(1-in_taken_back)</f>
        <v/>
      </c>
      <c r="AB1747" s="14">
        <f>SUMIFS(W1741:W1753,B1741:B1753,B1747-in_dpd_lag)*d_dpd</f>
        <v/>
      </c>
      <c r="AC1747" s="14">
        <f>SUMIFS(W1741:W1753,B1741:B1753,B1747-in_rec_lag)*d_rec</f>
        <v/>
      </c>
      <c r="AD1747" s="14">
        <f>Z1747*in_card_fee</f>
        <v/>
      </c>
      <c r="AE1747" s="40">
        <f>AE1746*(1-IF(B1746&gt;=in_marketplace_from,d_hz_hlth_small*G1746,0))</f>
        <v/>
      </c>
      <c r="AF1747" s="46">
        <f>AE1747*IF(B1747&gt;=in_marketplace_from,d_hz_hlth_small*G1747,0)</f>
        <v/>
      </c>
      <c r="AG1747" s="14">
        <f>F1747*AF1747*in_hlth_small_ticket*in_hlth_small_comm*in_ins_partner_share+F1747*in_hlth_small_ticket*in_hlth_small_renew_comm*in_ins_partner_share*(in_hlth_small_renew^1*SUMIFS(AF1741:AF1753,B1741:B1753,B1747-12)+in_hlth_small_renew^2*SUMIFS(AF1741:AF1753,B1741:B1753,B1747-24)+in_hlth_small_renew^3*SUMIFS(AF1741:AF1753,B1741:B1753,B1747-36)+in_hlth_small_renew^4*SUMIFS(AF1741:AF1753,B1741:B1753,B1747-48))</f>
        <v/>
      </c>
      <c r="AH1747" s="40">
        <f>AH1746*(1-IF(B1746&gt;=in_marketplace_from,d_hz_hlth_family*G1746,0))</f>
        <v/>
      </c>
      <c r="AI1747" s="46">
        <f>AH1747*IF(B1747&gt;=in_marketplace_from,d_hz_hlth_family*G1747,0)</f>
        <v/>
      </c>
      <c r="AJ1747" s="14">
        <f>F1747*AI1747*in_hlth_family_ticket*in_hlth_family_comm*in_ins_partner_share+F1747*in_hlth_family_ticket*in_hlth_family_renew_comm*in_ins_partner_share*(in_hlth_family_renew^1*SUMIFS(AI1741:AI1753,B1741:B1753,B1747-12)+in_hlth_family_renew^2*SUMIFS(AI1741:AI1753,B1741:B1753,B1747-24)+in_hlth_family_renew^3*SUMIFS(AI1741:AI1753,B1741:B1753,B1747-36)+in_hlth_family_renew^4*SUMIFS(AI1741:AI1753,B1741:B1753,B1747-48))</f>
        <v/>
      </c>
      <c r="AK1747" s="40">
        <f>AK1746*(1-IF(B1746&gt;=in_marketplace_from,d_hz_life_term*G1746,0))</f>
        <v/>
      </c>
      <c r="AL1747" s="46">
        <f>AK1747*IF(B1747&gt;=in_marketplace_from,d_hz_life_term*G1747,0)</f>
        <v/>
      </c>
      <c r="AM1747" s="14">
        <f>F1747*AL1747*in_life_term_ticket*in_life_term_comm*in_ins_partner_share+F1747*in_life_term_ticket*in_life_term_renew_comm*in_ins_partner_share*(in_life_term_renew^1*SUMIFS(AL1741:AL1753,B1741:B1753,B1747-12)+in_life_term_renew^2*SUMIFS(AL1741:AL1753,B1741:B1753,B1747-24)+in_life_term_renew^3*SUMIFS(AL1741:AL1753,B1741:B1753,B1747-36)+in_life_term_renew^4*SUMIFS(AL1741:AL1753,B1741:B1753,B1747-48))</f>
        <v/>
      </c>
      <c r="AN1747" s="40">
        <f>AN1746*(1-IF(B1746&gt;=in_marketplace_from,d_hz_accident*G1746,0))</f>
        <v/>
      </c>
      <c r="AO1747" s="46">
        <f>AN1747*IF(B1747&gt;=in_marketplace_from,d_hz_accident*G1747,0)</f>
        <v/>
      </c>
      <c r="AP1747" s="14">
        <f>F1747*AO1747*in_accident_ticket*in_accident_comm*in_ins_partner_share+F1747*in_accident_ticket*in_accident_renew_comm*in_ins_partner_share*(in_accident_renew^1*SUMIFS(AO1741:AO1753,B1741:B1753,B1747-12)+in_accident_renew^2*SUMIFS(AO1741:AO1753,B1741:B1753,B1747-24)+in_accident_renew^3*SUMIFS(AO1741:AO1753,B1741:B1753,B1747-36)+in_accident_renew^4*SUMIFS(AO1741:AO1753,B1741:B1753,B1747-48))</f>
        <v/>
      </c>
      <c r="AQ1747" s="40">
        <f>AQ1746*(1-IF(B1746&gt;=in_marketplace_from,d_hz_two_wheeler*G1746,0))</f>
        <v/>
      </c>
      <c r="AR1747" s="46">
        <f>AQ1747*IF(B1747&gt;=in_marketplace_from,d_hz_two_wheeler*G1747,0)</f>
        <v/>
      </c>
      <c r="AS1747" s="14">
        <f>F1747*AR1747*in_two_wheeler_ticket*in_two_wheeler_comm*in_ins_partner_share+F1747*in_two_wheeler_ticket*in_two_wheeler_comm*in_ins_partner_share*(in_two_wheeler_renew^1*SUMIFS(AR1741:AR1753,B1741:B1753,B1747-12)+in_two_wheeler_renew^2*SUMIFS(AR1741:AR1753,B1741:B1753,B1747-24)+in_two_wheeler_renew^3*SUMIFS(AR1741:AR1753,B1741:B1753,B1747-36)+in_two_wheeler_renew^4*SUMIFS(AR1741:AR1753,B1741:B1753,B1747-48))</f>
        <v/>
      </c>
      <c r="AT1747" s="40">
        <f>AT1746*(1-IF(B1746&gt;=in_marketplace_from,d_hz_device*G1746,0))</f>
        <v/>
      </c>
      <c r="AU1747" s="14">
        <f>F1747*AT1747*IF(B1747&gt;=in_marketplace_from,d_hz_device*G1747,0)*in_device_ticket*in_device_comm*in_ins_partner_share</f>
        <v/>
      </c>
      <c r="AV1747" s="40">
        <f>AV1746*(1-IF(B1746&gt;=in_marketplace_from,d_hz_shop*G1746,0))</f>
        <v/>
      </c>
      <c r="AW1747" s="46">
        <f>AV1747*IF(B1747&gt;=in_marketplace_from,d_hz_shop*G1747,0)</f>
        <v/>
      </c>
      <c r="AX1747" s="14">
        <f>F1747*AW1747*in_shop_ticket*in_shop_comm*in_ins_partner_share+F1747*in_shop_ticket*in_shop_renew_comm*in_ins_partner_share*(in_shop_renew^1*SUMIFS(AW1741:AW1753,B1741:B1753,B1747-12)+in_shop_renew^2*SUMIFS(AW1741:AW1753,B1741:B1753,B1747-24)+in_shop_renew^3*SUMIFS(AW1741:AW1753,B1741:B1753,B1747-36)+in_shop_renew^4*SUMIFS(AW1741:AW1753,B1741:B1753,B1747-48))</f>
        <v/>
      </c>
      <c r="AY1747" s="40">
        <f>AY1746*(1-IF(B1746&gt;=in_marketplace_from,d_hz_sip*G1746,0))</f>
        <v/>
      </c>
      <c r="AZ1747" s="40">
        <f>AZ1746*d_rho_sip+AY1747*IF(B1747&gt;=in_marketplace_from,d_hz_sip*G1747,0)</f>
        <v/>
      </c>
      <c r="BA1747" s="40">
        <f>d_rho_sip*(BA1746+AZ1746)</f>
        <v/>
      </c>
      <c r="BB1747" s="14">
        <f>F1747*in_sip_ticket*(BA1747+0.5*AZ1747)*in_sip_comm/12</f>
        <v/>
      </c>
      <c r="BC1747" s="40">
        <f>BC1746*(1-IF(B1746&gt;=in_marketplace_from,d_hz_choti*G1746,0))</f>
        <v/>
      </c>
      <c r="BD1747" s="46">
        <f>BC1747*IF(B1747&gt;=in_marketplace_from,d_hz_choti*G1747,0)</f>
        <v/>
      </c>
      <c r="BE1747" s="14">
        <f>F1747*SUMIFS(BD1741:BD1753,B1741:B1753,B1747-in_choti_months)*in_choti_renew*in_choti_ticket</f>
        <v/>
      </c>
      <c r="BF1747" s="40">
        <f>BF1746*(1-IF(B1746&gt;=in_marketplace_from,d_hz_nps*G1746,0))</f>
        <v/>
      </c>
      <c r="BG1747" s="14">
        <f>F1747*BF1747*IF(B1747&gt;=in_marketplace_from,d_hz_nps*G1747,0)*in_nps_ticket*in_nps_comm</f>
        <v/>
      </c>
      <c r="BH1747" s="40">
        <f>BH1746*(1-IF(B1746&gt;=in_marketplace_from,d_hz_gold*G1746,0))</f>
        <v/>
      </c>
      <c r="BI1747" s="40">
        <f>BI1746*d_rho_gold+BH1747*IF(B1747&gt;=in_marketplace_from,d_hz_gold*G1747,0)</f>
        <v/>
      </c>
      <c r="BJ1747" s="14">
        <f>F1747*BI1747*in_gold_ticket*in_gold_comm</f>
        <v/>
      </c>
      <c r="BK1747" s="40">
        <f>BK1746*(1-IF(B1746&gt;=in_marketplace_from,d_hz_fd*G1746,0))</f>
        <v/>
      </c>
      <c r="BL1747" s="14">
        <f>F1747*BK1747*IF(B1747&gt;=in_marketplace_from,d_hz_fd*G1747,0)*in_fd_ticket*in_fd_comm</f>
        <v/>
      </c>
      <c r="BM1747" s="40">
        <f>BM1746*(1-IF(B1746&gt;=in_marketplace_from,d_hz_recharge*G1746,0))</f>
        <v/>
      </c>
      <c r="BN1747" s="40">
        <f>BN1746*d_rho_recharge+BM1747*IF(B1747&gt;=in_marketplace_from,d_hz_recharge*G1747,0)</f>
        <v/>
      </c>
      <c r="BO1747" s="14">
        <f>F1747*BN1747*in_recharge_ticket*in_recharge_comm/12</f>
        <v/>
      </c>
      <c r="BP1747" s="40">
        <f>BP1746*(1-IF(B1746&gt;=in_marketplace_from,d_hz_bills*G1746,0))</f>
        <v/>
      </c>
      <c r="BQ1747" s="40">
        <f>BQ1746*d_rho_bills+BP1747*IF(B1747&gt;=in_marketplace_from,d_hz_bills*G1747,0)</f>
        <v/>
      </c>
      <c r="BR1747" s="14">
        <f>F1747*BQ1747*in_bills_ticket*in_bills_comm/12</f>
        <v/>
      </c>
      <c r="BS1747" s="40">
        <f>BS1746*(1-IF(B1746&gt;=in_marketplace_from,d_hz_loan_gold*G1746,0))</f>
        <v/>
      </c>
      <c r="BT1747" s="14">
        <f>F1747*BS1747*IF(B1747&gt;=in_marketplace_from,d_hz_loan_gold*G1747,0)*in_loan_gold_ticket*in_loan_gold_comm</f>
        <v/>
      </c>
      <c r="BU1747" s="40">
        <f>BU1746*(1-IF(B1746&gt;=in_marketplace_from,d_hz_loan_cd*G1746,0))</f>
        <v/>
      </c>
      <c r="BV1747" s="14">
        <f>F1747*BU1747*IF(B1747&gt;=in_marketplace_from,d_hz_loan_cd*G1747,0)*in_loan_cd_ticket*in_loan_cd_comm</f>
        <v/>
      </c>
      <c r="BW1747" s="40">
        <f>BW1746*(1-IF(B1746&gt;=in_marketplace_from,d_hz_loan_vehicle*G1746,0))</f>
        <v/>
      </c>
      <c r="BX1747" s="14">
        <f>F1747*BW1747*IF(B1747&gt;=in_marketplace_from,d_hz_loan_vehicle*G1747,0)*in_loan_vehicle_ticket*in_loan_vehicle_comm</f>
        <v/>
      </c>
      <c r="BY1747" s="40">
        <f>BY1746*(1-IF(B1746&gt;=in_marketplace_from,d_hz_loan_home*G1746,0)*BZ1746)</f>
        <v/>
      </c>
      <c r="BZ1747" s="11">
        <f>MIN(in_approval_cap,in_loan_home_approval*INDEX('Age profile'!$O$2:$O$61,B1747)*(1+in_approval_growth)^(D1747-1))</f>
        <v/>
      </c>
      <c r="CA1747" s="14">
        <f>F1747*BY1747*IF(B1747&gt;=in_marketplace_from,d_hz_loan_home*G1747,0)*BZ1747*in_loan_home_ticket*in_loan_home_comm</f>
        <v/>
      </c>
      <c r="CB1747" s="40">
        <f>CB1746*(1-IF(B1746&gt;=in_marketplace_from,d_hz_loan_lap*G1746,0)*CC1746)</f>
        <v/>
      </c>
      <c r="CC1747" s="11">
        <f>MIN(in_approval_cap,in_loan_lap_approval*INDEX('Age profile'!$O$2:$O$61,B1747)*(1+in_approval_growth)^(D1747-1))</f>
        <v/>
      </c>
      <c r="CD1747" s="14">
        <f>F1747*CB1747*IF(B1747&gt;=in_marketplace_from,d_hz_loan_lap*G1747,0)*CC1747*in_loan_lap_ticket*in_loan_lap_comm</f>
        <v/>
      </c>
      <c r="CE1747" s="14">
        <f>AA1747+AB1747+AC1747+AD1747+AG1747+AJ1747+AM1747+AP1747+AS1747+AU1747+AX1747+BB1747+BE1747+BG1747+BJ1747+BL1747+BO1747+BR1747+BT1747+BV1747+BX1747+CA1747+CD1747</f>
        <v/>
      </c>
    </row>
    <row r="1748">
      <c r="A1748" s="39" t="n">
        <v>48</v>
      </c>
      <c r="B1748" s="39" t="n">
        <v>8</v>
      </c>
      <c r="C1748" s="39">
        <f>A1748+B1748-1</f>
        <v/>
      </c>
      <c r="D1748" s="39">
        <f>INT((C1748-1)/12)+1</f>
        <v/>
      </c>
      <c r="E1748" s="44">
        <f>INDEX(Monthly!$B$2:$B$61,A1748)</f>
        <v/>
      </c>
      <c r="F1748" s="44">
        <f>E1748*INDEX('Age profile'!$B$2:$B$61,B1748)</f>
        <v/>
      </c>
      <c r="G1748" s="45">
        <f>MIN(in_takeup_cap,INDEX('Age profile'!$N$2:$N$61,B1748)*(1+in_takeup_growth)^(D1748-1))</f>
        <v/>
      </c>
      <c r="H1748" s="11">
        <f>MIN(in_approval_cap,in_approved_first*INDEX('Age profile'!$O$2:$O$61,B1748)*(1+in_approval_growth)^(D1748-1))</f>
        <v/>
      </c>
      <c r="I1748" s="45">
        <f>G1748*MIN(in_takeup_cap,INDEX('Age profile'!$O$2:$O$61,B1748)*(1+in_approval_growth)^(D1748-1))</f>
        <v/>
      </c>
      <c r="J1748" s="40">
        <f>(J1747-L1747)*F1748/F1747</f>
        <v/>
      </c>
      <c r="K1748" s="40">
        <f>(K1747-M1747)*F1748/F1747+SUMIFS(O1741:O1747,B1741:B1747,B1748-1-d_T)*F1748</f>
        <v/>
      </c>
      <c r="L1748" s="40">
        <f>IF(B1748&gt;=in_marketplace_from,J1748*d_hz*G1748*in_eligible*H1748,0)</f>
        <v/>
      </c>
      <c r="M1748" s="40">
        <f>IF(B1748&gt;=in_marketplace_from,K1748*d_hz*G1748*in_eligible*in_approved_repeat,0)</f>
        <v/>
      </c>
      <c r="N1748" s="40">
        <f>L1748+M1748</f>
        <v/>
      </c>
      <c r="O1748" s="46">
        <f>N1748/F1748</f>
        <v/>
      </c>
      <c r="P1748" s="40">
        <f>F1748-J1748-K1748</f>
        <v/>
      </c>
      <c r="Q1748" s="40">
        <f>IF(B1748&gt;=in_marketplace_from,(J1748+K1748)*d_hz*G1748,0)</f>
        <v/>
      </c>
      <c r="R1748" s="40">
        <f>SUMIFS(N1741:N1753,B1741:B1753,"&gt;="&amp;(B1748-d_T),B1741:B1753,"&lt;="&amp;(B1748-1))</f>
        <v/>
      </c>
      <c r="S1748" s="46">
        <f>(1-d_u)*S1747+IF(d_T&gt;in_topup_lag,SUMIFS(O1741:O1753,B1741:B1753,B1748-in_topup_lag)-d_udrop*SUMIFS(O1741:O1753,B1741:B1753,B1748-d_T),0)</f>
        <v/>
      </c>
      <c r="T1748" s="40">
        <f>F1748*d_u*S1748</f>
        <v/>
      </c>
      <c r="U1748" s="9">
        <f>L1748*in_ticket+M1748*d_rep_ticket</f>
        <v/>
      </c>
      <c r="V1748" s="9">
        <f>U1748+T1748*d_topup_amt</f>
        <v/>
      </c>
      <c r="W1748" s="40">
        <f>N1748+T1748*d_topup_ratio</f>
        <v/>
      </c>
      <c r="X1748" s="40">
        <f>SUMIFS(W1741:W1753,B1741:B1753,B1748-in_dpd_lag)*d_cured</f>
        <v/>
      </c>
      <c r="Y1748" s="40">
        <f>SUMIFS(W1741:W1753,B1741:B1753,B1748-in_rec_lag)*d_recd</f>
        <v/>
      </c>
      <c r="Z1748" s="40">
        <f>IF(AND(B1748&gt;=in_marketplace_from,B1748&lt;in_marketplace_from+in_card_months),in_card_share/in_card_months*F1748*I1748,IF(AND(B1748&gt;=in_marketplace_from+in_card_months,B1748&lt;in_marketplace_from+2*in_card_months),in_card_share*d_card_rem/in_card_months*F1748*MIN(in_takeup_cap,(1+in_takeup_growth)^(D1748-1))*MIN(in_takeup_cap,(1+in_approval_growth)^(D1748-1)),0))</f>
        <v/>
      </c>
      <c r="AA1748" s="14">
        <f>V1748*in_fee*(1-in_taken_back)</f>
        <v/>
      </c>
      <c r="AB1748" s="14">
        <f>SUMIFS(W1741:W1753,B1741:B1753,B1748-in_dpd_lag)*d_dpd</f>
        <v/>
      </c>
      <c r="AC1748" s="14">
        <f>SUMIFS(W1741:W1753,B1741:B1753,B1748-in_rec_lag)*d_rec</f>
        <v/>
      </c>
      <c r="AD1748" s="14">
        <f>Z1748*in_card_fee</f>
        <v/>
      </c>
      <c r="AE1748" s="40">
        <f>AE1747*(1-IF(B1747&gt;=in_marketplace_from,d_hz_hlth_small*G1747,0))</f>
        <v/>
      </c>
      <c r="AF1748" s="46">
        <f>AE1748*IF(B1748&gt;=in_marketplace_from,d_hz_hlth_small*G1748,0)</f>
        <v/>
      </c>
      <c r="AG1748" s="14">
        <f>F1748*AF1748*in_hlth_small_ticket*in_hlth_small_comm*in_ins_partner_share+F1748*in_hlth_small_ticket*in_hlth_small_renew_comm*in_ins_partner_share*(in_hlth_small_renew^1*SUMIFS(AF1741:AF1753,B1741:B1753,B1748-12)+in_hlth_small_renew^2*SUMIFS(AF1741:AF1753,B1741:B1753,B1748-24)+in_hlth_small_renew^3*SUMIFS(AF1741:AF1753,B1741:B1753,B1748-36)+in_hlth_small_renew^4*SUMIFS(AF1741:AF1753,B1741:B1753,B1748-48))</f>
        <v/>
      </c>
      <c r="AH1748" s="40">
        <f>AH1747*(1-IF(B1747&gt;=in_marketplace_from,d_hz_hlth_family*G1747,0))</f>
        <v/>
      </c>
      <c r="AI1748" s="46">
        <f>AH1748*IF(B1748&gt;=in_marketplace_from,d_hz_hlth_family*G1748,0)</f>
        <v/>
      </c>
      <c r="AJ1748" s="14">
        <f>F1748*AI1748*in_hlth_family_ticket*in_hlth_family_comm*in_ins_partner_share+F1748*in_hlth_family_ticket*in_hlth_family_renew_comm*in_ins_partner_share*(in_hlth_family_renew^1*SUMIFS(AI1741:AI1753,B1741:B1753,B1748-12)+in_hlth_family_renew^2*SUMIFS(AI1741:AI1753,B1741:B1753,B1748-24)+in_hlth_family_renew^3*SUMIFS(AI1741:AI1753,B1741:B1753,B1748-36)+in_hlth_family_renew^4*SUMIFS(AI1741:AI1753,B1741:B1753,B1748-48))</f>
        <v/>
      </c>
      <c r="AK1748" s="40">
        <f>AK1747*(1-IF(B1747&gt;=in_marketplace_from,d_hz_life_term*G1747,0))</f>
        <v/>
      </c>
      <c r="AL1748" s="46">
        <f>AK1748*IF(B1748&gt;=in_marketplace_from,d_hz_life_term*G1748,0)</f>
        <v/>
      </c>
      <c r="AM1748" s="14">
        <f>F1748*AL1748*in_life_term_ticket*in_life_term_comm*in_ins_partner_share+F1748*in_life_term_ticket*in_life_term_renew_comm*in_ins_partner_share*(in_life_term_renew^1*SUMIFS(AL1741:AL1753,B1741:B1753,B1748-12)+in_life_term_renew^2*SUMIFS(AL1741:AL1753,B1741:B1753,B1748-24)+in_life_term_renew^3*SUMIFS(AL1741:AL1753,B1741:B1753,B1748-36)+in_life_term_renew^4*SUMIFS(AL1741:AL1753,B1741:B1753,B1748-48))</f>
        <v/>
      </c>
      <c r="AN1748" s="40">
        <f>AN1747*(1-IF(B1747&gt;=in_marketplace_from,d_hz_accident*G1747,0))</f>
        <v/>
      </c>
      <c r="AO1748" s="46">
        <f>AN1748*IF(B1748&gt;=in_marketplace_from,d_hz_accident*G1748,0)</f>
        <v/>
      </c>
      <c r="AP1748" s="14">
        <f>F1748*AO1748*in_accident_ticket*in_accident_comm*in_ins_partner_share+F1748*in_accident_ticket*in_accident_renew_comm*in_ins_partner_share*(in_accident_renew^1*SUMIFS(AO1741:AO1753,B1741:B1753,B1748-12)+in_accident_renew^2*SUMIFS(AO1741:AO1753,B1741:B1753,B1748-24)+in_accident_renew^3*SUMIFS(AO1741:AO1753,B1741:B1753,B1748-36)+in_accident_renew^4*SUMIFS(AO1741:AO1753,B1741:B1753,B1748-48))</f>
        <v/>
      </c>
      <c r="AQ1748" s="40">
        <f>AQ1747*(1-IF(B1747&gt;=in_marketplace_from,d_hz_two_wheeler*G1747,0))</f>
        <v/>
      </c>
      <c r="AR1748" s="46">
        <f>AQ1748*IF(B1748&gt;=in_marketplace_from,d_hz_two_wheeler*G1748,0)</f>
        <v/>
      </c>
      <c r="AS1748" s="14">
        <f>F1748*AR1748*in_two_wheeler_ticket*in_two_wheeler_comm*in_ins_partner_share+F1748*in_two_wheeler_ticket*in_two_wheeler_comm*in_ins_partner_share*(in_two_wheeler_renew^1*SUMIFS(AR1741:AR1753,B1741:B1753,B1748-12)+in_two_wheeler_renew^2*SUMIFS(AR1741:AR1753,B1741:B1753,B1748-24)+in_two_wheeler_renew^3*SUMIFS(AR1741:AR1753,B1741:B1753,B1748-36)+in_two_wheeler_renew^4*SUMIFS(AR1741:AR1753,B1741:B1753,B1748-48))</f>
        <v/>
      </c>
      <c r="AT1748" s="40">
        <f>AT1747*(1-IF(B1747&gt;=in_marketplace_from,d_hz_device*G1747,0))</f>
        <v/>
      </c>
      <c r="AU1748" s="14">
        <f>F1748*AT1748*IF(B1748&gt;=in_marketplace_from,d_hz_device*G1748,0)*in_device_ticket*in_device_comm*in_ins_partner_share</f>
        <v/>
      </c>
      <c r="AV1748" s="40">
        <f>AV1747*(1-IF(B1747&gt;=in_marketplace_from,d_hz_shop*G1747,0))</f>
        <v/>
      </c>
      <c r="AW1748" s="46">
        <f>AV1748*IF(B1748&gt;=in_marketplace_from,d_hz_shop*G1748,0)</f>
        <v/>
      </c>
      <c r="AX1748" s="14">
        <f>F1748*AW1748*in_shop_ticket*in_shop_comm*in_ins_partner_share+F1748*in_shop_ticket*in_shop_renew_comm*in_ins_partner_share*(in_shop_renew^1*SUMIFS(AW1741:AW1753,B1741:B1753,B1748-12)+in_shop_renew^2*SUMIFS(AW1741:AW1753,B1741:B1753,B1748-24)+in_shop_renew^3*SUMIFS(AW1741:AW1753,B1741:B1753,B1748-36)+in_shop_renew^4*SUMIFS(AW1741:AW1753,B1741:B1753,B1748-48))</f>
        <v/>
      </c>
      <c r="AY1748" s="40">
        <f>AY1747*(1-IF(B1747&gt;=in_marketplace_from,d_hz_sip*G1747,0))</f>
        <v/>
      </c>
      <c r="AZ1748" s="40">
        <f>AZ1747*d_rho_sip+AY1748*IF(B1748&gt;=in_marketplace_from,d_hz_sip*G1748,0)</f>
        <v/>
      </c>
      <c r="BA1748" s="40">
        <f>d_rho_sip*(BA1747+AZ1747)</f>
        <v/>
      </c>
      <c r="BB1748" s="14">
        <f>F1748*in_sip_ticket*(BA1748+0.5*AZ1748)*in_sip_comm/12</f>
        <v/>
      </c>
      <c r="BC1748" s="40">
        <f>BC1747*(1-IF(B1747&gt;=in_marketplace_from,d_hz_choti*G1747,0))</f>
        <v/>
      </c>
      <c r="BD1748" s="46">
        <f>BC1748*IF(B1748&gt;=in_marketplace_from,d_hz_choti*G1748,0)</f>
        <v/>
      </c>
      <c r="BE1748" s="14">
        <f>F1748*SUMIFS(BD1741:BD1753,B1741:B1753,B1748-in_choti_months)*in_choti_renew*in_choti_ticket</f>
        <v/>
      </c>
      <c r="BF1748" s="40">
        <f>BF1747*(1-IF(B1747&gt;=in_marketplace_from,d_hz_nps*G1747,0))</f>
        <v/>
      </c>
      <c r="BG1748" s="14">
        <f>F1748*BF1748*IF(B1748&gt;=in_marketplace_from,d_hz_nps*G1748,0)*in_nps_ticket*in_nps_comm</f>
        <v/>
      </c>
      <c r="BH1748" s="40">
        <f>BH1747*(1-IF(B1747&gt;=in_marketplace_from,d_hz_gold*G1747,0))</f>
        <v/>
      </c>
      <c r="BI1748" s="40">
        <f>BI1747*d_rho_gold+BH1748*IF(B1748&gt;=in_marketplace_from,d_hz_gold*G1748,0)</f>
        <v/>
      </c>
      <c r="BJ1748" s="14">
        <f>F1748*BI1748*in_gold_ticket*in_gold_comm</f>
        <v/>
      </c>
      <c r="BK1748" s="40">
        <f>BK1747*(1-IF(B1747&gt;=in_marketplace_from,d_hz_fd*G1747,0))</f>
        <v/>
      </c>
      <c r="BL1748" s="14">
        <f>F1748*BK1748*IF(B1748&gt;=in_marketplace_from,d_hz_fd*G1748,0)*in_fd_ticket*in_fd_comm</f>
        <v/>
      </c>
      <c r="BM1748" s="40">
        <f>BM1747*(1-IF(B1747&gt;=in_marketplace_from,d_hz_recharge*G1747,0))</f>
        <v/>
      </c>
      <c r="BN1748" s="40">
        <f>BN1747*d_rho_recharge+BM1748*IF(B1748&gt;=in_marketplace_from,d_hz_recharge*G1748,0)</f>
        <v/>
      </c>
      <c r="BO1748" s="14">
        <f>F1748*BN1748*in_recharge_ticket*in_recharge_comm/12</f>
        <v/>
      </c>
      <c r="BP1748" s="40">
        <f>BP1747*(1-IF(B1747&gt;=in_marketplace_from,d_hz_bills*G1747,0))</f>
        <v/>
      </c>
      <c r="BQ1748" s="40">
        <f>BQ1747*d_rho_bills+BP1748*IF(B1748&gt;=in_marketplace_from,d_hz_bills*G1748,0)</f>
        <v/>
      </c>
      <c r="BR1748" s="14">
        <f>F1748*BQ1748*in_bills_ticket*in_bills_comm/12</f>
        <v/>
      </c>
      <c r="BS1748" s="40">
        <f>BS1747*(1-IF(B1747&gt;=in_marketplace_from,d_hz_loan_gold*G1747,0))</f>
        <v/>
      </c>
      <c r="BT1748" s="14">
        <f>F1748*BS1748*IF(B1748&gt;=in_marketplace_from,d_hz_loan_gold*G1748,0)*in_loan_gold_ticket*in_loan_gold_comm</f>
        <v/>
      </c>
      <c r="BU1748" s="40">
        <f>BU1747*(1-IF(B1747&gt;=in_marketplace_from,d_hz_loan_cd*G1747,0))</f>
        <v/>
      </c>
      <c r="BV1748" s="14">
        <f>F1748*BU1748*IF(B1748&gt;=in_marketplace_from,d_hz_loan_cd*G1748,0)*in_loan_cd_ticket*in_loan_cd_comm</f>
        <v/>
      </c>
      <c r="BW1748" s="40">
        <f>BW1747*(1-IF(B1747&gt;=in_marketplace_from,d_hz_loan_vehicle*G1747,0))</f>
        <v/>
      </c>
      <c r="BX1748" s="14">
        <f>F1748*BW1748*IF(B1748&gt;=in_marketplace_from,d_hz_loan_vehicle*G1748,0)*in_loan_vehicle_ticket*in_loan_vehicle_comm</f>
        <v/>
      </c>
      <c r="BY1748" s="40">
        <f>BY1747*(1-IF(B1747&gt;=in_marketplace_from,d_hz_loan_home*G1747,0)*BZ1747)</f>
        <v/>
      </c>
      <c r="BZ1748" s="11">
        <f>MIN(in_approval_cap,in_loan_home_approval*INDEX('Age profile'!$O$2:$O$61,B1748)*(1+in_approval_growth)^(D1748-1))</f>
        <v/>
      </c>
      <c r="CA1748" s="14">
        <f>F1748*BY1748*IF(B1748&gt;=in_marketplace_from,d_hz_loan_home*G1748,0)*BZ1748*in_loan_home_ticket*in_loan_home_comm</f>
        <v/>
      </c>
      <c r="CB1748" s="40">
        <f>CB1747*(1-IF(B1747&gt;=in_marketplace_from,d_hz_loan_lap*G1747,0)*CC1747)</f>
        <v/>
      </c>
      <c r="CC1748" s="11">
        <f>MIN(in_approval_cap,in_loan_lap_approval*INDEX('Age profile'!$O$2:$O$61,B1748)*(1+in_approval_growth)^(D1748-1))</f>
        <v/>
      </c>
      <c r="CD1748" s="14">
        <f>F1748*CB1748*IF(B1748&gt;=in_marketplace_from,d_hz_loan_lap*G1748,0)*CC1748*in_loan_lap_ticket*in_loan_lap_comm</f>
        <v/>
      </c>
      <c r="CE1748" s="14">
        <f>AA1748+AB1748+AC1748+AD1748+AG1748+AJ1748+AM1748+AP1748+AS1748+AU1748+AX1748+BB1748+BE1748+BG1748+BJ1748+BL1748+BO1748+BR1748+BT1748+BV1748+BX1748+CA1748+CD1748</f>
        <v/>
      </c>
    </row>
    <row r="1749">
      <c r="A1749" s="39" t="n">
        <v>48</v>
      </c>
      <c r="B1749" s="39" t="n">
        <v>9</v>
      </c>
      <c r="C1749" s="39">
        <f>A1749+B1749-1</f>
        <v/>
      </c>
      <c r="D1749" s="39">
        <f>INT((C1749-1)/12)+1</f>
        <v/>
      </c>
      <c r="E1749" s="44">
        <f>INDEX(Monthly!$B$2:$B$61,A1749)</f>
        <v/>
      </c>
      <c r="F1749" s="44">
        <f>E1749*INDEX('Age profile'!$B$2:$B$61,B1749)</f>
        <v/>
      </c>
      <c r="G1749" s="45">
        <f>MIN(in_takeup_cap,INDEX('Age profile'!$N$2:$N$61,B1749)*(1+in_takeup_growth)^(D1749-1))</f>
        <v/>
      </c>
      <c r="H1749" s="11">
        <f>MIN(in_approval_cap,in_approved_first*INDEX('Age profile'!$O$2:$O$61,B1749)*(1+in_approval_growth)^(D1749-1))</f>
        <v/>
      </c>
      <c r="I1749" s="45">
        <f>G1749*MIN(in_takeup_cap,INDEX('Age profile'!$O$2:$O$61,B1749)*(1+in_approval_growth)^(D1749-1))</f>
        <v/>
      </c>
      <c r="J1749" s="40">
        <f>(J1748-L1748)*F1749/F1748</f>
        <v/>
      </c>
      <c r="K1749" s="40">
        <f>(K1748-M1748)*F1749/F1748+SUMIFS(O1741:O1748,B1741:B1748,B1749-1-d_T)*F1749</f>
        <v/>
      </c>
      <c r="L1749" s="40">
        <f>IF(B1749&gt;=in_marketplace_from,J1749*d_hz*G1749*in_eligible*H1749,0)</f>
        <v/>
      </c>
      <c r="M1749" s="40">
        <f>IF(B1749&gt;=in_marketplace_from,K1749*d_hz*G1749*in_eligible*in_approved_repeat,0)</f>
        <v/>
      </c>
      <c r="N1749" s="40">
        <f>L1749+M1749</f>
        <v/>
      </c>
      <c r="O1749" s="46">
        <f>N1749/F1749</f>
        <v/>
      </c>
      <c r="P1749" s="40">
        <f>F1749-J1749-K1749</f>
        <v/>
      </c>
      <c r="Q1749" s="40">
        <f>IF(B1749&gt;=in_marketplace_from,(J1749+K1749)*d_hz*G1749,0)</f>
        <v/>
      </c>
      <c r="R1749" s="40">
        <f>SUMIFS(N1741:N1753,B1741:B1753,"&gt;="&amp;(B1749-d_T),B1741:B1753,"&lt;="&amp;(B1749-1))</f>
        <v/>
      </c>
      <c r="S1749" s="46">
        <f>(1-d_u)*S1748+IF(d_T&gt;in_topup_lag,SUMIFS(O1741:O1753,B1741:B1753,B1749-in_topup_lag)-d_udrop*SUMIFS(O1741:O1753,B1741:B1753,B1749-d_T),0)</f>
        <v/>
      </c>
      <c r="T1749" s="40">
        <f>F1749*d_u*S1749</f>
        <v/>
      </c>
      <c r="U1749" s="9">
        <f>L1749*in_ticket+M1749*d_rep_ticket</f>
        <v/>
      </c>
      <c r="V1749" s="9">
        <f>U1749+T1749*d_topup_amt</f>
        <v/>
      </c>
      <c r="W1749" s="40">
        <f>N1749+T1749*d_topup_ratio</f>
        <v/>
      </c>
      <c r="X1749" s="40">
        <f>SUMIFS(W1741:W1753,B1741:B1753,B1749-in_dpd_lag)*d_cured</f>
        <v/>
      </c>
      <c r="Y1749" s="40">
        <f>SUMIFS(W1741:W1753,B1741:B1753,B1749-in_rec_lag)*d_recd</f>
        <v/>
      </c>
      <c r="Z1749" s="40">
        <f>IF(AND(B1749&gt;=in_marketplace_from,B1749&lt;in_marketplace_from+in_card_months),in_card_share/in_card_months*F1749*I1749,IF(AND(B1749&gt;=in_marketplace_from+in_card_months,B1749&lt;in_marketplace_from+2*in_card_months),in_card_share*d_card_rem/in_card_months*F1749*MIN(in_takeup_cap,(1+in_takeup_growth)^(D1749-1))*MIN(in_takeup_cap,(1+in_approval_growth)^(D1749-1)),0))</f>
        <v/>
      </c>
      <c r="AA1749" s="14">
        <f>V1749*in_fee*(1-in_taken_back)</f>
        <v/>
      </c>
      <c r="AB1749" s="14">
        <f>SUMIFS(W1741:W1753,B1741:B1753,B1749-in_dpd_lag)*d_dpd</f>
        <v/>
      </c>
      <c r="AC1749" s="14">
        <f>SUMIFS(W1741:W1753,B1741:B1753,B1749-in_rec_lag)*d_rec</f>
        <v/>
      </c>
      <c r="AD1749" s="14">
        <f>Z1749*in_card_fee</f>
        <v/>
      </c>
      <c r="AE1749" s="40">
        <f>AE1748*(1-IF(B1748&gt;=in_marketplace_from,d_hz_hlth_small*G1748,0))</f>
        <v/>
      </c>
      <c r="AF1749" s="46">
        <f>AE1749*IF(B1749&gt;=in_marketplace_from,d_hz_hlth_small*G1749,0)</f>
        <v/>
      </c>
      <c r="AG1749" s="14">
        <f>F1749*AF1749*in_hlth_small_ticket*in_hlth_small_comm*in_ins_partner_share+F1749*in_hlth_small_ticket*in_hlth_small_renew_comm*in_ins_partner_share*(in_hlth_small_renew^1*SUMIFS(AF1741:AF1753,B1741:B1753,B1749-12)+in_hlth_small_renew^2*SUMIFS(AF1741:AF1753,B1741:B1753,B1749-24)+in_hlth_small_renew^3*SUMIFS(AF1741:AF1753,B1741:B1753,B1749-36)+in_hlth_small_renew^4*SUMIFS(AF1741:AF1753,B1741:B1753,B1749-48))</f>
        <v/>
      </c>
      <c r="AH1749" s="40">
        <f>AH1748*(1-IF(B1748&gt;=in_marketplace_from,d_hz_hlth_family*G1748,0))</f>
        <v/>
      </c>
      <c r="AI1749" s="46">
        <f>AH1749*IF(B1749&gt;=in_marketplace_from,d_hz_hlth_family*G1749,0)</f>
        <v/>
      </c>
      <c r="AJ1749" s="14">
        <f>F1749*AI1749*in_hlth_family_ticket*in_hlth_family_comm*in_ins_partner_share+F1749*in_hlth_family_ticket*in_hlth_family_renew_comm*in_ins_partner_share*(in_hlth_family_renew^1*SUMIFS(AI1741:AI1753,B1741:B1753,B1749-12)+in_hlth_family_renew^2*SUMIFS(AI1741:AI1753,B1741:B1753,B1749-24)+in_hlth_family_renew^3*SUMIFS(AI1741:AI1753,B1741:B1753,B1749-36)+in_hlth_family_renew^4*SUMIFS(AI1741:AI1753,B1741:B1753,B1749-48))</f>
        <v/>
      </c>
      <c r="AK1749" s="40">
        <f>AK1748*(1-IF(B1748&gt;=in_marketplace_from,d_hz_life_term*G1748,0))</f>
        <v/>
      </c>
      <c r="AL1749" s="46">
        <f>AK1749*IF(B1749&gt;=in_marketplace_from,d_hz_life_term*G1749,0)</f>
        <v/>
      </c>
      <c r="AM1749" s="14">
        <f>F1749*AL1749*in_life_term_ticket*in_life_term_comm*in_ins_partner_share+F1749*in_life_term_ticket*in_life_term_renew_comm*in_ins_partner_share*(in_life_term_renew^1*SUMIFS(AL1741:AL1753,B1741:B1753,B1749-12)+in_life_term_renew^2*SUMIFS(AL1741:AL1753,B1741:B1753,B1749-24)+in_life_term_renew^3*SUMIFS(AL1741:AL1753,B1741:B1753,B1749-36)+in_life_term_renew^4*SUMIFS(AL1741:AL1753,B1741:B1753,B1749-48))</f>
        <v/>
      </c>
      <c r="AN1749" s="40">
        <f>AN1748*(1-IF(B1748&gt;=in_marketplace_from,d_hz_accident*G1748,0))</f>
        <v/>
      </c>
      <c r="AO1749" s="46">
        <f>AN1749*IF(B1749&gt;=in_marketplace_from,d_hz_accident*G1749,0)</f>
        <v/>
      </c>
      <c r="AP1749" s="14">
        <f>F1749*AO1749*in_accident_ticket*in_accident_comm*in_ins_partner_share+F1749*in_accident_ticket*in_accident_renew_comm*in_ins_partner_share*(in_accident_renew^1*SUMIFS(AO1741:AO1753,B1741:B1753,B1749-12)+in_accident_renew^2*SUMIFS(AO1741:AO1753,B1741:B1753,B1749-24)+in_accident_renew^3*SUMIFS(AO1741:AO1753,B1741:B1753,B1749-36)+in_accident_renew^4*SUMIFS(AO1741:AO1753,B1741:B1753,B1749-48))</f>
        <v/>
      </c>
      <c r="AQ1749" s="40">
        <f>AQ1748*(1-IF(B1748&gt;=in_marketplace_from,d_hz_two_wheeler*G1748,0))</f>
        <v/>
      </c>
      <c r="AR1749" s="46">
        <f>AQ1749*IF(B1749&gt;=in_marketplace_from,d_hz_two_wheeler*G1749,0)</f>
        <v/>
      </c>
      <c r="AS1749" s="14">
        <f>F1749*AR1749*in_two_wheeler_ticket*in_two_wheeler_comm*in_ins_partner_share+F1749*in_two_wheeler_ticket*in_two_wheeler_comm*in_ins_partner_share*(in_two_wheeler_renew^1*SUMIFS(AR1741:AR1753,B1741:B1753,B1749-12)+in_two_wheeler_renew^2*SUMIFS(AR1741:AR1753,B1741:B1753,B1749-24)+in_two_wheeler_renew^3*SUMIFS(AR1741:AR1753,B1741:B1753,B1749-36)+in_two_wheeler_renew^4*SUMIFS(AR1741:AR1753,B1741:B1753,B1749-48))</f>
        <v/>
      </c>
      <c r="AT1749" s="40">
        <f>AT1748*(1-IF(B1748&gt;=in_marketplace_from,d_hz_device*G1748,0))</f>
        <v/>
      </c>
      <c r="AU1749" s="14">
        <f>F1749*AT1749*IF(B1749&gt;=in_marketplace_from,d_hz_device*G1749,0)*in_device_ticket*in_device_comm*in_ins_partner_share</f>
        <v/>
      </c>
      <c r="AV1749" s="40">
        <f>AV1748*(1-IF(B1748&gt;=in_marketplace_from,d_hz_shop*G1748,0))</f>
        <v/>
      </c>
      <c r="AW1749" s="46">
        <f>AV1749*IF(B1749&gt;=in_marketplace_from,d_hz_shop*G1749,0)</f>
        <v/>
      </c>
      <c r="AX1749" s="14">
        <f>F1749*AW1749*in_shop_ticket*in_shop_comm*in_ins_partner_share+F1749*in_shop_ticket*in_shop_renew_comm*in_ins_partner_share*(in_shop_renew^1*SUMIFS(AW1741:AW1753,B1741:B1753,B1749-12)+in_shop_renew^2*SUMIFS(AW1741:AW1753,B1741:B1753,B1749-24)+in_shop_renew^3*SUMIFS(AW1741:AW1753,B1741:B1753,B1749-36)+in_shop_renew^4*SUMIFS(AW1741:AW1753,B1741:B1753,B1749-48))</f>
        <v/>
      </c>
      <c r="AY1749" s="40">
        <f>AY1748*(1-IF(B1748&gt;=in_marketplace_from,d_hz_sip*G1748,0))</f>
        <v/>
      </c>
      <c r="AZ1749" s="40">
        <f>AZ1748*d_rho_sip+AY1749*IF(B1749&gt;=in_marketplace_from,d_hz_sip*G1749,0)</f>
        <v/>
      </c>
      <c r="BA1749" s="40">
        <f>d_rho_sip*(BA1748+AZ1748)</f>
        <v/>
      </c>
      <c r="BB1749" s="14">
        <f>F1749*in_sip_ticket*(BA1749+0.5*AZ1749)*in_sip_comm/12</f>
        <v/>
      </c>
      <c r="BC1749" s="40">
        <f>BC1748*(1-IF(B1748&gt;=in_marketplace_from,d_hz_choti*G1748,0))</f>
        <v/>
      </c>
      <c r="BD1749" s="46">
        <f>BC1749*IF(B1749&gt;=in_marketplace_from,d_hz_choti*G1749,0)</f>
        <v/>
      </c>
      <c r="BE1749" s="14">
        <f>F1749*SUMIFS(BD1741:BD1753,B1741:B1753,B1749-in_choti_months)*in_choti_renew*in_choti_ticket</f>
        <v/>
      </c>
      <c r="BF1749" s="40">
        <f>BF1748*(1-IF(B1748&gt;=in_marketplace_from,d_hz_nps*G1748,0))</f>
        <v/>
      </c>
      <c r="BG1749" s="14">
        <f>F1749*BF1749*IF(B1749&gt;=in_marketplace_from,d_hz_nps*G1749,0)*in_nps_ticket*in_nps_comm</f>
        <v/>
      </c>
      <c r="BH1749" s="40">
        <f>BH1748*(1-IF(B1748&gt;=in_marketplace_from,d_hz_gold*G1748,0))</f>
        <v/>
      </c>
      <c r="BI1749" s="40">
        <f>BI1748*d_rho_gold+BH1749*IF(B1749&gt;=in_marketplace_from,d_hz_gold*G1749,0)</f>
        <v/>
      </c>
      <c r="BJ1749" s="14">
        <f>F1749*BI1749*in_gold_ticket*in_gold_comm</f>
        <v/>
      </c>
      <c r="BK1749" s="40">
        <f>BK1748*(1-IF(B1748&gt;=in_marketplace_from,d_hz_fd*G1748,0))</f>
        <v/>
      </c>
      <c r="BL1749" s="14">
        <f>F1749*BK1749*IF(B1749&gt;=in_marketplace_from,d_hz_fd*G1749,0)*in_fd_ticket*in_fd_comm</f>
        <v/>
      </c>
      <c r="BM1749" s="40">
        <f>BM1748*(1-IF(B1748&gt;=in_marketplace_from,d_hz_recharge*G1748,0))</f>
        <v/>
      </c>
      <c r="BN1749" s="40">
        <f>BN1748*d_rho_recharge+BM1749*IF(B1749&gt;=in_marketplace_from,d_hz_recharge*G1749,0)</f>
        <v/>
      </c>
      <c r="BO1749" s="14">
        <f>F1749*BN1749*in_recharge_ticket*in_recharge_comm/12</f>
        <v/>
      </c>
      <c r="BP1749" s="40">
        <f>BP1748*(1-IF(B1748&gt;=in_marketplace_from,d_hz_bills*G1748,0))</f>
        <v/>
      </c>
      <c r="BQ1749" s="40">
        <f>BQ1748*d_rho_bills+BP1749*IF(B1749&gt;=in_marketplace_from,d_hz_bills*G1749,0)</f>
        <v/>
      </c>
      <c r="BR1749" s="14">
        <f>F1749*BQ1749*in_bills_ticket*in_bills_comm/12</f>
        <v/>
      </c>
      <c r="BS1749" s="40">
        <f>BS1748*(1-IF(B1748&gt;=in_marketplace_from,d_hz_loan_gold*G1748,0))</f>
        <v/>
      </c>
      <c r="BT1749" s="14">
        <f>F1749*BS1749*IF(B1749&gt;=in_marketplace_from,d_hz_loan_gold*G1749,0)*in_loan_gold_ticket*in_loan_gold_comm</f>
        <v/>
      </c>
      <c r="BU1749" s="40">
        <f>BU1748*(1-IF(B1748&gt;=in_marketplace_from,d_hz_loan_cd*G1748,0))</f>
        <v/>
      </c>
      <c r="BV1749" s="14">
        <f>F1749*BU1749*IF(B1749&gt;=in_marketplace_from,d_hz_loan_cd*G1749,0)*in_loan_cd_ticket*in_loan_cd_comm</f>
        <v/>
      </c>
      <c r="BW1749" s="40">
        <f>BW1748*(1-IF(B1748&gt;=in_marketplace_from,d_hz_loan_vehicle*G1748,0))</f>
        <v/>
      </c>
      <c r="BX1749" s="14">
        <f>F1749*BW1749*IF(B1749&gt;=in_marketplace_from,d_hz_loan_vehicle*G1749,0)*in_loan_vehicle_ticket*in_loan_vehicle_comm</f>
        <v/>
      </c>
      <c r="BY1749" s="40">
        <f>BY1748*(1-IF(B1748&gt;=in_marketplace_from,d_hz_loan_home*G1748,0)*BZ1748)</f>
        <v/>
      </c>
      <c r="BZ1749" s="11">
        <f>MIN(in_approval_cap,in_loan_home_approval*INDEX('Age profile'!$O$2:$O$61,B1749)*(1+in_approval_growth)^(D1749-1))</f>
        <v/>
      </c>
      <c r="CA1749" s="14">
        <f>F1749*BY1749*IF(B1749&gt;=in_marketplace_from,d_hz_loan_home*G1749,0)*BZ1749*in_loan_home_ticket*in_loan_home_comm</f>
        <v/>
      </c>
      <c r="CB1749" s="40">
        <f>CB1748*(1-IF(B1748&gt;=in_marketplace_from,d_hz_loan_lap*G1748,0)*CC1748)</f>
        <v/>
      </c>
      <c r="CC1749" s="11">
        <f>MIN(in_approval_cap,in_loan_lap_approval*INDEX('Age profile'!$O$2:$O$61,B1749)*(1+in_approval_growth)^(D1749-1))</f>
        <v/>
      </c>
      <c r="CD1749" s="14">
        <f>F1749*CB1749*IF(B1749&gt;=in_marketplace_from,d_hz_loan_lap*G1749,0)*CC1749*in_loan_lap_ticket*in_loan_lap_comm</f>
        <v/>
      </c>
      <c r="CE1749" s="14">
        <f>AA1749+AB1749+AC1749+AD1749+AG1749+AJ1749+AM1749+AP1749+AS1749+AU1749+AX1749+BB1749+BE1749+BG1749+BJ1749+BL1749+BO1749+BR1749+BT1749+BV1749+BX1749+CA1749+CD1749</f>
        <v/>
      </c>
    </row>
    <row r="1750">
      <c r="A1750" s="39" t="n">
        <v>48</v>
      </c>
      <c r="B1750" s="39" t="n">
        <v>10</v>
      </c>
      <c r="C1750" s="39">
        <f>A1750+B1750-1</f>
        <v/>
      </c>
      <c r="D1750" s="39">
        <f>INT((C1750-1)/12)+1</f>
        <v/>
      </c>
      <c r="E1750" s="44">
        <f>INDEX(Monthly!$B$2:$B$61,A1750)</f>
        <v/>
      </c>
      <c r="F1750" s="44">
        <f>E1750*INDEX('Age profile'!$B$2:$B$61,B1750)</f>
        <v/>
      </c>
      <c r="G1750" s="45">
        <f>MIN(in_takeup_cap,INDEX('Age profile'!$N$2:$N$61,B1750)*(1+in_takeup_growth)^(D1750-1))</f>
        <v/>
      </c>
      <c r="H1750" s="11">
        <f>MIN(in_approval_cap,in_approved_first*INDEX('Age profile'!$O$2:$O$61,B1750)*(1+in_approval_growth)^(D1750-1))</f>
        <v/>
      </c>
      <c r="I1750" s="45">
        <f>G1750*MIN(in_takeup_cap,INDEX('Age profile'!$O$2:$O$61,B1750)*(1+in_approval_growth)^(D1750-1))</f>
        <v/>
      </c>
      <c r="J1750" s="40">
        <f>(J1749-L1749)*F1750/F1749</f>
        <v/>
      </c>
      <c r="K1750" s="40">
        <f>(K1749-M1749)*F1750/F1749+SUMIFS(O1741:O1749,B1741:B1749,B1750-1-d_T)*F1750</f>
        <v/>
      </c>
      <c r="L1750" s="40">
        <f>IF(B1750&gt;=in_marketplace_from,J1750*d_hz*G1750*in_eligible*H1750,0)</f>
        <v/>
      </c>
      <c r="M1750" s="40">
        <f>IF(B1750&gt;=in_marketplace_from,K1750*d_hz*G1750*in_eligible*in_approved_repeat,0)</f>
        <v/>
      </c>
      <c r="N1750" s="40">
        <f>L1750+M1750</f>
        <v/>
      </c>
      <c r="O1750" s="46">
        <f>N1750/F1750</f>
        <v/>
      </c>
      <c r="P1750" s="40">
        <f>F1750-J1750-K1750</f>
        <v/>
      </c>
      <c r="Q1750" s="40">
        <f>IF(B1750&gt;=in_marketplace_from,(J1750+K1750)*d_hz*G1750,0)</f>
        <v/>
      </c>
      <c r="R1750" s="40">
        <f>SUMIFS(N1741:N1753,B1741:B1753,"&gt;="&amp;(B1750-d_T),B1741:B1753,"&lt;="&amp;(B1750-1))</f>
        <v/>
      </c>
      <c r="S1750" s="46">
        <f>(1-d_u)*S1749+IF(d_T&gt;in_topup_lag,SUMIFS(O1741:O1753,B1741:B1753,B1750-in_topup_lag)-d_udrop*SUMIFS(O1741:O1753,B1741:B1753,B1750-d_T),0)</f>
        <v/>
      </c>
      <c r="T1750" s="40">
        <f>F1750*d_u*S1750</f>
        <v/>
      </c>
      <c r="U1750" s="9">
        <f>L1750*in_ticket+M1750*d_rep_ticket</f>
        <v/>
      </c>
      <c r="V1750" s="9">
        <f>U1750+T1750*d_topup_amt</f>
        <v/>
      </c>
      <c r="W1750" s="40">
        <f>N1750+T1750*d_topup_ratio</f>
        <v/>
      </c>
      <c r="X1750" s="40">
        <f>SUMIFS(W1741:W1753,B1741:B1753,B1750-in_dpd_lag)*d_cured</f>
        <v/>
      </c>
      <c r="Y1750" s="40">
        <f>SUMIFS(W1741:W1753,B1741:B1753,B1750-in_rec_lag)*d_recd</f>
        <v/>
      </c>
      <c r="Z1750" s="40">
        <f>IF(AND(B1750&gt;=in_marketplace_from,B1750&lt;in_marketplace_from+in_card_months),in_card_share/in_card_months*F1750*I1750,IF(AND(B1750&gt;=in_marketplace_from+in_card_months,B1750&lt;in_marketplace_from+2*in_card_months),in_card_share*d_card_rem/in_card_months*F1750*MIN(in_takeup_cap,(1+in_takeup_growth)^(D1750-1))*MIN(in_takeup_cap,(1+in_approval_growth)^(D1750-1)),0))</f>
        <v/>
      </c>
      <c r="AA1750" s="14">
        <f>V1750*in_fee*(1-in_taken_back)</f>
        <v/>
      </c>
      <c r="AB1750" s="14">
        <f>SUMIFS(W1741:W1753,B1741:B1753,B1750-in_dpd_lag)*d_dpd</f>
        <v/>
      </c>
      <c r="AC1750" s="14">
        <f>SUMIFS(W1741:W1753,B1741:B1753,B1750-in_rec_lag)*d_rec</f>
        <v/>
      </c>
      <c r="AD1750" s="14">
        <f>Z1750*in_card_fee</f>
        <v/>
      </c>
      <c r="AE1750" s="40">
        <f>AE1749*(1-IF(B1749&gt;=in_marketplace_from,d_hz_hlth_small*G1749,0))</f>
        <v/>
      </c>
      <c r="AF1750" s="46">
        <f>AE1750*IF(B1750&gt;=in_marketplace_from,d_hz_hlth_small*G1750,0)</f>
        <v/>
      </c>
      <c r="AG1750" s="14">
        <f>F1750*AF1750*in_hlth_small_ticket*in_hlth_small_comm*in_ins_partner_share+F1750*in_hlth_small_ticket*in_hlth_small_renew_comm*in_ins_partner_share*(in_hlth_small_renew^1*SUMIFS(AF1741:AF1753,B1741:B1753,B1750-12)+in_hlth_small_renew^2*SUMIFS(AF1741:AF1753,B1741:B1753,B1750-24)+in_hlth_small_renew^3*SUMIFS(AF1741:AF1753,B1741:B1753,B1750-36)+in_hlth_small_renew^4*SUMIFS(AF1741:AF1753,B1741:B1753,B1750-48))</f>
        <v/>
      </c>
      <c r="AH1750" s="40">
        <f>AH1749*(1-IF(B1749&gt;=in_marketplace_from,d_hz_hlth_family*G1749,0))</f>
        <v/>
      </c>
      <c r="AI1750" s="46">
        <f>AH1750*IF(B1750&gt;=in_marketplace_from,d_hz_hlth_family*G1750,0)</f>
        <v/>
      </c>
      <c r="AJ1750" s="14">
        <f>F1750*AI1750*in_hlth_family_ticket*in_hlth_family_comm*in_ins_partner_share+F1750*in_hlth_family_ticket*in_hlth_family_renew_comm*in_ins_partner_share*(in_hlth_family_renew^1*SUMIFS(AI1741:AI1753,B1741:B1753,B1750-12)+in_hlth_family_renew^2*SUMIFS(AI1741:AI1753,B1741:B1753,B1750-24)+in_hlth_family_renew^3*SUMIFS(AI1741:AI1753,B1741:B1753,B1750-36)+in_hlth_family_renew^4*SUMIFS(AI1741:AI1753,B1741:B1753,B1750-48))</f>
        <v/>
      </c>
      <c r="AK1750" s="40">
        <f>AK1749*(1-IF(B1749&gt;=in_marketplace_from,d_hz_life_term*G1749,0))</f>
        <v/>
      </c>
      <c r="AL1750" s="46">
        <f>AK1750*IF(B1750&gt;=in_marketplace_from,d_hz_life_term*G1750,0)</f>
        <v/>
      </c>
      <c r="AM1750" s="14">
        <f>F1750*AL1750*in_life_term_ticket*in_life_term_comm*in_ins_partner_share+F1750*in_life_term_ticket*in_life_term_renew_comm*in_ins_partner_share*(in_life_term_renew^1*SUMIFS(AL1741:AL1753,B1741:B1753,B1750-12)+in_life_term_renew^2*SUMIFS(AL1741:AL1753,B1741:B1753,B1750-24)+in_life_term_renew^3*SUMIFS(AL1741:AL1753,B1741:B1753,B1750-36)+in_life_term_renew^4*SUMIFS(AL1741:AL1753,B1741:B1753,B1750-48))</f>
        <v/>
      </c>
      <c r="AN1750" s="40">
        <f>AN1749*(1-IF(B1749&gt;=in_marketplace_from,d_hz_accident*G1749,0))</f>
        <v/>
      </c>
      <c r="AO1750" s="46">
        <f>AN1750*IF(B1750&gt;=in_marketplace_from,d_hz_accident*G1750,0)</f>
        <v/>
      </c>
      <c r="AP1750" s="14">
        <f>F1750*AO1750*in_accident_ticket*in_accident_comm*in_ins_partner_share+F1750*in_accident_ticket*in_accident_renew_comm*in_ins_partner_share*(in_accident_renew^1*SUMIFS(AO1741:AO1753,B1741:B1753,B1750-12)+in_accident_renew^2*SUMIFS(AO1741:AO1753,B1741:B1753,B1750-24)+in_accident_renew^3*SUMIFS(AO1741:AO1753,B1741:B1753,B1750-36)+in_accident_renew^4*SUMIFS(AO1741:AO1753,B1741:B1753,B1750-48))</f>
        <v/>
      </c>
      <c r="AQ1750" s="40">
        <f>AQ1749*(1-IF(B1749&gt;=in_marketplace_from,d_hz_two_wheeler*G1749,0))</f>
        <v/>
      </c>
      <c r="AR1750" s="46">
        <f>AQ1750*IF(B1750&gt;=in_marketplace_from,d_hz_two_wheeler*G1750,0)</f>
        <v/>
      </c>
      <c r="AS1750" s="14">
        <f>F1750*AR1750*in_two_wheeler_ticket*in_two_wheeler_comm*in_ins_partner_share+F1750*in_two_wheeler_ticket*in_two_wheeler_comm*in_ins_partner_share*(in_two_wheeler_renew^1*SUMIFS(AR1741:AR1753,B1741:B1753,B1750-12)+in_two_wheeler_renew^2*SUMIFS(AR1741:AR1753,B1741:B1753,B1750-24)+in_two_wheeler_renew^3*SUMIFS(AR1741:AR1753,B1741:B1753,B1750-36)+in_two_wheeler_renew^4*SUMIFS(AR1741:AR1753,B1741:B1753,B1750-48))</f>
        <v/>
      </c>
      <c r="AT1750" s="40">
        <f>AT1749*(1-IF(B1749&gt;=in_marketplace_from,d_hz_device*G1749,0))</f>
        <v/>
      </c>
      <c r="AU1750" s="14">
        <f>F1750*AT1750*IF(B1750&gt;=in_marketplace_from,d_hz_device*G1750,0)*in_device_ticket*in_device_comm*in_ins_partner_share</f>
        <v/>
      </c>
      <c r="AV1750" s="40">
        <f>AV1749*(1-IF(B1749&gt;=in_marketplace_from,d_hz_shop*G1749,0))</f>
        <v/>
      </c>
      <c r="AW1750" s="46">
        <f>AV1750*IF(B1750&gt;=in_marketplace_from,d_hz_shop*G1750,0)</f>
        <v/>
      </c>
      <c r="AX1750" s="14">
        <f>F1750*AW1750*in_shop_ticket*in_shop_comm*in_ins_partner_share+F1750*in_shop_ticket*in_shop_renew_comm*in_ins_partner_share*(in_shop_renew^1*SUMIFS(AW1741:AW1753,B1741:B1753,B1750-12)+in_shop_renew^2*SUMIFS(AW1741:AW1753,B1741:B1753,B1750-24)+in_shop_renew^3*SUMIFS(AW1741:AW1753,B1741:B1753,B1750-36)+in_shop_renew^4*SUMIFS(AW1741:AW1753,B1741:B1753,B1750-48))</f>
        <v/>
      </c>
      <c r="AY1750" s="40">
        <f>AY1749*(1-IF(B1749&gt;=in_marketplace_from,d_hz_sip*G1749,0))</f>
        <v/>
      </c>
      <c r="AZ1750" s="40">
        <f>AZ1749*d_rho_sip+AY1750*IF(B1750&gt;=in_marketplace_from,d_hz_sip*G1750,0)</f>
        <v/>
      </c>
      <c r="BA1750" s="40">
        <f>d_rho_sip*(BA1749+AZ1749)</f>
        <v/>
      </c>
      <c r="BB1750" s="14">
        <f>F1750*in_sip_ticket*(BA1750+0.5*AZ1750)*in_sip_comm/12</f>
        <v/>
      </c>
      <c r="BC1750" s="40">
        <f>BC1749*(1-IF(B1749&gt;=in_marketplace_from,d_hz_choti*G1749,0))</f>
        <v/>
      </c>
      <c r="BD1750" s="46">
        <f>BC1750*IF(B1750&gt;=in_marketplace_from,d_hz_choti*G1750,0)</f>
        <v/>
      </c>
      <c r="BE1750" s="14">
        <f>F1750*SUMIFS(BD1741:BD1753,B1741:B1753,B1750-in_choti_months)*in_choti_renew*in_choti_ticket</f>
        <v/>
      </c>
      <c r="BF1750" s="40">
        <f>BF1749*(1-IF(B1749&gt;=in_marketplace_from,d_hz_nps*G1749,0))</f>
        <v/>
      </c>
      <c r="BG1750" s="14">
        <f>F1750*BF1750*IF(B1750&gt;=in_marketplace_from,d_hz_nps*G1750,0)*in_nps_ticket*in_nps_comm</f>
        <v/>
      </c>
      <c r="BH1750" s="40">
        <f>BH1749*(1-IF(B1749&gt;=in_marketplace_from,d_hz_gold*G1749,0))</f>
        <v/>
      </c>
      <c r="BI1750" s="40">
        <f>BI1749*d_rho_gold+BH1750*IF(B1750&gt;=in_marketplace_from,d_hz_gold*G1750,0)</f>
        <v/>
      </c>
      <c r="BJ1750" s="14">
        <f>F1750*BI1750*in_gold_ticket*in_gold_comm</f>
        <v/>
      </c>
      <c r="BK1750" s="40">
        <f>BK1749*(1-IF(B1749&gt;=in_marketplace_from,d_hz_fd*G1749,0))</f>
        <v/>
      </c>
      <c r="BL1750" s="14">
        <f>F1750*BK1750*IF(B1750&gt;=in_marketplace_from,d_hz_fd*G1750,0)*in_fd_ticket*in_fd_comm</f>
        <v/>
      </c>
      <c r="BM1750" s="40">
        <f>BM1749*(1-IF(B1749&gt;=in_marketplace_from,d_hz_recharge*G1749,0))</f>
        <v/>
      </c>
      <c r="BN1750" s="40">
        <f>BN1749*d_rho_recharge+BM1750*IF(B1750&gt;=in_marketplace_from,d_hz_recharge*G1750,0)</f>
        <v/>
      </c>
      <c r="BO1750" s="14">
        <f>F1750*BN1750*in_recharge_ticket*in_recharge_comm/12</f>
        <v/>
      </c>
      <c r="BP1750" s="40">
        <f>BP1749*(1-IF(B1749&gt;=in_marketplace_from,d_hz_bills*G1749,0))</f>
        <v/>
      </c>
      <c r="BQ1750" s="40">
        <f>BQ1749*d_rho_bills+BP1750*IF(B1750&gt;=in_marketplace_from,d_hz_bills*G1750,0)</f>
        <v/>
      </c>
      <c r="BR1750" s="14">
        <f>F1750*BQ1750*in_bills_ticket*in_bills_comm/12</f>
        <v/>
      </c>
      <c r="BS1750" s="40">
        <f>BS1749*(1-IF(B1749&gt;=in_marketplace_from,d_hz_loan_gold*G1749,0))</f>
        <v/>
      </c>
      <c r="BT1750" s="14">
        <f>F1750*BS1750*IF(B1750&gt;=in_marketplace_from,d_hz_loan_gold*G1750,0)*in_loan_gold_ticket*in_loan_gold_comm</f>
        <v/>
      </c>
      <c r="BU1750" s="40">
        <f>BU1749*(1-IF(B1749&gt;=in_marketplace_from,d_hz_loan_cd*G1749,0))</f>
        <v/>
      </c>
      <c r="BV1750" s="14">
        <f>F1750*BU1750*IF(B1750&gt;=in_marketplace_from,d_hz_loan_cd*G1750,0)*in_loan_cd_ticket*in_loan_cd_comm</f>
        <v/>
      </c>
      <c r="BW1750" s="40">
        <f>BW1749*(1-IF(B1749&gt;=in_marketplace_from,d_hz_loan_vehicle*G1749,0))</f>
        <v/>
      </c>
      <c r="BX1750" s="14">
        <f>F1750*BW1750*IF(B1750&gt;=in_marketplace_from,d_hz_loan_vehicle*G1750,0)*in_loan_vehicle_ticket*in_loan_vehicle_comm</f>
        <v/>
      </c>
      <c r="BY1750" s="40">
        <f>BY1749*(1-IF(B1749&gt;=in_marketplace_from,d_hz_loan_home*G1749,0)*BZ1749)</f>
        <v/>
      </c>
      <c r="BZ1750" s="11">
        <f>MIN(in_approval_cap,in_loan_home_approval*INDEX('Age profile'!$O$2:$O$61,B1750)*(1+in_approval_growth)^(D1750-1))</f>
        <v/>
      </c>
      <c r="CA1750" s="14">
        <f>F1750*BY1750*IF(B1750&gt;=in_marketplace_from,d_hz_loan_home*G1750,0)*BZ1750*in_loan_home_ticket*in_loan_home_comm</f>
        <v/>
      </c>
      <c r="CB1750" s="40">
        <f>CB1749*(1-IF(B1749&gt;=in_marketplace_from,d_hz_loan_lap*G1749,0)*CC1749)</f>
        <v/>
      </c>
      <c r="CC1750" s="11">
        <f>MIN(in_approval_cap,in_loan_lap_approval*INDEX('Age profile'!$O$2:$O$61,B1750)*(1+in_approval_growth)^(D1750-1))</f>
        <v/>
      </c>
      <c r="CD1750" s="14">
        <f>F1750*CB1750*IF(B1750&gt;=in_marketplace_from,d_hz_loan_lap*G1750,0)*CC1750*in_loan_lap_ticket*in_loan_lap_comm</f>
        <v/>
      </c>
      <c r="CE1750" s="14">
        <f>AA1750+AB1750+AC1750+AD1750+AG1750+AJ1750+AM1750+AP1750+AS1750+AU1750+AX1750+BB1750+BE1750+BG1750+BJ1750+BL1750+BO1750+BR1750+BT1750+BV1750+BX1750+CA1750+CD1750</f>
        <v/>
      </c>
    </row>
    <row r="1751">
      <c r="A1751" s="39" t="n">
        <v>48</v>
      </c>
      <c r="B1751" s="39" t="n">
        <v>11</v>
      </c>
      <c r="C1751" s="39">
        <f>A1751+B1751-1</f>
        <v/>
      </c>
      <c r="D1751" s="39">
        <f>INT((C1751-1)/12)+1</f>
        <v/>
      </c>
      <c r="E1751" s="44">
        <f>INDEX(Monthly!$B$2:$B$61,A1751)</f>
        <v/>
      </c>
      <c r="F1751" s="44">
        <f>E1751*INDEX('Age profile'!$B$2:$B$61,B1751)</f>
        <v/>
      </c>
      <c r="G1751" s="45">
        <f>MIN(in_takeup_cap,INDEX('Age profile'!$N$2:$N$61,B1751)*(1+in_takeup_growth)^(D1751-1))</f>
        <v/>
      </c>
      <c r="H1751" s="11">
        <f>MIN(in_approval_cap,in_approved_first*INDEX('Age profile'!$O$2:$O$61,B1751)*(1+in_approval_growth)^(D1751-1))</f>
        <v/>
      </c>
      <c r="I1751" s="45">
        <f>G1751*MIN(in_takeup_cap,INDEX('Age profile'!$O$2:$O$61,B1751)*(1+in_approval_growth)^(D1751-1))</f>
        <v/>
      </c>
      <c r="J1751" s="40">
        <f>(J1750-L1750)*F1751/F1750</f>
        <v/>
      </c>
      <c r="K1751" s="40">
        <f>(K1750-M1750)*F1751/F1750+SUMIFS(O1741:O1750,B1741:B1750,B1751-1-d_T)*F1751</f>
        <v/>
      </c>
      <c r="L1751" s="40">
        <f>IF(B1751&gt;=in_marketplace_from,J1751*d_hz*G1751*in_eligible*H1751,0)</f>
        <v/>
      </c>
      <c r="M1751" s="40">
        <f>IF(B1751&gt;=in_marketplace_from,K1751*d_hz*G1751*in_eligible*in_approved_repeat,0)</f>
        <v/>
      </c>
      <c r="N1751" s="40">
        <f>L1751+M1751</f>
        <v/>
      </c>
      <c r="O1751" s="46">
        <f>N1751/F1751</f>
        <v/>
      </c>
      <c r="P1751" s="40">
        <f>F1751-J1751-K1751</f>
        <v/>
      </c>
      <c r="Q1751" s="40">
        <f>IF(B1751&gt;=in_marketplace_from,(J1751+K1751)*d_hz*G1751,0)</f>
        <v/>
      </c>
      <c r="R1751" s="40">
        <f>SUMIFS(N1741:N1753,B1741:B1753,"&gt;="&amp;(B1751-d_T),B1741:B1753,"&lt;="&amp;(B1751-1))</f>
        <v/>
      </c>
      <c r="S1751" s="46">
        <f>(1-d_u)*S1750+IF(d_T&gt;in_topup_lag,SUMIFS(O1741:O1753,B1741:B1753,B1751-in_topup_lag)-d_udrop*SUMIFS(O1741:O1753,B1741:B1753,B1751-d_T),0)</f>
        <v/>
      </c>
      <c r="T1751" s="40">
        <f>F1751*d_u*S1751</f>
        <v/>
      </c>
      <c r="U1751" s="9">
        <f>L1751*in_ticket+M1751*d_rep_ticket</f>
        <v/>
      </c>
      <c r="V1751" s="9">
        <f>U1751+T1751*d_topup_amt</f>
        <v/>
      </c>
      <c r="W1751" s="40">
        <f>N1751+T1751*d_topup_ratio</f>
        <v/>
      </c>
      <c r="X1751" s="40">
        <f>SUMIFS(W1741:W1753,B1741:B1753,B1751-in_dpd_lag)*d_cured</f>
        <v/>
      </c>
      <c r="Y1751" s="40">
        <f>SUMIFS(W1741:W1753,B1741:B1753,B1751-in_rec_lag)*d_recd</f>
        <v/>
      </c>
      <c r="Z1751" s="40">
        <f>IF(AND(B1751&gt;=in_marketplace_from,B1751&lt;in_marketplace_from+in_card_months),in_card_share/in_card_months*F1751*I1751,IF(AND(B1751&gt;=in_marketplace_from+in_card_months,B1751&lt;in_marketplace_from+2*in_card_months),in_card_share*d_card_rem/in_card_months*F1751*MIN(in_takeup_cap,(1+in_takeup_growth)^(D1751-1))*MIN(in_takeup_cap,(1+in_approval_growth)^(D1751-1)),0))</f>
        <v/>
      </c>
      <c r="AA1751" s="14">
        <f>V1751*in_fee*(1-in_taken_back)</f>
        <v/>
      </c>
      <c r="AB1751" s="14">
        <f>SUMIFS(W1741:W1753,B1741:B1753,B1751-in_dpd_lag)*d_dpd</f>
        <v/>
      </c>
      <c r="AC1751" s="14">
        <f>SUMIFS(W1741:W1753,B1741:B1753,B1751-in_rec_lag)*d_rec</f>
        <v/>
      </c>
      <c r="AD1751" s="14">
        <f>Z1751*in_card_fee</f>
        <v/>
      </c>
      <c r="AE1751" s="40">
        <f>AE1750*(1-IF(B1750&gt;=in_marketplace_from,d_hz_hlth_small*G1750,0))</f>
        <v/>
      </c>
      <c r="AF1751" s="46">
        <f>AE1751*IF(B1751&gt;=in_marketplace_from,d_hz_hlth_small*G1751,0)</f>
        <v/>
      </c>
      <c r="AG1751" s="14">
        <f>F1751*AF1751*in_hlth_small_ticket*in_hlth_small_comm*in_ins_partner_share+F1751*in_hlth_small_ticket*in_hlth_small_renew_comm*in_ins_partner_share*(in_hlth_small_renew^1*SUMIFS(AF1741:AF1753,B1741:B1753,B1751-12)+in_hlth_small_renew^2*SUMIFS(AF1741:AF1753,B1741:B1753,B1751-24)+in_hlth_small_renew^3*SUMIFS(AF1741:AF1753,B1741:B1753,B1751-36)+in_hlth_small_renew^4*SUMIFS(AF1741:AF1753,B1741:B1753,B1751-48))</f>
        <v/>
      </c>
      <c r="AH1751" s="40">
        <f>AH1750*(1-IF(B1750&gt;=in_marketplace_from,d_hz_hlth_family*G1750,0))</f>
        <v/>
      </c>
      <c r="AI1751" s="46">
        <f>AH1751*IF(B1751&gt;=in_marketplace_from,d_hz_hlth_family*G1751,0)</f>
        <v/>
      </c>
      <c r="AJ1751" s="14">
        <f>F1751*AI1751*in_hlth_family_ticket*in_hlth_family_comm*in_ins_partner_share+F1751*in_hlth_family_ticket*in_hlth_family_renew_comm*in_ins_partner_share*(in_hlth_family_renew^1*SUMIFS(AI1741:AI1753,B1741:B1753,B1751-12)+in_hlth_family_renew^2*SUMIFS(AI1741:AI1753,B1741:B1753,B1751-24)+in_hlth_family_renew^3*SUMIFS(AI1741:AI1753,B1741:B1753,B1751-36)+in_hlth_family_renew^4*SUMIFS(AI1741:AI1753,B1741:B1753,B1751-48))</f>
        <v/>
      </c>
      <c r="AK1751" s="40">
        <f>AK1750*(1-IF(B1750&gt;=in_marketplace_from,d_hz_life_term*G1750,0))</f>
        <v/>
      </c>
      <c r="AL1751" s="46">
        <f>AK1751*IF(B1751&gt;=in_marketplace_from,d_hz_life_term*G1751,0)</f>
        <v/>
      </c>
      <c r="AM1751" s="14">
        <f>F1751*AL1751*in_life_term_ticket*in_life_term_comm*in_ins_partner_share+F1751*in_life_term_ticket*in_life_term_renew_comm*in_ins_partner_share*(in_life_term_renew^1*SUMIFS(AL1741:AL1753,B1741:B1753,B1751-12)+in_life_term_renew^2*SUMIFS(AL1741:AL1753,B1741:B1753,B1751-24)+in_life_term_renew^3*SUMIFS(AL1741:AL1753,B1741:B1753,B1751-36)+in_life_term_renew^4*SUMIFS(AL1741:AL1753,B1741:B1753,B1751-48))</f>
        <v/>
      </c>
      <c r="AN1751" s="40">
        <f>AN1750*(1-IF(B1750&gt;=in_marketplace_from,d_hz_accident*G1750,0))</f>
        <v/>
      </c>
      <c r="AO1751" s="46">
        <f>AN1751*IF(B1751&gt;=in_marketplace_from,d_hz_accident*G1751,0)</f>
        <v/>
      </c>
      <c r="AP1751" s="14">
        <f>F1751*AO1751*in_accident_ticket*in_accident_comm*in_ins_partner_share+F1751*in_accident_ticket*in_accident_renew_comm*in_ins_partner_share*(in_accident_renew^1*SUMIFS(AO1741:AO1753,B1741:B1753,B1751-12)+in_accident_renew^2*SUMIFS(AO1741:AO1753,B1741:B1753,B1751-24)+in_accident_renew^3*SUMIFS(AO1741:AO1753,B1741:B1753,B1751-36)+in_accident_renew^4*SUMIFS(AO1741:AO1753,B1741:B1753,B1751-48))</f>
        <v/>
      </c>
      <c r="AQ1751" s="40">
        <f>AQ1750*(1-IF(B1750&gt;=in_marketplace_from,d_hz_two_wheeler*G1750,0))</f>
        <v/>
      </c>
      <c r="AR1751" s="46">
        <f>AQ1751*IF(B1751&gt;=in_marketplace_from,d_hz_two_wheeler*G1751,0)</f>
        <v/>
      </c>
      <c r="AS1751" s="14">
        <f>F1751*AR1751*in_two_wheeler_ticket*in_two_wheeler_comm*in_ins_partner_share+F1751*in_two_wheeler_ticket*in_two_wheeler_comm*in_ins_partner_share*(in_two_wheeler_renew^1*SUMIFS(AR1741:AR1753,B1741:B1753,B1751-12)+in_two_wheeler_renew^2*SUMIFS(AR1741:AR1753,B1741:B1753,B1751-24)+in_two_wheeler_renew^3*SUMIFS(AR1741:AR1753,B1741:B1753,B1751-36)+in_two_wheeler_renew^4*SUMIFS(AR1741:AR1753,B1741:B1753,B1751-48))</f>
        <v/>
      </c>
      <c r="AT1751" s="40">
        <f>AT1750*(1-IF(B1750&gt;=in_marketplace_from,d_hz_device*G1750,0))</f>
        <v/>
      </c>
      <c r="AU1751" s="14">
        <f>F1751*AT1751*IF(B1751&gt;=in_marketplace_from,d_hz_device*G1751,0)*in_device_ticket*in_device_comm*in_ins_partner_share</f>
        <v/>
      </c>
      <c r="AV1751" s="40">
        <f>AV1750*(1-IF(B1750&gt;=in_marketplace_from,d_hz_shop*G1750,0))</f>
        <v/>
      </c>
      <c r="AW1751" s="46">
        <f>AV1751*IF(B1751&gt;=in_marketplace_from,d_hz_shop*G1751,0)</f>
        <v/>
      </c>
      <c r="AX1751" s="14">
        <f>F1751*AW1751*in_shop_ticket*in_shop_comm*in_ins_partner_share+F1751*in_shop_ticket*in_shop_renew_comm*in_ins_partner_share*(in_shop_renew^1*SUMIFS(AW1741:AW1753,B1741:B1753,B1751-12)+in_shop_renew^2*SUMIFS(AW1741:AW1753,B1741:B1753,B1751-24)+in_shop_renew^3*SUMIFS(AW1741:AW1753,B1741:B1753,B1751-36)+in_shop_renew^4*SUMIFS(AW1741:AW1753,B1741:B1753,B1751-48))</f>
        <v/>
      </c>
      <c r="AY1751" s="40">
        <f>AY1750*(1-IF(B1750&gt;=in_marketplace_from,d_hz_sip*G1750,0))</f>
        <v/>
      </c>
      <c r="AZ1751" s="40">
        <f>AZ1750*d_rho_sip+AY1751*IF(B1751&gt;=in_marketplace_from,d_hz_sip*G1751,0)</f>
        <v/>
      </c>
      <c r="BA1751" s="40">
        <f>d_rho_sip*(BA1750+AZ1750)</f>
        <v/>
      </c>
      <c r="BB1751" s="14">
        <f>F1751*in_sip_ticket*(BA1751+0.5*AZ1751)*in_sip_comm/12</f>
        <v/>
      </c>
      <c r="BC1751" s="40">
        <f>BC1750*(1-IF(B1750&gt;=in_marketplace_from,d_hz_choti*G1750,0))</f>
        <v/>
      </c>
      <c r="BD1751" s="46">
        <f>BC1751*IF(B1751&gt;=in_marketplace_from,d_hz_choti*G1751,0)</f>
        <v/>
      </c>
      <c r="BE1751" s="14">
        <f>F1751*SUMIFS(BD1741:BD1753,B1741:B1753,B1751-in_choti_months)*in_choti_renew*in_choti_ticket</f>
        <v/>
      </c>
      <c r="BF1751" s="40">
        <f>BF1750*(1-IF(B1750&gt;=in_marketplace_from,d_hz_nps*G1750,0))</f>
        <v/>
      </c>
      <c r="BG1751" s="14">
        <f>F1751*BF1751*IF(B1751&gt;=in_marketplace_from,d_hz_nps*G1751,0)*in_nps_ticket*in_nps_comm</f>
        <v/>
      </c>
      <c r="BH1751" s="40">
        <f>BH1750*(1-IF(B1750&gt;=in_marketplace_from,d_hz_gold*G1750,0))</f>
        <v/>
      </c>
      <c r="BI1751" s="40">
        <f>BI1750*d_rho_gold+BH1751*IF(B1751&gt;=in_marketplace_from,d_hz_gold*G1751,0)</f>
        <v/>
      </c>
      <c r="BJ1751" s="14">
        <f>F1751*BI1751*in_gold_ticket*in_gold_comm</f>
        <v/>
      </c>
      <c r="BK1751" s="40">
        <f>BK1750*(1-IF(B1750&gt;=in_marketplace_from,d_hz_fd*G1750,0))</f>
        <v/>
      </c>
      <c r="BL1751" s="14">
        <f>F1751*BK1751*IF(B1751&gt;=in_marketplace_from,d_hz_fd*G1751,0)*in_fd_ticket*in_fd_comm</f>
        <v/>
      </c>
      <c r="BM1751" s="40">
        <f>BM1750*(1-IF(B1750&gt;=in_marketplace_from,d_hz_recharge*G1750,0))</f>
        <v/>
      </c>
      <c r="BN1751" s="40">
        <f>BN1750*d_rho_recharge+BM1751*IF(B1751&gt;=in_marketplace_from,d_hz_recharge*G1751,0)</f>
        <v/>
      </c>
      <c r="BO1751" s="14">
        <f>F1751*BN1751*in_recharge_ticket*in_recharge_comm/12</f>
        <v/>
      </c>
      <c r="BP1751" s="40">
        <f>BP1750*(1-IF(B1750&gt;=in_marketplace_from,d_hz_bills*G1750,0))</f>
        <v/>
      </c>
      <c r="BQ1751" s="40">
        <f>BQ1750*d_rho_bills+BP1751*IF(B1751&gt;=in_marketplace_from,d_hz_bills*G1751,0)</f>
        <v/>
      </c>
      <c r="BR1751" s="14">
        <f>F1751*BQ1751*in_bills_ticket*in_bills_comm/12</f>
        <v/>
      </c>
      <c r="BS1751" s="40">
        <f>BS1750*(1-IF(B1750&gt;=in_marketplace_from,d_hz_loan_gold*G1750,0))</f>
        <v/>
      </c>
      <c r="BT1751" s="14">
        <f>F1751*BS1751*IF(B1751&gt;=in_marketplace_from,d_hz_loan_gold*G1751,0)*in_loan_gold_ticket*in_loan_gold_comm</f>
        <v/>
      </c>
      <c r="BU1751" s="40">
        <f>BU1750*(1-IF(B1750&gt;=in_marketplace_from,d_hz_loan_cd*G1750,0))</f>
        <v/>
      </c>
      <c r="BV1751" s="14">
        <f>F1751*BU1751*IF(B1751&gt;=in_marketplace_from,d_hz_loan_cd*G1751,0)*in_loan_cd_ticket*in_loan_cd_comm</f>
        <v/>
      </c>
      <c r="BW1751" s="40">
        <f>BW1750*(1-IF(B1750&gt;=in_marketplace_from,d_hz_loan_vehicle*G1750,0))</f>
        <v/>
      </c>
      <c r="BX1751" s="14">
        <f>F1751*BW1751*IF(B1751&gt;=in_marketplace_from,d_hz_loan_vehicle*G1751,0)*in_loan_vehicle_ticket*in_loan_vehicle_comm</f>
        <v/>
      </c>
      <c r="BY1751" s="40">
        <f>BY1750*(1-IF(B1750&gt;=in_marketplace_from,d_hz_loan_home*G1750,0)*BZ1750)</f>
        <v/>
      </c>
      <c r="BZ1751" s="11">
        <f>MIN(in_approval_cap,in_loan_home_approval*INDEX('Age profile'!$O$2:$O$61,B1751)*(1+in_approval_growth)^(D1751-1))</f>
        <v/>
      </c>
      <c r="CA1751" s="14">
        <f>F1751*BY1751*IF(B1751&gt;=in_marketplace_from,d_hz_loan_home*G1751,0)*BZ1751*in_loan_home_ticket*in_loan_home_comm</f>
        <v/>
      </c>
      <c r="CB1751" s="40">
        <f>CB1750*(1-IF(B1750&gt;=in_marketplace_from,d_hz_loan_lap*G1750,0)*CC1750)</f>
        <v/>
      </c>
      <c r="CC1751" s="11">
        <f>MIN(in_approval_cap,in_loan_lap_approval*INDEX('Age profile'!$O$2:$O$61,B1751)*(1+in_approval_growth)^(D1751-1))</f>
        <v/>
      </c>
      <c r="CD1751" s="14">
        <f>F1751*CB1751*IF(B1751&gt;=in_marketplace_from,d_hz_loan_lap*G1751,0)*CC1751*in_loan_lap_ticket*in_loan_lap_comm</f>
        <v/>
      </c>
      <c r="CE1751" s="14">
        <f>AA1751+AB1751+AC1751+AD1751+AG1751+AJ1751+AM1751+AP1751+AS1751+AU1751+AX1751+BB1751+BE1751+BG1751+BJ1751+BL1751+BO1751+BR1751+BT1751+BV1751+BX1751+CA1751+CD1751</f>
        <v/>
      </c>
    </row>
    <row r="1752">
      <c r="A1752" s="39" t="n">
        <v>48</v>
      </c>
      <c r="B1752" s="39" t="n">
        <v>12</v>
      </c>
      <c r="C1752" s="39">
        <f>A1752+B1752-1</f>
        <v/>
      </c>
      <c r="D1752" s="39">
        <f>INT((C1752-1)/12)+1</f>
        <v/>
      </c>
      <c r="E1752" s="44">
        <f>INDEX(Monthly!$B$2:$B$61,A1752)</f>
        <v/>
      </c>
      <c r="F1752" s="44">
        <f>E1752*INDEX('Age profile'!$B$2:$B$61,B1752)</f>
        <v/>
      </c>
      <c r="G1752" s="45">
        <f>MIN(in_takeup_cap,INDEX('Age profile'!$N$2:$N$61,B1752)*(1+in_takeup_growth)^(D1752-1))</f>
        <v/>
      </c>
      <c r="H1752" s="11">
        <f>MIN(in_approval_cap,in_approved_first*INDEX('Age profile'!$O$2:$O$61,B1752)*(1+in_approval_growth)^(D1752-1))</f>
        <v/>
      </c>
      <c r="I1752" s="45">
        <f>G1752*MIN(in_takeup_cap,INDEX('Age profile'!$O$2:$O$61,B1752)*(1+in_approval_growth)^(D1752-1))</f>
        <v/>
      </c>
      <c r="J1752" s="40">
        <f>(J1751-L1751)*F1752/F1751</f>
        <v/>
      </c>
      <c r="K1752" s="40">
        <f>(K1751-M1751)*F1752/F1751+SUMIFS(O1741:O1751,B1741:B1751,B1752-1-d_T)*F1752</f>
        <v/>
      </c>
      <c r="L1752" s="40">
        <f>IF(B1752&gt;=in_marketplace_from,J1752*d_hz*G1752*in_eligible*H1752,0)</f>
        <v/>
      </c>
      <c r="M1752" s="40">
        <f>IF(B1752&gt;=in_marketplace_from,K1752*d_hz*G1752*in_eligible*in_approved_repeat,0)</f>
        <v/>
      </c>
      <c r="N1752" s="40">
        <f>L1752+M1752</f>
        <v/>
      </c>
      <c r="O1752" s="46">
        <f>N1752/F1752</f>
        <v/>
      </c>
      <c r="P1752" s="40">
        <f>F1752-J1752-K1752</f>
        <v/>
      </c>
      <c r="Q1752" s="40">
        <f>IF(B1752&gt;=in_marketplace_from,(J1752+K1752)*d_hz*G1752,0)</f>
        <v/>
      </c>
      <c r="R1752" s="40">
        <f>SUMIFS(N1741:N1753,B1741:B1753,"&gt;="&amp;(B1752-d_T),B1741:B1753,"&lt;="&amp;(B1752-1))</f>
        <v/>
      </c>
      <c r="S1752" s="46">
        <f>(1-d_u)*S1751+IF(d_T&gt;in_topup_lag,SUMIFS(O1741:O1753,B1741:B1753,B1752-in_topup_lag)-d_udrop*SUMIFS(O1741:O1753,B1741:B1753,B1752-d_T),0)</f>
        <v/>
      </c>
      <c r="T1752" s="40">
        <f>F1752*d_u*S1752</f>
        <v/>
      </c>
      <c r="U1752" s="9">
        <f>L1752*in_ticket+M1752*d_rep_ticket</f>
        <v/>
      </c>
      <c r="V1752" s="9">
        <f>U1752+T1752*d_topup_amt</f>
        <v/>
      </c>
      <c r="W1752" s="40">
        <f>N1752+T1752*d_topup_ratio</f>
        <v/>
      </c>
      <c r="X1752" s="40">
        <f>SUMIFS(W1741:W1753,B1741:B1753,B1752-in_dpd_lag)*d_cured</f>
        <v/>
      </c>
      <c r="Y1752" s="40">
        <f>SUMIFS(W1741:W1753,B1741:B1753,B1752-in_rec_lag)*d_recd</f>
        <v/>
      </c>
      <c r="Z1752" s="40">
        <f>IF(AND(B1752&gt;=in_marketplace_from,B1752&lt;in_marketplace_from+in_card_months),in_card_share/in_card_months*F1752*I1752,IF(AND(B1752&gt;=in_marketplace_from+in_card_months,B1752&lt;in_marketplace_from+2*in_card_months),in_card_share*d_card_rem/in_card_months*F1752*MIN(in_takeup_cap,(1+in_takeup_growth)^(D1752-1))*MIN(in_takeup_cap,(1+in_approval_growth)^(D1752-1)),0))</f>
        <v/>
      </c>
      <c r="AA1752" s="14">
        <f>V1752*in_fee*(1-in_taken_back)</f>
        <v/>
      </c>
      <c r="AB1752" s="14">
        <f>SUMIFS(W1741:W1753,B1741:B1753,B1752-in_dpd_lag)*d_dpd</f>
        <v/>
      </c>
      <c r="AC1752" s="14">
        <f>SUMIFS(W1741:W1753,B1741:B1753,B1752-in_rec_lag)*d_rec</f>
        <v/>
      </c>
      <c r="AD1752" s="14">
        <f>Z1752*in_card_fee</f>
        <v/>
      </c>
      <c r="AE1752" s="40">
        <f>AE1751*(1-IF(B1751&gt;=in_marketplace_from,d_hz_hlth_small*G1751,0))</f>
        <v/>
      </c>
      <c r="AF1752" s="46">
        <f>AE1752*IF(B1752&gt;=in_marketplace_from,d_hz_hlth_small*G1752,0)</f>
        <v/>
      </c>
      <c r="AG1752" s="14">
        <f>F1752*AF1752*in_hlth_small_ticket*in_hlth_small_comm*in_ins_partner_share+F1752*in_hlth_small_ticket*in_hlth_small_renew_comm*in_ins_partner_share*(in_hlth_small_renew^1*SUMIFS(AF1741:AF1753,B1741:B1753,B1752-12)+in_hlth_small_renew^2*SUMIFS(AF1741:AF1753,B1741:B1753,B1752-24)+in_hlth_small_renew^3*SUMIFS(AF1741:AF1753,B1741:B1753,B1752-36)+in_hlth_small_renew^4*SUMIFS(AF1741:AF1753,B1741:B1753,B1752-48))</f>
        <v/>
      </c>
      <c r="AH1752" s="40">
        <f>AH1751*(1-IF(B1751&gt;=in_marketplace_from,d_hz_hlth_family*G1751,0))</f>
        <v/>
      </c>
      <c r="AI1752" s="46">
        <f>AH1752*IF(B1752&gt;=in_marketplace_from,d_hz_hlth_family*G1752,0)</f>
        <v/>
      </c>
      <c r="AJ1752" s="14">
        <f>F1752*AI1752*in_hlth_family_ticket*in_hlth_family_comm*in_ins_partner_share+F1752*in_hlth_family_ticket*in_hlth_family_renew_comm*in_ins_partner_share*(in_hlth_family_renew^1*SUMIFS(AI1741:AI1753,B1741:B1753,B1752-12)+in_hlth_family_renew^2*SUMIFS(AI1741:AI1753,B1741:B1753,B1752-24)+in_hlth_family_renew^3*SUMIFS(AI1741:AI1753,B1741:B1753,B1752-36)+in_hlth_family_renew^4*SUMIFS(AI1741:AI1753,B1741:B1753,B1752-48))</f>
        <v/>
      </c>
      <c r="AK1752" s="40">
        <f>AK1751*(1-IF(B1751&gt;=in_marketplace_from,d_hz_life_term*G1751,0))</f>
        <v/>
      </c>
      <c r="AL1752" s="46">
        <f>AK1752*IF(B1752&gt;=in_marketplace_from,d_hz_life_term*G1752,0)</f>
        <v/>
      </c>
      <c r="AM1752" s="14">
        <f>F1752*AL1752*in_life_term_ticket*in_life_term_comm*in_ins_partner_share+F1752*in_life_term_ticket*in_life_term_renew_comm*in_ins_partner_share*(in_life_term_renew^1*SUMIFS(AL1741:AL1753,B1741:B1753,B1752-12)+in_life_term_renew^2*SUMIFS(AL1741:AL1753,B1741:B1753,B1752-24)+in_life_term_renew^3*SUMIFS(AL1741:AL1753,B1741:B1753,B1752-36)+in_life_term_renew^4*SUMIFS(AL1741:AL1753,B1741:B1753,B1752-48))</f>
        <v/>
      </c>
      <c r="AN1752" s="40">
        <f>AN1751*(1-IF(B1751&gt;=in_marketplace_from,d_hz_accident*G1751,0))</f>
        <v/>
      </c>
      <c r="AO1752" s="46">
        <f>AN1752*IF(B1752&gt;=in_marketplace_from,d_hz_accident*G1752,0)</f>
        <v/>
      </c>
      <c r="AP1752" s="14">
        <f>F1752*AO1752*in_accident_ticket*in_accident_comm*in_ins_partner_share+F1752*in_accident_ticket*in_accident_renew_comm*in_ins_partner_share*(in_accident_renew^1*SUMIFS(AO1741:AO1753,B1741:B1753,B1752-12)+in_accident_renew^2*SUMIFS(AO1741:AO1753,B1741:B1753,B1752-24)+in_accident_renew^3*SUMIFS(AO1741:AO1753,B1741:B1753,B1752-36)+in_accident_renew^4*SUMIFS(AO1741:AO1753,B1741:B1753,B1752-48))</f>
        <v/>
      </c>
      <c r="AQ1752" s="40">
        <f>AQ1751*(1-IF(B1751&gt;=in_marketplace_from,d_hz_two_wheeler*G1751,0))</f>
        <v/>
      </c>
      <c r="AR1752" s="46">
        <f>AQ1752*IF(B1752&gt;=in_marketplace_from,d_hz_two_wheeler*G1752,0)</f>
        <v/>
      </c>
      <c r="AS1752" s="14">
        <f>F1752*AR1752*in_two_wheeler_ticket*in_two_wheeler_comm*in_ins_partner_share+F1752*in_two_wheeler_ticket*in_two_wheeler_comm*in_ins_partner_share*(in_two_wheeler_renew^1*SUMIFS(AR1741:AR1753,B1741:B1753,B1752-12)+in_two_wheeler_renew^2*SUMIFS(AR1741:AR1753,B1741:B1753,B1752-24)+in_two_wheeler_renew^3*SUMIFS(AR1741:AR1753,B1741:B1753,B1752-36)+in_two_wheeler_renew^4*SUMIFS(AR1741:AR1753,B1741:B1753,B1752-48))</f>
        <v/>
      </c>
      <c r="AT1752" s="40">
        <f>AT1751*(1-IF(B1751&gt;=in_marketplace_from,d_hz_device*G1751,0))</f>
        <v/>
      </c>
      <c r="AU1752" s="14">
        <f>F1752*AT1752*IF(B1752&gt;=in_marketplace_from,d_hz_device*G1752,0)*in_device_ticket*in_device_comm*in_ins_partner_share</f>
        <v/>
      </c>
      <c r="AV1752" s="40">
        <f>AV1751*(1-IF(B1751&gt;=in_marketplace_from,d_hz_shop*G1751,0))</f>
        <v/>
      </c>
      <c r="AW1752" s="46">
        <f>AV1752*IF(B1752&gt;=in_marketplace_from,d_hz_shop*G1752,0)</f>
        <v/>
      </c>
      <c r="AX1752" s="14">
        <f>F1752*AW1752*in_shop_ticket*in_shop_comm*in_ins_partner_share+F1752*in_shop_ticket*in_shop_renew_comm*in_ins_partner_share*(in_shop_renew^1*SUMIFS(AW1741:AW1753,B1741:B1753,B1752-12)+in_shop_renew^2*SUMIFS(AW1741:AW1753,B1741:B1753,B1752-24)+in_shop_renew^3*SUMIFS(AW1741:AW1753,B1741:B1753,B1752-36)+in_shop_renew^4*SUMIFS(AW1741:AW1753,B1741:B1753,B1752-48))</f>
        <v/>
      </c>
      <c r="AY1752" s="40">
        <f>AY1751*(1-IF(B1751&gt;=in_marketplace_from,d_hz_sip*G1751,0))</f>
        <v/>
      </c>
      <c r="AZ1752" s="40">
        <f>AZ1751*d_rho_sip+AY1752*IF(B1752&gt;=in_marketplace_from,d_hz_sip*G1752,0)</f>
        <v/>
      </c>
      <c r="BA1752" s="40">
        <f>d_rho_sip*(BA1751+AZ1751)</f>
        <v/>
      </c>
      <c r="BB1752" s="14">
        <f>F1752*in_sip_ticket*(BA1752+0.5*AZ1752)*in_sip_comm/12</f>
        <v/>
      </c>
      <c r="BC1752" s="40">
        <f>BC1751*(1-IF(B1751&gt;=in_marketplace_from,d_hz_choti*G1751,0))</f>
        <v/>
      </c>
      <c r="BD1752" s="46">
        <f>BC1752*IF(B1752&gt;=in_marketplace_from,d_hz_choti*G1752,0)</f>
        <v/>
      </c>
      <c r="BE1752" s="14">
        <f>F1752*SUMIFS(BD1741:BD1753,B1741:B1753,B1752-in_choti_months)*in_choti_renew*in_choti_ticket</f>
        <v/>
      </c>
      <c r="BF1752" s="40">
        <f>BF1751*(1-IF(B1751&gt;=in_marketplace_from,d_hz_nps*G1751,0))</f>
        <v/>
      </c>
      <c r="BG1752" s="14">
        <f>F1752*BF1752*IF(B1752&gt;=in_marketplace_from,d_hz_nps*G1752,0)*in_nps_ticket*in_nps_comm</f>
        <v/>
      </c>
      <c r="BH1752" s="40">
        <f>BH1751*(1-IF(B1751&gt;=in_marketplace_from,d_hz_gold*G1751,0))</f>
        <v/>
      </c>
      <c r="BI1752" s="40">
        <f>BI1751*d_rho_gold+BH1752*IF(B1752&gt;=in_marketplace_from,d_hz_gold*G1752,0)</f>
        <v/>
      </c>
      <c r="BJ1752" s="14">
        <f>F1752*BI1752*in_gold_ticket*in_gold_comm</f>
        <v/>
      </c>
      <c r="BK1752" s="40">
        <f>BK1751*(1-IF(B1751&gt;=in_marketplace_from,d_hz_fd*G1751,0))</f>
        <v/>
      </c>
      <c r="BL1752" s="14">
        <f>F1752*BK1752*IF(B1752&gt;=in_marketplace_from,d_hz_fd*G1752,0)*in_fd_ticket*in_fd_comm</f>
        <v/>
      </c>
      <c r="BM1752" s="40">
        <f>BM1751*(1-IF(B1751&gt;=in_marketplace_from,d_hz_recharge*G1751,0))</f>
        <v/>
      </c>
      <c r="BN1752" s="40">
        <f>BN1751*d_rho_recharge+BM1752*IF(B1752&gt;=in_marketplace_from,d_hz_recharge*G1752,0)</f>
        <v/>
      </c>
      <c r="BO1752" s="14">
        <f>F1752*BN1752*in_recharge_ticket*in_recharge_comm/12</f>
        <v/>
      </c>
      <c r="BP1752" s="40">
        <f>BP1751*(1-IF(B1751&gt;=in_marketplace_from,d_hz_bills*G1751,0))</f>
        <v/>
      </c>
      <c r="BQ1752" s="40">
        <f>BQ1751*d_rho_bills+BP1752*IF(B1752&gt;=in_marketplace_from,d_hz_bills*G1752,0)</f>
        <v/>
      </c>
      <c r="BR1752" s="14">
        <f>F1752*BQ1752*in_bills_ticket*in_bills_comm/12</f>
        <v/>
      </c>
      <c r="BS1752" s="40">
        <f>BS1751*(1-IF(B1751&gt;=in_marketplace_from,d_hz_loan_gold*G1751,0))</f>
        <v/>
      </c>
      <c r="BT1752" s="14">
        <f>F1752*BS1752*IF(B1752&gt;=in_marketplace_from,d_hz_loan_gold*G1752,0)*in_loan_gold_ticket*in_loan_gold_comm</f>
        <v/>
      </c>
      <c r="BU1752" s="40">
        <f>BU1751*(1-IF(B1751&gt;=in_marketplace_from,d_hz_loan_cd*G1751,0))</f>
        <v/>
      </c>
      <c r="BV1752" s="14">
        <f>F1752*BU1752*IF(B1752&gt;=in_marketplace_from,d_hz_loan_cd*G1752,0)*in_loan_cd_ticket*in_loan_cd_comm</f>
        <v/>
      </c>
      <c r="BW1752" s="40">
        <f>BW1751*(1-IF(B1751&gt;=in_marketplace_from,d_hz_loan_vehicle*G1751,0))</f>
        <v/>
      </c>
      <c r="BX1752" s="14">
        <f>F1752*BW1752*IF(B1752&gt;=in_marketplace_from,d_hz_loan_vehicle*G1752,0)*in_loan_vehicle_ticket*in_loan_vehicle_comm</f>
        <v/>
      </c>
      <c r="BY1752" s="40">
        <f>BY1751*(1-IF(B1751&gt;=in_marketplace_from,d_hz_loan_home*G1751,0)*BZ1751)</f>
        <v/>
      </c>
      <c r="BZ1752" s="11">
        <f>MIN(in_approval_cap,in_loan_home_approval*INDEX('Age profile'!$O$2:$O$61,B1752)*(1+in_approval_growth)^(D1752-1))</f>
        <v/>
      </c>
      <c r="CA1752" s="14">
        <f>F1752*BY1752*IF(B1752&gt;=in_marketplace_from,d_hz_loan_home*G1752,0)*BZ1752*in_loan_home_ticket*in_loan_home_comm</f>
        <v/>
      </c>
      <c r="CB1752" s="40">
        <f>CB1751*(1-IF(B1751&gt;=in_marketplace_from,d_hz_loan_lap*G1751,0)*CC1751)</f>
        <v/>
      </c>
      <c r="CC1752" s="11">
        <f>MIN(in_approval_cap,in_loan_lap_approval*INDEX('Age profile'!$O$2:$O$61,B1752)*(1+in_approval_growth)^(D1752-1))</f>
        <v/>
      </c>
      <c r="CD1752" s="14">
        <f>F1752*CB1752*IF(B1752&gt;=in_marketplace_from,d_hz_loan_lap*G1752,0)*CC1752*in_loan_lap_ticket*in_loan_lap_comm</f>
        <v/>
      </c>
      <c r="CE1752" s="14">
        <f>AA1752+AB1752+AC1752+AD1752+AG1752+AJ1752+AM1752+AP1752+AS1752+AU1752+AX1752+BB1752+BE1752+BG1752+BJ1752+BL1752+BO1752+BR1752+BT1752+BV1752+BX1752+CA1752+CD1752</f>
        <v/>
      </c>
    </row>
    <row r="1753">
      <c r="A1753" s="39" t="n">
        <v>48</v>
      </c>
      <c r="B1753" s="39" t="n">
        <v>13</v>
      </c>
      <c r="C1753" s="39">
        <f>A1753+B1753-1</f>
        <v/>
      </c>
      <c r="D1753" s="39">
        <f>INT((C1753-1)/12)+1</f>
        <v/>
      </c>
      <c r="E1753" s="44">
        <f>INDEX(Monthly!$B$2:$B$61,A1753)</f>
        <v/>
      </c>
      <c r="F1753" s="44">
        <f>E1753*INDEX('Age profile'!$B$2:$B$61,B1753)</f>
        <v/>
      </c>
      <c r="G1753" s="45">
        <f>MIN(in_takeup_cap,INDEX('Age profile'!$N$2:$N$61,B1753)*(1+in_takeup_growth)^(D1753-1))</f>
        <v/>
      </c>
      <c r="H1753" s="11">
        <f>MIN(in_approval_cap,in_approved_first*INDEX('Age profile'!$O$2:$O$61,B1753)*(1+in_approval_growth)^(D1753-1))</f>
        <v/>
      </c>
      <c r="I1753" s="45">
        <f>G1753*MIN(in_takeup_cap,INDEX('Age profile'!$O$2:$O$61,B1753)*(1+in_approval_growth)^(D1753-1))</f>
        <v/>
      </c>
      <c r="J1753" s="40">
        <f>(J1752-L1752)*F1753/F1752</f>
        <v/>
      </c>
      <c r="K1753" s="40">
        <f>(K1752-M1752)*F1753/F1752+SUMIFS(O1741:O1752,B1741:B1752,B1753-1-d_T)*F1753</f>
        <v/>
      </c>
      <c r="L1753" s="40">
        <f>IF(B1753&gt;=in_marketplace_from,J1753*d_hz*G1753*in_eligible*H1753,0)</f>
        <v/>
      </c>
      <c r="M1753" s="40">
        <f>IF(B1753&gt;=in_marketplace_from,K1753*d_hz*G1753*in_eligible*in_approved_repeat,0)</f>
        <v/>
      </c>
      <c r="N1753" s="40">
        <f>L1753+M1753</f>
        <v/>
      </c>
      <c r="O1753" s="46">
        <f>N1753/F1753</f>
        <v/>
      </c>
      <c r="P1753" s="40">
        <f>F1753-J1753-K1753</f>
        <v/>
      </c>
      <c r="Q1753" s="40">
        <f>IF(B1753&gt;=in_marketplace_from,(J1753+K1753)*d_hz*G1753,0)</f>
        <v/>
      </c>
      <c r="R1753" s="40">
        <f>SUMIFS(N1741:N1753,B1741:B1753,"&gt;="&amp;(B1753-d_T),B1741:B1753,"&lt;="&amp;(B1753-1))</f>
        <v/>
      </c>
      <c r="S1753" s="46">
        <f>(1-d_u)*S1752+IF(d_T&gt;in_topup_lag,SUMIFS(O1741:O1753,B1741:B1753,B1753-in_topup_lag)-d_udrop*SUMIFS(O1741:O1753,B1741:B1753,B1753-d_T),0)</f>
        <v/>
      </c>
      <c r="T1753" s="40">
        <f>F1753*d_u*S1753</f>
        <v/>
      </c>
      <c r="U1753" s="9">
        <f>L1753*in_ticket+M1753*d_rep_ticket</f>
        <v/>
      </c>
      <c r="V1753" s="9">
        <f>U1753+T1753*d_topup_amt</f>
        <v/>
      </c>
      <c r="W1753" s="40">
        <f>N1753+T1753*d_topup_ratio</f>
        <v/>
      </c>
      <c r="X1753" s="40">
        <f>SUMIFS(W1741:W1753,B1741:B1753,B1753-in_dpd_lag)*d_cured</f>
        <v/>
      </c>
      <c r="Y1753" s="40">
        <f>SUMIFS(W1741:W1753,B1741:B1753,B1753-in_rec_lag)*d_recd</f>
        <v/>
      </c>
      <c r="Z1753" s="40">
        <f>IF(AND(B1753&gt;=in_marketplace_from,B1753&lt;in_marketplace_from+in_card_months),in_card_share/in_card_months*F1753*I1753,IF(AND(B1753&gt;=in_marketplace_from+in_card_months,B1753&lt;in_marketplace_from+2*in_card_months),in_card_share*d_card_rem/in_card_months*F1753*MIN(in_takeup_cap,(1+in_takeup_growth)^(D1753-1))*MIN(in_takeup_cap,(1+in_approval_growth)^(D1753-1)),0))</f>
        <v/>
      </c>
      <c r="AA1753" s="14">
        <f>V1753*in_fee*(1-in_taken_back)</f>
        <v/>
      </c>
      <c r="AB1753" s="14">
        <f>SUMIFS(W1741:W1753,B1741:B1753,B1753-in_dpd_lag)*d_dpd</f>
        <v/>
      </c>
      <c r="AC1753" s="14">
        <f>SUMIFS(W1741:W1753,B1741:B1753,B1753-in_rec_lag)*d_rec</f>
        <v/>
      </c>
      <c r="AD1753" s="14">
        <f>Z1753*in_card_fee</f>
        <v/>
      </c>
      <c r="AE1753" s="40">
        <f>AE1752*(1-IF(B1752&gt;=in_marketplace_from,d_hz_hlth_small*G1752,0))</f>
        <v/>
      </c>
      <c r="AF1753" s="46">
        <f>AE1753*IF(B1753&gt;=in_marketplace_from,d_hz_hlth_small*G1753,0)</f>
        <v/>
      </c>
      <c r="AG1753" s="14">
        <f>F1753*AF1753*in_hlth_small_ticket*in_hlth_small_comm*in_ins_partner_share+F1753*in_hlth_small_ticket*in_hlth_small_renew_comm*in_ins_partner_share*(in_hlth_small_renew^1*SUMIFS(AF1741:AF1753,B1741:B1753,B1753-12)+in_hlth_small_renew^2*SUMIFS(AF1741:AF1753,B1741:B1753,B1753-24)+in_hlth_small_renew^3*SUMIFS(AF1741:AF1753,B1741:B1753,B1753-36)+in_hlth_small_renew^4*SUMIFS(AF1741:AF1753,B1741:B1753,B1753-48))</f>
        <v/>
      </c>
      <c r="AH1753" s="40">
        <f>AH1752*(1-IF(B1752&gt;=in_marketplace_from,d_hz_hlth_family*G1752,0))</f>
        <v/>
      </c>
      <c r="AI1753" s="46">
        <f>AH1753*IF(B1753&gt;=in_marketplace_from,d_hz_hlth_family*G1753,0)</f>
        <v/>
      </c>
      <c r="AJ1753" s="14">
        <f>F1753*AI1753*in_hlth_family_ticket*in_hlth_family_comm*in_ins_partner_share+F1753*in_hlth_family_ticket*in_hlth_family_renew_comm*in_ins_partner_share*(in_hlth_family_renew^1*SUMIFS(AI1741:AI1753,B1741:B1753,B1753-12)+in_hlth_family_renew^2*SUMIFS(AI1741:AI1753,B1741:B1753,B1753-24)+in_hlth_family_renew^3*SUMIFS(AI1741:AI1753,B1741:B1753,B1753-36)+in_hlth_family_renew^4*SUMIFS(AI1741:AI1753,B1741:B1753,B1753-48))</f>
        <v/>
      </c>
      <c r="AK1753" s="40">
        <f>AK1752*(1-IF(B1752&gt;=in_marketplace_from,d_hz_life_term*G1752,0))</f>
        <v/>
      </c>
      <c r="AL1753" s="46">
        <f>AK1753*IF(B1753&gt;=in_marketplace_from,d_hz_life_term*G1753,0)</f>
        <v/>
      </c>
      <c r="AM1753" s="14">
        <f>F1753*AL1753*in_life_term_ticket*in_life_term_comm*in_ins_partner_share+F1753*in_life_term_ticket*in_life_term_renew_comm*in_ins_partner_share*(in_life_term_renew^1*SUMIFS(AL1741:AL1753,B1741:B1753,B1753-12)+in_life_term_renew^2*SUMIFS(AL1741:AL1753,B1741:B1753,B1753-24)+in_life_term_renew^3*SUMIFS(AL1741:AL1753,B1741:B1753,B1753-36)+in_life_term_renew^4*SUMIFS(AL1741:AL1753,B1741:B1753,B1753-48))</f>
        <v/>
      </c>
      <c r="AN1753" s="40">
        <f>AN1752*(1-IF(B1752&gt;=in_marketplace_from,d_hz_accident*G1752,0))</f>
        <v/>
      </c>
      <c r="AO1753" s="46">
        <f>AN1753*IF(B1753&gt;=in_marketplace_from,d_hz_accident*G1753,0)</f>
        <v/>
      </c>
      <c r="AP1753" s="14">
        <f>F1753*AO1753*in_accident_ticket*in_accident_comm*in_ins_partner_share+F1753*in_accident_ticket*in_accident_renew_comm*in_ins_partner_share*(in_accident_renew^1*SUMIFS(AO1741:AO1753,B1741:B1753,B1753-12)+in_accident_renew^2*SUMIFS(AO1741:AO1753,B1741:B1753,B1753-24)+in_accident_renew^3*SUMIFS(AO1741:AO1753,B1741:B1753,B1753-36)+in_accident_renew^4*SUMIFS(AO1741:AO1753,B1741:B1753,B1753-48))</f>
        <v/>
      </c>
      <c r="AQ1753" s="40">
        <f>AQ1752*(1-IF(B1752&gt;=in_marketplace_from,d_hz_two_wheeler*G1752,0))</f>
        <v/>
      </c>
      <c r="AR1753" s="46">
        <f>AQ1753*IF(B1753&gt;=in_marketplace_from,d_hz_two_wheeler*G1753,0)</f>
        <v/>
      </c>
      <c r="AS1753" s="14">
        <f>F1753*AR1753*in_two_wheeler_ticket*in_two_wheeler_comm*in_ins_partner_share+F1753*in_two_wheeler_ticket*in_two_wheeler_comm*in_ins_partner_share*(in_two_wheeler_renew^1*SUMIFS(AR1741:AR1753,B1741:B1753,B1753-12)+in_two_wheeler_renew^2*SUMIFS(AR1741:AR1753,B1741:B1753,B1753-24)+in_two_wheeler_renew^3*SUMIFS(AR1741:AR1753,B1741:B1753,B1753-36)+in_two_wheeler_renew^4*SUMIFS(AR1741:AR1753,B1741:B1753,B1753-48))</f>
        <v/>
      </c>
      <c r="AT1753" s="40">
        <f>AT1752*(1-IF(B1752&gt;=in_marketplace_from,d_hz_device*G1752,0))</f>
        <v/>
      </c>
      <c r="AU1753" s="14">
        <f>F1753*AT1753*IF(B1753&gt;=in_marketplace_from,d_hz_device*G1753,0)*in_device_ticket*in_device_comm*in_ins_partner_share</f>
        <v/>
      </c>
      <c r="AV1753" s="40">
        <f>AV1752*(1-IF(B1752&gt;=in_marketplace_from,d_hz_shop*G1752,0))</f>
        <v/>
      </c>
      <c r="AW1753" s="46">
        <f>AV1753*IF(B1753&gt;=in_marketplace_from,d_hz_shop*G1753,0)</f>
        <v/>
      </c>
      <c r="AX1753" s="14">
        <f>F1753*AW1753*in_shop_ticket*in_shop_comm*in_ins_partner_share+F1753*in_shop_ticket*in_shop_renew_comm*in_ins_partner_share*(in_shop_renew^1*SUMIFS(AW1741:AW1753,B1741:B1753,B1753-12)+in_shop_renew^2*SUMIFS(AW1741:AW1753,B1741:B1753,B1753-24)+in_shop_renew^3*SUMIFS(AW1741:AW1753,B1741:B1753,B1753-36)+in_shop_renew^4*SUMIFS(AW1741:AW1753,B1741:B1753,B1753-48))</f>
        <v/>
      </c>
      <c r="AY1753" s="40">
        <f>AY1752*(1-IF(B1752&gt;=in_marketplace_from,d_hz_sip*G1752,0))</f>
        <v/>
      </c>
      <c r="AZ1753" s="40">
        <f>AZ1752*d_rho_sip+AY1753*IF(B1753&gt;=in_marketplace_from,d_hz_sip*G1753,0)</f>
        <v/>
      </c>
      <c r="BA1753" s="40">
        <f>d_rho_sip*(BA1752+AZ1752)</f>
        <v/>
      </c>
      <c r="BB1753" s="14">
        <f>F1753*in_sip_ticket*(BA1753+0.5*AZ1753)*in_sip_comm/12</f>
        <v/>
      </c>
      <c r="BC1753" s="40">
        <f>BC1752*(1-IF(B1752&gt;=in_marketplace_from,d_hz_choti*G1752,0))</f>
        <v/>
      </c>
      <c r="BD1753" s="46">
        <f>BC1753*IF(B1753&gt;=in_marketplace_from,d_hz_choti*G1753,0)</f>
        <v/>
      </c>
      <c r="BE1753" s="14">
        <f>F1753*SUMIFS(BD1741:BD1753,B1741:B1753,B1753-in_choti_months)*in_choti_renew*in_choti_ticket</f>
        <v/>
      </c>
      <c r="BF1753" s="40">
        <f>BF1752*(1-IF(B1752&gt;=in_marketplace_from,d_hz_nps*G1752,0))</f>
        <v/>
      </c>
      <c r="BG1753" s="14">
        <f>F1753*BF1753*IF(B1753&gt;=in_marketplace_from,d_hz_nps*G1753,0)*in_nps_ticket*in_nps_comm</f>
        <v/>
      </c>
      <c r="BH1753" s="40">
        <f>BH1752*(1-IF(B1752&gt;=in_marketplace_from,d_hz_gold*G1752,0))</f>
        <v/>
      </c>
      <c r="BI1753" s="40">
        <f>BI1752*d_rho_gold+BH1753*IF(B1753&gt;=in_marketplace_from,d_hz_gold*G1753,0)</f>
        <v/>
      </c>
      <c r="BJ1753" s="14">
        <f>F1753*BI1753*in_gold_ticket*in_gold_comm</f>
        <v/>
      </c>
      <c r="BK1753" s="40">
        <f>BK1752*(1-IF(B1752&gt;=in_marketplace_from,d_hz_fd*G1752,0))</f>
        <v/>
      </c>
      <c r="BL1753" s="14">
        <f>F1753*BK1753*IF(B1753&gt;=in_marketplace_from,d_hz_fd*G1753,0)*in_fd_ticket*in_fd_comm</f>
        <v/>
      </c>
      <c r="BM1753" s="40">
        <f>BM1752*(1-IF(B1752&gt;=in_marketplace_from,d_hz_recharge*G1752,0))</f>
        <v/>
      </c>
      <c r="BN1753" s="40">
        <f>BN1752*d_rho_recharge+BM1753*IF(B1753&gt;=in_marketplace_from,d_hz_recharge*G1753,0)</f>
        <v/>
      </c>
      <c r="BO1753" s="14">
        <f>F1753*BN1753*in_recharge_ticket*in_recharge_comm/12</f>
        <v/>
      </c>
      <c r="BP1753" s="40">
        <f>BP1752*(1-IF(B1752&gt;=in_marketplace_from,d_hz_bills*G1752,0))</f>
        <v/>
      </c>
      <c r="BQ1753" s="40">
        <f>BQ1752*d_rho_bills+BP1753*IF(B1753&gt;=in_marketplace_from,d_hz_bills*G1753,0)</f>
        <v/>
      </c>
      <c r="BR1753" s="14">
        <f>F1753*BQ1753*in_bills_ticket*in_bills_comm/12</f>
        <v/>
      </c>
      <c r="BS1753" s="40">
        <f>BS1752*(1-IF(B1752&gt;=in_marketplace_from,d_hz_loan_gold*G1752,0))</f>
        <v/>
      </c>
      <c r="BT1753" s="14">
        <f>F1753*BS1753*IF(B1753&gt;=in_marketplace_from,d_hz_loan_gold*G1753,0)*in_loan_gold_ticket*in_loan_gold_comm</f>
        <v/>
      </c>
      <c r="BU1753" s="40">
        <f>BU1752*(1-IF(B1752&gt;=in_marketplace_from,d_hz_loan_cd*G1752,0))</f>
        <v/>
      </c>
      <c r="BV1753" s="14">
        <f>F1753*BU1753*IF(B1753&gt;=in_marketplace_from,d_hz_loan_cd*G1753,0)*in_loan_cd_ticket*in_loan_cd_comm</f>
        <v/>
      </c>
      <c r="BW1753" s="40">
        <f>BW1752*(1-IF(B1752&gt;=in_marketplace_from,d_hz_loan_vehicle*G1752,0))</f>
        <v/>
      </c>
      <c r="BX1753" s="14">
        <f>F1753*BW1753*IF(B1753&gt;=in_marketplace_from,d_hz_loan_vehicle*G1753,0)*in_loan_vehicle_ticket*in_loan_vehicle_comm</f>
        <v/>
      </c>
      <c r="BY1753" s="40">
        <f>BY1752*(1-IF(B1752&gt;=in_marketplace_from,d_hz_loan_home*G1752,0)*BZ1752)</f>
        <v/>
      </c>
      <c r="BZ1753" s="11">
        <f>MIN(in_approval_cap,in_loan_home_approval*INDEX('Age profile'!$O$2:$O$61,B1753)*(1+in_approval_growth)^(D1753-1))</f>
        <v/>
      </c>
      <c r="CA1753" s="14">
        <f>F1753*BY1753*IF(B1753&gt;=in_marketplace_from,d_hz_loan_home*G1753,0)*BZ1753*in_loan_home_ticket*in_loan_home_comm</f>
        <v/>
      </c>
      <c r="CB1753" s="40">
        <f>CB1752*(1-IF(B1752&gt;=in_marketplace_from,d_hz_loan_lap*G1752,0)*CC1752)</f>
        <v/>
      </c>
      <c r="CC1753" s="11">
        <f>MIN(in_approval_cap,in_loan_lap_approval*INDEX('Age profile'!$O$2:$O$61,B1753)*(1+in_approval_growth)^(D1753-1))</f>
        <v/>
      </c>
      <c r="CD1753" s="14">
        <f>F1753*CB1753*IF(B1753&gt;=in_marketplace_from,d_hz_loan_lap*G1753,0)*CC1753*in_loan_lap_ticket*in_loan_lap_comm</f>
        <v/>
      </c>
      <c r="CE1753" s="14">
        <f>AA1753+AB1753+AC1753+AD1753+AG1753+AJ1753+AM1753+AP1753+AS1753+AU1753+AX1753+BB1753+BE1753+BG1753+BJ1753+BL1753+BO1753+BR1753+BT1753+BV1753+BX1753+CA1753+CD1753</f>
        <v/>
      </c>
    </row>
    <row r="1754">
      <c r="A1754" s="39" t="n">
        <v>49</v>
      </c>
      <c r="B1754" s="39" t="n">
        <v>1</v>
      </c>
      <c r="C1754" s="39">
        <f>A1754+B1754-1</f>
        <v/>
      </c>
      <c r="D1754" s="39">
        <f>INT((C1754-1)/12)+1</f>
        <v/>
      </c>
      <c r="E1754" s="44">
        <f>INDEX(Monthly!$B$2:$B$61,A1754)</f>
        <v/>
      </c>
      <c r="F1754" s="44">
        <f>E1754*INDEX('Age profile'!$B$2:$B$61,B1754)</f>
        <v/>
      </c>
      <c r="G1754" s="45">
        <f>MIN(in_takeup_cap,INDEX('Age profile'!$N$2:$N$61,B1754)*(1+in_takeup_growth)^(D1754-1))</f>
        <v/>
      </c>
      <c r="H1754" s="11">
        <f>MIN(in_approval_cap,in_approved_first*INDEX('Age profile'!$O$2:$O$61,B1754)*(1+in_approval_growth)^(D1754-1))</f>
        <v/>
      </c>
      <c r="I1754" s="45">
        <f>G1754*MIN(in_takeup_cap,INDEX('Age profile'!$O$2:$O$61,B1754)*(1+in_approval_growth)^(D1754-1))</f>
        <v/>
      </c>
      <c r="J1754" s="40">
        <f>E1754</f>
        <v/>
      </c>
      <c r="K1754" s="40" t="n">
        <v>0</v>
      </c>
      <c r="L1754" s="40">
        <f>IF(B1754&gt;=in_marketplace_from,J1754*d_hz*G1754*in_eligible*H1754,0)</f>
        <v/>
      </c>
      <c r="M1754" s="40">
        <f>IF(B1754&gt;=in_marketplace_from,K1754*d_hz*G1754*in_eligible*in_approved_repeat,0)</f>
        <v/>
      </c>
      <c r="N1754" s="40">
        <f>L1754+M1754</f>
        <v/>
      </c>
      <c r="O1754" s="46">
        <f>N1754/F1754</f>
        <v/>
      </c>
      <c r="P1754" s="40">
        <f>F1754-J1754-K1754</f>
        <v/>
      </c>
      <c r="Q1754" s="40">
        <f>IF(B1754&gt;=in_marketplace_from,(J1754+K1754)*d_hz*G1754,0)</f>
        <v/>
      </c>
      <c r="R1754" s="40">
        <f>SUMIFS(N1754:N1765,B1754:B1765,"&gt;="&amp;(B1754-d_T),B1754:B1765,"&lt;="&amp;(B1754-1))</f>
        <v/>
      </c>
      <c r="S1754" s="46" t="n">
        <v>0</v>
      </c>
      <c r="T1754" s="40">
        <f>F1754*d_u*S1754</f>
        <v/>
      </c>
      <c r="U1754" s="9">
        <f>L1754*in_ticket+M1754*d_rep_ticket</f>
        <v/>
      </c>
      <c r="V1754" s="9">
        <f>U1754+T1754*d_topup_amt</f>
        <v/>
      </c>
      <c r="W1754" s="40">
        <f>N1754+T1754*d_topup_ratio</f>
        <v/>
      </c>
      <c r="X1754" s="40">
        <f>SUMIFS(W1754:W1765,B1754:B1765,B1754-in_dpd_lag)*d_cured</f>
        <v/>
      </c>
      <c r="Y1754" s="40">
        <f>SUMIFS(W1754:W1765,B1754:B1765,B1754-in_rec_lag)*d_recd</f>
        <v/>
      </c>
      <c r="Z1754" s="40">
        <f>IF(AND(B1754&gt;=in_marketplace_from,B1754&lt;in_marketplace_from+in_card_months),in_card_share/in_card_months*F1754*I1754,IF(AND(B1754&gt;=in_marketplace_from+in_card_months,B1754&lt;in_marketplace_from+2*in_card_months),in_card_share*d_card_rem/in_card_months*F1754*MIN(in_takeup_cap,(1+in_takeup_growth)^(D1754-1))*MIN(in_takeup_cap,(1+in_approval_growth)^(D1754-1)),0))</f>
        <v/>
      </c>
      <c r="AA1754" s="14">
        <f>V1754*in_fee*(1-in_taken_back)</f>
        <v/>
      </c>
      <c r="AB1754" s="14">
        <f>SUMIFS(W1754:W1765,B1754:B1765,B1754-in_dpd_lag)*d_dpd</f>
        <v/>
      </c>
      <c r="AC1754" s="14">
        <f>SUMIFS(W1754:W1765,B1754:B1765,B1754-in_rec_lag)*d_rec</f>
        <v/>
      </c>
      <c r="AD1754" s="14">
        <f>Z1754*in_card_fee</f>
        <v/>
      </c>
      <c r="AE1754" s="40" t="n">
        <v>1</v>
      </c>
      <c r="AF1754" s="46">
        <f>AE1754*IF(B1754&gt;=in_marketplace_from,d_hz_hlth_small*G1754,0)</f>
        <v/>
      </c>
      <c r="AG1754" s="14">
        <f>F1754*AF1754*in_hlth_small_ticket*in_hlth_small_comm*in_ins_partner_share+F1754*in_hlth_small_ticket*in_hlth_small_renew_comm*in_ins_partner_share*(in_hlth_small_renew^1*SUMIFS(AF1754:AF1765,B1754:B1765,B1754-12)+in_hlth_small_renew^2*SUMIFS(AF1754:AF1765,B1754:B1765,B1754-24)+in_hlth_small_renew^3*SUMIFS(AF1754:AF1765,B1754:B1765,B1754-36)+in_hlth_small_renew^4*SUMIFS(AF1754:AF1765,B1754:B1765,B1754-48))</f>
        <v/>
      </c>
      <c r="AH1754" s="40" t="n">
        <v>1</v>
      </c>
      <c r="AI1754" s="46">
        <f>AH1754*IF(B1754&gt;=in_marketplace_from,d_hz_hlth_family*G1754,0)</f>
        <v/>
      </c>
      <c r="AJ1754" s="14">
        <f>F1754*AI1754*in_hlth_family_ticket*in_hlth_family_comm*in_ins_partner_share+F1754*in_hlth_family_ticket*in_hlth_family_renew_comm*in_ins_partner_share*(in_hlth_family_renew^1*SUMIFS(AI1754:AI1765,B1754:B1765,B1754-12)+in_hlth_family_renew^2*SUMIFS(AI1754:AI1765,B1754:B1765,B1754-24)+in_hlth_family_renew^3*SUMIFS(AI1754:AI1765,B1754:B1765,B1754-36)+in_hlth_family_renew^4*SUMIFS(AI1754:AI1765,B1754:B1765,B1754-48))</f>
        <v/>
      </c>
      <c r="AK1754" s="40" t="n">
        <v>1</v>
      </c>
      <c r="AL1754" s="46">
        <f>AK1754*IF(B1754&gt;=in_marketplace_from,d_hz_life_term*G1754,0)</f>
        <v/>
      </c>
      <c r="AM1754" s="14">
        <f>F1754*AL1754*in_life_term_ticket*in_life_term_comm*in_ins_partner_share+F1754*in_life_term_ticket*in_life_term_renew_comm*in_ins_partner_share*(in_life_term_renew^1*SUMIFS(AL1754:AL1765,B1754:B1765,B1754-12)+in_life_term_renew^2*SUMIFS(AL1754:AL1765,B1754:B1765,B1754-24)+in_life_term_renew^3*SUMIFS(AL1754:AL1765,B1754:B1765,B1754-36)+in_life_term_renew^4*SUMIFS(AL1754:AL1765,B1754:B1765,B1754-48))</f>
        <v/>
      </c>
      <c r="AN1754" s="40" t="n">
        <v>1</v>
      </c>
      <c r="AO1754" s="46">
        <f>AN1754*IF(B1754&gt;=in_marketplace_from,d_hz_accident*G1754,0)</f>
        <v/>
      </c>
      <c r="AP1754" s="14">
        <f>F1754*AO1754*in_accident_ticket*in_accident_comm*in_ins_partner_share+F1754*in_accident_ticket*in_accident_renew_comm*in_ins_partner_share*(in_accident_renew^1*SUMIFS(AO1754:AO1765,B1754:B1765,B1754-12)+in_accident_renew^2*SUMIFS(AO1754:AO1765,B1754:B1765,B1754-24)+in_accident_renew^3*SUMIFS(AO1754:AO1765,B1754:B1765,B1754-36)+in_accident_renew^4*SUMIFS(AO1754:AO1765,B1754:B1765,B1754-48))</f>
        <v/>
      </c>
      <c r="AQ1754" s="40" t="n">
        <v>1</v>
      </c>
      <c r="AR1754" s="46">
        <f>AQ1754*IF(B1754&gt;=in_marketplace_from,d_hz_two_wheeler*G1754,0)</f>
        <v/>
      </c>
      <c r="AS1754" s="14">
        <f>F1754*AR1754*in_two_wheeler_ticket*in_two_wheeler_comm*in_ins_partner_share+F1754*in_two_wheeler_ticket*in_two_wheeler_comm*in_ins_partner_share*(in_two_wheeler_renew^1*SUMIFS(AR1754:AR1765,B1754:B1765,B1754-12)+in_two_wheeler_renew^2*SUMIFS(AR1754:AR1765,B1754:B1765,B1754-24)+in_two_wheeler_renew^3*SUMIFS(AR1754:AR1765,B1754:B1765,B1754-36)+in_two_wheeler_renew^4*SUMIFS(AR1754:AR1765,B1754:B1765,B1754-48))</f>
        <v/>
      </c>
      <c r="AT1754" s="40" t="n">
        <v>1</v>
      </c>
      <c r="AU1754" s="14">
        <f>F1754*AT1754*IF(B1754&gt;=in_marketplace_from,d_hz_device*G1754,0)*in_device_ticket*in_device_comm*in_ins_partner_share</f>
        <v/>
      </c>
      <c r="AV1754" s="40" t="n">
        <v>1</v>
      </c>
      <c r="AW1754" s="46">
        <f>AV1754*IF(B1754&gt;=in_marketplace_from,d_hz_shop*G1754,0)</f>
        <v/>
      </c>
      <c r="AX1754" s="14">
        <f>F1754*AW1754*in_shop_ticket*in_shop_comm*in_ins_partner_share+F1754*in_shop_ticket*in_shop_renew_comm*in_ins_partner_share*(in_shop_renew^1*SUMIFS(AW1754:AW1765,B1754:B1765,B1754-12)+in_shop_renew^2*SUMIFS(AW1754:AW1765,B1754:B1765,B1754-24)+in_shop_renew^3*SUMIFS(AW1754:AW1765,B1754:B1765,B1754-36)+in_shop_renew^4*SUMIFS(AW1754:AW1765,B1754:B1765,B1754-48))</f>
        <v/>
      </c>
      <c r="AY1754" s="40" t="n">
        <v>1</v>
      </c>
      <c r="AZ1754" s="40">
        <f>AY1754*IF(B1754&gt;=in_marketplace_from,d_hz_sip*G1754,0)</f>
        <v/>
      </c>
      <c r="BA1754" s="40" t="n">
        <v>0</v>
      </c>
      <c r="BB1754" s="14">
        <f>F1754*in_sip_ticket*(BA1754+0.5*AZ1754)*in_sip_comm/12</f>
        <v/>
      </c>
      <c r="BC1754" s="40" t="n">
        <v>1</v>
      </c>
      <c r="BD1754" s="46">
        <f>BC1754*IF(B1754&gt;=in_marketplace_from,d_hz_choti*G1754,0)</f>
        <v/>
      </c>
      <c r="BE1754" s="14">
        <f>F1754*SUMIFS(BD1754:BD1765,B1754:B1765,B1754-in_choti_months)*in_choti_renew*in_choti_ticket</f>
        <v/>
      </c>
      <c r="BF1754" s="40" t="n">
        <v>1</v>
      </c>
      <c r="BG1754" s="14">
        <f>F1754*BF1754*IF(B1754&gt;=in_marketplace_from,d_hz_nps*G1754,0)*in_nps_ticket*in_nps_comm</f>
        <v/>
      </c>
      <c r="BH1754" s="40" t="n">
        <v>1</v>
      </c>
      <c r="BI1754" s="40">
        <f>BH1754*IF(B1754&gt;=in_marketplace_from,d_hz_gold*G1754,0)</f>
        <v/>
      </c>
      <c r="BJ1754" s="14">
        <f>F1754*BI1754*in_gold_ticket*in_gold_comm</f>
        <v/>
      </c>
      <c r="BK1754" s="40" t="n">
        <v>1</v>
      </c>
      <c r="BL1754" s="14">
        <f>F1754*BK1754*IF(B1754&gt;=in_marketplace_from,d_hz_fd*G1754,0)*in_fd_ticket*in_fd_comm</f>
        <v/>
      </c>
      <c r="BM1754" s="40" t="n">
        <v>1</v>
      </c>
      <c r="BN1754" s="40">
        <f>BM1754*IF(B1754&gt;=in_marketplace_from,d_hz_recharge*G1754,0)</f>
        <v/>
      </c>
      <c r="BO1754" s="14">
        <f>F1754*BN1754*in_recharge_ticket*in_recharge_comm/12</f>
        <v/>
      </c>
      <c r="BP1754" s="40" t="n">
        <v>1</v>
      </c>
      <c r="BQ1754" s="40">
        <f>BP1754*IF(B1754&gt;=in_marketplace_from,d_hz_bills*G1754,0)</f>
        <v/>
      </c>
      <c r="BR1754" s="14">
        <f>F1754*BQ1754*in_bills_ticket*in_bills_comm/12</f>
        <v/>
      </c>
      <c r="BS1754" s="40" t="n">
        <v>1</v>
      </c>
      <c r="BT1754" s="14">
        <f>F1754*BS1754*IF(B1754&gt;=in_marketplace_from,d_hz_loan_gold*G1754,0)*in_loan_gold_ticket*in_loan_gold_comm</f>
        <v/>
      </c>
      <c r="BU1754" s="40" t="n">
        <v>1</v>
      </c>
      <c r="BV1754" s="14">
        <f>F1754*BU1754*IF(B1754&gt;=in_marketplace_from,d_hz_loan_cd*G1754,0)*in_loan_cd_ticket*in_loan_cd_comm</f>
        <v/>
      </c>
      <c r="BW1754" s="40" t="n">
        <v>1</v>
      </c>
      <c r="BX1754" s="14">
        <f>F1754*BW1754*IF(B1754&gt;=in_marketplace_from,d_hz_loan_vehicle*G1754,0)*in_loan_vehicle_ticket*in_loan_vehicle_comm</f>
        <v/>
      </c>
      <c r="BY1754" s="40" t="n">
        <v>1</v>
      </c>
      <c r="BZ1754" s="11">
        <f>MIN(in_approval_cap,in_loan_home_approval*INDEX('Age profile'!$O$2:$O$61,B1754)*(1+in_approval_growth)^(D1754-1))</f>
        <v/>
      </c>
      <c r="CA1754" s="14">
        <f>F1754*BY1754*IF(B1754&gt;=in_marketplace_from,d_hz_loan_home*G1754,0)*BZ1754*in_loan_home_ticket*in_loan_home_comm</f>
        <v/>
      </c>
      <c r="CB1754" s="40" t="n">
        <v>1</v>
      </c>
      <c r="CC1754" s="11">
        <f>MIN(in_approval_cap,in_loan_lap_approval*INDEX('Age profile'!$O$2:$O$61,B1754)*(1+in_approval_growth)^(D1754-1))</f>
        <v/>
      </c>
      <c r="CD1754" s="14">
        <f>F1754*CB1754*IF(B1754&gt;=in_marketplace_from,d_hz_loan_lap*G1754,0)*CC1754*in_loan_lap_ticket*in_loan_lap_comm</f>
        <v/>
      </c>
      <c r="CE1754" s="14">
        <f>AA1754+AB1754+AC1754+AD1754+AG1754+AJ1754+AM1754+AP1754+AS1754+AU1754+AX1754+BB1754+BE1754+BG1754+BJ1754+BL1754+BO1754+BR1754+BT1754+BV1754+BX1754+CA1754+CD1754</f>
        <v/>
      </c>
    </row>
    <row r="1755">
      <c r="A1755" s="39" t="n">
        <v>49</v>
      </c>
      <c r="B1755" s="39" t="n">
        <v>2</v>
      </c>
      <c r="C1755" s="39">
        <f>A1755+B1755-1</f>
        <v/>
      </c>
      <c r="D1755" s="39">
        <f>INT((C1755-1)/12)+1</f>
        <v/>
      </c>
      <c r="E1755" s="44">
        <f>INDEX(Monthly!$B$2:$B$61,A1755)</f>
        <v/>
      </c>
      <c r="F1755" s="44">
        <f>E1755*INDEX('Age profile'!$B$2:$B$61,B1755)</f>
        <v/>
      </c>
      <c r="G1755" s="45">
        <f>MIN(in_takeup_cap,INDEX('Age profile'!$N$2:$N$61,B1755)*(1+in_takeup_growth)^(D1755-1))</f>
        <v/>
      </c>
      <c r="H1755" s="11">
        <f>MIN(in_approval_cap,in_approved_first*INDEX('Age profile'!$O$2:$O$61,B1755)*(1+in_approval_growth)^(D1755-1))</f>
        <v/>
      </c>
      <c r="I1755" s="45">
        <f>G1755*MIN(in_takeup_cap,INDEX('Age profile'!$O$2:$O$61,B1755)*(1+in_approval_growth)^(D1755-1))</f>
        <v/>
      </c>
      <c r="J1755" s="40">
        <f>(J1754-L1754)*F1755/F1754</f>
        <v/>
      </c>
      <c r="K1755" s="40">
        <f>(K1754-M1754)*F1755/F1754+SUMIFS(O1754:O1754,B1754:B1754,B1755-1-d_T)*F1755</f>
        <v/>
      </c>
      <c r="L1755" s="40">
        <f>IF(B1755&gt;=in_marketplace_from,J1755*d_hz*G1755*in_eligible*H1755,0)</f>
        <v/>
      </c>
      <c r="M1755" s="40">
        <f>IF(B1755&gt;=in_marketplace_from,K1755*d_hz*G1755*in_eligible*in_approved_repeat,0)</f>
        <v/>
      </c>
      <c r="N1755" s="40">
        <f>L1755+M1755</f>
        <v/>
      </c>
      <c r="O1755" s="46">
        <f>N1755/F1755</f>
        <v/>
      </c>
      <c r="P1755" s="40">
        <f>F1755-J1755-K1755</f>
        <v/>
      </c>
      <c r="Q1755" s="40">
        <f>IF(B1755&gt;=in_marketplace_from,(J1755+K1755)*d_hz*G1755,0)</f>
        <v/>
      </c>
      <c r="R1755" s="40">
        <f>SUMIFS(N1754:N1765,B1754:B1765,"&gt;="&amp;(B1755-d_T),B1754:B1765,"&lt;="&amp;(B1755-1))</f>
        <v/>
      </c>
      <c r="S1755" s="46">
        <f>(1-d_u)*S1754+IF(d_T&gt;in_topup_lag,SUMIFS(O1754:O1765,B1754:B1765,B1755-in_topup_lag)-d_udrop*SUMIFS(O1754:O1765,B1754:B1765,B1755-d_T),0)</f>
        <v/>
      </c>
      <c r="T1755" s="40">
        <f>F1755*d_u*S1755</f>
        <v/>
      </c>
      <c r="U1755" s="9">
        <f>L1755*in_ticket+M1755*d_rep_ticket</f>
        <v/>
      </c>
      <c r="V1755" s="9">
        <f>U1755+T1755*d_topup_amt</f>
        <v/>
      </c>
      <c r="W1755" s="40">
        <f>N1755+T1755*d_topup_ratio</f>
        <v/>
      </c>
      <c r="X1755" s="40">
        <f>SUMIFS(W1754:W1765,B1754:B1765,B1755-in_dpd_lag)*d_cured</f>
        <v/>
      </c>
      <c r="Y1755" s="40">
        <f>SUMIFS(W1754:W1765,B1754:B1765,B1755-in_rec_lag)*d_recd</f>
        <v/>
      </c>
      <c r="Z1755" s="40">
        <f>IF(AND(B1755&gt;=in_marketplace_from,B1755&lt;in_marketplace_from+in_card_months),in_card_share/in_card_months*F1755*I1755,IF(AND(B1755&gt;=in_marketplace_from+in_card_months,B1755&lt;in_marketplace_from+2*in_card_months),in_card_share*d_card_rem/in_card_months*F1755*MIN(in_takeup_cap,(1+in_takeup_growth)^(D1755-1))*MIN(in_takeup_cap,(1+in_approval_growth)^(D1755-1)),0))</f>
        <v/>
      </c>
      <c r="AA1755" s="14">
        <f>V1755*in_fee*(1-in_taken_back)</f>
        <v/>
      </c>
      <c r="AB1755" s="14">
        <f>SUMIFS(W1754:W1765,B1754:B1765,B1755-in_dpd_lag)*d_dpd</f>
        <v/>
      </c>
      <c r="AC1755" s="14">
        <f>SUMIFS(W1754:W1765,B1754:B1765,B1755-in_rec_lag)*d_rec</f>
        <v/>
      </c>
      <c r="AD1755" s="14">
        <f>Z1755*in_card_fee</f>
        <v/>
      </c>
      <c r="AE1755" s="40">
        <f>AE1754*(1-IF(B1754&gt;=in_marketplace_from,d_hz_hlth_small*G1754,0))</f>
        <v/>
      </c>
      <c r="AF1755" s="46">
        <f>AE1755*IF(B1755&gt;=in_marketplace_from,d_hz_hlth_small*G1755,0)</f>
        <v/>
      </c>
      <c r="AG1755" s="14">
        <f>F1755*AF1755*in_hlth_small_ticket*in_hlth_small_comm*in_ins_partner_share+F1755*in_hlth_small_ticket*in_hlth_small_renew_comm*in_ins_partner_share*(in_hlth_small_renew^1*SUMIFS(AF1754:AF1765,B1754:B1765,B1755-12)+in_hlth_small_renew^2*SUMIFS(AF1754:AF1765,B1754:B1765,B1755-24)+in_hlth_small_renew^3*SUMIFS(AF1754:AF1765,B1754:B1765,B1755-36)+in_hlth_small_renew^4*SUMIFS(AF1754:AF1765,B1754:B1765,B1755-48))</f>
        <v/>
      </c>
      <c r="AH1755" s="40">
        <f>AH1754*(1-IF(B1754&gt;=in_marketplace_from,d_hz_hlth_family*G1754,0))</f>
        <v/>
      </c>
      <c r="AI1755" s="46">
        <f>AH1755*IF(B1755&gt;=in_marketplace_from,d_hz_hlth_family*G1755,0)</f>
        <v/>
      </c>
      <c r="AJ1755" s="14">
        <f>F1755*AI1755*in_hlth_family_ticket*in_hlth_family_comm*in_ins_partner_share+F1755*in_hlth_family_ticket*in_hlth_family_renew_comm*in_ins_partner_share*(in_hlth_family_renew^1*SUMIFS(AI1754:AI1765,B1754:B1765,B1755-12)+in_hlth_family_renew^2*SUMIFS(AI1754:AI1765,B1754:B1765,B1755-24)+in_hlth_family_renew^3*SUMIFS(AI1754:AI1765,B1754:B1765,B1755-36)+in_hlth_family_renew^4*SUMIFS(AI1754:AI1765,B1754:B1765,B1755-48))</f>
        <v/>
      </c>
      <c r="AK1755" s="40">
        <f>AK1754*(1-IF(B1754&gt;=in_marketplace_from,d_hz_life_term*G1754,0))</f>
        <v/>
      </c>
      <c r="AL1755" s="46">
        <f>AK1755*IF(B1755&gt;=in_marketplace_from,d_hz_life_term*G1755,0)</f>
        <v/>
      </c>
      <c r="AM1755" s="14">
        <f>F1755*AL1755*in_life_term_ticket*in_life_term_comm*in_ins_partner_share+F1755*in_life_term_ticket*in_life_term_renew_comm*in_ins_partner_share*(in_life_term_renew^1*SUMIFS(AL1754:AL1765,B1754:B1765,B1755-12)+in_life_term_renew^2*SUMIFS(AL1754:AL1765,B1754:B1765,B1755-24)+in_life_term_renew^3*SUMIFS(AL1754:AL1765,B1754:B1765,B1755-36)+in_life_term_renew^4*SUMIFS(AL1754:AL1765,B1754:B1765,B1755-48))</f>
        <v/>
      </c>
      <c r="AN1755" s="40">
        <f>AN1754*(1-IF(B1754&gt;=in_marketplace_from,d_hz_accident*G1754,0))</f>
        <v/>
      </c>
      <c r="AO1755" s="46">
        <f>AN1755*IF(B1755&gt;=in_marketplace_from,d_hz_accident*G1755,0)</f>
        <v/>
      </c>
      <c r="AP1755" s="14">
        <f>F1755*AO1755*in_accident_ticket*in_accident_comm*in_ins_partner_share+F1755*in_accident_ticket*in_accident_renew_comm*in_ins_partner_share*(in_accident_renew^1*SUMIFS(AO1754:AO1765,B1754:B1765,B1755-12)+in_accident_renew^2*SUMIFS(AO1754:AO1765,B1754:B1765,B1755-24)+in_accident_renew^3*SUMIFS(AO1754:AO1765,B1754:B1765,B1755-36)+in_accident_renew^4*SUMIFS(AO1754:AO1765,B1754:B1765,B1755-48))</f>
        <v/>
      </c>
      <c r="AQ1755" s="40">
        <f>AQ1754*(1-IF(B1754&gt;=in_marketplace_from,d_hz_two_wheeler*G1754,0))</f>
        <v/>
      </c>
      <c r="AR1755" s="46">
        <f>AQ1755*IF(B1755&gt;=in_marketplace_from,d_hz_two_wheeler*G1755,0)</f>
        <v/>
      </c>
      <c r="AS1755" s="14">
        <f>F1755*AR1755*in_two_wheeler_ticket*in_two_wheeler_comm*in_ins_partner_share+F1755*in_two_wheeler_ticket*in_two_wheeler_comm*in_ins_partner_share*(in_two_wheeler_renew^1*SUMIFS(AR1754:AR1765,B1754:B1765,B1755-12)+in_two_wheeler_renew^2*SUMIFS(AR1754:AR1765,B1754:B1765,B1755-24)+in_two_wheeler_renew^3*SUMIFS(AR1754:AR1765,B1754:B1765,B1755-36)+in_two_wheeler_renew^4*SUMIFS(AR1754:AR1765,B1754:B1765,B1755-48))</f>
        <v/>
      </c>
      <c r="AT1755" s="40">
        <f>AT1754*(1-IF(B1754&gt;=in_marketplace_from,d_hz_device*G1754,0))</f>
        <v/>
      </c>
      <c r="AU1755" s="14">
        <f>F1755*AT1755*IF(B1755&gt;=in_marketplace_from,d_hz_device*G1755,0)*in_device_ticket*in_device_comm*in_ins_partner_share</f>
        <v/>
      </c>
      <c r="AV1755" s="40">
        <f>AV1754*(1-IF(B1754&gt;=in_marketplace_from,d_hz_shop*G1754,0))</f>
        <v/>
      </c>
      <c r="AW1755" s="46">
        <f>AV1755*IF(B1755&gt;=in_marketplace_from,d_hz_shop*G1755,0)</f>
        <v/>
      </c>
      <c r="AX1755" s="14">
        <f>F1755*AW1755*in_shop_ticket*in_shop_comm*in_ins_partner_share+F1755*in_shop_ticket*in_shop_renew_comm*in_ins_partner_share*(in_shop_renew^1*SUMIFS(AW1754:AW1765,B1754:B1765,B1755-12)+in_shop_renew^2*SUMIFS(AW1754:AW1765,B1754:B1765,B1755-24)+in_shop_renew^3*SUMIFS(AW1754:AW1765,B1754:B1765,B1755-36)+in_shop_renew^4*SUMIFS(AW1754:AW1765,B1754:B1765,B1755-48))</f>
        <v/>
      </c>
      <c r="AY1755" s="40">
        <f>AY1754*(1-IF(B1754&gt;=in_marketplace_from,d_hz_sip*G1754,0))</f>
        <v/>
      </c>
      <c r="AZ1755" s="40">
        <f>AZ1754*d_rho_sip+AY1755*IF(B1755&gt;=in_marketplace_from,d_hz_sip*G1755,0)</f>
        <v/>
      </c>
      <c r="BA1755" s="40">
        <f>d_rho_sip*(BA1754+AZ1754)</f>
        <v/>
      </c>
      <c r="BB1755" s="14">
        <f>F1755*in_sip_ticket*(BA1755+0.5*AZ1755)*in_sip_comm/12</f>
        <v/>
      </c>
      <c r="BC1755" s="40">
        <f>BC1754*(1-IF(B1754&gt;=in_marketplace_from,d_hz_choti*G1754,0))</f>
        <v/>
      </c>
      <c r="BD1755" s="46">
        <f>BC1755*IF(B1755&gt;=in_marketplace_from,d_hz_choti*G1755,0)</f>
        <v/>
      </c>
      <c r="BE1755" s="14">
        <f>F1755*SUMIFS(BD1754:BD1765,B1754:B1765,B1755-in_choti_months)*in_choti_renew*in_choti_ticket</f>
        <v/>
      </c>
      <c r="BF1755" s="40">
        <f>BF1754*(1-IF(B1754&gt;=in_marketplace_from,d_hz_nps*G1754,0))</f>
        <v/>
      </c>
      <c r="BG1755" s="14">
        <f>F1755*BF1755*IF(B1755&gt;=in_marketplace_from,d_hz_nps*G1755,0)*in_nps_ticket*in_nps_comm</f>
        <v/>
      </c>
      <c r="BH1755" s="40">
        <f>BH1754*(1-IF(B1754&gt;=in_marketplace_from,d_hz_gold*G1754,0))</f>
        <v/>
      </c>
      <c r="BI1755" s="40">
        <f>BI1754*d_rho_gold+BH1755*IF(B1755&gt;=in_marketplace_from,d_hz_gold*G1755,0)</f>
        <v/>
      </c>
      <c r="BJ1755" s="14">
        <f>F1755*BI1755*in_gold_ticket*in_gold_comm</f>
        <v/>
      </c>
      <c r="BK1755" s="40">
        <f>BK1754*(1-IF(B1754&gt;=in_marketplace_from,d_hz_fd*G1754,0))</f>
        <v/>
      </c>
      <c r="BL1755" s="14">
        <f>F1755*BK1755*IF(B1755&gt;=in_marketplace_from,d_hz_fd*G1755,0)*in_fd_ticket*in_fd_comm</f>
        <v/>
      </c>
      <c r="BM1755" s="40">
        <f>BM1754*(1-IF(B1754&gt;=in_marketplace_from,d_hz_recharge*G1754,0))</f>
        <v/>
      </c>
      <c r="BN1755" s="40">
        <f>BN1754*d_rho_recharge+BM1755*IF(B1755&gt;=in_marketplace_from,d_hz_recharge*G1755,0)</f>
        <v/>
      </c>
      <c r="BO1755" s="14">
        <f>F1755*BN1755*in_recharge_ticket*in_recharge_comm/12</f>
        <v/>
      </c>
      <c r="BP1755" s="40">
        <f>BP1754*(1-IF(B1754&gt;=in_marketplace_from,d_hz_bills*G1754,0))</f>
        <v/>
      </c>
      <c r="BQ1755" s="40">
        <f>BQ1754*d_rho_bills+BP1755*IF(B1755&gt;=in_marketplace_from,d_hz_bills*G1755,0)</f>
        <v/>
      </c>
      <c r="BR1755" s="14">
        <f>F1755*BQ1755*in_bills_ticket*in_bills_comm/12</f>
        <v/>
      </c>
      <c r="BS1755" s="40">
        <f>BS1754*(1-IF(B1754&gt;=in_marketplace_from,d_hz_loan_gold*G1754,0))</f>
        <v/>
      </c>
      <c r="BT1755" s="14">
        <f>F1755*BS1755*IF(B1755&gt;=in_marketplace_from,d_hz_loan_gold*G1755,0)*in_loan_gold_ticket*in_loan_gold_comm</f>
        <v/>
      </c>
      <c r="BU1755" s="40">
        <f>BU1754*(1-IF(B1754&gt;=in_marketplace_from,d_hz_loan_cd*G1754,0))</f>
        <v/>
      </c>
      <c r="BV1755" s="14">
        <f>F1755*BU1755*IF(B1755&gt;=in_marketplace_from,d_hz_loan_cd*G1755,0)*in_loan_cd_ticket*in_loan_cd_comm</f>
        <v/>
      </c>
      <c r="BW1755" s="40">
        <f>BW1754*(1-IF(B1754&gt;=in_marketplace_from,d_hz_loan_vehicle*G1754,0))</f>
        <v/>
      </c>
      <c r="BX1755" s="14">
        <f>F1755*BW1755*IF(B1755&gt;=in_marketplace_from,d_hz_loan_vehicle*G1755,0)*in_loan_vehicle_ticket*in_loan_vehicle_comm</f>
        <v/>
      </c>
      <c r="BY1755" s="40">
        <f>BY1754*(1-IF(B1754&gt;=in_marketplace_from,d_hz_loan_home*G1754,0)*BZ1754)</f>
        <v/>
      </c>
      <c r="BZ1755" s="11">
        <f>MIN(in_approval_cap,in_loan_home_approval*INDEX('Age profile'!$O$2:$O$61,B1755)*(1+in_approval_growth)^(D1755-1))</f>
        <v/>
      </c>
      <c r="CA1755" s="14">
        <f>F1755*BY1755*IF(B1755&gt;=in_marketplace_from,d_hz_loan_home*G1755,0)*BZ1755*in_loan_home_ticket*in_loan_home_comm</f>
        <v/>
      </c>
      <c r="CB1755" s="40">
        <f>CB1754*(1-IF(B1754&gt;=in_marketplace_from,d_hz_loan_lap*G1754,0)*CC1754)</f>
        <v/>
      </c>
      <c r="CC1755" s="11">
        <f>MIN(in_approval_cap,in_loan_lap_approval*INDEX('Age profile'!$O$2:$O$61,B1755)*(1+in_approval_growth)^(D1755-1))</f>
        <v/>
      </c>
      <c r="CD1755" s="14">
        <f>F1755*CB1755*IF(B1755&gt;=in_marketplace_from,d_hz_loan_lap*G1755,0)*CC1755*in_loan_lap_ticket*in_loan_lap_comm</f>
        <v/>
      </c>
      <c r="CE1755" s="14">
        <f>AA1755+AB1755+AC1755+AD1755+AG1755+AJ1755+AM1755+AP1755+AS1755+AU1755+AX1755+BB1755+BE1755+BG1755+BJ1755+BL1755+BO1755+BR1755+BT1755+BV1755+BX1755+CA1755+CD1755</f>
        <v/>
      </c>
    </row>
    <row r="1756">
      <c r="A1756" s="39" t="n">
        <v>49</v>
      </c>
      <c r="B1756" s="39" t="n">
        <v>3</v>
      </c>
      <c r="C1756" s="39">
        <f>A1756+B1756-1</f>
        <v/>
      </c>
      <c r="D1756" s="39">
        <f>INT((C1756-1)/12)+1</f>
        <v/>
      </c>
      <c r="E1756" s="44">
        <f>INDEX(Monthly!$B$2:$B$61,A1756)</f>
        <v/>
      </c>
      <c r="F1756" s="44">
        <f>E1756*INDEX('Age profile'!$B$2:$B$61,B1756)</f>
        <v/>
      </c>
      <c r="G1756" s="45">
        <f>MIN(in_takeup_cap,INDEX('Age profile'!$N$2:$N$61,B1756)*(1+in_takeup_growth)^(D1756-1))</f>
        <v/>
      </c>
      <c r="H1756" s="11">
        <f>MIN(in_approval_cap,in_approved_first*INDEX('Age profile'!$O$2:$O$61,B1756)*(1+in_approval_growth)^(D1756-1))</f>
        <v/>
      </c>
      <c r="I1756" s="45">
        <f>G1756*MIN(in_takeup_cap,INDEX('Age profile'!$O$2:$O$61,B1756)*(1+in_approval_growth)^(D1756-1))</f>
        <v/>
      </c>
      <c r="J1756" s="40">
        <f>(J1755-L1755)*F1756/F1755</f>
        <v/>
      </c>
      <c r="K1756" s="40">
        <f>(K1755-M1755)*F1756/F1755+SUMIFS(O1754:O1755,B1754:B1755,B1756-1-d_T)*F1756</f>
        <v/>
      </c>
      <c r="L1756" s="40">
        <f>IF(B1756&gt;=in_marketplace_from,J1756*d_hz*G1756*in_eligible*H1756,0)</f>
        <v/>
      </c>
      <c r="M1756" s="40">
        <f>IF(B1756&gt;=in_marketplace_from,K1756*d_hz*G1756*in_eligible*in_approved_repeat,0)</f>
        <v/>
      </c>
      <c r="N1756" s="40">
        <f>L1756+M1756</f>
        <v/>
      </c>
      <c r="O1756" s="46">
        <f>N1756/F1756</f>
        <v/>
      </c>
      <c r="P1756" s="40">
        <f>F1756-J1756-K1756</f>
        <v/>
      </c>
      <c r="Q1756" s="40">
        <f>IF(B1756&gt;=in_marketplace_from,(J1756+K1756)*d_hz*G1756,0)</f>
        <v/>
      </c>
      <c r="R1756" s="40">
        <f>SUMIFS(N1754:N1765,B1754:B1765,"&gt;="&amp;(B1756-d_T),B1754:B1765,"&lt;="&amp;(B1756-1))</f>
        <v/>
      </c>
      <c r="S1756" s="46">
        <f>(1-d_u)*S1755+IF(d_T&gt;in_topup_lag,SUMIFS(O1754:O1765,B1754:B1765,B1756-in_topup_lag)-d_udrop*SUMIFS(O1754:O1765,B1754:B1765,B1756-d_T),0)</f>
        <v/>
      </c>
      <c r="T1756" s="40">
        <f>F1756*d_u*S1756</f>
        <v/>
      </c>
      <c r="U1756" s="9">
        <f>L1756*in_ticket+M1756*d_rep_ticket</f>
        <v/>
      </c>
      <c r="V1756" s="9">
        <f>U1756+T1756*d_topup_amt</f>
        <v/>
      </c>
      <c r="W1756" s="40">
        <f>N1756+T1756*d_topup_ratio</f>
        <v/>
      </c>
      <c r="X1756" s="40">
        <f>SUMIFS(W1754:W1765,B1754:B1765,B1756-in_dpd_lag)*d_cured</f>
        <v/>
      </c>
      <c r="Y1756" s="40">
        <f>SUMIFS(W1754:W1765,B1754:B1765,B1756-in_rec_lag)*d_recd</f>
        <v/>
      </c>
      <c r="Z1756" s="40">
        <f>IF(AND(B1756&gt;=in_marketplace_from,B1756&lt;in_marketplace_from+in_card_months),in_card_share/in_card_months*F1756*I1756,IF(AND(B1756&gt;=in_marketplace_from+in_card_months,B1756&lt;in_marketplace_from+2*in_card_months),in_card_share*d_card_rem/in_card_months*F1756*MIN(in_takeup_cap,(1+in_takeup_growth)^(D1756-1))*MIN(in_takeup_cap,(1+in_approval_growth)^(D1756-1)),0))</f>
        <v/>
      </c>
      <c r="AA1756" s="14">
        <f>V1756*in_fee*(1-in_taken_back)</f>
        <v/>
      </c>
      <c r="AB1756" s="14">
        <f>SUMIFS(W1754:W1765,B1754:B1765,B1756-in_dpd_lag)*d_dpd</f>
        <v/>
      </c>
      <c r="AC1756" s="14">
        <f>SUMIFS(W1754:W1765,B1754:B1765,B1756-in_rec_lag)*d_rec</f>
        <v/>
      </c>
      <c r="AD1756" s="14">
        <f>Z1756*in_card_fee</f>
        <v/>
      </c>
      <c r="AE1756" s="40">
        <f>AE1755*(1-IF(B1755&gt;=in_marketplace_from,d_hz_hlth_small*G1755,0))</f>
        <v/>
      </c>
      <c r="AF1756" s="46">
        <f>AE1756*IF(B1756&gt;=in_marketplace_from,d_hz_hlth_small*G1756,0)</f>
        <v/>
      </c>
      <c r="AG1756" s="14">
        <f>F1756*AF1756*in_hlth_small_ticket*in_hlth_small_comm*in_ins_partner_share+F1756*in_hlth_small_ticket*in_hlth_small_renew_comm*in_ins_partner_share*(in_hlth_small_renew^1*SUMIFS(AF1754:AF1765,B1754:B1765,B1756-12)+in_hlth_small_renew^2*SUMIFS(AF1754:AF1765,B1754:B1765,B1756-24)+in_hlth_small_renew^3*SUMIFS(AF1754:AF1765,B1754:B1765,B1756-36)+in_hlth_small_renew^4*SUMIFS(AF1754:AF1765,B1754:B1765,B1756-48))</f>
        <v/>
      </c>
      <c r="AH1756" s="40">
        <f>AH1755*(1-IF(B1755&gt;=in_marketplace_from,d_hz_hlth_family*G1755,0))</f>
        <v/>
      </c>
      <c r="AI1756" s="46">
        <f>AH1756*IF(B1756&gt;=in_marketplace_from,d_hz_hlth_family*G1756,0)</f>
        <v/>
      </c>
      <c r="AJ1756" s="14">
        <f>F1756*AI1756*in_hlth_family_ticket*in_hlth_family_comm*in_ins_partner_share+F1756*in_hlth_family_ticket*in_hlth_family_renew_comm*in_ins_partner_share*(in_hlth_family_renew^1*SUMIFS(AI1754:AI1765,B1754:B1765,B1756-12)+in_hlth_family_renew^2*SUMIFS(AI1754:AI1765,B1754:B1765,B1756-24)+in_hlth_family_renew^3*SUMIFS(AI1754:AI1765,B1754:B1765,B1756-36)+in_hlth_family_renew^4*SUMIFS(AI1754:AI1765,B1754:B1765,B1756-48))</f>
        <v/>
      </c>
      <c r="AK1756" s="40">
        <f>AK1755*(1-IF(B1755&gt;=in_marketplace_from,d_hz_life_term*G1755,0))</f>
        <v/>
      </c>
      <c r="AL1756" s="46">
        <f>AK1756*IF(B1756&gt;=in_marketplace_from,d_hz_life_term*G1756,0)</f>
        <v/>
      </c>
      <c r="AM1756" s="14">
        <f>F1756*AL1756*in_life_term_ticket*in_life_term_comm*in_ins_partner_share+F1756*in_life_term_ticket*in_life_term_renew_comm*in_ins_partner_share*(in_life_term_renew^1*SUMIFS(AL1754:AL1765,B1754:B1765,B1756-12)+in_life_term_renew^2*SUMIFS(AL1754:AL1765,B1754:B1765,B1756-24)+in_life_term_renew^3*SUMIFS(AL1754:AL1765,B1754:B1765,B1756-36)+in_life_term_renew^4*SUMIFS(AL1754:AL1765,B1754:B1765,B1756-48))</f>
        <v/>
      </c>
      <c r="AN1756" s="40">
        <f>AN1755*(1-IF(B1755&gt;=in_marketplace_from,d_hz_accident*G1755,0))</f>
        <v/>
      </c>
      <c r="AO1756" s="46">
        <f>AN1756*IF(B1756&gt;=in_marketplace_from,d_hz_accident*G1756,0)</f>
        <v/>
      </c>
      <c r="AP1756" s="14">
        <f>F1756*AO1756*in_accident_ticket*in_accident_comm*in_ins_partner_share+F1756*in_accident_ticket*in_accident_renew_comm*in_ins_partner_share*(in_accident_renew^1*SUMIFS(AO1754:AO1765,B1754:B1765,B1756-12)+in_accident_renew^2*SUMIFS(AO1754:AO1765,B1754:B1765,B1756-24)+in_accident_renew^3*SUMIFS(AO1754:AO1765,B1754:B1765,B1756-36)+in_accident_renew^4*SUMIFS(AO1754:AO1765,B1754:B1765,B1756-48))</f>
        <v/>
      </c>
      <c r="AQ1756" s="40">
        <f>AQ1755*(1-IF(B1755&gt;=in_marketplace_from,d_hz_two_wheeler*G1755,0))</f>
        <v/>
      </c>
      <c r="AR1756" s="46">
        <f>AQ1756*IF(B1756&gt;=in_marketplace_from,d_hz_two_wheeler*G1756,0)</f>
        <v/>
      </c>
      <c r="AS1756" s="14">
        <f>F1756*AR1756*in_two_wheeler_ticket*in_two_wheeler_comm*in_ins_partner_share+F1756*in_two_wheeler_ticket*in_two_wheeler_comm*in_ins_partner_share*(in_two_wheeler_renew^1*SUMIFS(AR1754:AR1765,B1754:B1765,B1756-12)+in_two_wheeler_renew^2*SUMIFS(AR1754:AR1765,B1754:B1765,B1756-24)+in_two_wheeler_renew^3*SUMIFS(AR1754:AR1765,B1754:B1765,B1756-36)+in_two_wheeler_renew^4*SUMIFS(AR1754:AR1765,B1754:B1765,B1756-48))</f>
        <v/>
      </c>
      <c r="AT1756" s="40">
        <f>AT1755*(1-IF(B1755&gt;=in_marketplace_from,d_hz_device*G1755,0))</f>
        <v/>
      </c>
      <c r="AU1756" s="14">
        <f>F1756*AT1756*IF(B1756&gt;=in_marketplace_from,d_hz_device*G1756,0)*in_device_ticket*in_device_comm*in_ins_partner_share</f>
        <v/>
      </c>
      <c r="AV1756" s="40">
        <f>AV1755*(1-IF(B1755&gt;=in_marketplace_from,d_hz_shop*G1755,0))</f>
        <v/>
      </c>
      <c r="AW1756" s="46">
        <f>AV1756*IF(B1756&gt;=in_marketplace_from,d_hz_shop*G1756,0)</f>
        <v/>
      </c>
      <c r="AX1756" s="14">
        <f>F1756*AW1756*in_shop_ticket*in_shop_comm*in_ins_partner_share+F1756*in_shop_ticket*in_shop_renew_comm*in_ins_partner_share*(in_shop_renew^1*SUMIFS(AW1754:AW1765,B1754:B1765,B1756-12)+in_shop_renew^2*SUMIFS(AW1754:AW1765,B1754:B1765,B1756-24)+in_shop_renew^3*SUMIFS(AW1754:AW1765,B1754:B1765,B1756-36)+in_shop_renew^4*SUMIFS(AW1754:AW1765,B1754:B1765,B1756-48))</f>
        <v/>
      </c>
      <c r="AY1756" s="40">
        <f>AY1755*(1-IF(B1755&gt;=in_marketplace_from,d_hz_sip*G1755,0))</f>
        <v/>
      </c>
      <c r="AZ1756" s="40">
        <f>AZ1755*d_rho_sip+AY1756*IF(B1756&gt;=in_marketplace_from,d_hz_sip*G1756,0)</f>
        <v/>
      </c>
      <c r="BA1756" s="40">
        <f>d_rho_sip*(BA1755+AZ1755)</f>
        <v/>
      </c>
      <c r="BB1756" s="14">
        <f>F1756*in_sip_ticket*(BA1756+0.5*AZ1756)*in_sip_comm/12</f>
        <v/>
      </c>
      <c r="BC1756" s="40">
        <f>BC1755*(1-IF(B1755&gt;=in_marketplace_from,d_hz_choti*G1755,0))</f>
        <v/>
      </c>
      <c r="BD1756" s="46">
        <f>BC1756*IF(B1756&gt;=in_marketplace_from,d_hz_choti*G1756,0)</f>
        <v/>
      </c>
      <c r="BE1756" s="14">
        <f>F1756*SUMIFS(BD1754:BD1765,B1754:B1765,B1756-in_choti_months)*in_choti_renew*in_choti_ticket</f>
        <v/>
      </c>
      <c r="BF1756" s="40">
        <f>BF1755*(1-IF(B1755&gt;=in_marketplace_from,d_hz_nps*G1755,0))</f>
        <v/>
      </c>
      <c r="BG1756" s="14">
        <f>F1756*BF1756*IF(B1756&gt;=in_marketplace_from,d_hz_nps*G1756,0)*in_nps_ticket*in_nps_comm</f>
        <v/>
      </c>
      <c r="BH1756" s="40">
        <f>BH1755*(1-IF(B1755&gt;=in_marketplace_from,d_hz_gold*G1755,0))</f>
        <v/>
      </c>
      <c r="BI1756" s="40">
        <f>BI1755*d_rho_gold+BH1756*IF(B1756&gt;=in_marketplace_from,d_hz_gold*G1756,0)</f>
        <v/>
      </c>
      <c r="BJ1756" s="14">
        <f>F1756*BI1756*in_gold_ticket*in_gold_comm</f>
        <v/>
      </c>
      <c r="BK1756" s="40">
        <f>BK1755*(1-IF(B1755&gt;=in_marketplace_from,d_hz_fd*G1755,0))</f>
        <v/>
      </c>
      <c r="BL1756" s="14">
        <f>F1756*BK1756*IF(B1756&gt;=in_marketplace_from,d_hz_fd*G1756,0)*in_fd_ticket*in_fd_comm</f>
        <v/>
      </c>
      <c r="BM1756" s="40">
        <f>BM1755*(1-IF(B1755&gt;=in_marketplace_from,d_hz_recharge*G1755,0))</f>
        <v/>
      </c>
      <c r="BN1756" s="40">
        <f>BN1755*d_rho_recharge+BM1756*IF(B1756&gt;=in_marketplace_from,d_hz_recharge*G1756,0)</f>
        <v/>
      </c>
      <c r="BO1756" s="14">
        <f>F1756*BN1756*in_recharge_ticket*in_recharge_comm/12</f>
        <v/>
      </c>
      <c r="BP1756" s="40">
        <f>BP1755*(1-IF(B1755&gt;=in_marketplace_from,d_hz_bills*G1755,0))</f>
        <v/>
      </c>
      <c r="BQ1756" s="40">
        <f>BQ1755*d_rho_bills+BP1756*IF(B1756&gt;=in_marketplace_from,d_hz_bills*G1756,0)</f>
        <v/>
      </c>
      <c r="BR1756" s="14">
        <f>F1756*BQ1756*in_bills_ticket*in_bills_comm/12</f>
        <v/>
      </c>
      <c r="BS1756" s="40">
        <f>BS1755*(1-IF(B1755&gt;=in_marketplace_from,d_hz_loan_gold*G1755,0))</f>
        <v/>
      </c>
      <c r="BT1756" s="14">
        <f>F1756*BS1756*IF(B1756&gt;=in_marketplace_from,d_hz_loan_gold*G1756,0)*in_loan_gold_ticket*in_loan_gold_comm</f>
        <v/>
      </c>
      <c r="BU1756" s="40">
        <f>BU1755*(1-IF(B1755&gt;=in_marketplace_from,d_hz_loan_cd*G1755,0))</f>
        <v/>
      </c>
      <c r="BV1756" s="14">
        <f>F1756*BU1756*IF(B1756&gt;=in_marketplace_from,d_hz_loan_cd*G1756,0)*in_loan_cd_ticket*in_loan_cd_comm</f>
        <v/>
      </c>
      <c r="BW1756" s="40">
        <f>BW1755*(1-IF(B1755&gt;=in_marketplace_from,d_hz_loan_vehicle*G1755,0))</f>
        <v/>
      </c>
      <c r="BX1756" s="14">
        <f>F1756*BW1756*IF(B1756&gt;=in_marketplace_from,d_hz_loan_vehicle*G1756,0)*in_loan_vehicle_ticket*in_loan_vehicle_comm</f>
        <v/>
      </c>
      <c r="BY1756" s="40">
        <f>BY1755*(1-IF(B1755&gt;=in_marketplace_from,d_hz_loan_home*G1755,0)*BZ1755)</f>
        <v/>
      </c>
      <c r="BZ1756" s="11">
        <f>MIN(in_approval_cap,in_loan_home_approval*INDEX('Age profile'!$O$2:$O$61,B1756)*(1+in_approval_growth)^(D1756-1))</f>
        <v/>
      </c>
      <c r="CA1756" s="14">
        <f>F1756*BY1756*IF(B1756&gt;=in_marketplace_from,d_hz_loan_home*G1756,0)*BZ1756*in_loan_home_ticket*in_loan_home_comm</f>
        <v/>
      </c>
      <c r="CB1756" s="40">
        <f>CB1755*(1-IF(B1755&gt;=in_marketplace_from,d_hz_loan_lap*G1755,0)*CC1755)</f>
        <v/>
      </c>
      <c r="CC1756" s="11">
        <f>MIN(in_approval_cap,in_loan_lap_approval*INDEX('Age profile'!$O$2:$O$61,B1756)*(1+in_approval_growth)^(D1756-1))</f>
        <v/>
      </c>
      <c r="CD1756" s="14">
        <f>F1756*CB1756*IF(B1756&gt;=in_marketplace_from,d_hz_loan_lap*G1756,0)*CC1756*in_loan_lap_ticket*in_loan_lap_comm</f>
        <v/>
      </c>
      <c r="CE1756" s="14">
        <f>AA1756+AB1756+AC1756+AD1756+AG1756+AJ1756+AM1756+AP1756+AS1756+AU1756+AX1756+BB1756+BE1756+BG1756+BJ1756+BL1756+BO1756+BR1756+BT1756+BV1756+BX1756+CA1756+CD1756</f>
        <v/>
      </c>
    </row>
    <row r="1757">
      <c r="A1757" s="39" t="n">
        <v>49</v>
      </c>
      <c r="B1757" s="39" t="n">
        <v>4</v>
      </c>
      <c r="C1757" s="39">
        <f>A1757+B1757-1</f>
        <v/>
      </c>
      <c r="D1757" s="39">
        <f>INT((C1757-1)/12)+1</f>
        <v/>
      </c>
      <c r="E1757" s="44">
        <f>INDEX(Monthly!$B$2:$B$61,A1757)</f>
        <v/>
      </c>
      <c r="F1757" s="44">
        <f>E1757*INDEX('Age profile'!$B$2:$B$61,B1757)</f>
        <v/>
      </c>
      <c r="G1757" s="45">
        <f>MIN(in_takeup_cap,INDEX('Age profile'!$N$2:$N$61,B1757)*(1+in_takeup_growth)^(D1757-1))</f>
        <v/>
      </c>
      <c r="H1757" s="11">
        <f>MIN(in_approval_cap,in_approved_first*INDEX('Age profile'!$O$2:$O$61,B1757)*(1+in_approval_growth)^(D1757-1))</f>
        <v/>
      </c>
      <c r="I1757" s="45">
        <f>G1757*MIN(in_takeup_cap,INDEX('Age profile'!$O$2:$O$61,B1757)*(1+in_approval_growth)^(D1757-1))</f>
        <v/>
      </c>
      <c r="J1757" s="40">
        <f>(J1756-L1756)*F1757/F1756</f>
        <v/>
      </c>
      <c r="K1757" s="40">
        <f>(K1756-M1756)*F1757/F1756+SUMIFS(O1754:O1756,B1754:B1756,B1757-1-d_T)*F1757</f>
        <v/>
      </c>
      <c r="L1757" s="40">
        <f>IF(B1757&gt;=in_marketplace_from,J1757*d_hz*G1757*in_eligible*H1757,0)</f>
        <v/>
      </c>
      <c r="M1757" s="40">
        <f>IF(B1757&gt;=in_marketplace_from,K1757*d_hz*G1757*in_eligible*in_approved_repeat,0)</f>
        <v/>
      </c>
      <c r="N1757" s="40">
        <f>L1757+M1757</f>
        <v/>
      </c>
      <c r="O1757" s="46">
        <f>N1757/F1757</f>
        <v/>
      </c>
      <c r="P1757" s="40">
        <f>F1757-J1757-K1757</f>
        <v/>
      </c>
      <c r="Q1757" s="40">
        <f>IF(B1757&gt;=in_marketplace_from,(J1757+K1757)*d_hz*G1757,0)</f>
        <v/>
      </c>
      <c r="R1757" s="40">
        <f>SUMIFS(N1754:N1765,B1754:B1765,"&gt;="&amp;(B1757-d_T),B1754:B1765,"&lt;="&amp;(B1757-1))</f>
        <v/>
      </c>
      <c r="S1757" s="46">
        <f>(1-d_u)*S1756+IF(d_T&gt;in_topup_lag,SUMIFS(O1754:O1765,B1754:B1765,B1757-in_topup_lag)-d_udrop*SUMIFS(O1754:O1765,B1754:B1765,B1757-d_T),0)</f>
        <v/>
      </c>
      <c r="T1757" s="40">
        <f>F1757*d_u*S1757</f>
        <v/>
      </c>
      <c r="U1757" s="9">
        <f>L1757*in_ticket+M1757*d_rep_ticket</f>
        <v/>
      </c>
      <c r="V1757" s="9">
        <f>U1757+T1757*d_topup_amt</f>
        <v/>
      </c>
      <c r="W1757" s="40">
        <f>N1757+T1757*d_topup_ratio</f>
        <v/>
      </c>
      <c r="X1757" s="40">
        <f>SUMIFS(W1754:W1765,B1754:B1765,B1757-in_dpd_lag)*d_cured</f>
        <v/>
      </c>
      <c r="Y1757" s="40">
        <f>SUMIFS(W1754:W1765,B1754:B1765,B1757-in_rec_lag)*d_recd</f>
        <v/>
      </c>
      <c r="Z1757" s="40">
        <f>IF(AND(B1757&gt;=in_marketplace_from,B1757&lt;in_marketplace_from+in_card_months),in_card_share/in_card_months*F1757*I1757,IF(AND(B1757&gt;=in_marketplace_from+in_card_months,B1757&lt;in_marketplace_from+2*in_card_months),in_card_share*d_card_rem/in_card_months*F1757*MIN(in_takeup_cap,(1+in_takeup_growth)^(D1757-1))*MIN(in_takeup_cap,(1+in_approval_growth)^(D1757-1)),0))</f>
        <v/>
      </c>
      <c r="AA1757" s="14">
        <f>V1757*in_fee*(1-in_taken_back)</f>
        <v/>
      </c>
      <c r="AB1757" s="14">
        <f>SUMIFS(W1754:W1765,B1754:B1765,B1757-in_dpd_lag)*d_dpd</f>
        <v/>
      </c>
      <c r="AC1757" s="14">
        <f>SUMIFS(W1754:W1765,B1754:B1765,B1757-in_rec_lag)*d_rec</f>
        <v/>
      </c>
      <c r="AD1757" s="14">
        <f>Z1757*in_card_fee</f>
        <v/>
      </c>
      <c r="AE1757" s="40">
        <f>AE1756*(1-IF(B1756&gt;=in_marketplace_from,d_hz_hlth_small*G1756,0))</f>
        <v/>
      </c>
      <c r="AF1757" s="46">
        <f>AE1757*IF(B1757&gt;=in_marketplace_from,d_hz_hlth_small*G1757,0)</f>
        <v/>
      </c>
      <c r="AG1757" s="14">
        <f>F1757*AF1757*in_hlth_small_ticket*in_hlth_small_comm*in_ins_partner_share+F1757*in_hlth_small_ticket*in_hlth_small_renew_comm*in_ins_partner_share*(in_hlth_small_renew^1*SUMIFS(AF1754:AF1765,B1754:B1765,B1757-12)+in_hlth_small_renew^2*SUMIFS(AF1754:AF1765,B1754:B1765,B1757-24)+in_hlth_small_renew^3*SUMIFS(AF1754:AF1765,B1754:B1765,B1757-36)+in_hlth_small_renew^4*SUMIFS(AF1754:AF1765,B1754:B1765,B1757-48))</f>
        <v/>
      </c>
      <c r="AH1757" s="40">
        <f>AH1756*(1-IF(B1756&gt;=in_marketplace_from,d_hz_hlth_family*G1756,0))</f>
        <v/>
      </c>
      <c r="AI1757" s="46">
        <f>AH1757*IF(B1757&gt;=in_marketplace_from,d_hz_hlth_family*G1757,0)</f>
        <v/>
      </c>
      <c r="AJ1757" s="14">
        <f>F1757*AI1757*in_hlth_family_ticket*in_hlth_family_comm*in_ins_partner_share+F1757*in_hlth_family_ticket*in_hlth_family_renew_comm*in_ins_partner_share*(in_hlth_family_renew^1*SUMIFS(AI1754:AI1765,B1754:B1765,B1757-12)+in_hlth_family_renew^2*SUMIFS(AI1754:AI1765,B1754:B1765,B1757-24)+in_hlth_family_renew^3*SUMIFS(AI1754:AI1765,B1754:B1765,B1757-36)+in_hlth_family_renew^4*SUMIFS(AI1754:AI1765,B1754:B1765,B1757-48))</f>
        <v/>
      </c>
      <c r="AK1757" s="40">
        <f>AK1756*(1-IF(B1756&gt;=in_marketplace_from,d_hz_life_term*G1756,0))</f>
        <v/>
      </c>
      <c r="AL1757" s="46">
        <f>AK1757*IF(B1757&gt;=in_marketplace_from,d_hz_life_term*G1757,0)</f>
        <v/>
      </c>
      <c r="AM1757" s="14">
        <f>F1757*AL1757*in_life_term_ticket*in_life_term_comm*in_ins_partner_share+F1757*in_life_term_ticket*in_life_term_renew_comm*in_ins_partner_share*(in_life_term_renew^1*SUMIFS(AL1754:AL1765,B1754:B1765,B1757-12)+in_life_term_renew^2*SUMIFS(AL1754:AL1765,B1754:B1765,B1757-24)+in_life_term_renew^3*SUMIFS(AL1754:AL1765,B1754:B1765,B1757-36)+in_life_term_renew^4*SUMIFS(AL1754:AL1765,B1754:B1765,B1757-48))</f>
        <v/>
      </c>
      <c r="AN1757" s="40">
        <f>AN1756*(1-IF(B1756&gt;=in_marketplace_from,d_hz_accident*G1756,0))</f>
        <v/>
      </c>
      <c r="AO1757" s="46">
        <f>AN1757*IF(B1757&gt;=in_marketplace_from,d_hz_accident*G1757,0)</f>
        <v/>
      </c>
      <c r="AP1757" s="14">
        <f>F1757*AO1757*in_accident_ticket*in_accident_comm*in_ins_partner_share+F1757*in_accident_ticket*in_accident_renew_comm*in_ins_partner_share*(in_accident_renew^1*SUMIFS(AO1754:AO1765,B1754:B1765,B1757-12)+in_accident_renew^2*SUMIFS(AO1754:AO1765,B1754:B1765,B1757-24)+in_accident_renew^3*SUMIFS(AO1754:AO1765,B1754:B1765,B1757-36)+in_accident_renew^4*SUMIFS(AO1754:AO1765,B1754:B1765,B1757-48))</f>
        <v/>
      </c>
      <c r="AQ1757" s="40">
        <f>AQ1756*(1-IF(B1756&gt;=in_marketplace_from,d_hz_two_wheeler*G1756,0))</f>
        <v/>
      </c>
      <c r="AR1757" s="46">
        <f>AQ1757*IF(B1757&gt;=in_marketplace_from,d_hz_two_wheeler*G1757,0)</f>
        <v/>
      </c>
      <c r="AS1757" s="14">
        <f>F1757*AR1757*in_two_wheeler_ticket*in_two_wheeler_comm*in_ins_partner_share+F1757*in_two_wheeler_ticket*in_two_wheeler_comm*in_ins_partner_share*(in_two_wheeler_renew^1*SUMIFS(AR1754:AR1765,B1754:B1765,B1757-12)+in_two_wheeler_renew^2*SUMIFS(AR1754:AR1765,B1754:B1765,B1757-24)+in_two_wheeler_renew^3*SUMIFS(AR1754:AR1765,B1754:B1765,B1757-36)+in_two_wheeler_renew^4*SUMIFS(AR1754:AR1765,B1754:B1765,B1757-48))</f>
        <v/>
      </c>
      <c r="AT1757" s="40">
        <f>AT1756*(1-IF(B1756&gt;=in_marketplace_from,d_hz_device*G1756,0))</f>
        <v/>
      </c>
      <c r="AU1757" s="14">
        <f>F1757*AT1757*IF(B1757&gt;=in_marketplace_from,d_hz_device*G1757,0)*in_device_ticket*in_device_comm*in_ins_partner_share</f>
        <v/>
      </c>
      <c r="AV1757" s="40">
        <f>AV1756*(1-IF(B1756&gt;=in_marketplace_from,d_hz_shop*G1756,0))</f>
        <v/>
      </c>
      <c r="AW1757" s="46">
        <f>AV1757*IF(B1757&gt;=in_marketplace_from,d_hz_shop*G1757,0)</f>
        <v/>
      </c>
      <c r="AX1757" s="14">
        <f>F1757*AW1757*in_shop_ticket*in_shop_comm*in_ins_partner_share+F1757*in_shop_ticket*in_shop_renew_comm*in_ins_partner_share*(in_shop_renew^1*SUMIFS(AW1754:AW1765,B1754:B1765,B1757-12)+in_shop_renew^2*SUMIFS(AW1754:AW1765,B1754:B1765,B1757-24)+in_shop_renew^3*SUMIFS(AW1754:AW1765,B1754:B1765,B1757-36)+in_shop_renew^4*SUMIFS(AW1754:AW1765,B1754:B1765,B1757-48))</f>
        <v/>
      </c>
      <c r="AY1757" s="40">
        <f>AY1756*(1-IF(B1756&gt;=in_marketplace_from,d_hz_sip*G1756,0))</f>
        <v/>
      </c>
      <c r="AZ1757" s="40">
        <f>AZ1756*d_rho_sip+AY1757*IF(B1757&gt;=in_marketplace_from,d_hz_sip*G1757,0)</f>
        <v/>
      </c>
      <c r="BA1757" s="40">
        <f>d_rho_sip*(BA1756+AZ1756)</f>
        <v/>
      </c>
      <c r="BB1757" s="14">
        <f>F1757*in_sip_ticket*(BA1757+0.5*AZ1757)*in_sip_comm/12</f>
        <v/>
      </c>
      <c r="BC1757" s="40">
        <f>BC1756*(1-IF(B1756&gt;=in_marketplace_from,d_hz_choti*G1756,0))</f>
        <v/>
      </c>
      <c r="BD1757" s="46">
        <f>BC1757*IF(B1757&gt;=in_marketplace_from,d_hz_choti*G1757,0)</f>
        <v/>
      </c>
      <c r="BE1757" s="14">
        <f>F1757*SUMIFS(BD1754:BD1765,B1754:B1765,B1757-in_choti_months)*in_choti_renew*in_choti_ticket</f>
        <v/>
      </c>
      <c r="BF1757" s="40">
        <f>BF1756*(1-IF(B1756&gt;=in_marketplace_from,d_hz_nps*G1756,0))</f>
        <v/>
      </c>
      <c r="BG1757" s="14">
        <f>F1757*BF1757*IF(B1757&gt;=in_marketplace_from,d_hz_nps*G1757,0)*in_nps_ticket*in_nps_comm</f>
        <v/>
      </c>
      <c r="BH1757" s="40">
        <f>BH1756*(1-IF(B1756&gt;=in_marketplace_from,d_hz_gold*G1756,0))</f>
        <v/>
      </c>
      <c r="BI1757" s="40">
        <f>BI1756*d_rho_gold+BH1757*IF(B1757&gt;=in_marketplace_from,d_hz_gold*G1757,0)</f>
        <v/>
      </c>
      <c r="BJ1757" s="14">
        <f>F1757*BI1757*in_gold_ticket*in_gold_comm</f>
        <v/>
      </c>
      <c r="BK1757" s="40">
        <f>BK1756*(1-IF(B1756&gt;=in_marketplace_from,d_hz_fd*G1756,0))</f>
        <v/>
      </c>
      <c r="BL1757" s="14">
        <f>F1757*BK1757*IF(B1757&gt;=in_marketplace_from,d_hz_fd*G1757,0)*in_fd_ticket*in_fd_comm</f>
        <v/>
      </c>
      <c r="BM1757" s="40">
        <f>BM1756*(1-IF(B1756&gt;=in_marketplace_from,d_hz_recharge*G1756,0))</f>
        <v/>
      </c>
      <c r="BN1757" s="40">
        <f>BN1756*d_rho_recharge+BM1757*IF(B1757&gt;=in_marketplace_from,d_hz_recharge*G1757,0)</f>
        <v/>
      </c>
      <c r="BO1757" s="14">
        <f>F1757*BN1757*in_recharge_ticket*in_recharge_comm/12</f>
        <v/>
      </c>
      <c r="BP1757" s="40">
        <f>BP1756*(1-IF(B1756&gt;=in_marketplace_from,d_hz_bills*G1756,0))</f>
        <v/>
      </c>
      <c r="BQ1757" s="40">
        <f>BQ1756*d_rho_bills+BP1757*IF(B1757&gt;=in_marketplace_from,d_hz_bills*G1757,0)</f>
        <v/>
      </c>
      <c r="BR1757" s="14">
        <f>F1757*BQ1757*in_bills_ticket*in_bills_comm/12</f>
        <v/>
      </c>
      <c r="BS1757" s="40">
        <f>BS1756*(1-IF(B1756&gt;=in_marketplace_from,d_hz_loan_gold*G1756,0))</f>
        <v/>
      </c>
      <c r="BT1757" s="14">
        <f>F1757*BS1757*IF(B1757&gt;=in_marketplace_from,d_hz_loan_gold*G1757,0)*in_loan_gold_ticket*in_loan_gold_comm</f>
        <v/>
      </c>
      <c r="BU1757" s="40">
        <f>BU1756*(1-IF(B1756&gt;=in_marketplace_from,d_hz_loan_cd*G1756,0))</f>
        <v/>
      </c>
      <c r="BV1757" s="14">
        <f>F1757*BU1757*IF(B1757&gt;=in_marketplace_from,d_hz_loan_cd*G1757,0)*in_loan_cd_ticket*in_loan_cd_comm</f>
        <v/>
      </c>
      <c r="BW1757" s="40">
        <f>BW1756*(1-IF(B1756&gt;=in_marketplace_from,d_hz_loan_vehicle*G1756,0))</f>
        <v/>
      </c>
      <c r="BX1757" s="14">
        <f>F1757*BW1757*IF(B1757&gt;=in_marketplace_from,d_hz_loan_vehicle*G1757,0)*in_loan_vehicle_ticket*in_loan_vehicle_comm</f>
        <v/>
      </c>
      <c r="BY1757" s="40">
        <f>BY1756*(1-IF(B1756&gt;=in_marketplace_from,d_hz_loan_home*G1756,0)*BZ1756)</f>
        <v/>
      </c>
      <c r="BZ1757" s="11">
        <f>MIN(in_approval_cap,in_loan_home_approval*INDEX('Age profile'!$O$2:$O$61,B1757)*(1+in_approval_growth)^(D1757-1))</f>
        <v/>
      </c>
      <c r="CA1757" s="14">
        <f>F1757*BY1757*IF(B1757&gt;=in_marketplace_from,d_hz_loan_home*G1757,0)*BZ1757*in_loan_home_ticket*in_loan_home_comm</f>
        <v/>
      </c>
      <c r="CB1757" s="40">
        <f>CB1756*(1-IF(B1756&gt;=in_marketplace_from,d_hz_loan_lap*G1756,0)*CC1756)</f>
        <v/>
      </c>
      <c r="CC1757" s="11">
        <f>MIN(in_approval_cap,in_loan_lap_approval*INDEX('Age profile'!$O$2:$O$61,B1757)*(1+in_approval_growth)^(D1757-1))</f>
        <v/>
      </c>
      <c r="CD1757" s="14">
        <f>F1757*CB1757*IF(B1757&gt;=in_marketplace_from,d_hz_loan_lap*G1757,0)*CC1757*in_loan_lap_ticket*in_loan_lap_comm</f>
        <v/>
      </c>
      <c r="CE1757" s="14">
        <f>AA1757+AB1757+AC1757+AD1757+AG1757+AJ1757+AM1757+AP1757+AS1757+AU1757+AX1757+BB1757+BE1757+BG1757+BJ1757+BL1757+BO1757+BR1757+BT1757+BV1757+BX1757+CA1757+CD1757</f>
        <v/>
      </c>
    </row>
    <row r="1758">
      <c r="A1758" s="39" t="n">
        <v>49</v>
      </c>
      <c r="B1758" s="39" t="n">
        <v>5</v>
      </c>
      <c r="C1758" s="39">
        <f>A1758+B1758-1</f>
        <v/>
      </c>
      <c r="D1758" s="39">
        <f>INT((C1758-1)/12)+1</f>
        <v/>
      </c>
      <c r="E1758" s="44">
        <f>INDEX(Monthly!$B$2:$B$61,A1758)</f>
        <v/>
      </c>
      <c r="F1758" s="44">
        <f>E1758*INDEX('Age profile'!$B$2:$B$61,B1758)</f>
        <v/>
      </c>
      <c r="G1758" s="45">
        <f>MIN(in_takeup_cap,INDEX('Age profile'!$N$2:$N$61,B1758)*(1+in_takeup_growth)^(D1758-1))</f>
        <v/>
      </c>
      <c r="H1758" s="11">
        <f>MIN(in_approval_cap,in_approved_first*INDEX('Age profile'!$O$2:$O$61,B1758)*(1+in_approval_growth)^(D1758-1))</f>
        <v/>
      </c>
      <c r="I1758" s="45">
        <f>G1758*MIN(in_takeup_cap,INDEX('Age profile'!$O$2:$O$61,B1758)*(1+in_approval_growth)^(D1758-1))</f>
        <v/>
      </c>
      <c r="J1758" s="40">
        <f>(J1757-L1757)*F1758/F1757</f>
        <v/>
      </c>
      <c r="K1758" s="40">
        <f>(K1757-M1757)*F1758/F1757+SUMIFS(O1754:O1757,B1754:B1757,B1758-1-d_T)*F1758</f>
        <v/>
      </c>
      <c r="L1758" s="40">
        <f>IF(B1758&gt;=in_marketplace_from,J1758*d_hz*G1758*in_eligible*H1758,0)</f>
        <v/>
      </c>
      <c r="M1758" s="40">
        <f>IF(B1758&gt;=in_marketplace_from,K1758*d_hz*G1758*in_eligible*in_approved_repeat,0)</f>
        <v/>
      </c>
      <c r="N1758" s="40">
        <f>L1758+M1758</f>
        <v/>
      </c>
      <c r="O1758" s="46">
        <f>N1758/F1758</f>
        <v/>
      </c>
      <c r="P1758" s="40">
        <f>F1758-J1758-K1758</f>
        <v/>
      </c>
      <c r="Q1758" s="40">
        <f>IF(B1758&gt;=in_marketplace_from,(J1758+K1758)*d_hz*G1758,0)</f>
        <v/>
      </c>
      <c r="R1758" s="40">
        <f>SUMIFS(N1754:N1765,B1754:B1765,"&gt;="&amp;(B1758-d_T),B1754:B1765,"&lt;="&amp;(B1758-1))</f>
        <v/>
      </c>
      <c r="S1758" s="46">
        <f>(1-d_u)*S1757+IF(d_T&gt;in_topup_lag,SUMIFS(O1754:O1765,B1754:B1765,B1758-in_topup_lag)-d_udrop*SUMIFS(O1754:O1765,B1754:B1765,B1758-d_T),0)</f>
        <v/>
      </c>
      <c r="T1758" s="40">
        <f>F1758*d_u*S1758</f>
        <v/>
      </c>
      <c r="U1758" s="9">
        <f>L1758*in_ticket+M1758*d_rep_ticket</f>
        <v/>
      </c>
      <c r="V1758" s="9">
        <f>U1758+T1758*d_topup_amt</f>
        <v/>
      </c>
      <c r="W1758" s="40">
        <f>N1758+T1758*d_topup_ratio</f>
        <v/>
      </c>
      <c r="X1758" s="40">
        <f>SUMIFS(W1754:W1765,B1754:B1765,B1758-in_dpd_lag)*d_cured</f>
        <v/>
      </c>
      <c r="Y1758" s="40">
        <f>SUMIFS(W1754:W1765,B1754:B1765,B1758-in_rec_lag)*d_recd</f>
        <v/>
      </c>
      <c r="Z1758" s="40">
        <f>IF(AND(B1758&gt;=in_marketplace_from,B1758&lt;in_marketplace_from+in_card_months),in_card_share/in_card_months*F1758*I1758,IF(AND(B1758&gt;=in_marketplace_from+in_card_months,B1758&lt;in_marketplace_from+2*in_card_months),in_card_share*d_card_rem/in_card_months*F1758*MIN(in_takeup_cap,(1+in_takeup_growth)^(D1758-1))*MIN(in_takeup_cap,(1+in_approval_growth)^(D1758-1)),0))</f>
        <v/>
      </c>
      <c r="AA1758" s="14">
        <f>V1758*in_fee*(1-in_taken_back)</f>
        <v/>
      </c>
      <c r="AB1758" s="14">
        <f>SUMIFS(W1754:W1765,B1754:B1765,B1758-in_dpd_lag)*d_dpd</f>
        <v/>
      </c>
      <c r="AC1758" s="14">
        <f>SUMIFS(W1754:W1765,B1754:B1765,B1758-in_rec_lag)*d_rec</f>
        <v/>
      </c>
      <c r="AD1758" s="14">
        <f>Z1758*in_card_fee</f>
        <v/>
      </c>
      <c r="AE1758" s="40">
        <f>AE1757*(1-IF(B1757&gt;=in_marketplace_from,d_hz_hlth_small*G1757,0))</f>
        <v/>
      </c>
      <c r="AF1758" s="46">
        <f>AE1758*IF(B1758&gt;=in_marketplace_from,d_hz_hlth_small*G1758,0)</f>
        <v/>
      </c>
      <c r="AG1758" s="14">
        <f>F1758*AF1758*in_hlth_small_ticket*in_hlth_small_comm*in_ins_partner_share+F1758*in_hlth_small_ticket*in_hlth_small_renew_comm*in_ins_partner_share*(in_hlth_small_renew^1*SUMIFS(AF1754:AF1765,B1754:B1765,B1758-12)+in_hlth_small_renew^2*SUMIFS(AF1754:AF1765,B1754:B1765,B1758-24)+in_hlth_small_renew^3*SUMIFS(AF1754:AF1765,B1754:B1765,B1758-36)+in_hlth_small_renew^4*SUMIFS(AF1754:AF1765,B1754:B1765,B1758-48))</f>
        <v/>
      </c>
      <c r="AH1758" s="40">
        <f>AH1757*(1-IF(B1757&gt;=in_marketplace_from,d_hz_hlth_family*G1757,0))</f>
        <v/>
      </c>
      <c r="AI1758" s="46">
        <f>AH1758*IF(B1758&gt;=in_marketplace_from,d_hz_hlth_family*G1758,0)</f>
        <v/>
      </c>
      <c r="AJ1758" s="14">
        <f>F1758*AI1758*in_hlth_family_ticket*in_hlth_family_comm*in_ins_partner_share+F1758*in_hlth_family_ticket*in_hlth_family_renew_comm*in_ins_partner_share*(in_hlth_family_renew^1*SUMIFS(AI1754:AI1765,B1754:B1765,B1758-12)+in_hlth_family_renew^2*SUMIFS(AI1754:AI1765,B1754:B1765,B1758-24)+in_hlth_family_renew^3*SUMIFS(AI1754:AI1765,B1754:B1765,B1758-36)+in_hlth_family_renew^4*SUMIFS(AI1754:AI1765,B1754:B1765,B1758-48))</f>
        <v/>
      </c>
      <c r="AK1758" s="40">
        <f>AK1757*(1-IF(B1757&gt;=in_marketplace_from,d_hz_life_term*G1757,0))</f>
        <v/>
      </c>
      <c r="AL1758" s="46">
        <f>AK1758*IF(B1758&gt;=in_marketplace_from,d_hz_life_term*G1758,0)</f>
        <v/>
      </c>
      <c r="AM1758" s="14">
        <f>F1758*AL1758*in_life_term_ticket*in_life_term_comm*in_ins_partner_share+F1758*in_life_term_ticket*in_life_term_renew_comm*in_ins_partner_share*(in_life_term_renew^1*SUMIFS(AL1754:AL1765,B1754:B1765,B1758-12)+in_life_term_renew^2*SUMIFS(AL1754:AL1765,B1754:B1765,B1758-24)+in_life_term_renew^3*SUMIFS(AL1754:AL1765,B1754:B1765,B1758-36)+in_life_term_renew^4*SUMIFS(AL1754:AL1765,B1754:B1765,B1758-48))</f>
        <v/>
      </c>
      <c r="AN1758" s="40">
        <f>AN1757*(1-IF(B1757&gt;=in_marketplace_from,d_hz_accident*G1757,0))</f>
        <v/>
      </c>
      <c r="AO1758" s="46">
        <f>AN1758*IF(B1758&gt;=in_marketplace_from,d_hz_accident*G1758,0)</f>
        <v/>
      </c>
      <c r="AP1758" s="14">
        <f>F1758*AO1758*in_accident_ticket*in_accident_comm*in_ins_partner_share+F1758*in_accident_ticket*in_accident_renew_comm*in_ins_partner_share*(in_accident_renew^1*SUMIFS(AO1754:AO1765,B1754:B1765,B1758-12)+in_accident_renew^2*SUMIFS(AO1754:AO1765,B1754:B1765,B1758-24)+in_accident_renew^3*SUMIFS(AO1754:AO1765,B1754:B1765,B1758-36)+in_accident_renew^4*SUMIFS(AO1754:AO1765,B1754:B1765,B1758-48))</f>
        <v/>
      </c>
      <c r="AQ1758" s="40">
        <f>AQ1757*(1-IF(B1757&gt;=in_marketplace_from,d_hz_two_wheeler*G1757,0))</f>
        <v/>
      </c>
      <c r="AR1758" s="46">
        <f>AQ1758*IF(B1758&gt;=in_marketplace_from,d_hz_two_wheeler*G1758,0)</f>
        <v/>
      </c>
      <c r="AS1758" s="14">
        <f>F1758*AR1758*in_two_wheeler_ticket*in_two_wheeler_comm*in_ins_partner_share+F1758*in_two_wheeler_ticket*in_two_wheeler_comm*in_ins_partner_share*(in_two_wheeler_renew^1*SUMIFS(AR1754:AR1765,B1754:B1765,B1758-12)+in_two_wheeler_renew^2*SUMIFS(AR1754:AR1765,B1754:B1765,B1758-24)+in_two_wheeler_renew^3*SUMIFS(AR1754:AR1765,B1754:B1765,B1758-36)+in_two_wheeler_renew^4*SUMIFS(AR1754:AR1765,B1754:B1765,B1758-48))</f>
        <v/>
      </c>
      <c r="AT1758" s="40">
        <f>AT1757*(1-IF(B1757&gt;=in_marketplace_from,d_hz_device*G1757,0))</f>
        <v/>
      </c>
      <c r="AU1758" s="14">
        <f>F1758*AT1758*IF(B1758&gt;=in_marketplace_from,d_hz_device*G1758,0)*in_device_ticket*in_device_comm*in_ins_partner_share</f>
        <v/>
      </c>
      <c r="AV1758" s="40">
        <f>AV1757*(1-IF(B1757&gt;=in_marketplace_from,d_hz_shop*G1757,0))</f>
        <v/>
      </c>
      <c r="AW1758" s="46">
        <f>AV1758*IF(B1758&gt;=in_marketplace_from,d_hz_shop*G1758,0)</f>
        <v/>
      </c>
      <c r="AX1758" s="14">
        <f>F1758*AW1758*in_shop_ticket*in_shop_comm*in_ins_partner_share+F1758*in_shop_ticket*in_shop_renew_comm*in_ins_partner_share*(in_shop_renew^1*SUMIFS(AW1754:AW1765,B1754:B1765,B1758-12)+in_shop_renew^2*SUMIFS(AW1754:AW1765,B1754:B1765,B1758-24)+in_shop_renew^3*SUMIFS(AW1754:AW1765,B1754:B1765,B1758-36)+in_shop_renew^4*SUMIFS(AW1754:AW1765,B1754:B1765,B1758-48))</f>
        <v/>
      </c>
      <c r="AY1758" s="40">
        <f>AY1757*(1-IF(B1757&gt;=in_marketplace_from,d_hz_sip*G1757,0))</f>
        <v/>
      </c>
      <c r="AZ1758" s="40">
        <f>AZ1757*d_rho_sip+AY1758*IF(B1758&gt;=in_marketplace_from,d_hz_sip*G1758,0)</f>
        <v/>
      </c>
      <c r="BA1758" s="40">
        <f>d_rho_sip*(BA1757+AZ1757)</f>
        <v/>
      </c>
      <c r="BB1758" s="14">
        <f>F1758*in_sip_ticket*(BA1758+0.5*AZ1758)*in_sip_comm/12</f>
        <v/>
      </c>
      <c r="BC1758" s="40">
        <f>BC1757*(1-IF(B1757&gt;=in_marketplace_from,d_hz_choti*G1757,0))</f>
        <v/>
      </c>
      <c r="BD1758" s="46">
        <f>BC1758*IF(B1758&gt;=in_marketplace_from,d_hz_choti*G1758,0)</f>
        <v/>
      </c>
      <c r="BE1758" s="14">
        <f>F1758*SUMIFS(BD1754:BD1765,B1754:B1765,B1758-in_choti_months)*in_choti_renew*in_choti_ticket</f>
        <v/>
      </c>
      <c r="BF1758" s="40">
        <f>BF1757*(1-IF(B1757&gt;=in_marketplace_from,d_hz_nps*G1757,0))</f>
        <v/>
      </c>
      <c r="BG1758" s="14">
        <f>F1758*BF1758*IF(B1758&gt;=in_marketplace_from,d_hz_nps*G1758,0)*in_nps_ticket*in_nps_comm</f>
        <v/>
      </c>
      <c r="BH1758" s="40">
        <f>BH1757*(1-IF(B1757&gt;=in_marketplace_from,d_hz_gold*G1757,0))</f>
        <v/>
      </c>
      <c r="BI1758" s="40">
        <f>BI1757*d_rho_gold+BH1758*IF(B1758&gt;=in_marketplace_from,d_hz_gold*G1758,0)</f>
        <v/>
      </c>
      <c r="BJ1758" s="14">
        <f>F1758*BI1758*in_gold_ticket*in_gold_comm</f>
        <v/>
      </c>
      <c r="BK1758" s="40">
        <f>BK1757*(1-IF(B1757&gt;=in_marketplace_from,d_hz_fd*G1757,0))</f>
        <v/>
      </c>
      <c r="BL1758" s="14">
        <f>F1758*BK1758*IF(B1758&gt;=in_marketplace_from,d_hz_fd*G1758,0)*in_fd_ticket*in_fd_comm</f>
        <v/>
      </c>
      <c r="BM1758" s="40">
        <f>BM1757*(1-IF(B1757&gt;=in_marketplace_from,d_hz_recharge*G1757,0))</f>
        <v/>
      </c>
      <c r="BN1758" s="40">
        <f>BN1757*d_rho_recharge+BM1758*IF(B1758&gt;=in_marketplace_from,d_hz_recharge*G1758,0)</f>
        <v/>
      </c>
      <c r="BO1758" s="14">
        <f>F1758*BN1758*in_recharge_ticket*in_recharge_comm/12</f>
        <v/>
      </c>
      <c r="BP1758" s="40">
        <f>BP1757*(1-IF(B1757&gt;=in_marketplace_from,d_hz_bills*G1757,0))</f>
        <v/>
      </c>
      <c r="BQ1758" s="40">
        <f>BQ1757*d_rho_bills+BP1758*IF(B1758&gt;=in_marketplace_from,d_hz_bills*G1758,0)</f>
        <v/>
      </c>
      <c r="BR1758" s="14">
        <f>F1758*BQ1758*in_bills_ticket*in_bills_comm/12</f>
        <v/>
      </c>
      <c r="BS1758" s="40">
        <f>BS1757*(1-IF(B1757&gt;=in_marketplace_from,d_hz_loan_gold*G1757,0))</f>
        <v/>
      </c>
      <c r="BT1758" s="14">
        <f>F1758*BS1758*IF(B1758&gt;=in_marketplace_from,d_hz_loan_gold*G1758,0)*in_loan_gold_ticket*in_loan_gold_comm</f>
        <v/>
      </c>
      <c r="BU1758" s="40">
        <f>BU1757*(1-IF(B1757&gt;=in_marketplace_from,d_hz_loan_cd*G1757,0))</f>
        <v/>
      </c>
      <c r="BV1758" s="14">
        <f>F1758*BU1758*IF(B1758&gt;=in_marketplace_from,d_hz_loan_cd*G1758,0)*in_loan_cd_ticket*in_loan_cd_comm</f>
        <v/>
      </c>
      <c r="BW1758" s="40">
        <f>BW1757*(1-IF(B1757&gt;=in_marketplace_from,d_hz_loan_vehicle*G1757,0))</f>
        <v/>
      </c>
      <c r="BX1758" s="14">
        <f>F1758*BW1758*IF(B1758&gt;=in_marketplace_from,d_hz_loan_vehicle*G1758,0)*in_loan_vehicle_ticket*in_loan_vehicle_comm</f>
        <v/>
      </c>
      <c r="BY1758" s="40">
        <f>BY1757*(1-IF(B1757&gt;=in_marketplace_from,d_hz_loan_home*G1757,0)*BZ1757)</f>
        <v/>
      </c>
      <c r="BZ1758" s="11">
        <f>MIN(in_approval_cap,in_loan_home_approval*INDEX('Age profile'!$O$2:$O$61,B1758)*(1+in_approval_growth)^(D1758-1))</f>
        <v/>
      </c>
      <c r="CA1758" s="14">
        <f>F1758*BY1758*IF(B1758&gt;=in_marketplace_from,d_hz_loan_home*G1758,0)*BZ1758*in_loan_home_ticket*in_loan_home_comm</f>
        <v/>
      </c>
      <c r="CB1758" s="40">
        <f>CB1757*(1-IF(B1757&gt;=in_marketplace_from,d_hz_loan_lap*G1757,0)*CC1757)</f>
        <v/>
      </c>
      <c r="CC1758" s="11">
        <f>MIN(in_approval_cap,in_loan_lap_approval*INDEX('Age profile'!$O$2:$O$61,B1758)*(1+in_approval_growth)^(D1758-1))</f>
        <v/>
      </c>
      <c r="CD1758" s="14">
        <f>F1758*CB1758*IF(B1758&gt;=in_marketplace_from,d_hz_loan_lap*G1758,0)*CC1758*in_loan_lap_ticket*in_loan_lap_comm</f>
        <v/>
      </c>
      <c r="CE1758" s="14">
        <f>AA1758+AB1758+AC1758+AD1758+AG1758+AJ1758+AM1758+AP1758+AS1758+AU1758+AX1758+BB1758+BE1758+BG1758+BJ1758+BL1758+BO1758+BR1758+BT1758+BV1758+BX1758+CA1758+CD1758</f>
        <v/>
      </c>
    </row>
    <row r="1759">
      <c r="A1759" s="39" t="n">
        <v>49</v>
      </c>
      <c r="B1759" s="39" t="n">
        <v>6</v>
      </c>
      <c r="C1759" s="39">
        <f>A1759+B1759-1</f>
        <v/>
      </c>
      <c r="D1759" s="39">
        <f>INT((C1759-1)/12)+1</f>
        <v/>
      </c>
      <c r="E1759" s="44">
        <f>INDEX(Monthly!$B$2:$B$61,A1759)</f>
        <v/>
      </c>
      <c r="F1759" s="44">
        <f>E1759*INDEX('Age profile'!$B$2:$B$61,B1759)</f>
        <v/>
      </c>
      <c r="G1759" s="45">
        <f>MIN(in_takeup_cap,INDEX('Age profile'!$N$2:$N$61,B1759)*(1+in_takeup_growth)^(D1759-1))</f>
        <v/>
      </c>
      <c r="H1759" s="11">
        <f>MIN(in_approval_cap,in_approved_first*INDEX('Age profile'!$O$2:$O$61,B1759)*(1+in_approval_growth)^(D1759-1))</f>
        <v/>
      </c>
      <c r="I1759" s="45">
        <f>G1759*MIN(in_takeup_cap,INDEX('Age profile'!$O$2:$O$61,B1759)*(1+in_approval_growth)^(D1759-1))</f>
        <v/>
      </c>
      <c r="J1759" s="40">
        <f>(J1758-L1758)*F1759/F1758</f>
        <v/>
      </c>
      <c r="K1759" s="40">
        <f>(K1758-M1758)*F1759/F1758+SUMIFS(O1754:O1758,B1754:B1758,B1759-1-d_T)*F1759</f>
        <v/>
      </c>
      <c r="L1759" s="40">
        <f>IF(B1759&gt;=in_marketplace_from,J1759*d_hz*G1759*in_eligible*H1759,0)</f>
        <v/>
      </c>
      <c r="M1759" s="40">
        <f>IF(B1759&gt;=in_marketplace_from,K1759*d_hz*G1759*in_eligible*in_approved_repeat,0)</f>
        <v/>
      </c>
      <c r="N1759" s="40">
        <f>L1759+M1759</f>
        <v/>
      </c>
      <c r="O1759" s="46">
        <f>N1759/F1759</f>
        <v/>
      </c>
      <c r="P1759" s="40">
        <f>F1759-J1759-K1759</f>
        <v/>
      </c>
      <c r="Q1759" s="40">
        <f>IF(B1759&gt;=in_marketplace_from,(J1759+K1759)*d_hz*G1759,0)</f>
        <v/>
      </c>
      <c r="R1759" s="40">
        <f>SUMIFS(N1754:N1765,B1754:B1765,"&gt;="&amp;(B1759-d_T),B1754:B1765,"&lt;="&amp;(B1759-1))</f>
        <v/>
      </c>
      <c r="S1759" s="46">
        <f>(1-d_u)*S1758+IF(d_T&gt;in_topup_lag,SUMIFS(O1754:O1765,B1754:B1765,B1759-in_topup_lag)-d_udrop*SUMIFS(O1754:O1765,B1754:B1765,B1759-d_T),0)</f>
        <v/>
      </c>
      <c r="T1759" s="40">
        <f>F1759*d_u*S1759</f>
        <v/>
      </c>
      <c r="U1759" s="9">
        <f>L1759*in_ticket+M1759*d_rep_ticket</f>
        <v/>
      </c>
      <c r="V1759" s="9">
        <f>U1759+T1759*d_topup_amt</f>
        <v/>
      </c>
      <c r="W1759" s="40">
        <f>N1759+T1759*d_topup_ratio</f>
        <v/>
      </c>
      <c r="X1759" s="40">
        <f>SUMIFS(W1754:W1765,B1754:B1765,B1759-in_dpd_lag)*d_cured</f>
        <v/>
      </c>
      <c r="Y1759" s="40">
        <f>SUMIFS(W1754:W1765,B1754:B1765,B1759-in_rec_lag)*d_recd</f>
        <v/>
      </c>
      <c r="Z1759" s="40">
        <f>IF(AND(B1759&gt;=in_marketplace_from,B1759&lt;in_marketplace_from+in_card_months),in_card_share/in_card_months*F1759*I1759,IF(AND(B1759&gt;=in_marketplace_from+in_card_months,B1759&lt;in_marketplace_from+2*in_card_months),in_card_share*d_card_rem/in_card_months*F1759*MIN(in_takeup_cap,(1+in_takeup_growth)^(D1759-1))*MIN(in_takeup_cap,(1+in_approval_growth)^(D1759-1)),0))</f>
        <v/>
      </c>
      <c r="AA1759" s="14">
        <f>V1759*in_fee*(1-in_taken_back)</f>
        <v/>
      </c>
      <c r="AB1759" s="14">
        <f>SUMIFS(W1754:W1765,B1754:B1765,B1759-in_dpd_lag)*d_dpd</f>
        <v/>
      </c>
      <c r="AC1759" s="14">
        <f>SUMIFS(W1754:W1765,B1754:B1765,B1759-in_rec_lag)*d_rec</f>
        <v/>
      </c>
      <c r="AD1759" s="14">
        <f>Z1759*in_card_fee</f>
        <v/>
      </c>
      <c r="AE1759" s="40">
        <f>AE1758*(1-IF(B1758&gt;=in_marketplace_from,d_hz_hlth_small*G1758,0))</f>
        <v/>
      </c>
      <c r="AF1759" s="46">
        <f>AE1759*IF(B1759&gt;=in_marketplace_from,d_hz_hlth_small*G1759,0)</f>
        <v/>
      </c>
      <c r="AG1759" s="14">
        <f>F1759*AF1759*in_hlth_small_ticket*in_hlth_small_comm*in_ins_partner_share+F1759*in_hlth_small_ticket*in_hlth_small_renew_comm*in_ins_partner_share*(in_hlth_small_renew^1*SUMIFS(AF1754:AF1765,B1754:B1765,B1759-12)+in_hlth_small_renew^2*SUMIFS(AF1754:AF1765,B1754:B1765,B1759-24)+in_hlth_small_renew^3*SUMIFS(AF1754:AF1765,B1754:B1765,B1759-36)+in_hlth_small_renew^4*SUMIFS(AF1754:AF1765,B1754:B1765,B1759-48))</f>
        <v/>
      </c>
      <c r="AH1759" s="40">
        <f>AH1758*(1-IF(B1758&gt;=in_marketplace_from,d_hz_hlth_family*G1758,0))</f>
        <v/>
      </c>
      <c r="AI1759" s="46">
        <f>AH1759*IF(B1759&gt;=in_marketplace_from,d_hz_hlth_family*G1759,0)</f>
        <v/>
      </c>
      <c r="AJ1759" s="14">
        <f>F1759*AI1759*in_hlth_family_ticket*in_hlth_family_comm*in_ins_partner_share+F1759*in_hlth_family_ticket*in_hlth_family_renew_comm*in_ins_partner_share*(in_hlth_family_renew^1*SUMIFS(AI1754:AI1765,B1754:B1765,B1759-12)+in_hlth_family_renew^2*SUMIFS(AI1754:AI1765,B1754:B1765,B1759-24)+in_hlth_family_renew^3*SUMIFS(AI1754:AI1765,B1754:B1765,B1759-36)+in_hlth_family_renew^4*SUMIFS(AI1754:AI1765,B1754:B1765,B1759-48))</f>
        <v/>
      </c>
      <c r="AK1759" s="40">
        <f>AK1758*(1-IF(B1758&gt;=in_marketplace_from,d_hz_life_term*G1758,0))</f>
        <v/>
      </c>
      <c r="AL1759" s="46">
        <f>AK1759*IF(B1759&gt;=in_marketplace_from,d_hz_life_term*G1759,0)</f>
        <v/>
      </c>
      <c r="AM1759" s="14">
        <f>F1759*AL1759*in_life_term_ticket*in_life_term_comm*in_ins_partner_share+F1759*in_life_term_ticket*in_life_term_renew_comm*in_ins_partner_share*(in_life_term_renew^1*SUMIFS(AL1754:AL1765,B1754:B1765,B1759-12)+in_life_term_renew^2*SUMIFS(AL1754:AL1765,B1754:B1765,B1759-24)+in_life_term_renew^3*SUMIFS(AL1754:AL1765,B1754:B1765,B1759-36)+in_life_term_renew^4*SUMIFS(AL1754:AL1765,B1754:B1765,B1759-48))</f>
        <v/>
      </c>
      <c r="AN1759" s="40">
        <f>AN1758*(1-IF(B1758&gt;=in_marketplace_from,d_hz_accident*G1758,0))</f>
        <v/>
      </c>
      <c r="AO1759" s="46">
        <f>AN1759*IF(B1759&gt;=in_marketplace_from,d_hz_accident*G1759,0)</f>
        <v/>
      </c>
      <c r="AP1759" s="14">
        <f>F1759*AO1759*in_accident_ticket*in_accident_comm*in_ins_partner_share+F1759*in_accident_ticket*in_accident_renew_comm*in_ins_partner_share*(in_accident_renew^1*SUMIFS(AO1754:AO1765,B1754:B1765,B1759-12)+in_accident_renew^2*SUMIFS(AO1754:AO1765,B1754:B1765,B1759-24)+in_accident_renew^3*SUMIFS(AO1754:AO1765,B1754:B1765,B1759-36)+in_accident_renew^4*SUMIFS(AO1754:AO1765,B1754:B1765,B1759-48))</f>
        <v/>
      </c>
      <c r="AQ1759" s="40">
        <f>AQ1758*(1-IF(B1758&gt;=in_marketplace_from,d_hz_two_wheeler*G1758,0))</f>
        <v/>
      </c>
      <c r="AR1759" s="46">
        <f>AQ1759*IF(B1759&gt;=in_marketplace_from,d_hz_two_wheeler*G1759,0)</f>
        <v/>
      </c>
      <c r="AS1759" s="14">
        <f>F1759*AR1759*in_two_wheeler_ticket*in_two_wheeler_comm*in_ins_partner_share+F1759*in_two_wheeler_ticket*in_two_wheeler_comm*in_ins_partner_share*(in_two_wheeler_renew^1*SUMIFS(AR1754:AR1765,B1754:B1765,B1759-12)+in_two_wheeler_renew^2*SUMIFS(AR1754:AR1765,B1754:B1765,B1759-24)+in_two_wheeler_renew^3*SUMIFS(AR1754:AR1765,B1754:B1765,B1759-36)+in_two_wheeler_renew^4*SUMIFS(AR1754:AR1765,B1754:B1765,B1759-48))</f>
        <v/>
      </c>
      <c r="AT1759" s="40">
        <f>AT1758*(1-IF(B1758&gt;=in_marketplace_from,d_hz_device*G1758,0))</f>
        <v/>
      </c>
      <c r="AU1759" s="14">
        <f>F1759*AT1759*IF(B1759&gt;=in_marketplace_from,d_hz_device*G1759,0)*in_device_ticket*in_device_comm*in_ins_partner_share</f>
        <v/>
      </c>
      <c r="AV1759" s="40">
        <f>AV1758*(1-IF(B1758&gt;=in_marketplace_from,d_hz_shop*G1758,0))</f>
        <v/>
      </c>
      <c r="AW1759" s="46">
        <f>AV1759*IF(B1759&gt;=in_marketplace_from,d_hz_shop*G1759,0)</f>
        <v/>
      </c>
      <c r="AX1759" s="14">
        <f>F1759*AW1759*in_shop_ticket*in_shop_comm*in_ins_partner_share+F1759*in_shop_ticket*in_shop_renew_comm*in_ins_partner_share*(in_shop_renew^1*SUMIFS(AW1754:AW1765,B1754:B1765,B1759-12)+in_shop_renew^2*SUMIFS(AW1754:AW1765,B1754:B1765,B1759-24)+in_shop_renew^3*SUMIFS(AW1754:AW1765,B1754:B1765,B1759-36)+in_shop_renew^4*SUMIFS(AW1754:AW1765,B1754:B1765,B1759-48))</f>
        <v/>
      </c>
      <c r="AY1759" s="40">
        <f>AY1758*(1-IF(B1758&gt;=in_marketplace_from,d_hz_sip*G1758,0))</f>
        <v/>
      </c>
      <c r="AZ1759" s="40">
        <f>AZ1758*d_rho_sip+AY1759*IF(B1759&gt;=in_marketplace_from,d_hz_sip*G1759,0)</f>
        <v/>
      </c>
      <c r="BA1759" s="40">
        <f>d_rho_sip*(BA1758+AZ1758)</f>
        <v/>
      </c>
      <c r="BB1759" s="14">
        <f>F1759*in_sip_ticket*(BA1759+0.5*AZ1759)*in_sip_comm/12</f>
        <v/>
      </c>
      <c r="BC1759" s="40">
        <f>BC1758*(1-IF(B1758&gt;=in_marketplace_from,d_hz_choti*G1758,0))</f>
        <v/>
      </c>
      <c r="BD1759" s="46">
        <f>BC1759*IF(B1759&gt;=in_marketplace_from,d_hz_choti*G1759,0)</f>
        <v/>
      </c>
      <c r="BE1759" s="14">
        <f>F1759*SUMIFS(BD1754:BD1765,B1754:B1765,B1759-in_choti_months)*in_choti_renew*in_choti_ticket</f>
        <v/>
      </c>
      <c r="BF1759" s="40">
        <f>BF1758*(1-IF(B1758&gt;=in_marketplace_from,d_hz_nps*G1758,0))</f>
        <v/>
      </c>
      <c r="BG1759" s="14">
        <f>F1759*BF1759*IF(B1759&gt;=in_marketplace_from,d_hz_nps*G1759,0)*in_nps_ticket*in_nps_comm</f>
        <v/>
      </c>
      <c r="BH1759" s="40">
        <f>BH1758*(1-IF(B1758&gt;=in_marketplace_from,d_hz_gold*G1758,0))</f>
        <v/>
      </c>
      <c r="BI1759" s="40">
        <f>BI1758*d_rho_gold+BH1759*IF(B1759&gt;=in_marketplace_from,d_hz_gold*G1759,0)</f>
        <v/>
      </c>
      <c r="BJ1759" s="14">
        <f>F1759*BI1759*in_gold_ticket*in_gold_comm</f>
        <v/>
      </c>
      <c r="BK1759" s="40">
        <f>BK1758*(1-IF(B1758&gt;=in_marketplace_from,d_hz_fd*G1758,0))</f>
        <v/>
      </c>
      <c r="BL1759" s="14">
        <f>F1759*BK1759*IF(B1759&gt;=in_marketplace_from,d_hz_fd*G1759,0)*in_fd_ticket*in_fd_comm</f>
        <v/>
      </c>
      <c r="BM1759" s="40">
        <f>BM1758*(1-IF(B1758&gt;=in_marketplace_from,d_hz_recharge*G1758,0))</f>
        <v/>
      </c>
      <c r="BN1759" s="40">
        <f>BN1758*d_rho_recharge+BM1759*IF(B1759&gt;=in_marketplace_from,d_hz_recharge*G1759,0)</f>
        <v/>
      </c>
      <c r="BO1759" s="14">
        <f>F1759*BN1759*in_recharge_ticket*in_recharge_comm/12</f>
        <v/>
      </c>
      <c r="BP1759" s="40">
        <f>BP1758*(1-IF(B1758&gt;=in_marketplace_from,d_hz_bills*G1758,0))</f>
        <v/>
      </c>
      <c r="BQ1759" s="40">
        <f>BQ1758*d_rho_bills+BP1759*IF(B1759&gt;=in_marketplace_from,d_hz_bills*G1759,0)</f>
        <v/>
      </c>
      <c r="BR1759" s="14">
        <f>F1759*BQ1759*in_bills_ticket*in_bills_comm/12</f>
        <v/>
      </c>
      <c r="BS1759" s="40">
        <f>BS1758*(1-IF(B1758&gt;=in_marketplace_from,d_hz_loan_gold*G1758,0))</f>
        <v/>
      </c>
      <c r="BT1759" s="14">
        <f>F1759*BS1759*IF(B1759&gt;=in_marketplace_from,d_hz_loan_gold*G1759,0)*in_loan_gold_ticket*in_loan_gold_comm</f>
        <v/>
      </c>
      <c r="BU1759" s="40">
        <f>BU1758*(1-IF(B1758&gt;=in_marketplace_from,d_hz_loan_cd*G1758,0))</f>
        <v/>
      </c>
      <c r="BV1759" s="14">
        <f>F1759*BU1759*IF(B1759&gt;=in_marketplace_from,d_hz_loan_cd*G1759,0)*in_loan_cd_ticket*in_loan_cd_comm</f>
        <v/>
      </c>
      <c r="BW1759" s="40">
        <f>BW1758*(1-IF(B1758&gt;=in_marketplace_from,d_hz_loan_vehicle*G1758,0))</f>
        <v/>
      </c>
      <c r="BX1759" s="14">
        <f>F1759*BW1759*IF(B1759&gt;=in_marketplace_from,d_hz_loan_vehicle*G1759,0)*in_loan_vehicle_ticket*in_loan_vehicle_comm</f>
        <v/>
      </c>
      <c r="BY1759" s="40">
        <f>BY1758*(1-IF(B1758&gt;=in_marketplace_from,d_hz_loan_home*G1758,0)*BZ1758)</f>
        <v/>
      </c>
      <c r="BZ1759" s="11">
        <f>MIN(in_approval_cap,in_loan_home_approval*INDEX('Age profile'!$O$2:$O$61,B1759)*(1+in_approval_growth)^(D1759-1))</f>
        <v/>
      </c>
      <c r="CA1759" s="14">
        <f>F1759*BY1759*IF(B1759&gt;=in_marketplace_from,d_hz_loan_home*G1759,0)*BZ1759*in_loan_home_ticket*in_loan_home_comm</f>
        <v/>
      </c>
      <c r="CB1759" s="40">
        <f>CB1758*(1-IF(B1758&gt;=in_marketplace_from,d_hz_loan_lap*G1758,0)*CC1758)</f>
        <v/>
      </c>
      <c r="CC1759" s="11">
        <f>MIN(in_approval_cap,in_loan_lap_approval*INDEX('Age profile'!$O$2:$O$61,B1759)*(1+in_approval_growth)^(D1759-1))</f>
        <v/>
      </c>
      <c r="CD1759" s="14">
        <f>F1759*CB1759*IF(B1759&gt;=in_marketplace_from,d_hz_loan_lap*G1759,0)*CC1759*in_loan_lap_ticket*in_loan_lap_comm</f>
        <v/>
      </c>
      <c r="CE1759" s="14">
        <f>AA1759+AB1759+AC1759+AD1759+AG1759+AJ1759+AM1759+AP1759+AS1759+AU1759+AX1759+BB1759+BE1759+BG1759+BJ1759+BL1759+BO1759+BR1759+BT1759+BV1759+BX1759+CA1759+CD1759</f>
        <v/>
      </c>
    </row>
    <row r="1760">
      <c r="A1760" s="39" t="n">
        <v>49</v>
      </c>
      <c r="B1760" s="39" t="n">
        <v>7</v>
      </c>
      <c r="C1760" s="39">
        <f>A1760+B1760-1</f>
        <v/>
      </c>
      <c r="D1760" s="39">
        <f>INT((C1760-1)/12)+1</f>
        <v/>
      </c>
      <c r="E1760" s="44">
        <f>INDEX(Monthly!$B$2:$B$61,A1760)</f>
        <v/>
      </c>
      <c r="F1760" s="44">
        <f>E1760*INDEX('Age profile'!$B$2:$B$61,B1760)</f>
        <v/>
      </c>
      <c r="G1760" s="45">
        <f>MIN(in_takeup_cap,INDEX('Age profile'!$N$2:$N$61,B1760)*(1+in_takeup_growth)^(D1760-1))</f>
        <v/>
      </c>
      <c r="H1760" s="11">
        <f>MIN(in_approval_cap,in_approved_first*INDEX('Age profile'!$O$2:$O$61,B1760)*(1+in_approval_growth)^(D1760-1))</f>
        <v/>
      </c>
      <c r="I1760" s="45">
        <f>G1760*MIN(in_takeup_cap,INDEX('Age profile'!$O$2:$O$61,B1760)*(1+in_approval_growth)^(D1760-1))</f>
        <v/>
      </c>
      <c r="J1760" s="40">
        <f>(J1759-L1759)*F1760/F1759</f>
        <v/>
      </c>
      <c r="K1760" s="40">
        <f>(K1759-M1759)*F1760/F1759+SUMIFS(O1754:O1759,B1754:B1759,B1760-1-d_T)*F1760</f>
        <v/>
      </c>
      <c r="L1760" s="40">
        <f>IF(B1760&gt;=in_marketplace_from,J1760*d_hz*G1760*in_eligible*H1760,0)</f>
        <v/>
      </c>
      <c r="M1760" s="40">
        <f>IF(B1760&gt;=in_marketplace_from,K1760*d_hz*G1760*in_eligible*in_approved_repeat,0)</f>
        <v/>
      </c>
      <c r="N1760" s="40">
        <f>L1760+M1760</f>
        <v/>
      </c>
      <c r="O1760" s="46">
        <f>N1760/F1760</f>
        <v/>
      </c>
      <c r="P1760" s="40">
        <f>F1760-J1760-K1760</f>
        <v/>
      </c>
      <c r="Q1760" s="40">
        <f>IF(B1760&gt;=in_marketplace_from,(J1760+K1760)*d_hz*G1760,0)</f>
        <v/>
      </c>
      <c r="R1760" s="40">
        <f>SUMIFS(N1754:N1765,B1754:B1765,"&gt;="&amp;(B1760-d_T),B1754:B1765,"&lt;="&amp;(B1760-1))</f>
        <v/>
      </c>
      <c r="S1760" s="46">
        <f>(1-d_u)*S1759+IF(d_T&gt;in_topup_lag,SUMIFS(O1754:O1765,B1754:B1765,B1760-in_topup_lag)-d_udrop*SUMIFS(O1754:O1765,B1754:B1765,B1760-d_T),0)</f>
        <v/>
      </c>
      <c r="T1760" s="40">
        <f>F1760*d_u*S1760</f>
        <v/>
      </c>
      <c r="U1760" s="9">
        <f>L1760*in_ticket+M1760*d_rep_ticket</f>
        <v/>
      </c>
      <c r="V1760" s="9">
        <f>U1760+T1760*d_topup_amt</f>
        <v/>
      </c>
      <c r="W1760" s="40">
        <f>N1760+T1760*d_topup_ratio</f>
        <v/>
      </c>
      <c r="X1760" s="40">
        <f>SUMIFS(W1754:W1765,B1754:B1765,B1760-in_dpd_lag)*d_cured</f>
        <v/>
      </c>
      <c r="Y1760" s="40">
        <f>SUMIFS(W1754:W1765,B1754:B1765,B1760-in_rec_lag)*d_recd</f>
        <v/>
      </c>
      <c r="Z1760" s="40">
        <f>IF(AND(B1760&gt;=in_marketplace_from,B1760&lt;in_marketplace_from+in_card_months),in_card_share/in_card_months*F1760*I1760,IF(AND(B1760&gt;=in_marketplace_from+in_card_months,B1760&lt;in_marketplace_from+2*in_card_months),in_card_share*d_card_rem/in_card_months*F1760*MIN(in_takeup_cap,(1+in_takeup_growth)^(D1760-1))*MIN(in_takeup_cap,(1+in_approval_growth)^(D1760-1)),0))</f>
        <v/>
      </c>
      <c r="AA1760" s="14">
        <f>V1760*in_fee*(1-in_taken_back)</f>
        <v/>
      </c>
      <c r="AB1760" s="14">
        <f>SUMIFS(W1754:W1765,B1754:B1765,B1760-in_dpd_lag)*d_dpd</f>
        <v/>
      </c>
      <c r="AC1760" s="14">
        <f>SUMIFS(W1754:W1765,B1754:B1765,B1760-in_rec_lag)*d_rec</f>
        <v/>
      </c>
      <c r="AD1760" s="14">
        <f>Z1760*in_card_fee</f>
        <v/>
      </c>
      <c r="AE1760" s="40">
        <f>AE1759*(1-IF(B1759&gt;=in_marketplace_from,d_hz_hlth_small*G1759,0))</f>
        <v/>
      </c>
      <c r="AF1760" s="46">
        <f>AE1760*IF(B1760&gt;=in_marketplace_from,d_hz_hlth_small*G1760,0)</f>
        <v/>
      </c>
      <c r="AG1760" s="14">
        <f>F1760*AF1760*in_hlth_small_ticket*in_hlth_small_comm*in_ins_partner_share+F1760*in_hlth_small_ticket*in_hlth_small_renew_comm*in_ins_partner_share*(in_hlth_small_renew^1*SUMIFS(AF1754:AF1765,B1754:B1765,B1760-12)+in_hlth_small_renew^2*SUMIFS(AF1754:AF1765,B1754:B1765,B1760-24)+in_hlth_small_renew^3*SUMIFS(AF1754:AF1765,B1754:B1765,B1760-36)+in_hlth_small_renew^4*SUMIFS(AF1754:AF1765,B1754:B1765,B1760-48))</f>
        <v/>
      </c>
      <c r="AH1760" s="40">
        <f>AH1759*(1-IF(B1759&gt;=in_marketplace_from,d_hz_hlth_family*G1759,0))</f>
        <v/>
      </c>
      <c r="AI1760" s="46">
        <f>AH1760*IF(B1760&gt;=in_marketplace_from,d_hz_hlth_family*G1760,0)</f>
        <v/>
      </c>
      <c r="AJ1760" s="14">
        <f>F1760*AI1760*in_hlth_family_ticket*in_hlth_family_comm*in_ins_partner_share+F1760*in_hlth_family_ticket*in_hlth_family_renew_comm*in_ins_partner_share*(in_hlth_family_renew^1*SUMIFS(AI1754:AI1765,B1754:B1765,B1760-12)+in_hlth_family_renew^2*SUMIFS(AI1754:AI1765,B1754:B1765,B1760-24)+in_hlth_family_renew^3*SUMIFS(AI1754:AI1765,B1754:B1765,B1760-36)+in_hlth_family_renew^4*SUMIFS(AI1754:AI1765,B1754:B1765,B1760-48))</f>
        <v/>
      </c>
      <c r="AK1760" s="40">
        <f>AK1759*(1-IF(B1759&gt;=in_marketplace_from,d_hz_life_term*G1759,0))</f>
        <v/>
      </c>
      <c r="AL1760" s="46">
        <f>AK1760*IF(B1760&gt;=in_marketplace_from,d_hz_life_term*G1760,0)</f>
        <v/>
      </c>
      <c r="AM1760" s="14">
        <f>F1760*AL1760*in_life_term_ticket*in_life_term_comm*in_ins_partner_share+F1760*in_life_term_ticket*in_life_term_renew_comm*in_ins_partner_share*(in_life_term_renew^1*SUMIFS(AL1754:AL1765,B1754:B1765,B1760-12)+in_life_term_renew^2*SUMIFS(AL1754:AL1765,B1754:B1765,B1760-24)+in_life_term_renew^3*SUMIFS(AL1754:AL1765,B1754:B1765,B1760-36)+in_life_term_renew^4*SUMIFS(AL1754:AL1765,B1754:B1765,B1760-48))</f>
        <v/>
      </c>
      <c r="AN1760" s="40">
        <f>AN1759*(1-IF(B1759&gt;=in_marketplace_from,d_hz_accident*G1759,0))</f>
        <v/>
      </c>
      <c r="AO1760" s="46">
        <f>AN1760*IF(B1760&gt;=in_marketplace_from,d_hz_accident*G1760,0)</f>
        <v/>
      </c>
      <c r="AP1760" s="14">
        <f>F1760*AO1760*in_accident_ticket*in_accident_comm*in_ins_partner_share+F1760*in_accident_ticket*in_accident_renew_comm*in_ins_partner_share*(in_accident_renew^1*SUMIFS(AO1754:AO1765,B1754:B1765,B1760-12)+in_accident_renew^2*SUMIFS(AO1754:AO1765,B1754:B1765,B1760-24)+in_accident_renew^3*SUMIFS(AO1754:AO1765,B1754:B1765,B1760-36)+in_accident_renew^4*SUMIFS(AO1754:AO1765,B1754:B1765,B1760-48))</f>
        <v/>
      </c>
      <c r="AQ1760" s="40">
        <f>AQ1759*(1-IF(B1759&gt;=in_marketplace_from,d_hz_two_wheeler*G1759,0))</f>
        <v/>
      </c>
      <c r="AR1760" s="46">
        <f>AQ1760*IF(B1760&gt;=in_marketplace_from,d_hz_two_wheeler*G1760,0)</f>
        <v/>
      </c>
      <c r="AS1760" s="14">
        <f>F1760*AR1760*in_two_wheeler_ticket*in_two_wheeler_comm*in_ins_partner_share+F1760*in_two_wheeler_ticket*in_two_wheeler_comm*in_ins_partner_share*(in_two_wheeler_renew^1*SUMIFS(AR1754:AR1765,B1754:B1765,B1760-12)+in_two_wheeler_renew^2*SUMIFS(AR1754:AR1765,B1754:B1765,B1760-24)+in_two_wheeler_renew^3*SUMIFS(AR1754:AR1765,B1754:B1765,B1760-36)+in_two_wheeler_renew^4*SUMIFS(AR1754:AR1765,B1754:B1765,B1760-48))</f>
        <v/>
      </c>
      <c r="AT1760" s="40">
        <f>AT1759*(1-IF(B1759&gt;=in_marketplace_from,d_hz_device*G1759,0))</f>
        <v/>
      </c>
      <c r="AU1760" s="14">
        <f>F1760*AT1760*IF(B1760&gt;=in_marketplace_from,d_hz_device*G1760,0)*in_device_ticket*in_device_comm*in_ins_partner_share</f>
        <v/>
      </c>
      <c r="AV1760" s="40">
        <f>AV1759*(1-IF(B1759&gt;=in_marketplace_from,d_hz_shop*G1759,0))</f>
        <v/>
      </c>
      <c r="AW1760" s="46">
        <f>AV1760*IF(B1760&gt;=in_marketplace_from,d_hz_shop*G1760,0)</f>
        <v/>
      </c>
      <c r="AX1760" s="14">
        <f>F1760*AW1760*in_shop_ticket*in_shop_comm*in_ins_partner_share+F1760*in_shop_ticket*in_shop_renew_comm*in_ins_partner_share*(in_shop_renew^1*SUMIFS(AW1754:AW1765,B1754:B1765,B1760-12)+in_shop_renew^2*SUMIFS(AW1754:AW1765,B1754:B1765,B1760-24)+in_shop_renew^3*SUMIFS(AW1754:AW1765,B1754:B1765,B1760-36)+in_shop_renew^4*SUMIFS(AW1754:AW1765,B1754:B1765,B1760-48))</f>
        <v/>
      </c>
      <c r="AY1760" s="40">
        <f>AY1759*(1-IF(B1759&gt;=in_marketplace_from,d_hz_sip*G1759,0))</f>
        <v/>
      </c>
      <c r="AZ1760" s="40">
        <f>AZ1759*d_rho_sip+AY1760*IF(B1760&gt;=in_marketplace_from,d_hz_sip*G1760,0)</f>
        <v/>
      </c>
      <c r="BA1760" s="40">
        <f>d_rho_sip*(BA1759+AZ1759)</f>
        <v/>
      </c>
      <c r="BB1760" s="14">
        <f>F1760*in_sip_ticket*(BA1760+0.5*AZ1760)*in_sip_comm/12</f>
        <v/>
      </c>
      <c r="BC1760" s="40">
        <f>BC1759*(1-IF(B1759&gt;=in_marketplace_from,d_hz_choti*G1759,0))</f>
        <v/>
      </c>
      <c r="BD1760" s="46">
        <f>BC1760*IF(B1760&gt;=in_marketplace_from,d_hz_choti*G1760,0)</f>
        <v/>
      </c>
      <c r="BE1760" s="14">
        <f>F1760*SUMIFS(BD1754:BD1765,B1754:B1765,B1760-in_choti_months)*in_choti_renew*in_choti_ticket</f>
        <v/>
      </c>
      <c r="BF1760" s="40">
        <f>BF1759*(1-IF(B1759&gt;=in_marketplace_from,d_hz_nps*G1759,0))</f>
        <v/>
      </c>
      <c r="BG1760" s="14">
        <f>F1760*BF1760*IF(B1760&gt;=in_marketplace_from,d_hz_nps*G1760,0)*in_nps_ticket*in_nps_comm</f>
        <v/>
      </c>
      <c r="BH1760" s="40">
        <f>BH1759*(1-IF(B1759&gt;=in_marketplace_from,d_hz_gold*G1759,0))</f>
        <v/>
      </c>
      <c r="BI1760" s="40">
        <f>BI1759*d_rho_gold+BH1760*IF(B1760&gt;=in_marketplace_from,d_hz_gold*G1760,0)</f>
        <v/>
      </c>
      <c r="BJ1760" s="14">
        <f>F1760*BI1760*in_gold_ticket*in_gold_comm</f>
        <v/>
      </c>
      <c r="BK1760" s="40">
        <f>BK1759*(1-IF(B1759&gt;=in_marketplace_from,d_hz_fd*G1759,0))</f>
        <v/>
      </c>
      <c r="BL1760" s="14">
        <f>F1760*BK1760*IF(B1760&gt;=in_marketplace_from,d_hz_fd*G1760,0)*in_fd_ticket*in_fd_comm</f>
        <v/>
      </c>
      <c r="BM1760" s="40">
        <f>BM1759*(1-IF(B1759&gt;=in_marketplace_from,d_hz_recharge*G1759,0))</f>
        <v/>
      </c>
      <c r="BN1760" s="40">
        <f>BN1759*d_rho_recharge+BM1760*IF(B1760&gt;=in_marketplace_from,d_hz_recharge*G1760,0)</f>
        <v/>
      </c>
      <c r="BO1760" s="14">
        <f>F1760*BN1760*in_recharge_ticket*in_recharge_comm/12</f>
        <v/>
      </c>
      <c r="BP1760" s="40">
        <f>BP1759*(1-IF(B1759&gt;=in_marketplace_from,d_hz_bills*G1759,0))</f>
        <v/>
      </c>
      <c r="BQ1760" s="40">
        <f>BQ1759*d_rho_bills+BP1760*IF(B1760&gt;=in_marketplace_from,d_hz_bills*G1760,0)</f>
        <v/>
      </c>
      <c r="BR1760" s="14">
        <f>F1760*BQ1760*in_bills_ticket*in_bills_comm/12</f>
        <v/>
      </c>
      <c r="BS1760" s="40">
        <f>BS1759*(1-IF(B1759&gt;=in_marketplace_from,d_hz_loan_gold*G1759,0))</f>
        <v/>
      </c>
      <c r="BT1760" s="14">
        <f>F1760*BS1760*IF(B1760&gt;=in_marketplace_from,d_hz_loan_gold*G1760,0)*in_loan_gold_ticket*in_loan_gold_comm</f>
        <v/>
      </c>
      <c r="BU1760" s="40">
        <f>BU1759*(1-IF(B1759&gt;=in_marketplace_from,d_hz_loan_cd*G1759,0))</f>
        <v/>
      </c>
      <c r="BV1760" s="14">
        <f>F1760*BU1760*IF(B1760&gt;=in_marketplace_from,d_hz_loan_cd*G1760,0)*in_loan_cd_ticket*in_loan_cd_comm</f>
        <v/>
      </c>
      <c r="BW1760" s="40">
        <f>BW1759*(1-IF(B1759&gt;=in_marketplace_from,d_hz_loan_vehicle*G1759,0))</f>
        <v/>
      </c>
      <c r="BX1760" s="14">
        <f>F1760*BW1760*IF(B1760&gt;=in_marketplace_from,d_hz_loan_vehicle*G1760,0)*in_loan_vehicle_ticket*in_loan_vehicle_comm</f>
        <v/>
      </c>
      <c r="BY1760" s="40">
        <f>BY1759*(1-IF(B1759&gt;=in_marketplace_from,d_hz_loan_home*G1759,0)*BZ1759)</f>
        <v/>
      </c>
      <c r="BZ1760" s="11">
        <f>MIN(in_approval_cap,in_loan_home_approval*INDEX('Age profile'!$O$2:$O$61,B1760)*(1+in_approval_growth)^(D1760-1))</f>
        <v/>
      </c>
      <c r="CA1760" s="14">
        <f>F1760*BY1760*IF(B1760&gt;=in_marketplace_from,d_hz_loan_home*G1760,0)*BZ1760*in_loan_home_ticket*in_loan_home_comm</f>
        <v/>
      </c>
      <c r="CB1760" s="40">
        <f>CB1759*(1-IF(B1759&gt;=in_marketplace_from,d_hz_loan_lap*G1759,0)*CC1759)</f>
        <v/>
      </c>
      <c r="CC1760" s="11">
        <f>MIN(in_approval_cap,in_loan_lap_approval*INDEX('Age profile'!$O$2:$O$61,B1760)*(1+in_approval_growth)^(D1760-1))</f>
        <v/>
      </c>
      <c r="CD1760" s="14">
        <f>F1760*CB1760*IF(B1760&gt;=in_marketplace_from,d_hz_loan_lap*G1760,0)*CC1760*in_loan_lap_ticket*in_loan_lap_comm</f>
        <v/>
      </c>
      <c r="CE1760" s="14">
        <f>AA1760+AB1760+AC1760+AD1760+AG1760+AJ1760+AM1760+AP1760+AS1760+AU1760+AX1760+BB1760+BE1760+BG1760+BJ1760+BL1760+BO1760+BR1760+BT1760+BV1760+BX1760+CA1760+CD1760</f>
        <v/>
      </c>
    </row>
    <row r="1761">
      <c r="A1761" s="39" t="n">
        <v>49</v>
      </c>
      <c r="B1761" s="39" t="n">
        <v>8</v>
      </c>
      <c r="C1761" s="39">
        <f>A1761+B1761-1</f>
        <v/>
      </c>
      <c r="D1761" s="39">
        <f>INT((C1761-1)/12)+1</f>
        <v/>
      </c>
      <c r="E1761" s="44">
        <f>INDEX(Monthly!$B$2:$B$61,A1761)</f>
        <v/>
      </c>
      <c r="F1761" s="44">
        <f>E1761*INDEX('Age profile'!$B$2:$B$61,B1761)</f>
        <v/>
      </c>
      <c r="G1761" s="45">
        <f>MIN(in_takeup_cap,INDEX('Age profile'!$N$2:$N$61,B1761)*(1+in_takeup_growth)^(D1761-1))</f>
        <v/>
      </c>
      <c r="H1761" s="11">
        <f>MIN(in_approval_cap,in_approved_first*INDEX('Age profile'!$O$2:$O$61,B1761)*(1+in_approval_growth)^(D1761-1))</f>
        <v/>
      </c>
      <c r="I1761" s="45">
        <f>G1761*MIN(in_takeup_cap,INDEX('Age profile'!$O$2:$O$61,B1761)*(1+in_approval_growth)^(D1761-1))</f>
        <v/>
      </c>
      <c r="J1761" s="40">
        <f>(J1760-L1760)*F1761/F1760</f>
        <v/>
      </c>
      <c r="K1761" s="40">
        <f>(K1760-M1760)*F1761/F1760+SUMIFS(O1754:O1760,B1754:B1760,B1761-1-d_T)*F1761</f>
        <v/>
      </c>
      <c r="L1761" s="40">
        <f>IF(B1761&gt;=in_marketplace_from,J1761*d_hz*G1761*in_eligible*H1761,0)</f>
        <v/>
      </c>
      <c r="M1761" s="40">
        <f>IF(B1761&gt;=in_marketplace_from,K1761*d_hz*G1761*in_eligible*in_approved_repeat,0)</f>
        <v/>
      </c>
      <c r="N1761" s="40">
        <f>L1761+M1761</f>
        <v/>
      </c>
      <c r="O1761" s="46">
        <f>N1761/F1761</f>
        <v/>
      </c>
      <c r="P1761" s="40">
        <f>F1761-J1761-K1761</f>
        <v/>
      </c>
      <c r="Q1761" s="40">
        <f>IF(B1761&gt;=in_marketplace_from,(J1761+K1761)*d_hz*G1761,0)</f>
        <v/>
      </c>
      <c r="R1761" s="40">
        <f>SUMIFS(N1754:N1765,B1754:B1765,"&gt;="&amp;(B1761-d_T),B1754:B1765,"&lt;="&amp;(B1761-1))</f>
        <v/>
      </c>
      <c r="S1761" s="46">
        <f>(1-d_u)*S1760+IF(d_T&gt;in_topup_lag,SUMIFS(O1754:O1765,B1754:B1765,B1761-in_topup_lag)-d_udrop*SUMIFS(O1754:O1765,B1754:B1765,B1761-d_T),0)</f>
        <v/>
      </c>
      <c r="T1761" s="40">
        <f>F1761*d_u*S1761</f>
        <v/>
      </c>
      <c r="U1761" s="9">
        <f>L1761*in_ticket+M1761*d_rep_ticket</f>
        <v/>
      </c>
      <c r="V1761" s="9">
        <f>U1761+T1761*d_topup_amt</f>
        <v/>
      </c>
      <c r="W1761" s="40">
        <f>N1761+T1761*d_topup_ratio</f>
        <v/>
      </c>
      <c r="X1761" s="40">
        <f>SUMIFS(W1754:W1765,B1754:B1765,B1761-in_dpd_lag)*d_cured</f>
        <v/>
      </c>
      <c r="Y1761" s="40">
        <f>SUMIFS(W1754:W1765,B1754:B1765,B1761-in_rec_lag)*d_recd</f>
        <v/>
      </c>
      <c r="Z1761" s="40">
        <f>IF(AND(B1761&gt;=in_marketplace_from,B1761&lt;in_marketplace_from+in_card_months),in_card_share/in_card_months*F1761*I1761,IF(AND(B1761&gt;=in_marketplace_from+in_card_months,B1761&lt;in_marketplace_from+2*in_card_months),in_card_share*d_card_rem/in_card_months*F1761*MIN(in_takeup_cap,(1+in_takeup_growth)^(D1761-1))*MIN(in_takeup_cap,(1+in_approval_growth)^(D1761-1)),0))</f>
        <v/>
      </c>
      <c r="AA1761" s="14">
        <f>V1761*in_fee*(1-in_taken_back)</f>
        <v/>
      </c>
      <c r="AB1761" s="14">
        <f>SUMIFS(W1754:W1765,B1754:B1765,B1761-in_dpd_lag)*d_dpd</f>
        <v/>
      </c>
      <c r="AC1761" s="14">
        <f>SUMIFS(W1754:W1765,B1754:B1765,B1761-in_rec_lag)*d_rec</f>
        <v/>
      </c>
      <c r="AD1761" s="14">
        <f>Z1761*in_card_fee</f>
        <v/>
      </c>
      <c r="AE1761" s="40">
        <f>AE1760*(1-IF(B1760&gt;=in_marketplace_from,d_hz_hlth_small*G1760,0))</f>
        <v/>
      </c>
      <c r="AF1761" s="46">
        <f>AE1761*IF(B1761&gt;=in_marketplace_from,d_hz_hlth_small*G1761,0)</f>
        <v/>
      </c>
      <c r="AG1761" s="14">
        <f>F1761*AF1761*in_hlth_small_ticket*in_hlth_small_comm*in_ins_partner_share+F1761*in_hlth_small_ticket*in_hlth_small_renew_comm*in_ins_partner_share*(in_hlth_small_renew^1*SUMIFS(AF1754:AF1765,B1754:B1765,B1761-12)+in_hlth_small_renew^2*SUMIFS(AF1754:AF1765,B1754:B1765,B1761-24)+in_hlth_small_renew^3*SUMIFS(AF1754:AF1765,B1754:B1765,B1761-36)+in_hlth_small_renew^4*SUMIFS(AF1754:AF1765,B1754:B1765,B1761-48))</f>
        <v/>
      </c>
      <c r="AH1761" s="40">
        <f>AH1760*(1-IF(B1760&gt;=in_marketplace_from,d_hz_hlth_family*G1760,0))</f>
        <v/>
      </c>
      <c r="AI1761" s="46">
        <f>AH1761*IF(B1761&gt;=in_marketplace_from,d_hz_hlth_family*G1761,0)</f>
        <v/>
      </c>
      <c r="AJ1761" s="14">
        <f>F1761*AI1761*in_hlth_family_ticket*in_hlth_family_comm*in_ins_partner_share+F1761*in_hlth_family_ticket*in_hlth_family_renew_comm*in_ins_partner_share*(in_hlth_family_renew^1*SUMIFS(AI1754:AI1765,B1754:B1765,B1761-12)+in_hlth_family_renew^2*SUMIFS(AI1754:AI1765,B1754:B1765,B1761-24)+in_hlth_family_renew^3*SUMIFS(AI1754:AI1765,B1754:B1765,B1761-36)+in_hlth_family_renew^4*SUMIFS(AI1754:AI1765,B1754:B1765,B1761-48))</f>
        <v/>
      </c>
      <c r="AK1761" s="40">
        <f>AK1760*(1-IF(B1760&gt;=in_marketplace_from,d_hz_life_term*G1760,0))</f>
        <v/>
      </c>
      <c r="AL1761" s="46">
        <f>AK1761*IF(B1761&gt;=in_marketplace_from,d_hz_life_term*G1761,0)</f>
        <v/>
      </c>
      <c r="AM1761" s="14">
        <f>F1761*AL1761*in_life_term_ticket*in_life_term_comm*in_ins_partner_share+F1761*in_life_term_ticket*in_life_term_renew_comm*in_ins_partner_share*(in_life_term_renew^1*SUMIFS(AL1754:AL1765,B1754:B1765,B1761-12)+in_life_term_renew^2*SUMIFS(AL1754:AL1765,B1754:B1765,B1761-24)+in_life_term_renew^3*SUMIFS(AL1754:AL1765,B1754:B1765,B1761-36)+in_life_term_renew^4*SUMIFS(AL1754:AL1765,B1754:B1765,B1761-48))</f>
        <v/>
      </c>
      <c r="AN1761" s="40">
        <f>AN1760*(1-IF(B1760&gt;=in_marketplace_from,d_hz_accident*G1760,0))</f>
        <v/>
      </c>
      <c r="AO1761" s="46">
        <f>AN1761*IF(B1761&gt;=in_marketplace_from,d_hz_accident*G1761,0)</f>
        <v/>
      </c>
      <c r="AP1761" s="14">
        <f>F1761*AO1761*in_accident_ticket*in_accident_comm*in_ins_partner_share+F1761*in_accident_ticket*in_accident_renew_comm*in_ins_partner_share*(in_accident_renew^1*SUMIFS(AO1754:AO1765,B1754:B1765,B1761-12)+in_accident_renew^2*SUMIFS(AO1754:AO1765,B1754:B1765,B1761-24)+in_accident_renew^3*SUMIFS(AO1754:AO1765,B1754:B1765,B1761-36)+in_accident_renew^4*SUMIFS(AO1754:AO1765,B1754:B1765,B1761-48))</f>
        <v/>
      </c>
      <c r="AQ1761" s="40">
        <f>AQ1760*(1-IF(B1760&gt;=in_marketplace_from,d_hz_two_wheeler*G1760,0))</f>
        <v/>
      </c>
      <c r="AR1761" s="46">
        <f>AQ1761*IF(B1761&gt;=in_marketplace_from,d_hz_two_wheeler*G1761,0)</f>
        <v/>
      </c>
      <c r="AS1761" s="14">
        <f>F1761*AR1761*in_two_wheeler_ticket*in_two_wheeler_comm*in_ins_partner_share+F1761*in_two_wheeler_ticket*in_two_wheeler_comm*in_ins_partner_share*(in_two_wheeler_renew^1*SUMIFS(AR1754:AR1765,B1754:B1765,B1761-12)+in_two_wheeler_renew^2*SUMIFS(AR1754:AR1765,B1754:B1765,B1761-24)+in_two_wheeler_renew^3*SUMIFS(AR1754:AR1765,B1754:B1765,B1761-36)+in_two_wheeler_renew^4*SUMIFS(AR1754:AR1765,B1754:B1765,B1761-48))</f>
        <v/>
      </c>
      <c r="AT1761" s="40">
        <f>AT1760*(1-IF(B1760&gt;=in_marketplace_from,d_hz_device*G1760,0))</f>
        <v/>
      </c>
      <c r="AU1761" s="14">
        <f>F1761*AT1761*IF(B1761&gt;=in_marketplace_from,d_hz_device*G1761,0)*in_device_ticket*in_device_comm*in_ins_partner_share</f>
        <v/>
      </c>
      <c r="AV1761" s="40">
        <f>AV1760*(1-IF(B1760&gt;=in_marketplace_from,d_hz_shop*G1760,0))</f>
        <v/>
      </c>
      <c r="AW1761" s="46">
        <f>AV1761*IF(B1761&gt;=in_marketplace_from,d_hz_shop*G1761,0)</f>
        <v/>
      </c>
      <c r="AX1761" s="14">
        <f>F1761*AW1761*in_shop_ticket*in_shop_comm*in_ins_partner_share+F1761*in_shop_ticket*in_shop_renew_comm*in_ins_partner_share*(in_shop_renew^1*SUMIFS(AW1754:AW1765,B1754:B1765,B1761-12)+in_shop_renew^2*SUMIFS(AW1754:AW1765,B1754:B1765,B1761-24)+in_shop_renew^3*SUMIFS(AW1754:AW1765,B1754:B1765,B1761-36)+in_shop_renew^4*SUMIFS(AW1754:AW1765,B1754:B1765,B1761-48))</f>
        <v/>
      </c>
      <c r="AY1761" s="40">
        <f>AY1760*(1-IF(B1760&gt;=in_marketplace_from,d_hz_sip*G1760,0))</f>
        <v/>
      </c>
      <c r="AZ1761" s="40">
        <f>AZ1760*d_rho_sip+AY1761*IF(B1761&gt;=in_marketplace_from,d_hz_sip*G1761,0)</f>
        <v/>
      </c>
      <c r="BA1761" s="40">
        <f>d_rho_sip*(BA1760+AZ1760)</f>
        <v/>
      </c>
      <c r="BB1761" s="14">
        <f>F1761*in_sip_ticket*(BA1761+0.5*AZ1761)*in_sip_comm/12</f>
        <v/>
      </c>
      <c r="BC1761" s="40">
        <f>BC1760*(1-IF(B1760&gt;=in_marketplace_from,d_hz_choti*G1760,0))</f>
        <v/>
      </c>
      <c r="BD1761" s="46">
        <f>BC1761*IF(B1761&gt;=in_marketplace_from,d_hz_choti*G1761,0)</f>
        <v/>
      </c>
      <c r="BE1761" s="14">
        <f>F1761*SUMIFS(BD1754:BD1765,B1754:B1765,B1761-in_choti_months)*in_choti_renew*in_choti_ticket</f>
        <v/>
      </c>
      <c r="BF1761" s="40">
        <f>BF1760*(1-IF(B1760&gt;=in_marketplace_from,d_hz_nps*G1760,0))</f>
        <v/>
      </c>
      <c r="BG1761" s="14">
        <f>F1761*BF1761*IF(B1761&gt;=in_marketplace_from,d_hz_nps*G1761,0)*in_nps_ticket*in_nps_comm</f>
        <v/>
      </c>
      <c r="BH1761" s="40">
        <f>BH1760*(1-IF(B1760&gt;=in_marketplace_from,d_hz_gold*G1760,0))</f>
        <v/>
      </c>
      <c r="BI1761" s="40">
        <f>BI1760*d_rho_gold+BH1761*IF(B1761&gt;=in_marketplace_from,d_hz_gold*G1761,0)</f>
        <v/>
      </c>
      <c r="BJ1761" s="14">
        <f>F1761*BI1761*in_gold_ticket*in_gold_comm</f>
        <v/>
      </c>
      <c r="BK1761" s="40">
        <f>BK1760*(1-IF(B1760&gt;=in_marketplace_from,d_hz_fd*G1760,0))</f>
        <v/>
      </c>
      <c r="BL1761" s="14">
        <f>F1761*BK1761*IF(B1761&gt;=in_marketplace_from,d_hz_fd*G1761,0)*in_fd_ticket*in_fd_comm</f>
        <v/>
      </c>
      <c r="BM1761" s="40">
        <f>BM1760*(1-IF(B1760&gt;=in_marketplace_from,d_hz_recharge*G1760,0))</f>
        <v/>
      </c>
      <c r="BN1761" s="40">
        <f>BN1760*d_rho_recharge+BM1761*IF(B1761&gt;=in_marketplace_from,d_hz_recharge*G1761,0)</f>
        <v/>
      </c>
      <c r="BO1761" s="14">
        <f>F1761*BN1761*in_recharge_ticket*in_recharge_comm/12</f>
        <v/>
      </c>
      <c r="BP1761" s="40">
        <f>BP1760*(1-IF(B1760&gt;=in_marketplace_from,d_hz_bills*G1760,0))</f>
        <v/>
      </c>
      <c r="BQ1761" s="40">
        <f>BQ1760*d_rho_bills+BP1761*IF(B1761&gt;=in_marketplace_from,d_hz_bills*G1761,0)</f>
        <v/>
      </c>
      <c r="BR1761" s="14">
        <f>F1761*BQ1761*in_bills_ticket*in_bills_comm/12</f>
        <v/>
      </c>
      <c r="BS1761" s="40">
        <f>BS1760*(1-IF(B1760&gt;=in_marketplace_from,d_hz_loan_gold*G1760,0))</f>
        <v/>
      </c>
      <c r="BT1761" s="14">
        <f>F1761*BS1761*IF(B1761&gt;=in_marketplace_from,d_hz_loan_gold*G1761,0)*in_loan_gold_ticket*in_loan_gold_comm</f>
        <v/>
      </c>
      <c r="BU1761" s="40">
        <f>BU1760*(1-IF(B1760&gt;=in_marketplace_from,d_hz_loan_cd*G1760,0))</f>
        <v/>
      </c>
      <c r="BV1761" s="14">
        <f>F1761*BU1761*IF(B1761&gt;=in_marketplace_from,d_hz_loan_cd*G1761,0)*in_loan_cd_ticket*in_loan_cd_comm</f>
        <v/>
      </c>
      <c r="BW1761" s="40">
        <f>BW1760*(1-IF(B1760&gt;=in_marketplace_from,d_hz_loan_vehicle*G1760,0))</f>
        <v/>
      </c>
      <c r="BX1761" s="14">
        <f>F1761*BW1761*IF(B1761&gt;=in_marketplace_from,d_hz_loan_vehicle*G1761,0)*in_loan_vehicle_ticket*in_loan_vehicle_comm</f>
        <v/>
      </c>
      <c r="BY1761" s="40">
        <f>BY1760*(1-IF(B1760&gt;=in_marketplace_from,d_hz_loan_home*G1760,0)*BZ1760)</f>
        <v/>
      </c>
      <c r="BZ1761" s="11">
        <f>MIN(in_approval_cap,in_loan_home_approval*INDEX('Age profile'!$O$2:$O$61,B1761)*(1+in_approval_growth)^(D1761-1))</f>
        <v/>
      </c>
      <c r="CA1761" s="14">
        <f>F1761*BY1761*IF(B1761&gt;=in_marketplace_from,d_hz_loan_home*G1761,0)*BZ1761*in_loan_home_ticket*in_loan_home_comm</f>
        <v/>
      </c>
      <c r="CB1761" s="40">
        <f>CB1760*(1-IF(B1760&gt;=in_marketplace_from,d_hz_loan_lap*G1760,0)*CC1760)</f>
        <v/>
      </c>
      <c r="CC1761" s="11">
        <f>MIN(in_approval_cap,in_loan_lap_approval*INDEX('Age profile'!$O$2:$O$61,B1761)*(1+in_approval_growth)^(D1761-1))</f>
        <v/>
      </c>
      <c r="CD1761" s="14">
        <f>F1761*CB1761*IF(B1761&gt;=in_marketplace_from,d_hz_loan_lap*G1761,0)*CC1761*in_loan_lap_ticket*in_loan_lap_comm</f>
        <v/>
      </c>
      <c r="CE1761" s="14">
        <f>AA1761+AB1761+AC1761+AD1761+AG1761+AJ1761+AM1761+AP1761+AS1761+AU1761+AX1761+BB1761+BE1761+BG1761+BJ1761+BL1761+BO1761+BR1761+BT1761+BV1761+BX1761+CA1761+CD1761</f>
        <v/>
      </c>
    </row>
    <row r="1762">
      <c r="A1762" s="39" t="n">
        <v>49</v>
      </c>
      <c r="B1762" s="39" t="n">
        <v>9</v>
      </c>
      <c r="C1762" s="39">
        <f>A1762+B1762-1</f>
        <v/>
      </c>
      <c r="D1762" s="39">
        <f>INT((C1762-1)/12)+1</f>
        <v/>
      </c>
      <c r="E1762" s="44">
        <f>INDEX(Monthly!$B$2:$B$61,A1762)</f>
        <v/>
      </c>
      <c r="F1762" s="44">
        <f>E1762*INDEX('Age profile'!$B$2:$B$61,B1762)</f>
        <v/>
      </c>
      <c r="G1762" s="45">
        <f>MIN(in_takeup_cap,INDEX('Age profile'!$N$2:$N$61,B1762)*(1+in_takeup_growth)^(D1762-1))</f>
        <v/>
      </c>
      <c r="H1762" s="11">
        <f>MIN(in_approval_cap,in_approved_first*INDEX('Age profile'!$O$2:$O$61,B1762)*(1+in_approval_growth)^(D1762-1))</f>
        <v/>
      </c>
      <c r="I1762" s="45">
        <f>G1762*MIN(in_takeup_cap,INDEX('Age profile'!$O$2:$O$61,B1762)*(1+in_approval_growth)^(D1762-1))</f>
        <v/>
      </c>
      <c r="J1762" s="40">
        <f>(J1761-L1761)*F1762/F1761</f>
        <v/>
      </c>
      <c r="K1762" s="40">
        <f>(K1761-M1761)*F1762/F1761+SUMIFS(O1754:O1761,B1754:B1761,B1762-1-d_T)*F1762</f>
        <v/>
      </c>
      <c r="L1762" s="40">
        <f>IF(B1762&gt;=in_marketplace_from,J1762*d_hz*G1762*in_eligible*H1762,0)</f>
        <v/>
      </c>
      <c r="M1762" s="40">
        <f>IF(B1762&gt;=in_marketplace_from,K1762*d_hz*G1762*in_eligible*in_approved_repeat,0)</f>
        <v/>
      </c>
      <c r="N1762" s="40">
        <f>L1762+M1762</f>
        <v/>
      </c>
      <c r="O1762" s="46">
        <f>N1762/F1762</f>
        <v/>
      </c>
      <c r="P1762" s="40">
        <f>F1762-J1762-K1762</f>
        <v/>
      </c>
      <c r="Q1762" s="40">
        <f>IF(B1762&gt;=in_marketplace_from,(J1762+K1762)*d_hz*G1762,0)</f>
        <v/>
      </c>
      <c r="R1762" s="40">
        <f>SUMIFS(N1754:N1765,B1754:B1765,"&gt;="&amp;(B1762-d_T),B1754:B1765,"&lt;="&amp;(B1762-1))</f>
        <v/>
      </c>
      <c r="S1762" s="46">
        <f>(1-d_u)*S1761+IF(d_T&gt;in_topup_lag,SUMIFS(O1754:O1765,B1754:B1765,B1762-in_topup_lag)-d_udrop*SUMIFS(O1754:O1765,B1754:B1765,B1762-d_T),0)</f>
        <v/>
      </c>
      <c r="T1762" s="40">
        <f>F1762*d_u*S1762</f>
        <v/>
      </c>
      <c r="U1762" s="9">
        <f>L1762*in_ticket+M1762*d_rep_ticket</f>
        <v/>
      </c>
      <c r="V1762" s="9">
        <f>U1762+T1762*d_topup_amt</f>
        <v/>
      </c>
      <c r="W1762" s="40">
        <f>N1762+T1762*d_topup_ratio</f>
        <v/>
      </c>
      <c r="X1762" s="40">
        <f>SUMIFS(W1754:W1765,B1754:B1765,B1762-in_dpd_lag)*d_cured</f>
        <v/>
      </c>
      <c r="Y1762" s="40">
        <f>SUMIFS(W1754:W1765,B1754:B1765,B1762-in_rec_lag)*d_recd</f>
        <v/>
      </c>
      <c r="Z1762" s="40">
        <f>IF(AND(B1762&gt;=in_marketplace_from,B1762&lt;in_marketplace_from+in_card_months),in_card_share/in_card_months*F1762*I1762,IF(AND(B1762&gt;=in_marketplace_from+in_card_months,B1762&lt;in_marketplace_from+2*in_card_months),in_card_share*d_card_rem/in_card_months*F1762*MIN(in_takeup_cap,(1+in_takeup_growth)^(D1762-1))*MIN(in_takeup_cap,(1+in_approval_growth)^(D1762-1)),0))</f>
        <v/>
      </c>
      <c r="AA1762" s="14">
        <f>V1762*in_fee*(1-in_taken_back)</f>
        <v/>
      </c>
      <c r="AB1762" s="14">
        <f>SUMIFS(W1754:W1765,B1754:B1765,B1762-in_dpd_lag)*d_dpd</f>
        <v/>
      </c>
      <c r="AC1762" s="14">
        <f>SUMIFS(W1754:W1765,B1754:B1765,B1762-in_rec_lag)*d_rec</f>
        <v/>
      </c>
      <c r="AD1762" s="14">
        <f>Z1762*in_card_fee</f>
        <v/>
      </c>
      <c r="AE1762" s="40">
        <f>AE1761*(1-IF(B1761&gt;=in_marketplace_from,d_hz_hlth_small*G1761,0))</f>
        <v/>
      </c>
      <c r="AF1762" s="46">
        <f>AE1762*IF(B1762&gt;=in_marketplace_from,d_hz_hlth_small*G1762,0)</f>
        <v/>
      </c>
      <c r="AG1762" s="14">
        <f>F1762*AF1762*in_hlth_small_ticket*in_hlth_small_comm*in_ins_partner_share+F1762*in_hlth_small_ticket*in_hlth_small_renew_comm*in_ins_partner_share*(in_hlth_small_renew^1*SUMIFS(AF1754:AF1765,B1754:B1765,B1762-12)+in_hlth_small_renew^2*SUMIFS(AF1754:AF1765,B1754:B1765,B1762-24)+in_hlth_small_renew^3*SUMIFS(AF1754:AF1765,B1754:B1765,B1762-36)+in_hlth_small_renew^4*SUMIFS(AF1754:AF1765,B1754:B1765,B1762-48))</f>
        <v/>
      </c>
      <c r="AH1762" s="40">
        <f>AH1761*(1-IF(B1761&gt;=in_marketplace_from,d_hz_hlth_family*G1761,0))</f>
        <v/>
      </c>
      <c r="AI1762" s="46">
        <f>AH1762*IF(B1762&gt;=in_marketplace_from,d_hz_hlth_family*G1762,0)</f>
        <v/>
      </c>
      <c r="AJ1762" s="14">
        <f>F1762*AI1762*in_hlth_family_ticket*in_hlth_family_comm*in_ins_partner_share+F1762*in_hlth_family_ticket*in_hlth_family_renew_comm*in_ins_partner_share*(in_hlth_family_renew^1*SUMIFS(AI1754:AI1765,B1754:B1765,B1762-12)+in_hlth_family_renew^2*SUMIFS(AI1754:AI1765,B1754:B1765,B1762-24)+in_hlth_family_renew^3*SUMIFS(AI1754:AI1765,B1754:B1765,B1762-36)+in_hlth_family_renew^4*SUMIFS(AI1754:AI1765,B1754:B1765,B1762-48))</f>
        <v/>
      </c>
      <c r="AK1762" s="40">
        <f>AK1761*(1-IF(B1761&gt;=in_marketplace_from,d_hz_life_term*G1761,0))</f>
        <v/>
      </c>
      <c r="AL1762" s="46">
        <f>AK1762*IF(B1762&gt;=in_marketplace_from,d_hz_life_term*G1762,0)</f>
        <v/>
      </c>
      <c r="AM1762" s="14">
        <f>F1762*AL1762*in_life_term_ticket*in_life_term_comm*in_ins_partner_share+F1762*in_life_term_ticket*in_life_term_renew_comm*in_ins_partner_share*(in_life_term_renew^1*SUMIFS(AL1754:AL1765,B1754:B1765,B1762-12)+in_life_term_renew^2*SUMIFS(AL1754:AL1765,B1754:B1765,B1762-24)+in_life_term_renew^3*SUMIFS(AL1754:AL1765,B1754:B1765,B1762-36)+in_life_term_renew^4*SUMIFS(AL1754:AL1765,B1754:B1765,B1762-48))</f>
        <v/>
      </c>
      <c r="AN1762" s="40">
        <f>AN1761*(1-IF(B1761&gt;=in_marketplace_from,d_hz_accident*G1761,0))</f>
        <v/>
      </c>
      <c r="AO1762" s="46">
        <f>AN1762*IF(B1762&gt;=in_marketplace_from,d_hz_accident*G1762,0)</f>
        <v/>
      </c>
      <c r="AP1762" s="14">
        <f>F1762*AO1762*in_accident_ticket*in_accident_comm*in_ins_partner_share+F1762*in_accident_ticket*in_accident_renew_comm*in_ins_partner_share*(in_accident_renew^1*SUMIFS(AO1754:AO1765,B1754:B1765,B1762-12)+in_accident_renew^2*SUMIFS(AO1754:AO1765,B1754:B1765,B1762-24)+in_accident_renew^3*SUMIFS(AO1754:AO1765,B1754:B1765,B1762-36)+in_accident_renew^4*SUMIFS(AO1754:AO1765,B1754:B1765,B1762-48))</f>
        <v/>
      </c>
      <c r="AQ1762" s="40">
        <f>AQ1761*(1-IF(B1761&gt;=in_marketplace_from,d_hz_two_wheeler*G1761,0))</f>
        <v/>
      </c>
      <c r="AR1762" s="46">
        <f>AQ1762*IF(B1762&gt;=in_marketplace_from,d_hz_two_wheeler*G1762,0)</f>
        <v/>
      </c>
      <c r="AS1762" s="14">
        <f>F1762*AR1762*in_two_wheeler_ticket*in_two_wheeler_comm*in_ins_partner_share+F1762*in_two_wheeler_ticket*in_two_wheeler_comm*in_ins_partner_share*(in_two_wheeler_renew^1*SUMIFS(AR1754:AR1765,B1754:B1765,B1762-12)+in_two_wheeler_renew^2*SUMIFS(AR1754:AR1765,B1754:B1765,B1762-24)+in_two_wheeler_renew^3*SUMIFS(AR1754:AR1765,B1754:B1765,B1762-36)+in_two_wheeler_renew^4*SUMIFS(AR1754:AR1765,B1754:B1765,B1762-48))</f>
        <v/>
      </c>
      <c r="AT1762" s="40">
        <f>AT1761*(1-IF(B1761&gt;=in_marketplace_from,d_hz_device*G1761,0))</f>
        <v/>
      </c>
      <c r="AU1762" s="14">
        <f>F1762*AT1762*IF(B1762&gt;=in_marketplace_from,d_hz_device*G1762,0)*in_device_ticket*in_device_comm*in_ins_partner_share</f>
        <v/>
      </c>
      <c r="AV1762" s="40">
        <f>AV1761*(1-IF(B1761&gt;=in_marketplace_from,d_hz_shop*G1761,0))</f>
        <v/>
      </c>
      <c r="AW1762" s="46">
        <f>AV1762*IF(B1762&gt;=in_marketplace_from,d_hz_shop*G1762,0)</f>
        <v/>
      </c>
      <c r="AX1762" s="14">
        <f>F1762*AW1762*in_shop_ticket*in_shop_comm*in_ins_partner_share+F1762*in_shop_ticket*in_shop_renew_comm*in_ins_partner_share*(in_shop_renew^1*SUMIFS(AW1754:AW1765,B1754:B1765,B1762-12)+in_shop_renew^2*SUMIFS(AW1754:AW1765,B1754:B1765,B1762-24)+in_shop_renew^3*SUMIFS(AW1754:AW1765,B1754:B1765,B1762-36)+in_shop_renew^4*SUMIFS(AW1754:AW1765,B1754:B1765,B1762-48))</f>
        <v/>
      </c>
      <c r="AY1762" s="40">
        <f>AY1761*(1-IF(B1761&gt;=in_marketplace_from,d_hz_sip*G1761,0))</f>
        <v/>
      </c>
      <c r="AZ1762" s="40">
        <f>AZ1761*d_rho_sip+AY1762*IF(B1762&gt;=in_marketplace_from,d_hz_sip*G1762,0)</f>
        <v/>
      </c>
      <c r="BA1762" s="40">
        <f>d_rho_sip*(BA1761+AZ1761)</f>
        <v/>
      </c>
      <c r="BB1762" s="14">
        <f>F1762*in_sip_ticket*(BA1762+0.5*AZ1762)*in_sip_comm/12</f>
        <v/>
      </c>
      <c r="BC1762" s="40">
        <f>BC1761*(1-IF(B1761&gt;=in_marketplace_from,d_hz_choti*G1761,0))</f>
        <v/>
      </c>
      <c r="BD1762" s="46">
        <f>BC1762*IF(B1762&gt;=in_marketplace_from,d_hz_choti*G1762,0)</f>
        <v/>
      </c>
      <c r="BE1762" s="14">
        <f>F1762*SUMIFS(BD1754:BD1765,B1754:B1765,B1762-in_choti_months)*in_choti_renew*in_choti_ticket</f>
        <v/>
      </c>
      <c r="BF1762" s="40">
        <f>BF1761*(1-IF(B1761&gt;=in_marketplace_from,d_hz_nps*G1761,0))</f>
        <v/>
      </c>
      <c r="BG1762" s="14">
        <f>F1762*BF1762*IF(B1762&gt;=in_marketplace_from,d_hz_nps*G1762,0)*in_nps_ticket*in_nps_comm</f>
        <v/>
      </c>
      <c r="BH1762" s="40">
        <f>BH1761*(1-IF(B1761&gt;=in_marketplace_from,d_hz_gold*G1761,0))</f>
        <v/>
      </c>
      <c r="BI1762" s="40">
        <f>BI1761*d_rho_gold+BH1762*IF(B1762&gt;=in_marketplace_from,d_hz_gold*G1762,0)</f>
        <v/>
      </c>
      <c r="BJ1762" s="14">
        <f>F1762*BI1762*in_gold_ticket*in_gold_comm</f>
        <v/>
      </c>
      <c r="BK1762" s="40">
        <f>BK1761*(1-IF(B1761&gt;=in_marketplace_from,d_hz_fd*G1761,0))</f>
        <v/>
      </c>
      <c r="BL1762" s="14">
        <f>F1762*BK1762*IF(B1762&gt;=in_marketplace_from,d_hz_fd*G1762,0)*in_fd_ticket*in_fd_comm</f>
        <v/>
      </c>
      <c r="BM1762" s="40">
        <f>BM1761*(1-IF(B1761&gt;=in_marketplace_from,d_hz_recharge*G1761,0))</f>
        <v/>
      </c>
      <c r="BN1762" s="40">
        <f>BN1761*d_rho_recharge+BM1762*IF(B1762&gt;=in_marketplace_from,d_hz_recharge*G1762,0)</f>
        <v/>
      </c>
      <c r="BO1762" s="14">
        <f>F1762*BN1762*in_recharge_ticket*in_recharge_comm/12</f>
        <v/>
      </c>
      <c r="BP1762" s="40">
        <f>BP1761*(1-IF(B1761&gt;=in_marketplace_from,d_hz_bills*G1761,0))</f>
        <v/>
      </c>
      <c r="BQ1762" s="40">
        <f>BQ1761*d_rho_bills+BP1762*IF(B1762&gt;=in_marketplace_from,d_hz_bills*G1762,0)</f>
        <v/>
      </c>
      <c r="BR1762" s="14">
        <f>F1762*BQ1762*in_bills_ticket*in_bills_comm/12</f>
        <v/>
      </c>
      <c r="BS1762" s="40">
        <f>BS1761*(1-IF(B1761&gt;=in_marketplace_from,d_hz_loan_gold*G1761,0))</f>
        <v/>
      </c>
      <c r="BT1762" s="14">
        <f>F1762*BS1762*IF(B1762&gt;=in_marketplace_from,d_hz_loan_gold*G1762,0)*in_loan_gold_ticket*in_loan_gold_comm</f>
        <v/>
      </c>
      <c r="BU1762" s="40">
        <f>BU1761*(1-IF(B1761&gt;=in_marketplace_from,d_hz_loan_cd*G1761,0))</f>
        <v/>
      </c>
      <c r="BV1762" s="14">
        <f>F1762*BU1762*IF(B1762&gt;=in_marketplace_from,d_hz_loan_cd*G1762,0)*in_loan_cd_ticket*in_loan_cd_comm</f>
        <v/>
      </c>
      <c r="BW1762" s="40">
        <f>BW1761*(1-IF(B1761&gt;=in_marketplace_from,d_hz_loan_vehicle*G1761,0))</f>
        <v/>
      </c>
      <c r="BX1762" s="14">
        <f>F1762*BW1762*IF(B1762&gt;=in_marketplace_from,d_hz_loan_vehicle*G1762,0)*in_loan_vehicle_ticket*in_loan_vehicle_comm</f>
        <v/>
      </c>
      <c r="BY1762" s="40">
        <f>BY1761*(1-IF(B1761&gt;=in_marketplace_from,d_hz_loan_home*G1761,0)*BZ1761)</f>
        <v/>
      </c>
      <c r="BZ1762" s="11">
        <f>MIN(in_approval_cap,in_loan_home_approval*INDEX('Age profile'!$O$2:$O$61,B1762)*(1+in_approval_growth)^(D1762-1))</f>
        <v/>
      </c>
      <c r="CA1762" s="14">
        <f>F1762*BY1762*IF(B1762&gt;=in_marketplace_from,d_hz_loan_home*G1762,0)*BZ1762*in_loan_home_ticket*in_loan_home_comm</f>
        <v/>
      </c>
      <c r="CB1762" s="40">
        <f>CB1761*(1-IF(B1761&gt;=in_marketplace_from,d_hz_loan_lap*G1761,0)*CC1761)</f>
        <v/>
      </c>
      <c r="CC1762" s="11">
        <f>MIN(in_approval_cap,in_loan_lap_approval*INDEX('Age profile'!$O$2:$O$61,B1762)*(1+in_approval_growth)^(D1762-1))</f>
        <v/>
      </c>
      <c r="CD1762" s="14">
        <f>F1762*CB1762*IF(B1762&gt;=in_marketplace_from,d_hz_loan_lap*G1762,0)*CC1762*in_loan_lap_ticket*in_loan_lap_comm</f>
        <v/>
      </c>
      <c r="CE1762" s="14">
        <f>AA1762+AB1762+AC1762+AD1762+AG1762+AJ1762+AM1762+AP1762+AS1762+AU1762+AX1762+BB1762+BE1762+BG1762+BJ1762+BL1762+BO1762+BR1762+BT1762+BV1762+BX1762+CA1762+CD1762</f>
        <v/>
      </c>
    </row>
    <row r="1763">
      <c r="A1763" s="39" t="n">
        <v>49</v>
      </c>
      <c r="B1763" s="39" t="n">
        <v>10</v>
      </c>
      <c r="C1763" s="39">
        <f>A1763+B1763-1</f>
        <v/>
      </c>
      <c r="D1763" s="39">
        <f>INT((C1763-1)/12)+1</f>
        <v/>
      </c>
      <c r="E1763" s="44">
        <f>INDEX(Monthly!$B$2:$B$61,A1763)</f>
        <v/>
      </c>
      <c r="F1763" s="44">
        <f>E1763*INDEX('Age profile'!$B$2:$B$61,B1763)</f>
        <v/>
      </c>
      <c r="G1763" s="45">
        <f>MIN(in_takeup_cap,INDEX('Age profile'!$N$2:$N$61,B1763)*(1+in_takeup_growth)^(D1763-1))</f>
        <v/>
      </c>
      <c r="H1763" s="11">
        <f>MIN(in_approval_cap,in_approved_first*INDEX('Age profile'!$O$2:$O$61,B1763)*(1+in_approval_growth)^(D1763-1))</f>
        <v/>
      </c>
      <c r="I1763" s="45">
        <f>G1763*MIN(in_takeup_cap,INDEX('Age profile'!$O$2:$O$61,B1763)*(1+in_approval_growth)^(D1763-1))</f>
        <v/>
      </c>
      <c r="J1763" s="40">
        <f>(J1762-L1762)*F1763/F1762</f>
        <v/>
      </c>
      <c r="K1763" s="40">
        <f>(K1762-M1762)*F1763/F1762+SUMIFS(O1754:O1762,B1754:B1762,B1763-1-d_T)*F1763</f>
        <v/>
      </c>
      <c r="L1763" s="40">
        <f>IF(B1763&gt;=in_marketplace_from,J1763*d_hz*G1763*in_eligible*H1763,0)</f>
        <v/>
      </c>
      <c r="M1763" s="40">
        <f>IF(B1763&gt;=in_marketplace_from,K1763*d_hz*G1763*in_eligible*in_approved_repeat,0)</f>
        <v/>
      </c>
      <c r="N1763" s="40">
        <f>L1763+M1763</f>
        <v/>
      </c>
      <c r="O1763" s="46">
        <f>N1763/F1763</f>
        <v/>
      </c>
      <c r="P1763" s="40">
        <f>F1763-J1763-K1763</f>
        <v/>
      </c>
      <c r="Q1763" s="40">
        <f>IF(B1763&gt;=in_marketplace_from,(J1763+K1763)*d_hz*G1763,0)</f>
        <v/>
      </c>
      <c r="R1763" s="40">
        <f>SUMIFS(N1754:N1765,B1754:B1765,"&gt;="&amp;(B1763-d_T),B1754:B1765,"&lt;="&amp;(B1763-1))</f>
        <v/>
      </c>
      <c r="S1763" s="46">
        <f>(1-d_u)*S1762+IF(d_T&gt;in_topup_lag,SUMIFS(O1754:O1765,B1754:B1765,B1763-in_topup_lag)-d_udrop*SUMIFS(O1754:O1765,B1754:B1765,B1763-d_T),0)</f>
        <v/>
      </c>
      <c r="T1763" s="40">
        <f>F1763*d_u*S1763</f>
        <v/>
      </c>
      <c r="U1763" s="9">
        <f>L1763*in_ticket+M1763*d_rep_ticket</f>
        <v/>
      </c>
      <c r="V1763" s="9">
        <f>U1763+T1763*d_topup_amt</f>
        <v/>
      </c>
      <c r="W1763" s="40">
        <f>N1763+T1763*d_topup_ratio</f>
        <v/>
      </c>
      <c r="X1763" s="40">
        <f>SUMIFS(W1754:W1765,B1754:B1765,B1763-in_dpd_lag)*d_cured</f>
        <v/>
      </c>
      <c r="Y1763" s="40">
        <f>SUMIFS(W1754:W1765,B1754:B1765,B1763-in_rec_lag)*d_recd</f>
        <v/>
      </c>
      <c r="Z1763" s="40">
        <f>IF(AND(B1763&gt;=in_marketplace_from,B1763&lt;in_marketplace_from+in_card_months),in_card_share/in_card_months*F1763*I1763,IF(AND(B1763&gt;=in_marketplace_from+in_card_months,B1763&lt;in_marketplace_from+2*in_card_months),in_card_share*d_card_rem/in_card_months*F1763*MIN(in_takeup_cap,(1+in_takeup_growth)^(D1763-1))*MIN(in_takeup_cap,(1+in_approval_growth)^(D1763-1)),0))</f>
        <v/>
      </c>
      <c r="AA1763" s="14">
        <f>V1763*in_fee*(1-in_taken_back)</f>
        <v/>
      </c>
      <c r="AB1763" s="14">
        <f>SUMIFS(W1754:W1765,B1754:B1765,B1763-in_dpd_lag)*d_dpd</f>
        <v/>
      </c>
      <c r="AC1763" s="14">
        <f>SUMIFS(W1754:W1765,B1754:B1765,B1763-in_rec_lag)*d_rec</f>
        <v/>
      </c>
      <c r="AD1763" s="14">
        <f>Z1763*in_card_fee</f>
        <v/>
      </c>
      <c r="AE1763" s="40">
        <f>AE1762*(1-IF(B1762&gt;=in_marketplace_from,d_hz_hlth_small*G1762,0))</f>
        <v/>
      </c>
      <c r="AF1763" s="46">
        <f>AE1763*IF(B1763&gt;=in_marketplace_from,d_hz_hlth_small*G1763,0)</f>
        <v/>
      </c>
      <c r="AG1763" s="14">
        <f>F1763*AF1763*in_hlth_small_ticket*in_hlth_small_comm*in_ins_partner_share+F1763*in_hlth_small_ticket*in_hlth_small_renew_comm*in_ins_partner_share*(in_hlth_small_renew^1*SUMIFS(AF1754:AF1765,B1754:B1765,B1763-12)+in_hlth_small_renew^2*SUMIFS(AF1754:AF1765,B1754:B1765,B1763-24)+in_hlth_small_renew^3*SUMIFS(AF1754:AF1765,B1754:B1765,B1763-36)+in_hlth_small_renew^4*SUMIFS(AF1754:AF1765,B1754:B1765,B1763-48))</f>
        <v/>
      </c>
      <c r="AH1763" s="40">
        <f>AH1762*(1-IF(B1762&gt;=in_marketplace_from,d_hz_hlth_family*G1762,0))</f>
        <v/>
      </c>
      <c r="AI1763" s="46">
        <f>AH1763*IF(B1763&gt;=in_marketplace_from,d_hz_hlth_family*G1763,0)</f>
        <v/>
      </c>
      <c r="AJ1763" s="14">
        <f>F1763*AI1763*in_hlth_family_ticket*in_hlth_family_comm*in_ins_partner_share+F1763*in_hlth_family_ticket*in_hlth_family_renew_comm*in_ins_partner_share*(in_hlth_family_renew^1*SUMIFS(AI1754:AI1765,B1754:B1765,B1763-12)+in_hlth_family_renew^2*SUMIFS(AI1754:AI1765,B1754:B1765,B1763-24)+in_hlth_family_renew^3*SUMIFS(AI1754:AI1765,B1754:B1765,B1763-36)+in_hlth_family_renew^4*SUMIFS(AI1754:AI1765,B1754:B1765,B1763-48))</f>
        <v/>
      </c>
      <c r="AK1763" s="40">
        <f>AK1762*(1-IF(B1762&gt;=in_marketplace_from,d_hz_life_term*G1762,0))</f>
        <v/>
      </c>
      <c r="AL1763" s="46">
        <f>AK1763*IF(B1763&gt;=in_marketplace_from,d_hz_life_term*G1763,0)</f>
        <v/>
      </c>
      <c r="AM1763" s="14">
        <f>F1763*AL1763*in_life_term_ticket*in_life_term_comm*in_ins_partner_share+F1763*in_life_term_ticket*in_life_term_renew_comm*in_ins_partner_share*(in_life_term_renew^1*SUMIFS(AL1754:AL1765,B1754:B1765,B1763-12)+in_life_term_renew^2*SUMIFS(AL1754:AL1765,B1754:B1765,B1763-24)+in_life_term_renew^3*SUMIFS(AL1754:AL1765,B1754:B1765,B1763-36)+in_life_term_renew^4*SUMIFS(AL1754:AL1765,B1754:B1765,B1763-48))</f>
        <v/>
      </c>
      <c r="AN1763" s="40">
        <f>AN1762*(1-IF(B1762&gt;=in_marketplace_from,d_hz_accident*G1762,0))</f>
        <v/>
      </c>
      <c r="AO1763" s="46">
        <f>AN1763*IF(B1763&gt;=in_marketplace_from,d_hz_accident*G1763,0)</f>
        <v/>
      </c>
      <c r="AP1763" s="14">
        <f>F1763*AO1763*in_accident_ticket*in_accident_comm*in_ins_partner_share+F1763*in_accident_ticket*in_accident_renew_comm*in_ins_partner_share*(in_accident_renew^1*SUMIFS(AO1754:AO1765,B1754:B1765,B1763-12)+in_accident_renew^2*SUMIFS(AO1754:AO1765,B1754:B1765,B1763-24)+in_accident_renew^3*SUMIFS(AO1754:AO1765,B1754:B1765,B1763-36)+in_accident_renew^4*SUMIFS(AO1754:AO1765,B1754:B1765,B1763-48))</f>
        <v/>
      </c>
      <c r="AQ1763" s="40">
        <f>AQ1762*(1-IF(B1762&gt;=in_marketplace_from,d_hz_two_wheeler*G1762,0))</f>
        <v/>
      </c>
      <c r="AR1763" s="46">
        <f>AQ1763*IF(B1763&gt;=in_marketplace_from,d_hz_two_wheeler*G1763,0)</f>
        <v/>
      </c>
      <c r="AS1763" s="14">
        <f>F1763*AR1763*in_two_wheeler_ticket*in_two_wheeler_comm*in_ins_partner_share+F1763*in_two_wheeler_ticket*in_two_wheeler_comm*in_ins_partner_share*(in_two_wheeler_renew^1*SUMIFS(AR1754:AR1765,B1754:B1765,B1763-12)+in_two_wheeler_renew^2*SUMIFS(AR1754:AR1765,B1754:B1765,B1763-24)+in_two_wheeler_renew^3*SUMIFS(AR1754:AR1765,B1754:B1765,B1763-36)+in_two_wheeler_renew^4*SUMIFS(AR1754:AR1765,B1754:B1765,B1763-48))</f>
        <v/>
      </c>
      <c r="AT1763" s="40">
        <f>AT1762*(1-IF(B1762&gt;=in_marketplace_from,d_hz_device*G1762,0))</f>
        <v/>
      </c>
      <c r="AU1763" s="14">
        <f>F1763*AT1763*IF(B1763&gt;=in_marketplace_from,d_hz_device*G1763,0)*in_device_ticket*in_device_comm*in_ins_partner_share</f>
        <v/>
      </c>
      <c r="AV1763" s="40">
        <f>AV1762*(1-IF(B1762&gt;=in_marketplace_from,d_hz_shop*G1762,0))</f>
        <v/>
      </c>
      <c r="AW1763" s="46">
        <f>AV1763*IF(B1763&gt;=in_marketplace_from,d_hz_shop*G1763,0)</f>
        <v/>
      </c>
      <c r="AX1763" s="14">
        <f>F1763*AW1763*in_shop_ticket*in_shop_comm*in_ins_partner_share+F1763*in_shop_ticket*in_shop_renew_comm*in_ins_partner_share*(in_shop_renew^1*SUMIFS(AW1754:AW1765,B1754:B1765,B1763-12)+in_shop_renew^2*SUMIFS(AW1754:AW1765,B1754:B1765,B1763-24)+in_shop_renew^3*SUMIFS(AW1754:AW1765,B1754:B1765,B1763-36)+in_shop_renew^4*SUMIFS(AW1754:AW1765,B1754:B1765,B1763-48))</f>
        <v/>
      </c>
      <c r="AY1763" s="40">
        <f>AY1762*(1-IF(B1762&gt;=in_marketplace_from,d_hz_sip*G1762,0))</f>
        <v/>
      </c>
      <c r="AZ1763" s="40">
        <f>AZ1762*d_rho_sip+AY1763*IF(B1763&gt;=in_marketplace_from,d_hz_sip*G1763,0)</f>
        <v/>
      </c>
      <c r="BA1763" s="40">
        <f>d_rho_sip*(BA1762+AZ1762)</f>
        <v/>
      </c>
      <c r="BB1763" s="14">
        <f>F1763*in_sip_ticket*(BA1763+0.5*AZ1763)*in_sip_comm/12</f>
        <v/>
      </c>
      <c r="BC1763" s="40">
        <f>BC1762*(1-IF(B1762&gt;=in_marketplace_from,d_hz_choti*G1762,0))</f>
        <v/>
      </c>
      <c r="BD1763" s="46">
        <f>BC1763*IF(B1763&gt;=in_marketplace_from,d_hz_choti*G1763,0)</f>
        <v/>
      </c>
      <c r="BE1763" s="14">
        <f>F1763*SUMIFS(BD1754:BD1765,B1754:B1765,B1763-in_choti_months)*in_choti_renew*in_choti_ticket</f>
        <v/>
      </c>
      <c r="BF1763" s="40">
        <f>BF1762*(1-IF(B1762&gt;=in_marketplace_from,d_hz_nps*G1762,0))</f>
        <v/>
      </c>
      <c r="BG1763" s="14">
        <f>F1763*BF1763*IF(B1763&gt;=in_marketplace_from,d_hz_nps*G1763,0)*in_nps_ticket*in_nps_comm</f>
        <v/>
      </c>
      <c r="BH1763" s="40">
        <f>BH1762*(1-IF(B1762&gt;=in_marketplace_from,d_hz_gold*G1762,0))</f>
        <v/>
      </c>
      <c r="BI1763" s="40">
        <f>BI1762*d_rho_gold+BH1763*IF(B1763&gt;=in_marketplace_from,d_hz_gold*G1763,0)</f>
        <v/>
      </c>
      <c r="BJ1763" s="14">
        <f>F1763*BI1763*in_gold_ticket*in_gold_comm</f>
        <v/>
      </c>
      <c r="BK1763" s="40">
        <f>BK1762*(1-IF(B1762&gt;=in_marketplace_from,d_hz_fd*G1762,0))</f>
        <v/>
      </c>
      <c r="BL1763" s="14">
        <f>F1763*BK1763*IF(B1763&gt;=in_marketplace_from,d_hz_fd*G1763,0)*in_fd_ticket*in_fd_comm</f>
        <v/>
      </c>
      <c r="BM1763" s="40">
        <f>BM1762*(1-IF(B1762&gt;=in_marketplace_from,d_hz_recharge*G1762,0))</f>
        <v/>
      </c>
      <c r="BN1763" s="40">
        <f>BN1762*d_rho_recharge+BM1763*IF(B1763&gt;=in_marketplace_from,d_hz_recharge*G1763,0)</f>
        <v/>
      </c>
      <c r="BO1763" s="14">
        <f>F1763*BN1763*in_recharge_ticket*in_recharge_comm/12</f>
        <v/>
      </c>
      <c r="BP1763" s="40">
        <f>BP1762*(1-IF(B1762&gt;=in_marketplace_from,d_hz_bills*G1762,0))</f>
        <v/>
      </c>
      <c r="BQ1763" s="40">
        <f>BQ1762*d_rho_bills+BP1763*IF(B1763&gt;=in_marketplace_from,d_hz_bills*G1763,0)</f>
        <v/>
      </c>
      <c r="BR1763" s="14">
        <f>F1763*BQ1763*in_bills_ticket*in_bills_comm/12</f>
        <v/>
      </c>
      <c r="BS1763" s="40">
        <f>BS1762*(1-IF(B1762&gt;=in_marketplace_from,d_hz_loan_gold*G1762,0))</f>
        <v/>
      </c>
      <c r="BT1763" s="14">
        <f>F1763*BS1763*IF(B1763&gt;=in_marketplace_from,d_hz_loan_gold*G1763,0)*in_loan_gold_ticket*in_loan_gold_comm</f>
        <v/>
      </c>
      <c r="BU1763" s="40">
        <f>BU1762*(1-IF(B1762&gt;=in_marketplace_from,d_hz_loan_cd*G1762,0))</f>
        <v/>
      </c>
      <c r="BV1763" s="14">
        <f>F1763*BU1763*IF(B1763&gt;=in_marketplace_from,d_hz_loan_cd*G1763,0)*in_loan_cd_ticket*in_loan_cd_comm</f>
        <v/>
      </c>
      <c r="BW1763" s="40">
        <f>BW1762*(1-IF(B1762&gt;=in_marketplace_from,d_hz_loan_vehicle*G1762,0))</f>
        <v/>
      </c>
      <c r="BX1763" s="14">
        <f>F1763*BW1763*IF(B1763&gt;=in_marketplace_from,d_hz_loan_vehicle*G1763,0)*in_loan_vehicle_ticket*in_loan_vehicle_comm</f>
        <v/>
      </c>
      <c r="BY1763" s="40">
        <f>BY1762*(1-IF(B1762&gt;=in_marketplace_from,d_hz_loan_home*G1762,0)*BZ1762)</f>
        <v/>
      </c>
      <c r="BZ1763" s="11">
        <f>MIN(in_approval_cap,in_loan_home_approval*INDEX('Age profile'!$O$2:$O$61,B1763)*(1+in_approval_growth)^(D1763-1))</f>
        <v/>
      </c>
      <c r="CA1763" s="14">
        <f>F1763*BY1763*IF(B1763&gt;=in_marketplace_from,d_hz_loan_home*G1763,0)*BZ1763*in_loan_home_ticket*in_loan_home_comm</f>
        <v/>
      </c>
      <c r="CB1763" s="40">
        <f>CB1762*(1-IF(B1762&gt;=in_marketplace_from,d_hz_loan_lap*G1762,0)*CC1762)</f>
        <v/>
      </c>
      <c r="CC1763" s="11">
        <f>MIN(in_approval_cap,in_loan_lap_approval*INDEX('Age profile'!$O$2:$O$61,B1763)*(1+in_approval_growth)^(D1763-1))</f>
        <v/>
      </c>
      <c r="CD1763" s="14">
        <f>F1763*CB1763*IF(B1763&gt;=in_marketplace_from,d_hz_loan_lap*G1763,0)*CC1763*in_loan_lap_ticket*in_loan_lap_comm</f>
        <v/>
      </c>
      <c r="CE1763" s="14">
        <f>AA1763+AB1763+AC1763+AD1763+AG1763+AJ1763+AM1763+AP1763+AS1763+AU1763+AX1763+BB1763+BE1763+BG1763+BJ1763+BL1763+BO1763+BR1763+BT1763+BV1763+BX1763+CA1763+CD1763</f>
        <v/>
      </c>
    </row>
    <row r="1764">
      <c r="A1764" s="39" t="n">
        <v>49</v>
      </c>
      <c r="B1764" s="39" t="n">
        <v>11</v>
      </c>
      <c r="C1764" s="39">
        <f>A1764+B1764-1</f>
        <v/>
      </c>
      <c r="D1764" s="39">
        <f>INT((C1764-1)/12)+1</f>
        <v/>
      </c>
      <c r="E1764" s="44">
        <f>INDEX(Monthly!$B$2:$B$61,A1764)</f>
        <v/>
      </c>
      <c r="F1764" s="44">
        <f>E1764*INDEX('Age profile'!$B$2:$B$61,B1764)</f>
        <v/>
      </c>
      <c r="G1764" s="45">
        <f>MIN(in_takeup_cap,INDEX('Age profile'!$N$2:$N$61,B1764)*(1+in_takeup_growth)^(D1764-1))</f>
        <v/>
      </c>
      <c r="H1764" s="11">
        <f>MIN(in_approval_cap,in_approved_first*INDEX('Age profile'!$O$2:$O$61,B1764)*(1+in_approval_growth)^(D1764-1))</f>
        <v/>
      </c>
      <c r="I1764" s="45">
        <f>G1764*MIN(in_takeup_cap,INDEX('Age profile'!$O$2:$O$61,B1764)*(1+in_approval_growth)^(D1764-1))</f>
        <v/>
      </c>
      <c r="J1764" s="40">
        <f>(J1763-L1763)*F1764/F1763</f>
        <v/>
      </c>
      <c r="K1764" s="40">
        <f>(K1763-M1763)*F1764/F1763+SUMIFS(O1754:O1763,B1754:B1763,B1764-1-d_T)*F1764</f>
        <v/>
      </c>
      <c r="L1764" s="40">
        <f>IF(B1764&gt;=in_marketplace_from,J1764*d_hz*G1764*in_eligible*H1764,0)</f>
        <v/>
      </c>
      <c r="M1764" s="40">
        <f>IF(B1764&gt;=in_marketplace_from,K1764*d_hz*G1764*in_eligible*in_approved_repeat,0)</f>
        <v/>
      </c>
      <c r="N1764" s="40">
        <f>L1764+M1764</f>
        <v/>
      </c>
      <c r="O1764" s="46">
        <f>N1764/F1764</f>
        <v/>
      </c>
      <c r="P1764" s="40">
        <f>F1764-J1764-K1764</f>
        <v/>
      </c>
      <c r="Q1764" s="40">
        <f>IF(B1764&gt;=in_marketplace_from,(J1764+K1764)*d_hz*G1764,0)</f>
        <v/>
      </c>
      <c r="R1764" s="40">
        <f>SUMIFS(N1754:N1765,B1754:B1765,"&gt;="&amp;(B1764-d_T),B1754:B1765,"&lt;="&amp;(B1764-1))</f>
        <v/>
      </c>
      <c r="S1764" s="46">
        <f>(1-d_u)*S1763+IF(d_T&gt;in_topup_lag,SUMIFS(O1754:O1765,B1754:B1765,B1764-in_topup_lag)-d_udrop*SUMIFS(O1754:O1765,B1754:B1765,B1764-d_T),0)</f>
        <v/>
      </c>
      <c r="T1764" s="40">
        <f>F1764*d_u*S1764</f>
        <v/>
      </c>
      <c r="U1764" s="9">
        <f>L1764*in_ticket+M1764*d_rep_ticket</f>
        <v/>
      </c>
      <c r="V1764" s="9">
        <f>U1764+T1764*d_topup_amt</f>
        <v/>
      </c>
      <c r="W1764" s="40">
        <f>N1764+T1764*d_topup_ratio</f>
        <v/>
      </c>
      <c r="X1764" s="40">
        <f>SUMIFS(W1754:W1765,B1754:B1765,B1764-in_dpd_lag)*d_cured</f>
        <v/>
      </c>
      <c r="Y1764" s="40">
        <f>SUMIFS(W1754:W1765,B1754:B1765,B1764-in_rec_lag)*d_recd</f>
        <v/>
      </c>
      <c r="Z1764" s="40">
        <f>IF(AND(B1764&gt;=in_marketplace_from,B1764&lt;in_marketplace_from+in_card_months),in_card_share/in_card_months*F1764*I1764,IF(AND(B1764&gt;=in_marketplace_from+in_card_months,B1764&lt;in_marketplace_from+2*in_card_months),in_card_share*d_card_rem/in_card_months*F1764*MIN(in_takeup_cap,(1+in_takeup_growth)^(D1764-1))*MIN(in_takeup_cap,(1+in_approval_growth)^(D1764-1)),0))</f>
        <v/>
      </c>
      <c r="AA1764" s="14">
        <f>V1764*in_fee*(1-in_taken_back)</f>
        <v/>
      </c>
      <c r="AB1764" s="14">
        <f>SUMIFS(W1754:W1765,B1754:B1765,B1764-in_dpd_lag)*d_dpd</f>
        <v/>
      </c>
      <c r="AC1764" s="14">
        <f>SUMIFS(W1754:W1765,B1754:B1765,B1764-in_rec_lag)*d_rec</f>
        <v/>
      </c>
      <c r="AD1764" s="14">
        <f>Z1764*in_card_fee</f>
        <v/>
      </c>
      <c r="AE1764" s="40">
        <f>AE1763*(1-IF(B1763&gt;=in_marketplace_from,d_hz_hlth_small*G1763,0))</f>
        <v/>
      </c>
      <c r="AF1764" s="46">
        <f>AE1764*IF(B1764&gt;=in_marketplace_from,d_hz_hlth_small*G1764,0)</f>
        <v/>
      </c>
      <c r="AG1764" s="14">
        <f>F1764*AF1764*in_hlth_small_ticket*in_hlth_small_comm*in_ins_partner_share+F1764*in_hlth_small_ticket*in_hlth_small_renew_comm*in_ins_partner_share*(in_hlth_small_renew^1*SUMIFS(AF1754:AF1765,B1754:B1765,B1764-12)+in_hlth_small_renew^2*SUMIFS(AF1754:AF1765,B1754:B1765,B1764-24)+in_hlth_small_renew^3*SUMIFS(AF1754:AF1765,B1754:B1765,B1764-36)+in_hlth_small_renew^4*SUMIFS(AF1754:AF1765,B1754:B1765,B1764-48))</f>
        <v/>
      </c>
      <c r="AH1764" s="40">
        <f>AH1763*(1-IF(B1763&gt;=in_marketplace_from,d_hz_hlth_family*G1763,0))</f>
        <v/>
      </c>
      <c r="AI1764" s="46">
        <f>AH1764*IF(B1764&gt;=in_marketplace_from,d_hz_hlth_family*G1764,0)</f>
        <v/>
      </c>
      <c r="AJ1764" s="14">
        <f>F1764*AI1764*in_hlth_family_ticket*in_hlth_family_comm*in_ins_partner_share+F1764*in_hlth_family_ticket*in_hlth_family_renew_comm*in_ins_partner_share*(in_hlth_family_renew^1*SUMIFS(AI1754:AI1765,B1754:B1765,B1764-12)+in_hlth_family_renew^2*SUMIFS(AI1754:AI1765,B1754:B1765,B1764-24)+in_hlth_family_renew^3*SUMIFS(AI1754:AI1765,B1754:B1765,B1764-36)+in_hlth_family_renew^4*SUMIFS(AI1754:AI1765,B1754:B1765,B1764-48))</f>
        <v/>
      </c>
      <c r="AK1764" s="40">
        <f>AK1763*(1-IF(B1763&gt;=in_marketplace_from,d_hz_life_term*G1763,0))</f>
        <v/>
      </c>
      <c r="AL1764" s="46">
        <f>AK1764*IF(B1764&gt;=in_marketplace_from,d_hz_life_term*G1764,0)</f>
        <v/>
      </c>
      <c r="AM1764" s="14">
        <f>F1764*AL1764*in_life_term_ticket*in_life_term_comm*in_ins_partner_share+F1764*in_life_term_ticket*in_life_term_renew_comm*in_ins_partner_share*(in_life_term_renew^1*SUMIFS(AL1754:AL1765,B1754:B1765,B1764-12)+in_life_term_renew^2*SUMIFS(AL1754:AL1765,B1754:B1765,B1764-24)+in_life_term_renew^3*SUMIFS(AL1754:AL1765,B1754:B1765,B1764-36)+in_life_term_renew^4*SUMIFS(AL1754:AL1765,B1754:B1765,B1764-48))</f>
        <v/>
      </c>
      <c r="AN1764" s="40">
        <f>AN1763*(1-IF(B1763&gt;=in_marketplace_from,d_hz_accident*G1763,0))</f>
        <v/>
      </c>
      <c r="AO1764" s="46">
        <f>AN1764*IF(B1764&gt;=in_marketplace_from,d_hz_accident*G1764,0)</f>
        <v/>
      </c>
      <c r="AP1764" s="14">
        <f>F1764*AO1764*in_accident_ticket*in_accident_comm*in_ins_partner_share+F1764*in_accident_ticket*in_accident_renew_comm*in_ins_partner_share*(in_accident_renew^1*SUMIFS(AO1754:AO1765,B1754:B1765,B1764-12)+in_accident_renew^2*SUMIFS(AO1754:AO1765,B1754:B1765,B1764-24)+in_accident_renew^3*SUMIFS(AO1754:AO1765,B1754:B1765,B1764-36)+in_accident_renew^4*SUMIFS(AO1754:AO1765,B1754:B1765,B1764-48))</f>
        <v/>
      </c>
      <c r="AQ1764" s="40">
        <f>AQ1763*(1-IF(B1763&gt;=in_marketplace_from,d_hz_two_wheeler*G1763,0))</f>
        <v/>
      </c>
      <c r="AR1764" s="46">
        <f>AQ1764*IF(B1764&gt;=in_marketplace_from,d_hz_two_wheeler*G1764,0)</f>
        <v/>
      </c>
      <c r="AS1764" s="14">
        <f>F1764*AR1764*in_two_wheeler_ticket*in_two_wheeler_comm*in_ins_partner_share+F1764*in_two_wheeler_ticket*in_two_wheeler_comm*in_ins_partner_share*(in_two_wheeler_renew^1*SUMIFS(AR1754:AR1765,B1754:B1765,B1764-12)+in_two_wheeler_renew^2*SUMIFS(AR1754:AR1765,B1754:B1765,B1764-24)+in_two_wheeler_renew^3*SUMIFS(AR1754:AR1765,B1754:B1765,B1764-36)+in_two_wheeler_renew^4*SUMIFS(AR1754:AR1765,B1754:B1765,B1764-48))</f>
        <v/>
      </c>
      <c r="AT1764" s="40">
        <f>AT1763*(1-IF(B1763&gt;=in_marketplace_from,d_hz_device*G1763,0))</f>
        <v/>
      </c>
      <c r="AU1764" s="14">
        <f>F1764*AT1764*IF(B1764&gt;=in_marketplace_from,d_hz_device*G1764,0)*in_device_ticket*in_device_comm*in_ins_partner_share</f>
        <v/>
      </c>
      <c r="AV1764" s="40">
        <f>AV1763*(1-IF(B1763&gt;=in_marketplace_from,d_hz_shop*G1763,0))</f>
        <v/>
      </c>
      <c r="AW1764" s="46">
        <f>AV1764*IF(B1764&gt;=in_marketplace_from,d_hz_shop*G1764,0)</f>
        <v/>
      </c>
      <c r="AX1764" s="14">
        <f>F1764*AW1764*in_shop_ticket*in_shop_comm*in_ins_partner_share+F1764*in_shop_ticket*in_shop_renew_comm*in_ins_partner_share*(in_shop_renew^1*SUMIFS(AW1754:AW1765,B1754:B1765,B1764-12)+in_shop_renew^2*SUMIFS(AW1754:AW1765,B1754:B1765,B1764-24)+in_shop_renew^3*SUMIFS(AW1754:AW1765,B1754:B1765,B1764-36)+in_shop_renew^4*SUMIFS(AW1754:AW1765,B1754:B1765,B1764-48))</f>
        <v/>
      </c>
      <c r="AY1764" s="40">
        <f>AY1763*(1-IF(B1763&gt;=in_marketplace_from,d_hz_sip*G1763,0))</f>
        <v/>
      </c>
      <c r="AZ1764" s="40">
        <f>AZ1763*d_rho_sip+AY1764*IF(B1764&gt;=in_marketplace_from,d_hz_sip*G1764,0)</f>
        <v/>
      </c>
      <c r="BA1764" s="40">
        <f>d_rho_sip*(BA1763+AZ1763)</f>
        <v/>
      </c>
      <c r="BB1764" s="14">
        <f>F1764*in_sip_ticket*(BA1764+0.5*AZ1764)*in_sip_comm/12</f>
        <v/>
      </c>
      <c r="BC1764" s="40">
        <f>BC1763*(1-IF(B1763&gt;=in_marketplace_from,d_hz_choti*G1763,0))</f>
        <v/>
      </c>
      <c r="BD1764" s="46">
        <f>BC1764*IF(B1764&gt;=in_marketplace_from,d_hz_choti*G1764,0)</f>
        <v/>
      </c>
      <c r="BE1764" s="14">
        <f>F1764*SUMIFS(BD1754:BD1765,B1754:B1765,B1764-in_choti_months)*in_choti_renew*in_choti_ticket</f>
        <v/>
      </c>
      <c r="BF1764" s="40">
        <f>BF1763*(1-IF(B1763&gt;=in_marketplace_from,d_hz_nps*G1763,0))</f>
        <v/>
      </c>
      <c r="BG1764" s="14">
        <f>F1764*BF1764*IF(B1764&gt;=in_marketplace_from,d_hz_nps*G1764,0)*in_nps_ticket*in_nps_comm</f>
        <v/>
      </c>
      <c r="BH1764" s="40">
        <f>BH1763*(1-IF(B1763&gt;=in_marketplace_from,d_hz_gold*G1763,0))</f>
        <v/>
      </c>
      <c r="BI1764" s="40">
        <f>BI1763*d_rho_gold+BH1764*IF(B1764&gt;=in_marketplace_from,d_hz_gold*G1764,0)</f>
        <v/>
      </c>
      <c r="BJ1764" s="14">
        <f>F1764*BI1764*in_gold_ticket*in_gold_comm</f>
        <v/>
      </c>
      <c r="BK1764" s="40">
        <f>BK1763*(1-IF(B1763&gt;=in_marketplace_from,d_hz_fd*G1763,0))</f>
        <v/>
      </c>
      <c r="BL1764" s="14">
        <f>F1764*BK1764*IF(B1764&gt;=in_marketplace_from,d_hz_fd*G1764,0)*in_fd_ticket*in_fd_comm</f>
        <v/>
      </c>
      <c r="BM1764" s="40">
        <f>BM1763*(1-IF(B1763&gt;=in_marketplace_from,d_hz_recharge*G1763,0))</f>
        <v/>
      </c>
      <c r="BN1764" s="40">
        <f>BN1763*d_rho_recharge+BM1764*IF(B1764&gt;=in_marketplace_from,d_hz_recharge*G1764,0)</f>
        <v/>
      </c>
      <c r="BO1764" s="14">
        <f>F1764*BN1764*in_recharge_ticket*in_recharge_comm/12</f>
        <v/>
      </c>
      <c r="BP1764" s="40">
        <f>BP1763*(1-IF(B1763&gt;=in_marketplace_from,d_hz_bills*G1763,0))</f>
        <v/>
      </c>
      <c r="BQ1764" s="40">
        <f>BQ1763*d_rho_bills+BP1764*IF(B1764&gt;=in_marketplace_from,d_hz_bills*G1764,0)</f>
        <v/>
      </c>
      <c r="BR1764" s="14">
        <f>F1764*BQ1764*in_bills_ticket*in_bills_comm/12</f>
        <v/>
      </c>
      <c r="BS1764" s="40">
        <f>BS1763*(1-IF(B1763&gt;=in_marketplace_from,d_hz_loan_gold*G1763,0))</f>
        <v/>
      </c>
      <c r="BT1764" s="14">
        <f>F1764*BS1764*IF(B1764&gt;=in_marketplace_from,d_hz_loan_gold*G1764,0)*in_loan_gold_ticket*in_loan_gold_comm</f>
        <v/>
      </c>
      <c r="BU1764" s="40">
        <f>BU1763*(1-IF(B1763&gt;=in_marketplace_from,d_hz_loan_cd*G1763,0))</f>
        <v/>
      </c>
      <c r="BV1764" s="14">
        <f>F1764*BU1764*IF(B1764&gt;=in_marketplace_from,d_hz_loan_cd*G1764,0)*in_loan_cd_ticket*in_loan_cd_comm</f>
        <v/>
      </c>
      <c r="BW1764" s="40">
        <f>BW1763*(1-IF(B1763&gt;=in_marketplace_from,d_hz_loan_vehicle*G1763,0))</f>
        <v/>
      </c>
      <c r="BX1764" s="14">
        <f>F1764*BW1764*IF(B1764&gt;=in_marketplace_from,d_hz_loan_vehicle*G1764,0)*in_loan_vehicle_ticket*in_loan_vehicle_comm</f>
        <v/>
      </c>
      <c r="BY1764" s="40">
        <f>BY1763*(1-IF(B1763&gt;=in_marketplace_from,d_hz_loan_home*G1763,0)*BZ1763)</f>
        <v/>
      </c>
      <c r="BZ1764" s="11">
        <f>MIN(in_approval_cap,in_loan_home_approval*INDEX('Age profile'!$O$2:$O$61,B1764)*(1+in_approval_growth)^(D1764-1))</f>
        <v/>
      </c>
      <c r="CA1764" s="14">
        <f>F1764*BY1764*IF(B1764&gt;=in_marketplace_from,d_hz_loan_home*G1764,0)*BZ1764*in_loan_home_ticket*in_loan_home_comm</f>
        <v/>
      </c>
      <c r="CB1764" s="40">
        <f>CB1763*(1-IF(B1763&gt;=in_marketplace_from,d_hz_loan_lap*G1763,0)*CC1763)</f>
        <v/>
      </c>
      <c r="CC1764" s="11">
        <f>MIN(in_approval_cap,in_loan_lap_approval*INDEX('Age profile'!$O$2:$O$61,B1764)*(1+in_approval_growth)^(D1764-1))</f>
        <v/>
      </c>
      <c r="CD1764" s="14">
        <f>F1764*CB1764*IF(B1764&gt;=in_marketplace_from,d_hz_loan_lap*G1764,0)*CC1764*in_loan_lap_ticket*in_loan_lap_comm</f>
        <v/>
      </c>
      <c r="CE1764" s="14">
        <f>AA1764+AB1764+AC1764+AD1764+AG1764+AJ1764+AM1764+AP1764+AS1764+AU1764+AX1764+BB1764+BE1764+BG1764+BJ1764+BL1764+BO1764+BR1764+BT1764+BV1764+BX1764+CA1764+CD1764</f>
        <v/>
      </c>
    </row>
    <row r="1765">
      <c r="A1765" s="39" t="n">
        <v>49</v>
      </c>
      <c r="B1765" s="39" t="n">
        <v>12</v>
      </c>
      <c r="C1765" s="39">
        <f>A1765+B1765-1</f>
        <v/>
      </c>
      <c r="D1765" s="39">
        <f>INT((C1765-1)/12)+1</f>
        <v/>
      </c>
      <c r="E1765" s="44">
        <f>INDEX(Monthly!$B$2:$B$61,A1765)</f>
        <v/>
      </c>
      <c r="F1765" s="44">
        <f>E1765*INDEX('Age profile'!$B$2:$B$61,B1765)</f>
        <v/>
      </c>
      <c r="G1765" s="45">
        <f>MIN(in_takeup_cap,INDEX('Age profile'!$N$2:$N$61,B1765)*(1+in_takeup_growth)^(D1765-1))</f>
        <v/>
      </c>
      <c r="H1765" s="11">
        <f>MIN(in_approval_cap,in_approved_first*INDEX('Age profile'!$O$2:$O$61,B1765)*(1+in_approval_growth)^(D1765-1))</f>
        <v/>
      </c>
      <c r="I1765" s="45">
        <f>G1765*MIN(in_takeup_cap,INDEX('Age profile'!$O$2:$O$61,B1765)*(1+in_approval_growth)^(D1765-1))</f>
        <v/>
      </c>
      <c r="J1765" s="40">
        <f>(J1764-L1764)*F1765/F1764</f>
        <v/>
      </c>
      <c r="K1765" s="40">
        <f>(K1764-M1764)*F1765/F1764+SUMIFS(O1754:O1764,B1754:B1764,B1765-1-d_T)*F1765</f>
        <v/>
      </c>
      <c r="L1765" s="40">
        <f>IF(B1765&gt;=in_marketplace_from,J1765*d_hz*G1765*in_eligible*H1765,0)</f>
        <v/>
      </c>
      <c r="M1765" s="40">
        <f>IF(B1765&gt;=in_marketplace_from,K1765*d_hz*G1765*in_eligible*in_approved_repeat,0)</f>
        <v/>
      </c>
      <c r="N1765" s="40">
        <f>L1765+M1765</f>
        <v/>
      </c>
      <c r="O1765" s="46">
        <f>N1765/F1765</f>
        <v/>
      </c>
      <c r="P1765" s="40">
        <f>F1765-J1765-K1765</f>
        <v/>
      </c>
      <c r="Q1765" s="40">
        <f>IF(B1765&gt;=in_marketplace_from,(J1765+K1765)*d_hz*G1765,0)</f>
        <v/>
      </c>
      <c r="R1765" s="40">
        <f>SUMIFS(N1754:N1765,B1754:B1765,"&gt;="&amp;(B1765-d_T),B1754:B1765,"&lt;="&amp;(B1765-1))</f>
        <v/>
      </c>
      <c r="S1765" s="46">
        <f>(1-d_u)*S1764+IF(d_T&gt;in_topup_lag,SUMIFS(O1754:O1765,B1754:B1765,B1765-in_topup_lag)-d_udrop*SUMIFS(O1754:O1765,B1754:B1765,B1765-d_T),0)</f>
        <v/>
      </c>
      <c r="T1765" s="40">
        <f>F1765*d_u*S1765</f>
        <v/>
      </c>
      <c r="U1765" s="9">
        <f>L1765*in_ticket+M1765*d_rep_ticket</f>
        <v/>
      </c>
      <c r="V1765" s="9">
        <f>U1765+T1765*d_topup_amt</f>
        <v/>
      </c>
      <c r="W1765" s="40">
        <f>N1765+T1765*d_topup_ratio</f>
        <v/>
      </c>
      <c r="X1765" s="40">
        <f>SUMIFS(W1754:W1765,B1754:B1765,B1765-in_dpd_lag)*d_cured</f>
        <v/>
      </c>
      <c r="Y1765" s="40">
        <f>SUMIFS(W1754:W1765,B1754:B1765,B1765-in_rec_lag)*d_recd</f>
        <v/>
      </c>
      <c r="Z1765" s="40">
        <f>IF(AND(B1765&gt;=in_marketplace_from,B1765&lt;in_marketplace_from+in_card_months),in_card_share/in_card_months*F1765*I1765,IF(AND(B1765&gt;=in_marketplace_from+in_card_months,B1765&lt;in_marketplace_from+2*in_card_months),in_card_share*d_card_rem/in_card_months*F1765*MIN(in_takeup_cap,(1+in_takeup_growth)^(D1765-1))*MIN(in_takeup_cap,(1+in_approval_growth)^(D1765-1)),0))</f>
        <v/>
      </c>
      <c r="AA1765" s="14">
        <f>V1765*in_fee*(1-in_taken_back)</f>
        <v/>
      </c>
      <c r="AB1765" s="14">
        <f>SUMIFS(W1754:W1765,B1754:B1765,B1765-in_dpd_lag)*d_dpd</f>
        <v/>
      </c>
      <c r="AC1765" s="14">
        <f>SUMIFS(W1754:W1765,B1754:B1765,B1765-in_rec_lag)*d_rec</f>
        <v/>
      </c>
      <c r="AD1765" s="14">
        <f>Z1765*in_card_fee</f>
        <v/>
      </c>
      <c r="AE1765" s="40">
        <f>AE1764*(1-IF(B1764&gt;=in_marketplace_from,d_hz_hlth_small*G1764,0))</f>
        <v/>
      </c>
      <c r="AF1765" s="46">
        <f>AE1765*IF(B1765&gt;=in_marketplace_from,d_hz_hlth_small*G1765,0)</f>
        <v/>
      </c>
      <c r="AG1765" s="14">
        <f>F1765*AF1765*in_hlth_small_ticket*in_hlth_small_comm*in_ins_partner_share+F1765*in_hlth_small_ticket*in_hlth_small_renew_comm*in_ins_partner_share*(in_hlth_small_renew^1*SUMIFS(AF1754:AF1765,B1754:B1765,B1765-12)+in_hlth_small_renew^2*SUMIFS(AF1754:AF1765,B1754:B1765,B1765-24)+in_hlth_small_renew^3*SUMIFS(AF1754:AF1765,B1754:B1765,B1765-36)+in_hlth_small_renew^4*SUMIFS(AF1754:AF1765,B1754:B1765,B1765-48))</f>
        <v/>
      </c>
      <c r="AH1765" s="40">
        <f>AH1764*(1-IF(B1764&gt;=in_marketplace_from,d_hz_hlth_family*G1764,0))</f>
        <v/>
      </c>
      <c r="AI1765" s="46">
        <f>AH1765*IF(B1765&gt;=in_marketplace_from,d_hz_hlth_family*G1765,0)</f>
        <v/>
      </c>
      <c r="AJ1765" s="14">
        <f>F1765*AI1765*in_hlth_family_ticket*in_hlth_family_comm*in_ins_partner_share+F1765*in_hlth_family_ticket*in_hlth_family_renew_comm*in_ins_partner_share*(in_hlth_family_renew^1*SUMIFS(AI1754:AI1765,B1754:B1765,B1765-12)+in_hlth_family_renew^2*SUMIFS(AI1754:AI1765,B1754:B1765,B1765-24)+in_hlth_family_renew^3*SUMIFS(AI1754:AI1765,B1754:B1765,B1765-36)+in_hlth_family_renew^4*SUMIFS(AI1754:AI1765,B1754:B1765,B1765-48))</f>
        <v/>
      </c>
      <c r="AK1765" s="40">
        <f>AK1764*(1-IF(B1764&gt;=in_marketplace_from,d_hz_life_term*G1764,0))</f>
        <v/>
      </c>
      <c r="AL1765" s="46">
        <f>AK1765*IF(B1765&gt;=in_marketplace_from,d_hz_life_term*G1765,0)</f>
        <v/>
      </c>
      <c r="AM1765" s="14">
        <f>F1765*AL1765*in_life_term_ticket*in_life_term_comm*in_ins_partner_share+F1765*in_life_term_ticket*in_life_term_renew_comm*in_ins_partner_share*(in_life_term_renew^1*SUMIFS(AL1754:AL1765,B1754:B1765,B1765-12)+in_life_term_renew^2*SUMIFS(AL1754:AL1765,B1754:B1765,B1765-24)+in_life_term_renew^3*SUMIFS(AL1754:AL1765,B1754:B1765,B1765-36)+in_life_term_renew^4*SUMIFS(AL1754:AL1765,B1754:B1765,B1765-48))</f>
        <v/>
      </c>
      <c r="AN1765" s="40">
        <f>AN1764*(1-IF(B1764&gt;=in_marketplace_from,d_hz_accident*G1764,0))</f>
        <v/>
      </c>
      <c r="AO1765" s="46">
        <f>AN1765*IF(B1765&gt;=in_marketplace_from,d_hz_accident*G1765,0)</f>
        <v/>
      </c>
      <c r="AP1765" s="14">
        <f>F1765*AO1765*in_accident_ticket*in_accident_comm*in_ins_partner_share+F1765*in_accident_ticket*in_accident_renew_comm*in_ins_partner_share*(in_accident_renew^1*SUMIFS(AO1754:AO1765,B1754:B1765,B1765-12)+in_accident_renew^2*SUMIFS(AO1754:AO1765,B1754:B1765,B1765-24)+in_accident_renew^3*SUMIFS(AO1754:AO1765,B1754:B1765,B1765-36)+in_accident_renew^4*SUMIFS(AO1754:AO1765,B1754:B1765,B1765-48))</f>
        <v/>
      </c>
      <c r="AQ1765" s="40">
        <f>AQ1764*(1-IF(B1764&gt;=in_marketplace_from,d_hz_two_wheeler*G1764,0))</f>
        <v/>
      </c>
      <c r="AR1765" s="46">
        <f>AQ1765*IF(B1765&gt;=in_marketplace_from,d_hz_two_wheeler*G1765,0)</f>
        <v/>
      </c>
      <c r="AS1765" s="14">
        <f>F1765*AR1765*in_two_wheeler_ticket*in_two_wheeler_comm*in_ins_partner_share+F1765*in_two_wheeler_ticket*in_two_wheeler_comm*in_ins_partner_share*(in_two_wheeler_renew^1*SUMIFS(AR1754:AR1765,B1754:B1765,B1765-12)+in_two_wheeler_renew^2*SUMIFS(AR1754:AR1765,B1754:B1765,B1765-24)+in_two_wheeler_renew^3*SUMIFS(AR1754:AR1765,B1754:B1765,B1765-36)+in_two_wheeler_renew^4*SUMIFS(AR1754:AR1765,B1754:B1765,B1765-48))</f>
        <v/>
      </c>
      <c r="AT1765" s="40">
        <f>AT1764*(1-IF(B1764&gt;=in_marketplace_from,d_hz_device*G1764,0))</f>
        <v/>
      </c>
      <c r="AU1765" s="14">
        <f>F1765*AT1765*IF(B1765&gt;=in_marketplace_from,d_hz_device*G1765,0)*in_device_ticket*in_device_comm*in_ins_partner_share</f>
        <v/>
      </c>
      <c r="AV1765" s="40">
        <f>AV1764*(1-IF(B1764&gt;=in_marketplace_from,d_hz_shop*G1764,0))</f>
        <v/>
      </c>
      <c r="AW1765" s="46">
        <f>AV1765*IF(B1765&gt;=in_marketplace_from,d_hz_shop*G1765,0)</f>
        <v/>
      </c>
      <c r="AX1765" s="14">
        <f>F1765*AW1765*in_shop_ticket*in_shop_comm*in_ins_partner_share+F1765*in_shop_ticket*in_shop_renew_comm*in_ins_partner_share*(in_shop_renew^1*SUMIFS(AW1754:AW1765,B1754:B1765,B1765-12)+in_shop_renew^2*SUMIFS(AW1754:AW1765,B1754:B1765,B1765-24)+in_shop_renew^3*SUMIFS(AW1754:AW1765,B1754:B1765,B1765-36)+in_shop_renew^4*SUMIFS(AW1754:AW1765,B1754:B1765,B1765-48))</f>
        <v/>
      </c>
      <c r="AY1765" s="40">
        <f>AY1764*(1-IF(B1764&gt;=in_marketplace_from,d_hz_sip*G1764,0))</f>
        <v/>
      </c>
      <c r="AZ1765" s="40">
        <f>AZ1764*d_rho_sip+AY1765*IF(B1765&gt;=in_marketplace_from,d_hz_sip*G1765,0)</f>
        <v/>
      </c>
      <c r="BA1765" s="40">
        <f>d_rho_sip*(BA1764+AZ1764)</f>
        <v/>
      </c>
      <c r="BB1765" s="14">
        <f>F1765*in_sip_ticket*(BA1765+0.5*AZ1765)*in_sip_comm/12</f>
        <v/>
      </c>
      <c r="BC1765" s="40">
        <f>BC1764*(1-IF(B1764&gt;=in_marketplace_from,d_hz_choti*G1764,0))</f>
        <v/>
      </c>
      <c r="BD1765" s="46">
        <f>BC1765*IF(B1765&gt;=in_marketplace_from,d_hz_choti*G1765,0)</f>
        <v/>
      </c>
      <c r="BE1765" s="14">
        <f>F1765*SUMIFS(BD1754:BD1765,B1754:B1765,B1765-in_choti_months)*in_choti_renew*in_choti_ticket</f>
        <v/>
      </c>
      <c r="BF1765" s="40">
        <f>BF1764*(1-IF(B1764&gt;=in_marketplace_from,d_hz_nps*G1764,0))</f>
        <v/>
      </c>
      <c r="BG1765" s="14">
        <f>F1765*BF1765*IF(B1765&gt;=in_marketplace_from,d_hz_nps*G1765,0)*in_nps_ticket*in_nps_comm</f>
        <v/>
      </c>
      <c r="BH1765" s="40">
        <f>BH1764*(1-IF(B1764&gt;=in_marketplace_from,d_hz_gold*G1764,0))</f>
        <v/>
      </c>
      <c r="BI1765" s="40">
        <f>BI1764*d_rho_gold+BH1765*IF(B1765&gt;=in_marketplace_from,d_hz_gold*G1765,0)</f>
        <v/>
      </c>
      <c r="BJ1765" s="14">
        <f>F1765*BI1765*in_gold_ticket*in_gold_comm</f>
        <v/>
      </c>
      <c r="BK1765" s="40">
        <f>BK1764*(1-IF(B1764&gt;=in_marketplace_from,d_hz_fd*G1764,0))</f>
        <v/>
      </c>
      <c r="BL1765" s="14">
        <f>F1765*BK1765*IF(B1765&gt;=in_marketplace_from,d_hz_fd*G1765,0)*in_fd_ticket*in_fd_comm</f>
        <v/>
      </c>
      <c r="BM1765" s="40">
        <f>BM1764*(1-IF(B1764&gt;=in_marketplace_from,d_hz_recharge*G1764,0))</f>
        <v/>
      </c>
      <c r="BN1765" s="40">
        <f>BN1764*d_rho_recharge+BM1765*IF(B1765&gt;=in_marketplace_from,d_hz_recharge*G1765,0)</f>
        <v/>
      </c>
      <c r="BO1765" s="14">
        <f>F1765*BN1765*in_recharge_ticket*in_recharge_comm/12</f>
        <v/>
      </c>
      <c r="BP1765" s="40">
        <f>BP1764*(1-IF(B1764&gt;=in_marketplace_from,d_hz_bills*G1764,0))</f>
        <v/>
      </c>
      <c r="BQ1765" s="40">
        <f>BQ1764*d_rho_bills+BP1765*IF(B1765&gt;=in_marketplace_from,d_hz_bills*G1765,0)</f>
        <v/>
      </c>
      <c r="BR1765" s="14">
        <f>F1765*BQ1765*in_bills_ticket*in_bills_comm/12</f>
        <v/>
      </c>
      <c r="BS1765" s="40">
        <f>BS1764*(1-IF(B1764&gt;=in_marketplace_from,d_hz_loan_gold*G1764,0))</f>
        <v/>
      </c>
      <c r="BT1765" s="14">
        <f>F1765*BS1765*IF(B1765&gt;=in_marketplace_from,d_hz_loan_gold*G1765,0)*in_loan_gold_ticket*in_loan_gold_comm</f>
        <v/>
      </c>
      <c r="BU1765" s="40">
        <f>BU1764*(1-IF(B1764&gt;=in_marketplace_from,d_hz_loan_cd*G1764,0))</f>
        <v/>
      </c>
      <c r="BV1765" s="14">
        <f>F1765*BU1765*IF(B1765&gt;=in_marketplace_from,d_hz_loan_cd*G1765,0)*in_loan_cd_ticket*in_loan_cd_comm</f>
        <v/>
      </c>
      <c r="BW1765" s="40">
        <f>BW1764*(1-IF(B1764&gt;=in_marketplace_from,d_hz_loan_vehicle*G1764,0))</f>
        <v/>
      </c>
      <c r="BX1765" s="14">
        <f>F1765*BW1765*IF(B1765&gt;=in_marketplace_from,d_hz_loan_vehicle*G1765,0)*in_loan_vehicle_ticket*in_loan_vehicle_comm</f>
        <v/>
      </c>
      <c r="BY1765" s="40">
        <f>BY1764*(1-IF(B1764&gt;=in_marketplace_from,d_hz_loan_home*G1764,0)*BZ1764)</f>
        <v/>
      </c>
      <c r="BZ1765" s="11">
        <f>MIN(in_approval_cap,in_loan_home_approval*INDEX('Age profile'!$O$2:$O$61,B1765)*(1+in_approval_growth)^(D1765-1))</f>
        <v/>
      </c>
      <c r="CA1765" s="14">
        <f>F1765*BY1765*IF(B1765&gt;=in_marketplace_from,d_hz_loan_home*G1765,0)*BZ1765*in_loan_home_ticket*in_loan_home_comm</f>
        <v/>
      </c>
      <c r="CB1765" s="40">
        <f>CB1764*(1-IF(B1764&gt;=in_marketplace_from,d_hz_loan_lap*G1764,0)*CC1764)</f>
        <v/>
      </c>
      <c r="CC1765" s="11">
        <f>MIN(in_approval_cap,in_loan_lap_approval*INDEX('Age profile'!$O$2:$O$61,B1765)*(1+in_approval_growth)^(D1765-1))</f>
        <v/>
      </c>
      <c r="CD1765" s="14">
        <f>F1765*CB1765*IF(B1765&gt;=in_marketplace_from,d_hz_loan_lap*G1765,0)*CC1765*in_loan_lap_ticket*in_loan_lap_comm</f>
        <v/>
      </c>
      <c r="CE1765" s="14">
        <f>AA1765+AB1765+AC1765+AD1765+AG1765+AJ1765+AM1765+AP1765+AS1765+AU1765+AX1765+BB1765+BE1765+BG1765+BJ1765+BL1765+BO1765+BR1765+BT1765+BV1765+BX1765+CA1765+CD1765</f>
        <v/>
      </c>
    </row>
    <row r="1766">
      <c r="A1766" s="39" t="n">
        <v>50</v>
      </c>
      <c r="B1766" s="39" t="n">
        <v>1</v>
      </c>
      <c r="C1766" s="39">
        <f>A1766+B1766-1</f>
        <v/>
      </c>
      <c r="D1766" s="39">
        <f>INT((C1766-1)/12)+1</f>
        <v/>
      </c>
      <c r="E1766" s="44">
        <f>INDEX(Monthly!$B$2:$B$61,A1766)</f>
        <v/>
      </c>
      <c r="F1766" s="44">
        <f>E1766*INDEX('Age profile'!$B$2:$B$61,B1766)</f>
        <v/>
      </c>
      <c r="G1766" s="45">
        <f>MIN(in_takeup_cap,INDEX('Age profile'!$N$2:$N$61,B1766)*(1+in_takeup_growth)^(D1766-1))</f>
        <v/>
      </c>
      <c r="H1766" s="11">
        <f>MIN(in_approval_cap,in_approved_first*INDEX('Age profile'!$O$2:$O$61,B1766)*(1+in_approval_growth)^(D1766-1))</f>
        <v/>
      </c>
      <c r="I1766" s="45">
        <f>G1766*MIN(in_takeup_cap,INDEX('Age profile'!$O$2:$O$61,B1766)*(1+in_approval_growth)^(D1766-1))</f>
        <v/>
      </c>
      <c r="J1766" s="40">
        <f>E1766</f>
        <v/>
      </c>
      <c r="K1766" s="40" t="n">
        <v>0</v>
      </c>
      <c r="L1766" s="40">
        <f>IF(B1766&gt;=in_marketplace_from,J1766*d_hz*G1766*in_eligible*H1766,0)</f>
        <v/>
      </c>
      <c r="M1766" s="40">
        <f>IF(B1766&gt;=in_marketplace_from,K1766*d_hz*G1766*in_eligible*in_approved_repeat,0)</f>
        <v/>
      </c>
      <c r="N1766" s="40">
        <f>L1766+M1766</f>
        <v/>
      </c>
      <c r="O1766" s="46">
        <f>N1766/F1766</f>
        <v/>
      </c>
      <c r="P1766" s="40">
        <f>F1766-J1766-K1766</f>
        <v/>
      </c>
      <c r="Q1766" s="40">
        <f>IF(B1766&gt;=in_marketplace_from,(J1766+K1766)*d_hz*G1766,0)</f>
        <v/>
      </c>
      <c r="R1766" s="40">
        <f>SUMIFS(N1766:N1776,B1766:B1776,"&gt;="&amp;(B1766-d_T),B1766:B1776,"&lt;="&amp;(B1766-1))</f>
        <v/>
      </c>
      <c r="S1766" s="46" t="n">
        <v>0</v>
      </c>
      <c r="T1766" s="40">
        <f>F1766*d_u*S1766</f>
        <v/>
      </c>
      <c r="U1766" s="9">
        <f>L1766*in_ticket+M1766*d_rep_ticket</f>
        <v/>
      </c>
      <c r="V1766" s="9">
        <f>U1766+T1766*d_topup_amt</f>
        <v/>
      </c>
      <c r="W1766" s="40">
        <f>N1766+T1766*d_topup_ratio</f>
        <v/>
      </c>
      <c r="X1766" s="40">
        <f>SUMIFS(W1766:W1776,B1766:B1776,B1766-in_dpd_lag)*d_cured</f>
        <v/>
      </c>
      <c r="Y1766" s="40">
        <f>SUMIFS(W1766:W1776,B1766:B1776,B1766-in_rec_lag)*d_recd</f>
        <v/>
      </c>
      <c r="Z1766" s="40">
        <f>IF(AND(B1766&gt;=in_marketplace_from,B1766&lt;in_marketplace_from+in_card_months),in_card_share/in_card_months*F1766*I1766,IF(AND(B1766&gt;=in_marketplace_from+in_card_months,B1766&lt;in_marketplace_from+2*in_card_months),in_card_share*d_card_rem/in_card_months*F1766*MIN(in_takeup_cap,(1+in_takeup_growth)^(D1766-1))*MIN(in_takeup_cap,(1+in_approval_growth)^(D1766-1)),0))</f>
        <v/>
      </c>
      <c r="AA1766" s="14">
        <f>V1766*in_fee*(1-in_taken_back)</f>
        <v/>
      </c>
      <c r="AB1766" s="14">
        <f>SUMIFS(W1766:W1776,B1766:B1776,B1766-in_dpd_lag)*d_dpd</f>
        <v/>
      </c>
      <c r="AC1766" s="14">
        <f>SUMIFS(W1766:W1776,B1766:B1776,B1766-in_rec_lag)*d_rec</f>
        <v/>
      </c>
      <c r="AD1766" s="14">
        <f>Z1766*in_card_fee</f>
        <v/>
      </c>
      <c r="AE1766" s="40" t="n">
        <v>1</v>
      </c>
      <c r="AF1766" s="46">
        <f>AE1766*IF(B1766&gt;=in_marketplace_from,d_hz_hlth_small*G1766,0)</f>
        <v/>
      </c>
      <c r="AG1766" s="14">
        <f>F1766*AF1766*in_hlth_small_ticket*in_hlth_small_comm*in_ins_partner_share+F1766*in_hlth_small_ticket*in_hlth_small_renew_comm*in_ins_partner_share*(in_hlth_small_renew^1*SUMIFS(AF1766:AF1776,B1766:B1776,B1766-12)+in_hlth_small_renew^2*SUMIFS(AF1766:AF1776,B1766:B1776,B1766-24)+in_hlth_small_renew^3*SUMIFS(AF1766:AF1776,B1766:B1776,B1766-36)+in_hlth_small_renew^4*SUMIFS(AF1766:AF1776,B1766:B1776,B1766-48))</f>
        <v/>
      </c>
      <c r="AH1766" s="40" t="n">
        <v>1</v>
      </c>
      <c r="AI1766" s="46">
        <f>AH1766*IF(B1766&gt;=in_marketplace_from,d_hz_hlth_family*G1766,0)</f>
        <v/>
      </c>
      <c r="AJ1766" s="14">
        <f>F1766*AI1766*in_hlth_family_ticket*in_hlth_family_comm*in_ins_partner_share+F1766*in_hlth_family_ticket*in_hlth_family_renew_comm*in_ins_partner_share*(in_hlth_family_renew^1*SUMIFS(AI1766:AI1776,B1766:B1776,B1766-12)+in_hlth_family_renew^2*SUMIFS(AI1766:AI1776,B1766:B1776,B1766-24)+in_hlth_family_renew^3*SUMIFS(AI1766:AI1776,B1766:B1776,B1766-36)+in_hlth_family_renew^4*SUMIFS(AI1766:AI1776,B1766:B1776,B1766-48))</f>
        <v/>
      </c>
      <c r="AK1766" s="40" t="n">
        <v>1</v>
      </c>
      <c r="AL1766" s="46">
        <f>AK1766*IF(B1766&gt;=in_marketplace_from,d_hz_life_term*G1766,0)</f>
        <v/>
      </c>
      <c r="AM1766" s="14">
        <f>F1766*AL1766*in_life_term_ticket*in_life_term_comm*in_ins_partner_share+F1766*in_life_term_ticket*in_life_term_renew_comm*in_ins_partner_share*(in_life_term_renew^1*SUMIFS(AL1766:AL1776,B1766:B1776,B1766-12)+in_life_term_renew^2*SUMIFS(AL1766:AL1776,B1766:B1776,B1766-24)+in_life_term_renew^3*SUMIFS(AL1766:AL1776,B1766:B1776,B1766-36)+in_life_term_renew^4*SUMIFS(AL1766:AL1776,B1766:B1776,B1766-48))</f>
        <v/>
      </c>
      <c r="AN1766" s="40" t="n">
        <v>1</v>
      </c>
      <c r="AO1766" s="46">
        <f>AN1766*IF(B1766&gt;=in_marketplace_from,d_hz_accident*G1766,0)</f>
        <v/>
      </c>
      <c r="AP1766" s="14">
        <f>F1766*AO1766*in_accident_ticket*in_accident_comm*in_ins_partner_share+F1766*in_accident_ticket*in_accident_renew_comm*in_ins_partner_share*(in_accident_renew^1*SUMIFS(AO1766:AO1776,B1766:B1776,B1766-12)+in_accident_renew^2*SUMIFS(AO1766:AO1776,B1766:B1776,B1766-24)+in_accident_renew^3*SUMIFS(AO1766:AO1776,B1766:B1776,B1766-36)+in_accident_renew^4*SUMIFS(AO1766:AO1776,B1766:B1776,B1766-48))</f>
        <v/>
      </c>
      <c r="AQ1766" s="40" t="n">
        <v>1</v>
      </c>
      <c r="AR1766" s="46">
        <f>AQ1766*IF(B1766&gt;=in_marketplace_from,d_hz_two_wheeler*G1766,0)</f>
        <v/>
      </c>
      <c r="AS1766" s="14">
        <f>F1766*AR1766*in_two_wheeler_ticket*in_two_wheeler_comm*in_ins_partner_share+F1766*in_two_wheeler_ticket*in_two_wheeler_comm*in_ins_partner_share*(in_two_wheeler_renew^1*SUMIFS(AR1766:AR1776,B1766:B1776,B1766-12)+in_two_wheeler_renew^2*SUMIFS(AR1766:AR1776,B1766:B1776,B1766-24)+in_two_wheeler_renew^3*SUMIFS(AR1766:AR1776,B1766:B1776,B1766-36)+in_two_wheeler_renew^4*SUMIFS(AR1766:AR1776,B1766:B1776,B1766-48))</f>
        <v/>
      </c>
      <c r="AT1766" s="40" t="n">
        <v>1</v>
      </c>
      <c r="AU1766" s="14">
        <f>F1766*AT1766*IF(B1766&gt;=in_marketplace_from,d_hz_device*G1766,0)*in_device_ticket*in_device_comm*in_ins_partner_share</f>
        <v/>
      </c>
      <c r="AV1766" s="40" t="n">
        <v>1</v>
      </c>
      <c r="AW1766" s="46">
        <f>AV1766*IF(B1766&gt;=in_marketplace_from,d_hz_shop*G1766,0)</f>
        <v/>
      </c>
      <c r="AX1766" s="14">
        <f>F1766*AW1766*in_shop_ticket*in_shop_comm*in_ins_partner_share+F1766*in_shop_ticket*in_shop_renew_comm*in_ins_partner_share*(in_shop_renew^1*SUMIFS(AW1766:AW1776,B1766:B1776,B1766-12)+in_shop_renew^2*SUMIFS(AW1766:AW1776,B1766:B1776,B1766-24)+in_shop_renew^3*SUMIFS(AW1766:AW1776,B1766:B1776,B1766-36)+in_shop_renew^4*SUMIFS(AW1766:AW1776,B1766:B1776,B1766-48))</f>
        <v/>
      </c>
      <c r="AY1766" s="40" t="n">
        <v>1</v>
      </c>
      <c r="AZ1766" s="40">
        <f>AY1766*IF(B1766&gt;=in_marketplace_from,d_hz_sip*G1766,0)</f>
        <v/>
      </c>
      <c r="BA1766" s="40" t="n">
        <v>0</v>
      </c>
      <c r="BB1766" s="14">
        <f>F1766*in_sip_ticket*(BA1766+0.5*AZ1766)*in_sip_comm/12</f>
        <v/>
      </c>
      <c r="BC1766" s="40" t="n">
        <v>1</v>
      </c>
      <c r="BD1766" s="46">
        <f>BC1766*IF(B1766&gt;=in_marketplace_from,d_hz_choti*G1766,0)</f>
        <v/>
      </c>
      <c r="BE1766" s="14">
        <f>F1766*SUMIFS(BD1766:BD1776,B1766:B1776,B1766-in_choti_months)*in_choti_renew*in_choti_ticket</f>
        <v/>
      </c>
      <c r="BF1766" s="40" t="n">
        <v>1</v>
      </c>
      <c r="BG1766" s="14">
        <f>F1766*BF1766*IF(B1766&gt;=in_marketplace_from,d_hz_nps*G1766,0)*in_nps_ticket*in_nps_comm</f>
        <v/>
      </c>
      <c r="BH1766" s="40" t="n">
        <v>1</v>
      </c>
      <c r="BI1766" s="40">
        <f>BH1766*IF(B1766&gt;=in_marketplace_from,d_hz_gold*G1766,0)</f>
        <v/>
      </c>
      <c r="BJ1766" s="14">
        <f>F1766*BI1766*in_gold_ticket*in_gold_comm</f>
        <v/>
      </c>
      <c r="BK1766" s="40" t="n">
        <v>1</v>
      </c>
      <c r="BL1766" s="14">
        <f>F1766*BK1766*IF(B1766&gt;=in_marketplace_from,d_hz_fd*G1766,0)*in_fd_ticket*in_fd_comm</f>
        <v/>
      </c>
      <c r="BM1766" s="40" t="n">
        <v>1</v>
      </c>
      <c r="BN1766" s="40">
        <f>BM1766*IF(B1766&gt;=in_marketplace_from,d_hz_recharge*G1766,0)</f>
        <v/>
      </c>
      <c r="BO1766" s="14">
        <f>F1766*BN1766*in_recharge_ticket*in_recharge_comm/12</f>
        <v/>
      </c>
      <c r="BP1766" s="40" t="n">
        <v>1</v>
      </c>
      <c r="BQ1766" s="40">
        <f>BP1766*IF(B1766&gt;=in_marketplace_from,d_hz_bills*G1766,0)</f>
        <v/>
      </c>
      <c r="BR1766" s="14">
        <f>F1766*BQ1766*in_bills_ticket*in_bills_comm/12</f>
        <v/>
      </c>
      <c r="BS1766" s="40" t="n">
        <v>1</v>
      </c>
      <c r="BT1766" s="14">
        <f>F1766*BS1766*IF(B1766&gt;=in_marketplace_from,d_hz_loan_gold*G1766,0)*in_loan_gold_ticket*in_loan_gold_comm</f>
        <v/>
      </c>
      <c r="BU1766" s="40" t="n">
        <v>1</v>
      </c>
      <c r="BV1766" s="14">
        <f>F1766*BU1766*IF(B1766&gt;=in_marketplace_from,d_hz_loan_cd*G1766,0)*in_loan_cd_ticket*in_loan_cd_comm</f>
        <v/>
      </c>
      <c r="BW1766" s="40" t="n">
        <v>1</v>
      </c>
      <c r="BX1766" s="14">
        <f>F1766*BW1766*IF(B1766&gt;=in_marketplace_from,d_hz_loan_vehicle*G1766,0)*in_loan_vehicle_ticket*in_loan_vehicle_comm</f>
        <v/>
      </c>
      <c r="BY1766" s="40" t="n">
        <v>1</v>
      </c>
      <c r="BZ1766" s="11">
        <f>MIN(in_approval_cap,in_loan_home_approval*INDEX('Age profile'!$O$2:$O$61,B1766)*(1+in_approval_growth)^(D1766-1))</f>
        <v/>
      </c>
      <c r="CA1766" s="14">
        <f>F1766*BY1766*IF(B1766&gt;=in_marketplace_from,d_hz_loan_home*G1766,0)*BZ1766*in_loan_home_ticket*in_loan_home_comm</f>
        <v/>
      </c>
      <c r="CB1766" s="40" t="n">
        <v>1</v>
      </c>
      <c r="CC1766" s="11">
        <f>MIN(in_approval_cap,in_loan_lap_approval*INDEX('Age profile'!$O$2:$O$61,B1766)*(1+in_approval_growth)^(D1766-1))</f>
        <v/>
      </c>
      <c r="CD1766" s="14">
        <f>F1766*CB1766*IF(B1766&gt;=in_marketplace_from,d_hz_loan_lap*G1766,0)*CC1766*in_loan_lap_ticket*in_loan_lap_comm</f>
        <v/>
      </c>
      <c r="CE1766" s="14">
        <f>AA1766+AB1766+AC1766+AD1766+AG1766+AJ1766+AM1766+AP1766+AS1766+AU1766+AX1766+BB1766+BE1766+BG1766+BJ1766+BL1766+BO1766+BR1766+BT1766+BV1766+BX1766+CA1766+CD1766</f>
        <v/>
      </c>
    </row>
    <row r="1767">
      <c r="A1767" s="39" t="n">
        <v>50</v>
      </c>
      <c r="B1767" s="39" t="n">
        <v>2</v>
      </c>
      <c r="C1767" s="39">
        <f>A1767+B1767-1</f>
        <v/>
      </c>
      <c r="D1767" s="39">
        <f>INT((C1767-1)/12)+1</f>
        <v/>
      </c>
      <c r="E1767" s="44">
        <f>INDEX(Monthly!$B$2:$B$61,A1767)</f>
        <v/>
      </c>
      <c r="F1767" s="44">
        <f>E1767*INDEX('Age profile'!$B$2:$B$61,B1767)</f>
        <v/>
      </c>
      <c r="G1767" s="45">
        <f>MIN(in_takeup_cap,INDEX('Age profile'!$N$2:$N$61,B1767)*(1+in_takeup_growth)^(D1767-1))</f>
        <v/>
      </c>
      <c r="H1767" s="11">
        <f>MIN(in_approval_cap,in_approved_first*INDEX('Age profile'!$O$2:$O$61,B1767)*(1+in_approval_growth)^(D1767-1))</f>
        <v/>
      </c>
      <c r="I1767" s="45">
        <f>G1767*MIN(in_takeup_cap,INDEX('Age profile'!$O$2:$O$61,B1767)*(1+in_approval_growth)^(D1767-1))</f>
        <v/>
      </c>
      <c r="J1767" s="40">
        <f>(J1766-L1766)*F1767/F1766</f>
        <v/>
      </c>
      <c r="K1767" s="40">
        <f>(K1766-M1766)*F1767/F1766+SUMIFS(O1766:O1766,B1766:B1766,B1767-1-d_T)*F1767</f>
        <v/>
      </c>
      <c r="L1767" s="40">
        <f>IF(B1767&gt;=in_marketplace_from,J1767*d_hz*G1767*in_eligible*H1767,0)</f>
        <v/>
      </c>
      <c r="M1767" s="40">
        <f>IF(B1767&gt;=in_marketplace_from,K1767*d_hz*G1767*in_eligible*in_approved_repeat,0)</f>
        <v/>
      </c>
      <c r="N1767" s="40">
        <f>L1767+M1767</f>
        <v/>
      </c>
      <c r="O1767" s="46">
        <f>N1767/F1767</f>
        <v/>
      </c>
      <c r="P1767" s="40">
        <f>F1767-J1767-K1767</f>
        <v/>
      </c>
      <c r="Q1767" s="40">
        <f>IF(B1767&gt;=in_marketplace_from,(J1767+K1767)*d_hz*G1767,0)</f>
        <v/>
      </c>
      <c r="R1767" s="40">
        <f>SUMIFS(N1766:N1776,B1766:B1776,"&gt;="&amp;(B1767-d_T),B1766:B1776,"&lt;="&amp;(B1767-1))</f>
        <v/>
      </c>
      <c r="S1767" s="46">
        <f>(1-d_u)*S1766+IF(d_T&gt;in_topup_lag,SUMIFS(O1766:O1776,B1766:B1776,B1767-in_topup_lag)-d_udrop*SUMIFS(O1766:O1776,B1766:B1776,B1767-d_T),0)</f>
        <v/>
      </c>
      <c r="T1767" s="40">
        <f>F1767*d_u*S1767</f>
        <v/>
      </c>
      <c r="U1767" s="9">
        <f>L1767*in_ticket+M1767*d_rep_ticket</f>
        <v/>
      </c>
      <c r="V1767" s="9">
        <f>U1767+T1767*d_topup_amt</f>
        <v/>
      </c>
      <c r="W1767" s="40">
        <f>N1767+T1767*d_topup_ratio</f>
        <v/>
      </c>
      <c r="X1767" s="40">
        <f>SUMIFS(W1766:W1776,B1766:B1776,B1767-in_dpd_lag)*d_cured</f>
        <v/>
      </c>
      <c r="Y1767" s="40">
        <f>SUMIFS(W1766:W1776,B1766:B1776,B1767-in_rec_lag)*d_recd</f>
        <v/>
      </c>
      <c r="Z1767" s="40">
        <f>IF(AND(B1767&gt;=in_marketplace_from,B1767&lt;in_marketplace_from+in_card_months),in_card_share/in_card_months*F1767*I1767,IF(AND(B1767&gt;=in_marketplace_from+in_card_months,B1767&lt;in_marketplace_from+2*in_card_months),in_card_share*d_card_rem/in_card_months*F1767*MIN(in_takeup_cap,(1+in_takeup_growth)^(D1767-1))*MIN(in_takeup_cap,(1+in_approval_growth)^(D1767-1)),0))</f>
        <v/>
      </c>
      <c r="AA1767" s="14">
        <f>V1767*in_fee*(1-in_taken_back)</f>
        <v/>
      </c>
      <c r="AB1767" s="14">
        <f>SUMIFS(W1766:W1776,B1766:B1776,B1767-in_dpd_lag)*d_dpd</f>
        <v/>
      </c>
      <c r="AC1767" s="14">
        <f>SUMIFS(W1766:W1776,B1766:B1776,B1767-in_rec_lag)*d_rec</f>
        <v/>
      </c>
      <c r="AD1767" s="14">
        <f>Z1767*in_card_fee</f>
        <v/>
      </c>
      <c r="AE1767" s="40">
        <f>AE1766*(1-IF(B1766&gt;=in_marketplace_from,d_hz_hlth_small*G1766,0))</f>
        <v/>
      </c>
      <c r="AF1767" s="46">
        <f>AE1767*IF(B1767&gt;=in_marketplace_from,d_hz_hlth_small*G1767,0)</f>
        <v/>
      </c>
      <c r="AG1767" s="14">
        <f>F1767*AF1767*in_hlth_small_ticket*in_hlth_small_comm*in_ins_partner_share+F1767*in_hlth_small_ticket*in_hlth_small_renew_comm*in_ins_partner_share*(in_hlth_small_renew^1*SUMIFS(AF1766:AF1776,B1766:B1776,B1767-12)+in_hlth_small_renew^2*SUMIFS(AF1766:AF1776,B1766:B1776,B1767-24)+in_hlth_small_renew^3*SUMIFS(AF1766:AF1776,B1766:B1776,B1767-36)+in_hlth_small_renew^4*SUMIFS(AF1766:AF1776,B1766:B1776,B1767-48))</f>
        <v/>
      </c>
      <c r="AH1767" s="40">
        <f>AH1766*(1-IF(B1766&gt;=in_marketplace_from,d_hz_hlth_family*G1766,0))</f>
        <v/>
      </c>
      <c r="AI1767" s="46">
        <f>AH1767*IF(B1767&gt;=in_marketplace_from,d_hz_hlth_family*G1767,0)</f>
        <v/>
      </c>
      <c r="AJ1767" s="14">
        <f>F1767*AI1767*in_hlth_family_ticket*in_hlth_family_comm*in_ins_partner_share+F1767*in_hlth_family_ticket*in_hlth_family_renew_comm*in_ins_partner_share*(in_hlth_family_renew^1*SUMIFS(AI1766:AI1776,B1766:B1776,B1767-12)+in_hlth_family_renew^2*SUMIFS(AI1766:AI1776,B1766:B1776,B1767-24)+in_hlth_family_renew^3*SUMIFS(AI1766:AI1776,B1766:B1776,B1767-36)+in_hlth_family_renew^4*SUMIFS(AI1766:AI1776,B1766:B1776,B1767-48))</f>
        <v/>
      </c>
      <c r="AK1767" s="40">
        <f>AK1766*(1-IF(B1766&gt;=in_marketplace_from,d_hz_life_term*G1766,0))</f>
        <v/>
      </c>
      <c r="AL1767" s="46">
        <f>AK1767*IF(B1767&gt;=in_marketplace_from,d_hz_life_term*G1767,0)</f>
        <v/>
      </c>
      <c r="AM1767" s="14">
        <f>F1767*AL1767*in_life_term_ticket*in_life_term_comm*in_ins_partner_share+F1767*in_life_term_ticket*in_life_term_renew_comm*in_ins_partner_share*(in_life_term_renew^1*SUMIFS(AL1766:AL1776,B1766:B1776,B1767-12)+in_life_term_renew^2*SUMIFS(AL1766:AL1776,B1766:B1776,B1767-24)+in_life_term_renew^3*SUMIFS(AL1766:AL1776,B1766:B1776,B1767-36)+in_life_term_renew^4*SUMIFS(AL1766:AL1776,B1766:B1776,B1767-48))</f>
        <v/>
      </c>
      <c r="AN1767" s="40">
        <f>AN1766*(1-IF(B1766&gt;=in_marketplace_from,d_hz_accident*G1766,0))</f>
        <v/>
      </c>
      <c r="AO1767" s="46">
        <f>AN1767*IF(B1767&gt;=in_marketplace_from,d_hz_accident*G1767,0)</f>
        <v/>
      </c>
      <c r="AP1767" s="14">
        <f>F1767*AO1767*in_accident_ticket*in_accident_comm*in_ins_partner_share+F1767*in_accident_ticket*in_accident_renew_comm*in_ins_partner_share*(in_accident_renew^1*SUMIFS(AO1766:AO1776,B1766:B1776,B1767-12)+in_accident_renew^2*SUMIFS(AO1766:AO1776,B1766:B1776,B1767-24)+in_accident_renew^3*SUMIFS(AO1766:AO1776,B1766:B1776,B1767-36)+in_accident_renew^4*SUMIFS(AO1766:AO1776,B1766:B1776,B1767-48))</f>
        <v/>
      </c>
      <c r="AQ1767" s="40">
        <f>AQ1766*(1-IF(B1766&gt;=in_marketplace_from,d_hz_two_wheeler*G1766,0))</f>
        <v/>
      </c>
      <c r="AR1767" s="46">
        <f>AQ1767*IF(B1767&gt;=in_marketplace_from,d_hz_two_wheeler*G1767,0)</f>
        <v/>
      </c>
      <c r="AS1767" s="14">
        <f>F1767*AR1767*in_two_wheeler_ticket*in_two_wheeler_comm*in_ins_partner_share+F1767*in_two_wheeler_ticket*in_two_wheeler_comm*in_ins_partner_share*(in_two_wheeler_renew^1*SUMIFS(AR1766:AR1776,B1766:B1776,B1767-12)+in_two_wheeler_renew^2*SUMIFS(AR1766:AR1776,B1766:B1776,B1767-24)+in_two_wheeler_renew^3*SUMIFS(AR1766:AR1776,B1766:B1776,B1767-36)+in_two_wheeler_renew^4*SUMIFS(AR1766:AR1776,B1766:B1776,B1767-48))</f>
        <v/>
      </c>
      <c r="AT1767" s="40">
        <f>AT1766*(1-IF(B1766&gt;=in_marketplace_from,d_hz_device*G1766,0))</f>
        <v/>
      </c>
      <c r="AU1767" s="14">
        <f>F1767*AT1767*IF(B1767&gt;=in_marketplace_from,d_hz_device*G1767,0)*in_device_ticket*in_device_comm*in_ins_partner_share</f>
        <v/>
      </c>
      <c r="AV1767" s="40">
        <f>AV1766*(1-IF(B1766&gt;=in_marketplace_from,d_hz_shop*G1766,0))</f>
        <v/>
      </c>
      <c r="AW1767" s="46">
        <f>AV1767*IF(B1767&gt;=in_marketplace_from,d_hz_shop*G1767,0)</f>
        <v/>
      </c>
      <c r="AX1767" s="14">
        <f>F1767*AW1767*in_shop_ticket*in_shop_comm*in_ins_partner_share+F1767*in_shop_ticket*in_shop_renew_comm*in_ins_partner_share*(in_shop_renew^1*SUMIFS(AW1766:AW1776,B1766:B1776,B1767-12)+in_shop_renew^2*SUMIFS(AW1766:AW1776,B1766:B1776,B1767-24)+in_shop_renew^3*SUMIFS(AW1766:AW1776,B1766:B1776,B1767-36)+in_shop_renew^4*SUMIFS(AW1766:AW1776,B1766:B1776,B1767-48))</f>
        <v/>
      </c>
      <c r="AY1767" s="40">
        <f>AY1766*(1-IF(B1766&gt;=in_marketplace_from,d_hz_sip*G1766,0))</f>
        <v/>
      </c>
      <c r="AZ1767" s="40">
        <f>AZ1766*d_rho_sip+AY1767*IF(B1767&gt;=in_marketplace_from,d_hz_sip*G1767,0)</f>
        <v/>
      </c>
      <c r="BA1767" s="40">
        <f>d_rho_sip*(BA1766+AZ1766)</f>
        <v/>
      </c>
      <c r="BB1767" s="14">
        <f>F1767*in_sip_ticket*(BA1767+0.5*AZ1767)*in_sip_comm/12</f>
        <v/>
      </c>
      <c r="BC1767" s="40">
        <f>BC1766*(1-IF(B1766&gt;=in_marketplace_from,d_hz_choti*G1766,0))</f>
        <v/>
      </c>
      <c r="BD1767" s="46">
        <f>BC1767*IF(B1767&gt;=in_marketplace_from,d_hz_choti*G1767,0)</f>
        <v/>
      </c>
      <c r="BE1767" s="14">
        <f>F1767*SUMIFS(BD1766:BD1776,B1766:B1776,B1767-in_choti_months)*in_choti_renew*in_choti_ticket</f>
        <v/>
      </c>
      <c r="BF1767" s="40">
        <f>BF1766*(1-IF(B1766&gt;=in_marketplace_from,d_hz_nps*G1766,0))</f>
        <v/>
      </c>
      <c r="BG1767" s="14">
        <f>F1767*BF1767*IF(B1767&gt;=in_marketplace_from,d_hz_nps*G1767,0)*in_nps_ticket*in_nps_comm</f>
        <v/>
      </c>
      <c r="BH1767" s="40">
        <f>BH1766*(1-IF(B1766&gt;=in_marketplace_from,d_hz_gold*G1766,0))</f>
        <v/>
      </c>
      <c r="BI1767" s="40">
        <f>BI1766*d_rho_gold+BH1767*IF(B1767&gt;=in_marketplace_from,d_hz_gold*G1767,0)</f>
        <v/>
      </c>
      <c r="BJ1767" s="14">
        <f>F1767*BI1767*in_gold_ticket*in_gold_comm</f>
        <v/>
      </c>
      <c r="BK1767" s="40">
        <f>BK1766*(1-IF(B1766&gt;=in_marketplace_from,d_hz_fd*G1766,0))</f>
        <v/>
      </c>
      <c r="BL1767" s="14">
        <f>F1767*BK1767*IF(B1767&gt;=in_marketplace_from,d_hz_fd*G1767,0)*in_fd_ticket*in_fd_comm</f>
        <v/>
      </c>
      <c r="BM1767" s="40">
        <f>BM1766*(1-IF(B1766&gt;=in_marketplace_from,d_hz_recharge*G1766,0))</f>
        <v/>
      </c>
      <c r="BN1767" s="40">
        <f>BN1766*d_rho_recharge+BM1767*IF(B1767&gt;=in_marketplace_from,d_hz_recharge*G1767,0)</f>
        <v/>
      </c>
      <c r="BO1767" s="14">
        <f>F1767*BN1767*in_recharge_ticket*in_recharge_comm/12</f>
        <v/>
      </c>
      <c r="BP1767" s="40">
        <f>BP1766*(1-IF(B1766&gt;=in_marketplace_from,d_hz_bills*G1766,0))</f>
        <v/>
      </c>
      <c r="BQ1767" s="40">
        <f>BQ1766*d_rho_bills+BP1767*IF(B1767&gt;=in_marketplace_from,d_hz_bills*G1767,0)</f>
        <v/>
      </c>
      <c r="BR1767" s="14">
        <f>F1767*BQ1767*in_bills_ticket*in_bills_comm/12</f>
        <v/>
      </c>
      <c r="BS1767" s="40">
        <f>BS1766*(1-IF(B1766&gt;=in_marketplace_from,d_hz_loan_gold*G1766,0))</f>
        <v/>
      </c>
      <c r="BT1767" s="14">
        <f>F1767*BS1767*IF(B1767&gt;=in_marketplace_from,d_hz_loan_gold*G1767,0)*in_loan_gold_ticket*in_loan_gold_comm</f>
        <v/>
      </c>
      <c r="BU1767" s="40">
        <f>BU1766*(1-IF(B1766&gt;=in_marketplace_from,d_hz_loan_cd*G1766,0))</f>
        <v/>
      </c>
      <c r="BV1767" s="14">
        <f>F1767*BU1767*IF(B1767&gt;=in_marketplace_from,d_hz_loan_cd*G1767,0)*in_loan_cd_ticket*in_loan_cd_comm</f>
        <v/>
      </c>
      <c r="BW1767" s="40">
        <f>BW1766*(1-IF(B1766&gt;=in_marketplace_from,d_hz_loan_vehicle*G1766,0))</f>
        <v/>
      </c>
      <c r="BX1767" s="14">
        <f>F1767*BW1767*IF(B1767&gt;=in_marketplace_from,d_hz_loan_vehicle*G1767,0)*in_loan_vehicle_ticket*in_loan_vehicle_comm</f>
        <v/>
      </c>
      <c r="BY1767" s="40">
        <f>BY1766*(1-IF(B1766&gt;=in_marketplace_from,d_hz_loan_home*G1766,0)*BZ1766)</f>
        <v/>
      </c>
      <c r="BZ1767" s="11">
        <f>MIN(in_approval_cap,in_loan_home_approval*INDEX('Age profile'!$O$2:$O$61,B1767)*(1+in_approval_growth)^(D1767-1))</f>
        <v/>
      </c>
      <c r="CA1767" s="14">
        <f>F1767*BY1767*IF(B1767&gt;=in_marketplace_from,d_hz_loan_home*G1767,0)*BZ1767*in_loan_home_ticket*in_loan_home_comm</f>
        <v/>
      </c>
      <c r="CB1767" s="40">
        <f>CB1766*(1-IF(B1766&gt;=in_marketplace_from,d_hz_loan_lap*G1766,0)*CC1766)</f>
        <v/>
      </c>
      <c r="CC1767" s="11">
        <f>MIN(in_approval_cap,in_loan_lap_approval*INDEX('Age profile'!$O$2:$O$61,B1767)*(1+in_approval_growth)^(D1767-1))</f>
        <v/>
      </c>
      <c r="CD1767" s="14">
        <f>F1767*CB1767*IF(B1767&gt;=in_marketplace_from,d_hz_loan_lap*G1767,0)*CC1767*in_loan_lap_ticket*in_loan_lap_comm</f>
        <v/>
      </c>
      <c r="CE1767" s="14">
        <f>AA1767+AB1767+AC1767+AD1767+AG1767+AJ1767+AM1767+AP1767+AS1767+AU1767+AX1767+BB1767+BE1767+BG1767+BJ1767+BL1767+BO1767+BR1767+BT1767+BV1767+BX1767+CA1767+CD1767</f>
        <v/>
      </c>
    </row>
    <row r="1768">
      <c r="A1768" s="39" t="n">
        <v>50</v>
      </c>
      <c r="B1768" s="39" t="n">
        <v>3</v>
      </c>
      <c r="C1768" s="39">
        <f>A1768+B1768-1</f>
        <v/>
      </c>
      <c r="D1768" s="39">
        <f>INT((C1768-1)/12)+1</f>
        <v/>
      </c>
      <c r="E1768" s="44">
        <f>INDEX(Monthly!$B$2:$B$61,A1768)</f>
        <v/>
      </c>
      <c r="F1768" s="44">
        <f>E1768*INDEX('Age profile'!$B$2:$B$61,B1768)</f>
        <v/>
      </c>
      <c r="G1768" s="45">
        <f>MIN(in_takeup_cap,INDEX('Age profile'!$N$2:$N$61,B1768)*(1+in_takeup_growth)^(D1768-1))</f>
        <v/>
      </c>
      <c r="H1768" s="11">
        <f>MIN(in_approval_cap,in_approved_first*INDEX('Age profile'!$O$2:$O$61,B1768)*(1+in_approval_growth)^(D1768-1))</f>
        <v/>
      </c>
      <c r="I1768" s="45">
        <f>G1768*MIN(in_takeup_cap,INDEX('Age profile'!$O$2:$O$61,B1768)*(1+in_approval_growth)^(D1768-1))</f>
        <v/>
      </c>
      <c r="J1768" s="40">
        <f>(J1767-L1767)*F1768/F1767</f>
        <v/>
      </c>
      <c r="K1768" s="40">
        <f>(K1767-M1767)*F1768/F1767+SUMIFS(O1766:O1767,B1766:B1767,B1768-1-d_T)*F1768</f>
        <v/>
      </c>
      <c r="L1768" s="40">
        <f>IF(B1768&gt;=in_marketplace_from,J1768*d_hz*G1768*in_eligible*H1768,0)</f>
        <v/>
      </c>
      <c r="M1768" s="40">
        <f>IF(B1768&gt;=in_marketplace_from,K1768*d_hz*G1768*in_eligible*in_approved_repeat,0)</f>
        <v/>
      </c>
      <c r="N1768" s="40">
        <f>L1768+M1768</f>
        <v/>
      </c>
      <c r="O1768" s="46">
        <f>N1768/F1768</f>
        <v/>
      </c>
      <c r="P1768" s="40">
        <f>F1768-J1768-K1768</f>
        <v/>
      </c>
      <c r="Q1768" s="40">
        <f>IF(B1768&gt;=in_marketplace_from,(J1768+K1768)*d_hz*G1768,0)</f>
        <v/>
      </c>
      <c r="R1768" s="40">
        <f>SUMIFS(N1766:N1776,B1766:B1776,"&gt;="&amp;(B1768-d_T),B1766:B1776,"&lt;="&amp;(B1768-1))</f>
        <v/>
      </c>
      <c r="S1768" s="46">
        <f>(1-d_u)*S1767+IF(d_T&gt;in_topup_lag,SUMIFS(O1766:O1776,B1766:B1776,B1768-in_topup_lag)-d_udrop*SUMIFS(O1766:O1776,B1766:B1776,B1768-d_T),0)</f>
        <v/>
      </c>
      <c r="T1768" s="40">
        <f>F1768*d_u*S1768</f>
        <v/>
      </c>
      <c r="U1768" s="9">
        <f>L1768*in_ticket+M1768*d_rep_ticket</f>
        <v/>
      </c>
      <c r="V1768" s="9">
        <f>U1768+T1768*d_topup_amt</f>
        <v/>
      </c>
      <c r="W1768" s="40">
        <f>N1768+T1768*d_topup_ratio</f>
        <v/>
      </c>
      <c r="X1768" s="40">
        <f>SUMIFS(W1766:W1776,B1766:B1776,B1768-in_dpd_lag)*d_cured</f>
        <v/>
      </c>
      <c r="Y1768" s="40">
        <f>SUMIFS(W1766:W1776,B1766:B1776,B1768-in_rec_lag)*d_recd</f>
        <v/>
      </c>
      <c r="Z1768" s="40">
        <f>IF(AND(B1768&gt;=in_marketplace_from,B1768&lt;in_marketplace_from+in_card_months),in_card_share/in_card_months*F1768*I1768,IF(AND(B1768&gt;=in_marketplace_from+in_card_months,B1768&lt;in_marketplace_from+2*in_card_months),in_card_share*d_card_rem/in_card_months*F1768*MIN(in_takeup_cap,(1+in_takeup_growth)^(D1768-1))*MIN(in_takeup_cap,(1+in_approval_growth)^(D1768-1)),0))</f>
        <v/>
      </c>
      <c r="AA1768" s="14">
        <f>V1768*in_fee*(1-in_taken_back)</f>
        <v/>
      </c>
      <c r="AB1768" s="14">
        <f>SUMIFS(W1766:W1776,B1766:B1776,B1768-in_dpd_lag)*d_dpd</f>
        <v/>
      </c>
      <c r="AC1768" s="14">
        <f>SUMIFS(W1766:W1776,B1766:B1776,B1768-in_rec_lag)*d_rec</f>
        <v/>
      </c>
      <c r="AD1768" s="14">
        <f>Z1768*in_card_fee</f>
        <v/>
      </c>
      <c r="AE1768" s="40">
        <f>AE1767*(1-IF(B1767&gt;=in_marketplace_from,d_hz_hlth_small*G1767,0))</f>
        <v/>
      </c>
      <c r="AF1768" s="46">
        <f>AE1768*IF(B1768&gt;=in_marketplace_from,d_hz_hlth_small*G1768,0)</f>
        <v/>
      </c>
      <c r="AG1768" s="14">
        <f>F1768*AF1768*in_hlth_small_ticket*in_hlth_small_comm*in_ins_partner_share+F1768*in_hlth_small_ticket*in_hlth_small_renew_comm*in_ins_partner_share*(in_hlth_small_renew^1*SUMIFS(AF1766:AF1776,B1766:B1776,B1768-12)+in_hlth_small_renew^2*SUMIFS(AF1766:AF1776,B1766:B1776,B1768-24)+in_hlth_small_renew^3*SUMIFS(AF1766:AF1776,B1766:B1776,B1768-36)+in_hlth_small_renew^4*SUMIFS(AF1766:AF1776,B1766:B1776,B1768-48))</f>
        <v/>
      </c>
      <c r="AH1768" s="40">
        <f>AH1767*(1-IF(B1767&gt;=in_marketplace_from,d_hz_hlth_family*G1767,0))</f>
        <v/>
      </c>
      <c r="AI1768" s="46">
        <f>AH1768*IF(B1768&gt;=in_marketplace_from,d_hz_hlth_family*G1768,0)</f>
        <v/>
      </c>
      <c r="AJ1768" s="14">
        <f>F1768*AI1768*in_hlth_family_ticket*in_hlth_family_comm*in_ins_partner_share+F1768*in_hlth_family_ticket*in_hlth_family_renew_comm*in_ins_partner_share*(in_hlth_family_renew^1*SUMIFS(AI1766:AI1776,B1766:B1776,B1768-12)+in_hlth_family_renew^2*SUMIFS(AI1766:AI1776,B1766:B1776,B1768-24)+in_hlth_family_renew^3*SUMIFS(AI1766:AI1776,B1766:B1776,B1768-36)+in_hlth_family_renew^4*SUMIFS(AI1766:AI1776,B1766:B1776,B1768-48))</f>
        <v/>
      </c>
      <c r="AK1768" s="40">
        <f>AK1767*(1-IF(B1767&gt;=in_marketplace_from,d_hz_life_term*G1767,0))</f>
        <v/>
      </c>
      <c r="AL1768" s="46">
        <f>AK1768*IF(B1768&gt;=in_marketplace_from,d_hz_life_term*G1768,0)</f>
        <v/>
      </c>
      <c r="AM1768" s="14">
        <f>F1768*AL1768*in_life_term_ticket*in_life_term_comm*in_ins_partner_share+F1768*in_life_term_ticket*in_life_term_renew_comm*in_ins_partner_share*(in_life_term_renew^1*SUMIFS(AL1766:AL1776,B1766:B1776,B1768-12)+in_life_term_renew^2*SUMIFS(AL1766:AL1776,B1766:B1776,B1768-24)+in_life_term_renew^3*SUMIFS(AL1766:AL1776,B1766:B1776,B1768-36)+in_life_term_renew^4*SUMIFS(AL1766:AL1776,B1766:B1776,B1768-48))</f>
        <v/>
      </c>
      <c r="AN1768" s="40">
        <f>AN1767*(1-IF(B1767&gt;=in_marketplace_from,d_hz_accident*G1767,0))</f>
        <v/>
      </c>
      <c r="AO1768" s="46">
        <f>AN1768*IF(B1768&gt;=in_marketplace_from,d_hz_accident*G1768,0)</f>
        <v/>
      </c>
      <c r="AP1768" s="14">
        <f>F1768*AO1768*in_accident_ticket*in_accident_comm*in_ins_partner_share+F1768*in_accident_ticket*in_accident_renew_comm*in_ins_partner_share*(in_accident_renew^1*SUMIFS(AO1766:AO1776,B1766:B1776,B1768-12)+in_accident_renew^2*SUMIFS(AO1766:AO1776,B1766:B1776,B1768-24)+in_accident_renew^3*SUMIFS(AO1766:AO1776,B1766:B1776,B1768-36)+in_accident_renew^4*SUMIFS(AO1766:AO1776,B1766:B1776,B1768-48))</f>
        <v/>
      </c>
      <c r="AQ1768" s="40">
        <f>AQ1767*(1-IF(B1767&gt;=in_marketplace_from,d_hz_two_wheeler*G1767,0))</f>
        <v/>
      </c>
      <c r="AR1768" s="46">
        <f>AQ1768*IF(B1768&gt;=in_marketplace_from,d_hz_two_wheeler*G1768,0)</f>
        <v/>
      </c>
      <c r="AS1768" s="14">
        <f>F1768*AR1768*in_two_wheeler_ticket*in_two_wheeler_comm*in_ins_partner_share+F1768*in_two_wheeler_ticket*in_two_wheeler_comm*in_ins_partner_share*(in_two_wheeler_renew^1*SUMIFS(AR1766:AR1776,B1766:B1776,B1768-12)+in_two_wheeler_renew^2*SUMIFS(AR1766:AR1776,B1766:B1776,B1768-24)+in_two_wheeler_renew^3*SUMIFS(AR1766:AR1776,B1766:B1776,B1768-36)+in_two_wheeler_renew^4*SUMIFS(AR1766:AR1776,B1766:B1776,B1768-48))</f>
        <v/>
      </c>
      <c r="AT1768" s="40">
        <f>AT1767*(1-IF(B1767&gt;=in_marketplace_from,d_hz_device*G1767,0))</f>
        <v/>
      </c>
      <c r="AU1768" s="14">
        <f>F1768*AT1768*IF(B1768&gt;=in_marketplace_from,d_hz_device*G1768,0)*in_device_ticket*in_device_comm*in_ins_partner_share</f>
        <v/>
      </c>
      <c r="AV1768" s="40">
        <f>AV1767*(1-IF(B1767&gt;=in_marketplace_from,d_hz_shop*G1767,0))</f>
        <v/>
      </c>
      <c r="AW1768" s="46">
        <f>AV1768*IF(B1768&gt;=in_marketplace_from,d_hz_shop*G1768,0)</f>
        <v/>
      </c>
      <c r="AX1768" s="14">
        <f>F1768*AW1768*in_shop_ticket*in_shop_comm*in_ins_partner_share+F1768*in_shop_ticket*in_shop_renew_comm*in_ins_partner_share*(in_shop_renew^1*SUMIFS(AW1766:AW1776,B1766:B1776,B1768-12)+in_shop_renew^2*SUMIFS(AW1766:AW1776,B1766:B1776,B1768-24)+in_shop_renew^3*SUMIFS(AW1766:AW1776,B1766:B1776,B1768-36)+in_shop_renew^4*SUMIFS(AW1766:AW1776,B1766:B1776,B1768-48))</f>
        <v/>
      </c>
      <c r="AY1768" s="40">
        <f>AY1767*(1-IF(B1767&gt;=in_marketplace_from,d_hz_sip*G1767,0))</f>
        <v/>
      </c>
      <c r="AZ1768" s="40">
        <f>AZ1767*d_rho_sip+AY1768*IF(B1768&gt;=in_marketplace_from,d_hz_sip*G1768,0)</f>
        <v/>
      </c>
      <c r="BA1768" s="40">
        <f>d_rho_sip*(BA1767+AZ1767)</f>
        <v/>
      </c>
      <c r="BB1768" s="14">
        <f>F1768*in_sip_ticket*(BA1768+0.5*AZ1768)*in_sip_comm/12</f>
        <v/>
      </c>
      <c r="BC1768" s="40">
        <f>BC1767*(1-IF(B1767&gt;=in_marketplace_from,d_hz_choti*G1767,0))</f>
        <v/>
      </c>
      <c r="BD1768" s="46">
        <f>BC1768*IF(B1768&gt;=in_marketplace_from,d_hz_choti*G1768,0)</f>
        <v/>
      </c>
      <c r="BE1768" s="14">
        <f>F1768*SUMIFS(BD1766:BD1776,B1766:B1776,B1768-in_choti_months)*in_choti_renew*in_choti_ticket</f>
        <v/>
      </c>
      <c r="BF1768" s="40">
        <f>BF1767*(1-IF(B1767&gt;=in_marketplace_from,d_hz_nps*G1767,0))</f>
        <v/>
      </c>
      <c r="BG1768" s="14">
        <f>F1768*BF1768*IF(B1768&gt;=in_marketplace_from,d_hz_nps*G1768,0)*in_nps_ticket*in_nps_comm</f>
        <v/>
      </c>
      <c r="BH1768" s="40">
        <f>BH1767*(1-IF(B1767&gt;=in_marketplace_from,d_hz_gold*G1767,0))</f>
        <v/>
      </c>
      <c r="BI1768" s="40">
        <f>BI1767*d_rho_gold+BH1768*IF(B1768&gt;=in_marketplace_from,d_hz_gold*G1768,0)</f>
        <v/>
      </c>
      <c r="BJ1768" s="14">
        <f>F1768*BI1768*in_gold_ticket*in_gold_comm</f>
        <v/>
      </c>
      <c r="BK1768" s="40">
        <f>BK1767*(1-IF(B1767&gt;=in_marketplace_from,d_hz_fd*G1767,0))</f>
        <v/>
      </c>
      <c r="BL1768" s="14">
        <f>F1768*BK1768*IF(B1768&gt;=in_marketplace_from,d_hz_fd*G1768,0)*in_fd_ticket*in_fd_comm</f>
        <v/>
      </c>
      <c r="BM1768" s="40">
        <f>BM1767*(1-IF(B1767&gt;=in_marketplace_from,d_hz_recharge*G1767,0))</f>
        <v/>
      </c>
      <c r="BN1768" s="40">
        <f>BN1767*d_rho_recharge+BM1768*IF(B1768&gt;=in_marketplace_from,d_hz_recharge*G1768,0)</f>
        <v/>
      </c>
      <c r="BO1768" s="14">
        <f>F1768*BN1768*in_recharge_ticket*in_recharge_comm/12</f>
        <v/>
      </c>
      <c r="BP1768" s="40">
        <f>BP1767*(1-IF(B1767&gt;=in_marketplace_from,d_hz_bills*G1767,0))</f>
        <v/>
      </c>
      <c r="BQ1768" s="40">
        <f>BQ1767*d_rho_bills+BP1768*IF(B1768&gt;=in_marketplace_from,d_hz_bills*G1768,0)</f>
        <v/>
      </c>
      <c r="BR1768" s="14">
        <f>F1768*BQ1768*in_bills_ticket*in_bills_comm/12</f>
        <v/>
      </c>
      <c r="BS1768" s="40">
        <f>BS1767*(1-IF(B1767&gt;=in_marketplace_from,d_hz_loan_gold*G1767,0))</f>
        <v/>
      </c>
      <c r="BT1768" s="14">
        <f>F1768*BS1768*IF(B1768&gt;=in_marketplace_from,d_hz_loan_gold*G1768,0)*in_loan_gold_ticket*in_loan_gold_comm</f>
        <v/>
      </c>
      <c r="BU1768" s="40">
        <f>BU1767*(1-IF(B1767&gt;=in_marketplace_from,d_hz_loan_cd*G1767,0))</f>
        <v/>
      </c>
      <c r="BV1768" s="14">
        <f>F1768*BU1768*IF(B1768&gt;=in_marketplace_from,d_hz_loan_cd*G1768,0)*in_loan_cd_ticket*in_loan_cd_comm</f>
        <v/>
      </c>
      <c r="BW1768" s="40">
        <f>BW1767*(1-IF(B1767&gt;=in_marketplace_from,d_hz_loan_vehicle*G1767,0))</f>
        <v/>
      </c>
      <c r="BX1768" s="14">
        <f>F1768*BW1768*IF(B1768&gt;=in_marketplace_from,d_hz_loan_vehicle*G1768,0)*in_loan_vehicle_ticket*in_loan_vehicle_comm</f>
        <v/>
      </c>
      <c r="BY1768" s="40">
        <f>BY1767*(1-IF(B1767&gt;=in_marketplace_from,d_hz_loan_home*G1767,0)*BZ1767)</f>
        <v/>
      </c>
      <c r="BZ1768" s="11">
        <f>MIN(in_approval_cap,in_loan_home_approval*INDEX('Age profile'!$O$2:$O$61,B1768)*(1+in_approval_growth)^(D1768-1))</f>
        <v/>
      </c>
      <c r="CA1768" s="14">
        <f>F1768*BY1768*IF(B1768&gt;=in_marketplace_from,d_hz_loan_home*G1768,0)*BZ1768*in_loan_home_ticket*in_loan_home_comm</f>
        <v/>
      </c>
      <c r="CB1768" s="40">
        <f>CB1767*(1-IF(B1767&gt;=in_marketplace_from,d_hz_loan_lap*G1767,0)*CC1767)</f>
        <v/>
      </c>
      <c r="CC1768" s="11">
        <f>MIN(in_approval_cap,in_loan_lap_approval*INDEX('Age profile'!$O$2:$O$61,B1768)*(1+in_approval_growth)^(D1768-1))</f>
        <v/>
      </c>
      <c r="CD1768" s="14">
        <f>F1768*CB1768*IF(B1768&gt;=in_marketplace_from,d_hz_loan_lap*G1768,0)*CC1768*in_loan_lap_ticket*in_loan_lap_comm</f>
        <v/>
      </c>
      <c r="CE1768" s="14">
        <f>AA1768+AB1768+AC1768+AD1768+AG1768+AJ1768+AM1768+AP1768+AS1768+AU1768+AX1768+BB1768+BE1768+BG1768+BJ1768+BL1768+BO1768+BR1768+BT1768+BV1768+BX1768+CA1768+CD1768</f>
        <v/>
      </c>
    </row>
    <row r="1769">
      <c r="A1769" s="39" t="n">
        <v>50</v>
      </c>
      <c r="B1769" s="39" t="n">
        <v>4</v>
      </c>
      <c r="C1769" s="39">
        <f>A1769+B1769-1</f>
        <v/>
      </c>
      <c r="D1769" s="39">
        <f>INT((C1769-1)/12)+1</f>
        <v/>
      </c>
      <c r="E1769" s="44">
        <f>INDEX(Monthly!$B$2:$B$61,A1769)</f>
        <v/>
      </c>
      <c r="F1769" s="44">
        <f>E1769*INDEX('Age profile'!$B$2:$B$61,B1769)</f>
        <v/>
      </c>
      <c r="G1769" s="45">
        <f>MIN(in_takeup_cap,INDEX('Age profile'!$N$2:$N$61,B1769)*(1+in_takeup_growth)^(D1769-1))</f>
        <v/>
      </c>
      <c r="H1769" s="11">
        <f>MIN(in_approval_cap,in_approved_first*INDEX('Age profile'!$O$2:$O$61,B1769)*(1+in_approval_growth)^(D1769-1))</f>
        <v/>
      </c>
      <c r="I1769" s="45">
        <f>G1769*MIN(in_takeup_cap,INDEX('Age profile'!$O$2:$O$61,B1769)*(1+in_approval_growth)^(D1769-1))</f>
        <v/>
      </c>
      <c r="J1769" s="40">
        <f>(J1768-L1768)*F1769/F1768</f>
        <v/>
      </c>
      <c r="K1769" s="40">
        <f>(K1768-M1768)*F1769/F1768+SUMIFS(O1766:O1768,B1766:B1768,B1769-1-d_T)*F1769</f>
        <v/>
      </c>
      <c r="L1769" s="40">
        <f>IF(B1769&gt;=in_marketplace_from,J1769*d_hz*G1769*in_eligible*H1769,0)</f>
        <v/>
      </c>
      <c r="M1769" s="40">
        <f>IF(B1769&gt;=in_marketplace_from,K1769*d_hz*G1769*in_eligible*in_approved_repeat,0)</f>
        <v/>
      </c>
      <c r="N1769" s="40">
        <f>L1769+M1769</f>
        <v/>
      </c>
      <c r="O1769" s="46">
        <f>N1769/F1769</f>
        <v/>
      </c>
      <c r="P1769" s="40">
        <f>F1769-J1769-K1769</f>
        <v/>
      </c>
      <c r="Q1769" s="40">
        <f>IF(B1769&gt;=in_marketplace_from,(J1769+K1769)*d_hz*G1769,0)</f>
        <v/>
      </c>
      <c r="R1769" s="40">
        <f>SUMIFS(N1766:N1776,B1766:B1776,"&gt;="&amp;(B1769-d_T),B1766:B1776,"&lt;="&amp;(B1769-1))</f>
        <v/>
      </c>
      <c r="S1769" s="46">
        <f>(1-d_u)*S1768+IF(d_T&gt;in_topup_lag,SUMIFS(O1766:O1776,B1766:B1776,B1769-in_topup_lag)-d_udrop*SUMIFS(O1766:O1776,B1766:B1776,B1769-d_T),0)</f>
        <v/>
      </c>
      <c r="T1769" s="40">
        <f>F1769*d_u*S1769</f>
        <v/>
      </c>
      <c r="U1769" s="9">
        <f>L1769*in_ticket+M1769*d_rep_ticket</f>
        <v/>
      </c>
      <c r="V1769" s="9">
        <f>U1769+T1769*d_topup_amt</f>
        <v/>
      </c>
      <c r="W1769" s="40">
        <f>N1769+T1769*d_topup_ratio</f>
        <v/>
      </c>
      <c r="X1769" s="40">
        <f>SUMIFS(W1766:W1776,B1766:B1776,B1769-in_dpd_lag)*d_cured</f>
        <v/>
      </c>
      <c r="Y1769" s="40">
        <f>SUMIFS(W1766:W1776,B1766:B1776,B1769-in_rec_lag)*d_recd</f>
        <v/>
      </c>
      <c r="Z1769" s="40">
        <f>IF(AND(B1769&gt;=in_marketplace_from,B1769&lt;in_marketplace_from+in_card_months),in_card_share/in_card_months*F1769*I1769,IF(AND(B1769&gt;=in_marketplace_from+in_card_months,B1769&lt;in_marketplace_from+2*in_card_months),in_card_share*d_card_rem/in_card_months*F1769*MIN(in_takeup_cap,(1+in_takeup_growth)^(D1769-1))*MIN(in_takeup_cap,(1+in_approval_growth)^(D1769-1)),0))</f>
        <v/>
      </c>
      <c r="AA1769" s="14">
        <f>V1769*in_fee*(1-in_taken_back)</f>
        <v/>
      </c>
      <c r="AB1769" s="14">
        <f>SUMIFS(W1766:W1776,B1766:B1776,B1769-in_dpd_lag)*d_dpd</f>
        <v/>
      </c>
      <c r="AC1769" s="14">
        <f>SUMIFS(W1766:W1776,B1766:B1776,B1769-in_rec_lag)*d_rec</f>
        <v/>
      </c>
      <c r="AD1769" s="14">
        <f>Z1769*in_card_fee</f>
        <v/>
      </c>
      <c r="AE1769" s="40">
        <f>AE1768*(1-IF(B1768&gt;=in_marketplace_from,d_hz_hlth_small*G1768,0))</f>
        <v/>
      </c>
      <c r="AF1769" s="46">
        <f>AE1769*IF(B1769&gt;=in_marketplace_from,d_hz_hlth_small*G1769,0)</f>
        <v/>
      </c>
      <c r="AG1769" s="14">
        <f>F1769*AF1769*in_hlth_small_ticket*in_hlth_small_comm*in_ins_partner_share+F1769*in_hlth_small_ticket*in_hlth_small_renew_comm*in_ins_partner_share*(in_hlth_small_renew^1*SUMIFS(AF1766:AF1776,B1766:B1776,B1769-12)+in_hlth_small_renew^2*SUMIFS(AF1766:AF1776,B1766:B1776,B1769-24)+in_hlth_small_renew^3*SUMIFS(AF1766:AF1776,B1766:B1776,B1769-36)+in_hlth_small_renew^4*SUMIFS(AF1766:AF1776,B1766:B1776,B1769-48))</f>
        <v/>
      </c>
      <c r="AH1769" s="40">
        <f>AH1768*(1-IF(B1768&gt;=in_marketplace_from,d_hz_hlth_family*G1768,0))</f>
        <v/>
      </c>
      <c r="AI1769" s="46">
        <f>AH1769*IF(B1769&gt;=in_marketplace_from,d_hz_hlth_family*G1769,0)</f>
        <v/>
      </c>
      <c r="AJ1769" s="14">
        <f>F1769*AI1769*in_hlth_family_ticket*in_hlth_family_comm*in_ins_partner_share+F1769*in_hlth_family_ticket*in_hlth_family_renew_comm*in_ins_partner_share*(in_hlth_family_renew^1*SUMIFS(AI1766:AI1776,B1766:B1776,B1769-12)+in_hlth_family_renew^2*SUMIFS(AI1766:AI1776,B1766:B1776,B1769-24)+in_hlth_family_renew^3*SUMIFS(AI1766:AI1776,B1766:B1776,B1769-36)+in_hlth_family_renew^4*SUMIFS(AI1766:AI1776,B1766:B1776,B1769-48))</f>
        <v/>
      </c>
      <c r="AK1769" s="40">
        <f>AK1768*(1-IF(B1768&gt;=in_marketplace_from,d_hz_life_term*G1768,0))</f>
        <v/>
      </c>
      <c r="AL1769" s="46">
        <f>AK1769*IF(B1769&gt;=in_marketplace_from,d_hz_life_term*G1769,0)</f>
        <v/>
      </c>
      <c r="AM1769" s="14">
        <f>F1769*AL1769*in_life_term_ticket*in_life_term_comm*in_ins_partner_share+F1769*in_life_term_ticket*in_life_term_renew_comm*in_ins_partner_share*(in_life_term_renew^1*SUMIFS(AL1766:AL1776,B1766:B1776,B1769-12)+in_life_term_renew^2*SUMIFS(AL1766:AL1776,B1766:B1776,B1769-24)+in_life_term_renew^3*SUMIFS(AL1766:AL1776,B1766:B1776,B1769-36)+in_life_term_renew^4*SUMIFS(AL1766:AL1776,B1766:B1776,B1769-48))</f>
        <v/>
      </c>
      <c r="AN1769" s="40">
        <f>AN1768*(1-IF(B1768&gt;=in_marketplace_from,d_hz_accident*G1768,0))</f>
        <v/>
      </c>
      <c r="AO1769" s="46">
        <f>AN1769*IF(B1769&gt;=in_marketplace_from,d_hz_accident*G1769,0)</f>
        <v/>
      </c>
      <c r="AP1769" s="14">
        <f>F1769*AO1769*in_accident_ticket*in_accident_comm*in_ins_partner_share+F1769*in_accident_ticket*in_accident_renew_comm*in_ins_partner_share*(in_accident_renew^1*SUMIFS(AO1766:AO1776,B1766:B1776,B1769-12)+in_accident_renew^2*SUMIFS(AO1766:AO1776,B1766:B1776,B1769-24)+in_accident_renew^3*SUMIFS(AO1766:AO1776,B1766:B1776,B1769-36)+in_accident_renew^4*SUMIFS(AO1766:AO1776,B1766:B1776,B1769-48))</f>
        <v/>
      </c>
      <c r="AQ1769" s="40">
        <f>AQ1768*(1-IF(B1768&gt;=in_marketplace_from,d_hz_two_wheeler*G1768,0))</f>
        <v/>
      </c>
      <c r="AR1769" s="46">
        <f>AQ1769*IF(B1769&gt;=in_marketplace_from,d_hz_two_wheeler*G1769,0)</f>
        <v/>
      </c>
      <c r="AS1769" s="14">
        <f>F1769*AR1769*in_two_wheeler_ticket*in_two_wheeler_comm*in_ins_partner_share+F1769*in_two_wheeler_ticket*in_two_wheeler_comm*in_ins_partner_share*(in_two_wheeler_renew^1*SUMIFS(AR1766:AR1776,B1766:B1776,B1769-12)+in_two_wheeler_renew^2*SUMIFS(AR1766:AR1776,B1766:B1776,B1769-24)+in_two_wheeler_renew^3*SUMIFS(AR1766:AR1776,B1766:B1776,B1769-36)+in_two_wheeler_renew^4*SUMIFS(AR1766:AR1776,B1766:B1776,B1769-48))</f>
        <v/>
      </c>
      <c r="AT1769" s="40">
        <f>AT1768*(1-IF(B1768&gt;=in_marketplace_from,d_hz_device*G1768,0))</f>
        <v/>
      </c>
      <c r="AU1769" s="14">
        <f>F1769*AT1769*IF(B1769&gt;=in_marketplace_from,d_hz_device*G1769,0)*in_device_ticket*in_device_comm*in_ins_partner_share</f>
        <v/>
      </c>
      <c r="AV1769" s="40">
        <f>AV1768*(1-IF(B1768&gt;=in_marketplace_from,d_hz_shop*G1768,0))</f>
        <v/>
      </c>
      <c r="AW1769" s="46">
        <f>AV1769*IF(B1769&gt;=in_marketplace_from,d_hz_shop*G1769,0)</f>
        <v/>
      </c>
      <c r="AX1769" s="14">
        <f>F1769*AW1769*in_shop_ticket*in_shop_comm*in_ins_partner_share+F1769*in_shop_ticket*in_shop_renew_comm*in_ins_partner_share*(in_shop_renew^1*SUMIFS(AW1766:AW1776,B1766:B1776,B1769-12)+in_shop_renew^2*SUMIFS(AW1766:AW1776,B1766:B1776,B1769-24)+in_shop_renew^3*SUMIFS(AW1766:AW1776,B1766:B1776,B1769-36)+in_shop_renew^4*SUMIFS(AW1766:AW1776,B1766:B1776,B1769-48))</f>
        <v/>
      </c>
      <c r="AY1769" s="40">
        <f>AY1768*(1-IF(B1768&gt;=in_marketplace_from,d_hz_sip*G1768,0))</f>
        <v/>
      </c>
      <c r="AZ1769" s="40">
        <f>AZ1768*d_rho_sip+AY1769*IF(B1769&gt;=in_marketplace_from,d_hz_sip*G1769,0)</f>
        <v/>
      </c>
      <c r="BA1769" s="40">
        <f>d_rho_sip*(BA1768+AZ1768)</f>
        <v/>
      </c>
      <c r="BB1769" s="14">
        <f>F1769*in_sip_ticket*(BA1769+0.5*AZ1769)*in_sip_comm/12</f>
        <v/>
      </c>
      <c r="BC1769" s="40">
        <f>BC1768*(1-IF(B1768&gt;=in_marketplace_from,d_hz_choti*G1768,0))</f>
        <v/>
      </c>
      <c r="BD1769" s="46">
        <f>BC1769*IF(B1769&gt;=in_marketplace_from,d_hz_choti*G1769,0)</f>
        <v/>
      </c>
      <c r="BE1769" s="14">
        <f>F1769*SUMIFS(BD1766:BD1776,B1766:B1776,B1769-in_choti_months)*in_choti_renew*in_choti_ticket</f>
        <v/>
      </c>
      <c r="BF1769" s="40">
        <f>BF1768*(1-IF(B1768&gt;=in_marketplace_from,d_hz_nps*G1768,0))</f>
        <v/>
      </c>
      <c r="BG1769" s="14">
        <f>F1769*BF1769*IF(B1769&gt;=in_marketplace_from,d_hz_nps*G1769,0)*in_nps_ticket*in_nps_comm</f>
        <v/>
      </c>
      <c r="BH1769" s="40">
        <f>BH1768*(1-IF(B1768&gt;=in_marketplace_from,d_hz_gold*G1768,0))</f>
        <v/>
      </c>
      <c r="BI1769" s="40">
        <f>BI1768*d_rho_gold+BH1769*IF(B1769&gt;=in_marketplace_from,d_hz_gold*G1769,0)</f>
        <v/>
      </c>
      <c r="BJ1769" s="14">
        <f>F1769*BI1769*in_gold_ticket*in_gold_comm</f>
        <v/>
      </c>
      <c r="BK1769" s="40">
        <f>BK1768*(1-IF(B1768&gt;=in_marketplace_from,d_hz_fd*G1768,0))</f>
        <v/>
      </c>
      <c r="BL1769" s="14">
        <f>F1769*BK1769*IF(B1769&gt;=in_marketplace_from,d_hz_fd*G1769,0)*in_fd_ticket*in_fd_comm</f>
        <v/>
      </c>
      <c r="BM1769" s="40">
        <f>BM1768*(1-IF(B1768&gt;=in_marketplace_from,d_hz_recharge*G1768,0))</f>
        <v/>
      </c>
      <c r="BN1769" s="40">
        <f>BN1768*d_rho_recharge+BM1769*IF(B1769&gt;=in_marketplace_from,d_hz_recharge*G1769,0)</f>
        <v/>
      </c>
      <c r="BO1769" s="14">
        <f>F1769*BN1769*in_recharge_ticket*in_recharge_comm/12</f>
        <v/>
      </c>
      <c r="BP1769" s="40">
        <f>BP1768*(1-IF(B1768&gt;=in_marketplace_from,d_hz_bills*G1768,0))</f>
        <v/>
      </c>
      <c r="BQ1769" s="40">
        <f>BQ1768*d_rho_bills+BP1769*IF(B1769&gt;=in_marketplace_from,d_hz_bills*G1769,0)</f>
        <v/>
      </c>
      <c r="BR1769" s="14">
        <f>F1769*BQ1769*in_bills_ticket*in_bills_comm/12</f>
        <v/>
      </c>
      <c r="BS1769" s="40">
        <f>BS1768*(1-IF(B1768&gt;=in_marketplace_from,d_hz_loan_gold*G1768,0))</f>
        <v/>
      </c>
      <c r="BT1769" s="14">
        <f>F1769*BS1769*IF(B1769&gt;=in_marketplace_from,d_hz_loan_gold*G1769,0)*in_loan_gold_ticket*in_loan_gold_comm</f>
        <v/>
      </c>
      <c r="BU1769" s="40">
        <f>BU1768*(1-IF(B1768&gt;=in_marketplace_from,d_hz_loan_cd*G1768,0))</f>
        <v/>
      </c>
      <c r="BV1769" s="14">
        <f>F1769*BU1769*IF(B1769&gt;=in_marketplace_from,d_hz_loan_cd*G1769,0)*in_loan_cd_ticket*in_loan_cd_comm</f>
        <v/>
      </c>
      <c r="BW1769" s="40">
        <f>BW1768*(1-IF(B1768&gt;=in_marketplace_from,d_hz_loan_vehicle*G1768,0))</f>
        <v/>
      </c>
      <c r="BX1769" s="14">
        <f>F1769*BW1769*IF(B1769&gt;=in_marketplace_from,d_hz_loan_vehicle*G1769,0)*in_loan_vehicle_ticket*in_loan_vehicle_comm</f>
        <v/>
      </c>
      <c r="BY1769" s="40">
        <f>BY1768*(1-IF(B1768&gt;=in_marketplace_from,d_hz_loan_home*G1768,0)*BZ1768)</f>
        <v/>
      </c>
      <c r="BZ1769" s="11">
        <f>MIN(in_approval_cap,in_loan_home_approval*INDEX('Age profile'!$O$2:$O$61,B1769)*(1+in_approval_growth)^(D1769-1))</f>
        <v/>
      </c>
      <c r="CA1769" s="14">
        <f>F1769*BY1769*IF(B1769&gt;=in_marketplace_from,d_hz_loan_home*G1769,0)*BZ1769*in_loan_home_ticket*in_loan_home_comm</f>
        <v/>
      </c>
      <c r="CB1769" s="40">
        <f>CB1768*(1-IF(B1768&gt;=in_marketplace_from,d_hz_loan_lap*G1768,0)*CC1768)</f>
        <v/>
      </c>
      <c r="CC1769" s="11">
        <f>MIN(in_approval_cap,in_loan_lap_approval*INDEX('Age profile'!$O$2:$O$61,B1769)*(1+in_approval_growth)^(D1769-1))</f>
        <v/>
      </c>
      <c r="CD1769" s="14">
        <f>F1769*CB1769*IF(B1769&gt;=in_marketplace_from,d_hz_loan_lap*G1769,0)*CC1769*in_loan_lap_ticket*in_loan_lap_comm</f>
        <v/>
      </c>
      <c r="CE1769" s="14">
        <f>AA1769+AB1769+AC1769+AD1769+AG1769+AJ1769+AM1769+AP1769+AS1769+AU1769+AX1769+BB1769+BE1769+BG1769+BJ1769+BL1769+BO1769+BR1769+BT1769+BV1769+BX1769+CA1769+CD1769</f>
        <v/>
      </c>
    </row>
    <row r="1770">
      <c r="A1770" s="39" t="n">
        <v>50</v>
      </c>
      <c r="B1770" s="39" t="n">
        <v>5</v>
      </c>
      <c r="C1770" s="39">
        <f>A1770+B1770-1</f>
        <v/>
      </c>
      <c r="D1770" s="39">
        <f>INT((C1770-1)/12)+1</f>
        <v/>
      </c>
      <c r="E1770" s="44">
        <f>INDEX(Monthly!$B$2:$B$61,A1770)</f>
        <v/>
      </c>
      <c r="F1770" s="44">
        <f>E1770*INDEX('Age profile'!$B$2:$B$61,B1770)</f>
        <v/>
      </c>
      <c r="G1770" s="45">
        <f>MIN(in_takeup_cap,INDEX('Age profile'!$N$2:$N$61,B1770)*(1+in_takeup_growth)^(D1770-1))</f>
        <v/>
      </c>
      <c r="H1770" s="11">
        <f>MIN(in_approval_cap,in_approved_first*INDEX('Age profile'!$O$2:$O$61,B1770)*(1+in_approval_growth)^(D1770-1))</f>
        <v/>
      </c>
      <c r="I1770" s="45">
        <f>G1770*MIN(in_takeup_cap,INDEX('Age profile'!$O$2:$O$61,B1770)*(1+in_approval_growth)^(D1770-1))</f>
        <v/>
      </c>
      <c r="J1770" s="40">
        <f>(J1769-L1769)*F1770/F1769</f>
        <v/>
      </c>
      <c r="K1770" s="40">
        <f>(K1769-M1769)*F1770/F1769+SUMIFS(O1766:O1769,B1766:B1769,B1770-1-d_T)*F1770</f>
        <v/>
      </c>
      <c r="L1770" s="40">
        <f>IF(B1770&gt;=in_marketplace_from,J1770*d_hz*G1770*in_eligible*H1770,0)</f>
        <v/>
      </c>
      <c r="M1770" s="40">
        <f>IF(B1770&gt;=in_marketplace_from,K1770*d_hz*G1770*in_eligible*in_approved_repeat,0)</f>
        <v/>
      </c>
      <c r="N1770" s="40">
        <f>L1770+M1770</f>
        <v/>
      </c>
      <c r="O1770" s="46">
        <f>N1770/F1770</f>
        <v/>
      </c>
      <c r="P1770" s="40">
        <f>F1770-J1770-K1770</f>
        <v/>
      </c>
      <c r="Q1770" s="40">
        <f>IF(B1770&gt;=in_marketplace_from,(J1770+K1770)*d_hz*G1770,0)</f>
        <v/>
      </c>
      <c r="R1770" s="40">
        <f>SUMIFS(N1766:N1776,B1766:B1776,"&gt;="&amp;(B1770-d_T),B1766:B1776,"&lt;="&amp;(B1770-1))</f>
        <v/>
      </c>
      <c r="S1770" s="46">
        <f>(1-d_u)*S1769+IF(d_T&gt;in_topup_lag,SUMIFS(O1766:O1776,B1766:B1776,B1770-in_topup_lag)-d_udrop*SUMIFS(O1766:O1776,B1766:B1776,B1770-d_T),0)</f>
        <v/>
      </c>
      <c r="T1770" s="40">
        <f>F1770*d_u*S1770</f>
        <v/>
      </c>
      <c r="U1770" s="9">
        <f>L1770*in_ticket+M1770*d_rep_ticket</f>
        <v/>
      </c>
      <c r="V1770" s="9">
        <f>U1770+T1770*d_topup_amt</f>
        <v/>
      </c>
      <c r="W1770" s="40">
        <f>N1770+T1770*d_topup_ratio</f>
        <v/>
      </c>
      <c r="X1770" s="40">
        <f>SUMIFS(W1766:W1776,B1766:B1776,B1770-in_dpd_lag)*d_cured</f>
        <v/>
      </c>
      <c r="Y1770" s="40">
        <f>SUMIFS(W1766:W1776,B1766:B1776,B1770-in_rec_lag)*d_recd</f>
        <v/>
      </c>
      <c r="Z1770" s="40">
        <f>IF(AND(B1770&gt;=in_marketplace_from,B1770&lt;in_marketplace_from+in_card_months),in_card_share/in_card_months*F1770*I1770,IF(AND(B1770&gt;=in_marketplace_from+in_card_months,B1770&lt;in_marketplace_from+2*in_card_months),in_card_share*d_card_rem/in_card_months*F1770*MIN(in_takeup_cap,(1+in_takeup_growth)^(D1770-1))*MIN(in_takeup_cap,(1+in_approval_growth)^(D1770-1)),0))</f>
        <v/>
      </c>
      <c r="AA1770" s="14">
        <f>V1770*in_fee*(1-in_taken_back)</f>
        <v/>
      </c>
      <c r="AB1770" s="14">
        <f>SUMIFS(W1766:W1776,B1766:B1776,B1770-in_dpd_lag)*d_dpd</f>
        <v/>
      </c>
      <c r="AC1770" s="14">
        <f>SUMIFS(W1766:W1776,B1766:B1776,B1770-in_rec_lag)*d_rec</f>
        <v/>
      </c>
      <c r="AD1770" s="14">
        <f>Z1770*in_card_fee</f>
        <v/>
      </c>
      <c r="AE1770" s="40">
        <f>AE1769*(1-IF(B1769&gt;=in_marketplace_from,d_hz_hlth_small*G1769,0))</f>
        <v/>
      </c>
      <c r="AF1770" s="46">
        <f>AE1770*IF(B1770&gt;=in_marketplace_from,d_hz_hlth_small*G1770,0)</f>
        <v/>
      </c>
      <c r="AG1770" s="14">
        <f>F1770*AF1770*in_hlth_small_ticket*in_hlth_small_comm*in_ins_partner_share+F1770*in_hlth_small_ticket*in_hlth_small_renew_comm*in_ins_partner_share*(in_hlth_small_renew^1*SUMIFS(AF1766:AF1776,B1766:B1776,B1770-12)+in_hlth_small_renew^2*SUMIFS(AF1766:AF1776,B1766:B1776,B1770-24)+in_hlth_small_renew^3*SUMIFS(AF1766:AF1776,B1766:B1776,B1770-36)+in_hlth_small_renew^4*SUMIFS(AF1766:AF1776,B1766:B1776,B1770-48))</f>
        <v/>
      </c>
      <c r="AH1770" s="40">
        <f>AH1769*(1-IF(B1769&gt;=in_marketplace_from,d_hz_hlth_family*G1769,0))</f>
        <v/>
      </c>
      <c r="AI1770" s="46">
        <f>AH1770*IF(B1770&gt;=in_marketplace_from,d_hz_hlth_family*G1770,0)</f>
        <v/>
      </c>
      <c r="AJ1770" s="14">
        <f>F1770*AI1770*in_hlth_family_ticket*in_hlth_family_comm*in_ins_partner_share+F1770*in_hlth_family_ticket*in_hlth_family_renew_comm*in_ins_partner_share*(in_hlth_family_renew^1*SUMIFS(AI1766:AI1776,B1766:B1776,B1770-12)+in_hlth_family_renew^2*SUMIFS(AI1766:AI1776,B1766:B1776,B1770-24)+in_hlth_family_renew^3*SUMIFS(AI1766:AI1776,B1766:B1776,B1770-36)+in_hlth_family_renew^4*SUMIFS(AI1766:AI1776,B1766:B1776,B1770-48))</f>
        <v/>
      </c>
      <c r="AK1770" s="40">
        <f>AK1769*(1-IF(B1769&gt;=in_marketplace_from,d_hz_life_term*G1769,0))</f>
        <v/>
      </c>
      <c r="AL1770" s="46">
        <f>AK1770*IF(B1770&gt;=in_marketplace_from,d_hz_life_term*G1770,0)</f>
        <v/>
      </c>
      <c r="AM1770" s="14">
        <f>F1770*AL1770*in_life_term_ticket*in_life_term_comm*in_ins_partner_share+F1770*in_life_term_ticket*in_life_term_renew_comm*in_ins_partner_share*(in_life_term_renew^1*SUMIFS(AL1766:AL1776,B1766:B1776,B1770-12)+in_life_term_renew^2*SUMIFS(AL1766:AL1776,B1766:B1776,B1770-24)+in_life_term_renew^3*SUMIFS(AL1766:AL1776,B1766:B1776,B1770-36)+in_life_term_renew^4*SUMIFS(AL1766:AL1776,B1766:B1776,B1770-48))</f>
        <v/>
      </c>
      <c r="AN1770" s="40">
        <f>AN1769*(1-IF(B1769&gt;=in_marketplace_from,d_hz_accident*G1769,0))</f>
        <v/>
      </c>
      <c r="AO1770" s="46">
        <f>AN1770*IF(B1770&gt;=in_marketplace_from,d_hz_accident*G1770,0)</f>
        <v/>
      </c>
      <c r="AP1770" s="14">
        <f>F1770*AO1770*in_accident_ticket*in_accident_comm*in_ins_partner_share+F1770*in_accident_ticket*in_accident_renew_comm*in_ins_partner_share*(in_accident_renew^1*SUMIFS(AO1766:AO1776,B1766:B1776,B1770-12)+in_accident_renew^2*SUMIFS(AO1766:AO1776,B1766:B1776,B1770-24)+in_accident_renew^3*SUMIFS(AO1766:AO1776,B1766:B1776,B1770-36)+in_accident_renew^4*SUMIFS(AO1766:AO1776,B1766:B1776,B1770-48))</f>
        <v/>
      </c>
      <c r="AQ1770" s="40">
        <f>AQ1769*(1-IF(B1769&gt;=in_marketplace_from,d_hz_two_wheeler*G1769,0))</f>
        <v/>
      </c>
      <c r="AR1770" s="46">
        <f>AQ1770*IF(B1770&gt;=in_marketplace_from,d_hz_two_wheeler*G1770,0)</f>
        <v/>
      </c>
      <c r="AS1770" s="14">
        <f>F1770*AR1770*in_two_wheeler_ticket*in_two_wheeler_comm*in_ins_partner_share+F1770*in_two_wheeler_ticket*in_two_wheeler_comm*in_ins_partner_share*(in_two_wheeler_renew^1*SUMIFS(AR1766:AR1776,B1766:B1776,B1770-12)+in_two_wheeler_renew^2*SUMIFS(AR1766:AR1776,B1766:B1776,B1770-24)+in_two_wheeler_renew^3*SUMIFS(AR1766:AR1776,B1766:B1776,B1770-36)+in_two_wheeler_renew^4*SUMIFS(AR1766:AR1776,B1766:B1776,B1770-48))</f>
        <v/>
      </c>
      <c r="AT1770" s="40">
        <f>AT1769*(1-IF(B1769&gt;=in_marketplace_from,d_hz_device*G1769,0))</f>
        <v/>
      </c>
      <c r="AU1770" s="14">
        <f>F1770*AT1770*IF(B1770&gt;=in_marketplace_from,d_hz_device*G1770,0)*in_device_ticket*in_device_comm*in_ins_partner_share</f>
        <v/>
      </c>
      <c r="AV1770" s="40">
        <f>AV1769*(1-IF(B1769&gt;=in_marketplace_from,d_hz_shop*G1769,0))</f>
        <v/>
      </c>
      <c r="AW1770" s="46">
        <f>AV1770*IF(B1770&gt;=in_marketplace_from,d_hz_shop*G1770,0)</f>
        <v/>
      </c>
      <c r="AX1770" s="14">
        <f>F1770*AW1770*in_shop_ticket*in_shop_comm*in_ins_partner_share+F1770*in_shop_ticket*in_shop_renew_comm*in_ins_partner_share*(in_shop_renew^1*SUMIFS(AW1766:AW1776,B1766:B1776,B1770-12)+in_shop_renew^2*SUMIFS(AW1766:AW1776,B1766:B1776,B1770-24)+in_shop_renew^3*SUMIFS(AW1766:AW1776,B1766:B1776,B1770-36)+in_shop_renew^4*SUMIFS(AW1766:AW1776,B1766:B1776,B1770-48))</f>
        <v/>
      </c>
      <c r="AY1770" s="40">
        <f>AY1769*(1-IF(B1769&gt;=in_marketplace_from,d_hz_sip*G1769,0))</f>
        <v/>
      </c>
      <c r="AZ1770" s="40">
        <f>AZ1769*d_rho_sip+AY1770*IF(B1770&gt;=in_marketplace_from,d_hz_sip*G1770,0)</f>
        <v/>
      </c>
      <c r="BA1770" s="40">
        <f>d_rho_sip*(BA1769+AZ1769)</f>
        <v/>
      </c>
      <c r="BB1770" s="14">
        <f>F1770*in_sip_ticket*(BA1770+0.5*AZ1770)*in_sip_comm/12</f>
        <v/>
      </c>
      <c r="BC1770" s="40">
        <f>BC1769*(1-IF(B1769&gt;=in_marketplace_from,d_hz_choti*G1769,0))</f>
        <v/>
      </c>
      <c r="BD1770" s="46">
        <f>BC1770*IF(B1770&gt;=in_marketplace_from,d_hz_choti*G1770,0)</f>
        <v/>
      </c>
      <c r="BE1770" s="14">
        <f>F1770*SUMIFS(BD1766:BD1776,B1766:B1776,B1770-in_choti_months)*in_choti_renew*in_choti_ticket</f>
        <v/>
      </c>
      <c r="BF1770" s="40">
        <f>BF1769*(1-IF(B1769&gt;=in_marketplace_from,d_hz_nps*G1769,0))</f>
        <v/>
      </c>
      <c r="BG1770" s="14">
        <f>F1770*BF1770*IF(B1770&gt;=in_marketplace_from,d_hz_nps*G1770,0)*in_nps_ticket*in_nps_comm</f>
        <v/>
      </c>
      <c r="BH1770" s="40">
        <f>BH1769*(1-IF(B1769&gt;=in_marketplace_from,d_hz_gold*G1769,0))</f>
        <v/>
      </c>
      <c r="BI1770" s="40">
        <f>BI1769*d_rho_gold+BH1770*IF(B1770&gt;=in_marketplace_from,d_hz_gold*G1770,0)</f>
        <v/>
      </c>
      <c r="BJ1770" s="14">
        <f>F1770*BI1770*in_gold_ticket*in_gold_comm</f>
        <v/>
      </c>
      <c r="BK1770" s="40">
        <f>BK1769*(1-IF(B1769&gt;=in_marketplace_from,d_hz_fd*G1769,0))</f>
        <v/>
      </c>
      <c r="BL1770" s="14">
        <f>F1770*BK1770*IF(B1770&gt;=in_marketplace_from,d_hz_fd*G1770,0)*in_fd_ticket*in_fd_comm</f>
        <v/>
      </c>
      <c r="BM1770" s="40">
        <f>BM1769*(1-IF(B1769&gt;=in_marketplace_from,d_hz_recharge*G1769,0))</f>
        <v/>
      </c>
      <c r="BN1770" s="40">
        <f>BN1769*d_rho_recharge+BM1770*IF(B1770&gt;=in_marketplace_from,d_hz_recharge*G1770,0)</f>
        <v/>
      </c>
      <c r="BO1770" s="14">
        <f>F1770*BN1770*in_recharge_ticket*in_recharge_comm/12</f>
        <v/>
      </c>
      <c r="BP1770" s="40">
        <f>BP1769*(1-IF(B1769&gt;=in_marketplace_from,d_hz_bills*G1769,0))</f>
        <v/>
      </c>
      <c r="BQ1770" s="40">
        <f>BQ1769*d_rho_bills+BP1770*IF(B1770&gt;=in_marketplace_from,d_hz_bills*G1770,0)</f>
        <v/>
      </c>
      <c r="BR1770" s="14">
        <f>F1770*BQ1770*in_bills_ticket*in_bills_comm/12</f>
        <v/>
      </c>
      <c r="BS1770" s="40">
        <f>BS1769*(1-IF(B1769&gt;=in_marketplace_from,d_hz_loan_gold*G1769,0))</f>
        <v/>
      </c>
      <c r="BT1770" s="14">
        <f>F1770*BS1770*IF(B1770&gt;=in_marketplace_from,d_hz_loan_gold*G1770,0)*in_loan_gold_ticket*in_loan_gold_comm</f>
        <v/>
      </c>
      <c r="BU1770" s="40">
        <f>BU1769*(1-IF(B1769&gt;=in_marketplace_from,d_hz_loan_cd*G1769,0))</f>
        <v/>
      </c>
      <c r="BV1770" s="14">
        <f>F1770*BU1770*IF(B1770&gt;=in_marketplace_from,d_hz_loan_cd*G1770,0)*in_loan_cd_ticket*in_loan_cd_comm</f>
        <v/>
      </c>
      <c r="BW1770" s="40">
        <f>BW1769*(1-IF(B1769&gt;=in_marketplace_from,d_hz_loan_vehicle*G1769,0))</f>
        <v/>
      </c>
      <c r="BX1770" s="14">
        <f>F1770*BW1770*IF(B1770&gt;=in_marketplace_from,d_hz_loan_vehicle*G1770,0)*in_loan_vehicle_ticket*in_loan_vehicle_comm</f>
        <v/>
      </c>
      <c r="BY1770" s="40">
        <f>BY1769*(1-IF(B1769&gt;=in_marketplace_from,d_hz_loan_home*G1769,0)*BZ1769)</f>
        <v/>
      </c>
      <c r="BZ1770" s="11">
        <f>MIN(in_approval_cap,in_loan_home_approval*INDEX('Age profile'!$O$2:$O$61,B1770)*(1+in_approval_growth)^(D1770-1))</f>
        <v/>
      </c>
      <c r="CA1770" s="14">
        <f>F1770*BY1770*IF(B1770&gt;=in_marketplace_from,d_hz_loan_home*G1770,0)*BZ1770*in_loan_home_ticket*in_loan_home_comm</f>
        <v/>
      </c>
      <c r="CB1770" s="40">
        <f>CB1769*(1-IF(B1769&gt;=in_marketplace_from,d_hz_loan_lap*G1769,0)*CC1769)</f>
        <v/>
      </c>
      <c r="CC1770" s="11">
        <f>MIN(in_approval_cap,in_loan_lap_approval*INDEX('Age profile'!$O$2:$O$61,B1770)*(1+in_approval_growth)^(D1770-1))</f>
        <v/>
      </c>
      <c r="CD1770" s="14">
        <f>F1770*CB1770*IF(B1770&gt;=in_marketplace_from,d_hz_loan_lap*G1770,0)*CC1770*in_loan_lap_ticket*in_loan_lap_comm</f>
        <v/>
      </c>
      <c r="CE1770" s="14">
        <f>AA1770+AB1770+AC1770+AD1770+AG1770+AJ1770+AM1770+AP1770+AS1770+AU1770+AX1770+BB1770+BE1770+BG1770+BJ1770+BL1770+BO1770+BR1770+BT1770+BV1770+BX1770+CA1770+CD1770</f>
        <v/>
      </c>
    </row>
    <row r="1771">
      <c r="A1771" s="39" t="n">
        <v>50</v>
      </c>
      <c r="B1771" s="39" t="n">
        <v>6</v>
      </c>
      <c r="C1771" s="39">
        <f>A1771+B1771-1</f>
        <v/>
      </c>
      <c r="D1771" s="39">
        <f>INT((C1771-1)/12)+1</f>
        <v/>
      </c>
      <c r="E1771" s="44">
        <f>INDEX(Monthly!$B$2:$B$61,A1771)</f>
        <v/>
      </c>
      <c r="F1771" s="44">
        <f>E1771*INDEX('Age profile'!$B$2:$B$61,B1771)</f>
        <v/>
      </c>
      <c r="G1771" s="45">
        <f>MIN(in_takeup_cap,INDEX('Age profile'!$N$2:$N$61,B1771)*(1+in_takeup_growth)^(D1771-1))</f>
        <v/>
      </c>
      <c r="H1771" s="11">
        <f>MIN(in_approval_cap,in_approved_first*INDEX('Age profile'!$O$2:$O$61,B1771)*(1+in_approval_growth)^(D1771-1))</f>
        <v/>
      </c>
      <c r="I1771" s="45">
        <f>G1771*MIN(in_takeup_cap,INDEX('Age profile'!$O$2:$O$61,B1771)*(1+in_approval_growth)^(D1771-1))</f>
        <v/>
      </c>
      <c r="J1771" s="40">
        <f>(J1770-L1770)*F1771/F1770</f>
        <v/>
      </c>
      <c r="K1771" s="40">
        <f>(K1770-M1770)*F1771/F1770+SUMIFS(O1766:O1770,B1766:B1770,B1771-1-d_T)*F1771</f>
        <v/>
      </c>
      <c r="L1771" s="40">
        <f>IF(B1771&gt;=in_marketplace_from,J1771*d_hz*G1771*in_eligible*H1771,0)</f>
        <v/>
      </c>
      <c r="M1771" s="40">
        <f>IF(B1771&gt;=in_marketplace_from,K1771*d_hz*G1771*in_eligible*in_approved_repeat,0)</f>
        <v/>
      </c>
      <c r="N1771" s="40">
        <f>L1771+M1771</f>
        <v/>
      </c>
      <c r="O1771" s="46">
        <f>N1771/F1771</f>
        <v/>
      </c>
      <c r="P1771" s="40">
        <f>F1771-J1771-K1771</f>
        <v/>
      </c>
      <c r="Q1771" s="40">
        <f>IF(B1771&gt;=in_marketplace_from,(J1771+K1771)*d_hz*G1771,0)</f>
        <v/>
      </c>
      <c r="R1771" s="40">
        <f>SUMIFS(N1766:N1776,B1766:B1776,"&gt;="&amp;(B1771-d_T),B1766:B1776,"&lt;="&amp;(B1771-1))</f>
        <v/>
      </c>
      <c r="S1771" s="46">
        <f>(1-d_u)*S1770+IF(d_T&gt;in_topup_lag,SUMIFS(O1766:O1776,B1766:B1776,B1771-in_topup_lag)-d_udrop*SUMIFS(O1766:O1776,B1766:B1776,B1771-d_T),0)</f>
        <v/>
      </c>
      <c r="T1771" s="40">
        <f>F1771*d_u*S1771</f>
        <v/>
      </c>
      <c r="U1771" s="9">
        <f>L1771*in_ticket+M1771*d_rep_ticket</f>
        <v/>
      </c>
      <c r="V1771" s="9">
        <f>U1771+T1771*d_topup_amt</f>
        <v/>
      </c>
      <c r="W1771" s="40">
        <f>N1771+T1771*d_topup_ratio</f>
        <v/>
      </c>
      <c r="X1771" s="40">
        <f>SUMIFS(W1766:W1776,B1766:B1776,B1771-in_dpd_lag)*d_cured</f>
        <v/>
      </c>
      <c r="Y1771" s="40">
        <f>SUMIFS(W1766:W1776,B1766:B1776,B1771-in_rec_lag)*d_recd</f>
        <v/>
      </c>
      <c r="Z1771" s="40">
        <f>IF(AND(B1771&gt;=in_marketplace_from,B1771&lt;in_marketplace_from+in_card_months),in_card_share/in_card_months*F1771*I1771,IF(AND(B1771&gt;=in_marketplace_from+in_card_months,B1771&lt;in_marketplace_from+2*in_card_months),in_card_share*d_card_rem/in_card_months*F1771*MIN(in_takeup_cap,(1+in_takeup_growth)^(D1771-1))*MIN(in_takeup_cap,(1+in_approval_growth)^(D1771-1)),0))</f>
        <v/>
      </c>
      <c r="AA1771" s="14">
        <f>V1771*in_fee*(1-in_taken_back)</f>
        <v/>
      </c>
      <c r="AB1771" s="14">
        <f>SUMIFS(W1766:W1776,B1766:B1776,B1771-in_dpd_lag)*d_dpd</f>
        <v/>
      </c>
      <c r="AC1771" s="14">
        <f>SUMIFS(W1766:W1776,B1766:B1776,B1771-in_rec_lag)*d_rec</f>
        <v/>
      </c>
      <c r="AD1771" s="14">
        <f>Z1771*in_card_fee</f>
        <v/>
      </c>
      <c r="AE1771" s="40">
        <f>AE1770*(1-IF(B1770&gt;=in_marketplace_from,d_hz_hlth_small*G1770,0))</f>
        <v/>
      </c>
      <c r="AF1771" s="46">
        <f>AE1771*IF(B1771&gt;=in_marketplace_from,d_hz_hlth_small*G1771,0)</f>
        <v/>
      </c>
      <c r="AG1771" s="14">
        <f>F1771*AF1771*in_hlth_small_ticket*in_hlth_small_comm*in_ins_partner_share+F1771*in_hlth_small_ticket*in_hlth_small_renew_comm*in_ins_partner_share*(in_hlth_small_renew^1*SUMIFS(AF1766:AF1776,B1766:B1776,B1771-12)+in_hlth_small_renew^2*SUMIFS(AF1766:AF1776,B1766:B1776,B1771-24)+in_hlth_small_renew^3*SUMIFS(AF1766:AF1776,B1766:B1776,B1771-36)+in_hlth_small_renew^4*SUMIFS(AF1766:AF1776,B1766:B1776,B1771-48))</f>
        <v/>
      </c>
      <c r="AH1771" s="40">
        <f>AH1770*(1-IF(B1770&gt;=in_marketplace_from,d_hz_hlth_family*G1770,0))</f>
        <v/>
      </c>
      <c r="AI1771" s="46">
        <f>AH1771*IF(B1771&gt;=in_marketplace_from,d_hz_hlth_family*G1771,0)</f>
        <v/>
      </c>
      <c r="AJ1771" s="14">
        <f>F1771*AI1771*in_hlth_family_ticket*in_hlth_family_comm*in_ins_partner_share+F1771*in_hlth_family_ticket*in_hlth_family_renew_comm*in_ins_partner_share*(in_hlth_family_renew^1*SUMIFS(AI1766:AI1776,B1766:B1776,B1771-12)+in_hlth_family_renew^2*SUMIFS(AI1766:AI1776,B1766:B1776,B1771-24)+in_hlth_family_renew^3*SUMIFS(AI1766:AI1776,B1766:B1776,B1771-36)+in_hlth_family_renew^4*SUMIFS(AI1766:AI1776,B1766:B1776,B1771-48))</f>
        <v/>
      </c>
      <c r="AK1771" s="40">
        <f>AK1770*(1-IF(B1770&gt;=in_marketplace_from,d_hz_life_term*G1770,0))</f>
        <v/>
      </c>
      <c r="AL1771" s="46">
        <f>AK1771*IF(B1771&gt;=in_marketplace_from,d_hz_life_term*G1771,0)</f>
        <v/>
      </c>
      <c r="AM1771" s="14">
        <f>F1771*AL1771*in_life_term_ticket*in_life_term_comm*in_ins_partner_share+F1771*in_life_term_ticket*in_life_term_renew_comm*in_ins_partner_share*(in_life_term_renew^1*SUMIFS(AL1766:AL1776,B1766:B1776,B1771-12)+in_life_term_renew^2*SUMIFS(AL1766:AL1776,B1766:B1776,B1771-24)+in_life_term_renew^3*SUMIFS(AL1766:AL1776,B1766:B1776,B1771-36)+in_life_term_renew^4*SUMIFS(AL1766:AL1776,B1766:B1776,B1771-48))</f>
        <v/>
      </c>
      <c r="AN1771" s="40">
        <f>AN1770*(1-IF(B1770&gt;=in_marketplace_from,d_hz_accident*G1770,0))</f>
        <v/>
      </c>
      <c r="AO1771" s="46">
        <f>AN1771*IF(B1771&gt;=in_marketplace_from,d_hz_accident*G1771,0)</f>
        <v/>
      </c>
      <c r="AP1771" s="14">
        <f>F1771*AO1771*in_accident_ticket*in_accident_comm*in_ins_partner_share+F1771*in_accident_ticket*in_accident_renew_comm*in_ins_partner_share*(in_accident_renew^1*SUMIFS(AO1766:AO1776,B1766:B1776,B1771-12)+in_accident_renew^2*SUMIFS(AO1766:AO1776,B1766:B1776,B1771-24)+in_accident_renew^3*SUMIFS(AO1766:AO1776,B1766:B1776,B1771-36)+in_accident_renew^4*SUMIFS(AO1766:AO1776,B1766:B1776,B1771-48))</f>
        <v/>
      </c>
      <c r="AQ1771" s="40">
        <f>AQ1770*(1-IF(B1770&gt;=in_marketplace_from,d_hz_two_wheeler*G1770,0))</f>
        <v/>
      </c>
      <c r="AR1771" s="46">
        <f>AQ1771*IF(B1771&gt;=in_marketplace_from,d_hz_two_wheeler*G1771,0)</f>
        <v/>
      </c>
      <c r="AS1771" s="14">
        <f>F1771*AR1771*in_two_wheeler_ticket*in_two_wheeler_comm*in_ins_partner_share+F1771*in_two_wheeler_ticket*in_two_wheeler_comm*in_ins_partner_share*(in_two_wheeler_renew^1*SUMIFS(AR1766:AR1776,B1766:B1776,B1771-12)+in_two_wheeler_renew^2*SUMIFS(AR1766:AR1776,B1766:B1776,B1771-24)+in_two_wheeler_renew^3*SUMIFS(AR1766:AR1776,B1766:B1776,B1771-36)+in_two_wheeler_renew^4*SUMIFS(AR1766:AR1776,B1766:B1776,B1771-48))</f>
        <v/>
      </c>
      <c r="AT1771" s="40">
        <f>AT1770*(1-IF(B1770&gt;=in_marketplace_from,d_hz_device*G1770,0))</f>
        <v/>
      </c>
      <c r="AU1771" s="14">
        <f>F1771*AT1771*IF(B1771&gt;=in_marketplace_from,d_hz_device*G1771,0)*in_device_ticket*in_device_comm*in_ins_partner_share</f>
        <v/>
      </c>
      <c r="AV1771" s="40">
        <f>AV1770*(1-IF(B1770&gt;=in_marketplace_from,d_hz_shop*G1770,0))</f>
        <v/>
      </c>
      <c r="AW1771" s="46">
        <f>AV1771*IF(B1771&gt;=in_marketplace_from,d_hz_shop*G1771,0)</f>
        <v/>
      </c>
      <c r="AX1771" s="14">
        <f>F1771*AW1771*in_shop_ticket*in_shop_comm*in_ins_partner_share+F1771*in_shop_ticket*in_shop_renew_comm*in_ins_partner_share*(in_shop_renew^1*SUMIFS(AW1766:AW1776,B1766:B1776,B1771-12)+in_shop_renew^2*SUMIFS(AW1766:AW1776,B1766:B1776,B1771-24)+in_shop_renew^3*SUMIFS(AW1766:AW1776,B1766:B1776,B1771-36)+in_shop_renew^4*SUMIFS(AW1766:AW1776,B1766:B1776,B1771-48))</f>
        <v/>
      </c>
      <c r="AY1771" s="40">
        <f>AY1770*(1-IF(B1770&gt;=in_marketplace_from,d_hz_sip*G1770,0))</f>
        <v/>
      </c>
      <c r="AZ1771" s="40">
        <f>AZ1770*d_rho_sip+AY1771*IF(B1771&gt;=in_marketplace_from,d_hz_sip*G1771,0)</f>
        <v/>
      </c>
      <c r="BA1771" s="40">
        <f>d_rho_sip*(BA1770+AZ1770)</f>
        <v/>
      </c>
      <c r="BB1771" s="14">
        <f>F1771*in_sip_ticket*(BA1771+0.5*AZ1771)*in_sip_comm/12</f>
        <v/>
      </c>
      <c r="BC1771" s="40">
        <f>BC1770*(1-IF(B1770&gt;=in_marketplace_from,d_hz_choti*G1770,0))</f>
        <v/>
      </c>
      <c r="BD1771" s="46">
        <f>BC1771*IF(B1771&gt;=in_marketplace_from,d_hz_choti*G1771,0)</f>
        <v/>
      </c>
      <c r="BE1771" s="14">
        <f>F1771*SUMIFS(BD1766:BD1776,B1766:B1776,B1771-in_choti_months)*in_choti_renew*in_choti_ticket</f>
        <v/>
      </c>
      <c r="BF1771" s="40">
        <f>BF1770*(1-IF(B1770&gt;=in_marketplace_from,d_hz_nps*G1770,0))</f>
        <v/>
      </c>
      <c r="BG1771" s="14">
        <f>F1771*BF1771*IF(B1771&gt;=in_marketplace_from,d_hz_nps*G1771,0)*in_nps_ticket*in_nps_comm</f>
        <v/>
      </c>
      <c r="BH1771" s="40">
        <f>BH1770*(1-IF(B1770&gt;=in_marketplace_from,d_hz_gold*G1770,0))</f>
        <v/>
      </c>
      <c r="BI1771" s="40">
        <f>BI1770*d_rho_gold+BH1771*IF(B1771&gt;=in_marketplace_from,d_hz_gold*G1771,0)</f>
        <v/>
      </c>
      <c r="BJ1771" s="14">
        <f>F1771*BI1771*in_gold_ticket*in_gold_comm</f>
        <v/>
      </c>
      <c r="BK1771" s="40">
        <f>BK1770*(1-IF(B1770&gt;=in_marketplace_from,d_hz_fd*G1770,0))</f>
        <v/>
      </c>
      <c r="BL1771" s="14">
        <f>F1771*BK1771*IF(B1771&gt;=in_marketplace_from,d_hz_fd*G1771,0)*in_fd_ticket*in_fd_comm</f>
        <v/>
      </c>
      <c r="BM1771" s="40">
        <f>BM1770*(1-IF(B1770&gt;=in_marketplace_from,d_hz_recharge*G1770,0))</f>
        <v/>
      </c>
      <c r="BN1771" s="40">
        <f>BN1770*d_rho_recharge+BM1771*IF(B1771&gt;=in_marketplace_from,d_hz_recharge*G1771,0)</f>
        <v/>
      </c>
      <c r="BO1771" s="14">
        <f>F1771*BN1771*in_recharge_ticket*in_recharge_comm/12</f>
        <v/>
      </c>
      <c r="BP1771" s="40">
        <f>BP1770*(1-IF(B1770&gt;=in_marketplace_from,d_hz_bills*G1770,0))</f>
        <v/>
      </c>
      <c r="BQ1771" s="40">
        <f>BQ1770*d_rho_bills+BP1771*IF(B1771&gt;=in_marketplace_from,d_hz_bills*G1771,0)</f>
        <v/>
      </c>
      <c r="BR1771" s="14">
        <f>F1771*BQ1771*in_bills_ticket*in_bills_comm/12</f>
        <v/>
      </c>
      <c r="BS1771" s="40">
        <f>BS1770*(1-IF(B1770&gt;=in_marketplace_from,d_hz_loan_gold*G1770,0))</f>
        <v/>
      </c>
      <c r="BT1771" s="14">
        <f>F1771*BS1771*IF(B1771&gt;=in_marketplace_from,d_hz_loan_gold*G1771,0)*in_loan_gold_ticket*in_loan_gold_comm</f>
        <v/>
      </c>
      <c r="BU1771" s="40">
        <f>BU1770*(1-IF(B1770&gt;=in_marketplace_from,d_hz_loan_cd*G1770,0))</f>
        <v/>
      </c>
      <c r="BV1771" s="14">
        <f>F1771*BU1771*IF(B1771&gt;=in_marketplace_from,d_hz_loan_cd*G1771,0)*in_loan_cd_ticket*in_loan_cd_comm</f>
        <v/>
      </c>
      <c r="BW1771" s="40">
        <f>BW1770*(1-IF(B1770&gt;=in_marketplace_from,d_hz_loan_vehicle*G1770,0))</f>
        <v/>
      </c>
      <c r="BX1771" s="14">
        <f>F1771*BW1771*IF(B1771&gt;=in_marketplace_from,d_hz_loan_vehicle*G1771,0)*in_loan_vehicle_ticket*in_loan_vehicle_comm</f>
        <v/>
      </c>
      <c r="BY1771" s="40">
        <f>BY1770*(1-IF(B1770&gt;=in_marketplace_from,d_hz_loan_home*G1770,0)*BZ1770)</f>
        <v/>
      </c>
      <c r="BZ1771" s="11">
        <f>MIN(in_approval_cap,in_loan_home_approval*INDEX('Age profile'!$O$2:$O$61,B1771)*(1+in_approval_growth)^(D1771-1))</f>
        <v/>
      </c>
      <c r="CA1771" s="14">
        <f>F1771*BY1771*IF(B1771&gt;=in_marketplace_from,d_hz_loan_home*G1771,0)*BZ1771*in_loan_home_ticket*in_loan_home_comm</f>
        <v/>
      </c>
      <c r="CB1771" s="40">
        <f>CB1770*(1-IF(B1770&gt;=in_marketplace_from,d_hz_loan_lap*G1770,0)*CC1770)</f>
        <v/>
      </c>
      <c r="CC1771" s="11">
        <f>MIN(in_approval_cap,in_loan_lap_approval*INDEX('Age profile'!$O$2:$O$61,B1771)*(1+in_approval_growth)^(D1771-1))</f>
        <v/>
      </c>
      <c r="CD1771" s="14">
        <f>F1771*CB1771*IF(B1771&gt;=in_marketplace_from,d_hz_loan_lap*G1771,0)*CC1771*in_loan_lap_ticket*in_loan_lap_comm</f>
        <v/>
      </c>
      <c r="CE1771" s="14">
        <f>AA1771+AB1771+AC1771+AD1771+AG1771+AJ1771+AM1771+AP1771+AS1771+AU1771+AX1771+BB1771+BE1771+BG1771+BJ1771+BL1771+BO1771+BR1771+BT1771+BV1771+BX1771+CA1771+CD1771</f>
        <v/>
      </c>
    </row>
    <row r="1772">
      <c r="A1772" s="39" t="n">
        <v>50</v>
      </c>
      <c r="B1772" s="39" t="n">
        <v>7</v>
      </c>
      <c r="C1772" s="39">
        <f>A1772+B1772-1</f>
        <v/>
      </c>
      <c r="D1772" s="39">
        <f>INT((C1772-1)/12)+1</f>
        <v/>
      </c>
      <c r="E1772" s="44">
        <f>INDEX(Monthly!$B$2:$B$61,A1772)</f>
        <v/>
      </c>
      <c r="F1772" s="44">
        <f>E1772*INDEX('Age profile'!$B$2:$B$61,B1772)</f>
        <v/>
      </c>
      <c r="G1772" s="45">
        <f>MIN(in_takeup_cap,INDEX('Age profile'!$N$2:$N$61,B1772)*(1+in_takeup_growth)^(D1772-1))</f>
        <v/>
      </c>
      <c r="H1772" s="11">
        <f>MIN(in_approval_cap,in_approved_first*INDEX('Age profile'!$O$2:$O$61,B1772)*(1+in_approval_growth)^(D1772-1))</f>
        <v/>
      </c>
      <c r="I1772" s="45">
        <f>G1772*MIN(in_takeup_cap,INDEX('Age profile'!$O$2:$O$61,B1772)*(1+in_approval_growth)^(D1772-1))</f>
        <v/>
      </c>
      <c r="J1772" s="40">
        <f>(J1771-L1771)*F1772/F1771</f>
        <v/>
      </c>
      <c r="K1772" s="40">
        <f>(K1771-M1771)*F1772/F1771+SUMIFS(O1766:O1771,B1766:B1771,B1772-1-d_T)*F1772</f>
        <v/>
      </c>
      <c r="L1772" s="40">
        <f>IF(B1772&gt;=in_marketplace_from,J1772*d_hz*G1772*in_eligible*H1772,0)</f>
        <v/>
      </c>
      <c r="M1772" s="40">
        <f>IF(B1772&gt;=in_marketplace_from,K1772*d_hz*G1772*in_eligible*in_approved_repeat,0)</f>
        <v/>
      </c>
      <c r="N1772" s="40">
        <f>L1772+M1772</f>
        <v/>
      </c>
      <c r="O1772" s="46">
        <f>N1772/F1772</f>
        <v/>
      </c>
      <c r="P1772" s="40">
        <f>F1772-J1772-K1772</f>
        <v/>
      </c>
      <c r="Q1772" s="40">
        <f>IF(B1772&gt;=in_marketplace_from,(J1772+K1772)*d_hz*G1772,0)</f>
        <v/>
      </c>
      <c r="R1772" s="40">
        <f>SUMIFS(N1766:N1776,B1766:B1776,"&gt;="&amp;(B1772-d_T),B1766:B1776,"&lt;="&amp;(B1772-1))</f>
        <v/>
      </c>
      <c r="S1772" s="46">
        <f>(1-d_u)*S1771+IF(d_T&gt;in_topup_lag,SUMIFS(O1766:O1776,B1766:B1776,B1772-in_topup_lag)-d_udrop*SUMIFS(O1766:O1776,B1766:B1776,B1772-d_T),0)</f>
        <v/>
      </c>
      <c r="T1772" s="40">
        <f>F1772*d_u*S1772</f>
        <v/>
      </c>
      <c r="U1772" s="9">
        <f>L1772*in_ticket+M1772*d_rep_ticket</f>
        <v/>
      </c>
      <c r="V1772" s="9">
        <f>U1772+T1772*d_topup_amt</f>
        <v/>
      </c>
      <c r="W1772" s="40">
        <f>N1772+T1772*d_topup_ratio</f>
        <v/>
      </c>
      <c r="X1772" s="40">
        <f>SUMIFS(W1766:W1776,B1766:B1776,B1772-in_dpd_lag)*d_cured</f>
        <v/>
      </c>
      <c r="Y1772" s="40">
        <f>SUMIFS(W1766:W1776,B1766:B1776,B1772-in_rec_lag)*d_recd</f>
        <v/>
      </c>
      <c r="Z1772" s="40">
        <f>IF(AND(B1772&gt;=in_marketplace_from,B1772&lt;in_marketplace_from+in_card_months),in_card_share/in_card_months*F1772*I1772,IF(AND(B1772&gt;=in_marketplace_from+in_card_months,B1772&lt;in_marketplace_from+2*in_card_months),in_card_share*d_card_rem/in_card_months*F1772*MIN(in_takeup_cap,(1+in_takeup_growth)^(D1772-1))*MIN(in_takeup_cap,(1+in_approval_growth)^(D1772-1)),0))</f>
        <v/>
      </c>
      <c r="AA1772" s="14">
        <f>V1772*in_fee*(1-in_taken_back)</f>
        <v/>
      </c>
      <c r="AB1772" s="14">
        <f>SUMIFS(W1766:W1776,B1766:B1776,B1772-in_dpd_lag)*d_dpd</f>
        <v/>
      </c>
      <c r="AC1772" s="14">
        <f>SUMIFS(W1766:W1776,B1766:B1776,B1772-in_rec_lag)*d_rec</f>
        <v/>
      </c>
      <c r="AD1772" s="14">
        <f>Z1772*in_card_fee</f>
        <v/>
      </c>
      <c r="AE1772" s="40">
        <f>AE1771*(1-IF(B1771&gt;=in_marketplace_from,d_hz_hlth_small*G1771,0))</f>
        <v/>
      </c>
      <c r="AF1772" s="46">
        <f>AE1772*IF(B1772&gt;=in_marketplace_from,d_hz_hlth_small*G1772,0)</f>
        <v/>
      </c>
      <c r="AG1772" s="14">
        <f>F1772*AF1772*in_hlth_small_ticket*in_hlth_small_comm*in_ins_partner_share+F1772*in_hlth_small_ticket*in_hlth_small_renew_comm*in_ins_partner_share*(in_hlth_small_renew^1*SUMIFS(AF1766:AF1776,B1766:B1776,B1772-12)+in_hlth_small_renew^2*SUMIFS(AF1766:AF1776,B1766:B1776,B1772-24)+in_hlth_small_renew^3*SUMIFS(AF1766:AF1776,B1766:B1776,B1772-36)+in_hlth_small_renew^4*SUMIFS(AF1766:AF1776,B1766:B1776,B1772-48))</f>
        <v/>
      </c>
      <c r="AH1772" s="40">
        <f>AH1771*(1-IF(B1771&gt;=in_marketplace_from,d_hz_hlth_family*G1771,0))</f>
        <v/>
      </c>
      <c r="AI1772" s="46">
        <f>AH1772*IF(B1772&gt;=in_marketplace_from,d_hz_hlth_family*G1772,0)</f>
        <v/>
      </c>
      <c r="AJ1772" s="14">
        <f>F1772*AI1772*in_hlth_family_ticket*in_hlth_family_comm*in_ins_partner_share+F1772*in_hlth_family_ticket*in_hlth_family_renew_comm*in_ins_partner_share*(in_hlth_family_renew^1*SUMIFS(AI1766:AI1776,B1766:B1776,B1772-12)+in_hlth_family_renew^2*SUMIFS(AI1766:AI1776,B1766:B1776,B1772-24)+in_hlth_family_renew^3*SUMIFS(AI1766:AI1776,B1766:B1776,B1772-36)+in_hlth_family_renew^4*SUMIFS(AI1766:AI1776,B1766:B1776,B1772-48))</f>
        <v/>
      </c>
      <c r="AK1772" s="40">
        <f>AK1771*(1-IF(B1771&gt;=in_marketplace_from,d_hz_life_term*G1771,0))</f>
        <v/>
      </c>
      <c r="AL1772" s="46">
        <f>AK1772*IF(B1772&gt;=in_marketplace_from,d_hz_life_term*G1772,0)</f>
        <v/>
      </c>
      <c r="AM1772" s="14">
        <f>F1772*AL1772*in_life_term_ticket*in_life_term_comm*in_ins_partner_share+F1772*in_life_term_ticket*in_life_term_renew_comm*in_ins_partner_share*(in_life_term_renew^1*SUMIFS(AL1766:AL1776,B1766:B1776,B1772-12)+in_life_term_renew^2*SUMIFS(AL1766:AL1776,B1766:B1776,B1772-24)+in_life_term_renew^3*SUMIFS(AL1766:AL1776,B1766:B1776,B1772-36)+in_life_term_renew^4*SUMIFS(AL1766:AL1776,B1766:B1776,B1772-48))</f>
        <v/>
      </c>
      <c r="AN1772" s="40">
        <f>AN1771*(1-IF(B1771&gt;=in_marketplace_from,d_hz_accident*G1771,0))</f>
        <v/>
      </c>
      <c r="AO1772" s="46">
        <f>AN1772*IF(B1772&gt;=in_marketplace_from,d_hz_accident*G1772,0)</f>
        <v/>
      </c>
      <c r="AP1772" s="14">
        <f>F1772*AO1772*in_accident_ticket*in_accident_comm*in_ins_partner_share+F1772*in_accident_ticket*in_accident_renew_comm*in_ins_partner_share*(in_accident_renew^1*SUMIFS(AO1766:AO1776,B1766:B1776,B1772-12)+in_accident_renew^2*SUMIFS(AO1766:AO1776,B1766:B1776,B1772-24)+in_accident_renew^3*SUMIFS(AO1766:AO1776,B1766:B1776,B1772-36)+in_accident_renew^4*SUMIFS(AO1766:AO1776,B1766:B1776,B1772-48))</f>
        <v/>
      </c>
      <c r="AQ1772" s="40">
        <f>AQ1771*(1-IF(B1771&gt;=in_marketplace_from,d_hz_two_wheeler*G1771,0))</f>
        <v/>
      </c>
      <c r="AR1772" s="46">
        <f>AQ1772*IF(B1772&gt;=in_marketplace_from,d_hz_two_wheeler*G1772,0)</f>
        <v/>
      </c>
      <c r="AS1772" s="14">
        <f>F1772*AR1772*in_two_wheeler_ticket*in_two_wheeler_comm*in_ins_partner_share+F1772*in_two_wheeler_ticket*in_two_wheeler_comm*in_ins_partner_share*(in_two_wheeler_renew^1*SUMIFS(AR1766:AR1776,B1766:B1776,B1772-12)+in_two_wheeler_renew^2*SUMIFS(AR1766:AR1776,B1766:B1776,B1772-24)+in_two_wheeler_renew^3*SUMIFS(AR1766:AR1776,B1766:B1776,B1772-36)+in_two_wheeler_renew^4*SUMIFS(AR1766:AR1776,B1766:B1776,B1772-48))</f>
        <v/>
      </c>
      <c r="AT1772" s="40">
        <f>AT1771*(1-IF(B1771&gt;=in_marketplace_from,d_hz_device*G1771,0))</f>
        <v/>
      </c>
      <c r="AU1772" s="14">
        <f>F1772*AT1772*IF(B1772&gt;=in_marketplace_from,d_hz_device*G1772,0)*in_device_ticket*in_device_comm*in_ins_partner_share</f>
        <v/>
      </c>
      <c r="AV1772" s="40">
        <f>AV1771*(1-IF(B1771&gt;=in_marketplace_from,d_hz_shop*G1771,0))</f>
        <v/>
      </c>
      <c r="AW1772" s="46">
        <f>AV1772*IF(B1772&gt;=in_marketplace_from,d_hz_shop*G1772,0)</f>
        <v/>
      </c>
      <c r="AX1772" s="14">
        <f>F1772*AW1772*in_shop_ticket*in_shop_comm*in_ins_partner_share+F1772*in_shop_ticket*in_shop_renew_comm*in_ins_partner_share*(in_shop_renew^1*SUMIFS(AW1766:AW1776,B1766:B1776,B1772-12)+in_shop_renew^2*SUMIFS(AW1766:AW1776,B1766:B1776,B1772-24)+in_shop_renew^3*SUMIFS(AW1766:AW1776,B1766:B1776,B1772-36)+in_shop_renew^4*SUMIFS(AW1766:AW1776,B1766:B1776,B1772-48))</f>
        <v/>
      </c>
      <c r="AY1772" s="40">
        <f>AY1771*(1-IF(B1771&gt;=in_marketplace_from,d_hz_sip*G1771,0))</f>
        <v/>
      </c>
      <c r="AZ1772" s="40">
        <f>AZ1771*d_rho_sip+AY1772*IF(B1772&gt;=in_marketplace_from,d_hz_sip*G1772,0)</f>
        <v/>
      </c>
      <c r="BA1772" s="40">
        <f>d_rho_sip*(BA1771+AZ1771)</f>
        <v/>
      </c>
      <c r="BB1772" s="14">
        <f>F1772*in_sip_ticket*(BA1772+0.5*AZ1772)*in_sip_comm/12</f>
        <v/>
      </c>
      <c r="BC1772" s="40">
        <f>BC1771*(1-IF(B1771&gt;=in_marketplace_from,d_hz_choti*G1771,0))</f>
        <v/>
      </c>
      <c r="BD1772" s="46">
        <f>BC1772*IF(B1772&gt;=in_marketplace_from,d_hz_choti*G1772,0)</f>
        <v/>
      </c>
      <c r="BE1772" s="14">
        <f>F1772*SUMIFS(BD1766:BD1776,B1766:B1776,B1772-in_choti_months)*in_choti_renew*in_choti_ticket</f>
        <v/>
      </c>
      <c r="BF1772" s="40">
        <f>BF1771*(1-IF(B1771&gt;=in_marketplace_from,d_hz_nps*G1771,0))</f>
        <v/>
      </c>
      <c r="BG1772" s="14">
        <f>F1772*BF1772*IF(B1772&gt;=in_marketplace_from,d_hz_nps*G1772,0)*in_nps_ticket*in_nps_comm</f>
        <v/>
      </c>
      <c r="BH1772" s="40">
        <f>BH1771*(1-IF(B1771&gt;=in_marketplace_from,d_hz_gold*G1771,0))</f>
        <v/>
      </c>
      <c r="BI1772" s="40">
        <f>BI1771*d_rho_gold+BH1772*IF(B1772&gt;=in_marketplace_from,d_hz_gold*G1772,0)</f>
        <v/>
      </c>
      <c r="BJ1772" s="14">
        <f>F1772*BI1772*in_gold_ticket*in_gold_comm</f>
        <v/>
      </c>
      <c r="BK1772" s="40">
        <f>BK1771*(1-IF(B1771&gt;=in_marketplace_from,d_hz_fd*G1771,0))</f>
        <v/>
      </c>
      <c r="BL1772" s="14">
        <f>F1772*BK1772*IF(B1772&gt;=in_marketplace_from,d_hz_fd*G1772,0)*in_fd_ticket*in_fd_comm</f>
        <v/>
      </c>
      <c r="BM1772" s="40">
        <f>BM1771*(1-IF(B1771&gt;=in_marketplace_from,d_hz_recharge*G1771,0))</f>
        <v/>
      </c>
      <c r="BN1772" s="40">
        <f>BN1771*d_rho_recharge+BM1772*IF(B1772&gt;=in_marketplace_from,d_hz_recharge*G1772,0)</f>
        <v/>
      </c>
      <c r="BO1772" s="14">
        <f>F1772*BN1772*in_recharge_ticket*in_recharge_comm/12</f>
        <v/>
      </c>
      <c r="BP1772" s="40">
        <f>BP1771*(1-IF(B1771&gt;=in_marketplace_from,d_hz_bills*G1771,0))</f>
        <v/>
      </c>
      <c r="BQ1772" s="40">
        <f>BQ1771*d_rho_bills+BP1772*IF(B1772&gt;=in_marketplace_from,d_hz_bills*G1772,0)</f>
        <v/>
      </c>
      <c r="BR1772" s="14">
        <f>F1772*BQ1772*in_bills_ticket*in_bills_comm/12</f>
        <v/>
      </c>
      <c r="BS1772" s="40">
        <f>BS1771*(1-IF(B1771&gt;=in_marketplace_from,d_hz_loan_gold*G1771,0))</f>
        <v/>
      </c>
      <c r="BT1772" s="14">
        <f>F1772*BS1772*IF(B1772&gt;=in_marketplace_from,d_hz_loan_gold*G1772,0)*in_loan_gold_ticket*in_loan_gold_comm</f>
        <v/>
      </c>
      <c r="BU1772" s="40">
        <f>BU1771*(1-IF(B1771&gt;=in_marketplace_from,d_hz_loan_cd*G1771,0))</f>
        <v/>
      </c>
      <c r="BV1772" s="14">
        <f>F1772*BU1772*IF(B1772&gt;=in_marketplace_from,d_hz_loan_cd*G1772,0)*in_loan_cd_ticket*in_loan_cd_comm</f>
        <v/>
      </c>
      <c r="BW1772" s="40">
        <f>BW1771*(1-IF(B1771&gt;=in_marketplace_from,d_hz_loan_vehicle*G1771,0))</f>
        <v/>
      </c>
      <c r="BX1772" s="14">
        <f>F1772*BW1772*IF(B1772&gt;=in_marketplace_from,d_hz_loan_vehicle*G1772,0)*in_loan_vehicle_ticket*in_loan_vehicle_comm</f>
        <v/>
      </c>
      <c r="BY1772" s="40">
        <f>BY1771*(1-IF(B1771&gt;=in_marketplace_from,d_hz_loan_home*G1771,0)*BZ1771)</f>
        <v/>
      </c>
      <c r="BZ1772" s="11">
        <f>MIN(in_approval_cap,in_loan_home_approval*INDEX('Age profile'!$O$2:$O$61,B1772)*(1+in_approval_growth)^(D1772-1))</f>
        <v/>
      </c>
      <c r="CA1772" s="14">
        <f>F1772*BY1772*IF(B1772&gt;=in_marketplace_from,d_hz_loan_home*G1772,0)*BZ1772*in_loan_home_ticket*in_loan_home_comm</f>
        <v/>
      </c>
      <c r="CB1772" s="40">
        <f>CB1771*(1-IF(B1771&gt;=in_marketplace_from,d_hz_loan_lap*G1771,0)*CC1771)</f>
        <v/>
      </c>
      <c r="CC1772" s="11">
        <f>MIN(in_approval_cap,in_loan_lap_approval*INDEX('Age profile'!$O$2:$O$61,B1772)*(1+in_approval_growth)^(D1772-1))</f>
        <v/>
      </c>
      <c r="CD1772" s="14">
        <f>F1772*CB1772*IF(B1772&gt;=in_marketplace_from,d_hz_loan_lap*G1772,0)*CC1772*in_loan_lap_ticket*in_loan_lap_comm</f>
        <v/>
      </c>
      <c r="CE1772" s="14">
        <f>AA1772+AB1772+AC1772+AD1772+AG1772+AJ1772+AM1772+AP1772+AS1772+AU1772+AX1772+BB1772+BE1772+BG1772+BJ1772+BL1772+BO1772+BR1772+BT1772+BV1772+BX1772+CA1772+CD1772</f>
        <v/>
      </c>
    </row>
    <row r="1773">
      <c r="A1773" s="39" t="n">
        <v>50</v>
      </c>
      <c r="B1773" s="39" t="n">
        <v>8</v>
      </c>
      <c r="C1773" s="39">
        <f>A1773+B1773-1</f>
        <v/>
      </c>
      <c r="D1773" s="39">
        <f>INT((C1773-1)/12)+1</f>
        <v/>
      </c>
      <c r="E1773" s="44">
        <f>INDEX(Monthly!$B$2:$B$61,A1773)</f>
        <v/>
      </c>
      <c r="F1773" s="44">
        <f>E1773*INDEX('Age profile'!$B$2:$B$61,B1773)</f>
        <v/>
      </c>
      <c r="G1773" s="45">
        <f>MIN(in_takeup_cap,INDEX('Age profile'!$N$2:$N$61,B1773)*(1+in_takeup_growth)^(D1773-1))</f>
        <v/>
      </c>
      <c r="H1773" s="11">
        <f>MIN(in_approval_cap,in_approved_first*INDEX('Age profile'!$O$2:$O$61,B1773)*(1+in_approval_growth)^(D1773-1))</f>
        <v/>
      </c>
      <c r="I1773" s="45">
        <f>G1773*MIN(in_takeup_cap,INDEX('Age profile'!$O$2:$O$61,B1773)*(1+in_approval_growth)^(D1773-1))</f>
        <v/>
      </c>
      <c r="J1773" s="40">
        <f>(J1772-L1772)*F1773/F1772</f>
        <v/>
      </c>
      <c r="K1773" s="40">
        <f>(K1772-M1772)*F1773/F1772+SUMIFS(O1766:O1772,B1766:B1772,B1773-1-d_T)*F1773</f>
        <v/>
      </c>
      <c r="L1773" s="40">
        <f>IF(B1773&gt;=in_marketplace_from,J1773*d_hz*G1773*in_eligible*H1773,0)</f>
        <v/>
      </c>
      <c r="M1773" s="40">
        <f>IF(B1773&gt;=in_marketplace_from,K1773*d_hz*G1773*in_eligible*in_approved_repeat,0)</f>
        <v/>
      </c>
      <c r="N1773" s="40">
        <f>L1773+M1773</f>
        <v/>
      </c>
      <c r="O1773" s="46">
        <f>N1773/F1773</f>
        <v/>
      </c>
      <c r="P1773" s="40">
        <f>F1773-J1773-K1773</f>
        <v/>
      </c>
      <c r="Q1773" s="40">
        <f>IF(B1773&gt;=in_marketplace_from,(J1773+K1773)*d_hz*G1773,0)</f>
        <v/>
      </c>
      <c r="R1773" s="40">
        <f>SUMIFS(N1766:N1776,B1766:B1776,"&gt;="&amp;(B1773-d_T),B1766:B1776,"&lt;="&amp;(B1773-1))</f>
        <v/>
      </c>
      <c r="S1773" s="46">
        <f>(1-d_u)*S1772+IF(d_T&gt;in_topup_lag,SUMIFS(O1766:O1776,B1766:B1776,B1773-in_topup_lag)-d_udrop*SUMIFS(O1766:O1776,B1766:B1776,B1773-d_T),0)</f>
        <v/>
      </c>
      <c r="T1773" s="40">
        <f>F1773*d_u*S1773</f>
        <v/>
      </c>
      <c r="U1773" s="9">
        <f>L1773*in_ticket+M1773*d_rep_ticket</f>
        <v/>
      </c>
      <c r="V1773" s="9">
        <f>U1773+T1773*d_topup_amt</f>
        <v/>
      </c>
      <c r="W1773" s="40">
        <f>N1773+T1773*d_topup_ratio</f>
        <v/>
      </c>
      <c r="X1773" s="40">
        <f>SUMIFS(W1766:W1776,B1766:B1776,B1773-in_dpd_lag)*d_cured</f>
        <v/>
      </c>
      <c r="Y1773" s="40">
        <f>SUMIFS(W1766:W1776,B1766:B1776,B1773-in_rec_lag)*d_recd</f>
        <v/>
      </c>
      <c r="Z1773" s="40">
        <f>IF(AND(B1773&gt;=in_marketplace_from,B1773&lt;in_marketplace_from+in_card_months),in_card_share/in_card_months*F1773*I1773,IF(AND(B1773&gt;=in_marketplace_from+in_card_months,B1773&lt;in_marketplace_from+2*in_card_months),in_card_share*d_card_rem/in_card_months*F1773*MIN(in_takeup_cap,(1+in_takeup_growth)^(D1773-1))*MIN(in_takeup_cap,(1+in_approval_growth)^(D1773-1)),0))</f>
        <v/>
      </c>
      <c r="AA1773" s="14">
        <f>V1773*in_fee*(1-in_taken_back)</f>
        <v/>
      </c>
      <c r="AB1773" s="14">
        <f>SUMIFS(W1766:W1776,B1766:B1776,B1773-in_dpd_lag)*d_dpd</f>
        <v/>
      </c>
      <c r="AC1773" s="14">
        <f>SUMIFS(W1766:W1776,B1766:B1776,B1773-in_rec_lag)*d_rec</f>
        <v/>
      </c>
      <c r="AD1773" s="14">
        <f>Z1773*in_card_fee</f>
        <v/>
      </c>
      <c r="AE1773" s="40">
        <f>AE1772*(1-IF(B1772&gt;=in_marketplace_from,d_hz_hlth_small*G1772,0))</f>
        <v/>
      </c>
      <c r="AF1773" s="46">
        <f>AE1773*IF(B1773&gt;=in_marketplace_from,d_hz_hlth_small*G1773,0)</f>
        <v/>
      </c>
      <c r="AG1773" s="14">
        <f>F1773*AF1773*in_hlth_small_ticket*in_hlth_small_comm*in_ins_partner_share+F1773*in_hlth_small_ticket*in_hlth_small_renew_comm*in_ins_partner_share*(in_hlth_small_renew^1*SUMIFS(AF1766:AF1776,B1766:B1776,B1773-12)+in_hlth_small_renew^2*SUMIFS(AF1766:AF1776,B1766:B1776,B1773-24)+in_hlth_small_renew^3*SUMIFS(AF1766:AF1776,B1766:B1776,B1773-36)+in_hlth_small_renew^4*SUMIFS(AF1766:AF1776,B1766:B1776,B1773-48))</f>
        <v/>
      </c>
      <c r="AH1773" s="40">
        <f>AH1772*(1-IF(B1772&gt;=in_marketplace_from,d_hz_hlth_family*G1772,0))</f>
        <v/>
      </c>
      <c r="AI1773" s="46">
        <f>AH1773*IF(B1773&gt;=in_marketplace_from,d_hz_hlth_family*G1773,0)</f>
        <v/>
      </c>
      <c r="AJ1773" s="14">
        <f>F1773*AI1773*in_hlth_family_ticket*in_hlth_family_comm*in_ins_partner_share+F1773*in_hlth_family_ticket*in_hlth_family_renew_comm*in_ins_partner_share*(in_hlth_family_renew^1*SUMIFS(AI1766:AI1776,B1766:B1776,B1773-12)+in_hlth_family_renew^2*SUMIFS(AI1766:AI1776,B1766:B1776,B1773-24)+in_hlth_family_renew^3*SUMIFS(AI1766:AI1776,B1766:B1776,B1773-36)+in_hlth_family_renew^4*SUMIFS(AI1766:AI1776,B1766:B1776,B1773-48))</f>
        <v/>
      </c>
      <c r="AK1773" s="40">
        <f>AK1772*(1-IF(B1772&gt;=in_marketplace_from,d_hz_life_term*G1772,0))</f>
        <v/>
      </c>
      <c r="AL1773" s="46">
        <f>AK1773*IF(B1773&gt;=in_marketplace_from,d_hz_life_term*G1773,0)</f>
        <v/>
      </c>
      <c r="AM1773" s="14">
        <f>F1773*AL1773*in_life_term_ticket*in_life_term_comm*in_ins_partner_share+F1773*in_life_term_ticket*in_life_term_renew_comm*in_ins_partner_share*(in_life_term_renew^1*SUMIFS(AL1766:AL1776,B1766:B1776,B1773-12)+in_life_term_renew^2*SUMIFS(AL1766:AL1776,B1766:B1776,B1773-24)+in_life_term_renew^3*SUMIFS(AL1766:AL1776,B1766:B1776,B1773-36)+in_life_term_renew^4*SUMIFS(AL1766:AL1776,B1766:B1776,B1773-48))</f>
        <v/>
      </c>
      <c r="AN1773" s="40">
        <f>AN1772*(1-IF(B1772&gt;=in_marketplace_from,d_hz_accident*G1772,0))</f>
        <v/>
      </c>
      <c r="AO1773" s="46">
        <f>AN1773*IF(B1773&gt;=in_marketplace_from,d_hz_accident*G1773,0)</f>
        <v/>
      </c>
      <c r="AP1773" s="14">
        <f>F1773*AO1773*in_accident_ticket*in_accident_comm*in_ins_partner_share+F1773*in_accident_ticket*in_accident_renew_comm*in_ins_partner_share*(in_accident_renew^1*SUMIFS(AO1766:AO1776,B1766:B1776,B1773-12)+in_accident_renew^2*SUMIFS(AO1766:AO1776,B1766:B1776,B1773-24)+in_accident_renew^3*SUMIFS(AO1766:AO1776,B1766:B1776,B1773-36)+in_accident_renew^4*SUMIFS(AO1766:AO1776,B1766:B1776,B1773-48))</f>
        <v/>
      </c>
      <c r="AQ1773" s="40">
        <f>AQ1772*(1-IF(B1772&gt;=in_marketplace_from,d_hz_two_wheeler*G1772,0))</f>
        <v/>
      </c>
      <c r="AR1773" s="46">
        <f>AQ1773*IF(B1773&gt;=in_marketplace_from,d_hz_two_wheeler*G1773,0)</f>
        <v/>
      </c>
      <c r="AS1773" s="14">
        <f>F1773*AR1773*in_two_wheeler_ticket*in_two_wheeler_comm*in_ins_partner_share+F1773*in_two_wheeler_ticket*in_two_wheeler_comm*in_ins_partner_share*(in_two_wheeler_renew^1*SUMIFS(AR1766:AR1776,B1766:B1776,B1773-12)+in_two_wheeler_renew^2*SUMIFS(AR1766:AR1776,B1766:B1776,B1773-24)+in_two_wheeler_renew^3*SUMIFS(AR1766:AR1776,B1766:B1776,B1773-36)+in_two_wheeler_renew^4*SUMIFS(AR1766:AR1776,B1766:B1776,B1773-48))</f>
        <v/>
      </c>
      <c r="AT1773" s="40">
        <f>AT1772*(1-IF(B1772&gt;=in_marketplace_from,d_hz_device*G1772,0))</f>
        <v/>
      </c>
      <c r="AU1773" s="14">
        <f>F1773*AT1773*IF(B1773&gt;=in_marketplace_from,d_hz_device*G1773,0)*in_device_ticket*in_device_comm*in_ins_partner_share</f>
        <v/>
      </c>
      <c r="AV1773" s="40">
        <f>AV1772*(1-IF(B1772&gt;=in_marketplace_from,d_hz_shop*G1772,0))</f>
        <v/>
      </c>
      <c r="AW1773" s="46">
        <f>AV1773*IF(B1773&gt;=in_marketplace_from,d_hz_shop*G1773,0)</f>
        <v/>
      </c>
      <c r="AX1773" s="14">
        <f>F1773*AW1773*in_shop_ticket*in_shop_comm*in_ins_partner_share+F1773*in_shop_ticket*in_shop_renew_comm*in_ins_partner_share*(in_shop_renew^1*SUMIFS(AW1766:AW1776,B1766:B1776,B1773-12)+in_shop_renew^2*SUMIFS(AW1766:AW1776,B1766:B1776,B1773-24)+in_shop_renew^3*SUMIFS(AW1766:AW1776,B1766:B1776,B1773-36)+in_shop_renew^4*SUMIFS(AW1766:AW1776,B1766:B1776,B1773-48))</f>
        <v/>
      </c>
      <c r="AY1773" s="40">
        <f>AY1772*(1-IF(B1772&gt;=in_marketplace_from,d_hz_sip*G1772,0))</f>
        <v/>
      </c>
      <c r="AZ1773" s="40">
        <f>AZ1772*d_rho_sip+AY1773*IF(B1773&gt;=in_marketplace_from,d_hz_sip*G1773,0)</f>
        <v/>
      </c>
      <c r="BA1773" s="40">
        <f>d_rho_sip*(BA1772+AZ1772)</f>
        <v/>
      </c>
      <c r="BB1773" s="14">
        <f>F1773*in_sip_ticket*(BA1773+0.5*AZ1773)*in_sip_comm/12</f>
        <v/>
      </c>
      <c r="BC1773" s="40">
        <f>BC1772*(1-IF(B1772&gt;=in_marketplace_from,d_hz_choti*G1772,0))</f>
        <v/>
      </c>
      <c r="BD1773" s="46">
        <f>BC1773*IF(B1773&gt;=in_marketplace_from,d_hz_choti*G1773,0)</f>
        <v/>
      </c>
      <c r="BE1773" s="14">
        <f>F1773*SUMIFS(BD1766:BD1776,B1766:B1776,B1773-in_choti_months)*in_choti_renew*in_choti_ticket</f>
        <v/>
      </c>
      <c r="BF1773" s="40">
        <f>BF1772*(1-IF(B1772&gt;=in_marketplace_from,d_hz_nps*G1772,0))</f>
        <v/>
      </c>
      <c r="BG1773" s="14">
        <f>F1773*BF1773*IF(B1773&gt;=in_marketplace_from,d_hz_nps*G1773,0)*in_nps_ticket*in_nps_comm</f>
        <v/>
      </c>
      <c r="BH1773" s="40">
        <f>BH1772*(1-IF(B1772&gt;=in_marketplace_from,d_hz_gold*G1772,0))</f>
        <v/>
      </c>
      <c r="BI1773" s="40">
        <f>BI1772*d_rho_gold+BH1773*IF(B1773&gt;=in_marketplace_from,d_hz_gold*G1773,0)</f>
        <v/>
      </c>
      <c r="BJ1773" s="14">
        <f>F1773*BI1773*in_gold_ticket*in_gold_comm</f>
        <v/>
      </c>
      <c r="BK1773" s="40">
        <f>BK1772*(1-IF(B1772&gt;=in_marketplace_from,d_hz_fd*G1772,0))</f>
        <v/>
      </c>
      <c r="BL1773" s="14">
        <f>F1773*BK1773*IF(B1773&gt;=in_marketplace_from,d_hz_fd*G1773,0)*in_fd_ticket*in_fd_comm</f>
        <v/>
      </c>
      <c r="BM1773" s="40">
        <f>BM1772*(1-IF(B1772&gt;=in_marketplace_from,d_hz_recharge*G1772,0))</f>
        <v/>
      </c>
      <c r="BN1773" s="40">
        <f>BN1772*d_rho_recharge+BM1773*IF(B1773&gt;=in_marketplace_from,d_hz_recharge*G1773,0)</f>
        <v/>
      </c>
      <c r="BO1773" s="14">
        <f>F1773*BN1773*in_recharge_ticket*in_recharge_comm/12</f>
        <v/>
      </c>
      <c r="BP1773" s="40">
        <f>BP1772*(1-IF(B1772&gt;=in_marketplace_from,d_hz_bills*G1772,0))</f>
        <v/>
      </c>
      <c r="BQ1773" s="40">
        <f>BQ1772*d_rho_bills+BP1773*IF(B1773&gt;=in_marketplace_from,d_hz_bills*G1773,0)</f>
        <v/>
      </c>
      <c r="BR1773" s="14">
        <f>F1773*BQ1773*in_bills_ticket*in_bills_comm/12</f>
        <v/>
      </c>
      <c r="BS1773" s="40">
        <f>BS1772*(1-IF(B1772&gt;=in_marketplace_from,d_hz_loan_gold*G1772,0))</f>
        <v/>
      </c>
      <c r="BT1773" s="14">
        <f>F1773*BS1773*IF(B1773&gt;=in_marketplace_from,d_hz_loan_gold*G1773,0)*in_loan_gold_ticket*in_loan_gold_comm</f>
        <v/>
      </c>
      <c r="BU1773" s="40">
        <f>BU1772*(1-IF(B1772&gt;=in_marketplace_from,d_hz_loan_cd*G1772,0))</f>
        <v/>
      </c>
      <c r="BV1773" s="14">
        <f>F1773*BU1773*IF(B1773&gt;=in_marketplace_from,d_hz_loan_cd*G1773,0)*in_loan_cd_ticket*in_loan_cd_comm</f>
        <v/>
      </c>
      <c r="BW1773" s="40">
        <f>BW1772*(1-IF(B1772&gt;=in_marketplace_from,d_hz_loan_vehicle*G1772,0))</f>
        <v/>
      </c>
      <c r="BX1773" s="14">
        <f>F1773*BW1773*IF(B1773&gt;=in_marketplace_from,d_hz_loan_vehicle*G1773,0)*in_loan_vehicle_ticket*in_loan_vehicle_comm</f>
        <v/>
      </c>
      <c r="BY1773" s="40">
        <f>BY1772*(1-IF(B1772&gt;=in_marketplace_from,d_hz_loan_home*G1772,0)*BZ1772)</f>
        <v/>
      </c>
      <c r="BZ1773" s="11">
        <f>MIN(in_approval_cap,in_loan_home_approval*INDEX('Age profile'!$O$2:$O$61,B1773)*(1+in_approval_growth)^(D1773-1))</f>
        <v/>
      </c>
      <c r="CA1773" s="14">
        <f>F1773*BY1773*IF(B1773&gt;=in_marketplace_from,d_hz_loan_home*G1773,0)*BZ1773*in_loan_home_ticket*in_loan_home_comm</f>
        <v/>
      </c>
      <c r="CB1773" s="40">
        <f>CB1772*(1-IF(B1772&gt;=in_marketplace_from,d_hz_loan_lap*G1772,0)*CC1772)</f>
        <v/>
      </c>
      <c r="CC1773" s="11">
        <f>MIN(in_approval_cap,in_loan_lap_approval*INDEX('Age profile'!$O$2:$O$61,B1773)*(1+in_approval_growth)^(D1773-1))</f>
        <v/>
      </c>
      <c r="CD1773" s="14">
        <f>F1773*CB1773*IF(B1773&gt;=in_marketplace_from,d_hz_loan_lap*G1773,0)*CC1773*in_loan_lap_ticket*in_loan_lap_comm</f>
        <v/>
      </c>
      <c r="CE1773" s="14">
        <f>AA1773+AB1773+AC1773+AD1773+AG1773+AJ1773+AM1773+AP1773+AS1773+AU1773+AX1773+BB1773+BE1773+BG1773+BJ1773+BL1773+BO1773+BR1773+BT1773+BV1773+BX1773+CA1773+CD1773</f>
        <v/>
      </c>
    </row>
    <row r="1774">
      <c r="A1774" s="39" t="n">
        <v>50</v>
      </c>
      <c r="B1774" s="39" t="n">
        <v>9</v>
      </c>
      <c r="C1774" s="39">
        <f>A1774+B1774-1</f>
        <v/>
      </c>
      <c r="D1774" s="39">
        <f>INT((C1774-1)/12)+1</f>
        <v/>
      </c>
      <c r="E1774" s="44">
        <f>INDEX(Monthly!$B$2:$B$61,A1774)</f>
        <v/>
      </c>
      <c r="F1774" s="44">
        <f>E1774*INDEX('Age profile'!$B$2:$B$61,B1774)</f>
        <v/>
      </c>
      <c r="G1774" s="45">
        <f>MIN(in_takeup_cap,INDEX('Age profile'!$N$2:$N$61,B1774)*(1+in_takeup_growth)^(D1774-1))</f>
        <v/>
      </c>
      <c r="H1774" s="11">
        <f>MIN(in_approval_cap,in_approved_first*INDEX('Age profile'!$O$2:$O$61,B1774)*(1+in_approval_growth)^(D1774-1))</f>
        <v/>
      </c>
      <c r="I1774" s="45">
        <f>G1774*MIN(in_takeup_cap,INDEX('Age profile'!$O$2:$O$61,B1774)*(1+in_approval_growth)^(D1774-1))</f>
        <v/>
      </c>
      <c r="J1774" s="40">
        <f>(J1773-L1773)*F1774/F1773</f>
        <v/>
      </c>
      <c r="K1774" s="40">
        <f>(K1773-M1773)*F1774/F1773+SUMIFS(O1766:O1773,B1766:B1773,B1774-1-d_T)*F1774</f>
        <v/>
      </c>
      <c r="L1774" s="40">
        <f>IF(B1774&gt;=in_marketplace_from,J1774*d_hz*G1774*in_eligible*H1774,0)</f>
        <v/>
      </c>
      <c r="M1774" s="40">
        <f>IF(B1774&gt;=in_marketplace_from,K1774*d_hz*G1774*in_eligible*in_approved_repeat,0)</f>
        <v/>
      </c>
      <c r="N1774" s="40">
        <f>L1774+M1774</f>
        <v/>
      </c>
      <c r="O1774" s="46">
        <f>N1774/F1774</f>
        <v/>
      </c>
      <c r="P1774" s="40">
        <f>F1774-J1774-K1774</f>
        <v/>
      </c>
      <c r="Q1774" s="40">
        <f>IF(B1774&gt;=in_marketplace_from,(J1774+K1774)*d_hz*G1774,0)</f>
        <v/>
      </c>
      <c r="R1774" s="40">
        <f>SUMIFS(N1766:N1776,B1766:B1776,"&gt;="&amp;(B1774-d_T),B1766:B1776,"&lt;="&amp;(B1774-1))</f>
        <v/>
      </c>
      <c r="S1774" s="46">
        <f>(1-d_u)*S1773+IF(d_T&gt;in_topup_lag,SUMIFS(O1766:O1776,B1766:B1776,B1774-in_topup_lag)-d_udrop*SUMIFS(O1766:O1776,B1766:B1776,B1774-d_T),0)</f>
        <v/>
      </c>
      <c r="T1774" s="40">
        <f>F1774*d_u*S1774</f>
        <v/>
      </c>
      <c r="U1774" s="9">
        <f>L1774*in_ticket+M1774*d_rep_ticket</f>
        <v/>
      </c>
      <c r="V1774" s="9">
        <f>U1774+T1774*d_topup_amt</f>
        <v/>
      </c>
      <c r="W1774" s="40">
        <f>N1774+T1774*d_topup_ratio</f>
        <v/>
      </c>
      <c r="X1774" s="40">
        <f>SUMIFS(W1766:W1776,B1766:B1776,B1774-in_dpd_lag)*d_cured</f>
        <v/>
      </c>
      <c r="Y1774" s="40">
        <f>SUMIFS(W1766:W1776,B1766:B1776,B1774-in_rec_lag)*d_recd</f>
        <v/>
      </c>
      <c r="Z1774" s="40">
        <f>IF(AND(B1774&gt;=in_marketplace_from,B1774&lt;in_marketplace_from+in_card_months),in_card_share/in_card_months*F1774*I1774,IF(AND(B1774&gt;=in_marketplace_from+in_card_months,B1774&lt;in_marketplace_from+2*in_card_months),in_card_share*d_card_rem/in_card_months*F1774*MIN(in_takeup_cap,(1+in_takeup_growth)^(D1774-1))*MIN(in_takeup_cap,(1+in_approval_growth)^(D1774-1)),0))</f>
        <v/>
      </c>
      <c r="AA1774" s="14">
        <f>V1774*in_fee*(1-in_taken_back)</f>
        <v/>
      </c>
      <c r="AB1774" s="14">
        <f>SUMIFS(W1766:W1776,B1766:B1776,B1774-in_dpd_lag)*d_dpd</f>
        <v/>
      </c>
      <c r="AC1774" s="14">
        <f>SUMIFS(W1766:W1776,B1766:B1776,B1774-in_rec_lag)*d_rec</f>
        <v/>
      </c>
      <c r="AD1774" s="14">
        <f>Z1774*in_card_fee</f>
        <v/>
      </c>
      <c r="AE1774" s="40">
        <f>AE1773*(1-IF(B1773&gt;=in_marketplace_from,d_hz_hlth_small*G1773,0))</f>
        <v/>
      </c>
      <c r="AF1774" s="46">
        <f>AE1774*IF(B1774&gt;=in_marketplace_from,d_hz_hlth_small*G1774,0)</f>
        <v/>
      </c>
      <c r="AG1774" s="14">
        <f>F1774*AF1774*in_hlth_small_ticket*in_hlth_small_comm*in_ins_partner_share+F1774*in_hlth_small_ticket*in_hlth_small_renew_comm*in_ins_partner_share*(in_hlth_small_renew^1*SUMIFS(AF1766:AF1776,B1766:B1776,B1774-12)+in_hlth_small_renew^2*SUMIFS(AF1766:AF1776,B1766:B1776,B1774-24)+in_hlth_small_renew^3*SUMIFS(AF1766:AF1776,B1766:B1776,B1774-36)+in_hlth_small_renew^4*SUMIFS(AF1766:AF1776,B1766:B1776,B1774-48))</f>
        <v/>
      </c>
      <c r="AH1774" s="40">
        <f>AH1773*(1-IF(B1773&gt;=in_marketplace_from,d_hz_hlth_family*G1773,0))</f>
        <v/>
      </c>
      <c r="AI1774" s="46">
        <f>AH1774*IF(B1774&gt;=in_marketplace_from,d_hz_hlth_family*G1774,0)</f>
        <v/>
      </c>
      <c r="AJ1774" s="14">
        <f>F1774*AI1774*in_hlth_family_ticket*in_hlth_family_comm*in_ins_partner_share+F1774*in_hlth_family_ticket*in_hlth_family_renew_comm*in_ins_partner_share*(in_hlth_family_renew^1*SUMIFS(AI1766:AI1776,B1766:B1776,B1774-12)+in_hlth_family_renew^2*SUMIFS(AI1766:AI1776,B1766:B1776,B1774-24)+in_hlth_family_renew^3*SUMIFS(AI1766:AI1776,B1766:B1776,B1774-36)+in_hlth_family_renew^4*SUMIFS(AI1766:AI1776,B1766:B1776,B1774-48))</f>
        <v/>
      </c>
      <c r="AK1774" s="40">
        <f>AK1773*(1-IF(B1773&gt;=in_marketplace_from,d_hz_life_term*G1773,0))</f>
        <v/>
      </c>
      <c r="AL1774" s="46">
        <f>AK1774*IF(B1774&gt;=in_marketplace_from,d_hz_life_term*G1774,0)</f>
        <v/>
      </c>
      <c r="AM1774" s="14">
        <f>F1774*AL1774*in_life_term_ticket*in_life_term_comm*in_ins_partner_share+F1774*in_life_term_ticket*in_life_term_renew_comm*in_ins_partner_share*(in_life_term_renew^1*SUMIFS(AL1766:AL1776,B1766:B1776,B1774-12)+in_life_term_renew^2*SUMIFS(AL1766:AL1776,B1766:B1776,B1774-24)+in_life_term_renew^3*SUMIFS(AL1766:AL1776,B1766:B1776,B1774-36)+in_life_term_renew^4*SUMIFS(AL1766:AL1776,B1766:B1776,B1774-48))</f>
        <v/>
      </c>
      <c r="AN1774" s="40">
        <f>AN1773*(1-IF(B1773&gt;=in_marketplace_from,d_hz_accident*G1773,0))</f>
        <v/>
      </c>
      <c r="AO1774" s="46">
        <f>AN1774*IF(B1774&gt;=in_marketplace_from,d_hz_accident*G1774,0)</f>
        <v/>
      </c>
      <c r="AP1774" s="14">
        <f>F1774*AO1774*in_accident_ticket*in_accident_comm*in_ins_partner_share+F1774*in_accident_ticket*in_accident_renew_comm*in_ins_partner_share*(in_accident_renew^1*SUMIFS(AO1766:AO1776,B1766:B1776,B1774-12)+in_accident_renew^2*SUMIFS(AO1766:AO1776,B1766:B1776,B1774-24)+in_accident_renew^3*SUMIFS(AO1766:AO1776,B1766:B1776,B1774-36)+in_accident_renew^4*SUMIFS(AO1766:AO1776,B1766:B1776,B1774-48))</f>
        <v/>
      </c>
      <c r="AQ1774" s="40">
        <f>AQ1773*(1-IF(B1773&gt;=in_marketplace_from,d_hz_two_wheeler*G1773,0))</f>
        <v/>
      </c>
      <c r="AR1774" s="46">
        <f>AQ1774*IF(B1774&gt;=in_marketplace_from,d_hz_two_wheeler*G1774,0)</f>
        <v/>
      </c>
      <c r="AS1774" s="14">
        <f>F1774*AR1774*in_two_wheeler_ticket*in_two_wheeler_comm*in_ins_partner_share+F1774*in_two_wheeler_ticket*in_two_wheeler_comm*in_ins_partner_share*(in_two_wheeler_renew^1*SUMIFS(AR1766:AR1776,B1766:B1776,B1774-12)+in_two_wheeler_renew^2*SUMIFS(AR1766:AR1776,B1766:B1776,B1774-24)+in_two_wheeler_renew^3*SUMIFS(AR1766:AR1776,B1766:B1776,B1774-36)+in_two_wheeler_renew^4*SUMIFS(AR1766:AR1776,B1766:B1776,B1774-48))</f>
        <v/>
      </c>
      <c r="AT1774" s="40">
        <f>AT1773*(1-IF(B1773&gt;=in_marketplace_from,d_hz_device*G1773,0))</f>
        <v/>
      </c>
      <c r="AU1774" s="14">
        <f>F1774*AT1774*IF(B1774&gt;=in_marketplace_from,d_hz_device*G1774,0)*in_device_ticket*in_device_comm*in_ins_partner_share</f>
        <v/>
      </c>
      <c r="AV1774" s="40">
        <f>AV1773*(1-IF(B1773&gt;=in_marketplace_from,d_hz_shop*G1773,0))</f>
        <v/>
      </c>
      <c r="AW1774" s="46">
        <f>AV1774*IF(B1774&gt;=in_marketplace_from,d_hz_shop*G1774,0)</f>
        <v/>
      </c>
      <c r="AX1774" s="14">
        <f>F1774*AW1774*in_shop_ticket*in_shop_comm*in_ins_partner_share+F1774*in_shop_ticket*in_shop_renew_comm*in_ins_partner_share*(in_shop_renew^1*SUMIFS(AW1766:AW1776,B1766:B1776,B1774-12)+in_shop_renew^2*SUMIFS(AW1766:AW1776,B1766:B1776,B1774-24)+in_shop_renew^3*SUMIFS(AW1766:AW1776,B1766:B1776,B1774-36)+in_shop_renew^4*SUMIFS(AW1766:AW1776,B1766:B1776,B1774-48))</f>
        <v/>
      </c>
      <c r="AY1774" s="40">
        <f>AY1773*(1-IF(B1773&gt;=in_marketplace_from,d_hz_sip*G1773,0))</f>
        <v/>
      </c>
      <c r="AZ1774" s="40">
        <f>AZ1773*d_rho_sip+AY1774*IF(B1774&gt;=in_marketplace_from,d_hz_sip*G1774,0)</f>
        <v/>
      </c>
      <c r="BA1774" s="40">
        <f>d_rho_sip*(BA1773+AZ1773)</f>
        <v/>
      </c>
      <c r="BB1774" s="14">
        <f>F1774*in_sip_ticket*(BA1774+0.5*AZ1774)*in_sip_comm/12</f>
        <v/>
      </c>
      <c r="BC1774" s="40">
        <f>BC1773*(1-IF(B1773&gt;=in_marketplace_from,d_hz_choti*G1773,0))</f>
        <v/>
      </c>
      <c r="BD1774" s="46">
        <f>BC1774*IF(B1774&gt;=in_marketplace_from,d_hz_choti*G1774,0)</f>
        <v/>
      </c>
      <c r="BE1774" s="14">
        <f>F1774*SUMIFS(BD1766:BD1776,B1766:B1776,B1774-in_choti_months)*in_choti_renew*in_choti_ticket</f>
        <v/>
      </c>
      <c r="BF1774" s="40">
        <f>BF1773*(1-IF(B1773&gt;=in_marketplace_from,d_hz_nps*G1773,0))</f>
        <v/>
      </c>
      <c r="BG1774" s="14">
        <f>F1774*BF1774*IF(B1774&gt;=in_marketplace_from,d_hz_nps*G1774,0)*in_nps_ticket*in_nps_comm</f>
        <v/>
      </c>
      <c r="BH1774" s="40">
        <f>BH1773*(1-IF(B1773&gt;=in_marketplace_from,d_hz_gold*G1773,0))</f>
        <v/>
      </c>
      <c r="BI1774" s="40">
        <f>BI1773*d_rho_gold+BH1774*IF(B1774&gt;=in_marketplace_from,d_hz_gold*G1774,0)</f>
        <v/>
      </c>
      <c r="BJ1774" s="14">
        <f>F1774*BI1774*in_gold_ticket*in_gold_comm</f>
        <v/>
      </c>
      <c r="BK1774" s="40">
        <f>BK1773*(1-IF(B1773&gt;=in_marketplace_from,d_hz_fd*G1773,0))</f>
        <v/>
      </c>
      <c r="BL1774" s="14">
        <f>F1774*BK1774*IF(B1774&gt;=in_marketplace_from,d_hz_fd*G1774,0)*in_fd_ticket*in_fd_comm</f>
        <v/>
      </c>
      <c r="BM1774" s="40">
        <f>BM1773*(1-IF(B1773&gt;=in_marketplace_from,d_hz_recharge*G1773,0))</f>
        <v/>
      </c>
      <c r="BN1774" s="40">
        <f>BN1773*d_rho_recharge+BM1774*IF(B1774&gt;=in_marketplace_from,d_hz_recharge*G1774,0)</f>
        <v/>
      </c>
      <c r="BO1774" s="14">
        <f>F1774*BN1774*in_recharge_ticket*in_recharge_comm/12</f>
        <v/>
      </c>
      <c r="BP1774" s="40">
        <f>BP1773*(1-IF(B1773&gt;=in_marketplace_from,d_hz_bills*G1773,0))</f>
        <v/>
      </c>
      <c r="BQ1774" s="40">
        <f>BQ1773*d_rho_bills+BP1774*IF(B1774&gt;=in_marketplace_from,d_hz_bills*G1774,0)</f>
        <v/>
      </c>
      <c r="BR1774" s="14">
        <f>F1774*BQ1774*in_bills_ticket*in_bills_comm/12</f>
        <v/>
      </c>
      <c r="BS1774" s="40">
        <f>BS1773*(1-IF(B1773&gt;=in_marketplace_from,d_hz_loan_gold*G1773,0))</f>
        <v/>
      </c>
      <c r="BT1774" s="14">
        <f>F1774*BS1774*IF(B1774&gt;=in_marketplace_from,d_hz_loan_gold*G1774,0)*in_loan_gold_ticket*in_loan_gold_comm</f>
        <v/>
      </c>
      <c r="BU1774" s="40">
        <f>BU1773*(1-IF(B1773&gt;=in_marketplace_from,d_hz_loan_cd*G1773,0))</f>
        <v/>
      </c>
      <c r="BV1774" s="14">
        <f>F1774*BU1774*IF(B1774&gt;=in_marketplace_from,d_hz_loan_cd*G1774,0)*in_loan_cd_ticket*in_loan_cd_comm</f>
        <v/>
      </c>
      <c r="BW1774" s="40">
        <f>BW1773*(1-IF(B1773&gt;=in_marketplace_from,d_hz_loan_vehicle*G1773,0))</f>
        <v/>
      </c>
      <c r="BX1774" s="14">
        <f>F1774*BW1774*IF(B1774&gt;=in_marketplace_from,d_hz_loan_vehicle*G1774,0)*in_loan_vehicle_ticket*in_loan_vehicle_comm</f>
        <v/>
      </c>
      <c r="BY1774" s="40">
        <f>BY1773*(1-IF(B1773&gt;=in_marketplace_from,d_hz_loan_home*G1773,0)*BZ1773)</f>
        <v/>
      </c>
      <c r="BZ1774" s="11">
        <f>MIN(in_approval_cap,in_loan_home_approval*INDEX('Age profile'!$O$2:$O$61,B1774)*(1+in_approval_growth)^(D1774-1))</f>
        <v/>
      </c>
      <c r="CA1774" s="14">
        <f>F1774*BY1774*IF(B1774&gt;=in_marketplace_from,d_hz_loan_home*G1774,0)*BZ1774*in_loan_home_ticket*in_loan_home_comm</f>
        <v/>
      </c>
      <c r="CB1774" s="40">
        <f>CB1773*(1-IF(B1773&gt;=in_marketplace_from,d_hz_loan_lap*G1773,0)*CC1773)</f>
        <v/>
      </c>
      <c r="CC1774" s="11">
        <f>MIN(in_approval_cap,in_loan_lap_approval*INDEX('Age profile'!$O$2:$O$61,B1774)*(1+in_approval_growth)^(D1774-1))</f>
        <v/>
      </c>
      <c r="CD1774" s="14">
        <f>F1774*CB1774*IF(B1774&gt;=in_marketplace_from,d_hz_loan_lap*G1774,0)*CC1774*in_loan_lap_ticket*in_loan_lap_comm</f>
        <v/>
      </c>
      <c r="CE1774" s="14">
        <f>AA1774+AB1774+AC1774+AD1774+AG1774+AJ1774+AM1774+AP1774+AS1774+AU1774+AX1774+BB1774+BE1774+BG1774+BJ1774+BL1774+BO1774+BR1774+BT1774+BV1774+BX1774+CA1774+CD1774</f>
        <v/>
      </c>
    </row>
    <row r="1775">
      <c r="A1775" s="39" t="n">
        <v>50</v>
      </c>
      <c r="B1775" s="39" t="n">
        <v>10</v>
      </c>
      <c r="C1775" s="39">
        <f>A1775+B1775-1</f>
        <v/>
      </c>
      <c r="D1775" s="39">
        <f>INT((C1775-1)/12)+1</f>
        <v/>
      </c>
      <c r="E1775" s="44">
        <f>INDEX(Monthly!$B$2:$B$61,A1775)</f>
        <v/>
      </c>
      <c r="F1775" s="44">
        <f>E1775*INDEX('Age profile'!$B$2:$B$61,B1775)</f>
        <v/>
      </c>
      <c r="G1775" s="45">
        <f>MIN(in_takeup_cap,INDEX('Age profile'!$N$2:$N$61,B1775)*(1+in_takeup_growth)^(D1775-1))</f>
        <v/>
      </c>
      <c r="H1775" s="11">
        <f>MIN(in_approval_cap,in_approved_first*INDEX('Age profile'!$O$2:$O$61,B1775)*(1+in_approval_growth)^(D1775-1))</f>
        <v/>
      </c>
      <c r="I1775" s="45">
        <f>G1775*MIN(in_takeup_cap,INDEX('Age profile'!$O$2:$O$61,B1775)*(1+in_approval_growth)^(D1775-1))</f>
        <v/>
      </c>
      <c r="J1775" s="40">
        <f>(J1774-L1774)*F1775/F1774</f>
        <v/>
      </c>
      <c r="K1775" s="40">
        <f>(K1774-M1774)*F1775/F1774+SUMIFS(O1766:O1774,B1766:B1774,B1775-1-d_T)*F1775</f>
        <v/>
      </c>
      <c r="L1775" s="40">
        <f>IF(B1775&gt;=in_marketplace_from,J1775*d_hz*G1775*in_eligible*H1775,0)</f>
        <v/>
      </c>
      <c r="M1775" s="40">
        <f>IF(B1775&gt;=in_marketplace_from,K1775*d_hz*G1775*in_eligible*in_approved_repeat,0)</f>
        <v/>
      </c>
      <c r="N1775" s="40">
        <f>L1775+M1775</f>
        <v/>
      </c>
      <c r="O1775" s="46">
        <f>N1775/F1775</f>
        <v/>
      </c>
      <c r="P1775" s="40">
        <f>F1775-J1775-K1775</f>
        <v/>
      </c>
      <c r="Q1775" s="40">
        <f>IF(B1775&gt;=in_marketplace_from,(J1775+K1775)*d_hz*G1775,0)</f>
        <v/>
      </c>
      <c r="R1775" s="40">
        <f>SUMIFS(N1766:N1776,B1766:B1776,"&gt;="&amp;(B1775-d_T),B1766:B1776,"&lt;="&amp;(B1775-1))</f>
        <v/>
      </c>
      <c r="S1775" s="46">
        <f>(1-d_u)*S1774+IF(d_T&gt;in_topup_lag,SUMIFS(O1766:O1776,B1766:B1776,B1775-in_topup_lag)-d_udrop*SUMIFS(O1766:O1776,B1766:B1776,B1775-d_T),0)</f>
        <v/>
      </c>
      <c r="T1775" s="40">
        <f>F1775*d_u*S1775</f>
        <v/>
      </c>
      <c r="U1775" s="9">
        <f>L1775*in_ticket+M1775*d_rep_ticket</f>
        <v/>
      </c>
      <c r="V1775" s="9">
        <f>U1775+T1775*d_topup_amt</f>
        <v/>
      </c>
      <c r="W1775" s="40">
        <f>N1775+T1775*d_topup_ratio</f>
        <v/>
      </c>
      <c r="X1775" s="40">
        <f>SUMIFS(W1766:W1776,B1766:B1776,B1775-in_dpd_lag)*d_cured</f>
        <v/>
      </c>
      <c r="Y1775" s="40">
        <f>SUMIFS(W1766:W1776,B1766:B1776,B1775-in_rec_lag)*d_recd</f>
        <v/>
      </c>
      <c r="Z1775" s="40">
        <f>IF(AND(B1775&gt;=in_marketplace_from,B1775&lt;in_marketplace_from+in_card_months),in_card_share/in_card_months*F1775*I1775,IF(AND(B1775&gt;=in_marketplace_from+in_card_months,B1775&lt;in_marketplace_from+2*in_card_months),in_card_share*d_card_rem/in_card_months*F1775*MIN(in_takeup_cap,(1+in_takeup_growth)^(D1775-1))*MIN(in_takeup_cap,(1+in_approval_growth)^(D1775-1)),0))</f>
        <v/>
      </c>
      <c r="AA1775" s="14">
        <f>V1775*in_fee*(1-in_taken_back)</f>
        <v/>
      </c>
      <c r="AB1775" s="14">
        <f>SUMIFS(W1766:W1776,B1766:B1776,B1775-in_dpd_lag)*d_dpd</f>
        <v/>
      </c>
      <c r="AC1775" s="14">
        <f>SUMIFS(W1766:W1776,B1766:B1776,B1775-in_rec_lag)*d_rec</f>
        <v/>
      </c>
      <c r="AD1775" s="14">
        <f>Z1775*in_card_fee</f>
        <v/>
      </c>
      <c r="AE1775" s="40">
        <f>AE1774*(1-IF(B1774&gt;=in_marketplace_from,d_hz_hlth_small*G1774,0))</f>
        <v/>
      </c>
      <c r="AF1775" s="46">
        <f>AE1775*IF(B1775&gt;=in_marketplace_from,d_hz_hlth_small*G1775,0)</f>
        <v/>
      </c>
      <c r="AG1775" s="14">
        <f>F1775*AF1775*in_hlth_small_ticket*in_hlth_small_comm*in_ins_partner_share+F1775*in_hlth_small_ticket*in_hlth_small_renew_comm*in_ins_partner_share*(in_hlth_small_renew^1*SUMIFS(AF1766:AF1776,B1766:B1776,B1775-12)+in_hlth_small_renew^2*SUMIFS(AF1766:AF1776,B1766:B1776,B1775-24)+in_hlth_small_renew^3*SUMIFS(AF1766:AF1776,B1766:B1776,B1775-36)+in_hlth_small_renew^4*SUMIFS(AF1766:AF1776,B1766:B1776,B1775-48))</f>
        <v/>
      </c>
      <c r="AH1775" s="40">
        <f>AH1774*(1-IF(B1774&gt;=in_marketplace_from,d_hz_hlth_family*G1774,0))</f>
        <v/>
      </c>
      <c r="AI1775" s="46">
        <f>AH1775*IF(B1775&gt;=in_marketplace_from,d_hz_hlth_family*G1775,0)</f>
        <v/>
      </c>
      <c r="AJ1775" s="14">
        <f>F1775*AI1775*in_hlth_family_ticket*in_hlth_family_comm*in_ins_partner_share+F1775*in_hlth_family_ticket*in_hlth_family_renew_comm*in_ins_partner_share*(in_hlth_family_renew^1*SUMIFS(AI1766:AI1776,B1766:B1776,B1775-12)+in_hlth_family_renew^2*SUMIFS(AI1766:AI1776,B1766:B1776,B1775-24)+in_hlth_family_renew^3*SUMIFS(AI1766:AI1776,B1766:B1776,B1775-36)+in_hlth_family_renew^4*SUMIFS(AI1766:AI1776,B1766:B1776,B1775-48))</f>
        <v/>
      </c>
      <c r="AK1775" s="40">
        <f>AK1774*(1-IF(B1774&gt;=in_marketplace_from,d_hz_life_term*G1774,0))</f>
        <v/>
      </c>
      <c r="AL1775" s="46">
        <f>AK1775*IF(B1775&gt;=in_marketplace_from,d_hz_life_term*G1775,0)</f>
        <v/>
      </c>
      <c r="AM1775" s="14">
        <f>F1775*AL1775*in_life_term_ticket*in_life_term_comm*in_ins_partner_share+F1775*in_life_term_ticket*in_life_term_renew_comm*in_ins_partner_share*(in_life_term_renew^1*SUMIFS(AL1766:AL1776,B1766:B1776,B1775-12)+in_life_term_renew^2*SUMIFS(AL1766:AL1776,B1766:B1776,B1775-24)+in_life_term_renew^3*SUMIFS(AL1766:AL1776,B1766:B1776,B1775-36)+in_life_term_renew^4*SUMIFS(AL1766:AL1776,B1766:B1776,B1775-48))</f>
        <v/>
      </c>
      <c r="AN1775" s="40">
        <f>AN1774*(1-IF(B1774&gt;=in_marketplace_from,d_hz_accident*G1774,0))</f>
        <v/>
      </c>
      <c r="AO1775" s="46">
        <f>AN1775*IF(B1775&gt;=in_marketplace_from,d_hz_accident*G1775,0)</f>
        <v/>
      </c>
      <c r="AP1775" s="14">
        <f>F1775*AO1775*in_accident_ticket*in_accident_comm*in_ins_partner_share+F1775*in_accident_ticket*in_accident_renew_comm*in_ins_partner_share*(in_accident_renew^1*SUMIFS(AO1766:AO1776,B1766:B1776,B1775-12)+in_accident_renew^2*SUMIFS(AO1766:AO1776,B1766:B1776,B1775-24)+in_accident_renew^3*SUMIFS(AO1766:AO1776,B1766:B1776,B1775-36)+in_accident_renew^4*SUMIFS(AO1766:AO1776,B1766:B1776,B1775-48))</f>
        <v/>
      </c>
      <c r="AQ1775" s="40">
        <f>AQ1774*(1-IF(B1774&gt;=in_marketplace_from,d_hz_two_wheeler*G1774,0))</f>
        <v/>
      </c>
      <c r="AR1775" s="46">
        <f>AQ1775*IF(B1775&gt;=in_marketplace_from,d_hz_two_wheeler*G1775,0)</f>
        <v/>
      </c>
      <c r="AS1775" s="14">
        <f>F1775*AR1775*in_two_wheeler_ticket*in_two_wheeler_comm*in_ins_partner_share+F1775*in_two_wheeler_ticket*in_two_wheeler_comm*in_ins_partner_share*(in_two_wheeler_renew^1*SUMIFS(AR1766:AR1776,B1766:B1776,B1775-12)+in_two_wheeler_renew^2*SUMIFS(AR1766:AR1776,B1766:B1776,B1775-24)+in_two_wheeler_renew^3*SUMIFS(AR1766:AR1776,B1766:B1776,B1775-36)+in_two_wheeler_renew^4*SUMIFS(AR1766:AR1776,B1766:B1776,B1775-48))</f>
        <v/>
      </c>
      <c r="AT1775" s="40">
        <f>AT1774*(1-IF(B1774&gt;=in_marketplace_from,d_hz_device*G1774,0))</f>
        <v/>
      </c>
      <c r="AU1775" s="14">
        <f>F1775*AT1775*IF(B1775&gt;=in_marketplace_from,d_hz_device*G1775,0)*in_device_ticket*in_device_comm*in_ins_partner_share</f>
        <v/>
      </c>
      <c r="AV1775" s="40">
        <f>AV1774*(1-IF(B1774&gt;=in_marketplace_from,d_hz_shop*G1774,0))</f>
        <v/>
      </c>
      <c r="AW1775" s="46">
        <f>AV1775*IF(B1775&gt;=in_marketplace_from,d_hz_shop*G1775,0)</f>
        <v/>
      </c>
      <c r="AX1775" s="14">
        <f>F1775*AW1775*in_shop_ticket*in_shop_comm*in_ins_partner_share+F1775*in_shop_ticket*in_shop_renew_comm*in_ins_partner_share*(in_shop_renew^1*SUMIFS(AW1766:AW1776,B1766:B1776,B1775-12)+in_shop_renew^2*SUMIFS(AW1766:AW1776,B1766:B1776,B1775-24)+in_shop_renew^3*SUMIFS(AW1766:AW1776,B1766:B1776,B1775-36)+in_shop_renew^4*SUMIFS(AW1766:AW1776,B1766:B1776,B1775-48))</f>
        <v/>
      </c>
      <c r="AY1775" s="40">
        <f>AY1774*(1-IF(B1774&gt;=in_marketplace_from,d_hz_sip*G1774,0))</f>
        <v/>
      </c>
      <c r="AZ1775" s="40">
        <f>AZ1774*d_rho_sip+AY1775*IF(B1775&gt;=in_marketplace_from,d_hz_sip*G1775,0)</f>
        <v/>
      </c>
      <c r="BA1775" s="40">
        <f>d_rho_sip*(BA1774+AZ1774)</f>
        <v/>
      </c>
      <c r="BB1775" s="14">
        <f>F1775*in_sip_ticket*(BA1775+0.5*AZ1775)*in_sip_comm/12</f>
        <v/>
      </c>
      <c r="BC1775" s="40">
        <f>BC1774*(1-IF(B1774&gt;=in_marketplace_from,d_hz_choti*G1774,0))</f>
        <v/>
      </c>
      <c r="BD1775" s="46">
        <f>BC1775*IF(B1775&gt;=in_marketplace_from,d_hz_choti*G1775,0)</f>
        <v/>
      </c>
      <c r="BE1775" s="14">
        <f>F1775*SUMIFS(BD1766:BD1776,B1766:B1776,B1775-in_choti_months)*in_choti_renew*in_choti_ticket</f>
        <v/>
      </c>
      <c r="BF1775" s="40">
        <f>BF1774*(1-IF(B1774&gt;=in_marketplace_from,d_hz_nps*G1774,0))</f>
        <v/>
      </c>
      <c r="BG1775" s="14">
        <f>F1775*BF1775*IF(B1775&gt;=in_marketplace_from,d_hz_nps*G1775,0)*in_nps_ticket*in_nps_comm</f>
        <v/>
      </c>
      <c r="BH1775" s="40">
        <f>BH1774*(1-IF(B1774&gt;=in_marketplace_from,d_hz_gold*G1774,0))</f>
        <v/>
      </c>
      <c r="BI1775" s="40">
        <f>BI1774*d_rho_gold+BH1775*IF(B1775&gt;=in_marketplace_from,d_hz_gold*G1775,0)</f>
        <v/>
      </c>
      <c r="BJ1775" s="14">
        <f>F1775*BI1775*in_gold_ticket*in_gold_comm</f>
        <v/>
      </c>
      <c r="BK1775" s="40">
        <f>BK1774*(1-IF(B1774&gt;=in_marketplace_from,d_hz_fd*G1774,0))</f>
        <v/>
      </c>
      <c r="BL1775" s="14">
        <f>F1775*BK1775*IF(B1775&gt;=in_marketplace_from,d_hz_fd*G1775,0)*in_fd_ticket*in_fd_comm</f>
        <v/>
      </c>
      <c r="BM1775" s="40">
        <f>BM1774*(1-IF(B1774&gt;=in_marketplace_from,d_hz_recharge*G1774,0))</f>
        <v/>
      </c>
      <c r="BN1775" s="40">
        <f>BN1774*d_rho_recharge+BM1775*IF(B1775&gt;=in_marketplace_from,d_hz_recharge*G1775,0)</f>
        <v/>
      </c>
      <c r="BO1775" s="14">
        <f>F1775*BN1775*in_recharge_ticket*in_recharge_comm/12</f>
        <v/>
      </c>
      <c r="BP1775" s="40">
        <f>BP1774*(1-IF(B1774&gt;=in_marketplace_from,d_hz_bills*G1774,0))</f>
        <v/>
      </c>
      <c r="BQ1775" s="40">
        <f>BQ1774*d_rho_bills+BP1775*IF(B1775&gt;=in_marketplace_from,d_hz_bills*G1775,0)</f>
        <v/>
      </c>
      <c r="BR1775" s="14">
        <f>F1775*BQ1775*in_bills_ticket*in_bills_comm/12</f>
        <v/>
      </c>
      <c r="BS1775" s="40">
        <f>BS1774*(1-IF(B1774&gt;=in_marketplace_from,d_hz_loan_gold*G1774,0))</f>
        <v/>
      </c>
      <c r="BT1775" s="14">
        <f>F1775*BS1775*IF(B1775&gt;=in_marketplace_from,d_hz_loan_gold*G1775,0)*in_loan_gold_ticket*in_loan_gold_comm</f>
        <v/>
      </c>
      <c r="BU1775" s="40">
        <f>BU1774*(1-IF(B1774&gt;=in_marketplace_from,d_hz_loan_cd*G1774,0))</f>
        <v/>
      </c>
      <c r="BV1775" s="14">
        <f>F1775*BU1775*IF(B1775&gt;=in_marketplace_from,d_hz_loan_cd*G1775,0)*in_loan_cd_ticket*in_loan_cd_comm</f>
        <v/>
      </c>
      <c r="BW1775" s="40">
        <f>BW1774*(1-IF(B1774&gt;=in_marketplace_from,d_hz_loan_vehicle*G1774,0))</f>
        <v/>
      </c>
      <c r="BX1775" s="14">
        <f>F1775*BW1775*IF(B1775&gt;=in_marketplace_from,d_hz_loan_vehicle*G1775,0)*in_loan_vehicle_ticket*in_loan_vehicle_comm</f>
        <v/>
      </c>
      <c r="BY1775" s="40">
        <f>BY1774*(1-IF(B1774&gt;=in_marketplace_from,d_hz_loan_home*G1774,0)*BZ1774)</f>
        <v/>
      </c>
      <c r="BZ1775" s="11">
        <f>MIN(in_approval_cap,in_loan_home_approval*INDEX('Age profile'!$O$2:$O$61,B1775)*(1+in_approval_growth)^(D1775-1))</f>
        <v/>
      </c>
      <c r="CA1775" s="14">
        <f>F1775*BY1775*IF(B1775&gt;=in_marketplace_from,d_hz_loan_home*G1775,0)*BZ1775*in_loan_home_ticket*in_loan_home_comm</f>
        <v/>
      </c>
      <c r="CB1775" s="40">
        <f>CB1774*(1-IF(B1774&gt;=in_marketplace_from,d_hz_loan_lap*G1774,0)*CC1774)</f>
        <v/>
      </c>
      <c r="CC1775" s="11">
        <f>MIN(in_approval_cap,in_loan_lap_approval*INDEX('Age profile'!$O$2:$O$61,B1775)*(1+in_approval_growth)^(D1775-1))</f>
        <v/>
      </c>
      <c r="CD1775" s="14">
        <f>F1775*CB1775*IF(B1775&gt;=in_marketplace_from,d_hz_loan_lap*G1775,0)*CC1775*in_loan_lap_ticket*in_loan_lap_comm</f>
        <v/>
      </c>
      <c r="CE1775" s="14">
        <f>AA1775+AB1775+AC1775+AD1775+AG1775+AJ1775+AM1775+AP1775+AS1775+AU1775+AX1775+BB1775+BE1775+BG1775+BJ1775+BL1775+BO1775+BR1775+BT1775+BV1775+BX1775+CA1775+CD1775</f>
        <v/>
      </c>
    </row>
    <row r="1776">
      <c r="A1776" s="39" t="n">
        <v>50</v>
      </c>
      <c r="B1776" s="39" t="n">
        <v>11</v>
      </c>
      <c r="C1776" s="39">
        <f>A1776+B1776-1</f>
        <v/>
      </c>
      <c r="D1776" s="39">
        <f>INT((C1776-1)/12)+1</f>
        <v/>
      </c>
      <c r="E1776" s="44">
        <f>INDEX(Monthly!$B$2:$B$61,A1776)</f>
        <v/>
      </c>
      <c r="F1776" s="44">
        <f>E1776*INDEX('Age profile'!$B$2:$B$61,B1776)</f>
        <v/>
      </c>
      <c r="G1776" s="45">
        <f>MIN(in_takeup_cap,INDEX('Age profile'!$N$2:$N$61,B1776)*(1+in_takeup_growth)^(D1776-1))</f>
        <v/>
      </c>
      <c r="H1776" s="11">
        <f>MIN(in_approval_cap,in_approved_first*INDEX('Age profile'!$O$2:$O$61,B1776)*(1+in_approval_growth)^(D1776-1))</f>
        <v/>
      </c>
      <c r="I1776" s="45">
        <f>G1776*MIN(in_takeup_cap,INDEX('Age profile'!$O$2:$O$61,B1776)*(1+in_approval_growth)^(D1776-1))</f>
        <v/>
      </c>
      <c r="J1776" s="40">
        <f>(J1775-L1775)*F1776/F1775</f>
        <v/>
      </c>
      <c r="K1776" s="40">
        <f>(K1775-M1775)*F1776/F1775+SUMIFS(O1766:O1775,B1766:B1775,B1776-1-d_T)*F1776</f>
        <v/>
      </c>
      <c r="L1776" s="40">
        <f>IF(B1776&gt;=in_marketplace_from,J1776*d_hz*G1776*in_eligible*H1776,0)</f>
        <v/>
      </c>
      <c r="M1776" s="40">
        <f>IF(B1776&gt;=in_marketplace_from,K1776*d_hz*G1776*in_eligible*in_approved_repeat,0)</f>
        <v/>
      </c>
      <c r="N1776" s="40">
        <f>L1776+M1776</f>
        <v/>
      </c>
      <c r="O1776" s="46">
        <f>N1776/F1776</f>
        <v/>
      </c>
      <c r="P1776" s="40">
        <f>F1776-J1776-K1776</f>
        <v/>
      </c>
      <c r="Q1776" s="40">
        <f>IF(B1776&gt;=in_marketplace_from,(J1776+K1776)*d_hz*G1776,0)</f>
        <v/>
      </c>
      <c r="R1776" s="40">
        <f>SUMIFS(N1766:N1776,B1766:B1776,"&gt;="&amp;(B1776-d_T),B1766:B1776,"&lt;="&amp;(B1776-1))</f>
        <v/>
      </c>
      <c r="S1776" s="46">
        <f>(1-d_u)*S1775+IF(d_T&gt;in_topup_lag,SUMIFS(O1766:O1776,B1766:B1776,B1776-in_topup_lag)-d_udrop*SUMIFS(O1766:O1776,B1766:B1776,B1776-d_T),0)</f>
        <v/>
      </c>
      <c r="T1776" s="40">
        <f>F1776*d_u*S1776</f>
        <v/>
      </c>
      <c r="U1776" s="9">
        <f>L1776*in_ticket+M1776*d_rep_ticket</f>
        <v/>
      </c>
      <c r="V1776" s="9">
        <f>U1776+T1776*d_topup_amt</f>
        <v/>
      </c>
      <c r="W1776" s="40">
        <f>N1776+T1776*d_topup_ratio</f>
        <v/>
      </c>
      <c r="X1776" s="40">
        <f>SUMIFS(W1766:W1776,B1766:B1776,B1776-in_dpd_lag)*d_cured</f>
        <v/>
      </c>
      <c r="Y1776" s="40">
        <f>SUMIFS(W1766:W1776,B1766:B1776,B1776-in_rec_lag)*d_recd</f>
        <v/>
      </c>
      <c r="Z1776" s="40">
        <f>IF(AND(B1776&gt;=in_marketplace_from,B1776&lt;in_marketplace_from+in_card_months),in_card_share/in_card_months*F1776*I1776,IF(AND(B1776&gt;=in_marketplace_from+in_card_months,B1776&lt;in_marketplace_from+2*in_card_months),in_card_share*d_card_rem/in_card_months*F1776*MIN(in_takeup_cap,(1+in_takeup_growth)^(D1776-1))*MIN(in_takeup_cap,(1+in_approval_growth)^(D1776-1)),0))</f>
        <v/>
      </c>
      <c r="AA1776" s="14">
        <f>V1776*in_fee*(1-in_taken_back)</f>
        <v/>
      </c>
      <c r="AB1776" s="14">
        <f>SUMIFS(W1766:W1776,B1766:B1776,B1776-in_dpd_lag)*d_dpd</f>
        <v/>
      </c>
      <c r="AC1776" s="14">
        <f>SUMIFS(W1766:W1776,B1766:B1776,B1776-in_rec_lag)*d_rec</f>
        <v/>
      </c>
      <c r="AD1776" s="14">
        <f>Z1776*in_card_fee</f>
        <v/>
      </c>
      <c r="AE1776" s="40">
        <f>AE1775*(1-IF(B1775&gt;=in_marketplace_from,d_hz_hlth_small*G1775,0))</f>
        <v/>
      </c>
      <c r="AF1776" s="46">
        <f>AE1776*IF(B1776&gt;=in_marketplace_from,d_hz_hlth_small*G1776,0)</f>
        <v/>
      </c>
      <c r="AG1776" s="14">
        <f>F1776*AF1776*in_hlth_small_ticket*in_hlth_small_comm*in_ins_partner_share+F1776*in_hlth_small_ticket*in_hlth_small_renew_comm*in_ins_partner_share*(in_hlth_small_renew^1*SUMIFS(AF1766:AF1776,B1766:B1776,B1776-12)+in_hlth_small_renew^2*SUMIFS(AF1766:AF1776,B1766:B1776,B1776-24)+in_hlth_small_renew^3*SUMIFS(AF1766:AF1776,B1766:B1776,B1776-36)+in_hlth_small_renew^4*SUMIFS(AF1766:AF1776,B1766:B1776,B1776-48))</f>
        <v/>
      </c>
      <c r="AH1776" s="40">
        <f>AH1775*(1-IF(B1775&gt;=in_marketplace_from,d_hz_hlth_family*G1775,0))</f>
        <v/>
      </c>
      <c r="AI1776" s="46">
        <f>AH1776*IF(B1776&gt;=in_marketplace_from,d_hz_hlth_family*G1776,0)</f>
        <v/>
      </c>
      <c r="AJ1776" s="14">
        <f>F1776*AI1776*in_hlth_family_ticket*in_hlth_family_comm*in_ins_partner_share+F1776*in_hlth_family_ticket*in_hlth_family_renew_comm*in_ins_partner_share*(in_hlth_family_renew^1*SUMIFS(AI1766:AI1776,B1766:B1776,B1776-12)+in_hlth_family_renew^2*SUMIFS(AI1766:AI1776,B1766:B1776,B1776-24)+in_hlth_family_renew^3*SUMIFS(AI1766:AI1776,B1766:B1776,B1776-36)+in_hlth_family_renew^4*SUMIFS(AI1766:AI1776,B1766:B1776,B1776-48))</f>
        <v/>
      </c>
      <c r="AK1776" s="40">
        <f>AK1775*(1-IF(B1775&gt;=in_marketplace_from,d_hz_life_term*G1775,0))</f>
        <v/>
      </c>
      <c r="AL1776" s="46">
        <f>AK1776*IF(B1776&gt;=in_marketplace_from,d_hz_life_term*G1776,0)</f>
        <v/>
      </c>
      <c r="AM1776" s="14">
        <f>F1776*AL1776*in_life_term_ticket*in_life_term_comm*in_ins_partner_share+F1776*in_life_term_ticket*in_life_term_renew_comm*in_ins_partner_share*(in_life_term_renew^1*SUMIFS(AL1766:AL1776,B1766:B1776,B1776-12)+in_life_term_renew^2*SUMIFS(AL1766:AL1776,B1766:B1776,B1776-24)+in_life_term_renew^3*SUMIFS(AL1766:AL1776,B1766:B1776,B1776-36)+in_life_term_renew^4*SUMIFS(AL1766:AL1776,B1766:B1776,B1776-48))</f>
        <v/>
      </c>
      <c r="AN1776" s="40">
        <f>AN1775*(1-IF(B1775&gt;=in_marketplace_from,d_hz_accident*G1775,0))</f>
        <v/>
      </c>
      <c r="AO1776" s="46">
        <f>AN1776*IF(B1776&gt;=in_marketplace_from,d_hz_accident*G1776,0)</f>
        <v/>
      </c>
      <c r="AP1776" s="14">
        <f>F1776*AO1776*in_accident_ticket*in_accident_comm*in_ins_partner_share+F1776*in_accident_ticket*in_accident_renew_comm*in_ins_partner_share*(in_accident_renew^1*SUMIFS(AO1766:AO1776,B1766:B1776,B1776-12)+in_accident_renew^2*SUMIFS(AO1766:AO1776,B1766:B1776,B1776-24)+in_accident_renew^3*SUMIFS(AO1766:AO1776,B1766:B1776,B1776-36)+in_accident_renew^4*SUMIFS(AO1766:AO1776,B1766:B1776,B1776-48))</f>
        <v/>
      </c>
      <c r="AQ1776" s="40">
        <f>AQ1775*(1-IF(B1775&gt;=in_marketplace_from,d_hz_two_wheeler*G1775,0))</f>
        <v/>
      </c>
      <c r="AR1776" s="46">
        <f>AQ1776*IF(B1776&gt;=in_marketplace_from,d_hz_two_wheeler*G1776,0)</f>
        <v/>
      </c>
      <c r="AS1776" s="14">
        <f>F1776*AR1776*in_two_wheeler_ticket*in_two_wheeler_comm*in_ins_partner_share+F1776*in_two_wheeler_ticket*in_two_wheeler_comm*in_ins_partner_share*(in_two_wheeler_renew^1*SUMIFS(AR1766:AR1776,B1766:B1776,B1776-12)+in_two_wheeler_renew^2*SUMIFS(AR1766:AR1776,B1766:B1776,B1776-24)+in_two_wheeler_renew^3*SUMIFS(AR1766:AR1776,B1766:B1776,B1776-36)+in_two_wheeler_renew^4*SUMIFS(AR1766:AR1776,B1766:B1776,B1776-48))</f>
        <v/>
      </c>
      <c r="AT1776" s="40">
        <f>AT1775*(1-IF(B1775&gt;=in_marketplace_from,d_hz_device*G1775,0))</f>
        <v/>
      </c>
      <c r="AU1776" s="14">
        <f>F1776*AT1776*IF(B1776&gt;=in_marketplace_from,d_hz_device*G1776,0)*in_device_ticket*in_device_comm*in_ins_partner_share</f>
        <v/>
      </c>
      <c r="AV1776" s="40">
        <f>AV1775*(1-IF(B1775&gt;=in_marketplace_from,d_hz_shop*G1775,0))</f>
        <v/>
      </c>
      <c r="AW1776" s="46">
        <f>AV1776*IF(B1776&gt;=in_marketplace_from,d_hz_shop*G1776,0)</f>
        <v/>
      </c>
      <c r="AX1776" s="14">
        <f>F1776*AW1776*in_shop_ticket*in_shop_comm*in_ins_partner_share+F1776*in_shop_ticket*in_shop_renew_comm*in_ins_partner_share*(in_shop_renew^1*SUMIFS(AW1766:AW1776,B1766:B1776,B1776-12)+in_shop_renew^2*SUMIFS(AW1766:AW1776,B1766:B1776,B1776-24)+in_shop_renew^3*SUMIFS(AW1766:AW1776,B1766:B1776,B1776-36)+in_shop_renew^4*SUMIFS(AW1766:AW1776,B1766:B1776,B1776-48))</f>
        <v/>
      </c>
      <c r="AY1776" s="40">
        <f>AY1775*(1-IF(B1775&gt;=in_marketplace_from,d_hz_sip*G1775,0))</f>
        <v/>
      </c>
      <c r="AZ1776" s="40">
        <f>AZ1775*d_rho_sip+AY1776*IF(B1776&gt;=in_marketplace_from,d_hz_sip*G1776,0)</f>
        <v/>
      </c>
      <c r="BA1776" s="40">
        <f>d_rho_sip*(BA1775+AZ1775)</f>
        <v/>
      </c>
      <c r="BB1776" s="14">
        <f>F1776*in_sip_ticket*(BA1776+0.5*AZ1776)*in_sip_comm/12</f>
        <v/>
      </c>
      <c r="BC1776" s="40">
        <f>BC1775*(1-IF(B1775&gt;=in_marketplace_from,d_hz_choti*G1775,0))</f>
        <v/>
      </c>
      <c r="BD1776" s="46">
        <f>BC1776*IF(B1776&gt;=in_marketplace_from,d_hz_choti*G1776,0)</f>
        <v/>
      </c>
      <c r="BE1776" s="14">
        <f>F1776*SUMIFS(BD1766:BD1776,B1766:B1776,B1776-in_choti_months)*in_choti_renew*in_choti_ticket</f>
        <v/>
      </c>
      <c r="BF1776" s="40">
        <f>BF1775*(1-IF(B1775&gt;=in_marketplace_from,d_hz_nps*G1775,0))</f>
        <v/>
      </c>
      <c r="BG1776" s="14">
        <f>F1776*BF1776*IF(B1776&gt;=in_marketplace_from,d_hz_nps*G1776,0)*in_nps_ticket*in_nps_comm</f>
        <v/>
      </c>
      <c r="BH1776" s="40">
        <f>BH1775*(1-IF(B1775&gt;=in_marketplace_from,d_hz_gold*G1775,0))</f>
        <v/>
      </c>
      <c r="BI1776" s="40">
        <f>BI1775*d_rho_gold+BH1776*IF(B1776&gt;=in_marketplace_from,d_hz_gold*G1776,0)</f>
        <v/>
      </c>
      <c r="BJ1776" s="14">
        <f>F1776*BI1776*in_gold_ticket*in_gold_comm</f>
        <v/>
      </c>
      <c r="BK1776" s="40">
        <f>BK1775*(1-IF(B1775&gt;=in_marketplace_from,d_hz_fd*G1775,0))</f>
        <v/>
      </c>
      <c r="BL1776" s="14">
        <f>F1776*BK1776*IF(B1776&gt;=in_marketplace_from,d_hz_fd*G1776,0)*in_fd_ticket*in_fd_comm</f>
        <v/>
      </c>
      <c r="BM1776" s="40">
        <f>BM1775*(1-IF(B1775&gt;=in_marketplace_from,d_hz_recharge*G1775,0))</f>
        <v/>
      </c>
      <c r="BN1776" s="40">
        <f>BN1775*d_rho_recharge+BM1776*IF(B1776&gt;=in_marketplace_from,d_hz_recharge*G1776,0)</f>
        <v/>
      </c>
      <c r="BO1776" s="14">
        <f>F1776*BN1776*in_recharge_ticket*in_recharge_comm/12</f>
        <v/>
      </c>
      <c r="BP1776" s="40">
        <f>BP1775*(1-IF(B1775&gt;=in_marketplace_from,d_hz_bills*G1775,0))</f>
        <v/>
      </c>
      <c r="BQ1776" s="40">
        <f>BQ1775*d_rho_bills+BP1776*IF(B1776&gt;=in_marketplace_from,d_hz_bills*G1776,0)</f>
        <v/>
      </c>
      <c r="BR1776" s="14">
        <f>F1776*BQ1776*in_bills_ticket*in_bills_comm/12</f>
        <v/>
      </c>
      <c r="BS1776" s="40">
        <f>BS1775*(1-IF(B1775&gt;=in_marketplace_from,d_hz_loan_gold*G1775,0))</f>
        <v/>
      </c>
      <c r="BT1776" s="14">
        <f>F1776*BS1776*IF(B1776&gt;=in_marketplace_from,d_hz_loan_gold*G1776,0)*in_loan_gold_ticket*in_loan_gold_comm</f>
        <v/>
      </c>
      <c r="BU1776" s="40">
        <f>BU1775*(1-IF(B1775&gt;=in_marketplace_from,d_hz_loan_cd*G1775,0))</f>
        <v/>
      </c>
      <c r="BV1776" s="14">
        <f>F1776*BU1776*IF(B1776&gt;=in_marketplace_from,d_hz_loan_cd*G1776,0)*in_loan_cd_ticket*in_loan_cd_comm</f>
        <v/>
      </c>
      <c r="BW1776" s="40">
        <f>BW1775*(1-IF(B1775&gt;=in_marketplace_from,d_hz_loan_vehicle*G1775,0))</f>
        <v/>
      </c>
      <c r="BX1776" s="14">
        <f>F1776*BW1776*IF(B1776&gt;=in_marketplace_from,d_hz_loan_vehicle*G1776,0)*in_loan_vehicle_ticket*in_loan_vehicle_comm</f>
        <v/>
      </c>
      <c r="BY1776" s="40">
        <f>BY1775*(1-IF(B1775&gt;=in_marketplace_from,d_hz_loan_home*G1775,0)*BZ1775)</f>
        <v/>
      </c>
      <c r="BZ1776" s="11">
        <f>MIN(in_approval_cap,in_loan_home_approval*INDEX('Age profile'!$O$2:$O$61,B1776)*(1+in_approval_growth)^(D1776-1))</f>
        <v/>
      </c>
      <c r="CA1776" s="14">
        <f>F1776*BY1776*IF(B1776&gt;=in_marketplace_from,d_hz_loan_home*G1776,0)*BZ1776*in_loan_home_ticket*in_loan_home_comm</f>
        <v/>
      </c>
      <c r="CB1776" s="40">
        <f>CB1775*(1-IF(B1775&gt;=in_marketplace_from,d_hz_loan_lap*G1775,0)*CC1775)</f>
        <v/>
      </c>
      <c r="CC1776" s="11">
        <f>MIN(in_approval_cap,in_loan_lap_approval*INDEX('Age profile'!$O$2:$O$61,B1776)*(1+in_approval_growth)^(D1776-1))</f>
        <v/>
      </c>
      <c r="CD1776" s="14">
        <f>F1776*CB1776*IF(B1776&gt;=in_marketplace_from,d_hz_loan_lap*G1776,0)*CC1776*in_loan_lap_ticket*in_loan_lap_comm</f>
        <v/>
      </c>
      <c r="CE1776" s="14">
        <f>AA1776+AB1776+AC1776+AD1776+AG1776+AJ1776+AM1776+AP1776+AS1776+AU1776+AX1776+BB1776+BE1776+BG1776+BJ1776+BL1776+BO1776+BR1776+BT1776+BV1776+BX1776+CA1776+CD1776</f>
        <v/>
      </c>
    </row>
    <row r="1777">
      <c r="A1777" s="39" t="n">
        <v>51</v>
      </c>
      <c r="B1777" s="39" t="n">
        <v>1</v>
      </c>
      <c r="C1777" s="39">
        <f>A1777+B1777-1</f>
        <v/>
      </c>
      <c r="D1777" s="39">
        <f>INT((C1777-1)/12)+1</f>
        <v/>
      </c>
      <c r="E1777" s="44">
        <f>INDEX(Monthly!$B$2:$B$61,A1777)</f>
        <v/>
      </c>
      <c r="F1777" s="44">
        <f>E1777*INDEX('Age profile'!$B$2:$B$61,B1777)</f>
        <v/>
      </c>
      <c r="G1777" s="45">
        <f>MIN(in_takeup_cap,INDEX('Age profile'!$N$2:$N$61,B1777)*(1+in_takeup_growth)^(D1777-1))</f>
        <v/>
      </c>
      <c r="H1777" s="11">
        <f>MIN(in_approval_cap,in_approved_first*INDEX('Age profile'!$O$2:$O$61,B1777)*(1+in_approval_growth)^(D1777-1))</f>
        <v/>
      </c>
      <c r="I1777" s="45">
        <f>G1777*MIN(in_takeup_cap,INDEX('Age profile'!$O$2:$O$61,B1777)*(1+in_approval_growth)^(D1777-1))</f>
        <v/>
      </c>
      <c r="J1777" s="40">
        <f>E1777</f>
        <v/>
      </c>
      <c r="K1777" s="40" t="n">
        <v>0</v>
      </c>
      <c r="L1777" s="40">
        <f>IF(B1777&gt;=in_marketplace_from,J1777*d_hz*G1777*in_eligible*H1777,0)</f>
        <v/>
      </c>
      <c r="M1777" s="40">
        <f>IF(B1777&gt;=in_marketplace_from,K1777*d_hz*G1777*in_eligible*in_approved_repeat,0)</f>
        <v/>
      </c>
      <c r="N1777" s="40">
        <f>L1777+M1777</f>
        <v/>
      </c>
      <c r="O1777" s="46">
        <f>N1777/F1777</f>
        <v/>
      </c>
      <c r="P1777" s="40">
        <f>F1777-J1777-K1777</f>
        <v/>
      </c>
      <c r="Q1777" s="40">
        <f>IF(B1777&gt;=in_marketplace_from,(J1777+K1777)*d_hz*G1777,0)</f>
        <v/>
      </c>
      <c r="R1777" s="40">
        <f>SUMIFS(N1777:N1786,B1777:B1786,"&gt;="&amp;(B1777-d_T),B1777:B1786,"&lt;="&amp;(B1777-1))</f>
        <v/>
      </c>
      <c r="S1777" s="46" t="n">
        <v>0</v>
      </c>
      <c r="T1777" s="40">
        <f>F1777*d_u*S1777</f>
        <v/>
      </c>
      <c r="U1777" s="9">
        <f>L1777*in_ticket+M1777*d_rep_ticket</f>
        <v/>
      </c>
      <c r="V1777" s="9">
        <f>U1777+T1777*d_topup_amt</f>
        <v/>
      </c>
      <c r="W1777" s="40">
        <f>N1777+T1777*d_topup_ratio</f>
        <v/>
      </c>
      <c r="X1777" s="40">
        <f>SUMIFS(W1777:W1786,B1777:B1786,B1777-in_dpd_lag)*d_cured</f>
        <v/>
      </c>
      <c r="Y1777" s="40">
        <f>SUMIFS(W1777:W1786,B1777:B1786,B1777-in_rec_lag)*d_recd</f>
        <v/>
      </c>
      <c r="Z1777" s="40">
        <f>IF(AND(B1777&gt;=in_marketplace_from,B1777&lt;in_marketplace_from+in_card_months),in_card_share/in_card_months*F1777*I1777,IF(AND(B1777&gt;=in_marketplace_from+in_card_months,B1777&lt;in_marketplace_from+2*in_card_months),in_card_share*d_card_rem/in_card_months*F1777*MIN(in_takeup_cap,(1+in_takeup_growth)^(D1777-1))*MIN(in_takeup_cap,(1+in_approval_growth)^(D1777-1)),0))</f>
        <v/>
      </c>
      <c r="AA1777" s="14">
        <f>V1777*in_fee*(1-in_taken_back)</f>
        <v/>
      </c>
      <c r="AB1777" s="14">
        <f>SUMIFS(W1777:W1786,B1777:B1786,B1777-in_dpd_lag)*d_dpd</f>
        <v/>
      </c>
      <c r="AC1777" s="14">
        <f>SUMIFS(W1777:W1786,B1777:B1786,B1777-in_rec_lag)*d_rec</f>
        <v/>
      </c>
      <c r="AD1777" s="14">
        <f>Z1777*in_card_fee</f>
        <v/>
      </c>
      <c r="AE1777" s="40" t="n">
        <v>1</v>
      </c>
      <c r="AF1777" s="46">
        <f>AE1777*IF(B1777&gt;=in_marketplace_from,d_hz_hlth_small*G1777,0)</f>
        <v/>
      </c>
      <c r="AG1777" s="14">
        <f>F1777*AF1777*in_hlth_small_ticket*in_hlth_small_comm*in_ins_partner_share+F1777*in_hlth_small_ticket*in_hlth_small_renew_comm*in_ins_partner_share*(in_hlth_small_renew^1*SUMIFS(AF1777:AF1786,B1777:B1786,B1777-12)+in_hlth_small_renew^2*SUMIFS(AF1777:AF1786,B1777:B1786,B1777-24)+in_hlth_small_renew^3*SUMIFS(AF1777:AF1786,B1777:B1786,B1777-36)+in_hlth_small_renew^4*SUMIFS(AF1777:AF1786,B1777:B1786,B1777-48))</f>
        <v/>
      </c>
      <c r="AH1777" s="40" t="n">
        <v>1</v>
      </c>
      <c r="AI1777" s="46">
        <f>AH1777*IF(B1777&gt;=in_marketplace_from,d_hz_hlth_family*G1777,0)</f>
        <v/>
      </c>
      <c r="AJ1777" s="14">
        <f>F1777*AI1777*in_hlth_family_ticket*in_hlth_family_comm*in_ins_partner_share+F1777*in_hlth_family_ticket*in_hlth_family_renew_comm*in_ins_partner_share*(in_hlth_family_renew^1*SUMIFS(AI1777:AI1786,B1777:B1786,B1777-12)+in_hlth_family_renew^2*SUMIFS(AI1777:AI1786,B1777:B1786,B1777-24)+in_hlth_family_renew^3*SUMIFS(AI1777:AI1786,B1777:B1786,B1777-36)+in_hlth_family_renew^4*SUMIFS(AI1777:AI1786,B1777:B1786,B1777-48))</f>
        <v/>
      </c>
      <c r="AK1777" s="40" t="n">
        <v>1</v>
      </c>
      <c r="AL1777" s="46">
        <f>AK1777*IF(B1777&gt;=in_marketplace_from,d_hz_life_term*G1777,0)</f>
        <v/>
      </c>
      <c r="AM1777" s="14">
        <f>F1777*AL1777*in_life_term_ticket*in_life_term_comm*in_ins_partner_share+F1777*in_life_term_ticket*in_life_term_renew_comm*in_ins_partner_share*(in_life_term_renew^1*SUMIFS(AL1777:AL1786,B1777:B1786,B1777-12)+in_life_term_renew^2*SUMIFS(AL1777:AL1786,B1777:B1786,B1777-24)+in_life_term_renew^3*SUMIFS(AL1777:AL1786,B1777:B1786,B1777-36)+in_life_term_renew^4*SUMIFS(AL1777:AL1786,B1777:B1786,B1777-48))</f>
        <v/>
      </c>
      <c r="AN1777" s="40" t="n">
        <v>1</v>
      </c>
      <c r="AO1777" s="46">
        <f>AN1777*IF(B1777&gt;=in_marketplace_from,d_hz_accident*G1777,0)</f>
        <v/>
      </c>
      <c r="AP1777" s="14">
        <f>F1777*AO1777*in_accident_ticket*in_accident_comm*in_ins_partner_share+F1777*in_accident_ticket*in_accident_renew_comm*in_ins_partner_share*(in_accident_renew^1*SUMIFS(AO1777:AO1786,B1777:B1786,B1777-12)+in_accident_renew^2*SUMIFS(AO1777:AO1786,B1777:B1786,B1777-24)+in_accident_renew^3*SUMIFS(AO1777:AO1786,B1777:B1786,B1777-36)+in_accident_renew^4*SUMIFS(AO1777:AO1786,B1777:B1786,B1777-48))</f>
        <v/>
      </c>
      <c r="AQ1777" s="40" t="n">
        <v>1</v>
      </c>
      <c r="AR1777" s="46">
        <f>AQ1777*IF(B1777&gt;=in_marketplace_from,d_hz_two_wheeler*G1777,0)</f>
        <v/>
      </c>
      <c r="AS1777" s="14">
        <f>F1777*AR1777*in_two_wheeler_ticket*in_two_wheeler_comm*in_ins_partner_share+F1777*in_two_wheeler_ticket*in_two_wheeler_comm*in_ins_partner_share*(in_two_wheeler_renew^1*SUMIFS(AR1777:AR1786,B1777:B1786,B1777-12)+in_two_wheeler_renew^2*SUMIFS(AR1777:AR1786,B1777:B1786,B1777-24)+in_two_wheeler_renew^3*SUMIFS(AR1777:AR1786,B1777:B1786,B1777-36)+in_two_wheeler_renew^4*SUMIFS(AR1777:AR1786,B1777:B1786,B1777-48))</f>
        <v/>
      </c>
      <c r="AT1777" s="40" t="n">
        <v>1</v>
      </c>
      <c r="AU1777" s="14">
        <f>F1777*AT1777*IF(B1777&gt;=in_marketplace_from,d_hz_device*G1777,0)*in_device_ticket*in_device_comm*in_ins_partner_share</f>
        <v/>
      </c>
      <c r="AV1777" s="40" t="n">
        <v>1</v>
      </c>
      <c r="AW1777" s="46">
        <f>AV1777*IF(B1777&gt;=in_marketplace_from,d_hz_shop*G1777,0)</f>
        <v/>
      </c>
      <c r="AX1777" s="14">
        <f>F1777*AW1777*in_shop_ticket*in_shop_comm*in_ins_partner_share+F1777*in_shop_ticket*in_shop_renew_comm*in_ins_partner_share*(in_shop_renew^1*SUMIFS(AW1777:AW1786,B1777:B1786,B1777-12)+in_shop_renew^2*SUMIFS(AW1777:AW1786,B1777:B1786,B1777-24)+in_shop_renew^3*SUMIFS(AW1777:AW1786,B1777:B1786,B1777-36)+in_shop_renew^4*SUMIFS(AW1777:AW1786,B1777:B1786,B1777-48))</f>
        <v/>
      </c>
      <c r="AY1777" s="40" t="n">
        <v>1</v>
      </c>
      <c r="AZ1777" s="40">
        <f>AY1777*IF(B1777&gt;=in_marketplace_from,d_hz_sip*G1777,0)</f>
        <v/>
      </c>
      <c r="BA1777" s="40" t="n">
        <v>0</v>
      </c>
      <c r="BB1777" s="14">
        <f>F1777*in_sip_ticket*(BA1777+0.5*AZ1777)*in_sip_comm/12</f>
        <v/>
      </c>
      <c r="BC1777" s="40" t="n">
        <v>1</v>
      </c>
      <c r="BD1777" s="46">
        <f>BC1777*IF(B1777&gt;=in_marketplace_from,d_hz_choti*G1777,0)</f>
        <v/>
      </c>
      <c r="BE1777" s="14">
        <f>F1777*SUMIFS(BD1777:BD1786,B1777:B1786,B1777-in_choti_months)*in_choti_renew*in_choti_ticket</f>
        <v/>
      </c>
      <c r="BF1777" s="40" t="n">
        <v>1</v>
      </c>
      <c r="BG1777" s="14">
        <f>F1777*BF1777*IF(B1777&gt;=in_marketplace_from,d_hz_nps*G1777,0)*in_nps_ticket*in_nps_comm</f>
        <v/>
      </c>
      <c r="BH1777" s="40" t="n">
        <v>1</v>
      </c>
      <c r="BI1777" s="40">
        <f>BH1777*IF(B1777&gt;=in_marketplace_from,d_hz_gold*G1777,0)</f>
        <v/>
      </c>
      <c r="BJ1777" s="14">
        <f>F1777*BI1777*in_gold_ticket*in_gold_comm</f>
        <v/>
      </c>
      <c r="BK1777" s="40" t="n">
        <v>1</v>
      </c>
      <c r="BL1777" s="14">
        <f>F1777*BK1777*IF(B1777&gt;=in_marketplace_from,d_hz_fd*G1777,0)*in_fd_ticket*in_fd_comm</f>
        <v/>
      </c>
      <c r="BM1777" s="40" t="n">
        <v>1</v>
      </c>
      <c r="BN1777" s="40">
        <f>BM1777*IF(B1777&gt;=in_marketplace_from,d_hz_recharge*G1777,0)</f>
        <v/>
      </c>
      <c r="BO1777" s="14">
        <f>F1777*BN1777*in_recharge_ticket*in_recharge_comm/12</f>
        <v/>
      </c>
      <c r="BP1777" s="40" t="n">
        <v>1</v>
      </c>
      <c r="BQ1777" s="40">
        <f>BP1777*IF(B1777&gt;=in_marketplace_from,d_hz_bills*G1777,0)</f>
        <v/>
      </c>
      <c r="BR1777" s="14">
        <f>F1777*BQ1777*in_bills_ticket*in_bills_comm/12</f>
        <v/>
      </c>
      <c r="BS1777" s="40" t="n">
        <v>1</v>
      </c>
      <c r="BT1777" s="14">
        <f>F1777*BS1777*IF(B1777&gt;=in_marketplace_from,d_hz_loan_gold*G1777,0)*in_loan_gold_ticket*in_loan_gold_comm</f>
        <v/>
      </c>
      <c r="BU1777" s="40" t="n">
        <v>1</v>
      </c>
      <c r="BV1777" s="14">
        <f>F1777*BU1777*IF(B1777&gt;=in_marketplace_from,d_hz_loan_cd*G1777,0)*in_loan_cd_ticket*in_loan_cd_comm</f>
        <v/>
      </c>
      <c r="BW1777" s="40" t="n">
        <v>1</v>
      </c>
      <c r="BX1777" s="14">
        <f>F1777*BW1777*IF(B1777&gt;=in_marketplace_from,d_hz_loan_vehicle*G1777,0)*in_loan_vehicle_ticket*in_loan_vehicle_comm</f>
        <v/>
      </c>
      <c r="BY1777" s="40" t="n">
        <v>1</v>
      </c>
      <c r="BZ1777" s="11">
        <f>MIN(in_approval_cap,in_loan_home_approval*INDEX('Age profile'!$O$2:$O$61,B1777)*(1+in_approval_growth)^(D1777-1))</f>
        <v/>
      </c>
      <c r="CA1777" s="14">
        <f>F1777*BY1777*IF(B1777&gt;=in_marketplace_from,d_hz_loan_home*G1777,0)*BZ1777*in_loan_home_ticket*in_loan_home_comm</f>
        <v/>
      </c>
      <c r="CB1777" s="40" t="n">
        <v>1</v>
      </c>
      <c r="CC1777" s="11">
        <f>MIN(in_approval_cap,in_loan_lap_approval*INDEX('Age profile'!$O$2:$O$61,B1777)*(1+in_approval_growth)^(D1777-1))</f>
        <v/>
      </c>
      <c r="CD1777" s="14">
        <f>F1777*CB1777*IF(B1777&gt;=in_marketplace_from,d_hz_loan_lap*G1777,0)*CC1777*in_loan_lap_ticket*in_loan_lap_comm</f>
        <v/>
      </c>
      <c r="CE1777" s="14">
        <f>AA1777+AB1777+AC1777+AD1777+AG1777+AJ1777+AM1777+AP1777+AS1777+AU1777+AX1777+BB1777+BE1777+BG1777+BJ1777+BL1777+BO1777+BR1777+BT1777+BV1777+BX1777+CA1777+CD1777</f>
        <v/>
      </c>
    </row>
    <row r="1778">
      <c r="A1778" s="39" t="n">
        <v>51</v>
      </c>
      <c r="B1778" s="39" t="n">
        <v>2</v>
      </c>
      <c r="C1778" s="39">
        <f>A1778+B1778-1</f>
        <v/>
      </c>
      <c r="D1778" s="39">
        <f>INT((C1778-1)/12)+1</f>
        <v/>
      </c>
      <c r="E1778" s="44">
        <f>INDEX(Monthly!$B$2:$B$61,A1778)</f>
        <v/>
      </c>
      <c r="F1778" s="44">
        <f>E1778*INDEX('Age profile'!$B$2:$B$61,B1778)</f>
        <v/>
      </c>
      <c r="G1778" s="45">
        <f>MIN(in_takeup_cap,INDEX('Age profile'!$N$2:$N$61,B1778)*(1+in_takeup_growth)^(D1778-1))</f>
        <v/>
      </c>
      <c r="H1778" s="11">
        <f>MIN(in_approval_cap,in_approved_first*INDEX('Age profile'!$O$2:$O$61,B1778)*(1+in_approval_growth)^(D1778-1))</f>
        <v/>
      </c>
      <c r="I1778" s="45">
        <f>G1778*MIN(in_takeup_cap,INDEX('Age profile'!$O$2:$O$61,B1778)*(1+in_approval_growth)^(D1778-1))</f>
        <v/>
      </c>
      <c r="J1778" s="40">
        <f>(J1777-L1777)*F1778/F1777</f>
        <v/>
      </c>
      <c r="K1778" s="40">
        <f>(K1777-M1777)*F1778/F1777+SUMIFS(O1777:O1777,B1777:B1777,B1778-1-d_T)*F1778</f>
        <v/>
      </c>
      <c r="L1778" s="40">
        <f>IF(B1778&gt;=in_marketplace_from,J1778*d_hz*G1778*in_eligible*H1778,0)</f>
        <v/>
      </c>
      <c r="M1778" s="40">
        <f>IF(B1778&gt;=in_marketplace_from,K1778*d_hz*G1778*in_eligible*in_approved_repeat,0)</f>
        <v/>
      </c>
      <c r="N1778" s="40">
        <f>L1778+M1778</f>
        <v/>
      </c>
      <c r="O1778" s="46">
        <f>N1778/F1778</f>
        <v/>
      </c>
      <c r="P1778" s="40">
        <f>F1778-J1778-K1778</f>
        <v/>
      </c>
      <c r="Q1778" s="40">
        <f>IF(B1778&gt;=in_marketplace_from,(J1778+K1778)*d_hz*G1778,0)</f>
        <v/>
      </c>
      <c r="R1778" s="40">
        <f>SUMIFS(N1777:N1786,B1777:B1786,"&gt;="&amp;(B1778-d_T),B1777:B1786,"&lt;="&amp;(B1778-1))</f>
        <v/>
      </c>
      <c r="S1778" s="46">
        <f>(1-d_u)*S1777+IF(d_T&gt;in_topup_lag,SUMIFS(O1777:O1786,B1777:B1786,B1778-in_topup_lag)-d_udrop*SUMIFS(O1777:O1786,B1777:B1786,B1778-d_T),0)</f>
        <v/>
      </c>
      <c r="T1778" s="40">
        <f>F1778*d_u*S1778</f>
        <v/>
      </c>
      <c r="U1778" s="9">
        <f>L1778*in_ticket+M1778*d_rep_ticket</f>
        <v/>
      </c>
      <c r="V1778" s="9">
        <f>U1778+T1778*d_topup_amt</f>
        <v/>
      </c>
      <c r="W1778" s="40">
        <f>N1778+T1778*d_topup_ratio</f>
        <v/>
      </c>
      <c r="X1778" s="40">
        <f>SUMIFS(W1777:W1786,B1777:B1786,B1778-in_dpd_lag)*d_cured</f>
        <v/>
      </c>
      <c r="Y1778" s="40">
        <f>SUMIFS(W1777:W1786,B1777:B1786,B1778-in_rec_lag)*d_recd</f>
        <v/>
      </c>
      <c r="Z1778" s="40">
        <f>IF(AND(B1778&gt;=in_marketplace_from,B1778&lt;in_marketplace_from+in_card_months),in_card_share/in_card_months*F1778*I1778,IF(AND(B1778&gt;=in_marketplace_from+in_card_months,B1778&lt;in_marketplace_from+2*in_card_months),in_card_share*d_card_rem/in_card_months*F1778*MIN(in_takeup_cap,(1+in_takeup_growth)^(D1778-1))*MIN(in_takeup_cap,(1+in_approval_growth)^(D1778-1)),0))</f>
        <v/>
      </c>
      <c r="AA1778" s="14">
        <f>V1778*in_fee*(1-in_taken_back)</f>
        <v/>
      </c>
      <c r="AB1778" s="14">
        <f>SUMIFS(W1777:W1786,B1777:B1786,B1778-in_dpd_lag)*d_dpd</f>
        <v/>
      </c>
      <c r="AC1778" s="14">
        <f>SUMIFS(W1777:W1786,B1777:B1786,B1778-in_rec_lag)*d_rec</f>
        <v/>
      </c>
      <c r="AD1778" s="14">
        <f>Z1778*in_card_fee</f>
        <v/>
      </c>
      <c r="AE1778" s="40">
        <f>AE1777*(1-IF(B1777&gt;=in_marketplace_from,d_hz_hlth_small*G1777,0))</f>
        <v/>
      </c>
      <c r="AF1778" s="46">
        <f>AE1778*IF(B1778&gt;=in_marketplace_from,d_hz_hlth_small*G1778,0)</f>
        <v/>
      </c>
      <c r="AG1778" s="14">
        <f>F1778*AF1778*in_hlth_small_ticket*in_hlth_small_comm*in_ins_partner_share+F1778*in_hlth_small_ticket*in_hlth_small_renew_comm*in_ins_partner_share*(in_hlth_small_renew^1*SUMIFS(AF1777:AF1786,B1777:B1786,B1778-12)+in_hlth_small_renew^2*SUMIFS(AF1777:AF1786,B1777:B1786,B1778-24)+in_hlth_small_renew^3*SUMIFS(AF1777:AF1786,B1777:B1786,B1778-36)+in_hlth_small_renew^4*SUMIFS(AF1777:AF1786,B1777:B1786,B1778-48))</f>
        <v/>
      </c>
      <c r="AH1778" s="40">
        <f>AH1777*(1-IF(B1777&gt;=in_marketplace_from,d_hz_hlth_family*G1777,0))</f>
        <v/>
      </c>
      <c r="AI1778" s="46">
        <f>AH1778*IF(B1778&gt;=in_marketplace_from,d_hz_hlth_family*G1778,0)</f>
        <v/>
      </c>
      <c r="AJ1778" s="14">
        <f>F1778*AI1778*in_hlth_family_ticket*in_hlth_family_comm*in_ins_partner_share+F1778*in_hlth_family_ticket*in_hlth_family_renew_comm*in_ins_partner_share*(in_hlth_family_renew^1*SUMIFS(AI1777:AI1786,B1777:B1786,B1778-12)+in_hlth_family_renew^2*SUMIFS(AI1777:AI1786,B1777:B1786,B1778-24)+in_hlth_family_renew^3*SUMIFS(AI1777:AI1786,B1777:B1786,B1778-36)+in_hlth_family_renew^4*SUMIFS(AI1777:AI1786,B1777:B1786,B1778-48))</f>
        <v/>
      </c>
      <c r="AK1778" s="40">
        <f>AK1777*(1-IF(B1777&gt;=in_marketplace_from,d_hz_life_term*G1777,0))</f>
        <v/>
      </c>
      <c r="AL1778" s="46">
        <f>AK1778*IF(B1778&gt;=in_marketplace_from,d_hz_life_term*G1778,0)</f>
        <v/>
      </c>
      <c r="AM1778" s="14">
        <f>F1778*AL1778*in_life_term_ticket*in_life_term_comm*in_ins_partner_share+F1778*in_life_term_ticket*in_life_term_renew_comm*in_ins_partner_share*(in_life_term_renew^1*SUMIFS(AL1777:AL1786,B1777:B1786,B1778-12)+in_life_term_renew^2*SUMIFS(AL1777:AL1786,B1777:B1786,B1778-24)+in_life_term_renew^3*SUMIFS(AL1777:AL1786,B1777:B1786,B1778-36)+in_life_term_renew^4*SUMIFS(AL1777:AL1786,B1777:B1786,B1778-48))</f>
        <v/>
      </c>
      <c r="AN1778" s="40">
        <f>AN1777*(1-IF(B1777&gt;=in_marketplace_from,d_hz_accident*G1777,0))</f>
        <v/>
      </c>
      <c r="AO1778" s="46">
        <f>AN1778*IF(B1778&gt;=in_marketplace_from,d_hz_accident*G1778,0)</f>
        <v/>
      </c>
      <c r="AP1778" s="14">
        <f>F1778*AO1778*in_accident_ticket*in_accident_comm*in_ins_partner_share+F1778*in_accident_ticket*in_accident_renew_comm*in_ins_partner_share*(in_accident_renew^1*SUMIFS(AO1777:AO1786,B1777:B1786,B1778-12)+in_accident_renew^2*SUMIFS(AO1777:AO1786,B1777:B1786,B1778-24)+in_accident_renew^3*SUMIFS(AO1777:AO1786,B1777:B1786,B1778-36)+in_accident_renew^4*SUMIFS(AO1777:AO1786,B1777:B1786,B1778-48))</f>
        <v/>
      </c>
      <c r="AQ1778" s="40">
        <f>AQ1777*(1-IF(B1777&gt;=in_marketplace_from,d_hz_two_wheeler*G1777,0))</f>
        <v/>
      </c>
      <c r="AR1778" s="46">
        <f>AQ1778*IF(B1778&gt;=in_marketplace_from,d_hz_two_wheeler*G1778,0)</f>
        <v/>
      </c>
      <c r="AS1778" s="14">
        <f>F1778*AR1778*in_two_wheeler_ticket*in_two_wheeler_comm*in_ins_partner_share+F1778*in_two_wheeler_ticket*in_two_wheeler_comm*in_ins_partner_share*(in_two_wheeler_renew^1*SUMIFS(AR1777:AR1786,B1777:B1786,B1778-12)+in_two_wheeler_renew^2*SUMIFS(AR1777:AR1786,B1777:B1786,B1778-24)+in_two_wheeler_renew^3*SUMIFS(AR1777:AR1786,B1777:B1786,B1778-36)+in_two_wheeler_renew^4*SUMIFS(AR1777:AR1786,B1777:B1786,B1778-48))</f>
        <v/>
      </c>
      <c r="AT1778" s="40">
        <f>AT1777*(1-IF(B1777&gt;=in_marketplace_from,d_hz_device*G1777,0))</f>
        <v/>
      </c>
      <c r="AU1778" s="14">
        <f>F1778*AT1778*IF(B1778&gt;=in_marketplace_from,d_hz_device*G1778,0)*in_device_ticket*in_device_comm*in_ins_partner_share</f>
        <v/>
      </c>
      <c r="AV1778" s="40">
        <f>AV1777*(1-IF(B1777&gt;=in_marketplace_from,d_hz_shop*G1777,0))</f>
        <v/>
      </c>
      <c r="AW1778" s="46">
        <f>AV1778*IF(B1778&gt;=in_marketplace_from,d_hz_shop*G1778,0)</f>
        <v/>
      </c>
      <c r="AX1778" s="14">
        <f>F1778*AW1778*in_shop_ticket*in_shop_comm*in_ins_partner_share+F1778*in_shop_ticket*in_shop_renew_comm*in_ins_partner_share*(in_shop_renew^1*SUMIFS(AW1777:AW1786,B1777:B1786,B1778-12)+in_shop_renew^2*SUMIFS(AW1777:AW1786,B1777:B1786,B1778-24)+in_shop_renew^3*SUMIFS(AW1777:AW1786,B1777:B1786,B1778-36)+in_shop_renew^4*SUMIFS(AW1777:AW1786,B1777:B1786,B1778-48))</f>
        <v/>
      </c>
      <c r="AY1778" s="40">
        <f>AY1777*(1-IF(B1777&gt;=in_marketplace_from,d_hz_sip*G1777,0))</f>
        <v/>
      </c>
      <c r="AZ1778" s="40">
        <f>AZ1777*d_rho_sip+AY1778*IF(B1778&gt;=in_marketplace_from,d_hz_sip*G1778,0)</f>
        <v/>
      </c>
      <c r="BA1778" s="40">
        <f>d_rho_sip*(BA1777+AZ1777)</f>
        <v/>
      </c>
      <c r="BB1778" s="14">
        <f>F1778*in_sip_ticket*(BA1778+0.5*AZ1778)*in_sip_comm/12</f>
        <v/>
      </c>
      <c r="BC1778" s="40">
        <f>BC1777*(1-IF(B1777&gt;=in_marketplace_from,d_hz_choti*G1777,0))</f>
        <v/>
      </c>
      <c r="BD1778" s="46">
        <f>BC1778*IF(B1778&gt;=in_marketplace_from,d_hz_choti*G1778,0)</f>
        <v/>
      </c>
      <c r="BE1778" s="14">
        <f>F1778*SUMIFS(BD1777:BD1786,B1777:B1786,B1778-in_choti_months)*in_choti_renew*in_choti_ticket</f>
        <v/>
      </c>
      <c r="BF1778" s="40">
        <f>BF1777*(1-IF(B1777&gt;=in_marketplace_from,d_hz_nps*G1777,0))</f>
        <v/>
      </c>
      <c r="BG1778" s="14">
        <f>F1778*BF1778*IF(B1778&gt;=in_marketplace_from,d_hz_nps*G1778,0)*in_nps_ticket*in_nps_comm</f>
        <v/>
      </c>
      <c r="BH1778" s="40">
        <f>BH1777*(1-IF(B1777&gt;=in_marketplace_from,d_hz_gold*G1777,0))</f>
        <v/>
      </c>
      <c r="BI1778" s="40">
        <f>BI1777*d_rho_gold+BH1778*IF(B1778&gt;=in_marketplace_from,d_hz_gold*G1778,0)</f>
        <v/>
      </c>
      <c r="BJ1778" s="14">
        <f>F1778*BI1778*in_gold_ticket*in_gold_comm</f>
        <v/>
      </c>
      <c r="BK1778" s="40">
        <f>BK1777*(1-IF(B1777&gt;=in_marketplace_from,d_hz_fd*G1777,0))</f>
        <v/>
      </c>
      <c r="BL1778" s="14">
        <f>F1778*BK1778*IF(B1778&gt;=in_marketplace_from,d_hz_fd*G1778,0)*in_fd_ticket*in_fd_comm</f>
        <v/>
      </c>
      <c r="BM1778" s="40">
        <f>BM1777*(1-IF(B1777&gt;=in_marketplace_from,d_hz_recharge*G1777,0))</f>
        <v/>
      </c>
      <c r="BN1778" s="40">
        <f>BN1777*d_rho_recharge+BM1778*IF(B1778&gt;=in_marketplace_from,d_hz_recharge*G1778,0)</f>
        <v/>
      </c>
      <c r="BO1778" s="14">
        <f>F1778*BN1778*in_recharge_ticket*in_recharge_comm/12</f>
        <v/>
      </c>
      <c r="BP1778" s="40">
        <f>BP1777*(1-IF(B1777&gt;=in_marketplace_from,d_hz_bills*G1777,0))</f>
        <v/>
      </c>
      <c r="BQ1778" s="40">
        <f>BQ1777*d_rho_bills+BP1778*IF(B1778&gt;=in_marketplace_from,d_hz_bills*G1778,0)</f>
        <v/>
      </c>
      <c r="BR1778" s="14">
        <f>F1778*BQ1778*in_bills_ticket*in_bills_comm/12</f>
        <v/>
      </c>
      <c r="BS1778" s="40">
        <f>BS1777*(1-IF(B1777&gt;=in_marketplace_from,d_hz_loan_gold*G1777,0))</f>
        <v/>
      </c>
      <c r="BT1778" s="14">
        <f>F1778*BS1778*IF(B1778&gt;=in_marketplace_from,d_hz_loan_gold*G1778,0)*in_loan_gold_ticket*in_loan_gold_comm</f>
        <v/>
      </c>
      <c r="BU1778" s="40">
        <f>BU1777*(1-IF(B1777&gt;=in_marketplace_from,d_hz_loan_cd*G1777,0))</f>
        <v/>
      </c>
      <c r="BV1778" s="14">
        <f>F1778*BU1778*IF(B1778&gt;=in_marketplace_from,d_hz_loan_cd*G1778,0)*in_loan_cd_ticket*in_loan_cd_comm</f>
        <v/>
      </c>
      <c r="BW1778" s="40">
        <f>BW1777*(1-IF(B1777&gt;=in_marketplace_from,d_hz_loan_vehicle*G1777,0))</f>
        <v/>
      </c>
      <c r="BX1778" s="14">
        <f>F1778*BW1778*IF(B1778&gt;=in_marketplace_from,d_hz_loan_vehicle*G1778,0)*in_loan_vehicle_ticket*in_loan_vehicle_comm</f>
        <v/>
      </c>
      <c r="BY1778" s="40">
        <f>BY1777*(1-IF(B1777&gt;=in_marketplace_from,d_hz_loan_home*G1777,0)*BZ1777)</f>
        <v/>
      </c>
      <c r="BZ1778" s="11">
        <f>MIN(in_approval_cap,in_loan_home_approval*INDEX('Age profile'!$O$2:$O$61,B1778)*(1+in_approval_growth)^(D1778-1))</f>
        <v/>
      </c>
      <c r="CA1778" s="14">
        <f>F1778*BY1778*IF(B1778&gt;=in_marketplace_from,d_hz_loan_home*G1778,0)*BZ1778*in_loan_home_ticket*in_loan_home_comm</f>
        <v/>
      </c>
      <c r="CB1778" s="40">
        <f>CB1777*(1-IF(B1777&gt;=in_marketplace_from,d_hz_loan_lap*G1777,0)*CC1777)</f>
        <v/>
      </c>
      <c r="CC1778" s="11">
        <f>MIN(in_approval_cap,in_loan_lap_approval*INDEX('Age profile'!$O$2:$O$61,B1778)*(1+in_approval_growth)^(D1778-1))</f>
        <v/>
      </c>
      <c r="CD1778" s="14">
        <f>F1778*CB1778*IF(B1778&gt;=in_marketplace_from,d_hz_loan_lap*G1778,0)*CC1778*in_loan_lap_ticket*in_loan_lap_comm</f>
        <v/>
      </c>
      <c r="CE1778" s="14">
        <f>AA1778+AB1778+AC1778+AD1778+AG1778+AJ1778+AM1778+AP1778+AS1778+AU1778+AX1778+BB1778+BE1778+BG1778+BJ1778+BL1778+BO1778+BR1778+BT1778+BV1778+BX1778+CA1778+CD1778</f>
        <v/>
      </c>
    </row>
    <row r="1779">
      <c r="A1779" s="39" t="n">
        <v>51</v>
      </c>
      <c r="B1779" s="39" t="n">
        <v>3</v>
      </c>
      <c r="C1779" s="39">
        <f>A1779+B1779-1</f>
        <v/>
      </c>
      <c r="D1779" s="39">
        <f>INT((C1779-1)/12)+1</f>
        <v/>
      </c>
      <c r="E1779" s="44">
        <f>INDEX(Monthly!$B$2:$B$61,A1779)</f>
        <v/>
      </c>
      <c r="F1779" s="44">
        <f>E1779*INDEX('Age profile'!$B$2:$B$61,B1779)</f>
        <v/>
      </c>
      <c r="G1779" s="45">
        <f>MIN(in_takeup_cap,INDEX('Age profile'!$N$2:$N$61,B1779)*(1+in_takeup_growth)^(D1779-1))</f>
        <v/>
      </c>
      <c r="H1779" s="11">
        <f>MIN(in_approval_cap,in_approved_first*INDEX('Age profile'!$O$2:$O$61,B1779)*(1+in_approval_growth)^(D1779-1))</f>
        <v/>
      </c>
      <c r="I1779" s="45">
        <f>G1779*MIN(in_takeup_cap,INDEX('Age profile'!$O$2:$O$61,B1779)*(1+in_approval_growth)^(D1779-1))</f>
        <v/>
      </c>
      <c r="J1779" s="40">
        <f>(J1778-L1778)*F1779/F1778</f>
        <v/>
      </c>
      <c r="K1779" s="40">
        <f>(K1778-M1778)*F1779/F1778+SUMIFS(O1777:O1778,B1777:B1778,B1779-1-d_T)*F1779</f>
        <v/>
      </c>
      <c r="L1779" s="40">
        <f>IF(B1779&gt;=in_marketplace_from,J1779*d_hz*G1779*in_eligible*H1779,0)</f>
        <v/>
      </c>
      <c r="M1779" s="40">
        <f>IF(B1779&gt;=in_marketplace_from,K1779*d_hz*G1779*in_eligible*in_approved_repeat,0)</f>
        <v/>
      </c>
      <c r="N1779" s="40">
        <f>L1779+M1779</f>
        <v/>
      </c>
      <c r="O1779" s="46">
        <f>N1779/F1779</f>
        <v/>
      </c>
      <c r="P1779" s="40">
        <f>F1779-J1779-K1779</f>
        <v/>
      </c>
      <c r="Q1779" s="40">
        <f>IF(B1779&gt;=in_marketplace_from,(J1779+K1779)*d_hz*G1779,0)</f>
        <v/>
      </c>
      <c r="R1779" s="40">
        <f>SUMIFS(N1777:N1786,B1777:B1786,"&gt;="&amp;(B1779-d_T),B1777:B1786,"&lt;="&amp;(B1779-1))</f>
        <v/>
      </c>
      <c r="S1779" s="46">
        <f>(1-d_u)*S1778+IF(d_T&gt;in_topup_lag,SUMIFS(O1777:O1786,B1777:B1786,B1779-in_topup_lag)-d_udrop*SUMIFS(O1777:O1786,B1777:B1786,B1779-d_T),0)</f>
        <v/>
      </c>
      <c r="T1779" s="40">
        <f>F1779*d_u*S1779</f>
        <v/>
      </c>
      <c r="U1779" s="9">
        <f>L1779*in_ticket+M1779*d_rep_ticket</f>
        <v/>
      </c>
      <c r="V1779" s="9">
        <f>U1779+T1779*d_topup_amt</f>
        <v/>
      </c>
      <c r="W1779" s="40">
        <f>N1779+T1779*d_topup_ratio</f>
        <v/>
      </c>
      <c r="X1779" s="40">
        <f>SUMIFS(W1777:W1786,B1777:B1786,B1779-in_dpd_lag)*d_cured</f>
        <v/>
      </c>
      <c r="Y1779" s="40">
        <f>SUMIFS(W1777:W1786,B1777:B1786,B1779-in_rec_lag)*d_recd</f>
        <v/>
      </c>
      <c r="Z1779" s="40">
        <f>IF(AND(B1779&gt;=in_marketplace_from,B1779&lt;in_marketplace_from+in_card_months),in_card_share/in_card_months*F1779*I1779,IF(AND(B1779&gt;=in_marketplace_from+in_card_months,B1779&lt;in_marketplace_from+2*in_card_months),in_card_share*d_card_rem/in_card_months*F1779*MIN(in_takeup_cap,(1+in_takeup_growth)^(D1779-1))*MIN(in_takeup_cap,(1+in_approval_growth)^(D1779-1)),0))</f>
        <v/>
      </c>
      <c r="AA1779" s="14">
        <f>V1779*in_fee*(1-in_taken_back)</f>
        <v/>
      </c>
      <c r="AB1779" s="14">
        <f>SUMIFS(W1777:W1786,B1777:B1786,B1779-in_dpd_lag)*d_dpd</f>
        <v/>
      </c>
      <c r="AC1779" s="14">
        <f>SUMIFS(W1777:W1786,B1777:B1786,B1779-in_rec_lag)*d_rec</f>
        <v/>
      </c>
      <c r="AD1779" s="14">
        <f>Z1779*in_card_fee</f>
        <v/>
      </c>
      <c r="AE1779" s="40">
        <f>AE1778*(1-IF(B1778&gt;=in_marketplace_from,d_hz_hlth_small*G1778,0))</f>
        <v/>
      </c>
      <c r="AF1779" s="46">
        <f>AE1779*IF(B1779&gt;=in_marketplace_from,d_hz_hlth_small*G1779,0)</f>
        <v/>
      </c>
      <c r="AG1779" s="14">
        <f>F1779*AF1779*in_hlth_small_ticket*in_hlth_small_comm*in_ins_partner_share+F1779*in_hlth_small_ticket*in_hlth_small_renew_comm*in_ins_partner_share*(in_hlth_small_renew^1*SUMIFS(AF1777:AF1786,B1777:B1786,B1779-12)+in_hlth_small_renew^2*SUMIFS(AF1777:AF1786,B1777:B1786,B1779-24)+in_hlth_small_renew^3*SUMIFS(AF1777:AF1786,B1777:B1786,B1779-36)+in_hlth_small_renew^4*SUMIFS(AF1777:AF1786,B1777:B1786,B1779-48))</f>
        <v/>
      </c>
      <c r="AH1779" s="40">
        <f>AH1778*(1-IF(B1778&gt;=in_marketplace_from,d_hz_hlth_family*G1778,0))</f>
        <v/>
      </c>
      <c r="AI1779" s="46">
        <f>AH1779*IF(B1779&gt;=in_marketplace_from,d_hz_hlth_family*G1779,0)</f>
        <v/>
      </c>
      <c r="AJ1779" s="14">
        <f>F1779*AI1779*in_hlth_family_ticket*in_hlth_family_comm*in_ins_partner_share+F1779*in_hlth_family_ticket*in_hlth_family_renew_comm*in_ins_partner_share*(in_hlth_family_renew^1*SUMIFS(AI1777:AI1786,B1777:B1786,B1779-12)+in_hlth_family_renew^2*SUMIFS(AI1777:AI1786,B1777:B1786,B1779-24)+in_hlth_family_renew^3*SUMIFS(AI1777:AI1786,B1777:B1786,B1779-36)+in_hlth_family_renew^4*SUMIFS(AI1777:AI1786,B1777:B1786,B1779-48))</f>
        <v/>
      </c>
      <c r="AK1779" s="40">
        <f>AK1778*(1-IF(B1778&gt;=in_marketplace_from,d_hz_life_term*G1778,0))</f>
        <v/>
      </c>
      <c r="AL1779" s="46">
        <f>AK1779*IF(B1779&gt;=in_marketplace_from,d_hz_life_term*G1779,0)</f>
        <v/>
      </c>
      <c r="AM1779" s="14">
        <f>F1779*AL1779*in_life_term_ticket*in_life_term_comm*in_ins_partner_share+F1779*in_life_term_ticket*in_life_term_renew_comm*in_ins_partner_share*(in_life_term_renew^1*SUMIFS(AL1777:AL1786,B1777:B1786,B1779-12)+in_life_term_renew^2*SUMIFS(AL1777:AL1786,B1777:B1786,B1779-24)+in_life_term_renew^3*SUMIFS(AL1777:AL1786,B1777:B1786,B1779-36)+in_life_term_renew^4*SUMIFS(AL1777:AL1786,B1777:B1786,B1779-48))</f>
        <v/>
      </c>
      <c r="AN1779" s="40">
        <f>AN1778*(1-IF(B1778&gt;=in_marketplace_from,d_hz_accident*G1778,0))</f>
        <v/>
      </c>
      <c r="AO1779" s="46">
        <f>AN1779*IF(B1779&gt;=in_marketplace_from,d_hz_accident*G1779,0)</f>
        <v/>
      </c>
      <c r="AP1779" s="14">
        <f>F1779*AO1779*in_accident_ticket*in_accident_comm*in_ins_partner_share+F1779*in_accident_ticket*in_accident_renew_comm*in_ins_partner_share*(in_accident_renew^1*SUMIFS(AO1777:AO1786,B1777:B1786,B1779-12)+in_accident_renew^2*SUMIFS(AO1777:AO1786,B1777:B1786,B1779-24)+in_accident_renew^3*SUMIFS(AO1777:AO1786,B1777:B1786,B1779-36)+in_accident_renew^4*SUMIFS(AO1777:AO1786,B1777:B1786,B1779-48))</f>
        <v/>
      </c>
      <c r="AQ1779" s="40">
        <f>AQ1778*(1-IF(B1778&gt;=in_marketplace_from,d_hz_two_wheeler*G1778,0))</f>
        <v/>
      </c>
      <c r="AR1779" s="46">
        <f>AQ1779*IF(B1779&gt;=in_marketplace_from,d_hz_two_wheeler*G1779,0)</f>
        <v/>
      </c>
      <c r="AS1779" s="14">
        <f>F1779*AR1779*in_two_wheeler_ticket*in_two_wheeler_comm*in_ins_partner_share+F1779*in_two_wheeler_ticket*in_two_wheeler_comm*in_ins_partner_share*(in_two_wheeler_renew^1*SUMIFS(AR1777:AR1786,B1777:B1786,B1779-12)+in_two_wheeler_renew^2*SUMIFS(AR1777:AR1786,B1777:B1786,B1779-24)+in_two_wheeler_renew^3*SUMIFS(AR1777:AR1786,B1777:B1786,B1779-36)+in_two_wheeler_renew^4*SUMIFS(AR1777:AR1786,B1777:B1786,B1779-48))</f>
        <v/>
      </c>
      <c r="AT1779" s="40">
        <f>AT1778*(1-IF(B1778&gt;=in_marketplace_from,d_hz_device*G1778,0))</f>
        <v/>
      </c>
      <c r="AU1779" s="14">
        <f>F1779*AT1779*IF(B1779&gt;=in_marketplace_from,d_hz_device*G1779,0)*in_device_ticket*in_device_comm*in_ins_partner_share</f>
        <v/>
      </c>
      <c r="AV1779" s="40">
        <f>AV1778*(1-IF(B1778&gt;=in_marketplace_from,d_hz_shop*G1778,0))</f>
        <v/>
      </c>
      <c r="AW1779" s="46">
        <f>AV1779*IF(B1779&gt;=in_marketplace_from,d_hz_shop*G1779,0)</f>
        <v/>
      </c>
      <c r="AX1779" s="14">
        <f>F1779*AW1779*in_shop_ticket*in_shop_comm*in_ins_partner_share+F1779*in_shop_ticket*in_shop_renew_comm*in_ins_partner_share*(in_shop_renew^1*SUMIFS(AW1777:AW1786,B1777:B1786,B1779-12)+in_shop_renew^2*SUMIFS(AW1777:AW1786,B1777:B1786,B1779-24)+in_shop_renew^3*SUMIFS(AW1777:AW1786,B1777:B1786,B1779-36)+in_shop_renew^4*SUMIFS(AW1777:AW1786,B1777:B1786,B1779-48))</f>
        <v/>
      </c>
      <c r="AY1779" s="40">
        <f>AY1778*(1-IF(B1778&gt;=in_marketplace_from,d_hz_sip*G1778,0))</f>
        <v/>
      </c>
      <c r="AZ1779" s="40">
        <f>AZ1778*d_rho_sip+AY1779*IF(B1779&gt;=in_marketplace_from,d_hz_sip*G1779,0)</f>
        <v/>
      </c>
      <c r="BA1779" s="40">
        <f>d_rho_sip*(BA1778+AZ1778)</f>
        <v/>
      </c>
      <c r="BB1779" s="14">
        <f>F1779*in_sip_ticket*(BA1779+0.5*AZ1779)*in_sip_comm/12</f>
        <v/>
      </c>
      <c r="BC1779" s="40">
        <f>BC1778*(1-IF(B1778&gt;=in_marketplace_from,d_hz_choti*G1778,0))</f>
        <v/>
      </c>
      <c r="BD1779" s="46">
        <f>BC1779*IF(B1779&gt;=in_marketplace_from,d_hz_choti*G1779,0)</f>
        <v/>
      </c>
      <c r="BE1779" s="14">
        <f>F1779*SUMIFS(BD1777:BD1786,B1777:B1786,B1779-in_choti_months)*in_choti_renew*in_choti_ticket</f>
        <v/>
      </c>
      <c r="BF1779" s="40">
        <f>BF1778*(1-IF(B1778&gt;=in_marketplace_from,d_hz_nps*G1778,0))</f>
        <v/>
      </c>
      <c r="BG1779" s="14">
        <f>F1779*BF1779*IF(B1779&gt;=in_marketplace_from,d_hz_nps*G1779,0)*in_nps_ticket*in_nps_comm</f>
        <v/>
      </c>
      <c r="BH1779" s="40">
        <f>BH1778*(1-IF(B1778&gt;=in_marketplace_from,d_hz_gold*G1778,0))</f>
        <v/>
      </c>
      <c r="BI1779" s="40">
        <f>BI1778*d_rho_gold+BH1779*IF(B1779&gt;=in_marketplace_from,d_hz_gold*G1779,0)</f>
        <v/>
      </c>
      <c r="BJ1779" s="14">
        <f>F1779*BI1779*in_gold_ticket*in_gold_comm</f>
        <v/>
      </c>
      <c r="BK1779" s="40">
        <f>BK1778*(1-IF(B1778&gt;=in_marketplace_from,d_hz_fd*G1778,0))</f>
        <v/>
      </c>
      <c r="BL1779" s="14">
        <f>F1779*BK1779*IF(B1779&gt;=in_marketplace_from,d_hz_fd*G1779,0)*in_fd_ticket*in_fd_comm</f>
        <v/>
      </c>
      <c r="BM1779" s="40">
        <f>BM1778*(1-IF(B1778&gt;=in_marketplace_from,d_hz_recharge*G1778,0))</f>
        <v/>
      </c>
      <c r="BN1779" s="40">
        <f>BN1778*d_rho_recharge+BM1779*IF(B1779&gt;=in_marketplace_from,d_hz_recharge*G1779,0)</f>
        <v/>
      </c>
      <c r="BO1779" s="14">
        <f>F1779*BN1779*in_recharge_ticket*in_recharge_comm/12</f>
        <v/>
      </c>
      <c r="BP1779" s="40">
        <f>BP1778*(1-IF(B1778&gt;=in_marketplace_from,d_hz_bills*G1778,0))</f>
        <v/>
      </c>
      <c r="BQ1779" s="40">
        <f>BQ1778*d_rho_bills+BP1779*IF(B1779&gt;=in_marketplace_from,d_hz_bills*G1779,0)</f>
        <v/>
      </c>
      <c r="BR1779" s="14">
        <f>F1779*BQ1779*in_bills_ticket*in_bills_comm/12</f>
        <v/>
      </c>
      <c r="BS1779" s="40">
        <f>BS1778*(1-IF(B1778&gt;=in_marketplace_from,d_hz_loan_gold*G1778,0))</f>
        <v/>
      </c>
      <c r="BT1779" s="14">
        <f>F1779*BS1779*IF(B1779&gt;=in_marketplace_from,d_hz_loan_gold*G1779,0)*in_loan_gold_ticket*in_loan_gold_comm</f>
        <v/>
      </c>
      <c r="BU1779" s="40">
        <f>BU1778*(1-IF(B1778&gt;=in_marketplace_from,d_hz_loan_cd*G1778,0))</f>
        <v/>
      </c>
      <c r="BV1779" s="14">
        <f>F1779*BU1779*IF(B1779&gt;=in_marketplace_from,d_hz_loan_cd*G1779,0)*in_loan_cd_ticket*in_loan_cd_comm</f>
        <v/>
      </c>
      <c r="BW1779" s="40">
        <f>BW1778*(1-IF(B1778&gt;=in_marketplace_from,d_hz_loan_vehicle*G1778,0))</f>
        <v/>
      </c>
      <c r="BX1779" s="14">
        <f>F1779*BW1779*IF(B1779&gt;=in_marketplace_from,d_hz_loan_vehicle*G1779,0)*in_loan_vehicle_ticket*in_loan_vehicle_comm</f>
        <v/>
      </c>
      <c r="BY1779" s="40">
        <f>BY1778*(1-IF(B1778&gt;=in_marketplace_from,d_hz_loan_home*G1778,0)*BZ1778)</f>
        <v/>
      </c>
      <c r="BZ1779" s="11">
        <f>MIN(in_approval_cap,in_loan_home_approval*INDEX('Age profile'!$O$2:$O$61,B1779)*(1+in_approval_growth)^(D1779-1))</f>
        <v/>
      </c>
      <c r="CA1779" s="14">
        <f>F1779*BY1779*IF(B1779&gt;=in_marketplace_from,d_hz_loan_home*G1779,0)*BZ1779*in_loan_home_ticket*in_loan_home_comm</f>
        <v/>
      </c>
      <c r="CB1779" s="40">
        <f>CB1778*(1-IF(B1778&gt;=in_marketplace_from,d_hz_loan_lap*G1778,0)*CC1778)</f>
        <v/>
      </c>
      <c r="CC1779" s="11">
        <f>MIN(in_approval_cap,in_loan_lap_approval*INDEX('Age profile'!$O$2:$O$61,B1779)*(1+in_approval_growth)^(D1779-1))</f>
        <v/>
      </c>
      <c r="CD1779" s="14">
        <f>F1779*CB1779*IF(B1779&gt;=in_marketplace_from,d_hz_loan_lap*G1779,0)*CC1779*in_loan_lap_ticket*in_loan_lap_comm</f>
        <v/>
      </c>
      <c r="CE1779" s="14">
        <f>AA1779+AB1779+AC1779+AD1779+AG1779+AJ1779+AM1779+AP1779+AS1779+AU1779+AX1779+BB1779+BE1779+BG1779+BJ1779+BL1779+BO1779+BR1779+BT1779+BV1779+BX1779+CA1779+CD1779</f>
        <v/>
      </c>
    </row>
    <row r="1780">
      <c r="A1780" s="39" t="n">
        <v>51</v>
      </c>
      <c r="B1780" s="39" t="n">
        <v>4</v>
      </c>
      <c r="C1780" s="39">
        <f>A1780+B1780-1</f>
        <v/>
      </c>
      <c r="D1780" s="39">
        <f>INT((C1780-1)/12)+1</f>
        <v/>
      </c>
      <c r="E1780" s="44">
        <f>INDEX(Monthly!$B$2:$B$61,A1780)</f>
        <v/>
      </c>
      <c r="F1780" s="44">
        <f>E1780*INDEX('Age profile'!$B$2:$B$61,B1780)</f>
        <v/>
      </c>
      <c r="G1780" s="45">
        <f>MIN(in_takeup_cap,INDEX('Age profile'!$N$2:$N$61,B1780)*(1+in_takeup_growth)^(D1780-1))</f>
        <v/>
      </c>
      <c r="H1780" s="11">
        <f>MIN(in_approval_cap,in_approved_first*INDEX('Age profile'!$O$2:$O$61,B1780)*(1+in_approval_growth)^(D1780-1))</f>
        <v/>
      </c>
      <c r="I1780" s="45">
        <f>G1780*MIN(in_takeup_cap,INDEX('Age profile'!$O$2:$O$61,B1780)*(1+in_approval_growth)^(D1780-1))</f>
        <v/>
      </c>
      <c r="J1780" s="40">
        <f>(J1779-L1779)*F1780/F1779</f>
        <v/>
      </c>
      <c r="K1780" s="40">
        <f>(K1779-M1779)*F1780/F1779+SUMIFS(O1777:O1779,B1777:B1779,B1780-1-d_T)*F1780</f>
        <v/>
      </c>
      <c r="L1780" s="40">
        <f>IF(B1780&gt;=in_marketplace_from,J1780*d_hz*G1780*in_eligible*H1780,0)</f>
        <v/>
      </c>
      <c r="M1780" s="40">
        <f>IF(B1780&gt;=in_marketplace_from,K1780*d_hz*G1780*in_eligible*in_approved_repeat,0)</f>
        <v/>
      </c>
      <c r="N1780" s="40">
        <f>L1780+M1780</f>
        <v/>
      </c>
      <c r="O1780" s="46">
        <f>N1780/F1780</f>
        <v/>
      </c>
      <c r="P1780" s="40">
        <f>F1780-J1780-K1780</f>
        <v/>
      </c>
      <c r="Q1780" s="40">
        <f>IF(B1780&gt;=in_marketplace_from,(J1780+K1780)*d_hz*G1780,0)</f>
        <v/>
      </c>
      <c r="R1780" s="40">
        <f>SUMIFS(N1777:N1786,B1777:B1786,"&gt;="&amp;(B1780-d_T),B1777:B1786,"&lt;="&amp;(B1780-1))</f>
        <v/>
      </c>
      <c r="S1780" s="46">
        <f>(1-d_u)*S1779+IF(d_T&gt;in_topup_lag,SUMIFS(O1777:O1786,B1777:B1786,B1780-in_topup_lag)-d_udrop*SUMIFS(O1777:O1786,B1777:B1786,B1780-d_T),0)</f>
        <v/>
      </c>
      <c r="T1780" s="40">
        <f>F1780*d_u*S1780</f>
        <v/>
      </c>
      <c r="U1780" s="9">
        <f>L1780*in_ticket+M1780*d_rep_ticket</f>
        <v/>
      </c>
      <c r="V1780" s="9">
        <f>U1780+T1780*d_topup_amt</f>
        <v/>
      </c>
      <c r="W1780" s="40">
        <f>N1780+T1780*d_topup_ratio</f>
        <v/>
      </c>
      <c r="X1780" s="40">
        <f>SUMIFS(W1777:W1786,B1777:B1786,B1780-in_dpd_lag)*d_cured</f>
        <v/>
      </c>
      <c r="Y1780" s="40">
        <f>SUMIFS(W1777:W1786,B1777:B1786,B1780-in_rec_lag)*d_recd</f>
        <v/>
      </c>
      <c r="Z1780" s="40">
        <f>IF(AND(B1780&gt;=in_marketplace_from,B1780&lt;in_marketplace_from+in_card_months),in_card_share/in_card_months*F1780*I1780,IF(AND(B1780&gt;=in_marketplace_from+in_card_months,B1780&lt;in_marketplace_from+2*in_card_months),in_card_share*d_card_rem/in_card_months*F1780*MIN(in_takeup_cap,(1+in_takeup_growth)^(D1780-1))*MIN(in_takeup_cap,(1+in_approval_growth)^(D1780-1)),0))</f>
        <v/>
      </c>
      <c r="AA1780" s="14">
        <f>V1780*in_fee*(1-in_taken_back)</f>
        <v/>
      </c>
      <c r="AB1780" s="14">
        <f>SUMIFS(W1777:W1786,B1777:B1786,B1780-in_dpd_lag)*d_dpd</f>
        <v/>
      </c>
      <c r="AC1780" s="14">
        <f>SUMIFS(W1777:W1786,B1777:B1786,B1780-in_rec_lag)*d_rec</f>
        <v/>
      </c>
      <c r="AD1780" s="14">
        <f>Z1780*in_card_fee</f>
        <v/>
      </c>
      <c r="AE1780" s="40">
        <f>AE1779*(1-IF(B1779&gt;=in_marketplace_from,d_hz_hlth_small*G1779,0))</f>
        <v/>
      </c>
      <c r="AF1780" s="46">
        <f>AE1780*IF(B1780&gt;=in_marketplace_from,d_hz_hlth_small*G1780,0)</f>
        <v/>
      </c>
      <c r="AG1780" s="14">
        <f>F1780*AF1780*in_hlth_small_ticket*in_hlth_small_comm*in_ins_partner_share+F1780*in_hlth_small_ticket*in_hlth_small_renew_comm*in_ins_partner_share*(in_hlth_small_renew^1*SUMIFS(AF1777:AF1786,B1777:B1786,B1780-12)+in_hlth_small_renew^2*SUMIFS(AF1777:AF1786,B1777:B1786,B1780-24)+in_hlth_small_renew^3*SUMIFS(AF1777:AF1786,B1777:B1786,B1780-36)+in_hlth_small_renew^4*SUMIFS(AF1777:AF1786,B1777:B1786,B1780-48))</f>
        <v/>
      </c>
      <c r="AH1780" s="40">
        <f>AH1779*(1-IF(B1779&gt;=in_marketplace_from,d_hz_hlth_family*G1779,0))</f>
        <v/>
      </c>
      <c r="AI1780" s="46">
        <f>AH1780*IF(B1780&gt;=in_marketplace_from,d_hz_hlth_family*G1780,0)</f>
        <v/>
      </c>
      <c r="AJ1780" s="14">
        <f>F1780*AI1780*in_hlth_family_ticket*in_hlth_family_comm*in_ins_partner_share+F1780*in_hlth_family_ticket*in_hlth_family_renew_comm*in_ins_partner_share*(in_hlth_family_renew^1*SUMIFS(AI1777:AI1786,B1777:B1786,B1780-12)+in_hlth_family_renew^2*SUMIFS(AI1777:AI1786,B1777:B1786,B1780-24)+in_hlth_family_renew^3*SUMIFS(AI1777:AI1786,B1777:B1786,B1780-36)+in_hlth_family_renew^4*SUMIFS(AI1777:AI1786,B1777:B1786,B1780-48))</f>
        <v/>
      </c>
      <c r="AK1780" s="40">
        <f>AK1779*(1-IF(B1779&gt;=in_marketplace_from,d_hz_life_term*G1779,0))</f>
        <v/>
      </c>
      <c r="AL1780" s="46">
        <f>AK1780*IF(B1780&gt;=in_marketplace_from,d_hz_life_term*G1780,0)</f>
        <v/>
      </c>
      <c r="AM1780" s="14">
        <f>F1780*AL1780*in_life_term_ticket*in_life_term_comm*in_ins_partner_share+F1780*in_life_term_ticket*in_life_term_renew_comm*in_ins_partner_share*(in_life_term_renew^1*SUMIFS(AL1777:AL1786,B1777:B1786,B1780-12)+in_life_term_renew^2*SUMIFS(AL1777:AL1786,B1777:B1786,B1780-24)+in_life_term_renew^3*SUMIFS(AL1777:AL1786,B1777:B1786,B1780-36)+in_life_term_renew^4*SUMIFS(AL1777:AL1786,B1777:B1786,B1780-48))</f>
        <v/>
      </c>
      <c r="AN1780" s="40">
        <f>AN1779*(1-IF(B1779&gt;=in_marketplace_from,d_hz_accident*G1779,0))</f>
        <v/>
      </c>
      <c r="AO1780" s="46">
        <f>AN1780*IF(B1780&gt;=in_marketplace_from,d_hz_accident*G1780,0)</f>
        <v/>
      </c>
      <c r="AP1780" s="14">
        <f>F1780*AO1780*in_accident_ticket*in_accident_comm*in_ins_partner_share+F1780*in_accident_ticket*in_accident_renew_comm*in_ins_partner_share*(in_accident_renew^1*SUMIFS(AO1777:AO1786,B1777:B1786,B1780-12)+in_accident_renew^2*SUMIFS(AO1777:AO1786,B1777:B1786,B1780-24)+in_accident_renew^3*SUMIFS(AO1777:AO1786,B1777:B1786,B1780-36)+in_accident_renew^4*SUMIFS(AO1777:AO1786,B1777:B1786,B1780-48))</f>
        <v/>
      </c>
      <c r="AQ1780" s="40">
        <f>AQ1779*(1-IF(B1779&gt;=in_marketplace_from,d_hz_two_wheeler*G1779,0))</f>
        <v/>
      </c>
      <c r="AR1780" s="46">
        <f>AQ1780*IF(B1780&gt;=in_marketplace_from,d_hz_two_wheeler*G1780,0)</f>
        <v/>
      </c>
      <c r="AS1780" s="14">
        <f>F1780*AR1780*in_two_wheeler_ticket*in_two_wheeler_comm*in_ins_partner_share+F1780*in_two_wheeler_ticket*in_two_wheeler_comm*in_ins_partner_share*(in_two_wheeler_renew^1*SUMIFS(AR1777:AR1786,B1777:B1786,B1780-12)+in_two_wheeler_renew^2*SUMIFS(AR1777:AR1786,B1777:B1786,B1780-24)+in_two_wheeler_renew^3*SUMIFS(AR1777:AR1786,B1777:B1786,B1780-36)+in_two_wheeler_renew^4*SUMIFS(AR1777:AR1786,B1777:B1786,B1780-48))</f>
        <v/>
      </c>
      <c r="AT1780" s="40">
        <f>AT1779*(1-IF(B1779&gt;=in_marketplace_from,d_hz_device*G1779,0))</f>
        <v/>
      </c>
      <c r="AU1780" s="14">
        <f>F1780*AT1780*IF(B1780&gt;=in_marketplace_from,d_hz_device*G1780,0)*in_device_ticket*in_device_comm*in_ins_partner_share</f>
        <v/>
      </c>
      <c r="AV1780" s="40">
        <f>AV1779*(1-IF(B1779&gt;=in_marketplace_from,d_hz_shop*G1779,0))</f>
        <v/>
      </c>
      <c r="AW1780" s="46">
        <f>AV1780*IF(B1780&gt;=in_marketplace_from,d_hz_shop*G1780,0)</f>
        <v/>
      </c>
      <c r="AX1780" s="14">
        <f>F1780*AW1780*in_shop_ticket*in_shop_comm*in_ins_partner_share+F1780*in_shop_ticket*in_shop_renew_comm*in_ins_partner_share*(in_shop_renew^1*SUMIFS(AW1777:AW1786,B1777:B1786,B1780-12)+in_shop_renew^2*SUMIFS(AW1777:AW1786,B1777:B1786,B1780-24)+in_shop_renew^3*SUMIFS(AW1777:AW1786,B1777:B1786,B1780-36)+in_shop_renew^4*SUMIFS(AW1777:AW1786,B1777:B1786,B1780-48))</f>
        <v/>
      </c>
      <c r="AY1780" s="40">
        <f>AY1779*(1-IF(B1779&gt;=in_marketplace_from,d_hz_sip*G1779,0))</f>
        <v/>
      </c>
      <c r="AZ1780" s="40">
        <f>AZ1779*d_rho_sip+AY1780*IF(B1780&gt;=in_marketplace_from,d_hz_sip*G1780,0)</f>
        <v/>
      </c>
      <c r="BA1780" s="40">
        <f>d_rho_sip*(BA1779+AZ1779)</f>
        <v/>
      </c>
      <c r="BB1780" s="14">
        <f>F1780*in_sip_ticket*(BA1780+0.5*AZ1780)*in_sip_comm/12</f>
        <v/>
      </c>
      <c r="BC1780" s="40">
        <f>BC1779*(1-IF(B1779&gt;=in_marketplace_from,d_hz_choti*G1779,0))</f>
        <v/>
      </c>
      <c r="BD1780" s="46">
        <f>BC1780*IF(B1780&gt;=in_marketplace_from,d_hz_choti*G1780,0)</f>
        <v/>
      </c>
      <c r="BE1780" s="14">
        <f>F1780*SUMIFS(BD1777:BD1786,B1777:B1786,B1780-in_choti_months)*in_choti_renew*in_choti_ticket</f>
        <v/>
      </c>
      <c r="BF1780" s="40">
        <f>BF1779*(1-IF(B1779&gt;=in_marketplace_from,d_hz_nps*G1779,0))</f>
        <v/>
      </c>
      <c r="BG1780" s="14">
        <f>F1780*BF1780*IF(B1780&gt;=in_marketplace_from,d_hz_nps*G1780,0)*in_nps_ticket*in_nps_comm</f>
        <v/>
      </c>
      <c r="BH1780" s="40">
        <f>BH1779*(1-IF(B1779&gt;=in_marketplace_from,d_hz_gold*G1779,0))</f>
        <v/>
      </c>
      <c r="BI1780" s="40">
        <f>BI1779*d_rho_gold+BH1780*IF(B1780&gt;=in_marketplace_from,d_hz_gold*G1780,0)</f>
        <v/>
      </c>
      <c r="BJ1780" s="14">
        <f>F1780*BI1780*in_gold_ticket*in_gold_comm</f>
        <v/>
      </c>
      <c r="BK1780" s="40">
        <f>BK1779*(1-IF(B1779&gt;=in_marketplace_from,d_hz_fd*G1779,0))</f>
        <v/>
      </c>
      <c r="BL1780" s="14">
        <f>F1780*BK1780*IF(B1780&gt;=in_marketplace_from,d_hz_fd*G1780,0)*in_fd_ticket*in_fd_comm</f>
        <v/>
      </c>
      <c r="BM1780" s="40">
        <f>BM1779*(1-IF(B1779&gt;=in_marketplace_from,d_hz_recharge*G1779,0))</f>
        <v/>
      </c>
      <c r="BN1780" s="40">
        <f>BN1779*d_rho_recharge+BM1780*IF(B1780&gt;=in_marketplace_from,d_hz_recharge*G1780,0)</f>
        <v/>
      </c>
      <c r="BO1780" s="14">
        <f>F1780*BN1780*in_recharge_ticket*in_recharge_comm/12</f>
        <v/>
      </c>
      <c r="BP1780" s="40">
        <f>BP1779*(1-IF(B1779&gt;=in_marketplace_from,d_hz_bills*G1779,0))</f>
        <v/>
      </c>
      <c r="BQ1780" s="40">
        <f>BQ1779*d_rho_bills+BP1780*IF(B1780&gt;=in_marketplace_from,d_hz_bills*G1780,0)</f>
        <v/>
      </c>
      <c r="BR1780" s="14">
        <f>F1780*BQ1780*in_bills_ticket*in_bills_comm/12</f>
        <v/>
      </c>
      <c r="BS1780" s="40">
        <f>BS1779*(1-IF(B1779&gt;=in_marketplace_from,d_hz_loan_gold*G1779,0))</f>
        <v/>
      </c>
      <c r="BT1780" s="14">
        <f>F1780*BS1780*IF(B1780&gt;=in_marketplace_from,d_hz_loan_gold*G1780,0)*in_loan_gold_ticket*in_loan_gold_comm</f>
        <v/>
      </c>
      <c r="BU1780" s="40">
        <f>BU1779*(1-IF(B1779&gt;=in_marketplace_from,d_hz_loan_cd*G1779,0))</f>
        <v/>
      </c>
      <c r="BV1780" s="14">
        <f>F1780*BU1780*IF(B1780&gt;=in_marketplace_from,d_hz_loan_cd*G1780,0)*in_loan_cd_ticket*in_loan_cd_comm</f>
        <v/>
      </c>
      <c r="BW1780" s="40">
        <f>BW1779*(1-IF(B1779&gt;=in_marketplace_from,d_hz_loan_vehicle*G1779,0))</f>
        <v/>
      </c>
      <c r="BX1780" s="14">
        <f>F1780*BW1780*IF(B1780&gt;=in_marketplace_from,d_hz_loan_vehicle*G1780,0)*in_loan_vehicle_ticket*in_loan_vehicle_comm</f>
        <v/>
      </c>
      <c r="BY1780" s="40">
        <f>BY1779*(1-IF(B1779&gt;=in_marketplace_from,d_hz_loan_home*G1779,0)*BZ1779)</f>
        <v/>
      </c>
      <c r="BZ1780" s="11">
        <f>MIN(in_approval_cap,in_loan_home_approval*INDEX('Age profile'!$O$2:$O$61,B1780)*(1+in_approval_growth)^(D1780-1))</f>
        <v/>
      </c>
      <c r="CA1780" s="14">
        <f>F1780*BY1780*IF(B1780&gt;=in_marketplace_from,d_hz_loan_home*G1780,0)*BZ1780*in_loan_home_ticket*in_loan_home_comm</f>
        <v/>
      </c>
      <c r="CB1780" s="40">
        <f>CB1779*(1-IF(B1779&gt;=in_marketplace_from,d_hz_loan_lap*G1779,0)*CC1779)</f>
        <v/>
      </c>
      <c r="CC1780" s="11">
        <f>MIN(in_approval_cap,in_loan_lap_approval*INDEX('Age profile'!$O$2:$O$61,B1780)*(1+in_approval_growth)^(D1780-1))</f>
        <v/>
      </c>
      <c r="CD1780" s="14">
        <f>F1780*CB1780*IF(B1780&gt;=in_marketplace_from,d_hz_loan_lap*G1780,0)*CC1780*in_loan_lap_ticket*in_loan_lap_comm</f>
        <v/>
      </c>
      <c r="CE1780" s="14">
        <f>AA1780+AB1780+AC1780+AD1780+AG1780+AJ1780+AM1780+AP1780+AS1780+AU1780+AX1780+BB1780+BE1780+BG1780+BJ1780+BL1780+BO1780+BR1780+BT1780+BV1780+BX1780+CA1780+CD1780</f>
        <v/>
      </c>
    </row>
    <row r="1781">
      <c r="A1781" s="39" t="n">
        <v>51</v>
      </c>
      <c r="B1781" s="39" t="n">
        <v>5</v>
      </c>
      <c r="C1781" s="39">
        <f>A1781+B1781-1</f>
        <v/>
      </c>
      <c r="D1781" s="39">
        <f>INT((C1781-1)/12)+1</f>
        <v/>
      </c>
      <c r="E1781" s="44">
        <f>INDEX(Monthly!$B$2:$B$61,A1781)</f>
        <v/>
      </c>
      <c r="F1781" s="44">
        <f>E1781*INDEX('Age profile'!$B$2:$B$61,B1781)</f>
        <v/>
      </c>
      <c r="G1781" s="45">
        <f>MIN(in_takeup_cap,INDEX('Age profile'!$N$2:$N$61,B1781)*(1+in_takeup_growth)^(D1781-1))</f>
        <v/>
      </c>
      <c r="H1781" s="11">
        <f>MIN(in_approval_cap,in_approved_first*INDEX('Age profile'!$O$2:$O$61,B1781)*(1+in_approval_growth)^(D1781-1))</f>
        <v/>
      </c>
      <c r="I1781" s="45">
        <f>G1781*MIN(in_takeup_cap,INDEX('Age profile'!$O$2:$O$61,B1781)*(1+in_approval_growth)^(D1781-1))</f>
        <v/>
      </c>
      <c r="J1781" s="40">
        <f>(J1780-L1780)*F1781/F1780</f>
        <v/>
      </c>
      <c r="K1781" s="40">
        <f>(K1780-M1780)*F1781/F1780+SUMIFS(O1777:O1780,B1777:B1780,B1781-1-d_T)*F1781</f>
        <v/>
      </c>
      <c r="L1781" s="40">
        <f>IF(B1781&gt;=in_marketplace_from,J1781*d_hz*G1781*in_eligible*H1781,0)</f>
        <v/>
      </c>
      <c r="M1781" s="40">
        <f>IF(B1781&gt;=in_marketplace_from,K1781*d_hz*G1781*in_eligible*in_approved_repeat,0)</f>
        <v/>
      </c>
      <c r="N1781" s="40">
        <f>L1781+M1781</f>
        <v/>
      </c>
      <c r="O1781" s="46">
        <f>N1781/F1781</f>
        <v/>
      </c>
      <c r="P1781" s="40">
        <f>F1781-J1781-K1781</f>
        <v/>
      </c>
      <c r="Q1781" s="40">
        <f>IF(B1781&gt;=in_marketplace_from,(J1781+K1781)*d_hz*G1781,0)</f>
        <v/>
      </c>
      <c r="R1781" s="40">
        <f>SUMIFS(N1777:N1786,B1777:B1786,"&gt;="&amp;(B1781-d_T),B1777:B1786,"&lt;="&amp;(B1781-1))</f>
        <v/>
      </c>
      <c r="S1781" s="46">
        <f>(1-d_u)*S1780+IF(d_T&gt;in_topup_lag,SUMIFS(O1777:O1786,B1777:B1786,B1781-in_topup_lag)-d_udrop*SUMIFS(O1777:O1786,B1777:B1786,B1781-d_T),0)</f>
        <v/>
      </c>
      <c r="T1781" s="40">
        <f>F1781*d_u*S1781</f>
        <v/>
      </c>
      <c r="U1781" s="9">
        <f>L1781*in_ticket+M1781*d_rep_ticket</f>
        <v/>
      </c>
      <c r="V1781" s="9">
        <f>U1781+T1781*d_topup_amt</f>
        <v/>
      </c>
      <c r="W1781" s="40">
        <f>N1781+T1781*d_topup_ratio</f>
        <v/>
      </c>
      <c r="X1781" s="40">
        <f>SUMIFS(W1777:W1786,B1777:B1786,B1781-in_dpd_lag)*d_cured</f>
        <v/>
      </c>
      <c r="Y1781" s="40">
        <f>SUMIFS(W1777:W1786,B1777:B1786,B1781-in_rec_lag)*d_recd</f>
        <v/>
      </c>
      <c r="Z1781" s="40">
        <f>IF(AND(B1781&gt;=in_marketplace_from,B1781&lt;in_marketplace_from+in_card_months),in_card_share/in_card_months*F1781*I1781,IF(AND(B1781&gt;=in_marketplace_from+in_card_months,B1781&lt;in_marketplace_from+2*in_card_months),in_card_share*d_card_rem/in_card_months*F1781*MIN(in_takeup_cap,(1+in_takeup_growth)^(D1781-1))*MIN(in_takeup_cap,(1+in_approval_growth)^(D1781-1)),0))</f>
        <v/>
      </c>
      <c r="AA1781" s="14">
        <f>V1781*in_fee*(1-in_taken_back)</f>
        <v/>
      </c>
      <c r="AB1781" s="14">
        <f>SUMIFS(W1777:W1786,B1777:B1786,B1781-in_dpd_lag)*d_dpd</f>
        <v/>
      </c>
      <c r="AC1781" s="14">
        <f>SUMIFS(W1777:W1786,B1777:B1786,B1781-in_rec_lag)*d_rec</f>
        <v/>
      </c>
      <c r="AD1781" s="14">
        <f>Z1781*in_card_fee</f>
        <v/>
      </c>
      <c r="AE1781" s="40">
        <f>AE1780*(1-IF(B1780&gt;=in_marketplace_from,d_hz_hlth_small*G1780,0))</f>
        <v/>
      </c>
      <c r="AF1781" s="46">
        <f>AE1781*IF(B1781&gt;=in_marketplace_from,d_hz_hlth_small*G1781,0)</f>
        <v/>
      </c>
      <c r="AG1781" s="14">
        <f>F1781*AF1781*in_hlth_small_ticket*in_hlth_small_comm*in_ins_partner_share+F1781*in_hlth_small_ticket*in_hlth_small_renew_comm*in_ins_partner_share*(in_hlth_small_renew^1*SUMIFS(AF1777:AF1786,B1777:B1786,B1781-12)+in_hlth_small_renew^2*SUMIFS(AF1777:AF1786,B1777:B1786,B1781-24)+in_hlth_small_renew^3*SUMIFS(AF1777:AF1786,B1777:B1786,B1781-36)+in_hlth_small_renew^4*SUMIFS(AF1777:AF1786,B1777:B1786,B1781-48))</f>
        <v/>
      </c>
      <c r="AH1781" s="40">
        <f>AH1780*(1-IF(B1780&gt;=in_marketplace_from,d_hz_hlth_family*G1780,0))</f>
        <v/>
      </c>
      <c r="AI1781" s="46">
        <f>AH1781*IF(B1781&gt;=in_marketplace_from,d_hz_hlth_family*G1781,0)</f>
        <v/>
      </c>
      <c r="AJ1781" s="14">
        <f>F1781*AI1781*in_hlth_family_ticket*in_hlth_family_comm*in_ins_partner_share+F1781*in_hlth_family_ticket*in_hlth_family_renew_comm*in_ins_partner_share*(in_hlth_family_renew^1*SUMIFS(AI1777:AI1786,B1777:B1786,B1781-12)+in_hlth_family_renew^2*SUMIFS(AI1777:AI1786,B1777:B1786,B1781-24)+in_hlth_family_renew^3*SUMIFS(AI1777:AI1786,B1777:B1786,B1781-36)+in_hlth_family_renew^4*SUMIFS(AI1777:AI1786,B1777:B1786,B1781-48))</f>
        <v/>
      </c>
      <c r="AK1781" s="40">
        <f>AK1780*(1-IF(B1780&gt;=in_marketplace_from,d_hz_life_term*G1780,0))</f>
        <v/>
      </c>
      <c r="AL1781" s="46">
        <f>AK1781*IF(B1781&gt;=in_marketplace_from,d_hz_life_term*G1781,0)</f>
        <v/>
      </c>
      <c r="AM1781" s="14">
        <f>F1781*AL1781*in_life_term_ticket*in_life_term_comm*in_ins_partner_share+F1781*in_life_term_ticket*in_life_term_renew_comm*in_ins_partner_share*(in_life_term_renew^1*SUMIFS(AL1777:AL1786,B1777:B1786,B1781-12)+in_life_term_renew^2*SUMIFS(AL1777:AL1786,B1777:B1786,B1781-24)+in_life_term_renew^3*SUMIFS(AL1777:AL1786,B1777:B1786,B1781-36)+in_life_term_renew^4*SUMIFS(AL1777:AL1786,B1777:B1786,B1781-48))</f>
        <v/>
      </c>
      <c r="AN1781" s="40">
        <f>AN1780*(1-IF(B1780&gt;=in_marketplace_from,d_hz_accident*G1780,0))</f>
        <v/>
      </c>
      <c r="AO1781" s="46">
        <f>AN1781*IF(B1781&gt;=in_marketplace_from,d_hz_accident*G1781,0)</f>
        <v/>
      </c>
      <c r="AP1781" s="14">
        <f>F1781*AO1781*in_accident_ticket*in_accident_comm*in_ins_partner_share+F1781*in_accident_ticket*in_accident_renew_comm*in_ins_partner_share*(in_accident_renew^1*SUMIFS(AO1777:AO1786,B1777:B1786,B1781-12)+in_accident_renew^2*SUMIFS(AO1777:AO1786,B1777:B1786,B1781-24)+in_accident_renew^3*SUMIFS(AO1777:AO1786,B1777:B1786,B1781-36)+in_accident_renew^4*SUMIFS(AO1777:AO1786,B1777:B1786,B1781-48))</f>
        <v/>
      </c>
      <c r="AQ1781" s="40">
        <f>AQ1780*(1-IF(B1780&gt;=in_marketplace_from,d_hz_two_wheeler*G1780,0))</f>
        <v/>
      </c>
      <c r="AR1781" s="46">
        <f>AQ1781*IF(B1781&gt;=in_marketplace_from,d_hz_two_wheeler*G1781,0)</f>
        <v/>
      </c>
      <c r="AS1781" s="14">
        <f>F1781*AR1781*in_two_wheeler_ticket*in_two_wheeler_comm*in_ins_partner_share+F1781*in_two_wheeler_ticket*in_two_wheeler_comm*in_ins_partner_share*(in_two_wheeler_renew^1*SUMIFS(AR1777:AR1786,B1777:B1786,B1781-12)+in_two_wheeler_renew^2*SUMIFS(AR1777:AR1786,B1777:B1786,B1781-24)+in_two_wheeler_renew^3*SUMIFS(AR1777:AR1786,B1777:B1786,B1781-36)+in_two_wheeler_renew^4*SUMIFS(AR1777:AR1786,B1777:B1786,B1781-48))</f>
        <v/>
      </c>
      <c r="AT1781" s="40">
        <f>AT1780*(1-IF(B1780&gt;=in_marketplace_from,d_hz_device*G1780,0))</f>
        <v/>
      </c>
      <c r="AU1781" s="14">
        <f>F1781*AT1781*IF(B1781&gt;=in_marketplace_from,d_hz_device*G1781,0)*in_device_ticket*in_device_comm*in_ins_partner_share</f>
        <v/>
      </c>
      <c r="AV1781" s="40">
        <f>AV1780*(1-IF(B1780&gt;=in_marketplace_from,d_hz_shop*G1780,0))</f>
        <v/>
      </c>
      <c r="AW1781" s="46">
        <f>AV1781*IF(B1781&gt;=in_marketplace_from,d_hz_shop*G1781,0)</f>
        <v/>
      </c>
      <c r="AX1781" s="14">
        <f>F1781*AW1781*in_shop_ticket*in_shop_comm*in_ins_partner_share+F1781*in_shop_ticket*in_shop_renew_comm*in_ins_partner_share*(in_shop_renew^1*SUMIFS(AW1777:AW1786,B1777:B1786,B1781-12)+in_shop_renew^2*SUMIFS(AW1777:AW1786,B1777:B1786,B1781-24)+in_shop_renew^3*SUMIFS(AW1777:AW1786,B1777:B1786,B1781-36)+in_shop_renew^4*SUMIFS(AW1777:AW1786,B1777:B1786,B1781-48))</f>
        <v/>
      </c>
      <c r="AY1781" s="40">
        <f>AY1780*(1-IF(B1780&gt;=in_marketplace_from,d_hz_sip*G1780,0))</f>
        <v/>
      </c>
      <c r="AZ1781" s="40">
        <f>AZ1780*d_rho_sip+AY1781*IF(B1781&gt;=in_marketplace_from,d_hz_sip*G1781,0)</f>
        <v/>
      </c>
      <c r="BA1781" s="40">
        <f>d_rho_sip*(BA1780+AZ1780)</f>
        <v/>
      </c>
      <c r="BB1781" s="14">
        <f>F1781*in_sip_ticket*(BA1781+0.5*AZ1781)*in_sip_comm/12</f>
        <v/>
      </c>
      <c r="BC1781" s="40">
        <f>BC1780*(1-IF(B1780&gt;=in_marketplace_from,d_hz_choti*G1780,0))</f>
        <v/>
      </c>
      <c r="BD1781" s="46">
        <f>BC1781*IF(B1781&gt;=in_marketplace_from,d_hz_choti*G1781,0)</f>
        <v/>
      </c>
      <c r="BE1781" s="14">
        <f>F1781*SUMIFS(BD1777:BD1786,B1777:B1786,B1781-in_choti_months)*in_choti_renew*in_choti_ticket</f>
        <v/>
      </c>
      <c r="BF1781" s="40">
        <f>BF1780*(1-IF(B1780&gt;=in_marketplace_from,d_hz_nps*G1780,0))</f>
        <v/>
      </c>
      <c r="BG1781" s="14">
        <f>F1781*BF1781*IF(B1781&gt;=in_marketplace_from,d_hz_nps*G1781,0)*in_nps_ticket*in_nps_comm</f>
        <v/>
      </c>
      <c r="BH1781" s="40">
        <f>BH1780*(1-IF(B1780&gt;=in_marketplace_from,d_hz_gold*G1780,0))</f>
        <v/>
      </c>
      <c r="BI1781" s="40">
        <f>BI1780*d_rho_gold+BH1781*IF(B1781&gt;=in_marketplace_from,d_hz_gold*G1781,0)</f>
        <v/>
      </c>
      <c r="BJ1781" s="14">
        <f>F1781*BI1781*in_gold_ticket*in_gold_comm</f>
        <v/>
      </c>
      <c r="BK1781" s="40">
        <f>BK1780*(1-IF(B1780&gt;=in_marketplace_from,d_hz_fd*G1780,0))</f>
        <v/>
      </c>
      <c r="BL1781" s="14">
        <f>F1781*BK1781*IF(B1781&gt;=in_marketplace_from,d_hz_fd*G1781,0)*in_fd_ticket*in_fd_comm</f>
        <v/>
      </c>
      <c r="BM1781" s="40">
        <f>BM1780*(1-IF(B1780&gt;=in_marketplace_from,d_hz_recharge*G1780,0))</f>
        <v/>
      </c>
      <c r="BN1781" s="40">
        <f>BN1780*d_rho_recharge+BM1781*IF(B1781&gt;=in_marketplace_from,d_hz_recharge*G1781,0)</f>
        <v/>
      </c>
      <c r="BO1781" s="14">
        <f>F1781*BN1781*in_recharge_ticket*in_recharge_comm/12</f>
        <v/>
      </c>
      <c r="BP1781" s="40">
        <f>BP1780*(1-IF(B1780&gt;=in_marketplace_from,d_hz_bills*G1780,0))</f>
        <v/>
      </c>
      <c r="BQ1781" s="40">
        <f>BQ1780*d_rho_bills+BP1781*IF(B1781&gt;=in_marketplace_from,d_hz_bills*G1781,0)</f>
        <v/>
      </c>
      <c r="BR1781" s="14">
        <f>F1781*BQ1781*in_bills_ticket*in_bills_comm/12</f>
        <v/>
      </c>
      <c r="BS1781" s="40">
        <f>BS1780*(1-IF(B1780&gt;=in_marketplace_from,d_hz_loan_gold*G1780,0))</f>
        <v/>
      </c>
      <c r="BT1781" s="14">
        <f>F1781*BS1781*IF(B1781&gt;=in_marketplace_from,d_hz_loan_gold*G1781,0)*in_loan_gold_ticket*in_loan_gold_comm</f>
        <v/>
      </c>
      <c r="BU1781" s="40">
        <f>BU1780*(1-IF(B1780&gt;=in_marketplace_from,d_hz_loan_cd*G1780,0))</f>
        <v/>
      </c>
      <c r="BV1781" s="14">
        <f>F1781*BU1781*IF(B1781&gt;=in_marketplace_from,d_hz_loan_cd*G1781,0)*in_loan_cd_ticket*in_loan_cd_comm</f>
        <v/>
      </c>
      <c r="BW1781" s="40">
        <f>BW1780*(1-IF(B1780&gt;=in_marketplace_from,d_hz_loan_vehicle*G1780,0))</f>
        <v/>
      </c>
      <c r="BX1781" s="14">
        <f>F1781*BW1781*IF(B1781&gt;=in_marketplace_from,d_hz_loan_vehicle*G1781,0)*in_loan_vehicle_ticket*in_loan_vehicle_comm</f>
        <v/>
      </c>
      <c r="BY1781" s="40">
        <f>BY1780*(1-IF(B1780&gt;=in_marketplace_from,d_hz_loan_home*G1780,0)*BZ1780)</f>
        <v/>
      </c>
      <c r="BZ1781" s="11">
        <f>MIN(in_approval_cap,in_loan_home_approval*INDEX('Age profile'!$O$2:$O$61,B1781)*(1+in_approval_growth)^(D1781-1))</f>
        <v/>
      </c>
      <c r="CA1781" s="14">
        <f>F1781*BY1781*IF(B1781&gt;=in_marketplace_from,d_hz_loan_home*G1781,0)*BZ1781*in_loan_home_ticket*in_loan_home_comm</f>
        <v/>
      </c>
      <c r="CB1781" s="40">
        <f>CB1780*(1-IF(B1780&gt;=in_marketplace_from,d_hz_loan_lap*G1780,0)*CC1780)</f>
        <v/>
      </c>
      <c r="CC1781" s="11">
        <f>MIN(in_approval_cap,in_loan_lap_approval*INDEX('Age profile'!$O$2:$O$61,B1781)*(1+in_approval_growth)^(D1781-1))</f>
        <v/>
      </c>
      <c r="CD1781" s="14">
        <f>F1781*CB1781*IF(B1781&gt;=in_marketplace_from,d_hz_loan_lap*G1781,0)*CC1781*in_loan_lap_ticket*in_loan_lap_comm</f>
        <v/>
      </c>
      <c r="CE1781" s="14">
        <f>AA1781+AB1781+AC1781+AD1781+AG1781+AJ1781+AM1781+AP1781+AS1781+AU1781+AX1781+BB1781+BE1781+BG1781+BJ1781+BL1781+BO1781+BR1781+BT1781+BV1781+BX1781+CA1781+CD1781</f>
        <v/>
      </c>
    </row>
    <row r="1782">
      <c r="A1782" s="39" t="n">
        <v>51</v>
      </c>
      <c r="B1782" s="39" t="n">
        <v>6</v>
      </c>
      <c r="C1782" s="39">
        <f>A1782+B1782-1</f>
        <v/>
      </c>
      <c r="D1782" s="39">
        <f>INT((C1782-1)/12)+1</f>
        <v/>
      </c>
      <c r="E1782" s="44">
        <f>INDEX(Monthly!$B$2:$B$61,A1782)</f>
        <v/>
      </c>
      <c r="F1782" s="44">
        <f>E1782*INDEX('Age profile'!$B$2:$B$61,B1782)</f>
        <v/>
      </c>
      <c r="G1782" s="45">
        <f>MIN(in_takeup_cap,INDEX('Age profile'!$N$2:$N$61,B1782)*(1+in_takeup_growth)^(D1782-1))</f>
        <v/>
      </c>
      <c r="H1782" s="11">
        <f>MIN(in_approval_cap,in_approved_first*INDEX('Age profile'!$O$2:$O$61,B1782)*(1+in_approval_growth)^(D1782-1))</f>
        <v/>
      </c>
      <c r="I1782" s="45">
        <f>G1782*MIN(in_takeup_cap,INDEX('Age profile'!$O$2:$O$61,B1782)*(1+in_approval_growth)^(D1782-1))</f>
        <v/>
      </c>
      <c r="J1782" s="40">
        <f>(J1781-L1781)*F1782/F1781</f>
        <v/>
      </c>
      <c r="K1782" s="40">
        <f>(K1781-M1781)*F1782/F1781+SUMIFS(O1777:O1781,B1777:B1781,B1782-1-d_T)*F1782</f>
        <v/>
      </c>
      <c r="L1782" s="40">
        <f>IF(B1782&gt;=in_marketplace_from,J1782*d_hz*G1782*in_eligible*H1782,0)</f>
        <v/>
      </c>
      <c r="M1782" s="40">
        <f>IF(B1782&gt;=in_marketplace_from,K1782*d_hz*G1782*in_eligible*in_approved_repeat,0)</f>
        <v/>
      </c>
      <c r="N1782" s="40">
        <f>L1782+M1782</f>
        <v/>
      </c>
      <c r="O1782" s="46">
        <f>N1782/F1782</f>
        <v/>
      </c>
      <c r="P1782" s="40">
        <f>F1782-J1782-K1782</f>
        <v/>
      </c>
      <c r="Q1782" s="40">
        <f>IF(B1782&gt;=in_marketplace_from,(J1782+K1782)*d_hz*G1782,0)</f>
        <v/>
      </c>
      <c r="R1782" s="40">
        <f>SUMIFS(N1777:N1786,B1777:B1786,"&gt;="&amp;(B1782-d_T),B1777:B1786,"&lt;="&amp;(B1782-1))</f>
        <v/>
      </c>
      <c r="S1782" s="46">
        <f>(1-d_u)*S1781+IF(d_T&gt;in_topup_lag,SUMIFS(O1777:O1786,B1777:B1786,B1782-in_topup_lag)-d_udrop*SUMIFS(O1777:O1786,B1777:B1786,B1782-d_T),0)</f>
        <v/>
      </c>
      <c r="T1782" s="40">
        <f>F1782*d_u*S1782</f>
        <v/>
      </c>
      <c r="U1782" s="9">
        <f>L1782*in_ticket+M1782*d_rep_ticket</f>
        <v/>
      </c>
      <c r="V1782" s="9">
        <f>U1782+T1782*d_topup_amt</f>
        <v/>
      </c>
      <c r="W1782" s="40">
        <f>N1782+T1782*d_topup_ratio</f>
        <v/>
      </c>
      <c r="X1782" s="40">
        <f>SUMIFS(W1777:W1786,B1777:B1786,B1782-in_dpd_lag)*d_cured</f>
        <v/>
      </c>
      <c r="Y1782" s="40">
        <f>SUMIFS(W1777:W1786,B1777:B1786,B1782-in_rec_lag)*d_recd</f>
        <v/>
      </c>
      <c r="Z1782" s="40">
        <f>IF(AND(B1782&gt;=in_marketplace_from,B1782&lt;in_marketplace_from+in_card_months),in_card_share/in_card_months*F1782*I1782,IF(AND(B1782&gt;=in_marketplace_from+in_card_months,B1782&lt;in_marketplace_from+2*in_card_months),in_card_share*d_card_rem/in_card_months*F1782*MIN(in_takeup_cap,(1+in_takeup_growth)^(D1782-1))*MIN(in_takeup_cap,(1+in_approval_growth)^(D1782-1)),0))</f>
        <v/>
      </c>
      <c r="AA1782" s="14">
        <f>V1782*in_fee*(1-in_taken_back)</f>
        <v/>
      </c>
      <c r="AB1782" s="14">
        <f>SUMIFS(W1777:W1786,B1777:B1786,B1782-in_dpd_lag)*d_dpd</f>
        <v/>
      </c>
      <c r="AC1782" s="14">
        <f>SUMIFS(W1777:W1786,B1777:B1786,B1782-in_rec_lag)*d_rec</f>
        <v/>
      </c>
      <c r="AD1782" s="14">
        <f>Z1782*in_card_fee</f>
        <v/>
      </c>
      <c r="AE1782" s="40">
        <f>AE1781*(1-IF(B1781&gt;=in_marketplace_from,d_hz_hlth_small*G1781,0))</f>
        <v/>
      </c>
      <c r="AF1782" s="46">
        <f>AE1782*IF(B1782&gt;=in_marketplace_from,d_hz_hlth_small*G1782,0)</f>
        <v/>
      </c>
      <c r="AG1782" s="14">
        <f>F1782*AF1782*in_hlth_small_ticket*in_hlth_small_comm*in_ins_partner_share+F1782*in_hlth_small_ticket*in_hlth_small_renew_comm*in_ins_partner_share*(in_hlth_small_renew^1*SUMIFS(AF1777:AF1786,B1777:B1786,B1782-12)+in_hlth_small_renew^2*SUMIFS(AF1777:AF1786,B1777:B1786,B1782-24)+in_hlth_small_renew^3*SUMIFS(AF1777:AF1786,B1777:B1786,B1782-36)+in_hlth_small_renew^4*SUMIFS(AF1777:AF1786,B1777:B1786,B1782-48))</f>
        <v/>
      </c>
      <c r="AH1782" s="40">
        <f>AH1781*(1-IF(B1781&gt;=in_marketplace_from,d_hz_hlth_family*G1781,0))</f>
        <v/>
      </c>
      <c r="AI1782" s="46">
        <f>AH1782*IF(B1782&gt;=in_marketplace_from,d_hz_hlth_family*G1782,0)</f>
        <v/>
      </c>
      <c r="AJ1782" s="14">
        <f>F1782*AI1782*in_hlth_family_ticket*in_hlth_family_comm*in_ins_partner_share+F1782*in_hlth_family_ticket*in_hlth_family_renew_comm*in_ins_partner_share*(in_hlth_family_renew^1*SUMIFS(AI1777:AI1786,B1777:B1786,B1782-12)+in_hlth_family_renew^2*SUMIFS(AI1777:AI1786,B1777:B1786,B1782-24)+in_hlth_family_renew^3*SUMIFS(AI1777:AI1786,B1777:B1786,B1782-36)+in_hlth_family_renew^4*SUMIFS(AI1777:AI1786,B1777:B1786,B1782-48))</f>
        <v/>
      </c>
      <c r="AK1782" s="40">
        <f>AK1781*(1-IF(B1781&gt;=in_marketplace_from,d_hz_life_term*G1781,0))</f>
        <v/>
      </c>
      <c r="AL1782" s="46">
        <f>AK1782*IF(B1782&gt;=in_marketplace_from,d_hz_life_term*G1782,0)</f>
        <v/>
      </c>
      <c r="AM1782" s="14">
        <f>F1782*AL1782*in_life_term_ticket*in_life_term_comm*in_ins_partner_share+F1782*in_life_term_ticket*in_life_term_renew_comm*in_ins_partner_share*(in_life_term_renew^1*SUMIFS(AL1777:AL1786,B1777:B1786,B1782-12)+in_life_term_renew^2*SUMIFS(AL1777:AL1786,B1777:B1786,B1782-24)+in_life_term_renew^3*SUMIFS(AL1777:AL1786,B1777:B1786,B1782-36)+in_life_term_renew^4*SUMIFS(AL1777:AL1786,B1777:B1786,B1782-48))</f>
        <v/>
      </c>
      <c r="AN1782" s="40">
        <f>AN1781*(1-IF(B1781&gt;=in_marketplace_from,d_hz_accident*G1781,0))</f>
        <v/>
      </c>
      <c r="AO1782" s="46">
        <f>AN1782*IF(B1782&gt;=in_marketplace_from,d_hz_accident*G1782,0)</f>
        <v/>
      </c>
      <c r="AP1782" s="14">
        <f>F1782*AO1782*in_accident_ticket*in_accident_comm*in_ins_partner_share+F1782*in_accident_ticket*in_accident_renew_comm*in_ins_partner_share*(in_accident_renew^1*SUMIFS(AO1777:AO1786,B1777:B1786,B1782-12)+in_accident_renew^2*SUMIFS(AO1777:AO1786,B1777:B1786,B1782-24)+in_accident_renew^3*SUMIFS(AO1777:AO1786,B1777:B1786,B1782-36)+in_accident_renew^4*SUMIFS(AO1777:AO1786,B1777:B1786,B1782-48))</f>
        <v/>
      </c>
      <c r="AQ1782" s="40">
        <f>AQ1781*(1-IF(B1781&gt;=in_marketplace_from,d_hz_two_wheeler*G1781,0))</f>
        <v/>
      </c>
      <c r="AR1782" s="46">
        <f>AQ1782*IF(B1782&gt;=in_marketplace_from,d_hz_two_wheeler*G1782,0)</f>
        <v/>
      </c>
      <c r="AS1782" s="14">
        <f>F1782*AR1782*in_two_wheeler_ticket*in_two_wheeler_comm*in_ins_partner_share+F1782*in_two_wheeler_ticket*in_two_wheeler_comm*in_ins_partner_share*(in_two_wheeler_renew^1*SUMIFS(AR1777:AR1786,B1777:B1786,B1782-12)+in_two_wheeler_renew^2*SUMIFS(AR1777:AR1786,B1777:B1786,B1782-24)+in_two_wheeler_renew^3*SUMIFS(AR1777:AR1786,B1777:B1786,B1782-36)+in_two_wheeler_renew^4*SUMIFS(AR1777:AR1786,B1777:B1786,B1782-48))</f>
        <v/>
      </c>
      <c r="AT1782" s="40">
        <f>AT1781*(1-IF(B1781&gt;=in_marketplace_from,d_hz_device*G1781,0))</f>
        <v/>
      </c>
      <c r="AU1782" s="14">
        <f>F1782*AT1782*IF(B1782&gt;=in_marketplace_from,d_hz_device*G1782,0)*in_device_ticket*in_device_comm*in_ins_partner_share</f>
        <v/>
      </c>
      <c r="AV1782" s="40">
        <f>AV1781*(1-IF(B1781&gt;=in_marketplace_from,d_hz_shop*G1781,0))</f>
        <v/>
      </c>
      <c r="AW1782" s="46">
        <f>AV1782*IF(B1782&gt;=in_marketplace_from,d_hz_shop*G1782,0)</f>
        <v/>
      </c>
      <c r="AX1782" s="14">
        <f>F1782*AW1782*in_shop_ticket*in_shop_comm*in_ins_partner_share+F1782*in_shop_ticket*in_shop_renew_comm*in_ins_partner_share*(in_shop_renew^1*SUMIFS(AW1777:AW1786,B1777:B1786,B1782-12)+in_shop_renew^2*SUMIFS(AW1777:AW1786,B1777:B1786,B1782-24)+in_shop_renew^3*SUMIFS(AW1777:AW1786,B1777:B1786,B1782-36)+in_shop_renew^4*SUMIFS(AW1777:AW1786,B1777:B1786,B1782-48))</f>
        <v/>
      </c>
      <c r="AY1782" s="40">
        <f>AY1781*(1-IF(B1781&gt;=in_marketplace_from,d_hz_sip*G1781,0))</f>
        <v/>
      </c>
      <c r="AZ1782" s="40">
        <f>AZ1781*d_rho_sip+AY1782*IF(B1782&gt;=in_marketplace_from,d_hz_sip*G1782,0)</f>
        <v/>
      </c>
      <c r="BA1782" s="40">
        <f>d_rho_sip*(BA1781+AZ1781)</f>
        <v/>
      </c>
      <c r="BB1782" s="14">
        <f>F1782*in_sip_ticket*(BA1782+0.5*AZ1782)*in_sip_comm/12</f>
        <v/>
      </c>
      <c r="BC1782" s="40">
        <f>BC1781*(1-IF(B1781&gt;=in_marketplace_from,d_hz_choti*G1781,0))</f>
        <v/>
      </c>
      <c r="BD1782" s="46">
        <f>BC1782*IF(B1782&gt;=in_marketplace_from,d_hz_choti*G1782,0)</f>
        <v/>
      </c>
      <c r="BE1782" s="14">
        <f>F1782*SUMIFS(BD1777:BD1786,B1777:B1786,B1782-in_choti_months)*in_choti_renew*in_choti_ticket</f>
        <v/>
      </c>
      <c r="BF1782" s="40">
        <f>BF1781*(1-IF(B1781&gt;=in_marketplace_from,d_hz_nps*G1781,0))</f>
        <v/>
      </c>
      <c r="BG1782" s="14">
        <f>F1782*BF1782*IF(B1782&gt;=in_marketplace_from,d_hz_nps*G1782,0)*in_nps_ticket*in_nps_comm</f>
        <v/>
      </c>
      <c r="BH1782" s="40">
        <f>BH1781*(1-IF(B1781&gt;=in_marketplace_from,d_hz_gold*G1781,0))</f>
        <v/>
      </c>
      <c r="BI1782" s="40">
        <f>BI1781*d_rho_gold+BH1782*IF(B1782&gt;=in_marketplace_from,d_hz_gold*G1782,0)</f>
        <v/>
      </c>
      <c r="BJ1782" s="14">
        <f>F1782*BI1782*in_gold_ticket*in_gold_comm</f>
        <v/>
      </c>
      <c r="BK1782" s="40">
        <f>BK1781*(1-IF(B1781&gt;=in_marketplace_from,d_hz_fd*G1781,0))</f>
        <v/>
      </c>
      <c r="BL1782" s="14">
        <f>F1782*BK1782*IF(B1782&gt;=in_marketplace_from,d_hz_fd*G1782,0)*in_fd_ticket*in_fd_comm</f>
        <v/>
      </c>
      <c r="BM1782" s="40">
        <f>BM1781*(1-IF(B1781&gt;=in_marketplace_from,d_hz_recharge*G1781,0))</f>
        <v/>
      </c>
      <c r="BN1782" s="40">
        <f>BN1781*d_rho_recharge+BM1782*IF(B1782&gt;=in_marketplace_from,d_hz_recharge*G1782,0)</f>
        <v/>
      </c>
      <c r="BO1782" s="14">
        <f>F1782*BN1782*in_recharge_ticket*in_recharge_comm/12</f>
        <v/>
      </c>
      <c r="BP1782" s="40">
        <f>BP1781*(1-IF(B1781&gt;=in_marketplace_from,d_hz_bills*G1781,0))</f>
        <v/>
      </c>
      <c r="BQ1782" s="40">
        <f>BQ1781*d_rho_bills+BP1782*IF(B1782&gt;=in_marketplace_from,d_hz_bills*G1782,0)</f>
        <v/>
      </c>
      <c r="BR1782" s="14">
        <f>F1782*BQ1782*in_bills_ticket*in_bills_comm/12</f>
        <v/>
      </c>
      <c r="BS1782" s="40">
        <f>BS1781*(1-IF(B1781&gt;=in_marketplace_from,d_hz_loan_gold*G1781,0))</f>
        <v/>
      </c>
      <c r="BT1782" s="14">
        <f>F1782*BS1782*IF(B1782&gt;=in_marketplace_from,d_hz_loan_gold*G1782,0)*in_loan_gold_ticket*in_loan_gold_comm</f>
        <v/>
      </c>
      <c r="BU1782" s="40">
        <f>BU1781*(1-IF(B1781&gt;=in_marketplace_from,d_hz_loan_cd*G1781,0))</f>
        <v/>
      </c>
      <c r="BV1782" s="14">
        <f>F1782*BU1782*IF(B1782&gt;=in_marketplace_from,d_hz_loan_cd*G1782,0)*in_loan_cd_ticket*in_loan_cd_comm</f>
        <v/>
      </c>
      <c r="BW1782" s="40">
        <f>BW1781*(1-IF(B1781&gt;=in_marketplace_from,d_hz_loan_vehicle*G1781,0))</f>
        <v/>
      </c>
      <c r="BX1782" s="14">
        <f>F1782*BW1782*IF(B1782&gt;=in_marketplace_from,d_hz_loan_vehicle*G1782,0)*in_loan_vehicle_ticket*in_loan_vehicle_comm</f>
        <v/>
      </c>
      <c r="BY1782" s="40">
        <f>BY1781*(1-IF(B1781&gt;=in_marketplace_from,d_hz_loan_home*G1781,0)*BZ1781)</f>
        <v/>
      </c>
      <c r="BZ1782" s="11">
        <f>MIN(in_approval_cap,in_loan_home_approval*INDEX('Age profile'!$O$2:$O$61,B1782)*(1+in_approval_growth)^(D1782-1))</f>
        <v/>
      </c>
      <c r="CA1782" s="14">
        <f>F1782*BY1782*IF(B1782&gt;=in_marketplace_from,d_hz_loan_home*G1782,0)*BZ1782*in_loan_home_ticket*in_loan_home_comm</f>
        <v/>
      </c>
      <c r="CB1782" s="40">
        <f>CB1781*(1-IF(B1781&gt;=in_marketplace_from,d_hz_loan_lap*G1781,0)*CC1781)</f>
        <v/>
      </c>
      <c r="CC1782" s="11">
        <f>MIN(in_approval_cap,in_loan_lap_approval*INDEX('Age profile'!$O$2:$O$61,B1782)*(1+in_approval_growth)^(D1782-1))</f>
        <v/>
      </c>
      <c r="CD1782" s="14">
        <f>F1782*CB1782*IF(B1782&gt;=in_marketplace_from,d_hz_loan_lap*G1782,0)*CC1782*in_loan_lap_ticket*in_loan_lap_comm</f>
        <v/>
      </c>
      <c r="CE1782" s="14">
        <f>AA1782+AB1782+AC1782+AD1782+AG1782+AJ1782+AM1782+AP1782+AS1782+AU1782+AX1782+BB1782+BE1782+BG1782+BJ1782+BL1782+BO1782+BR1782+BT1782+BV1782+BX1782+CA1782+CD1782</f>
        <v/>
      </c>
    </row>
    <row r="1783">
      <c r="A1783" s="39" t="n">
        <v>51</v>
      </c>
      <c r="B1783" s="39" t="n">
        <v>7</v>
      </c>
      <c r="C1783" s="39">
        <f>A1783+B1783-1</f>
        <v/>
      </c>
      <c r="D1783" s="39">
        <f>INT((C1783-1)/12)+1</f>
        <v/>
      </c>
      <c r="E1783" s="44">
        <f>INDEX(Monthly!$B$2:$B$61,A1783)</f>
        <v/>
      </c>
      <c r="F1783" s="44">
        <f>E1783*INDEX('Age profile'!$B$2:$B$61,B1783)</f>
        <v/>
      </c>
      <c r="G1783" s="45">
        <f>MIN(in_takeup_cap,INDEX('Age profile'!$N$2:$N$61,B1783)*(1+in_takeup_growth)^(D1783-1))</f>
        <v/>
      </c>
      <c r="H1783" s="11">
        <f>MIN(in_approval_cap,in_approved_first*INDEX('Age profile'!$O$2:$O$61,B1783)*(1+in_approval_growth)^(D1783-1))</f>
        <v/>
      </c>
      <c r="I1783" s="45">
        <f>G1783*MIN(in_takeup_cap,INDEX('Age profile'!$O$2:$O$61,B1783)*(1+in_approval_growth)^(D1783-1))</f>
        <v/>
      </c>
      <c r="J1783" s="40">
        <f>(J1782-L1782)*F1783/F1782</f>
        <v/>
      </c>
      <c r="K1783" s="40">
        <f>(K1782-M1782)*F1783/F1782+SUMIFS(O1777:O1782,B1777:B1782,B1783-1-d_T)*F1783</f>
        <v/>
      </c>
      <c r="L1783" s="40">
        <f>IF(B1783&gt;=in_marketplace_from,J1783*d_hz*G1783*in_eligible*H1783,0)</f>
        <v/>
      </c>
      <c r="M1783" s="40">
        <f>IF(B1783&gt;=in_marketplace_from,K1783*d_hz*G1783*in_eligible*in_approved_repeat,0)</f>
        <v/>
      </c>
      <c r="N1783" s="40">
        <f>L1783+M1783</f>
        <v/>
      </c>
      <c r="O1783" s="46">
        <f>N1783/F1783</f>
        <v/>
      </c>
      <c r="P1783" s="40">
        <f>F1783-J1783-K1783</f>
        <v/>
      </c>
      <c r="Q1783" s="40">
        <f>IF(B1783&gt;=in_marketplace_from,(J1783+K1783)*d_hz*G1783,0)</f>
        <v/>
      </c>
      <c r="R1783" s="40">
        <f>SUMIFS(N1777:N1786,B1777:B1786,"&gt;="&amp;(B1783-d_T),B1777:B1786,"&lt;="&amp;(B1783-1))</f>
        <v/>
      </c>
      <c r="S1783" s="46">
        <f>(1-d_u)*S1782+IF(d_T&gt;in_topup_lag,SUMIFS(O1777:O1786,B1777:B1786,B1783-in_topup_lag)-d_udrop*SUMIFS(O1777:O1786,B1777:B1786,B1783-d_T),0)</f>
        <v/>
      </c>
      <c r="T1783" s="40">
        <f>F1783*d_u*S1783</f>
        <v/>
      </c>
      <c r="U1783" s="9">
        <f>L1783*in_ticket+M1783*d_rep_ticket</f>
        <v/>
      </c>
      <c r="V1783" s="9">
        <f>U1783+T1783*d_topup_amt</f>
        <v/>
      </c>
      <c r="W1783" s="40">
        <f>N1783+T1783*d_topup_ratio</f>
        <v/>
      </c>
      <c r="X1783" s="40">
        <f>SUMIFS(W1777:W1786,B1777:B1786,B1783-in_dpd_lag)*d_cured</f>
        <v/>
      </c>
      <c r="Y1783" s="40">
        <f>SUMIFS(W1777:W1786,B1777:B1786,B1783-in_rec_lag)*d_recd</f>
        <v/>
      </c>
      <c r="Z1783" s="40">
        <f>IF(AND(B1783&gt;=in_marketplace_from,B1783&lt;in_marketplace_from+in_card_months),in_card_share/in_card_months*F1783*I1783,IF(AND(B1783&gt;=in_marketplace_from+in_card_months,B1783&lt;in_marketplace_from+2*in_card_months),in_card_share*d_card_rem/in_card_months*F1783*MIN(in_takeup_cap,(1+in_takeup_growth)^(D1783-1))*MIN(in_takeup_cap,(1+in_approval_growth)^(D1783-1)),0))</f>
        <v/>
      </c>
      <c r="AA1783" s="14">
        <f>V1783*in_fee*(1-in_taken_back)</f>
        <v/>
      </c>
      <c r="AB1783" s="14">
        <f>SUMIFS(W1777:W1786,B1777:B1786,B1783-in_dpd_lag)*d_dpd</f>
        <v/>
      </c>
      <c r="AC1783" s="14">
        <f>SUMIFS(W1777:W1786,B1777:B1786,B1783-in_rec_lag)*d_rec</f>
        <v/>
      </c>
      <c r="AD1783" s="14">
        <f>Z1783*in_card_fee</f>
        <v/>
      </c>
      <c r="AE1783" s="40">
        <f>AE1782*(1-IF(B1782&gt;=in_marketplace_from,d_hz_hlth_small*G1782,0))</f>
        <v/>
      </c>
      <c r="AF1783" s="46">
        <f>AE1783*IF(B1783&gt;=in_marketplace_from,d_hz_hlth_small*G1783,0)</f>
        <v/>
      </c>
      <c r="AG1783" s="14">
        <f>F1783*AF1783*in_hlth_small_ticket*in_hlth_small_comm*in_ins_partner_share+F1783*in_hlth_small_ticket*in_hlth_small_renew_comm*in_ins_partner_share*(in_hlth_small_renew^1*SUMIFS(AF1777:AF1786,B1777:B1786,B1783-12)+in_hlth_small_renew^2*SUMIFS(AF1777:AF1786,B1777:B1786,B1783-24)+in_hlth_small_renew^3*SUMIFS(AF1777:AF1786,B1777:B1786,B1783-36)+in_hlth_small_renew^4*SUMIFS(AF1777:AF1786,B1777:B1786,B1783-48))</f>
        <v/>
      </c>
      <c r="AH1783" s="40">
        <f>AH1782*(1-IF(B1782&gt;=in_marketplace_from,d_hz_hlth_family*G1782,0))</f>
        <v/>
      </c>
      <c r="AI1783" s="46">
        <f>AH1783*IF(B1783&gt;=in_marketplace_from,d_hz_hlth_family*G1783,0)</f>
        <v/>
      </c>
      <c r="AJ1783" s="14">
        <f>F1783*AI1783*in_hlth_family_ticket*in_hlth_family_comm*in_ins_partner_share+F1783*in_hlth_family_ticket*in_hlth_family_renew_comm*in_ins_partner_share*(in_hlth_family_renew^1*SUMIFS(AI1777:AI1786,B1777:B1786,B1783-12)+in_hlth_family_renew^2*SUMIFS(AI1777:AI1786,B1777:B1786,B1783-24)+in_hlth_family_renew^3*SUMIFS(AI1777:AI1786,B1777:B1786,B1783-36)+in_hlth_family_renew^4*SUMIFS(AI1777:AI1786,B1777:B1786,B1783-48))</f>
        <v/>
      </c>
      <c r="AK1783" s="40">
        <f>AK1782*(1-IF(B1782&gt;=in_marketplace_from,d_hz_life_term*G1782,0))</f>
        <v/>
      </c>
      <c r="AL1783" s="46">
        <f>AK1783*IF(B1783&gt;=in_marketplace_from,d_hz_life_term*G1783,0)</f>
        <v/>
      </c>
      <c r="AM1783" s="14">
        <f>F1783*AL1783*in_life_term_ticket*in_life_term_comm*in_ins_partner_share+F1783*in_life_term_ticket*in_life_term_renew_comm*in_ins_partner_share*(in_life_term_renew^1*SUMIFS(AL1777:AL1786,B1777:B1786,B1783-12)+in_life_term_renew^2*SUMIFS(AL1777:AL1786,B1777:B1786,B1783-24)+in_life_term_renew^3*SUMIFS(AL1777:AL1786,B1777:B1786,B1783-36)+in_life_term_renew^4*SUMIFS(AL1777:AL1786,B1777:B1786,B1783-48))</f>
        <v/>
      </c>
      <c r="AN1783" s="40">
        <f>AN1782*(1-IF(B1782&gt;=in_marketplace_from,d_hz_accident*G1782,0))</f>
        <v/>
      </c>
      <c r="AO1783" s="46">
        <f>AN1783*IF(B1783&gt;=in_marketplace_from,d_hz_accident*G1783,0)</f>
        <v/>
      </c>
      <c r="AP1783" s="14">
        <f>F1783*AO1783*in_accident_ticket*in_accident_comm*in_ins_partner_share+F1783*in_accident_ticket*in_accident_renew_comm*in_ins_partner_share*(in_accident_renew^1*SUMIFS(AO1777:AO1786,B1777:B1786,B1783-12)+in_accident_renew^2*SUMIFS(AO1777:AO1786,B1777:B1786,B1783-24)+in_accident_renew^3*SUMIFS(AO1777:AO1786,B1777:B1786,B1783-36)+in_accident_renew^4*SUMIFS(AO1777:AO1786,B1777:B1786,B1783-48))</f>
        <v/>
      </c>
      <c r="AQ1783" s="40">
        <f>AQ1782*(1-IF(B1782&gt;=in_marketplace_from,d_hz_two_wheeler*G1782,0))</f>
        <v/>
      </c>
      <c r="AR1783" s="46">
        <f>AQ1783*IF(B1783&gt;=in_marketplace_from,d_hz_two_wheeler*G1783,0)</f>
        <v/>
      </c>
      <c r="AS1783" s="14">
        <f>F1783*AR1783*in_two_wheeler_ticket*in_two_wheeler_comm*in_ins_partner_share+F1783*in_two_wheeler_ticket*in_two_wheeler_comm*in_ins_partner_share*(in_two_wheeler_renew^1*SUMIFS(AR1777:AR1786,B1777:B1786,B1783-12)+in_two_wheeler_renew^2*SUMIFS(AR1777:AR1786,B1777:B1786,B1783-24)+in_two_wheeler_renew^3*SUMIFS(AR1777:AR1786,B1777:B1786,B1783-36)+in_two_wheeler_renew^4*SUMIFS(AR1777:AR1786,B1777:B1786,B1783-48))</f>
        <v/>
      </c>
      <c r="AT1783" s="40">
        <f>AT1782*(1-IF(B1782&gt;=in_marketplace_from,d_hz_device*G1782,0))</f>
        <v/>
      </c>
      <c r="AU1783" s="14">
        <f>F1783*AT1783*IF(B1783&gt;=in_marketplace_from,d_hz_device*G1783,0)*in_device_ticket*in_device_comm*in_ins_partner_share</f>
        <v/>
      </c>
      <c r="AV1783" s="40">
        <f>AV1782*(1-IF(B1782&gt;=in_marketplace_from,d_hz_shop*G1782,0))</f>
        <v/>
      </c>
      <c r="AW1783" s="46">
        <f>AV1783*IF(B1783&gt;=in_marketplace_from,d_hz_shop*G1783,0)</f>
        <v/>
      </c>
      <c r="AX1783" s="14">
        <f>F1783*AW1783*in_shop_ticket*in_shop_comm*in_ins_partner_share+F1783*in_shop_ticket*in_shop_renew_comm*in_ins_partner_share*(in_shop_renew^1*SUMIFS(AW1777:AW1786,B1777:B1786,B1783-12)+in_shop_renew^2*SUMIFS(AW1777:AW1786,B1777:B1786,B1783-24)+in_shop_renew^3*SUMIFS(AW1777:AW1786,B1777:B1786,B1783-36)+in_shop_renew^4*SUMIFS(AW1777:AW1786,B1777:B1786,B1783-48))</f>
        <v/>
      </c>
      <c r="AY1783" s="40">
        <f>AY1782*(1-IF(B1782&gt;=in_marketplace_from,d_hz_sip*G1782,0))</f>
        <v/>
      </c>
      <c r="AZ1783" s="40">
        <f>AZ1782*d_rho_sip+AY1783*IF(B1783&gt;=in_marketplace_from,d_hz_sip*G1783,0)</f>
        <v/>
      </c>
      <c r="BA1783" s="40">
        <f>d_rho_sip*(BA1782+AZ1782)</f>
        <v/>
      </c>
      <c r="BB1783" s="14">
        <f>F1783*in_sip_ticket*(BA1783+0.5*AZ1783)*in_sip_comm/12</f>
        <v/>
      </c>
      <c r="BC1783" s="40">
        <f>BC1782*(1-IF(B1782&gt;=in_marketplace_from,d_hz_choti*G1782,0))</f>
        <v/>
      </c>
      <c r="BD1783" s="46">
        <f>BC1783*IF(B1783&gt;=in_marketplace_from,d_hz_choti*G1783,0)</f>
        <v/>
      </c>
      <c r="BE1783" s="14">
        <f>F1783*SUMIFS(BD1777:BD1786,B1777:B1786,B1783-in_choti_months)*in_choti_renew*in_choti_ticket</f>
        <v/>
      </c>
      <c r="BF1783" s="40">
        <f>BF1782*(1-IF(B1782&gt;=in_marketplace_from,d_hz_nps*G1782,0))</f>
        <v/>
      </c>
      <c r="BG1783" s="14">
        <f>F1783*BF1783*IF(B1783&gt;=in_marketplace_from,d_hz_nps*G1783,0)*in_nps_ticket*in_nps_comm</f>
        <v/>
      </c>
      <c r="BH1783" s="40">
        <f>BH1782*(1-IF(B1782&gt;=in_marketplace_from,d_hz_gold*G1782,0))</f>
        <v/>
      </c>
      <c r="BI1783" s="40">
        <f>BI1782*d_rho_gold+BH1783*IF(B1783&gt;=in_marketplace_from,d_hz_gold*G1783,0)</f>
        <v/>
      </c>
      <c r="BJ1783" s="14">
        <f>F1783*BI1783*in_gold_ticket*in_gold_comm</f>
        <v/>
      </c>
      <c r="BK1783" s="40">
        <f>BK1782*(1-IF(B1782&gt;=in_marketplace_from,d_hz_fd*G1782,0))</f>
        <v/>
      </c>
      <c r="BL1783" s="14">
        <f>F1783*BK1783*IF(B1783&gt;=in_marketplace_from,d_hz_fd*G1783,0)*in_fd_ticket*in_fd_comm</f>
        <v/>
      </c>
      <c r="BM1783" s="40">
        <f>BM1782*(1-IF(B1782&gt;=in_marketplace_from,d_hz_recharge*G1782,0))</f>
        <v/>
      </c>
      <c r="BN1783" s="40">
        <f>BN1782*d_rho_recharge+BM1783*IF(B1783&gt;=in_marketplace_from,d_hz_recharge*G1783,0)</f>
        <v/>
      </c>
      <c r="BO1783" s="14">
        <f>F1783*BN1783*in_recharge_ticket*in_recharge_comm/12</f>
        <v/>
      </c>
      <c r="BP1783" s="40">
        <f>BP1782*(1-IF(B1782&gt;=in_marketplace_from,d_hz_bills*G1782,0))</f>
        <v/>
      </c>
      <c r="BQ1783" s="40">
        <f>BQ1782*d_rho_bills+BP1783*IF(B1783&gt;=in_marketplace_from,d_hz_bills*G1783,0)</f>
        <v/>
      </c>
      <c r="BR1783" s="14">
        <f>F1783*BQ1783*in_bills_ticket*in_bills_comm/12</f>
        <v/>
      </c>
      <c r="BS1783" s="40">
        <f>BS1782*(1-IF(B1782&gt;=in_marketplace_from,d_hz_loan_gold*G1782,0))</f>
        <v/>
      </c>
      <c r="BT1783" s="14">
        <f>F1783*BS1783*IF(B1783&gt;=in_marketplace_from,d_hz_loan_gold*G1783,0)*in_loan_gold_ticket*in_loan_gold_comm</f>
        <v/>
      </c>
      <c r="BU1783" s="40">
        <f>BU1782*(1-IF(B1782&gt;=in_marketplace_from,d_hz_loan_cd*G1782,0))</f>
        <v/>
      </c>
      <c r="BV1783" s="14">
        <f>F1783*BU1783*IF(B1783&gt;=in_marketplace_from,d_hz_loan_cd*G1783,0)*in_loan_cd_ticket*in_loan_cd_comm</f>
        <v/>
      </c>
      <c r="BW1783" s="40">
        <f>BW1782*(1-IF(B1782&gt;=in_marketplace_from,d_hz_loan_vehicle*G1782,0))</f>
        <v/>
      </c>
      <c r="BX1783" s="14">
        <f>F1783*BW1783*IF(B1783&gt;=in_marketplace_from,d_hz_loan_vehicle*G1783,0)*in_loan_vehicle_ticket*in_loan_vehicle_comm</f>
        <v/>
      </c>
      <c r="BY1783" s="40">
        <f>BY1782*(1-IF(B1782&gt;=in_marketplace_from,d_hz_loan_home*G1782,0)*BZ1782)</f>
        <v/>
      </c>
      <c r="BZ1783" s="11">
        <f>MIN(in_approval_cap,in_loan_home_approval*INDEX('Age profile'!$O$2:$O$61,B1783)*(1+in_approval_growth)^(D1783-1))</f>
        <v/>
      </c>
      <c r="CA1783" s="14">
        <f>F1783*BY1783*IF(B1783&gt;=in_marketplace_from,d_hz_loan_home*G1783,0)*BZ1783*in_loan_home_ticket*in_loan_home_comm</f>
        <v/>
      </c>
      <c r="CB1783" s="40">
        <f>CB1782*(1-IF(B1782&gt;=in_marketplace_from,d_hz_loan_lap*G1782,0)*CC1782)</f>
        <v/>
      </c>
      <c r="CC1783" s="11">
        <f>MIN(in_approval_cap,in_loan_lap_approval*INDEX('Age profile'!$O$2:$O$61,B1783)*(1+in_approval_growth)^(D1783-1))</f>
        <v/>
      </c>
      <c r="CD1783" s="14">
        <f>F1783*CB1783*IF(B1783&gt;=in_marketplace_from,d_hz_loan_lap*G1783,0)*CC1783*in_loan_lap_ticket*in_loan_lap_comm</f>
        <v/>
      </c>
      <c r="CE1783" s="14">
        <f>AA1783+AB1783+AC1783+AD1783+AG1783+AJ1783+AM1783+AP1783+AS1783+AU1783+AX1783+BB1783+BE1783+BG1783+BJ1783+BL1783+BO1783+BR1783+BT1783+BV1783+BX1783+CA1783+CD1783</f>
        <v/>
      </c>
    </row>
    <row r="1784">
      <c r="A1784" s="39" t="n">
        <v>51</v>
      </c>
      <c r="B1784" s="39" t="n">
        <v>8</v>
      </c>
      <c r="C1784" s="39">
        <f>A1784+B1784-1</f>
        <v/>
      </c>
      <c r="D1784" s="39">
        <f>INT((C1784-1)/12)+1</f>
        <v/>
      </c>
      <c r="E1784" s="44">
        <f>INDEX(Monthly!$B$2:$B$61,A1784)</f>
        <v/>
      </c>
      <c r="F1784" s="44">
        <f>E1784*INDEX('Age profile'!$B$2:$B$61,B1784)</f>
        <v/>
      </c>
      <c r="G1784" s="45">
        <f>MIN(in_takeup_cap,INDEX('Age profile'!$N$2:$N$61,B1784)*(1+in_takeup_growth)^(D1784-1))</f>
        <v/>
      </c>
      <c r="H1784" s="11">
        <f>MIN(in_approval_cap,in_approved_first*INDEX('Age profile'!$O$2:$O$61,B1784)*(1+in_approval_growth)^(D1784-1))</f>
        <v/>
      </c>
      <c r="I1784" s="45">
        <f>G1784*MIN(in_takeup_cap,INDEX('Age profile'!$O$2:$O$61,B1784)*(1+in_approval_growth)^(D1784-1))</f>
        <v/>
      </c>
      <c r="J1784" s="40">
        <f>(J1783-L1783)*F1784/F1783</f>
        <v/>
      </c>
      <c r="K1784" s="40">
        <f>(K1783-M1783)*F1784/F1783+SUMIFS(O1777:O1783,B1777:B1783,B1784-1-d_T)*F1784</f>
        <v/>
      </c>
      <c r="L1784" s="40">
        <f>IF(B1784&gt;=in_marketplace_from,J1784*d_hz*G1784*in_eligible*H1784,0)</f>
        <v/>
      </c>
      <c r="M1784" s="40">
        <f>IF(B1784&gt;=in_marketplace_from,K1784*d_hz*G1784*in_eligible*in_approved_repeat,0)</f>
        <v/>
      </c>
      <c r="N1784" s="40">
        <f>L1784+M1784</f>
        <v/>
      </c>
      <c r="O1784" s="46">
        <f>N1784/F1784</f>
        <v/>
      </c>
      <c r="P1784" s="40">
        <f>F1784-J1784-K1784</f>
        <v/>
      </c>
      <c r="Q1784" s="40">
        <f>IF(B1784&gt;=in_marketplace_from,(J1784+K1784)*d_hz*G1784,0)</f>
        <v/>
      </c>
      <c r="R1784" s="40">
        <f>SUMIFS(N1777:N1786,B1777:B1786,"&gt;="&amp;(B1784-d_T),B1777:B1786,"&lt;="&amp;(B1784-1))</f>
        <v/>
      </c>
      <c r="S1784" s="46">
        <f>(1-d_u)*S1783+IF(d_T&gt;in_topup_lag,SUMIFS(O1777:O1786,B1777:B1786,B1784-in_topup_lag)-d_udrop*SUMIFS(O1777:O1786,B1777:B1786,B1784-d_T),0)</f>
        <v/>
      </c>
      <c r="T1784" s="40">
        <f>F1784*d_u*S1784</f>
        <v/>
      </c>
      <c r="U1784" s="9">
        <f>L1784*in_ticket+M1784*d_rep_ticket</f>
        <v/>
      </c>
      <c r="V1784" s="9">
        <f>U1784+T1784*d_topup_amt</f>
        <v/>
      </c>
      <c r="W1784" s="40">
        <f>N1784+T1784*d_topup_ratio</f>
        <v/>
      </c>
      <c r="X1784" s="40">
        <f>SUMIFS(W1777:W1786,B1777:B1786,B1784-in_dpd_lag)*d_cured</f>
        <v/>
      </c>
      <c r="Y1784" s="40">
        <f>SUMIFS(W1777:W1786,B1777:B1786,B1784-in_rec_lag)*d_recd</f>
        <v/>
      </c>
      <c r="Z1784" s="40">
        <f>IF(AND(B1784&gt;=in_marketplace_from,B1784&lt;in_marketplace_from+in_card_months),in_card_share/in_card_months*F1784*I1784,IF(AND(B1784&gt;=in_marketplace_from+in_card_months,B1784&lt;in_marketplace_from+2*in_card_months),in_card_share*d_card_rem/in_card_months*F1784*MIN(in_takeup_cap,(1+in_takeup_growth)^(D1784-1))*MIN(in_takeup_cap,(1+in_approval_growth)^(D1784-1)),0))</f>
        <v/>
      </c>
      <c r="AA1784" s="14">
        <f>V1784*in_fee*(1-in_taken_back)</f>
        <v/>
      </c>
      <c r="AB1784" s="14">
        <f>SUMIFS(W1777:W1786,B1777:B1786,B1784-in_dpd_lag)*d_dpd</f>
        <v/>
      </c>
      <c r="AC1784" s="14">
        <f>SUMIFS(W1777:W1786,B1777:B1786,B1784-in_rec_lag)*d_rec</f>
        <v/>
      </c>
      <c r="AD1784" s="14">
        <f>Z1784*in_card_fee</f>
        <v/>
      </c>
      <c r="AE1784" s="40">
        <f>AE1783*(1-IF(B1783&gt;=in_marketplace_from,d_hz_hlth_small*G1783,0))</f>
        <v/>
      </c>
      <c r="AF1784" s="46">
        <f>AE1784*IF(B1784&gt;=in_marketplace_from,d_hz_hlth_small*G1784,0)</f>
        <v/>
      </c>
      <c r="AG1784" s="14">
        <f>F1784*AF1784*in_hlth_small_ticket*in_hlth_small_comm*in_ins_partner_share+F1784*in_hlth_small_ticket*in_hlth_small_renew_comm*in_ins_partner_share*(in_hlth_small_renew^1*SUMIFS(AF1777:AF1786,B1777:B1786,B1784-12)+in_hlth_small_renew^2*SUMIFS(AF1777:AF1786,B1777:B1786,B1784-24)+in_hlth_small_renew^3*SUMIFS(AF1777:AF1786,B1777:B1786,B1784-36)+in_hlth_small_renew^4*SUMIFS(AF1777:AF1786,B1777:B1786,B1784-48))</f>
        <v/>
      </c>
      <c r="AH1784" s="40">
        <f>AH1783*(1-IF(B1783&gt;=in_marketplace_from,d_hz_hlth_family*G1783,0))</f>
        <v/>
      </c>
      <c r="AI1784" s="46">
        <f>AH1784*IF(B1784&gt;=in_marketplace_from,d_hz_hlth_family*G1784,0)</f>
        <v/>
      </c>
      <c r="AJ1784" s="14">
        <f>F1784*AI1784*in_hlth_family_ticket*in_hlth_family_comm*in_ins_partner_share+F1784*in_hlth_family_ticket*in_hlth_family_renew_comm*in_ins_partner_share*(in_hlth_family_renew^1*SUMIFS(AI1777:AI1786,B1777:B1786,B1784-12)+in_hlth_family_renew^2*SUMIFS(AI1777:AI1786,B1777:B1786,B1784-24)+in_hlth_family_renew^3*SUMIFS(AI1777:AI1786,B1777:B1786,B1784-36)+in_hlth_family_renew^4*SUMIFS(AI1777:AI1786,B1777:B1786,B1784-48))</f>
        <v/>
      </c>
      <c r="AK1784" s="40">
        <f>AK1783*(1-IF(B1783&gt;=in_marketplace_from,d_hz_life_term*G1783,0))</f>
        <v/>
      </c>
      <c r="AL1784" s="46">
        <f>AK1784*IF(B1784&gt;=in_marketplace_from,d_hz_life_term*G1784,0)</f>
        <v/>
      </c>
      <c r="AM1784" s="14">
        <f>F1784*AL1784*in_life_term_ticket*in_life_term_comm*in_ins_partner_share+F1784*in_life_term_ticket*in_life_term_renew_comm*in_ins_partner_share*(in_life_term_renew^1*SUMIFS(AL1777:AL1786,B1777:B1786,B1784-12)+in_life_term_renew^2*SUMIFS(AL1777:AL1786,B1777:B1786,B1784-24)+in_life_term_renew^3*SUMIFS(AL1777:AL1786,B1777:B1786,B1784-36)+in_life_term_renew^4*SUMIFS(AL1777:AL1786,B1777:B1786,B1784-48))</f>
        <v/>
      </c>
      <c r="AN1784" s="40">
        <f>AN1783*(1-IF(B1783&gt;=in_marketplace_from,d_hz_accident*G1783,0))</f>
        <v/>
      </c>
      <c r="AO1784" s="46">
        <f>AN1784*IF(B1784&gt;=in_marketplace_from,d_hz_accident*G1784,0)</f>
        <v/>
      </c>
      <c r="AP1784" s="14">
        <f>F1784*AO1784*in_accident_ticket*in_accident_comm*in_ins_partner_share+F1784*in_accident_ticket*in_accident_renew_comm*in_ins_partner_share*(in_accident_renew^1*SUMIFS(AO1777:AO1786,B1777:B1786,B1784-12)+in_accident_renew^2*SUMIFS(AO1777:AO1786,B1777:B1786,B1784-24)+in_accident_renew^3*SUMIFS(AO1777:AO1786,B1777:B1786,B1784-36)+in_accident_renew^4*SUMIFS(AO1777:AO1786,B1777:B1786,B1784-48))</f>
        <v/>
      </c>
      <c r="AQ1784" s="40">
        <f>AQ1783*(1-IF(B1783&gt;=in_marketplace_from,d_hz_two_wheeler*G1783,0))</f>
        <v/>
      </c>
      <c r="AR1784" s="46">
        <f>AQ1784*IF(B1784&gt;=in_marketplace_from,d_hz_two_wheeler*G1784,0)</f>
        <v/>
      </c>
      <c r="AS1784" s="14">
        <f>F1784*AR1784*in_two_wheeler_ticket*in_two_wheeler_comm*in_ins_partner_share+F1784*in_two_wheeler_ticket*in_two_wheeler_comm*in_ins_partner_share*(in_two_wheeler_renew^1*SUMIFS(AR1777:AR1786,B1777:B1786,B1784-12)+in_two_wheeler_renew^2*SUMIFS(AR1777:AR1786,B1777:B1786,B1784-24)+in_two_wheeler_renew^3*SUMIFS(AR1777:AR1786,B1777:B1786,B1784-36)+in_two_wheeler_renew^4*SUMIFS(AR1777:AR1786,B1777:B1786,B1784-48))</f>
        <v/>
      </c>
      <c r="AT1784" s="40">
        <f>AT1783*(1-IF(B1783&gt;=in_marketplace_from,d_hz_device*G1783,0))</f>
        <v/>
      </c>
      <c r="AU1784" s="14">
        <f>F1784*AT1784*IF(B1784&gt;=in_marketplace_from,d_hz_device*G1784,0)*in_device_ticket*in_device_comm*in_ins_partner_share</f>
        <v/>
      </c>
      <c r="AV1784" s="40">
        <f>AV1783*(1-IF(B1783&gt;=in_marketplace_from,d_hz_shop*G1783,0))</f>
        <v/>
      </c>
      <c r="AW1784" s="46">
        <f>AV1784*IF(B1784&gt;=in_marketplace_from,d_hz_shop*G1784,0)</f>
        <v/>
      </c>
      <c r="AX1784" s="14">
        <f>F1784*AW1784*in_shop_ticket*in_shop_comm*in_ins_partner_share+F1784*in_shop_ticket*in_shop_renew_comm*in_ins_partner_share*(in_shop_renew^1*SUMIFS(AW1777:AW1786,B1777:B1786,B1784-12)+in_shop_renew^2*SUMIFS(AW1777:AW1786,B1777:B1786,B1784-24)+in_shop_renew^3*SUMIFS(AW1777:AW1786,B1777:B1786,B1784-36)+in_shop_renew^4*SUMIFS(AW1777:AW1786,B1777:B1786,B1784-48))</f>
        <v/>
      </c>
      <c r="AY1784" s="40">
        <f>AY1783*(1-IF(B1783&gt;=in_marketplace_from,d_hz_sip*G1783,0))</f>
        <v/>
      </c>
      <c r="AZ1784" s="40">
        <f>AZ1783*d_rho_sip+AY1784*IF(B1784&gt;=in_marketplace_from,d_hz_sip*G1784,0)</f>
        <v/>
      </c>
      <c r="BA1784" s="40">
        <f>d_rho_sip*(BA1783+AZ1783)</f>
        <v/>
      </c>
      <c r="BB1784" s="14">
        <f>F1784*in_sip_ticket*(BA1784+0.5*AZ1784)*in_sip_comm/12</f>
        <v/>
      </c>
      <c r="BC1784" s="40">
        <f>BC1783*(1-IF(B1783&gt;=in_marketplace_from,d_hz_choti*G1783,0))</f>
        <v/>
      </c>
      <c r="BD1784" s="46">
        <f>BC1784*IF(B1784&gt;=in_marketplace_from,d_hz_choti*G1784,0)</f>
        <v/>
      </c>
      <c r="BE1784" s="14">
        <f>F1784*SUMIFS(BD1777:BD1786,B1777:B1786,B1784-in_choti_months)*in_choti_renew*in_choti_ticket</f>
        <v/>
      </c>
      <c r="BF1784" s="40">
        <f>BF1783*(1-IF(B1783&gt;=in_marketplace_from,d_hz_nps*G1783,0))</f>
        <v/>
      </c>
      <c r="BG1784" s="14">
        <f>F1784*BF1784*IF(B1784&gt;=in_marketplace_from,d_hz_nps*G1784,0)*in_nps_ticket*in_nps_comm</f>
        <v/>
      </c>
      <c r="BH1784" s="40">
        <f>BH1783*(1-IF(B1783&gt;=in_marketplace_from,d_hz_gold*G1783,0))</f>
        <v/>
      </c>
      <c r="BI1784" s="40">
        <f>BI1783*d_rho_gold+BH1784*IF(B1784&gt;=in_marketplace_from,d_hz_gold*G1784,0)</f>
        <v/>
      </c>
      <c r="BJ1784" s="14">
        <f>F1784*BI1784*in_gold_ticket*in_gold_comm</f>
        <v/>
      </c>
      <c r="BK1784" s="40">
        <f>BK1783*(1-IF(B1783&gt;=in_marketplace_from,d_hz_fd*G1783,0))</f>
        <v/>
      </c>
      <c r="BL1784" s="14">
        <f>F1784*BK1784*IF(B1784&gt;=in_marketplace_from,d_hz_fd*G1784,0)*in_fd_ticket*in_fd_comm</f>
        <v/>
      </c>
      <c r="BM1784" s="40">
        <f>BM1783*(1-IF(B1783&gt;=in_marketplace_from,d_hz_recharge*G1783,0))</f>
        <v/>
      </c>
      <c r="BN1784" s="40">
        <f>BN1783*d_rho_recharge+BM1784*IF(B1784&gt;=in_marketplace_from,d_hz_recharge*G1784,0)</f>
        <v/>
      </c>
      <c r="BO1784" s="14">
        <f>F1784*BN1784*in_recharge_ticket*in_recharge_comm/12</f>
        <v/>
      </c>
      <c r="BP1784" s="40">
        <f>BP1783*(1-IF(B1783&gt;=in_marketplace_from,d_hz_bills*G1783,0))</f>
        <v/>
      </c>
      <c r="BQ1784" s="40">
        <f>BQ1783*d_rho_bills+BP1784*IF(B1784&gt;=in_marketplace_from,d_hz_bills*G1784,0)</f>
        <v/>
      </c>
      <c r="BR1784" s="14">
        <f>F1784*BQ1784*in_bills_ticket*in_bills_comm/12</f>
        <v/>
      </c>
      <c r="BS1784" s="40">
        <f>BS1783*(1-IF(B1783&gt;=in_marketplace_from,d_hz_loan_gold*G1783,0))</f>
        <v/>
      </c>
      <c r="BT1784" s="14">
        <f>F1784*BS1784*IF(B1784&gt;=in_marketplace_from,d_hz_loan_gold*G1784,0)*in_loan_gold_ticket*in_loan_gold_comm</f>
        <v/>
      </c>
      <c r="BU1784" s="40">
        <f>BU1783*(1-IF(B1783&gt;=in_marketplace_from,d_hz_loan_cd*G1783,0))</f>
        <v/>
      </c>
      <c r="BV1784" s="14">
        <f>F1784*BU1784*IF(B1784&gt;=in_marketplace_from,d_hz_loan_cd*G1784,0)*in_loan_cd_ticket*in_loan_cd_comm</f>
        <v/>
      </c>
      <c r="BW1784" s="40">
        <f>BW1783*(1-IF(B1783&gt;=in_marketplace_from,d_hz_loan_vehicle*G1783,0))</f>
        <v/>
      </c>
      <c r="BX1784" s="14">
        <f>F1784*BW1784*IF(B1784&gt;=in_marketplace_from,d_hz_loan_vehicle*G1784,0)*in_loan_vehicle_ticket*in_loan_vehicle_comm</f>
        <v/>
      </c>
      <c r="BY1784" s="40">
        <f>BY1783*(1-IF(B1783&gt;=in_marketplace_from,d_hz_loan_home*G1783,0)*BZ1783)</f>
        <v/>
      </c>
      <c r="BZ1784" s="11">
        <f>MIN(in_approval_cap,in_loan_home_approval*INDEX('Age profile'!$O$2:$O$61,B1784)*(1+in_approval_growth)^(D1784-1))</f>
        <v/>
      </c>
      <c r="CA1784" s="14">
        <f>F1784*BY1784*IF(B1784&gt;=in_marketplace_from,d_hz_loan_home*G1784,0)*BZ1784*in_loan_home_ticket*in_loan_home_comm</f>
        <v/>
      </c>
      <c r="CB1784" s="40">
        <f>CB1783*(1-IF(B1783&gt;=in_marketplace_from,d_hz_loan_lap*G1783,0)*CC1783)</f>
        <v/>
      </c>
      <c r="CC1784" s="11">
        <f>MIN(in_approval_cap,in_loan_lap_approval*INDEX('Age profile'!$O$2:$O$61,B1784)*(1+in_approval_growth)^(D1784-1))</f>
        <v/>
      </c>
      <c r="CD1784" s="14">
        <f>F1784*CB1784*IF(B1784&gt;=in_marketplace_from,d_hz_loan_lap*G1784,0)*CC1784*in_loan_lap_ticket*in_loan_lap_comm</f>
        <v/>
      </c>
      <c r="CE1784" s="14">
        <f>AA1784+AB1784+AC1784+AD1784+AG1784+AJ1784+AM1784+AP1784+AS1784+AU1784+AX1784+BB1784+BE1784+BG1784+BJ1784+BL1784+BO1784+BR1784+BT1784+BV1784+BX1784+CA1784+CD1784</f>
        <v/>
      </c>
    </row>
    <row r="1785">
      <c r="A1785" s="39" t="n">
        <v>51</v>
      </c>
      <c r="B1785" s="39" t="n">
        <v>9</v>
      </c>
      <c r="C1785" s="39">
        <f>A1785+B1785-1</f>
        <v/>
      </c>
      <c r="D1785" s="39">
        <f>INT((C1785-1)/12)+1</f>
        <v/>
      </c>
      <c r="E1785" s="44">
        <f>INDEX(Monthly!$B$2:$B$61,A1785)</f>
        <v/>
      </c>
      <c r="F1785" s="44">
        <f>E1785*INDEX('Age profile'!$B$2:$B$61,B1785)</f>
        <v/>
      </c>
      <c r="G1785" s="45">
        <f>MIN(in_takeup_cap,INDEX('Age profile'!$N$2:$N$61,B1785)*(1+in_takeup_growth)^(D1785-1))</f>
        <v/>
      </c>
      <c r="H1785" s="11">
        <f>MIN(in_approval_cap,in_approved_first*INDEX('Age profile'!$O$2:$O$61,B1785)*(1+in_approval_growth)^(D1785-1))</f>
        <v/>
      </c>
      <c r="I1785" s="45">
        <f>G1785*MIN(in_takeup_cap,INDEX('Age profile'!$O$2:$O$61,B1785)*(1+in_approval_growth)^(D1785-1))</f>
        <v/>
      </c>
      <c r="J1785" s="40">
        <f>(J1784-L1784)*F1785/F1784</f>
        <v/>
      </c>
      <c r="K1785" s="40">
        <f>(K1784-M1784)*F1785/F1784+SUMIFS(O1777:O1784,B1777:B1784,B1785-1-d_T)*F1785</f>
        <v/>
      </c>
      <c r="L1785" s="40">
        <f>IF(B1785&gt;=in_marketplace_from,J1785*d_hz*G1785*in_eligible*H1785,0)</f>
        <v/>
      </c>
      <c r="M1785" s="40">
        <f>IF(B1785&gt;=in_marketplace_from,K1785*d_hz*G1785*in_eligible*in_approved_repeat,0)</f>
        <v/>
      </c>
      <c r="N1785" s="40">
        <f>L1785+M1785</f>
        <v/>
      </c>
      <c r="O1785" s="46">
        <f>N1785/F1785</f>
        <v/>
      </c>
      <c r="P1785" s="40">
        <f>F1785-J1785-K1785</f>
        <v/>
      </c>
      <c r="Q1785" s="40">
        <f>IF(B1785&gt;=in_marketplace_from,(J1785+K1785)*d_hz*G1785,0)</f>
        <v/>
      </c>
      <c r="R1785" s="40">
        <f>SUMIFS(N1777:N1786,B1777:B1786,"&gt;="&amp;(B1785-d_T),B1777:B1786,"&lt;="&amp;(B1785-1))</f>
        <v/>
      </c>
      <c r="S1785" s="46">
        <f>(1-d_u)*S1784+IF(d_T&gt;in_topup_lag,SUMIFS(O1777:O1786,B1777:B1786,B1785-in_topup_lag)-d_udrop*SUMIFS(O1777:O1786,B1777:B1786,B1785-d_T),0)</f>
        <v/>
      </c>
      <c r="T1785" s="40">
        <f>F1785*d_u*S1785</f>
        <v/>
      </c>
      <c r="U1785" s="9">
        <f>L1785*in_ticket+M1785*d_rep_ticket</f>
        <v/>
      </c>
      <c r="V1785" s="9">
        <f>U1785+T1785*d_topup_amt</f>
        <v/>
      </c>
      <c r="W1785" s="40">
        <f>N1785+T1785*d_topup_ratio</f>
        <v/>
      </c>
      <c r="X1785" s="40">
        <f>SUMIFS(W1777:W1786,B1777:B1786,B1785-in_dpd_lag)*d_cured</f>
        <v/>
      </c>
      <c r="Y1785" s="40">
        <f>SUMIFS(W1777:W1786,B1777:B1786,B1785-in_rec_lag)*d_recd</f>
        <v/>
      </c>
      <c r="Z1785" s="40">
        <f>IF(AND(B1785&gt;=in_marketplace_from,B1785&lt;in_marketplace_from+in_card_months),in_card_share/in_card_months*F1785*I1785,IF(AND(B1785&gt;=in_marketplace_from+in_card_months,B1785&lt;in_marketplace_from+2*in_card_months),in_card_share*d_card_rem/in_card_months*F1785*MIN(in_takeup_cap,(1+in_takeup_growth)^(D1785-1))*MIN(in_takeup_cap,(1+in_approval_growth)^(D1785-1)),0))</f>
        <v/>
      </c>
      <c r="AA1785" s="14">
        <f>V1785*in_fee*(1-in_taken_back)</f>
        <v/>
      </c>
      <c r="AB1785" s="14">
        <f>SUMIFS(W1777:W1786,B1777:B1786,B1785-in_dpd_lag)*d_dpd</f>
        <v/>
      </c>
      <c r="AC1785" s="14">
        <f>SUMIFS(W1777:W1786,B1777:B1786,B1785-in_rec_lag)*d_rec</f>
        <v/>
      </c>
      <c r="AD1785" s="14">
        <f>Z1785*in_card_fee</f>
        <v/>
      </c>
      <c r="AE1785" s="40">
        <f>AE1784*(1-IF(B1784&gt;=in_marketplace_from,d_hz_hlth_small*G1784,0))</f>
        <v/>
      </c>
      <c r="AF1785" s="46">
        <f>AE1785*IF(B1785&gt;=in_marketplace_from,d_hz_hlth_small*G1785,0)</f>
        <v/>
      </c>
      <c r="AG1785" s="14">
        <f>F1785*AF1785*in_hlth_small_ticket*in_hlth_small_comm*in_ins_partner_share+F1785*in_hlth_small_ticket*in_hlth_small_renew_comm*in_ins_partner_share*(in_hlth_small_renew^1*SUMIFS(AF1777:AF1786,B1777:B1786,B1785-12)+in_hlth_small_renew^2*SUMIFS(AF1777:AF1786,B1777:B1786,B1785-24)+in_hlth_small_renew^3*SUMIFS(AF1777:AF1786,B1777:B1786,B1785-36)+in_hlth_small_renew^4*SUMIFS(AF1777:AF1786,B1777:B1786,B1785-48))</f>
        <v/>
      </c>
      <c r="AH1785" s="40">
        <f>AH1784*(1-IF(B1784&gt;=in_marketplace_from,d_hz_hlth_family*G1784,0))</f>
        <v/>
      </c>
      <c r="AI1785" s="46">
        <f>AH1785*IF(B1785&gt;=in_marketplace_from,d_hz_hlth_family*G1785,0)</f>
        <v/>
      </c>
      <c r="AJ1785" s="14">
        <f>F1785*AI1785*in_hlth_family_ticket*in_hlth_family_comm*in_ins_partner_share+F1785*in_hlth_family_ticket*in_hlth_family_renew_comm*in_ins_partner_share*(in_hlth_family_renew^1*SUMIFS(AI1777:AI1786,B1777:B1786,B1785-12)+in_hlth_family_renew^2*SUMIFS(AI1777:AI1786,B1777:B1786,B1785-24)+in_hlth_family_renew^3*SUMIFS(AI1777:AI1786,B1777:B1786,B1785-36)+in_hlth_family_renew^4*SUMIFS(AI1777:AI1786,B1777:B1786,B1785-48))</f>
        <v/>
      </c>
      <c r="AK1785" s="40">
        <f>AK1784*(1-IF(B1784&gt;=in_marketplace_from,d_hz_life_term*G1784,0))</f>
        <v/>
      </c>
      <c r="AL1785" s="46">
        <f>AK1785*IF(B1785&gt;=in_marketplace_from,d_hz_life_term*G1785,0)</f>
        <v/>
      </c>
      <c r="AM1785" s="14">
        <f>F1785*AL1785*in_life_term_ticket*in_life_term_comm*in_ins_partner_share+F1785*in_life_term_ticket*in_life_term_renew_comm*in_ins_partner_share*(in_life_term_renew^1*SUMIFS(AL1777:AL1786,B1777:B1786,B1785-12)+in_life_term_renew^2*SUMIFS(AL1777:AL1786,B1777:B1786,B1785-24)+in_life_term_renew^3*SUMIFS(AL1777:AL1786,B1777:B1786,B1785-36)+in_life_term_renew^4*SUMIFS(AL1777:AL1786,B1777:B1786,B1785-48))</f>
        <v/>
      </c>
      <c r="AN1785" s="40">
        <f>AN1784*(1-IF(B1784&gt;=in_marketplace_from,d_hz_accident*G1784,0))</f>
        <v/>
      </c>
      <c r="AO1785" s="46">
        <f>AN1785*IF(B1785&gt;=in_marketplace_from,d_hz_accident*G1785,0)</f>
        <v/>
      </c>
      <c r="AP1785" s="14">
        <f>F1785*AO1785*in_accident_ticket*in_accident_comm*in_ins_partner_share+F1785*in_accident_ticket*in_accident_renew_comm*in_ins_partner_share*(in_accident_renew^1*SUMIFS(AO1777:AO1786,B1777:B1786,B1785-12)+in_accident_renew^2*SUMIFS(AO1777:AO1786,B1777:B1786,B1785-24)+in_accident_renew^3*SUMIFS(AO1777:AO1786,B1777:B1786,B1785-36)+in_accident_renew^4*SUMIFS(AO1777:AO1786,B1777:B1786,B1785-48))</f>
        <v/>
      </c>
      <c r="AQ1785" s="40">
        <f>AQ1784*(1-IF(B1784&gt;=in_marketplace_from,d_hz_two_wheeler*G1784,0))</f>
        <v/>
      </c>
      <c r="AR1785" s="46">
        <f>AQ1785*IF(B1785&gt;=in_marketplace_from,d_hz_two_wheeler*G1785,0)</f>
        <v/>
      </c>
      <c r="AS1785" s="14">
        <f>F1785*AR1785*in_two_wheeler_ticket*in_two_wheeler_comm*in_ins_partner_share+F1785*in_two_wheeler_ticket*in_two_wheeler_comm*in_ins_partner_share*(in_two_wheeler_renew^1*SUMIFS(AR1777:AR1786,B1777:B1786,B1785-12)+in_two_wheeler_renew^2*SUMIFS(AR1777:AR1786,B1777:B1786,B1785-24)+in_two_wheeler_renew^3*SUMIFS(AR1777:AR1786,B1777:B1786,B1785-36)+in_two_wheeler_renew^4*SUMIFS(AR1777:AR1786,B1777:B1786,B1785-48))</f>
        <v/>
      </c>
      <c r="AT1785" s="40">
        <f>AT1784*(1-IF(B1784&gt;=in_marketplace_from,d_hz_device*G1784,0))</f>
        <v/>
      </c>
      <c r="AU1785" s="14">
        <f>F1785*AT1785*IF(B1785&gt;=in_marketplace_from,d_hz_device*G1785,0)*in_device_ticket*in_device_comm*in_ins_partner_share</f>
        <v/>
      </c>
      <c r="AV1785" s="40">
        <f>AV1784*(1-IF(B1784&gt;=in_marketplace_from,d_hz_shop*G1784,0))</f>
        <v/>
      </c>
      <c r="AW1785" s="46">
        <f>AV1785*IF(B1785&gt;=in_marketplace_from,d_hz_shop*G1785,0)</f>
        <v/>
      </c>
      <c r="AX1785" s="14">
        <f>F1785*AW1785*in_shop_ticket*in_shop_comm*in_ins_partner_share+F1785*in_shop_ticket*in_shop_renew_comm*in_ins_partner_share*(in_shop_renew^1*SUMIFS(AW1777:AW1786,B1777:B1786,B1785-12)+in_shop_renew^2*SUMIFS(AW1777:AW1786,B1777:B1786,B1785-24)+in_shop_renew^3*SUMIFS(AW1777:AW1786,B1777:B1786,B1785-36)+in_shop_renew^4*SUMIFS(AW1777:AW1786,B1777:B1786,B1785-48))</f>
        <v/>
      </c>
      <c r="AY1785" s="40">
        <f>AY1784*(1-IF(B1784&gt;=in_marketplace_from,d_hz_sip*G1784,0))</f>
        <v/>
      </c>
      <c r="AZ1785" s="40">
        <f>AZ1784*d_rho_sip+AY1785*IF(B1785&gt;=in_marketplace_from,d_hz_sip*G1785,0)</f>
        <v/>
      </c>
      <c r="BA1785" s="40">
        <f>d_rho_sip*(BA1784+AZ1784)</f>
        <v/>
      </c>
      <c r="BB1785" s="14">
        <f>F1785*in_sip_ticket*(BA1785+0.5*AZ1785)*in_sip_comm/12</f>
        <v/>
      </c>
      <c r="BC1785" s="40">
        <f>BC1784*(1-IF(B1784&gt;=in_marketplace_from,d_hz_choti*G1784,0))</f>
        <v/>
      </c>
      <c r="BD1785" s="46">
        <f>BC1785*IF(B1785&gt;=in_marketplace_from,d_hz_choti*G1785,0)</f>
        <v/>
      </c>
      <c r="BE1785" s="14">
        <f>F1785*SUMIFS(BD1777:BD1786,B1777:B1786,B1785-in_choti_months)*in_choti_renew*in_choti_ticket</f>
        <v/>
      </c>
      <c r="BF1785" s="40">
        <f>BF1784*(1-IF(B1784&gt;=in_marketplace_from,d_hz_nps*G1784,0))</f>
        <v/>
      </c>
      <c r="BG1785" s="14">
        <f>F1785*BF1785*IF(B1785&gt;=in_marketplace_from,d_hz_nps*G1785,0)*in_nps_ticket*in_nps_comm</f>
        <v/>
      </c>
      <c r="BH1785" s="40">
        <f>BH1784*(1-IF(B1784&gt;=in_marketplace_from,d_hz_gold*G1784,0))</f>
        <v/>
      </c>
      <c r="BI1785" s="40">
        <f>BI1784*d_rho_gold+BH1785*IF(B1785&gt;=in_marketplace_from,d_hz_gold*G1785,0)</f>
        <v/>
      </c>
      <c r="BJ1785" s="14">
        <f>F1785*BI1785*in_gold_ticket*in_gold_comm</f>
        <v/>
      </c>
      <c r="BK1785" s="40">
        <f>BK1784*(1-IF(B1784&gt;=in_marketplace_from,d_hz_fd*G1784,0))</f>
        <v/>
      </c>
      <c r="BL1785" s="14">
        <f>F1785*BK1785*IF(B1785&gt;=in_marketplace_from,d_hz_fd*G1785,0)*in_fd_ticket*in_fd_comm</f>
        <v/>
      </c>
      <c r="BM1785" s="40">
        <f>BM1784*(1-IF(B1784&gt;=in_marketplace_from,d_hz_recharge*G1784,0))</f>
        <v/>
      </c>
      <c r="BN1785" s="40">
        <f>BN1784*d_rho_recharge+BM1785*IF(B1785&gt;=in_marketplace_from,d_hz_recharge*G1785,0)</f>
        <v/>
      </c>
      <c r="BO1785" s="14">
        <f>F1785*BN1785*in_recharge_ticket*in_recharge_comm/12</f>
        <v/>
      </c>
      <c r="BP1785" s="40">
        <f>BP1784*(1-IF(B1784&gt;=in_marketplace_from,d_hz_bills*G1784,0))</f>
        <v/>
      </c>
      <c r="BQ1785" s="40">
        <f>BQ1784*d_rho_bills+BP1785*IF(B1785&gt;=in_marketplace_from,d_hz_bills*G1785,0)</f>
        <v/>
      </c>
      <c r="BR1785" s="14">
        <f>F1785*BQ1785*in_bills_ticket*in_bills_comm/12</f>
        <v/>
      </c>
      <c r="BS1785" s="40">
        <f>BS1784*(1-IF(B1784&gt;=in_marketplace_from,d_hz_loan_gold*G1784,0))</f>
        <v/>
      </c>
      <c r="BT1785" s="14">
        <f>F1785*BS1785*IF(B1785&gt;=in_marketplace_from,d_hz_loan_gold*G1785,0)*in_loan_gold_ticket*in_loan_gold_comm</f>
        <v/>
      </c>
      <c r="BU1785" s="40">
        <f>BU1784*(1-IF(B1784&gt;=in_marketplace_from,d_hz_loan_cd*G1784,0))</f>
        <v/>
      </c>
      <c r="BV1785" s="14">
        <f>F1785*BU1785*IF(B1785&gt;=in_marketplace_from,d_hz_loan_cd*G1785,0)*in_loan_cd_ticket*in_loan_cd_comm</f>
        <v/>
      </c>
      <c r="BW1785" s="40">
        <f>BW1784*(1-IF(B1784&gt;=in_marketplace_from,d_hz_loan_vehicle*G1784,0))</f>
        <v/>
      </c>
      <c r="BX1785" s="14">
        <f>F1785*BW1785*IF(B1785&gt;=in_marketplace_from,d_hz_loan_vehicle*G1785,0)*in_loan_vehicle_ticket*in_loan_vehicle_comm</f>
        <v/>
      </c>
      <c r="BY1785" s="40">
        <f>BY1784*(1-IF(B1784&gt;=in_marketplace_from,d_hz_loan_home*G1784,0)*BZ1784)</f>
        <v/>
      </c>
      <c r="BZ1785" s="11">
        <f>MIN(in_approval_cap,in_loan_home_approval*INDEX('Age profile'!$O$2:$O$61,B1785)*(1+in_approval_growth)^(D1785-1))</f>
        <v/>
      </c>
      <c r="CA1785" s="14">
        <f>F1785*BY1785*IF(B1785&gt;=in_marketplace_from,d_hz_loan_home*G1785,0)*BZ1785*in_loan_home_ticket*in_loan_home_comm</f>
        <v/>
      </c>
      <c r="CB1785" s="40">
        <f>CB1784*(1-IF(B1784&gt;=in_marketplace_from,d_hz_loan_lap*G1784,0)*CC1784)</f>
        <v/>
      </c>
      <c r="CC1785" s="11">
        <f>MIN(in_approval_cap,in_loan_lap_approval*INDEX('Age profile'!$O$2:$O$61,B1785)*(1+in_approval_growth)^(D1785-1))</f>
        <v/>
      </c>
      <c r="CD1785" s="14">
        <f>F1785*CB1785*IF(B1785&gt;=in_marketplace_from,d_hz_loan_lap*G1785,0)*CC1785*in_loan_lap_ticket*in_loan_lap_comm</f>
        <v/>
      </c>
      <c r="CE1785" s="14">
        <f>AA1785+AB1785+AC1785+AD1785+AG1785+AJ1785+AM1785+AP1785+AS1785+AU1785+AX1785+BB1785+BE1785+BG1785+BJ1785+BL1785+BO1785+BR1785+BT1785+BV1785+BX1785+CA1785+CD1785</f>
        <v/>
      </c>
    </row>
    <row r="1786">
      <c r="A1786" s="39" t="n">
        <v>51</v>
      </c>
      <c r="B1786" s="39" t="n">
        <v>10</v>
      </c>
      <c r="C1786" s="39">
        <f>A1786+B1786-1</f>
        <v/>
      </c>
      <c r="D1786" s="39">
        <f>INT((C1786-1)/12)+1</f>
        <v/>
      </c>
      <c r="E1786" s="44">
        <f>INDEX(Monthly!$B$2:$B$61,A1786)</f>
        <v/>
      </c>
      <c r="F1786" s="44">
        <f>E1786*INDEX('Age profile'!$B$2:$B$61,B1786)</f>
        <v/>
      </c>
      <c r="G1786" s="45">
        <f>MIN(in_takeup_cap,INDEX('Age profile'!$N$2:$N$61,B1786)*(1+in_takeup_growth)^(D1786-1))</f>
        <v/>
      </c>
      <c r="H1786" s="11">
        <f>MIN(in_approval_cap,in_approved_first*INDEX('Age profile'!$O$2:$O$61,B1786)*(1+in_approval_growth)^(D1786-1))</f>
        <v/>
      </c>
      <c r="I1786" s="45">
        <f>G1786*MIN(in_takeup_cap,INDEX('Age profile'!$O$2:$O$61,B1786)*(1+in_approval_growth)^(D1786-1))</f>
        <v/>
      </c>
      <c r="J1786" s="40">
        <f>(J1785-L1785)*F1786/F1785</f>
        <v/>
      </c>
      <c r="K1786" s="40">
        <f>(K1785-M1785)*F1786/F1785+SUMIFS(O1777:O1785,B1777:B1785,B1786-1-d_T)*F1786</f>
        <v/>
      </c>
      <c r="L1786" s="40">
        <f>IF(B1786&gt;=in_marketplace_from,J1786*d_hz*G1786*in_eligible*H1786,0)</f>
        <v/>
      </c>
      <c r="M1786" s="40">
        <f>IF(B1786&gt;=in_marketplace_from,K1786*d_hz*G1786*in_eligible*in_approved_repeat,0)</f>
        <v/>
      </c>
      <c r="N1786" s="40">
        <f>L1786+M1786</f>
        <v/>
      </c>
      <c r="O1786" s="46">
        <f>N1786/F1786</f>
        <v/>
      </c>
      <c r="P1786" s="40">
        <f>F1786-J1786-K1786</f>
        <v/>
      </c>
      <c r="Q1786" s="40">
        <f>IF(B1786&gt;=in_marketplace_from,(J1786+K1786)*d_hz*G1786,0)</f>
        <v/>
      </c>
      <c r="R1786" s="40">
        <f>SUMIFS(N1777:N1786,B1777:B1786,"&gt;="&amp;(B1786-d_T),B1777:B1786,"&lt;="&amp;(B1786-1))</f>
        <v/>
      </c>
      <c r="S1786" s="46">
        <f>(1-d_u)*S1785+IF(d_T&gt;in_topup_lag,SUMIFS(O1777:O1786,B1777:B1786,B1786-in_topup_lag)-d_udrop*SUMIFS(O1777:O1786,B1777:B1786,B1786-d_T),0)</f>
        <v/>
      </c>
      <c r="T1786" s="40">
        <f>F1786*d_u*S1786</f>
        <v/>
      </c>
      <c r="U1786" s="9">
        <f>L1786*in_ticket+M1786*d_rep_ticket</f>
        <v/>
      </c>
      <c r="V1786" s="9">
        <f>U1786+T1786*d_topup_amt</f>
        <v/>
      </c>
      <c r="W1786" s="40">
        <f>N1786+T1786*d_topup_ratio</f>
        <v/>
      </c>
      <c r="X1786" s="40">
        <f>SUMIFS(W1777:W1786,B1777:B1786,B1786-in_dpd_lag)*d_cured</f>
        <v/>
      </c>
      <c r="Y1786" s="40">
        <f>SUMIFS(W1777:W1786,B1777:B1786,B1786-in_rec_lag)*d_recd</f>
        <v/>
      </c>
      <c r="Z1786" s="40">
        <f>IF(AND(B1786&gt;=in_marketplace_from,B1786&lt;in_marketplace_from+in_card_months),in_card_share/in_card_months*F1786*I1786,IF(AND(B1786&gt;=in_marketplace_from+in_card_months,B1786&lt;in_marketplace_from+2*in_card_months),in_card_share*d_card_rem/in_card_months*F1786*MIN(in_takeup_cap,(1+in_takeup_growth)^(D1786-1))*MIN(in_takeup_cap,(1+in_approval_growth)^(D1786-1)),0))</f>
        <v/>
      </c>
      <c r="AA1786" s="14">
        <f>V1786*in_fee*(1-in_taken_back)</f>
        <v/>
      </c>
      <c r="AB1786" s="14">
        <f>SUMIFS(W1777:W1786,B1777:B1786,B1786-in_dpd_lag)*d_dpd</f>
        <v/>
      </c>
      <c r="AC1786" s="14">
        <f>SUMIFS(W1777:W1786,B1777:B1786,B1786-in_rec_lag)*d_rec</f>
        <v/>
      </c>
      <c r="AD1786" s="14">
        <f>Z1786*in_card_fee</f>
        <v/>
      </c>
      <c r="AE1786" s="40">
        <f>AE1785*(1-IF(B1785&gt;=in_marketplace_from,d_hz_hlth_small*G1785,0))</f>
        <v/>
      </c>
      <c r="AF1786" s="46">
        <f>AE1786*IF(B1786&gt;=in_marketplace_from,d_hz_hlth_small*G1786,0)</f>
        <v/>
      </c>
      <c r="AG1786" s="14">
        <f>F1786*AF1786*in_hlth_small_ticket*in_hlth_small_comm*in_ins_partner_share+F1786*in_hlth_small_ticket*in_hlth_small_renew_comm*in_ins_partner_share*(in_hlth_small_renew^1*SUMIFS(AF1777:AF1786,B1777:B1786,B1786-12)+in_hlth_small_renew^2*SUMIFS(AF1777:AF1786,B1777:B1786,B1786-24)+in_hlth_small_renew^3*SUMIFS(AF1777:AF1786,B1777:B1786,B1786-36)+in_hlth_small_renew^4*SUMIFS(AF1777:AF1786,B1777:B1786,B1786-48))</f>
        <v/>
      </c>
      <c r="AH1786" s="40">
        <f>AH1785*(1-IF(B1785&gt;=in_marketplace_from,d_hz_hlth_family*G1785,0))</f>
        <v/>
      </c>
      <c r="AI1786" s="46">
        <f>AH1786*IF(B1786&gt;=in_marketplace_from,d_hz_hlth_family*G1786,0)</f>
        <v/>
      </c>
      <c r="AJ1786" s="14">
        <f>F1786*AI1786*in_hlth_family_ticket*in_hlth_family_comm*in_ins_partner_share+F1786*in_hlth_family_ticket*in_hlth_family_renew_comm*in_ins_partner_share*(in_hlth_family_renew^1*SUMIFS(AI1777:AI1786,B1777:B1786,B1786-12)+in_hlth_family_renew^2*SUMIFS(AI1777:AI1786,B1777:B1786,B1786-24)+in_hlth_family_renew^3*SUMIFS(AI1777:AI1786,B1777:B1786,B1786-36)+in_hlth_family_renew^4*SUMIFS(AI1777:AI1786,B1777:B1786,B1786-48))</f>
        <v/>
      </c>
      <c r="AK1786" s="40">
        <f>AK1785*(1-IF(B1785&gt;=in_marketplace_from,d_hz_life_term*G1785,0))</f>
        <v/>
      </c>
      <c r="AL1786" s="46">
        <f>AK1786*IF(B1786&gt;=in_marketplace_from,d_hz_life_term*G1786,0)</f>
        <v/>
      </c>
      <c r="AM1786" s="14">
        <f>F1786*AL1786*in_life_term_ticket*in_life_term_comm*in_ins_partner_share+F1786*in_life_term_ticket*in_life_term_renew_comm*in_ins_partner_share*(in_life_term_renew^1*SUMIFS(AL1777:AL1786,B1777:B1786,B1786-12)+in_life_term_renew^2*SUMIFS(AL1777:AL1786,B1777:B1786,B1786-24)+in_life_term_renew^3*SUMIFS(AL1777:AL1786,B1777:B1786,B1786-36)+in_life_term_renew^4*SUMIFS(AL1777:AL1786,B1777:B1786,B1786-48))</f>
        <v/>
      </c>
      <c r="AN1786" s="40">
        <f>AN1785*(1-IF(B1785&gt;=in_marketplace_from,d_hz_accident*G1785,0))</f>
        <v/>
      </c>
      <c r="AO1786" s="46">
        <f>AN1786*IF(B1786&gt;=in_marketplace_from,d_hz_accident*G1786,0)</f>
        <v/>
      </c>
      <c r="AP1786" s="14">
        <f>F1786*AO1786*in_accident_ticket*in_accident_comm*in_ins_partner_share+F1786*in_accident_ticket*in_accident_renew_comm*in_ins_partner_share*(in_accident_renew^1*SUMIFS(AO1777:AO1786,B1777:B1786,B1786-12)+in_accident_renew^2*SUMIFS(AO1777:AO1786,B1777:B1786,B1786-24)+in_accident_renew^3*SUMIFS(AO1777:AO1786,B1777:B1786,B1786-36)+in_accident_renew^4*SUMIFS(AO1777:AO1786,B1777:B1786,B1786-48))</f>
        <v/>
      </c>
      <c r="AQ1786" s="40">
        <f>AQ1785*(1-IF(B1785&gt;=in_marketplace_from,d_hz_two_wheeler*G1785,0))</f>
        <v/>
      </c>
      <c r="AR1786" s="46">
        <f>AQ1786*IF(B1786&gt;=in_marketplace_from,d_hz_two_wheeler*G1786,0)</f>
        <v/>
      </c>
      <c r="AS1786" s="14">
        <f>F1786*AR1786*in_two_wheeler_ticket*in_two_wheeler_comm*in_ins_partner_share+F1786*in_two_wheeler_ticket*in_two_wheeler_comm*in_ins_partner_share*(in_two_wheeler_renew^1*SUMIFS(AR1777:AR1786,B1777:B1786,B1786-12)+in_two_wheeler_renew^2*SUMIFS(AR1777:AR1786,B1777:B1786,B1786-24)+in_two_wheeler_renew^3*SUMIFS(AR1777:AR1786,B1777:B1786,B1786-36)+in_two_wheeler_renew^4*SUMIFS(AR1777:AR1786,B1777:B1786,B1786-48))</f>
        <v/>
      </c>
      <c r="AT1786" s="40">
        <f>AT1785*(1-IF(B1785&gt;=in_marketplace_from,d_hz_device*G1785,0))</f>
        <v/>
      </c>
      <c r="AU1786" s="14">
        <f>F1786*AT1786*IF(B1786&gt;=in_marketplace_from,d_hz_device*G1786,0)*in_device_ticket*in_device_comm*in_ins_partner_share</f>
        <v/>
      </c>
      <c r="AV1786" s="40">
        <f>AV1785*(1-IF(B1785&gt;=in_marketplace_from,d_hz_shop*G1785,0))</f>
        <v/>
      </c>
      <c r="AW1786" s="46">
        <f>AV1786*IF(B1786&gt;=in_marketplace_from,d_hz_shop*G1786,0)</f>
        <v/>
      </c>
      <c r="AX1786" s="14">
        <f>F1786*AW1786*in_shop_ticket*in_shop_comm*in_ins_partner_share+F1786*in_shop_ticket*in_shop_renew_comm*in_ins_partner_share*(in_shop_renew^1*SUMIFS(AW1777:AW1786,B1777:B1786,B1786-12)+in_shop_renew^2*SUMIFS(AW1777:AW1786,B1777:B1786,B1786-24)+in_shop_renew^3*SUMIFS(AW1777:AW1786,B1777:B1786,B1786-36)+in_shop_renew^4*SUMIFS(AW1777:AW1786,B1777:B1786,B1786-48))</f>
        <v/>
      </c>
      <c r="AY1786" s="40">
        <f>AY1785*(1-IF(B1785&gt;=in_marketplace_from,d_hz_sip*G1785,0))</f>
        <v/>
      </c>
      <c r="AZ1786" s="40">
        <f>AZ1785*d_rho_sip+AY1786*IF(B1786&gt;=in_marketplace_from,d_hz_sip*G1786,0)</f>
        <v/>
      </c>
      <c r="BA1786" s="40">
        <f>d_rho_sip*(BA1785+AZ1785)</f>
        <v/>
      </c>
      <c r="BB1786" s="14">
        <f>F1786*in_sip_ticket*(BA1786+0.5*AZ1786)*in_sip_comm/12</f>
        <v/>
      </c>
      <c r="BC1786" s="40">
        <f>BC1785*(1-IF(B1785&gt;=in_marketplace_from,d_hz_choti*G1785,0))</f>
        <v/>
      </c>
      <c r="BD1786" s="46">
        <f>BC1786*IF(B1786&gt;=in_marketplace_from,d_hz_choti*G1786,0)</f>
        <v/>
      </c>
      <c r="BE1786" s="14">
        <f>F1786*SUMIFS(BD1777:BD1786,B1777:B1786,B1786-in_choti_months)*in_choti_renew*in_choti_ticket</f>
        <v/>
      </c>
      <c r="BF1786" s="40">
        <f>BF1785*(1-IF(B1785&gt;=in_marketplace_from,d_hz_nps*G1785,0))</f>
        <v/>
      </c>
      <c r="BG1786" s="14">
        <f>F1786*BF1786*IF(B1786&gt;=in_marketplace_from,d_hz_nps*G1786,0)*in_nps_ticket*in_nps_comm</f>
        <v/>
      </c>
      <c r="BH1786" s="40">
        <f>BH1785*(1-IF(B1785&gt;=in_marketplace_from,d_hz_gold*G1785,0))</f>
        <v/>
      </c>
      <c r="BI1786" s="40">
        <f>BI1785*d_rho_gold+BH1786*IF(B1786&gt;=in_marketplace_from,d_hz_gold*G1786,0)</f>
        <v/>
      </c>
      <c r="BJ1786" s="14">
        <f>F1786*BI1786*in_gold_ticket*in_gold_comm</f>
        <v/>
      </c>
      <c r="BK1786" s="40">
        <f>BK1785*(1-IF(B1785&gt;=in_marketplace_from,d_hz_fd*G1785,0))</f>
        <v/>
      </c>
      <c r="BL1786" s="14">
        <f>F1786*BK1786*IF(B1786&gt;=in_marketplace_from,d_hz_fd*G1786,0)*in_fd_ticket*in_fd_comm</f>
        <v/>
      </c>
      <c r="BM1786" s="40">
        <f>BM1785*(1-IF(B1785&gt;=in_marketplace_from,d_hz_recharge*G1785,0))</f>
        <v/>
      </c>
      <c r="BN1786" s="40">
        <f>BN1785*d_rho_recharge+BM1786*IF(B1786&gt;=in_marketplace_from,d_hz_recharge*G1786,0)</f>
        <v/>
      </c>
      <c r="BO1786" s="14">
        <f>F1786*BN1786*in_recharge_ticket*in_recharge_comm/12</f>
        <v/>
      </c>
      <c r="BP1786" s="40">
        <f>BP1785*(1-IF(B1785&gt;=in_marketplace_from,d_hz_bills*G1785,0))</f>
        <v/>
      </c>
      <c r="BQ1786" s="40">
        <f>BQ1785*d_rho_bills+BP1786*IF(B1786&gt;=in_marketplace_from,d_hz_bills*G1786,0)</f>
        <v/>
      </c>
      <c r="BR1786" s="14">
        <f>F1786*BQ1786*in_bills_ticket*in_bills_comm/12</f>
        <v/>
      </c>
      <c r="BS1786" s="40">
        <f>BS1785*(1-IF(B1785&gt;=in_marketplace_from,d_hz_loan_gold*G1785,0))</f>
        <v/>
      </c>
      <c r="BT1786" s="14">
        <f>F1786*BS1786*IF(B1786&gt;=in_marketplace_from,d_hz_loan_gold*G1786,0)*in_loan_gold_ticket*in_loan_gold_comm</f>
        <v/>
      </c>
      <c r="BU1786" s="40">
        <f>BU1785*(1-IF(B1785&gt;=in_marketplace_from,d_hz_loan_cd*G1785,0))</f>
        <v/>
      </c>
      <c r="BV1786" s="14">
        <f>F1786*BU1786*IF(B1786&gt;=in_marketplace_from,d_hz_loan_cd*G1786,0)*in_loan_cd_ticket*in_loan_cd_comm</f>
        <v/>
      </c>
      <c r="BW1786" s="40">
        <f>BW1785*(1-IF(B1785&gt;=in_marketplace_from,d_hz_loan_vehicle*G1785,0))</f>
        <v/>
      </c>
      <c r="BX1786" s="14">
        <f>F1786*BW1786*IF(B1786&gt;=in_marketplace_from,d_hz_loan_vehicle*G1786,0)*in_loan_vehicle_ticket*in_loan_vehicle_comm</f>
        <v/>
      </c>
      <c r="BY1786" s="40">
        <f>BY1785*(1-IF(B1785&gt;=in_marketplace_from,d_hz_loan_home*G1785,0)*BZ1785)</f>
        <v/>
      </c>
      <c r="BZ1786" s="11">
        <f>MIN(in_approval_cap,in_loan_home_approval*INDEX('Age profile'!$O$2:$O$61,B1786)*(1+in_approval_growth)^(D1786-1))</f>
        <v/>
      </c>
      <c r="CA1786" s="14">
        <f>F1786*BY1786*IF(B1786&gt;=in_marketplace_from,d_hz_loan_home*G1786,0)*BZ1786*in_loan_home_ticket*in_loan_home_comm</f>
        <v/>
      </c>
      <c r="CB1786" s="40">
        <f>CB1785*(1-IF(B1785&gt;=in_marketplace_from,d_hz_loan_lap*G1785,0)*CC1785)</f>
        <v/>
      </c>
      <c r="CC1786" s="11">
        <f>MIN(in_approval_cap,in_loan_lap_approval*INDEX('Age profile'!$O$2:$O$61,B1786)*(1+in_approval_growth)^(D1786-1))</f>
        <v/>
      </c>
      <c r="CD1786" s="14">
        <f>F1786*CB1786*IF(B1786&gt;=in_marketplace_from,d_hz_loan_lap*G1786,0)*CC1786*in_loan_lap_ticket*in_loan_lap_comm</f>
        <v/>
      </c>
      <c r="CE1786" s="14">
        <f>AA1786+AB1786+AC1786+AD1786+AG1786+AJ1786+AM1786+AP1786+AS1786+AU1786+AX1786+BB1786+BE1786+BG1786+BJ1786+BL1786+BO1786+BR1786+BT1786+BV1786+BX1786+CA1786+CD1786</f>
        <v/>
      </c>
    </row>
    <row r="1787">
      <c r="A1787" s="39" t="n">
        <v>52</v>
      </c>
      <c r="B1787" s="39" t="n">
        <v>1</v>
      </c>
      <c r="C1787" s="39">
        <f>A1787+B1787-1</f>
        <v/>
      </c>
      <c r="D1787" s="39">
        <f>INT((C1787-1)/12)+1</f>
        <v/>
      </c>
      <c r="E1787" s="44">
        <f>INDEX(Monthly!$B$2:$B$61,A1787)</f>
        <v/>
      </c>
      <c r="F1787" s="44">
        <f>E1787*INDEX('Age profile'!$B$2:$B$61,B1787)</f>
        <v/>
      </c>
      <c r="G1787" s="45">
        <f>MIN(in_takeup_cap,INDEX('Age profile'!$N$2:$N$61,B1787)*(1+in_takeup_growth)^(D1787-1))</f>
        <v/>
      </c>
      <c r="H1787" s="11">
        <f>MIN(in_approval_cap,in_approved_first*INDEX('Age profile'!$O$2:$O$61,B1787)*(1+in_approval_growth)^(D1787-1))</f>
        <v/>
      </c>
      <c r="I1787" s="45">
        <f>G1787*MIN(in_takeup_cap,INDEX('Age profile'!$O$2:$O$61,B1787)*(1+in_approval_growth)^(D1787-1))</f>
        <v/>
      </c>
      <c r="J1787" s="40">
        <f>E1787</f>
        <v/>
      </c>
      <c r="K1787" s="40" t="n">
        <v>0</v>
      </c>
      <c r="L1787" s="40">
        <f>IF(B1787&gt;=in_marketplace_from,J1787*d_hz*G1787*in_eligible*H1787,0)</f>
        <v/>
      </c>
      <c r="M1787" s="40">
        <f>IF(B1787&gt;=in_marketplace_from,K1787*d_hz*G1787*in_eligible*in_approved_repeat,0)</f>
        <v/>
      </c>
      <c r="N1787" s="40">
        <f>L1787+M1787</f>
        <v/>
      </c>
      <c r="O1787" s="46">
        <f>N1787/F1787</f>
        <v/>
      </c>
      <c r="P1787" s="40">
        <f>F1787-J1787-K1787</f>
        <v/>
      </c>
      <c r="Q1787" s="40">
        <f>IF(B1787&gt;=in_marketplace_from,(J1787+K1787)*d_hz*G1787,0)</f>
        <v/>
      </c>
      <c r="R1787" s="40">
        <f>SUMIFS(N1787:N1795,B1787:B1795,"&gt;="&amp;(B1787-d_T),B1787:B1795,"&lt;="&amp;(B1787-1))</f>
        <v/>
      </c>
      <c r="S1787" s="46" t="n">
        <v>0</v>
      </c>
      <c r="T1787" s="40">
        <f>F1787*d_u*S1787</f>
        <v/>
      </c>
      <c r="U1787" s="9">
        <f>L1787*in_ticket+M1787*d_rep_ticket</f>
        <v/>
      </c>
      <c r="V1787" s="9">
        <f>U1787+T1787*d_topup_amt</f>
        <v/>
      </c>
      <c r="W1787" s="40">
        <f>N1787+T1787*d_topup_ratio</f>
        <v/>
      </c>
      <c r="X1787" s="40">
        <f>SUMIFS(W1787:W1795,B1787:B1795,B1787-in_dpd_lag)*d_cured</f>
        <v/>
      </c>
      <c r="Y1787" s="40">
        <f>SUMIFS(W1787:W1795,B1787:B1795,B1787-in_rec_lag)*d_recd</f>
        <v/>
      </c>
      <c r="Z1787" s="40">
        <f>IF(AND(B1787&gt;=in_marketplace_from,B1787&lt;in_marketplace_from+in_card_months),in_card_share/in_card_months*F1787*I1787,IF(AND(B1787&gt;=in_marketplace_from+in_card_months,B1787&lt;in_marketplace_from+2*in_card_months),in_card_share*d_card_rem/in_card_months*F1787*MIN(in_takeup_cap,(1+in_takeup_growth)^(D1787-1))*MIN(in_takeup_cap,(1+in_approval_growth)^(D1787-1)),0))</f>
        <v/>
      </c>
      <c r="AA1787" s="14">
        <f>V1787*in_fee*(1-in_taken_back)</f>
        <v/>
      </c>
      <c r="AB1787" s="14">
        <f>SUMIFS(W1787:W1795,B1787:B1795,B1787-in_dpd_lag)*d_dpd</f>
        <v/>
      </c>
      <c r="AC1787" s="14">
        <f>SUMIFS(W1787:W1795,B1787:B1795,B1787-in_rec_lag)*d_rec</f>
        <v/>
      </c>
      <c r="AD1787" s="14">
        <f>Z1787*in_card_fee</f>
        <v/>
      </c>
      <c r="AE1787" s="40" t="n">
        <v>1</v>
      </c>
      <c r="AF1787" s="46">
        <f>AE1787*IF(B1787&gt;=in_marketplace_from,d_hz_hlth_small*G1787,0)</f>
        <v/>
      </c>
      <c r="AG1787" s="14">
        <f>F1787*AF1787*in_hlth_small_ticket*in_hlth_small_comm*in_ins_partner_share+F1787*in_hlth_small_ticket*in_hlth_small_renew_comm*in_ins_partner_share*(in_hlth_small_renew^1*SUMIFS(AF1787:AF1795,B1787:B1795,B1787-12)+in_hlth_small_renew^2*SUMIFS(AF1787:AF1795,B1787:B1795,B1787-24)+in_hlth_small_renew^3*SUMIFS(AF1787:AF1795,B1787:B1795,B1787-36)+in_hlth_small_renew^4*SUMIFS(AF1787:AF1795,B1787:B1795,B1787-48))</f>
        <v/>
      </c>
      <c r="AH1787" s="40" t="n">
        <v>1</v>
      </c>
      <c r="AI1787" s="46">
        <f>AH1787*IF(B1787&gt;=in_marketplace_from,d_hz_hlth_family*G1787,0)</f>
        <v/>
      </c>
      <c r="AJ1787" s="14">
        <f>F1787*AI1787*in_hlth_family_ticket*in_hlth_family_comm*in_ins_partner_share+F1787*in_hlth_family_ticket*in_hlth_family_renew_comm*in_ins_partner_share*(in_hlth_family_renew^1*SUMIFS(AI1787:AI1795,B1787:B1795,B1787-12)+in_hlth_family_renew^2*SUMIFS(AI1787:AI1795,B1787:B1795,B1787-24)+in_hlth_family_renew^3*SUMIFS(AI1787:AI1795,B1787:B1795,B1787-36)+in_hlth_family_renew^4*SUMIFS(AI1787:AI1795,B1787:B1795,B1787-48))</f>
        <v/>
      </c>
      <c r="AK1787" s="40" t="n">
        <v>1</v>
      </c>
      <c r="AL1787" s="46">
        <f>AK1787*IF(B1787&gt;=in_marketplace_from,d_hz_life_term*G1787,0)</f>
        <v/>
      </c>
      <c r="AM1787" s="14">
        <f>F1787*AL1787*in_life_term_ticket*in_life_term_comm*in_ins_partner_share+F1787*in_life_term_ticket*in_life_term_renew_comm*in_ins_partner_share*(in_life_term_renew^1*SUMIFS(AL1787:AL1795,B1787:B1795,B1787-12)+in_life_term_renew^2*SUMIFS(AL1787:AL1795,B1787:B1795,B1787-24)+in_life_term_renew^3*SUMIFS(AL1787:AL1795,B1787:B1795,B1787-36)+in_life_term_renew^4*SUMIFS(AL1787:AL1795,B1787:B1795,B1787-48))</f>
        <v/>
      </c>
      <c r="AN1787" s="40" t="n">
        <v>1</v>
      </c>
      <c r="AO1787" s="46">
        <f>AN1787*IF(B1787&gt;=in_marketplace_from,d_hz_accident*G1787,0)</f>
        <v/>
      </c>
      <c r="AP1787" s="14">
        <f>F1787*AO1787*in_accident_ticket*in_accident_comm*in_ins_partner_share+F1787*in_accident_ticket*in_accident_renew_comm*in_ins_partner_share*(in_accident_renew^1*SUMIFS(AO1787:AO1795,B1787:B1795,B1787-12)+in_accident_renew^2*SUMIFS(AO1787:AO1795,B1787:B1795,B1787-24)+in_accident_renew^3*SUMIFS(AO1787:AO1795,B1787:B1795,B1787-36)+in_accident_renew^4*SUMIFS(AO1787:AO1795,B1787:B1795,B1787-48))</f>
        <v/>
      </c>
      <c r="AQ1787" s="40" t="n">
        <v>1</v>
      </c>
      <c r="AR1787" s="46">
        <f>AQ1787*IF(B1787&gt;=in_marketplace_from,d_hz_two_wheeler*G1787,0)</f>
        <v/>
      </c>
      <c r="AS1787" s="14">
        <f>F1787*AR1787*in_two_wheeler_ticket*in_two_wheeler_comm*in_ins_partner_share+F1787*in_two_wheeler_ticket*in_two_wheeler_comm*in_ins_partner_share*(in_two_wheeler_renew^1*SUMIFS(AR1787:AR1795,B1787:B1795,B1787-12)+in_two_wheeler_renew^2*SUMIFS(AR1787:AR1795,B1787:B1795,B1787-24)+in_two_wheeler_renew^3*SUMIFS(AR1787:AR1795,B1787:B1795,B1787-36)+in_two_wheeler_renew^4*SUMIFS(AR1787:AR1795,B1787:B1795,B1787-48))</f>
        <v/>
      </c>
      <c r="AT1787" s="40" t="n">
        <v>1</v>
      </c>
      <c r="AU1787" s="14">
        <f>F1787*AT1787*IF(B1787&gt;=in_marketplace_from,d_hz_device*G1787,0)*in_device_ticket*in_device_comm*in_ins_partner_share</f>
        <v/>
      </c>
      <c r="AV1787" s="40" t="n">
        <v>1</v>
      </c>
      <c r="AW1787" s="46">
        <f>AV1787*IF(B1787&gt;=in_marketplace_from,d_hz_shop*G1787,0)</f>
        <v/>
      </c>
      <c r="AX1787" s="14">
        <f>F1787*AW1787*in_shop_ticket*in_shop_comm*in_ins_partner_share+F1787*in_shop_ticket*in_shop_renew_comm*in_ins_partner_share*(in_shop_renew^1*SUMIFS(AW1787:AW1795,B1787:B1795,B1787-12)+in_shop_renew^2*SUMIFS(AW1787:AW1795,B1787:B1795,B1787-24)+in_shop_renew^3*SUMIFS(AW1787:AW1795,B1787:B1795,B1787-36)+in_shop_renew^4*SUMIFS(AW1787:AW1795,B1787:B1795,B1787-48))</f>
        <v/>
      </c>
      <c r="AY1787" s="40" t="n">
        <v>1</v>
      </c>
      <c r="AZ1787" s="40">
        <f>AY1787*IF(B1787&gt;=in_marketplace_from,d_hz_sip*G1787,0)</f>
        <v/>
      </c>
      <c r="BA1787" s="40" t="n">
        <v>0</v>
      </c>
      <c r="BB1787" s="14">
        <f>F1787*in_sip_ticket*(BA1787+0.5*AZ1787)*in_sip_comm/12</f>
        <v/>
      </c>
      <c r="BC1787" s="40" t="n">
        <v>1</v>
      </c>
      <c r="BD1787" s="46">
        <f>BC1787*IF(B1787&gt;=in_marketplace_from,d_hz_choti*G1787,0)</f>
        <v/>
      </c>
      <c r="BE1787" s="14">
        <f>F1787*SUMIFS(BD1787:BD1795,B1787:B1795,B1787-in_choti_months)*in_choti_renew*in_choti_ticket</f>
        <v/>
      </c>
      <c r="BF1787" s="40" t="n">
        <v>1</v>
      </c>
      <c r="BG1787" s="14">
        <f>F1787*BF1787*IF(B1787&gt;=in_marketplace_from,d_hz_nps*G1787,0)*in_nps_ticket*in_nps_comm</f>
        <v/>
      </c>
      <c r="BH1787" s="40" t="n">
        <v>1</v>
      </c>
      <c r="BI1787" s="40">
        <f>BH1787*IF(B1787&gt;=in_marketplace_from,d_hz_gold*G1787,0)</f>
        <v/>
      </c>
      <c r="BJ1787" s="14">
        <f>F1787*BI1787*in_gold_ticket*in_gold_comm</f>
        <v/>
      </c>
      <c r="BK1787" s="40" t="n">
        <v>1</v>
      </c>
      <c r="BL1787" s="14">
        <f>F1787*BK1787*IF(B1787&gt;=in_marketplace_from,d_hz_fd*G1787,0)*in_fd_ticket*in_fd_comm</f>
        <v/>
      </c>
      <c r="BM1787" s="40" t="n">
        <v>1</v>
      </c>
      <c r="BN1787" s="40">
        <f>BM1787*IF(B1787&gt;=in_marketplace_from,d_hz_recharge*G1787,0)</f>
        <v/>
      </c>
      <c r="BO1787" s="14">
        <f>F1787*BN1787*in_recharge_ticket*in_recharge_comm/12</f>
        <v/>
      </c>
      <c r="BP1787" s="40" t="n">
        <v>1</v>
      </c>
      <c r="BQ1787" s="40">
        <f>BP1787*IF(B1787&gt;=in_marketplace_from,d_hz_bills*G1787,0)</f>
        <v/>
      </c>
      <c r="BR1787" s="14">
        <f>F1787*BQ1787*in_bills_ticket*in_bills_comm/12</f>
        <v/>
      </c>
      <c r="BS1787" s="40" t="n">
        <v>1</v>
      </c>
      <c r="BT1787" s="14">
        <f>F1787*BS1787*IF(B1787&gt;=in_marketplace_from,d_hz_loan_gold*G1787,0)*in_loan_gold_ticket*in_loan_gold_comm</f>
        <v/>
      </c>
      <c r="BU1787" s="40" t="n">
        <v>1</v>
      </c>
      <c r="BV1787" s="14">
        <f>F1787*BU1787*IF(B1787&gt;=in_marketplace_from,d_hz_loan_cd*G1787,0)*in_loan_cd_ticket*in_loan_cd_comm</f>
        <v/>
      </c>
      <c r="BW1787" s="40" t="n">
        <v>1</v>
      </c>
      <c r="BX1787" s="14">
        <f>F1787*BW1787*IF(B1787&gt;=in_marketplace_from,d_hz_loan_vehicle*G1787,0)*in_loan_vehicle_ticket*in_loan_vehicle_comm</f>
        <v/>
      </c>
      <c r="BY1787" s="40" t="n">
        <v>1</v>
      </c>
      <c r="BZ1787" s="11">
        <f>MIN(in_approval_cap,in_loan_home_approval*INDEX('Age profile'!$O$2:$O$61,B1787)*(1+in_approval_growth)^(D1787-1))</f>
        <v/>
      </c>
      <c r="CA1787" s="14">
        <f>F1787*BY1787*IF(B1787&gt;=in_marketplace_from,d_hz_loan_home*G1787,0)*BZ1787*in_loan_home_ticket*in_loan_home_comm</f>
        <v/>
      </c>
      <c r="CB1787" s="40" t="n">
        <v>1</v>
      </c>
      <c r="CC1787" s="11">
        <f>MIN(in_approval_cap,in_loan_lap_approval*INDEX('Age profile'!$O$2:$O$61,B1787)*(1+in_approval_growth)^(D1787-1))</f>
        <v/>
      </c>
      <c r="CD1787" s="14">
        <f>F1787*CB1787*IF(B1787&gt;=in_marketplace_from,d_hz_loan_lap*G1787,0)*CC1787*in_loan_lap_ticket*in_loan_lap_comm</f>
        <v/>
      </c>
      <c r="CE1787" s="14">
        <f>AA1787+AB1787+AC1787+AD1787+AG1787+AJ1787+AM1787+AP1787+AS1787+AU1787+AX1787+BB1787+BE1787+BG1787+BJ1787+BL1787+BO1787+BR1787+BT1787+BV1787+BX1787+CA1787+CD1787</f>
        <v/>
      </c>
    </row>
    <row r="1788">
      <c r="A1788" s="39" t="n">
        <v>52</v>
      </c>
      <c r="B1788" s="39" t="n">
        <v>2</v>
      </c>
      <c r="C1788" s="39">
        <f>A1788+B1788-1</f>
        <v/>
      </c>
      <c r="D1788" s="39">
        <f>INT((C1788-1)/12)+1</f>
        <v/>
      </c>
      <c r="E1788" s="44">
        <f>INDEX(Monthly!$B$2:$B$61,A1788)</f>
        <v/>
      </c>
      <c r="F1788" s="44">
        <f>E1788*INDEX('Age profile'!$B$2:$B$61,B1788)</f>
        <v/>
      </c>
      <c r="G1788" s="45">
        <f>MIN(in_takeup_cap,INDEX('Age profile'!$N$2:$N$61,B1788)*(1+in_takeup_growth)^(D1788-1))</f>
        <v/>
      </c>
      <c r="H1788" s="11">
        <f>MIN(in_approval_cap,in_approved_first*INDEX('Age profile'!$O$2:$O$61,B1788)*(1+in_approval_growth)^(D1788-1))</f>
        <v/>
      </c>
      <c r="I1788" s="45">
        <f>G1788*MIN(in_takeup_cap,INDEX('Age profile'!$O$2:$O$61,B1788)*(1+in_approval_growth)^(D1788-1))</f>
        <v/>
      </c>
      <c r="J1788" s="40">
        <f>(J1787-L1787)*F1788/F1787</f>
        <v/>
      </c>
      <c r="K1788" s="40">
        <f>(K1787-M1787)*F1788/F1787+SUMIFS(O1787:O1787,B1787:B1787,B1788-1-d_T)*F1788</f>
        <v/>
      </c>
      <c r="L1788" s="40">
        <f>IF(B1788&gt;=in_marketplace_from,J1788*d_hz*G1788*in_eligible*H1788,0)</f>
        <v/>
      </c>
      <c r="M1788" s="40">
        <f>IF(B1788&gt;=in_marketplace_from,K1788*d_hz*G1788*in_eligible*in_approved_repeat,0)</f>
        <v/>
      </c>
      <c r="N1788" s="40">
        <f>L1788+M1788</f>
        <v/>
      </c>
      <c r="O1788" s="46">
        <f>N1788/F1788</f>
        <v/>
      </c>
      <c r="P1788" s="40">
        <f>F1788-J1788-K1788</f>
        <v/>
      </c>
      <c r="Q1788" s="40">
        <f>IF(B1788&gt;=in_marketplace_from,(J1788+K1788)*d_hz*G1788,0)</f>
        <v/>
      </c>
      <c r="R1788" s="40">
        <f>SUMIFS(N1787:N1795,B1787:B1795,"&gt;="&amp;(B1788-d_T),B1787:B1795,"&lt;="&amp;(B1788-1))</f>
        <v/>
      </c>
      <c r="S1788" s="46">
        <f>(1-d_u)*S1787+IF(d_T&gt;in_topup_lag,SUMIFS(O1787:O1795,B1787:B1795,B1788-in_topup_lag)-d_udrop*SUMIFS(O1787:O1795,B1787:B1795,B1788-d_T),0)</f>
        <v/>
      </c>
      <c r="T1788" s="40">
        <f>F1788*d_u*S1788</f>
        <v/>
      </c>
      <c r="U1788" s="9">
        <f>L1788*in_ticket+M1788*d_rep_ticket</f>
        <v/>
      </c>
      <c r="V1788" s="9">
        <f>U1788+T1788*d_topup_amt</f>
        <v/>
      </c>
      <c r="W1788" s="40">
        <f>N1788+T1788*d_topup_ratio</f>
        <v/>
      </c>
      <c r="X1788" s="40">
        <f>SUMIFS(W1787:W1795,B1787:B1795,B1788-in_dpd_lag)*d_cured</f>
        <v/>
      </c>
      <c r="Y1788" s="40">
        <f>SUMIFS(W1787:W1795,B1787:B1795,B1788-in_rec_lag)*d_recd</f>
        <v/>
      </c>
      <c r="Z1788" s="40">
        <f>IF(AND(B1788&gt;=in_marketplace_from,B1788&lt;in_marketplace_from+in_card_months),in_card_share/in_card_months*F1788*I1788,IF(AND(B1788&gt;=in_marketplace_from+in_card_months,B1788&lt;in_marketplace_from+2*in_card_months),in_card_share*d_card_rem/in_card_months*F1788*MIN(in_takeup_cap,(1+in_takeup_growth)^(D1788-1))*MIN(in_takeup_cap,(1+in_approval_growth)^(D1788-1)),0))</f>
        <v/>
      </c>
      <c r="AA1788" s="14">
        <f>V1788*in_fee*(1-in_taken_back)</f>
        <v/>
      </c>
      <c r="AB1788" s="14">
        <f>SUMIFS(W1787:W1795,B1787:B1795,B1788-in_dpd_lag)*d_dpd</f>
        <v/>
      </c>
      <c r="AC1788" s="14">
        <f>SUMIFS(W1787:W1795,B1787:B1795,B1788-in_rec_lag)*d_rec</f>
        <v/>
      </c>
      <c r="AD1788" s="14">
        <f>Z1788*in_card_fee</f>
        <v/>
      </c>
      <c r="AE1788" s="40">
        <f>AE1787*(1-IF(B1787&gt;=in_marketplace_from,d_hz_hlth_small*G1787,0))</f>
        <v/>
      </c>
      <c r="AF1788" s="46">
        <f>AE1788*IF(B1788&gt;=in_marketplace_from,d_hz_hlth_small*G1788,0)</f>
        <v/>
      </c>
      <c r="AG1788" s="14">
        <f>F1788*AF1788*in_hlth_small_ticket*in_hlth_small_comm*in_ins_partner_share+F1788*in_hlth_small_ticket*in_hlth_small_renew_comm*in_ins_partner_share*(in_hlth_small_renew^1*SUMIFS(AF1787:AF1795,B1787:B1795,B1788-12)+in_hlth_small_renew^2*SUMIFS(AF1787:AF1795,B1787:B1795,B1788-24)+in_hlth_small_renew^3*SUMIFS(AF1787:AF1795,B1787:B1795,B1788-36)+in_hlth_small_renew^4*SUMIFS(AF1787:AF1795,B1787:B1795,B1788-48))</f>
        <v/>
      </c>
      <c r="AH1788" s="40">
        <f>AH1787*(1-IF(B1787&gt;=in_marketplace_from,d_hz_hlth_family*G1787,0))</f>
        <v/>
      </c>
      <c r="AI1788" s="46">
        <f>AH1788*IF(B1788&gt;=in_marketplace_from,d_hz_hlth_family*G1788,0)</f>
        <v/>
      </c>
      <c r="AJ1788" s="14">
        <f>F1788*AI1788*in_hlth_family_ticket*in_hlth_family_comm*in_ins_partner_share+F1788*in_hlth_family_ticket*in_hlth_family_renew_comm*in_ins_partner_share*(in_hlth_family_renew^1*SUMIFS(AI1787:AI1795,B1787:B1795,B1788-12)+in_hlth_family_renew^2*SUMIFS(AI1787:AI1795,B1787:B1795,B1788-24)+in_hlth_family_renew^3*SUMIFS(AI1787:AI1795,B1787:B1795,B1788-36)+in_hlth_family_renew^4*SUMIFS(AI1787:AI1795,B1787:B1795,B1788-48))</f>
        <v/>
      </c>
      <c r="AK1788" s="40">
        <f>AK1787*(1-IF(B1787&gt;=in_marketplace_from,d_hz_life_term*G1787,0))</f>
        <v/>
      </c>
      <c r="AL1788" s="46">
        <f>AK1788*IF(B1788&gt;=in_marketplace_from,d_hz_life_term*G1788,0)</f>
        <v/>
      </c>
      <c r="AM1788" s="14">
        <f>F1788*AL1788*in_life_term_ticket*in_life_term_comm*in_ins_partner_share+F1788*in_life_term_ticket*in_life_term_renew_comm*in_ins_partner_share*(in_life_term_renew^1*SUMIFS(AL1787:AL1795,B1787:B1795,B1788-12)+in_life_term_renew^2*SUMIFS(AL1787:AL1795,B1787:B1795,B1788-24)+in_life_term_renew^3*SUMIFS(AL1787:AL1795,B1787:B1795,B1788-36)+in_life_term_renew^4*SUMIFS(AL1787:AL1795,B1787:B1795,B1788-48))</f>
        <v/>
      </c>
      <c r="AN1788" s="40">
        <f>AN1787*(1-IF(B1787&gt;=in_marketplace_from,d_hz_accident*G1787,0))</f>
        <v/>
      </c>
      <c r="AO1788" s="46">
        <f>AN1788*IF(B1788&gt;=in_marketplace_from,d_hz_accident*G1788,0)</f>
        <v/>
      </c>
      <c r="AP1788" s="14">
        <f>F1788*AO1788*in_accident_ticket*in_accident_comm*in_ins_partner_share+F1788*in_accident_ticket*in_accident_renew_comm*in_ins_partner_share*(in_accident_renew^1*SUMIFS(AO1787:AO1795,B1787:B1795,B1788-12)+in_accident_renew^2*SUMIFS(AO1787:AO1795,B1787:B1795,B1788-24)+in_accident_renew^3*SUMIFS(AO1787:AO1795,B1787:B1795,B1788-36)+in_accident_renew^4*SUMIFS(AO1787:AO1795,B1787:B1795,B1788-48))</f>
        <v/>
      </c>
      <c r="AQ1788" s="40">
        <f>AQ1787*(1-IF(B1787&gt;=in_marketplace_from,d_hz_two_wheeler*G1787,0))</f>
        <v/>
      </c>
      <c r="AR1788" s="46">
        <f>AQ1788*IF(B1788&gt;=in_marketplace_from,d_hz_two_wheeler*G1788,0)</f>
        <v/>
      </c>
      <c r="AS1788" s="14">
        <f>F1788*AR1788*in_two_wheeler_ticket*in_two_wheeler_comm*in_ins_partner_share+F1788*in_two_wheeler_ticket*in_two_wheeler_comm*in_ins_partner_share*(in_two_wheeler_renew^1*SUMIFS(AR1787:AR1795,B1787:B1795,B1788-12)+in_two_wheeler_renew^2*SUMIFS(AR1787:AR1795,B1787:B1795,B1788-24)+in_two_wheeler_renew^3*SUMIFS(AR1787:AR1795,B1787:B1795,B1788-36)+in_two_wheeler_renew^4*SUMIFS(AR1787:AR1795,B1787:B1795,B1788-48))</f>
        <v/>
      </c>
      <c r="AT1788" s="40">
        <f>AT1787*(1-IF(B1787&gt;=in_marketplace_from,d_hz_device*G1787,0))</f>
        <v/>
      </c>
      <c r="AU1788" s="14">
        <f>F1788*AT1788*IF(B1788&gt;=in_marketplace_from,d_hz_device*G1788,0)*in_device_ticket*in_device_comm*in_ins_partner_share</f>
        <v/>
      </c>
      <c r="AV1788" s="40">
        <f>AV1787*(1-IF(B1787&gt;=in_marketplace_from,d_hz_shop*G1787,0))</f>
        <v/>
      </c>
      <c r="AW1788" s="46">
        <f>AV1788*IF(B1788&gt;=in_marketplace_from,d_hz_shop*G1788,0)</f>
        <v/>
      </c>
      <c r="AX1788" s="14">
        <f>F1788*AW1788*in_shop_ticket*in_shop_comm*in_ins_partner_share+F1788*in_shop_ticket*in_shop_renew_comm*in_ins_partner_share*(in_shop_renew^1*SUMIFS(AW1787:AW1795,B1787:B1795,B1788-12)+in_shop_renew^2*SUMIFS(AW1787:AW1795,B1787:B1795,B1788-24)+in_shop_renew^3*SUMIFS(AW1787:AW1795,B1787:B1795,B1788-36)+in_shop_renew^4*SUMIFS(AW1787:AW1795,B1787:B1795,B1788-48))</f>
        <v/>
      </c>
      <c r="AY1788" s="40">
        <f>AY1787*(1-IF(B1787&gt;=in_marketplace_from,d_hz_sip*G1787,0))</f>
        <v/>
      </c>
      <c r="AZ1788" s="40">
        <f>AZ1787*d_rho_sip+AY1788*IF(B1788&gt;=in_marketplace_from,d_hz_sip*G1788,0)</f>
        <v/>
      </c>
      <c r="BA1788" s="40">
        <f>d_rho_sip*(BA1787+AZ1787)</f>
        <v/>
      </c>
      <c r="BB1788" s="14">
        <f>F1788*in_sip_ticket*(BA1788+0.5*AZ1788)*in_sip_comm/12</f>
        <v/>
      </c>
      <c r="BC1788" s="40">
        <f>BC1787*(1-IF(B1787&gt;=in_marketplace_from,d_hz_choti*G1787,0))</f>
        <v/>
      </c>
      <c r="BD1788" s="46">
        <f>BC1788*IF(B1788&gt;=in_marketplace_from,d_hz_choti*G1788,0)</f>
        <v/>
      </c>
      <c r="BE1788" s="14">
        <f>F1788*SUMIFS(BD1787:BD1795,B1787:B1795,B1788-in_choti_months)*in_choti_renew*in_choti_ticket</f>
        <v/>
      </c>
      <c r="BF1788" s="40">
        <f>BF1787*(1-IF(B1787&gt;=in_marketplace_from,d_hz_nps*G1787,0))</f>
        <v/>
      </c>
      <c r="BG1788" s="14">
        <f>F1788*BF1788*IF(B1788&gt;=in_marketplace_from,d_hz_nps*G1788,0)*in_nps_ticket*in_nps_comm</f>
        <v/>
      </c>
      <c r="BH1788" s="40">
        <f>BH1787*(1-IF(B1787&gt;=in_marketplace_from,d_hz_gold*G1787,0))</f>
        <v/>
      </c>
      <c r="BI1788" s="40">
        <f>BI1787*d_rho_gold+BH1788*IF(B1788&gt;=in_marketplace_from,d_hz_gold*G1788,0)</f>
        <v/>
      </c>
      <c r="BJ1788" s="14">
        <f>F1788*BI1788*in_gold_ticket*in_gold_comm</f>
        <v/>
      </c>
      <c r="BK1788" s="40">
        <f>BK1787*(1-IF(B1787&gt;=in_marketplace_from,d_hz_fd*G1787,0))</f>
        <v/>
      </c>
      <c r="BL1788" s="14">
        <f>F1788*BK1788*IF(B1788&gt;=in_marketplace_from,d_hz_fd*G1788,0)*in_fd_ticket*in_fd_comm</f>
        <v/>
      </c>
      <c r="BM1788" s="40">
        <f>BM1787*(1-IF(B1787&gt;=in_marketplace_from,d_hz_recharge*G1787,0))</f>
        <v/>
      </c>
      <c r="BN1788" s="40">
        <f>BN1787*d_rho_recharge+BM1788*IF(B1788&gt;=in_marketplace_from,d_hz_recharge*G1788,0)</f>
        <v/>
      </c>
      <c r="BO1788" s="14">
        <f>F1788*BN1788*in_recharge_ticket*in_recharge_comm/12</f>
        <v/>
      </c>
      <c r="BP1788" s="40">
        <f>BP1787*(1-IF(B1787&gt;=in_marketplace_from,d_hz_bills*G1787,0))</f>
        <v/>
      </c>
      <c r="BQ1788" s="40">
        <f>BQ1787*d_rho_bills+BP1788*IF(B1788&gt;=in_marketplace_from,d_hz_bills*G1788,0)</f>
        <v/>
      </c>
      <c r="BR1788" s="14">
        <f>F1788*BQ1788*in_bills_ticket*in_bills_comm/12</f>
        <v/>
      </c>
      <c r="BS1788" s="40">
        <f>BS1787*(1-IF(B1787&gt;=in_marketplace_from,d_hz_loan_gold*G1787,0))</f>
        <v/>
      </c>
      <c r="BT1788" s="14">
        <f>F1788*BS1788*IF(B1788&gt;=in_marketplace_from,d_hz_loan_gold*G1788,0)*in_loan_gold_ticket*in_loan_gold_comm</f>
        <v/>
      </c>
      <c r="BU1788" s="40">
        <f>BU1787*(1-IF(B1787&gt;=in_marketplace_from,d_hz_loan_cd*G1787,0))</f>
        <v/>
      </c>
      <c r="BV1788" s="14">
        <f>F1788*BU1788*IF(B1788&gt;=in_marketplace_from,d_hz_loan_cd*G1788,0)*in_loan_cd_ticket*in_loan_cd_comm</f>
        <v/>
      </c>
      <c r="BW1788" s="40">
        <f>BW1787*(1-IF(B1787&gt;=in_marketplace_from,d_hz_loan_vehicle*G1787,0))</f>
        <v/>
      </c>
      <c r="BX1788" s="14">
        <f>F1788*BW1788*IF(B1788&gt;=in_marketplace_from,d_hz_loan_vehicle*G1788,0)*in_loan_vehicle_ticket*in_loan_vehicle_comm</f>
        <v/>
      </c>
      <c r="BY1788" s="40">
        <f>BY1787*(1-IF(B1787&gt;=in_marketplace_from,d_hz_loan_home*G1787,0)*BZ1787)</f>
        <v/>
      </c>
      <c r="BZ1788" s="11">
        <f>MIN(in_approval_cap,in_loan_home_approval*INDEX('Age profile'!$O$2:$O$61,B1788)*(1+in_approval_growth)^(D1788-1))</f>
        <v/>
      </c>
      <c r="CA1788" s="14">
        <f>F1788*BY1788*IF(B1788&gt;=in_marketplace_from,d_hz_loan_home*G1788,0)*BZ1788*in_loan_home_ticket*in_loan_home_comm</f>
        <v/>
      </c>
      <c r="CB1788" s="40">
        <f>CB1787*(1-IF(B1787&gt;=in_marketplace_from,d_hz_loan_lap*G1787,0)*CC1787)</f>
        <v/>
      </c>
      <c r="CC1788" s="11">
        <f>MIN(in_approval_cap,in_loan_lap_approval*INDEX('Age profile'!$O$2:$O$61,B1788)*(1+in_approval_growth)^(D1788-1))</f>
        <v/>
      </c>
      <c r="CD1788" s="14">
        <f>F1788*CB1788*IF(B1788&gt;=in_marketplace_from,d_hz_loan_lap*G1788,0)*CC1788*in_loan_lap_ticket*in_loan_lap_comm</f>
        <v/>
      </c>
      <c r="CE1788" s="14">
        <f>AA1788+AB1788+AC1788+AD1788+AG1788+AJ1788+AM1788+AP1788+AS1788+AU1788+AX1788+BB1788+BE1788+BG1788+BJ1788+BL1788+BO1788+BR1788+BT1788+BV1788+BX1788+CA1788+CD1788</f>
        <v/>
      </c>
    </row>
    <row r="1789">
      <c r="A1789" s="39" t="n">
        <v>52</v>
      </c>
      <c r="B1789" s="39" t="n">
        <v>3</v>
      </c>
      <c r="C1789" s="39">
        <f>A1789+B1789-1</f>
        <v/>
      </c>
      <c r="D1789" s="39">
        <f>INT((C1789-1)/12)+1</f>
        <v/>
      </c>
      <c r="E1789" s="44">
        <f>INDEX(Monthly!$B$2:$B$61,A1789)</f>
        <v/>
      </c>
      <c r="F1789" s="44">
        <f>E1789*INDEX('Age profile'!$B$2:$B$61,B1789)</f>
        <v/>
      </c>
      <c r="G1789" s="45">
        <f>MIN(in_takeup_cap,INDEX('Age profile'!$N$2:$N$61,B1789)*(1+in_takeup_growth)^(D1789-1))</f>
        <v/>
      </c>
      <c r="H1789" s="11">
        <f>MIN(in_approval_cap,in_approved_first*INDEX('Age profile'!$O$2:$O$61,B1789)*(1+in_approval_growth)^(D1789-1))</f>
        <v/>
      </c>
      <c r="I1789" s="45">
        <f>G1789*MIN(in_takeup_cap,INDEX('Age profile'!$O$2:$O$61,B1789)*(1+in_approval_growth)^(D1789-1))</f>
        <v/>
      </c>
      <c r="J1789" s="40">
        <f>(J1788-L1788)*F1789/F1788</f>
        <v/>
      </c>
      <c r="K1789" s="40">
        <f>(K1788-M1788)*F1789/F1788+SUMIFS(O1787:O1788,B1787:B1788,B1789-1-d_T)*F1789</f>
        <v/>
      </c>
      <c r="L1789" s="40">
        <f>IF(B1789&gt;=in_marketplace_from,J1789*d_hz*G1789*in_eligible*H1789,0)</f>
        <v/>
      </c>
      <c r="M1789" s="40">
        <f>IF(B1789&gt;=in_marketplace_from,K1789*d_hz*G1789*in_eligible*in_approved_repeat,0)</f>
        <v/>
      </c>
      <c r="N1789" s="40">
        <f>L1789+M1789</f>
        <v/>
      </c>
      <c r="O1789" s="46">
        <f>N1789/F1789</f>
        <v/>
      </c>
      <c r="P1789" s="40">
        <f>F1789-J1789-K1789</f>
        <v/>
      </c>
      <c r="Q1789" s="40">
        <f>IF(B1789&gt;=in_marketplace_from,(J1789+K1789)*d_hz*G1789,0)</f>
        <v/>
      </c>
      <c r="R1789" s="40">
        <f>SUMIFS(N1787:N1795,B1787:B1795,"&gt;="&amp;(B1789-d_T),B1787:B1795,"&lt;="&amp;(B1789-1))</f>
        <v/>
      </c>
      <c r="S1789" s="46">
        <f>(1-d_u)*S1788+IF(d_T&gt;in_topup_lag,SUMIFS(O1787:O1795,B1787:B1795,B1789-in_topup_lag)-d_udrop*SUMIFS(O1787:O1795,B1787:B1795,B1789-d_T),0)</f>
        <v/>
      </c>
      <c r="T1789" s="40">
        <f>F1789*d_u*S1789</f>
        <v/>
      </c>
      <c r="U1789" s="9">
        <f>L1789*in_ticket+M1789*d_rep_ticket</f>
        <v/>
      </c>
      <c r="V1789" s="9">
        <f>U1789+T1789*d_topup_amt</f>
        <v/>
      </c>
      <c r="W1789" s="40">
        <f>N1789+T1789*d_topup_ratio</f>
        <v/>
      </c>
      <c r="X1789" s="40">
        <f>SUMIFS(W1787:W1795,B1787:B1795,B1789-in_dpd_lag)*d_cured</f>
        <v/>
      </c>
      <c r="Y1789" s="40">
        <f>SUMIFS(W1787:W1795,B1787:B1795,B1789-in_rec_lag)*d_recd</f>
        <v/>
      </c>
      <c r="Z1789" s="40">
        <f>IF(AND(B1789&gt;=in_marketplace_from,B1789&lt;in_marketplace_from+in_card_months),in_card_share/in_card_months*F1789*I1789,IF(AND(B1789&gt;=in_marketplace_from+in_card_months,B1789&lt;in_marketplace_from+2*in_card_months),in_card_share*d_card_rem/in_card_months*F1789*MIN(in_takeup_cap,(1+in_takeup_growth)^(D1789-1))*MIN(in_takeup_cap,(1+in_approval_growth)^(D1789-1)),0))</f>
        <v/>
      </c>
      <c r="AA1789" s="14">
        <f>V1789*in_fee*(1-in_taken_back)</f>
        <v/>
      </c>
      <c r="AB1789" s="14">
        <f>SUMIFS(W1787:W1795,B1787:B1795,B1789-in_dpd_lag)*d_dpd</f>
        <v/>
      </c>
      <c r="AC1789" s="14">
        <f>SUMIFS(W1787:W1795,B1787:B1795,B1789-in_rec_lag)*d_rec</f>
        <v/>
      </c>
      <c r="AD1789" s="14">
        <f>Z1789*in_card_fee</f>
        <v/>
      </c>
      <c r="AE1789" s="40">
        <f>AE1788*(1-IF(B1788&gt;=in_marketplace_from,d_hz_hlth_small*G1788,0))</f>
        <v/>
      </c>
      <c r="AF1789" s="46">
        <f>AE1789*IF(B1789&gt;=in_marketplace_from,d_hz_hlth_small*G1789,0)</f>
        <v/>
      </c>
      <c r="AG1789" s="14">
        <f>F1789*AF1789*in_hlth_small_ticket*in_hlth_small_comm*in_ins_partner_share+F1789*in_hlth_small_ticket*in_hlth_small_renew_comm*in_ins_partner_share*(in_hlth_small_renew^1*SUMIFS(AF1787:AF1795,B1787:B1795,B1789-12)+in_hlth_small_renew^2*SUMIFS(AF1787:AF1795,B1787:B1795,B1789-24)+in_hlth_small_renew^3*SUMIFS(AF1787:AF1795,B1787:B1795,B1789-36)+in_hlth_small_renew^4*SUMIFS(AF1787:AF1795,B1787:B1795,B1789-48))</f>
        <v/>
      </c>
      <c r="AH1789" s="40">
        <f>AH1788*(1-IF(B1788&gt;=in_marketplace_from,d_hz_hlth_family*G1788,0))</f>
        <v/>
      </c>
      <c r="AI1789" s="46">
        <f>AH1789*IF(B1789&gt;=in_marketplace_from,d_hz_hlth_family*G1789,0)</f>
        <v/>
      </c>
      <c r="AJ1789" s="14">
        <f>F1789*AI1789*in_hlth_family_ticket*in_hlth_family_comm*in_ins_partner_share+F1789*in_hlth_family_ticket*in_hlth_family_renew_comm*in_ins_partner_share*(in_hlth_family_renew^1*SUMIFS(AI1787:AI1795,B1787:B1795,B1789-12)+in_hlth_family_renew^2*SUMIFS(AI1787:AI1795,B1787:B1795,B1789-24)+in_hlth_family_renew^3*SUMIFS(AI1787:AI1795,B1787:B1795,B1789-36)+in_hlth_family_renew^4*SUMIFS(AI1787:AI1795,B1787:B1795,B1789-48))</f>
        <v/>
      </c>
      <c r="AK1789" s="40">
        <f>AK1788*(1-IF(B1788&gt;=in_marketplace_from,d_hz_life_term*G1788,0))</f>
        <v/>
      </c>
      <c r="AL1789" s="46">
        <f>AK1789*IF(B1789&gt;=in_marketplace_from,d_hz_life_term*G1789,0)</f>
        <v/>
      </c>
      <c r="AM1789" s="14">
        <f>F1789*AL1789*in_life_term_ticket*in_life_term_comm*in_ins_partner_share+F1789*in_life_term_ticket*in_life_term_renew_comm*in_ins_partner_share*(in_life_term_renew^1*SUMIFS(AL1787:AL1795,B1787:B1795,B1789-12)+in_life_term_renew^2*SUMIFS(AL1787:AL1795,B1787:B1795,B1789-24)+in_life_term_renew^3*SUMIFS(AL1787:AL1795,B1787:B1795,B1789-36)+in_life_term_renew^4*SUMIFS(AL1787:AL1795,B1787:B1795,B1789-48))</f>
        <v/>
      </c>
      <c r="AN1789" s="40">
        <f>AN1788*(1-IF(B1788&gt;=in_marketplace_from,d_hz_accident*G1788,0))</f>
        <v/>
      </c>
      <c r="AO1789" s="46">
        <f>AN1789*IF(B1789&gt;=in_marketplace_from,d_hz_accident*G1789,0)</f>
        <v/>
      </c>
      <c r="AP1789" s="14">
        <f>F1789*AO1789*in_accident_ticket*in_accident_comm*in_ins_partner_share+F1789*in_accident_ticket*in_accident_renew_comm*in_ins_partner_share*(in_accident_renew^1*SUMIFS(AO1787:AO1795,B1787:B1795,B1789-12)+in_accident_renew^2*SUMIFS(AO1787:AO1795,B1787:B1795,B1789-24)+in_accident_renew^3*SUMIFS(AO1787:AO1795,B1787:B1795,B1789-36)+in_accident_renew^4*SUMIFS(AO1787:AO1795,B1787:B1795,B1789-48))</f>
        <v/>
      </c>
      <c r="AQ1789" s="40">
        <f>AQ1788*(1-IF(B1788&gt;=in_marketplace_from,d_hz_two_wheeler*G1788,0))</f>
        <v/>
      </c>
      <c r="AR1789" s="46">
        <f>AQ1789*IF(B1789&gt;=in_marketplace_from,d_hz_two_wheeler*G1789,0)</f>
        <v/>
      </c>
      <c r="AS1789" s="14">
        <f>F1789*AR1789*in_two_wheeler_ticket*in_two_wheeler_comm*in_ins_partner_share+F1789*in_two_wheeler_ticket*in_two_wheeler_comm*in_ins_partner_share*(in_two_wheeler_renew^1*SUMIFS(AR1787:AR1795,B1787:B1795,B1789-12)+in_two_wheeler_renew^2*SUMIFS(AR1787:AR1795,B1787:B1795,B1789-24)+in_two_wheeler_renew^3*SUMIFS(AR1787:AR1795,B1787:B1795,B1789-36)+in_two_wheeler_renew^4*SUMIFS(AR1787:AR1795,B1787:B1795,B1789-48))</f>
        <v/>
      </c>
      <c r="AT1789" s="40">
        <f>AT1788*(1-IF(B1788&gt;=in_marketplace_from,d_hz_device*G1788,0))</f>
        <v/>
      </c>
      <c r="AU1789" s="14">
        <f>F1789*AT1789*IF(B1789&gt;=in_marketplace_from,d_hz_device*G1789,0)*in_device_ticket*in_device_comm*in_ins_partner_share</f>
        <v/>
      </c>
      <c r="AV1789" s="40">
        <f>AV1788*(1-IF(B1788&gt;=in_marketplace_from,d_hz_shop*G1788,0))</f>
        <v/>
      </c>
      <c r="AW1789" s="46">
        <f>AV1789*IF(B1789&gt;=in_marketplace_from,d_hz_shop*G1789,0)</f>
        <v/>
      </c>
      <c r="AX1789" s="14">
        <f>F1789*AW1789*in_shop_ticket*in_shop_comm*in_ins_partner_share+F1789*in_shop_ticket*in_shop_renew_comm*in_ins_partner_share*(in_shop_renew^1*SUMIFS(AW1787:AW1795,B1787:B1795,B1789-12)+in_shop_renew^2*SUMIFS(AW1787:AW1795,B1787:B1795,B1789-24)+in_shop_renew^3*SUMIFS(AW1787:AW1795,B1787:B1795,B1789-36)+in_shop_renew^4*SUMIFS(AW1787:AW1795,B1787:B1795,B1789-48))</f>
        <v/>
      </c>
      <c r="AY1789" s="40">
        <f>AY1788*(1-IF(B1788&gt;=in_marketplace_from,d_hz_sip*G1788,0))</f>
        <v/>
      </c>
      <c r="AZ1789" s="40">
        <f>AZ1788*d_rho_sip+AY1789*IF(B1789&gt;=in_marketplace_from,d_hz_sip*G1789,0)</f>
        <v/>
      </c>
      <c r="BA1789" s="40">
        <f>d_rho_sip*(BA1788+AZ1788)</f>
        <v/>
      </c>
      <c r="BB1789" s="14">
        <f>F1789*in_sip_ticket*(BA1789+0.5*AZ1789)*in_sip_comm/12</f>
        <v/>
      </c>
      <c r="BC1789" s="40">
        <f>BC1788*(1-IF(B1788&gt;=in_marketplace_from,d_hz_choti*G1788,0))</f>
        <v/>
      </c>
      <c r="BD1789" s="46">
        <f>BC1789*IF(B1789&gt;=in_marketplace_from,d_hz_choti*G1789,0)</f>
        <v/>
      </c>
      <c r="BE1789" s="14">
        <f>F1789*SUMIFS(BD1787:BD1795,B1787:B1795,B1789-in_choti_months)*in_choti_renew*in_choti_ticket</f>
        <v/>
      </c>
      <c r="BF1789" s="40">
        <f>BF1788*(1-IF(B1788&gt;=in_marketplace_from,d_hz_nps*G1788,0))</f>
        <v/>
      </c>
      <c r="BG1789" s="14">
        <f>F1789*BF1789*IF(B1789&gt;=in_marketplace_from,d_hz_nps*G1789,0)*in_nps_ticket*in_nps_comm</f>
        <v/>
      </c>
      <c r="BH1789" s="40">
        <f>BH1788*(1-IF(B1788&gt;=in_marketplace_from,d_hz_gold*G1788,0))</f>
        <v/>
      </c>
      <c r="BI1789" s="40">
        <f>BI1788*d_rho_gold+BH1789*IF(B1789&gt;=in_marketplace_from,d_hz_gold*G1789,0)</f>
        <v/>
      </c>
      <c r="BJ1789" s="14">
        <f>F1789*BI1789*in_gold_ticket*in_gold_comm</f>
        <v/>
      </c>
      <c r="BK1789" s="40">
        <f>BK1788*(1-IF(B1788&gt;=in_marketplace_from,d_hz_fd*G1788,0))</f>
        <v/>
      </c>
      <c r="BL1789" s="14">
        <f>F1789*BK1789*IF(B1789&gt;=in_marketplace_from,d_hz_fd*G1789,0)*in_fd_ticket*in_fd_comm</f>
        <v/>
      </c>
      <c r="BM1789" s="40">
        <f>BM1788*(1-IF(B1788&gt;=in_marketplace_from,d_hz_recharge*G1788,0))</f>
        <v/>
      </c>
      <c r="BN1789" s="40">
        <f>BN1788*d_rho_recharge+BM1789*IF(B1789&gt;=in_marketplace_from,d_hz_recharge*G1789,0)</f>
        <v/>
      </c>
      <c r="BO1789" s="14">
        <f>F1789*BN1789*in_recharge_ticket*in_recharge_comm/12</f>
        <v/>
      </c>
      <c r="BP1789" s="40">
        <f>BP1788*(1-IF(B1788&gt;=in_marketplace_from,d_hz_bills*G1788,0))</f>
        <v/>
      </c>
      <c r="BQ1789" s="40">
        <f>BQ1788*d_rho_bills+BP1789*IF(B1789&gt;=in_marketplace_from,d_hz_bills*G1789,0)</f>
        <v/>
      </c>
      <c r="BR1789" s="14">
        <f>F1789*BQ1789*in_bills_ticket*in_bills_comm/12</f>
        <v/>
      </c>
      <c r="BS1789" s="40">
        <f>BS1788*(1-IF(B1788&gt;=in_marketplace_from,d_hz_loan_gold*G1788,0))</f>
        <v/>
      </c>
      <c r="BT1789" s="14">
        <f>F1789*BS1789*IF(B1789&gt;=in_marketplace_from,d_hz_loan_gold*G1789,0)*in_loan_gold_ticket*in_loan_gold_comm</f>
        <v/>
      </c>
      <c r="BU1789" s="40">
        <f>BU1788*(1-IF(B1788&gt;=in_marketplace_from,d_hz_loan_cd*G1788,0))</f>
        <v/>
      </c>
      <c r="BV1789" s="14">
        <f>F1789*BU1789*IF(B1789&gt;=in_marketplace_from,d_hz_loan_cd*G1789,0)*in_loan_cd_ticket*in_loan_cd_comm</f>
        <v/>
      </c>
      <c r="BW1789" s="40">
        <f>BW1788*(1-IF(B1788&gt;=in_marketplace_from,d_hz_loan_vehicle*G1788,0))</f>
        <v/>
      </c>
      <c r="BX1789" s="14">
        <f>F1789*BW1789*IF(B1789&gt;=in_marketplace_from,d_hz_loan_vehicle*G1789,0)*in_loan_vehicle_ticket*in_loan_vehicle_comm</f>
        <v/>
      </c>
      <c r="BY1789" s="40">
        <f>BY1788*(1-IF(B1788&gt;=in_marketplace_from,d_hz_loan_home*G1788,0)*BZ1788)</f>
        <v/>
      </c>
      <c r="BZ1789" s="11">
        <f>MIN(in_approval_cap,in_loan_home_approval*INDEX('Age profile'!$O$2:$O$61,B1789)*(1+in_approval_growth)^(D1789-1))</f>
        <v/>
      </c>
      <c r="CA1789" s="14">
        <f>F1789*BY1789*IF(B1789&gt;=in_marketplace_from,d_hz_loan_home*G1789,0)*BZ1789*in_loan_home_ticket*in_loan_home_comm</f>
        <v/>
      </c>
      <c r="CB1789" s="40">
        <f>CB1788*(1-IF(B1788&gt;=in_marketplace_from,d_hz_loan_lap*G1788,0)*CC1788)</f>
        <v/>
      </c>
      <c r="CC1789" s="11">
        <f>MIN(in_approval_cap,in_loan_lap_approval*INDEX('Age profile'!$O$2:$O$61,B1789)*(1+in_approval_growth)^(D1789-1))</f>
        <v/>
      </c>
      <c r="CD1789" s="14">
        <f>F1789*CB1789*IF(B1789&gt;=in_marketplace_from,d_hz_loan_lap*G1789,0)*CC1789*in_loan_lap_ticket*in_loan_lap_comm</f>
        <v/>
      </c>
      <c r="CE1789" s="14">
        <f>AA1789+AB1789+AC1789+AD1789+AG1789+AJ1789+AM1789+AP1789+AS1789+AU1789+AX1789+BB1789+BE1789+BG1789+BJ1789+BL1789+BO1789+BR1789+BT1789+BV1789+BX1789+CA1789+CD1789</f>
        <v/>
      </c>
    </row>
    <row r="1790">
      <c r="A1790" s="39" t="n">
        <v>52</v>
      </c>
      <c r="B1790" s="39" t="n">
        <v>4</v>
      </c>
      <c r="C1790" s="39">
        <f>A1790+B1790-1</f>
        <v/>
      </c>
      <c r="D1790" s="39">
        <f>INT((C1790-1)/12)+1</f>
        <v/>
      </c>
      <c r="E1790" s="44">
        <f>INDEX(Monthly!$B$2:$B$61,A1790)</f>
        <v/>
      </c>
      <c r="F1790" s="44">
        <f>E1790*INDEX('Age profile'!$B$2:$B$61,B1790)</f>
        <v/>
      </c>
      <c r="G1790" s="45">
        <f>MIN(in_takeup_cap,INDEX('Age profile'!$N$2:$N$61,B1790)*(1+in_takeup_growth)^(D1790-1))</f>
        <v/>
      </c>
      <c r="H1790" s="11">
        <f>MIN(in_approval_cap,in_approved_first*INDEX('Age profile'!$O$2:$O$61,B1790)*(1+in_approval_growth)^(D1790-1))</f>
        <v/>
      </c>
      <c r="I1790" s="45">
        <f>G1790*MIN(in_takeup_cap,INDEX('Age profile'!$O$2:$O$61,B1790)*(1+in_approval_growth)^(D1790-1))</f>
        <v/>
      </c>
      <c r="J1790" s="40">
        <f>(J1789-L1789)*F1790/F1789</f>
        <v/>
      </c>
      <c r="K1790" s="40">
        <f>(K1789-M1789)*F1790/F1789+SUMIFS(O1787:O1789,B1787:B1789,B1790-1-d_T)*F1790</f>
        <v/>
      </c>
      <c r="L1790" s="40">
        <f>IF(B1790&gt;=in_marketplace_from,J1790*d_hz*G1790*in_eligible*H1790,0)</f>
        <v/>
      </c>
      <c r="M1790" s="40">
        <f>IF(B1790&gt;=in_marketplace_from,K1790*d_hz*G1790*in_eligible*in_approved_repeat,0)</f>
        <v/>
      </c>
      <c r="N1790" s="40">
        <f>L1790+M1790</f>
        <v/>
      </c>
      <c r="O1790" s="46">
        <f>N1790/F1790</f>
        <v/>
      </c>
      <c r="P1790" s="40">
        <f>F1790-J1790-K1790</f>
        <v/>
      </c>
      <c r="Q1790" s="40">
        <f>IF(B1790&gt;=in_marketplace_from,(J1790+K1790)*d_hz*G1790,0)</f>
        <v/>
      </c>
      <c r="R1790" s="40">
        <f>SUMIFS(N1787:N1795,B1787:B1795,"&gt;="&amp;(B1790-d_T),B1787:B1795,"&lt;="&amp;(B1790-1))</f>
        <v/>
      </c>
      <c r="S1790" s="46">
        <f>(1-d_u)*S1789+IF(d_T&gt;in_topup_lag,SUMIFS(O1787:O1795,B1787:B1795,B1790-in_topup_lag)-d_udrop*SUMIFS(O1787:O1795,B1787:B1795,B1790-d_T),0)</f>
        <v/>
      </c>
      <c r="T1790" s="40">
        <f>F1790*d_u*S1790</f>
        <v/>
      </c>
      <c r="U1790" s="9">
        <f>L1790*in_ticket+M1790*d_rep_ticket</f>
        <v/>
      </c>
      <c r="V1790" s="9">
        <f>U1790+T1790*d_topup_amt</f>
        <v/>
      </c>
      <c r="W1790" s="40">
        <f>N1790+T1790*d_topup_ratio</f>
        <v/>
      </c>
      <c r="X1790" s="40">
        <f>SUMIFS(W1787:W1795,B1787:B1795,B1790-in_dpd_lag)*d_cured</f>
        <v/>
      </c>
      <c r="Y1790" s="40">
        <f>SUMIFS(W1787:W1795,B1787:B1795,B1790-in_rec_lag)*d_recd</f>
        <v/>
      </c>
      <c r="Z1790" s="40">
        <f>IF(AND(B1790&gt;=in_marketplace_from,B1790&lt;in_marketplace_from+in_card_months),in_card_share/in_card_months*F1790*I1790,IF(AND(B1790&gt;=in_marketplace_from+in_card_months,B1790&lt;in_marketplace_from+2*in_card_months),in_card_share*d_card_rem/in_card_months*F1790*MIN(in_takeup_cap,(1+in_takeup_growth)^(D1790-1))*MIN(in_takeup_cap,(1+in_approval_growth)^(D1790-1)),0))</f>
        <v/>
      </c>
      <c r="AA1790" s="14">
        <f>V1790*in_fee*(1-in_taken_back)</f>
        <v/>
      </c>
      <c r="AB1790" s="14">
        <f>SUMIFS(W1787:W1795,B1787:B1795,B1790-in_dpd_lag)*d_dpd</f>
        <v/>
      </c>
      <c r="AC1790" s="14">
        <f>SUMIFS(W1787:W1795,B1787:B1795,B1790-in_rec_lag)*d_rec</f>
        <v/>
      </c>
      <c r="AD1790" s="14">
        <f>Z1790*in_card_fee</f>
        <v/>
      </c>
      <c r="AE1790" s="40">
        <f>AE1789*(1-IF(B1789&gt;=in_marketplace_from,d_hz_hlth_small*G1789,0))</f>
        <v/>
      </c>
      <c r="AF1790" s="46">
        <f>AE1790*IF(B1790&gt;=in_marketplace_from,d_hz_hlth_small*G1790,0)</f>
        <v/>
      </c>
      <c r="AG1790" s="14">
        <f>F1790*AF1790*in_hlth_small_ticket*in_hlth_small_comm*in_ins_partner_share+F1790*in_hlth_small_ticket*in_hlth_small_renew_comm*in_ins_partner_share*(in_hlth_small_renew^1*SUMIFS(AF1787:AF1795,B1787:B1795,B1790-12)+in_hlth_small_renew^2*SUMIFS(AF1787:AF1795,B1787:B1795,B1790-24)+in_hlth_small_renew^3*SUMIFS(AF1787:AF1795,B1787:B1795,B1790-36)+in_hlth_small_renew^4*SUMIFS(AF1787:AF1795,B1787:B1795,B1790-48))</f>
        <v/>
      </c>
      <c r="AH1790" s="40">
        <f>AH1789*(1-IF(B1789&gt;=in_marketplace_from,d_hz_hlth_family*G1789,0))</f>
        <v/>
      </c>
      <c r="AI1790" s="46">
        <f>AH1790*IF(B1790&gt;=in_marketplace_from,d_hz_hlth_family*G1790,0)</f>
        <v/>
      </c>
      <c r="AJ1790" s="14">
        <f>F1790*AI1790*in_hlth_family_ticket*in_hlth_family_comm*in_ins_partner_share+F1790*in_hlth_family_ticket*in_hlth_family_renew_comm*in_ins_partner_share*(in_hlth_family_renew^1*SUMIFS(AI1787:AI1795,B1787:B1795,B1790-12)+in_hlth_family_renew^2*SUMIFS(AI1787:AI1795,B1787:B1795,B1790-24)+in_hlth_family_renew^3*SUMIFS(AI1787:AI1795,B1787:B1795,B1790-36)+in_hlth_family_renew^4*SUMIFS(AI1787:AI1795,B1787:B1795,B1790-48))</f>
        <v/>
      </c>
      <c r="AK1790" s="40">
        <f>AK1789*(1-IF(B1789&gt;=in_marketplace_from,d_hz_life_term*G1789,0))</f>
        <v/>
      </c>
      <c r="AL1790" s="46">
        <f>AK1790*IF(B1790&gt;=in_marketplace_from,d_hz_life_term*G1790,0)</f>
        <v/>
      </c>
      <c r="AM1790" s="14">
        <f>F1790*AL1790*in_life_term_ticket*in_life_term_comm*in_ins_partner_share+F1790*in_life_term_ticket*in_life_term_renew_comm*in_ins_partner_share*(in_life_term_renew^1*SUMIFS(AL1787:AL1795,B1787:B1795,B1790-12)+in_life_term_renew^2*SUMIFS(AL1787:AL1795,B1787:B1795,B1790-24)+in_life_term_renew^3*SUMIFS(AL1787:AL1795,B1787:B1795,B1790-36)+in_life_term_renew^4*SUMIFS(AL1787:AL1795,B1787:B1795,B1790-48))</f>
        <v/>
      </c>
      <c r="AN1790" s="40">
        <f>AN1789*(1-IF(B1789&gt;=in_marketplace_from,d_hz_accident*G1789,0))</f>
        <v/>
      </c>
      <c r="AO1790" s="46">
        <f>AN1790*IF(B1790&gt;=in_marketplace_from,d_hz_accident*G1790,0)</f>
        <v/>
      </c>
      <c r="AP1790" s="14">
        <f>F1790*AO1790*in_accident_ticket*in_accident_comm*in_ins_partner_share+F1790*in_accident_ticket*in_accident_renew_comm*in_ins_partner_share*(in_accident_renew^1*SUMIFS(AO1787:AO1795,B1787:B1795,B1790-12)+in_accident_renew^2*SUMIFS(AO1787:AO1795,B1787:B1795,B1790-24)+in_accident_renew^3*SUMIFS(AO1787:AO1795,B1787:B1795,B1790-36)+in_accident_renew^4*SUMIFS(AO1787:AO1795,B1787:B1795,B1790-48))</f>
        <v/>
      </c>
      <c r="AQ1790" s="40">
        <f>AQ1789*(1-IF(B1789&gt;=in_marketplace_from,d_hz_two_wheeler*G1789,0))</f>
        <v/>
      </c>
      <c r="AR1790" s="46">
        <f>AQ1790*IF(B1790&gt;=in_marketplace_from,d_hz_two_wheeler*G1790,0)</f>
        <v/>
      </c>
      <c r="AS1790" s="14">
        <f>F1790*AR1790*in_two_wheeler_ticket*in_two_wheeler_comm*in_ins_partner_share+F1790*in_two_wheeler_ticket*in_two_wheeler_comm*in_ins_partner_share*(in_two_wheeler_renew^1*SUMIFS(AR1787:AR1795,B1787:B1795,B1790-12)+in_two_wheeler_renew^2*SUMIFS(AR1787:AR1795,B1787:B1795,B1790-24)+in_two_wheeler_renew^3*SUMIFS(AR1787:AR1795,B1787:B1795,B1790-36)+in_two_wheeler_renew^4*SUMIFS(AR1787:AR1795,B1787:B1795,B1790-48))</f>
        <v/>
      </c>
      <c r="AT1790" s="40">
        <f>AT1789*(1-IF(B1789&gt;=in_marketplace_from,d_hz_device*G1789,0))</f>
        <v/>
      </c>
      <c r="AU1790" s="14">
        <f>F1790*AT1790*IF(B1790&gt;=in_marketplace_from,d_hz_device*G1790,0)*in_device_ticket*in_device_comm*in_ins_partner_share</f>
        <v/>
      </c>
      <c r="AV1790" s="40">
        <f>AV1789*(1-IF(B1789&gt;=in_marketplace_from,d_hz_shop*G1789,0))</f>
        <v/>
      </c>
      <c r="AW1790" s="46">
        <f>AV1790*IF(B1790&gt;=in_marketplace_from,d_hz_shop*G1790,0)</f>
        <v/>
      </c>
      <c r="AX1790" s="14">
        <f>F1790*AW1790*in_shop_ticket*in_shop_comm*in_ins_partner_share+F1790*in_shop_ticket*in_shop_renew_comm*in_ins_partner_share*(in_shop_renew^1*SUMIFS(AW1787:AW1795,B1787:B1795,B1790-12)+in_shop_renew^2*SUMIFS(AW1787:AW1795,B1787:B1795,B1790-24)+in_shop_renew^3*SUMIFS(AW1787:AW1795,B1787:B1795,B1790-36)+in_shop_renew^4*SUMIFS(AW1787:AW1795,B1787:B1795,B1790-48))</f>
        <v/>
      </c>
      <c r="AY1790" s="40">
        <f>AY1789*(1-IF(B1789&gt;=in_marketplace_from,d_hz_sip*G1789,0))</f>
        <v/>
      </c>
      <c r="AZ1790" s="40">
        <f>AZ1789*d_rho_sip+AY1790*IF(B1790&gt;=in_marketplace_from,d_hz_sip*G1790,0)</f>
        <v/>
      </c>
      <c r="BA1790" s="40">
        <f>d_rho_sip*(BA1789+AZ1789)</f>
        <v/>
      </c>
      <c r="BB1790" s="14">
        <f>F1790*in_sip_ticket*(BA1790+0.5*AZ1790)*in_sip_comm/12</f>
        <v/>
      </c>
      <c r="BC1790" s="40">
        <f>BC1789*(1-IF(B1789&gt;=in_marketplace_from,d_hz_choti*G1789,0))</f>
        <v/>
      </c>
      <c r="BD1790" s="46">
        <f>BC1790*IF(B1790&gt;=in_marketplace_from,d_hz_choti*G1790,0)</f>
        <v/>
      </c>
      <c r="BE1790" s="14">
        <f>F1790*SUMIFS(BD1787:BD1795,B1787:B1795,B1790-in_choti_months)*in_choti_renew*in_choti_ticket</f>
        <v/>
      </c>
      <c r="BF1790" s="40">
        <f>BF1789*(1-IF(B1789&gt;=in_marketplace_from,d_hz_nps*G1789,0))</f>
        <v/>
      </c>
      <c r="BG1790" s="14">
        <f>F1790*BF1790*IF(B1790&gt;=in_marketplace_from,d_hz_nps*G1790,0)*in_nps_ticket*in_nps_comm</f>
        <v/>
      </c>
      <c r="BH1790" s="40">
        <f>BH1789*(1-IF(B1789&gt;=in_marketplace_from,d_hz_gold*G1789,0))</f>
        <v/>
      </c>
      <c r="BI1790" s="40">
        <f>BI1789*d_rho_gold+BH1790*IF(B1790&gt;=in_marketplace_from,d_hz_gold*G1790,0)</f>
        <v/>
      </c>
      <c r="BJ1790" s="14">
        <f>F1790*BI1790*in_gold_ticket*in_gold_comm</f>
        <v/>
      </c>
      <c r="BK1790" s="40">
        <f>BK1789*(1-IF(B1789&gt;=in_marketplace_from,d_hz_fd*G1789,0))</f>
        <v/>
      </c>
      <c r="BL1790" s="14">
        <f>F1790*BK1790*IF(B1790&gt;=in_marketplace_from,d_hz_fd*G1790,0)*in_fd_ticket*in_fd_comm</f>
        <v/>
      </c>
      <c r="BM1790" s="40">
        <f>BM1789*(1-IF(B1789&gt;=in_marketplace_from,d_hz_recharge*G1789,0))</f>
        <v/>
      </c>
      <c r="BN1790" s="40">
        <f>BN1789*d_rho_recharge+BM1790*IF(B1790&gt;=in_marketplace_from,d_hz_recharge*G1790,0)</f>
        <v/>
      </c>
      <c r="BO1790" s="14">
        <f>F1790*BN1790*in_recharge_ticket*in_recharge_comm/12</f>
        <v/>
      </c>
      <c r="BP1790" s="40">
        <f>BP1789*(1-IF(B1789&gt;=in_marketplace_from,d_hz_bills*G1789,0))</f>
        <v/>
      </c>
      <c r="BQ1790" s="40">
        <f>BQ1789*d_rho_bills+BP1790*IF(B1790&gt;=in_marketplace_from,d_hz_bills*G1790,0)</f>
        <v/>
      </c>
      <c r="BR1790" s="14">
        <f>F1790*BQ1790*in_bills_ticket*in_bills_comm/12</f>
        <v/>
      </c>
      <c r="BS1790" s="40">
        <f>BS1789*(1-IF(B1789&gt;=in_marketplace_from,d_hz_loan_gold*G1789,0))</f>
        <v/>
      </c>
      <c r="BT1790" s="14">
        <f>F1790*BS1790*IF(B1790&gt;=in_marketplace_from,d_hz_loan_gold*G1790,0)*in_loan_gold_ticket*in_loan_gold_comm</f>
        <v/>
      </c>
      <c r="BU1790" s="40">
        <f>BU1789*(1-IF(B1789&gt;=in_marketplace_from,d_hz_loan_cd*G1789,0))</f>
        <v/>
      </c>
      <c r="BV1790" s="14">
        <f>F1790*BU1790*IF(B1790&gt;=in_marketplace_from,d_hz_loan_cd*G1790,0)*in_loan_cd_ticket*in_loan_cd_comm</f>
        <v/>
      </c>
      <c r="BW1790" s="40">
        <f>BW1789*(1-IF(B1789&gt;=in_marketplace_from,d_hz_loan_vehicle*G1789,0))</f>
        <v/>
      </c>
      <c r="BX1790" s="14">
        <f>F1790*BW1790*IF(B1790&gt;=in_marketplace_from,d_hz_loan_vehicle*G1790,0)*in_loan_vehicle_ticket*in_loan_vehicle_comm</f>
        <v/>
      </c>
      <c r="BY1790" s="40">
        <f>BY1789*(1-IF(B1789&gt;=in_marketplace_from,d_hz_loan_home*G1789,0)*BZ1789)</f>
        <v/>
      </c>
      <c r="BZ1790" s="11">
        <f>MIN(in_approval_cap,in_loan_home_approval*INDEX('Age profile'!$O$2:$O$61,B1790)*(1+in_approval_growth)^(D1790-1))</f>
        <v/>
      </c>
      <c r="CA1790" s="14">
        <f>F1790*BY1790*IF(B1790&gt;=in_marketplace_from,d_hz_loan_home*G1790,0)*BZ1790*in_loan_home_ticket*in_loan_home_comm</f>
        <v/>
      </c>
      <c r="CB1790" s="40">
        <f>CB1789*(1-IF(B1789&gt;=in_marketplace_from,d_hz_loan_lap*G1789,0)*CC1789)</f>
        <v/>
      </c>
      <c r="CC1790" s="11">
        <f>MIN(in_approval_cap,in_loan_lap_approval*INDEX('Age profile'!$O$2:$O$61,B1790)*(1+in_approval_growth)^(D1790-1))</f>
        <v/>
      </c>
      <c r="CD1790" s="14">
        <f>F1790*CB1790*IF(B1790&gt;=in_marketplace_from,d_hz_loan_lap*G1790,0)*CC1790*in_loan_lap_ticket*in_loan_lap_comm</f>
        <v/>
      </c>
      <c r="CE1790" s="14">
        <f>AA1790+AB1790+AC1790+AD1790+AG1790+AJ1790+AM1790+AP1790+AS1790+AU1790+AX1790+BB1790+BE1790+BG1790+BJ1790+BL1790+BO1790+BR1790+BT1790+BV1790+BX1790+CA1790+CD1790</f>
        <v/>
      </c>
    </row>
    <row r="1791">
      <c r="A1791" s="39" t="n">
        <v>52</v>
      </c>
      <c r="B1791" s="39" t="n">
        <v>5</v>
      </c>
      <c r="C1791" s="39">
        <f>A1791+B1791-1</f>
        <v/>
      </c>
      <c r="D1791" s="39">
        <f>INT((C1791-1)/12)+1</f>
        <v/>
      </c>
      <c r="E1791" s="44">
        <f>INDEX(Monthly!$B$2:$B$61,A1791)</f>
        <v/>
      </c>
      <c r="F1791" s="44">
        <f>E1791*INDEX('Age profile'!$B$2:$B$61,B1791)</f>
        <v/>
      </c>
      <c r="G1791" s="45">
        <f>MIN(in_takeup_cap,INDEX('Age profile'!$N$2:$N$61,B1791)*(1+in_takeup_growth)^(D1791-1))</f>
        <v/>
      </c>
      <c r="H1791" s="11">
        <f>MIN(in_approval_cap,in_approved_first*INDEX('Age profile'!$O$2:$O$61,B1791)*(1+in_approval_growth)^(D1791-1))</f>
        <v/>
      </c>
      <c r="I1791" s="45">
        <f>G1791*MIN(in_takeup_cap,INDEX('Age profile'!$O$2:$O$61,B1791)*(1+in_approval_growth)^(D1791-1))</f>
        <v/>
      </c>
      <c r="J1791" s="40">
        <f>(J1790-L1790)*F1791/F1790</f>
        <v/>
      </c>
      <c r="K1791" s="40">
        <f>(K1790-M1790)*F1791/F1790+SUMIFS(O1787:O1790,B1787:B1790,B1791-1-d_T)*F1791</f>
        <v/>
      </c>
      <c r="L1791" s="40">
        <f>IF(B1791&gt;=in_marketplace_from,J1791*d_hz*G1791*in_eligible*H1791,0)</f>
        <v/>
      </c>
      <c r="M1791" s="40">
        <f>IF(B1791&gt;=in_marketplace_from,K1791*d_hz*G1791*in_eligible*in_approved_repeat,0)</f>
        <v/>
      </c>
      <c r="N1791" s="40">
        <f>L1791+M1791</f>
        <v/>
      </c>
      <c r="O1791" s="46">
        <f>N1791/F1791</f>
        <v/>
      </c>
      <c r="P1791" s="40">
        <f>F1791-J1791-K1791</f>
        <v/>
      </c>
      <c r="Q1791" s="40">
        <f>IF(B1791&gt;=in_marketplace_from,(J1791+K1791)*d_hz*G1791,0)</f>
        <v/>
      </c>
      <c r="R1791" s="40">
        <f>SUMIFS(N1787:N1795,B1787:B1795,"&gt;="&amp;(B1791-d_T),B1787:B1795,"&lt;="&amp;(B1791-1))</f>
        <v/>
      </c>
      <c r="S1791" s="46">
        <f>(1-d_u)*S1790+IF(d_T&gt;in_topup_lag,SUMIFS(O1787:O1795,B1787:B1795,B1791-in_topup_lag)-d_udrop*SUMIFS(O1787:O1795,B1787:B1795,B1791-d_T),0)</f>
        <v/>
      </c>
      <c r="T1791" s="40">
        <f>F1791*d_u*S1791</f>
        <v/>
      </c>
      <c r="U1791" s="9">
        <f>L1791*in_ticket+M1791*d_rep_ticket</f>
        <v/>
      </c>
      <c r="V1791" s="9">
        <f>U1791+T1791*d_topup_amt</f>
        <v/>
      </c>
      <c r="W1791" s="40">
        <f>N1791+T1791*d_topup_ratio</f>
        <v/>
      </c>
      <c r="X1791" s="40">
        <f>SUMIFS(W1787:W1795,B1787:B1795,B1791-in_dpd_lag)*d_cured</f>
        <v/>
      </c>
      <c r="Y1791" s="40">
        <f>SUMIFS(W1787:W1795,B1787:B1795,B1791-in_rec_lag)*d_recd</f>
        <v/>
      </c>
      <c r="Z1791" s="40">
        <f>IF(AND(B1791&gt;=in_marketplace_from,B1791&lt;in_marketplace_from+in_card_months),in_card_share/in_card_months*F1791*I1791,IF(AND(B1791&gt;=in_marketplace_from+in_card_months,B1791&lt;in_marketplace_from+2*in_card_months),in_card_share*d_card_rem/in_card_months*F1791*MIN(in_takeup_cap,(1+in_takeup_growth)^(D1791-1))*MIN(in_takeup_cap,(1+in_approval_growth)^(D1791-1)),0))</f>
        <v/>
      </c>
      <c r="AA1791" s="14">
        <f>V1791*in_fee*(1-in_taken_back)</f>
        <v/>
      </c>
      <c r="AB1791" s="14">
        <f>SUMIFS(W1787:W1795,B1787:B1795,B1791-in_dpd_lag)*d_dpd</f>
        <v/>
      </c>
      <c r="AC1791" s="14">
        <f>SUMIFS(W1787:W1795,B1787:B1795,B1791-in_rec_lag)*d_rec</f>
        <v/>
      </c>
      <c r="AD1791" s="14">
        <f>Z1791*in_card_fee</f>
        <v/>
      </c>
      <c r="AE1791" s="40">
        <f>AE1790*(1-IF(B1790&gt;=in_marketplace_from,d_hz_hlth_small*G1790,0))</f>
        <v/>
      </c>
      <c r="AF1791" s="46">
        <f>AE1791*IF(B1791&gt;=in_marketplace_from,d_hz_hlth_small*G1791,0)</f>
        <v/>
      </c>
      <c r="AG1791" s="14">
        <f>F1791*AF1791*in_hlth_small_ticket*in_hlth_small_comm*in_ins_partner_share+F1791*in_hlth_small_ticket*in_hlth_small_renew_comm*in_ins_partner_share*(in_hlth_small_renew^1*SUMIFS(AF1787:AF1795,B1787:B1795,B1791-12)+in_hlth_small_renew^2*SUMIFS(AF1787:AF1795,B1787:B1795,B1791-24)+in_hlth_small_renew^3*SUMIFS(AF1787:AF1795,B1787:B1795,B1791-36)+in_hlth_small_renew^4*SUMIFS(AF1787:AF1795,B1787:B1795,B1791-48))</f>
        <v/>
      </c>
      <c r="AH1791" s="40">
        <f>AH1790*(1-IF(B1790&gt;=in_marketplace_from,d_hz_hlth_family*G1790,0))</f>
        <v/>
      </c>
      <c r="AI1791" s="46">
        <f>AH1791*IF(B1791&gt;=in_marketplace_from,d_hz_hlth_family*G1791,0)</f>
        <v/>
      </c>
      <c r="AJ1791" s="14">
        <f>F1791*AI1791*in_hlth_family_ticket*in_hlth_family_comm*in_ins_partner_share+F1791*in_hlth_family_ticket*in_hlth_family_renew_comm*in_ins_partner_share*(in_hlth_family_renew^1*SUMIFS(AI1787:AI1795,B1787:B1795,B1791-12)+in_hlth_family_renew^2*SUMIFS(AI1787:AI1795,B1787:B1795,B1791-24)+in_hlth_family_renew^3*SUMIFS(AI1787:AI1795,B1787:B1795,B1791-36)+in_hlth_family_renew^4*SUMIFS(AI1787:AI1795,B1787:B1795,B1791-48))</f>
        <v/>
      </c>
      <c r="AK1791" s="40">
        <f>AK1790*(1-IF(B1790&gt;=in_marketplace_from,d_hz_life_term*G1790,0))</f>
        <v/>
      </c>
      <c r="AL1791" s="46">
        <f>AK1791*IF(B1791&gt;=in_marketplace_from,d_hz_life_term*G1791,0)</f>
        <v/>
      </c>
      <c r="AM1791" s="14">
        <f>F1791*AL1791*in_life_term_ticket*in_life_term_comm*in_ins_partner_share+F1791*in_life_term_ticket*in_life_term_renew_comm*in_ins_partner_share*(in_life_term_renew^1*SUMIFS(AL1787:AL1795,B1787:B1795,B1791-12)+in_life_term_renew^2*SUMIFS(AL1787:AL1795,B1787:B1795,B1791-24)+in_life_term_renew^3*SUMIFS(AL1787:AL1795,B1787:B1795,B1791-36)+in_life_term_renew^4*SUMIFS(AL1787:AL1795,B1787:B1795,B1791-48))</f>
        <v/>
      </c>
      <c r="AN1791" s="40">
        <f>AN1790*(1-IF(B1790&gt;=in_marketplace_from,d_hz_accident*G1790,0))</f>
        <v/>
      </c>
      <c r="AO1791" s="46">
        <f>AN1791*IF(B1791&gt;=in_marketplace_from,d_hz_accident*G1791,0)</f>
        <v/>
      </c>
      <c r="AP1791" s="14">
        <f>F1791*AO1791*in_accident_ticket*in_accident_comm*in_ins_partner_share+F1791*in_accident_ticket*in_accident_renew_comm*in_ins_partner_share*(in_accident_renew^1*SUMIFS(AO1787:AO1795,B1787:B1795,B1791-12)+in_accident_renew^2*SUMIFS(AO1787:AO1795,B1787:B1795,B1791-24)+in_accident_renew^3*SUMIFS(AO1787:AO1795,B1787:B1795,B1791-36)+in_accident_renew^4*SUMIFS(AO1787:AO1795,B1787:B1795,B1791-48))</f>
        <v/>
      </c>
      <c r="AQ1791" s="40">
        <f>AQ1790*(1-IF(B1790&gt;=in_marketplace_from,d_hz_two_wheeler*G1790,0))</f>
        <v/>
      </c>
      <c r="AR1791" s="46">
        <f>AQ1791*IF(B1791&gt;=in_marketplace_from,d_hz_two_wheeler*G1791,0)</f>
        <v/>
      </c>
      <c r="AS1791" s="14">
        <f>F1791*AR1791*in_two_wheeler_ticket*in_two_wheeler_comm*in_ins_partner_share+F1791*in_two_wheeler_ticket*in_two_wheeler_comm*in_ins_partner_share*(in_two_wheeler_renew^1*SUMIFS(AR1787:AR1795,B1787:B1795,B1791-12)+in_two_wheeler_renew^2*SUMIFS(AR1787:AR1795,B1787:B1795,B1791-24)+in_two_wheeler_renew^3*SUMIFS(AR1787:AR1795,B1787:B1795,B1791-36)+in_two_wheeler_renew^4*SUMIFS(AR1787:AR1795,B1787:B1795,B1791-48))</f>
        <v/>
      </c>
      <c r="AT1791" s="40">
        <f>AT1790*(1-IF(B1790&gt;=in_marketplace_from,d_hz_device*G1790,0))</f>
        <v/>
      </c>
      <c r="AU1791" s="14">
        <f>F1791*AT1791*IF(B1791&gt;=in_marketplace_from,d_hz_device*G1791,0)*in_device_ticket*in_device_comm*in_ins_partner_share</f>
        <v/>
      </c>
      <c r="AV1791" s="40">
        <f>AV1790*(1-IF(B1790&gt;=in_marketplace_from,d_hz_shop*G1790,0))</f>
        <v/>
      </c>
      <c r="AW1791" s="46">
        <f>AV1791*IF(B1791&gt;=in_marketplace_from,d_hz_shop*G1791,0)</f>
        <v/>
      </c>
      <c r="AX1791" s="14">
        <f>F1791*AW1791*in_shop_ticket*in_shop_comm*in_ins_partner_share+F1791*in_shop_ticket*in_shop_renew_comm*in_ins_partner_share*(in_shop_renew^1*SUMIFS(AW1787:AW1795,B1787:B1795,B1791-12)+in_shop_renew^2*SUMIFS(AW1787:AW1795,B1787:B1795,B1791-24)+in_shop_renew^3*SUMIFS(AW1787:AW1795,B1787:B1795,B1791-36)+in_shop_renew^4*SUMIFS(AW1787:AW1795,B1787:B1795,B1791-48))</f>
        <v/>
      </c>
      <c r="AY1791" s="40">
        <f>AY1790*(1-IF(B1790&gt;=in_marketplace_from,d_hz_sip*G1790,0))</f>
        <v/>
      </c>
      <c r="AZ1791" s="40">
        <f>AZ1790*d_rho_sip+AY1791*IF(B1791&gt;=in_marketplace_from,d_hz_sip*G1791,0)</f>
        <v/>
      </c>
      <c r="BA1791" s="40">
        <f>d_rho_sip*(BA1790+AZ1790)</f>
        <v/>
      </c>
      <c r="BB1791" s="14">
        <f>F1791*in_sip_ticket*(BA1791+0.5*AZ1791)*in_sip_comm/12</f>
        <v/>
      </c>
      <c r="BC1791" s="40">
        <f>BC1790*(1-IF(B1790&gt;=in_marketplace_from,d_hz_choti*G1790,0))</f>
        <v/>
      </c>
      <c r="BD1791" s="46">
        <f>BC1791*IF(B1791&gt;=in_marketplace_from,d_hz_choti*G1791,0)</f>
        <v/>
      </c>
      <c r="BE1791" s="14">
        <f>F1791*SUMIFS(BD1787:BD1795,B1787:B1795,B1791-in_choti_months)*in_choti_renew*in_choti_ticket</f>
        <v/>
      </c>
      <c r="BF1791" s="40">
        <f>BF1790*(1-IF(B1790&gt;=in_marketplace_from,d_hz_nps*G1790,0))</f>
        <v/>
      </c>
      <c r="BG1791" s="14">
        <f>F1791*BF1791*IF(B1791&gt;=in_marketplace_from,d_hz_nps*G1791,0)*in_nps_ticket*in_nps_comm</f>
        <v/>
      </c>
      <c r="BH1791" s="40">
        <f>BH1790*(1-IF(B1790&gt;=in_marketplace_from,d_hz_gold*G1790,0))</f>
        <v/>
      </c>
      <c r="BI1791" s="40">
        <f>BI1790*d_rho_gold+BH1791*IF(B1791&gt;=in_marketplace_from,d_hz_gold*G1791,0)</f>
        <v/>
      </c>
      <c r="BJ1791" s="14">
        <f>F1791*BI1791*in_gold_ticket*in_gold_comm</f>
        <v/>
      </c>
      <c r="BK1791" s="40">
        <f>BK1790*(1-IF(B1790&gt;=in_marketplace_from,d_hz_fd*G1790,0))</f>
        <v/>
      </c>
      <c r="BL1791" s="14">
        <f>F1791*BK1791*IF(B1791&gt;=in_marketplace_from,d_hz_fd*G1791,0)*in_fd_ticket*in_fd_comm</f>
        <v/>
      </c>
      <c r="BM1791" s="40">
        <f>BM1790*(1-IF(B1790&gt;=in_marketplace_from,d_hz_recharge*G1790,0))</f>
        <v/>
      </c>
      <c r="BN1791" s="40">
        <f>BN1790*d_rho_recharge+BM1791*IF(B1791&gt;=in_marketplace_from,d_hz_recharge*G1791,0)</f>
        <v/>
      </c>
      <c r="BO1791" s="14">
        <f>F1791*BN1791*in_recharge_ticket*in_recharge_comm/12</f>
        <v/>
      </c>
      <c r="BP1791" s="40">
        <f>BP1790*(1-IF(B1790&gt;=in_marketplace_from,d_hz_bills*G1790,0))</f>
        <v/>
      </c>
      <c r="BQ1791" s="40">
        <f>BQ1790*d_rho_bills+BP1791*IF(B1791&gt;=in_marketplace_from,d_hz_bills*G1791,0)</f>
        <v/>
      </c>
      <c r="BR1791" s="14">
        <f>F1791*BQ1791*in_bills_ticket*in_bills_comm/12</f>
        <v/>
      </c>
      <c r="BS1791" s="40">
        <f>BS1790*(1-IF(B1790&gt;=in_marketplace_from,d_hz_loan_gold*G1790,0))</f>
        <v/>
      </c>
      <c r="BT1791" s="14">
        <f>F1791*BS1791*IF(B1791&gt;=in_marketplace_from,d_hz_loan_gold*G1791,0)*in_loan_gold_ticket*in_loan_gold_comm</f>
        <v/>
      </c>
      <c r="BU1791" s="40">
        <f>BU1790*(1-IF(B1790&gt;=in_marketplace_from,d_hz_loan_cd*G1790,0))</f>
        <v/>
      </c>
      <c r="BV1791" s="14">
        <f>F1791*BU1791*IF(B1791&gt;=in_marketplace_from,d_hz_loan_cd*G1791,0)*in_loan_cd_ticket*in_loan_cd_comm</f>
        <v/>
      </c>
      <c r="BW1791" s="40">
        <f>BW1790*(1-IF(B1790&gt;=in_marketplace_from,d_hz_loan_vehicle*G1790,0))</f>
        <v/>
      </c>
      <c r="BX1791" s="14">
        <f>F1791*BW1791*IF(B1791&gt;=in_marketplace_from,d_hz_loan_vehicle*G1791,0)*in_loan_vehicle_ticket*in_loan_vehicle_comm</f>
        <v/>
      </c>
      <c r="BY1791" s="40">
        <f>BY1790*(1-IF(B1790&gt;=in_marketplace_from,d_hz_loan_home*G1790,0)*BZ1790)</f>
        <v/>
      </c>
      <c r="BZ1791" s="11">
        <f>MIN(in_approval_cap,in_loan_home_approval*INDEX('Age profile'!$O$2:$O$61,B1791)*(1+in_approval_growth)^(D1791-1))</f>
        <v/>
      </c>
      <c r="CA1791" s="14">
        <f>F1791*BY1791*IF(B1791&gt;=in_marketplace_from,d_hz_loan_home*G1791,0)*BZ1791*in_loan_home_ticket*in_loan_home_comm</f>
        <v/>
      </c>
      <c r="CB1791" s="40">
        <f>CB1790*(1-IF(B1790&gt;=in_marketplace_from,d_hz_loan_lap*G1790,0)*CC1790)</f>
        <v/>
      </c>
      <c r="CC1791" s="11">
        <f>MIN(in_approval_cap,in_loan_lap_approval*INDEX('Age profile'!$O$2:$O$61,B1791)*(1+in_approval_growth)^(D1791-1))</f>
        <v/>
      </c>
      <c r="CD1791" s="14">
        <f>F1791*CB1791*IF(B1791&gt;=in_marketplace_from,d_hz_loan_lap*G1791,0)*CC1791*in_loan_lap_ticket*in_loan_lap_comm</f>
        <v/>
      </c>
      <c r="CE1791" s="14">
        <f>AA1791+AB1791+AC1791+AD1791+AG1791+AJ1791+AM1791+AP1791+AS1791+AU1791+AX1791+BB1791+BE1791+BG1791+BJ1791+BL1791+BO1791+BR1791+BT1791+BV1791+BX1791+CA1791+CD1791</f>
        <v/>
      </c>
    </row>
    <row r="1792">
      <c r="A1792" s="39" t="n">
        <v>52</v>
      </c>
      <c r="B1792" s="39" t="n">
        <v>6</v>
      </c>
      <c r="C1792" s="39">
        <f>A1792+B1792-1</f>
        <v/>
      </c>
      <c r="D1792" s="39">
        <f>INT((C1792-1)/12)+1</f>
        <v/>
      </c>
      <c r="E1792" s="44">
        <f>INDEX(Monthly!$B$2:$B$61,A1792)</f>
        <v/>
      </c>
      <c r="F1792" s="44">
        <f>E1792*INDEX('Age profile'!$B$2:$B$61,B1792)</f>
        <v/>
      </c>
      <c r="G1792" s="45">
        <f>MIN(in_takeup_cap,INDEX('Age profile'!$N$2:$N$61,B1792)*(1+in_takeup_growth)^(D1792-1))</f>
        <v/>
      </c>
      <c r="H1792" s="11">
        <f>MIN(in_approval_cap,in_approved_first*INDEX('Age profile'!$O$2:$O$61,B1792)*(1+in_approval_growth)^(D1792-1))</f>
        <v/>
      </c>
      <c r="I1792" s="45">
        <f>G1792*MIN(in_takeup_cap,INDEX('Age profile'!$O$2:$O$61,B1792)*(1+in_approval_growth)^(D1792-1))</f>
        <v/>
      </c>
      <c r="J1792" s="40">
        <f>(J1791-L1791)*F1792/F1791</f>
        <v/>
      </c>
      <c r="K1792" s="40">
        <f>(K1791-M1791)*F1792/F1791+SUMIFS(O1787:O1791,B1787:B1791,B1792-1-d_T)*F1792</f>
        <v/>
      </c>
      <c r="L1792" s="40">
        <f>IF(B1792&gt;=in_marketplace_from,J1792*d_hz*G1792*in_eligible*H1792,0)</f>
        <v/>
      </c>
      <c r="M1792" s="40">
        <f>IF(B1792&gt;=in_marketplace_from,K1792*d_hz*G1792*in_eligible*in_approved_repeat,0)</f>
        <v/>
      </c>
      <c r="N1792" s="40">
        <f>L1792+M1792</f>
        <v/>
      </c>
      <c r="O1792" s="46">
        <f>N1792/F1792</f>
        <v/>
      </c>
      <c r="P1792" s="40">
        <f>F1792-J1792-K1792</f>
        <v/>
      </c>
      <c r="Q1792" s="40">
        <f>IF(B1792&gt;=in_marketplace_from,(J1792+K1792)*d_hz*G1792,0)</f>
        <v/>
      </c>
      <c r="R1792" s="40">
        <f>SUMIFS(N1787:N1795,B1787:B1795,"&gt;="&amp;(B1792-d_T),B1787:B1795,"&lt;="&amp;(B1792-1))</f>
        <v/>
      </c>
      <c r="S1792" s="46">
        <f>(1-d_u)*S1791+IF(d_T&gt;in_topup_lag,SUMIFS(O1787:O1795,B1787:B1795,B1792-in_topup_lag)-d_udrop*SUMIFS(O1787:O1795,B1787:B1795,B1792-d_T),0)</f>
        <v/>
      </c>
      <c r="T1792" s="40">
        <f>F1792*d_u*S1792</f>
        <v/>
      </c>
      <c r="U1792" s="9">
        <f>L1792*in_ticket+M1792*d_rep_ticket</f>
        <v/>
      </c>
      <c r="V1792" s="9">
        <f>U1792+T1792*d_topup_amt</f>
        <v/>
      </c>
      <c r="W1792" s="40">
        <f>N1792+T1792*d_topup_ratio</f>
        <v/>
      </c>
      <c r="X1792" s="40">
        <f>SUMIFS(W1787:W1795,B1787:B1795,B1792-in_dpd_lag)*d_cured</f>
        <v/>
      </c>
      <c r="Y1792" s="40">
        <f>SUMIFS(W1787:W1795,B1787:B1795,B1792-in_rec_lag)*d_recd</f>
        <v/>
      </c>
      <c r="Z1792" s="40">
        <f>IF(AND(B1792&gt;=in_marketplace_from,B1792&lt;in_marketplace_from+in_card_months),in_card_share/in_card_months*F1792*I1792,IF(AND(B1792&gt;=in_marketplace_from+in_card_months,B1792&lt;in_marketplace_from+2*in_card_months),in_card_share*d_card_rem/in_card_months*F1792*MIN(in_takeup_cap,(1+in_takeup_growth)^(D1792-1))*MIN(in_takeup_cap,(1+in_approval_growth)^(D1792-1)),0))</f>
        <v/>
      </c>
      <c r="AA1792" s="14">
        <f>V1792*in_fee*(1-in_taken_back)</f>
        <v/>
      </c>
      <c r="AB1792" s="14">
        <f>SUMIFS(W1787:W1795,B1787:B1795,B1792-in_dpd_lag)*d_dpd</f>
        <v/>
      </c>
      <c r="AC1792" s="14">
        <f>SUMIFS(W1787:W1795,B1787:B1795,B1792-in_rec_lag)*d_rec</f>
        <v/>
      </c>
      <c r="AD1792" s="14">
        <f>Z1792*in_card_fee</f>
        <v/>
      </c>
      <c r="AE1792" s="40">
        <f>AE1791*(1-IF(B1791&gt;=in_marketplace_from,d_hz_hlth_small*G1791,0))</f>
        <v/>
      </c>
      <c r="AF1792" s="46">
        <f>AE1792*IF(B1792&gt;=in_marketplace_from,d_hz_hlth_small*G1792,0)</f>
        <v/>
      </c>
      <c r="AG1792" s="14">
        <f>F1792*AF1792*in_hlth_small_ticket*in_hlth_small_comm*in_ins_partner_share+F1792*in_hlth_small_ticket*in_hlth_small_renew_comm*in_ins_partner_share*(in_hlth_small_renew^1*SUMIFS(AF1787:AF1795,B1787:B1795,B1792-12)+in_hlth_small_renew^2*SUMIFS(AF1787:AF1795,B1787:B1795,B1792-24)+in_hlth_small_renew^3*SUMIFS(AF1787:AF1795,B1787:B1795,B1792-36)+in_hlth_small_renew^4*SUMIFS(AF1787:AF1795,B1787:B1795,B1792-48))</f>
        <v/>
      </c>
      <c r="AH1792" s="40">
        <f>AH1791*(1-IF(B1791&gt;=in_marketplace_from,d_hz_hlth_family*G1791,0))</f>
        <v/>
      </c>
      <c r="AI1792" s="46">
        <f>AH1792*IF(B1792&gt;=in_marketplace_from,d_hz_hlth_family*G1792,0)</f>
        <v/>
      </c>
      <c r="AJ1792" s="14">
        <f>F1792*AI1792*in_hlth_family_ticket*in_hlth_family_comm*in_ins_partner_share+F1792*in_hlth_family_ticket*in_hlth_family_renew_comm*in_ins_partner_share*(in_hlth_family_renew^1*SUMIFS(AI1787:AI1795,B1787:B1795,B1792-12)+in_hlth_family_renew^2*SUMIFS(AI1787:AI1795,B1787:B1795,B1792-24)+in_hlth_family_renew^3*SUMIFS(AI1787:AI1795,B1787:B1795,B1792-36)+in_hlth_family_renew^4*SUMIFS(AI1787:AI1795,B1787:B1795,B1792-48))</f>
        <v/>
      </c>
      <c r="AK1792" s="40">
        <f>AK1791*(1-IF(B1791&gt;=in_marketplace_from,d_hz_life_term*G1791,0))</f>
        <v/>
      </c>
      <c r="AL1792" s="46">
        <f>AK1792*IF(B1792&gt;=in_marketplace_from,d_hz_life_term*G1792,0)</f>
        <v/>
      </c>
      <c r="AM1792" s="14">
        <f>F1792*AL1792*in_life_term_ticket*in_life_term_comm*in_ins_partner_share+F1792*in_life_term_ticket*in_life_term_renew_comm*in_ins_partner_share*(in_life_term_renew^1*SUMIFS(AL1787:AL1795,B1787:B1795,B1792-12)+in_life_term_renew^2*SUMIFS(AL1787:AL1795,B1787:B1795,B1792-24)+in_life_term_renew^3*SUMIFS(AL1787:AL1795,B1787:B1795,B1792-36)+in_life_term_renew^4*SUMIFS(AL1787:AL1795,B1787:B1795,B1792-48))</f>
        <v/>
      </c>
      <c r="AN1792" s="40">
        <f>AN1791*(1-IF(B1791&gt;=in_marketplace_from,d_hz_accident*G1791,0))</f>
        <v/>
      </c>
      <c r="AO1792" s="46">
        <f>AN1792*IF(B1792&gt;=in_marketplace_from,d_hz_accident*G1792,0)</f>
        <v/>
      </c>
      <c r="AP1792" s="14">
        <f>F1792*AO1792*in_accident_ticket*in_accident_comm*in_ins_partner_share+F1792*in_accident_ticket*in_accident_renew_comm*in_ins_partner_share*(in_accident_renew^1*SUMIFS(AO1787:AO1795,B1787:B1795,B1792-12)+in_accident_renew^2*SUMIFS(AO1787:AO1795,B1787:B1795,B1792-24)+in_accident_renew^3*SUMIFS(AO1787:AO1795,B1787:B1795,B1792-36)+in_accident_renew^4*SUMIFS(AO1787:AO1795,B1787:B1795,B1792-48))</f>
        <v/>
      </c>
      <c r="AQ1792" s="40">
        <f>AQ1791*(1-IF(B1791&gt;=in_marketplace_from,d_hz_two_wheeler*G1791,0))</f>
        <v/>
      </c>
      <c r="AR1792" s="46">
        <f>AQ1792*IF(B1792&gt;=in_marketplace_from,d_hz_two_wheeler*G1792,0)</f>
        <v/>
      </c>
      <c r="AS1792" s="14">
        <f>F1792*AR1792*in_two_wheeler_ticket*in_two_wheeler_comm*in_ins_partner_share+F1792*in_two_wheeler_ticket*in_two_wheeler_comm*in_ins_partner_share*(in_two_wheeler_renew^1*SUMIFS(AR1787:AR1795,B1787:B1795,B1792-12)+in_two_wheeler_renew^2*SUMIFS(AR1787:AR1795,B1787:B1795,B1792-24)+in_two_wheeler_renew^3*SUMIFS(AR1787:AR1795,B1787:B1795,B1792-36)+in_two_wheeler_renew^4*SUMIFS(AR1787:AR1795,B1787:B1795,B1792-48))</f>
        <v/>
      </c>
      <c r="AT1792" s="40">
        <f>AT1791*(1-IF(B1791&gt;=in_marketplace_from,d_hz_device*G1791,0))</f>
        <v/>
      </c>
      <c r="AU1792" s="14">
        <f>F1792*AT1792*IF(B1792&gt;=in_marketplace_from,d_hz_device*G1792,0)*in_device_ticket*in_device_comm*in_ins_partner_share</f>
        <v/>
      </c>
      <c r="AV1792" s="40">
        <f>AV1791*(1-IF(B1791&gt;=in_marketplace_from,d_hz_shop*G1791,0))</f>
        <v/>
      </c>
      <c r="AW1792" s="46">
        <f>AV1792*IF(B1792&gt;=in_marketplace_from,d_hz_shop*G1792,0)</f>
        <v/>
      </c>
      <c r="AX1792" s="14">
        <f>F1792*AW1792*in_shop_ticket*in_shop_comm*in_ins_partner_share+F1792*in_shop_ticket*in_shop_renew_comm*in_ins_partner_share*(in_shop_renew^1*SUMIFS(AW1787:AW1795,B1787:B1795,B1792-12)+in_shop_renew^2*SUMIFS(AW1787:AW1795,B1787:B1795,B1792-24)+in_shop_renew^3*SUMIFS(AW1787:AW1795,B1787:B1795,B1792-36)+in_shop_renew^4*SUMIFS(AW1787:AW1795,B1787:B1795,B1792-48))</f>
        <v/>
      </c>
      <c r="AY1792" s="40">
        <f>AY1791*(1-IF(B1791&gt;=in_marketplace_from,d_hz_sip*G1791,0))</f>
        <v/>
      </c>
      <c r="AZ1792" s="40">
        <f>AZ1791*d_rho_sip+AY1792*IF(B1792&gt;=in_marketplace_from,d_hz_sip*G1792,0)</f>
        <v/>
      </c>
      <c r="BA1792" s="40">
        <f>d_rho_sip*(BA1791+AZ1791)</f>
        <v/>
      </c>
      <c r="BB1792" s="14">
        <f>F1792*in_sip_ticket*(BA1792+0.5*AZ1792)*in_sip_comm/12</f>
        <v/>
      </c>
      <c r="BC1792" s="40">
        <f>BC1791*(1-IF(B1791&gt;=in_marketplace_from,d_hz_choti*G1791,0))</f>
        <v/>
      </c>
      <c r="BD1792" s="46">
        <f>BC1792*IF(B1792&gt;=in_marketplace_from,d_hz_choti*G1792,0)</f>
        <v/>
      </c>
      <c r="BE1792" s="14">
        <f>F1792*SUMIFS(BD1787:BD1795,B1787:B1795,B1792-in_choti_months)*in_choti_renew*in_choti_ticket</f>
        <v/>
      </c>
      <c r="BF1792" s="40">
        <f>BF1791*(1-IF(B1791&gt;=in_marketplace_from,d_hz_nps*G1791,0))</f>
        <v/>
      </c>
      <c r="BG1792" s="14">
        <f>F1792*BF1792*IF(B1792&gt;=in_marketplace_from,d_hz_nps*G1792,0)*in_nps_ticket*in_nps_comm</f>
        <v/>
      </c>
      <c r="BH1792" s="40">
        <f>BH1791*(1-IF(B1791&gt;=in_marketplace_from,d_hz_gold*G1791,0))</f>
        <v/>
      </c>
      <c r="BI1792" s="40">
        <f>BI1791*d_rho_gold+BH1792*IF(B1792&gt;=in_marketplace_from,d_hz_gold*G1792,0)</f>
        <v/>
      </c>
      <c r="BJ1792" s="14">
        <f>F1792*BI1792*in_gold_ticket*in_gold_comm</f>
        <v/>
      </c>
      <c r="BK1792" s="40">
        <f>BK1791*(1-IF(B1791&gt;=in_marketplace_from,d_hz_fd*G1791,0))</f>
        <v/>
      </c>
      <c r="BL1792" s="14">
        <f>F1792*BK1792*IF(B1792&gt;=in_marketplace_from,d_hz_fd*G1792,0)*in_fd_ticket*in_fd_comm</f>
        <v/>
      </c>
      <c r="BM1792" s="40">
        <f>BM1791*(1-IF(B1791&gt;=in_marketplace_from,d_hz_recharge*G1791,0))</f>
        <v/>
      </c>
      <c r="BN1792" s="40">
        <f>BN1791*d_rho_recharge+BM1792*IF(B1792&gt;=in_marketplace_from,d_hz_recharge*G1792,0)</f>
        <v/>
      </c>
      <c r="BO1792" s="14">
        <f>F1792*BN1792*in_recharge_ticket*in_recharge_comm/12</f>
        <v/>
      </c>
      <c r="BP1792" s="40">
        <f>BP1791*(1-IF(B1791&gt;=in_marketplace_from,d_hz_bills*G1791,0))</f>
        <v/>
      </c>
      <c r="BQ1792" s="40">
        <f>BQ1791*d_rho_bills+BP1792*IF(B1792&gt;=in_marketplace_from,d_hz_bills*G1792,0)</f>
        <v/>
      </c>
      <c r="BR1792" s="14">
        <f>F1792*BQ1792*in_bills_ticket*in_bills_comm/12</f>
        <v/>
      </c>
      <c r="BS1792" s="40">
        <f>BS1791*(1-IF(B1791&gt;=in_marketplace_from,d_hz_loan_gold*G1791,0))</f>
        <v/>
      </c>
      <c r="BT1792" s="14">
        <f>F1792*BS1792*IF(B1792&gt;=in_marketplace_from,d_hz_loan_gold*G1792,0)*in_loan_gold_ticket*in_loan_gold_comm</f>
        <v/>
      </c>
      <c r="BU1792" s="40">
        <f>BU1791*(1-IF(B1791&gt;=in_marketplace_from,d_hz_loan_cd*G1791,0))</f>
        <v/>
      </c>
      <c r="BV1792" s="14">
        <f>F1792*BU1792*IF(B1792&gt;=in_marketplace_from,d_hz_loan_cd*G1792,0)*in_loan_cd_ticket*in_loan_cd_comm</f>
        <v/>
      </c>
      <c r="BW1792" s="40">
        <f>BW1791*(1-IF(B1791&gt;=in_marketplace_from,d_hz_loan_vehicle*G1791,0))</f>
        <v/>
      </c>
      <c r="BX1792" s="14">
        <f>F1792*BW1792*IF(B1792&gt;=in_marketplace_from,d_hz_loan_vehicle*G1792,0)*in_loan_vehicle_ticket*in_loan_vehicle_comm</f>
        <v/>
      </c>
      <c r="BY1792" s="40">
        <f>BY1791*(1-IF(B1791&gt;=in_marketplace_from,d_hz_loan_home*G1791,0)*BZ1791)</f>
        <v/>
      </c>
      <c r="BZ1792" s="11">
        <f>MIN(in_approval_cap,in_loan_home_approval*INDEX('Age profile'!$O$2:$O$61,B1792)*(1+in_approval_growth)^(D1792-1))</f>
        <v/>
      </c>
      <c r="CA1792" s="14">
        <f>F1792*BY1792*IF(B1792&gt;=in_marketplace_from,d_hz_loan_home*G1792,0)*BZ1792*in_loan_home_ticket*in_loan_home_comm</f>
        <v/>
      </c>
      <c r="CB1792" s="40">
        <f>CB1791*(1-IF(B1791&gt;=in_marketplace_from,d_hz_loan_lap*G1791,0)*CC1791)</f>
        <v/>
      </c>
      <c r="CC1792" s="11">
        <f>MIN(in_approval_cap,in_loan_lap_approval*INDEX('Age profile'!$O$2:$O$61,B1792)*(1+in_approval_growth)^(D1792-1))</f>
        <v/>
      </c>
      <c r="CD1792" s="14">
        <f>F1792*CB1792*IF(B1792&gt;=in_marketplace_from,d_hz_loan_lap*G1792,0)*CC1792*in_loan_lap_ticket*in_loan_lap_comm</f>
        <v/>
      </c>
      <c r="CE1792" s="14">
        <f>AA1792+AB1792+AC1792+AD1792+AG1792+AJ1792+AM1792+AP1792+AS1792+AU1792+AX1792+BB1792+BE1792+BG1792+BJ1792+BL1792+BO1792+BR1792+BT1792+BV1792+BX1792+CA1792+CD1792</f>
        <v/>
      </c>
    </row>
    <row r="1793">
      <c r="A1793" s="39" t="n">
        <v>52</v>
      </c>
      <c r="B1793" s="39" t="n">
        <v>7</v>
      </c>
      <c r="C1793" s="39">
        <f>A1793+B1793-1</f>
        <v/>
      </c>
      <c r="D1793" s="39">
        <f>INT((C1793-1)/12)+1</f>
        <v/>
      </c>
      <c r="E1793" s="44">
        <f>INDEX(Monthly!$B$2:$B$61,A1793)</f>
        <v/>
      </c>
      <c r="F1793" s="44">
        <f>E1793*INDEX('Age profile'!$B$2:$B$61,B1793)</f>
        <v/>
      </c>
      <c r="G1793" s="45">
        <f>MIN(in_takeup_cap,INDEX('Age profile'!$N$2:$N$61,B1793)*(1+in_takeup_growth)^(D1793-1))</f>
        <v/>
      </c>
      <c r="H1793" s="11">
        <f>MIN(in_approval_cap,in_approved_first*INDEX('Age profile'!$O$2:$O$61,B1793)*(1+in_approval_growth)^(D1793-1))</f>
        <v/>
      </c>
      <c r="I1793" s="45">
        <f>G1793*MIN(in_takeup_cap,INDEX('Age profile'!$O$2:$O$61,B1793)*(1+in_approval_growth)^(D1793-1))</f>
        <v/>
      </c>
      <c r="J1793" s="40">
        <f>(J1792-L1792)*F1793/F1792</f>
        <v/>
      </c>
      <c r="K1793" s="40">
        <f>(K1792-M1792)*F1793/F1792+SUMIFS(O1787:O1792,B1787:B1792,B1793-1-d_T)*F1793</f>
        <v/>
      </c>
      <c r="L1793" s="40">
        <f>IF(B1793&gt;=in_marketplace_from,J1793*d_hz*G1793*in_eligible*H1793,0)</f>
        <v/>
      </c>
      <c r="M1793" s="40">
        <f>IF(B1793&gt;=in_marketplace_from,K1793*d_hz*G1793*in_eligible*in_approved_repeat,0)</f>
        <v/>
      </c>
      <c r="N1793" s="40">
        <f>L1793+M1793</f>
        <v/>
      </c>
      <c r="O1793" s="46">
        <f>N1793/F1793</f>
        <v/>
      </c>
      <c r="P1793" s="40">
        <f>F1793-J1793-K1793</f>
        <v/>
      </c>
      <c r="Q1793" s="40">
        <f>IF(B1793&gt;=in_marketplace_from,(J1793+K1793)*d_hz*G1793,0)</f>
        <v/>
      </c>
      <c r="R1793" s="40">
        <f>SUMIFS(N1787:N1795,B1787:B1795,"&gt;="&amp;(B1793-d_T),B1787:B1795,"&lt;="&amp;(B1793-1))</f>
        <v/>
      </c>
      <c r="S1793" s="46">
        <f>(1-d_u)*S1792+IF(d_T&gt;in_topup_lag,SUMIFS(O1787:O1795,B1787:B1795,B1793-in_topup_lag)-d_udrop*SUMIFS(O1787:O1795,B1787:B1795,B1793-d_T),0)</f>
        <v/>
      </c>
      <c r="T1793" s="40">
        <f>F1793*d_u*S1793</f>
        <v/>
      </c>
      <c r="U1793" s="9">
        <f>L1793*in_ticket+M1793*d_rep_ticket</f>
        <v/>
      </c>
      <c r="V1793" s="9">
        <f>U1793+T1793*d_topup_amt</f>
        <v/>
      </c>
      <c r="W1793" s="40">
        <f>N1793+T1793*d_topup_ratio</f>
        <v/>
      </c>
      <c r="X1793" s="40">
        <f>SUMIFS(W1787:W1795,B1787:B1795,B1793-in_dpd_lag)*d_cured</f>
        <v/>
      </c>
      <c r="Y1793" s="40">
        <f>SUMIFS(W1787:W1795,B1787:B1795,B1793-in_rec_lag)*d_recd</f>
        <v/>
      </c>
      <c r="Z1793" s="40">
        <f>IF(AND(B1793&gt;=in_marketplace_from,B1793&lt;in_marketplace_from+in_card_months),in_card_share/in_card_months*F1793*I1793,IF(AND(B1793&gt;=in_marketplace_from+in_card_months,B1793&lt;in_marketplace_from+2*in_card_months),in_card_share*d_card_rem/in_card_months*F1793*MIN(in_takeup_cap,(1+in_takeup_growth)^(D1793-1))*MIN(in_takeup_cap,(1+in_approval_growth)^(D1793-1)),0))</f>
        <v/>
      </c>
      <c r="AA1793" s="14">
        <f>V1793*in_fee*(1-in_taken_back)</f>
        <v/>
      </c>
      <c r="AB1793" s="14">
        <f>SUMIFS(W1787:W1795,B1787:B1795,B1793-in_dpd_lag)*d_dpd</f>
        <v/>
      </c>
      <c r="AC1793" s="14">
        <f>SUMIFS(W1787:W1795,B1787:B1795,B1793-in_rec_lag)*d_rec</f>
        <v/>
      </c>
      <c r="AD1793" s="14">
        <f>Z1793*in_card_fee</f>
        <v/>
      </c>
      <c r="AE1793" s="40">
        <f>AE1792*(1-IF(B1792&gt;=in_marketplace_from,d_hz_hlth_small*G1792,0))</f>
        <v/>
      </c>
      <c r="AF1793" s="46">
        <f>AE1793*IF(B1793&gt;=in_marketplace_from,d_hz_hlth_small*G1793,0)</f>
        <v/>
      </c>
      <c r="AG1793" s="14">
        <f>F1793*AF1793*in_hlth_small_ticket*in_hlth_small_comm*in_ins_partner_share+F1793*in_hlth_small_ticket*in_hlth_small_renew_comm*in_ins_partner_share*(in_hlth_small_renew^1*SUMIFS(AF1787:AF1795,B1787:B1795,B1793-12)+in_hlth_small_renew^2*SUMIFS(AF1787:AF1795,B1787:B1795,B1793-24)+in_hlth_small_renew^3*SUMIFS(AF1787:AF1795,B1787:B1795,B1793-36)+in_hlth_small_renew^4*SUMIFS(AF1787:AF1795,B1787:B1795,B1793-48))</f>
        <v/>
      </c>
      <c r="AH1793" s="40">
        <f>AH1792*(1-IF(B1792&gt;=in_marketplace_from,d_hz_hlth_family*G1792,0))</f>
        <v/>
      </c>
      <c r="AI1793" s="46">
        <f>AH1793*IF(B1793&gt;=in_marketplace_from,d_hz_hlth_family*G1793,0)</f>
        <v/>
      </c>
      <c r="AJ1793" s="14">
        <f>F1793*AI1793*in_hlth_family_ticket*in_hlth_family_comm*in_ins_partner_share+F1793*in_hlth_family_ticket*in_hlth_family_renew_comm*in_ins_partner_share*(in_hlth_family_renew^1*SUMIFS(AI1787:AI1795,B1787:B1795,B1793-12)+in_hlth_family_renew^2*SUMIFS(AI1787:AI1795,B1787:B1795,B1793-24)+in_hlth_family_renew^3*SUMIFS(AI1787:AI1795,B1787:B1795,B1793-36)+in_hlth_family_renew^4*SUMIFS(AI1787:AI1795,B1787:B1795,B1793-48))</f>
        <v/>
      </c>
      <c r="AK1793" s="40">
        <f>AK1792*(1-IF(B1792&gt;=in_marketplace_from,d_hz_life_term*G1792,0))</f>
        <v/>
      </c>
      <c r="AL1793" s="46">
        <f>AK1793*IF(B1793&gt;=in_marketplace_from,d_hz_life_term*G1793,0)</f>
        <v/>
      </c>
      <c r="AM1793" s="14">
        <f>F1793*AL1793*in_life_term_ticket*in_life_term_comm*in_ins_partner_share+F1793*in_life_term_ticket*in_life_term_renew_comm*in_ins_partner_share*(in_life_term_renew^1*SUMIFS(AL1787:AL1795,B1787:B1795,B1793-12)+in_life_term_renew^2*SUMIFS(AL1787:AL1795,B1787:B1795,B1793-24)+in_life_term_renew^3*SUMIFS(AL1787:AL1795,B1787:B1795,B1793-36)+in_life_term_renew^4*SUMIFS(AL1787:AL1795,B1787:B1795,B1793-48))</f>
        <v/>
      </c>
      <c r="AN1793" s="40">
        <f>AN1792*(1-IF(B1792&gt;=in_marketplace_from,d_hz_accident*G1792,0))</f>
        <v/>
      </c>
      <c r="AO1793" s="46">
        <f>AN1793*IF(B1793&gt;=in_marketplace_from,d_hz_accident*G1793,0)</f>
        <v/>
      </c>
      <c r="AP1793" s="14">
        <f>F1793*AO1793*in_accident_ticket*in_accident_comm*in_ins_partner_share+F1793*in_accident_ticket*in_accident_renew_comm*in_ins_partner_share*(in_accident_renew^1*SUMIFS(AO1787:AO1795,B1787:B1795,B1793-12)+in_accident_renew^2*SUMIFS(AO1787:AO1795,B1787:B1795,B1793-24)+in_accident_renew^3*SUMIFS(AO1787:AO1795,B1787:B1795,B1793-36)+in_accident_renew^4*SUMIFS(AO1787:AO1795,B1787:B1795,B1793-48))</f>
        <v/>
      </c>
      <c r="AQ1793" s="40">
        <f>AQ1792*(1-IF(B1792&gt;=in_marketplace_from,d_hz_two_wheeler*G1792,0))</f>
        <v/>
      </c>
      <c r="AR1793" s="46">
        <f>AQ1793*IF(B1793&gt;=in_marketplace_from,d_hz_two_wheeler*G1793,0)</f>
        <v/>
      </c>
      <c r="AS1793" s="14">
        <f>F1793*AR1793*in_two_wheeler_ticket*in_two_wheeler_comm*in_ins_partner_share+F1793*in_two_wheeler_ticket*in_two_wheeler_comm*in_ins_partner_share*(in_two_wheeler_renew^1*SUMIFS(AR1787:AR1795,B1787:B1795,B1793-12)+in_two_wheeler_renew^2*SUMIFS(AR1787:AR1795,B1787:B1795,B1793-24)+in_two_wheeler_renew^3*SUMIFS(AR1787:AR1795,B1787:B1795,B1793-36)+in_two_wheeler_renew^4*SUMIFS(AR1787:AR1795,B1787:B1795,B1793-48))</f>
        <v/>
      </c>
      <c r="AT1793" s="40">
        <f>AT1792*(1-IF(B1792&gt;=in_marketplace_from,d_hz_device*G1792,0))</f>
        <v/>
      </c>
      <c r="AU1793" s="14">
        <f>F1793*AT1793*IF(B1793&gt;=in_marketplace_from,d_hz_device*G1793,0)*in_device_ticket*in_device_comm*in_ins_partner_share</f>
        <v/>
      </c>
      <c r="AV1793" s="40">
        <f>AV1792*(1-IF(B1792&gt;=in_marketplace_from,d_hz_shop*G1792,0))</f>
        <v/>
      </c>
      <c r="AW1793" s="46">
        <f>AV1793*IF(B1793&gt;=in_marketplace_from,d_hz_shop*G1793,0)</f>
        <v/>
      </c>
      <c r="AX1793" s="14">
        <f>F1793*AW1793*in_shop_ticket*in_shop_comm*in_ins_partner_share+F1793*in_shop_ticket*in_shop_renew_comm*in_ins_partner_share*(in_shop_renew^1*SUMIFS(AW1787:AW1795,B1787:B1795,B1793-12)+in_shop_renew^2*SUMIFS(AW1787:AW1795,B1787:B1795,B1793-24)+in_shop_renew^3*SUMIFS(AW1787:AW1795,B1787:B1795,B1793-36)+in_shop_renew^4*SUMIFS(AW1787:AW1795,B1787:B1795,B1793-48))</f>
        <v/>
      </c>
      <c r="AY1793" s="40">
        <f>AY1792*(1-IF(B1792&gt;=in_marketplace_from,d_hz_sip*G1792,0))</f>
        <v/>
      </c>
      <c r="AZ1793" s="40">
        <f>AZ1792*d_rho_sip+AY1793*IF(B1793&gt;=in_marketplace_from,d_hz_sip*G1793,0)</f>
        <v/>
      </c>
      <c r="BA1793" s="40">
        <f>d_rho_sip*(BA1792+AZ1792)</f>
        <v/>
      </c>
      <c r="BB1793" s="14">
        <f>F1793*in_sip_ticket*(BA1793+0.5*AZ1793)*in_sip_comm/12</f>
        <v/>
      </c>
      <c r="BC1793" s="40">
        <f>BC1792*(1-IF(B1792&gt;=in_marketplace_from,d_hz_choti*G1792,0))</f>
        <v/>
      </c>
      <c r="BD1793" s="46">
        <f>BC1793*IF(B1793&gt;=in_marketplace_from,d_hz_choti*G1793,0)</f>
        <v/>
      </c>
      <c r="BE1793" s="14">
        <f>F1793*SUMIFS(BD1787:BD1795,B1787:B1795,B1793-in_choti_months)*in_choti_renew*in_choti_ticket</f>
        <v/>
      </c>
      <c r="BF1793" s="40">
        <f>BF1792*(1-IF(B1792&gt;=in_marketplace_from,d_hz_nps*G1792,0))</f>
        <v/>
      </c>
      <c r="BG1793" s="14">
        <f>F1793*BF1793*IF(B1793&gt;=in_marketplace_from,d_hz_nps*G1793,0)*in_nps_ticket*in_nps_comm</f>
        <v/>
      </c>
      <c r="BH1793" s="40">
        <f>BH1792*(1-IF(B1792&gt;=in_marketplace_from,d_hz_gold*G1792,0))</f>
        <v/>
      </c>
      <c r="BI1793" s="40">
        <f>BI1792*d_rho_gold+BH1793*IF(B1793&gt;=in_marketplace_from,d_hz_gold*G1793,0)</f>
        <v/>
      </c>
      <c r="BJ1793" s="14">
        <f>F1793*BI1793*in_gold_ticket*in_gold_comm</f>
        <v/>
      </c>
      <c r="BK1793" s="40">
        <f>BK1792*(1-IF(B1792&gt;=in_marketplace_from,d_hz_fd*G1792,0))</f>
        <v/>
      </c>
      <c r="BL1793" s="14">
        <f>F1793*BK1793*IF(B1793&gt;=in_marketplace_from,d_hz_fd*G1793,0)*in_fd_ticket*in_fd_comm</f>
        <v/>
      </c>
      <c r="BM1793" s="40">
        <f>BM1792*(1-IF(B1792&gt;=in_marketplace_from,d_hz_recharge*G1792,0))</f>
        <v/>
      </c>
      <c r="BN1793" s="40">
        <f>BN1792*d_rho_recharge+BM1793*IF(B1793&gt;=in_marketplace_from,d_hz_recharge*G1793,0)</f>
        <v/>
      </c>
      <c r="BO1793" s="14">
        <f>F1793*BN1793*in_recharge_ticket*in_recharge_comm/12</f>
        <v/>
      </c>
      <c r="BP1793" s="40">
        <f>BP1792*(1-IF(B1792&gt;=in_marketplace_from,d_hz_bills*G1792,0))</f>
        <v/>
      </c>
      <c r="BQ1793" s="40">
        <f>BQ1792*d_rho_bills+BP1793*IF(B1793&gt;=in_marketplace_from,d_hz_bills*G1793,0)</f>
        <v/>
      </c>
      <c r="BR1793" s="14">
        <f>F1793*BQ1793*in_bills_ticket*in_bills_comm/12</f>
        <v/>
      </c>
      <c r="BS1793" s="40">
        <f>BS1792*(1-IF(B1792&gt;=in_marketplace_from,d_hz_loan_gold*G1792,0))</f>
        <v/>
      </c>
      <c r="BT1793" s="14">
        <f>F1793*BS1793*IF(B1793&gt;=in_marketplace_from,d_hz_loan_gold*G1793,0)*in_loan_gold_ticket*in_loan_gold_comm</f>
        <v/>
      </c>
      <c r="BU1793" s="40">
        <f>BU1792*(1-IF(B1792&gt;=in_marketplace_from,d_hz_loan_cd*G1792,0))</f>
        <v/>
      </c>
      <c r="BV1793" s="14">
        <f>F1793*BU1793*IF(B1793&gt;=in_marketplace_from,d_hz_loan_cd*G1793,0)*in_loan_cd_ticket*in_loan_cd_comm</f>
        <v/>
      </c>
      <c r="BW1793" s="40">
        <f>BW1792*(1-IF(B1792&gt;=in_marketplace_from,d_hz_loan_vehicle*G1792,0))</f>
        <v/>
      </c>
      <c r="BX1793" s="14">
        <f>F1793*BW1793*IF(B1793&gt;=in_marketplace_from,d_hz_loan_vehicle*G1793,0)*in_loan_vehicle_ticket*in_loan_vehicle_comm</f>
        <v/>
      </c>
      <c r="BY1793" s="40">
        <f>BY1792*(1-IF(B1792&gt;=in_marketplace_from,d_hz_loan_home*G1792,0)*BZ1792)</f>
        <v/>
      </c>
      <c r="BZ1793" s="11">
        <f>MIN(in_approval_cap,in_loan_home_approval*INDEX('Age profile'!$O$2:$O$61,B1793)*(1+in_approval_growth)^(D1793-1))</f>
        <v/>
      </c>
      <c r="CA1793" s="14">
        <f>F1793*BY1793*IF(B1793&gt;=in_marketplace_from,d_hz_loan_home*G1793,0)*BZ1793*in_loan_home_ticket*in_loan_home_comm</f>
        <v/>
      </c>
      <c r="CB1793" s="40">
        <f>CB1792*(1-IF(B1792&gt;=in_marketplace_from,d_hz_loan_lap*G1792,0)*CC1792)</f>
        <v/>
      </c>
      <c r="CC1793" s="11">
        <f>MIN(in_approval_cap,in_loan_lap_approval*INDEX('Age profile'!$O$2:$O$61,B1793)*(1+in_approval_growth)^(D1793-1))</f>
        <v/>
      </c>
      <c r="CD1793" s="14">
        <f>F1793*CB1793*IF(B1793&gt;=in_marketplace_from,d_hz_loan_lap*G1793,0)*CC1793*in_loan_lap_ticket*in_loan_lap_comm</f>
        <v/>
      </c>
      <c r="CE1793" s="14">
        <f>AA1793+AB1793+AC1793+AD1793+AG1793+AJ1793+AM1793+AP1793+AS1793+AU1793+AX1793+BB1793+BE1793+BG1793+BJ1793+BL1793+BO1793+BR1793+BT1793+BV1793+BX1793+CA1793+CD1793</f>
        <v/>
      </c>
    </row>
    <row r="1794">
      <c r="A1794" s="39" t="n">
        <v>52</v>
      </c>
      <c r="B1794" s="39" t="n">
        <v>8</v>
      </c>
      <c r="C1794" s="39">
        <f>A1794+B1794-1</f>
        <v/>
      </c>
      <c r="D1794" s="39">
        <f>INT((C1794-1)/12)+1</f>
        <v/>
      </c>
      <c r="E1794" s="44">
        <f>INDEX(Monthly!$B$2:$B$61,A1794)</f>
        <v/>
      </c>
      <c r="F1794" s="44">
        <f>E1794*INDEX('Age profile'!$B$2:$B$61,B1794)</f>
        <v/>
      </c>
      <c r="G1794" s="45">
        <f>MIN(in_takeup_cap,INDEX('Age profile'!$N$2:$N$61,B1794)*(1+in_takeup_growth)^(D1794-1))</f>
        <v/>
      </c>
      <c r="H1794" s="11">
        <f>MIN(in_approval_cap,in_approved_first*INDEX('Age profile'!$O$2:$O$61,B1794)*(1+in_approval_growth)^(D1794-1))</f>
        <v/>
      </c>
      <c r="I1794" s="45">
        <f>G1794*MIN(in_takeup_cap,INDEX('Age profile'!$O$2:$O$61,B1794)*(1+in_approval_growth)^(D1794-1))</f>
        <v/>
      </c>
      <c r="J1794" s="40">
        <f>(J1793-L1793)*F1794/F1793</f>
        <v/>
      </c>
      <c r="K1794" s="40">
        <f>(K1793-M1793)*F1794/F1793+SUMIFS(O1787:O1793,B1787:B1793,B1794-1-d_T)*F1794</f>
        <v/>
      </c>
      <c r="L1794" s="40">
        <f>IF(B1794&gt;=in_marketplace_from,J1794*d_hz*G1794*in_eligible*H1794,0)</f>
        <v/>
      </c>
      <c r="M1794" s="40">
        <f>IF(B1794&gt;=in_marketplace_from,K1794*d_hz*G1794*in_eligible*in_approved_repeat,0)</f>
        <v/>
      </c>
      <c r="N1794" s="40">
        <f>L1794+M1794</f>
        <v/>
      </c>
      <c r="O1794" s="46">
        <f>N1794/F1794</f>
        <v/>
      </c>
      <c r="P1794" s="40">
        <f>F1794-J1794-K1794</f>
        <v/>
      </c>
      <c r="Q1794" s="40">
        <f>IF(B1794&gt;=in_marketplace_from,(J1794+K1794)*d_hz*G1794,0)</f>
        <v/>
      </c>
      <c r="R1794" s="40">
        <f>SUMIFS(N1787:N1795,B1787:B1795,"&gt;="&amp;(B1794-d_T),B1787:B1795,"&lt;="&amp;(B1794-1))</f>
        <v/>
      </c>
      <c r="S1794" s="46">
        <f>(1-d_u)*S1793+IF(d_T&gt;in_topup_lag,SUMIFS(O1787:O1795,B1787:B1795,B1794-in_topup_lag)-d_udrop*SUMIFS(O1787:O1795,B1787:B1795,B1794-d_T),0)</f>
        <v/>
      </c>
      <c r="T1794" s="40">
        <f>F1794*d_u*S1794</f>
        <v/>
      </c>
      <c r="U1794" s="9">
        <f>L1794*in_ticket+M1794*d_rep_ticket</f>
        <v/>
      </c>
      <c r="V1794" s="9">
        <f>U1794+T1794*d_topup_amt</f>
        <v/>
      </c>
      <c r="W1794" s="40">
        <f>N1794+T1794*d_topup_ratio</f>
        <v/>
      </c>
      <c r="X1794" s="40">
        <f>SUMIFS(W1787:W1795,B1787:B1795,B1794-in_dpd_lag)*d_cured</f>
        <v/>
      </c>
      <c r="Y1794" s="40">
        <f>SUMIFS(W1787:W1795,B1787:B1795,B1794-in_rec_lag)*d_recd</f>
        <v/>
      </c>
      <c r="Z1794" s="40">
        <f>IF(AND(B1794&gt;=in_marketplace_from,B1794&lt;in_marketplace_from+in_card_months),in_card_share/in_card_months*F1794*I1794,IF(AND(B1794&gt;=in_marketplace_from+in_card_months,B1794&lt;in_marketplace_from+2*in_card_months),in_card_share*d_card_rem/in_card_months*F1794*MIN(in_takeup_cap,(1+in_takeup_growth)^(D1794-1))*MIN(in_takeup_cap,(1+in_approval_growth)^(D1794-1)),0))</f>
        <v/>
      </c>
      <c r="AA1794" s="14">
        <f>V1794*in_fee*(1-in_taken_back)</f>
        <v/>
      </c>
      <c r="AB1794" s="14">
        <f>SUMIFS(W1787:W1795,B1787:B1795,B1794-in_dpd_lag)*d_dpd</f>
        <v/>
      </c>
      <c r="AC1794" s="14">
        <f>SUMIFS(W1787:W1795,B1787:B1795,B1794-in_rec_lag)*d_rec</f>
        <v/>
      </c>
      <c r="AD1794" s="14">
        <f>Z1794*in_card_fee</f>
        <v/>
      </c>
      <c r="AE1794" s="40">
        <f>AE1793*(1-IF(B1793&gt;=in_marketplace_from,d_hz_hlth_small*G1793,0))</f>
        <v/>
      </c>
      <c r="AF1794" s="46">
        <f>AE1794*IF(B1794&gt;=in_marketplace_from,d_hz_hlth_small*G1794,0)</f>
        <v/>
      </c>
      <c r="AG1794" s="14">
        <f>F1794*AF1794*in_hlth_small_ticket*in_hlth_small_comm*in_ins_partner_share+F1794*in_hlth_small_ticket*in_hlth_small_renew_comm*in_ins_partner_share*(in_hlth_small_renew^1*SUMIFS(AF1787:AF1795,B1787:B1795,B1794-12)+in_hlth_small_renew^2*SUMIFS(AF1787:AF1795,B1787:B1795,B1794-24)+in_hlth_small_renew^3*SUMIFS(AF1787:AF1795,B1787:B1795,B1794-36)+in_hlth_small_renew^4*SUMIFS(AF1787:AF1795,B1787:B1795,B1794-48))</f>
        <v/>
      </c>
      <c r="AH1794" s="40">
        <f>AH1793*(1-IF(B1793&gt;=in_marketplace_from,d_hz_hlth_family*G1793,0))</f>
        <v/>
      </c>
      <c r="AI1794" s="46">
        <f>AH1794*IF(B1794&gt;=in_marketplace_from,d_hz_hlth_family*G1794,0)</f>
        <v/>
      </c>
      <c r="AJ1794" s="14">
        <f>F1794*AI1794*in_hlth_family_ticket*in_hlth_family_comm*in_ins_partner_share+F1794*in_hlth_family_ticket*in_hlth_family_renew_comm*in_ins_partner_share*(in_hlth_family_renew^1*SUMIFS(AI1787:AI1795,B1787:B1795,B1794-12)+in_hlth_family_renew^2*SUMIFS(AI1787:AI1795,B1787:B1795,B1794-24)+in_hlth_family_renew^3*SUMIFS(AI1787:AI1795,B1787:B1795,B1794-36)+in_hlth_family_renew^4*SUMIFS(AI1787:AI1795,B1787:B1795,B1794-48))</f>
        <v/>
      </c>
      <c r="AK1794" s="40">
        <f>AK1793*(1-IF(B1793&gt;=in_marketplace_from,d_hz_life_term*G1793,0))</f>
        <v/>
      </c>
      <c r="AL1794" s="46">
        <f>AK1794*IF(B1794&gt;=in_marketplace_from,d_hz_life_term*G1794,0)</f>
        <v/>
      </c>
      <c r="AM1794" s="14">
        <f>F1794*AL1794*in_life_term_ticket*in_life_term_comm*in_ins_partner_share+F1794*in_life_term_ticket*in_life_term_renew_comm*in_ins_partner_share*(in_life_term_renew^1*SUMIFS(AL1787:AL1795,B1787:B1795,B1794-12)+in_life_term_renew^2*SUMIFS(AL1787:AL1795,B1787:B1795,B1794-24)+in_life_term_renew^3*SUMIFS(AL1787:AL1795,B1787:B1795,B1794-36)+in_life_term_renew^4*SUMIFS(AL1787:AL1795,B1787:B1795,B1794-48))</f>
        <v/>
      </c>
      <c r="AN1794" s="40">
        <f>AN1793*(1-IF(B1793&gt;=in_marketplace_from,d_hz_accident*G1793,0))</f>
        <v/>
      </c>
      <c r="AO1794" s="46">
        <f>AN1794*IF(B1794&gt;=in_marketplace_from,d_hz_accident*G1794,0)</f>
        <v/>
      </c>
      <c r="AP1794" s="14">
        <f>F1794*AO1794*in_accident_ticket*in_accident_comm*in_ins_partner_share+F1794*in_accident_ticket*in_accident_renew_comm*in_ins_partner_share*(in_accident_renew^1*SUMIFS(AO1787:AO1795,B1787:B1795,B1794-12)+in_accident_renew^2*SUMIFS(AO1787:AO1795,B1787:B1795,B1794-24)+in_accident_renew^3*SUMIFS(AO1787:AO1795,B1787:B1795,B1794-36)+in_accident_renew^4*SUMIFS(AO1787:AO1795,B1787:B1795,B1794-48))</f>
        <v/>
      </c>
      <c r="AQ1794" s="40">
        <f>AQ1793*(1-IF(B1793&gt;=in_marketplace_from,d_hz_two_wheeler*G1793,0))</f>
        <v/>
      </c>
      <c r="AR1794" s="46">
        <f>AQ1794*IF(B1794&gt;=in_marketplace_from,d_hz_two_wheeler*G1794,0)</f>
        <v/>
      </c>
      <c r="AS1794" s="14">
        <f>F1794*AR1794*in_two_wheeler_ticket*in_two_wheeler_comm*in_ins_partner_share+F1794*in_two_wheeler_ticket*in_two_wheeler_comm*in_ins_partner_share*(in_two_wheeler_renew^1*SUMIFS(AR1787:AR1795,B1787:B1795,B1794-12)+in_two_wheeler_renew^2*SUMIFS(AR1787:AR1795,B1787:B1795,B1794-24)+in_two_wheeler_renew^3*SUMIFS(AR1787:AR1795,B1787:B1795,B1794-36)+in_two_wheeler_renew^4*SUMIFS(AR1787:AR1795,B1787:B1795,B1794-48))</f>
        <v/>
      </c>
      <c r="AT1794" s="40">
        <f>AT1793*(1-IF(B1793&gt;=in_marketplace_from,d_hz_device*G1793,0))</f>
        <v/>
      </c>
      <c r="AU1794" s="14">
        <f>F1794*AT1794*IF(B1794&gt;=in_marketplace_from,d_hz_device*G1794,0)*in_device_ticket*in_device_comm*in_ins_partner_share</f>
        <v/>
      </c>
      <c r="AV1794" s="40">
        <f>AV1793*(1-IF(B1793&gt;=in_marketplace_from,d_hz_shop*G1793,0))</f>
        <v/>
      </c>
      <c r="AW1794" s="46">
        <f>AV1794*IF(B1794&gt;=in_marketplace_from,d_hz_shop*G1794,0)</f>
        <v/>
      </c>
      <c r="AX1794" s="14">
        <f>F1794*AW1794*in_shop_ticket*in_shop_comm*in_ins_partner_share+F1794*in_shop_ticket*in_shop_renew_comm*in_ins_partner_share*(in_shop_renew^1*SUMIFS(AW1787:AW1795,B1787:B1795,B1794-12)+in_shop_renew^2*SUMIFS(AW1787:AW1795,B1787:B1795,B1794-24)+in_shop_renew^3*SUMIFS(AW1787:AW1795,B1787:B1795,B1794-36)+in_shop_renew^4*SUMIFS(AW1787:AW1795,B1787:B1795,B1794-48))</f>
        <v/>
      </c>
      <c r="AY1794" s="40">
        <f>AY1793*(1-IF(B1793&gt;=in_marketplace_from,d_hz_sip*G1793,0))</f>
        <v/>
      </c>
      <c r="AZ1794" s="40">
        <f>AZ1793*d_rho_sip+AY1794*IF(B1794&gt;=in_marketplace_from,d_hz_sip*G1794,0)</f>
        <v/>
      </c>
      <c r="BA1794" s="40">
        <f>d_rho_sip*(BA1793+AZ1793)</f>
        <v/>
      </c>
      <c r="BB1794" s="14">
        <f>F1794*in_sip_ticket*(BA1794+0.5*AZ1794)*in_sip_comm/12</f>
        <v/>
      </c>
      <c r="BC1794" s="40">
        <f>BC1793*(1-IF(B1793&gt;=in_marketplace_from,d_hz_choti*G1793,0))</f>
        <v/>
      </c>
      <c r="BD1794" s="46">
        <f>BC1794*IF(B1794&gt;=in_marketplace_from,d_hz_choti*G1794,0)</f>
        <v/>
      </c>
      <c r="BE1794" s="14">
        <f>F1794*SUMIFS(BD1787:BD1795,B1787:B1795,B1794-in_choti_months)*in_choti_renew*in_choti_ticket</f>
        <v/>
      </c>
      <c r="BF1794" s="40">
        <f>BF1793*(1-IF(B1793&gt;=in_marketplace_from,d_hz_nps*G1793,0))</f>
        <v/>
      </c>
      <c r="BG1794" s="14">
        <f>F1794*BF1794*IF(B1794&gt;=in_marketplace_from,d_hz_nps*G1794,0)*in_nps_ticket*in_nps_comm</f>
        <v/>
      </c>
      <c r="BH1794" s="40">
        <f>BH1793*(1-IF(B1793&gt;=in_marketplace_from,d_hz_gold*G1793,0))</f>
        <v/>
      </c>
      <c r="BI1794" s="40">
        <f>BI1793*d_rho_gold+BH1794*IF(B1794&gt;=in_marketplace_from,d_hz_gold*G1794,0)</f>
        <v/>
      </c>
      <c r="BJ1794" s="14">
        <f>F1794*BI1794*in_gold_ticket*in_gold_comm</f>
        <v/>
      </c>
      <c r="BK1794" s="40">
        <f>BK1793*(1-IF(B1793&gt;=in_marketplace_from,d_hz_fd*G1793,0))</f>
        <v/>
      </c>
      <c r="BL1794" s="14">
        <f>F1794*BK1794*IF(B1794&gt;=in_marketplace_from,d_hz_fd*G1794,0)*in_fd_ticket*in_fd_comm</f>
        <v/>
      </c>
      <c r="BM1794" s="40">
        <f>BM1793*(1-IF(B1793&gt;=in_marketplace_from,d_hz_recharge*G1793,0))</f>
        <v/>
      </c>
      <c r="BN1794" s="40">
        <f>BN1793*d_rho_recharge+BM1794*IF(B1794&gt;=in_marketplace_from,d_hz_recharge*G1794,0)</f>
        <v/>
      </c>
      <c r="BO1794" s="14">
        <f>F1794*BN1794*in_recharge_ticket*in_recharge_comm/12</f>
        <v/>
      </c>
      <c r="BP1794" s="40">
        <f>BP1793*(1-IF(B1793&gt;=in_marketplace_from,d_hz_bills*G1793,0))</f>
        <v/>
      </c>
      <c r="BQ1794" s="40">
        <f>BQ1793*d_rho_bills+BP1794*IF(B1794&gt;=in_marketplace_from,d_hz_bills*G1794,0)</f>
        <v/>
      </c>
      <c r="BR1794" s="14">
        <f>F1794*BQ1794*in_bills_ticket*in_bills_comm/12</f>
        <v/>
      </c>
      <c r="BS1794" s="40">
        <f>BS1793*(1-IF(B1793&gt;=in_marketplace_from,d_hz_loan_gold*G1793,0))</f>
        <v/>
      </c>
      <c r="BT1794" s="14">
        <f>F1794*BS1794*IF(B1794&gt;=in_marketplace_from,d_hz_loan_gold*G1794,0)*in_loan_gold_ticket*in_loan_gold_comm</f>
        <v/>
      </c>
      <c r="BU1794" s="40">
        <f>BU1793*(1-IF(B1793&gt;=in_marketplace_from,d_hz_loan_cd*G1793,0))</f>
        <v/>
      </c>
      <c r="BV1794" s="14">
        <f>F1794*BU1794*IF(B1794&gt;=in_marketplace_from,d_hz_loan_cd*G1794,0)*in_loan_cd_ticket*in_loan_cd_comm</f>
        <v/>
      </c>
      <c r="BW1794" s="40">
        <f>BW1793*(1-IF(B1793&gt;=in_marketplace_from,d_hz_loan_vehicle*G1793,0))</f>
        <v/>
      </c>
      <c r="BX1794" s="14">
        <f>F1794*BW1794*IF(B1794&gt;=in_marketplace_from,d_hz_loan_vehicle*G1794,0)*in_loan_vehicle_ticket*in_loan_vehicle_comm</f>
        <v/>
      </c>
      <c r="BY1794" s="40">
        <f>BY1793*(1-IF(B1793&gt;=in_marketplace_from,d_hz_loan_home*G1793,0)*BZ1793)</f>
        <v/>
      </c>
      <c r="BZ1794" s="11">
        <f>MIN(in_approval_cap,in_loan_home_approval*INDEX('Age profile'!$O$2:$O$61,B1794)*(1+in_approval_growth)^(D1794-1))</f>
        <v/>
      </c>
      <c r="CA1794" s="14">
        <f>F1794*BY1794*IF(B1794&gt;=in_marketplace_from,d_hz_loan_home*G1794,0)*BZ1794*in_loan_home_ticket*in_loan_home_comm</f>
        <v/>
      </c>
      <c r="CB1794" s="40">
        <f>CB1793*(1-IF(B1793&gt;=in_marketplace_from,d_hz_loan_lap*G1793,0)*CC1793)</f>
        <v/>
      </c>
      <c r="CC1794" s="11">
        <f>MIN(in_approval_cap,in_loan_lap_approval*INDEX('Age profile'!$O$2:$O$61,B1794)*(1+in_approval_growth)^(D1794-1))</f>
        <v/>
      </c>
      <c r="CD1794" s="14">
        <f>F1794*CB1794*IF(B1794&gt;=in_marketplace_from,d_hz_loan_lap*G1794,0)*CC1794*in_loan_lap_ticket*in_loan_lap_comm</f>
        <v/>
      </c>
      <c r="CE1794" s="14">
        <f>AA1794+AB1794+AC1794+AD1794+AG1794+AJ1794+AM1794+AP1794+AS1794+AU1794+AX1794+BB1794+BE1794+BG1794+BJ1794+BL1794+BO1794+BR1794+BT1794+BV1794+BX1794+CA1794+CD1794</f>
        <v/>
      </c>
    </row>
    <row r="1795">
      <c r="A1795" s="39" t="n">
        <v>52</v>
      </c>
      <c r="B1795" s="39" t="n">
        <v>9</v>
      </c>
      <c r="C1795" s="39">
        <f>A1795+B1795-1</f>
        <v/>
      </c>
      <c r="D1795" s="39">
        <f>INT((C1795-1)/12)+1</f>
        <v/>
      </c>
      <c r="E1795" s="44">
        <f>INDEX(Monthly!$B$2:$B$61,A1795)</f>
        <v/>
      </c>
      <c r="F1795" s="44">
        <f>E1795*INDEX('Age profile'!$B$2:$B$61,B1795)</f>
        <v/>
      </c>
      <c r="G1795" s="45">
        <f>MIN(in_takeup_cap,INDEX('Age profile'!$N$2:$N$61,B1795)*(1+in_takeup_growth)^(D1795-1))</f>
        <v/>
      </c>
      <c r="H1795" s="11">
        <f>MIN(in_approval_cap,in_approved_first*INDEX('Age profile'!$O$2:$O$61,B1795)*(1+in_approval_growth)^(D1795-1))</f>
        <v/>
      </c>
      <c r="I1795" s="45">
        <f>G1795*MIN(in_takeup_cap,INDEX('Age profile'!$O$2:$O$61,B1795)*(1+in_approval_growth)^(D1795-1))</f>
        <v/>
      </c>
      <c r="J1795" s="40">
        <f>(J1794-L1794)*F1795/F1794</f>
        <v/>
      </c>
      <c r="K1795" s="40">
        <f>(K1794-M1794)*F1795/F1794+SUMIFS(O1787:O1794,B1787:B1794,B1795-1-d_T)*F1795</f>
        <v/>
      </c>
      <c r="L1795" s="40">
        <f>IF(B1795&gt;=in_marketplace_from,J1795*d_hz*G1795*in_eligible*H1795,0)</f>
        <v/>
      </c>
      <c r="M1795" s="40">
        <f>IF(B1795&gt;=in_marketplace_from,K1795*d_hz*G1795*in_eligible*in_approved_repeat,0)</f>
        <v/>
      </c>
      <c r="N1795" s="40">
        <f>L1795+M1795</f>
        <v/>
      </c>
      <c r="O1795" s="46">
        <f>N1795/F1795</f>
        <v/>
      </c>
      <c r="P1795" s="40">
        <f>F1795-J1795-K1795</f>
        <v/>
      </c>
      <c r="Q1795" s="40">
        <f>IF(B1795&gt;=in_marketplace_from,(J1795+K1795)*d_hz*G1795,0)</f>
        <v/>
      </c>
      <c r="R1795" s="40">
        <f>SUMIFS(N1787:N1795,B1787:B1795,"&gt;="&amp;(B1795-d_T),B1787:B1795,"&lt;="&amp;(B1795-1))</f>
        <v/>
      </c>
      <c r="S1795" s="46">
        <f>(1-d_u)*S1794+IF(d_T&gt;in_topup_lag,SUMIFS(O1787:O1795,B1787:B1795,B1795-in_topup_lag)-d_udrop*SUMIFS(O1787:O1795,B1787:B1795,B1795-d_T),0)</f>
        <v/>
      </c>
      <c r="T1795" s="40">
        <f>F1795*d_u*S1795</f>
        <v/>
      </c>
      <c r="U1795" s="9">
        <f>L1795*in_ticket+M1795*d_rep_ticket</f>
        <v/>
      </c>
      <c r="V1795" s="9">
        <f>U1795+T1795*d_topup_amt</f>
        <v/>
      </c>
      <c r="W1795" s="40">
        <f>N1795+T1795*d_topup_ratio</f>
        <v/>
      </c>
      <c r="X1795" s="40">
        <f>SUMIFS(W1787:W1795,B1787:B1795,B1795-in_dpd_lag)*d_cured</f>
        <v/>
      </c>
      <c r="Y1795" s="40">
        <f>SUMIFS(W1787:W1795,B1787:B1795,B1795-in_rec_lag)*d_recd</f>
        <v/>
      </c>
      <c r="Z1795" s="40">
        <f>IF(AND(B1795&gt;=in_marketplace_from,B1795&lt;in_marketplace_from+in_card_months),in_card_share/in_card_months*F1795*I1795,IF(AND(B1795&gt;=in_marketplace_from+in_card_months,B1795&lt;in_marketplace_from+2*in_card_months),in_card_share*d_card_rem/in_card_months*F1795*MIN(in_takeup_cap,(1+in_takeup_growth)^(D1795-1))*MIN(in_takeup_cap,(1+in_approval_growth)^(D1795-1)),0))</f>
        <v/>
      </c>
      <c r="AA1795" s="14">
        <f>V1795*in_fee*(1-in_taken_back)</f>
        <v/>
      </c>
      <c r="AB1795" s="14">
        <f>SUMIFS(W1787:W1795,B1787:B1795,B1795-in_dpd_lag)*d_dpd</f>
        <v/>
      </c>
      <c r="AC1795" s="14">
        <f>SUMIFS(W1787:W1795,B1787:B1795,B1795-in_rec_lag)*d_rec</f>
        <v/>
      </c>
      <c r="AD1795" s="14">
        <f>Z1795*in_card_fee</f>
        <v/>
      </c>
      <c r="AE1795" s="40">
        <f>AE1794*(1-IF(B1794&gt;=in_marketplace_from,d_hz_hlth_small*G1794,0))</f>
        <v/>
      </c>
      <c r="AF1795" s="46">
        <f>AE1795*IF(B1795&gt;=in_marketplace_from,d_hz_hlth_small*G1795,0)</f>
        <v/>
      </c>
      <c r="AG1795" s="14">
        <f>F1795*AF1795*in_hlth_small_ticket*in_hlth_small_comm*in_ins_partner_share+F1795*in_hlth_small_ticket*in_hlth_small_renew_comm*in_ins_partner_share*(in_hlth_small_renew^1*SUMIFS(AF1787:AF1795,B1787:B1795,B1795-12)+in_hlth_small_renew^2*SUMIFS(AF1787:AF1795,B1787:B1795,B1795-24)+in_hlth_small_renew^3*SUMIFS(AF1787:AF1795,B1787:B1795,B1795-36)+in_hlth_small_renew^4*SUMIFS(AF1787:AF1795,B1787:B1795,B1795-48))</f>
        <v/>
      </c>
      <c r="AH1795" s="40">
        <f>AH1794*(1-IF(B1794&gt;=in_marketplace_from,d_hz_hlth_family*G1794,0))</f>
        <v/>
      </c>
      <c r="AI1795" s="46">
        <f>AH1795*IF(B1795&gt;=in_marketplace_from,d_hz_hlth_family*G1795,0)</f>
        <v/>
      </c>
      <c r="AJ1795" s="14">
        <f>F1795*AI1795*in_hlth_family_ticket*in_hlth_family_comm*in_ins_partner_share+F1795*in_hlth_family_ticket*in_hlth_family_renew_comm*in_ins_partner_share*(in_hlth_family_renew^1*SUMIFS(AI1787:AI1795,B1787:B1795,B1795-12)+in_hlth_family_renew^2*SUMIFS(AI1787:AI1795,B1787:B1795,B1795-24)+in_hlth_family_renew^3*SUMIFS(AI1787:AI1795,B1787:B1795,B1795-36)+in_hlth_family_renew^4*SUMIFS(AI1787:AI1795,B1787:B1795,B1795-48))</f>
        <v/>
      </c>
      <c r="AK1795" s="40">
        <f>AK1794*(1-IF(B1794&gt;=in_marketplace_from,d_hz_life_term*G1794,0))</f>
        <v/>
      </c>
      <c r="AL1795" s="46">
        <f>AK1795*IF(B1795&gt;=in_marketplace_from,d_hz_life_term*G1795,0)</f>
        <v/>
      </c>
      <c r="AM1795" s="14">
        <f>F1795*AL1795*in_life_term_ticket*in_life_term_comm*in_ins_partner_share+F1795*in_life_term_ticket*in_life_term_renew_comm*in_ins_partner_share*(in_life_term_renew^1*SUMIFS(AL1787:AL1795,B1787:B1795,B1795-12)+in_life_term_renew^2*SUMIFS(AL1787:AL1795,B1787:B1795,B1795-24)+in_life_term_renew^3*SUMIFS(AL1787:AL1795,B1787:B1795,B1795-36)+in_life_term_renew^4*SUMIFS(AL1787:AL1795,B1787:B1795,B1795-48))</f>
        <v/>
      </c>
      <c r="AN1795" s="40">
        <f>AN1794*(1-IF(B1794&gt;=in_marketplace_from,d_hz_accident*G1794,0))</f>
        <v/>
      </c>
      <c r="AO1795" s="46">
        <f>AN1795*IF(B1795&gt;=in_marketplace_from,d_hz_accident*G1795,0)</f>
        <v/>
      </c>
      <c r="AP1795" s="14">
        <f>F1795*AO1795*in_accident_ticket*in_accident_comm*in_ins_partner_share+F1795*in_accident_ticket*in_accident_renew_comm*in_ins_partner_share*(in_accident_renew^1*SUMIFS(AO1787:AO1795,B1787:B1795,B1795-12)+in_accident_renew^2*SUMIFS(AO1787:AO1795,B1787:B1795,B1795-24)+in_accident_renew^3*SUMIFS(AO1787:AO1795,B1787:B1795,B1795-36)+in_accident_renew^4*SUMIFS(AO1787:AO1795,B1787:B1795,B1795-48))</f>
        <v/>
      </c>
      <c r="AQ1795" s="40">
        <f>AQ1794*(1-IF(B1794&gt;=in_marketplace_from,d_hz_two_wheeler*G1794,0))</f>
        <v/>
      </c>
      <c r="AR1795" s="46">
        <f>AQ1795*IF(B1795&gt;=in_marketplace_from,d_hz_two_wheeler*G1795,0)</f>
        <v/>
      </c>
      <c r="AS1795" s="14">
        <f>F1795*AR1795*in_two_wheeler_ticket*in_two_wheeler_comm*in_ins_partner_share+F1795*in_two_wheeler_ticket*in_two_wheeler_comm*in_ins_partner_share*(in_two_wheeler_renew^1*SUMIFS(AR1787:AR1795,B1787:B1795,B1795-12)+in_two_wheeler_renew^2*SUMIFS(AR1787:AR1795,B1787:B1795,B1795-24)+in_two_wheeler_renew^3*SUMIFS(AR1787:AR1795,B1787:B1795,B1795-36)+in_two_wheeler_renew^4*SUMIFS(AR1787:AR1795,B1787:B1795,B1795-48))</f>
        <v/>
      </c>
      <c r="AT1795" s="40">
        <f>AT1794*(1-IF(B1794&gt;=in_marketplace_from,d_hz_device*G1794,0))</f>
        <v/>
      </c>
      <c r="AU1795" s="14">
        <f>F1795*AT1795*IF(B1795&gt;=in_marketplace_from,d_hz_device*G1795,0)*in_device_ticket*in_device_comm*in_ins_partner_share</f>
        <v/>
      </c>
      <c r="AV1795" s="40">
        <f>AV1794*(1-IF(B1794&gt;=in_marketplace_from,d_hz_shop*G1794,0))</f>
        <v/>
      </c>
      <c r="AW1795" s="46">
        <f>AV1795*IF(B1795&gt;=in_marketplace_from,d_hz_shop*G1795,0)</f>
        <v/>
      </c>
      <c r="AX1795" s="14">
        <f>F1795*AW1795*in_shop_ticket*in_shop_comm*in_ins_partner_share+F1795*in_shop_ticket*in_shop_renew_comm*in_ins_partner_share*(in_shop_renew^1*SUMIFS(AW1787:AW1795,B1787:B1795,B1795-12)+in_shop_renew^2*SUMIFS(AW1787:AW1795,B1787:B1795,B1795-24)+in_shop_renew^3*SUMIFS(AW1787:AW1795,B1787:B1795,B1795-36)+in_shop_renew^4*SUMIFS(AW1787:AW1795,B1787:B1795,B1795-48))</f>
        <v/>
      </c>
      <c r="AY1795" s="40">
        <f>AY1794*(1-IF(B1794&gt;=in_marketplace_from,d_hz_sip*G1794,0))</f>
        <v/>
      </c>
      <c r="AZ1795" s="40">
        <f>AZ1794*d_rho_sip+AY1795*IF(B1795&gt;=in_marketplace_from,d_hz_sip*G1795,0)</f>
        <v/>
      </c>
      <c r="BA1795" s="40">
        <f>d_rho_sip*(BA1794+AZ1794)</f>
        <v/>
      </c>
      <c r="BB1795" s="14">
        <f>F1795*in_sip_ticket*(BA1795+0.5*AZ1795)*in_sip_comm/12</f>
        <v/>
      </c>
      <c r="BC1795" s="40">
        <f>BC1794*(1-IF(B1794&gt;=in_marketplace_from,d_hz_choti*G1794,0))</f>
        <v/>
      </c>
      <c r="BD1795" s="46">
        <f>BC1795*IF(B1795&gt;=in_marketplace_from,d_hz_choti*G1795,0)</f>
        <v/>
      </c>
      <c r="BE1795" s="14">
        <f>F1795*SUMIFS(BD1787:BD1795,B1787:B1795,B1795-in_choti_months)*in_choti_renew*in_choti_ticket</f>
        <v/>
      </c>
      <c r="BF1795" s="40">
        <f>BF1794*(1-IF(B1794&gt;=in_marketplace_from,d_hz_nps*G1794,0))</f>
        <v/>
      </c>
      <c r="BG1795" s="14">
        <f>F1795*BF1795*IF(B1795&gt;=in_marketplace_from,d_hz_nps*G1795,0)*in_nps_ticket*in_nps_comm</f>
        <v/>
      </c>
      <c r="BH1795" s="40">
        <f>BH1794*(1-IF(B1794&gt;=in_marketplace_from,d_hz_gold*G1794,0))</f>
        <v/>
      </c>
      <c r="BI1795" s="40">
        <f>BI1794*d_rho_gold+BH1795*IF(B1795&gt;=in_marketplace_from,d_hz_gold*G1795,0)</f>
        <v/>
      </c>
      <c r="BJ1795" s="14">
        <f>F1795*BI1795*in_gold_ticket*in_gold_comm</f>
        <v/>
      </c>
      <c r="BK1795" s="40">
        <f>BK1794*(1-IF(B1794&gt;=in_marketplace_from,d_hz_fd*G1794,0))</f>
        <v/>
      </c>
      <c r="BL1795" s="14">
        <f>F1795*BK1795*IF(B1795&gt;=in_marketplace_from,d_hz_fd*G1795,0)*in_fd_ticket*in_fd_comm</f>
        <v/>
      </c>
      <c r="BM1795" s="40">
        <f>BM1794*(1-IF(B1794&gt;=in_marketplace_from,d_hz_recharge*G1794,0))</f>
        <v/>
      </c>
      <c r="BN1795" s="40">
        <f>BN1794*d_rho_recharge+BM1795*IF(B1795&gt;=in_marketplace_from,d_hz_recharge*G1795,0)</f>
        <v/>
      </c>
      <c r="BO1795" s="14">
        <f>F1795*BN1795*in_recharge_ticket*in_recharge_comm/12</f>
        <v/>
      </c>
      <c r="BP1795" s="40">
        <f>BP1794*(1-IF(B1794&gt;=in_marketplace_from,d_hz_bills*G1794,0))</f>
        <v/>
      </c>
      <c r="BQ1795" s="40">
        <f>BQ1794*d_rho_bills+BP1795*IF(B1795&gt;=in_marketplace_from,d_hz_bills*G1795,0)</f>
        <v/>
      </c>
      <c r="BR1795" s="14">
        <f>F1795*BQ1795*in_bills_ticket*in_bills_comm/12</f>
        <v/>
      </c>
      <c r="BS1795" s="40">
        <f>BS1794*(1-IF(B1794&gt;=in_marketplace_from,d_hz_loan_gold*G1794,0))</f>
        <v/>
      </c>
      <c r="BT1795" s="14">
        <f>F1795*BS1795*IF(B1795&gt;=in_marketplace_from,d_hz_loan_gold*G1795,0)*in_loan_gold_ticket*in_loan_gold_comm</f>
        <v/>
      </c>
      <c r="BU1795" s="40">
        <f>BU1794*(1-IF(B1794&gt;=in_marketplace_from,d_hz_loan_cd*G1794,0))</f>
        <v/>
      </c>
      <c r="BV1795" s="14">
        <f>F1795*BU1795*IF(B1795&gt;=in_marketplace_from,d_hz_loan_cd*G1795,0)*in_loan_cd_ticket*in_loan_cd_comm</f>
        <v/>
      </c>
      <c r="BW1795" s="40">
        <f>BW1794*(1-IF(B1794&gt;=in_marketplace_from,d_hz_loan_vehicle*G1794,0))</f>
        <v/>
      </c>
      <c r="BX1795" s="14">
        <f>F1795*BW1795*IF(B1795&gt;=in_marketplace_from,d_hz_loan_vehicle*G1795,0)*in_loan_vehicle_ticket*in_loan_vehicle_comm</f>
        <v/>
      </c>
      <c r="BY1795" s="40">
        <f>BY1794*(1-IF(B1794&gt;=in_marketplace_from,d_hz_loan_home*G1794,0)*BZ1794)</f>
        <v/>
      </c>
      <c r="BZ1795" s="11">
        <f>MIN(in_approval_cap,in_loan_home_approval*INDEX('Age profile'!$O$2:$O$61,B1795)*(1+in_approval_growth)^(D1795-1))</f>
        <v/>
      </c>
      <c r="CA1795" s="14">
        <f>F1795*BY1795*IF(B1795&gt;=in_marketplace_from,d_hz_loan_home*G1795,0)*BZ1795*in_loan_home_ticket*in_loan_home_comm</f>
        <v/>
      </c>
      <c r="CB1795" s="40">
        <f>CB1794*(1-IF(B1794&gt;=in_marketplace_from,d_hz_loan_lap*G1794,0)*CC1794)</f>
        <v/>
      </c>
      <c r="CC1795" s="11">
        <f>MIN(in_approval_cap,in_loan_lap_approval*INDEX('Age profile'!$O$2:$O$61,B1795)*(1+in_approval_growth)^(D1795-1))</f>
        <v/>
      </c>
      <c r="CD1795" s="14">
        <f>F1795*CB1795*IF(B1795&gt;=in_marketplace_from,d_hz_loan_lap*G1795,0)*CC1795*in_loan_lap_ticket*in_loan_lap_comm</f>
        <v/>
      </c>
      <c r="CE1795" s="14">
        <f>AA1795+AB1795+AC1795+AD1795+AG1795+AJ1795+AM1795+AP1795+AS1795+AU1795+AX1795+BB1795+BE1795+BG1795+BJ1795+BL1795+BO1795+BR1795+BT1795+BV1795+BX1795+CA1795+CD1795</f>
        <v/>
      </c>
    </row>
    <row r="1796">
      <c r="A1796" s="39" t="n">
        <v>53</v>
      </c>
      <c r="B1796" s="39" t="n">
        <v>1</v>
      </c>
      <c r="C1796" s="39">
        <f>A1796+B1796-1</f>
        <v/>
      </c>
      <c r="D1796" s="39">
        <f>INT((C1796-1)/12)+1</f>
        <v/>
      </c>
      <c r="E1796" s="44">
        <f>INDEX(Monthly!$B$2:$B$61,A1796)</f>
        <v/>
      </c>
      <c r="F1796" s="44">
        <f>E1796*INDEX('Age profile'!$B$2:$B$61,B1796)</f>
        <v/>
      </c>
      <c r="G1796" s="45">
        <f>MIN(in_takeup_cap,INDEX('Age profile'!$N$2:$N$61,B1796)*(1+in_takeup_growth)^(D1796-1))</f>
        <v/>
      </c>
      <c r="H1796" s="11">
        <f>MIN(in_approval_cap,in_approved_first*INDEX('Age profile'!$O$2:$O$61,B1796)*(1+in_approval_growth)^(D1796-1))</f>
        <v/>
      </c>
      <c r="I1796" s="45">
        <f>G1796*MIN(in_takeup_cap,INDEX('Age profile'!$O$2:$O$61,B1796)*(1+in_approval_growth)^(D1796-1))</f>
        <v/>
      </c>
      <c r="J1796" s="40">
        <f>E1796</f>
        <v/>
      </c>
      <c r="K1796" s="40" t="n">
        <v>0</v>
      </c>
      <c r="L1796" s="40">
        <f>IF(B1796&gt;=in_marketplace_from,J1796*d_hz*G1796*in_eligible*H1796,0)</f>
        <v/>
      </c>
      <c r="M1796" s="40">
        <f>IF(B1796&gt;=in_marketplace_from,K1796*d_hz*G1796*in_eligible*in_approved_repeat,0)</f>
        <v/>
      </c>
      <c r="N1796" s="40">
        <f>L1796+M1796</f>
        <v/>
      </c>
      <c r="O1796" s="46">
        <f>N1796/F1796</f>
        <v/>
      </c>
      <c r="P1796" s="40">
        <f>F1796-J1796-K1796</f>
        <v/>
      </c>
      <c r="Q1796" s="40">
        <f>IF(B1796&gt;=in_marketplace_from,(J1796+K1796)*d_hz*G1796,0)</f>
        <v/>
      </c>
      <c r="R1796" s="40">
        <f>SUMIFS(N1796:N1803,B1796:B1803,"&gt;="&amp;(B1796-d_T),B1796:B1803,"&lt;="&amp;(B1796-1))</f>
        <v/>
      </c>
      <c r="S1796" s="46" t="n">
        <v>0</v>
      </c>
      <c r="T1796" s="40">
        <f>F1796*d_u*S1796</f>
        <v/>
      </c>
      <c r="U1796" s="9">
        <f>L1796*in_ticket+M1796*d_rep_ticket</f>
        <v/>
      </c>
      <c r="V1796" s="9">
        <f>U1796+T1796*d_topup_amt</f>
        <v/>
      </c>
      <c r="W1796" s="40">
        <f>N1796+T1796*d_topup_ratio</f>
        <v/>
      </c>
      <c r="X1796" s="40">
        <f>SUMIFS(W1796:W1803,B1796:B1803,B1796-in_dpd_lag)*d_cured</f>
        <v/>
      </c>
      <c r="Y1796" s="40">
        <f>SUMIFS(W1796:W1803,B1796:B1803,B1796-in_rec_lag)*d_recd</f>
        <v/>
      </c>
      <c r="Z1796" s="40">
        <f>IF(AND(B1796&gt;=in_marketplace_from,B1796&lt;in_marketplace_from+in_card_months),in_card_share/in_card_months*F1796*I1796,IF(AND(B1796&gt;=in_marketplace_from+in_card_months,B1796&lt;in_marketplace_from+2*in_card_months),in_card_share*d_card_rem/in_card_months*F1796*MIN(in_takeup_cap,(1+in_takeup_growth)^(D1796-1))*MIN(in_takeup_cap,(1+in_approval_growth)^(D1796-1)),0))</f>
        <v/>
      </c>
      <c r="AA1796" s="14">
        <f>V1796*in_fee*(1-in_taken_back)</f>
        <v/>
      </c>
      <c r="AB1796" s="14">
        <f>SUMIFS(W1796:W1803,B1796:B1803,B1796-in_dpd_lag)*d_dpd</f>
        <v/>
      </c>
      <c r="AC1796" s="14">
        <f>SUMIFS(W1796:W1803,B1796:B1803,B1796-in_rec_lag)*d_rec</f>
        <v/>
      </c>
      <c r="AD1796" s="14">
        <f>Z1796*in_card_fee</f>
        <v/>
      </c>
      <c r="AE1796" s="40" t="n">
        <v>1</v>
      </c>
      <c r="AF1796" s="46">
        <f>AE1796*IF(B1796&gt;=in_marketplace_from,d_hz_hlth_small*G1796,0)</f>
        <v/>
      </c>
      <c r="AG1796" s="14">
        <f>F1796*AF1796*in_hlth_small_ticket*in_hlth_small_comm*in_ins_partner_share+F1796*in_hlth_small_ticket*in_hlth_small_renew_comm*in_ins_partner_share*(in_hlth_small_renew^1*SUMIFS(AF1796:AF1803,B1796:B1803,B1796-12)+in_hlth_small_renew^2*SUMIFS(AF1796:AF1803,B1796:B1803,B1796-24)+in_hlth_small_renew^3*SUMIFS(AF1796:AF1803,B1796:B1803,B1796-36)+in_hlth_small_renew^4*SUMIFS(AF1796:AF1803,B1796:B1803,B1796-48))</f>
        <v/>
      </c>
      <c r="AH1796" s="40" t="n">
        <v>1</v>
      </c>
      <c r="AI1796" s="46">
        <f>AH1796*IF(B1796&gt;=in_marketplace_from,d_hz_hlth_family*G1796,0)</f>
        <v/>
      </c>
      <c r="AJ1796" s="14">
        <f>F1796*AI1796*in_hlth_family_ticket*in_hlth_family_comm*in_ins_partner_share+F1796*in_hlth_family_ticket*in_hlth_family_renew_comm*in_ins_partner_share*(in_hlth_family_renew^1*SUMIFS(AI1796:AI1803,B1796:B1803,B1796-12)+in_hlth_family_renew^2*SUMIFS(AI1796:AI1803,B1796:B1803,B1796-24)+in_hlth_family_renew^3*SUMIFS(AI1796:AI1803,B1796:B1803,B1796-36)+in_hlth_family_renew^4*SUMIFS(AI1796:AI1803,B1796:B1803,B1796-48))</f>
        <v/>
      </c>
      <c r="AK1796" s="40" t="n">
        <v>1</v>
      </c>
      <c r="AL1796" s="46">
        <f>AK1796*IF(B1796&gt;=in_marketplace_from,d_hz_life_term*G1796,0)</f>
        <v/>
      </c>
      <c r="AM1796" s="14">
        <f>F1796*AL1796*in_life_term_ticket*in_life_term_comm*in_ins_partner_share+F1796*in_life_term_ticket*in_life_term_renew_comm*in_ins_partner_share*(in_life_term_renew^1*SUMIFS(AL1796:AL1803,B1796:B1803,B1796-12)+in_life_term_renew^2*SUMIFS(AL1796:AL1803,B1796:B1803,B1796-24)+in_life_term_renew^3*SUMIFS(AL1796:AL1803,B1796:B1803,B1796-36)+in_life_term_renew^4*SUMIFS(AL1796:AL1803,B1796:B1803,B1796-48))</f>
        <v/>
      </c>
      <c r="AN1796" s="40" t="n">
        <v>1</v>
      </c>
      <c r="AO1796" s="46">
        <f>AN1796*IF(B1796&gt;=in_marketplace_from,d_hz_accident*G1796,0)</f>
        <v/>
      </c>
      <c r="AP1796" s="14">
        <f>F1796*AO1796*in_accident_ticket*in_accident_comm*in_ins_partner_share+F1796*in_accident_ticket*in_accident_renew_comm*in_ins_partner_share*(in_accident_renew^1*SUMIFS(AO1796:AO1803,B1796:B1803,B1796-12)+in_accident_renew^2*SUMIFS(AO1796:AO1803,B1796:B1803,B1796-24)+in_accident_renew^3*SUMIFS(AO1796:AO1803,B1796:B1803,B1796-36)+in_accident_renew^4*SUMIFS(AO1796:AO1803,B1796:B1803,B1796-48))</f>
        <v/>
      </c>
      <c r="AQ1796" s="40" t="n">
        <v>1</v>
      </c>
      <c r="AR1796" s="46">
        <f>AQ1796*IF(B1796&gt;=in_marketplace_from,d_hz_two_wheeler*G1796,0)</f>
        <v/>
      </c>
      <c r="AS1796" s="14">
        <f>F1796*AR1796*in_two_wheeler_ticket*in_two_wheeler_comm*in_ins_partner_share+F1796*in_two_wheeler_ticket*in_two_wheeler_comm*in_ins_partner_share*(in_two_wheeler_renew^1*SUMIFS(AR1796:AR1803,B1796:B1803,B1796-12)+in_two_wheeler_renew^2*SUMIFS(AR1796:AR1803,B1796:B1803,B1796-24)+in_two_wheeler_renew^3*SUMIFS(AR1796:AR1803,B1796:B1803,B1796-36)+in_two_wheeler_renew^4*SUMIFS(AR1796:AR1803,B1796:B1803,B1796-48))</f>
        <v/>
      </c>
      <c r="AT1796" s="40" t="n">
        <v>1</v>
      </c>
      <c r="AU1796" s="14">
        <f>F1796*AT1796*IF(B1796&gt;=in_marketplace_from,d_hz_device*G1796,0)*in_device_ticket*in_device_comm*in_ins_partner_share</f>
        <v/>
      </c>
      <c r="AV1796" s="40" t="n">
        <v>1</v>
      </c>
      <c r="AW1796" s="46">
        <f>AV1796*IF(B1796&gt;=in_marketplace_from,d_hz_shop*G1796,0)</f>
        <v/>
      </c>
      <c r="AX1796" s="14">
        <f>F1796*AW1796*in_shop_ticket*in_shop_comm*in_ins_partner_share+F1796*in_shop_ticket*in_shop_renew_comm*in_ins_partner_share*(in_shop_renew^1*SUMIFS(AW1796:AW1803,B1796:B1803,B1796-12)+in_shop_renew^2*SUMIFS(AW1796:AW1803,B1796:B1803,B1796-24)+in_shop_renew^3*SUMIFS(AW1796:AW1803,B1796:B1803,B1796-36)+in_shop_renew^4*SUMIFS(AW1796:AW1803,B1796:B1803,B1796-48))</f>
        <v/>
      </c>
      <c r="AY1796" s="40" t="n">
        <v>1</v>
      </c>
      <c r="AZ1796" s="40">
        <f>AY1796*IF(B1796&gt;=in_marketplace_from,d_hz_sip*G1796,0)</f>
        <v/>
      </c>
      <c r="BA1796" s="40" t="n">
        <v>0</v>
      </c>
      <c r="BB1796" s="14">
        <f>F1796*in_sip_ticket*(BA1796+0.5*AZ1796)*in_sip_comm/12</f>
        <v/>
      </c>
      <c r="BC1796" s="40" t="n">
        <v>1</v>
      </c>
      <c r="BD1796" s="46">
        <f>BC1796*IF(B1796&gt;=in_marketplace_from,d_hz_choti*G1796,0)</f>
        <v/>
      </c>
      <c r="BE1796" s="14">
        <f>F1796*SUMIFS(BD1796:BD1803,B1796:B1803,B1796-in_choti_months)*in_choti_renew*in_choti_ticket</f>
        <v/>
      </c>
      <c r="BF1796" s="40" t="n">
        <v>1</v>
      </c>
      <c r="BG1796" s="14">
        <f>F1796*BF1796*IF(B1796&gt;=in_marketplace_from,d_hz_nps*G1796,0)*in_nps_ticket*in_nps_comm</f>
        <v/>
      </c>
      <c r="BH1796" s="40" t="n">
        <v>1</v>
      </c>
      <c r="BI1796" s="40">
        <f>BH1796*IF(B1796&gt;=in_marketplace_from,d_hz_gold*G1796,0)</f>
        <v/>
      </c>
      <c r="BJ1796" s="14">
        <f>F1796*BI1796*in_gold_ticket*in_gold_comm</f>
        <v/>
      </c>
      <c r="BK1796" s="40" t="n">
        <v>1</v>
      </c>
      <c r="BL1796" s="14">
        <f>F1796*BK1796*IF(B1796&gt;=in_marketplace_from,d_hz_fd*G1796,0)*in_fd_ticket*in_fd_comm</f>
        <v/>
      </c>
      <c r="BM1796" s="40" t="n">
        <v>1</v>
      </c>
      <c r="BN1796" s="40">
        <f>BM1796*IF(B1796&gt;=in_marketplace_from,d_hz_recharge*G1796,0)</f>
        <v/>
      </c>
      <c r="BO1796" s="14">
        <f>F1796*BN1796*in_recharge_ticket*in_recharge_comm/12</f>
        <v/>
      </c>
      <c r="BP1796" s="40" t="n">
        <v>1</v>
      </c>
      <c r="BQ1796" s="40">
        <f>BP1796*IF(B1796&gt;=in_marketplace_from,d_hz_bills*G1796,0)</f>
        <v/>
      </c>
      <c r="BR1796" s="14">
        <f>F1796*BQ1796*in_bills_ticket*in_bills_comm/12</f>
        <v/>
      </c>
      <c r="BS1796" s="40" t="n">
        <v>1</v>
      </c>
      <c r="BT1796" s="14">
        <f>F1796*BS1796*IF(B1796&gt;=in_marketplace_from,d_hz_loan_gold*G1796,0)*in_loan_gold_ticket*in_loan_gold_comm</f>
        <v/>
      </c>
      <c r="BU1796" s="40" t="n">
        <v>1</v>
      </c>
      <c r="BV1796" s="14">
        <f>F1796*BU1796*IF(B1796&gt;=in_marketplace_from,d_hz_loan_cd*G1796,0)*in_loan_cd_ticket*in_loan_cd_comm</f>
        <v/>
      </c>
      <c r="BW1796" s="40" t="n">
        <v>1</v>
      </c>
      <c r="BX1796" s="14">
        <f>F1796*BW1796*IF(B1796&gt;=in_marketplace_from,d_hz_loan_vehicle*G1796,0)*in_loan_vehicle_ticket*in_loan_vehicle_comm</f>
        <v/>
      </c>
      <c r="BY1796" s="40" t="n">
        <v>1</v>
      </c>
      <c r="BZ1796" s="11">
        <f>MIN(in_approval_cap,in_loan_home_approval*INDEX('Age profile'!$O$2:$O$61,B1796)*(1+in_approval_growth)^(D1796-1))</f>
        <v/>
      </c>
      <c r="CA1796" s="14">
        <f>F1796*BY1796*IF(B1796&gt;=in_marketplace_from,d_hz_loan_home*G1796,0)*BZ1796*in_loan_home_ticket*in_loan_home_comm</f>
        <v/>
      </c>
      <c r="CB1796" s="40" t="n">
        <v>1</v>
      </c>
      <c r="CC1796" s="11">
        <f>MIN(in_approval_cap,in_loan_lap_approval*INDEX('Age profile'!$O$2:$O$61,B1796)*(1+in_approval_growth)^(D1796-1))</f>
        <v/>
      </c>
      <c r="CD1796" s="14">
        <f>F1796*CB1796*IF(B1796&gt;=in_marketplace_from,d_hz_loan_lap*G1796,0)*CC1796*in_loan_lap_ticket*in_loan_lap_comm</f>
        <v/>
      </c>
      <c r="CE1796" s="14">
        <f>AA1796+AB1796+AC1796+AD1796+AG1796+AJ1796+AM1796+AP1796+AS1796+AU1796+AX1796+BB1796+BE1796+BG1796+BJ1796+BL1796+BO1796+BR1796+BT1796+BV1796+BX1796+CA1796+CD1796</f>
        <v/>
      </c>
    </row>
    <row r="1797">
      <c r="A1797" s="39" t="n">
        <v>53</v>
      </c>
      <c r="B1797" s="39" t="n">
        <v>2</v>
      </c>
      <c r="C1797" s="39">
        <f>A1797+B1797-1</f>
        <v/>
      </c>
      <c r="D1797" s="39">
        <f>INT((C1797-1)/12)+1</f>
        <v/>
      </c>
      <c r="E1797" s="44">
        <f>INDEX(Monthly!$B$2:$B$61,A1797)</f>
        <v/>
      </c>
      <c r="F1797" s="44">
        <f>E1797*INDEX('Age profile'!$B$2:$B$61,B1797)</f>
        <v/>
      </c>
      <c r="G1797" s="45">
        <f>MIN(in_takeup_cap,INDEX('Age profile'!$N$2:$N$61,B1797)*(1+in_takeup_growth)^(D1797-1))</f>
        <v/>
      </c>
      <c r="H1797" s="11">
        <f>MIN(in_approval_cap,in_approved_first*INDEX('Age profile'!$O$2:$O$61,B1797)*(1+in_approval_growth)^(D1797-1))</f>
        <v/>
      </c>
      <c r="I1797" s="45">
        <f>G1797*MIN(in_takeup_cap,INDEX('Age profile'!$O$2:$O$61,B1797)*(1+in_approval_growth)^(D1797-1))</f>
        <v/>
      </c>
      <c r="J1797" s="40">
        <f>(J1796-L1796)*F1797/F1796</f>
        <v/>
      </c>
      <c r="K1797" s="40">
        <f>(K1796-M1796)*F1797/F1796+SUMIFS(O1796:O1796,B1796:B1796,B1797-1-d_T)*F1797</f>
        <v/>
      </c>
      <c r="L1797" s="40">
        <f>IF(B1797&gt;=in_marketplace_from,J1797*d_hz*G1797*in_eligible*H1797,0)</f>
        <v/>
      </c>
      <c r="M1797" s="40">
        <f>IF(B1797&gt;=in_marketplace_from,K1797*d_hz*G1797*in_eligible*in_approved_repeat,0)</f>
        <v/>
      </c>
      <c r="N1797" s="40">
        <f>L1797+M1797</f>
        <v/>
      </c>
      <c r="O1797" s="46">
        <f>N1797/F1797</f>
        <v/>
      </c>
      <c r="P1797" s="40">
        <f>F1797-J1797-K1797</f>
        <v/>
      </c>
      <c r="Q1797" s="40">
        <f>IF(B1797&gt;=in_marketplace_from,(J1797+K1797)*d_hz*G1797,0)</f>
        <v/>
      </c>
      <c r="R1797" s="40">
        <f>SUMIFS(N1796:N1803,B1796:B1803,"&gt;="&amp;(B1797-d_T),B1796:B1803,"&lt;="&amp;(B1797-1))</f>
        <v/>
      </c>
      <c r="S1797" s="46">
        <f>(1-d_u)*S1796+IF(d_T&gt;in_topup_lag,SUMIFS(O1796:O1803,B1796:B1803,B1797-in_topup_lag)-d_udrop*SUMIFS(O1796:O1803,B1796:B1803,B1797-d_T),0)</f>
        <v/>
      </c>
      <c r="T1797" s="40">
        <f>F1797*d_u*S1797</f>
        <v/>
      </c>
      <c r="U1797" s="9">
        <f>L1797*in_ticket+M1797*d_rep_ticket</f>
        <v/>
      </c>
      <c r="V1797" s="9">
        <f>U1797+T1797*d_topup_amt</f>
        <v/>
      </c>
      <c r="W1797" s="40">
        <f>N1797+T1797*d_topup_ratio</f>
        <v/>
      </c>
      <c r="X1797" s="40">
        <f>SUMIFS(W1796:W1803,B1796:B1803,B1797-in_dpd_lag)*d_cured</f>
        <v/>
      </c>
      <c r="Y1797" s="40">
        <f>SUMIFS(W1796:W1803,B1796:B1803,B1797-in_rec_lag)*d_recd</f>
        <v/>
      </c>
      <c r="Z1797" s="40">
        <f>IF(AND(B1797&gt;=in_marketplace_from,B1797&lt;in_marketplace_from+in_card_months),in_card_share/in_card_months*F1797*I1797,IF(AND(B1797&gt;=in_marketplace_from+in_card_months,B1797&lt;in_marketplace_from+2*in_card_months),in_card_share*d_card_rem/in_card_months*F1797*MIN(in_takeup_cap,(1+in_takeup_growth)^(D1797-1))*MIN(in_takeup_cap,(1+in_approval_growth)^(D1797-1)),0))</f>
        <v/>
      </c>
      <c r="AA1797" s="14">
        <f>V1797*in_fee*(1-in_taken_back)</f>
        <v/>
      </c>
      <c r="AB1797" s="14">
        <f>SUMIFS(W1796:W1803,B1796:B1803,B1797-in_dpd_lag)*d_dpd</f>
        <v/>
      </c>
      <c r="AC1797" s="14">
        <f>SUMIFS(W1796:W1803,B1796:B1803,B1797-in_rec_lag)*d_rec</f>
        <v/>
      </c>
      <c r="AD1797" s="14">
        <f>Z1797*in_card_fee</f>
        <v/>
      </c>
      <c r="AE1797" s="40">
        <f>AE1796*(1-IF(B1796&gt;=in_marketplace_from,d_hz_hlth_small*G1796,0))</f>
        <v/>
      </c>
      <c r="AF1797" s="46">
        <f>AE1797*IF(B1797&gt;=in_marketplace_from,d_hz_hlth_small*G1797,0)</f>
        <v/>
      </c>
      <c r="AG1797" s="14">
        <f>F1797*AF1797*in_hlth_small_ticket*in_hlth_small_comm*in_ins_partner_share+F1797*in_hlth_small_ticket*in_hlth_small_renew_comm*in_ins_partner_share*(in_hlth_small_renew^1*SUMIFS(AF1796:AF1803,B1796:B1803,B1797-12)+in_hlth_small_renew^2*SUMIFS(AF1796:AF1803,B1796:B1803,B1797-24)+in_hlth_small_renew^3*SUMIFS(AF1796:AF1803,B1796:B1803,B1797-36)+in_hlth_small_renew^4*SUMIFS(AF1796:AF1803,B1796:B1803,B1797-48))</f>
        <v/>
      </c>
      <c r="AH1797" s="40">
        <f>AH1796*(1-IF(B1796&gt;=in_marketplace_from,d_hz_hlth_family*G1796,0))</f>
        <v/>
      </c>
      <c r="AI1797" s="46">
        <f>AH1797*IF(B1797&gt;=in_marketplace_from,d_hz_hlth_family*G1797,0)</f>
        <v/>
      </c>
      <c r="AJ1797" s="14">
        <f>F1797*AI1797*in_hlth_family_ticket*in_hlth_family_comm*in_ins_partner_share+F1797*in_hlth_family_ticket*in_hlth_family_renew_comm*in_ins_partner_share*(in_hlth_family_renew^1*SUMIFS(AI1796:AI1803,B1796:B1803,B1797-12)+in_hlth_family_renew^2*SUMIFS(AI1796:AI1803,B1796:B1803,B1797-24)+in_hlth_family_renew^3*SUMIFS(AI1796:AI1803,B1796:B1803,B1797-36)+in_hlth_family_renew^4*SUMIFS(AI1796:AI1803,B1796:B1803,B1797-48))</f>
        <v/>
      </c>
      <c r="AK1797" s="40">
        <f>AK1796*(1-IF(B1796&gt;=in_marketplace_from,d_hz_life_term*G1796,0))</f>
        <v/>
      </c>
      <c r="AL1797" s="46">
        <f>AK1797*IF(B1797&gt;=in_marketplace_from,d_hz_life_term*G1797,0)</f>
        <v/>
      </c>
      <c r="AM1797" s="14">
        <f>F1797*AL1797*in_life_term_ticket*in_life_term_comm*in_ins_partner_share+F1797*in_life_term_ticket*in_life_term_renew_comm*in_ins_partner_share*(in_life_term_renew^1*SUMIFS(AL1796:AL1803,B1796:B1803,B1797-12)+in_life_term_renew^2*SUMIFS(AL1796:AL1803,B1796:B1803,B1797-24)+in_life_term_renew^3*SUMIFS(AL1796:AL1803,B1796:B1803,B1797-36)+in_life_term_renew^4*SUMIFS(AL1796:AL1803,B1796:B1803,B1797-48))</f>
        <v/>
      </c>
      <c r="AN1797" s="40">
        <f>AN1796*(1-IF(B1796&gt;=in_marketplace_from,d_hz_accident*G1796,0))</f>
        <v/>
      </c>
      <c r="AO1797" s="46">
        <f>AN1797*IF(B1797&gt;=in_marketplace_from,d_hz_accident*G1797,0)</f>
        <v/>
      </c>
      <c r="AP1797" s="14">
        <f>F1797*AO1797*in_accident_ticket*in_accident_comm*in_ins_partner_share+F1797*in_accident_ticket*in_accident_renew_comm*in_ins_partner_share*(in_accident_renew^1*SUMIFS(AO1796:AO1803,B1796:B1803,B1797-12)+in_accident_renew^2*SUMIFS(AO1796:AO1803,B1796:B1803,B1797-24)+in_accident_renew^3*SUMIFS(AO1796:AO1803,B1796:B1803,B1797-36)+in_accident_renew^4*SUMIFS(AO1796:AO1803,B1796:B1803,B1797-48))</f>
        <v/>
      </c>
      <c r="AQ1797" s="40">
        <f>AQ1796*(1-IF(B1796&gt;=in_marketplace_from,d_hz_two_wheeler*G1796,0))</f>
        <v/>
      </c>
      <c r="AR1797" s="46">
        <f>AQ1797*IF(B1797&gt;=in_marketplace_from,d_hz_two_wheeler*G1797,0)</f>
        <v/>
      </c>
      <c r="AS1797" s="14">
        <f>F1797*AR1797*in_two_wheeler_ticket*in_two_wheeler_comm*in_ins_partner_share+F1797*in_two_wheeler_ticket*in_two_wheeler_comm*in_ins_partner_share*(in_two_wheeler_renew^1*SUMIFS(AR1796:AR1803,B1796:B1803,B1797-12)+in_two_wheeler_renew^2*SUMIFS(AR1796:AR1803,B1796:B1803,B1797-24)+in_two_wheeler_renew^3*SUMIFS(AR1796:AR1803,B1796:B1803,B1797-36)+in_two_wheeler_renew^4*SUMIFS(AR1796:AR1803,B1796:B1803,B1797-48))</f>
        <v/>
      </c>
      <c r="AT1797" s="40">
        <f>AT1796*(1-IF(B1796&gt;=in_marketplace_from,d_hz_device*G1796,0))</f>
        <v/>
      </c>
      <c r="AU1797" s="14">
        <f>F1797*AT1797*IF(B1797&gt;=in_marketplace_from,d_hz_device*G1797,0)*in_device_ticket*in_device_comm*in_ins_partner_share</f>
        <v/>
      </c>
      <c r="AV1797" s="40">
        <f>AV1796*(1-IF(B1796&gt;=in_marketplace_from,d_hz_shop*G1796,0))</f>
        <v/>
      </c>
      <c r="AW1797" s="46">
        <f>AV1797*IF(B1797&gt;=in_marketplace_from,d_hz_shop*G1797,0)</f>
        <v/>
      </c>
      <c r="AX1797" s="14">
        <f>F1797*AW1797*in_shop_ticket*in_shop_comm*in_ins_partner_share+F1797*in_shop_ticket*in_shop_renew_comm*in_ins_partner_share*(in_shop_renew^1*SUMIFS(AW1796:AW1803,B1796:B1803,B1797-12)+in_shop_renew^2*SUMIFS(AW1796:AW1803,B1796:B1803,B1797-24)+in_shop_renew^3*SUMIFS(AW1796:AW1803,B1796:B1803,B1797-36)+in_shop_renew^4*SUMIFS(AW1796:AW1803,B1796:B1803,B1797-48))</f>
        <v/>
      </c>
      <c r="AY1797" s="40">
        <f>AY1796*(1-IF(B1796&gt;=in_marketplace_from,d_hz_sip*G1796,0))</f>
        <v/>
      </c>
      <c r="AZ1797" s="40">
        <f>AZ1796*d_rho_sip+AY1797*IF(B1797&gt;=in_marketplace_from,d_hz_sip*G1797,0)</f>
        <v/>
      </c>
      <c r="BA1797" s="40">
        <f>d_rho_sip*(BA1796+AZ1796)</f>
        <v/>
      </c>
      <c r="BB1797" s="14">
        <f>F1797*in_sip_ticket*(BA1797+0.5*AZ1797)*in_sip_comm/12</f>
        <v/>
      </c>
      <c r="BC1797" s="40">
        <f>BC1796*(1-IF(B1796&gt;=in_marketplace_from,d_hz_choti*G1796,0))</f>
        <v/>
      </c>
      <c r="BD1797" s="46">
        <f>BC1797*IF(B1797&gt;=in_marketplace_from,d_hz_choti*G1797,0)</f>
        <v/>
      </c>
      <c r="BE1797" s="14">
        <f>F1797*SUMIFS(BD1796:BD1803,B1796:B1803,B1797-in_choti_months)*in_choti_renew*in_choti_ticket</f>
        <v/>
      </c>
      <c r="BF1797" s="40">
        <f>BF1796*(1-IF(B1796&gt;=in_marketplace_from,d_hz_nps*G1796,0))</f>
        <v/>
      </c>
      <c r="BG1797" s="14">
        <f>F1797*BF1797*IF(B1797&gt;=in_marketplace_from,d_hz_nps*G1797,0)*in_nps_ticket*in_nps_comm</f>
        <v/>
      </c>
      <c r="BH1797" s="40">
        <f>BH1796*(1-IF(B1796&gt;=in_marketplace_from,d_hz_gold*G1796,0))</f>
        <v/>
      </c>
      <c r="BI1797" s="40">
        <f>BI1796*d_rho_gold+BH1797*IF(B1797&gt;=in_marketplace_from,d_hz_gold*G1797,0)</f>
        <v/>
      </c>
      <c r="BJ1797" s="14">
        <f>F1797*BI1797*in_gold_ticket*in_gold_comm</f>
        <v/>
      </c>
      <c r="BK1797" s="40">
        <f>BK1796*(1-IF(B1796&gt;=in_marketplace_from,d_hz_fd*G1796,0))</f>
        <v/>
      </c>
      <c r="BL1797" s="14">
        <f>F1797*BK1797*IF(B1797&gt;=in_marketplace_from,d_hz_fd*G1797,0)*in_fd_ticket*in_fd_comm</f>
        <v/>
      </c>
      <c r="BM1797" s="40">
        <f>BM1796*(1-IF(B1796&gt;=in_marketplace_from,d_hz_recharge*G1796,0))</f>
        <v/>
      </c>
      <c r="BN1797" s="40">
        <f>BN1796*d_rho_recharge+BM1797*IF(B1797&gt;=in_marketplace_from,d_hz_recharge*G1797,0)</f>
        <v/>
      </c>
      <c r="BO1797" s="14">
        <f>F1797*BN1797*in_recharge_ticket*in_recharge_comm/12</f>
        <v/>
      </c>
      <c r="BP1797" s="40">
        <f>BP1796*(1-IF(B1796&gt;=in_marketplace_from,d_hz_bills*G1796,0))</f>
        <v/>
      </c>
      <c r="BQ1797" s="40">
        <f>BQ1796*d_rho_bills+BP1797*IF(B1797&gt;=in_marketplace_from,d_hz_bills*G1797,0)</f>
        <v/>
      </c>
      <c r="BR1797" s="14">
        <f>F1797*BQ1797*in_bills_ticket*in_bills_comm/12</f>
        <v/>
      </c>
      <c r="BS1797" s="40">
        <f>BS1796*(1-IF(B1796&gt;=in_marketplace_from,d_hz_loan_gold*G1796,0))</f>
        <v/>
      </c>
      <c r="BT1797" s="14">
        <f>F1797*BS1797*IF(B1797&gt;=in_marketplace_from,d_hz_loan_gold*G1797,0)*in_loan_gold_ticket*in_loan_gold_comm</f>
        <v/>
      </c>
      <c r="BU1797" s="40">
        <f>BU1796*(1-IF(B1796&gt;=in_marketplace_from,d_hz_loan_cd*G1796,0))</f>
        <v/>
      </c>
      <c r="BV1797" s="14">
        <f>F1797*BU1797*IF(B1797&gt;=in_marketplace_from,d_hz_loan_cd*G1797,0)*in_loan_cd_ticket*in_loan_cd_comm</f>
        <v/>
      </c>
      <c r="BW1797" s="40">
        <f>BW1796*(1-IF(B1796&gt;=in_marketplace_from,d_hz_loan_vehicle*G1796,0))</f>
        <v/>
      </c>
      <c r="BX1797" s="14">
        <f>F1797*BW1797*IF(B1797&gt;=in_marketplace_from,d_hz_loan_vehicle*G1797,0)*in_loan_vehicle_ticket*in_loan_vehicle_comm</f>
        <v/>
      </c>
      <c r="BY1797" s="40">
        <f>BY1796*(1-IF(B1796&gt;=in_marketplace_from,d_hz_loan_home*G1796,0)*BZ1796)</f>
        <v/>
      </c>
      <c r="BZ1797" s="11">
        <f>MIN(in_approval_cap,in_loan_home_approval*INDEX('Age profile'!$O$2:$O$61,B1797)*(1+in_approval_growth)^(D1797-1))</f>
        <v/>
      </c>
      <c r="CA1797" s="14">
        <f>F1797*BY1797*IF(B1797&gt;=in_marketplace_from,d_hz_loan_home*G1797,0)*BZ1797*in_loan_home_ticket*in_loan_home_comm</f>
        <v/>
      </c>
      <c r="CB1797" s="40">
        <f>CB1796*(1-IF(B1796&gt;=in_marketplace_from,d_hz_loan_lap*G1796,0)*CC1796)</f>
        <v/>
      </c>
      <c r="CC1797" s="11">
        <f>MIN(in_approval_cap,in_loan_lap_approval*INDEX('Age profile'!$O$2:$O$61,B1797)*(1+in_approval_growth)^(D1797-1))</f>
        <v/>
      </c>
      <c r="CD1797" s="14">
        <f>F1797*CB1797*IF(B1797&gt;=in_marketplace_from,d_hz_loan_lap*G1797,0)*CC1797*in_loan_lap_ticket*in_loan_lap_comm</f>
        <v/>
      </c>
      <c r="CE1797" s="14">
        <f>AA1797+AB1797+AC1797+AD1797+AG1797+AJ1797+AM1797+AP1797+AS1797+AU1797+AX1797+BB1797+BE1797+BG1797+BJ1797+BL1797+BO1797+BR1797+BT1797+BV1797+BX1797+CA1797+CD1797</f>
        <v/>
      </c>
    </row>
    <row r="1798">
      <c r="A1798" s="39" t="n">
        <v>53</v>
      </c>
      <c r="B1798" s="39" t="n">
        <v>3</v>
      </c>
      <c r="C1798" s="39">
        <f>A1798+B1798-1</f>
        <v/>
      </c>
      <c r="D1798" s="39">
        <f>INT((C1798-1)/12)+1</f>
        <v/>
      </c>
      <c r="E1798" s="44">
        <f>INDEX(Monthly!$B$2:$B$61,A1798)</f>
        <v/>
      </c>
      <c r="F1798" s="44">
        <f>E1798*INDEX('Age profile'!$B$2:$B$61,B1798)</f>
        <v/>
      </c>
      <c r="G1798" s="45">
        <f>MIN(in_takeup_cap,INDEX('Age profile'!$N$2:$N$61,B1798)*(1+in_takeup_growth)^(D1798-1))</f>
        <v/>
      </c>
      <c r="H1798" s="11">
        <f>MIN(in_approval_cap,in_approved_first*INDEX('Age profile'!$O$2:$O$61,B1798)*(1+in_approval_growth)^(D1798-1))</f>
        <v/>
      </c>
      <c r="I1798" s="45">
        <f>G1798*MIN(in_takeup_cap,INDEX('Age profile'!$O$2:$O$61,B1798)*(1+in_approval_growth)^(D1798-1))</f>
        <v/>
      </c>
      <c r="J1798" s="40">
        <f>(J1797-L1797)*F1798/F1797</f>
        <v/>
      </c>
      <c r="K1798" s="40">
        <f>(K1797-M1797)*F1798/F1797+SUMIFS(O1796:O1797,B1796:B1797,B1798-1-d_T)*F1798</f>
        <v/>
      </c>
      <c r="L1798" s="40">
        <f>IF(B1798&gt;=in_marketplace_from,J1798*d_hz*G1798*in_eligible*H1798,0)</f>
        <v/>
      </c>
      <c r="M1798" s="40">
        <f>IF(B1798&gt;=in_marketplace_from,K1798*d_hz*G1798*in_eligible*in_approved_repeat,0)</f>
        <v/>
      </c>
      <c r="N1798" s="40">
        <f>L1798+M1798</f>
        <v/>
      </c>
      <c r="O1798" s="46">
        <f>N1798/F1798</f>
        <v/>
      </c>
      <c r="P1798" s="40">
        <f>F1798-J1798-K1798</f>
        <v/>
      </c>
      <c r="Q1798" s="40">
        <f>IF(B1798&gt;=in_marketplace_from,(J1798+K1798)*d_hz*G1798,0)</f>
        <v/>
      </c>
      <c r="R1798" s="40">
        <f>SUMIFS(N1796:N1803,B1796:B1803,"&gt;="&amp;(B1798-d_T),B1796:B1803,"&lt;="&amp;(B1798-1))</f>
        <v/>
      </c>
      <c r="S1798" s="46">
        <f>(1-d_u)*S1797+IF(d_T&gt;in_topup_lag,SUMIFS(O1796:O1803,B1796:B1803,B1798-in_topup_lag)-d_udrop*SUMIFS(O1796:O1803,B1796:B1803,B1798-d_T),0)</f>
        <v/>
      </c>
      <c r="T1798" s="40">
        <f>F1798*d_u*S1798</f>
        <v/>
      </c>
      <c r="U1798" s="9">
        <f>L1798*in_ticket+M1798*d_rep_ticket</f>
        <v/>
      </c>
      <c r="V1798" s="9">
        <f>U1798+T1798*d_topup_amt</f>
        <v/>
      </c>
      <c r="W1798" s="40">
        <f>N1798+T1798*d_topup_ratio</f>
        <v/>
      </c>
      <c r="X1798" s="40">
        <f>SUMIFS(W1796:W1803,B1796:B1803,B1798-in_dpd_lag)*d_cured</f>
        <v/>
      </c>
      <c r="Y1798" s="40">
        <f>SUMIFS(W1796:W1803,B1796:B1803,B1798-in_rec_lag)*d_recd</f>
        <v/>
      </c>
      <c r="Z1798" s="40">
        <f>IF(AND(B1798&gt;=in_marketplace_from,B1798&lt;in_marketplace_from+in_card_months),in_card_share/in_card_months*F1798*I1798,IF(AND(B1798&gt;=in_marketplace_from+in_card_months,B1798&lt;in_marketplace_from+2*in_card_months),in_card_share*d_card_rem/in_card_months*F1798*MIN(in_takeup_cap,(1+in_takeup_growth)^(D1798-1))*MIN(in_takeup_cap,(1+in_approval_growth)^(D1798-1)),0))</f>
        <v/>
      </c>
      <c r="AA1798" s="14">
        <f>V1798*in_fee*(1-in_taken_back)</f>
        <v/>
      </c>
      <c r="AB1798" s="14">
        <f>SUMIFS(W1796:W1803,B1796:B1803,B1798-in_dpd_lag)*d_dpd</f>
        <v/>
      </c>
      <c r="AC1798" s="14">
        <f>SUMIFS(W1796:W1803,B1796:B1803,B1798-in_rec_lag)*d_rec</f>
        <v/>
      </c>
      <c r="AD1798" s="14">
        <f>Z1798*in_card_fee</f>
        <v/>
      </c>
      <c r="AE1798" s="40">
        <f>AE1797*(1-IF(B1797&gt;=in_marketplace_from,d_hz_hlth_small*G1797,0))</f>
        <v/>
      </c>
      <c r="AF1798" s="46">
        <f>AE1798*IF(B1798&gt;=in_marketplace_from,d_hz_hlth_small*G1798,0)</f>
        <v/>
      </c>
      <c r="AG1798" s="14">
        <f>F1798*AF1798*in_hlth_small_ticket*in_hlth_small_comm*in_ins_partner_share+F1798*in_hlth_small_ticket*in_hlth_small_renew_comm*in_ins_partner_share*(in_hlth_small_renew^1*SUMIFS(AF1796:AF1803,B1796:B1803,B1798-12)+in_hlth_small_renew^2*SUMIFS(AF1796:AF1803,B1796:B1803,B1798-24)+in_hlth_small_renew^3*SUMIFS(AF1796:AF1803,B1796:B1803,B1798-36)+in_hlth_small_renew^4*SUMIFS(AF1796:AF1803,B1796:B1803,B1798-48))</f>
        <v/>
      </c>
      <c r="AH1798" s="40">
        <f>AH1797*(1-IF(B1797&gt;=in_marketplace_from,d_hz_hlth_family*G1797,0))</f>
        <v/>
      </c>
      <c r="AI1798" s="46">
        <f>AH1798*IF(B1798&gt;=in_marketplace_from,d_hz_hlth_family*G1798,0)</f>
        <v/>
      </c>
      <c r="AJ1798" s="14">
        <f>F1798*AI1798*in_hlth_family_ticket*in_hlth_family_comm*in_ins_partner_share+F1798*in_hlth_family_ticket*in_hlth_family_renew_comm*in_ins_partner_share*(in_hlth_family_renew^1*SUMIFS(AI1796:AI1803,B1796:B1803,B1798-12)+in_hlth_family_renew^2*SUMIFS(AI1796:AI1803,B1796:B1803,B1798-24)+in_hlth_family_renew^3*SUMIFS(AI1796:AI1803,B1796:B1803,B1798-36)+in_hlth_family_renew^4*SUMIFS(AI1796:AI1803,B1796:B1803,B1798-48))</f>
        <v/>
      </c>
      <c r="AK1798" s="40">
        <f>AK1797*(1-IF(B1797&gt;=in_marketplace_from,d_hz_life_term*G1797,0))</f>
        <v/>
      </c>
      <c r="AL1798" s="46">
        <f>AK1798*IF(B1798&gt;=in_marketplace_from,d_hz_life_term*G1798,0)</f>
        <v/>
      </c>
      <c r="AM1798" s="14">
        <f>F1798*AL1798*in_life_term_ticket*in_life_term_comm*in_ins_partner_share+F1798*in_life_term_ticket*in_life_term_renew_comm*in_ins_partner_share*(in_life_term_renew^1*SUMIFS(AL1796:AL1803,B1796:B1803,B1798-12)+in_life_term_renew^2*SUMIFS(AL1796:AL1803,B1796:B1803,B1798-24)+in_life_term_renew^3*SUMIFS(AL1796:AL1803,B1796:B1803,B1798-36)+in_life_term_renew^4*SUMIFS(AL1796:AL1803,B1796:B1803,B1798-48))</f>
        <v/>
      </c>
      <c r="AN1798" s="40">
        <f>AN1797*(1-IF(B1797&gt;=in_marketplace_from,d_hz_accident*G1797,0))</f>
        <v/>
      </c>
      <c r="AO1798" s="46">
        <f>AN1798*IF(B1798&gt;=in_marketplace_from,d_hz_accident*G1798,0)</f>
        <v/>
      </c>
      <c r="AP1798" s="14">
        <f>F1798*AO1798*in_accident_ticket*in_accident_comm*in_ins_partner_share+F1798*in_accident_ticket*in_accident_renew_comm*in_ins_partner_share*(in_accident_renew^1*SUMIFS(AO1796:AO1803,B1796:B1803,B1798-12)+in_accident_renew^2*SUMIFS(AO1796:AO1803,B1796:B1803,B1798-24)+in_accident_renew^3*SUMIFS(AO1796:AO1803,B1796:B1803,B1798-36)+in_accident_renew^4*SUMIFS(AO1796:AO1803,B1796:B1803,B1798-48))</f>
        <v/>
      </c>
      <c r="AQ1798" s="40">
        <f>AQ1797*(1-IF(B1797&gt;=in_marketplace_from,d_hz_two_wheeler*G1797,0))</f>
        <v/>
      </c>
      <c r="AR1798" s="46">
        <f>AQ1798*IF(B1798&gt;=in_marketplace_from,d_hz_two_wheeler*G1798,0)</f>
        <v/>
      </c>
      <c r="AS1798" s="14">
        <f>F1798*AR1798*in_two_wheeler_ticket*in_two_wheeler_comm*in_ins_partner_share+F1798*in_two_wheeler_ticket*in_two_wheeler_comm*in_ins_partner_share*(in_two_wheeler_renew^1*SUMIFS(AR1796:AR1803,B1796:B1803,B1798-12)+in_two_wheeler_renew^2*SUMIFS(AR1796:AR1803,B1796:B1803,B1798-24)+in_two_wheeler_renew^3*SUMIFS(AR1796:AR1803,B1796:B1803,B1798-36)+in_two_wheeler_renew^4*SUMIFS(AR1796:AR1803,B1796:B1803,B1798-48))</f>
        <v/>
      </c>
      <c r="AT1798" s="40">
        <f>AT1797*(1-IF(B1797&gt;=in_marketplace_from,d_hz_device*G1797,0))</f>
        <v/>
      </c>
      <c r="AU1798" s="14">
        <f>F1798*AT1798*IF(B1798&gt;=in_marketplace_from,d_hz_device*G1798,0)*in_device_ticket*in_device_comm*in_ins_partner_share</f>
        <v/>
      </c>
      <c r="AV1798" s="40">
        <f>AV1797*(1-IF(B1797&gt;=in_marketplace_from,d_hz_shop*G1797,0))</f>
        <v/>
      </c>
      <c r="AW1798" s="46">
        <f>AV1798*IF(B1798&gt;=in_marketplace_from,d_hz_shop*G1798,0)</f>
        <v/>
      </c>
      <c r="AX1798" s="14">
        <f>F1798*AW1798*in_shop_ticket*in_shop_comm*in_ins_partner_share+F1798*in_shop_ticket*in_shop_renew_comm*in_ins_partner_share*(in_shop_renew^1*SUMIFS(AW1796:AW1803,B1796:B1803,B1798-12)+in_shop_renew^2*SUMIFS(AW1796:AW1803,B1796:B1803,B1798-24)+in_shop_renew^3*SUMIFS(AW1796:AW1803,B1796:B1803,B1798-36)+in_shop_renew^4*SUMIFS(AW1796:AW1803,B1796:B1803,B1798-48))</f>
        <v/>
      </c>
      <c r="AY1798" s="40">
        <f>AY1797*(1-IF(B1797&gt;=in_marketplace_from,d_hz_sip*G1797,0))</f>
        <v/>
      </c>
      <c r="AZ1798" s="40">
        <f>AZ1797*d_rho_sip+AY1798*IF(B1798&gt;=in_marketplace_from,d_hz_sip*G1798,0)</f>
        <v/>
      </c>
      <c r="BA1798" s="40">
        <f>d_rho_sip*(BA1797+AZ1797)</f>
        <v/>
      </c>
      <c r="BB1798" s="14">
        <f>F1798*in_sip_ticket*(BA1798+0.5*AZ1798)*in_sip_comm/12</f>
        <v/>
      </c>
      <c r="BC1798" s="40">
        <f>BC1797*(1-IF(B1797&gt;=in_marketplace_from,d_hz_choti*G1797,0))</f>
        <v/>
      </c>
      <c r="BD1798" s="46">
        <f>BC1798*IF(B1798&gt;=in_marketplace_from,d_hz_choti*G1798,0)</f>
        <v/>
      </c>
      <c r="BE1798" s="14">
        <f>F1798*SUMIFS(BD1796:BD1803,B1796:B1803,B1798-in_choti_months)*in_choti_renew*in_choti_ticket</f>
        <v/>
      </c>
      <c r="BF1798" s="40">
        <f>BF1797*(1-IF(B1797&gt;=in_marketplace_from,d_hz_nps*G1797,0))</f>
        <v/>
      </c>
      <c r="BG1798" s="14">
        <f>F1798*BF1798*IF(B1798&gt;=in_marketplace_from,d_hz_nps*G1798,0)*in_nps_ticket*in_nps_comm</f>
        <v/>
      </c>
      <c r="BH1798" s="40">
        <f>BH1797*(1-IF(B1797&gt;=in_marketplace_from,d_hz_gold*G1797,0))</f>
        <v/>
      </c>
      <c r="BI1798" s="40">
        <f>BI1797*d_rho_gold+BH1798*IF(B1798&gt;=in_marketplace_from,d_hz_gold*G1798,0)</f>
        <v/>
      </c>
      <c r="BJ1798" s="14">
        <f>F1798*BI1798*in_gold_ticket*in_gold_comm</f>
        <v/>
      </c>
      <c r="BK1798" s="40">
        <f>BK1797*(1-IF(B1797&gt;=in_marketplace_from,d_hz_fd*G1797,0))</f>
        <v/>
      </c>
      <c r="BL1798" s="14">
        <f>F1798*BK1798*IF(B1798&gt;=in_marketplace_from,d_hz_fd*G1798,0)*in_fd_ticket*in_fd_comm</f>
        <v/>
      </c>
      <c r="BM1798" s="40">
        <f>BM1797*(1-IF(B1797&gt;=in_marketplace_from,d_hz_recharge*G1797,0))</f>
        <v/>
      </c>
      <c r="BN1798" s="40">
        <f>BN1797*d_rho_recharge+BM1798*IF(B1798&gt;=in_marketplace_from,d_hz_recharge*G1798,0)</f>
        <v/>
      </c>
      <c r="BO1798" s="14">
        <f>F1798*BN1798*in_recharge_ticket*in_recharge_comm/12</f>
        <v/>
      </c>
      <c r="BP1798" s="40">
        <f>BP1797*(1-IF(B1797&gt;=in_marketplace_from,d_hz_bills*G1797,0))</f>
        <v/>
      </c>
      <c r="BQ1798" s="40">
        <f>BQ1797*d_rho_bills+BP1798*IF(B1798&gt;=in_marketplace_from,d_hz_bills*G1798,0)</f>
        <v/>
      </c>
      <c r="BR1798" s="14">
        <f>F1798*BQ1798*in_bills_ticket*in_bills_comm/12</f>
        <v/>
      </c>
      <c r="BS1798" s="40">
        <f>BS1797*(1-IF(B1797&gt;=in_marketplace_from,d_hz_loan_gold*G1797,0))</f>
        <v/>
      </c>
      <c r="BT1798" s="14">
        <f>F1798*BS1798*IF(B1798&gt;=in_marketplace_from,d_hz_loan_gold*G1798,0)*in_loan_gold_ticket*in_loan_gold_comm</f>
        <v/>
      </c>
      <c r="BU1798" s="40">
        <f>BU1797*(1-IF(B1797&gt;=in_marketplace_from,d_hz_loan_cd*G1797,0))</f>
        <v/>
      </c>
      <c r="BV1798" s="14">
        <f>F1798*BU1798*IF(B1798&gt;=in_marketplace_from,d_hz_loan_cd*G1798,0)*in_loan_cd_ticket*in_loan_cd_comm</f>
        <v/>
      </c>
      <c r="BW1798" s="40">
        <f>BW1797*(1-IF(B1797&gt;=in_marketplace_from,d_hz_loan_vehicle*G1797,0))</f>
        <v/>
      </c>
      <c r="BX1798" s="14">
        <f>F1798*BW1798*IF(B1798&gt;=in_marketplace_from,d_hz_loan_vehicle*G1798,0)*in_loan_vehicle_ticket*in_loan_vehicle_comm</f>
        <v/>
      </c>
      <c r="BY1798" s="40">
        <f>BY1797*(1-IF(B1797&gt;=in_marketplace_from,d_hz_loan_home*G1797,0)*BZ1797)</f>
        <v/>
      </c>
      <c r="BZ1798" s="11">
        <f>MIN(in_approval_cap,in_loan_home_approval*INDEX('Age profile'!$O$2:$O$61,B1798)*(1+in_approval_growth)^(D1798-1))</f>
        <v/>
      </c>
      <c r="CA1798" s="14">
        <f>F1798*BY1798*IF(B1798&gt;=in_marketplace_from,d_hz_loan_home*G1798,0)*BZ1798*in_loan_home_ticket*in_loan_home_comm</f>
        <v/>
      </c>
      <c r="CB1798" s="40">
        <f>CB1797*(1-IF(B1797&gt;=in_marketplace_from,d_hz_loan_lap*G1797,0)*CC1797)</f>
        <v/>
      </c>
      <c r="CC1798" s="11">
        <f>MIN(in_approval_cap,in_loan_lap_approval*INDEX('Age profile'!$O$2:$O$61,B1798)*(1+in_approval_growth)^(D1798-1))</f>
        <v/>
      </c>
      <c r="CD1798" s="14">
        <f>F1798*CB1798*IF(B1798&gt;=in_marketplace_from,d_hz_loan_lap*G1798,0)*CC1798*in_loan_lap_ticket*in_loan_lap_comm</f>
        <v/>
      </c>
      <c r="CE1798" s="14">
        <f>AA1798+AB1798+AC1798+AD1798+AG1798+AJ1798+AM1798+AP1798+AS1798+AU1798+AX1798+BB1798+BE1798+BG1798+BJ1798+BL1798+BO1798+BR1798+BT1798+BV1798+BX1798+CA1798+CD1798</f>
        <v/>
      </c>
    </row>
    <row r="1799">
      <c r="A1799" s="39" t="n">
        <v>53</v>
      </c>
      <c r="B1799" s="39" t="n">
        <v>4</v>
      </c>
      <c r="C1799" s="39">
        <f>A1799+B1799-1</f>
        <v/>
      </c>
      <c r="D1799" s="39">
        <f>INT((C1799-1)/12)+1</f>
        <v/>
      </c>
      <c r="E1799" s="44">
        <f>INDEX(Monthly!$B$2:$B$61,A1799)</f>
        <v/>
      </c>
      <c r="F1799" s="44">
        <f>E1799*INDEX('Age profile'!$B$2:$B$61,B1799)</f>
        <v/>
      </c>
      <c r="G1799" s="45">
        <f>MIN(in_takeup_cap,INDEX('Age profile'!$N$2:$N$61,B1799)*(1+in_takeup_growth)^(D1799-1))</f>
        <v/>
      </c>
      <c r="H1799" s="11">
        <f>MIN(in_approval_cap,in_approved_first*INDEX('Age profile'!$O$2:$O$61,B1799)*(1+in_approval_growth)^(D1799-1))</f>
        <v/>
      </c>
      <c r="I1799" s="45">
        <f>G1799*MIN(in_takeup_cap,INDEX('Age profile'!$O$2:$O$61,B1799)*(1+in_approval_growth)^(D1799-1))</f>
        <v/>
      </c>
      <c r="J1799" s="40">
        <f>(J1798-L1798)*F1799/F1798</f>
        <v/>
      </c>
      <c r="K1799" s="40">
        <f>(K1798-M1798)*F1799/F1798+SUMIFS(O1796:O1798,B1796:B1798,B1799-1-d_T)*F1799</f>
        <v/>
      </c>
      <c r="L1799" s="40">
        <f>IF(B1799&gt;=in_marketplace_from,J1799*d_hz*G1799*in_eligible*H1799,0)</f>
        <v/>
      </c>
      <c r="M1799" s="40">
        <f>IF(B1799&gt;=in_marketplace_from,K1799*d_hz*G1799*in_eligible*in_approved_repeat,0)</f>
        <v/>
      </c>
      <c r="N1799" s="40">
        <f>L1799+M1799</f>
        <v/>
      </c>
      <c r="O1799" s="46">
        <f>N1799/F1799</f>
        <v/>
      </c>
      <c r="P1799" s="40">
        <f>F1799-J1799-K1799</f>
        <v/>
      </c>
      <c r="Q1799" s="40">
        <f>IF(B1799&gt;=in_marketplace_from,(J1799+K1799)*d_hz*G1799,0)</f>
        <v/>
      </c>
      <c r="R1799" s="40">
        <f>SUMIFS(N1796:N1803,B1796:B1803,"&gt;="&amp;(B1799-d_T),B1796:B1803,"&lt;="&amp;(B1799-1))</f>
        <v/>
      </c>
      <c r="S1799" s="46">
        <f>(1-d_u)*S1798+IF(d_T&gt;in_topup_lag,SUMIFS(O1796:O1803,B1796:B1803,B1799-in_topup_lag)-d_udrop*SUMIFS(O1796:O1803,B1796:B1803,B1799-d_T),0)</f>
        <v/>
      </c>
      <c r="T1799" s="40">
        <f>F1799*d_u*S1799</f>
        <v/>
      </c>
      <c r="U1799" s="9">
        <f>L1799*in_ticket+M1799*d_rep_ticket</f>
        <v/>
      </c>
      <c r="V1799" s="9">
        <f>U1799+T1799*d_topup_amt</f>
        <v/>
      </c>
      <c r="W1799" s="40">
        <f>N1799+T1799*d_topup_ratio</f>
        <v/>
      </c>
      <c r="X1799" s="40">
        <f>SUMIFS(W1796:W1803,B1796:B1803,B1799-in_dpd_lag)*d_cured</f>
        <v/>
      </c>
      <c r="Y1799" s="40">
        <f>SUMIFS(W1796:W1803,B1796:B1803,B1799-in_rec_lag)*d_recd</f>
        <v/>
      </c>
      <c r="Z1799" s="40">
        <f>IF(AND(B1799&gt;=in_marketplace_from,B1799&lt;in_marketplace_from+in_card_months),in_card_share/in_card_months*F1799*I1799,IF(AND(B1799&gt;=in_marketplace_from+in_card_months,B1799&lt;in_marketplace_from+2*in_card_months),in_card_share*d_card_rem/in_card_months*F1799*MIN(in_takeup_cap,(1+in_takeup_growth)^(D1799-1))*MIN(in_takeup_cap,(1+in_approval_growth)^(D1799-1)),0))</f>
        <v/>
      </c>
      <c r="AA1799" s="14">
        <f>V1799*in_fee*(1-in_taken_back)</f>
        <v/>
      </c>
      <c r="AB1799" s="14">
        <f>SUMIFS(W1796:W1803,B1796:B1803,B1799-in_dpd_lag)*d_dpd</f>
        <v/>
      </c>
      <c r="AC1799" s="14">
        <f>SUMIFS(W1796:W1803,B1796:B1803,B1799-in_rec_lag)*d_rec</f>
        <v/>
      </c>
      <c r="AD1799" s="14">
        <f>Z1799*in_card_fee</f>
        <v/>
      </c>
      <c r="AE1799" s="40">
        <f>AE1798*(1-IF(B1798&gt;=in_marketplace_from,d_hz_hlth_small*G1798,0))</f>
        <v/>
      </c>
      <c r="AF1799" s="46">
        <f>AE1799*IF(B1799&gt;=in_marketplace_from,d_hz_hlth_small*G1799,0)</f>
        <v/>
      </c>
      <c r="AG1799" s="14">
        <f>F1799*AF1799*in_hlth_small_ticket*in_hlth_small_comm*in_ins_partner_share+F1799*in_hlth_small_ticket*in_hlth_small_renew_comm*in_ins_partner_share*(in_hlth_small_renew^1*SUMIFS(AF1796:AF1803,B1796:B1803,B1799-12)+in_hlth_small_renew^2*SUMIFS(AF1796:AF1803,B1796:B1803,B1799-24)+in_hlth_small_renew^3*SUMIFS(AF1796:AF1803,B1796:B1803,B1799-36)+in_hlth_small_renew^4*SUMIFS(AF1796:AF1803,B1796:B1803,B1799-48))</f>
        <v/>
      </c>
      <c r="AH1799" s="40">
        <f>AH1798*(1-IF(B1798&gt;=in_marketplace_from,d_hz_hlth_family*G1798,0))</f>
        <v/>
      </c>
      <c r="AI1799" s="46">
        <f>AH1799*IF(B1799&gt;=in_marketplace_from,d_hz_hlth_family*G1799,0)</f>
        <v/>
      </c>
      <c r="AJ1799" s="14">
        <f>F1799*AI1799*in_hlth_family_ticket*in_hlth_family_comm*in_ins_partner_share+F1799*in_hlth_family_ticket*in_hlth_family_renew_comm*in_ins_partner_share*(in_hlth_family_renew^1*SUMIFS(AI1796:AI1803,B1796:B1803,B1799-12)+in_hlth_family_renew^2*SUMIFS(AI1796:AI1803,B1796:B1803,B1799-24)+in_hlth_family_renew^3*SUMIFS(AI1796:AI1803,B1796:B1803,B1799-36)+in_hlth_family_renew^4*SUMIFS(AI1796:AI1803,B1796:B1803,B1799-48))</f>
        <v/>
      </c>
      <c r="AK1799" s="40">
        <f>AK1798*(1-IF(B1798&gt;=in_marketplace_from,d_hz_life_term*G1798,0))</f>
        <v/>
      </c>
      <c r="AL1799" s="46">
        <f>AK1799*IF(B1799&gt;=in_marketplace_from,d_hz_life_term*G1799,0)</f>
        <v/>
      </c>
      <c r="AM1799" s="14">
        <f>F1799*AL1799*in_life_term_ticket*in_life_term_comm*in_ins_partner_share+F1799*in_life_term_ticket*in_life_term_renew_comm*in_ins_partner_share*(in_life_term_renew^1*SUMIFS(AL1796:AL1803,B1796:B1803,B1799-12)+in_life_term_renew^2*SUMIFS(AL1796:AL1803,B1796:B1803,B1799-24)+in_life_term_renew^3*SUMIFS(AL1796:AL1803,B1796:B1803,B1799-36)+in_life_term_renew^4*SUMIFS(AL1796:AL1803,B1796:B1803,B1799-48))</f>
        <v/>
      </c>
      <c r="AN1799" s="40">
        <f>AN1798*(1-IF(B1798&gt;=in_marketplace_from,d_hz_accident*G1798,0))</f>
        <v/>
      </c>
      <c r="AO1799" s="46">
        <f>AN1799*IF(B1799&gt;=in_marketplace_from,d_hz_accident*G1799,0)</f>
        <v/>
      </c>
      <c r="AP1799" s="14">
        <f>F1799*AO1799*in_accident_ticket*in_accident_comm*in_ins_partner_share+F1799*in_accident_ticket*in_accident_renew_comm*in_ins_partner_share*(in_accident_renew^1*SUMIFS(AO1796:AO1803,B1796:B1803,B1799-12)+in_accident_renew^2*SUMIFS(AO1796:AO1803,B1796:B1803,B1799-24)+in_accident_renew^3*SUMIFS(AO1796:AO1803,B1796:B1803,B1799-36)+in_accident_renew^4*SUMIFS(AO1796:AO1803,B1796:B1803,B1799-48))</f>
        <v/>
      </c>
      <c r="AQ1799" s="40">
        <f>AQ1798*(1-IF(B1798&gt;=in_marketplace_from,d_hz_two_wheeler*G1798,0))</f>
        <v/>
      </c>
      <c r="AR1799" s="46">
        <f>AQ1799*IF(B1799&gt;=in_marketplace_from,d_hz_two_wheeler*G1799,0)</f>
        <v/>
      </c>
      <c r="AS1799" s="14">
        <f>F1799*AR1799*in_two_wheeler_ticket*in_two_wheeler_comm*in_ins_partner_share+F1799*in_two_wheeler_ticket*in_two_wheeler_comm*in_ins_partner_share*(in_two_wheeler_renew^1*SUMIFS(AR1796:AR1803,B1796:B1803,B1799-12)+in_two_wheeler_renew^2*SUMIFS(AR1796:AR1803,B1796:B1803,B1799-24)+in_two_wheeler_renew^3*SUMIFS(AR1796:AR1803,B1796:B1803,B1799-36)+in_two_wheeler_renew^4*SUMIFS(AR1796:AR1803,B1796:B1803,B1799-48))</f>
        <v/>
      </c>
      <c r="AT1799" s="40">
        <f>AT1798*(1-IF(B1798&gt;=in_marketplace_from,d_hz_device*G1798,0))</f>
        <v/>
      </c>
      <c r="AU1799" s="14">
        <f>F1799*AT1799*IF(B1799&gt;=in_marketplace_from,d_hz_device*G1799,0)*in_device_ticket*in_device_comm*in_ins_partner_share</f>
        <v/>
      </c>
      <c r="AV1799" s="40">
        <f>AV1798*(1-IF(B1798&gt;=in_marketplace_from,d_hz_shop*G1798,0))</f>
        <v/>
      </c>
      <c r="AW1799" s="46">
        <f>AV1799*IF(B1799&gt;=in_marketplace_from,d_hz_shop*G1799,0)</f>
        <v/>
      </c>
      <c r="AX1799" s="14">
        <f>F1799*AW1799*in_shop_ticket*in_shop_comm*in_ins_partner_share+F1799*in_shop_ticket*in_shop_renew_comm*in_ins_partner_share*(in_shop_renew^1*SUMIFS(AW1796:AW1803,B1796:B1803,B1799-12)+in_shop_renew^2*SUMIFS(AW1796:AW1803,B1796:B1803,B1799-24)+in_shop_renew^3*SUMIFS(AW1796:AW1803,B1796:B1803,B1799-36)+in_shop_renew^4*SUMIFS(AW1796:AW1803,B1796:B1803,B1799-48))</f>
        <v/>
      </c>
      <c r="AY1799" s="40">
        <f>AY1798*(1-IF(B1798&gt;=in_marketplace_from,d_hz_sip*G1798,0))</f>
        <v/>
      </c>
      <c r="AZ1799" s="40">
        <f>AZ1798*d_rho_sip+AY1799*IF(B1799&gt;=in_marketplace_from,d_hz_sip*G1799,0)</f>
        <v/>
      </c>
      <c r="BA1799" s="40">
        <f>d_rho_sip*(BA1798+AZ1798)</f>
        <v/>
      </c>
      <c r="BB1799" s="14">
        <f>F1799*in_sip_ticket*(BA1799+0.5*AZ1799)*in_sip_comm/12</f>
        <v/>
      </c>
      <c r="BC1799" s="40">
        <f>BC1798*(1-IF(B1798&gt;=in_marketplace_from,d_hz_choti*G1798,0))</f>
        <v/>
      </c>
      <c r="BD1799" s="46">
        <f>BC1799*IF(B1799&gt;=in_marketplace_from,d_hz_choti*G1799,0)</f>
        <v/>
      </c>
      <c r="BE1799" s="14">
        <f>F1799*SUMIFS(BD1796:BD1803,B1796:B1803,B1799-in_choti_months)*in_choti_renew*in_choti_ticket</f>
        <v/>
      </c>
      <c r="BF1799" s="40">
        <f>BF1798*(1-IF(B1798&gt;=in_marketplace_from,d_hz_nps*G1798,0))</f>
        <v/>
      </c>
      <c r="BG1799" s="14">
        <f>F1799*BF1799*IF(B1799&gt;=in_marketplace_from,d_hz_nps*G1799,0)*in_nps_ticket*in_nps_comm</f>
        <v/>
      </c>
      <c r="BH1799" s="40">
        <f>BH1798*(1-IF(B1798&gt;=in_marketplace_from,d_hz_gold*G1798,0))</f>
        <v/>
      </c>
      <c r="BI1799" s="40">
        <f>BI1798*d_rho_gold+BH1799*IF(B1799&gt;=in_marketplace_from,d_hz_gold*G1799,0)</f>
        <v/>
      </c>
      <c r="BJ1799" s="14">
        <f>F1799*BI1799*in_gold_ticket*in_gold_comm</f>
        <v/>
      </c>
      <c r="BK1799" s="40">
        <f>BK1798*(1-IF(B1798&gt;=in_marketplace_from,d_hz_fd*G1798,0))</f>
        <v/>
      </c>
      <c r="BL1799" s="14">
        <f>F1799*BK1799*IF(B1799&gt;=in_marketplace_from,d_hz_fd*G1799,0)*in_fd_ticket*in_fd_comm</f>
        <v/>
      </c>
      <c r="BM1799" s="40">
        <f>BM1798*(1-IF(B1798&gt;=in_marketplace_from,d_hz_recharge*G1798,0))</f>
        <v/>
      </c>
      <c r="BN1799" s="40">
        <f>BN1798*d_rho_recharge+BM1799*IF(B1799&gt;=in_marketplace_from,d_hz_recharge*G1799,0)</f>
        <v/>
      </c>
      <c r="BO1799" s="14">
        <f>F1799*BN1799*in_recharge_ticket*in_recharge_comm/12</f>
        <v/>
      </c>
      <c r="BP1799" s="40">
        <f>BP1798*(1-IF(B1798&gt;=in_marketplace_from,d_hz_bills*G1798,0))</f>
        <v/>
      </c>
      <c r="BQ1799" s="40">
        <f>BQ1798*d_rho_bills+BP1799*IF(B1799&gt;=in_marketplace_from,d_hz_bills*G1799,0)</f>
        <v/>
      </c>
      <c r="BR1799" s="14">
        <f>F1799*BQ1799*in_bills_ticket*in_bills_comm/12</f>
        <v/>
      </c>
      <c r="BS1799" s="40">
        <f>BS1798*(1-IF(B1798&gt;=in_marketplace_from,d_hz_loan_gold*G1798,0))</f>
        <v/>
      </c>
      <c r="BT1799" s="14">
        <f>F1799*BS1799*IF(B1799&gt;=in_marketplace_from,d_hz_loan_gold*G1799,0)*in_loan_gold_ticket*in_loan_gold_comm</f>
        <v/>
      </c>
      <c r="BU1799" s="40">
        <f>BU1798*(1-IF(B1798&gt;=in_marketplace_from,d_hz_loan_cd*G1798,0))</f>
        <v/>
      </c>
      <c r="BV1799" s="14">
        <f>F1799*BU1799*IF(B1799&gt;=in_marketplace_from,d_hz_loan_cd*G1799,0)*in_loan_cd_ticket*in_loan_cd_comm</f>
        <v/>
      </c>
      <c r="BW1799" s="40">
        <f>BW1798*(1-IF(B1798&gt;=in_marketplace_from,d_hz_loan_vehicle*G1798,0))</f>
        <v/>
      </c>
      <c r="BX1799" s="14">
        <f>F1799*BW1799*IF(B1799&gt;=in_marketplace_from,d_hz_loan_vehicle*G1799,0)*in_loan_vehicle_ticket*in_loan_vehicle_comm</f>
        <v/>
      </c>
      <c r="BY1799" s="40">
        <f>BY1798*(1-IF(B1798&gt;=in_marketplace_from,d_hz_loan_home*G1798,0)*BZ1798)</f>
        <v/>
      </c>
      <c r="BZ1799" s="11">
        <f>MIN(in_approval_cap,in_loan_home_approval*INDEX('Age profile'!$O$2:$O$61,B1799)*(1+in_approval_growth)^(D1799-1))</f>
        <v/>
      </c>
      <c r="CA1799" s="14">
        <f>F1799*BY1799*IF(B1799&gt;=in_marketplace_from,d_hz_loan_home*G1799,0)*BZ1799*in_loan_home_ticket*in_loan_home_comm</f>
        <v/>
      </c>
      <c r="CB1799" s="40">
        <f>CB1798*(1-IF(B1798&gt;=in_marketplace_from,d_hz_loan_lap*G1798,0)*CC1798)</f>
        <v/>
      </c>
      <c r="CC1799" s="11">
        <f>MIN(in_approval_cap,in_loan_lap_approval*INDEX('Age profile'!$O$2:$O$61,B1799)*(1+in_approval_growth)^(D1799-1))</f>
        <v/>
      </c>
      <c r="CD1799" s="14">
        <f>F1799*CB1799*IF(B1799&gt;=in_marketplace_from,d_hz_loan_lap*G1799,0)*CC1799*in_loan_lap_ticket*in_loan_lap_comm</f>
        <v/>
      </c>
      <c r="CE1799" s="14">
        <f>AA1799+AB1799+AC1799+AD1799+AG1799+AJ1799+AM1799+AP1799+AS1799+AU1799+AX1799+BB1799+BE1799+BG1799+BJ1799+BL1799+BO1799+BR1799+BT1799+BV1799+BX1799+CA1799+CD1799</f>
        <v/>
      </c>
    </row>
    <row r="1800">
      <c r="A1800" s="39" t="n">
        <v>53</v>
      </c>
      <c r="B1800" s="39" t="n">
        <v>5</v>
      </c>
      <c r="C1800" s="39">
        <f>A1800+B1800-1</f>
        <v/>
      </c>
      <c r="D1800" s="39">
        <f>INT((C1800-1)/12)+1</f>
        <v/>
      </c>
      <c r="E1800" s="44">
        <f>INDEX(Monthly!$B$2:$B$61,A1800)</f>
        <v/>
      </c>
      <c r="F1800" s="44">
        <f>E1800*INDEX('Age profile'!$B$2:$B$61,B1800)</f>
        <v/>
      </c>
      <c r="G1800" s="45">
        <f>MIN(in_takeup_cap,INDEX('Age profile'!$N$2:$N$61,B1800)*(1+in_takeup_growth)^(D1800-1))</f>
        <v/>
      </c>
      <c r="H1800" s="11">
        <f>MIN(in_approval_cap,in_approved_first*INDEX('Age profile'!$O$2:$O$61,B1800)*(1+in_approval_growth)^(D1800-1))</f>
        <v/>
      </c>
      <c r="I1800" s="45">
        <f>G1800*MIN(in_takeup_cap,INDEX('Age profile'!$O$2:$O$61,B1800)*(1+in_approval_growth)^(D1800-1))</f>
        <v/>
      </c>
      <c r="J1800" s="40">
        <f>(J1799-L1799)*F1800/F1799</f>
        <v/>
      </c>
      <c r="K1800" s="40">
        <f>(K1799-M1799)*F1800/F1799+SUMIFS(O1796:O1799,B1796:B1799,B1800-1-d_T)*F1800</f>
        <v/>
      </c>
      <c r="L1800" s="40">
        <f>IF(B1800&gt;=in_marketplace_from,J1800*d_hz*G1800*in_eligible*H1800,0)</f>
        <v/>
      </c>
      <c r="M1800" s="40">
        <f>IF(B1800&gt;=in_marketplace_from,K1800*d_hz*G1800*in_eligible*in_approved_repeat,0)</f>
        <v/>
      </c>
      <c r="N1800" s="40">
        <f>L1800+M1800</f>
        <v/>
      </c>
      <c r="O1800" s="46">
        <f>N1800/F1800</f>
        <v/>
      </c>
      <c r="P1800" s="40">
        <f>F1800-J1800-K1800</f>
        <v/>
      </c>
      <c r="Q1800" s="40">
        <f>IF(B1800&gt;=in_marketplace_from,(J1800+K1800)*d_hz*G1800,0)</f>
        <v/>
      </c>
      <c r="R1800" s="40">
        <f>SUMIFS(N1796:N1803,B1796:B1803,"&gt;="&amp;(B1800-d_T),B1796:B1803,"&lt;="&amp;(B1800-1))</f>
        <v/>
      </c>
      <c r="S1800" s="46">
        <f>(1-d_u)*S1799+IF(d_T&gt;in_topup_lag,SUMIFS(O1796:O1803,B1796:B1803,B1800-in_topup_lag)-d_udrop*SUMIFS(O1796:O1803,B1796:B1803,B1800-d_T),0)</f>
        <v/>
      </c>
      <c r="T1800" s="40">
        <f>F1800*d_u*S1800</f>
        <v/>
      </c>
      <c r="U1800" s="9">
        <f>L1800*in_ticket+M1800*d_rep_ticket</f>
        <v/>
      </c>
      <c r="V1800" s="9">
        <f>U1800+T1800*d_topup_amt</f>
        <v/>
      </c>
      <c r="W1800" s="40">
        <f>N1800+T1800*d_topup_ratio</f>
        <v/>
      </c>
      <c r="X1800" s="40">
        <f>SUMIFS(W1796:W1803,B1796:B1803,B1800-in_dpd_lag)*d_cured</f>
        <v/>
      </c>
      <c r="Y1800" s="40">
        <f>SUMIFS(W1796:W1803,B1796:B1803,B1800-in_rec_lag)*d_recd</f>
        <v/>
      </c>
      <c r="Z1800" s="40">
        <f>IF(AND(B1800&gt;=in_marketplace_from,B1800&lt;in_marketplace_from+in_card_months),in_card_share/in_card_months*F1800*I1800,IF(AND(B1800&gt;=in_marketplace_from+in_card_months,B1800&lt;in_marketplace_from+2*in_card_months),in_card_share*d_card_rem/in_card_months*F1800*MIN(in_takeup_cap,(1+in_takeup_growth)^(D1800-1))*MIN(in_takeup_cap,(1+in_approval_growth)^(D1800-1)),0))</f>
        <v/>
      </c>
      <c r="AA1800" s="14">
        <f>V1800*in_fee*(1-in_taken_back)</f>
        <v/>
      </c>
      <c r="AB1800" s="14">
        <f>SUMIFS(W1796:W1803,B1796:B1803,B1800-in_dpd_lag)*d_dpd</f>
        <v/>
      </c>
      <c r="AC1800" s="14">
        <f>SUMIFS(W1796:W1803,B1796:B1803,B1800-in_rec_lag)*d_rec</f>
        <v/>
      </c>
      <c r="AD1800" s="14">
        <f>Z1800*in_card_fee</f>
        <v/>
      </c>
      <c r="AE1800" s="40">
        <f>AE1799*(1-IF(B1799&gt;=in_marketplace_from,d_hz_hlth_small*G1799,0))</f>
        <v/>
      </c>
      <c r="AF1800" s="46">
        <f>AE1800*IF(B1800&gt;=in_marketplace_from,d_hz_hlth_small*G1800,0)</f>
        <v/>
      </c>
      <c r="AG1800" s="14">
        <f>F1800*AF1800*in_hlth_small_ticket*in_hlth_small_comm*in_ins_partner_share+F1800*in_hlth_small_ticket*in_hlth_small_renew_comm*in_ins_partner_share*(in_hlth_small_renew^1*SUMIFS(AF1796:AF1803,B1796:B1803,B1800-12)+in_hlth_small_renew^2*SUMIFS(AF1796:AF1803,B1796:B1803,B1800-24)+in_hlth_small_renew^3*SUMIFS(AF1796:AF1803,B1796:B1803,B1800-36)+in_hlth_small_renew^4*SUMIFS(AF1796:AF1803,B1796:B1803,B1800-48))</f>
        <v/>
      </c>
      <c r="AH1800" s="40">
        <f>AH1799*(1-IF(B1799&gt;=in_marketplace_from,d_hz_hlth_family*G1799,0))</f>
        <v/>
      </c>
      <c r="AI1800" s="46">
        <f>AH1800*IF(B1800&gt;=in_marketplace_from,d_hz_hlth_family*G1800,0)</f>
        <v/>
      </c>
      <c r="AJ1800" s="14">
        <f>F1800*AI1800*in_hlth_family_ticket*in_hlth_family_comm*in_ins_partner_share+F1800*in_hlth_family_ticket*in_hlth_family_renew_comm*in_ins_partner_share*(in_hlth_family_renew^1*SUMIFS(AI1796:AI1803,B1796:B1803,B1800-12)+in_hlth_family_renew^2*SUMIFS(AI1796:AI1803,B1796:B1803,B1800-24)+in_hlth_family_renew^3*SUMIFS(AI1796:AI1803,B1796:B1803,B1800-36)+in_hlth_family_renew^4*SUMIFS(AI1796:AI1803,B1796:B1803,B1800-48))</f>
        <v/>
      </c>
      <c r="AK1800" s="40">
        <f>AK1799*(1-IF(B1799&gt;=in_marketplace_from,d_hz_life_term*G1799,0))</f>
        <v/>
      </c>
      <c r="AL1800" s="46">
        <f>AK1800*IF(B1800&gt;=in_marketplace_from,d_hz_life_term*G1800,0)</f>
        <v/>
      </c>
      <c r="AM1800" s="14">
        <f>F1800*AL1800*in_life_term_ticket*in_life_term_comm*in_ins_partner_share+F1800*in_life_term_ticket*in_life_term_renew_comm*in_ins_partner_share*(in_life_term_renew^1*SUMIFS(AL1796:AL1803,B1796:B1803,B1800-12)+in_life_term_renew^2*SUMIFS(AL1796:AL1803,B1796:B1803,B1800-24)+in_life_term_renew^3*SUMIFS(AL1796:AL1803,B1796:B1803,B1800-36)+in_life_term_renew^4*SUMIFS(AL1796:AL1803,B1796:B1803,B1800-48))</f>
        <v/>
      </c>
      <c r="AN1800" s="40">
        <f>AN1799*(1-IF(B1799&gt;=in_marketplace_from,d_hz_accident*G1799,0))</f>
        <v/>
      </c>
      <c r="AO1800" s="46">
        <f>AN1800*IF(B1800&gt;=in_marketplace_from,d_hz_accident*G1800,0)</f>
        <v/>
      </c>
      <c r="AP1800" s="14">
        <f>F1800*AO1800*in_accident_ticket*in_accident_comm*in_ins_partner_share+F1800*in_accident_ticket*in_accident_renew_comm*in_ins_partner_share*(in_accident_renew^1*SUMIFS(AO1796:AO1803,B1796:B1803,B1800-12)+in_accident_renew^2*SUMIFS(AO1796:AO1803,B1796:B1803,B1800-24)+in_accident_renew^3*SUMIFS(AO1796:AO1803,B1796:B1803,B1800-36)+in_accident_renew^4*SUMIFS(AO1796:AO1803,B1796:B1803,B1800-48))</f>
        <v/>
      </c>
      <c r="AQ1800" s="40">
        <f>AQ1799*(1-IF(B1799&gt;=in_marketplace_from,d_hz_two_wheeler*G1799,0))</f>
        <v/>
      </c>
      <c r="AR1800" s="46">
        <f>AQ1800*IF(B1800&gt;=in_marketplace_from,d_hz_two_wheeler*G1800,0)</f>
        <v/>
      </c>
      <c r="AS1800" s="14">
        <f>F1800*AR1800*in_two_wheeler_ticket*in_two_wheeler_comm*in_ins_partner_share+F1800*in_two_wheeler_ticket*in_two_wheeler_comm*in_ins_partner_share*(in_two_wheeler_renew^1*SUMIFS(AR1796:AR1803,B1796:B1803,B1800-12)+in_two_wheeler_renew^2*SUMIFS(AR1796:AR1803,B1796:B1803,B1800-24)+in_two_wheeler_renew^3*SUMIFS(AR1796:AR1803,B1796:B1803,B1800-36)+in_two_wheeler_renew^4*SUMIFS(AR1796:AR1803,B1796:B1803,B1800-48))</f>
        <v/>
      </c>
      <c r="AT1800" s="40">
        <f>AT1799*(1-IF(B1799&gt;=in_marketplace_from,d_hz_device*G1799,0))</f>
        <v/>
      </c>
      <c r="AU1800" s="14">
        <f>F1800*AT1800*IF(B1800&gt;=in_marketplace_from,d_hz_device*G1800,0)*in_device_ticket*in_device_comm*in_ins_partner_share</f>
        <v/>
      </c>
      <c r="AV1800" s="40">
        <f>AV1799*(1-IF(B1799&gt;=in_marketplace_from,d_hz_shop*G1799,0))</f>
        <v/>
      </c>
      <c r="AW1800" s="46">
        <f>AV1800*IF(B1800&gt;=in_marketplace_from,d_hz_shop*G1800,0)</f>
        <v/>
      </c>
      <c r="AX1800" s="14">
        <f>F1800*AW1800*in_shop_ticket*in_shop_comm*in_ins_partner_share+F1800*in_shop_ticket*in_shop_renew_comm*in_ins_partner_share*(in_shop_renew^1*SUMIFS(AW1796:AW1803,B1796:B1803,B1800-12)+in_shop_renew^2*SUMIFS(AW1796:AW1803,B1796:B1803,B1800-24)+in_shop_renew^3*SUMIFS(AW1796:AW1803,B1796:B1803,B1800-36)+in_shop_renew^4*SUMIFS(AW1796:AW1803,B1796:B1803,B1800-48))</f>
        <v/>
      </c>
      <c r="AY1800" s="40">
        <f>AY1799*(1-IF(B1799&gt;=in_marketplace_from,d_hz_sip*G1799,0))</f>
        <v/>
      </c>
      <c r="AZ1800" s="40">
        <f>AZ1799*d_rho_sip+AY1800*IF(B1800&gt;=in_marketplace_from,d_hz_sip*G1800,0)</f>
        <v/>
      </c>
      <c r="BA1800" s="40">
        <f>d_rho_sip*(BA1799+AZ1799)</f>
        <v/>
      </c>
      <c r="BB1800" s="14">
        <f>F1800*in_sip_ticket*(BA1800+0.5*AZ1800)*in_sip_comm/12</f>
        <v/>
      </c>
      <c r="BC1800" s="40">
        <f>BC1799*(1-IF(B1799&gt;=in_marketplace_from,d_hz_choti*G1799,0))</f>
        <v/>
      </c>
      <c r="BD1800" s="46">
        <f>BC1800*IF(B1800&gt;=in_marketplace_from,d_hz_choti*G1800,0)</f>
        <v/>
      </c>
      <c r="BE1800" s="14">
        <f>F1800*SUMIFS(BD1796:BD1803,B1796:B1803,B1800-in_choti_months)*in_choti_renew*in_choti_ticket</f>
        <v/>
      </c>
      <c r="BF1800" s="40">
        <f>BF1799*(1-IF(B1799&gt;=in_marketplace_from,d_hz_nps*G1799,0))</f>
        <v/>
      </c>
      <c r="BG1800" s="14">
        <f>F1800*BF1800*IF(B1800&gt;=in_marketplace_from,d_hz_nps*G1800,0)*in_nps_ticket*in_nps_comm</f>
        <v/>
      </c>
      <c r="BH1800" s="40">
        <f>BH1799*(1-IF(B1799&gt;=in_marketplace_from,d_hz_gold*G1799,0))</f>
        <v/>
      </c>
      <c r="BI1800" s="40">
        <f>BI1799*d_rho_gold+BH1800*IF(B1800&gt;=in_marketplace_from,d_hz_gold*G1800,0)</f>
        <v/>
      </c>
      <c r="BJ1800" s="14">
        <f>F1800*BI1800*in_gold_ticket*in_gold_comm</f>
        <v/>
      </c>
      <c r="BK1800" s="40">
        <f>BK1799*(1-IF(B1799&gt;=in_marketplace_from,d_hz_fd*G1799,0))</f>
        <v/>
      </c>
      <c r="BL1800" s="14">
        <f>F1800*BK1800*IF(B1800&gt;=in_marketplace_from,d_hz_fd*G1800,0)*in_fd_ticket*in_fd_comm</f>
        <v/>
      </c>
      <c r="BM1800" s="40">
        <f>BM1799*(1-IF(B1799&gt;=in_marketplace_from,d_hz_recharge*G1799,0))</f>
        <v/>
      </c>
      <c r="BN1800" s="40">
        <f>BN1799*d_rho_recharge+BM1800*IF(B1800&gt;=in_marketplace_from,d_hz_recharge*G1800,0)</f>
        <v/>
      </c>
      <c r="BO1800" s="14">
        <f>F1800*BN1800*in_recharge_ticket*in_recharge_comm/12</f>
        <v/>
      </c>
      <c r="BP1800" s="40">
        <f>BP1799*(1-IF(B1799&gt;=in_marketplace_from,d_hz_bills*G1799,0))</f>
        <v/>
      </c>
      <c r="BQ1800" s="40">
        <f>BQ1799*d_rho_bills+BP1800*IF(B1800&gt;=in_marketplace_from,d_hz_bills*G1800,0)</f>
        <v/>
      </c>
      <c r="BR1800" s="14">
        <f>F1800*BQ1800*in_bills_ticket*in_bills_comm/12</f>
        <v/>
      </c>
      <c r="BS1800" s="40">
        <f>BS1799*(1-IF(B1799&gt;=in_marketplace_from,d_hz_loan_gold*G1799,0))</f>
        <v/>
      </c>
      <c r="BT1800" s="14">
        <f>F1800*BS1800*IF(B1800&gt;=in_marketplace_from,d_hz_loan_gold*G1800,0)*in_loan_gold_ticket*in_loan_gold_comm</f>
        <v/>
      </c>
      <c r="BU1800" s="40">
        <f>BU1799*(1-IF(B1799&gt;=in_marketplace_from,d_hz_loan_cd*G1799,0))</f>
        <v/>
      </c>
      <c r="BV1800" s="14">
        <f>F1800*BU1800*IF(B1800&gt;=in_marketplace_from,d_hz_loan_cd*G1800,0)*in_loan_cd_ticket*in_loan_cd_comm</f>
        <v/>
      </c>
      <c r="BW1800" s="40">
        <f>BW1799*(1-IF(B1799&gt;=in_marketplace_from,d_hz_loan_vehicle*G1799,0))</f>
        <v/>
      </c>
      <c r="BX1800" s="14">
        <f>F1800*BW1800*IF(B1800&gt;=in_marketplace_from,d_hz_loan_vehicle*G1800,0)*in_loan_vehicle_ticket*in_loan_vehicle_comm</f>
        <v/>
      </c>
      <c r="BY1800" s="40">
        <f>BY1799*(1-IF(B1799&gt;=in_marketplace_from,d_hz_loan_home*G1799,0)*BZ1799)</f>
        <v/>
      </c>
      <c r="BZ1800" s="11">
        <f>MIN(in_approval_cap,in_loan_home_approval*INDEX('Age profile'!$O$2:$O$61,B1800)*(1+in_approval_growth)^(D1800-1))</f>
        <v/>
      </c>
      <c r="CA1800" s="14">
        <f>F1800*BY1800*IF(B1800&gt;=in_marketplace_from,d_hz_loan_home*G1800,0)*BZ1800*in_loan_home_ticket*in_loan_home_comm</f>
        <v/>
      </c>
      <c r="CB1800" s="40">
        <f>CB1799*(1-IF(B1799&gt;=in_marketplace_from,d_hz_loan_lap*G1799,0)*CC1799)</f>
        <v/>
      </c>
      <c r="CC1800" s="11">
        <f>MIN(in_approval_cap,in_loan_lap_approval*INDEX('Age profile'!$O$2:$O$61,B1800)*(1+in_approval_growth)^(D1800-1))</f>
        <v/>
      </c>
      <c r="CD1800" s="14">
        <f>F1800*CB1800*IF(B1800&gt;=in_marketplace_from,d_hz_loan_lap*G1800,0)*CC1800*in_loan_lap_ticket*in_loan_lap_comm</f>
        <v/>
      </c>
      <c r="CE1800" s="14">
        <f>AA1800+AB1800+AC1800+AD1800+AG1800+AJ1800+AM1800+AP1800+AS1800+AU1800+AX1800+BB1800+BE1800+BG1800+BJ1800+BL1800+BO1800+BR1800+BT1800+BV1800+BX1800+CA1800+CD1800</f>
        <v/>
      </c>
    </row>
    <row r="1801">
      <c r="A1801" s="39" t="n">
        <v>53</v>
      </c>
      <c r="B1801" s="39" t="n">
        <v>6</v>
      </c>
      <c r="C1801" s="39">
        <f>A1801+B1801-1</f>
        <v/>
      </c>
      <c r="D1801" s="39">
        <f>INT((C1801-1)/12)+1</f>
        <v/>
      </c>
      <c r="E1801" s="44">
        <f>INDEX(Monthly!$B$2:$B$61,A1801)</f>
        <v/>
      </c>
      <c r="F1801" s="44">
        <f>E1801*INDEX('Age profile'!$B$2:$B$61,B1801)</f>
        <v/>
      </c>
      <c r="G1801" s="45">
        <f>MIN(in_takeup_cap,INDEX('Age profile'!$N$2:$N$61,B1801)*(1+in_takeup_growth)^(D1801-1))</f>
        <v/>
      </c>
      <c r="H1801" s="11">
        <f>MIN(in_approval_cap,in_approved_first*INDEX('Age profile'!$O$2:$O$61,B1801)*(1+in_approval_growth)^(D1801-1))</f>
        <v/>
      </c>
      <c r="I1801" s="45">
        <f>G1801*MIN(in_takeup_cap,INDEX('Age profile'!$O$2:$O$61,B1801)*(1+in_approval_growth)^(D1801-1))</f>
        <v/>
      </c>
      <c r="J1801" s="40">
        <f>(J1800-L1800)*F1801/F1800</f>
        <v/>
      </c>
      <c r="K1801" s="40">
        <f>(K1800-M1800)*F1801/F1800+SUMIFS(O1796:O1800,B1796:B1800,B1801-1-d_T)*F1801</f>
        <v/>
      </c>
      <c r="L1801" s="40">
        <f>IF(B1801&gt;=in_marketplace_from,J1801*d_hz*G1801*in_eligible*H1801,0)</f>
        <v/>
      </c>
      <c r="M1801" s="40">
        <f>IF(B1801&gt;=in_marketplace_from,K1801*d_hz*G1801*in_eligible*in_approved_repeat,0)</f>
        <v/>
      </c>
      <c r="N1801" s="40">
        <f>L1801+M1801</f>
        <v/>
      </c>
      <c r="O1801" s="46">
        <f>N1801/F1801</f>
        <v/>
      </c>
      <c r="P1801" s="40">
        <f>F1801-J1801-K1801</f>
        <v/>
      </c>
      <c r="Q1801" s="40">
        <f>IF(B1801&gt;=in_marketplace_from,(J1801+K1801)*d_hz*G1801,0)</f>
        <v/>
      </c>
      <c r="R1801" s="40">
        <f>SUMIFS(N1796:N1803,B1796:B1803,"&gt;="&amp;(B1801-d_T),B1796:B1803,"&lt;="&amp;(B1801-1))</f>
        <v/>
      </c>
      <c r="S1801" s="46">
        <f>(1-d_u)*S1800+IF(d_T&gt;in_topup_lag,SUMIFS(O1796:O1803,B1796:B1803,B1801-in_topup_lag)-d_udrop*SUMIFS(O1796:O1803,B1796:B1803,B1801-d_T),0)</f>
        <v/>
      </c>
      <c r="T1801" s="40">
        <f>F1801*d_u*S1801</f>
        <v/>
      </c>
      <c r="U1801" s="9">
        <f>L1801*in_ticket+M1801*d_rep_ticket</f>
        <v/>
      </c>
      <c r="V1801" s="9">
        <f>U1801+T1801*d_topup_amt</f>
        <v/>
      </c>
      <c r="W1801" s="40">
        <f>N1801+T1801*d_topup_ratio</f>
        <v/>
      </c>
      <c r="X1801" s="40">
        <f>SUMIFS(W1796:W1803,B1796:B1803,B1801-in_dpd_lag)*d_cured</f>
        <v/>
      </c>
      <c r="Y1801" s="40">
        <f>SUMIFS(W1796:W1803,B1796:B1803,B1801-in_rec_lag)*d_recd</f>
        <v/>
      </c>
      <c r="Z1801" s="40">
        <f>IF(AND(B1801&gt;=in_marketplace_from,B1801&lt;in_marketplace_from+in_card_months),in_card_share/in_card_months*F1801*I1801,IF(AND(B1801&gt;=in_marketplace_from+in_card_months,B1801&lt;in_marketplace_from+2*in_card_months),in_card_share*d_card_rem/in_card_months*F1801*MIN(in_takeup_cap,(1+in_takeup_growth)^(D1801-1))*MIN(in_takeup_cap,(1+in_approval_growth)^(D1801-1)),0))</f>
        <v/>
      </c>
      <c r="AA1801" s="14">
        <f>V1801*in_fee*(1-in_taken_back)</f>
        <v/>
      </c>
      <c r="AB1801" s="14">
        <f>SUMIFS(W1796:W1803,B1796:B1803,B1801-in_dpd_lag)*d_dpd</f>
        <v/>
      </c>
      <c r="AC1801" s="14">
        <f>SUMIFS(W1796:W1803,B1796:B1803,B1801-in_rec_lag)*d_rec</f>
        <v/>
      </c>
      <c r="AD1801" s="14">
        <f>Z1801*in_card_fee</f>
        <v/>
      </c>
      <c r="AE1801" s="40">
        <f>AE1800*(1-IF(B1800&gt;=in_marketplace_from,d_hz_hlth_small*G1800,0))</f>
        <v/>
      </c>
      <c r="AF1801" s="46">
        <f>AE1801*IF(B1801&gt;=in_marketplace_from,d_hz_hlth_small*G1801,0)</f>
        <v/>
      </c>
      <c r="AG1801" s="14">
        <f>F1801*AF1801*in_hlth_small_ticket*in_hlth_small_comm*in_ins_partner_share+F1801*in_hlth_small_ticket*in_hlth_small_renew_comm*in_ins_partner_share*(in_hlth_small_renew^1*SUMIFS(AF1796:AF1803,B1796:B1803,B1801-12)+in_hlth_small_renew^2*SUMIFS(AF1796:AF1803,B1796:B1803,B1801-24)+in_hlth_small_renew^3*SUMIFS(AF1796:AF1803,B1796:B1803,B1801-36)+in_hlth_small_renew^4*SUMIFS(AF1796:AF1803,B1796:B1803,B1801-48))</f>
        <v/>
      </c>
      <c r="AH1801" s="40">
        <f>AH1800*(1-IF(B1800&gt;=in_marketplace_from,d_hz_hlth_family*G1800,0))</f>
        <v/>
      </c>
      <c r="AI1801" s="46">
        <f>AH1801*IF(B1801&gt;=in_marketplace_from,d_hz_hlth_family*G1801,0)</f>
        <v/>
      </c>
      <c r="AJ1801" s="14">
        <f>F1801*AI1801*in_hlth_family_ticket*in_hlth_family_comm*in_ins_partner_share+F1801*in_hlth_family_ticket*in_hlth_family_renew_comm*in_ins_partner_share*(in_hlth_family_renew^1*SUMIFS(AI1796:AI1803,B1796:B1803,B1801-12)+in_hlth_family_renew^2*SUMIFS(AI1796:AI1803,B1796:B1803,B1801-24)+in_hlth_family_renew^3*SUMIFS(AI1796:AI1803,B1796:B1803,B1801-36)+in_hlth_family_renew^4*SUMIFS(AI1796:AI1803,B1796:B1803,B1801-48))</f>
        <v/>
      </c>
      <c r="AK1801" s="40">
        <f>AK1800*(1-IF(B1800&gt;=in_marketplace_from,d_hz_life_term*G1800,0))</f>
        <v/>
      </c>
      <c r="AL1801" s="46">
        <f>AK1801*IF(B1801&gt;=in_marketplace_from,d_hz_life_term*G1801,0)</f>
        <v/>
      </c>
      <c r="AM1801" s="14">
        <f>F1801*AL1801*in_life_term_ticket*in_life_term_comm*in_ins_partner_share+F1801*in_life_term_ticket*in_life_term_renew_comm*in_ins_partner_share*(in_life_term_renew^1*SUMIFS(AL1796:AL1803,B1796:B1803,B1801-12)+in_life_term_renew^2*SUMIFS(AL1796:AL1803,B1796:B1803,B1801-24)+in_life_term_renew^3*SUMIFS(AL1796:AL1803,B1796:B1803,B1801-36)+in_life_term_renew^4*SUMIFS(AL1796:AL1803,B1796:B1803,B1801-48))</f>
        <v/>
      </c>
      <c r="AN1801" s="40">
        <f>AN1800*(1-IF(B1800&gt;=in_marketplace_from,d_hz_accident*G1800,0))</f>
        <v/>
      </c>
      <c r="AO1801" s="46">
        <f>AN1801*IF(B1801&gt;=in_marketplace_from,d_hz_accident*G1801,0)</f>
        <v/>
      </c>
      <c r="AP1801" s="14">
        <f>F1801*AO1801*in_accident_ticket*in_accident_comm*in_ins_partner_share+F1801*in_accident_ticket*in_accident_renew_comm*in_ins_partner_share*(in_accident_renew^1*SUMIFS(AO1796:AO1803,B1796:B1803,B1801-12)+in_accident_renew^2*SUMIFS(AO1796:AO1803,B1796:B1803,B1801-24)+in_accident_renew^3*SUMIFS(AO1796:AO1803,B1796:B1803,B1801-36)+in_accident_renew^4*SUMIFS(AO1796:AO1803,B1796:B1803,B1801-48))</f>
        <v/>
      </c>
      <c r="AQ1801" s="40">
        <f>AQ1800*(1-IF(B1800&gt;=in_marketplace_from,d_hz_two_wheeler*G1800,0))</f>
        <v/>
      </c>
      <c r="AR1801" s="46">
        <f>AQ1801*IF(B1801&gt;=in_marketplace_from,d_hz_two_wheeler*G1801,0)</f>
        <v/>
      </c>
      <c r="AS1801" s="14">
        <f>F1801*AR1801*in_two_wheeler_ticket*in_two_wheeler_comm*in_ins_partner_share+F1801*in_two_wheeler_ticket*in_two_wheeler_comm*in_ins_partner_share*(in_two_wheeler_renew^1*SUMIFS(AR1796:AR1803,B1796:B1803,B1801-12)+in_two_wheeler_renew^2*SUMIFS(AR1796:AR1803,B1796:B1803,B1801-24)+in_two_wheeler_renew^3*SUMIFS(AR1796:AR1803,B1796:B1803,B1801-36)+in_two_wheeler_renew^4*SUMIFS(AR1796:AR1803,B1796:B1803,B1801-48))</f>
        <v/>
      </c>
      <c r="AT1801" s="40">
        <f>AT1800*(1-IF(B1800&gt;=in_marketplace_from,d_hz_device*G1800,0))</f>
        <v/>
      </c>
      <c r="AU1801" s="14">
        <f>F1801*AT1801*IF(B1801&gt;=in_marketplace_from,d_hz_device*G1801,0)*in_device_ticket*in_device_comm*in_ins_partner_share</f>
        <v/>
      </c>
      <c r="AV1801" s="40">
        <f>AV1800*(1-IF(B1800&gt;=in_marketplace_from,d_hz_shop*G1800,0))</f>
        <v/>
      </c>
      <c r="AW1801" s="46">
        <f>AV1801*IF(B1801&gt;=in_marketplace_from,d_hz_shop*G1801,0)</f>
        <v/>
      </c>
      <c r="AX1801" s="14">
        <f>F1801*AW1801*in_shop_ticket*in_shop_comm*in_ins_partner_share+F1801*in_shop_ticket*in_shop_renew_comm*in_ins_partner_share*(in_shop_renew^1*SUMIFS(AW1796:AW1803,B1796:B1803,B1801-12)+in_shop_renew^2*SUMIFS(AW1796:AW1803,B1796:B1803,B1801-24)+in_shop_renew^3*SUMIFS(AW1796:AW1803,B1796:B1803,B1801-36)+in_shop_renew^4*SUMIFS(AW1796:AW1803,B1796:B1803,B1801-48))</f>
        <v/>
      </c>
      <c r="AY1801" s="40">
        <f>AY1800*(1-IF(B1800&gt;=in_marketplace_from,d_hz_sip*G1800,0))</f>
        <v/>
      </c>
      <c r="AZ1801" s="40">
        <f>AZ1800*d_rho_sip+AY1801*IF(B1801&gt;=in_marketplace_from,d_hz_sip*G1801,0)</f>
        <v/>
      </c>
      <c r="BA1801" s="40">
        <f>d_rho_sip*(BA1800+AZ1800)</f>
        <v/>
      </c>
      <c r="BB1801" s="14">
        <f>F1801*in_sip_ticket*(BA1801+0.5*AZ1801)*in_sip_comm/12</f>
        <v/>
      </c>
      <c r="BC1801" s="40">
        <f>BC1800*(1-IF(B1800&gt;=in_marketplace_from,d_hz_choti*G1800,0))</f>
        <v/>
      </c>
      <c r="BD1801" s="46">
        <f>BC1801*IF(B1801&gt;=in_marketplace_from,d_hz_choti*G1801,0)</f>
        <v/>
      </c>
      <c r="BE1801" s="14">
        <f>F1801*SUMIFS(BD1796:BD1803,B1796:B1803,B1801-in_choti_months)*in_choti_renew*in_choti_ticket</f>
        <v/>
      </c>
      <c r="BF1801" s="40">
        <f>BF1800*(1-IF(B1800&gt;=in_marketplace_from,d_hz_nps*G1800,0))</f>
        <v/>
      </c>
      <c r="BG1801" s="14">
        <f>F1801*BF1801*IF(B1801&gt;=in_marketplace_from,d_hz_nps*G1801,0)*in_nps_ticket*in_nps_comm</f>
        <v/>
      </c>
      <c r="BH1801" s="40">
        <f>BH1800*(1-IF(B1800&gt;=in_marketplace_from,d_hz_gold*G1800,0))</f>
        <v/>
      </c>
      <c r="BI1801" s="40">
        <f>BI1800*d_rho_gold+BH1801*IF(B1801&gt;=in_marketplace_from,d_hz_gold*G1801,0)</f>
        <v/>
      </c>
      <c r="BJ1801" s="14">
        <f>F1801*BI1801*in_gold_ticket*in_gold_comm</f>
        <v/>
      </c>
      <c r="BK1801" s="40">
        <f>BK1800*(1-IF(B1800&gt;=in_marketplace_from,d_hz_fd*G1800,0))</f>
        <v/>
      </c>
      <c r="BL1801" s="14">
        <f>F1801*BK1801*IF(B1801&gt;=in_marketplace_from,d_hz_fd*G1801,0)*in_fd_ticket*in_fd_comm</f>
        <v/>
      </c>
      <c r="BM1801" s="40">
        <f>BM1800*(1-IF(B1800&gt;=in_marketplace_from,d_hz_recharge*G1800,0))</f>
        <v/>
      </c>
      <c r="BN1801" s="40">
        <f>BN1800*d_rho_recharge+BM1801*IF(B1801&gt;=in_marketplace_from,d_hz_recharge*G1801,0)</f>
        <v/>
      </c>
      <c r="BO1801" s="14">
        <f>F1801*BN1801*in_recharge_ticket*in_recharge_comm/12</f>
        <v/>
      </c>
      <c r="BP1801" s="40">
        <f>BP1800*(1-IF(B1800&gt;=in_marketplace_from,d_hz_bills*G1800,0))</f>
        <v/>
      </c>
      <c r="BQ1801" s="40">
        <f>BQ1800*d_rho_bills+BP1801*IF(B1801&gt;=in_marketplace_from,d_hz_bills*G1801,0)</f>
        <v/>
      </c>
      <c r="BR1801" s="14">
        <f>F1801*BQ1801*in_bills_ticket*in_bills_comm/12</f>
        <v/>
      </c>
      <c r="BS1801" s="40">
        <f>BS1800*(1-IF(B1800&gt;=in_marketplace_from,d_hz_loan_gold*G1800,0))</f>
        <v/>
      </c>
      <c r="BT1801" s="14">
        <f>F1801*BS1801*IF(B1801&gt;=in_marketplace_from,d_hz_loan_gold*G1801,0)*in_loan_gold_ticket*in_loan_gold_comm</f>
        <v/>
      </c>
      <c r="BU1801" s="40">
        <f>BU1800*(1-IF(B1800&gt;=in_marketplace_from,d_hz_loan_cd*G1800,0))</f>
        <v/>
      </c>
      <c r="BV1801" s="14">
        <f>F1801*BU1801*IF(B1801&gt;=in_marketplace_from,d_hz_loan_cd*G1801,0)*in_loan_cd_ticket*in_loan_cd_comm</f>
        <v/>
      </c>
      <c r="BW1801" s="40">
        <f>BW1800*(1-IF(B1800&gt;=in_marketplace_from,d_hz_loan_vehicle*G1800,0))</f>
        <v/>
      </c>
      <c r="BX1801" s="14">
        <f>F1801*BW1801*IF(B1801&gt;=in_marketplace_from,d_hz_loan_vehicle*G1801,0)*in_loan_vehicle_ticket*in_loan_vehicle_comm</f>
        <v/>
      </c>
      <c r="BY1801" s="40">
        <f>BY1800*(1-IF(B1800&gt;=in_marketplace_from,d_hz_loan_home*G1800,0)*BZ1800)</f>
        <v/>
      </c>
      <c r="BZ1801" s="11">
        <f>MIN(in_approval_cap,in_loan_home_approval*INDEX('Age profile'!$O$2:$O$61,B1801)*(1+in_approval_growth)^(D1801-1))</f>
        <v/>
      </c>
      <c r="CA1801" s="14">
        <f>F1801*BY1801*IF(B1801&gt;=in_marketplace_from,d_hz_loan_home*G1801,0)*BZ1801*in_loan_home_ticket*in_loan_home_comm</f>
        <v/>
      </c>
      <c r="CB1801" s="40">
        <f>CB1800*(1-IF(B1800&gt;=in_marketplace_from,d_hz_loan_lap*G1800,0)*CC1800)</f>
        <v/>
      </c>
      <c r="CC1801" s="11">
        <f>MIN(in_approval_cap,in_loan_lap_approval*INDEX('Age profile'!$O$2:$O$61,B1801)*(1+in_approval_growth)^(D1801-1))</f>
        <v/>
      </c>
      <c r="CD1801" s="14">
        <f>F1801*CB1801*IF(B1801&gt;=in_marketplace_from,d_hz_loan_lap*G1801,0)*CC1801*in_loan_lap_ticket*in_loan_lap_comm</f>
        <v/>
      </c>
      <c r="CE1801" s="14">
        <f>AA1801+AB1801+AC1801+AD1801+AG1801+AJ1801+AM1801+AP1801+AS1801+AU1801+AX1801+BB1801+BE1801+BG1801+BJ1801+BL1801+BO1801+BR1801+BT1801+BV1801+BX1801+CA1801+CD1801</f>
        <v/>
      </c>
    </row>
    <row r="1802">
      <c r="A1802" s="39" t="n">
        <v>53</v>
      </c>
      <c r="B1802" s="39" t="n">
        <v>7</v>
      </c>
      <c r="C1802" s="39">
        <f>A1802+B1802-1</f>
        <v/>
      </c>
      <c r="D1802" s="39">
        <f>INT((C1802-1)/12)+1</f>
        <v/>
      </c>
      <c r="E1802" s="44">
        <f>INDEX(Monthly!$B$2:$B$61,A1802)</f>
        <v/>
      </c>
      <c r="F1802" s="44">
        <f>E1802*INDEX('Age profile'!$B$2:$B$61,B1802)</f>
        <v/>
      </c>
      <c r="G1802" s="45">
        <f>MIN(in_takeup_cap,INDEX('Age profile'!$N$2:$N$61,B1802)*(1+in_takeup_growth)^(D1802-1))</f>
        <v/>
      </c>
      <c r="H1802" s="11">
        <f>MIN(in_approval_cap,in_approved_first*INDEX('Age profile'!$O$2:$O$61,B1802)*(1+in_approval_growth)^(D1802-1))</f>
        <v/>
      </c>
      <c r="I1802" s="45">
        <f>G1802*MIN(in_takeup_cap,INDEX('Age profile'!$O$2:$O$61,B1802)*(1+in_approval_growth)^(D1802-1))</f>
        <v/>
      </c>
      <c r="J1802" s="40">
        <f>(J1801-L1801)*F1802/F1801</f>
        <v/>
      </c>
      <c r="K1802" s="40">
        <f>(K1801-M1801)*F1802/F1801+SUMIFS(O1796:O1801,B1796:B1801,B1802-1-d_T)*F1802</f>
        <v/>
      </c>
      <c r="L1802" s="40">
        <f>IF(B1802&gt;=in_marketplace_from,J1802*d_hz*G1802*in_eligible*H1802,0)</f>
        <v/>
      </c>
      <c r="M1802" s="40">
        <f>IF(B1802&gt;=in_marketplace_from,K1802*d_hz*G1802*in_eligible*in_approved_repeat,0)</f>
        <v/>
      </c>
      <c r="N1802" s="40">
        <f>L1802+M1802</f>
        <v/>
      </c>
      <c r="O1802" s="46">
        <f>N1802/F1802</f>
        <v/>
      </c>
      <c r="P1802" s="40">
        <f>F1802-J1802-K1802</f>
        <v/>
      </c>
      <c r="Q1802" s="40">
        <f>IF(B1802&gt;=in_marketplace_from,(J1802+K1802)*d_hz*G1802,0)</f>
        <v/>
      </c>
      <c r="R1802" s="40">
        <f>SUMIFS(N1796:N1803,B1796:B1803,"&gt;="&amp;(B1802-d_T),B1796:B1803,"&lt;="&amp;(B1802-1))</f>
        <v/>
      </c>
      <c r="S1802" s="46">
        <f>(1-d_u)*S1801+IF(d_T&gt;in_topup_lag,SUMIFS(O1796:O1803,B1796:B1803,B1802-in_topup_lag)-d_udrop*SUMIFS(O1796:O1803,B1796:B1803,B1802-d_T),0)</f>
        <v/>
      </c>
      <c r="T1802" s="40">
        <f>F1802*d_u*S1802</f>
        <v/>
      </c>
      <c r="U1802" s="9">
        <f>L1802*in_ticket+M1802*d_rep_ticket</f>
        <v/>
      </c>
      <c r="V1802" s="9">
        <f>U1802+T1802*d_topup_amt</f>
        <v/>
      </c>
      <c r="W1802" s="40">
        <f>N1802+T1802*d_topup_ratio</f>
        <v/>
      </c>
      <c r="X1802" s="40">
        <f>SUMIFS(W1796:W1803,B1796:B1803,B1802-in_dpd_lag)*d_cured</f>
        <v/>
      </c>
      <c r="Y1802" s="40">
        <f>SUMIFS(W1796:W1803,B1796:B1803,B1802-in_rec_lag)*d_recd</f>
        <v/>
      </c>
      <c r="Z1802" s="40">
        <f>IF(AND(B1802&gt;=in_marketplace_from,B1802&lt;in_marketplace_from+in_card_months),in_card_share/in_card_months*F1802*I1802,IF(AND(B1802&gt;=in_marketplace_from+in_card_months,B1802&lt;in_marketplace_from+2*in_card_months),in_card_share*d_card_rem/in_card_months*F1802*MIN(in_takeup_cap,(1+in_takeup_growth)^(D1802-1))*MIN(in_takeup_cap,(1+in_approval_growth)^(D1802-1)),0))</f>
        <v/>
      </c>
      <c r="AA1802" s="14">
        <f>V1802*in_fee*(1-in_taken_back)</f>
        <v/>
      </c>
      <c r="AB1802" s="14">
        <f>SUMIFS(W1796:W1803,B1796:B1803,B1802-in_dpd_lag)*d_dpd</f>
        <v/>
      </c>
      <c r="AC1802" s="14">
        <f>SUMIFS(W1796:W1803,B1796:B1803,B1802-in_rec_lag)*d_rec</f>
        <v/>
      </c>
      <c r="AD1802" s="14">
        <f>Z1802*in_card_fee</f>
        <v/>
      </c>
      <c r="AE1802" s="40">
        <f>AE1801*(1-IF(B1801&gt;=in_marketplace_from,d_hz_hlth_small*G1801,0))</f>
        <v/>
      </c>
      <c r="AF1802" s="46">
        <f>AE1802*IF(B1802&gt;=in_marketplace_from,d_hz_hlth_small*G1802,0)</f>
        <v/>
      </c>
      <c r="AG1802" s="14">
        <f>F1802*AF1802*in_hlth_small_ticket*in_hlth_small_comm*in_ins_partner_share+F1802*in_hlth_small_ticket*in_hlth_small_renew_comm*in_ins_partner_share*(in_hlth_small_renew^1*SUMIFS(AF1796:AF1803,B1796:B1803,B1802-12)+in_hlth_small_renew^2*SUMIFS(AF1796:AF1803,B1796:B1803,B1802-24)+in_hlth_small_renew^3*SUMIFS(AF1796:AF1803,B1796:B1803,B1802-36)+in_hlth_small_renew^4*SUMIFS(AF1796:AF1803,B1796:B1803,B1802-48))</f>
        <v/>
      </c>
      <c r="AH1802" s="40">
        <f>AH1801*(1-IF(B1801&gt;=in_marketplace_from,d_hz_hlth_family*G1801,0))</f>
        <v/>
      </c>
      <c r="AI1802" s="46">
        <f>AH1802*IF(B1802&gt;=in_marketplace_from,d_hz_hlth_family*G1802,0)</f>
        <v/>
      </c>
      <c r="AJ1802" s="14">
        <f>F1802*AI1802*in_hlth_family_ticket*in_hlth_family_comm*in_ins_partner_share+F1802*in_hlth_family_ticket*in_hlth_family_renew_comm*in_ins_partner_share*(in_hlth_family_renew^1*SUMIFS(AI1796:AI1803,B1796:B1803,B1802-12)+in_hlth_family_renew^2*SUMIFS(AI1796:AI1803,B1796:B1803,B1802-24)+in_hlth_family_renew^3*SUMIFS(AI1796:AI1803,B1796:B1803,B1802-36)+in_hlth_family_renew^4*SUMIFS(AI1796:AI1803,B1796:B1803,B1802-48))</f>
        <v/>
      </c>
      <c r="AK1802" s="40">
        <f>AK1801*(1-IF(B1801&gt;=in_marketplace_from,d_hz_life_term*G1801,0))</f>
        <v/>
      </c>
      <c r="AL1802" s="46">
        <f>AK1802*IF(B1802&gt;=in_marketplace_from,d_hz_life_term*G1802,0)</f>
        <v/>
      </c>
      <c r="AM1802" s="14">
        <f>F1802*AL1802*in_life_term_ticket*in_life_term_comm*in_ins_partner_share+F1802*in_life_term_ticket*in_life_term_renew_comm*in_ins_partner_share*(in_life_term_renew^1*SUMIFS(AL1796:AL1803,B1796:B1803,B1802-12)+in_life_term_renew^2*SUMIFS(AL1796:AL1803,B1796:B1803,B1802-24)+in_life_term_renew^3*SUMIFS(AL1796:AL1803,B1796:B1803,B1802-36)+in_life_term_renew^4*SUMIFS(AL1796:AL1803,B1796:B1803,B1802-48))</f>
        <v/>
      </c>
      <c r="AN1802" s="40">
        <f>AN1801*(1-IF(B1801&gt;=in_marketplace_from,d_hz_accident*G1801,0))</f>
        <v/>
      </c>
      <c r="AO1802" s="46">
        <f>AN1802*IF(B1802&gt;=in_marketplace_from,d_hz_accident*G1802,0)</f>
        <v/>
      </c>
      <c r="AP1802" s="14">
        <f>F1802*AO1802*in_accident_ticket*in_accident_comm*in_ins_partner_share+F1802*in_accident_ticket*in_accident_renew_comm*in_ins_partner_share*(in_accident_renew^1*SUMIFS(AO1796:AO1803,B1796:B1803,B1802-12)+in_accident_renew^2*SUMIFS(AO1796:AO1803,B1796:B1803,B1802-24)+in_accident_renew^3*SUMIFS(AO1796:AO1803,B1796:B1803,B1802-36)+in_accident_renew^4*SUMIFS(AO1796:AO1803,B1796:B1803,B1802-48))</f>
        <v/>
      </c>
      <c r="AQ1802" s="40">
        <f>AQ1801*(1-IF(B1801&gt;=in_marketplace_from,d_hz_two_wheeler*G1801,0))</f>
        <v/>
      </c>
      <c r="AR1802" s="46">
        <f>AQ1802*IF(B1802&gt;=in_marketplace_from,d_hz_two_wheeler*G1802,0)</f>
        <v/>
      </c>
      <c r="AS1802" s="14">
        <f>F1802*AR1802*in_two_wheeler_ticket*in_two_wheeler_comm*in_ins_partner_share+F1802*in_two_wheeler_ticket*in_two_wheeler_comm*in_ins_partner_share*(in_two_wheeler_renew^1*SUMIFS(AR1796:AR1803,B1796:B1803,B1802-12)+in_two_wheeler_renew^2*SUMIFS(AR1796:AR1803,B1796:B1803,B1802-24)+in_two_wheeler_renew^3*SUMIFS(AR1796:AR1803,B1796:B1803,B1802-36)+in_two_wheeler_renew^4*SUMIFS(AR1796:AR1803,B1796:B1803,B1802-48))</f>
        <v/>
      </c>
      <c r="AT1802" s="40">
        <f>AT1801*(1-IF(B1801&gt;=in_marketplace_from,d_hz_device*G1801,0))</f>
        <v/>
      </c>
      <c r="AU1802" s="14">
        <f>F1802*AT1802*IF(B1802&gt;=in_marketplace_from,d_hz_device*G1802,0)*in_device_ticket*in_device_comm*in_ins_partner_share</f>
        <v/>
      </c>
      <c r="AV1802" s="40">
        <f>AV1801*(1-IF(B1801&gt;=in_marketplace_from,d_hz_shop*G1801,0))</f>
        <v/>
      </c>
      <c r="AW1802" s="46">
        <f>AV1802*IF(B1802&gt;=in_marketplace_from,d_hz_shop*G1802,0)</f>
        <v/>
      </c>
      <c r="AX1802" s="14">
        <f>F1802*AW1802*in_shop_ticket*in_shop_comm*in_ins_partner_share+F1802*in_shop_ticket*in_shop_renew_comm*in_ins_partner_share*(in_shop_renew^1*SUMIFS(AW1796:AW1803,B1796:B1803,B1802-12)+in_shop_renew^2*SUMIFS(AW1796:AW1803,B1796:B1803,B1802-24)+in_shop_renew^3*SUMIFS(AW1796:AW1803,B1796:B1803,B1802-36)+in_shop_renew^4*SUMIFS(AW1796:AW1803,B1796:B1803,B1802-48))</f>
        <v/>
      </c>
      <c r="AY1802" s="40">
        <f>AY1801*(1-IF(B1801&gt;=in_marketplace_from,d_hz_sip*G1801,0))</f>
        <v/>
      </c>
      <c r="AZ1802" s="40">
        <f>AZ1801*d_rho_sip+AY1802*IF(B1802&gt;=in_marketplace_from,d_hz_sip*G1802,0)</f>
        <v/>
      </c>
      <c r="BA1802" s="40">
        <f>d_rho_sip*(BA1801+AZ1801)</f>
        <v/>
      </c>
      <c r="BB1802" s="14">
        <f>F1802*in_sip_ticket*(BA1802+0.5*AZ1802)*in_sip_comm/12</f>
        <v/>
      </c>
      <c r="BC1802" s="40">
        <f>BC1801*(1-IF(B1801&gt;=in_marketplace_from,d_hz_choti*G1801,0))</f>
        <v/>
      </c>
      <c r="BD1802" s="46">
        <f>BC1802*IF(B1802&gt;=in_marketplace_from,d_hz_choti*G1802,0)</f>
        <v/>
      </c>
      <c r="BE1802" s="14">
        <f>F1802*SUMIFS(BD1796:BD1803,B1796:B1803,B1802-in_choti_months)*in_choti_renew*in_choti_ticket</f>
        <v/>
      </c>
      <c r="BF1802" s="40">
        <f>BF1801*(1-IF(B1801&gt;=in_marketplace_from,d_hz_nps*G1801,0))</f>
        <v/>
      </c>
      <c r="BG1802" s="14">
        <f>F1802*BF1802*IF(B1802&gt;=in_marketplace_from,d_hz_nps*G1802,0)*in_nps_ticket*in_nps_comm</f>
        <v/>
      </c>
      <c r="BH1802" s="40">
        <f>BH1801*(1-IF(B1801&gt;=in_marketplace_from,d_hz_gold*G1801,0))</f>
        <v/>
      </c>
      <c r="BI1802" s="40">
        <f>BI1801*d_rho_gold+BH1802*IF(B1802&gt;=in_marketplace_from,d_hz_gold*G1802,0)</f>
        <v/>
      </c>
      <c r="BJ1802" s="14">
        <f>F1802*BI1802*in_gold_ticket*in_gold_comm</f>
        <v/>
      </c>
      <c r="BK1802" s="40">
        <f>BK1801*(1-IF(B1801&gt;=in_marketplace_from,d_hz_fd*G1801,0))</f>
        <v/>
      </c>
      <c r="BL1802" s="14">
        <f>F1802*BK1802*IF(B1802&gt;=in_marketplace_from,d_hz_fd*G1802,0)*in_fd_ticket*in_fd_comm</f>
        <v/>
      </c>
      <c r="BM1802" s="40">
        <f>BM1801*(1-IF(B1801&gt;=in_marketplace_from,d_hz_recharge*G1801,0))</f>
        <v/>
      </c>
      <c r="BN1802" s="40">
        <f>BN1801*d_rho_recharge+BM1802*IF(B1802&gt;=in_marketplace_from,d_hz_recharge*G1802,0)</f>
        <v/>
      </c>
      <c r="BO1802" s="14">
        <f>F1802*BN1802*in_recharge_ticket*in_recharge_comm/12</f>
        <v/>
      </c>
      <c r="BP1802" s="40">
        <f>BP1801*(1-IF(B1801&gt;=in_marketplace_from,d_hz_bills*G1801,0))</f>
        <v/>
      </c>
      <c r="BQ1802" s="40">
        <f>BQ1801*d_rho_bills+BP1802*IF(B1802&gt;=in_marketplace_from,d_hz_bills*G1802,0)</f>
        <v/>
      </c>
      <c r="BR1802" s="14">
        <f>F1802*BQ1802*in_bills_ticket*in_bills_comm/12</f>
        <v/>
      </c>
      <c r="BS1802" s="40">
        <f>BS1801*(1-IF(B1801&gt;=in_marketplace_from,d_hz_loan_gold*G1801,0))</f>
        <v/>
      </c>
      <c r="BT1802" s="14">
        <f>F1802*BS1802*IF(B1802&gt;=in_marketplace_from,d_hz_loan_gold*G1802,0)*in_loan_gold_ticket*in_loan_gold_comm</f>
        <v/>
      </c>
      <c r="BU1802" s="40">
        <f>BU1801*(1-IF(B1801&gt;=in_marketplace_from,d_hz_loan_cd*G1801,0))</f>
        <v/>
      </c>
      <c r="BV1802" s="14">
        <f>F1802*BU1802*IF(B1802&gt;=in_marketplace_from,d_hz_loan_cd*G1802,0)*in_loan_cd_ticket*in_loan_cd_comm</f>
        <v/>
      </c>
      <c r="BW1802" s="40">
        <f>BW1801*(1-IF(B1801&gt;=in_marketplace_from,d_hz_loan_vehicle*G1801,0))</f>
        <v/>
      </c>
      <c r="BX1802" s="14">
        <f>F1802*BW1802*IF(B1802&gt;=in_marketplace_from,d_hz_loan_vehicle*G1802,0)*in_loan_vehicle_ticket*in_loan_vehicle_comm</f>
        <v/>
      </c>
      <c r="BY1802" s="40">
        <f>BY1801*(1-IF(B1801&gt;=in_marketplace_from,d_hz_loan_home*G1801,0)*BZ1801)</f>
        <v/>
      </c>
      <c r="BZ1802" s="11">
        <f>MIN(in_approval_cap,in_loan_home_approval*INDEX('Age profile'!$O$2:$O$61,B1802)*(1+in_approval_growth)^(D1802-1))</f>
        <v/>
      </c>
      <c r="CA1802" s="14">
        <f>F1802*BY1802*IF(B1802&gt;=in_marketplace_from,d_hz_loan_home*G1802,0)*BZ1802*in_loan_home_ticket*in_loan_home_comm</f>
        <v/>
      </c>
      <c r="CB1802" s="40">
        <f>CB1801*(1-IF(B1801&gt;=in_marketplace_from,d_hz_loan_lap*G1801,0)*CC1801)</f>
        <v/>
      </c>
      <c r="CC1802" s="11">
        <f>MIN(in_approval_cap,in_loan_lap_approval*INDEX('Age profile'!$O$2:$O$61,B1802)*(1+in_approval_growth)^(D1802-1))</f>
        <v/>
      </c>
      <c r="CD1802" s="14">
        <f>F1802*CB1802*IF(B1802&gt;=in_marketplace_from,d_hz_loan_lap*G1802,0)*CC1802*in_loan_lap_ticket*in_loan_lap_comm</f>
        <v/>
      </c>
      <c r="CE1802" s="14">
        <f>AA1802+AB1802+AC1802+AD1802+AG1802+AJ1802+AM1802+AP1802+AS1802+AU1802+AX1802+BB1802+BE1802+BG1802+BJ1802+BL1802+BO1802+BR1802+BT1802+BV1802+BX1802+CA1802+CD1802</f>
        <v/>
      </c>
    </row>
    <row r="1803">
      <c r="A1803" s="39" t="n">
        <v>53</v>
      </c>
      <c r="B1803" s="39" t="n">
        <v>8</v>
      </c>
      <c r="C1803" s="39">
        <f>A1803+B1803-1</f>
        <v/>
      </c>
      <c r="D1803" s="39">
        <f>INT((C1803-1)/12)+1</f>
        <v/>
      </c>
      <c r="E1803" s="44">
        <f>INDEX(Monthly!$B$2:$B$61,A1803)</f>
        <v/>
      </c>
      <c r="F1803" s="44">
        <f>E1803*INDEX('Age profile'!$B$2:$B$61,B1803)</f>
        <v/>
      </c>
      <c r="G1803" s="45">
        <f>MIN(in_takeup_cap,INDEX('Age profile'!$N$2:$N$61,B1803)*(1+in_takeup_growth)^(D1803-1))</f>
        <v/>
      </c>
      <c r="H1803" s="11">
        <f>MIN(in_approval_cap,in_approved_first*INDEX('Age profile'!$O$2:$O$61,B1803)*(1+in_approval_growth)^(D1803-1))</f>
        <v/>
      </c>
      <c r="I1803" s="45">
        <f>G1803*MIN(in_takeup_cap,INDEX('Age profile'!$O$2:$O$61,B1803)*(1+in_approval_growth)^(D1803-1))</f>
        <v/>
      </c>
      <c r="J1803" s="40">
        <f>(J1802-L1802)*F1803/F1802</f>
        <v/>
      </c>
      <c r="K1803" s="40">
        <f>(K1802-M1802)*F1803/F1802+SUMIFS(O1796:O1802,B1796:B1802,B1803-1-d_T)*F1803</f>
        <v/>
      </c>
      <c r="L1803" s="40">
        <f>IF(B1803&gt;=in_marketplace_from,J1803*d_hz*G1803*in_eligible*H1803,0)</f>
        <v/>
      </c>
      <c r="M1803" s="40">
        <f>IF(B1803&gt;=in_marketplace_from,K1803*d_hz*G1803*in_eligible*in_approved_repeat,0)</f>
        <v/>
      </c>
      <c r="N1803" s="40">
        <f>L1803+M1803</f>
        <v/>
      </c>
      <c r="O1803" s="46">
        <f>N1803/F1803</f>
        <v/>
      </c>
      <c r="P1803" s="40">
        <f>F1803-J1803-K1803</f>
        <v/>
      </c>
      <c r="Q1803" s="40">
        <f>IF(B1803&gt;=in_marketplace_from,(J1803+K1803)*d_hz*G1803,0)</f>
        <v/>
      </c>
      <c r="R1803" s="40">
        <f>SUMIFS(N1796:N1803,B1796:B1803,"&gt;="&amp;(B1803-d_T),B1796:B1803,"&lt;="&amp;(B1803-1))</f>
        <v/>
      </c>
      <c r="S1803" s="46">
        <f>(1-d_u)*S1802+IF(d_T&gt;in_topup_lag,SUMIFS(O1796:O1803,B1796:B1803,B1803-in_topup_lag)-d_udrop*SUMIFS(O1796:O1803,B1796:B1803,B1803-d_T),0)</f>
        <v/>
      </c>
      <c r="T1803" s="40">
        <f>F1803*d_u*S1803</f>
        <v/>
      </c>
      <c r="U1803" s="9">
        <f>L1803*in_ticket+M1803*d_rep_ticket</f>
        <v/>
      </c>
      <c r="V1803" s="9">
        <f>U1803+T1803*d_topup_amt</f>
        <v/>
      </c>
      <c r="W1803" s="40">
        <f>N1803+T1803*d_topup_ratio</f>
        <v/>
      </c>
      <c r="X1803" s="40">
        <f>SUMIFS(W1796:W1803,B1796:B1803,B1803-in_dpd_lag)*d_cured</f>
        <v/>
      </c>
      <c r="Y1803" s="40">
        <f>SUMIFS(W1796:W1803,B1796:B1803,B1803-in_rec_lag)*d_recd</f>
        <v/>
      </c>
      <c r="Z1803" s="40">
        <f>IF(AND(B1803&gt;=in_marketplace_from,B1803&lt;in_marketplace_from+in_card_months),in_card_share/in_card_months*F1803*I1803,IF(AND(B1803&gt;=in_marketplace_from+in_card_months,B1803&lt;in_marketplace_from+2*in_card_months),in_card_share*d_card_rem/in_card_months*F1803*MIN(in_takeup_cap,(1+in_takeup_growth)^(D1803-1))*MIN(in_takeup_cap,(1+in_approval_growth)^(D1803-1)),0))</f>
        <v/>
      </c>
      <c r="AA1803" s="14">
        <f>V1803*in_fee*(1-in_taken_back)</f>
        <v/>
      </c>
      <c r="AB1803" s="14">
        <f>SUMIFS(W1796:W1803,B1796:B1803,B1803-in_dpd_lag)*d_dpd</f>
        <v/>
      </c>
      <c r="AC1803" s="14">
        <f>SUMIFS(W1796:W1803,B1796:B1803,B1803-in_rec_lag)*d_rec</f>
        <v/>
      </c>
      <c r="AD1803" s="14">
        <f>Z1803*in_card_fee</f>
        <v/>
      </c>
      <c r="AE1803" s="40">
        <f>AE1802*(1-IF(B1802&gt;=in_marketplace_from,d_hz_hlth_small*G1802,0))</f>
        <v/>
      </c>
      <c r="AF1803" s="46">
        <f>AE1803*IF(B1803&gt;=in_marketplace_from,d_hz_hlth_small*G1803,0)</f>
        <v/>
      </c>
      <c r="AG1803" s="14">
        <f>F1803*AF1803*in_hlth_small_ticket*in_hlth_small_comm*in_ins_partner_share+F1803*in_hlth_small_ticket*in_hlth_small_renew_comm*in_ins_partner_share*(in_hlth_small_renew^1*SUMIFS(AF1796:AF1803,B1796:B1803,B1803-12)+in_hlth_small_renew^2*SUMIFS(AF1796:AF1803,B1796:B1803,B1803-24)+in_hlth_small_renew^3*SUMIFS(AF1796:AF1803,B1796:B1803,B1803-36)+in_hlth_small_renew^4*SUMIFS(AF1796:AF1803,B1796:B1803,B1803-48))</f>
        <v/>
      </c>
      <c r="AH1803" s="40">
        <f>AH1802*(1-IF(B1802&gt;=in_marketplace_from,d_hz_hlth_family*G1802,0))</f>
        <v/>
      </c>
      <c r="AI1803" s="46">
        <f>AH1803*IF(B1803&gt;=in_marketplace_from,d_hz_hlth_family*G1803,0)</f>
        <v/>
      </c>
      <c r="AJ1803" s="14">
        <f>F1803*AI1803*in_hlth_family_ticket*in_hlth_family_comm*in_ins_partner_share+F1803*in_hlth_family_ticket*in_hlth_family_renew_comm*in_ins_partner_share*(in_hlth_family_renew^1*SUMIFS(AI1796:AI1803,B1796:B1803,B1803-12)+in_hlth_family_renew^2*SUMIFS(AI1796:AI1803,B1796:B1803,B1803-24)+in_hlth_family_renew^3*SUMIFS(AI1796:AI1803,B1796:B1803,B1803-36)+in_hlth_family_renew^4*SUMIFS(AI1796:AI1803,B1796:B1803,B1803-48))</f>
        <v/>
      </c>
      <c r="AK1803" s="40">
        <f>AK1802*(1-IF(B1802&gt;=in_marketplace_from,d_hz_life_term*G1802,0))</f>
        <v/>
      </c>
      <c r="AL1803" s="46">
        <f>AK1803*IF(B1803&gt;=in_marketplace_from,d_hz_life_term*G1803,0)</f>
        <v/>
      </c>
      <c r="AM1803" s="14">
        <f>F1803*AL1803*in_life_term_ticket*in_life_term_comm*in_ins_partner_share+F1803*in_life_term_ticket*in_life_term_renew_comm*in_ins_partner_share*(in_life_term_renew^1*SUMIFS(AL1796:AL1803,B1796:B1803,B1803-12)+in_life_term_renew^2*SUMIFS(AL1796:AL1803,B1796:B1803,B1803-24)+in_life_term_renew^3*SUMIFS(AL1796:AL1803,B1796:B1803,B1803-36)+in_life_term_renew^4*SUMIFS(AL1796:AL1803,B1796:B1803,B1803-48))</f>
        <v/>
      </c>
      <c r="AN1803" s="40">
        <f>AN1802*(1-IF(B1802&gt;=in_marketplace_from,d_hz_accident*G1802,0))</f>
        <v/>
      </c>
      <c r="AO1803" s="46">
        <f>AN1803*IF(B1803&gt;=in_marketplace_from,d_hz_accident*G1803,0)</f>
        <v/>
      </c>
      <c r="AP1803" s="14">
        <f>F1803*AO1803*in_accident_ticket*in_accident_comm*in_ins_partner_share+F1803*in_accident_ticket*in_accident_renew_comm*in_ins_partner_share*(in_accident_renew^1*SUMIFS(AO1796:AO1803,B1796:B1803,B1803-12)+in_accident_renew^2*SUMIFS(AO1796:AO1803,B1796:B1803,B1803-24)+in_accident_renew^3*SUMIFS(AO1796:AO1803,B1796:B1803,B1803-36)+in_accident_renew^4*SUMIFS(AO1796:AO1803,B1796:B1803,B1803-48))</f>
        <v/>
      </c>
      <c r="AQ1803" s="40">
        <f>AQ1802*(1-IF(B1802&gt;=in_marketplace_from,d_hz_two_wheeler*G1802,0))</f>
        <v/>
      </c>
      <c r="AR1803" s="46">
        <f>AQ1803*IF(B1803&gt;=in_marketplace_from,d_hz_two_wheeler*G1803,0)</f>
        <v/>
      </c>
      <c r="AS1803" s="14">
        <f>F1803*AR1803*in_two_wheeler_ticket*in_two_wheeler_comm*in_ins_partner_share+F1803*in_two_wheeler_ticket*in_two_wheeler_comm*in_ins_partner_share*(in_two_wheeler_renew^1*SUMIFS(AR1796:AR1803,B1796:B1803,B1803-12)+in_two_wheeler_renew^2*SUMIFS(AR1796:AR1803,B1796:B1803,B1803-24)+in_two_wheeler_renew^3*SUMIFS(AR1796:AR1803,B1796:B1803,B1803-36)+in_two_wheeler_renew^4*SUMIFS(AR1796:AR1803,B1796:B1803,B1803-48))</f>
        <v/>
      </c>
      <c r="AT1803" s="40">
        <f>AT1802*(1-IF(B1802&gt;=in_marketplace_from,d_hz_device*G1802,0))</f>
        <v/>
      </c>
      <c r="AU1803" s="14">
        <f>F1803*AT1803*IF(B1803&gt;=in_marketplace_from,d_hz_device*G1803,0)*in_device_ticket*in_device_comm*in_ins_partner_share</f>
        <v/>
      </c>
      <c r="AV1803" s="40">
        <f>AV1802*(1-IF(B1802&gt;=in_marketplace_from,d_hz_shop*G1802,0))</f>
        <v/>
      </c>
      <c r="AW1803" s="46">
        <f>AV1803*IF(B1803&gt;=in_marketplace_from,d_hz_shop*G1803,0)</f>
        <v/>
      </c>
      <c r="AX1803" s="14">
        <f>F1803*AW1803*in_shop_ticket*in_shop_comm*in_ins_partner_share+F1803*in_shop_ticket*in_shop_renew_comm*in_ins_partner_share*(in_shop_renew^1*SUMIFS(AW1796:AW1803,B1796:B1803,B1803-12)+in_shop_renew^2*SUMIFS(AW1796:AW1803,B1796:B1803,B1803-24)+in_shop_renew^3*SUMIFS(AW1796:AW1803,B1796:B1803,B1803-36)+in_shop_renew^4*SUMIFS(AW1796:AW1803,B1796:B1803,B1803-48))</f>
        <v/>
      </c>
      <c r="AY1803" s="40">
        <f>AY1802*(1-IF(B1802&gt;=in_marketplace_from,d_hz_sip*G1802,0))</f>
        <v/>
      </c>
      <c r="AZ1803" s="40">
        <f>AZ1802*d_rho_sip+AY1803*IF(B1803&gt;=in_marketplace_from,d_hz_sip*G1803,0)</f>
        <v/>
      </c>
      <c r="BA1803" s="40">
        <f>d_rho_sip*(BA1802+AZ1802)</f>
        <v/>
      </c>
      <c r="BB1803" s="14">
        <f>F1803*in_sip_ticket*(BA1803+0.5*AZ1803)*in_sip_comm/12</f>
        <v/>
      </c>
      <c r="BC1803" s="40">
        <f>BC1802*(1-IF(B1802&gt;=in_marketplace_from,d_hz_choti*G1802,0))</f>
        <v/>
      </c>
      <c r="BD1803" s="46">
        <f>BC1803*IF(B1803&gt;=in_marketplace_from,d_hz_choti*G1803,0)</f>
        <v/>
      </c>
      <c r="BE1803" s="14">
        <f>F1803*SUMIFS(BD1796:BD1803,B1796:B1803,B1803-in_choti_months)*in_choti_renew*in_choti_ticket</f>
        <v/>
      </c>
      <c r="BF1803" s="40">
        <f>BF1802*(1-IF(B1802&gt;=in_marketplace_from,d_hz_nps*G1802,0))</f>
        <v/>
      </c>
      <c r="BG1803" s="14">
        <f>F1803*BF1803*IF(B1803&gt;=in_marketplace_from,d_hz_nps*G1803,0)*in_nps_ticket*in_nps_comm</f>
        <v/>
      </c>
      <c r="BH1803" s="40">
        <f>BH1802*(1-IF(B1802&gt;=in_marketplace_from,d_hz_gold*G1802,0))</f>
        <v/>
      </c>
      <c r="BI1803" s="40">
        <f>BI1802*d_rho_gold+BH1803*IF(B1803&gt;=in_marketplace_from,d_hz_gold*G1803,0)</f>
        <v/>
      </c>
      <c r="BJ1803" s="14">
        <f>F1803*BI1803*in_gold_ticket*in_gold_comm</f>
        <v/>
      </c>
      <c r="BK1803" s="40">
        <f>BK1802*(1-IF(B1802&gt;=in_marketplace_from,d_hz_fd*G1802,0))</f>
        <v/>
      </c>
      <c r="BL1803" s="14">
        <f>F1803*BK1803*IF(B1803&gt;=in_marketplace_from,d_hz_fd*G1803,0)*in_fd_ticket*in_fd_comm</f>
        <v/>
      </c>
      <c r="BM1803" s="40">
        <f>BM1802*(1-IF(B1802&gt;=in_marketplace_from,d_hz_recharge*G1802,0))</f>
        <v/>
      </c>
      <c r="BN1803" s="40">
        <f>BN1802*d_rho_recharge+BM1803*IF(B1803&gt;=in_marketplace_from,d_hz_recharge*G1803,0)</f>
        <v/>
      </c>
      <c r="BO1803" s="14">
        <f>F1803*BN1803*in_recharge_ticket*in_recharge_comm/12</f>
        <v/>
      </c>
      <c r="BP1803" s="40">
        <f>BP1802*(1-IF(B1802&gt;=in_marketplace_from,d_hz_bills*G1802,0))</f>
        <v/>
      </c>
      <c r="BQ1803" s="40">
        <f>BQ1802*d_rho_bills+BP1803*IF(B1803&gt;=in_marketplace_from,d_hz_bills*G1803,0)</f>
        <v/>
      </c>
      <c r="BR1803" s="14">
        <f>F1803*BQ1803*in_bills_ticket*in_bills_comm/12</f>
        <v/>
      </c>
      <c r="BS1803" s="40">
        <f>BS1802*(1-IF(B1802&gt;=in_marketplace_from,d_hz_loan_gold*G1802,0))</f>
        <v/>
      </c>
      <c r="BT1803" s="14">
        <f>F1803*BS1803*IF(B1803&gt;=in_marketplace_from,d_hz_loan_gold*G1803,0)*in_loan_gold_ticket*in_loan_gold_comm</f>
        <v/>
      </c>
      <c r="BU1803" s="40">
        <f>BU1802*(1-IF(B1802&gt;=in_marketplace_from,d_hz_loan_cd*G1802,0))</f>
        <v/>
      </c>
      <c r="BV1803" s="14">
        <f>F1803*BU1803*IF(B1803&gt;=in_marketplace_from,d_hz_loan_cd*G1803,0)*in_loan_cd_ticket*in_loan_cd_comm</f>
        <v/>
      </c>
      <c r="BW1803" s="40">
        <f>BW1802*(1-IF(B1802&gt;=in_marketplace_from,d_hz_loan_vehicle*G1802,0))</f>
        <v/>
      </c>
      <c r="BX1803" s="14">
        <f>F1803*BW1803*IF(B1803&gt;=in_marketplace_from,d_hz_loan_vehicle*G1803,0)*in_loan_vehicle_ticket*in_loan_vehicle_comm</f>
        <v/>
      </c>
      <c r="BY1803" s="40">
        <f>BY1802*(1-IF(B1802&gt;=in_marketplace_from,d_hz_loan_home*G1802,0)*BZ1802)</f>
        <v/>
      </c>
      <c r="BZ1803" s="11">
        <f>MIN(in_approval_cap,in_loan_home_approval*INDEX('Age profile'!$O$2:$O$61,B1803)*(1+in_approval_growth)^(D1803-1))</f>
        <v/>
      </c>
      <c r="CA1803" s="14">
        <f>F1803*BY1803*IF(B1803&gt;=in_marketplace_from,d_hz_loan_home*G1803,0)*BZ1803*in_loan_home_ticket*in_loan_home_comm</f>
        <v/>
      </c>
      <c r="CB1803" s="40">
        <f>CB1802*(1-IF(B1802&gt;=in_marketplace_from,d_hz_loan_lap*G1802,0)*CC1802)</f>
        <v/>
      </c>
      <c r="CC1803" s="11">
        <f>MIN(in_approval_cap,in_loan_lap_approval*INDEX('Age profile'!$O$2:$O$61,B1803)*(1+in_approval_growth)^(D1803-1))</f>
        <v/>
      </c>
      <c r="CD1803" s="14">
        <f>F1803*CB1803*IF(B1803&gt;=in_marketplace_from,d_hz_loan_lap*G1803,0)*CC1803*in_loan_lap_ticket*in_loan_lap_comm</f>
        <v/>
      </c>
      <c r="CE1803" s="14">
        <f>AA1803+AB1803+AC1803+AD1803+AG1803+AJ1803+AM1803+AP1803+AS1803+AU1803+AX1803+BB1803+BE1803+BG1803+BJ1803+BL1803+BO1803+BR1803+BT1803+BV1803+BX1803+CA1803+CD1803</f>
        <v/>
      </c>
    </row>
    <row r="1804">
      <c r="A1804" s="39" t="n">
        <v>54</v>
      </c>
      <c r="B1804" s="39" t="n">
        <v>1</v>
      </c>
      <c r="C1804" s="39">
        <f>A1804+B1804-1</f>
        <v/>
      </c>
      <c r="D1804" s="39">
        <f>INT((C1804-1)/12)+1</f>
        <v/>
      </c>
      <c r="E1804" s="44">
        <f>INDEX(Monthly!$B$2:$B$61,A1804)</f>
        <v/>
      </c>
      <c r="F1804" s="44">
        <f>E1804*INDEX('Age profile'!$B$2:$B$61,B1804)</f>
        <v/>
      </c>
      <c r="G1804" s="45">
        <f>MIN(in_takeup_cap,INDEX('Age profile'!$N$2:$N$61,B1804)*(1+in_takeup_growth)^(D1804-1))</f>
        <v/>
      </c>
      <c r="H1804" s="11">
        <f>MIN(in_approval_cap,in_approved_first*INDEX('Age profile'!$O$2:$O$61,B1804)*(1+in_approval_growth)^(D1804-1))</f>
        <v/>
      </c>
      <c r="I1804" s="45">
        <f>G1804*MIN(in_takeup_cap,INDEX('Age profile'!$O$2:$O$61,B1804)*(1+in_approval_growth)^(D1804-1))</f>
        <v/>
      </c>
      <c r="J1804" s="40">
        <f>E1804</f>
        <v/>
      </c>
      <c r="K1804" s="40" t="n">
        <v>0</v>
      </c>
      <c r="L1804" s="40">
        <f>IF(B1804&gt;=in_marketplace_from,J1804*d_hz*G1804*in_eligible*H1804,0)</f>
        <v/>
      </c>
      <c r="M1804" s="40">
        <f>IF(B1804&gt;=in_marketplace_from,K1804*d_hz*G1804*in_eligible*in_approved_repeat,0)</f>
        <v/>
      </c>
      <c r="N1804" s="40">
        <f>L1804+M1804</f>
        <v/>
      </c>
      <c r="O1804" s="46">
        <f>N1804/F1804</f>
        <v/>
      </c>
      <c r="P1804" s="40">
        <f>F1804-J1804-K1804</f>
        <v/>
      </c>
      <c r="Q1804" s="40">
        <f>IF(B1804&gt;=in_marketplace_from,(J1804+K1804)*d_hz*G1804,0)</f>
        <v/>
      </c>
      <c r="R1804" s="40">
        <f>SUMIFS(N1804:N1810,B1804:B1810,"&gt;="&amp;(B1804-d_T),B1804:B1810,"&lt;="&amp;(B1804-1))</f>
        <v/>
      </c>
      <c r="S1804" s="46" t="n">
        <v>0</v>
      </c>
      <c r="T1804" s="40">
        <f>F1804*d_u*S1804</f>
        <v/>
      </c>
      <c r="U1804" s="9">
        <f>L1804*in_ticket+M1804*d_rep_ticket</f>
        <v/>
      </c>
      <c r="V1804" s="9">
        <f>U1804+T1804*d_topup_amt</f>
        <v/>
      </c>
      <c r="W1804" s="40">
        <f>N1804+T1804*d_topup_ratio</f>
        <v/>
      </c>
      <c r="X1804" s="40">
        <f>SUMIFS(W1804:W1810,B1804:B1810,B1804-in_dpd_lag)*d_cured</f>
        <v/>
      </c>
      <c r="Y1804" s="40">
        <f>SUMIFS(W1804:W1810,B1804:B1810,B1804-in_rec_lag)*d_recd</f>
        <v/>
      </c>
      <c r="Z1804" s="40">
        <f>IF(AND(B1804&gt;=in_marketplace_from,B1804&lt;in_marketplace_from+in_card_months),in_card_share/in_card_months*F1804*I1804,IF(AND(B1804&gt;=in_marketplace_from+in_card_months,B1804&lt;in_marketplace_from+2*in_card_months),in_card_share*d_card_rem/in_card_months*F1804*MIN(in_takeup_cap,(1+in_takeup_growth)^(D1804-1))*MIN(in_takeup_cap,(1+in_approval_growth)^(D1804-1)),0))</f>
        <v/>
      </c>
      <c r="AA1804" s="14">
        <f>V1804*in_fee*(1-in_taken_back)</f>
        <v/>
      </c>
      <c r="AB1804" s="14">
        <f>SUMIFS(W1804:W1810,B1804:B1810,B1804-in_dpd_lag)*d_dpd</f>
        <v/>
      </c>
      <c r="AC1804" s="14">
        <f>SUMIFS(W1804:W1810,B1804:B1810,B1804-in_rec_lag)*d_rec</f>
        <v/>
      </c>
      <c r="AD1804" s="14">
        <f>Z1804*in_card_fee</f>
        <v/>
      </c>
      <c r="AE1804" s="40" t="n">
        <v>1</v>
      </c>
      <c r="AF1804" s="46">
        <f>AE1804*IF(B1804&gt;=in_marketplace_from,d_hz_hlth_small*G1804,0)</f>
        <v/>
      </c>
      <c r="AG1804" s="14">
        <f>F1804*AF1804*in_hlth_small_ticket*in_hlth_small_comm*in_ins_partner_share+F1804*in_hlth_small_ticket*in_hlth_small_renew_comm*in_ins_partner_share*(in_hlth_small_renew^1*SUMIFS(AF1804:AF1810,B1804:B1810,B1804-12)+in_hlth_small_renew^2*SUMIFS(AF1804:AF1810,B1804:B1810,B1804-24)+in_hlth_small_renew^3*SUMIFS(AF1804:AF1810,B1804:B1810,B1804-36)+in_hlth_small_renew^4*SUMIFS(AF1804:AF1810,B1804:B1810,B1804-48))</f>
        <v/>
      </c>
      <c r="AH1804" s="40" t="n">
        <v>1</v>
      </c>
      <c r="AI1804" s="46">
        <f>AH1804*IF(B1804&gt;=in_marketplace_from,d_hz_hlth_family*G1804,0)</f>
        <v/>
      </c>
      <c r="AJ1804" s="14">
        <f>F1804*AI1804*in_hlth_family_ticket*in_hlth_family_comm*in_ins_partner_share+F1804*in_hlth_family_ticket*in_hlth_family_renew_comm*in_ins_partner_share*(in_hlth_family_renew^1*SUMIFS(AI1804:AI1810,B1804:B1810,B1804-12)+in_hlth_family_renew^2*SUMIFS(AI1804:AI1810,B1804:B1810,B1804-24)+in_hlth_family_renew^3*SUMIFS(AI1804:AI1810,B1804:B1810,B1804-36)+in_hlth_family_renew^4*SUMIFS(AI1804:AI1810,B1804:B1810,B1804-48))</f>
        <v/>
      </c>
      <c r="AK1804" s="40" t="n">
        <v>1</v>
      </c>
      <c r="AL1804" s="46">
        <f>AK1804*IF(B1804&gt;=in_marketplace_from,d_hz_life_term*G1804,0)</f>
        <v/>
      </c>
      <c r="AM1804" s="14">
        <f>F1804*AL1804*in_life_term_ticket*in_life_term_comm*in_ins_partner_share+F1804*in_life_term_ticket*in_life_term_renew_comm*in_ins_partner_share*(in_life_term_renew^1*SUMIFS(AL1804:AL1810,B1804:B1810,B1804-12)+in_life_term_renew^2*SUMIFS(AL1804:AL1810,B1804:B1810,B1804-24)+in_life_term_renew^3*SUMIFS(AL1804:AL1810,B1804:B1810,B1804-36)+in_life_term_renew^4*SUMIFS(AL1804:AL1810,B1804:B1810,B1804-48))</f>
        <v/>
      </c>
      <c r="AN1804" s="40" t="n">
        <v>1</v>
      </c>
      <c r="AO1804" s="46">
        <f>AN1804*IF(B1804&gt;=in_marketplace_from,d_hz_accident*G1804,0)</f>
        <v/>
      </c>
      <c r="AP1804" s="14">
        <f>F1804*AO1804*in_accident_ticket*in_accident_comm*in_ins_partner_share+F1804*in_accident_ticket*in_accident_renew_comm*in_ins_partner_share*(in_accident_renew^1*SUMIFS(AO1804:AO1810,B1804:B1810,B1804-12)+in_accident_renew^2*SUMIFS(AO1804:AO1810,B1804:B1810,B1804-24)+in_accident_renew^3*SUMIFS(AO1804:AO1810,B1804:B1810,B1804-36)+in_accident_renew^4*SUMIFS(AO1804:AO1810,B1804:B1810,B1804-48))</f>
        <v/>
      </c>
      <c r="AQ1804" s="40" t="n">
        <v>1</v>
      </c>
      <c r="AR1804" s="46">
        <f>AQ1804*IF(B1804&gt;=in_marketplace_from,d_hz_two_wheeler*G1804,0)</f>
        <v/>
      </c>
      <c r="AS1804" s="14">
        <f>F1804*AR1804*in_two_wheeler_ticket*in_two_wheeler_comm*in_ins_partner_share+F1804*in_two_wheeler_ticket*in_two_wheeler_comm*in_ins_partner_share*(in_two_wheeler_renew^1*SUMIFS(AR1804:AR1810,B1804:B1810,B1804-12)+in_two_wheeler_renew^2*SUMIFS(AR1804:AR1810,B1804:B1810,B1804-24)+in_two_wheeler_renew^3*SUMIFS(AR1804:AR1810,B1804:B1810,B1804-36)+in_two_wheeler_renew^4*SUMIFS(AR1804:AR1810,B1804:B1810,B1804-48))</f>
        <v/>
      </c>
      <c r="AT1804" s="40" t="n">
        <v>1</v>
      </c>
      <c r="AU1804" s="14">
        <f>F1804*AT1804*IF(B1804&gt;=in_marketplace_from,d_hz_device*G1804,0)*in_device_ticket*in_device_comm*in_ins_partner_share</f>
        <v/>
      </c>
      <c r="AV1804" s="40" t="n">
        <v>1</v>
      </c>
      <c r="AW1804" s="46">
        <f>AV1804*IF(B1804&gt;=in_marketplace_from,d_hz_shop*G1804,0)</f>
        <v/>
      </c>
      <c r="AX1804" s="14">
        <f>F1804*AW1804*in_shop_ticket*in_shop_comm*in_ins_partner_share+F1804*in_shop_ticket*in_shop_renew_comm*in_ins_partner_share*(in_shop_renew^1*SUMIFS(AW1804:AW1810,B1804:B1810,B1804-12)+in_shop_renew^2*SUMIFS(AW1804:AW1810,B1804:B1810,B1804-24)+in_shop_renew^3*SUMIFS(AW1804:AW1810,B1804:B1810,B1804-36)+in_shop_renew^4*SUMIFS(AW1804:AW1810,B1804:B1810,B1804-48))</f>
        <v/>
      </c>
      <c r="AY1804" s="40" t="n">
        <v>1</v>
      </c>
      <c r="AZ1804" s="40">
        <f>AY1804*IF(B1804&gt;=in_marketplace_from,d_hz_sip*G1804,0)</f>
        <v/>
      </c>
      <c r="BA1804" s="40" t="n">
        <v>0</v>
      </c>
      <c r="BB1804" s="14">
        <f>F1804*in_sip_ticket*(BA1804+0.5*AZ1804)*in_sip_comm/12</f>
        <v/>
      </c>
      <c r="BC1804" s="40" t="n">
        <v>1</v>
      </c>
      <c r="BD1804" s="46">
        <f>BC1804*IF(B1804&gt;=in_marketplace_from,d_hz_choti*G1804,0)</f>
        <v/>
      </c>
      <c r="BE1804" s="14">
        <f>F1804*SUMIFS(BD1804:BD1810,B1804:B1810,B1804-in_choti_months)*in_choti_renew*in_choti_ticket</f>
        <v/>
      </c>
      <c r="BF1804" s="40" t="n">
        <v>1</v>
      </c>
      <c r="BG1804" s="14">
        <f>F1804*BF1804*IF(B1804&gt;=in_marketplace_from,d_hz_nps*G1804,0)*in_nps_ticket*in_nps_comm</f>
        <v/>
      </c>
      <c r="BH1804" s="40" t="n">
        <v>1</v>
      </c>
      <c r="BI1804" s="40">
        <f>BH1804*IF(B1804&gt;=in_marketplace_from,d_hz_gold*G1804,0)</f>
        <v/>
      </c>
      <c r="BJ1804" s="14">
        <f>F1804*BI1804*in_gold_ticket*in_gold_comm</f>
        <v/>
      </c>
      <c r="BK1804" s="40" t="n">
        <v>1</v>
      </c>
      <c r="BL1804" s="14">
        <f>F1804*BK1804*IF(B1804&gt;=in_marketplace_from,d_hz_fd*G1804,0)*in_fd_ticket*in_fd_comm</f>
        <v/>
      </c>
      <c r="BM1804" s="40" t="n">
        <v>1</v>
      </c>
      <c r="BN1804" s="40">
        <f>BM1804*IF(B1804&gt;=in_marketplace_from,d_hz_recharge*G1804,0)</f>
        <v/>
      </c>
      <c r="BO1804" s="14">
        <f>F1804*BN1804*in_recharge_ticket*in_recharge_comm/12</f>
        <v/>
      </c>
      <c r="BP1804" s="40" t="n">
        <v>1</v>
      </c>
      <c r="BQ1804" s="40">
        <f>BP1804*IF(B1804&gt;=in_marketplace_from,d_hz_bills*G1804,0)</f>
        <v/>
      </c>
      <c r="BR1804" s="14">
        <f>F1804*BQ1804*in_bills_ticket*in_bills_comm/12</f>
        <v/>
      </c>
      <c r="BS1804" s="40" t="n">
        <v>1</v>
      </c>
      <c r="BT1804" s="14">
        <f>F1804*BS1804*IF(B1804&gt;=in_marketplace_from,d_hz_loan_gold*G1804,0)*in_loan_gold_ticket*in_loan_gold_comm</f>
        <v/>
      </c>
      <c r="BU1804" s="40" t="n">
        <v>1</v>
      </c>
      <c r="BV1804" s="14">
        <f>F1804*BU1804*IF(B1804&gt;=in_marketplace_from,d_hz_loan_cd*G1804,0)*in_loan_cd_ticket*in_loan_cd_comm</f>
        <v/>
      </c>
      <c r="BW1804" s="40" t="n">
        <v>1</v>
      </c>
      <c r="BX1804" s="14">
        <f>F1804*BW1804*IF(B1804&gt;=in_marketplace_from,d_hz_loan_vehicle*G1804,0)*in_loan_vehicle_ticket*in_loan_vehicle_comm</f>
        <v/>
      </c>
      <c r="BY1804" s="40" t="n">
        <v>1</v>
      </c>
      <c r="BZ1804" s="11">
        <f>MIN(in_approval_cap,in_loan_home_approval*INDEX('Age profile'!$O$2:$O$61,B1804)*(1+in_approval_growth)^(D1804-1))</f>
        <v/>
      </c>
      <c r="CA1804" s="14">
        <f>F1804*BY1804*IF(B1804&gt;=in_marketplace_from,d_hz_loan_home*G1804,0)*BZ1804*in_loan_home_ticket*in_loan_home_comm</f>
        <v/>
      </c>
      <c r="CB1804" s="40" t="n">
        <v>1</v>
      </c>
      <c r="CC1804" s="11">
        <f>MIN(in_approval_cap,in_loan_lap_approval*INDEX('Age profile'!$O$2:$O$61,B1804)*(1+in_approval_growth)^(D1804-1))</f>
        <v/>
      </c>
      <c r="CD1804" s="14">
        <f>F1804*CB1804*IF(B1804&gt;=in_marketplace_from,d_hz_loan_lap*G1804,0)*CC1804*in_loan_lap_ticket*in_loan_lap_comm</f>
        <v/>
      </c>
      <c r="CE1804" s="14">
        <f>AA1804+AB1804+AC1804+AD1804+AG1804+AJ1804+AM1804+AP1804+AS1804+AU1804+AX1804+BB1804+BE1804+BG1804+BJ1804+BL1804+BO1804+BR1804+BT1804+BV1804+BX1804+CA1804+CD1804</f>
        <v/>
      </c>
    </row>
    <row r="1805">
      <c r="A1805" s="39" t="n">
        <v>54</v>
      </c>
      <c r="B1805" s="39" t="n">
        <v>2</v>
      </c>
      <c r="C1805" s="39">
        <f>A1805+B1805-1</f>
        <v/>
      </c>
      <c r="D1805" s="39">
        <f>INT((C1805-1)/12)+1</f>
        <v/>
      </c>
      <c r="E1805" s="44">
        <f>INDEX(Monthly!$B$2:$B$61,A1805)</f>
        <v/>
      </c>
      <c r="F1805" s="44">
        <f>E1805*INDEX('Age profile'!$B$2:$B$61,B1805)</f>
        <v/>
      </c>
      <c r="G1805" s="45">
        <f>MIN(in_takeup_cap,INDEX('Age profile'!$N$2:$N$61,B1805)*(1+in_takeup_growth)^(D1805-1))</f>
        <v/>
      </c>
      <c r="H1805" s="11">
        <f>MIN(in_approval_cap,in_approved_first*INDEX('Age profile'!$O$2:$O$61,B1805)*(1+in_approval_growth)^(D1805-1))</f>
        <v/>
      </c>
      <c r="I1805" s="45">
        <f>G1805*MIN(in_takeup_cap,INDEX('Age profile'!$O$2:$O$61,B1805)*(1+in_approval_growth)^(D1805-1))</f>
        <v/>
      </c>
      <c r="J1805" s="40">
        <f>(J1804-L1804)*F1805/F1804</f>
        <v/>
      </c>
      <c r="K1805" s="40">
        <f>(K1804-M1804)*F1805/F1804+SUMIFS(O1804:O1804,B1804:B1804,B1805-1-d_T)*F1805</f>
        <v/>
      </c>
      <c r="L1805" s="40">
        <f>IF(B1805&gt;=in_marketplace_from,J1805*d_hz*G1805*in_eligible*H1805,0)</f>
        <v/>
      </c>
      <c r="M1805" s="40">
        <f>IF(B1805&gt;=in_marketplace_from,K1805*d_hz*G1805*in_eligible*in_approved_repeat,0)</f>
        <v/>
      </c>
      <c r="N1805" s="40">
        <f>L1805+M1805</f>
        <v/>
      </c>
      <c r="O1805" s="46">
        <f>N1805/F1805</f>
        <v/>
      </c>
      <c r="P1805" s="40">
        <f>F1805-J1805-K1805</f>
        <v/>
      </c>
      <c r="Q1805" s="40">
        <f>IF(B1805&gt;=in_marketplace_from,(J1805+K1805)*d_hz*G1805,0)</f>
        <v/>
      </c>
      <c r="R1805" s="40">
        <f>SUMIFS(N1804:N1810,B1804:B1810,"&gt;="&amp;(B1805-d_T),B1804:B1810,"&lt;="&amp;(B1805-1))</f>
        <v/>
      </c>
      <c r="S1805" s="46">
        <f>(1-d_u)*S1804+IF(d_T&gt;in_topup_lag,SUMIFS(O1804:O1810,B1804:B1810,B1805-in_topup_lag)-d_udrop*SUMIFS(O1804:O1810,B1804:B1810,B1805-d_T),0)</f>
        <v/>
      </c>
      <c r="T1805" s="40">
        <f>F1805*d_u*S1805</f>
        <v/>
      </c>
      <c r="U1805" s="9">
        <f>L1805*in_ticket+M1805*d_rep_ticket</f>
        <v/>
      </c>
      <c r="V1805" s="9">
        <f>U1805+T1805*d_topup_amt</f>
        <v/>
      </c>
      <c r="W1805" s="40">
        <f>N1805+T1805*d_topup_ratio</f>
        <v/>
      </c>
      <c r="X1805" s="40">
        <f>SUMIFS(W1804:W1810,B1804:B1810,B1805-in_dpd_lag)*d_cured</f>
        <v/>
      </c>
      <c r="Y1805" s="40">
        <f>SUMIFS(W1804:W1810,B1804:B1810,B1805-in_rec_lag)*d_recd</f>
        <v/>
      </c>
      <c r="Z1805" s="40">
        <f>IF(AND(B1805&gt;=in_marketplace_from,B1805&lt;in_marketplace_from+in_card_months),in_card_share/in_card_months*F1805*I1805,IF(AND(B1805&gt;=in_marketplace_from+in_card_months,B1805&lt;in_marketplace_from+2*in_card_months),in_card_share*d_card_rem/in_card_months*F1805*MIN(in_takeup_cap,(1+in_takeup_growth)^(D1805-1))*MIN(in_takeup_cap,(1+in_approval_growth)^(D1805-1)),0))</f>
        <v/>
      </c>
      <c r="AA1805" s="14">
        <f>V1805*in_fee*(1-in_taken_back)</f>
        <v/>
      </c>
      <c r="AB1805" s="14">
        <f>SUMIFS(W1804:W1810,B1804:B1810,B1805-in_dpd_lag)*d_dpd</f>
        <v/>
      </c>
      <c r="AC1805" s="14">
        <f>SUMIFS(W1804:W1810,B1804:B1810,B1805-in_rec_lag)*d_rec</f>
        <v/>
      </c>
      <c r="AD1805" s="14">
        <f>Z1805*in_card_fee</f>
        <v/>
      </c>
      <c r="AE1805" s="40">
        <f>AE1804*(1-IF(B1804&gt;=in_marketplace_from,d_hz_hlth_small*G1804,0))</f>
        <v/>
      </c>
      <c r="AF1805" s="46">
        <f>AE1805*IF(B1805&gt;=in_marketplace_from,d_hz_hlth_small*G1805,0)</f>
        <v/>
      </c>
      <c r="AG1805" s="14">
        <f>F1805*AF1805*in_hlth_small_ticket*in_hlth_small_comm*in_ins_partner_share+F1805*in_hlth_small_ticket*in_hlth_small_renew_comm*in_ins_partner_share*(in_hlth_small_renew^1*SUMIFS(AF1804:AF1810,B1804:B1810,B1805-12)+in_hlth_small_renew^2*SUMIFS(AF1804:AF1810,B1804:B1810,B1805-24)+in_hlth_small_renew^3*SUMIFS(AF1804:AF1810,B1804:B1810,B1805-36)+in_hlth_small_renew^4*SUMIFS(AF1804:AF1810,B1804:B1810,B1805-48))</f>
        <v/>
      </c>
      <c r="AH1805" s="40">
        <f>AH1804*(1-IF(B1804&gt;=in_marketplace_from,d_hz_hlth_family*G1804,0))</f>
        <v/>
      </c>
      <c r="AI1805" s="46">
        <f>AH1805*IF(B1805&gt;=in_marketplace_from,d_hz_hlth_family*G1805,0)</f>
        <v/>
      </c>
      <c r="AJ1805" s="14">
        <f>F1805*AI1805*in_hlth_family_ticket*in_hlth_family_comm*in_ins_partner_share+F1805*in_hlth_family_ticket*in_hlth_family_renew_comm*in_ins_partner_share*(in_hlth_family_renew^1*SUMIFS(AI1804:AI1810,B1804:B1810,B1805-12)+in_hlth_family_renew^2*SUMIFS(AI1804:AI1810,B1804:B1810,B1805-24)+in_hlth_family_renew^3*SUMIFS(AI1804:AI1810,B1804:B1810,B1805-36)+in_hlth_family_renew^4*SUMIFS(AI1804:AI1810,B1804:B1810,B1805-48))</f>
        <v/>
      </c>
      <c r="AK1805" s="40">
        <f>AK1804*(1-IF(B1804&gt;=in_marketplace_from,d_hz_life_term*G1804,0))</f>
        <v/>
      </c>
      <c r="AL1805" s="46">
        <f>AK1805*IF(B1805&gt;=in_marketplace_from,d_hz_life_term*G1805,0)</f>
        <v/>
      </c>
      <c r="AM1805" s="14">
        <f>F1805*AL1805*in_life_term_ticket*in_life_term_comm*in_ins_partner_share+F1805*in_life_term_ticket*in_life_term_renew_comm*in_ins_partner_share*(in_life_term_renew^1*SUMIFS(AL1804:AL1810,B1804:B1810,B1805-12)+in_life_term_renew^2*SUMIFS(AL1804:AL1810,B1804:B1810,B1805-24)+in_life_term_renew^3*SUMIFS(AL1804:AL1810,B1804:B1810,B1805-36)+in_life_term_renew^4*SUMIFS(AL1804:AL1810,B1804:B1810,B1805-48))</f>
        <v/>
      </c>
      <c r="AN1805" s="40">
        <f>AN1804*(1-IF(B1804&gt;=in_marketplace_from,d_hz_accident*G1804,0))</f>
        <v/>
      </c>
      <c r="AO1805" s="46">
        <f>AN1805*IF(B1805&gt;=in_marketplace_from,d_hz_accident*G1805,0)</f>
        <v/>
      </c>
      <c r="AP1805" s="14">
        <f>F1805*AO1805*in_accident_ticket*in_accident_comm*in_ins_partner_share+F1805*in_accident_ticket*in_accident_renew_comm*in_ins_partner_share*(in_accident_renew^1*SUMIFS(AO1804:AO1810,B1804:B1810,B1805-12)+in_accident_renew^2*SUMIFS(AO1804:AO1810,B1804:B1810,B1805-24)+in_accident_renew^3*SUMIFS(AO1804:AO1810,B1804:B1810,B1805-36)+in_accident_renew^4*SUMIFS(AO1804:AO1810,B1804:B1810,B1805-48))</f>
        <v/>
      </c>
      <c r="AQ1805" s="40">
        <f>AQ1804*(1-IF(B1804&gt;=in_marketplace_from,d_hz_two_wheeler*G1804,0))</f>
        <v/>
      </c>
      <c r="AR1805" s="46">
        <f>AQ1805*IF(B1805&gt;=in_marketplace_from,d_hz_two_wheeler*G1805,0)</f>
        <v/>
      </c>
      <c r="AS1805" s="14">
        <f>F1805*AR1805*in_two_wheeler_ticket*in_two_wheeler_comm*in_ins_partner_share+F1805*in_two_wheeler_ticket*in_two_wheeler_comm*in_ins_partner_share*(in_two_wheeler_renew^1*SUMIFS(AR1804:AR1810,B1804:B1810,B1805-12)+in_two_wheeler_renew^2*SUMIFS(AR1804:AR1810,B1804:B1810,B1805-24)+in_two_wheeler_renew^3*SUMIFS(AR1804:AR1810,B1804:B1810,B1805-36)+in_two_wheeler_renew^4*SUMIFS(AR1804:AR1810,B1804:B1810,B1805-48))</f>
        <v/>
      </c>
      <c r="AT1805" s="40">
        <f>AT1804*(1-IF(B1804&gt;=in_marketplace_from,d_hz_device*G1804,0))</f>
        <v/>
      </c>
      <c r="AU1805" s="14">
        <f>F1805*AT1805*IF(B1805&gt;=in_marketplace_from,d_hz_device*G1805,0)*in_device_ticket*in_device_comm*in_ins_partner_share</f>
        <v/>
      </c>
      <c r="AV1805" s="40">
        <f>AV1804*(1-IF(B1804&gt;=in_marketplace_from,d_hz_shop*G1804,0))</f>
        <v/>
      </c>
      <c r="AW1805" s="46">
        <f>AV1805*IF(B1805&gt;=in_marketplace_from,d_hz_shop*G1805,0)</f>
        <v/>
      </c>
      <c r="AX1805" s="14">
        <f>F1805*AW1805*in_shop_ticket*in_shop_comm*in_ins_partner_share+F1805*in_shop_ticket*in_shop_renew_comm*in_ins_partner_share*(in_shop_renew^1*SUMIFS(AW1804:AW1810,B1804:B1810,B1805-12)+in_shop_renew^2*SUMIFS(AW1804:AW1810,B1804:B1810,B1805-24)+in_shop_renew^3*SUMIFS(AW1804:AW1810,B1804:B1810,B1805-36)+in_shop_renew^4*SUMIFS(AW1804:AW1810,B1804:B1810,B1805-48))</f>
        <v/>
      </c>
      <c r="AY1805" s="40">
        <f>AY1804*(1-IF(B1804&gt;=in_marketplace_from,d_hz_sip*G1804,0))</f>
        <v/>
      </c>
      <c r="AZ1805" s="40">
        <f>AZ1804*d_rho_sip+AY1805*IF(B1805&gt;=in_marketplace_from,d_hz_sip*G1805,0)</f>
        <v/>
      </c>
      <c r="BA1805" s="40">
        <f>d_rho_sip*(BA1804+AZ1804)</f>
        <v/>
      </c>
      <c r="BB1805" s="14">
        <f>F1805*in_sip_ticket*(BA1805+0.5*AZ1805)*in_sip_comm/12</f>
        <v/>
      </c>
      <c r="BC1805" s="40">
        <f>BC1804*(1-IF(B1804&gt;=in_marketplace_from,d_hz_choti*G1804,0))</f>
        <v/>
      </c>
      <c r="BD1805" s="46">
        <f>BC1805*IF(B1805&gt;=in_marketplace_from,d_hz_choti*G1805,0)</f>
        <v/>
      </c>
      <c r="BE1805" s="14">
        <f>F1805*SUMIFS(BD1804:BD1810,B1804:B1810,B1805-in_choti_months)*in_choti_renew*in_choti_ticket</f>
        <v/>
      </c>
      <c r="BF1805" s="40">
        <f>BF1804*(1-IF(B1804&gt;=in_marketplace_from,d_hz_nps*G1804,0))</f>
        <v/>
      </c>
      <c r="BG1805" s="14">
        <f>F1805*BF1805*IF(B1805&gt;=in_marketplace_from,d_hz_nps*G1805,0)*in_nps_ticket*in_nps_comm</f>
        <v/>
      </c>
      <c r="BH1805" s="40">
        <f>BH1804*(1-IF(B1804&gt;=in_marketplace_from,d_hz_gold*G1804,0))</f>
        <v/>
      </c>
      <c r="BI1805" s="40">
        <f>BI1804*d_rho_gold+BH1805*IF(B1805&gt;=in_marketplace_from,d_hz_gold*G1805,0)</f>
        <v/>
      </c>
      <c r="BJ1805" s="14">
        <f>F1805*BI1805*in_gold_ticket*in_gold_comm</f>
        <v/>
      </c>
      <c r="BK1805" s="40">
        <f>BK1804*(1-IF(B1804&gt;=in_marketplace_from,d_hz_fd*G1804,0))</f>
        <v/>
      </c>
      <c r="BL1805" s="14">
        <f>F1805*BK1805*IF(B1805&gt;=in_marketplace_from,d_hz_fd*G1805,0)*in_fd_ticket*in_fd_comm</f>
        <v/>
      </c>
      <c r="BM1805" s="40">
        <f>BM1804*(1-IF(B1804&gt;=in_marketplace_from,d_hz_recharge*G1804,0))</f>
        <v/>
      </c>
      <c r="BN1805" s="40">
        <f>BN1804*d_rho_recharge+BM1805*IF(B1805&gt;=in_marketplace_from,d_hz_recharge*G1805,0)</f>
        <v/>
      </c>
      <c r="BO1805" s="14">
        <f>F1805*BN1805*in_recharge_ticket*in_recharge_comm/12</f>
        <v/>
      </c>
      <c r="BP1805" s="40">
        <f>BP1804*(1-IF(B1804&gt;=in_marketplace_from,d_hz_bills*G1804,0))</f>
        <v/>
      </c>
      <c r="BQ1805" s="40">
        <f>BQ1804*d_rho_bills+BP1805*IF(B1805&gt;=in_marketplace_from,d_hz_bills*G1805,0)</f>
        <v/>
      </c>
      <c r="BR1805" s="14">
        <f>F1805*BQ1805*in_bills_ticket*in_bills_comm/12</f>
        <v/>
      </c>
      <c r="BS1805" s="40">
        <f>BS1804*(1-IF(B1804&gt;=in_marketplace_from,d_hz_loan_gold*G1804,0))</f>
        <v/>
      </c>
      <c r="BT1805" s="14">
        <f>F1805*BS1805*IF(B1805&gt;=in_marketplace_from,d_hz_loan_gold*G1805,0)*in_loan_gold_ticket*in_loan_gold_comm</f>
        <v/>
      </c>
      <c r="BU1805" s="40">
        <f>BU1804*(1-IF(B1804&gt;=in_marketplace_from,d_hz_loan_cd*G1804,0))</f>
        <v/>
      </c>
      <c r="BV1805" s="14">
        <f>F1805*BU1805*IF(B1805&gt;=in_marketplace_from,d_hz_loan_cd*G1805,0)*in_loan_cd_ticket*in_loan_cd_comm</f>
        <v/>
      </c>
      <c r="BW1805" s="40">
        <f>BW1804*(1-IF(B1804&gt;=in_marketplace_from,d_hz_loan_vehicle*G1804,0))</f>
        <v/>
      </c>
      <c r="BX1805" s="14">
        <f>F1805*BW1805*IF(B1805&gt;=in_marketplace_from,d_hz_loan_vehicle*G1805,0)*in_loan_vehicle_ticket*in_loan_vehicle_comm</f>
        <v/>
      </c>
      <c r="BY1805" s="40">
        <f>BY1804*(1-IF(B1804&gt;=in_marketplace_from,d_hz_loan_home*G1804,0)*BZ1804)</f>
        <v/>
      </c>
      <c r="BZ1805" s="11">
        <f>MIN(in_approval_cap,in_loan_home_approval*INDEX('Age profile'!$O$2:$O$61,B1805)*(1+in_approval_growth)^(D1805-1))</f>
        <v/>
      </c>
      <c r="CA1805" s="14">
        <f>F1805*BY1805*IF(B1805&gt;=in_marketplace_from,d_hz_loan_home*G1805,0)*BZ1805*in_loan_home_ticket*in_loan_home_comm</f>
        <v/>
      </c>
      <c r="CB1805" s="40">
        <f>CB1804*(1-IF(B1804&gt;=in_marketplace_from,d_hz_loan_lap*G1804,0)*CC1804)</f>
        <v/>
      </c>
      <c r="CC1805" s="11">
        <f>MIN(in_approval_cap,in_loan_lap_approval*INDEX('Age profile'!$O$2:$O$61,B1805)*(1+in_approval_growth)^(D1805-1))</f>
        <v/>
      </c>
      <c r="CD1805" s="14">
        <f>F1805*CB1805*IF(B1805&gt;=in_marketplace_from,d_hz_loan_lap*G1805,0)*CC1805*in_loan_lap_ticket*in_loan_lap_comm</f>
        <v/>
      </c>
      <c r="CE1805" s="14">
        <f>AA1805+AB1805+AC1805+AD1805+AG1805+AJ1805+AM1805+AP1805+AS1805+AU1805+AX1805+BB1805+BE1805+BG1805+BJ1805+BL1805+BO1805+BR1805+BT1805+BV1805+BX1805+CA1805+CD1805</f>
        <v/>
      </c>
    </row>
    <row r="1806">
      <c r="A1806" s="39" t="n">
        <v>54</v>
      </c>
      <c r="B1806" s="39" t="n">
        <v>3</v>
      </c>
      <c r="C1806" s="39">
        <f>A1806+B1806-1</f>
        <v/>
      </c>
      <c r="D1806" s="39">
        <f>INT((C1806-1)/12)+1</f>
        <v/>
      </c>
      <c r="E1806" s="44">
        <f>INDEX(Monthly!$B$2:$B$61,A1806)</f>
        <v/>
      </c>
      <c r="F1806" s="44">
        <f>E1806*INDEX('Age profile'!$B$2:$B$61,B1806)</f>
        <v/>
      </c>
      <c r="G1806" s="45">
        <f>MIN(in_takeup_cap,INDEX('Age profile'!$N$2:$N$61,B1806)*(1+in_takeup_growth)^(D1806-1))</f>
        <v/>
      </c>
      <c r="H1806" s="11">
        <f>MIN(in_approval_cap,in_approved_first*INDEX('Age profile'!$O$2:$O$61,B1806)*(1+in_approval_growth)^(D1806-1))</f>
        <v/>
      </c>
      <c r="I1806" s="45">
        <f>G1806*MIN(in_takeup_cap,INDEX('Age profile'!$O$2:$O$61,B1806)*(1+in_approval_growth)^(D1806-1))</f>
        <v/>
      </c>
      <c r="J1806" s="40">
        <f>(J1805-L1805)*F1806/F1805</f>
        <v/>
      </c>
      <c r="K1806" s="40">
        <f>(K1805-M1805)*F1806/F1805+SUMIFS(O1804:O1805,B1804:B1805,B1806-1-d_T)*F1806</f>
        <v/>
      </c>
      <c r="L1806" s="40">
        <f>IF(B1806&gt;=in_marketplace_from,J1806*d_hz*G1806*in_eligible*H1806,0)</f>
        <v/>
      </c>
      <c r="M1806" s="40">
        <f>IF(B1806&gt;=in_marketplace_from,K1806*d_hz*G1806*in_eligible*in_approved_repeat,0)</f>
        <v/>
      </c>
      <c r="N1806" s="40">
        <f>L1806+M1806</f>
        <v/>
      </c>
      <c r="O1806" s="46">
        <f>N1806/F1806</f>
        <v/>
      </c>
      <c r="P1806" s="40">
        <f>F1806-J1806-K1806</f>
        <v/>
      </c>
      <c r="Q1806" s="40">
        <f>IF(B1806&gt;=in_marketplace_from,(J1806+K1806)*d_hz*G1806,0)</f>
        <v/>
      </c>
      <c r="R1806" s="40">
        <f>SUMIFS(N1804:N1810,B1804:B1810,"&gt;="&amp;(B1806-d_T),B1804:B1810,"&lt;="&amp;(B1806-1))</f>
        <v/>
      </c>
      <c r="S1806" s="46">
        <f>(1-d_u)*S1805+IF(d_T&gt;in_topup_lag,SUMIFS(O1804:O1810,B1804:B1810,B1806-in_topup_lag)-d_udrop*SUMIFS(O1804:O1810,B1804:B1810,B1806-d_T),0)</f>
        <v/>
      </c>
      <c r="T1806" s="40">
        <f>F1806*d_u*S1806</f>
        <v/>
      </c>
      <c r="U1806" s="9">
        <f>L1806*in_ticket+M1806*d_rep_ticket</f>
        <v/>
      </c>
      <c r="V1806" s="9">
        <f>U1806+T1806*d_topup_amt</f>
        <v/>
      </c>
      <c r="W1806" s="40">
        <f>N1806+T1806*d_topup_ratio</f>
        <v/>
      </c>
      <c r="X1806" s="40">
        <f>SUMIFS(W1804:W1810,B1804:B1810,B1806-in_dpd_lag)*d_cured</f>
        <v/>
      </c>
      <c r="Y1806" s="40">
        <f>SUMIFS(W1804:W1810,B1804:B1810,B1806-in_rec_lag)*d_recd</f>
        <v/>
      </c>
      <c r="Z1806" s="40">
        <f>IF(AND(B1806&gt;=in_marketplace_from,B1806&lt;in_marketplace_from+in_card_months),in_card_share/in_card_months*F1806*I1806,IF(AND(B1806&gt;=in_marketplace_from+in_card_months,B1806&lt;in_marketplace_from+2*in_card_months),in_card_share*d_card_rem/in_card_months*F1806*MIN(in_takeup_cap,(1+in_takeup_growth)^(D1806-1))*MIN(in_takeup_cap,(1+in_approval_growth)^(D1806-1)),0))</f>
        <v/>
      </c>
      <c r="AA1806" s="14">
        <f>V1806*in_fee*(1-in_taken_back)</f>
        <v/>
      </c>
      <c r="AB1806" s="14">
        <f>SUMIFS(W1804:W1810,B1804:B1810,B1806-in_dpd_lag)*d_dpd</f>
        <v/>
      </c>
      <c r="AC1806" s="14">
        <f>SUMIFS(W1804:W1810,B1804:B1810,B1806-in_rec_lag)*d_rec</f>
        <v/>
      </c>
      <c r="AD1806" s="14">
        <f>Z1806*in_card_fee</f>
        <v/>
      </c>
      <c r="AE1806" s="40">
        <f>AE1805*(1-IF(B1805&gt;=in_marketplace_from,d_hz_hlth_small*G1805,0))</f>
        <v/>
      </c>
      <c r="AF1806" s="46">
        <f>AE1806*IF(B1806&gt;=in_marketplace_from,d_hz_hlth_small*G1806,0)</f>
        <v/>
      </c>
      <c r="AG1806" s="14">
        <f>F1806*AF1806*in_hlth_small_ticket*in_hlth_small_comm*in_ins_partner_share+F1806*in_hlth_small_ticket*in_hlth_small_renew_comm*in_ins_partner_share*(in_hlth_small_renew^1*SUMIFS(AF1804:AF1810,B1804:B1810,B1806-12)+in_hlth_small_renew^2*SUMIFS(AF1804:AF1810,B1804:B1810,B1806-24)+in_hlth_small_renew^3*SUMIFS(AF1804:AF1810,B1804:B1810,B1806-36)+in_hlth_small_renew^4*SUMIFS(AF1804:AF1810,B1804:B1810,B1806-48))</f>
        <v/>
      </c>
      <c r="AH1806" s="40">
        <f>AH1805*(1-IF(B1805&gt;=in_marketplace_from,d_hz_hlth_family*G1805,0))</f>
        <v/>
      </c>
      <c r="AI1806" s="46">
        <f>AH1806*IF(B1806&gt;=in_marketplace_from,d_hz_hlth_family*G1806,0)</f>
        <v/>
      </c>
      <c r="AJ1806" s="14">
        <f>F1806*AI1806*in_hlth_family_ticket*in_hlth_family_comm*in_ins_partner_share+F1806*in_hlth_family_ticket*in_hlth_family_renew_comm*in_ins_partner_share*(in_hlth_family_renew^1*SUMIFS(AI1804:AI1810,B1804:B1810,B1806-12)+in_hlth_family_renew^2*SUMIFS(AI1804:AI1810,B1804:B1810,B1806-24)+in_hlth_family_renew^3*SUMIFS(AI1804:AI1810,B1804:B1810,B1806-36)+in_hlth_family_renew^4*SUMIFS(AI1804:AI1810,B1804:B1810,B1806-48))</f>
        <v/>
      </c>
      <c r="AK1806" s="40">
        <f>AK1805*(1-IF(B1805&gt;=in_marketplace_from,d_hz_life_term*G1805,0))</f>
        <v/>
      </c>
      <c r="AL1806" s="46">
        <f>AK1806*IF(B1806&gt;=in_marketplace_from,d_hz_life_term*G1806,0)</f>
        <v/>
      </c>
      <c r="AM1806" s="14">
        <f>F1806*AL1806*in_life_term_ticket*in_life_term_comm*in_ins_partner_share+F1806*in_life_term_ticket*in_life_term_renew_comm*in_ins_partner_share*(in_life_term_renew^1*SUMIFS(AL1804:AL1810,B1804:B1810,B1806-12)+in_life_term_renew^2*SUMIFS(AL1804:AL1810,B1804:B1810,B1806-24)+in_life_term_renew^3*SUMIFS(AL1804:AL1810,B1804:B1810,B1806-36)+in_life_term_renew^4*SUMIFS(AL1804:AL1810,B1804:B1810,B1806-48))</f>
        <v/>
      </c>
      <c r="AN1806" s="40">
        <f>AN1805*(1-IF(B1805&gt;=in_marketplace_from,d_hz_accident*G1805,0))</f>
        <v/>
      </c>
      <c r="AO1806" s="46">
        <f>AN1806*IF(B1806&gt;=in_marketplace_from,d_hz_accident*G1806,0)</f>
        <v/>
      </c>
      <c r="AP1806" s="14">
        <f>F1806*AO1806*in_accident_ticket*in_accident_comm*in_ins_partner_share+F1806*in_accident_ticket*in_accident_renew_comm*in_ins_partner_share*(in_accident_renew^1*SUMIFS(AO1804:AO1810,B1804:B1810,B1806-12)+in_accident_renew^2*SUMIFS(AO1804:AO1810,B1804:B1810,B1806-24)+in_accident_renew^3*SUMIFS(AO1804:AO1810,B1804:B1810,B1806-36)+in_accident_renew^4*SUMIFS(AO1804:AO1810,B1804:B1810,B1806-48))</f>
        <v/>
      </c>
      <c r="AQ1806" s="40">
        <f>AQ1805*(1-IF(B1805&gt;=in_marketplace_from,d_hz_two_wheeler*G1805,0))</f>
        <v/>
      </c>
      <c r="AR1806" s="46">
        <f>AQ1806*IF(B1806&gt;=in_marketplace_from,d_hz_two_wheeler*G1806,0)</f>
        <v/>
      </c>
      <c r="AS1806" s="14">
        <f>F1806*AR1806*in_two_wheeler_ticket*in_two_wheeler_comm*in_ins_partner_share+F1806*in_two_wheeler_ticket*in_two_wheeler_comm*in_ins_partner_share*(in_two_wheeler_renew^1*SUMIFS(AR1804:AR1810,B1804:B1810,B1806-12)+in_two_wheeler_renew^2*SUMIFS(AR1804:AR1810,B1804:B1810,B1806-24)+in_two_wheeler_renew^3*SUMIFS(AR1804:AR1810,B1804:B1810,B1806-36)+in_two_wheeler_renew^4*SUMIFS(AR1804:AR1810,B1804:B1810,B1806-48))</f>
        <v/>
      </c>
      <c r="AT1806" s="40">
        <f>AT1805*(1-IF(B1805&gt;=in_marketplace_from,d_hz_device*G1805,0))</f>
        <v/>
      </c>
      <c r="AU1806" s="14">
        <f>F1806*AT1806*IF(B1806&gt;=in_marketplace_from,d_hz_device*G1806,0)*in_device_ticket*in_device_comm*in_ins_partner_share</f>
        <v/>
      </c>
      <c r="AV1806" s="40">
        <f>AV1805*(1-IF(B1805&gt;=in_marketplace_from,d_hz_shop*G1805,0))</f>
        <v/>
      </c>
      <c r="AW1806" s="46">
        <f>AV1806*IF(B1806&gt;=in_marketplace_from,d_hz_shop*G1806,0)</f>
        <v/>
      </c>
      <c r="AX1806" s="14">
        <f>F1806*AW1806*in_shop_ticket*in_shop_comm*in_ins_partner_share+F1806*in_shop_ticket*in_shop_renew_comm*in_ins_partner_share*(in_shop_renew^1*SUMIFS(AW1804:AW1810,B1804:B1810,B1806-12)+in_shop_renew^2*SUMIFS(AW1804:AW1810,B1804:B1810,B1806-24)+in_shop_renew^3*SUMIFS(AW1804:AW1810,B1804:B1810,B1806-36)+in_shop_renew^4*SUMIFS(AW1804:AW1810,B1804:B1810,B1806-48))</f>
        <v/>
      </c>
      <c r="AY1806" s="40">
        <f>AY1805*(1-IF(B1805&gt;=in_marketplace_from,d_hz_sip*G1805,0))</f>
        <v/>
      </c>
      <c r="AZ1806" s="40">
        <f>AZ1805*d_rho_sip+AY1806*IF(B1806&gt;=in_marketplace_from,d_hz_sip*G1806,0)</f>
        <v/>
      </c>
      <c r="BA1806" s="40">
        <f>d_rho_sip*(BA1805+AZ1805)</f>
        <v/>
      </c>
      <c r="BB1806" s="14">
        <f>F1806*in_sip_ticket*(BA1806+0.5*AZ1806)*in_sip_comm/12</f>
        <v/>
      </c>
      <c r="BC1806" s="40">
        <f>BC1805*(1-IF(B1805&gt;=in_marketplace_from,d_hz_choti*G1805,0))</f>
        <v/>
      </c>
      <c r="BD1806" s="46">
        <f>BC1806*IF(B1806&gt;=in_marketplace_from,d_hz_choti*G1806,0)</f>
        <v/>
      </c>
      <c r="BE1806" s="14">
        <f>F1806*SUMIFS(BD1804:BD1810,B1804:B1810,B1806-in_choti_months)*in_choti_renew*in_choti_ticket</f>
        <v/>
      </c>
      <c r="BF1806" s="40">
        <f>BF1805*(1-IF(B1805&gt;=in_marketplace_from,d_hz_nps*G1805,0))</f>
        <v/>
      </c>
      <c r="BG1806" s="14">
        <f>F1806*BF1806*IF(B1806&gt;=in_marketplace_from,d_hz_nps*G1806,0)*in_nps_ticket*in_nps_comm</f>
        <v/>
      </c>
      <c r="BH1806" s="40">
        <f>BH1805*(1-IF(B1805&gt;=in_marketplace_from,d_hz_gold*G1805,0))</f>
        <v/>
      </c>
      <c r="BI1806" s="40">
        <f>BI1805*d_rho_gold+BH1806*IF(B1806&gt;=in_marketplace_from,d_hz_gold*G1806,0)</f>
        <v/>
      </c>
      <c r="BJ1806" s="14">
        <f>F1806*BI1806*in_gold_ticket*in_gold_comm</f>
        <v/>
      </c>
      <c r="BK1806" s="40">
        <f>BK1805*(1-IF(B1805&gt;=in_marketplace_from,d_hz_fd*G1805,0))</f>
        <v/>
      </c>
      <c r="BL1806" s="14">
        <f>F1806*BK1806*IF(B1806&gt;=in_marketplace_from,d_hz_fd*G1806,0)*in_fd_ticket*in_fd_comm</f>
        <v/>
      </c>
      <c r="BM1806" s="40">
        <f>BM1805*(1-IF(B1805&gt;=in_marketplace_from,d_hz_recharge*G1805,0))</f>
        <v/>
      </c>
      <c r="BN1806" s="40">
        <f>BN1805*d_rho_recharge+BM1806*IF(B1806&gt;=in_marketplace_from,d_hz_recharge*G1806,0)</f>
        <v/>
      </c>
      <c r="BO1806" s="14">
        <f>F1806*BN1806*in_recharge_ticket*in_recharge_comm/12</f>
        <v/>
      </c>
      <c r="BP1806" s="40">
        <f>BP1805*(1-IF(B1805&gt;=in_marketplace_from,d_hz_bills*G1805,0))</f>
        <v/>
      </c>
      <c r="BQ1806" s="40">
        <f>BQ1805*d_rho_bills+BP1806*IF(B1806&gt;=in_marketplace_from,d_hz_bills*G1806,0)</f>
        <v/>
      </c>
      <c r="BR1806" s="14">
        <f>F1806*BQ1806*in_bills_ticket*in_bills_comm/12</f>
        <v/>
      </c>
      <c r="BS1806" s="40">
        <f>BS1805*(1-IF(B1805&gt;=in_marketplace_from,d_hz_loan_gold*G1805,0))</f>
        <v/>
      </c>
      <c r="BT1806" s="14">
        <f>F1806*BS1806*IF(B1806&gt;=in_marketplace_from,d_hz_loan_gold*G1806,0)*in_loan_gold_ticket*in_loan_gold_comm</f>
        <v/>
      </c>
      <c r="BU1806" s="40">
        <f>BU1805*(1-IF(B1805&gt;=in_marketplace_from,d_hz_loan_cd*G1805,0))</f>
        <v/>
      </c>
      <c r="BV1806" s="14">
        <f>F1806*BU1806*IF(B1806&gt;=in_marketplace_from,d_hz_loan_cd*G1806,0)*in_loan_cd_ticket*in_loan_cd_comm</f>
        <v/>
      </c>
      <c r="BW1806" s="40">
        <f>BW1805*(1-IF(B1805&gt;=in_marketplace_from,d_hz_loan_vehicle*G1805,0))</f>
        <v/>
      </c>
      <c r="BX1806" s="14">
        <f>F1806*BW1806*IF(B1806&gt;=in_marketplace_from,d_hz_loan_vehicle*G1806,0)*in_loan_vehicle_ticket*in_loan_vehicle_comm</f>
        <v/>
      </c>
      <c r="BY1806" s="40">
        <f>BY1805*(1-IF(B1805&gt;=in_marketplace_from,d_hz_loan_home*G1805,0)*BZ1805)</f>
        <v/>
      </c>
      <c r="BZ1806" s="11">
        <f>MIN(in_approval_cap,in_loan_home_approval*INDEX('Age profile'!$O$2:$O$61,B1806)*(1+in_approval_growth)^(D1806-1))</f>
        <v/>
      </c>
      <c r="CA1806" s="14">
        <f>F1806*BY1806*IF(B1806&gt;=in_marketplace_from,d_hz_loan_home*G1806,0)*BZ1806*in_loan_home_ticket*in_loan_home_comm</f>
        <v/>
      </c>
      <c r="CB1806" s="40">
        <f>CB1805*(1-IF(B1805&gt;=in_marketplace_from,d_hz_loan_lap*G1805,0)*CC1805)</f>
        <v/>
      </c>
      <c r="CC1806" s="11">
        <f>MIN(in_approval_cap,in_loan_lap_approval*INDEX('Age profile'!$O$2:$O$61,B1806)*(1+in_approval_growth)^(D1806-1))</f>
        <v/>
      </c>
      <c r="CD1806" s="14">
        <f>F1806*CB1806*IF(B1806&gt;=in_marketplace_from,d_hz_loan_lap*G1806,0)*CC1806*in_loan_lap_ticket*in_loan_lap_comm</f>
        <v/>
      </c>
      <c r="CE1806" s="14">
        <f>AA1806+AB1806+AC1806+AD1806+AG1806+AJ1806+AM1806+AP1806+AS1806+AU1806+AX1806+BB1806+BE1806+BG1806+BJ1806+BL1806+BO1806+BR1806+BT1806+BV1806+BX1806+CA1806+CD1806</f>
        <v/>
      </c>
    </row>
    <row r="1807">
      <c r="A1807" s="39" t="n">
        <v>54</v>
      </c>
      <c r="B1807" s="39" t="n">
        <v>4</v>
      </c>
      <c r="C1807" s="39">
        <f>A1807+B1807-1</f>
        <v/>
      </c>
      <c r="D1807" s="39">
        <f>INT((C1807-1)/12)+1</f>
        <v/>
      </c>
      <c r="E1807" s="44">
        <f>INDEX(Monthly!$B$2:$B$61,A1807)</f>
        <v/>
      </c>
      <c r="F1807" s="44">
        <f>E1807*INDEX('Age profile'!$B$2:$B$61,B1807)</f>
        <v/>
      </c>
      <c r="G1807" s="45">
        <f>MIN(in_takeup_cap,INDEX('Age profile'!$N$2:$N$61,B1807)*(1+in_takeup_growth)^(D1807-1))</f>
        <v/>
      </c>
      <c r="H1807" s="11">
        <f>MIN(in_approval_cap,in_approved_first*INDEX('Age profile'!$O$2:$O$61,B1807)*(1+in_approval_growth)^(D1807-1))</f>
        <v/>
      </c>
      <c r="I1807" s="45">
        <f>G1807*MIN(in_takeup_cap,INDEX('Age profile'!$O$2:$O$61,B1807)*(1+in_approval_growth)^(D1807-1))</f>
        <v/>
      </c>
      <c r="J1807" s="40">
        <f>(J1806-L1806)*F1807/F1806</f>
        <v/>
      </c>
      <c r="K1807" s="40">
        <f>(K1806-M1806)*F1807/F1806+SUMIFS(O1804:O1806,B1804:B1806,B1807-1-d_T)*F1807</f>
        <v/>
      </c>
      <c r="L1807" s="40">
        <f>IF(B1807&gt;=in_marketplace_from,J1807*d_hz*G1807*in_eligible*H1807,0)</f>
        <v/>
      </c>
      <c r="M1807" s="40">
        <f>IF(B1807&gt;=in_marketplace_from,K1807*d_hz*G1807*in_eligible*in_approved_repeat,0)</f>
        <v/>
      </c>
      <c r="N1807" s="40">
        <f>L1807+M1807</f>
        <v/>
      </c>
      <c r="O1807" s="46">
        <f>N1807/F1807</f>
        <v/>
      </c>
      <c r="P1807" s="40">
        <f>F1807-J1807-K1807</f>
        <v/>
      </c>
      <c r="Q1807" s="40">
        <f>IF(B1807&gt;=in_marketplace_from,(J1807+K1807)*d_hz*G1807,0)</f>
        <v/>
      </c>
      <c r="R1807" s="40">
        <f>SUMIFS(N1804:N1810,B1804:B1810,"&gt;="&amp;(B1807-d_T),B1804:B1810,"&lt;="&amp;(B1807-1))</f>
        <v/>
      </c>
      <c r="S1807" s="46">
        <f>(1-d_u)*S1806+IF(d_T&gt;in_topup_lag,SUMIFS(O1804:O1810,B1804:B1810,B1807-in_topup_lag)-d_udrop*SUMIFS(O1804:O1810,B1804:B1810,B1807-d_T),0)</f>
        <v/>
      </c>
      <c r="T1807" s="40">
        <f>F1807*d_u*S1807</f>
        <v/>
      </c>
      <c r="U1807" s="9">
        <f>L1807*in_ticket+M1807*d_rep_ticket</f>
        <v/>
      </c>
      <c r="V1807" s="9">
        <f>U1807+T1807*d_topup_amt</f>
        <v/>
      </c>
      <c r="W1807" s="40">
        <f>N1807+T1807*d_topup_ratio</f>
        <v/>
      </c>
      <c r="X1807" s="40">
        <f>SUMIFS(W1804:W1810,B1804:B1810,B1807-in_dpd_lag)*d_cured</f>
        <v/>
      </c>
      <c r="Y1807" s="40">
        <f>SUMIFS(W1804:W1810,B1804:B1810,B1807-in_rec_lag)*d_recd</f>
        <v/>
      </c>
      <c r="Z1807" s="40">
        <f>IF(AND(B1807&gt;=in_marketplace_from,B1807&lt;in_marketplace_from+in_card_months),in_card_share/in_card_months*F1807*I1807,IF(AND(B1807&gt;=in_marketplace_from+in_card_months,B1807&lt;in_marketplace_from+2*in_card_months),in_card_share*d_card_rem/in_card_months*F1807*MIN(in_takeup_cap,(1+in_takeup_growth)^(D1807-1))*MIN(in_takeup_cap,(1+in_approval_growth)^(D1807-1)),0))</f>
        <v/>
      </c>
      <c r="AA1807" s="14">
        <f>V1807*in_fee*(1-in_taken_back)</f>
        <v/>
      </c>
      <c r="AB1807" s="14">
        <f>SUMIFS(W1804:W1810,B1804:B1810,B1807-in_dpd_lag)*d_dpd</f>
        <v/>
      </c>
      <c r="AC1807" s="14">
        <f>SUMIFS(W1804:W1810,B1804:B1810,B1807-in_rec_lag)*d_rec</f>
        <v/>
      </c>
      <c r="AD1807" s="14">
        <f>Z1807*in_card_fee</f>
        <v/>
      </c>
      <c r="AE1807" s="40">
        <f>AE1806*(1-IF(B1806&gt;=in_marketplace_from,d_hz_hlth_small*G1806,0))</f>
        <v/>
      </c>
      <c r="AF1807" s="46">
        <f>AE1807*IF(B1807&gt;=in_marketplace_from,d_hz_hlth_small*G1807,0)</f>
        <v/>
      </c>
      <c r="AG1807" s="14">
        <f>F1807*AF1807*in_hlth_small_ticket*in_hlth_small_comm*in_ins_partner_share+F1807*in_hlth_small_ticket*in_hlth_small_renew_comm*in_ins_partner_share*(in_hlth_small_renew^1*SUMIFS(AF1804:AF1810,B1804:B1810,B1807-12)+in_hlth_small_renew^2*SUMIFS(AF1804:AF1810,B1804:B1810,B1807-24)+in_hlth_small_renew^3*SUMIFS(AF1804:AF1810,B1804:B1810,B1807-36)+in_hlth_small_renew^4*SUMIFS(AF1804:AF1810,B1804:B1810,B1807-48))</f>
        <v/>
      </c>
      <c r="AH1807" s="40">
        <f>AH1806*(1-IF(B1806&gt;=in_marketplace_from,d_hz_hlth_family*G1806,0))</f>
        <v/>
      </c>
      <c r="AI1807" s="46">
        <f>AH1807*IF(B1807&gt;=in_marketplace_from,d_hz_hlth_family*G1807,0)</f>
        <v/>
      </c>
      <c r="AJ1807" s="14">
        <f>F1807*AI1807*in_hlth_family_ticket*in_hlth_family_comm*in_ins_partner_share+F1807*in_hlth_family_ticket*in_hlth_family_renew_comm*in_ins_partner_share*(in_hlth_family_renew^1*SUMIFS(AI1804:AI1810,B1804:B1810,B1807-12)+in_hlth_family_renew^2*SUMIFS(AI1804:AI1810,B1804:B1810,B1807-24)+in_hlth_family_renew^3*SUMIFS(AI1804:AI1810,B1804:B1810,B1807-36)+in_hlth_family_renew^4*SUMIFS(AI1804:AI1810,B1804:B1810,B1807-48))</f>
        <v/>
      </c>
      <c r="AK1807" s="40">
        <f>AK1806*(1-IF(B1806&gt;=in_marketplace_from,d_hz_life_term*G1806,0))</f>
        <v/>
      </c>
      <c r="AL1807" s="46">
        <f>AK1807*IF(B1807&gt;=in_marketplace_from,d_hz_life_term*G1807,0)</f>
        <v/>
      </c>
      <c r="AM1807" s="14">
        <f>F1807*AL1807*in_life_term_ticket*in_life_term_comm*in_ins_partner_share+F1807*in_life_term_ticket*in_life_term_renew_comm*in_ins_partner_share*(in_life_term_renew^1*SUMIFS(AL1804:AL1810,B1804:B1810,B1807-12)+in_life_term_renew^2*SUMIFS(AL1804:AL1810,B1804:B1810,B1807-24)+in_life_term_renew^3*SUMIFS(AL1804:AL1810,B1804:B1810,B1807-36)+in_life_term_renew^4*SUMIFS(AL1804:AL1810,B1804:B1810,B1807-48))</f>
        <v/>
      </c>
      <c r="AN1807" s="40">
        <f>AN1806*(1-IF(B1806&gt;=in_marketplace_from,d_hz_accident*G1806,0))</f>
        <v/>
      </c>
      <c r="AO1807" s="46">
        <f>AN1807*IF(B1807&gt;=in_marketplace_from,d_hz_accident*G1807,0)</f>
        <v/>
      </c>
      <c r="AP1807" s="14">
        <f>F1807*AO1807*in_accident_ticket*in_accident_comm*in_ins_partner_share+F1807*in_accident_ticket*in_accident_renew_comm*in_ins_partner_share*(in_accident_renew^1*SUMIFS(AO1804:AO1810,B1804:B1810,B1807-12)+in_accident_renew^2*SUMIFS(AO1804:AO1810,B1804:B1810,B1807-24)+in_accident_renew^3*SUMIFS(AO1804:AO1810,B1804:B1810,B1807-36)+in_accident_renew^4*SUMIFS(AO1804:AO1810,B1804:B1810,B1807-48))</f>
        <v/>
      </c>
      <c r="AQ1807" s="40">
        <f>AQ1806*(1-IF(B1806&gt;=in_marketplace_from,d_hz_two_wheeler*G1806,0))</f>
        <v/>
      </c>
      <c r="AR1807" s="46">
        <f>AQ1807*IF(B1807&gt;=in_marketplace_from,d_hz_two_wheeler*G1807,0)</f>
        <v/>
      </c>
      <c r="AS1807" s="14">
        <f>F1807*AR1807*in_two_wheeler_ticket*in_two_wheeler_comm*in_ins_partner_share+F1807*in_two_wheeler_ticket*in_two_wheeler_comm*in_ins_partner_share*(in_two_wheeler_renew^1*SUMIFS(AR1804:AR1810,B1804:B1810,B1807-12)+in_two_wheeler_renew^2*SUMIFS(AR1804:AR1810,B1804:B1810,B1807-24)+in_two_wheeler_renew^3*SUMIFS(AR1804:AR1810,B1804:B1810,B1807-36)+in_two_wheeler_renew^4*SUMIFS(AR1804:AR1810,B1804:B1810,B1807-48))</f>
        <v/>
      </c>
      <c r="AT1807" s="40">
        <f>AT1806*(1-IF(B1806&gt;=in_marketplace_from,d_hz_device*G1806,0))</f>
        <v/>
      </c>
      <c r="AU1807" s="14">
        <f>F1807*AT1807*IF(B1807&gt;=in_marketplace_from,d_hz_device*G1807,0)*in_device_ticket*in_device_comm*in_ins_partner_share</f>
        <v/>
      </c>
      <c r="AV1807" s="40">
        <f>AV1806*(1-IF(B1806&gt;=in_marketplace_from,d_hz_shop*G1806,0))</f>
        <v/>
      </c>
      <c r="AW1807" s="46">
        <f>AV1807*IF(B1807&gt;=in_marketplace_from,d_hz_shop*G1807,0)</f>
        <v/>
      </c>
      <c r="AX1807" s="14">
        <f>F1807*AW1807*in_shop_ticket*in_shop_comm*in_ins_partner_share+F1807*in_shop_ticket*in_shop_renew_comm*in_ins_partner_share*(in_shop_renew^1*SUMIFS(AW1804:AW1810,B1804:B1810,B1807-12)+in_shop_renew^2*SUMIFS(AW1804:AW1810,B1804:B1810,B1807-24)+in_shop_renew^3*SUMIFS(AW1804:AW1810,B1804:B1810,B1807-36)+in_shop_renew^4*SUMIFS(AW1804:AW1810,B1804:B1810,B1807-48))</f>
        <v/>
      </c>
      <c r="AY1807" s="40">
        <f>AY1806*(1-IF(B1806&gt;=in_marketplace_from,d_hz_sip*G1806,0))</f>
        <v/>
      </c>
      <c r="AZ1807" s="40">
        <f>AZ1806*d_rho_sip+AY1807*IF(B1807&gt;=in_marketplace_from,d_hz_sip*G1807,0)</f>
        <v/>
      </c>
      <c r="BA1807" s="40">
        <f>d_rho_sip*(BA1806+AZ1806)</f>
        <v/>
      </c>
      <c r="BB1807" s="14">
        <f>F1807*in_sip_ticket*(BA1807+0.5*AZ1807)*in_sip_comm/12</f>
        <v/>
      </c>
      <c r="BC1807" s="40">
        <f>BC1806*(1-IF(B1806&gt;=in_marketplace_from,d_hz_choti*G1806,0))</f>
        <v/>
      </c>
      <c r="BD1807" s="46">
        <f>BC1807*IF(B1807&gt;=in_marketplace_from,d_hz_choti*G1807,0)</f>
        <v/>
      </c>
      <c r="BE1807" s="14">
        <f>F1807*SUMIFS(BD1804:BD1810,B1804:B1810,B1807-in_choti_months)*in_choti_renew*in_choti_ticket</f>
        <v/>
      </c>
      <c r="BF1807" s="40">
        <f>BF1806*(1-IF(B1806&gt;=in_marketplace_from,d_hz_nps*G1806,0))</f>
        <v/>
      </c>
      <c r="BG1807" s="14">
        <f>F1807*BF1807*IF(B1807&gt;=in_marketplace_from,d_hz_nps*G1807,0)*in_nps_ticket*in_nps_comm</f>
        <v/>
      </c>
      <c r="BH1807" s="40">
        <f>BH1806*(1-IF(B1806&gt;=in_marketplace_from,d_hz_gold*G1806,0))</f>
        <v/>
      </c>
      <c r="BI1807" s="40">
        <f>BI1806*d_rho_gold+BH1807*IF(B1807&gt;=in_marketplace_from,d_hz_gold*G1807,0)</f>
        <v/>
      </c>
      <c r="BJ1807" s="14">
        <f>F1807*BI1807*in_gold_ticket*in_gold_comm</f>
        <v/>
      </c>
      <c r="BK1807" s="40">
        <f>BK1806*(1-IF(B1806&gt;=in_marketplace_from,d_hz_fd*G1806,0))</f>
        <v/>
      </c>
      <c r="BL1807" s="14">
        <f>F1807*BK1807*IF(B1807&gt;=in_marketplace_from,d_hz_fd*G1807,0)*in_fd_ticket*in_fd_comm</f>
        <v/>
      </c>
      <c r="BM1807" s="40">
        <f>BM1806*(1-IF(B1806&gt;=in_marketplace_from,d_hz_recharge*G1806,0))</f>
        <v/>
      </c>
      <c r="BN1807" s="40">
        <f>BN1806*d_rho_recharge+BM1807*IF(B1807&gt;=in_marketplace_from,d_hz_recharge*G1807,0)</f>
        <v/>
      </c>
      <c r="BO1807" s="14">
        <f>F1807*BN1807*in_recharge_ticket*in_recharge_comm/12</f>
        <v/>
      </c>
      <c r="BP1807" s="40">
        <f>BP1806*(1-IF(B1806&gt;=in_marketplace_from,d_hz_bills*G1806,0))</f>
        <v/>
      </c>
      <c r="BQ1807" s="40">
        <f>BQ1806*d_rho_bills+BP1807*IF(B1807&gt;=in_marketplace_from,d_hz_bills*G1807,0)</f>
        <v/>
      </c>
      <c r="BR1807" s="14">
        <f>F1807*BQ1807*in_bills_ticket*in_bills_comm/12</f>
        <v/>
      </c>
      <c r="BS1807" s="40">
        <f>BS1806*(1-IF(B1806&gt;=in_marketplace_from,d_hz_loan_gold*G1806,0))</f>
        <v/>
      </c>
      <c r="BT1807" s="14">
        <f>F1807*BS1807*IF(B1807&gt;=in_marketplace_from,d_hz_loan_gold*G1807,0)*in_loan_gold_ticket*in_loan_gold_comm</f>
        <v/>
      </c>
      <c r="BU1807" s="40">
        <f>BU1806*(1-IF(B1806&gt;=in_marketplace_from,d_hz_loan_cd*G1806,0))</f>
        <v/>
      </c>
      <c r="BV1807" s="14">
        <f>F1807*BU1807*IF(B1807&gt;=in_marketplace_from,d_hz_loan_cd*G1807,0)*in_loan_cd_ticket*in_loan_cd_comm</f>
        <v/>
      </c>
      <c r="BW1807" s="40">
        <f>BW1806*(1-IF(B1806&gt;=in_marketplace_from,d_hz_loan_vehicle*G1806,0))</f>
        <v/>
      </c>
      <c r="BX1807" s="14">
        <f>F1807*BW1807*IF(B1807&gt;=in_marketplace_from,d_hz_loan_vehicle*G1807,0)*in_loan_vehicle_ticket*in_loan_vehicle_comm</f>
        <v/>
      </c>
      <c r="BY1807" s="40">
        <f>BY1806*(1-IF(B1806&gt;=in_marketplace_from,d_hz_loan_home*G1806,0)*BZ1806)</f>
        <v/>
      </c>
      <c r="BZ1807" s="11">
        <f>MIN(in_approval_cap,in_loan_home_approval*INDEX('Age profile'!$O$2:$O$61,B1807)*(1+in_approval_growth)^(D1807-1))</f>
        <v/>
      </c>
      <c r="CA1807" s="14">
        <f>F1807*BY1807*IF(B1807&gt;=in_marketplace_from,d_hz_loan_home*G1807,0)*BZ1807*in_loan_home_ticket*in_loan_home_comm</f>
        <v/>
      </c>
      <c r="CB1807" s="40">
        <f>CB1806*(1-IF(B1806&gt;=in_marketplace_from,d_hz_loan_lap*G1806,0)*CC1806)</f>
        <v/>
      </c>
      <c r="CC1807" s="11">
        <f>MIN(in_approval_cap,in_loan_lap_approval*INDEX('Age profile'!$O$2:$O$61,B1807)*(1+in_approval_growth)^(D1807-1))</f>
        <v/>
      </c>
      <c r="CD1807" s="14">
        <f>F1807*CB1807*IF(B1807&gt;=in_marketplace_from,d_hz_loan_lap*G1807,0)*CC1807*in_loan_lap_ticket*in_loan_lap_comm</f>
        <v/>
      </c>
      <c r="CE1807" s="14">
        <f>AA1807+AB1807+AC1807+AD1807+AG1807+AJ1807+AM1807+AP1807+AS1807+AU1807+AX1807+BB1807+BE1807+BG1807+BJ1807+BL1807+BO1807+BR1807+BT1807+BV1807+BX1807+CA1807+CD1807</f>
        <v/>
      </c>
    </row>
    <row r="1808">
      <c r="A1808" s="39" t="n">
        <v>54</v>
      </c>
      <c r="B1808" s="39" t="n">
        <v>5</v>
      </c>
      <c r="C1808" s="39">
        <f>A1808+B1808-1</f>
        <v/>
      </c>
      <c r="D1808" s="39">
        <f>INT((C1808-1)/12)+1</f>
        <v/>
      </c>
      <c r="E1808" s="44">
        <f>INDEX(Monthly!$B$2:$B$61,A1808)</f>
        <v/>
      </c>
      <c r="F1808" s="44">
        <f>E1808*INDEX('Age profile'!$B$2:$B$61,B1808)</f>
        <v/>
      </c>
      <c r="G1808" s="45">
        <f>MIN(in_takeup_cap,INDEX('Age profile'!$N$2:$N$61,B1808)*(1+in_takeup_growth)^(D1808-1))</f>
        <v/>
      </c>
      <c r="H1808" s="11">
        <f>MIN(in_approval_cap,in_approved_first*INDEX('Age profile'!$O$2:$O$61,B1808)*(1+in_approval_growth)^(D1808-1))</f>
        <v/>
      </c>
      <c r="I1808" s="45">
        <f>G1808*MIN(in_takeup_cap,INDEX('Age profile'!$O$2:$O$61,B1808)*(1+in_approval_growth)^(D1808-1))</f>
        <v/>
      </c>
      <c r="J1808" s="40">
        <f>(J1807-L1807)*F1808/F1807</f>
        <v/>
      </c>
      <c r="K1808" s="40">
        <f>(K1807-M1807)*F1808/F1807+SUMIFS(O1804:O1807,B1804:B1807,B1808-1-d_T)*F1808</f>
        <v/>
      </c>
      <c r="L1808" s="40">
        <f>IF(B1808&gt;=in_marketplace_from,J1808*d_hz*G1808*in_eligible*H1808,0)</f>
        <v/>
      </c>
      <c r="M1808" s="40">
        <f>IF(B1808&gt;=in_marketplace_from,K1808*d_hz*G1808*in_eligible*in_approved_repeat,0)</f>
        <v/>
      </c>
      <c r="N1808" s="40">
        <f>L1808+M1808</f>
        <v/>
      </c>
      <c r="O1808" s="46">
        <f>N1808/F1808</f>
        <v/>
      </c>
      <c r="P1808" s="40">
        <f>F1808-J1808-K1808</f>
        <v/>
      </c>
      <c r="Q1808" s="40">
        <f>IF(B1808&gt;=in_marketplace_from,(J1808+K1808)*d_hz*G1808,0)</f>
        <v/>
      </c>
      <c r="R1808" s="40">
        <f>SUMIFS(N1804:N1810,B1804:B1810,"&gt;="&amp;(B1808-d_T),B1804:B1810,"&lt;="&amp;(B1808-1))</f>
        <v/>
      </c>
      <c r="S1808" s="46">
        <f>(1-d_u)*S1807+IF(d_T&gt;in_topup_lag,SUMIFS(O1804:O1810,B1804:B1810,B1808-in_topup_lag)-d_udrop*SUMIFS(O1804:O1810,B1804:B1810,B1808-d_T),0)</f>
        <v/>
      </c>
      <c r="T1808" s="40">
        <f>F1808*d_u*S1808</f>
        <v/>
      </c>
      <c r="U1808" s="9">
        <f>L1808*in_ticket+M1808*d_rep_ticket</f>
        <v/>
      </c>
      <c r="V1808" s="9">
        <f>U1808+T1808*d_topup_amt</f>
        <v/>
      </c>
      <c r="W1808" s="40">
        <f>N1808+T1808*d_topup_ratio</f>
        <v/>
      </c>
      <c r="X1808" s="40">
        <f>SUMIFS(W1804:W1810,B1804:B1810,B1808-in_dpd_lag)*d_cured</f>
        <v/>
      </c>
      <c r="Y1808" s="40">
        <f>SUMIFS(W1804:W1810,B1804:B1810,B1808-in_rec_lag)*d_recd</f>
        <v/>
      </c>
      <c r="Z1808" s="40">
        <f>IF(AND(B1808&gt;=in_marketplace_from,B1808&lt;in_marketplace_from+in_card_months),in_card_share/in_card_months*F1808*I1808,IF(AND(B1808&gt;=in_marketplace_from+in_card_months,B1808&lt;in_marketplace_from+2*in_card_months),in_card_share*d_card_rem/in_card_months*F1808*MIN(in_takeup_cap,(1+in_takeup_growth)^(D1808-1))*MIN(in_takeup_cap,(1+in_approval_growth)^(D1808-1)),0))</f>
        <v/>
      </c>
      <c r="AA1808" s="14">
        <f>V1808*in_fee*(1-in_taken_back)</f>
        <v/>
      </c>
      <c r="AB1808" s="14">
        <f>SUMIFS(W1804:W1810,B1804:B1810,B1808-in_dpd_lag)*d_dpd</f>
        <v/>
      </c>
      <c r="AC1808" s="14">
        <f>SUMIFS(W1804:W1810,B1804:B1810,B1808-in_rec_lag)*d_rec</f>
        <v/>
      </c>
      <c r="AD1808" s="14">
        <f>Z1808*in_card_fee</f>
        <v/>
      </c>
      <c r="AE1808" s="40">
        <f>AE1807*(1-IF(B1807&gt;=in_marketplace_from,d_hz_hlth_small*G1807,0))</f>
        <v/>
      </c>
      <c r="AF1808" s="46">
        <f>AE1808*IF(B1808&gt;=in_marketplace_from,d_hz_hlth_small*G1808,0)</f>
        <v/>
      </c>
      <c r="AG1808" s="14">
        <f>F1808*AF1808*in_hlth_small_ticket*in_hlth_small_comm*in_ins_partner_share+F1808*in_hlth_small_ticket*in_hlth_small_renew_comm*in_ins_partner_share*(in_hlth_small_renew^1*SUMIFS(AF1804:AF1810,B1804:B1810,B1808-12)+in_hlth_small_renew^2*SUMIFS(AF1804:AF1810,B1804:B1810,B1808-24)+in_hlth_small_renew^3*SUMIFS(AF1804:AF1810,B1804:B1810,B1808-36)+in_hlth_small_renew^4*SUMIFS(AF1804:AF1810,B1804:B1810,B1808-48))</f>
        <v/>
      </c>
      <c r="AH1808" s="40">
        <f>AH1807*(1-IF(B1807&gt;=in_marketplace_from,d_hz_hlth_family*G1807,0))</f>
        <v/>
      </c>
      <c r="AI1808" s="46">
        <f>AH1808*IF(B1808&gt;=in_marketplace_from,d_hz_hlth_family*G1808,0)</f>
        <v/>
      </c>
      <c r="AJ1808" s="14">
        <f>F1808*AI1808*in_hlth_family_ticket*in_hlth_family_comm*in_ins_partner_share+F1808*in_hlth_family_ticket*in_hlth_family_renew_comm*in_ins_partner_share*(in_hlth_family_renew^1*SUMIFS(AI1804:AI1810,B1804:B1810,B1808-12)+in_hlth_family_renew^2*SUMIFS(AI1804:AI1810,B1804:B1810,B1808-24)+in_hlth_family_renew^3*SUMIFS(AI1804:AI1810,B1804:B1810,B1808-36)+in_hlth_family_renew^4*SUMIFS(AI1804:AI1810,B1804:B1810,B1808-48))</f>
        <v/>
      </c>
      <c r="AK1808" s="40">
        <f>AK1807*(1-IF(B1807&gt;=in_marketplace_from,d_hz_life_term*G1807,0))</f>
        <v/>
      </c>
      <c r="AL1808" s="46">
        <f>AK1808*IF(B1808&gt;=in_marketplace_from,d_hz_life_term*G1808,0)</f>
        <v/>
      </c>
      <c r="AM1808" s="14">
        <f>F1808*AL1808*in_life_term_ticket*in_life_term_comm*in_ins_partner_share+F1808*in_life_term_ticket*in_life_term_renew_comm*in_ins_partner_share*(in_life_term_renew^1*SUMIFS(AL1804:AL1810,B1804:B1810,B1808-12)+in_life_term_renew^2*SUMIFS(AL1804:AL1810,B1804:B1810,B1808-24)+in_life_term_renew^3*SUMIFS(AL1804:AL1810,B1804:B1810,B1808-36)+in_life_term_renew^4*SUMIFS(AL1804:AL1810,B1804:B1810,B1808-48))</f>
        <v/>
      </c>
      <c r="AN1808" s="40">
        <f>AN1807*(1-IF(B1807&gt;=in_marketplace_from,d_hz_accident*G1807,0))</f>
        <v/>
      </c>
      <c r="AO1808" s="46">
        <f>AN1808*IF(B1808&gt;=in_marketplace_from,d_hz_accident*G1808,0)</f>
        <v/>
      </c>
      <c r="AP1808" s="14">
        <f>F1808*AO1808*in_accident_ticket*in_accident_comm*in_ins_partner_share+F1808*in_accident_ticket*in_accident_renew_comm*in_ins_partner_share*(in_accident_renew^1*SUMIFS(AO1804:AO1810,B1804:B1810,B1808-12)+in_accident_renew^2*SUMIFS(AO1804:AO1810,B1804:B1810,B1808-24)+in_accident_renew^3*SUMIFS(AO1804:AO1810,B1804:B1810,B1808-36)+in_accident_renew^4*SUMIFS(AO1804:AO1810,B1804:B1810,B1808-48))</f>
        <v/>
      </c>
      <c r="AQ1808" s="40">
        <f>AQ1807*(1-IF(B1807&gt;=in_marketplace_from,d_hz_two_wheeler*G1807,0))</f>
        <v/>
      </c>
      <c r="AR1808" s="46">
        <f>AQ1808*IF(B1808&gt;=in_marketplace_from,d_hz_two_wheeler*G1808,0)</f>
        <v/>
      </c>
      <c r="AS1808" s="14">
        <f>F1808*AR1808*in_two_wheeler_ticket*in_two_wheeler_comm*in_ins_partner_share+F1808*in_two_wheeler_ticket*in_two_wheeler_comm*in_ins_partner_share*(in_two_wheeler_renew^1*SUMIFS(AR1804:AR1810,B1804:B1810,B1808-12)+in_two_wheeler_renew^2*SUMIFS(AR1804:AR1810,B1804:B1810,B1808-24)+in_two_wheeler_renew^3*SUMIFS(AR1804:AR1810,B1804:B1810,B1808-36)+in_two_wheeler_renew^4*SUMIFS(AR1804:AR1810,B1804:B1810,B1808-48))</f>
        <v/>
      </c>
      <c r="AT1808" s="40">
        <f>AT1807*(1-IF(B1807&gt;=in_marketplace_from,d_hz_device*G1807,0))</f>
        <v/>
      </c>
      <c r="AU1808" s="14">
        <f>F1808*AT1808*IF(B1808&gt;=in_marketplace_from,d_hz_device*G1808,0)*in_device_ticket*in_device_comm*in_ins_partner_share</f>
        <v/>
      </c>
      <c r="AV1808" s="40">
        <f>AV1807*(1-IF(B1807&gt;=in_marketplace_from,d_hz_shop*G1807,0))</f>
        <v/>
      </c>
      <c r="AW1808" s="46">
        <f>AV1808*IF(B1808&gt;=in_marketplace_from,d_hz_shop*G1808,0)</f>
        <v/>
      </c>
      <c r="AX1808" s="14">
        <f>F1808*AW1808*in_shop_ticket*in_shop_comm*in_ins_partner_share+F1808*in_shop_ticket*in_shop_renew_comm*in_ins_partner_share*(in_shop_renew^1*SUMIFS(AW1804:AW1810,B1804:B1810,B1808-12)+in_shop_renew^2*SUMIFS(AW1804:AW1810,B1804:B1810,B1808-24)+in_shop_renew^3*SUMIFS(AW1804:AW1810,B1804:B1810,B1808-36)+in_shop_renew^4*SUMIFS(AW1804:AW1810,B1804:B1810,B1808-48))</f>
        <v/>
      </c>
      <c r="AY1808" s="40">
        <f>AY1807*(1-IF(B1807&gt;=in_marketplace_from,d_hz_sip*G1807,0))</f>
        <v/>
      </c>
      <c r="AZ1808" s="40">
        <f>AZ1807*d_rho_sip+AY1808*IF(B1808&gt;=in_marketplace_from,d_hz_sip*G1808,0)</f>
        <v/>
      </c>
      <c r="BA1808" s="40">
        <f>d_rho_sip*(BA1807+AZ1807)</f>
        <v/>
      </c>
      <c r="BB1808" s="14">
        <f>F1808*in_sip_ticket*(BA1808+0.5*AZ1808)*in_sip_comm/12</f>
        <v/>
      </c>
      <c r="BC1808" s="40">
        <f>BC1807*(1-IF(B1807&gt;=in_marketplace_from,d_hz_choti*G1807,0))</f>
        <v/>
      </c>
      <c r="BD1808" s="46">
        <f>BC1808*IF(B1808&gt;=in_marketplace_from,d_hz_choti*G1808,0)</f>
        <v/>
      </c>
      <c r="BE1808" s="14">
        <f>F1808*SUMIFS(BD1804:BD1810,B1804:B1810,B1808-in_choti_months)*in_choti_renew*in_choti_ticket</f>
        <v/>
      </c>
      <c r="BF1808" s="40">
        <f>BF1807*(1-IF(B1807&gt;=in_marketplace_from,d_hz_nps*G1807,0))</f>
        <v/>
      </c>
      <c r="BG1808" s="14">
        <f>F1808*BF1808*IF(B1808&gt;=in_marketplace_from,d_hz_nps*G1808,0)*in_nps_ticket*in_nps_comm</f>
        <v/>
      </c>
      <c r="BH1808" s="40">
        <f>BH1807*(1-IF(B1807&gt;=in_marketplace_from,d_hz_gold*G1807,0))</f>
        <v/>
      </c>
      <c r="BI1808" s="40">
        <f>BI1807*d_rho_gold+BH1808*IF(B1808&gt;=in_marketplace_from,d_hz_gold*G1808,0)</f>
        <v/>
      </c>
      <c r="BJ1808" s="14">
        <f>F1808*BI1808*in_gold_ticket*in_gold_comm</f>
        <v/>
      </c>
      <c r="BK1808" s="40">
        <f>BK1807*(1-IF(B1807&gt;=in_marketplace_from,d_hz_fd*G1807,0))</f>
        <v/>
      </c>
      <c r="BL1808" s="14">
        <f>F1808*BK1808*IF(B1808&gt;=in_marketplace_from,d_hz_fd*G1808,0)*in_fd_ticket*in_fd_comm</f>
        <v/>
      </c>
      <c r="BM1808" s="40">
        <f>BM1807*(1-IF(B1807&gt;=in_marketplace_from,d_hz_recharge*G1807,0))</f>
        <v/>
      </c>
      <c r="BN1808" s="40">
        <f>BN1807*d_rho_recharge+BM1808*IF(B1808&gt;=in_marketplace_from,d_hz_recharge*G1808,0)</f>
        <v/>
      </c>
      <c r="BO1808" s="14">
        <f>F1808*BN1808*in_recharge_ticket*in_recharge_comm/12</f>
        <v/>
      </c>
      <c r="BP1808" s="40">
        <f>BP1807*(1-IF(B1807&gt;=in_marketplace_from,d_hz_bills*G1807,0))</f>
        <v/>
      </c>
      <c r="BQ1808" s="40">
        <f>BQ1807*d_rho_bills+BP1808*IF(B1808&gt;=in_marketplace_from,d_hz_bills*G1808,0)</f>
        <v/>
      </c>
      <c r="BR1808" s="14">
        <f>F1808*BQ1808*in_bills_ticket*in_bills_comm/12</f>
        <v/>
      </c>
      <c r="BS1808" s="40">
        <f>BS1807*(1-IF(B1807&gt;=in_marketplace_from,d_hz_loan_gold*G1807,0))</f>
        <v/>
      </c>
      <c r="BT1808" s="14">
        <f>F1808*BS1808*IF(B1808&gt;=in_marketplace_from,d_hz_loan_gold*G1808,0)*in_loan_gold_ticket*in_loan_gold_comm</f>
        <v/>
      </c>
      <c r="BU1808" s="40">
        <f>BU1807*(1-IF(B1807&gt;=in_marketplace_from,d_hz_loan_cd*G1807,0))</f>
        <v/>
      </c>
      <c r="BV1808" s="14">
        <f>F1808*BU1808*IF(B1808&gt;=in_marketplace_from,d_hz_loan_cd*G1808,0)*in_loan_cd_ticket*in_loan_cd_comm</f>
        <v/>
      </c>
      <c r="BW1808" s="40">
        <f>BW1807*(1-IF(B1807&gt;=in_marketplace_from,d_hz_loan_vehicle*G1807,0))</f>
        <v/>
      </c>
      <c r="BX1808" s="14">
        <f>F1808*BW1808*IF(B1808&gt;=in_marketplace_from,d_hz_loan_vehicle*G1808,0)*in_loan_vehicle_ticket*in_loan_vehicle_comm</f>
        <v/>
      </c>
      <c r="BY1808" s="40">
        <f>BY1807*(1-IF(B1807&gt;=in_marketplace_from,d_hz_loan_home*G1807,0)*BZ1807)</f>
        <v/>
      </c>
      <c r="BZ1808" s="11">
        <f>MIN(in_approval_cap,in_loan_home_approval*INDEX('Age profile'!$O$2:$O$61,B1808)*(1+in_approval_growth)^(D1808-1))</f>
        <v/>
      </c>
      <c r="CA1808" s="14">
        <f>F1808*BY1808*IF(B1808&gt;=in_marketplace_from,d_hz_loan_home*G1808,0)*BZ1808*in_loan_home_ticket*in_loan_home_comm</f>
        <v/>
      </c>
      <c r="CB1808" s="40">
        <f>CB1807*(1-IF(B1807&gt;=in_marketplace_from,d_hz_loan_lap*G1807,0)*CC1807)</f>
        <v/>
      </c>
      <c r="CC1808" s="11">
        <f>MIN(in_approval_cap,in_loan_lap_approval*INDEX('Age profile'!$O$2:$O$61,B1808)*(1+in_approval_growth)^(D1808-1))</f>
        <v/>
      </c>
      <c r="CD1808" s="14">
        <f>F1808*CB1808*IF(B1808&gt;=in_marketplace_from,d_hz_loan_lap*G1808,0)*CC1808*in_loan_lap_ticket*in_loan_lap_comm</f>
        <v/>
      </c>
      <c r="CE1808" s="14">
        <f>AA1808+AB1808+AC1808+AD1808+AG1808+AJ1808+AM1808+AP1808+AS1808+AU1808+AX1808+BB1808+BE1808+BG1808+BJ1808+BL1808+BO1808+BR1808+BT1808+BV1808+BX1808+CA1808+CD1808</f>
        <v/>
      </c>
    </row>
    <row r="1809">
      <c r="A1809" s="39" t="n">
        <v>54</v>
      </c>
      <c r="B1809" s="39" t="n">
        <v>6</v>
      </c>
      <c r="C1809" s="39">
        <f>A1809+B1809-1</f>
        <v/>
      </c>
      <c r="D1809" s="39">
        <f>INT((C1809-1)/12)+1</f>
        <v/>
      </c>
      <c r="E1809" s="44">
        <f>INDEX(Monthly!$B$2:$B$61,A1809)</f>
        <v/>
      </c>
      <c r="F1809" s="44">
        <f>E1809*INDEX('Age profile'!$B$2:$B$61,B1809)</f>
        <v/>
      </c>
      <c r="G1809" s="45">
        <f>MIN(in_takeup_cap,INDEX('Age profile'!$N$2:$N$61,B1809)*(1+in_takeup_growth)^(D1809-1))</f>
        <v/>
      </c>
      <c r="H1809" s="11">
        <f>MIN(in_approval_cap,in_approved_first*INDEX('Age profile'!$O$2:$O$61,B1809)*(1+in_approval_growth)^(D1809-1))</f>
        <v/>
      </c>
      <c r="I1809" s="45">
        <f>G1809*MIN(in_takeup_cap,INDEX('Age profile'!$O$2:$O$61,B1809)*(1+in_approval_growth)^(D1809-1))</f>
        <v/>
      </c>
      <c r="J1809" s="40">
        <f>(J1808-L1808)*F1809/F1808</f>
        <v/>
      </c>
      <c r="K1809" s="40">
        <f>(K1808-M1808)*F1809/F1808+SUMIFS(O1804:O1808,B1804:B1808,B1809-1-d_T)*F1809</f>
        <v/>
      </c>
      <c r="L1809" s="40">
        <f>IF(B1809&gt;=in_marketplace_from,J1809*d_hz*G1809*in_eligible*H1809,0)</f>
        <v/>
      </c>
      <c r="M1809" s="40">
        <f>IF(B1809&gt;=in_marketplace_from,K1809*d_hz*G1809*in_eligible*in_approved_repeat,0)</f>
        <v/>
      </c>
      <c r="N1809" s="40">
        <f>L1809+M1809</f>
        <v/>
      </c>
      <c r="O1809" s="46">
        <f>N1809/F1809</f>
        <v/>
      </c>
      <c r="P1809" s="40">
        <f>F1809-J1809-K1809</f>
        <v/>
      </c>
      <c r="Q1809" s="40">
        <f>IF(B1809&gt;=in_marketplace_from,(J1809+K1809)*d_hz*G1809,0)</f>
        <v/>
      </c>
      <c r="R1809" s="40">
        <f>SUMIFS(N1804:N1810,B1804:B1810,"&gt;="&amp;(B1809-d_T),B1804:B1810,"&lt;="&amp;(B1809-1))</f>
        <v/>
      </c>
      <c r="S1809" s="46">
        <f>(1-d_u)*S1808+IF(d_T&gt;in_topup_lag,SUMIFS(O1804:O1810,B1804:B1810,B1809-in_topup_lag)-d_udrop*SUMIFS(O1804:O1810,B1804:B1810,B1809-d_T),0)</f>
        <v/>
      </c>
      <c r="T1809" s="40">
        <f>F1809*d_u*S1809</f>
        <v/>
      </c>
      <c r="U1809" s="9">
        <f>L1809*in_ticket+M1809*d_rep_ticket</f>
        <v/>
      </c>
      <c r="V1809" s="9">
        <f>U1809+T1809*d_topup_amt</f>
        <v/>
      </c>
      <c r="W1809" s="40">
        <f>N1809+T1809*d_topup_ratio</f>
        <v/>
      </c>
      <c r="X1809" s="40">
        <f>SUMIFS(W1804:W1810,B1804:B1810,B1809-in_dpd_lag)*d_cured</f>
        <v/>
      </c>
      <c r="Y1809" s="40">
        <f>SUMIFS(W1804:W1810,B1804:B1810,B1809-in_rec_lag)*d_recd</f>
        <v/>
      </c>
      <c r="Z1809" s="40">
        <f>IF(AND(B1809&gt;=in_marketplace_from,B1809&lt;in_marketplace_from+in_card_months),in_card_share/in_card_months*F1809*I1809,IF(AND(B1809&gt;=in_marketplace_from+in_card_months,B1809&lt;in_marketplace_from+2*in_card_months),in_card_share*d_card_rem/in_card_months*F1809*MIN(in_takeup_cap,(1+in_takeup_growth)^(D1809-1))*MIN(in_takeup_cap,(1+in_approval_growth)^(D1809-1)),0))</f>
        <v/>
      </c>
      <c r="AA1809" s="14">
        <f>V1809*in_fee*(1-in_taken_back)</f>
        <v/>
      </c>
      <c r="AB1809" s="14">
        <f>SUMIFS(W1804:W1810,B1804:B1810,B1809-in_dpd_lag)*d_dpd</f>
        <v/>
      </c>
      <c r="AC1809" s="14">
        <f>SUMIFS(W1804:W1810,B1804:B1810,B1809-in_rec_lag)*d_rec</f>
        <v/>
      </c>
      <c r="AD1809" s="14">
        <f>Z1809*in_card_fee</f>
        <v/>
      </c>
      <c r="AE1809" s="40">
        <f>AE1808*(1-IF(B1808&gt;=in_marketplace_from,d_hz_hlth_small*G1808,0))</f>
        <v/>
      </c>
      <c r="AF1809" s="46">
        <f>AE1809*IF(B1809&gt;=in_marketplace_from,d_hz_hlth_small*G1809,0)</f>
        <v/>
      </c>
      <c r="AG1809" s="14">
        <f>F1809*AF1809*in_hlth_small_ticket*in_hlth_small_comm*in_ins_partner_share+F1809*in_hlth_small_ticket*in_hlth_small_renew_comm*in_ins_partner_share*(in_hlth_small_renew^1*SUMIFS(AF1804:AF1810,B1804:B1810,B1809-12)+in_hlth_small_renew^2*SUMIFS(AF1804:AF1810,B1804:B1810,B1809-24)+in_hlth_small_renew^3*SUMIFS(AF1804:AF1810,B1804:B1810,B1809-36)+in_hlth_small_renew^4*SUMIFS(AF1804:AF1810,B1804:B1810,B1809-48))</f>
        <v/>
      </c>
      <c r="AH1809" s="40">
        <f>AH1808*(1-IF(B1808&gt;=in_marketplace_from,d_hz_hlth_family*G1808,0))</f>
        <v/>
      </c>
      <c r="AI1809" s="46">
        <f>AH1809*IF(B1809&gt;=in_marketplace_from,d_hz_hlth_family*G1809,0)</f>
        <v/>
      </c>
      <c r="AJ1809" s="14">
        <f>F1809*AI1809*in_hlth_family_ticket*in_hlth_family_comm*in_ins_partner_share+F1809*in_hlth_family_ticket*in_hlth_family_renew_comm*in_ins_partner_share*(in_hlth_family_renew^1*SUMIFS(AI1804:AI1810,B1804:B1810,B1809-12)+in_hlth_family_renew^2*SUMIFS(AI1804:AI1810,B1804:B1810,B1809-24)+in_hlth_family_renew^3*SUMIFS(AI1804:AI1810,B1804:B1810,B1809-36)+in_hlth_family_renew^4*SUMIFS(AI1804:AI1810,B1804:B1810,B1809-48))</f>
        <v/>
      </c>
      <c r="AK1809" s="40">
        <f>AK1808*(1-IF(B1808&gt;=in_marketplace_from,d_hz_life_term*G1808,0))</f>
        <v/>
      </c>
      <c r="AL1809" s="46">
        <f>AK1809*IF(B1809&gt;=in_marketplace_from,d_hz_life_term*G1809,0)</f>
        <v/>
      </c>
      <c r="AM1809" s="14">
        <f>F1809*AL1809*in_life_term_ticket*in_life_term_comm*in_ins_partner_share+F1809*in_life_term_ticket*in_life_term_renew_comm*in_ins_partner_share*(in_life_term_renew^1*SUMIFS(AL1804:AL1810,B1804:B1810,B1809-12)+in_life_term_renew^2*SUMIFS(AL1804:AL1810,B1804:B1810,B1809-24)+in_life_term_renew^3*SUMIFS(AL1804:AL1810,B1804:B1810,B1809-36)+in_life_term_renew^4*SUMIFS(AL1804:AL1810,B1804:B1810,B1809-48))</f>
        <v/>
      </c>
      <c r="AN1809" s="40">
        <f>AN1808*(1-IF(B1808&gt;=in_marketplace_from,d_hz_accident*G1808,0))</f>
        <v/>
      </c>
      <c r="AO1809" s="46">
        <f>AN1809*IF(B1809&gt;=in_marketplace_from,d_hz_accident*G1809,0)</f>
        <v/>
      </c>
      <c r="AP1809" s="14">
        <f>F1809*AO1809*in_accident_ticket*in_accident_comm*in_ins_partner_share+F1809*in_accident_ticket*in_accident_renew_comm*in_ins_partner_share*(in_accident_renew^1*SUMIFS(AO1804:AO1810,B1804:B1810,B1809-12)+in_accident_renew^2*SUMIFS(AO1804:AO1810,B1804:B1810,B1809-24)+in_accident_renew^3*SUMIFS(AO1804:AO1810,B1804:B1810,B1809-36)+in_accident_renew^4*SUMIFS(AO1804:AO1810,B1804:B1810,B1809-48))</f>
        <v/>
      </c>
      <c r="AQ1809" s="40">
        <f>AQ1808*(1-IF(B1808&gt;=in_marketplace_from,d_hz_two_wheeler*G1808,0))</f>
        <v/>
      </c>
      <c r="AR1809" s="46">
        <f>AQ1809*IF(B1809&gt;=in_marketplace_from,d_hz_two_wheeler*G1809,0)</f>
        <v/>
      </c>
      <c r="AS1809" s="14">
        <f>F1809*AR1809*in_two_wheeler_ticket*in_two_wheeler_comm*in_ins_partner_share+F1809*in_two_wheeler_ticket*in_two_wheeler_comm*in_ins_partner_share*(in_two_wheeler_renew^1*SUMIFS(AR1804:AR1810,B1804:B1810,B1809-12)+in_two_wheeler_renew^2*SUMIFS(AR1804:AR1810,B1804:B1810,B1809-24)+in_two_wheeler_renew^3*SUMIFS(AR1804:AR1810,B1804:B1810,B1809-36)+in_two_wheeler_renew^4*SUMIFS(AR1804:AR1810,B1804:B1810,B1809-48))</f>
        <v/>
      </c>
      <c r="AT1809" s="40">
        <f>AT1808*(1-IF(B1808&gt;=in_marketplace_from,d_hz_device*G1808,0))</f>
        <v/>
      </c>
      <c r="AU1809" s="14">
        <f>F1809*AT1809*IF(B1809&gt;=in_marketplace_from,d_hz_device*G1809,0)*in_device_ticket*in_device_comm*in_ins_partner_share</f>
        <v/>
      </c>
      <c r="AV1809" s="40">
        <f>AV1808*(1-IF(B1808&gt;=in_marketplace_from,d_hz_shop*G1808,0))</f>
        <v/>
      </c>
      <c r="AW1809" s="46">
        <f>AV1809*IF(B1809&gt;=in_marketplace_from,d_hz_shop*G1809,0)</f>
        <v/>
      </c>
      <c r="AX1809" s="14">
        <f>F1809*AW1809*in_shop_ticket*in_shop_comm*in_ins_partner_share+F1809*in_shop_ticket*in_shop_renew_comm*in_ins_partner_share*(in_shop_renew^1*SUMIFS(AW1804:AW1810,B1804:B1810,B1809-12)+in_shop_renew^2*SUMIFS(AW1804:AW1810,B1804:B1810,B1809-24)+in_shop_renew^3*SUMIFS(AW1804:AW1810,B1804:B1810,B1809-36)+in_shop_renew^4*SUMIFS(AW1804:AW1810,B1804:B1810,B1809-48))</f>
        <v/>
      </c>
      <c r="AY1809" s="40">
        <f>AY1808*(1-IF(B1808&gt;=in_marketplace_from,d_hz_sip*G1808,0))</f>
        <v/>
      </c>
      <c r="AZ1809" s="40">
        <f>AZ1808*d_rho_sip+AY1809*IF(B1809&gt;=in_marketplace_from,d_hz_sip*G1809,0)</f>
        <v/>
      </c>
      <c r="BA1809" s="40">
        <f>d_rho_sip*(BA1808+AZ1808)</f>
        <v/>
      </c>
      <c r="BB1809" s="14">
        <f>F1809*in_sip_ticket*(BA1809+0.5*AZ1809)*in_sip_comm/12</f>
        <v/>
      </c>
      <c r="BC1809" s="40">
        <f>BC1808*(1-IF(B1808&gt;=in_marketplace_from,d_hz_choti*G1808,0))</f>
        <v/>
      </c>
      <c r="BD1809" s="46">
        <f>BC1809*IF(B1809&gt;=in_marketplace_from,d_hz_choti*G1809,0)</f>
        <v/>
      </c>
      <c r="BE1809" s="14">
        <f>F1809*SUMIFS(BD1804:BD1810,B1804:B1810,B1809-in_choti_months)*in_choti_renew*in_choti_ticket</f>
        <v/>
      </c>
      <c r="BF1809" s="40">
        <f>BF1808*(1-IF(B1808&gt;=in_marketplace_from,d_hz_nps*G1808,0))</f>
        <v/>
      </c>
      <c r="BG1809" s="14">
        <f>F1809*BF1809*IF(B1809&gt;=in_marketplace_from,d_hz_nps*G1809,0)*in_nps_ticket*in_nps_comm</f>
        <v/>
      </c>
      <c r="BH1809" s="40">
        <f>BH1808*(1-IF(B1808&gt;=in_marketplace_from,d_hz_gold*G1808,0))</f>
        <v/>
      </c>
      <c r="BI1809" s="40">
        <f>BI1808*d_rho_gold+BH1809*IF(B1809&gt;=in_marketplace_from,d_hz_gold*G1809,0)</f>
        <v/>
      </c>
      <c r="BJ1809" s="14">
        <f>F1809*BI1809*in_gold_ticket*in_gold_comm</f>
        <v/>
      </c>
      <c r="BK1809" s="40">
        <f>BK1808*(1-IF(B1808&gt;=in_marketplace_from,d_hz_fd*G1808,0))</f>
        <v/>
      </c>
      <c r="BL1809" s="14">
        <f>F1809*BK1809*IF(B1809&gt;=in_marketplace_from,d_hz_fd*G1809,0)*in_fd_ticket*in_fd_comm</f>
        <v/>
      </c>
      <c r="BM1809" s="40">
        <f>BM1808*(1-IF(B1808&gt;=in_marketplace_from,d_hz_recharge*G1808,0))</f>
        <v/>
      </c>
      <c r="BN1809" s="40">
        <f>BN1808*d_rho_recharge+BM1809*IF(B1809&gt;=in_marketplace_from,d_hz_recharge*G1809,0)</f>
        <v/>
      </c>
      <c r="BO1809" s="14">
        <f>F1809*BN1809*in_recharge_ticket*in_recharge_comm/12</f>
        <v/>
      </c>
      <c r="BP1809" s="40">
        <f>BP1808*(1-IF(B1808&gt;=in_marketplace_from,d_hz_bills*G1808,0))</f>
        <v/>
      </c>
      <c r="BQ1809" s="40">
        <f>BQ1808*d_rho_bills+BP1809*IF(B1809&gt;=in_marketplace_from,d_hz_bills*G1809,0)</f>
        <v/>
      </c>
      <c r="BR1809" s="14">
        <f>F1809*BQ1809*in_bills_ticket*in_bills_comm/12</f>
        <v/>
      </c>
      <c r="BS1809" s="40">
        <f>BS1808*(1-IF(B1808&gt;=in_marketplace_from,d_hz_loan_gold*G1808,0))</f>
        <v/>
      </c>
      <c r="BT1809" s="14">
        <f>F1809*BS1809*IF(B1809&gt;=in_marketplace_from,d_hz_loan_gold*G1809,0)*in_loan_gold_ticket*in_loan_gold_comm</f>
        <v/>
      </c>
      <c r="BU1809" s="40">
        <f>BU1808*(1-IF(B1808&gt;=in_marketplace_from,d_hz_loan_cd*G1808,0))</f>
        <v/>
      </c>
      <c r="BV1809" s="14">
        <f>F1809*BU1809*IF(B1809&gt;=in_marketplace_from,d_hz_loan_cd*G1809,0)*in_loan_cd_ticket*in_loan_cd_comm</f>
        <v/>
      </c>
      <c r="BW1809" s="40">
        <f>BW1808*(1-IF(B1808&gt;=in_marketplace_from,d_hz_loan_vehicle*G1808,0))</f>
        <v/>
      </c>
      <c r="BX1809" s="14">
        <f>F1809*BW1809*IF(B1809&gt;=in_marketplace_from,d_hz_loan_vehicle*G1809,0)*in_loan_vehicle_ticket*in_loan_vehicle_comm</f>
        <v/>
      </c>
      <c r="BY1809" s="40">
        <f>BY1808*(1-IF(B1808&gt;=in_marketplace_from,d_hz_loan_home*G1808,0)*BZ1808)</f>
        <v/>
      </c>
      <c r="BZ1809" s="11">
        <f>MIN(in_approval_cap,in_loan_home_approval*INDEX('Age profile'!$O$2:$O$61,B1809)*(1+in_approval_growth)^(D1809-1))</f>
        <v/>
      </c>
      <c r="CA1809" s="14">
        <f>F1809*BY1809*IF(B1809&gt;=in_marketplace_from,d_hz_loan_home*G1809,0)*BZ1809*in_loan_home_ticket*in_loan_home_comm</f>
        <v/>
      </c>
      <c r="CB1809" s="40">
        <f>CB1808*(1-IF(B1808&gt;=in_marketplace_from,d_hz_loan_lap*G1808,0)*CC1808)</f>
        <v/>
      </c>
      <c r="CC1809" s="11">
        <f>MIN(in_approval_cap,in_loan_lap_approval*INDEX('Age profile'!$O$2:$O$61,B1809)*(1+in_approval_growth)^(D1809-1))</f>
        <v/>
      </c>
      <c r="CD1809" s="14">
        <f>F1809*CB1809*IF(B1809&gt;=in_marketplace_from,d_hz_loan_lap*G1809,0)*CC1809*in_loan_lap_ticket*in_loan_lap_comm</f>
        <v/>
      </c>
      <c r="CE1809" s="14">
        <f>AA1809+AB1809+AC1809+AD1809+AG1809+AJ1809+AM1809+AP1809+AS1809+AU1809+AX1809+BB1809+BE1809+BG1809+BJ1809+BL1809+BO1809+BR1809+BT1809+BV1809+BX1809+CA1809+CD1809</f>
        <v/>
      </c>
    </row>
    <row r="1810">
      <c r="A1810" s="39" t="n">
        <v>54</v>
      </c>
      <c r="B1810" s="39" t="n">
        <v>7</v>
      </c>
      <c r="C1810" s="39">
        <f>A1810+B1810-1</f>
        <v/>
      </c>
      <c r="D1810" s="39">
        <f>INT((C1810-1)/12)+1</f>
        <v/>
      </c>
      <c r="E1810" s="44">
        <f>INDEX(Monthly!$B$2:$B$61,A1810)</f>
        <v/>
      </c>
      <c r="F1810" s="44">
        <f>E1810*INDEX('Age profile'!$B$2:$B$61,B1810)</f>
        <v/>
      </c>
      <c r="G1810" s="45">
        <f>MIN(in_takeup_cap,INDEX('Age profile'!$N$2:$N$61,B1810)*(1+in_takeup_growth)^(D1810-1))</f>
        <v/>
      </c>
      <c r="H1810" s="11">
        <f>MIN(in_approval_cap,in_approved_first*INDEX('Age profile'!$O$2:$O$61,B1810)*(1+in_approval_growth)^(D1810-1))</f>
        <v/>
      </c>
      <c r="I1810" s="45">
        <f>G1810*MIN(in_takeup_cap,INDEX('Age profile'!$O$2:$O$61,B1810)*(1+in_approval_growth)^(D1810-1))</f>
        <v/>
      </c>
      <c r="J1810" s="40">
        <f>(J1809-L1809)*F1810/F1809</f>
        <v/>
      </c>
      <c r="K1810" s="40">
        <f>(K1809-M1809)*F1810/F1809+SUMIFS(O1804:O1809,B1804:B1809,B1810-1-d_T)*F1810</f>
        <v/>
      </c>
      <c r="L1810" s="40">
        <f>IF(B1810&gt;=in_marketplace_from,J1810*d_hz*G1810*in_eligible*H1810,0)</f>
        <v/>
      </c>
      <c r="M1810" s="40">
        <f>IF(B1810&gt;=in_marketplace_from,K1810*d_hz*G1810*in_eligible*in_approved_repeat,0)</f>
        <v/>
      </c>
      <c r="N1810" s="40">
        <f>L1810+M1810</f>
        <v/>
      </c>
      <c r="O1810" s="46">
        <f>N1810/F1810</f>
        <v/>
      </c>
      <c r="P1810" s="40">
        <f>F1810-J1810-K1810</f>
        <v/>
      </c>
      <c r="Q1810" s="40">
        <f>IF(B1810&gt;=in_marketplace_from,(J1810+K1810)*d_hz*G1810,0)</f>
        <v/>
      </c>
      <c r="R1810" s="40">
        <f>SUMIFS(N1804:N1810,B1804:B1810,"&gt;="&amp;(B1810-d_T),B1804:B1810,"&lt;="&amp;(B1810-1))</f>
        <v/>
      </c>
      <c r="S1810" s="46">
        <f>(1-d_u)*S1809+IF(d_T&gt;in_topup_lag,SUMIFS(O1804:O1810,B1804:B1810,B1810-in_topup_lag)-d_udrop*SUMIFS(O1804:O1810,B1804:B1810,B1810-d_T),0)</f>
        <v/>
      </c>
      <c r="T1810" s="40">
        <f>F1810*d_u*S1810</f>
        <v/>
      </c>
      <c r="U1810" s="9">
        <f>L1810*in_ticket+M1810*d_rep_ticket</f>
        <v/>
      </c>
      <c r="V1810" s="9">
        <f>U1810+T1810*d_topup_amt</f>
        <v/>
      </c>
      <c r="W1810" s="40">
        <f>N1810+T1810*d_topup_ratio</f>
        <v/>
      </c>
      <c r="X1810" s="40">
        <f>SUMIFS(W1804:W1810,B1804:B1810,B1810-in_dpd_lag)*d_cured</f>
        <v/>
      </c>
      <c r="Y1810" s="40">
        <f>SUMIFS(W1804:W1810,B1804:B1810,B1810-in_rec_lag)*d_recd</f>
        <v/>
      </c>
      <c r="Z1810" s="40">
        <f>IF(AND(B1810&gt;=in_marketplace_from,B1810&lt;in_marketplace_from+in_card_months),in_card_share/in_card_months*F1810*I1810,IF(AND(B1810&gt;=in_marketplace_from+in_card_months,B1810&lt;in_marketplace_from+2*in_card_months),in_card_share*d_card_rem/in_card_months*F1810*MIN(in_takeup_cap,(1+in_takeup_growth)^(D1810-1))*MIN(in_takeup_cap,(1+in_approval_growth)^(D1810-1)),0))</f>
        <v/>
      </c>
      <c r="AA1810" s="14">
        <f>V1810*in_fee*(1-in_taken_back)</f>
        <v/>
      </c>
      <c r="AB1810" s="14">
        <f>SUMIFS(W1804:W1810,B1804:B1810,B1810-in_dpd_lag)*d_dpd</f>
        <v/>
      </c>
      <c r="AC1810" s="14">
        <f>SUMIFS(W1804:W1810,B1804:B1810,B1810-in_rec_lag)*d_rec</f>
        <v/>
      </c>
      <c r="AD1810" s="14">
        <f>Z1810*in_card_fee</f>
        <v/>
      </c>
      <c r="AE1810" s="40">
        <f>AE1809*(1-IF(B1809&gt;=in_marketplace_from,d_hz_hlth_small*G1809,0))</f>
        <v/>
      </c>
      <c r="AF1810" s="46">
        <f>AE1810*IF(B1810&gt;=in_marketplace_from,d_hz_hlth_small*G1810,0)</f>
        <v/>
      </c>
      <c r="AG1810" s="14">
        <f>F1810*AF1810*in_hlth_small_ticket*in_hlth_small_comm*in_ins_partner_share+F1810*in_hlth_small_ticket*in_hlth_small_renew_comm*in_ins_partner_share*(in_hlth_small_renew^1*SUMIFS(AF1804:AF1810,B1804:B1810,B1810-12)+in_hlth_small_renew^2*SUMIFS(AF1804:AF1810,B1804:B1810,B1810-24)+in_hlth_small_renew^3*SUMIFS(AF1804:AF1810,B1804:B1810,B1810-36)+in_hlth_small_renew^4*SUMIFS(AF1804:AF1810,B1804:B1810,B1810-48))</f>
        <v/>
      </c>
      <c r="AH1810" s="40">
        <f>AH1809*(1-IF(B1809&gt;=in_marketplace_from,d_hz_hlth_family*G1809,0))</f>
        <v/>
      </c>
      <c r="AI1810" s="46">
        <f>AH1810*IF(B1810&gt;=in_marketplace_from,d_hz_hlth_family*G1810,0)</f>
        <v/>
      </c>
      <c r="AJ1810" s="14">
        <f>F1810*AI1810*in_hlth_family_ticket*in_hlth_family_comm*in_ins_partner_share+F1810*in_hlth_family_ticket*in_hlth_family_renew_comm*in_ins_partner_share*(in_hlth_family_renew^1*SUMIFS(AI1804:AI1810,B1804:B1810,B1810-12)+in_hlth_family_renew^2*SUMIFS(AI1804:AI1810,B1804:B1810,B1810-24)+in_hlth_family_renew^3*SUMIFS(AI1804:AI1810,B1804:B1810,B1810-36)+in_hlth_family_renew^4*SUMIFS(AI1804:AI1810,B1804:B1810,B1810-48))</f>
        <v/>
      </c>
      <c r="AK1810" s="40">
        <f>AK1809*(1-IF(B1809&gt;=in_marketplace_from,d_hz_life_term*G1809,0))</f>
        <v/>
      </c>
      <c r="AL1810" s="46">
        <f>AK1810*IF(B1810&gt;=in_marketplace_from,d_hz_life_term*G1810,0)</f>
        <v/>
      </c>
      <c r="AM1810" s="14">
        <f>F1810*AL1810*in_life_term_ticket*in_life_term_comm*in_ins_partner_share+F1810*in_life_term_ticket*in_life_term_renew_comm*in_ins_partner_share*(in_life_term_renew^1*SUMIFS(AL1804:AL1810,B1804:B1810,B1810-12)+in_life_term_renew^2*SUMIFS(AL1804:AL1810,B1804:B1810,B1810-24)+in_life_term_renew^3*SUMIFS(AL1804:AL1810,B1804:B1810,B1810-36)+in_life_term_renew^4*SUMIFS(AL1804:AL1810,B1804:B1810,B1810-48))</f>
        <v/>
      </c>
      <c r="AN1810" s="40">
        <f>AN1809*(1-IF(B1809&gt;=in_marketplace_from,d_hz_accident*G1809,0))</f>
        <v/>
      </c>
      <c r="AO1810" s="46">
        <f>AN1810*IF(B1810&gt;=in_marketplace_from,d_hz_accident*G1810,0)</f>
        <v/>
      </c>
      <c r="AP1810" s="14">
        <f>F1810*AO1810*in_accident_ticket*in_accident_comm*in_ins_partner_share+F1810*in_accident_ticket*in_accident_renew_comm*in_ins_partner_share*(in_accident_renew^1*SUMIFS(AO1804:AO1810,B1804:B1810,B1810-12)+in_accident_renew^2*SUMIFS(AO1804:AO1810,B1804:B1810,B1810-24)+in_accident_renew^3*SUMIFS(AO1804:AO1810,B1804:B1810,B1810-36)+in_accident_renew^4*SUMIFS(AO1804:AO1810,B1804:B1810,B1810-48))</f>
        <v/>
      </c>
      <c r="AQ1810" s="40">
        <f>AQ1809*(1-IF(B1809&gt;=in_marketplace_from,d_hz_two_wheeler*G1809,0))</f>
        <v/>
      </c>
      <c r="AR1810" s="46">
        <f>AQ1810*IF(B1810&gt;=in_marketplace_from,d_hz_two_wheeler*G1810,0)</f>
        <v/>
      </c>
      <c r="AS1810" s="14">
        <f>F1810*AR1810*in_two_wheeler_ticket*in_two_wheeler_comm*in_ins_partner_share+F1810*in_two_wheeler_ticket*in_two_wheeler_comm*in_ins_partner_share*(in_two_wheeler_renew^1*SUMIFS(AR1804:AR1810,B1804:B1810,B1810-12)+in_two_wheeler_renew^2*SUMIFS(AR1804:AR1810,B1804:B1810,B1810-24)+in_two_wheeler_renew^3*SUMIFS(AR1804:AR1810,B1804:B1810,B1810-36)+in_two_wheeler_renew^4*SUMIFS(AR1804:AR1810,B1804:B1810,B1810-48))</f>
        <v/>
      </c>
      <c r="AT1810" s="40">
        <f>AT1809*(1-IF(B1809&gt;=in_marketplace_from,d_hz_device*G1809,0))</f>
        <v/>
      </c>
      <c r="AU1810" s="14">
        <f>F1810*AT1810*IF(B1810&gt;=in_marketplace_from,d_hz_device*G1810,0)*in_device_ticket*in_device_comm*in_ins_partner_share</f>
        <v/>
      </c>
      <c r="AV1810" s="40">
        <f>AV1809*(1-IF(B1809&gt;=in_marketplace_from,d_hz_shop*G1809,0))</f>
        <v/>
      </c>
      <c r="AW1810" s="46">
        <f>AV1810*IF(B1810&gt;=in_marketplace_from,d_hz_shop*G1810,0)</f>
        <v/>
      </c>
      <c r="AX1810" s="14">
        <f>F1810*AW1810*in_shop_ticket*in_shop_comm*in_ins_partner_share+F1810*in_shop_ticket*in_shop_renew_comm*in_ins_partner_share*(in_shop_renew^1*SUMIFS(AW1804:AW1810,B1804:B1810,B1810-12)+in_shop_renew^2*SUMIFS(AW1804:AW1810,B1804:B1810,B1810-24)+in_shop_renew^3*SUMIFS(AW1804:AW1810,B1804:B1810,B1810-36)+in_shop_renew^4*SUMIFS(AW1804:AW1810,B1804:B1810,B1810-48))</f>
        <v/>
      </c>
      <c r="AY1810" s="40">
        <f>AY1809*(1-IF(B1809&gt;=in_marketplace_from,d_hz_sip*G1809,0))</f>
        <v/>
      </c>
      <c r="AZ1810" s="40">
        <f>AZ1809*d_rho_sip+AY1810*IF(B1810&gt;=in_marketplace_from,d_hz_sip*G1810,0)</f>
        <v/>
      </c>
      <c r="BA1810" s="40">
        <f>d_rho_sip*(BA1809+AZ1809)</f>
        <v/>
      </c>
      <c r="BB1810" s="14">
        <f>F1810*in_sip_ticket*(BA1810+0.5*AZ1810)*in_sip_comm/12</f>
        <v/>
      </c>
      <c r="BC1810" s="40">
        <f>BC1809*(1-IF(B1809&gt;=in_marketplace_from,d_hz_choti*G1809,0))</f>
        <v/>
      </c>
      <c r="BD1810" s="46">
        <f>BC1810*IF(B1810&gt;=in_marketplace_from,d_hz_choti*G1810,0)</f>
        <v/>
      </c>
      <c r="BE1810" s="14">
        <f>F1810*SUMIFS(BD1804:BD1810,B1804:B1810,B1810-in_choti_months)*in_choti_renew*in_choti_ticket</f>
        <v/>
      </c>
      <c r="BF1810" s="40">
        <f>BF1809*(1-IF(B1809&gt;=in_marketplace_from,d_hz_nps*G1809,0))</f>
        <v/>
      </c>
      <c r="BG1810" s="14">
        <f>F1810*BF1810*IF(B1810&gt;=in_marketplace_from,d_hz_nps*G1810,0)*in_nps_ticket*in_nps_comm</f>
        <v/>
      </c>
      <c r="BH1810" s="40">
        <f>BH1809*(1-IF(B1809&gt;=in_marketplace_from,d_hz_gold*G1809,0))</f>
        <v/>
      </c>
      <c r="BI1810" s="40">
        <f>BI1809*d_rho_gold+BH1810*IF(B1810&gt;=in_marketplace_from,d_hz_gold*G1810,0)</f>
        <v/>
      </c>
      <c r="BJ1810" s="14">
        <f>F1810*BI1810*in_gold_ticket*in_gold_comm</f>
        <v/>
      </c>
      <c r="BK1810" s="40">
        <f>BK1809*(1-IF(B1809&gt;=in_marketplace_from,d_hz_fd*G1809,0))</f>
        <v/>
      </c>
      <c r="BL1810" s="14">
        <f>F1810*BK1810*IF(B1810&gt;=in_marketplace_from,d_hz_fd*G1810,0)*in_fd_ticket*in_fd_comm</f>
        <v/>
      </c>
      <c r="BM1810" s="40">
        <f>BM1809*(1-IF(B1809&gt;=in_marketplace_from,d_hz_recharge*G1809,0))</f>
        <v/>
      </c>
      <c r="BN1810" s="40">
        <f>BN1809*d_rho_recharge+BM1810*IF(B1810&gt;=in_marketplace_from,d_hz_recharge*G1810,0)</f>
        <v/>
      </c>
      <c r="BO1810" s="14">
        <f>F1810*BN1810*in_recharge_ticket*in_recharge_comm/12</f>
        <v/>
      </c>
      <c r="BP1810" s="40">
        <f>BP1809*(1-IF(B1809&gt;=in_marketplace_from,d_hz_bills*G1809,0))</f>
        <v/>
      </c>
      <c r="BQ1810" s="40">
        <f>BQ1809*d_rho_bills+BP1810*IF(B1810&gt;=in_marketplace_from,d_hz_bills*G1810,0)</f>
        <v/>
      </c>
      <c r="BR1810" s="14">
        <f>F1810*BQ1810*in_bills_ticket*in_bills_comm/12</f>
        <v/>
      </c>
      <c r="BS1810" s="40">
        <f>BS1809*(1-IF(B1809&gt;=in_marketplace_from,d_hz_loan_gold*G1809,0))</f>
        <v/>
      </c>
      <c r="BT1810" s="14">
        <f>F1810*BS1810*IF(B1810&gt;=in_marketplace_from,d_hz_loan_gold*G1810,0)*in_loan_gold_ticket*in_loan_gold_comm</f>
        <v/>
      </c>
      <c r="BU1810" s="40">
        <f>BU1809*(1-IF(B1809&gt;=in_marketplace_from,d_hz_loan_cd*G1809,0))</f>
        <v/>
      </c>
      <c r="BV1810" s="14">
        <f>F1810*BU1810*IF(B1810&gt;=in_marketplace_from,d_hz_loan_cd*G1810,0)*in_loan_cd_ticket*in_loan_cd_comm</f>
        <v/>
      </c>
      <c r="BW1810" s="40">
        <f>BW1809*(1-IF(B1809&gt;=in_marketplace_from,d_hz_loan_vehicle*G1809,0))</f>
        <v/>
      </c>
      <c r="BX1810" s="14">
        <f>F1810*BW1810*IF(B1810&gt;=in_marketplace_from,d_hz_loan_vehicle*G1810,0)*in_loan_vehicle_ticket*in_loan_vehicle_comm</f>
        <v/>
      </c>
      <c r="BY1810" s="40">
        <f>BY1809*(1-IF(B1809&gt;=in_marketplace_from,d_hz_loan_home*G1809,0)*BZ1809)</f>
        <v/>
      </c>
      <c r="BZ1810" s="11">
        <f>MIN(in_approval_cap,in_loan_home_approval*INDEX('Age profile'!$O$2:$O$61,B1810)*(1+in_approval_growth)^(D1810-1))</f>
        <v/>
      </c>
      <c r="CA1810" s="14">
        <f>F1810*BY1810*IF(B1810&gt;=in_marketplace_from,d_hz_loan_home*G1810,0)*BZ1810*in_loan_home_ticket*in_loan_home_comm</f>
        <v/>
      </c>
      <c r="CB1810" s="40">
        <f>CB1809*(1-IF(B1809&gt;=in_marketplace_from,d_hz_loan_lap*G1809,0)*CC1809)</f>
        <v/>
      </c>
      <c r="CC1810" s="11">
        <f>MIN(in_approval_cap,in_loan_lap_approval*INDEX('Age profile'!$O$2:$O$61,B1810)*(1+in_approval_growth)^(D1810-1))</f>
        <v/>
      </c>
      <c r="CD1810" s="14">
        <f>F1810*CB1810*IF(B1810&gt;=in_marketplace_from,d_hz_loan_lap*G1810,0)*CC1810*in_loan_lap_ticket*in_loan_lap_comm</f>
        <v/>
      </c>
      <c r="CE1810" s="14">
        <f>AA1810+AB1810+AC1810+AD1810+AG1810+AJ1810+AM1810+AP1810+AS1810+AU1810+AX1810+BB1810+BE1810+BG1810+BJ1810+BL1810+BO1810+BR1810+BT1810+BV1810+BX1810+CA1810+CD1810</f>
        <v/>
      </c>
    </row>
    <row r="1811">
      <c r="A1811" s="39" t="n">
        <v>55</v>
      </c>
      <c r="B1811" s="39" t="n">
        <v>1</v>
      </c>
      <c r="C1811" s="39">
        <f>A1811+B1811-1</f>
        <v/>
      </c>
      <c r="D1811" s="39">
        <f>INT((C1811-1)/12)+1</f>
        <v/>
      </c>
      <c r="E1811" s="44">
        <f>INDEX(Monthly!$B$2:$B$61,A1811)</f>
        <v/>
      </c>
      <c r="F1811" s="44">
        <f>E1811*INDEX('Age profile'!$B$2:$B$61,B1811)</f>
        <v/>
      </c>
      <c r="G1811" s="45">
        <f>MIN(in_takeup_cap,INDEX('Age profile'!$N$2:$N$61,B1811)*(1+in_takeup_growth)^(D1811-1))</f>
        <v/>
      </c>
      <c r="H1811" s="11">
        <f>MIN(in_approval_cap,in_approved_first*INDEX('Age profile'!$O$2:$O$61,B1811)*(1+in_approval_growth)^(D1811-1))</f>
        <v/>
      </c>
      <c r="I1811" s="45">
        <f>G1811*MIN(in_takeup_cap,INDEX('Age profile'!$O$2:$O$61,B1811)*(1+in_approval_growth)^(D1811-1))</f>
        <v/>
      </c>
      <c r="J1811" s="40">
        <f>E1811</f>
        <v/>
      </c>
      <c r="K1811" s="40" t="n">
        <v>0</v>
      </c>
      <c r="L1811" s="40">
        <f>IF(B1811&gt;=in_marketplace_from,J1811*d_hz*G1811*in_eligible*H1811,0)</f>
        <v/>
      </c>
      <c r="M1811" s="40">
        <f>IF(B1811&gt;=in_marketplace_from,K1811*d_hz*G1811*in_eligible*in_approved_repeat,0)</f>
        <v/>
      </c>
      <c r="N1811" s="40">
        <f>L1811+M1811</f>
        <v/>
      </c>
      <c r="O1811" s="46">
        <f>N1811/F1811</f>
        <v/>
      </c>
      <c r="P1811" s="40">
        <f>F1811-J1811-K1811</f>
        <v/>
      </c>
      <c r="Q1811" s="40">
        <f>IF(B1811&gt;=in_marketplace_from,(J1811+K1811)*d_hz*G1811,0)</f>
        <v/>
      </c>
      <c r="R1811" s="40">
        <f>SUMIFS(N1811:N1816,B1811:B1816,"&gt;="&amp;(B1811-d_T),B1811:B1816,"&lt;="&amp;(B1811-1))</f>
        <v/>
      </c>
      <c r="S1811" s="46" t="n">
        <v>0</v>
      </c>
      <c r="T1811" s="40">
        <f>F1811*d_u*S1811</f>
        <v/>
      </c>
      <c r="U1811" s="9">
        <f>L1811*in_ticket+M1811*d_rep_ticket</f>
        <v/>
      </c>
      <c r="V1811" s="9">
        <f>U1811+T1811*d_topup_amt</f>
        <v/>
      </c>
      <c r="W1811" s="40">
        <f>N1811+T1811*d_topup_ratio</f>
        <v/>
      </c>
      <c r="X1811" s="40">
        <f>SUMIFS(W1811:W1816,B1811:B1816,B1811-in_dpd_lag)*d_cured</f>
        <v/>
      </c>
      <c r="Y1811" s="40">
        <f>SUMIFS(W1811:W1816,B1811:B1816,B1811-in_rec_lag)*d_recd</f>
        <v/>
      </c>
      <c r="Z1811" s="40">
        <f>IF(AND(B1811&gt;=in_marketplace_from,B1811&lt;in_marketplace_from+in_card_months),in_card_share/in_card_months*F1811*I1811,IF(AND(B1811&gt;=in_marketplace_from+in_card_months,B1811&lt;in_marketplace_from+2*in_card_months),in_card_share*d_card_rem/in_card_months*F1811*MIN(in_takeup_cap,(1+in_takeup_growth)^(D1811-1))*MIN(in_takeup_cap,(1+in_approval_growth)^(D1811-1)),0))</f>
        <v/>
      </c>
      <c r="AA1811" s="14">
        <f>V1811*in_fee*(1-in_taken_back)</f>
        <v/>
      </c>
      <c r="AB1811" s="14">
        <f>SUMIFS(W1811:W1816,B1811:B1816,B1811-in_dpd_lag)*d_dpd</f>
        <v/>
      </c>
      <c r="AC1811" s="14">
        <f>SUMIFS(W1811:W1816,B1811:B1816,B1811-in_rec_lag)*d_rec</f>
        <v/>
      </c>
      <c r="AD1811" s="14">
        <f>Z1811*in_card_fee</f>
        <v/>
      </c>
      <c r="AE1811" s="40" t="n">
        <v>1</v>
      </c>
      <c r="AF1811" s="46">
        <f>AE1811*IF(B1811&gt;=in_marketplace_from,d_hz_hlth_small*G1811,0)</f>
        <v/>
      </c>
      <c r="AG1811" s="14">
        <f>F1811*AF1811*in_hlth_small_ticket*in_hlth_small_comm*in_ins_partner_share+F1811*in_hlth_small_ticket*in_hlth_small_renew_comm*in_ins_partner_share*(in_hlth_small_renew^1*SUMIFS(AF1811:AF1816,B1811:B1816,B1811-12)+in_hlth_small_renew^2*SUMIFS(AF1811:AF1816,B1811:B1816,B1811-24)+in_hlth_small_renew^3*SUMIFS(AF1811:AF1816,B1811:B1816,B1811-36)+in_hlth_small_renew^4*SUMIFS(AF1811:AF1816,B1811:B1816,B1811-48))</f>
        <v/>
      </c>
      <c r="AH1811" s="40" t="n">
        <v>1</v>
      </c>
      <c r="AI1811" s="46">
        <f>AH1811*IF(B1811&gt;=in_marketplace_from,d_hz_hlth_family*G1811,0)</f>
        <v/>
      </c>
      <c r="AJ1811" s="14">
        <f>F1811*AI1811*in_hlth_family_ticket*in_hlth_family_comm*in_ins_partner_share+F1811*in_hlth_family_ticket*in_hlth_family_renew_comm*in_ins_partner_share*(in_hlth_family_renew^1*SUMIFS(AI1811:AI1816,B1811:B1816,B1811-12)+in_hlth_family_renew^2*SUMIFS(AI1811:AI1816,B1811:B1816,B1811-24)+in_hlth_family_renew^3*SUMIFS(AI1811:AI1816,B1811:B1816,B1811-36)+in_hlth_family_renew^4*SUMIFS(AI1811:AI1816,B1811:B1816,B1811-48))</f>
        <v/>
      </c>
      <c r="AK1811" s="40" t="n">
        <v>1</v>
      </c>
      <c r="AL1811" s="46">
        <f>AK1811*IF(B1811&gt;=in_marketplace_from,d_hz_life_term*G1811,0)</f>
        <v/>
      </c>
      <c r="AM1811" s="14">
        <f>F1811*AL1811*in_life_term_ticket*in_life_term_comm*in_ins_partner_share+F1811*in_life_term_ticket*in_life_term_renew_comm*in_ins_partner_share*(in_life_term_renew^1*SUMIFS(AL1811:AL1816,B1811:B1816,B1811-12)+in_life_term_renew^2*SUMIFS(AL1811:AL1816,B1811:B1816,B1811-24)+in_life_term_renew^3*SUMIFS(AL1811:AL1816,B1811:B1816,B1811-36)+in_life_term_renew^4*SUMIFS(AL1811:AL1816,B1811:B1816,B1811-48))</f>
        <v/>
      </c>
      <c r="AN1811" s="40" t="n">
        <v>1</v>
      </c>
      <c r="AO1811" s="46">
        <f>AN1811*IF(B1811&gt;=in_marketplace_from,d_hz_accident*G1811,0)</f>
        <v/>
      </c>
      <c r="AP1811" s="14">
        <f>F1811*AO1811*in_accident_ticket*in_accident_comm*in_ins_partner_share+F1811*in_accident_ticket*in_accident_renew_comm*in_ins_partner_share*(in_accident_renew^1*SUMIFS(AO1811:AO1816,B1811:B1816,B1811-12)+in_accident_renew^2*SUMIFS(AO1811:AO1816,B1811:B1816,B1811-24)+in_accident_renew^3*SUMIFS(AO1811:AO1816,B1811:B1816,B1811-36)+in_accident_renew^4*SUMIFS(AO1811:AO1816,B1811:B1816,B1811-48))</f>
        <v/>
      </c>
      <c r="AQ1811" s="40" t="n">
        <v>1</v>
      </c>
      <c r="AR1811" s="46">
        <f>AQ1811*IF(B1811&gt;=in_marketplace_from,d_hz_two_wheeler*G1811,0)</f>
        <v/>
      </c>
      <c r="AS1811" s="14">
        <f>F1811*AR1811*in_two_wheeler_ticket*in_two_wheeler_comm*in_ins_partner_share+F1811*in_two_wheeler_ticket*in_two_wheeler_comm*in_ins_partner_share*(in_two_wheeler_renew^1*SUMIFS(AR1811:AR1816,B1811:B1816,B1811-12)+in_two_wheeler_renew^2*SUMIFS(AR1811:AR1816,B1811:B1816,B1811-24)+in_two_wheeler_renew^3*SUMIFS(AR1811:AR1816,B1811:B1816,B1811-36)+in_two_wheeler_renew^4*SUMIFS(AR1811:AR1816,B1811:B1816,B1811-48))</f>
        <v/>
      </c>
      <c r="AT1811" s="40" t="n">
        <v>1</v>
      </c>
      <c r="AU1811" s="14">
        <f>F1811*AT1811*IF(B1811&gt;=in_marketplace_from,d_hz_device*G1811,0)*in_device_ticket*in_device_comm*in_ins_partner_share</f>
        <v/>
      </c>
      <c r="AV1811" s="40" t="n">
        <v>1</v>
      </c>
      <c r="AW1811" s="46">
        <f>AV1811*IF(B1811&gt;=in_marketplace_from,d_hz_shop*G1811,0)</f>
        <v/>
      </c>
      <c r="AX1811" s="14">
        <f>F1811*AW1811*in_shop_ticket*in_shop_comm*in_ins_partner_share+F1811*in_shop_ticket*in_shop_renew_comm*in_ins_partner_share*(in_shop_renew^1*SUMIFS(AW1811:AW1816,B1811:B1816,B1811-12)+in_shop_renew^2*SUMIFS(AW1811:AW1816,B1811:B1816,B1811-24)+in_shop_renew^3*SUMIFS(AW1811:AW1816,B1811:B1816,B1811-36)+in_shop_renew^4*SUMIFS(AW1811:AW1816,B1811:B1816,B1811-48))</f>
        <v/>
      </c>
      <c r="AY1811" s="40" t="n">
        <v>1</v>
      </c>
      <c r="AZ1811" s="40">
        <f>AY1811*IF(B1811&gt;=in_marketplace_from,d_hz_sip*G1811,0)</f>
        <v/>
      </c>
      <c r="BA1811" s="40" t="n">
        <v>0</v>
      </c>
      <c r="BB1811" s="14">
        <f>F1811*in_sip_ticket*(BA1811+0.5*AZ1811)*in_sip_comm/12</f>
        <v/>
      </c>
      <c r="BC1811" s="40" t="n">
        <v>1</v>
      </c>
      <c r="BD1811" s="46">
        <f>BC1811*IF(B1811&gt;=in_marketplace_from,d_hz_choti*G1811,0)</f>
        <v/>
      </c>
      <c r="BE1811" s="14">
        <f>F1811*SUMIFS(BD1811:BD1816,B1811:B1816,B1811-in_choti_months)*in_choti_renew*in_choti_ticket</f>
        <v/>
      </c>
      <c r="BF1811" s="40" t="n">
        <v>1</v>
      </c>
      <c r="BG1811" s="14">
        <f>F1811*BF1811*IF(B1811&gt;=in_marketplace_from,d_hz_nps*G1811,0)*in_nps_ticket*in_nps_comm</f>
        <v/>
      </c>
      <c r="BH1811" s="40" t="n">
        <v>1</v>
      </c>
      <c r="BI1811" s="40">
        <f>BH1811*IF(B1811&gt;=in_marketplace_from,d_hz_gold*G1811,0)</f>
        <v/>
      </c>
      <c r="BJ1811" s="14">
        <f>F1811*BI1811*in_gold_ticket*in_gold_comm</f>
        <v/>
      </c>
      <c r="BK1811" s="40" t="n">
        <v>1</v>
      </c>
      <c r="BL1811" s="14">
        <f>F1811*BK1811*IF(B1811&gt;=in_marketplace_from,d_hz_fd*G1811,0)*in_fd_ticket*in_fd_comm</f>
        <v/>
      </c>
      <c r="BM1811" s="40" t="n">
        <v>1</v>
      </c>
      <c r="BN1811" s="40">
        <f>BM1811*IF(B1811&gt;=in_marketplace_from,d_hz_recharge*G1811,0)</f>
        <v/>
      </c>
      <c r="BO1811" s="14">
        <f>F1811*BN1811*in_recharge_ticket*in_recharge_comm/12</f>
        <v/>
      </c>
      <c r="BP1811" s="40" t="n">
        <v>1</v>
      </c>
      <c r="BQ1811" s="40">
        <f>BP1811*IF(B1811&gt;=in_marketplace_from,d_hz_bills*G1811,0)</f>
        <v/>
      </c>
      <c r="BR1811" s="14">
        <f>F1811*BQ1811*in_bills_ticket*in_bills_comm/12</f>
        <v/>
      </c>
      <c r="BS1811" s="40" t="n">
        <v>1</v>
      </c>
      <c r="BT1811" s="14">
        <f>F1811*BS1811*IF(B1811&gt;=in_marketplace_from,d_hz_loan_gold*G1811,0)*in_loan_gold_ticket*in_loan_gold_comm</f>
        <v/>
      </c>
      <c r="BU1811" s="40" t="n">
        <v>1</v>
      </c>
      <c r="BV1811" s="14">
        <f>F1811*BU1811*IF(B1811&gt;=in_marketplace_from,d_hz_loan_cd*G1811,0)*in_loan_cd_ticket*in_loan_cd_comm</f>
        <v/>
      </c>
      <c r="BW1811" s="40" t="n">
        <v>1</v>
      </c>
      <c r="BX1811" s="14">
        <f>F1811*BW1811*IF(B1811&gt;=in_marketplace_from,d_hz_loan_vehicle*G1811,0)*in_loan_vehicle_ticket*in_loan_vehicle_comm</f>
        <v/>
      </c>
      <c r="BY1811" s="40" t="n">
        <v>1</v>
      </c>
      <c r="BZ1811" s="11">
        <f>MIN(in_approval_cap,in_loan_home_approval*INDEX('Age profile'!$O$2:$O$61,B1811)*(1+in_approval_growth)^(D1811-1))</f>
        <v/>
      </c>
      <c r="CA1811" s="14">
        <f>F1811*BY1811*IF(B1811&gt;=in_marketplace_from,d_hz_loan_home*G1811,0)*BZ1811*in_loan_home_ticket*in_loan_home_comm</f>
        <v/>
      </c>
      <c r="CB1811" s="40" t="n">
        <v>1</v>
      </c>
      <c r="CC1811" s="11">
        <f>MIN(in_approval_cap,in_loan_lap_approval*INDEX('Age profile'!$O$2:$O$61,B1811)*(1+in_approval_growth)^(D1811-1))</f>
        <v/>
      </c>
      <c r="CD1811" s="14">
        <f>F1811*CB1811*IF(B1811&gt;=in_marketplace_from,d_hz_loan_lap*G1811,0)*CC1811*in_loan_lap_ticket*in_loan_lap_comm</f>
        <v/>
      </c>
      <c r="CE1811" s="14">
        <f>AA1811+AB1811+AC1811+AD1811+AG1811+AJ1811+AM1811+AP1811+AS1811+AU1811+AX1811+BB1811+BE1811+BG1811+BJ1811+BL1811+BO1811+BR1811+BT1811+BV1811+BX1811+CA1811+CD1811</f>
        <v/>
      </c>
    </row>
    <row r="1812">
      <c r="A1812" s="39" t="n">
        <v>55</v>
      </c>
      <c r="B1812" s="39" t="n">
        <v>2</v>
      </c>
      <c r="C1812" s="39">
        <f>A1812+B1812-1</f>
        <v/>
      </c>
      <c r="D1812" s="39">
        <f>INT((C1812-1)/12)+1</f>
        <v/>
      </c>
      <c r="E1812" s="44">
        <f>INDEX(Monthly!$B$2:$B$61,A1812)</f>
        <v/>
      </c>
      <c r="F1812" s="44">
        <f>E1812*INDEX('Age profile'!$B$2:$B$61,B1812)</f>
        <v/>
      </c>
      <c r="G1812" s="45">
        <f>MIN(in_takeup_cap,INDEX('Age profile'!$N$2:$N$61,B1812)*(1+in_takeup_growth)^(D1812-1))</f>
        <v/>
      </c>
      <c r="H1812" s="11">
        <f>MIN(in_approval_cap,in_approved_first*INDEX('Age profile'!$O$2:$O$61,B1812)*(1+in_approval_growth)^(D1812-1))</f>
        <v/>
      </c>
      <c r="I1812" s="45">
        <f>G1812*MIN(in_takeup_cap,INDEX('Age profile'!$O$2:$O$61,B1812)*(1+in_approval_growth)^(D1812-1))</f>
        <v/>
      </c>
      <c r="J1812" s="40">
        <f>(J1811-L1811)*F1812/F1811</f>
        <v/>
      </c>
      <c r="K1812" s="40">
        <f>(K1811-M1811)*F1812/F1811+SUMIFS(O1811:O1811,B1811:B1811,B1812-1-d_T)*F1812</f>
        <v/>
      </c>
      <c r="L1812" s="40">
        <f>IF(B1812&gt;=in_marketplace_from,J1812*d_hz*G1812*in_eligible*H1812,0)</f>
        <v/>
      </c>
      <c r="M1812" s="40">
        <f>IF(B1812&gt;=in_marketplace_from,K1812*d_hz*G1812*in_eligible*in_approved_repeat,0)</f>
        <v/>
      </c>
      <c r="N1812" s="40">
        <f>L1812+M1812</f>
        <v/>
      </c>
      <c r="O1812" s="46">
        <f>N1812/F1812</f>
        <v/>
      </c>
      <c r="P1812" s="40">
        <f>F1812-J1812-K1812</f>
        <v/>
      </c>
      <c r="Q1812" s="40">
        <f>IF(B1812&gt;=in_marketplace_from,(J1812+K1812)*d_hz*G1812,0)</f>
        <v/>
      </c>
      <c r="R1812" s="40">
        <f>SUMIFS(N1811:N1816,B1811:B1816,"&gt;="&amp;(B1812-d_T),B1811:B1816,"&lt;="&amp;(B1812-1))</f>
        <v/>
      </c>
      <c r="S1812" s="46">
        <f>(1-d_u)*S1811+IF(d_T&gt;in_topup_lag,SUMIFS(O1811:O1816,B1811:B1816,B1812-in_topup_lag)-d_udrop*SUMIFS(O1811:O1816,B1811:B1816,B1812-d_T),0)</f>
        <v/>
      </c>
      <c r="T1812" s="40">
        <f>F1812*d_u*S1812</f>
        <v/>
      </c>
      <c r="U1812" s="9">
        <f>L1812*in_ticket+M1812*d_rep_ticket</f>
        <v/>
      </c>
      <c r="V1812" s="9">
        <f>U1812+T1812*d_topup_amt</f>
        <v/>
      </c>
      <c r="W1812" s="40">
        <f>N1812+T1812*d_topup_ratio</f>
        <v/>
      </c>
      <c r="X1812" s="40">
        <f>SUMIFS(W1811:W1816,B1811:B1816,B1812-in_dpd_lag)*d_cured</f>
        <v/>
      </c>
      <c r="Y1812" s="40">
        <f>SUMIFS(W1811:W1816,B1811:B1816,B1812-in_rec_lag)*d_recd</f>
        <v/>
      </c>
      <c r="Z1812" s="40">
        <f>IF(AND(B1812&gt;=in_marketplace_from,B1812&lt;in_marketplace_from+in_card_months),in_card_share/in_card_months*F1812*I1812,IF(AND(B1812&gt;=in_marketplace_from+in_card_months,B1812&lt;in_marketplace_from+2*in_card_months),in_card_share*d_card_rem/in_card_months*F1812*MIN(in_takeup_cap,(1+in_takeup_growth)^(D1812-1))*MIN(in_takeup_cap,(1+in_approval_growth)^(D1812-1)),0))</f>
        <v/>
      </c>
      <c r="AA1812" s="14">
        <f>V1812*in_fee*(1-in_taken_back)</f>
        <v/>
      </c>
      <c r="AB1812" s="14">
        <f>SUMIFS(W1811:W1816,B1811:B1816,B1812-in_dpd_lag)*d_dpd</f>
        <v/>
      </c>
      <c r="AC1812" s="14">
        <f>SUMIFS(W1811:W1816,B1811:B1816,B1812-in_rec_lag)*d_rec</f>
        <v/>
      </c>
      <c r="AD1812" s="14">
        <f>Z1812*in_card_fee</f>
        <v/>
      </c>
      <c r="AE1812" s="40">
        <f>AE1811*(1-IF(B1811&gt;=in_marketplace_from,d_hz_hlth_small*G1811,0))</f>
        <v/>
      </c>
      <c r="AF1812" s="46">
        <f>AE1812*IF(B1812&gt;=in_marketplace_from,d_hz_hlth_small*G1812,0)</f>
        <v/>
      </c>
      <c r="AG1812" s="14">
        <f>F1812*AF1812*in_hlth_small_ticket*in_hlth_small_comm*in_ins_partner_share+F1812*in_hlth_small_ticket*in_hlth_small_renew_comm*in_ins_partner_share*(in_hlth_small_renew^1*SUMIFS(AF1811:AF1816,B1811:B1816,B1812-12)+in_hlth_small_renew^2*SUMIFS(AF1811:AF1816,B1811:B1816,B1812-24)+in_hlth_small_renew^3*SUMIFS(AF1811:AF1816,B1811:B1816,B1812-36)+in_hlth_small_renew^4*SUMIFS(AF1811:AF1816,B1811:B1816,B1812-48))</f>
        <v/>
      </c>
      <c r="AH1812" s="40">
        <f>AH1811*(1-IF(B1811&gt;=in_marketplace_from,d_hz_hlth_family*G1811,0))</f>
        <v/>
      </c>
      <c r="AI1812" s="46">
        <f>AH1812*IF(B1812&gt;=in_marketplace_from,d_hz_hlth_family*G1812,0)</f>
        <v/>
      </c>
      <c r="AJ1812" s="14">
        <f>F1812*AI1812*in_hlth_family_ticket*in_hlth_family_comm*in_ins_partner_share+F1812*in_hlth_family_ticket*in_hlth_family_renew_comm*in_ins_partner_share*(in_hlth_family_renew^1*SUMIFS(AI1811:AI1816,B1811:B1816,B1812-12)+in_hlth_family_renew^2*SUMIFS(AI1811:AI1816,B1811:B1816,B1812-24)+in_hlth_family_renew^3*SUMIFS(AI1811:AI1816,B1811:B1816,B1812-36)+in_hlth_family_renew^4*SUMIFS(AI1811:AI1816,B1811:B1816,B1812-48))</f>
        <v/>
      </c>
      <c r="AK1812" s="40">
        <f>AK1811*(1-IF(B1811&gt;=in_marketplace_from,d_hz_life_term*G1811,0))</f>
        <v/>
      </c>
      <c r="AL1812" s="46">
        <f>AK1812*IF(B1812&gt;=in_marketplace_from,d_hz_life_term*G1812,0)</f>
        <v/>
      </c>
      <c r="AM1812" s="14">
        <f>F1812*AL1812*in_life_term_ticket*in_life_term_comm*in_ins_partner_share+F1812*in_life_term_ticket*in_life_term_renew_comm*in_ins_partner_share*(in_life_term_renew^1*SUMIFS(AL1811:AL1816,B1811:B1816,B1812-12)+in_life_term_renew^2*SUMIFS(AL1811:AL1816,B1811:B1816,B1812-24)+in_life_term_renew^3*SUMIFS(AL1811:AL1816,B1811:B1816,B1812-36)+in_life_term_renew^4*SUMIFS(AL1811:AL1816,B1811:B1816,B1812-48))</f>
        <v/>
      </c>
      <c r="AN1812" s="40">
        <f>AN1811*(1-IF(B1811&gt;=in_marketplace_from,d_hz_accident*G1811,0))</f>
        <v/>
      </c>
      <c r="AO1812" s="46">
        <f>AN1812*IF(B1812&gt;=in_marketplace_from,d_hz_accident*G1812,0)</f>
        <v/>
      </c>
      <c r="AP1812" s="14">
        <f>F1812*AO1812*in_accident_ticket*in_accident_comm*in_ins_partner_share+F1812*in_accident_ticket*in_accident_renew_comm*in_ins_partner_share*(in_accident_renew^1*SUMIFS(AO1811:AO1816,B1811:B1816,B1812-12)+in_accident_renew^2*SUMIFS(AO1811:AO1816,B1811:B1816,B1812-24)+in_accident_renew^3*SUMIFS(AO1811:AO1816,B1811:B1816,B1812-36)+in_accident_renew^4*SUMIFS(AO1811:AO1816,B1811:B1816,B1812-48))</f>
        <v/>
      </c>
      <c r="AQ1812" s="40">
        <f>AQ1811*(1-IF(B1811&gt;=in_marketplace_from,d_hz_two_wheeler*G1811,0))</f>
        <v/>
      </c>
      <c r="AR1812" s="46">
        <f>AQ1812*IF(B1812&gt;=in_marketplace_from,d_hz_two_wheeler*G1812,0)</f>
        <v/>
      </c>
      <c r="AS1812" s="14">
        <f>F1812*AR1812*in_two_wheeler_ticket*in_two_wheeler_comm*in_ins_partner_share+F1812*in_two_wheeler_ticket*in_two_wheeler_comm*in_ins_partner_share*(in_two_wheeler_renew^1*SUMIFS(AR1811:AR1816,B1811:B1816,B1812-12)+in_two_wheeler_renew^2*SUMIFS(AR1811:AR1816,B1811:B1816,B1812-24)+in_two_wheeler_renew^3*SUMIFS(AR1811:AR1816,B1811:B1816,B1812-36)+in_two_wheeler_renew^4*SUMIFS(AR1811:AR1816,B1811:B1816,B1812-48))</f>
        <v/>
      </c>
      <c r="AT1812" s="40">
        <f>AT1811*(1-IF(B1811&gt;=in_marketplace_from,d_hz_device*G1811,0))</f>
        <v/>
      </c>
      <c r="AU1812" s="14">
        <f>F1812*AT1812*IF(B1812&gt;=in_marketplace_from,d_hz_device*G1812,0)*in_device_ticket*in_device_comm*in_ins_partner_share</f>
        <v/>
      </c>
      <c r="AV1812" s="40">
        <f>AV1811*(1-IF(B1811&gt;=in_marketplace_from,d_hz_shop*G1811,0))</f>
        <v/>
      </c>
      <c r="AW1812" s="46">
        <f>AV1812*IF(B1812&gt;=in_marketplace_from,d_hz_shop*G1812,0)</f>
        <v/>
      </c>
      <c r="AX1812" s="14">
        <f>F1812*AW1812*in_shop_ticket*in_shop_comm*in_ins_partner_share+F1812*in_shop_ticket*in_shop_renew_comm*in_ins_partner_share*(in_shop_renew^1*SUMIFS(AW1811:AW1816,B1811:B1816,B1812-12)+in_shop_renew^2*SUMIFS(AW1811:AW1816,B1811:B1816,B1812-24)+in_shop_renew^3*SUMIFS(AW1811:AW1816,B1811:B1816,B1812-36)+in_shop_renew^4*SUMIFS(AW1811:AW1816,B1811:B1816,B1812-48))</f>
        <v/>
      </c>
      <c r="AY1812" s="40">
        <f>AY1811*(1-IF(B1811&gt;=in_marketplace_from,d_hz_sip*G1811,0))</f>
        <v/>
      </c>
      <c r="AZ1812" s="40">
        <f>AZ1811*d_rho_sip+AY1812*IF(B1812&gt;=in_marketplace_from,d_hz_sip*G1812,0)</f>
        <v/>
      </c>
      <c r="BA1812" s="40">
        <f>d_rho_sip*(BA1811+AZ1811)</f>
        <v/>
      </c>
      <c r="BB1812" s="14">
        <f>F1812*in_sip_ticket*(BA1812+0.5*AZ1812)*in_sip_comm/12</f>
        <v/>
      </c>
      <c r="BC1812" s="40">
        <f>BC1811*(1-IF(B1811&gt;=in_marketplace_from,d_hz_choti*G1811,0))</f>
        <v/>
      </c>
      <c r="BD1812" s="46">
        <f>BC1812*IF(B1812&gt;=in_marketplace_from,d_hz_choti*G1812,0)</f>
        <v/>
      </c>
      <c r="BE1812" s="14">
        <f>F1812*SUMIFS(BD1811:BD1816,B1811:B1816,B1812-in_choti_months)*in_choti_renew*in_choti_ticket</f>
        <v/>
      </c>
      <c r="BF1812" s="40">
        <f>BF1811*(1-IF(B1811&gt;=in_marketplace_from,d_hz_nps*G1811,0))</f>
        <v/>
      </c>
      <c r="BG1812" s="14">
        <f>F1812*BF1812*IF(B1812&gt;=in_marketplace_from,d_hz_nps*G1812,0)*in_nps_ticket*in_nps_comm</f>
        <v/>
      </c>
      <c r="BH1812" s="40">
        <f>BH1811*(1-IF(B1811&gt;=in_marketplace_from,d_hz_gold*G1811,0))</f>
        <v/>
      </c>
      <c r="BI1812" s="40">
        <f>BI1811*d_rho_gold+BH1812*IF(B1812&gt;=in_marketplace_from,d_hz_gold*G1812,0)</f>
        <v/>
      </c>
      <c r="BJ1812" s="14">
        <f>F1812*BI1812*in_gold_ticket*in_gold_comm</f>
        <v/>
      </c>
      <c r="BK1812" s="40">
        <f>BK1811*(1-IF(B1811&gt;=in_marketplace_from,d_hz_fd*G1811,0))</f>
        <v/>
      </c>
      <c r="BL1812" s="14">
        <f>F1812*BK1812*IF(B1812&gt;=in_marketplace_from,d_hz_fd*G1812,0)*in_fd_ticket*in_fd_comm</f>
        <v/>
      </c>
      <c r="BM1812" s="40">
        <f>BM1811*(1-IF(B1811&gt;=in_marketplace_from,d_hz_recharge*G1811,0))</f>
        <v/>
      </c>
      <c r="BN1812" s="40">
        <f>BN1811*d_rho_recharge+BM1812*IF(B1812&gt;=in_marketplace_from,d_hz_recharge*G1812,0)</f>
        <v/>
      </c>
      <c r="BO1812" s="14">
        <f>F1812*BN1812*in_recharge_ticket*in_recharge_comm/12</f>
        <v/>
      </c>
      <c r="BP1812" s="40">
        <f>BP1811*(1-IF(B1811&gt;=in_marketplace_from,d_hz_bills*G1811,0))</f>
        <v/>
      </c>
      <c r="BQ1812" s="40">
        <f>BQ1811*d_rho_bills+BP1812*IF(B1812&gt;=in_marketplace_from,d_hz_bills*G1812,0)</f>
        <v/>
      </c>
      <c r="BR1812" s="14">
        <f>F1812*BQ1812*in_bills_ticket*in_bills_comm/12</f>
        <v/>
      </c>
      <c r="BS1812" s="40">
        <f>BS1811*(1-IF(B1811&gt;=in_marketplace_from,d_hz_loan_gold*G1811,0))</f>
        <v/>
      </c>
      <c r="BT1812" s="14">
        <f>F1812*BS1812*IF(B1812&gt;=in_marketplace_from,d_hz_loan_gold*G1812,0)*in_loan_gold_ticket*in_loan_gold_comm</f>
        <v/>
      </c>
      <c r="BU1812" s="40">
        <f>BU1811*(1-IF(B1811&gt;=in_marketplace_from,d_hz_loan_cd*G1811,0))</f>
        <v/>
      </c>
      <c r="BV1812" s="14">
        <f>F1812*BU1812*IF(B1812&gt;=in_marketplace_from,d_hz_loan_cd*G1812,0)*in_loan_cd_ticket*in_loan_cd_comm</f>
        <v/>
      </c>
      <c r="BW1812" s="40">
        <f>BW1811*(1-IF(B1811&gt;=in_marketplace_from,d_hz_loan_vehicle*G1811,0))</f>
        <v/>
      </c>
      <c r="BX1812" s="14">
        <f>F1812*BW1812*IF(B1812&gt;=in_marketplace_from,d_hz_loan_vehicle*G1812,0)*in_loan_vehicle_ticket*in_loan_vehicle_comm</f>
        <v/>
      </c>
      <c r="BY1812" s="40">
        <f>BY1811*(1-IF(B1811&gt;=in_marketplace_from,d_hz_loan_home*G1811,0)*BZ1811)</f>
        <v/>
      </c>
      <c r="BZ1812" s="11">
        <f>MIN(in_approval_cap,in_loan_home_approval*INDEX('Age profile'!$O$2:$O$61,B1812)*(1+in_approval_growth)^(D1812-1))</f>
        <v/>
      </c>
      <c r="CA1812" s="14">
        <f>F1812*BY1812*IF(B1812&gt;=in_marketplace_from,d_hz_loan_home*G1812,0)*BZ1812*in_loan_home_ticket*in_loan_home_comm</f>
        <v/>
      </c>
      <c r="CB1812" s="40">
        <f>CB1811*(1-IF(B1811&gt;=in_marketplace_from,d_hz_loan_lap*G1811,0)*CC1811)</f>
        <v/>
      </c>
      <c r="CC1812" s="11">
        <f>MIN(in_approval_cap,in_loan_lap_approval*INDEX('Age profile'!$O$2:$O$61,B1812)*(1+in_approval_growth)^(D1812-1))</f>
        <v/>
      </c>
      <c r="CD1812" s="14">
        <f>F1812*CB1812*IF(B1812&gt;=in_marketplace_from,d_hz_loan_lap*G1812,0)*CC1812*in_loan_lap_ticket*in_loan_lap_comm</f>
        <v/>
      </c>
      <c r="CE1812" s="14">
        <f>AA1812+AB1812+AC1812+AD1812+AG1812+AJ1812+AM1812+AP1812+AS1812+AU1812+AX1812+BB1812+BE1812+BG1812+BJ1812+BL1812+BO1812+BR1812+BT1812+BV1812+BX1812+CA1812+CD1812</f>
        <v/>
      </c>
    </row>
    <row r="1813">
      <c r="A1813" s="39" t="n">
        <v>55</v>
      </c>
      <c r="B1813" s="39" t="n">
        <v>3</v>
      </c>
      <c r="C1813" s="39">
        <f>A1813+B1813-1</f>
        <v/>
      </c>
      <c r="D1813" s="39">
        <f>INT((C1813-1)/12)+1</f>
        <v/>
      </c>
      <c r="E1813" s="44">
        <f>INDEX(Monthly!$B$2:$B$61,A1813)</f>
        <v/>
      </c>
      <c r="F1813" s="44">
        <f>E1813*INDEX('Age profile'!$B$2:$B$61,B1813)</f>
        <v/>
      </c>
      <c r="G1813" s="45">
        <f>MIN(in_takeup_cap,INDEX('Age profile'!$N$2:$N$61,B1813)*(1+in_takeup_growth)^(D1813-1))</f>
        <v/>
      </c>
      <c r="H1813" s="11">
        <f>MIN(in_approval_cap,in_approved_first*INDEX('Age profile'!$O$2:$O$61,B1813)*(1+in_approval_growth)^(D1813-1))</f>
        <v/>
      </c>
      <c r="I1813" s="45">
        <f>G1813*MIN(in_takeup_cap,INDEX('Age profile'!$O$2:$O$61,B1813)*(1+in_approval_growth)^(D1813-1))</f>
        <v/>
      </c>
      <c r="J1813" s="40">
        <f>(J1812-L1812)*F1813/F1812</f>
        <v/>
      </c>
      <c r="K1813" s="40">
        <f>(K1812-M1812)*F1813/F1812+SUMIFS(O1811:O1812,B1811:B1812,B1813-1-d_T)*F1813</f>
        <v/>
      </c>
      <c r="L1813" s="40">
        <f>IF(B1813&gt;=in_marketplace_from,J1813*d_hz*G1813*in_eligible*H1813,0)</f>
        <v/>
      </c>
      <c r="M1813" s="40">
        <f>IF(B1813&gt;=in_marketplace_from,K1813*d_hz*G1813*in_eligible*in_approved_repeat,0)</f>
        <v/>
      </c>
      <c r="N1813" s="40">
        <f>L1813+M1813</f>
        <v/>
      </c>
      <c r="O1813" s="46">
        <f>N1813/F1813</f>
        <v/>
      </c>
      <c r="P1813" s="40">
        <f>F1813-J1813-K1813</f>
        <v/>
      </c>
      <c r="Q1813" s="40">
        <f>IF(B1813&gt;=in_marketplace_from,(J1813+K1813)*d_hz*G1813,0)</f>
        <v/>
      </c>
      <c r="R1813" s="40">
        <f>SUMIFS(N1811:N1816,B1811:B1816,"&gt;="&amp;(B1813-d_T),B1811:B1816,"&lt;="&amp;(B1813-1))</f>
        <v/>
      </c>
      <c r="S1813" s="46">
        <f>(1-d_u)*S1812+IF(d_T&gt;in_topup_lag,SUMIFS(O1811:O1816,B1811:B1816,B1813-in_topup_lag)-d_udrop*SUMIFS(O1811:O1816,B1811:B1816,B1813-d_T),0)</f>
        <v/>
      </c>
      <c r="T1813" s="40">
        <f>F1813*d_u*S1813</f>
        <v/>
      </c>
      <c r="U1813" s="9">
        <f>L1813*in_ticket+M1813*d_rep_ticket</f>
        <v/>
      </c>
      <c r="V1813" s="9">
        <f>U1813+T1813*d_topup_amt</f>
        <v/>
      </c>
      <c r="W1813" s="40">
        <f>N1813+T1813*d_topup_ratio</f>
        <v/>
      </c>
      <c r="X1813" s="40">
        <f>SUMIFS(W1811:W1816,B1811:B1816,B1813-in_dpd_lag)*d_cured</f>
        <v/>
      </c>
      <c r="Y1813" s="40">
        <f>SUMIFS(W1811:W1816,B1811:B1816,B1813-in_rec_lag)*d_recd</f>
        <v/>
      </c>
      <c r="Z1813" s="40">
        <f>IF(AND(B1813&gt;=in_marketplace_from,B1813&lt;in_marketplace_from+in_card_months),in_card_share/in_card_months*F1813*I1813,IF(AND(B1813&gt;=in_marketplace_from+in_card_months,B1813&lt;in_marketplace_from+2*in_card_months),in_card_share*d_card_rem/in_card_months*F1813*MIN(in_takeup_cap,(1+in_takeup_growth)^(D1813-1))*MIN(in_takeup_cap,(1+in_approval_growth)^(D1813-1)),0))</f>
        <v/>
      </c>
      <c r="AA1813" s="14">
        <f>V1813*in_fee*(1-in_taken_back)</f>
        <v/>
      </c>
      <c r="AB1813" s="14">
        <f>SUMIFS(W1811:W1816,B1811:B1816,B1813-in_dpd_lag)*d_dpd</f>
        <v/>
      </c>
      <c r="AC1813" s="14">
        <f>SUMIFS(W1811:W1816,B1811:B1816,B1813-in_rec_lag)*d_rec</f>
        <v/>
      </c>
      <c r="AD1813" s="14">
        <f>Z1813*in_card_fee</f>
        <v/>
      </c>
      <c r="AE1813" s="40">
        <f>AE1812*(1-IF(B1812&gt;=in_marketplace_from,d_hz_hlth_small*G1812,0))</f>
        <v/>
      </c>
      <c r="AF1813" s="46">
        <f>AE1813*IF(B1813&gt;=in_marketplace_from,d_hz_hlth_small*G1813,0)</f>
        <v/>
      </c>
      <c r="AG1813" s="14">
        <f>F1813*AF1813*in_hlth_small_ticket*in_hlth_small_comm*in_ins_partner_share+F1813*in_hlth_small_ticket*in_hlth_small_renew_comm*in_ins_partner_share*(in_hlth_small_renew^1*SUMIFS(AF1811:AF1816,B1811:B1816,B1813-12)+in_hlth_small_renew^2*SUMIFS(AF1811:AF1816,B1811:B1816,B1813-24)+in_hlth_small_renew^3*SUMIFS(AF1811:AF1816,B1811:B1816,B1813-36)+in_hlth_small_renew^4*SUMIFS(AF1811:AF1816,B1811:B1816,B1813-48))</f>
        <v/>
      </c>
      <c r="AH1813" s="40">
        <f>AH1812*(1-IF(B1812&gt;=in_marketplace_from,d_hz_hlth_family*G1812,0))</f>
        <v/>
      </c>
      <c r="AI1813" s="46">
        <f>AH1813*IF(B1813&gt;=in_marketplace_from,d_hz_hlth_family*G1813,0)</f>
        <v/>
      </c>
      <c r="AJ1813" s="14">
        <f>F1813*AI1813*in_hlth_family_ticket*in_hlth_family_comm*in_ins_partner_share+F1813*in_hlth_family_ticket*in_hlth_family_renew_comm*in_ins_partner_share*(in_hlth_family_renew^1*SUMIFS(AI1811:AI1816,B1811:B1816,B1813-12)+in_hlth_family_renew^2*SUMIFS(AI1811:AI1816,B1811:B1816,B1813-24)+in_hlth_family_renew^3*SUMIFS(AI1811:AI1816,B1811:B1816,B1813-36)+in_hlth_family_renew^4*SUMIFS(AI1811:AI1816,B1811:B1816,B1813-48))</f>
        <v/>
      </c>
      <c r="AK1813" s="40">
        <f>AK1812*(1-IF(B1812&gt;=in_marketplace_from,d_hz_life_term*G1812,0))</f>
        <v/>
      </c>
      <c r="AL1813" s="46">
        <f>AK1813*IF(B1813&gt;=in_marketplace_from,d_hz_life_term*G1813,0)</f>
        <v/>
      </c>
      <c r="AM1813" s="14">
        <f>F1813*AL1813*in_life_term_ticket*in_life_term_comm*in_ins_partner_share+F1813*in_life_term_ticket*in_life_term_renew_comm*in_ins_partner_share*(in_life_term_renew^1*SUMIFS(AL1811:AL1816,B1811:B1816,B1813-12)+in_life_term_renew^2*SUMIFS(AL1811:AL1816,B1811:B1816,B1813-24)+in_life_term_renew^3*SUMIFS(AL1811:AL1816,B1811:B1816,B1813-36)+in_life_term_renew^4*SUMIFS(AL1811:AL1816,B1811:B1816,B1813-48))</f>
        <v/>
      </c>
      <c r="AN1813" s="40">
        <f>AN1812*(1-IF(B1812&gt;=in_marketplace_from,d_hz_accident*G1812,0))</f>
        <v/>
      </c>
      <c r="AO1813" s="46">
        <f>AN1813*IF(B1813&gt;=in_marketplace_from,d_hz_accident*G1813,0)</f>
        <v/>
      </c>
      <c r="AP1813" s="14">
        <f>F1813*AO1813*in_accident_ticket*in_accident_comm*in_ins_partner_share+F1813*in_accident_ticket*in_accident_renew_comm*in_ins_partner_share*(in_accident_renew^1*SUMIFS(AO1811:AO1816,B1811:B1816,B1813-12)+in_accident_renew^2*SUMIFS(AO1811:AO1816,B1811:B1816,B1813-24)+in_accident_renew^3*SUMIFS(AO1811:AO1816,B1811:B1816,B1813-36)+in_accident_renew^4*SUMIFS(AO1811:AO1816,B1811:B1816,B1813-48))</f>
        <v/>
      </c>
      <c r="AQ1813" s="40">
        <f>AQ1812*(1-IF(B1812&gt;=in_marketplace_from,d_hz_two_wheeler*G1812,0))</f>
        <v/>
      </c>
      <c r="AR1813" s="46">
        <f>AQ1813*IF(B1813&gt;=in_marketplace_from,d_hz_two_wheeler*G1813,0)</f>
        <v/>
      </c>
      <c r="AS1813" s="14">
        <f>F1813*AR1813*in_two_wheeler_ticket*in_two_wheeler_comm*in_ins_partner_share+F1813*in_two_wheeler_ticket*in_two_wheeler_comm*in_ins_partner_share*(in_two_wheeler_renew^1*SUMIFS(AR1811:AR1816,B1811:B1816,B1813-12)+in_two_wheeler_renew^2*SUMIFS(AR1811:AR1816,B1811:B1816,B1813-24)+in_two_wheeler_renew^3*SUMIFS(AR1811:AR1816,B1811:B1816,B1813-36)+in_two_wheeler_renew^4*SUMIFS(AR1811:AR1816,B1811:B1816,B1813-48))</f>
        <v/>
      </c>
      <c r="AT1813" s="40">
        <f>AT1812*(1-IF(B1812&gt;=in_marketplace_from,d_hz_device*G1812,0))</f>
        <v/>
      </c>
      <c r="AU1813" s="14">
        <f>F1813*AT1813*IF(B1813&gt;=in_marketplace_from,d_hz_device*G1813,0)*in_device_ticket*in_device_comm*in_ins_partner_share</f>
        <v/>
      </c>
      <c r="AV1813" s="40">
        <f>AV1812*(1-IF(B1812&gt;=in_marketplace_from,d_hz_shop*G1812,0))</f>
        <v/>
      </c>
      <c r="AW1813" s="46">
        <f>AV1813*IF(B1813&gt;=in_marketplace_from,d_hz_shop*G1813,0)</f>
        <v/>
      </c>
      <c r="AX1813" s="14">
        <f>F1813*AW1813*in_shop_ticket*in_shop_comm*in_ins_partner_share+F1813*in_shop_ticket*in_shop_renew_comm*in_ins_partner_share*(in_shop_renew^1*SUMIFS(AW1811:AW1816,B1811:B1816,B1813-12)+in_shop_renew^2*SUMIFS(AW1811:AW1816,B1811:B1816,B1813-24)+in_shop_renew^3*SUMIFS(AW1811:AW1816,B1811:B1816,B1813-36)+in_shop_renew^4*SUMIFS(AW1811:AW1816,B1811:B1816,B1813-48))</f>
        <v/>
      </c>
      <c r="AY1813" s="40">
        <f>AY1812*(1-IF(B1812&gt;=in_marketplace_from,d_hz_sip*G1812,0))</f>
        <v/>
      </c>
      <c r="AZ1813" s="40">
        <f>AZ1812*d_rho_sip+AY1813*IF(B1813&gt;=in_marketplace_from,d_hz_sip*G1813,0)</f>
        <v/>
      </c>
      <c r="BA1813" s="40">
        <f>d_rho_sip*(BA1812+AZ1812)</f>
        <v/>
      </c>
      <c r="BB1813" s="14">
        <f>F1813*in_sip_ticket*(BA1813+0.5*AZ1813)*in_sip_comm/12</f>
        <v/>
      </c>
      <c r="BC1813" s="40">
        <f>BC1812*(1-IF(B1812&gt;=in_marketplace_from,d_hz_choti*G1812,0))</f>
        <v/>
      </c>
      <c r="BD1813" s="46">
        <f>BC1813*IF(B1813&gt;=in_marketplace_from,d_hz_choti*G1813,0)</f>
        <v/>
      </c>
      <c r="BE1813" s="14">
        <f>F1813*SUMIFS(BD1811:BD1816,B1811:B1816,B1813-in_choti_months)*in_choti_renew*in_choti_ticket</f>
        <v/>
      </c>
      <c r="BF1813" s="40">
        <f>BF1812*(1-IF(B1812&gt;=in_marketplace_from,d_hz_nps*G1812,0))</f>
        <v/>
      </c>
      <c r="BG1813" s="14">
        <f>F1813*BF1813*IF(B1813&gt;=in_marketplace_from,d_hz_nps*G1813,0)*in_nps_ticket*in_nps_comm</f>
        <v/>
      </c>
      <c r="BH1813" s="40">
        <f>BH1812*(1-IF(B1812&gt;=in_marketplace_from,d_hz_gold*G1812,0))</f>
        <v/>
      </c>
      <c r="BI1813" s="40">
        <f>BI1812*d_rho_gold+BH1813*IF(B1813&gt;=in_marketplace_from,d_hz_gold*G1813,0)</f>
        <v/>
      </c>
      <c r="BJ1813" s="14">
        <f>F1813*BI1813*in_gold_ticket*in_gold_comm</f>
        <v/>
      </c>
      <c r="BK1813" s="40">
        <f>BK1812*(1-IF(B1812&gt;=in_marketplace_from,d_hz_fd*G1812,0))</f>
        <v/>
      </c>
      <c r="BL1813" s="14">
        <f>F1813*BK1813*IF(B1813&gt;=in_marketplace_from,d_hz_fd*G1813,0)*in_fd_ticket*in_fd_comm</f>
        <v/>
      </c>
      <c r="BM1813" s="40">
        <f>BM1812*(1-IF(B1812&gt;=in_marketplace_from,d_hz_recharge*G1812,0))</f>
        <v/>
      </c>
      <c r="BN1813" s="40">
        <f>BN1812*d_rho_recharge+BM1813*IF(B1813&gt;=in_marketplace_from,d_hz_recharge*G1813,0)</f>
        <v/>
      </c>
      <c r="BO1813" s="14">
        <f>F1813*BN1813*in_recharge_ticket*in_recharge_comm/12</f>
        <v/>
      </c>
      <c r="BP1813" s="40">
        <f>BP1812*(1-IF(B1812&gt;=in_marketplace_from,d_hz_bills*G1812,0))</f>
        <v/>
      </c>
      <c r="BQ1813" s="40">
        <f>BQ1812*d_rho_bills+BP1813*IF(B1813&gt;=in_marketplace_from,d_hz_bills*G1813,0)</f>
        <v/>
      </c>
      <c r="BR1813" s="14">
        <f>F1813*BQ1813*in_bills_ticket*in_bills_comm/12</f>
        <v/>
      </c>
      <c r="BS1813" s="40">
        <f>BS1812*(1-IF(B1812&gt;=in_marketplace_from,d_hz_loan_gold*G1812,0))</f>
        <v/>
      </c>
      <c r="BT1813" s="14">
        <f>F1813*BS1813*IF(B1813&gt;=in_marketplace_from,d_hz_loan_gold*G1813,0)*in_loan_gold_ticket*in_loan_gold_comm</f>
        <v/>
      </c>
      <c r="BU1813" s="40">
        <f>BU1812*(1-IF(B1812&gt;=in_marketplace_from,d_hz_loan_cd*G1812,0))</f>
        <v/>
      </c>
      <c r="BV1813" s="14">
        <f>F1813*BU1813*IF(B1813&gt;=in_marketplace_from,d_hz_loan_cd*G1813,0)*in_loan_cd_ticket*in_loan_cd_comm</f>
        <v/>
      </c>
      <c r="BW1813" s="40">
        <f>BW1812*(1-IF(B1812&gt;=in_marketplace_from,d_hz_loan_vehicle*G1812,0))</f>
        <v/>
      </c>
      <c r="BX1813" s="14">
        <f>F1813*BW1813*IF(B1813&gt;=in_marketplace_from,d_hz_loan_vehicle*G1813,0)*in_loan_vehicle_ticket*in_loan_vehicle_comm</f>
        <v/>
      </c>
      <c r="BY1813" s="40">
        <f>BY1812*(1-IF(B1812&gt;=in_marketplace_from,d_hz_loan_home*G1812,0)*BZ1812)</f>
        <v/>
      </c>
      <c r="BZ1813" s="11">
        <f>MIN(in_approval_cap,in_loan_home_approval*INDEX('Age profile'!$O$2:$O$61,B1813)*(1+in_approval_growth)^(D1813-1))</f>
        <v/>
      </c>
      <c r="CA1813" s="14">
        <f>F1813*BY1813*IF(B1813&gt;=in_marketplace_from,d_hz_loan_home*G1813,0)*BZ1813*in_loan_home_ticket*in_loan_home_comm</f>
        <v/>
      </c>
      <c r="CB1813" s="40">
        <f>CB1812*(1-IF(B1812&gt;=in_marketplace_from,d_hz_loan_lap*G1812,0)*CC1812)</f>
        <v/>
      </c>
      <c r="CC1813" s="11">
        <f>MIN(in_approval_cap,in_loan_lap_approval*INDEX('Age profile'!$O$2:$O$61,B1813)*(1+in_approval_growth)^(D1813-1))</f>
        <v/>
      </c>
      <c r="CD1813" s="14">
        <f>F1813*CB1813*IF(B1813&gt;=in_marketplace_from,d_hz_loan_lap*G1813,0)*CC1813*in_loan_lap_ticket*in_loan_lap_comm</f>
        <v/>
      </c>
      <c r="CE1813" s="14">
        <f>AA1813+AB1813+AC1813+AD1813+AG1813+AJ1813+AM1813+AP1813+AS1813+AU1813+AX1813+BB1813+BE1813+BG1813+BJ1813+BL1813+BO1813+BR1813+BT1813+BV1813+BX1813+CA1813+CD1813</f>
        <v/>
      </c>
    </row>
    <row r="1814">
      <c r="A1814" s="39" t="n">
        <v>55</v>
      </c>
      <c r="B1814" s="39" t="n">
        <v>4</v>
      </c>
      <c r="C1814" s="39">
        <f>A1814+B1814-1</f>
        <v/>
      </c>
      <c r="D1814" s="39">
        <f>INT((C1814-1)/12)+1</f>
        <v/>
      </c>
      <c r="E1814" s="44">
        <f>INDEX(Monthly!$B$2:$B$61,A1814)</f>
        <v/>
      </c>
      <c r="F1814" s="44">
        <f>E1814*INDEX('Age profile'!$B$2:$B$61,B1814)</f>
        <v/>
      </c>
      <c r="G1814" s="45">
        <f>MIN(in_takeup_cap,INDEX('Age profile'!$N$2:$N$61,B1814)*(1+in_takeup_growth)^(D1814-1))</f>
        <v/>
      </c>
      <c r="H1814" s="11">
        <f>MIN(in_approval_cap,in_approved_first*INDEX('Age profile'!$O$2:$O$61,B1814)*(1+in_approval_growth)^(D1814-1))</f>
        <v/>
      </c>
      <c r="I1814" s="45">
        <f>G1814*MIN(in_takeup_cap,INDEX('Age profile'!$O$2:$O$61,B1814)*(1+in_approval_growth)^(D1814-1))</f>
        <v/>
      </c>
      <c r="J1814" s="40">
        <f>(J1813-L1813)*F1814/F1813</f>
        <v/>
      </c>
      <c r="K1814" s="40">
        <f>(K1813-M1813)*F1814/F1813+SUMIFS(O1811:O1813,B1811:B1813,B1814-1-d_T)*F1814</f>
        <v/>
      </c>
      <c r="L1814" s="40">
        <f>IF(B1814&gt;=in_marketplace_from,J1814*d_hz*G1814*in_eligible*H1814,0)</f>
        <v/>
      </c>
      <c r="M1814" s="40">
        <f>IF(B1814&gt;=in_marketplace_from,K1814*d_hz*G1814*in_eligible*in_approved_repeat,0)</f>
        <v/>
      </c>
      <c r="N1814" s="40">
        <f>L1814+M1814</f>
        <v/>
      </c>
      <c r="O1814" s="46">
        <f>N1814/F1814</f>
        <v/>
      </c>
      <c r="P1814" s="40">
        <f>F1814-J1814-K1814</f>
        <v/>
      </c>
      <c r="Q1814" s="40">
        <f>IF(B1814&gt;=in_marketplace_from,(J1814+K1814)*d_hz*G1814,0)</f>
        <v/>
      </c>
      <c r="R1814" s="40">
        <f>SUMIFS(N1811:N1816,B1811:B1816,"&gt;="&amp;(B1814-d_T),B1811:B1816,"&lt;="&amp;(B1814-1))</f>
        <v/>
      </c>
      <c r="S1814" s="46">
        <f>(1-d_u)*S1813+IF(d_T&gt;in_topup_lag,SUMIFS(O1811:O1816,B1811:B1816,B1814-in_topup_lag)-d_udrop*SUMIFS(O1811:O1816,B1811:B1816,B1814-d_T),0)</f>
        <v/>
      </c>
      <c r="T1814" s="40">
        <f>F1814*d_u*S1814</f>
        <v/>
      </c>
      <c r="U1814" s="9">
        <f>L1814*in_ticket+M1814*d_rep_ticket</f>
        <v/>
      </c>
      <c r="V1814" s="9">
        <f>U1814+T1814*d_topup_amt</f>
        <v/>
      </c>
      <c r="W1814" s="40">
        <f>N1814+T1814*d_topup_ratio</f>
        <v/>
      </c>
      <c r="X1814" s="40">
        <f>SUMIFS(W1811:W1816,B1811:B1816,B1814-in_dpd_lag)*d_cured</f>
        <v/>
      </c>
      <c r="Y1814" s="40">
        <f>SUMIFS(W1811:W1816,B1811:B1816,B1814-in_rec_lag)*d_recd</f>
        <v/>
      </c>
      <c r="Z1814" s="40">
        <f>IF(AND(B1814&gt;=in_marketplace_from,B1814&lt;in_marketplace_from+in_card_months),in_card_share/in_card_months*F1814*I1814,IF(AND(B1814&gt;=in_marketplace_from+in_card_months,B1814&lt;in_marketplace_from+2*in_card_months),in_card_share*d_card_rem/in_card_months*F1814*MIN(in_takeup_cap,(1+in_takeup_growth)^(D1814-1))*MIN(in_takeup_cap,(1+in_approval_growth)^(D1814-1)),0))</f>
        <v/>
      </c>
      <c r="AA1814" s="14">
        <f>V1814*in_fee*(1-in_taken_back)</f>
        <v/>
      </c>
      <c r="AB1814" s="14">
        <f>SUMIFS(W1811:W1816,B1811:B1816,B1814-in_dpd_lag)*d_dpd</f>
        <v/>
      </c>
      <c r="AC1814" s="14">
        <f>SUMIFS(W1811:W1816,B1811:B1816,B1814-in_rec_lag)*d_rec</f>
        <v/>
      </c>
      <c r="AD1814" s="14">
        <f>Z1814*in_card_fee</f>
        <v/>
      </c>
      <c r="AE1814" s="40">
        <f>AE1813*(1-IF(B1813&gt;=in_marketplace_from,d_hz_hlth_small*G1813,0))</f>
        <v/>
      </c>
      <c r="AF1814" s="46">
        <f>AE1814*IF(B1814&gt;=in_marketplace_from,d_hz_hlth_small*G1814,0)</f>
        <v/>
      </c>
      <c r="AG1814" s="14">
        <f>F1814*AF1814*in_hlth_small_ticket*in_hlth_small_comm*in_ins_partner_share+F1814*in_hlth_small_ticket*in_hlth_small_renew_comm*in_ins_partner_share*(in_hlth_small_renew^1*SUMIFS(AF1811:AF1816,B1811:B1816,B1814-12)+in_hlth_small_renew^2*SUMIFS(AF1811:AF1816,B1811:B1816,B1814-24)+in_hlth_small_renew^3*SUMIFS(AF1811:AF1816,B1811:B1816,B1814-36)+in_hlth_small_renew^4*SUMIFS(AF1811:AF1816,B1811:B1816,B1814-48))</f>
        <v/>
      </c>
      <c r="AH1814" s="40">
        <f>AH1813*(1-IF(B1813&gt;=in_marketplace_from,d_hz_hlth_family*G1813,0))</f>
        <v/>
      </c>
      <c r="AI1814" s="46">
        <f>AH1814*IF(B1814&gt;=in_marketplace_from,d_hz_hlth_family*G1814,0)</f>
        <v/>
      </c>
      <c r="AJ1814" s="14">
        <f>F1814*AI1814*in_hlth_family_ticket*in_hlth_family_comm*in_ins_partner_share+F1814*in_hlth_family_ticket*in_hlth_family_renew_comm*in_ins_partner_share*(in_hlth_family_renew^1*SUMIFS(AI1811:AI1816,B1811:B1816,B1814-12)+in_hlth_family_renew^2*SUMIFS(AI1811:AI1816,B1811:B1816,B1814-24)+in_hlth_family_renew^3*SUMIFS(AI1811:AI1816,B1811:B1816,B1814-36)+in_hlth_family_renew^4*SUMIFS(AI1811:AI1816,B1811:B1816,B1814-48))</f>
        <v/>
      </c>
      <c r="AK1814" s="40">
        <f>AK1813*(1-IF(B1813&gt;=in_marketplace_from,d_hz_life_term*G1813,0))</f>
        <v/>
      </c>
      <c r="AL1814" s="46">
        <f>AK1814*IF(B1814&gt;=in_marketplace_from,d_hz_life_term*G1814,0)</f>
        <v/>
      </c>
      <c r="AM1814" s="14">
        <f>F1814*AL1814*in_life_term_ticket*in_life_term_comm*in_ins_partner_share+F1814*in_life_term_ticket*in_life_term_renew_comm*in_ins_partner_share*(in_life_term_renew^1*SUMIFS(AL1811:AL1816,B1811:B1816,B1814-12)+in_life_term_renew^2*SUMIFS(AL1811:AL1816,B1811:B1816,B1814-24)+in_life_term_renew^3*SUMIFS(AL1811:AL1816,B1811:B1816,B1814-36)+in_life_term_renew^4*SUMIFS(AL1811:AL1816,B1811:B1816,B1814-48))</f>
        <v/>
      </c>
      <c r="AN1814" s="40">
        <f>AN1813*(1-IF(B1813&gt;=in_marketplace_from,d_hz_accident*G1813,0))</f>
        <v/>
      </c>
      <c r="AO1814" s="46">
        <f>AN1814*IF(B1814&gt;=in_marketplace_from,d_hz_accident*G1814,0)</f>
        <v/>
      </c>
      <c r="AP1814" s="14">
        <f>F1814*AO1814*in_accident_ticket*in_accident_comm*in_ins_partner_share+F1814*in_accident_ticket*in_accident_renew_comm*in_ins_partner_share*(in_accident_renew^1*SUMIFS(AO1811:AO1816,B1811:B1816,B1814-12)+in_accident_renew^2*SUMIFS(AO1811:AO1816,B1811:B1816,B1814-24)+in_accident_renew^3*SUMIFS(AO1811:AO1816,B1811:B1816,B1814-36)+in_accident_renew^4*SUMIFS(AO1811:AO1816,B1811:B1816,B1814-48))</f>
        <v/>
      </c>
      <c r="AQ1814" s="40">
        <f>AQ1813*(1-IF(B1813&gt;=in_marketplace_from,d_hz_two_wheeler*G1813,0))</f>
        <v/>
      </c>
      <c r="AR1814" s="46">
        <f>AQ1814*IF(B1814&gt;=in_marketplace_from,d_hz_two_wheeler*G1814,0)</f>
        <v/>
      </c>
      <c r="AS1814" s="14">
        <f>F1814*AR1814*in_two_wheeler_ticket*in_two_wheeler_comm*in_ins_partner_share+F1814*in_two_wheeler_ticket*in_two_wheeler_comm*in_ins_partner_share*(in_two_wheeler_renew^1*SUMIFS(AR1811:AR1816,B1811:B1816,B1814-12)+in_two_wheeler_renew^2*SUMIFS(AR1811:AR1816,B1811:B1816,B1814-24)+in_two_wheeler_renew^3*SUMIFS(AR1811:AR1816,B1811:B1816,B1814-36)+in_two_wheeler_renew^4*SUMIFS(AR1811:AR1816,B1811:B1816,B1814-48))</f>
        <v/>
      </c>
      <c r="AT1814" s="40">
        <f>AT1813*(1-IF(B1813&gt;=in_marketplace_from,d_hz_device*G1813,0))</f>
        <v/>
      </c>
      <c r="AU1814" s="14">
        <f>F1814*AT1814*IF(B1814&gt;=in_marketplace_from,d_hz_device*G1814,0)*in_device_ticket*in_device_comm*in_ins_partner_share</f>
        <v/>
      </c>
      <c r="AV1814" s="40">
        <f>AV1813*(1-IF(B1813&gt;=in_marketplace_from,d_hz_shop*G1813,0))</f>
        <v/>
      </c>
      <c r="AW1814" s="46">
        <f>AV1814*IF(B1814&gt;=in_marketplace_from,d_hz_shop*G1814,0)</f>
        <v/>
      </c>
      <c r="AX1814" s="14">
        <f>F1814*AW1814*in_shop_ticket*in_shop_comm*in_ins_partner_share+F1814*in_shop_ticket*in_shop_renew_comm*in_ins_partner_share*(in_shop_renew^1*SUMIFS(AW1811:AW1816,B1811:B1816,B1814-12)+in_shop_renew^2*SUMIFS(AW1811:AW1816,B1811:B1816,B1814-24)+in_shop_renew^3*SUMIFS(AW1811:AW1816,B1811:B1816,B1814-36)+in_shop_renew^4*SUMIFS(AW1811:AW1816,B1811:B1816,B1814-48))</f>
        <v/>
      </c>
      <c r="AY1814" s="40">
        <f>AY1813*(1-IF(B1813&gt;=in_marketplace_from,d_hz_sip*G1813,0))</f>
        <v/>
      </c>
      <c r="AZ1814" s="40">
        <f>AZ1813*d_rho_sip+AY1814*IF(B1814&gt;=in_marketplace_from,d_hz_sip*G1814,0)</f>
        <v/>
      </c>
      <c r="BA1814" s="40">
        <f>d_rho_sip*(BA1813+AZ1813)</f>
        <v/>
      </c>
      <c r="BB1814" s="14">
        <f>F1814*in_sip_ticket*(BA1814+0.5*AZ1814)*in_sip_comm/12</f>
        <v/>
      </c>
      <c r="BC1814" s="40">
        <f>BC1813*(1-IF(B1813&gt;=in_marketplace_from,d_hz_choti*G1813,0))</f>
        <v/>
      </c>
      <c r="BD1814" s="46">
        <f>BC1814*IF(B1814&gt;=in_marketplace_from,d_hz_choti*G1814,0)</f>
        <v/>
      </c>
      <c r="BE1814" s="14">
        <f>F1814*SUMIFS(BD1811:BD1816,B1811:B1816,B1814-in_choti_months)*in_choti_renew*in_choti_ticket</f>
        <v/>
      </c>
      <c r="BF1814" s="40">
        <f>BF1813*(1-IF(B1813&gt;=in_marketplace_from,d_hz_nps*G1813,0))</f>
        <v/>
      </c>
      <c r="BG1814" s="14">
        <f>F1814*BF1814*IF(B1814&gt;=in_marketplace_from,d_hz_nps*G1814,0)*in_nps_ticket*in_nps_comm</f>
        <v/>
      </c>
      <c r="BH1814" s="40">
        <f>BH1813*(1-IF(B1813&gt;=in_marketplace_from,d_hz_gold*G1813,0))</f>
        <v/>
      </c>
      <c r="BI1814" s="40">
        <f>BI1813*d_rho_gold+BH1814*IF(B1814&gt;=in_marketplace_from,d_hz_gold*G1814,0)</f>
        <v/>
      </c>
      <c r="BJ1814" s="14">
        <f>F1814*BI1814*in_gold_ticket*in_gold_comm</f>
        <v/>
      </c>
      <c r="BK1814" s="40">
        <f>BK1813*(1-IF(B1813&gt;=in_marketplace_from,d_hz_fd*G1813,0))</f>
        <v/>
      </c>
      <c r="BL1814" s="14">
        <f>F1814*BK1814*IF(B1814&gt;=in_marketplace_from,d_hz_fd*G1814,0)*in_fd_ticket*in_fd_comm</f>
        <v/>
      </c>
      <c r="BM1814" s="40">
        <f>BM1813*(1-IF(B1813&gt;=in_marketplace_from,d_hz_recharge*G1813,0))</f>
        <v/>
      </c>
      <c r="BN1814" s="40">
        <f>BN1813*d_rho_recharge+BM1814*IF(B1814&gt;=in_marketplace_from,d_hz_recharge*G1814,0)</f>
        <v/>
      </c>
      <c r="BO1814" s="14">
        <f>F1814*BN1814*in_recharge_ticket*in_recharge_comm/12</f>
        <v/>
      </c>
      <c r="BP1814" s="40">
        <f>BP1813*(1-IF(B1813&gt;=in_marketplace_from,d_hz_bills*G1813,0))</f>
        <v/>
      </c>
      <c r="BQ1814" s="40">
        <f>BQ1813*d_rho_bills+BP1814*IF(B1814&gt;=in_marketplace_from,d_hz_bills*G1814,0)</f>
        <v/>
      </c>
      <c r="BR1814" s="14">
        <f>F1814*BQ1814*in_bills_ticket*in_bills_comm/12</f>
        <v/>
      </c>
      <c r="BS1814" s="40">
        <f>BS1813*(1-IF(B1813&gt;=in_marketplace_from,d_hz_loan_gold*G1813,0))</f>
        <v/>
      </c>
      <c r="BT1814" s="14">
        <f>F1814*BS1814*IF(B1814&gt;=in_marketplace_from,d_hz_loan_gold*G1814,0)*in_loan_gold_ticket*in_loan_gold_comm</f>
        <v/>
      </c>
      <c r="BU1814" s="40">
        <f>BU1813*(1-IF(B1813&gt;=in_marketplace_from,d_hz_loan_cd*G1813,0))</f>
        <v/>
      </c>
      <c r="BV1814" s="14">
        <f>F1814*BU1814*IF(B1814&gt;=in_marketplace_from,d_hz_loan_cd*G1814,0)*in_loan_cd_ticket*in_loan_cd_comm</f>
        <v/>
      </c>
      <c r="BW1814" s="40">
        <f>BW1813*(1-IF(B1813&gt;=in_marketplace_from,d_hz_loan_vehicle*G1813,0))</f>
        <v/>
      </c>
      <c r="BX1814" s="14">
        <f>F1814*BW1814*IF(B1814&gt;=in_marketplace_from,d_hz_loan_vehicle*G1814,0)*in_loan_vehicle_ticket*in_loan_vehicle_comm</f>
        <v/>
      </c>
      <c r="BY1814" s="40">
        <f>BY1813*(1-IF(B1813&gt;=in_marketplace_from,d_hz_loan_home*G1813,0)*BZ1813)</f>
        <v/>
      </c>
      <c r="BZ1814" s="11">
        <f>MIN(in_approval_cap,in_loan_home_approval*INDEX('Age profile'!$O$2:$O$61,B1814)*(1+in_approval_growth)^(D1814-1))</f>
        <v/>
      </c>
      <c r="CA1814" s="14">
        <f>F1814*BY1814*IF(B1814&gt;=in_marketplace_from,d_hz_loan_home*G1814,0)*BZ1814*in_loan_home_ticket*in_loan_home_comm</f>
        <v/>
      </c>
      <c r="CB1814" s="40">
        <f>CB1813*(1-IF(B1813&gt;=in_marketplace_from,d_hz_loan_lap*G1813,0)*CC1813)</f>
        <v/>
      </c>
      <c r="CC1814" s="11">
        <f>MIN(in_approval_cap,in_loan_lap_approval*INDEX('Age profile'!$O$2:$O$61,B1814)*(1+in_approval_growth)^(D1814-1))</f>
        <v/>
      </c>
      <c r="CD1814" s="14">
        <f>F1814*CB1814*IF(B1814&gt;=in_marketplace_from,d_hz_loan_lap*G1814,0)*CC1814*in_loan_lap_ticket*in_loan_lap_comm</f>
        <v/>
      </c>
      <c r="CE1814" s="14">
        <f>AA1814+AB1814+AC1814+AD1814+AG1814+AJ1814+AM1814+AP1814+AS1814+AU1814+AX1814+BB1814+BE1814+BG1814+BJ1814+BL1814+BO1814+BR1814+BT1814+BV1814+BX1814+CA1814+CD1814</f>
        <v/>
      </c>
    </row>
    <row r="1815">
      <c r="A1815" s="39" t="n">
        <v>55</v>
      </c>
      <c r="B1815" s="39" t="n">
        <v>5</v>
      </c>
      <c r="C1815" s="39">
        <f>A1815+B1815-1</f>
        <v/>
      </c>
      <c r="D1815" s="39">
        <f>INT((C1815-1)/12)+1</f>
        <v/>
      </c>
      <c r="E1815" s="44">
        <f>INDEX(Monthly!$B$2:$B$61,A1815)</f>
        <v/>
      </c>
      <c r="F1815" s="44">
        <f>E1815*INDEX('Age profile'!$B$2:$B$61,B1815)</f>
        <v/>
      </c>
      <c r="G1815" s="45">
        <f>MIN(in_takeup_cap,INDEX('Age profile'!$N$2:$N$61,B1815)*(1+in_takeup_growth)^(D1815-1))</f>
        <v/>
      </c>
      <c r="H1815" s="11">
        <f>MIN(in_approval_cap,in_approved_first*INDEX('Age profile'!$O$2:$O$61,B1815)*(1+in_approval_growth)^(D1815-1))</f>
        <v/>
      </c>
      <c r="I1815" s="45">
        <f>G1815*MIN(in_takeup_cap,INDEX('Age profile'!$O$2:$O$61,B1815)*(1+in_approval_growth)^(D1815-1))</f>
        <v/>
      </c>
      <c r="J1815" s="40">
        <f>(J1814-L1814)*F1815/F1814</f>
        <v/>
      </c>
      <c r="K1815" s="40">
        <f>(K1814-M1814)*F1815/F1814+SUMIFS(O1811:O1814,B1811:B1814,B1815-1-d_T)*F1815</f>
        <v/>
      </c>
      <c r="L1815" s="40">
        <f>IF(B1815&gt;=in_marketplace_from,J1815*d_hz*G1815*in_eligible*H1815,0)</f>
        <v/>
      </c>
      <c r="M1815" s="40">
        <f>IF(B1815&gt;=in_marketplace_from,K1815*d_hz*G1815*in_eligible*in_approved_repeat,0)</f>
        <v/>
      </c>
      <c r="N1815" s="40">
        <f>L1815+M1815</f>
        <v/>
      </c>
      <c r="O1815" s="46">
        <f>N1815/F1815</f>
        <v/>
      </c>
      <c r="P1815" s="40">
        <f>F1815-J1815-K1815</f>
        <v/>
      </c>
      <c r="Q1815" s="40">
        <f>IF(B1815&gt;=in_marketplace_from,(J1815+K1815)*d_hz*G1815,0)</f>
        <v/>
      </c>
      <c r="R1815" s="40">
        <f>SUMIFS(N1811:N1816,B1811:B1816,"&gt;="&amp;(B1815-d_T),B1811:B1816,"&lt;="&amp;(B1815-1))</f>
        <v/>
      </c>
      <c r="S1815" s="46">
        <f>(1-d_u)*S1814+IF(d_T&gt;in_topup_lag,SUMIFS(O1811:O1816,B1811:B1816,B1815-in_topup_lag)-d_udrop*SUMIFS(O1811:O1816,B1811:B1816,B1815-d_T),0)</f>
        <v/>
      </c>
      <c r="T1815" s="40">
        <f>F1815*d_u*S1815</f>
        <v/>
      </c>
      <c r="U1815" s="9">
        <f>L1815*in_ticket+M1815*d_rep_ticket</f>
        <v/>
      </c>
      <c r="V1815" s="9">
        <f>U1815+T1815*d_topup_amt</f>
        <v/>
      </c>
      <c r="W1815" s="40">
        <f>N1815+T1815*d_topup_ratio</f>
        <v/>
      </c>
      <c r="X1815" s="40">
        <f>SUMIFS(W1811:W1816,B1811:B1816,B1815-in_dpd_lag)*d_cured</f>
        <v/>
      </c>
      <c r="Y1815" s="40">
        <f>SUMIFS(W1811:W1816,B1811:B1816,B1815-in_rec_lag)*d_recd</f>
        <v/>
      </c>
      <c r="Z1815" s="40">
        <f>IF(AND(B1815&gt;=in_marketplace_from,B1815&lt;in_marketplace_from+in_card_months),in_card_share/in_card_months*F1815*I1815,IF(AND(B1815&gt;=in_marketplace_from+in_card_months,B1815&lt;in_marketplace_from+2*in_card_months),in_card_share*d_card_rem/in_card_months*F1815*MIN(in_takeup_cap,(1+in_takeup_growth)^(D1815-1))*MIN(in_takeup_cap,(1+in_approval_growth)^(D1815-1)),0))</f>
        <v/>
      </c>
      <c r="AA1815" s="14">
        <f>V1815*in_fee*(1-in_taken_back)</f>
        <v/>
      </c>
      <c r="AB1815" s="14">
        <f>SUMIFS(W1811:W1816,B1811:B1816,B1815-in_dpd_lag)*d_dpd</f>
        <v/>
      </c>
      <c r="AC1815" s="14">
        <f>SUMIFS(W1811:W1816,B1811:B1816,B1815-in_rec_lag)*d_rec</f>
        <v/>
      </c>
      <c r="AD1815" s="14">
        <f>Z1815*in_card_fee</f>
        <v/>
      </c>
      <c r="AE1815" s="40">
        <f>AE1814*(1-IF(B1814&gt;=in_marketplace_from,d_hz_hlth_small*G1814,0))</f>
        <v/>
      </c>
      <c r="AF1815" s="46">
        <f>AE1815*IF(B1815&gt;=in_marketplace_from,d_hz_hlth_small*G1815,0)</f>
        <v/>
      </c>
      <c r="AG1815" s="14">
        <f>F1815*AF1815*in_hlth_small_ticket*in_hlth_small_comm*in_ins_partner_share+F1815*in_hlth_small_ticket*in_hlth_small_renew_comm*in_ins_partner_share*(in_hlth_small_renew^1*SUMIFS(AF1811:AF1816,B1811:B1816,B1815-12)+in_hlth_small_renew^2*SUMIFS(AF1811:AF1816,B1811:B1816,B1815-24)+in_hlth_small_renew^3*SUMIFS(AF1811:AF1816,B1811:B1816,B1815-36)+in_hlth_small_renew^4*SUMIFS(AF1811:AF1816,B1811:B1816,B1815-48))</f>
        <v/>
      </c>
      <c r="AH1815" s="40">
        <f>AH1814*(1-IF(B1814&gt;=in_marketplace_from,d_hz_hlth_family*G1814,0))</f>
        <v/>
      </c>
      <c r="AI1815" s="46">
        <f>AH1815*IF(B1815&gt;=in_marketplace_from,d_hz_hlth_family*G1815,0)</f>
        <v/>
      </c>
      <c r="AJ1815" s="14">
        <f>F1815*AI1815*in_hlth_family_ticket*in_hlth_family_comm*in_ins_partner_share+F1815*in_hlth_family_ticket*in_hlth_family_renew_comm*in_ins_partner_share*(in_hlth_family_renew^1*SUMIFS(AI1811:AI1816,B1811:B1816,B1815-12)+in_hlth_family_renew^2*SUMIFS(AI1811:AI1816,B1811:B1816,B1815-24)+in_hlth_family_renew^3*SUMIFS(AI1811:AI1816,B1811:B1816,B1815-36)+in_hlth_family_renew^4*SUMIFS(AI1811:AI1816,B1811:B1816,B1815-48))</f>
        <v/>
      </c>
      <c r="AK1815" s="40">
        <f>AK1814*(1-IF(B1814&gt;=in_marketplace_from,d_hz_life_term*G1814,0))</f>
        <v/>
      </c>
      <c r="AL1815" s="46">
        <f>AK1815*IF(B1815&gt;=in_marketplace_from,d_hz_life_term*G1815,0)</f>
        <v/>
      </c>
      <c r="AM1815" s="14">
        <f>F1815*AL1815*in_life_term_ticket*in_life_term_comm*in_ins_partner_share+F1815*in_life_term_ticket*in_life_term_renew_comm*in_ins_partner_share*(in_life_term_renew^1*SUMIFS(AL1811:AL1816,B1811:B1816,B1815-12)+in_life_term_renew^2*SUMIFS(AL1811:AL1816,B1811:B1816,B1815-24)+in_life_term_renew^3*SUMIFS(AL1811:AL1816,B1811:B1816,B1815-36)+in_life_term_renew^4*SUMIFS(AL1811:AL1816,B1811:B1816,B1815-48))</f>
        <v/>
      </c>
      <c r="AN1815" s="40">
        <f>AN1814*(1-IF(B1814&gt;=in_marketplace_from,d_hz_accident*G1814,0))</f>
        <v/>
      </c>
      <c r="AO1815" s="46">
        <f>AN1815*IF(B1815&gt;=in_marketplace_from,d_hz_accident*G1815,0)</f>
        <v/>
      </c>
      <c r="AP1815" s="14">
        <f>F1815*AO1815*in_accident_ticket*in_accident_comm*in_ins_partner_share+F1815*in_accident_ticket*in_accident_renew_comm*in_ins_partner_share*(in_accident_renew^1*SUMIFS(AO1811:AO1816,B1811:B1816,B1815-12)+in_accident_renew^2*SUMIFS(AO1811:AO1816,B1811:B1816,B1815-24)+in_accident_renew^3*SUMIFS(AO1811:AO1816,B1811:B1816,B1815-36)+in_accident_renew^4*SUMIFS(AO1811:AO1816,B1811:B1816,B1815-48))</f>
        <v/>
      </c>
      <c r="AQ1815" s="40">
        <f>AQ1814*(1-IF(B1814&gt;=in_marketplace_from,d_hz_two_wheeler*G1814,0))</f>
        <v/>
      </c>
      <c r="AR1815" s="46">
        <f>AQ1815*IF(B1815&gt;=in_marketplace_from,d_hz_two_wheeler*G1815,0)</f>
        <v/>
      </c>
      <c r="AS1815" s="14">
        <f>F1815*AR1815*in_two_wheeler_ticket*in_two_wheeler_comm*in_ins_partner_share+F1815*in_two_wheeler_ticket*in_two_wheeler_comm*in_ins_partner_share*(in_two_wheeler_renew^1*SUMIFS(AR1811:AR1816,B1811:B1816,B1815-12)+in_two_wheeler_renew^2*SUMIFS(AR1811:AR1816,B1811:B1816,B1815-24)+in_two_wheeler_renew^3*SUMIFS(AR1811:AR1816,B1811:B1816,B1815-36)+in_two_wheeler_renew^4*SUMIFS(AR1811:AR1816,B1811:B1816,B1815-48))</f>
        <v/>
      </c>
      <c r="AT1815" s="40">
        <f>AT1814*(1-IF(B1814&gt;=in_marketplace_from,d_hz_device*G1814,0))</f>
        <v/>
      </c>
      <c r="AU1815" s="14">
        <f>F1815*AT1815*IF(B1815&gt;=in_marketplace_from,d_hz_device*G1815,0)*in_device_ticket*in_device_comm*in_ins_partner_share</f>
        <v/>
      </c>
      <c r="AV1815" s="40">
        <f>AV1814*(1-IF(B1814&gt;=in_marketplace_from,d_hz_shop*G1814,0))</f>
        <v/>
      </c>
      <c r="AW1815" s="46">
        <f>AV1815*IF(B1815&gt;=in_marketplace_from,d_hz_shop*G1815,0)</f>
        <v/>
      </c>
      <c r="AX1815" s="14">
        <f>F1815*AW1815*in_shop_ticket*in_shop_comm*in_ins_partner_share+F1815*in_shop_ticket*in_shop_renew_comm*in_ins_partner_share*(in_shop_renew^1*SUMIFS(AW1811:AW1816,B1811:B1816,B1815-12)+in_shop_renew^2*SUMIFS(AW1811:AW1816,B1811:B1816,B1815-24)+in_shop_renew^3*SUMIFS(AW1811:AW1816,B1811:B1816,B1815-36)+in_shop_renew^4*SUMIFS(AW1811:AW1816,B1811:B1816,B1815-48))</f>
        <v/>
      </c>
      <c r="AY1815" s="40">
        <f>AY1814*(1-IF(B1814&gt;=in_marketplace_from,d_hz_sip*G1814,0))</f>
        <v/>
      </c>
      <c r="AZ1815" s="40">
        <f>AZ1814*d_rho_sip+AY1815*IF(B1815&gt;=in_marketplace_from,d_hz_sip*G1815,0)</f>
        <v/>
      </c>
      <c r="BA1815" s="40">
        <f>d_rho_sip*(BA1814+AZ1814)</f>
        <v/>
      </c>
      <c r="BB1815" s="14">
        <f>F1815*in_sip_ticket*(BA1815+0.5*AZ1815)*in_sip_comm/12</f>
        <v/>
      </c>
      <c r="BC1815" s="40">
        <f>BC1814*(1-IF(B1814&gt;=in_marketplace_from,d_hz_choti*G1814,0))</f>
        <v/>
      </c>
      <c r="BD1815" s="46">
        <f>BC1815*IF(B1815&gt;=in_marketplace_from,d_hz_choti*G1815,0)</f>
        <v/>
      </c>
      <c r="BE1815" s="14">
        <f>F1815*SUMIFS(BD1811:BD1816,B1811:B1816,B1815-in_choti_months)*in_choti_renew*in_choti_ticket</f>
        <v/>
      </c>
      <c r="BF1815" s="40">
        <f>BF1814*(1-IF(B1814&gt;=in_marketplace_from,d_hz_nps*G1814,0))</f>
        <v/>
      </c>
      <c r="BG1815" s="14">
        <f>F1815*BF1815*IF(B1815&gt;=in_marketplace_from,d_hz_nps*G1815,0)*in_nps_ticket*in_nps_comm</f>
        <v/>
      </c>
      <c r="BH1815" s="40">
        <f>BH1814*(1-IF(B1814&gt;=in_marketplace_from,d_hz_gold*G1814,0))</f>
        <v/>
      </c>
      <c r="BI1815" s="40">
        <f>BI1814*d_rho_gold+BH1815*IF(B1815&gt;=in_marketplace_from,d_hz_gold*G1815,0)</f>
        <v/>
      </c>
      <c r="BJ1815" s="14">
        <f>F1815*BI1815*in_gold_ticket*in_gold_comm</f>
        <v/>
      </c>
      <c r="BK1815" s="40">
        <f>BK1814*(1-IF(B1814&gt;=in_marketplace_from,d_hz_fd*G1814,0))</f>
        <v/>
      </c>
      <c r="BL1815" s="14">
        <f>F1815*BK1815*IF(B1815&gt;=in_marketplace_from,d_hz_fd*G1815,0)*in_fd_ticket*in_fd_comm</f>
        <v/>
      </c>
      <c r="BM1815" s="40">
        <f>BM1814*(1-IF(B1814&gt;=in_marketplace_from,d_hz_recharge*G1814,0))</f>
        <v/>
      </c>
      <c r="BN1815" s="40">
        <f>BN1814*d_rho_recharge+BM1815*IF(B1815&gt;=in_marketplace_from,d_hz_recharge*G1815,0)</f>
        <v/>
      </c>
      <c r="BO1815" s="14">
        <f>F1815*BN1815*in_recharge_ticket*in_recharge_comm/12</f>
        <v/>
      </c>
      <c r="BP1815" s="40">
        <f>BP1814*(1-IF(B1814&gt;=in_marketplace_from,d_hz_bills*G1814,0))</f>
        <v/>
      </c>
      <c r="BQ1815" s="40">
        <f>BQ1814*d_rho_bills+BP1815*IF(B1815&gt;=in_marketplace_from,d_hz_bills*G1815,0)</f>
        <v/>
      </c>
      <c r="BR1815" s="14">
        <f>F1815*BQ1815*in_bills_ticket*in_bills_comm/12</f>
        <v/>
      </c>
      <c r="BS1815" s="40">
        <f>BS1814*(1-IF(B1814&gt;=in_marketplace_from,d_hz_loan_gold*G1814,0))</f>
        <v/>
      </c>
      <c r="BT1815" s="14">
        <f>F1815*BS1815*IF(B1815&gt;=in_marketplace_from,d_hz_loan_gold*G1815,0)*in_loan_gold_ticket*in_loan_gold_comm</f>
        <v/>
      </c>
      <c r="BU1815" s="40">
        <f>BU1814*(1-IF(B1814&gt;=in_marketplace_from,d_hz_loan_cd*G1814,0))</f>
        <v/>
      </c>
      <c r="BV1815" s="14">
        <f>F1815*BU1815*IF(B1815&gt;=in_marketplace_from,d_hz_loan_cd*G1815,0)*in_loan_cd_ticket*in_loan_cd_comm</f>
        <v/>
      </c>
      <c r="BW1815" s="40">
        <f>BW1814*(1-IF(B1814&gt;=in_marketplace_from,d_hz_loan_vehicle*G1814,0))</f>
        <v/>
      </c>
      <c r="BX1815" s="14">
        <f>F1815*BW1815*IF(B1815&gt;=in_marketplace_from,d_hz_loan_vehicle*G1815,0)*in_loan_vehicle_ticket*in_loan_vehicle_comm</f>
        <v/>
      </c>
      <c r="BY1815" s="40">
        <f>BY1814*(1-IF(B1814&gt;=in_marketplace_from,d_hz_loan_home*G1814,0)*BZ1814)</f>
        <v/>
      </c>
      <c r="BZ1815" s="11">
        <f>MIN(in_approval_cap,in_loan_home_approval*INDEX('Age profile'!$O$2:$O$61,B1815)*(1+in_approval_growth)^(D1815-1))</f>
        <v/>
      </c>
      <c r="CA1815" s="14">
        <f>F1815*BY1815*IF(B1815&gt;=in_marketplace_from,d_hz_loan_home*G1815,0)*BZ1815*in_loan_home_ticket*in_loan_home_comm</f>
        <v/>
      </c>
      <c r="CB1815" s="40">
        <f>CB1814*(1-IF(B1814&gt;=in_marketplace_from,d_hz_loan_lap*G1814,0)*CC1814)</f>
        <v/>
      </c>
      <c r="CC1815" s="11">
        <f>MIN(in_approval_cap,in_loan_lap_approval*INDEX('Age profile'!$O$2:$O$61,B1815)*(1+in_approval_growth)^(D1815-1))</f>
        <v/>
      </c>
      <c r="CD1815" s="14">
        <f>F1815*CB1815*IF(B1815&gt;=in_marketplace_from,d_hz_loan_lap*G1815,0)*CC1815*in_loan_lap_ticket*in_loan_lap_comm</f>
        <v/>
      </c>
      <c r="CE1815" s="14">
        <f>AA1815+AB1815+AC1815+AD1815+AG1815+AJ1815+AM1815+AP1815+AS1815+AU1815+AX1815+BB1815+BE1815+BG1815+BJ1815+BL1815+BO1815+BR1815+BT1815+BV1815+BX1815+CA1815+CD1815</f>
        <v/>
      </c>
    </row>
    <row r="1816">
      <c r="A1816" s="39" t="n">
        <v>55</v>
      </c>
      <c r="B1816" s="39" t="n">
        <v>6</v>
      </c>
      <c r="C1816" s="39">
        <f>A1816+B1816-1</f>
        <v/>
      </c>
      <c r="D1816" s="39">
        <f>INT((C1816-1)/12)+1</f>
        <v/>
      </c>
      <c r="E1816" s="44">
        <f>INDEX(Monthly!$B$2:$B$61,A1816)</f>
        <v/>
      </c>
      <c r="F1816" s="44">
        <f>E1816*INDEX('Age profile'!$B$2:$B$61,B1816)</f>
        <v/>
      </c>
      <c r="G1816" s="45">
        <f>MIN(in_takeup_cap,INDEX('Age profile'!$N$2:$N$61,B1816)*(1+in_takeup_growth)^(D1816-1))</f>
        <v/>
      </c>
      <c r="H1816" s="11">
        <f>MIN(in_approval_cap,in_approved_first*INDEX('Age profile'!$O$2:$O$61,B1816)*(1+in_approval_growth)^(D1816-1))</f>
        <v/>
      </c>
      <c r="I1816" s="45">
        <f>G1816*MIN(in_takeup_cap,INDEX('Age profile'!$O$2:$O$61,B1816)*(1+in_approval_growth)^(D1816-1))</f>
        <v/>
      </c>
      <c r="J1816" s="40">
        <f>(J1815-L1815)*F1816/F1815</f>
        <v/>
      </c>
      <c r="K1816" s="40">
        <f>(K1815-M1815)*F1816/F1815+SUMIFS(O1811:O1815,B1811:B1815,B1816-1-d_T)*F1816</f>
        <v/>
      </c>
      <c r="L1816" s="40">
        <f>IF(B1816&gt;=in_marketplace_from,J1816*d_hz*G1816*in_eligible*H1816,0)</f>
        <v/>
      </c>
      <c r="M1816" s="40">
        <f>IF(B1816&gt;=in_marketplace_from,K1816*d_hz*G1816*in_eligible*in_approved_repeat,0)</f>
        <v/>
      </c>
      <c r="N1816" s="40">
        <f>L1816+M1816</f>
        <v/>
      </c>
      <c r="O1816" s="46">
        <f>N1816/F1816</f>
        <v/>
      </c>
      <c r="P1816" s="40">
        <f>F1816-J1816-K1816</f>
        <v/>
      </c>
      <c r="Q1816" s="40">
        <f>IF(B1816&gt;=in_marketplace_from,(J1816+K1816)*d_hz*G1816,0)</f>
        <v/>
      </c>
      <c r="R1816" s="40">
        <f>SUMIFS(N1811:N1816,B1811:B1816,"&gt;="&amp;(B1816-d_T),B1811:B1816,"&lt;="&amp;(B1816-1))</f>
        <v/>
      </c>
      <c r="S1816" s="46">
        <f>(1-d_u)*S1815+IF(d_T&gt;in_topup_lag,SUMIFS(O1811:O1816,B1811:B1816,B1816-in_topup_lag)-d_udrop*SUMIFS(O1811:O1816,B1811:B1816,B1816-d_T),0)</f>
        <v/>
      </c>
      <c r="T1816" s="40">
        <f>F1816*d_u*S1816</f>
        <v/>
      </c>
      <c r="U1816" s="9">
        <f>L1816*in_ticket+M1816*d_rep_ticket</f>
        <v/>
      </c>
      <c r="V1816" s="9">
        <f>U1816+T1816*d_topup_amt</f>
        <v/>
      </c>
      <c r="W1816" s="40">
        <f>N1816+T1816*d_topup_ratio</f>
        <v/>
      </c>
      <c r="X1816" s="40">
        <f>SUMIFS(W1811:W1816,B1811:B1816,B1816-in_dpd_lag)*d_cured</f>
        <v/>
      </c>
      <c r="Y1816" s="40">
        <f>SUMIFS(W1811:W1816,B1811:B1816,B1816-in_rec_lag)*d_recd</f>
        <v/>
      </c>
      <c r="Z1816" s="40">
        <f>IF(AND(B1816&gt;=in_marketplace_from,B1816&lt;in_marketplace_from+in_card_months),in_card_share/in_card_months*F1816*I1816,IF(AND(B1816&gt;=in_marketplace_from+in_card_months,B1816&lt;in_marketplace_from+2*in_card_months),in_card_share*d_card_rem/in_card_months*F1816*MIN(in_takeup_cap,(1+in_takeup_growth)^(D1816-1))*MIN(in_takeup_cap,(1+in_approval_growth)^(D1816-1)),0))</f>
        <v/>
      </c>
      <c r="AA1816" s="14">
        <f>V1816*in_fee*(1-in_taken_back)</f>
        <v/>
      </c>
      <c r="AB1816" s="14">
        <f>SUMIFS(W1811:W1816,B1811:B1816,B1816-in_dpd_lag)*d_dpd</f>
        <v/>
      </c>
      <c r="AC1816" s="14">
        <f>SUMIFS(W1811:W1816,B1811:B1816,B1816-in_rec_lag)*d_rec</f>
        <v/>
      </c>
      <c r="AD1816" s="14">
        <f>Z1816*in_card_fee</f>
        <v/>
      </c>
      <c r="AE1816" s="40">
        <f>AE1815*(1-IF(B1815&gt;=in_marketplace_from,d_hz_hlth_small*G1815,0))</f>
        <v/>
      </c>
      <c r="AF1816" s="46">
        <f>AE1816*IF(B1816&gt;=in_marketplace_from,d_hz_hlth_small*G1816,0)</f>
        <v/>
      </c>
      <c r="AG1816" s="14">
        <f>F1816*AF1816*in_hlth_small_ticket*in_hlth_small_comm*in_ins_partner_share+F1816*in_hlth_small_ticket*in_hlth_small_renew_comm*in_ins_partner_share*(in_hlth_small_renew^1*SUMIFS(AF1811:AF1816,B1811:B1816,B1816-12)+in_hlth_small_renew^2*SUMIFS(AF1811:AF1816,B1811:B1816,B1816-24)+in_hlth_small_renew^3*SUMIFS(AF1811:AF1816,B1811:B1816,B1816-36)+in_hlth_small_renew^4*SUMIFS(AF1811:AF1816,B1811:B1816,B1816-48))</f>
        <v/>
      </c>
      <c r="AH1816" s="40">
        <f>AH1815*(1-IF(B1815&gt;=in_marketplace_from,d_hz_hlth_family*G1815,0))</f>
        <v/>
      </c>
      <c r="AI1816" s="46">
        <f>AH1816*IF(B1816&gt;=in_marketplace_from,d_hz_hlth_family*G1816,0)</f>
        <v/>
      </c>
      <c r="AJ1816" s="14">
        <f>F1816*AI1816*in_hlth_family_ticket*in_hlth_family_comm*in_ins_partner_share+F1816*in_hlth_family_ticket*in_hlth_family_renew_comm*in_ins_partner_share*(in_hlth_family_renew^1*SUMIFS(AI1811:AI1816,B1811:B1816,B1816-12)+in_hlth_family_renew^2*SUMIFS(AI1811:AI1816,B1811:B1816,B1816-24)+in_hlth_family_renew^3*SUMIFS(AI1811:AI1816,B1811:B1816,B1816-36)+in_hlth_family_renew^4*SUMIFS(AI1811:AI1816,B1811:B1816,B1816-48))</f>
        <v/>
      </c>
      <c r="AK1816" s="40">
        <f>AK1815*(1-IF(B1815&gt;=in_marketplace_from,d_hz_life_term*G1815,0))</f>
        <v/>
      </c>
      <c r="AL1816" s="46">
        <f>AK1816*IF(B1816&gt;=in_marketplace_from,d_hz_life_term*G1816,0)</f>
        <v/>
      </c>
      <c r="AM1816" s="14">
        <f>F1816*AL1816*in_life_term_ticket*in_life_term_comm*in_ins_partner_share+F1816*in_life_term_ticket*in_life_term_renew_comm*in_ins_partner_share*(in_life_term_renew^1*SUMIFS(AL1811:AL1816,B1811:B1816,B1816-12)+in_life_term_renew^2*SUMIFS(AL1811:AL1816,B1811:B1816,B1816-24)+in_life_term_renew^3*SUMIFS(AL1811:AL1816,B1811:B1816,B1816-36)+in_life_term_renew^4*SUMIFS(AL1811:AL1816,B1811:B1816,B1816-48))</f>
        <v/>
      </c>
      <c r="AN1816" s="40">
        <f>AN1815*(1-IF(B1815&gt;=in_marketplace_from,d_hz_accident*G1815,0))</f>
        <v/>
      </c>
      <c r="AO1816" s="46">
        <f>AN1816*IF(B1816&gt;=in_marketplace_from,d_hz_accident*G1816,0)</f>
        <v/>
      </c>
      <c r="AP1816" s="14">
        <f>F1816*AO1816*in_accident_ticket*in_accident_comm*in_ins_partner_share+F1816*in_accident_ticket*in_accident_renew_comm*in_ins_partner_share*(in_accident_renew^1*SUMIFS(AO1811:AO1816,B1811:B1816,B1816-12)+in_accident_renew^2*SUMIFS(AO1811:AO1816,B1811:B1816,B1816-24)+in_accident_renew^3*SUMIFS(AO1811:AO1816,B1811:B1816,B1816-36)+in_accident_renew^4*SUMIFS(AO1811:AO1816,B1811:B1816,B1816-48))</f>
        <v/>
      </c>
      <c r="AQ1816" s="40">
        <f>AQ1815*(1-IF(B1815&gt;=in_marketplace_from,d_hz_two_wheeler*G1815,0))</f>
        <v/>
      </c>
      <c r="AR1816" s="46">
        <f>AQ1816*IF(B1816&gt;=in_marketplace_from,d_hz_two_wheeler*G1816,0)</f>
        <v/>
      </c>
      <c r="AS1816" s="14">
        <f>F1816*AR1816*in_two_wheeler_ticket*in_two_wheeler_comm*in_ins_partner_share+F1816*in_two_wheeler_ticket*in_two_wheeler_comm*in_ins_partner_share*(in_two_wheeler_renew^1*SUMIFS(AR1811:AR1816,B1811:B1816,B1816-12)+in_two_wheeler_renew^2*SUMIFS(AR1811:AR1816,B1811:B1816,B1816-24)+in_two_wheeler_renew^3*SUMIFS(AR1811:AR1816,B1811:B1816,B1816-36)+in_two_wheeler_renew^4*SUMIFS(AR1811:AR1816,B1811:B1816,B1816-48))</f>
        <v/>
      </c>
      <c r="AT1816" s="40">
        <f>AT1815*(1-IF(B1815&gt;=in_marketplace_from,d_hz_device*G1815,0))</f>
        <v/>
      </c>
      <c r="AU1816" s="14">
        <f>F1816*AT1816*IF(B1816&gt;=in_marketplace_from,d_hz_device*G1816,0)*in_device_ticket*in_device_comm*in_ins_partner_share</f>
        <v/>
      </c>
      <c r="AV1816" s="40">
        <f>AV1815*(1-IF(B1815&gt;=in_marketplace_from,d_hz_shop*G1815,0))</f>
        <v/>
      </c>
      <c r="AW1816" s="46">
        <f>AV1816*IF(B1816&gt;=in_marketplace_from,d_hz_shop*G1816,0)</f>
        <v/>
      </c>
      <c r="AX1816" s="14">
        <f>F1816*AW1816*in_shop_ticket*in_shop_comm*in_ins_partner_share+F1816*in_shop_ticket*in_shop_renew_comm*in_ins_partner_share*(in_shop_renew^1*SUMIFS(AW1811:AW1816,B1811:B1816,B1816-12)+in_shop_renew^2*SUMIFS(AW1811:AW1816,B1811:B1816,B1816-24)+in_shop_renew^3*SUMIFS(AW1811:AW1816,B1811:B1816,B1816-36)+in_shop_renew^4*SUMIFS(AW1811:AW1816,B1811:B1816,B1816-48))</f>
        <v/>
      </c>
      <c r="AY1816" s="40">
        <f>AY1815*(1-IF(B1815&gt;=in_marketplace_from,d_hz_sip*G1815,0))</f>
        <v/>
      </c>
      <c r="AZ1816" s="40">
        <f>AZ1815*d_rho_sip+AY1816*IF(B1816&gt;=in_marketplace_from,d_hz_sip*G1816,0)</f>
        <v/>
      </c>
      <c r="BA1816" s="40">
        <f>d_rho_sip*(BA1815+AZ1815)</f>
        <v/>
      </c>
      <c r="BB1816" s="14">
        <f>F1816*in_sip_ticket*(BA1816+0.5*AZ1816)*in_sip_comm/12</f>
        <v/>
      </c>
      <c r="BC1816" s="40">
        <f>BC1815*(1-IF(B1815&gt;=in_marketplace_from,d_hz_choti*G1815,0))</f>
        <v/>
      </c>
      <c r="BD1816" s="46">
        <f>BC1816*IF(B1816&gt;=in_marketplace_from,d_hz_choti*G1816,0)</f>
        <v/>
      </c>
      <c r="BE1816" s="14">
        <f>F1816*SUMIFS(BD1811:BD1816,B1811:B1816,B1816-in_choti_months)*in_choti_renew*in_choti_ticket</f>
        <v/>
      </c>
      <c r="BF1816" s="40">
        <f>BF1815*(1-IF(B1815&gt;=in_marketplace_from,d_hz_nps*G1815,0))</f>
        <v/>
      </c>
      <c r="BG1816" s="14">
        <f>F1816*BF1816*IF(B1816&gt;=in_marketplace_from,d_hz_nps*G1816,0)*in_nps_ticket*in_nps_comm</f>
        <v/>
      </c>
      <c r="BH1816" s="40">
        <f>BH1815*(1-IF(B1815&gt;=in_marketplace_from,d_hz_gold*G1815,0))</f>
        <v/>
      </c>
      <c r="BI1816" s="40">
        <f>BI1815*d_rho_gold+BH1816*IF(B1816&gt;=in_marketplace_from,d_hz_gold*G1816,0)</f>
        <v/>
      </c>
      <c r="BJ1816" s="14">
        <f>F1816*BI1816*in_gold_ticket*in_gold_comm</f>
        <v/>
      </c>
      <c r="BK1816" s="40">
        <f>BK1815*(1-IF(B1815&gt;=in_marketplace_from,d_hz_fd*G1815,0))</f>
        <v/>
      </c>
      <c r="BL1816" s="14">
        <f>F1816*BK1816*IF(B1816&gt;=in_marketplace_from,d_hz_fd*G1816,0)*in_fd_ticket*in_fd_comm</f>
        <v/>
      </c>
      <c r="BM1816" s="40">
        <f>BM1815*(1-IF(B1815&gt;=in_marketplace_from,d_hz_recharge*G1815,0))</f>
        <v/>
      </c>
      <c r="BN1816" s="40">
        <f>BN1815*d_rho_recharge+BM1816*IF(B1816&gt;=in_marketplace_from,d_hz_recharge*G1816,0)</f>
        <v/>
      </c>
      <c r="BO1816" s="14">
        <f>F1816*BN1816*in_recharge_ticket*in_recharge_comm/12</f>
        <v/>
      </c>
      <c r="BP1816" s="40">
        <f>BP1815*(1-IF(B1815&gt;=in_marketplace_from,d_hz_bills*G1815,0))</f>
        <v/>
      </c>
      <c r="BQ1816" s="40">
        <f>BQ1815*d_rho_bills+BP1816*IF(B1816&gt;=in_marketplace_from,d_hz_bills*G1816,0)</f>
        <v/>
      </c>
      <c r="BR1816" s="14">
        <f>F1816*BQ1816*in_bills_ticket*in_bills_comm/12</f>
        <v/>
      </c>
      <c r="BS1816" s="40">
        <f>BS1815*(1-IF(B1815&gt;=in_marketplace_from,d_hz_loan_gold*G1815,0))</f>
        <v/>
      </c>
      <c r="BT1816" s="14">
        <f>F1816*BS1816*IF(B1816&gt;=in_marketplace_from,d_hz_loan_gold*G1816,0)*in_loan_gold_ticket*in_loan_gold_comm</f>
        <v/>
      </c>
      <c r="BU1816" s="40">
        <f>BU1815*(1-IF(B1815&gt;=in_marketplace_from,d_hz_loan_cd*G1815,0))</f>
        <v/>
      </c>
      <c r="BV1816" s="14">
        <f>F1816*BU1816*IF(B1816&gt;=in_marketplace_from,d_hz_loan_cd*G1816,0)*in_loan_cd_ticket*in_loan_cd_comm</f>
        <v/>
      </c>
      <c r="BW1816" s="40">
        <f>BW1815*(1-IF(B1815&gt;=in_marketplace_from,d_hz_loan_vehicle*G1815,0))</f>
        <v/>
      </c>
      <c r="BX1816" s="14">
        <f>F1816*BW1816*IF(B1816&gt;=in_marketplace_from,d_hz_loan_vehicle*G1816,0)*in_loan_vehicle_ticket*in_loan_vehicle_comm</f>
        <v/>
      </c>
      <c r="BY1816" s="40">
        <f>BY1815*(1-IF(B1815&gt;=in_marketplace_from,d_hz_loan_home*G1815,0)*BZ1815)</f>
        <v/>
      </c>
      <c r="BZ1816" s="11">
        <f>MIN(in_approval_cap,in_loan_home_approval*INDEX('Age profile'!$O$2:$O$61,B1816)*(1+in_approval_growth)^(D1816-1))</f>
        <v/>
      </c>
      <c r="CA1816" s="14">
        <f>F1816*BY1816*IF(B1816&gt;=in_marketplace_from,d_hz_loan_home*G1816,0)*BZ1816*in_loan_home_ticket*in_loan_home_comm</f>
        <v/>
      </c>
      <c r="CB1816" s="40">
        <f>CB1815*(1-IF(B1815&gt;=in_marketplace_from,d_hz_loan_lap*G1815,0)*CC1815)</f>
        <v/>
      </c>
      <c r="CC1816" s="11">
        <f>MIN(in_approval_cap,in_loan_lap_approval*INDEX('Age profile'!$O$2:$O$61,B1816)*(1+in_approval_growth)^(D1816-1))</f>
        <v/>
      </c>
      <c r="CD1816" s="14">
        <f>F1816*CB1816*IF(B1816&gt;=in_marketplace_from,d_hz_loan_lap*G1816,0)*CC1816*in_loan_lap_ticket*in_loan_lap_comm</f>
        <v/>
      </c>
      <c r="CE1816" s="14">
        <f>AA1816+AB1816+AC1816+AD1816+AG1816+AJ1816+AM1816+AP1816+AS1816+AU1816+AX1816+BB1816+BE1816+BG1816+BJ1816+BL1816+BO1816+BR1816+BT1816+BV1816+BX1816+CA1816+CD1816</f>
        <v/>
      </c>
    </row>
    <row r="1817">
      <c r="A1817" s="39" t="n">
        <v>56</v>
      </c>
      <c r="B1817" s="39" t="n">
        <v>1</v>
      </c>
      <c r="C1817" s="39">
        <f>A1817+B1817-1</f>
        <v/>
      </c>
      <c r="D1817" s="39">
        <f>INT((C1817-1)/12)+1</f>
        <v/>
      </c>
      <c r="E1817" s="44">
        <f>INDEX(Monthly!$B$2:$B$61,A1817)</f>
        <v/>
      </c>
      <c r="F1817" s="44">
        <f>E1817*INDEX('Age profile'!$B$2:$B$61,B1817)</f>
        <v/>
      </c>
      <c r="G1817" s="45">
        <f>MIN(in_takeup_cap,INDEX('Age profile'!$N$2:$N$61,B1817)*(1+in_takeup_growth)^(D1817-1))</f>
        <v/>
      </c>
      <c r="H1817" s="11">
        <f>MIN(in_approval_cap,in_approved_first*INDEX('Age profile'!$O$2:$O$61,B1817)*(1+in_approval_growth)^(D1817-1))</f>
        <v/>
      </c>
      <c r="I1817" s="45">
        <f>G1817*MIN(in_takeup_cap,INDEX('Age profile'!$O$2:$O$61,B1817)*(1+in_approval_growth)^(D1817-1))</f>
        <v/>
      </c>
      <c r="J1817" s="40">
        <f>E1817</f>
        <v/>
      </c>
      <c r="K1817" s="40" t="n">
        <v>0</v>
      </c>
      <c r="L1817" s="40">
        <f>IF(B1817&gt;=in_marketplace_from,J1817*d_hz*G1817*in_eligible*H1817,0)</f>
        <v/>
      </c>
      <c r="M1817" s="40">
        <f>IF(B1817&gt;=in_marketplace_from,K1817*d_hz*G1817*in_eligible*in_approved_repeat,0)</f>
        <v/>
      </c>
      <c r="N1817" s="40">
        <f>L1817+M1817</f>
        <v/>
      </c>
      <c r="O1817" s="46">
        <f>N1817/F1817</f>
        <v/>
      </c>
      <c r="P1817" s="40">
        <f>F1817-J1817-K1817</f>
        <v/>
      </c>
      <c r="Q1817" s="40">
        <f>IF(B1817&gt;=in_marketplace_from,(J1817+K1817)*d_hz*G1817,0)</f>
        <v/>
      </c>
      <c r="R1817" s="40">
        <f>SUMIFS(N1817:N1821,B1817:B1821,"&gt;="&amp;(B1817-d_T),B1817:B1821,"&lt;="&amp;(B1817-1))</f>
        <v/>
      </c>
      <c r="S1817" s="46" t="n">
        <v>0</v>
      </c>
      <c r="T1817" s="40">
        <f>F1817*d_u*S1817</f>
        <v/>
      </c>
      <c r="U1817" s="9">
        <f>L1817*in_ticket+M1817*d_rep_ticket</f>
        <v/>
      </c>
      <c r="V1817" s="9">
        <f>U1817+T1817*d_topup_amt</f>
        <v/>
      </c>
      <c r="W1817" s="40">
        <f>N1817+T1817*d_topup_ratio</f>
        <v/>
      </c>
      <c r="X1817" s="40">
        <f>SUMIFS(W1817:W1821,B1817:B1821,B1817-in_dpd_lag)*d_cured</f>
        <v/>
      </c>
      <c r="Y1817" s="40">
        <f>SUMIFS(W1817:W1821,B1817:B1821,B1817-in_rec_lag)*d_recd</f>
        <v/>
      </c>
      <c r="Z1817" s="40">
        <f>IF(AND(B1817&gt;=in_marketplace_from,B1817&lt;in_marketplace_from+in_card_months),in_card_share/in_card_months*F1817*I1817,IF(AND(B1817&gt;=in_marketplace_from+in_card_months,B1817&lt;in_marketplace_from+2*in_card_months),in_card_share*d_card_rem/in_card_months*F1817*MIN(in_takeup_cap,(1+in_takeup_growth)^(D1817-1))*MIN(in_takeup_cap,(1+in_approval_growth)^(D1817-1)),0))</f>
        <v/>
      </c>
      <c r="AA1817" s="14">
        <f>V1817*in_fee*(1-in_taken_back)</f>
        <v/>
      </c>
      <c r="AB1817" s="14">
        <f>SUMIFS(W1817:W1821,B1817:B1821,B1817-in_dpd_lag)*d_dpd</f>
        <v/>
      </c>
      <c r="AC1817" s="14">
        <f>SUMIFS(W1817:W1821,B1817:B1821,B1817-in_rec_lag)*d_rec</f>
        <v/>
      </c>
      <c r="AD1817" s="14">
        <f>Z1817*in_card_fee</f>
        <v/>
      </c>
      <c r="AE1817" s="40" t="n">
        <v>1</v>
      </c>
      <c r="AF1817" s="46">
        <f>AE1817*IF(B1817&gt;=in_marketplace_from,d_hz_hlth_small*G1817,0)</f>
        <v/>
      </c>
      <c r="AG1817" s="14">
        <f>F1817*AF1817*in_hlth_small_ticket*in_hlth_small_comm*in_ins_partner_share+F1817*in_hlth_small_ticket*in_hlth_small_renew_comm*in_ins_partner_share*(in_hlth_small_renew^1*SUMIFS(AF1817:AF1821,B1817:B1821,B1817-12)+in_hlth_small_renew^2*SUMIFS(AF1817:AF1821,B1817:B1821,B1817-24)+in_hlth_small_renew^3*SUMIFS(AF1817:AF1821,B1817:B1821,B1817-36)+in_hlth_small_renew^4*SUMIFS(AF1817:AF1821,B1817:B1821,B1817-48))</f>
        <v/>
      </c>
      <c r="AH1817" s="40" t="n">
        <v>1</v>
      </c>
      <c r="AI1817" s="46">
        <f>AH1817*IF(B1817&gt;=in_marketplace_from,d_hz_hlth_family*G1817,0)</f>
        <v/>
      </c>
      <c r="AJ1817" s="14">
        <f>F1817*AI1817*in_hlth_family_ticket*in_hlth_family_comm*in_ins_partner_share+F1817*in_hlth_family_ticket*in_hlth_family_renew_comm*in_ins_partner_share*(in_hlth_family_renew^1*SUMIFS(AI1817:AI1821,B1817:B1821,B1817-12)+in_hlth_family_renew^2*SUMIFS(AI1817:AI1821,B1817:B1821,B1817-24)+in_hlth_family_renew^3*SUMIFS(AI1817:AI1821,B1817:B1821,B1817-36)+in_hlth_family_renew^4*SUMIFS(AI1817:AI1821,B1817:B1821,B1817-48))</f>
        <v/>
      </c>
      <c r="AK1817" s="40" t="n">
        <v>1</v>
      </c>
      <c r="AL1817" s="46">
        <f>AK1817*IF(B1817&gt;=in_marketplace_from,d_hz_life_term*G1817,0)</f>
        <v/>
      </c>
      <c r="AM1817" s="14">
        <f>F1817*AL1817*in_life_term_ticket*in_life_term_comm*in_ins_partner_share+F1817*in_life_term_ticket*in_life_term_renew_comm*in_ins_partner_share*(in_life_term_renew^1*SUMIFS(AL1817:AL1821,B1817:B1821,B1817-12)+in_life_term_renew^2*SUMIFS(AL1817:AL1821,B1817:B1821,B1817-24)+in_life_term_renew^3*SUMIFS(AL1817:AL1821,B1817:B1821,B1817-36)+in_life_term_renew^4*SUMIFS(AL1817:AL1821,B1817:B1821,B1817-48))</f>
        <v/>
      </c>
      <c r="AN1817" s="40" t="n">
        <v>1</v>
      </c>
      <c r="AO1817" s="46">
        <f>AN1817*IF(B1817&gt;=in_marketplace_from,d_hz_accident*G1817,0)</f>
        <v/>
      </c>
      <c r="AP1817" s="14">
        <f>F1817*AO1817*in_accident_ticket*in_accident_comm*in_ins_partner_share+F1817*in_accident_ticket*in_accident_renew_comm*in_ins_partner_share*(in_accident_renew^1*SUMIFS(AO1817:AO1821,B1817:B1821,B1817-12)+in_accident_renew^2*SUMIFS(AO1817:AO1821,B1817:B1821,B1817-24)+in_accident_renew^3*SUMIFS(AO1817:AO1821,B1817:B1821,B1817-36)+in_accident_renew^4*SUMIFS(AO1817:AO1821,B1817:B1821,B1817-48))</f>
        <v/>
      </c>
      <c r="AQ1817" s="40" t="n">
        <v>1</v>
      </c>
      <c r="AR1817" s="46">
        <f>AQ1817*IF(B1817&gt;=in_marketplace_from,d_hz_two_wheeler*G1817,0)</f>
        <v/>
      </c>
      <c r="AS1817" s="14">
        <f>F1817*AR1817*in_two_wheeler_ticket*in_two_wheeler_comm*in_ins_partner_share+F1817*in_two_wheeler_ticket*in_two_wheeler_comm*in_ins_partner_share*(in_two_wheeler_renew^1*SUMIFS(AR1817:AR1821,B1817:B1821,B1817-12)+in_two_wheeler_renew^2*SUMIFS(AR1817:AR1821,B1817:B1821,B1817-24)+in_two_wheeler_renew^3*SUMIFS(AR1817:AR1821,B1817:B1821,B1817-36)+in_two_wheeler_renew^4*SUMIFS(AR1817:AR1821,B1817:B1821,B1817-48))</f>
        <v/>
      </c>
      <c r="AT1817" s="40" t="n">
        <v>1</v>
      </c>
      <c r="AU1817" s="14">
        <f>F1817*AT1817*IF(B1817&gt;=in_marketplace_from,d_hz_device*G1817,0)*in_device_ticket*in_device_comm*in_ins_partner_share</f>
        <v/>
      </c>
      <c r="AV1817" s="40" t="n">
        <v>1</v>
      </c>
      <c r="AW1817" s="46">
        <f>AV1817*IF(B1817&gt;=in_marketplace_from,d_hz_shop*G1817,0)</f>
        <v/>
      </c>
      <c r="AX1817" s="14">
        <f>F1817*AW1817*in_shop_ticket*in_shop_comm*in_ins_partner_share+F1817*in_shop_ticket*in_shop_renew_comm*in_ins_partner_share*(in_shop_renew^1*SUMIFS(AW1817:AW1821,B1817:B1821,B1817-12)+in_shop_renew^2*SUMIFS(AW1817:AW1821,B1817:B1821,B1817-24)+in_shop_renew^3*SUMIFS(AW1817:AW1821,B1817:B1821,B1817-36)+in_shop_renew^4*SUMIFS(AW1817:AW1821,B1817:B1821,B1817-48))</f>
        <v/>
      </c>
      <c r="AY1817" s="40" t="n">
        <v>1</v>
      </c>
      <c r="AZ1817" s="40">
        <f>AY1817*IF(B1817&gt;=in_marketplace_from,d_hz_sip*G1817,0)</f>
        <v/>
      </c>
      <c r="BA1817" s="40" t="n">
        <v>0</v>
      </c>
      <c r="BB1817" s="14">
        <f>F1817*in_sip_ticket*(BA1817+0.5*AZ1817)*in_sip_comm/12</f>
        <v/>
      </c>
      <c r="BC1817" s="40" t="n">
        <v>1</v>
      </c>
      <c r="BD1817" s="46">
        <f>BC1817*IF(B1817&gt;=in_marketplace_from,d_hz_choti*G1817,0)</f>
        <v/>
      </c>
      <c r="BE1817" s="14">
        <f>F1817*SUMIFS(BD1817:BD1821,B1817:B1821,B1817-in_choti_months)*in_choti_renew*in_choti_ticket</f>
        <v/>
      </c>
      <c r="BF1817" s="40" t="n">
        <v>1</v>
      </c>
      <c r="BG1817" s="14">
        <f>F1817*BF1817*IF(B1817&gt;=in_marketplace_from,d_hz_nps*G1817,0)*in_nps_ticket*in_nps_comm</f>
        <v/>
      </c>
      <c r="BH1817" s="40" t="n">
        <v>1</v>
      </c>
      <c r="BI1817" s="40">
        <f>BH1817*IF(B1817&gt;=in_marketplace_from,d_hz_gold*G1817,0)</f>
        <v/>
      </c>
      <c r="BJ1817" s="14">
        <f>F1817*BI1817*in_gold_ticket*in_gold_comm</f>
        <v/>
      </c>
      <c r="BK1817" s="40" t="n">
        <v>1</v>
      </c>
      <c r="BL1817" s="14">
        <f>F1817*BK1817*IF(B1817&gt;=in_marketplace_from,d_hz_fd*G1817,0)*in_fd_ticket*in_fd_comm</f>
        <v/>
      </c>
      <c r="BM1817" s="40" t="n">
        <v>1</v>
      </c>
      <c r="BN1817" s="40">
        <f>BM1817*IF(B1817&gt;=in_marketplace_from,d_hz_recharge*G1817,0)</f>
        <v/>
      </c>
      <c r="BO1817" s="14">
        <f>F1817*BN1817*in_recharge_ticket*in_recharge_comm/12</f>
        <v/>
      </c>
      <c r="BP1817" s="40" t="n">
        <v>1</v>
      </c>
      <c r="BQ1817" s="40">
        <f>BP1817*IF(B1817&gt;=in_marketplace_from,d_hz_bills*G1817,0)</f>
        <v/>
      </c>
      <c r="BR1817" s="14">
        <f>F1817*BQ1817*in_bills_ticket*in_bills_comm/12</f>
        <v/>
      </c>
      <c r="BS1817" s="40" t="n">
        <v>1</v>
      </c>
      <c r="BT1817" s="14">
        <f>F1817*BS1817*IF(B1817&gt;=in_marketplace_from,d_hz_loan_gold*G1817,0)*in_loan_gold_ticket*in_loan_gold_comm</f>
        <v/>
      </c>
      <c r="BU1817" s="40" t="n">
        <v>1</v>
      </c>
      <c r="BV1817" s="14">
        <f>F1817*BU1817*IF(B1817&gt;=in_marketplace_from,d_hz_loan_cd*G1817,0)*in_loan_cd_ticket*in_loan_cd_comm</f>
        <v/>
      </c>
      <c r="BW1817" s="40" t="n">
        <v>1</v>
      </c>
      <c r="BX1817" s="14">
        <f>F1817*BW1817*IF(B1817&gt;=in_marketplace_from,d_hz_loan_vehicle*G1817,0)*in_loan_vehicle_ticket*in_loan_vehicle_comm</f>
        <v/>
      </c>
      <c r="BY1817" s="40" t="n">
        <v>1</v>
      </c>
      <c r="BZ1817" s="11">
        <f>MIN(in_approval_cap,in_loan_home_approval*INDEX('Age profile'!$O$2:$O$61,B1817)*(1+in_approval_growth)^(D1817-1))</f>
        <v/>
      </c>
      <c r="CA1817" s="14">
        <f>F1817*BY1817*IF(B1817&gt;=in_marketplace_from,d_hz_loan_home*G1817,0)*BZ1817*in_loan_home_ticket*in_loan_home_comm</f>
        <v/>
      </c>
      <c r="CB1817" s="40" t="n">
        <v>1</v>
      </c>
      <c r="CC1817" s="11">
        <f>MIN(in_approval_cap,in_loan_lap_approval*INDEX('Age profile'!$O$2:$O$61,B1817)*(1+in_approval_growth)^(D1817-1))</f>
        <v/>
      </c>
      <c r="CD1817" s="14">
        <f>F1817*CB1817*IF(B1817&gt;=in_marketplace_from,d_hz_loan_lap*G1817,0)*CC1817*in_loan_lap_ticket*in_loan_lap_comm</f>
        <v/>
      </c>
      <c r="CE1817" s="14">
        <f>AA1817+AB1817+AC1817+AD1817+AG1817+AJ1817+AM1817+AP1817+AS1817+AU1817+AX1817+BB1817+BE1817+BG1817+BJ1817+BL1817+BO1817+BR1817+BT1817+BV1817+BX1817+CA1817+CD1817</f>
        <v/>
      </c>
    </row>
    <row r="1818">
      <c r="A1818" s="39" t="n">
        <v>56</v>
      </c>
      <c r="B1818" s="39" t="n">
        <v>2</v>
      </c>
      <c r="C1818" s="39">
        <f>A1818+B1818-1</f>
        <v/>
      </c>
      <c r="D1818" s="39">
        <f>INT((C1818-1)/12)+1</f>
        <v/>
      </c>
      <c r="E1818" s="44">
        <f>INDEX(Monthly!$B$2:$B$61,A1818)</f>
        <v/>
      </c>
      <c r="F1818" s="44">
        <f>E1818*INDEX('Age profile'!$B$2:$B$61,B1818)</f>
        <v/>
      </c>
      <c r="G1818" s="45">
        <f>MIN(in_takeup_cap,INDEX('Age profile'!$N$2:$N$61,B1818)*(1+in_takeup_growth)^(D1818-1))</f>
        <v/>
      </c>
      <c r="H1818" s="11">
        <f>MIN(in_approval_cap,in_approved_first*INDEX('Age profile'!$O$2:$O$61,B1818)*(1+in_approval_growth)^(D1818-1))</f>
        <v/>
      </c>
      <c r="I1818" s="45">
        <f>G1818*MIN(in_takeup_cap,INDEX('Age profile'!$O$2:$O$61,B1818)*(1+in_approval_growth)^(D1818-1))</f>
        <v/>
      </c>
      <c r="J1818" s="40">
        <f>(J1817-L1817)*F1818/F1817</f>
        <v/>
      </c>
      <c r="K1818" s="40">
        <f>(K1817-M1817)*F1818/F1817+SUMIFS(O1817:O1817,B1817:B1817,B1818-1-d_T)*F1818</f>
        <v/>
      </c>
      <c r="L1818" s="40">
        <f>IF(B1818&gt;=in_marketplace_from,J1818*d_hz*G1818*in_eligible*H1818,0)</f>
        <v/>
      </c>
      <c r="M1818" s="40">
        <f>IF(B1818&gt;=in_marketplace_from,K1818*d_hz*G1818*in_eligible*in_approved_repeat,0)</f>
        <v/>
      </c>
      <c r="N1818" s="40">
        <f>L1818+M1818</f>
        <v/>
      </c>
      <c r="O1818" s="46">
        <f>N1818/F1818</f>
        <v/>
      </c>
      <c r="P1818" s="40">
        <f>F1818-J1818-K1818</f>
        <v/>
      </c>
      <c r="Q1818" s="40">
        <f>IF(B1818&gt;=in_marketplace_from,(J1818+K1818)*d_hz*G1818,0)</f>
        <v/>
      </c>
      <c r="R1818" s="40">
        <f>SUMIFS(N1817:N1821,B1817:B1821,"&gt;="&amp;(B1818-d_T),B1817:B1821,"&lt;="&amp;(B1818-1))</f>
        <v/>
      </c>
      <c r="S1818" s="46">
        <f>(1-d_u)*S1817+IF(d_T&gt;in_topup_lag,SUMIFS(O1817:O1821,B1817:B1821,B1818-in_topup_lag)-d_udrop*SUMIFS(O1817:O1821,B1817:B1821,B1818-d_T),0)</f>
        <v/>
      </c>
      <c r="T1818" s="40">
        <f>F1818*d_u*S1818</f>
        <v/>
      </c>
      <c r="U1818" s="9">
        <f>L1818*in_ticket+M1818*d_rep_ticket</f>
        <v/>
      </c>
      <c r="V1818" s="9">
        <f>U1818+T1818*d_topup_amt</f>
        <v/>
      </c>
      <c r="W1818" s="40">
        <f>N1818+T1818*d_topup_ratio</f>
        <v/>
      </c>
      <c r="X1818" s="40">
        <f>SUMIFS(W1817:W1821,B1817:B1821,B1818-in_dpd_lag)*d_cured</f>
        <v/>
      </c>
      <c r="Y1818" s="40">
        <f>SUMIFS(W1817:W1821,B1817:B1821,B1818-in_rec_lag)*d_recd</f>
        <v/>
      </c>
      <c r="Z1818" s="40">
        <f>IF(AND(B1818&gt;=in_marketplace_from,B1818&lt;in_marketplace_from+in_card_months),in_card_share/in_card_months*F1818*I1818,IF(AND(B1818&gt;=in_marketplace_from+in_card_months,B1818&lt;in_marketplace_from+2*in_card_months),in_card_share*d_card_rem/in_card_months*F1818*MIN(in_takeup_cap,(1+in_takeup_growth)^(D1818-1))*MIN(in_takeup_cap,(1+in_approval_growth)^(D1818-1)),0))</f>
        <v/>
      </c>
      <c r="AA1818" s="14">
        <f>V1818*in_fee*(1-in_taken_back)</f>
        <v/>
      </c>
      <c r="AB1818" s="14">
        <f>SUMIFS(W1817:W1821,B1817:B1821,B1818-in_dpd_lag)*d_dpd</f>
        <v/>
      </c>
      <c r="AC1818" s="14">
        <f>SUMIFS(W1817:W1821,B1817:B1821,B1818-in_rec_lag)*d_rec</f>
        <v/>
      </c>
      <c r="AD1818" s="14">
        <f>Z1818*in_card_fee</f>
        <v/>
      </c>
      <c r="AE1818" s="40">
        <f>AE1817*(1-IF(B1817&gt;=in_marketplace_from,d_hz_hlth_small*G1817,0))</f>
        <v/>
      </c>
      <c r="AF1818" s="46">
        <f>AE1818*IF(B1818&gt;=in_marketplace_from,d_hz_hlth_small*G1818,0)</f>
        <v/>
      </c>
      <c r="AG1818" s="14">
        <f>F1818*AF1818*in_hlth_small_ticket*in_hlth_small_comm*in_ins_partner_share+F1818*in_hlth_small_ticket*in_hlth_small_renew_comm*in_ins_partner_share*(in_hlth_small_renew^1*SUMIFS(AF1817:AF1821,B1817:B1821,B1818-12)+in_hlth_small_renew^2*SUMIFS(AF1817:AF1821,B1817:B1821,B1818-24)+in_hlth_small_renew^3*SUMIFS(AF1817:AF1821,B1817:B1821,B1818-36)+in_hlth_small_renew^4*SUMIFS(AF1817:AF1821,B1817:B1821,B1818-48))</f>
        <v/>
      </c>
      <c r="AH1818" s="40">
        <f>AH1817*(1-IF(B1817&gt;=in_marketplace_from,d_hz_hlth_family*G1817,0))</f>
        <v/>
      </c>
      <c r="AI1818" s="46">
        <f>AH1818*IF(B1818&gt;=in_marketplace_from,d_hz_hlth_family*G1818,0)</f>
        <v/>
      </c>
      <c r="AJ1818" s="14">
        <f>F1818*AI1818*in_hlth_family_ticket*in_hlth_family_comm*in_ins_partner_share+F1818*in_hlth_family_ticket*in_hlth_family_renew_comm*in_ins_partner_share*(in_hlth_family_renew^1*SUMIFS(AI1817:AI1821,B1817:B1821,B1818-12)+in_hlth_family_renew^2*SUMIFS(AI1817:AI1821,B1817:B1821,B1818-24)+in_hlth_family_renew^3*SUMIFS(AI1817:AI1821,B1817:B1821,B1818-36)+in_hlth_family_renew^4*SUMIFS(AI1817:AI1821,B1817:B1821,B1818-48))</f>
        <v/>
      </c>
      <c r="AK1818" s="40">
        <f>AK1817*(1-IF(B1817&gt;=in_marketplace_from,d_hz_life_term*G1817,0))</f>
        <v/>
      </c>
      <c r="AL1818" s="46">
        <f>AK1818*IF(B1818&gt;=in_marketplace_from,d_hz_life_term*G1818,0)</f>
        <v/>
      </c>
      <c r="AM1818" s="14">
        <f>F1818*AL1818*in_life_term_ticket*in_life_term_comm*in_ins_partner_share+F1818*in_life_term_ticket*in_life_term_renew_comm*in_ins_partner_share*(in_life_term_renew^1*SUMIFS(AL1817:AL1821,B1817:B1821,B1818-12)+in_life_term_renew^2*SUMIFS(AL1817:AL1821,B1817:B1821,B1818-24)+in_life_term_renew^3*SUMIFS(AL1817:AL1821,B1817:B1821,B1818-36)+in_life_term_renew^4*SUMIFS(AL1817:AL1821,B1817:B1821,B1818-48))</f>
        <v/>
      </c>
      <c r="AN1818" s="40">
        <f>AN1817*(1-IF(B1817&gt;=in_marketplace_from,d_hz_accident*G1817,0))</f>
        <v/>
      </c>
      <c r="AO1818" s="46">
        <f>AN1818*IF(B1818&gt;=in_marketplace_from,d_hz_accident*G1818,0)</f>
        <v/>
      </c>
      <c r="AP1818" s="14">
        <f>F1818*AO1818*in_accident_ticket*in_accident_comm*in_ins_partner_share+F1818*in_accident_ticket*in_accident_renew_comm*in_ins_partner_share*(in_accident_renew^1*SUMIFS(AO1817:AO1821,B1817:B1821,B1818-12)+in_accident_renew^2*SUMIFS(AO1817:AO1821,B1817:B1821,B1818-24)+in_accident_renew^3*SUMIFS(AO1817:AO1821,B1817:B1821,B1818-36)+in_accident_renew^4*SUMIFS(AO1817:AO1821,B1817:B1821,B1818-48))</f>
        <v/>
      </c>
      <c r="AQ1818" s="40">
        <f>AQ1817*(1-IF(B1817&gt;=in_marketplace_from,d_hz_two_wheeler*G1817,0))</f>
        <v/>
      </c>
      <c r="AR1818" s="46">
        <f>AQ1818*IF(B1818&gt;=in_marketplace_from,d_hz_two_wheeler*G1818,0)</f>
        <v/>
      </c>
      <c r="AS1818" s="14">
        <f>F1818*AR1818*in_two_wheeler_ticket*in_two_wheeler_comm*in_ins_partner_share+F1818*in_two_wheeler_ticket*in_two_wheeler_comm*in_ins_partner_share*(in_two_wheeler_renew^1*SUMIFS(AR1817:AR1821,B1817:B1821,B1818-12)+in_two_wheeler_renew^2*SUMIFS(AR1817:AR1821,B1817:B1821,B1818-24)+in_two_wheeler_renew^3*SUMIFS(AR1817:AR1821,B1817:B1821,B1818-36)+in_two_wheeler_renew^4*SUMIFS(AR1817:AR1821,B1817:B1821,B1818-48))</f>
        <v/>
      </c>
      <c r="AT1818" s="40">
        <f>AT1817*(1-IF(B1817&gt;=in_marketplace_from,d_hz_device*G1817,0))</f>
        <v/>
      </c>
      <c r="AU1818" s="14">
        <f>F1818*AT1818*IF(B1818&gt;=in_marketplace_from,d_hz_device*G1818,0)*in_device_ticket*in_device_comm*in_ins_partner_share</f>
        <v/>
      </c>
      <c r="AV1818" s="40">
        <f>AV1817*(1-IF(B1817&gt;=in_marketplace_from,d_hz_shop*G1817,0))</f>
        <v/>
      </c>
      <c r="AW1818" s="46">
        <f>AV1818*IF(B1818&gt;=in_marketplace_from,d_hz_shop*G1818,0)</f>
        <v/>
      </c>
      <c r="AX1818" s="14">
        <f>F1818*AW1818*in_shop_ticket*in_shop_comm*in_ins_partner_share+F1818*in_shop_ticket*in_shop_renew_comm*in_ins_partner_share*(in_shop_renew^1*SUMIFS(AW1817:AW1821,B1817:B1821,B1818-12)+in_shop_renew^2*SUMIFS(AW1817:AW1821,B1817:B1821,B1818-24)+in_shop_renew^3*SUMIFS(AW1817:AW1821,B1817:B1821,B1818-36)+in_shop_renew^4*SUMIFS(AW1817:AW1821,B1817:B1821,B1818-48))</f>
        <v/>
      </c>
      <c r="AY1818" s="40">
        <f>AY1817*(1-IF(B1817&gt;=in_marketplace_from,d_hz_sip*G1817,0))</f>
        <v/>
      </c>
      <c r="AZ1818" s="40">
        <f>AZ1817*d_rho_sip+AY1818*IF(B1818&gt;=in_marketplace_from,d_hz_sip*G1818,0)</f>
        <v/>
      </c>
      <c r="BA1818" s="40">
        <f>d_rho_sip*(BA1817+AZ1817)</f>
        <v/>
      </c>
      <c r="BB1818" s="14">
        <f>F1818*in_sip_ticket*(BA1818+0.5*AZ1818)*in_sip_comm/12</f>
        <v/>
      </c>
      <c r="BC1818" s="40">
        <f>BC1817*(1-IF(B1817&gt;=in_marketplace_from,d_hz_choti*G1817,0))</f>
        <v/>
      </c>
      <c r="BD1818" s="46">
        <f>BC1818*IF(B1818&gt;=in_marketplace_from,d_hz_choti*G1818,0)</f>
        <v/>
      </c>
      <c r="BE1818" s="14">
        <f>F1818*SUMIFS(BD1817:BD1821,B1817:B1821,B1818-in_choti_months)*in_choti_renew*in_choti_ticket</f>
        <v/>
      </c>
      <c r="BF1818" s="40">
        <f>BF1817*(1-IF(B1817&gt;=in_marketplace_from,d_hz_nps*G1817,0))</f>
        <v/>
      </c>
      <c r="BG1818" s="14">
        <f>F1818*BF1818*IF(B1818&gt;=in_marketplace_from,d_hz_nps*G1818,0)*in_nps_ticket*in_nps_comm</f>
        <v/>
      </c>
      <c r="BH1818" s="40">
        <f>BH1817*(1-IF(B1817&gt;=in_marketplace_from,d_hz_gold*G1817,0))</f>
        <v/>
      </c>
      <c r="BI1818" s="40">
        <f>BI1817*d_rho_gold+BH1818*IF(B1818&gt;=in_marketplace_from,d_hz_gold*G1818,0)</f>
        <v/>
      </c>
      <c r="BJ1818" s="14">
        <f>F1818*BI1818*in_gold_ticket*in_gold_comm</f>
        <v/>
      </c>
      <c r="BK1818" s="40">
        <f>BK1817*(1-IF(B1817&gt;=in_marketplace_from,d_hz_fd*G1817,0))</f>
        <v/>
      </c>
      <c r="BL1818" s="14">
        <f>F1818*BK1818*IF(B1818&gt;=in_marketplace_from,d_hz_fd*G1818,0)*in_fd_ticket*in_fd_comm</f>
        <v/>
      </c>
      <c r="BM1818" s="40">
        <f>BM1817*(1-IF(B1817&gt;=in_marketplace_from,d_hz_recharge*G1817,0))</f>
        <v/>
      </c>
      <c r="BN1818" s="40">
        <f>BN1817*d_rho_recharge+BM1818*IF(B1818&gt;=in_marketplace_from,d_hz_recharge*G1818,0)</f>
        <v/>
      </c>
      <c r="BO1818" s="14">
        <f>F1818*BN1818*in_recharge_ticket*in_recharge_comm/12</f>
        <v/>
      </c>
      <c r="BP1818" s="40">
        <f>BP1817*(1-IF(B1817&gt;=in_marketplace_from,d_hz_bills*G1817,0))</f>
        <v/>
      </c>
      <c r="BQ1818" s="40">
        <f>BQ1817*d_rho_bills+BP1818*IF(B1818&gt;=in_marketplace_from,d_hz_bills*G1818,0)</f>
        <v/>
      </c>
      <c r="BR1818" s="14">
        <f>F1818*BQ1818*in_bills_ticket*in_bills_comm/12</f>
        <v/>
      </c>
      <c r="BS1818" s="40">
        <f>BS1817*(1-IF(B1817&gt;=in_marketplace_from,d_hz_loan_gold*G1817,0))</f>
        <v/>
      </c>
      <c r="BT1818" s="14">
        <f>F1818*BS1818*IF(B1818&gt;=in_marketplace_from,d_hz_loan_gold*G1818,0)*in_loan_gold_ticket*in_loan_gold_comm</f>
        <v/>
      </c>
      <c r="BU1818" s="40">
        <f>BU1817*(1-IF(B1817&gt;=in_marketplace_from,d_hz_loan_cd*G1817,0))</f>
        <v/>
      </c>
      <c r="BV1818" s="14">
        <f>F1818*BU1818*IF(B1818&gt;=in_marketplace_from,d_hz_loan_cd*G1818,0)*in_loan_cd_ticket*in_loan_cd_comm</f>
        <v/>
      </c>
      <c r="BW1818" s="40">
        <f>BW1817*(1-IF(B1817&gt;=in_marketplace_from,d_hz_loan_vehicle*G1817,0))</f>
        <v/>
      </c>
      <c r="BX1818" s="14">
        <f>F1818*BW1818*IF(B1818&gt;=in_marketplace_from,d_hz_loan_vehicle*G1818,0)*in_loan_vehicle_ticket*in_loan_vehicle_comm</f>
        <v/>
      </c>
      <c r="BY1818" s="40">
        <f>BY1817*(1-IF(B1817&gt;=in_marketplace_from,d_hz_loan_home*G1817,0)*BZ1817)</f>
        <v/>
      </c>
      <c r="BZ1818" s="11">
        <f>MIN(in_approval_cap,in_loan_home_approval*INDEX('Age profile'!$O$2:$O$61,B1818)*(1+in_approval_growth)^(D1818-1))</f>
        <v/>
      </c>
      <c r="CA1818" s="14">
        <f>F1818*BY1818*IF(B1818&gt;=in_marketplace_from,d_hz_loan_home*G1818,0)*BZ1818*in_loan_home_ticket*in_loan_home_comm</f>
        <v/>
      </c>
      <c r="CB1818" s="40">
        <f>CB1817*(1-IF(B1817&gt;=in_marketplace_from,d_hz_loan_lap*G1817,0)*CC1817)</f>
        <v/>
      </c>
      <c r="CC1818" s="11">
        <f>MIN(in_approval_cap,in_loan_lap_approval*INDEX('Age profile'!$O$2:$O$61,B1818)*(1+in_approval_growth)^(D1818-1))</f>
        <v/>
      </c>
      <c r="CD1818" s="14">
        <f>F1818*CB1818*IF(B1818&gt;=in_marketplace_from,d_hz_loan_lap*G1818,0)*CC1818*in_loan_lap_ticket*in_loan_lap_comm</f>
        <v/>
      </c>
      <c r="CE1818" s="14">
        <f>AA1818+AB1818+AC1818+AD1818+AG1818+AJ1818+AM1818+AP1818+AS1818+AU1818+AX1818+BB1818+BE1818+BG1818+BJ1818+BL1818+BO1818+BR1818+BT1818+BV1818+BX1818+CA1818+CD1818</f>
        <v/>
      </c>
    </row>
    <row r="1819">
      <c r="A1819" s="39" t="n">
        <v>56</v>
      </c>
      <c r="B1819" s="39" t="n">
        <v>3</v>
      </c>
      <c r="C1819" s="39">
        <f>A1819+B1819-1</f>
        <v/>
      </c>
      <c r="D1819" s="39">
        <f>INT((C1819-1)/12)+1</f>
        <v/>
      </c>
      <c r="E1819" s="44">
        <f>INDEX(Monthly!$B$2:$B$61,A1819)</f>
        <v/>
      </c>
      <c r="F1819" s="44">
        <f>E1819*INDEX('Age profile'!$B$2:$B$61,B1819)</f>
        <v/>
      </c>
      <c r="G1819" s="45">
        <f>MIN(in_takeup_cap,INDEX('Age profile'!$N$2:$N$61,B1819)*(1+in_takeup_growth)^(D1819-1))</f>
        <v/>
      </c>
      <c r="H1819" s="11">
        <f>MIN(in_approval_cap,in_approved_first*INDEX('Age profile'!$O$2:$O$61,B1819)*(1+in_approval_growth)^(D1819-1))</f>
        <v/>
      </c>
      <c r="I1819" s="45">
        <f>G1819*MIN(in_takeup_cap,INDEX('Age profile'!$O$2:$O$61,B1819)*(1+in_approval_growth)^(D1819-1))</f>
        <v/>
      </c>
      <c r="J1819" s="40">
        <f>(J1818-L1818)*F1819/F1818</f>
        <v/>
      </c>
      <c r="K1819" s="40">
        <f>(K1818-M1818)*F1819/F1818+SUMIFS(O1817:O1818,B1817:B1818,B1819-1-d_T)*F1819</f>
        <v/>
      </c>
      <c r="L1819" s="40">
        <f>IF(B1819&gt;=in_marketplace_from,J1819*d_hz*G1819*in_eligible*H1819,0)</f>
        <v/>
      </c>
      <c r="M1819" s="40">
        <f>IF(B1819&gt;=in_marketplace_from,K1819*d_hz*G1819*in_eligible*in_approved_repeat,0)</f>
        <v/>
      </c>
      <c r="N1819" s="40">
        <f>L1819+M1819</f>
        <v/>
      </c>
      <c r="O1819" s="46">
        <f>N1819/F1819</f>
        <v/>
      </c>
      <c r="P1819" s="40">
        <f>F1819-J1819-K1819</f>
        <v/>
      </c>
      <c r="Q1819" s="40">
        <f>IF(B1819&gt;=in_marketplace_from,(J1819+K1819)*d_hz*G1819,0)</f>
        <v/>
      </c>
      <c r="R1819" s="40">
        <f>SUMIFS(N1817:N1821,B1817:B1821,"&gt;="&amp;(B1819-d_T),B1817:B1821,"&lt;="&amp;(B1819-1))</f>
        <v/>
      </c>
      <c r="S1819" s="46">
        <f>(1-d_u)*S1818+IF(d_T&gt;in_topup_lag,SUMIFS(O1817:O1821,B1817:B1821,B1819-in_topup_lag)-d_udrop*SUMIFS(O1817:O1821,B1817:B1821,B1819-d_T),0)</f>
        <v/>
      </c>
      <c r="T1819" s="40">
        <f>F1819*d_u*S1819</f>
        <v/>
      </c>
      <c r="U1819" s="9">
        <f>L1819*in_ticket+M1819*d_rep_ticket</f>
        <v/>
      </c>
      <c r="V1819" s="9">
        <f>U1819+T1819*d_topup_amt</f>
        <v/>
      </c>
      <c r="W1819" s="40">
        <f>N1819+T1819*d_topup_ratio</f>
        <v/>
      </c>
      <c r="X1819" s="40">
        <f>SUMIFS(W1817:W1821,B1817:B1821,B1819-in_dpd_lag)*d_cured</f>
        <v/>
      </c>
      <c r="Y1819" s="40">
        <f>SUMIFS(W1817:W1821,B1817:B1821,B1819-in_rec_lag)*d_recd</f>
        <v/>
      </c>
      <c r="Z1819" s="40">
        <f>IF(AND(B1819&gt;=in_marketplace_from,B1819&lt;in_marketplace_from+in_card_months),in_card_share/in_card_months*F1819*I1819,IF(AND(B1819&gt;=in_marketplace_from+in_card_months,B1819&lt;in_marketplace_from+2*in_card_months),in_card_share*d_card_rem/in_card_months*F1819*MIN(in_takeup_cap,(1+in_takeup_growth)^(D1819-1))*MIN(in_takeup_cap,(1+in_approval_growth)^(D1819-1)),0))</f>
        <v/>
      </c>
      <c r="AA1819" s="14">
        <f>V1819*in_fee*(1-in_taken_back)</f>
        <v/>
      </c>
      <c r="AB1819" s="14">
        <f>SUMIFS(W1817:W1821,B1817:B1821,B1819-in_dpd_lag)*d_dpd</f>
        <v/>
      </c>
      <c r="AC1819" s="14">
        <f>SUMIFS(W1817:W1821,B1817:B1821,B1819-in_rec_lag)*d_rec</f>
        <v/>
      </c>
      <c r="AD1819" s="14">
        <f>Z1819*in_card_fee</f>
        <v/>
      </c>
      <c r="AE1819" s="40">
        <f>AE1818*(1-IF(B1818&gt;=in_marketplace_from,d_hz_hlth_small*G1818,0))</f>
        <v/>
      </c>
      <c r="AF1819" s="46">
        <f>AE1819*IF(B1819&gt;=in_marketplace_from,d_hz_hlth_small*G1819,0)</f>
        <v/>
      </c>
      <c r="AG1819" s="14">
        <f>F1819*AF1819*in_hlth_small_ticket*in_hlth_small_comm*in_ins_partner_share+F1819*in_hlth_small_ticket*in_hlth_small_renew_comm*in_ins_partner_share*(in_hlth_small_renew^1*SUMIFS(AF1817:AF1821,B1817:B1821,B1819-12)+in_hlth_small_renew^2*SUMIFS(AF1817:AF1821,B1817:B1821,B1819-24)+in_hlth_small_renew^3*SUMIFS(AF1817:AF1821,B1817:B1821,B1819-36)+in_hlth_small_renew^4*SUMIFS(AF1817:AF1821,B1817:B1821,B1819-48))</f>
        <v/>
      </c>
      <c r="AH1819" s="40">
        <f>AH1818*(1-IF(B1818&gt;=in_marketplace_from,d_hz_hlth_family*G1818,0))</f>
        <v/>
      </c>
      <c r="AI1819" s="46">
        <f>AH1819*IF(B1819&gt;=in_marketplace_from,d_hz_hlth_family*G1819,0)</f>
        <v/>
      </c>
      <c r="AJ1819" s="14">
        <f>F1819*AI1819*in_hlth_family_ticket*in_hlth_family_comm*in_ins_partner_share+F1819*in_hlth_family_ticket*in_hlth_family_renew_comm*in_ins_partner_share*(in_hlth_family_renew^1*SUMIFS(AI1817:AI1821,B1817:B1821,B1819-12)+in_hlth_family_renew^2*SUMIFS(AI1817:AI1821,B1817:B1821,B1819-24)+in_hlth_family_renew^3*SUMIFS(AI1817:AI1821,B1817:B1821,B1819-36)+in_hlth_family_renew^4*SUMIFS(AI1817:AI1821,B1817:B1821,B1819-48))</f>
        <v/>
      </c>
      <c r="AK1819" s="40">
        <f>AK1818*(1-IF(B1818&gt;=in_marketplace_from,d_hz_life_term*G1818,0))</f>
        <v/>
      </c>
      <c r="AL1819" s="46">
        <f>AK1819*IF(B1819&gt;=in_marketplace_from,d_hz_life_term*G1819,0)</f>
        <v/>
      </c>
      <c r="AM1819" s="14">
        <f>F1819*AL1819*in_life_term_ticket*in_life_term_comm*in_ins_partner_share+F1819*in_life_term_ticket*in_life_term_renew_comm*in_ins_partner_share*(in_life_term_renew^1*SUMIFS(AL1817:AL1821,B1817:B1821,B1819-12)+in_life_term_renew^2*SUMIFS(AL1817:AL1821,B1817:B1821,B1819-24)+in_life_term_renew^3*SUMIFS(AL1817:AL1821,B1817:B1821,B1819-36)+in_life_term_renew^4*SUMIFS(AL1817:AL1821,B1817:B1821,B1819-48))</f>
        <v/>
      </c>
      <c r="AN1819" s="40">
        <f>AN1818*(1-IF(B1818&gt;=in_marketplace_from,d_hz_accident*G1818,0))</f>
        <v/>
      </c>
      <c r="AO1819" s="46">
        <f>AN1819*IF(B1819&gt;=in_marketplace_from,d_hz_accident*G1819,0)</f>
        <v/>
      </c>
      <c r="AP1819" s="14">
        <f>F1819*AO1819*in_accident_ticket*in_accident_comm*in_ins_partner_share+F1819*in_accident_ticket*in_accident_renew_comm*in_ins_partner_share*(in_accident_renew^1*SUMIFS(AO1817:AO1821,B1817:B1821,B1819-12)+in_accident_renew^2*SUMIFS(AO1817:AO1821,B1817:B1821,B1819-24)+in_accident_renew^3*SUMIFS(AO1817:AO1821,B1817:B1821,B1819-36)+in_accident_renew^4*SUMIFS(AO1817:AO1821,B1817:B1821,B1819-48))</f>
        <v/>
      </c>
      <c r="AQ1819" s="40">
        <f>AQ1818*(1-IF(B1818&gt;=in_marketplace_from,d_hz_two_wheeler*G1818,0))</f>
        <v/>
      </c>
      <c r="AR1819" s="46">
        <f>AQ1819*IF(B1819&gt;=in_marketplace_from,d_hz_two_wheeler*G1819,0)</f>
        <v/>
      </c>
      <c r="AS1819" s="14">
        <f>F1819*AR1819*in_two_wheeler_ticket*in_two_wheeler_comm*in_ins_partner_share+F1819*in_two_wheeler_ticket*in_two_wheeler_comm*in_ins_partner_share*(in_two_wheeler_renew^1*SUMIFS(AR1817:AR1821,B1817:B1821,B1819-12)+in_two_wheeler_renew^2*SUMIFS(AR1817:AR1821,B1817:B1821,B1819-24)+in_two_wheeler_renew^3*SUMIFS(AR1817:AR1821,B1817:B1821,B1819-36)+in_two_wheeler_renew^4*SUMIFS(AR1817:AR1821,B1817:B1821,B1819-48))</f>
        <v/>
      </c>
      <c r="AT1819" s="40">
        <f>AT1818*(1-IF(B1818&gt;=in_marketplace_from,d_hz_device*G1818,0))</f>
        <v/>
      </c>
      <c r="AU1819" s="14">
        <f>F1819*AT1819*IF(B1819&gt;=in_marketplace_from,d_hz_device*G1819,0)*in_device_ticket*in_device_comm*in_ins_partner_share</f>
        <v/>
      </c>
      <c r="AV1819" s="40">
        <f>AV1818*(1-IF(B1818&gt;=in_marketplace_from,d_hz_shop*G1818,0))</f>
        <v/>
      </c>
      <c r="AW1819" s="46">
        <f>AV1819*IF(B1819&gt;=in_marketplace_from,d_hz_shop*G1819,0)</f>
        <v/>
      </c>
      <c r="AX1819" s="14">
        <f>F1819*AW1819*in_shop_ticket*in_shop_comm*in_ins_partner_share+F1819*in_shop_ticket*in_shop_renew_comm*in_ins_partner_share*(in_shop_renew^1*SUMIFS(AW1817:AW1821,B1817:B1821,B1819-12)+in_shop_renew^2*SUMIFS(AW1817:AW1821,B1817:B1821,B1819-24)+in_shop_renew^3*SUMIFS(AW1817:AW1821,B1817:B1821,B1819-36)+in_shop_renew^4*SUMIFS(AW1817:AW1821,B1817:B1821,B1819-48))</f>
        <v/>
      </c>
      <c r="AY1819" s="40">
        <f>AY1818*(1-IF(B1818&gt;=in_marketplace_from,d_hz_sip*G1818,0))</f>
        <v/>
      </c>
      <c r="AZ1819" s="40">
        <f>AZ1818*d_rho_sip+AY1819*IF(B1819&gt;=in_marketplace_from,d_hz_sip*G1819,0)</f>
        <v/>
      </c>
      <c r="BA1819" s="40">
        <f>d_rho_sip*(BA1818+AZ1818)</f>
        <v/>
      </c>
      <c r="BB1819" s="14">
        <f>F1819*in_sip_ticket*(BA1819+0.5*AZ1819)*in_sip_comm/12</f>
        <v/>
      </c>
      <c r="BC1819" s="40">
        <f>BC1818*(1-IF(B1818&gt;=in_marketplace_from,d_hz_choti*G1818,0))</f>
        <v/>
      </c>
      <c r="BD1819" s="46">
        <f>BC1819*IF(B1819&gt;=in_marketplace_from,d_hz_choti*G1819,0)</f>
        <v/>
      </c>
      <c r="BE1819" s="14">
        <f>F1819*SUMIFS(BD1817:BD1821,B1817:B1821,B1819-in_choti_months)*in_choti_renew*in_choti_ticket</f>
        <v/>
      </c>
      <c r="BF1819" s="40">
        <f>BF1818*(1-IF(B1818&gt;=in_marketplace_from,d_hz_nps*G1818,0))</f>
        <v/>
      </c>
      <c r="BG1819" s="14">
        <f>F1819*BF1819*IF(B1819&gt;=in_marketplace_from,d_hz_nps*G1819,0)*in_nps_ticket*in_nps_comm</f>
        <v/>
      </c>
      <c r="BH1819" s="40">
        <f>BH1818*(1-IF(B1818&gt;=in_marketplace_from,d_hz_gold*G1818,0))</f>
        <v/>
      </c>
      <c r="BI1819" s="40">
        <f>BI1818*d_rho_gold+BH1819*IF(B1819&gt;=in_marketplace_from,d_hz_gold*G1819,0)</f>
        <v/>
      </c>
      <c r="BJ1819" s="14">
        <f>F1819*BI1819*in_gold_ticket*in_gold_comm</f>
        <v/>
      </c>
      <c r="BK1819" s="40">
        <f>BK1818*(1-IF(B1818&gt;=in_marketplace_from,d_hz_fd*G1818,0))</f>
        <v/>
      </c>
      <c r="BL1819" s="14">
        <f>F1819*BK1819*IF(B1819&gt;=in_marketplace_from,d_hz_fd*G1819,0)*in_fd_ticket*in_fd_comm</f>
        <v/>
      </c>
      <c r="BM1819" s="40">
        <f>BM1818*(1-IF(B1818&gt;=in_marketplace_from,d_hz_recharge*G1818,0))</f>
        <v/>
      </c>
      <c r="BN1819" s="40">
        <f>BN1818*d_rho_recharge+BM1819*IF(B1819&gt;=in_marketplace_from,d_hz_recharge*G1819,0)</f>
        <v/>
      </c>
      <c r="BO1819" s="14">
        <f>F1819*BN1819*in_recharge_ticket*in_recharge_comm/12</f>
        <v/>
      </c>
      <c r="BP1819" s="40">
        <f>BP1818*(1-IF(B1818&gt;=in_marketplace_from,d_hz_bills*G1818,0))</f>
        <v/>
      </c>
      <c r="BQ1819" s="40">
        <f>BQ1818*d_rho_bills+BP1819*IF(B1819&gt;=in_marketplace_from,d_hz_bills*G1819,0)</f>
        <v/>
      </c>
      <c r="BR1819" s="14">
        <f>F1819*BQ1819*in_bills_ticket*in_bills_comm/12</f>
        <v/>
      </c>
      <c r="BS1819" s="40">
        <f>BS1818*(1-IF(B1818&gt;=in_marketplace_from,d_hz_loan_gold*G1818,0))</f>
        <v/>
      </c>
      <c r="BT1819" s="14">
        <f>F1819*BS1819*IF(B1819&gt;=in_marketplace_from,d_hz_loan_gold*G1819,0)*in_loan_gold_ticket*in_loan_gold_comm</f>
        <v/>
      </c>
      <c r="BU1819" s="40">
        <f>BU1818*(1-IF(B1818&gt;=in_marketplace_from,d_hz_loan_cd*G1818,0))</f>
        <v/>
      </c>
      <c r="BV1819" s="14">
        <f>F1819*BU1819*IF(B1819&gt;=in_marketplace_from,d_hz_loan_cd*G1819,0)*in_loan_cd_ticket*in_loan_cd_comm</f>
        <v/>
      </c>
      <c r="BW1819" s="40">
        <f>BW1818*(1-IF(B1818&gt;=in_marketplace_from,d_hz_loan_vehicle*G1818,0))</f>
        <v/>
      </c>
      <c r="BX1819" s="14">
        <f>F1819*BW1819*IF(B1819&gt;=in_marketplace_from,d_hz_loan_vehicle*G1819,0)*in_loan_vehicle_ticket*in_loan_vehicle_comm</f>
        <v/>
      </c>
      <c r="BY1819" s="40">
        <f>BY1818*(1-IF(B1818&gt;=in_marketplace_from,d_hz_loan_home*G1818,0)*BZ1818)</f>
        <v/>
      </c>
      <c r="BZ1819" s="11">
        <f>MIN(in_approval_cap,in_loan_home_approval*INDEX('Age profile'!$O$2:$O$61,B1819)*(1+in_approval_growth)^(D1819-1))</f>
        <v/>
      </c>
      <c r="CA1819" s="14">
        <f>F1819*BY1819*IF(B1819&gt;=in_marketplace_from,d_hz_loan_home*G1819,0)*BZ1819*in_loan_home_ticket*in_loan_home_comm</f>
        <v/>
      </c>
      <c r="CB1819" s="40">
        <f>CB1818*(1-IF(B1818&gt;=in_marketplace_from,d_hz_loan_lap*G1818,0)*CC1818)</f>
        <v/>
      </c>
      <c r="CC1819" s="11">
        <f>MIN(in_approval_cap,in_loan_lap_approval*INDEX('Age profile'!$O$2:$O$61,B1819)*(1+in_approval_growth)^(D1819-1))</f>
        <v/>
      </c>
      <c r="CD1819" s="14">
        <f>F1819*CB1819*IF(B1819&gt;=in_marketplace_from,d_hz_loan_lap*G1819,0)*CC1819*in_loan_lap_ticket*in_loan_lap_comm</f>
        <v/>
      </c>
      <c r="CE1819" s="14">
        <f>AA1819+AB1819+AC1819+AD1819+AG1819+AJ1819+AM1819+AP1819+AS1819+AU1819+AX1819+BB1819+BE1819+BG1819+BJ1819+BL1819+BO1819+BR1819+BT1819+BV1819+BX1819+CA1819+CD1819</f>
        <v/>
      </c>
    </row>
    <row r="1820">
      <c r="A1820" s="39" t="n">
        <v>56</v>
      </c>
      <c r="B1820" s="39" t="n">
        <v>4</v>
      </c>
      <c r="C1820" s="39">
        <f>A1820+B1820-1</f>
        <v/>
      </c>
      <c r="D1820" s="39">
        <f>INT((C1820-1)/12)+1</f>
        <v/>
      </c>
      <c r="E1820" s="44">
        <f>INDEX(Monthly!$B$2:$B$61,A1820)</f>
        <v/>
      </c>
      <c r="F1820" s="44">
        <f>E1820*INDEX('Age profile'!$B$2:$B$61,B1820)</f>
        <v/>
      </c>
      <c r="G1820" s="45">
        <f>MIN(in_takeup_cap,INDEX('Age profile'!$N$2:$N$61,B1820)*(1+in_takeup_growth)^(D1820-1))</f>
        <v/>
      </c>
      <c r="H1820" s="11">
        <f>MIN(in_approval_cap,in_approved_first*INDEX('Age profile'!$O$2:$O$61,B1820)*(1+in_approval_growth)^(D1820-1))</f>
        <v/>
      </c>
      <c r="I1820" s="45">
        <f>G1820*MIN(in_takeup_cap,INDEX('Age profile'!$O$2:$O$61,B1820)*(1+in_approval_growth)^(D1820-1))</f>
        <v/>
      </c>
      <c r="J1820" s="40">
        <f>(J1819-L1819)*F1820/F1819</f>
        <v/>
      </c>
      <c r="K1820" s="40">
        <f>(K1819-M1819)*F1820/F1819+SUMIFS(O1817:O1819,B1817:B1819,B1820-1-d_T)*F1820</f>
        <v/>
      </c>
      <c r="L1820" s="40">
        <f>IF(B1820&gt;=in_marketplace_from,J1820*d_hz*G1820*in_eligible*H1820,0)</f>
        <v/>
      </c>
      <c r="M1820" s="40">
        <f>IF(B1820&gt;=in_marketplace_from,K1820*d_hz*G1820*in_eligible*in_approved_repeat,0)</f>
        <v/>
      </c>
      <c r="N1820" s="40">
        <f>L1820+M1820</f>
        <v/>
      </c>
      <c r="O1820" s="46">
        <f>N1820/F1820</f>
        <v/>
      </c>
      <c r="P1820" s="40">
        <f>F1820-J1820-K1820</f>
        <v/>
      </c>
      <c r="Q1820" s="40">
        <f>IF(B1820&gt;=in_marketplace_from,(J1820+K1820)*d_hz*G1820,0)</f>
        <v/>
      </c>
      <c r="R1820" s="40">
        <f>SUMIFS(N1817:N1821,B1817:B1821,"&gt;="&amp;(B1820-d_T),B1817:B1821,"&lt;="&amp;(B1820-1))</f>
        <v/>
      </c>
      <c r="S1820" s="46">
        <f>(1-d_u)*S1819+IF(d_T&gt;in_topup_lag,SUMIFS(O1817:O1821,B1817:B1821,B1820-in_topup_lag)-d_udrop*SUMIFS(O1817:O1821,B1817:B1821,B1820-d_T),0)</f>
        <v/>
      </c>
      <c r="T1820" s="40">
        <f>F1820*d_u*S1820</f>
        <v/>
      </c>
      <c r="U1820" s="9">
        <f>L1820*in_ticket+M1820*d_rep_ticket</f>
        <v/>
      </c>
      <c r="V1820" s="9">
        <f>U1820+T1820*d_topup_amt</f>
        <v/>
      </c>
      <c r="W1820" s="40">
        <f>N1820+T1820*d_topup_ratio</f>
        <v/>
      </c>
      <c r="X1820" s="40">
        <f>SUMIFS(W1817:W1821,B1817:B1821,B1820-in_dpd_lag)*d_cured</f>
        <v/>
      </c>
      <c r="Y1820" s="40">
        <f>SUMIFS(W1817:W1821,B1817:B1821,B1820-in_rec_lag)*d_recd</f>
        <v/>
      </c>
      <c r="Z1820" s="40">
        <f>IF(AND(B1820&gt;=in_marketplace_from,B1820&lt;in_marketplace_from+in_card_months),in_card_share/in_card_months*F1820*I1820,IF(AND(B1820&gt;=in_marketplace_from+in_card_months,B1820&lt;in_marketplace_from+2*in_card_months),in_card_share*d_card_rem/in_card_months*F1820*MIN(in_takeup_cap,(1+in_takeup_growth)^(D1820-1))*MIN(in_takeup_cap,(1+in_approval_growth)^(D1820-1)),0))</f>
        <v/>
      </c>
      <c r="AA1820" s="14">
        <f>V1820*in_fee*(1-in_taken_back)</f>
        <v/>
      </c>
      <c r="AB1820" s="14">
        <f>SUMIFS(W1817:W1821,B1817:B1821,B1820-in_dpd_lag)*d_dpd</f>
        <v/>
      </c>
      <c r="AC1820" s="14">
        <f>SUMIFS(W1817:W1821,B1817:B1821,B1820-in_rec_lag)*d_rec</f>
        <v/>
      </c>
      <c r="AD1820" s="14">
        <f>Z1820*in_card_fee</f>
        <v/>
      </c>
      <c r="AE1820" s="40">
        <f>AE1819*(1-IF(B1819&gt;=in_marketplace_from,d_hz_hlth_small*G1819,0))</f>
        <v/>
      </c>
      <c r="AF1820" s="46">
        <f>AE1820*IF(B1820&gt;=in_marketplace_from,d_hz_hlth_small*G1820,0)</f>
        <v/>
      </c>
      <c r="AG1820" s="14">
        <f>F1820*AF1820*in_hlth_small_ticket*in_hlth_small_comm*in_ins_partner_share+F1820*in_hlth_small_ticket*in_hlth_small_renew_comm*in_ins_partner_share*(in_hlth_small_renew^1*SUMIFS(AF1817:AF1821,B1817:B1821,B1820-12)+in_hlth_small_renew^2*SUMIFS(AF1817:AF1821,B1817:B1821,B1820-24)+in_hlth_small_renew^3*SUMIFS(AF1817:AF1821,B1817:B1821,B1820-36)+in_hlth_small_renew^4*SUMIFS(AF1817:AF1821,B1817:B1821,B1820-48))</f>
        <v/>
      </c>
      <c r="AH1820" s="40">
        <f>AH1819*(1-IF(B1819&gt;=in_marketplace_from,d_hz_hlth_family*G1819,0))</f>
        <v/>
      </c>
      <c r="AI1820" s="46">
        <f>AH1820*IF(B1820&gt;=in_marketplace_from,d_hz_hlth_family*G1820,0)</f>
        <v/>
      </c>
      <c r="AJ1820" s="14">
        <f>F1820*AI1820*in_hlth_family_ticket*in_hlth_family_comm*in_ins_partner_share+F1820*in_hlth_family_ticket*in_hlth_family_renew_comm*in_ins_partner_share*(in_hlth_family_renew^1*SUMIFS(AI1817:AI1821,B1817:B1821,B1820-12)+in_hlth_family_renew^2*SUMIFS(AI1817:AI1821,B1817:B1821,B1820-24)+in_hlth_family_renew^3*SUMIFS(AI1817:AI1821,B1817:B1821,B1820-36)+in_hlth_family_renew^4*SUMIFS(AI1817:AI1821,B1817:B1821,B1820-48))</f>
        <v/>
      </c>
      <c r="AK1820" s="40">
        <f>AK1819*(1-IF(B1819&gt;=in_marketplace_from,d_hz_life_term*G1819,0))</f>
        <v/>
      </c>
      <c r="AL1820" s="46">
        <f>AK1820*IF(B1820&gt;=in_marketplace_from,d_hz_life_term*G1820,0)</f>
        <v/>
      </c>
      <c r="AM1820" s="14">
        <f>F1820*AL1820*in_life_term_ticket*in_life_term_comm*in_ins_partner_share+F1820*in_life_term_ticket*in_life_term_renew_comm*in_ins_partner_share*(in_life_term_renew^1*SUMIFS(AL1817:AL1821,B1817:B1821,B1820-12)+in_life_term_renew^2*SUMIFS(AL1817:AL1821,B1817:B1821,B1820-24)+in_life_term_renew^3*SUMIFS(AL1817:AL1821,B1817:B1821,B1820-36)+in_life_term_renew^4*SUMIFS(AL1817:AL1821,B1817:B1821,B1820-48))</f>
        <v/>
      </c>
      <c r="AN1820" s="40">
        <f>AN1819*(1-IF(B1819&gt;=in_marketplace_from,d_hz_accident*G1819,0))</f>
        <v/>
      </c>
      <c r="AO1820" s="46">
        <f>AN1820*IF(B1820&gt;=in_marketplace_from,d_hz_accident*G1820,0)</f>
        <v/>
      </c>
      <c r="AP1820" s="14">
        <f>F1820*AO1820*in_accident_ticket*in_accident_comm*in_ins_partner_share+F1820*in_accident_ticket*in_accident_renew_comm*in_ins_partner_share*(in_accident_renew^1*SUMIFS(AO1817:AO1821,B1817:B1821,B1820-12)+in_accident_renew^2*SUMIFS(AO1817:AO1821,B1817:B1821,B1820-24)+in_accident_renew^3*SUMIFS(AO1817:AO1821,B1817:B1821,B1820-36)+in_accident_renew^4*SUMIFS(AO1817:AO1821,B1817:B1821,B1820-48))</f>
        <v/>
      </c>
      <c r="AQ1820" s="40">
        <f>AQ1819*(1-IF(B1819&gt;=in_marketplace_from,d_hz_two_wheeler*G1819,0))</f>
        <v/>
      </c>
      <c r="AR1820" s="46">
        <f>AQ1820*IF(B1820&gt;=in_marketplace_from,d_hz_two_wheeler*G1820,0)</f>
        <v/>
      </c>
      <c r="AS1820" s="14">
        <f>F1820*AR1820*in_two_wheeler_ticket*in_two_wheeler_comm*in_ins_partner_share+F1820*in_two_wheeler_ticket*in_two_wheeler_comm*in_ins_partner_share*(in_two_wheeler_renew^1*SUMIFS(AR1817:AR1821,B1817:B1821,B1820-12)+in_two_wheeler_renew^2*SUMIFS(AR1817:AR1821,B1817:B1821,B1820-24)+in_two_wheeler_renew^3*SUMIFS(AR1817:AR1821,B1817:B1821,B1820-36)+in_two_wheeler_renew^4*SUMIFS(AR1817:AR1821,B1817:B1821,B1820-48))</f>
        <v/>
      </c>
      <c r="AT1820" s="40">
        <f>AT1819*(1-IF(B1819&gt;=in_marketplace_from,d_hz_device*G1819,0))</f>
        <v/>
      </c>
      <c r="AU1820" s="14">
        <f>F1820*AT1820*IF(B1820&gt;=in_marketplace_from,d_hz_device*G1820,0)*in_device_ticket*in_device_comm*in_ins_partner_share</f>
        <v/>
      </c>
      <c r="AV1820" s="40">
        <f>AV1819*(1-IF(B1819&gt;=in_marketplace_from,d_hz_shop*G1819,0))</f>
        <v/>
      </c>
      <c r="AW1820" s="46">
        <f>AV1820*IF(B1820&gt;=in_marketplace_from,d_hz_shop*G1820,0)</f>
        <v/>
      </c>
      <c r="AX1820" s="14">
        <f>F1820*AW1820*in_shop_ticket*in_shop_comm*in_ins_partner_share+F1820*in_shop_ticket*in_shop_renew_comm*in_ins_partner_share*(in_shop_renew^1*SUMIFS(AW1817:AW1821,B1817:B1821,B1820-12)+in_shop_renew^2*SUMIFS(AW1817:AW1821,B1817:B1821,B1820-24)+in_shop_renew^3*SUMIFS(AW1817:AW1821,B1817:B1821,B1820-36)+in_shop_renew^4*SUMIFS(AW1817:AW1821,B1817:B1821,B1820-48))</f>
        <v/>
      </c>
      <c r="AY1820" s="40">
        <f>AY1819*(1-IF(B1819&gt;=in_marketplace_from,d_hz_sip*G1819,0))</f>
        <v/>
      </c>
      <c r="AZ1820" s="40">
        <f>AZ1819*d_rho_sip+AY1820*IF(B1820&gt;=in_marketplace_from,d_hz_sip*G1820,0)</f>
        <v/>
      </c>
      <c r="BA1820" s="40">
        <f>d_rho_sip*(BA1819+AZ1819)</f>
        <v/>
      </c>
      <c r="BB1820" s="14">
        <f>F1820*in_sip_ticket*(BA1820+0.5*AZ1820)*in_sip_comm/12</f>
        <v/>
      </c>
      <c r="BC1820" s="40">
        <f>BC1819*(1-IF(B1819&gt;=in_marketplace_from,d_hz_choti*G1819,0))</f>
        <v/>
      </c>
      <c r="BD1820" s="46">
        <f>BC1820*IF(B1820&gt;=in_marketplace_from,d_hz_choti*G1820,0)</f>
        <v/>
      </c>
      <c r="BE1820" s="14">
        <f>F1820*SUMIFS(BD1817:BD1821,B1817:B1821,B1820-in_choti_months)*in_choti_renew*in_choti_ticket</f>
        <v/>
      </c>
      <c r="BF1820" s="40">
        <f>BF1819*(1-IF(B1819&gt;=in_marketplace_from,d_hz_nps*G1819,0))</f>
        <v/>
      </c>
      <c r="BG1820" s="14">
        <f>F1820*BF1820*IF(B1820&gt;=in_marketplace_from,d_hz_nps*G1820,0)*in_nps_ticket*in_nps_comm</f>
        <v/>
      </c>
      <c r="BH1820" s="40">
        <f>BH1819*(1-IF(B1819&gt;=in_marketplace_from,d_hz_gold*G1819,0))</f>
        <v/>
      </c>
      <c r="BI1820" s="40">
        <f>BI1819*d_rho_gold+BH1820*IF(B1820&gt;=in_marketplace_from,d_hz_gold*G1820,0)</f>
        <v/>
      </c>
      <c r="BJ1820" s="14">
        <f>F1820*BI1820*in_gold_ticket*in_gold_comm</f>
        <v/>
      </c>
      <c r="BK1820" s="40">
        <f>BK1819*(1-IF(B1819&gt;=in_marketplace_from,d_hz_fd*G1819,0))</f>
        <v/>
      </c>
      <c r="BL1820" s="14">
        <f>F1820*BK1820*IF(B1820&gt;=in_marketplace_from,d_hz_fd*G1820,0)*in_fd_ticket*in_fd_comm</f>
        <v/>
      </c>
      <c r="BM1820" s="40">
        <f>BM1819*(1-IF(B1819&gt;=in_marketplace_from,d_hz_recharge*G1819,0))</f>
        <v/>
      </c>
      <c r="BN1820" s="40">
        <f>BN1819*d_rho_recharge+BM1820*IF(B1820&gt;=in_marketplace_from,d_hz_recharge*G1820,0)</f>
        <v/>
      </c>
      <c r="BO1820" s="14">
        <f>F1820*BN1820*in_recharge_ticket*in_recharge_comm/12</f>
        <v/>
      </c>
      <c r="BP1820" s="40">
        <f>BP1819*(1-IF(B1819&gt;=in_marketplace_from,d_hz_bills*G1819,0))</f>
        <v/>
      </c>
      <c r="BQ1820" s="40">
        <f>BQ1819*d_rho_bills+BP1820*IF(B1820&gt;=in_marketplace_from,d_hz_bills*G1820,0)</f>
        <v/>
      </c>
      <c r="BR1820" s="14">
        <f>F1820*BQ1820*in_bills_ticket*in_bills_comm/12</f>
        <v/>
      </c>
      <c r="BS1820" s="40">
        <f>BS1819*(1-IF(B1819&gt;=in_marketplace_from,d_hz_loan_gold*G1819,0))</f>
        <v/>
      </c>
      <c r="BT1820" s="14">
        <f>F1820*BS1820*IF(B1820&gt;=in_marketplace_from,d_hz_loan_gold*G1820,0)*in_loan_gold_ticket*in_loan_gold_comm</f>
        <v/>
      </c>
      <c r="BU1820" s="40">
        <f>BU1819*(1-IF(B1819&gt;=in_marketplace_from,d_hz_loan_cd*G1819,0))</f>
        <v/>
      </c>
      <c r="BV1820" s="14">
        <f>F1820*BU1820*IF(B1820&gt;=in_marketplace_from,d_hz_loan_cd*G1820,0)*in_loan_cd_ticket*in_loan_cd_comm</f>
        <v/>
      </c>
      <c r="BW1820" s="40">
        <f>BW1819*(1-IF(B1819&gt;=in_marketplace_from,d_hz_loan_vehicle*G1819,0))</f>
        <v/>
      </c>
      <c r="BX1820" s="14">
        <f>F1820*BW1820*IF(B1820&gt;=in_marketplace_from,d_hz_loan_vehicle*G1820,0)*in_loan_vehicle_ticket*in_loan_vehicle_comm</f>
        <v/>
      </c>
      <c r="BY1820" s="40">
        <f>BY1819*(1-IF(B1819&gt;=in_marketplace_from,d_hz_loan_home*G1819,0)*BZ1819)</f>
        <v/>
      </c>
      <c r="BZ1820" s="11">
        <f>MIN(in_approval_cap,in_loan_home_approval*INDEX('Age profile'!$O$2:$O$61,B1820)*(1+in_approval_growth)^(D1820-1))</f>
        <v/>
      </c>
      <c r="CA1820" s="14">
        <f>F1820*BY1820*IF(B1820&gt;=in_marketplace_from,d_hz_loan_home*G1820,0)*BZ1820*in_loan_home_ticket*in_loan_home_comm</f>
        <v/>
      </c>
      <c r="CB1820" s="40">
        <f>CB1819*(1-IF(B1819&gt;=in_marketplace_from,d_hz_loan_lap*G1819,0)*CC1819)</f>
        <v/>
      </c>
      <c r="CC1820" s="11">
        <f>MIN(in_approval_cap,in_loan_lap_approval*INDEX('Age profile'!$O$2:$O$61,B1820)*(1+in_approval_growth)^(D1820-1))</f>
        <v/>
      </c>
      <c r="CD1820" s="14">
        <f>F1820*CB1820*IF(B1820&gt;=in_marketplace_from,d_hz_loan_lap*G1820,0)*CC1820*in_loan_lap_ticket*in_loan_lap_comm</f>
        <v/>
      </c>
      <c r="CE1820" s="14">
        <f>AA1820+AB1820+AC1820+AD1820+AG1820+AJ1820+AM1820+AP1820+AS1820+AU1820+AX1820+BB1820+BE1820+BG1820+BJ1820+BL1820+BO1820+BR1820+BT1820+BV1820+BX1820+CA1820+CD1820</f>
        <v/>
      </c>
    </row>
    <row r="1821">
      <c r="A1821" s="39" t="n">
        <v>56</v>
      </c>
      <c r="B1821" s="39" t="n">
        <v>5</v>
      </c>
      <c r="C1821" s="39">
        <f>A1821+B1821-1</f>
        <v/>
      </c>
      <c r="D1821" s="39">
        <f>INT((C1821-1)/12)+1</f>
        <v/>
      </c>
      <c r="E1821" s="44">
        <f>INDEX(Monthly!$B$2:$B$61,A1821)</f>
        <v/>
      </c>
      <c r="F1821" s="44">
        <f>E1821*INDEX('Age profile'!$B$2:$B$61,B1821)</f>
        <v/>
      </c>
      <c r="G1821" s="45">
        <f>MIN(in_takeup_cap,INDEX('Age profile'!$N$2:$N$61,B1821)*(1+in_takeup_growth)^(D1821-1))</f>
        <v/>
      </c>
      <c r="H1821" s="11">
        <f>MIN(in_approval_cap,in_approved_first*INDEX('Age profile'!$O$2:$O$61,B1821)*(1+in_approval_growth)^(D1821-1))</f>
        <v/>
      </c>
      <c r="I1821" s="45">
        <f>G1821*MIN(in_takeup_cap,INDEX('Age profile'!$O$2:$O$61,B1821)*(1+in_approval_growth)^(D1821-1))</f>
        <v/>
      </c>
      <c r="J1821" s="40">
        <f>(J1820-L1820)*F1821/F1820</f>
        <v/>
      </c>
      <c r="K1821" s="40">
        <f>(K1820-M1820)*F1821/F1820+SUMIFS(O1817:O1820,B1817:B1820,B1821-1-d_T)*F1821</f>
        <v/>
      </c>
      <c r="L1821" s="40">
        <f>IF(B1821&gt;=in_marketplace_from,J1821*d_hz*G1821*in_eligible*H1821,0)</f>
        <v/>
      </c>
      <c r="M1821" s="40">
        <f>IF(B1821&gt;=in_marketplace_from,K1821*d_hz*G1821*in_eligible*in_approved_repeat,0)</f>
        <v/>
      </c>
      <c r="N1821" s="40">
        <f>L1821+M1821</f>
        <v/>
      </c>
      <c r="O1821" s="46">
        <f>N1821/F1821</f>
        <v/>
      </c>
      <c r="P1821" s="40">
        <f>F1821-J1821-K1821</f>
        <v/>
      </c>
      <c r="Q1821" s="40">
        <f>IF(B1821&gt;=in_marketplace_from,(J1821+K1821)*d_hz*G1821,0)</f>
        <v/>
      </c>
      <c r="R1821" s="40">
        <f>SUMIFS(N1817:N1821,B1817:B1821,"&gt;="&amp;(B1821-d_T),B1817:B1821,"&lt;="&amp;(B1821-1))</f>
        <v/>
      </c>
      <c r="S1821" s="46">
        <f>(1-d_u)*S1820+IF(d_T&gt;in_topup_lag,SUMIFS(O1817:O1821,B1817:B1821,B1821-in_topup_lag)-d_udrop*SUMIFS(O1817:O1821,B1817:B1821,B1821-d_T),0)</f>
        <v/>
      </c>
      <c r="T1821" s="40">
        <f>F1821*d_u*S1821</f>
        <v/>
      </c>
      <c r="U1821" s="9">
        <f>L1821*in_ticket+M1821*d_rep_ticket</f>
        <v/>
      </c>
      <c r="V1821" s="9">
        <f>U1821+T1821*d_topup_amt</f>
        <v/>
      </c>
      <c r="W1821" s="40">
        <f>N1821+T1821*d_topup_ratio</f>
        <v/>
      </c>
      <c r="X1821" s="40">
        <f>SUMIFS(W1817:W1821,B1817:B1821,B1821-in_dpd_lag)*d_cured</f>
        <v/>
      </c>
      <c r="Y1821" s="40">
        <f>SUMIFS(W1817:W1821,B1817:B1821,B1821-in_rec_lag)*d_recd</f>
        <v/>
      </c>
      <c r="Z1821" s="40">
        <f>IF(AND(B1821&gt;=in_marketplace_from,B1821&lt;in_marketplace_from+in_card_months),in_card_share/in_card_months*F1821*I1821,IF(AND(B1821&gt;=in_marketplace_from+in_card_months,B1821&lt;in_marketplace_from+2*in_card_months),in_card_share*d_card_rem/in_card_months*F1821*MIN(in_takeup_cap,(1+in_takeup_growth)^(D1821-1))*MIN(in_takeup_cap,(1+in_approval_growth)^(D1821-1)),0))</f>
        <v/>
      </c>
      <c r="AA1821" s="14">
        <f>V1821*in_fee*(1-in_taken_back)</f>
        <v/>
      </c>
      <c r="AB1821" s="14">
        <f>SUMIFS(W1817:W1821,B1817:B1821,B1821-in_dpd_lag)*d_dpd</f>
        <v/>
      </c>
      <c r="AC1821" s="14">
        <f>SUMIFS(W1817:W1821,B1817:B1821,B1821-in_rec_lag)*d_rec</f>
        <v/>
      </c>
      <c r="AD1821" s="14">
        <f>Z1821*in_card_fee</f>
        <v/>
      </c>
      <c r="AE1821" s="40">
        <f>AE1820*(1-IF(B1820&gt;=in_marketplace_from,d_hz_hlth_small*G1820,0))</f>
        <v/>
      </c>
      <c r="AF1821" s="46">
        <f>AE1821*IF(B1821&gt;=in_marketplace_from,d_hz_hlth_small*G1821,0)</f>
        <v/>
      </c>
      <c r="AG1821" s="14">
        <f>F1821*AF1821*in_hlth_small_ticket*in_hlth_small_comm*in_ins_partner_share+F1821*in_hlth_small_ticket*in_hlth_small_renew_comm*in_ins_partner_share*(in_hlth_small_renew^1*SUMIFS(AF1817:AF1821,B1817:B1821,B1821-12)+in_hlth_small_renew^2*SUMIFS(AF1817:AF1821,B1817:B1821,B1821-24)+in_hlth_small_renew^3*SUMIFS(AF1817:AF1821,B1817:B1821,B1821-36)+in_hlth_small_renew^4*SUMIFS(AF1817:AF1821,B1817:B1821,B1821-48))</f>
        <v/>
      </c>
      <c r="AH1821" s="40">
        <f>AH1820*(1-IF(B1820&gt;=in_marketplace_from,d_hz_hlth_family*G1820,0))</f>
        <v/>
      </c>
      <c r="AI1821" s="46">
        <f>AH1821*IF(B1821&gt;=in_marketplace_from,d_hz_hlth_family*G1821,0)</f>
        <v/>
      </c>
      <c r="AJ1821" s="14">
        <f>F1821*AI1821*in_hlth_family_ticket*in_hlth_family_comm*in_ins_partner_share+F1821*in_hlth_family_ticket*in_hlth_family_renew_comm*in_ins_partner_share*(in_hlth_family_renew^1*SUMIFS(AI1817:AI1821,B1817:B1821,B1821-12)+in_hlth_family_renew^2*SUMIFS(AI1817:AI1821,B1817:B1821,B1821-24)+in_hlth_family_renew^3*SUMIFS(AI1817:AI1821,B1817:B1821,B1821-36)+in_hlth_family_renew^4*SUMIFS(AI1817:AI1821,B1817:B1821,B1821-48))</f>
        <v/>
      </c>
      <c r="AK1821" s="40">
        <f>AK1820*(1-IF(B1820&gt;=in_marketplace_from,d_hz_life_term*G1820,0))</f>
        <v/>
      </c>
      <c r="AL1821" s="46">
        <f>AK1821*IF(B1821&gt;=in_marketplace_from,d_hz_life_term*G1821,0)</f>
        <v/>
      </c>
      <c r="AM1821" s="14">
        <f>F1821*AL1821*in_life_term_ticket*in_life_term_comm*in_ins_partner_share+F1821*in_life_term_ticket*in_life_term_renew_comm*in_ins_partner_share*(in_life_term_renew^1*SUMIFS(AL1817:AL1821,B1817:B1821,B1821-12)+in_life_term_renew^2*SUMIFS(AL1817:AL1821,B1817:B1821,B1821-24)+in_life_term_renew^3*SUMIFS(AL1817:AL1821,B1817:B1821,B1821-36)+in_life_term_renew^4*SUMIFS(AL1817:AL1821,B1817:B1821,B1821-48))</f>
        <v/>
      </c>
      <c r="AN1821" s="40">
        <f>AN1820*(1-IF(B1820&gt;=in_marketplace_from,d_hz_accident*G1820,0))</f>
        <v/>
      </c>
      <c r="AO1821" s="46">
        <f>AN1821*IF(B1821&gt;=in_marketplace_from,d_hz_accident*G1821,0)</f>
        <v/>
      </c>
      <c r="AP1821" s="14">
        <f>F1821*AO1821*in_accident_ticket*in_accident_comm*in_ins_partner_share+F1821*in_accident_ticket*in_accident_renew_comm*in_ins_partner_share*(in_accident_renew^1*SUMIFS(AO1817:AO1821,B1817:B1821,B1821-12)+in_accident_renew^2*SUMIFS(AO1817:AO1821,B1817:B1821,B1821-24)+in_accident_renew^3*SUMIFS(AO1817:AO1821,B1817:B1821,B1821-36)+in_accident_renew^4*SUMIFS(AO1817:AO1821,B1817:B1821,B1821-48))</f>
        <v/>
      </c>
      <c r="AQ1821" s="40">
        <f>AQ1820*(1-IF(B1820&gt;=in_marketplace_from,d_hz_two_wheeler*G1820,0))</f>
        <v/>
      </c>
      <c r="AR1821" s="46">
        <f>AQ1821*IF(B1821&gt;=in_marketplace_from,d_hz_two_wheeler*G1821,0)</f>
        <v/>
      </c>
      <c r="AS1821" s="14">
        <f>F1821*AR1821*in_two_wheeler_ticket*in_two_wheeler_comm*in_ins_partner_share+F1821*in_two_wheeler_ticket*in_two_wheeler_comm*in_ins_partner_share*(in_two_wheeler_renew^1*SUMIFS(AR1817:AR1821,B1817:B1821,B1821-12)+in_two_wheeler_renew^2*SUMIFS(AR1817:AR1821,B1817:B1821,B1821-24)+in_two_wheeler_renew^3*SUMIFS(AR1817:AR1821,B1817:B1821,B1821-36)+in_two_wheeler_renew^4*SUMIFS(AR1817:AR1821,B1817:B1821,B1821-48))</f>
        <v/>
      </c>
      <c r="AT1821" s="40">
        <f>AT1820*(1-IF(B1820&gt;=in_marketplace_from,d_hz_device*G1820,0))</f>
        <v/>
      </c>
      <c r="AU1821" s="14">
        <f>F1821*AT1821*IF(B1821&gt;=in_marketplace_from,d_hz_device*G1821,0)*in_device_ticket*in_device_comm*in_ins_partner_share</f>
        <v/>
      </c>
      <c r="AV1821" s="40">
        <f>AV1820*(1-IF(B1820&gt;=in_marketplace_from,d_hz_shop*G1820,0))</f>
        <v/>
      </c>
      <c r="AW1821" s="46">
        <f>AV1821*IF(B1821&gt;=in_marketplace_from,d_hz_shop*G1821,0)</f>
        <v/>
      </c>
      <c r="AX1821" s="14">
        <f>F1821*AW1821*in_shop_ticket*in_shop_comm*in_ins_partner_share+F1821*in_shop_ticket*in_shop_renew_comm*in_ins_partner_share*(in_shop_renew^1*SUMIFS(AW1817:AW1821,B1817:B1821,B1821-12)+in_shop_renew^2*SUMIFS(AW1817:AW1821,B1817:B1821,B1821-24)+in_shop_renew^3*SUMIFS(AW1817:AW1821,B1817:B1821,B1821-36)+in_shop_renew^4*SUMIFS(AW1817:AW1821,B1817:B1821,B1821-48))</f>
        <v/>
      </c>
      <c r="AY1821" s="40">
        <f>AY1820*(1-IF(B1820&gt;=in_marketplace_from,d_hz_sip*G1820,0))</f>
        <v/>
      </c>
      <c r="AZ1821" s="40">
        <f>AZ1820*d_rho_sip+AY1821*IF(B1821&gt;=in_marketplace_from,d_hz_sip*G1821,0)</f>
        <v/>
      </c>
      <c r="BA1821" s="40">
        <f>d_rho_sip*(BA1820+AZ1820)</f>
        <v/>
      </c>
      <c r="BB1821" s="14">
        <f>F1821*in_sip_ticket*(BA1821+0.5*AZ1821)*in_sip_comm/12</f>
        <v/>
      </c>
      <c r="BC1821" s="40">
        <f>BC1820*(1-IF(B1820&gt;=in_marketplace_from,d_hz_choti*G1820,0))</f>
        <v/>
      </c>
      <c r="BD1821" s="46">
        <f>BC1821*IF(B1821&gt;=in_marketplace_from,d_hz_choti*G1821,0)</f>
        <v/>
      </c>
      <c r="BE1821" s="14">
        <f>F1821*SUMIFS(BD1817:BD1821,B1817:B1821,B1821-in_choti_months)*in_choti_renew*in_choti_ticket</f>
        <v/>
      </c>
      <c r="BF1821" s="40">
        <f>BF1820*(1-IF(B1820&gt;=in_marketplace_from,d_hz_nps*G1820,0))</f>
        <v/>
      </c>
      <c r="BG1821" s="14">
        <f>F1821*BF1821*IF(B1821&gt;=in_marketplace_from,d_hz_nps*G1821,0)*in_nps_ticket*in_nps_comm</f>
        <v/>
      </c>
      <c r="BH1821" s="40">
        <f>BH1820*(1-IF(B1820&gt;=in_marketplace_from,d_hz_gold*G1820,0))</f>
        <v/>
      </c>
      <c r="BI1821" s="40">
        <f>BI1820*d_rho_gold+BH1821*IF(B1821&gt;=in_marketplace_from,d_hz_gold*G1821,0)</f>
        <v/>
      </c>
      <c r="BJ1821" s="14">
        <f>F1821*BI1821*in_gold_ticket*in_gold_comm</f>
        <v/>
      </c>
      <c r="BK1821" s="40">
        <f>BK1820*(1-IF(B1820&gt;=in_marketplace_from,d_hz_fd*G1820,0))</f>
        <v/>
      </c>
      <c r="BL1821" s="14">
        <f>F1821*BK1821*IF(B1821&gt;=in_marketplace_from,d_hz_fd*G1821,0)*in_fd_ticket*in_fd_comm</f>
        <v/>
      </c>
      <c r="BM1821" s="40">
        <f>BM1820*(1-IF(B1820&gt;=in_marketplace_from,d_hz_recharge*G1820,0))</f>
        <v/>
      </c>
      <c r="BN1821" s="40">
        <f>BN1820*d_rho_recharge+BM1821*IF(B1821&gt;=in_marketplace_from,d_hz_recharge*G1821,0)</f>
        <v/>
      </c>
      <c r="BO1821" s="14">
        <f>F1821*BN1821*in_recharge_ticket*in_recharge_comm/12</f>
        <v/>
      </c>
      <c r="BP1821" s="40">
        <f>BP1820*(1-IF(B1820&gt;=in_marketplace_from,d_hz_bills*G1820,0))</f>
        <v/>
      </c>
      <c r="BQ1821" s="40">
        <f>BQ1820*d_rho_bills+BP1821*IF(B1821&gt;=in_marketplace_from,d_hz_bills*G1821,0)</f>
        <v/>
      </c>
      <c r="BR1821" s="14">
        <f>F1821*BQ1821*in_bills_ticket*in_bills_comm/12</f>
        <v/>
      </c>
      <c r="BS1821" s="40">
        <f>BS1820*(1-IF(B1820&gt;=in_marketplace_from,d_hz_loan_gold*G1820,0))</f>
        <v/>
      </c>
      <c r="BT1821" s="14">
        <f>F1821*BS1821*IF(B1821&gt;=in_marketplace_from,d_hz_loan_gold*G1821,0)*in_loan_gold_ticket*in_loan_gold_comm</f>
        <v/>
      </c>
      <c r="BU1821" s="40">
        <f>BU1820*(1-IF(B1820&gt;=in_marketplace_from,d_hz_loan_cd*G1820,0))</f>
        <v/>
      </c>
      <c r="BV1821" s="14">
        <f>F1821*BU1821*IF(B1821&gt;=in_marketplace_from,d_hz_loan_cd*G1821,0)*in_loan_cd_ticket*in_loan_cd_comm</f>
        <v/>
      </c>
      <c r="BW1821" s="40">
        <f>BW1820*(1-IF(B1820&gt;=in_marketplace_from,d_hz_loan_vehicle*G1820,0))</f>
        <v/>
      </c>
      <c r="BX1821" s="14">
        <f>F1821*BW1821*IF(B1821&gt;=in_marketplace_from,d_hz_loan_vehicle*G1821,0)*in_loan_vehicle_ticket*in_loan_vehicle_comm</f>
        <v/>
      </c>
      <c r="BY1821" s="40">
        <f>BY1820*(1-IF(B1820&gt;=in_marketplace_from,d_hz_loan_home*G1820,0)*BZ1820)</f>
        <v/>
      </c>
      <c r="BZ1821" s="11">
        <f>MIN(in_approval_cap,in_loan_home_approval*INDEX('Age profile'!$O$2:$O$61,B1821)*(1+in_approval_growth)^(D1821-1))</f>
        <v/>
      </c>
      <c r="CA1821" s="14">
        <f>F1821*BY1821*IF(B1821&gt;=in_marketplace_from,d_hz_loan_home*G1821,0)*BZ1821*in_loan_home_ticket*in_loan_home_comm</f>
        <v/>
      </c>
      <c r="CB1821" s="40">
        <f>CB1820*(1-IF(B1820&gt;=in_marketplace_from,d_hz_loan_lap*G1820,0)*CC1820)</f>
        <v/>
      </c>
      <c r="CC1821" s="11">
        <f>MIN(in_approval_cap,in_loan_lap_approval*INDEX('Age profile'!$O$2:$O$61,B1821)*(1+in_approval_growth)^(D1821-1))</f>
        <v/>
      </c>
      <c r="CD1821" s="14">
        <f>F1821*CB1821*IF(B1821&gt;=in_marketplace_from,d_hz_loan_lap*G1821,0)*CC1821*in_loan_lap_ticket*in_loan_lap_comm</f>
        <v/>
      </c>
      <c r="CE1821" s="14">
        <f>AA1821+AB1821+AC1821+AD1821+AG1821+AJ1821+AM1821+AP1821+AS1821+AU1821+AX1821+BB1821+BE1821+BG1821+BJ1821+BL1821+BO1821+BR1821+BT1821+BV1821+BX1821+CA1821+CD1821</f>
        <v/>
      </c>
    </row>
    <row r="1822">
      <c r="A1822" s="39" t="n">
        <v>57</v>
      </c>
      <c r="B1822" s="39" t="n">
        <v>1</v>
      </c>
      <c r="C1822" s="39">
        <f>A1822+B1822-1</f>
        <v/>
      </c>
      <c r="D1822" s="39">
        <f>INT((C1822-1)/12)+1</f>
        <v/>
      </c>
      <c r="E1822" s="44">
        <f>INDEX(Monthly!$B$2:$B$61,A1822)</f>
        <v/>
      </c>
      <c r="F1822" s="44">
        <f>E1822*INDEX('Age profile'!$B$2:$B$61,B1822)</f>
        <v/>
      </c>
      <c r="G1822" s="45">
        <f>MIN(in_takeup_cap,INDEX('Age profile'!$N$2:$N$61,B1822)*(1+in_takeup_growth)^(D1822-1))</f>
        <v/>
      </c>
      <c r="H1822" s="11">
        <f>MIN(in_approval_cap,in_approved_first*INDEX('Age profile'!$O$2:$O$61,B1822)*(1+in_approval_growth)^(D1822-1))</f>
        <v/>
      </c>
      <c r="I1822" s="45">
        <f>G1822*MIN(in_takeup_cap,INDEX('Age profile'!$O$2:$O$61,B1822)*(1+in_approval_growth)^(D1822-1))</f>
        <v/>
      </c>
      <c r="J1822" s="40">
        <f>E1822</f>
        <v/>
      </c>
      <c r="K1822" s="40" t="n">
        <v>0</v>
      </c>
      <c r="L1822" s="40">
        <f>IF(B1822&gt;=in_marketplace_from,J1822*d_hz*G1822*in_eligible*H1822,0)</f>
        <v/>
      </c>
      <c r="M1822" s="40">
        <f>IF(B1822&gt;=in_marketplace_from,K1822*d_hz*G1822*in_eligible*in_approved_repeat,0)</f>
        <v/>
      </c>
      <c r="N1822" s="40">
        <f>L1822+M1822</f>
        <v/>
      </c>
      <c r="O1822" s="46">
        <f>N1822/F1822</f>
        <v/>
      </c>
      <c r="P1822" s="40">
        <f>F1822-J1822-K1822</f>
        <v/>
      </c>
      <c r="Q1822" s="40">
        <f>IF(B1822&gt;=in_marketplace_from,(J1822+K1822)*d_hz*G1822,0)</f>
        <v/>
      </c>
      <c r="R1822" s="40">
        <f>SUMIFS(N1822:N1825,B1822:B1825,"&gt;="&amp;(B1822-d_T),B1822:B1825,"&lt;="&amp;(B1822-1))</f>
        <v/>
      </c>
      <c r="S1822" s="46" t="n">
        <v>0</v>
      </c>
      <c r="T1822" s="40">
        <f>F1822*d_u*S1822</f>
        <v/>
      </c>
      <c r="U1822" s="9">
        <f>L1822*in_ticket+M1822*d_rep_ticket</f>
        <v/>
      </c>
      <c r="V1822" s="9">
        <f>U1822+T1822*d_topup_amt</f>
        <v/>
      </c>
      <c r="W1822" s="40">
        <f>N1822+T1822*d_topup_ratio</f>
        <v/>
      </c>
      <c r="X1822" s="40">
        <f>SUMIFS(W1822:W1825,B1822:B1825,B1822-in_dpd_lag)*d_cured</f>
        <v/>
      </c>
      <c r="Y1822" s="40">
        <f>SUMIFS(W1822:W1825,B1822:B1825,B1822-in_rec_lag)*d_recd</f>
        <v/>
      </c>
      <c r="Z1822" s="40">
        <f>IF(AND(B1822&gt;=in_marketplace_from,B1822&lt;in_marketplace_from+in_card_months),in_card_share/in_card_months*F1822*I1822,IF(AND(B1822&gt;=in_marketplace_from+in_card_months,B1822&lt;in_marketplace_from+2*in_card_months),in_card_share*d_card_rem/in_card_months*F1822*MIN(in_takeup_cap,(1+in_takeup_growth)^(D1822-1))*MIN(in_takeup_cap,(1+in_approval_growth)^(D1822-1)),0))</f>
        <v/>
      </c>
      <c r="AA1822" s="14">
        <f>V1822*in_fee*(1-in_taken_back)</f>
        <v/>
      </c>
      <c r="AB1822" s="14">
        <f>SUMIFS(W1822:W1825,B1822:B1825,B1822-in_dpd_lag)*d_dpd</f>
        <v/>
      </c>
      <c r="AC1822" s="14">
        <f>SUMIFS(W1822:W1825,B1822:B1825,B1822-in_rec_lag)*d_rec</f>
        <v/>
      </c>
      <c r="AD1822" s="14">
        <f>Z1822*in_card_fee</f>
        <v/>
      </c>
      <c r="AE1822" s="40" t="n">
        <v>1</v>
      </c>
      <c r="AF1822" s="46">
        <f>AE1822*IF(B1822&gt;=in_marketplace_from,d_hz_hlth_small*G1822,0)</f>
        <v/>
      </c>
      <c r="AG1822" s="14">
        <f>F1822*AF1822*in_hlth_small_ticket*in_hlth_small_comm*in_ins_partner_share+F1822*in_hlth_small_ticket*in_hlth_small_renew_comm*in_ins_partner_share*(in_hlth_small_renew^1*SUMIFS(AF1822:AF1825,B1822:B1825,B1822-12)+in_hlth_small_renew^2*SUMIFS(AF1822:AF1825,B1822:B1825,B1822-24)+in_hlth_small_renew^3*SUMIFS(AF1822:AF1825,B1822:B1825,B1822-36)+in_hlth_small_renew^4*SUMIFS(AF1822:AF1825,B1822:B1825,B1822-48))</f>
        <v/>
      </c>
      <c r="AH1822" s="40" t="n">
        <v>1</v>
      </c>
      <c r="AI1822" s="46">
        <f>AH1822*IF(B1822&gt;=in_marketplace_from,d_hz_hlth_family*G1822,0)</f>
        <v/>
      </c>
      <c r="AJ1822" s="14">
        <f>F1822*AI1822*in_hlth_family_ticket*in_hlth_family_comm*in_ins_partner_share+F1822*in_hlth_family_ticket*in_hlth_family_renew_comm*in_ins_partner_share*(in_hlth_family_renew^1*SUMIFS(AI1822:AI1825,B1822:B1825,B1822-12)+in_hlth_family_renew^2*SUMIFS(AI1822:AI1825,B1822:B1825,B1822-24)+in_hlth_family_renew^3*SUMIFS(AI1822:AI1825,B1822:B1825,B1822-36)+in_hlth_family_renew^4*SUMIFS(AI1822:AI1825,B1822:B1825,B1822-48))</f>
        <v/>
      </c>
      <c r="AK1822" s="40" t="n">
        <v>1</v>
      </c>
      <c r="AL1822" s="46">
        <f>AK1822*IF(B1822&gt;=in_marketplace_from,d_hz_life_term*G1822,0)</f>
        <v/>
      </c>
      <c r="AM1822" s="14">
        <f>F1822*AL1822*in_life_term_ticket*in_life_term_comm*in_ins_partner_share+F1822*in_life_term_ticket*in_life_term_renew_comm*in_ins_partner_share*(in_life_term_renew^1*SUMIFS(AL1822:AL1825,B1822:B1825,B1822-12)+in_life_term_renew^2*SUMIFS(AL1822:AL1825,B1822:B1825,B1822-24)+in_life_term_renew^3*SUMIFS(AL1822:AL1825,B1822:B1825,B1822-36)+in_life_term_renew^4*SUMIFS(AL1822:AL1825,B1822:B1825,B1822-48))</f>
        <v/>
      </c>
      <c r="AN1822" s="40" t="n">
        <v>1</v>
      </c>
      <c r="AO1822" s="46">
        <f>AN1822*IF(B1822&gt;=in_marketplace_from,d_hz_accident*G1822,0)</f>
        <v/>
      </c>
      <c r="AP1822" s="14">
        <f>F1822*AO1822*in_accident_ticket*in_accident_comm*in_ins_partner_share+F1822*in_accident_ticket*in_accident_renew_comm*in_ins_partner_share*(in_accident_renew^1*SUMIFS(AO1822:AO1825,B1822:B1825,B1822-12)+in_accident_renew^2*SUMIFS(AO1822:AO1825,B1822:B1825,B1822-24)+in_accident_renew^3*SUMIFS(AO1822:AO1825,B1822:B1825,B1822-36)+in_accident_renew^4*SUMIFS(AO1822:AO1825,B1822:B1825,B1822-48))</f>
        <v/>
      </c>
      <c r="AQ1822" s="40" t="n">
        <v>1</v>
      </c>
      <c r="AR1822" s="46">
        <f>AQ1822*IF(B1822&gt;=in_marketplace_from,d_hz_two_wheeler*G1822,0)</f>
        <v/>
      </c>
      <c r="AS1822" s="14">
        <f>F1822*AR1822*in_two_wheeler_ticket*in_two_wheeler_comm*in_ins_partner_share+F1822*in_two_wheeler_ticket*in_two_wheeler_comm*in_ins_partner_share*(in_two_wheeler_renew^1*SUMIFS(AR1822:AR1825,B1822:B1825,B1822-12)+in_two_wheeler_renew^2*SUMIFS(AR1822:AR1825,B1822:B1825,B1822-24)+in_two_wheeler_renew^3*SUMIFS(AR1822:AR1825,B1822:B1825,B1822-36)+in_two_wheeler_renew^4*SUMIFS(AR1822:AR1825,B1822:B1825,B1822-48))</f>
        <v/>
      </c>
      <c r="AT1822" s="40" t="n">
        <v>1</v>
      </c>
      <c r="AU1822" s="14">
        <f>F1822*AT1822*IF(B1822&gt;=in_marketplace_from,d_hz_device*G1822,0)*in_device_ticket*in_device_comm*in_ins_partner_share</f>
        <v/>
      </c>
      <c r="AV1822" s="40" t="n">
        <v>1</v>
      </c>
      <c r="AW1822" s="46">
        <f>AV1822*IF(B1822&gt;=in_marketplace_from,d_hz_shop*G1822,0)</f>
        <v/>
      </c>
      <c r="AX1822" s="14">
        <f>F1822*AW1822*in_shop_ticket*in_shop_comm*in_ins_partner_share+F1822*in_shop_ticket*in_shop_renew_comm*in_ins_partner_share*(in_shop_renew^1*SUMIFS(AW1822:AW1825,B1822:B1825,B1822-12)+in_shop_renew^2*SUMIFS(AW1822:AW1825,B1822:B1825,B1822-24)+in_shop_renew^3*SUMIFS(AW1822:AW1825,B1822:B1825,B1822-36)+in_shop_renew^4*SUMIFS(AW1822:AW1825,B1822:B1825,B1822-48))</f>
        <v/>
      </c>
      <c r="AY1822" s="40" t="n">
        <v>1</v>
      </c>
      <c r="AZ1822" s="40">
        <f>AY1822*IF(B1822&gt;=in_marketplace_from,d_hz_sip*G1822,0)</f>
        <v/>
      </c>
      <c r="BA1822" s="40" t="n">
        <v>0</v>
      </c>
      <c r="BB1822" s="14">
        <f>F1822*in_sip_ticket*(BA1822+0.5*AZ1822)*in_sip_comm/12</f>
        <v/>
      </c>
      <c r="BC1822" s="40" t="n">
        <v>1</v>
      </c>
      <c r="BD1822" s="46">
        <f>BC1822*IF(B1822&gt;=in_marketplace_from,d_hz_choti*G1822,0)</f>
        <v/>
      </c>
      <c r="BE1822" s="14">
        <f>F1822*SUMIFS(BD1822:BD1825,B1822:B1825,B1822-in_choti_months)*in_choti_renew*in_choti_ticket</f>
        <v/>
      </c>
      <c r="BF1822" s="40" t="n">
        <v>1</v>
      </c>
      <c r="BG1822" s="14">
        <f>F1822*BF1822*IF(B1822&gt;=in_marketplace_from,d_hz_nps*G1822,0)*in_nps_ticket*in_nps_comm</f>
        <v/>
      </c>
      <c r="BH1822" s="40" t="n">
        <v>1</v>
      </c>
      <c r="BI1822" s="40">
        <f>BH1822*IF(B1822&gt;=in_marketplace_from,d_hz_gold*G1822,0)</f>
        <v/>
      </c>
      <c r="BJ1822" s="14">
        <f>F1822*BI1822*in_gold_ticket*in_gold_comm</f>
        <v/>
      </c>
      <c r="BK1822" s="40" t="n">
        <v>1</v>
      </c>
      <c r="BL1822" s="14">
        <f>F1822*BK1822*IF(B1822&gt;=in_marketplace_from,d_hz_fd*G1822,0)*in_fd_ticket*in_fd_comm</f>
        <v/>
      </c>
      <c r="BM1822" s="40" t="n">
        <v>1</v>
      </c>
      <c r="BN1822" s="40">
        <f>BM1822*IF(B1822&gt;=in_marketplace_from,d_hz_recharge*G1822,0)</f>
        <v/>
      </c>
      <c r="BO1822" s="14">
        <f>F1822*BN1822*in_recharge_ticket*in_recharge_comm/12</f>
        <v/>
      </c>
      <c r="BP1822" s="40" t="n">
        <v>1</v>
      </c>
      <c r="BQ1822" s="40">
        <f>BP1822*IF(B1822&gt;=in_marketplace_from,d_hz_bills*G1822,0)</f>
        <v/>
      </c>
      <c r="BR1822" s="14">
        <f>F1822*BQ1822*in_bills_ticket*in_bills_comm/12</f>
        <v/>
      </c>
      <c r="BS1822" s="40" t="n">
        <v>1</v>
      </c>
      <c r="BT1822" s="14">
        <f>F1822*BS1822*IF(B1822&gt;=in_marketplace_from,d_hz_loan_gold*G1822,0)*in_loan_gold_ticket*in_loan_gold_comm</f>
        <v/>
      </c>
      <c r="BU1822" s="40" t="n">
        <v>1</v>
      </c>
      <c r="BV1822" s="14">
        <f>F1822*BU1822*IF(B1822&gt;=in_marketplace_from,d_hz_loan_cd*G1822,0)*in_loan_cd_ticket*in_loan_cd_comm</f>
        <v/>
      </c>
      <c r="BW1822" s="40" t="n">
        <v>1</v>
      </c>
      <c r="BX1822" s="14">
        <f>F1822*BW1822*IF(B1822&gt;=in_marketplace_from,d_hz_loan_vehicle*G1822,0)*in_loan_vehicle_ticket*in_loan_vehicle_comm</f>
        <v/>
      </c>
      <c r="BY1822" s="40" t="n">
        <v>1</v>
      </c>
      <c r="BZ1822" s="11">
        <f>MIN(in_approval_cap,in_loan_home_approval*INDEX('Age profile'!$O$2:$O$61,B1822)*(1+in_approval_growth)^(D1822-1))</f>
        <v/>
      </c>
      <c r="CA1822" s="14">
        <f>F1822*BY1822*IF(B1822&gt;=in_marketplace_from,d_hz_loan_home*G1822,0)*BZ1822*in_loan_home_ticket*in_loan_home_comm</f>
        <v/>
      </c>
      <c r="CB1822" s="40" t="n">
        <v>1</v>
      </c>
      <c r="CC1822" s="11">
        <f>MIN(in_approval_cap,in_loan_lap_approval*INDEX('Age profile'!$O$2:$O$61,B1822)*(1+in_approval_growth)^(D1822-1))</f>
        <v/>
      </c>
      <c r="CD1822" s="14">
        <f>F1822*CB1822*IF(B1822&gt;=in_marketplace_from,d_hz_loan_lap*G1822,0)*CC1822*in_loan_lap_ticket*in_loan_lap_comm</f>
        <v/>
      </c>
      <c r="CE1822" s="14">
        <f>AA1822+AB1822+AC1822+AD1822+AG1822+AJ1822+AM1822+AP1822+AS1822+AU1822+AX1822+BB1822+BE1822+BG1822+BJ1822+BL1822+BO1822+BR1822+BT1822+BV1822+BX1822+CA1822+CD1822</f>
        <v/>
      </c>
    </row>
    <row r="1823">
      <c r="A1823" s="39" t="n">
        <v>57</v>
      </c>
      <c r="B1823" s="39" t="n">
        <v>2</v>
      </c>
      <c r="C1823" s="39">
        <f>A1823+B1823-1</f>
        <v/>
      </c>
      <c r="D1823" s="39">
        <f>INT((C1823-1)/12)+1</f>
        <v/>
      </c>
      <c r="E1823" s="44">
        <f>INDEX(Monthly!$B$2:$B$61,A1823)</f>
        <v/>
      </c>
      <c r="F1823" s="44">
        <f>E1823*INDEX('Age profile'!$B$2:$B$61,B1823)</f>
        <v/>
      </c>
      <c r="G1823" s="45">
        <f>MIN(in_takeup_cap,INDEX('Age profile'!$N$2:$N$61,B1823)*(1+in_takeup_growth)^(D1823-1))</f>
        <v/>
      </c>
      <c r="H1823" s="11">
        <f>MIN(in_approval_cap,in_approved_first*INDEX('Age profile'!$O$2:$O$61,B1823)*(1+in_approval_growth)^(D1823-1))</f>
        <v/>
      </c>
      <c r="I1823" s="45">
        <f>G1823*MIN(in_takeup_cap,INDEX('Age profile'!$O$2:$O$61,B1823)*(1+in_approval_growth)^(D1823-1))</f>
        <v/>
      </c>
      <c r="J1823" s="40">
        <f>(J1822-L1822)*F1823/F1822</f>
        <v/>
      </c>
      <c r="K1823" s="40">
        <f>(K1822-M1822)*F1823/F1822+SUMIFS(O1822:O1822,B1822:B1822,B1823-1-d_T)*F1823</f>
        <v/>
      </c>
      <c r="L1823" s="40">
        <f>IF(B1823&gt;=in_marketplace_from,J1823*d_hz*G1823*in_eligible*H1823,0)</f>
        <v/>
      </c>
      <c r="M1823" s="40">
        <f>IF(B1823&gt;=in_marketplace_from,K1823*d_hz*G1823*in_eligible*in_approved_repeat,0)</f>
        <v/>
      </c>
      <c r="N1823" s="40">
        <f>L1823+M1823</f>
        <v/>
      </c>
      <c r="O1823" s="46">
        <f>N1823/F1823</f>
        <v/>
      </c>
      <c r="P1823" s="40">
        <f>F1823-J1823-K1823</f>
        <v/>
      </c>
      <c r="Q1823" s="40">
        <f>IF(B1823&gt;=in_marketplace_from,(J1823+K1823)*d_hz*G1823,0)</f>
        <v/>
      </c>
      <c r="R1823" s="40">
        <f>SUMIFS(N1822:N1825,B1822:B1825,"&gt;="&amp;(B1823-d_T),B1822:B1825,"&lt;="&amp;(B1823-1))</f>
        <v/>
      </c>
      <c r="S1823" s="46">
        <f>(1-d_u)*S1822+IF(d_T&gt;in_topup_lag,SUMIFS(O1822:O1825,B1822:B1825,B1823-in_topup_lag)-d_udrop*SUMIFS(O1822:O1825,B1822:B1825,B1823-d_T),0)</f>
        <v/>
      </c>
      <c r="T1823" s="40">
        <f>F1823*d_u*S1823</f>
        <v/>
      </c>
      <c r="U1823" s="9">
        <f>L1823*in_ticket+M1823*d_rep_ticket</f>
        <v/>
      </c>
      <c r="V1823" s="9">
        <f>U1823+T1823*d_topup_amt</f>
        <v/>
      </c>
      <c r="W1823" s="40">
        <f>N1823+T1823*d_topup_ratio</f>
        <v/>
      </c>
      <c r="X1823" s="40">
        <f>SUMIFS(W1822:W1825,B1822:B1825,B1823-in_dpd_lag)*d_cured</f>
        <v/>
      </c>
      <c r="Y1823" s="40">
        <f>SUMIFS(W1822:W1825,B1822:B1825,B1823-in_rec_lag)*d_recd</f>
        <v/>
      </c>
      <c r="Z1823" s="40">
        <f>IF(AND(B1823&gt;=in_marketplace_from,B1823&lt;in_marketplace_from+in_card_months),in_card_share/in_card_months*F1823*I1823,IF(AND(B1823&gt;=in_marketplace_from+in_card_months,B1823&lt;in_marketplace_from+2*in_card_months),in_card_share*d_card_rem/in_card_months*F1823*MIN(in_takeup_cap,(1+in_takeup_growth)^(D1823-1))*MIN(in_takeup_cap,(1+in_approval_growth)^(D1823-1)),0))</f>
        <v/>
      </c>
      <c r="AA1823" s="14">
        <f>V1823*in_fee*(1-in_taken_back)</f>
        <v/>
      </c>
      <c r="AB1823" s="14">
        <f>SUMIFS(W1822:W1825,B1822:B1825,B1823-in_dpd_lag)*d_dpd</f>
        <v/>
      </c>
      <c r="AC1823" s="14">
        <f>SUMIFS(W1822:W1825,B1822:B1825,B1823-in_rec_lag)*d_rec</f>
        <v/>
      </c>
      <c r="AD1823" s="14">
        <f>Z1823*in_card_fee</f>
        <v/>
      </c>
      <c r="AE1823" s="40">
        <f>AE1822*(1-IF(B1822&gt;=in_marketplace_from,d_hz_hlth_small*G1822,0))</f>
        <v/>
      </c>
      <c r="AF1823" s="46">
        <f>AE1823*IF(B1823&gt;=in_marketplace_from,d_hz_hlth_small*G1823,0)</f>
        <v/>
      </c>
      <c r="AG1823" s="14">
        <f>F1823*AF1823*in_hlth_small_ticket*in_hlth_small_comm*in_ins_partner_share+F1823*in_hlth_small_ticket*in_hlth_small_renew_comm*in_ins_partner_share*(in_hlth_small_renew^1*SUMIFS(AF1822:AF1825,B1822:B1825,B1823-12)+in_hlth_small_renew^2*SUMIFS(AF1822:AF1825,B1822:B1825,B1823-24)+in_hlth_small_renew^3*SUMIFS(AF1822:AF1825,B1822:B1825,B1823-36)+in_hlth_small_renew^4*SUMIFS(AF1822:AF1825,B1822:B1825,B1823-48))</f>
        <v/>
      </c>
      <c r="AH1823" s="40">
        <f>AH1822*(1-IF(B1822&gt;=in_marketplace_from,d_hz_hlth_family*G1822,0))</f>
        <v/>
      </c>
      <c r="AI1823" s="46">
        <f>AH1823*IF(B1823&gt;=in_marketplace_from,d_hz_hlth_family*G1823,0)</f>
        <v/>
      </c>
      <c r="AJ1823" s="14">
        <f>F1823*AI1823*in_hlth_family_ticket*in_hlth_family_comm*in_ins_partner_share+F1823*in_hlth_family_ticket*in_hlth_family_renew_comm*in_ins_partner_share*(in_hlth_family_renew^1*SUMIFS(AI1822:AI1825,B1822:B1825,B1823-12)+in_hlth_family_renew^2*SUMIFS(AI1822:AI1825,B1822:B1825,B1823-24)+in_hlth_family_renew^3*SUMIFS(AI1822:AI1825,B1822:B1825,B1823-36)+in_hlth_family_renew^4*SUMIFS(AI1822:AI1825,B1822:B1825,B1823-48))</f>
        <v/>
      </c>
      <c r="AK1823" s="40">
        <f>AK1822*(1-IF(B1822&gt;=in_marketplace_from,d_hz_life_term*G1822,0))</f>
        <v/>
      </c>
      <c r="AL1823" s="46">
        <f>AK1823*IF(B1823&gt;=in_marketplace_from,d_hz_life_term*G1823,0)</f>
        <v/>
      </c>
      <c r="AM1823" s="14">
        <f>F1823*AL1823*in_life_term_ticket*in_life_term_comm*in_ins_partner_share+F1823*in_life_term_ticket*in_life_term_renew_comm*in_ins_partner_share*(in_life_term_renew^1*SUMIFS(AL1822:AL1825,B1822:B1825,B1823-12)+in_life_term_renew^2*SUMIFS(AL1822:AL1825,B1822:B1825,B1823-24)+in_life_term_renew^3*SUMIFS(AL1822:AL1825,B1822:B1825,B1823-36)+in_life_term_renew^4*SUMIFS(AL1822:AL1825,B1822:B1825,B1823-48))</f>
        <v/>
      </c>
      <c r="AN1823" s="40">
        <f>AN1822*(1-IF(B1822&gt;=in_marketplace_from,d_hz_accident*G1822,0))</f>
        <v/>
      </c>
      <c r="AO1823" s="46">
        <f>AN1823*IF(B1823&gt;=in_marketplace_from,d_hz_accident*G1823,0)</f>
        <v/>
      </c>
      <c r="AP1823" s="14">
        <f>F1823*AO1823*in_accident_ticket*in_accident_comm*in_ins_partner_share+F1823*in_accident_ticket*in_accident_renew_comm*in_ins_partner_share*(in_accident_renew^1*SUMIFS(AO1822:AO1825,B1822:B1825,B1823-12)+in_accident_renew^2*SUMIFS(AO1822:AO1825,B1822:B1825,B1823-24)+in_accident_renew^3*SUMIFS(AO1822:AO1825,B1822:B1825,B1823-36)+in_accident_renew^4*SUMIFS(AO1822:AO1825,B1822:B1825,B1823-48))</f>
        <v/>
      </c>
      <c r="AQ1823" s="40">
        <f>AQ1822*(1-IF(B1822&gt;=in_marketplace_from,d_hz_two_wheeler*G1822,0))</f>
        <v/>
      </c>
      <c r="AR1823" s="46">
        <f>AQ1823*IF(B1823&gt;=in_marketplace_from,d_hz_two_wheeler*G1823,0)</f>
        <v/>
      </c>
      <c r="AS1823" s="14">
        <f>F1823*AR1823*in_two_wheeler_ticket*in_two_wheeler_comm*in_ins_partner_share+F1823*in_two_wheeler_ticket*in_two_wheeler_comm*in_ins_partner_share*(in_two_wheeler_renew^1*SUMIFS(AR1822:AR1825,B1822:B1825,B1823-12)+in_two_wheeler_renew^2*SUMIFS(AR1822:AR1825,B1822:B1825,B1823-24)+in_two_wheeler_renew^3*SUMIFS(AR1822:AR1825,B1822:B1825,B1823-36)+in_two_wheeler_renew^4*SUMIFS(AR1822:AR1825,B1822:B1825,B1823-48))</f>
        <v/>
      </c>
      <c r="AT1823" s="40">
        <f>AT1822*(1-IF(B1822&gt;=in_marketplace_from,d_hz_device*G1822,0))</f>
        <v/>
      </c>
      <c r="AU1823" s="14">
        <f>F1823*AT1823*IF(B1823&gt;=in_marketplace_from,d_hz_device*G1823,0)*in_device_ticket*in_device_comm*in_ins_partner_share</f>
        <v/>
      </c>
      <c r="AV1823" s="40">
        <f>AV1822*(1-IF(B1822&gt;=in_marketplace_from,d_hz_shop*G1822,0))</f>
        <v/>
      </c>
      <c r="AW1823" s="46">
        <f>AV1823*IF(B1823&gt;=in_marketplace_from,d_hz_shop*G1823,0)</f>
        <v/>
      </c>
      <c r="AX1823" s="14">
        <f>F1823*AW1823*in_shop_ticket*in_shop_comm*in_ins_partner_share+F1823*in_shop_ticket*in_shop_renew_comm*in_ins_partner_share*(in_shop_renew^1*SUMIFS(AW1822:AW1825,B1822:B1825,B1823-12)+in_shop_renew^2*SUMIFS(AW1822:AW1825,B1822:B1825,B1823-24)+in_shop_renew^3*SUMIFS(AW1822:AW1825,B1822:B1825,B1823-36)+in_shop_renew^4*SUMIFS(AW1822:AW1825,B1822:B1825,B1823-48))</f>
        <v/>
      </c>
      <c r="AY1823" s="40">
        <f>AY1822*(1-IF(B1822&gt;=in_marketplace_from,d_hz_sip*G1822,0))</f>
        <v/>
      </c>
      <c r="AZ1823" s="40">
        <f>AZ1822*d_rho_sip+AY1823*IF(B1823&gt;=in_marketplace_from,d_hz_sip*G1823,0)</f>
        <v/>
      </c>
      <c r="BA1823" s="40">
        <f>d_rho_sip*(BA1822+AZ1822)</f>
        <v/>
      </c>
      <c r="BB1823" s="14">
        <f>F1823*in_sip_ticket*(BA1823+0.5*AZ1823)*in_sip_comm/12</f>
        <v/>
      </c>
      <c r="BC1823" s="40">
        <f>BC1822*(1-IF(B1822&gt;=in_marketplace_from,d_hz_choti*G1822,0))</f>
        <v/>
      </c>
      <c r="BD1823" s="46">
        <f>BC1823*IF(B1823&gt;=in_marketplace_from,d_hz_choti*G1823,0)</f>
        <v/>
      </c>
      <c r="BE1823" s="14">
        <f>F1823*SUMIFS(BD1822:BD1825,B1822:B1825,B1823-in_choti_months)*in_choti_renew*in_choti_ticket</f>
        <v/>
      </c>
      <c r="BF1823" s="40">
        <f>BF1822*(1-IF(B1822&gt;=in_marketplace_from,d_hz_nps*G1822,0))</f>
        <v/>
      </c>
      <c r="BG1823" s="14">
        <f>F1823*BF1823*IF(B1823&gt;=in_marketplace_from,d_hz_nps*G1823,0)*in_nps_ticket*in_nps_comm</f>
        <v/>
      </c>
      <c r="BH1823" s="40">
        <f>BH1822*(1-IF(B1822&gt;=in_marketplace_from,d_hz_gold*G1822,0))</f>
        <v/>
      </c>
      <c r="BI1823" s="40">
        <f>BI1822*d_rho_gold+BH1823*IF(B1823&gt;=in_marketplace_from,d_hz_gold*G1823,0)</f>
        <v/>
      </c>
      <c r="BJ1823" s="14">
        <f>F1823*BI1823*in_gold_ticket*in_gold_comm</f>
        <v/>
      </c>
      <c r="BK1823" s="40">
        <f>BK1822*(1-IF(B1822&gt;=in_marketplace_from,d_hz_fd*G1822,0))</f>
        <v/>
      </c>
      <c r="BL1823" s="14">
        <f>F1823*BK1823*IF(B1823&gt;=in_marketplace_from,d_hz_fd*G1823,0)*in_fd_ticket*in_fd_comm</f>
        <v/>
      </c>
      <c r="BM1823" s="40">
        <f>BM1822*(1-IF(B1822&gt;=in_marketplace_from,d_hz_recharge*G1822,0))</f>
        <v/>
      </c>
      <c r="BN1823" s="40">
        <f>BN1822*d_rho_recharge+BM1823*IF(B1823&gt;=in_marketplace_from,d_hz_recharge*G1823,0)</f>
        <v/>
      </c>
      <c r="BO1823" s="14">
        <f>F1823*BN1823*in_recharge_ticket*in_recharge_comm/12</f>
        <v/>
      </c>
      <c r="BP1823" s="40">
        <f>BP1822*(1-IF(B1822&gt;=in_marketplace_from,d_hz_bills*G1822,0))</f>
        <v/>
      </c>
      <c r="BQ1823" s="40">
        <f>BQ1822*d_rho_bills+BP1823*IF(B1823&gt;=in_marketplace_from,d_hz_bills*G1823,0)</f>
        <v/>
      </c>
      <c r="BR1823" s="14">
        <f>F1823*BQ1823*in_bills_ticket*in_bills_comm/12</f>
        <v/>
      </c>
      <c r="BS1823" s="40">
        <f>BS1822*(1-IF(B1822&gt;=in_marketplace_from,d_hz_loan_gold*G1822,0))</f>
        <v/>
      </c>
      <c r="BT1823" s="14">
        <f>F1823*BS1823*IF(B1823&gt;=in_marketplace_from,d_hz_loan_gold*G1823,0)*in_loan_gold_ticket*in_loan_gold_comm</f>
        <v/>
      </c>
      <c r="BU1823" s="40">
        <f>BU1822*(1-IF(B1822&gt;=in_marketplace_from,d_hz_loan_cd*G1822,0))</f>
        <v/>
      </c>
      <c r="BV1823" s="14">
        <f>F1823*BU1823*IF(B1823&gt;=in_marketplace_from,d_hz_loan_cd*G1823,0)*in_loan_cd_ticket*in_loan_cd_comm</f>
        <v/>
      </c>
      <c r="BW1823" s="40">
        <f>BW1822*(1-IF(B1822&gt;=in_marketplace_from,d_hz_loan_vehicle*G1822,0))</f>
        <v/>
      </c>
      <c r="BX1823" s="14">
        <f>F1823*BW1823*IF(B1823&gt;=in_marketplace_from,d_hz_loan_vehicle*G1823,0)*in_loan_vehicle_ticket*in_loan_vehicle_comm</f>
        <v/>
      </c>
      <c r="BY1823" s="40">
        <f>BY1822*(1-IF(B1822&gt;=in_marketplace_from,d_hz_loan_home*G1822,0)*BZ1822)</f>
        <v/>
      </c>
      <c r="BZ1823" s="11">
        <f>MIN(in_approval_cap,in_loan_home_approval*INDEX('Age profile'!$O$2:$O$61,B1823)*(1+in_approval_growth)^(D1823-1))</f>
        <v/>
      </c>
      <c r="CA1823" s="14">
        <f>F1823*BY1823*IF(B1823&gt;=in_marketplace_from,d_hz_loan_home*G1823,0)*BZ1823*in_loan_home_ticket*in_loan_home_comm</f>
        <v/>
      </c>
      <c r="CB1823" s="40">
        <f>CB1822*(1-IF(B1822&gt;=in_marketplace_from,d_hz_loan_lap*G1822,0)*CC1822)</f>
        <v/>
      </c>
      <c r="CC1823" s="11">
        <f>MIN(in_approval_cap,in_loan_lap_approval*INDEX('Age profile'!$O$2:$O$61,B1823)*(1+in_approval_growth)^(D1823-1))</f>
        <v/>
      </c>
      <c r="CD1823" s="14">
        <f>F1823*CB1823*IF(B1823&gt;=in_marketplace_from,d_hz_loan_lap*G1823,0)*CC1823*in_loan_lap_ticket*in_loan_lap_comm</f>
        <v/>
      </c>
      <c r="CE1823" s="14">
        <f>AA1823+AB1823+AC1823+AD1823+AG1823+AJ1823+AM1823+AP1823+AS1823+AU1823+AX1823+BB1823+BE1823+BG1823+BJ1823+BL1823+BO1823+BR1823+BT1823+BV1823+BX1823+CA1823+CD1823</f>
        <v/>
      </c>
    </row>
    <row r="1824">
      <c r="A1824" s="39" t="n">
        <v>57</v>
      </c>
      <c r="B1824" s="39" t="n">
        <v>3</v>
      </c>
      <c r="C1824" s="39">
        <f>A1824+B1824-1</f>
        <v/>
      </c>
      <c r="D1824" s="39">
        <f>INT((C1824-1)/12)+1</f>
        <v/>
      </c>
      <c r="E1824" s="44">
        <f>INDEX(Monthly!$B$2:$B$61,A1824)</f>
        <v/>
      </c>
      <c r="F1824" s="44">
        <f>E1824*INDEX('Age profile'!$B$2:$B$61,B1824)</f>
        <v/>
      </c>
      <c r="G1824" s="45">
        <f>MIN(in_takeup_cap,INDEX('Age profile'!$N$2:$N$61,B1824)*(1+in_takeup_growth)^(D1824-1))</f>
        <v/>
      </c>
      <c r="H1824" s="11">
        <f>MIN(in_approval_cap,in_approved_first*INDEX('Age profile'!$O$2:$O$61,B1824)*(1+in_approval_growth)^(D1824-1))</f>
        <v/>
      </c>
      <c r="I1824" s="45">
        <f>G1824*MIN(in_takeup_cap,INDEX('Age profile'!$O$2:$O$61,B1824)*(1+in_approval_growth)^(D1824-1))</f>
        <v/>
      </c>
      <c r="J1824" s="40">
        <f>(J1823-L1823)*F1824/F1823</f>
        <v/>
      </c>
      <c r="K1824" s="40">
        <f>(K1823-M1823)*F1824/F1823+SUMIFS(O1822:O1823,B1822:B1823,B1824-1-d_T)*F1824</f>
        <v/>
      </c>
      <c r="L1824" s="40">
        <f>IF(B1824&gt;=in_marketplace_from,J1824*d_hz*G1824*in_eligible*H1824,0)</f>
        <v/>
      </c>
      <c r="M1824" s="40">
        <f>IF(B1824&gt;=in_marketplace_from,K1824*d_hz*G1824*in_eligible*in_approved_repeat,0)</f>
        <v/>
      </c>
      <c r="N1824" s="40">
        <f>L1824+M1824</f>
        <v/>
      </c>
      <c r="O1824" s="46">
        <f>N1824/F1824</f>
        <v/>
      </c>
      <c r="P1824" s="40">
        <f>F1824-J1824-K1824</f>
        <v/>
      </c>
      <c r="Q1824" s="40">
        <f>IF(B1824&gt;=in_marketplace_from,(J1824+K1824)*d_hz*G1824,0)</f>
        <v/>
      </c>
      <c r="R1824" s="40">
        <f>SUMIFS(N1822:N1825,B1822:B1825,"&gt;="&amp;(B1824-d_T),B1822:B1825,"&lt;="&amp;(B1824-1))</f>
        <v/>
      </c>
      <c r="S1824" s="46">
        <f>(1-d_u)*S1823+IF(d_T&gt;in_topup_lag,SUMIFS(O1822:O1825,B1822:B1825,B1824-in_topup_lag)-d_udrop*SUMIFS(O1822:O1825,B1822:B1825,B1824-d_T),0)</f>
        <v/>
      </c>
      <c r="T1824" s="40">
        <f>F1824*d_u*S1824</f>
        <v/>
      </c>
      <c r="U1824" s="9">
        <f>L1824*in_ticket+M1824*d_rep_ticket</f>
        <v/>
      </c>
      <c r="V1824" s="9">
        <f>U1824+T1824*d_topup_amt</f>
        <v/>
      </c>
      <c r="W1824" s="40">
        <f>N1824+T1824*d_topup_ratio</f>
        <v/>
      </c>
      <c r="X1824" s="40">
        <f>SUMIFS(W1822:W1825,B1822:B1825,B1824-in_dpd_lag)*d_cured</f>
        <v/>
      </c>
      <c r="Y1824" s="40">
        <f>SUMIFS(W1822:W1825,B1822:B1825,B1824-in_rec_lag)*d_recd</f>
        <v/>
      </c>
      <c r="Z1824" s="40">
        <f>IF(AND(B1824&gt;=in_marketplace_from,B1824&lt;in_marketplace_from+in_card_months),in_card_share/in_card_months*F1824*I1824,IF(AND(B1824&gt;=in_marketplace_from+in_card_months,B1824&lt;in_marketplace_from+2*in_card_months),in_card_share*d_card_rem/in_card_months*F1824*MIN(in_takeup_cap,(1+in_takeup_growth)^(D1824-1))*MIN(in_takeup_cap,(1+in_approval_growth)^(D1824-1)),0))</f>
        <v/>
      </c>
      <c r="AA1824" s="14">
        <f>V1824*in_fee*(1-in_taken_back)</f>
        <v/>
      </c>
      <c r="AB1824" s="14">
        <f>SUMIFS(W1822:W1825,B1822:B1825,B1824-in_dpd_lag)*d_dpd</f>
        <v/>
      </c>
      <c r="AC1824" s="14">
        <f>SUMIFS(W1822:W1825,B1822:B1825,B1824-in_rec_lag)*d_rec</f>
        <v/>
      </c>
      <c r="AD1824" s="14">
        <f>Z1824*in_card_fee</f>
        <v/>
      </c>
      <c r="AE1824" s="40">
        <f>AE1823*(1-IF(B1823&gt;=in_marketplace_from,d_hz_hlth_small*G1823,0))</f>
        <v/>
      </c>
      <c r="AF1824" s="46">
        <f>AE1824*IF(B1824&gt;=in_marketplace_from,d_hz_hlth_small*G1824,0)</f>
        <v/>
      </c>
      <c r="AG1824" s="14">
        <f>F1824*AF1824*in_hlth_small_ticket*in_hlth_small_comm*in_ins_partner_share+F1824*in_hlth_small_ticket*in_hlth_small_renew_comm*in_ins_partner_share*(in_hlth_small_renew^1*SUMIFS(AF1822:AF1825,B1822:B1825,B1824-12)+in_hlth_small_renew^2*SUMIFS(AF1822:AF1825,B1822:B1825,B1824-24)+in_hlth_small_renew^3*SUMIFS(AF1822:AF1825,B1822:B1825,B1824-36)+in_hlth_small_renew^4*SUMIFS(AF1822:AF1825,B1822:B1825,B1824-48))</f>
        <v/>
      </c>
      <c r="AH1824" s="40">
        <f>AH1823*(1-IF(B1823&gt;=in_marketplace_from,d_hz_hlth_family*G1823,0))</f>
        <v/>
      </c>
      <c r="AI1824" s="46">
        <f>AH1824*IF(B1824&gt;=in_marketplace_from,d_hz_hlth_family*G1824,0)</f>
        <v/>
      </c>
      <c r="AJ1824" s="14">
        <f>F1824*AI1824*in_hlth_family_ticket*in_hlth_family_comm*in_ins_partner_share+F1824*in_hlth_family_ticket*in_hlth_family_renew_comm*in_ins_partner_share*(in_hlth_family_renew^1*SUMIFS(AI1822:AI1825,B1822:B1825,B1824-12)+in_hlth_family_renew^2*SUMIFS(AI1822:AI1825,B1822:B1825,B1824-24)+in_hlth_family_renew^3*SUMIFS(AI1822:AI1825,B1822:B1825,B1824-36)+in_hlth_family_renew^4*SUMIFS(AI1822:AI1825,B1822:B1825,B1824-48))</f>
        <v/>
      </c>
      <c r="AK1824" s="40">
        <f>AK1823*(1-IF(B1823&gt;=in_marketplace_from,d_hz_life_term*G1823,0))</f>
        <v/>
      </c>
      <c r="AL1824" s="46">
        <f>AK1824*IF(B1824&gt;=in_marketplace_from,d_hz_life_term*G1824,0)</f>
        <v/>
      </c>
      <c r="AM1824" s="14">
        <f>F1824*AL1824*in_life_term_ticket*in_life_term_comm*in_ins_partner_share+F1824*in_life_term_ticket*in_life_term_renew_comm*in_ins_partner_share*(in_life_term_renew^1*SUMIFS(AL1822:AL1825,B1822:B1825,B1824-12)+in_life_term_renew^2*SUMIFS(AL1822:AL1825,B1822:B1825,B1824-24)+in_life_term_renew^3*SUMIFS(AL1822:AL1825,B1822:B1825,B1824-36)+in_life_term_renew^4*SUMIFS(AL1822:AL1825,B1822:B1825,B1824-48))</f>
        <v/>
      </c>
      <c r="AN1824" s="40">
        <f>AN1823*(1-IF(B1823&gt;=in_marketplace_from,d_hz_accident*G1823,0))</f>
        <v/>
      </c>
      <c r="AO1824" s="46">
        <f>AN1824*IF(B1824&gt;=in_marketplace_from,d_hz_accident*G1824,0)</f>
        <v/>
      </c>
      <c r="AP1824" s="14">
        <f>F1824*AO1824*in_accident_ticket*in_accident_comm*in_ins_partner_share+F1824*in_accident_ticket*in_accident_renew_comm*in_ins_partner_share*(in_accident_renew^1*SUMIFS(AO1822:AO1825,B1822:B1825,B1824-12)+in_accident_renew^2*SUMIFS(AO1822:AO1825,B1822:B1825,B1824-24)+in_accident_renew^3*SUMIFS(AO1822:AO1825,B1822:B1825,B1824-36)+in_accident_renew^4*SUMIFS(AO1822:AO1825,B1822:B1825,B1824-48))</f>
        <v/>
      </c>
      <c r="AQ1824" s="40">
        <f>AQ1823*(1-IF(B1823&gt;=in_marketplace_from,d_hz_two_wheeler*G1823,0))</f>
        <v/>
      </c>
      <c r="AR1824" s="46">
        <f>AQ1824*IF(B1824&gt;=in_marketplace_from,d_hz_two_wheeler*G1824,0)</f>
        <v/>
      </c>
      <c r="AS1824" s="14">
        <f>F1824*AR1824*in_two_wheeler_ticket*in_two_wheeler_comm*in_ins_partner_share+F1824*in_two_wheeler_ticket*in_two_wheeler_comm*in_ins_partner_share*(in_two_wheeler_renew^1*SUMIFS(AR1822:AR1825,B1822:B1825,B1824-12)+in_two_wheeler_renew^2*SUMIFS(AR1822:AR1825,B1822:B1825,B1824-24)+in_two_wheeler_renew^3*SUMIFS(AR1822:AR1825,B1822:B1825,B1824-36)+in_two_wheeler_renew^4*SUMIFS(AR1822:AR1825,B1822:B1825,B1824-48))</f>
        <v/>
      </c>
      <c r="AT1824" s="40">
        <f>AT1823*(1-IF(B1823&gt;=in_marketplace_from,d_hz_device*G1823,0))</f>
        <v/>
      </c>
      <c r="AU1824" s="14">
        <f>F1824*AT1824*IF(B1824&gt;=in_marketplace_from,d_hz_device*G1824,0)*in_device_ticket*in_device_comm*in_ins_partner_share</f>
        <v/>
      </c>
      <c r="AV1824" s="40">
        <f>AV1823*(1-IF(B1823&gt;=in_marketplace_from,d_hz_shop*G1823,0))</f>
        <v/>
      </c>
      <c r="AW1824" s="46">
        <f>AV1824*IF(B1824&gt;=in_marketplace_from,d_hz_shop*G1824,0)</f>
        <v/>
      </c>
      <c r="AX1824" s="14">
        <f>F1824*AW1824*in_shop_ticket*in_shop_comm*in_ins_partner_share+F1824*in_shop_ticket*in_shop_renew_comm*in_ins_partner_share*(in_shop_renew^1*SUMIFS(AW1822:AW1825,B1822:B1825,B1824-12)+in_shop_renew^2*SUMIFS(AW1822:AW1825,B1822:B1825,B1824-24)+in_shop_renew^3*SUMIFS(AW1822:AW1825,B1822:B1825,B1824-36)+in_shop_renew^4*SUMIFS(AW1822:AW1825,B1822:B1825,B1824-48))</f>
        <v/>
      </c>
      <c r="AY1824" s="40">
        <f>AY1823*(1-IF(B1823&gt;=in_marketplace_from,d_hz_sip*G1823,0))</f>
        <v/>
      </c>
      <c r="AZ1824" s="40">
        <f>AZ1823*d_rho_sip+AY1824*IF(B1824&gt;=in_marketplace_from,d_hz_sip*G1824,0)</f>
        <v/>
      </c>
      <c r="BA1824" s="40">
        <f>d_rho_sip*(BA1823+AZ1823)</f>
        <v/>
      </c>
      <c r="BB1824" s="14">
        <f>F1824*in_sip_ticket*(BA1824+0.5*AZ1824)*in_sip_comm/12</f>
        <v/>
      </c>
      <c r="BC1824" s="40">
        <f>BC1823*(1-IF(B1823&gt;=in_marketplace_from,d_hz_choti*G1823,0))</f>
        <v/>
      </c>
      <c r="BD1824" s="46">
        <f>BC1824*IF(B1824&gt;=in_marketplace_from,d_hz_choti*G1824,0)</f>
        <v/>
      </c>
      <c r="BE1824" s="14">
        <f>F1824*SUMIFS(BD1822:BD1825,B1822:B1825,B1824-in_choti_months)*in_choti_renew*in_choti_ticket</f>
        <v/>
      </c>
      <c r="BF1824" s="40">
        <f>BF1823*(1-IF(B1823&gt;=in_marketplace_from,d_hz_nps*G1823,0))</f>
        <v/>
      </c>
      <c r="BG1824" s="14">
        <f>F1824*BF1824*IF(B1824&gt;=in_marketplace_from,d_hz_nps*G1824,0)*in_nps_ticket*in_nps_comm</f>
        <v/>
      </c>
      <c r="BH1824" s="40">
        <f>BH1823*(1-IF(B1823&gt;=in_marketplace_from,d_hz_gold*G1823,0))</f>
        <v/>
      </c>
      <c r="BI1824" s="40">
        <f>BI1823*d_rho_gold+BH1824*IF(B1824&gt;=in_marketplace_from,d_hz_gold*G1824,0)</f>
        <v/>
      </c>
      <c r="BJ1824" s="14">
        <f>F1824*BI1824*in_gold_ticket*in_gold_comm</f>
        <v/>
      </c>
      <c r="BK1824" s="40">
        <f>BK1823*(1-IF(B1823&gt;=in_marketplace_from,d_hz_fd*G1823,0))</f>
        <v/>
      </c>
      <c r="BL1824" s="14">
        <f>F1824*BK1824*IF(B1824&gt;=in_marketplace_from,d_hz_fd*G1824,0)*in_fd_ticket*in_fd_comm</f>
        <v/>
      </c>
      <c r="BM1824" s="40">
        <f>BM1823*(1-IF(B1823&gt;=in_marketplace_from,d_hz_recharge*G1823,0))</f>
        <v/>
      </c>
      <c r="BN1824" s="40">
        <f>BN1823*d_rho_recharge+BM1824*IF(B1824&gt;=in_marketplace_from,d_hz_recharge*G1824,0)</f>
        <v/>
      </c>
      <c r="BO1824" s="14">
        <f>F1824*BN1824*in_recharge_ticket*in_recharge_comm/12</f>
        <v/>
      </c>
      <c r="BP1824" s="40">
        <f>BP1823*(1-IF(B1823&gt;=in_marketplace_from,d_hz_bills*G1823,0))</f>
        <v/>
      </c>
      <c r="BQ1824" s="40">
        <f>BQ1823*d_rho_bills+BP1824*IF(B1824&gt;=in_marketplace_from,d_hz_bills*G1824,0)</f>
        <v/>
      </c>
      <c r="BR1824" s="14">
        <f>F1824*BQ1824*in_bills_ticket*in_bills_comm/12</f>
        <v/>
      </c>
      <c r="BS1824" s="40">
        <f>BS1823*(1-IF(B1823&gt;=in_marketplace_from,d_hz_loan_gold*G1823,0))</f>
        <v/>
      </c>
      <c r="BT1824" s="14">
        <f>F1824*BS1824*IF(B1824&gt;=in_marketplace_from,d_hz_loan_gold*G1824,0)*in_loan_gold_ticket*in_loan_gold_comm</f>
        <v/>
      </c>
      <c r="BU1824" s="40">
        <f>BU1823*(1-IF(B1823&gt;=in_marketplace_from,d_hz_loan_cd*G1823,0))</f>
        <v/>
      </c>
      <c r="BV1824" s="14">
        <f>F1824*BU1824*IF(B1824&gt;=in_marketplace_from,d_hz_loan_cd*G1824,0)*in_loan_cd_ticket*in_loan_cd_comm</f>
        <v/>
      </c>
      <c r="BW1824" s="40">
        <f>BW1823*(1-IF(B1823&gt;=in_marketplace_from,d_hz_loan_vehicle*G1823,0))</f>
        <v/>
      </c>
      <c r="BX1824" s="14">
        <f>F1824*BW1824*IF(B1824&gt;=in_marketplace_from,d_hz_loan_vehicle*G1824,0)*in_loan_vehicle_ticket*in_loan_vehicle_comm</f>
        <v/>
      </c>
      <c r="BY1824" s="40">
        <f>BY1823*(1-IF(B1823&gt;=in_marketplace_from,d_hz_loan_home*G1823,0)*BZ1823)</f>
        <v/>
      </c>
      <c r="BZ1824" s="11">
        <f>MIN(in_approval_cap,in_loan_home_approval*INDEX('Age profile'!$O$2:$O$61,B1824)*(1+in_approval_growth)^(D1824-1))</f>
        <v/>
      </c>
      <c r="CA1824" s="14">
        <f>F1824*BY1824*IF(B1824&gt;=in_marketplace_from,d_hz_loan_home*G1824,0)*BZ1824*in_loan_home_ticket*in_loan_home_comm</f>
        <v/>
      </c>
      <c r="CB1824" s="40">
        <f>CB1823*(1-IF(B1823&gt;=in_marketplace_from,d_hz_loan_lap*G1823,0)*CC1823)</f>
        <v/>
      </c>
      <c r="CC1824" s="11">
        <f>MIN(in_approval_cap,in_loan_lap_approval*INDEX('Age profile'!$O$2:$O$61,B1824)*(1+in_approval_growth)^(D1824-1))</f>
        <v/>
      </c>
      <c r="CD1824" s="14">
        <f>F1824*CB1824*IF(B1824&gt;=in_marketplace_from,d_hz_loan_lap*G1824,0)*CC1824*in_loan_lap_ticket*in_loan_lap_comm</f>
        <v/>
      </c>
      <c r="CE1824" s="14">
        <f>AA1824+AB1824+AC1824+AD1824+AG1824+AJ1824+AM1824+AP1824+AS1824+AU1824+AX1824+BB1824+BE1824+BG1824+BJ1824+BL1824+BO1824+BR1824+BT1824+BV1824+BX1824+CA1824+CD1824</f>
        <v/>
      </c>
    </row>
    <row r="1825">
      <c r="A1825" s="39" t="n">
        <v>57</v>
      </c>
      <c r="B1825" s="39" t="n">
        <v>4</v>
      </c>
      <c r="C1825" s="39">
        <f>A1825+B1825-1</f>
        <v/>
      </c>
      <c r="D1825" s="39">
        <f>INT((C1825-1)/12)+1</f>
        <v/>
      </c>
      <c r="E1825" s="44">
        <f>INDEX(Monthly!$B$2:$B$61,A1825)</f>
        <v/>
      </c>
      <c r="F1825" s="44">
        <f>E1825*INDEX('Age profile'!$B$2:$B$61,B1825)</f>
        <v/>
      </c>
      <c r="G1825" s="45">
        <f>MIN(in_takeup_cap,INDEX('Age profile'!$N$2:$N$61,B1825)*(1+in_takeup_growth)^(D1825-1))</f>
        <v/>
      </c>
      <c r="H1825" s="11">
        <f>MIN(in_approval_cap,in_approved_first*INDEX('Age profile'!$O$2:$O$61,B1825)*(1+in_approval_growth)^(D1825-1))</f>
        <v/>
      </c>
      <c r="I1825" s="45">
        <f>G1825*MIN(in_takeup_cap,INDEX('Age profile'!$O$2:$O$61,B1825)*(1+in_approval_growth)^(D1825-1))</f>
        <v/>
      </c>
      <c r="J1825" s="40">
        <f>(J1824-L1824)*F1825/F1824</f>
        <v/>
      </c>
      <c r="K1825" s="40">
        <f>(K1824-M1824)*F1825/F1824+SUMIFS(O1822:O1824,B1822:B1824,B1825-1-d_T)*F1825</f>
        <v/>
      </c>
      <c r="L1825" s="40">
        <f>IF(B1825&gt;=in_marketplace_from,J1825*d_hz*G1825*in_eligible*H1825,0)</f>
        <v/>
      </c>
      <c r="M1825" s="40">
        <f>IF(B1825&gt;=in_marketplace_from,K1825*d_hz*G1825*in_eligible*in_approved_repeat,0)</f>
        <v/>
      </c>
      <c r="N1825" s="40">
        <f>L1825+M1825</f>
        <v/>
      </c>
      <c r="O1825" s="46">
        <f>N1825/F1825</f>
        <v/>
      </c>
      <c r="P1825" s="40">
        <f>F1825-J1825-K1825</f>
        <v/>
      </c>
      <c r="Q1825" s="40">
        <f>IF(B1825&gt;=in_marketplace_from,(J1825+K1825)*d_hz*G1825,0)</f>
        <v/>
      </c>
      <c r="R1825" s="40">
        <f>SUMIFS(N1822:N1825,B1822:B1825,"&gt;="&amp;(B1825-d_T),B1822:B1825,"&lt;="&amp;(B1825-1))</f>
        <v/>
      </c>
      <c r="S1825" s="46">
        <f>(1-d_u)*S1824+IF(d_T&gt;in_topup_lag,SUMIFS(O1822:O1825,B1822:B1825,B1825-in_topup_lag)-d_udrop*SUMIFS(O1822:O1825,B1822:B1825,B1825-d_T),0)</f>
        <v/>
      </c>
      <c r="T1825" s="40">
        <f>F1825*d_u*S1825</f>
        <v/>
      </c>
      <c r="U1825" s="9">
        <f>L1825*in_ticket+M1825*d_rep_ticket</f>
        <v/>
      </c>
      <c r="V1825" s="9">
        <f>U1825+T1825*d_topup_amt</f>
        <v/>
      </c>
      <c r="W1825" s="40">
        <f>N1825+T1825*d_topup_ratio</f>
        <v/>
      </c>
      <c r="X1825" s="40">
        <f>SUMIFS(W1822:W1825,B1822:B1825,B1825-in_dpd_lag)*d_cured</f>
        <v/>
      </c>
      <c r="Y1825" s="40">
        <f>SUMIFS(W1822:W1825,B1822:B1825,B1825-in_rec_lag)*d_recd</f>
        <v/>
      </c>
      <c r="Z1825" s="40">
        <f>IF(AND(B1825&gt;=in_marketplace_from,B1825&lt;in_marketplace_from+in_card_months),in_card_share/in_card_months*F1825*I1825,IF(AND(B1825&gt;=in_marketplace_from+in_card_months,B1825&lt;in_marketplace_from+2*in_card_months),in_card_share*d_card_rem/in_card_months*F1825*MIN(in_takeup_cap,(1+in_takeup_growth)^(D1825-1))*MIN(in_takeup_cap,(1+in_approval_growth)^(D1825-1)),0))</f>
        <v/>
      </c>
      <c r="AA1825" s="14">
        <f>V1825*in_fee*(1-in_taken_back)</f>
        <v/>
      </c>
      <c r="AB1825" s="14">
        <f>SUMIFS(W1822:W1825,B1822:B1825,B1825-in_dpd_lag)*d_dpd</f>
        <v/>
      </c>
      <c r="AC1825" s="14">
        <f>SUMIFS(W1822:W1825,B1822:B1825,B1825-in_rec_lag)*d_rec</f>
        <v/>
      </c>
      <c r="AD1825" s="14">
        <f>Z1825*in_card_fee</f>
        <v/>
      </c>
      <c r="AE1825" s="40">
        <f>AE1824*(1-IF(B1824&gt;=in_marketplace_from,d_hz_hlth_small*G1824,0))</f>
        <v/>
      </c>
      <c r="AF1825" s="46">
        <f>AE1825*IF(B1825&gt;=in_marketplace_from,d_hz_hlth_small*G1825,0)</f>
        <v/>
      </c>
      <c r="AG1825" s="14">
        <f>F1825*AF1825*in_hlth_small_ticket*in_hlth_small_comm*in_ins_partner_share+F1825*in_hlth_small_ticket*in_hlth_small_renew_comm*in_ins_partner_share*(in_hlth_small_renew^1*SUMIFS(AF1822:AF1825,B1822:B1825,B1825-12)+in_hlth_small_renew^2*SUMIFS(AF1822:AF1825,B1822:B1825,B1825-24)+in_hlth_small_renew^3*SUMIFS(AF1822:AF1825,B1822:B1825,B1825-36)+in_hlth_small_renew^4*SUMIFS(AF1822:AF1825,B1822:B1825,B1825-48))</f>
        <v/>
      </c>
      <c r="AH1825" s="40">
        <f>AH1824*(1-IF(B1824&gt;=in_marketplace_from,d_hz_hlth_family*G1824,0))</f>
        <v/>
      </c>
      <c r="AI1825" s="46">
        <f>AH1825*IF(B1825&gt;=in_marketplace_from,d_hz_hlth_family*G1825,0)</f>
        <v/>
      </c>
      <c r="AJ1825" s="14">
        <f>F1825*AI1825*in_hlth_family_ticket*in_hlth_family_comm*in_ins_partner_share+F1825*in_hlth_family_ticket*in_hlth_family_renew_comm*in_ins_partner_share*(in_hlth_family_renew^1*SUMIFS(AI1822:AI1825,B1822:B1825,B1825-12)+in_hlth_family_renew^2*SUMIFS(AI1822:AI1825,B1822:B1825,B1825-24)+in_hlth_family_renew^3*SUMIFS(AI1822:AI1825,B1822:B1825,B1825-36)+in_hlth_family_renew^4*SUMIFS(AI1822:AI1825,B1822:B1825,B1825-48))</f>
        <v/>
      </c>
      <c r="AK1825" s="40">
        <f>AK1824*(1-IF(B1824&gt;=in_marketplace_from,d_hz_life_term*G1824,0))</f>
        <v/>
      </c>
      <c r="AL1825" s="46">
        <f>AK1825*IF(B1825&gt;=in_marketplace_from,d_hz_life_term*G1825,0)</f>
        <v/>
      </c>
      <c r="AM1825" s="14">
        <f>F1825*AL1825*in_life_term_ticket*in_life_term_comm*in_ins_partner_share+F1825*in_life_term_ticket*in_life_term_renew_comm*in_ins_partner_share*(in_life_term_renew^1*SUMIFS(AL1822:AL1825,B1822:B1825,B1825-12)+in_life_term_renew^2*SUMIFS(AL1822:AL1825,B1822:B1825,B1825-24)+in_life_term_renew^3*SUMIFS(AL1822:AL1825,B1822:B1825,B1825-36)+in_life_term_renew^4*SUMIFS(AL1822:AL1825,B1822:B1825,B1825-48))</f>
        <v/>
      </c>
      <c r="AN1825" s="40">
        <f>AN1824*(1-IF(B1824&gt;=in_marketplace_from,d_hz_accident*G1824,0))</f>
        <v/>
      </c>
      <c r="AO1825" s="46">
        <f>AN1825*IF(B1825&gt;=in_marketplace_from,d_hz_accident*G1825,0)</f>
        <v/>
      </c>
      <c r="AP1825" s="14">
        <f>F1825*AO1825*in_accident_ticket*in_accident_comm*in_ins_partner_share+F1825*in_accident_ticket*in_accident_renew_comm*in_ins_partner_share*(in_accident_renew^1*SUMIFS(AO1822:AO1825,B1822:B1825,B1825-12)+in_accident_renew^2*SUMIFS(AO1822:AO1825,B1822:B1825,B1825-24)+in_accident_renew^3*SUMIFS(AO1822:AO1825,B1822:B1825,B1825-36)+in_accident_renew^4*SUMIFS(AO1822:AO1825,B1822:B1825,B1825-48))</f>
        <v/>
      </c>
      <c r="AQ1825" s="40">
        <f>AQ1824*(1-IF(B1824&gt;=in_marketplace_from,d_hz_two_wheeler*G1824,0))</f>
        <v/>
      </c>
      <c r="AR1825" s="46">
        <f>AQ1825*IF(B1825&gt;=in_marketplace_from,d_hz_two_wheeler*G1825,0)</f>
        <v/>
      </c>
      <c r="AS1825" s="14">
        <f>F1825*AR1825*in_two_wheeler_ticket*in_two_wheeler_comm*in_ins_partner_share+F1825*in_two_wheeler_ticket*in_two_wheeler_comm*in_ins_partner_share*(in_two_wheeler_renew^1*SUMIFS(AR1822:AR1825,B1822:B1825,B1825-12)+in_two_wheeler_renew^2*SUMIFS(AR1822:AR1825,B1822:B1825,B1825-24)+in_two_wheeler_renew^3*SUMIFS(AR1822:AR1825,B1822:B1825,B1825-36)+in_two_wheeler_renew^4*SUMIFS(AR1822:AR1825,B1822:B1825,B1825-48))</f>
        <v/>
      </c>
      <c r="AT1825" s="40">
        <f>AT1824*(1-IF(B1824&gt;=in_marketplace_from,d_hz_device*G1824,0))</f>
        <v/>
      </c>
      <c r="AU1825" s="14">
        <f>F1825*AT1825*IF(B1825&gt;=in_marketplace_from,d_hz_device*G1825,0)*in_device_ticket*in_device_comm*in_ins_partner_share</f>
        <v/>
      </c>
      <c r="AV1825" s="40">
        <f>AV1824*(1-IF(B1824&gt;=in_marketplace_from,d_hz_shop*G1824,0))</f>
        <v/>
      </c>
      <c r="AW1825" s="46">
        <f>AV1825*IF(B1825&gt;=in_marketplace_from,d_hz_shop*G1825,0)</f>
        <v/>
      </c>
      <c r="AX1825" s="14">
        <f>F1825*AW1825*in_shop_ticket*in_shop_comm*in_ins_partner_share+F1825*in_shop_ticket*in_shop_renew_comm*in_ins_partner_share*(in_shop_renew^1*SUMIFS(AW1822:AW1825,B1822:B1825,B1825-12)+in_shop_renew^2*SUMIFS(AW1822:AW1825,B1822:B1825,B1825-24)+in_shop_renew^3*SUMIFS(AW1822:AW1825,B1822:B1825,B1825-36)+in_shop_renew^4*SUMIFS(AW1822:AW1825,B1822:B1825,B1825-48))</f>
        <v/>
      </c>
      <c r="AY1825" s="40">
        <f>AY1824*(1-IF(B1824&gt;=in_marketplace_from,d_hz_sip*G1824,0))</f>
        <v/>
      </c>
      <c r="AZ1825" s="40">
        <f>AZ1824*d_rho_sip+AY1825*IF(B1825&gt;=in_marketplace_from,d_hz_sip*G1825,0)</f>
        <v/>
      </c>
      <c r="BA1825" s="40">
        <f>d_rho_sip*(BA1824+AZ1824)</f>
        <v/>
      </c>
      <c r="BB1825" s="14">
        <f>F1825*in_sip_ticket*(BA1825+0.5*AZ1825)*in_sip_comm/12</f>
        <v/>
      </c>
      <c r="BC1825" s="40">
        <f>BC1824*(1-IF(B1824&gt;=in_marketplace_from,d_hz_choti*G1824,0))</f>
        <v/>
      </c>
      <c r="BD1825" s="46">
        <f>BC1825*IF(B1825&gt;=in_marketplace_from,d_hz_choti*G1825,0)</f>
        <v/>
      </c>
      <c r="BE1825" s="14">
        <f>F1825*SUMIFS(BD1822:BD1825,B1822:B1825,B1825-in_choti_months)*in_choti_renew*in_choti_ticket</f>
        <v/>
      </c>
      <c r="BF1825" s="40">
        <f>BF1824*(1-IF(B1824&gt;=in_marketplace_from,d_hz_nps*G1824,0))</f>
        <v/>
      </c>
      <c r="BG1825" s="14">
        <f>F1825*BF1825*IF(B1825&gt;=in_marketplace_from,d_hz_nps*G1825,0)*in_nps_ticket*in_nps_comm</f>
        <v/>
      </c>
      <c r="BH1825" s="40">
        <f>BH1824*(1-IF(B1824&gt;=in_marketplace_from,d_hz_gold*G1824,0))</f>
        <v/>
      </c>
      <c r="BI1825" s="40">
        <f>BI1824*d_rho_gold+BH1825*IF(B1825&gt;=in_marketplace_from,d_hz_gold*G1825,0)</f>
        <v/>
      </c>
      <c r="BJ1825" s="14">
        <f>F1825*BI1825*in_gold_ticket*in_gold_comm</f>
        <v/>
      </c>
      <c r="BK1825" s="40">
        <f>BK1824*(1-IF(B1824&gt;=in_marketplace_from,d_hz_fd*G1824,0))</f>
        <v/>
      </c>
      <c r="BL1825" s="14">
        <f>F1825*BK1825*IF(B1825&gt;=in_marketplace_from,d_hz_fd*G1825,0)*in_fd_ticket*in_fd_comm</f>
        <v/>
      </c>
      <c r="BM1825" s="40">
        <f>BM1824*(1-IF(B1824&gt;=in_marketplace_from,d_hz_recharge*G1824,0))</f>
        <v/>
      </c>
      <c r="BN1825" s="40">
        <f>BN1824*d_rho_recharge+BM1825*IF(B1825&gt;=in_marketplace_from,d_hz_recharge*G1825,0)</f>
        <v/>
      </c>
      <c r="BO1825" s="14">
        <f>F1825*BN1825*in_recharge_ticket*in_recharge_comm/12</f>
        <v/>
      </c>
      <c r="BP1825" s="40">
        <f>BP1824*(1-IF(B1824&gt;=in_marketplace_from,d_hz_bills*G1824,0))</f>
        <v/>
      </c>
      <c r="BQ1825" s="40">
        <f>BQ1824*d_rho_bills+BP1825*IF(B1825&gt;=in_marketplace_from,d_hz_bills*G1825,0)</f>
        <v/>
      </c>
      <c r="BR1825" s="14">
        <f>F1825*BQ1825*in_bills_ticket*in_bills_comm/12</f>
        <v/>
      </c>
      <c r="BS1825" s="40">
        <f>BS1824*(1-IF(B1824&gt;=in_marketplace_from,d_hz_loan_gold*G1824,0))</f>
        <v/>
      </c>
      <c r="BT1825" s="14">
        <f>F1825*BS1825*IF(B1825&gt;=in_marketplace_from,d_hz_loan_gold*G1825,0)*in_loan_gold_ticket*in_loan_gold_comm</f>
        <v/>
      </c>
      <c r="BU1825" s="40">
        <f>BU1824*(1-IF(B1824&gt;=in_marketplace_from,d_hz_loan_cd*G1824,0))</f>
        <v/>
      </c>
      <c r="BV1825" s="14">
        <f>F1825*BU1825*IF(B1825&gt;=in_marketplace_from,d_hz_loan_cd*G1825,0)*in_loan_cd_ticket*in_loan_cd_comm</f>
        <v/>
      </c>
      <c r="BW1825" s="40">
        <f>BW1824*(1-IF(B1824&gt;=in_marketplace_from,d_hz_loan_vehicle*G1824,0))</f>
        <v/>
      </c>
      <c r="BX1825" s="14">
        <f>F1825*BW1825*IF(B1825&gt;=in_marketplace_from,d_hz_loan_vehicle*G1825,0)*in_loan_vehicle_ticket*in_loan_vehicle_comm</f>
        <v/>
      </c>
      <c r="BY1825" s="40">
        <f>BY1824*(1-IF(B1824&gt;=in_marketplace_from,d_hz_loan_home*G1824,0)*BZ1824)</f>
        <v/>
      </c>
      <c r="BZ1825" s="11">
        <f>MIN(in_approval_cap,in_loan_home_approval*INDEX('Age profile'!$O$2:$O$61,B1825)*(1+in_approval_growth)^(D1825-1))</f>
        <v/>
      </c>
      <c r="CA1825" s="14">
        <f>F1825*BY1825*IF(B1825&gt;=in_marketplace_from,d_hz_loan_home*G1825,0)*BZ1825*in_loan_home_ticket*in_loan_home_comm</f>
        <v/>
      </c>
      <c r="CB1825" s="40">
        <f>CB1824*(1-IF(B1824&gt;=in_marketplace_from,d_hz_loan_lap*G1824,0)*CC1824)</f>
        <v/>
      </c>
      <c r="CC1825" s="11">
        <f>MIN(in_approval_cap,in_loan_lap_approval*INDEX('Age profile'!$O$2:$O$61,B1825)*(1+in_approval_growth)^(D1825-1))</f>
        <v/>
      </c>
      <c r="CD1825" s="14">
        <f>F1825*CB1825*IF(B1825&gt;=in_marketplace_from,d_hz_loan_lap*G1825,0)*CC1825*in_loan_lap_ticket*in_loan_lap_comm</f>
        <v/>
      </c>
      <c r="CE1825" s="14">
        <f>AA1825+AB1825+AC1825+AD1825+AG1825+AJ1825+AM1825+AP1825+AS1825+AU1825+AX1825+BB1825+BE1825+BG1825+BJ1825+BL1825+BO1825+BR1825+BT1825+BV1825+BX1825+CA1825+CD1825</f>
        <v/>
      </c>
    </row>
    <row r="1826">
      <c r="A1826" s="39" t="n">
        <v>58</v>
      </c>
      <c r="B1826" s="39" t="n">
        <v>1</v>
      </c>
      <c r="C1826" s="39">
        <f>A1826+B1826-1</f>
        <v/>
      </c>
      <c r="D1826" s="39">
        <f>INT((C1826-1)/12)+1</f>
        <v/>
      </c>
      <c r="E1826" s="44">
        <f>INDEX(Monthly!$B$2:$B$61,A1826)</f>
        <v/>
      </c>
      <c r="F1826" s="44">
        <f>E1826*INDEX('Age profile'!$B$2:$B$61,B1826)</f>
        <v/>
      </c>
      <c r="G1826" s="45">
        <f>MIN(in_takeup_cap,INDEX('Age profile'!$N$2:$N$61,B1826)*(1+in_takeup_growth)^(D1826-1))</f>
        <v/>
      </c>
      <c r="H1826" s="11">
        <f>MIN(in_approval_cap,in_approved_first*INDEX('Age profile'!$O$2:$O$61,B1826)*(1+in_approval_growth)^(D1826-1))</f>
        <v/>
      </c>
      <c r="I1826" s="45">
        <f>G1826*MIN(in_takeup_cap,INDEX('Age profile'!$O$2:$O$61,B1826)*(1+in_approval_growth)^(D1826-1))</f>
        <v/>
      </c>
      <c r="J1826" s="40">
        <f>E1826</f>
        <v/>
      </c>
      <c r="K1826" s="40" t="n">
        <v>0</v>
      </c>
      <c r="L1826" s="40">
        <f>IF(B1826&gt;=in_marketplace_from,J1826*d_hz*G1826*in_eligible*H1826,0)</f>
        <v/>
      </c>
      <c r="M1826" s="40">
        <f>IF(B1826&gt;=in_marketplace_from,K1826*d_hz*G1826*in_eligible*in_approved_repeat,0)</f>
        <v/>
      </c>
      <c r="N1826" s="40">
        <f>L1826+M1826</f>
        <v/>
      </c>
      <c r="O1826" s="46">
        <f>N1826/F1826</f>
        <v/>
      </c>
      <c r="P1826" s="40">
        <f>F1826-J1826-K1826</f>
        <v/>
      </c>
      <c r="Q1826" s="40">
        <f>IF(B1826&gt;=in_marketplace_from,(J1826+K1826)*d_hz*G1826,0)</f>
        <v/>
      </c>
      <c r="R1826" s="40">
        <f>SUMIFS(N1826:N1828,B1826:B1828,"&gt;="&amp;(B1826-d_T),B1826:B1828,"&lt;="&amp;(B1826-1))</f>
        <v/>
      </c>
      <c r="S1826" s="46" t="n">
        <v>0</v>
      </c>
      <c r="T1826" s="40">
        <f>F1826*d_u*S1826</f>
        <v/>
      </c>
      <c r="U1826" s="9">
        <f>L1826*in_ticket+M1826*d_rep_ticket</f>
        <v/>
      </c>
      <c r="V1826" s="9">
        <f>U1826+T1826*d_topup_amt</f>
        <v/>
      </c>
      <c r="W1826" s="40">
        <f>N1826+T1826*d_topup_ratio</f>
        <v/>
      </c>
      <c r="X1826" s="40">
        <f>SUMIFS(W1826:W1828,B1826:B1828,B1826-in_dpd_lag)*d_cured</f>
        <v/>
      </c>
      <c r="Y1826" s="40">
        <f>SUMIFS(W1826:W1828,B1826:B1828,B1826-in_rec_lag)*d_recd</f>
        <v/>
      </c>
      <c r="Z1826" s="40">
        <f>IF(AND(B1826&gt;=in_marketplace_from,B1826&lt;in_marketplace_from+in_card_months),in_card_share/in_card_months*F1826*I1826,IF(AND(B1826&gt;=in_marketplace_from+in_card_months,B1826&lt;in_marketplace_from+2*in_card_months),in_card_share*d_card_rem/in_card_months*F1826*MIN(in_takeup_cap,(1+in_takeup_growth)^(D1826-1))*MIN(in_takeup_cap,(1+in_approval_growth)^(D1826-1)),0))</f>
        <v/>
      </c>
      <c r="AA1826" s="14">
        <f>V1826*in_fee*(1-in_taken_back)</f>
        <v/>
      </c>
      <c r="AB1826" s="14">
        <f>SUMIFS(W1826:W1828,B1826:B1828,B1826-in_dpd_lag)*d_dpd</f>
        <v/>
      </c>
      <c r="AC1826" s="14">
        <f>SUMIFS(W1826:W1828,B1826:B1828,B1826-in_rec_lag)*d_rec</f>
        <v/>
      </c>
      <c r="AD1826" s="14">
        <f>Z1826*in_card_fee</f>
        <v/>
      </c>
      <c r="AE1826" s="40" t="n">
        <v>1</v>
      </c>
      <c r="AF1826" s="46">
        <f>AE1826*IF(B1826&gt;=in_marketplace_from,d_hz_hlth_small*G1826,0)</f>
        <v/>
      </c>
      <c r="AG1826" s="14">
        <f>F1826*AF1826*in_hlth_small_ticket*in_hlth_small_comm*in_ins_partner_share+F1826*in_hlth_small_ticket*in_hlth_small_renew_comm*in_ins_partner_share*(in_hlth_small_renew^1*SUMIFS(AF1826:AF1828,B1826:B1828,B1826-12)+in_hlth_small_renew^2*SUMIFS(AF1826:AF1828,B1826:B1828,B1826-24)+in_hlth_small_renew^3*SUMIFS(AF1826:AF1828,B1826:B1828,B1826-36)+in_hlth_small_renew^4*SUMIFS(AF1826:AF1828,B1826:B1828,B1826-48))</f>
        <v/>
      </c>
      <c r="AH1826" s="40" t="n">
        <v>1</v>
      </c>
      <c r="AI1826" s="46">
        <f>AH1826*IF(B1826&gt;=in_marketplace_from,d_hz_hlth_family*G1826,0)</f>
        <v/>
      </c>
      <c r="AJ1826" s="14">
        <f>F1826*AI1826*in_hlth_family_ticket*in_hlth_family_comm*in_ins_partner_share+F1826*in_hlth_family_ticket*in_hlth_family_renew_comm*in_ins_partner_share*(in_hlth_family_renew^1*SUMIFS(AI1826:AI1828,B1826:B1828,B1826-12)+in_hlth_family_renew^2*SUMIFS(AI1826:AI1828,B1826:B1828,B1826-24)+in_hlth_family_renew^3*SUMIFS(AI1826:AI1828,B1826:B1828,B1826-36)+in_hlth_family_renew^4*SUMIFS(AI1826:AI1828,B1826:B1828,B1826-48))</f>
        <v/>
      </c>
      <c r="AK1826" s="40" t="n">
        <v>1</v>
      </c>
      <c r="AL1826" s="46">
        <f>AK1826*IF(B1826&gt;=in_marketplace_from,d_hz_life_term*G1826,0)</f>
        <v/>
      </c>
      <c r="AM1826" s="14">
        <f>F1826*AL1826*in_life_term_ticket*in_life_term_comm*in_ins_partner_share+F1826*in_life_term_ticket*in_life_term_renew_comm*in_ins_partner_share*(in_life_term_renew^1*SUMIFS(AL1826:AL1828,B1826:B1828,B1826-12)+in_life_term_renew^2*SUMIFS(AL1826:AL1828,B1826:B1828,B1826-24)+in_life_term_renew^3*SUMIFS(AL1826:AL1828,B1826:B1828,B1826-36)+in_life_term_renew^4*SUMIFS(AL1826:AL1828,B1826:B1828,B1826-48))</f>
        <v/>
      </c>
      <c r="AN1826" s="40" t="n">
        <v>1</v>
      </c>
      <c r="AO1826" s="46">
        <f>AN1826*IF(B1826&gt;=in_marketplace_from,d_hz_accident*G1826,0)</f>
        <v/>
      </c>
      <c r="AP1826" s="14">
        <f>F1826*AO1826*in_accident_ticket*in_accident_comm*in_ins_partner_share+F1826*in_accident_ticket*in_accident_renew_comm*in_ins_partner_share*(in_accident_renew^1*SUMIFS(AO1826:AO1828,B1826:B1828,B1826-12)+in_accident_renew^2*SUMIFS(AO1826:AO1828,B1826:B1828,B1826-24)+in_accident_renew^3*SUMIFS(AO1826:AO1828,B1826:B1828,B1826-36)+in_accident_renew^4*SUMIFS(AO1826:AO1828,B1826:B1828,B1826-48))</f>
        <v/>
      </c>
      <c r="AQ1826" s="40" t="n">
        <v>1</v>
      </c>
      <c r="AR1826" s="46">
        <f>AQ1826*IF(B1826&gt;=in_marketplace_from,d_hz_two_wheeler*G1826,0)</f>
        <v/>
      </c>
      <c r="AS1826" s="14">
        <f>F1826*AR1826*in_two_wheeler_ticket*in_two_wheeler_comm*in_ins_partner_share+F1826*in_two_wheeler_ticket*in_two_wheeler_comm*in_ins_partner_share*(in_two_wheeler_renew^1*SUMIFS(AR1826:AR1828,B1826:B1828,B1826-12)+in_two_wheeler_renew^2*SUMIFS(AR1826:AR1828,B1826:B1828,B1826-24)+in_two_wheeler_renew^3*SUMIFS(AR1826:AR1828,B1826:B1828,B1826-36)+in_two_wheeler_renew^4*SUMIFS(AR1826:AR1828,B1826:B1828,B1826-48))</f>
        <v/>
      </c>
      <c r="AT1826" s="40" t="n">
        <v>1</v>
      </c>
      <c r="AU1826" s="14">
        <f>F1826*AT1826*IF(B1826&gt;=in_marketplace_from,d_hz_device*G1826,0)*in_device_ticket*in_device_comm*in_ins_partner_share</f>
        <v/>
      </c>
      <c r="AV1826" s="40" t="n">
        <v>1</v>
      </c>
      <c r="AW1826" s="46">
        <f>AV1826*IF(B1826&gt;=in_marketplace_from,d_hz_shop*G1826,0)</f>
        <v/>
      </c>
      <c r="AX1826" s="14">
        <f>F1826*AW1826*in_shop_ticket*in_shop_comm*in_ins_partner_share+F1826*in_shop_ticket*in_shop_renew_comm*in_ins_partner_share*(in_shop_renew^1*SUMIFS(AW1826:AW1828,B1826:B1828,B1826-12)+in_shop_renew^2*SUMIFS(AW1826:AW1828,B1826:B1828,B1826-24)+in_shop_renew^3*SUMIFS(AW1826:AW1828,B1826:B1828,B1826-36)+in_shop_renew^4*SUMIFS(AW1826:AW1828,B1826:B1828,B1826-48))</f>
        <v/>
      </c>
      <c r="AY1826" s="40" t="n">
        <v>1</v>
      </c>
      <c r="AZ1826" s="40">
        <f>AY1826*IF(B1826&gt;=in_marketplace_from,d_hz_sip*G1826,0)</f>
        <v/>
      </c>
      <c r="BA1826" s="40" t="n">
        <v>0</v>
      </c>
      <c r="BB1826" s="14">
        <f>F1826*in_sip_ticket*(BA1826+0.5*AZ1826)*in_sip_comm/12</f>
        <v/>
      </c>
      <c r="BC1826" s="40" t="n">
        <v>1</v>
      </c>
      <c r="BD1826" s="46">
        <f>BC1826*IF(B1826&gt;=in_marketplace_from,d_hz_choti*G1826,0)</f>
        <v/>
      </c>
      <c r="BE1826" s="14">
        <f>F1826*SUMIFS(BD1826:BD1828,B1826:B1828,B1826-in_choti_months)*in_choti_renew*in_choti_ticket</f>
        <v/>
      </c>
      <c r="BF1826" s="40" t="n">
        <v>1</v>
      </c>
      <c r="BG1826" s="14">
        <f>F1826*BF1826*IF(B1826&gt;=in_marketplace_from,d_hz_nps*G1826,0)*in_nps_ticket*in_nps_comm</f>
        <v/>
      </c>
      <c r="BH1826" s="40" t="n">
        <v>1</v>
      </c>
      <c r="BI1826" s="40">
        <f>BH1826*IF(B1826&gt;=in_marketplace_from,d_hz_gold*G1826,0)</f>
        <v/>
      </c>
      <c r="BJ1826" s="14">
        <f>F1826*BI1826*in_gold_ticket*in_gold_comm</f>
        <v/>
      </c>
      <c r="BK1826" s="40" t="n">
        <v>1</v>
      </c>
      <c r="BL1826" s="14">
        <f>F1826*BK1826*IF(B1826&gt;=in_marketplace_from,d_hz_fd*G1826,0)*in_fd_ticket*in_fd_comm</f>
        <v/>
      </c>
      <c r="BM1826" s="40" t="n">
        <v>1</v>
      </c>
      <c r="BN1826" s="40">
        <f>BM1826*IF(B1826&gt;=in_marketplace_from,d_hz_recharge*G1826,0)</f>
        <v/>
      </c>
      <c r="BO1826" s="14">
        <f>F1826*BN1826*in_recharge_ticket*in_recharge_comm/12</f>
        <v/>
      </c>
      <c r="BP1826" s="40" t="n">
        <v>1</v>
      </c>
      <c r="BQ1826" s="40">
        <f>BP1826*IF(B1826&gt;=in_marketplace_from,d_hz_bills*G1826,0)</f>
        <v/>
      </c>
      <c r="BR1826" s="14">
        <f>F1826*BQ1826*in_bills_ticket*in_bills_comm/12</f>
        <v/>
      </c>
      <c r="BS1826" s="40" t="n">
        <v>1</v>
      </c>
      <c r="BT1826" s="14">
        <f>F1826*BS1826*IF(B1826&gt;=in_marketplace_from,d_hz_loan_gold*G1826,0)*in_loan_gold_ticket*in_loan_gold_comm</f>
        <v/>
      </c>
      <c r="BU1826" s="40" t="n">
        <v>1</v>
      </c>
      <c r="BV1826" s="14">
        <f>F1826*BU1826*IF(B1826&gt;=in_marketplace_from,d_hz_loan_cd*G1826,0)*in_loan_cd_ticket*in_loan_cd_comm</f>
        <v/>
      </c>
      <c r="BW1826" s="40" t="n">
        <v>1</v>
      </c>
      <c r="BX1826" s="14">
        <f>F1826*BW1826*IF(B1826&gt;=in_marketplace_from,d_hz_loan_vehicle*G1826,0)*in_loan_vehicle_ticket*in_loan_vehicle_comm</f>
        <v/>
      </c>
      <c r="BY1826" s="40" t="n">
        <v>1</v>
      </c>
      <c r="BZ1826" s="11">
        <f>MIN(in_approval_cap,in_loan_home_approval*INDEX('Age profile'!$O$2:$O$61,B1826)*(1+in_approval_growth)^(D1826-1))</f>
        <v/>
      </c>
      <c r="CA1826" s="14">
        <f>F1826*BY1826*IF(B1826&gt;=in_marketplace_from,d_hz_loan_home*G1826,0)*BZ1826*in_loan_home_ticket*in_loan_home_comm</f>
        <v/>
      </c>
      <c r="CB1826" s="40" t="n">
        <v>1</v>
      </c>
      <c r="CC1826" s="11">
        <f>MIN(in_approval_cap,in_loan_lap_approval*INDEX('Age profile'!$O$2:$O$61,B1826)*(1+in_approval_growth)^(D1826-1))</f>
        <v/>
      </c>
      <c r="CD1826" s="14">
        <f>F1826*CB1826*IF(B1826&gt;=in_marketplace_from,d_hz_loan_lap*G1826,0)*CC1826*in_loan_lap_ticket*in_loan_lap_comm</f>
        <v/>
      </c>
      <c r="CE1826" s="14">
        <f>AA1826+AB1826+AC1826+AD1826+AG1826+AJ1826+AM1826+AP1826+AS1826+AU1826+AX1826+BB1826+BE1826+BG1826+BJ1826+BL1826+BO1826+BR1826+BT1826+BV1826+BX1826+CA1826+CD1826</f>
        <v/>
      </c>
    </row>
    <row r="1827">
      <c r="A1827" s="39" t="n">
        <v>58</v>
      </c>
      <c r="B1827" s="39" t="n">
        <v>2</v>
      </c>
      <c r="C1827" s="39">
        <f>A1827+B1827-1</f>
        <v/>
      </c>
      <c r="D1827" s="39">
        <f>INT((C1827-1)/12)+1</f>
        <v/>
      </c>
      <c r="E1827" s="44">
        <f>INDEX(Monthly!$B$2:$B$61,A1827)</f>
        <v/>
      </c>
      <c r="F1827" s="44">
        <f>E1827*INDEX('Age profile'!$B$2:$B$61,B1827)</f>
        <v/>
      </c>
      <c r="G1827" s="45">
        <f>MIN(in_takeup_cap,INDEX('Age profile'!$N$2:$N$61,B1827)*(1+in_takeup_growth)^(D1827-1))</f>
        <v/>
      </c>
      <c r="H1827" s="11">
        <f>MIN(in_approval_cap,in_approved_first*INDEX('Age profile'!$O$2:$O$61,B1827)*(1+in_approval_growth)^(D1827-1))</f>
        <v/>
      </c>
      <c r="I1827" s="45">
        <f>G1827*MIN(in_takeup_cap,INDEX('Age profile'!$O$2:$O$61,B1827)*(1+in_approval_growth)^(D1827-1))</f>
        <v/>
      </c>
      <c r="J1827" s="40">
        <f>(J1826-L1826)*F1827/F1826</f>
        <v/>
      </c>
      <c r="K1827" s="40">
        <f>(K1826-M1826)*F1827/F1826+SUMIFS(O1826:O1826,B1826:B1826,B1827-1-d_T)*F1827</f>
        <v/>
      </c>
      <c r="L1827" s="40">
        <f>IF(B1827&gt;=in_marketplace_from,J1827*d_hz*G1827*in_eligible*H1827,0)</f>
        <v/>
      </c>
      <c r="M1827" s="40">
        <f>IF(B1827&gt;=in_marketplace_from,K1827*d_hz*G1827*in_eligible*in_approved_repeat,0)</f>
        <v/>
      </c>
      <c r="N1827" s="40">
        <f>L1827+M1827</f>
        <v/>
      </c>
      <c r="O1827" s="46">
        <f>N1827/F1827</f>
        <v/>
      </c>
      <c r="P1827" s="40">
        <f>F1827-J1827-K1827</f>
        <v/>
      </c>
      <c r="Q1827" s="40">
        <f>IF(B1827&gt;=in_marketplace_from,(J1827+K1827)*d_hz*G1827,0)</f>
        <v/>
      </c>
      <c r="R1827" s="40">
        <f>SUMIFS(N1826:N1828,B1826:B1828,"&gt;="&amp;(B1827-d_T),B1826:B1828,"&lt;="&amp;(B1827-1))</f>
        <v/>
      </c>
      <c r="S1827" s="46">
        <f>(1-d_u)*S1826+IF(d_T&gt;in_topup_lag,SUMIFS(O1826:O1828,B1826:B1828,B1827-in_topup_lag)-d_udrop*SUMIFS(O1826:O1828,B1826:B1828,B1827-d_T),0)</f>
        <v/>
      </c>
      <c r="T1827" s="40">
        <f>F1827*d_u*S1827</f>
        <v/>
      </c>
      <c r="U1827" s="9">
        <f>L1827*in_ticket+M1827*d_rep_ticket</f>
        <v/>
      </c>
      <c r="V1827" s="9">
        <f>U1827+T1827*d_topup_amt</f>
        <v/>
      </c>
      <c r="W1827" s="40">
        <f>N1827+T1827*d_topup_ratio</f>
        <v/>
      </c>
      <c r="X1827" s="40">
        <f>SUMIFS(W1826:W1828,B1826:B1828,B1827-in_dpd_lag)*d_cured</f>
        <v/>
      </c>
      <c r="Y1827" s="40">
        <f>SUMIFS(W1826:W1828,B1826:B1828,B1827-in_rec_lag)*d_recd</f>
        <v/>
      </c>
      <c r="Z1827" s="40">
        <f>IF(AND(B1827&gt;=in_marketplace_from,B1827&lt;in_marketplace_from+in_card_months),in_card_share/in_card_months*F1827*I1827,IF(AND(B1827&gt;=in_marketplace_from+in_card_months,B1827&lt;in_marketplace_from+2*in_card_months),in_card_share*d_card_rem/in_card_months*F1827*MIN(in_takeup_cap,(1+in_takeup_growth)^(D1827-1))*MIN(in_takeup_cap,(1+in_approval_growth)^(D1827-1)),0))</f>
        <v/>
      </c>
      <c r="AA1827" s="14">
        <f>V1827*in_fee*(1-in_taken_back)</f>
        <v/>
      </c>
      <c r="AB1827" s="14">
        <f>SUMIFS(W1826:W1828,B1826:B1828,B1827-in_dpd_lag)*d_dpd</f>
        <v/>
      </c>
      <c r="AC1827" s="14">
        <f>SUMIFS(W1826:W1828,B1826:B1828,B1827-in_rec_lag)*d_rec</f>
        <v/>
      </c>
      <c r="AD1827" s="14">
        <f>Z1827*in_card_fee</f>
        <v/>
      </c>
      <c r="AE1827" s="40">
        <f>AE1826*(1-IF(B1826&gt;=in_marketplace_from,d_hz_hlth_small*G1826,0))</f>
        <v/>
      </c>
      <c r="AF1827" s="46">
        <f>AE1827*IF(B1827&gt;=in_marketplace_from,d_hz_hlth_small*G1827,0)</f>
        <v/>
      </c>
      <c r="AG1827" s="14">
        <f>F1827*AF1827*in_hlth_small_ticket*in_hlth_small_comm*in_ins_partner_share+F1827*in_hlth_small_ticket*in_hlth_small_renew_comm*in_ins_partner_share*(in_hlth_small_renew^1*SUMIFS(AF1826:AF1828,B1826:B1828,B1827-12)+in_hlth_small_renew^2*SUMIFS(AF1826:AF1828,B1826:B1828,B1827-24)+in_hlth_small_renew^3*SUMIFS(AF1826:AF1828,B1826:B1828,B1827-36)+in_hlth_small_renew^4*SUMIFS(AF1826:AF1828,B1826:B1828,B1827-48))</f>
        <v/>
      </c>
      <c r="AH1827" s="40">
        <f>AH1826*(1-IF(B1826&gt;=in_marketplace_from,d_hz_hlth_family*G1826,0))</f>
        <v/>
      </c>
      <c r="AI1827" s="46">
        <f>AH1827*IF(B1827&gt;=in_marketplace_from,d_hz_hlth_family*G1827,0)</f>
        <v/>
      </c>
      <c r="AJ1827" s="14">
        <f>F1827*AI1827*in_hlth_family_ticket*in_hlth_family_comm*in_ins_partner_share+F1827*in_hlth_family_ticket*in_hlth_family_renew_comm*in_ins_partner_share*(in_hlth_family_renew^1*SUMIFS(AI1826:AI1828,B1826:B1828,B1827-12)+in_hlth_family_renew^2*SUMIFS(AI1826:AI1828,B1826:B1828,B1827-24)+in_hlth_family_renew^3*SUMIFS(AI1826:AI1828,B1826:B1828,B1827-36)+in_hlth_family_renew^4*SUMIFS(AI1826:AI1828,B1826:B1828,B1827-48))</f>
        <v/>
      </c>
      <c r="AK1827" s="40">
        <f>AK1826*(1-IF(B1826&gt;=in_marketplace_from,d_hz_life_term*G1826,0))</f>
        <v/>
      </c>
      <c r="AL1827" s="46">
        <f>AK1827*IF(B1827&gt;=in_marketplace_from,d_hz_life_term*G1827,0)</f>
        <v/>
      </c>
      <c r="AM1827" s="14">
        <f>F1827*AL1827*in_life_term_ticket*in_life_term_comm*in_ins_partner_share+F1827*in_life_term_ticket*in_life_term_renew_comm*in_ins_partner_share*(in_life_term_renew^1*SUMIFS(AL1826:AL1828,B1826:B1828,B1827-12)+in_life_term_renew^2*SUMIFS(AL1826:AL1828,B1826:B1828,B1827-24)+in_life_term_renew^3*SUMIFS(AL1826:AL1828,B1826:B1828,B1827-36)+in_life_term_renew^4*SUMIFS(AL1826:AL1828,B1826:B1828,B1827-48))</f>
        <v/>
      </c>
      <c r="AN1827" s="40">
        <f>AN1826*(1-IF(B1826&gt;=in_marketplace_from,d_hz_accident*G1826,0))</f>
        <v/>
      </c>
      <c r="AO1827" s="46">
        <f>AN1827*IF(B1827&gt;=in_marketplace_from,d_hz_accident*G1827,0)</f>
        <v/>
      </c>
      <c r="AP1827" s="14">
        <f>F1827*AO1827*in_accident_ticket*in_accident_comm*in_ins_partner_share+F1827*in_accident_ticket*in_accident_renew_comm*in_ins_partner_share*(in_accident_renew^1*SUMIFS(AO1826:AO1828,B1826:B1828,B1827-12)+in_accident_renew^2*SUMIFS(AO1826:AO1828,B1826:B1828,B1827-24)+in_accident_renew^3*SUMIFS(AO1826:AO1828,B1826:B1828,B1827-36)+in_accident_renew^4*SUMIFS(AO1826:AO1828,B1826:B1828,B1827-48))</f>
        <v/>
      </c>
      <c r="AQ1827" s="40">
        <f>AQ1826*(1-IF(B1826&gt;=in_marketplace_from,d_hz_two_wheeler*G1826,0))</f>
        <v/>
      </c>
      <c r="AR1827" s="46">
        <f>AQ1827*IF(B1827&gt;=in_marketplace_from,d_hz_two_wheeler*G1827,0)</f>
        <v/>
      </c>
      <c r="AS1827" s="14">
        <f>F1827*AR1827*in_two_wheeler_ticket*in_two_wheeler_comm*in_ins_partner_share+F1827*in_two_wheeler_ticket*in_two_wheeler_comm*in_ins_partner_share*(in_two_wheeler_renew^1*SUMIFS(AR1826:AR1828,B1826:B1828,B1827-12)+in_two_wheeler_renew^2*SUMIFS(AR1826:AR1828,B1826:B1828,B1827-24)+in_two_wheeler_renew^3*SUMIFS(AR1826:AR1828,B1826:B1828,B1827-36)+in_two_wheeler_renew^4*SUMIFS(AR1826:AR1828,B1826:B1828,B1827-48))</f>
        <v/>
      </c>
      <c r="AT1827" s="40">
        <f>AT1826*(1-IF(B1826&gt;=in_marketplace_from,d_hz_device*G1826,0))</f>
        <v/>
      </c>
      <c r="AU1827" s="14">
        <f>F1827*AT1827*IF(B1827&gt;=in_marketplace_from,d_hz_device*G1827,0)*in_device_ticket*in_device_comm*in_ins_partner_share</f>
        <v/>
      </c>
      <c r="AV1827" s="40">
        <f>AV1826*(1-IF(B1826&gt;=in_marketplace_from,d_hz_shop*G1826,0))</f>
        <v/>
      </c>
      <c r="AW1827" s="46">
        <f>AV1827*IF(B1827&gt;=in_marketplace_from,d_hz_shop*G1827,0)</f>
        <v/>
      </c>
      <c r="AX1827" s="14">
        <f>F1827*AW1827*in_shop_ticket*in_shop_comm*in_ins_partner_share+F1827*in_shop_ticket*in_shop_renew_comm*in_ins_partner_share*(in_shop_renew^1*SUMIFS(AW1826:AW1828,B1826:B1828,B1827-12)+in_shop_renew^2*SUMIFS(AW1826:AW1828,B1826:B1828,B1827-24)+in_shop_renew^3*SUMIFS(AW1826:AW1828,B1826:B1828,B1827-36)+in_shop_renew^4*SUMIFS(AW1826:AW1828,B1826:B1828,B1827-48))</f>
        <v/>
      </c>
      <c r="AY1827" s="40">
        <f>AY1826*(1-IF(B1826&gt;=in_marketplace_from,d_hz_sip*G1826,0))</f>
        <v/>
      </c>
      <c r="AZ1827" s="40">
        <f>AZ1826*d_rho_sip+AY1827*IF(B1827&gt;=in_marketplace_from,d_hz_sip*G1827,0)</f>
        <v/>
      </c>
      <c r="BA1827" s="40">
        <f>d_rho_sip*(BA1826+AZ1826)</f>
        <v/>
      </c>
      <c r="BB1827" s="14">
        <f>F1827*in_sip_ticket*(BA1827+0.5*AZ1827)*in_sip_comm/12</f>
        <v/>
      </c>
      <c r="BC1827" s="40">
        <f>BC1826*(1-IF(B1826&gt;=in_marketplace_from,d_hz_choti*G1826,0))</f>
        <v/>
      </c>
      <c r="BD1827" s="46">
        <f>BC1827*IF(B1827&gt;=in_marketplace_from,d_hz_choti*G1827,0)</f>
        <v/>
      </c>
      <c r="BE1827" s="14">
        <f>F1827*SUMIFS(BD1826:BD1828,B1826:B1828,B1827-in_choti_months)*in_choti_renew*in_choti_ticket</f>
        <v/>
      </c>
      <c r="BF1827" s="40">
        <f>BF1826*(1-IF(B1826&gt;=in_marketplace_from,d_hz_nps*G1826,0))</f>
        <v/>
      </c>
      <c r="BG1827" s="14">
        <f>F1827*BF1827*IF(B1827&gt;=in_marketplace_from,d_hz_nps*G1827,0)*in_nps_ticket*in_nps_comm</f>
        <v/>
      </c>
      <c r="BH1827" s="40">
        <f>BH1826*(1-IF(B1826&gt;=in_marketplace_from,d_hz_gold*G1826,0))</f>
        <v/>
      </c>
      <c r="BI1827" s="40">
        <f>BI1826*d_rho_gold+BH1827*IF(B1827&gt;=in_marketplace_from,d_hz_gold*G1827,0)</f>
        <v/>
      </c>
      <c r="BJ1827" s="14">
        <f>F1827*BI1827*in_gold_ticket*in_gold_comm</f>
        <v/>
      </c>
      <c r="BK1827" s="40">
        <f>BK1826*(1-IF(B1826&gt;=in_marketplace_from,d_hz_fd*G1826,0))</f>
        <v/>
      </c>
      <c r="BL1827" s="14">
        <f>F1827*BK1827*IF(B1827&gt;=in_marketplace_from,d_hz_fd*G1827,0)*in_fd_ticket*in_fd_comm</f>
        <v/>
      </c>
      <c r="BM1827" s="40">
        <f>BM1826*(1-IF(B1826&gt;=in_marketplace_from,d_hz_recharge*G1826,0))</f>
        <v/>
      </c>
      <c r="BN1827" s="40">
        <f>BN1826*d_rho_recharge+BM1827*IF(B1827&gt;=in_marketplace_from,d_hz_recharge*G1827,0)</f>
        <v/>
      </c>
      <c r="BO1827" s="14">
        <f>F1827*BN1827*in_recharge_ticket*in_recharge_comm/12</f>
        <v/>
      </c>
      <c r="BP1827" s="40">
        <f>BP1826*(1-IF(B1826&gt;=in_marketplace_from,d_hz_bills*G1826,0))</f>
        <v/>
      </c>
      <c r="BQ1827" s="40">
        <f>BQ1826*d_rho_bills+BP1827*IF(B1827&gt;=in_marketplace_from,d_hz_bills*G1827,0)</f>
        <v/>
      </c>
      <c r="BR1827" s="14">
        <f>F1827*BQ1827*in_bills_ticket*in_bills_comm/12</f>
        <v/>
      </c>
      <c r="BS1827" s="40">
        <f>BS1826*(1-IF(B1826&gt;=in_marketplace_from,d_hz_loan_gold*G1826,0))</f>
        <v/>
      </c>
      <c r="BT1827" s="14">
        <f>F1827*BS1827*IF(B1827&gt;=in_marketplace_from,d_hz_loan_gold*G1827,0)*in_loan_gold_ticket*in_loan_gold_comm</f>
        <v/>
      </c>
      <c r="BU1827" s="40">
        <f>BU1826*(1-IF(B1826&gt;=in_marketplace_from,d_hz_loan_cd*G1826,0))</f>
        <v/>
      </c>
      <c r="BV1827" s="14">
        <f>F1827*BU1827*IF(B1827&gt;=in_marketplace_from,d_hz_loan_cd*G1827,0)*in_loan_cd_ticket*in_loan_cd_comm</f>
        <v/>
      </c>
      <c r="BW1827" s="40">
        <f>BW1826*(1-IF(B1826&gt;=in_marketplace_from,d_hz_loan_vehicle*G1826,0))</f>
        <v/>
      </c>
      <c r="BX1827" s="14">
        <f>F1827*BW1827*IF(B1827&gt;=in_marketplace_from,d_hz_loan_vehicle*G1827,0)*in_loan_vehicle_ticket*in_loan_vehicle_comm</f>
        <v/>
      </c>
      <c r="BY1827" s="40">
        <f>BY1826*(1-IF(B1826&gt;=in_marketplace_from,d_hz_loan_home*G1826,0)*BZ1826)</f>
        <v/>
      </c>
      <c r="BZ1827" s="11">
        <f>MIN(in_approval_cap,in_loan_home_approval*INDEX('Age profile'!$O$2:$O$61,B1827)*(1+in_approval_growth)^(D1827-1))</f>
        <v/>
      </c>
      <c r="CA1827" s="14">
        <f>F1827*BY1827*IF(B1827&gt;=in_marketplace_from,d_hz_loan_home*G1827,0)*BZ1827*in_loan_home_ticket*in_loan_home_comm</f>
        <v/>
      </c>
      <c r="CB1827" s="40">
        <f>CB1826*(1-IF(B1826&gt;=in_marketplace_from,d_hz_loan_lap*G1826,0)*CC1826)</f>
        <v/>
      </c>
      <c r="CC1827" s="11">
        <f>MIN(in_approval_cap,in_loan_lap_approval*INDEX('Age profile'!$O$2:$O$61,B1827)*(1+in_approval_growth)^(D1827-1))</f>
        <v/>
      </c>
      <c r="CD1827" s="14">
        <f>F1827*CB1827*IF(B1827&gt;=in_marketplace_from,d_hz_loan_lap*G1827,0)*CC1827*in_loan_lap_ticket*in_loan_lap_comm</f>
        <v/>
      </c>
      <c r="CE1827" s="14">
        <f>AA1827+AB1827+AC1827+AD1827+AG1827+AJ1827+AM1827+AP1827+AS1827+AU1827+AX1827+BB1827+BE1827+BG1827+BJ1827+BL1827+BO1827+BR1827+BT1827+BV1827+BX1827+CA1827+CD1827</f>
        <v/>
      </c>
    </row>
    <row r="1828">
      <c r="A1828" s="39" t="n">
        <v>58</v>
      </c>
      <c r="B1828" s="39" t="n">
        <v>3</v>
      </c>
      <c r="C1828" s="39">
        <f>A1828+B1828-1</f>
        <v/>
      </c>
      <c r="D1828" s="39">
        <f>INT((C1828-1)/12)+1</f>
        <v/>
      </c>
      <c r="E1828" s="44">
        <f>INDEX(Monthly!$B$2:$B$61,A1828)</f>
        <v/>
      </c>
      <c r="F1828" s="44">
        <f>E1828*INDEX('Age profile'!$B$2:$B$61,B1828)</f>
        <v/>
      </c>
      <c r="G1828" s="45">
        <f>MIN(in_takeup_cap,INDEX('Age profile'!$N$2:$N$61,B1828)*(1+in_takeup_growth)^(D1828-1))</f>
        <v/>
      </c>
      <c r="H1828" s="11">
        <f>MIN(in_approval_cap,in_approved_first*INDEX('Age profile'!$O$2:$O$61,B1828)*(1+in_approval_growth)^(D1828-1))</f>
        <v/>
      </c>
      <c r="I1828" s="45">
        <f>G1828*MIN(in_takeup_cap,INDEX('Age profile'!$O$2:$O$61,B1828)*(1+in_approval_growth)^(D1828-1))</f>
        <v/>
      </c>
      <c r="J1828" s="40">
        <f>(J1827-L1827)*F1828/F1827</f>
        <v/>
      </c>
      <c r="K1828" s="40">
        <f>(K1827-M1827)*F1828/F1827+SUMIFS(O1826:O1827,B1826:B1827,B1828-1-d_T)*F1828</f>
        <v/>
      </c>
      <c r="L1828" s="40">
        <f>IF(B1828&gt;=in_marketplace_from,J1828*d_hz*G1828*in_eligible*H1828,0)</f>
        <v/>
      </c>
      <c r="M1828" s="40">
        <f>IF(B1828&gt;=in_marketplace_from,K1828*d_hz*G1828*in_eligible*in_approved_repeat,0)</f>
        <v/>
      </c>
      <c r="N1828" s="40">
        <f>L1828+M1828</f>
        <v/>
      </c>
      <c r="O1828" s="46">
        <f>N1828/F1828</f>
        <v/>
      </c>
      <c r="P1828" s="40">
        <f>F1828-J1828-K1828</f>
        <v/>
      </c>
      <c r="Q1828" s="40">
        <f>IF(B1828&gt;=in_marketplace_from,(J1828+K1828)*d_hz*G1828,0)</f>
        <v/>
      </c>
      <c r="R1828" s="40">
        <f>SUMIFS(N1826:N1828,B1826:B1828,"&gt;="&amp;(B1828-d_T),B1826:B1828,"&lt;="&amp;(B1828-1))</f>
        <v/>
      </c>
      <c r="S1828" s="46">
        <f>(1-d_u)*S1827+IF(d_T&gt;in_topup_lag,SUMIFS(O1826:O1828,B1826:B1828,B1828-in_topup_lag)-d_udrop*SUMIFS(O1826:O1828,B1826:B1828,B1828-d_T),0)</f>
        <v/>
      </c>
      <c r="T1828" s="40">
        <f>F1828*d_u*S1828</f>
        <v/>
      </c>
      <c r="U1828" s="9">
        <f>L1828*in_ticket+M1828*d_rep_ticket</f>
        <v/>
      </c>
      <c r="V1828" s="9">
        <f>U1828+T1828*d_topup_amt</f>
        <v/>
      </c>
      <c r="W1828" s="40">
        <f>N1828+T1828*d_topup_ratio</f>
        <v/>
      </c>
      <c r="X1828" s="40">
        <f>SUMIFS(W1826:W1828,B1826:B1828,B1828-in_dpd_lag)*d_cured</f>
        <v/>
      </c>
      <c r="Y1828" s="40">
        <f>SUMIFS(W1826:W1828,B1826:B1828,B1828-in_rec_lag)*d_recd</f>
        <v/>
      </c>
      <c r="Z1828" s="40">
        <f>IF(AND(B1828&gt;=in_marketplace_from,B1828&lt;in_marketplace_from+in_card_months),in_card_share/in_card_months*F1828*I1828,IF(AND(B1828&gt;=in_marketplace_from+in_card_months,B1828&lt;in_marketplace_from+2*in_card_months),in_card_share*d_card_rem/in_card_months*F1828*MIN(in_takeup_cap,(1+in_takeup_growth)^(D1828-1))*MIN(in_takeup_cap,(1+in_approval_growth)^(D1828-1)),0))</f>
        <v/>
      </c>
      <c r="AA1828" s="14">
        <f>V1828*in_fee*(1-in_taken_back)</f>
        <v/>
      </c>
      <c r="AB1828" s="14">
        <f>SUMIFS(W1826:W1828,B1826:B1828,B1828-in_dpd_lag)*d_dpd</f>
        <v/>
      </c>
      <c r="AC1828" s="14">
        <f>SUMIFS(W1826:W1828,B1826:B1828,B1828-in_rec_lag)*d_rec</f>
        <v/>
      </c>
      <c r="AD1828" s="14">
        <f>Z1828*in_card_fee</f>
        <v/>
      </c>
      <c r="AE1828" s="40">
        <f>AE1827*(1-IF(B1827&gt;=in_marketplace_from,d_hz_hlth_small*G1827,0))</f>
        <v/>
      </c>
      <c r="AF1828" s="46">
        <f>AE1828*IF(B1828&gt;=in_marketplace_from,d_hz_hlth_small*G1828,0)</f>
        <v/>
      </c>
      <c r="AG1828" s="14">
        <f>F1828*AF1828*in_hlth_small_ticket*in_hlth_small_comm*in_ins_partner_share+F1828*in_hlth_small_ticket*in_hlth_small_renew_comm*in_ins_partner_share*(in_hlth_small_renew^1*SUMIFS(AF1826:AF1828,B1826:B1828,B1828-12)+in_hlth_small_renew^2*SUMIFS(AF1826:AF1828,B1826:B1828,B1828-24)+in_hlth_small_renew^3*SUMIFS(AF1826:AF1828,B1826:B1828,B1828-36)+in_hlth_small_renew^4*SUMIFS(AF1826:AF1828,B1826:B1828,B1828-48))</f>
        <v/>
      </c>
      <c r="AH1828" s="40">
        <f>AH1827*(1-IF(B1827&gt;=in_marketplace_from,d_hz_hlth_family*G1827,0))</f>
        <v/>
      </c>
      <c r="AI1828" s="46">
        <f>AH1828*IF(B1828&gt;=in_marketplace_from,d_hz_hlth_family*G1828,0)</f>
        <v/>
      </c>
      <c r="AJ1828" s="14">
        <f>F1828*AI1828*in_hlth_family_ticket*in_hlth_family_comm*in_ins_partner_share+F1828*in_hlth_family_ticket*in_hlth_family_renew_comm*in_ins_partner_share*(in_hlth_family_renew^1*SUMIFS(AI1826:AI1828,B1826:B1828,B1828-12)+in_hlth_family_renew^2*SUMIFS(AI1826:AI1828,B1826:B1828,B1828-24)+in_hlth_family_renew^3*SUMIFS(AI1826:AI1828,B1826:B1828,B1828-36)+in_hlth_family_renew^4*SUMIFS(AI1826:AI1828,B1826:B1828,B1828-48))</f>
        <v/>
      </c>
      <c r="AK1828" s="40">
        <f>AK1827*(1-IF(B1827&gt;=in_marketplace_from,d_hz_life_term*G1827,0))</f>
        <v/>
      </c>
      <c r="AL1828" s="46">
        <f>AK1828*IF(B1828&gt;=in_marketplace_from,d_hz_life_term*G1828,0)</f>
        <v/>
      </c>
      <c r="AM1828" s="14">
        <f>F1828*AL1828*in_life_term_ticket*in_life_term_comm*in_ins_partner_share+F1828*in_life_term_ticket*in_life_term_renew_comm*in_ins_partner_share*(in_life_term_renew^1*SUMIFS(AL1826:AL1828,B1826:B1828,B1828-12)+in_life_term_renew^2*SUMIFS(AL1826:AL1828,B1826:B1828,B1828-24)+in_life_term_renew^3*SUMIFS(AL1826:AL1828,B1826:B1828,B1828-36)+in_life_term_renew^4*SUMIFS(AL1826:AL1828,B1826:B1828,B1828-48))</f>
        <v/>
      </c>
      <c r="AN1828" s="40">
        <f>AN1827*(1-IF(B1827&gt;=in_marketplace_from,d_hz_accident*G1827,0))</f>
        <v/>
      </c>
      <c r="AO1828" s="46">
        <f>AN1828*IF(B1828&gt;=in_marketplace_from,d_hz_accident*G1828,0)</f>
        <v/>
      </c>
      <c r="AP1828" s="14">
        <f>F1828*AO1828*in_accident_ticket*in_accident_comm*in_ins_partner_share+F1828*in_accident_ticket*in_accident_renew_comm*in_ins_partner_share*(in_accident_renew^1*SUMIFS(AO1826:AO1828,B1826:B1828,B1828-12)+in_accident_renew^2*SUMIFS(AO1826:AO1828,B1826:B1828,B1828-24)+in_accident_renew^3*SUMIFS(AO1826:AO1828,B1826:B1828,B1828-36)+in_accident_renew^4*SUMIFS(AO1826:AO1828,B1826:B1828,B1828-48))</f>
        <v/>
      </c>
      <c r="AQ1828" s="40">
        <f>AQ1827*(1-IF(B1827&gt;=in_marketplace_from,d_hz_two_wheeler*G1827,0))</f>
        <v/>
      </c>
      <c r="AR1828" s="46">
        <f>AQ1828*IF(B1828&gt;=in_marketplace_from,d_hz_two_wheeler*G1828,0)</f>
        <v/>
      </c>
      <c r="AS1828" s="14">
        <f>F1828*AR1828*in_two_wheeler_ticket*in_two_wheeler_comm*in_ins_partner_share+F1828*in_two_wheeler_ticket*in_two_wheeler_comm*in_ins_partner_share*(in_two_wheeler_renew^1*SUMIFS(AR1826:AR1828,B1826:B1828,B1828-12)+in_two_wheeler_renew^2*SUMIFS(AR1826:AR1828,B1826:B1828,B1828-24)+in_two_wheeler_renew^3*SUMIFS(AR1826:AR1828,B1826:B1828,B1828-36)+in_two_wheeler_renew^4*SUMIFS(AR1826:AR1828,B1826:B1828,B1828-48))</f>
        <v/>
      </c>
      <c r="AT1828" s="40">
        <f>AT1827*(1-IF(B1827&gt;=in_marketplace_from,d_hz_device*G1827,0))</f>
        <v/>
      </c>
      <c r="AU1828" s="14">
        <f>F1828*AT1828*IF(B1828&gt;=in_marketplace_from,d_hz_device*G1828,0)*in_device_ticket*in_device_comm*in_ins_partner_share</f>
        <v/>
      </c>
      <c r="AV1828" s="40">
        <f>AV1827*(1-IF(B1827&gt;=in_marketplace_from,d_hz_shop*G1827,0))</f>
        <v/>
      </c>
      <c r="AW1828" s="46">
        <f>AV1828*IF(B1828&gt;=in_marketplace_from,d_hz_shop*G1828,0)</f>
        <v/>
      </c>
      <c r="AX1828" s="14">
        <f>F1828*AW1828*in_shop_ticket*in_shop_comm*in_ins_partner_share+F1828*in_shop_ticket*in_shop_renew_comm*in_ins_partner_share*(in_shop_renew^1*SUMIFS(AW1826:AW1828,B1826:B1828,B1828-12)+in_shop_renew^2*SUMIFS(AW1826:AW1828,B1826:B1828,B1828-24)+in_shop_renew^3*SUMIFS(AW1826:AW1828,B1826:B1828,B1828-36)+in_shop_renew^4*SUMIFS(AW1826:AW1828,B1826:B1828,B1828-48))</f>
        <v/>
      </c>
      <c r="AY1828" s="40">
        <f>AY1827*(1-IF(B1827&gt;=in_marketplace_from,d_hz_sip*G1827,0))</f>
        <v/>
      </c>
      <c r="AZ1828" s="40">
        <f>AZ1827*d_rho_sip+AY1828*IF(B1828&gt;=in_marketplace_from,d_hz_sip*G1828,0)</f>
        <v/>
      </c>
      <c r="BA1828" s="40">
        <f>d_rho_sip*(BA1827+AZ1827)</f>
        <v/>
      </c>
      <c r="BB1828" s="14">
        <f>F1828*in_sip_ticket*(BA1828+0.5*AZ1828)*in_sip_comm/12</f>
        <v/>
      </c>
      <c r="BC1828" s="40">
        <f>BC1827*(1-IF(B1827&gt;=in_marketplace_from,d_hz_choti*G1827,0))</f>
        <v/>
      </c>
      <c r="BD1828" s="46">
        <f>BC1828*IF(B1828&gt;=in_marketplace_from,d_hz_choti*G1828,0)</f>
        <v/>
      </c>
      <c r="BE1828" s="14">
        <f>F1828*SUMIFS(BD1826:BD1828,B1826:B1828,B1828-in_choti_months)*in_choti_renew*in_choti_ticket</f>
        <v/>
      </c>
      <c r="BF1828" s="40">
        <f>BF1827*(1-IF(B1827&gt;=in_marketplace_from,d_hz_nps*G1827,0))</f>
        <v/>
      </c>
      <c r="BG1828" s="14">
        <f>F1828*BF1828*IF(B1828&gt;=in_marketplace_from,d_hz_nps*G1828,0)*in_nps_ticket*in_nps_comm</f>
        <v/>
      </c>
      <c r="BH1828" s="40">
        <f>BH1827*(1-IF(B1827&gt;=in_marketplace_from,d_hz_gold*G1827,0))</f>
        <v/>
      </c>
      <c r="BI1828" s="40">
        <f>BI1827*d_rho_gold+BH1828*IF(B1828&gt;=in_marketplace_from,d_hz_gold*G1828,0)</f>
        <v/>
      </c>
      <c r="BJ1828" s="14">
        <f>F1828*BI1828*in_gold_ticket*in_gold_comm</f>
        <v/>
      </c>
      <c r="BK1828" s="40">
        <f>BK1827*(1-IF(B1827&gt;=in_marketplace_from,d_hz_fd*G1827,0))</f>
        <v/>
      </c>
      <c r="BL1828" s="14">
        <f>F1828*BK1828*IF(B1828&gt;=in_marketplace_from,d_hz_fd*G1828,0)*in_fd_ticket*in_fd_comm</f>
        <v/>
      </c>
      <c r="BM1828" s="40">
        <f>BM1827*(1-IF(B1827&gt;=in_marketplace_from,d_hz_recharge*G1827,0))</f>
        <v/>
      </c>
      <c r="BN1828" s="40">
        <f>BN1827*d_rho_recharge+BM1828*IF(B1828&gt;=in_marketplace_from,d_hz_recharge*G1828,0)</f>
        <v/>
      </c>
      <c r="BO1828" s="14">
        <f>F1828*BN1828*in_recharge_ticket*in_recharge_comm/12</f>
        <v/>
      </c>
      <c r="BP1828" s="40">
        <f>BP1827*(1-IF(B1827&gt;=in_marketplace_from,d_hz_bills*G1827,0))</f>
        <v/>
      </c>
      <c r="BQ1828" s="40">
        <f>BQ1827*d_rho_bills+BP1828*IF(B1828&gt;=in_marketplace_from,d_hz_bills*G1828,0)</f>
        <v/>
      </c>
      <c r="BR1828" s="14">
        <f>F1828*BQ1828*in_bills_ticket*in_bills_comm/12</f>
        <v/>
      </c>
      <c r="BS1828" s="40">
        <f>BS1827*(1-IF(B1827&gt;=in_marketplace_from,d_hz_loan_gold*G1827,0))</f>
        <v/>
      </c>
      <c r="BT1828" s="14">
        <f>F1828*BS1828*IF(B1828&gt;=in_marketplace_from,d_hz_loan_gold*G1828,0)*in_loan_gold_ticket*in_loan_gold_comm</f>
        <v/>
      </c>
      <c r="BU1828" s="40">
        <f>BU1827*(1-IF(B1827&gt;=in_marketplace_from,d_hz_loan_cd*G1827,0))</f>
        <v/>
      </c>
      <c r="BV1828" s="14">
        <f>F1828*BU1828*IF(B1828&gt;=in_marketplace_from,d_hz_loan_cd*G1828,0)*in_loan_cd_ticket*in_loan_cd_comm</f>
        <v/>
      </c>
      <c r="BW1828" s="40">
        <f>BW1827*(1-IF(B1827&gt;=in_marketplace_from,d_hz_loan_vehicle*G1827,0))</f>
        <v/>
      </c>
      <c r="BX1828" s="14">
        <f>F1828*BW1828*IF(B1828&gt;=in_marketplace_from,d_hz_loan_vehicle*G1828,0)*in_loan_vehicle_ticket*in_loan_vehicle_comm</f>
        <v/>
      </c>
      <c r="BY1828" s="40">
        <f>BY1827*(1-IF(B1827&gt;=in_marketplace_from,d_hz_loan_home*G1827,0)*BZ1827)</f>
        <v/>
      </c>
      <c r="BZ1828" s="11">
        <f>MIN(in_approval_cap,in_loan_home_approval*INDEX('Age profile'!$O$2:$O$61,B1828)*(1+in_approval_growth)^(D1828-1))</f>
        <v/>
      </c>
      <c r="CA1828" s="14">
        <f>F1828*BY1828*IF(B1828&gt;=in_marketplace_from,d_hz_loan_home*G1828,0)*BZ1828*in_loan_home_ticket*in_loan_home_comm</f>
        <v/>
      </c>
      <c r="CB1828" s="40">
        <f>CB1827*(1-IF(B1827&gt;=in_marketplace_from,d_hz_loan_lap*G1827,0)*CC1827)</f>
        <v/>
      </c>
      <c r="CC1828" s="11">
        <f>MIN(in_approval_cap,in_loan_lap_approval*INDEX('Age profile'!$O$2:$O$61,B1828)*(1+in_approval_growth)^(D1828-1))</f>
        <v/>
      </c>
      <c r="CD1828" s="14">
        <f>F1828*CB1828*IF(B1828&gt;=in_marketplace_from,d_hz_loan_lap*G1828,0)*CC1828*in_loan_lap_ticket*in_loan_lap_comm</f>
        <v/>
      </c>
      <c r="CE1828" s="14">
        <f>AA1828+AB1828+AC1828+AD1828+AG1828+AJ1828+AM1828+AP1828+AS1828+AU1828+AX1828+BB1828+BE1828+BG1828+BJ1828+BL1828+BO1828+BR1828+BT1828+BV1828+BX1828+CA1828+CD1828</f>
        <v/>
      </c>
    </row>
    <row r="1829">
      <c r="A1829" s="39" t="n">
        <v>59</v>
      </c>
      <c r="B1829" s="39" t="n">
        <v>1</v>
      </c>
      <c r="C1829" s="39">
        <f>A1829+B1829-1</f>
        <v/>
      </c>
      <c r="D1829" s="39">
        <f>INT((C1829-1)/12)+1</f>
        <v/>
      </c>
      <c r="E1829" s="44">
        <f>INDEX(Monthly!$B$2:$B$61,A1829)</f>
        <v/>
      </c>
      <c r="F1829" s="44">
        <f>E1829*INDEX('Age profile'!$B$2:$B$61,B1829)</f>
        <v/>
      </c>
      <c r="G1829" s="45">
        <f>MIN(in_takeup_cap,INDEX('Age profile'!$N$2:$N$61,B1829)*(1+in_takeup_growth)^(D1829-1))</f>
        <v/>
      </c>
      <c r="H1829" s="11">
        <f>MIN(in_approval_cap,in_approved_first*INDEX('Age profile'!$O$2:$O$61,B1829)*(1+in_approval_growth)^(D1829-1))</f>
        <v/>
      </c>
      <c r="I1829" s="45">
        <f>G1829*MIN(in_takeup_cap,INDEX('Age profile'!$O$2:$O$61,B1829)*(1+in_approval_growth)^(D1829-1))</f>
        <v/>
      </c>
      <c r="J1829" s="40">
        <f>E1829</f>
        <v/>
      </c>
      <c r="K1829" s="40" t="n">
        <v>0</v>
      </c>
      <c r="L1829" s="40">
        <f>IF(B1829&gt;=in_marketplace_from,J1829*d_hz*G1829*in_eligible*H1829,0)</f>
        <v/>
      </c>
      <c r="M1829" s="40">
        <f>IF(B1829&gt;=in_marketplace_from,K1829*d_hz*G1829*in_eligible*in_approved_repeat,0)</f>
        <v/>
      </c>
      <c r="N1829" s="40">
        <f>L1829+M1829</f>
        <v/>
      </c>
      <c r="O1829" s="46">
        <f>N1829/F1829</f>
        <v/>
      </c>
      <c r="P1829" s="40">
        <f>F1829-J1829-K1829</f>
        <v/>
      </c>
      <c r="Q1829" s="40">
        <f>IF(B1829&gt;=in_marketplace_from,(J1829+K1829)*d_hz*G1829,0)</f>
        <v/>
      </c>
      <c r="R1829" s="40">
        <f>SUMIFS(N1829:N1830,B1829:B1830,"&gt;="&amp;(B1829-d_T),B1829:B1830,"&lt;="&amp;(B1829-1))</f>
        <v/>
      </c>
      <c r="S1829" s="46" t="n">
        <v>0</v>
      </c>
      <c r="T1829" s="40">
        <f>F1829*d_u*S1829</f>
        <v/>
      </c>
      <c r="U1829" s="9">
        <f>L1829*in_ticket+M1829*d_rep_ticket</f>
        <v/>
      </c>
      <c r="V1829" s="9">
        <f>U1829+T1829*d_topup_amt</f>
        <v/>
      </c>
      <c r="W1829" s="40">
        <f>N1829+T1829*d_topup_ratio</f>
        <v/>
      </c>
      <c r="X1829" s="40">
        <f>SUMIFS(W1829:W1830,B1829:B1830,B1829-in_dpd_lag)*d_cured</f>
        <v/>
      </c>
      <c r="Y1829" s="40">
        <f>SUMIFS(W1829:W1830,B1829:B1830,B1829-in_rec_lag)*d_recd</f>
        <v/>
      </c>
      <c r="Z1829" s="40">
        <f>IF(AND(B1829&gt;=in_marketplace_from,B1829&lt;in_marketplace_from+in_card_months),in_card_share/in_card_months*F1829*I1829,IF(AND(B1829&gt;=in_marketplace_from+in_card_months,B1829&lt;in_marketplace_from+2*in_card_months),in_card_share*d_card_rem/in_card_months*F1829*MIN(in_takeup_cap,(1+in_takeup_growth)^(D1829-1))*MIN(in_takeup_cap,(1+in_approval_growth)^(D1829-1)),0))</f>
        <v/>
      </c>
      <c r="AA1829" s="14">
        <f>V1829*in_fee*(1-in_taken_back)</f>
        <v/>
      </c>
      <c r="AB1829" s="14">
        <f>SUMIFS(W1829:W1830,B1829:B1830,B1829-in_dpd_lag)*d_dpd</f>
        <v/>
      </c>
      <c r="AC1829" s="14">
        <f>SUMIFS(W1829:W1830,B1829:B1830,B1829-in_rec_lag)*d_rec</f>
        <v/>
      </c>
      <c r="AD1829" s="14">
        <f>Z1829*in_card_fee</f>
        <v/>
      </c>
      <c r="AE1829" s="40" t="n">
        <v>1</v>
      </c>
      <c r="AF1829" s="46">
        <f>AE1829*IF(B1829&gt;=in_marketplace_from,d_hz_hlth_small*G1829,0)</f>
        <v/>
      </c>
      <c r="AG1829" s="14">
        <f>F1829*AF1829*in_hlth_small_ticket*in_hlth_small_comm*in_ins_partner_share+F1829*in_hlth_small_ticket*in_hlth_small_renew_comm*in_ins_partner_share*(in_hlth_small_renew^1*SUMIFS(AF1829:AF1830,B1829:B1830,B1829-12)+in_hlth_small_renew^2*SUMIFS(AF1829:AF1830,B1829:B1830,B1829-24)+in_hlth_small_renew^3*SUMIFS(AF1829:AF1830,B1829:B1830,B1829-36)+in_hlth_small_renew^4*SUMIFS(AF1829:AF1830,B1829:B1830,B1829-48))</f>
        <v/>
      </c>
      <c r="AH1829" s="40" t="n">
        <v>1</v>
      </c>
      <c r="AI1829" s="46">
        <f>AH1829*IF(B1829&gt;=in_marketplace_from,d_hz_hlth_family*G1829,0)</f>
        <v/>
      </c>
      <c r="AJ1829" s="14">
        <f>F1829*AI1829*in_hlth_family_ticket*in_hlth_family_comm*in_ins_partner_share+F1829*in_hlth_family_ticket*in_hlth_family_renew_comm*in_ins_partner_share*(in_hlth_family_renew^1*SUMIFS(AI1829:AI1830,B1829:B1830,B1829-12)+in_hlth_family_renew^2*SUMIFS(AI1829:AI1830,B1829:B1830,B1829-24)+in_hlth_family_renew^3*SUMIFS(AI1829:AI1830,B1829:B1830,B1829-36)+in_hlth_family_renew^4*SUMIFS(AI1829:AI1830,B1829:B1830,B1829-48))</f>
        <v/>
      </c>
      <c r="AK1829" s="40" t="n">
        <v>1</v>
      </c>
      <c r="AL1829" s="46">
        <f>AK1829*IF(B1829&gt;=in_marketplace_from,d_hz_life_term*G1829,0)</f>
        <v/>
      </c>
      <c r="AM1829" s="14">
        <f>F1829*AL1829*in_life_term_ticket*in_life_term_comm*in_ins_partner_share+F1829*in_life_term_ticket*in_life_term_renew_comm*in_ins_partner_share*(in_life_term_renew^1*SUMIFS(AL1829:AL1830,B1829:B1830,B1829-12)+in_life_term_renew^2*SUMIFS(AL1829:AL1830,B1829:B1830,B1829-24)+in_life_term_renew^3*SUMIFS(AL1829:AL1830,B1829:B1830,B1829-36)+in_life_term_renew^4*SUMIFS(AL1829:AL1830,B1829:B1830,B1829-48))</f>
        <v/>
      </c>
      <c r="AN1829" s="40" t="n">
        <v>1</v>
      </c>
      <c r="AO1829" s="46">
        <f>AN1829*IF(B1829&gt;=in_marketplace_from,d_hz_accident*G1829,0)</f>
        <v/>
      </c>
      <c r="AP1829" s="14">
        <f>F1829*AO1829*in_accident_ticket*in_accident_comm*in_ins_partner_share+F1829*in_accident_ticket*in_accident_renew_comm*in_ins_partner_share*(in_accident_renew^1*SUMIFS(AO1829:AO1830,B1829:B1830,B1829-12)+in_accident_renew^2*SUMIFS(AO1829:AO1830,B1829:B1830,B1829-24)+in_accident_renew^3*SUMIFS(AO1829:AO1830,B1829:B1830,B1829-36)+in_accident_renew^4*SUMIFS(AO1829:AO1830,B1829:B1830,B1829-48))</f>
        <v/>
      </c>
      <c r="AQ1829" s="40" t="n">
        <v>1</v>
      </c>
      <c r="AR1829" s="46">
        <f>AQ1829*IF(B1829&gt;=in_marketplace_from,d_hz_two_wheeler*G1829,0)</f>
        <v/>
      </c>
      <c r="AS1829" s="14">
        <f>F1829*AR1829*in_two_wheeler_ticket*in_two_wheeler_comm*in_ins_partner_share+F1829*in_two_wheeler_ticket*in_two_wheeler_comm*in_ins_partner_share*(in_two_wheeler_renew^1*SUMIFS(AR1829:AR1830,B1829:B1830,B1829-12)+in_two_wheeler_renew^2*SUMIFS(AR1829:AR1830,B1829:B1830,B1829-24)+in_two_wheeler_renew^3*SUMIFS(AR1829:AR1830,B1829:B1830,B1829-36)+in_two_wheeler_renew^4*SUMIFS(AR1829:AR1830,B1829:B1830,B1829-48))</f>
        <v/>
      </c>
      <c r="AT1829" s="40" t="n">
        <v>1</v>
      </c>
      <c r="AU1829" s="14">
        <f>F1829*AT1829*IF(B1829&gt;=in_marketplace_from,d_hz_device*G1829,0)*in_device_ticket*in_device_comm*in_ins_partner_share</f>
        <v/>
      </c>
      <c r="AV1829" s="40" t="n">
        <v>1</v>
      </c>
      <c r="AW1829" s="46">
        <f>AV1829*IF(B1829&gt;=in_marketplace_from,d_hz_shop*G1829,0)</f>
        <v/>
      </c>
      <c r="AX1829" s="14">
        <f>F1829*AW1829*in_shop_ticket*in_shop_comm*in_ins_partner_share+F1829*in_shop_ticket*in_shop_renew_comm*in_ins_partner_share*(in_shop_renew^1*SUMIFS(AW1829:AW1830,B1829:B1830,B1829-12)+in_shop_renew^2*SUMIFS(AW1829:AW1830,B1829:B1830,B1829-24)+in_shop_renew^3*SUMIFS(AW1829:AW1830,B1829:B1830,B1829-36)+in_shop_renew^4*SUMIFS(AW1829:AW1830,B1829:B1830,B1829-48))</f>
        <v/>
      </c>
      <c r="AY1829" s="40" t="n">
        <v>1</v>
      </c>
      <c r="AZ1829" s="40">
        <f>AY1829*IF(B1829&gt;=in_marketplace_from,d_hz_sip*G1829,0)</f>
        <v/>
      </c>
      <c r="BA1829" s="40" t="n">
        <v>0</v>
      </c>
      <c r="BB1829" s="14">
        <f>F1829*in_sip_ticket*(BA1829+0.5*AZ1829)*in_sip_comm/12</f>
        <v/>
      </c>
      <c r="BC1829" s="40" t="n">
        <v>1</v>
      </c>
      <c r="BD1829" s="46">
        <f>BC1829*IF(B1829&gt;=in_marketplace_from,d_hz_choti*G1829,0)</f>
        <v/>
      </c>
      <c r="BE1829" s="14">
        <f>F1829*SUMIFS(BD1829:BD1830,B1829:B1830,B1829-in_choti_months)*in_choti_renew*in_choti_ticket</f>
        <v/>
      </c>
      <c r="BF1829" s="40" t="n">
        <v>1</v>
      </c>
      <c r="BG1829" s="14">
        <f>F1829*BF1829*IF(B1829&gt;=in_marketplace_from,d_hz_nps*G1829,0)*in_nps_ticket*in_nps_comm</f>
        <v/>
      </c>
      <c r="BH1829" s="40" t="n">
        <v>1</v>
      </c>
      <c r="BI1829" s="40">
        <f>BH1829*IF(B1829&gt;=in_marketplace_from,d_hz_gold*G1829,0)</f>
        <v/>
      </c>
      <c r="BJ1829" s="14">
        <f>F1829*BI1829*in_gold_ticket*in_gold_comm</f>
        <v/>
      </c>
      <c r="BK1829" s="40" t="n">
        <v>1</v>
      </c>
      <c r="BL1829" s="14">
        <f>F1829*BK1829*IF(B1829&gt;=in_marketplace_from,d_hz_fd*G1829,0)*in_fd_ticket*in_fd_comm</f>
        <v/>
      </c>
      <c r="BM1829" s="40" t="n">
        <v>1</v>
      </c>
      <c r="BN1829" s="40">
        <f>BM1829*IF(B1829&gt;=in_marketplace_from,d_hz_recharge*G1829,0)</f>
        <v/>
      </c>
      <c r="BO1829" s="14">
        <f>F1829*BN1829*in_recharge_ticket*in_recharge_comm/12</f>
        <v/>
      </c>
      <c r="BP1829" s="40" t="n">
        <v>1</v>
      </c>
      <c r="BQ1829" s="40">
        <f>BP1829*IF(B1829&gt;=in_marketplace_from,d_hz_bills*G1829,0)</f>
        <v/>
      </c>
      <c r="BR1829" s="14">
        <f>F1829*BQ1829*in_bills_ticket*in_bills_comm/12</f>
        <v/>
      </c>
      <c r="BS1829" s="40" t="n">
        <v>1</v>
      </c>
      <c r="BT1829" s="14">
        <f>F1829*BS1829*IF(B1829&gt;=in_marketplace_from,d_hz_loan_gold*G1829,0)*in_loan_gold_ticket*in_loan_gold_comm</f>
        <v/>
      </c>
      <c r="BU1829" s="40" t="n">
        <v>1</v>
      </c>
      <c r="BV1829" s="14">
        <f>F1829*BU1829*IF(B1829&gt;=in_marketplace_from,d_hz_loan_cd*G1829,0)*in_loan_cd_ticket*in_loan_cd_comm</f>
        <v/>
      </c>
      <c r="BW1829" s="40" t="n">
        <v>1</v>
      </c>
      <c r="BX1829" s="14">
        <f>F1829*BW1829*IF(B1829&gt;=in_marketplace_from,d_hz_loan_vehicle*G1829,0)*in_loan_vehicle_ticket*in_loan_vehicle_comm</f>
        <v/>
      </c>
      <c r="BY1829" s="40" t="n">
        <v>1</v>
      </c>
      <c r="BZ1829" s="11">
        <f>MIN(in_approval_cap,in_loan_home_approval*INDEX('Age profile'!$O$2:$O$61,B1829)*(1+in_approval_growth)^(D1829-1))</f>
        <v/>
      </c>
      <c r="CA1829" s="14">
        <f>F1829*BY1829*IF(B1829&gt;=in_marketplace_from,d_hz_loan_home*G1829,0)*BZ1829*in_loan_home_ticket*in_loan_home_comm</f>
        <v/>
      </c>
      <c r="CB1829" s="40" t="n">
        <v>1</v>
      </c>
      <c r="CC1829" s="11">
        <f>MIN(in_approval_cap,in_loan_lap_approval*INDEX('Age profile'!$O$2:$O$61,B1829)*(1+in_approval_growth)^(D1829-1))</f>
        <v/>
      </c>
      <c r="CD1829" s="14">
        <f>F1829*CB1829*IF(B1829&gt;=in_marketplace_from,d_hz_loan_lap*G1829,0)*CC1829*in_loan_lap_ticket*in_loan_lap_comm</f>
        <v/>
      </c>
      <c r="CE1829" s="14">
        <f>AA1829+AB1829+AC1829+AD1829+AG1829+AJ1829+AM1829+AP1829+AS1829+AU1829+AX1829+BB1829+BE1829+BG1829+BJ1829+BL1829+BO1829+BR1829+BT1829+BV1829+BX1829+CA1829+CD1829</f>
        <v/>
      </c>
    </row>
    <row r="1830">
      <c r="A1830" s="39" t="n">
        <v>59</v>
      </c>
      <c r="B1830" s="39" t="n">
        <v>2</v>
      </c>
      <c r="C1830" s="39">
        <f>A1830+B1830-1</f>
        <v/>
      </c>
      <c r="D1830" s="39">
        <f>INT((C1830-1)/12)+1</f>
        <v/>
      </c>
      <c r="E1830" s="44">
        <f>INDEX(Monthly!$B$2:$B$61,A1830)</f>
        <v/>
      </c>
      <c r="F1830" s="44">
        <f>E1830*INDEX('Age profile'!$B$2:$B$61,B1830)</f>
        <v/>
      </c>
      <c r="G1830" s="45">
        <f>MIN(in_takeup_cap,INDEX('Age profile'!$N$2:$N$61,B1830)*(1+in_takeup_growth)^(D1830-1))</f>
        <v/>
      </c>
      <c r="H1830" s="11">
        <f>MIN(in_approval_cap,in_approved_first*INDEX('Age profile'!$O$2:$O$61,B1830)*(1+in_approval_growth)^(D1830-1))</f>
        <v/>
      </c>
      <c r="I1830" s="45">
        <f>G1830*MIN(in_takeup_cap,INDEX('Age profile'!$O$2:$O$61,B1830)*(1+in_approval_growth)^(D1830-1))</f>
        <v/>
      </c>
      <c r="J1830" s="40">
        <f>(J1829-L1829)*F1830/F1829</f>
        <v/>
      </c>
      <c r="K1830" s="40">
        <f>(K1829-M1829)*F1830/F1829+SUMIFS(O1829:O1829,B1829:B1829,B1830-1-d_T)*F1830</f>
        <v/>
      </c>
      <c r="L1830" s="40">
        <f>IF(B1830&gt;=in_marketplace_from,J1830*d_hz*G1830*in_eligible*H1830,0)</f>
        <v/>
      </c>
      <c r="M1830" s="40">
        <f>IF(B1830&gt;=in_marketplace_from,K1830*d_hz*G1830*in_eligible*in_approved_repeat,0)</f>
        <v/>
      </c>
      <c r="N1830" s="40">
        <f>L1830+M1830</f>
        <v/>
      </c>
      <c r="O1830" s="46">
        <f>N1830/F1830</f>
        <v/>
      </c>
      <c r="P1830" s="40">
        <f>F1830-J1830-K1830</f>
        <v/>
      </c>
      <c r="Q1830" s="40">
        <f>IF(B1830&gt;=in_marketplace_from,(J1830+K1830)*d_hz*G1830,0)</f>
        <v/>
      </c>
      <c r="R1830" s="40">
        <f>SUMIFS(N1829:N1830,B1829:B1830,"&gt;="&amp;(B1830-d_T),B1829:B1830,"&lt;="&amp;(B1830-1))</f>
        <v/>
      </c>
      <c r="S1830" s="46">
        <f>(1-d_u)*S1829+IF(d_T&gt;in_topup_lag,SUMIFS(O1829:O1830,B1829:B1830,B1830-in_topup_lag)-d_udrop*SUMIFS(O1829:O1830,B1829:B1830,B1830-d_T),0)</f>
        <v/>
      </c>
      <c r="T1830" s="40">
        <f>F1830*d_u*S1830</f>
        <v/>
      </c>
      <c r="U1830" s="9">
        <f>L1830*in_ticket+M1830*d_rep_ticket</f>
        <v/>
      </c>
      <c r="V1830" s="9">
        <f>U1830+T1830*d_topup_amt</f>
        <v/>
      </c>
      <c r="W1830" s="40">
        <f>N1830+T1830*d_topup_ratio</f>
        <v/>
      </c>
      <c r="X1830" s="40">
        <f>SUMIFS(W1829:W1830,B1829:B1830,B1830-in_dpd_lag)*d_cured</f>
        <v/>
      </c>
      <c r="Y1830" s="40">
        <f>SUMIFS(W1829:W1830,B1829:B1830,B1830-in_rec_lag)*d_recd</f>
        <v/>
      </c>
      <c r="Z1830" s="40">
        <f>IF(AND(B1830&gt;=in_marketplace_from,B1830&lt;in_marketplace_from+in_card_months),in_card_share/in_card_months*F1830*I1830,IF(AND(B1830&gt;=in_marketplace_from+in_card_months,B1830&lt;in_marketplace_from+2*in_card_months),in_card_share*d_card_rem/in_card_months*F1830*MIN(in_takeup_cap,(1+in_takeup_growth)^(D1830-1))*MIN(in_takeup_cap,(1+in_approval_growth)^(D1830-1)),0))</f>
        <v/>
      </c>
      <c r="AA1830" s="14">
        <f>V1830*in_fee*(1-in_taken_back)</f>
        <v/>
      </c>
      <c r="AB1830" s="14">
        <f>SUMIFS(W1829:W1830,B1829:B1830,B1830-in_dpd_lag)*d_dpd</f>
        <v/>
      </c>
      <c r="AC1830" s="14">
        <f>SUMIFS(W1829:W1830,B1829:B1830,B1830-in_rec_lag)*d_rec</f>
        <v/>
      </c>
      <c r="AD1830" s="14">
        <f>Z1830*in_card_fee</f>
        <v/>
      </c>
      <c r="AE1830" s="40">
        <f>AE1829*(1-IF(B1829&gt;=in_marketplace_from,d_hz_hlth_small*G1829,0))</f>
        <v/>
      </c>
      <c r="AF1830" s="46">
        <f>AE1830*IF(B1830&gt;=in_marketplace_from,d_hz_hlth_small*G1830,0)</f>
        <v/>
      </c>
      <c r="AG1830" s="14">
        <f>F1830*AF1830*in_hlth_small_ticket*in_hlth_small_comm*in_ins_partner_share+F1830*in_hlth_small_ticket*in_hlth_small_renew_comm*in_ins_partner_share*(in_hlth_small_renew^1*SUMIFS(AF1829:AF1830,B1829:B1830,B1830-12)+in_hlth_small_renew^2*SUMIFS(AF1829:AF1830,B1829:B1830,B1830-24)+in_hlth_small_renew^3*SUMIFS(AF1829:AF1830,B1829:B1830,B1830-36)+in_hlth_small_renew^4*SUMIFS(AF1829:AF1830,B1829:B1830,B1830-48))</f>
        <v/>
      </c>
      <c r="AH1830" s="40">
        <f>AH1829*(1-IF(B1829&gt;=in_marketplace_from,d_hz_hlth_family*G1829,0))</f>
        <v/>
      </c>
      <c r="AI1830" s="46">
        <f>AH1830*IF(B1830&gt;=in_marketplace_from,d_hz_hlth_family*G1830,0)</f>
        <v/>
      </c>
      <c r="AJ1830" s="14">
        <f>F1830*AI1830*in_hlth_family_ticket*in_hlth_family_comm*in_ins_partner_share+F1830*in_hlth_family_ticket*in_hlth_family_renew_comm*in_ins_partner_share*(in_hlth_family_renew^1*SUMIFS(AI1829:AI1830,B1829:B1830,B1830-12)+in_hlth_family_renew^2*SUMIFS(AI1829:AI1830,B1829:B1830,B1830-24)+in_hlth_family_renew^3*SUMIFS(AI1829:AI1830,B1829:B1830,B1830-36)+in_hlth_family_renew^4*SUMIFS(AI1829:AI1830,B1829:B1830,B1830-48))</f>
        <v/>
      </c>
      <c r="AK1830" s="40">
        <f>AK1829*(1-IF(B1829&gt;=in_marketplace_from,d_hz_life_term*G1829,0))</f>
        <v/>
      </c>
      <c r="AL1830" s="46">
        <f>AK1830*IF(B1830&gt;=in_marketplace_from,d_hz_life_term*G1830,0)</f>
        <v/>
      </c>
      <c r="AM1830" s="14">
        <f>F1830*AL1830*in_life_term_ticket*in_life_term_comm*in_ins_partner_share+F1830*in_life_term_ticket*in_life_term_renew_comm*in_ins_partner_share*(in_life_term_renew^1*SUMIFS(AL1829:AL1830,B1829:B1830,B1830-12)+in_life_term_renew^2*SUMIFS(AL1829:AL1830,B1829:B1830,B1830-24)+in_life_term_renew^3*SUMIFS(AL1829:AL1830,B1829:B1830,B1830-36)+in_life_term_renew^4*SUMIFS(AL1829:AL1830,B1829:B1830,B1830-48))</f>
        <v/>
      </c>
      <c r="AN1830" s="40">
        <f>AN1829*(1-IF(B1829&gt;=in_marketplace_from,d_hz_accident*G1829,0))</f>
        <v/>
      </c>
      <c r="AO1830" s="46">
        <f>AN1830*IF(B1830&gt;=in_marketplace_from,d_hz_accident*G1830,0)</f>
        <v/>
      </c>
      <c r="AP1830" s="14">
        <f>F1830*AO1830*in_accident_ticket*in_accident_comm*in_ins_partner_share+F1830*in_accident_ticket*in_accident_renew_comm*in_ins_partner_share*(in_accident_renew^1*SUMIFS(AO1829:AO1830,B1829:B1830,B1830-12)+in_accident_renew^2*SUMIFS(AO1829:AO1830,B1829:B1830,B1830-24)+in_accident_renew^3*SUMIFS(AO1829:AO1830,B1829:B1830,B1830-36)+in_accident_renew^4*SUMIFS(AO1829:AO1830,B1829:B1830,B1830-48))</f>
        <v/>
      </c>
      <c r="AQ1830" s="40">
        <f>AQ1829*(1-IF(B1829&gt;=in_marketplace_from,d_hz_two_wheeler*G1829,0))</f>
        <v/>
      </c>
      <c r="AR1830" s="46">
        <f>AQ1830*IF(B1830&gt;=in_marketplace_from,d_hz_two_wheeler*G1830,0)</f>
        <v/>
      </c>
      <c r="AS1830" s="14">
        <f>F1830*AR1830*in_two_wheeler_ticket*in_two_wheeler_comm*in_ins_partner_share+F1830*in_two_wheeler_ticket*in_two_wheeler_comm*in_ins_partner_share*(in_two_wheeler_renew^1*SUMIFS(AR1829:AR1830,B1829:B1830,B1830-12)+in_two_wheeler_renew^2*SUMIFS(AR1829:AR1830,B1829:B1830,B1830-24)+in_two_wheeler_renew^3*SUMIFS(AR1829:AR1830,B1829:B1830,B1830-36)+in_two_wheeler_renew^4*SUMIFS(AR1829:AR1830,B1829:B1830,B1830-48))</f>
        <v/>
      </c>
      <c r="AT1830" s="40">
        <f>AT1829*(1-IF(B1829&gt;=in_marketplace_from,d_hz_device*G1829,0))</f>
        <v/>
      </c>
      <c r="AU1830" s="14">
        <f>F1830*AT1830*IF(B1830&gt;=in_marketplace_from,d_hz_device*G1830,0)*in_device_ticket*in_device_comm*in_ins_partner_share</f>
        <v/>
      </c>
      <c r="AV1830" s="40">
        <f>AV1829*(1-IF(B1829&gt;=in_marketplace_from,d_hz_shop*G1829,0))</f>
        <v/>
      </c>
      <c r="AW1830" s="46">
        <f>AV1830*IF(B1830&gt;=in_marketplace_from,d_hz_shop*G1830,0)</f>
        <v/>
      </c>
      <c r="AX1830" s="14">
        <f>F1830*AW1830*in_shop_ticket*in_shop_comm*in_ins_partner_share+F1830*in_shop_ticket*in_shop_renew_comm*in_ins_partner_share*(in_shop_renew^1*SUMIFS(AW1829:AW1830,B1829:B1830,B1830-12)+in_shop_renew^2*SUMIFS(AW1829:AW1830,B1829:B1830,B1830-24)+in_shop_renew^3*SUMIFS(AW1829:AW1830,B1829:B1830,B1830-36)+in_shop_renew^4*SUMIFS(AW1829:AW1830,B1829:B1830,B1830-48))</f>
        <v/>
      </c>
      <c r="AY1830" s="40">
        <f>AY1829*(1-IF(B1829&gt;=in_marketplace_from,d_hz_sip*G1829,0))</f>
        <v/>
      </c>
      <c r="AZ1830" s="40">
        <f>AZ1829*d_rho_sip+AY1830*IF(B1830&gt;=in_marketplace_from,d_hz_sip*G1830,0)</f>
        <v/>
      </c>
      <c r="BA1830" s="40">
        <f>d_rho_sip*(BA1829+AZ1829)</f>
        <v/>
      </c>
      <c r="BB1830" s="14">
        <f>F1830*in_sip_ticket*(BA1830+0.5*AZ1830)*in_sip_comm/12</f>
        <v/>
      </c>
      <c r="BC1830" s="40">
        <f>BC1829*(1-IF(B1829&gt;=in_marketplace_from,d_hz_choti*G1829,0))</f>
        <v/>
      </c>
      <c r="BD1830" s="46">
        <f>BC1830*IF(B1830&gt;=in_marketplace_from,d_hz_choti*G1830,0)</f>
        <v/>
      </c>
      <c r="BE1830" s="14">
        <f>F1830*SUMIFS(BD1829:BD1830,B1829:B1830,B1830-in_choti_months)*in_choti_renew*in_choti_ticket</f>
        <v/>
      </c>
      <c r="BF1830" s="40">
        <f>BF1829*(1-IF(B1829&gt;=in_marketplace_from,d_hz_nps*G1829,0))</f>
        <v/>
      </c>
      <c r="BG1830" s="14">
        <f>F1830*BF1830*IF(B1830&gt;=in_marketplace_from,d_hz_nps*G1830,0)*in_nps_ticket*in_nps_comm</f>
        <v/>
      </c>
      <c r="BH1830" s="40">
        <f>BH1829*(1-IF(B1829&gt;=in_marketplace_from,d_hz_gold*G1829,0))</f>
        <v/>
      </c>
      <c r="BI1830" s="40">
        <f>BI1829*d_rho_gold+BH1830*IF(B1830&gt;=in_marketplace_from,d_hz_gold*G1830,0)</f>
        <v/>
      </c>
      <c r="BJ1830" s="14">
        <f>F1830*BI1830*in_gold_ticket*in_gold_comm</f>
        <v/>
      </c>
      <c r="BK1830" s="40">
        <f>BK1829*(1-IF(B1829&gt;=in_marketplace_from,d_hz_fd*G1829,0))</f>
        <v/>
      </c>
      <c r="BL1830" s="14">
        <f>F1830*BK1830*IF(B1830&gt;=in_marketplace_from,d_hz_fd*G1830,0)*in_fd_ticket*in_fd_comm</f>
        <v/>
      </c>
      <c r="BM1830" s="40">
        <f>BM1829*(1-IF(B1829&gt;=in_marketplace_from,d_hz_recharge*G1829,0))</f>
        <v/>
      </c>
      <c r="BN1830" s="40">
        <f>BN1829*d_rho_recharge+BM1830*IF(B1830&gt;=in_marketplace_from,d_hz_recharge*G1830,0)</f>
        <v/>
      </c>
      <c r="BO1830" s="14">
        <f>F1830*BN1830*in_recharge_ticket*in_recharge_comm/12</f>
        <v/>
      </c>
      <c r="BP1830" s="40">
        <f>BP1829*(1-IF(B1829&gt;=in_marketplace_from,d_hz_bills*G1829,0))</f>
        <v/>
      </c>
      <c r="BQ1830" s="40">
        <f>BQ1829*d_rho_bills+BP1830*IF(B1830&gt;=in_marketplace_from,d_hz_bills*G1830,0)</f>
        <v/>
      </c>
      <c r="BR1830" s="14">
        <f>F1830*BQ1830*in_bills_ticket*in_bills_comm/12</f>
        <v/>
      </c>
      <c r="BS1830" s="40">
        <f>BS1829*(1-IF(B1829&gt;=in_marketplace_from,d_hz_loan_gold*G1829,0))</f>
        <v/>
      </c>
      <c r="BT1830" s="14">
        <f>F1830*BS1830*IF(B1830&gt;=in_marketplace_from,d_hz_loan_gold*G1830,0)*in_loan_gold_ticket*in_loan_gold_comm</f>
        <v/>
      </c>
      <c r="BU1830" s="40">
        <f>BU1829*(1-IF(B1829&gt;=in_marketplace_from,d_hz_loan_cd*G1829,0))</f>
        <v/>
      </c>
      <c r="BV1830" s="14">
        <f>F1830*BU1830*IF(B1830&gt;=in_marketplace_from,d_hz_loan_cd*G1830,0)*in_loan_cd_ticket*in_loan_cd_comm</f>
        <v/>
      </c>
      <c r="BW1830" s="40">
        <f>BW1829*(1-IF(B1829&gt;=in_marketplace_from,d_hz_loan_vehicle*G1829,0))</f>
        <v/>
      </c>
      <c r="BX1830" s="14">
        <f>F1830*BW1830*IF(B1830&gt;=in_marketplace_from,d_hz_loan_vehicle*G1830,0)*in_loan_vehicle_ticket*in_loan_vehicle_comm</f>
        <v/>
      </c>
      <c r="BY1830" s="40">
        <f>BY1829*(1-IF(B1829&gt;=in_marketplace_from,d_hz_loan_home*G1829,0)*BZ1829)</f>
        <v/>
      </c>
      <c r="BZ1830" s="11">
        <f>MIN(in_approval_cap,in_loan_home_approval*INDEX('Age profile'!$O$2:$O$61,B1830)*(1+in_approval_growth)^(D1830-1))</f>
        <v/>
      </c>
      <c r="CA1830" s="14">
        <f>F1830*BY1830*IF(B1830&gt;=in_marketplace_from,d_hz_loan_home*G1830,0)*BZ1830*in_loan_home_ticket*in_loan_home_comm</f>
        <v/>
      </c>
      <c r="CB1830" s="40">
        <f>CB1829*(1-IF(B1829&gt;=in_marketplace_from,d_hz_loan_lap*G1829,0)*CC1829)</f>
        <v/>
      </c>
      <c r="CC1830" s="11">
        <f>MIN(in_approval_cap,in_loan_lap_approval*INDEX('Age profile'!$O$2:$O$61,B1830)*(1+in_approval_growth)^(D1830-1))</f>
        <v/>
      </c>
      <c r="CD1830" s="14">
        <f>F1830*CB1830*IF(B1830&gt;=in_marketplace_from,d_hz_loan_lap*G1830,0)*CC1830*in_loan_lap_ticket*in_loan_lap_comm</f>
        <v/>
      </c>
      <c r="CE1830" s="14">
        <f>AA1830+AB1830+AC1830+AD1830+AG1830+AJ1830+AM1830+AP1830+AS1830+AU1830+AX1830+BB1830+BE1830+BG1830+BJ1830+BL1830+BO1830+BR1830+BT1830+BV1830+BX1830+CA1830+CD1830</f>
        <v/>
      </c>
    </row>
    <row r="1831">
      <c r="A1831" s="39" t="n">
        <v>60</v>
      </c>
      <c r="B1831" s="39" t="n">
        <v>1</v>
      </c>
      <c r="C1831" s="39">
        <f>A1831+B1831-1</f>
        <v/>
      </c>
      <c r="D1831" s="39">
        <f>INT((C1831-1)/12)+1</f>
        <v/>
      </c>
      <c r="E1831" s="44">
        <f>INDEX(Monthly!$B$2:$B$61,A1831)</f>
        <v/>
      </c>
      <c r="F1831" s="44">
        <f>E1831*INDEX('Age profile'!$B$2:$B$61,B1831)</f>
        <v/>
      </c>
      <c r="G1831" s="45">
        <f>MIN(in_takeup_cap,INDEX('Age profile'!$N$2:$N$61,B1831)*(1+in_takeup_growth)^(D1831-1))</f>
        <v/>
      </c>
      <c r="H1831" s="11">
        <f>MIN(in_approval_cap,in_approved_first*INDEX('Age profile'!$O$2:$O$61,B1831)*(1+in_approval_growth)^(D1831-1))</f>
        <v/>
      </c>
      <c r="I1831" s="45">
        <f>G1831*MIN(in_takeup_cap,INDEX('Age profile'!$O$2:$O$61,B1831)*(1+in_approval_growth)^(D1831-1))</f>
        <v/>
      </c>
      <c r="J1831" s="40">
        <f>E1831</f>
        <v/>
      </c>
      <c r="K1831" s="40" t="n">
        <v>0</v>
      </c>
      <c r="L1831" s="40">
        <f>IF(B1831&gt;=in_marketplace_from,J1831*d_hz*G1831*in_eligible*H1831,0)</f>
        <v/>
      </c>
      <c r="M1831" s="40">
        <f>IF(B1831&gt;=in_marketplace_from,K1831*d_hz*G1831*in_eligible*in_approved_repeat,0)</f>
        <v/>
      </c>
      <c r="N1831" s="40">
        <f>L1831+M1831</f>
        <v/>
      </c>
      <c r="O1831" s="46">
        <f>N1831/F1831</f>
        <v/>
      </c>
      <c r="P1831" s="40">
        <f>F1831-J1831-K1831</f>
        <v/>
      </c>
      <c r="Q1831" s="40">
        <f>IF(B1831&gt;=in_marketplace_from,(J1831+K1831)*d_hz*G1831,0)</f>
        <v/>
      </c>
      <c r="R1831" s="40">
        <f>SUMIFS(N1831:N1831,B1831:B1831,"&gt;="&amp;(B1831-d_T),B1831:B1831,"&lt;="&amp;(B1831-1))</f>
        <v/>
      </c>
      <c r="S1831" s="46" t="n">
        <v>0</v>
      </c>
      <c r="T1831" s="40">
        <f>F1831*d_u*S1831</f>
        <v/>
      </c>
      <c r="U1831" s="9">
        <f>L1831*in_ticket+M1831*d_rep_ticket</f>
        <v/>
      </c>
      <c r="V1831" s="9">
        <f>U1831+T1831*d_topup_amt</f>
        <v/>
      </c>
      <c r="W1831" s="40">
        <f>N1831+T1831*d_topup_ratio</f>
        <v/>
      </c>
      <c r="X1831" s="40">
        <f>SUMIFS(W1831:W1831,B1831:B1831,B1831-in_dpd_lag)*d_cured</f>
        <v/>
      </c>
      <c r="Y1831" s="40">
        <f>SUMIFS(W1831:W1831,B1831:B1831,B1831-in_rec_lag)*d_recd</f>
        <v/>
      </c>
      <c r="Z1831" s="40">
        <f>IF(AND(B1831&gt;=in_marketplace_from,B1831&lt;in_marketplace_from+in_card_months),in_card_share/in_card_months*F1831*I1831,IF(AND(B1831&gt;=in_marketplace_from+in_card_months,B1831&lt;in_marketplace_from+2*in_card_months),in_card_share*d_card_rem/in_card_months*F1831*MIN(in_takeup_cap,(1+in_takeup_growth)^(D1831-1))*MIN(in_takeup_cap,(1+in_approval_growth)^(D1831-1)),0))</f>
        <v/>
      </c>
      <c r="AA1831" s="14">
        <f>V1831*in_fee*(1-in_taken_back)</f>
        <v/>
      </c>
      <c r="AB1831" s="14">
        <f>SUMIFS(W1831:W1831,B1831:B1831,B1831-in_dpd_lag)*d_dpd</f>
        <v/>
      </c>
      <c r="AC1831" s="14">
        <f>SUMIFS(W1831:W1831,B1831:B1831,B1831-in_rec_lag)*d_rec</f>
        <v/>
      </c>
      <c r="AD1831" s="14">
        <f>Z1831*in_card_fee</f>
        <v/>
      </c>
      <c r="AE1831" s="40" t="n">
        <v>1</v>
      </c>
      <c r="AF1831" s="46">
        <f>AE1831*IF(B1831&gt;=in_marketplace_from,d_hz_hlth_small*G1831,0)</f>
        <v/>
      </c>
      <c r="AG1831" s="14">
        <f>F1831*AF1831*in_hlth_small_ticket*in_hlth_small_comm*in_ins_partner_share+F1831*in_hlth_small_ticket*in_hlth_small_renew_comm*in_ins_partner_share*(in_hlth_small_renew^1*SUMIFS(AF1831:AF1831,B1831:B1831,B1831-12)+in_hlth_small_renew^2*SUMIFS(AF1831:AF1831,B1831:B1831,B1831-24)+in_hlth_small_renew^3*SUMIFS(AF1831:AF1831,B1831:B1831,B1831-36)+in_hlth_small_renew^4*SUMIFS(AF1831:AF1831,B1831:B1831,B1831-48))</f>
        <v/>
      </c>
      <c r="AH1831" s="40" t="n">
        <v>1</v>
      </c>
      <c r="AI1831" s="46">
        <f>AH1831*IF(B1831&gt;=in_marketplace_from,d_hz_hlth_family*G1831,0)</f>
        <v/>
      </c>
      <c r="AJ1831" s="14">
        <f>F1831*AI1831*in_hlth_family_ticket*in_hlth_family_comm*in_ins_partner_share+F1831*in_hlth_family_ticket*in_hlth_family_renew_comm*in_ins_partner_share*(in_hlth_family_renew^1*SUMIFS(AI1831:AI1831,B1831:B1831,B1831-12)+in_hlth_family_renew^2*SUMIFS(AI1831:AI1831,B1831:B1831,B1831-24)+in_hlth_family_renew^3*SUMIFS(AI1831:AI1831,B1831:B1831,B1831-36)+in_hlth_family_renew^4*SUMIFS(AI1831:AI1831,B1831:B1831,B1831-48))</f>
        <v/>
      </c>
      <c r="AK1831" s="40" t="n">
        <v>1</v>
      </c>
      <c r="AL1831" s="46">
        <f>AK1831*IF(B1831&gt;=in_marketplace_from,d_hz_life_term*G1831,0)</f>
        <v/>
      </c>
      <c r="AM1831" s="14">
        <f>F1831*AL1831*in_life_term_ticket*in_life_term_comm*in_ins_partner_share+F1831*in_life_term_ticket*in_life_term_renew_comm*in_ins_partner_share*(in_life_term_renew^1*SUMIFS(AL1831:AL1831,B1831:B1831,B1831-12)+in_life_term_renew^2*SUMIFS(AL1831:AL1831,B1831:B1831,B1831-24)+in_life_term_renew^3*SUMIFS(AL1831:AL1831,B1831:B1831,B1831-36)+in_life_term_renew^4*SUMIFS(AL1831:AL1831,B1831:B1831,B1831-48))</f>
        <v/>
      </c>
      <c r="AN1831" s="40" t="n">
        <v>1</v>
      </c>
      <c r="AO1831" s="46">
        <f>AN1831*IF(B1831&gt;=in_marketplace_from,d_hz_accident*G1831,0)</f>
        <v/>
      </c>
      <c r="AP1831" s="14">
        <f>F1831*AO1831*in_accident_ticket*in_accident_comm*in_ins_partner_share+F1831*in_accident_ticket*in_accident_renew_comm*in_ins_partner_share*(in_accident_renew^1*SUMIFS(AO1831:AO1831,B1831:B1831,B1831-12)+in_accident_renew^2*SUMIFS(AO1831:AO1831,B1831:B1831,B1831-24)+in_accident_renew^3*SUMIFS(AO1831:AO1831,B1831:B1831,B1831-36)+in_accident_renew^4*SUMIFS(AO1831:AO1831,B1831:B1831,B1831-48))</f>
        <v/>
      </c>
      <c r="AQ1831" s="40" t="n">
        <v>1</v>
      </c>
      <c r="AR1831" s="46">
        <f>AQ1831*IF(B1831&gt;=in_marketplace_from,d_hz_two_wheeler*G1831,0)</f>
        <v/>
      </c>
      <c r="AS1831" s="14">
        <f>F1831*AR1831*in_two_wheeler_ticket*in_two_wheeler_comm*in_ins_partner_share+F1831*in_two_wheeler_ticket*in_two_wheeler_comm*in_ins_partner_share*(in_two_wheeler_renew^1*SUMIFS(AR1831:AR1831,B1831:B1831,B1831-12)+in_two_wheeler_renew^2*SUMIFS(AR1831:AR1831,B1831:B1831,B1831-24)+in_two_wheeler_renew^3*SUMIFS(AR1831:AR1831,B1831:B1831,B1831-36)+in_two_wheeler_renew^4*SUMIFS(AR1831:AR1831,B1831:B1831,B1831-48))</f>
        <v/>
      </c>
      <c r="AT1831" s="40" t="n">
        <v>1</v>
      </c>
      <c r="AU1831" s="14">
        <f>F1831*AT1831*IF(B1831&gt;=in_marketplace_from,d_hz_device*G1831,0)*in_device_ticket*in_device_comm*in_ins_partner_share</f>
        <v/>
      </c>
      <c r="AV1831" s="40" t="n">
        <v>1</v>
      </c>
      <c r="AW1831" s="46">
        <f>AV1831*IF(B1831&gt;=in_marketplace_from,d_hz_shop*G1831,0)</f>
        <v/>
      </c>
      <c r="AX1831" s="14">
        <f>F1831*AW1831*in_shop_ticket*in_shop_comm*in_ins_partner_share+F1831*in_shop_ticket*in_shop_renew_comm*in_ins_partner_share*(in_shop_renew^1*SUMIFS(AW1831:AW1831,B1831:B1831,B1831-12)+in_shop_renew^2*SUMIFS(AW1831:AW1831,B1831:B1831,B1831-24)+in_shop_renew^3*SUMIFS(AW1831:AW1831,B1831:B1831,B1831-36)+in_shop_renew^4*SUMIFS(AW1831:AW1831,B1831:B1831,B1831-48))</f>
        <v/>
      </c>
      <c r="AY1831" s="40" t="n">
        <v>1</v>
      </c>
      <c r="AZ1831" s="40">
        <f>AY1831*IF(B1831&gt;=in_marketplace_from,d_hz_sip*G1831,0)</f>
        <v/>
      </c>
      <c r="BA1831" s="40" t="n">
        <v>0</v>
      </c>
      <c r="BB1831" s="14">
        <f>F1831*in_sip_ticket*(BA1831+0.5*AZ1831)*in_sip_comm/12</f>
        <v/>
      </c>
      <c r="BC1831" s="40" t="n">
        <v>1</v>
      </c>
      <c r="BD1831" s="46">
        <f>BC1831*IF(B1831&gt;=in_marketplace_from,d_hz_choti*G1831,0)</f>
        <v/>
      </c>
      <c r="BE1831" s="14">
        <f>F1831*SUMIFS(BD1831:BD1831,B1831:B1831,B1831-in_choti_months)*in_choti_renew*in_choti_ticket</f>
        <v/>
      </c>
      <c r="BF1831" s="40" t="n">
        <v>1</v>
      </c>
      <c r="BG1831" s="14">
        <f>F1831*BF1831*IF(B1831&gt;=in_marketplace_from,d_hz_nps*G1831,0)*in_nps_ticket*in_nps_comm</f>
        <v/>
      </c>
      <c r="BH1831" s="40" t="n">
        <v>1</v>
      </c>
      <c r="BI1831" s="40">
        <f>BH1831*IF(B1831&gt;=in_marketplace_from,d_hz_gold*G1831,0)</f>
        <v/>
      </c>
      <c r="BJ1831" s="14">
        <f>F1831*BI1831*in_gold_ticket*in_gold_comm</f>
        <v/>
      </c>
      <c r="BK1831" s="40" t="n">
        <v>1</v>
      </c>
      <c r="BL1831" s="14">
        <f>F1831*BK1831*IF(B1831&gt;=in_marketplace_from,d_hz_fd*G1831,0)*in_fd_ticket*in_fd_comm</f>
        <v/>
      </c>
      <c r="BM1831" s="40" t="n">
        <v>1</v>
      </c>
      <c r="BN1831" s="40">
        <f>BM1831*IF(B1831&gt;=in_marketplace_from,d_hz_recharge*G1831,0)</f>
        <v/>
      </c>
      <c r="BO1831" s="14">
        <f>F1831*BN1831*in_recharge_ticket*in_recharge_comm/12</f>
        <v/>
      </c>
      <c r="BP1831" s="40" t="n">
        <v>1</v>
      </c>
      <c r="BQ1831" s="40">
        <f>BP1831*IF(B1831&gt;=in_marketplace_from,d_hz_bills*G1831,0)</f>
        <v/>
      </c>
      <c r="BR1831" s="14">
        <f>F1831*BQ1831*in_bills_ticket*in_bills_comm/12</f>
        <v/>
      </c>
      <c r="BS1831" s="40" t="n">
        <v>1</v>
      </c>
      <c r="BT1831" s="14">
        <f>F1831*BS1831*IF(B1831&gt;=in_marketplace_from,d_hz_loan_gold*G1831,0)*in_loan_gold_ticket*in_loan_gold_comm</f>
        <v/>
      </c>
      <c r="BU1831" s="40" t="n">
        <v>1</v>
      </c>
      <c r="BV1831" s="14">
        <f>F1831*BU1831*IF(B1831&gt;=in_marketplace_from,d_hz_loan_cd*G1831,0)*in_loan_cd_ticket*in_loan_cd_comm</f>
        <v/>
      </c>
      <c r="BW1831" s="40" t="n">
        <v>1</v>
      </c>
      <c r="BX1831" s="14">
        <f>F1831*BW1831*IF(B1831&gt;=in_marketplace_from,d_hz_loan_vehicle*G1831,0)*in_loan_vehicle_ticket*in_loan_vehicle_comm</f>
        <v/>
      </c>
      <c r="BY1831" s="40" t="n">
        <v>1</v>
      </c>
      <c r="BZ1831" s="11">
        <f>MIN(in_approval_cap,in_loan_home_approval*INDEX('Age profile'!$O$2:$O$61,B1831)*(1+in_approval_growth)^(D1831-1))</f>
        <v/>
      </c>
      <c r="CA1831" s="14">
        <f>F1831*BY1831*IF(B1831&gt;=in_marketplace_from,d_hz_loan_home*G1831,0)*BZ1831*in_loan_home_ticket*in_loan_home_comm</f>
        <v/>
      </c>
      <c r="CB1831" s="40" t="n">
        <v>1</v>
      </c>
      <c r="CC1831" s="11">
        <f>MIN(in_approval_cap,in_loan_lap_approval*INDEX('Age profile'!$O$2:$O$61,B1831)*(1+in_approval_growth)^(D1831-1))</f>
        <v/>
      </c>
      <c r="CD1831" s="14">
        <f>F1831*CB1831*IF(B1831&gt;=in_marketplace_from,d_hz_loan_lap*G1831,0)*CC1831*in_loan_lap_ticket*in_loan_lap_comm</f>
        <v/>
      </c>
      <c r="CE1831" s="14">
        <f>AA1831+AB1831+AC1831+AD1831+AG1831+AJ1831+AM1831+AP1831+AS1831+AU1831+AX1831+BB1831+BE1831+BG1831+BJ1831+BL1831+BO1831+BR1831+BT1831+BV1831+BX1831+CA1831+CD1831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I6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s>
  <sheetData>
    <row r="1">
      <c r="A1" s="6" t="inlineStr">
        <is>
          <t>Age \ month</t>
        </is>
      </c>
      <c r="B1" s="6" t="n">
        <v>1</v>
      </c>
      <c r="C1" s="6" t="n">
        <v>2</v>
      </c>
      <c r="D1" s="6" t="n">
        <v>3</v>
      </c>
      <c r="E1" s="6" t="n">
        <v>4</v>
      </c>
      <c r="F1" s="6" t="n">
        <v>5</v>
      </c>
      <c r="G1" s="6" t="n">
        <v>6</v>
      </c>
      <c r="H1" s="6" t="n">
        <v>7</v>
      </c>
      <c r="I1" s="6" t="n">
        <v>8</v>
      </c>
      <c r="J1" s="6" t="n">
        <v>9</v>
      </c>
      <c r="K1" s="6" t="n">
        <v>10</v>
      </c>
      <c r="L1" s="6" t="n">
        <v>11</v>
      </c>
      <c r="M1" s="6" t="n">
        <v>12</v>
      </c>
      <c r="N1" s="6" t="n">
        <v>13</v>
      </c>
      <c r="O1" s="6" t="n">
        <v>14</v>
      </c>
      <c r="P1" s="6" t="n">
        <v>15</v>
      </c>
      <c r="Q1" s="6" t="n">
        <v>16</v>
      </c>
      <c r="R1" s="6" t="n">
        <v>17</v>
      </c>
      <c r="S1" s="6" t="n">
        <v>18</v>
      </c>
      <c r="T1" s="6" t="n">
        <v>19</v>
      </c>
      <c r="U1" s="6" t="n">
        <v>20</v>
      </c>
      <c r="V1" s="6" t="n">
        <v>21</v>
      </c>
      <c r="W1" s="6" t="n">
        <v>22</v>
      </c>
      <c r="X1" s="6" t="n">
        <v>23</v>
      </c>
      <c r="Y1" s="6" t="n">
        <v>24</v>
      </c>
      <c r="Z1" s="6" t="n">
        <v>25</v>
      </c>
      <c r="AA1" s="6" t="n">
        <v>26</v>
      </c>
      <c r="AB1" s="6" t="n">
        <v>27</v>
      </c>
      <c r="AC1" s="6" t="n">
        <v>28</v>
      </c>
      <c r="AD1" s="6" t="n">
        <v>29</v>
      </c>
      <c r="AE1" s="6" t="n">
        <v>30</v>
      </c>
      <c r="AF1" s="6" t="n">
        <v>31</v>
      </c>
      <c r="AG1" s="6" t="n">
        <v>32</v>
      </c>
      <c r="AH1" s="6" t="n">
        <v>33</v>
      </c>
      <c r="AI1" s="6" t="n">
        <v>34</v>
      </c>
      <c r="AJ1" s="6" t="n">
        <v>35</v>
      </c>
      <c r="AK1" s="6" t="n">
        <v>36</v>
      </c>
      <c r="AL1" s="6" t="n">
        <v>37</v>
      </c>
      <c r="AM1" s="6" t="n">
        <v>38</v>
      </c>
      <c r="AN1" s="6" t="n">
        <v>39</v>
      </c>
      <c r="AO1" s="6" t="n">
        <v>40</v>
      </c>
      <c r="AP1" s="6" t="n">
        <v>41</v>
      </c>
      <c r="AQ1" s="6" t="n">
        <v>42</v>
      </c>
      <c r="AR1" s="6" t="n">
        <v>43</v>
      </c>
      <c r="AS1" s="6" t="n">
        <v>44</v>
      </c>
      <c r="AT1" s="6" t="n">
        <v>45</v>
      </c>
      <c r="AU1" s="6" t="n">
        <v>46</v>
      </c>
      <c r="AV1" s="6" t="n">
        <v>47</v>
      </c>
      <c r="AW1" s="6" t="n">
        <v>48</v>
      </c>
      <c r="AX1" s="6" t="n">
        <v>49</v>
      </c>
      <c r="AY1" s="6" t="n">
        <v>50</v>
      </c>
      <c r="AZ1" s="6" t="n">
        <v>51</v>
      </c>
      <c r="BA1" s="6" t="n">
        <v>52</v>
      </c>
      <c r="BB1" s="6" t="n">
        <v>53</v>
      </c>
      <c r="BC1" s="6" t="n">
        <v>54</v>
      </c>
      <c r="BD1" s="6" t="n">
        <v>55</v>
      </c>
      <c r="BE1" s="6" t="n">
        <v>56</v>
      </c>
      <c r="BF1" s="6" t="n">
        <v>57</v>
      </c>
      <c r="BG1" s="6" t="n">
        <v>58</v>
      </c>
      <c r="BH1" s="6" t="n">
        <v>59</v>
      </c>
      <c r="BI1" s="6" t="n">
        <v>60</v>
      </c>
    </row>
    <row r="2">
      <c r="A2" s="3" t="n">
        <v>1</v>
      </c>
      <c r="B2" s="47">
        <f>IF($A2&lt;=B$1,INDEX(Monthly!$B$2:$B$61,B$1-$A2+1),0)</f>
        <v/>
      </c>
      <c r="C2" s="47">
        <f>IF($A2&lt;=C$1,INDEX(Monthly!$B$2:$B$61,C$1-$A2+1),0)</f>
        <v/>
      </c>
      <c r="D2" s="47">
        <f>IF($A2&lt;=D$1,INDEX(Monthly!$B$2:$B$61,D$1-$A2+1),0)</f>
        <v/>
      </c>
      <c r="E2" s="47">
        <f>IF($A2&lt;=E$1,INDEX(Monthly!$B$2:$B$61,E$1-$A2+1),0)</f>
        <v/>
      </c>
      <c r="F2" s="47">
        <f>IF($A2&lt;=F$1,INDEX(Monthly!$B$2:$B$61,F$1-$A2+1),0)</f>
        <v/>
      </c>
      <c r="G2" s="47">
        <f>IF($A2&lt;=G$1,INDEX(Monthly!$B$2:$B$61,G$1-$A2+1),0)</f>
        <v/>
      </c>
      <c r="H2" s="47">
        <f>IF($A2&lt;=H$1,INDEX(Monthly!$B$2:$B$61,H$1-$A2+1),0)</f>
        <v/>
      </c>
      <c r="I2" s="47">
        <f>IF($A2&lt;=I$1,INDEX(Monthly!$B$2:$B$61,I$1-$A2+1),0)</f>
        <v/>
      </c>
      <c r="J2" s="47">
        <f>IF($A2&lt;=J$1,INDEX(Monthly!$B$2:$B$61,J$1-$A2+1),0)</f>
        <v/>
      </c>
      <c r="K2" s="47">
        <f>IF($A2&lt;=K$1,INDEX(Monthly!$B$2:$B$61,K$1-$A2+1),0)</f>
        <v/>
      </c>
      <c r="L2" s="47">
        <f>IF($A2&lt;=L$1,INDEX(Monthly!$B$2:$B$61,L$1-$A2+1),0)</f>
        <v/>
      </c>
      <c r="M2" s="47">
        <f>IF($A2&lt;=M$1,INDEX(Monthly!$B$2:$B$61,M$1-$A2+1),0)</f>
        <v/>
      </c>
      <c r="N2" s="47">
        <f>IF($A2&lt;=N$1,INDEX(Monthly!$B$2:$B$61,N$1-$A2+1),0)</f>
        <v/>
      </c>
      <c r="O2" s="47">
        <f>IF($A2&lt;=O$1,INDEX(Monthly!$B$2:$B$61,O$1-$A2+1),0)</f>
        <v/>
      </c>
      <c r="P2" s="47">
        <f>IF($A2&lt;=P$1,INDEX(Monthly!$B$2:$B$61,P$1-$A2+1),0)</f>
        <v/>
      </c>
      <c r="Q2" s="47">
        <f>IF($A2&lt;=Q$1,INDEX(Monthly!$B$2:$B$61,Q$1-$A2+1),0)</f>
        <v/>
      </c>
      <c r="R2" s="47">
        <f>IF($A2&lt;=R$1,INDEX(Monthly!$B$2:$B$61,R$1-$A2+1),0)</f>
        <v/>
      </c>
      <c r="S2" s="47">
        <f>IF($A2&lt;=S$1,INDEX(Monthly!$B$2:$B$61,S$1-$A2+1),0)</f>
        <v/>
      </c>
      <c r="T2" s="47">
        <f>IF($A2&lt;=T$1,INDEX(Monthly!$B$2:$B$61,T$1-$A2+1),0)</f>
        <v/>
      </c>
      <c r="U2" s="47">
        <f>IF($A2&lt;=U$1,INDEX(Monthly!$B$2:$B$61,U$1-$A2+1),0)</f>
        <v/>
      </c>
      <c r="V2" s="47">
        <f>IF($A2&lt;=V$1,INDEX(Monthly!$B$2:$B$61,V$1-$A2+1),0)</f>
        <v/>
      </c>
      <c r="W2" s="47">
        <f>IF($A2&lt;=W$1,INDEX(Monthly!$B$2:$B$61,W$1-$A2+1),0)</f>
        <v/>
      </c>
      <c r="X2" s="47">
        <f>IF($A2&lt;=X$1,INDEX(Monthly!$B$2:$B$61,X$1-$A2+1),0)</f>
        <v/>
      </c>
      <c r="Y2" s="47">
        <f>IF($A2&lt;=Y$1,INDEX(Monthly!$B$2:$B$61,Y$1-$A2+1),0)</f>
        <v/>
      </c>
      <c r="Z2" s="47">
        <f>IF($A2&lt;=Z$1,INDEX(Monthly!$B$2:$B$61,Z$1-$A2+1),0)</f>
        <v/>
      </c>
      <c r="AA2" s="47">
        <f>IF($A2&lt;=AA$1,INDEX(Monthly!$B$2:$B$61,AA$1-$A2+1),0)</f>
        <v/>
      </c>
      <c r="AB2" s="47">
        <f>IF($A2&lt;=AB$1,INDEX(Monthly!$B$2:$B$61,AB$1-$A2+1),0)</f>
        <v/>
      </c>
      <c r="AC2" s="47">
        <f>IF($A2&lt;=AC$1,INDEX(Monthly!$B$2:$B$61,AC$1-$A2+1),0)</f>
        <v/>
      </c>
      <c r="AD2" s="47">
        <f>IF($A2&lt;=AD$1,INDEX(Monthly!$B$2:$B$61,AD$1-$A2+1),0)</f>
        <v/>
      </c>
      <c r="AE2" s="47">
        <f>IF($A2&lt;=AE$1,INDEX(Monthly!$B$2:$B$61,AE$1-$A2+1),0)</f>
        <v/>
      </c>
      <c r="AF2" s="47">
        <f>IF($A2&lt;=AF$1,INDEX(Monthly!$B$2:$B$61,AF$1-$A2+1),0)</f>
        <v/>
      </c>
      <c r="AG2" s="47">
        <f>IF($A2&lt;=AG$1,INDEX(Monthly!$B$2:$B$61,AG$1-$A2+1),0)</f>
        <v/>
      </c>
      <c r="AH2" s="47">
        <f>IF($A2&lt;=AH$1,INDEX(Monthly!$B$2:$B$61,AH$1-$A2+1),0)</f>
        <v/>
      </c>
      <c r="AI2" s="47">
        <f>IF($A2&lt;=AI$1,INDEX(Monthly!$B$2:$B$61,AI$1-$A2+1),0)</f>
        <v/>
      </c>
      <c r="AJ2" s="47">
        <f>IF($A2&lt;=AJ$1,INDEX(Monthly!$B$2:$B$61,AJ$1-$A2+1),0)</f>
        <v/>
      </c>
      <c r="AK2" s="47">
        <f>IF($A2&lt;=AK$1,INDEX(Monthly!$B$2:$B$61,AK$1-$A2+1),0)</f>
        <v/>
      </c>
      <c r="AL2" s="47">
        <f>IF($A2&lt;=AL$1,INDEX(Monthly!$B$2:$B$61,AL$1-$A2+1),0)</f>
        <v/>
      </c>
      <c r="AM2" s="47">
        <f>IF($A2&lt;=AM$1,INDEX(Monthly!$B$2:$B$61,AM$1-$A2+1),0)</f>
        <v/>
      </c>
      <c r="AN2" s="47">
        <f>IF($A2&lt;=AN$1,INDEX(Monthly!$B$2:$B$61,AN$1-$A2+1),0)</f>
        <v/>
      </c>
      <c r="AO2" s="47">
        <f>IF($A2&lt;=AO$1,INDEX(Monthly!$B$2:$B$61,AO$1-$A2+1),0)</f>
        <v/>
      </c>
      <c r="AP2" s="47">
        <f>IF($A2&lt;=AP$1,INDEX(Monthly!$B$2:$B$61,AP$1-$A2+1),0)</f>
        <v/>
      </c>
      <c r="AQ2" s="47">
        <f>IF($A2&lt;=AQ$1,INDEX(Monthly!$B$2:$B$61,AQ$1-$A2+1),0)</f>
        <v/>
      </c>
      <c r="AR2" s="47">
        <f>IF($A2&lt;=AR$1,INDEX(Monthly!$B$2:$B$61,AR$1-$A2+1),0)</f>
        <v/>
      </c>
      <c r="AS2" s="47">
        <f>IF($A2&lt;=AS$1,INDEX(Monthly!$B$2:$B$61,AS$1-$A2+1),0)</f>
        <v/>
      </c>
      <c r="AT2" s="47">
        <f>IF($A2&lt;=AT$1,INDEX(Monthly!$B$2:$B$61,AT$1-$A2+1),0)</f>
        <v/>
      </c>
      <c r="AU2" s="47">
        <f>IF($A2&lt;=AU$1,INDEX(Monthly!$B$2:$B$61,AU$1-$A2+1),0)</f>
        <v/>
      </c>
      <c r="AV2" s="47">
        <f>IF($A2&lt;=AV$1,INDEX(Monthly!$B$2:$B$61,AV$1-$A2+1),0)</f>
        <v/>
      </c>
      <c r="AW2" s="47">
        <f>IF($A2&lt;=AW$1,INDEX(Monthly!$B$2:$B$61,AW$1-$A2+1),0)</f>
        <v/>
      </c>
      <c r="AX2" s="47">
        <f>IF($A2&lt;=AX$1,INDEX(Monthly!$B$2:$B$61,AX$1-$A2+1),0)</f>
        <v/>
      </c>
      <c r="AY2" s="47">
        <f>IF($A2&lt;=AY$1,INDEX(Monthly!$B$2:$B$61,AY$1-$A2+1),0)</f>
        <v/>
      </c>
      <c r="AZ2" s="47">
        <f>IF($A2&lt;=AZ$1,INDEX(Monthly!$B$2:$B$61,AZ$1-$A2+1),0)</f>
        <v/>
      </c>
      <c r="BA2" s="47">
        <f>IF($A2&lt;=BA$1,INDEX(Monthly!$B$2:$B$61,BA$1-$A2+1),0)</f>
        <v/>
      </c>
      <c r="BB2" s="47">
        <f>IF($A2&lt;=BB$1,INDEX(Monthly!$B$2:$B$61,BB$1-$A2+1),0)</f>
        <v/>
      </c>
      <c r="BC2" s="47">
        <f>IF($A2&lt;=BC$1,INDEX(Monthly!$B$2:$B$61,BC$1-$A2+1),0)</f>
        <v/>
      </c>
      <c r="BD2" s="47">
        <f>IF($A2&lt;=BD$1,INDEX(Monthly!$B$2:$B$61,BD$1-$A2+1),0)</f>
        <v/>
      </c>
      <c r="BE2" s="47">
        <f>IF($A2&lt;=BE$1,INDEX(Monthly!$B$2:$B$61,BE$1-$A2+1),0)</f>
        <v/>
      </c>
      <c r="BF2" s="47">
        <f>IF($A2&lt;=BF$1,INDEX(Monthly!$B$2:$B$61,BF$1-$A2+1),0)</f>
        <v/>
      </c>
      <c r="BG2" s="47">
        <f>IF($A2&lt;=BG$1,INDEX(Monthly!$B$2:$B$61,BG$1-$A2+1),0)</f>
        <v/>
      </c>
      <c r="BH2" s="47">
        <f>IF($A2&lt;=BH$1,INDEX(Monthly!$B$2:$B$61,BH$1-$A2+1),0)</f>
        <v/>
      </c>
      <c r="BI2" s="47">
        <f>IF($A2&lt;=BI$1,INDEX(Monthly!$B$2:$B$61,BI$1-$A2+1),0)</f>
        <v/>
      </c>
    </row>
    <row r="3">
      <c r="A3" s="3" t="n">
        <v>2</v>
      </c>
      <c r="B3" s="47">
        <f>IF($A3&lt;=B$1,INDEX(Monthly!$B$2:$B$61,B$1-$A3+1),0)</f>
        <v/>
      </c>
      <c r="C3" s="47">
        <f>IF($A3&lt;=C$1,INDEX(Monthly!$B$2:$B$61,C$1-$A3+1),0)</f>
        <v/>
      </c>
      <c r="D3" s="47">
        <f>IF($A3&lt;=D$1,INDEX(Monthly!$B$2:$B$61,D$1-$A3+1),0)</f>
        <v/>
      </c>
      <c r="E3" s="47">
        <f>IF($A3&lt;=E$1,INDEX(Monthly!$B$2:$B$61,E$1-$A3+1),0)</f>
        <v/>
      </c>
      <c r="F3" s="47">
        <f>IF($A3&lt;=F$1,INDEX(Monthly!$B$2:$B$61,F$1-$A3+1),0)</f>
        <v/>
      </c>
      <c r="G3" s="47">
        <f>IF($A3&lt;=G$1,INDEX(Monthly!$B$2:$B$61,G$1-$A3+1),0)</f>
        <v/>
      </c>
      <c r="H3" s="47">
        <f>IF($A3&lt;=H$1,INDEX(Monthly!$B$2:$B$61,H$1-$A3+1),0)</f>
        <v/>
      </c>
      <c r="I3" s="47">
        <f>IF($A3&lt;=I$1,INDEX(Monthly!$B$2:$B$61,I$1-$A3+1),0)</f>
        <v/>
      </c>
      <c r="J3" s="47">
        <f>IF($A3&lt;=J$1,INDEX(Monthly!$B$2:$B$61,J$1-$A3+1),0)</f>
        <v/>
      </c>
      <c r="K3" s="47">
        <f>IF($A3&lt;=K$1,INDEX(Monthly!$B$2:$B$61,K$1-$A3+1),0)</f>
        <v/>
      </c>
      <c r="L3" s="47">
        <f>IF($A3&lt;=L$1,INDEX(Monthly!$B$2:$B$61,L$1-$A3+1),0)</f>
        <v/>
      </c>
      <c r="M3" s="47">
        <f>IF($A3&lt;=M$1,INDEX(Monthly!$B$2:$B$61,M$1-$A3+1),0)</f>
        <v/>
      </c>
      <c r="N3" s="47">
        <f>IF($A3&lt;=N$1,INDEX(Monthly!$B$2:$B$61,N$1-$A3+1),0)</f>
        <v/>
      </c>
      <c r="O3" s="47">
        <f>IF($A3&lt;=O$1,INDEX(Monthly!$B$2:$B$61,O$1-$A3+1),0)</f>
        <v/>
      </c>
      <c r="P3" s="47">
        <f>IF($A3&lt;=P$1,INDEX(Monthly!$B$2:$B$61,P$1-$A3+1),0)</f>
        <v/>
      </c>
      <c r="Q3" s="47">
        <f>IF($A3&lt;=Q$1,INDEX(Monthly!$B$2:$B$61,Q$1-$A3+1),0)</f>
        <v/>
      </c>
      <c r="R3" s="47">
        <f>IF($A3&lt;=R$1,INDEX(Monthly!$B$2:$B$61,R$1-$A3+1),0)</f>
        <v/>
      </c>
      <c r="S3" s="47">
        <f>IF($A3&lt;=S$1,INDEX(Monthly!$B$2:$B$61,S$1-$A3+1),0)</f>
        <v/>
      </c>
      <c r="T3" s="47">
        <f>IF($A3&lt;=T$1,INDEX(Monthly!$B$2:$B$61,T$1-$A3+1),0)</f>
        <v/>
      </c>
      <c r="U3" s="47">
        <f>IF($A3&lt;=U$1,INDEX(Monthly!$B$2:$B$61,U$1-$A3+1),0)</f>
        <v/>
      </c>
      <c r="V3" s="47">
        <f>IF($A3&lt;=V$1,INDEX(Monthly!$B$2:$B$61,V$1-$A3+1),0)</f>
        <v/>
      </c>
      <c r="W3" s="47">
        <f>IF($A3&lt;=W$1,INDEX(Monthly!$B$2:$B$61,W$1-$A3+1),0)</f>
        <v/>
      </c>
      <c r="X3" s="47">
        <f>IF($A3&lt;=X$1,INDEX(Monthly!$B$2:$B$61,X$1-$A3+1),0)</f>
        <v/>
      </c>
      <c r="Y3" s="47">
        <f>IF($A3&lt;=Y$1,INDEX(Monthly!$B$2:$B$61,Y$1-$A3+1),0)</f>
        <v/>
      </c>
      <c r="Z3" s="47">
        <f>IF($A3&lt;=Z$1,INDEX(Monthly!$B$2:$B$61,Z$1-$A3+1),0)</f>
        <v/>
      </c>
      <c r="AA3" s="47">
        <f>IF($A3&lt;=AA$1,INDEX(Monthly!$B$2:$B$61,AA$1-$A3+1),0)</f>
        <v/>
      </c>
      <c r="AB3" s="47">
        <f>IF($A3&lt;=AB$1,INDEX(Monthly!$B$2:$B$61,AB$1-$A3+1),0)</f>
        <v/>
      </c>
      <c r="AC3" s="47">
        <f>IF($A3&lt;=AC$1,INDEX(Monthly!$B$2:$B$61,AC$1-$A3+1),0)</f>
        <v/>
      </c>
      <c r="AD3" s="47">
        <f>IF($A3&lt;=AD$1,INDEX(Monthly!$B$2:$B$61,AD$1-$A3+1),0)</f>
        <v/>
      </c>
      <c r="AE3" s="47">
        <f>IF($A3&lt;=AE$1,INDEX(Monthly!$B$2:$B$61,AE$1-$A3+1),0)</f>
        <v/>
      </c>
      <c r="AF3" s="47">
        <f>IF($A3&lt;=AF$1,INDEX(Monthly!$B$2:$B$61,AF$1-$A3+1),0)</f>
        <v/>
      </c>
      <c r="AG3" s="47">
        <f>IF($A3&lt;=AG$1,INDEX(Monthly!$B$2:$B$61,AG$1-$A3+1),0)</f>
        <v/>
      </c>
      <c r="AH3" s="47">
        <f>IF($A3&lt;=AH$1,INDEX(Monthly!$B$2:$B$61,AH$1-$A3+1),0)</f>
        <v/>
      </c>
      <c r="AI3" s="47">
        <f>IF($A3&lt;=AI$1,INDEX(Monthly!$B$2:$B$61,AI$1-$A3+1),0)</f>
        <v/>
      </c>
      <c r="AJ3" s="47">
        <f>IF($A3&lt;=AJ$1,INDEX(Monthly!$B$2:$B$61,AJ$1-$A3+1),0)</f>
        <v/>
      </c>
      <c r="AK3" s="47">
        <f>IF($A3&lt;=AK$1,INDEX(Monthly!$B$2:$B$61,AK$1-$A3+1),0)</f>
        <v/>
      </c>
      <c r="AL3" s="47">
        <f>IF($A3&lt;=AL$1,INDEX(Monthly!$B$2:$B$61,AL$1-$A3+1),0)</f>
        <v/>
      </c>
      <c r="AM3" s="47">
        <f>IF($A3&lt;=AM$1,INDEX(Monthly!$B$2:$B$61,AM$1-$A3+1),0)</f>
        <v/>
      </c>
      <c r="AN3" s="47">
        <f>IF($A3&lt;=AN$1,INDEX(Monthly!$B$2:$B$61,AN$1-$A3+1),0)</f>
        <v/>
      </c>
      <c r="AO3" s="47">
        <f>IF($A3&lt;=AO$1,INDEX(Monthly!$B$2:$B$61,AO$1-$A3+1),0)</f>
        <v/>
      </c>
      <c r="AP3" s="47">
        <f>IF($A3&lt;=AP$1,INDEX(Monthly!$B$2:$B$61,AP$1-$A3+1),0)</f>
        <v/>
      </c>
      <c r="AQ3" s="47">
        <f>IF($A3&lt;=AQ$1,INDEX(Monthly!$B$2:$B$61,AQ$1-$A3+1),0)</f>
        <v/>
      </c>
      <c r="AR3" s="47">
        <f>IF($A3&lt;=AR$1,INDEX(Monthly!$B$2:$B$61,AR$1-$A3+1),0)</f>
        <v/>
      </c>
      <c r="AS3" s="47">
        <f>IF($A3&lt;=AS$1,INDEX(Monthly!$B$2:$B$61,AS$1-$A3+1),0)</f>
        <v/>
      </c>
      <c r="AT3" s="47">
        <f>IF($A3&lt;=AT$1,INDEX(Monthly!$B$2:$B$61,AT$1-$A3+1),0)</f>
        <v/>
      </c>
      <c r="AU3" s="47">
        <f>IF($A3&lt;=AU$1,INDEX(Monthly!$B$2:$B$61,AU$1-$A3+1),0)</f>
        <v/>
      </c>
      <c r="AV3" s="47">
        <f>IF($A3&lt;=AV$1,INDEX(Monthly!$B$2:$B$61,AV$1-$A3+1),0)</f>
        <v/>
      </c>
      <c r="AW3" s="47">
        <f>IF($A3&lt;=AW$1,INDEX(Monthly!$B$2:$B$61,AW$1-$A3+1),0)</f>
        <v/>
      </c>
      <c r="AX3" s="47">
        <f>IF($A3&lt;=AX$1,INDEX(Monthly!$B$2:$B$61,AX$1-$A3+1),0)</f>
        <v/>
      </c>
      <c r="AY3" s="47">
        <f>IF($A3&lt;=AY$1,INDEX(Monthly!$B$2:$B$61,AY$1-$A3+1),0)</f>
        <v/>
      </c>
      <c r="AZ3" s="47">
        <f>IF($A3&lt;=AZ$1,INDEX(Monthly!$B$2:$B$61,AZ$1-$A3+1),0)</f>
        <v/>
      </c>
      <c r="BA3" s="47">
        <f>IF($A3&lt;=BA$1,INDEX(Monthly!$B$2:$B$61,BA$1-$A3+1),0)</f>
        <v/>
      </c>
      <c r="BB3" s="47">
        <f>IF($A3&lt;=BB$1,INDEX(Monthly!$B$2:$B$61,BB$1-$A3+1),0)</f>
        <v/>
      </c>
      <c r="BC3" s="47">
        <f>IF($A3&lt;=BC$1,INDEX(Monthly!$B$2:$B$61,BC$1-$A3+1),0)</f>
        <v/>
      </c>
      <c r="BD3" s="47">
        <f>IF($A3&lt;=BD$1,INDEX(Monthly!$B$2:$B$61,BD$1-$A3+1),0)</f>
        <v/>
      </c>
      <c r="BE3" s="47">
        <f>IF($A3&lt;=BE$1,INDEX(Monthly!$B$2:$B$61,BE$1-$A3+1),0)</f>
        <v/>
      </c>
      <c r="BF3" s="47">
        <f>IF($A3&lt;=BF$1,INDEX(Monthly!$B$2:$B$61,BF$1-$A3+1),0)</f>
        <v/>
      </c>
      <c r="BG3" s="47">
        <f>IF($A3&lt;=BG$1,INDEX(Monthly!$B$2:$B$61,BG$1-$A3+1),0)</f>
        <v/>
      </c>
      <c r="BH3" s="47">
        <f>IF($A3&lt;=BH$1,INDEX(Monthly!$B$2:$B$61,BH$1-$A3+1),0)</f>
        <v/>
      </c>
      <c r="BI3" s="47">
        <f>IF($A3&lt;=BI$1,INDEX(Monthly!$B$2:$B$61,BI$1-$A3+1),0)</f>
        <v/>
      </c>
    </row>
    <row r="4">
      <c r="A4" s="3" t="n">
        <v>3</v>
      </c>
      <c r="B4" s="47">
        <f>IF($A4&lt;=B$1,INDEX(Monthly!$B$2:$B$61,B$1-$A4+1),0)</f>
        <v/>
      </c>
      <c r="C4" s="47">
        <f>IF($A4&lt;=C$1,INDEX(Monthly!$B$2:$B$61,C$1-$A4+1),0)</f>
        <v/>
      </c>
      <c r="D4" s="47">
        <f>IF($A4&lt;=D$1,INDEX(Monthly!$B$2:$B$61,D$1-$A4+1),0)</f>
        <v/>
      </c>
      <c r="E4" s="47">
        <f>IF($A4&lt;=E$1,INDEX(Monthly!$B$2:$B$61,E$1-$A4+1),0)</f>
        <v/>
      </c>
      <c r="F4" s="47">
        <f>IF($A4&lt;=F$1,INDEX(Monthly!$B$2:$B$61,F$1-$A4+1),0)</f>
        <v/>
      </c>
      <c r="G4" s="47">
        <f>IF($A4&lt;=G$1,INDEX(Monthly!$B$2:$B$61,G$1-$A4+1),0)</f>
        <v/>
      </c>
      <c r="H4" s="47">
        <f>IF($A4&lt;=H$1,INDEX(Monthly!$B$2:$B$61,H$1-$A4+1),0)</f>
        <v/>
      </c>
      <c r="I4" s="47">
        <f>IF($A4&lt;=I$1,INDEX(Monthly!$B$2:$B$61,I$1-$A4+1),0)</f>
        <v/>
      </c>
      <c r="J4" s="47">
        <f>IF($A4&lt;=J$1,INDEX(Monthly!$B$2:$B$61,J$1-$A4+1),0)</f>
        <v/>
      </c>
      <c r="K4" s="47">
        <f>IF($A4&lt;=K$1,INDEX(Monthly!$B$2:$B$61,K$1-$A4+1),0)</f>
        <v/>
      </c>
      <c r="L4" s="47">
        <f>IF($A4&lt;=L$1,INDEX(Monthly!$B$2:$B$61,L$1-$A4+1),0)</f>
        <v/>
      </c>
      <c r="M4" s="47">
        <f>IF($A4&lt;=M$1,INDEX(Monthly!$B$2:$B$61,M$1-$A4+1),0)</f>
        <v/>
      </c>
      <c r="N4" s="47">
        <f>IF($A4&lt;=N$1,INDEX(Monthly!$B$2:$B$61,N$1-$A4+1),0)</f>
        <v/>
      </c>
      <c r="O4" s="47">
        <f>IF($A4&lt;=O$1,INDEX(Monthly!$B$2:$B$61,O$1-$A4+1),0)</f>
        <v/>
      </c>
      <c r="P4" s="47">
        <f>IF($A4&lt;=P$1,INDEX(Monthly!$B$2:$B$61,P$1-$A4+1),0)</f>
        <v/>
      </c>
      <c r="Q4" s="47">
        <f>IF($A4&lt;=Q$1,INDEX(Monthly!$B$2:$B$61,Q$1-$A4+1),0)</f>
        <v/>
      </c>
      <c r="R4" s="47">
        <f>IF($A4&lt;=R$1,INDEX(Monthly!$B$2:$B$61,R$1-$A4+1),0)</f>
        <v/>
      </c>
      <c r="S4" s="47">
        <f>IF($A4&lt;=S$1,INDEX(Monthly!$B$2:$B$61,S$1-$A4+1),0)</f>
        <v/>
      </c>
      <c r="T4" s="47">
        <f>IF($A4&lt;=T$1,INDEX(Monthly!$B$2:$B$61,T$1-$A4+1),0)</f>
        <v/>
      </c>
      <c r="U4" s="47">
        <f>IF($A4&lt;=U$1,INDEX(Monthly!$B$2:$B$61,U$1-$A4+1),0)</f>
        <v/>
      </c>
      <c r="V4" s="47">
        <f>IF($A4&lt;=V$1,INDEX(Monthly!$B$2:$B$61,V$1-$A4+1),0)</f>
        <v/>
      </c>
      <c r="W4" s="47">
        <f>IF($A4&lt;=W$1,INDEX(Monthly!$B$2:$B$61,W$1-$A4+1),0)</f>
        <v/>
      </c>
      <c r="X4" s="47">
        <f>IF($A4&lt;=X$1,INDEX(Monthly!$B$2:$B$61,X$1-$A4+1),0)</f>
        <v/>
      </c>
      <c r="Y4" s="47">
        <f>IF($A4&lt;=Y$1,INDEX(Monthly!$B$2:$B$61,Y$1-$A4+1),0)</f>
        <v/>
      </c>
      <c r="Z4" s="47">
        <f>IF($A4&lt;=Z$1,INDEX(Monthly!$B$2:$B$61,Z$1-$A4+1),0)</f>
        <v/>
      </c>
      <c r="AA4" s="47">
        <f>IF($A4&lt;=AA$1,INDEX(Monthly!$B$2:$B$61,AA$1-$A4+1),0)</f>
        <v/>
      </c>
      <c r="AB4" s="47">
        <f>IF($A4&lt;=AB$1,INDEX(Monthly!$B$2:$B$61,AB$1-$A4+1),0)</f>
        <v/>
      </c>
      <c r="AC4" s="47">
        <f>IF($A4&lt;=AC$1,INDEX(Monthly!$B$2:$B$61,AC$1-$A4+1),0)</f>
        <v/>
      </c>
      <c r="AD4" s="47">
        <f>IF($A4&lt;=AD$1,INDEX(Monthly!$B$2:$B$61,AD$1-$A4+1),0)</f>
        <v/>
      </c>
      <c r="AE4" s="47">
        <f>IF($A4&lt;=AE$1,INDEX(Monthly!$B$2:$B$61,AE$1-$A4+1),0)</f>
        <v/>
      </c>
      <c r="AF4" s="47">
        <f>IF($A4&lt;=AF$1,INDEX(Monthly!$B$2:$B$61,AF$1-$A4+1),0)</f>
        <v/>
      </c>
      <c r="AG4" s="47">
        <f>IF($A4&lt;=AG$1,INDEX(Monthly!$B$2:$B$61,AG$1-$A4+1),0)</f>
        <v/>
      </c>
      <c r="AH4" s="47">
        <f>IF($A4&lt;=AH$1,INDEX(Monthly!$B$2:$B$61,AH$1-$A4+1),0)</f>
        <v/>
      </c>
      <c r="AI4" s="47">
        <f>IF($A4&lt;=AI$1,INDEX(Monthly!$B$2:$B$61,AI$1-$A4+1),0)</f>
        <v/>
      </c>
      <c r="AJ4" s="47">
        <f>IF($A4&lt;=AJ$1,INDEX(Monthly!$B$2:$B$61,AJ$1-$A4+1),0)</f>
        <v/>
      </c>
      <c r="AK4" s="47">
        <f>IF($A4&lt;=AK$1,INDEX(Monthly!$B$2:$B$61,AK$1-$A4+1),0)</f>
        <v/>
      </c>
      <c r="AL4" s="47">
        <f>IF($A4&lt;=AL$1,INDEX(Monthly!$B$2:$B$61,AL$1-$A4+1),0)</f>
        <v/>
      </c>
      <c r="AM4" s="47">
        <f>IF($A4&lt;=AM$1,INDEX(Monthly!$B$2:$B$61,AM$1-$A4+1),0)</f>
        <v/>
      </c>
      <c r="AN4" s="47">
        <f>IF($A4&lt;=AN$1,INDEX(Monthly!$B$2:$B$61,AN$1-$A4+1),0)</f>
        <v/>
      </c>
      <c r="AO4" s="47">
        <f>IF($A4&lt;=AO$1,INDEX(Monthly!$B$2:$B$61,AO$1-$A4+1),0)</f>
        <v/>
      </c>
      <c r="AP4" s="47">
        <f>IF($A4&lt;=AP$1,INDEX(Monthly!$B$2:$B$61,AP$1-$A4+1),0)</f>
        <v/>
      </c>
      <c r="AQ4" s="47">
        <f>IF($A4&lt;=AQ$1,INDEX(Monthly!$B$2:$B$61,AQ$1-$A4+1),0)</f>
        <v/>
      </c>
      <c r="AR4" s="47">
        <f>IF($A4&lt;=AR$1,INDEX(Monthly!$B$2:$B$61,AR$1-$A4+1),0)</f>
        <v/>
      </c>
      <c r="AS4" s="47">
        <f>IF($A4&lt;=AS$1,INDEX(Monthly!$B$2:$B$61,AS$1-$A4+1),0)</f>
        <v/>
      </c>
      <c r="AT4" s="47">
        <f>IF($A4&lt;=AT$1,INDEX(Monthly!$B$2:$B$61,AT$1-$A4+1),0)</f>
        <v/>
      </c>
      <c r="AU4" s="47">
        <f>IF($A4&lt;=AU$1,INDEX(Monthly!$B$2:$B$61,AU$1-$A4+1),0)</f>
        <v/>
      </c>
      <c r="AV4" s="47">
        <f>IF($A4&lt;=AV$1,INDEX(Monthly!$B$2:$B$61,AV$1-$A4+1),0)</f>
        <v/>
      </c>
      <c r="AW4" s="47">
        <f>IF($A4&lt;=AW$1,INDEX(Monthly!$B$2:$B$61,AW$1-$A4+1),0)</f>
        <v/>
      </c>
      <c r="AX4" s="47">
        <f>IF($A4&lt;=AX$1,INDEX(Monthly!$B$2:$B$61,AX$1-$A4+1),0)</f>
        <v/>
      </c>
      <c r="AY4" s="47">
        <f>IF($A4&lt;=AY$1,INDEX(Monthly!$B$2:$B$61,AY$1-$A4+1),0)</f>
        <v/>
      </c>
      <c r="AZ4" s="47">
        <f>IF($A4&lt;=AZ$1,INDEX(Monthly!$B$2:$B$61,AZ$1-$A4+1),0)</f>
        <v/>
      </c>
      <c r="BA4" s="47">
        <f>IF($A4&lt;=BA$1,INDEX(Monthly!$B$2:$B$61,BA$1-$A4+1),0)</f>
        <v/>
      </c>
      <c r="BB4" s="47">
        <f>IF($A4&lt;=BB$1,INDEX(Monthly!$B$2:$B$61,BB$1-$A4+1),0)</f>
        <v/>
      </c>
      <c r="BC4" s="47">
        <f>IF($A4&lt;=BC$1,INDEX(Monthly!$B$2:$B$61,BC$1-$A4+1),0)</f>
        <v/>
      </c>
      <c r="BD4" s="47">
        <f>IF($A4&lt;=BD$1,INDEX(Monthly!$B$2:$B$61,BD$1-$A4+1),0)</f>
        <v/>
      </c>
      <c r="BE4" s="47">
        <f>IF($A4&lt;=BE$1,INDEX(Monthly!$B$2:$B$61,BE$1-$A4+1),0)</f>
        <v/>
      </c>
      <c r="BF4" s="47">
        <f>IF($A4&lt;=BF$1,INDEX(Monthly!$B$2:$B$61,BF$1-$A4+1),0)</f>
        <v/>
      </c>
      <c r="BG4" s="47">
        <f>IF($A4&lt;=BG$1,INDEX(Monthly!$B$2:$B$61,BG$1-$A4+1),0)</f>
        <v/>
      </c>
      <c r="BH4" s="47">
        <f>IF($A4&lt;=BH$1,INDEX(Monthly!$B$2:$B$61,BH$1-$A4+1),0)</f>
        <v/>
      </c>
      <c r="BI4" s="47">
        <f>IF($A4&lt;=BI$1,INDEX(Monthly!$B$2:$B$61,BI$1-$A4+1),0)</f>
        <v/>
      </c>
    </row>
    <row r="5">
      <c r="A5" s="3" t="n">
        <v>4</v>
      </c>
      <c r="B5" s="47">
        <f>IF($A5&lt;=B$1,INDEX(Monthly!$B$2:$B$61,B$1-$A5+1),0)</f>
        <v/>
      </c>
      <c r="C5" s="47">
        <f>IF($A5&lt;=C$1,INDEX(Monthly!$B$2:$B$61,C$1-$A5+1),0)</f>
        <v/>
      </c>
      <c r="D5" s="47">
        <f>IF($A5&lt;=D$1,INDEX(Monthly!$B$2:$B$61,D$1-$A5+1),0)</f>
        <v/>
      </c>
      <c r="E5" s="47">
        <f>IF($A5&lt;=E$1,INDEX(Monthly!$B$2:$B$61,E$1-$A5+1),0)</f>
        <v/>
      </c>
      <c r="F5" s="47">
        <f>IF($A5&lt;=F$1,INDEX(Monthly!$B$2:$B$61,F$1-$A5+1),0)</f>
        <v/>
      </c>
      <c r="G5" s="47">
        <f>IF($A5&lt;=G$1,INDEX(Monthly!$B$2:$B$61,G$1-$A5+1),0)</f>
        <v/>
      </c>
      <c r="H5" s="47">
        <f>IF($A5&lt;=H$1,INDEX(Monthly!$B$2:$B$61,H$1-$A5+1),0)</f>
        <v/>
      </c>
      <c r="I5" s="47">
        <f>IF($A5&lt;=I$1,INDEX(Monthly!$B$2:$B$61,I$1-$A5+1),0)</f>
        <v/>
      </c>
      <c r="J5" s="47">
        <f>IF($A5&lt;=J$1,INDEX(Monthly!$B$2:$B$61,J$1-$A5+1),0)</f>
        <v/>
      </c>
      <c r="K5" s="47">
        <f>IF($A5&lt;=K$1,INDEX(Monthly!$B$2:$B$61,K$1-$A5+1),0)</f>
        <v/>
      </c>
      <c r="L5" s="47">
        <f>IF($A5&lt;=L$1,INDEX(Monthly!$B$2:$B$61,L$1-$A5+1),0)</f>
        <v/>
      </c>
      <c r="M5" s="47">
        <f>IF($A5&lt;=M$1,INDEX(Monthly!$B$2:$B$61,M$1-$A5+1),0)</f>
        <v/>
      </c>
      <c r="N5" s="47">
        <f>IF($A5&lt;=N$1,INDEX(Monthly!$B$2:$B$61,N$1-$A5+1),0)</f>
        <v/>
      </c>
      <c r="O5" s="47">
        <f>IF($A5&lt;=O$1,INDEX(Monthly!$B$2:$B$61,O$1-$A5+1),0)</f>
        <v/>
      </c>
      <c r="P5" s="47">
        <f>IF($A5&lt;=P$1,INDEX(Monthly!$B$2:$B$61,P$1-$A5+1),0)</f>
        <v/>
      </c>
      <c r="Q5" s="47">
        <f>IF($A5&lt;=Q$1,INDEX(Monthly!$B$2:$B$61,Q$1-$A5+1),0)</f>
        <v/>
      </c>
      <c r="R5" s="47">
        <f>IF($A5&lt;=R$1,INDEX(Monthly!$B$2:$B$61,R$1-$A5+1),0)</f>
        <v/>
      </c>
      <c r="S5" s="47">
        <f>IF($A5&lt;=S$1,INDEX(Monthly!$B$2:$B$61,S$1-$A5+1),0)</f>
        <v/>
      </c>
      <c r="T5" s="47">
        <f>IF($A5&lt;=T$1,INDEX(Monthly!$B$2:$B$61,T$1-$A5+1),0)</f>
        <v/>
      </c>
      <c r="U5" s="47">
        <f>IF($A5&lt;=U$1,INDEX(Monthly!$B$2:$B$61,U$1-$A5+1),0)</f>
        <v/>
      </c>
      <c r="V5" s="47">
        <f>IF($A5&lt;=V$1,INDEX(Monthly!$B$2:$B$61,V$1-$A5+1),0)</f>
        <v/>
      </c>
      <c r="W5" s="47">
        <f>IF($A5&lt;=W$1,INDEX(Monthly!$B$2:$B$61,W$1-$A5+1),0)</f>
        <v/>
      </c>
      <c r="X5" s="47">
        <f>IF($A5&lt;=X$1,INDEX(Monthly!$B$2:$B$61,X$1-$A5+1),0)</f>
        <v/>
      </c>
      <c r="Y5" s="47">
        <f>IF($A5&lt;=Y$1,INDEX(Monthly!$B$2:$B$61,Y$1-$A5+1),0)</f>
        <v/>
      </c>
      <c r="Z5" s="47">
        <f>IF($A5&lt;=Z$1,INDEX(Monthly!$B$2:$B$61,Z$1-$A5+1),0)</f>
        <v/>
      </c>
      <c r="AA5" s="47">
        <f>IF($A5&lt;=AA$1,INDEX(Monthly!$B$2:$B$61,AA$1-$A5+1),0)</f>
        <v/>
      </c>
      <c r="AB5" s="47">
        <f>IF($A5&lt;=AB$1,INDEX(Monthly!$B$2:$B$61,AB$1-$A5+1),0)</f>
        <v/>
      </c>
      <c r="AC5" s="47">
        <f>IF($A5&lt;=AC$1,INDEX(Monthly!$B$2:$B$61,AC$1-$A5+1),0)</f>
        <v/>
      </c>
      <c r="AD5" s="47">
        <f>IF($A5&lt;=AD$1,INDEX(Monthly!$B$2:$B$61,AD$1-$A5+1),0)</f>
        <v/>
      </c>
      <c r="AE5" s="47">
        <f>IF($A5&lt;=AE$1,INDEX(Monthly!$B$2:$B$61,AE$1-$A5+1),0)</f>
        <v/>
      </c>
      <c r="AF5" s="47">
        <f>IF($A5&lt;=AF$1,INDEX(Monthly!$B$2:$B$61,AF$1-$A5+1),0)</f>
        <v/>
      </c>
      <c r="AG5" s="47">
        <f>IF($A5&lt;=AG$1,INDEX(Monthly!$B$2:$B$61,AG$1-$A5+1),0)</f>
        <v/>
      </c>
      <c r="AH5" s="47">
        <f>IF($A5&lt;=AH$1,INDEX(Monthly!$B$2:$B$61,AH$1-$A5+1),0)</f>
        <v/>
      </c>
      <c r="AI5" s="47">
        <f>IF($A5&lt;=AI$1,INDEX(Monthly!$B$2:$B$61,AI$1-$A5+1),0)</f>
        <v/>
      </c>
      <c r="AJ5" s="47">
        <f>IF($A5&lt;=AJ$1,INDEX(Monthly!$B$2:$B$61,AJ$1-$A5+1),0)</f>
        <v/>
      </c>
      <c r="AK5" s="47">
        <f>IF($A5&lt;=AK$1,INDEX(Monthly!$B$2:$B$61,AK$1-$A5+1),0)</f>
        <v/>
      </c>
      <c r="AL5" s="47">
        <f>IF($A5&lt;=AL$1,INDEX(Monthly!$B$2:$B$61,AL$1-$A5+1),0)</f>
        <v/>
      </c>
      <c r="AM5" s="47">
        <f>IF($A5&lt;=AM$1,INDEX(Monthly!$B$2:$B$61,AM$1-$A5+1),0)</f>
        <v/>
      </c>
      <c r="AN5" s="47">
        <f>IF($A5&lt;=AN$1,INDEX(Monthly!$B$2:$B$61,AN$1-$A5+1),0)</f>
        <v/>
      </c>
      <c r="AO5" s="47">
        <f>IF($A5&lt;=AO$1,INDEX(Monthly!$B$2:$B$61,AO$1-$A5+1),0)</f>
        <v/>
      </c>
      <c r="AP5" s="47">
        <f>IF($A5&lt;=AP$1,INDEX(Monthly!$B$2:$B$61,AP$1-$A5+1),0)</f>
        <v/>
      </c>
      <c r="AQ5" s="47">
        <f>IF($A5&lt;=AQ$1,INDEX(Monthly!$B$2:$B$61,AQ$1-$A5+1),0)</f>
        <v/>
      </c>
      <c r="AR5" s="47">
        <f>IF($A5&lt;=AR$1,INDEX(Monthly!$B$2:$B$61,AR$1-$A5+1),0)</f>
        <v/>
      </c>
      <c r="AS5" s="47">
        <f>IF($A5&lt;=AS$1,INDEX(Monthly!$B$2:$B$61,AS$1-$A5+1),0)</f>
        <v/>
      </c>
      <c r="AT5" s="47">
        <f>IF($A5&lt;=AT$1,INDEX(Monthly!$B$2:$B$61,AT$1-$A5+1),0)</f>
        <v/>
      </c>
      <c r="AU5" s="47">
        <f>IF($A5&lt;=AU$1,INDEX(Monthly!$B$2:$B$61,AU$1-$A5+1),0)</f>
        <v/>
      </c>
      <c r="AV5" s="47">
        <f>IF($A5&lt;=AV$1,INDEX(Monthly!$B$2:$B$61,AV$1-$A5+1),0)</f>
        <v/>
      </c>
      <c r="AW5" s="47">
        <f>IF($A5&lt;=AW$1,INDEX(Monthly!$B$2:$B$61,AW$1-$A5+1),0)</f>
        <v/>
      </c>
      <c r="AX5" s="47">
        <f>IF($A5&lt;=AX$1,INDEX(Monthly!$B$2:$B$61,AX$1-$A5+1),0)</f>
        <v/>
      </c>
      <c r="AY5" s="47">
        <f>IF($A5&lt;=AY$1,INDEX(Monthly!$B$2:$B$61,AY$1-$A5+1),0)</f>
        <v/>
      </c>
      <c r="AZ5" s="47">
        <f>IF($A5&lt;=AZ$1,INDEX(Monthly!$B$2:$B$61,AZ$1-$A5+1),0)</f>
        <v/>
      </c>
      <c r="BA5" s="47">
        <f>IF($A5&lt;=BA$1,INDEX(Monthly!$B$2:$B$61,BA$1-$A5+1),0)</f>
        <v/>
      </c>
      <c r="BB5" s="47">
        <f>IF($A5&lt;=BB$1,INDEX(Monthly!$B$2:$B$61,BB$1-$A5+1),0)</f>
        <v/>
      </c>
      <c r="BC5" s="47">
        <f>IF($A5&lt;=BC$1,INDEX(Monthly!$B$2:$B$61,BC$1-$A5+1),0)</f>
        <v/>
      </c>
      <c r="BD5" s="47">
        <f>IF($A5&lt;=BD$1,INDEX(Monthly!$B$2:$B$61,BD$1-$A5+1),0)</f>
        <v/>
      </c>
      <c r="BE5" s="47">
        <f>IF($A5&lt;=BE$1,INDEX(Monthly!$B$2:$B$61,BE$1-$A5+1),0)</f>
        <v/>
      </c>
      <c r="BF5" s="47">
        <f>IF($A5&lt;=BF$1,INDEX(Monthly!$B$2:$B$61,BF$1-$A5+1),0)</f>
        <v/>
      </c>
      <c r="BG5" s="47">
        <f>IF($A5&lt;=BG$1,INDEX(Monthly!$B$2:$B$61,BG$1-$A5+1),0)</f>
        <v/>
      </c>
      <c r="BH5" s="47">
        <f>IF($A5&lt;=BH$1,INDEX(Monthly!$B$2:$B$61,BH$1-$A5+1),0)</f>
        <v/>
      </c>
      <c r="BI5" s="47">
        <f>IF($A5&lt;=BI$1,INDEX(Monthly!$B$2:$B$61,BI$1-$A5+1),0)</f>
        <v/>
      </c>
    </row>
    <row r="6">
      <c r="A6" s="3" t="n">
        <v>5</v>
      </c>
      <c r="B6" s="47">
        <f>IF($A6&lt;=B$1,INDEX(Monthly!$B$2:$B$61,B$1-$A6+1),0)</f>
        <v/>
      </c>
      <c r="C6" s="47">
        <f>IF($A6&lt;=C$1,INDEX(Monthly!$B$2:$B$61,C$1-$A6+1),0)</f>
        <v/>
      </c>
      <c r="D6" s="47">
        <f>IF($A6&lt;=D$1,INDEX(Monthly!$B$2:$B$61,D$1-$A6+1),0)</f>
        <v/>
      </c>
      <c r="E6" s="47">
        <f>IF($A6&lt;=E$1,INDEX(Monthly!$B$2:$B$61,E$1-$A6+1),0)</f>
        <v/>
      </c>
      <c r="F6" s="47">
        <f>IF($A6&lt;=F$1,INDEX(Monthly!$B$2:$B$61,F$1-$A6+1),0)</f>
        <v/>
      </c>
      <c r="G6" s="47">
        <f>IF($A6&lt;=G$1,INDEX(Monthly!$B$2:$B$61,G$1-$A6+1),0)</f>
        <v/>
      </c>
      <c r="H6" s="47">
        <f>IF($A6&lt;=H$1,INDEX(Monthly!$B$2:$B$61,H$1-$A6+1),0)</f>
        <v/>
      </c>
      <c r="I6" s="47">
        <f>IF($A6&lt;=I$1,INDEX(Monthly!$B$2:$B$61,I$1-$A6+1),0)</f>
        <v/>
      </c>
      <c r="J6" s="47">
        <f>IF($A6&lt;=J$1,INDEX(Monthly!$B$2:$B$61,J$1-$A6+1),0)</f>
        <v/>
      </c>
      <c r="K6" s="47">
        <f>IF($A6&lt;=K$1,INDEX(Monthly!$B$2:$B$61,K$1-$A6+1),0)</f>
        <v/>
      </c>
      <c r="L6" s="47">
        <f>IF($A6&lt;=L$1,INDEX(Monthly!$B$2:$B$61,L$1-$A6+1),0)</f>
        <v/>
      </c>
      <c r="M6" s="47">
        <f>IF($A6&lt;=M$1,INDEX(Monthly!$B$2:$B$61,M$1-$A6+1),0)</f>
        <v/>
      </c>
      <c r="N6" s="47">
        <f>IF($A6&lt;=N$1,INDEX(Monthly!$B$2:$B$61,N$1-$A6+1),0)</f>
        <v/>
      </c>
      <c r="O6" s="47">
        <f>IF($A6&lt;=O$1,INDEX(Monthly!$B$2:$B$61,O$1-$A6+1),0)</f>
        <v/>
      </c>
      <c r="P6" s="47">
        <f>IF($A6&lt;=P$1,INDEX(Monthly!$B$2:$B$61,P$1-$A6+1),0)</f>
        <v/>
      </c>
      <c r="Q6" s="47">
        <f>IF($A6&lt;=Q$1,INDEX(Monthly!$B$2:$B$61,Q$1-$A6+1),0)</f>
        <v/>
      </c>
      <c r="R6" s="47">
        <f>IF($A6&lt;=R$1,INDEX(Monthly!$B$2:$B$61,R$1-$A6+1),0)</f>
        <v/>
      </c>
      <c r="S6" s="47">
        <f>IF($A6&lt;=S$1,INDEX(Monthly!$B$2:$B$61,S$1-$A6+1),0)</f>
        <v/>
      </c>
      <c r="T6" s="47">
        <f>IF($A6&lt;=T$1,INDEX(Monthly!$B$2:$B$61,T$1-$A6+1),0)</f>
        <v/>
      </c>
      <c r="U6" s="47">
        <f>IF($A6&lt;=U$1,INDEX(Monthly!$B$2:$B$61,U$1-$A6+1),0)</f>
        <v/>
      </c>
      <c r="V6" s="47">
        <f>IF($A6&lt;=V$1,INDEX(Monthly!$B$2:$B$61,V$1-$A6+1),0)</f>
        <v/>
      </c>
      <c r="W6" s="47">
        <f>IF($A6&lt;=W$1,INDEX(Monthly!$B$2:$B$61,W$1-$A6+1),0)</f>
        <v/>
      </c>
      <c r="X6" s="47">
        <f>IF($A6&lt;=X$1,INDEX(Monthly!$B$2:$B$61,X$1-$A6+1),0)</f>
        <v/>
      </c>
      <c r="Y6" s="47">
        <f>IF($A6&lt;=Y$1,INDEX(Monthly!$B$2:$B$61,Y$1-$A6+1),0)</f>
        <v/>
      </c>
      <c r="Z6" s="47">
        <f>IF($A6&lt;=Z$1,INDEX(Monthly!$B$2:$B$61,Z$1-$A6+1),0)</f>
        <v/>
      </c>
      <c r="AA6" s="47">
        <f>IF($A6&lt;=AA$1,INDEX(Monthly!$B$2:$B$61,AA$1-$A6+1),0)</f>
        <v/>
      </c>
      <c r="AB6" s="47">
        <f>IF($A6&lt;=AB$1,INDEX(Monthly!$B$2:$B$61,AB$1-$A6+1),0)</f>
        <v/>
      </c>
      <c r="AC6" s="47">
        <f>IF($A6&lt;=AC$1,INDEX(Monthly!$B$2:$B$61,AC$1-$A6+1),0)</f>
        <v/>
      </c>
      <c r="AD6" s="47">
        <f>IF($A6&lt;=AD$1,INDEX(Monthly!$B$2:$B$61,AD$1-$A6+1),0)</f>
        <v/>
      </c>
      <c r="AE6" s="47">
        <f>IF($A6&lt;=AE$1,INDEX(Monthly!$B$2:$B$61,AE$1-$A6+1),0)</f>
        <v/>
      </c>
      <c r="AF6" s="47">
        <f>IF($A6&lt;=AF$1,INDEX(Monthly!$B$2:$B$61,AF$1-$A6+1),0)</f>
        <v/>
      </c>
      <c r="AG6" s="47">
        <f>IF($A6&lt;=AG$1,INDEX(Monthly!$B$2:$B$61,AG$1-$A6+1),0)</f>
        <v/>
      </c>
      <c r="AH6" s="47">
        <f>IF($A6&lt;=AH$1,INDEX(Monthly!$B$2:$B$61,AH$1-$A6+1),0)</f>
        <v/>
      </c>
      <c r="AI6" s="47">
        <f>IF($A6&lt;=AI$1,INDEX(Monthly!$B$2:$B$61,AI$1-$A6+1),0)</f>
        <v/>
      </c>
      <c r="AJ6" s="47">
        <f>IF($A6&lt;=AJ$1,INDEX(Monthly!$B$2:$B$61,AJ$1-$A6+1),0)</f>
        <v/>
      </c>
      <c r="AK6" s="47">
        <f>IF($A6&lt;=AK$1,INDEX(Monthly!$B$2:$B$61,AK$1-$A6+1),0)</f>
        <v/>
      </c>
      <c r="AL6" s="47">
        <f>IF($A6&lt;=AL$1,INDEX(Monthly!$B$2:$B$61,AL$1-$A6+1),0)</f>
        <v/>
      </c>
      <c r="AM6" s="47">
        <f>IF($A6&lt;=AM$1,INDEX(Monthly!$B$2:$B$61,AM$1-$A6+1),0)</f>
        <v/>
      </c>
      <c r="AN6" s="47">
        <f>IF($A6&lt;=AN$1,INDEX(Monthly!$B$2:$B$61,AN$1-$A6+1),0)</f>
        <v/>
      </c>
      <c r="AO6" s="47">
        <f>IF($A6&lt;=AO$1,INDEX(Monthly!$B$2:$B$61,AO$1-$A6+1),0)</f>
        <v/>
      </c>
      <c r="AP6" s="47">
        <f>IF($A6&lt;=AP$1,INDEX(Monthly!$B$2:$B$61,AP$1-$A6+1),0)</f>
        <v/>
      </c>
      <c r="AQ6" s="47">
        <f>IF($A6&lt;=AQ$1,INDEX(Monthly!$B$2:$B$61,AQ$1-$A6+1),0)</f>
        <v/>
      </c>
      <c r="AR6" s="47">
        <f>IF($A6&lt;=AR$1,INDEX(Monthly!$B$2:$B$61,AR$1-$A6+1),0)</f>
        <v/>
      </c>
      <c r="AS6" s="47">
        <f>IF($A6&lt;=AS$1,INDEX(Monthly!$B$2:$B$61,AS$1-$A6+1),0)</f>
        <v/>
      </c>
      <c r="AT6" s="47">
        <f>IF($A6&lt;=AT$1,INDEX(Monthly!$B$2:$B$61,AT$1-$A6+1),0)</f>
        <v/>
      </c>
      <c r="AU6" s="47">
        <f>IF($A6&lt;=AU$1,INDEX(Monthly!$B$2:$B$61,AU$1-$A6+1),0)</f>
        <v/>
      </c>
      <c r="AV6" s="47">
        <f>IF($A6&lt;=AV$1,INDEX(Monthly!$B$2:$B$61,AV$1-$A6+1),0)</f>
        <v/>
      </c>
      <c r="AW6" s="47">
        <f>IF($A6&lt;=AW$1,INDEX(Monthly!$B$2:$B$61,AW$1-$A6+1),0)</f>
        <v/>
      </c>
      <c r="AX6" s="47">
        <f>IF($A6&lt;=AX$1,INDEX(Monthly!$B$2:$B$61,AX$1-$A6+1),0)</f>
        <v/>
      </c>
      <c r="AY6" s="47">
        <f>IF($A6&lt;=AY$1,INDEX(Monthly!$B$2:$B$61,AY$1-$A6+1),0)</f>
        <v/>
      </c>
      <c r="AZ6" s="47">
        <f>IF($A6&lt;=AZ$1,INDEX(Monthly!$B$2:$B$61,AZ$1-$A6+1),0)</f>
        <v/>
      </c>
      <c r="BA6" s="47">
        <f>IF($A6&lt;=BA$1,INDEX(Monthly!$B$2:$B$61,BA$1-$A6+1),0)</f>
        <v/>
      </c>
      <c r="BB6" s="47">
        <f>IF($A6&lt;=BB$1,INDEX(Monthly!$B$2:$B$61,BB$1-$A6+1),0)</f>
        <v/>
      </c>
      <c r="BC6" s="47">
        <f>IF($A6&lt;=BC$1,INDEX(Monthly!$B$2:$B$61,BC$1-$A6+1),0)</f>
        <v/>
      </c>
      <c r="BD6" s="47">
        <f>IF($A6&lt;=BD$1,INDEX(Monthly!$B$2:$B$61,BD$1-$A6+1),0)</f>
        <v/>
      </c>
      <c r="BE6" s="47">
        <f>IF($A6&lt;=BE$1,INDEX(Monthly!$B$2:$B$61,BE$1-$A6+1),0)</f>
        <v/>
      </c>
      <c r="BF6" s="47">
        <f>IF($A6&lt;=BF$1,INDEX(Monthly!$B$2:$B$61,BF$1-$A6+1),0)</f>
        <v/>
      </c>
      <c r="BG6" s="47">
        <f>IF($A6&lt;=BG$1,INDEX(Monthly!$B$2:$B$61,BG$1-$A6+1),0)</f>
        <v/>
      </c>
      <c r="BH6" s="47">
        <f>IF($A6&lt;=BH$1,INDEX(Monthly!$B$2:$B$61,BH$1-$A6+1),0)</f>
        <v/>
      </c>
      <c r="BI6" s="47">
        <f>IF($A6&lt;=BI$1,INDEX(Monthly!$B$2:$B$61,BI$1-$A6+1),0)</f>
        <v/>
      </c>
    </row>
    <row r="7">
      <c r="A7" s="3" t="n">
        <v>6</v>
      </c>
      <c r="B7" s="47">
        <f>IF($A7&lt;=B$1,INDEX(Monthly!$B$2:$B$61,B$1-$A7+1),0)</f>
        <v/>
      </c>
      <c r="C7" s="47">
        <f>IF($A7&lt;=C$1,INDEX(Monthly!$B$2:$B$61,C$1-$A7+1),0)</f>
        <v/>
      </c>
      <c r="D7" s="47">
        <f>IF($A7&lt;=D$1,INDEX(Monthly!$B$2:$B$61,D$1-$A7+1),0)</f>
        <v/>
      </c>
      <c r="E7" s="47">
        <f>IF($A7&lt;=E$1,INDEX(Monthly!$B$2:$B$61,E$1-$A7+1),0)</f>
        <v/>
      </c>
      <c r="F7" s="47">
        <f>IF($A7&lt;=F$1,INDEX(Monthly!$B$2:$B$61,F$1-$A7+1),0)</f>
        <v/>
      </c>
      <c r="G7" s="47">
        <f>IF($A7&lt;=G$1,INDEX(Monthly!$B$2:$B$61,G$1-$A7+1),0)</f>
        <v/>
      </c>
      <c r="H7" s="47">
        <f>IF($A7&lt;=H$1,INDEX(Monthly!$B$2:$B$61,H$1-$A7+1),0)</f>
        <v/>
      </c>
      <c r="I7" s="47">
        <f>IF($A7&lt;=I$1,INDEX(Monthly!$B$2:$B$61,I$1-$A7+1),0)</f>
        <v/>
      </c>
      <c r="J7" s="47">
        <f>IF($A7&lt;=J$1,INDEX(Monthly!$B$2:$B$61,J$1-$A7+1),0)</f>
        <v/>
      </c>
      <c r="K7" s="47">
        <f>IF($A7&lt;=K$1,INDEX(Monthly!$B$2:$B$61,K$1-$A7+1),0)</f>
        <v/>
      </c>
      <c r="L7" s="47">
        <f>IF($A7&lt;=L$1,INDEX(Monthly!$B$2:$B$61,L$1-$A7+1),0)</f>
        <v/>
      </c>
      <c r="M7" s="47">
        <f>IF($A7&lt;=M$1,INDEX(Monthly!$B$2:$B$61,M$1-$A7+1),0)</f>
        <v/>
      </c>
      <c r="N7" s="47">
        <f>IF($A7&lt;=N$1,INDEX(Monthly!$B$2:$B$61,N$1-$A7+1),0)</f>
        <v/>
      </c>
      <c r="O7" s="47">
        <f>IF($A7&lt;=O$1,INDEX(Monthly!$B$2:$B$61,O$1-$A7+1),0)</f>
        <v/>
      </c>
      <c r="P7" s="47">
        <f>IF($A7&lt;=P$1,INDEX(Monthly!$B$2:$B$61,P$1-$A7+1),0)</f>
        <v/>
      </c>
      <c r="Q7" s="47">
        <f>IF($A7&lt;=Q$1,INDEX(Monthly!$B$2:$B$61,Q$1-$A7+1),0)</f>
        <v/>
      </c>
      <c r="R7" s="47">
        <f>IF($A7&lt;=R$1,INDEX(Monthly!$B$2:$B$61,R$1-$A7+1),0)</f>
        <v/>
      </c>
      <c r="S7" s="47">
        <f>IF($A7&lt;=S$1,INDEX(Monthly!$B$2:$B$61,S$1-$A7+1),0)</f>
        <v/>
      </c>
      <c r="T7" s="47">
        <f>IF($A7&lt;=T$1,INDEX(Monthly!$B$2:$B$61,T$1-$A7+1),0)</f>
        <v/>
      </c>
      <c r="U7" s="47">
        <f>IF($A7&lt;=U$1,INDEX(Monthly!$B$2:$B$61,U$1-$A7+1),0)</f>
        <v/>
      </c>
      <c r="V7" s="47">
        <f>IF($A7&lt;=V$1,INDEX(Monthly!$B$2:$B$61,V$1-$A7+1),0)</f>
        <v/>
      </c>
      <c r="W7" s="47">
        <f>IF($A7&lt;=W$1,INDEX(Monthly!$B$2:$B$61,W$1-$A7+1),0)</f>
        <v/>
      </c>
      <c r="X7" s="47">
        <f>IF($A7&lt;=X$1,INDEX(Monthly!$B$2:$B$61,X$1-$A7+1),0)</f>
        <v/>
      </c>
      <c r="Y7" s="47">
        <f>IF($A7&lt;=Y$1,INDEX(Monthly!$B$2:$B$61,Y$1-$A7+1),0)</f>
        <v/>
      </c>
      <c r="Z7" s="47">
        <f>IF($A7&lt;=Z$1,INDEX(Monthly!$B$2:$B$61,Z$1-$A7+1),0)</f>
        <v/>
      </c>
      <c r="AA7" s="47">
        <f>IF($A7&lt;=AA$1,INDEX(Monthly!$B$2:$B$61,AA$1-$A7+1),0)</f>
        <v/>
      </c>
      <c r="AB7" s="47">
        <f>IF($A7&lt;=AB$1,INDEX(Monthly!$B$2:$B$61,AB$1-$A7+1),0)</f>
        <v/>
      </c>
      <c r="AC7" s="47">
        <f>IF($A7&lt;=AC$1,INDEX(Monthly!$B$2:$B$61,AC$1-$A7+1),0)</f>
        <v/>
      </c>
      <c r="AD7" s="47">
        <f>IF($A7&lt;=AD$1,INDEX(Monthly!$B$2:$B$61,AD$1-$A7+1),0)</f>
        <v/>
      </c>
      <c r="AE7" s="47">
        <f>IF($A7&lt;=AE$1,INDEX(Monthly!$B$2:$B$61,AE$1-$A7+1),0)</f>
        <v/>
      </c>
      <c r="AF7" s="47">
        <f>IF($A7&lt;=AF$1,INDEX(Monthly!$B$2:$B$61,AF$1-$A7+1),0)</f>
        <v/>
      </c>
      <c r="AG7" s="47">
        <f>IF($A7&lt;=AG$1,INDEX(Monthly!$B$2:$B$61,AG$1-$A7+1),0)</f>
        <v/>
      </c>
      <c r="AH7" s="47">
        <f>IF($A7&lt;=AH$1,INDEX(Monthly!$B$2:$B$61,AH$1-$A7+1),0)</f>
        <v/>
      </c>
      <c r="AI7" s="47">
        <f>IF($A7&lt;=AI$1,INDEX(Monthly!$B$2:$B$61,AI$1-$A7+1),0)</f>
        <v/>
      </c>
      <c r="AJ7" s="47">
        <f>IF($A7&lt;=AJ$1,INDEX(Monthly!$B$2:$B$61,AJ$1-$A7+1),0)</f>
        <v/>
      </c>
      <c r="AK7" s="47">
        <f>IF($A7&lt;=AK$1,INDEX(Monthly!$B$2:$B$61,AK$1-$A7+1),0)</f>
        <v/>
      </c>
      <c r="AL7" s="47">
        <f>IF($A7&lt;=AL$1,INDEX(Monthly!$B$2:$B$61,AL$1-$A7+1),0)</f>
        <v/>
      </c>
      <c r="AM7" s="47">
        <f>IF($A7&lt;=AM$1,INDEX(Monthly!$B$2:$B$61,AM$1-$A7+1),0)</f>
        <v/>
      </c>
      <c r="AN7" s="47">
        <f>IF($A7&lt;=AN$1,INDEX(Monthly!$B$2:$B$61,AN$1-$A7+1),0)</f>
        <v/>
      </c>
      <c r="AO7" s="47">
        <f>IF($A7&lt;=AO$1,INDEX(Monthly!$B$2:$B$61,AO$1-$A7+1),0)</f>
        <v/>
      </c>
      <c r="AP7" s="47">
        <f>IF($A7&lt;=AP$1,INDEX(Monthly!$B$2:$B$61,AP$1-$A7+1),0)</f>
        <v/>
      </c>
      <c r="AQ7" s="47">
        <f>IF($A7&lt;=AQ$1,INDEX(Monthly!$B$2:$B$61,AQ$1-$A7+1),0)</f>
        <v/>
      </c>
      <c r="AR7" s="47">
        <f>IF($A7&lt;=AR$1,INDEX(Monthly!$B$2:$B$61,AR$1-$A7+1),0)</f>
        <v/>
      </c>
      <c r="AS7" s="47">
        <f>IF($A7&lt;=AS$1,INDEX(Monthly!$B$2:$B$61,AS$1-$A7+1),0)</f>
        <v/>
      </c>
      <c r="AT7" s="47">
        <f>IF($A7&lt;=AT$1,INDEX(Monthly!$B$2:$B$61,AT$1-$A7+1),0)</f>
        <v/>
      </c>
      <c r="AU7" s="47">
        <f>IF($A7&lt;=AU$1,INDEX(Monthly!$B$2:$B$61,AU$1-$A7+1),0)</f>
        <v/>
      </c>
      <c r="AV7" s="47">
        <f>IF($A7&lt;=AV$1,INDEX(Monthly!$B$2:$B$61,AV$1-$A7+1),0)</f>
        <v/>
      </c>
      <c r="AW7" s="47">
        <f>IF($A7&lt;=AW$1,INDEX(Monthly!$B$2:$B$61,AW$1-$A7+1),0)</f>
        <v/>
      </c>
      <c r="AX7" s="47">
        <f>IF($A7&lt;=AX$1,INDEX(Monthly!$B$2:$B$61,AX$1-$A7+1),0)</f>
        <v/>
      </c>
      <c r="AY7" s="47">
        <f>IF($A7&lt;=AY$1,INDEX(Monthly!$B$2:$B$61,AY$1-$A7+1),0)</f>
        <v/>
      </c>
      <c r="AZ7" s="47">
        <f>IF($A7&lt;=AZ$1,INDEX(Monthly!$B$2:$B$61,AZ$1-$A7+1),0)</f>
        <v/>
      </c>
      <c r="BA7" s="47">
        <f>IF($A7&lt;=BA$1,INDEX(Monthly!$B$2:$B$61,BA$1-$A7+1),0)</f>
        <v/>
      </c>
      <c r="BB7" s="47">
        <f>IF($A7&lt;=BB$1,INDEX(Monthly!$B$2:$B$61,BB$1-$A7+1),0)</f>
        <v/>
      </c>
      <c r="BC7" s="47">
        <f>IF($A7&lt;=BC$1,INDEX(Monthly!$B$2:$B$61,BC$1-$A7+1),0)</f>
        <v/>
      </c>
      <c r="BD7" s="47">
        <f>IF($A7&lt;=BD$1,INDEX(Monthly!$B$2:$B$61,BD$1-$A7+1),0)</f>
        <v/>
      </c>
      <c r="BE7" s="47">
        <f>IF($A7&lt;=BE$1,INDEX(Monthly!$B$2:$B$61,BE$1-$A7+1),0)</f>
        <v/>
      </c>
      <c r="BF7" s="47">
        <f>IF($A7&lt;=BF$1,INDEX(Monthly!$B$2:$B$61,BF$1-$A7+1),0)</f>
        <v/>
      </c>
      <c r="BG7" s="47">
        <f>IF($A7&lt;=BG$1,INDEX(Monthly!$B$2:$B$61,BG$1-$A7+1),0)</f>
        <v/>
      </c>
      <c r="BH7" s="47">
        <f>IF($A7&lt;=BH$1,INDEX(Monthly!$B$2:$B$61,BH$1-$A7+1),0)</f>
        <v/>
      </c>
      <c r="BI7" s="47">
        <f>IF($A7&lt;=BI$1,INDEX(Monthly!$B$2:$B$61,BI$1-$A7+1),0)</f>
        <v/>
      </c>
    </row>
    <row r="8">
      <c r="A8" s="3" t="n">
        <v>7</v>
      </c>
      <c r="B8" s="47">
        <f>IF($A8&lt;=B$1,INDEX(Monthly!$B$2:$B$61,B$1-$A8+1),0)</f>
        <v/>
      </c>
      <c r="C8" s="47">
        <f>IF($A8&lt;=C$1,INDEX(Monthly!$B$2:$B$61,C$1-$A8+1),0)</f>
        <v/>
      </c>
      <c r="D8" s="47">
        <f>IF($A8&lt;=D$1,INDEX(Monthly!$B$2:$B$61,D$1-$A8+1),0)</f>
        <v/>
      </c>
      <c r="E8" s="47">
        <f>IF($A8&lt;=E$1,INDEX(Monthly!$B$2:$B$61,E$1-$A8+1),0)</f>
        <v/>
      </c>
      <c r="F8" s="47">
        <f>IF($A8&lt;=F$1,INDEX(Monthly!$B$2:$B$61,F$1-$A8+1),0)</f>
        <v/>
      </c>
      <c r="G8" s="47">
        <f>IF($A8&lt;=G$1,INDEX(Monthly!$B$2:$B$61,G$1-$A8+1),0)</f>
        <v/>
      </c>
      <c r="H8" s="47">
        <f>IF($A8&lt;=H$1,INDEX(Monthly!$B$2:$B$61,H$1-$A8+1),0)</f>
        <v/>
      </c>
      <c r="I8" s="47">
        <f>IF($A8&lt;=I$1,INDEX(Monthly!$B$2:$B$61,I$1-$A8+1),0)</f>
        <v/>
      </c>
      <c r="J8" s="47">
        <f>IF($A8&lt;=J$1,INDEX(Monthly!$B$2:$B$61,J$1-$A8+1),0)</f>
        <v/>
      </c>
      <c r="K8" s="47">
        <f>IF($A8&lt;=K$1,INDEX(Monthly!$B$2:$B$61,K$1-$A8+1),0)</f>
        <v/>
      </c>
      <c r="L8" s="47">
        <f>IF($A8&lt;=L$1,INDEX(Monthly!$B$2:$B$61,L$1-$A8+1),0)</f>
        <v/>
      </c>
      <c r="M8" s="47">
        <f>IF($A8&lt;=M$1,INDEX(Monthly!$B$2:$B$61,M$1-$A8+1),0)</f>
        <v/>
      </c>
      <c r="N8" s="47">
        <f>IF($A8&lt;=N$1,INDEX(Monthly!$B$2:$B$61,N$1-$A8+1),0)</f>
        <v/>
      </c>
      <c r="O8" s="47">
        <f>IF($A8&lt;=O$1,INDEX(Monthly!$B$2:$B$61,O$1-$A8+1),0)</f>
        <v/>
      </c>
      <c r="P8" s="47">
        <f>IF($A8&lt;=P$1,INDEX(Monthly!$B$2:$B$61,P$1-$A8+1),0)</f>
        <v/>
      </c>
      <c r="Q8" s="47">
        <f>IF($A8&lt;=Q$1,INDEX(Monthly!$B$2:$B$61,Q$1-$A8+1),0)</f>
        <v/>
      </c>
      <c r="R8" s="47">
        <f>IF($A8&lt;=R$1,INDEX(Monthly!$B$2:$B$61,R$1-$A8+1),0)</f>
        <v/>
      </c>
      <c r="S8" s="47">
        <f>IF($A8&lt;=S$1,INDEX(Monthly!$B$2:$B$61,S$1-$A8+1),0)</f>
        <v/>
      </c>
      <c r="T8" s="47">
        <f>IF($A8&lt;=T$1,INDEX(Monthly!$B$2:$B$61,T$1-$A8+1),0)</f>
        <v/>
      </c>
      <c r="U8" s="47">
        <f>IF($A8&lt;=U$1,INDEX(Monthly!$B$2:$B$61,U$1-$A8+1),0)</f>
        <v/>
      </c>
      <c r="V8" s="47">
        <f>IF($A8&lt;=V$1,INDEX(Monthly!$B$2:$B$61,V$1-$A8+1),0)</f>
        <v/>
      </c>
      <c r="W8" s="47">
        <f>IF($A8&lt;=W$1,INDEX(Monthly!$B$2:$B$61,W$1-$A8+1),0)</f>
        <v/>
      </c>
      <c r="X8" s="47">
        <f>IF($A8&lt;=X$1,INDEX(Monthly!$B$2:$B$61,X$1-$A8+1),0)</f>
        <v/>
      </c>
      <c r="Y8" s="47">
        <f>IF($A8&lt;=Y$1,INDEX(Monthly!$B$2:$B$61,Y$1-$A8+1),0)</f>
        <v/>
      </c>
      <c r="Z8" s="47">
        <f>IF($A8&lt;=Z$1,INDEX(Monthly!$B$2:$B$61,Z$1-$A8+1),0)</f>
        <v/>
      </c>
      <c r="AA8" s="47">
        <f>IF($A8&lt;=AA$1,INDEX(Monthly!$B$2:$B$61,AA$1-$A8+1),0)</f>
        <v/>
      </c>
      <c r="AB8" s="47">
        <f>IF($A8&lt;=AB$1,INDEX(Monthly!$B$2:$B$61,AB$1-$A8+1),0)</f>
        <v/>
      </c>
      <c r="AC8" s="47">
        <f>IF($A8&lt;=AC$1,INDEX(Monthly!$B$2:$B$61,AC$1-$A8+1),0)</f>
        <v/>
      </c>
      <c r="AD8" s="47">
        <f>IF($A8&lt;=AD$1,INDEX(Monthly!$B$2:$B$61,AD$1-$A8+1),0)</f>
        <v/>
      </c>
      <c r="AE8" s="47">
        <f>IF($A8&lt;=AE$1,INDEX(Monthly!$B$2:$B$61,AE$1-$A8+1),0)</f>
        <v/>
      </c>
      <c r="AF8" s="47">
        <f>IF($A8&lt;=AF$1,INDEX(Monthly!$B$2:$B$61,AF$1-$A8+1),0)</f>
        <v/>
      </c>
      <c r="AG8" s="47">
        <f>IF($A8&lt;=AG$1,INDEX(Monthly!$B$2:$B$61,AG$1-$A8+1),0)</f>
        <v/>
      </c>
      <c r="AH8" s="47">
        <f>IF($A8&lt;=AH$1,INDEX(Monthly!$B$2:$B$61,AH$1-$A8+1),0)</f>
        <v/>
      </c>
      <c r="AI8" s="47">
        <f>IF($A8&lt;=AI$1,INDEX(Monthly!$B$2:$B$61,AI$1-$A8+1),0)</f>
        <v/>
      </c>
      <c r="AJ8" s="47">
        <f>IF($A8&lt;=AJ$1,INDEX(Monthly!$B$2:$B$61,AJ$1-$A8+1),0)</f>
        <v/>
      </c>
      <c r="AK8" s="47">
        <f>IF($A8&lt;=AK$1,INDEX(Monthly!$B$2:$B$61,AK$1-$A8+1),0)</f>
        <v/>
      </c>
      <c r="AL8" s="47">
        <f>IF($A8&lt;=AL$1,INDEX(Monthly!$B$2:$B$61,AL$1-$A8+1),0)</f>
        <v/>
      </c>
      <c r="AM8" s="47">
        <f>IF($A8&lt;=AM$1,INDEX(Monthly!$B$2:$B$61,AM$1-$A8+1),0)</f>
        <v/>
      </c>
      <c r="AN8" s="47">
        <f>IF($A8&lt;=AN$1,INDEX(Monthly!$B$2:$B$61,AN$1-$A8+1),0)</f>
        <v/>
      </c>
      <c r="AO8" s="47">
        <f>IF($A8&lt;=AO$1,INDEX(Monthly!$B$2:$B$61,AO$1-$A8+1),0)</f>
        <v/>
      </c>
      <c r="AP8" s="47">
        <f>IF($A8&lt;=AP$1,INDEX(Monthly!$B$2:$B$61,AP$1-$A8+1),0)</f>
        <v/>
      </c>
      <c r="AQ8" s="47">
        <f>IF($A8&lt;=AQ$1,INDEX(Monthly!$B$2:$B$61,AQ$1-$A8+1),0)</f>
        <v/>
      </c>
      <c r="AR8" s="47">
        <f>IF($A8&lt;=AR$1,INDEX(Monthly!$B$2:$B$61,AR$1-$A8+1),0)</f>
        <v/>
      </c>
      <c r="AS8" s="47">
        <f>IF($A8&lt;=AS$1,INDEX(Monthly!$B$2:$B$61,AS$1-$A8+1),0)</f>
        <v/>
      </c>
      <c r="AT8" s="47">
        <f>IF($A8&lt;=AT$1,INDEX(Monthly!$B$2:$B$61,AT$1-$A8+1),0)</f>
        <v/>
      </c>
      <c r="AU8" s="47">
        <f>IF($A8&lt;=AU$1,INDEX(Monthly!$B$2:$B$61,AU$1-$A8+1),0)</f>
        <v/>
      </c>
      <c r="AV8" s="47">
        <f>IF($A8&lt;=AV$1,INDEX(Monthly!$B$2:$B$61,AV$1-$A8+1),0)</f>
        <v/>
      </c>
      <c r="AW8" s="47">
        <f>IF($A8&lt;=AW$1,INDEX(Monthly!$B$2:$B$61,AW$1-$A8+1),0)</f>
        <v/>
      </c>
      <c r="AX8" s="47">
        <f>IF($A8&lt;=AX$1,INDEX(Monthly!$B$2:$B$61,AX$1-$A8+1),0)</f>
        <v/>
      </c>
      <c r="AY8" s="47">
        <f>IF($A8&lt;=AY$1,INDEX(Monthly!$B$2:$B$61,AY$1-$A8+1),0)</f>
        <v/>
      </c>
      <c r="AZ8" s="47">
        <f>IF($A8&lt;=AZ$1,INDEX(Monthly!$B$2:$B$61,AZ$1-$A8+1),0)</f>
        <v/>
      </c>
      <c r="BA8" s="47">
        <f>IF($A8&lt;=BA$1,INDEX(Monthly!$B$2:$B$61,BA$1-$A8+1),0)</f>
        <v/>
      </c>
      <c r="BB8" s="47">
        <f>IF($A8&lt;=BB$1,INDEX(Monthly!$B$2:$B$61,BB$1-$A8+1),0)</f>
        <v/>
      </c>
      <c r="BC8" s="47">
        <f>IF($A8&lt;=BC$1,INDEX(Monthly!$B$2:$B$61,BC$1-$A8+1),0)</f>
        <v/>
      </c>
      <c r="BD8" s="47">
        <f>IF($A8&lt;=BD$1,INDEX(Monthly!$B$2:$B$61,BD$1-$A8+1),0)</f>
        <v/>
      </c>
      <c r="BE8" s="47">
        <f>IF($A8&lt;=BE$1,INDEX(Monthly!$B$2:$B$61,BE$1-$A8+1),0)</f>
        <v/>
      </c>
      <c r="BF8" s="47">
        <f>IF($A8&lt;=BF$1,INDEX(Monthly!$B$2:$B$61,BF$1-$A8+1),0)</f>
        <v/>
      </c>
      <c r="BG8" s="47">
        <f>IF($A8&lt;=BG$1,INDEX(Monthly!$B$2:$B$61,BG$1-$A8+1),0)</f>
        <v/>
      </c>
      <c r="BH8" s="47">
        <f>IF($A8&lt;=BH$1,INDEX(Monthly!$B$2:$B$61,BH$1-$A8+1),0)</f>
        <v/>
      </c>
      <c r="BI8" s="47">
        <f>IF($A8&lt;=BI$1,INDEX(Monthly!$B$2:$B$61,BI$1-$A8+1),0)</f>
        <v/>
      </c>
    </row>
    <row r="9">
      <c r="A9" s="3" t="n">
        <v>8</v>
      </c>
      <c r="B9" s="47">
        <f>IF($A9&lt;=B$1,INDEX(Monthly!$B$2:$B$61,B$1-$A9+1),0)</f>
        <v/>
      </c>
      <c r="C9" s="47">
        <f>IF($A9&lt;=C$1,INDEX(Monthly!$B$2:$B$61,C$1-$A9+1),0)</f>
        <v/>
      </c>
      <c r="D9" s="47">
        <f>IF($A9&lt;=D$1,INDEX(Monthly!$B$2:$B$61,D$1-$A9+1),0)</f>
        <v/>
      </c>
      <c r="E9" s="47">
        <f>IF($A9&lt;=E$1,INDEX(Monthly!$B$2:$B$61,E$1-$A9+1),0)</f>
        <v/>
      </c>
      <c r="F9" s="47">
        <f>IF($A9&lt;=F$1,INDEX(Monthly!$B$2:$B$61,F$1-$A9+1),0)</f>
        <v/>
      </c>
      <c r="G9" s="47">
        <f>IF($A9&lt;=G$1,INDEX(Monthly!$B$2:$B$61,G$1-$A9+1),0)</f>
        <v/>
      </c>
      <c r="H9" s="47">
        <f>IF($A9&lt;=H$1,INDEX(Monthly!$B$2:$B$61,H$1-$A9+1),0)</f>
        <v/>
      </c>
      <c r="I9" s="47">
        <f>IF($A9&lt;=I$1,INDEX(Monthly!$B$2:$B$61,I$1-$A9+1),0)</f>
        <v/>
      </c>
      <c r="J9" s="47">
        <f>IF($A9&lt;=J$1,INDEX(Monthly!$B$2:$B$61,J$1-$A9+1),0)</f>
        <v/>
      </c>
      <c r="K9" s="47">
        <f>IF($A9&lt;=K$1,INDEX(Monthly!$B$2:$B$61,K$1-$A9+1),0)</f>
        <v/>
      </c>
      <c r="L9" s="47">
        <f>IF($A9&lt;=L$1,INDEX(Monthly!$B$2:$B$61,L$1-$A9+1),0)</f>
        <v/>
      </c>
      <c r="M9" s="47">
        <f>IF($A9&lt;=M$1,INDEX(Monthly!$B$2:$B$61,M$1-$A9+1),0)</f>
        <v/>
      </c>
      <c r="N9" s="47">
        <f>IF($A9&lt;=N$1,INDEX(Monthly!$B$2:$B$61,N$1-$A9+1),0)</f>
        <v/>
      </c>
      <c r="O9" s="47">
        <f>IF($A9&lt;=O$1,INDEX(Monthly!$B$2:$B$61,O$1-$A9+1),0)</f>
        <v/>
      </c>
      <c r="P9" s="47">
        <f>IF($A9&lt;=P$1,INDEX(Monthly!$B$2:$B$61,P$1-$A9+1),0)</f>
        <v/>
      </c>
      <c r="Q9" s="47">
        <f>IF($A9&lt;=Q$1,INDEX(Monthly!$B$2:$B$61,Q$1-$A9+1),0)</f>
        <v/>
      </c>
      <c r="R9" s="47">
        <f>IF($A9&lt;=R$1,INDEX(Monthly!$B$2:$B$61,R$1-$A9+1),0)</f>
        <v/>
      </c>
      <c r="S9" s="47">
        <f>IF($A9&lt;=S$1,INDEX(Monthly!$B$2:$B$61,S$1-$A9+1),0)</f>
        <v/>
      </c>
      <c r="T9" s="47">
        <f>IF($A9&lt;=T$1,INDEX(Monthly!$B$2:$B$61,T$1-$A9+1),0)</f>
        <v/>
      </c>
      <c r="U9" s="47">
        <f>IF($A9&lt;=U$1,INDEX(Monthly!$B$2:$B$61,U$1-$A9+1),0)</f>
        <v/>
      </c>
      <c r="V9" s="47">
        <f>IF($A9&lt;=V$1,INDEX(Monthly!$B$2:$B$61,V$1-$A9+1),0)</f>
        <v/>
      </c>
      <c r="W9" s="47">
        <f>IF($A9&lt;=W$1,INDEX(Monthly!$B$2:$B$61,W$1-$A9+1),0)</f>
        <v/>
      </c>
      <c r="X9" s="47">
        <f>IF($A9&lt;=X$1,INDEX(Monthly!$B$2:$B$61,X$1-$A9+1),0)</f>
        <v/>
      </c>
      <c r="Y9" s="47">
        <f>IF($A9&lt;=Y$1,INDEX(Monthly!$B$2:$B$61,Y$1-$A9+1),0)</f>
        <v/>
      </c>
      <c r="Z9" s="47">
        <f>IF($A9&lt;=Z$1,INDEX(Monthly!$B$2:$B$61,Z$1-$A9+1),0)</f>
        <v/>
      </c>
      <c r="AA9" s="47">
        <f>IF($A9&lt;=AA$1,INDEX(Monthly!$B$2:$B$61,AA$1-$A9+1),0)</f>
        <v/>
      </c>
      <c r="AB9" s="47">
        <f>IF($A9&lt;=AB$1,INDEX(Monthly!$B$2:$B$61,AB$1-$A9+1),0)</f>
        <v/>
      </c>
      <c r="AC9" s="47">
        <f>IF($A9&lt;=AC$1,INDEX(Monthly!$B$2:$B$61,AC$1-$A9+1),0)</f>
        <v/>
      </c>
      <c r="AD9" s="47">
        <f>IF($A9&lt;=AD$1,INDEX(Monthly!$B$2:$B$61,AD$1-$A9+1),0)</f>
        <v/>
      </c>
      <c r="AE9" s="47">
        <f>IF($A9&lt;=AE$1,INDEX(Monthly!$B$2:$B$61,AE$1-$A9+1),0)</f>
        <v/>
      </c>
      <c r="AF9" s="47">
        <f>IF($A9&lt;=AF$1,INDEX(Monthly!$B$2:$B$61,AF$1-$A9+1),0)</f>
        <v/>
      </c>
      <c r="AG9" s="47">
        <f>IF($A9&lt;=AG$1,INDEX(Monthly!$B$2:$B$61,AG$1-$A9+1),0)</f>
        <v/>
      </c>
      <c r="AH9" s="47">
        <f>IF($A9&lt;=AH$1,INDEX(Monthly!$B$2:$B$61,AH$1-$A9+1),0)</f>
        <v/>
      </c>
      <c r="AI9" s="47">
        <f>IF($A9&lt;=AI$1,INDEX(Monthly!$B$2:$B$61,AI$1-$A9+1),0)</f>
        <v/>
      </c>
      <c r="AJ9" s="47">
        <f>IF($A9&lt;=AJ$1,INDEX(Monthly!$B$2:$B$61,AJ$1-$A9+1),0)</f>
        <v/>
      </c>
      <c r="AK9" s="47">
        <f>IF($A9&lt;=AK$1,INDEX(Monthly!$B$2:$B$61,AK$1-$A9+1),0)</f>
        <v/>
      </c>
      <c r="AL9" s="47">
        <f>IF($A9&lt;=AL$1,INDEX(Monthly!$B$2:$B$61,AL$1-$A9+1),0)</f>
        <v/>
      </c>
      <c r="AM9" s="47">
        <f>IF($A9&lt;=AM$1,INDEX(Monthly!$B$2:$B$61,AM$1-$A9+1),0)</f>
        <v/>
      </c>
      <c r="AN9" s="47">
        <f>IF($A9&lt;=AN$1,INDEX(Monthly!$B$2:$B$61,AN$1-$A9+1),0)</f>
        <v/>
      </c>
      <c r="AO9" s="47">
        <f>IF($A9&lt;=AO$1,INDEX(Monthly!$B$2:$B$61,AO$1-$A9+1),0)</f>
        <v/>
      </c>
      <c r="AP9" s="47">
        <f>IF($A9&lt;=AP$1,INDEX(Monthly!$B$2:$B$61,AP$1-$A9+1),0)</f>
        <v/>
      </c>
      <c r="AQ9" s="47">
        <f>IF($A9&lt;=AQ$1,INDEX(Monthly!$B$2:$B$61,AQ$1-$A9+1),0)</f>
        <v/>
      </c>
      <c r="AR9" s="47">
        <f>IF($A9&lt;=AR$1,INDEX(Monthly!$B$2:$B$61,AR$1-$A9+1),0)</f>
        <v/>
      </c>
      <c r="AS9" s="47">
        <f>IF($A9&lt;=AS$1,INDEX(Monthly!$B$2:$B$61,AS$1-$A9+1),0)</f>
        <v/>
      </c>
      <c r="AT9" s="47">
        <f>IF($A9&lt;=AT$1,INDEX(Monthly!$B$2:$B$61,AT$1-$A9+1),0)</f>
        <v/>
      </c>
      <c r="AU9" s="47">
        <f>IF($A9&lt;=AU$1,INDEX(Monthly!$B$2:$B$61,AU$1-$A9+1),0)</f>
        <v/>
      </c>
      <c r="AV9" s="47">
        <f>IF($A9&lt;=AV$1,INDEX(Monthly!$B$2:$B$61,AV$1-$A9+1),0)</f>
        <v/>
      </c>
      <c r="AW9" s="47">
        <f>IF($A9&lt;=AW$1,INDEX(Monthly!$B$2:$B$61,AW$1-$A9+1),0)</f>
        <v/>
      </c>
      <c r="AX9" s="47">
        <f>IF($A9&lt;=AX$1,INDEX(Monthly!$B$2:$B$61,AX$1-$A9+1),0)</f>
        <v/>
      </c>
      <c r="AY9" s="47">
        <f>IF($A9&lt;=AY$1,INDEX(Monthly!$B$2:$B$61,AY$1-$A9+1),0)</f>
        <v/>
      </c>
      <c r="AZ9" s="47">
        <f>IF($A9&lt;=AZ$1,INDEX(Monthly!$B$2:$B$61,AZ$1-$A9+1),0)</f>
        <v/>
      </c>
      <c r="BA9" s="47">
        <f>IF($A9&lt;=BA$1,INDEX(Monthly!$B$2:$B$61,BA$1-$A9+1),0)</f>
        <v/>
      </c>
      <c r="BB9" s="47">
        <f>IF($A9&lt;=BB$1,INDEX(Monthly!$B$2:$B$61,BB$1-$A9+1),0)</f>
        <v/>
      </c>
      <c r="BC9" s="47">
        <f>IF($A9&lt;=BC$1,INDEX(Monthly!$B$2:$B$61,BC$1-$A9+1),0)</f>
        <v/>
      </c>
      <c r="BD9" s="47">
        <f>IF($A9&lt;=BD$1,INDEX(Monthly!$B$2:$B$61,BD$1-$A9+1),0)</f>
        <v/>
      </c>
      <c r="BE9" s="47">
        <f>IF($A9&lt;=BE$1,INDEX(Monthly!$B$2:$B$61,BE$1-$A9+1),0)</f>
        <v/>
      </c>
      <c r="BF9" s="47">
        <f>IF($A9&lt;=BF$1,INDEX(Monthly!$B$2:$B$61,BF$1-$A9+1),0)</f>
        <v/>
      </c>
      <c r="BG9" s="47">
        <f>IF($A9&lt;=BG$1,INDEX(Monthly!$B$2:$B$61,BG$1-$A9+1),0)</f>
        <v/>
      </c>
      <c r="BH9" s="47">
        <f>IF($A9&lt;=BH$1,INDEX(Monthly!$B$2:$B$61,BH$1-$A9+1),0)</f>
        <v/>
      </c>
      <c r="BI9" s="47">
        <f>IF($A9&lt;=BI$1,INDEX(Monthly!$B$2:$B$61,BI$1-$A9+1),0)</f>
        <v/>
      </c>
    </row>
    <row r="10">
      <c r="A10" s="3" t="n">
        <v>9</v>
      </c>
      <c r="B10" s="47">
        <f>IF($A10&lt;=B$1,INDEX(Monthly!$B$2:$B$61,B$1-$A10+1),0)</f>
        <v/>
      </c>
      <c r="C10" s="47">
        <f>IF($A10&lt;=C$1,INDEX(Monthly!$B$2:$B$61,C$1-$A10+1),0)</f>
        <v/>
      </c>
      <c r="D10" s="47">
        <f>IF($A10&lt;=D$1,INDEX(Monthly!$B$2:$B$61,D$1-$A10+1),0)</f>
        <v/>
      </c>
      <c r="E10" s="47">
        <f>IF($A10&lt;=E$1,INDEX(Monthly!$B$2:$B$61,E$1-$A10+1),0)</f>
        <v/>
      </c>
      <c r="F10" s="47">
        <f>IF($A10&lt;=F$1,INDEX(Monthly!$B$2:$B$61,F$1-$A10+1),0)</f>
        <v/>
      </c>
      <c r="G10" s="47">
        <f>IF($A10&lt;=G$1,INDEX(Monthly!$B$2:$B$61,G$1-$A10+1),0)</f>
        <v/>
      </c>
      <c r="H10" s="47">
        <f>IF($A10&lt;=H$1,INDEX(Monthly!$B$2:$B$61,H$1-$A10+1),0)</f>
        <v/>
      </c>
      <c r="I10" s="47">
        <f>IF($A10&lt;=I$1,INDEX(Monthly!$B$2:$B$61,I$1-$A10+1),0)</f>
        <v/>
      </c>
      <c r="J10" s="47">
        <f>IF($A10&lt;=J$1,INDEX(Monthly!$B$2:$B$61,J$1-$A10+1),0)</f>
        <v/>
      </c>
      <c r="K10" s="47">
        <f>IF($A10&lt;=K$1,INDEX(Monthly!$B$2:$B$61,K$1-$A10+1),0)</f>
        <v/>
      </c>
      <c r="L10" s="47">
        <f>IF($A10&lt;=L$1,INDEX(Monthly!$B$2:$B$61,L$1-$A10+1),0)</f>
        <v/>
      </c>
      <c r="M10" s="47">
        <f>IF($A10&lt;=M$1,INDEX(Monthly!$B$2:$B$61,M$1-$A10+1),0)</f>
        <v/>
      </c>
      <c r="N10" s="47">
        <f>IF($A10&lt;=N$1,INDEX(Monthly!$B$2:$B$61,N$1-$A10+1),0)</f>
        <v/>
      </c>
      <c r="O10" s="47">
        <f>IF($A10&lt;=O$1,INDEX(Monthly!$B$2:$B$61,O$1-$A10+1),0)</f>
        <v/>
      </c>
      <c r="P10" s="47">
        <f>IF($A10&lt;=P$1,INDEX(Monthly!$B$2:$B$61,P$1-$A10+1),0)</f>
        <v/>
      </c>
      <c r="Q10" s="47">
        <f>IF($A10&lt;=Q$1,INDEX(Monthly!$B$2:$B$61,Q$1-$A10+1),0)</f>
        <v/>
      </c>
      <c r="R10" s="47">
        <f>IF($A10&lt;=R$1,INDEX(Monthly!$B$2:$B$61,R$1-$A10+1),0)</f>
        <v/>
      </c>
      <c r="S10" s="47">
        <f>IF($A10&lt;=S$1,INDEX(Monthly!$B$2:$B$61,S$1-$A10+1),0)</f>
        <v/>
      </c>
      <c r="T10" s="47">
        <f>IF($A10&lt;=T$1,INDEX(Monthly!$B$2:$B$61,T$1-$A10+1),0)</f>
        <v/>
      </c>
      <c r="U10" s="47">
        <f>IF($A10&lt;=U$1,INDEX(Monthly!$B$2:$B$61,U$1-$A10+1),0)</f>
        <v/>
      </c>
      <c r="V10" s="47">
        <f>IF($A10&lt;=V$1,INDEX(Monthly!$B$2:$B$61,V$1-$A10+1),0)</f>
        <v/>
      </c>
      <c r="W10" s="47">
        <f>IF($A10&lt;=W$1,INDEX(Monthly!$B$2:$B$61,W$1-$A10+1),0)</f>
        <v/>
      </c>
      <c r="X10" s="47">
        <f>IF($A10&lt;=X$1,INDEX(Monthly!$B$2:$B$61,X$1-$A10+1),0)</f>
        <v/>
      </c>
      <c r="Y10" s="47">
        <f>IF($A10&lt;=Y$1,INDEX(Monthly!$B$2:$B$61,Y$1-$A10+1),0)</f>
        <v/>
      </c>
      <c r="Z10" s="47">
        <f>IF($A10&lt;=Z$1,INDEX(Monthly!$B$2:$B$61,Z$1-$A10+1),0)</f>
        <v/>
      </c>
      <c r="AA10" s="47">
        <f>IF($A10&lt;=AA$1,INDEX(Monthly!$B$2:$B$61,AA$1-$A10+1),0)</f>
        <v/>
      </c>
      <c r="AB10" s="47">
        <f>IF($A10&lt;=AB$1,INDEX(Monthly!$B$2:$B$61,AB$1-$A10+1),0)</f>
        <v/>
      </c>
      <c r="AC10" s="47">
        <f>IF($A10&lt;=AC$1,INDEX(Monthly!$B$2:$B$61,AC$1-$A10+1),0)</f>
        <v/>
      </c>
      <c r="AD10" s="47">
        <f>IF($A10&lt;=AD$1,INDEX(Monthly!$B$2:$B$61,AD$1-$A10+1),0)</f>
        <v/>
      </c>
      <c r="AE10" s="47">
        <f>IF($A10&lt;=AE$1,INDEX(Monthly!$B$2:$B$61,AE$1-$A10+1),0)</f>
        <v/>
      </c>
      <c r="AF10" s="47">
        <f>IF($A10&lt;=AF$1,INDEX(Monthly!$B$2:$B$61,AF$1-$A10+1),0)</f>
        <v/>
      </c>
      <c r="AG10" s="47">
        <f>IF($A10&lt;=AG$1,INDEX(Monthly!$B$2:$B$61,AG$1-$A10+1),0)</f>
        <v/>
      </c>
      <c r="AH10" s="47">
        <f>IF($A10&lt;=AH$1,INDEX(Monthly!$B$2:$B$61,AH$1-$A10+1),0)</f>
        <v/>
      </c>
      <c r="AI10" s="47">
        <f>IF($A10&lt;=AI$1,INDEX(Monthly!$B$2:$B$61,AI$1-$A10+1),0)</f>
        <v/>
      </c>
      <c r="AJ10" s="47">
        <f>IF($A10&lt;=AJ$1,INDEX(Monthly!$B$2:$B$61,AJ$1-$A10+1),0)</f>
        <v/>
      </c>
      <c r="AK10" s="47">
        <f>IF($A10&lt;=AK$1,INDEX(Monthly!$B$2:$B$61,AK$1-$A10+1),0)</f>
        <v/>
      </c>
      <c r="AL10" s="47">
        <f>IF($A10&lt;=AL$1,INDEX(Monthly!$B$2:$B$61,AL$1-$A10+1),0)</f>
        <v/>
      </c>
      <c r="AM10" s="47">
        <f>IF($A10&lt;=AM$1,INDEX(Monthly!$B$2:$B$61,AM$1-$A10+1),0)</f>
        <v/>
      </c>
      <c r="AN10" s="47">
        <f>IF($A10&lt;=AN$1,INDEX(Monthly!$B$2:$B$61,AN$1-$A10+1),0)</f>
        <v/>
      </c>
      <c r="AO10" s="47">
        <f>IF($A10&lt;=AO$1,INDEX(Monthly!$B$2:$B$61,AO$1-$A10+1),0)</f>
        <v/>
      </c>
      <c r="AP10" s="47">
        <f>IF($A10&lt;=AP$1,INDEX(Monthly!$B$2:$B$61,AP$1-$A10+1),0)</f>
        <v/>
      </c>
      <c r="AQ10" s="47">
        <f>IF($A10&lt;=AQ$1,INDEX(Monthly!$B$2:$B$61,AQ$1-$A10+1),0)</f>
        <v/>
      </c>
      <c r="AR10" s="47">
        <f>IF($A10&lt;=AR$1,INDEX(Monthly!$B$2:$B$61,AR$1-$A10+1),0)</f>
        <v/>
      </c>
      <c r="AS10" s="47">
        <f>IF($A10&lt;=AS$1,INDEX(Monthly!$B$2:$B$61,AS$1-$A10+1),0)</f>
        <v/>
      </c>
      <c r="AT10" s="47">
        <f>IF($A10&lt;=AT$1,INDEX(Monthly!$B$2:$B$61,AT$1-$A10+1),0)</f>
        <v/>
      </c>
      <c r="AU10" s="47">
        <f>IF($A10&lt;=AU$1,INDEX(Monthly!$B$2:$B$61,AU$1-$A10+1),0)</f>
        <v/>
      </c>
      <c r="AV10" s="47">
        <f>IF($A10&lt;=AV$1,INDEX(Monthly!$B$2:$B$61,AV$1-$A10+1),0)</f>
        <v/>
      </c>
      <c r="AW10" s="47">
        <f>IF($A10&lt;=AW$1,INDEX(Monthly!$B$2:$B$61,AW$1-$A10+1),0)</f>
        <v/>
      </c>
      <c r="AX10" s="47">
        <f>IF($A10&lt;=AX$1,INDEX(Monthly!$B$2:$B$61,AX$1-$A10+1),0)</f>
        <v/>
      </c>
      <c r="AY10" s="47">
        <f>IF($A10&lt;=AY$1,INDEX(Monthly!$B$2:$B$61,AY$1-$A10+1),0)</f>
        <v/>
      </c>
      <c r="AZ10" s="47">
        <f>IF($A10&lt;=AZ$1,INDEX(Monthly!$B$2:$B$61,AZ$1-$A10+1),0)</f>
        <v/>
      </c>
      <c r="BA10" s="47">
        <f>IF($A10&lt;=BA$1,INDEX(Monthly!$B$2:$B$61,BA$1-$A10+1),0)</f>
        <v/>
      </c>
      <c r="BB10" s="47">
        <f>IF($A10&lt;=BB$1,INDEX(Monthly!$B$2:$B$61,BB$1-$A10+1),0)</f>
        <v/>
      </c>
      <c r="BC10" s="47">
        <f>IF($A10&lt;=BC$1,INDEX(Monthly!$B$2:$B$61,BC$1-$A10+1),0)</f>
        <v/>
      </c>
      <c r="BD10" s="47">
        <f>IF($A10&lt;=BD$1,INDEX(Monthly!$B$2:$B$61,BD$1-$A10+1),0)</f>
        <v/>
      </c>
      <c r="BE10" s="47">
        <f>IF($A10&lt;=BE$1,INDEX(Monthly!$B$2:$B$61,BE$1-$A10+1),0)</f>
        <v/>
      </c>
      <c r="BF10" s="47">
        <f>IF($A10&lt;=BF$1,INDEX(Monthly!$B$2:$B$61,BF$1-$A10+1),0)</f>
        <v/>
      </c>
      <c r="BG10" s="47">
        <f>IF($A10&lt;=BG$1,INDEX(Monthly!$B$2:$B$61,BG$1-$A10+1),0)</f>
        <v/>
      </c>
      <c r="BH10" s="47">
        <f>IF($A10&lt;=BH$1,INDEX(Monthly!$B$2:$B$61,BH$1-$A10+1),0)</f>
        <v/>
      </c>
      <c r="BI10" s="47">
        <f>IF($A10&lt;=BI$1,INDEX(Monthly!$B$2:$B$61,BI$1-$A10+1),0)</f>
        <v/>
      </c>
    </row>
    <row r="11">
      <c r="A11" s="3" t="n">
        <v>10</v>
      </c>
      <c r="B11" s="47">
        <f>IF($A11&lt;=B$1,INDEX(Monthly!$B$2:$B$61,B$1-$A11+1),0)</f>
        <v/>
      </c>
      <c r="C11" s="47">
        <f>IF($A11&lt;=C$1,INDEX(Monthly!$B$2:$B$61,C$1-$A11+1),0)</f>
        <v/>
      </c>
      <c r="D11" s="47">
        <f>IF($A11&lt;=D$1,INDEX(Monthly!$B$2:$B$61,D$1-$A11+1),0)</f>
        <v/>
      </c>
      <c r="E11" s="47">
        <f>IF($A11&lt;=E$1,INDEX(Monthly!$B$2:$B$61,E$1-$A11+1),0)</f>
        <v/>
      </c>
      <c r="F11" s="47">
        <f>IF($A11&lt;=F$1,INDEX(Monthly!$B$2:$B$61,F$1-$A11+1),0)</f>
        <v/>
      </c>
      <c r="G11" s="47">
        <f>IF($A11&lt;=G$1,INDEX(Monthly!$B$2:$B$61,G$1-$A11+1),0)</f>
        <v/>
      </c>
      <c r="H11" s="47">
        <f>IF($A11&lt;=H$1,INDEX(Monthly!$B$2:$B$61,H$1-$A11+1),0)</f>
        <v/>
      </c>
      <c r="I11" s="47">
        <f>IF($A11&lt;=I$1,INDEX(Monthly!$B$2:$B$61,I$1-$A11+1),0)</f>
        <v/>
      </c>
      <c r="J11" s="47">
        <f>IF($A11&lt;=J$1,INDEX(Monthly!$B$2:$B$61,J$1-$A11+1),0)</f>
        <v/>
      </c>
      <c r="K11" s="47">
        <f>IF($A11&lt;=K$1,INDEX(Monthly!$B$2:$B$61,K$1-$A11+1),0)</f>
        <v/>
      </c>
      <c r="L11" s="47">
        <f>IF($A11&lt;=L$1,INDEX(Monthly!$B$2:$B$61,L$1-$A11+1),0)</f>
        <v/>
      </c>
      <c r="M11" s="47">
        <f>IF($A11&lt;=M$1,INDEX(Monthly!$B$2:$B$61,M$1-$A11+1),0)</f>
        <v/>
      </c>
      <c r="N11" s="47">
        <f>IF($A11&lt;=N$1,INDEX(Monthly!$B$2:$B$61,N$1-$A11+1),0)</f>
        <v/>
      </c>
      <c r="O11" s="47">
        <f>IF($A11&lt;=O$1,INDEX(Monthly!$B$2:$B$61,O$1-$A11+1),0)</f>
        <v/>
      </c>
      <c r="P11" s="47">
        <f>IF($A11&lt;=P$1,INDEX(Monthly!$B$2:$B$61,P$1-$A11+1),0)</f>
        <v/>
      </c>
      <c r="Q11" s="47">
        <f>IF($A11&lt;=Q$1,INDEX(Monthly!$B$2:$B$61,Q$1-$A11+1),0)</f>
        <v/>
      </c>
      <c r="R11" s="47">
        <f>IF($A11&lt;=R$1,INDEX(Monthly!$B$2:$B$61,R$1-$A11+1),0)</f>
        <v/>
      </c>
      <c r="S11" s="47">
        <f>IF($A11&lt;=S$1,INDEX(Monthly!$B$2:$B$61,S$1-$A11+1),0)</f>
        <v/>
      </c>
      <c r="T11" s="47">
        <f>IF($A11&lt;=T$1,INDEX(Monthly!$B$2:$B$61,T$1-$A11+1),0)</f>
        <v/>
      </c>
      <c r="U11" s="47">
        <f>IF($A11&lt;=U$1,INDEX(Monthly!$B$2:$B$61,U$1-$A11+1),0)</f>
        <v/>
      </c>
      <c r="V11" s="47">
        <f>IF($A11&lt;=V$1,INDEX(Monthly!$B$2:$B$61,V$1-$A11+1),0)</f>
        <v/>
      </c>
      <c r="W11" s="47">
        <f>IF($A11&lt;=W$1,INDEX(Monthly!$B$2:$B$61,W$1-$A11+1),0)</f>
        <v/>
      </c>
      <c r="X11" s="47">
        <f>IF($A11&lt;=X$1,INDEX(Monthly!$B$2:$B$61,X$1-$A11+1),0)</f>
        <v/>
      </c>
      <c r="Y11" s="47">
        <f>IF($A11&lt;=Y$1,INDEX(Monthly!$B$2:$B$61,Y$1-$A11+1),0)</f>
        <v/>
      </c>
      <c r="Z11" s="47">
        <f>IF($A11&lt;=Z$1,INDEX(Monthly!$B$2:$B$61,Z$1-$A11+1),0)</f>
        <v/>
      </c>
      <c r="AA11" s="47">
        <f>IF($A11&lt;=AA$1,INDEX(Monthly!$B$2:$B$61,AA$1-$A11+1),0)</f>
        <v/>
      </c>
      <c r="AB11" s="47">
        <f>IF($A11&lt;=AB$1,INDEX(Monthly!$B$2:$B$61,AB$1-$A11+1),0)</f>
        <v/>
      </c>
      <c r="AC11" s="47">
        <f>IF($A11&lt;=AC$1,INDEX(Monthly!$B$2:$B$61,AC$1-$A11+1),0)</f>
        <v/>
      </c>
      <c r="AD11" s="47">
        <f>IF($A11&lt;=AD$1,INDEX(Monthly!$B$2:$B$61,AD$1-$A11+1),0)</f>
        <v/>
      </c>
      <c r="AE11" s="47">
        <f>IF($A11&lt;=AE$1,INDEX(Monthly!$B$2:$B$61,AE$1-$A11+1),0)</f>
        <v/>
      </c>
      <c r="AF11" s="47">
        <f>IF($A11&lt;=AF$1,INDEX(Monthly!$B$2:$B$61,AF$1-$A11+1),0)</f>
        <v/>
      </c>
      <c r="AG11" s="47">
        <f>IF($A11&lt;=AG$1,INDEX(Monthly!$B$2:$B$61,AG$1-$A11+1),0)</f>
        <v/>
      </c>
      <c r="AH11" s="47">
        <f>IF($A11&lt;=AH$1,INDEX(Monthly!$B$2:$B$61,AH$1-$A11+1),0)</f>
        <v/>
      </c>
      <c r="AI11" s="47">
        <f>IF($A11&lt;=AI$1,INDEX(Monthly!$B$2:$B$61,AI$1-$A11+1),0)</f>
        <v/>
      </c>
      <c r="AJ11" s="47">
        <f>IF($A11&lt;=AJ$1,INDEX(Monthly!$B$2:$B$61,AJ$1-$A11+1),0)</f>
        <v/>
      </c>
      <c r="AK11" s="47">
        <f>IF($A11&lt;=AK$1,INDEX(Monthly!$B$2:$B$61,AK$1-$A11+1),0)</f>
        <v/>
      </c>
      <c r="AL11" s="47">
        <f>IF($A11&lt;=AL$1,INDEX(Monthly!$B$2:$B$61,AL$1-$A11+1),0)</f>
        <v/>
      </c>
      <c r="AM11" s="47">
        <f>IF($A11&lt;=AM$1,INDEX(Monthly!$B$2:$B$61,AM$1-$A11+1),0)</f>
        <v/>
      </c>
      <c r="AN11" s="47">
        <f>IF($A11&lt;=AN$1,INDEX(Monthly!$B$2:$B$61,AN$1-$A11+1),0)</f>
        <v/>
      </c>
      <c r="AO11" s="47">
        <f>IF($A11&lt;=AO$1,INDEX(Monthly!$B$2:$B$61,AO$1-$A11+1),0)</f>
        <v/>
      </c>
      <c r="AP11" s="47">
        <f>IF($A11&lt;=AP$1,INDEX(Monthly!$B$2:$B$61,AP$1-$A11+1),0)</f>
        <v/>
      </c>
      <c r="AQ11" s="47">
        <f>IF($A11&lt;=AQ$1,INDEX(Monthly!$B$2:$B$61,AQ$1-$A11+1),0)</f>
        <v/>
      </c>
      <c r="AR11" s="47">
        <f>IF($A11&lt;=AR$1,INDEX(Monthly!$B$2:$B$61,AR$1-$A11+1),0)</f>
        <v/>
      </c>
      <c r="AS11" s="47">
        <f>IF($A11&lt;=AS$1,INDEX(Monthly!$B$2:$B$61,AS$1-$A11+1),0)</f>
        <v/>
      </c>
      <c r="AT11" s="47">
        <f>IF($A11&lt;=AT$1,INDEX(Monthly!$B$2:$B$61,AT$1-$A11+1),0)</f>
        <v/>
      </c>
      <c r="AU11" s="47">
        <f>IF($A11&lt;=AU$1,INDEX(Monthly!$B$2:$B$61,AU$1-$A11+1),0)</f>
        <v/>
      </c>
      <c r="AV11" s="47">
        <f>IF($A11&lt;=AV$1,INDEX(Monthly!$B$2:$B$61,AV$1-$A11+1),0)</f>
        <v/>
      </c>
      <c r="AW11" s="47">
        <f>IF($A11&lt;=AW$1,INDEX(Monthly!$B$2:$B$61,AW$1-$A11+1),0)</f>
        <v/>
      </c>
      <c r="AX11" s="47">
        <f>IF($A11&lt;=AX$1,INDEX(Monthly!$B$2:$B$61,AX$1-$A11+1),0)</f>
        <v/>
      </c>
      <c r="AY11" s="47">
        <f>IF($A11&lt;=AY$1,INDEX(Monthly!$B$2:$B$61,AY$1-$A11+1),0)</f>
        <v/>
      </c>
      <c r="AZ11" s="47">
        <f>IF($A11&lt;=AZ$1,INDEX(Monthly!$B$2:$B$61,AZ$1-$A11+1),0)</f>
        <v/>
      </c>
      <c r="BA11" s="47">
        <f>IF($A11&lt;=BA$1,INDEX(Monthly!$B$2:$B$61,BA$1-$A11+1),0)</f>
        <v/>
      </c>
      <c r="BB11" s="47">
        <f>IF($A11&lt;=BB$1,INDEX(Monthly!$B$2:$B$61,BB$1-$A11+1),0)</f>
        <v/>
      </c>
      <c r="BC11" s="47">
        <f>IF($A11&lt;=BC$1,INDEX(Monthly!$B$2:$B$61,BC$1-$A11+1),0)</f>
        <v/>
      </c>
      <c r="BD11" s="47">
        <f>IF($A11&lt;=BD$1,INDEX(Monthly!$B$2:$B$61,BD$1-$A11+1),0)</f>
        <v/>
      </c>
      <c r="BE11" s="47">
        <f>IF($A11&lt;=BE$1,INDEX(Monthly!$B$2:$B$61,BE$1-$A11+1),0)</f>
        <v/>
      </c>
      <c r="BF11" s="47">
        <f>IF($A11&lt;=BF$1,INDEX(Monthly!$B$2:$B$61,BF$1-$A11+1),0)</f>
        <v/>
      </c>
      <c r="BG11" s="47">
        <f>IF($A11&lt;=BG$1,INDEX(Monthly!$B$2:$B$61,BG$1-$A11+1),0)</f>
        <v/>
      </c>
      <c r="BH11" s="47">
        <f>IF($A11&lt;=BH$1,INDEX(Monthly!$B$2:$B$61,BH$1-$A11+1),0)</f>
        <v/>
      </c>
      <c r="BI11" s="47">
        <f>IF($A11&lt;=BI$1,INDEX(Monthly!$B$2:$B$61,BI$1-$A11+1),0)</f>
        <v/>
      </c>
    </row>
    <row r="12">
      <c r="A12" s="3" t="n">
        <v>11</v>
      </c>
      <c r="B12" s="47">
        <f>IF($A12&lt;=B$1,INDEX(Monthly!$B$2:$B$61,B$1-$A12+1),0)</f>
        <v/>
      </c>
      <c r="C12" s="47">
        <f>IF($A12&lt;=C$1,INDEX(Monthly!$B$2:$B$61,C$1-$A12+1),0)</f>
        <v/>
      </c>
      <c r="D12" s="47">
        <f>IF($A12&lt;=D$1,INDEX(Monthly!$B$2:$B$61,D$1-$A12+1),0)</f>
        <v/>
      </c>
      <c r="E12" s="47">
        <f>IF($A12&lt;=E$1,INDEX(Monthly!$B$2:$B$61,E$1-$A12+1),0)</f>
        <v/>
      </c>
      <c r="F12" s="47">
        <f>IF($A12&lt;=F$1,INDEX(Monthly!$B$2:$B$61,F$1-$A12+1),0)</f>
        <v/>
      </c>
      <c r="G12" s="47">
        <f>IF($A12&lt;=G$1,INDEX(Monthly!$B$2:$B$61,G$1-$A12+1),0)</f>
        <v/>
      </c>
      <c r="H12" s="47">
        <f>IF($A12&lt;=H$1,INDEX(Monthly!$B$2:$B$61,H$1-$A12+1),0)</f>
        <v/>
      </c>
      <c r="I12" s="47">
        <f>IF($A12&lt;=I$1,INDEX(Monthly!$B$2:$B$61,I$1-$A12+1),0)</f>
        <v/>
      </c>
      <c r="J12" s="47">
        <f>IF($A12&lt;=J$1,INDEX(Monthly!$B$2:$B$61,J$1-$A12+1),0)</f>
        <v/>
      </c>
      <c r="K12" s="47">
        <f>IF($A12&lt;=K$1,INDEX(Monthly!$B$2:$B$61,K$1-$A12+1),0)</f>
        <v/>
      </c>
      <c r="L12" s="47">
        <f>IF($A12&lt;=L$1,INDEX(Monthly!$B$2:$B$61,L$1-$A12+1),0)</f>
        <v/>
      </c>
      <c r="M12" s="47">
        <f>IF($A12&lt;=M$1,INDEX(Monthly!$B$2:$B$61,M$1-$A12+1),0)</f>
        <v/>
      </c>
      <c r="N12" s="47">
        <f>IF($A12&lt;=N$1,INDEX(Monthly!$B$2:$B$61,N$1-$A12+1),0)</f>
        <v/>
      </c>
      <c r="O12" s="47">
        <f>IF($A12&lt;=O$1,INDEX(Monthly!$B$2:$B$61,O$1-$A12+1),0)</f>
        <v/>
      </c>
      <c r="P12" s="47">
        <f>IF($A12&lt;=P$1,INDEX(Monthly!$B$2:$B$61,P$1-$A12+1),0)</f>
        <v/>
      </c>
      <c r="Q12" s="47">
        <f>IF($A12&lt;=Q$1,INDEX(Monthly!$B$2:$B$61,Q$1-$A12+1),0)</f>
        <v/>
      </c>
      <c r="R12" s="47">
        <f>IF($A12&lt;=R$1,INDEX(Monthly!$B$2:$B$61,R$1-$A12+1),0)</f>
        <v/>
      </c>
      <c r="S12" s="47">
        <f>IF($A12&lt;=S$1,INDEX(Monthly!$B$2:$B$61,S$1-$A12+1),0)</f>
        <v/>
      </c>
      <c r="T12" s="47">
        <f>IF($A12&lt;=T$1,INDEX(Monthly!$B$2:$B$61,T$1-$A12+1),0)</f>
        <v/>
      </c>
      <c r="U12" s="47">
        <f>IF($A12&lt;=U$1,INDEX(Monthly!$B$2:$B$61,U$1-$A12+1),0)</f>
        <v/>
      </c>
      <c r="V12" s="47">
        <f>IF($A12&lt;=V$1,INDEX(Monthly!$B$2:$B$61,V$1-$A12+1),0)</f>
        <v/>
      </c>
      <c r="W12" s="47">
        <f>IF($A12&lt;=W$1,INDEX(Monthly!$B$2:$B$61,W$1-$A12+1),0)</f>
        <v/>
      </c>
      <c r="X12" s="47">
        <f>IF($A12&lt;=X$1,INDEX(Monthly!$B$2:$B$61,X$1-$A12+1),0)</f>
        <v/>
      </c>
      <c r="Y12" s="47">
        <f>IF($A12&lt;=Y$1,INDEX(Monthly!$B$2:$B$61,Y$1-$A12+1),0)</f>
        <v/>
      </c>
      <c r="Z12" s="47">
        <f>IF($A12&lt;=Z$1,INDEX(Monthly!$B$2:$B$61,Z$1-$A12+1),0)</f>
        <v/>
      </c>
      <c r="AA12" s="47">
        <f>IF($A12&lt;=AA$1,INDEX(Monthly!$B$2:$B$61,AA$1-$A12+1),0)</f>
        <v/>
      </c>
      <c r="AB12" s="47">
        <f>IF($A12&lt;=AB$1,INDEX(Monthly!$B$2:$B$61,AB$1-$A12+1),0)</f>
        <v/>
      </c>
      <c r="AC12" s="47">
        <f>IF($A12&lt;=AC$1,INDEX(Monthly!$B$2:$B$61,AC$1-$A12+1),0)</f>
        <v/>
      </c>
      <c r="AD12" s="47">
        <f>IF($A12&lt;=AD$1,INDEX(Monthly!$B$2:$B$61,AD$1-$A12+1),0)</f>
        <v/>
      </c>
      <c r="AE12" s="47">
        <f>IF($A12&lt;=AE$1,INDEX(Monthly!$B$2:$B$61,AE$1-$A12+1),0)</f>
        <v/>
      </c>
      <c r="AF12" s="47">
        <f>IF($A12&lt;=AF$1,INDEX(Monthly!$B$2:$B$61,AF$1-$A12+1),0)</f>
        <v/>
      </c>
      <c r="AG12" s="47">
        <f>IF($A12&lt;=AG$1,INDEX(Monthly!$B$2:$B$61,AG$1-$A12+1),0)</f>
        <v/>
      </c>
      <c r="AH12" s="47">
        <f>IF($A12&lt;=AH$1,INDEX(Monthly!$B$2:$B$61,AH$1-$A12+1),0)</f>
        <v/>
      </c>
      <c r="AI12" s="47">
        <f>IF($A12&lt;=AI$1,INDEX(Monthly!$B$2:$B$61,AI$1-$A12+1),0)</f>
        <v/>
      </c>
      <c r="AJ12" s="47">
        <f>IF($A12&lt;=AJ$1,INDEX(Monthly!$B$2:$B$61,AJ$1-$A12+1),0)</f>
        <v/>
      </c>
      <c r="AK12" s="47">
        <f>IF($A12&lt;=AK$1,INDEX(Monthly!$B$2:$B$61,AK$1-$A12+1),0)</f>
        <v/>
      </c>
      <c r="AL12" s="47">
        <f>IF($A12&lt;=AL$1,INDEX(Monthly!$B$2:$B$61,AL$1-$A12+1),0)</f>
        <v/>
      </c>
      <c r="AM12" s="47">
        <f>IF($A12&lt;=AM$1,INDEX(Monthly!$B$2:$B$61,AM$1-$A12+1),0)</f>
        <v/>
      </c>
      <c r="AN12" s="47">
        <f>IF($A12&lt;=AN$1,INDEX(Monthly!$B$2:$B$61,AN$1-$A12+1),0)</f>
        <v/>
      </c>
      <c r="AO12" s="47">
        <f>IF($A12&lt;=AO$1,INDEX(Monthly!$B$2:$B$61,AO$1-$A12+1),0)</f>
        <v/>
      </c>
      <c r="AP12" s="47">
        <f>IF($A12&lt;=AP$1,INDEX(Monthly!$B$2:$B$61,AP$1-$A12+1),0)</f>
        <v/>
      </c>
      <c r="AQ12" s="47">
        <f>IF($A12&lt;=AQ$1,INDEX(Monthly!$B$2:$B$61,AQ$1-$A12+1),0)</f>
        <v/>
      </c>
      <c r="AR12" s="47">
        <f>IF($A12&lt;=AR$1,INDEX(Monthly!$B$2:$B$61,AR$1-$A12+1),0)</f>
        <v/>
      </c>
      <c r="AS12" s="47">
        <f>IF($A12&lt;=AS$1,INDEX(Monthly!$B$2:$B$61,AS$1-$A12+1),0)</f>
        <v/>
      </c>
      <c r="AT12" s="47">
        <f>IF($A12&lt;=AT$1,INDEX(Monthly!$B$2:$B$61,AT$1-$A12+1),0)</f>
        <v/>
      </c>
      <c r="AU12" s="47">
        <f>IF($A12&lt;=AU$1,INDEX(Monthly!$B$2:$B$61,AU$1-$A12+1),0)</f>
        <v/>
      </c>
      <c r="AV12" s="47">
        <f>IF($A12&lt;=AV$1,INDEX(Monthly!$B$2:$B$61,AV$1-$A12+1),0)</f>
        <v/>
      </c>
      <c r="AW12" s="47">
        <f>IF($A12&lt;=AW$1,INDEX(Monthly!$B$2:$B$61,AW$1-$A12+1),0)</f>
        <v/>
      </c>
      <c r="AX12" s="47">
        <f>IF($A12&lt;=AX$1,INDEX(Monthly!$B$2:$B$61,AX$1-$A12+1),0)</f>
        <v/>
      </c>
      <c r="AY12" s="47">
        <f>IF($A12&lt;=AY$1,INDEX(Monthly!$B$2:$B$61,AY$1-$A12+1),0)</f>
        <v/>
      </c>
      <c r="AZ12" s="47">
        <f>IF($A12&lt;=AZ$1,INDEX(Monthly!$B$2:$B$61,AZ$1-$A12+1),0)</f>
        <v/>
      </c>
      <c r="BA12" s="47">
        <f>IF($A12&lt;=BA$1,INDEX(Monthly!$B$2:$B$61,BA$1-$A12+1),0)</f>
        <v/>
      </c>
      <c r="BB12" s="47">
        <f>IF($A12&lt;=BB$1,INDEX(Monthly!$B$2:$B$61,BB$1-$A12+1),0)</f>
        <v/>
      </c>
      <c r="BC12" s="47">
        <f>IF($A12&lt;=BC$1,INDEX(Monthly!$B$2:$B$61,BC$1-$A12+1),0)</f>
        <v/>
      </c>
      <c r="BD12" s="47">
        <f>IF($A12&lt;=BD$1,INDEX(Monthly!$B$2:$B$61,BD$1-$A12+1),0)</f>
        <v/>
      </c>
      <c r="BE12" s="47">
        <f>IF($A12&lt;=BE$1,INDEX(Monthly!$B$2:$B$61,BE$1-$A12+1),0)</f>
        <v/>
      </c>
      <c r="BF12" s="47">
        <f>IF($A12&lt;=BF$1,INDEX(Monthly!$B$2:$B$61,BF$1-$A12+1),0)</f>
        <v/>
      </c>
      <c r="BG12" s="47">
        <f>IF($A12&lt;=BG$1,INDEX(Monthly!$B$2:$B$61,BG$1-$A12+1),0)</f>
        <v/>
      </c>
      <c r="BH12" s="47">
        <f>IF($A12&lt;=BH$1,INDEX(Monthly!$B$2:$B$61,BH$1-$A12+1),0)</f>
        <v/>
      </c>
      <c r="BI12" s="47">
        <f>IF($A12&lt;=BI$1,INDEX(Monthly!$B$2:$B$61,BI$1-$A12+1),0)</f>
        <v/>
      </c>
    </row>
    <row r="13">
      <c r="A13" s="3" t="n">
        <v>12</v>
      </c>
      <c r="B13" s="47">
        <f>IF($A13&lt;=B$1,INDEX(Monthly!$B$2:$B$61,B$1-$A13+1),0)</f>
        <v/>
      </c>
      <c r="C13" s="47">
        <f>IF($A13&lt;=C$1,INDEX(Monthly!$B$2:$B$61,C$1-$A13+1),0)</f>
        <v/>
      </c>
      <c r="D13" s="47">
        <f>IF($A13&lt;=D$1,INDEX(Monthly!$B$2:$B$61,D$1-$A13+1),0)</f>
        <v/>
      </c>
      <c r="E13" s="47">
        <f>IF($A13&lt;=E$1,INDEX(Monthly!$B$2:$B$61,E$1-$A13+1),0)</f>
        <v/>
      </c>
      <c r="F13" s="47">
        <f>IF($A13&lt;=F$1,INDEX(Monthly!$B$2:$B$61,F$1-$A13+1),0)</f>
        <v/>
      </c>
      <c r="G13" s="47">
        <f>IF($A13&lt;=G$1,INDEX(Monthly!$B$2:$B$61,G$1-$A13+1),0)</f>
        <v/>
      </c>
      <c r="H13" s="47">
        <f>IF($A13&lt;=H$1,INDEX(Monthly!$B$2:$B$61,H$1-$A13+1),0)</f>
        <v/>
      </c>
      <c r="I13" s="47">
        <f>IF($A13&lt;=I$1,INDEX(Monthly!$B$2:$B$61,I$1-$A13+1),0)</f>
        <v/>
      </c>
      <c r="J13" s="47">
        <f>IF($A13&lt;=J$1,INDEX(Monthly!$B$2:$B$61,J$1-$A13+1),0)</f>
        <v/>
      </c>
      <c r="K13" s="47">
        <f>IF($A13&lt;=K$1,INDEX(Monthly!$B$2:$B$61,K$1-$A13+1),0)</f>
        <v/>
      </c>
      <c r="L13" s="47">
        <f>IF($A13&lt;=L$1,INDEX(Monthly!$B$2:$B$61,L$1-$A13+1),0)</f>
        <v/>
      </c>
      <c r="M13" s="47">
        <f>IF($A13&lt;=M$1,INDEX(Monthly!$B$2:$B$61,M$1-$A13+1),0)</f>
        <v/>
      </c>
      <c r="N13" s="47">
        <f>IF($A13&lt;=N$1,INDEX(Monthly!$B$2:$B$61,N$1-$A13+1),0)</f>
        <v/>
      </c>
      <c r="O13" s="47">
        <f>IF($A13&lt;=O$1,INDEX(Monthly!$B$2:$B$61,O$1-$A13+1),0)</f>
        <v/>
      </c>
      <c r="P13" s="47">
        <f>IF($A13&lt;=P$1,INDEX(Monthly!$B$2:$B$61,P$1-$A13+1),0)</f>
        <v/>
      </c>
      <c r="Q13" s="47">
        <f>IF($A13&lt;=Q$1,INDEX(Monthly!$B$2:$B$61,Q$1-$A13+1),0)</f>
        <v/>
      </c>
      <c r="R13" s="47">
        <f>IF($A13&lt;=R$1,INDEX(Monthly!$B$2:$B$61,R$1-$A13+1),0)</f>
        <v/>
      </c>
      <c r="S13" s="47">
        <f>IF($A13&lt;=S$1,INDEX(Monthly!$B$2:$B$61,S$1-$A13+1),0)</f>
        <v/>
      </c>
      <c r="T13" s="47">
        <f>IF($A13&lt;=T$1,INDEX(Monthly!$B$2:$B$61,T$1-$A13+1),0)</f>
        <v/>
      </c>
      <c r="U13" s="47">
        <f>IF($A13&lt;=U$1,INDEX(Monthly!$B$2:$B$61,U$1-$A13+1),0)</f>
        <v/>
      </c>
      <c r="V13" s="47">
        <f>IF($A13&lt;=V$1,INDEX(Monthly!$B$2:$B$61,V$1-$A13+1),0)</f>
        <v/>
      </c>
      <c r="W13" s="47">
        <f>IF($A13&lt;=W$1,INDEX(Monthly!$B$2:$B$61,W$1-$A13+1),0)</f>
        <v/>
      </c>
      <c r="X13" s="47">
        <f>IF($A13&lt;=X$1,INDEX(Monthly!$B$2:$B$61,X$1-$A13+1),0)</f>
        <v/>
      </c>
      <c r="Y13" s="47">
        <f>IF($A13&lt;=Y$1,INDEX(Monthly!$B$2:$B$61,Y$1-$A13+1),0)</f>
        <v/>
      </c>
      <c r="Z13" s="47">
        <f>IF($A13&lt;=Z$1,INDEX(Monthly!$B$2:$B$61,Z$1-$A13+1),0)</f>
        <v/>
      </c>
      <c r="AA13" s="47">
        <f>IF($A13&lt;=AA$1,INDEX(Monthly!$B$2:$B$61,AA$1-$A13+1),0)</f>
        <v/>
      </c>
      <c r="AB13" s="47">
        <f>IF($A13&lt;=AB$1,INDEX(Monthly!$B$2:$B$61,AB$1-$A13+1),0)</f>
        <v/>
      </c>
      <c r="AC13" s="47">
        <f>IF($A13&lt;=AC$1,INDEX(Monthly!$B$2:$B$61,AC$1-$A13+1),0)</f>
        <v/>
      </c>
      <c r="AD13" s="47">
        <f>IF($A13&lt;=AD$1,INDEX(Monthly!$B$2:$B$61,AD$1-$A13+1),0)</f>
        <v/>
      </c>
      <c r="AE13" s="47">
        <f>IF($A13&lt;=AE$1,INDEX(Monthly!$B$2:$B$61,AE$1-$A13+1),0)</f>
        <v/>
      </c>
      <c r="AF13" s="47">
        <f>IF($A13&lt;=AF$1,INDEX(Monthly!$B$2:$B$61,AF$1-$A13+1),0)</f>
        <v/>
      </c>
      <c r="AG13" s="47">
        <f>IF($A13&lt;=AG$1,INDEX(Monthly!$B$2:$B$61,AG$1-$A13+1),0)</f>
        <v/>
      </c>
      <c r="AH13" s="47">
        <f>IF($A13&lt;=AH$1,INDEX(Monthly!$B$2:$B$61,AH$1-$A13+1),0)</f>
        <v/>
      </c>
      <c r="AI13" s="47">
        <f>IF($A13&lt;=AI$1,INDEX(Monthly!$B$2:$B$61,AI$1-$A13+1),0)</f>
        <v/>
      </c>
      <c r="AJ13" s="47">
        <f>IF($A13&lt;=AJ$1,INDEX(Monthly!$B$2:$B$61,AJ$1-$A13+1),0)</f>
        <v/>
      </c>
      <c r="AK13" s="47">
        <f>IF($A13&lt;=AK$1,INDEX(Monthly!$B$2:$B$61,AK$1-$A13+1),0)</f>
        <v/>
      </c>
      <c r="AL13" s="47">
        <f>IF($A13&lt;=AL$1,INDEX(Monthly!$B$2:$B$61,AL$1-$A13+1),0)</f>
        <v/>
      </c>
      <c r="AM13" s="47">
        <f>IF($A13&lt;=AM$1,INDEX(Monthly!$B$2:$B$61,AM$1-$A13+1),0)</f>
        <v/>
      </c>
      <c r="AN13" s="47">
        <f>IF($A13&lt;=AN$1,INDEX(Monthly!$B$2:$B$61,AN$1-$A13+1),0)</f>
        <v/>
      </c>
      <c r="AO13" s="47">
        <f>IF($A13&lt;=AO$1,INDEX(Monthly!$B$2:$B$61,AO$1-$A13+1),0)</f>
        <v/>
      </c>
      <c r="AP13" s="47">
        <f>IF($A13&lt;=AP$1,INDEX(Monthly!$B$2:$B$61,AP$1-$A13+1),0)</f>
        <v/>
      </c>
      <c r="AQ13" s="47">
        <f>IF($A13&lt;=AQ$1,INDEX(Monthly!$B$2:$B$61,AQ$1-$A13+1),0)</f>
        <v/>
      </c>
      <c r="AR13" s="47">
        <f>IF($A13&lt;=AR$1,INDEX(Monthly!$B$2:$B$61,AR$1-$A13+1),0)</f>
        <v/>
      </c>
      <c r="AS13" s="47">
        <f>IF($A13&lt;=AS$1,INDEX(Monthly!$B$2:$B$61,AS$1-$A13+1),0)</f>
        <v/>
      </c>
      <c r="AT13" s="47">
        <f>IF($A13&lt;=AT$1,INDEX(Monthly!$B$2:$B$61,AT$1-$A13+1),0)</f>
        <v/>
      </c>
      <c r="AU13" s="47">
        <f>IF($A13&lt;=AU$1,INDEX(Monthly!$B$2:$B$61,AU$1-$A13+1),0)</f>
        <v/>
      </c>
      <c r="AV13" s="47">
        <f>IF($A13&lt;=AV$1,INDEX(Monthly!$B$2:$B$61,AV$1-$A13+1),0)</f>
        <v/>
      </c>
      <c r="AW13" s="47">
        <f>IF($A13&lt;=AW$1,INDEX(Monthly!$B$2:$B$61,AW$1-$A13+1),0)</f>
        <v/>
      </c>
      <c r="AX13" s="47">
        <f>IF($A13&lt;=AX$1,INDEX(Monthly!$B$2:$B$61,AX$1-$A13+1),0)</f>
        <v/>
      </c>
      <c r="AY13" s="47">
        <f>IF($A13&lt;=AY$1,INDEX(Monthly!$B$2:$B$61,AY$1-$A13+1),0)</f>
        <v/>
      </c>
      <c r="AZ13" s="47">
        <f>IF($A13&lt;=AZ$1,INDEX(Monthly!$B$2:$B$61,AZ$1-$A13+1),0)</f>
        <v/>
      </c>
      <c r="BA13" s="47">
        <f>IF($A13&lt;=BA$1,INDEX(Monthly!$B$2:$B$61,BA$1-$A13+1),0)</f>
        <v/>
      </c>
      <c r="BB13" s="47">
        <f>IF($A13&lt;=BB$1,INDEX(Monthly!$B$2:$B$61,BB$1-$A13+1),0)</f>
        <v/>
      </c>
      <c r="BC13" s="47">
        <f>IF($A13&lt;=BC$1,INDEX(Monthly!$B$2:$B$61,BC$1-$A13+1),0)</f>
        <v/>
      </c>
      <c r="BD13" s="47">
        <f>IF($A13&lt;=BD$1,INDEX(Monthly!$B$2:$B$61,BD$1-$A13+1),0)</f>
        <v/>
      </c>
      <c r="BE13" s="47">
        <f>IF($A13&lt;=BE$1,INDEX(Monthly!$B$2:$B$61,BE$1-$A13+1),0)</f>
        <v/>
      </c>
      <c r="BF13" s="47">
        <f>IF($A13&lt;=BF$1,INDEX(Monthly!$B$2:$B$61,BF$1-$A13+1),0)</f>
        <v/>
      </c>
      <c r="BG13" s="47">
        <f>IF($A13&lt;=BG$1,INDEX(Monthly!$B$2:$B$61,BG$1-$A13+1),0)</f>
        <v/>
      </c>
      <c r="BH13" s="47">
        <f>IF($A13&lt;=BH$1,INDEX(Monthly!$B$2:$B$61,BH$1-$A13+1),0)</f>
        <v/>
      </c>
      <c r="BI13" s="47">
        <f>IF($A13&lt;=BI$1,INDEX(Monthly!$B$2:$B$61,BI$1-$A13+1),0)</f>
        <v/>
      </c>
    </row>
    <row r="14">
      <c r="A14" s="3" t="n">
        <v>13</v>
      </c>
      <c r="B14" s="47">
        <f>IF($A14&lt;=B$1,INDEX(Monthly!$B$2:$B$61,B$1-$A14+1),0)</f>
        <v/>
      </c>
      <c r="C14" s="47">
        <f>IF($A14&lt;=C$1,INDEX(Monthly!$B$2:$B$61,C$1-$A14+1),0)</f>
        <v/>
      </c>
      <c r="D14" s="47">
        <f>IF($A14&lt;=D$1,INDEX(Monthly!$B$2:$B$61,D$1-$A14+1),0)</f>
        <v/>
      </c>
      <c r="E14" s="47">
        <f>IF($A14&lt;=E$1,INDEX(Monthly!$B$2:$B$61,E$1-$A14+1),0)</f>
        <v/>
      </c>
      <c r="F14" s="47">
        <f>IF($A14&lt;=F$1,INDEX(Monthly!$B$2:$B$61,F$1-$A14+1),0)</f>
        <v/>
      </c>
      <c r="G14" s="47">
        <f>IF($A14&lt;=G$1,INDEX(Monthly!$B$2:$B$61,G$1-$A14+1),0)</f>
        <v/>
      </c>
      <c r="H14" s="47">
        <f>IF($A14&lt;=H$1,INDEX(Monthly!$B$2:$B$61,H$1-$A14+1),0)</f>
        <v/>
      </c>
      <c r="I14" s="47">
        <f>IF($A14&lt;=I$1,INDEX(Monthly!$B$2:$B$61,I$1-$A14+1),0)</f>
        <v/>
      </c>
      <c r="J14" s="47">
        <f>IF($A14&lt;=J$1,INDEX(Monthly!$B$2:$B$61,J$1-$A14+1),0)</f>
        <v/>
      </c>
      <c r="K14" s="47">
        <f>IF($A14&lt;=K$1,INDEX(Monthly!$B$2:$B$61,K$1-$A14+1),0)</f>
        <v/>
      </c>
      <c r="L14" s="47">
        <f>IF($A14&lt;=L$1,INDEX(Monthly!$B$2:$B$61,L$1-$A14+1),0)</f>
        <v/>
      </c>
      <c r="M14" s="47">
        <f>IF($A14&lt;=M$1,INDEX(Monthly!$B$2:$B$61,M$1-$A14+1),0)</f>
        <v/>
      </c>
      <c r="N14" s="47">
        <f>IF($A14&lt;=N$1,INDEX(Monthly!$B$2:$B$61,N$1-$A14+1),0)</f>
        <v/>
      </c>
      <c r="O14" s="47">
        <f>IF($A14&lt;=O$1,INDEX(Monthly!$B$2:$B$61,O$1-$A14+1),0)</f>
        <v/>
      </c>
      <c r="P14" s="47">
        <f>IF($A14&lt;=P$1,INDEX(Monthly!$B$2:$B$61,P$1-$A14+1),0)</f>
        <v/>
      </c>
      <c r="Q14" s="47">
        <f>IF($A14&lt;=Q$1,INDEX(Monthly!$B$2:$B$61,Q$1-$A14+1),0)</f>
        <v/>
      </c>
      <c r="R14" s="47">
        <f>IF($A14&lt;=R$1,INDEX(Monthly!$B$2:$B$61,R$1-$A14+1),0)</f>
        <v/>
      </c>
      <c r="S14" s="47">
        <f>IF($A14&lt;=S$1,INDEX(Monthly!$B$2:$B$61,S$1-$A14+1),0)</f>
        <v/>
      </c>
      <c r="T14" s="47">
        <f>IF($A14&lt;=T$1,INDEX(Monthly!$B$2:$B$61,T$1-$A14+1),0)</f>
        <v/>
      </c>
      <c r="U14" s="47">
        <f>IF($A14&lt;=U$1,INDEX(Monthly!$B$2:$B$61,U$1-$A14+1),0)</f>
        <v/>
      </c>
      <c r="V14" s="47">
        <f>IF($A14&lt;=V$1,INDEX(Monthly!$B$2:$B$61,V$1-$A14+1),0)</f>
        <v/>
      </c>
      <c r="W14" s="47">
        <f>IF($A14&lt;=W$1,INDEX(Monthly!$B$2:$B$61,W$1-$A14+1),0)</f>
        <v/>
      </c>
      <c r="X14" s="47">
        <f>IF($A14&lt;=X$1,INDEX(Monthly!$B$2:$B$61,X$1-$A14+1),0)</f>
        <v/>
      </c>
      <c r="Y14" s="47">
        <f>IF($A14&lt;=Y$1,INDEX(Monthly!$B$2:$B$61,Y$1-$A14+1),0)</f>
        <v/>
      </c>
      <c r="Z14" s="47">
        <f>IF($A14&lt;=Z$1,INDEX(Monthly!$B$2:$B$61,Z$1-$A14+1),0)</f>
        <v/>
      </c>
      <c r="AA14" s="47">
        <f>IF($A14&lt;=AA$1,INDEX(Monthly!$B$2:$B$61,AA$1-$A14+1),0)</f>
        <v/>
      </c>
      <c r="AB14" s="47">
        <f>IF($A14&lt;=AB$1,INDEX(Monthly!$B$2:$B$61,AB$1-$A14+1),0)</f>
        <v/>
      </c>
      <c r="AC14" s="47">
        <f>IF($A14&lt;=AC$1,INDEX(Monthly!$B$2:$B$61,AC$1-$A14+1),0)</f>
        <v/>
      </c>
      <c r="AD14" s="47">
        <f>IF($A14&lt;=AD$1,INDEX(Monthly!$B$2:$B$61,AD$1-$A14+1),0)</f>
        <v/>
      </c>
      <c r="AE14" s="47">
        <f>IF($A14&lt;=AE$1,INDEX(Monthly!$B$2:$B$61,AE$1-$A14+1),0)</f>
        <v/>
      </c>
      <c r="AF14" s="47">
        <f>IF($A14&lt;=AF$1,INDEX(Monthly!$B$2:$B$61,AF$1-$A14+1),0)</f>
        <v/>
      </c>
      <c r="AG14" s="47">
        <f>IF($A14&lt;=AG$1,INDEX(Monthly!$B$2:$B$61,AG$1-$A14+1),0)</f>
        <v/>
      </c>
      <c r="AH14" s="47">
        <f>IF($A14&lt;=AH$1,INDEX(Monthly!$B$2:$B$61,AH$1-$A14+1),0)</f>
        <v/>
      </c>
      <c r="AI14" s="47">
        <f>IF($A14&lt;=AI$1,INDEX(Monthly!$B$2:$B$61,AI$1-$A14+1),0)</f>
        <v/>
      </c>
      <c r="AJ14" s="47">
        <f>IF($A14&lt;=AJ$1,INDEX(Monthly!$B$2:$B$61,AJ$1-$A14+1),0)</f>
        <v/>
      </c>
      <c r="AK14" s="47">
        <f>IF($A14&lt;=AK$1,INDEX(Monthly!$B$2:$B$61,AK$1-$A14+1),0)</f>
        <v/>
      </c>
      <c r="AL14" s="47">
        <f>IF($A14&lt;=AL$1,INDEX(Monthly!$B$2:$B$61,AL$1-$A14+1),0)</f>
        <v/>
      </c>
      <c r="AM14" s="47">
        <f>IF($A14&lt;=AM$1,INDEX(Monthly!$B$2:$B$61,AM$1-$A14+1),0)</f>
        <v/>
      </c>
      <c r="AN14" s="47">
        <f>IF($A14&lt;=AN$1,INDEX(Monthly!$B$2:$B$61,AN$1-$A14+1),0)</f>
        <v/>
      </c>
      <c r="AO14" s="47">
        <f>IF($A14&lt;=AO$1,INDEX(Monthly!$B$2:$B$61,AO$1-$A14+1),0)</f>
        <v/>
      </c>
      <c r="AP14" s="47">
        <f>IF($A14&lt;=AP$1,INDEX(Monthly!$B$2:$B$61,AP$1-$A14+1),0)</f>
        <v/>
      </c>
      <c r="AQ14" s="47">
        <f>IF($A14&lt;=AQ$1,INDEX(Monthly!$B$2:$B$61,AQ$1-$A14+1),0)</f>
        <v/>
      </c>
      <c r="AR14" s="47">
        <f>IF($A14&lt;=AR$1,INDEX(Monthly!$B$2:$B$61,AR$1-$A14+1),0)</f>
        <v/>
      </c>
      <c r="AS14" s="47">
        <f>IF($A14&lt;=AS$1,INDEX(Monthly!$B$2:$B$61,AS$1-$A14+1),0)</f>
        <v/>
      </c>
      <c r="AT14" s="47">
        <f>IF($A14&lt;=AT$1,INDEX(Monthly!$B$2:$B$61,AT$1-$A14+1),0)</f>
        <v/>
      </c>
      <c r="AU14" s="47">
        <f>IF($A14&lt;=AU$1,INDEX(Monthly!$B$2:$B$61,AU$1-$A14+1),0)</f>
        <v/>
      </c>
      <c r="AV14" s="47">
        <f>IF($A14&lt;=AV$1,INDEX(Monthly!$B$2:$B$61,AV$1-$A14+1),0)</f>
        <v/>
      </c>
      <c r="AW14" s="47">
        <f>IF($A14&lt;=AW$1,INDEX(Monthly!$B$2:$B$61,AW$1-$A14+1),0)</f>
        <v/>
      </c>
      <c r="AX14" s="47">
        <f>IF($A14&lt;=AX$1,INDEX(Monthly!$B$2:$B$61,AX$1-$A14+1),0)</f>
        <v/>
      </c>
      <c r="AY14" s="47">
        <f>IF($A14&lt;=AY$1,INDEX(Monthly!$B$2:$B$61,AY$1-$A14+1),0)</f>
        <v/>
      </c>
      <c r="AZ14" s="47">
        <f>IF($A14&lt;=AZ$1,INDEX(Monthly!$B$2:$B$61,AZ$1-$A14+1),0)</f>
        <v/>
      </c>
      <c r="BA14" s="47">
        <f>IF($A14&lt;=BA$1,INDEX(Monthly!$B$2:$B$61,BA$1-$A14+1),0)</f>
        <v/>
      </c>
      <c r="BB14" s="47">
        <f>IF($A14&lt;=BB$1,INDEX(Monthly!$B$2:$B$61,BB$1-$A14+1),0)</f>
        <v/>
      </c>
      <c r="BC14" s="47">
        <f>IF($A14&lt;=BC$1,INDEX(Monthly!$B$2:$B$61,BC$1-$A14+1),0)</f>
        <v/>
      </c>
      <c r="BD14" s="47">
        <f>IF($A14&lt;=BD$1,INDEX(Monthly!$B$2:$B$61,BD$1-$A14+1),0)</f>
        <v/>
      </c>
      <c r="BE14" s="47">
        <f>IF($A14&lt;=BE$1,INDEX(Monthly!$B$2:$B$61,BE$1-$A14+1),0)</f>
        <v/>
      </c>
      <c r="BF14" s="47">
        <f>IF($A14&lt;=BF$1,INDEX(Monthly!$B$2:$B$61,BF$1-$A14+1),0)</f>
        <v/>
      </c>
      <c r="BG14" s="47">
        <f>IF($A14&lt;=BG$1,INDEX(Monthly!$B$2:$B$61,BG$1-$A14+1),0)</f>
        <v/>
      </c>
      <c r="BH14" s="47">
        <f>IF($A14&lt;=BH$1,INDEX(Monthly!$B$2:$B$61,BH$1-$A14+1),0)</f>
        <v/>
      </c>
      <c r="BI14" s="47">
        <f>IF($A14&lt;=BI$1,INDEX(Monthly!$B$2:$B$61,BI$1-$A14+1),0)</f>
        <v/>
      </c>
    </row>
    <row r="15">
      <c r="A15" s="3" t="n">
        <v>14</v>
      </c>
      <c r="B15" s="47">
        <f>IF($A15&lt;=B$1,INDEX(Monthly!$B$2:$B$61,B$1-$A15+1),0)</f>
        <v/>
      </c>
      <c r="C15" s="47">
        <f>IF($A15&lt;=C$1,INDEX(Monthly!$B$2:$B$61,C$1-$A15+1),0)</f>
        <v/>
      </c>
      <c r="D15" s="47">
        <f>IF($A15&lt;=D$1,INDEX(Monthly!$B$2:$B$61,D$1-$A15+1),0)</f>
        <v/>
      </c>
      <c r="E15" s="47">
        <f>IF($A15&lt;=E$1,INDEX(Monthly!$B$2:$B$61,E$1-$A15+1),0)</f>
        <v/>
      </c>
      <c r="F15" s="47">
        <f>IF($A15&lt;=F$1,INDEX(Monthly!$B$2:$B$61,F$1-$A15+1),0)</f>
        <v/>
      </c>
      <c r="G15" s="47">
        <f>IF($A15&lt;=G$1,INDEX(Monthly!$B$2:$B$61,G$1-$A15+1),0)</f>
        <v/>
      </c>
      <c r="H15" s="47">
        <f>IF($A15&lt;=H$1,INDEX(Monthly!$B$2:$B$61,H$1-$A15+1),0)</f>
        <v/>
      </c>
      <c r="I15" s="47">
        <f>IF($A15&lt;=I$1,INDEX(Monthly!$B$2:$B$61,I$1-$A15+1),0)</f>
        <v/>
      </c>
      <c r="J15" s="47">
        <f>IF($A15&lt;=J$1,INDEX(Monthly!$B$2:$B$61,J$1-$A15+1),0)</f>
        <v/>
      </c>
      <c r="K15" s="47">
        <f>IF($A15&lt;=K$1,INDEX(Monthly!$B$2:$B$61,K$1-$A15+1),0)</f>
        <v/>
      </c>
      <c r="L15" s="47">
        <f>IF($A15&lt;=L$1,INDEX(Monthly!$B$2:$B$61,L$1-$A15+1),0)</f>
        <v/>
      </c>
      <c r="M15" s="47">
        <f>IF($A15&lt;=M$1,INDEX(Monthly!$B$2:$B$61,M$1-$A15+1),0)</f>
        <v/>
      </c>
      <c r="N15" s="47">
        <f>IF($A15&lt;=N$1,INDEX(Monthly!$B$2:$B$61,N$1-$A15+1),0)</f>
        <v/>
      </c>
      <c r="O15" s="47">
        <f>IF($A15&lt;=O$1,INDEX(Monthly!$B$2:$B$61,O$1-$A15+1),0)</f>
        <v/>
      </c>
      <c r="P15" s="47">
        <f>IF($A15&lt;=P$1,INDEX(Monthly!$B$2:$B$61,P$1-$A15+1),0)</f>
        <v/>
      </c>
      <c r="Q15" s="47">
        <f>IF($A15&lt;=Q$1,INDEX(Monthly!$B$2:$B$61,Q$1-$A15+1),0)</f>
        <v/>
      </c>
      <c r="R15" s="47">
        <f>IF($A15&lt;=R$1,INDEX(Monthly!$B$2:$B$61,R$1-$A15+1),0)</f>
        <v/>
      </c>
      <c r="S15" s="47">
        <f>IF($A15&lt;=S$1,INDEX(Monthly!$B$2:$B$61,S$1-$A15+1),0)</f>
        <v/>
      </c>
      <c r="T15" s="47">
        <f>IF($A15&lt;=T$1,INDEX(Monthly!$B$2:$B$61,T$1-$A15+1),0)</f>
        <v/>
      </c>
      <c r="U15" s="47">
        <f>IF($A15&lt;=U$1,INDEX(Monthly!$B$2:$B$61,U$1-$A15+1),0)</f>
        <v/>
      </c>
      <c r="V15" s="47">
        <f>IF($A15&lt;=V$1,INDEX(Monthly!$B$2:$B$61,V$1-$A15+1),0)</f>
        <v/>
      </c>
      <c r="W15" s="47">
        <f>IF($A15&lt;=W$1,INDEX(Monthly!$B$2:$B$61,W$1-$A15+1),0)</f>
        <v/>
      </c>
      <c r="X15" s="47">
        <f>IF($A15&lt;=X$1,INDEX(Monthly!$B$2:$B$61,X$1-$A15+1),0)</f>
        <v/>
      </c>
      <c r="Y15" s="47">
        <f>IF($A15&lt;=Y$1,INDEX(Monthly!$B$2:$B$61,Y$1-$A15+1),0)</f>
        <v/>
      </c>
      <c r="Z15" s="47">
        <f>IF($A15&lt;=Z$1,INDEX(Monthly!$B$2:$B$61,Z$1-$A15+1),0)</f>
        <v/>
      </c>
      <c r="AA15" s="47">
        <f>IF($A15&lt;=AA$1,INDEX(Monthly!$B$2:$B$61,AA$1-$A15+1),0)</f>
        <v/>
      </c>
      <c r="AB15" s="47">
        <f>IF($A15&lt;=AB$1,INDEX(Monthly!$B$2:$B$61,AB$1-$A15+1),0)</f>
        <v/>
      </c>
      <c r="AC15" s="47">
        <f>IF($A15&lt;=AC$1,INDEX(Monthly!$B$2:$B$61,AC$1-$A15+1),0)</f>
        <v/>
      </c>
      <c r="AD15" s="47">
        <f>IF($A15&lt;=AD$1,INDEX(Monthly!$B$2:$B$61,AD$1-$A15+1),0)</f>
        <v/>
      </c>
      <c r="AE15" s="47">
        <f>IF($A15&lt;=AE$1,INDEX(Monthly!$B$2:$B$61,AE$1-$A15+1),0)</f>
        <v/>
      </c>
      <c r="AF15" s="47">
        <f>IF($A15&lt;=AF$1,INDEX(Monthly!$B$2:$B$61,AF$1-$A15+1),0)</f>
        <v/>
      </c>
      <c r="AG15" s="47">
        <f>IF($A15&lt;=AG$1,INDEX(Monthly!$B$2:$B$61,AG$1-$A15+1),0)</f>
        <v/>
      </c>
      <c r="AH15" s="47">
        <f>IF($A15&lt;=AH$1,INDEX(Monthly!$B$2:$B$61,AH$1-$A15+1),0)</f>
        <v/>
      </c>
      <c r="AI15" s="47">
        <f>IF($A15&lt;=AI$1,INDEX(Monthly!$B$2:$B$61,AI$1-$A15+1),0)</f>
        <v/>
      </c>
      <c r="AJ15" s="47">
        <f>IF($A15&lt;=AJ$1,INDEX(Monthly!$B$2:$B$61,AJ$1-$A15+1),0)</f>
        <v/>
      </c>
      <c r="AK15" s="47">
        <f>IF($A15&lt;=AK$1,INDEX(Monthly!$B$2:$B$61,AK$1-$A15+1),0)</f>
        <v/>
      </c>
      <c r="AL15" s="47">
        <f>IF($A15&lt;=AL$1,INDEX(Monthly!$B$2:$B$61,AL$1-$A15+1),0)</f>
        <v/>
      </c>
      <c r="AM15" s="47">
        <f>IF($A15&lt;=AM$1,INDEX(Monthly!$B$2:$B$61,AM$1-$A15+1),0)</f>
        <v/>
      </c>
      <c r="AN15" s="47">
        <f>IF($A15&lt;=AN$1,INDEX(Monthly!$B$2:$B$61,AN$1-$A15+1),0)</f>
        <v/>
      </c>
      <c r="AO15" s="47">
        <f>IF($A15&lt;=AO$1,INDEX(Monthly!$B$2:$B$61,AO$1-$A15+1),0)</f>
        <v/>
      </c>
      <c r="AP15" s="47">
        <f>IF($A15&lt;=AP$1,INDEX(Monthly!$B$2:$B$61,AP$1-$A15+1),0)</f>
        <v/>
      </c>
      <c r="AQ15" s="47">
        <f>IF($A15&lt;=AQ$1,INDEX(Monthly!$B$2:$B$61,AQ$1-$A15+1),0)</f>
        <v/>
      </c>
      <c r="AR15" s="47">
        <f>IF($A15&lt;=AR$1,INDEX(Monthly!$B$2:$B$61,AR$1-$A15+1),0)</f>
        <v/>
      </c>
      <c r="AS15" s="47">
        <f>IF($A15&lt;=AS$1,INDEX(Monthly!$B$2:$B$61,AS$1-$A15+1),0)</f>
        <v/>
      </c>
      <c r="AT15" s="47">
        <f>IF($A15&lt;=AT$1,INDEX(Monthly!$B$2:$B$61,AT$1-$A15+1),0)</f>
        <v/>
      </c>
      <c r="AU15" s="47">
        <f>IF($A15&lt;=AU$1,INDEX(Monthly!$B$2:$B$61,AU$1-$A15+1),0)</f>
        <v/>
      </c>
      <c r="AV15" s="47">
        <f>IF($A15&lt;=AV$1,INDEX(Monthly!$B$2:$B$61,AV$1-$A15+1),0)</f>
        <v/>
      </c>
      <c r="AW15" s="47">
        <f>IF($A15&lt;=AW$1,INDEX(Monthly!$B$2:$B$61,AW$1-$A15+1),0)</f>
        <v/>
      </c>
      <c r="AX15" s="47">
        <f>IF($A15&lt;=AX$1,INDEX(Monthly!$B$2:$B$61,AX$1-$A15+1),0)</f>
        <v/>
      </c>
      <c r="AY15" s="47">
        <f>IF($A15&lt;=AY$1,INDEX(Monthly!$B$2:$B$61,AY$1-$A15+1),0)</f>
        <v/>
      </c>
      <c r="AZ15" s="47">
        <f>IF($A15&lt;=AZ$1,INDEX(Monthly!$B$2:$B$61,AZ$1-$A15+1),0)</f>
        <v/>
      </c>
      <c r="BA15" s="47">
        <f>IF($A15&lt;=BA$1,INDEX(Monthly!$B$2:$B$61,BA$1-$A15+1),0)</f>
        <v/>
      </c>
      <c r="BB15" s="47">
        <f>IF($A15&lt;=BB$1,INDEX(Monthly!$B$2:$B$61,BB$1-$A15+1),0)</f>
        <v/>
      </c>
      <c r="BC15" s="47">
        <f>IF($A15&lt;=BC$1,INDEX(Monthly!$B$2:$B$61,BC$1-$A15+1),0)</f>
        <v/>
      </c>
      <c r="BD15" s="47">
        <f>IF($A15&lt;=BD$1,INDEX(Monthly!$B$2:$B$61,BD$1-$A15+1),0)</f>
        <v/>
      </c>
      <c r="BE15" s="47">
        <f>IF($A15&lt;=BE$1,INDEX(Monthly!$B$2:$B$61,BE$1-$A15+1),0)</f>
        <v/>
      </c>
      <c r="BF15" s="47">
        <f>IF($A15&lt;=BF$1,INDEX(Monthly!$B$2:$B$61,BF$1-$A15+1),0)</f>
        <v/>
      </c>
      <c r="BG15" s="47">
        <f>IF($A15&lt;=BG$1,INDEX(Monthly!$B$2:$B$61,BG$1-$A15+1),0)</f>
        <v/>
      </c>
      <c r="BH15" s="47">
        <f>IF($A15&lt;=BH$1,INDEX(Monthly!$B$2:$B$61,BH$1-$A15+1),0)</f>
        <v/>
      </c>
      <c r="BI15" s="47">
        <f>IF($A15&lt;=BI$1,INDEX(Monthly!$B$2:$B$61,BI$1-$A15+1),0)</f>
        <v/>
      </c>
    </row>
    <row r="16">
      <c r="A16" s="3" t="n">
        <v>15</v>
      </c>
      <c r="B16" s="47">
        <f>IF($A16&lt;=B$1,INDEX(Monthly!$B$2:$B$61,B$1-$A16+1),0)</f>
        <v/>
      </c>
      <c r="C16" s="47">
        <f>IF($A16&lt;=C$1,INDEX(Monthly!$B$2:$B$61,C$1-$A16+1),0)</f>
        <v/>
      </c>
      <c r="D16" s="47">
        <f>IF($A16&lt;=D$1,INDEX(Monthly!$B$2:$B$61,D$1-$A16+1),0)</f>
        <v/>
      </c>
      <c r="E16" s="47">
        <f>IF($A16&lt;=E$1,INDEX(Monthly!$B$2:$B$61,E$1-$A16+1),0)</f>
        <v/>
      </c>
      <c r="F16" s="47">
        <f>IF($A16&lt;=F$1,INDEX(Monthly!$B$2:$B$61,F$1-$A16+1),0)</f>
        <v/>
      </c>
      <c r="G16" s="47">
        <f>IF($A16&lt;=G$1,INDEX(Monthly!$B$2:$B$61,G$1-$A16+1),0)</f>
        <v/>
      </c>
      <c r="H16" s="47">
        <f>IF($A16&lt;=H$1,INDEX(Monthly!$B$2:$B$61,H$1-$A16+1),0)</f>
        <v/>
      </c>
      <c r="I16" s="47">
        <f>IF($A16&lt;=I$1,INDEX(Monthly!$B$2:$B$61,I$1-$A16+1),0)</f>
        <v/>
      </c>
      <c r="J16" s="47">
        <f>IF($A16&lt;=J$1,INDEX(Monthly!$B$2:$B$61,J$1-$A16+1),0)</f>
        <v/>
      </c>
      <c r="K16" s="47">
        <f>IF($A16&lt;=K$1,INDEX(Monthly!$B$2:$B$61,K$1-$A16+1),0)</f>
        <v/>
      </c>
      <c r="L16" s="47">
        <f>IF($A16&lt;=L$1,INDEX(Monthly!$B$2:$B$61,L$1-$A16+1),0)</f>
        <v/>
      </c>
      <c r="M16" s="47">
        <f>IF($A16&lt;=M$1,INDEX(Monthly!$B$2:$B$61,M$1-$A16+1),0)</f>
        <v/>
      </c>
      <c r="N16" s="47">
        <f>IF($A16&lt;=N$1,INDEX(Monthly!$B$2:$B$61,N$1-$A16+1),0)</f>
        <v/>
      </c>
      <c r="O16" s="47">
        <f>IF($A16&lt;=O$1,INDEX(Monthly!$B$2:$B$61,O$1-$A16+1),0)</f>
        <v/>
      </c>
      <c r="P16" s="47">
        <f>IF($A16&lt;=P$1,INDEX(Monthly!$B$2:$B$61,P$1-$A16+1),0)</f>
        <v/>
      </c>
      <c r="Q16" s="47">
        <f>IF($A16&lt;=Q$1,INDEX(Monthly!$B$2:$B$61,Q$1-$A16+1),0)</f>
        <v/>
      </c>
      <c r="R16" s="47">
        <f>IF($A16&lt;=R$1,INDEX(Monthly!$B$2:$B$61,R$1-$A16+1),0)</f>
        <v/>
      </c>
      <c r="S16" s="47">
        <f>IF($A16&lt;=S$1,INDEX(Monthly!$B$2:$B$61,S$1-$A16+1),0)</f>
        <v/>
      </c>
      <c r="T16" s="47">
        <f>IF($A16&lt;=T$1,INDEX(Monthly!$B$2:$B$61,T$1-$A16+1),0)</f>
        <v/>
      </c>
      <c r="U16" s="47">
        <f>IF($A16&lt;=U$1,INDEX(Monthly!$B$2:$B$61,U$1-$A16+1),0)</f>
        <v/>
      </c>
      <c r="V16" s="47">
        <f>IF($A16&lt;=V$1,INDEX(Monthly!$B$2:$B$61,V$1-$A16+1),0)</f>
        <v/>
      </c>
      <c r="W16" s="47">
        <f>IF($A16&lt;=W$1,INDEX(Monthly!$B$2:$B$61,W$1-$A16+1),0)</f>
        <v/>
      </c>
      <c r="X16" s="47">
        <f>IF($A16&lt;=X$1,INDEX(Monthly!$B$2:$B$61,X$1-$A16+1),0)</f>
        <v/>
      </c>
      <c r="Y16" s="47">
        <f>IF($A16&lt;=Y$1,INDEX(Monthly!$B$2:$B$61,Y$1-$A16+1),0)</f>
        <v/>
      </c>
      <c r="Z16" s="47">
        <f>IF($A16&lt;=Z$1,INDEX(Monthly!$B$2:$B$61,Z$1-$A16+1),0)</f>
        <v/>
      </c>
      <c r="AA16" s="47">
        <f>IF($A16&lt;=AA$1,INDEX(Monthly!$B$2:$B$61,AA$1-$A16+1),0)</f>
        <v/>
      </c>
      <c r="AB16" s="47">
        <f>IF($A16&lt;=AB$1,INDEX(Monthly!$B$2:$B$61,AB$1-$A16+1),0)</f>
        <v/>
      </c>
      <c r="AC16" s="47">
        <f>IF($A16&lt;=AC$1,INDEX(Monthly!$B$2:$B$61,AC$1-$A16+1),0)</f>
        <v/>
      </c>
      <c r="AD16" s="47">
        <f>IF($A16&lt;=AD$1,INDEX(Monthly!$B$2:$B$61,AD$1-$A16+1),0)</f>
        <v/>
      </c>
      <c r="AE16" s="47">
        <f>IF($A16&lt;=AE$1,INDEX(Monthly!$B$2:$B$61,AE$1-$A16+1),0)</f>
        <v/>
      </c>
      <c r="AF16" s="47">
        <f>IF($A16&lt;=AF$1,INDEX(Monthly!$B$2:$B$61,AF$1-$A16+1),0)</f>
        <v/>
      </c>
      <c r="AG16" s="47">
        <f>IF($A16&lt;=AG$1,INDEX(Monthly!$B$2:$B$61,AG$1-$A16+1),0)</f>
        <v/>
      </c>
      <c r="AH16" s="47">
        <f>IF($A16&lt;=AH$1,INDEX(Monthly!$B$2:$B$61,AH$1-$A16+1),0)</f>
        <v/>
      </c>
      <c r="AI16" s="47">
        <f>IF($A16&lt;=AI$1,INDEX(Monthly!$B$2:$B$61,AI$1-$A16+1),0)</f>
        <v/>
      </c>
      <c r="AJ16" s="47">
        <f>IF($A16&lt;=AJ$1,INDEX(Monthly!$B$2:$B$61,AJ$1-$A16+1),0)</f>
        <v/>
      </c>
      <c r="AK16" s="47">
        <f>IF($A16&lt;=AK$1,INDEX(Monthly!$B$2:$B$61,AK$1-$A16+1),0)</f>
        <v/>
      </c>
      <c r="AL16" s="47">
        <f>IF($A16&lt;=AL$1,INDEX(Monthly!$B$2:$B$61,AL$1-$A16+1),0)</f>
        <v/>
      </c>
      <c r="AM16" s="47">
        <f>IF($A16&lt;=AM$1,INDEX(Monthly!$B$2:$B$61,AM$1-$A16+1),0)</f>
        <v/>
      </c>
      <c r="AN16" s="47">
        <f>IF($A16&lt;=AN$1,INDEX(Monthly!$B$2:$B$61,AN$1-$A16+1),0)</f>
        <v/>
      </c>
      <c r="AO16" s="47">
        <f>IF($A16&lt;=AO$1,INDEX(Monthly!$B$2:$B$61,AO$1-$A16+1),0)</f>
        <v/>
      </c>
      <c r="AP16" s="47">
        <f>IF($A16&lt;=AP$1,INDEX(Monthly!$B$2:$B$61,AP$1-$A16+1),0)</f>
        <v/>
      </c>
      <c r="AQ16" s="47">
        <f>IF($A16&lt;=AQ$1,INDEX(Monthly!$B$2:$B$61,AQ$1-$A16+1),0)</f>
        <v/>
      </c>
      <c r="AR16" s="47">
        <f>IF($A16&lt;=AR$1,INDEX(Monthly!$B$2:$B$61,AR$1-$A16+1),0)</f>
        <v/>
      </c>
      <c r="AS16" s="47">
        <f>IF($A16&lt;=AS$1,INDEX(Monthly!$B$2:$B$61,AS$1-$A16+1),0)</f>
        <v/>
      </c>
      <c r="AT16" s="47">
        <f>IF($A16&lt;=AT$1,INDEX(Monthly!$B$2:$B$61,AT$1-$A16+1),0)</f>
        <v/>
      </c>
      <c r="AU16" s="47">
        <f>IF($A16&lt;=AU$1,INDEX(Monthly!$B$2:$B$61,AU$1-$A16+1),0)</f>
        <v/>
      </c>
      <c r="AV16" s="47">
        <f>IF($A16&lt;=AV$1,INDEX(Monthly!$B$2:$B$61,AV$1-$A16+1),0)</f>
        <v/>
      </c>
      <c r="AW16" s="47">
        <f>IF($A16&lt;=AW$1,INDEX(Monthly!$B$2:$B$61,AW$1-$A16+1),0)</f>
        <v/>
      </c>
      <c r="AX16" s="47">
        <f>IF($A16&lt;=AX$1,INDEX(Monthly!$B$2:$B$61,AX$1-$A16+1),0)</f>
        <v/>
      </c>
      <c r="AY16" s="47">
        <f>IF($A16&lt;=AY$1,INDEX(Monthly!$B$2:$B$61,AY$1-$A16+1),0)</f>
        <v/>
      </c>
      <c r="AZ16" s="47">
        <f>IF($A16&lt;=AZ$1,INDEX(Monthly!$B$2:$B$61,AZ$1-$A16+1),0)</f>
        <v/>
      </c>
      <c r="BA16" s="47">
        <f>IF($A16&lt;=BA$1,INDEX(Monthly!$B$2:$B$61,BA$1-$A16+1),0)</f>
        <v/>
      </c>
      <c r="BB16" s="47">
        <f>IF($A16&lt;=BB$1,INDEX(Monthly!$B$2:$B$61,BB$1-$A16+1),0)</f>
        <v/>
      </c>
      <c r="BC16" s="47">
        <f>IF($A16&lt;=BC$1,INDEX(Monthly!$B$2:$B$61,BC$1-$A16+1),0)</f>
        <v/>
      </c>
      <c r="BD16" s="47">
        <f>IF($A16&lt;=BD$1,INDEX(Monthly!$B$2:$B$61,BD$1-$A16+1),0)</f>
        <v/>
      </c>
      <c r="BE16" s="47">
        <f>IF($A16&lt;=BE$1,INDEX(Monthly!$B$2:$B$61,BE$1-$A16+1),0)</f>
        <v/>
      </c>
      <c r="BF16" s="47">
        <f>IF($A16&lt;=BF$1,INDEX(Monthly!$B$2:$B$61,BF$1-$A16+1),0)</f>
        <v/>
      </c>
      <c r="BG16" s="47">
        <f>IF($A16&lt;=BG$1,INDEX(Monthly!$B$2:$B$61,BG$1-$A16+1),0)</f>
        <v/>
      </c>
      <c r="BH16" s="47">
        <f>IF($A16&lt;=BH$1,INDEX(Monthly!$B$2:$B$61,BH$1-$A16+1),0)</f>
        <v/>
      </c>
      <c r="BI16" s="47">
        <f>IF($A16&lt;=BI$1,INDEX(Monthly!$B$2:$B$61,BI$1-$A16+1),0)</f>
        <v/>
      </c>
    </row>
    <row r="17">
      <c r="A17" s="3" t="n">
        <v>16</v>
      </c>
      <c r="B17" s="47">
        <f>IF($A17&lt;=B$1,INDEX(Monthly!$B$2:$B$61,B$1-$A17+1),0)</f>
        <v/>
      </c>
      <c r="C17" s="47">
        <f>IF($A17&lt;=C$1,INDEX(Monthly!$B$2:$B$61,C$1-$A17+1),0)</f>
        <v/>
      </c>
      <c r="D17" s="47">
        <f>IF($A17&lt;=D$1,INDEX(Monthly!$B$2:$B$61,D$1-$A17+1),0)</f>
        <v/>
      </c>
      <c r="E17" s="47">
        <f>IF($A17&lt;=E$1,INDEX(Monthly!$B$2:$B$61,E$1-$A17+1),0)</f>
        <v/>
      </c>
      <c r="F17" s="47">
        <f>IF($A17&lt;=F$1,INDEX(Monthly!$B$2:$B$61,F$1-$A17+1),0)</f>
        <v/>
      </c>
      <c r="G17" s="47">
        <f>IF($A17&lt;=G$1,INDEX(Monthly!$B$2:$B$61,G$1-$A17+1),0)</f>
        <v/>
      </c>
      <c r="H17" s="47">
        <f>IF($A17&lt;=H$1,INDEX(Monthly!$B$2:$B$61,H$1-$A17+1),0)</f>
        <v/>
      </c>
      <c r="I17" s="47">
        <f>IF($A17&lt;=I$1,INDEX(Monthly!$B$2:$B$61,I$1-$A17+1),0)</f>
        <v/>
      </c>
      <c r="J17" s="47">
        <f>IF($A17&lt;=J$1,INDEX(Monthly!$B$2:$B$61,J$1-$A17+1),0)</f>
        <v/>
      </c>
      <c r="K17" s="47">
        <f>IF($A17&lt;=K$1,INDEX(Monthly!$B$2:$B$61,K$1-$A17+1),0)</f>
        <v/>
      </c>
      <c r="L17" s="47">
        <f>IF($A17&lt;=L$1,INDEX(Monthly!$B$2:$B$61,L$1-$A17+1),0)</f>
        <v/>
      </c>
      <c r="M17" s="47">
        <f>IF($A17&lt;=M$1,INDEX(Monthly!$B$2:$B$61,M$1-$A17+1),0)</f>
        <v/>
      </c>
      <c r="N17" s="47">
        <f>IF($A17&lt;=N$1,INDEX(Monthly!$B$2:$B$61,N$1-$A17+1),0)</f>
        <v/>
      </c>
      <c r="O17" s="47">
        <f>IF($A17&lt;=O$1,INDEX(Monthly!$B$2:$B$61,O$1-$A17+1),0)</f>
        <v/>
      </c>
      <c r="P17" s="47">
        <f>IF($A17&lt;=P$1,INDEX(Monthly!$B$2:$B$61,P$1-$A17+1),0)</f>
        <v/>
      </c>
      <c r="Q17" s="47">
        <f>IF($A17&lt;=Q$1,INDEX(Monthly!$B$2:$B$61,Q$1-$A17+1),0)</f>
        <v/>
      </c>
      <c r="R17" s="47">
        <f>IF($A17&lt;=R$1,INDEX(Monthly!$B$2:$B$61,R$1-$A17+1),0)</f>
        <v/>
      </c>
      <c r="S17" s="47">
        <f>IF($A17&lt;=S$1,INDEX(Monthly!$B$2:$B$61,S$1-$A17+1),0)</f>
        <v/>
      </c>
      <c r="T17" s="47">
        <f>IF($A17&lt;=T$1,INDEX(Monthly!$B$2:$B$61,T$1-$A17+1),0)</f>
        <v/>
      </c>
      <c r="U17" s="47">
        <f>IF($A17&lt;=U$1,INDEX(Monthly!$B$2:$B$61,U$1-$A17+1),0)</f>
        <v/>
      </c>
      <c r="V17" s="47">
        <f>IF($A17&lt;=V$1,INDEX(Monthly!$B$2:$B$61,V$1-$A17+1),0)</f>
        <v/>
      </c>
      <c r="W17" s="47">
        <f>IF($A17&lt;=W$1,INDEX(Monthly!$B$2:$B$61,W$1-$A17+1),0)</f>
        <v/>
      </c>
      <c r="X17" s="47">
        <f>IF($A17&lt;=X$1,INDEX(Monthly!$B$2:$B$61,X$1-$A17+1),0)</f>
        <v/>
      </c>
      <c r="Y17" s="47">
        <f>IF($A17&lt;=Y$1,INDEX(Monthly!$B$2:$B$61,Y$1-$A17+1),0)</f>
        <v/>
      </c>
      <c r="Z17" s="47">
        <f>IF($A17&lt;=Z$1,INDEX(Monthly!$B$2:$B$61,Z$1-$A17+1),0)</f>
        <v/>
      </c>
      <c r="AA17" s="47">
        <f>IF($A17&lt;=AA$1,INDEX(Monthly!$B$2:$B$61,AA$1-$A17+1),0)</f>
        <v/>
      </c>
      <c r="AB17" s="47">
        <f>IF($A17&lt;=AB$1,INDEX(Monthly!$B$2:$B$61,AB$1-$A17+1),0)</f>
        <v/>
      </c>
      <c r="AC17" s="47">
        <f>IF($A17&lt;=AC$1,INDEX(Monthly!$B$2:$B$61,AC$1-$A17+1),0)</f>
        <v/>
      </c>
      <c r="AD17" s="47">
        <f>IF($A17&lt;=AD$1,INDEX(Monthly!$B$2:$B$61,AD$1-$A17+1),0)</f>
        <v/>
      </c>
      <c r="AE17" s="47">
        <f>IF($A17&lt;=AE$1,INDEX(Monthly!$B$2:$B$61,AE$1-$A17+1),0)</f>
        <v/>
      </c>
      <c r="AF17" s="47">
        <f>IF($A17&lt;=AF$1,INDEX(Monthly!$B$2:$B$61,AF$1-$A17+1),0)</f>
        <v/>
      </c>
      <c r="AG17" s="47">
        <f>IF($A17&lt;=AG$1,INDEX(Monthly!$B$2:$B$61,AG$1-$A17+1),0)</f>
        <v/>
      </c>
      <c r="AH17" s="47">
        <f>IF($A17&lt;=AH$1,INDEX(Monthly!$B$2:$B$61,AH$1-$A17+1),0)</f>
        <v/>
      </c>
      <c r="AI17" s="47">
        <f>IF($A17&lt;=AI$1,INDEX(Monthly!$B$2:$B$61,AI$1-$A17+1),0)</f>
        <v/>
      </c>
      <c r="AJ17" s="47">
        <f>IF($A17&lt;=AJ$1,INDEX(Monthly!$B$2:$B$61,AJ$1-$A17+1),0)</f>
        <v/>
      </c>
      <c r="AK17" s="47">
        <f>IF($A17&lt;=AK$1,INDEX(Monthly!$B$2:$B$61,AK$1-$A17+1),0)</f>
        <v/>
      </c>
      <c r="AL17" s="47">
        <f>IF($A17&lt;=AL$1,INDEX(Monthly!$B$2:$B$61,AL$1-$A17+1),0)</f>
        <v/>
      </c>
      <c r="AM17" s="47">
        <f>IF($A17&lt;=AM$1,INDEX(Monthly!$B$2:$B$61,AM$1-$A17+1),0)</f>
        <v/>
      </c>
      <c r="AN17" s="47">
        <f>IF($A17&lt;=AN$1,INDEX(Monthly!$B$2:$B$61,AN$1-$A17+1),0)</f>
        <v/>
      </c>
      <c r="AO17" s="47">
        <f>IF($A17&lt;=AO$1,INDEX(Monthly!$B$2:$B$61,AO$1-$A17+1),0)</f>
        <v/>
      </c>
      <c r="AP17" s="47">
        <f>IF($A17&lt;=AP$1,INDEX(Monthly!$B$2:$B$61,AP$1-$A17+1),0)</f>
        <v/>
      </c>
      <c r="AQ17" s="47">
        <f>IF($A17&lt;=AQ$1,INDEX(Monthly!$B$2:$B$61,AQ$1-$A17+1),0)</f>
        <v/>
      </c>
      <c r="AR17" s="47">
        <f>IF($A17&lt;=AR$1,INDEX(Monthly!$B$2:$B$61,AR$1-$A17+1),0)</f>
        <v/>
      </c>
      <c r="AS17" s="47">
        <f>IF($A17&lt;=AS$1,INDEX(Monthly!$B$2:$B$61,AS$1-$A17+1),0)</f>
        <v/>
      </c>
      <c r="AT17" s="47">
        <f>IF($A17&lt;=AT$1,INDEX(Monthly!$B$2:$B$61,AT$1-$A17+1),0)</f>
        <v/>
      </c>
      <c r="AU17" s="47">
        <f>IF($A17&lt;=AU$1,INDEX(Monthly!$B$2:$B$61,AU$1-$A17+1),0)</f>
        <v/>
      </c>
      <c r="AV17" s="47">
        <f>IF($A17&lt;=AV$1,INDEX(Monthly!$B$2:$B$61,AV$1-$A17+1),0)</f>
        <v/>
      </c>
      <c r="AW17" s="47">
        <f>IF($A17&lt;=AW$1,INDEX(Monthly!$B$2:$B$61,AW$1-$A17+1),0)</f>
        <v/>
      </c>
      <c r="AX17" s="47">
        <f>IF($A17&lt;=AX$1,INDEX(Monthly!$B$2:$B$61,AX$1-$A17+1),0)</f>
        <v/>
      </c>
      <c r="AY17" s="47">
        <f>IF($A17&lt;=AY$1,INDEX(Monthly!$B$2:$B$61,AY$1-$A17+1),0)</f>
        <v/>
      </c>
      <c r="AZ17" s="47">
        <f>IF($A17&lt;=AZ$1,INDEX(Monthly!$B$2:$B$61,AZ$1-$A17+1),0)</f>
        <v/>
      </c>
      <c r="BA17" s="47">
        <f>IF($A17&lt;=BA$1,INDEX(Monthly!$B$2:$B$61,BA$1-$A17+1),0)</f>
        <v/>
      </c>
      <c r="BB17" s="47">
        <f>IF($A17&lt;=BB$1,INDEX(Monthly!$B$2:$B$61,BB$1-$A17+1),0)</f>
        <v/>
      </c>
      <c r="BC17" s="47">
        <f>IF($A17&lt;=BC$1,INDEX(Monthly!$B$2:$B$61,BC$1-$A17+1),0)</f>
        <v/>
      </c>
      <c r="BD17" s="47">
        <f>IF($A17&lt;=BD$1,INDEX(Monthly!$B$2:$B$61,BD$1-$A17+1),0)</f>
        <v/>
      </c>
      <c r="BE17" s="47">
        <f>IF($A17&lt;=BE$1,INDEX(Monthly!$B$2:$B$61,BE$1-$A17+1),0)</f>
        <v/>
      </c>
      <c r="BF17" s="47">
        <f>IF($A17&lt;=BF$1,INDEX(Monthly!$B$2:$B$61,BF$1-$A17+1),0)</f>
        <v/>
      </c>
      <c r="BG17" s="47">
        <f>IF($A17&lt;=BG$1,INDEX(Monthly!$B$2:$B$61,BG$1-$A17+1),0)</f>
        <v/>
      </c>
      <c r="BH17" s="47">
        <f>IF($A17&lt;=BH$1,INDEX(Monthly!$B$2:$B$61,BH$1-$A17+1),0)</f>
        <v/>
      </c>
      <c r="BI17" s="47">
        <f>IF($A17&lt;=BI$1,INDEX(Monthly!$B$2:$B$61,BI$1-$A17+1),0)</f>
        <v/>
      </c>
    </row>
    <row r="18">
      <c r="A18" s="3" t="n">
        <v>17</v>
      </c>
      <c r="B18" s="47">
        <f>IF($A18&lt;=B$1,INDEX(Monthly!$B$2:$B$61,B$1-$A18+1),0)</f>
        <v/>
      </c>
      <c r="C18" s="47">
        <f>IF($A18&lt;=C$1,INDEX(Monthly!$B$2:$B$61,C$1-$A18+1),0)</f>
        <v/>
      </c>
      <c r="D18" s="47">
        <f>IF($A18&lt;=D$1,INDEX(Monthly!$B$2:$B$61,D$1-$A18+1),0)</f>
        <v/>
      </c>
      <c r="E18" s="47">
        <f>IF($A18&lt;=E$1,INDEX(Monthly!$B$2:$B$61,E$1-$A18+1),0)</f>
        <v/>
      </c>
      <c r="F18" s="47">
        <f>IF($A18&lt;=F$1,INDEX(Monthly!$B$2:$B$61,F$1-$A18+1),0)</f>
        <v/>
      </c>
      <c r="G18" s="47">
        <f>IF($A18&lt;=G$1,INDEX(Monthly!$B$2:$B$61,G$1-$A18+1),0)</f>
        <v/>
      </c>
      <c r="H18" s="47">
        <f>IF($A18&lt;=H$1,INDEX(Monthly!$B$2:$B$61,H$1-$A18+1),0)</f>
        <v/>
      </c>
      <c r="I18" s="47">
        <f>IF($A18&lt;=I$1,INDEX(Monthly!$B$2:$B$61,I$1-$A18+1),0)</f>
        <v/>
      </c>
      <c r="J18" s="47">
        <f>IF($A18&lt;=J$1,INDEX(Monthly!$B$2:$B$61,J$1-$A18+1),0)</f>
        <v/>
      </c>
      <c r="K18" s="47">
        <f>IF($A18&lt;=K$1,INDEX(Monthly!$B$2:$B$61,K$1-$A18+1),0)</f>
        <v/>
      </c>
      <c r="L18" s="47">
        <f>IF($A18&lt;=L$1,INDEX(Monthly!$B$2:$B$61,L$1-$A18+1),0)</f>
        <v/>
      </c>
      <c r="M18" s="47">
        <f>IF($A18&lt;=M$1,INDEX(Monthly!$B$2:$B$61,M$1-$A18+1),0)</f>
        <v/>
      </c>
      <c r="N18" s="47">
        <f>IF($A18&lt;=N$1,INDEX(Monthly!$B$2:$B$61,N$1-$A18+1),0)</f>
        <v/>
      </c>
      <c r="O18" s="47">
        <f>IF($A18&lt;=O$1,INDEX(Monthly!$B$2:$B$61,O$1-$A18+1),0)</f>
        <v/>
      </c>
      <c r="P18" s="47">
        <f>IF($A18&lt;=P$1,INDEX(Monthly!$B$2:$B$61,P$1-$A18+1),0)</f>
        <v/>
      </c>
      <c r="Q18" s="47">
        <f>IF($A18&lt;=Q$1,INDEX(Monthly!$B$2:$B$61,Q$1-$A18+1),0)</f>
        <v/>
      </c>
      <c r="R18" s="47">
        <f>IF($A18&lt;=R$1,INDEX(Monthly!$B$2:$B$61,R$1-$A18+1),0)</f>
        <v/>
      </c>
      <c r="S18" s="47">
        <f>IF($A18&lt;=S$1,INDEX(Monthly!$B$2:$B$61,S$1-$A18+1),0)</f>
        <v/>
      </c>
      <c r="T18" s="47">
        <f>IF($A18&lt;=T$1,INDEX(Monthly!$B$2:$B$61,T$1-$A18+1),0)</f>
        <v/>
      </c>
      <c r="U18" s="47">
        <f>IF($A18&lt;=U$1,INDEX(Monthly!$B$2:$B$61,U$1-$A18+1),0)</f>
        <v/>
      </c>
      <c r="V18" s="47">
        <f>IF($A18&lt;=V$1,INDEX(Monthly!$B$2:$B$61,V$1-$A18+1),0)</f>
        <v/>
      </c>
      <c r="W18" s="47">
        <f>IF($A18&lt;=W$1,INDEX(Monthly!$B$2:$B$61,W$1-$A18+1),0)</f>
        <v/>
      </c>
      <c r="X18" s="47">
        <f>IF($A18&lt;=X$1,INDEX(Monthly!$B$2:$B$61,X$1-$A18+1),0)</f>
        <v/>
      </c>
      <c r="Y18" s="47">
        <f>IF($A18&lt;=Y$1,INDEX(Monthly!$B$2:$B$61,Y$1-$A18+1),0)</f>
        <v/>
      </c>
      <c r="Z18" s="47">
        <f>IF($A18&lt;=Z$1,INDEX(Monthly!$B$2:$B$61,Z$1-$A18+1),0)</f>
        <v/>
      </c>
      <c r="AA18" s="47">
        <f>IF($A18&lt;=AA$1,INDEX(Monthly!$B$2:$B$61,AA$1-$A18+1),0)</f>
        <v/>
      </c>
      <c r="AB18" s="47">
        <f>IF($A18&lt;=AB$1,INDEX(Monthly!$B$2:$B$61,AB$1-$A18+1),0)</f>
        <v/>
      </c>
      <c r="AC18" s="47">
        <f>IF($A18&lt;=AC$1,INDEX(Monthly!$B$2:$B$61,AC$1-$A18+1),0)</f>
        <v/>
      </c>
      <c r="AD18" s="47">
        <f>IF($A18&lt;=AD$1,INDEX(Monthly!$B$2:$B$61,AD$1-$A18+1),0)</f>
        <v/>
      </c>
      <c r="AE18" s="47">
        <f>IF($A18&lt;=AE$1,INDEX(Monthly!$B$2:$B$61,AE$1-$A18+1),0)</f>
        <v/>
      </c>
      <c r="AF18" s="47">
        <f>IF($A18&lt;=AF$1,INDEX(Monthly!$B$2:$B$61,AF$1-$A18+1),0)</f>
        <v/>
      </c>
      <c r="AG18" s="47">
        <f>IF($A18&lt;=AG$1,INDEX(Monthly!$B$2:$B$61,AG$1-$A18+1),0)</f>
        <v/>
      </c>
      <c r="AH18" s="47">
        <f>IF($A18&lt;=AH$1,INDEX(Monthly!$B$2:$B$61,AH$1-$A18+1),0)</f>
        <v/>
      </c>
      <c r="AI18" s="47">
        <f>IF($A18&lt;=AI$1,INDEX(Monthly!$B$2:$B$61,AI$1-$A18+1),0)</f>
        <v/>
      </c>
      <c r="AJ18" s="47">
        <f>IF($A18&lt;=AJ$1,INDEX(Monthly!$B$2:$B$61,AJ$1-$A18+1),0)</f>
        <v/>
      </c>
      <c r="AK18" s="47">
        <f>IF($A18&lt;=AK$1,INDEX(Monthly!$B$2:$B$61,AK$1-$A18+1),0)</f>
        <v/>
      </c>
      <c r="AL18" s="47">
        <f>IF($A18&lt;=AL$1,INDEX(Monthly!$B$2:$B$61,AL$1-$A18+1),0)</f>
        <v/>
      </c>
      <c r="AM18" s="47">
        <f>IF($A18&lt;=AM$1,INDEX(Monthly!$B$2:$B$61,AM$1-$A18+1),0)</f>
        <v/>
      </c>
      <c r="AN18" s="47">
        <f>IF($A18&lt;=AN$1,INDEX(Monthly!$B$2:$B$61,AN$1-$A18+1),0)</f>
        <v/>
      </c>
      <c r="AO18" s="47">
        <f>IF($A18&lt;=AO$1,INDEX(Monthly!$B$2:$B$61,AO$1-$A18+1),0)</f>
        <v/>
      </c>
      <c r="AP18" s="47">
        <f>IF($A18&lt;=AP$1,INDEX(Monthly!$B$2:$B$61,AP$1-$A18+1),0)</f>
        <v/>
      </c>
      <c r="AQ18" s="47">
        <f>IF($A18&lt;=AQ$1,INDEX(Monthly!$B$2:$B$61,AQ$1-$A18+1),0)</f>
        <v/>
      </c>
      <c r="AR18" s="47">
        <f>IF($A18&lt;=AR$1,INDEX(Monthly!$B$2:$B$61,AR$1-$A18+1),0)</f>
        <v/>
      </c>
      <c r="AS18" s="47">
        <f>IF($A18&lt;=AS$1,INDEX(Monthly!$B$2:$B$61,AS$1-$A18+1),0)</f>
        <v/>
      </c>
      <c r="AT18" s="47">
        <f>IF($A18&lt;=AT$1,INDEX(Monthly!$B$2:$B$61,AT$1-$A18+1),0)</f>
        <v/>
      </c>
      <c r="AU18" s="47">
        <f>IF($A18&lt;=AU$1,INDEX(Monthly!$B$2:$B$61,AU$1-$A18+1),0)</f>
        <v/>
      </c>
      <c r="AV18" s="47">
        <f>IF($A18&lt;=AV$1,INDEX(Monthly!$B$2:$B$61,AV$1-$A18+1),0)</f>
        <v/>
      </c>
      <c r="AW18" s="47">
        <f>IF($A18&lt;=AW$1,INDEX(Monthly!$B$2:$B$61,AW$1-$A18+1),0)</f>
        <v/>
      </c>
      <c r="AX18" s="47">
        <f>IF($A18&lt;=AX$1,INDEX(Monthly!$B$2:$B$61,AX$1-$A18+1),0)</f>
        <v/>
      </c>
      <c r="AY18" s="47">
        <f>IF($A18&lt;=AY$1,INDEX(Monthly!$B$2:$B$61,AY$1-$A18+1),0)</f>
        <v/>
      </c>
      <c r="AZ18" s="47">
        <f>IF($A18&lt;=AZ$1,INDEX(Monthly!$B$2:$B$61,AZ$1-$A18+1),0)</f>
        <v/>
      </c>
      <c r="BA18" s="47">
        <f>IF($A18&lt;=BA$1,INDEX(Monthly!$B$2:$B$61,BA$1-$A18+1),0)</f>
        <v/>
      </c>
      <c r="BB18" s="47">
        <f>IF($A18&lt;=BB$1,INDEX(Monthly!$B$2:$B$61,BB$1-$A18+1),0)</f>
        <v/>
      </c>
      <c r="BC18" s="47">
        <f>IF($A18&lt;=BC$1,INDEX(Monthly!$B$2:$B$61,BC$1-$A18+1),0)</f>
        <v/>
      </c>
      <c r="BD18" s="47">
        <f>IF($A18&lt;=BD$1,INDEX(Monthly!$B$2:$B$61,BD$1-$A18+1),0)</f>
        <v/>
      </c>
      <c r="BE18" s="47">
        <f>IF($A18&lt;=BE$1,INDEX(Monthly!$B$2:$B$61,BE$1-$A18+1),0)</f>
        <v/>
      </c>
      <c r="BF18" s="47">
        <f>IF($A18&lt;=BF$1,INDEX(Monthly!$B$2:$B$61,BF$1-$A18+1),0)</f>
        <v/>
      </c>
      <c r="BG18" s="47">
        <f>IF($A18&lt;=BG$1,INDEX(Monthly!$B$2:$B$61,BG$1-$A18+1),0)</f>
        <v/>
      </c>
      <c r="BH18" s="47">
        <f>IF($A18&lt;=BH$1,INDEX(Monthly!$B$2:$B$61,BH$1-$A18+1),0)</f>
        <v/>
      </c>
      <c r="BI18" s="47">
        <f>IF($A18&lt;=BI$1,INDEX(Monthly!$B$2:$B$61,BI$1-$A18+1),0)</f>
        <v/>
      </c>
    </row>
    <row r="19">
      <c r="A19" s="3" t="n">
        <v>18</v>
      </c>
      <c r="B19" s="47">
        <f>IF($A19&lt;=B$1,INDEX(Monthly!$B$2:$B$61,B$1-$A19+1),0)</f>
        <v/>
      </c>
      <c r="C19" s="47">
        <f>IF($A19&lt;=C$1,INDEX(Monthly!$B$2:$B$61,C$1-$A19+1),0)</f>
        <v/>
      </c>
      <c r="D19" s="47">
        <f>IF($A19&lt;=D$1,INDEX(Monthly!$B$2:$B$61,D$1-$A19+1),0)</f>
        <v/>
      </c>
      <c r="E19" s="47">
        <f>IF($A19&lt;=E$1,INDEX(Monthly!$B$2:$B$61,E$1-$A19+1),0)</f>
        <v/>
      </c>
      <c r="F19" s="47">
        <f>IF($A19&lt;=F$1,INDEX(Monthly!$B$2:$B$61,F$1-$A19+1),0)</f>
        <v/>
      </c>
      <c r="G19" s="47">
        <f>IF($A19&lt;=G$1,INDEX(Monthly!$B$2:$B$61,G$1-$A19+1),0)</f>
        <v/>
      </c>
      <c r="H19" s="47">
        <f>IF($A19&lt;=H$1,INDEX(Monthly!$B$2:$B$61,H$1-$A19+1),0)</f>
        <v/>
      </c>
      <c r="I19" s="47">
        <f>IF($A19&lt;=I$1,INDEX(Monthly!$B$2:$B$61,I$1-$A19+1),0)</f>
        <v/>
      </c>
      <c r="J19" s="47">
        <f>IF($A19&lt;=J$1,INDEX(Monthly!$B$2:$B$61,J$1-$A19+1),0)</f>
        <v/>
      </c>
      <c r="K19" s="47">
        <f>IF($A19&lt;=K$1,INDEX(Monthly!$B$2:$B$61,K$1-$A19+1),0)</f>
        <v/>
      </c>
      <c r="L19" s="47">
        <f>IF($A19&lt;=L$1,INDEX(Monthly!$B$2:$B$61,L$1-$A19+1),0)</f>
        <v/>
      </c>
      <c r="M19" s="47">
        <f>IF($A19&lt;=M$1,INDEX(Monthly!$B$2:$B$61,M$1-$A19+1),0)</f>
        <v/>
      </c>
      <c r="N19" s="47">
        <f>IF($A19&lt;=N$1,INDEX(Monthly!$B$2:$B$61,N$1-$A19+1),0)</f>
        <v/>
      </c>
      <c r="O19" s="47">
        <f>IF($A19&lt;=O$1,INDEX(Monthly!$B$2:$B$61,O$1-$A19+1),0)</f>
        <v/>
      </c>
      <c r="P19" s="47">
        <f>IF($A19&lt;=P$1,INDEX(Monthly!$B$2:$B$61,P$1-$A19+1),0)</f>
        <v/>
      </c>
      <c r="Q19" s="47">
        <f>IF($A19&lt;=Q$1,INDEX(Monthly!$B$2:$B$61,Q$1-$A19+1),0)</f>
        <v/>
      </c>
      <c r="R19" s="47">
        <f>IF($A19&lt;=R$1,INDEX(Monthly!$B$2:$B$61,R$1-$A19+1),0)</f>
        <v/>
      </c>
      <c r="S19" s="47">
        <f>IF($A19&lt;=S$1,INDEX(Monthly!$B$2:$B$61,S$1-$A19+1),0)</f>
        <v/>
      </c>
      <c r="T19" s="47">
        <f>IF($A19&lt;=T$1,INDEX(Monthly!$B$2:$B$61,T$1-$A19+1),0)</f>
        <v/>
      </c>
      <c r="U19" s="47">
        <f>IF($A19&lt;=U$1,INDEX(Monthly!$B$2:$B$61,U$1-$A19+1),0)</f>
        <v/>
      </c>
      <c r="V19" s="47">
        <f>IF($A19&lt;=V$1,INDEX(Monthly!$B$2:$B$61,V$1-$A19+1),0)</f>
        <v/>
      </c>
      <c r="W19" s="47">
        <f>IF($A19&lt;=W$1,INDEX(Monthly!$B$2:$B$61,W$1-$A19+1),0)</f>
        <v/>
      </c>
      <c r="X19" s="47">
        <f>IF($A19&lt;=X$1,INDEX(Monthly!$B$2:$B$61,X$1-$A19+1),0)</f>
        <v/>
      </c>
      <c r="Y19" s="47">
        <f>IF($A19&lt;=Y$1,INDEX(Monthly!$B$2:$B$61,Y$1-$A19+1),0)</f>
        <v/>
      </c>
      <c r="Z19" s="47">
        <f>IF($A19&lt;=Z$1,INDEX(Monthly!$B$2:$B$61,Z$1-$A19+1),0)</f>
        <v/>
      </c>
      <c r="AA19" s="47">
        <f>IF($A19&lt;=AA$1,INDEX(Monthly!$B$2:$B$61,AA$1-$A19+1),0)</f>
        <v/>
      </c>
      <c r="AB19" s="47">
        <f>IF($A19&lt;=AB$1,INDEX(Monthly!$B$2:$B$61,AB$1-$A19+1),0)</f>
        <v/>
      </c>
      <c r="AC19" s="47">
        <f>IF($A19&lt;=AC$1,INDEX(Monthly!$B$2:$B$61,AC$1-$A19+1),0)</f>
        <v/>
      </c>
      <c r="AD19" s="47">
        <f>IF($A19&lt;=AD$1,INDEX(Monthly!$B$2:$B$61,AD$1-$A19+1),0)</f>
        <v/>
      </c>
      <c r="AE19" s="47">
        <f>IF($A19&lt;=AE$1,INDEX(Monthly!$B$2:$B$61,AE$1-$A19+1),0)</f>
        <v/>
      </c>
      <c r="AF19" s="47">
        <f>IF($A19&lt;=AF$1,INDEX(Monthly!$B$2:$B$61,AF$1-$A19+1),0)</f>
        <v/>
      </c>
      <c r="AG19" s="47">
        <f>IF($A19&lt;=AG$1,INDEX(Monthly!$B$2:$B$61,AG$1-$A19+1),0)</f>
        <v/>
      </c>
      <c r="AH19" s="47">
        <f>IF($A19&lt;=AH$1,INDEX(Monthly!$B$2:$B$61,AH$1-$A19+1),0)</f>
        <v/>
      </c>
      <c r="AI19" s="47">
        <f>IF($A19&lt;=AI$1,INDEX(Monthly!$B$2:$B$61,AI$1-$A19+1),0)</f>
        <v/>
      </c>
      <c r="AJ19" s="47">
        <f>IF($A19&lt;=AJ$1,INDEX(Monthly!$B$2:$B$61,AJ$1-$A19+1),0)</f>
        <v/>
      </c>
      <c r="AK19" s="47">
        <f>IF($A19&lt;=AK$1,INDEX(Monthly!$B$2:$B$61,AK$1-$A19+1),0)</f>
        <v/>
      </c>
      <c r="AL19" s="47">
        <f>IF($A19&lt;=AL$1,INDEX(Monthly!$B$2:$B$61,AL$1-$A19+1),0)</f>
        <v/>
      </c>
      <c r="AM19" s="47">
        <f>IF($A19&lt;=AM$1,INDEX(Monthly!$B$2:$B$61,AM$1-$A19+1),0)</f>
        <v/>
      </c>
      <c r="AN19" s="47">
        <f>IF($A19&lt;=AN$1,INDEX(Monthly!$B$2:$B$61,AN$1-$A19+1),0)</f>
        <v/>
      </c>
      <c r="AO19" s="47">
        <f>IF($A19&lt;=AO$1,INDEX(Monthly!$B$2:$B$61,AO$1-$A19+1),0)</f>
        <v/>
      </c>
      <c r="AP19" s="47">
        <f>IF($A19&lt;=AP$1,INDEX(Monthly!$B$2:$B$61,AP$1-$A19+1),0)</f>
        <v/>
      </c>
      <c r="AQ19" s="47">
        <f>IF($A19&lt;=AQ$1,INDEX(Monthly!$B$2:$B$61,AQ$1-$A19+1),0)</f>
        <v/>
      </c>
      <c r="AR19" s="47">
        <f>IF($A19&lt;=AR$1,INDEX(Monthly!$B$2:$B$61,AR$1-$A19+1),0)</f>
        <v/>
      </c>
      <c r="AS19" s="47">
        <f>IF($A19&lt;=AS$1,INDEX(Monthly!$B$2:$B$61,AS$1-$A19+1),0)</f>
        <v/>
      </c>
      <c r="AT19" s="47">
        <f>IF($A19&lt;=AT$1,INDEX(Monthly!$B$2:$B$61,AT$1-$A19+1),0)</f>
        <v/>
      </c>
      <c r="AU19" s="47">
        <f>IF($A19&lt;=AU$1,INDEX(Monthly!$B$2:$B$61,AU$1-$A19+1),0)</f>
        <v/>
      </c>
      <c r="AV19" s="47">
        <f>IF($A19&lt;=AV$1,INDEX(Monthly!$B$2:$B$61,AV$1-$A19+1),0)</f>
        <v/>
      </c>
      <c r="AW19" s="47">
        <f>IF($A19&lt;=AW$1,INDEX(Monthly!$B$2:$B$61,AW$1-$A19+1),0)</f>
        <v/>
      </c>
      <c r="AX19" s="47">
        <f>IF($A19&lt;=AX$1,INDEX(Monthly!$B$2:$B$61,AX$1-$A19+1),0)</f>
        <v/>
      </c>
      <c r="AY19" s="47">
        <f>IF($A19&lt;=AY$1,INDEX(Monthly!$B$2:$B$61,AY$1-$A19+1),0)</f>
        <v/>
      </c>
      <c r="AZ19" s="47">
        <f>IF($A19&lt;=AZ$1,INDEX(Monthly!$B$2:$B$61,AZ$1-$A19+1),0)</f>
        <v/>
      </c>
      <c r="BA19" s="47">
        <f>IF($A19&lt;=BA$1,INDEX(Monthly!$B$2:$B$61,BA$1-$A19+1),0)</f>
        <v/>
      </c>
      <c r="BB19" s="47">
        <f>IF($A19&lt;=BB$1,INDEX(Monthly!$B$2:$B$61,BB$1-$A19+1),0)</f>
        <v/>
      </c>
      <c r="BC19" s="47">
        <f>IF($A19&lt;=BC$1,INDEX(Monthly!$B$2:$B$61,BC$1-$A19+1),0)</f>
        <v/>
      </c>
      <c r="BD19" s="47">
        <f>IF($A19&lt;=BD$1,INDEX(Monthly!$B$2:$B$61,BD$1-$A19+1),0)</f>
        <v/>
      </c>
      <c r="BE19" s="47">
        <f>IF($A19&lt;=BE$1,INDEX(Monthly!$B$2:$B$61,BE$1-$A19+1),0)</f>
        <v/>
      </c>
      <c r="BF19" s="47">
        <f>IF($A19&lt;=BF$1,INDEX(Monthly!$B$2:$B$61,BF$1-$A19+1),0)</f>
        <v/>
      </c>
      <c r="BG19" s="47">
        <f>IF($A19&lt;=BG$1,INDEX(Monthly!$B$2:$B$61,BG$1-$A19+1),0)</f>
        <v/>
      </c>
      <c r="BH19" s="47">
        <f>IF($A19&lt;=BH$1,INDEX(Monthly!$B$2:$B$61,BH$1-$A19+1),0)</f>
        <v/>
      </c>
      <c r="BI19" s="47">
        <f>IF($A19&lt;=BI$1,INDEX(Monthly!$B$2:$B$61,BI$1-$A19+1),0)</f>
        <v/>
      </c>
    </row>
    <row r="20">
      <c r="A20" s="3" t="n">
        <v>19</v>
      </c>
      <c r="B20" s="47">
        <f>IF($A20&lt;=B$1,INDEX(Monthly!$B$2:$B$61,B$1-$A20+1),0)</f>
        <v/>
      </c>
      <c r="C20" s="47">
        <f>IF($A20&lt;=C$1,INDEX(Monthly!$B$2:$B$61,C$1-$A20+1),0)</f>
        <v/>
      </c>
      <c r="D20" s="47">
        <f>IF($A20&lt;=D$1,INDEX(Monthly!$B$2:$B$61,D$1-$A20+1),0)</f>
        <v/>
      </c>
      <c r="E20" s="47">
        <f>IF($A20&lt;=E$1,INDEX(Monthly!$B$2:$B$61,E$1-$A20+1),0)</f>
        <v/>
      </c>
      <c r="F20" s="47">
        <f>IF($A20&lt;=F$1,INDEX(Monthly!$B$2:$B$61,F$1-$A20+1),0)</f>
        <v/>
      </c>
      <c r="G20" s="47">
        <f>IF($A20&lt;=G$1,INDEX(Monthly!$B$2:$B$61,G$1-$A20+1),0)</f>
        <v/>
      </c>
      <c r="H20" s="47">
        <f>IF($A20&lt;=H$1,INDEX(Monthly!$B$2:$B$61,H$1-$A20+1),0)</f>
        <v/>
      </c>
      <c r="I20" s="47">
        <f>IF($A20&lt;=I$1,INDEX(Monthly!$B$2:$B$61,I$1-$A20+1),0)</f>
        <v/>
      </c>
      <c r="J20" s="47">
        <f>IF($A20&lt;=J$1,INDEX(Monthly!$B$2:$B$61,J$1-$A20+1),0)</f>
        <v/>
      </c>
      <c r="K20" s="47">
        <f>IF($A20&lt;=K$1,INDEX(Monthly!$B$2:$B$61,K$1-$A20+1),0)</f>
        <v/>
      </c>
      <c r="L20" s="47">
        <f>IF($A20&lt;=L$1,INDEX(Monthly!$B$2:$B$61,L$1-$A20+1),0)</f>
        <v/>
      </c>
      <c r="M20" s="47">
        <f>IF($A20&lt;=M$1,INDEX(Monthly!$B$2:$B$61,M$1-$A20+1),0)</f>
        <v/>
      </c>
      <c r="N20" s="47">
        <f>IF($A20&lt;=N$1,INDEX(Monthly!$B$2:$B$61,N$1-$A20+1),0)</f>
        <v/>
      </c>
      <c r="O20" s="47">
        <f>IF($A20&lt;=O$1,INDEX(Monthly!$B$2:$B$61,O$1-$A20+1),0)</f>
        <v/>
      </c>
      <c r="P20" s="47">
        <f>IF($A20&lt;=P$1,INDEX(Monthly!$B$2:$B$61,P$1-$A20+1),0)</f>
        <v/>
      </c>
      <c r="Q20" s="47">
        <f>IF($A20&lt;=Q$1,INDEX(Monthly!$B$2:$B$61,Q$1-$A20+1),0)</f>
        <v/>
      </c>
      <c r="R20" s="47">
        <f>IF($A20&lt;=R$1,INDEX(Monthly!$B$2:$B$61,R$1-$A20+1),0)</f>
        <v/>
      </c>
      <c r="S20" s="47">
        <f>IF($A20&lt;=S$1,INDEX(Monthly!$B$2:$B$61,S$1-$A20+1),0)</f>
        <v/>
      </c>
      <c r="T20" s="47">
        <f>IF($A20&lt;=T$1,INDEX(Monthly!$B$2:$B$61,T$1-$A20+1),0)</f>
        <v/>
      </c>
      <c r="U20" s="47">
        <f>IF($A20&lt;=U$1,INDEX(Monthly!$B$2:$B$61,U$1-$A20+1),0)</f>
        <v/>
      </c>
      <c r="V20" s="47">
        <f>IF($A20&lt;=V$1,INDEX(Monthly!$B$2:$B$61,V$1-$A20+1),0)</f>
        <v/>
      </c>
      <c r="W20" s="47">
        <f>IF($A20&lt;=W$1,INDEX(Monthly!$B$2:$B$61,W$1-$A20+1),0)</f>
        <v/>
      </c>
      <c r="X20" s="47">
        <f>IF($A20&lt;=X$1,INDEX(Monthly!$B$2:$B$61,X$1-$A20+1),0)</f>
        <v/>
      </c>
      <c r="Y20" s="47">
        <f>IF($A20&lt;=Y$1,INDEX(Monthly!$B$2:$B$61,Y$1-$A20+1),0)</f>
        <v/>
      </c>
      <c r="Z20" s="47">
        <f>IF($A20&lt;=Z$1,INDEX(Monthly!$B$2:$B$61,Z$1-$A20+1),0)</f>
        <v/>
      </c>
      <c r="AA20" s="47">
        <f>IF($A20&lt;=AA$1,INDEX(Monthly!$B$2:$B$61,AA$1-$A20+1),0)</f>
        <v/>
      </c>
      <c r="AB20" s="47">
        <f>IF($A20&lt;=AB$1,INDEX(Monthly!$B$2:$B$61,AB$1-$A20+1),0)</f>
        <v/>
      </c>
      <c r="AC20" s="47">
        <f>IF($A20&lt;=AC$1,INDEX(Monthly!$B$2:$B$61,AC$1-$A20+1),0)</f>
        <v/>
      </c>
      <c r="AD20" s="47">
        <f>IF($A20&lt;=AD$1,INDEX(Monthly!$B$2:$B$61,AD$1-$A20+1),0)</f>
        <v/>
      </c>
      <c r="AE20" s="47">
        <f>IF($A20&lt;=AE$1,INDEX(Monthly!$B$2:$B$61,AE$1-$A20+1),0)</f>
        <v/>
      </c>
      <c r="AF20" s="47">
        <f>IF($A20&lt;=AF$1,INDEX(Monthly!$B$2:$B$61,AF$1-$A20+1),0)</f>
        <v/>
      </c>
      <c r="AG20" s="47">
        <f>IF($A20&lt;=AG$1,INDEX(Monthly!$B$2:$B$61,AG$1-$A20+1),0)</f>
        <v/>
      </c>
      <c r="AH20" s="47">
        <f>IF($A20&lt;=AH$1,INDEX(Monthly!$B$2:$B$61,AH$1-$A20+1),0)</f>
        <v/>
      </c>
      <c r="AI20" s="47">
        <f>IF($A20&lt;=AI$1,INDEX(Monthly!$B$2:$B$61,AI$1-$A20+1),0)</f>
        <v/>
      </c>
      <c r="AJ20" s="47">
        <f>IF($A20&lt;=AJ$1,INDEX(Monthly!$B$2:$B$61,AJ$1-$A20+1),0)</f>
        <v/>
      </c>
      <c r="AK20" s="47">
        <f>IF($A20&lt;=AK$1,INDEX(Monthly!$B$2:$B$61,AK$1-$A20+1),0)</f>
        <v/>
      </c>
      <c r="AL20" s="47">
        <f>IF($A20&lt;=AL$1,INDEX(Monthly!$B$2:$B$61,AL$1-$A20+1),0)</f>
        <v/>
      </c>
      <c r="AM20" s="47">
        <f>IF($A20&lt;=AM$1,INDEX(Monthly!$B$2:$B$61,AM$1-$A20+1),0)</f>
        <v/>
      </c>
      <c r="AN20" s="47">
        <f>IF($A20&lt;=AN$1,INDEX(Monthly!$B$2:$B$61,AN$1-$A20+1),0)</f>
        <v/>
      </c>
      <c r="AO20" s="47">
        <f>IF($A20&lt;=AO$1,INDEX(Monthly!$B$2:$B$61,AO$1-$A20+1),0)</f>
        <v/>
      </c>
      <c r="AP20" s="47">
        <f>IF($A20&lt;=AP$1,INDEX(Monthly!$B$2:$B$61,AP$1-$A20+1),0)</f>
        <v/>
      </c>
      <c r="AQ20" s="47">
        <f>IF($A20&lt;=AQ$1,INDEX(Monthly!$B$2:$B$61,AQ$1-$A20+1),0)</f>
        <v/>
      </c>
      <c r="AR20" s="47">
        <f>IF($A20&lt;=AR$1,INDEX(Monthly!$B$2:$B$61,AR$1-$A20+1),0)</f>
        <v/>
      </c>
      <c r="AS20" s="47">
        <f>IF($A20&lt;=AS$1,INDEX(Monthly!$B$2:$B$61,AS$1-$A20+1),0)</f>
        <v/>
      </c>
      <c r="AT20" s="47">
        <f>IF($A20&lt;=AT$1,INDEX(Monthly!$B$2:$B$61,AT$1-$A20+1),0)</f>
        <v/>
      </c>
      <c r="AU20" s="47">
        <f>IF($A20&lt;=AU$1,INDEX(Monthly!$B$2:$B$61,AU$1-$A20+1),0)</f>
        <v/>
      </c>
      <c r="AV20" s="47">
        <f>IF($A20&lt;=AV$1,INDEX(Monthly!$B$2:$B$61,AV$1-$A20+1),0)</f>
        <v/>
      </c>
      <c r="AW20" s="47">
        <f>IF($A20&lt;=AW$1,INDEX(Monthly!$B$2:$B$61,AW$1-$A20+1),0)</f>
        <v/>
      </c>
      <c r="AX20" s="47">
        <f>IF($A20&lt;=AX$1,INDEX(Monthly!$B$2:$B$61,AX$1-$A20+1),0)</f>
        <v/>
      </c>
      <c r="AY20" s="47">
        <f>IF($A20&lt;=AY$1,INDEX(Monthly!$B$2:$B$61,AY$1-$A20+1),0)</f>
        <v/>
      </c>
      <c r="AZ20" s="47">
        <f>IF($A20&lt;=AZ$1,INDEX(Monthly!$B$2:$B$61,AZ$1-$A20+1),0)</f>
        <v/>
      </c>
      <c r="BA20" s="47">
        <f>IF($A20&lt;=BA$1,INDEX(Monthly!$B$2:$B$61,BA$1-$A20+1),0)</f>
        <v/>
      </c>
      <c r="BB20" s="47">
        <f>IF($A20&lt;=BB$1,INDEX(Monthly!$B$2:$B$61,BB$1-$A20+1),0)</f>
        <v/>
      </c>
      <c r="BC20" s="47">
        <f>IF($A20&lt;=BC$1,INDEX(Monthly!$B$2:$B$61,BC$1-$A20+1),0)</f>
        <v/>
      </c>
      <c r="BD20" s="47">
        <f>IF($A20&lt;=BD$1,INDEX(Monthly!$B$2:$B$61,BD$1-$A20+1),0)</f>
        <v/>
      </c>
      <c r="BE20" s="47">
        <f>IF($A20&lt;=BE$1,INDEX(Monthly!$B$2:$B$61,BE$1-$A20+1),0)</f>
        <v/>
      </c>
      <c r="BF20" s="47">
        <f>IF($A20&lt;=BF$1,INDEX(Monthly!$B$2:$B$61,BF$1-$A20+1),0)</f>
        <v/>
      </c>
      <c r="BG20" s="47">
        <f>IF($A20&lt;=BG$1,INDEX(Monthly!$B$2:$B$61,BG$1-$A20+1),0)</f>
        <v/>
      </c>
      <c r="BH20" s="47">
        <f>IF($A20&lt;=BH$1,INDEX(Monthly!$B$2:$B$61,BH$1-$A20+1),0)</f>
        <v/>
      </c>
      <c r="BI20" s="47">
        <f>IF($A20&lt;=BI$1,INDEX(Monthly!$B$2:$B$61,BI$1-$A20+1),0)</f>
        <v/>
      </c>
    </row>
    <row r="21">
      <c r="A21" s="3" t="n">
        <v>20</v>
      </c>
      <c r="B21" s="47">
        <f>IF($A21&lt;=B$1,INDEX(Monthly!$B$2:$B$61,B$1-$A21+1),0)</f>
        <v/>
      </c>
      <c r="C21" s="47">
        <f>IF($A21&lt;=C$1,INDEX(Monthly!$B$2:$B$61,C$1-$A21+1),0)</f>
        <v/>
      </c>
      <c r="D21" s="47">
        <f>IF($A21&lt;=D$1,INDEX(Monthly!$B$2:$B$61,D$1-$A21+1),0)</f>
        <v/>
      </c>
      <c r="E21" s="47">
        <f>IF($A21&lt;=E$1,INDEX(Monthly!$B$2:$B$61,E$1-$A21+1),0)</f>
        <v/>
      </c>
      <c r="F21" s="47">
        <f>IF($A21&lt;=F$1,INDEX(Monthly!$B$2:$B$61,F$1-$A21+1),0)</f>
        <v/>
      </c>
      <c r="G21" s="47">
        <f>IF($A21&lt;=G$1,INDEX(Monthly!$B$2:$B$61,G$1-$A21+1),0)</f>
        <v/>
      </c>
      <c r="H21" s="47">
        <f>IF($A21&lt;=H$1,INDEX(Monthly!$B$2:$B$61,H$1-$A21+1),0)</f>
        <v/>
      </c>
      <c r="I21" s="47">
        <f>IF($A21&lt;=I$1,INDEX(Monthly!$B$2:$B$61,I$1-$A21+1),0)</f>
        <v/>
      </c>
      <c r="J21" s="47">
        <f>IF($A21&lt;=J$1,INDEX(Monthly!$B$2:$B$61,J$1-$A21+1),0)</f>
        <v/>
      </c>
      <c r="K21" s="47">
        <f>IF($A21&lt;=K$1,INDEX(Monthly!$B$2:$B$61,K$1-$A21+1),0)</f>
        <v/>
      </c>
      <c r="L21" s="47">
        <f>IF($A21&lt;=L$1,INDEX(Monthly!$B$2:$B$61,L$1-$A21+1),0)</f>
        <v/>
      </c>
      <c r="M21" s="47">
        <f>IF($A21&lt;=M$1,INDEX(Monthly!$B$2:$B$61,M$1-$A21+1),0)</f>
        <v/>
      </c>
      <c r="N21" s="47">
        <f>IF($A21&lt;=N$1,INDEX(Monthly!$B$2:$B$61,N$1-$A21+1),0)</f>
        <v/>
      </c>
      <c r="O21" s="47">
        <f>IF($A21&lt;=O$1,INDEX(Monthly!$B$2:$B$61,O$1-$A21+1),0)</f>
        <v/>
      </c>
      <c r="P21" s="47">
        <f>IF($A21&lt;=P$1,INDEX(Monthly!$B$2:$B$61,P$1-$A21+1),0)</f>
        <v/>
      </c>
      <c r="Q21" s="47">
        <f>IF($A21&lt;=Q$1,INDEX(Monthly!$B$2:$B$61,Q$1-$A21+1),0)</f>
        <v/>
      </c>
      <c r="R21" s="47">
        <f>IF($A21&lt;=R$1,INDEX(Monthly!$B$2:$B$61,R$1-$A21+1),0)</f>
        <v/>
      </c>
      <c r="S21" s="47">
        <f>IF($A21&lt;=S$1,INDEX(Monthly!$B$2:$B$61,S$1-$A21+1),0)</f>
        <v/>
      </c>
      <c r="T21" s="47">
        <f>IF($A21&lt;=T$1,INDEX(Monthly!$B$2:$B$61,T$1-$A21+1),0)</f>
        <v/>
      </c>
      <c r="U21" s="47">
        <f>IF($A21&lt;=U$1,INDEX(Monthly!$B$2:$B$61,U$1-$A21+1),0)</f>
        <v/>
      </c>
      <c r="V21" s="47">
        <f>IF($A21&lt;=V$1,INDEX(Monthly!$B$2:$B$61,V$1-$A21+1),0)</f>
        <v/>
      </c>
      <c r="W21" s="47">
        <f>IF($A21&lt;=W$1,INDEX(Monthly!$B$2:$B$61,W$1-$A21+1),0)</f>
        <v/>
      </c>
      <c r="X21" s="47">
        <f>IF($A21&lt;=X$1,INDEX(Monthly!$B$2:$B$61,X$1-$A21+1),0)</f>
        <v/>
      </c>
      <c r="Y21" s="47">
        <f>IF($A21&lt;=Y$1,INDEX(Monthly!$B$2:$B$61,Y$1-$A21+1),0)</f>
        <v/>
      </c>
      <c r="Z21" s="47">
        <f>IF($A21&lt;=Z$1,INDEX(Monthly!$B$2:$B$61,Z$1-$A21+1),0)</f>
        <v/>
      </c>
      <c r="AA21" s="47">
        <f>IF($A21&lt;=AA$1,INDEX(Monthly!$B$2:$B$61,AA$1-$A21+1),0)</f>
        <v/>
      </c>
      <c r="AB21" s="47">
        <f>IF($A21&lt;=AB$1,INDEX(Monthly!$B$2:$B$61,AB$1-$A21+1),0)</f>
        <v/>
      </c>
      <c r="AC21" s="47">
        <f>IF($A21&lt;=AC$1,INDEX(Monthly!$B$2:$B$61,AC$1-$A21+1),0)</f>
        <v/>
      </c>
      <c r="AD21" s="47">
        <f>IF($A21&lt;=AD$1,INDEX(Monthly!$B$2:$B$61,AD$1-$A21+1),0)</f>
        <v/>
      </c>
      <c r="AE21" s="47">
        <f>IF($A21&lt;=AE$1,INDEX(Monthly!$B$2:$B$61,AE$1-$A21+1),0)</f>
        <v/>
      </c>
      <c r="AF21" s="47">
        <f>IF($A21&lt;=AF$1,INDEX(Monthly!$B$2:$B$61,AF$1-$A21+1),0)</f>
        <v/>
      </c>
      <c r="AG21" s="47">
        <f>IF($A21&lt;=AG$1,INDEX(Monthly!$B$2:$B$61,AG$1-$A21+1),0)</f>
        <v/>
      </c>
      <c r="AH21" s="47">
        <f>IF($A21&lt;=AH$1,INDEX(Monthly!$B$2:$B$61,AH$1-$A21+1),0)</f>
        <v/>
      </c>
      <c r="AI21" s="47">
        <f>IF($A21&lt;=AI$1,INDEX(Monthly!$B$2:$B$61,AI$1-$A21+1),0)</f>
        <v/>
      </c>
      <c r="AJ21" s="47">
        <f>IF($A21&lt;=AJ$1,INDEX(Monthly!$B$2:$B$61,AJ$1-$A21+1),0)</f>
        <v/>
      </c>
      <c r="AK21" s="47">
        <f>IF($A21&lt;=AK$1,INDEX(Monthly!$B$2:$B$61,AK$1-$A21+1),0)</f>
        <v/>
      </c>
      <c r="AL21" s="47">
        <f>IF($A21&lt;=AL$1,INDEX(Monthly!$B$2:$B$61,AL$1-$A21+1),0)</f>
        <v/>
      </c>
      <c r="AM21" s="47">
        <f>IF($A21&lt;=AM$1,INDEX(Monthly!$B$2:$B$61,AM$1-$A21+1),0)</f>
        <v/>
      </c>
      <c r="AN21" s="47">
        <f>IF($A21&lt;=AN$1,INDEX(Monthly!$B$2:$B$61,AN$1-$A21+1),0)</f>
        <v/>
      </c>
      <c r="AO21" s="47">
        <f>IF($A21&lt;=AO$1,INDEX(Monthly!$B$2:$B$61,AO$1-$A21+1),0)</f>
        <v/>
      </c>
      <c r="AP21" s="47">
        <f>IF($A21&lt;=AP$1,INDEX(Monthly!$B$2:$B$61,AP$1-$A21+1),0)</f>
        <v/>
      </c>
      <c r="AQ21" s="47">
        <f>IF($A21&lt;=AQ$1,INDEX(Monthly!$B$2:$B$61,AQ$1-$A21+1),0)</f>
        <v/>
      </c>
      <c r="AR21" s="47">
        <f>IF($A21&lt;=AR$1,INDEX(Monthly!$B$2:$B$61,AR$1-$A21+1),0)</f>
        <v/>
      </c>
      <c r="AS21" s="47">
        <f>IF($A21&lt;=AS$1,INDEX(Monthly!$B$2:$B$61,AS$1-$A21+1),0)</f>
        <v/>
      </c>
      <c r="AT21" s="47">
        <f>IF($A21&lt;=AT$1,INDEX(Monthly!$B$2:$B$61,AT$1-$A21+1),0)</f>
        <v/>
      </c>
      <c r="AU21" s="47">
        <f>IF($A21&lt;=AU$1,INDEX(Monthly!$B$2:$B$61,AU$1-$A21+1),0)</f>
        <v/>
      </c>
      <c r="AV21" s="47">
        <f>IF($A21&lt;=AV$1,INDEX(Monthly!$B$2:$B$61,AV$1-$A21+1),0)</f>
        <v/>
      </c>
      <c r="AW21" s="47">
        <f>IF($A21&lt;=AW$1,INDEX(Monthly!$B$2:$B$61,AW$1-$A21+1),0)</f>
        <v/>
      </c>
      <c r="AX21" s="47">
        <f>IF($A21&lt;=AX$1,INDEX(Monthly!$B$2:$B$61,AX$1-$A21+1),0)</f>
        <v/>
      </c>
      <c r="AY21" s="47">
        <f>IF($A21&lt;=AY$1,INDEX(Monthly!$B$2:$B$61,AY$1-$A21+1),0)</f>
        <v/>
      </c>
      <c r="AZ21" s="47">
        <f>IF($A21&lt;=AZ$1,INDEX(Monthly!$B$2:$B$61,AZ$1-$A21+1),0)</f>
        <v/>
      </c>
      <c r="BA21" s="47">
        <f>IF($A21&lt;=BA$1,INDEX(Monthly!$B$2:$B$61,BA$1-$A21+1),0)</f>
        <v/>
      </c>
      <c r="BB21" s="47">
        <f>IF($A21&lt;=BB$1,INDEX(Monthly!$B$2:$B$61,BB$1-$A21+1),0)</f>
        <v/>
      </c>
      <c r="BC21" s="47">
        <f>IF($A21&lt;=BC$1,INDEX(Monthly!$B$2:$B$61,BC$1-$A21+1),0)</f>
        <v/>
      </c>
      <c r="BD21" s="47">
        <f>IF($A21&lt;=BD$1,INDEX(Monthly!$B$2:$B$61,BD$1-$A21+1),0)</f>
        <v/>
      </c>
      <c r="BE21" s="47">
        <f>IF($A21&lt;=BE$1,INDEX(Monthly!$B$2:$B$61,BE$1-$A21+1),0)</f>
        <v/>
      </c>
      <c r="BF21" s="47">
        <f>IF($A21&lt;=BF$1,INDEX(Monthly!$B$2:$B$61,BF$1-$A21+1),0)</f>
        <v/>
      </c>
      <c r="BG21" s="47">
        <f>IF($A21&lt;=BG$1,INDEX(Monthly!$B$2:$B$61,BG$1-$A21+1),0)</f>
        <v/>
      </c>
      <c r="BH21" s="47">
        <f>IF($A21&lt;=BH$1,INDEX(Monthly!$B$2:$B$61,BH$1-$A21+1),0)</f>
        <v/>
      </c>
      <c r="BI21" s="47">
        <f>IF($A21&lt;=BI$1,INDEX(Monthly!$B$2:$B$61,BI$1-$A21+1),0)</f>
        <v/>
      </c>
    </row>
    <row r="22">
      <c r="A22" s="3" t="n">
        <v>21</v>
      </c>
      <c r="B22" s="47">
        <f>IF($A22&lt;=B$1,INDEX(Monthly!$B$2:$B$61,B$1-$A22+1),0)</f>
        <v/>
      </c>
      <c r="C22" s="47">
        <f>IF($A22&lt;=C$1,INDEX(Monthly!$B$2:$B$61,C$1-$A22+1),0)</f>
        <v/>
      </c>
      <c r="D22" s="47">
        <f>IF($A22&lt;=D$1,INDEX(Monthly!$B$2:$B$61,D$1-$A22+1),0)</f>
        <v/>
      </c>
      <c r="E22" s="47">
        <f>IF($A22&lt;=E$1,INDEX(Monthly!$B$2:$B$61,E$1-$A22+1),0)</f>
        <v/>
      </c>
      <c r="F22" s="47">
        <f>IF($A22&lt;=F$1,INDEX(Monthly!$B$2:$B$61,F$1-$A22+1),0)</f>
        <v/>
      </c>
      <c r="G22" s="47">
        <f>IF($A22&lt;=G$1,INDEX(Monthly!$B$2:$B$61,G$1-$A22+1),0)</f>
        <v/>
      </c>
      <c r="H22" s="47">
        <f>IF($A22&lt;=H$1,INDEX(Monthly!$B$2:$B$61,H$1-$A22+1),0)</f>
        <v/>
      </c>
      <c r="I22" s="47">
        <f>IF($A22&lt;=I$1,INDEX(Monthly!$B$2:$B$61,I$1-$A22+1),0)</f>
        <v/>
      </c>
      <c r="J22" s="47">
        <f>IF($A22&lt;=J$1,INDEX(Monthly!$B$2:$B$61,J$1-$A22+1),0)</f>
        <v/>
      </c>
      <c r="K22" s="47">
        <f>IF($A22&lt;=K$1,INDEX(Monthly!$B$2:$B$61,K$1-$A22+1),0)</f>
        <v/>
      </c>
      <c r="L22" s="47">
        <f>IF($A22&lt;=L$1,INDEX(Monthly!$B$2:$B$61,L$1-$A22+1),0)</f>
        <v/>
      </c>
      <c r="M22" s="47">
        <f>IF($A22&lt;=M$1,INDEX(Monthly!$B$2:$B$61,M$1-$A22+1),0)</f>
        <v/>
      </c>
      <c r="N22" s="47">
        <f>IF($A22&lt;=N$1,INDEX(Monthly!$B$2:$B$61,N$1-$A22+1),0)</f>
        <v/>
      </c>
      <c r="O22" s="47">
        <f>IF($A22&lt;=O$1,INDEX(Monthly!$B$2:$B$61,O$1-$A22+1),0)</f>
        <v/>
      </c>
      <c r="P22" s="47">
        <f>IF($A22&lt;=P$1,INDEX(Monthly!$B$2:$B$61,P$1-$A22+1),0)</f>
        <v/>
      </c>
      <c r="Q22" s="47">
        <f>IF($A22&lt;=Q$1,INDEX(Monthly!$B$2:$B$61,Q$1-$A22+1),0)</f>
        <v/>
      </c>
      <c r="R22" s="47">
        <f>IF($A22&lt;=R$1,INDEX(Monthly!$B$2:$B$61,R$1-$A22+1),0)</f>
        <v/>
      </c>
      <c r="S22" s="47">
        <f>IF($A22&lt;=S$1,INDEX(Monthly!$B$2:$B$61,S$1-$A22+1),0)</f>
        <v/>
      </c>
      <c r="T22" s="47">
        <f>IF($A22&lt;=T$1,INDEX(Monthly!$B$2:$B$61,T$1-$A22+1),0)</f>
        <v/>
      </c>
      <c r="U22" s="47">
        <f>IF($A22&lt;=U$1,INDEX(Monthly!$B$2:$B$61,U$1-$A22+1),0)</f>
        <v/>
      </c>
      <c r="V22" s="47">
        <f>IF($A22&lt;=V$1,INDEX(Monthly!$B$2:$B$61,V$1-$A22+1),0)</f>
        <v/>
      </c>
      <c r="W22" s="47">
        <f>IF($A22&lt;=W$1,INDEX(Monthly!$B$2:$B$61,W$1-$A22+1),0)</f>
        <v/>
      </c>
      <c r="X22" s="47">
        <f>IF($A22&lt;=X$1,INDEX(Monthly!$B$2:$B$61,X$1-$A22+1),0)</f>
        <v/>
      </c>
      <c r="Y22" s="47">
        <f>IF($A22&lt;=Y$1,INDEX(Monthly!$B$2:$B$61,Y$1-$A22+1),0)</f>
        <v/>
      </c>
      <c r="Z22" s="47">
        <f>IF($A22&lt;=Z$1,INDEX(Monthly!$B$2:$B$61,Z$1-$A22+1),0)</f>
        <v/>
      </c>
      <c r="AA22" s="47">
        <f>IF($A22&lt;=AA$1,INDEX(Monthly!$B$2:$B$61,AA$1-$A22+1),0)</f>
        <v/>
      </c>
      <c r="AB22" s="47">
        <f>IF($A22&lt;=AB$1,INDEX(Monthly!$B$2:$B$61,AB$1-$A22+1),0)</f>
        <v/>
      </c>
      <c r="AC22" s="47">
        <f>IF($A22&lt;=AC$1,INDEX(Monthly!$B$2:$B$61,AC$1-$A22+1),0)</f>
        <v/>
      </c>
      <c r="AD22" s="47">
        <f>IF($A22&lt;=AD$1,INDEX(Monthly!$B$2:$B$61,AD$1-$A22+1),0)</f>
        <v/>
      </c>
      <c r="AE22" s="47">
        <f>IF($A22&lt;=AE$1,INDEX(Monthly!$B$2:$B$61,AE$1-$A22+1),0)</f>
        <v/>
      </c>
      <c r="AF22" s="47">
        <f>IF($A22&lt;=AF$1,INDEX(Monthly!$B$2:$B$61,AF$1-$A22+1),0)</f>
        <v/>
      </c>
      <c r="AG22" s="47">
        <f>IF($A22&lt;=AG$1,INDEX(Monthly!$B$2:$B$61,AG$1-$A22+1),0)</f>
        <v/>
      </c>
      <c r="AH22" s="47">
        <f>IF($A22&lt;=AH$1,INDEX(Monthly!$B$2:$B$61,AH$1-$A22+1),0)</f>
        <v/>
      </c>
      <c r="AI22" s="47">
        <f>IF($A22&lt;=AI$1,INDEX(Monthly!$B$2:$B$61,AI$1-$A22+1),0)</f>
        <v/>
      </c>
      <c r="AJ22" s="47">
        <f>IF($A22&lt;=AJ$1,INDEX(Monthly!$B$2:$B$61,AJ$1-$A22+1),0)</f>
        <v/>
      </c>
      <c r="AK22" s="47">
        <f>IF($A22&lt;=AK$1,INDEX(Monthly!$B$2:$B$61,AK$1-$A22+1),0)</f>
        <v/>
      </c>
      <c r="AL22" s="47">
        <f>IF($A22&lt;=AL$1,INDEX(Monthly!$B$2:$B$61,AL$1-$A22+1),0)</f>
        <v/>
      </c>
      <c r="AM22" s="47">
        <f>IF($A22&lt;=AM$1,INDEX(Monthly!$B$2:$B$61,AM$1-$A22+1),0)</f>
        <v/>
      </c>
      <c r="AN22" s="47">
        <f>IF($A22&lt;=AN$1,INDEX(Monthly!$B$2:$B$61,AN$1-$A22+1),0)</f>
        <v/>
      </c>
      <c r="AO22" s="47">
        <f>IF($A22&lt;=AO$1,INDEX(Monthly!$B$2:$B$61,AO$1-$A22+1),0)</f>
        <v/>
      </c>
      <c r="AP22" s="47">
        <f>IF($A22&lt;=AP$1,INDEX(Monthly!$B$2:$B$61,AP$1-$A22+1),0)</f>
        <v/>
      </c>
      <c r="AQ22" s="47">
        <f>IF($A22&lt;=AQ$1,INDEX(Monthly!$B$2:$B$61,AQ$1-$A22+1),0)</f>
        <v/>
      </c>
      <c r="AR22" s="47">
        <f>IF($A22&lt;=AR$1,INDEX(Monthly!$B$2:$B$61,AR$1-$A22+1),0)</f>
        <v/>
      </c>
      <c r="AS22" s="47">
        <f>IF($A22&lt;=AS$1,INDEX(Monthly!$B$2:$B$61,AS$1-$A22+1),0)</f>
        <v/>
      </c>
      <c r="AT22" s="47">
        <f>IF($A22&lt;=AT$1,INDEX(Monthly!$B$2:$B$61,AT$1-$A22+1),0)</f>
        <v/>
      </c>
      <c r="AU22" s="47">
        <f>IF($A22&lt;=AU$1,INDEX(Monthly!$B$2:$B$61,AU$1-$A22+1),0)</f>
        <v/>
      </c>
      <c r="AV22" s="47">
        <f>IF($A22&lt;=AV$1,INDEX(Monthly!$B$2:$B$61,AV$1-$A22+1),0)</f>
        <v/>
      </c>
      <c r="AW22" s="47">
        <f>IF($A22&lt;=AW$1,INDEX(Monthly!$B$2:$B$61,AW$1-$A22+1),0)</f>
        <v/>
      </c>
      <c r="AX22" s="47">
        <f>IF($A22&lt;=AX$1,INDEX(Monthly!$B$2:$B$61,AX$1-$A22+1),0)</f>
        <v/>
      </c>
      <c r="AY22" s="47">
        <f>IF($A22&lt;=AY$1,INDEX(Monthly!$B$2:$B$61,AY$1-$A22+1),0)</f>
        <v/>
      </c>
      <c r="AZ22" s="47">
        <f>IF($A22&lt;=AZ$1,INDEX(Monthly!$B$2:$B$61,AZ$1-$A22+1),0)</f>
        <v/>
      </c>
      <c r="BA22" s="47">
        <f>IF($A22&lt;=BA$1,INDEX(Monthly!$B$2:$B$61,BA$1-$A22+1),0)</f>
        <v/>
      </c>
      <c r="BB22" s="47">
        <f>IF($A22&lt;=BB$1,INDEX(Monthly!$B$2:$B$61,BB$1-$A22+1),0)</f>
        <v/>
      </c>
      <c r="BC22" s="47">
        <f>IF($A22&lt;=BC$1,INDEX(Monthly!$B$2:$B$61,BC$1-$A22+1),0)</f>
        <v/>
      </c>
      <c r="BD22" s="47">
        <f>IF($A22&lt;=BD$1,INDEX(Monthly!$B$2:$B$61,BD$1-$A22+1),0)</f>
        <v/>
      </c>
      <c r="BE22" s="47">
        <f>IF($A22&lt;=BE$1,INDEX(Monthly!$B$2:$B$61,BE$1-$A22+1),0)</f>
        <v/>
      </c>
      <c r="BF22" s="47">
        <f>IF($A22&lt;=BF$1,INDEX(Monthly!$B$2:$B$61,BF$1-$A22+1),0)</f>
        <v/>
      </c>
      <c r="BG22" s="47">
        <f>IF($A22&lt;=BG$1,INDEX(Monthly!$B$2:$B$61,BG$1-$A22+1),0)</f>
        <v/>
      </c>
      <c r="BH22" s="47">
        <f>IF($A22&lt;=BH$1,INDEX(Monthly!$B$2:$B$61,BH$1-$A22+1),0)</f>
        <v/>
      </c>
      <c r="BI22" s="47">
        <f>IF($A22&lt;=BI$1,INDEX(Monthly!$B$2:$B$61,BI$1-$A22+1),0)</f>
        <v/>
      </c>
    </row>
    <row r="23">
      <c r="A23" s="3" t="n">
        <v>22</v>
      </c>
      <c r="B23" s="47">
        <f>IF($A23&lt;=B$1,INDEX(Monthly!$B$2:$B$61,B$1-$A23+1),0)</f>
        <v/>
      </c>
      <c r="C23" s="47">
        <f>IF($A23&lt;=C$1,INDEX(Monthly!$B$2:$B$61,C$1-$A23+1),0)</f>
        <v/>
      </c>
      <c r="D23" s="47">
        <f>IF($A23&lt;=D$1,INDEX(Monthly!$B$2:$B$61,D$1-$A23+1),0)</f>
        <v/>
      </c>
      <c r="E23" s="47">
        <f>IF($A23&lt;=E$1,INDEX(Monthly!$B$2:$B$61,E$1-$A23+1),0)</f>
        <v/>
      </c>
      <c r="F23" s="47">
        <f>IF($A23&lt;=F$1,INDEX(Monthly!$B$2:$B$61,F$1-$A23+1),0)</f>
        <v/>
      </c>
      <c r="G23" s="47">
        <f>IF($A23&lt;=G$1,INDEX(Monthly!$B$2:$B$61,G$1-$A23+1),0)</f>
        <v/>
      </c>
      <c r="H23" s="47">
        <f>IF($A23&lt;=H$1,INDEX(Monthly!$B$2:$B$61,H$1-$A23+1),0)</f>
        <v/>
      </c>
      <c r="I23" s="47">
        <f>IF($A23&lt;=I$1,INDEX(Monthly!$B$2:$B$61,I$1-$A23+1),0)</f>
        <v/>
      </c>
      <c r="J23" s="47">
        <f>IF($A23&lt;=J$1,INDEX(Monthly!$B$2:$B$61,J$1-$A23+1),0)</f>
        <v/>
      </c>
      <c r="K23" s="47">
        <f>IF($A23&lt;=K$1,INDEX(Monthly!$B$2:$B$61,K$1-$A23+1),0)</f>
        <v/>
      </c>
      <c r="L23" s="47">
        <f>IF($A23&lt;=L$1,INDEX(Monthly!$B$2:$B$61,L$1-$A23+1),0)</f>
        <v/>
      </c>
      <c r="M23" s="47">
        <f>IF($A23&lt;=M$1,INDEX(Monthly!$B$2:$B$61,M$1-$A23+1),0)</f>
        <v/>
      </c>
      <c r="N23" s="47">
        <f>IF($A23&lt;=N$1,INDEX(Monthly!$B$2:$B$61,N$1-$A23+1),0)</f>
        <v/>
      </c>
      <c r="O23" s="47">
        <f>IF($A23&lt;=O$1,INDEX(Monthly!$B$2:$B$61,O$1-$A23+1),0)</f>
        <v/>
      </c>
      <c r="P23" s="47">
        <f>IF($A23&lt;=P$1,INDEX(Monthly!$B$2:$B$61,P$1-$A23+1),0)</f>
        <v/>
      </c>
      <c r="Q23" s="47">
        <f>IF($A23&lt;=Q$1,INDEX(Monthly!$B$2:$B$61,Q$1-$A23+1),0)</f>
        <v/>
      </c>
      <c r="R23" s="47">
        <f>IF($A23&lt;=R$1,INDEX(Monthly!$B$2:$B$61,R$1-$A23+1),0)</f>
        <v/>
      </c>
      <c r="S23" s="47">
        <f>IF($A23&lt;=S$1,INDEX(Monthly!$B$2:$B$61,S$1-$A23+1),0)</f>
        <v/>
      </c>
      <c r="T23" s="47">
        <f>IF($A23&lt;=T$1,INDEX(Monthly!$B$2:$B$61,T$1-$A23+1),0)</f>
        <v/>
      </c>
      <c r="U23" s="47">
        <f>IF($A23&lt;=U$1,INDEX(Monthly!$B$2:$B$61,U$1-$A23+1),0)</f>
        <v/>
      </c>
      <c r="V23" s="47">
        <f>IF($A23&lt;=V$1,INDEX(Monthly!$B$2:$B$61,V$1-$A23+1),0)</f>
        <v/>
      </c>
      <c r="W23" s="47">
        <f>IF($A23&lt;=W$1,INDEX(Monthly!$B$2:$B$61,W$1-$A23+1),0)</f>
        <v/>
      </c>
      <c r="X23" s="47">
        <f>IF($A23&lt;=X$1,INDEX(Monthly!$B$2:$B$61,X$1-$A23+1),0)</f>
        <v/>
      </c>
      <c r="Y23" s="47">
        <f>IF($A23&lt;=Y$1,INDEX(Monthly!$B$2:$B$61,Y$1-$A23+1),0)</f>
        <v/>
      </c>
      <c r="Z23" s="47">
        <f>IF($A23&lt;=Z$1,INDEX(Monthly!$B$2:$B$61,Z$1-$A23+1),0)</f>
        <v/>
      </c>
      <c r="AA23" s="47">
        <f>IF($A23&lt;=AA$1,INDEX(Monthly!$B$2:$B$61,AA$1-$A23+1),0)</f>
        <v/>
      </c>
      <c r="AB23" s="47">
        <f>IF($A23&lt;=AB$1,INDEX(Monthly!$B$2:$B$61,AB$1-$A23+1),0)</f>
        <v/>
      </c>
      <c r="AC23" s="47">
        <f>IF($A23&lt;=AC$1,INDEX(Monthly!$B$2:$B$61,AC$1-$A23+1),0)</f>
        <v/>
      </c>
      <c r="AD23" s="47">
        <f>IF($A23&lt;=AD$1,INDEX(Monthly!$B$2:$B$61,AD$1-$A23+1),0)</f>
        <v/>
      </c>
      <c r="AE23" s="47">
        <f>IF($A23&lt;=AE$1,INDEX(Monthly!$B$2:$B$61,AE$1-$A23+1),0)</f>
        <v/>
      </c>
      <c r="AF23" s="47">
        <f>IF($A23&lt;=AF$1,INDEX(Monthly!$B$2:$B$61,AF$1-$A23+1),0)</f>
        <v/>
      </c>
      <c r="AG23" s="47">
        <f>IF($A23&lt;=AG$1,INDEX(Monthly!$B$2:$B$61,AG$1-$A23+1),0)</f>
        <v/>
      </c>
      <c r="AH23" s="47">
        <f>IF($A23&lt;=AH$1,INDEX(Monthly!$B$2:$B$61,AH$1-$A23+1),0)</f>
        <v/>
      </c>
      <c r="AI23" s="47">
        <f>IF($A23&lt;=AI$1,INDEX(Monthly!$B$2:$B$61,AI$1-$A23+1),0)</f>
        <v/>
      </c>
      <c r="AJ23" s="47">
        <f>IF($A23&lt;=AJ$1,INDEX(Monthly!$B$2:$B$61,AJ$1-$A23+1),0)</f>
        <v/>
      </c>
      <c r="AK23" s="47">
        <f>IF($A23&lt;=AK$1,INDEX(Monthly!$B$2:$B$61,AK$1-$A23+1),0)</f>
        <v/>
      </c>
      <c r="AL23" s="47">
        <f>IF($A23&lt;=AL$1,INDEX(Monthly!$B$2:$B$61,AL$1-$A23+1),0)</f>
        <v/>
      </c>
      <c r="AM23" s="47">
        <f>IF($A23&lt;=AM$1,INDEX(Monthly!$B$2:$B$61,AM$1-$A23+1),0)</f>
        <v/>
      </c>
      <c r="AN23" s="47">
        <f>IF($A23&lt;=AN$1,INDEX(Monthly!$B$2:$B$61,AN$1-$A23+1),0)</f>
        <v/>
      </c>
      <c r="AO23" s="47">
        <f>IF($A23&lt;=AO$1,INDEX(Monthly!$B$2:$B$61,AO$1-$A23+1),0)</f>
        <v/>
      </c>
      <c r="AP23" s="47">
        <f>IF($A23&lt;=AP$1,INDEX(Monthly!$B$2:$B$61,AP$1-$A23+1),0)</f>
        <v/>
      </c>
      <c r="AQ23" s="47">
        <f>IF($A23&lt;=AQ$1,INDEX(Monthly!$B$2:$B$61,AQ$1-$A23+1),0)</f>
        <v/>
      </c>
      <c r="AR23" s="47">
        <f>IF($A23&lt;=AR$1,INDEX(Monthly!$B$2:$B$61,AR$1-$A23+1),0)</f>
        <v/>
      </c>
      <c r="AS23" s="47">
        <f>IF($A23&lt;=AS$1,INDEX(Monthly!$B$2:$B$61,AS$1-$A23+1),0)</f>
        <v/>
      </c>
      <c r="AT23" s="47">
        <f>IF($A23&lt;=AT$1,INDEX(Monthly!$B$2:$B$61,AT$1-$A23+1),0)</f>
        <v/>
      </c>
      <c r="AU23" s="47">
        <f>IF($A23&lt;=AU$1,INDEX(Monthly!$B$2:$B$61,AU$1-$A23+1),0)</f>
        <v/>
      </c>
      <c r="AV23" s="47">
        <f>IF($A23&lt;=AV$1,INDEX(Monthly!$B$2:$B$61,AV$1-$A23+1),0)</f>
        <v/>
      </c>
      <c r="AW23" s="47">
        <f>IF($A23&lt;=AW$1,INDEX(Monthly!$B$2:$B$61,AW$1-$A23+1),0)</f>
        <v/>
      </c>
      <c r="AX23" s="47">
        <f>IF($A23&lt;=AX$1,INDEX(Monthly!$B$2:$B$61,AX$1-$A23+1),0)</f>
        <v/>
      </c>
      <c r="AY23" s="47">
        <f>IF($A23&lt;=AY$1,INDEX(Monthly!$B$2:$B$61,AY$1-$A23+1),0)</f>
        <v/>
      </c>
      <c r="AZ23" s="47">
        <f>IF($A23&lt;=AZ$1,INDEX(Monthly!$B$2:$B$61,AZ$1-$A23+1),0)</f>
        <v/>
      </c>
      <c r="BA23" s="47">
        <f>IF($A23&lt;=BA$1,INDEX(Monthly!$B$2:$B$61,BA$1-$A23+1),0)</f>
        <v/>
      </c>
      <c r="BB23" s="47">
        <f>IF($A23&lt;=BB$1,INDEX(Monthly!$B$2:$B$61,BB$1-$A23+1),0)</f>
        <v/>
      </c>
      <c r="BC23" s="47">
        <f>IF($A23&lt;=BC$1,INDEX(Monthly!$B$2:$B$61,BC$1-$A23+1),0)</f>
        <v/>
      </c>
      <c r="BD23" s="47">
        <f>IF($A23&lt;=BD$1,INDEX(Monthly!$B$2:$B$61,BD$1-$A23+1),0)</f>
        <v/>
      </c>
      <c r="BE23" s="47">
        <f>IF($A23&lt;=BE$1,INDEX(Monthly!$B$2:$B$61,BE$1-$A23+1),0)</f>
        <v/>
      </c>
      <c r="BF23" s="47">
        <f>IF($A23&lt;=BF$1,INDEX(Monthly!$B$2:$B$61,BF$1-$A23+1),0)</f>
        <v/>
      </c>
      <c r="BG23" s="47">
        <f>IF($A23&lt;=BG$1,INDEX(Monthly!$B$2:$B$61,BG$1-$A23+1),0)</f>
        <v/>
      </c>
      <c r="BH23" s="47">
        <f>IF($A23&lt;=BH$1,INDEX(Monthly!$B$2:$B$61,BH$1-$A23+1),0)</f>
        <v/>
      </c>
      <c r="BI23" s="47">
        <f>IF($A23&lt;=BI$1,INDEX(Monthly!$B$2:$B$61,BI$1-$A23+1),0)</f>
        <v/>
      </c>
    </row>
    <row r="24">
      <c r="A24" s="3" t="n">
        <v>23</v>
      </c>
      <c r="B24" s="47">
        <f>IF($A24&lt;=B$1,INDEX(Monthly!$B$2:$B$61,B$1-$A24+1),0)</f>
        <v/>
      </c>
      <c r="C24" s="47">
        <f>IF($A24&lt;=C$1,INDEX(Monthly!$B$2:$B$61,C$1-$A24+1),0)</f>
        <v/>
      </c>
      <c r="D24" s="47">
        <f>IF($A24&lt;=D$1,INDEX(Monthly!$B$2:$B$61,D$1-$A24+1),0)</f>
        <v/>
      </c>
      <c r="E24" s="47">
        <f>IF($A24&lt;=E$1,INDEX(Monthly!$B$2:$B$61,E$1-$A24+1),0)</f>
        <v/>
      </c>
      <c r="F24" s="47">
        <f>IF($A24&lt;=F$1,INDEX(Monthly!$B$2:$B$61,F$1-$A24+1),0)</f>
        <v/>
      </c>
      <c r="G24" s="47">
        <f>IF($A24&lt;=G$1,INDEX(Monthly!$B$2:$B$61,G$1-$A24+1),0)</f>
        <v/>
      </c>
      <c r="H24" s="47">
        <f>IF($A24&lt;=H$1,INDEX(Monthly!$B$2:$B$61,H$1-$A24+1),0)</f>
        <v/>
      </c>
      <c r="I24" s="47">
        <f>IF($A24&lt;=I$1,INDEX(Monthly!$B$2:$B$61,I$1-$A24+1),0)</f>
        <v/>
      </c>
      <c r="J24" s="47">
        <f>IF($A24&lt;=J$1,INDEX(Monthly!$B$2:$B$61,J$1-$A24+1),0)</f>
        <v/>
      </c>
      <c r="K24" s="47">
        <f>IF($A24&lt;=K$1,INDEX(Monthly!$B$2:$B$61,K$1-$A24+1),0)</f>
        <v/>
      </c>
      <c r="L24" s="47">
        <f>IF($A24&lt;=L$1,INDEX(Monthly!$B$2:$B$61,L$1-$A24+1),0)</f>
        <v/>
      </c>
      <c r="M24" s="47">
        <f>IF($A24&lt;=M$1,INDEX(Monthly!$B$2:$B$61,M$1-$A24+1),0)</f>
        <v/>
      </c>
      <c r="N24" s="47">
        <f>IF($A24&lt;=N$1,INDEX(Monthly!$B$2:$B$61,N$1-$A24+1),0)</f>
        <v/>
      </c>
      <c r="O24" s="47">
        <f>IF($A24&lt;=O$1,INDEX(Monthly!$B$2:$B$61,O$1-$A24+1),0)</f>
        <v/>
      </c>
      <c r="P24" s="47">
        <f>IF($A24&lt;=P$1,INDEX(Monthly!$B$2:$B$61,P$1-$A24+1),0)</f>
        <v/>
      </c>
      <c r="Q24" s="47">
        <f>IF($A24&lt;=Q$1,INDEX(Monthly!$B$2:$B$61,Q$1-$A24+1),0)</f>
        <v/>
      </c>
      <c r="R24" s="47">
        <f>IF($A24&lt;=R$1,INDEX(Monthly!$B$2:$B$61,R$1-$A24+1),0)</f>
        <v/>
      </c>
      <c r="S24" s="47">
        <f>IF($A24&lt;=S$1,INDEX(Monthly!$B$2:$B$61,S$1-$A24+1),0)</f>
        <v/>
      </c>
      <c r="T24" s="47">
        <f>IF($A24&lt;=T$1,INDEX(Monthly!$B$2:$B$61,T$1-$A24+1),0)</f>
        <v/>
      </c>
      <c r="U24" s="47">
        <f>IF($A24&lt;=U$1,INDEX(Monthly!$B$2:$B$61,U$1-$A24+1),0)</f>
        <v/>
      </c>
      <c r="V24" s="47">
        <f>IF($A24&lt;=V$1,INDEX(Monthly!$B$2:$B$61,V$1-$A24+1),0)</f>
        <v/>
      </c>
      <c r="W24" s="47">
        <f>IF($A24&lt;=W$1,INDEX(Monthly!$B$2:$B$61,W$1-$A24+1),0)</f>
        <v/>
      </c>
      <c r="X24" s="47">
        <f>IF($A24&lt;=X$1,INDEX(Monthly!$B$2:$B$61,X$1-$A24+1),0)</f>
        <v/>
      </c>
      <c r="Y24" s="47">
        <f>IF($A24&lt;=Y$1,INDEX(Monthly!$B$2:$B$61,Y$1-$A24+1),0)</f>
        <v/>
      </c>
      <c r="Z24" s="47">
        <f>IF($A24&lt;=Z$1,INDEX(Monthly!$B$2:$B$61,Z$1-$A24+1),0)</f>
        <v/>
      </c>
      <c r="AA24" s="47">
        <f>IF($A24&lt;=AA$1,INDEX(Monthly!$B$2:$B$61,AA$1-$A24+1),0)</f>
        <v/>
      </c>
      <c r="AB24" s="47">
        <f>IF($A24&lt;=AB$1,INDEX(Monthly!$B$2:$B$61,AB$1-$A24+1),0)</f>
        <v/>
      </c>
      <c r="AC24" s="47">
        <f>IF($A24&lt;=AC$1,INDEX(Monthly!$B$2:$B$61,AC$1-$A24+1),0)</f>
        <v/>
      </c>
      <c r="AD24" s="47">
        <f>IF($A24&lt;=AD$1,INDEX(Monthly!$B$2:$B$61,AD$1-$A24+1),0)</f>
        <v/>
      </c>
      <c r="AE24" s="47">
        <f>IF($A24&lt;=AE$1,INDEX(Monthly!$B$2:$B$61,AE$1-$A24+1),0)</f>
        <v/>
      </c>
      <c r="AF24" s="47">
        <f>IF($A24&lt;=AF$1,INDEX(Monthly!$B$2:$B$61,AF$1-$A24+1),0)</f>
        <v/>
      </c>
      <c r="AG24" s="47">
        <f>IF($A24&lt;=AG$1,INDEX(Monthly!$B$2:$B$61,AG$1-$A24+1),0)</f>
        <v/>
      </c>
      <c r="AH24" s="47">
        <f>IF($A24&lt;=AH$1,INDEX(Monthly!$B$2:$B$61,AH$1-$A24+1),0)</f>
        <v/>
      </c>
      <c r="AI24" s="47">
        <f>IF($A24&lt;=AI$1,INDEX(Monthly!$B$2:$B$61,AI$1-$A24+1),0)</f>
        <v/>
      </c>
      <c r="AJ24" s="47">
        <f>IF($A24&lt;=AJ$1,INDEX(Monthly!$B$2:$B$61,AJ$1-$A24+1),0)</f>
        <v/>
      </c>
      <c r="AK24" s="47">
        <f>IF($A24&lt;=AK$1,INDEX(Monthly!$B$2:$B$61,AK$1-$A24+1),0)</f>
        <v/>
      </c>
      <c r="AL24" s="47">
        <f>IF($A24&lt;=AL$1,INDEX(Monthly!$B$2:$B$61,AL$1-$A24+1),0)</f>
        <v/>
      </c>
      <c r="AM24" s="47">
        <f>IF($A24&lt;=AM$1,INDEX(Monthly!$B$2:$B$61,AM$1-$A24+1),0)</f>
        <v/>
      </c>
      <c r="AN24" s="47">
        <f>IF($A24&lt;=AN$1,INDEX(Monthly!$B$2:$B$61,AN$1-$A24+1),0)</f>
        <v/>
      </c>
      <c r="AO24" s="47">
        <f>IF($A24&lt;=AO$1,INDEX(Monthly!$B$2:$B$61,AO$1-$A24+1),0)</f>
        <v/>
      </c>
      <c r="AP24" s="47">
        <f>IF($A24&lt;=AP$1,INDEX(Monthly!$B$2:$B$61,AP$1-$A24+1),0)</f>
        <v/>
      </c>
      <c r="AQ24" s="47">
        <f>IF($A24&lt;=AQ$1,INDEX(Monthly!$B$2:$B$61,AQ$1-$A24+1),0)</f>
        <v/>
      </c>
      <c r="AR24" s="47">
        <f>IF($A24&lt;=AR$1,INDEX(Monthly!$B$2:$B$61,AR$1-$A24+1),0)</f>
        <v/>
      </c>
      <c r="AS24" s="47">
        <f>IF($A24&lt;=AS$1,INDEX(Monthly!$B$2:$B$61,AS$1-$A24+1),0)</f>
        <v/>
      </c>
      <c r="AT24" s="47">
        <f>IF($A24&lt;=AT$1,INDEX(Monthly!$B$2:$B$61,AT$1-$A24+1),0)</f>
        <v/>
      </c>
      <c r="AU24" s="47">
        <f>IF($A24&lt;=AU$1,INDEX(Monthly!$B$2:$B$61,AU$1-$A24+1),0)</f>
        <v/>
      </c>
      <c r="AV24" s="47">
        <f>IF($A24&lt;=AV$1,INDEX(Monthly!$B$2:$B$61,AV$1-$A24+1),0)</f>
        <v/>
      </c>
      <c r="AW24" s="47">
        <f>IF($A24&lt;=AW$1,INDEX(Monthly!$B$2:$B$61,AW$1-$A24+1),0)</f>
        <v/>
      </c>
      <c r="AX24" s="47">
        <f>IF($A24&lt;=AX$1,INDEX(Monthly!$B$2:$B$61,AX$1-$A24+1),0)</f>
        <v/>
      </c>
      <c r="AY24" s="47">
        <f>IF($A24&lt;=AY$1,INDEX(Monthly!$B$2:$B$61,AY$1-$A24+1),0)</f>
        <v/>
      </c>
      <c r="AZ24" s="47">
        <f>IF($A24&lt;=AZ$1,INDEX(Monthly!$B$2:$B$61,AZ$1-$A24+1),0)</f>
        <v/>
      </c>
      <c r="BA24" s="47">
        <f>IF($A24&lt;=BA$1,INDEX(Monthly!$B$2:$B$61,BA$1-$A24+1),0)</f>
        <v/>
      </c>
      <c r="BB24" s="47">
        <f>IF($A24&lt;=BB$1,INDEX(Monthly!$B$2:$B$61,BB$1-$A24+1),0)</f>
        <v/>
      </c>
      <c r="BC24" s="47">
        <f>IF($A24&lt;=BC$1,INDEX(Monthly!$B$2:$B$61,BC$1-$A24+1),0)</f>
        <v/>
      </c>
      <c r="BD24" s="47">
        <f>IF($A24&lt;=BD$1,INDEX(Monthly!$B$2:$B$61,BD$1-$A24+1),0)</f>
        <v/>
      </c>
      <c r="BE24" s="47">
        <f>IF($A24&lt;=BE$1,INDEX(Monthly!$B$2:$B$61,BE$1-$A24+1),0)</f>
        <v/>
      </c>
      <c r="BF24" s="47">
        <f>IF($A24&lt;=BF$1,INDEX(Monthly!$B$2:$B$61,BF$1-$A24+1),0)</f>
        <v/>
      </c>
      <c r="BG24" s="47">
        <f>IF($A24&lt;=BG$1,INDEX(Monthly!$B$2:$B$61,BG$1-$A24+1),0)</f>
        <v/>
      </c>
      <c r="BH24" s="47">
        <f>IF($A24&lt;=BH$1,INDEX(Monthly!$B$2:$B$61,BH$1-$A24+1),0)</f>
        <v/>
      </c>
      <c r="BI24" s="47">
        <f>IF($A24&lt;=BI$1,INDEX(Monthly!$B$2:$B$61,BI$1-$A24+1),0)</f>
        <v/>
      </c>
    </row>
    <row r="25">
      <c r="A25" s="3" t="n">
        <v>24</v>
      </c>
      <c r="B25" s="47">
        <f>IF($A25&lt;=B$1,INDEX(Monthly!$B$2:$B$61,B$1-$A25+1),0)</f>
        <v/>
      </c>
      <c r="C25" s="47">
        <f>IF($A25&lt;=C$1,INDEX(Monthly!$B$2:$B$61,C$1-$A25+1),0)</f>
        <v/>
      </c>
      <c r="D25" s="47">
        <f>IF($A25&lt;=D$1,INDEX(Monthly!$B$2:$B$61,D$1-$A25+1),0)</f>
        <v/>
      </c>
      <c r="E25" s="47">
        <f>IF($A25&lt;=E$1,INDEX(Monthly!$B$2:$B$61,E$1-$A25+1),0)</f>
        <v/>
      </c>
      <c r="F25" s="47">
        <f>IF($A25&lt;=F$1,INDEX(Monthly!$B$2:$B$61,F$1-$A25+1),0)</f>
        <v/>
      </c>
      <c r="G25" s="47">
        <f>IF($A25&lt;=G$1,INDEX(Monthly!$B$2:$B$61,G$1-$A25+1),0)</f>
        <v/>
      </c>
      <c r="H25" s="47">
        <f>IF($A25&lt;=H$1,INDEX(Monthly!$B$2:$B$61,H$1-$A25+1),0)</f>
        <v/>
      </c>
      <c r="I25" s="47">
        <f>IF($A25&lt;=I$1,INDEX(Monthly!$B$2:$B$61,I$1-$A25+1),0)</f>
        <v/>
      </c>
      <c r="J25" s="47">
        <f>IF($A25&lt;=J$1,INDEX(Monthly!$B$2:$B$61,J$1-$A25+1),0)</f>
        <v/>
      </c>
      <c r="K25" s="47">
        <f>IF($A25&lt;=K$1,INDEX(Monthly!$B$2:$B$61,K$1-$A25+1),0)</f>
        <v/>
      </c>
      <c r="L25" s="47">
        <f>IF($A25&lt;=L$1,INDEX(Monthly!$B$2:$B$61,L$1-$A25+1),0)</f>
        <v/>
      </c>
      <c r="M25" s="47">
        <f>IF($A25&lt;=M$1,INDEX(Monthly!$B$2:$B$61,M$1-$A25+1),0)</f>
        <v/>
      </c>
      <c r="N25" s="47">
        <f>IF($A25&lt;=N$1,INDEX(Monthly!$B$2:$B$61,N$1-$A25+1),0)</f>
        <v/>
      </c>
      <c r="O25" s="47">
        <f>IF($A25&lt;=O$1,INDEX(Monthly!$B$2:$B$61,O$1-$A25+1),0)</f>
        <v/>
      </c>
      <c r="P25" s="47">
        <f>IF($A25&lt;=P$1,INDEX(Monthly!$B$2:$B$61,P$1-$A25+1),0)</f>
        <v/>
      </c>
      <c r="Q25" s="47">
        <f>IF($A25&lt;=Q$1,INDEX(Monthly!$B$2:$B$61,Q$1-$A25+1),0)</f>
        <v/>
      </c>
      <c r="R25" s="47">
        <f>IF($A25&lt;=R$1,INDEX(Monthly!$B$2:$B$61,R$1-$A25+1),0)</f>
        <v/>
      </c>
      <c r="S25" s="47">
        <f>IF($A25&lt;=S$1,INDEX(Monthly!$B$2:$B$61,S$1-$A25+1),0)</f>
        <v/>
      </c>
      <c r="T25" s="47">
        <f>IF($A25&lt;=T$1,INDEX(Monthly!$B$2:$B$61,T$1-$A25+1),0)</f>
        <v/>
      </c>
      <c r="U25" s="47">
        <f>IF($A25&lt;=U$1,INDEX(Monthly!$B$2:$B$61,U$1-$A25+1),0)</f>
        <v/>
      </c>
      <c r="V25" s="47">
        <f>IF($A25&lt;=V$1,INDEX(Monthly!$B$2:$B$61,V$1-$A25+1),0)</f>
        <v/>
      </c>
      <c r="W25" s="47">
        <f>IF($A25&lt;=W$1,INDEX(Monthly!$B$2:$B$61,W$1-$A25+1),0)</f>
        <v/>
      </c>
      <c r="X25" s="47">
        <f>IF($A25&lt;=X$1,INDEX(Monthly!$B$2:$B$61,X$1-$A25+1),0)</f>
        <v/>
      </c>
      <c r="Y25" s="47">
        <f>IF($A25&lt;=Y$1,INDEX(Monthly!$B$2:$B$61,Y$1-$A25+1),0)</f>
        <v/>
      </c>
      <c r="Z25" s="47">
        <f>IF($A25&lt;=Z$1,INDEX(Monthly!$B$2:$B$61,Z$1-$A25+1),0)</f>
        <v/>
      </c>
      <c r="AA25" s="47">
        <f>IF($A25&lt;=AA$1,INDEX(Monthly!$B$2:$B$61,AA$1-$A25+1),0)</f>
        <v/>
      </c>
      <c r="AB25" s="47">
        <f>IF($A25&lt;=AB$1,INDEX(Monthly!$B$2:$B$61,AB$1-$A25+1),0)</f>
        <v/>
      </c>
      <c r="AC25" s="47">
        <f>IF($A25&lt;=AC$1,INDEX(Monthly!$B$2:$B$61,AC$1-$A25+1),0)</f>
        <v/>
      </c>
      <c r="AD25" s="47">
        <f>IF($A25&lt;=AD$1,INDEX(Monthly!$B$2:$B$61,AD$1-$A25+1),0)</f>
        <v/>
      </c>
      <c r="AE25" s="47">
        <f>IF($A25&lt;=AE$1,INDEX(Monthly!$B$2:$B$61,AE$1-$A25+1),0)</f>
        <v/>
      </c>
      <c r="AF25" s="47">
        <f>IF($A25&lt;=AF$1,INDEX(Monthly!$B$2:$B$61,AF$1-$A25+1),0)</f>
        <v/>
      </c>
      <c r="AG25" s="47">
        <f>IF($A25&lt;=AG$1,INDEX(Monthly!$B$2:$B$61,AG$1-$A25+1),0)</f>
        <v/>
      </c>
      <c r="AH25" s="47">
        <f>IF($A25&lt;=AH$1,INDEX(Monthly!$B$2:$B$61,AH$1-$A25+1),0)</f>
        <v/>
      </c>
      <c r="AI25" s="47">
        <f>IF($A25&lt;=AI$1,INDEX(Monthly!$B$2:$B$61,AI$1-$A25+1),0)</f>
        <v/>
      </c>
      <c r="AJ25" s="47">
        <f>IF($A25&lt;=AJ$1,INDEX(Monthly!$B$2:$B$61,AJ$1-$A25+1),0)</f>
        <v/>
      </c>
      <c r="AK25" s="47">
        <f>IF($A25&lt;=AK$1,INDEX(Monthly!$B$2:$B$61,AK$1-$A25+1),0)</f>
        <v/>
      </c>
      <c r="AL25" s="47">
        <f>IF($A25&lt;=AL$1,INDEX(Monthly!$B$2:$B$61,AL$1-$A25+1),0)</f>
        <v/>
      </c>
      <c r="AM25" s="47">
        <f>IF($A25&lt;=AM$1,INDEX(Monthly!$B$2:$B$61,AM$1-$A25+1),0)</f>
        <v/>
      </c>
      <c r="AN25" s="47">
        <f>IF($A25&lt;=AN$1,INDEX(Monthly!$B$2:$B$61,AN$1-$A25+1),0)</f>
        <v/>
      </c>
      <c r="AO25" s="47">
        <f>IF($A25&lt;=AO$1,INDEX(Monthly!$B$2:$B$61,AO$1-$A25+1),0)</f>
        <v/>
      </c>
      <c r="AP25" s="47">
        <f>IF($A25&lt;=AP$1,INDEX(Monthly!$B$2:$B$61,AP$1-$A25+1),0)</f>
        <v/>
      </c>
      <c r="AQ25" s="47">
        <f>IF($A25&lt;=AQ$1,INDEX(Monthly!$B$2:$B$61,AQ$1-$A25+1),0)</f>
        <v/>
      </c>
      <c r="AR25" s="47">
        <f>IF($A25&lt;=AR$1,INDEX(Monthly!$B$2:$B$61,AR$1-$A25+1),0)</f>
        <v/>
      </c>
      <c r="AS25" s="47">
        <f>IF($A25&lt;=AS$1,INDEX(Monthly!$B$2:$B$61,AS$1-$A25+1),0)</f>
        <v/>
      </c>
      <c r="AT25" s="47">
        <f>IF($A25&lt;=AT$1,INDEX(Monthly!$B$2:$B$61,AT$1-$A25+1),0)</f>
        <v/>
      </c>
      <c r="AU25" s="47">
        <f>IF($A25&lt;=AU$1,INDEX(Monthly!$B$2:$B$61,AU$1-$A25+1),0)</f>
        <v/>
      </c>
      <c r="AV25" s="47">
        <f>IF($A25&lt;=AV$1,INDEX(Monthly!$B$2:$B$61,AV$1-$A25+1),0)</f>
        <v/>
      </c>
      <c r="AW25" s="47">
        <f>IF($A25&lt;=AW$1,INDEX(Monthly!$B$2:$B$61,AW$1-$A25+1),0)</f>
        <v/>
      </c>
      <c r="AX25" s="47">
        <f>IF($A25&lt;=AX$1,INDEX(Monthly!$B$2:$B$61,AX$1-$A25+1),0)</f>
        <v/>
      </c>
      <c r="AY25" s="47">
        <f>IF($A25&lt;=AY$1,INDEX(Monthly!$B$2:$B$61,AY$1-$A25+1),0)</f>
        <v/>
      </c>
      <c r="AZ25" s="47">
        <f>IF($A25&lt;=AZ$1,INDEX(Monthly!$B$2:$B$61,AZ$1-$A25+1),0)</f>
        <v/>
      </c>
      <c r="BA25" s="47">
        <f>IF($A25&lt;=BA$1,INDEX(Monthly!$B$2:$B$61,BA$1-$A25+1),0)</f>
        <v/>
      </c>
      <c r="BB25" s="47">
        <f>IF($A25&lt;=BB$1,INDEX(Monthly!$B$2:$B$61,BB$1-$A25+1),0)</f>
        <v/>
      </c>
      <c r="BC25" s="47">
        <f>IF($A25&lt;=BC$1,INDEX(Monthly!$B$2:$B$61,BC$1-$A25+1),0)</f>
        <v/>
      </c>
      <c r="BD25" s="47">
        <f>IF($A25&lt;=BD$1,INDEX(Monthly!$B$2:$B$61,BD$1-$A25+1),0)</f>
        <v/>
      </c>
      <c r="BE25" s="47">
        <f>IF($A25&lt;=BE$1,INDEX(Monthly!$B$2:$B$61,BE$1-$A25+1),0)</f>
        <v/>
      </c>
      <c r="BF25" s="47">
        <f>IF($A25&lt;=BF$1,INDEX(Monthly!$B$2:$B$61,BF$1-$A25+1),0)</f>
        <v/>
      </c>
      <c r="BG25" s="47">
        <f>IF($A25&lt;=BG$1,INDEX(Monthly!$B$2:$B$61,BG$1-$A25+1),0)</f>
        <v/>
      </c>
      <c r="BH25" s="47">
        <f>IF($A25&lt;=BH$1,INDEX(Monthly!$B$2:$B$61,BH$1-$A25+1),0)</f>
        <v/>
      </c>
      <c r="BI25" s="47">
        <f>IF($A25&lt;=BI$1,INDEX(Monthly!$B$2:$B$61,BI$1-$A25+1),0)</f>
        <v/>
      </c>
    </row>
    <row r="26">
      <c r="A26" s="3" t="n">
        <v>25</v>
      </c>
      <c r="B26" s="47">
        <f>IF($A26&lt;=B$1,INDEX(Monthly!$B$2:$B$61,B$1-$A26+1),0)</f>
        <v/>
      </c>
      <c r="C26" s="47">
        <f>IF($A26&lt;=C$1,INDEX(Monthly!$B$2:$B$61,C$1-$A26+1),0)</f>
        <v/>
      </c>
      <c r="D26" s="47">
        <f>IF($A26&lt;=D$1,INDEX(Monthly!$B$2:$B$61,D$1-$A26+1),0)</f>
        <v/>
      </c>
      <c r="E26" s="47">
        <f>IF($A26&lt;=E$1,INDEX(Monthly!$B$2:$B$61,E$1-$A26+1),0)</f>
        <v/>
      </c>
      <c r="F26" s="47">
        <f>IF($A26&lt;=F$1,INDEX(Monthly!$B$2:$B$61,F$1-$A26+1),0)</f>
        <v/>
      </c>
      <c r="G26" s="47">
        <f>IF($A26&lt;=G$1,INDEX(Monthly!$B$2:$B$61,G$1-$A26+1),0)</f>
        <v/>
      </c>
      <c r="H26" s="47">
        <f>IF($A26&lt;=H$1,INDEX(Monthly!$B$2:$B$61,H$1-$A26+1),0)</f>
        <v/>
      </c>
      <c r="I26" s="47">
        <f>IF($A26&lt;=I$1,INDEX(Monthly!$B$2:$B$61,I$1-$A26+1),0)</f>
        <v/>
      </c>
      <c r="J26" s="47">
        <f>IF($A26&lt;=J$1,INDEX(Monthly!$B$2:$B$61,J$1-$A26+1),0)</f>
        <v/>
      </c>
      <c r="K26" s="47">
        <f>IF($A26&lt;=K$1,INDEX(Monthly!$B$2:$B$61,K$1-$A26+1),0)</f>
        <v/>
      </c>
      <c r="L26" s="47">
        <f>IF($A26&lt;=L$1,INDEX(Monthly!$B$2:$B$61,L$1-$A26+1),0)</f>
        <v/>
      </c>
      <c r="M26" s="47">
        <f>IF($A26&lt;=M$1,INDEX(Monthly!$B$2:$B$61,M$1-$A26+1),0)</f>
        <v/>
      </c>
      <c r="N26" s="47">
        <f>IF($A26&lt;=N$1,INDEX(Monthly!$B$2:$B$61,N$1-$A26+1),0)</f>
        <v/>
      </c>
      <c r="O26" s="47">
        <f>IF($A26&lt;=O$1,INDEX(Monthly!$B$2:$B$61,O$1-$A26+1),0)</f>
        <v/>
      </c>
      <c r="P26" s="47">
        <f>IF($A26&lt;=P$1,INDEX(Monthly!$B$2:$B$61,P$1-$A26+1),0)</f>
        <v/>
      </c>
      <c r="Q26" s="47">
        <f>IF($A26&lt;=Q$1,INDEX(Monthly!$B$2:$B$61,Q$1-$A26+1),0)</f>
        <v/>
      </c>
      <c r="R26" s="47">
        <f>IF($A26&lt;=R$1,INDEX(Monthly!$B$2:$B$61,R$1-$A26+1),0)</f>
        <v/>
      </c>
      <c r="S26" s="47">
        <f>IF($A26&lt;=S$1,INDEX(Monthly!$B$2:$B$61,S$1-$A26+1),0)</f>
        <v/>
      </c>
      <c r="T26" s="47">
        <f>IF($A26&lt;=T$1,INDEX(Monthly!$B$2:$B$61,T$1-$A26+1),0)</f>
        <v/>
      </c>
      <c r="U26" s="47">
        <f>IF($A26&lt;=U$1,INDEX(Monthly!$B$2:$B$61,U$1-$A26+1),0)</f>
        <v/>
      </c>
      <c r="V26" s="47">
        <f>IF($A26&lt;=V$1,INDEX(Monthly!$B$2:$B$61,V$1-$A26+1),0)</f>
        <v/>
      </c>
      <c r="W26" s="47">
        <f>IF($A26&lt;=W$1,INDEX(Monthly!$B$2:$B$61,W$1-$A26+1),0)</f>
        <v/>
      </c>
      <c r="X26" s="47">
        <f>IF($A26&lt;=X$1,INDEX(Monthly!$B$2:$B$61,X$1-$A26+1),0)</f>
        <v/>
      </c>
      <c r="Y26" s="47">
        <f>IF($A26&lt;=Y$1,INDEX(Monthly!$B$2:$B$61,Y$1-$A26+1),0)</f>
        <v/>
      </c>
      <c r="Z26" s="47">
        <f>IF($A26&lt;=Z$1,INDEX(Monthly!$B$2:$B$61,Z$1-$A26+1),0)</f>
        <v/>
      </c>
      <c r="AA26" s="47">
        <f>IF($A26&lt;=AA$1,INDEX(Monthly!$B$2:$B$61,AA$1-$A26+1),0)</f>
        <v/>
      </c>
      <c r="AB26" s="47">
        <f>IF($A26&lt;=AB$1,INDEX(Monthly!$B$2:$B$61,AB$1-$A26+1),0)</f>
        <v/>
      </c>
      <c r="AC26" s="47">
        <f>IF($A26&lt;=AC$1,INDEX(Monthly!$B$2:$B$61,AC$1-$A26+1),0)</f>
        <v/>
      </c>
      <c r="AD26" s="47">
        <f>IF($A26&lt;=AD$1,INDEX(Monthly!$B$2:$B$61,AD$1-$A26+1),0)</f>
        <v/>
      </c>
      <c r="AE26" s="47">
        <f>IF($A26&lt;=AE$1,INDEX(Monthly!$B$2:$B$61,AE$1-$A26+1),0)</f>
        <v/>
      </c>
      <c r="AF26" s="47">
        <f>IF($A26&lt;=AF$1,INDEX(Monthly!$B$2:$B$61,AF$1-$A26+1),0)</f>
        <v/>
      </c>
      <c r="AG26" s="47">
        <f>IF($A26&lt;=AG$1,INDEX(Monthly!$B$2:$B$61,AG$1-$A26+1),0)</f>
        <v/>
      </c>
      <c r="AH26" s="47">
        <f>IF($A26&lt;=AH$1,INDEX(Monthly!$B$2:$B$61,AH$1-$A26+1),0)</f>
        <v/>
      </c>
      <c r="AI26" s="47">
        <f>IF($A26&lt;=AI$1,INDEX(Monthly!$B$2:$B$61,AI$1-$A26+1),0)</f>
        <v/>
      </c>
      <c r="AJ26" s="47">
        <f>IF($A26&lt;=AJ$1,INDEX(Monthly!$B$2:$B$61,AJ$1-$A26+1),0)</f>
        <v/>
      </c>
      <c r="AK26" s="47">
        <f>IF($A26&lt;=AK$1,INDEX(Monthly!$B$2:$B$61,AK$1-$A26+1),0)</f>
        <v/>
      </c>
      <c r="AL26" s="47">
        <f>IF($A26&lt;=AL$1,INDEX(Monthly!$B$2:$B$61,AL$1-$A26+1),0)</f>
        <v/>
      </c>
      <c r="AM26" s="47">
        <f>IF($A26&lt;=AM$1,INDEX(Monthly!$B$2:$B$61,AM$1-$A26+1),0)</f>
        <v/>
      </c>
      <c r="AN26" s="47">
        <f>IF($A26&lt;=AN$1,INDEX(Monthly!$B$2:$B$61,AN$1-$A26+1),0)</f>
        <v/>
      </c>
      <c r="AO26" s="47">
        <f>IF($A26&lt;=AO$1,INDEX(Monthly!$B$2:$B$61,AO$1-$A26+1),0)</f>
        <v/>
      </c>
      <c r="AP26" s="47">
        <f>IF($A26&lt;=AP$1,INDEX(Monthly!$B$2:$B$61,AP$1-$A26+1),0)</f>
        <v/>
      </c>
      <c r="AQ26" s="47">
        <f>IF($A26&lt;=AQ$1,INDEX(Monthly!$B$2:$B$61,AQ$1-$A26+1),0)</f>
        <v/>
      </c>
      <c r="AR26" s="47">
        <f>IF($A26&lt;=AR$1,INDEX(Monthly!$B$2:$B$61,AR$1-$A26+1),0)</f>
        <v/>
      </c>
      <c r="AS26" s="47">
        <f>IF($A26&lt;=AS$1,INDEX(Monthly!$B$2:$B$61,AS$1-$A26+1),0)</f>
        <v/>
      </c>
      <c r="AT26" s="47">
        <f>IF($A26&lt;=AT$1,INDEX(Monthly!$B$2:$B$61,AT$1-$A26+1),0)</f>
        <v/>
      </c>
      <c r="AU26" s="47">
        <f>IF($A26&lt;=AU$1,INDEX(Monthly!$B$2:$B$61,AU$1-$A26+1),0)</f>
        <v/>
      </c>
      <c r="AV26" s="47">
        <f>IF($A26&lt;=AV$1,INDEX(Monthly!$B$2:$B$61,AV$1-$A26+1),0)</f>
        <v/>
      </c>
      <c r="AW26" s="47">
        <f>IF($A26&lt;=AW$1,INDEX(Monthly!$B$2:$B$61,AW$1-$A26+1),0)</f>
        <v/>
      </c>
      <c r="AX26" s="47">
        <f>IF($A26&lt;=AX$1,INDEX(Monthly!$B$2:$B$61,AX$1-$A26+1),0)</f>
        <v/>
      </c>
      <c r="AY26" s="47">
        <f>IF($A26&lt;=AY$1,INDEX(Monthly!$B$2:$B$61,AY$1-$A26+1),0)</f>
        <v/>
      </c>
      <c r="AZ26" s="47">
        <f>IF($A26&lt;=AZ$1,INDEX(Monthly!$B$2:$B$61,AZ$1-$A26+1),0)</f>
        <v/>
      </c>
      <c r="BA26" s="47">
        <f>IF($A26&lt;=BA$1,INDEX(Monthly!$B$2:$B$61,BA$1-$A26+1),0)</f>
        <v/>
      </c>
      <c r="BB26" s="47">
        <f>IF($A26&lt;=BB$1,INDEX(Monthly!$B$2:$B$61,BB$1-$A26+1),0)</f>
        <v/>
      </c>
      <c r="BC26" s="47">
        <f>IF($A26&lt;=BC$1,INDEX(Monthly!$B$2:$B$61,BC$1-$A26+1),0)</f>
        <v/>
      </c>
      <c r="BD26" s="47">
        <f>IF($A26&lt;=BD$1,INDEX(Monthly!$B$2:$B$61,BD$1-$A26+1),0)</f>
        <v/>
      </c>
      <c r="BE26" s="47">
        <f>IF($A26&lt;=BE$1,INDEX(Monthly!$B$2:$B$61,BE$1-$A26+1),0)</f>
        <v/>
      </c>
      <c r="BF26" s="47">
        <f>IF($A26&lt;=BF$1,INDEX(Monthly!$B$2:$B$61,BF$1-$A26+1),0)</f>
        <v/>
      </c>
      <c r="BG26" s="47">
        <f>IF($A26&lt;=BG$1,INDEX(Monthly!$B$2:$B$61,BG$1-$A26+1),0)</f>
        <v/>
      </c>
      <c r="BH26" s="47">
        <f>IF($A26&lt;=BH$1,INDEX(Monthly!$B$2:$B$61,BH$1-$A26+1),0)</f>
        <v/>
      </c>
      <c r="BI26" s="47">
        <f>IF($A26&lt;=BI$1,INDEX(Monthly!$B$2:$B$61,BI$1-$A26+1),0)</f>
        <v/>
      </c>
    </row>
    <row r="27">
      <c r="A27" s="3" t="n">
        <v>26</v>
      </c>
      <c r="B27" s="47">
        <f>IF($A27&lt;=B$1,INDEX(Monthly!$B$2:$B$61,B$1-$A27+1),0)</f>
        <v/>
      </c>
      <c r="C27" s="47">
        <f>IF($A27&lt;=C$1,INDEX(Monthly!$B$2:$B$61,C$1-$A27+1),0)</f>
        <v/>
      </c>
      <c r="D27" s="47">
        <f>IF($A27&lt;=D$1,INDEX(Monthly!$B$2:$B$61,D$1-$A27+1),0)</f>
        <v/>
      </c>
      <c r="E27" s="47">
        <f>IF($A27&lt;=E$1,INDEX(Monthly!$B$2:$B$61,E$1-$A27+1),0)</f>
        <v/>
      </c>
      <c r="F27" s="47">
        <f>IF($A27&lt;=F$1,INDEX(Monthly!$B$2:$B$61,F$1-$A27+1),0)</f>
        <v/>
      </c>
      <c r="G27" s="47">
        <f>IF($A27&lt;=G$1,INDEX(Monthly!$B$2:$B$61,G$1-$A27+1),0)</f>
        <v/>
      </c>
      <c r="H27" s="47">
        <f>IF($A27&lt;=H$1,INDEX(Monthly!$B$2:$B$61,H$1-$A27+1),0)</f>
        <v/>
      </c>
      <c r="I27" s="47">
        <f>IF($A27&lt;=I$1,INDEX(Monthly!$B$2:$B$61,I$1-$A27+1),0)</f>
        <v/>
      </c>
      <c r="J27" s="47">
        <f>IF($A27&lt;=J$1,INDEX(Monthly!$B$2:$B$61,J$1-$A27+1),0)</f>
        <v/>
      </c>
      <c r="K27" s="47">
        <f>IF($A27&lt;=K$1,INDEX(Monthly!$B$2:$B$61,K$1-$A27+1),0)</f>
        <v/>
      </c>
      <c r="L27" s="47">
        <f>IF($A27&lt;=L$1,INDEX(Monthly!$B$2:$B$61,L$1-$A27+1),0)</f>
        <v/>
      </c>
      <c r="M27" s="47">
        <f>IF($A27&lt;=M$1,INDEX(Monthly!$B$2:$B$61,M$1-$A27+1),0)</f>
        <v/>
      </c>
      <c r="N27" s="47">
        <f>IF($A27&lt;=N$1,INDEX(Monthly!$B$2:$B$61,N$1-$A27+1),0)</f>
        <v/>
      </c>
      <c r="O27" s="47">
        <f>IF($A27&lt;=O$1,INDEX(Monthly!$B$2:$B$61,O$1-$A27+1),0)</f>
        <v/>
      </c>
      <c r="P27" s="47">
        <f>IF($A27&lt;=P$1,INDEX(Monthly!$B$2:$B$61,P$1-$A27+1),0)</f>
        <v/>
      </c>
      <c r="Q27" s="47">
        <f>IF($A27&lt;=Q$1,INDEX(Monthly!$B$2:$B$61,Q$1-$A27+1),0)</f>
        <v/>
      </c>
      <c r="R27" s="47">
        <f>IF($A27&lt;=R$1,INDEX(Monthly!$B$2:$B$61,R$1-$A27+1),0)</f>
        <v/>
      </c>
      <c r="S27" s="47">
        <f>IF($A27&lt;=S$1,INDEX(Monthly!$B$2:$B$61,S$1-$A27+1),0)</f>
        <v/>
      </c>
      <c r="T27" s="47">
        <f>IF($A27&lt;=T$1,INDEX(Monthly!$B$2:$B$61,T$1-$A27+1),0)</f>
        <v/>
      </c>
      <c r="U27" s="47">
        <f>IF($A27&lt;=U$1,INDEX(Monthly!$B$2:$B$61,U$1-$A27+1),0)</f>
        <v/>
      </c>
      <c r="V27" s="47">
        <f>IF($A27&lt;=V$1,INDEX(Monthly!$B$2:$B$61,V$1-$A27+1),0)</f>
        <v/>
      </c>
      <c r="W27" s="47">
        <f>IF($A27&lt;=W$1,INDEX(Monthly!$B$2:$B$61,W$1-$A27+1),0)</f>
        <v/>
      </c>
      <c r="X27" s="47">
        <f>IF($A27&lt;=X$1,INDEX(Monthly!$B$2:$B$61,X$1-$A27+1),0)</f>
        <v/>
      </c>
      <c r="Y27" s="47">
        <f>IF($A27&lt;=Y$1,INDEX(Monthly!$B$2:$B$61,Y$1-$A27+1),0)</f>
        <v/>
      </c>
      <c r="Z27" s="47">
        <f>IF($A27&lt;=Z$1,INDEX(Monthly!$B$2:$B$61,Z$1-$A27+1),0)</f>
        <v/>
      </c>
      <c r="AA27" s="47">
        <f>IF($A27&lt;=AA$1,INDEX(Monthly!$B$2:$B$61,AA$1-$A27+1),0)</f>
        <v/>
      </c>
      <c r="AB27" s="47">
        <f>IF($A27&lt;=AB$1,INDEX(Monthly!$B$2:$B$61,AB$1-$A27+1),0)</f>
        <v/>
      </c>
      <c r="AC27" s="47">
        <f>IF($A27&lt;=AC$1,INDEX(Monthly!$B$2:$B$61,AC$1-$A27+1),0)</f>
        <v/>
      </c>
      <c r="AD27" s="47">
        <f>IF($A27&lt;=AD$1,INDEX(Monthly!$B$2:$B$61,AD$1-$A27+1),0)</f>
        <v/>
      </c>
      <c r="AE27" s="47">
        <f>IF($A27&lt;=AE$1,INDEX(Monthly!$B$2:$B$61,AE$1-$A27+1),0)</f>
        <v/>
      </c>
      <c r="AF27" s="47">
        <f>IF($A27&lt;=AF$1,INDEX(Monthly!$B$2:$B$61,AF$1-$A27+1),0)</f>
        <v/>
      </c>
      <c r="AG27" s="47">
        <f>IF($A27&lt;=AG$1,INDEX(Monthly!$B$2:$B$61,AG$1-$A27+1),0)</f>
        <v/>
      </c>
      <c r="AH27" s="47">
        <f>IF($A27&lt;=AH$1,INDEX(Monthly!$B$2:$B$61,AH$1-$A27+1),0)</f>
        <v/>
      </c>
      <c r="AI27" s="47">
        <f>IF($A27&lt;=AI$1,INDEX(Monthly!$B$2:$B$61,AI$1-$A27+1),0)</f>
        <v/>
      </c>
      <c r="AJ27" s="47">
        <f>IF($A27&lt;=AJ$1,INDEX(Monthly!$B$2:$B$61,AJ$1-$A27+1),0)</f>
        <v/>
      </c>
      <c r="AK27" s="47">
        <f>IF($A27&lt;=AK$1,INDEX(Monthly!$B$2:$B$61,AK$1-$A27+1),0)</f>
        <v/>
      </c>
      <c r="AL27" s="47">
        <f>IF($A27&lt;=AL$1,INDEX(Monthly!$B$2:$B$61,AL$1-$A27+1),0)</f>
        <v/>
      </c>
      <c r="AM27" s="47">
        <f>IF($A27&lt;=AM$1,INDEX(Monthly!$B$2:$B$61,AM$1-$A27+1),0)</f>
        <v/>
      </c>
      <c r="AN27" s="47">
        <f>IF($A27&lt;=AN$1,INDEX(Monthly!$B$2:$B$61,AN$1-$A27+1),0)</f>
        <v/>
      </c>
      <c r="AO27" s="47">
        <f>IF($A27&lt;=AO$1,INDEX(Monthly!$B$2:$B$61,AO$1-$A27+1),0)</f>
        <v/>
      </c>
      <c r="AP27" s="47">
        <f>IF($A27&lt;=AP$1,INDEX(Monthly!$B$2:$B$61,AP$1-$A27+1),0)</f>
        <v/>
      </c>
      <c r="AQ27" s="47">
        <f>IF($A27&lt;=AQ$1,INDEX(Monthly!$B$2:$B$61,AQ$1-$A27+1),0)</f>
        <v/>
      </c>
      <c r="AR27" s="47">
        <f>IF($A27&lt;=AR$1,INDEX(Monthly!$B$2:$B$61,AR$1-$A27+1),0)</f>
        <v/>
      </c>
      <c r="AS27" s="47">
        <f>IF($A27&lt;=AS$1,INDEX(Monthly!$B$2:$B$61,AS$1-$A27+1),0)</f>
        <v/>
      </c>
      <c r="AT27" s="47">
        <f>IF($A27&lt;=AT$1,INDEX(Monthly!$B$2:$B$61,AT$1-$A27+1),0)</f>
        <v/>
      </c>
      <c r="AU27" s="47">
        <f>IF($A27&lt;=AU$1,INDEX(Monthly!$B$2:$B$61,AU$1-$A27+1),0)</f>
        <v/>
      </c>
      <c r="AV27" s="47">
        <f>IF($A27&lt;=AV$1,INDEX(Monthly!$B$2:$B$61,AV$1-$A27+1),0)</f>
        <v/>
      </c>
      <c r="AW27" s="47">
        <f>IF($A27&lt;=AW$1,INDEX(Monthly!$B$2:$B$61,AW$1-$A27+1),0)</f>
        <v/>
      </c>
      <c r="AX27" s="47">
        <f>IF($A27&lt;=AX$1,INDEX(Monthly!$B$2:$B$61,AX$1-$A27+1),0)</f>
        <v/>
      </c>
      <c r="AY27" s="47">
        <f>IF($A27&lt;=AY$1,INDEX(Monthly!$B$2:$B$61,AY$1-$A27+1),0)</f>
        <v/>
      </c>
      <c r="AZ27" s="47">
        <f>IF($A27&lt;=AZ$1,INDEX(Monthly!$B$2:$B$61,AZ$1-$A27+1),0)</f>
        <v/>
      </c>
      <c r="BA27" s="47">
        <f>IF($A27&lt;=BA$1,INDEX(Monthly!$B$2:$B$61,BA$1-$A27+1),0)</f>
        <v/>
      </c>
      <c r="BB27" s="47">
        <f>IF($A27&lt;=BB$1,INDEX(Monthly!$B$2:$B$61,BB$1-$A27+1),0)</f>
        <v/>
      </c>
      <c r="BC27" s="47">
        <f>IF($A27&lt;=BC$1,INDEX(Monthly!$B$2:$B$61,BC$1-$A27+1),0)</f>
        <v/>
      </c>
      <c r="BD27" s="47">
        <f>IF($A27&lt;=BD$1,INDEX(Monthly!$B$2:$B$61,BD$1-$A27+1),0)</f>
        <v/>
      </c>
      <c r="BE27" s="47">
        <f>IF($A27&lt;=BE$1,INDEX(Monthly!$B$2:$B$61,BE$1-$A27+1),0)</f>
        <v/>
      </c>
      <c r="BF27" s="47">
        <f>IF($A27&lt;=BF$1,INDEX(Monthly!$B$2:$B$61,BF$1-$A27+1),0)</f>
        <v/>
      </c>
      <c r="BG27" s="47">
        <f>IF($A27&lt;=BG$1,INDEX(Monthly!$B$2:$B$61,BG$1-$A27+1),0)</f>
        <v/>
      </c>
      <c r="BH27" s="47">
        <f>IF($A27&lt;=BH$1,INDEX(Monthly!$B$2:$B$61,BH$1-$A27+1),0)</f>
        <v/>
      </c>
      <c r="BI27" s="47">
        <f>IF($A27&lt;=BI$1,INDEX(Monthly!$B$2:$B$61,BI$1-$A27+1),0)</f>
        <v/>
      </c>
    </row>
    <row r="28">
      <c r="A28" s="3" t="n">
        <v>27</v>
      </c>
      <c r="B28" s="47">
        <f>IF($A28&lt;=B$1,INDEX(Monthly!$B$2:$B$61,B$1-$A28+1),0)</f>
        <v/>
      </c>
      <c r="C28" s="47">
        <f>IF($A28&lt;=C$1,INDEX(Monthly!$B$2:$B$61,C$1-$A28+1),0)</f>
        <v/>
      </c>
      <c r="D28" s="47">
        <f>IF($A28&lt;=D$1,INDEX(Monthly!$B$2:$B$61,D$1-$A28+1),0)</f>
        <v/>
      </c>
      <c r="E28" s="47">
        <f>IF($A28&lt;=E$1,INDEX(Monthly!$B$2:$B$61,E$1-$A28+1),0)</f>
        <v/>
      </c>
      <c r="F28" s="47">
        <f>IF($A28&lt;=F$1,INDEX(Monthly!$B$2:$B$61,F$1-$A28+1),0)</f>
        <v/>
      </c>
      <c r="G28" s="47">
        <f>IF($A28&lt;=G$1,INDEX(Monthly!$B$2:$B$61,G$1-$A28+1),0)</f>
        <v/>
      </c>
      <c r="H28" s="47">
        <f>IF($A28&lt;=H$1,INDEX(Monthly!$B$2:$B$61,H$1-$A28+1),0)</f>
        <v/>
      </c>
      <c r="I28" s="47">
        <f>IF($A28&lt;=I$1,INDEX(Monthly!$B$2:$B$61,I$1-$A28+1),0)</f>
        <v/>
      </c>
      <c r="J28" s="47">
        <f>IF($A28&lt;=J$1,INDEX(Monthly!$B$2:$B$61,J$1-$A28+1),0)</f>
        <v/>
      </c>
      <c r="K28" s="47">
        <f>IF($A28&lt;=K$1,INDEX(Monthly!$B$2:$B$61,K$1-$A28+1),0)</f>
        <v/>
      </c>
      <c r="L28" s="47">
        <f>IF($A28&lt;=L$1,INDEX(Monthly!$B$2:$B$61,L$1-$A28+1),0)</f>
        <v/>
      </c>
      <c r="M28" s="47">
        <f>IF($A28&lt;=M$1,INDEX(Monthly!$B$2:$B$61,M$1-$A28+1),0)</f>
        <v/>
      </c>
      <c r="N28" s="47">
        <f>IF($A28&lt;=N$1,INDEX(Monthly!$B$2:$B$61,N$1-$A28+1),0)</f>
        <v/>
      </c>
      <c r="O28" s="47">
        <f>IF($A28&lt;=O$1,INDEX(Monthly!$B$2:$B$61,O$1-$A28+1),0)</f>
        <v/>
      </c>
      <c r="P28" s="47">
        <f>IF($A28&lt;=P$1,INDEX(Monthly!$B$2:$B$61,P$1-$A28+1),0)</f>
        <v/>
      </c>
      <c r="Q28" s="47">
        <f>IF($A28&lt;=Q$1,INDEX(Monthly!$B$2:$B$61,Q$1-$A28+1),0)</f>
        <v/>
      </c>
      <c r="R28" s="47">
        <f>IF($A28&lt;=R$1,INDEX(Monthly!$B$2:$B$61,R$1-$A28+1),0)</f>
        <v/>
      </c>
      <c r="S28" s="47">
        <f>IF($A28&lt;=S$1,INDEX(Monthly!$B$2:$B$61,S$1-$A28+1),0)</f>
        <v/>
      </c>
      <c r="T28" s="47">
        <f>IF($A28&lt;=T$1,INDEX(Monthly!$B$2:$B$61,T$1-$A28+1),0)</f>
        <v/>
      </c>
      <c r="U28" s="47">
        <f>IF($A28&lt;=U$1,INDEX(Monthly!$B$2:$B$61,U$1-$A28+1),0)</f>
        <v/>
      </c>
      <c r="V28" s="47">
        <f>IF($A28&lt;=V$1,INDEX(Monthly!$B$2:$B$61,V$1-$A28+1),0)</f>
        <v/>
      </c>
      <c r="W28" s="47">
        <f>IF($A28&lt;=W$1,INDEX(Monthly!$B$2:$B$61,W$1-$A28+1),0)</f>
        <v/>
      </c>
      <c r="X28" s="47">
        <f>IF($A28&lt;=X$1,INDEX(Monthly!$B$2:$B$61,X$1-$A28+1),0)</f>
        <v/>
      </c>
      <c r="Y28" s="47">
        <f>IF($A28&lt;=Y$1,INDEX(Monthly!$B$2:$B$61,Y$1-$A28+1),0)</f>
        <v/>
      </c>
      <c r="Z28" s="47">
        <f>IF($A28&lt;=Z$1,INDEX(Monthly!$B$2:$B$61,Z$1-$A28+1),0)</f>
        <v/>
      </c>
      <c r="AA28" s="47">
        <f>IF($A28&lt;=AA$1,INDEX(Monthly!$B$2:$B$61,AA$1-$A28+1),0)</f>
        <v/>
      </c>
      <c r="AB28" s="47">
        <f>IF($A28&lt;=AB$1,INDEX(Monthly!$B$2:$B$61,AB$1-$A28+1),0)</f>
        <v/>
      </c>
      <c r="AC28" s="47">
        <f>IF($A28&lt;=AC$1,INDEX(Monthly!$B$2:$B$61,AC$1-$A28+1),0)</f>
        <v/>
      </c>
      <c r="AD28" s="47">
        <f>IF($A28&lt;=AD$1,INDEX(Monthly!$B$2:$B$61,AD$1-$A28+1),0)</f>
        <v/>
      </c>
      <c r="AE28" s="47">
        <f>IF($A28&lt;=AE$1,INDEX(Monthly!$B$2:$B$61,AE$1-$A28+1),0)</f>
        <v/>
      </c>
      <c r="AF28" s="47">
        <f>IF($A28&lt;=AF$1,INDEX(Monthly!$B$2:$B$61,AF$1-$A28+1),0)</f>
        <v/>
      </c>
      <c r="AG28" s="47">
        <f>IF($A28&lt;=AG$1,INDEX(Monthly!$B$2:$B$61,AG$1-$A28+1),0)</f>
        <v/>
      </c>
      <c r="AH28" s="47">
        <f>IF($A28&lt;=AH$1,INDEX(Monthly!$B$2:$B$61,AH$1-$A28+1),0)</f>
        <v/>
      </c>
      <c r="AI28" s="47">
        <f>IF($A28&lt;=AI$1,INDEX(Monthly!$B$2:$B$61,AI$1-$A28+1),0)</f>
        <v/>
      </c>
      <c r="AJ28" s="47">
        <f>IF($A28&lt;=AJ$1,INDEX(Monthly!$B$2:$B$61,AJ$1-$A28+1),0)</f>
        <v/>
      </c>
      <c r="AK28" s="47">
        <f>IF($A28&lt;=AK$1,INDEX(Monthly!$B$2:$B$61,AK$1-$A28+1),0)</f>
        <v/>
      </c>
      <c r="AL28" s="47">
        <f>IF($A28&lt;=AL$1,INDEX(Monthly!$B$2:$B$61,AL$1-$A28+1),0)</f>
        <v/>
      </c>
      <c r="AM28" s="47">
        <f>IF($A28&lt;=AM$1,INDEX(Monthly!$B$2:$B$61,AM$1-$A28+1),0)</f>
        <v/>
      </c>
      <c r="AN28" s="47">
        <f>IF($A28&lt;=AN$1,INDEX(Monthly!$B$2:$B$61,AN$1-$A28+1),0)</f>
        <v/>
      </c>
      <c r="AO28" s="47">
        <f>IF($A28&lt;=AO$1,INDEX(Monthly!$B$2:$B$61,AO$1-$A28+1),0)</f>
        <v/>
      </c>
      <c r="AP28" s="47">
        <f>IF($A28&lt;=AP$1,INDEX(Monthly!$B$2:$B$61,AP$1-$A28+1),0)</f>
        <v/>
      </c>
      <c r="AQ28" s="47">
        <f>IF($A28&lt;=AQ$1,INDEX(Monthly!$B$2:$B$61,AQ$1-$A28+1),0)</f>
        <v/>
      </c>
      <c r="AR28" s="47">
        <f>IF($A28&lt;=AR$1,INDEX(Monthly!$B$2:$B$61,AR$1-$A28+1),0)</f>
        <v/>
      </c>
      <c r="AS28" s="47">
        <f>IF($A28&lt;=AS$1,INDEX(Monthly!$B$2:$B$61,AS$1-$A28+1),0)</f>
        <v/>
      </c>
      <c r="AT28" s="47">
        <f>IF($A28&lt;=AT$1,INDEX(Monthly!$B$2:$B$61,AT$1-$A28+1),0)</f>
        <v/>
      </c>
      <c r="AU28" s="47">
        <f>IF($A28&lt;=AU$1,INDEX(Monthly!$B$2:$B$61,AU$1-$A28+1),0)</f>
        <v/>
      </c>
      <c r="AV28" s="47">
        <f>IF($A28&lt;=AV$1,INDEX(Monthly!$B$2:$B$61,AV$1-$A28+1),0)</f>
        <v/>
      </c>
      <c r="AW28" s="47">
        <f>IF($A28&lt;=AW$1,INDEX(Monthly!$B$2:$B$61,AW$1-$A28+1),0)</f>
        <v/>
      </c>
      <c r="AX28" s="47">
        <f>IF($A28&lt;=AX$1,INDEX(Monthly!$B$2:$B$61,AX$1-$A28+1),0)</f>
        <v/>
      </c>
      <c r="AY28" s="47">
        <f>IF($A28&lt;=AY$1,INDEX(Monthly!$B$2:$B$61,AY$1-$A28+1),0)</f>
        <v/>
      </c>
      <c r="AZ28" s="47">
        <f>IF($A28&lt;=AZ$1,INDEX(Monthly!$B$2:$B$61,AZ$1-$A28+1),0)</f>
        <v/>
      </c>
      <c r="BA28" s="47">
        <f>IF($A28&lt;=BA$1,INDEX(Monthly!$B$2:$B$61,BA$1-$A28+1),0)</f>
        <v/>
      </c>
      <c r="BB28" s="47">
        <f>IF($A28&lt;=BB$1,INDEX(Monthly!$B$2:$B$61,BB$1-$A28+1),0)</f>
        <v/>
      </c>
      <c r="BC28" s="47">
        <f>IF($A28&lt;=BC$1,INDEX(Monthly!$B$2:$B$61,BC$1-$A28+1),0)</f>
        <v/>
      </c>
      <c r="BD28" s="47">
        <f>IF($A28&lt;=BD$1,INDEX(Monthly!$B$2:$B$61,BD$1-$A28+1),0)</f>
        <v/>
      </c>
      <c r="BE28" s="47">
        <f>IF($A28&lt;=BE$1,INDEX(Monthly!$B$2:$B$61,BE$1-$A28+1),0)</f>
        <v/>
      </c>
      <c r="BF28" s="47">
        <f>IF($A28&lt;=BF$1,INDEX(Monthly!$B$2:$B$61,BF$1-$A28+1),0)</f>
        <v/>
      </c>
      <c r="BG28" s="47">
        <f>IF($A28&lt;=BG$1,INDEX(Monthly!$B$2:$B$61,BG$1-$A28+1),0)</f>
        <v/>
      </c>
      <c r="BH28" s="47">
        <f>IF($A28&lt;=BH$1,INDEX(Monthly!$B$2:$B$61,BH$1-$A28+1),0)</f>
        <v/>
      </c>
      <c r="BI28" s="47">
        <f>IF($A28&lt;=BI$1,INDEX(Monthly!$B$2:$B$61,BI$1-$A28+1),0)</f>
        <v/>
      </c>
    </row>
    <row r="29">
      <c r="A29" s="3" t="n">
        <v>28</v>
      </c>
      <c r="B29" s="47">
        <f>IF($A29&lt;=B$1,INDEX(Monthly!$B$2:$B$61,B$1-$A29+1),0)</f>
        <v/>
      </c>
      <c r="C29" s="47">
        <f>IF($A29&lt;=C$1,INDEX(Monthly!$B$2:$B$61,C$1-$A29+1),0)</f>
        <v/>
      </c>
      <c r="D29" s="47">
        <f>IF($A29&lt;=D$1,INDEX(Monthly!$B$2:$B$61,D$1-$A29+1),0)</f>
        <v/>
      </c>
      <c r="E29" s="47">
        <f>IF($A29&lt;=E$1,INDEX(Monthly!$B$2:$B$61,E$1-$A29+1),0)</f>
        <v/>
      </c>
      <c r="F29" s="47">
        <f>IF($A29&lt;=F$1,INDEX(Monthly!$B$2:$B$61,F$1-$A29+1),0)</f>
        <v/>
      </c>
      <c r="G29" s="47">
        <f>IF($A29&lt;=G$1,INDEX(Monthly!$B$2:$B$61,G$1-$A29+1),0)</f>
        <v/>
      </c>
      <c r="H29" s="47">
        <f>IF($A29&lt;=H$1,INDEX(Monthly!$B$2:$B$61,H$1-$A29+1),0)</f>
        <v/>
      </c>
      <c r="I29" s="47">
        <f>IF($A29&lt;=I$1,INDEX(Monthly!$B$2:$B$61,I$1-$A29+1),0)</f>
        <v/>
      </c>
      <c r="J29" s="47">
        <f>IF($A29&lt;=J$1,INDEX(Monthly!$B$2:$B$61,J$1-$A29+1),0)</f>
        <v/>
      </c>
      <c r="K29" s="47">
        <f>IF($A29&lt;=K$1,INDEX(Monthly!$B$2:$B$61,K$1-$A29+1),0)</f>
        <v/>
      </c>
      <c r="L29" s="47">
        <f>IF($A29&lt;=L$1,INDEX(Monthly!$B$2:$B$61,L$1-$A29+1),0)</f>
        <v/>
      </c>
      <c r="M29" s="47">
        <f>IF($A29&lt;=M$1,INDEX(Monthly!$B$2:$B$61,M$1-$A29+1),0)</f>
        <v/>
      </c>
      <c r="N29" s="47">
        <f>IF($A29&lt;=N$1,INDEX(Monthly!$B$2:$B$61,N$1-$A29+1),0)</f>
        <v/>
      </c>
      <c r="O29" s="47">
        <f>IF($A29&lt;=O$1,INDEX(Monthly!$B$2:$B$61,O$1-$A29+1),0)</f>
        <v/>
      </c>
      <c r="P29" s="47">
        <f>IF($A29&lt;=P$1,INDEX(Monthly!$B$2:$B$61,P$1-$A29+1),0)</f>
        <v/>
      </c>
      <c r="Q29" s="47">
        <f>IF($A29&lt;=Q$1,INDEX(Monthly!$B$2:$B$61,Q$1-$A29+1),0)</f>
        <v/>
      </c>
      <c r="R29" s="47">
        <f>IF($A29&lt;=R$1,INDEX(Monthly!$B$2:$B$61,R$1-$A29+1),0)</f>
        <v/>
      </c>
      <c r="S29" s="47">
        <f>IF($A29&lt;=S$1,INDEX(Monthly!$B$2:$B$61,S$1-$A29+1),0)</f>
        <v/>
      </c>
      <c r="T29" s="47">
        <f>IF($A29&lt;=T$1,INDEX(Monthly!$B$2:$B$61,T$1-$A29+1),0)</f>
        <v/>
      </c>
      <c r="U29" s="47">
        <f>IF($A29&lt;=U$1,INDEX(Monthly!$B$2:$B$61,U$1-$A29+1),0)</f>
        <v/>
      </c>
      <c r="V29" s="47">
        <f>IF($A29&lt;=V$1,INDEX(Monthly!$B$2:$B$61,V$1-$A29+1),0)</f>
        <v/>
      </c>
      <c r="W29" s="47">
        <f>IF($A29&lt;=W$1,INDEX(Monthly!$B$2:$B$61,W$1-$A29+1),0)</f>
        <v/>
      </c>
      <c r="X29" s="47">
        <f>IF($A29&lt;=X$1,INDEX(Monthly!$B$2:$B$61,X$1-$A29+1),0)</f>
        <v/>
      </c>
      <c r="Y29" s="47">
        <f>IF($A29&lt;=Y$1,INDEX(Monthly!$B$2:$B$61,Y$1-$A29+1),0)</f>
        <v/>
      </c>
      <c r="Z29" s="47">
        <f>IF($A29&lt;=Z$1,INDEX(Monthly!$B$2:$B$61,Z$1-$A29+1),0)</f>
        <v/>
      </c>
      <c r="AA29" s="47">
        <f>IF($A29&lt;=AA$1,INDEX(Monthly!$B$2:$B$61,AA$1-$A29+1),0)</f>
        <v/>
      </c>
      <c r="AB29" s="47">
        <f>IF($A29&lt;=AB$1,INDEX(Monthly!$B$2:$B$61,AB$1-$A29+1),0)</f>
        <v/>
      </c>
      <c r="AC29" s="47">
        <f>IF($A29&lt;=AC$1,INDEX(Monthly!$B$2:$B$61,AC$1-$A29+1),0)</f>
        <v/>
      </c>
      <c r="AD29" s="47">
        <f>IF($A29&lt;=AD$1,INDEX(Monthly!$B$2:$B$61,AD$1-$A29+1),0)</f>
        <v/>
      </c>
      <c r="AE29" s="47">
        <f>IF($A29&lt;=AE$1,INDEX(Monthly!$B$2:$B$61,AE$1-$A29+1),0)</f>
        <v/>
      </c>
      <c r="AF29" s="47">
        <f>IF($A29&lt;=AF$1,INDEX(Monthly!$B$2:$B$61,AF$1-$A29+1),0)</f>
        <v/>
      </c>
      <c r="AG29" s="47">
        <f>IF($A29&lt;=AG$1,INDEX(Monthly!$B$2:$B$61,AG$1-$A29+1),0)</f>
        <v/>
      </c>
      <c r="AH29" s="47">
        <f>IF($A29&lt;=AH$1,INDEX(Monthly!$B$2:$B$61,AH$1-$A29+1),0)</f>
        <v/>
      </c>
      <c r="AI29" s="47">
        <f>IF($A29&lt;=AI$1,INDEX(Monthly!$B$2:$B$61,AI$1-$A29+1),0)</f>
        <v/>
      </c>
      <c r="AJ29" s="47">
        <f>IF($A29&lt;=AJ$1,INDEX(Monthly!$B$2:$B$61,AJ$1-$A29+1),0)</f>
        <v/>
      </c>
      <c r="AK29" s="47">
        <f>IF($A29&lt;=AK$1,INDEX(Monthly!$B$2:$B$61,AK$1-$A29+1),0)</f>
        <v/>
      </c>
      <c r="AL29" s="47">
        <f>IF($A29&lt;=AL$1,INDEX(Monthly!$B$2:$B$61,AL$1-$A29+1),0)</f>
        <v/>
      </c>
      <c r="AM29" s="47">
        <f>IF($A29&lt;=AM$1,INDEX(Monthly!$B$2:$B$61,AM$1-$A29+1),0)</f>
        <v/>
      </c>
      <c r="AN29" s="47">
        <f>IF($A29&lt;=AN$1,INDEX(Monthly!$B$2:$B$61,AN$1-$A29+1),0)</f>
        <v/>
      </c>
      <c r="AO29" s="47">
        <f>IF($A29&lt;=AO$1,INDEX(Monthly!$B$2:$B$61,AO$1-$A29+1),0)</f>
        <v/>
      </c>
      <c r="AP29" s="47">
        <f>IF($A29&lt;=AP$1,INDEX(Monthly!$B$2:$B$61,AP$1-$A29+1),0)</f>
        <v/>
      </c>
      <c r="AQ29" s="47">
        <f>IF($A29&lt;=AQ$1,INDEX(Monthly!$B$2:$B$61,AQ$1-$A29+1),0)</f>
        <v/>
      </c>
      <c r="AR29" s="47">
        <f>IF($A29&lt;=AR$1,INDEX(Monthly!$B$2:$B$61,AR$1-$A29+1),0)</f>
        <v/>
      </c>
      <c r="AS29" s="47">
        <f>IF($A29&lt;=AS$1,INDEX(Monthly!$B$2:$B$61,AS$1-$A29+1),0)</f>
        <v/>
      </c>
      <c r="AT29" s="47">
        <f>IF($A29&lt;=AT$1,INDEX(Monthly!$B$2:$B$61,AT$1-$A29+1),0)</f>
        <v/>
      </c>
      <c r="AU29" s="47">
        <f>IF($A29&lt;=AU$1,INDEX(Monthly!$B$2:$B$61,AU$1-$A29+1),0)</f>
        <v/>
      </c>
      <c r="AV29" s="47">
        <f>IF($A29&lt;=AV$1,INDEX(Monthly!$B$2:$B$61,AV$1-$A29+1),0)</f>
        <v/>
      </c>
      <c r="AW29" s="47">
        <f>IF($A29&lt;=AW$1,INDEX(Monthly!$B$2:$B$61,AW$1-$A29+1),0)</f>
        <v/>
      </c>
      <c r="AX29" s="47">
        <f>IF($A29&lt;=AX$1,INDEX(Monthly!$B$2:$B$61,AX$1-$A29+1),0)</f>
        <v/>
      </c>
      <c r="AY29" s="47">
        <f>IF($A29&lt;=AY$1,INDEX(Monthly!$B$2:$B$61,AY$1-$A29+1),0)</f>
        <v/>
      </c>
      <c r="AZ29" s="47">
        <f>IF($A29&lt;=AZ$1,INDEX(Monthly!$B$2:$B$61,AZ$1-$A29+1),0)</f>
        <v/>
      </c>
      <c r="BA29" s="47">
        <f>IF($A29&lt;=BA$1,INDEX(Monthly!$B$2:$B$61,BA$1-$A29+1),0)</f>
        <v/>
      </c>
      <c r="BB29" s="47">
        <f>IF($A29&lt;=BB$1,INDEX(Monthly!$B$2:$B$61,BB$1-$A29+1),0)</f>
        <v/>
      </c>
      <c r="BC29" s="47">
        <f>IF($A29&lt;=BC$1,INDEX(Monthly!$B$2:$B$61,BC$1-$A29+1),0)</f>
        <v/>
      </c>
      <c r="BD29" s="47">
        <f>IF($A29&lt;=BD$1,INDEX(Monthly!$B$2:$B$61,BD$1-$A29+1),0)</f>
        <v/>
      </c>
      <c r="BE29" s="47">
        <f>IF($A29&lt;=BE$1,INDEX(Monthly!$B$2:$B$61,BE$1-$A29+1),0)</f>
        <v/>
      </c>
      <c r="BF29" s="47">
        <f>IF($A29&lt;=BF$1,INDEX(Monthly!$B$2:$B$61,BF$1-$A29+1),0)</f>
        <v/>
      </c>
      <c r="BG29" s="47">
        <f>IF($A29&lt;=BG$1,INDEX(Monthly!$B$2:$B$61,BG$1-$A29+1),0)</f>
        <v/>
      </c>
      <c r="BH29" s="47">
        <f>IF($A29&lt;=BH$1,INDEX(Monthly!$B$2:$B$61,BH$1-$A29+1),0)</f>
        <v/>
      </c>
      <c r="BI29" s="47">
        <f>IF($A29&lt;=BI$1,INDEX(Monthly!$B$2:$B$61,BI$1-$A29+1),0)</f>
        <v/>
      </c>
    </row>
    <row r="30">
      <c r="A30" s="3" t="n">
        <v>29</v>
      </c>
      <c r="B30" s="47">
        <f>IF($A30&lt;=B$1,INDEX(Monthly!$B$2:$B$61,B$1-$A30+1),0)</f>
        <v/>
      </c>
      <c r="C30" s="47">
        <f>IF($A30&lt;=C$1,INDEX(Monthly!$B$2:$B$61,C$1-$A30+1),0)</f>
        <v/>
      </c>
      <c r="D30" s="47">
        <f>IF($A30&lt;=D$1,INDEX(Monthly!$B$2:$B$61,D$1-$A30+1),0)</f>
        <v/>
      </c>
      <c r="E30" s="47">
        <f>IF($A30&lt;=E$1,INDEX(Monthly!$B$2:$B$61,E$1-$A30+1),0)</f>
        <v/>
      </c>
      <c r="F30" s="47">
        <f>IF($A30&lt;=F$1,INDEX(Monthly!$B$2:$B$61,F$1-$A30+1),0)</f>
        <v/>
      </c>
      <c r="G30" s="47">
        <f>IF($A30&lt;=G$1,INDEX(Monthly!$B$2:$B$61,G$1-$A30+1),0)</f>
        <v/>
      </c>
      <c r="H30" s="47">
        <f>IF($A30&lt;=H$1,INDEX(Monthly!$B$2:$B$61,H$1-$A30+1),0)</f>
        <v/>
      </c>
      <c r="I30" s="47">
        <f>IF($A30&lt;=I$1,INDEX(Monthly!$B$2:$B$61,I$1-$A30+1),0)</f>
        <v/>
      </c>
      <c r="J30" s="47">
        <f>IF($A30&lt;=J$1,INDEX(Monthly!$B$2:$B$61,J$1-$A30+1),0)</f>
        <v/>
      </c>
      <c r="K30" s="47">
        <f>IF($A30&lt;=K$1,INDEX(Monthly!$B$2:$B$61,K$1-$A30+1),0)</f>
        <v/>
      </c>
      <c r="L30" s="47">
        <f>IF($A30&lt;=L$1,INDEX(Monthly!$B$2:$B$61,L$1-$A30+1),0)</f>
        <v/>
      </c>
      <c r="M30" s="47">
        <f>IF($A30&lt;=M$1,INDEX(Monthly!$B$2:$B$61,M$1-$A30+1),0)</f>
        <v/>
      </c>
      <c r="N30" s="47">
        <f>IF($A30&lt;=N$1,INDEX(Monthly!$B$2:$B$61,N$1-$A30+1),0)</f>
        <v/>
      </c>
      <c r="O30" s="47">
        <f>IF($A30&lt;=O$1,INDEX(Monthly!$B$2:$B$61,O$1-$A30+1),0)</f>
        <v/>
      </c>
      <c r="P30" s="47">
        <f>IF($A30&lt;=P$1,INDEX(Monthly!$B$2:$B$61,P$1-$A30+1),0)</f>
        <v/>
      </c>
      <c r="Q30" s="47">
        <f>IF($A30&lt;=Q$1,INDEX(Monthly!$B$2:$B$61,Q$1-$A30+1),0)</f>
        <v/>
      </c>
      <c r="R30" s="47">
        <f>IF($A30&lt;=R$1,INDEX(Monthly!$B$2:$B$61,R$1-$A30+1),0)</f>
        <v/>
      </c>
      <c r="S30" s="47">
        <f>IF($A30&lt;=S$1,INDEX(Monthly!$B$2:$B$61,S$1-$A30+1),0)</f>
        <v/>
      </c>
      <c r="T30" s="47">
        <f>IF($A30&lt;=T$1,INDEX(Monthly!$B$2:$B$61,T$1-$A30+1),0)</f>
        <v/>
      </c>
      <c r="U30" s="47">
        <f>IF($A30&lt;=U$1,INDEX(Monthly!$B$2:$B$61,U$1-$A30+1),0)</f>
        <v/>
      </c>
      <c r="V30" s="47">
        <f>IF($A30&lt;=V$1,INDEX(Monthly!$B$2:$B$61,V$1-$A30+1),0)</f>
        <v/>
      </c>
      <c r="W30" s="47">
        <f>IF($A30&lt;=W$1,INDEX(Monthly!$B$2:$B$61,W$1-$A30+1),0)</f>
        <v/>
      </c>
      <c r="X30" s="47">
        <f>IF($A30&lt;=X$1,INDEX(Monthly!$B$2:$B$61,X$1-$A30+1),0)</f>
        <v/>
      </c>
      <c r="Y30" s="47">
        <f>IF($A30&lt;=Y$1,INDEX(Monthly!$B$2:$B$61,Y$1-$A30+1),0)</f>
        <v/>
      </c>
      <c r="Z30" s="47">
        <f>IF($A30&lt;=Z$1,INDEX(Monthly!$B$2:$B$61,Z$1-$A30+1),0)</f>
        <v/>
      </c>
      <c r="AA30" s="47">
        <f>IF($A30&lt;=AA$1,INDEX(Monthly!$B$2:$B$61,AA$1-$A30+1),0)</f>
        <v/>
      </c>
      <c r="AB30" s="47">
        <f>IF($A30&lt;=AB$1,INDEX(Monthly!$B$2:$B$61,AB$1-$A30+1),0)</f>
        <v/>
      </c>
      <c r="AC30" s="47">
        <f>IF($A30&lt;=AC$1,INDEX(Monthly!$B$2:$B$61,AC$1-$A30+1),0)</f>
        <v/>
      </c>
      <c r="AD30" s="47">
        <f>IF($A30&lt;=AD$1,INDEX(Monthly!$B$2:$B$61,AD$1-$A30+1),0)</f>
        <v/>
      </c>
      <c r="AE30" s="47">
        <f>IF($A30&lt;=AE$1,INDEX(Monthly!$B$2:$B$61,AE$1-$A30+1),0)</f>
        <v/>
      </c>
      <c r="AF30" s="47">
        <f>IF($A30&lt;=AF$1,INDEX(Monthly!$B$2:$B$61,AF$1-$A30+1),0)</f>
        <v/>
      </c>
      <c r="AG30" s="47">
        <f>IF($A30&lt;=AG$1,INDEX(Monthly!$B$2:$B$61,AG$1-$A30+1),0)</f>
        <v/>
      </c>
      <c r="AH30" s="47">
        <f>IF($A30&lt;=AH$1,INDEX(Monthly!$B$2:$B$61,AH$1-$A30+1),0)</f>
        <v/>
      </c>
      <c r="AI30" s="47">
        <f>IF($A30&lt;=AI$1,INDEX(Monthly!$B$2:$B$61,AI$1-$A30+1),0)</f>
        <v/>
      </c>
      <c r="AJ30" s="47">
        <f>IF($A30&lt;=AJ$1,INDEX(Monthly!$B$2:$B$61,AJ$1-$A30+1),0)</f>
        <v/>
      </c>
      <c r="AK30" s="47">
        <f>IF($A30&lt;=AK$1,INDEX(Monthly!$B$2:$B$61,AK$1-$A30+1),0)</f>
        <v/>
      </c>
      <c r="AL30" s="47">
        <f>IF($A30&lt;=AL$1,INDEX(Monthly!$B$2:$B$61,AL$1-$A30+1),0)</f>
        <v/>
      </c>
      <c r="AM30" s="47">
        <f>IF($A30&lt;=AM$1,INDEX(Monthly!$B$2:$B$61,AM$1-$A30+1),0)</f>
        <v/>
      </c>
      <c r="AN30" s="47">
        <f>IF($A30&lt;=AN$1,INDEX(Monthly!$B$2:$B$61,AN$1-$A30+1),0)</f>
        <v/>
      </c>
      <c r="AO30" s="47">
        <f>IF($A30&lt;=AO$1,INDEX(Monthly!$B$2:$B$61,AO$1-$A30+1),0)</f>
        <v/>
      </c>
      <c r="AP30" s="47">
        <f>IF($A30&lt;=AP$1,INDEX(Monthly!$B$2:$B$61,AP$1-$A30+1),0)</f>
        <v/>
      </c>
      <c r="AQ30" s="47">
        <f>IF($A30&lt;=AQ$1,INDEX(Monthly!$B$2:$B$61,AQ$1-$A30+1),0)</f>
        <v/>
      </c>
      <c r="AR30" s="47">
        <f>IF($A30&lt;=AR$1,INDEX(Monthly!$B$2:$B$61,AR$1-$A30+1),0)</f>
        <v/>
      </c>
      <c r="AS30" s="47">
        <f>IF($A30&lt;=AS$1,INDEX(Monthly!$B$2:$B$61,AS$1-$A30+1),0)</f>
        <v/>
      </c>
      <c r="AT30" s="47">
        <f>IF($A30&lt;=AT$1,INDEX(Monthly!$B$2:$B$61,AT$1-$A30+1),0)</f>
        <v/>
      </c>
      <c r="AU30" s="47">
        <f>IF($A30&lt;=AU$1,INDEX(Monthly!$B$2:$B$61,AU$1-$A30+1),0)</f>
        <v/>
      </c>
      <c r="AV30" s="47">
        <f>IF($A30&lt;=AV$1,INDEX(Monthly!$B$2:$B$61,AV$1-$A30+1),0)</f>
        <v/>
      </c>
      <c r="AW30" s="47">
        <f>IF($A30&lt;=AW$1,INDEX(Monthly!$B$2:$B$61,AW$1-$A30+1),0)</f>
        <v/>
      </c>
      <c r="AX30" s="47">
        <f>IF($A30&lt;=AX$1,INDEX(Monthly!$B$2:$B$61,AX$1-$A30+1),0)</f>
        <v/>
      </c>
      <c r="AY30" s="47">
        <f>IF($A30&lt;=AY$1,INDEX(Monthly!$B$2:$B$61,AY$1-$A30+1),0)</f>
        <v/>
      </c>
      <c r="AZ30" s="47">
        <f>IF($A30&lt;=AZ$1,INDEX(Monthly!$B$2:$B$61,AZ$1-$A30+1),0)</f>
        <v/>
      </c>
      <c r="BA30" s="47">
        <f>IF($A30&lt;=BA$1,INDEX(Monthly!$B$2:$B$61,BA$1-$A30+1),0)</f>
        <v/>
      </c>
      <c r="BB30" s="47">
        <f>IF($A30&lt;=BB$1,INDEX(Monthly!$B$2:$B$61,BB$1-$A30+1),0)</f>
        <v/>
      </c>
      <c r="BC30" s="47">
        <f>IF($A30&lt;=BC$1,INDEX(Monthly!$B$2:$B$61,BC$1-$A30+1),0)</f>
        <v/>
      </c>
      <c r="BD30" s="47">
        <f>IF($A30&lt;=BD$1,INDEX(Monthly!$B$2:$B$61,BD$1-$A30+1),0)</f>
        <v/>
      </c>
      <c r="BE30" s="47">
        <f>IF($A30&lt;=BE$1,INDEX(Monthly!$B$2:$B$61,BE$1-$A30+1),0)</f>
        <v/>
      </c>
      <c r="BF30" s="47">
        <f>IF($A30&lt;=BF$1,INDEX(Monthly!$B$2:$B$61,BF$1-$A30+1),0)</f>
        <v/>
      </c>
      <c r="BG30" s="47">
        <f>IF($A30&lt;=BG$1,INDEX(Monthly!$B$2:$B$61,BG$1-$A30+1),0)</f>
        <v/>
      </c>
      <c r="BH30" s="47">
        <f>IF($A30&lt;=BH$1,INDEX(Monthly!$B$2:$B$61,BH$1-$A30+1),0)</f>
        <v/>
      </c>
      <c r="BI30" s="47">
        <f>IF($A30&lt;=BI$1,INDEX(Monthly!$B$2:$B$61,BI$1-$A30+1),0)</f>
        <v/>
      </c>
    </row>
    <row r="31">
      <c r="A31" s="3" t="n">
        <v>30</v>
      </c>
      <c r="B31" s="47">
        <f>IF($A31&lt;=B$1,INDEX(Monthly!$B$2:$B$61,B$1-$A31+1),0)</f>
        <v/>
      </c>
      <c r="C31" s="47">
        <f>IF($A31&lt;=C$1,INDEX(Monthly!$B$2:$B$61,C$1-$A31+1),0)</f>
        <v/>
      </c>
      <c r="D31" s="47">
        <f>IF($A31&lt;=D$1,INDEX(Monthly!$B$2:$B$61,D$1-$A31+1),0)</f>
        <v/>
      </c>
      <c r="E31" s="47">
        <f>IF($A31&lt;=E$1,INDEX(Monthly!$B$2:$B$61,E$1-$A31+1),0)</f>
        <v/>
      </c>
      <c r="F31" s="47">
        <f>IF($A31&lt;=F$1,INDEX(Monthly!$B$2:$B$61,F$1-$A31+1),0)</f>
        <v/>
      </c>
      <c r="G31" s="47">
        <f>IF($A31&lt;=G$1,INDEX(Monthly!$B$2:$B$61,G$1-$A31+1),0)</f>
        <v/>
      </c>
      <c r="H31" s="47">
        <f>IF($A31&lt;=H$1,INDEX(Monthly!$B$2:$B$61,H$1-$A31+1),0)</f>
        <v/>
      </c>
      <c r="I31" s="47">
        <f>IF($A31&lt;=I$1,INDEX(Monthly!$B$2:$B$61,I$1-$A31+1),0)</f>
        <v/>
      </c>
      <c r="J31" s="47">
        <f>IF($A31&lt;=J$1,INDEX(Monthly!$B$2:$B$61,J$1-$A31+1),0)</f>
        <v/>
      </c>
      <c r="K31" s="47">
        <f>IF($A31&lt;=K$1,INDEX(Monthly!$B$2:$B$61,K$1-$A31+1),0)</f>
        <v/>
      </c>
      <c r="L31" s="47">
        <f>IF($A31&lt;=L$1,INDEX(Monthly!$B$2:$B$61,L$1-$A31+1),0)</f>
        <v/>
      </c>
      <c r="M31" s="47">
        <f>IF($A31&lt;=M$1,INDEX(Monthly!$B$2:$B$61,M$1-$A31+1),0)</f>
        <v/>
      </c>
      <c r="N31" s="47">
        <f>IF($A31&lt;=N$1,INDEX(Monthly!$B$2:$B$61,N$1-$A31+1),0)</f>
        <v/>
      </c>
      <c r="O31" s="47">
        <f>IF($A31&lt;=O$1,INDEX(Monthly!$B$2:$B$61,O$1-$A31+1),0)</f>
        <v/>
      </c>
      <c r="P31" s="47">
        <f>IF($A31&lt;=P$1,INDEX(Monthly!$B$2:$B$61,P$1-$A31+1),0)</f>
        <v/>
      </c>
      <c r="Q31" s="47">
        <f>IF($A31&lt;=Q$1,INDEX(Monthly!$B$2:$B$61,Q$1-$A31+1),0)</f>
        <v/>
      </c>
      <c r="R31" s="47">
        <f>IF($A31&lt;=R$1,INDEX(Monthly!$B$2:$B$61,R$1-$A31+1),0)</f>
        <v/>
      </c>
      <c r="S31" s="47">
        <f>IF($A31&lt;=S$1,INDEX(Monthly!$B$2:$B$61,S$1-$A31+1),0)</f>
        <v/>
      </c>
      <c r="T31" s="47">
        <f>IF($A31&lt;=T$1,INDEX(Monthly!$B$2:$B$61,T$1-$A31+1),0)</f>
        <v/>
      </c>
      <c r="U31" s="47">
        <f>IF($A31&lt;=U$1,INDEX(Monthly!$B$2:$B$61,U$1-$A31+1),0)</f>
        <v/>
      </c>
      <c r="V31" s="47">
        <f>IF($A31&lt;=V$1,INDEX(Monthly!$B$2:$B$61,V$1-$A31+1),0)</f>
        <v/>
      </c>
      <c r="W31" s="47">
        <f>IF($A31&lt;=W$1,INDEX(Monthly!$B$2:$B$61,W$1-$A31+1),0)</f>
        <v/>
      </c>
      <c r="X31" s="47">
        <f>IF($A31&lt;=X$1,INDEX(Monthly!$B$2:$B$61,X$1-$A31+1),0)</f>
        <v/>
      </c>
      <c r="Y31" s="47">
        <f>IF($A31&lt;=Y$1,INDEX(Monthly!$B$2:$B$61,Y$1-$A31+1),0)</f>
        <v/>
      </c>
      <c r="Z31" s="47">
        <f>IF($A31&lt;=Z$1,INDEX(Monthly!$B$2:$B$61,Z$1-$A31+1),0)</f>
        <v/>
      </c>
      <c r="AA31" s="47">
        <f>IF($A31&lt;=AA$1,INDEX(Monthly!$B$2:$B$61,AA$1-$A31+1),0)</f>
        <v/>
      </c>
      <c r="AB31" s="47">
        <f>IF($A31&lt;=AB$1,INDEX(Monthly!$B$2:$B$61,AB$1-$A31+1),0)</f>
        <v/>
      </c>
      <c r="AC31" s="47">
        <f>IF($A31&lt;=AC$1,INDEX(Monthly!$B$2:$B$61,AC$1-$A31+1),0)</f>
        <v/>
      </c>
      <c r="AD31" s="47">
        <f>IF($A31&lt;=AD$1,INDEX(Monthly!$B$2:$B$61,AD$1-$A31+1),0)</f>
        <v/>
      </c>
      <c r="AE31" s="47">
        <f>IF($A31&lt;=AE$1,INDEX(Monthly!$B$2:$B$61,AE$1-$A31+1),0)</f>
        <v/>
      </c>
      <c r="AF31" s="47">
        <f>IF($A31&lt;=AF$1,INDEX(Monthly!$B$2:$B$61,AF$1-$A31+1),0)</f>
        <v/>
      </c>
      <c r="AG31" s="47">
        <f>IF($A31&lt;=AG$1,INDEX(Monthly!$B$2:$B$61,AG$1-$A31+1),0)</f>
        <v/>
      </c>
      <c r="AH31" s="47">
        <f>IF($A31&lt;=AH$1,INDEX(Monthly!$B$2:$B$61,AH$1-$A31+1),0)</f>
        <v/>
      </c>
      <c r="AI31" s="47">
        <f>IF($A31&lt;=AI$1,INDEX(Monthly!$B$2:$B$61,AI$1-$A31+1),0)</f>
        <v/>
      </c>
      <c r="AJ31" s="47">
        <f>IF($A31&lt;=AJ$1,INDEX(Monthly!$B$2:$B$61,AJ$1-$A31+1),0)</f>
        <v/>
      </c>
      <c r="AK31" s="47">
        <f>IF($A31&lt;=AK$1,INDEX(Monthly!$B$2:$B$61,AK$1-$A31+1),0)</f>
        <v/>
      </c>
      <c r="AL31" s="47">
        <f>IF($A31&lt;=AL$1,INDEX(Monthly!$B$2:$B$61,AL$1-$A31+1),0)</f>
        <v/>
      </c>
      <c r="AM31" s="47">
        <f>IF($A31&lt;=AM$1,INDEX(Monthly!$B$2:$B$61,AM$1-$A31+1),0)</f>
        <v/>
      </c>
      <c r="AN31" s="47">
        <f>IF($A31&lt;=AN$1,INDEX(Monthly!$B$2:$B$61,AN$1-$A31+1),0)</f>
        <v/>
      </c>
      <c r="AO31" s="47">
        <f>IF($A31&lt;=AO$1,INDEX(Monthly!$B$2:$B$61,AO$1-$A31+1),0)</f>
        <v/>
      </c>
      <c r="AP31" s="47">
        <f>IF($A31&lt;=AP$1,INDEX(Monthly!$B$2:$B$61,AP$1-$A31+1),0)</f>
        <v/>
      </c>
      <c r="AQ31" s="47">
        <f>IF($A31&lt;=AQ$1,INDEX(Monthly!$B$2:$B$61,AQ$1-$A31+1),0)</f>
        <v/>
      </c>
      <c r="AR31" s="47">
        <f>IF($A31&lt;=AR$1,INDEX(Monthly!$B$2:$B$61,AR$1-$A31+1),0)</f>
        <v/>
      </c>
      <c r="AS31" s="47">
        <f>IF($A31&lt;=AS$1,INDEX(Monthly!$B$2:$B$61,AS$1-$A31+1),0)</f>
        <v/>
      </c>
      <c r="AT31" s="47">
        <f>IF($A31&lt;=AT$1,INDEX(Monthly!$B$2:$B$61,AT$1-$A31+1),0)</f>
        <v/>
      </c>
      <c r="AU31" s="47">
        <f>IF($A31&lt;=AU$1,INDEX(Monthly!$B$2:$B$61,AU$1-$A31+1),0)</f>
        <v/>
      </c>
      <c r="AV31" s="47">
        <f>IF($A31&lt;=AV$1,INDEX(Monthly!$B$2:$B$61,AV$1-$A31+1),0)</f>
        <v/>
      </c>
      <c r="AW31" s="47">
        <f>IF($A31&lt;=AW$1,INDEX(Monthly!$B$2:$B$61,AW$1-$A31+1),0)</f>
        <v/>
      </c>
      <c r="AX31" s="47">
        <f>IF($A31&lt;=AX$1,INDEX(Monthly!$B$2:$B$61,AX$1-$A31+1),0)</f>
        <v/>
      </c>
      <c r="AY31" s="47">
        <f>IF($A31&lt;=AY$1,INDEX(Monthly!$B$2:$B$61,AY$1-$A31+1),0)</f>
        <v/>
      </c>
      <c r="AZ31" s="47">
        <f>IF($A31&lt;=AZ$1,INDEX(Monthly!$B$2:$B$61,AZ$1-$A31+1),0)</f>
        <v/>
      </c>
      <c r="BA31" s="47">
        <f>IF($A31&lt;=BA$1,INDEX(Monthly!$B$2:$B$61,BA$1-$A31+1),0)</f>
        <v/>
      </c>
      <c r="BB31" s="47">
        <f>IF($A31&lt;=BB$1,INDEX(Monthly!$B$2:$B$61,BB$1-$A31+1),0)</f>
        <v/>
      </c>
      <c r="BC31" s="47">
        <f>IF($A31&lt;=BC$1,INDEX(Monthly!$B$2:$B$61,BC$1-$A31+1),0)</f>
        <v/>
      </c>
      <c r="BD31" s="47">
        <f>IF($A31&lt;=BD$1,INDEX(Monthly!$B$2:$B$61,BD$1-$A31+1),0)</f>
        <v/>
      </c>
      <c r="BE31" s="47">
        <f>IF($A31&lt;=BE$1,INDEX(Monthly!$B$2:$B$61,BE$1-$A31+1),0)</f>
        <v/>
      </c>
      <c r="BF31" s="47">
        <f>IF($A31&lt;=BF$1,INDEX(Monthly!$B$2:$B$61,BF$1-$A31+1),0)</f>
        <v/>
      </c>
      <c r="BG31" s="47">
        <f>IF($A31&lt;=BG$1,INDEX(Monthly!$B$2:$B$61,BG$1-$A31+1),0)</f>
        <v/>
      </c>
      <c r="BH31" s="47">
        <f>IF($A31&lt;=BH$1,INDEX(Monthly!$B$2:$B$61,BH$1-$A31+1),0)</f>
        <v/>
      </c>
      <c r="BI31" s="47">
        <f>IF($A31&lt;=BI$1,INDEX(Monthly!$B$2:$B$61,BI$1-$A31+1),0)</f>
        <v/>
      </c>
    </row>
    <row r="32">
      <c r="A32" s="3" t="n">
        <v>31</v>
      </c>
      <c r="B32" s="47">
        <f>IF($A32&lt;=B$1,INDEX(Monthly!$B$2:$B$61,B$1-$A32+1),0)</f>
        <v/>
      </c>
      <c r="C32" s="47">
        <f>IF($A32&lt;=C$1,INDEX(Monthly!$B$2:$B$61,C$1-$A32+1),0)</f>
        <v/>
      </c>
      <c r="D32" s="47">
        <f>IF($A32&lt;=D$1,INDEX(Monthly!$B$2:$B$61,D$1-$A32+1),0)</f>
        <v/>
      </c>
      <c r="E32" s="47">
        <f>IF($A32&lt;=E$1,INDEX(Monthly!$B$2:$B$61,E$1-$A32+1),0)</f>
        <v/>
      </c>
      <c r="F32" s="47">
        <f>IF($A32&lt;=F$1,INDEX(Monthly!$B$2:$B$61,F$1-$A32+1),0)</f>
        <v/>
      </c>
      <c r="G32" s="47">
        <f>IF($A32&lt;=G$1,INDEX(Monthly!$B$2:$B$61,G$1-$A32+1),0)</f>
        <v/>
      </c>
      <c r="H32" s="47">
        <f>IF($A32&lt;=H$1,INDEX(Monthly!$B$2:$B$61,H$1-$A32+1),0)</f>
        <v/>
      </c>
      <c r="I32" s="47">
        <f>IF($A32&lt;=I$1,INDEX(Monthly!$B$2:$B$61,I$1-$A32+1),0)</f>
        <v/>
      </c>
      <c r="J32" s="47">
        <f>IF($A32&lt;=J$1,INDEX(Monthly!$B$2:$B$61,J$1-$A32+1),0)</f>
        <v/>
      </c>
      <c r="K32" s="47">
        <f>IF($A32&lt;=K$1,INDEX(Monthly!$B$2:$B$61,K$1-$A32+1),0)</f>
        <v/>
      </c>
      <c r="L32" s="47">
        <f>IF($A32&lt;=L$1,INDEX(Monthly!$B$2:$B$61,L$1-$A32+1),0)</f>
        <v/>
      </c>
      <c r="M32" s="47">
        <f>IF($A32&lt;=M$1,INDEX(Monthly!$B$2:$B$61,M$1-$A32+1),0)</f>
        <v/>
      </c>
      <c r="N32" s="47">
        <f>IF($A32&lt;=N$1,INDEX(Monthly!$B$2:$B$61,N$1-$A32+1),0)</f>
        <v/>
      </c>
      <c r="O32" s="47">
        <f>IF($A32&lt;=O$1,INDEX(Monthly!$B$2:$B$61,O$1-$A32+1),0)</f>
        <v/>
      </c>
      <c r="P32" s="47">
        <f>IF($A32&lt;=P$1,INDEX(Monthly!$B$2:$B$61,P$1-$A32+1),0)</f>
        <v/>
      </c>
      <c r="Q32" s="47">
        <f>IF($A32&lt;=Q$1,INDEX(Monthly!$B$2:$B$61,Q$1-$A32+1),0)</f>
        <v/>
      </c>
      <c r="R32" s="47">
        <f>IF($A32&lt;=R$1,INDEX(Monthly!$B$2:$B$61,R$1-$A32+1),0)</f>
        <v/>
      </c>
      <c r="S32" s="47">
        <f>IF($A32&lt;=S$1,INDEX(Monthly!$B$2:$B$61,S$1-$A32+1),0)</f>
        <v/>
      </c>
      <c r="T32" s="47">
        <f>IF($A32&lt;=T$1,INDEX(Monthly!$B$2:$B$61,T$1-$A32+1),0)</f>
        <v/>
      </c>
      <c r="U32" s="47">
        <f>IF($A32&lt;=U$1,INDEX(Monthly!$B$2:$B$61,U$1-$A32+1),0)</f>
        <v/>
      </c>
      <c r="V32" s="47">
        <f>IF($A32&lt;=V$1,INDEX(Monthly!$B$2:$B$61,V$1-$A32+1),0)</f>
        <v/>
      </c>
      <c r="W32" s="47">
        <f>IF($A32&lt;=W$1,INDEX(Monthly!$B$2:$B$61,W$1-$A32+1),0)</f>
        <v/>
      </c>
      <c r="X32" s="47">
        <f>IF($A32&lt;=X$1,INDEX(Monthly!$B$2:$B$61,X$1-$A32+1),0)</f>
        <v/>
      </c>
      <c r="Y32" s="47">
        <f>IF($A32&lt;=Y$1,INDEX(Monthly!$B$2:$B$61,Y$1-$A32+1),0)</f>
        <v/>
      </c>
      <c r="Z32" s="47">
        <f>IF($A32&lt;=Z$1,INDEX(Monthly!$B$2:$B$61,Z$1-$A32+1),0)</f>
        <v/>
      </c>
      <c r="AA32" s="47">
        <f>IF($A32&lt;=AA$1,INDEX(Monthly!$B$2:$B$61,AA$1-$A32+1),0)</f>
        <v/>
      </c>
      <c r="AB32" s="47">
        <f>IF($A32&lt;=AB$1,INDEX(Monthly!$B$2:$B$61,AB$1-$A32+1),0)</f>
        <v/>
      </c>
      <c r="AC32" s="47">
        <f>IF($A32&lt;=AC$1,INDEX(Monthly!$B$2:$B$61,AC$1-$A32+1),0)</f>
        <v/>
      </c>
      <c r="AD32" s="47">
        <f>IF($A32&lt;=AD$1,INDEX(Monthly!$B$2:$B$61,AD$1-$A32+1),0)</f>
        <v/>
      </c>
      <c r="AE32" s="47">
        <f>IF($A32&lt;=AE$1,INDEX(Monthly!$B$2:$B$61,AE$1-$A32+1),0)</f>
        <v/>
      </c>
      <c r="AF32" s="47">
        <f>IF($A32&lt;=AF$1,INDEX(Monthly!$B$2:$B$61,AF$1-$A32+1),0)</f>
        <v/>
      </c>
      <c r="AG32" s="47">
        <f>IF($A32&lt;=AG$1,INDEX(Monthly!$B$2:$B$61,AG$1-$A32+1),0)</f>
        <v/>
      </c>
      <c r="AH32" s="47">
        <f>IF($A32&lt;=AH$1,INDEX(Monthly!$B$2:$B$61,AH$1-$A32+1),0)</f>
        <v/>
      </c>
      <c r="AI32" s="47">
        <f>IF($A32&lt;=AI$1,INDEX(Monthly!$B$2:$B$61,AI$1-$A32+1),0)</f>
        <v/>
      </c>
      <c r="AJ32" s="47">
        <f>IF($A32&lt;=AJ$1,INDEX(Monthly!$B$2:$B$61,AJ$1-$A32+1),0)</f>
        <v/>
      </c>
      <c r="AK32" s="47">
        <f>IF($A32&lt;=AK$1,INDEX(Monthly!$B$2:$B$61,AK$1-$A32+1),0)</f>
        <v/>
      </c>
      <c r="AL32" s="47">
        <f>IF($A32&lt;=AL$1,INDEX(Monthly!$B$2:$B$61,AL$1-$A32+1),0)</f>
        <v/>
      </c>
      <c r="AM32" s="47">
        <f>IF($A32&lt;=AM$1,INDEX(Monthly!$B$2:$B$61,AM$1-$A32+1),0)</f>
        <v/>
      </c>
      <c r="AN32" s="47">
        <f>IF($A32&lt;=AN$1,INDEX(Monthly!$B$2:$B$61,AN$1-$A32+1),0)</f>
        <v/>
      </c>
      <c r="AO32" s="47">
        <f>IF($A32&lt;=AO$1,INDEX(Monthly!$B$2:$B$61,AO$1-$A32+1),0)</f>
        <v/>
      </c>
      <c r="AP32" s="47">
        <f>IF($A32&lt;=AP$1,INDEX(Monthly!$B$2:$B$61,AP$1-$A32+1),0)</f>
        <v/>
      </c>
      <c r="AQ32" s="47">
        <f>IF($A32&lt;=AQ$1,INDEX(Monthly!$B$2:$B$61,AQ$1-$A32+1),0)</f>
        <v/>
      </c>
      <c r="AR32" s="47">
        <f>IF($A32&lt;=AR$1,INDEX(Monthly!$B$2:$B$61,AR$1-$A32+1),0)</f>
        <v/>
      </c>
      <c r="AS32" s="47">
        <f>IF($A32&lt;=AS$1,INDEX(Monthly!$B$2:$B$61,AS$1-$A32+1),0)</f>
        <v/>
      </c>
      <c r="AT32" s="47">
        <f>IF($A32&lt;=AT$1,INDEX(Monthly!$B$2:$B$61,AT$1-$A32+1),0)</f>
        <v/>
      </c>
      <c r="AU32" s="47">
        <f>IF($A32&lt;=AU$1,INDEX(Monthly!$B$2:$B$61,AU$1-$A32+1),0)</f>
        <v/>
      </c>
      <c r="AV32" s="47">
        <f>IF($A32&lt;=AV$1,INDEX(Monthly!$B$2:$B$61,AV$1-$A32+1),0)</f>
        <v/>
      </c>
      <c r="AW32" s="47">
        <f>IF($A32&lt;=AW$1,INDEX(Monthly!$B$2:$B$61,AW$1-$A32+1),0)</f>
        <v/>
      </c>
      <c r="AX32" s="47">
        <f>IF($A32&lt;=AX$1,INDEX(Monthly!$B$2:$B$61,AX$1-$A32+1),0)</f>
        <v/>
      </c>
      <c r="AY32" s="47">
        <f>IF($A32&lt;=AY$1,INDEX(Monthly!$B$2:$B$61,AY$1-$A32+1),0)</f>
        <v/>
      </c>
      <c r="AZ32" s="47">
        <f>IF($A32&lt;=AZ$1,INDEX(Monthly!$B$2:$B$61,AZ$1-$A32+1),0)</f>
        <v/>
      </c>
      <c r="BA32" s="47">
        <f>IF($A32&lt;=BA$1,INDEX(Monthly!$B$2:$B$61,BA$1-$A32+1),0)</f>
        <v/>
      </c>
      <c r="BB32" s="47">
        <f>IF($A32&lt;=BB$1,INDEX(Monthly!$B$2:$B$61,BB$1-$A32+1),0)</f>
        <v/>
      </c>
      <c r="BC32" s="47">
        <f>IF($A32&lt;=BC$1,INDEX(Monthly!$B$2:$B$61,BC$1-$A32+1),0)</f>
        <v/>
      </c>
      <c r="BD32" s="47">
        <f>IF($A32&lt;=BD$1,INDEX(Monthly!$B$2:$B$61,BD$1-$A32+1),0)</f>
        <v/>
      </c>
      <c r="BE32" s="47">
        <f>IF($A32&lt;=BE$1,INDEX(Monthly!$B$2:$B$61,BE$1-$A32+1),0)</f>
        <v/>
      </c>
      <c r="BF32" s="47">
        <f>IF($A32&lt;=BF$1,INDEX(Monthly!$B$2:$B$61,BF$1-$A32+1),0)</f>
        <v/>
      </c>
      <c r="BG32" s="47">
        <f>IF($A32&lt;=BG$1,INDEX(Monthly!$B$2:$B$61,BG$1-$A32+1),0)</f>
        <v/>
      </c>
      <c r="BH32" s="47">
        <f>IF($A32&lt;=BH$1,INDEX(Monthly!$B$2:$B$61,BH$1-$A32+1),0)</f>
        <v/>
      </c>
      <c r="BI32" s="47">
        <f>IF($A32&lt;=BI$1,INDEX(Monthly!$B$2:$B$61,BI$1-$A32+1),0)</f>
        <v/>
      </c>
    </row>
    <row r="33">
      <c r="A33" s="3" t="n">
        <v>32</v>
      </c>
      <c r="B33" s="47">
        <f>IF($A33&lt;=B$1,INDEX(Monthly!$B$2:$B$61,B$1-$A33+1),0)</f>
        <v/>
      </c>
      <c r="C33" s="47">
        <f>IF($A33&lt;=C$1,INDEX(Monthly!$B$2:$B$61,C$1-$A33+1),0)</f>
        <v/>
      </c>
      <c r="D33" s="47">
        <f>IF($A33&lt;=D$1,INDEX(Monthly!$B$2:$B$61,D$1-$A33+1),0)</f>
        <v/>
      </c>
      <c r="E33" s="47">
        <f>IF($A33&lt;=E$1,INDEX(Monthly!$B$2:$B$61,E$1-$A33+1),0)</f>
        <v/>
      </c>
      <c r="F33" s="47">
        <f>IF($A33&lt;=F$1,INDEX(Monthly!$B$2:$B$61,F$1-$A33+1),0)</f>
        <v/>
      </c>
      <c r="G33" s="47">
        <f>IF($A33&lt;=G$1,INDEX(Monthly!$B$2:$B$61,G$1-$A33+1),0)</f>
        <v/>
      </c>
      <c r="H33" s="47">
        <f>IF($A33&lt;=H$1,INDEX(Monthly!$B$2:$B$61,H$1-$A33+1),0)</f>
        <v/>
      </c>
      <c r="I33" s="47">
        <f>IF($A33&lt;=I$1,INDEX(Monthly!$B$2:$B$61,I$1-$A33+1),0)</f>
        <v/>
      </c>
      <c r="J33" s="47">
        <f>IF($A33&lt;=J$1,INDEX(Monthly!$B$2:$B$61,J$1-$A33+1),0)</f>
        <v/>
      </c>
      <c r="K33" s="47">
        <f>IF($A33&lt;=K$1,INDEX(Monthly!$B$2:$B$61,K$1-$A33+1),0)</f>
        <v/>
      </c>
      <c r="L33" s="47">
        <f>IF($A33&lt;=L$1,INDEX(Monthly!$B$2:$B$61,L$1-$A33+1),0)</f>
        <v/>
      </c>
      <c r="M33" s="47">
        <f>IF($A33&lt;=M$1,INDEX(Monthly!$B$2:$B$61,M$1-$A33+1),0)</f>
        <v/>
      </c>
      <c r="N33" s="47">
        <f>IF($A33&lt;=N$1,INDEX(Monthly!$B$2:$B$61,N$1-$A33+1),0)</f>
        <v/>
      </c>
      <c r="O33" s="47">
        <f>IF($A33&lt;=O$1,INDEX(Monthly!$B$2:$B$61,O$1-$A33+1),0)</f>
        <v/>
      </c>
      <c r="P33" s="47">
        <f>IF($A33&lt;=P$1,INDEX(Monthly!$B$2:$B$61,P$1-$A33+1),0)</f>
        <v/>
      </c>
      <c r="Q33" s="47">
        <f>IF($A33&lt;=Q$1,INDEX(Monthly!$B$2:$B$61,Q$1-$A33+1),0)</f>
        <v/>
      </c>
      <c r="R33" s="47">
        <f>IF($A33&lt;=R$1,INDEX(Monthly!$B$2:$B$61,R$1-$A33+1),0)</f>
        <v/>
      </c>
      <c r="S33" s="47">
        <f>IF($A33&lt;=S$1,INDEX(Monthly!$B$2:$B$61,S$1-$A33+1),0)</f>
        <v/>
      </c>
      <c r="T33" s="47">
        <f>IF($A33&lt;=T$1,INDEX(Monthly!$B$2:$B$61,T$1-$A33+1),0)</f>
        <v/>
      </c>
      <c r="U33" s="47">
        <f>IF($A33&lt;=U$1,INDEX(Monthly!$B$2:$B$61,U$1-$A33+1),0)</f>
        <v/>
      </c>
      <c r="V33" s="47">
        <f>IF($A33&lt;=V$1,INDEX(Monthly!$B$2:$B$61,V$1-$A33+1),0)</f>
        <v/>
      </c>
      <c r="W33" s="47">
        <f>IF($A33&lt;=W$1,INDEX(Monthly!$B$2:$B$61,W$1-$A33+1),0)</f>
        <v/>
      </c>
      <c r="X33" s="47">
        <f>IF($A33&lt;=X$1,INDEX(Monthly!$B$2:$B$61,X$1-$A33+1),0)</f>
        <v/>
      </c>
      <c r="Y33" s="47">
        <f>IF($A33&lt;=Y$1,INDEX(Monthly!$B$2:$B$61,Y$1-$A33+1),0)</f>
        <v/>
      </c>
      <c r="Z33" s="47">
        <f>IF($A33&lt;=Z$1,INDEX(Monthly!$B$2:$B$61,Z$1-$A33+1),0)</f>
        <v/>
      </c>
      <c r="AA33" s="47">
        <f>IF($A33&lt;=AA$1,INDEX(Monthly!$B$2:$B$61,AA$1-$A33+1),0)</f>
        <v/>
      </c>
      <c r="AB33" s="47">
        <f>IF($A33&lt;=AB$1,INDEX(Monthly!$B$2:$B$61,AB$1-$A33+1),0)</f>
        <v/>
      </c>
      <c r="AC33" s="47">
        <f>IF($A33&lt;=AC$1,INDEX(Monthly!$B$2:$B$61,AC$1-$A33+1),0)</f>
        <v/>
      </c>
      <c r="AD33" s="47">
        <f>IF($A33&lt;=AD$1,INDEX(Monthly!$B$2:$B$61,AD$1-$A33+1),0)</f>
        <v/>
      </c>
      <c r="AE33" s="47">
        <f>IF($A33&lt;=AE$1,INDEX(Monthly!$B$2:$B$61,AE$1-$A33+1),0)</f>
        <v/>
      </c>
      <c r="AF33" s="47">
        <f>IF($A33&lt;=AF$1,INDEX(Monthly!$B$2:$B$61,AF$1-$A33+1),0)</f>
        <v/>
      </c>
      <c r="AG33" s="47">
        <f>IF($A33&lt;=AG$1,INDEX(Monthly!$B$2:$B$61,AG$1-$A33+1),0)</f>
        <v/>
      </c>
      <c r="AH33" s="47">
        <f>IF($A33&lt;=AH$1,INDEX(Monthly!$B$2:$B$61,AH$1-$A33+1),0)</f>
        <v/>
      </c>
      <c r="AI33" s="47">
        <f>IF($A33&lt;=AI$1,INDEX(Monthly!$B$2:$B$61,AI$1-$A33+1),0)</f>
        <v/>
      </c>
      <c r="AJ33" s="47">
        <f>IF($A33&lt;=AJ$1,INDEX(Monthly!$B$2:$B$61,AJ$1-$A33+1),0)</f>
        <v/>
      </c>
      <c r="AK33" s="47">
        <f>IF($A33&lt;=AK$1,INDEX(Monthly!$B$2:$B$61,AK$1-$A33+1),0)</f>
        <v/>
      </c>
      <c r="AL33" s="47">
        <f>IF($A33&lt;=AL$1,INDEX(Monthly!$B$2:$B$61,AL$1-$A33+1),0)</f>
        <v/>
      </c>
      <c r="AM33" s="47">
        <f>IF($A33&lt;=AM$1,INDEX(Monthly!$B$2:$B$61,AM$1-$A33+1),0)</f>
        <v/>
      </c>
      <c r="AN33" s="47">
        <f>IF($A33&lt;=AN$1,INDEX(Monthly!$B$2:$B$61,AN$1-$A33+1),0)</f>
        <v/>
      </c>
      <c r="AO33" s="47">
        <f>IF($A33&lt;=AO$1,INDEX(Monthly!$B$2:$B$61,AO$1-$A33+1),0)</f>
        <v/>
      </c>
      <c r="AP33" s="47">
        <f>IF($A33&lt;=AP$1,INDEX(Monthly!$B$2:$B$61,AP$1-$A33+1),0)</f>
        <v/>
      </c>
      <c r="AQ33" s="47">
        <f>IF($A33&lt;=AQ$1,INDEX(Monthly!$B$2:$B$61,AQ$1-$A33+1),0)</f>
        <v/>
      </c>
      <c r="AR33" s="47">
        <f>IF($A33&lt;=AR$1,INDEX(Monthly!$B$2:$B$61,AR$1-$A33+1),0)</f>
        <v/>
      </c>
      <c r="AS33" s="47">
        <f>IF($A33&lt;=AS$1,INDEX(Monthly!$B$2:$B$61,AS$1-$A33+1),0)</f>
        <v/>
      </c>
      <c r="AT33" s="47">
        <f>IF($A33&lt;=AT$1,INDEX(Monthly!$B$2:$B$61,AT$1-$A33+1),0)</f>
        <v/>
      </c>
      <c r="AU33" s="47">
        <f>IF($A33&lt;=AU$1,INDEX(Monthly!$B$2:$B$61,AU$1-$A33+1),0)</f>
        <v/>
      </c>
      <c r="AV33" s="47">
        <f>IF($A33&lt;=AV$1,INDEX(Monthly!$B$2:$B$61,AV$1-$A33+1),0)</f>
        <v/>
      </c>
      <c r="AW33" s="47">
        <f>IF($A33&lt;=AW$1,INDEX(Monthly!$B$2:$B$61,AW$1-$A33+1),0)</f>
        <v/>
      </c>
      <c r="AX33" s="47">
        <f>IF($A33&lt;=AX$1,INDEX(Monthly!$B$2:$B$61,AX$1-$A33+1),0)</f>
        <v/>
      </c>
      <c r="AY33" s="47">
        <f>IF($A33&lt;=AY$1,INDEX(Monthly!$B$2:$B$61,AY$1-$A33+1),0)</f>
        <v/>
      </c>
      <c r="AZ33" s="47">
        <f>IF($A33&lt;=AZ$1,INDEX(Monthly!$B$2:$B$61,AZ$1-$A33+1),0)</f>
        <v/>
      </c>
      <c r="BA33" s="47">
        <f>IF($A33&lt;=BA$1,INDEX(Monthly!$B$2:$B$61,BA$1-$A33+1),0)</f>
        <v/>
      </c>
      <c r="BB33" s="47">
        <f>IF($A33&lt;=BB$1,INDEX(Monthly!$B$2:$B$61,BB$1-$A33+1),0)</f>
        <v/>
      </c>
      <c r="BC33" s="47">
        <f>IF($A33&lt;=BC$1,INDEX(Monthly!$B$2:$B$61,BC$1-$A33+1),0)</f>
        <v/>
      </c>
      <c r="BD33" s="47">
        <f>IF($A33&lt;=BD$1,INDEX(Monthly!$B$2:$B$61,BD$1-$A33+1),0)</f>
        <v/>
      </c>
      <c r="BE33" s="47">
        <f>IF($A33&lt;=BE$1,INDEX(Monthly!$B$2:$B$61,BE$1-$A33+1),0)</f>
        <v/>
      </c>
      <c r="BF33" s="47">
        <f>IF($A33&lt;=BF$1,INDEX(Monthly!$B$2:$B$61,BF$1-$A33+1),0)</f>
        <v/>
      </c>
      <c r="BG33" s="47">
        <f>IF($A33&lt;=BG$1,INDEX(Monthly!$B$2:$B$61,BG$1-$A33+1),0)</f>
        <v/>
      </c>
      <c r="BH33" s="47">
        <f>IF($A33&lt;=BH$1,INDEX(Monthly!$B$2:$B$61,BH$1-$A33+1),0)</f>
        <v/>
      </c>
      <c r="BI33" s="47">
        <f>IF($A33&lt;=BI$1,INDEX(Monthly!$B$2:$B$61,BI$1-$A33+1),0)</f>
        <v/>
      </c>
    </row>
    <row r="34">
      <c r="A34" s="3" t="n">
        <v>33</v>
      </c>
      <c r="B34" s="47">
        <f>IF($A34&lt;=B$1,INDEX(Monthly!$B$2:$B$61,B$1-$A34+1),0)</f>
        <v/>
      </c>
      <c r="C34" s="47">
        <f>IF($A34&lt;=C$1,INDEX(Monthly!$B$2:$B$61,C$1-$A34+1),0)</f>
        <v/>
      </c>
      <c r="D34" s="47">
        <f>IF($A34&lt;=D$1,INDEX(Monthly!$B$2:$B$61,D$1-$A34+1),0)</f>
        <v/>
      </c>
      <c r="E34" s="47">
        <f>IF($A34&lt;=E$1,INDEX(Monthly!$B$2:$B$61,E$1-$A34+1),0)</f>
        <v/>
      </c>
      <c r="F34" s="47">
        <f>IF($A34&lt;=F$1,INDEX(Monthly!$B$2:$B$61,F$1-$A34+1),0)</f>
        <v/>
      </c>
      <c r="G34" s="47">
        <f>IF($A34&lt;=G$1,INDEX(Monthly!$B$2:$B$61,G$1-$A34+1),0)</f>
        <v/>
      </c>
      <c r="H34" s="47">
        <f>IF($A34&lt;=H$1,INDEX(Monthly!$B$2:$B$61,H$1-$A34+1),0)</f>
        <v/>
      </c>
      <c r="I34" s="47">
        <f>IF($A34&lt;=I$1,INDEX(Monthly!$B$2:$B$61,I$1-$A34+1),0)</f>
        <v/>
      </c>
      <c r="J34" s="47">
        <f>IF($A34&lt;=J$1,INDEX(Monthly!$B$2:$B$61,J$1-$A34+1),0)</f>
        <v/>
      </c>
      <c r="K34" s="47">
        <f>IF($A34&lt;=K$1,INDEX(Monthly!$B$2:$B$61,K$1-$A34+1),0)</f>
        <v/>
      </c>
      <c r="L34" s="47">
        <f>IF($A34&lt;=L$1,INDEX(Monthly!$B$2:$B$61,L$1-$A34+1),0)</f>
        <v/>
      </c>
      <c r="M34" s="47">
        <f>IF($A34&lt;=M$1,INDEX(Monthly!$B$2:$B$61,M$1-$A34+1),0)</f>
        <v/>
      </c>
      <c r="N34" s="47">
        <f>IF($A34&lt;=N$1,INDEX(Monthly!$B$2:$B$61,N$1-$A34+1),0)</f>
        <v/>
      </c>
      <c r="O34" s="47">
        <f>IF($A34&lt;=O$1,INDEX(Monthly!$B$2:$B$61,O$1-$A34+1),0)</f>
        <v/>
      </c>
      <c r="P34" s="47">
        <f>IF($A34&lt;=P$1,INDEX(Monthly!$B$2:$B$61,P$1-$A34+1),0)</f>
        <v/>
      </c>
      <c r="Q34" s="47">
        <f>IF($A34&lt;=Q$1,INDEX(Monthly!$B$2:$B$61,Q$1-$A34+1),0)</f>
        <v/>
      </c>
      <c r="R34" s="47">
        <f>IF($A34&lt;=R$1,INDEX(Monthly!$B$2:$B$61,R$1-$A34+1),0)</f>
        <v/>
      </c>
      <c r="S34" s="47">
        <f>IF($A34&lt;=S$1,INDEX(Monthly!$B$2:$B$61,S$1-$A34+1),0)</f>
        <v/>
      </c>
      <c r="T34" s="47">
        <f>IF($A34&lt;=T$1,INDEX(Monthly!$B$2:$B$61,T$1-$A34+1),0)</f>
        <v/>
      </c>
      <c r="U34" s="47">
        <f>IF($A34&lt;=U$1,INDEX(Monthly!$B$2:$B$61,U$1-$A34+1),0)</f>
        <v/>
      </c>
      <c r="V34" s="47">
        <f>IF($A34&lt;=V$1,INDEX(Monthly!$B$2:$B$61,V$1-$A34+1),0)</f>
        <v/>
      </c>
      <c r="W34" s="47">
        <f>IF($A34&lt;=W$1,INDEX(Monthly!$B$2:$B$61,W$1-$A34+1),0)</f>
        <v/>
      </c>
      <c r="X34" s="47">
        <f>IF($A34&lt;=X$1,INDEX(Monthly!$B$2:$B$61,X$1-$A34+1),0)</f>
        <v/>
      </c>
      <c r="Y34" s="47">
        <f>IF($A34&lt;=Y$1,INDEX(Monthly!$B$2:$B$61,Y$1-$A34+1),0)</f>
        <v/>
      </c>
      <c r="Z34" s="47">
        <f>IF($A34&lt;=Z$1,INDEX(Monthly!$B$2:$B$61,Z$1-$A34+1),0)</f>
        <v/>
      </c>
      <c r="AA34" s="47">
        <f>IF($A34&lt;=AA$1,INDEX(Monthly!$B$2:$B$61,AA$1-$A34+1),0)</f>
        <v/>
      </c>
      <c r="AB34" s="47">
        <f>IF($A34&lt;=AB$1,INDEX(Monthly!$B$2:$B$61,AB$1-$A34+1),0)</f>
        <v/>
      </c>
      <c r="AC34" s="47">
        <f>IF($A34&lt;=AC$1,INDEX(Monthly!$B$2:$B$61,AC$1-$A34+1),0)</f>
        <v/>
      </c>
      <c r="AD34" s="47">
        <f>IF($A34&lt;=AD$1,INDEX(Monthly!$B$2:$B$61,AD$1-$A34+1),0)</f>
        <v/>
      </c>
      <c r="AE34" s="47">
        <f>IF($A34&lt;=AE$1,INDEX(Monthly!$B$2:$B$61,AE$1-$A34+1),0)</f>
        <v/>
      </c>
      <c r="AF34" s="47">
        <f>IF($A34&lt;=AF$1,INDEX(Monthly!$B$2:$B$61,AF$1-$A34+1),0)</f>
        <v/>
      </c>
      <c r="AG34" s="47">
        <f>IF($A34&lt;=AG$1,INDEX(Monthly!$B$2:$B$61,AG$1-$A34+1),0)</f>
        <v/>
      </c>
      <c r="AH34" s="47">
        <f>IF($A34&lt;=AH$1,INDEX(Monthly!$B$2:$B$61,AH$1-$A34+1),0)</f>
        <v/>
      </c>
      <c r="AI34" s="47">
        <f>IF($A34&lt;=AI$1,INDEX(Monthly!$B$2:$B$61,AI$1-$A34+1),0)</f>
        <v/>
      </c>
      <c r="AJ34" s="47">
        <f>IF($A34&lt;=AJ$1,INDEX(Monthly!$B$2:$B$61,AJ$1-$A34+1),0)</f>
        <v/>
      </c>
      <c r="AK34" s="47">
        <f>IF($A34&lt;=AK$1,INDEX(Monthly!$B$2:$B$61,AK$1-$A34+1),0)</f>
        <v/>
      </c>
      <c r="AL34" s="47">
        <f>IF($A34&lt;=AL$1,INDEX(Monthly!$B$2:$B$61,AL$1-$A34+1),0)</f>
        <v/>
      </c>
      <c r="AM34" s="47">
        <f>IF($A34&lt;=AM$1,INDEX(Monthly!$B$2:$B$61,AM$1-$A34+1),0)</f>
        <v/>
      </c>
      <c r="AN34" s="47">
        <f>IF($A34&lt;=AN$1,INDEX(Monthly!$B$2:$B$61,AN$1-$A34+1),0)</f>
        <v/>
      </c>
      <c r="AO34" s="47">
        <f>IF($A34&lt;=AO$1,INDEX(Monthly!$B$2:$B$61,AO$1-$A34+1),0)</f>
        <v/>
      </c>
      <c r="AP34" s="47">
        <f>IF($A34&lt;=AP$1,INDEX(Monthly!$B$2:$B$61,AP$1-$A34+1),0)</f>
        <v/>
      </c>
      <c r="AQ34" s="47">
        <f>IF($A34&lt;=AQ$1,INDEX(Monthly!$B$2:$B$61,AQ$1-$A34+1),0)</f>
        <v/>
      </c>
      <c r="AR34" s="47">
        <f>IF($A34&lt;=AR$1,INDEX(Monthly!$B$2:$B$61,AR$1-$A34+1),0)</f>
        <v/>
      </c>
      <c r="AS34" s="47">
        <f>IF($A34&lt;=AS$1,INDEX(Monthly!$B$2:$B$61,AS$1-$A34+1),0)</f>
        <v/>
      </c>
      <c r="AT34" s="47">
        <f>IF($A34&lt;=AT$1,INDEX(Monthly!$B$2:$B$61,AT$1-$A34+1),0)</f>
        <v/>
      </c>
      <c r="AU34" s="47">
        <f>IF($A34&lt;=AU$1,INDEX(Monthly!$B$2:$B$61,AU$1-$A34+1),0)</f>
        <v/>
      </c>
      <c r="AV34" s="47">
        <f>IF($A34&lt;=AV$1,INDEX(Monthly!$B$2:$B$61,AV$1-$A34+1),0)</f>
        <v/>
      </c>
      <c r="AW34" s="47">
        <f>IF($A34&lt;=AW$1,INDEX(Monthly!$B$2:$B$61,AW$1-$A34+1),0)</f>
        <v/>
      </c>
      <c r="AX34" s="47">
        <f>IF($A34&lt;=AX$1,INDEX(Monthly!$B$2:$B$61,AX$1-$A34+1),0)</f>
        <v/>
      </c>
      <c r="AY34" s="47">
        <f>IF($A34&lt;=AY$1,INDEX(Monthly!$B$2:$B$61,AY$1-$A34+1),0)</f>
        <v/>
      </c>
      <c r="AZ34" s="47">
        <f>IF($A34&lt;=AZ$1,INDEX(Monthly!$B$2:$B$61,AZ$1-$A34+1),0)</f>
        <v/>
      </c>
      <c r="BA34" s="47">
        <f>IF($A34&lt;=BA$1,INDEX(Monthly!$B$2:$B$61,BA$1-$A34+1),0)</f>
        <v/>
      </c>
      <c r="BB34" s="47">
        <f>IF($A34&lt;=BB$1,INDEX(Monthly!$B$2:$B$61,BB$1-$A34+1),0)</f>
        <v/>
      </c>
      <c r="BC34" s="47">
        <f>IF($A34&lt;=BC$1,INDEX(Monthly!$B$2:$B$61,BC$1-$A34+1),0)</f>
        <v/>
      </c>
      <c r="BD34" s="47">
        <f>IF($A34&lt;=BD$1,INDEX(Monthly!$B$2:$B$61,BD$1-$A34+1),0)</f>
        <v/>
      </c>
      <c r="BE34" s="47">
        <f>IF($A34&lt;=BE$1,INDEX(Monthly!$B$2:$B$61,BE$1-$A34+1),0)</f>
        <v/>
      </c>
      <c r="BF34" s="47">
        <f>IF($A34&lt;=BF$1,INDEX(Monthly!$B$2:$B$61,BF$1-$A34+1),0)</f>
        <v/>
      </c>
      <c r="BG34" s="47">
        <f>IF($A34&lt;=BG$1,INDEX(Monthly!$B$2:$B$61,BG$1-$A34+1),0)</f>
        <v/>
      </c>
      <c r="BH34" s="47">
        <f>IF($A34&lt;=BH$1,INDEX(Monthly!$B$2:$B$61,BH$1-$A34+1),0)</f>
        <v/>
      </c>
      <c r="BI34" s="47">
        <f>IF($A34&lt;=BI$1,INDEX(Monthly!$B$2:$B$61,BI$1-$A34+1),0)</f>
        <v/>
      </c>
    </row>
    <row r="35">
      <c r="A35" s="3" t="n">
        <v>34</v>
      </c>
      <c r="B35" s="47">
        <f>IF($A35&lt;=B$1,INDEX(Monthly!$B$2:$B$61,B$1-$A35+1),0)</f>
        <v/>
      </c>
      <c r="C35" s="47">
        <f>IF($A35&lt;=C$1,INDEX(Monthly!$B$2:$B$61,C$1-$A35+1),0)</f>
        <v/>
      </c>
      <c r="D35" s="47">
        <f>IF($A35&lt;=D$1,INDEX(Monthly!$B$2:$B$61,D$1-$A35+1),0)</f>
        <v/>
      </c>
      <c r="E35" s="47">
        <f>IF($A35&lt;=E$1,INDEX(Monthly!$B$2:$B$61,E$1-$A35+1),0)</f>
        <v/>
      </c>
      <c r="F35" s="47">
        <f>IF($A35&lt;=F$1,INDEX(Monthly!$B$2:$B$61,F$1-$A35+1),0)</f>
        <v/>
      </c>
      <c r="G35" s="47">
        <f>IF($A35&lt;=G$1,INDEX(Monthly!$B$2:$B$61,G$1-$A35+1),0)</f>
        <v/>
      </c>
      <c r="H35" s="47">
        <f>IF($A35&lt;=H$1,INDEX(Monthly!$B$2:$B$61,H$1-$A35+1),0)</f>
        <v/>
      </c>
      <c r="I35" s="47">
        <f>IF($A35&lt;=I$1,INDEX(Monthly!$B$2:$B$61,I$1-$A35+1),0)</f>
        <v/>
      </c>
      <c r="J35" s="47">
        <f>IF($A35&lt;=J$1,INDEX(Monthly!$B$2:$B$61,J$1-$A35+1),0)</f>
        <v/>
      </c>
      <c r="K35" s="47">
        <f>IF($A35&lt;=K$1,INDEX(Monthly!$B$2:$B$61,K$1-$A35+1),0)</f>
        <v/>
      </c>
      <c r="L35" s="47">
        <f>IF($A35&lt;=L$1,INDEX(Monthly!$B$2:$B$61,L$1-$A35+1),0)</f>
        <v/>
      </c>
      <c r="M35" s="47">
        <f>IF($A35&lt;=M$1,INDEX(Monthly!$B$2:$B$61,M$1-$A35+1),0)</f>
        <v/>
      </c>
      <c r="N35" s="47">
        <f>IF($A35&lt;=N$1,INDEX(Monthly!$B$2:$B$61,N$1-$A35+1),0)</f>
        <v/>
      </c>
      <c r="O35" s="47">
        <f>IF($A35&lt;=O$1,INDEX(Monthly!$B$2:$B$61,O$1-$A35+1),0)</f>
        <v/>
      </c>
      <c r="P35" s="47">
        <f>IF($A35&lt;=P$1,INDEX(Monthly!$B$2:$B$61,P$1-$A35+1),0)</f>
        <v/>
      </c>
      <c r="Q35" s="47">
        <f>IF($A35&lt;=Q$1,INDEX(Monthly!$B$2:$B$61,Q$1-$A35+1),0)</f>
        <v/>
      </c>
      <c r="R35" s="47">
        <f>IF($A35&lt;=R$1,INDEX(Monthly!$B$2:$B$61,R$1-$A35+1),0)</f>
        <v/>
      </c>
      <c r="S35" s="47">
        <f>IF($A35&lt;=S$1,INDEX(Monthly!$B$2:$B$61,S$1-$A35+1),0)</f>
        <v/>
      </c>
      <c r="T35" s="47">
        <f>IF($A35&lt;=T$1,INDEX(Monthly!$B$2:$B$61,T$1-$A35+1),0)</f>
        <v/>
      </c>
      <c r="U35" s="47">
        <f>IF($A35&lt;=U$1,INDEX(Monthly!$B$2:$B$61,U$1-$A35+1),0)</f>
        <v/>
      </c>
      <c r="V35" s="47">
        <f>IF($A35&lt;=V$1,INDEX(Monthly!$B$2:$B$61,V$1-$A35+1),0)</f>
        <v/>
      </c>
      <c r="W35" s="47">
        <f>IF($A35&lt;=W$1,INDEX(Monthly!$B$2:$B$61,W$1-$A35+1),0)</f>
        <v/>
      </c>
      <c r="X35" s="47">
        <f>IF($A35&lt;=X$1,INDEX(Monthly!$B$2:$B$61,X$1-$A35+1),0)</f>
        <v/>
      </c>
      <c r="Y35" s="47">
        <f>IF($A35&lt;=Y$1,INDEX(Monthly!$B$2:$B$61,Y$1-$A35+1),0)</f>
        <v/>
      </c>
      <c r="Z35" s="47">
        <f>IF($A35&lt;=Z$1,INDEX(Monthly!$B$2:$B$61,Z$1-$A35+1),0)</f>
        <v/>
      </c>
      <c r="AA35" s="47">
        <f>IF($A35&lt;=AA$1,INDEX(Monthly!$B$2:$B$61,AA$1-$A35+1),0)</f>
        <v/>
      </c>
      <c r="AB35" s="47">
        <f>IF($A35&lt;=AB$1,INDEX(Monthly!$B$2:$B$61,AB$1-$A35+1),0)</f>
        <v/>
      </c>
      <c r="AC35" s="47">
        <f>IF($A35&lt;=AC$1,INDEX(Monthly!$B$2:$B$61,AC$1-$A35+1),0)</f>
        <v/>
      </c>
      <c r="AD35" s="47">
        <f>IF($A35&lt;=AD$1,INDEX(Monthly!$B$2:$B$61,AD$1-$A35+1),0)</f>
        <v/>
      </c>
      <c r="AE35" s="47">
        <f>IF($A35&lt;=AE$1,INDEX(Monthly!$B$2:$B$61,AE$1-$A35+1),0)</f>
        <v/>
      </c>
      <c r="AF35" s="47">
        <f>IF($A35&lt;=AF$1,INDEX(Monthly!$B$2:$B$61,AF$1-$A35+1),0)</f>
        <v/>
      </c>
      <c r="AG35" s="47">
        <f>IF($A35&lt;=AG$1,INDEX(Monthly!$B$2:$B$61,AG$1-$A35+1),0)</f>
        <v/>
      </c>
      <c r="AH35" s="47">
        <f>IF($A35&lt;=AH$1,INDEX(Monthly!$B$2:$B$61,AH$1-$A35+1),0)</f>
        <v/>
      </c>
      <c r="AI35" s="47">
        <f>IF($A35&lt;=AI$1,INDEX(Monthly!$B$2:$B$61,AI$1-$A35+1),0)</f>
        <v/>
      </c>
      <c r="AJ35" s="47">
        <f>IF($A35&lt;=AJ$1,INDEX(Monthly!$B$2:$B$61,AJ$1-$A35+1),0)</f>
        <v/>
      </c>
      <c r="AK35" s="47">
        <f>IF($A35&lt;=AK$1,INDEX(Monthly!$B$2:$B$61,AK$1-$A35+1),0)</f>
        <v/>
      </c>
      <c r="AL35" s="47">
        <f>IF($A35&lt;=AL$1,INDEX(Monthly!$B$2:$B$61,AL$1-$A35+1),0)</f>
        <v/>
      </c>
      <c r="AM35" s="47">
        <f>IF($A35&lt;=AM$1,INDEX(Monthly!$B$2:$B$61,AM$1-$A35+1),0)</f>
        <v/>
      </c>
      <c r="AN35" s="47">
        <f>IF($A35&lt;=AN$1,INDEX(Monthly!$B$2:$B$61,AN$1-$A35+1),0)</f>
        <v/>
      </c>
      <c r="AO35" s="47">
        <f>IF($A35&lt;=AO$1,INDEX(Monthly!$B$2:$B$61,AO$1-$A35+1),0)</f>
        <v/>
      </c>
      <c r="AP35" s="47">
        <f>IF($A35&lt;=AP$1,INDEX(Monthly!$B$2:$B$61,AP$1-$A35+1),0)</f>
        <v/>
      </c>
      <c r="AQ35" s="47">
        <f>IF($A35&lt;=AQ$1,INDEX(Monthly!$B$2:$B$61,AQ$1-$A35+1),0)</f>
        <v/>
      </c>
      <c r="AR35" s="47">
        <f>IF($A35&lt;=AR$1,INDEX(Monthly!$B$2:$B$61,AR$1-$A35+1),0)</f>
        <v/>
      </c>
      <c r="AS35" s="47">
        <f>IF($A35&lt;=AS$1,INDEX(Monthly!$B$2:$B$61,AS$1-$A35+1),0)</f>
        <v/>
      </c>
      <c r="AT35" s="47">
        <f>IF($A35&lt;=AT$1,INDEX(Monthly!$B$2:$B$61,AT$1-$A35+1),0)</f>
        <v/>
      </c>
      <c r="AU35" s="47">
        <f>IF($A35&lt;=AU$1,INDEX(Monthly!$B$2:$B$61,AU$1-$A35+1),0)</f>
        <v/>
      </c>
      <c r="AV35" s="47">
        <f>IF($A35&lt;=AV$1,INDEX(Monthly!$B$2:$B$61,AV$1-$A35+1),0)</f>
        <v/>
      </c>
      <c r="AW35" s="47">
        <f>IF($A35&lt;=AW$1,INDEX(Monthly!$B$2:$B$61,AW$1-$A35+1),0)</f>
        <v/>
      </c>
      <c r="AX35" s="47">
        <f>IF($A35&lt;=AX$1,INDEX(Monthly!$B$2:$B$61,AX$1-$A35+1),0)</f>
        <v/>
      </c>
      <c r="AY35" s="47">
        <f>IF($A35&lt;=AY$1,INDEX(Monthly!$B$2:$B$61,AY$1-$A35+1),0)</f>
        <v/>
      </c>
      <c r="AZ35" s="47">
        <f>IF($A35&lt;=AZ$1,INDEX(Monthly!$B$2:$B$61,AZ$1-$A35+1),0)</f>
        <v/>
      </c>
      <c r="BA35" s="47">
        <f>IF($A35&lt;=BA$1,INDEX(Monthly!$B$2:$B$61,BA$1-$A35+1),0)</f>
        <v/>
      </c>
      <c r="BB35" s="47">
        <f>IF($A35&lt;=BB$1,INDEX(Monthly!$B$2:$B$61,BB$1-$A35+1),0)</f>
        <v/>
      </c>
      <c r="BC35" s="47">
        <f>IF($A35&lt;=BC$1,INDEX(Monthly!$B$2:$B$61,BC$1-$A35+1),0)</f>
        <v/>
      </c>
      <c r="BD35" s="47">
        <f>IF($A35&lt;=BD$1,INDEX(Monthly!$B$2:$B$61,BD$1-$A35+1),0)</f>
        <v/>
      </c>
      <c r="BE35" s="47">
        <f>IF($A35&lt;=BE$1,INDEX(Monthly!$B$2:$B$61,BE$1-$A35+1),0)</f>
        <v/>
      </c>
      <c r="BF35" s="47">
        <f>IF($A35&lt;=BF$1,INDEX(Monthly!$B$2:$B$61,BF$1-$A35+1),0)</f>
        <v/>
      </c>
      <c r="BG35" s="47">
        <f>IF($A35&lt;=BG$1,INDEX(Monthly!$B$2:$B$61,BG$1-$A35+1),0)</f>
        <v/>
      </c>
      <c r="BH35" s="47">
        <f>IF($A35&lt;=BH$1,INDEX(Monthly!$B$2:$B$61,BH$1-$A35+1),0)</f>
        <v/>
      </c>
      <c r="BI35" s="47">
        <f>IF($A35&lt;=BI$1,INDEX(Monthly!$B$2:$B$61,BI$1-$A35+1),0)</f>
        <v/>
      </c>
    </row>
    <row r="36">
      <c r="A36" s="3" t="n">
        <v>35</v>
      </c>
      <c r="B36" s="47">
        <f>IF($A36&lt;=B$1,INDEX(Monthly!$B$2:$B$61,B$1-$A36+1),0)</f>
        <v/>
      </c>
      <c r="C36" s="47">
        <f>IF($A36&lt;=C$1,INDEX(Monthly!$B$2:$B$61,C$1-$A36+1),0)</f>
        <v/>
      </c>
      <c r="D36" s="47">
        <f>IF($A36&lt;=D$1,INDEX(Monthly!$B$2:$B$61,D$1-$A36+1),0)</f>
        <v/>
      </c>
      <c r="E36" s="47">
        <f>IF($A36&lt;=E$1,INDEX(Monthly!$B$2:$B$61,E$1-$A36+1),0)</f>
        <v/>
      </c>
      <c r="F36" s="47">
        <f>IF($A36&lt;=F$1,INDEX(Monthly!$B$2:$B$61,F$1-$A36+1),0)</f>
        <v/>
      </c>
      <c r="G36" s="47">
        <f>IF($A36&lt;=G$1,INDEX(Monthly!$B$2:$B$61,G$1-$A36+1),0)</f>
        <v/>
      </c>
      <c r="H36" s="47">
        <f>IF($A36&lt;=H$1,INDEX(Monthly!$B$2:$B$61,H$1-$A36+1),0)</f>
        <v/>
      </c>
      <c r="I36" s="47">
        <f>IF($A36&lt;=I$1,INDEX(Monthly!$B$2:$B$61,I$1-$A36+1),0)</f>
        <v/>
      </c>
      <c r="J36" s="47">
        <f>IF($A36&lt;=J$1,INDEX(Monthly!$B$2:$B$61,J$1-$A36+1),0)</f>
        <v/>
      </c>
      <c r="K36" s="47">
        <f>IF($A36&lt;=K$1,INDEX(Monthly!$B$2:$B$61,K$1-$A36+1),0)</f>
        <v/>
      </c>
      <c r="L36" s="47">
        <f>IF($A36&lt;=L$1,INDEX(Monthly!$B$2:$B$61,L$1-$A36+1),0)</f>
        <v/>
      </c>
      <c r="M36" s="47">
        <f>IF($A36&lt;=M$1,INDEX(Monthly!$B$2:$B$61,M$1-$A36+1),0)</f>
        <v/>
      </c>
      <c r="N36" s="47">
        <f>IF($A36&lt;=N$1,INDEX(Monthly!$B$2:$B$61,N$1-$A36+1),0)</f>
        <v/>
      </c>
      <c r="O36" s="47">
        <f>IF($A36&lt;=O$1,INDEX(Monthly!$B$2:$B$61,O$1-$A36+1),0)</f>
        <v/>
      </c>
      <c r="P36" s="47">
        <f>IF($A36&lt;=P$1,INDEX(Monthly!$B$2:$B$61,P$1-$A36+1),0)</f>
        <v/>
      </c>
      <c r="Q36" s="47">
        <f>IF($A36&lt;=Q$1,INDEX(Monthly!$B$2:$B$61,Q$1-$A36+1),0)</f>
        <v/>
      </c>
      <c r="R36" s="47">
        <f>IF($A36&lt;=R$1,INDEX(Monthly!$B$2:$B$61,R$1-$A36+1),0)</f>
        <v/>
      </c>
      <c r="S36" s="47">
        <f>IF($A36&lt;=S$1,INDEX(Monthly!$B$2:$B$61,S$1-$A36+1),0)</f>
        <v/>
      </c>
      <c r="T36" s="47">
        <f>IF($A36&lt;=T$1,INDEX(Monthly!$B$2:$B$61,T$1-$A36+1),0)</f>
        <v/>
      </c>
      <c r="U36" s="47">
        <f>IF($A36&lt;=U$1,INDEX(Monthly!$B$2:$B$61,U$1-$A36+1),0)</f>
        <v/>
      </c>
      <c r="V36" s="47">
        <f>IF($A36&lt;=V$1,INDEX(Monthly!$B$2:$B$61,V$1-$A36+1),0)</f>
        <v/>
      </c>
      <c r="W36" s="47">
        <f>IF($A36&lt;=W$1,INDEX(Monthly!$B$2:$B$61,W$1-$A36+1),0)</f>
        <v/>
      </c>
      <c r="X36" s="47">
        <f>IF($A36&lt;=X$1,INDEX(Monthly!$B$2:$B$61,X$1-$A36+1),0)</f>
        <v/>
      </c>
      <c r="Y36" s="47">
        <f>IF($A36&lt;=Y$1,INDEX(Monthly!$B$2:$B$61,Y$1-$A36+1),0)</f>
        <v/>
      </c>
      <c r="Z36" s="47">
        <f>IF($A36&lt;=Z$1,INDEX(Monthly!$B$2:$B$61,Z$1-$A36+1),0)</f>
        <v/>
      </c>
      <c r="AA36" s="47">
        <f>IF($A36&lt;=AA$1,INDEX(Monthly!$B$2:$B$61,AA$1-$A36+1),0)</f>
        <v/>
      </c>
      <c r="AB36" s="47">
        <f>IF($A36&lt;=AB$1,INDEX(Monthly!$B$2:$B$61,AB$1-$A36+1),0)</f>
        <v/>
      </c>
      <c r="AC36" s="47">
        <f>IF($A36&lt;=AC$1,INDEX(Monthly!$B$2:$B$61,AC$1-$A36+1),0)</f>
        <v/>
      </c>
      <c r="AD36" s="47">
        <f>IF($A36&lt;=AD$1,INDEX(Monthly!$B$2:$B$61,AD$1-$A36+1),0)</f>
        <v/>
      </c>
      <c r="AE36" s="47">
        <f>IF($A36&lt;=AE$1,INDEX(Monthly!$B$2:$B$61,AE$1-$A36+1),0)</f>
        <v/>
      </c>
      <c r="AF36" s="47">
        <f>IF($A36&lt;=AF$1,INDEX(Monthly!$B$2:$B$61,AF$1-$A36+1),0)</f>
        <v/>
      </c>
      <c r="AG36" s="47">
        <f>IF($A36&lt;=AG$1,INDEX(Monthly!$B$2:$B$61,AG$1-$A36+1),0)</f>
        <v/>
      </c>
      <c r="AH36" s="47">
        <f>IF($A36&lt;=AH$1,INDEX(Monthly!$B$2:$B$61,AH$1-$A36+1),0)</f>
        <v/>
      </c>
      <c r="AI36" s="47">
        <f>IF($A36&lt;=AI$1,INDEX(Monthly!$B$2:$B$61,AI$1-$A36+1),0)</f>
        <v/>
      </c>
      <c r="AJ36" s="47">
        <f>IF($A36&lt;=AJ$1,INDEX(Monthly!$B$2:$B$61,AJ$1-$A36+1),0)</f>
        <v/>
      </c>
      <c r="AK36" s="47">
        <f>IF($A36&lt;=AK$1,INDEX(Monthly!$B$2:$B$61,AK$1-$A36+1),0)</f>
        <v/>
      </c>
      <c r="AL36" s="47">
        <f>IF($A36&lt;=AL$1,INDEX(Monthly!$B$2:$B$61,AL$1-$A36+1),0)</f>
        <v/>
      </c>
      <c r="AM36" s="47">
        <f>IF($A36&lt;=AM$1,INDEX(Monthly!$B$2:$B$61,AM$1-$A36+1),0)</f>
        <v/>
      </c>
      <c r="AN36" s="47">
        <f>IF($A36&lt;=AN$1,INDEX(Monthly!$B$2:$B$61,AN$1-$A36+1),0)</f>
        <v/>
      </c>
      <c r="AO36" s="47">
        <f>IF($A36&lt;=AO$1,INDEX(Monthly!$B$2:$B$61,AO$1-$A36+1),0)</f>
        <v/>
      </c>
      <c r="AP36" s="47">
        <f>IF($A36&lt;=AP$1,INDEX(Monthly!$B$2:$B$61,AP$1-$A36+1),0)</f>
        <v/>
      </c>
      <c r="AQ36" s="47">
        <f>IF($A36&lt;=AQ$1,INDEX(Monthly!$B$2:$B$61,AQ$1-$A36+1),0)</f>
        <v/>
      </c>
      <c r="AR36" s="47">
        <f>IF($A36&lt;=AR$1,INDEX(Monthly!$B$2:$B$61,AR$1-$A36+1),0)</f>
        <v/>
      </c>
      <c r="AS36" s="47">
        <f>IF($A36&lt;=AS$1,INDEX(Monthly!$B$2:$B$61,AS$1-$A36+1),0)</f>
        <v/>
      </c>
      <c r="AT36" s="47">
        <f>IF($A36&lt;=AT$1,INDEX(Monthly!$B$2:$B$61,AT$1-$A36+1),0)</f>
        <v/>
      </c>
      <c r="AU36" s="47">
        <f>IF($A36&lt;=AU$1,INDEX(Monthly!$B$2:$B$61,AU$1-$A36+1),0)</f>
        <v/>
      </c>
      <c r="AV36" s="47">
        <f>IF($A36&lt;=AV$1,INDEX(Monthly!$B$2:$B$61,AV$1-$A36+1),0)</f>
        <v/>
      </c>
      <c r="AW36" s="47">
        <f>IF($A36&lt;=AW$1,INDEX(Monthly!$B$2:$B$61,AW$1-$A36+1),0)</f>
        <v/>
      </c>
      <c r="AX36" s="47">
        <f>IF($A36&lt;=AX$1,INDEX(Monthly!$B$2:$B$61,AX$1-$A36+1),0)</f>
        <v/>
      </c>
      <c r="AY36" s="47">
        <f>IF($A36&lt;=AY$1,INDEX(Monthly!$B$2:$B$61,AY$1-$A36+1),0)</f>
        <v/>
      </c>
      <c r="AZ36" s="47">
        <f>IF($A36&lt;=AZ$1,INDEX(Monthly!$B$2:$B$61,AZ$1-$A36+1),0)</f>
        <v/>
      </c>
      <c r="BA36" s="47">
        <f>IF($A36&lt;=BA$1,INDEX(Monthly!$B$2:$B$61,BA$1-$A36+1),0)</f>
        <v/>
      </c>
      <c r="BB36" s="47">
        <f>IF($A36&lt;=BB$1,INDEX(Monthly!$B$2:$B$61,BB$1-$A36+1),0)</f>
        <v/>
      </c>
      <c r="BC36" s="47">
        <f>IF($A36&lt;=BC$1,INDEX(Monthly!$B$2:$B$61,BC$1-$A36+1),0)</f>
        <v/>
      </c>
      <c r="BD36" s="47">
        <f>IF($A36&lt;=BD$1,INDEX(Monthly!$B$2:$B$61,BD$1-$A36+1),0)</f>
        <v/>
      </c>
      <c r="BE36" s="47">
        <f>IF($A36&lt;=BE$1,INDEX(Monthly!$B$2:$B$61,BE$1-$A36+1),0)</f>
        <v/>
      </c>
      <c r="BF36" s="47">
        <f>IF($A36&lt;=BF$1,INDEX(Monthly!$B$2:$B$61,BF$1-$A36+1),0)</f>
        <v/>
      </c>
      <c r="BG36" s="47">
        <f>IF($A36&lt;=BG$1,INDEX(Monthly!$B$2:$B$61,BG$1-$A36+1),0)</f>
        <v/>
      </c>
      <c r="BH36" s="47">
        <f>IF($A36&lt;=BH$1,INDEX(Monthly!$B$2:$B$61,BH$1-$A36+1),0)</f>
        <v/>
      </c>
      <c r="BI36" s="47">
        <f>IF($A36&lt;=BI$1,INDEX(Monthly!$B$2:$B$61,BI$1-$A36+1),0)</f>
        <v/>
      </c>
    </row>
    <row r="37">
      <c r="A37" s="3" t="n">
        <v>36</v>
      </c>
      <c r="B37" s="47">
        <f>IF($A37&lt;=B$1,INDEX(Monthly!$B$2:$B$61,B$1-$A37+1),0)</f>
        <v/>
      </c>
      <c r="C37" s="47">
        <f>IF($A37&lt;=C$1,INDEX(Monthly!$B$2:$B$61,C$1-$A37+1),0)</f>
        <v/>
      </c>
      <c r="D37" s="47">
        <f>IF($A37&lt;=D$1,INDEX(Monthly!$B$2:$B$61,D$1-$A37+1),0)</f>
        <v/>
      </c>
      <c r="E37" s="47">
        <f>IF($A37&lt;=E$1,INDEX(Monthly!$B$2:$B$61,E$1-$A37+1),0)</f>
        <v/>
      </c>
      <c r="F37" s="47">
        <f>IF($A37&lt;=F$1,INDEX(Monthly!$B$2:$B$61,F$1-$A37+1),0)</f>
        <v/>
      </c>
      <c r="G37" s="47">
        <f>IF($A37&lt;=G$1,INDEX(Monthly!$B$2:$B$61,G$1-$A37+1),0)</f>
        <v/>
      </c>
      <c r="H37" s="47">
        <f>IF($A37&lt;=H$1,INDEX(Monthly!$B$2:$B$61,H$1-$A37+1),0)</f>
        <v/>
      </c>
      <c r="I37" s="47">
        <f>IF($A37&lt;=I$1,INDEX(Monthly!$B$2:$B$61,I$1-$A37+1),0)</f>
        <v/>
      </c>
      <c r="J37" s="47">
        <f>IF($A37&lt;=J$1,INDEX(Monthly!$B$2:$B$61,J$1-$A37+1),0)</f>
        <v/>
      </c>
      <c r="K37" s="47">
        <f>IF($A37&lt;=K$1,INDEX(Monthly!$B$2:$B$61,K$1-$A37+1),0)</f>
        <v/>
      </c>
      <c r="L37" s="47">
        <f>IF($A37&lt;=L$1,INDEX(Monthly!$B$2:$B$61,L$1-$A37+1),0)</f>
        <v/>
      </c>
      <c r="M37" s="47">
        <f>IF($A37&lt;=M$1,INDEX(Monthly!$B$2:$B$61,M$1-$A37+1),0)</f>
        <v/>
      </c>
      <c r="N37" s="47">
        <f>IF($A37&lt;=N$1,INDEX(Monthly!$B$2:$B$61,N$1-$A37+1),0)</f>
        <v/>
      </c>
      <c r="O37" s="47">
        <f>IF($A37&lt;=O$1,INDEX(Monthly!$B$2:$B$61,O$1-$A37+1),0)</f>
        <v/>
      </c>
      <c r="P37" s="47">
        <f>IF($A37&lt;=P$1,INDEX(Monthly!$B$2:$B$61,P$1-$A37+1),0)</f>
        <v/>
      </c>
      <c r="Q37" s="47">
        <f>IF($A37&lt;=Q$1,INDEX(Monthly!$B$2:$B$61,Q$1-$A37+1),0)</f>
        <v/>
      </c>
      <c r="R37" s="47">
        <f>IF($A37&lt;=R$1,INDEX(Monthly!$B$2:$B$61,R$1-$A37+1),0)</f>
        <v/>
      </c>
      <c r="S37" s="47">
        <f>IF($A37&lt;=S$1,INDEX(Monthly!$B$2:$B$61,S$1-$A37+1),0)</f>
        <v/>
      </c>
      <c r="T37" s="47">
        <f>IF($A37&lt;=T$1,INDEX(Monthly!$B$2:$B$61,T$1-$A37+1),0)</f>
        <v/>
      </c>
      <c r="U37" s="47">
        <f>IF($A37&lt;=U$1,INDEX(Monthly!$B$2:$B$61,U$1-$A37+1),0)</f>
        <v/>
      </c>
      <c r="V37" s="47">
        <f>IF($A37&lt;=V$1,INDEX(Monthly!$B$2:$B$61,V$1-$A37+1),0)</f>
        <v/>
      </c>
      <c r="W37" s="47">
        <f>IF($A37&lt;=W$1,INDEX(Monthly!$B$2:$B$61,W$1-$A37+1),0)</f>
        <v/>
      </c>
      <c r="X37" s="47">
        <f>IF($A37&lt;=X$1,INDEX(Monthly!$B$2:$B$61,X$1-$A37+1),0)</f>
        <v/>
      </c>
      <c r="Y37" s="47">
        <f>IF($A37&lt;=Y$1,INDEX(Monthly!$B$2:$B$61,Y$1-$A37+1),0)</f>
        <v/>
      </c>
      <c r="Z37" s="47">
        <f>IF($A37&lt;=Z$1,INDEX(Monthly!$B$2:$B$61,Z$1-$A37+1),0)</f>
        <v/>
      </c>
      <c r="AA37" s="47">
        <f>IF($A37&lt;=AA$1,INDEX(Monthly!$B$2:$B$61,AA$1-$A37+1),0)</f>
        <v/>
      </c>
      <c r="AB37" s="47">
        <f>IF($A37&lt;=AB$1,INDEX(Monthly!$B$2:$B$61,AB$1-$A37+1),0)</f>
        <v/>
      </c>
      <c r="AC37" s="47">
        <f>IF($A37&lt;=AC$1,INDEX(Monthly!$B$2:$B$61,AC$1-$A37+1),0)</f>
        <v/>
      </c>
      <c r="AD37" s="47">
        <f>IF($A37&lt;=AD$1,INDEX(Monthly!$B$2:$B$61,AD$1-$A37+1),0)</f>
        <v/>
      </c>
      <c r="AE37" s="47">
        <f>IF($A37&lt;=AE$1,INDEX(Monthly!$B$2:$B$61,AE$1-$A37+1),0)</f>
        <v/>
      </c>
      <c r="AF37" s="47">
        <f>IF($A37&lt;=AF$1,INDEX(Monthly!$B$2:$B$61,AF$1-$A37+1),0)</f>
        <v/>
      </c>
      <c r="AG37" s="47">
        <f>IF($A37&lt;=AG$1,INDEX(Monthly!$B$2:$B$61,AG$1-$A37+1),0)</f>
        <v/>
      </c>
      <c r="AH37" s="47">
        <f>IF($A37&lt;=AH$1,INDEX(Monthly!$B$2:$B$61,AH$1-$A37+1),0)</f>
        <v/>
      </c>
      <c r="AI37" s="47">
        <f>IF($A37&lt;=AI$1,INDEX(Monthly!$B$2:$B$61,AI$1-$A37+1),0)</f>
        <v/>
      </c>
      <c r="AJ37" s="47">
        <f>IF($A37&lt;=AJ$1,INDEX(Monthly!$B$2:$B$61,AJ$1-$A37+1),0)</f>
        <v/>
      </c>
      <c r="AK37" s="47">
        <f>IF($A37&lt;=AK$1,INDEX(Monthly!$B$2:$B$61,AK$1-$A37+1),0)</f>
        <v/>
      </c>
      <c r="AL37" s="47">
        <f>IF($A37&lt;=AL$1,INDEX(Monthly!$B$2:$B$61,AL$1-$A37+1),0)</f>
        <v/>
      </c>
      <c r="AM37" s="47">
        <f>IF($A37&lt;=AM$1,INDEX(Monthly!$B$2:$B$61,AM$1-$A37+1),0)</f>
        <v/>
      </c>
      <c r="AN37" s="47">
        <f>IF($A37&lt;=AN$1,INDEX(Monthly!$B$2:$B$61,AN$1-$A37+1),0)</f>
        <v/>
      </c>
      <c r="AO37" s="47">
        <f>IF($A37&lt;=AO$1,INDEX(Monthly!$B$2:$B$61,AO$1-$A37+1),0)</f>
        <v/>
      </c>
      <c r="AP37" s="47">
        <f>IF($A37&lt;=AP$1,INDEX(Monthly!$B$2:$B$61,AP$1-$A37+1),0)</f>
        <v/>
      </c>
      <c r="AQ37" s="47">
        <f>IF($A37&lt;=AQ$1,INDEX(Monthly!$B$2:$B$61,AQ$1-$A37+1),0)</f>
        <v/>
      </c>
      <c r="AR37" s="47">
        <f>IF($A37&lt;=AR$1,INDEX(Monthly!$B$2:$B$61,AR$1-$A37+1),0)</f>
        <v/>
      </c>
      <c r="AS37" s="47">
        <f>IF($A37&lt;=AS$1,INDEX(Monthly!$B$2:$B$61,AS$1-$A37+1),0)</f>
        <v/>
      </c>
      <c r="AT37" s="47">
        <f>IF($A37&lt;=AT$1,INDEX(Monthly!$B$2:$B$61,AT$1-$A37+1),0)</f>
        <v/>
      </c>
      <c r="AU37" s="47">
        <f>IF($A37&lt;=AU$1,INDEX(Monthly!$B$2:$B$61,AU$1-$A37+1),0)</f>
        <v/>
      </c>
      <c r="AV37" s="47">
        <f>IF($A37&lt;=AV$1,INDEX(Monthly!$B$2:$B$61,AV$1-$A37+1),0)</f>
        <v/>
      </c>
      <c r="AW37" s="47">
        <f>IF($A37&lt;=AW$1,INDEX(Monthly!$B$2:$B$61,AW$1-$A37+1),0)</f>
        <v/>
      </c>
      <c r="AX37" s="47">
        <f>IF($A37&lt;=AX$1,INDEX(Monthly!$B$2:$B$61,AX$1-$A37+1),0)</f>
        <v/>
      </c>
      <c r="AY37" s="47">
        <f>IF($A37&lt;=AY$1,INDEX(Monthly!$B$2:$B$61,AY$1-$A37+1),0)</f>
        <v/>
      </c>
      <c r="AZ37" s="47">
        <f>IF($A37&lt;=AZ$1,INDEX(Monthly!$B$2:$B$61,AZ$1-$A37+1),0)</f>
        <v/>
      </c>
      <c r="BA37" s="47">
        <f>IF($A37&lt;=BA$1,INDEX(Monthly!$B$2:$B$61,BA$1-$A37+1),0)</f>
        <v/>
      </c>
      <c r="BB37" s="47">
        <f>IF($A37&lt;=BB$1,INDEX(Monthly!$B$2:$B$61,BB$1-$A37+1),0)</f>
        <v/>
      </c>
      <c r="BC37" s="47">
        <f>IF($A37&lt;=BC$1,INDEX(Monthly!$B$2:$B$61,BC$1-$A37+1),0)</f>
        <v/>
      </c>
      <c r="BD37" s="47">
        <f>IF($A37&lt;=BD$1,INDEX(Monthly!$B$2:$B$61,BD$1-$A37+1),0)</f>
        <v/>
      </c>
      <c r="BE37" s="47">
        <f>IF($A37&lt;=BE$1,INDEX(Monthly!$B$2:$B$61,BE$1-$A37+1),0)</f>
        <v/>
      </c>
      <c r="BF37" s="47">
        <f>IF($A37&lt;=BF$1,INDEX(Monthly!$B$2:$B$61,BF$1-$A37+1),0)</f>
        <v/>
      </c>
      <c r="BG37" s="47">
        <f>IF($A37&lt;=BG$1,INDEX(Monthly!$B$2:$B$61,BG$1-$A37+1),0)</f>
        <v/>
      </c>
      <c r="BH37" s="47">
        <f>IF($A37&lt;=BH$1,INDEX(Monthly!$B$2:$B$61,BH$1-$A37+1),0)</f>
        <v/>
      </c>
      <c r="BI37" s="47">
        <f>IF($A37&lt;=BI$1,INDEX(Monthly!$B$2:$B$61,BI$1-$A37+1),0)</f>
        <v/>
      </c>
    </row>
    <row r="38">
      <c r="A38" s="3" t="n">
        <v>37</v>
      </c>
      <c r="B38" s="47">
        <f>IF($A38&lt;=B$1,INDEX(Monthly!$B$2:$B$61,B$1-$A38+1),0)</f>
        <v/>
      </c>
      <c r="C38" s="47">
        <f>IF($A38&lt;=C$1,INDEX(Monthly!$B$2:$B$61,C$1-$A38+1),0)</f>
        <v/>
      </c>
      <c r="D38" s="47">
        <f>IF($A38&lt;=D$1,INDEX(Monthly!$B$2:$B$61,D$1-$A38+1),0)</f>
        <v/>
      </c>
      <c r="E38" s="47">
        <f>IF($A38&lt;=E$1,INDEX(Monthly!$B$2:$B$61,E$1-$A38+1),0)</f>
        <v/>
      </c>
      <c r="F38" s="47">
        <f>IF($A38&lt;=F$1,INDEX(Monthly!$B$2:$B$61,F$1-$A38+1),0)</f>
        <v/>
      </c>
      <c r="G38" s="47">
        <f>IF($A38&lt;=G$1,INDEX(Monthly!$B$2:$B$61,G$1-$A38+1),0)</f>
        <v/>
      </c>
      <c r="H38" s="47">
        <f>IF($A38&lt;=H$1,INDEX(Monthly!$B$2:$B$61,H$1-$A38+1),0)</f>
        <v/>
      </c>
      <c r="I38" s="47">
        <f>IF($A38&lt;=I$1,INDEX(Monthly!$B$2:$B$61,I$1-$A38+1),0)</f>
        <v/>
      </c>
      <c r="J38" s="47">
        <f>IF($A38&lt;=J$1,INDEX(Monthly!$B$2:$B$61,J$1-$A38+1),0)</f>
        <v/>
      </c>
      <c r="K38" s="47">
        <f>IF($A38&lt;=K$1,INDEX(Monthly!$B$2:$B$61,K$1-$A38+1),0)</f>
        <v/>
      </c>
      <c r="L38" s="47">
        <f>IF($A38&lt;=L$1,INDEX(Monthly!$B$2:$B$61,L$1-$A38+1),0)</f>
        <v/>
      </c>
      <c r="M38" s="47">
        <f>IF($A38&lt;=M$1,INDEX(Monthly!$B$2:$B$61,M$1-$A38+1),0)</f>
        <v/>
      </c>
      <c r="N38" s="47">
        <f>IF($A38&lt;=N$1,INDEX(Monthly!$B$2:$B$61,N$1-$A38+1),0)</f>
        <v/>
      </c>
      <c r="O38" s="47">
        <f>IF($A38&lt;=O$1,INDEX(Monthly!$B$2:$B$61,O$1-$A38+1),0)</f>
        <v/>
      </c>
      <c r="P38" s="47">
        <f>IF($A38&lt;=P$1,INDEX(Monthly!$B$2:$B$61,P$1-$A38+1),0)</f>
        <v/>
      </c>
      <c r="Q38" s="47">
        <f>IF($A38&lt;=Q$1,INDEX(Monthly!$B$2:$B$61,Q$1-$A38+1),0)</f>
        <v/>
      </c>
      <c r="R38" s="47">
        <f>IF($A38&lt;=R$1,INDEX(Monthly!$B$2:$B$61,R$1-$A38+1),0)</f>
        <v/>
      </c>
      <c r="S38" s="47">
        <f>IF($A38&lt;=S$1,INDEX(Monthly!$B$2:$B$61,S$1-$A38+1),0)</f>
        <v/>
      </c>
      <c r="T38" s="47">
        <f>IF($A38&lt;=T$1,INDEX(Monthly!$B$2:$B$61,T$1-$A38+1),0)</f>
        <v/>
      </c>
      <c r="U38" s="47">
        <f>IF($A38&lt;=U$1,INDEX(Monthly!$B$2:$B$61,U$1-$A38+1),0)</f>
        <v/>
      </c>
      <c r="V38" s="47">
        <f>IF($A38&lt;=V$1,INDEX(Monthly!$B$2:$B$61,V$1-$A38+1),0)</f>
        <v/>
      </c>
      <c r="W38" s="47">
        <f>IF($A38&lt;=W$1,INDEX(Monthly!$B$2:$B$61,W$1-$A38+1),0)</f>
        <v/>
      </c>
      <c r="X38" s="47">
        <f>IF($A38&lt;=X$1,INDEX(Monthly!$B$2:$B$61,X$1-$A38+1),0)</f>
        <v/>
      </c>
      <c r="Y38" s="47">
        <f>IF($A38&lt;=Y$1,INDEX(Monthly!$B$2:$B$61,Y$1-$A38+1),0)</f>
        <v/>
      </c>
      <c r="Z38" s="47">
        <f>IF($A38&lt;=Z$1,INDEX(Monthly!$B$2:$B$61,Z$1-$A38+1),0)</f>
        <v/>
      </c>
      <c r="AA38" s="47">
        <f>IF($A38&lt;=AA$1,INDEX(Monthly!$B$2:$B$61,AA$1-$A38+1),0)</f>
        <v/>
      </c>
      <c r="AB38" s="47">
        <f>IF($A38&lt;=AB$1,INDEX(Monthly!$B$2:$B$61,AB$1-$A38+1),0)</f>
        <v/>
      </c>
      <c r="AC38" s="47">
        <f>IF($A38&lt;=AC$1,INDEX(Monthly!$B$2:$B$61,AC$1-$A38+1),0)</f>
        <v/>
      </c>
      <c r="AD38" s="47">
        <f>IF($A38&lt;=AD$1,INDEX(Monthly!$B$2:$B$61,AD$1-$A38+1),0)</f>
        <v/>
      </c>
      <c r="AE38" s="47">
        <f>IF($A38&lt;=AE$1,INDEX(Monthly!$B$2:$B$61,AE$1-$A38+1),0)</f>
        <v/>
      </c>
      <c r="AF38" s="47">
        <f>IF($A38&lt;=AF$1,INDEX(Monthly!$B$2:$B$61,AF$1-$A38+1),0)</f>
        <v/>
      </c>
      <c r="AG38" s="47">
        <f>IF($A38&lt;=AG$1,INDEX(Monthly!$B$2:$B$61,AG$1-$A38+1),0)</f>
        <v/>
      </c>
      <c r="AH38" s="47">
        <f>IF($A38&lt;=AH$1,INDEX(Monthly!$B$2:$B$61,AH$1-$A38+1),0)</f>
        <v/>
      </c>
      <c r="AI38" s="47">
        <f>IF($A38&lt;=AI$1,INDEX(Monthly!$B$2:$B$61,AI$1-$A38+1),0)</f>
        <v/>
      </c>
      <c r="AJ38" s="47">
        <f>IF($A38&lt;=AJ$1,INDEX(Monthly!$B$2:$B$61,AJ$1-$A38+1),0)</f>
        <v/>
      </c>
      <c r="AK38" s="47">
        <f>IF($A38&lt;=AK$1,INDEX(Monthly!$B$2:$B$61,AK$1-$A38+1),0)</f>
        <v/>
      </c>
      <c r="AL38" s="47">
        <f>IF($A38&lt;=AL$1,INDEX(Monthly!$B$2:$B$61,AL$1-$A38+1),0)</f>
        <v/>
      </c>
      <c r="AM38" s="47">
        <f>IF($A38&lt;=AM$1,INDEX(Monthly!$B$2:$B$61,AM$1-$A38+1),0)</f>
        <v/>
      </c>
      <c r="AN38" s="47">
        <f>IF($A38&lt;=AN$1,INDEX(Monthly!$B$2:$B$61,AN$1-$A38+1),0)</f>
        <v/>
      </c>
      <c r="AO38" s="47">
        <f>IF($A38&lt;=AO$1,INDEX(Monthly!$B$2:$B$61,AO$1-$A38+1),0)</f>
        <v/>
      </c>
      <c r="AP38" s="47">
        <f>IF($A38&lt;=AP$1,INDEX(Monthly!$B$2:$B$61,AP$1-$A38+1),0)</f>
        <v/>
      </c>
      <c r="AQ38" s="47">
        <f>IF($A38&lt;=AQ$1,INDEX(Monthly!$B$2:$B$61,AQ$1-$A38+1),0)</f>
        <v/>
      </c>
      <c r="AR38" s="47">
        <f>IF($A38&lt;=AR$1,INDEX(Monthly!$B$2:$B$61,AR$1-$A38+1),0)</f>
        <v/>
      </c>
      <c r="AS38" s="47">
        <f>IF($A38&lt;=AS$1,INDEX(Monthly!$B$2:$B$61,AS$1-$A38+1),0)</f>
        <v/>
      </c>
      <c r="AT38" s="47">
        <f>IF($A38&lt;=AT$1,INDEX(Monthly!$B$2:$B$61,AT$1-$A38+1),0)</f>
        <v/>
      </c>
      <c r="AU38" s="47">
        <f>IF($A38&lt;=AU$1,INDEX(Monthly!$B$2:$B$61,AU$1-$A38+1),0)</f>
        <v/>
      </c>
      <c r="AV38" s="47">
        <f>IF($A38&lt;=AV$1,INDEX(Monthly!$B$2:$B$61,AV$1-$A38+1),0)</f>
        <v/>
      </c>
      <c r="AW38" s="47">
        <f>IF($A38&lt;=AW$1,INDEX(Monthly!$B$2:$B$61,AW$1-$A38+1),0)</f>
        <v/>
      </c>
      <c r="AX38" s="47">
        <f>IF($A38&lt;=AX$1,INDEX(Monthly!$B$2:$B$61,AX$1-$A38+1),0)</f>
        <v/>
      </c>
      <c r="AY38" s="47">
        <f>IF($A38&lt;=AY$1,INDEX(Monthly!$B$2:$B$61,AY$1-$A38+1),0)</f>
        <v/>
      </c>
      <c r="AZ38" s="47">
        <f>IF($A38&lt;=AZ$1,INDEX(Monthly!$B$2:$B$61,AZ$1-$A38+1),0)</f>
        <v/>
      </c>
      <c r="BA38" s="47">
        <f>IF($A38&lt;=BA$1,INDEX(Monthly!$B$2:$B$61,BA$1-$A38+1),0)</f>
        <v/>
      </c>
      <c r="BB38" s="47">
        <f>IF($A38&lt;=BB$1,INDEX(Monthly!$B$2:$B$61,BB$1-$A38+1),0)</f>
        <v/>
      </c>
      <c r="BC38" s="47">
        <f>IF($A38&lt;=BC$1,INDEX(Monthly!$B$2:$B$61,BC$1-$A38+1),0)</f>
        <v/>
      </c>
      <c r="BD38" s="47">
        <f>IF($A38&lt;=BD$1,INDEX(Monthly!$B$2:$B$61,BD$1-$A38+1),0)</f>
        <v/>
      </c>
      <c r="BE38" s="47">
        <f>IF($A38&lt;=BE$1,INDEX(Monthly!$B$2:$B$61,BE$1-$A38+1),0)</f>
        <v/>
      </c>
      <c r="BF38" s="47">
        <f>IF($A38&lt;=BF$1,INDEX(Monthly!$B$2:$B$61,BF$1-$A38+1),0)</f>
        <v/>
      </c>
      <c r="BG38" s="47">
        <f>IF($A38&lt;=BG$1,INDEX(Monthly!$B$2:$B$61,BG$1-$A38+1),0)</f>
        <v/>
      </c>
      <c r="BH38" s="47">
        <f>IF($A38&lt;=BH$1,INDEX(Monthly!$B$2:$B$61,BH$1-$A38+1),0)</f>
        <v/>
      </c>
      <c r="BI38" s="47">
        <f>IF($A38&lt;=BI$1,INDEX(Monthly!$B$2:$B$61,BI$1-$A38+1),0)</f>
        <v/>
      </c>
    </row>
    <row r="39">
      <c r="A39" s="3" t="n">
        <v>38</v>
      </c>
      <c r="B39" s="47">
        <f>IF($A39&lt;=B$1,INDEX(Monthly!$B$2:$B$61,B$1-$A39+1),0)</f>
        <v/>
      </c>
      <c r="C39" s="47">
        <f>IF($A39&lt;=C$1,INDEX(Monthly!$B$2:$B$61,C$1-$A39+1),0)</f>
        <v/>
      </c>
      <c r="D39" s="47">
        <f>IF($A39&lt;=D$1,INDEX(Monthly!$B$2:$B$61,D$1-$A39+1),0)</f>
        <v/>
      </c>
      <c r="E39" s="47">
        <f>IF($A39&lt;=E$1,INDEX(Monthly!$B$2:$B$61,E$1-$A39+1),0)</f>
        <v/>
      </c>
      <c r="F39" s="47">
        <f>IF($A39&lt;=F$1,INDEX(Monthly!$B$2:$B$61,F$1-$A39+1),0)</f>
        <v/>
      </c>
      <c r="G39" s="47">
        <f>IF($A39&lt;=G$1,INDEX(Monthly!$B$2:$B$61,G$1-$A39+1),0)</f>
        <v/>
      </c>
      <c r="H39" s="47">
        <f>IF($A39&lt;=H$1,INDEX(Monthly!$B$2:$B$61,H$1-$A39+1),0)</f>
        <v/>
      </c>
      <c r="I39" s="47">
        <f>IF($A39&lt;=I$1,INDEX(Monthly!$B$2:$B$61,I$1-$A39+1),0)</f>
        <v/>
      </c>
      <c r="J39" s="47">
        <f>IF($A39&lt;=J$1,INDEX(Monthly!$B$2:$B$61,J$1-$A39+1),0)</f>
        <v/>
      </c>
      <c r="K39" s="47">
        <f>IF($A39&lt;=K$1,INDEX(Monthly!$B$2:$B$61,K$1-$A39+1),0)</f>
        <v/>
      </c>
      <c r="L39" s="47">
        <f>IF($A39&lt;=L$1,INDEX(Monthly!$B$2:$B$61,L$1-$A39+1),0)</f>
        <v/>
      </c>
      <c r="M39" s="47">
        <f>IF($A39&lt;=M$1,INDEX(Monthly!$B$2:$B$61,M$1-$A39+1),0)</f>
        <v/>
      </c>
      <c r="N39" s="47">
        <f>IF($A39&lt;=N$1,INDEX(Monthly!$B$2:$B$61,N$1-$A39+1),0)</f>
        <v/>
      </c>
      <c r="O39" s="47">
        <f>IF($A39&lt;=O$1,INDEX(Monthly!$B$2:$B$61,O$1-$A39+1),0)</f>
        <v/>
      </c>
      <c r="P39" s="47">
        <f>IF($A39&lt;=P$1,INDEX(Monthly!$B$2:$B$61,P$1-$A39+1),0)</f>
        <v/>
      </c>
      <c r="Q39" s="47">
        <f>IF($A39&lt;=Q$1,INDEX(Monthly!$B$2:$B$61,Q$1-$A39+1),0)</f>
        <v/>
      </c>
      <c r="R39" s="47">
        <f>IF($A39&lt;=R$1,INDEX(Monthly!$B$2:$B$61,R$1-$A39+1),0)</f>
        <v/>
      </c>
      <c r="S39" s="47">
        <f>IF($A39&lt;=S$1,INDEX(Monthly!$B$2:$B$61,S$1-$A39+1),0)</f>
        <v/>
      </c>
      <c r="T39" s="47">
        <f>IF($A39&lt;=T$1,INDEX(Monthly!$B$2:$B$61,T$1-$A39+1),0)</f>
        <v/>
      </c>
      <c r="U39" s="47">
        <f>IF($A39&lt;=U$1,INDEX(Monthly!$B$2:$B$61,U$1-$A39+1),0)</f>
        <v/>
      </c>
      <c r="V39" s="47">
        <f>IF($A39&lt;=V$1,INDEX(Monthly!$B$2:$B$61,V$1-$A39+1),0)</f>
        <v/>
      </c>
      <c r="W39" s="47">
        <f>IF($A39&lt;=W$1,INDEX(Monthly!$B$2:$B$61,W$1-$A39+1),0)</f>
        <v/>
      </c>
      <c r="X39" s="47">
        <f>IF($A39&lt;=X$1,INDEX(Monthly!$B$2:$B$61,X$1-$A39+1),0)</f>
        <v/>
      </c>
      <c r="Y39" s="47">
        <f>IF($A39&lt;=Y$1,INDEX(Monthly!$B$2:$B$61,Y$1-$A39+1),0)</f>
        <v/>
      </c>
      <c r="Z39" s="47">
        <f>IF($A39&lt;=Z$1,INDEX(Monthly!$B$2:$B$61,Z$1-$A39+1),0)</f>
        <v/>
      </c>
      <c r="AA39" s="47">
        <f>IF($A39&lt;=AA$1,INDEX(Monthly!$B$2:$B$61,AA$1-$A39+1),0)</f>
        <v/>
      </c>
      <c r="AB39" s="47">
        <f>IF($A39&lt;=AB$1,INDEX(Monthly!$B$2:$B$61,AB$1-$A39+1),0)</f>
        <v/>
      </c>
      <c r="AC39" s="47">
        <f>IF($A39&lt;=AC$1,INDEX(Monthly!$B$2:$B$61,AC$1-$A39+1),0)</f>
        <v/>
      </c>
      <c r="AD39" s="47">
        <f>IF($A39&lt;=AD$1,INDEX(Monthly!$B$2:$B$61,AD$1-$A39+1),0)</f>
        <v/>
      </c>
      <c r="AE39" s="47">
        <f>IF($A39&lt;=AE$1,INDEX(Monthly!$B$2:$B$61,AE$1-$A39+1),0)</f>
        <v/>
      </c>
      <c r="AF39" s="47">
        <f>IF($A39&lt;=AF$1,INDEX(Monthly!$B$2:$B$61,AF$1-$A39+1),0)</f>
        <v/>
      </c>
      <c r="AG39" s="47">
        <f>IF($A39&lt;=AG$1,INDEX(Monthly!$B$2:$B$61,AG$1-$A39+1),0)</f>
        <v/>
      </c>
      <c r="AH39" s="47">
        <f>IF($A39&lt;=AH$1,INDEX(Monthly!$B$2:$B$61,AH$1-$A39+1),0)</f>
        <v/>
      </c>
      <c r="AI39" s="47">
        <f>IF($A39&lt;=AI$1,INDEX(Monthly!$B$2:$B$61,AI$1-$A39+1),0)</f>
        <v/>
      </c>
      <c r="AJ39" s="47">
        <f>IF($A39&lt;=AJ$1,INDEX(Monthly!$B$2:$B$61,AJ$1-$A39+1),0)</f>
        <v/>
      </c>
      <c r="AK39" s="47">
        <f>IF($A39&lt;=AK$1,INDEX(Monthly!$B$2:$B$61,AK$1-$A39+1),0)</f>
        <v/>
      </c>
      <c r="AL39" s="47">
        <f>IF($A39&lt;=AL$1,INDEX(Monthly!$B$2:$B$61,AL$1-$A39+1),0)</f>
        <v/>
      </c>
      <c r="AM39" s="47">
        <f>IF($A39&lt;=AM$1,INDEX(Monthly!$B$2:$B$61,AM$1-$A39+1),0)</f>
        <v/>
      </c>
      <c r="AN39" s="47">
        <f>IF($A39&lt;=AN$1,INDEX(Monthly!$B$2:$B$61,AN$1-$A39+1),0)</f>
        <v/>
      </c>
      <c r="AO39" s="47">
        <f>IF($A39&lt;=AO$1,INDEX(Monthly!$B$2:$B$61,AO$1-$A39+1),0)</f>
        <v/>
      </c>
      <c r="AP39" s="47">
        <f>IF($A39&lt;=AP$1,INDEX(Monthly!$B$2:$B$61,AP$1-$A39+1),0)</f>
        <v/>
      </c>
      <c r="AQ39" s="47">
        <f>IF($A39&lt;=AQ$1,INDEX(Monthly!$B$2:$B$61,AQ$1-$A39+1),0)</f>
        <v/>
      </c>
      <c r="AR39" s="47">
        <f>IF($A39&lt;=AR$1,INDEX(Monthly!$B$2:$B$61,AR$1-$A39+1),0)</f>
        <v/>
      </c>
      <c r="AS39" s="47">
        <f>IF($A39&lt;=AS$1,INDEX(Monthly!$B$2:$B$61,AS$1-$A39+1),0)</f>
        <v/>
      </c>
      <c r="AT39" s="47">
        <f>IF($A39&lt;=AT$1,INDEX(Monthly!$B$2:$B$61,AT$1-$A39+1),0)</f>
        <v/>
      </c>
      <c r="AU39" s="47">
        <f>IF($A39&lt;=AU$1,INDEX(Monthly!$B$2:$B$61,AU$1-$A39+1),0)</f>
        <v/>
      </c>
      <c r="AV39" s="47">
        <f>IF($A39&lt;=AV$1,INDEX(Monthly!$B$2:$B$61,AV$1-$A39+1),0)</f>
        <v/>
      </c>
      <c r="AW39" s="47">
        <f>IF($A39&lt;=AW$1,INDEX(Monthly!$B$2:$B$61,AW$1-$A39+1),0)</f>
        <v/>
      </c>
      <c r="AX39" s="47">
        <f>IF($A39&lt;=AX$1,INDEX(Monthly!$B$2:$B$61,AX$1-$A39+1),0)</f>
        <v/>
      </c>
      <c r="AY39" s="47">
        <f>IF($A39&lt;=AY$1,INDEX(Monthly!$B$2:$B$61,AY$1-$A39+1),0)</f>
        <v/>
      </c>
      <c r="AZ39" s="47">
        <f>IF($A39&lt;=AZ$1,INDEX(Monthly!$B$2:$B$61,AZ$1-$A39+1),0)</f>
        <v/>
      </c>
      <c r="BA39" s="47">
        <f>IF($A39&lt;=BA$1,INDEX(Monthly!$B$2:$B$61,BA$1-$A39+1),0)</f>
        <v/>
      </c>
      <c r="BB39" s="47">
        <f>IF($A39&lt;=BB$1,INDEX(Monthly!$B$2:$B$61,BB$1-$A39+1),0)</f>
        <v/>
      </c>
      <c r="BC39" s="47">
        <f>IF($A39&lt;=BC$1,INDEX(Monthly!$B$2:$B$61,BC$1-$A39+1),0)</f>
        <v/>
      </c>
      <c r="BD39" s="47">
        <f>IF($A39&lt;=BD$1,INDEX(Monthly!$B$2:$B$61,BD$1-$A39+1),0)</f>
        <v/>
      </c>
      <c r="BE39" s="47">
        <f>IF($A39&lt;=BE$1,INDEX(Monthly!$B$2:$B$61,BE$1-$A39+1),0)</f>
        <v/>
      </c>
      <c r="BF39" s="47">
        <f>IF($A39&lt;=BF$1,INDEX(Monthly!$B$2:$B$61,BF$1-$A39+1),0)</f>
        <v/>
      </c>
      <c r="BG39" s="47">
        <f>IF($A39&lt;=BG$1,INDEX(Monthly!$B$2:$B$61,BG$1-$A39+1),0)</f>
        <v/>
      </c>
      <c r="BH39" s="47">
        <f>IF($A39&lt;=BH$1,INDEX(Monthly!$B$2:$B$61,BH$1-$A39+1),0)</f>
        <v/>
      </c>
      <c r="BI39" s="47">
        <f>IF($A39&lt;=BI$1,INDEX(Monthly!$B$2:$B$61,BI$1-$A39+1),0)</f>
        <v/>
      </c>
    </row>
    <row r="40">
      <c r="A40" s="3" t="n">
        <v>39</v>
      </c>
      <c r="B40" s="47">
        <f>IF($A40&lt;=B$1,INDEX(Monthly!$B$2:$B$61,B$1-$A40+1),0)</f>
        <v/>
      </c>
      <c r="C40" s="47">
        <f>IF($A40&lt;=C$1,INDEX(Monthly!$B$2:$B$61,C$1-$A40+1),0)</f>
        <v/>
      </c>
      <c r="D40" s="47">
        <f>IF($A40&lt;=D$1,INDEX(Monthly!$B$2:$B$61,D$1-$A40+1),0)</f>
        <v/>
      </c>
      <c r="E40" s="47">
        <f>IF($A40&lt;=E$1,INDEX(Monthly!$B$2:$B$61,E$1-$A40+1),0)</f>
        <v/>
      </c>
      <c r="F40" s="47">
        <f>IF($A40&lt;=F$1,INDEX(Monthly!$B$2:$B$61,F$1-$A40+1),0)</f>
        <v/>
      </c>
      <c r="G40" s="47">
        <f>IF($A40&lt;=G$1,INDEX(Monthly!$B$2:$B$61,G$1-$A40+1),0)</f>
        <v/>
      </c>
      <c r="H40" s="47">
        <f>IF($A40&lt;=H$1,INDEX(Monthly!$B$2:$B$61,H$1-$A40+1),0)</f>
        <v/>
      </c>
      <c r="I40" s="47">
        <f>IF($A40&lt;=I$1,INDEX(Monthly!$B$2:$B$61,I$1-$A40+1),0)</f>
        <v/>
      </c>
      <c r="J40" s="47">
        <f>IF($A40&lt;=J$1,INDEX(Monthly!$B$2:$B$61,J$1-$A40+1),0)</f>
        <v/>
      </c>
      <c r="K40" s="47">
        <f>IF($A40&lt;=K$1,INDEX(Monthly!$B$2:$B$61,K$1-$A40+1),0)</f>
        <v/>
      </c>
      <c r="L40" s="47">
        <f>IF($A40&lt;=L$1,INDEX(Monthly!$B$2:$B$61,L$1-$A40+1),0)</f>
        <v/>
      </c>
      <c r="M40" s="47">
        <f>IF($A40&lt;=M$1,INDEX(Monthly!$B$2:$B$61,M$1-$A40+1),0)</f>
        <v/>
      </c>
      <c r="N40" s="47">
        <f>IF($A40&lt;=N$1,INDEX(Monthly!$B$2:$B$61,N$1-$A40+1),0)</f>
        <v/>
      </c>
      <c r="O40" s="47">
        <f>IF($A40&lt;=O$1,INDEX(Monthly!$B$2:$B$61,O$1-$A40+1),0)</f>
        <v/>
      </c>
      <c r="P40" s="47">
        <f>IF($A40&lt;=P$1,INDEX(Monthly!$B$2:$B$61,P$1-$A40+1),0)</f>
        <v/>
      </c>
      <c r="Q40" s="47">
        <f>IF($A40&lt;=Q$1,INDEX(Monthly!$B$2:$B$61,Q$1-$A40+1),0)</f>
        <v/>
      </c>
      <c r="R40" s="47">
        <f>IF($A40&lt;=R$1,INDEX(Monthly!$B$2:$B$61,R$1-$A40+1),0)</f>
        <v/>
      </c>
      <c r="S40" s="47">
        <f>IF($A40&lt;=S$1,INDEX(Monthly!$B$2:$B$61,S$1-$A40+1),0)</f>
        <v/>
      </c>
      <c r="T40" s="47">
        <f>IF($A40&lt;=T$1,INDEX(Monthly!$B$2:$B$61,T$1-$A40+1),0)</f>
        <v/>
      </c>
      <c r="U40" s="47">
        <f>IF($A40&lt;=U$1,INDEX(Monthly!$B$2:$B$61,U$1-$A40+1),0)</f>
        <v/>
      </c>
      <c r="V40" s="47">
        <f>IF($A40&lt;=V$1,INDEX(Monthly!$B$2:$B$61,V$1-$A40+1),0)</f>
        <v/>
      </c>
      <c r="W40" s="47">
        <f>IF($A40&lt;=W$1,INDEX(Monthly!$B$2:$B$61,W$1-$A40+1),0)</f>
        <v/>
      </c>
      <c r="X40" s="47">
        <f>IF($A40&lt;=X$1,INDEX(Monthly!$B$2:$B$61,X$1-$A40+1),0)</f>
        <v/>
      </c>
      <c r="Y40" s="47">
        <f>IF($A40&lt;=Y$1,INDEX(Monthly!$B$2:$B$61,Y$1-$A40+1),0)</f>
        <v/>
      </c>
      <c r="Z40" s="47">
        <f>IF($A40&lt;=Z$1,INDEX(Monthly!$B$2:$B$61,Z$1-$A40+1),0)</f>
        <v/>
      </c>
      <c r="AA40" s="47">
        <f>IF($A40&lt;=AA$1,INDEX(Monthly!$B$2:$B$61,AA$1-$A40+1),0)</f>
        <v/>
      </c>
      <c r="AB40" s="47">
        <f>IF($A40&lt;=AB$1,INDEX(Monthly!$B$2:$B$61,AB$1-$A40+1),0)</f>
        <v/>
      </c>
      <c r="AC40" s="47">
        <f>IF($A40&lt;=AC$1,INDEX(Monthly!$B$2:$B$61,AC$1-$A40+1),0)</f>
        <v/>
      </c>
      <c r="AD40" s="47">
        <f>IF($A40&lt;=AD$1,INDEX(Monthly!$B$2:$B$61,AD$1-$A40+1),0)</f>
        <v/>
      </c>
      <c r="AE40" s="47">
        <f>IF($A40&lt;=AE$1,INDEX(Monthly!$B$2:$B$61,AE$1-$A40+1),0)</f>
        <v/>
      </c>
      <c r="AF40" s="47">
        <f>IF($A40&lt;=AF$1,INDEX(Monthly!$B$2:$B$61,AF$1-$A40+1),0)</f>
        <v/>
      </c>
      <c r="AG40" s="47">
        <f>IF($A40&lt;=AG$1,INDEX(Monthly!$B$2:$B$61,AG$1-$A40+1),0)</f>
        <v/>
      </c>
      <c r="AH40" s="47">
        <f>IF($A40&lt;=AH$1,INDEX(Monthly!$B$2:$B$61,AH$1-$A40+1),0)</f>
        <v/>
      </c>
      <c r="AI40" s="47">
        <f>IF($A40&lt;=AI$1,INDEX(Monthly!$B$2:$B$61,AI$1-$A40+1),0)</f>
        <v/>
      </c>
      <c r="AJ40" s="47">
        <f>IF($A40&lt;=AJ$1,INDEX(Monthly!$B$2:$B$61,AJ$1-$A40+1),0)</f>
        <v/>
      </c>
      <c r="AK40" s="47">
        <f>IF($A40&lt;=AK$1,INDEX(Monthly!$B$2:$B$61,AK$1-$A40+1),0)</f>
        <v/>
      </c>
      <c r="AL40" s="47">
        <f>IF($A40&lt;=AL$1,INDEX(Monthly!$B$2:$B$61,AL$1-$A40+1),0)</f>
        <v/>
      </c>
      <c r="AM40" s="47">
        <f>IF($A40&lt;=AM$1,INDEX(Monthly!$B$2:$B$61,AM$1-$A40+1),0)</f>
        <v/>
      </c>
      <c r="AN40" s="47">
        <f>IF($A40&lt;=AN$1,INDEX(Monthly!$B$2:$B$61,AN$1-$A40+1),0)</f>
        <v/>
      </c>
      <c r="AO40" s="47">
        <f>IF($A40&lt;=AO$1,INDEX(Monthly!$B$2:$B$61,AO$1-$A40+1),0)</f>
        <v/>
      </c>
      <c r="AP40" s="47">
        <f>IF($A40&lt;=AP$1,INDEX(Monthly!$B$2:$B$61,AP$1-$A40+1),0)</f>
        <v/>
      </c>
      <c r="AQ40" s="47">
        <f>IF($A40&lt;=AQ$1,INDEX(Monthly!$B$2:$B$61,AQ$1-$A40+1),0)</f>
        <v/>
      </c>
      <c r="AR40" s="47">
        <f>IF($A40&lt;=AR$1,INDEX(Monthly!$B$2:$B$61,AR$1-$A40+1),0)</f>
        <v/>
      </c>
      <c r="AS40" s="47">
        <f>IF($A40&lt;=AS$1,INDEX(Monthly!$B$2:$B$61,AS$1-$A40+1),0)</f>
        <v/>
      </c>
      <c r="AT40" s="47">
        <f>IF($A40&lt;=AT$1,INDEX(Monthly!$B$2:$B$61,AT$1-$A40+1),0)</f>
        <v/>
      </c>
      <c r="AU40" s="47">
        <f>IF($A40&lt;=AU$1,INDEX(Monthly!$B$2:$B$61,AU$1-$A40+1),0)</f>
        <v/>
      </c>
      <c r="AV40" s="47">
        <f>IF($A40&lt;=AV$1,INDEX(Monthly!$B$2:$B$61,AV$1-$A40+1),0)</f>
        <v/>
      </c>
      <c r="AW40" s="47">
        <f>IF($A40&lt;=AW$1,INDEX(Monthly!$B$2:$B$61,AW$1-$A40+1),0)</f>
        <v/>
      </c>
      <c r="AX40" s="47">
        <f>IF($A40&lt;=AX$1,INDEX(Monthly!$B$2:$B$61,AX$1-$A40+1),0)</f>
        <v/>
      </c>
      <c r="AY40" s="47">
        <f>IF($A40&lt;=AY$1,INDEX(Monthly!$B$2:$B$61,AY$1-$A40+1),0)</f>
        <v/>
      </c>
      <c r="AZ40" s="47">
        <f>IF($A40&lt;=AZ$1,INDEX(Monthly!$B$2:$B$61,AZ$1-$A40+1),0)</f>
        <v/>
      </c>
      <c r="BA40" s="47">
        <f>IF($A40&lt;=BA$1,INDEX(Monthly!$B$2:$B$61,BA$1-$A40+1),0)</f>
        <v/>
      </c>
      <c r="BB40" s="47">
        <f>IF($A40&lt;=BB$1,INDEX(Monthly!$B$2:$B$61,BB$1-$A40+1),0)</f>
        <v/>
      </c>
      <c r="BC40" s="47">
        <f>IF($A40&lt;=BC$1,INDEX(Monthly!$B$2:$B$61,BC$1-$A40+1),0)</f>
        <v/>
      </c>
      <c r="BD40" s="47">
        <f>IF($A40&lt;=BD$1,INDEX(Monthly!$B$2:$B$61,BD$1-$A40+1),0)</f>
        <v/>
      </c>
      <c r="BE40" s="47">
        <f>IF($A40&lt;=BE$1,INDEX(Monthly!$B$2:$B$61,BE$1-$A40+1),0)</f>
        <v/>
      </c>
      <c r="BF40" s="47">
        <f>IF($A40&lt;=BF$1,INDEX(Monthly!$B$2:$B$61,BF$1-$A40+1),0)</f>
        <v/>
      </c>
      <c r="BG40" s="47">
        <f>IF($A40&lt;=BG$1,INDEX(Monthly!$B$2:$B$61,BG$1-$A40+1),0)</f>
        <v/>
      </c>
      <c r="BH40" s="47">
        <f>IF($A40&lt;=BH$1,INDEX(Monthly!$B$2:$B$61,BH$1-$A40+1),0)</f>
        <v/>
      </c>
      <c r="BI40" s="47">
        <f>IF($A40&lt;=BI$1,INDEX(Monthly!$B$2:$B$61,BI$1-$A40+1),0)</f>
        <v/>
      </c>
    </row>
    <row r="41">
      <c r="A41" s="3" t="n">
        <v>40</v>
      </c>
      <c r="B41" s="47">
        <f>IF($A41&lt;=B$1,INDEX(Monthly!$B$2:$B$61,B$1-$A41+1),0)</f>
        <v/>
      </c>
      <c r="C41" s="47">
        <f>IF($A41&lt;=C$1,INDEX(Monthly!$B$2:$B$61,C$1-$A41+1),0)</f>
        <v/>
      </c>
      <c r="D41" s="47">
        <f>IF($A41&lt;=D$1,INDEX(Monthly!$B$2:$B$61,D$1-$A41+1),0)</f>
        <v/>
      </c>
      <c r="E41" s="47">
        <f>IF($A41&lt;=E$1,INDEX(Monthly!$B$2:$B$61,E$1-$A41+1),0)</f>
        <v/>
      </c>
      <c r="F41" s="47">
        <f>IF($A41&lt;=F$1,INDEX(Monthly!$B$2:$B$61,F$1-$A41+1),0)</f>
        <v/>
      </c>
      <c r="G41" s="47">
        <f>IF($A41&lt;=G$1,INDEX(Monthly!$B$2:$B$61,G$1-$A41+1),0)</f>
        <v/>
      </c>
      <c r="H41" s="47">
        <f>IF($A41&lt;=H$1,INDEX(Monthly!$B$2:$B$61,H$1-$A41+1),0)</f>
        <v/>
      </c>
      <c r="I41" s="47">
        <f>IF($A41&lt;=I$1,INDEX(Monthly!$B$2:$B$61,I$1-$A41+1),0)</f>
        <v/>
      </c>
      <c r="J41" s="47">
        <f>IF($A41&lt;=J$1,INDEX(Monthly!$B$2:$B$61,J$1-$A41+1),0)</f>
        <v/>
      </c>
      <c r="K41" s="47">
        <f>IF($A41&lt;=K$1,INDEX(Monthly!$B$2:$B$61,K$1-$A41+1),0)</f>
        <v/>
      </c>
      <c r="L41" s="47">
        <f>IF($A41&lt;=L$1,INDEX(Monthly!$B$2:$B$61,L$1-$A41+1),0)</f>
        <v/>
      </c>
      <c r="M41" s="47">
        <f>IF($A41&lt;=M$1,INDEX(Monthly!$B$2:$B$61,M$1-$A41+1),0)</f>
        <v/>
      </c>
      <c r="N41" s="47">
        <f>IF($A41&lt;=N$1,INDEX(Monthly!$B$2:$B$61,N$1-$A41+1),0)</f>
        <v/>
      </c>
      <c r="O41" s="47">
        <f>IF($A41&lt;=O$1,INDEX(Monthly!$B$2:$B$61,O$1-$A41+1),0)</f>
        <v/>
      </c>
      <c r="P41" s="47">
        <f>IF($A41&lt;=P$1,INDEX(Monthly!$B$2:$B$61,P$1-$A41+1),0)</f>
        <v/>
      </c>
      <c r="Q41" s="47">
        <f>IF($A41&lt;=Q$1,INDEX(Monthly!$B$2:$B$61,Q$1-$A41+1),0)</f>
        <v/>
      </c>
      <c r="R41" s="47">
        <f>IF($A41&lt;=R$1,INDEX(Monthly!$B$2:$B$61,R$1-$A41+1),0)</f>
        <v/>
      </c>
      <c r="S41" s="47">
        <f>IF($A41&lt;=S$1,INDEX(Monthly!$B$2:$B$61,S$1-$A41+1),0)</f>
        <v/>
      </c>
      <c r="T41" s="47">
        <f>IF($A41&lt;=T$1,INDEX(Monthly!$B$2:$B$61,T$1-$A41+1),0)</f>
        <v/>
      </c>
      <c r="U41" s="47">
        <f>IF($A41&lt;=U$1,INDEX(Monthly!$B$2:$B$61,U$1-$A41+1),0)</f>
        <v/>
      </c>
      <c r="V41" s="47">
        <f>IF($A41&lt;=V$1,INDEX(Monthly!$B$2:$B$61,V$1-$A41+1),0)</f>
        <v/>
      </c>
      <c r="W41" s="47">
        <f>IF($A41&lt;=W$1,INDEX(Monthly!$B$2:$B$61,W$1-$A41+1),0)</f>
        <v/>
      </c>
      <c r="X41" s="47">
        <f>IF($A41&lt;=X$1,INDEX(Monthly!$B$2:$B$61,X$1-$A41+1),0)</f>
        <v/>
      </c>
      <c r="Y41" s="47">
        <f>IF($A41&lt;=Y$1,INDEX(Monthly!$B$2:$B$61,Y$1-$A41+1),0)</f>
        <v/>
      </c>
      <c r="Z41" s="47">
        <f>IF($A41&lt;=Z$1,INDEX(Monthly!$B$2:$B$61,Z$1-$A41+1),0)</f>
        <v/>
      </c>
      <c r="AA41" s="47">
        <f>IF($A41&lt;=AA$1,INDEX(Monthly!$B$2:$B$61,AA$1-$A41+1),0)</f>
        <v/>
      </c>
      <c r="AB41" s="47">
        <f>IF($A41&lt;=AB$1,INDEX(Monthly!$B$2:$B$61,AB$1-$A41+1),0)</f>
        <v/>
      </c>
      <c r="AC41" s="47">
        <f>IF($A41&lt;=AC$1,INDEX(Monthly!$B$2:$B$61,AC$1-$A41+1),0)</f>
        <v/>
      </c>
      <c r="AD41" s="47">
        <f>IF($A41&lt;=AD$1,INDEX(Monthly!$B$2:$B$61,AD$1-$A41+1),0)</f>
        <v/>
      </c>
      <c r="AE41" s="47">
        <f>IF($A41&lt;=AE$1,INDEX(Monthly!$B$2:$B$61,AE$1-$A41+1),0)</f>
        <v/>
      </c>
      <c r="AF41" s="47">
        <f>IF($A41&lt;=AF$1,INDEX(Monthly!$B$2:$B$61,AF$1-$A41+1),0)</f>
        <v/>
      </c>
      <c r="AG41" s="47">
        <f>IF($A41&lt;=AG$1,INDEX(Monthly!$B$2:$B$61,AG$1-$A41+1),0)</f>
        <v/>
      </c>
      <c r="AH41" s="47">
        <f>IF($A41&lt;=AH$1,INDEX(Monthly!$B$2:$B$61,AH$1-$A41+1),0)</f>
        <v/>
      </c>
      <c r="AI41" s="47">
        <f>IF($A41&lt;=AI$1,INDEX(Monthly!$B$2:$B$61,AI$1-$A41+1),0)</f>
        <v/>
      </c>
      <c r="AJ41" s="47">
        <f>IF($A41&lt;=AJ$1,INDEX(Monthly!$B$2:$B$61,AJ$1-$A41+1),0)</f>
        <v/>
      </c>
      <c r="AK41" s="47">
        <f>IF($A41&lt;=AK$1,INDEX(Monthly!$B$2:$B$61,AK$1-$A41+1),0)</f>
        <v/>
      </c>
      <c r="AL41" s="47">
        <f>IF($A41&lt;=AL$1,INDEX(Monthly!$B$2:$B$61,AL$1-$A41+1),0)</f>
        <v/>
      </c>
      <c r="AM41" s="47">
        <f>IF($A41&lt;=AM$1,INDEX(Monthly!$B$2:$B$61,AM$1-$A41+1),0)</f>
        <v/>
      </c>
      <c r="AN41" s="47">
        <f>IF($A41&lt;=AN$1,INDEX(Monthly!$B$2:$B$61,AN$1-$A41+1),0)</f>
        <v/>
      </c>
      <c r="AO41" s="47">
        <f>IF($A41&lt;=AO$1,INDEX(Monthly!$B$2:$B$61,AO$1-$A41+1),0)</f>
        <v/>
      </c>
      <c r="AP41" s="47">
        <f>IF($A41&lt;=AP$1,INDEX(Monthly!$B$2:$B$61,AP$1-$A41+1),0)</f>
        <v/>
      </c>
      <c r="AQ41" s="47">
        <f>IF($A41&lt;=AQ$1,INDEX(Monthly!$B$2:$B$61,AQ$1-$A41+1),0)</f>
        <v/>
      </c>
      <c r="AR41" s="47">
        <f>IF($A41&lt;=AR$1,INDEX(Monthly!$B$2:$B$61,AR$1-$A41+1),0)</f>
        <v/>
      </c>
      <c r="AS41" s="47">
        <f>IF($A41&lt;=AS$1,INDEX(Monthly!$B$2:$B$61,AS$1-$A41+1),0)</f>
        <v/>
      </c>
      <c r="AT41" s="47">
        <f>IF($A41&lt;=AT$1,INDEX(Monthly!$B$2:$B$61,AT$1-$A41+1),0)</f>
        <v/>
      </c>
      <c r="AU41" s="47">
        <f>IF($A41&lt;=AU$1,INDEX(Monthly!$B$2:$B$61,AU$1-$A41+1),0)</f>
        <v/>
      </c>
      <c r="AV41" s="47">
        <f>IF($A41&lt;=AV$1,INDEX(Monthly!$B$2:$B$61,AV$1-$A41+1),0)</f>
        <v/>
      </c>
      <c r="AW41" s="47">
        <f>IF($A41&lt;=AW$1,INDEX(Monthly!$B$2:$B$61,AW$1-$A41+1),0)</f>
        <v/>
      </c>
      <c r="AX41" s="47">
        <f>IF($A41&lt;=AX$1,INDEX(Monthly!$B$2:$B$61,AX$1-$A41+1),0)</f>
        <v/>
      </c>
      <c r="AY41" s="47">
        <f>IF($A41&lt;=AY$1,INDEX(Monthly!$B$2:$B$61,AY$1-$A41+1),0)</f>
        <v/>
      </c>
      <c r="AZ41" s="47">
        <f>IF($A41&lt;=AZ$1,INDEX(Monthly!$B$2:$B$61,AZ$1-$A41+1),0)</f>
        <v/>
      </c>
      <c r="BA41" s="47">
        <f>IF($A41&lt;=BA$1,INDEX(Monthly!$B$2:$B$61,BA$1-$A41+1),0)</f>
        <v/>
      </c>
      <c r="BB41" s="47">
        <f>IF($A41&lt;=BB$1,INDEX(Monthly!$B$2:$B$61,BB$1-$A41+1),0)</f>
        <v/>
      </c>
      <c r="BC41" s="47">
        <f>IF($A41&lt;=BC$1,INDEX(Monthly!$B$2:$B$61,BC$1-$A41+1),0)</f>
        <v/>
      </c>
      <c r="BD41" s="47">
        <f>IF($A41&lt;=BD$1,INDEX(Monthly!$B$2:$B$61,BD$1-$A41+1),0)</f>
        <v/>
      </c>
      <c r="BE41" s="47">
        <f>IF($A41&lt;=BE$1,INDEX(Monthly!$B$2:$B$61,BE$1-$A41+1),0)</f>
        <v/>
      </c>
      <c r="BF41" s="47">
        <f>IF($A41&lt;=BF$1,INDEX(Monthly!$B$2:$B$61,BF$1-$A41+1),0)</f>
        <v/>
      </c>
      <c r="BG41" s="47">
        <f>IF($A41&lt;=BG$1,INDEX(Monthly!$B$2:$B$61,BG$1-$A41+1),0)</f>
        <v/>
      </c>
      <c r="BH41" s="47">
        <f>IF($A41&lt;=BH$1,INDEX(Monthly!$B$2:$B$61,BH$1-$A41+1),0)</f>
        <v/>
      </c>
      <c r="BI41" s="47">
        <f>IF($A41&lt;=BI$1,INDEX(Monthly!$B$2:$B$61,BI$1-$A41+1),0)</f>
        <v/>
      </c>
    </row>
    <row r="42">
      <c r="A42" s="3" t="n">
        <v>41</v>
      </c>
      <c r="B42" s="47">
        <f>IF($A42&lt;=B$1,INDEX(Monthly!$B$2:$B$61,B$1-$A42+1),0)</f>
        <v/>
      </c>
      <c r="C42" s="47">
        <f>IF($A42&lt;=C$1,INDEX(Monthly!$B$2:$B$61,C$1-$A42+1),0)</f>
        <v/>
      </c>
      <c r="D42" s="47">
        <f>IF($A42&lt;=D$1,INDEX(Monthly!$B$2:$B$61,D$1-$A42+1),0)</f>
        <v/>
      </c>
      <c r="E42" s="47">
        <f>IF($A42&lt;=E$1,INDEX(Monthly!$B$2:$B$61,E$1-$A42+1),0)</f>
        <v/>
      </c>
      <c r="F42" s="47">
        <f>IF($A42&lt;=F$1,INDEX(Monthly!$B$2:$B$61,F$1-$A42+1),0)</f>
        <v/>
      </c>
      <c r="G42" s="47">
        <f>IF($A42&lt;=G$1,INDEX(Monthly!$B$2:$B$61,G$1-$A42+1),0)</f>
        <v/>
      </c>
      <c r="H42" s="47">
        <f>IF($A42&lt;=H$1,INDEX(Monthly!$B$2:$B$61,H$1-$A42+1),0)</f>
        <v/>
      </c>
      <c r="I42" s="47">
        <f>IF($A42&lt;=I$1,INDEX(Monthly!$B$2:$B$61,I$1-$A42+1),0)</f>
        <v/>
      </c>
      <c r="J42" s="47">
        <f>IF($A42&lt;=J$1,INDEX(Monthly!$B$2:$B$61,J$1-$A42+1),0)</f>
        <v/>
      </c>
      <c r="K42" s="47">
        <f>IF($A42&lt;=K$1,INDEX(Monthly!$B$2:$B$61,K$1-$A42+1),0)</f>
        <v/>
      </c>
      <c r="L42" s="47">
        <f>IF($A42&lt;=L$1,INDEX(Monthly!$B$2:$B$61,L$1-$A42+1),0)</f>
        <v/>
      </c>
      <c r="M42" s="47">
        <f>IF($A42&lt;=M$1,INDEX(Monthly!$B$2:$B$61,M$1-$A42+1),0)</f>
        <v/>
      </c>
      <c r="N42" s="47">
        <f>IF($A42&lt;=N$1,INDEX(Monthly!$B$2:$B$61,N$1-$A42+1),0)</f>
        <v/>
      </c>
      <c r="O42" s="47">
        <f>IF($A42&lt;=O$1,INDEX(Monthly!$B$2:$B$61,O$1-$A42+1),0)</f>
        <v/>
      </c>
      <c r="P42" s="47">
        <f>IF($A42&lt;=P$1,INDEX(Monthly!$B$2:$B$61,P$1-$A42+1),0)</f>
        <v/>
      </c>
      <c r="Q42" s="47">
        <f>IF($A42&lt;=Q$1,INDEX(Monthly!$B$2:$B$61,Q$1-$A42+1),0)</f>
        <v/>
      </c>
      <c r="R42" s="47">
        <f>IF($A42&lt;=R$1,INDEX(Monthly!$B$2:$B$61,R$1-$A42+1),0)</f>
        <v/>
      </c>
      <c r="S42" s="47">
        <f>IF($A42&lt;=S$1,INDEX(Monthly!$B$2:$B$61,S$1-$A42+1),0)</f>
        <v/>
      </c>
      <c r="T42" s="47">
        <f>IF($A42&lt;=T$1,INDEX(Monthly!$B$2:$B$61,T$1-$A42+1),0)</f>
        <v/>
      </c>
      <c r="U42" s="47">
        <f>IF($A42&lt;=U$1,INDEX(Monthly!$B$2:$B$61,U$1-$A42+1),0)</f>
        <v/>
      </c>
      <c r="V42" s="47">
        <f>IF($A42&lt;=V$1,INDEX(Monthly!$B$2:$B$61,V$1-$A42+1),0)</f>
        <v/>
      </c>
      <c r="W42" s="47">
        <f>IF($A42&lt;=W$1,INDEX(Monthly!$B$2:$B$61,W$1-$A42+1),0)</f>
        <v/>
      </c>
      <c r="X42" s="47">
        <f>IF($A42&lt;=X$1,INDEX(Monthly!$B$2:$B$61,X$1-$A42+1),0)</f>
        <v/>
      </c>
      <c r="Y42" s="47">
        <f>IF($A42&lt;=Y$1,INDEX(Monthly!$B$2:$B$61,Y$1-$A42+1),0)</f>
        <v/>
      </c>
      <c r="Z42" s="47">
        <f>IF($A42&lt;=Z$1,INDEX(Monthly!$B$2:$B$61,Z$1-$A42+1),0)</f>
        <v/>
      </c>
      <c r="AA42" s="47">
        <f>IF($A42&lt;=AA$1,INDEX(Monthly!$B$2:$B$61,AA$1-$A42+1),0)</f>
        <v/>
      </c>
      <c r="AB42" s="47">
        <f>IF($A42&lt;=AB$1,INDEX(Monthly!$B$2:$B$61,AB$1-$A42+1),0)</f>
        <v/>
      </c>
      <c r="AC42" s="47">
        <f>IF($A42&lt;=AC$1,INDEX(Monthly!$B$2:$B$61,AC$1-$A42+1),0)</f>
        <v/>
      </c>
      <c r="AD42" s="47">
        <f>IF($A42&lt;=AD$1,INDEX(Monthly!$B$2:$B$61,AD$1-$A42+1),0)</f>
        <v/>
      </c>
      <c r="AE42" s="47">
        <f>IF($A42&lt;=AE$1,INDEX(Monthly!$B$2:$B$61,AE$1-$A42+1),0)</f>
        <v/>
      </c>
      <c r="AF42" s="47">
        <f>IF($A42&lt;=AF$1,INDEX(Monthly!$B$2:$B$61,AF$1-$A42+1),0)</f>
        <v/>
      </c>
      <c r="AG42" s="47">
        <f>IF($A42&lt;=AG$1,INDEX(Monthly!$B$2:$B$61,AG$1-$A42+1),0)</f>
        <v/>
      </c>
      <c r="AH42" s="47">
        <f>IF($A42&lt;=AH$1,INDEX(Monthly!$B$2:$B$61,AH$1-$A42+1),0)</f>
        <v/>
      </c>
      <c r="AI42" s="47">
        <f>IF($A42&lt;=AI$1,INDEX(Monthly!$B$2:$B$61,AI$1-$A42+1),0)</f>
        <v/>
      </c>
      <c r="AJ42" s="47">
        <f>IF($A42&lt;=AJ$1,INDEX(Monthly!$B$2:$B$61,AJ$1-$A42+1),0)</f>
        <v/>
      </c>
      <c r="AK42" s="47">
        <f>IF($A42&lt;=AK$1,INDEX(Monthly!$B$2:$B$61,AK$1-$A42+1),0)</f>
        <v/>
      </c>
      <c r="AL42" s="47">
        <f>IF($A42&lt;=AL$1,INDEX(Monthly!$B$2:$B$61,AL$1-$A42+1),0)</f>
        <v/>
      </c>
      <c r="AM42" s="47">
        <f>IF($A42&lt;=AM$1,INDEX(Monthly!$B$2:$B$61,AM$1-$A42+1),0)</f>
        <v/>
      </c>
      <c r="AN42" s="47">
        <f>IF($A42&lt;=AN$1,INDEX(Monthly!$B$2:$B$61,AN$1-$A42+1),0)</f>
        <v/>
      </c>
      <c r="AO42" s="47">
        <f>IF($A42&lt;=AO$1,INDEX(Monthly!$B$2:$B$61,AO$1-$A42+1),0)</f>
        <v/>
      </c>
      <c r="AP42" s="47">
        <f>IF($A42&lt;=AP$1,INDEX(Monthly!$B$2:$B$61,AP$1-$A42+1),0)</f>
        <v/>
      </c>
      <c r="AQ42" s="47">
        <f>IF($A42&lt;=AQ$1,INDEX(Monthly!$B$2:$B$61,AQ$1-$A42+1),0)</f>
        <v/>
      </c>
      <c r="AR42" s="47">
        <f>IF($A42&lt;=AR$1,INDEX(Monthly!$B$2:$B$61,AR$1-$A42+1),0)</f>
        <v/>
      </c>
      <c r="AS42" s="47">
        <f>IF($A42&lt;=AS$1,INDEX(Monthly!$B$2:$B$61,AS$1-$A42+1),0)</f>
        <v/>
      </c>
      <c r="AT42" s="47">
        <f>IF($A42&lt;=AT$1,INDEX(Monthly!$B$2:$B$61,AT$1-$A42+1),0)</f>
        <v/>
      </c>
      <c r="AU42" s="47">
        <f>IF($A42&lt;=AU$1,INDEX(Monthly!$B$2:$B$61,AU$1-$A42+1),0)</f>
        <v/>
      </c>
      <c r="AV42" s="47">
        <f>IF($A42&lt;=AV$1,INDEX(Monthly!$B$2:$B$61,AV$1-$A42+1),0)</f>
        <v/>
      </c>
      <c r="AW42" s="47">
        <f>IF($A42&lt;=AW$1,INDEX(Monthly!$B$2:$B$61,AW$1-$A42+1),0)</f>
        <v/>
      </c>
      <c r="AX42" s="47">
        <f>IF($A42&lt;=AX$1,INDEX(Monthly!$B$2:$B$61,AX$1-$A42+1),0)</f>
        <v/>
      </c>
      <c r="AY42" s="47">
        <f>IF($A42&lt;=AY$1,INDEX(Monthly!$B$2:$B$61,AY$1-$A42+1),0)</f>
        <v/>
      </c>
      <c r="AZ42" s="47">
        <f>IF($A42&lt;=AZ$1,INDEX(Monthly!$B$2:$B$61,AZ$1-$A42+1),0)</f>
        <v/>
      </c>
      <c r="BA42" s="47">
        <f>IF($A42&lt;=BA$1,INDEX(Monthly!$B$2:$B$61,BA$1-$A42+1),0)</f>
        <v/>
      </c>
      <c r="BB42" s="47">
        <f>IF($A42&lt;=BB$1,INDEX(Monthly!$B$2:$B$61,BB$1-$A42+1),0)</f>
        <v/>
      </c>
      <c r="BC42" s="47">
        <f>IF($A42&lt;=BC$1,INDEX(Monthly!$B$2:$B$61,BC$1-$A42+1),0)</f>
        <v/>
      </c>
      <c r="BD42" s="47">
        <f>IF($A42&lt;=BD$1,INDEX(Monthly!$B$2:$B$61,BD$1-$A42+1),0)</f>
        <v/>
      </c>
      <c r="BE42" s="47">
        <f>IF($A42&lt;=BE$1,INDEX(Monthly!$B$2:$B$61,BE$1-$A42+1),0)</f>
        <v/>
      </c>
      <c r="BF42" s="47">
        <f>IF($A42&lt;=BF$1,INDEX(Monthly!$B$2:$B$61,BF$1-$A42+1),0)</f>
        <v/>
      </c>
      <c r="BG42" s="47">
        <f>IF($A42&lt;=BG$1,INDEX(Monthly!$B$2:$B$61,BG$1-$A42+1),0)</f>
        <v/>
      </c>
      <c r="BH42" s="47">
        <f>IF($A42&lt;=BH$1,INDEX(Monthly!$B$2:$B$61,BH$1-$A42+1),0)</f>
        <v/>
      </c>
      <c r="BI42" s="47">
        <f>IF($A42&lt;=BI$1,INDEX(Monthly!$B$2:$B$61,BI$1-$A42+1),0)</f>
        <v/>
      </c>
    </row>
    <row r="43">
      <c r="A43" s="3" t="n">
        <v>42</v>
      </c>
      <c r="B43" s="47">
        <f>IF($A43&lt;=B$1,INDEX(Monthly!$B$2:$B$61,B$1-$A43+1),0)</f>
        <v/>
      </c>
      <c r="C43" s="47">
        <f>IF($A43&lt;=C$1,INDEX(Monthly!$B$2:$B$61,C$1-$A43+1),0)</f>
        <v/>
      </c>
      <c r="D43" s="47">
        <f>IF($A43&lt;=D$1,INDEX(Monthly!$B$2:$B$61,D$1-$A43+1),0)</f>
        <v/>
      </c>
      <c r="E43" s="47">
        <f>IF($A43&lt;=E$1,INDEX(Monthly!$B$2:$B$61,E$1-$A43+1),0)</f>
        <v/>
      </c>
      <c r="F43" s="47">
        <f>IF($A43&lt;=F$1,INDEX(Monthly!$B$2:$B$61,F$1-$A43+1),0)</f>
        <v/>
      </c>
      <c r="G43" s="47">
        <f>IF($A43&lt;=G$1,INDEX(Monthly!$B$2:$B$61,G$1-$A43+1),0)</f>
        <v/>
      </c>
      <c r="H43" s="47">
        <f>IF($A43&lt;=H$1,INDEX(Monthly!$B$2:$B$61,H$1-$A43+1),0)</f>
        <v/>
      </c>
      <c r="I43" s="47">
        <f>IF($A43&lt;=I$1,INDEX(Monthly!$B$2:$B$61,I$1-$A43+1),0)</f>
        <v/>
      </c>
      <c r="J43" s="47">
        <f>IF($A43&lt;=J$1,INDEX(Monthly!$B$2:$B$61,J$1-$A43+1),0)</f>
        <v/>
      </c>
      <c r="K43" s="47">
        <f>IF($A43&lt;=K$1,INDEX(Monthly!$B$2:$B$61,K$1-$A43+1),0)</f>
        <v/>
      </c>
      <c r="L43" s="47">
        <f>IF($A43&lt;=L$1,INDEX(Monthly!$B$2:$B$61,L$1-$A43+1),0)</f>
        <v/>
      </c>
      <c r="M43" s="47">
        <f>IF($A43&lt;=M$1,INDEX(Monthly!$B$2:$B$61,M$1-$A43+1),0)</f>
        <v/>
      </c>
      <c r="N43" s="47">
        <f>IF($A43&lt;=N$1,INDEX(Monthly!$B$2:$B$61,N$1-$A43+1),0)</f>
        <v/>
      </c>
      <c r="O43" s="47">
        <f>IF($A43&lt;=O$1,INDEX(Monthly!$B$2:$B$61,O$1-$A43+1),0)</f>
        <v/>
      </c>
      <c r="P43" s="47">
        <f>IF($A43&lt;=P$1,INDEX(Monthly!$B$2:$B$61,P$1-$A43+1),0)</f>
        <v/>
      </c>
      <c r="Q43" s="47">
        <f>IF($A43&lt;=Q$1,INDEX(Monthly!$B$2:$B$61,Q$1-$A43+1),0)</f>
        <v/>
      </c>
      <c r="R43" s="47">
        <f>IF($A43&lt;=R$1,INDEX(Monthly!$B$2:$B$61,R$1-$A43+1),0)</f>
        <v/>
      </c>
      <c r="S43" s="47">
        <f>IF($A43&lt;=S$1,INDEX(Monthly!$B$2:$B$61,S$1-$A43+1),0)</f>
        <v/>
      </c>
      <c r="T43" s="47">
        <f>IF($A43&lt;=T$1,INDEX(Monthly!$B$2:$B$61,T$1-$A43+1),0)</f>
        <v/>
      </c>
      <c r="U43" s="47">
        <f>IF($A43&lt;=U$1,INDEX(Monthly!$B$2:$B$61,U$1-$A43+1),0)</f>
        <v/>
      </c>
      <c r="V43" s="47">
        <f>IF($A43&lt;=V$1,INDEX(Monthly!$B$2:$B$61,V$1-$A43+1),0)</f>
        <v/>
      </c>
      <c r="W43" s="47">
        <f>IF($A43&lt;=W$1,INDEX(Monthly!$B$2:$B$61,W$1-$A43+1),0)</f>
        <v/>
      </c>
      <c r="X43" s="47">
        <f>IF($A43&lt;=X$1,INDEX(Monthly!$B$2:$B$61,X$1-$A43+1),0)</f>
        <v/>
      </c>
      <c r="Y43" s="47">
        <f>IF($A43&lt;=Y$1,INDEX(Monthly!$B$2:$B$61,Y$1-$A43+1),0)</f>
        <v/>
      </c>
      <c r="Z43" s="47">
        <f>IF($A43&lt;=Z$1,INDEX(Monthly!$B$2:$B$61,Z$1-$A43+1),0)</f>
        <v/>
      </c>
      <c r="AA43" s="47">
        <f>IF($A43&lt;=AA$1,INDEX(Monthly!$B$2:$B$61,AA$1-$A43+1),0)</f>
        <v/>
      </c>
      <c r="AB43" s="47">
        <f>IF($A43&lt;=AB$1,INDEX(Monthly!$B$2:$B$61,AB$1-$A43+1),0)</f>
        <v/>
      </c>
      <c r="AC43" s="47">
        <f>IF($A43&lt;=AC$1,INDEX(Monthly!$B$2:$B$61,AC$1-$A43+1),0)</f>
        <v/>
      </c>
      <c r="AD43" s="47">
        <f>IF($A43&lt;=AD$1,INDEX(Monthly!$B$2:$B$61,AD$1-$A43+1),0)</f>
        <v/>
      </c>
      <c r="AE43" s="47">
        <f>IF($A43&lt;=AE$1,INDEX(Monthly!$B$2:$B$61,AE$1-$A43+1),0)</f>
        <v/>
      </c>
      <c r="AF43" s="47">
        <f>IF($A43&lt;=AF$1,INDEX(Monthly!$B$2:$B$61,AF$1-$A43+1),0)</f>
        <v/>
      </c>
      <c r="AG43" s="47">
        <f>IF($A43&lt;=AG$1,INDEX(Monthly!$B$2:$B$61,AG$1-$A43+1),0)</f>
        <v/>
      </c>
      <c r="AH43" s="47">
        <f>IF($A43&lt;=AH$1,INDEX(Monthly!$B$2:$B$61,AH$1-$A43+1),0)</f>
        <v/>
      </c>
      <c r="AI43" s="47">
        <f>IF($A43&lt;=AI$1,INDEX(Monthly!$B$2:$B$61,AI$1-$A43+1),0)</f>
        <v/>
      </c>
      <c r="AJ43" s="47">
        <f>IF($A43&lt;=AJ$1,INDEX(Monthly!$B$2:$B$61,AJ$1-$A43+1),0)</f>
        <v/>
      </c>
      <c r="AK43" s="47">
        <f>IF($A43&lt;=AK$1,INDEX(Monthly!$B$2:$B$61,AK$1-$A43+1),0)</f>
        <v/>
      </c>
      <c r="AL43" s="47">
        <f>IF($A43&lt;=AL$1,INDEX(Monthly!$B$2:$B$61,AL$1-$A43+1),0)</f>
        <v/>
      </c>
      <c r="AM43" s="47">
        <f>IF($A43&lt;=AM$1,INDEX(Monthly!$B$2:$B$61,AM$1-$A43+1),0)</f>
        <v/>
      </c>
      <c r="AN43" s="47">
        <f>IF($A43&lt;=AN$1,INDEX(Monthly!$B$2:$B$61,AN$1-$A43+1),0)</f>
        <v/>
      </c>
      <c r="AO43" s="47">
        <f>IF($A43&lt;=AO$1,INDEX(Monthly!$B$2:$B$61,AO$1-$A43+1),0)</f>
        <v/>
      </c>
      <c r="AP43" s="47">
        <f>IF($A43&lt;=AP$1,INDEX(Monthly!$B$2:$B$61,AP$1-$A43+1),0)</f>
        <v/>
      </c>
      <c r="AQ43" s="47">
        <f>IF($A43&lt;=AQ$1,INDEX(Monthly!$B$2:$B$61,AQ$1-$A43+1),0)</f>
        <v/>
      </c>
      <c r="AR43" s="47">
        <f>IF($A43&lt;=AR$1,INDEX(Monthly!$B$2:$B$61,AR$1-$A43+1),0)</f>
        <v/>
      </c>
      <c r="AS43" s="47">
        <f>IF($A43&lt;=AS$1,INDEX(Monthly!$B$2:$B$61,AS$1-$A43+1),0)</f>
        <v/>
      </c>
      <c r="AT43" s="47">
        <f>IF($A43&lt;=AT$1,INDEX(Monthly!$B$2:$B$61,AT$1-$A43+1),0)</f>
        <v/>
      </c>
      <c r="AU43" s="47">
        <f>IF($A43&lt;=AU$1,INDEX(Monthly!$B$2:$B$61,AU$1-$A43+1),0)</f>
        <v/>
      </c>
      <c r="AV43" s="47">
        <f>IF($A43&lt;=AV$1,INDEX(Monthly!$B$2:$B$61,AV$1-$A43+1),0)</f>
        <v/>
      </c>
      <c r="AW43" s="47">
        <f>IF($A43&lt;=AW$1,INDEX(Monthly!$B$2:$B$61,AW$1-$A43+1),0)</f>
        <v/>
      </c>
      <c r="AX43" s="47">
        <f>IF($A43&lt;=AX$1,INDEX(Monthly!$B$2:$B$61,AX$1-$A43+1),0)</f>
        <v/>
      </c>
      <c r="AY43" s="47">
        <f>IF($A43&lt;=AY$1,INDEX(Monthly!$B$2:$B$61,AY$1-$A43+1),0)</f>
        <v/>
      </c>
      <c r="AZ43" s="47">
        <f>IF($A43&lt;=AZ$1,INDEX(Monthly!$B$2:$B$61,AZ$1-$A43+1),0)</f>
        <v/>
      </c>
      <c r="BA43" s="47">
        <f>IF($A43&lt;=BA$1,INDEX(Monthly!$B$2:$B$61,BA$1-$A43+1),0)</f>
        <v/>
      </c>
      <c r="BB43" s="47">
        <f>IF($A43&lt;=BB$1,INDEX(Monthly!$B$2:$B$61,BB$1-$A43+1),0)</f>
        <v/>
      </c>
      <c r="BC43" s="47">
        <f>IF($A43&lt;=BC$1,INDEX(Monthly!$B$2:$B$61,BC$1-$A43+1),0)</f>
        <v/>
      </c>
      <c r="BD43" s="47">
        <f>IF($A43&lt;=BD$1,INDEX(Monthly!$B$2:$B$61,BD$1-$A43+1),0)</f>
        <v/>
      </c>
      <c r="BE43" s="47">
        <f>IF($A43&lt;=BE$1,INDEX(Monthly!$B$2:$B$61,BE$1-$A43+1),0)</f>
        <v/>
      </c>
      <c r="BF43" s="47">
        <f>IF($A43&lt;=BF$1,INDEX(Monthly!$B$2:$B$61,BF$1-$A43+1),0)</f>
        <v/>
      </c>
      <c r="BG43" s="47">
        <f>IF($A43&lt;=BG$1,INDEX(Monthly!$B$2:$B$61,BG$1-$A43+1),0)</f>
        <v/>
      </c>
      <c r="BH43" s="47">
        <f>IF($A43&lt;=BH$1,INDEX(Monthly!$B$2:$B$61,BH$1-$A43+1),0)</f>
        <v/>
      </c>
      <c r="BI43" s="47">
        <f>IF($A43&lt;=BI$1,INDEX(Monthly!$B$2:$B$61,BI$1-$A43+1),0)</f>
        <v/>
      </c>
    </row>
    <row r="44">
      <c r="A44" s="3" t="n">
        <v>43</v>
      </c>
      <c r="B44" s="47">
        <f>IF($A44&lt;=B$1,INDEX(Monthly!$B$2:$B$61,B$1-$A44+1),0)</f>
        <v/>
      </c>
      <c r="C44" s="47">
        <f>IF($A44&lt;=C$1,INDEX(Monthly!$B$2:$B$61,C$1-$A44+1),0)</f>
        <v/>
      </c>
      <c r="D44" s="47">
        <f>IF($A44&lt;=D$1,INDEX(Monthly!$B$2:$B$61,D$1-$A44+1),0)</f>
        <v/>
      </c>
      <c r="E44" s="47">
        <f>IF($A44&lt;=E$1,INDEX(Monthly!$B$2:$B$61,E$1-$A44+1),0)</f>
        <v/>
      </c>
      <c r="F44" s="47">
        <f>IF($A44&lt;=F$1,INDEX(Monthly!$B$2:$B$61,F$1-$A44+1),0)</f>
        <v/>
      </c>
      <c r="G44" s="47">
        <f>IF($A44&lt;=G$1,INDEX(Monthly!$B$2:$B$61,G$1-$A44+1),0)</f>
        <v/>
      </c>
      <c r="H44" s="47">
        <f>IF($A44&lt;=H$1,INDEX(Monthly!$B$2:$B$61,H$1-$A44+1),0)</f>
        <v/>
      </c>
      <c r="I44" s="47">
        <f>IF($A44&lt;=I$1,INDEX(Monthly!$B$2:$B$61,I$1-$A44+1),0)</f>
        <v/>
      </c>
      <c r="J44" s="47">
        <f>IF($A44&lt;=J$1,INDEX(Monthly!$B$2:$B$61,J$1-$A44+1),0)</f>
        <v/>
      </c>
      <c r="K44" s="47">
        <f>IF($A44&lt;=K$1,INDEX(Monthly!$B$2:$B$61,K$1-$A44+1),0)</f>
        <v/>
      </c>
      <c r="L44" s="47">
        <f>IF($A44&lt;=L$1,INDEX(Monthly!$B$2:$B$61,L$1-$A44+1),0)</f>
        <v/>
      </c>
      <c r="M44" s="47">
        <f>IF($A44&lt;=M$1,INDEX(Monthly!$B$2:$B$61,M$1-$A44+1),0)</f>
        <v/>
      </c>
      <c r="N44" s="47">
        <f>IF($A44&lt;=N$1,INDEX(Monthly!$B$2:$B$61,N$1-$A44+1),0)</f>
        <v/>
      </c>
      <c r="O44" s="47">
        <f>IF($A44&lt;=O$1,INDEX(Monthly!$B$2:$B$61,O$1-$A44+1),0)</f>
        <v/>
      </c>
      <c r="P44" s="47">
        <f>IF($A44&lt;=P$1,INDEX(Monthly!$B$2:$B$61,P$1-$A44+1),0)</f>
        <v/>
      </c>
      <c r="Q44" s="47">
        <f>IF($A44&lt;=Q$1,INDEX(Monthly!$B$2:$B$61,Q$1-$A44+1),0)</f>
        <v/>
      </c>
      <c r="R44" s="47">
        <f>IF($A44&lt;=R$1,INDEX(Monthly!$B$2:$B$61,R$1-$A44+1),0)</f>
        <v/>
      </c>
      <c r="S44" s="47">
        <f>IF($A44&lt;=S$1,INDEX(Monthly!$B$2:$B$61,S$1-$A44+1),0)</f>
        <v/>
      </c>
      <c r="T44" s="47">
        <f>IF($A44&lt;=T$1,INDEX(Monthly!$B$2:$B$61,T$1-$A44+1),0)</f>
        <v/>
      </c>
      <c r="U44" s="47">
        <f>IF($A44&lt;=U$1,INDEX(Monthly!$B$2:$B$61,U$1-$A44+1),0)</f>
        <v/>
      </c>
      <c r="V44" s="47">
        <f>IF($A44&lt;=V$1,INDEX(Monthly!$B$2:$B$61,V$1-$A44+1),0)</f>
        <v/>
      </c>
      <c r="W44" s="47">
        <f>IF($A44&lt;=W$1,INDEX(Monthly!$B$2:$B$61,W$1-$A44+1),0)</f>
        <v/>
      </c>
      <c r="X44" s="47">
        <f>IF($A44&lt;=X$1,INDEX(Monthly!$B$2:$B$61,X$1-$A44+1),0)</f>
        <v/>
      </c>
      <c r="Y44" s="47">
        <f>IF($A44&lt;=Y$1,INDEX(Monthly!$B$2:$B$61,Y$1-$A44+1),0)</f>
        <v/>
      </c>
      <c r="Z44" s="47">
        <f>IF($A44&lt;=Z$1,INDEX(Monthly!$B$2:$B$61,Z$1-$A44+1),0)</f>
        <v/>
      </c>
      <c r="AA44" s="47">
        <f>IF($A44&lt;=AA$1,INDEX(Monthly!$B$2:$B$61,AA$1-$A44+1),0)</f>
        <v/>
      </c>
      <c r="AB44" s="47">
        <f>IF($A44&lt;=AB$1,INDEX(Monthly!$B$2:$B$61,AB$1-$A44+1),0)</f>
        <v/>
      </c>
      <c r="AC44" s="47">
        <f>IF($A44&lt;=AC$1,INDEX(Monthly!$B$2:$B$61,AC$1-$A44+1),0)</f>
        <v/>
      </c>
      <c r="AD44" s="47">
        <f>IF($A44&lt;=AD$1,INDEX(Monthly!$B$2:$B$61,AD$1-$A44+1),0)</f>
        <v/>
      </c>
      <c r="AE44" s="47">
        <f>IF($A44&lt;=AE$1,INDEX(Monthly!$B$2:$B$61,AE$1-$A44+1),0)</f>
        <v/>
      </c>
      <c r="AF44" s="47">
        <f>IF($A44&lt;=AF$1,INDEX(Monthly!$B$2:$B$61,AF$1-$A44+1),0)</f>
        <v/>
      </c>
      <c r="AG44" s="47">
        <f>IF($A44&lt;=AG$1,INDEX(Monthly!$B$2:$B$61,AG$1-$A44+1),0)</f>
        <v/>
      </c>
      <c r="AH44" s="47">
        <f>IF($A44&lt;=AH$1,INDEX(Monthly!$B$2:$B$61,AH$1-$A44+1),0)</f>
        <v/>
      </c>
      <c r="AI44" s="47">
        <f>IF($A44&lt;=AI$1,INDEX(Monthly!$B$2:$B$61,AI$1-$A44+1),0)</f>
        <v/>
      </c>
      <c r="AJ44" s="47">
        <f>IF($A44&lt;=AJ$1,INDEX(Monthly!$B$2:$B$61,AJ$1-$A44+1),0)</f>
        <v/>
      </c>
      <c r="AK44" s="47">
        <f>IF($A44&lt;=AK$1,INDEX(Monthly!$B$2:$B$61,AK$1-$A44+1),0)</f>
        <v/>
      </c>
      <c r="AL44" s="47">
        <f>IF($A44&lt;=AL$1,INDEX(Monthly!$B$2:$B$61,AL$1-$A44+1),0)</f>
        <v/>
      </c>
      <c r="AM44" s="47">
        <f>IF($A44&lt;=AM$1,INDEX(Monthly!$B$2:$B$61,AM$1-$A44+1),0)</f>
        <v/>
      </c>
      <c r="AN44" s="47">
        <f>IF($A44&lt;=AN$1,INDEX(Monthly!$B$2:$B$61,AN$1-$A44+1),0)</f>
        <v/>
      </c>
      <c r="AO44" s="47">
        <f>IF($A44&lt;=AO$1,INDEX(Monthly!$B$2:$B$61,AO$1-$A44+1),0)</f>
        <v/>
      </c>
      <c r="AP44" s="47">
        <f>IF($A44&lt;=AP$1,INDEX(Monthly!$B$2:$B$61,AP$1-$A44+1),0)</f>
        <v/>
      </c>
      <c r="AQ44" s="47">
        <f>IF($A44&lt;=AQ$1,INDEX(Monthly!$B$2:$B$61,AQ$1-$A44+1),0)</f>
        <v/>
      </c>
      <c r="AR44" s="47">
        <f>IF($A44&lt;=AR$1,INDEX(Monthly!$B$2:$B$61,AR$1-$A44+1),0)</f>
        <v/>
      </c>
      <c r="AS44" s="47">
        <f>IF($A44&lt;=AS$1,INDEX(Monthly!$B$2:$B$61,AS$1-$A44+1),0)</f>
        <v/>
      </c>
      <c r="AT44" s="47">
        <f>IF($A44&lt;=AT$1,INDEX(Monthly!$B$2:$B$61,AT$1-$A44+1),0)</f>
        <v/>
      </c>
      <c r="AU44" s="47">
        <f>IF($A44&lt;=AU$1,INDEX(Monthly!$B$2:$B$61,AU$1-$A44+1),0)</f>
        <v/>
      </c>
      <c r="AV44" s="47">
        <f>IF($A44&lt;=AV$1,INDEX(Monthly!$B$2:$B$61,AV$1-$A44+1),0)</f>
        <v/>
      </c>
      <c r="AW44" s="47">
        <f>IF($A44&lt;=AW$1,INDEX(Monthly!$B$2:$B$61,AW$1-$A44+1),0)</f>
        <v/>
      </c>
      <c r="AX44" s="47">
        <f>IF($A44&lt;=AX$1,INDEX(Monthly!$B$2:$B$61,AX$1-$A44+1),0)</f>
        <v/>
      </c>
      <c r="AY44" s="47">
        <f>IF($A44&lt;=AY$1,INDEX(Monthly!$B$2:$B$61,AY$1-$A44+1),0)</f>
        <v/>
      </c>
      <c r="AZ44" s="47">
        <f>IF($A44&lt;=AZ$1,INDEX(Monthly!$B$2:$B$61,AZ$1-$A44+1),0)</f>
        <v/>
      </c>
      <c r="BA44" s="47">
        <f>IF($A44&lt;=BA$1,INDEX(Monthly!$B$2:$B$61,BA$1-$A44+1),0)</f>
        <v/>
      </c>
      <c r="BB44" s="47">
        <f>IF($A44&lt;=BB$1,INDEX(Monthly!$B$2:$B$61,BB$1-$A44+1),0)</f>
        <v/>
      </c>
      <c r="BC44" s="47">
        <f>IF($A44&lt;=BC$1,INDEX(Monthly!$B$2:$B$61,BC$1-$A44+1),0)</f>
        <v/>
      </c>
      <c r="BD44" s="47">
        <f>IF($A44&lt;=BD$1,INDEX(Monthly!$B$2:$B$61,BD$1-$A44+1),0)</f>
        <v/>
      </c>
      <c r="BE44" s="47">
        <f>IF($A44&lt;=BE$1,INDEX(Monthly!$B$2:$B$61,BE$1-$A44+1),0)</f>
        <v/>
      </c>
      <c r="BF44" s="47">
        <f>IF($A44&lt;=BF$1,INDEX(Monthly!$B$2:$B$61,BF$1-$A44+1),0)</f>
        <v/>
      </c>
      <c r="BG44" s="47">
        <f>IF($A44&lt;=BG$1,INDEX(Monthly!$B$2:$B$61,BG$1-$A44+1),0)</f>
        <v/>
      </c>
      <c r="BH44" s="47">
        <f>IF($A44&lt;=BH$1,INDEX(Monthly!$B$2:$B$61,BH$1-$A44+1),0)</f>
        <v/>
      </c>
      <c r="BI44" s="47">
        <f>IF($A44&lt;=BI$1,INDEX(Monthly!$B$2:$B$61,BI$1-$A44+1),0)</f>
        <v/>
      </c>
    </row>
    <row r="45">
      <c r="A45" s="3" t="n">
        <v>44</v>
      </c>
      <c r="B45" s="47">
        <f>IF($A45&lt;=B$1,INDEX(Monthly!$B$2:$B$61,B$1-$A45+1),0)</f>
        <v/>
      </c>
      <c r="C45" s="47">
        <f>IF($A45&lt;=C$1,INDEX(Monthly!$B$2:$B$61,C$1-$A45+1),0)</f>
        <v/>
      </c>
      <c r="D45" s="47">
        <f>IF($A45&lt;=D$1,INDEX(Monthly!$B$2:$B$61,D$1-$A45+1),0)</f>
        <v/>
      </c>
      <c r="E45" s="47">
        <f>IF($A45&lt;=E$1,INDEX(Monthly!$B$2:$B$61,E$1-$A45+1),0)</f>
        <v/>
      </c>
      <c r="F45" s="47">
        <f>IF($A45&lt;=F$1,INDEX(Monthly!$B$2:$B$61,F$1-$A45+1),0)</f>
        <v/>
      </c>
      <c r="G45" s="47">
        <f>IF($A45&lt;=G$1,INDEX(Monthly!$B$2:$B$61,G$1-$A45+1),0)</f>
        <v/>
      </c>
      <c r="H45" s="47">
        <f>IF($A45&lt;=H$1,INDEX(Monthly!$B$2:$B$61,H$1-$A45+1),0)</f>
        <v/>
      </c>
      <c r="I45" s="47">
        <f>IF($A45&lt;=I$1,INDEX(Monthly!$B$2:$B$61,I$1-$A45+1),0)</f>
        <v/>
      </c>
      <c r="J45" s="47">
        <f>IF($A45&lt;=J$1,INDEX(Monthly!$B$2:$B$61,J$1-$A45+1),0)</f>
        <v/>
      </c>
      <c r="K45" s="47">
        <f>IF($A45&lt;=K$1,INDEX(Monthly!$B$2:$B$61,K$1-$A45+1),0)</f>
        <v/>
      </c>
      <c r="L45" s="47">
        <f>IF($A45&lt;=L$1,INDEX(Monthly!$B$2:$B$61,L$1-$A45+1),0)</f>
        <v/>
      </c>
      <c r="M45" s="47">
        <f>IF($A45&lt;=M$1,INDEX(Monthly!$B$2:$B$61,M$1-$A45+1),0)</f>
        <v/>
      </c>
      <c r="N45" s="47">
        <f>IF($A45&lt;=N$1,INDEX(Monthly!$B$2:$B$61,N$1-$A45+1),0)</f>
        <v/>
      </c>
      <c r="O45" s="47">
        <f>IF($A45&lt;=O$1,INDEX(Monthly!$B$2:$B$61,O$1-$A45+1),0)</f>
        <v/>
      </c>
      <c r="P45" s="47">
        <f>IF($A45&lt;=P$1,INDEX(Monthly!$B$2:$B$61,P$1-$A45+1),0)</f>
        <v/>
      </c>
      <c r="Q45" s="47">
        <f>IF($A45&lt;=Q$1,INDEX(Monthly!$B$2:$B$61,Q$1-$A45+1),0)</f>
        <v/>
      </c>
      <c r="R45" s="47">
        <f>IF($A45&lt;=R$1,INDEX(Monthly!$B$2:$B$61,R$1-$A45+1),0)</f>
        <v/>
      </c>
      <c r="S45" s="47">
        <f>IF($A45&lt;=S$1,INDEX(Monthly!$B$2:$B$61,S$1-$A45+1),0)</f>
        <v/>
      </c>
      <c r="T45" s="47">
        <f>IF($A45&lt;=T$1,INDEX(Monthly!$B$2:$B$61,T$1-$A45+1),0)</f>
        <v/>
      </c>
      <c r="U45" s="47">
        <f>IF($A45&lt;=U$1,INDEX(Monthly!$B$2:$B$61,U$1-$A45+1),0)</f>
        <v/>
      </c>
      <c r="V45" s="47">
        <f>IF($A45&lt;=V$1,INDEX(Monthly!$B$2:$B$61,V$1-$A45+1),0)</f>
        <v/>
      </c>
      <c r="W45" s="47">
        <f>IF($A45&lt;=W$1,INDEX(Monthly!$B$2:$B$61,W$1-$A45+1),0)</f>
        <v/>
      </c>
      <c r="X45" s="47">
        <f>IF($A45&lt;=X$1,INDEX(Monthly!$B$2:$B$61,X$1-$A45+1),0)</f>
        <v/>
      </c>
      <c r="Y45" s="47">
        <f>IF($A45&lt;=Y$1,INDEX(Monthly!$B$2:$B$61,Y$1-$A45+1),0)</f>
        <v/>
      </c>
      <c r="Z45" s="47">
        <f>IF($A45&lt;=Z$1,INDEX(Monthly!$B$2:$B$61,Z$1-$A45+1),0)</f>
        <v/>
      </c>
      <c r="AA45" s="47">
        <f>IF($A45&lt;=AA$1,INDEX(Monthly!$B$2:$B$61,AA$1-$A45+1),0)</f>
        <v/>
      </c>
      <c r="AB45" s="47">
        <f>IF($A45&lt;=AB$1,INDEX(Monthly!$B$2:$B$61,AB$1-$A45+1),0)</f>
        <v/>
      </c>
      <c r="AC45" s="47">
        <f>IF($A45&lt;=AC$1,INDEX(Monthly!$B$2:$B$61,AC$1-$A45+1),0)</f>
        <v/>
      </c>
      <c r="AD45" s="47">
        <f>IF($A45&lt;=AD$1,INDEX(Monthly!$B$2:$B$61,AD$1-$A45+1),0)</f>
        <v/>
      </c>
      <c r="AE45" s="47">
        <f>IF($A45&lt;=AE$1,INDEX(Monthly!$B$2:$B$61,AE$1-$A45+1),0)</f>
        <v/>
      </c>
      <c r="AF45" s="47">
        <f>IF($A45&lt;=AF$1,INDEX(Monthly!$B$2:$B$61,AF$1-$A45+1),0)</f>
        <v/>
      </c>
      <c r="AG45" s="47">
        <f>IF($A45&lt;=AG$1,INDEX(Monthly!$B$2:$B$61,AG$1-$A45+1),0)</f>
        <v/>
      </c>
      <c r="AH45" s="47">
        <f>IF($A45&lt;=AH$1,INDEX(Monthly!$B$2:$B$61,AH$1-$A45+1),0)</f>
        <v/>
      </c>
      <c r="AI45" s="47">
        <f>IF($A45&lt;=AI$1,INDEX(Monthly!$B$2:$B$61,AI$1-$A45+1),0)</f>
        <v/>
      </c>
      <c r="AJ45" s="47">
        <f>IF($A45&lt;=AJ$1,INDEX(Monthly!$B$2:$B$61,AJ$1-$A45+1),0)</f>
        <v/>
      </c>
      <c r="AK45" s="47">
        <f>IF($A45&lt;=AK$1,INDEX(Monthly!$B$2:$B$61,AK$1-$A45+1),0)</f>
        <v/>
      </c>
      <c r="AL45" s="47">
        <f>IF($A45&lt;=AL$1,INDEX(Monthly!$B$2:$B$61,AL$1-$A45+1),0)</f>
        <v/>
      </c>
      <c r="AM45" s="47">
        <f>IF($A45&lt;=AM$1,INDEX(Monthly!$B$2:$B$61,AM$1-$A45+1),0)</f>
        <v/>
      </c>
      <c r="AN45" s="47">
        <f>IF($A45&lt;=AN$1,INDEX(Monthly!$B$2:$B$61,AN$1-$A45+1),0)</f>
        <v/>
      </c>
      <c r="AO45" s="47">
        <f>IF($A45&lt;=AO$1,INDEX(Monthly!$B$2:$B$61,AO$1-$A45+1),0)</f>
        <v/>
      </c>
      <c r="AP45" s="47">
        <f>IF($A45&lt;=AP$1,INDEX(Monthly!$B$2:$B$61,AP$1-$A45+1),0)</f>
        <v/>
      </c>
      <c r="AQ45" s="47">
        <f>IF($A45&lt;=AQ$1,INDEX(Monthly!$B$2:$B$61,AQ$1-$A45+1),0)</f>
        <v/>
      </c>
      <c r="AR45" s="47">
        <f>IF($A45&lt;=AR$1,INDEX(Monthly!$B$2:$B$61,AR$1-$A45+1),0)</f>
        <v/>
      </c>
      <c r="AS45" s="47">
        <f>IF($A45&lt;=AS$1,INDEX(Monthly!$B$2:$B$61,AS$1-$A45+1),0)</f>
        <v/>
      </c>
      <c r="AT45" s="47">
        <f>IF($A45&lt;=AT$1,INDEX(Monthly!$B$2:$B$61,AT$1-$A45+1),0)</f>
        <v/>
      </c>
      <c r="AU45" s="47">
        <f>IF($A45&lt;=AU$1,INDEX(Monthly!$B$2:$B$61,AU$1-$A45+1),0)</f>
        <v/>
      </c>
      <c r="AV45" s="47">
        <f>IF($A45&lt;=AV$1,INDEX(Monthly!$B$2:$B$61,AV$1-$A45+1),0)</f>
        <v/>
      </c>
      <c r="AW45" s="47">
        <f>IF($A45&lt;=AW$1,INDEX(Monthly!$B$2:$B$61,AW$1-$A45+1),0)</f>
        <v/>
      </c>
      <c r="AX45" s="47">
        <f>IF($A45&lt;=AX$1,INDEX(Monthly!$B$2:$B$61,AX$1-$A45+1),0)</f>
        <v/>
      </c>
      <c r="AY45" s="47">
        <f>IF($A45&lt;=AY$1,INDEX(Monthly!$B$2:$B$61,AY$1-$A45+1),0)</f>
        <v/>
      </c>
      <c r="AZ45" s="47">
        <f>IF($A45&lt;=AZ$1,INDEX(Monthly!$B$2:$B$61,AZ$1-$A45+1),0)</f>
        <v/>
      </c>
      <c r="BA45" s="47">
        <f>IF($A45&lt;=BA$1,INDEX(Monthly!$B$2:$B$61,BA$1-$A45+1),0)</f>
        <v/>
      </c>
      <c r="BB45" s="47">
        <f>IF($A45&lt;=BB$1,INDEX(Monthly!$B$2:$B$61,BB$1-$A45+1),0)</f>
        <v/>
      </c>
      <c r="BC45" s="47">
        <f>IF($A45&lt;=BC$1,INDEX(Monthly!$B$2:$B$61,BC$1-$A45+1),0)</f>
        <v/>
      </c>
      <c r="BD45" s="47">
        <f>IF($A45&lt;=BD$1,INDEX(Monthly!$B$2:$B$61,BD$1-$A45+1),0)</f>
        <v/>
      </c>
      <c r="BE45" s="47">
        <f>IF($A45&lt;=BE$1,INDEX(Monthly!$B$2:$B$61,BE$1-$A45+1),0)</f>
        <v/>
      </c>
      <c r="BF45" s="47">
        <f>IF($A45&lt;=BF$1,INDEX(Monthly!$B$2:$B$61,BF$1-$A45+1),0)</f>
        <v/>
      </c>
      <c r="BG45" s="47">
        <f>IF($A45&lt;=BG$1,INDEX(Monthly!$B$2:$B$61,BG$1-$A45+1),0)</f>
        <v/>
      </c>
      <c r="BH45" s="47">
        <f>IF($A45&lt;=BH$1,INDEX(Monthly!$B$2:$B$61,BH$1-$A45+1),0)</f>
        <v/>
      </c>
      <c r="BI45" s="47">
        <f>IF($A45&lt;=BI$1,INDEX(Monthly!$B$2:$B$61,BI$1-$A45+1),0)</f>
        <v/>
      </c>
    </row>
    <row r="46">
      <c r="A46" s="3" t="n">
        <v>45</v>
      </c>
      <c r="B46" s="47">
        <f>IF($A46&lt;=B$1,INDEX(Monthly!$B$2:$B$61,B$1-$A46+1),0)</f>
        <v/>
      </c>
      <c r="C46" s="47">
        <f>IF($A46&lt;=C$1,INDEX(Monthly!$B$2:$B$61,C$1-$A46+1),0)</f>
        <v/>
      </c>
      <c r="D46" s="47">
        <f>IF($A46&lt;=D$1,INDEX(Monthly!$B$2:$B$61,D$1-$A46+1),0)</f>
        <v/>
      </c>
      <c r="E46" s="47">
        <f>IF($A46&lt;=E$1,INDEX(Monthly!$B$2:$B$61,E$1-$A46+1),0)</f>
        <v/>
      </c>
      <c r="F46" s="47">
        <f>IF($A46&lt;=F$1,INDEX(Monthly!$B$2:$B$61,F$1-$A46+1),0)</f>
        <v/>
      </c>
      <c r="G46" s="47">
        <f>IF($A46&lt;=G$1,INDEX(Monthly!$B$2:$B$61,G$1-$A46+1),0)</f>
        <v/>
      </c>
      <c r="H46" s="47">
        <f>IF($A46&lt;=H$1,INDEX(Monthly!$B$2:$B$61,H$1-$A46+1),0)</f>
        <v/>
      </c>
      <c r="I46" s="47">
        <f>IF($A46&lt;=I$1,INDEX(Monthly!$B$2:$B$61,I$1-$A46+1),0)</f>
        <v/>
      </c>
      <c r="J46" s="47">
        <f>IF($A46&lt;=J$1,INDEX(Monthly!$B$2:$B$61,J$1-$A46+1),0)</f>
        <v/>
      </c>
      <c r="K46" s="47">
        <f>IF($A46&lt;=K$1,INDEX(Monthly!$B$2:$B$61,K$1-$A46+1),0)</f>
        <v/>
      </c>
      <c r="L46" s="47">
        <f>IF($A46&lt;=L$1,INDEX(Monthly!$B$2:$B$61,L$1-$A46+1),0)</f>
        <v/>
      </c>
      <c r="M46" s="47">
        <f>IF($A46&lt;=M$1,INDEX(Monthly!$B$2:$B$61,M$1-$A46+1),0)</f>
        <v/>
      </c>
      <c r="N46" s="47">
        <f>IF($A46&lt;=N$1,INDEX(Monthly!$B$2:$B$61,N$1-$A46+1),0)</f>
        <v/>
      </c>
      <c r="O46" s="47">
        <f>IF($A46&lt;=O$1,INDEX(Monthly!$B$2:$B$61,O$1-$A46+1),0)</f>
        <v/>
      </c>
      <c r="P46" s="47">
        <f>IF($A46&lt;=P$1,INDEX(Monthly!$B$2:$B$61,P$1-$A46+1),0)</f>
        <v/>
      </c>
      <c r="Q46" s="47">
        <f>IF($A46&lt;=Q$1,INDEX(Monthly!$B$2:$B$61,Q$1-$A46+1),0)</f>
        <v/>
      </c>
      <c r="R46" s="47">
        <f>IF($A46&lt;=R$1,INDEX(Monthly!$B$2:$B$61,R$1-$A46+1),0)</f>
        <v/>
      </c>
      <c r="S46" s="47">
        <f>IF($A46&lt;=S$1,INDEX(Monthly!$B$2:$B$61,S$1-$A46+1),0)</f>
        <v/>
      </c>
      <c r="T46" s="47">
        <f>IF($A46&lt;=T$1,INDEX(Monthly!$B$2:$B$61,T$1-$A46+1),0)</f>
        <v/>
      </c>
      <c r="U46" s="47">
        <f>IF($A46&lt;=U$1,INDEX(Monthly!$B$2:$B$61,U$1-$A46+1),0)</f>
        <v/>
      </c>
      <c r="V46" s="47">
        <f>IF($A46&lt;=V$1,INDEX(Monthly!$B$2:$B$61,V$1-$A46+1),0)</f>
        <v/>
      </c>
      <c r="W46" s="47">
        <f>IF($A46&lt;=W$1,INDEX(Monthly!$B$2:$B$61,W$1-$A46+1),0)</f>
        <v/>
      </c>
      <c r="X46" s="47">
        <f>IF($A46&lt;=X$1,INDEX(Monthly!$B$2:$B$61,X$1-$A46+1),0)</f>
        <v/>
      </c>
      <c r="Y46" s="47">
        <f>IF($A46&lt;=Y$1,INDEX(Monthly!$B$2:$B$61,Y$1-$A46+1),0)</f>
        <v/>
      </c>
      <c r="Z46" s="47">
        <f>IF($A46&lt;=Z$1,INDEX(Monthly!$B$2:$B$61,Z$1-$A46+1),0)</f>
        <v/>
      </c>
      <c r="AA46" s="47">
        <f>IF($A46&lt;=AA$1,INDEX(Monthly!$B$2:$B$61,AA$1-$A46+1),0)</f>
        <v/>
      </c>
      <c r="AB46" s="47">
        <f>IF($A46&lt;=AB$1,INDEX(Monthly!$B$2:$B$61,AB$1-$A46+1),0)</f>
        <v/>
      </c>
      <c r="AC46" s="47">
        <f>IF($A46&lt;=AC$1,INDEX(Monthly!$B$2:$B$61,AC$1-$A46+1),0)</f>
        <v/>
      </c>
      <c r="AD46" s="47">
        <f>IF($A46&lt;=AD$1,INDEX(Monthly!$B$2:$B$61,AD$1-$A46+1),0)</f>
        <v/>
      </c>
      <c r="AE46" s="47">
        <f>IF($A46&lt;=AE$1,INDEX(Monthly!$B$2:$B$61,AE$1-$A46+1),0)</f>
        <v/>
      </c>
      <c r="AF46" s="47">
        <f>IF($A46&lt;=AF$1,INDEX(Monthly!$B$2:$B$61,AF$1-$A46+1),0)</f>
        <v/>
      </c>
      <c r="AG46" s="47">
        <f>IF($A46&lt;=AG$1,INDEX(Monthly!$B$2:$B$61,AG$1-$A46+1),0)</f>
        <v/>
      </c>
      <c r="AH46" s="47">
        <f>IF($A46&lt;=AH$1,INDEX(Monthly!$B$2:$B$61,AH$1-$A46+1),0)</f>
        <v/>
      </c>
      <c r="AI46" s="47">
        <f>IF($A46&lt;=AI$1,INDEX(Monthly!$B$2:$B$61,AI$1-$A46+1),0)</f>
        <v/>
      </c>
      <c r="AJ46" s="47">
        <f>IF($A46&lt;=AJ$1,INDEX(Monthly!$B$2:$B$61,AJ$1-$A46+1),0)</f>
        <v/>
      </c>
      <c r="AK46" s="47">
        <f>IF($A46&lt;=AK$1,INDEX(Monthly!$B$2:$B$61,AK$1-$A46+1),0)</f>
        <v/>
      </c>
      <c r="AL46" s="47">
        <f>IF($A46&lt;=AL$1,INDEX(Monthly!$B$2:$B$61,AL$1-$A46+1),0)</f>
        <v/>
      </c>
      <c r="AM46" s="47">
        <f>IF($A46&lt;=AM$1,INDEX(Monthly!$B$2:$B$61,AM$1-$A46+1),0)</f>
        <v/>
      </c>
      <c r="AN46" s="47">
        <f>IF($A46&lt;=AN$1,INDEX(Monthly!$B$2:$B$61,AN$1-$A46+1),0)</f>
        <v/>
      </c>
      <c r="AO46" s="47">
        <f>IF($A46&lt;=AO$1,INDEX(Monthly!$B$2:$B$61,AO$1-$A46+1),0)</f>
        <v/>
      </c>
      <c r="AP46" s="47">
        <f>IF($A46&lt;=AP$1,INDEX(Monthly!$B$2:$B$61,AP$1-$A46+1),0)</f>
        <v/>
      </c>
      <c r="AQ46" s="47">
        <f>IF($A46&lt;=AQ$1,INDEX(Monthly!$B$2:$B$61,AQ$1-$A46+1),0)</f>
        <v/>
      </c>
      <c r="AR46" s="47">
        <f>IF($A46&lt;=AR$1,INDEX(Monthly!$B$2:$B$61,AR$1-$A46+1),0)</f>
        <v/>
      </c>
      <c r="AS46" s="47">
        <f>IF($A46&lt;=AS$1,INDEX(Monthly!$B$2:$B$61,AS$1-$A46+1),0)</f>
        <v/>
      </c>
      <c r="AT46" s="47">
        <f>IF($A46&lt;=AT$1,INDEX(Monthly!$B$2:$B$61,AT$1-$A46+1),0)</f>
        <v/>
      </c>
      <c r="AU46" s="47">
        <f>IF($A46&lt;=AU$1,INDEX(Monthly!$B$2:$B$61,AU$1-$A46+1),0)</f>
        <v/>
      </c>
      <c r="AV46" s="47">
        <f>IF($A46&lt;=AV$1,INDEX(Monthly!$B$2:$B$61,AV$1-$A46+1),0)</f>
        <v/>
      </c>
      <c r="AW46" s="47">
        <f>IF($A46&lt;=AW$1,INDEX(Monthly!$B$2:$B$61,AW$1-$A46+1),0)</f>
        <v/>
      </c>
      <c r="AX46" s="47">
        <f>IF($A46&lt;=AX$1,INDEX(Monthly!$B$2:$B$61,AX$1-$A46+1),0)</f>
        <v/>
      </c>
      <c r="AY46" s="47">
        <f>IF($A46&lt;=AY$1,INDEX(Monthly!$B$2:$B$61,AY$1-$A46+1),0)</f>
        <v/>
      </c>
      <c r="AZ46" s="47">
        <f>IF($A46&lt;=AZ$1,INDEX(Monthly!$B$2:$B$61,AZ$1-$A46+1),0)</f>
        <v/>
      </c>
      <c r="BA46" s="47">
        <f>IF($A46&lt;=BA$1,INDEX(Monthly!$B$2:$B$61,BA$1-$A46+1),0)</f>
        <v/>
      </c>
      <c r="BB46" s="47">
        <f>IF($A46&lt;=BB$1,INDEX(Monthly!$B$2:$B$61,BB$1-$A46+1),0)</f>
        <v/>
      </c>
      <c r="BC46" s="47">
        <f>IF($A46&lt;=BC$1,INDEX(Monthly!$B$2:$B$61,BC$1-$A46+1),0)</f>
        <v/>
      </c>
      <c r="BD46" s="47">
        <f>IF($A46&lt;=BD$1,INDEX(Monthly!$B$2:$B$61,BD$1-$A46+1),0)</f>
        <v/>
      </c>
      <c r="BE46" s="47">
        <f>IF($A46&lt;=BE$1,INDEX(Monthly!$B$2:$B$61,BE$1-$A46+1),0)</f>
        <v/>
      </c>
      <c r="BF46" s="47">
        <f>IF($A46&lt;=BF$1,INDEX(Monthly!$B$2:$B$61,BF$1-$A46+1),0)</f>
        <v/>
      </c>
      <c r="BG46" s="47">
        <f>IF($A46&lt;=BG$1,INDEX(Monthly!$B$2:$B$61,BG$1-$A46+1),0)</f>
        <v/>
      </c>
      <c r="BH46" s="47">
        <f>IF($A46&lt;=BH$1,INDEX(Monthly!$B$2:$B$61,BH$1-$A46+1),0)</f>
        <v/>
      </c>
      <c r="BI46" s="47">
        <f>IF($A46&lt;=BI$1,INDEX(Monthly!$B$2:$B$61,BI$1-$A46+1),0)</f>
        <v/>
      </c>
    </row>
    <row r="47">
      <c r="A47" s="3" t="n">
        <v>46</v>
      </c>
      <c r="B47" s="47">
        <f>IF($A47&lt;=B$1,INDEX(Monthly!$B$2:$B$61,B$1-$A47+1),0)</f>
        <v/>
      </c>
      <c r="C47" s="47">
        <f>IF($A47&lt;=C$1,INDEX(Monthly!$B$2:$B$61,C$1-$A47+1),0)</f>
        <v/>
      </c>
      <c r="D47" s="47">
        <f>IF($A47&lt;=D$1,INDEX(Monthly!$B$2:$B$61,D$1-$A47+1),0)</f>
        <v/>
      </c>
      <c r="E47" s="47">
        <f>IF($A47&lt;=E$1,INDEX(Monthly!$B$2:$B$61,E$1-$A47+1),0)</f>
        <v/>
      </c>
      <c r="F47" s="47">
        <f>IF($A47&lt;=F$1,INDEX(Monthly!$B$2:$B$61,F$1-$A47+1),0)</f>
        <v/>
      </c>
      <c r="G47" s="47">
        <f>IF($A47&lt;=G$1,INDEX(Monthly!$B$2:$B$61,G$1-$A47+1),0)</f>
        <v/>
      </c>
      <c r="H47" s="47">
        <f>IF($A47&lt;=H$1,INDEX(Monthly!$B$2:$B$61,H$1-$A47+1),0)</f>
        <v/>
      </c>
      <c r="I47" s="47">
        <f>IF($A47&lt;=I$1,INDEX(Monthly!$B$2:$B$61,I$1-$A47+1),0)</f>
        <v/>
      </c>
      <c r="J47" s="47">
        <f>IF($A47&lt;=J$1,INDEX(Monthly!$B$2:$B$61,J$1-$A47+1),0)</f>
        <v/>
      </c>
      <c r="K47" s="47">
        <f>IF($A47&lt;=K$1,INDEX(Monthly!$B$2:$B$61,K$1-$A47+1),0)</f>
        <v/>
      </c>
      <c r="L47" s="47">
        <f>IF($A47&lt;=L$1,INDEX(Monthly!$B$2:$B$61,L$1-$A47+1),0)</f>
        <v/>
      </c>
      <c r="M47" s="47">
        <f>IF($A47&lt;=M$1,INDEX(Monthly!$B$2:$B$61,M$1-$A47+1),0)</f>
        <v/>
      </c>
      <c r="N47" s="47">
        <f>IF($A47&lt;=N$1,INDEX(Monthly!$B$2:$B$61,N$1-$A47+1),0)</f>
        <v/>
      </c>
      <c r="O47" s="47">
        <f>IF($A47&lt;=O$1,INDEX(Monthly!$B$2:$B$61,O$1-$A47+1),0)</f>
        <v/>
      </c>
      <c r="P47" s="47">
        <f>IF($A47&lt;=P$1,INDEX(Monthly!$B$2:$B$61,P$1-$A47+1),0)</f>
        <v/>
      </c>
      <c r="Q47" s="47">
        <f>IF($A47&lt;=Q$1,INDEX(Monthly!$B$2:$B$61,Q$1-$A47+1),0)</f>
        <v/>
      </c>
      <c r="R47" s="47">
        <f>IF($A47&lt;=R$1,INDEX(Monthly!$B$2:$B$61,R$1-$A47+1),0)</f>
        <v/>
      </c>
      <c r="S47" s="47">
        <f>IF($A47&lt;=S$1,INDEX(Monthly!$B$2:$B$61,S$1-$A47+1),0)</f>
        <v/>
      </c>
      <c r="T47" s="47">
        <f>IF($A47&lt;=T$1,INDEX(Monthly!$B$2:$B$61,T$1-$A47+1),0)</f>
        <v/>
      </c>
      <c r="U47" s="47">
        <f>IF($A47&lt;=U$1,INDEX(Monthly!$B$2:$B$61,U$1-$A47+1),0)</f>
        <v/>
      </c>
      <c r="V47" s="47">
        <f>IF($A47&lt;=V$1,INDEX(Monthly!$B$2:$B$61,V$1-$A47+1),0)</f>
        <v/>
      </c>
      <c r="W47" s="47">
        <f>IF($A47&lt;=W$1,INDEX(Monthly!$B$2:$B$61,W$1-$A47+1),0)</f>
        <v/>
      </c>
      <c r="X47" s="47">
        <f>IF($A47&lt;=X$1,INDEX(Monthly!$B$2:$B$61,X$1-$A47+1),0)</f>
        <v/>
      </c>
      <c r="Y47" s="47">
        <f>IF($A47&lt;=Y$1,INDEX(Monthly!$B$2:$B$61,Y$1-$A47+1),0)</f>
        <v/>
      </c>
      <c r="Z47" s="47">
        <f>IF($A47&lt;=Z$1,INDEX(Monthly!$B$2:$B$61,Z$1-$A47+1),0)</f>
        <v/>
      </c>
      <c r="AA47" s="47">
        <f>IF($A47&lt;=AA$1,INDEX(Monthly!$B$2:$B$61,AA$1-$A47+1),0)</f>
        <v/>
      </c>
      <c r="AB47" s="47">
        <f>IF($A47&lt;=AB$1,INDEX(Monthly!$B$2:$B$61,AB$1-$A47+1),0)</f>
        <v/>
      </c>
      <c r="AC47" s="47">
        <f>IF($A47&lt;=AC$1,INDEX(Monthly!$B$2:$B$61,AC$1-$A47+1),0)</f>
        <v/>
      </c>
      <c r="AD47" s="47">
        <f>IF($A47&lt;=AD$1,INDEX(Monthly!$B$2:$B$61,AD$1-$A47+1),0)</f>
        <v/>
      </c>
      <c r="AE47" s="47">
        <f>IF($A47&lt;=AE$1,INDEX(Monthly!$B$2:$B$61,AE$1-$A47+1),0)</f>
        <v/>
      </c>
      <c r="AF47" s="47">
        <f>IF($A47&lt;=AF$1,INDEX(Monthly!$B$2:$B$61,AF$1-$A47+1),0)</f>
        <v/>
      </c>
      <c r="AG47" s="47">
        <f>IF($A47&lt;=AG$1,INDEX(Monthly!$B$2:$B$61,AG$1-$A47+1),0)</f>
        <v/>
      </c>
      <c r="AH47" s="47">
        <f>IF($A47&lt;=AH$1,INDEX(Monthly!$B$2:$B$61,AH$1-$A47+1),0)</f>
        <v/>
      </c>
      <c r="AI47" s="47">
        <f>IF($A47&lt;=AI$1,INDEX(Monthly!$B$2:$B$61,AI$1-$A47+1),0)</f>
        <v/>
      </c>
      <c r="AJ47" s="47">
        <f>IF($A47&lt;=AJ$1,INDEX(Monthly!$B$2:$B$61,AJ$1-$A47+1),0)</f>
        <v/>
      </c>
      <c r="AK47" s="47">
        <f>IF($A47&lt;=AK$1,INDEX(Monthly!$B$2:$B$61,AK$1-$A47+1),0)</f>
        <v/>
      </c>
      <c r="AL47" s="47">
        <f>IF($A47&lt;=AL$1,INDEX(Monthly!$B$2:$B$61,AL$1-$A47+1),0)</f>
        <v/>
      </c>
      <c r="AM47" s="47">
        <f>IF($A47&lt;=AM$1,INDEX(Monthly!$B$2:$B$61,AM$1-$A47+1),0)</f>
        <v/>
      </c>
      <c r="AN47" s="47">
        <f>IF($A47&lt;=AN$1,INDEX(Monthly!$B$2:$B$61,AN$1-$A47+1),0)</f>
        <v/>
      </c>
      <c r="AO47" s="47">
        <f>IF($A47&lt;=AO$1,INDEX(Monthly!$B$2:$B$61,AO$1-$A47+1),0)</f>
        <v/>
      </c>
      <c r="AP47" s="47">
        <f>IF($A47&lt;=AP$1,INDEX(Monthly!$B$2:$B$61,AP$1-$A47+1),0)</f>
        <v/>
      </c>
      <c r="AQ47" s="47">
        <f>IF($A47&lt;=AQ$1,INDEX(Monthly!$B$2:$B$61,AQ$1-$A47+1),0)</f>
        <v/>
      </c>
      <c r="AR47" s="47">
        <f>IF($A47&lt;=AR$1,INDEX(Monthly!$B$2:$B$61,AR$1-$A47+1),0)</f>
        <v/>
      </c>
      <c r="AS47" s="47">
        <f>IF($A47&lt;=AS$1,INDEX(Monthly!$B$2:$B$61,AS$1-$A47+1),0)</f>
        <v/>
      </c>
      <c r="AT47" s="47">
        <f>IF($A47&lt;=AT$1,INDEX(Monthly!$B$2:$B$61,AT$1-$A47+1),0)</f>
        <v/>
      </c>
      <c r="AU47" s="47">
        <f>IF($A47&lt;=AU$1,INDEX(Monthly!$B$2:$B$61,AU$1-$A47+1),0)</f>
        <v/>
      </c>
      <c r="AV47" s="47">
        <f>IF($A47&lt;=AV$1,INDEX(Monthly!$B$2:$B$61,AV$1-$A47+1),0)</f>
        <v/>
      </c>
      <c r="AW47" s="47">
        <f>IF($A47&lt;=AW$1,INDEX(Monthly!$B$2:$B$61,AW$1-$A47+1),0)</f>
        <v/>
      </c>
      <c r="AX47" s="47">
        <f>IF($A47&lt;=AX$1,INDEX(Monthly!$B$2:$B$61,AX$1-$A47+1),0)</f>
        <v/>
      </c>
      <c r="AY47" s="47">
        <f>IF($A47&lt;=AY$1,INDEX(Monthly!$B$2:$B$61,AY$1-$A47+1),0)</f>
        <v/>
      </c>
      <c r="AZ47" s="47">
        <f>IF($A47&lt;=AZ$1,INDEX(Monthly!$B$2:$B$61,AZ$1-$A47+1),0)</f>
        <v/>
      </c>
      <c r="BA47" s="47">
        <f>IF($A47&lt;=BA$1,INDEX(Monthly!$B$2:$B$61,BA$1-$A47+1),0)</f>
        <v/>
      </c>
      <c r="BB47" s="47">
        <f>IF($A47&lt;=BB$1,INDEX(Monthly!$B$2:$B$61,BB$1-$A47+1),0)</f>
        <v/>
      </c>
      <c r="BC47" s="47">
        <f>IF($A47&lt;=BC$1,INDEX(Monthly!$B$2:$B$61,BC$1-$A47+1),0)</f>
        <v/>
      </c>
      <c r="BD47" s="47">
        <f>IF($A47&lt;=BD$1,INDEX(Monthly!$B$2:$B$61,BD$1-$A47+1),0)</f>
        <v/>
      </c>
      <c r="BE47" s="47">
        <f>IF($A47&lt;=BE$1,INDEX(Monthly!$B$2:$B$61,BE$1-$A47+1),0)</f>
        <v/>
      </c>
      <c r="BF47" s="47">
        <f>IF($A47&lt;=BF$1,INDEX(Monthly!$B$2:$B$61,BF$1-$A47+1),0)</f>
        <v/>
      </c>
      <c r="BG47" s="47">
        <f>IF($A47&lt;=BG$1,INDEX(Monthly!$B$2:$B$61,BG$1-$A47+1),0)</f>
        <v/>
      </c>
      <c r="BH47" s="47">
        <f>IF($A47&lt;=BH$1,INDEX(Monthly!$B$2:$B$61,BH$1-$A47+1),0)</f>
        <v/>
      </c>
      <c r="BI47" s="47">
        <f>IF($A47&lt;=BI$1,INDEX(Monthly!$B$2:$B$61,BI$1-$A47+1),0)</f>
        <v/>
      </c>
    </row>
    <row r="48">
      <c r="A48" s="3" t="n">
        <v>47</v>
      </c>
      <c r="B48" s="47">
        <f>IF($A48&lt;=B$1,INDEX(Monthly!$B$2:$B$61,B$1-$A48+1),0)</f>
        <v/>
      </c>
      <c r="C48" s="47">
        <f>IF($A48&lt;=C$1,INDEX(Monthly!$B$2:$B$61,C$1-$A48+1),0)</f>
        <v/>
      </c>
      <c r="D48" s="47">
        <f>IF($A48&lt;=D$1,INDEX(Monthly!$B$2:$B$61,D$1-$A48+1),0)</f>
        <v/>
      </c>
      <c r="E48" s="47">
        <f>IF($A48&lt;=E$1,INDEX(Monthly!$B$2:$B$61,E$1-$A48+1),0)</f>
        <v/>
      </c>
      <c r="F48" s="47">
        <f>IF($A48&lt;=F$1,INDEX(Monthly!$B$2:$B$61,F$1-$A48+1),0)</f>
        <v/>
      </c>
      <c r="G48" s="47">
        <f>IF($A48&lt;=G$1,INDEX(Monthly!$B$2:$B$61,G$1-$A48+1),0)</f>
        <v/>
      </c>
      <c r="H48" s="47">
        <f>IF($A48&lt;=H$1,INDEX(Monthly!$B$2:$B$61,H$1-$A48+1),0)</f>
        <v/>
      </c>
      <c r="I48" s="47">
        <f>IF($A48&lt;=I$1,INDEX(Monthly!$B$2:$B$61,I$1-$A48+1),0)</f>
        <v/>
      </c>
      <c r="J48" s="47">
        <f>IF($A48&lt;=J$1,INDEX(Monthly!$B$2:$B$61,J$1-$A48+1),0)</f>
        <v/>
      </c>
      <c r="K48" s="47">
        <f>IF($A48&lt;=K$1,INDEX(Monthly!$B$2:$B$61,K$1-$A48+1),0)</f>
        <v/>
      </c>
      <c r="L48" s="47">
        <f>IF($A48&lt;=L$1,INDEX(Monthly!$B$2:$B$61,L$1-$A48+1),0)</f>
        <v/>
      </c>
      <c r="M48" s="47">
        <f>IF($A48&lt;=M$1,INDEX(Monthly!$B$2:$B$61,M$1-$A48+1),0)</f>
        <v/>
      </c>
      <c r="N48" s="47">
        <f>IF($A48&lt;=N$1,INDEX(Monthly!$B$2:$B$61,N$1-$A48+1),0)</f>
        <v/>
      </c>
      <c r="O48" s="47">
        <f>IF($A48&lt;=O$1,INDEX(Monthly!$B$2:$B$61,O$1-$A48+1),0)</f>
        <v/>
      </c>
      <c r="P48" s="47">
        <f>IF($A48&lt;=P$1,INDEX(Monthly!$B$2:$B$61,P$1-$A48+1),0)</f>
        <v/>
      </c>
      <c r="Q48" s="47">
        <f>IF($A48&lt;=Q$1,INDEX(Monthly!$B$2:$B$61,Q$1-$A48+1),0)</f>
        <v/>
      </c>
      <c r="R48" s="47">
        <f>IF($A48&lt;=R$1,INDEX(Monthly!$B$2:$B$61,R$1-$A48+1),0)</f>
        <v/>
      </c>
      <c r="S48" s="47">
        <f>IF($A48&lt;=S$1,INDEX(Monthly!$B$2:$B$61,S$1-$A48+1),0)</f>
        <v/>
      </c>
      <c r="T48" s="47">
        <f>IF($A48&lt;=T$1,INDEX(Monthly!$B$2:$B$61,T$1-$A48+1),0)</f>
        <v/>
      </c>
      <c r="U48" s="47">
        <f>IF($A48&lt;=U$1,INDEX(Monthly!$B$2:$B$61,U$1-$A48+1),0)</f>
        <v/>
      </c>
      <c r="V48" s="47">
        <f>IF($A48&lt;=V$1,INDEX(Monthly!$B$2:$B$61,V$1-$A48+1),0)</f>
        <v/>
      </c>
      <c r="W48" s="47">
        <f>IF($A48&lt;=W$1,INDEX(Monthly!$B$2:$B$61,W$1-$A48+1),0)</f>
        <v/>
      </c>
      <c r="X48" s="47">
        <f>IF($A48&lt;=X$1,INDEX(Monthly!$B$2:$B$61,X$1-$A48+1),0)</f>
        <v/>
      </c>
      <c r="Y48" s="47">
        <f>IF($A48&lt;=Y$1,INDEX(Monthly!$B$2:$B$61,Y$1-$A48+1),0)</f>
        <v/>
      </c>
      <c r="Z48" s="47">
        <f>IF($A48&lt;=Z$1,INDEX(Monthly!$B$2:$B$61,Z$1-$A48+1),0)</f>
        <v/>
      </c>
      <c r="AA48" s="47">
        <f>IF($A48&lt;=AA$1,INDEX(Monthly!$B$2:$B$61,AA$1-$A48+1),0)</f>
        <v/>
      </c>
      <c r="AB48" s="47">
        <f>IF($A48&lt;=AB$1,INDEX(Monthly!$B$2:$B$61,AB$1-$A48+1),0)</f>
        <v/>
      </c>
      <c r="AC48" s="47">
        <f>IF($A48&lt;=AC$1,INDEX(Monthly!$B$2:$B$61,AC$1-$A48+1),0)</f>
        <v/>
      </c>
      <c r="AD48" s="47">
        <f>IF($A48&lt;=AD$1,INDEX(Monthly!$B$2:$B$61,AD$1-$A48+1),0)</f>
        <v/>
      </c>
      <c r="AE48" s="47">
        <f>IF($A48&lt;=AE$1,INDEX(Monthly!$B$2:$B$61,AE$1-$A48+1),0)</f>
        <v/>
      </c>
      <c r="AF48" s="47">
        <f>IF($A48&lt;=AF$1,INDEX(Monthly!$B$2:$B$61,AF$1-$A48+1),0)</f>
        <v/>
      </c>
      <c r="AG48" s="47">
        <f>IF($A48&lt;=AG$1,INDEX(Monthly!$B$2:$B$61,AG$1-$A48+1),0)</f>
        <v/>
      </c>
      <c r="AH48" s="47">
        <f>IF($A48&lt;=AH$1,INDEX(Monthly!$B$2:$B$61,AH$1-$A48+1),0)</f>
        <v/>
      </c>
      <c r="AI48" s="47">
        <f>IF($A48&lt;=AI$1,INDEX(Monthly!$B$2:$B$61,AI$1-$A48+1),0)</f>
        <v/>
      </c>
      <c r="AJ48" s="47">
        <f>IF($A48&lt;=AJ$1,INDEX(Monthly!$B$2:$B$61,AJ$1-$A48+1),0)</f>
        <v/>
      </c>
      <c r="AK48" s="47">
        <f>IF($A48&lt;=AK$1,INDEX(Monthly!$B$2:$B$61,AK$1-$A48+1),0)</f>
        <v/>
      </c>
      <c r="AL48" s="47">
        <f>IF($A48&lt;=AL$1,INDEX(Monthly!$B$2:$B$61,AL$1-$A48+1),0)</f>
        <v/>
      </c>
      <c r="AM48" s="47">
        <f>IF($A48&lt;=AM$1,INDEX(Monthly!$B$2:$B$61,AM$1-$A48+1),0)</f>
        <v/>
      </c>
      <c r="AN48" s="47">
        <f>IF($A48&lt;=AN$1,INDEX(Monthly!$B$2:$B$61,AN$1-$A48+1),0)</f>
        <v/>
      </c>
      <c r="AO48" s="47">
        <f>IF($A48&lt;=AO$1,INDEX(Monthly!$B$2:$B$61,AO$1-$A48+1),0)</f>
        <v/>
      </c>
      <c r="AP48" s="47">
        <f>IF($A48&lt;=AP$1,INDEX(Monthly!$B$2:$B$61,AP$1-$A48+1),0)</f>
        <v/>
      </c>
      <c r="AQ48" s="47">
        <f>IF($A48&lt;=AQ$1,INDEX(Monthly!$B$2:$B$61,AQ$1-$A48+1),0)</f>
        <v/>
      </c>
      <c r="AR48" s="47">
        <f>IF($A48&lt;=AR$1,INDEX(Monthly!$B$2:$B$61,AR$1-$A48+1),0)</f>
        <v/>
      </c>
      <c r="AS48" s="47">
        <f>IF($A48&lt;=AS$1,INDEX(Monthly!$B$2:$B$61,AS$1-$A48+1),0)</f>
        <v/>
      </c>
      <c r="AT48" s="47">
        <f>IF($A48&lt;=AT$1,INDEX(Monthly!$B$2:$B$61,AT$1-$A48+1),0)</f>
        <v/>
      </c>
      <c r="AU48" s="47">
        <f>IF($A48&lt;=AU$1,INDEX(Monthly!$B$2:$B$61,AU$1-$A48+1),0)</f>
        <v/>
      </c>
      <c r="AV48" s="47">
        <f>IF($A48&lt;=AV$1,INDEX(Monthly!$B$2:$B$61,AV$1-$A48+1),0)</f>
        <v/>
      </c>
      <c r="AW48" s="47">
        <f>IF($A48&lt;=AW$1,INDEX(Monthly!$B$2:$B$61,AW$1-$A48+1),0)</f>
        <v/>
      </c>
      <c r="AX48" s="47">
        <f>IF($A48&lt;=AX$1,INDEX(Monthly!$B$2:$B$61,AX$1-$A48+1),0)</f>
        <v/>
      </c>
      <c r="AY48" s="47">
        <f>IF($A48&lt;=AY$1,INDEX(Monthly!$B$2:$B$61,AY$1-$A48+1),0)</f>
        <v/>
      </c>
      <c r="AZ48" s="47">
        <f>IF($A48&lt;=AZ$1,INDEX(Monthly!$B$2:$B$61,AZ$1-$A48+1),0)</f>
        <v/>
      </c>
      <c r="BA48" s="47">
        <f>IF($A48&lt;=BA$1,INDEX(Monthly!$B$2:$B$61,BA$1-$A48+1),0)</f>
        <v/>
      </c>
      <c r="BB48" s="47">
        <f>IF($A48&lt;=BB$1,INDEX(Monthly!$B$2:$B$61,BB$1-$A48+1),0)</f>
        <v/>
      </c>
      <c r="BC48" s="47">
        <f>IF($A48&lt;=BC$1,INDEX(Monthly!$B$2:$B$61,BC$1-$A48+1),0)</f>
        <v/>
      </c>
      <c r="BD48" s="47">
        <f>IF($A48&lt;=BD$1,INDEX(Monthly!$B$2:$B$61,BD$1-$A48+1),0)</f>
        <v/>
      </c>
      <c r="BE48" s="47">
        <f>IF($A48&lt;=BE$1,INDEX(Monthly!$B$2:$B$61,BE$1-$A48+1),0)</f>
        <v/>
      </c>
      <c r="BF48" s="47">
        <f>IF($A48&lt;=BF$1,INDEX(Monthly!$B$2:$B$61,BF$1-$A48+1),0)</f>
        <v/>
      </c>
      <c r="BG48" s="47">
        <f>IF($A48&lt;=BG$1,INDEX(Monthly!$B$2:$B$61,BG$1-$A48+1),0)</f>
        <v/>
      </c>
      <c r="BH48" s="47">
        <f>IF($A48&lt;=BH$1,INDEX(Monthly!$B$2:$B$61,BH$1-$A48+1),0)</f>
        <v/>
      </c>
      <c r="BI48" s="47">
        <f>IF($A48&lt;=BI$1,INDEX(Monthly!$B$2:$B$61,BI$1-$A48+1),0)</f>
        <v/>
      </c>
    </row>
    <row r="49">
      <c r="A49" s="3" t="n">
        <v>48</v>
      </c>
      <c r="B49" s="47">
        <f>IF($A49&lt;=B$1,INDEX(Monthly!$B$2:$B$61,B$1-$A49+1),0)</f>
        <v/>
      </c>
      <c r="C49" s="47">
        <f>IF($A49&lt;=C$1,INDEX(Monthly!$B$2:$B$61,C$1-$A49+1),0)</f>
        <v/>
      </c>
      <c r="D49" s="47">
        <f>IF($A49&lt;=D$1,INDEX(Monthly!$B$2:$B$61,D$1-$A49+1),0)</f>
        <v/>
      </c>
      <c r="E49" s="47">
        <f>IF($A49&lt;=E$1,INDEX(Monthly!$B$2:$B$61,E$1-$A49+1),0)</f>
        <v/>
      </c>
      <c r="F49" s="47">
        <f>IF($A49&lt;=F$1,INDEX(Monthly!$B$2:$B$61,F$1-$A49+1),0)</f>
        <v/>
      </c>
      <c r="G49" s="47">
        <f>IF($A49&lt;=G$1,INDEX(Monthly!$B$2:$B$61,G$1-$A49+1),0)</f>
        <v/>
      </c>
      <c r="H49" s="47">
        <f>IF($A49&lt;=H$1,INDEX(Monthly!$B$2:$B$61,H$1-$A49+1),0)</f>
        <v/>
      </c>
      <c r="I49" s="47">
        <f>IF($A49&lt;=I$1,INDEX(Monthly!$B$2:$B$61,I$1-$A49+1),0)</f>
        <v/>
      </c>
      <c r="J49" s="47">
        <f>IF($A49&lt;=J$1,INDEX(Monthly!$B$2:$B$61,J$1-$A49+1),0)</f>
        <v/>
      </c>
      <c r="K49" s="47">
        <f>IF($A49&lt;=K$1,INDEX(Monthly!$B$2:$B$61,K$1-$A49+1),0)</f>
        <v/>
      </c>
      <c r="L49" s="47">
        <f>IF($A49&lt;=L$1,INDEX(Monthly!$B$2:$B$61,L$1-$A49+1),0)</f>
        <v/>
      </c>
      <c r="M49" s="47">
        <f>IF($A49&lt;=M$1,INDEX(Monthly!$B$2:$B$61,M$1-$A49+1),0)</f>
        <v/>
      </c>
      <c r="N49" s="47">
        <f>IF($A49&lt;=N$1,INDEX(Monthly!$B$2:$B$61,N$1-$A49+1),0)</f>
        <v/>
      </c>
      <c r="O49" s="47">
        <f>IF($A49&lt;=O$1,INDEX(Monthly!$B$2:$B$61,O$1-$A49+1),0)</f>
        <v/>
      </c>
      <c r="P49" s="47">
        <f>IF($A49&lt;=P$1,INDEX(Monthly!$B$2:$B$61,P$1-$A49+1),0)</f>
        <v/>
      </c>
      <c r="Q49" s="47">
        <f>IF($A49&lt;=Q$1,INDEX(Monthly!$B$2:$B$61,Q$1-$A49+1),0)</f>
        <v/>
      </c>
      <c r="R49" s="47">
        <f>IF($A49&lt;=R$1,INDEX(Monthly!$B$2:$B$61,R$1-$A49+1),0)</f>
        <v/>
      </c>
      <c r="S49" s="47">
        <f>IF($A49&lt;=S$1,INDEX(Monthly!$B$2:$B$61,S$1-$A49+1),0)</f>
        <v/>
      </c>
      <c r="T49" s="47">
        <f>IF($A49&lt;=T$1,INDEX(Monthly!$B$2:$B$61,T$1-$A49+1),0)</f>
        <v/>
      </c>
      <c r="U49" s="47">
        <f>IF($A49&lt;=U$1,INDEX(Monthly!$B$2:$B$61,U$1-$A49+1),0)</f>
        <v/>
      </c>
      <c r="V49" s="47">
        <f>IF($A49&lt;=V$1,INDEX(Monthly!$B$2:$B$61,V$1-$A49+1),0)</f>
        <v/>
      </c>
      <c r="W49" s="47">
        <f>IF($A49&lt;=W$1,INDEX(Monthly!$B$2:$B$61,W$1-$A49+1),0)</f>
        <v/>
      </c>
      <c r="X49" s="47">
        <f>IF($A49&lt;=X$1,INDEX(Monthly!$B$2:$B$61,X$1-$A49+1),0)</f>
        <v/>
      </c>
      <c r="Y49" s="47">
        <f>IF($A49&lt;=Y$1,INDEX(Monthly!$B$2:$B$61,Y$1-$A49+1),0)</f>
        <v/>
      </c>
      <c r="Z49" s="47">
        <f>IF($A49&lt;=Z$1,INDEX(Monthly!$B$2:$B$61,Z$1-$A49+1),0)</f>
        <v/>
      </c>
      <c r="AA49" s="47">
        <f>IF($A49&lt;=AA$1,INDEX(Monthly!$B$2:$B$61,AA$1-$A49+1),0)</f>
        <v/>
      </c>
      <c r="AB49" s="47">
        <f>IF($A49&lt;=AB$1,INDEX(Monthly!$B$2:$B$61,AB$1-$A49+1),0)</f>
        <v/>
      </c>
      <c r="AC49" s="47">
        <f>IF($A49&lt;=AC$1,INDEX(Monthly!$B$2:$B$61,AC$1-$A49+1),0)</f>
        <v/>
      </c>
      <c r="AD49" s="47">
        <f>IF($A49&lt;=AD$1,INDEX(Monthly!$B$2:$B$61,AD$1-$A49+1),0)</f>
        <v/>
      </c>
      <c r="AE49" s="47">
        <f>IF($A49&lt;=AE$1,INDEX(Monthly!$B$2:$B$61,AE$1-$A49+1),0)</f>
        <v/>
      </c>
      <c r="AF49" s="47">
        <f>IF($A49&lt;=AF$1,INDEX(Monthly!$B$2:$B$61,AF$1-$A49+1),0)</f>
        <v/>
      </c>
      <c r="AG49" s="47">
        <f>IF($A49&lt;=AG$1,INDEX(Monthly!$B$2:$B$61,AG$1-$A49+1),0)</f>
        <v/>
      </c>
      <c r="AH49" s="47">
        <f>IF($A49&lt;=AH$1,INDEX(Monthly!$B$2:$B$61,AH$1-$A49+1),0)</f>
        <v/>
      </c>
      <c r="AI49" s="47">
        <f>IF($A49&lt;=AI$1,INDEX(Monthly!$B$2:$B$61,AI$1-$A49+1),0)</f>
        <v/>
      </c>
      <c r="AJ49" s="47">
        <f>IF($A49&lt;=AJ$1,INDEX(Monthly!$B$2:$B$61,AJ$1-$A49+1),0)</f>
        <v/>
      </c>
      <c r="AK49" s="47">
        <f>IF($A49&lt;=AK$1,INDEX(Monthly!$B$2:$B$61,AK$1-$A49+1),0)</f>
        <v/>
      </c>
      <c r="AL49" s="47">
        <f>IF($A49&lt;=AL$1,INDEX(Monthly!$B$2:$B$61,AL$1-$A49+1),0)</f>
        <v/>
      </c>
      <c r="AM49" s="47">
        <f>IF($A49&lt;=AM$1,INDEX(Monthly!$B$2:$B$61,AM$1-$A49+1),0)</f>
        <v/>
      </c>
      <c r="AN49" s="47">
        <f>IF($A49&lt;=AN$1,INDEX(Monthly!$B$2:$B$61,AN$1-$A49+1),0)</f>
        <v/>
      </c>
      <c r="AO49" s="47">
        <f>IF($A49&lt;=AO$1,INDEX(Monthly!$B$2:$B$61,AO$1-$A49+1),0)</f>
        <v/>
      </c>
      <c r="AP49" s="47">
        <f>IF($A49&lt;=AP$1,INDEX(Monthly!$B$2:$B$61,AP$1-$A49+1),0)</f>
        <v/>
      </c>
      <c r="AQ49" s="47">
        <f>IF($A49&lt;=AQ$1,INDEX(Monthly!$B$2:$B$61,AQ$1-$A49+1),0)</f>
        <v/>
      </c>
      <c r="AR49" s="47">
        <f>IF($A49&lt;=AR$1,INDEX(Monthly!$B$2:$B$61,AR$1-$A49+1),0)</f>
        <v/>
      </c>
      <c r="AS49" s="47">
        <f>IF($A49&lt;=AS$1,INDEX(Monthly!$B$2:$B$61,AS$1-$A49+1),0)</f>
        <v/>
      </c>
      <c r="AT49" s="47">
        <f>IF($A49&lt;=AT$1,INDEX(Monthly!$B$2:$B$61,AT$1-$A49+1),0)</f>
        <v/>
      </c>
      <c r="AU49" s="47">
        <f>IF($A49&lt;=AU$1,INDEX(Monthly!$B$2:$B$61,AU$1-$A49+1),0)</f>
        <v/>
      </c>
      <c r="AV49" s="47">
        <f>IF($A49&lt;=AV$1,INDEX(Monthly!$B$2:$B$61,AV$1-$A49+1),0)</f>
        <v/>
      </c>
      <c r="AW49" s="47">
        <f>IF($A49&lt;=AW$1,INDEX(Monthly!$B$2:$B$61,AW$1-$A49+1),0)</f>
        <v/>
      </c>
      <c r="AX49" s="47">
        <f>IF($A49&lt;=AX$1,INDEX(Monthly!$B$2:$B$61,AX$1-$A49+1),0)</f>
        <v/>
      </c>
      <c r="AY49" s="47">
        <f>IF($A49&lt;=AY$1,INDEX(Monthly!$B$2:$B$61,AY$1-$A49+1),0)</f>
        <v/>
      </c>
      <c r="AZ49" s="47">
        <f>IF($A49&lt;=AZ$1,INDEX(Monthly!$B$2:$B$61,AZ$1-$A49+1),0)</f>
        <v/>
      </c>
      <c r="BA49" s="47">
        <f>IF($A49&lt;=BA$1,INDEX(Monthly!$B$2:$B$61,BA$1-$A49+1),0)</f>
        <v/>
      </c>
      <c r="BB49" s="47">
        <f>IF($A49&lt;=BB$1,INDEX(Monthly!$B$2:$B$61,BB$1-$A49+1),0)</f>
        <v/>
      </c>
      <c r="BC49" s="47">
        <f>IF($A49&lt;=BC$1,INDEX(Monthly!$B$2:$B$61,BC$1-$A49+1),0)</f>
        <v/>
      </c>
      <c r="BD49" s="47">
        <f>IF($A49&lt;=BD$1,INDEX(Monthly!$B$2:$B$61,BD$1-$A49+1),0)</f>
        <v/>
      </c>
      <c r="BE49" s="47">
        <f>IF($A49&lt;=BE$1,INDEX(Monthly!$B$2:$B$61,BE$1-$A49+1),0)</f>
        <v/>
      </c>
      <c r="BF49" s="47">
        <f>IF($A49&lt;=BF$1,INDEX(Monthly!$B$2:$B$61,BF$1-$A49+1),0)</f>
        <v/>
      </c>
      <c r="BG49" s="47">
        <f>IF($A49&lt;=BG$1,INDEX(Monthly!$B$2:$B$61,BG$1-$A49+1),0)</f>
        <v/>
      </c>
      <c r="BH49" s="47">
        <f>IF($A49&lt;=BH$1,INDEX(Monthly!$B$2:$B$61,BH$1-$A49+1),0)</f>
        <v/>
      </c>
      <c r="BI49" s="47">
        <f>IF($A49&lt;=BI$1,INDEX(Monthly!$B$2:$B$61,BI$1-$A49+1),0)</f>
        <v/>
      </c>
    </row>
    <row r="50">
      <c r="A50" s="3" t="n">
        <v>49</v>
      </c>
      <c r="B50" s="47">
        <f>IF($A50&lt;=B$1,INDEX(Monthly!$B$2:$B$61,B$1-$A50+1),0)</f>
        <v/>
      </c>
      <c r="C50" s="47">
        <f>IF($A50&lt;=C$1,INDEX(Monthly!$B$2:$B$61,C$1-$A50+1),0)</f>
        <v/>
      </c>
      <c r="D50" s="47">
        <f>IF($A50&lt;=D$1,INDEX(Monthly!$B$2:$B$61,D$1-$A50+1),0)</f>
        <v/>
      </c>
      <c r="E50" s="47">
        <f>IF($A50&lt;=E$1,INDEX(Monthly!$B$2:$B$61,E$1-$A50+1),0)</f>
        <v/>
      </c>
      <c r="F50" s="47">
        <f>IF($A50&lt;=F$1,INDEX(Monthly!$B$2:$B$61,F$1-$A50+1),0)</f>
        <v/>
      </c>
      <c r="G50" s="47">
        <f>IF($A50&lt;=G$1,INDEX(Monthly!$B$2:$B$61,G$1-$A50+1),0)</f>
        <v/>
      </c>
      <c r="H50" s="47">
        <f>IF($A50&lt;=H$1,INDEX(Monthly!$B$2:$B$61,H$1-$A50+1),0)</f>
        <v/>
      </c>
      <c r="I50" s="47">
        <f>IF($A50&lt;=I$1,INDEX(Monthly!$B$2:$B$61,I$1-$A50+1),0)</f>
        <v/>
      </c>
      <c r="J50" s="47">
        <f>IF($A50&lt;=J$1,INDEX(Monthly!$B$2:$B$61,J$1-$A50+1),0)</f>
        <v/>
      </c>
      <c r="K50" s="47">
        <f>IF($A50&lt;=K$1,INDEX(Monthly!$B$2:$B$61,K$1-$A50+1),0)</f>
        <v/>
      </c>
      <c r="L50" s="47">
        <f>IF($A50&lt;=L$1,INDEX(Monthly!$B$2:$B$61,L$1-$A50+1),0)</f>
        <v/>
      </c>
      <c r="M50" s="47">
        <f>IF($A50&lt;=M$1,INDEX(Monthly!$B$2:$B$61,M$1-$A50+1),0)</f>
        <v/>
      </c>
      <c r="N50" s="47">
        <f>IF($A50&lt;=N$1,INDEX(Monthly!$B$2:$B$61,N$1-$A50+1),0)</f>
        <v/>
      </c>
      <c r="O50" s="47">
        <f>IF($A50&lt;=O$1,INDEX(Monthly!$B$2:$B$61,O$1-$A50+1),0)</f>
        <v/>
      </c>
      <c r="P50" s="47">
        <f>IF($A50&lt;=P$1,INDEX(Monthly!$B$2:$B$61,P$1-$A50+1),0)</f>
        <v/>
      </c>
      <c r="Q50" s="47">
        <f>IF($A50&lt;=Q$1,INDEX(Monthly!$B$2:$B$61,Q$1-$A50+1),0)</f>
        <v/>
      </c>
      <c r="R50" s="47">
        <f>IF($A50&lt;=R$1,INDEX(Monthly!$B$2:$B$61,R$1-$A50+1),0)</f>
        <v/>
      </c>
      <c r="S50" s="47">
        <f>IF($A50&lt;=S$1,INDEX(Monthly!$B$2:$B$61,S$1-$A50+1),0)</f>
        <v/>
      </c>
      <c r="T50" s="47">
        <f>IF($A50&lt;=T$1,INDEX(Monthly!$B$2:$B$61,T$1-$A50+1),0)</f>
        <v/>
      </c>
      <c r="U50" s="47">
        <f>IF($A50&lt;=U$1,INDEX(Monthly!$B$2:$B$61,U$1-$A50+1),0)</f>
        <v/>
      </c>
      <c r="V50" s="47">
        <f>IF($A50&lt;=V$1,INDEX(Monthly!$B$2:$B$61,V$1-$A50+1),0)</f>
        <v/>
      </c>
      <c r="W50" s="47">
        <f>IF($A50&lt;=W$1,INDEX(Monthly!$B$2:$B$61,W$1-$A50+1),0)</f>
        <v/>
      </c>
      <c r="X50" s="47">
        <f>IF($A50&lt;=X$1,INDEX(Monthly!$B$2:$B$61,X$1-$A50+1),0)</f>
        <v/>
      </c>
      <c r="Y50" s="47">
        <f>IF($A50&lt;=Y$1,INDEX(Monthly!$B$2:$B$61,Y$1-$A50+1),0)</f>
        <v/>
      </c>
      <c r="Z50" s="47">
        <f>IF($A50&lt;=Z$1,INDEX(Monthly!$B$2:$B$61,Z$1-$A50+1),0)</f>
        <v/>
      </c>
      <c r="AA50" s="47">
        <f>IF($A50&lt;=AA$1,INDEX(Monthly!$B$2:$B$61,AA$1-$A50+1),0)</f>
        <v/>
      </c>
      <c r="AB50" s="47">
        <f>IF($A50&lt;=AB$1,INDEX(Monthly!$B$2:$B$61,AB$1-$A50+1),0)</f>
        <v/>
      </c>
      <c r="AC50" s="47">
        <f>IF($A50&lt;=AC$1,INDEX(Monthly!$B$2:$B$61,AC$1-$A50+1),0)</f>
        <v/>
      </c>
      <c r="AD50" s="47">
        <f>IF($A50&lt;=AD$1,INDEX(Monthly!$B$2:$B$61,AD$1-$A50+1),0)</f>
        <v/>
      </c>
      <c r="AE50" s="47">
        <f>IF($A50&lt;=AE$1,INDEX(Monthly!$B$2:$B$61,AE$1-$A50+1),0)</f>
        <v/>
      </c>
      <c r="AF50" s="47">
        <f>IF($A50&lt;=AF$1,INDEX(Monthly!$B$2:$B$61,AF$1-$A50+1),0)</f>
        <v/>
      </c>
      <c r="AG50" s="47">
        <f>IF($A50&lt;=AG$1,INDEX(Monthly!$B$2:$B$61,AG$1-$A50+1),0)</f>
        <v/>
      </c>
      <c r="AH50" s="47">
        <f>IF($A50&lt;=AH$1,INDEX(Monthly!$B$2:$B$61,AH$1-$A50+1),0)</f>
        <v/>
      </c>
      <c r="AI50" s="47">
        <f>IF($A50&lt;=AI$1,INDEX(Monthly!$B$2:$B$61,AI$1-$A50+1),0)</f>
        <v/>
      </c>
      <c r="AJ50" s="47">
        <f>IF($A50&lt;=AJ$1,INDEX(Monthly!$B$2:$B$61,AJ$1-$A50+1),0)</f>
        <v/>
      </c>
      <c r="AK50" s="47">
        <f>IF($A50&lt;=AK$1,INDEX(Monthly!$B$2:$B$61,AK$1-$A50+1),0)</f>
        <v/>
      </c>
      <c r="AL50" s="47">
        <f>IF($A50&lt;=AL$1,INDEX(Monthly!$B$2:$B$61,AL$1-$A50+1),0)</f>
        <v/>
      </c>
      <c r="AM50" s="47">
        <f>IF($A50&lt;=AM$1,INDEX(Monthly!$B$2:$B$61,AM$1-$A50+1),0)</f>
        <v/>
      </c>
      <c r="AN50" s="47">
        <f>IF($A50&lt;=AN$1,INDEX(Monthly!$B$2:$B$61,AN$1-$A50+1),0)</f>
        <v/>
      </c>
      <c r="AO50" s="47">
        <f>IF($A50&lt;=AO$1,INDEX(Monthly!$B$2:$B$61,AO$1-$A50+1),0)</f>
        <v/>
      </c>
      <c r="AP50" s="47">
        <f>IF($A50&lt;=AP$1,INDEX(Monthly!$B$2:$B$61,AP$1-$A50+1),0)</f>
        <v/>
      </c>
      <c r="AQ50" s="47">
        <f>IF($A50&lt;=AQ$1,INDEX(Monthly!$B$2:$B$61,AQ$1-$A50+1),0)</f>
        <v/>
      </c>
      <c r="AR50" s="47">
        <f>IF($A50&lt;=AR$1,INDEX(Monthly!$B$2:$B$61,AR$1-$A50+1),0)</f>
        <v/>
      </c>
      <c r="AS50" s="47">
        <f>IF($A50&lt;=AS$1,INDEX(Monthly!$B$2:$B$61,AS$1-$A50+1),0)</f>
        <v/>
      </c>
      <c r="AT50" s="47">
        <f>IF($A50&lt;=AT$1,INDEX(Monthly!$B$2:$B$61,AT$1-$A50+1),0)</f>
        <v/>
      </c>
      <c r="AU50" s="47">
        <f>IF($A50&lt;=AU$1,INDEX(Monthly!$B$2:$B$61,AU$1-$A50+1),0)</f>
        <v/>
      </c>
      <c r="AV50" s="47">
        <f>IF($A50&lt;=AV$1,INDEX(Monthly!$B$2:$B$61,AV$1-$A50+1),0)</f>
        <v/>
      </c>
      <c r="AW50" s="47">
        <f>IF($A50&lt;=AW$1,INDEX(Monthly!$B$2:$B$61,AW$1-$A50+1),0)</f>
        <v/>
      </c>
      <c r="AX50" s="47">
        <f>IF($A50&lt;=AX$1,INDEX(Monthly!$B$2:$B$61,AX$1-$A50+1),0)</f>
        <v/>
      </c>
      <c r="AY50" s="47">
        <f>IF($A50&lt;=AY$1,INDEX(Monthly!$B$2:$B$61,AY$1-$A50+1),0)</f>
        <v/>
      </c>
      <c r="AZ50" s="47">
        <f>IF($A50&lt;=AZ$1,INDEX(Monthly!$B$2:$B$61,AZ$1-$A50+1),0)</f>
        <v/>
      </c>
      <c r="BA50" s="47">
        <f>IF($A50&lt;=BA$1,INDEX(Monthly!$B$2:$B$61,BA$1-$A50+1),0)</f>
        <v/>
      </c>
      <c r="BB50" s="47">
        <f>IF($A50&lt;=BB$1,INDEX(Monthly!$B$2:$B$61,BB$1-$A50+1),0)</f>
        <v/>
      </c>
      <c r="BC50" s="47">
        <f>IF($A50&lt;=BC$1,INDEX(Monthly!$B$2:$B$61,BC$1-$A50+1),0)</f>
        <v/>
      </c>
      <c r="BD50" s="47">
        <f>IF($A50&lt;=BD$1,INDEX(Monthly!$B$2:$B$61,BD$1-$A50+1),0)</f>
        <v/>
      </c>
      <c r="BE50" s="47">
        <f>IF($A50&lt;=BE$1,INDEX(Monthly!$B$2:$B$61,BE$1-$A50+1),0)</f>
        <v/>
      </c>
      <c r="BF50" s="47">
        <f>IF($A50&lt;=BF$1,INDEX(Monthly!$B$2:$B$61,BF$1-$A50+1),0)</f>
        <v/>
      </c>
      <c r="BG50" s="47">
        <f>IF($A50&lt;=BG$1,INDEX(Monthly!$B$2:$B$61,BG$1-$A50+1),0)</f>
        <v/>
      </c>
      <c r="BH50" s="47">
        <f>IF($A50&lt;=BH$1,INDEX(Monthly!$B$2:$B$61,BH$1-$A50+1),0)</f>
        <v/>
      </c>
      <c r="BI50" s="47">
        <f>IF($A50&lt;=BI$1,INDEX(Monthly!$B$2:$B$61,BI$1-$A50+1),0)</f>
        <v/>
      </c>
    </row>
    <row r="51">
      <c r="A51" s="3" t="n">
        <v>50</v>
      </c>
      <c r="B51" s="47">
        <f>IF($A51&lt;=B$1,INDEX(Monthly!$B$2:$B$61,B$1-$A51+1),0)</f>
        <v/>
      </c>
      <c r="C51" s="47">
        <f>IF($A51&lt;=C$1,INDEX(Monthly!$B$2:$B$61,C$1-$A51+1),0)</f>
        <v/>
      </c>
      <c r="D51" s="47">
        <f>IF($A51&lt;=D$1,INDEX(Monthly!$B$2:$B$61,D$1-$A51+1),0)</f>
        <v/>
      </c>
      <c r="E51" s="47">
        <f>IF($A51&lt;=E$1,INDEX(Monthly!$B$2:$B$61,E$1-$A51+1),0)</f>
        <v/>
      </c>
      <c r="F51" s="47">
        <f>IF($A51&lt;=F$1,INDEX(Monthly!$B$2:$B$61,F$1-$A51+1),0)</f>
        <v/>
      </c>
      <c r="G51" s="47">
        <f>IF($A51&lt;=G$1,INDEX(Monthly!$B$2:$B$61,G$1-$A51+1),0)</f>
        <v/>
      </c>
      <c r="H51" s="47">
        <f>IF($A51&lt;=H$1,INDEX(Monthly!$B$2:$B$61,H$1-$A51+1),0)</f>
        <v/>
      </c>
      <c r="I51" s="47">
        <f>IF($A51&lt;=I$1,INDEX(Monthly!$B$2:$B$61,I$1-$A51+1),0)</f>
        <v/>
      </c>
      <c r="J51" s="47">
        <f>IF($A51&lt;=J$1,INDEX(Monthly!$B$2:$B$61,J$1-$A51+1),0)</f>
        <v/>
      </c>
      <c r="K51" s="47">
        <f>IF($A51&lt;=K$1,INDEX(Monthly!$B$2:$B$61,K$1-$A51+1),0)</f>
        <v/>
      </c>
      <c r="L51" s="47">
        <f>IF($A51&lt;=L$1,INDEX(Monthly!$B$2:$B$61,L$1-$A51+1),0)</f>
        <v/>
      </c>
      <c r="M51" s="47">
        <f>IF($A51&lt;=M$1,INDEX(Monthly!$B$2:$B$61,M$1-$A51+1),0)</f>
        <v/>
      </c>
      <c r="N51" s="47">
        <f>IF($A51&lt;=N$1,INDEX(Monthly!$B$2:$B$61,N$1-$A51+1),0)</f>
        <v/>
      </c>
      <c r="O51" s="47">
        <f>IF($A51&lt;=O$1,INDEX(Monthly!$B$2:$B$61,O$1-$A51+1),0)</f>
        <v/>
      </c>
      <c r="P51" s="47">
        <f>IF($A51&lt;=P$1,INDEX(Monthly!$B$2:$B$61,P$1-$A51+1),0)</f>
        <v/>
      </c>
      <c r="Q51" s="47">
        <f>IF($A51&lt;=Q$1,INDEX(Monthly!$B$2:$B$61,Q$1-$A51+1),0)</f>
        <v/>
      </c>
      <c r="R51" s="47">
        <f>IF($A51&lt;=R$1,INDEX(Monthly!$B$2:$B$61,R$1-$A51+1),0)</f>
        <v/>
      </c>
      <c r="S51" s="47">
        <f>IF($A51&lt;=S$1,INDEX(Monthly!$B$2:$B$61,S$1-$A51+1),0)</f>
        <v/>
      </c>
      <c r="T51" s="47">
        <f>IF($A51&lt;=T$1,INDEX(Monthly!$B$2:$B$61,T$1-$A51+1),0)</f>
        <v/>
      </c>
      <c r="U51" s="47">
        <f>IF($A51&lt;=U$1,INDEX(Monthly!$B$2:$B$61,U$1-$A51+1),0)</f>
        <v/>
      </c>
      <c r="V51" s="47">
        <f>IF($A51&lt;=V$1,INDEX(Monthly!$B$2:$B$61,V$1-$A51+1),0)</f>
        <v/>
      </c>
      <c r="W51" s="47">
        <f>IF($A51&lt;=W$1,INDEX(Monthly!$B$2:$B$61,W$1-$A51+1),0)</f>
        <v/>
      </c>
      <c r="X51" s="47">
        <f>IF($A51&lt;=X$1,INDEX(Monthly!$B$2:$B$61,X$1-$A51+1),0)</f>
        <v/>
      </c>
      <c r="Y51" s="47">
        <f>IF($A51&lt;=Y$1,INDEX(Monthly!$B$2:$B$61,Y$1-$A51+1),0)</f>
        <v/>
      </c>
      <c r="Z51" s="47">
        <f>IF($A51&lt;=Z$1,INDEX(Monthly!$B$2:$B$61,Z$1-$A51+1),0)</f>
        <v/>
      </c>
      <c r="AA51" s="47">
        <f>IF($A51&lt;=AA$1,INDEX(Monthly!$B$2:$B$61,AA$1-$A51+1),0)</f>
        <v/>
      </c>
      <c r="AB51" s="47">
        <f>IF($A51&lt;=AB$1,INDEX(Monthly!$B$2:$B$61,AB$1-$A51+1),0)</f>
        <v/>
      </c>
      <c r="AC51" s="47">
        <f>IF($A51&lt;=AC$1,INDEX(Monthly!$B$2:$B$61,AC$1-$A51+1),0)</f>
        <v/>
      </c>
      <c r="AD51" s="47">
        <f>IF($A51&lt;=AD$1,INDEX(Monthly!$B$2:$B$61,AD$1-$A51+1),0)</f>
        <v/>
      </c>
      <c r="AE51" s="47">
        <f>IF($A51&lt;=AE$1,INDEX(Monthly!$B$2:$B$61,AE$1-$A51+1),0)</f>
        <v/>
      </c>
      <c r="AF51" s="47">
        <f>IF($A51&lt;=AF$1,INDEX(Monthly!$B$2:$B$61,AF$1-$A51+1),0)</f>
        <v/>
      </c>
      <c r="AG51" s="47">
        <f>IF($A51&lt;=AG$1,INDEX(Monthly!$B$2:$B$61,AG$1-$A51+1),0)</f>
        <v/>
      </c>
      <c r="AH51" s="47">
        <f>IF($A51&lt;=AH$1,INDEX(Monthly!$B$2:$B$61,AH$1-$A51+1),0)</f>
        <v/>
      </c>
      <c r="AI51" s="47">
        <f>IF($A51&lt;=AI$1,INDEX(Monthly!$B$2:$B$61,AI$1-$A51+1),0)</f>
        <v/>
      </c>
      <c r="AJ51" s="47">
        <f>IF($A51&lt;=AJ$1,INDEX(Monthly!$B$2:$B$61,AJ$1-$A51+1),0)</f>
        <v/>
      </c>
      <c r="AK51" s="47">
        <f>IF($A51&lt;=AK$1,INDEX(Monthly!$B$2:$B$61,AK$1-$A51+1),0)</f>
        <v/>
      </c>
      <c r="AL51" s="47">
        <f>IF($A51&lt;=AL$1,INDEX(Monthly!$B$2:$B$61,AL$1-$A51+1),0)</f>
        <v/>
      </c>
      <c r="AM51" s="47">
        <f>IF($A51&lt;=AM$1,INDEX(Monthly!$B$2:$B$61,AM$1-$A51+1),0)</f>
        <v/>
      </c>
      <c r="AN51" s="47">
        <f>IF($A51&lt;=AN$1,INDEX(Monthly!$B$2:$B$61,AN$1-$A51+1),0)</f>
        <v/>
      </c>
      <c r="AO51" s="47">
        <f>IF($A51&lt;=AO$1,INDEX(Monthly!$B$2:$B$61,AO$1-$A51+1),0)</f>
        <v/>
      </c>
      <c r="AP51" s="47">
        <f>IF($A51&lt;=AP$1,INDEX(Monthly!$B$2:$B$61,AP$1-$A51+1),0)</f>
        <v/>
      </c>
      <c r="AQ51" s="47">
        <f>IF($A51&lt;=AQ$1,INDEX(Monthly!$B$2:$B$61,AQ$1-$A51+1),0)</f>
        <v/>
      </c>
      <c r="AR51" s="47">
        <f>IF($A51&lt;=AR$1,INDEX(Monthly!$B$2:$B$61,AR$1-$A51+1),0)</f>
        <v/>
      </c>
      <c r="AS51" s="47">
        <f>IF($A51&lt;=AS$1,INDEX(Monthly!$B$2:$B$61,AS$1-$A51+1),0)</f>
        <v/>
      </c>
      <c r="AT51" s="47">
        <f>IF($A51&lt;=AT$1,INDEX(Monthly!$B$2:$B$61,AT$1-$A51+1),0)</f>
        <v/>
      </c>
      <c r="AU51" s="47">
        <f>IF($A51&lt;=AU$1,INDEX(Monthly!$B$2:$B$61,AU$1-$A51+1),0)</f>
        <v/>
      </c>
      <c r="AV51" s="47">
        <f>IF($A51&lt;=AV$1,INDEX(Monthly!$B$2:$B$61,AV$1-$A51+1),0)</f>
        <v/>
      </c>
      <c r="AW51" s="47">
        <f>IF($A51&lt;=AW$1,INDEX(Monthly!$B$2:$B$61,AW$1-$A51+1),0)</f>
        <v/>
      </c>
      <c r="AX51" s="47">
        <f>IF($A51&lt;=AX$1,INDEX(Monthly!$B$2:$B$61,AX$1-$A51+1),0)</f>
        <v/>
      </c>
      <c r="AY51" s="47">
        <f>IF($A51&lt;=AY$1,INDEX(Monthly!$B$2:$B$61,AY$1-$A51+1),0)</f>
        <v/>
      </c>
      <c r="AZ51" s="47">
        <f>IF($A51&lt;=AZ$1,INDEX(Monthly!$B$2:$B$61,AZ$1-$A51+1),0)</f>
        <v/>
      </c>
      <c r="BA51" s="47">
        <f>IF($A51&lt;=BA$1,INDEX(Monthly!$B$2:$B$61,BA$1-$A51+1),0)</f>
        <v/>
      </c>
      <c r="BB51" s="47">
        <f>IF($A51&lt;=BB$1,INDEX(Monthly!$B$2:$B$61,BB$1-$A51+1),0)</f>
        <v/>
      </c>
      <c r="BC51" s="47">
        <f>IF($A51&lt;=BC$1,INDEX(Monthly!$B$2:$B$61,BC$1-$A51+1),0)</f>
        <v/>
      </c>
      <c r="BD51" s="47">
        <f>IF($A51&lt;=BD$1,INDEX(Monthly!$B$2:$B$61,BD$1-$A51+1),0)</f>
        <v/>
      </c>
      <c r="BE51" s="47">
        <f>IF($A51&lt;=BE$1,INDEX(Monthly!$B$2:$B$61,BE$1-$A51+1),0)</f>
        <v/>
      </c>
      <c r="BF51" s="47">
        <f>IF($A51&lt;=BF$1,INDEX(Monthly!$B$2:$B$61,BF$1-$A51+1),0)</f>
        <v/>
      </c>
      <c r="BG51" s="47">
        <f>IF($A51&lt;=BG$1,INDEX(Monthly!$B$2:$B$61,BG$1-$A51+1),0)</f>
        <v/>
      </c>
      <c r="BH51" s="47">
        <f>IF($A51&lt;=BH$1,INDEX(Monthly!$B$2:$B$61,BH$1-$A51+1),0)</f>
        <v/>
      </c>
      <c r="BI51" s="47">
        <f>IF($A51&lt;=BI$1,INDEX(Monthly!$B$2:$B$61,BI$1-$A51+1),0)</f>
        <v/>
      </c>
    </row>
    <row r="52">
      <c r="A52" s="3" t="n">
        <v>51</v>
      </c>
      <c r="B52" s="47">
        <f>IF($A52&lt;=B$1,INDEX(Monthly!$B$2:$B$61,B$1-$A52+1),0)</f>
        <v/>
      </c>
      <c r="C52" s="47">
        <f>IF($A52&lt;=C$1,INDEX(Monthly!$B$2:$B$61,C$1-$A52+1),0)</f>
        <v/>
      </c>
      <c r="D52" s="47">
        <f>IF($A52&lt;=D$1,INDEX(Monthly!$B$2:$B$61,D$1-$A52+1),0)</f>
        <v/>
      </c>
      <c r="E52" s="47">
        <f>IF($A52&lt;=E$1,INDEX(Monthly!$B$2:$B$61,E$1-$A52+1),0)</f>
        <v/>
      </c>
      <c r="F52" s="47">
        <f>IF($A52&lt;=F$1,INDEX(Monthly!$B$2:$B$61,F$1-$A52+1),0)</f>
        <v/>
      </c>
      <c r="G52" s="47">
        <f>IF($A52&lt;=G$1,INDEX(Monthly!$B$2:$B$61,G$1-$A52+1),0)</f>
        <v/>
      </c>
      <c r="H52" s="47">
        <f>IF($A52&lt;=H$1,INDEX(Monthly!$B$2:$B$61,H$1-$A52+1),0)</f>
        <v/>
      </c>
      <c r="I52" s="47">
        <f>IF($A52&lt;=I$1,INDEX(Monthly!$B$2:$B$61,I$1-$A52+1),0)</f>
        <v/>
      </c>
      <c r="J52" s="47">
        <f>IF($A52&lt;=J$1,INDEX(Monthly!$B$2:$B$61,J$1-$A52+1),0)</f>
        <v/>
      </c>
      <c r="K52" s="47">
        <f>IF($A52&lt;=K$1,INDEX(Monthly!$B$2:$B$61,K$1-$A52+1),0)</f>
        <v/>
      </c>
      <c r="L52" s="47">
        <f>IF($A52&lt;=L$1,INDEX(Monthly!$B$2:$B$61,L$1-$A52+1),0)</f>
        <v/>
      </c>
      <c r="M52" s="47">
        <f>IF($A52&lt;=M$1,INDEX(Monthly!$B$2:$B$61,M$1-$A52+1),0)</f>
        <v/>
      </c>
      <c r="N52" s="47">
        <f>IF($A52&lt;=N$1,INDEX(Monthly!$B$2:$B$61,N$1-$A52+1),0)</f>
        <v/>
      </c>
      <c r="O52" s="47">
        <f>IF($A52&lt;=O$1,INDEX(Monthly!$B$2:$B$61,O$1-$A52+1),0)</f>
        <v/>
      </c>
      <c r="P52" s="47">
        <f>IF($A52&lt;=P$1,INDEX(Monthly!$B$2:$B$61,P$1-$A52+1),0)</f>
        <v/>
      </c>
      <c r="Q52" s="47">
        <f>IF($A52&lt;=Q$1,INDEX(Monthly!$B$2:$B$61,Q$1-$A52+1),0)</f>
        <v/>
      </c>
      <c r="R52" s="47">
        <f>IF($A52&lt;=R$1,INDEX(Monthly!$B$2:$B$61,R$1-$A52+1),0)</f>
        <v/>
      </c>
      <c r="S52" s="47">
        <f>IF($A52&lt;=S$1,INDEX(Monthly!$B$2:$B$61,S$1-$A52+1),0)</f>
        <v/>
      </c>
      <c r="T52" s="47">
        <f>IF($A52&lt;=T$1,INDEX(Monthly!$B$2:$B$61,T$1-$A52+1),0)</f>
        <v/>
      </c>
      <c r="U52" s="47">
        <f>IF($A52&lt;=U$1,INDEX(Monthly!$B$2:$B$61,U$1-$A52+1),0)</f>
        <v/>
      </c>
      <c r="V52" s="47">
        <f>IF($A52&lt;=V$1,INDEX(Monthly!$B$2:$B$61,V$1-$A52+1),0)</f>
        <v/>
      </c>
      <c r="W52" s="47">
        <f>IF($A52&lt;=W$1,INDEX(Monthly!$B$2:$B$61,W$1-$A52+1),0)</f>
        <v/>
      </c>
      <c r="X52" s="47">
        <f>IF($A52&lt;=X$1,INDEX(Monthly!$B$2:$B$61,X$1-$A52+1),0)</f>
        <v/>
      </c>
      <c r="Y52" s="47">
        <f>IF($A52&lt;=Y$1,INDEX(Monthly!$B$2:$B$61,Y$1-$A52+1),0)</f>
        <v/>
      </c>
      <c r="Z52" s="47">
        <f>IF($A52&lt;=Z$1,INDEX(Monthly!$B$2:$B$61,Z$1-$A52+1),0)</f>
        <v/>
      </c>
      <c r="AA52" s="47">
        <f>IF($A52&lt;=AA$1,INDEX(Monthly!$B$2:$B$61,AA$1-$A52+1),0)</f>
        <v/>
      </c>
      <c r="AB52" s="47">
        <f>IF($A52&lt;=AB$1,INDEX(Monthly!$B$2:$B$61,AB$1-$A52+1),0)</f>
        <v/>
      </c>
      <c r="AC52" s="47">
        <f>IF($A52&lt;=AC$1,INDEX(Monthly!$B$2:$B$61,AC$1-$A52+1),0)</f>
        <v/>
      </c>
      <c r="AD52" s="47">
        <f>IF($A52&lt;=AD$1,INDEX(Monthly!$B$2:$B$61,AD$1-$A52+1),0)</f>
        <v/>
      </c>
      <c r="AE52" s="47">
        <f>IF($A52&lt;=AE$1,INDEX(Monthly!$B$2:$B$61,AE$1-$A52+1),0)</f>
        <v/>
      </c>
      <c r="AF52" s="47">
        <f>IF($A52&lt;=AF$1,INDEX(Monthly!$B$2:$B$61,AF$1-$A52+1),0)</f>
        <v/>
      </c>
      <c r="AG52" s="47">
        <f>IF($A52&lt;=AG$1,INDEX(Monthly!$B$2:$B$61,AG$1-$A52+1),0)</f>
        <v/>
      </c>
      <c r="AH52" s="47">
        <f>IF($A52&lt;=AH$1,INDEX(Monthly!$B$2:$B$61,AH$1-$A52+1),0)</f>
        <v/>
      </c>
      <c r="AI52" s="47">
        <f>IF($A52&lt;=AI$1,INDEX(Monthly!$B$2:$B$61,AI$1-$A52+1),0)</f>
        <v/>
      </c>
      <c r="AJ52" s="47">
        <f>IF($A52&lt;=AJ$1,INDEX(Monthly!$B$2:$B$61,AJ$1-$A52+1),0)</f>
        <v/>
      </c>
      <c r="AK52" s="47">
        <f>IF($A52&lt;=AK$1,INDEX(Monthly!$B$2:$B$61,AK$1-$A52+1),0)</f>
        <v/>
      </c>
      <c r="AL52" s="47">
        <f>IF($A52&lt;=AL$1,INDEX(Monthly!$B$2:$B$61,AL$1-$A52+1),0)</f>
        <v/>
      </c>
      <c r="AM52" s="47">
        <f>IF($A52&lt;=AM$1,INDEX(Monthly!$B$2:$B$61,AM$1-$A52+1),0)</f>
        <v/>
      </c>
      <c r="AN52" s="47">
        <f>IF($A52&lt;=AN$1,INDEX(Monthly!$B$2:$B$61,AN$1-$A52+1),0)</f>
        <v/>
      </c>
      <c r="AO52" s="47">
        <f>IF($A52&lt;=AO$1,INDEX(Monthly!$B$2:$B$61,AO$1-$A52+1),0)</f>
        <v/>
      </c>
      <c r="AP52" s="47">
        <f>IF($A52&lt;=AP$1,INDEX(Monthly!$B$2:$B$61,AP$1-$A52+1),0)</f>
        <v/>
      </c>
      <c r="AQ52" s="47">
        <f>IF($A52&lt;=AQ$1,INDEX(Monthly!$B$2:$B$61,AQ$1-$A52+1),0)</f>
        <v/>
      </c>
      <c r="AR52" s="47">
        <f>IF($A52&lt;=AR$1,INDEX(Monthly!$B$2:$B$61,AR$1-$A52+1),0)</f>
        <v/>
      </c>
      <c r="AS52" s="47">
        <f>IF($A52&lt;=AS$1,INDEX(Monthly!$B$2:$B$61,AS$1-$A52+1),0)</f>
        <v/>
      </c>
      <c r="AT52" s="47">
        <f>IF($A52&lt;=AT$1,INDEX(Monthly!$B$2:$B$61,AT$1-$A52+1),0)</f>
        <v/>
      </c>
      <c r="AU52" s="47">
        <f>IF($A52&lt;=AU$1,INDEX(Monthly!$B$2:$B$61,AU$1-$A52+1),0)</f>
        <v/>
      </c>
      <c r="AV52" s="47">
        <f>IF($A52&lt;=AV$1,INDEX(Monthly!$B$2:$B$61,AV$1-$A52+1),0)</f>
        <v/>
      </c>
      <c r="AW52" s="47">
        <f>IF($A52&lt;=AW$1,INDEX(Monthly!$B$2:$B$61,AW$1-$A52+1),0)</f>
        <v/>
      </c>
      <c r="AX52" s="47">
        <f>IF($A52&lt;=AX$1,INDEX(Monthly!$B$2:$B$61,AX$1-$A52+1),0)</f>
        <v/>
      </c>
      <c r="AY52" s="47">
        <f>IF($A52&lt;=AY$1,INDEX(Monthly!$B$2:$B$61,AY$1-$A52+1),0)</f>
        <v/>
      </c>
      <c r="AZ52" s="47">
        <f>IF($A52&lt;=AZ$1,INDEX(Monthly!$B$2:$B$61,AZ$1-$A52+1),0)</f>
        <v/>
      </c>
      <c r="BA52" s="47">
        <f>IF($A52&lt;=BA$1,INDEX(Monthly!$B$2:$B$61,BA$1-$A52+1),0)</f>
        <v/>
      </c>
      <c r="BB52" s="47">
        <f>IF($A52&lt;=BB$1,INDEX(Monthly!$B$2:$B$61,BB$1-$A52+1),0)</f>
        <v/>
      </c>
      <c r="BC52" s="47">
        <f>IF($A52&lt;=BC$1,INDEX(Monthly!$B$2:$B$61,BC$1-$A52+1),0)</f>
        <v/>
      </c>
      <c r="BD52" s="47">
        <f>IF($A52&lt;=BD$1,INDEX(Monthly!$B$2:$B$61,BD$1-$A52+1),0)</f>
        <v/>
      </c>
      <c r="BE52" s="47">
        <f>IF($A52&lt;=BE$1,INDEX(Monthly!$B$2:$B$61,BE$1-$A52+1),0)</f>
        <v/>
      </c>
      <c r="BF52" s="47">
        <f>IF($A52&lt;=BF$1,INDEX(Monthly!$B$2:$B$61,BF$1-$A52+1),0)</f>
        <v/>
      </c>
      <c r="BG52" s="47">
        <f>IF($A52&lt;=BG$1,INDEX(Monthly!$B$2:$B$61,BG$1-$A52+1),0)</f>
        <v/>
      </c>
      <c r="BH52" s="47">
        <f>IF($A52&lt;=BH$1,INDEX(Monthly!$B$2:$B$61,BH$1-$A52+1),0)</f>
        <v/>
      </c>
      <c r="BI52" s="47">
        <f>IF($A52&lt;=BI$1,INDEX(Monthly!$B$2:$B$61,BI$1-$A52+1),0)</f>
        <v/>
      </c>
    </row>
    <row r="53">
      <c r="A53" s="3" t="n">
        <v>52</v>
      </c>
      <c r="B53" s="47">
        <f>IF($A53&lt;=B$1,INDEX(Monthly!$B$2:$B$61,B$1-$A53+1),0)</f>
        <v/>
      </c>
      <c r="C53" s="47">
        <f>IF($A53&lt;=C$1,INDEX(Monthly!$B$2:$B$61,C$1-$A53+1),0)</f>
        <v/>
      </c>
      <c r="D53" s="47">
        <f>IF($A53&lt;=D$1,INDEX(Monthly!$B$2:$B$61,D$1-$A53+1),0)</f>
        <v/>
      </c>
      <c r="E53" s="47">
        <f>IF($A53&lt;=E$1,INDEX(Monthly!$B$2:$B$61,E$1-$A53+1),0)</f>
        <v/>
      </c>
      <c r="F53" s="47">
        <f>IF($A53&lt;=F$1,INDEX(Monthly!$B$2:$B$61,F$1-$A53+1),0)</f>
        <v/>
      </c>
      <c r="G53" s="47">
        <f>IF($A53&lt;=G$1,INDEX(Monthly!$B$2:$B$61,G$1-$A53+1),0)</f>
        <v/>
      </c>
      <c r="H53" s="47">
        <f>IF($A53&lt;=H$1,INDEX(Monthly!$B$2:$B$61,H$1-$A53+1),0)</f>
        <v/>
      </c>
      <c r="I53" s="47">
        <f>IF($A53&lt;=I$1,INDEX(Monthly!$B$2:$B$61,I$1-$A53+1),0)</f>
        <v/>
      </c>
      <c r="J53" s="47">
        <f>IF($A53&lt;=J$1,INDEX(Monthly!$B$2:$B$61,J$1-$A53+1),0)</f>
        <v/>
      </c>
      <c r="K53" s="47">
        <f>IF($A53&lt;=K$1,INDEX(Monthly!$B$2:$B$61,K$1-$A53+1),0)</f>
        <v/>
      </c>
      <c r="L53" s="47">
        <f>IF($A53&lt;=L$1,INDEX(Monthly!$B$2:$B$61,L$1-$A53+1),0)</f>
        <v/>
      </c>
      <c r="M53" s="47">
        <f>IF($A53&lt;=M$1,INDEX(Monthly!$B$2:$B$61,M$1-$A53+1),0)</f>
        <v/>
      </c>
      <c r="N53" s="47">
        <f>IF($A53&lt;=N$1,INDEX(Monthly!$B$2:$B$61,N$1-$A53+1),0)</f>
        <v/>
      </c>
      <c r="O53" s="47">
        <f>IF($A53&lt;=O$1,INDEX(Monthly!$B$2:$B$61,O$1-$A53+1),0)</f>
        <v/>
      </c>
      <c r="P53" s="47">
        <f>IF($A53&lt;=P$1,INDEX(Monthly!$B$2:$B$61,P$1-$A53+1),0)</f>
        <v/>
      </c>
      <c r="Q53" s="47">
        <f>IF($A53&lt;=Q$1,INDEX(Monthly!$B$2:$B$61,Q$1-$A53+1),0)</f>
        <v/>
      </c>
      <c r="R53" s="47">
        <f>IF($A53&lt;=R$1,INDEX(Monthly!$B$2:$B$61,R$1-$A53+1),0)</f>
        <v/>
      </c>
      <c r="S53" s="47">
        <f>IF($A53&lt;=S$1,INDEX(Monthly!$B$2:$B$61,S$1-$A53+1),0)</f>
        <v/>
      </c>
      <c r="T53" s="47">
        <f>IF($A53&lt;=T$1,INDEX(Monthly!$B$2:$B$61,T$1-$A53+1),0)</f>
        <v/>
      </c>
      <c r="U53" s="47">
        <f>IF($A53&lt;=U$1,INDEX(Monthly!$B$2:$B$61,U$1-$A53+1),0)</f>
        <v/>
      </c>
      <c r="V53" s="47">
        <f>IF($A53&lt;=V$1,INDEX(Monthly!$B$2:$B$61,V$1-$A53+1),0)</f>
        <v/>
      </c>
      <c r="W53" s="47">
        <f>IF($A53&lt;=W$1,INDEX(Monthly!$B$2:$B$61,W$1-$A53+1),0)</f>
        <v/>
      </c>
      <c r="X53" s="47">
        <f>IF($A53&lt;=X$1,INDEX(Monthly!$B$2:$B$61,X$1-$A53+1),0)</f>
        <v/>
      </c>
      <c r="Y53" s="47">
        <f>IF($A53&lt;=Y$1,INDEX(Monthly!$B$2:$B$61,Y$1-$A53+1),0)</f>
        <v/>
      </c>
      <c r="Z53" s="47">
        <f>IF($A53&lt;=Z$1,INDEX(Monthly!$B$2:$B$61,Z$1-$A53+1),0)</f>
        <v/>
      </c>
      <c r="AA53" s="47">
        <f>IF($A53&lt;=AA$1,INDEX(Monthly!$B$2:$B$61,AA$1-$A53+1),0)</f>
        <v/>
      </c>
      <c r="AB53" s="47">
        <f>IF($A53&lt;=AB$1,INDEX(Monthly!$B$2:$B$61,AB$1-$A53+1),0)</f>
        <v/>
      </c>
      <c r="AC53" s="47">
        <f>IF($A53&lt;=AC$1,INDEX(Monthly!$B$2:$B$61,AC$1-$A53+1),0)</f>
        <v/>
      </c>
      <c r="AD53" s="47">
        <f>IF($A53&lt;=AD$1,INDEX(Monthly!$B$2:$B$61,AD$1-$A53+1),0)</f>
        <v/>
      </c>
      <c r="AE53" s="47">
        <f>IF($A53&lt;=AE$1,INDEX(Monthly!$B$2:$B$61,AE$1-$A53+1),0)</f>
        <v/>
      </c>
      <c r="AF53" s="47">
        <f>IF($A53&lt;=AF$1,INDEX(Monthly!$B$2:$B$61,AF$1-$A53+1),0)</f>
        <v/>
      </c>
      <c r="AG53" s="47">
        <f>IF($A53&lt;=AG$1,INDEX(Monthly!$B$2:$B$61,AG$1-$A53+1),0)</f>
        <v/>
      </c>
      <c r="AH53" s="47">
        <f>IF($A53&lt;=AH$1,INDEX(Monthly!$B$2:$B$61,AH$1-$A53+1),0)</f>
        <v/>
      </c>
      <c r="AI53" s="47">
        <f>IF($A53&lt;=AI$1,INDEX(Monthly!$B$2:$B$61,AI$1-$A53+1),0)</f>
        <v/>
      </c>
      <c r="AJ53" s="47">
        <f>IF($A53&lt;=AJ$1,INDEX(Monthly!$B$2:$B$61,AJ$1-$A53+1),0)</f>
        <v/>
      </c>
      <c r="AK53" s="47">
        <f>IF($A53&lt;=AK$1,INDEX(Monthly!$B$2:$B$61,AK$1-$A53+1),0)</f>
        <v/>
      </c>
      <c r="AL53" s="47">
        <f>IF($A53&lt;=AL$1,INDEX(Monthly!$B$2:$B$61,AL$1-$A53+1),0)</f>
        <v/>
      </c>
      <c r="AM53" s="47">
        <f>IF($A53&lt;=AM$1,INDEX(Monthly!$B$2:$B$61,AM$1-$A53+1),0)</f>
        <v/>
      </c>
      <c r="AN53" s="47">
        <f>IF($A53&lt;=AN$1,INDEX(Monthly!$B$2:$B$61,AN$1-$A53+1),0)</f>
        <v/>
      </c>
      <c r="AO53" s="47">
        <f>IF($A53&lt;=AO$1,INDEX(Monthly!$B$2:$B$61,AO$1-$A53+1),0)</f>
        <v/>
      </c>
      <c r="AP53" s="47">
        <f>IF($A53&lt;=AP$1,INDEX(Monthly!$B$2:$B$61,AP$1-$A53+1),0)</f>
        <v/>
      </c>
      <c r="AQ53" s="47">
        <f>IF($A53&lt;=AQ$1,INDEX(Monthly!$B$2:$B$61,AQ$1-$A53+1),0)</f>
        <v/>
      </c>
      <c r="AR53" s="47">
        <f>IF($A53&lt;=AR$1,INDEX(Monthly!$B$2:$B$61,AR$1-$A53+1),0)</f>
        <v/>
      </c>
      <c r="AS53" s="47">
        <f>IF($A53&lt;=AS$1,INDEX(Monthly!$B$2:$B$61,AS$1-$A53+1),0)</f>
        <v/>
      </c>
      <c r="AT53" s="47">
        <f>IF($A53&lt;=AT$1,INDEX(Monthly!$B$2:$B$61,AT$1-$A53+1),0)</f>
        <v/>
      </c>
      <c r="AU53" s="47">
        <f>IF($A53&lt;=AU$1,INDEX(Monthly!$B$2:$B$61,AU$1-$A53+1),0)</f>
        <v/>
      </c>
      <c r="AV53" s="47">
        <f>IF($A53&lt;=AV$1,INDEX(Monthly!$B$2:$B$61,AV$1-$A53+1),0)</f>
        <v/>
      </c>
      <c r="AW53" s="47">
        <f>IF($A53&lt;=AW$1,INDEX(Monthly!$B$2:$B$61,AW$1-$A53+1),0)</f>
        <v/>
      </c>
      <c r="AX53" s="47">
        <f>IF($A53&lt;=AX$1,INDEX(Monthly!$B$2:$B$61,AX$1-$A53+1),0)</f>
        <v/>
      </c>
      <c r="AY53" s="47">
        <f>IF($A53&lt;=AY$1,INDEX(Monthly!$B$2:$B$61,AY$1-$A53+1),0)</f>
        <v/>
      </c>
      <c r="AZ53" s="47">
        <f>IF($A53&lt;=AZ$1,INDEX(Monthly!$B$2:$B$61,AZ$1-$A53+1),0)</f>
        <v/>
      </c>
      <c r="BA53" s="47">
        <f>IF($A53&lt;=BA$1,INDEX(Monthly!$B$2:$B$61,BA$1-$A53+1),0)</f>
        <v/>
      </c>
      <c r="BB53" s="47">
        <f>IF($A53&lt;=BB$1,INDEX(Monthly!$B$2:$B$61,BB$1-$A53+1),0)</f>
        <v/>
      </c>
      <c r="BC53" s="47">
        <f>IF($A53&lt;=BC$1,INDEX(Monthly!$B$2:$B$61,BC$1-$A53+1),0)</f>
        <v/>
      </c>
      <c r="BD53" s="47">
        <f>IF($A53&lt;=BD$1,INDEX(Monthly!$B$2:$B$61,BD$1-$A53+1),0)</f>
        <v/>
      </c>
      <c r="BE53" s="47">
        <f>IF($A53&lt;=BE$1,INDEX(Monthly!$B$2:$B$61,BE$1-$A53+1),0)</f>
        <v/>
      </c>
      <c r="BF53" s="47">
        <f>IF($A53&lt;=BF$1,INDEX(Monthly!$B$2:$B$61,BF$1-$A53+1),0)</f>
        <v/>
      </c>
      <c r="BG53" s="47">
        <f>IF($A53&lt;=BG$1,INDEX(Monthly!$B$2:$B$61,BG$1-$A53+1),0)</f>
        <v/>
      </c>
      <c r="BH53" s="47">
        <f>IF($A53&lt;=BH$1,INDEX(Monthly!$B$2:$B$61,BH$1-$A53+1),0)</f>
        <v/>
      </c>
      <c r="BI53" s="47">
        <f>IF($A53&lt;=BI$1,INDEX(Monthly!$B$2:$B$61,BI$1-$A53+1),0)</f>
        <v/>
      </c>
    </row>
    <row r="54">
      <c r="A54" s="3" t="n">
        <v>53</v>
      </c>
      <c r="B54" s="47">
        <f>IF($A54&lt;=B$1,INDEX(Monthly!$B$2:$B$61,B$1-$A54+1),0)</f>
        <v/>
      </c>
      <c r="C54" s="47">
        <f>IF($A54&lt;=C$1,INDEX(Monthly!$B$2:$B$61,C$1-$A54+1),0)</f>
        <v/>
      </c>
      <c r="D54" s="47">
        <f>IF($A54&lt;=D$1,INDEX(Monthly!$B$2:$B$61,D$1-$A54+1),0)</f>
        <v/>
      </c>
      <c r="E54" s="47">
        <f>IF($A54&lt;=E$1,INDEX(Monthly!$B$2:$B$61,E$1-$A54+1),0)</f>
        <v/>
      </c>
      <c r="F54" s="47">
        <f>IF($A54&lt;=F$1,INDEX(Monthly!$B$2:$B$61,F$1-$A54+1),0)</f>
        <v/>
      </c>
      <c r="G54" s="47">
        <f>IF($A54&lt;=G$1,INDEX(Monthly!$B$2:$B$61,G$1-$A54+1),0)</f>
        <v/>
      </c>
      <c r="H54" s="47">
        <f>IF($A54&lt;=H$1,INDEX(Monthly!$B$2:$B$61,H$1-$A54+1),0)</f>
        <v/>
      </c>
      <c r="I54" s="47">
        <f>IF($A54&lt;=I$1,INDEX(Monthly!$B$2:$B$61,I$1-$A54+1),0)</f>
        <v/>
      </c>
      <c r="J54" s="47">
        <f>IF($A54&lt;=J$1,INDEX(Monthly!$B$2:$B$61,J$1-$A54+1),0)</f>
        <v/>
      </c>
      <c r="K54" s="47">
        <f>IF($A54&lt;=K$1,INDEX(Monthly!$B$2:$B$61,K$1-$A54+1),0)</f>
        <v/>
      </c>
      <c r="L54" s="47">
        <f>IF($A54&lt;=L$1,INDEX(Monthly!$B$2:$B$61,L$1-$A54+1),0)</f>
        <v/>
      </c>
      <c r="M54" s="47">
        <f>IF($A54&lt;=M$1,INDEX(Monthly!$B$2:$B$61,M$1-$A54+1),0)</f>
        <v/>
      </c>
      <c r="N54" s="47">
        <f>IF($A54&lt;=N$1,INDEX(Monthly!$B$2:$B$61,N$1-$A54+1),0)</f>
        <v/>
      </c>
      <c r="O54" s="47">
        <f>IF($A54&lt;=O$1,INDEX(Monthly!$B$2:$B$61,O$1-$A54+1),0)</f>
        <v/>
      </c>
      <c r="P54" s="47">
        <f>IF($A54&lt;=P$1,INDEX(Monthly!$B$2:$B$61,P$1-$A54+1),0)</f>
        <v/>
      </c>
      <c r="Q54" s="47">
        <f>IF($A54&lt;=Q$1,INDEX(Monthly!$B$2:$B$61,Q$1-$A54+1),0)</f>
        <v/>
      </c>
      <c r="R54" s="47">
        <f>IF($A54&lt;=R$1,INDEX(Monthly!$B$2:$B$61,R$1-$A54+1),0)</f>
        <v/>
      </c>
      <c r="S54" s="47">
        <f>IF($A54&lt;=S$1,INDEX(Monthly!$B$2:$B$61,S$1-$A54+1),0)</f>
        <v/>
      </c>
      <c r="T54" s="47">
        <f>IF($A54&lt;=T$1,INDEX(Monthly!$B$2:$B$61,T$1-$A54+1),0)</f>
        <v/>
      </c>
      <c r="U54" s="47">
        <f>IF($A54&lt;=U$1,INDEX(Monthly!$B$2:$B$61,U$1-$A54+1),0)</f>
        <v/>
      </c>
      <c r="V54" s="47">
        <f>IF($A54&lt;=V$1,INDEX(Monthly!$B$2:$B$61,V$1-$A54+1),0)</f>
        <v/>
      </c>
      <c r="W54" s="47">
        <f>IF($A54&lt;=W$1,INDEX(Monthly!$B$2:$B$61,W$1-$A54+1),0)</f>
        <v/>
      </c>
      <c r="X54" s="47">
        <f>IF($A54&lt;=X$1,INDEX(Monthly!$B$2:$B$61,X$1-$A54+1),0)</f>
        <v/>
      </c>
      <c r="Y54" s="47">
        <f>IF($A54&lt;=Y$1,INDEX(Monthly!$B$2:$B$61,Y$1-$A54+1),0)</f>
        <v/>
      </c>
      <c r="Z54" s="47">
        <f>IF($A54&lt;=Z$1,INDEX(Monthly!$B$2:$B$61,Z$1-$A54+1),0)</f>
        <v/>
      </c>
      <c r="AA54" s="47">
        <f>IF($A54&lt;=AA$1,INDEX(Monthly!$B$2:$B$61,AA$1-$A54+1),0)</f>
        <v/>
      </c>
      <c r="AB54" s="47">
        <f>IF($A54&lt;=AB$1,INDEX(Monthly!$B$2:$B$61,AB$1-$A54+1),0)</f>
        <v/>
      </c>
      <c r="AC54" s="47">
        <f>IF($A54&lt;=AC$1,INDEX(Monthly!$B$2:$B$61,AC$1-$A54+1),0)</f>
        <v/>
      </c>
      <c r="AD54" s="47">
        <f>IF($A54&lt;=AD$1,INDEX(Monthly!$B$2:$B$61,AD$1-$A54+1),0)</f>
        <v/>
      </c>
      <c r="AE54" s="47">
        <f>IF($A54&lt;=AE$1,INDEX(Monthly!$B$2:$B$61,AE$1-$A54+1),0)</f>
        <v/>
      </c>
      <c r="AF54" s="47">
        <f>IF($A54&lt;=AF$1,INDEX(Monthly!$B$2:$B$61,AF$1-$A54+1),0)</f>
        <v/>
      </c>
      <c r="AG54" s="47">
        <f>IF($A54&lt;=AG$1,INDEX(Monthly!$B$2:$B$61,AG$1-$A54+1),0)</f>
        <v/>
      </c>
      <c r="AH54" s="47">
        <f>IF($A54&lt;=AH$1,INDEX(Monthly!$B$2:$B$61,AH$1-$A54+1),0)</f>
        <v/>
      </c>
      <c r="AI54" s="47">
        <f>IF($A54&lt;=AI$1,INDEX(Monthly!$B$2:$B$61,AI$1-$A54+1),0)</f>
        <v/>
      </c>
      <c r="AJ54" s="47">
        <f>IF($A54&lt;=AJ$1,INDEX(Monthly!$B$2:$B$61,AJ$1-$A54+1),0)</f>
        <v/>
      </c>
      <c r="AK54" s="47">
        <f>IF($A54&lt;=AK$1,INDEX(Monthly!$B$2:$B$61,AK$1-$A54+1),0)</f>
        <v/>
      </c>
      <c r="AL54" s="47">
        <f>IF($A54&lt;=AL$1,INDEX(Monthly!$B$2:$B$61,AL$1-$A54+1),0)</f>
        <v/>
      </c>
      <c r="AM54" s="47">
        <f>IF($A54&lt;=AM$1,INDEX(Monthly!$B$2:$B$61,AM$1-$A54+1),0)</f>
        <v/>
      </c>
      <c r="AN54" s="47">
        <f>IF($A54&lt;=AN$1,INDEX(Monthly!$B$2:$B$61,AN$1-$A54+1),0)</f>
        <v/>
      </c>
      <c r="AO54" s="47">
        <f>IF($A54&lt;=AO$1,INDEX(Monthly!$B$2:$B$61,AO$1-$A54+1),0)</f>
        <v/>
      </c>
      <c r="AP54" s="47">
        <f>IF($A54&lt;=AP$1,INDEX(Monthly!$B$2:$B$61,AP$1-$A54+1),0)</f>
        <v/>
      </c>
      <c r="AQ54" s="47">
        <f>IF($A54&lt;=AQ$1,INDEX(Monthly!$B$2:$B$61,AQ$1-$A54+1),0)</f>
        <v/>
      </c>
      <c r="AR54" s="47">
        <f>IF($A54&lt;=AR$1,INDEX(Monthly!$B$2:$B$61,AR$1-$A54+1),0)</f>
        <v/>
      </c>
      <c r="AS54" s="47">
        <f>IF($A54&lt;=AS$1,INDEX(Monthly!$B$2:$B$61,AS$1-$A54+1),0)</f>
        <v/>
      </c>
      <c r="AT54" s="47">
        <f>IF($A54&lt;=AT$1,INDEX(Monthly!$B$2:$B$61,AT$1-$A54+1),0)</f>
        <v/>
      </c>
      <c r="AU54" s="47">
        <f>IF($A54&lt;=AU$1,INDEX(Monthly!$B$2:$B$61,AU$1-$A54+1),0)</f>
        <v/>
      </c>
      <c r="AV54" s="47">
        <f>IF($A54&lt;=AV$1,INDEX(Monthly!$B$2:$B$61,AV$1-$A54+1),0)</f>
        <v/>
      </c>
      <c r="AW54" s="47">
        <f>IF($A54&lt;=AW$1,INDEX(Monthly!$B$2:$B$61,AW$1-$A54+1),0)</f>
        <v/>
      </c>
      <c r="AX54" s="47">
        <f>IF($A54&lt;=AX$1,INDEX(Monthly!$B$2:$B$61,AX$1-$A54+1),0)</f>
        <v/>
      </c>
      <c r="AY54" s="47">
        <f>IF($A54&lt;=AY$1,INDEX(Monthly!$B$2:$B$61,AY$1-$A54+1),0)</f>
        <v/>
      </c>
      <c r="AZ54" s="47">
        <f>IF($A54&lt;=AZ$1,INDEX(Monthly!$B$2:$B$61,AZ$1-$A54+1),0)</f>
        <v/>
      </c>
      <c r="BA54" s="47">
        <f>IF($A54&lt;=BA$1,INDEX(Monthly!$B$2:$B$61,BA$1-$A54+1),0)</f>
        <v/>
      </c>
      <c r="BB54" s="47">
        <f>IF($A54&lt;=BB$1,INDEX(Monthly!$B$2:$B$61,BB$1-$A54+1),0)</f>
        <v/>
      </c>
      <c r="BC54" s="47">
        <f>IF($A54&lt;=BC$1,INDEX(Monthly!$B$2:$B$61,BC$1-$A54+1),0)</f>
        <v/>
      </c>
      <c r="BD54" s="47">
        <f>IF($A54&lt;=BD$1,INDEX(Monthly!$B$2:$B$61,BD$1-$A54+1),0)</f>
        <v/>
      </c>
      <c r="BE54" s="47">
        <f>IF($A54&lt;=BE$1,INDEX(Monthly!$B$2:$B$61,BE$1-$A54+1),0)</f>
        <v/>
      </c>
      <c r="BF54" s="47">
        <f>IF($A54&lt;=BF$1,INDEX(Monthly!$B$2:$B$61,BF$1-$A54+1),0)</f>
        <v/>
      </c>
      <c r="BG54" s="47">
        <f>IF($A54&lt;=BG$1,INDEX(Monthly!$B$2:$B$61,BG$1-$A54+1),0)</f>
        <v/>
      </c>
      <c r="BH54" s="47">
        <f>IF($A54&lt;=BH$1,INDEX(Monthly!$B$2:$B$61,BH$1-$A54+1),0)</f>
        <v/>
      </c>
      <c r="BI54" s="47">
        <f>IF($A54&lt;=BI$1,INDEX(Monthly!$B$2:$B$61,BI$1-$A54+1),0)</f>
        <v/>
      </c>
    </row>
    <row r="55">
      <c r="A55" s="3" t="n">
        <v>54</v>
      </c>
      <c r="B55" s="47">
        <f>IF($A55&lt;=B$1,INDEX(Monthly!$B$2:$B$61,B$1-$A55+1),0)</f>
        <v/>
      </c>
      <c r="C55" s="47">
        <f>IF($A55&lt;=C$1,INDEX(Monthly!$B$2:$B$61,C$1-$A55+1),0)</f>
        <v/>
      </c>
      <c r="D55" s="47">
        <f>IF($A55&lt;=D$1,INDEX(Monthly!$B$2:$B$61,D$1-$A55+1),0)</f>
        <v/>
      </c>
      <c r="E55" s="47">
        <f>IF($A55&lt;=E$1,INDEX(Monthly!$B$2:$B$61,E$1-$A55+1),0)</f>
        <v/>
      </c>
      <c r="F55" s="47">
        <f>IF($A55&lt;=F$1,INDEX(Monthly!$B$2:$B$61,F$1-$A55+1),0)</f>
        <v/>
      </c>
      <c r="G55" s="47">
        <f>IF($A55&lt;=G$1,INDEX(Monthly!$B$2:$B$61,G$1-$A55+1),0)</f>
        <v/>
      </c>
      <c r="H55" s="47">
        <f>IF($A55&lt;=H$1,INDEX(Monthly!$B$2:$B$61,H$1-$A55+1),0)</f>
        <v/>
      </c>
      <c r="I55" s="47">
        <f>IF($A55&lt;=I$1,INDEX(Monthly!$B$2:$B$61,I$1-$A55+1),0)</f>
        <v/>
      </c>
      <c r="J55" s="47">
        <f>IF($A55&lt;=J$1,INDEX(Monthly!$B$2:$B$61,J$1-$A55+1),0)</f>
        <v/>
      </c>
      <c r="K55" s="47">
        <f>IF($A55&lt;=K$1,INDEX(Monthly!$B$2:$B$61,K$1-$A55+1),0)</f>
        <v/>
      </c>
      <c r="L55" s="47">
        <f>IF($A55&lt;=L$1,INDEX(Monthly!$B$2:$B$61,L$1-$A55+1),0)</f>
        <v/>
      </c>
      <c r="M55" s="47">
        <f>IF($A55&lt;=M$1,INDEX(Monthly!$B$2:$B$61,M$1-$A55+1),0)</f>
        <v/>
      </c>
      <c r="N55" s="47">
        <f>IF($A55&lt;=N$1,INDEX(Monthly!$B$2:$B$61,N$1-$A55+1),0)</f>
        <v/>
      </c>
      <c r="O55" s="47">
        <f>IF($A55&lt;=O$1,INDEX(Monthly!$B$2:$B$61,O$1-$A55+1),0)</f>
        <v/>
      </c>
      <c r="P55" s="47">
        <f>IF($A55&lt;=P$1,INDEX(Monthly!$B$2:$B$61,P$1-$A55+1),0)</f>
        <v/>
      </c>
      <c r="Q55" s="47">
        <f>IF($A55&lt;=Q$1,INDEX(Monthly!$B$2:$B$61,Q$1-$A55+1),0)</f>
        <v/>
      </c>
      <c r="R55" s="47">
        <f>IF($A55&lt;=R$1,INDEX(Monthly!$B$2:$B$61,R$1-$A55+1),0)</f>
        <v/>
      </c>
      <c r="S55" s="47">
        <f>IF($A55&lt;=S$1,INDEX(Monthly!$B$2:$B$61,S$1-$A55+1),0)</f>
        <v/>
      </c>
      <c r="T55" s="47">
        <f>IF($A55&lt;=T$1,INDEX(Monthly!$B$2:$B$61,T$1-$A55+1),0)</f>
        <v/>
      </c>
      <c r="U55" s="47">
        <f>IF($A55&lt;=U$1,INDEX(Monthly!$B$2:$B$61,U$1-$A55+1),0)</f>
        <v/>
      </c>
      <c r="V55" s="47">
        <f>IF($A55&lt;=V$1,INDEX(Monthly!$B$2:$B$61,V$1-$A55+1),0)</f>
        <v/>
      </c>
      <c r="W55" s="47">
        <f>IF($A55&lt;=W$1,INDEX(Monthly!$B$2:$B$61,W$1-$A55+1),0)</f>
        <v/>
      </c>
      <c r="X55" s="47">
        <f>IF($A55&lt;=X$1,INDEX(Monthly!$B$2:$B$61,X$1-$A55+1),0)</f>
        <v/>
      </c>
      <c r="Y55" s="47">
        <f>IF($A55&lt;=Y$1,INDEX(Monthly!$B$2:$B$61,Y$1-$A55+1),0)</f>
        <v/>
      </c>
      <c r="Z55" s="47">
        <f>IF($A55&lt;=Z$1,INDEX(Monthly!$B$2:$B$61,Z$1-$A55+1),0)</f>
        <v/>
      </c>
      <c r="AA55" s="47">
        <f>IF($A55&lt;=AA$1,INDEX(Monthly!$B$2:$B$61,AA$1-$A55+1),0)</f>
        <v/>
      </c>
      <c r="AB55" s="47">
        <f>IF($A55&lt;=AB$1,INDEX(Monthly!$B$2:$B$61,AB$1-$A55+1),0)</f>
        <v/>
      </c>
      <c r="AC55" s="47">
        <f>IF($A55&lt;=AC$1,INDEX(Monthly!$B$2:$B$61,AC$1-$A55+1),0)</f>
        <v/>
      </c>
      <c r="AD55" s="47">
        <f>IF($A55&lt;=AD$1,INDEX(Monthly!$B$2:$B$61,AD$1-$A55+1),0)</f>
        <v/>
      </c>
      <c r="AE55" s="47">
        <f>IF($A55&lt;=AE$1,INDEX(Monthly!$B$2:$B$61,AE$1-$A55+1),0)</f>
        <v/>
      </c>
      <c r="AF55" s="47">
        <f>IF($A55&lt;=AF$1,INDEX(Monthly!$B$2:$B$61,AF$1-$A55+1),0)</f>
        <v/>
      </c>
      <c r="AG55" s="47">
        <f>IF($A55&lt;=AG$1,INDEX(Monthly!$B$2:$B$61,AG$1-$A55+1),0)</f>
        <v/>
      </c>
      <c r="AH55" s="47">
        <f>IF($A55&lt;=AH$1,INDEX(Monthly!$B$2:$B$61,AH$1-$A55+1),0)</f>
        <v/>
      </c>
      <c r="AI55" s="47">
        <f>IF($A55&lt;=AI$1,INDEX(Monthly!$B$2:$B$61,AI$1-$A55+1),0)</f>
        <v/>
      </c>
      <c r="AJ55" s="47">
        <f>IF($A55&lt;=AJ$1,INDEX(Monthly!$B$2:$B$61,AJ$1-$A55+1),0)</f>
        <v/>
      </c>
      <c r="AK55" s="47">
        <f>IF($A55&lt;=AK$1,INDEX(Monthly!$B$2:$B$61,AK$1-$A55+1),0)</f>
        <v/>
      </c>
      <c r="AL55" s="47">
        <f>IF($A55&lt;=AL$1,INDEX(Monthly!$B$2:$B$61,AL$1-$A55+1),0)</f>
        <v/>
      </c>
      <c r="AM55" s="47">
        <f>IF($A55&lt;=AM$1,INDEX(Monthly!$B$2:$B$61,AM$1-$A55+1),0)</f>
        <v/>
      </c>
      <c r="AN55" s="47">
        <f>IF($A55&lt;=AN$1,INDEX(Monthly!$B$2:$B$61,AN$1-$A55+1),0)</f>
        <v/>
      </c>
      <c r="AO55" s="47">
        <f>IF($A55&lt;=AO$1,INDEX(Monthly!$B$2:$B$61,AO$1-$A55+1),0)</f>
        <v/>
      </c>
      <c r="AP55" s="47">
        <f>IF($A55&lt;=AP$1,INDEX(Monthly!$B$2:$B$61,AP$1-$A55+1),0)</f>
        <v/>
      </c>
      <c r="AQ55" s="47">
        <f>IF($A55&lt;=AQ$1,INDEX(Monthly!$B$2:$B$61,AQ$1-$A55+1),0)</f>
        <v/>
      </c>
      <c r="AR55" s="47">
        <f>IF($A55&lt;=AR$1,INDEX(Monthly!$B$2:$B$61,AR$1-$A55+1),0)</f>
        <v/>
      </c>
      <c r="AS55" s="47">
        <f>IF($A55&lt;=AS$1,INDEX(Monthly!$B$2:$B$61,AS$1-$A55+1),0)</f>
        <v/>
      </c>
      <c r="AT55" s="47">
        <f>IF($A55&lt;=AT$1,INDEX(Monthly!$B$2:$B$61,AT$1-$A55+1),0)</f>
        <v/>
      </c>
      <c r="AU55" s="47">
        <f>IF($A55&lt;=AU$1,INDEX(Monthly!$B$2:$B$61,AU$1-$A55+1),0)</f>
        <v/>
      </c>
      <c r="AV55" s="47">
        <f>IF($A55&lt;=AV$1,INDEX(Monthly!$B$2:$B$61,AV$1-$A55+1),0)</f>
        <v/>
      </c>
      <c r="AW55" s="47">
        <f>IF($A55&lt;=AW$1,INDEX(Monthly!$B$2:$B$61,AW$1-$A55+1),0)</f>
        <v/>
      </c>
      <c r="AX55" s="47">
        <f>IF($A55&lt;=AX$1,INDEX(Monthly!$B$2:$B$61,AX$1-$A55+1),0)</f>
        <v/>
      </c>
      <c r="AY55" s="47">
        <f>IF($A55&lt;=AY$1,INDEX(Monthly!$B$2:$B$61,AY$1-$A55+1),0)</f>
        <v/>
      </c>
      <c r="AZ55" s="47">
        <f>IF($A55&lt;=AZ$1,INDEX(Monthly!$B$2:$B$61,AZ$1-$A55+1),0)</f>
        <v/>
      </c>
      <c r="BA55" s="47">
        <f>IF($A55&lt;=BA$1,INDEX(Monthly!$B$2:$B$61,BA$1-$A55+1),0)</f>
        <v/>
      </c>
      <c r="BB55" s="47">
        <f>IF($A55&lt;=BB$1,INDEX(Monthly!$B$2:$B$61,BB$1-$A55+1),0)</f>
        <v/>
      </c>
      <c r="BC55" s="47">
        <f>IF($A55&lt;=BC$1,INDEX(Monthly!$B$2:$B$61,BC$1-$A55+1),0)</f>
        <v/>
      </c>
      <c r="BD55" s="47">
        <f>IF($A55&lt;=BD$1,INDEX(Monthly!$B$2:$B$61,BD$1-$A55+1),0)</f>
        <v/>
      </c>
      <c r="BE55" s="47">
        <f>IF($A55&lt;=BE$1,INDEX(Monthly!$B$2:$B$61,BE$1-$A55+1),0)</f>
        <v/>
      </c>
      <c r="BF55" s="47">
        <f>IF($A55&lt;=BF$1,INDEX(Monthly!$B$2:$B$61,BF$1-$A55+1),0)</f>
        <v/>
      </c>
      <c r="BG55" s="47">
        <f>IF($A55&lt;=BG$1,INDEX(Monthly!$B$2:$B$61,BG$1-$A55+1),0)</f>
        <v/>
      </c>
      <c r="BH55" s="47">
        <f>IF($A55&lt;=BH$1,INDEX(Monthly!$B$2:$B$61,BH$1-$A55+1),0)</f>
        <v/>
      </c>
      <c r="BI55" s="47">
        <f>IF($A55&lt;=BI$1,INDEX(Monthly!$B$2:$B$61,BI$1-$A55+1),0)</f>
        <v/>
      </c>
    </row>
    <row r="56">
      <c r="A56" s="3" t="n">
        <v>55</v>
      </c>
      <c r="B56" s="47">
        <f>IF($A56&lt;=B$1,INDEX(Monthly!$B$2:$B$61,B$1-$A56+1),0)</f>
        <v/>
      </c>
      <c r="C56" s="47">
        <f>IF($A56&lt;=C$1,INDEX(Monthly!$B$2:$B$61,C$1-$A56+1),0)</f>
        <v/>
      </c>
      <c r="D56" s="47">
        <f>IF($A56&lt;=D$1,INDEX(Monthly!$B$2:$B$61,D$1-$A56+1),0)</f>
        <v/>
      </c>
      <c r="E56" s="47">
        <f>IF($A56&lt;=E$1,INDEX(Monthly!$B$2:$B$61,E$1-$A56+1),0)</f>
        <v/>
      </c>
      <c r="F56" s="47">
        <f>IF($A56&lt;=F$1,INDEX(Monthly!$B$2:$B$61,F$1-$A56+1),0)</f>
        <v/>
      </c>
      <c r="G56" s="47">
        <f>IF($A56&lt;=G$1,INDEX(Monthly!$B$2:$B$61,G$1-$A56+1),0)</f>
        <v/>
      </c>
      <c r="H56" s="47">
        <f>IF($A56&lt;=H$1,INDEX(Monthly!$B$2:$B$61,H$1-$A56+1),0)</f>
        <v/>
      </c>
      <c r="I56" s="47">
        <f>IF($A56&lt;=I$1,INDEX(Monthly!$B$2:$B$61,I$1-$A56+1),0)</f>
        <v/>
      </c>
      <c r="J56" s="47">
        <f>IF($A56&lt;=J$1,INDEX(Monthly!$B$2:$B$61,J$1-$A56+1),0)</f>
        <v/>
      </c>
      <c r="K56" s="47">
        <f>IF($A56&lt;=K$1,INDEX(Monthly!$B$2:$B$61,K$1-$A56+1),0)</f>
        <v/>
      </c>
      <c r="L56" s="47">
        <f>IF($A56&lt;=L$1,INDEX(Monthly!$B$2:$B$61,L$1-$A56+1),0)</f>
        <v/>
      </c>
      <c r="M56" s="47">
        <f>IF($A56&lt;=M$1,INDEX(Monthly!$B$2:$B$61,M$1-$A56+1),0)</f>
        <v/>
      </c>
      <c r="N56" s="47">
        <f>IF($A56&lt;=N$1,INDEX(Monthly!$B$2:$B$61,N$1-$A56+1),0)</f>
        <v/>
      </c>
      <c r="O56" s="47">
        <f>IF($A56&lt;=O$1,INDEX(Monthly!$B$2:$B$61,O$1-$A56+1),0)</f>
        <v/>
      </c>
      <c r="P56" s="47">
        <f>IF($A56&lt;=P$1,INDEX(Monthly!$B$2:$B$61,P$1-$A56+1),0)</f>
        <v/>
      </c>
      <c r="Q56" s="47">
        <f>IF($A56&lt;=Q$1,INDEX(Monthly!$B$2:$B$61,Q$1-$A56+1),0)</f>
        <v/>
      </c>
      <c r="R56" s="47">
        <f>IF($A56&lt;=R$1,INDEX(Monthly!$B$2:$B$61,R$1-$A56+1),0)</f>
        <v/>
      </c>
      <c r="S56" s="47">
        <f>IF($A56&lt;=S$1,INDEX(Monthly!$B$2:$B$61,S$1-$A56+1),0)</f>
        <v/>
      </c>
      <c r="T56" s="47">
        <f>IF($A56&lt;=T$1,INDEX(Monthly!$B$2:$B$61,T$1-$A56+1),0)</f>
        <v/>
      </c>
      <c r="U56" s="47">
        <f>IF($A56&lt;=U$1,INDEX(Monthly!$B$2:$B$61,U$1-$A56+1),0)</f>
        <v/>
      </c>
      <c r="V56" s="47">
        <f>IF($A56&lt;=V$1,INDEX(Monthly!$B$2:$B$61,V$1-$A56+1),0)</f>
        <v/>
      </c>
      <c r="W56" s="47">
        <f>IF($A56&lt;=W$1,INDEX(Monthly!$B$2:$B$61,W$1-$A56+1),0)</f>
        <v/>
      </c>
      <c r="X56" s="47">
        <f>IF($A56&lt;=X$1,INDEX(Monthly!$B$2:$B$61,X$1-$A56+1),0)</f>
        <v/>
      </c>
      <c r="Y56" s="47">
        <f>IF($A56&lt;=Y$1,INDEX(Monthly!$B$2:$B$61,Y$1-$A56+1),0)</f>
        <v/>
      </c>
      <c r="Z56" s="47">
        <f>IF($A56&lt;=Z$1,INDEX(Monthly!$B$2:$B$61,Z$1-$A56+1),0)</f>
        <v/>
      </c>
      <c r="AA56" s="47">
        <f>IF($A56&lt;=AA$1,INDEX(Monthly!$B$2:$B$61,AA$1-$A56+1),0)</f>
        <v/>
      </c>
      <c r="AB56" s="47">
        <f>IF($A56&lt;=AB$1,INDEX(Monthly!$B$2:$B$61,AB$1-$A56+1),0)</f>
        <v/>
      </c>
      <c r="AC56" s="47">
        <f>IF($A56&lt;=AC$1,INDEX(Monthly!$B$2:$B$61,AC$1-$A56+1),0)</f>
        <v/>
      </c>
      <c r="AD56" s="47">
        <f>IF($A56&lt;=AD$1,INDEX(Monthly!$B$2:$B$61,AD$1-$A56+1),0)</f>
        <v/>
      </c>
      <c r="AE56" s="47">
        <f>IF($A56&lt;=AE$1,INDEX(Monthly!$B$2:$B$61,AE$1-$A56+1),0)</f>
        <v/>
      </c>
      <c r="AF56" s="47">
        <f>IF($A56&lt;=AF$1,INDEX(Monthly!$B$2:$B$61,AF$1-$A56+1),0)</f>
        <v/>
      </c>
      <c r="AG56" s="47">
        <f>IF($A56&lt;=AG$1,INDEX(Monthly!$B$2:$B$61,AG$1-$A56+1),0)</f>
        <v/>
      </c>
      <c r="AH56" s="47">
        <f>IF($A56&lt;=AH$1,INDEX(Monthly!$B$2:$B$61,AH$1-$A56+1),0)</f>
        <v/>
      </c>
      <c r="AI56" s="47">
        <f>IF($A56&lt;=AI$1,INDEX(Monthly!$B$2:$B$61,AI$1-$A56+1),0)</f>
        <v/>
      </c>
      <c r="AJ56" s="47">
        <f>IF($A56&lt;=AJ$1,INDEX(Monthly!$B$2:$B$61,AJ$1-$A56+1),0)</f>
        <v/>
      </c>
      <c r="AK56" s="47">
        <f>IF($A56&lt;=AK$1,INDEX(Monthly!$B$2:$B$61,AK$1-$A56+1),0)</f>
        <v/>
      </c>
      <c r="AL56" s="47">
        <f>IF($A56&lt;=AL$1,INDEX(Monthly!$B$2:$B$61,AL$1-$A56+1),0)</f>
        <v/>
      </c>
      <c r="AM56" s="47">
        <f>IF($A56&lt;=AM$1,INDEX(Monthly!$B$2:$B$61,AM$1-$A56+1),0)</f>
        <v/>
      </c>
      <c r="AN56" s="47">
        <f>IF($A56&lt;=AN$1,INDEX(Monthly!$B$2:$B$61,AN$1-$A56+1),0)</f>
        <v/>
      </c>
      <c r="AO56" s="47">
        <f>IF($A56&lt;=AO$1,INDEX(Monthly!$B$2:$B$61,AO$1-$A56+1),0)</f>
        <v/>
      </c>
      <c r="AP56" s="47">
        <f>IF($A56&lt;=AP$1,INDEX(Monthly!$B$2:$B$61,AP$1-$A56+1),0)</f>
        <v/>
      </c>
      <c r="AQ56" s="47">
        <f>IF($A56&lt;=AQ$1,INDEX(Monthly!$B$2:$B$61,AQ$1-$A56+1),0)</f>
        <v/>
      </c>
      <c r="AR56" s="47">
        <f>IF($A56&lt;=AR$1,INDEX(Monthly!$B$2:$B$61,AR$1-$A56+1),0)</f>
        <v/>
      </c>
      <c r="AS56" s="47">
        <f>IF($A56&lt;=AS$1,INDEX(Monthly!$B$2:$B$61,AS$1-$A56+1),0)</f>
        <v/>
      </c>
      <c r="AT56" s="47">
        <f>IF($A56&lt;=AT$1,INDEX(Monthly!$B$2:$B$61,AT$1-$A56+1),0)</f>
        <v/>
      </c>
      <c r="AU56" s="47">
        <f>IF($A56&lt;=AU$1,INDEX(Monthly!$B$2:$B$61,AU$1-$A56+1),0)</f>
        <v/>
      </c>
      <c r="AV56" s="47">
        <f>IF($A56&lt;=AV$1,INDEX(Monthly!$B$2:$B$61,AV$1-$A56+1),0)</f>
        <v/>
      </c>
      <c r="AW56" s="47">
        <f>IF($A56&lt;=AW$1,INDEX(Monthly!$B$2:$B$61,AW$1-$A56+1),0)</f>
        <v/>
      </c>
      <c r="AX56" s="47">
        <f>IF($A56&lt;=AX$1,INDEX(Monthly!$B$2:$B$61,AX$1-$A56+1),0)</f>
        <v/>
      </c>
      <c r="AY56" s="47">
        <f>IF($A56&lt;=AY$1,INDEX(Monthly!$B$2:$B$61,AY$1-$A56+1),0)</f>
        <v/>
      </c>
      <c r="AZ56" s="47">
        <f>IF($A56&lt;=AZ$1,INDEX(Monthly!$B$2:$B$61,AZ$1-$A56+1),0)</f>
        <v/>
      </c>
      <c r="BA56" s="47">
        <f>IF($A56&lt;=BA$1,INDEX(Monthly!$B$2:$B$61,BA$1-$A56+1),0)</f>
        <v/>
      </c>
      <c r="BB56" s="47">
        <f>IF($A56&lt;=BB$1,INDEX(Monthly!$B$2:$B$61,BB$1-$A56+1),0)</f>
        <v/>
      </c>
      <c r="BC56" s="47">
        <f>IF($A56&lt;=BC$1,INDEX(Monthly!$B$2:$B$61,BC$1-$A56+1),0)</f>
        <v/>
      </c>
      <c r="BD56" s="47">
        <f>IF($A56&lt;=BD$1,INDEX(Monthly!$B$2:$B$61,BD$1-$A56+1),0)</f>
        <v/>
      </c>
      <c r="BE56" s="47">
        <f>IF($A56&lt;=BE$1,INDEX(Monthly!$B$2:$B$61,BE$1-$A56+1),0)</f>
        <v/>
      </c>
      <c r="BF56" s="47">
        <f>IF($A56&lt;=BF$1,INDEX(Monthly!$B$2:$B$61,BF$1-$A56+1),0)</f>
        <v/>
      </c>
      <c r="BG56" s="47">
        <f>IF($A56&lt;=BG$1,INDEX(Monthly!$B$2:$B$61,BG$1-$A56+1),0)</f>
        <v/>
      </c>
      <c r="BH56" s="47">
        <f>IF($A56&lt;=BH$1,INDEX(Monthly!$B$2:$B$61,BH$1-$A56+1),0)</f>
        <v/>
      </c>
      <c r="BI56" s="47">
        <f>IF($A56&lt;=BI$1,INDEX(Monthly!$B$2:$B$61,BI$1-$A56+1),0)</f>
        <v/>
      </c>
    </row>
    <row r="57">
      <c r="A57" s="3" t="n">
        <v>56</v>
      </c>
      <c r="B57" s="47">
        <f>IF($A57&lt;=B$1,INDEX(Monthly!$B$2:$B$61,B$1-$A57+1),0)</f>
        <v/>
      </c>
      <c r="C57" s="47">
        <f>IF($A57&lt;=C$1,INDEX(Monthly!$B$2:$B$61,C$1-$A57+1),0)</f>
        <v/>
      </c>
      <c r="D57" s="47">
        <f>IF($A57&lt;=D$1,INDEX(Monthly!$B$2:$B$61,D$1-$A57+1),0)</f>
        <v/>
      </c>
      <c r="E57" s="47">
        <f>IF($A57&lt;=E$1,INDEX(Monthly!$B$2:$B$61,E$1-$A57+1),0)</f>
        <v/>
      </c>
      <c r="F57" s="47">
        <f>IF($A57&lt;=F$1,INDEX(Monthly!$B$2:$B$61,F$1-$A57+1),0)</f>
        <v/>
      </c>
      <c r="G57" s="47">
        <f>IF($A57&lt;=G$1,INDEX(Monthly!$B$2:$B$61,G$1-$A57+1),0)</f>
        <v/>
      </c>
      <c r="H57" s="47">
        <f>IF($A57&lt;=H$1,INDEX(Monthly!$B$2:$B$61,H$1-$A57+1),0)</f>
        <v/>
      </c>
      <c r="I57" s="47">
        <f>IF($A57&lt;=I$1,INDEX(Monthly!$B$2:$B$61,I$1-$A57+1),0)</f>
        <v/>
      </c>
      <c r="J57" s="47">
        <f>IF($A57&lt;=J$1,INDEX(Monthly!$B$2:$B$61,J$1-$A57+1),0)</f>
        <v/>
      </c>
      <c r="K57" s="47">
        <f>IF($A57&lt;=K$1,INDEX(Monthly!$B$2:$B$61,K$1-$A57+1),0)</f>
        <v/>
      </c>
      <c r="L57" s="47">
        <f>IF($A57&lt;=L$1,INDEX(Monthly!$B$2:$B$61,L$1-$A57+1),0)</f>
        <v/>
      </c>
      <c r="M57" s="47">
        <f>IF($A57&lt;=M$1,INDEX(Monthly!$B$2:$B$61,M$1-$A57+1),0)</f>
        <v/>
      </c>
      <c r="N57" s="47">
        <f>IF($A57&lt;=N$1,INDEX(Monthly!$B$2:$B$61,N$1-$A57+1),0)</f>
        <v/>
      </c>
      <c r="O57" s="47">
        <f>IF($A57&lt;=O$1,INDEX(Monthly!$B$2:$B$61,O$1-$A57+1),0)</f>
        <v/>
      </c>
      <c r="P57" s="47">
        <f>IF($A57&lt;=P$1,INDEX(Monthly!$B$2:$B$61,P$1-$A57+1),0)</f>
        <v/>
      </c>
      <c r="Q57" s="47">
        <f>IF($A57&lt;=Q$1,INDEX(Monthly!$B$2:$B$61,Q$1-$A57+1),0)</f>
        <v/>
      </c>
      <c r="R57" s="47">
        <f>IF($A57&lt;=R$1,INDEX(Monthly!$B$2:$B$61,R$1-$A57+1),0)</f>
        <v/>
      </c>
      <c r="S57" s="47">
        <f>IF($A57&lt;=S$1,INDEX(Monthly!$B$2:$B$61,S$1-$A57+1),0)</f>
        <v/>
      </c>
      <c r="T57" s="47">
        <f>IF($A57&lt;=T$1,INDEX(Monthly!$B$2:$B$61,T$1-$A57+1),0)</f>
        <v/>
      </c>
      <c r="U57" s="47">
        <f>IF($A57&lt;=U$1,INDEX(Monthly!$B$2:$B$61,U$1-$A57+1),0)</f>
        <v/>
      </c>
      <c r="V57" s="47">
        <f>IF($A57&lt;=V$1,INDEX(Monthly!$B$2:$B$61,V$1-$A57+1),0)</f>
        <v/>
      </c>
      <c r="W57" s="47">
        <f>IF($A57&lt;=W$1,INDEX(Monthly!$B$2:$B$61,W$1-$A57+1),0)</f>
        <v/>
      </c>
      <c r="X57" s="47">
        <f>IF($A57&lt;=X$1,INDEX(Monthly!$B$2:$B$61,X$1-$A57+1),0)</f>
        <v/>
      </c>
      <c r="Y57" s="47">
        <f>IF($A57&lt;=Y$1,INDEX(Monthly!$B$2:$B$61,Y$1-$A57+1),0)</f>
        <v/>
      </c>
      <c r="Z57" s="47">
        <f>IF($A57&lt;=Z$1,INDEX(Monthly!$B$2:$B$61,Z$1-$A57+1),0)</f>
        <v/>
      </c>
      <c r="AA57" s="47">
        <f>IF($A57&lt;=AA$1,INDEX(Monthly!$B$2:$B$61,AA$1-$A57+1),0)</f>
        <v/>
      </c>
      <c r="AB57" s="47">
        <f>IF($A57&lt;=AB$1,INDEX(Monthly!$B$2:$B$61,AB$1-$A57+1),0)</f>
        <v/>
      </c>
      <c r="AC57" s="47">
        <f>IF($A57&lt;=AC$1,INDEX(Monthly!$B$2:$B$61,AC$1-$A57+1),0)</f>
        <v/>
      </c>
      <c r="AD57" s="47">
        <f>IF($A57&lt;=AD$1,INDEX(Monthly!$B$2:$B$61,AD$1-$A57+1),0)</f>
        <v/>
      </c>
      <c r="AE57" s="47">
        <f>IF($A57&lt;=AE$1,INDEX(Monthly!$B$2:$B$61,AE$1-$A57+1),0)</f>
        <v/>
      </c>
      <c r="AF57" s="47">
        <f>IF($A57&lt;=AF$1,INDEX(Monthly!$B$2:$B$61,AF$1-$A57+1),0)</f>
        <v/>
      </c>
      <c r="AG57" s="47">
        <f>IF($A57&lt;=AG$1,INDEX(Monthly!$B$2:$B$61,AG$1-$A57+1),0)</f>
        <v/>
      </c>
      <c r="AH57" s="47">
        <f>IF($A57&lt;=AH$1,INDEX(Monthly!$B$2:$B$61,AH$1-$A57+1),0)</f>
        <v/>
      </c>
      <c r="AI57" s="47">
        <f>IF($A57&lt;=AI$1,INDEX(Monthly!$B$2:$B$61,AI$1-$A57+1),0)</f>
        <v/>
      </c>
      <c r="AJ57" s="47">
        <f>IF($A57&lt;=AJ$1,INDEX(Monthly!$B$2:$B$61,AJ$1-$A57+1),0)</f>
        <v/>
      </c>
      <c r="AK57" s="47">
        <f>IF($A57&lt;=AK$1,INDEX(Monthly!$B$2:$B$61,AK$1-$A57+1),0)</f>
        <v/>
      </c>
      <c r="AL57" s="47">
        <f>IF($A57&lt;=AL$1,INDEX(Monthly!$B$2:$B$61,AL$1-$A57+1),0)</f>
        <v/>
      </c>
      <c r="AM57" s="47">
        <f>IF($A57&lt;=AM$1,INDEX(Monthly!$B$2:$B$61,AM$1-$A57+1),0)</f>
        <v/>
      </c>
      <c r="AN57" s="47">
        <f>IF($A57&lt;=AN$1,INDEX(Monthly!$B$2:$B$61,AN$1-$A57+1),0)</f>
        <v/>
      </c>
      <c r="AO57" s="47">
        <f>IF($A57&lt;=AO$1,INDEX(Monthly!$B$2:$B$61,AO$1-$A57+1),0)</f>
        <v/>
      </c>
      <c r="AP57" s="47">
        <f>IF($A57&lt;=AP$1,INDEX(Monthly!$B$2:$B$61,AP$1-$A57+1),0)</f>
        <v/>
      </c>
      <c r="AQ57" s="47">
        <f>IF($A57&lt;=AQ$1,INDEX(Monthly!$B$2:$B$61,AQ$1-$A57+1),0)</f>
        <v/>
      </c>
      <c r="AR57" s="47">
        <f>IF($A57&lt;=AR$1,INDEX(Monthly!$B$2:$B$61,AR$1-$A57+1),0)</f>
        <v/>
      </c>
      <c r="AS57" s="47">
        <f>IF($A57&lt;=AS$1,INDEX(Monthly!$B$2:$B$61,AS$1-$A57+1),0)</f>
        <v/>
      </c>
      <c r="AT57" s="47">
        <f>IF($A57&lt;=AT$1,INDEX(Monthly!$B$2:$B$61,AT$1-$A57+1),0)</f>
        <v/>
      </c>
      <c r="AU57" s="47">
        <f>IF($A57&lt;=AU$1,INDEX(Monthly!$B$2:$B$61,AU$1-$A57+1),0)</f>
        <v/>
      </c>
      <c r="AV57" s="47">
        <f>IF($A57&lt;=AV$1,INDEX(Monthly!$B$2:$B$61,AV$1-$A57+1),0)</f>
        <v/>
      </c>
      <c r="AW57" s="47">
        <f>IF($A57&lt;=AW$1,INDEX(Monthly!$B$2:$B$61,AW$1-$A57+1),0)</f>
        <v/>
      </c>
      <c r="AX57" s="47">
        <f>IF($A57&lt;=AX$1,INDEX(Monthly!$B$2:$B$61,AX$1-$A57+1),0)</f>
        <v/>
      </c>
      <c r="AY57" s="47">
        <f>IF($A57&lt;=AY$1,INDEX(Monthly!$B$2:$B$61,AY$1-$A57+1),0)</f>
        <v/>
      </c>
      <c r="AZ57" s="47">
        <f>IF($A57&lt;=AZ$1,INDEX(Monthly!$B$2:$B$61,AZ$1-$A57+1),0)</f>
        <v/>
      </c>
      <c r="BA57" s="47">
        <f>IF($A57&lt;=BA$1,INDEX(Monthly!$B$2:$B$61,BA$1-$A57+1),0)</f>
        <v/>
      </c>
      <c r="BB57" s="47">
        <f>IF($A57&lt;=BB$1,INDEX(Monthly!$B$2:$B$61,BB$1-$A57+1),0)</f>
        <v/>
      </c>
      <c r="BC57" s="47">
        <f>IF($A57&lt;=BC$1,INDEX(Monthly!$B$2:$B$61,BC$1-$A57+1),0)</f>
        <v/>
      </c>
      <c r="BD57" s="47">
        <f>IF($A57&lt;=BD$1,INDEX(Monthly!$B$2:$B$61,BD$1-$A57+1),0)</f>
        <v/>
      </c>
      <c r="BE57" s="47">
        <f>IF($A57&lt;=BE$1,INDEX(Monthly!$B$2:$B$61,BE$1-$A57+1),0)</f>
        <v/>
      </c>
      <c r="BF57" s="47">
        <f>IF($A57&lt;=BF$1,INDEX(Monthly!$B$2:$B$61,BF$1-$A57+1),0)</f>
        <v/>
      </c>
      <c r="BG57" s="47">
        <f>IF($A57&lt;=BG$1,INDEX(Monthly!$B$2:$B$61,BG$1-$A57+1),0)</f>
        <v/>
      </c>
      <c r="BH57" s="47">
        <f>IF($A57&lt;=BH$1,INDEX(Monthly!$B$2:$B$61,BH$1-$A57+1),0)</f>
        <v/>
      </c>
      <c r="BI57" s="47">
        <f>IF($A57&lt;=BI$1,INDEX(Monthly!$B$2:$B$61,BI$1-$A57+1),0)</f>
        <v/>
      </c>
    </row>
    <row r="58">
      <c r="A58" s="3" t="n">
        <v>57</v>
      </c>
      <c r="B58" s="47">
        <f>IF($A58&lt;=B$1,INDEX(Monthly!$B$2:$B$61,B$1-$A58+1),0)</f>
        <v/>
      </c>
      <c r="C58" s="47">
        <f>IF($A58&lt;=C$1,INDEX(Monthly!$B$2:$B$61,C$1-$A58+1),0)</f>
        <v/>
      </c>
      <c r="D58" s="47">
        <f>IF($A58&lt;=D$1,INDEX(Monthly!$B$2:$B$61,D$1-$A58+1),0)</f>
        <v/>
      </c>
      <c r="E58" s="47">
        <f>IF($A58&lt;=E$1,INDEX(Monthly!$B$2:$B$61,E$1-$A58+1),0)</f>
        <v/>
      </c>
      <c r="F58" s="47">
        <f>IF($A58&lt;=F$1,INDEX(Monthly!$B$2:$B$61,F$1-$A58+1),0)</f>
        <v/>
      </c>
      <c r="G58" s="47">
        <f>IF($A58&lt;=G$1,INDEX(Monthly!$B$2:$B$61,G$1-$A58+1),0)</f>
        <v/>
      </c>
      <c r="H58" s="47">
        <f>IF($A58&lt;=H$1,INDEX(Monthly!$B$2:$B$61,H$1-$A58+1),0)</f>
        <v/>
      </c>
      <c r="I58" s="47">
        <f>IF($A58&lt;=I$1,INDEX(Monthly!$B$2:$B$61,I$1-$A58+1),0)</f>
        <v/>
      </c>
      <c r="J58" s="47">
        <f>IF($A58&lt;=J$1,INDEX(Monthly!$B$2:$B$61,J$1-$A58+1),0)</f>
        <v/>
      </c>
      <c r="K58" s="47">
        <f>IF($A58&lt;=K$1,INDEX(Monthly!$B$2:$B$61,K$1-$A58+1),0)</f>
        <v/>
      </c>
      <c r="L58" s="47">
        <f>IF($A58&lt;=L$1,INDEX(Monthly!$B$2:$B$61,L$1-$A58+1),0)</f>
        <v/>
      </c>
      <c r="M58" s="47">
        <f>IF($A58&lt;=M$1,INDEX(Monthly!$B$2:$B$61,M$1-$A58+1),0)</f>
        <v/>
      </c>
      <c r="N58" s="47">
        <f>IF($A58&lt;=N$1,INDEX(Monthly!$B$2:$B$61,N$1-$A58+1),0)</f>
        <v/>
      </c>
      <c r="O58" s="47">
        <f>IF($A58&lt;=O$1,INDEX(Monthly!$B$2:$B$61,O$1-$A58+1),0)</f>
        <v/>
      </c>
      <c r="P58" s="47">
        <f>IF($A58&lt;=P$1,INDEX(Monthly!$B$2:$B$61,P$1-$A58+1),0)</f>
        <v/>
      </c>
      <c r="Q58" s="47">
        <f>IF($A58&lt;=Q$1,INDEX(Monthly!$B$2:$B$61,Q$1-$A58+1),0)</f>
        <v/>
      </c>
      <c r="R58" s="47">
        <f>IF($A58&lt;=R$1,INDEX(Monthly!$B$2:$B$61,R$1-$A58+1),0)</f>
        <v/>
      </c>
      <c r="S58" s="47">
        <f>IF($A58&lt;=S$1,INDEX(Monthly!$B$2:$B$61,S$1-$A58+1),0)</f>
        <v/>
      </c>
      <c r="T58" s="47">
        <f>IF($A58&lt;=T$1,INDEX(Monthly!$B$2:$B$61,T$1-$A58+1),0)</f>
        <v/>
      </c>
      <c r="U58" s="47">
        <f>IF($A58&lt;=U$1,INDEX(Monthly!$B$2:$B$61,U$1-$A58+1),0)</f>
        <v/>
      </c>
      <c r="V58" s="47">
        <f>IF($A58&lt;=V$1,INDEX(Monthly!$B$2:$B$61,V$1-$A58+1),0)</f>
        <v/>
      </c>
      <c r="W58" s="47">
        <f>IF($A58&lt;=W$1,INDEX(Monthly!$B$2:$B$61,W$1-$A58+1),0)</f>
        <v/>
      </c>
      <c r="X58" s="47">
        <f>IF($A58&lt;=X$1,INDEX(Monthly!$B$2:$B$61,X$1-$A58+1),0)</f>
        <v/>
      </c>
      <c r="Y58" s="47">
        <f>IF($A58&lt;=Y$1,INDEX(Monthly!$B$2:$B$61,Y$1-$A58+1),0)</f>
        <v/>
      </c>
      <c r="Z58" s="47">
        <f>IF($A58&lt;=Z$1,INDEX(Monthly!$B$2:$B$61,Z$1-$A58+1),0)</f>
        <v/>
      </c>
      <c r="AA58" s="47">
        <f>IF($A58&lt;=AA$1,INDEX(Monthly!$B$2:$B$61,AA$1-$A58+1),0)</f>
        <v/>
      </c>
      <c r="AB58" s="47">
        <f>IF($A58&lt;=AB$1,INDEX(Monthly!$B$2:$B$61,AB$1-$A58+1),0)</f>
        <v/>
      </c>
      <c r="AC58" s="47">
        <f>IF($A58&lt;=AC$1,INDEX(Monthly!$B$2:$B$61,AC$1-$A58+1),0)</f>
        <v/>
      </c>
      <c r="AD58" s="47">
        <f>IF($A58&lt;=AD$1,INDEX(Monthly!$B$2:$B$61,AD$1-$A58+1),0)</f>
        <v/>
      </c>
      <c r="AE58" s="47">
        <f>IF($A58&lt;=AE$1,INDEX(Monthly!$B$2:$B$61,AE$1-$A58+1),0)</f>
        <v/>
      </c>
      <c r="AF58" s="47">
        <f>IF($A58&lt;=AF$1,INDEX(Monthly!$B$2:$B$61,AF$1-$A58+1),0)</f>
        <v/>
      </c>
      <c r="AG58" s="47">
        <f>IF($A58&lt;=AG$1,INDEX(Monthly!$B$2:$B$61,AG$1-$A58+1),0)</f>
        <v/>
      </c>
      <c r="AH58" s="47">
        <f>IF($A58&lt;=AH$1,INDEX(Monthly!$B$2:$B$61,AH$1-$A58+1),0)</f>
        <v/>
      </c>
      <c r="AI58" s="47">
        <f>IF($A58&lt;=AI$1,INDEX(Monthly!$B$2:$B$61,AI$1-$A58+1),0)</f>
        <v/>
      </c>
      <c r="AJ58" s="47">
        <f>IF($A58&lt;=AJ$1,INDEX(Monthly!$B$2:$B$61,AJ$1-$A58+1),0)</f>
        <v/>
      </c>
      <c r="AK58" s="47">
        <f>IF($A58&lt;=AK$1,INDEX(Monthly!$B$2:$B$61,AK$1-$A58+1),0)</f>
        <v/>
      </c>
      <c r="AL58" s="47">
        <f>IF($A58&lt;=AL$1,INDEX(Monthly!$B$2:$B$61,AL$1-$A58+1),0)</f>
        <v/>
      </c>
      <c r="AM58" s="47">
        <f>IF($A58&lt;=AM$1,INDEX(Monthly!$B$2:$B$61,AM$1-$A58+1),0)</f>
        <v/>
      </c>
      <c r="AN58" s="47">
        <f>IF($A58&lt;=AN$1,INDEX(Monthly!$B$2:$B$61,AN$1-$A58+1),0)</f>
        <v/>
      </c>
      <c r="AO58" s="47">
        <f>IF($A58&lt;=AO$1,INDEX(Monthly!$B$2:$B$61,AO$1-$A58+1),0)</f>
        <v/>
      </c>
      <c r="AP58" s="47">
        <f>IF($A58&lt;=AP$1,INDEX(Monthly!$B$2:$B$61,AP$1-$A58+1),0)</f>
        <v/>
      </c>
      <c r="AQ58" s="47">
        <f>IF($A58&lt;=AQ$1,INDEX(Monthly!$B$2:$B$61,AQ$1-$A58+1),0)</f>
        <v/>
      </c>
      <c r="AR58" s="47">
        <f>IF($A58&lt;=AR$1,INDEX(Monthly!$B$2:$B$61,AR$1-$A58+1),0)</f>
        <v/>
      </c>
      <c r="AS58" s="47">
        <f>IF($A58&lt;=AS$1,INDEX(Monthly!$B$2:$B$61,AS$1-$A58+1),0)</f>
        <v/>
      </c>
      <c r="AT58" s="47">
        <f>IF($A58&lt;=AT$1,INDEX(Monthly!$B$2:$B$61,AT$1-$A58+1),0)</f>
        <v/>
      </c>
      <c r="AU58" s="47">
        <f>IF($A58&lt;=AU$1,INDEX(Monthly!$B$2:$B$61,AU$1-$A58+1),0)</f>
        <v/>
      </c>
      <c r="AV58" s="47">
        <f>IF($A58&lt;=AV$1,INDEX(Monthly!$B$2:$B$61,AV$1-$A58+1),0)</f>
        <v/>
      </c>
      <c r="AW58" s="47">
        <f>IF($A58&lt;=AW$1,INDEX(Monthly!$B$2:$B$61,AW$1-$A58+1),0)</f>
        <v/>
      </c>
      <c r="AX58" s="47">
        <f>IF($A58&lt;=AX$1,INDEX(Monthly!$B$2:$B$61,AX$1-$A58+1),0)</f>
        <v/>
      </c>
      <c r="AY58" s="47">
        <f>IF($A58&lt;=AY$1,INDEX(Monthly!$B$2:$B$61,AY$1-$A58+1),0)</f>
        <v/>
      </c>
      <c r="AZ58" s="47">
        <f>IF($A58&lt;=AZ$1,INDEX(Monthly!$B$2:$B$61,AZ$1-$A58+1),0)</f>
        <v/>
      </c>
      <c r="BA58" s="47">
        <f>IF($A58&lt;=BA$1,INDEX(Monthly!$B$2:$B$61,BA$1-$A58+1),0)</f>
        <v/>
      </c>
      <c r="BB58" s="47">
        <f>IF($A58&lt;=BB$1,INDEX(Monthly!$B$2:$B$61,BB$1-$A58+1),0)</f>
        <v/>
      </c>
      <c r="BC58" s="47">
        <f>IF($A58&lt;=BC$1,INDEX(Monthly!$B$2:$B$61,BC$1-$A58+1),0)</f>
        <v/>
      </c>
      <c r="BD58" s="47">
        <f>IF($A58&lt;=BD$1,INDEX(Monthly!$B$2:$B$61,BD$1-$A58+1),0)</f>
        <v/>
      </c>
      <c r="BE58" s="47">
        <f>IF($A58&lt;=BE$1,INDEX(Monthly!$B$2:$B$61,BE$1-$A58+1),0)</f>
        <v/>
      </c>
      <c r="BF58" s="47">
        <f>IF($A58&lt;=BF$1,INDEX(Monthly!$B$2:$B$61,BF$1-$A58+1),0)</f>
        <v/>
      </c>
      <c r="BG58" s="47">
        <f>IF($A58&lt;=BG$1,INDEX(Monthly!$B$2:$B$61,BG$1-$A58+1),0)</f>
        <v/>
      </c>
      <c r="BH58" s="47">
        <f>IF($A58&lt;=BH$1,INDEX(Monthly!$B$2:$B$61,BH$1-$A58+1),0)</f>
        <v/>
      </c>
      <c r="BI58" s="47">
        <f>IF($A58&lt;=BI$1,INDEX(Monthly!$B$2:$B$61,BI$1-$A58+1),0)</f>
        <v/>
      </c>
    </row>
    <row r="59">
      <c r="A59" s="3" t="n">
        <v>58</v>
      </c>
      <c r="B59" s="47">
        <f>IF($A59&lt;=B$1,INDEX(Monthly!$B$2:$B$61,B$1-$A59+1),0)</f>
        <v/>
      </c>
      <c r="C59" s="47">
        <f>IF($A59&lt;=C$1,INDEX(Monthly!$B$2:$B$61,C$1-$A59+1),0)</f>
        <v/>
      </c>
      <c r="D59" s="47">
        <f>IF($A59&lt;=D$1,INDEX(Monthly!$B$2:$B$61,D$1-$A59+1),0)</f>
        <v/>
      </c>
      <c r="E59" s="47">
        <f>IF($A59&lt;=E$1,INDEX(Monthly!$B$2:$B$61,E$1-$A59+1),0)</f>
        <v/>
      </c>
      <c r="F59" s="47">
        <f>IF($A59&lt;=F$1,INDEX(Monthly!$B$2:$B$61,F$1-$A59+1),0)</f>
        <v/>
      </c>
      <c r="G59" s="47">
        <f>IF($A59&lt;=G$1,INDEX(Monthly!$B$2:$B$61,G$1-$A59+1),0)</f>
        <v/>
      </c>
      <c r="H59" s="47">
        <f>IF($A59&lt;=H$1,INDEX(Monthly!$B$2:$B$61,H$1-$A59+1),0)</f>
        <v/>
      </c>
      <c r="I59" s="47">
        <f>IF($A59&lt;=I$1,INDEX(Monthly!$B$2:$B$61,I$1-$A59+1),0)</f>
        <v/>
      </c>
      <c r="J59" s="47">
        <f>IF($A59&lt;=J$1,INDEX(Monthly!$B$2:$B$61,J$1-$A59+1),0)</f>
        <v/>
      </c>
      <c r="K59" s="47">
        <f>IF($A59&lt;=K$1,INDEX(Monthly!$B$2:$B$61,K$1-$A59+1),0)</f>
        <v/>
      </c>
      <c r="L59" s="47">
        <f>IF($A59&lt;=L$1,INDEX(Monthly!$B$2:$B$61,L$1-$A59+1),0)</f>
        <v/>
      </c>
      <c r="M59" s="47">
        <f>IF($A59&lt;=M$1,INDEX(Monthly!$B$2:$B$61,M$1-$A59+1),0)</f>
        <v/>
      </c>
      <c r="N59" s="47">
        <f>IF($A59&lt;=N$1,INDEX(Monthly!$B$2:$B$61,N$1-$A59+1),0)</f>
        <v/>
      </c>
      <c r="O59" s="47">
        <f>IF($A59&lt;=O$1,INDEX(Monthly!$B$2:$B$61,O$1-$A59+1),0)</f>
        <v/>
      </c>
      <c r="P59" s="47">
        <f>IF($A59&lt;=P$1,INDEX(Monthly!$B$2:$B$61,P$1-$A59+1),0)</f>
        <v/>
      </c>
      <c r="Q59" s="47">
        <f>IF($A59&lt;=Q$1,INDEX(Monthly!$B$2:$B$61,Q$1-$A59+1),0)</f>
        <v/>
      </c>
      <c r="R59" s="47">
        <f>IF($A59&lt;=R$1,INDEX(Monthly!$B$2:$B$61,R$1-$A59+1),0)</f>
        <v/>
      </c>
      <c r="S59" s="47">
        <f>IF($A59&lt;=S$1,INDEX(Monthly!$B$2:$B$61,S$1-$A59+1),0)</f>
        <v/>
      </c>
      <c r="T59" s="47">
        <f>IF($A59&lt;=T$1,INDEX(Monthly!$B$2:$B$61,T$1-$A59+1),0)</f>
        <v/>
      </c>
      <c r="U59" s="47">
        <f>IF($A59&lt;=U$1,INDEX(Monthly!$B$2:$B$61,U$1-$A59+1),0)</f>
        <v/>
      </c>
      <c r="V59" s="47">
        <f>IF($A59&lt;=V$1,INDEX(Monthly!$B$2:$B$61,V$1-$A59+1),0)</f>
        <v/>
      </c>
      <c r="W59" s="47">
        <f>IF($A59&lt;=W$1,INDEX(Monthly!$B$2:$B$61,W$1-$A59+1),0)</f>
        <v/>
      </c>
      <c r="X59" s="47">
        <f>IF($A59&lt;=X$1,INDEX(Monthly!$B$2:$B$61,X$1-$A59+1),0)</f>
        <v/>
      </c>
      <c r="Y59" s="47">
        <f>IF($A59&lt;=Y$1,INDEX(Monthly!$B$2:$B$61,Y$1-$A59+1),0)</f>
        <v/>
      </c>
      <c r="Z59" s="47">
        <f>IF($A59&lt;=Z$1,INDEX(Monthly!$B$2:$B$61,Z$1-$A59+1),0)</f>
        <v/>
      </c>
      <c r="AA59" s="47">
        <f>IF($A59&lt;=AA$1,INDEX(Monthly!$B$2:$B$61,AA$1-$A59+1),0)</f>
        <v/>
      </c>
      <c r="AB59" s="47">
        <f>IF($A59&lt;=AB$1,INDEX(Monthly!$B$2:$B$61,AB$1-$A59+1),0)</f>
        <v/>
      </c>
      <c r="AC59" s="47">
        <f>IF($A59&lt;=AC$1,INDEX(Monthly!$B$2:$B$61,AC$1-$A59+1),0)</f>
        <v/>
      </c>
      <c r="AD59" s="47">
        <f>IF($A59&lt;=AD$1,INDEX(Monthly!$B$2:$B$61,AD$1-$A59+1),0)</f>
        <v/>
      </c>
      <c r="AE59" s="47">
        <f>IF($A59&lt;=AE$1,INDEX(Monthly!$B$2:$B$61,AE$1-$A59+1),0)</f>
        <v/>
      </c>
      <c r="AF59" s="47">
        <f>IF($A59&lt;=AF$1,INDEX(Monthly!$B$2:$B$61,AF$1-$A59+1),0)</f>
        <v/>
      </c>
      <c r="AG59" s="47">
        <f>IF($A59&lt;=AG$1,INDEX(Monthly!$B$2:$B$61,AG$1-$A59+1),0)</f>
        <v/>
      </c>
      <c r="AH59" s="47">
        <f>IF($A59&lt;=AH$1,INDEX(Monthly!$B$2:$B$61,AH$1-$A59+1),0)</f>
        <v/>
      </c>
      <c r="AI59" s="47">
        <f>IF($A59&lt;=AI$1,INDEX(Monthly!$B$2:$B$61,AI$1-$A59+1),0)</f>
        <v/>
      </c>
      <c r="AJ59" s="47">
        <f>IF($A59&lt;=AJ$1,INDEX(Monthly!$B$2:$B$61,AJ$1-$A59+1),0)</f>
        <v/>
      </c>
      <c r="AK59" s="47">
        <f>IF($A59&lt;=AK$1,INDEX(Monthly!$B$2:$B$61,AK$1-$A59+1),0)</f>
        <v/>
      </c>
      <c r="AL59" s="47">
        <f>IF($A59&lt;=AL$1,INDEX(Monthly!$B$2:$B$61,AL$1-$A59+1),0)</f>
        <v/>
      </c>
      <c r="AM59" s="47">
        <f>IF($A59&lt;=AM$1,INDEX(Monthly!$B$2:$B$61,AM$1-$A59+1),0)</f>
        <v/>
      </c>
      <c r="AN59" s="47">
        <f>IF($A59&lt;=AN$1,INDEX(Monthly!$B$2:$B$61,AN$1-$A59+1),0)</f>
        <v/>
      </c>
      <c r="AO59" s="47">
        <f>IF($A59&lt;=AO$1,INDEX(Monthly!$B$2:$B$61,AO$1-$A59+1),0)</f>
        <v/>
      </c>
      <c r="AP59" s="47">
        <f>IF($A59&lt;=AP$1,INDEX(Monthly!$B$2:$B$61,AP$1-$A59+1),0)</f>
        <v/>
      </c>
      <c r="AQ59" s="47">
        <f>IF($A59&lt;=AQ$1,INDEX(Monthly!$B$2:$B$61,AQ$1-$A59+1),0)</f>
        <v/>
      </c>
      <c r="AR59" s="47">
        <f>IF($A59&lt;=AR$1,INDEX(Monthly!$B$2:$B$61,AR$1-$A59+1),0)</f>
        <v/>
      </c>
      <c r="AS59" s="47">
        <f>IF($A59&lt;=AS$1,INDEX(Monthly!$B$2:$B$61,AS$1-$A59+1),0)</f>
        <v/>
      </c>
      <c r="AT59" s="47">
        <f>IF($A59&lt;=AT$1,INDEX(Monthly!$B$2:$B$61,AT$1-$A59+1),0)</f>
        <v/>
      </c>
      <c r="AU59" s="47">
        <f>IF($A59&lt;=AU$1,INDEX(Monthly!$B$2:$B$61,AU$1-$A59+1),0)</f>
        <v/>
      </c>
      <c r="AV59" s="47">
        <f>IF($A59&lt;=AV$1,INDEX(Monthly!$B$2:$B$61,AV$1-$A59+1),0)</f>
        <v/>
      </c>
      <c r="AW59" s="47">
        <f>IF($A59&lt;=AW$1,INDEX(Monthly!$B$2:$B$61,AW$1-$A59+1),0)</f>
        <v/>
      </c>
      <c r="AX59" s="47">
        <f>IF($A59&lt;=AX$1,INDEX(Monthly!$B$2:$B$61,AX$1-$A59+1),0)</f>
        <v/>
      </c>
      <c r="AY59" s="47">
        <f>IF($A59&lt;=AY$1,INDEX(Monthly!$B$2:$B$61,AY$1-$A59+1),0)</f>
        <v/>
      </c>
      <c r="AZ59" s="47">
        <f>IF($A59&lt;=AZ$1,INDEX(Monthly!$B$2:$B$61,AZ$1-$A59+1),0)</f>
        <v/>
      </c>
      <c r="BA59" s="47">
        <f>IF($A59&lt;=BA$1,INDEX(Monthly!$B$2:$B$61,BA$1-$A59+1),0)</f>
        <v/>
      </c>
      <c r="BB59" s="47">
        <f>IF($A59&lt;=BB$1,INDEX(Monthly!$B$2:$B$61,BB$1-$A59+1),0)</f>
        <v/>
      </c>
      <c r="BC59" s="47">
        <f>IF($A59&lt;=BC$1,INDEX(Monthly!$B$2:$B$61,BC$1-$A59+1),0)</f>
        <v/>
      </c>
      <c r="BD59" s="47">
        <f>IF($A59&lt;=BD$1,INDEX(Monthly!$B$2:$B$61,BD$1-$A59+1),0)</f>
        <v/>
      </c>
      <c r="BE59" s="47">
        <f>IF($A59&lt;=BE$1,INDEX(Monthly!$B$2:$B$61,BE$1-$A59+1),0)</f>
        <v/>
      </c>
      <c r="BF59" s="47">
        <f>IF($A59&lt;=BF$1,INDEX(Monthly!$B$2:$B$61,BF$1-$A59+1),0)</f>
        <v/>
      </c>
      <c r="BG59" s="47">
        <f>IF($A59&lt;=BG$1,INDEX(Monthly!$B$2:$B$61,BG$1-$A59+1),0)</f>
        <v/>
      </c>
      <c r="BH59" s="47">
        <f>IF($A59&lt;=BH$1,INDEX(Monthly!$B$2:$B$61,BH$1-$A59+1),0)</f>
        <v/>
      </c>
      <c r="BI59" s="47">
        <f>IF($A59&lt;=BI$1,INDEX(Monthly!$B$2:$B$61,BI$1-$A59+1),0)</f>
        <v/>
      </c>
    </row>
    <row r="60">
      <c r="A60" s="3" t="n">
        <v>59</v>
      </c>
      <c r="B60" s="47">
        <f>IF($A60&lt;=B$1,INDEX(Monthly!$B$2:$B$61,B$1-$A60+1),0)</f>
        <v/>
      </c>
      <c r="C60" s="47">
        <f>IF($A60&lt;=C$1,INDEX(Monthly!$B$2:$B$61,C$1-$A60+1),0)</f>
        <v/>
      </c>
      <c r="D60" s="47">
        <f>IF($A60&lt;=D$1,INDEX(Monthly!$B$2:$B$61,D$1-$A60+1),0)</f>
        <v/>
      </c>
      <c r="E60" s="47">
        <f>IF($A60&lt;=E$1,INDEX(Monthly!$B$2:$B$61,E$1-$A60+1),0)</f>
        <v/>
      </c>
      <c r="F60" s="47">
        <f>IF($A60&lt;=F$1,INDEX(Monthly!$B$2:$B$61,F$1-$A60+1),0)</f>
        <v/>
      </c>
      <c r="G60" s="47">
        <f>IF($A60&lt;=G$1,INDEX(Monthly!$B$2:$B$61,G$1-$A60+1),0)</f>
        <v/>
      </c>
      <c r="H60" s="47">
        <f>IF($A60&lt;=H$1,INDEX(Monthly!$B$2:$B$61,H$1-$A60+1),0)</f>
        <v/>
      </c>
      <c r="I60" s="47">
        <f>IF($A60&lt;=I$1,INDEX(Monthly!$B$2:$B$61,I$1-$A60+1),0)</f>
        <v/>
      </c>
      <c r="J60" s="47">
        <f>IF($A60&lt;=J$1,INDEX(Monthly!$B$2:$B$61,J$1-$A60+1),0)</f>
        <v/>
      </c>
      <c r="K60" s="47">
        <f>IF($A60&lt;=K$1,INDEX(Monthly!$B$2:$B$61,K$1-$A60+1),0)</f>
        <v/>
      </c>
      <c r="L60" s="47">
        <f>IF($A60&lt;=L$1,INDEX(Monthly!$B$2:$B$61,L$1-$A60+1),0)</f>
        <v/>
      </c>
      <c r="M60" s="47">
        <f>IF($A60&lt;=M$1,INDEX(Monthly!$B$2:$B$61,M$1-$A60+1),0)</f>
        <v/>
      </c>
      <c r="N60" s="47">
        <f>IF($A60&lt;=N$1,INDEX(Monthly!$B$2:$B$61,N$1-$A60+1),0)</f>
        <v/>
      </c>
      <c r="O60" s="47">
        <f>IF($A60&lt;=O$1,INDEX(Monthly!$B$2:$B$61,O$1-$A60+1),0)</f>
        <v/>
      </c>
      <c r="P60" s="47">
        <f>IF($A60&lt;=P$1,INDEX(Monthly!$B$2:$B$61,P$1-$A60+1),0)</f>
        <v/>
      </c>
      <c r="Q60" s="47">
        <f>IF($A60&lt;=Q$1,INDEX(Monthly!$B$2:$B$61,Q$1-$A60+1),0)</f>
        <v/>
      </c>
      <c r="R60" s="47">
        <f>IF($A60&lt;=R$1,INDEX(Monthly!$B$2:$B$61,R$1-$A60+1),0)</f>
        <v/>
      </c>
      <c r="S60" s="47">
        <f>IF($A60&lt;=S$1,INDEX(Monthly!$B$2:$B$61,S$1-$A60+1),0)</f>
        <v/>
      </c>
      <c r="T60" s="47">
        <f>IF($A60&lt;=T$1,INDEX(Monthly!$B$2:$B$61,T$1-$A60+1),0)</f>
        <v/>
      </c>
      <c r="U60" s="47">
        <f>IF($A60&lt;=U$1,INDEX(Monthly!$B$2:$B$61,U$1-$A60+1),0)</f>
        <v/>
      </c>
      <c r="V60" s="47">
        <f>IF($A60&lt;=V$1,INDEX(Monthly!$B$2:$B$61,V$1-$A60+1),0)</f>
        <v/>
      </c>
      <c r="W60" s="47">
        <f>IF($A60&lt;=W$1,INDEX(Monthly!$B$2:$B$61,W$1-$A60+1),0)</f>
        <v/>
      </c>
      <c r="X60" s="47">
        <f>IF($A60&lt;=X$1,INDEX(Monthly!$B$2:$B$61,X$1-$A60+1),0)</f>
        <v/>
      </c>
      <c r="Y60" s="47">
        <f>IF($A60&lt;=Y$1,INDEX(Monthly!$B$2:$B$61,Y$1-$A60+1),0)</f>
        <v/>
      </c>
      <c r="Z60" s="47">
        <f>IF($A60&lt;=Z$1,INDEX(Monthly!$B$2:$B$61,Z$1-$A60+1),0)</f>
        <v/>
      </c>
      <c r="AA60" s="47">
        <f>IF($A60&lt;=AA$1,INDEX(Monthly!$B$2:$B$61,AA$1-$A60+1),0)</f>
        <v/>
      </c>
      <c r="AB60" s="47">
        <f>IF($A60&lt;=AB$1,INDEX(Monthly!$B$2:$B$61,AB$1-$A60+1),0)</f>
        <v/>
      </c>
      <c r="AC60" s="47">
        <f>IF($A60&lt;=AC$1,INDEX(Monthly!$B$2:$B$61,AC$1-$A60+1),0)</f>
        <v/>
      </c>
      <c r="AD60" s="47">
        <f>IF($A60&lt;=AD$1,INDEX(Monthly!$B$2:$B$61,AD$1-$A60+1),0)</f>
        <v/>
      </c>
      <c r="AE60" s="47">
        <f>IF($A60&lt;=AE$1,INDEX(Monthly!$B$2:$B$61,AE$1-$A60+1),0)</f>
        <v/>
      </c>
      <c r="AF60" s="47">
        <f>IF($A60&lt;=AF$1,INDEX(Monthly!$B$2:$B$61,AF$1-$A60+1),0)</f>
        <v/>
      </c>
      <c r="AG60" s="47">
        <f>IF($A60&lt;=AG$1,INDEX(Monthly!$B$2:$B$61,AG$1-$A60+1),0)</f>
        <v/>
      </c>
      <c r="AH60" s="47">
        <f>IF($A60&lt;=AH$1,INDEX(Monthly!$B$2:$B$61,AH$1-$A60+1),0)</f>
        <v/>
      </c>
      <c r="AI60" s="47">
        <f>IF($A60&lt;=AI$1,INDEX(Monthly!$B$2:$B$61,AI$1-$A60+1),0)</f>
        <v/>
      </c>
      <c r="AJ60" s="47">
        <f>IF($A60&lt;=AJ$1,INDEX(Monthly!$B$2:$B$61,AJ$1-$A60+1),0)</f>
        <v/>
      </c>
      <c r="AK60" s="47">
        <f>IF($A60&lt;=AK$1,INDEX(Monthly!$B$2:$B$61,AK$1-$A60+1),0)</f>
        <v/>
      </c>
      <c r="AL60" s="47">
        <f>IF($A60&lt;=AL$1,INDEX(Monthly!$B$2:$B$61,AL$1-$A60+1),0)</f>
        <v/>
      </c>
      <c r="AM60" s="47">
        <f>IF($A60&lt;=AM$1,INDEX(Monthly!$B$2:$B$61,AM$1-$A60+1),0)</f>
        <v/>
      </c>
      <c r="AN60" s="47">
        <f>IF($A60&lt;=AN$1,INDEX(Monthly!$B$2:$B$61,AN$1-$A60+1),0)</f>
        <v/>
      </c>
      <c r="AO60" s="47">
        <f>IF($A60&lt;=AO$1,INDEX(Monthly!$B$2:$B$61,AO$1-$A60+1),0)</f>
        <v/>
      </c>
      <c r="AP60" s="47">
        <f>IF($A60&lt;=AP$1,INDEX(Monthly!$B$2:$B$61,AP$1-$A60+1),0)</f>
        <v/>
      </c>
      <c r="AQ60" s="47">
        <f>IF($A60&lt;=AQ$1,INDEX(Monthly!$B$2:$B$61,AQ$1-$A60+1),0)</f>
        <v/>
      </c>
      <c r="AR60" s="47">
        <f>IF($A60&lt;=AR$1,INDEX(Monthly!$B$2:$B$61,AR$1-$A60+1),0)</f>
        <v/>
      </c>
      <c r="AS60" s="47">
        <f>IF($A60&lt;=AS$1,INDEX(Monthly!$B$2:$B$61,AS$1-$A60+1),0)</f>
        <v/>
      </c>
      <c r="AT60" s="47">
        <f>IF($A60&lt;=AT$1,INDEX(Monthly!$B$2:$B$61,AT$1-$A60+1),0)</f>
        <v/>
      </c>
      <c r="AU60" s="47">
        <f>IF($A60&lt;=AU$1,INDEX(Monthly!$B$2:$B$61,AU$1-$A60+1),0)</f>
        <v/>
      </c>
      <c r="AV60" s="47">
        <f>IF($A60&lt;=AV$1,INDEX(Monthly!$B$2:$B$61,AV$1-$A60+1),0)</f>
        <v/>
      </c>
      <c r="AW60" s="47">
        <f>IF($A60&lt;=AW$1,INDEX(Monthly!$B$2:$B$61,AW$1-$A60+1),0)</f>
        <v/>
      </c>
      <c r="AX60" s="47">
        <f>IF($A60&lt;=AX$1,INDEX(Monthly!$B$2:$B$61,AX$1-$A60+1),0)</f>
        <v/>
      </c>
      <c r="AY60" s="47">
        <f>IF($A60&lt;=AY$1,INDEX(Monthly!$B$2:$B$61,AY$1-$A60+1),0)</f>
        <v/>
      </c>
      <c r="AZ60" s="47">
        <f>IF($A60&lt;=AZ$1,INDEX(Monthly!$B$2:$B$61,AZ$1-$A60+1),0)</f>
        <v/>
      </c>
      <c r="BA60" s="47">
        <f>IF($A60&lt;=BA$1,INDEX(Monthly!$B$2:$B$61,BA$1-$A60+1),0)</f>
        <v/>
      </c>
      <c r="BB60" s="47">
        <f>IF($A60&lt;=BB$1,INDEX(Monthly!$B$2:$B$61,BB$1-$A60+1),0)</f>
        <v/>
      </c>
      <c r="BC60" s="47">
        <f>IF($A60&lt;=BC$1,INDEX(Monthly!$B$2:$B$61,BC$1-$A60+1),0)</f>
        <v/>
      </c>
      <c r="BD60" s="47">
        <f>IF($A60&lt;=BD$1,INDEX(Monthly!$B$2:$B$61,BD$1-$A60+1),0)</f>
        <v/>
      </c>
      <c r="BE60" s="47">
        <f>IF($A60&lt;=BE$1,INDEX(Monthly!$B$2:$B$61,BE$1-$A60+1),0)</f>
        <v/>
      </c>
      <c r="BF60" s="47">
        <f>IF($A60&lt;=BF$1,INDEX(Monthly!$B$2:$B$61,BF$1-$A60+1),0)</f>
        <v/>
      </c>
      <c r="BG60" s="47">
        <f>IF($A60&lt;=BG$1,INDEX(Monthly!$B$2:$B$61,BG$1-$A60+1),0)</f>
        <v/>
      </c>
      <c r="BH60" s="47">
        <f>IF($A60&lt;=BH$1,INDEX(Monthly!$B$2:$B$61,BH$1-$A60+1),0)</f>
        <v/>
      </c>
      <c r="BI60" s="47">
        <f>IF($A60&lt;=BI$1,INDEX(Monthly!$B$2:$B$61,BI$1-$A60+1),0)</f>
        <v/>
      </c>
    </row>
    <row r="61">
      <c r="A61" s="3" t="n">
        <v>60</v>
      </c>
      <c r="B61" s="47">
        <f>IF($A61&lt;=B$1,INDEX(Monthly!$B$2:$B$61,B$1-$A61+1),0)</f>
        <v/>
      </c>
      <c r="C61" s="47">
        <f>IF($A61&lt;=C$1,INDEX(Monthly!$B$2:$B$61,C$1-$A61+1),0)</f>
        <v/>
      </c>
      <c r="D61" s="47">
        <f>IF($A61&lt;=D$1,INDEX(Monthly!$B$2:$B$61,D$1-$A61+1),0)</f>
        <v/>
      </c>
      <c r="E61" s="47">
        <f>IF($A61&lt;=E$1,INDEX(Monthly!$B$2:$B$61,E$1-$A61+1),0)</f>
        <v/>
      </c>
      <c r="F61" s="47">
        <f>IF($A61&lt;=F$1,INDEX(Monthly!$B$2:$B$61,F$1-$A61+1),0)</f>
        <v/>
      </c>
      <c r="G61" s="47">
        <f>IF($A61&lt;=G$1,INDEX(Monthly!$B$2:$B$61,G$1-$A61+1),0)</f>
        <v/>
      </c>
      <c r="H61" s="47">
        <f>IF($A61&lt;=H$1,INDEX(Monthly!$B$2:$B$61,H$1-$A61+1),0)</f>
        <v/>
      </c>
      <c r="I61" s="47">
        <f>IF($A61&lt;=I$1,INDEX(Monthly!$B$2:$B$61,I$1-$A61+1),0)</f>
        <v/>
      </c>
      <c r="J61" s="47">
        <f>IF($A61&lt;=J$1,INDEX(Monthly!$B$2:$B$61,J$1-$A61+1),0)</f>
        <v/>
      </c>
      <c r="K61" s="47">
        <f>IF($A61&lt;=K$1,INDEX(Monthly!$B$2:$B$61,K$1-$A61+1),0)</f>
        <v/>
      </c>
      <c r="L61" s="47">
        <f>IF($A61&lt;=L$1,INDEX(Monthly!$B$2:$B$61,L$1-$A61+1),0)</f>
        <v/>
      </c>
      <c r="M61" s="47">
        <f>IF($A61&lt;=M$1,INDEX(Monthly!$B$2:$B$61,M$1-$A61+1),0)</f>
        <v/>
      </c>
      <c r="N61" s="47">
        <f>IF($A61&lt;=N$1,INDEX(Monthly!$B$2:$B$61,N$1-$A61+1),0)</f>
        <v/>
      </c>
      <c r="O61" s="47">
        <f>IF($A61&lt;=O$1,INDEX(Monthly!$B$2:$B$61,O$1-$A61+1),0)</f>
        <v/>
      </c>
      <c r="P61" s="47">
        <f>IF($A61&lt;=P$1,INDEX(Monthly!$B$2:$B$61,P$1-$A61+1),0)</f>
        <v/>
      </c>
      <c r="Q61" s="47">
        <f>IF($A61&lt;=Q$1,INDEX(Monthly!$B$2:$B$61,Q$1-$A61+1),0)</f>
        <v/>
      </c>
      <c r="R61" s="47">
        <f>IF($A61&lt;=R$1,INDEX(Monthly!$B$2:$B$61,R$1-$A61+1),0)</f>
        <v/>
      </c>
      <c r="S61" s="47">
        <f>IF($A61&lt;=S$1,INDEX(Monthly!$B$2:$B$61,S$1-$A61+1),0)</f>
        <v/>
      </c>
      <c r="T61" s="47">
        <f>IF($A61&lt;=T$1,INDEX(Monthly!$B$2:$B$61,T$1-$A61+1),0)</f>
        <v/>
      </c>
      <c r="U61" s="47">
        <f>IF($A61&lt;=U$1,INDEX(Monthly!$B$2:$B$61,U$1-$A61+1),0)</f>
        <v/>
      </c>
      <c r="V61" s="47">
        <f>IF($A61&lt;=V$1,INDEX(Monthly!$B$2:$B$61,V$1-$A61+1),0)</f>
        <v/>
      </c>
      <c r="W61" s="47">
        <f>IF($A61&lt;=W$1,INDEX(Monthly!$B$2:$B$61,W$1-$A61+1),0)</f>
        <v/>
      </c>
      <c r="X61" s="47">
        <f>IF($A61&lt;=X$1,INDEX(Monthly!$B$2:$B$61,X$1-$A61+1),0)</f>
        <v/>
      </c>
      <c r="Y61" s="47">
        <f>IF($A61&lt;=Y$1,INDEX(Monthly!$B$2:$B$61,Y$1-$A61+1),0)</f>
        <v/>
      </c>
      <c r="Z61" s="47">
        <f>IF($A61&lt;=Z$1,INDEX(Monthly!$B$2:$B$61,Z$1-$A61+1),0)</f>
        <v/>
      </c>
      <c r="AA61" s="47">
        <f>IF($A61&lt;=AA$1,INDEX(Monthly!$B$2:$B$61,AA$1-$A61+1),0)</f>
        <v/>
      </c>
      <c r="AB61" s="47">
        <f>IF($A61&lt;=AB$1,INDEX(Monthly!$B$2:$B$61,AB$1-$A61+1),0)</f>
        <v/>
      </c>
      <c r="AC61" s="47">
        <f>IF($A61&lt;=AC$1,INDEX(Monthly!$B$2:$B$61,AC$1-$A61+1),0)</f>
        <v/>
      </c>
      <c r="AD61" s="47">
        <f>IF($A61&lt;=AD$1,INDEX(Monthly!$B$2:$B$61,AD$1-$A61+1),0)</f>
        <v/>
      </c>
      <c r="AE61" s="47">
        <f>IF($A61&lt;=AE$1,INDEX(Monthly!$B$2:$B$61,AE$1-$A61+1),0)</f>
        <v/>
      </c>
      <c r="AF61" s="47">
        <f>IF($A61&lt;=AF$1,INDEX(Monthly!$B$2:$B$61,AF$1-$A61+1),0)</f>
        <v/>
      </c>
      <c r="AG61" s="47">
        <f>IF($A61&lt;=AG$1,INDEX(Monthly!$B$2:$B$61,AG$1-$A61+1),0)</f>
        <v/>
      </c>
      <c r="AH61" s="47">
        <f>IF($A61&lt;=AH$1,INDEX(Monthly!$B$2:$B$61,AH$1-$A61+1),0)</f>
        <v/>
      </c>
      <c r="AI61" s="47">
        <f>IF($A61&lt;=AI$1,INDEX(Monthly!$B$2:$B$61,AI$1-$A61+1),0)</f>
        <v/>
      </c>
      <c r="AJ61" s="47">
        <f>IF($A61&lt;=AJ$1,INDEX(Monthly!$B$2:$B$61,AJ$1-$A61+1),0)</f>
        <v/>
      </c>
      <c r="AK61" s="47">
        <f>IF($A61&lt;=AK$1,INDEX(Monthly!$B$2:$B$61,AK$1-$A61+1),0)</f>
        <v/>
      </c>
      <c r="AL61" s="47">
        <f>IF($A61&lt;=AL$1,INDEX(Monthly!$B$2:$B$61,AL$1-$A61+1),0)</f>
        <v/>
      </c>
      <c r="AM61" s="47">
        <f>IF($A61&lt;=AM$1,INDEX(Monthly!$B$2:$B$61,AM$1-$A61+1),0)</f>
        <v/>
      </c>
      <c r="AN61" s="47">
        <f>IF($A61&lt;=AN$1,INDEX(Monthly!$B$2:$B$61,AN$1-$A61+1),0)</f>
        <v/>
      </c>
      <c r="AO61" s="47">
        <f>IF($A61&lt;=AO$1,INDEX(Monthly!$B$2:$B$61,AO$1-$A61+1),0)</f>
        <v/>
      </c>
      <c r="AP61" s="47">
        <f>IF($A61&lt;=AP$1,INDEX(Monthly!$B$2:$B$61,AP$1-$A61+1),0)</f>
        <v/>
      </c>
      <c r="AQ61" s="47">
        <f>IF($A61&lt;=AQ$1,INDEX(Monthly!$B$2:$B$61,AQ$1-$A61+1),0)</f>
        <v/>
      </c>
      <c r="AR61" s="47">
        <f>IF($A61&lt;=AR$1,INDEX(Monthly!$B$2:$B$61,AR$1-$A61+1),0)</f>
        <v/>
      </c>
      <c r="AS61" s="47">
        <f>IF($A61&lt;=AS$1,INDEX(Monthly!$B$2:$B$61,AS$1-$A61+1),0)</f>
        <v/>
      </c>
      <c r="AT61" s="47">
        <f>IF($A61&lt;=AT$1,INDEX(Monthly!$B$2:$B$61,AT$1-$A61+1),0)</f>
        <v/>
      </c>
      <c r="AU61" s="47">
        <f>IF($A61&lt;=AU$1,INDEX(Monthly!$B$2:$B$61,AU$1-$A61+1),0)</f>
        <v/>
      </c>
      <c r="AV61" s="47">
        <f>IF($A61&lt;=AV$1,INDEX(Monthly!$B$2:$B$61,AV$1-$A61+1),0)</f>
        <v/>
      </c>
      <c r="AW61" s="47">
        <f>IF($A61&lt;=AW$1,INDEX(Monthly!$B$2:$B$61,AW$1-$A61+1),0)</f>
        <v/>
      </c>
      <c r="AX61" s="47">
        <f>IF($A61&lt;=AX$1,INDEX(Monthly!$B$2:$B$61,AX$1-$A61+1),0)</f>
        <v/>
      </c>
      <c r="AY61" s="47">
        <f>IF($A61&lt;=AY$1,INDEX(Monthly!$B$2:$B$61,AY$1-$A61+1),0)</f>
        <v/>
      </c>
      <c r="AZ61" s="47">
        <f>IF($A61&lt;=AZ$1,INDEX(Monthly!$B$2:$B$61,AZ$1-$A61+1),0)</f>
        <v/>
      </c>
      <c r="BA61" s="47">
        <f>IF($A61&lt;=BA$1,INDEX(Monthly!$B$2:$B$61,BA$1-$A61+1),0)</f>
        <v/>
      </c>
      <c r="BB61" s="47">
        <f>IF($A61&lt;=BB$1,INDEX(Monthly!$B$2:$B$61,BB$1-$A61+1),0)</f>
        <v/>
      </c>
      <c r="BC61" s="47">
        <f>IF($A61&lt;=BC$1,INDEX(Monthly!$B$2:$B$61,BC$1-$A61+1),0)</f>
        <v/>
      </c>
      <c r="BD61" s="47">
        <f>IF($A61&lt;=BD$1,INDEX(Monthly!$B$2:$B$61,BD$1-$A61+1),0)</f>
        <v/>
      </c>
      <c r="BE61" s="47">
        <f>IF($A61&lt;=BE$1,INDEX(Monthly!$B$2:$B$61,BE$1-$A61+1),0)</f>
        <v/>
      </c>
      <c r="BF61" s="47">
        <f>IF($A61&lt;=BF$1,INDEX(Monthly!$B$2:$B$61,BF$1-$A61+1),0)</f>
        <v/>
      </c>
      <c r="BG61" s="47">
        <f>IF($A61&lt;=BG$1,INDEX(Monthly!$B$2:$B$61,BG$1-$A61+1),0)</f>
        <v/>
      </c>
      <c r="BH61" s="47">
        <f>IF($A61&lt;=BH$1,INDEX(Monthly!$B$2:$B$61,BH$1-$A61+1),0)</f>
        <v/>
      </c>
      <c r="BI61" s="47">
        <f>IF($A61&lt;=BI$1,INDEX(Monthly!$B$2:$B$61,BI$1-$A61+1),0)</f>
        <v/>
      </c>
    </row>
    <row r="63">
      <c r="A63" s="5" t="inlineStr">
        <is>
          <t>Cell (age a, month t) = the sign-ups of the cohort that is age a in month t (sign-ups of month t - a + 1). Monthly totals of the age-profile lines = SUMPRODUCT of a month's column here with an age-profile column.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K62"/>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s>
  <sheetData>
    <row r="1" ht="54" customHeight="1">
      <c r="A1" s="23" t="inlineStr">
        <is>
          <t>Month</t>
        </is>
      </c>
      <c r="B1" s="23" t="inlineStr">
        <is>
          <t>Sign-ups</t>
        </is>
      </c>
      <c r="C1" s="23" t="inlineStr">
        <is>
          <t>Savers still saving</t>
        </is>
      </c>
      <c r="D1" s="23" t="inlineStr">
        <is>
          <t>Stopped this month</t>
        </is>
      </c>
      <c r="E1" s="23" t="inlineStr">
        <is>
          <t>Savers offered the marketplace</t>
        </is>
      </c>
      <c r="F1" s="23" t="inlineStr">
        <is>
          <t>Cash savers</t>
        </is>
      </c>
      <c r="G1" s="23" t="inlineStr">
        <is>
          <t>Cash visits a day</t>
        </is>
      </c>
      <c r="H1" s="23" t="inlineStr">
        <is>
          <t>Share on UPI</t>
        </is>
      </c>
      <c r="I1" s="23" t="inlineStr">
        <is>
          <t>UPI share needed to stay within one agent's visits</t>
        </is>
      </c>
      <c r="J1" s="23" t="inlineStr">
        <is>
          <t>Deposits (Rs)</t>
        </is>
      </c>
      <c r="K1" s="23" t="inlineStr">
        <is>
          <t>Average balance in the fund (Rs)</t>
        </is>
      </c>
      <c r="L1" s="23" t="inlineStr">
        <is>
          <t>Loan applications</t>
        </is>
      </c>
      <c r="M1" s="23" t="inlineStr">
        <is>
          <t>First loans</t>
        </is>
      </c>
      <c r="N1" s="23" t="inlineStr">
        <is>
          <t>Repeat loans</t>
        </is>
      </c>
      <c r="O1" s="23" t="inlineStr">
        <is>
          <t>Loans made</t>
        </is>
      </c>
      <c r="P1" s="23" t="inlineStr">
        <is>
          <t>Top-ups</t>
        </is>
      </c>
      <c r="Q1" s="23" t="inlineStr">
        <is>
          <t>Money lent, first and repeat loans (Rs)</t>
        </is>
      </c>
      <c r="R1" s="23" t="inlineStr">
        <is>
          <t>Money lent, with top-ups (Rs)</t>
        </is>
      </c>
      <c r="S1" s="23" t="inlineStr">
        <is>
          <t>Savers with a loan running</t>
        </is>
      </c>
      <c r="T1" s="23" t="inlineStr">
        <is>
          <t>Loans with an EMI due</t>
        </is>
      </c>
      <c r="U1" s="23" t="inlineStr">
        <is>
          <t>Overdue accounts brought back, 31-90 days</t>
        </is>
      </c>
      <c r="V1" s="23" t="inlineStr">
        <is>
          <t>Overdue accounts recovered, 90+</t>
        </is>
      </c>
      <c r="W1" s="23" t="inlineStr">
        <is>
          <t>Cards issued</t>
        </is>
      </c>
      <c r="X1" s="23" t="inlineStr">
        <is>
          <t>Fund commission (Rs)</t>
        </is>
      </c>
      <c r="Y1" s="23" t="inlineStr">
        <is>
          <t>Origination fees net of taken back (Rs)</t>
        </is>
      </c>
      <c r="Z1" s="23" t="inlineStr">
        <is>
          <t>31-90 day collection fees (Rs)</t>
        </is>
      </c>
      <c r="AA1" s="23" t="inlineStr">
        <is>
          <t>90+ recovery fees (Rs)</t>
        </is>
      </c>
      <c r="AB1" s="23" t="inlineStr">
        <is>
          <t>Card fees (Rs)</t>
        </is>
      </c>
      <c r="AC1" s="23" t="inlineStr">
        <is>
          <t>Small health / hospital cash (Rs)</t>
        </is>
      </c>
      <c r="AD1" s="23" t="inlineStr">
        <is>
          <t>Family health cover (Rs)</t>
        </is>
      </c>
      <c r="AE1" s="23" t="inlineStr">
        <is>
          <t>Term life (small cover) (Rs)</t>
        </is>
      </c>
      <c r="AF1" s="23" t="inlineStr">
        <is>
          <t>Personal accident (Rs)</t>
        </is>
      </c>
      <c r="AG1" s="23" t="inlineStr">
        <is>
          <t>Two-wheeler insurance (Rs)</t>
        </is>
      </c>
      <c r="AH1" s="23" t="inlineStr">
        <is>
          <t>Mobile / device insurance (Rs)</t>
        </is>
      </c>
      <c r="AI1" s="23" t="inlineStr">
        <is>
          <t>Shop insurance (fire and burglary) (Rs)</t>
        </is>
      </c>
      <c r="AJ1" s="23" t="inlineStr">
        <is>
          <t>Equity/hybrid SIP trail (Rs)</t>
        </is>
      </c>
      <c r="AK1" s="23" t="inlineStr">
        <is>
          <t>Choti SIP incentive (Rs)</t>
        </is>
      </c>
      <c r="AL1" s="23" t="inlineStr">
        <is>
          <t>NPS (Rs)</t>
        </is>
      </c>
      <c r="AM1" s="23" t="inlineStr">
        <is>
          <t>Digital gold (Rs)</t>
        </is>
      </c>
      <c r="AN1" s="23" t="inlineStr">
        <is>
          <t>FD via partner banks (Rs)</t>
        </is>
      </c>
      <c r="AO1" s="23" t="inlineStr">
        <is>
          <t>Mobile recharge (Rs)</t>
        </is>
      </c>
      <c r="AP1" s="23" t="inlineStr">
        <is>
          <t>Bill payments (Rs)</t>
        </is>
      </c>
      <c r="AQ1" s="23" t="inlineStr">
        <is>
          <t>Gold loan (other lenders) (Rs)</t>
        </is>
      </c>
      <c r="AR1" s="23" t="inlineStr">
        <is>
          <t>Consumer-durable loan (Rs)</t>
        </is>
      </c>
      <c r="AS1" s="23" t="inlineStr">
        <is>
          <t>Two-wheeler / e-rickshaw loan (Rs)</t>
        </is>
      </c>
      <c r="AT1" s="23" t="inlineStr">
        <is>
          <t>Home loan (affordable housing) (Rs)</t>
        </is>
      </c>
      <c r="AU1" s="23" t="inlineStr">
        <is>
          <t>Loan against property (shop or home) (Rs)</t>
        </is>
      </c>
      <c r="AV1" s="23" t="inlineStr">
        <is>
          <t>Income (Rs)</t>
        </is>
      </c>
      <c r="AW1" s="23" t="inlineStr">
        <is>
          <t>Salary (Rs)</t>
        </is>
      </c>
      <c r="AX1" s="23" t="inlineStr">
        <is>
          <t>Extra cash-collection capacity (Rs)</t>
        </is>
      </c>
      <c r="AY1" s="23" t="inlineStr">
        <is>
          <t>KYC (Rs)</t>
        </is>
      </c>
      <c r="AZ1" s="23" t="inlineStr">
        <is>
          <t>Running cost: support, app, cash deposits (Rs)</t>
        </is>
      </c>
      <c r="BA1" s="23" t="inlineStr">
        <is>
          <t>Cash cover: fidelity and cash-in-transit insurance (Rs)</t>
        </is>
      </c>
      <c r="BB1" s="23" t="inlineStr">
        <is>
          <t>Agent pay on balance (Rs)</t>
        </is>
      </c>
      <c r="BC1" s="23" t="inlineStr">
        <is>
          <t>Costs (Rs)</t>
        </is>
      </c>
      <c r="BD1" s="23" t="inlineStr">
        <is>
          <t>Net cash (Rs)</t>
        </is>
      </c>
      <c r="BE1" s="23" t="inlineStr">
        <is>
          <t>Discount factor</t>
        </is>
      </c>
      <c r="BF1" s="23" t="inlineStr">
        <is>
          <t>Net, discounted (Rs)</t>
        </is>
      </c>
      <c r="BG1" s="23" t="inlineStr">
        <is>
          <t>Cumulative NPV (Rs)</t>
        </is>
      </c>
      <c r="BH1" s="23" t="inlineStr">
        <is>
          <t>Cumulative P&amp;L (Rs)</t>
        </is>
      </c>
      <c r="BI1" s="23" t="inlineStr">
        <is>
          <t>Cumulative P&amp;L positive from here to month 60? (1 = yes)</t>
        </is>
      </c>
      <c r="BJ1" s="23" t="inlineStr">
        <is>
          <t>Paid back? (month if positive from here on, else 999)</t>
        </is>
      </c>
      <c r="BK1" s="23" t="inlineStr">
        <is>
          <t>Legacy discount factor (20% a year)</t>
        </is>
      </c>
    </row>
    <row r="2">
      <c r="A2" s="39" t="n">
        <v>1</v>
      </c>
      <c r="B2" s="48">
        <f>MIN(in_signup_cap,in_signups_run*IF(in_ramp_months&gt;0,MIN(1,0.5+0.5*(A2-1)/in_ramp_months),1)*(1+in_signup_growth)^INT((A2-1)/12))</f>
        <v/>
      </c>
      <c r="C2" s="44">
        <f>SUMPRODUCT('Sign-ups by age'!B$2:B$61,'Age profile'!B$2:B$61)</f>
        <v/>
      </c>
      <c r="D2" s="44">
        <f>SUMPRODUCT('Sign-ups by age'!B$2:B$61,'Age profile'!C$2:C$61)</f>
        <v/>
      </c>
      <c r="E2" s="44">
        <f>SUMPRODUCT('Sign-ups by age'!B$2:B$61,'Age profile'!M$2:M$61)</f>
        <v/>
      </c>
      <c r="F2" s="44">
        <f>SUMPRODUCT('Sign-ups by age'!B$2:B$61,'Age profile'!K$2:K$61)</f>
        <v/>
      </c>
      <c r="G2" s="44">
        <f>SUMPRODUCT('Sign-ups by age'!B$2:B$61,'Age profile'!L$2:L$61)</f>
        <v/>
      </c>
      <c r="H2" s="11">
        <f>IF(C2&gt;0,1-F2/C2,0)</f>
        <v/>
      </c>
      <c r="I2" s="11">
        <f>IF(C2&gt;0,MAX(0,1-in_capacity*in_visit_every/C2),0)</f>
        <v/>
      </c>
      <c r="J2" s="49">
        <f>SUMPRODUCT('Sign-ups by age'!B$2:B$61,'Age profile'!E$2:E$61)</f>
        <v/>
      </c>
      <c r="K2" s="49">
        <f>SUMPRODUCT('Sign-ups by age'!B$2:B$61,'Age profile'!H$2:H$61)</f>
        <v/>
      </c>
      <c r="L2" s="44">
        <f>SUMIFS('Cohort x age'!$Q$2:$Q$1831,'Cohort x age'!$C$2:$C$1831,A2)</f>
        <v/>
      </c>
      <c r="M2" s="50">
        <f>SUMIFS('Cohort x age'!$L$2:$L$1831,'Cohort x age'!$C$2:$C$1831,A2)</f>
        <v/>
      </c>
      <c r="N2" s="50">
        <f>SUMIFS('Cohort x age'!$M$2:$M$1831,'Cohort x age'!$C$2:$C$1831,A2)</f>
        <v/>
      </c>
      <c r="O2" s="50">
        <f>SUMIFS('Cohort x age'!$N$2:$N$1831,'Cohort x age'!$C$2:$C$1831,A2)</f>
        <v/>
      </c>
      <c r="P2" s="50">
        <f>SUMIFS('Cohort x age'!$T$2:$T$1831,'Cohort x age'!$C$2:$C$1831,A2)</f>
        <v/>
      </c>
      <c r="Q2" s="49">
        <f>SUMIFS('Cohort x age'!$U$2:$U$1831,'Cohort x age'!$C$2:$C$1831,A2)</f>
        <v/>
      </c>
      <c r="R2" s="49">
        <f>SUMIFS('Cohort x age'!$V$2:$V$1831,'Cohort x age'!$C$2:$C$1831,A2)</f>
        <v/>
      </c>
      <c r="S2" s="44">
        <f>SUMIFS('Cohort x age'!$P$2:$P$1831,'Cohort x age'!$C$2:$C$1831,A2)</f>
        <v/>
      </c>
      <c r="T2" s="44">
        <f>SUMIFS('Cohort x age'!$R$2:$R$1831,'Cohort x age'!$C$2:$C$1831,A2)</f>
        <v/>
      </c>
      <c r="U2" s="50">
        <f>SUMIFS('Cohort x age'!$X$2:$X$1831,'Cohort x age'!$C$2:$C$1831,A2)</f>
        <v/>
      </c>
      <c r="V2" s="50">
        <f>SUMIFS('Cohort x age'!$Y$2:$Y$1831,'Cohort x age'!$C$2:$C$1831,A2)</f>
        <v/>
      </c>
      <c r="W2" s="50">
        <f>SUMIFS('Cohort x age'!$Z$2:$Z$1831,'Cohort x age'!$C$2:$C$1831,A2)</f>
        <v/>
      </c>
      <c r="X2" s="49">
        <f>SUMPRODUCT('Sign-ups by age'!B$2:B$61,'Age profile'!Q$2:Q$61)</f>
        <v/>
      </c>
      <c r="Y2" s="49">
        <f>SUMIFS('Cohort x age'!$AA$2:$AA$1831,'Cohort x age'!$C$2:$C$1831,A2)</f>
        <v/>
      </c>
      <c r="Z2" s="49">
        <f>SUMIFS('Cohort x age'!$AB$2:$AB$1831,'Cohort x age'!$C$2:$C$1831,A2)</f>
        <v/>
      </c>
      <c r="AA2" s="49">
        <f>SUMIFS('Cohort x age'!$AC$2:$AC$1831,'Cohort x age'!$C$2:$C$1831,A2)</f>
        <v/>
      </c>
      <c r="AB2" s="49">
        <f>SUMIFS('Cohort x age'!$AD$2:$AD$1831,'Cohort x age'!$C$2:$C$1831,A2)</f>
        <v/>
      </c>
      <c r="AC2" s="49">
        <f>SUMIFS('Cohort x age'!$AG$2:$AG$1831,'Cohort x age'!$C$2:$C$1831,A2)</f>
        <v/>
      </c>
      <c r="AD2" s="49">
        <f>SUMIFS('Cohort x age'!$AJ$2:$AJ$1831,'Cohort x age'!$C$2:$C$1831,A2)</f>
        <v/>
      </c>
      <c r="AE2" s="49">
        <f>SUMIFS('Cohort x age'!$AM$2:$AM$1831,'Cohort x age'!$C$2:$C$1831,A2)</f>
        <v/>
      </c>
      <c r="AF2" s="49">
        <f>SUMIFS('Cohort x age'!$AP$2:$AP$1831,'Cohort x age'!$C$2:$C$1831,A2)</f>
        <v/>
      </c>
      <c r="AG2" s="49">
        <f>SUMIFS('Cohort x age'!$AS$2:$AS$1831,'Cohort x age'!$C$2:$C$1831,A2)</f>
        <v/>
      </c>
      <c r="AH2" s="49">
        <f>SUMIFS('Cohort x age'!$AU$2:$AU$1831,'Cohort x age'!$C$2:$C$1831,A2)</f>
        <v/>
      </c>
      <c r="AI2" s="49">
        <f>SUMIFS('Cohort x age'!$AX$2:$AX$1831,'Cohort x age'!$C$2:$C$1831,A2)</f>
        <v/>
      </c>
      <c r="AJ2" s="49">
        <f>SUMIFS('Cohort x age'!$BB$2:$BB$1831,'Cohort x age'!$C$2:$C$1831,A2)</f>
        <v/>
      </c>
      <c r="AK2" s="49">
        <f>SUMIFS('Cohort x age'!$BE$2:$BE$1831,'Cohort x age'!$C$2:$C$1831,A2)</f>
        <v/>
      </c>
      <c r="AL2" s="49">
        <f>SUMIFS('Cohort x age'!$BG$2:$BG$1831,'Cohort x age'!$C$2:$C$1831,A2)</f>
        <v/>
      </c>
      <c r="AM2" s="49">
        <f>SUMIFS('Cohort x age'!$BJ$2:$BJ$1831,'Cohort x age'!$C$2:$C$1831,A2)</f>
        <v/>
      </c>
      <c r="AN2" s="49">
        <f>SUMIFS('Cohort x age'!$BL$2:$BL$1831,'Cohort x age'!$C$2:$C$1831,A2)</f>
        <v/>
      </c>
      <c r="AO2" s="49">
        <f>SUMIFS('Cohort x age'!$BO$2:$BO$1831,'Cohort x age'!$C$2:$C$1831,A2)</f>
        <v/>
      </c>
      <c r="AP2" s="49">
        <f>SUMIFS('Cohort x age'!$BR$2:$BR$1831,'Cohort x age'!$C$2:$C$1831,A2)</f>
        <v/>
      </c>
      <c r="AQ2" s="49">
        <f>SUMIFS('Cohort x age'!$BT$2:$BT$1831,'Cohort x age'!$C$2:$C$1831,A2)</f>
        <v/>
      </c>
      <c r="AR2" s="49">
        <f>SUMIFS('Cohort x age'!$BV$2:$BV$1831,'Cohort x age'!$C$2:$C$1831,A2)</f>
        <v/>
      </c>
      <c r="AS2" s="49">
        <f>SUMIFS('Cohort x age'!$BX$2:$BX$1831,'Cohort x age'!$C$2:$C$1831,A2)</f>
        <v/>
      </c>
      <c r="AT2" s="49">
        <f>SUMIFS('Cohort x age'!$CA$2:$CA$1831,'Cohort x age'!$C$2:$C$1831,A2)</f>
        <v/>
      </c>
      <c r="AU2" s="49">
        <f>SUMIFS('Cohort x age'!$CD$2:$CD$1831,'Cohort x age'!$C$2:$C$1831,A2)</f>
        <v/>
      </c>
      <c r="AV2" s="9">
        <f>SUM(X2:AS2)</f>
        <v/>
      </c>
      <c r="AW2" s="9">
        <f>in_salary</f>
        <v/>
      </c>
      <c r="AX2" s="9">
        <f>MAX(0,G2-in_capacity)*in_extra_capacity_cost/in_helper_visits</f>
        <v/>
      </c>
      <c r="AY2" s="49">
        <f>SUMPRODUCT('Sign-ups by age'!B$2:B$61,'Age profile'!R$2:R$61)</f>
        <v/>
      </c>
      <c r="AZ2" s="49">
        <f>SUMPRODUCT('Sign-ups by age'!B$2:B$61,'Age profile'!S$2:S$61)</f>
        <v/>
      </c>
      <c r="BA2" s="9">
        <f>in_cash_cover</f>
        <v/>
      </c>
      <c r="BB2" s="9">
        <f>IF(A2&lt;=in_growth_months,in_agent_balance_pay,in_agent_pay_after)/12*K2</f>
        <v/>
      </c>
      <c r="BC2" s="9">
        <f>AW2+AX2+AY2+AZ2+BA2+BB2</f>
        <v/>
      </c>
      <c r="BD2" s="9">
        <f>AV2-BC2</f>
        <v/>
      </c>
      <c r="BE2" s="40">
        <f>1/(1+d_dm)^A2</f>
        <v/>
      </c>
      <c r="BF2" s="9">
        <f>BD2*BE2</f>
        <v/>
      </c>
      <c r="BG2" s="9">
        <f>IF(A2=1,BF2,BG1+BF2)</f>
        <v/>
      </c>
      <c r="BH2" s="9">
        <f>IF(A2=1,BD2,BH1+BD2)</f>
        <v/>
      </c>
      <c r="BI2" s="39">
        <f>IF(AND(BH2&gt;=0,BI3=1),1,0)</f>
        <v/>
      </c>
      <c r="BJ2" s="39">
        <f>IF(BI2=1,A2,999)</f>
        <v/>
      </c>
      <c r="BK2" s="40">
        <f>1/(1+d_dm20)^A2</f>
        <v/>
      </c>
    </row>
    <row r="3">
      <c r="A3" s="39" t="n">
        <v>2</v>
      </c>
      <c r="B3" s="48">
        <f>MIN(in_signup_cap,in_signups_run*IF(in_ramp_months&gt;0,MIN(1,0.5+0.5*(A3-1)/in_ramp_months),1)*(1+in_signup_growth)^INT((A3-1)/12))</f>
        <v/>
      </c>
      <c r="C3" s="44">
        <f>SUMPRODUCT('Sign-ups by age'!C$2:C$61,'Age profile'!B$2:B$61)</f>
        <v/>
      </c>
      <c r="D3" s="44">
        <f>SUMPRODUCT('Sign-ups by age'!C$2:C$61,'Age profile'!C$2:C$61)</f>
        <v/>
      </c>
      <c r="E3" s="44">
        <f>SUMPRODUCT('Sign-ups by age'!C$2:C$61,'Age profile'!M$2:M$61)</f>
        <v/>
      </c>
      <c r="F3" s="44">
        <f>SUMPRODUCT('Sign-ups by age'!C$2:C$61,'Age profile'!K$2:K$61)</f>
        <v/>
      </c>
      <c r="G3" s="44">
        <f>SUMPRODUCT('Sign-ups by age'!C$2:C$61,'Age profile'!L$2:L$61)</f>
        <v/>
      </c>
      <c r="H3" s="11">
        <f>IF(C3&gt;0,1-F3/C3,0)</f>
        <v/>
      </c>
      <c r="I3" s="11">
        <f>IF(C3&gt;0,MAX(0,1-in_capacity*in_visit_every/C3),0)</f>
        <v/>
      </c>
      <c r="J3" s="49">
        <f>SUMPRODUCT('Sign-ups by age'!C$2:C$61,'Age profile'!E$2:E$61)</f>
        <v/>
      </c>
      <c r="K3" s="49">
        <f>SUMPRODUCT('Sign-ups by age'!C$2:C$61,'Age profile'!H$2:H$61)</f>
        <v/>
      </c>
      <c r="L3" s="44">
        <f>SUMIFS('Cohort x age'!$Q$2:$Q$1831,'Cohort x age'!$C$2:$C$1831,A3)</f>
        <v/>
      </c>
      <c r="M3" s="50">
        <f>SUMIFS('Cohort x age'!$L$2:$L$1831,'Cohort x age'!$C$2:$C$1831,A3)</f>
        <v/>
      </c>
      <c r="N3" s="50">
        <f>SUMIFS('Cohort x age'!$M$2:$M$1831,'Cohort x age'!$C$2:$C$1831,A3)</f>
        <v/>
      </c>
      <c r="O3" s="50">
        <f>SUMIFS('Cohort x age'!$N$2:$N$1831,'Cohort x age'!$C$2:$C$1831,A3)</f>
        <v/>
      </c>
      <c r="P3" s="50">
        <f>SUMIFS('Cohort x age'!$T$2:$T$1831,'Cohort x age'!$C$2:$C$1831,A3)</f>
        <v/>
      </c>
      <c r="Q3" s="49">
        <f>SUMIFS('Cohort x age'!$U$2:$U$1831,'Cohort x age'!$C$2:$C$1831,A3)</f>
        <v/>
      </c>
      <c r="R3" s="49">
        <f>SUMIFS('Cohort x age'!$V$2:$V$1831,'Cohort x age'!$C$2:$C$1831,A3)</f>
        <v/>
      </c>
      <c r="S3" s="44">
        <f>SUMIFS('Cohort x age'!$P$2:$P$1831,'Cohort x age'!$C$2:$C$1831,A3)</f>
        <v/>
      </c>
      <c r="T3" s="44">
        <f>SUMIFS('Cohort x age'!$R$2:$R$1831,'Cohort x age'!$C$2:$C$1831,A3)</f>
        <v/>
      </c>
      <c r="U3" s="50">
        <f>SUMIFS('Cohort x age'!$X$2:$X$1831,'Cohort x age'!$C$2:$C$1831,A3)</f>
        <v/>
      </c>
      <c r="V3" s="50">
        <f>SUMIFS('Cohort x age'!$Y$2:$Y$1831,'Cohort x age'!$C$2:$C$1831,A3)</f>
        <v/>
      </c>
      <c r="W3" s="50">
        <f>SUMIFS('Cohort x age'!$Z$2:$Z$1831,'Cohort x age'!$C$2:$C$1831,A3)</f>
        <v/>
      </c>
      <c r="X3" s="49">
        <f>SUMPRODUCT('Sign-ups by age'!C$2:C$61,'Age profile'!Q$2:Q$61)</f>
        <v/>
      </c>
      <c r="Y3" s="49">
        <f>SUMIFS('Cohort x age'!$AA$2:$AA$1831,'Cohort x age'!$C$2:$C$1831,A3)</f>
        <v/>
      </c>
      <c r="Z3" s="49">
        <f>SUMIFS('Cohort x age'!$AB$2:$AB$1831,'Cohort x age'!$C$2:$C$1831,A3)</f>
        <v/>
      </c>
      <c r="AA3" s="49">
        <f>SUMIFS('Cohort x age'!$AC$2:$AC$1831,'Cohort x age'!$C$2:$C$1831,A3)</f>
        <v/>
      </c>
      <c r="AB3" s="49">
        <f>SUMIFS('Cohort x age'!$AD$2:$AD$1831,'Cohort x age'!$C$2:$C$1831,A3)</f>
        <v/>
      </c>
      <c r="AC3" s="49">
        <f>SUMIFS('Cohort x age'!$AG$2:$AG$1831,'Cohort x age'!$C$2:$C$1831,A3)</f>
        <v/>
      </c>
      <c r="AD3" s="49">
        <f>SUMIFS('Cohort x age'!$AJ$2:$AJ$1831,'Cohort x age'!$C$2:$C$1831,A3)</f>
        <v/>
      </c>
      <c r="AE3" s="49">
        <f>SUMIFS('Cohort x age'!$AM$2:$AM$1831,'Cohort x age'!$C$2:$C$1831,A3)</f>
        <v/>
      </c>
      <c r="AF3" s="49">
        <f>SUMIFS('Cohort x age'!$AP$2:$AP$1831,'Cohort x age'!$C$2:$C$1831,A3)</f>
        <v/>
      </c>
      <c r="AG3" s="49">
        <f>SUMIFS('Cohort x age'!$AS$2:$AS$1831,'Cohort x age'!$C$2:$C$1831,A3)</f>
        <v/>
      </c>
      <c r="AH3" s="49">
        <f>SUMIFS('Cohort x age'!$AU$2:$AU$1831,'Cohort x age'!$C$2:$C$1831,A3)</f>
        <v/>
      </c>
      <c r="AI3" s="49">
        <f>SUMIFS('Cohort x age'!$AX$2:$AX$1831,'Cohort x age'!$C$2:$C$1831,A3)</f>
        <v/>
      </c>
      <c r="AJ3" s="49">
        <f>SUMIFS('Cohort x age'!$BB$2:$BB$1831,'Cohort x age'!$C$2:$C$1831,A3)</f>
        <v/>
      </c>
      <c r="AK3" s="49">
        <f>SUMIFS('Cohort x age'!$BE$2:$BE$1831,'Cohort x age'!$C$2:$C$1831,A3)</f>
        <v/>
      </c>
      <c r="AL3" s="49">
        <f>SUMIFS('Cohort x age'!$BG$2:$BG$1831,'Cohort x age'!$C$2:$C$1831,A3)</f>
        <v/>
      </c>
      <c r="AM3" s="49">
        <f>SUMIFS('Cohort x age'!$BJ$2:$BJ$1831,'Cohort x age'!$C$2:$C$1831,A3)</f>
        <v/>
      </c>
      <c r="AN3" s="49">
        <f>SUMIFS('Cohort x age'!$BL$2:$BL$1831,'Cohort x age'!$C$2:$C$1831,A3)</f>
        <v/>
      </c>
      <c r="AO3" s="49">
        <f>SUMIFS('Cohort x age'!$BO$2:$BO$1831,'Cohort x age'!$C$2:$C$1831,A3)</f>
        <v/>
      </c>
      <c r="AP3" s="49">
        <f>SUMIFS('Cohort x age'!$BR$2:$BR$1831,'Cohort x age'!$C$2:$C$1831,A3)</f>
        <v/>
      </c>
      <c r="AQ3" s="49">
        <f>SUMIFS('Cohort x age'!$BT$2:$BT$1831,'Cohort x age'!$C$2:$C$1831,A3)</f>
        <v/>
      </c>
      <c r="AR3" s="49">
        <f>SUMIFS('Cohort x age'!$BV$2:$BV$1831,'Cohort x age'!$C$2:$C$1831,A3)</f>
        <v/>
      </c>
      <c r="AS3" s="49">
        <f>SUMIFS('Cohort x age'!$BX$2:$BX$1831,'Cohort x age'!$C$2:$C$1831,A3)</f>
        <v/>
      </c>
      <c r="AT3" s="49">
        <f>SUMIFS('Cohort x age'!$CA$2:$CA$1831,'Cohort x age'!$C$2:$C$1831,A3)</f>
        <v/>
      </c>
      <c r="AU3" s="49">
        <f>SUMIFS('Cohort x age'!$CD$2:$CD$1831,'Cohort x age'!$C$2:$C$1831,A3)</f>
        <v/>
      </c>
      <c r="AV3" s="9">
        <f>SUM(X3:AS3)</f>
        <v/>
      </c>
      <c r="AW3" s="9">
        <f>in_salary</f>
        <v/>
      </c>
      <c r="AX3" s="9">
        <f>MAX(0,G3-in_capacity)*in_extra_capacity_cost/in_helper_visits</f>
        <v/>
      </c>
      <c r="AY3" s="49">
        <f>SUMPRODUCT('Sign-ups by age'!C$2:C$61,'Age profile'!R$2:R$61)</f>
        <v/>
      </c>
      <c r="AZ3" s="49">
        <f>SUMPRODUCT('Sign-ups by age'!C$2:C$61,'Age profile'!S$2:S$61)</f>
        <v/>
      </c>
      <c r="BA3" s="9">
        <f>in_cash_cover</f>
        <v/>
      </c>
      <c r="BB3" s="9">
        <f>IF(A3&lt;=in_growth_months,in_agent_balance_pay,in_agent_pay_after)/12*K3</f>
        <v/>
      </c>
      <c r="BC3" s="9">
        <f>AW3+AX3+AY3+AZ3+BA3+BB3</f>
        <v/>
      </c>
      <c r="BD3" s="9">
        <f>AV3-BC3</f>
        <v/>
      </c>
      <c r="BE3" s="40">
        <f>1/(1+d_dm)^A3</f>
        <v/>
      </c>
      <c r="BF3" s="9">
        <f>BD3*BE3</f>
        <v/>
      </c>
      <c r="BG3" s="9">
        <f>IF(A3=1,BF3,BG2+BF3)</f>
        <v/>
      </c>
      <c r="BH3" s="9">
        <f>IF(A3=1,BD3,BH2+BD3)</f>
        <v/>
      </c>
      <c r="BI3" s="39">
        <f>IF(AND(BH3&gt;=0,BI4=1),1,0)</f>
        <v/>
      </c>
      <c r="BJ3" s="39">
        <f>IF(BI3=1,A3,999)</f>
        <v/>
      </c>
      <c r="BK3" s="40">
        <f>1/(1+d_dm20)^A3</f>
        <v/>
      </c>
    </row>
    <row r="4">
      <c r="A4" s="39" t="n">
        <v>3</v>
      </c>
      <c r="B4" s="48">
        <f>MIN(in_signup_cap,in_signups_run*IF(in_ramp_months&gt;0,MIN(1,0.5+0.5*(A4-1)/in_ramp_months),1)*(1+in_signup_growth)^INT((A4-1)/12))</f>
        <v/>
      </c>
      <c r="C4" s="44">
        <f>SUMPRODUCT('Sign-ups by age'!D$2:D$61,'Age profile'!B$2:B$61)</f>
        <v/>
      </c>
      <c r="D4" s="44">
        <f>SUMPRODUCT('Sign-ups by age'!D$2:D$61,'Age profile'!C$2:C$61)</f>
        <v/>
      </c>
      <c r="E4" s="44">
        <f>SUMPRODUCT('Sign-ups by age'!D$2:D$61,'Age profile'!M$2:M$61)</f>
        <v/>
      </c>
      <c r="F4" s="44">
        <f>SUMPRODUCT('Sign-ups by age'!D$2:D$61,'Age profile'!K$2:K$61)</f>
        <v/>
      </c>
      <c r="G4" s="44">
        <f>SUMPRODUCT('Sign-ups by age'!D$2:D$61,'Age profile'!L$2:L$61)</f>
        <v/>
      </c>
      <c r="H4" s="11">
        <f>IF(C4&gt;0,1-F4/C4,0)</f>
        <v/>
      </c>
      <c r="I4" s="11">
        <f>IF(C4&gt;0,MAX(0,1-in_capacity*in_visit_every/C4),0)</f>
        <v/>
      </c>
      <c r="J4" s="49">
        <f>SUMPRODUCT('Sign-ups by age'!D$2:D$61,'Age profile'!E$2:E$61)</f>
        <v/>
      </c>
      <c r="K4" s="49">
        <f>SUMPRODUCT('Sign-ups by age'!D$2:D$61,'Age profile'!H$2:H$61)</f>
        <v/>
      </c>
      <c r="L4" s="44">
        <f>SUMIFS('Cohort x age'!$Q$2:$Q$1831,'Cohort x age'!$C$2:$C$1831,A4)</f>
        <v/>
      </c>
      <c r="M4" s="50">
        <f>SUMIFS('Cohort x age'!$L$2:$L$1831,'Cohort x age'!$C$2:$C$1831,A4)</f>
        <v/>
      </c>
      <c r="N4" s="50">
        <f>SUMIFS('Cohort x age'!$M$2:$M$1831,'Cohort x age'!$C$2:$C$1831,A4)</f>
        <v/>
      </c>
      <c r="O4" s="50">
        <f>SUMIFS('Cohort x age'!$N$2:$N$1831,'Cohort x age'!$C$2:$C$1831,A4)</f>
        <v/>
      </c>
      <c r="P4" s="50">
        <f>SUMIFS('Cohort x age'!$T$2:$T$1831,'Cohort x age'!$C$2:$C$1831,A4)</f>
        <v/>
      </c>
      <c r="Q4" s="49">
        <f>SUMIFS('Cohort x age'!$U$2:$U$1831,'Cohort x age'!$C$2:$C$1831,A4)</f>
        <v/>
      </c>
      <c r="R4" s="49">
        <f>SUMIFS('Cohort x age'!$V$2:$V$1831,'Cohort x age'!$C$2:$C$1831,A4)</f>
        <v/>
      </c>
      <c r="S4" s="44">
        <f>SUMIFS('Cohort x age'!$P$2:$P$1831,'Cohort x age'!$C$2:$C$1831,A4)</f>
        <v/>
      </c>
      <c r="T4" s="44">
        <f>SUMIFS('Cohort x age'!$R$2:$R$1831,'Cohort x age'!$C$2:$C$1831,A4)</f>
        <v/>
      </c>
      <c r="U4" s="50">
        <f>SUMIFS('Cohort x age'!$X$2:$X$1831,'Cohort x age'!$C$2:$C$1831,A4)</f>
        <v/>
      </c>
      <c r="V4" s="50">
        <f>SUMIFS('Cohort x age'!$Y$2:$Y$1831,'Cohort x age'!$C$2:$C$1831,A4)</f>
        <v/>
      </c>
      <c r="W4" s="50">
        <f>SUMIFS('Cohort x age'!$Z$2:$Z$1831,'Cohort x age'!$C$2:$C$1831,A4)</f>
        <v/>
      </c>
      <c r="X4" s="49">
        <f>SUMPRODUCT('Sign-ups by age'!D$2:D$61,'Age profile'!Q$2:Q$61)</f>
        <v/>
      </c>
      <c r="Y4" s="49">
        <f>SUMIFS('Cohort x age'!$AA$2:$AA$1831,'Cohort x age'!$C$2:$C$1831,A4)</f>
        <v/>
      </c>
      <c r="Z4" s="49">
        <f>SUMIFS('Cohort x age'!$AB$2:$AB$1831,'Cohort x age'!$C$2:$C$1831,A4)</f>
        <v/>
      </c>
      <c r="AA4" s="49">
        <f>SUMIFS('Cohort x age'!$AC$2:$AC$1831,'Cohort x age'!$C$2:$C$1831,A4)</f>
        <v/>
      </c>
      <c r="AB4" s="49">
        <f>SUMIFS('Cohort x age'!$AD$2:$AD$1831,'Cohort x age'!$C$2:$C$1831,A4)</f>
        <v/>
      </c>
      <c r="AC4" s="49">
        <f>SUMIFS('Cohort x age'!$AG$2:$AG$1831,'Cohort x age'!$C$2:$C$1831,A4)</f>
        <v/>
      </c>
      <c r="AD4" s="49">
        <f>SUMIFS('Cohort x age'!$AJ$2:$AJ$1831,'Cohort x age'!$C$2:$C$1831,A4)</f>
        <v/>
      </c>
      <c r="AE4" s="49">
        <f>SUMIFS('Cohort x age'!$AM$2:$AM$1831,'Cohort x age'!$C$2:$C$1831,A4)</f>
        <v/>
      </c>
      <c r="AF4" s="49">
        <f>SUMIFS('Cohort x age'!$AP$2:$AP$1831,'Cohort x age'!$C$2:$C$1831,A4)</f>
        <v/>
      </c>
      <c r="AG4" s="49">
        <f>SUMIFS('Cohort x age'!$AS$2:$AS$1831,'Cohort x age'!$C$2:$C$1831,A4)</f>
        <v/>
      </c>
      <c r="AH4" s="49">
        <f>SUMIFS('Cohort x age'!$AU$2:$AU$1831,'Cohort x age'!$C$2:$C$1831,A4)</f>
        <v/>
      </c>
      <c r="AI4" s="49">
        <f>SUMIFS('Cohort x age'!$AX$2:$AX$1831,'Cohort x age'!$C$2:$C$1831,A4)</f>
        <v/>
      </c>
      <c r="AJ4" s="49">
        <f>SUMIFS('Cohort x age'!$BB$2:$BB$1831,'Cohort x age'!$C$2:$C$1831,A4)</f>
        <v/>
      </c>
      <c r="AK4" s="49">
        <f>SUMIFS('Cohort x age'!$BE$2:$BE$1831,'Cohort x age'!$C$2:$C$1831,A4)</f>
        <v/>
      </c>
      <c r="AL4" s="49">
        <f>SUMIFS('Cohort x age'!$BG$2:$BG$1831,'Cohort x age'!$C$2:$C$1831,A4)</f>
        <v/>
      </c>
      <c r="AM4" s="49">
        <f>SUMIFS('Cohort x age'!$BJ$2:$BJ$1831,'Cohort x age'!$C$2:$C$1831,A4)</f>
        <v/>
      </c>
      <c r="AN4" s="49">
        <f>SUMIFS('Cohort x age'!$BL$2:$BL$1831,'Cohort x age'!$C$2:$C$1831,A4)</f>
        <v/>
      </c>
      <c r="AO4" s="49">
        <f>SUMIFS('Cohort x age'!$BO$2:$BO$1831,'Cohort x age'!$C$2:$C$1831,A4)</f>
        <v/>
      </c>
      <c r="AP4" s="49">
        <f>SUMIFS('Cohort x age'!$BR$2:$BR$1831,'Cohort x age'!$C$2:$C$1831,A4)</f>
        <v/>
      </c>
      <c r="AQ4" s="49">
        <f>SUMIFS('Cohort x age'!$BT$2:$BT$1831,'Cohort x age'!$C$2:$C$1831,A4)</f>
        <v/>
      </c>
      <c r="AR4" s="49">
        <f>SUMIFS('Cohort x age'!$BV$2:$BV$1831,'Cohort x age'!$C$2:$C$1831,A4)</f>
        <v/>
      </c>
      <c r="AS4" s="49">
        <f>SUMIFS('Cohort x age'!$BX$2:$BX$1831,'Cohort x age'!$C$2:$C$1831,A4)</f>
        <v/>
      </c>
      <c r="AT4" s="49">
        <f>SUMIFS('Cohort x age'!$CA$2:$CA$1831,'Cohort x age'!$C$2:$C$1831,A4)</f>
        <v/>
      </c>
      <c r="AU4" s="49">
        <f>SUMIFS('Cohort x age'!$CD$2:$CD$1831,'Cohort x age'!$C$2:$C$1831,A4)</f>
        <v/>
      </c>
      <c r="AV4" s="9">
        <f>SUM(X4:AS4)</f>
        <v/>
      </c>
      <c r="AW4" s="9">
        <f>in_salary</f>
        <v/>
      </c>
      <c r="AX4" s="9">
        <f>MAX(0,G4-in_capacity)*in_extra_capacity_cost/in_helper_visits</f>
        <v/>
      </c>
      <c r="AY4" s="49">
        <f>SUMPRODUCT('Sign-ups by age'!D$2:D$61,'Age profile'!R$2:R$61)</f>
        <v/>
      </c>
      <c r="AZ4" s="49">
        <f>SUMPRODUCT('Sign-ups by age'!D$2:D$61,'Age profile'!S$2:S$61)</f>
        <v/>
      </c>
      <c r="BA4" s="9">
        <f>in_cash_cover</f>
        <v/>
      </c>
      <c r="BB4" s="9">
        <f>IF(A4&lt;=in_growth_months,in_agent_balance_pay,in_agent_pay_after)/12*K4</f>
        <v/>
      </c>
      <c r="BC4" s="9">
        <f>AW4+AX4+AY4+AZ4+BA4+BB4</f>
        <v/>
      </c>
      <c r="BD4" s="9">
        <f>AV4-BC4</f>
        <v/>
      </c>
      <c r="BE4" s="40">
        <f>1/(1+d_dm)^A4</f>
        <v/>
      </c>
      <c r="BF4" s="9">
        <f>BD4*BE4</f>
        <v/>
      </c>
      <c r="BG4" s="9">
        <f>IF(A4=1,BF4,BG3+BF4)</f>
        <v/>
      </c>
      <c r="BH4" s="9">
        <f>IF(A4=1,BD4,BH3+BD4)</f>
        <v/>
      </c>
      <c r="BI4" s="39">
        <f>IF(AND(BH4&gt;=0,BI5=1),1,0)</f>
        <v/>
      </c>
      <c r="BJ4" s="39">
        <f>IF(BI4=1,A4,999)</f>
        <v/>
      </c>
      <c r="BK4" s="40">
        <f>1/(1+d_dm20)^A4</f>
        <v/>
      </c>
    </row>
    <row r="5">
      <c r="A5" s="39" t="n">
        <v>4</v>
      </c>
      <c r="B5" s="48">
        <f>MIN(in_signup_cap,in_signups_run*IF(in_ramp_months&gt;0,MIN(1,0.5+0.5*(A5-1)/in_ramp_months),1)*(1+in_signup_growth)^INT((A5-1)/12))</f>
        <v/>
      </c>
      <c r="C5" s="44">
        <f>SUMPRODUCT('Sign-ups by age'!E$2:E$61,'Age profile'!B$2:B$61)</f>
        <v/>
      </c>
      <c r="D5" s="44">
        <f>SUMPRODUCT('Sign-ups by age'!E$2:E$61,'Age profile'!C$2:C$61)</f>
        <v/>
      </c>
      <c r="E5" s="44">
        <f>SUMPRODUCT('Sign-ups by age'!E$2:E$61,'Age profile'!M$2:M$61)</f>
        <v/>
      </c>
      <c r="F5" s="44">
        <f>SUMPRODUCT('Sign-ups by age'!E$2:E$61,'Age profile'!K$2:K$61)</f>
        <v/>
      </c>
      <c r="G5" s="44">
        <f>SUMPRODUCT('Sign-ups by age'!E$2:E$61,'Age profile'!L$2:L$61)</f>
        <v/>
      </c>
      <c r="H5" s="11">
        <f>IF(C5&gt;0,1-F5/C5,0)</f>
        <v/>
      </c>
      <c r="I5" s="11">
        <f>IF(C5&gt;0,MAX(0,1-in_capacity*in_visit_every/C5),0)</f>
        <v/>
      </c>
      <c r="J5" s="49">
        <f>SUMPRODUCT('Sign-ups by age'!E$2:E$61,'Age profile'!E$2:E$61)</f>
        <v/>
      </c>
      <c r="K5" s="49">
        <f>SUMPRODUCT('Sign-ups by age'!E$2:E$61,'Age profile'!H$2:H$61)</f>
        <v/>
      </c>
      <c r="L5" s="44">
        <f>SUMIFS('Cohort x age'!$Q$2:$Q$1831,'Cohort x age'!$C$2:$C$1831,A5)</f>
        <v/>
      </c>
      <c r="M5" s="50">
        <f>SUMIFS('Cohort x age'!$L$2:$L$1831,'Cohort x age'!$C$2:$C$1831,A5)</f>
        <v/>
      </c>
      <c r="N5" s="50">
        <f>SUMIFS('Cohort x age'!$M$2:$M$1831,'Cohort x age'!$C$2:$C$1831,A5)</f>
        <v/>
      </c>
      <c r="O5" s="50">
        <f>SUMIFS('Cohort x age'!$N$2:$N$1831,'Cohort x age'!$C$2:$C$1831,A5)</f>
        <v/>
      </c>
      <c r="P5" s="50">
        <f>SUMIFS('Cohort x age'!$T$2:$T$1831,'Cohort x age'!$C$2:$C$1831,A5)</f>
        <v/>
      </c>
      <c r="Q5" s="49">
        <f>SUMIFS('Cohort x age'!$U$2:$U$1831,'Cohort x age'!$C$2:$C$1831,A5)</f>
        <v/>
      </c>
      <c r="R5" s="49">
        <f>SUMIFS('Cohort x age'!$V$2:$V$1831,'Cohort x age'!$C$2:$C$1831,A5)</f>
        <v/>
      </c>
      <c r="S5" s="44">
        <f>SUMIFS('Cohort x age'!$P$2:$P$1831,'Cohort x age'!$C$2:$C$1831,A5)</f>
        <v/>
      </c>
      <c r="T5" s="44">
        <f>SUMIFS('Cohort x age'!$R$2:$R$1831,'Cohort x age'!$C$2:$C$1831,A5)</f>
        <v/>
      </c>
      <c r="U5" s="50">
        <f>SUMIFS('Cohort x age'!$X$2:$X$1831,'Cohort x age'!$C$2:$C$1831,A5)</f>
        <v/>
      </c>
      <c r="V5" s="50">
        <f>SUMIFS('Cohort x age'!$Y$2:$Y$1831,'Cohort x age'!$C$2:$C$1831,A5)</f>
        <v/>
      </c>
      <c r="W5" s="50">
        <f>SUMIFS('Cohort x age'!$Z$2:$Z$1831,'Cohort x age'!$C$2:$C$1831,A5)</f>
        <v/>
      </c>
      <c r="X5" s="49">
        <f>SUMPRODUCT('Sign-ups by age'!E$2:E$61,'Age profile'!Q$2:Q$61)</f>
        <v/>
      </c>
      <c r="Y5" s="49">
        <f>SUMIFS('Cohort x age'!$AA$2:$AA$1831,'Cohort x age'!$C$2:$C$1831,A5)</f>
        <v/>
      </c>
      <c r="Z5" s="49">
        <f>SUMIFS('Cohort x age'!$AB$2:$AB$1831,'Cohort x age'!$C$2:$C$1831,A5)</f>
        <v/>
      </c>
      <c r="AA5" s="49">
        <f>SUMIFS('Cohort x age'!$AC$2:$AC$1831,'Cohort x age'!$C$2:$C$1831,A5)</f>
        <v/>
      </c>
      <c r="AB5" s="49">
        <f>SUMIFS('Cohort x age'!$AD$2:$AD$1831,'Cohort x age'!$C$2:$C$1831,A5)</f>
        <v/>
      </c>
      <c r="AC5" s="49">
        <f>SUMIFS('Cohort x age'!$AG$2:$AG$1831,'Cohort x age'!$C$2:$C$1831,A5)</f>
        <v/>
      </c>
      <c r="AD5" s="49">
        <f>SUMIFS('Cohort x age'!$AJ$2:$AJ$1831,'Cohort x age'!$C$2:$C$1831,A5)</f>
        <v/>
      </c>
      <c r="AE5" s="49">
        <f>SUMIFS('Cohort x age'!$AM$2:$AM$1831,'Cohort x age'!$C$2:$C$1831,A5)</f>
        <v/>
      </c>
      <c r="AF5" s="49">
        <f>SUMIFS('Cohort x age'!$AP$2:$AP$1831,'Cohort x age'!$C$2:$C$1831,A5)</f>
        <v/>
      </c>
      <c r="AG5" s="49">
        <f>SUMIFS('Cohort x age'!$AS$2:$AS$1831,'Cohort x age'!$C$2:$C$1831,A5)</f>
        <v/>
      </c>
      <c r="AH5" s="49">
        <f>SUMIFS('Cohort x age'!$AU$2:$AU$1831,'Cohort x age'!$C$2:$C$1831,A5)</f>
        <v/>
      </c>
      <c r="AI5" s="49">
        <f>SUMIFS('Cohort x age'!$AX$2:$AX$1831,'Cohort x age'!$C$2:$C$1831,A5)</f>
        <v/>
      </c>
      <c r="AJ5" s="49">
        <f>SUMIFS('Cohort x age'!$BB$2:$BB$1831,'Cohort x age'!$C$2:$C$1831,A5)</f>
        <v/>
      </c>
      <c r="AK5" s="49">
        <f>SUMIFS('Cohort x age'!$BE$2:$BE$1831,'Cohort x age'!$C$2:$C$1831,A5)</f>
        <v/>
      </c>
      <c r="AL5" s="49">
        <f>SUMIFS('Cohort x age'!$BG$2:$BG$1831,'Cohort x age'!$C$2:$C$1831,A5)</f>
        <v/>
      </c>
      <c r="AM5" s="49">
        <f>SUMIFS('Cohort x age'!$BJ$2:$BJ$1831,'Cohort x age'!$C$2:$C$1831,A5)</f>
        <v/>
      </c>
      <c r="AN5" s="49">
        <f>SUMIFS('Cohort x age'!$BL$2:$BL$1831,'Cohort x age'!$C$2:$C$1831,A5)</f>
        <v/>
      </c>
      <c r="AO5" s="49">
        <f>SUMIFS('Cohort x age'!$BO$2:$BO$1831,'Cohort x age'!$C$2:$C$1831,A5)</f>
        <v/>
      </c>
      <c r="AP5" s="49">
        <f>SUMIFS('Cohort x age'!$BR$2:$BR$1831,'Cohort x age'!$C$2:$C$1831,A5)</f>
        <v/>
      </c>
      <c r="AQ5" s="49">
        <f>SUMIFS('Cohort x age'!$BT$2:$BT$1831,'Cohort x age'!$C$2:$C$1831,A5)</f>
        <v/>
      </c>
      <c r="AR5" s="49">
        <f>SUMIFS('Cohort x age'!$BV$2:$BV$1831,'Cohort x age'!$C$2:$C$1831,A5)</f>
        <v/>
      </c>
      <c r="AS5" s="49">
        <f>SUMIFS('Cohort x age'!$BX$2:$BX$1831,'Cohort x age'!$C$2:$C$1831,A5)</f>
        <v/>
      </c>
      <c r="AT5" s="49">
        <f>SUMIFS('Cohort x age'!$CA$2:$CA$1831,'Cohort x age'!$C$2:$C$1831,A5)</f>
        <v/>
      </c>
      <c r="AU5" s="49">
        <f>SUMIFS('Cohort x age'!$CD$2:$CD$1831,'Cohort x age'!$C$2:$C$1831,A5)</f>
        <v/>
      </c>
      <c r="AV5" s="9">
        <f>SUM(X5:AS5)</f>
        <v/>
      </c>
      <c r="AW5" s="9">
        <f>in_salary</f>
        <v/>
      </c>
      <c r="AX5" s="9">
        <f>MAX(0,G5-in_capacity)*in_extra_capacity_cost/in_helper_visits</f>
        <v/>
      </c>
      <c r="AY5" s="49">
        <f>SUMPRODUCT('Sign-ups by age'!E$2:E$61,'Age profile'!R$2:R$61)</f>
        <v/>
      </c>
      <c r="AZ5" s="49">
        <f>SUMPRODUCT('Sign-ups by age'!E$2:E$61,'Age profile'!S$2:S$61)</f>
        <v/>
      </c>
      <c r="BA5" s="9">
        <f>in_cash_cover</f>
        <v/>
      </c>
      <c r="BB5" s="9">
        <f>IF(A5&lt;=in_growth_months,in_agent_balance_pay,in_agent_pay_after)/12*K5</f>
        <v/>
      </c>
      <c r="BC5" s="9">
        <f>AW5+AX5+AY5+AZ5+BA5+BB5</f>
        <v/>
      </c>
      <c r="BD5" s="9">
        <f>AV5-BC5</f>
        <v/>
      </c>
      <c r="BE5" s="40">
        <f>1/(1+d_dm)^A5</f>
        <v/>
      </c>
      <c r="BF5" s="9">
        <f>BD5*BE5</f>
        <v/>
      </c>
      <c r="BG5" s="9">
        <f>IF(A5=1,BF5,BG4+BF5)</f>
        <v/>
      </c>
      <c r="BH5" s="9">
        <f>IF(A5=1,BD5,BH4+BD5)</f>
        <v/>
      </c>
      <c r="BI5" s="39">
        <f>IF(AND(BH5&gt;=0,BI6=1),1,0)</f>
        <v/>
      </c>
      <c r="BJ5" s="39">
        <f>IF(BI5=1,A5,999)</f>
        <v/>
      </c>
      <c r="BK5" s="40">
        <f>1/(1+d_dm20)^A5</f>
        <v/>
      </c>
    </row>
    <row r="6">
      <c r="A6" s="39" t="n">
        <v>5</v>
      </c>
      <c r="B6" s="48">
        <f>MIN(in_signup_cap,in_signups_run*IF(in_ramp_months&gt;0,MIN(1,0.5+0.5*(A6-1)/in_ramp_months),1)*(1+in_signup_growth)^INT((A6-1)/12))</f>
        <v/>
      </c>
      <c r="C6" s="44">
        <f>SUMPRODUCT('Sign-ups by age'!F$2:F$61,'Age profile'!B$2:B$61)</f>
        <v/>
      </c>
      <c r="D6" s="44">
        <f>SUMPRODUCT('Sign-ups by age'!F$2:F$61,'Age profile'!C$2:C$61)</f>
        <v/>
      </c>
      <c r="E6" s="44">
        <f>SUMPRODUCT('Sign-ups by age'!F$2:F$61,'Age profile'!M$2:M$61)</f>
        <v/>
      </c>
      <c r="F6" s="44">
        <f>SUMPRODUCT('Sign-ups by age'!F$2:F$61,'Age profile'!K$2:K$61)</f>
        <v/>
      </c>
      <c r="G6" s="44">
        <f>SUMPRODUCT('Sign-ups by age'!F$2:F$61,'Age profile'!L$2:L$61)</f>
        <v/>
      </c>
      <c r="H6" s="11">
        <f>IF(C6&gt;0,1-F6/C6,0)</f>
        <v/>
      </c>
      <c r="I6" s="11">
        <f>IF(C6&gt;0,MAX(0,1-in_capacity*in_visit_every/C6),0)</f>
        <v/>
      </c>
      <c r="J6" s="49">
        <f>SUMPRODUCT('Sign-ups by age'!F$2:F$61,'Age profile'!E$2:E$61)</f>
        <v/>
      </c>
      <c r="K6" s="49">
        <f>SUMPRODUCT('Sign-ups by age'!F$2:F$61,'Age profile'!H$2:H$61)</f>
        <v/>
      </c>
      <c r="L6" s="44">
        <f>SUMIFS('Cohort x age'!$Q$2:$Q$1831,'Cohort x age'!$C$2:$C$1831,A6)</f>
        <v/>
      </c>
      <c r="M6" s="50">
        <f>SUMIFS('Cohort x age'!$L$2:$L$1831,'Cohort x age'!$C$2:$C$1831,A6)</f>
        <v/>
      </c>
      <c r="N6" s="50">
        <f>SUMIFS('Cohort x age'!$M$2:$M$1831,'Cohort x age'!$C$2:$C$1831,A6)</f>
        <v/>
      </c>
      <c r="O6" s="50">
        <f>SUMIFS('Cohort x age'!$N$2:$N$1831,'Cohort x age'!$C$2:$C$1831,A6)</f>
        <v/>
      </c>
      <c r="P6" s="50">
        <f>SUMIFS('Cohort x age'!$T$2:$T$1831,'Cohort x age'!$C$2:$C$1831,A6)</f>
        <v/>
      </c>
      <c r="Q6" s="49">
        <f>SUMIFS('Cohort x age'!$U$2:$U$1831,'Cohort x age'!$C$2:$C$1831,A6)</f>
        <v/>
      </c>
      <c r="R6" s="49">
        <f>SUMIFS('Cohort x age'!$V$2:$V$1831,'Cohort x age'!$C$2:$C$1831,A6)</f>
        <v/>
      </c>
      <c r="S6" s="44">
        <f>SUMIFS('Cohort x age'!$P$2:$P$1831,'Cohort x age'!$C$2:$C$1831,A6)</f>
        <v/>
      </c>
      <c r="T6" s="44">
        <f>SUMIFS('Cohort x age'!$R$2:$R$1831,'Cohort x age'!$C$2:$C$1831,A6)</f>
        <v/>
      </c>
      <c r="U6" s="50">
        <f>SUMIFS('Cohort x age'!$X$2:$X$1831,'Cohort x age'!$C$2:$C$1831,A6)</f>
        <v/>
      </c>
      <c r="V6" s="50">
        <f>SUMIFS('Cohort x age'!$Y$2:$Y$1831,'Cohort x age'!$C$2:$C$1831,A6)</f>
        <v/>
      </c>
      <c r="W6" s="50">
        <f>SUMIFS('Cohort x age'!$Z$2:$Z$1831,'Cohort x age'!$C$2:$C$1831,A6)</f>
        <v/>
      </c>
      <c r="X6" s="49">
        <f>SUMPRODUCT('Sign-ups by age'!F$2:F$61,'Age profile'!Q$2:Q$61)</f>
        <v/>
      </c>
      <c r="Y6" s="49">
        <f>SUMIFS('Cohort x age'!$AA$2:$AA$1831,'Cohort x age'!$C$2:$C$1831,A6)</f>
        <v/>
      </c>
      <c r="Z6" s="49">
        <f>SUMIFS('Cohort x age'!$AB$2:$AB$1831,'Cohort x age'!$C$2:$C$1831,A6)</f>
        <v/>
      </c>
      <c r="AA6" s="49">
        <f>SUMIFS('Cohort x age'!$AC$2:$AC$1831,'Cohort x age'!$C$2:$C$1831,A6)</f>
        <v/>
      </c>
      <c r="AB6" s="49">
        <f>SUMIFS('Cohort x age'!$AD$2:$AD$1831,'Cohort x age'!$C$2:$C$1831,A6)</f>
        <v/>
      </c>
      <c r="AC6" s="49">
        <f>SUMIFS('Cohort x age'!$AG$2:$AG$1831,'Cohort x age'!$C$2:$C$1831,A6)</f>
        <v/>
      </c>
      <c r="AD6" s="49">
        <f>SUMIFS('Cohort x age'!$AJ$2:$AJ$1831,'Cohort x age'!$C$2:$C$1831,A6)</f>
        <v/>
      </c>
      <c r="AE6" s="49">
        <f>SUMIFS('Cohort x age'!$AM$2:$AM$1831,'Cohort x age'!$C$2:$C$1831,A6)</f>
        <v/>
      </c>
      <c r="AF6" s="49">
        <f>SUMIFS('Cohort x age'!$AP$2:$AP$1831,'Cohort x age'!$C$2:$C$1831,A6)</f>
        <v/>
      </c>
      <c r="AG6" s="49">
        <f>SUMIFS('Cohort x age'!$AS$2:$AS$1831,'Cohort x age'!$C$2:$C$1831,A6)</f>
        <v/>
      </c>
      <c r="AH6" s="49">
        <f>SUMIFS('Cohort x age'!$AU$2:$AU$1831,'Cohort x age'!$C$2:$C$1831,A6)</f>
        <v/>
      </c>
      <c r="AI6" s="49">
        <f>SUMIFS('Cohort x age'!$AX$2:$AX$1831,'Cohort x age'!$C$2:$C$1831,A6)</f>
        <v/>
      </c>
      <c r="AJ6" s="49">
        <f>SUMIFS('Cohort x age'!$BB$2:$BB$1831,'Cohort x age'!$C$2:$C$1831,A6)</f>
        <v/>
      </c>
      <c r="AK6" s="49">
        <f>SUMIFS('Cohort x age'!$BE$2:$BE$1831,'Cohort x age'!$C$2:$C$1831,A6)</f>
        <v/>
      </c>
      <c r="AL6" s="49">
        <f>SUMIFS('Cohort x age'!$BG$2:$BG$1831,'Cohort x age'!$C$2:$C$1831,A6)</f>
        <v/>
      </c>
      <c r="AM6" s="49">
        <f>SUMIFS('Cohort x age'!$BJ$2:$BJ$1831,'Cohort x age'!$C$2:$C$1831,A6)</f>
        <v/>
      </c>
      <c r="AN6" s="49">
        <f>SUMIFS('Cohort x age'!$BL$2:$BL$1831,'Cohort x age'!$C$2:$C$1831,A6)</f>
        <v/>
      </c>
      <c r="AO6" s="49">
        <f>SUMIFS('Cohort x age'!$BO$2:$BO$1831,'Cohort x age'!$C$2:$C$1831,A6)</f>
        <v/>
      </c>
      <c r="AP6" s="49">
        <f>SUMIFS('Cohort x age'!$BR$2:$BR$1831,'Cohort x age'!$C$2:$C$1831,A6)</f>
        <v/>
      </c>
      <c r="AQ6" s="49">
        <f>SUMIFS('Cohort x age'!$BT$2:$BT$1831,'Cohort x age'!$C$2:$C$1831,A6)</f>
        <v/>
      </c>
      <c r="AR6" s="49">
        <f>SUMIFS('Cohort x age'!$BV$2:$BV$1831,'Cohort x age'!$C$2:$C$1831,A6)</f>
        <v/>
      </c>
      <c r="AS6" s="49">
        <f>SUMIFS('Cohort x age'!$BX$2:$BX$1831,'Cohort x age'!$C$2:$C$1831,A6)</f>
        <v/>
      </c>
      <c r="AT6" s="49">
        <f>SUMIFS('Cohort x age'!$CA$2:$CA$1831,'Cohort x age'!$C$2:$C$1831,A6)</f>
        <v/>
      </c>
      <c r="AU6" s="49">
        <f>SUMIFS('Cohort x age'!$CD$2:$CD$1831,'Cohort x age'!$C$2:$C$1831,A6)</f>
        <v/>
      </c>
      <c r="AV6" s="9">
        <f>SUM(X6:AS6)</f>
        <v/>
      </c>
      <c r="AW6" s="9">
        <f>in_salary</f>
        <v/>
      </c>
      <c r="AX6" s="9">
        <f>MAX(0,G6-in_capacity)*in_extra_capacity_cost/in_helper_visits</f>
        <v/>
      </c>
      <c r="AY6" s="49">
        <f>SUMPRODUCT('Sign-ups by age'!F$2:F$61,'Age profile'!R$2:R$61)</f>
        <v/>
      </c>
      <c r="AZ6" s="49">
        <f>SUMPRODUCT('Sign-ups by age'!F$2:F$61,'Age profile'!S$2:S$61)</f>
        <v/>
      </c>
      <c r="BA6" s="9">
        <f>in_cash_cover</f>
        <v/>
      </c>
      <c r="BB6" s="9">
        <f>IF(A6&lt;=in_growth_months,in_agent_balance_pay,in_agent_pay_after)/12*K6</f>
        <v/>
      </c>
      <c r="BC6" s="9">
        <f>AW6+AX6+AY6+AZ6+BA6+BB6</f>
        <v/>
      </c>
      <c r="BD6" s="9">
        <f>AV6-BC6</f>
        <v/>
      </c>
      <c r="BE6" s="40">
        <f>1/(1+d_dm)^A6</f>
        <v/>
      </c>
      <c r="BF6" s="9">
        <f>BD6*BE6</f>
        <v/>
      </c>
      <c r="BG6" s="9">
        <f>IF(A6=1,BF6,BG5+BF6)</f>
        <v/>
      </c>
      <c r="BH6" s="9">
        <f>IF(A6=1,BD6,BH5+BD6)</f>
        <v/>
      </c>
      <c r="BI6" s="39">
        <f>IF(AND(BH6&gt;=0,BI7=1),1,0)</f>
        <v/>
      </c>
      <c r="BJ6" s="39">
        <f>IF(BI6=1,A6,999)</f>
        <v/>
      </c>
      <c r="BK6" s="40">
        <f>1/(1+d_dm20)^A6</f>
        <v/>
      </c>
    </row>
    <row r="7">
      <c r="A7" s="39" t="n">
        <v>6</v>
      </c>
      <c r="B7" s="48">
        <f>MIN(in_signup_cap,in_signups_run*IF(in_ramp_months&gt;0,MIN(1,0.5+0.5*(A7-1)/in_ramp_months),1)*(1+in_signup_growth)^INT((A7-1)/12))</f>
        <v/>
      </c>
      <c r="C7" s="44">
        <f>SUMPRODUCT('Sign-ups by age'!G$2:G$61,'Age profile'!B$2:B$61)</f>
        <v/>
      </c>
      <c r="D7" s="44">
        <f>SUMPRODUCT('Sign-ups by age'!G$2:G$61,'Age profile'!C$2:C$61)</f>
        <v/>
      </c>
      <c r="E7" s="44">
        <f>SUMPRODUCT('Sign-ups by age'!G$2:G$61,'Age profile'!M$2:M$61)</f>
        <v/>
      </c>
      <c r="F7" s="44">
        <f>SUMPRODUCT('Sign-ups by age'!G$2:G$61,'Age profile'!K$2:K$61)</f>
        <v/>
      </c>
      <c r="G7" s="44">
        <f>SUMPRODUCT('Sign-ups by age'!G$2:G$61,'Age profile'!L$2:L$61)</f>
        <v/>
      </c>
      <c r="H7" s="11">
        <f>IF(C7&gt;0,1-F7/C7,0)</f>
        <v/>
      </c>
      <c r="I7" s="11">
        <f>IF(C7&gt;0,MAX(0,1-in_capacity*in_visit_every/C7),0)</f>
        <v/>
      </c>
      <c r="J7" s="49">
        <f>SUMPRODUCT('Sign-ups by age'!G$2:G$61,'Age profile'!E$2:E$61)</f>
        <v/>
      </c>
      <c r="K7" s="49">
        <f>SUMPRODUCT('Sign-ups by age'!G$2:G$61,'Age profile'!H$2:H$61)</f>
        <v/>
      </c>
      <c r="L7" s="44">
        <f>SUMIFS('Cohort x age'!$Q$2:$Q$1831,'Cohort x age'!$C$2:$C$1831,A7)</f>
        <v/>
      </c>
      <c r="M7" s="50">
        <f>SUMIFS('Cohort x age'!$L$2:$L$1831,'Cohort x age'!$C$2:$C$1831,A7)</f>
        <v/>
      </c>
      <c r="N7" s="50">
        <f>SUMIFS('Cohort x age'!$M$2:$M$1831,'Cohort x age'!$C$2:$C$1831,A7)</f>
        <v/>
      </c>
      <c r="O7" s="50">
        <f>SUMIFS('Cohort x age'!$N$2:$N$1831,'Cohort x age'!$C$2:$C$1831,A7)</f>
        <v/>
      </c>
      <c r="P7" s="50">
        <f>SUMIFS('Cohort x age'!$T$2:$T$1831,'Cohort x age'!$C$2:$C$1831,A7)</f>
        <v/>
      </c>
      <c r="Q7" s="49">
        <f>SUMIFS('Cohort x age'!$U$2:$U$1831,'Cohort x age'!$C$2:$C$1831,A7)</f>
        <v/>
      </c>
      <c r="R7" s="49">
        <f>SUMIFS('Cohort x age'!$V$2:$V$1831,'Cohort x age'!$C$2:$C$1831,A7)</f>
        <v/>
      </c>
      <c r="S7" s="44">
        <f>SUMIFS('Cohort x age'!$P$2:$P$1831,'Cohort x age'!$C$2:$C$1831,A7)</f>
        <v/>
      </c>
      <c r="T7" s="44">
        <f>SUMIFS('Cohort x age'!$R$2:$R$1831,'Cohort x age'!$C$2:$C$1831,A7)</f>
        <v/>
      </c>
      <c r="U7" s="50">
        <f>SUMIFS('Cohort x age'!$X$2:$X$1831,'Cohort x age'!$C$2:$C$1831,A7)</f>
        <v/>
      </c>
      <c r="V7" s="50">
        <f>SUMIFS('Cohort x age'!$Y$2:$Y$1831,'Cohort x age'!$C$2:$C$1831,A7)</f>
        <v/>
      </c>
      <c r="W7" s="50">
        <f>SUMIFS('Cohort x age'!$Z$2:$Z$1831,'Cohort x age'!$C$2:$C$1831,A7)</f>
        <v/>
      </c>
      <c r="X7" s="49">
        <f>SUMPRODUCT('Sign-ups by age'!G$2:G$61,'Age profile'!Q$2:Q$61)</f>
        <v/>
      </c>
      <c r="Y7" s="49">
        <f>SUMIFS('Cohort x age'!$AA$2:$AA$1831,'Cohort x age'!$C$2:$C$1831,A7)</f>
        <v/>
      </c>
      <c r="Z7" s="49">
        <f>SUMIFS('Cohort x age'!$AB$2:$AB$1831,'Cohort x age'!$C$2:$C$1831,A7)</f>
        <v/>
      </c>
      <c r="AA7" s="49">
        <f>SUMIFS('Cohort x age'!$AC$2:$AC$1831,'Cohort x age'!$C$2:$C$1831,A7)</f>
        <v/>
      </c>
      <c r="AB7" s="49">
        <f>SUMIFS('Cohort x age'!$AD$2:$AD$1831,'Cohort x age'!$C$2:$C$1831,A7)</f>
        <v/>
      </c>
      <c r="AC7" s="49">
        <f>SUMIFS('Cohort x age'!$AG$2:$AG$1831,'Cohort x age'!$C$2:$C$1831,A7)</f>
        <v/>
      </c>
      <c r="AD7" s="49">
        <f>SUMIFS('Cohort x age'!$AJ$2:$AJ$1831,'Cohort x age'!$C$2:$C$1831,A7)</f>
        <v/>
      </c>
      <c r="AE7" s="49">
        <f>SUMIFS('Cohort x age'!$AM$2:$AM$1831,'Cohort x age'!$C$2:$C$1831,A7)</f>
        <v/>
      </c>
      <c r="AF7" s="49">
        <f>SUMIFS('Cohort x age'!$AP$2:$AP$1831,'Cohort x age'!$C$2:$C$1831,A7)</f>
        <v/>
      </c>
      <c r="AG7" s="49">
        <f>SUMIFS('Cohort x age'!$AS$2:$AS$1831,'Cohort x age'!$C$2:$C$1831,A7)</f>
        <v/>
      </c>
      <c r="AH7" s="49">
        <f>SUMIFS('Cohort x age'!$AU$2:$AU$1831,'Cohort x age'!$C$2:$C$1831,A7)</f>
        <v/>
      </c>
      <c r="AI7" s="49">
        <f>SUMIFS('Cohort x age'!$AX$2:$AX$1831,'Cohort x age'!$C$2:$C$1831,A7)</f>
        <v/>
      </c>
      <c r="AJ7" s="49">
        <f>SUMIFS('Cohort x age'!$BB$2:$BB$1831,'Cohort x age'!$C$2:$C$1831,A7)</f>
        <v/>
      </c>
      <c r="AK7" s="49">
        <f>SUMIFS('Cohort x age'!$BE$2:$BE$1831,'Cohort x age'!$C$2:$C$1831,A7)</f>
        <v/>
      </c>
      <c r="AL7" s="49">
        <f>SUMIFS('Cohort x age'!$BG$2:$BG$1831,'Cohort x age'!$C$2:$C$1831,A7)</f>
        <v/>
      </c>
      <c r="AM7" s="49">
        <f>SUMIFS('Cohort x age'!$BJ$2:$BJ$1831,'Cohort x age'!$C$2:$C$1831,A7)</f>
        <v/>
      </c>
      <c r="AN7" s="49">
        <f>SUMIFS('Cohort x age'!$BL$2:$BL$1831,'Cohort x age'!$C$2:$C$1831,A7)</f>
        <v/>
      </c>
      <c r="AO7" s="49">
        <f>SUMIFS('Cohort x age'!$BO$2:$BO$1831,'Cohort x age'!$C$2:$C$1831,A7)</f>
        <v/>
      </c>
      <c r="AP7" s="49">
        <f>SUMIFS('Cohort x age'!$BR$2:$BR$1831,'Cohort x age'!$C$2:$C$1831,A7)</f>
        <v/>
      </c>
      <c r="AQ7" s="49">
        <f>SUMIFS('Cohort x age'!$BT$2:$BT$1831,'Cohort x age'!$C$2:$C$1831,A7)</f>
        <v/>
      </c>
      <c r="AR7" s="49">
        <f>SUMIFS('Cohort x age'!$BV$2:$BV$1831,'Cohort x age'!$C$2:$C$1831,A7)</f>
        <v/>
      </c>
      <c r="AS7" s="49">
        <f>SUMIFS('Cohort x age'!$BX$2:$BX$1831,'Cohort x age'!$C$2:$C$1831,A7)</f>
        <v/>
      </c>
      <c r="AT7" s="49">
        <f>SUMIFS('Cohort x age'!$CA$2:$CA$1831,'Cohort x age'!$C$2:$C$1831,A7)</f>
        <v/>
      </c>
      <c r="AU7" s="49">
        <f>SUMIFS('Cohort x age'!$CD$2:$CD$1831,'Cohort x age'!$C$2:$C$1831,A7)</f>
        <v/>
      </c>
      <c r="AV7" s="9">
        <f>SUM(X7:AS7)</f>
        <v/>
      </c>
      <c r="AW7" s="9">
        <f>in_salary</f>
        <v/>
      </c>
      <c r="AX7" s="9">
        <f>MAX(0,G7-in_capacity)*in_extra_capacity_cost/in_helper_visits</f>
        <v/>
      </c>
      <c r="AY7" s="49">
        <f>SUMPRODUCT('Sign-ups by age'!G$2:G$61,'Age profile'!R$2:R$61)</f>
        <v/>
      </c>
      <c r="AZ7" s="49">
        <f>SUMPRODUCT('Sign-ups by age'!G$2:G$61,'Age profile'!S$2:S$61)</f>
        <v/>
      </c>
      <c r="BA7" s="9">
        <f>in_cash_cover</f>
        <v/>
      </c>
      <c r="BB7" s="9">
        <f>IF(A7&lt;=in_growth_months,in_agent_balance_pay,in_agent_pay_after)/12*K7</f>
        <v/>
      </c>
      <c r="BC7" s="9">
        <f>AW7+AX7+AY7+AZ7+BA7+BB7</f>
        <v/>
      </c>
      <c r="BD7" s="9">
        <f>AV7-BC7</f>
        <v/>
      </c>
      <c r="BE7" s="40">
        <f>1/(1+d_dm)^A7</f>
        <v/>
      </c>
      <c r="BF7" s="9">
        <f>BD7*BE7</f>
        <v/>
      </c>
      <c r="BG7" s="9">
        <f>IF(A7=1,BF7,BG6+BF7)</f>
        <v/>
      </c>
      <c r="BH7" s="9">
        <f>IF(A7=1,BD7,BH6+BD7)</f>
        <v/>
      </c>
      <c r="BI7" s="39">
        <f>IF(AND(BH7&gt;=0,BI8=1),1,0)</f>
        <v/>
      </c>
      <c r="BJ7" s="39">
        <f>IF(BI7=1,A7,999)</f>
        <v/>
      </c>
      <c r="BK7" s="40">
        <f>1/(1+d_dm20)^A7</f>
        <v/>
      </c>
    </row>
    <row r="8">
      <c r="A8" s="39" t="n">
        <v>7</v>
      </c>
      <c r="B8" s="48">
        <f>MIN(in_signup_cap,in_signups_run*IF(in_ramp_months&gt;0,MIN(1,0.5+0.5*(A8-1)/in_ramp_months),1)*(1+in_signup_growth)^INT((A8-1)/12))</f>
        <v/>
      </c>
      <c r="C8" s="44">
        <f>SUMPRODUCT('Sign-ups by age'!H$2:H$61,'Age profile'!B$2:B$61)</f>
        <v/>
      </c>
      <c r="D8" s="44">
        <f>SUMPRODUCT('Sign-ups by age'!H$2:H$61,'Age profile'!C$2:C$61)</f>
        <v/>
      </c>
      <c r="E8" s="44">
        <f>SUMPRODUCT('Sign-ups by age'!H$2:H$61,'Age profile'!M$2:M$61)</f>
        <v/>
      </c>
      <c r="F8" s="44">
        <f>SUMPRODUCT('Sign-ups by age'!H$2:H$61,'Age profile'!K$2:K$61)</f>
        <v/>
      </c>
      <c r="G8" s="44">
        <f>SUMPRODUCT('Sign-ups by age'!H$2:H$61,'Age profile'!L$2:L$61)</f>
        <v/>
      </c>
      <c r="H8" s="11">
        <f>IF(C8&gt;0,1-F8/C8,0)</f>
        <v/>
      </c>
      <c r="I8" s="11">
        <f>IF(C8&gt;0,MAX(0,1-in_capacity*in_visit_every/C8),0)</f>
        <v/>
      </c>
      <c r="J8" s="49">
        <f>SUMPRODUCT('Sign-ups by age'!H$2:H$61,'Age profile'!E$2:E$61)</f>
        <v/>
      </c>
      <c r="K8" s="49">
        <f>SUMPRODUCT('Sign-ups by age'!H$2:H$61,'Age profile'!H$2:H$61)</f>
        <v/>
      </c>
      <c r="L8" s="44">
        <f>SUMIFS('Cohort x age'!$Q$2:$Q$1831,'Cohort x age'!$C$2:$C$1831,A8)</f>
        <v/>
      </c>
      <c r="M8" s="50">
        <f>SUMIFS('Cohort x age'!$L$2:$L$1831,'Cohort x age'!$C$2:$C$1831,A8)</f>
        <v/>
      </c>
      <c r="N8" s="50">
        <f>SUMIFS('Cohort x age'!$M$2:$M$1831,'Cohort x age'!$C$2:$C$1831,A8)</f>
        <v/>
      </c>
      <c r="O8" s="50">
        <f>SUMIFS('Cohort x age'!$N$2:$N$1831,'Cohort x age'!$C$2:$C$1831,A8)</f>
        <v/>
      </c>
      <c r="P8" s="50">
        <f>SUMIFS('Cohort x age'!$T$2:$T$1831,'Cohort x age'!$C$2:$C$1831,A8)</f>
        <v/>
      </c>
      <c r="Q8" s="49">
        <f>SUMIFS('Cohort x age'!$U$2:$U$1831,'Cohort x age'!$C$2:$C$1831,A8)</f>
        <v/>
      </c>
      <c r="R8" s="49">
        <f>SUMIFS('Cohort x age'!$V$2:$V$1831,'Cohort x age'!$C$2:$C$1831,A8)</f>
        <v/>
      </c>
      <c r="S8" s="44">
        <f>SUMIFS('Cohort x age'!$P$2:$P$1831,'Cohort x age'!$C$2:$C$1831,A8)</f>
        <v/>
      </c>
      <c r="T8" s="44">
        <f>SUMIFS('Cohort x age'!$R$2:$R$1831,'Cohort x age'!$C$2:$C$1831,A8)</f>
        <v/>
      </c>
      <c r="U8" s="50">
        <f>SUMIFS('Cohort x age'!$X$2:$X$1831,'Cohort x age'!$C$2:$C$1831,A8)</f>
        <v/>
      </c>
      <c r="V8" s="50">
        <f>SUMIFS('Cohort x age'!$Y$2:$Y$1831,'Cohort x age'!$C$2:$C$1831,A8)</f>
        <v/>
      </c>
      <c r="W8" s="50">
        <f>SUMIFS('Cohort x age'!$Z$2:$Z$1831,'Cohort x age'!$C$2:$C$1831,A8)</f>
        <v/>
      </c>
      <c r="X8" s="49">
        <f>SUMPRODUCT('Sign-ups by age'!H$2:H$61,'Age profile'!Q$2:Q$61)</f>
        <v/>
      </c>
      <c r="Y8" s="49">
        <f>SUMIFS('Cohort x age'!$AA$2:$AA$1831,'Cohort x age'!$C$2:$C$1831,A8)</f>
        <v/>
      </c>
      <c r="Z8" s="49">
        <f>SUMIFS('Cohort x age'!$AB$2:$AB$1831,'Cohort x age'!$C$2:$C$1831,A8)</f>
        <v/>
      </c>
      <c r="AA8" s="49">
        <f>SUMIFS('Cohort x age'!$AC$2:$AC$1831,'Cohort x age'!$C$2:$C$1831,A8)</f>
        <v/>
      </c>
      <c r="AB8" s="49">
        <f>SUMIFS('Cohort x age'!$AD$2:$AD$1831,'Cohort x age'!$C$2:$C$1831,A8)</f>
        <v/>
      </c>
      <c r="AC8" s="49">
        <f>SUMIFS('Cohort x age'!$AG$2:$AG$1831,'Cohort x age'!$C$2:$C$1831,A8)</f>
        <v/>
      </c>
      <c r="AD8" s="49">
        <f>SUMIFS('Cohort x age'!$AJ$2:$AJ$1831,'Cohort x age'!$C$2:$C$1831,A8)</f>
        <v/>
      </c>
      <c r="AE8" s="49">
        <f>SUMIFS('Cohort x age'!$AM$2:$AM$1831,'Cohort x age'!$C$2:$C$1831,A8)</f>
        <v/>
      </c>
      <c r="AF8" s="49">
        <f>SUMIFS('Cohort x age'!$AP$2:$AP$1831,'Cohort x age'!$C$2:$C$1831,A8)</f>
        <v/>
      </c>
      <c r="AG8" s="49">
        <f>SUMIFS('Cohort x age'!$AS$2:$AS$1831,'Cohort x age'!$C$2:$C$1831,A8)</f>
        <v/>
      </c>
      <c r="AH8" s="49">
        <f>SUMIFS('Cohort x age'!$AU$2:$AU$1831,'Cohort x age'!$C$2:$C$1831,A8)</f>
        <v/>
      </c>
      <c r="AI8" s="49">
        <f>SUMIFS('Cohort x age'!$AX$2:$AX$1831,'Cohort x age'!$C$2:$C$1831,A8)</f>
        <v/>
      </c>
      <c r="AJ8" s="49">
        <f>SUMIFS('Cohort x age'!$BB$2:$BB$1831,'Cohort x age'!$C$2:$C$1831,A8)</f>
        <v/>
      </c>
      <c r="AK8" s="49">
        <f>SUMIFS('Cohort x age'!$BE$2:$BE$1831,'Cohort x age'!$C$2:$C$1831,A8)</f>
        <v/>
      </c>
      <c r="AL8" s="49">
        <f>SUMIFS('Cohort x age'!$BG$2:$BG$1831,'Cohort x age'!$C$2:$C$1831,A8)</f>
        <v/>
      </c>
      <c r="AM8" s="49">
        <f>SUMIFS('Cohort x age'!$BJ$2:$BJ$1831,'Cohort x age'!$C$2:$C$1831,A8)</f>
        <v/>
      </c>
      <c r="AN8" s="49">
        <f>SUMIFS('Cohort x age'!$BL$2:$BL$1831,'Cohort x age'!$C$2:$C$1831,A8)</f>
        <v/>
      </c>
      <c r="AO8" s="49">
        <f>SUMIFS('Cohort x age'!$BO$2:$BO$1831,'Cohort x age'!$C$2:$C$1831,A8)</f>
        <v/>
      </c>
      <c r="AP8" s="49">
        <f>SUMIFS('Cohort x age'!$BR$2:$BR$1831,'Cohort x age'!$C$2:$C$1831,A8)</f>
        <v/>
      </c>
      <c r="AQ8" s="49">
        <f>SUMIFS('Cohort x age'!$BT$2:$BT$1831,'Cohort x age'!$C$2:$C$1831,A8)</f>
        <v/>
      </c>
      <c r="AR8" s="49">
        <f>SUMIFS('Cohort x age'!$BV$2:$BV$1831,'Cohort x age'!$C$2:$C$1831,A8)</f>
        <v/>
      </c>
      <c r="AS8" s="49">
        <f>SUMIFS('Cohort x age'!$BX$2:$BX$1831,'Cohort x age'!$C$2:$C$1831,A8)</f>
        <v/>
      </c>
      <c r="AT8" s="49">
        <f>SUMIFS('Cohort x age'!$CA$2:$CA$1831,'Cohort x age'!$C$2:$C$1831,A8)</f>
        <v/>
      </c>
      <c r="AU8" s="49">
        <f>SUMIFS('Cohort x age'!$CD$2:$CD$1831,'Cohort x age'!$C$2:$C$1831,A8)</f>
        <v/>
      </c>
      <c r="AV8" s="9">
        <f>SUM(X8:AS8)</f>
        <v/>
      </c>
      <c r="AW8" s="9">
        <f>in_salary</f>
        <v/>
      </c>
      <c r="AX8" s="9">
        <f>MAX(0,G8-in_capacity)*in_extra_capacity_cost/in_helper_visits</f>
        <v/>
      </c>
      <c r="AY8" s="49">
        <f>SUMPRODUCT('Sign-ups by age'!H$2:H$61,'Age profile'!R$2:R$61)</f>
        <v/>
      </c>
      <c r="AZ8" s="49">
        <f>SUMPRODUCT('Sign-ups by age'!H$2:H$61,'Age profile'!S$2:S$61)</f>
        <v/>
      </c>
      <c r="BA8" s="9">
        <f>in_cash_cover</f>
        <v/>
      </c>
      <c r="BB8" s="9">
        <f>IF(A8&lt;=in_growth_months,in_agent_balance_pay,in_agent_pay_after)/12*K8</f>
        <v/>
      </c>
      <c r="BC8" s="9">
        <f>AW8+AX8+AY8+AZ8+BA8+BB8</f>
        <v/>
      </c>
      <c r="BD8" s="9">
        <f>AV8-BC8</f>
        <v/>
      </c>
      <c r="BE8" s="40">
        <f>1/(1+d_dm)^A8</f>
        <v/>
      </c>
      <c r="BF8" s="9">
        <f>BD8*BE8</f>
        <v/>
      </c>
      <c r="BG8" s="9">
        <f>IF(A8=1,BF8,BG7+BF8)</f>
        <v/>
      </c>
      <c r="BH8" s="9">
        <f>IF(A8=1,BD8,BH7+BD8)</f>
        <v/>
      </c>
      <c r="BI8" s="39">
        <f>IF(AND(BH8&gt;=0,BI9=1),1,0)</f>
        <v/>
      </c>
      <c r="BJ8" s="39">
        <f>IF(BI8=1,A8,999)</f>
        <v/>
      </c>
      <c r="BK8" s="40">
        <f>1/(1+d_dm20)^A8</f>
        <v/>
      </c>
    </row>
    <row r="9">
      <c r="A9" s="39" t="n">
        <v>8</v>
      </c>
      <c r="B9" s="48">
        <f>MIN(in_signup_cap,in_signups_run*IF(in_ramp_months&gt;0,MIN(1,0.5+0.5*(A9-1)/in_ramp_months),1)*(1+in_signup_growth)^INT((A9-1)/12))</f>
        <v/>
      </c>
      <c r="C9" s="44">
        <f>SUMPRODUCT('Sign-ups by age'!I$2:I$61,'Age profile'!B$2:B$61)</f>
        <v/>
      </c>
      <c r="D9" s="44">
        <f>SUMPRODUCT('Sign-ups by age'!I$2:I$61,'Age profile'!C$2:C$61)</f>
        <v/>
      </c>
      <c r="E9" s="44">
        <f>SUMPRODUCT('Sign-ups by age'!I$2:I$61,'Age profile'!M$2:M$61)</f>
        <v/>
      </c>
      <c r="F9" s="44">
        <f>SUMPRODUCT('Sign-ups by age'!I$2:I$61,'Age profile'!K$2:K$61)</f>
        <v/>
      </c>
      <c r="G9" s="44">
        <f>SUMPRODUCT('Sign-ups by age'!I$2:I$61,'Age profile'!L$2:L$61)</f>
        <v/>
      </c>
      <c r="H9" s="11">
        <f>IF(C9&gt;0,1-F9/C9,0)</f>
        <v/>
      </c>
      <c r="I9" s="11">
        <f>IF(C9&gt;0,MAX(0,1-in_capacity*in_visit_every/C9),0)</f>
        <v/>
      </c>
      <c r="J9" s="49">
        <f>SUMPRODUCT('Sign-ups by age'!I$2:I$61,'Age profile'!E$2:E$61)</f>
        <v/>
      </c>
      <c r="K9" s="49">
        <f>SUMPRODUCT('Sign-ups by age'!I$2:I$61,'Age profile'!H$2:H$61)</f>
        <v/>
      </c>
      <c r="L9" s="44">
        <f>SUMIFS('Cohort x age'!$Q$2:$Q$1831,'Cohort x age'!$C$2:$C$1831,A9)</f>
        <v/>
      </c>
      <c r="M9" s="50">
        <f>SUMIFS('Cohort x age'!$L$2:$L$1831,'Cohort x age'!$C$2:$C$1831,A9)</f>
        <v/>
      </c>
      <c r="N9" s="50">
        <f>SUMIFS('Cohort x age'!$M$2:$M$1831,'Cohort x age'!$C$2:$C$1831,A9)</f>
        <v/>
      </c>
      <c r="O9" s="50">
        <f>SUMIFS('Cohort x age'!$N$2:$N$1831,'Cohort x age'!$C$2:$C$1831,A9)</f>
        <v/>
      </c>
      <c r="P9" s="50">
        <f>SUMIFS('Cohort x age'!$T$2:$T$1831,'Cohort x age'!$C$2:$C$1831,A9)</f>
        <v/>
      </c>
      <c r="Q9" s="49">
        <f>SUMIFS('Cohort x age'!$U$2:$U$1831,'Cohort x age'!$C$2:$C$1831,A9)</f>
        <v/>
      </c>
      <c r="R9" s="49">
        <f>SUMIFS('Cohort x age'!$V$2:$V$1831,'Cohort x age'!$C$2:$C$1831,A9)</f>
        <v/>
      </c>
      <c r="S9" s="44">
        <f>SUMIFS('Cohort x age'!$P$2:$P$1831,'Cohort x age'!$C$2:$C$1831,A9)</f>
        <v/>
      </c>
      <c r="T9" s="44">
        <f>SUMIFS('Cohort x age'!$R$2:$R$1831,'Cohort x age'!$C$2:$C$1831,A9)</f>
        <v/>
      </c>
      <c r="U9" s="50">
        <f>SUMIFS('Cohort x age'!$X$2:$X$1831,'Cohort x age'!$C$2:$C$1831,A9)</f>
        <v/>
      </c>
      <c r="V9" s="50">
        <f>SUMIFS('Cohort x age'!$Y$2:$Y$1831,'Cohort x age'!$C$2:$C$1831,A9)</f>
        <v/>
      </c>
      <c r="W9" s="50">
        <f>SUMIFS('Cohort x age'!$Z$2:$Z$1831,'Cohort x age'!$C$2:$C$1831,A9)</f>
        <v/>
      </c>
      <c r="X9" s="49">
        <f>SUMPRODUCT('Sign-ups by age'!I$2:I$61,'Age profile'!Q$2:Q$61)</f>
        <v/>
      </c>
      <c r="Y9" s="49">
        <f>SUMIFS('Cohort x age'!$AA$2:$AA$1831,'Cohort x age'!$C$2:$C$1831,A9)</f>
        <v/>
      </c>
      <c r="Z9" s="49">
        <f>SUMIFS('Cohort x age'!$AB$2:$AB$1831,'Cohort x age'!$C$2:$C$1831,A9)</f>
        <v/>
      </c>
      <c r="AA9" s="49">
        <f>SUMIFS('Cohort x age'!$AC$2:$AC$1831,'Cohort x age'!$C$2:$C$1831,A9)</f>
        <v/>
      </c>
      <c r="AB9" s="49">
        <f>SUMIFS('Cohort x age'!$AD$2:$AD$1831,'Cohort x age'!$C$2:$C$1831,A9)</f>
        <v/>
      </c>
      <c r="AC9" s="49">
        <f>SUMIFS('Cohort x age'!$AG$2:$AG$1831,'Cohort x age'!$C$2:$C$1831,A9)</f>
        <v/>
      </c>
      <c r="AD9" s="49">
        <f>SUMIFS('Cohort x age'!$AJ$2:$AJ$1831,'Cohort x age'!$C$2:$C$1831,A9)</f>
        <v/>
      </c>
      <c r="AE9" s="49">
        <f>SUMIFS('Cohort x age'!$AM$2:$AM$1831,'Cohort x age'!$C$2:$C$1831,A9)</f>
        <v/>
      </c>
      <c r="AF9" s="49">
        <f>SUMIFS('Cohort x age'!$AP$2:$AP$1831,'Cohort x age'!$C$2:$C$1831,A9)</f>
        <v/>
      </c>
      <c r="AG9" s="49">
        <f>SUMIFS('Cohort x age'!$AS$2:$AS$1831,'Cohort x age'!$C$2:$C$1831,A9)</f>
        <v/>
      </c>
      <c r="AH9" s="49">
        <f>SUMIFS('Cohort x age'!$AU$2:$AU$1831,'Cohort x age'!$C$2:$C$1831,A9)</f>
        <v/>
      </c>
      <c r="AI9" s="49">
        <f>SUMIFS('Cohort x age'!$AX$2:$AX$1831,'Cohort x age'!$C$2:$C$1831,A9)</f>
        <v/>
      </c>
      <c r="AJ9" s="49">
        <f>SUMIFS('Cohort x age'!$BB$2:$BB$1831,'Cohort x age'!$C$2:$C$1831,A9)</f>
        <v/>
      </c>
      <c r="AK9" s="49">
        <f>SUMIFS('Cohort x age'!$BE$2:$BE$1831,'Cohort x age'!$C$2:$C$1831,A9)</f>
        <v/>
      </c>
      <c r="AL9" s="49">
        <f>SUMIFS('Cohort x age'!$BG$2:$BG$1831,'Cohort x age'!$C$2:$C$1831,A9)</f>
        <v/>
      </c>
      <c r="AM9" s="49">
        <f>SUMIFS('Cohort x age'!$BJ$2:$BJ$1831,'Cohort x age'!$C$2:$C$1831,A9)</f>
        <v/>
      </c>
      <c r="AN9" s="49">
        <f>SUMIFS('Cohort x age'!$BL$2:$BL$1831,'Cohort x age'!$C$2:$C$1831,A9)</f>
        <v/>
      </c>
      <c r="AO9" s="49">
        <f>SUMIFS('Cohort x age'!$BO$2:$BO$1831,'Cohort x age'!$C$2:$C$1831,A9)</f>
        <v/>
      </c>
      <c r="AP9" s="49">
        <f>SUMIFS('Cohort x age'!$BR$2:$BR$1831,'Cohort x age'!$C$2:$C$1831,A9)</f>
        <v/>
      </c>
      <c r="AQ9" s="49">
        <f>SUMIFS('Cohort x age'!$BT$2:$BT$1831,'Cohort x age'!$C$2:$C$1831,A9)</f>
        <v/>
      </c>
      <c r="AR9" s="49">
        <f>SUMIFS('Cohort x age'!$BV$2:$BV$1831,'Cohort x age'!$C$2:$C$1831,A9)</f>
        <v/>
      </c>
      <c r="AS9" s="49">
        <f>SUMIFS('Cohort x age'!$BX$2:$BX$1831,'Cohort x age'!$C$2:$C$1831,A9)</f>
        <v/>
      </c>
      <c r="AT9" s="49">
        <f>SUMIFS('Cohort x age'!$CA$2:$CA$1831,'Cohort x age'!$C$2:$C$1831,A9)</f>
        <v/>
      </c>
      <c r="AU9" s="49">
        <f>SUMIFS('Cohort x age'!$CD$2:$CD$1831,'Cohort x age'!$C$2:$C$1831,A9)</f>
        <v/>
      </c>
      <c r="AV9" s="9">
        <f>SUM(X9:AS9)</f>
        <v/>
      </c>
      <c r="AW9" s="9">
        <f>in_salary</f>
        <v/>
      </c>
      <c r="AX9" s="9">
        <f>MAX(0,G9-in_capacity)*in_extra_capacity_cost/in_helper_visits</f>
        <v/>
      </c>
      <c r="AY9" s="49">
        <f>SUMPRODUCT('Sign-ups by age'!I$2:I$61,'Age profile'!R$2:R$61)</f>
        <v/>
      </c>
      <c r="AZ9" s="49">
        <f>SUMPRODUCT('Sign-ups by age'!I$2:I$61,'Age profile'!S$2:S$61)</f>
        <v/>
      </c>
      <c r="BA9" s="9">
        <f>in_cash_cover</f>
        <v/>
      </c>
      <c r="BB9" s="9">
        <f>IF(A9&lt;=in_growth_months,in_agent_balance_pay,in_agent_pay_after)/12*K9</f>
        <v/>
      </c>
      <c r="BC9" s="9">
        <f>AW9+AX9+AY9+AZ9+BA9+BB9</f>
        <v/>
      </c>
      <c r="BD9" s="9">
        <f>AV9-BC9</f>
        <v/>
      </c>
      <c r="BE9" s="40">
        <f>1/(1+d_dm)^A9</f>
        <v/>
      </c>
      <c r="BF9" s="9">
        <f>BD9*BE9</f>
        <v/>
      </c>
      <c r="BG9" s="9">
        <f>IF(A9=1,BF9,BG8+BF9)</f>
        <v/>
      </c>
      <c r="BH9" s="9">
        <f>IF(A9=1,BD9,BH8+BD9)</f>
        <v/>
      </c>
      <c r="BI9" s="39">
        <f>IF(AND(BH9&gt;=0,BI10=1),1,0)</f>
        <v/>
      </c>
      <c r="BJ9" s="39">
        <f>IF(BI9=1,A9,999)</f>
        <v/>
      </c>
      <c r="BK9" s="40">
        <f>1/(1+d_dm20)^A9</f>
        <v/>
      </c>
    </row>
    <row r="10">
      <c r="A10" s="39" t="n">
        <v>9</v>
      </c>
      <c r="B10" s="48">
        <f>MIN(in_signup_cap,in_signups_run*IF(in_ramp_months&gt;0,MIN(1,0.5+0.5*(A10-1)/in_ramp_months),1)*(1+in_signup_growth)^INT((A10-1)/12))</f>
        <v/>
      </c>
      <c r="C10" s="44">
        <f>SUMPRODUCT('Sign-ups by age'!J$2:J$61,'Age profile'!B$2:B$61)</f>
        <v/>
      </c>
      <c r="D10" s="44">
        <f>SUMPRODUCT('Sign-ups by age'!J$2:J$61,'Age profile'!C$2:C$61)</f>
        <v/>
      </c>
      <c r="E10" s="44">
        <f>SUMPRODUCT('Sign-ups by age'!J$2:J$61,'Age profile'!M$2:M$61)</f>
        <v/>
      </c>
      <c r="F10" s="44">
        <f>SUMPRODUCT('Sign-ups by age'!J$2:J$61,'Age profile'!K$2:K$61)</f>
        <v/>
      </c>
      <c r="G10" s="44">
        <f>SUMPRODUCT('Sign-ups by age'!J$2:J$61,'Age profile'!L$2:L$61)</f>
        <v/>
      </c>
      <c r="H10" s="11">
        <f>IF(C10&gt;0,1-F10/C10,0)</f>
        <v/>
      </c>
      <c r="I10" s="11">
        <f>IF(C10&gt;0,MAX(0,1-in_capacity*in_visit_every/C10),0)</f>
        <v/>
      </c>
      <c r="J10" s="49">
        <f>SUMPRODUCT('Sign-ups by age'!J$2:J$61,'Age profile'!E$2:E$61)</f>
        <v/>
      </c>
      <c r="K10" s="49">
        <f>SUMPRODUCT('Sign-ups by age'!J$2:J$61,'Age profile'!H$2:H$61)</f>
        <v/>
      </c>
      <c r="L10" s="44">
        <f>SUMIFS('Cohort x age'!$Q$2:$Q$1831,'Cohort x age'!$C$2:$C$1831,A10)</f>
        <v/>
      </c>
      <c r="M10" s="50">
        <f>SUMIFS('Cohort x age'!$L$2:$L$1831,'Cohort x age'!$C$2:$C$1831,A10)</f>
        <v/>
      </c>
      <c r="N10" s="50">
        <f>SUMIFS('Cohort x age'!$M$2:$M$1831,'Cohort x age'!$C$2:$C$1831,A10)</f>
        <v/>
      </c>
      <c r="O10" s="50">
        <f>SUMIFS('Cohort x age'!$N$2:$N$1831,'Cohort x age'!$C$2:$C$1831,A10)</f>
        <v/>
      </c>
      <c r="P10" s="50">
        <f>SUMIFS('Cohort x age'!$T$2:$T$1831,'Cohort x age'!$C$2:$C$1831,A10)</f>
        <v/>
      </c>
      <c r="Q10" s="49">
        <f>SUMIFS('Cohort x age'!$U$2:$U$1831,'Cohort x age'!$C$2:$C$1831,A10)</f>
        <v/>
      </c>
      <c r="R10" s="49">
        <f>SUMIFS('Cohort x age'!$V$2:$V$1831,'Cohort x age'!$C$2:$C$1831,A10)</f>
        <v/>
      </c>
      <c r="S10" s="44">
        <f>SUMIFS('Cohort x age'!$P$2:$P$1831,'Cohort x age'!$C$2:$C$1831,A10)</f>
        <v/>
      </c>
      <c r="T10" s="44">
        <f>SUMIFS('Cohort x age'!$R$2:$R$1831,'Cohort x age'!$C$2:$C$1831,A10)</f>
        <v/>
      </c>
      <c r="U10" s="50">
        <f>SUMIFS('Cohort x age'!$X$2:$X$1831,'Cohort x age'!$C$2:$C$1831,A10)</f>
        <v/>
      </c>
      <c r="V10" s="50">
        <f>SUMIFS('Cohort x age'!$Y$2:$Y$1831,'Cohort x age'!$C$2:$C$1831,A10)</f>
        <v/>
      </c>
      <c r="W10" s="50">
        <f>SUMIFS('Cohort x age'!$Z$2:$Z$1831,'Cohort x age'!$C$2:$C$1831,A10)</f>
        <v/>
      </c>
      <c r="X10" s="49">
        <f>SUMPRODUCT('Sign-ups by age'!J$2:J$61,'Age profile'!Q$2:Q$61)</f>
        <v/>
      </c>
      <c r="Y10" s="49">
        <f>SUMIFS('Cohort x age'!$AA$2:$AA$1831,'Cohort x age'!$C$2:$C$1831,A10)</f>
        <v/>
      </c>
      <c r="Z10" s="49">
        <f>SUMIFS('Cohort x age'!$AB$2:$AB$1831,'Cohort x age'!$C$2:$C$1831,A10)</f>
        <v/>
      </c>
      <c r="AA10" s="49">
        <f>SUMIFS('Cohort x age'!$AC$2:$AC$1831,'Cohort x age'!$C$2:$C$1831,A10)</f>
        <v/>
      </c>
      <c r="AB10" s="49">
        <f>SUMIFS('Cohort x age'!$AD$2:$AD$1831,'Cohort x age'!$C$2:$C$1831,A10)</f>
        <v/>
      </c>
      <c r="AC10" s="49">
        <f>SUMIFS('Cohort x age'!$AG$2:$AG$1831,'Cohort x age'!$C$2:$C$1831,A10)</f>
        <v/>
      </c>
      <c r="AD10" s="49">
        <f>SUMIFS('Cohort x age'!$AJ$2:$AJ$1831,'Cohort x age'!$C$2:$C$1831,A10)</f>
        <v/>
      </c>
      <c r="AE10" s="49">
        <f>SUMIFS('Cohort x age'!$AM$2:$AM$1831,'Cohort x age'!$C$2:$C$1831,A10)</f>
        <v/>
      </c>
      <c r="AF10" s="49">
        <f>SUMIFS('Cohort x age'!$AP$2:$AP$1831,'Cohort x age'!$C$2:$C$1831,A10)</f>
        <v/>
      </c>
      <c r="AG10" s="49">
        <f>SUMIFS('Cohort x age'!$AS$2:$AS$1831,'Cohort x age'!$C$2:$C$1831,A10)</f>
        <v/>
      </c>
      <c r="AH10" s="49">
        <f>SUMIFS('Cohort x age'!$AU$2:$AU$1831,'Cohort x age'!$C$2:$C$1831,A10)</f>
        <v/>
      </c>
      <c r="AI10" s="49">
        <f>SUMIFS('Cohort x age'!$AX$2:$AX$1831,'Cohort x age'!$C$2:$C$1831,A10)</f>
        <v/>
      </c>
      <c r="AJ10" s="49">
        <f>SUMIFS('Cohort x age'!$BB$2:$BB$1831,'Cohort x age'!$C$2:$C$1831,A10)</f>
        <v/>
      </c>
      <c r="AK10" s="49">
        <f>SUMIFS('Cohort x age'!$BE$2:$BE$1831,'Cohort x age'!$C$2:$C$1831,A10)</f>
        <v/>
      </c>
      <c r="AL10" s="49">
        <f>SUMIFS('Cohort x age'!$BG$2:$BG$1831,'Cohort x age'!$C$2:$C$1831,A10)</f>
        <v/>
      </c>
      <c r="AM10" s="49">
        <f>SUMIFS('Cohort x age'!$BJ$2:$BJ$1831,'Cohort x age'!$C$2:$C$1831,A10)</f>
        <v/>
      </c>
      <c r="AN10" s="49">
        <f>SUMIFS('Cohort x age'!$BL$2:$BL$1831,'Cohort x age'!$C$2:$C$1831,A10)</f>
        <v/>
      </c>
      <c r="AO10" s="49">
        <f>SUMIFS('Cohort x age'!$BO$2:$BO$1831,'Cohort x age'!$C$2:$C$1831,A10)</f>
        <v/>
      </c>
      <c r="AP10" s="49">
        <f>SUMIFS('Cohort x age'!$BR$2:$BR$1831,'Cohort x age'!$C$2:$C$1831,A10)</f>
        <v/>
      </c>
      <c r="AQ10" s="49">
        <f>SUMIFS('Cohort x age'!$BT$2:$BT$1831,'Cohort x age'!$C$2:$C$1831,A10)</f>
        <v/>
      </c>
      <c r="AR10" s="49">
        <f>SUMIFS('Cohort x age'!$BV$2:$BV$1831,'Cohort x age'!$C$2:$C$1831,A10)</f>
        <v/>
      </c>
      <c r="AS10" s="49">
        <f>SUMIFS('Cohort x age'!$BX$2:$BX$1831,'Cohort x age'!$C$2:$C$1831,A10)</f>
        <v/>
      </c>
      <c r="AT10" s="49">
        <f>SUMIFS('Cohort x age'!$CA$2:$CA$1831,'Cohort x age'!$C$2:$C$1831,A10)</f>
        <v/>
      </c>
      <c r="AU10" s="49">
        <f>SUMIFS('Cohort x age'!$CD$2:$CD$1831,'Cohort x age'!$C$2:$C$1831,A10)</f>
        <v/>
      </c>
      <c r="AV10" s="9">
        <f>SUM(X10:AS10)</f>
        <v/>
      </c>
      <c r="AW10" s="9">
        <f>in_salary</f>
        <v/>
      </c>
      <c r="AX10" s="9">
        <f>MAX(0,G10-in_capacity)*in_extra_capacity_cost/in_helper_visits</f>
        <v/>
      </c>
      <c r="AY10" s="49">
        <f>SUMPRODUCT('Sign-ups by age'!J$2:J$61,'Age profile'!R$2:R$61)</f>
        <v/>
      </c>
      <c r="AZ10" s="49">
        <f>SUMPRODUCT('Sign-ups by age'!J$2:J$61,'Age profile'!S$2:S$61)</f>
        <v/>
      </c>
      <c r="BA10" s="9">
        <f>in_cash_cover</f>
        <v/>
      </c>
      <c r="BB10" s="9">
        <f>IF(A10&lt;=in_growth_months,in_agent_balance_pay,in_agent_pay_after)/12*K10</f>
        <v/>
      </c>
      <c r="BC10" s="9">
        <f>AW10+AX10+AY10+AZ10+BA10+BB10</f>
        <v/>
      </c>
      <c r="BD10" s="9">
        <f>AV10-BC10</f>
        <v/>
      </c>
      <c r="BE10" s="40">
        <f>1/(1+d_dm)^A10</f>
        <v/>
      </c>
      <c r="BF10" s="9">
        <f>BD10*BE10</f>
        <v/>
      </c>
      <c r="BG10" s="9">
        <f>IF(A10=1,BF10,BG9+BF10)</f>
        <v/>
      </c>
      <c r="BH10" s="9">
        <f>IF(A10=1,BD10,BH9+BD10)</f>
        <v/>
      </c>
      <c r="BI10" s="39">
        <f>IF(AND(BH10&gt;=0,BI11=1),1,0)</f>
        <v/>
      </c>
      <c r="BJ10" s="39">
        <f>IF(BI10=1,A10,999)</f>
        <v/>
      </c>
      <c r="BK10" s="40">
        <f>1/(1+d_dm20)^A10</f>
        <v/>
      </c>
    </row>
    <row r="11">
      <c r="A11" s="39" t="n">
        <v>10</v>
      </c>
      <c r="B11" s="48">
        <f>MIN(in_signup_cap,in_signups_run*IF(in_ramp_months&gt;0,MIN(1,0.5+0.5*(A11-1)/in_ramp_months),1)*(1+in_signup_growth)^INT((A11-1)/12))</f>
        <v/>
      </c>
      <c r="C11" s="44">
        <f>SUMPRODUCT('Sign-ups by age'!K$2:K$61,'Age profile'!B$2:B$61)</f>
        <v/>
      </c>
      <c r="D11" s="44">
        <f>SUMPRODUCT('Sign-ups by age'!K$2:K$61,'Age profile'!C$2:C$61)</f>
        <v/>
      </c>
      <c r="E11" s="44">
        <f>SUMPRODUCT('Sign-ups by age'!K$2:K$61,'Age profile'!M$2:M$61)</f>
        <v/>
      </c>
      <c r="F11" s="44">
        <f>SUMPRODUCT('Sign-ups by age'!K$2:K$61,'Age profile'!K$2:K$61)</f>
        <v/>
      </c>
      <c r="G11" s="44">
        <f>SUMPRODUCT('Sign-ups by age'!K$2:K$61,'Age profile'!L$2:L$61)</f>
        <v/>
      </c>
      <c r="H11" s="11">
        <f>IF(C11&gt;0,1-F11/C11,0)</f>
        <v/>
      </c>
      <c r="I11" s="11">
        <f>IF(C11&gt;0,MAX(0,1-in_capacity*in_visit_every/C11),0)</f>
        <v/>
      </c>
      <c r="J11" s="49">
        <f>SUMPRODUCT('Sign-ups by age'!K$2:K$61,'Age profile'!E$2:E$61)</f>
        <v/>
      </c>
      <c r="K11" s="49">
        <f>SUMPRODUCT('Sign-ups by age'!K$2:K$61,'Age profile'!H$2:H$61)</f>
        <v/>
      </c>
      <c r="L11" s="44">
        <f>SUMIFS('Cohort x age'!$Q$2:$Q$1831,'Cohort x age'!$C$2:$C$1831,A11)</f>
        <v/>
      </c>
      <c r="M11" s="50">
        <f>SUMIFS('Cohort x age'!$L$2:$L$1831,'Cohort x age'!$C$2:$C$1831,A11)</f>
        <v/>
      </c>
      <c r="N11" s="50">
        <f>SUMIFS('Cohort x age'!$M$2:$M$1831,'Cohort x age'!$C$2:$C$1831,A11)</f>
        <v/>
      </c>
      <c r="O11" s="50">
        <f>SUMIFS('Cohort x age'!$N$2:$N$1831,'Cohort x age'!$C$2:$C$1831,A11)</f>
        <v/>
      </c>
      <c r="P11" s="50">
        <f>SUMIFS('Cohort x age'!$T$2:$T$1831,'Cohort x age'!$C$2:$C$1831,A11)</f>
        <v/>
      </c>
      <c r="Q11" s="49">
        <f>SUMIFS('Cohort x age'!$U$2:$U$1831,'Cohort x age'!$C$2:$C$1831,A11)</f>
        <v/>
      </c>
      <c r="R11" s="49">
        <f>SUMIFS('Cohort x age'!$V$2:$V$1831,'Cohort x age'!$C$2:$C$1831,A11)</f>
        <v/>
      </c>
      <c r="S11" s="44">
        <f>SUMIFS('Cohort x age'!$P$2:$P$1831,'Cohort x age'!$C$2:$C$1831,A11)</f>
        <v/>
      </c>
      <c r="T11" s="44">
        <f>SUMIFS('Cohort x age'!$R$2:$R$1831,'Cohort x age'!$C$2:$C$1831,A11)</f>
        <v/>
      </c>
      <c r="U11" s="50">
        <f>SUMIFS('Cohort x age'!$X$2:$X$1831,'Cohort x age'!$C$2:$C$1831,A11)</f>
        <v/>
      </c>
      <c r="V11" s="50">
        <f>SUMIFS('Cohort x age'!$Y$2:$Y$1831,'Cohort x age'!$C$2:$C$1831,A11)</f>
        <v/>
      </c>
      <c r="W11" s="50">
        <f>SUMIFS('Cohort x age'!$Z$2:$Z$1831,'Cohort x age'!$C$2:$C$1831,A11)</f>
        <v/>
      </c>
      <c r="X11" s="49">
        <f>SUMPRODUCT('Sign-ups by age'!K$2:K$61,'Age profile'!Q$2:Q$61)</f>
        <v/>
      </c>
      <c r="Y11" s="49">
        <f>SUMIFS('Cohort x age'!$AA$2:$AA$1831,'Cohort x age'!$C$2:$C$1831,A11)</f>
        <v/>
      </c>
      <c r="Z11" s="49">
        <f>SUMIFS('Cohort x age'!$AB$2:$AB$1831,'Cohort x age'!$C$2:$C$1831,A11)</f>
        <v/>
      </c>
      <c r="AA11" s="49">
        <f>SUMIFS('Cohort x age'!$AC$2:$AC$1831,'Cohort x age'!$C$2:$C$1831,A11)</f>
        <v/>
      </c>
      <c r="AB11" s="49">
        <f>SUMIFS('Cohort x age'!$AD$2:$AD$1831,'Cohort x age'!$C$2:$C$1831,A11)</f>
        <v/>
      </c>
      <c r="AC11" s="49">
        <f>SUMIFS('Cohort x age'!$AG$2:$AG$1831,'Cohort x age'!$C$2:$C$1831,A11)</f>
        <v/>
      </c>
      <c r="AD11" s="49">
        <f>SUMIFS('Cohort x age'!$AJ$2:$AJ$1831,'Cohort x age'!$C$2:$C$1831,A11)</f>
        <v/>
      </c>
      <c r="AE11" s="49">
        <f>SUMIFS('Cohort x age'!$AM$2:$AM$1831,'Cohort x age'!$C$2:$C$1831,A11)</f>
        <v/>
      </c>
      <c r="AF11" s="49">
        <f>SUMIFS('Cohort x age'!$AP$2:$AP$1831,'Cohort x age'!$C$2:$C$1831,A11)</f>
        <v/>
      </c>
      <c r="AG11" s="49">
        <f>SUMIFS('Cohort x age'!$AS$2:$AS$1831,'Cohort x age'!$C$2:$C$1831,A11)</f>
        <v/>
      </c>
      <c r="AH11" s="49">
        <f>SUMIFS('Cohort x age'!$AU$2:$AU$1831,'Cohort x age'!$C$2:$C$1831,A11)</f>
        <v/>
      </c>
      <c r="AI11" s="49">
        <f>SUMIFS('Cohort x age'!$AX$2:$AX$1831,'Cohort x age'!$C$2:$C$1831,A11)</f>
        <v/>
      </c>
      <c r="AJ11" s="49">
        <f>SUMIFS('Cohort x age'!$BB$2:$BB$1831,'Cohort x age'!$C$2:$C$1831,A11)</f>
        <v/>
      </c>
      <c r="AK11" s="49">
        <f>SUMIFS('Cohort x age'!$BE$2:$BE$1831,'Cohort x age'!$C$2:$C$1831,A11)</f>
        <v/>
      </c>
      <c r="AL11" s="49">
        <f>SUMIFS('Cohort x age'!$BG$2:$BG$1831,'Cohort x age'!$C$2:$C$1831,A11)</f>
        <v/>
      </c>
      <c r="AM11" s="49">
        <f>SUMIFS('Cohort x age'!$BJ$2:$BJ$1831,'Cohort x age'!$C$2:$C$1831,A11)</f>
        <v/>
      </c>
      <c r="AN11" s="49">
        <f>SUMIFS('Cohort x age'!$BL$2:$BL$1831,'Cohort x age'!$C$2:$C$1831,A11)</f>
        <v/>
      </c>
      <c r="AO11" s="49">
        <f>SUMIFS('Cohort x age'!$BO$2:$BO$1831,'Cohort x age'!$C$2:$C$1831,A11)</f>
        <v/>
      </c>
      <c r="AP11" s="49">
        <f>SUMIFS('Cohort x age'!$BR$2:$BR$1831,'Cohort x age'!$C$2:$C$1831,A11)</f>
        <v/>
      </c>
      <c r="AQ11" s="49">
        <f>SUMIFS('Cohort x age'!$BT$2:$BT$1831,'Cohort x age'!$C$2:$C$1831,A11)</f>
        <v/>
      </c>
      <c r="AR11" s="49">
        <f>SUMIFS('Cohort x age'!$BV$2:$BV$1831,'Cohort x age'!$C$2:$C$1831,A11)</f>
        <v/>
      </c>
      <c r="AS11" s="49">
        <f>SUMIFS('Cohort x age'!$BX$2:$BX$1831,'Cohort x age'!$C$2:$C$1831,A11)</f>
        <v/>
      </c>
      <c r="AT11" s="49">
        <f>SUMIFS('Cohort x age'!$CA$2:$CA$1831,'Cohort x age'!$C$2:$C$1831,A11)</f>
        <v/>
      </c>
      <c r="AU11" s="49">
        <f>SUMIFS('Cohort x age'!$CD$2:$CD$1831,'Cohort x age'!$C$2:$C$1831,A11)</f>
        <v/>
      </c>
      <c r="AV11" s="9">
        <f>SUM(X11:AS11)</f>
        <v/>
      </c>
      <c r="AW11" s="9">
        <f>in_salary</f>
        <v/>
      </c>
      <c r="AX11" s="9">
        <f>MAX(0,G11-in_capacity)*in_extra_capacity_cost/in_helper_visits</f>
        <v/>
      </c>
      <c r="AY11" s="49">
        <f>SUMPRODUCT('Sign-ups by age'!K$2:K$61,'Age profile'!R$2:R$61)</f>
        <v/>
      </c>
      <c r="AZ11" s="49">
        <f>SUMPRODUCT('Sign-ups by age'!K$2:K$61,'Age profile'!S$2:S$61)</f>
        <v/>
      </c>
      <c r="BA11" s="9">
        <f>in_cash_cover</f>
        <v/>
      </c>
      <c r="BB11" s="9">
        <f>IF(A11&lt;=in_growth_months,in_agent_balance_pay,in_agent_pay_after)/12*K11</f>
        <v/>
      </c>
      <c r="BC11" s="9">
        <f>AW11+AX11+AY11+AZ11+BA11+BB11</f>
        <v/>
      </c>
      <c r="BD11" s="9">
        <f>AV11-BC11</f>
        <v/>
      </c>
      <c r="BE11" s="40">
        <f>1/(1+d_dm)^A11</f>
        <v/>
      </c>
      <c r="BF11" s="9">
        <f>BD11*BE11</f>
        <v/>
      </c>
      <c r="BG11" s="9">
        <f>IF(A11=1,BF11,BG10+BF11)</f>
        <v/>
      </c>
      <c r="BH11" s="9">
        <f>IF(A11=1,BD11,BH10+BD11)</f>
        <v/>
      </c>
      <c r="BI11" s="39">
        <f>IF(AND(BH11&gt;=0,BI12=1),1,0)</f>
        <v/>
      </c>
      <c r="BJ11" s="39">
        <f>IF(BI11=1,A11,999)</f>
        <v/>
      </c>
      <c r="BK11" s="40">
        <f>1/(1+d_dm20)^A11</f>
        <v/>
      </c>
    </row>
    <row r="12">
      <c r="A12" s="39" t="n">
        <v>11</v>
      </c>
      <c r="B12" s="48">
        <f>MIN(in_signup_cap,in_signups_run*IF(in_ramp_months&gt;0,MIN(1,0.5+0.5*(A12-1)/in_ramp_months),1)*(1+in_signup_growth)^INT((A12-1)/12))</f>
        <v/>
      </c>
      <c r="C12" s="44">
        <f>SUMPRODUCT('Sign-ups by age'!L$2:L$61,'Age profile'!B$2:B$61)</f>
        <v/>
      </c>
      <c r="D12" s="44">
        <f>SUMPRODUCT('Sign-ups by age'!L$2:L$61,'Age profile'!C$2:C$61)</f>
        <v/>
      </c>
      <c r="E12" s="44">
        <f>SUMPRODUCT('Sign-ups by age'!L$2:L$61,'Age profile'!M$2:M$61)</f>
        <v/>
      </c>
      <c r="F12" s="44">
        <f>SUMPRODUCT('Sign-ups by age'!L$2:L$61,'Age profile'!K$2:K$61)</f>
        <v/>
      </c>
      <c r="G12" s="44">
        <f>SUMPRODUCT('Sign-ups by age'!L$2:L$61,'Age profile'!L$2:L$61)</f>
        <v/>
      </c>
      <c r="H12" s="11">
        <f>IF(C12&gt;0,1-F12/C12,0)</f>
        <v/>
      </c>
      <c r="I12" s="11">
        <f>IF(C12&gt;0,MAX(0,1-in_capacity*in_visit_every/C12),0)</f>
        <v/>
      </c>
      <c r="J12" s="49">
        <f>SUMPRODUCT('Sign-ups by age'!L$2:L$61,'Age profile'!E$2:E$61)</f>
        <v/>
      </c>
      <c r="K12" s="49">
        <f>SUMPRODUCT('Sign-ups by age'!L$2:L$61,'Age profile'!H$2:H$61)</f>
        <v/>
      </c>
      <c r="L12" s="44">
        <f>SUMIFS('Cohort x age'!$Q$2:$Q$1831,'Cohort x age'!$C$2:$C$1831,A12)</f>
        <v/>
      </c>
      <c r="M12" s="50">
        <f>SUMIFS('Cohort x age'!$L$2:$L$1831,'Cohort x age'!$C$2:$C$1831,A12)</f>
        <v/>
      </c>
      <c r="N12" s="50">
        <f>SUMIFS('Cohort x age'!$M$2:$M$1831,'Cohort x age'!$C$2:$C$1831,A12)</f>
        <v/>
      </c>
      <c r="O12" s="50">
        <f>SUMIFS('Cohort x age'!$N$2:$N$1831,'Cohort x age'!$C$2:$C$1831,A12)</f>
        <v/>
      </c>
      <c r="P12" s="50">
        <f>SUMIFS('Cohort x age'!$T$2:$T$1831,'Cohort x age'!$C$2:$C$1831,A12)</f>
        <v/>
      </c>
      <c r="Q12" s="49">
        <f>SUMIFS('Cohort x age'!$U$2:$U$1831,'Cohort x age'!$C$2:$C$1831,A12)</f>
        <v/>
      </c>
      <c r="R12" s="49">
        <f>SUMIFS('Cohort x age'!$V$2:$V$1831,'Cohort x age'!$C$2:$C$1831,A12)</f>
        <v/>
      </c>
      <c r="S12" s="44">
        <f>SUMIFS('Cohort x age'!$P$2:$P$1831,'Cohort x age'!$C$2:$C$1831,A12)</f>
        <v/>
      </c>
      <c r="T12" s="44">
        <f>SUMIFS('Cohort x age'!$R$2:$R$1831,'Cohort x age'!$C$2:$C$1831,A12)</f>
        <v/>
      </c>
      <c r="U12" s="50">
        <f>SUMIFS('Cohort x age'!$X$2:$X$1831,'Cohort x age'!$C$2:$C$1831,A12)</f>
        <v/>
      </c>
      <c r="V12" s="50">
        <f>SUMIFS('Cohort x age'!$Y$2:$Y$1831,'Cohort x age'!$C$2:$C$1831,A12)</f>
        <v/>
      </c>
      <c r="W12" s="50">
        <f>SUMIFS('Cohort x age'!$Z$2:$Z$1831,'Cohort x age'!$C$2:$C$1831,A12)</f>
        <v/>
      </c>
      <c r="X12" s="49">
        <f>SUMPRODUCT('Sign-ups by age'!L$2:L$61,'Age profile'!Q$2:Q$61)</f>
        <v/>
      </c>
      <c r="Y12" s="49">
        <f>SUMIFS('Cohort x age'!$AA$2:$AA$1831,'Cohort x age'!$C$2:$C$1831,A12)</f>
        <v/>
      </c>
      <c r="Z12" s="49">
        <f>SUMIFS('Cohort x age'!$AB$2:$AB$1831,'Cohort x age'!$C$2:$C$1831,A12)</f>
        <v/>
      </c>
      <c r="AA12" s="49">
        <f>SUMIFS('Cohort x age'!$AC$2:$AC$1831,'Cohort x age'!$C$2:$C$1831,A12)</f>
        <v/>
      </c>
      <c r="AB12" s="49">
        <f>SUMIFS('Cohort x age'!$AD$2:$AD$1831,'Cohort x age'!$C$2:$C$1831,A12)</f>
        <v/>
      </c>
      <c r="AC12" s="49">
        <f>SUMIFS('Cohort x age'!$AG$2:$AG$1831,'Cohort x age'!$C$2:$C$1831,A12)</f>
        <v/>
      </c>
      <c r="AD12" s="49">
        <f>SUMIFS('Cohort x age'!$AJ$2:$AJ$1831,'Cohort x age'!$C$2:$C$1831,A12)</f>
        <v/>
      </c>
      <c r="AE12" s="49">
        <f>SUMIFS('Cohort x age'!$AM$2:$AM$1831,'Cohort x age'!$C$2:$C$1831,A12)</f>
        <v/>
      </c>
      <c r="AF12" s="49">
        <f>SUMIFS('Cohort x age'!$AP$2:$AP$1831,'Cohort x age'!$C$2:$C$1831,A12)</f>
        <v/>
      </c>
      <c r="AG12" s="49">
        <f>SUMIFS('Cohort x age'!$AS$2:$AS$1831,'Cohort x age'!$C$2:$C$1831,A12)</f>
        <v/>
      </c>
      <c r="AH12" s="49">
        <f>SUMIFS('Cohort x age'!$AU$2:$AU$1831,'Cohort x age'!$C$2:$C$1831,A12)</f>
        <v/>
      </c>
      <c r="AI12" s="49">
        <f>SUMIFS('Cohort x age'!$AX$2:$AX$1831,'Cohort x age'!$C$2:$C$1831,A12)</f>
        <v/>
      </c>
      <c r="AJ12" s="49">
        <f>SUMIFS('Cohort x age'!$BB$2:$BB$1831,'Cohort x age'!$C$2:$C$1831,A12)</f>
        <v/>
      </c>
      <c r="AK12" s="49">
        <f>SUMIFS('Cohort x age'!$BE$2:$BE$1831,'Cohort x age'!$C$2:$C$1831,A12)</f>
        <v/>
      </c>
      <c r="AL12" s="49">
        <f>SUMIFS('Cohort x age'!$BG$2:$BG$1831,'Cohort x age'!$C$2:$C$1831,A12)</f>
        <v/>
      </c>
      <c r="AM12" s="49">
        <f>SUMIFS('Cohort x age'!$BJ$2:$BJ$1831,'Cohort x age'!$C$2:$C$1831,A12)</f>
        <v/>
      </c>
      <c r="AN12" s="49">
        <f>SUMIFS('Cohort x age'!$BL$2:$BL$1831,'Cohort x age'!$C$2:$C$1831,A12)</f>
        <v/>
      </c>
      <c r="AO12" s="49">
        <f>SUMIFS('Cohort x age'!$BO$2:$BO$1831,'Cohort x age'!$C$2:$C$1831,A12)</f>
        <v/>
      </c>
      <c r="AP12" s="49">
        <f>SUMIFS('Cohort x age'!$BR$2:$BR$1831,'Cohort x age'!$C$2:$C$1831,A12)</f>
        <v/>
      </c>
      <c r="AQ12" s="49">
        <f>SUMIFS('Cohort x age'!$BT$2:$BT$1831,'Cohort x age'!$C$2:$C$1831,A12)</f>
        <v/>
      </c>
      <c r="AR12" s="49">
        <f>SUMIFS('Cohort x age'!$BV$2:$BV$1831,'Cohort x age'!$C$2:$C$1831,A12)</f>
        <v/>
      </c>
      <c r="AS12" s="49">
        <f>SUMIFS('Cohort x age'!$BX$2:$BX$1831,'Cohort x age'!$C$2:$C$1831,A12)</f>
        <v/>
      </c>
      <c r="AT12" s="49">
        <f>SUMIFS('Cohort x age'!$CA$2:$CA$1831,'Cohort x age'!$C$2:$C$1831,A12)</f>
        <v/>
      </c>
      <c r="AU12" s="49">
        <f>SUMIFS('Cohort x age'!$CD$2:$CD$1831,'Cohort x age'!$C$2:$C$1831,A12)</f>
        <v/>
      </c>
      <c r="AV12" s="9">
        <f>SUM(X12:AS12)</f>
        <v/>
      </c>
      <c r="AW12" s="9">
        <f>in_salary</f>
        <v/>
      </c>
      <c r="AX12" s="9">
        <f>MAX(0,G12-in_capacity)*in_extra_capacity_cost/in_helper_visits</f>
        <v/>
      </c>
      <c r="AY12" s="49">
        <f>SUMPRODUCT('Sign-ups by age'!L$2:L$61,'Age profile'!R$2:R$61)</f>
        <v/>
      </c>
      <c r="AZ12" s="49">
        <f>SUMPRODUCT('Sign-ups by age'!L$2:L$61,'Age profile'!S$2:S$61)</f>
        <v/>
      </c>
      <c r="BA12" s="9">
        <f>in_cash_cover</f>
        <v/>
      </c>
      <c r="BB12" s="9">
        <f>IF(A12&lt;=in_growth_months,in_agent_balance_pay,in_agent_pay_after)/12*K12</f>
        <v/>
      </c>
      <c r="BC12" s="9">
        <f>AW12+AX12+AY12+AZ12+BA12+BB12</f>
        <v/>
      </c>
      <c r="BD12" s="9">
        <f>AV12-BC12</f>
        <v/>
      </c>
      <c r="BE12" s="40">
        <f>1/(1+d_dm)^A12</f>
        <v/>
      </c>
      <c r="BF12" s="9">
        <f>BD12*BE12</f>
        <v/>
      </c>
      <c r="BG12" s="9">
        <f>IF(A12=1,BF12,BG11+BF12)</f>
        <v/>
      </c>
      <c r="BH12" s="9">
        <f>IF(A12=1,BD12,BH11+BD12)</f>
        <v/>
      </c>
      <c r="BI12" s="39">
        <f>IF(AND(BH12&gt;=0,BI13=1),1,0)</f>
        <v/>
      </c>
      <c r="BJ12" s="39">
        <f>IF(BI12=1,A12,999)</f>
        <v/>
      </c>
      <c r="BK12" s="40">
        <f>1/(1+d_dm20)^A12</f>
        <v/>
      </c>
    </row>
    <row r="13">
      <c r="A13" s="39" t="n">
        <v>12</v>
      </c>
      <c r="B13" s="48">
        <f>MIN(in_signup_cap,in_signups_run*IF(in_ramp_months&gt;0,MIN(1,0.5+0.5*(A13-1)/in_ramp_months),1)*(1+in_signup_growth)^INT((A13-1)/12))</f>
        <v/>
      </c>
      <c r="C13" s="44">
        <f>SUMPRODUCT('Sign-ups by age'!M$2:M$61,'Age profile'!B$2:B$61)</f>
        <v/>
      </c>
      <c r="D13" s="44">
        <f>SUMPRODUCT('Sign-ups by age'!M$2:M$61,'Age profile'!C$2:C$61)</f>
        <v/>
      </c>
      <c r="E13" s="44">
        <f>SUMPRODUCT('Sign-ups by age'!M$2:M$61,'Age profile'!M$2:M$61)</f>
        <v/>
      </c>
      <c r="F13" s="44">
        <f>SUMPRODUCT('Sign-ups by age'!M$2:M$61,'Age profile'!K$2:K$61)</f>
        <v/>
      </c>
      <c r="G13" s="44">
        <f>SUMPRODUCT('Sign-ups by age'!M$2:M$61,'Age profile'!L$2:L$61)</f>
        <v/>
      </c>
      <c r="H13" s="11">
        <f>IF(C13&gt;0,1-F13/C13,0)</f>
        <v/>
      </c>
      <c r="I13" s="11">
        <f>IF(C13&gt;0,MAX(0,1-in_capacity*in_visit_every/C13),0)</f>
        <v/>
      </c>
      <c r="J13" s="49">
        <f>SUMPRODUCT('Sign-ups by age'!M$2:M$61,'Age profile'!E$2:E$61)</f>
        <v/>
      </c>
      <c r="K13" s="49">
        <f>SUMPRODUCT('Sign-ups by age'!M$2:M$61,'Age profile'!H$2:H$61)</f>
        <v/>
      </c>
      <c r="L13" s="44">
        <f>SUMIFS('Cohort x age'!$Q$2:$Q$1831,'Cohort x age'!$C$2:$C$1831,A13)</f>
        <v/>
      </c>
      <c r="M13" s="50">
        <f>SUMIFS('Cohort x age'!$L$2:$L$1831,'Cohort x age'!$C$2:$C$1831,A13)</f>
        <v/>
      </c>
      <c r="N13" s="50">
        <f>SUMIFS('Cohort x age'!$M$2:$M$1831,'Cohort x age'!$C$2:$C$1831,A13)</f>
        <v/>
      </c>
      <c r="O13" s="50">
        <f>SUMIFS('Cohort x age'!$N$2:$N$1831,'Cohort x age'!$C$2:$C$1831,A13)</f>
        <v/>
      </c>
      <c r="P13" s="50">
        <f>SUMIFS('Cohort x age'!$T$2:$T$1831,'Cohort x age'!$C$2:$C$1831,A13)</f>
        <v/>
      </c>
      <c r="Q13" s="49">
        <f>SUMIFS('Cohort x age'!$U$2:$U$1831,'Cohort x age'!$C$2:$C$1831,A13)</f>
        <v/>
      </c>
      <c r="R13" s="49">
        <f>SUMIFS('Cohort x age'!$V$2:$V$1831,'Cohort x age'!$C$2:$C$1831,A13)</f>
        <v/>
      </c>
      <c r="S13" s="44">
        <f>SUMIFS('Cohort x age'!$P$2:$P$1831,'Cohort x age'!$C$2:$C$1831,A13)</f>
        <v/>
      </c>
      <c r="T13" s="44">
        <f>SUMIFS('Cohort x age'!$R$2:$R$1831,'Cohort x age'!$C$2:$C$1831,A13)</f>
        <v/>
      </c>
      <c r="U13" s="50">
        <f>SUMIFS('Cohort x age'!$X$2:$X$1831,'Cohort x age'!$C$2:$C$1831,A13)</f>
        <v/>
      </c>
      <c r="V13" s="50">
        <f>SUMIFS('Cohort x age'!$Y$2:$Y$1831,'Cohort x age'!$C$2:$C$1831,A13)</f>
        <v/>
      </c>
      <c r="W13" s="50">
        <f>SUMIFS('Cohort x age'!$Z$2:$Z$1831,'Cohort x age'!$C$2:$C$1831,A13)</f>
        <v/>
      </c>
      <c r="X13" s="49">
        <f>SUMPRODUCT('Sign-ups by age'!M$2:M$61,'Age profile'!Q$2:Q$61)</f>
        <v/>
      </c>
      <c r="Y13" s="49">
        <f>SUMIFS('Cohort x age'!$AA$2:$AA$1831,'Cohort x age'!$C$2:$C$1831,A13)</f>
        <v/>
      </c>
      <c r="Z13" s="49">
        <f>SUMIFS('Cohort x age'!$AB$2:$AB$1831,'Cohort x age'!$C$2:$C$1831,A13)</f>
        <v/>
      </c>
      <c r="AA13" s="49">
        <f>SUMIFS('Cohort x age'!$AC$2:$AC$1831,'Cohort x age'!$C$2:$C$1831,A13)</f>
        <v/>
      </c>
      <c r="AB13" s="49">
        <f>SUMIFS('Cohort x age'!$AD$2:$AD$1831,'Cohort x age'!$C$2:$C$1831,A13)</f>
        <v/>
      </c>
      <c r="AC13" s="49">
        <f>SUMIFS('Cohort x age'!$AG$2:$AG$1831,'Cohort x age'!$C$2:$C$1831,A13)</f>
        <v/>
      </c>
      <c r="AD13" s="49">
        <f>SUMIFS('Cohort x age'!$AJ$2:$AJ$1831,'Cohort x age'!$C$2:$C$1831,A13)</f>
        <v/>
      </c>
      <c r="AE13" s="49">
        <f>SUMIFS('Cohort x age'!$AM$2:$AM$1831,'Cohort x age'!$C$2:$C$1831,A13)</f>
        <v/>
      </c>
      <c r="AF13" s="49">
        <f>SUMIFS('Cohort x age'!$AP$2:$AP$1831,'Cohort x age'!$C$2:$C$1831,A13)</f>
        <v/>
      </c>
      <c r="AG13" s="49">
        <f>SUMIFS('Cohort x age'!$AS$2:$AS$1831,'Cohort x age'!$C$2:$C$1831,A13)</f>
        <v/>
      </c>
      <c r="AH13" s="49">
        <f>SUMIFS('Cohort x age'!$AU$2:$AU$1831,'Cohort x age'!$C$2:$C$1831,A13)</f>
        <v/>
      </c>
      <c r="AI13" s="49">
        <f>SUMIFS('Cohort x age'!$AX$2:$AX$1831,'Cohort x age'!$C$2:$C$1831,A13)</f>
        <v/>
      </c>
      <c r="AJ13" s="49">
        <f>SUMIFS('Cohort x age'!$BB$2:$BB$1831,'Cohort x age'!$C$2:$C$1831,A13)</f>
        <v/>
      </c>
      <c r="AK13" s="49">
        <f>SUMIFS('Cohort x age'!$BE$2:$BE$1831,'Cohort x age'!$C$2:$C$1831,A13)</f>
        <v/>
      </c>
      <c r="AL13" s="49">
        <f>SUMIFS('Cohort x age'!$BG$2:$BG$1831,'Cohort x age'!$C$2:$C$1831,A13)</f>
        <v/>
      </c>
      <c r="AM13" s="49">
        <f>SUMIFS('Cohort x age'!$BJ$2:$BJ$1831,'Cohort x age'!$C$2:$C$1831,A13)</f>
        <v/>
      </c>
      <c r="AN13" s="49">
        <f>SUMIFS('Cohort x age'!$BL$2:$BL$1831,'Cohort x age'!$C$2:$C$1831,A13)</f>
        <v/>
      </c>
      <c r="AO13" s="49">
        <f>SUMIFS('Cohort x age'!$BO$2:$BO$1831,'Cohort x age'!$C$2:$C$1831,A13)</f>
        <v/>
      </c>
      <c r="AP13" s="49">
        <f>SUMIFS('Cohort x age'!$BR$2:$BR$1831,'Cohort x age'!$C$2:$C$1831,A13)</f>
        <v/>
      </c>
      <c r="AQ13" s="49">
        <f>SUMIFS('Cohort x age'!$BT$2:$BT$1831,'Cohort x age'!$C$2:$C$1831,A13)</f>
        <v/>
      </c>
      <c r="AR13" s="49">
        <f>SUMIFS('Cohort x age'!$BV$2:$BV$1831,'Cohort x age'!$C$2:$C$1831,A13)</f>
        <v/>
      </c>
      <c r="AS13" s="49">
        <f>SUMIFS('Cohort x age'!$BX$2:$BX$1831,'Cohort x age'!$C$2:$C$1831,A13)</f>
        <v/>
      </c>
      <c r="AT13" s="49">
        <f>SUMIFS('Cohort x age'!$CA$2:$CA$1831,'Cohort x age'!$C$2:$C$1831,A13)</f>
        <v/>
      </c>
      <c r="AU13" s="49">
        <f>SUMIFS('Cohort x age'!$CD$2:$CD$1831,'Cohort x age'!$C$2:$C$1831,A13)</f>
        <v/>
      </c>
      <c r="AV13" s="9">
        <f>SUM(X13:AS13)</f>
        <v/>
      </c>
      <c r="AW13" s="9">
        <f>in_salary</f>
        <v/>
      </c>
      <c r="AX13" s="9">
        <f>MAX(0,G13-in_capacity)*in_extra_capacity_cost/in_helper_visits</f>
        <v/>
      </c>
      <c r="AY13" s="49">
        <f>SUMPRODUCT('Sign-ups by age'!M$2:M$61,'Age profile'!R$2:R$61)</f>
        <v/>
      </c>
      <c r="AZ13" s="49">
        <f>SUMPRODUCT('Sign-ups by age'!M$2:M$61,'Age profile'!S$2:S$61)</f>
        <v/>
      </c>
      <c r="BA13" s="9">
        <f>in_cash_cover</f>
        <v/>
      </c>
      <c r="BB13" s="9">
        <f>IF(A13&lt;=in_growth_months,in_agent_balance_pay,in_agent_pay_after)/12*K13</f>
        <v/>
      </c>
      <c r="BC13" s="9">
        <f>AW13+AX13+AY13+AZ13+BA13+BB13</f>
        <v/>
      </c>
      <c r="BD13" s="9">
        <f>AV13-BC13</f>
        <v/>
      </c>
      <c r="BE13" s="40">
        <f>1/(1+d_dm)^A13</f>
        <v/>
      </c>
      <c r="BF13" s="9">
        <f>BD13*BE13</f>
        <v/>
      </c>
      <c r="BG13" s="9">
        <f>IF(A13=1,BF13,BG12+BF13)</f>
        <v/>
      </c>
      <c r="BH13" s="9">
        <f>IF(A13=1,BD13,BH12+BD13)</f>
        <v/>
      </c>
      <c r="BI13" s="39">
        <f>IF(AND(BH13&gt;=0,BI14=1),1,0)</f>
        <v/>
      </c>
      <c r="BJ13" s="39">
        <f>IF(BI13=1,A13,999)</f>
        <v/>
      </c>
      <c r="BK13" s="40">
        <f>1/(1+d_dm20)^A13</f>
        <v/>
      </c>
    </row>
    <row r="14">
      <c r="A14" s="39" t="n">
        <v>13</v>
      </c>
      <c r="B14" s="48">
        <f>MIN(in_signup_cap,in_signups_run*IF(in_ramp_months&gt;0,MIN(1,0.5+0.5*(A14-1)/in_ramp_months),1)*(1+in_signup_growth)^INT((A14-1)/12))</f>
        <v/>
      </c>
      <c r="C14" s="44">
        <f>SUMPRODUCT('Sign-ups by age'!N$2:N$61,'Age profile'!B$2:B$61)</f>
        <v/>
      </c>
      <c r="D14" s="44">
        <f>SUMPRODUCT('Sign-ups by age'!N$2:N$61,'Age profile'!C$2:C$61)</f>
        <v/>
      </c>
      <c r="E14" s="44">
        <f>SUMPRODUCT('Sign-ups by age'!N$2:N$61,'Age profile'!M$2:M$61)</f>
        <v/>
      </c>
      <c r="F14" s="44">
        <f>SUMPRODUCT('Sign-ups by age'!N$2:N$61,'Age profile'!K$2:K$61)</f>
        <v/>
      </c>
      <c r="G14" s="44">
        <f>SUMPRODUCT('Sign-ups by age'!N$2:N$61,'Age profile'!L$2:L$61)</f>
        <v/>
      </c>
      <c r="H14" s="11">
        <f>IF(C14&gt;0,1-F14/C14,0)</f>
        <v/>
      </c>
      <c r="I14" s="11">
        <f>IF(C14&gt;0,MAX(0,1-in_capacity*in_visit_every/C14),0)</f>
        <v/>
      </c>
      <c r="J14" s="49">
        <f>SUMPRODUCT('Sign-ups by age'!N$2:N$61,'Age profile'!E$2:E$61)</f>
        <v/>
      </c>
      <c r="K14" s="49">
        <f>SUMPRODUCT('Sign-ups by age'!N$2:N$61,'Age profile'!H$2:H$61)</f>
        <v/>
      </c>
      <c r="L14" s="44">
        <f>SUMIFS('Cohort x age'!$Q$2:$Q$1831,'Cohort x age'!$C$2:$C$1831,A14)</f>
        <v/>
      </c>
      <c r="M14" s="50">
        <f>SUMIFS('Cohort x age'!$L$2:$L$1831,'Cohort x age'!$C$2:$C$1831,A14)</f>
        <v/>
      </c>
      <c r="N14" s="50">
        <f>SUMIFS('Cohort x age'!$M$2:$M$1831,'Cohort x age'!$C$2:$C$1831,A14)</f>
        <v/>
      </c>
      <c r="O14" s="50">
        <f>SUMIFS('Cohort x age'!$N$2:$N$1831,'Cohort x age'!$C$2:$C$1831,A14)</f>
        <v/>
      </c>
      <c r="P14" s="50">
        <f>SUMIFS('Cohort x age'!$T$2:$T$1831,'Cohort x age'!$C$2:$C$1831,A14)</f>
        <v/>
      </c>
      <c r="Q14" s="49">
        <f>SUMIFS('Cohort x age'!$U$2:$U$1831,'Cohort x age'!$C$2:$C$1831,A14)</f>
        <v/>
      </c>
      <c r="R14" s="49">
        <f>SUMIFS('Cohort x age'!$V$2:$V$1831,'Cohort x age'!$C$2:$C$1831,A14)</f>
        <v/>
      </c>
      <c r="S14" s="44">
        <f>SUMIFS('Cohort x age'!$P$2:$P$1831,'Cohort x age'!$C$2:$C$1831,A14)</f>
        <v/>
      </c>
      <c r="T14" s="44">
        <f>SUMIFS('Cohort x age'!$R$2:$R$1831,'Cohort x age'!$C$2:$C$1831,A14)</f>
        <v/>
      </c>
      <c r="U14" s="50">
        <f>SUMIFS('Cohort x age'!$X$2:$X$1831,'Cohort x age'!$C$2:$C$1831,A14)</f>
        <v/>
      </c>
      <c r="V14" s="50">
        <f>SUMIFS('Cohort x age'!$Y$2:$Y$1831,'Cohort x age'!$C$2:$C$1831,A14)</f>
        <v/>
      </c>
      <c r="W14" s="50">
        <f>SUMIFS('Cohort x age'!$Z$2:$Z$1831,'Cohort x age'!$C$2:$C$1831,A14)</f>
        <v/>
      </c>
      <c r="X14" s="49">
        <f>SUMPRODUCT('Sign-ups by age'!N$2:N$61,'Age profile'!Q$2:Q$61)</f>
        <v/>
      </c>
      <c r="Y14" s="49">
        <f>SUMIFS('Cohort x age'!$AA$2:$AA$1831,'Cohort x age'!$C$2:$C$1831,A14)</f>
        <v/>
      </c>
      <c r="Z14" s="49">
        <f>SUMIFS('Cohort x age'!$AB$2:$AB$1831,'Cohort x age'!$C$2:$C$1831,A14)</f>
        <v/>
      </c>
      <c r="AA14" s="49">
        <f>SUMIFS('Cohort x age'!$AC$2:$AC$1831,'Cohort x age'!$C$2:$C$1831,A14)</f>
        <v/>
      </c>
      <c r="AB14" s="49">
        <f>SUMIFS('Cohort x age'!$AD$2:$AD$1831,'Cohort x age'!$C$2:$C$1831,A14)</f>
        <v/>
      </c>
      <c r="AC14" s="49">
        <f>SUMIFS('Cohort x age'!$AG$2:$AG$1831,'Cohort x age'!$C$2:$C$1831,A14)</f>
        <v/>
      </c>
      <c r="AD14" s="49">
        <f>SUMIFS('Cohort x age'!$AJ$2:$AJ$1831,'Cohort x age'!$C$2:$C$1831,A14)</f>
        <v/>
      </c>
      <c r="AE14" s="49">
        <f>SUMIFS('Cohort x age'!$AM$2:$AM$1831,'Cohort x age'!$C$2:$C$1831,A14)</f>
        <v/>
      </c>
      <c r="AF14" s="49">
        <f>SUMIFS('Cohort x age'!$AP$2:$AP$1831,'Cohort x age'!$C$2:$C$1831,A14)</f>
        <v/>
      </c>
      <c r="AG14" s="49">
        <f>SUMIFS('Cohort x age'!$AS$2:$AS$1831,'Cohort x age'!$C$2:$C$1831,A14)</f>
        <v/>
      </c>
      <c r="AH14" s="49">
        <f>SUMIFS('Cohort x age'!$AU$2:$AU$1831,'Cohort x age'!$C$2:$C$1831,A14)</f>
        <v/>
      </c>
      <c r="AI14" s="49">
        <f>SUMIFS('Cohort x age'!$AX$2:$AX$1831,'Cohort x age'!$C$2:$C$1831,A14)</f>
        <v/>
      </c>
      <c r="AJ14" s="49">
        <f>SUMIFS('Cohort x age'!$BB$2:$BB$1831,'Cohort x age'!$C$2:$C$1831,A14)</f>
        <v/>
      </c>
      <c r="AK14" s="49">
        <f>SUMIFS('Cohort x age'!$BE$2:$BE$1831,'Cohort x age'!$C$2:$C$1831,A14)</f>
        <v/>
      </c>
      <c r="AL14" s="49">
        <f>SUMIFS('Cohort x age'!$BG$2:$BG$1831,'Cohort x age'!$C$2:$C$1831,A14)</f>
        <v/>
      </c>
      <c r="AM14" s="49">
        <f>SUMIFS('Cohort x age'!$BJ$2:$BJ$1831,'Cohort x age'!$C$2:$C$1831,A14)</f>
        <v/>
      </c>
      <c r="AN14" s="49">
        <f>SUMIFS('Cohort x age'!$BL$2:$BL$1831,'Cohort x age'!$C$2:$C$1831,A14)</f>
        <v/>
      </c>
      <c r="AO14" s="49">
        <f>SUMIFS('Cohort x age'!$BO$2:$BO$1831,'Cohort x age'!$C$2:$C$1831,A14)</f>
        <v/>
      </c>
      <c r="AP14" s="49">
        <f>SUMIFS('Cohort x age'!$BR$2:$BR$1831,'Cohort x age'!$C$2:$C$1831,A14)</f>
        <v/>
      </c>
      <c r="AQ14" s="49">
        <f>SUMIFS('Cohort x age'!$BT$2:$BT$1831,'Cohort x age'!$C$2:$C$1831,A14)</f>
        <v/>
      </c>
      <c r="AR14" s="49">
        <f>SUMIFS('Cohort x age'!$BV$2:$BV$1831,'Cohort x age'!$C$2:$C$1831,A14)</f>
        <v/>
      </c>
      <c r="AS14" s="49">
        <f>SUMIFS('Cohort x age'!$BX$2:$BX$1831,'Cohort x age'!$C$2:$C$1831,A14)</f>
        <v/>
      </c>
      <c r="AT14" s="49">
        <f>SUMIFS('Cohort x age'!$CA$2:$CA$1831,'Cohort x age'!$C$2:$C$1831,A14)</f>
        <v/>
      </c>
      <c r="AU14" s="49">
        <f>SUMIFS('Cohort x age'!$CD$2:$CD$1831,'Cohort x age'!$C$2:$C$1831,A14)</f>
        <v/>
      </c>
      <c r="AV14" s="9">
        <f>SUM(X14:AS14)</f>
        <v/>
      </c>
      <c r="AW14" s="9">
        <f>in_salary</f>
        <v/>
      </c>
      <c r="AX14" s="9">
        <f>MAX(0,G14-in_capacity)*in_extra_capacity_cost/in_helper_visits</f>
        <v/>
      </c>
      <c r="AY14" s="49">
        <f>SUMPRODUCT('Sign-ups by age'!N$2:N$61,'Age profile'!R$2:R$61)</f>
        <v/>
      </c>
      <c r="AZ14" s="49">
        <f>SUMPRODUCT('Sign-ups by age'!N$2:N$61,'Age profile'!S$2:S$61)</f>
        <v/>
      </c>
      <c r="BA14" s="9">
        <f>in_cash_cover</f>
        <v/>
      </c>
      <c r="BB14" s="9">
        <f>IF(A14&lt;=in_growth_months,in_agent_balance_pay,in_agent_pay_after)/12*K14</f>
        <v/>
      </c>
      <c r="BC14" s="9">
        <f>AW14+AX14+AY14+AZ14+BA14+BB14</f>
        <v/>
      </c>
      <c r="BD14" s="9">
        <f>AV14-BC14</f>
        <v/>
      </c>
      <c r="BE14" s="40">
        <f>1/(1+d_dm)^A14</f>
        <v/>
      </c>
      <c r="BF14" s="9">
        <f>BD14*BE14</f>
        <v/>
      </c>
      <c r="BG14" s="9">
        <f>IF(A14=1,BF14,BG13+BF14)</f>
        <v/>
      </c>
      <c r="BH14" s="9">
        <f>IF(A14=1,BD14,BH13+BD14)</f>
        <v/>
      </c>
      <c r="BI14" s="39">
        <f>IF(AND(BH14&gt;=0,BI15=1),1,0)</f>
        <v/>
      </c>
      <c r="BJ14" s="39">
        <f>IF(BI14=1,A14,999)</f>
        <v/>
      </c>
      <c r="BK14" s="40">
        <f>1/(1+d_dm20)^A14</f>
        <v/>
      </c>
    </row>
    <row r="15">
      <c r="A15" s="39" t="n">
        <v>14</v>
      </c>
      <c r="B15" s="48">
        <f>MIN(in_signup_cap,in_signups_run*IF(in_ramp_months&gt;0,MIN(1,0.5+0.5*(A15-1)/in_ramp_months),1)*(1+in_signup_growth)^INT((A15-1)/12))</f>
        <v/>
      </c>
      <c r="C15" s="44">
        <f>SUMPRODUCT('Sign-ups by age'!O$2:O$61,'Age profile'!B$2:B$61)</f>
        <v/>
      </c>
      <c r="D15" s="44">
        <f>SUMPRODUCT('Sign-ups by age'!O$2:O$61,'Age profile'!C$2:C$61)</f>
        <v/>
      </c>
      <c r="E15" s="44">
        <f>SUMPRODUCT('Sign-ups by age'!O$2:O$61,'Age profile'!M$2:M$61)</f>
        <v/>
      </c>
      <c r="F15" s="44">
        <f>SUMPRODUCT('Sign-ups by age'!O$2:O$61,'Age profile'!K$2:K$61)</f>
        <v/>
      </c>
      <c r="G15" s="44">
        <f>SUMPRODUCT('Sign-ups by age'!O$2:O$61,'Age profile'!L$2:L$61)</f>
        <v/>
      </c>
      <c r="H15" s="11">
        <f>IF(C15&gt;0,1-F15/C15,0)</f>
        <v/>
      </c>
      <c r="I15" s="11">
        <f>IF(C15&gt;0,MAX(0,1-in_capacity*in_visit_every/C15),0)</f>
        <v/>
      </c>
      <c r="J15" s="49">
        <f>SUMPRODUCT('Sign-ups by age'!O$2:O$61,'Age profile'!E$2:E$61)</f>
        <v/>
      </c>
      <c r="K15" s="49">
        <f>SUMPRODUCT('Sign-ups by age'!O$2:O$61,'Age profile'!H$2:H$61)</f>
        <v/>
      </c>
      <c r="L15" s="44">
        <f>SUMIFS('Cohort x age'!$Q$2:$Q$1831,'Cohort x age'!$C$2:$C$1831,A15)</f>
        <v/>
      </c>
      <c r="M15" s="50">
        <f>SUMIFS('Cohort x age'!$L$2:$L$1831,'Cohort x age'!$C$2:$C$1831,A15)</f>
        <v/>
      </c>
      <c r="N15" s="50">
        <f>SUMIFS('Cohort x age'!$M$2:$M$1831,'Cohort x age'!$C$2:$C$1831,A15)</f>
        <v/>
      </c>
      <c r="O15" s="50">
        <f>SUMIFS('Cohort x age'!$N$2:$N$1831,'Cohort x age'!$C$2:$C$1831,A15)</f>
        <v/>
      </c>
      <c r="P15" s="50">
        <f>SUMIFS('Cohort x age'!$T$2:$T$1831,'Cohort x age'!$C$2:$C$1831,A15)</f>
        <v/>
      </c>
      <c r="Q15" s="49">
        <f>SUMIFS('Cohort x age'!$U$2:$U$1831,'Cohort x age'!$C$2:$C$1831,A15)</f>
        <v/>
      </c>
      <c r="R15" s="49">
        <f>SUMIFS('Cohort x age'!$V$2:$V$1831,'Cohort x age'!$C$2:$C$1831,A15)</f>
        <v/>
      </c>
      <c r="S15" s="44">
        <f>SUMIFS('Cohort x age'!$P$2:$P$1831,'Cohort x age'!$C$2:$C$1831,A15)</f>
        <v/>
      </c>
      <c r="T15" s="44">
        <f>SUMIFS('Cohort x age'!$R$2:$R$1831,'Cohort x age'!$C$2:$C$1831,A15)</f>
        <v/>
      </c>
      <c r="U15" s="50">
        <f>SUMIFS('Cohort x age'!$X$2:$X$1831,'Cohort x age'!$C$2:$C$1831,A15)</f>
        <v/>
      </c>
      <c r="V15" s="50">
        <f>SUMIFS('Cohort x age'!$Y$2:$Y$1831,'Cohort x age'!$C$2:$C$1831,A15)</f>
        <v/>
      </c>
      <c r="W15" s="50">
        <f>SUMIFS('Cohort x age'!$Z$2:$Z$1831,'Cohort x age'!$C$2:$C$1831,A15)</f>
        <v/>
      </c>
      <c r="X15" s="49">
        <f>SUMPRODUCT('Sign-ups by age'!O$2:O$61,'Age profile'!Q$2:Q$61)</f>
        <v/>
      </c>
      <c r="Y15" s="49">
        <f>SUMIFS('Cohort x age'!$AA$2:$AA$1831,'Cohort x age'!$C$2:$C$1831,A15)</f>
        <v/>
      </c>
      <c r="Z15" s="49">
        <f>SUMIFS('Cohort x age'!$AB$2:$AB$1831,'Cohort x age'!$C$2:$C$1831,A15)</f>
        <v/>
      </c>
      <c r="AA15" s="49">
        <f>SUMIFS('Cohort x age'!$AC$2:$AC$1831,'Cohort x age'!$C$2:$C$1831,A15)</f>
        <v/>
      </c>
      <c r="AB15" s="49">
        <f>SUMIFS('Cohort x age'!$AD$2:$AD$1831,'Cohort x age'!$C$2:$C$1831,A15)</f>
        <v/>
      </c>
      <c r="AC15" s="49">
        <f>SUMIFS('Cohort x age'!$AG$2:$AG$1831,'Cohort x age'!$C$2:$C$1831,A15)</f>
        <v/>
      </c>
      <c r="AD15" s="49">
        <f>SUMIFS('Cohort x age'!$AJ$2:$AJ$1831,'Cohort x age'!$C$2:$C$1831,A15)</f>
        <v/>
      </c>
      <c r="AE15" s="49">
        <f>SUMIFS('Cohort x age'!$AM$2:$AM$1831,'Cohort x age'!$C$2:$C$1831,A15)</f>
        <v/>
      </c>
      <c r="AF15" s="49">
        <f>SUMIFS('Cohort x age'!$AP$2:$AP$1831,'Cohort x age'!$C$2:$C$1831,A15)</f>
        <v/>
      </c>
      <c r="AG15" s="49">
        <f>SUMIFS('Cohort x age'!$AS$2:$AS$1831,'Cohort x age'!$C$2:$C$1831,A15)</f>
        <v/>
      </c>
      <c r="AH15" s="49">
        <f>SUMIFS('Cohort x age'!$AU$2:$AU$1831,'Cohort x age'!$C$2:$C$1831,A15)</f>
        <v/>
      </c>
      <c r="AI15" s="49">
        <f>SUMIFS('Cohort x age'!$AX$2:$AX$1831,'Cohort x age'!$C$2:$C$1831,A15)</f>
        <v/>
      </c>
      <c r="AJ15" s="49">
        <f>SUMIFS('Cohort x age'!$BB$2:$BB$1831,'Cohort x age'!$C$2:$C$1831,A15)</f>
        <v/>
      </c>
      <c r="AK15" s="49">
        <f>SUMIFS('Cohort x age'!$BE$2:$BE$1831,'Cohort x age'!$C$2:$C$1831,A15)</f>
        <v/>
      </c>
      <c r="AL15" s="49">
        <f>SUMIFS('Cohort x age'!$BG$2:$BG$1831,'Cohort x age'!$C$2:$C$1831,A15)</f>
        <v/>
      </c>
      <c r="AM15" s="49">
        <f>SUMIFS('Cohort x age'!$BJ$2:$BJ$1831,'Cohort x age'!$C$2:$C$1831,A15)</f>
        <v/>
      </c>
      <c r="AN15" s="49">
        <f>SUMIFS('Cohort x age'!$BL$2:$BL$1831,'Cohort x age'!$C$2:$C$1831,A15)</f>
        <v/>
      </c>
      <c r="AO15" s="49">
        <f>SUMIFS('Cohort x age'!$BO$2:$BO$1831,'Cohort x age'!$C$2:$C$1831,A15)</f>
        <v/>
      </c>
      <c r="AP15" s="49">
        <f>SUMIFS('Cohort x age'!$BR$2:$BR$1831,'Cohort x age'!$C$2:$C$1831,A15)</f>
        <v/>
      </c>
      <c r="AQ15" s="49">
        <f>SUMIFS('Cohort x age'!$BT$2:$BT$1831,'Cohort x age'!$C$2:$C$1831,A15)</f>
        <v/>
      </c>
      <c r="AR15" s="49">
        <f>SUMIFS('Cohort x age'!$BV$2:$BV$1831,'Cohort x age'!$C$2:$C$1831,A15)</f>
        <v/>
      </c>
      <c r="AS15" s="49">
        <f>SUMIFS('Cohort x age'!$BX$2:$BX$1831,'Cohort x age'!$C$2:$C$1831,A15)</f>
        <v/>
      </c>
      <c r="AT15" s="49">
        <f>SUMIFS('Cohort x age'!$CA$2:$CA$1831,'Cohort x age'!$C$2:$C$1831,A15)</f>
        <v/>
      </c>
      <c r="AU15" s="49">
        <f>SUMIFS('Cohort x age'!$CD$2:$CD$1831,'Cohort x age'!$C$2:$C$1831,A15)</f>
        <v/>
      </c>
      <c r="AV15" s="9">
        <f>SUM(X15:AS15)</f>
        <v/>
      </c>
      <c r="AW15" s="9">
        <f>in_salary</f>
        <v/>
      </c>
      <c r="AX15" s="9">
        <f>MAX(0,G15-in_capacity)*in_extra_capacity_cost/in_helper_visits</f>
        <v/>
      </c>
      <c r="AY15" s="49">
        <f>SUMPRODUCT('Sign-ups by age'!O$2:O$61,'Age profile'!R$2:R$61)</f>
        <v/>
      </c>
      <c r="AZ15" s="49">
        <f>SUMPRODUCT('Sign-ups by age'!O$2:O$61,'Age profile'!S$2:S$61)</f>
        <v/>
      </c>
      <c r="BA15" s="9">
        <f>in_cash_cover</f>
        <v/>
      </c>
      <c r="BB15" s="9">
        <f>IF(A15&lt;=in_growth_months,in_agent_balance_pay,in_agent_pay_after)/12*K15</f>
        <v/>
      </c>
      <c r="BC15" s="9">
        <f>AW15+AX15+AY15+AZ15+BA15+BB15</f>
        <v/>
      </c>
      <c r="BD15" s="9">
        <f>AV15-BC15</f>
        <v/>
      </c>
      <c r="BE15" s="40">
        <f>1/(1+d_dm)^A15</f>
        <v/>
      </c>
      <c r="BF15" s="9">
        <f>BD15*BE15</f>
        <v/>
      </c>
      <c r="BG15" s="9">
        <f>IF(A15=1,BF15,BG14+BF15)</f>
        <v/>
      </c>
      <c r="BH15" s="9">
        <f>IF(A15=1,BD15,BH14+BD15)</f>
        <v/>
      </c>
      <c r="BI15" s="39">
        <f>IF(AND(BH15&gt;=0,BI16=1),1,0)</f>
        <v/>
      </c>
      <c r="BJ15" s="39">
        <f>IF(BI15=1,A15,999)</f>
        <v/>
      </c>
      <c r="BK15" s="40">
        <f>1/(1+d_dm20)^A15</f>
        <v/>
      </c>
    </row>
    <row r="16">
      <c r="A16" s="39" t="n">
        <v>15</v>
      </c>
      <c r="B16" s="48">
        <f>MIN(in_signup_cap,in_signups_run*IF(in_ramp_months&gt;0,MIN(1,0.5+0.5*(A16-1)/in_ramp_months),1)*(1+in_signup_growth)^INT((A16-1)/12))</f>
        <v/>
      </c>
      <c r="C16" s="44">
        <f>SUMPRODUCT('Sign-ups by age'!P$2:P$61,'Age profile'!B$2:B$61)</f>
        <v/>
      </c>
      <c r="D16" s="44">
        <f>SUMPRODUCT('Sign-ups by age'!P$2:P$61,'Age profile'!C$2:C$61)</f>
        <v/>
      </c>
      <c r="E16" s="44">
        <f>SUMPRODUCT('Sign-ups by age'!P$2:P$61,'Age profile'!M$2:M$61)</f>
        <v/>
      </c>
      <c r="F16" s="44">
        <f>SUMPRODUCT('Sign-ups by age'!P$2:P$61,'Age profile'!K$2:K$61)</f>
        <v/>
      </c>
      <c r="G16" s="44">
        <f>SUMPRODUCT('Sign-ups by age'!P$2:P$61,'Age profile'!L$2:L$61)</f>
        <v/>
      </c>
      <c r="H16" s="11">
        <f>IF(C16&gt;0,1-F16/C16,0)</f>
        <v/>
      </c>
      <c r="I16" s="11">
        <f>IF(C16&gt;0,MAX(0,1-in_capacity*in_visit_every/C16),0)</f>
        <v/>
      </c>
      <c r="J16" s="49">
        <f>SUMPRODUCT('Sign-ups by age'!P$2:P$61,'Age profile'!E$2:E$61)</f>
        <v/>
      </c>
      <c r="K16" s="49">
        <f>SUMPRODUCT('Sign-ups by age'!P$2:P$61,'Age profile'!H$2:H$61)</f>
        <v/>
      </c>
      <c r="L16" s="44">
        <f>SUMIFS('Cohort x age'!$Q$2:$Q$1831,'Cohort x age'!$C$2:$C$1831,A16)</f>
        <v/>
      </c>
      <c r="M16" s="50">
        <f>SUMIFS('Cohort x age'!$L$2:$L$1831,'Cohort x age'!$C$2:$C$1831,A16)</f>
        <v/>
      </c>
      <c r="N16" s="50">
        <f>SUMIFS('Cohort x age'!$M$2:$M$1831,'Cohort x age'!$C$2:$C$1831,A16)</f>
        <v/>
      </c>
      <c r="O16" s="50">
        <f>SUMIFS('Cohort x age'!$N$2:$N$1831,'Cohort x age'!$C$2:$C$1831,A16)</f>
        <v/>
      </c>
      <c r="P16" s="50">
        <f>SUMIFS('Cohort x age'!$T$2:$T$1831,'Cohort x age'!$C$2:$C$1831,A16)</f>
        <v/>
      </c>
      <c r="Q16" s="49">
        <f>SUMIFS('Cohort x age'!$U$2:$U$1831,'Cohort x age'!$C$2:$C$1831,A16)</f>
        <v/>
      </c>
      <c r="R16" s="49">
        <f>SUMIFS('Cohort x age'!$V$2:$V$1831,'Cohort x age'!$C$2:$C$1831,A16)</f>
        <v/>
      </c>
      <c r="S16" s="44">
        <f>SUMIFS('Cohort x age'!$P$2:$P$1831,'Cohort x age'!$C$2:$C$1831,A16)</f>
        <v/>
      </c>
      <c r="T16" s="44">
        <f>SUMIFS('Cohort x age'!$R$2:$R$1831,'Cohort x age'!$C$2:$C$1831,A16)</f>
        <v/>
      </c>
      <c r="U16" s="50">
        <f>SUMIFS('Cohort x age'!$X$2:$X$1831,'Cohort x age'!$C$2:$C$1831,A16)</f>
        <v/>
      </c>
      <c r="V16" s="50">
        <f>SUMIFS('Cohort x age'!$Y$2:$Y$1831,'Cohort x age'!$C$2:$C$1831,A16)</f>
        <v/>
      </c>
      <c r="W16" s="50">
        <f>SUMIFS('Cohort x age'!$Z$2:$Z$1831,'Cohort x age'!$C$2:$C$1831,A16)</f>
        <v/>
      </c>
      <c r="X16" s="49">
        <f>SUMPRODUCT('Sign-ups by age'!P$2:P$61,'Age profile'!Q$2:Q$61)</f>
        <v/>
      </c>
      <c r="Y16" s="49">
        <f>SUMIFS('Cohort x age'!$AA$2:$AA$1831,'Cohort x age'!$C$2:$C$1831,A16)</f>
        <v/>
      </c>
      <c r="Z16" s="49">
        <f>SUMIFS('Cohort x age'!$AB$2:$AB$1831,'Cohort x age'!$C$2:$C$1831,A16)</f>
        <v/>
      </c>
      <c r="AA16" s="49">
        <f>SUMIFS('Cohort x age'!$AC$2:$AC$1831,'Cohort x age'!$C$2:$C$1831,A16)</f>
        <v/>
      </c>
      <c r="AB16" s="49">
        <f>SUMIFS('Cohort x age'!$AD$2:$AD$1831,'Cohort x age'!$C$2:$C$1831,A16)</f>
        <v/>
      </c>
      <c r="AC16" s="49">
        <f>SUMIFS('Cohort x age'!$AG$2:$AG$1831,'Cohort x age'!$C$2:$C$1831,A16)</f>
        <v/>
      </c>
      <c r="AD16" s="49">
        <f>SUMIFS('Cohort x age'!$AJ$2:$AJ$1831,'Cohort x age'!$C$2:$C$1831,A16)</f>
        <v/>
      </c>
      <c r="AE16" s="49">
        <f>SUMIFS('Cohort x age'!$AM$2:$AM$1831,'Cohort x age'!$C$2:$C$1831,A16)</f>
        <v/>
      </c>
      <c r="AF16" s="49">
        <f>SUMIFS('Cohort x age'!$AP$2:$AP$1831,'Cohort x age'!$C$2:$C$1831,A16)</f>
        <v/>
      </c>
      <c r="AG16" s="49">
        <f>SUMIFS('Cohort x age'!$AS$2:$AS$1831,'Cohort x age'!$C$2:$C$1831,A16)</f>
        <v/>
      </c>
      <c r="AH16" s="49">
        <f>SUMIFS('Cohort x age'!$AU$2:$AU$1831,'Cohort x age'!$C$2:$C$1831,A16)</f>
        <v/>
      </c>
      <c r="AI16" s="49">
        <f>SUMIFS('Cohort x age'!$AX$2:$AX$1831,'Cohort x age'!$C$2:$C$1831,A16)</f>
        <v/>
      </c>
      <c r="AJ16" s="49">
        <f>SUMIFS('Cohort x age'!$BB$2:$BB$1831,'Cohort x age'!$C$2:$C$1831,A16)</f>
        <v/>
      </c>
      <c r="AK16" s="49">
        <f>SUMIFS('Cohort x age'!$BE$2:$BE$1831,'Cohort x age'!$C$2:$C$1831,A16)</f>
        <v/>
      </c>
      <c r="AL16" s="49">
        <f>SUMIFS('Cohort x age'!$BG$2:$BG$1831,'Cohort x age'!$C$2:$C$1831,A16)</f>
        <v/>
      </c>
      <c r="AM16" s="49">
        <f>SUMIFS('Cohort x age'!$BJ$2:$BJ$1831,'Cohort x age'!$C$2:$C$1831,A16)</f>
        <v/>
      </c>
      <c r="AN16" s="49">
        <f>SUMIFS('Cohort x age'!$BL$2:$BL$1831,'Cohort x age'!$C$2:$C$1831,A16)</f>
        <v/>
      </c>
      <c r="AO16" s="49">
        <f>SUMIFS('Cohort x age'!$BO$2:$BO$1831,'Cohort x age'!$C$2:$C$1831,A16)</f>
        <v/>
      </c>
      <c r="AP16" s="49">
        <f>SUMIFS('Cohort x age'!$BR$2:$BR$1831,'Cohort x age'!$C$2:$C$1831,A16)</f>
        <v/>
      </c>
      <c r="AQ16" s="49">
        <f>SUMIFS('Cohort x age'!$BT$2:$BT$1831,'Cohort x age'!$C$2:$C$1831,A16)</f>
        <v/>
      </c>
      <c r="AR16" s="49">
        <f>SUMIFS('Cohort x age'!$BV$2:$BV$1831,'Cohort x age'!$C$2:$C$1831,A16)</f>
        <v/>
      </c>
      <c r="AS16" s="49">
        <f>SUMIFS('Cohort x age'!$BX$2:$BX$1831,'Cohort x age'!$C$2:$C$1831,A16)</f>
        <v/>
      </c>
      <c r="AT16" s="49">
        <f>SUMIFS('Cohort x age'!$CA$2:$CA$1831,'Cohort x age'!$C$2:$C$1831,A16)</f>
        <v/>
      </c>
      <c r="AU16" s="49">
        <f>SUMIFS('Cohort x age'!$CD$2:$CD$1831,'Cohort x age'!$C$2:$C$1831,A16)</f>
        <v/>
      </c>
      <c r="AV16" s="9">
        <f>SUM(X16:AS16)</f>
        <v/>
      </c>
      <c r="AW16" s="9">
        <f>in_salary</f>
        <v/>
      </c>
      <c r="AX16" s="9">
        <f>MAX(0,G16-in_capacity)*in_extra_capacity_cost/in_helper_visits</f>
        <v/>
      </c>
      <c r="AY16" s="49">
        <f>SUMPRODUCT('Sign-ups by age'!P$2:P$61,'Age profile'!R$2:R$61)</f>
        <v/>
      </c>
      <c r="AZ16" s="49">
        <f>SUMPRODUCT('Sign-ups by age'!P$2:P$61,'Age profile'!S$2:S$61)</f>
        <v/>
      </c>
      <c r="BA16" s="9">
        <f>in_cash_cover</f>
        <v/>
      </c>
      <c r="BB16" s="9">
        <f>IF(A16&lt;=in_growth_months,in_agent_balance_pay,in_agent_pay_after)/12*K16</f>
        <v/>
      </c>
      <c r="BC16" s="9">
        <f>AW16+AX16+AY16+AZ16+BA16+BB16</f>
        <v/>
      </c>
      <c r="BD16" s="9">
        <f>AV16-BC16</f>
        <v/>
      </c>
      <c r="BE16" s="40">
        <f>1/(1+d_dm)^A16</f>
        <v/>
      </c>
      <c r="BF16" s="9">
        <f>BD16*BE16</f>
        <v/>
      </c>
      <c r="BG16" s="9">
        <f>IF(A16=1,BF16,BG15+BF16)</f>
        <v/>
      </c>
      <c r="BH16" s="9">
        <f>IF(A16=1,BD16,BH15+BD16)</f>
        <v/>
      </c>
      <c r="BI16" s="39">
        <f>IF(AND(BH16&gt;=0,BI17=1),1,0)</f>
        <v/>
      </c>
      <c r="BJ16" s="39">
        <f>IF(BI16=1,A16,999)</f>
        <v/>
      </c>
      <c r="BK16" s="40">
        <f>1/(1+d_dm20)^A16</f>
        <v/>
      </c>
    </row>
    <row r="17">
      <c r="A17" s="39" t="n">
        <v>16</v>
      </c>
      <c r="B17" s="48">
        <f>MIN(in_signup_cap,in_signups_run*IF(in_ramp_months&gt;0,MIN(1,0.5+0.5*(A17-1)/in_ramp_months),1)*(1+in_signup_growth)^INT((A17-1)/12))</f>
        <v/>
      </c>
      <c r="C17" s="44">
        <f>SUMPRODUCT('Sign-ups by age'!Q$2:Q$61,'Age profile'!B$2:B$61)</f>
        <v/>
      </c>
      <c r="D17" s="44">
        <f>SUMPRODUCT('Sign-ups by age'!Q$2:Q$61,'Age profile'!C$2:C$61)</f>
        <v/>
      </c>
      <c r="E17" s="44">
        <f>SUMPRODUCT('Sign-ups by age'!Q$2:Q$61,'Age profile'!M$2:M$61)</f>
        <v/>
      </c>
      <c r="F17" s="44">
        <f>SUMPRODUCT('Sign-ups by age'!Q$2:Q$61,'Age profile'!K$2:K$61)</f>
        <v/>
      </c>
      <c r="G17" s="44">
        <f>SUMPRODUCT('Sign-ups by age'!Q$2:Q$61,'Age profile'!L$2:L$61)</f>
        <v/>
      </c>
      <c r="H17" s="11">
        <f>IF(C17&gt;0,1-F17/C17,0)</f>
        <v/>
      </c>
      <c r="I17" s="11">
        <f>IF(C17&gt;0,MAX(0,1-in_capacity*in_visit_every/C17),0)</f>
        <v/>
      </c>
      <c r="J17" s="49">
        <f>SUMPRODUCT('Sign-ups by age'!Q$2:Q$61,'Age profile'!E$2:E$61)</f>
        <v/>
      </c>
      <c r="K17" s="49">
        <f>SUMPRODUCT('Sign-ups by age'!Q$2:Q$61,'Age profile'!H$2:H$61)</f>
        <v/>
      </c>
      <c r="L17" s="44">
        <f>SUMIFS('Cohort x age'!$Q$2:$Q$1831,'Cohort x age'!$C$2:$C$1831,A17)</f>
        <v/>
      </c>
      <c r="M17" s="50">
        <f>SUMIFS('Cohort x age'!$L$2:$L$1831,'Cohort x age'!$C$2:$C$1831,A17)</f>
        <v/>
      </c>
      <c r="N17" s="50">
        <f>SUMIFS('Cohort x age'!$M$2:$M$1831,'Cohort x age'!$C$2:$C$1831,A17)</f>
        <v/>
      </c>
      <c r="O17" s="50">
        <f>SUMIFS('Cohort x age'!$N$2:$N$1831,'Cohort x age'!$C$2:$C$1831,A17)</f>
        <v/>
      </c>
      <c r="P17" s="50">
        <f>SUMIFS('Cohort x age'!$T$2:$T$1831,'Cohort x age'!$C$2:$C$1831,A17)</f>
        <v/>
      </c>
      <c r="Q17" s="49">
        <f>SUMIFS('Cohort x age'!$U$2:$U$1831,'Cohort x age'!$C$2:$C$1831,A17)</f>
        <v/>
      </c>
      <c r="R17" s="49">
        <f>SUMIFS('Cohort x age'!$V$2:$V$1831,'Cohort x age'!$C$2:$C$1831,A17)</f>
        <v/>
      </c>
      <c r="S17" s="44">
        <f>SUMIFS('Cohort x age'!$P$2:$P$1831,'Cohort x age'!$C$2:$C$1831,A17)</f>
        <v/>
      </c>
      <c r="T17" s="44">
        <f>SUMIFS('Cohort x age'!$R$2:$R$1831,'Cohort x age'!$C$2:$C$1831,A17)</f>
        <v/>
      </c>
      <c r="U17" s="50">
        <f>SUMIFS('Cohort x age'!$X$2:$X$1831,'Cohort x age'!$C$2:$C$1831,A17)</f>
        <v/>
      </c>
      <c r="V17" s="50">
        <f>SUMIFS('Cohort x age'!$Y$2:$Y$1831,'Cohort x age'!$C$2:$C$1831,A17)</f>
        <v/>
      </c>
      <c r="W17" s="50">
        <f>SUMIFS('Cohort x age'!$Z$2:$Z$1831,'Cohort x age'!$C$2:$C$1831,A17)</f>
        <v/>
      </c>
      <c r="X17" s="49">
        <f>SUMPRODUCT('Sign-ups by age'!Q$2:Q$61,'Age profile'!Q$2:Q$61)</f>
        <v/>
      </c>
      <c r="Y17" s="49">
        <f>SUMIFS('Cohort x age'!$AA$2:$AA$1831,'Cohort x age'!$C$2:$C$1831,A17)</f>
        <v/>
      </c>
      <c r="Z17" s="49">
        <f>SUMIFS('Cohort x age'!$AB$2:$AB$1831,'Cohort x age'!$C$2:$C$1831,A17)</f>
        <v/>
      </c>
      <c r="AA17" s="49">
        <f>SUMIFS('Cohort x age'!$AC$2:$AC$1831,'Cohort x age'!$C$2:$C$1831,A17)</f>
        <v/>
      </c>
      <c r="AB17" s="49">
        <f>SUMIFS('Cohort x age'!$AD$2:$AD$1831,'Cohort x age'!$C$2:$C$1831,A17)</f>
        <v/>
      </c>
      <c r="AC17" s="49">
        <f>SUMIFS('Cohort x age'!$AG$2:$AG$1831,'Cohort x age'!$C$2:$C$1831,A17)</f>
        <v/>
      </c>
      <c r="AD17" s="49">
        <f>SUMIFS('Cohort x age'!$AJ$2:$AJ$1831,'Cohort x age'!$C$2:$C$1831,A17)</f>
        <v/>
      </c>
      <c r="AE17" s="49">
        <f>SUMIFS('Cohort x age'!$AM$2:$AM$1831,'Cohort x age'!$C$2:$C$1831,A17)</f>
        <v/>
      </c>
      <c r="AF17" s="49">
        <f>SUMIFS('Cohort x age'!$AP$2:$AP$1831,'Cohort x age'!$C$2:$C$1831,A17)</f>
        <v/>
      </c>
      <c r="AG17" s="49">
        <f>SUMIFS('Cohort x age'!$AS$2:$AS$1831,'Cohort x age'!$C$2:$C$1831,A17)</f>
        <v/>
      </c>
      <c r="AH17" s="49">
        <f>SUMIFS('Cohort x age'!$AU$2:$AU$1831,'Cohort x age'!$C$2:$C$1831,A17)</f>
        <v/>
      </c>
      <c r="AI17" s="49">
        <f>SUMIFS('Cohort x age'!$AX$2:$AX$1831,'Cohort x age'!$C$2:$C$1831,A17)</f>
        <v/>
      </c>
      <c r="AJ17" s="49">
        <f>SUMIFS('Cohort x age'!$BB$2:$BB$1831,'Cohort x age'!$C$2:$C$1831,A17)</f>
        <v/>
      </c>
      <c r="AK17" s="49">
        <f>SUMIFS('Cohort x age'!$BE$2:$BE$1831,'Cohort x age'!$C$2:$C$1831,A17)</f>
        <v/>
      </c>
      <c r="AL17" s="49">
        <f>SUMIFS('Cohort x age'!$BG$2:$BG$1831,'Cohort x age'!$C$2:$C$1831,A17)</f>
        <v/>
      </c>
      <c r="AM17" s="49">
        <f>SUMIFS('Cohort x age'!$BJ$2:$BJ$1831,'Cohort x age'!$C$2:$C$1831,A17)</f>
        <v/>
      </c>
      <c r="AN17" s="49">
        <f>SUMIFS('Cohort x age'!$BL$2:$BL$1831,'Cohort x age'!$C$2:$C$1831,A17)</f>
        <v/>
      </c>
      <c r="AO17" s="49">
        <f>SUMIFS('Cohort x age'!$BO$2:$BO$1831,'Cohort x age'!$C$2:$C$1831,A17)</f>
        <v/>
      </c>
      <c r="AP17" s="49">
        <f>SUMIFS('Cohort x age'!$BR$2:$BR$1831,'Cohort x age'!$C$2:$C$1831,A17)</f>
        <v/>
      </c>
      <c r="AQ17" s="49">
        <f>SUMIFS('Cohort x age'!$BT$2:$BT$1831,'Cohort x age'!$C$2:$C$1831,A17)</f>
        <v/>
      </c>
      <c r="AR17" s="49">
        <f>SUMIFS('Cohort x age'!$BV$2:$BV$1831,'Cohort x age'!$C$2:$C$1831,A17)</f>
        <v/>
      </c>
      <c r="AS17" s="49">
        <f>SUMIFS('Cohort x age'!$BX$2:$BX$1831,'Cohort x age'!$C$2:$C$1831,A17)</f>
        <v/>
      </c>
      <c r="AT17" s="49">
        <f>SUMIFS('Cohort x age'!$CA$2:$CA$1831,'Cohort x age'!$C$2:$C$1831,A17)</f>
        <v/>
      </c>
      <c r="AU17" s="49">
        <f>SUMIFS('Cohort x age'!$CD$2:$CD$1831,'Cohort x age'!$C$2:$C$1831,A17)</f>
        <v/>
      </c>
      <c r="AV17" s="9">
        <f>SUM(X17:AS17)</f>
        <v/>
      </c>
      <c r="AW17" s="9">
        <f>in_salary</f>
        <v/>
      </c>
      <c r="AX17" s="9">
        <f>MAX(0,G17-in_capacity)*in_extra_capacity_cost/in_helper_visits</f>
        <v/>
      </c>
      <c r="AY17" s="49">
        <f>SUMPRODUCT('Sign-ups by age'!Q$2:Q$61,'Age profile'!R$2:R$61)</f>
        <v/>
      </c>
      <c r="AZ17" s="49">
        <f>SUMPRODUCT('Sign-ups by age'!Q$2:Q$61,'Age profile'!S$2:S$61)</f>
        <v/>
      </c>
      <c r="BA17" s="9">
        <f>in_cash_cover</f>
        <v/>
      </c>
      <c r="BB17" s="9">
        <f>IF(A17&lt;=in_growth_months,in_agent_balance_pay,in_agent_pay_after)/12*K17</f>
        <v/>
      </c>
      <c r="BC17" s="9">
        <f>AW17+AX17+AY17+AZ17+BA17+BB17</f>
        <v/>
      </c>
      <c r="BD17" s="9">
        <f>AV17-BC17</f>
        <v/>
      </c>
      <c r="BE17" s="40">
        <f>1/(1+d_dm)^A17</f>
        <v/>
      </c>
      <c r="BF17" s="9">
        <f>BD17*BE17</f>
        <v/>
      </c>
      <c r="BG17" s="9">
        <f>IF(A17=1,BF17,BG16+BF17)</f>
        <v/>
      </c>
      <c r="BH17" s="9">
        <f>IF(A17=1,BD17,BH16+BD17)</f>
        <v/>
      </c>
      <c r="BI17" s="39">
        <f>IF(AND(BH17&gt;=0,BI18=1),1,0)</f>
        <v/>
      </c>
      <c r="BJ17" s="39">
        <f>IF(BI17=1,A17,999)</f>
        <v/>
      </c>
      <c r="BK17" s="40">
        <f>1/(1+d_dm20)^A17</f>
        <v/>
      </c>
    </row>
    <row r="18">
      <c r="A18" s="39" t="n">
        <v>17</v>
      </c>
      <c r="B18" s="48">
        <f>MIN(in_signup_cap,in_signups_run*IF(in_ramp_months&gt;0,MIN(1,0.5+0.5*(A18-1)/in_ramp_months),1)*(1+in_signup_growth)^INT((A18-1)/12))</f>
        <v/>
      </c>
      <c r="C18" s="44">
        <f>SUMPRODUCT('Sign-ups by age'!R$2:R$61,'Age profile'!B$2:B$61)</f>
        <v/>
      </c>
      <c r="D18" s="44">
        <f>SUMPRODUCT('Sign-ups by age'!R$2:R$61,'Age profile'!C$2:C$61)</f>
        <v/>
      </c>
      <c r="E18" s="44">
        <f>SUMPRODUCT('Sign-ups by age'!R$2:R$61,'Age profile'!M$2:M$61)</f>
        <v/>
      </c>
      <c r="F18" s="44">
        <f>SUMPRODUCT('Sign-ups by age'!R$2:R$61,'Age profile'!K$2:K$61)</f>
        <v/>
      </c>
      <c r="G18" s="44">
        <f>SUMPRODUCT('Sign-ups by age'!R$2:R$61,'Age profile'!L$2:L$61)</f>
        <v/>
      </c>
      <c r="H18" s="11">
        <f>IF(C18&gt;0,1-F18/C18,0)</f>
        <v/>
      </c>
      <c r="I18" s="11">
        <f>IF(C18&gt;0,MAX(0,1-in_capacity*in_visit_every/C18),0)</f>
        <v/>
      </c>
      <c r="J18" s="49">
        <f>SUMPRODUCT('Sign-ups by age'!R$2:R$61,'Age profile'!E$2:E$61)</f>
        <v/>
      </c>
      <c r="K18" s="49">
        <f>SUMPRODUCT('Sign-ups by age'!R$2:R$61,'Age profile'!H$2:H$61)</f>
        <v/>
      </c>
      <c r="L18" s="44">
        <f>SUMIFS('Cohort x age'!$Q$2:$Q$1831,'Cohort x age'!$C$2:$C$1831,A18)</f>
        <v/>
      </c>
      <c r="M18" s="50">
        <f>SUMIFS('Cohort x age'!$L$2:$L$1831,'Cohort x age'!$C$2:$C$1831,A18)</f>
        <v/>
      </c>
      <c r="N18" s="50">
        <f>SUMIFS('Cohort x age'!$M$2:$M$1831,'Cohort x age'!$C$2:$C$1831,A18)</f>
        <v/>
      </c>
      <c r="O18" s="50">
        <f>SUMIFS('Cohort x age'!$N$2:$N$1831,'Cohort x age'!$C$2:$C$1831,A18)</f>
        <v/>
      </c>
      <c r="P18" s="50">
        <f>SUMIFS('Cohort x age'!$T$2:$T$1831,'Cohort x age'!$C$2:$C$1831,A18)</f>
        <v/>
      </c>
      <c r="Q18" s="49">
        <f>SUMIFS('Cohort x age'!$U$2:$U$1831,'Cohort x age'!$C$2:$C$1831,A18)</f>
        <v/>
      </c>
      <c r="R18" s="49">
        <f>SUMIFS('Cohort x age'!$V$2:$V$1831,'Cohort x age'!$C$2:$C$1831,A18)</f>
        <v/>
      </c>
      <c r="S18" s="44">
        <f>SUMIFS('Cohort x age'!$P$2:$P$1831,'Cohort x age'!$C$2:$C$1831,A18)</f>
        <v/>
      </c>
      <c r="T18" s="44">
        <f>SUMIFS('Cohort x age'!$R$2:$R$1831,'Cohort x age'!$C$2:$C$1831,A18)</f>
        <v/>
      </c>
      <c r="U18" s="50">
        <f>SUMIFS('Cohort x age'!$X$2:$X$1831,'Cohort x age'!$C$2:$C$1831,A18)</f>
        <v/>
      </c>
      <c r="V18" s="50">
        <f>SUMIFS('Cohort x age'!$Y$2:$Y$1831,'Cohort x age'!$C$2:$C$1831,A18)</f>
        <v/>
      </c>
      <c r="W18" s="50">
        <f>SUMIFS('Cohort x age'!$Z$2:$Z$1831,'Cohort x age'!$C$2:$C$1831,A18)</f>
        <v/>
      </c>
      <c r="X18" s="49">
        <f>SUMPRODUCT('Sign-ups by age'!R$2:R$61,'Age profile'!Q$2:Q$61)</f>
        <v/>
      </c>
      <c r="Y18" s="49">
        <f>SUMIFS('Cohort x age'!$AA$2:$AA$1831,'Cohort x age'!$C$2:$C$1831,A18)</f>
        <v/>
      </c>
      <c r="Z18" s="49">
        <f>SUMIFS('Cohort x age'!$AB$2:$AB$1831,'Cohort x age'!$C$2:$C$1831,A18)</f>
        <v/>
      </c>
      <c r="AA18" s="49">
        <f>SUMIFS('Cohort x age'!$AC$2:$AC$1831,'Cohort x age'!$C$2:$C$1831,A18)</f>
        <v/>
      </c>
      <c r="AB18" s="49">
        <f>SUMIFS('Cohort x age'!$AD$2:$AD$1831,'Cohort x age'!$C$2:$C$1831,A18)</f>
        <v/>
      </c>
      <c r="AC18" s="49">
        <f>SUMIFS('Cohort x age'!$AG$2:$AG$1831,'Cohort x age'!$C$2:$C$1831,A18)</f>
        <v/>
      </c>
      <c r="AD18" s="49">
        <f>SUMIFS('Cohort x age'!$AJ$2:$AJ$1831,'Cohort x age'!$C$2:$C$1831,A18)</f>
        <v/>
      </c>
      <c r="AE18" s="49">
        <f>SUMIFS('Cohort x age'!$AM$2:$AM$1831,'Cohort x age'!$C$2:$C$1831,A18)</f>
        <v/>
      </c>
      <c r="AF18" s="49">
        <f>SUMIFS('Cohort x age'!$AP$2:$AP$1831,'Cohort x age'!$C$2:$C$1831,A18)</f>
        <v/>
      </c>
      <c r="AG18" s="49">
        <f>SUMIFS('Cohort x age'!$AS$2:$AS$1831,'Cohort x age'!$C$2:$C$1831,A18)</f>
        <v/>
      </c>
      <c r="AH18" s="49">
        <f>SUMIFS('Cohort x age'!$AU$2:$AU$1831,'Cohort x age'!$C$2:$C$1831,A18)</f>
        <v/>
      </c>
      <c r="AI18" s="49">
        <f>SUMIFS('Cohort x age'!$AX$2:$AX$1831,'Cohort x age'!$C$2:$C$1831,A18)</f>
        <v/>
      </c>
      <c r="AJ18" s="49">
        <f>SUMIFS('Cohort x age'!$BB$2:$BB$1831,'Cohort x age'!$C$2:$C$1831,A18)</f>
        <v/>
      </c>
      <c r="AK18" s="49">
        <f>SUMIFS('Cohort x age'!$BE$2:$BE$1831,'Cohort x age'!$C$2:$C$1831,A18)</f>
        <v/>
      </c>
      <c r="AL18" s="49">
        <f>SUMIFS('Cohort x age'!$BG$2:$BG$1831,'Cohort x age'!$C$2:$C$1831,A18)</f>
        <v/>
      </c>
      <c r="AM18" s="49">
        <f>SUMIFS('Cohort x age'!$BJ$2:$BJ$1831,'Cohort x age'!$C$2:$C$1831,A18)</f>
        <v/>
      </c>
      <c r="AN18" s="49">
        <f>SUMIFS('Cohort x age'!$BL$2:$BL$1831,'Cohort x age'!$C$2:$C$1831,A18)</f>
        <v/>
      </c>
      <c r="AO18" s="49">
        <f>SUMIFS('Cohort x age'!$BO$2:$BO$1831,'Cohort x age'!$C$2:$C$1831,A18)</f>
        <v/>
      </c>
      <c r="AP18" s="49">
        <f>SUMIFS('Cohort x age'!$BR$2:$BR$1831,'Cohort x age'!$C$2:$C$1831,A18)</f>
        <v/>
      </c>
      <c r="AQ18" s="49">
        <f>SUMIFS('Cohort x age'!$BT$2:$BT$1831,'Cohort x age'!$C$2:$C$1831,A18)</f>
        <v/>
      </c>
      <c r="AR18" s="49">
        <f>SUMIFS('Cohort x age'!$BV$2:$BV$1831,'Cohort x age'!$C$2:$C$1831,A18)</f>
        <v/>
      </c>
      <c r="AS18" s="49">
        <f>SUMIFS('Cohort x age'!$BX$2:$BX$1831,'Cohort x age'!$C$2:$C$1831,A18)</f>
        <v/>
      </c>
      <c r="AT18" s="49">
        <f>SUMIFS('Cohort x age'!$CA$2:$CA$1831,'Cohort x age'!$C$2:$C$1831,A18)</f>
        <v/>
      </c>
      <c r="AU18" s="49">
        <f>SUMIFS('Cohort x age'!$CD$2:$CD$1831,'Cohort x age'!$C$2:$C$1831,A18)</f>
        <v/>
      </c>
      <c r="AV18" s="9">
        <f>SUM(X18:AS18)</f>
        <v/>
      </c>
      <c r="AW18" s="9">
        <f>in_salary</f>
        <v/>
      </c>
      <c r="AX18" s="9">
        <f>MAX(0,G18-in_capacity)*in_extra_capacity_cost/in_helper_visits</f>
        <v/>
      </c>
      <c r="AY18" s="49">
        <f>SUMPRODUCT('Sign-ups by age'!R$2:R$61,'Age profile'!R$2:R$61)</f>
        <v/>
      </c>
      <c r="AZ18" s="49">
        <f>SUMPRODUCT('Sign-ups by age'!R$2:R$61,'Age profile'!S$2:S$61)</f>
        <v/>
      </c>
      <c r="BA18" s="9">
        <f>in_cash_cover</f>
        <v/>
      </c>
      <c r="BB18" s="9">
        <f>IF(A18&lt;=in_growth_months,in_agent_balance_pay,in_agent_pay_after)/12*K18</f>
        <v/>
      </c>
      <c r="BC18" s="9">
        <f>AW18+AX18+AY18+AZ18+BA18+BB18</f>
        <v/>
      </c>
      <c r="BD18" s="9">
        <f>AV18-BC18</f>
        <v/>
      </c>
      <c r="BE18" s="40">
        <f>1/(1+d_dm)^A18</f>
        <v/>
      </c>
      <c r="BF18" s="9">
        <f>BD18*BE18</f>
        <v/>
      </c>
      <c r="BG18" s="9">
        <f>IF(A18=1,BF18,BG17+BF18)</f>
        <v/>
      </c>
      <c r="BH18" s="9">
        <f>IF(A18=1,BD18,BH17+BD18)</f>
        <v/>
      </c>
      <c r="BI18" s="39">
        <f>IF(AND(BH18&gt;=0,BI19=1),1,0)</f>
        <v/>
      </c>
      <c r="BJ18" s="39">
        <f>IF(BI18=1,A18,999)</f>
        <v/>
      </c>
      <c r="BK18" s="40">
        <f>1/(1+d_dm20)^A18</f>
        <v/>
      </c>
    </row>
    <row r="19">
      <c r="A19" s="39" t="n">
        <v>18</v>
      </c>
      <c r="B19" s="48">
        <f>MIN(in_signup_cap,in_signups_run*IF(in_ramp_months&gt;0,MIN(1,0.5+0.5*(A19-1)/in_ramp_months),1)*(1+in_signup_growth)^INT((A19-1)/12))</f>
        <v/>
      </c>
      <c r="C19" s="44">
        <f>SUMPRODUCT('Sign-ups by age'!S$2:S$61,'Age profile'!B$2:B$61)</f>
        <v/>
      </c>
      <c r="D19" s="44">
        <f>SUMPRODUCT('Sign-ups by age'!S$2:S$61,'Age profile'!C$2:C$61)</f>
        <v/>
      </c>
      <c r="E19" s="44">
        <f>SUMPRODUCT('Sign-ups by age'!S$2:S$61,'Age profile'!M$2:M$61)</f>
        <v/>
      </c>
      <c r="F19" s="44">
        <f>SUMPRODUCT('Sign-ups by age'!S$2:S$61,'Age profile'!K$2:K$61)</f>
        <v/>
      </c>
      <c r="G19" s="44">
        <f>SUMPRODUCT('Sign-ups by age'!S$2:S$61,'Age profile'!L$2:L$61)</f>
        <v/>
      </c>
      <c r="H19" s="11">
        <f>IF(C19&gt;0,1-F19/C19,0)</f>
        <v/>
      </c>
      <c r="I19" s="11">
        <f>IF(C19&gt;0,MAX(0,1-in_capacity*in_visit_every/C19),0)</f>
        <v/>
      </c>
      <c r="J19" s="49">
        <f>SUMPRODUCT('Sign-ups by age'!S$2:S$61,'Age profile'!E$2:E$61)</f>
        <v/>
      </c>
      <c r="K19" s="49">
        <f>SUMPRODUCT('Sign-ups by age'!S$2:S$61,'Age profile'!H$2:H$61)</f>
        <v/>
      </c>
      <c r="L19" s="44">
        <f>SUMIFS('Cohort x age'!$Q$2:$Q$1831,'Cohort x age'!$C$2:$C$1831,A19)</f>
        <v/>
      </c>
      <c r="M19" s="50">
        <f>SUMIFS('Cohort x age'!$L$2:$L$1831,'Cohort x age'!$C$2:$C$1831,A19)</f>
        <v/>
      </c>
      <c r="N19" s="50">
        <f>SUMIFS('Cohort x age'!$M$2:$M$1831,'Cohort x age'!$C$2:$C$1831,A19)</f>
        <v/>
      </c>
      <c r="O19" s="50">
        <f>SUMIFS('Cohort x age'!$N$2:$N$1831,'Cohort x age'!$C$2:$C$1831,A19)</f>
        <v/>
      </c>
      <c r="P19" s="50">
        <f>SUMIFS('Cohort x age'!$T$2:$T$1831,'Cohort x age'!$C$2:$C$1831,A19)</f>
        <v/>
      </c>
      <c r="Q19" s="49">
        <f>SUMIFS('Cohort x age'!$U$2:$U$1831,'Cohort x age'!$C$2:$C$1831,A19)</f>
        <v/>
      </c>
      <c r="R19" s="49">
        <f>SUMIFS('Cohort x age'!$V$2:$V$1831,'Cohort x age'!$C$2:$C$1831,A19)</f>
        <v/>
      </c>
      <c r="S19" s="44">
        <f>SUMIFS('Cohort x age'!$P$2:$P$1831,'Cohort x age'!$C$2:$C$1831,A19)</f>
        <v/>
      </c>
      <c r="T19" s="44">
        <f>SUMIFS('Cohort x age'!$R$2:$R$1831,'Cohort x age'!$C$2:$C$1831,A19)</f>
        <v/>
      </c>
      <c r="U19" s="50">
        <f>SUMIFS('Cohort x age'!$X$2:$X$1831,'Cohort x age'!$C$2:$C$1831,A19)</f>
        <v/>
      </c>
      <c r="V19" s="50">
        <f>SUMIFS('Cohort x age'!$Y$2:$Y$1831,'Cohort x age'!$C$2:$C$1831,A19)</f>
        <v/>
      </c>
      <c r="W19" s="50">
        <f>SUMIFS('Cohort x age'!$Z$2:$Z$1831,'Cohort x age'!$C$2:$C$1831,A19)</f>
        <v/>
      </c>
      <c r="X19" s="49">
        <f>SUMPRODUCT('Sign-ups by age'!S$2:S$61,'Age profile'!Q$2:Q$61)</f>
        <v/>
      </c>
      <c r="Y19" s="49">
        <f>SUMIFS('Cohort x age'!$AA$2:$AA$1831,'Cohort x age'!$C$2:$C$1831,A19)</f>
        <v/>
      </c>
      <c r="Z19" s="49">
        <f>SUMIFS('Cohort x age'!$AB$2:$AB$1831,'Cohort x age'!$C$2:$C$1831,A19)</f>
        <v/>
      </c>
      <c r="AA19" s="49">
        <f>SUMIFS('Cohort x age'!$AC$2:$AC$1831,'Cohort x age'!$C$2:$C$1831,A19)</f>
        <v/>
      </c>
      <c r="AB19" s="49">
        <f>SUMIFS('Cohort x age'!$AD$2:$AD$1831,'Cohort x age'!$C$2:$C$1831,A19)</f>
        <v/>
      </c>
      <c r="AC19" s="49">
        <f>SUMIFS('Cohort x age'!$AG$2:$AG$1831,'Cohort x age'!$C$2:$C$1831,A19)</f>
        <v/>
      </c>
      <c r="AD19" s="49">
        <f>SUMIFS('Cohort x age'!$AJ$2:$AJ$1831,'Cohort x age'!$C$2:$C$1831,A19)</f>
        <v/>
      </c>
      <c r="AE19" s="49">
        <f>SUMIFS('Cohort x age'!$AM$2:$AM$1831,'Cohort x age'!$C$2:$C$1831,A19)</f>
        <v/>
      </c>
      <c r="AF19" s="49">
        <f>SUMIFS('Cohort x age'!$AP$2:$AP$1831,'Cohort x age'!$C$2:$C$1831,A19)</f>
        <v/>
      </c>
      <c r="AG19" s="49">
        <f>SUMIFS('Cohort x age'!$AS$2:$AS$1831,'Cohort x age'!$C$2:$C$1831,A19)</f>
        <v/>
      </c>
      <c r="AH19" s="49">
        <f>SUMIFS('Cohort x age'!$AU$2:$AU$1831,'Cohort x age'!$C$2:$C$1831,A19)</f>
        <v/>
      </c>
      <c r="AI19" s="49">
        <f>SUMIFS('Cohort x age'!$AX$2:$AX$1831,'Cohort x age'!$C$2:$C$1831,A19)</f>
        <v/>
      </c>
      <c r="AJ19" s="49">
        <f>SUMIFS('Cohort x age'!$BB$2:$BB$1831,'Cohort x age'!$C$2:$C$1831,A19)</f>
        <v/>
      </c>
      <c r="AK19" s="49">
        <f>SUMIFS('Cohort x age'!$BE$2:$BE$1831,'Cohort x age'!$C$2:$C$1831,A19)</f>
        <v/>
      </c>
      <c r="AL19" s="49">
        <f>SUMIFS('Cohort x age'!$BG$2:$BG$1831,'Cohort x age'!$C$2:$C$1831,A19)</f>
        <v/>
      </c>
      <c r="AM19" s="49">
        <f>SUMIFS('Cohort x age'!$BJ$2:$BJ$1831,'Cohort x age'!$C$2:$C$1831,A19)</f>
        <v/>
      </c>
      <c r="AN19" s="49">
        <f>SUMIFS('Cohort x age'!$BL$2:$BL$1831,'Cohort x age'!$C$2:$C$1831,A19)</f>
        <v/>
      </c>
      <c r="AO19" s="49">
        <f>SUMIFS('Cohort x age'!$BO$2:$BO$1831,'Cohort x age'!$C$2:$C$1831,A19)</f>
        <v/>
      </c>
      <c r="AP19" s="49">
        <f>SUMIFS('Cohort x age'!$BR$2:$BR$1831,'Cohort x age'!$C$2:$C$1831,A19)</f>
        <v/>
      </c>
      <c r="AQ19" s="49">
        <f>SUMIFS('Cohort x age'!$BT$2:$BT$1831,'Cohort x age'!$C$2:$C$1831,A19)</f>
        <v/>
      </c>
      <c r="AR19" s="49">
        <f>SUMIFS('Cohort x age'!$BV$2:$BV$1831,'Cohort x age'!$C$2:$C$1831,A19)</f>
        <v/>
      </c>
      <c r="AS19" s="49">
        <f>SUMIFS('Cohort x age'!$BX$2:$BX$1831,'Cohort x age'!$C$2:$C$1831,A19)</f>
        <v/>
      </c>
      <c r="AT19" s="49">
        <f>SUMIFS('Cohort x age'!$CA$2:$CA$1831,'Cohort x age'!$C$2:$C$1831,A19)</f>
        <v/>
      </c>
      <c r="AU19" s="49">
        <f>SUMIFS('Cohort x age'!$CD$2:$CD$1831,'Cohort x age'!$C$2:$C$1831,A19)</f>
        <v/>
      </c>
      <c r="AV19" s="9">
        <f>SUM(X19:AS19)</f>
        <v/>
      </c>
      <c r="AW19" s="9">
        <f>in_salary</f>
        <v/>
      </c>
      <c r="AX19" s="9">
        <f>MAX(0,G19-in_capacity)*in_extra_capacity_cost/in_helper_visits</f>
        <v/>
      </c>
      <c r="AY19" s="49">
        <f>SUMPRODUCT('Sign-ups by age'!S$2:S$61,'Age profile'!R$2:R$61)</f>
        <v/>
      </c>
      <c r="AZ19" s="49">
        <f>SUMPRODUCT('Sign-ups by age'!S$2:S$61,'Age profile'!S$2:S$61)</f>
        <v/>
      </c>
      <c r="BA19" s="9">
        <f>in_cash_cover</f>
        <v/>
      </c>
      <c r="BB19" s="9">
        <f>IF(A19&lt;=in_growth_months,in_agent_balance_pay,in_agent_pay_after)/12*K19</f>
        <v/>
      </c>
      <c r="BC19" s="9">
        <f>AW19+AX19+AY19+AZ19+BA19+BB19</f>
        <v/>
      </c>
      <c r="BD19" s="9">
        <f>AV19-BC19</f>
        <v/>
      </c>
      <c r="BE19" s="40">
        <f>1/(1+d_dm)^A19</f>
        <v/>
      </c>
      <c r="BF19" s="9">
        <f>BD19*BE19</f>
        <v/>
      </c>
      <c r="BG19" s="9">
        <f>IF(A19=1,BF19,BG18+BF19)</f>
        <v/>
      </c>
      <c r="BH19" s="9">
        <f>IF(A19=1,BD19,BH18+BD19)</f>
        <v/>
      </c>
      <c r="BI19" s="39">
        <f>IF(AND(BH19&gt;=0,BI20=1),1,0)</f>
        <v/>
      </c>
      <c r="BJ19" s="39">
        <f>IF(BI19=1,A19,999)</f>
        <v/>
      </c>
      <c r="BK19" s="40">
        <f>1/(1+d_dm20)^A19</f>
        <v/>
      </c>
    </row>
    <row r="20">
      <c r="A20" s="39" t="n">
        <v>19</v>
      </c>
      <c r="B20" s="48">
        <f>MIN(in_signup_cap,in_signups_run*IF(in_ramp_months&gt;0,MIN(1,0.5+0.5*(A20-1)/in_ramp_months),1)*(1+in_signup_growth)^INT((A20-1)/12))</f>
        <v/>
      </c>
      <c r="C20" s="44">
        <f>SUMPRODUCT('Sign-ups by age'!T$2:T$61,'Age profile'!B$2:B$61)</f>
        <v/>
      </c>
      <c r="D20" s="44">
        <f>SUMPRODUCT('Sign-ups by age'!T$2:T$61,'Age profile'!C$2:C$61)</f>
        <v/>
      </c>
      <c r="E20" s="44">
        <f>SUMPRODUCT('Sign-ups by age'!T$2:T$61,'Age profile'!M$2:M$61)</f>
        <v/>
      </c>
      <c r="F20" s="44">
        <f>SUMPRODUCT('Sign-ups by age'!T$2:T$61,'Age profile'!K$2:K$61)</f>
        <v/>
      </c>
      <c r="G20" s="44">
        <f>SUMPRODUCT('Sign-ups by age'!T$2:T$61,'Age profile'!L$2:L$61)</f>
        <v/>
      </c>
      <c r="H20" s="11">
        <f>IF(C20&gt;0,1-F20/C20,0)</f>
        <v/>
      </c>
      <c r="I20" s="11">
        <f>IF(C20&gt;0,MAX(0,1-in_capacity*in_visit_every/C20),0)</f>
        <v/>
      </c>
      <c r="J20" s="49">
        <f>SUMPRODUCT('Sign-ups by age'!T$2:T$61,'Age profile'!E$2:E$61)</f>
        <v/>
      </c>
      <c r="K20" s="49">
        <f>SUMPRODUCT('Sign-ups by age'!T$2:T$61,'Age profile'!H$2:H$61)</f>
        <v/>
      </c>
      <c r="L20" s="44">
        <f>SUMIFS('Cohort x age'!$Q$2:$Q$1831,'Cohort x age'!$C$2:$C$1831,A20)</f>
        <v/>
      </c>
      <c r="M20" s="50">
        <f>SUMIFS('Cohort x age'!$L$2:$L$1831,'Cohort x age'!$C$2:$C$1831,A20)</f>
        <v/>
      </c>
      <c r="N20" s="50">
        <f>SUMIFS('Cohort x age'!$M$2:$M$1831,'Cohort x age'!$C$2:$C$1831,A20)</f>
        <v/>
      </c>
      <c r="O20" s="50">
        <f>SUMIFS('Cohort x age'!$N$2:$N$1831,'Cohort x age'!$C$2:$C$1831,A20)</f>
        <v/>
      </c>
      <c r="P20" s="50">
        <f>SUMIFS('Cohort x age'!$T$2:$T$1831,'Cohort x age'!$C$2:$C$1831,A20)</f>
        <v/>
      </c>
      <c r="Q20" s="49">
        <f>SUMIFS('Cohort x age'!$U$2:$U$1831,'Cohort x age'!$C$2:$C$1831,A20)</f>
        <v/>
      </c>
      <c r="R20" s="49">
        <f>SUMIFS('Cohort x age'!$V$2:$V$1831,'Cohort x age'!$C$2:$C$1831,A20)</f>
        <v/>
      </c>
      <c r="S20" s="44">
        <f>SUMIFS('Cohort x age'!$P$2:$P$1831,'Cohort x age'!$C$2:$C$1831,A20)</f>
        <v/>
      </c>
      <c r="T20" s="44">
        <f>SUMIFS('Cohort x age'!$R$2:$R$1831,'Cohort x age'!$C$2:$C$1831,A20)</f>
        <v/>
      </c>
      <c r="U20" s="50">
        <f>SUMIFS('Cohort x age'!$X$2:$X$1831,'Cohort x age'!$C$2:$C$1831,A20)</f>
        <v/>
      </c>
      <c r="V20" s="50">
        <f>SUMIFS('Cohort x age'!$Y$2:$Y$1831,'Cohort x age'!$C$2:$C$1831,A20)</f>
        <v/>
      </c>
      <c r="W20" s="50">
        <f>SUMIFS('Cohort x age'!$Z$2:$Z$1831,'Cohort x age'!$C$2:$C$1831,A20)</f>
        <v/>
      </c>
      <c r="X20" s="49">
        <f>SUMPRODUCT('Sign-ups by age'!T$2:T$61,'Age profile'!Q$2:Q$61)</f>
        <v/>
      </c>
      <c r="Y20" s="49">
        <f>SUMIFS('Cohort x age'!$AA$2:$AA$1831,'Cohort x age'!$C$2:$C$1831,A20)</f>
        <v/>
      </c>
      <c r="Z20" s="49">
        <f>SUMIFS('Cohort x age'!$AB$2:$AB$1831,'Cohort x age'!$C$2:$C$1831,A20)</f>
        <v/>
      </c>
      <c r="AA20" s="49">
        <f>SUMIFS('Cohort x age'!$AC$2:$AC$1831,'Cohort x age'!$C$2:$C$1831,A20)</f>
        <v/>
      </c>
      <c r="AB20" s="49">
        <f>SUMIFS('Cohort x age'!$AD$2:$AD$1831,'Cohort x age'!$C$2:$C$1831,A20)</f>
        <v/>
      </c>
      <c r="AC20" s="49">
        <f>SUMIFS('Cohort x age'!$AG$2:$AG$1831,'Cohort x age'!$C$2:$C$1831,A20)</f>
        <v/>
      </c>
      <c r="AD20" s="49">
        <f>SUMIFS('Cohort x age'!$AJ$2:$AJ$1831,'Cohort x age'!$C$2:$C$1831,A20)</f>
        <v/>
      </c>
      <c r="AE20" s="49">
        <f>SUMIFS('Cohort x age'!$AM$2:$AM$1831,'Cohort x age'!$C$2:$C$1831,A20)</f>
        <v/>
      </c>
      <c r="AF20" s="49">
        <f>SUMIFS('Cohort x age'!$AP$2:$AP$1831,'Cohort x age'!$C$2:$C$1831,A20)</f>
        <v/>
      </c>
      <c r="AG20" s="49">
        <f>SUMIFS('Cohort x age'!$AS$2:$AS$1831,'Cohort x age'!$C$2:$C$1831,A20)</f>
        <v/>
      </c>
      <c r="AH20" s="49">
        <f>SUMIFS('Cohort x age'!$AU$2:$AU$1831,'Cohort x age'!$C$2:$C$1831,A20)</f>
        <v/>
      </c>
      <c r="AI20" s="49">
        <f>SUMIFS('Cohort x age'!$AX$2:$AX$1831,'Cohort x age'!$C$2:$C$1831,A20)</f>
        <v/>
      </c>
      <c r="AJ20" s="49">
        <f>SUMIFS('Cohort x age'!$BB$2:$BB$1831,'Cohort x age'!$C$2:$C$1831,A20)</f>
        <v/>
      </c>
      <c r="AK20" s="49">
        <f>SUMIFS('Cohort x age'!$BE$2:$BE$1831,'Cohort x age'!$C$2:$C$1831,A20)</f>
        <v/>
      </c>
      <c r="AL20" s="49">
        <f>SUMIFS('Cohort x age'!$BG$2:$BG$1831,'Cohort x age'!$C$2:$C$1831,A20)</f>
        <v/>
      </c>
      <c r="AM20" s="49">
        <f>SUMIFS('Cohort x age'!$BJ$2:$BJ$1831,'Cohort x age'!$C$2:$C$1831,A20)</f>
        <v/>
      </c>
      <c r="AN20" s="49">
        <f>SUMIFS('Cohort x age'!$BL$2:$BL$1831,'Cohort x age'!$C$2:$C$1831,A20)</f>
        <v/>
      </c>
      <c r="AO20" s="49">
        <f>SUMIFS('Cohort x age'!$BO$2:$BO$1831,'Cohort x age'!$C$2:$C$1831,A20)</f>
        <v/>
      </c>
      <c r="AP20" s="49">
        <f>SUMIFS('Cohort x age'!$BR$2:$BR$1831,'Cohort x age'!$C$2:$C$1831,A20)</f>
        <v/>
      </c>
      <c r="AQ20" s="49">
        <f>SUMIFS('Cohort x age'!$BT$2:$BT$1831,'Cohort x age'!$C$2:$C$1831,A20)</f>
        <v/>
      </c>
      <c r="AR20" s="49">
        <f>SUMIFS('Cohort x age'!$BV$2:$BV$1831,'Cohort x age'!$C$2:$C$1831,A20)</f>
        <v/>
      </c>
      <c r="AS20" s="49">
        <f>SUMIFS('Cohort x age'!$BX$2:$BX$1831,'Cohort x age'!$C$2:$C$1831,A20)</f>
        <v/>
      </c>
      <c r="AT20" s="49">
        <f>SUMIFS('Cohort x age'!$CA$2:$CA$1831,'Cohort x age'!$C$2:$C$1831,A20)</f>
        <v/>
      </c>
      <c r="AU20" s="49">
        <f>SUMIFS('Cohort x age'!$CD$2:$CD$1831,'Cohort x age'!$C$2:$C$1831,A20)</f>
        <v/>
      </c>
      <c r="AV20" s="9">
        <f>SUM(X20:AS20)</f>
        <v/>
      </c>
      <c r="AW20" s="9">
        <f>in_salary</f>
        <v/>
      </c>
      <c r="AX20" s="9">
        <f>MAX(0,G20-in_capacity)*in_extra_capacity_cost/in_helper_visits</f>
        <v/>
      </c>
      <c r="AY20" s="49">
        <f>SUMPRODUCT('Sign-ups by age'!T$2:T$61,'Age profile'!R$2:R$61)</f>
        <v/>
      </c>
      <c r="AZ20" s="49">
        <f>SUMPRODUCT('Sign-ups by age'!T$2:T$61,'Age profile'!S$2:S$61)</f>
        <v/>
      </c>
      <c r="BA20" s="9">
        <f>in_cash_cover</f>
        <v/>
      </c>
      <c r="BB20" s="9">
        <f>IF(A20&lt;=in_growth_months,in_agent_balance_pay,in_agent_pay_after)/12*K20</f>
        <v/>
      </c>
      <c r="BC20" s="9">
        <f>AW20+AX20+AY20+AZ20+BA20+BB20</f>
        <v/>
      </c>
      <c r="BD20" s="9">
        <f>AV20-BC20</f>
        <v/>
      </c>
      <c r="BE20" s="40">
        <f>1/(1+d_dm)^A20</f>
        <v/>
      </c>
      <c r="BF20" s="9">
        <f>BD20*BE20</f>
        <v/>
      </c>
      <c r="BG20" s="9">
        <f>IF(A20=1,BF20,BG19+BF20)</f>
        <v/>
      </c>
      <c r="BH20" s="9">
        <f>IF(A20=1,BD20,BH19+BD20)</f>
        <v/>
      </c>
      <c r="BI20" s="39">
        <f>IF(AND(BH20&gt;=0,BI21=1),1,0)</f>
        <v/>
      </c>
      <c r="BJ20" s="39">
        <f>IF(BI20=1,A20,999)</f>
        <v/>
      </c>
      <c r="BK20" s="40">
        <f>1/(1+d_dm20)^A20</f>
        <v/>
      </c>
    </row>
    <row r="21">
      <c r="A21" s="39" t="n">
        <v>20</v>
      </c>
      <c r="B21" s="48">
        <f>MIN(in_signup_cap,in_signups_run*IF(in_ramp_months&gt;0,MIN(1,0.5+0.5*(A21-1)/in_ramp_months),1)*(1+in_signup_growth)^INT((A21-1)/12))</f>
        <v/>
      </c>
      <c r="C21" s="44">
        <f>SUMPRODUCT('Sign-ups by age'!U$2:U$61,'Age profile'!B$2:B$61)</f>
        <v/>
      </c>
      <c r="D21" s="44">
        <f>SUMPRODUCT('Sign-ups by age'!U$2:U$61,'Age profile'!C$2:C$61)</f>
        <v/>
      </c>
      <c r="E21" s="44">
        <f>SUMPRODUCT('Sign-ups by age'!U$2:U$61,'Age profile'!M$2:M$61)</f>
        <v/>
      </c>
      <c r="F21" s="44">
        <f>SUMPRODUCT('Sign-ups by age'!U$2:U$61,'Age profile'!K$2:K$61)</f>
        <v/>
      </c>
      <c r="G21" s="44">
        <f>SUMPRODUCT('Sign-ups by age'!U$2:U$61,'Age profile'!L$2:L$61)</f>
        <v/>
      </c>
      <c r="H21" s="11">
        <f>IF(C21&gt;0,1-F21/C21,0)</f>
        <v/>
      </c>
      <c r="I21" s="11">
        <f>IF(C21&gt;0,MAX(0,1-in_capacity*in_visit_every/C21),0)</f>
        <v/>
      </c>
      <c r="J21" s="49">
        <f>SUMPRODUCT('Sign-ups by age'!U$2:U$61,'Age profile'!E$2:E$61)</f>
        <v/>
      </c>
      <c r="K21" s="49">
        <f>SUMPRODUCT('Sign-ups by age'!U$2:U$61,'Age profile'!H$2:H$61)</f>
        <v/>
      </c>
      <c r="L21" s="44">
        <f>SUMIFS('Cohort x age'!$Q$2:$Q$1831,'Cohort x age'!$C$2:$C$1831,A21)</f>
        <v/>
      </c>
      <c r="M21" s="50">
        <f>SUMIFS('Cohort x age'!$L$2:$L$1831,'Cohort x age'!$C$2:$C$1831,A21)</f>
        <v/>
      </c>
      <c r="N21" s="50">
        <f>SUMIFS('Cohort x age'!$M$2:$M$1831,'Cohort x age'!$C$2:$C$1831,A21)</f>
        <v/>
      </c>
      <c r="O21" s="50">
        <f>SUMIFS('Cohort x age'!$N$2:$N$1831,'Cohort x age'!$C$2:$C$1831,A21)</f>
        <v/>
      </c>
      <c r="P21" s="50">
        <f>SUMIFS('Cohort x age'!$T$2:$T$1831,'Cohort x age'!$C$2:$C$1831,A21)</f>
        <v/>
      </c>
      <c r="Q21" s="49">
        <f>SUMIFS('Cohort x age'!$U$2:$U$1831,'Cohort x age'!$C$2:$C$1831,A21)</f>
        <v/>
      </c>
      <c r="R21" s="49">
        <f>SUMIFS('Cohort x age'!$V$2:$V$1831,'Cohort x age'!$C$2:$C$1831,A21)</f>
        <v/>
      </c>
      <c r="S21" s="44">
        <f>SUMIFS('Cohort x age'!$P$2:$P$1831,'Cohort x age'!$C$2:$C$1831,A21)</f>
        <v/>
      </c>
      <c r="T21" s="44">
        <f>SUMIFS('Cohort x age'!$R$2:$R$1831,'Cohort x age'!$C$2:$C$1831,A21)</f>
        <v/>
      </c>
      <c r="U21" s="50">
        <f>SUMIFS('Cohort x age'!$X$2:$X$1831,'Cohort x age'!$C$2:$C$1831,A21)</f>
        <v/>
      </c>
      <c r="V21" s="50">
        <f>SUMIFS('Cohort x age'!$Y$2:$Y$1831,'Cohort x age'!$C$2:$C$1831,A21)</f>
        <v/>
      </c>
      <c r="W21" s="50">
        <f>SUMIFS('Cohort x age'!$Z$2:$Z$1831,'Cohort x age'!$C$2:$C$1831,A21)</f>
        <v/>
      </c>
      <c r="X21" s="49">
        <f>SUMPRODUCT('Sign-ups by age'!U$2:U$61,'Age profile'!Q$2:Q$61)</f>
        <v/>
      </c>
      <c r="Y21" s="49">
        <f>SUMIFS('Cohort x age'!$AA$2:$AA$1831,'Cohort x age'!$C$2:$C$1831,A21)</f>
        <v/>
      </c>
      <c r="Z21" s="49">
        <f>SUMIFS('Cohort x age'!$AB$2:$AB$1831,'Cohort x age'!$C$2:$C$1831,A21)</f>
        <v/>
      </c>
      <c r="AA21" s="49">
        <f>SUMIFS('Cohort x age'!$AC$2:$AC$1831,'Cohort x age'!$C$2:$C$1831,A21)</f>
        <v/>
      </c>
      <c r="AB21" s="49">
        <f>SUMIFS('Cohort x age'!$AD$2:$AD$1831,'Cohort x age'!$C$2:$C$1831,A21)</f>
        <v/>
      </c>
      <c r="AC21" s="49">
        <f>SUMIFS('Cohort x age'!$AG$2:$AG$1831,'Cohort x age'!$C$2:$C$1831,A21)</f>
        <v/>
      </c>
      <c r="AD21" s="49">
        <f>SUMIFS('Cohort x age'!$AJ$2:$AJ$1831,'Cohort x age'!$C$2:$C$1831,A21)</f>
        <v/>
      </c>
      <c r="AE21" s="49">
        <f>SUMIFS('Cohort x age'!$AM$2:$AM$1831,'Cohort x age'!$C$2:$C$1831,A21)</f>
        <v/>
      </c>
      <c r="AF21" s="49">
        <f>SUMIFS('Cohort x age'!$AP$2:$AP$1831,'Cohort x age'!$C$2:$C$1831,A21)</f>
        <v/>
      </c>
      <c r="AG21" s="49">
        <f>SUMIFS('Cohort x age'!$AS$2:$AS$1831,'Cohort x age'!$C$2:$C$1831,A21)</f>
        <v/>
      </c>
      <c r="AH21" s="49">
        <f>SUMIFS('Cohort x age'!$AU$2:$AU$1831,'Cohort x age'!$C$2:$C$1831,A21)</f>
        <v/>
      </c>
      <c r="AI21" s="49">
        <f>SUMIFS('Cohort x age'!$AX$2:$AX$1831,'Cohort x age'!$C$2:$C$1831,A21)</f>
        <v/>
      </c>
      <c r="AJ21" s="49">
        <f>SUMIFS('Cohort x age'!$BB$2:$BB$1831,'Cohort x age'!$C$2:$C$1831,A21)</f>
        <v/>
      </c>
      <c r="AK21" s="49">
        <f>SUMIFS('Cohort x age'!$BE$2:$BE$1831,'Cohort x age'!$C$2:$C$1831,A21)</f>
        <v/>
      </c>
      <c r="AL21" s="49">
        <f>SUMIFS('Cohort x age'!$BG$2:$BG$1831,'Cohort x age'!$C$2:$C$1831,A21)</f>
        <v/>
      </c>
      <c r="AM21" s="49">
        <f>SUMIFS('Cohort x age'!$BJ$2:$BJ$1831,'Cohort x age'!$C$2:$C$1831,A21)</f>
        <v/>
      </c>
      <c r="AN21" s="49">
        <f>SUMIFS('Cohort x age'!$BL$2:$BL$1831,'Cohort x age'!$C$2:$C$1831,A21)</f>
        <v/>
      </c>
      <c r="AO21" s="49">
        <f>SUMIFS('Cohort x age'!$BO$2:$BO$1831,'Cohort x age'!$C$2:$C$1831,A21)</f>
        <v/>
      </c>
      <c r="AP21" s="49">
        <f>SUMIFS('Cohort x age'!$BR$2:$BR$1831,'Cohort x age'!$C$2:$C$1831,A21)</f>
        <v/>
      </c>
      <c r="AQ21" s="49">
        <f>SUMIFS('Cohort x age'!$BT$2:$BT$1831,'Cohort x age'!$C$2:$C$1831,A21)</f>
        <v/>
      </c>
      <c r="AR21" s="49">
        <f>SUMIFS('Cohort x age'!$BV$2:$BV$1831,'Cohort x age'!$C$2:$C$1831,A21)</f>
        <v/>
      </c>
      <c r="AS21" s="49">
        <f>SUMIFS('Cohort x age'!$BX$2:$BX$1831,'Cohort x age'!$C$2:$C$1831,A21)</f>
        <v/>
      </c>
      <c r="AT21" s="49">
        <f>SUMIFS('Cohort x age'!$CA$2:$CA$1831,'Cohort x age'!$C$2:$C$1831,A21)</f>
        <v/>
      </c>
      <c r="AU21" s="49">
        <f>SUMIFS('Cohort x age'!$CD$2:$CD$1831,'Cohort x age'!$C$2:$C$1831,A21)</f>
        <v/>
      </c>
      <c r="AV21" s="9">
        <f>SUM(X21:AS21)</f>
        <v/>
      </c>
      <c r="AW21" s="9">
        <f>in_salary</f>
        <v/>
      </c>
      <c r="AX21" s="9">
        <f>MAX(0,G21-in_capacity)*in_extra_capacity_cost/in_helper_visits</f>
        <v/>
      </c>
      <c r="AY21" s="49">
        <f>SUMPRODUCT('Sign-ups by age'!U$2:U$61,'Age profile'!R$2:R$61)</f>
        <v/>
      </c>
      <c r="AZ21" s="49">
        <f>SUMPRODUCT('Sign-ups by age'!U$2:U$61,'Age profile'!S$2:S$61)</f>
        <v/>
      </c>
      <c r="BA21" s="9">
        <f>in_cash_cover</f>
        <v/>
      </c>
      <c r="BB21" s="9">
        <f>IF(A21&lt;=in_growth_months,in_agent_balance_pay,in_agent_pay_after)/12*K21</f>
        <v/>
      </c>
      <c r="BC21" s="9">
        <f>AW21+AX21+AY21+AZ21+BA21+BB21</f>
        <v/>
      </c>
      <c r="BD21" s="9">
        <f>AV21-BC21</f>
        <v/>
      </c>
      <c r="BE21" s="40">
        <f>1/(1+d_dm)^A21</f>
        <v/>
      </c>
      <c r="BF21" s="9">
        <f>BD21*BE21</f>
        <v/>
      </c>
      <c r="BG21" s="9">
        <f>IF(A21=1,BF21,BG20+BF21)</f>
        <v/>
      </c>
      <c r="BH21" s="9">
        <f>IF(A21=1,BD21,BH20+BD21)</f>
        <v/>
      </c>
      <c r="BI21" s="39">
        <f>IF(AND(BH21&gt;=0,BI22=1),1,0)</f>
        <v/>
      </c>
      <c r="BJ21" s="39">
        <f>IF(BI21=1,A21,999)</f>
        <v/>
      </c>
      <c r="BK21" s="40">
        <f>1/(1+d_dm20)^A21</f>
        <v/>
      </c>
    </row>
    <row r="22">
      <c r="A22" s="39" t="n">
        <v>21</v>
      </c>
      <c r="B22" s="48">
        <f>MIN(in_signup_cap,in_signups_run*IF(in_ramp_months&gt;0,MIN(1,0.5+0.5*(A22-1)/in_ramp_months),1)*(1+in_signup_growth)^INT((A22-1)/12))</f>
        <v/>
      </c>
      <c r="C22" s="44">
        <f>SUMPRODUCT('Sign-ups by age'!V$2:V$61,'Age profile'!B$2:B$61)</f>
        <v/>
      </c>
      <c r="D22" s="44">
        <f>SUMPRODUCT('Sign-ups by age'!V$2:V$61,'Age profile'!C$2:C$61)</f>
        <v/>
      </c>
      <c r="E22" s="44">
        <f>SUMPRODUCT('Sign-ups by age'!V$2:V$61,'Age profile'!M$2:M$61)</f>
        <v/>
      </c>
      <c r="F22" s="44">
        <f>SUMPRODUCT('Sign-ups by age'!V$2:V$61,'Age profile'!K$2:K$61)</f>
        <v/>
      </c>
      <c r="G22" s="44">
        <f>SUMPRODUCT('Sign-ups by age'!V$2:V$61,'Age profile'!L$2:L$61)</f>
        <v/>
      </c>
      <c r="H22" s="11">
        <f>IF(C22&gt;0,1-F22/C22,0)</f>
        <v/>
      </c>
      <c r="I22" s="11">
        <f>IF(C22&gt;0,MAX(0,1-in_capacity*in_visit_every/C22),0)</f>
        <v/>
      </c>
      <c r="J22" s="49">
        <f>SUMPRODUCT('Sign-ups by age'!V$2:V$61,'Age profile'!E$2:E$61)</f>
        <v/>
      </c>
      <c r="K22" s="49">
        <f>SUMPRODUCT('Sign-ups by age'!V$2:V$61,'Age profile'!H$2:H$61)</f>
        <v/>
      </c>
      <c r="L22" s="44">
        <f>SUMIFS('Cohort x age'!$Q$2:$Q$1831,'Cohort x age'!$C$2:$C$1831,A22)</f>
        <v/>
      </c>
      <c r="M22" s="50">
        <f>SUMIFS('Cohort x age'!$L$2:$L$1831,'Cohort x age'!$C$2:$C$1831,A22)</f>
        <v/>
      </c>
      <c r="N22" s="50">
        <f>SUMIFS('Cohort x age'!$M$2:$M$1831,'Cohort x age'!$C$2:$C$1831,A22)</f>
        <v/>
      </c>
      <c r="O22" s="50">
        <f>SUMIFS('Cohort x age'!$N$2:$N$1831,'Cohort x age'!$C$2:$C$1831,A22)</f>
        <v/>
      </c>
      <c r="P22" s="50">
        <f>SUMIFS('Cohort x age'!$T$2:$T$1831,'Cohort x age'!$C$2:$C$1831,A22)</f>
        <v/>
      </c>
      <c r="Q22" s="49">
        <f>SUMIFS('Cohort x age'!$U$2:$U$1831,'Cohort x age'!$C$2:$C$1831,A22)</f>
        <v/>
      </c>
      <c r="R22" s="49">
        <f>SUMIFS('Cohort x age'!$V$2:$V$1831,'Cohort x age'!$C$2:$C$1831,A22)</f>
        <v/>
      </c>
      <c r="S22" s="44">
        <f>SUMIFS('Cohort x age'!$P$2:$P$1831,'Cohort x age'!$C$2:$C$1831,A22)</f>
        <v/>
      </c>
      <c r="T22" s="44">
        <f>SUMIFS('Cohort x age'!$R$2:$R$1831,'Cohort x age'!$C$2:$C$1831,A22)</f>
        <v/>
      </c>
      <c r="U22" s="50">
        <f>SUMIFS('Cohort x age'!$X$2:$X$1831,'Cohort x age'!$C$2:$C$1831,A22)</f>
        <v/>
      </c>
      <c r="V22" s="50">
        <f>SUMIFS('Cohort x age'!$Y$2:$Y$1831,'Cohort x age'!$C$2:$C$1831,A22)</f>
        <v/>
      </c>
      <c r="W22" s="50">
        <f>SUMIFS('Cohort x age'!$Z$2:$Z$1831,'Cohort x age'!$C$2:$C$1831,A22)</f>
        <v/>
      </c>
      <c r="X22" s="49">
        <f>SUMPRODUCT('Sign-ups by age'!V$2:V$61,'Age profile'!Q$2:Q$61)</f>
        <v/>
      </c>
      <c r="Y22" s="49">
        <f>SUMIFS('Cohort x age'!$AA$2:$AA$1831,'Cohort x age'!$C$2:$C$1831,A22)</f>
        <v/>
      </c>
      <c r="Z22" s="49">
        <f>SUMIFS('Cohort x age'!$AB$2:$AB$1831,'Cohort x age'!$C$2:$C$1831,A22)</f>
        <v/>
      </c>
      <c r="AA22" s="49">
        <f>SUMIFS('Cohort x age'!$AC$2:$AC$1831,'Cohort x age'!$C$2:$C$1831,A22)</f>
        <v/>
      </c>
      <c r="AB22" s="49">
        <f>SUMIFS('Cohort x age'!$AD$2:$AD$1831,'Cohort x age'!$C$2:$C$1831,A22)</f>
        <v/>
      </c>
      <c r="AC22" s="49">
        <f>SUMIFS('Cohort x age'!$AG$2:$AG$1831,'Cohort x age'!$C$2:$C$1831,A22)</f>
        <v/>
      </c>
      <c r="AD22" s="49">
        <f>SUMIFS('Cohort x age'!$AJ$2:$AJ$1831,'Cohort x age'!$C$2:$C$1831,A22)</f>
        <v/>
      </c>
      <c r="AE22" s="49">
        <f>SUMIFS('Cohort x age'!$AM$2:$AM$1831,'Cohort x age'!$C$2:$C$1831,A22)</f>
        <v/>
      </c>
      <c r="AF22" s="49">
        <f>SUMIFS('Cohort x age'!$AP$2:$AP$1831,'Cohort x age'!$C$2:$C$1831,A22)</f>
        <v/>
      </c>
      <c r="AG22" s="49">
        <f>SUMIFS('Cohort x age'!$AS$2:$AS$1831,'Cohort x age'!$C$2:$C$1831,A22)</f>
        <v/>
      </c>
      <c r="AH22" s="49">
        <f>SUMIFS('Cohort x age'!$AU$2:$AU$1831,'Cohort x age'!$C$2:$C$1831,A22)</f>
        <v/>
      </c>
      <c r="AI22" s="49">
        <f>SUMIFS('Cohort x age'!$AX$2:$AX$1831,'Cohort x age'!$C$2:$C$1831,A22)</f>
        <v/>
      </c>
      <c r="AJ22" s="49">
        <f>SUMIFS('Cohort x age'!$BB$2:$BB$1831,'Cohort x age'!$C$2:$C$1831,A22)</f>
        <v/>
      </c>
      <c r="AK22" s="49">
        <f>SUMIFS('Cohort x age'!$BE$2:$BE$1831,'Cohort x age'!$C$2:$C$1831,A22)</f>
        <v/>
      </c>
      <c r="AL22" s="49">
        <f>SUMIFS('Cohort x age'!$BG$2:$BG$1831,'Cohort x age'!$C$2:$C$1831,A22)</f>
        <v/>
      </c>
      <c r="AM22" s="49">
        <f>SUMIFS('Cohort x age'!$BJ$2:$BJ$1831,'Cohort x age'!$C$2:$C$1831,A22)</f>
        <v/>
      </c>
      <c r="AN22" s="49">
        <f>SUMIFS('Cohort x age'!$BL$2:$BL$1831,'Cohort x age'!$C$2:$C$1831,A22)</f>
        <v/>
      </c>
      <c r="AO22" s="49">
        <f>SUMIFS('Cohort x age'!$BO$2:$BO$1831,'Cohort x age'!$C$2:$C$1831,A22)</f>
        <v/>
      </c>
      <c r="AP22" s="49">
        <f>SUMIFS('Cohort x age'!$BR$2:$BR$1831,'Cohort x age'!$C$2:$C$1831,A22)</f>
        <v/>
      </c>
      <c r="AQ22" s="49">
        <f>SUMIFS('Cohort x age'!$BT$2:$BT$1831,'Cohort x age'!$C$2:$C$1831,A22)</f>
        <v/>
      </c>
      <c r="AR22" s="49">
        <f>SUMIFS('Cohort x age'!$BV$2:$BV$1831,'Cohort x age'!$C$2:$C$1831,A22)</f>
        <v/>
      </c>
      <c r="AS22" s="49">
        <f>SUMIFS('Cohort x age'!$BX$2:$BX$1831,'Cohort x age'!$C$2:$C$1831,A22)</f>
        <v/>
      </c>
      <c r="AT22" s="49">
        <f>SUMIFS('Cohort x age'!$CA$2:$CA$1831,'Cohort x age'!$C$2:$C$1831,A22)</f>
        <v/>
      </c>
      <c r="AU22" s="49">
        <f>SUMIFS('Cohort x age'!$CD$2:$CD$1831,'Cohort x age'!$C$2:$C$1831,A22)</f>
        <v/>
      </c>
      <c r="AV22" s="9">
        <f>SUM(X22:AS22)</f>
        <v/>
      </c>
      <c r="AW22" s="9">
        <f>in_salary</f>
        <v/>
      </c>
      <c r="AX22" s="9">
        <f>MAX(0,G22-in_capacity)*in_extra_capacity_cost/in_helper_visits</f>
        <v/>
      </c>
      <c r="AY22" s="49">
        <f>SUMPRODUCT('Sign-ups by age'!V$2:V$61,'Age profile'!R$2:R$61)</f>
        <v/>
      </c>
      <c r="AZ22" s="49">
        <f>SUMPRODUCT('Sign-ups by age'!V$2:V$61,'Age profile'!S$2:S$61)</f>
        <v/>
      </c>
      <c r="BA22" s="9">
        <f>in_cash_cover</f>
        <v/>
      </c>
      <c r="BB22" s="9">
        <f>IF(A22&lt;=in_growth_months,in_agent_balance_pay,in_agent_pay_after)/12*K22</f>
        <v/>
      </c>
      <c r="BC22" s="9">
        <f>AW22+AX22+AY22+AZ22+BA22+BB22</f>
        <v/>
      </c>
      <c r="BD22" s="9">
        <f>AV22-BC22</f>
        <v/>
      </c>
      <c r="BE22" s="40">
        <f>1/(1+d_dm)^A22</f>
        <v/>
      </c>
      <c r="BF22" s="9">
        <f>BD22*BE22</f>
        <v/>
      </c>
      <c r="BG22" s="9">
        <f>IF(A22=1,BF22,BG21+BF22)</f>
        <v/>
      </c>
      <c r="BH22" s="9">
        <f>IF(A22=1,BD22,BH21+BD22)</f>
        <v/>
      </c>
      <c r="BI22" s="39">
        <f>IF(AND(BH22&gt;=0,BI23=1),1,0)</f>
        <v/>
      </c>
      <c r="BJ22" s="39">
        <f>IF(BI22=1,A22,999)</f>
        <v/>
      </c>
      <c r="BK22" s="40">
        <f>1/(1+d_dm20)^A22</f>
        <v/>
      </c>
    </row>
    <row r="23">
      <c r="A23" s="39" t="n">
        <v>22</v>
      </c>
      <c r="B23" s="48">
        <f>MIN(in_signup_cap,in_signups_run*IF(in_ramp_months&gt;0,MIN(1,0.5+0.5*(A23-1)/in_ramp_months),1)*(1+in_signup_growth)^INT((A23-1)/12))</f>
        <v/>
      </c>
      <c r="C23" s="44">
        <f>SUMPRODUCT('Sign-ups by age'!W$2:W$61,'Age profile'!B$2:B$61)</f>
        <v/>
      </c>
      <c r="D23" s="44">
        <f>SUMPRODUCT('Sign-ups by age'!W$2:W$61,'Age profile'!C$2:C$61)</f>
        <v/>
      </c>
      <c r="E23" s="44">
        <f>SUMPRODUCT('Sign-ups by age'!W$2:W$61,'Age profile'!M$2:M$61)</f>
        <v/>
      </c>
      <c r="F23" s="44">
        <f>SUMPRODUCT('Sign-ups by age'!W$2:W$61,'Age profile'!K$2:K$61)</f>
        <v/>
      </c>
      <c r="G23" s="44">
        <f>SUMPRODUCT('Sign-ups by age'!W$2:W$61,'Age profile'!L$2:L$61)</f>
        <v/>
      </c>
      <c r="H23" s="11">
        <f>IF(C23&gt;0,1-F23/C23,0)</f>
        <v/>
      </c>
      <c r="I23" s="11">
        <f>IF(C23&gt;0,MAX(0,1-in_capacity*in_visit_every/C23),0)</f>
        <v/>
      </c>
      <c r="J23" s="49">
        <f>SUMPRODUCT('Sign-ups by age'!W$2:W$61,'Age profile'!E$2:E$61)</f>
        <v/>
      </c>
      <c r="K23" s="49">
        <f>SUMPRODUCT('Sign-ups by age'!W$2:W$61,'Age profile'!H$2:H$61)</f>
        <v/>
      </c>
      <c r="L23" s="44">
        <f>SUMIFS('Cohort x age'!$Q$2:$Q$1831,'Cohort x age'!$C$2:$C$1831,A23)</f>
        <v/>
      </c>
      <c r="M23" s="50">
        <f>SUMIFS('Cohort x age'!$L$2:$L$1831,'Cohort x age'!$C$2:$C$1831,A23)</f>
        <v/>
      </c>
      <c r="N23" s="50">
        <f>SUMIFS('Cohort x age'!$M$2:$M$1831,'Cohort x age'!$C$2:$C$1831,A23)</f>
        <v/>
      </c>
      <c r="O23" s="50">
        <f>SUMIFS('Cohort x age'!$N$2:$N$1831,'Cohort x age'!$C$2:$C$1831,A23)</f>
        <v/>
      </c>
      <c r="P23" s="50">
        <f>SUMIFS('Cohort x age'!$T$2:$T$1831,'Cohort x age'!$C$2:$C$1831,A23)</f>
        <v/>
      </c>
      <c r="Q23" s="49">
        <f>SUMIFS('Cohort x age'!$U$2:$U$1831,'Cohort x age'!$C$2:$C$1831,A23)</f>
        <v/>
      </c>
      <c r="R23" s="49">
        <f>SUMIFS('Cohort x age'!$V$2:$V$1831,'Cohort x age'!$C$2:$C$1831,A23)</f>
        <v/>
      </c>
      <c r="S23" s="44">
        <f>SUMIFS('Cohort x age'!$P$2:$P$1831,'Cohort x age'!$C$2:$C$1831,A23)</f>
        <v/>
      </c>
      <c r="T23" s="44">
        <f>SUMIFS('Cohort x age'!$R$2:$R$1831,'Cohort x age'!$C$2:$C$1831,A23)</f>
        <v/>
      </c>
      <c r="U23" s="50">
        <f>SUMIFS('Cohort x age'!$X$2:$X$1831,'Cohort x age'!$C$2:$C$1831,A23)</f>
        <v/>
      </c>
      <c r="V23" s="50">
        <f>SUMIFS('Cohort x age'!$Y$2:$Y$1831,'Cohort x age'!$C$2:$C$1831,A23)</f>
        <v/>
      </c>
      <c r="W23" s="50">
        <f>SUMIFS('Cohort x age'!$Z$2:$Z$1831,'Cohort x age'!$C$2:$C$1831,A23)</f>
        <v/>
      </c>
      <c r="X23" s="49">
        <f>SUMPRODUCT('Sign-ups by age'!W$2:W$61,'Age profile'!Q$2:Q$61)</f>
        <v/>
      </c>
      <c r="Y23" s="49">
        <f>SUMIFS('Cohort x age'!$AA$2:$AA$1831,'Cohort x age'!$C$2:$C$1831,A23)</f>
        <v/>
      </c>
      <c r="Z23" s="49">
        <f>SUMIFS('Cohort x age'!$AB$2:$AB$1831,'Cohort x age'!$C$2:$C$1831,A23)</f>
        <v/>
      </c>
      <c r="AA23" s="49">
        <f>SUMIFS('Cohort x age'!$AC$2:$AC$1831,'Cohort x age'!$C$2:$C$1831,A23)</f>
        <v/>
      </c>
      <c r="AB23" s="49">
        <f>SUMIFS('Cohort x age'!$AD$2:$AD$1831,'Cohort x age'!$C$2:$C$1831,A23)</f>
        <v/>
      </c>
      <c r="AC23" s="49">
        <f>SUMIFS('Cohort x age'!$AG$2:$AG$1831,'Cohort x age'!$C$2:$C$1831,A23)</f>
        <v/>
      </c>
      <c r="AD23" s="49">
        <f>SUMIFS('Cohort x age'!$AJ$2:$AJ$1831,'Cohort x age'!$C$2:$C$1831,A23)</f>
        <v/>
      </c>
      <c r="AE23" s="49">
        <f>SUMIFS('Cohort x age'!$AM$2:$AM$1831,'Cohort x age'!$C$2:$C$1831,A23)</f>
        <v/>
      </c>
      <c r="AF23" s="49">
        <f>SUMIFS('Cohort x age'!$AP$2:$AP$1831,'Cohort x age'!$C$2:$C$1831,A23)</f>
        <v/>
      </c>
      <c r="AG23" s="49">
        <f>SUMIFS('Cohort x age'!$AS$2:$AS$1831,'Cohort x age'!$C$2:$C$1831,A23)</f>
        <v/>
      </c>
      <c r="AH23" s="49">
        <f>SUMIFS('Cohort x age'!$AU$2:$AU$1831,'Cohort x age'!$C$2:$C$1831,A23)</f>
        <v/>
      </c>
      <c r="AI23" s="49">
        <f>SUMIFS('Cohort x age'!$AX$2:$AX$1831,'Cohort x age'!$C$2:$C$1831,A23)</f>
        <v/>
      </c>
      <c r="AJ23" s="49">
        <f>SUMIFS('Cohort x age'!$BB$2:$BB$1831,'Cohort x age'!$C$2:$C$1831,A23)</f>
        <v/>
      </c>
      <c r="AK23" s="49">
        <f>SUMIFS('Cohort x age'!$BE$2:$BE$1831,'Cohort x age'!$C$2:$C$1831,A23)</f>
        <v/>
      </c>
      <c r="AL23" s="49">
        <f>SUMIFS('Cohort x age'!$BG$2:$BG$1831,'Cohort x age'!$C$2:$C$1831,A23)</f>
        <v/>
      </c>
      <c r="AM23" s="49">
        <f>SUMIFS('Cohort x age'!$BJ$2:$BJ$1831,'Cohort x age'!$C$2:$C$1831,A23)</f>
        <v/>
      </c>
      <c r="AN23" s="49">
        <f>SUMIFS('Cohort x age'!$BL$2:$BL$1831,'Cohort x age'!$C$2:$C$1831,A23)</f>
        <v/>
      </c>
      <c r="AO23" s="49">
        <f>SUMIFS('Cohort x age'!$BO$2:$BO$1831,'Cohort x age'!$C$2:$C$1831,A23)</f>
        <v/>
      </c>
      <c r="AP23" s="49">
        <f>SUMIFS('Cohort x age'!$BR$2:$BR$1831,'Cohort x age'!$C$2:$C$1831,A23)</f>
        <v/>
      </c>
      <c r="AQ23" s="49">
        <f>SUMIFS('Cohort x age'!$BT$2:$BT$1831,'Cohort x age'!$C$2:$C$1831,A23)</f>
        <v/>
      </c>
      <c r="AR23" s="49">
        <f>SUMIFS('Cohort x age'!$BV$2:$BV$1831,'Cohort x age'!$C$2:$C$1831,A23)</f>
        <v/>
      </c>
      <c r="AS23" s="49">
        <f>SUMIFS('Cohort x age'!$BX$2:$BX$1831,'Cohort x age'!$C$2:$C$1831,A23)</f>
        <v/>
      </c>
      <c r="AT23" s="49">
        <f>SUMIFS('Cohort x age'!$CA$2:$CA$1831,'Cohort x age'!$C$2:$C$1831,A23)</f>
        <v/>
      </c>
      <c r="AU23" s="49">
        <f>SUMIFS('Cohort x age'!$CD$2:$CD$1831,'Cohort x age'!$C$2:$C$1831,A23)</f>
        <v/>
      </c>
      <c r="AV23" s="9">
        <f>SUM(X23:AS23)</f>
        <v/>
      </c>
      <c r="AW23" s="9">
        <f>in_salary</f>
        <v/>
      </c>
      <c r="AX23" s="9">
        <f>MAX(0,G23-in_capacity)*in_extra_capacity_cost/in_helper_visits</f>
        <v/>
      </c>
      <c r="AY23" s="49">
        <f>SUMPRODUCT('Sign-ups by age'!W$2:W$61,'Age profile'!R$2:R$61)</f>
        <v/>
      </c>
      <c r="AZ23" s="49">
        <f>SUMPRODUCT('Sign-ups by age'!W$2:W$61,'Age profile'!S$2:S$61)</f>
        <v/>
      </c>
      <c r="BA23" s="9">
        <f>in_cash_cover</f>
        <v/>
      </c>
      <c r="BB23" s="9">
        <f>IF(A23&lt;=in_growth_months,in_agent_balance_pay,in_agent_pay_after)/12*K23</f>
        <v/>
      </c>
      <c r="BC23" s="9">
        <f>AW23+AX23+AY23+AZ23+BA23+BB23</f>
        <v/>
      </c>
      <c r="BD23" s="9">
        <f>AV23-BC23</f>
        <v/>
      </c>
      <c r="BE23" s="40">
        <f>1/(1+d_dm)^A23</f>
        <v/>
      </c>
      <c r="BF23" s="9">
        <f>BD23*BE23</f>
        <v/>
      </c>
      <c r="BG23" s="9">
        <f>IF(A23=1,BF23,BG22+BF23)</f>
        <v/>
      </c>
      <c r="BH23" s="9">
        <f>IF(A23=1,BD23,BH22+BD23)</f>
        <v/>
      </c>
      <c r="BI23" s="39">
        <f>IF(AND(BH23&gt;=0,BI24=1),1,0)</f>
        <v/>
      </c>
      <c r="BJ23" s="39">
        <f>IF(BI23=1,A23,999)</f>
        <v/>
      </c>
      <c r="BK23" s="40">
        <f>1/(1+d_dm20)^A23</f>
        <v/>
      </c>
    </row>
    <row r="24">
      <c r="A24" s="39" t="n">
        <v>23</v>
      </c>
      <c r="B24" s="48">
        <f>MIN(in_signup_cap,in_signups_run*IF(in_ramp_months&gt;0,MIN(1,0.5+0.5*(A24-1)/in_ramp_months),1)*(1+in_signup_growth)^INT((A24-1)/12))</f>
        <v/>
      </c>
      <c r="C24" s="44">
        <f>SUMPRODUCT('Sign-ups by age'!X$2:X$61,'Age profile'!B$2:B$61)</f>
        <v/>
      </c>
      <c r="D24" s="44">
        <f>SUMPRODUCT('Sign-ups by age'!X$2:X$61,'Age profile'!C$2:C$61)</f>
        <v/>
      </c>
      <c r="E24" s="44">
        <f>SUMPRODUCT('Sign-ups by age'!X$2:X$61,'Age profile'!M$2:M$61)</f>
        <v/>
      </c>
      <c r="F24" s="44">
        <f>SUMPRODUCT('Sign-ups by age'!X$2:X$61,'Age profile'!K$2:K$61)</f>
        <v/>
      </c>
      <c r="G24" s="44">
        <f>SUMPRODUCT('Sign-ups by age'!X$2:X$61,'Age profile'!L$2:L$61)</f>
        <v/>
      </c>
      <c r="H24" s="11">
        <f>IF(C24&gt;0,1-F24/C24,0)</f>
        <v/>
      </c>
      <c r="I24" s="11">
        <f>IF(C24&gt;0,MAX(0,1-in_capacity*in_visit_every/C24),0)</f>
        <v/>
      </c>
      <c r="J24" s="49">
        <f>SUMPRODUCT('Sign-ups by age'!X$2:X$61,'Age profile'!E$2:E$61)</f>
        <v/>
      </c>
      <c r="K24" s="49">
        <f>SUMPRODUCT('Sign-ups by age'!X$2:X$61,'Age profile'!H$2:H$61)</f>
        <v/>
      </c>
      <c r="L24" s="44">
        <f>SUMIFS('Cohort x age'!$Q$2:$Q$1831,'Cohort x age'!$C$2:$C$1831,A24)</f>
        <v/>
      </c>
      <c r="M24" s="50">
        <f>SUMIFS('Cohort x age'!$L$2:$L$1831,'Cohort x age'!$C$2:$C$1831,A24)</f>
        <v/>
      </c>
      <c r="N24" s="50">
        <f>SUMIFS('Cohort x age'!$M$2:$M$1831,'Cohort x age'!$C$2:$C$1831,A24)</f>
        <v/>
      </c>
      <c r="O24" s="50">
        <f>SUMIFS('Cohort x age'!$N$2:$N$1831,'Cohort x age'!$C$2:$C$1831,A24)</f>
        <v/>
      </c>
      <c r="P24" s="50">
        <f>SUMIFS('Cohort x age'!$T$2:$T$1831,'Cohort x age'!$C$2:$C$1831,A24)</f>
        <v/>
      </c>
      <c r="Q24" s="49">
        <f>SUMIFS('Cohort x age'!$U$2:$U$1831,'Cohort x age'!$C$2:$C$1831,A24)</f>
        <v/>
      </c>
      <c r="R24" s="49">
        <f>SUMIFS('Cohort x age'!$V$2:$V$1831,'Cohort x age'!$C$2:$C$1831,A24)</f>
        <v/>
      </c>
      <c r="S24" s="44">
        <f>SUMIFS('Cohort x age'!$P$2:$P$1831,'Cohort x age'!$C$2:$C$1831,A24)</f>
        <v/>
      </c>
      <c r="T24" s="44">
        <f>SUMIFS('Cohort x age'!$R$2:$R$1831,'Cohort x age'!$C$2:$C$1831,A24)</f>
        <v/>
      </c>
      <c r="U24" s="50">
        <f>SUMIFS('Cohort x age'!$X$2:$X$1831,'Cohort x age'!$C$2:$C$1831,A24)</f>
        <v/>
      </c>
      <c r="V24" s="50">
        <f>SUMIFS('Cohort x age'!$Y$2:$Y$1831,'Cohort x age'!$C$2:$C$1831,A24)</f>
        <v/>
      </c>
      <c r="W24" s="50">
        <f>SUMIFS('Cohort x age'!$Z$2:$Z$1831,'Cohort x age'!$C$2:$C$1831,A24)</f>
        <v/>
      </c>
      <c r="X24" s="49">
        <f>SUMPRODUCT('Sign-ups by age'!X$2:X$61,'Age profile'!Q$2:Q$61)</f>
        <v/>
      </c>
      <c r="Y24" s="49">
        <f>SUMIFS('Cohort x age'!$AA$2:$AA$1831,'Cohort x age'!$C$2:$C$1831,A24)</f>
        <v/>
      </c>
      <c r="Z24" s="49">
        <f>SUMIFS('Cohort x age'!$AB$2:$AB$1831,'Cohort x age'!$C$2:$C$1831,A24)</f>
        <v/>
      </c>
      <c r="AA24" s="49">
        <f>SUMIFS('Cohort x age'!$AC$2:$AC$1831,'Cohort x age'!$C$2:$C$1831,A24)</f>
        <v/>
      </c>
      <c r="AB24" s="49">
        <f>SUMIFS('Cohort x age'!$AD$2:$AD$1831,'Cohort x age'!$C$2:$C$1831,A24)</f>
        <v/>
      </c>
      <c r="AC24" s="49">
        <f>SUMIFS('Cohort x age'!$AG$2:$AG$1831,'Cohort x age'!$C$2:$C$1831,A24)</f>
        <v/>
      </c>
      <c r="AD24" s="49">
        <f>SUMIFS('Cohort x age'!$AJ$2:$AJ$1831,'Cohort x age'!$C$2:$C$1831,A24)</f>
        <v/>
      </c>
      <c r="AE24" s="49">
        <f>SUMIFS('Cohort x age'!$AM$2:$AM$1831,'Cohort x age'!$C$2:$C$1831,A24)</f>
        <v/>
      </c>
      <c r="AF24" s="49">
        <f>SUMIFS('Cohort x age'!$AP$2:$AP$1831,'Cohort x age'!$C$2:$C$1831,A24)</f>
        <v/>
      </c>
      <c r="AG24" s="49">
        <f>SUMIFS('Cohort x age'!$AS$2:$AS$1831,'Cohort x age'!$C$2:$C$1831,A24)</f>
        <v/>
      </c>
      <c r="AH24" s="49">
        <f>SUMIFS('Cohort x age'!$AU$2:$AU$1831,'Cohort x age'!$C$2:$C$1831,A24)</f>
        <v/>
      </c>
      <c r="AI24" s="49">
        <f>SUMIFS('Cohort x age'!$AX$2:$AX$1831,'Cohort x age'!$C$2:$C$1831,A24)</f>
        <v/>
      </c>
      <c r="AJ24" s="49">
        <f>SUMIFS('Cohort x age'!$BB$2:$BB$1831,'Cohort x age'!$C$2:$C$1831,A24)</f>
        <v/>
      </c>
      <c r="AK24" s="49">
        <f>SUMIFS('Cohort x age'!$BE$2:$BE$1831,'Cohort x age'!$C$2:$C$1831,A24)</f>
        <v/>
      </c>
      <c r="AL24" s="49">
        <f>SUMIFS('Cohort x age'!$BG$2:$BG$1831,'Cohort x age'!$C$2:$C$1831,A24)</f>
        <v/>
      </c>
      <c r="AM24" s="49">
        <f>SUMIFS('Cohort x age'!$BJ$2:$BJ$1831,'Cohort x age'!$C$2:$C$1831,A24)</f>
        <v/>
      </c>
      <c r="AN24" s="49">
        <f>SUMIFS('Cohort x age'!$BL$2:$BL$1831,'Cohort x age'!$C$2:$C$1831,A24)</f>
        <v/>
      </c>
      <c r="AO24" s="49">
        <f>SUMIFS('Cohort x age'!$BO$2:$BO$1831,'Cohort x age'!$C$2:$C$1831,A24)</f>
        <v/>
      </c>
      <c r="AP24" s="49">
        <f>SUMIFS('Cohort x age'!$BR$2:$BR$1831,'Cohort x age'!$C$2:$C$1831,A24)</f>
        <v/>
      </c>
      <c r="AQ24" s="49">
        <f>SUMIFS('Cohort x age'!$BT$2:$BT$1831,'Cohort x age'!$C$2:$C$1831,A24)</f>
        <v/>
      </c>
      <c r="AR24" s="49">
        <f>SUMIFS('Cohort x age'!$BV$2:$BV$1831,'Cohort x age'!$C$2:$C$1831,A24)</f>
        <v/>
      </c>
      <c r="AS24" s="49">
        <f>SUMIFS('Cohort x age'!$BX$2:$BX$1831,'Cohort x age'!$C$2:$C$1831,A24)</f>
        <v/>
      </c>
      <c r="AT24" s="49">
        <f>SUMIFS('Cohort x age'!$CA$2:$CA$1831,'Cohort x age'!$C$2:$C$1831,A24)</f>
        <v/>
      </c>
      <c r="AU24" s="49">
        <f>SUMIFS('Cohort x age'!$CD$2:$CD$1831,'Cohort x age'!$C$2:$C$1831,A24)</f>
        <v/>
      </c>
      <c r="AV24" s="9">
        <f>SUM(X24:AS24)</f>
        <v/>
      </c>
      <c r="AW24" s="9">
        <f>in_salary</f>
        <v/>
      </c>
      <c r="AX24" s="9">
        <f>MAX(0,G24-in_capacity)*in_extra_capacity_cost/in_helper_visits</f>
        <v/>
      </c>
      <c r="AY24" s="49">
        <f>SUMPRODUCT('Sign-ups by age'!X$2:X$61,'Age profile'!R$2:R$61)</f>
        <v/>
      </c>
      <c r="AZ24" s="49">
        <f>SUMPRODUCT('Sign-ups by age'!X$2:X$61,'Age profile'!S$2:S$61)</f>
        <v/>
      </c>
      <c r="BA24" s="9">
        <f>in_cash_cover</f>
        <v/>
      </c>
      <c r="BB24" s="9">
        <f>IF(A24&lt;=in_growth_months,in_agent_balance_pay,in_agent_pay_after)/12*K24</f>
        <v/>
      </c>
      <c r="BC24" s="9">
        <f>AW24+AX24+AY24+AZ24+BA24+BB24</f>
        <v/>
      </c>
      <c r="BD24" s="9">
        <f>AV24-BC24</f>
        <v/>
      </c>
      <c r="BE24" s="40">
        <f>1/(1+d_dm)^A24</f>
        <v/>
      </c>
      <c r="BF24" s="9">
        <f>BD24*BE24</f>
        <v/>
      </c>
      <c r="BG24" s="9">
        <f>IF(A24=1,BF24,BG23+BF24)</f>
        <v/>
      </c>
      <c r="BH24" s="9">
        <f>IF(A24=1,BD24,BH23+BD24)</f>
        <v/>
      </c>
      <c r="BI24" s="39">
        <f>IF(AND(BH24&gt;=0,BI25=1),1,0)</f>
        <v/>
      </c>
      <c r="BJ24" s="39">
        <f>IF(BI24=1,A24,999)</f>
        <v/>
      </c>
      <c r="BK24" s="40">
        <f>1/(1+d_dm20)^A24</f>
        <v/>
      </c>
    </row>
    <row r="25">
      <c r="A25" s="39" t="n">
        <v>24</v>
      </c>
      <c r="B25" s="48">
        <f>MIN(in_signup_cap,in_signups_run*IF(in_ramp_months&gt;0,MIN(1,0.5+0.5*(A25-1)/in_ramp_months),1)*(1+in_signup_growth)^INT((A25-1)/12))</f>
        <v/>
      </c>
      <c r="C25" s="44">
        <f>SUMPRODUCT('Sign-ups by age'!Y$2:Y$61,'Age profile'!B$2:B$61)</f>
        <v/>
      </c>
      <c r="D25" s="44">
        <f>SUMPRODUCT('Sign-ups by age'!Y$2:Y$61,'Age profile'!C$2:C$61)</f>
        <v/>
      </c>
      <c r="E25" s="44">
        <f>SUMPRODUCT('Sign-ups by age'!Y$2:Y$61,'Age profile'!M$2:M$61)</f>
        <v/>
      </c>
      <c r="F25" s="44">
        <f>SUMPRODUCT('Sign-ups by age'!Y$2:Y$61,'Age profile'!K$2:K$61)</f>
        <v/>
      </c>
      <c r="G25" s="44">
        <f>SUMPRODUCT('Sign-ups by age'!Y$2:Y$61,'Age profile'!L$2:L$61)</f>
        <v/>
      </c>
      <c r="H25" s="11">
        <f>IF(C25&gt;0,1-F25/C25,0)</f>
        <v/>
      </c>
      <c r="I25" s="11">
        <f>IF(C25&gt;0,MAX(0,1-in_capacity*in_visit_every/C25),0)</f>
        <v/>
      </c>
      <c r="J25" s="49">
        <f>SUMPRODUCT('Sign-ups by age'!Y$2:Y$61,'Age profile'!E$2:E$61)</f>
        <v/>
      </c>
      <c r="K25" s="49">
        <f>SUMPRODUCT('Sign-ups by age'!Y$2:Y$61,'Age profile'!H$2:H$61)</f>
        <v/>
      </c>
      <c r="L25" s="44">
        <f>SUMIFS('Cohort x age'!$Q$2:$Q$1831,'Cohort x age'!$C$2:$C$1831,A25)</f>
        <v/>
      </c>
      <c r="M25" s="50">
        <f>SUMIFS('Cohort x age'!$L$2:$L$1831,'Cohort x age'!$C$2:$C$1831,A25)</f>
        <v/>
      </c>
      <c r="N25" s="50">
        <f>SUMIFS('Cohort x age'!$M$2:$M$1831,'Cohort x age'!$C$2:$C$1831,A25)</f>
        <v/>
      </c>
      <c r="O25" s="50">
        <f>SUMIFS('Cohort x age'!$N$2:$N$1831,'Cohort x age'!$C$2:$C$1831,A25)</f>
        <v/>
      </c>
      <c r="P25" s="50">
        <f>SUMIFS('Cohort x age'!$T$2:$T$1831,'Cohort x age'!$C$2:$C$1831,A25)</f>
        <v/>
      </c>
      <c r="Q25" s="49">
        <f>SUMIFS('Cohort x age'!$U$2:$U$1831,'Cohort x age'!$C$2:$C$1831,A25)</f>
        <v/>
      </c>
      <c r="R25" s="49">
        <f>SUMIFS('Cohort x age'!$V$2:$V$1831,'Cohort x age'!$C$2:$C$1831,A25)</f>
        <v/>
      </c>
      <c r="S25" s="44">
        <f>SUMIFS('Cohort x age'!$P$2:$P$1831,'Cohort x age'!$C$2:$C$1831,A25)</f>
        <v/>
      </c>
      <c r="T25" s="44">
        <f>SUMIFS('Cohort x age'!$R$2:$R$1831,'Cohort x age'!$C$2:$C$1831,A25)</f>
        <v/>
      </c>
      <c r="U25" s="50">
        <f>SUMIFS('Cohort x age'!$X$2:$X$1831,'Cohort x age'!$C$2:$C$1831,A25)</f>
        <v/>
      </c>
      <c r="V25" s="50">
        <f>SUMIFS('Cohort x age'!$Y$2:$Y$1831,'Cohort x age'!$C$2:$C$1831,A25)</f>
        <v/>
      </c>
      <c r="W25" s="50">
        <f>SUMIFS('Cohort x age'!$Z$2:$Z$1831,'Cohort x age'!$C$2:$C$1831,A25)</f>
        <v/>
      </c>
      <c r="X25" s="49">
        <f>SUMPRODUCT('Sign-ups by age'!Y$2:Y$61,'Age profile'!Q$2:Q$61)</f>
        <v/>
      </c>
      <c r="Y25" s="49">
        <f>SUMIFS('Cohort x age'!$AA$2:$AA$1831,'Cohort x age'!$C$2:$C$1831,A25)</f>
        <v/>
      </c>
      <c r="Z25" s="49">
        <f>SUMIFS('Cohort x age'!$AB$2:$AB$1831,'Cohort x age'!$C$2:$C$1831,A25)</f>
        <v/>
      </c>
      <c r="AA25" s="49">
        <f>SUMIFS('Cohort x age'!$AC$2:$AC$1831,'Cohort x age'!$C$2:$C$1831,A25)</f>
        <v/>
      </c>
      <c r="AB25" s="49">
        <f>SUMIFS('Cohort x age'!$AD$2:$AD$1831,'Cohort x age'!$C$2:$C$1831,A25)</f>
        <v/>
      </c>
      <c r="AC25" s="49">
        <f>SUMIFS('Cohort x age'!$AG$2:$AG$1831,'Cohort x age'!$C$2:$C$1831,A25)</f>
        <v/>
      </c>
      <c r="AD25" s="49">
        <f>SUMIFS('Cohort x age'!$AJ$2:$AJ$1831,'Cohort x age'!$C$2:$C$1831,A25)</f>
        <v/>
      </c>
      <c r="AE25" s="49">
        <f>SUMIFS('Cohort x age'!$AM$2:$AM$1831,'Cohort x age'!$C$2:$C$1831,A25)</f>
        <v/>
      </c>
      <c r="AF25" s="49">
        <f>SUMIFS('Cohort x age'!$AP$2:$AP$1831,'Cohort x age'!$C$2:$C$1831,A25)</f>
        <v/>
      </c>
      <c r="AG25" s="49">
        <f>SUMIFS('Cohort x age'!$AS$2:$AS$1831,'Cohort x age'!$C$2:$C$1831,A25)</f>
        <v/>
      </c>
      <c r="AH25" s="49">
        <f>SUMIFS('Cohort x age'!$AU$2:$AU$1831,'Cohort x age'!$C$2:$C$1831,A25)</f>
        <v/>
      </c>
      <c r="AI25" s="49">
        <f>SUMIFS('Cohort x age'!$AX$2:$AX$1831,'Cohort x age'!$C$2:$C$1831,A25)</f>
        <v/>
      </c>
      <c r="AJ25" s="49">
        <f>SUMIFS('Cohort x age'!$BB$2:$BB$1831,'Cohort x age'!$C$2:$C$1831,A25)</f>
        <v/>
      </c>
      <c r="AK25" s="49">
        <f>SUMIFS('Cohort x age'!$BE$2:$BE$1831,'Cohort x age'!$C$2:$C$1831,A25)</f>
        <v/>
      </c>
      <c r="AL25" s="49">
        <f>SUMIFS('Cohort x age'!$BG$2:$BG$1831,'Cohort x age'!$C$2:$C$1831,A25)</f>
        <v/>
      </c>
      <c r="AM25" s="49">
        <f>SUMIFS('Cohort x age'!$BJ$2:$BJ$1831,'Cohort x age'!$C$2:$C$1831,A25)</f>
        <v/>
      </c>
      <c r="AN25" s="49">
        <f>SUMIFS('Cohort x age'!$BL$2:$BL$1831,'Cohort x age'!$C$2:$C$1831,A25)</f>
        <v/>
      </c>
      <c r="AO25" s="49">
        <f>SUMIFS('Cohort x age'!$BO$2:$BO$1831,'Cohort x age'!$C$2:$C$1831,A25)</f>
        <v/>
      </c>
      <c r="AP25" s="49">
        <f>SUMIFS('Cohort x age'!$BR$2:$BR$1831,'Cohort x age'!$C$2:$C$1831,A25)</f>
        <v/>
      </c>
      <c r="AQ25" s="49">
        <f>SUMIFS('Cohort x age'!$BT$2:$BT$1831,'Cohort x age'!$C$2:$C$1831,A25)</f>
        <v/>
      </c>
      <c r="AR25" s="49">
        <f>SUMIFS('Cohort x age'!$BV$2:$BV$1831,'Cohort x age'!$C$2:$C$1831,A25)</f>
        <v/>
      </c>
      <c r="AS25" s="49">
        <f>SUMIFS('Cohort x age'!$BX$2:$BX$1831,'Cohort x age'!$C$2:$C$1831,A25)</f>
        <v/>
      </c>
      <c r="AT25" s="49">
        <f>SUMIFS('Cohort x age'!$CA$2:$CA$1831,'Cohort x age'!$C$2:$C$1831,A25)</f>
        <v/>
      </c>
      <c r="AU25" s="49">
        <f>SUMIFS('Cohort x age'!$CD$2:$CD$1831,'Cohort x age'!$C$2:$C$1831,A25)</f>
        <v/>
      </c>
      <c r="AV25" s="9">
        <f>SUM(X25:AS25)</f>
        <v/>
      </c>
      <c r="AW25" s="9">
        <f>in_salary</f>
        <v/>
      </c>
      <c r="AX25" s="9">
        <f>MAX(0,G25-in_capacity)*in_extra_capacity_cost/in_helper_visits</f>
        <v/>
      </c>
      <c r="AY25" s="49">
        <f>SUMPRODUCT('Sign-ups by age'!Y$2:Y$61,'Age profile'!R$2:R$61)</f>
        <v/>
      </c>
      <c r="AZ25" s="49">
        <f>SUMPRODUCT('Sign-ups by age'!Y$2:Y$61,'Age profile'!S$2:S$61)</f>
        <v/>
      </c>
      <c r="BA25" s="9">
        <f>in_cash_cover</f>
        <v/>
      </c>
      <c r="BB25" s="9">
        <f>IF(A25&lt;=in_growth_months,in_agent_balance_pay,in_agent_pay_after)/12*K25</f>
        <v/>
      </c>
      <c r="BC25" s="9">
        <f>AW25+AX25+AY25+AZ25+BA25+BB25</f>
        <v/>
      </c>
      <c r="BD25" s="9">
        <f>AV25-BC25</f>
        <v/>
      </c>
      <c r="BE25" s="40">
        <f>1/(1+d_dm)^A25</f>
        <v/>
      </c>
      <c r="BF25" s="9">
        <f>BD25*BE25</f>
        <v/>
      </c>
      <c r="BG25" s="9">
        <f>IF(A25=1,BF25,BG24+BF25)</f>
        <v/>
      </c>
      <c r="BH25" s="9">
        <f>IF(A25=1,BD25,BH24+BD25)</f>
        <v/>
      </c>
      <c r="BI25" s="39">
        <f>IF(AND(BH25&gt;=0,BI26=1),1,0)</f>
        <v/>
      </c>
      <c r="BJ25" s="39">
        <f>IF(BI25=1,A25,999)</f>
        <v/>
      </c>
      <c r="BK25" s="40">
        <f>1/(1+d_dm20)^A25</f>
        <v/>
      </c>
    </row>
    <row r="26">
      <c r="A26" s="39" t="n">
        <v>25</v>
      </c>
      <c r="B26" s="48">
        <f>MIN(in_signup_cap,in_signups_run*IF(in_ramp_months&gt;0,MIN(1,0.5+0.5*(A26-1)/in_ramp_months),1)*(1+in_signup_growth)^INT((A26-1)/12))</f>
        <v/>
      </c>
      <c r="C26" s="44">
        <f>SUMPRODUCT('Sign-ups by age'!Z$2:Z$61,'Age profile'!B$2:B$61)</f>
        <v/>
      </c>
      <c r="D26" s="44">
        <f>SUMPRODUCT('Sign-ups by age'!Z$2:Z$61,'Age profile'!C$2:C$61)</f>
        <v/>
      </c>
      <c r="E26" s="44">
        <f>SUMPRODUCT('Sign-ups by age'!Z$2:Z$61,'Age profile'!M$2:M$61)</f>
        <v/>
      </c>
      <c r="F26" s="44">
        <f>SUMPRODUCT('Sign-ups by age'!Z$2:Z$61,'Age profile'!K$2:K$61)</f>
        <v/>
      </c>
      <c r="G26" s="44">
        <f>SUMPRODUCT('Sign-ups by age'!Z$2:Z$61,'Age profile'!L$2:L$61)</f>
        <v/>
      </c>
      <c r="H26" s="11">
        <f>IF(C26&gt;0,1-F26/C26,0)</f>
        <v/>
      </c>
      <c r="I26" s="11">
        <f>IF(C26&gt;0,MAX(0,1-in_capacity*in_visit_every/C26),0)</f>
        <v/>
      </c>
      <c r="J26" s="49">
        <f>SUMPRODUCT('Sign-ups by age'!Z$2:Z$61,'Age profile'!E$2:E$61)</f>
        <v/>
      </c>
      <c r="K26" s="49">
        <f>SUMPRODUCT('Sign-ups by age'!Z$2:Z$61,'Age profile'!H$2:H$61)</f>
        <v/>
      </c>
      <c r="L26" s="44">
        <f>SUMIFS('Cohort x age'!$Q$2:$Q$1831,'Cohort x age'!$C$2:$C$1831,A26)</f>
        <v/>
      </c>
      <c r="M26" s="50">
        <f>SUMIFS('Cohort x age'!$L$2:$L$1831,'Cohort x age'!$C$2:$C$1831,A26)</f>
        <v/>
      </c>
      <c r="N26" s="50">
        <f>SUMIFS('Cohort x age'!$M$2:$M$1831,'Cohort x age'!$C$2:$C$1831,A26)</f>
        <v/>
      </c>
      <c r="O26" s="50">
        <f>SUMIFS('Cohort x age'!$N$2:$N$1831,'Cohort x age'!$C$2:$C$1831,A26)</f>
        <v/>
      </c>
      <c r="P26" s="50">
        <f>SUMIFS('Cohort x age'!$T$2:$T$1831,'Cohort x age'!$C$2:$C$1831,A26)</f>
        <v/>
      </c>
      <c r="Q26" s="49">
        <f>SUMIFS('Cohort x age'!$U$2:$U$1831,'Cohort x age'!$C$2:$C$1831,A26)</f>
        <v/>
      </c>
      <c r="R26" s="49">
        <f>SUMIFS('Cohort x age'!$V$2:$V$1831,'Cohort x age'!$C$2:$C$1831,A26)</f>
        <v/>
      </c>
      <c r="S26" s="44">
        <f>SUMIFS('Cohort x age'!$P$2:$P$1831,'Cohort x age'!$C$2:$C$1831,A26)</f>
        <v/>
      </c>
      <c r="T26" s="44">
        <f>SUMIFS('Cohort x age'!$R$2:$R$1831,'Cohort x age'!$C$2:$C$1831,A26)</f>
        <v/>
      </c>
      <c r="U26" s="50">
        <f>SUMIFS('Cohort x age'!$X$2:$X$1831,'Cohort x age'!$C$2:$C$1831,A26)</f>
        <v/>
      </c>
      <c r="V26" s="50">
        <f>SUMIFS('Cohort x age'!$Y$2:$Y$1831,'Cohort x age'!$C$2:$C$1831,A26)</f>
        <v/>
      </c>
      <c r="W26" s="50">
        <f>SUMIFS('Cohort x age'!$Z$2:$Z$1831,'Cohort x age'!$C$2:$C$1831,A26)</f>
        <v/>
      </c>
      <c r="X26" s="49">
        <f>SUMPRODUCT('Sign-ups by age'!Z$2:Z$61,'Age profile'!Q$2:Q$61)</f>
        <v/>
      </c>
      <c r="Y26" s="49">
        <f>SUMIFS('Cohort x age'!$AA$2:$AA$1831,'Cohort x age'!$C$2:$C$1831,A26)</f>
        <v/>
      </c>
      <c r="Z26" s="49">
        <f>SUMIFS('Cohort x age'!$AB$2:$AB$1831,'Cohort x age'!$C$2:$C$1831,A26)</f>
        <v/>
      </c>
      <c r="AA26" s="49">
        <f>SUMIFS('Cohort x age'!$AC$2:$AC$1831,'Cohort x age'!$C$2:$C$1831,A26)</f>
        <v/>
      </c>
      <c r="AB26" s="49">
        <f>SUMIFS('Cohort x age'!$AD$2:$AD$1831,'Cohort x age'!$C$2:$C$1831,A26)</f>
        <v/>
      </c>
      <c r="AC26" s="49">
        <f>SUMIFS('Cohort x age'!$AG$2:$AG$1831,'Cohort x age'!$C$2:$C$1831,A26)</f>
        <v/>
      </c>
      <c r="AD26" s="49">
        <f>SUMIFS('Cohort x age'!$AJ$2:$AJ$1831,'Cohort x age'!$C$2:$C$1831,A26)</f>
        <v/>
      </c>
      <c r="AE26" s="49">
        <f>SUMIFS('Cohort x age'!$AM$2:$AM$1831,'Cohort x age'!$C$2:$C$1831,A26)</f>
        <v/>
      </c>
      <c r="AF26" s="49">
        <f>SUMIFS('Cohort x age'!$AP$2:$AP$1831,'Cohort x age'!$C$2:$C$1831,A26)</f>
        <v/>
      </c>
      <c r="AG26" s="49">
        <f>SUMIFS('Cohort x age'!$AS$2:$AS$1831,'Cohort x age'!$C$2:$C$1831,A26)</f>
        <v/>
      </c>
      <c r="AH26" s="49">
        <f>SUMIFS('Cohort x age'!$AU$2:$AU$1831,'Cohort x age'!$C$2:$C$1831,A26)</f>
        <v/>
      </c>
      <c r="AI26" s="49">
        <f>SUMIFS('Cohort x age'!$AX$2:$AX$1831,'Cohort x age'!$C$2:$C$1831,A26)</f>
        <v/>
      </c>
      <c r="AJ26" s="49">
        <f>SUMIFS('Cohort x age'!$BB$2:$BB$1831,'Cohort x age'!$C$2:$C$1831,A26)</f>
        <v/>
      </c>
      <c r="AK26" s="49">
        <f>SUMIFS('Cohort x age'!$BE$2:$BE$1831,'Cohort x age'!$C$2:$C$1831,A26)</f>
        <v/>
      </c>
      <c r="AL26" s="49">
        <f>SUMIFS('Cohort x age'!$BG$2:$BG$1831,'Cohort x age'!$C$2:$C$1831,A26)</f>
        <v/>
      </c>
      <c r="AM26" s="49">
        <f>SUMIFS('Cohort x age'!$BJ$2:$BJ$1831,'Cohort x age'!$C$2:$C$1831,A26)</f>
        <v/>
      </c>
      <c r="AN26" s="49">
        <f>SUMIFS('Cohort x age'!$BL$2:$BL$1831,'Cohort x age'!$C$2:$C$1831,A26)</f>
        <v/>
      </c>
      <c r="AO26" s="49">
        <f>SUMIFS('Cohort x age'!$BO$2:$BO$1831,'Cohort x age'!$C$2:$C$1831,A26)</f>
        <v/>
      </c>
      <c r="AP26" s="49">
        <f>SUMIFS('Cohort x age'!$BR$2:$BR$1831,'Cohort x age'!$C$2:$C$1831,A26)</f>
        <v/>
      </c>
      <c r="AQ26" s="49">
        <f>SUMIFS('Cohort x age'!$BT$2:$BT$1831,'Cohort x age'!$C$2:$C$1831,A26)</f>
        <v/>
      </c>
      <c r="AR26" s="49">
        <f>SUMIFS('Cohort x age'!$BV$2:$BV$1831,'Cohort x age'!$C$2:$C$1831,A26)</f>
        <v/>
      </c>
      <c r="AS26" s="49">
        <f>SUMIFS('Cohort x age'!$BX$2:$BX$1831,'Cohort x age'!$C$2:$C$1831,A26)</f>
        <v/>
      </c>
      <c r="AT26" s="49">
        <f>SUMIFS('Cohort x age'!$CA$2:$CA$1831,'Cohort x age'!$C$2:$C$1831,A26)</f>
        <v/>
      </c>
      <c r="AU26" s="49">
        <f>SUMIFS('Cohort x age'!$CD$2:$CD$1831,'Cohort x age'!$C$2:$C$1831,A26)</f>
        <v/>
      </c>
      <c r="AV26" s="9">
        <f>SUM(X26:AS26)</f>
        <v/>
      </c>
      <c r="AW26" s="9">
        <f>in_salary</f>
        <v/>
      </c>
      <c r="AX26" s="9">
        <f>MAX(0,G26-in_capacity)*in_extra_capacity_cost/in_helper_visits</f>
        <v/>
      </c>
      <c r="AY26" s="49">
        <f>SUMPRODUCT('Sign-ups by age'!Z$2:Z$61,'Age profile'!R$2:R$61)</f>
        <v/>
      </c>
      <c r="AZ26" s="49">
        <f>SUMPRODUCT('Sign-ups by age'!Z$2:Z$61,'Age profile'!S$2:S$61)</f>
        <v/>
      </c>
      <c r="BA26" s="9">
        <f>in_cash_cover</f>
        <v/>
      </c>
      <c r="BB26" s="9">
        <f>IF(A26&lt;=in_growth_months,in_agent_balance_pay,in_agent_pay_after)/12*K26</f>
        <v/>
      </c>
      <c r="BC26" s="9">
        <f>AW26+AX26+AY26+AZ26+BA26+BB26</f>
        <v/>
      </c>
      <c r="BD26" s="9">
        <f>AV26-BC26</f>
        <v/>
      </c>
      <c r="BE26" s="40">
        <f>1/(1+d_dm)^A26</f>
        <v/>
      </c>
      <c r="BF26" s="9">
        <f>BD26*BE26</f>
        <v/>
      </c>
      <c r="BG26" s="9">
        <f>IF(A26=1,BF26,BG25+BF26)</f>
        <v/>
      </c>
      <c r="BH26" s="9">
        <f>IF(A26=1,BD26,BH25+BD26)</f>
        <v/>
      </c>
      <c r="BI26" s="39">
        <f>IF(AND(BH26&gt;=0,BI27=1),1,0)</f>
        <v/>
      </c>
      <c r="BJ26" s="39">
        <f>IF(BI26=1,A26,999)</f>
        <v/>
      </c>
      <c r="BK26" s="40">
        <f>1/(1+d_dm20)^A26</f>
        <v/>
      </c>
    </row>
    <row r="27">
      <c r="A27" s="39" t="n">
        <v>26</v>
      </c>
      <c r="B27" s="48">
        <f>MIN(in_signup_cap,in_signups_run*IF(in_ramp_months&gt;0,MIN(1,0.5+0.5*(A27-1)/in_ramp_months),1)*(1+in_signup_growth)^INT((A27-1)/12))</f>
        <v/>
      </c>
      <c r="C27" s="44">
        <f>SUMPRODUCT('Sign-ups by age'!AA$2:AA$61,'Age profile'!B$2:B$61)</f>
        <v/>
      </c>
      <c r="D27" s="44">
        <f>SUMPRODUCT('Sign-ups by age'!AA$2:AA$61,'Age profile'!C$2:C$61)</f>
        <v/>
      </c>
      <c r="E27" s="44">
        <f>SUMPRODUCT('Sign-ups by age'!AA$2:AA$61,'Age profile'!M$2:M$61)</f>
        <v/>
      </c>
      <c r="F27" s="44">
        <f>SUMPRODUCT('Sign-ups by age'!AA$2:AA$61,'Age profile'!K$2:K$61)</f>
        <v/>
      </c>
      <c r="G27" s="44">
        <f>SUMPRODUCT('Sign-ups by age'!AA$2:AA$61,'Age profile'!L$2:L$61)</f>
        <v/>
      </c>
      <c r="H27" s="11">
        <f>IF(C27&gt;0,1-F27/C27,0)</f>
        <v/>
      </c>
      <c r="I27" s="11">
        <f>IF(C27&gt;0,MAX(0,1-in_capacity*in_visit_every/C27),0)</f>
        <v/>
      </c>
      <c r="J27" s="49">
        <f>SUMPRODUCT('Sign-ups by age'!AA$2:AA$61,'Age profile'!E$2:E$61)</f>
        <v/>
      </c>
      <c r="K27" s="49">
        <f>SUMPRODUCT('Sign-ups by age'!AA$2:AA$61,'Age profile'!H$2:H$61)</f>
        <v/>
      </c>
      <c r="L27" s="44">
        <f>SUMIFS('Cohort x age'!$Q$2:$Q$1831,'Cohort x age'!$C$2:$C$1831,A27)</f>
        <v/>
      </c>
      <c r="M27" s="50">
        <f>SUMIFS('Cohort x age'!$L$2:$L$1831,'Cohort x age'!$C$2:$C$1831,A27)</f>
        <v/>
      </c>
      <c r="N27" s="50">
        <f>SUMIFS('Cohort x age'!$M$2:$M$1831,'Cohort x age'!$C$2:$C$1831,A27)</f>
        <v/>
      </c>
      <c r="O27" s="50">
        <f>SUMIFS('Cohort x age'!$N$2:$N$1831,'Cohort x age'!$C$2:$C$1831,A27)</f>
        <v/>
      </c>
      <c r="P27" s="50">
        <f>SUMIFS('Cohort x age'!$T$2:$T$1831,'Cohort x age'!$C$2:$C$1831,A27)</f>
        <v/>
      </c>
      <c r="Q27" s="49">
        <f>SUMIFS('Cohort x age'!$U$2:$U$1831,'Cohort x age'!$C$2:$C$1831,A27)</f>
        <v/>
      </c>
      <c r="R27" s="49">
        <f>SUMIFS('Cohort x age'!$V$2:$V$1831,'Cohort x age'!$C$2:$C$1831,A27)</f>
        <v/>
      </c>
      <c r="S27" s="44">
        <f>SUMIFS('Cohort x age'!$P$2:$P$1831,'Cohort x age'!$C$2:$C$1831,A27)</f>
        <v/>
      </c>
      <c r="T27" s="44">
        <f>SUMIFS('Cohort x age'!$R$2:$R$1831,'Cohort x age'!$C$2:$C$1831,A27)</f>
        <v/>
      </c>
      <c r="U27" s="50">
        <f>SUMIFS('Cohort x age'!$X$2:$X$1831,'Cohort x age'!$C$2:$C$1831,A27)</f>
        <v/>
      </c>
      <c r="V27" s="50">
        <f>SUMIFS('Cohort x age'!$Y$2:$Y$1831,'Cohort x age'!$C$2:$C$1831,A27)</f>
        <v/>
      </c>
      <c r="W27" s="50">
        <f>SUMIFS('Cohort x age'!$Z$2:$Z$1831,'Cohort x age'!$C$2:$C$1831,A27)</f>
        <v/>
      </c>
      <c r="X27" s="49">
        <f>SUMPRODUCT('Sign-ups by age'!AA$2:AA$61,'Age profile'!Q$2:Q$61)</f>
        <v/>
      </c>
      <c r="Y27" s="49">
        <f>SUMIFS('Cohort x age'!$AA$2:$AA$1831,'Cohort x age'!$C$2:$C$1831,A27)</f>
        <v/>
      </c>
      <c r="Z27" s="49">
        <f>SUMIFS('Cohort x age'!$AB$2:$AB$1831,'Cohort x age'!$C$2:$C$1831,A27)</f>
        <v/>
      </c>
      <c r="AA27" s="49">
        <f>SUMIFS('Cohort x age'!$AC$2:$AC$1831,'Cohort x age'!$C$2:$C$1831,A27)</f>
        <v/>
      </c>
      <c r="AB27" s="49">
        <f>SUMIFS('Cohort x age'!$AD$2:$AD$1831,'Cohort x age'!$C$2:$C$1831,A27)</f>
        <v/>
      </c>
      <c r="AC27" s="49">
        <f>SUMIFS('Cohort x age'!$AG$2:$AG$1831,'Cohort x age'!$C$2:$C$1831,A27)</f>
        <v/>
      </c>
      <c r="AD27" s="49">
        <f>SUMIFS('Cohort x age'!$AJ$2:$AJ$1831,'Cohort x age'!$C$2:$C$1831,A27)</f>
        <v/>
      </c>
      <c r="AE27" s="49">
        <f>SUMIFS('Cohort x age'!$AM$2:$AM$1831,'Cohort x age'!$C$2:$C$1831,A27)</f>
        <v/>
      </c>
      <c r="AF27" s="49">
        <f>SUMIFS('Cohort x age'!$AP$2:$AP$1831,'Cohort x age'!$C$2:$C$1831,A27)</f>
        <v/>
      </c>
      <c r="AG27" s="49">
        <f>SUMIFS('Cohort x age'!$AS$2:$AS$1831,'Cohort x age'!$C$2:$C$1831,A27)</f>
        <v/>
      </c>
      <c r="AH27" s="49">
        <f>SUMIFS('Cohort x age'!$AU$2:$AU$1831,'Cohort x age'!$C$2:$C$1831,A27)</f>
        <v/>
      </c>
      <c r="AI27" s="49">
        <f>SUMIFS('Cohort x age'!$AX$2:$AX$1831,'Cohort x age'!$C$2:$C$1831,A27)</f>
        <v/>
      </c>
      <c r="AJ27" s="49">
        <f>SUMIFS('Cohort x age'!$BB$2:$BB$1831,'Cohort x age'!$C$2:$C$1831,A27)</f>
        <v/>
      </c>
      <c r="AK27" s="49">
        <f>SUMIFS('Cohort x age'!$BE$2:$BE$1831,'Cohort x age'!$C$2:$C$1831,A27)</f>
        <v/>
      </c>
      <c r="AL27" s="49">
        <f>SUMIFS('Cohort x age'!$BG$2:$BG$1831,'Cohort x age'!$C$2:$C$1831,A27)</f>
        <v/>
      </c>
      <c r="AM27" s="49">
        <f>SUMIFS('Cohort x age'!$BJ$2:$BJ$1831,'Cohort x age'!$C$2:$C$1831,A27)</f>
        <v/>
      </c>
      <c r="AN27" s="49">
        <f>SUMIFS('Cohort x age'!$BL$2:$BL$1831,'Cohort x age'!$C$2:$C$1831,A27)</f>
        <v/>
      </c>
      <c r="AO27" s="49">
        <f>SUMIFS('Cohort x age'!$BO$2:$BO$1831,'Cohort x age'!$C$2:$C$1831,A27)</f>
        <v/>
      </c>
      <c r="AP27" s="49">
        <f>SUMIFS('Cohort x age'!$BR$2:$BR$1831,'Cohort x age'!$C$2:$C$1831,A27)</f>
        <v/>
      </c>
      <c r="AQ27" s="49">
        <f>SUMIFS('Cohort x age'!$BT$2:$BT$1831,'Cohort x age'!$C$2:$C$1831,A27)</f>
        <v/>
      </c>
      <c r="AR27" s="49">
        <f>SUMIFS('Cohort x age'!$BV$2:$BV$1831,'Cohort x age'!$C$2:$C$1831,A27)</f>
        <v/>
      </c>
      <c r="AS27" s="49">
        <f>SUMIFS('Cohort x age'!$BX$2:$BX$1831,'Cohort x age'!$C$2:$C$1831,A27)</f>
        <v/>
      </c>
      <c r="AT27" s="49">
        <f>SUMIFS('Cohort x age'!$CA$2:$CA$1831,'Cohort x age'!$C$2:$C$1831,A27)</f>
        <v/>
      </c>
      <c r="AU27" s="49">
        <f>SUMIFS('Cohort x age'!$CD$2:$CD$1831,'Cohort x age'!$C$2:$C$1831,A27)</f>
        <v/>
      </c>
      <c r="AV27" s="9">
        <f>SUM(X27:AS27)</f>
        <v/>
      </c>
      <c r="AW27" s="9">
        <f>in_salary</f>
        <v/>
      </c>
      <c r="AX27" s="9">
        <f>MAX(0,G27-in_capacity)*in_extra_capacity_cost/in_helper_visits</f>
        <v/>
      </c>
      <c r="AY27" s="49">
        <f>SUMPRODUCT('Sign-ups by age'!AA$2:AA$61,'Age profile'!R$2:R$61)</f>
        <v/>
      </c>
      <c r="AZ27" s="49">
        <f>SUMPRODUCT('Sign-ups by age'!AA$2:AA$61,'Age profile'!S$2:S$61)</f>
        <v/>
      </c>
      <c r="BA27" s="9">
        <f>in_cash_cover</f>
        <v/>
      </c>
      <c r="BB27" s="9">
        <f>IF(A27&lt;=in_growth_months,in_agent_balance_pay,in_agent_pay_after)/12*K27</f>
        <v/>
      </c>
      <c r="BC27" s="9">
        <f>AW27+AX27+AY27+AZ27+BA27+BB27</f>
        <v/>
      </c>
      <c r="BD27" s="9">
        <f>AV27-BC27</f>
        <v/>
      </c>
      <c r="BE27" s="40">
        <f>1/(1+d_dm)^A27</f>
        <v/>
      </c>
      <c r="BF27" s="9">
        <f>BD27*BE27</f>
        <v/>
      </c>
      <c r="BG27" s="9">
        <f>IF(A27=1,BF27,BG26+BF27)</f>
        <v/>
      </c>
      <c r="BH27" s="9">
        <f>IF(A27=1,BD27,BH26+BD27)</f>
        <v/>
      </c>
      <c r="BI27" s="39">
        <f>IF(AND(BH27&gt;=0,BI28=1),1,0)</f>
        <v/>
      </c>
      <c r="BJ27" s="39">
        <f>IF(BI27=1,A27,999)</f>
        <v/>
      </c>
      <c r="BK27" s="40">
        <f>1/(1+d_dm20)^A27</f>
        <v/>
      </c>
    </row>
    <row r="28">
      <c r="A28" s="39" t="n">
        <v>27</v>
      </c>
      <c r="B28" s="48">
        <f>MIN(in_signup_cap,in_signups_run*IF(in_ramp_months&gt;0,MIN(1,0.5+0.5*(A28-1)/in_ramp_months),1)*(1+in_signup_growth)^INT((A28-1)/12))</f>
        <v/>
      </c>
      <c r="C28" s="44">
        <f>SUMPRODUCT('Sign-ups by age'!AB$2:AB$61,'Age profile'!B$2:B$61)</f>
        <v/>
      </c>
      <c r="D28" s="44">
        <f>SUMPRODUCT('Sign-ups by age'!AB$2:AB$61,'Age profile'!C$2:C$61)</f>
        <v/>
      </c>
      <c r="E28" s="44">
        <f>SUMPRODUCT('Sign-ups by age'!AB$2:AB$61,'Age profile'!M$2:M$61)</f>
        <v/>
      </c>
      <c r="F28" s="44">
        <f>SUMPRODUCT('Sign-ups by age'!AB$2:AB$61,'Age profile'!K$2:K$61)</f>
        <v/>
      </c>
      <c r="G28" s="44">
        <f>SUMPRODUCT('Sign-ups by age'!AB$2:AB$61,'Age profile'!L$2:L$61)</f>
        <v/>
      </c>
      <c r="H28" s="11">
        <f>IF(C28&gt;0,1-F28/C28,0)</f>
        <v/>
      </c>
      <c r="I28" s="11">
        <f>IF(C28&gt;0,MAX(0,1-in_capacity*in_visit_every/C28),0)</f>
        <v/>
      </c>
      <c r="J28" s="49">
        <f>SUMPRODUCT('Sign-ups by age'!AB$2:AB$61,'Age profile'!E$2:E$61)</f>
        <v/>
      </c>
      <c r="K28" s="49">
        <f>SUMPRODUCT('Sign-ups by age'!AB$2:AB$61,'Age profile'!H$2:H$61)</f>
        <v/>
      </c>
      <c r="L28" s="44">
        <f>SUMIFS('Cohort x age'!$Q$2:$Q$1831,'Cohort x age'!$C$2:$C$1831,A28)</f>
        <v/>
      </c>
      <c r="M28" s="50">
        <f>SUMIFS('Cohort x age'!$L$2:$L$1831,'Cohort x age'!$C$2:$C$1831,A28)</f>
        <v/>
      </c>
      <c r="N28" s="50">
        <f>SUMIFS('Cohort x age'!$M$2:$M$1831,'Cohort x age'!$C$2:$C$1831,A28)</f>
        <v/>
      </c>
      <c r="O28" s="50">
        <f>SUMIFS('Cohort x age'!$N$2:$N$1831,'Cohort x age'!$C$2:$C$1831,A28)</f>
        <v/>
      </c>
      <c r="P28" s="50">
        <f>SUMIFS('Cohort x age'!$T$2:$T$1831,'Cohort x age'!$C$2:$C$1831,A28)</f>
        <v/>
      </c>
      <c r="Q28" s="49">
        <f>SUMIFS('Cohort x age'!$U$2:$U$1831,'Cohort x age'!$C$2:$C$1831,A28)</f>
        <v/>
      </c>
      <c r="R28" s="49">
        <f>SUMIFS('Cohort x age'!$V$2:$V$1831,'Cohort x age'!$C$2:$C$1831,A28)</f>
        <v/>
      </c>
      <c r="S28" s="44">
        <f>SUMIFS('Cohort x age'!$P$2:$P$1831,'Cohort x age'!$C$2:$C$1831,A28)</f>
        <v/>
      </c>
      <c r="T28" s="44">
        <f>SUMIFS('Cohort x age'!$R$2:$R$1831,'Cohort x age'!$C$2:$C$1831,A28)</f>
        <v/>
      </c>
      <c r="U28" s="50">
        <f>SUMIFS('Cohort x age'!$X$2:$X$1831,'Cohort x age'!$C$2:$C$1831,A28)</f>
        <v/>
      </c>
      <c r="V28" s="50">
        <f>SUMIFS('Cohort x age'!$Y$2:$Y$1831,'Cohort x age'!$C$2:$C$1831,A28)</f>
        <v/>
      </c>
      <c r="W28" s="50">
        <f>SUMIFS('Cohort x age'!$Z$2:$Z$1831,'Cohort x age'!$C$2:$C$1831,A28)</f>
        <v/>
      </c>
      <c r="X28" s="49">
        <f>SUMPRODUCT('Sign-ups by age'!AB$2:AB$61,'Age profile'!Q$2:Q$61)</f>
        <v/>
      </c>
      <c r="Y28" s="49">
        <f>SUMIFS('Cohort x age'!$AA$2:$AA$1831,'Cohort x age'!$C$2:$C$1831,A28)</f>
        <v/>
      </c>
      <c r="Z28" s="49">
        <f>SUMIFS('Cohort x age'!$AB$2:$AB$1831,'Cohort x age'!$C$2:$C$1831,A28)</f>
        <v/>
      </c>
      <c r="AA28" s="49">
        <f>SUMIFS('Cohort x age'!$AC$2:$AC$1831,'Cohort x age'!$C$2:$C$1831,A28)</f>
        <v/>
      </c>
      <c r="AB28" s="49">
        <f>SUMIFS('Cohort x age'!$AD$2:$AD$1831,'Cohort x age'!$C$2:$C$1831,A28)</f>
        <v/>
      </c>
      <c r="AC28" s="49">
        <f>SUMIFS('Cohort x age'!$AG$2:$AG$1831,'Cohort x age'!$C$2:$C$1831,A28)</f>
        <v/>
      </c>
      <c r="AD28" s="49">
        <f>SUMIFS('Cohort x age'!$AJ$2:$AJ$1831,'Cohort x age'!$C$2:$C$1831,A28)</f>
        <v/>
      </c>
      <c r="AE28" s="49">
        <f>SUMIFS('Cohort x age'!$AM$2:$AM$1831,'Cohort x age'!$C$2:$C$1831,A28)</f>
        <v/>
      </c>
      <c r="AF28" s="49">
        <f>SUMIFS('Cohort x age'!$AP$2:$AP$1831,'Cohort x age'!$C$2:$C$1831,A28)</f>
        <v/>
      </c>
      <c r="AG28" s="49">
        <f>SUMIFS('Cohort x age'!$AS$2:$AS$1831,'Cohort x age'!$C$2:$C$1831,A28)</f>
        <v/>
      </c>
      <c r="AH28" s="49">
        <f>SUMIFS('Cohort x age'!$AU$2:$AU$1831,'Cohort x age'!$C$2:$C$1831,A28)</f>
        <v/>
      </c>
      <c r="AI28" s="49">
        <f>SUMIFS('Cohort x age'!$AX$2:$AX$1831,'Cohort x age'!$C$2:$C$1831,A28)</f>
        <v/>
      </c>
      <c r="AJ28" s="49">
        <f>SUMIFS('Cohort x age'!$BB$2:$BB$1831,'Cohort x age'!$C$2:$C$1831,A28)</f>
        <v/>
      </c>
      <c r="AK28" s="49">
        <f>SUMIFS('Cohort x age'!$BE$2:$BE$1831,'Cohort x age'!$C$2:$C$1831,A28)</f>
        <v/>
      </c>
      <c r="AL28" s="49">
        <f>SUMIFS('Cohort x age'!$BG$2:$BG$1831,'Cohort x age'!$C$2:$C$1831,A28)</f>
        <v/>
      </c>
      <c r="AM28" s="49">
        <f>SUMIFS('Cohort x age'!$BJ$2:$BJ$1831,'Cohort x age'!$C$2:$C$1831,A28)</f>
        <v/>
      </c>
      <c r="AN28" s="49">
        <f>SUMIFS('Cohort x age'!$BL$2:$BL$1831,'Cohort x age'!$C$2:$C$1831,A28)</f>
        <v/>
      </c>
      <c r="AO28" s="49">
        <f>SUMIFS('Cohort x age'!$BO$2:$BO$1831,'Cohort x age'!$C$2:$C$1831,A28)</f>
        <v/>
      </c>
      <c r="AP28" s="49">
        <f>SUMIFS('Cohort x age'!$BR$2:$BR$1831,'Cohort x age'!$C$2:$C$1831,A28)</f>
        <v/>
      </c>
      <c r="AQ28" s="49">
        <f>SUMIFS('Cohort x age'!$BT$2:$BT$1831,'Cohort x age'!$C$2:$C$1831,A28)</f>
        <v/>
      </c>
      <c r="AR28" s="49">
        <f>SUMIFS('Cohort x age'!$BV$2:$BV$1831,'Cohort x age'!$C$2:$C$1831,A28)</f>
        <v/>
      </c>
      <c r="AS28" s="49">
        <f>SUMIFS('Cohort x age'!$BX$2:$BX$1831,'Cohort x age'!$C$2:$C$1831,A28)</f>
        <v/>
      </c>
      <c r="AT28" s="49">
        <f>SUMIFS('Cohort x age'!$CA$2:$CA$1831,'Cohort x age'!$C$2:$C$1831,A28)</f>
        <v/>
      </c>
      <c r="AU28" s="49">
        <f>SUMIFS('Cohort x age'!$CD$2:$CD$1831,'Cohort x age'!$C$2:$C$1831,A28)</f>
        <v/>
      </c>
      <c r="AV28" s="9">
        <f>SUM(X28:AS28)</f>
        <v/>
      </c>
      <c r="AW28" s="9">
        <f>in_salary</f>
        <v/>
      </c>
      <c r="AX28" s="9">
        <f>MAX(0,G28-in_capacity)*in_extra_capacity_cost/in_helper_visits</f>
        <v/>
      </c>
      <c r="AY28" s="49">
        <f>SUMPRODUCT('Sign-ups by age'!AB$2:AB$61,'Age profile'!R$2:R$61)</f>
        <v/>
      </c>
      <c r="AZ28" s="49">
        <f>SUMPRODUCT('Sign-ups by age'!AB$2:AB$61,'Age profile'!S$2:S$61)</f>
        <v/>
      </c>
      <c r="BA28" s="9">
        <f>in_cash_cover</f>
        <v/>
      </c>
      <c r="BB28" s="9">
        <f>IF(A28&lt;=in_growth_months,in_agent_balance_pay,in_agent_pay_after)/12*K28</f>
        <v/>
      </c>
      <c r="BC28" s="9">
        <f>AW28+AX28+AY28+AZ28+BA28+BB28</f>
        <v/>
      </c>
      <c r="BD28" s="9">
        <f>AV28-BC28</f>
        <v/>
      </c>
      <c r="BE28" s="40">
        <f>1/(1+d_dm)^A28</f>
        <v/>
      </c>
      <c r="BF28" s="9">
        <f>BD28*BE28</f>
        <v/>
      </c>
      <c r="BG28" s="9">
        <f>IF(A28=1,BF28,BG27+BF28)</f>
        <v/>
      </c>
      <c r="BH28" s="9">
        <f>IF(A28=1,BD28,BH27+BD28)</f>
        <v/>
      </c>
      <c r="BI28" s="39">
        <f>IF(AND(BH28&gt;=0,BI29=1),1,0)</f>
        <v/>
      </c>
      <c r="BJ28" s="39">
        <f>IF(BI28=1,A28,999)</f>
        <v/>
      </c>
      <c r="BK28" s="40">
        <f>1/(1+d_dm20)^A28</f>
        <v/>
      </c>
    </row>
    <row r="29">
      <c r="A29" s="39" t="n">
        <v>28</v>
      </c>
      <c r="B29" s="48">
        <f>MIN(in_signup_cap,in_signups_run*IF(in_ramp_months&gt;0,MIN(1,0.5+0.5*(A29-1)/in_ramp_months),1)*(1+in_signup_growth)^INT((A29-1)/12))</f>
        <v/>
      </c>
      <c r="C29" s="44">
        <f>SUMPRODUCT('Sign-ups by age'!AC$2:AC$61,'Age profile'!B$2:B$61)</f>
        <v/>
      </c>
      <c r="D29" s="44">
        <f>SUMPRODUCT('Sign-ups by age'!AC$2:AC$61,'Age profile'!C$2:C$61)</f>
        <v/>
      </c>
      <c r="E29" s="44">
        <f>SUMPRODUCT('Sign-ups by age'!AC$2:AC$61,'Age profile'!M$2:M$61)</f>
        <v/>
      </c>
      <c r="F29" s="44">
        <f>SUMPRODUCT('Sign-ups by age'!AC$2:AC$61,'Age profile'!K$2:K$61)</f>
        <v/>
      </c>
      <c r="G29" s="44">
        <f>SUMPRODUCT('Sign-ups by age'!AC$2:AC$61,'Age profile'!L$2:L$61)</f>
        <v/>
      </c>
      <c r="H29" s="11">
        <f>IF(C29&gt;0,1-F29/C29,0)</f>
        <v/>
      </c>
      <c r="I29" s="11">
        <f>IF(C29&gt;0,MAX(0,1-in_capacity*in_visit_every/C29),0)</f>
        <v/>
      </c>
      <c r="J29" s="49">
        <f>SUMPRODUCT('Sign-ups by age'!AC$2:AC$61,'Age profile'!E$2:E$61)</f>
        <v/>
      </c>
      <c r="K29" s="49">
        <f>SUMPRODUCT('Sign-ups by age'!AC$2:AC$61,'Age profile'!H$2:H$61)</f>
        <v/>
      </c>
      <c r="L29" s="44">
        <f>SUMIFS('Cohort x age'!$Q$2:$Q$1831,'Cohort x age'!$C$2:$C$1831,A29)</f>
        <v/>
      </c>
      <c r="M29" s="50">
        <f>SUMIFS('Cohort x age'!$L$2:$L$1831,'Cohort x age'!$C$2:$C$1831,A29)</f>
        <v/>
      </c>
      <c r="N29" s="50">
        <f>SUMIFS('Cohort x age'!$M$2:$M$1831,'Cohort x age'!$C$2:$C$1831,A29)</f>
        <v/>
      </c>
      <c r="O29" s="50">
        <f>SUMIFS('Cohort x age'!$N$2:$N$1831,'Cohort x age'!$C$2:$C$1831,A29)</f>
        <v/>
      </c>
      <c r="P29" s="50">
        <f>SUMIFS('Cohort x age'!$T$2:$T$1831,'Cohort x age'!$C$2:$C$1831,A29)</f>
        <v/>
      </c>
      <c r="Q29" s="49">
        <f>SUMIFS('Cohort x age'!$U$2:$U$1831,'Cohort x age'!$C$2:$C$1831,A29)</f>
        <v/>
      </c>
      <c r="R29" s="49">
        <f>SUMIFS('Cohort x age'!$V$2:$V$1831,'Cohort x age'!$C$2:$C$1831,A29)</f>
        <v/>
      </c>
      <c r="S29" s="44">
        <f>SUMIFS('Cohort x age'!$P$2:$P$1831,'Cohort x age'!$C$2:$C$1831,A29)</f>
        <v/>
      </c>
      <c r="T29" s="44">
        <f>SUMIFS('Cohort x age'!$R$2:$R$1831,'Cohort x age'!$C$2:$C$1831,A29)</f>
        <v/>
      </c>
      <c r="U29" s="50">
        <f>SUMIFS('Cohort x age'!$X$2:$X$1831,'Cohort x age'!$C$2:$C$1831,A29)</f>
        <v/>
      </c>
      <c r="V29" s="50">
        <f>SUMIFS('Cohort x age'!$Y$2:$Y$1831,'Cohort x age'!$C$2:$C$1831,A29)</f>
        <v/>
      </c>
      <c r="W29" s="50">
        <f>SUMIFS('Cohort x age'!$Z$2:$Z$1831,'Cohort x age'!$C$2:$C$1831,A29)</f>
        <v/>
      </c>
      <c r="X29" s="49">
        <f>SUMPRODUCT('Sign-ups by age'!AC$2:AC$61,'Age profile'!Q$2:Q$61)</f>
        <v/>
      </c>
      <c r="Y29" s="49">
        <f>SUMIFS('Cohort x age'!$AA$2:$AA$1831,'Cohort x age'!$C$2:$C$1831,A29)</f>
        <v/>
      </c>
      <c r="Z29" s="49">
        <f>SUMIFS('Cohort x age'!$AB$2:$AB$1831,'Cohort x age'!$C$2:$C$1831,A29)</f>
        <v/>
      </c>
      <c r="AA29" s="49">
        <f>SUMIFS('Cohort x age'!$AC$2:$AC$1831,'Cohort x age'!$C$2:$C$1831,A29)</f>
        <v/>
      </c>
      <c r="AB29" s="49">
        <f>SUMIFS('Cohort x age'!$AD$2:$AD$1831,'Cohort x age'!$C$2:$C$1831,A29)</f>
        <v/>
      </c>
      <c r="AC29" s="49">
        <f>SUMIFS('Cohort x age'!$AG$2:$AG$1831,'Cohort x age'!$C$2:$C$1831,A29)</f>
        <v/>
      </c>
      <c r="AD29" s="49">
        <f>SUMIFS('Cohort x age'!$AJ$2:$AJ$1831,'Cohort x age'!$C$2:$C$1831,A29)</f>
        <v/>
      </c>
      <c r="AE29" s="49">
        <f>SUMIFS('Cohort x age'!$AM$2:$AM$1831,'Cohort x age'!$C$2:$C$1831,A29)</f>
        <v/>
      </c>
      <c r="AF29" s="49">
        <f>SUMIFS('Cohort x age'!$AP$2:$AP$1831,'Cohort x age'!$C$2:$C$1831,A29)</f>
        <v/>
      </c>
      <c r="AG29" s="49">
        <f>SUMIFS('Cohort x age'!$AS$2:$AS$1831,'Cohort x age'!$C$2:$C$1831,A29)</f>
        <v/>
      </c>
      <c r="AH29" s="49">
        <f>SUMIFS('Cohort x age'!$AU$2:$AU$1831,'Cohort x age'!$C$2:$C$1831,A29)</f>
        <v/>
      </c>
      <c r="AI29" s="49">
        <f>SUMIFS('Cohort x age'!$AX$2:$AX$1831,'Cohort x age'!$C$2:$C$1831,A29)</f>
        <v/>
      </c>
      <c r="AJ29" s="49">
        <f>SUMIFS('Cohort x age'!$BB$2:$BB$1831,'Cohort x age'!$C$2:$C$1831,A29)</f>
        <v/>
      </c>
      <c r="AK29" s="49">
        <f>SUMIFS('Cohort x age'!$BE$2:$BE$1831,'Cohort x age'!$C$2:$C$1831,A29)</f>
        <v/>
      </c>
      <c r="AL29" s="49">
        <f>SUMIFS('Cohort x age'!$BG$2:$BG$1831,'Cohort x age'!$C$2:$C$1831,A29)</f>
        <v/>
      </c>
      <c r="AM29" s="49">
        <f>SUMIFS('Cohort x age'!$BJ$2:$BJ$1831,'Cohort x age'!$C$2:$C$1831,A29)</f>
        <v/>
      </c>
      <c r="AN29" s="49">
        <f>SUMIFS('Cohort x age'!$BL$2:$BL$1831,'Cohort x age'!$C$2:$C$1831,A29)</f>
        <v/>
      </c>
      <c r="AO29" s="49">
        <f>SUMIFS('Cohort x age'!$BO$2:$BO$1831,'Cohort x age'!$C$2:$C$1831,A29)</f>
        <v/>
      </c>
      <c r="AP29" s="49">
        <f>SUMIFS('Cohort x age'!$BR$2:$BR$1831,'Cohort x age'!$C$2:$C$1831,A29)</f>
        <v/>
      </c>
      <c r="AQ29" s="49">
        <f>SUMIFS('Cohort x age'!$BT$2:$BT$1831,'Cohort x age'!$C$2:$C$1831,A29)</f>
        <v/>
      </c>
      <c r="AR29" s="49">
        <f>SUMIFS('Cohort x age'!$BV$2:$BV$1831,'Cohort x age'!$C$2:$C$1831,A29)</f>
        <v/>
      </c>
      <c r="AS29" s="49">
        <f>SUMIFS('Cohort x age'!$BX$2:$BX$1831,'Cohort x age'!$C$2:$C$1831,A29)</f>
        <v/>
      </c>
      <c r="AT29" s="49">
        <f>SUMIFS('Cohort x age'!$CA$2:$CA$1831,'Cohort x age'!$C$2:$C$1831,A29)</f>
        <v/>
      </c>
      <c r="AU29" s="49">
        <f>SUMIFS('Cohort x age'!$CD$2:$CD$1831,'Cohort x age'!$C$2:$C$1831,A29)</f>
        <v/>
      </c>
      <c r="AV29" s="9">
        <f>SUM(X29:AS29)</f>
        <v/>
      </c>
      <c r="AW29" s="9">
        <f>in_salary</f>
        <v/>
      </c>
      <c r="AX29" s="9">
        <f>MAX(0,G29-in_capacity)*in_extra_capacity_cost/in_helper_visits</f>
        <v/>
      </c>
      <c r="AY29" s="49">
        <f>SUMPRODUCT('Sign-ups by age'!AC$2:AC$61,'Age profile'!R$2:R$61)</f>
        <v/>
      </c>
      <c r="AZ29" s="49">
        <f>SUMPRODUCT('Sign-ups by age'!AC$2:AC$61,'Age profile'!S$2:S$61)</f>
        <v/>
      </c>
      <c r="BA29" s="9">
        <f>in_cash_cover</f>
        <v/>
      </c>
      <c r="BB29" s="9">
        <f>IF(A29&lt;=in_growth_months,in_agent_balance_pay,in_agent_pay_after)/12*K29</f>
        <v/>
      </c>
      <c r="BC29" s="9">
        <f>AW29+AX29+AY29+AZ29+BA29+BB29</f>
        <v/>
      </c>
      <c r="BD29" s="9">
        <f>AV29-BC29</f>
        <v/>
      </c>
      <c r="BE29" s="40">
        <f>1/(1+d_dm)^A29</f>
        <v/>
      </c>
      <c r="BF29" s="9">
        <f>BD29*BE29</f>
        <v/>
      </c>
      <c r="BG29" s="9">
        <f>IF(A29=1,BF29,BG28+BF29)</f>
        <v/>
      </c>
      <c r="BH29" s="9">
        <f>IF(A29=1,BD29,BH28+BD29)</f>
        <v/>
      </c>
      <c r="BI29" s="39">
        <f>IF(AND(BH29&gt;=0,BI30=1),1,0)</f>
        <v/>
      </c>
      <c r="BJ29" s="39">
        <f>IF(BI29=1,A29,999)</f>
        <v/>
      </c>
      <c r="BK29" s="40">
        <f>1/(1+d_dm20)^A29</f>
        <v/>
      </c>
    </row>
    <row r="30">
      <c r="A30" s="39" t="n">
        <v>29</v>
      </c>
      <c r="B30" s="48">
        <f>MIN(in_signup_cap,in_signups_run*IF(in_ramp_months&gt;0,MIN(1,0.5+0.5*(A30-1)/in_ramp_months),1)*(1+in_signup_growth)^INT((A30-1)/12))</f>
        <v/>
      </c>
      <c r="C30" s="44">
        <f>SUMPRODUCT('Sign-ups by age'!AD$2:AD$61,'Age profile'!B$2:B$61)</f>
        <v/>
      </c>
      <c r="D30" s="44">
        <f>SUMPRODUCT('Sign-ups by age'!AD$2:AD$61,'Age profile'!C$2:C$61)</f>
        <v/>
      </c>
      <c r="E30" s="44">
        <f>SUMPRODUCT('Sign-ups by age'!AD$2:AD$61,'Age profile'!M$2:M$61)</f>
        <v/>
      </c>
      <c r="F30" s="44">
        <f>SUMPRODUCT('Sign-ups by age'!AD$2:AD$61,'Age profile'!K$2:K$61)</f>
        <v/>
      </c>
      <c r="G30" s="44">
        <f>SUMPRODUCT('Sign-ups by age'!AD$2:AD$61,'Age profile'!L$2:L$61)</f>
        <v/>
      </c>
      <c r="H30" s="11">
        <f>IF(C30&gt;0,1-F30/C30,0)</f>
        <v/>
      </c>
      <c r="I30" s="11">
        <f>IF(C30&gt;0,MAX(0,1-in_capacity*in_visit_every/C30),0)</f>
        <v/>
      </c>
      <c r="J30" s="49">
        <f>SUMPRODUCT('Sign-ups by age'!AD$2:AD$61,'Age profile'!E$2:E$61)</f>
        <v/>
      </c>
      <c r="K30" s="49">
        <f>SUMPRODUCT('Sign-ups by age'!AD$2:AD$61,'Age profile'!H$2:H$61)</f>
        <v/>
      </c>
      <c r="L30" s="44">
        <f>SUMIFS('Cohort x age'!$Q$2:$Q$1831,'Cohort x age'!$C$2:$C$1831,A30)</f>
        <v/>
      </c>
      <c r="M30" s="50">
        <f>SUMIFS('Cohort x age'!$L$2:$L$1831,'Cohort x age'!$C$2:$C$1831,A30)</f>
        <v/>
      </c>
      <c r="N30" s="50">
        <f>SUMIFS('Cohort x age'!$M$2:$M$1831,'Cohort x age'!$C$2:$C$1831,A30)</f>
        <v/>
      </c>
      <c r="O30" s="50">
        <f>SUMIFS('Cohort x age'!$N$2:$N$1831,'Cohort x age'!$C$2:$C$1831,A30)</f>
        <v/>
      </c>
      <c r="P30" s="50">
        <f>SUMIFS('Cohort x age'!$T$2:$T$1831,'Cohort x age'!$C$2:$C$1831,A30)</f>
        <v/>
      </c>
      <c r="Q30" s="49">
        <f>SUMIFS('Cohort x age'!$U$2:$U$1831,'Cohort x age'!$C$2:$C$1831,A30)</f>
        <v/>
      </c>
      <c r="R30" s="49">
        <f>SUMIFS('Cohort x age'!$V$2:$V$1831,'Cohort x age'!$C$2:$C$1831,A30)</f>
        <v/>
      </c>
      <c r="S30" s="44">
        <f>SUMIFS('Cohort x age'!$P$2:$P$1831,'Cohort x age'!$C$2:$C$1831,A30)</f>
        <v/>
      </c>
      <c r="T30" s="44">
        <f>SUMIFS('Cohort x age'!$R$2:$R$1831,'Cohort x age'!$C$2:$C$1831,A30)</f>
        <v/>
      </c>
      <c r="U30" s="50">
        <f>SUMIFS('Cohort x age'!$X$2:$X$1831,'Cohort x age'!$C$2:$C$1831,A30)</f>
        <v/>
      </c>
      <c r="V30" s="50">
        <f>SUMIFS('Cohort x age'!$Y$2:$Y$1831,'Cohort x age'!$C$2:$C$1831,A30)</f>
        <v/>
      </c>
      <c r="W30" s="50">
        <f>SUMIFS('Cohort x age'!$Z$2:$Z$1831,'Cohort x age'!$C$2:$C$1831,A30)</f>
        <v/>
      </c>
      <c r="X30" s="49">
        <f>SUMPRODUCT('Sign-ups by age'!AD$2:AD$61,'Age profile'!Q$2:Q$61)</f>
        <v/>
      </c>
      <c r="Y30" s="49">
        <f>SUMIFS('Cohort x age'!$AA$2:$AA$1831,'Cohort x age'!$C$2:$C$1831,A30)</f>
        <v/>
      </c>
      <c r="Z30" s="49">
        <f>SUMIFS('Cohort x age'!$AB$2:$AB$1831,'Cohort x age'!$C$2:$C$1831,A30)</f>
        <v/>
      </c>
      <c r="AA30" s="49">
        <f>SUMIFS('Cohort x age'!$AC$2:$AC$1831,'Cohort x age'!$C$2:$C$1831,A30)</f>
        <v/>
      </c>
      <c r="AB30" s="49">
        <f>SUMIFS('Cohort x age'!$AD$2:$AD$1831,'Cohort x age'!$C$2:$C$1831,A30)</f>
        <v/>
      </c>
      <c r="AC30" s="49">
        <f>SUMIFS('Cohort x age'!$AG$2:$AG$1831,'Cohort x age'!$C$2:$C$1831,A30)</f>
        <v/>
      </c>
      <c r="AD30" s="49">
        <f>SUMIFS('Cohort x age'!$AJ$2:$AJ$1831,'Cohort x age'!$C$2:$C$1831,A30)</f>
        <v/>
      </c>
      <c r="AE30" s="49">
        <f>SUMIFS('Cohort x age'!$AM$2:$AM$1831,'Cohort x age'!$C$2:$C$1831,A30)</f>
        <v/>
      </c>
      <c r="AF30" s="49">
        <f>SUMIFS('Cohort x age'!$AP$2:$AP$1831,'Cohort x age'!$C$2:$C$1831,A30)</f>
        <v/>
      </c>
      <c r="AG30" s="49">
        <f>SUMIFS('Cohort x age'!$AS$2:$AS$1831,'Cohort x age'!$C$2:$C$1831,A30)</f>
        <v/>
      </c>
      <c r="AH30" s="49">
        <f>SUMIFS('Cohort x age'!$AU$2:$AU$1831,'Cohort x age'!$C$2:$C$1831,A30)</f>
        <v/>
      </c>
      <c r="AI30" s="49">
        <f>SUMIFS('Cohort x age'!$AX$2:$AX$1831,'Cohort x age'!$C$2:$C$1831,A30)</f>
        <v/>
      </c>
      <c r="AJ30" s="49">
        <f>SUMIFS('Cohort x age'!$BB$2:$BB$1831,'Cohort x age'!$C$2:$C$1831,A30)</f>
        <v/>
      </c>
      <c r="AK30" s="49">
        <f>SUMIFS('Cohort x age'!$BE$2:$BE$1831,'Cohort x age'!$C$2:$C$1831,A30)</f>
        <v/>
      </c>
      <c r="AL30" s="49">
        <f>SUMIFS('Cohort x age'!$BG$2:$BG$1831,'Cohort x age'!$C$2:$C$1831,A30)</f>
        <v/>
      </c>
      <c r="AM30" s="49">
        <f>SUMIFS('Cohort x age'!$BJ$2:$BJ$1831,'Cohort x age'!$C$2:$C$1831,A30)</f>
        <v/>
      </c>
      <c r="AN30" s="49">
        <f>SUMIFS('Cohort x age'!$BL$2:$BL$1831,'Cohort x age'!$C$2:$C$1831,A30)</f>
        <v/>
      </c>
      <c r="AO30" s="49">
        <f>SUMIFS('Cohort x age'!$BO$2:$BO$1831,'Cohort x age'!$C$2:$C$1831,A30)</f>
        <v/>
      </c>
      <c r="AP30" s="49">
        <f>SUMIFS('Cohort x age'!$BR$2:$BR$1831,'Cohort x age'!$C$2:$C$1831,A30)</f>
        <v/>
      </c>
      <c r="AQ30" s="49">
        <f>SUMIFS('Cohort x age'!$BT$2:$BT$1831,'Cohort x age'!$C$2:$C$1831,A30)</f>
        <v/>
      </c>
      <c r="AR30" s="49">
        <f>SUMIFS('Cohort x age'!$BV$2:$BV$1831,'Cohort x age'!$C$2:$C$1831,A30)</f>
        <v/>
      </c>
      <c r="AS30" s="49">
        <f>SUMIFS('Cohort x age'!$BX$2:$BX$1831,'Cohort x age'!$C$2:$C$1831,A30)</f>
        <v/>
      </c>
      <c r="AT30" s="49">
        <f>SUMIFS('Cohort x age'!$CA$2:$CA$1831,'Cohort x age'!$C$2:$C$1831,A30)</f>
        <v/>
      </c>
      <c r="AU30" s="49">
        <f>SUMIFS('Cohort x age'!$CD$2:$CD$1831,'Cohort x age'!$C$2:$C$1831,A30)</f>
        <v/>
      </c>
      <c r="AV30" s="9">
        <f>SUM(X30:AS30)</f>
        <v/>
      </c>
      <c r="AW30" s="9">
        <f>in_salary</f>
        <v/>
      </c>
      <c r="AX30" s="9">
        <f>MAX(0,G30-in_capacity)*in_extra_capacity_cost/in_helper_visits</f>
        <v/>
      </c>
      <c r="AY30" s="49">
        <f>SUMPRODUCT('Sign-ups by age'!AD$2:AD$61,'Age profile'!R$2:R$61)</f>
        <v/>
      </c>
      <c r="AZ30" s="49">
        <f>SUMPRODUCT('Sign-ups by age'!AD$2:AD$61,'Age profile'!S$2:S$61)</f>
        <v/>
      </c>
      <c r="BA30" s="9">
        <f>in_cash_cover</f>
        <v/>
      </c>
      <c r="BB30" s="9">
        <f>IF(A30&lt;=in_growth_months,in_agent_balance_pay,in_agent_pay_after)/12*K30</f>
        <v/>
      </c>
      <c r="BC30" s="9">
        <f>AW30+AX30+AY30+AZ30+BA30+BB30</f>
        <v/>
      </c>
      <c r="BD30" s="9">
        <f>AV30-BC30</f>
        <v/>
      </c>
      <c r="BE30" s="40">
        <f>1/(1+d_dm)^A30</f>
        <v/>
      </c>
      <c r="BF30" s="9">
        <f>BD30*BE30</f>
        <v/>
      </c>
      <c r="BG30" s="9">
        <f>IF(A30=1,BF30,BG29+BF30)</f>
        <v/>
      </c>
      <c r="BH30" s="9">
        <f>IF(A30=1,BD30,BH29+BD30)</f>
        <v/>
      </c>
      <c r="BI30" s="39">
        <f>IF(AND(BH30&gt;=0,BI31=1),1,0)</f>
        <v/>
      </c>
      <c r="BJ30" s="39">
        <f>IF(BI30=1,A30,999)</f>
        <v/>
      </c>
      <c r="BK30" s="40">
        <f>1/(1+d_dm20)^A30</f>
        <v/>
      </c>
    </row>
    <row r="31">
      <c r="A31" s="39" t="n">
        <v>30</v>
      </c>
      <c r="B31" s="48">
        <f>MIN(in_signup_cap,in_signups_run*IF(in_ramp_months&gt;0,MIN(1,0.5+0.5*(A31-1)/in_ramp_months),1)*(1+in_signup_growth)^INT((A31-1)/12))</f>
        <v/>
      </c>
      <c r="C31" s="44">
        <f>SUMPRODUCT('Sign-ups by age'!AE$2:AE$61,'Age profile'!B$2:B$61)</f>
        <v/>
      </c>
      <c r="D31" s="44">
        <f>SUMPRODUCT('Sign-ups by age'!AE$2:AE$61,'Age profile'!C$2:C$61)</f>
        <v/>
      </c>
      <c r="E31" s="44">
        <f>SUMPRODUCT('Sign-ups by age'!AE$2:AE$61,'Age profile'!M$2:M$61)</f>
        <v/>
      </c>
      <c r="F31" s="44">
        <f>SUMPRODUCT('Sign-ups by age'!AE$2:AE$61,'Age profile'!K$2:K$61)</f>
        <v/>
      </c>
      <c r="G31" s="44">
        <f>SUMPRODUCT('Sign-ups by age'!AE$2:AE$61,'Age profile'!L$2:L$61)</f>
        <v/>
      </c>
      <c r="H31" s="11">
        <f>IF(C31&gt;0,1-F31/C31,0)</f>
        <v/>
      </c>
      <c r="I31" s="11">
        <f>IF(C31&gt;0,MAX(0,1-in_capacity*in_visit_every/C31),0)</f>
        <v/>
      </c>
      <c r="J31" s="49">
        <f>SUMPRODUCT('Sign-ups by age'!AE$2:AE$61,'Age profile'!E$2:E$61)</f>
        <v/>
      </c>
      <c r="K31" s="49">
        <f>SUMPRODUCT('Sign-ups by age'!AE$2:AE$61,'Age profile'!H$2:H$61)</f>
        <v/>
      </c>
      <c r="L31" s="44">
        <f>SUMIFS('Cohort x age'!$Q$2:$Q$1831,'Cohort x age'!$C$2:$C$1831,A31)</f>
        <v/>
      </c>
      <c r="M31" s="50">
        <f>SUMIFS('Cohort x age'!$L$2:$L$1831,'Cohort x age'!$C$2:$C$1831,A31)</f>
        <v/>
      </c>
      <c r="N31" s="50">
        <f>SUMIFS('Cohort x age'!$M$2:$M$1831,'Cohort x age'!$C$2:$C$1831,A31)</f>
        <v/>
      </c>
      <c r="O31" s="50">
        <f>SUMIFS('Cohort x age'!$N$2:$N$1831,'Cohort x age'!$C$2:$C$1831,A31)</f>
        <v/>
      </c>
      <c r="P31" s="50">
        <f>SUMIFS('Cohort x age'!$T$2:$T$1831,'Cohort x age'!$C$2:$C$1831,A31)</f>
        <v/>
      </c>
      <c r="Q31" s="49">
        <f>SUMIFS('Cohort x age'!$U$2:$U$1831,'Cohort x age'!$C$2:$C$1831,A31)</f>
        <v/>
      </c>
      <c r="R31" s="49">
        <f>SUMIFS('Cohort x age'!$V$2:$V$1831,'Cohort x age'!$C$2:$C$1831,A31)</f>
        <v/>
      </c>
      <c r="S31" s="44">
        <f>SUMIFS('Cohort x age'!$P$2:$P$1831,'Cohort x age'!$C$2:$C$1831,A31)</f>
        <v/>
      </c>
      <c r="T31" s="44">
        <f>SUMIFS('Cohort x age'!$R$2:$R$1831,'Cohort x age'!$C$2:$C$1831,A31)</f>
        <v/>
      </c>
      <c r="U31" s="50">
        <f>SUMIFS('Cohort x age'!$X$2:$X$1831,'Cohort x age'!$C$2:$C$1831,A31)</f>
        <v/>
      </c>
      <c r="V31" s="50">
        <f>SUMIFS('Cohort x age'!$Y$2:$Y$1831,'Cohort x age'!$C$2:$C$1831,A31)</f>
        <v/>
      </c>
      <c r="W31" s="50">
        <f>SUMIFS('Cohort x age'!$Z$2:$Z$1831,'Cohort x age'!$C$2:$C$1831,A31)</f>
        <v/>
      </c>
      <c r="X31" s="49">
        <f>SUMPRODUCT('Sign-ups by age'!AE$2:AE$61,'Age profile'!Q$2:Q$61)</f>
        <v/>
      </c>
      <c r="Y31" s="49">
        <f>SUMIFS('Cohort x age'!$AA$2:$AA$1831,'Cohort x age'!$C$2:$C$1831,A31)</f>
        <v/>
      </c>
      <c r="Z31" s="49">
        <f>SUMIFS('Cohort x age'!$AB$2:$AB$1831,'Cohort x age'!$C$2:$C$1831,A31)</f>
        <v/>
      </c>
      <c r="AA31" s="49">
        <f>SUMIFS('Cohort x age'!$AC$2:$AC$1831,'Cohort x age'!$C$2:$C$1831,A31)</f>
        <v/>
      </c>
      <c r="AB31" s="49">
        <f>SUMIFS('Cohort x age'!$AD$2:$AD$1831,'Cohort x age'!$C$2:$C$1831,A31)</f>
        <v/>
      </c>
      <c r="AC31" s="49">
        <f>SUMIFS('Cohort x age'!$AG$2:$AG$1831,'Cohort x age'!$C$2:$C$1831,A31)</f>
        <v/>
      </c>
      <c r="AD31" s="49">
        <f>SUMIFS('Cohort x age'!$AJ$2:$AJ$1831,'Cohort x age'!$C$2:$C$1831,A31)</f>
        <v/>
      </c>
      <c r="AE31" s="49">
        <f>SUMIFS('Cohort x age'!$AM$2:$AM$1831,'Cohort x age'!$C$2:$C$1831,A31)</f>
        <v/>
      </c>
      <c r="AF31" s="49">
        <f>SUMIFS('Cohort x age'!$AP$2:$AP$1831,'Cohort x age'!$C$2:$C$1831,A31)</f>
        <v/>
      </c>
      <c r="AG31" s="49">
        <f>SUMIFS('Cohort x age'!$AS$2:$AS$1831,'Cohort x age'!$C$2:$C$1831,A31)</f>
        <v/>
      </c>
      <c r="AH31" s="49">
        <f>SUMIFS('Cohort x age'!$AU$2:$AU$1831,'Cohort x age'!$C$2:$C$1831,A31)</f>
        <v/>
      </c>
      <c r="AI31" s="49">
        <f>SUMIFS('Cohort x age'!$AX$2:$AX$1831,'Cohort x age'!$C$2:$C$1831,A31)</f>
        <v/>
      </c>
      <c r="AJ31" s="49">
        <f>SUMIFS('Cohort x age'!$BB$2:$BB$1831,'Cohort x age'!$C$2:$C$1831,A31)</f>
        <v/>
      </c>
      <c r="AK31" s="49">
        <f>SUMIFS('Cohort x age'!$BE$2:$BE$1831,'Cohort x age'!$C$2:$C$1831,A31)</f>
        <v/>
      </c>
      <c r="AL31" s="49">
        <f>SUMIFS('Cohort x age'!$BG$2:$BG$1831,'Cohort x age'!$C$2:$C$1831,A31)</f>
        <v/>
      </c>
      <c r="AM31" s="49">
        <f>SUMIFS('Cohort x age'!$BJ$2:$BJ$1831,'Cohort x age'!$C$2:$C$1831,A31)</f>
        <v/>
      </c>
      <c r="AN31" s="49">
        <f>SUMIFS('Cohort x age'!$BL$2:$BL$1831,'Cohort x age'!$C$2:$C$1831,A31)</f>
        <v/>
      </c>
      <c r="AO31" s="49">
        <f>SUMIFS('Cohort x age'!$BO$2:$BO$1831,'Cohort x age'!$C$2:$C$1831,A31)</f>
        <v/>
      </c>
      <c r="AP31" s="49">
        <f>SUMIFS('Cohort x age'!$BR$2:$BR$1831,'Cohort x age'!$C$2:$C$1831,A31)</f>
        <v/>
      </c>
      <c r="AQ31" s="49">
        <f>SUMIFS('Cohort x age'!$BT$2:$BT$1831,'Cohort x age'!$C$2:$C$1831,A31)</f>
        <v/>
      </c>
      <c r="AR31" s="49">
        <f>SUMIFS('Cohort x age'!$BV$2:$BV$1831,'Cohort x age'!$C$2:$C$1831,A31)</f>
        <v/>
      </c>
      <c r="AS31" s="49">
        <f>SUMIFS('Cohort x age'!$BX$2:$BX$1831,'Cohort x age'!$C$2:$C$1831,A31)</f>
        <v/>
      </c>
      <c r="AT31" s="49">
        <f>SUMIFS('Cohort x age'!$CA$2:$CA$1831,'Cohort x age'!$C$2:$C$1831,A31)</f>
        <v/>
      </c>
      <c r="AU31" s="49">
        <f>SUMIFS('Cohort x age'!$CD$2:$CD$1831,'Cohort x age'!$C$2:$C$1831,A31)</f>
        <v/>
      </c>
      <c r="AV31" s="9">
        <f>SUM(X31:AS31)</f>
        <v/>
      </c>
      <c r="AW31" s="9">
        <f>in_salary</f>
        <v/>
      </c>
      <c r="AX31" s="9">
        <f>MAX(0,G31-in_capacity)*in_extra_capacity_cost/in_helper_visits</f>
        <v/>
      </c>
      <c r="AY31" s="49">
        <f>SUMPRODUCT('Sign-ups by age'!AE$2:AE$61,'Age profile'!R$2:R$61)</f>
        <v/>
      </c>
      <c r="AZ31" s="49">
        <f>SUMPRODUCT('Sign-ups by age'!AE$2:AE$61,'Age profile'!S$2:S$61)</f>
        <v/>
      </c>
      <c r="BA31" s="9">
        <f>in_cash_cover</f>
        <v/>
      </c>
      <c r="BB31" s="9">
        <f>IF(A31&lt;=in_growth_months,in_agent_balance_pay,in_agent_pay_after)/12*K31</f>
        <v/>
      </c>
      <c r="BC31" s="9">
        <f>AW31+AX31+AY31+AZ31+BA31+BB31</f>
        <v/>
      </c>
      <c r="BD31" s="9">
        <f>AV31-BC31</f>
        <v/>
      </c>
      <c r="BE31" s="40">
        <f>1/(1+d_dm)^A31</f>
        <v/>
      </c>
      <c r="BF31" s="9">
        <f>BD31*BE31</f>
        <v/>
      </c>
      <c r="BG31" s="9">
        <f>IF(A31=1,BF31,BG30+BF31)</f>
        <v/>
      </c>
      <c r="BH31" s="9">
        <f>IF(A31=1,BD31,BH30+BD31)</f>
        <v/>
      </c>
      <c r="BI31" s="39">
        <f>IF(AND(BH31&gt;=0,BI32=1),1,0)</f>
        <v/>
      </c>
      <c r="BJ31" s="39">
        <f>IF(BI31=1,A31,999)</f>
        <v/>
      </c>
      <c r="BK31" s="40">
        <f>1/(1+d_dm20)^A31</f>
        <v/>
      </c>
    </row>
    <row r="32">
      <c r="A32" s="39" t="n">
        <v>31</v>
      </c>
      <c r="B32" s="48">
        <f>MIN(in_signup_cap,in_signups_run*IF(in_ramp_months&gt;0,MIN(1,0.5+0.5*(A32-1)/in_ramp_months),1)*(1+in_signup_growth)^INT((A32-1)/12))</f>
        <v/>
      </c>
      <c r="C32" s="44">
        <f>SUMPRODUCT('Sign-ups by age'!AF$2:AF$61,'Age profile'!B$2:B$61)</f>
        <v/>
      </c>
      <c r="D32" s="44">
        <f>SUMPRODUCT('Sign-ups by age'!AF$2:AF$61,'Age profile'!C$2:C$61)</f>
        <v/>
      </c>
      <c r="E32" s="44">
        <f>SUMPRODUCT('Sign-ups by age'!AF$2:AF$61,'Age profile'!M$2:M$61)</f>
        <v/>
      </c>
      <c r="F32" s="44">
        <f>SUMPRODUCT('Sign-ups by age'!AF$2:AF$61,'Age profile'!K$2:K$61)</f>
        <v/>
      </c>
      <c r="G32" s="44">
        <f>SUMPRODUCT('Sign-ups by age'!AF$2:AF$61,'Age profile'!L$2:L$61)</f>
        <v/>
      </c>
      <c r="H32" s="11">
        <f>IF(C32&gt;0,1-F32/C32,0)</f>
        <v/>
      </c>
      <c r="I32" s="11">
        <f>IF(C32&gt;0,MAX(0,1-in_capacity*in_visit_every/C32),0)</f>
        <v/>
      </c>
      <c r="J32" s="49">
        <f>SUMPRODUCT('Sign-ups by age'!AF$2:AF$61,'Age profile'!E$2:E$61)</f>
        <v/>
      </c>
      <c r="K32" s="49">
        <f>SUMPRODUCT('Sign-ups by age'!AF$2:AF$61,'Age profile'!H$2:H$61)</f>
        <v/>
      </c>
      <c r="L32" s="44">
        <f>SUMIFS('Cohort x age'!$Q$2:$Q$1831,'Cohort x age'!$C$2:$C$1831,A32)</f>
        <v/>
      </c>
      <c r="M32" s="50">
        <f>SUMIFS('Cohort x age'!$L$2:$L$1831,'Cohort x age'!$C$2:$C$1831,A32)</f>
        <v/>
      </c>
      <c r="N32" s="50">
        <f>SUMIFS('Cohort x age'!$M$2:$M$1831,'Cohort x age'!$C$2:$C$1831,A32)</f>
        <v/>
      </c>
      <c r="O32" s="50">
        <f>SUMIFS('Cohort x age'!$N$2:$N$1831,'Cohort x age'!$C$2:$C$1831,A32)</f>
        <v/>
      </c>
      <c r="P32" s="50">
        <f>SUMIFS('Cohort x age'!$T$2:$T$1831,'Cohort x age'!$C$2:$C$1831,A32)</f>
        <v/>
      </c>
      <c r="Q32" s="49">
        <f>SUMIFS('Cohort x age'!$U$2:$U$1831,'Cohort x age'!$C$2:$C$1831,A32)</f>
        <v/>
      </c>
      <c r="R32" s="49">
        <f>SUMIFS('Cohort x age'!$V$2:$V$1831,'Cohort x age'!$C$2:$C$1831,A32)</f>
        <v/>
      </c>
      <c r="S32" s="44">
        <f>SUMIFS('Cohort x age'!$P$2:$P$1831,'Cohort x age'!$C$2:$C$1831,A32)</f>
        <v/>
      </c>
      <c r="T32" s="44">
        <f>SUMIFS('Cohort x age'!$R$2:$R$1831,'Cohort x age'!$C$2:$C$1831,A32)</f>
        <v/>
      </c>
      <c r="U32" s="50">
        <f>SUMIFS('Cohort x age'!$X$2:$X$1831,'Cohort x age'!$C$2:$C$1831,A32)</f>
        <v/>
      </c>
      <c r="V32" s="50">
        <f>SUMIFS('Cohort x age'!$Y$2:$Y$1831,'Cohort x age'!$C$2:$C$1831,A32)</f>
        <v/>
      </c>
      <c r="W32" s="50">
        <f>SUMIFS('Cohort x age'!$Z$2:$Z$1831,'Cohort x age'!$C$2:$C$1831,A32)</f>
        <v/>
      </c>
      <c r="X32" s="49">
        <f>SUMPRODUCT('Sign-ups by age'!AF$2:AF$61,'Age profile'!Q$2:Q$61)</f>
        <v/>
      </c>
      <c r="Y32" s="49">
        <f>SUMIFS('Cohort x age'!$AA$2:$AA$1831,'Cohort x age'!$C$2:$C$1831,A32)</f>
        <v/>
      </c>
      <c r="Z32" s="49">
        <f>SUMIFS('Cohort x age'!$AB$2:$AB$1831,'Cohort x age'!$C$2:$C$1831,A32)</f>
        <v/>
      </c>
      <c r="AA32" s="49">
        <f>SUMIFS('Cohort x age'!$AC$2:$AC$1831,'Cohort x age'!$C$2:$C$1831,A32)</f>
        <v/>
      </c>
      <c r="AB32" s="49">
        <f>SUMIFS('Cohort x age'!$AD$2:$AD$1831,'Cohort x age'!$C$2:$C$1831,A32)</f>
        <v/>
      </c>
      <c r="AC32" s="49">
        <f>SUMIFS('Cohort x age'!$AG$2:$AG$1831,'Cohort x age'!$C$2:$C$1831,A32)</f>
        <v/>
      </c>
      <c r="AD32" s="49">
        <f>SUMIFS('Cohort x age'!$AJ$2:$AJ$1831,'Cohort x age'!$C$2:$C$1831,A32)</f>
        <v/>
      </c>
      <c r="AE32" s="49">
        <f>SUMIFS('Cohort x age'!$AM$2:$AM$1831,'Cohort x age'!$C$2:$C$1831,A32)</f>
        <v/>
      </c>
      <c r="AF32" s="49">
        <f>SUMIFS('Cohort x age'!$AP$2:$AP$1831,'Cohort x age'!$C$2:$C$1831,A32)</f>
        <v/>
      </c>
      <c r="AG32" s="49">
        <f>SUMIFS('Cohort x age'!$AS$2:$AS$1831,'Cohort x age'!$C$2:$C$1831,A32)</f>
        <v/>
      </c>
      <c r="AH32" s="49">
        <f>SUMIFS('Cohort x age'!$AU$2:$AU$1831,'Cohort x age'!$C$2:$C$1831,A32)</f>
        <v/>
      </c>
      <c r="AI32" s="49">
        <f>SUMIFS('Cohort x age'!$AX$2:$AX$1831,'Cohort x age'!$C$2:$C$1831,A32)</f>
        <v/>
      </c>
      <c r="AJ32" s="49">
        <f>SUMIFS('Cohort x age'!$BB$2:$BB$1831,'Cohort x age'!$C$2:$C$1831,A32)</f>
        <v/>
      </c>
      <c r="AK32" s="49">
        <f>SUMIFS('Cohort x age'!$BE$2:$BE$1831,'Cohort x age'!$C$2:$C$1831,A32)</f>
        <v/>
      </c>
      <c r="AL32" s="49">
        <f>SUMIFS('Cohort x age'!$BG$2:$BG$1831,'Cohort x age'!$C$2:$C$1831,A32)</f>
        <v/>
      </c>
      <c r="AM32" s="49">
        <f>SUMIFS('Cohort x age'!$BJ$2:$BJ$1831,'Cohort x age'!$C$2:$C$1831,A32)</f>
        <v/>
      </c>
      <c r="AN32" s="49">
        <f>SUMIFS('Cohort x age'!$BL$2:$BL$1831,'Cohort x age'!$C$2:$C$1831,A32)</f>
        <v/>
      </c>
      <c r="AO32" s="49">
        <f>SUMIFS('Cohort x age'!$BO$2:$BO$1831,'Cohort x age'!$C$2:$C$1831,A32)</f>
        <v/>
      </c>
      <c r="AP32" s="49">
        <f>SUMIFS('Cohort x age'!$BR$2:$BR$1831,'Cohort x age'!$C$2:$C$1831,A32)</f>
        <v/>
      </c>
      <c r="AQ32" s="49">
        <f>SUMIFS('Cohort x age'!$BT$2:$BT$1831,'Cohort x age'!$C$2:$C$1831,A32)</f>
        <v/>
      </c>
      <c r="AR32" s="49">
        <f>SUMIFS('Cohort x age'!$BV$2:$BV$1831,'Cohort x age'!$C$2:$C$1831,A32)</f>
        <v/>
      </c>
      <c r="AS32" s="49">
        <f>SUMIFS('Cohort x age'!$BX$2:$BX$1831,'Cohort x age'!$C$2:$C$1831,A32)</f>
        <v/>
      </c>
      <c r="AT32" s="49">
        <f>SUMIFS('Cohort x age'!$CA$2:$CA$1831,'Cohort x age'!$C$2:$C$1831,A32)</f>
        <v/>
      </c>
      <c r="AU32" s="49">
        <f>SUMIFS('Cohort x age'!$CD$2:$CD$1831,'Cohort x age'!$C$2:$C$1831,A32)</f>
        <v/>
      </c>
      <c r="AV32" s="9">
        <f>SUM(X32:AS32)</f>
        <v/>
      </c>
      <c r="AW32" s="9">
        <f>in_salary</f>
        <v/>
      </c>
      <c r="AX32" s="9">
        <f>MAX(0,G32-in_capacity)*in_extra_capacity_cost/in_helper_visits</f>
        <v/>
      </c>
      <c r="AY32" s="49">
        <f>SUMPRODUCT('Sign-ups by age'!AF$2:AF$61,'Age profile'!R$2:R$61)</f>
        <v/>
      </c>
      <c r="AZ32" s="49">
        <f>SUMPRODUCT('Sign-ups by age'!AF$2:AF$61,'Age profile'!S$2:S$61)</f>
        <v/>
      </c>
      <c r="BA32" s="9">
        <f>in_cash_cover</f>
        <v/>
      </c>
      <c r="BB32" s="9">
        <f>IF(A32&lt;=in_growth_months,in_agent_balance_pay,in_agent_pay_after)/12*K32</f>
        <v/>
      </c>
      <c r="BC32" s="9">
        <f>AW32+AX32+AY32+AZ32+BA32+BB32</f>
        <v/>
      </c>
      <c r="BD32" s="9">
        <f>AV32-BC32</f>
        <v/>
      </c>
      <c r="BE32" s="40">
        <f>1/(1+d_dm)^A32</f>
        <v/>
      </c>
      <c r="BF32" s="9">
        <f>BD32*BE32</f>
        <v/>
      </c>
      <c r="BG32" s="9">
        <f>IF(A32=1,BF32,BG31+BF32)</f>
        <v/>
      </c>
      <c r="BH32" s="9">
        <f>IF(A32=1,BD32,BH31+BD32)</f>
        <v/>
      </c>
      <c r="BI32" s="39">
        <f>IF(AND(BH32&gt;=0,BI33=1),1,0)</f>
        <v/>
      </c>
      <c r="BJ32" s="39">
        <f>IF(BI32=1,A32,999)</f>
        <v/>
      </c>
      <c r="BK32" s="40">
        <f>1/(1+d_dm20)^A32</f>
        <v/>
      </c>
    </row>
    <row r="33">
      <c r="A33" s="39" t="n">
        <v>32</v>
      </c>
      <c r="B33" s="48">
        <f>MIN(in_signup_cap,in_signups_run*IF(in_ramp_months&gt;0,MIN(1,0.5+0.5*(A33-1)/in_ramp_months),1)*(1+in_signup_growth)^INT((A33-1)/12))</f>
        <v/>
      </c>
      <c r="C33" s="44">
        <f>SUMPRODUCT('Sign-ups by age'!AG$2:AG$61,'Age profile'!B$2:B$61)</f>
        <v/>
      </c>
      <c r="D33" s="44">
        <f>SUMPRODUCT('Sign-ups by age'!AG$2:AG$61,'Age profile'!C$2:C$61)</f>
        <v/>
      </c>
      <c r="E33" s="44">
        <f>SUMPRODUCT('Sign-ups by age'!AG$2:AG$61,'Age profile'!M$2:M$61)</f>
        <v/>
      </c>
      <c r="F33" s="44">
        <f>SUMPRODUCT('Sign-ups by age'!AG$2:AG$61,'Age profile'!K$2:K$61)</f>
        <v/>
      </c>
      <c r="G33" s="44">
        <f>SUMPRODUCT('Sign-ups by age'!AG$2:AG$61,'Age profile'!L$2:L$61)</f>
        <v/>
      </c>
      <c r="H33" s="11">
        <f>IF(C33&gt;0,1-F33/C33,0)</f>
        <v/>
      </c>
      <c r="I33" s="11">
        <f>IF(C33&gt;0,MAX(0,1-in_capacity*in_visit_every/C33),0)</f>
        <v/>
      </c>
      <c r="J33" s="49">
        <f>SUMPRODUCT('Sign-ups by age'!AG$2:AG$61,'Age profile'!E$2:E$61)</f>
        <v/>
      </c>
      <c r="K33" s="49">
        <f>SUMPRODUCT('Sign-ups by age'!AG$2:AG$61,'Age profile'!H$2:H$61)</f>
        <v/>
      </c>
      <c r="L33" s="44">
        <f>SUMIFS('Cohort x age'!$Q$2:$Q$1831,'Cohort x age'!$C$2:$C$1831,A33)</f>
        <v/>
      </c>
      <c r="M33" s="50">
        <f>SUMIFS('Cohort x age'!$L$2:$L$1831,'Cohort x age'!$C$2:$C$1831,A33)</f>
        <v/>
      </c>
      <c r="N33" s="50">
        <f>SUMIFS('Cohort x age'!$M$2:$M$1831,'Cohort x age'!$C$2:$C$1831,A33)</f>
        <v/>
      </c>
      <c r="O33" s="50">
        <f>SUMIFS('Cohort x age'!$N$2:$N$1831,'Cohort x age'!$C$2:$C$1831,A33)</f>
        <v/>
      </c>
      <c r="P33" s="50">
        <f>SUMIFS('Cohort x age'!$T$2:$T$1831,'Cohort x age'!$C$2:$C$1831,A33)</f>
        <v/>
      </c>
      <c r="Q33" s="49">
        <f>SUMIFS('Cohort x age'!$U$2:$U$1831,'Cohort x age'!$C$2:$C$1831,A33)</f>
        <v/>
      </c>
      <c r="R33" s="49">
        <f>SUMIFS('Cohort x age'!$V$2:$V$1831,'Cohort x age'!$C$2:$C$1831,A33)</f>
        <v/>
      </c>
      <c r="S33" s="44">
        <f>SUMIFS('Cohort x age'!$P$2:$P$1831,'Cohort x age'!$C$2:$C$1831,A33)</f>
        <v/>
      </c>
      <c r="T33" s="44">
        <f>SUMIFS('Cohort x age'!$R$2:$R$1831,'Cohort x age'!$C$2:$C$1831,A33)</f>
        <v/>
      </c>
      <c r="U33" s="50">
        <f>SUMIFS('Cohort x age'!$X$2:$X$1831,'Cohort x age'!$C$2:$C$1831,A33)</f>
        <v/>
      </c>
      <c r="V33" s="50">
        <f>SUMIFS('Cohort x age'!$Y$2:$Y$1831,'Cohort x age'!$C$2:$C$1831,A33)</f>
        <v/>
      </c>
      <c r="W33" s="50">
        <f>SUMIFS('Cohort x age'!$Z$2:$Z$1831,'Cohort x age'!$C$2:$C$1831,A33)</f>
        <v/>
      </c>
      <c r="X33" s="49">
        <f>SUMPRODUCT('Sign-ups by age'!AG$2:AG$61,'Age profile'!Q$2:Q$61)</f>
        <v/>
      </c>
      <c r="Y33" s="49">
        <f>SUMIFS('Cohort x age'!$AA$2:$AA$1831,'Cohort x age'!$C$2:$C$1831,A33)</f>
        <v/>
      </c>
      <c r="Z33" s="49">
        <f>SUMIFS('Cohort x age'!$AB$2:$AB$1831,'Cohort x age'!$C$2:$C$1831,A33)</f>
        <v/>
      </c>
      <c r="AA33" s="49">
        <f>SUMIFS('Cohort x age'!$AC$2:$AC$1831,'Cohort x age'!$C$2:$C$1831,A33)</f>
        <v/>
      </c>
      <c r="AB33" s="49">
        <f>SUMIFS('Cohort x age'!$AD$2:$AD$1831,'Cohort x age'!$C$2:$C$1831,A33)</f>
        <v/>
      </c>
      <c r="AC33" s="49">
        <f>SUMIFS('Cohort x age'!$AG$2:$AG$1831,'Cohort x age'!$C$2:$C$1831,A33)</f>
        <v/>
      </c>
      <c r="AD33" s="49">
        <f>SUMIFS('Cohort x age'!$AJ$2:$AJ$1831,'Cohort x age'!$C$2:$C$1831,A33)</f>
        <v/>
      </c>
      <c r="AE33" s="49">
        <f>SUMIFS('Cohort x age'!$AM$2:$AM$1831,'Cohort x age'!$C$2:$C$1831,A33)</f>
        <v/>
      </c>
      <c r="AF33" s="49">
        <f>SUMIFS('Cohort x age'!$AP$2:$AP$1831,'Cohort x age'!$C$2:$C$1831,A33)</f>
        <v/>
      </c>
      <c r="AG33" s="49">
        <f>SUMIFS('Cohort x age'!$AS$2:$AS$1831,'Cohort x age'!$C$2:$C$1831,A33)</f>
        <v/>
      </c>
      <c r="AH33" s="49">
        <f>SUMIFS('Cohort x age'!$AU$2:$AU$1831,'Cohort x age'!$C$2:$C$1831,A33)</f>
        <v/>
      </c>
      <c r="AI33" s="49">
        <f>SUMIFS('Cohort x age'!$AX$2:$AX$1831,'Cohort x age'!$C$2:$C$1831,A33)</f>
        <v/>
      </c>
      <c r="AJ33" s="49">
        <f>SUMIFS('Cohort x age'!$BB$2:$BB$1831,'Cohort x age'!$C$2:$C$1831,A33)</f>
        <v/>
      </c>
      <c r="AK33" s="49">
        <f>SUMIFS('Cohort x age'!$BE$2:$BE$1831,'Cohort x age'!$C$2:$C$1831,A33)</f>
        <v/>
      </c>
      <c r="AL33" s="49">
        <f>SUMIFS('Cohort x age'!$BG$2:$BG$1831,'Cohort x age'!$C$2:$C$1831,A33)</f>
        <v/>
      </c>
      <c r="AM33" s="49">
        <f>SUMIFS('Cohort x age'!$BJ$2:$BJ$1831,'Cohort x age'!$C$2:$C$1831,A33)</f>
        <v/>
      </c>
      <c r="AN33" s="49">
        <f>SUMIFS('Cohort x age'!$BL$2:$BL$1831,'Cohort x age'!$C$2:$C$1831,A33)</f>
        <v/>
      </c>
      <c r="AO33" s="49">
        <f>SUMIFS('Cohort x age'!$BO$2:$BO$1831,'Cohort x age'!$C$2:$C$1831,A33)</f>
        <v/>
      </c>
      <c r="AP33" s="49">
        <f>SUMIFS('Cohort x age'!$BR$2:$BR$1831,'Cohort x age'!$C$2:$C$1831,A33)</f>
        <v/>
      </c>
      <c r="AQ33" s="49">
        <f>SUMIFS('Cohort x age'!$BT$2:$BT$1831,'Cohort x age'!$C$2:$C$1831,A33)</f>
        <v/>
      </c>
      <c r="AR33" s="49">
        <f>SUMIFS('Cohort x age'!$BV$2:$BV$1831,'Cohort x age'!$C$2:$C$1831,A33)</f>
        <v/>
      </c>
      <c r="AS33" s="49">
        <f>SUMIFS('Cohort x age'!$BX$2:$BX$1831,'Cohort x age'!$C$2:$C$1831,A33)</f>
        <v/>
      </c>
      <c r="AT33" s="49">
        <f>SUMIFS('Cohort x age'!$CA$2:$CA$1831,'Cohort x age'!$C$2:$C$1831,A33)</f>
        <v/>
      </c>
      <c r="AU33" s="49">
        <f>SUMIFS('Cohort x age'!$CD$2:$CD$1831,'Cohort x age'!$C$2:$C$1831,A33)</f>
        <v/>
      </c>
      <c r="AV33" s="9">
        <f>SUM(X33:AS33)</f>
        <v/>
      </c>
      <c r="AW33" s="9">
        <f>in_salary</f>
        <v/>
      </c>
      <c r="AX33" s="9">
        <f>MAX(0,G33-in_capacity)*in_extra_capacity_cost/in_helper_visits</f>
        <v/>
      </c>
      <c r="AY33" s="49">
        <f>SUMPRODUCT('Sign-ups by age'!AG$2:AG$61,'Age profile'!R$2:R$61)</f>
        <v/>
      </c>
      <c r="AZ33" s="49">
        <f>SUMPRODUCT('Sign-ups by age'!AG$2:AG$61,'Age profile'!S$2:S$61)</f>
        <v/>
      </c>
      <c r="BA33" s="9">
        <f>in_cash_cover</f>
        <v/>
      </c>
      <c r="BB33" s="9">
        <f>IF(A33&lt;=in_growth_months,in_agent_balance_pay,in_agent_pay_after)/12*K33</f>
        <v/>
      </c>
      <c r="BC33" s="9">
        <f>AW33+AX33+AY33+AZ33+BA33+BB33</f>
        <v/>
      </c>
      <c r="BD33" s="9">
        <f>AV33-BC33</f>
        <v/>
      </c>
      <c r="BE33" s="40">
        <f>1/(1+d_dm)^A33</f>
        <v/>
      </c>
      <c r="BF33" s="9">
        <f>BD33*BE33</f>
        <v/>
      </c>
      <c r="BG33" s="9">
        <f>IF(A33=1,BF33,BG32+BF33)</f>
        <v/>
      </c>
      <c r="BH33" s="9">
        <f>IF(A33=1,BD33,BH32+BD33)</f>
        <v/>
      </c>
      <c r="BI33" s="39">
        <f>IF(AND(BH33&gt;=0,BI34=1),1,0)</f>
        <v/>
      </c>
      <c r="BJ33" s="39">
        <f>IF(BI33=1,A33,999)</f>
        <v/>
      </c>
      <c r="BK33" s="40">
        <f>1/(1+d_dm20)^A33</f>
        <v/>
      </c>
    </row>
    <row r="34">
      <c r="A34" s="39" t="n">
        <v>33</v>
      </c>
      <c r="B34" s="48">
        <f>MIN(in_signup_cap,in_signups_run*IF(in_ramp_months&gt;0,MIN(1,0.5+0.5*(A34-1)/in_ramp_months),1)*(1+in_signup_growth)^INT((A34-1)/12))</f>
        <v/>
      </c>
      <c r="C34" s="44">
        <f>SUMPRODUCT('Sign-ups by age'!AH$2:AH$61,'Age profile'!B$2:B$61)</f>
        <v/>
      </c>
      <c r="D34" s="44">
        <f>SUMPRODUCT('Sign-ups by age'!AH$2:AH$61,'Age profile'!C$2:C$61)</f>
        <v/>
      </c>
      <c r="E34" s="44">
        <f>SUMPRODUCT('Sign-ups by age'!AH$2:AH$61,'Age profile'!M$2:M$61)</f>
        <v/>
      </c>
      <c r="F34" s="44">
        <f>SUMPRODUCT('Sign-ups by age'!AH$2:AH$61,'Age profile'!K$2:K$61)</f>
        <v/>
      </c>
      <c r="G34" s="44">
        <f>SUMPRODUCT('Sign-ups by age'!AH$2:AH$61,'Age profile'!L$2:L$61)</f>
        <v/>
      </c>
      <c r="H34" s="11">
        <f>IF(C34&gt;0,1-F34/C34,0)</f>
        <v/>
      </c>
      <c r="I34" s="11">
        <f>IF(C34&gt;0,MAX(0,1-in_capacity*in_visit_every/C34),0)</f>
        <v/>
      </c>
      <c r="J34" s="49">
        <f>SUMPRODUCT('Sign-ups by age'!AH$2:AH$61,'Age profile'!E$2:E$61)</f>
        <v/>
      </c>
      <c r="K34" s="49">
        <f>SUMPRODUCT('Sign-ups by age'!AH$2:AH$61,'Age profile'!H$2:H$61)</f>
        <v/>
      </c>
      <c r="L34" s="44">
        <f>SUMIFS('Cohort x age'!$Q$2:$Q$1831,'Cohort x age'!$C$2:$C$1831,A34)</f>
        <v/>
      </c>
      <c r="M34" s="50">
        <f>SUMIFS('Cohort x age'!$L$2:$L$1831,'Cohort x age'!$C$2:$C$1831,A34)</f>
        <v/>
      </c>
      <c r="N34" s="50">
        <f>SUMIFS('Cohort x age'!$M$2:$M$1831,'Cohort x age'!$C$2:$C$1831,A34)</f>
        <v/>
      </c>
      <c r="O34" s="50">
        <f>SUMIFS('Cohort x age'!$N$2:$N$1831,'Cohort x age'!$C$2:$C$1831,A34)</f>
        <v/>
      </c>
      <c r="P34" s="50">
        <f>SUMIFS('Cohort x age'!$T$2:$T$1831,'Cohort x age'!$C$2:$C$1831,A34)</f>
        <v/>
      </c>
      <c r="Q34" s="49">
        <f>SUMIFS('Cohort x age'!$U$2:$U$1831,'Cohort x age'!$C$2:$C$1831,A34)</f>
        <v/>
      </c>
      <c r="R34" s="49">
        <f>SUMIFS('Cohort x age'!$V$2:$V$1831,'Cohort x age'!$C$2:$C$1831,A34)</f>
        <v/>
      </c>
      <c r="S34" s="44">
        <f>SUMIFS('Cohort x age'!$P$2:$P$1831,'Cohort x age'!$C$2:$C$1831,A34)</f>
        <v/>
      </c>
      <c r="T34" s="44">
        <f>SUMIFS('Cohort x age'!$R$2:$R$1831,'Cohort x age'!$C$2:$C$1831,A34)</f>
        <v/>
      </c>
      <c r="U34" s="50">
        <f>SUMIFS('Cohort x age'!$X$2:$X$1831,'Cohort x age'!$C$2:$C$1831,A34)</f>
        <v/>
      </c>
      <c r="V34" s="50">
        <f>SUMIFS('Cohort x age'!$Y$2:$Y$1831,'Cohort x age'!$C$2:$C$1831,A34)</f>
        <v/>
      </c>
      <c r="W34" s="50">
        <f>SUMIFS('Cohort x age'!$Z$2:$Z$1831,'Cohort x age'!$C$2:$C$1831,A34)</f>
        <v/>
      </c>
      <c r="X34" s="49">
        <f>SUMPRODUCT('Sign-ups by age'!AH$2:AH$61,'Age profile'!Q$2:Q$61)</f>
        <v/>
      </c>
      <c r="Y34" s="49">
        <f>SUMIFS('Cohort x age'!$AA$2:$AA$1831,'Cohort x age'!$C$2:$C$1831,A34)</f>
        <v/>
      </c>
      <c r="Z34" s="49">
        <f>SUMIFS('Cohort x age'!$AB$2:$AB$1831,'Cohort x age'!$C$2:$C$1831,A34)</f>
        <v/>
      </c>
      <c r="AA34" s="49">
        <f>SUMIFS('Cohort x age'!$AC$2:$AC$1831,'Cohort x age'!$C$2:$C$1831,A34)</f>
        <v/>
      </c>
      <c r="AB34" s="49">
        <f>SUMIFS('Cohort x age'!$AD$2:$AD$1831,'Cohort x age'!$C$2:$C$1831,A34)</f>
        <v/>
      </c>
      <c r="AC34" s="49">
        <f>SUMIFS('Cohort x age'!$AG$2:$AG$1831,'Cohort x age'!$C$2:$C$1831,A34)</f>
        <v/>
      </c>
      <c r="AD34" s="49">
        <f>SUMIFS('Cohort x age'!$AJ$2:$AJ$1831,'Cohort x age'!$C$2:$C$1831,A34)</f>
        <v/>
      </c>
      <c r="AE34" s="49">
        <f>SUMIFS('Cohort x age'!$AM$2:$AM$1831,'Cohort x age'!$C$2:$C$1831,A34)</f>
        <v/>
      </c>
      <c r="AF34" s="49">
        <f>SUMIFS('Cohort x age'!$AP$2:$AP$1831,'Cohort x age'!$C$2:$C$1831,A34)</f>
        <v/>
      </c>
      <c r="AG34" s="49">
        <f>SUMIFS('Cohort x age'!$AS$2:$AS$1831,'Cohort x age'!$C$2:$C$1831,A34)</f>
        <v/>
      </c>
      <c r="AH34" s="49">
        <f>SUMIFS('Cohort x age'!$AU$2:$AU$1831,'Cohort x age'!$C$2:$C$1831,A34)</f>
        <v/>
      </c>
      <c r="AI34" s="49">
        <f>SUMIFS('Cohort x age'!$AX$2:$AX$1831,'Cohort x age'!$C$2:$C$1831,A34)</f>
        <v/>
      </c>
      <c r="AJ34" s="49">
        <f>SUMIFS('Cohort x age'!$BB$2:$BB$1831,'Cohort x age'!$C$2:$C$1831,A34)</f>
        <v/>
      </c>
      <c r="AK34" s="49">
        <f>SUMIFS('Cohort x age'!$BE$2:$BE$1831,'Cohort x age'!$C$2:$C$1831,A34)</f>
        <v/>
      </c>
      <c r="AL34" s="49">
        <f>SUMIFS('Cohort x age'!$BG$2:$BG$1831,'Cohort x age'!$C$2:$C$1831,A34)</f>
        <v/>
      </c>
      <c r="AM34" s="49">
        <f>SUMIFS('Cohort x age'!$BJ$2:$BJ$1831,'Cohort x age'!$C$2:$C$1831,A34)</f>
        <v/>
      </c>
      <c r="AN34" s="49">
        <f>SUMIFS('Cohort x age'!$BL$2:$BL$1831,'Cohort x age'!$C$2:$C$1831,A34)</f>
        <v/>
      </c>
      <c r="AO34" s="49">
        <f>SUMIFS('Cohort x age'!$BO$2:$BO$1831,'Cohort x age'!$C$2:$C$1831,A34)</f>
        <v/>
      </c>
      <c r="AP34" s="49">
        <f>SUMIFS('Cohort x age'!$BR$2:$BR$1831,'Cohort x age'!$C$2:$C$1831,A34)</f>
        <v/>
      </c>
      <c r="AQ34" s="49">
        <f>SUMIFS('Cohort x age'!$BT$2:$BT$1831,'Cohort x age'!$C$2:$C$1831,A34)</f>
        <v/>
      </c>
      <c r="AR34" s="49">
        <f>SUMIFS('Cohort x age'!$BV$2:$BV$1831,'Cohort x age'!$C$2:$C$1831,A34)</f>
        <v/>
      </c>
      <c r="AS34" s="49">
        <f>SUMIFS('Cohort x age'!$BX$2:$BX$1831,'Cohort x age'!$C$2:$C$1831,A34)</f>
        <v/>
      </c>
      <c r="AT34" s="49">
        <f>SUMIFS('Cohort x age'!$CA$2:$CA$1831,'Cohort x age'!$C$2:$C$1831,A34)</f>
        <v/>
      </c>
      <c r="AU34" s="49">
        <f>SUMIFS('Cohort x age'!$CD$2:$CD$1831,'Cohort x age'!$C$2:$C$1831,A34)</f>
        <v/>
      </c>
      <c r="AV34" s="9">
        <f>SUM(X34:AS34)</f>
        <v/>
      </c>
      <c r="AW34" s="9">
        <f>in_salary</f>
        <v/>
      </c>
      <c r="AX34" s="9">
        <f>MAX(0,G34-in_capacity)*in_extra_capacity_cost/in_helper_visits</f>
        <v/>
      </c>
      <c r="AY34" s="49">
        <f>SUMPRODUCT('Sign-ups by age'!AH$2:AH$61,'Age profile'!R$2:R$61)</f>
        <v/>
      </c>
      <c r="AZ34" s="49">
        <f>SUMPRODUCT('Sign-ups by age'!AH$2:AH$61,'Age profile'!S$2:S$61)</f>
        <v/>
      </c>
      <c r="BA34" s="9">
        <f>in_cash_cover</f>
        <v/>
      </c>
      <c r="BB34" s="9">
        <f>IF(A34&lt;=in_growth_months,in_agent_balance_pay,in_agent_pay_after)/12*K34</f>
        <v/>
      </c>
      <c r="BC34" s="9">
        <f>AW34+AX34+AY34+AZ34+BA34+BB34</f>
        <v/>
      </c>
      <c r="BD34" s="9">
        <f>AV34-BC34</f>
        <v/>
      </c>
      <c r="BE34" s="40">
        <f>1/(1+d_dm)^A34</f>
        <v/>
      </c>
      <c r="BF34" s="9">
        <f>BD34*BE34</f>
        <v/>
      </c>
      <c r="BG34" s="9">
        <f>IF(A34=1,BF34,BG33+BF34)</f>
        <v/>
      </c>
      <c r="BH34" s="9">
        <f>IF(A34=1,BD34,BH33+BD34)</f>
        <v/>
      </c>
      <c r="BI34" s="39">
        <f>IF(AND(BH34&gt;=0,BI35=1),1,0)</f>
        <v/>
      </c>
      <c r="BJ34" s="39">
        <f>IF(BI34=1,A34,999)</f>
        <v/>
      </c>
      <c r="BK34" s="40">
        <f>1/(1+d_dm20)^A34</f>
        <v/>
      </c>
    </row>
    <row r="35">
      <c r="A35" s="39" t="n">
        <v>34</v>
      </c>
      <c r="B35" s="48">
        <f>MIN(in_signup_cap,in_signups_run*IF(in_ramp_months&gt;0,MIN(1,0.5+0.5*(A35-1)/in_ramp_months),1)*(1+in_signup_growth)^INT((A35-1)/12))</f>
        <v/>
      </c>
      <c r="C35" s="44">
        <f>SUMPRODUCT('Sign-ups by age'!AI$2:AI$61,'Age profile'!B$2:B$61)</f>
        <v/>
      </c>
      <c r="D35" s="44">
        <f>SUMPRODUCT('Sign-ups by age'!AI$2:AI$61,'Age profile'!C$2:C$61)</f>
        <v/>
      </c>
      <c r="E35" s="44">
        <f>SUMPRODUCT('Sign-ups by age'!AI$2:AI$61,'Age profile'!M$2:M$61)</f>
        <v/>
      </c>
      <c r="F35" s="44">
        <f>SUMPRODUCT('Sign-ups by age'!AI$2:AI$61,'Age profile'!K$2:K$61)</f>
        <v/>
      </c>
      <c r="G35" s="44">
        <f>SUMPRODUCT('Sign-ups by age'!AI$2:AI$61,'Age profile'!L$2:L$61)</f>
        <v/>
      </c>
      <c r="H35" s="11">
        <f>IF(C35&gt;0,1-F35/C35,0)</f>
        <v/>
      </c>
      <c r="I35" s="11">
        <f>IF(C35&gt;0,MAX(0,1-in_capacity*in_visit_every/C35),0)</f>
        <v/>
      </c>
      <c r="J35" s="49">
        <f>SUMPRODUCT('Sign-ups by age'!AI$2:AI$61,'Age profile'!E$2:E$61)</f>
        <v/>
      </c>
      <c r="K35" s="49">
        <f>SUMPRODUCT('Sign-ups by age'!AI$2:AI$61,'Age profile'!H$2:H$61)</f>
        <v/>
      </c>
      <c r="L35" s="44">
        <f>SUMIFS('Cohort x age'!$Q$2:$Q$1831,'Cohort x age'!$C$2:$C$1831,A35)</f>
        <v/>
      </c>
      <c r="M35" s="50">
        <f>SUMIFS('Cohort x age'!$L$2:$L$1831,'Cohort x age'!$C$2:$C$1831,A35)</f>
        <v/>
      </c>
      <c r="N35" s="50">
        <f>SUMIFS('Cohort x age'!$M$2:$M$1831,'Cohort x age'!$C$2:$C$1831,A35)</f>
        <v/>
      </c>
      <c r="O35" s="50">
        <f>SUMIFS('Cohort x age'!$N$2:$N$1831,'Cohort x age'!$C$2:$C$1831,A35)</f>
        <v/>
      </c>
      <c r="P35" s="50">
        <f>SUMIFS('Cohort x age'!$T$2:$T$1831,'Cohort x age'!$C$2:$C$1831,A35)</f>
        <v/>
      </c>
      <c r="Q35" s="49">
        <f>SUMIFS('Cohort x age'!$U$2:$U$1831,'Cohort x age'!$C$2:$C$1831,A35)</f>
        <v/>
      </c>
      <c r="R35" s="49">
        <f>SUMIFS('Cohort x age'!$V$2:$V$1831,'Cohort x age'!$C$2:$C$1831,A35)</f>
        <v/>
      </c>
      <c r="S35" s="44">
        <f>SUMIFS('Cohort x age'!$P$2:$P$1831,'Cohort x age'!$C$2:$C$1831,A35)</f>
        <v/>
      </c>
      <c r="T35" s="44">
        <f>SUMIFS('Cohort x age'!$R$2:$R$1831,'Cohort x age'!$C$2:$C$1831,A35)</f>
        <v/>
      </c>
      <c r="U35" s="50">
        <f>SUMIFS('Cohort x age'!$X$2:$X$1831,'Cohort x age'!$C$2:$C$1831,A35)</f>
        <v/>
      </c>
      <c r="V35" s="50">
        <f>SUMIFS('Cohort x age'!$Y$2:$Y$1831,'Cohort x age'!$C$2:$C$1831,A35)</f>
        <v/>
      </c>
      <c r="W35" s="50">
        <f>SUMIFS('Cohort x age'!$Z$2:$Z$1831,'Cohort x age'!$C$2:$C$1831,A35)</f>
        <v/>
      </c>
      <c r="X35" s="49">
        <f>SUMPRODUCT('Sign-ups by age'!AI$2:AI$61,'Age profile'!Q$2:Q$61)</f>
        <v/>
      </c>
      <c r="Y35" s="49">
        <f>SUMIFS('Cohort x age'!$AA$2:$AA$1831,'Cohort x age'!$C$2:$C$1831,A35)</f>
        <v/>
      </c>
      <c r="Z35" s="49">
        <f>SUMIFS('Cohort x age'!$AB$2:$AB$1831,'Cohort x age'!$C$2:$C$1831,A35)</f>
        <v/>
      </c>
      <c r="AA35" s="49">
        <f>SUMIFS('Cohort x age'!$AC$2:$AC$1831,'Cohort x age'!$C$2:$C$1831,A35)</f>
        <v/>
      </c>
      <c r="AB35" s="49">
        <f>SUMIFS('Cohort x age'!$AD$2:$AD$1831,'Cohort x age'!$C$2:$C$1831,A35)</f>
        <v/>
      </c>
      <c r="AC35" s="49">
        <f>SUMIFS('Cohort x age'!$AG$2:$AG$1831,'Cohort x age'!$C$2:$C$1831,A35)</f>
        <v/>
      </c>
      <c r="AD35" s="49">
        <f>SUMIFS('Cohort x age'!$AJ$2:$AJ$1831,'Cohort x age'!$C$2:$C$1831,A35)</f>
        <v/>
      </c>
      <c r="AE35" s="49">
        <f>SUMIFS('Cohort x age'!$AM$2:$AM$1831,'Cohort x age'!$C$2:$C$1831,A35)</f>
        <v/>
      </c>
      <c r="AF35" s="49">
        <f>SUMIFS('Cohort x age'!$AP$2:$AP$1831,'Cohort x age'!$C$2:$C$1831,A35)</f>
        <v/>
      </c>
      <c r="AG35" s="49">
        <f>SUMIFS('Cohort x age'!$AS$2:$AS$1831,'Cohort x age'!$C$2:$C$1831,A35)</f>
        <v/>
      </c>
      <c r="AH35" s="49">
        <f>SUMIFS('Cohort x age'!$AU$2:$AU$1831,'Cohort x age'!$C$2:$C$1831,A35)</f>
        <v/>
      </c>
      <c r="AI35" s="49">
        <f>SUMIFS('Cohort x age'!$AX$2:$AX$1831,'Cohort x age'!$C$2:$C$1831,A35)</f>
        <v/>
      </c>
      <c r="AJ35" s="49">
        <f>SUMIFS('Cohort x age'!$BB$2:$BB$1831,'Cohort x age'!$C$2:$C$1831,A35)</f>
        <v/>
      </c>
      <c r="AK35" s="49">
        <f>SUMIFS('Cohort x age'!$BE$2:$BE$1831,'Cohort x age'!$C$2:$C$1831,A35)</f>
        <v/>
      </c>
      <c r="AL35" s="49">
        <f>SUMIFS('Cohort x age'!$BG$2:$BG$1831,'Cohort x age'!$C$2:$C$1831,A35)</f>
        <v/>
      </c>
      <c r="AM35" s="49">
        <f>SUMIFS('Cohort x age'!$BJ$2:$BJ$1831,'Cohort x age'!$C$2:$C$1831,A35)</f>
        <v/>
      </c>
      <c r="AN35" s="49">
        <f>SUMIFS('Cohort x age'!$BL$2:$BL$1831,'Cohort x age'!$C$2:$C$1831,A35)</f>
        <v/>
      </c>
      <c r="AO35" s="49">
        <f>SUMIFS('Cohort x age'!$BO$2:$BO$1831,'Cohort x age'!$C$2:$C$1831,A35)</f>
        <v/>
      </c>
      <c r="AP35" s="49">
        <f>SUMIFS('Cohort x age'!$BR$2:$BR$1831,'Cohort x age'!$C$2:$C$1831,A35)</f>
        <v/>
      </c>
      <c r="AQ35" s="49">
        <f>SUMIFS('Cohort x age'!$BT$2:$BT$1831,'Cohort x age'!$C$2:$C$1831,A35)</f>
        <v/>
      </c>
      <c r="AR35" s="49">
        <f>SUMIFS('Cohort x age'!$BV$2:$BV$1831,'Cohort x age'!$C$2:$C$1831,A35)</f>
        <v/>
      </c>
      <c r="AS35" s="49">
        <f>SUMIFS('Cohort x age'!$BX$2:$BX$1831,'Cohort x age'!$C$2:$C$1831,A35)</f>
        <v/>
      </c>
      <c r="AT35" s="49">
        <f>SUMIFS('Cohort x age'!$CA$2:$CA$1831,'Cohort x age'!$C$2:$C$1831,A35)</f>
        <v/>
      </c>
      <c r="AU35" s="49">
        <f>SUMIFS('Cohort x age'!$CD$2:$CD$1831,'Cohort x age'!$C$2:$C$1831,A35)</f>
        <v/>
      </c>
      <c r="AV35" s="9">
        <f>SUM(X35:AS35)</f>
        <v/>
      </c>
      <c r="AW35" s="9">
        <f>in_salary</f>
        <v/>
      </c>
      <c r="AX35" s="9">
        <f>MAX(0,G35-in_capacity)*in_extra_capacity_cost/in_helper_visits</f>
        <v/>
      </c>
      <c r="AY35" s="49">
        <f>SUMPRODUCT('Sign-ups by age'!AI$2:AI$61,'Age profile'!R$2:R$61)</f>
        <v/>
      </c>
      <c r="AZ35" s="49">
        <f>SUMPRODUCT('Sign-ups by age'!AI$2:AI$61,'Age profile'!S$2:S$61)</f>
        <v/>
      </c>
      <c r="BA35" s="9">
        <f>in_cash_cover</f>
        <v/>
      </c>
      <c r="BB35" s="9">
        <f>IF(A35&lt;=in_growth_months,in_agent_balance_pay,in_agent_pay_after)/12*K35</f>
        <v/>
      </c>
      <c r="BC35" s="9">
        <f>AW35+AX35+AY35+AZ35+BA35+BB35</f>
        <v/>
      </c>
      <c r="BD35" s="9">
        <f>AV35-BC35</f>
        <v/>
      </c>
      <c r="BE35" s="40">
        <f>1/(1+d_dm)^A35</f>
        <v/>
      </c>
      <c r="BF35" s="9">
        <f>BD35*BE35</f>
        <v/>
      </c>
      <c r="BG35" s="9">
        <f>IF(A35=1,BF35,BG34+BF35)</f>
        <v/>
      </c>
      <c r="BH35" s="9">
        <f>IF(A35=1,BD35,BH34+BD35)</f>
        <v/>
      </c>
      <c r="BI35" s="39">
        <f>IF(AND(BH35&gt;=0,BI36=1),1,0)</f>
        <v/>
      </c>
      <c r="BJ35" s="39">
        <f>IF(BI35=1,A35,999)</f>
        <v/>
      </c>
      <c r="BK35" s="40">
        <f>1/(1+d_dm20)^A35</f>
        <v/>
      </c>
    </row>
    <row r="36">
      <c r="A36" s="39" t="n">
        <v>35</v>
      </c>
      <c r="B36" s="48">
        <f>MIN(in_signup_cap,in_signups_run*IF(in_ramp_months&gt;0,MIN(1,0.5+0.5*(A36-1)/in_ramp_months),1)*(1+in_signup_growth)^INT((A36-1)/12))</f>
        <v/>
      </c>
      <c r="C36" s="44">
        <f>SUMPRODUCT('Sign-ups by age'!AJ$2:AJ$61,'Age profile'!B$2:B$61)</f>
        <v/>
      </c>
      <c r="D36" s="44">
        <f>SUMPRODUCT('Sign-ups by age'!AJ$2:AJ$61,'Age profile'!C$2:C$61)</f>
        <v/>
      </c>
      <c r="E36" s="44">
        <f>SUMPRODUCT('Sign-ups by age'!AJ$2:AJ$61,'Age profile'!M$2:M$61)</f>
        <v/>
      </c>
      <c r="F36" s="44">
        <f>SUMPRODUCT('Sign-ups by age'!AJ$2:AJ$61,'Age profile'!K$2:K$61)</f>
        <v/>
      </c>
      <c r="G36" s="44">
        <f>SUMPRODUCT('Sign-ups by age'!AJ$2:AJ$61,'Age profile'!L$2:L$61)</f>
        <v/>
      </c>
      <c r="H36" s="11">
        <f>IF(C36&gt;0,1-F36/C36,0)</f>
        <v/>
      </c>
      <c r="I36" s="11">
        <f>IF(C36&gt;0,MAX(0,1-in_capacity*in_visit_every/C36),0)</f>
        <v/>
      </c>
      <c r="J36" s="49">
        <f>SUMPRODUCT('Sign-ups by age'!AJ$2:AJ$61,'Age profile'!E$2:E$61)</f>
        <v/>
      </c>
      <c r="K36" s="49">
        <f>SUMPRODUCT('Sign-ups by age'!AJ$2:AJ$61,'Age profile'!H$2:H$61)</f>
        <v/>
      </c>
      <c r="L36" s="44">
        <f>SUMIFS('Cohort x age'!$Q$2:$Q$1831,'Cohort x age'!$C$2:$C$1831,A36)</f>
        <v/>
      </c>
      <c r="M36" s="50">
        <f>SUMIFS('Cohort x age'!$L$2:$L$1831,'Cohort x age'!$C$2:$C$1831,A36)</f>
        <v/>
      </c>
      <c r="N36" s="50">
        <f>SUMIFS('Cohort x age'!$M$2:$M$1831,'Cohort x age'!$C$2:$C$1831,A36)</f>
        <v/>
      </c>
      <c r="O36" s="50">
        <f>SUMIFS('Cohort x age'!$N$2:$N$1831,'Cohort x age'!$C$2:$C$1831,A36)</f>
        <v/>
      </c>
      <c r="P36" s="50">
        <f>SUMIFS('Cohort x age'!$T$2:$T$1831,'Cohort x age'!$C$2:$C$1831,A36)</f>
        <v/>
      </c>
      <c r="Q36" s="49">
        <f>SUMIFS('Cohort x age'!$U$2:$U$1831,'Cohort x age'!$C$2:$C$1831,A36)</f>
        <v/>
      </c>
      <c r="R36" s="49">
        <f>SUMIFS('Cohort x age'!$V$2:$V$1831,'Cohort x age'!$C$2:$C$1831,A36)</f>
        <v/>
      </c>
      <c r="S36" s="44">
        <f>SUMIFS('Cohort x age'!$P$2:$P$1831,'Cohort x age'!$C$2:$C$1831,A36)</f>
        <v/>
      </c>
      <c r="T36" s="44">
        <f>SUMIFS('Cohort x age'!$R$2:$R$1831,'Cohort x age'!$C$2:$C$1831,A36)</f>
        <v/>
      </c>
      <c r="U36" s="50">
        <f>SUMIFS('Cohort x age'!$X$2:$X$1831,'Cohort x age'!$C$2:$C$1831,A36)</f>
        <v/>
      </c>
      <c r="V36" s="50">
        <f>SUMIFS('Cohort x age'!$Y$2:$Y$1831,'Cohort x age'!$C$2:$C$1831,A36)</f>
        <v/>
      </c>
      <c r="W36" s="50">
        <f>SUMIFS('Cohort x age'!$Z$2:$Z$1831,'Cohort x age'!$C$2:$C$1831,A36)</f>
        <v/>
      </c>
      <c r="X36" s="49">
        <f>SUMPRODUCT('Sign-ups by age'!AJ$2:AJ$61,'Age profile'!Q$2:Q$61)</f>
        <v/>
      </c>
      <c r="Y36" s="49">
        <f>SUMIFS('Cohort x age'!$AA$2:$AA$1831,'Cohort x age'!$C$2:$C$1831,A36)</f>
        <v/>
      </c>
      <c r="Z36" s="49">
        <f>SUMIFS('Cohort x age'!$AB$2:$AB$1831,'Cohort x age'!$C$2:$C$1831,A36)</f>
        <v/>
      </c>
      <c r="AA36" s="49">
        <f>SUMIFS('Cohort x age'!$AC$2:$AC$1831,'Cohort x age'!$C$2:$C$1831,A36)</f>
        <v/>
      </c>
      <c r="AB36" s="49">
        <f>SUMIFS('Cohort x age'!$AD$2:$AD$1831,'Cohort x age'!$C$2:$C$1831,A36)</f>
        <v/>
      </c>
      <c r="AC36" s="49">
        <f>SUMIFS('Cohort x age'!$AG$2:$AG$1831,'Cohort x age'!$C$2:$C$1831,A36)</f>
        <v/>
      </c>
      <c r="AD36" s="49">
        <f>SUMIFS('Cohort x age'!$AJ$2:$AJ$1831,'Cohort x age'!$C$2:$C$1831,A36)</f>
        <v/>
      </c>
      <c r="AE36" s="49">
        <f>SUMIFS('Cohort x age'!$AM$2:$AM$1831,'Cohort x age'!$C$2:$C$1831,A36)</f>
        <v/>
      </c>
      <c r="AF36" s="49">
        <f>SUMIFS('Cohort x age'!$AP$2:$AP$1831,'Cohort x age'!$C$2:$C$1831,A36)</f>
        <v/>
      </c>
      <c r="AG36" s="49">
        <f>SUMIFS('Cohort x age'!$AS$2:$AS$1831,'Cohort x age'!$C$2:$C$1831,A36)</f>
        <v/>
      </c>
      <c r="AH36" s="49">
        <f>SUMIFS('Cohort x age'!$AU$2:$AU$1831,'Cohort x age'!$C$2:$C$1831,A36)</f>
        <v/>
      </c>
      <c r="AI36" s="49">
        <f>SUMIFS('Cohort x age'!$AX$2:$AX$1831,'Cohort x age'!$C$2:$C$1831,A36)</f>
        <v/>
      </c>
      <c r="AJ36" s="49">
        <f>SUMIFS('Cohort x age'!$BB$2:$BB$1831,'Cohort x age'!$C$2:$C$1831,A36)</f>
        <v/>
      </c>
      <c r="AK36" s="49">
        <f>SUMIFS('Cohort x age'!$BE$2:$BE$1831,'Cohort x age'!$C$2:$C$1831,A36)</f>
        <v/>
      </c>
      <c r="AL36" s="49">
        <f>SUMIFS('Cohort x age'!$BG$2:$BG$1831,'Cohort x age'!$C$2:$C$1831,A36)</f>
        <v/>
      </c>
      <c r="AM36" s="49">
        <f>SUMIFS('Cohort x age'!$BJ$2:$BJ$1831,'Cohort x age'!$C$2:$C$1831,A36)</f>
        <v/>
      </c>
      <c r="AN36" s="49">
        <f>SUMIFS('Cohort x age'!$BL$2:$BL$1831,'Cohort x age'!$C$2:$C$1831,A36)</f>
        <v/>
      </c>
      <c r="AO36" s="49">
        <f>SUMIFS('Cohort x age'!$BO$2:$BO$1831,'Cohort x age'!$C$2:$C$1831,A36)</f>
        <v/>
      </c>
      <c r="AP36" s="49">
        <f>SUMIFS('Cohort x age'!$BR$2:$BR$1831,'Cohort x age'!$C$2:$C$1831,A36)</f>
        <v/>
      </c>
      <c r="AQ36" s="49">
        <f>SUMIFS('Cohort x age'!$BT$2:$BT$1831,'Cohort x age'!$C$2:$C$1831,A36)</f>
        <v/>
      </c>
      <c r="AR36" s="49">
        <f>SUMIFS('Cohort x age'!$BV$2:$BV$1831,'Cohort x age'!$C$2:$C$1831,A36)</f>
        <v/>
      </c>
      <c r="AS36" s="49">
        <f>SUMIFS('Cohort x age'!$BX$2:$BX$1831,'Cohort x age'!$C$2:$C$1831,A36)</f>
        <v/>
      </c>
      <c r="AT36" s="49">
        <f>SUMIFS('Cohort x age'!$CA$2:$CA$1831,'Cohort x age'!$C$2:$C$1831,A36)</f>
        <v/>
      </c>
      <c r="AU36" s="49">
        <f>SUMIFS('Cohort x age'!$CD$2:$CD$1831,'Cohort x age'!$C$2:$C$1831,A36)</f>
        <v/>
      </c>
      <c r="AV36" s="9">
        <f>SUM(X36:AS36)</f>
        <v/>
      </c>
      <c r="AW36" s="9">
        <f>in_salary</f>
        <v/>
      </c>
      <c r="AX36" s="9">
        <f>MAX(0,G36-in_capacity)*in_extra_capacity_cost/in_helper_visits</f>
        <v/>
      </c>
      <c r="AY36" s="49">
        <f>SUMPRODUCT('Sign-ups by age'!AJ$2:AJ$61,'Age profile'!R$2:R$61)</f>
        <v/>
      </c>
      <c r="AZ36" s="49">
        <f>SUMPRODUCT('Sign-ups by age'!AJ$2:AJ$61,'Age profile'!S$2:S$61)</f>
        <v/>
      </c>
      <c r="BA36" s="9">
        <f>in_cash_cover</f>
        <v/>
      </c>
      <c r="BB36" s="9">
        <f>IF(A36&lt;=in_growth_months,in_agent_balance_pay,in_agent_pay_after)/12*K36</f>
        <v/>
      </c>
      <c r="BC36" s="9">
        <f>AW36+AX36+AY36+AZ36+BA36+BB36</f>
        <v/>
      </c>
      <c r="BD36" s="9">
        <f>AV36-BC36</f>
        <v/>
      </c>
      <c r="BE36" s="40">
        <f>1/(1+d_dm)^A36</f>
        <v/>
      </c>
      <c r="BF36" s="9">
        <f>BD36*BE36</f>
        <v/>
      </c>
      <c r="BG36" s="9">
        <f>IF(A36=1,BF36,BG35+BF36)</f>
        <v/>
      </c>
      <c r="BH36" s="9">
        <f>IF(A36=1,BD36,BH35+BD36)</f>
        <v/>
      </c>
      <c r="BI36" s="39">
        <f>IF(AND(BH36&gt;=0,BI37=1),1,0)</f>
        <v/>
      </c>
      <c r="BJ36" s="39">
        <f>IF(BI36=1,A36,999)</f>
        <v/>
      </c>
      <c r="BK36" s="40">
        <f>1/(1+d_dm20)^A36</f>
        <v/>
      </c>
    </row>
    <row r="37">
      <c r="A37" s="39" t="n">
        <v>36</v>
      </c>
      <c r="B37" s="48">
        <f>MIN(in_signup_cap,in_signups_run*IF(in_ramp_months&gt;0,MIN(1,0.5+0.5*(A37-1)/in_ramp_months),1)*(1+in_signup_growth)^INT((A37-1)/12))</f>
        <v/>
      </c>
      <c r="C37" s="44">
        <f>SUMPRODUCT('Sign-ups by age'!AK$2:AK$61,'Age profile'!B$2:B$61)</f>
        <v/>
      </c>
      <c r="D37" s="44">
        <f>SUMPRODUCT('Sign-ups by age'!AK$2:AK$61,'Age profile'!C$2:C$61)</f>
        <v/>
      </c>
      <c r="E37" s="44">
        <f>SUMPRODUCT('Sign-ups by age'!AK$2:AK$61,'Age profile'!M$2:M$61)</f>
        <v/>
      </c>
      <c r="F37" s="44">
        <f>SUMPRODUCT('Sign-ups by age'!AK$2:AK$61,'Age profile'!K$2:K$61)</f>
        <v/>
      </c>
      <c r="G37" s="44">
        <f>SUMPRODUCT('Sign-ups by age'!AK$2:AK$61,'Age profile'!L$2:L$61)</f>
        <v/>
      </c>
      <c r="H37" s="11">
        <f>IF(C37&gt;0,1-F37/C37,0)</f>
        <v/>
      </c>
      <c r="I37" s="11">
        <f>IF(C37&gt;0,MAX(0,1-in_capacity*in_visit_every/C37),0)</f>
        <v/>
      </c>
      <c r="J37" s="49">
        <f>SUMPRODUCT('Sign-ups by age'!AK$2:AK$61,'Age profile'!E$2:E$61)</f>
        <v/>
      </c>
      <c r="K37" s="49">
        <f>SUMPRODUCT('Sign-ups by age'!AK$2:AK$61,'Age profile'!H$2:H$61)</f>
        <v/>
      </c>
      <c r="L37" s="44">
        <f>SUMIFS('Cohort x age'!$Q$2:$Q$1831,'Cohort x age'!$C$2:$C$1831,A37)</f>
        <v/>
      </c>
      <c r="M37" s="50">
        <f>SUMIFS('Cohort x age'!$L$2:$L$1831,'Cohort x age'!$C$2:$C$1831,A37)</f>
        <v/>
      </c>
      <c r="N37" s="50">
        <f>SUMIFS('Cohort x age'!$M$2:$M$1831,'Cohort x age'!$C$2:$C$1831,A37)</f>
        <v/>
      </c>
      <c r="O37" s="50">
        <f>SUMIFS('Cohort x age'!$N$2:$N$1831,'Cohort x age'!$C$2:$C$1831,A37)</f>
        <v/>
      </c>
      <c r="P37" s="50">
        <f>SUMIFS('Cohort x age'!$T$2:$T$1831,'Cohort x age'!$C$2:$C$1831,A37)</f>
        <v/>
      </c>
      <c r="Q37" s="49">
        <f>SUMIFS('Cohort x age'!$U$2:$U$1831,'Cohort x age'!$C$2:$C$1831,A37)</f>
        <v/>
      </c>
      <c r="R37" s="49">
        <f>SUMIFS('Cohort x age'!$V$2:$V$1831,'Cohort x age'!$C$2:$C$1831,A37)</f>
        <v/>
      </c>
      <c r="S37" s="44">
        <f>SUMIFS('Cohort x age'!$P$2:$P$1831,'Cohort x age'!$C$2:$C$1831,A37)</f>
        <v/>
      </c>
      <c r="T37" s="44">
        <f>SUMIFS('Cohort x age'!$R$2:$R$1831,'Cohort x age'!$C$2:$C$1831,A37)</f>
        <v/>
      </c>
      <c r="U37" s="50">
        <f>SUMIFS('Cohort x age'!$X$2:$X$1831,'Cohort x age'!$C$2:$C$1831,A37)</f>
        <v/>
      </c>
      <c r="V37" s="50">
        <f>SUMIFS('Cohort x age'!$Y$2:$Y$1831,'Cohort x age'!$C$2:$C$1831,A37)</f>
        <v/>
      </c>
      <c r="W37" s="50">
        <f>SUMIFS('Cohort x age'!$Z$2:$Z$1831,'Cohort x age'!$C$2:$C$1831,A37)</f>
        <v/>
      </c>
      <c r="X37" s="49">
        <f>SUMPRODUCT('Sign-ups by age'!AK$2:AK$61,'Age profile'!Q$2:Q$61)</f>
        <v/>
      </c>
      <c r="Y37" s="49">
        <f>SUMIFS('Cohort x age'!$AA$2:$AA$1831,'Cohort x age'!$C$2:$C$1831,A37)</f>
        <v/>
      </c>
      <c r="Z37" s="49">
        <f>SUMIFS('Cohort x age'!$AB$2:$AB$1831,'Cohort x age'!$C$2:$C$1831,A37)</f>
        <v/>
      </c>
      <c r="AA37" s="49">
        <f>SUMIFS('Cohort x age'!$AC$2:$AC$1831,'Cohort x age'!$C$2:$C$1831,A37)</f>
        <v/>
      </c>
      <c r="AB37" s="49">
        <f>SUMIFS('Cohort x age'!$AD$2:$AD$1831,'Cohort x age'!$C$2:$C$1831,A37)</f>
        <v/>
      </c>
      <c r="AC37" s="49">
        <f>SUMIFS('Cohort x age'!$AG$2:$AG$1831,'Cohort x age'!$C$2:$C$1831,A37)</f>
        <v/>
      </c>
      <c r="AD37" s="49">
        <f>SUMIFS('Cohort x age'!$AJ$2:$AJ$1831,'Cohort x age'!$C$2:$C$1831,A37)</f>
        <v/>
      </c>
      <c r="AE37" s="49">
        <f>SUMIFS('Cohort x age'!$AM$2:$AM$1831,'Cohort x age'!$C$2:$C$1831,A37)</f>
        <v/>
      </c>
      <c r="AF37" s="49">
        <f>SUMIFS('Cohort x age'!$AP$2:$AP$1831,'Cohort x age'!$C$2:$C$1831,A37)</f>
        <v/>
      </c>
      <c r="AG37" s="49">
        <f>SUMIFS('Cohort x age'!$AS$2:$AS$1831,'Cohort x age'!$C$2:$C$1831,A37)</f>
        <v/>
      </c>
      <c r="AH37" s="49">
        <f>SUMIFS('Cohort x age'!$AU$2:$AU$1831,'Cohort x age'!$C$2:$C$1831,A37)</f>
        <v/>
      </c>
      <c r="AI37" s="49">
        <f>SUMIFS('Cohort x age'!$AX$2:$AX$1831,'Cohort x age'!$C$2:$C$1831,A37)</f>
        <v/>
      </c>
      <c r="AJ37" s="49">
        <f>SUMIFS('Cohort x age'!$BB$2:$BB$1831,'Cohort x age'!$C$2:$C$1831,A37)</f>
        <v/>
      </c>
      <c r="AK37" s="49">
        <f>SUMIFS('Cohort x age'!$BE$2:$BE$1831,'Cohort x age'!$C$2:$C$1831,A37)</f>
        <v/>
      </c>
      <c r="AL37" s="49">
        <f>SUMIFS('Cohort x age'!$BG$2:$BG$1831,'Cohort x age'!$C$2:$C$1831,A37)</f>
        <v/>
      </c>
      <c r="AM37" s="49">
        <f>SUMIFS('Cohort x age'!$BJ$2:$BJ$1831,'Cohort x age'!$C$2:$C$1831,A37)</f>
        <v/>
      </c>
      <c r="AN37" s="49">
        <f>SUMIFS('Cohort x age'!$BL$2:$BL$1831,'Cohort x age'!$C$2:$C$1831,A37)</f>
        <v/>
      </c>
      <c r="AO37" s="49">
        <f>SUMIFS('Cohort x age'!$BO$2:$BO$1831,'Cohort x age'!$C$2:$C$1831,A37)</f>
        <v/>
      </c>
      <c r="AP37" s="49">
        <f>SUMIFS('Cohort x age'!$BR$2:$BR$1831,'Cohort x age'!$C$2:$C$1831,A37)</f>
        <v/>
      </c>
      <c r="AQ37" s="49">
        <f>SUMIFS('Cohort x age'!$BT$2:$BT$1831,'Cohort x age'!$C$2:$C$1831,A37)</f>
        <v/>
      </c>
      <c r="AR37" s="49">
        <f>SUMIFS('Cohort x age'!$BV$2:$BV$1831,'Cohort x age'!$C$2:$C$1831,A37)</f>
        <v/>
      </c>
      <c r="AS37" s="49">
        <f>SUMIFS('Cohort x age'!$BX$2:$BX$1831,'Cohort x age'!$C$2:$C$1831,A37)</f>
        <v/>
      </c>
      <c r="AT37" s="49">
        <f>SUMIFS('Cohort x age'!$CA$2:$CA$1831,'Cohort x age'!$C$2:$C$1831,A37)</f>
        <v/>
      </c>
      <c r="AU37" s="49">
        <f>SUMIFS('Cohort x age'!$CD$2:$CD$1831,'Cohort x age'!$C$2:$C$1831,A37)</f>
        <v/>
      </c>
      <c r="AV37" s="9">
        <f>SUM(X37:AS37)</f>
        <v/>
      </c>
      <c r="AW37" s="9">
        <f>in_salary</f>
        <v/>
      </c>
      <c r="AX37" s="9">
        <f>MAX(0,G37-in_capacity)*in_extra_capacity_cost/in_helper_visits</f>
        <v/>
      </c>
      <c r="AY37" s="49">
        <f>SUMPRODUCT('Sign-ups by age'!AK$2:AK$61,'Age profile'!R$2:R$61)</f>
        <v/>
      </c>
      <c r="AZ37" s="49">
        <f>SUMPRODUCT('Sign-ups by age'!AK$2:AK$61,'Age profile'!S$2:S$61)</f>
        <v/>
      </c>
      <c r="BA37" s="9">
        <f>in_cash_cover</f>
        <v/>
      </c>
      <c r="BB37" s="9">
        <f>IF(A37&lt;=in_growth_months,in_agent_balance_pay,in_agent_pay_after)/12*K37</f>
        <v/>
      </c>
      <c r="BC37" s="9">
        <f>AW37+AX37+AY37+AZ37+BA37+BB37</f>
        <v/>
      </c>
      <c r="BD37" s="9">
        <f>AV37-BC37</f>
        <v/>
      </c>
      <c r="BE37" s="40">
        <f>1/(1+d_dm)^A37</f>
        <v/>
      </c>
      <c r="BF37" s="9">
        <f>BD37*BE37</f>
        <v/>
      </c>
      <c r="BG37" s="9">
        <f>IF(A37=1,BF37,BG36+BF37)</f>
        <v/>
      </c>
      <c r="BH37" s="9">
        <f>IF(A37=1,BD37,BH36+BD37)</f>
        <v/>
      </c>
      <c r="BI37" s="39">
        <f>IF(AND(BH37&gt;=0,BI38=1),1,0)</f>
        <v/>
      </c>
      <c r="BJ37" s="39">
        <f>IF(BI37=1,A37,999)</f>
        <v/>
      </c>
      <c r="BK37" s="40">
        <f>1/(1+d_dm20)^A37</f>
        <v/>
      </c>
    </row>
    <row r="38">
      <c r="A38" s="39" t="n">
        <v>37</v>
      </c>
      <c r="B38" s="48">
        <f>MIN(in_signup_cap,in_signups_run*IF(in_ramp_months&gt;0,MIN(1,0.5+0.5*(A38-1)/in_ramp_months),1)*(1+in_signup_growth)^INT((A38-1)/12))</f>
        <v/>
      </c>
      <c r="C38" s="44">
        <f>SUMPRODUCT('Sign-ups by age'!AL$2:AL$61,'Age profile'!B$2:B$61)</f>
        <v/>
      </c>
      <c r="D38" s="44">
        <f>SUMPRODUCT('Sign-ups by age'!AL$2:AL$61,'Age profile'!C$2:C$61)</f>
        <v/>
      </c>
      <c r="E38" s="44">
        <f>SUMPRODUCT('Sign-ups by age'!AL$2:AL$61,'Age profile'!M$2:M$61)</f>
        <v/>
      </c>
      <c r="F38" s="44">
        <f>SUMPRODUCT('Sign-ups by age'!AL$2:AL$61,'Age profile'!K$2:K$61)</f>
        <v/>
      </c>
      <c r="G38" s="44">
        <f>SUMPRODUCT('Sign-ups by age'!AL$2:AL$61,'Age profile'!L$2:L$61)</f>
        <v/>
      </c>
      <c r="H38" s="11">
        <f>IF(C38&gt;0,1-F38/C38,0)</f>
        <v/>
      </c>
      <c r="I38" s="11">
        <f>IF(C38&gt;0,MAX(0,1-in_capacity*in_visit_every/C38),0)</f>
        <v/>
      </c>
      <c r="J38" s="49">
        <f>SUMPRODUCT('Sign-ups by age'!AL$2:AL$61,'Age profile'!E$2:E$61)</f>
        <v/>
      </c>
      <c r="K38" s="49">
        <f>SUMPRODUCT('Sign-ups by age'!AL$2:AL$61,'Age profile'!H$2:H$61)</f>
        <v/>
      </c>
      <c r="L38" s="44">
        <f>SUMIFS('Cohort x age'!$Q$2:$Q$1831,'Cohort x age'!$C$2:$C$1831,A38)</f>
        <v/>
      </c>
      <c r="M38" s="50">
        <f>SUMIFS('Cohort x age'!$L$2:$L$1831,'Cohort x age'!$C$2:$C$1831,A38)</f>
        <v/>
      </c>
      <c r="N38" s="50">
        <f>SUMIFS('Cohort x age'!$M$2:$M$1831,'Cohort x age'!$C$2:$C$1831,A38)</f>
        <v/>
      </c>
      <c r="O38" s="50">
        <f>SUMIFS('Cohort x age'!$N$2:$N$1831,'Cohort x age'!$C$2:$C$1831,A38)</f>
        <v/>
      </c>
      <c r="P38" s="50">
        <f>SUMIFS('Cohort x age'!$T$2:$T$1831,'Cohort x age'!$C$2:$C$1831,A38)</f>
        <v/>
      </c>
      <c r="Q38" s="49">
        <f>SUMIFS('Cohort x age'!$U$2:$U$1831,'Cohort x age'!$C$2:$C$1831,A38)</f>
        <v/>
      </c>
      <c r="R38" s="49">
        <f>SUMIFS('Cohort x age'!$V$2:$V$1831,'Cohort x age'!$C$2:$C$1831,A38)</f>
        <v/>
      </c>
      <c r="S38" s="44">
        <f>SUMIFS('Cohort x age'!$P$2:$P$1831,'Cohort x age'!$C$2:$C$1831,A38)</f>
        <v/>
      </c>
      <c r="T38" s="44">
        <f>SUMIFS('Cohort x age'!$R$2:$R$1831,'Cohort x age'!$C$2:$C$1831,A38)</f>
        <v/>
      </c>
      <c r="U38" s="50">
        <f>SUMIFS('Cohort x age'!$X$2:$X$1831,'Cohort x age'!$C$2:$C$1831,A38)</f>
        <v/>
      </c>
      <c r="V38" s="50">
        <f>SUMIFS('Cohort x age'!$Y$2:$Y$1831,'Cohort x age'!$C$2:$C$1831,A38)</f>
        <v/>
      </c>
      <c r="W38" s="50">
        <f>SUMIFS('Cohort x age'!$Z$2:$Z$1831,'Cohort x age'!$C$2:$C$1831,A38)</f>
        <v/>
      </c>
      <c r="X38" s="49">
        <f>SUMPRODUCT('Sign-ups by age'!AL$2:AL$61,'Age profile'!Q$2:Q$61)</f>
        <v/>
      </c>
      <c r="Y38" s="49">
        <f>SUMIFS('Cohort x age'!$AA$2:$AA$1831,'Cohort x age'!$C$2:$C$1831,A38)</f>
        <v/>
      </c>
      <c r="Z38" s="49">
        <f>SUMIFS('Cohort x age'!$AB$2:$AB$1831,'Cohort x age'!$C$2:$C$1831,A38)</f>
        <v/>
      </c>
      <c r="AA38" s="49">
        <f>SUMIFS('Cohort x age'!$AC$2:$AC$1831,'Cohort x age'!$C$2:$C$1831,A38)</f>
        <v/>
      </c>
      <c r="AB38" s="49">
        <f>SUMIFS('Cohort x age'!$AD$2:$AD$1831,'Cohort x age'!$C$2:$C$1831,A38)</f>
        <v/>
      </c>
      <c r="AC38" s="49">
        <f>SUMIFS('Cohort x age'!$AG$2:$AG$1831,'Cohort x age'!$C$2:$C$1831,A38)</f>
        <v/>
      </c>
      <c r="AD38" s="49">
        <f>SUMIFS('Cohort x age'!$AJ$2:$AJ$1831,'Cohort x age'!$C$2:$C$1831,A38)</f>
        <v/>
      </c>
      <c r="AE38" s="49">
        <f>SUMIFS('Cohort x age'!$AM$2:$AM$1831,'Cohort x age'!$C$2:$C$1831,A38)</f>
        <v/>
      </c>
      <c r="AF38" s="49">
        <f>SUMIFS('Cohort x age'!$AP$2:$AP$1831,'Cohort x age'!$C$2:$C$1831,A38)</f>
        <v/>
      </c>
      <c r="AG38" s="49">
        <f>SUMIFS('Cohort x age'!$AS$2:$AS$1831,'Cohort x age'!$C$2:$C$1831,A38)</f>
        <v/>
      </c>
      <c r="AH38" s="49">
        <f>SUMIFS('Cohort x age'!$AU$2:$AU$1831,'Cohort x age'!$C$2:$C$1831,A38)</f>
        <v/>
      </c>
      <c r="AI38" s="49">
        <f>SUMIFS('Cohort x age'!$AX$2:$AX$1831,'Cohort x age'!$C$2:$C$1831,A38)</f>
        <v/>
      </c>
      <c r="AJ38" s="49">
        <f>SUMIFS('Cohort x age'!$BB$2:$BB$1831,'Cohort x age'!$C$2:$C$1831,A38)</f>
        <v/>
      </c>
      <c r="AK38" s="49">
        <f>SUMIFS('Cohort x age'!$BE$2:$BE$1831,'Cohort x age'!$C$2:$C$1831,A38)</f>
        <v/>
      </c>
      <c r="AL38" s="49">
        <f>SUMIFS('Cohort x age'!$BG$2:$BG$1831,'Cohort x age'!$C$2:$C$1831,A38)</f>
        <v/>
      </c>
      <c r="AM38" s="49">
        <f>SUMIFS('Cohort x age'!$BJ$2:$BJ$1831,'Cohort x age'!$C$2:$C$1831,A38)</f>
        <v/>
      </c>
      <c r="AN38" s="49">
        <f>SUMIFS('Cohort x age'!$BL$2:$BL$1831,'Cohort x age'!$C$2:$C$1831,A38)</f>
        <v/>
      </c>
      <c r="AO38" s="49">
        <f>SUMIFS('Cohort x age'!$BO$2:$BO$1831,'Cohort x age'!$C$2:$C$1831,A38)</f>
        <v/>
      </c>
      <c r="AP38" s="49">
        <f>SUMIFS('Cohort x age'!$BR$2:$BR$1831,'Cohort x age'!$C$2:$C$1831,A38)</f>
        <v/>
      </c>
      <c r="AQ38" s="49">
        <f>SUMIFS('Cohort x age'!$BT$2:$BT$1831,'Cohort x age'!$C$2:$C$1831,A38)</f>
        <v/>
      </c>
      <c r="AR38" s="49">
        <f>SUMIFS('Cohort x age'!$BV$2:$BV$1831,'Cohort x age'!$C$2:$C$1831,A38)</f>
        <v/>
      </c>
      <c r="AS38" s="49">
        <f>SUMIFS('Cohort x age'!$BX$2:$BX$1831,'Cohort x age'!$C$2:$C$1831,A38)</f>
        <v/>
      </c>
      <c r="AT38" s="49">
        <f>SUMIFS('Cohort x age'!$CA$2:$CA$1831,'Cohort x age'!$C$2:$C$1831,A38)</f>
        <v/>
      </c>
      <c r="AU38" s="49">
        <f>SUMIFS('Cohort x age'!$CD$2:$CD$1831,'Cohort x age'!$C$2:$C$1831,A38)</f>
        <v/>
      </c>
      <c r="AV38" s="9">
        <f>SUM(X38:AS38)</f>
        <v/>
      </c>
      <c r="AW38" s="9">
        <f>in_salary</f>
        <v/>
      </c>
      <c r="AX38" s="9">
        <f>MAX(0,G38-in_capacity)*in_extra_capacity_cost/in_helper_visits</f>
        <v/>
      </c>
      <c r="AY38" s="49">
        <f>SUMPRODUCT('Sign-ups by age'!AL$2:AL$61,'Age profile'!R$2:R$61)</f>
        <v/>
      </c>
      <c r="AZ38" s="49">
        <f>SUMPRODUCT('Sign-ups by age'!AL$2:AL$61,'Age profile'!S$2:S$61)</f>
        <v/>
      </c>
      <c r="BA38" s="9">
        <f>in_cash_cover</f>
        <v/>
      </c>
      <c r="BB38" s="9">
        <f>IF(A38&lt;=in_growth_months,in_agent_balance_pay,in_agent_pay_after)/12*K38</f>
        <v/>
      </c>
      <c r="BC38" s="9">
        <f>AW38+AX38+AY38+AZ38+BA38+BB38</f>
        <v/>
      </c>
      <c r="BD38" s="9">
        <f>AV38-BC38</f>
        <v/>
      </c>
      <c r="BE38" s="40">
        <f>1/(1+d_dm)^A38</f>
        <v/>
      </c>
      <c r="BF38" s="9">
        <f>BD38*BE38</f>
        <v/>
      </c>
      <c r="BG38" s="9">
        <f>IF(A38=1,BF38,BG37+BF38)</f>
        <v/>
      </c>
      <c r="BH38" s="9">
        <f>IF(A38=1,BD38,BH37+BD38)</f>
        <v/>
      </c>
      <c r="BI38" s="39">
        <f>IF(AND(BH38&gt;=0,BI39=1),1,0)</f>
        <v/>
      </c>
      <c r="BJ38" s="39">
        <f>IF(BI38=1,A38,999)</f>
        <v/>
      </c>
      <c r="BK38" s="40">
        <f>1/(1+d_dm20)^A38</f>
        <v/>
      </c>
    </row>
    <row r="39">
      <c r="A39" s="39" t="n">
        <v>38</v>
      </c>
      <c r="B39" s="48">
        <f>MIN(in_signup_cap,in_signups_run*IF(in_ramp_months&gt;0,MIN(1,0.5+0.5*(A39-1)/in_ramp_months),1)*(1+in_signup_growth)^INT((A39-1)/12))</f>
        <v/>
      </c>
      <c r="C39" s="44">
        <f>SUMPRODUCT('Sign-ups by age'!AM$2:AM$61,'Age profile'!B$2:B$61)</f>
        <v/>
      </c>
      <c r="D39" s="44">
        <f>SUMPRODUCT('Sign-ups by age'!AM$2:AM$61,'Age profile'!C$2:C$61)</f>
        <v/>
      </c>
      <c r="E39" s="44">
        <f>SUMPRODUCT('Sign-ups by age'!AM$2:AM$61,'Age profile'!M$2:M$61)</f>
        <v/>
      </c>
      <c r="F39" s="44">
        <f>SUMPRODUCT('Sign-ups by age'!AM$2:AM$61,'Age profile'!K$2:K$61)</f>
        <v/>
      </c>
      <c r="G39" s="44">
        <f>SUMPRODUCT('Sign-ups by age'!AM$2:AM$61,'Age profile'!L$2:L$61)</f>
        <v/>
      </c>
      <c r="H39" s="11">
        <f>IF(C39&gt;0,1-F39/C39,0)</f>
        <v/>
      </c>
      <c r="I39" s="11">
        <f>IF(C39&gt;0,MAX(0,1-in_capacity*in_visit_every/C39),0)</f>
        <v/>
      </c>
      <c r="J39" s="49">
        <f>SUMPRODUCT('Sign-ups by age'!AM$2:AM$61,'Age profile'!E$2:E$61)</f>
        <v/>
      </c>
      <c r="K39" s="49">
        <f>SUMPRODUCT('Sign-ups by age'!AM$2:AM$61,'Age profile'!H$2:H$61)</f>
        <v/>
      </c>
      <c r="L39" s="44">
        <f>SUMIFS('Cohort x age'!$Q$2:$Q$1831,'Cohort x age'!$C$2:$C$1831,A39)</f>
        <v/>
      </c>
      <c r="M39" s="50">
        <f>SUMIFS('Cohort x age'!$L$2:$L$1831,'Cohort x age'!$C$2:$C$1831,A39)</f>
        <v/>
      </c>
      <c r="N39" s="50">
        <f>SUMIFS('Cohort x age'!$M$2:$M$1831,'Cohort x age'!$C$2:$C$1831,A39)</f>
        <v/>
      </c>
      <c r="O39" s="50">
        <f>SUMIFS('Cohort x age'!$N$2:$N$1831,'Cohort x age'!$C$2:$C$1831,A39)</f>
        <v/>
      </c>
      <c r="P39" s="50">
        <f>SUMIFS('Cohort x age'!$T$2:$T$1831,'Cohort x age'!$C$2:$C$1831,A39)</f>
        <v/>
      </c>
      <c r="Q39" s="49">
        <f>SUMIFS('Cohort x age'!$U$2:$U$1831,'Cohort x age'!$C$2:$C$1831,A39)</f>
        <v/>
      </c>
      <c r="R39" s="49">
        <f>SUMIFS('Cohort x age'!$V$2:$V$1831,'Cohort x age'!$C$2:$C$1831,A39)</f>
        <v/>
      </c>
      <c r="S39" s="44">
        <f>SUMIFS('Cohort x age'!$P$2:$P$1831,'Cohort x age'!$C$2:$C$1831,A39)</f>
        <v/>
      </c>
      <c r="T39" s="44">
        <f>SUMIFS('Cohort x age'!$R$2:$R$1831,'Cohort x age'!$C$2:$C$1831,A39)</f>
        <v/>
      </c>
      <c r="U39" s="50">
        <f>SUMIFS('Cohort x age'!$X$2:$X$1831,'Cohort x age'!$C$2:$C$1831,A39)</f>
        <v/>
      </c>
      <c r="V39" s="50">
        <f>SUMIFS('Cohort x age'!$Y$2:$Y$1831,'Cohort x age'!$C$2:$C$1831,A39)</f>
        <v/>
      </c>
      <c r="W39" s="50">
        <f>SUMIFS('Cohort x age'!$Z$2:$Z$1831,'Cohort x age'!$C$2:$C$1831,A39)</f>
        <v/>
      </c>
      <c r="X39" s="49">
        <f>SUMPRODUCT('Sign-ups by age'!AM$2:AM$61,'Age profile'!Q$2:Q$61)</f>
        <v/>
      </c>
      <c r="Y39" s="49">
        <f>SUMIFS('Cohort x age'!$AA$2:$AA$1831,'Cohort x age'!$C$2:$C$1831,A39)</f>
        <v/>
      </c>
      <c r="Z39" s="49">
        <f>SUMIFS('Cohort x age'!$AB$2:$AB$1831,'Cohort x age'!$C$2:$C$1831,A39)</f>
        <v/>
      </c>
      <c r="AA39" s="49">
        <f>SUMIFS('Cohort x age'!$AC$2:$AC$1831,'Cohort x age'!$C$2:$C$1831,A39)</f>
        <v/>
      </c>
      <c r="AB39" s="49">
        <f>SUMIFS('Cohort x age'!$AD$2:$AD$1831,'Cohort x age'!$C$2:$C$1831,A39)</f>
        <v/>
      </c>
      <c r="AC39" s="49">
        <f>SUMIFS('Cohort x age'!$AG$2:$AG$1831,'Cohort x age'!$C$2:$C$1831,A39)</f>
        <v/>
      </c>
      <c r="AD39" s="49">
        <f>SUMIFS('Cohort x age'!$AJ$2:$AJ$1831,'Cohort x age'!$C$2:$C$1831,A39)</f>
        <v/>
      </c>
      <c r="AE39" s="49">
        <f>SUMIFS('Cohort x age'!$AM$2:$AM$1831,'Cohort x age'!$C$2:$C$1831,A39)</f>
        <v/>
      </c>
      <c r="AF39" s="49">
        <f>SUMIFS('Cohort x age'!$AP$2:$AP$1831,'Cohort x age'!$C$2:$C$1831,A39)</f>
        <v/>
      </c>
      <c r="AG39" s="49">
        <f>SUMIFS('Cohort x age'!$AS$2:$AS$1831,'Cohort x age'!$C$2:$C$1831,A39)</f>
        <v/>
      </c>
      <c r="AH39" s="49">
        <f>SUMIFS('Cohort x age'!$AU$2:$AU$1831,'Cohort x age'!$C$2:$C$1831,A39)</f>
        <v/>
      </c>
      <c r="AI39" s="49">
        <f>SUMIFS('Cohort x age'!$AX$2:$AX$1831,'Cohort x age'!$C$2:$C$1831,A39)</f>
        <v/>
      </c>
      <c r="AJ39" s="49">
        <f>SUMIFS('Cohort x age'!$BB$2:$BB$1831,'Cohort x age'!$C$2:$C$1831,A39)</f>
        <v/>
      </c>
      <c r="AK39" s="49">
        <f>SUMIFS('Cohort x age'!$BE$2:$BE$1831,'Cohort x age'!$C$2:$C$1831,A39)</f>
        <v/>
      </c>
      <c r="AL39" s="49">
        <f>SUMIFS('Cohort x age'!$BG$2:$BG$1831,'Cohort x age'!$C$2:$C$1831,A39)</f>
        <v/>
      </c>
      <c r="AM39" s="49">
        <f>SUMIFS('Cohort x age'!$BJ$2:$BJ$1831,'Cohort x age'!$C$2:$C$1831,A39)</f>
        <v/>
      </c>
      <c r="AN39" s="49">
        <f>SUMIFS('Cohort x age'!$BL$2:$BL$1831,'Cohort x age'!$C$2:$C$1831,A39)</f>
        <v/>
      </c>
      <c r="AO39" s="49">
        <f>SUMIFS('Cohort x age'!$BO$2:$BO$1831,'Cohort x age'!$C$2:$C$1831,A39)</f>
        <v/>
      </c>
      <c r="AP39" s="49">
        <f>SUMIFS('Cohort x age'!$BR$2:$BR$1831,'Cohort x age'!$C$2:$C$1831,A39)</f>
        <v/>
      </c>
      <c r="AQ39" s="49">
        <f>SUMIFS('Cohort x age'!$BT$2:$BT$1831,'Cohort x age'!$C$2:$C$1831,A39)</f>
        <v/>
      </c>
      <c r="AR39" s="49">
        <f>SUMIFS('Cohort x age'!$BV$2:$BV$1831,'Cohort x age'!$C$2:$C$1831,A39)</f>
        <v/>
      </c>
      <c r="AS39" s="49">
        <f>SUMIFS('Cohort x age'!$BX$2:$BX$1831,'Cohort x age'!$C$2:$C$1831,A39)</f>
        <v/>
      </c>
      <c r="AT39" s="49">
        <f>SUMIFS('Cohort x age'!$CA$2:$CA$1831,'Cohort x age'!$C$2:$C$1831,A39)</f>
        <v/>
      </c>
      <c r="AU39" s="49">
        <f>SUMIFS('Cohort x age'!$CD$2:$CD$1831,'Cohort x age'!$C$2:$C$1831,A39)</f>
        <v/>
      </c>
      <c r="AV39" s="9">
        <f>SUM(X39:AS39)</f>
        <v/>
      </c>
      <c r="AW39" s="9">
        <f>in_salary</f>
        <v/>
      </c>
      <c r="AX39" s="9">
        <f>MAX(0,G39-in_capacity)*in_extra_capacity_cost/in_helper_visits</f>
        <v/>
      </c>
      <c r="AY39" s="49">
        <f>SUMPRODUCT('Sign-ups by age'!AM$2:AM$61,'Age profile'!R$2:R$61)</f>
        <v/>
      </c>
      <c r="AZ39" s="49">
        <f>SUMPRODUCT('Sign-ups by age'!AM$2:AM$61,'Age profile'!S$2:S$61)</f>
        <v/>
      </c>
      <c r="BA39" s="9">
        <f>in_cash_cover</f>
        <v/>
      </c>
      <c r="BB39" s="9">
        <f>IF(A39&lt;=in_growth_months,in_agent_balance_pay,in_agent_pay_after)/12*K39</f>
        <v/>
      </c>
      <c r="BC39" s="9">
        <f>AW39+AX39+AY39+AZ39+BA39+BB39</f>
        <v/>
      </c>
      <c r="BD39" s="9">
        <f>AV39-BC39</f>
        <v/>
      </c>
      <c r="BE39" s="40">
        <f>1/(1+d_dm)^A39</f>
        <v/>
      </c>
      <c r="BF39" s="9">
        <f>BD39*BE39</f>
        <v/>
      </c>
      <c r="BG39" s="9">
        <f>IF(A39=1,BF39,BG38+BF39)</f>
        <v/>
      </c>
      <c r="BH39" s="9">
        <f>IF(A39=1,BD39,BH38+BD39)</f>
        <v/>
      </c>
      <c r="BI39" s="39">
        <f>IF(AND(BH39&gt;=0,BI40=1),1,0)</f>
        <v/>
      </c>
      <c r="BJ39" s="39">
        <f>IF(BI39=1,A39,999)</f>
        <v/>
      </c>
      <c r="BK39" s="40">
        <f>1/(1+d_dm20)^A39</f>
        <v/>
      </c>
    </row>
    <row r="40">
      <c r="A40" s="39" t="n">
        <v>39</v>
      </c>
      <c r="B40" s="48">
        <f>MIN(in_signup_cap,in_signups_run*IF(in_ramp_months&gt;0,MIN(1,0.5+0.5*(A40-1)/in_ramp_months),1)*(1+in_signup_growth)^INT((A40-1)/12))</f>
        <v/>
      </c>
      <c r="C40" s="44">
        <f>SUMPRODUCT('Sign-ups by age'!AN$2:AN$61,'Age profile'!B$2:B$61)</f>
        <v/>
      </c>
      <c r="D40" s="44">
        <f>SUMPRODUCT('Sign-ups by age'!AN$2:AN$61,'Age profile'!C$2:C$61)</f>
        <v/>
      </c>
      <c r="E40" s="44">
        <f>SUMPRODUCT('Sign-ups by age'!AN$2:AN$61,'Age profile'!M$2:M$61)</f>
        <v/>
      </c>
      <c r="F40" s="44">
        <f>SUMPRODUCT('Sign-ups by age'!AN$2:AN$61,'Age profile'!K$2:K$61)</f>
        <v/>
      </c>
      <c r="G40" s="44">
        <f>SUMPRODUCT('Sign-ups by age'!AN$2:AN$61,'Age profile'!L$2:L$61)</f>
        <v/>
      </c>
      <c r="H40" s="11">
        <f>IF(C40&gt;0,1-F40/C40,0)</f>
        <v/>
      </c>
      <c r="I40" s="11">
        <f>IF(C40&gt;0,MAX(0,1-in_capacity*in_visit_every/C40),0)</f>
        <v/>
      </c>
      <c r="J40" s="49">
        <f>SUMPRODUCT('Sign-ups by age'!AN$2:AN$61,'Age profile'!E$2:E$61)</f>
        <v/>
      </c>
      <c r="K40" s="49">
        <f>SUMPRODUCT('Sign-ups by age'!AN$2:AN$61,'Age profile'!H$2:H$61)</f>
        <v/>
      </c>
      <c r="L40" s="44">
        <f>SUMIFS('Cohort x age'!$Q$2:$Q$1831,'Cohort x age'!$C$2:$C$1831,A40)</f>
        <v/>
      </c>
      <c r="M40" s="50">
        <f>SUMIFS('Cohort x age'!$L$2:$L$1831,'Cohort x age'!$C$2:$C$1831,A40)</f>
        <v/>
      </c>
      <c r="N40" s="50">
        <f>SUMIFS('Cohort x age'!$M$2:$M$1831,'Cohort x age'!$C$2:$C$1831,A40)</f>
        <v/>
      </c>
      <c r="O40" s="50">
        <f>SUMIFS('Cohort x age'!$N$2:$N$1831,'Cohort x age'!$C$2:$C$1831,A40)</f>
        <v/>
      </c>
      <c r="P40" s="50">
        <f>SUMIFS('Cohort x age'!$T$2:$T$1831,'Cohort x age'!$C$2:$C$1831,A40)</f>
        <v/>
      </c>
      <c r="Q40" s="49">
        <f>SUMIFS('Cohort x age'!$U$2:$U$1831,'Cohort x age'!$C$2:$C$1831,A40)</f>
        <v/>
      </c>
      <c r="R40" s="49">
        <f>SUMIFS('Cohort x age'!$V$2:$V$1831,'Cohort x age'!$C$2:$C$1831,A40)</f>
        <v/>
      </c>
      <c r="S40" s="44">
        <f>SUMIFS('Cohort x age'!$P$2:$P$1831,'Cohort x age'!$C$2:$C$1831,A40)</f>
        <v/>
      </c>
      <c r="T40" s="44">
        <f>SUMIFS('Cohort x age'!$R$2:$R$1831,'Cohort x age'!$C$2:$C$1831,A40)</f>
        <v/>
      </c>
      <c r="U40" s="50">
        <f>SUMIFS('Cohort x age'!$X$2:$X$1831,'Cohort x age'!$C$2:$C$1831,A40)</f>
        <v/>
      </c>
      <c r="V40" s="50">
        <f>SUMIFS('Cohort x age'!$Y$2:$Y$1831,'Cohort x age'!$C$2:$C$1831,A40)</f>
        <v/>
      </c>
      <c r="W40" s="50">
        <f>SUMIFS('Cohort x age'!$Z$2:$Z$1831,'Cohort x age'!$C$2:$C$1831,A40)</f>
        <v/>
      </c>
      <c r="X40" s="49">
        <f>SUMPRODUCT('Sign-ups by age'!AN$2:AN$61,'Age profile'!Q$2:Q$61)</f>
        <v/>
      </c>
      <c r="Y40" s="49">
        <f>SUMIFS('Cohort x age'!$AA$2:$AA$1831,'Cohort x age'!$C$2:$C$1831,A40)</f>
        <v/>
      </c>
      <c r="Z40" s="49">
        <f>SUMIFS('Cohort x age'!$AB$2:$AB$1831,'Cohort x age'!$C$2:$C$1831,A40)</f>
        <v/>
      </c>
      <c r="AA40" s="49">
        <f>SUMIFS('Cohort x age'!$AC$2:$AC$1831,'Cohort x age'!$C$2:$C$1831,A40)</f>
        <v/>
      </c>
      <c r="AB40" s="49">
        <f>SUMIFS('Cohort x age'!$AD$2:$AD$1831,'Cohort x age'!$C$2:$C$1831,A40)</f>
        <v/>
      </c>
      <c r="AC40" s="49">
        <f>SUMIFS('Cohort x age'!$AG$2:$AG$1831,'Cohort x age'!$C$2:$C$1831,A40)</f>
        <v/>
      </c>
      <c r="AD40" s="49">
        <f>SUMIFS('Cohort x age'!$AJ$2:$AJ$1831,'Cohort x age'!$C$2:$C$1831,A40)</f>
        <v/>
      </c>
      <c r="AE40" s="49">
        <f>SUMIFS('Cohort x age'!$AM$2:$AM$1831,'Cohort x age'!$C$2:$C$1831,A40)</f>
        <v/>
      </c>
      <c r="AF40" s="49">
        <f>SUMIFS('Cohort x age'!$AP$2:$AP$1831,'Cohort x age'!$C$2:$C$1831,A40)</f>
        <v/>
      </c>
      <c r="AG40" s="49">
        <f>SUMIFS('Cohort x age'!$AS$2:$AS$1831,'Cohort x age'!$C$2:$C$1831,A40)</f>
        <v/>
      </c>
      <c r="AH40" s="49">
        <f>SUMIFS('Cohort x age'!$AU$2:$AU$1831,'Cohort x age'!$C$2:$C$1831,A40)</f>
        <v/>
      </c>
      <c r="AI40" s="49">
        <f>SUMIFS('Cohort x age'!$AX$2:$AX$1831,'Cohort x age'!$C$2:$C$1831,A40)</f>
        <v/>
      </c>
      <c r="AJ40" s="49">
        <f>SUMIFS('Cohort x age'!$BB$2:$BB$1831,'Cohort x age'!$C$2:$C$1831,A40)</f>
        <v/>
      </c>
      <c r="AK40" s="49">
        <f>SUMIFS('Cohort x age'!$BE$2:$BE$1831,'Cohort x age'!$C$2:$C$1831,A40)</f>
        <v/>
      </c>
      <c r="AL40" s="49">
        <f>SUMIFS('Cohort x age'!$BG$2:$BG$1831,'Cohort x age'!$C$2:$C$1831,A40)</f>
        <v/>
      </c>
      <c r="AM40" s="49">
        <f>SUMIFS('Cohort x age'!$BJ$2:$BJ$1831,'Cohort x age'!$C$2:$C$1831,A40)</f>
        <v/>
      </c>
      <c r="AN40" s="49">
        <f>SUMIFS('Cohort x age'!$BL$2:$BL$1831,'Cohort x age'!$C$2:$C$1831,A40)</f>
        <v/>
      </c>
      <c r="AO40" s="49">
        <f>SUMIFS('Cohort x age'!$BO$2:$BO$1831,'Cohort x age'!$C$2:$C$1831,A40)</f>
        <v/>
      </c>
      <c r="AP40" s="49">
        <f>SUMIFS('Cohort x age'!$BR$2:$BR$1831,'Cohort x age'!$C$2:$C$1831,A40)</f>
        <v/>
      </c>
      <c r="AQ40" s="49">
        <f>SUMIFS('Cohort x age'!$BT$2:$BT$1831,'Cohort x age'!$C$2:$C$1831,A40)</f>
        <v/>
      </c>
      <c r="AR40" s="49">
        <f>SUMIFS('Cohort x age'!$BV$2:$BV$1831,'Cohort x age'!$C$2:$C$1831,A40)</f>
        <v/>
      </c>
      <c r="AS40" s="49">
        <f>SUMIFS('Cohort x age'!$BX$2:$BX$1831,'Cohort x age'!$C$2:$C$1831,A40)</f>
        <v/>
      </c>
      <c r="AT40" s="49">
        <f>SUMIFS('Cohort x age'!$CA$2:$CA$1831,'Cohort x age'!$C$2:$C$1831,A40)</f>
        <v/>
      </c>
      <c r="AU40" s="49">
        <f>SUMIFS('Cohort x age'!$CD$2:$CD$1831,'Cohort x age'!$C$2:$C$1831,A40)</f>
        <v/>
      </c>
      <c r="AV40" s="9">
        <f>SUM(X40:AS40)</f>
        <v/>
      </c>
      <c r="AW40" s="9">
        <f>in_salary</f>
        <v/>
      </c>
      <c r="AX40" s="9">
        <f>MAX(0,G40-in_capacity)*in_extra_capacity_cost/in_helper_visits</f>
        <v/>
      </c>
      <c r="AY40" s="49">
        <f>SUMPRODUCT('Sign-ups by age'!AN$2:AN$61,'Age profile'!R$2:R$61)</f>
        <v/>
      </c>
      <c r="AZ40" s="49">
        <f>SUMPRODUCT('Sign-ups by age'!AN$2:AN$61,'Age profile'!S$2:S$61)</f>
        <v/>
      </c>
      <c r="BA40" s="9">
        <f>in_cash_cover</f>
        <v/>
      </c>
      <c r="BB40" s="9">
        <f>IF(A40&lt;=in_growth_months,in_agent_balance_pay,in_agent_pay_after)/12*K40</f>
        <v/>
      </c>
      <c r="BC40" s="9">
        <f>AW40+AX40+AY40+AZ40+BA40+BB40</f>
        <v/>
      </c>
      <c r="BD40" s="9">
        <f>AV40-BC40</f>
        <v/>
      </c>
      <c r="BE40" s="40">
        <f>1/(1+d_dm)^A40</f>
        <v/>
      </c>
      <c r="BF40" s="9">
        <f>BD40*BE40</f>
        <v/>
      </c>
      <c r="BG40" s="9">
        <f>IF(A40=1,BF40,BG39+BF40)</f>
        <v/>
      </c>
      <c r="BH40" s="9">
        <f>IF(A40=1,BD40,BH39+BD40)</f>
        <v/>
      </c>
      <c r="BI40" s="39">
        <f>IF(AND(BH40&gt;=0,BI41=1),1,0)</f>
        <v/>
      </c>
      <c r="BJ40" s="39">
        <f>IF(BI40=1,A40,999)</f>
        <v/>
      </c>
      <c r="BK40" s="40">
        <f>1/(1+d_dm20)^A40</f>
        <v/>
      </c>
    </row>
    <row r="41">
      <c r="A41" s="39" t="n">
        <v>40</v>
      </c>
      <c r="B41" s="48">
        <f>MIN(in_signup_cap,in_signups_run*IF(in_ramp_months&gt;0,MIN(1,0.5+0.5*(A41-1)/in_ramp_months),1)*(1+in_signup_growth)^INT((A41-1)/12))</f>
        <v/>
      </c>
      <c r="C41" s="44">
        <f>SUMPRODUCT('Sign-ups by age'!AO$2:AO$61,'Age profile'!B$2:B$61)</f>
        <v/>
      </c>
      <c r="D41" s="44">
        <f>SUMPRODUCT('Sign-ups by age'!AO$2:AO$61,'Age profile'!C$2:C$61)</f>
        <v/>
      </c>
      <c r="E41" s="44">
        <f>SUMPRODUCT('Sign-ups by age'!AO$2:AO$61,'Age profile'!M$2:M$61)</f>
        <v/>
      </c>
      <c r="F41" s="44">
        <f>SUMPRODUCT('Sign-ups by age'!AO$2:AO$61,'Age profile'!K$2:K$61)</f>
        <v/>
      </c>
      <c r="G41" s="44">
        <f>SUMPRODUCT('Sign-ups by age'!AO$2:AO$61,'Age profile'!L$2:L$61)</f>
        <v/>
      </c>
      <c r="H41" s="11">
        <f>IF(C41&gt;0,1-F41/C41,0)</f>
        <v/>
      </c>
      <c r="I41" s="11">
        <f>IF(C41&gt;0,MAX(0,1-in_capacity*in_visit_every/C41),0)</f>
        <v/>
      </c>
      <c r="J41" s="49">
        <f>SUMPRODUCT('Sign-ups by age'!AO$2:AO$61,'Age profile'!E$2:E$61)</f>
        <v/>
      </c>
      <c r="K41" s="49">
        <f>SUMPRODUCT('Sign-ups by age'!AO$2:AO$61,'Age profile'!H$2:H$61)</f>
        <v/>
      </c>
      <c r="L41" s="44">
        <f>SUMIFS('Cohort x age'!$Q$2:$Q$1831,'Cohort x age'!$C$2:$C$1831,A41)</f>
        <v/>
      </c>
      <c r="M41" s="50">
        <f>SUMIFS('Cohort x age'!$L$2:$L$1831,'Cohort x age'!$C$2:$C$1831,A41)</f>
        <v/>
      </c>
      <c r="N41" s="50">
        <f>SUMIFS('Cohort x age'!$M$2:$M$1831,'Cohort x age'!$C$2:$C$1831,A41)</f>
        <v/>
      </c>
      <c r="O41" s="50">
        <f>SUMIFS('Cohort x age'!$N$2:$N$1831,'Cohort x age'!$C$2:$C$1831,A41)</f>
        <v/>
      </c>
      <c r="P41" s="50">
        <f>SUMIFS('Cohort x age'!$T$2:$T$1831,'Cohort x age'!$C$2:$C$1831,A41)</f>
        <v/>
      </c>
      <c r="Q41" s="49">
        <f>SUMIFS('Cohort x age'!$U$2:$U$1831,'Cohort x age'!$C$2:$C$1831,A41)</f>
        <v/>
      </c>
      <c r="R41" s="49">
        <f>SUMIFS('Cohort x age'!$V$2:$V$1831,'Cohort x age'!$C$2:$C$1831,A41)</f>
        <v/>
      </c>
      <c r="S41" s="44">
        <f>SUMIFS('Cohort x age'!$P$2:$P$1831,'Cohort x age'!$C$2:$C$1831,A41)</f>
        <v/>
      </c>
      <c r="T41" s="44">
        <f>SUMIFS('Cohort x age'!$R$2:$R$1831,'Cohort x age'!$C$2:$C$1831,A41)</f>
        <v/>
      </c>
      <c r="U41" s="50">
        <f>SUMIFS('Cohort x age'!$X$2:$X$1831,'Cohort x age'!$C$2:$C$1831,A41)</f>
        <v/>
      </c>
      <c r="V41" s="50">
        <f>SUMIFS('Cohort x age'!$Y$2:$Y$1831,'Cohort x age'!$C$2:$C$1831,A41)</f>
        <v/>
      </c>
      <c r="W41" s="50">
        <f>SUMIFS('Cohort x age'!$Z$2:$Z$1831,'Cohort x age'!$C$2:$C$1831,A41)</f>
        <v/>
      </c>
      <c r="X41" s="49">
        <f>SUMPRODUCT('Sign-ups by age'!AO$2:AO$61,'Age profile'!Q$2:Q$61)</f>
        <v/>
      </c>
      <c r="Y41" s="49">
        <f>SUMIFS('Cohort x age'!$AA$2:$AA$1831,'Cohort x age'!$C$2:$C$1831,A41)</f>
        <v/>
      </c>
      <c r="Z41" s="49">
        <f>SUMIFS('Cohort x age'!$AB$2:$AB$1831,'Cohort x age'!$C$2:$C$1831,A41)</f>
        <v/>
      </c>
      <c r="AA41" s="49">
        <f>SUMIFS('Cohort x age'!$AC$2:$AC$1831,'Cohort x age'!$C$2:$C$1831,A41)</f>
        <v/>
      </c>
      <c r="AB41" s="49">
        <f>SUMIFS('Cohort x age'!$AD$2:$AD$1831,'Cohort x age'!$C$2:$C$1831,A41)</f>
        <v/>
      </c>
      <c r="AC41" s="49">
        <f>SUMIFS('Cohort x age'!$AG$2:$AG$1831,'Cohort x age'!$C$2:$C$1831,A41)</f>
        <v/>
      </c>
      <c r="AD41" s="49">
        <f>SUMIFS('Cohort x age'!$AJ$2:$AJ$1831,'Cohort x age'!$C$2:$C$1831,A41)</f>
        <v/>
      </c>
      <c r="AE41" s="49">
        <f>SUMIFS('Cohort x age'!$AM$2:$AM$1831,'Cohort x age'!$C$2:$C$1831,A41)</f>
        <v/>
      </c>
      <c r="AF41" s="49">
        <f>SUMIFS('Cohort x age'!$AP$2:$AP$1831,'Cohort x age'!$C$2:$C$1831,A41)</f>
        <v/>
      </c>
      <c r="AG41" s="49">
        <f>SUMIFS('Cohort x age'!$AS$2:$AS$1831,'Cohort x age'!$C$2:$C$1831,A41)</f>
        <v/>
      </c>
      <c r="AH41" s="49">
        <f>SUMIFS('Cohort x age'!$AU$2:$AU$1831,'Cohort x age'!$C$2:$C$1831,A41)</f>
        <v/>
      </c>
      <c r="AI41" s="49">
        <f>SUMIFS('Cohort x age'!$AX$2:$AX$1831,'Cohort x age'!$C$2:$C$1831,A41)</f>
        <v/>
      </c>
      <c r="AJ41" s="49">
        <f>SUMIFS('Cohort x age'!$BB$2:$BB$1831,'Cohort x age'!$C$2:$C$1831,A41)</f>
        <v/>
      </c>
      <c r="AK41" s="49">
        <f>SUMIFS('Cohort x age'!$BE$2:$BE$1831,'Cohort x age'!$C$2:$C$1831,A41)</f>
        <v/>
      </c>
      <c r="AL41" s="49">
        <f>SUMIFS('Cohort x age'!$BG$2:$BG$1831,'Cohort x age'!$C$2:$C$1831,A41)</f>
        <v/>
      </c>
      <c r="AM41" s="49">
        <f>SUMIFS('Cohort x age'!$BJ$2:$BJ$1831,'Cohort x age'!$C$2:$C$1831,A41)</f>
        <v/>
      </c>
      <c r="AN41" s="49">
        <f>SUMIFS('Cohort x age'!$BL$2:$BL$1831,'Cohort x age'!$C$2:$C$1831,A41)</f>
        <v/>
      </c>
      <c r="AO41" s="49">
        <f>SUMIFS('Cohort x age'!$BO$2:$BO$1831,'Cohort x age'!$C$2:$C$1831,A41)</f>
        <v/>
      </c>
      <c r="AP41" s="49">
        <f>SUMIFS('Cohort x age'!$BR$2:$BR$1831,'Cohort x age'!$C$2:$C$1831,A41)</f>
        <v/>
      </c>
      <c r="AQ41" s="49">
        <f>SUMIFS('Cohort x age'!$BT$2:$BT$1831,'Cohort x age'!$C$2:$C$1831,A41)</f>
        <v/>
      </c>
      <c r="AR41" s="49">
        <f>SUMIFS('Cohort x age'!$BV$2:$BV$1831,'Cohort x age'!$C$2:$C$1831,A41)</f>
        <v/>
      </c>
      <c r="AS41" s="49">
        <f>SUMIFS('Cohort x age'!$BX$2:$BX$1831,'Cohort x age'!$C$2:$C$1831,A41)</f>
        <v/>
      </c>
      <c r="AT41" s="49">
        <f>SUMIFS('Cohort x age'!$CA$2:$CA$1831,'Cohort x age'!$C$2:$C$1831,A41)</f>
        <v/>
      </c>
      <c r="AU41" s="49">
        <f>SUMIFS('Cohort x age'!$CD$2:$CD$1831,'Cohort x age'!$C$2:$C$1831,A41)</f>
        <v/>
      </c>
      <c r="AV41" s="9">
        <f>SUM(X41:AS41)</f>
        <v/>
      </c>
      <c r="AW41" s="9">
        <f>in_salary</f>
        <v/>
      </c>
      <c r="AX41" s="9">
        <f>MAX(0,G41-in_capacity)*in_extra_capacity_cost/in_helper_visits</f>
        <v/>
      </c>
      <c r="AY41" s="49">
        <f>SUMPRODUCT('Sign-ups by age'!AO$2:AO$61,'Age profile'!R$2:R$61)</f>
        <v/>
      </c>
      <c r="AZ41" s="49">
        <f>SUMPRODUCT('Sign-ups by age'!AO$2:AO$61,'Age profile'!S$2:S$61)</f>
        <v/>
      </c>
      <c r="BA41" s="9">
        <f>in_cash_cover</f>
        <v/>
      </c>
      <c r="BB41" s="9">
        <f>IF(A41&lt;=in_growth_months,in_agent_balance_pay,in_agent_pay_after)/12*K41</f>
        <v/>
      </c>
      <c r="BC41" s="9">
        <f>AW41+AX41+AY41+AZ41+BA41+BB41</f>
        <v/>
      </c>
      <c r="BD41" s="9">
        <f>AV41-BC41</f>
        <v/>
      </c>
      <c r="BE41" s="40">
        <f>1/(1+d_dm)^A41</f>
        <v/>
      </c>
      <c r="BF41" s="9">
        <f>BD41*BE41</f>
        <v/>
      </c>
      <c r="BG41" s="9">
        <f>IF(A41=1,BF41,BG40+BF41)</f>
        <v/>
      </c>
      <c r="BH41" s="9">
        <f>IF(A41=1,BD41,BH40+BD41)</f>
        <v/>
      </c>
      <c r="BI41" s="39">
        <f>IF(AND(BH41&gt;=0,BI42=1),1,0)</f>
        <v/>
      </c>
      <c r="BJ41" s="39">
        <f>IF(BI41=1,A41,999)</f>
        <v/>
      </c>
      <c r="BK41" s="40">
        <f>1/(1+d_dm20)^A41</f>
        <v/>
      </c>
    </row>
    <row r="42">
      <c r="A42" s="39" t="n">
        <v>41</v>
      </c>
      <c r="B42" s="48">
        <f>MIN(in_signup_cap,in_signups_run*IF(in_ramp_months&gt;0,MIN(1,0.5+0.5*(A42-1)/in_ramp_months),1)*(1+in_signup_growth)^INT((A42-1)/12))</f>
        <v/>
      </c>
      <c r="C42" s="44">
        <f>SUMPRODUCT('Sign-ups by age'!AP$2:AP$61,'Age profile'!B$2:B$61)</f>
        <v/>
      </c>
      <c r="D42" s="44">
        <f>SUMPRODUCT('Sign-ups by age'!AP$2:AP$61,'Age profile'!C$2:C$61)</f>
        <v/>
      </c>
      <c r="E42" s="44">
        <f>SUMPRODUCT('Sign-ups by age'!AP$2:AP$61,'Age profile'!M$2:M$61)</f>
        <v/>
      </c>
      <c r="F42" s="44">
        <f>SUMPRODUCT('Sign-ups by age'!AP$2:AP$61,'Age profile'!K$2:K$61)</f>
        <v/>
      </c>
      <c r="G42" s="44">
        <f>SUMPRODUCT('Sign-ups by age'!AP$2:AP$61,'Age profile'!L$2:L$61)</f>
        <v/>
      </c>
      <c r="H42" s="11">
        <f>IF(C42&gt;0,1-F42/C42,0)</f>
        <v/>
      </c>
      <c r="I42" s="11">
        <f>IF(C42&gt;0,MAX(0,1-in_capacity*in_visit_every/C42),0)</f>
        <v/>
      </c>
      <c r="J42" s="49">
        <f>SUMPRODUCT('Sign-ups by age'!AP$2:AP$61,'Age profile'!E$2:E$61)</f>
        <v/>
      </c>
      <c r="K42" s="49">
        <f>SUMPRODUCT('Sign-ups by age'!AP$2:AP$61,'Age profile'!H$2:H$61)</f>
        <v/>
      </c>
      <c r="L42" s="44">
        <f>SUMIFS('Cohort x age'!$Q$2:$Q$1831,'Cohort x age'!$C$2:$C$1831,A42)</f>
        <v/>
      </c>
      <c r="M42" s="50">
        <f>SUMIFS('Cohort x age'!$L$2:$L$1831,'Cohort x age'!$C$2:$C$1831,A42)</f>
        <v/>
      </c>
      <c r="N42" s="50">
        <f>SUMIFS('Cohort x age'!$M$2:$M$1831,'Cohort x age'!$C$2:$C$1831,A42)</f>
        <v/>
      </c>
      <c r="O42" s="50">
        <f>SUMIFS('Cohort x age'!$N$2:$N$1831,'Cohort x age'!$C$2:$C$1831,A42)</f>
        <v/>
      </c>
      <c r="P42" s="50">
        <f>SUMIFS('Cohort x age'!$T$2:$T$1831,'Cohort x age'!$C$2:$C$1831,A42)</f>
        <v/>
      </c>
      <c r="Q42" s="49">
        <f>SUMIFS('Cohort x age'!$U$2:$U$1831,'Cohort x age'!$C$2:$C$1831,A42)</f>
        <v/>
      </c>
      <c r="R42" s="49">
        <f>SUMIFS('Cohort x age'!$V$2:$V$1831,'Cohort x age'!$C$2:$C$1831,A42)</f>
        <v/>
      </c>
      <c r="S42" s="44">
        <f>SUMIFS('Cohort x age'!$P$2:$P$1831,'Cohort x age'!$C$2:$C$1831,A42)</f>
        <v/>
      </c>
      <c r="T42" s="44">
        <f>SUMIFS('Cohort x age'!$R$2:$R$1831,'Cohort x age'!$C$2:$C$1831,A42)</f>
        <v/>
      </c>
      <c r="U42" s="50">
        <f>SUMIFS('Cohort x age'!$X$2:$X$1831,'Cohort x age'!$C$2:$C$1831,A42)</f>
        <v/>
      </c>
      <c r="V42" s="50">
        <f>SUMIFS('Cohort x age'!$Y$2:$Y$1831,'Cohort x age'!$C$2:$C$1831,A42)</f>
        <v/>
      </c>
      <c r="W42" s="50">
        <f>SUMIFS('Cohort x age'!$Z$2:$Z$1831,'Cohort x age'!$C$2:$C$1831,A42)</f>
        <v/>
      </c>
      <c r="X42" s="49">
        <f>SUMPRODUCT('Sign-ups by age'!AP$2:AP$61,'Age profile'!Q$2:Q$61)</f>
        <v/>
      </c>
      <c r="Y42" s="49">
        <f>SUMIFS('Cohort x age'!$AA$2:$AA$1831,'Cohort x age'!$C$2:$C$1831,A42)</f>
        <v/>
      </c>
      <c r="Z42" s="49">
        <f>SUMIFS('Cohort x age'!$AB$2:$AB$1831,'Cohort x age'!$C$2:$C$1831,A42)</f>
        <v/>
      </c>
      <c r="AA42" s="49">
        <f>SUMIFS('Cohort x age'!$AC$2:$AC$1831,'Cohort x age'!$C$2:$C$1831,A42)</f>
        <v/>
      </c>
      <c r="AB42" s="49">
        <f>SUMIFS('Cohort x age'!$AD$2:$AD$1831,'Cohort x age'!$C$2:$C$1831,A42)</f>
        <v/>
      </c>
      <c r="AC42" s="49">
        <f>SUMIFS('Cohort x age'!$AG$2:$AG$1831,'Cohort x age'!$C$2:$C$1831,A42)</f>
        <v/>
      </c>
      <c r="AD42" s="49">
        <f>SUMIFS('Cohort x age'!$AJ$2:$AJ$1831,'Cohort x age'!$C$2:$C$1831,A42)</f>
        <v/>
      </c>
      <c r="AE42" s="49">
        <f>SUMIFS('Cohort x age'!$AM$2:$AM$1831,'Cohort x age'!$C$2:$C$1831,A42)</f>
        <v/>
      </c>
      <c r="AF42" s="49">
        <f>SUMIFS('Cohort x age'!$AP$2:$AP$1831,'Cohort x age'!$C$2:$C$1831,A42)</f>
        <v/>
      </c>
      <c r="AG42" s="49">
        <f>SUMIFS('Cohort x age'!$AS$2:$AS$1831,'Cohort x age'!$C$2:$C$1831,A42)</f>
        <v/>
      </c>
      <c r="AH42" s="49">
        <f>SUMIFS('Cohort x age'!$AU$2:$AU$1831,'Cohort x age'!$C$2:$C$1831,A42)</f>
        <v/>
      </c>
      <c r="AI42" s="49">
        <f>SUMIFS('Cohort x age'!$AX$2:$AX$1831,'Cohort x age'!$C$2:$C$1831,A42)</f>
        <v/>
      </c>
      <c r="AJ42" s="49">
        <f>SUMIFS('Cohort x age'!$BB$2:$BB$1831,'Cohort x age'!$C$2:$C$1831,A42)</f>
        <v/>
      </c>
      <c r="AK42" s="49">
        <f>SUMIFS('Cohort x age'!$BE$2:$BE$1831,'Cohort x age'!$C$2:$C$1831,A42)</f>
        <v/>
      </c>
      <c r="AL42" s="49">
        <f>SUMIFS('Cohort x age'!$BG$2:$BG$1831,'Cohort x age'!$C$2:$C$1831,A42)</f>
        <v/>
      </c>
      <c r="AM42" s="49">
        <f>SUMIFS('Cohort x age'!$BJ$2:$BJ$1831,'Cohort x age'!$C$2:$C$1831,A42)</f>
        <v/>
      </c>
      <c r="AN42" s="49">
        <f>SUMIFS('Cohort x age'!$BL$2:$BL$1831,'Cohort x age'!$C$2:$C$1831,A42)</f>
        <v/>
      </c>
      <c r="AO42" s="49">
        <f>SUMIFS('Cohort x age'!$BO$2:$BO$1831,'Cohort x age'!$C$2:$C$1831,A42)</f>
        <v/>
      </c>
      <c r="AP42" s="49">
        <f>SUMIFS('Cohort x age'!$BR$2:$BR$1831,'Cohort x age'!$C$2:$C$1831,A42)</f>
        <v/>
      </c>
      <c r="AQ42" s="49">
        <f>SUMIFS('Cohort x age'!$BT$2:$BT$1831,'Cohort x age'!$C$2:$C$1831,A42)</f>
        <v/>
      </c>
      <c r="AR42" s="49">
        <f>SUMIFS('Cohort x age'!$BV$2:$BV$1831,'Cohort x age'!$C$2:$C$1831,A42)</f>
        <v/>
      </c>
      <c r="AS42" s="49">
        <f>SUMIFS('Cohort x age'!$BX$2:$BX$1831,'Cohort x age'!$C$2:$C$1831,A42)</f>
        <v/>
      </c>
      <c r="AT42" s="49">
        <f>SUMIFS('Cohort x age'!$CA$2:$CA$1831,'Cohort x age'!$C$2:$C$1831,A42)</f>
        <v/>
      </c>
      <c r="AU42" s="49">
        <f>SUMIFS('Cohort x age'!$CD$2:$CD$1831,'Cohort x age'!$C$2:$C$1831,A42)</f>
        <v/>
      </c>
      <c r="AV42" s="9">
        <f>SUM(X42:AS42)</f>
        <v/>
      </c>
      <c r="AW42" s="9">
        <f>in_salary</f>
        <v/>
      </c>
      <c r="AX42" s="9">
        <f>MAX(0,G42-in_capacity)*in_extra_capacity_cost/in_helper_visits</f>
        <v/>
      </c>
      <c r="AY42" s="49">
        <f>SUMPRODUCT('Sign-ups by age'!AP$2:AP$61,'Age profile'!R$2:R$61)</f>
        <v/>
      </c>
      <c r="AZ42" s="49">
        <f>SUMPRODUCT('Sign-ups by age'!AP$2:AP$61,'Age profile'!S$2:S$61)</f>
        <v/>
      </c>
      <c r="BA42" s="9">
        <f>in_cash_cover</f>
        <v/>
      </c>
      <c r="BB42" s="9">
        <f>IF(A42&lt;=in_growth_months,in_agent_balance_pay,in_agent_pay_after)/12*K42</f>
        <v/>
      </c>
      <c r="BC42" s="9">
        <f>AW42+AX42+AY42+AZ42+BA42+BB42</f>
        <v/>
      </c>
      <c r="BD42" s="9">
        <f>AV42-BC42</f>
        <v/>
      </c>
      <c r="BE42" s="40">
        <f>1/(1+d_dm)^A42</f>
        <v/>
      </c>
      <c r="BF42" s="9">
        <f>BD42*BE42</f>
        <v/>
      </c>
      <c r="BG42" s="9">
        <f>IF(A42=1,BF42,BG41+BF42)</f>
        <v/>
      </c>
      <c r="BH42" s="9">
        <f>IF(A42=1,BD42,BH41+BD42)</f>
        <v/>
      </c>
      <c r="BI42" s="39">
        <f>IF(AND(BH42&gt;=0,BI43=1),1,0)</f>
        <v/>
      </c>
      <c r="BJ42" s="39">
        <f>IF(BI42=1,A42,999)</f>
        <v/>
      </c>
      <c r="BK42" s="40">
        <f>1/(1+d_dm20)^A42</f>
        <v/>
      </c>
    </row>
    <row r="43">
      <c r="A43" s="39" t="n">
        <v>42</v>
      </c>
      <c r="B43" s="48">
        <f>MIN(in_signup_cap,in_signups_run*IF(in_ramp_months&gt;0,MIN(1,0.5+0.5*(A43-1)/in_ramp_months),1)*(1+in_signup_growth)^INT((A43-1)/12))</f>
        <v/>
      </c>
      <c r="C43" s="44">
        <f>SUMPRODUCT('Sign-ups by age'!AQ$2:AQ$61,'Age profile'!B$2:B$61)</f>
        <v/>
      </c>
      <c r="D43" s="44">
        <f>SUMPRODUCT('Sign-ups by age'!AQ$2:AQ$61,'Age profile'!C$2:C$61)</f>
        <v/>
      </c>
      <c r="E43" s="44">
        <f>SUMPRODUCT('Sign-ups by age'!AQ$2:AQ$61,'Age profile'!M$2:M$61)</f>
        <v/>
      </c>
      <c r="F43" s="44">
        <f>SUMPRODUCT('Sign-ups by age'!AQ$2:AQ$61,'Age profile'!K$2:K$61)</f>
        <v/>
      </c>
      <c r="G43" s="44">
        <f>SUMPRODUCT('Sign-ups by age'!AQ$2:AQ$61,'Age profile'!L$2:L$61)</f>
        <v/>
      </c>
      <c r="H43" s="11">
        <f>IF(C43&gt;0,1-F43/C43,0)</f>
        <v/>
      </c>
      <c r="I43" s="11">
        <f>IF(C43&gt;0,MAX(0,1-in_capacity*in_visit_every/C43),0)</f>
        <v/>
      </c>
      <c r="J43" s="49">
        <f>SUMPRODUCT('Sign-ups by age'!AQ$2:AQ$61,'Age profile'!E$2:E$61)</f>
        <v/>
      </c>
      <c r="K43" s="49">
        <f>SUMPRODUCT('Sign-ups by age'!AQ$2:AQ$61,'Age profile'!H$2:H$61)</f>
        <v/>
      </c>
      <c r="L43" s="44">
        <f>SUMIFS('Cohort x age'!$Q$2:$Q$1831,'Cohort x age'!$C$2:$C$1831,A43)</f>
        <v/>
      </c>
      <c r="M43" s="50">
        <f>SUMIFS('Cohort x age'!$L$2:$L$1831,'Cohort x age'!$C$2:$C$1831,A43)</f>
        <v/>
      </c>
      <c r="N43" s="50">
        <f>SUMIFS('Cohort x age'!$M$2:$M$1831,'Cohort x age'!$C$2:$C$1831,A43)</f>
        <v/>
      </c>
      <c r="O43" s="50">
        <f>SUMIFS('Cohort x age'!$N$2:$N$1831,'Cohort x age'!$C$2:$C$1831,A43)</f>
        <v/>
      </c>
      <c r="P43" s="50">
        <f>SUMIFS('Cohort x age'!$T$2:$T$1831,'Cohort x age'!$C$2:$C$1831,A43)</f>
        <v/>
      </c>
      <c r="Q43" s="49">
        <f>SUMIFS('Cohort x age'!$U$2:$U$1831,'Cohort x age'!$C$2:$C$1831,A43)</f>
        <v/>
      </c>
      <c r="R43" s="49">
        <f>SUMIFS('Cohort x age'!$V$2:$V$1831,'Cohort x age'!$C$2:$C$1831,A43)</f>
        <v/>
      </c>
      <c r="S43" s="44">
        <f>SUMIFS('Cohort x age'!$P$2:$P$1831,'Cohort x age'!$C$2:$C$1831,A43)</f>
        <v/>
      </c>
      <c r="T43" s="44">
        <f>SUMIFS('Cohort x age'!$R$2:$R$1831,'Cohort x age'!$C$2:$C$1831,A43)</f>
        <v/>
      </c>
      <c r="U43" s="50">
        <f>SUMIFS('Cohort x age'!$X$2:$X$1831,'Cohort x age'!$C$2:$C$1831,A43)</f>
        <v/>
      </c>
      <c r="V43" s="50">
        <f>SUMIFS('Cohort x age'!$Y$2:$Y$1831,'Cohort x age'!$C$2:$C$1831,A43)</f>
        <v/>
      </c>
      <c r="W43" s="50">
        <f>SUMIFS('Cohort x age'!$Z$2:$Z$1831,'Cohort x age'!$C$2:$C$1831,A43)</f>
        <v/>
      </c>
      <c r="X43" s="49">
        <f>SUMPRODUCT('Sign-ups by age'!AQ$2:AQ$61,'Age profile'!Q$2:Q$61)</f>
        <v/>
      </c>
      <c r="Y43" s="49">
        <f>SUMIFS('Cohort x age'!$AA$2:$AA$1831,'Cohort x age'!$C$2:$C$1831,A43)</f>
        <v/>
      </c>
      <c r="Z43" s="49">
        <f>SUMIFS('Cohort x age'!$AB$2:$AB$1831,'Cohort x age'!$C$2:$C$1831,A43)</f>
        <v/>
      </c>
      <c r="AA43" s="49">
        <f>SUMIFS('Cohort x age'!$AC$2:$AC$1831,'Cohort x age'!$C$2:$C$1831,A43)</f>
        <v/>
      </c>
      <c r="AB43" s="49">
        <f>SUMIFS('Cohort x age'!$AD$2:$AD$1831,'Cohort x age'!$C$2:$C$1831,A43)</f>
        <v/>
      </c>
      <c r="AC43" s="49">
        <f>SUMIFS('Cohort x age'!$AG$2:$AG$1831,'Cohort x age'!$C$2:$C$1831,A43)</f>
        <v/>
      </c>
      <c r="AD43" s="49">
        <f>SUMIFS('Cohort x age'!$AJ$2:$AJ$1831,'Cohort x age'!$C$2:$C$1831,A43)</f>
        <v/>
      </c>
      <c r="AE43" s="49">
        <f>SUMIFS('Cohort x age'!$AM$2:$AM$1831,'Cohort x age'!$C$2:$C$1831,A43)</f>
        <v/>
      </c>
      <c r="AF43" s="49">
        <f>SUMIFS('Cohort x age'!$AP$2:$AP$1831,'Cohort x age'!$C$2:$C$1831,A43)</f>
        <v/>
      </c>
      <c r="AG43" s="49">
        <f>SUMIFS('Cohort x age'!$AS$2:$AS$1831,'Cohort x age'!$C$2:$C$1831,A43)</f>
        <v/>
      </c>
      <c r="AH43" s="49">
        <f>SUMIFS('Cohort x age'!$AU$2:$AU$1831,'Cohort x age'!$C$2:$C$1831,A43)</f>
        <v/>
      </c>
      <c r="AI43" s="49">
        <f>SUMIFS('Cohort x age'!$AX$2:$AX$1831,'Cohort x age'!$C$2:$C$1831,A43)</f>
        <v/>
      </c>
      <c r="AJ43" s="49">
        <f>SUMIFS('Cohort x age'!$BB$2:$BB$1831,'Cohort x age'!$C$2:$C$1831,A43)</f>
        <v/>
      </c>
      <c r="AK43" s="49">
        <f>SUMIFS('Cohort x age'!$BE$2:$BE$1831,'Cohort x age'!$C$2:$C$1831,A43)</f>
        <v/>
      </c>
      <c r="AL43" s="49">
        <f>SUMIFS('Cohort x age'!$BG$2:$BG$1831,'Cohort x age'!$C$2:$C$1831,A43)</f>
        <v/>
      </c>
      <c r="AM43" s="49">
        <f>SUMIFS('Cohort x age'!$BJ$2:$BJ$1831,'Cohort x age'!$C$2:$C$1831,A43)</f>
        <v/>
      </c>
      <c r="AN43" s="49">
        <f>SUMIFS('Cohort x age'!$BL$2:$BL$1831,'Cohort x age'!$C$2:$C$1831,A43)</f>
        <v/>
      </c>
      <c r="AO43" s="49">
        <f>SUMIFS('Cohort x age'!$BO$2:$BO$1831,'Cohort x age'!$C$2:$C$1831,A43)</f>
        <v/>
      </c>
      <c r="AP43" s="49">
        <f>SUMIFS('Cohort x age'!$BR$2:$BR$1831,'Cohort x age'!$C$2:$C$1831,A43)</f>
        <v/>
      </c>
      <c r="AQ43" s="49">
        <f>SUMIFS('Cohort x age'!$BT$2:$BT$1831,'Cohort x age'!$C$2:$C$1831,A43)</f>
        <v/>
      </c>
      <c r="AR43" s="49">
        <f>SUMIFS('Cohort x age'!$BV$2:$BV$1831,'Cohort x age'!$C$2:$C$1831,A43)</f>
        <v/>
      </c>
      <c r="AS43" s="49">
        <f>SUMIFS('Cohort x age'!$BX$2:$BX$1831,'Cohort x age'!$C$2:$C$1831,A43)</f>
        <v/>
      </c>
      <c r="AT43" s="49">
        <f>SUMIFS('Cohort x age'!$CA$2:$CA$1831,'Cohort x age'!$C$2:$C$1831,A43)</f>
        <v/>
      </c>
      <c r="AU43" s="49">
        <f>SUMIFS('Cohort x age'!$CD$2:$CD$1831,'Cohort x age'!$C$2:$C$1831,A43)</f>
        <v/>
      </c>
      <c r="AV43" s="9">
        <f>SUM(X43:AS43)</f>
        <v/>
      </c>
      <c r="AW43" s="9">
        <f>in_salary</f>
        <v/>
      </c>
      <c r="AX43" s="9">
        <f>MAX(0,G43-in_capacity)*in_extra_capacity_cost/in_helper_visits</f>
        <v/>
      </c>
      <c r="AY43" s="49">
        <f>SUMPRODUCT('Sign-ups by age'!AQ$2:AQ$61,'Age profile'!R$2:R$61)</f>
        <v/>
      </c>
      <c r="AZ43" s="49">
        <f>SUMPRODUCT('Sign-ups by age'!AQ$2:AQ$61,'Age profile'!S$2:S$61)</f>
        <v/>
      </c>
      <c r="BA43" s="9">
        <f>in_cash_cover</f>
        <v/>
      </c>
      <c r="BB43" s="9">
        <f>IF(A43&lt;=in_growth_months,in_agent_balance_pay,in_agent_pay_after)/12*K43</f>
        <v/>
      </c>
      <c r="BC43" s="9">
        <f>AW43+AX43+AY43+AZ43+BA43+BB43</f>
        <v/>
      </c>
      <c r="BD43" s="9">
        <f>AV43-BC43</f>
        <v/>
      </c>
      <c r="BE43" s="40">
        <f>1/(1+d_dm)^A43</f>
        <v/>
      </c>
      <c r="BF43" s="9">
        <f>BD43*BE43</f>
        <v/>
      </c>
      <c r="BG43" s="9">
        <f>IF(A43=1,BF43,BG42+BF43)</f>
        <v/>
      </c>
      <c r="BH43" s="9">
        <f>IF(A43=1,BD43,BH42+BD43)</f>
        <v/>
      </c>
      <c r="BI43" s="39">
        <f>IF(AND(BH43&gt;=0,BI44=1),1,0)</f>
        <v/>
      </c>
      <c r="BJ43" s="39">
        <f>IF(BI43=1,A43,999)</f>
        <v/>
      </c>
      <c r="BK43" s="40">
        <f>1/(1+d_dm20)^A43</f>
        <v/>
      </c>
    </row>
    <row r="44">
      <c r="A44" s="39" t="n">
        <v>43</v>
      </c>
      <c r="B44" s="48">
        <f>MIN(in_signup_cap,in_signups_run*IF(in_ramp_months&gt;0,MIN(1,0.5+0.5*(A44-1)/in_ramp_months),1)*(1+in_signup_growth)^INT((A44-1)/12))</f>
        <v/>
      </c>
      <c r="C44" s="44">
        <f>SUMPRODUCT('Sign-ups by age'!AR$2:AR$61,'Age profile'!B$2:B$61)</f>
        <v/>
      </c>
      <c r="D44" s="44">
        <f>SUMPRODUCT('Sign-ups by age'!AR$2:AR$61,'Age profile'!C$2:C$61)</f>
        <v/>
      </c>
      <c r="E44" s="44">
        <f>SUMPRODUCT('Sign-ups by age'!AR$2:AR$61,'Age profile'!M$2:M$61)</f>
        <v/>
      </c>
      <c r="F44" s="44">
        <f>SUMPRODUCT('Sign-ups by age'!AR$2:AR$61,'Age profile'!K$2:K$61)</f>
        <v/>
      </c>
      <c r="G44" s="44">
        <f>SUMPRODUCT('Sign-ups by age'!AR$2:AR$61,'Age profile'!L$2:L$61)</f>
        <v/>
      </c>
      <c r="H44" s="11">
        <f>IF(C44&gt;0,1-F44/C44,0)</f>
        <v/>
      </c>
      <c r="I44" s="11">
        <f>IF(C44&gt;0,MAX(0,1-in_capacity*in_visit_every/C44),0)</f>
        <v/>
      </c>
      <c r="J44" s="49">
        <f>SUMPRODUCT('Sign-ups by age'!AR$2:AR$61,'Age profile'!E$2:E$61)</f>
        <v/>
      </c>
      <c r="K44" s="49">
        <f>SUMPRODUCT('Sign-ups by age'!AR$2:AR$61,'Age profile'!H$2:H$61)</f>
        <v/>
      </c>
      <c r="L44" s="44">
        <f>SUMIFS('Cohort x age'!$Q$2:$Q$1831,'Cohort x age'!$C$2:$C$1831,A44)</f>
        <v/>
      </c>
      <c r="M44" s="50">
        <f>SUMIFS('Cohort x age'!$L$2:$L$1831,'Cohort x age'!$C$2:$C$1831,A44)</f>
        <v/>
      </c>
      <c r="N44" s="50">
        <f>SUMIFS('Cohort x age'!$M$2:$M$1831,'Cohort x age'!$C$2:$C$1831,A44)</f>
        <v/>
      </c>
      <c r="O44" s="50">
        <f>SUMIFS('Cohort x age'!$N$2:$N$1831,'Cohort x age'!$C$2:$C$1831,A44)</f>
        <v/>
      </c>
      <c r="P44" s="50">
        <f>SUMIFS('Cohort x age'!$T$2:$T$1831,'Cohort x age'!$C$2:$C$1831,A44)</f>
        <v/>
      </c>
      <c r="Q44" s="49">
        <f>SUMIFS('Cohort x age'!$U$2:$U$1831,'Cohort x age'!$C$2:$C$1831,A44)</f>
        <v/>
      </c>
      <c r="R44" s="49">
        <f>SUMIFS('Cohort x age'!$V$2:$V$1831,'Cohort x age'!$C$2:$C$1831,A44)</f>
        <v/>
      </c>
      <c r="S44" s="44">
        <f>SUMIFS('Cohort x age'!$P$2:$P$1831,'Cohort x age'!$C$2:$C$1831,A44)</f>
        <v/>
      </c>
      <c r="T44" s="44">
        <f>SUMIFS('Cohort x age'!$R$2:$R$1831,'Cohort x age'!$C$2:$C$1831,A44)</f>
        <v/>
      </c>
      <c r="U44" s="50">
        <f>SUMIFS('Cohort x age'!$X$2:$X$1831,'Cohort x age'!$C$2:$C$1831,A44)</f>
        <v/>
      </c>
      <c r="V44" s="50">
        <f>SUMIFS('Cohort x age'!$Y$2:$Y$1831,'Cohort x age'!$C$2:$C$1831,A44)</f>
        <v/>
      </c>
      <c r="W44" s="50">
        <f>SUMIFS('Cohort x age'!$Z$2:$Z$1831,'Cohort x age'!$C$2:$C$1831,A44)</f>
        <v/>
      </c>
      <c r="X44" s="49">
        <f>SUMPRODUCT('Sign-ups by age'!AR$2:AR$61,'Age profile'!Q$2:Q$61)</f>
        <v/>
      </c>
      <c r="Y44" s="49">
        <f>SUMIFS('Cohort x age'!$AA$2:$AA$1831,'Cohort x age'!$C$2:$C$1831,A44)</f>
        <v/>
      </c>
      <c r="Z44" s="49">
        <f>SUMIFS('Cohort x age'!$AB$2:$AB$1831,'Cohort x age'!$C$2:$C$1831,A44)</f>
        <v/>
      </c>
      <c r="AA44" s="49">
        <f>SUMIFS('Cohort x age'!$AC$2:$AC$1831,'Cohort x age'!$C$2:$C$1831,A44)</f>
        <v/>
      </c>
      <c r="AB44" s="49">
        <f>SUMIFS('Cohort x age'!$AD$2:$AD$1831,'Cohort x age'!$C$2:$C$1831,A44)</f>
        <v/>
      </c>
      <c r="AC44" s="49">
        <f>SUMIFS('Cohort x age'!$AG$2:$AG$1831,'Cohort x age'!$C$2:$C$1831,A44)</f>
        <v/>
      </c>
      <c r="AD44" s="49">
        <f>SUMIFS('Cohort x age'!$AJ$2:$AJ$1831,'Cohort x age'!$C$2:$C$1831,A44)</f>
        <v/>
      </c>
      <c r="AE44" s="49">
        <f>SUMIFS('Cohort x age'!$AM$2:$AM$1831,'Cohort x age'!$C$2:$C$1831,A44)</f>
        <v/>
      </c>
      <c r="AF44" s="49">
        <f>SUMIFS('Cohort x age'!$AP$2:$AP$1831,'Cohort x age'!$C$2:$C$1831,A44)</f>
        <v/>
      </c>
      <c r="AG44" s="49">
        <f>SUMIFS('Cohort x age'!$AS$2:$AS$1831,'Cohort x age'!$C$2:$C$1831,A44)</f>
        <v/>
      </c>
      <c r="AH44" s="49">
        <f>SUMIFS('Cohort x age'!$AU$2:$AU$1831,'Cohort x age'!$C$2:$C$1831,A44)</f>
        <v/>
      </c>
      <c r="AI44" s="49">
        <f>SUMIFS('Cohort x age'!$AX$2:$AX$1831,'Cohort x age'!$C$2:$C$1831,A44)</f>
        <v/>
      </c>
      <c r="AJ44" s="49">
        <f>SUMIFS('Cohort x age'!$BB$2:$BB$1831,'Cohort x age'!$C$2:$C$1831,A44)</f>
        <v/>
      </c>
      <c r="AK44" s="49">
        <f>SUMIFS('Cohort x age'!$BE$2:$BE$1831,'Cohort x age'!$C$2:$C$1831,A44)</f>
        <v/>
      </c>
      <c r="AL44" s="49">
        <f>SUMIFS('Cohort x age'!$BG$2:$BG$1831,'Cohort x age'!$C$2:$C$1831,A44)</f>
        <v/>
      </c>
      <c r="AM44" s="49">
        <f>SUMIFS('Cohort x age'!$BJ$2:$BJ$1831,'Cohort x age'!$C$2:$C$1831,A44)</f>
        <v/>
      </c>
      <c r="AN44" s="49">
        <f>SUMIFS('Cohort x age'!$BL$2:$BL$1831,'Cohort x age'!$C$2:$C$1831,A44)</f>
        <v/>
      </c>
      <c r="AO44" s="49">
        <f>SUMIFS('Cohort x age'!$BO$2:$BO$1831,'Cohort x age'!$C$2:$C$1831,A44)</f>
        <v/>
      </c>
      <c r="AP44" s="49">
        <f>SUMIFS('Cohort x age'!$BR$2:$BR$1831,'Cohort x age'!$C$2:$C$1831,A44)</f>
        <v/>
      </c>
      <c r="AQ44" s="49">
        <f>SUMIFS('Cohort x age'!$BT$2:$BT$1831,'Cohort x age'!$C$2:$C$1831,A44)</f>
        <v/>
      </c>
      <c r="AR44" s="49">
        <f>SUMIFS('Cohort x age'!$BV$2:$BV$1831,'Cohort x age'!$C$2:$C$1831,A44)</f>
        <v/>
      </c>
      <c r="AS44" s="49">
        <f>SUMIFS('Cohort x age'!$BX$2:$BX$1831,'Cohort x age'!$C$2:$C$1831,A44)</f>
        <v/>
      </c>
      <c r="AT44" s="49">
        <f>SUMIFS('Cohort x age'!$CA$2:$CA$1831,'Cohort x age'!$C$2:$C$1831,A44)</f>
        <v/>
      </c>
      <c r="AU44" s="49">
        <f>SUMIFS('Cohort x age'!$CD$2:$CD$1831,'Cohort x age'!$C$2:$C$1831,A44)</f>
        <v/>
      </c>
      <c r="AV44" s="9">
        <f>SUM(X44:AS44)</f>
        <v/>
      </c>
      <c r="AW44" s="9">
        <f>in_salary</f>
        <v/>
      </c>
      <c r="AX44" s="9">
        <f>MAX(0,G44-in_capacity)*in_extra_capacity_cost/in_helper_visits</f>
        <v/>
      </c>
      <c r="AY44" s="49">
        <f>SUMPRODUCT('Sign-ups by age'!AR$2:AR$61,'Age profile'!R$2:R$61)</f>
        <v/>
      </c>
      <c r="AZ44" s="49">
        <f>SUMPRODUCT('Sign-ups by age'!AR$2:AR$61,'Age profile'!S$2:S$61)</f>
        <v/>
      </c>
      <c r="BA44" s="9">
        <f>in_cash_cover</f>
        <v/>
      </c>
      <c r="BB44" s="9">
        <f>IF(A44&lt;=in_growth_months,in_agent_balance_pay,in_agent_pay_after)/12*K44</f>
        <v/>
      </c>
      <c r="BC44" s="9">
        <f>AW44+AX44+AY44+AZ44+BA44+BB44</f>
        <v/>
      </c>
      <c r="BD44" s="9">
        <f>AV44-BC44</f>
        <v/>
      </c>
      <c r="BE44" s="40">
        <f>1/(1+d_dm)^A44</f>
        <v/>
      </c>
      <c r="BF44" s="9">
        <f>BD44*BE44</f>
        <v/>
      </c>
      <c r="BG44" s="9">
        <f>IF(A44=1,BF44,BG43+BF44)</f>
        <v/>
      </c>
      <c r="BH44" s="9">
        <f>IF(A44=1,BD44,BH43+BD44)</f>
        <v/>
      </c>
      <c r="BI44" s="39">
        <f>IF(AND(BH44&gt;=0,BI45=1),1,0)</f>
        <v/>
      </c>
      <c r="BJ44" s="39">
        <f>IF(BI44=1,A44,999)</f>
        <v/>
      </c>
      <c r="BK44" s="40">
        <f>1/(1+d_dm20)^A44</f>
        <v/>
      </c>
    </row>
    <row r="45">
      <c r="A45" s="39" t="n">
        <v>44</v>
      </c>
      <c r="B45" s="48">
        <f>MIN(in_signup_cap,in_signups_run*IF(in_ramp_months&gt;0,MIN(1,0.5+0.5*(A45-1)/in_ramp_months),1)*(1+in_signup_growth)^INT((A45-1)/12))</f>
        <v/>
      </c>
      <c r="C45" s="44">
        <f>SUMPRODUCT('Sign-ups by age'!AS$2:AS$61,'Age profile'!B$2:B$61)</f>
        <v/>
      </c>
      <c r="D45" s="44">
        <f>SUMPRODUCT('Sign-ups by age'!AS$2:AS$61,'Age profile'!C$2:C$61)</f>
        <v/>
      </c>
      <c r="E45" s="44">
        <f>SUMPRODUCT('Sign-ups by age'!AS$2:AS$61,'Age profile'!M$2:M$61)</f>
        <v/>
      </c>
      <c r="F45" s="44">
        <f>SUMPRODUCT('Sign-ups by age'!AS$2:AS$61,'Age profile'!K$2:K$61)</f>
        <v/>
      </c>
      <c r="G45" s="44">
        <f>SUMPRODUCT('Sign-ups by age'!AS$2:AS$61,'Age profile'!L$2:L$61)</f>
        <v/>
      </c>
      <c r="H45" s="11">
        <f>IF(C45&gt;0,1-F45/C45,0)</f>
        <v/>
      </c>
      <c r="I45" s="11">
        <f>IF(C45&gt;0,MAX(0,1-in_capacity*in_visit_every/C45),0)</f>
        <v/>
      </c>
      <c r="J45" s="49">
        <f>SUMPRODUCT('Sign-ups by age'!AS$2:AS$61,'Age profile'!E$2:E$61)</f>
        <v/>
      </c>
      <c r="K45" s="49">
        <f>SUMPRODUCT('Sign-ups by age'!AS$2:AS$61,'Age profile'!H$2:H$61)</f>
        <v/>
      </c>
      <c r="L45" s="44">
        <f>SUMIFS('Cohort x age'!$Q$2:$Q$1831,'Cohort x age'!$C$2:$C$1831,A45)</f>
        <v/>
      </c>
      <c r="M45" s="50">
        <f>SUMIFS('Cohort x age'!$L$2:$L$1831,'Cohort x age'!$C$2:$C$1831,A45)</f>
        <v/>
      </c>
      <c r="N45" s="50">
        <f>SUMIFS('Cohort x age'!$M$2:$M$1831,'Cohort x age'!$C$2:$C$1831,A45)</f>
        <v/>
      </c>
      <c r="O45" s="50">
        <f>SUMIFS('Cohort x age'!$N$2:$N$1831,'Cohort x age'!$C$2:$C$1831,A45)</f>
        <v/>
      </c>
      <c r="P45" s="50">
        <f>SUMIFS('Cohort x age'!$T$2:$T$1831,'Cohort x age'!$C$2:$C$1831,A45)</f>
        <v/>
      </c>
      <c r="Q45" s="49">
        <f>SUMIFS('Cohort x age'!$U$2:$U$1831,'Cohort x age'!$C$2:$C$1831,A45)</f>
        <v/>
      </c>
      <c r="R45" s="49">
        <f>SUMIFS('Cohort x age'!$V$2:$V$1831,'Cohort x age'!$C$2:$C$1831,A45)</f>
        <v/>
      </c>
      <c r="S45" s="44">
        <f>SUMIFS('Cohort x age'!$P$2:$P$1831,'Cohort x age'!$C$2:$C$1831,A45)</f>
        <v/>
      </c>
      <c r="T45" s="44">
        <f>SUMIFS('Cohort x age'!$R$2:$R$1831,'Cohort x age'!$C$2:$C$1831,A45)</f>
        <v/>
      </c>
      <c r="U45" s="50">
        <f>SUMIFS('Cohort x age'!$X$2:$X$1831,'Cohort x age'!$C$2:$C$1831,A45)</f>
        <v/>
      </c>
      <c r="V45" s="50">
        <f>SUMIFS('Cohort x age'!$Y$2:$Y$1831,'Cohort x age'!$C$2:$C$1831,A45)</f>
        <v/>
      </c>
      <c r="W45" s="50">
        <f>SUMIFS('Cohort x age'!$Z$2:$Z$1831,'Cohort x age'!$C$2:$C$1831,A45)</f>
        <v/>
      </c>
      <c r="X45" s="49">
        <f>SUMPRODUCT('Sign-ups by age'!AS$2:AS$61,'Age profile'!Q$2:Q$61)</f>
        <v/>
      </c>
      <c r="Y45" s="49">
        <f>SUMIFS('Cohort x age'!$AA$2:$AA$1831,'Cohort x age'!$C$2:$C$1831,A45)</f>
        <v/>
      </c>
      <c r="Z45" s="49">
        <f>SUMIFS('Cohort x age'!$AB$2:$AB$1831,'Cohort x age'!$C$2:$C$1831,A45)</f>
        <v/>
      </c>
      <c r="AA45" s="49">
        <f>SUMIFS('Cohort x age'!$AC$2:$AC$1831,'Cohort x age'!$C$2:$C$1831,A45)</f>
        <v/>
      </c>
      <c r="AB45" s="49">
        <f>SUMIFS('Cohort x age'!$AD$2:$AD$1831,'Cohort x age'!$C$2:$C$1831,A45)</f>
        <v/>
      </c>
      <c r="AC45" s="49">
        <f>SUMIFS('Cohort x age'!$AG$2:$AG$1831,'Cohort x age'!$C$2:$C$1831,A45)</f>
        <v/>
      </c>
      <c r="AD45" s="49">
        <f>SUMIFS('Cohort x age'!$AJ$2:$AJ$1831,'Cohort x age'!$C$2:$C$1831,A45)</f>
        <v/>
      </c>
      <c r="AE45" s="49">
        <f>SUMIFS('Cohort x age'!$AM$2:$AM$1831,'Cohort x age'!$C$2:$C$1831,A45)</f>
        <v/>
      </c>
      <c r="AF45" s="49">
        <f>SUMIFS('Cohort x age'!$AP$2:$AP$1831,'Cohort x age'!$C$2:$C$1831,A45)</f>
        <v/>
      </c>
      <c r="AG45" s="49">
        <f>SUMIFS('Cohort x age'!$AS$2:$AS$1831,'Cohort x age'!$C$2:$C$1831,A45)</f>
        <v/>
      </c>
      <c r="AH45" s="49">
        <f>SUMIFS('Cohort x age'!$AU$2:$AU$1831,'Cohort x age'!$C$2:$C$1831,A45)</f>
        <v/>
      </c>
      <c r="AI45" s="49">
        <f>SUMIFS('Cohort x age'!$AX$2:$AX$1831,'Cohort x age'!$C$2:$C$1831,A45)</f>
        <v/>
      </c>
      <c r="AJ45" s="49">
        <f>SUMIFS('Cohort x age'!$BB$2:$BB$1831,'Cohort x age'!$C$2:$C$1831,A45)</f>
        <v/>
      </c>
      <c r="AK45" s="49">
        <f>SUMIFS('Cohort x age'!$BE$2:$BE$1831,'Cohort x age'!$C$2:$C$1831,A45)</f>
        <v/>
      </c>
      <c r="AL45" s="49">
        <f>SUMIFS('Cohort x age'!$BG$2:$BG$1831,'Cohort x age'!$C$2:$C$1831,A45)</f>
        <v/>
      </c>
      <c r="AM45" s="49">
        <f>SUMIFS('Cohort x age'!$BJ$2:$BJ$1831,'Cohort x age'!$C$2:$C$1831,A45)</f>
        <v/>
      </c>
      <c r="AN45" s="49">
        <f>SUMIFS('Cohort x age'!$BL$2:$BL$1831,'Cohort x age'!$C$2:$C$1831,A45)</f>
        <v/>
      </c>
      <c r="AO45" s="49">
        <f>SUMIFS('Cohort x age'!$BO$2:$BO$1831,'Cohort x age'!$C$2:$C$1831,A45)</f>
        <v/>
      </c>
      <c r="AP45" s="49">
        <f>SUMIFS('Cohort x age'!$BR$2:$BR$1831,'Cohort x age'!$C$2:$C$1831,A45)</f>
        <v/>
      </c>
      <c r="AQ45" s="49">
        <f>SUMIFS('Cohort x age'!$BT$2:$BT$1831,'Cohort x age'!$C$2:$C$1831,A45)</f>
        <v/>
      </c>
      <c r="AR45" s="49">
        <f>SUMIFS('Cohort x age'!$BV$2:$BV$1831,'Cohort x age'!$C$2:$C$1831,A45)</f>
        <v/>
      </c>
      <c r="AS45" s="49">
        <f>SUMIFS('Cohort x age'!$BX$2:$BX$1831,'Cohort x age'!$C$2:$C$1831,A45)</f>
        <v/>
      </c>
      <c r="AT45" s="49">
        <f>SUMIFS('Cohort x age'!$CA$2:$CA$1831,'Cohort x age'!$C$2:$C$1831,A45)</f>
        <v/>
      </c>
      <c r="AU45" s="49">
        <f>SUMIFS('Cohort x age'!$CD$2:$CD$1831,'Cohort x age'!$C$2:$C$1831,A45)</f>
        <v/>
      </c>
      <c r="AV45" s="9">
        <f>SUM(X45:AS45)</f>
        <v/>
      </c>
      <c r="AW45" s="9">
        <f>in_salary</f>
        <v/>
      </c>
      <c r="AX45" s="9">
        <f>MAX(0,G45-in_capacity)*in_extra_capacity_cost/in_helper_visits</f>
        <v/>
      </c>
      <c r="AY45" s="49">
        <f>SUMPRODUCT('Sign-ups by age'!AS$2:AS$61,'Age profile'!R$2:R$61)</f>
        <v/>
      </c>
      <c r="AZ45" s="49">
        <f>SUMPRODUCT('Sign-ups by age'!AS$2:AS$61,'Age profile'!S$2:S$61)</f>
        <v/>
      </c>
      <c r="BA45" s="9">
        <f>in_cash_cover</f>
        <v/>
      </c>
      <c r="BB45" s="9">
        <f>IF(A45&lt;=in_growth_months,in_agent_balance_pay,in_agent_pay_after)/12*K45</f>
        <v/>
      </c>
      <c r="BC45" s="9">
        <f>AW45+AX45+AY45+AZ45+BA45+BB45</f>
        <v/>
      </c>
      <c r="BD45" s="9">
        <f>AV45-BC45</f>
        <v/>
      </c>
      <c r="BE45" s="40">
        <f>1/(1+d_dm)^A45</f>
        <v/>
      </c>
      <c r="BF45" s="9">
        <f>BD45*BE45</f>
        <v/>
      </c>
      <c r="BG45" s="9">
        <f>IF(A45=1,BF45,BG44+BF45)</f>
        <v/>
      </c>
      <c r="BH45" s="9">
        <f>IF(A45=1,BD45,BH44+BD45)</f>
        <v/>
      </c>
      <c r="BI45" s="39">
        <f>IF(AND(BH45&gt;=0,BI46=1),1,0)</f>
        <v/>
      </c>
      <c r="BJ45" s="39">
        <f>IF(BI45=1,A45,999)</f>
        <v/>
      </c>
      <c r="BK45" s="40">
        <f>1/(1+d_dm20)^A45</f>
        <v/>
      </c>
    </row>
    <row r="46">
      <c r="A46" s="39" t="n">
        <v>45</v>
      </c>
      <c r="B46" s="48">
        <f>MIN(in_signup_cap,in_signups_run*IF(in_ramp_months&gt;0,MIN(1,0.5+0.5*(A46-1)/in_ramp_months),1)*(1+in_signup_growth)^INT((A46-1)/12))</f>
        <v/>
      </c>
      <c r="C46" s="44">
        <f>SUMPRODUCT('Sign-ups by age'!AT$2:AT$61,'Age profile'!B$2:B$61)</f>
        <v/>
      </c>
      <c r="D46" s="44">
        <f>SUMPRODUCT('Sign-ups by age'!AT$2:AT$61,'Age profile'!C$2:C$61)</f>
        <v/>
      </c>
      <c r="E46" s="44">
        <f>SUMPRODUCT('Sign-ups by age'!AT$2:AT$61,'Age profile'!M$2:M$61)</f>
        <v/>
      </c>
      <c r="F46" s="44">
        <f>SUMPRODUCT('Sign-ups by age'!AT$2:AT$61,'Age profile'!K$2:K$61)</f>
        <v/>
      </c>
      <c r="G46" s="44">
        <f>SUMPRODUCT('Sign-ups by age'!AT$2:AT$61,'Age profile'!L$2:L$61)</f>
        <v/>
      </c>
      <c r="H46" s="11">
        <f>IF(C46&gt;0,1-F46/C46,0)</f>
        <v/>
      </c>
      <c r="I46" s="11">
        <f>IF(C46&gt;0,MAX(0,1-in_capacity*in_visit_every/C46),0)</f>
        <v/>
      </c>
      <c r="J46" s="49">
        <f>SUMPRODUCT('Sign-ups by age'!AT$2:AT$61,'Age profile'!E$2:E$61)</f>
        <v/>
      </c>
      <c r="K46" s="49">
        <f>SUMPRODUCT('Sign-ups by age'!AT$2:AT$61,'Age profile'!H$2:H$61)</f>
        <v/>
      </c>
      <c r="L46" s="44">
        <f>SUMIFS('Cohort x age'!$Q$2:$Q$1831,'Cohort x age'!$C$2:$C$1831,A46)</f>
        <v/>
      </c>
      <c r="M46" s="50">
        <f>SUMIFS('Cohort x age'!$L$2:$L$1831,'Cohort x age'!$C$2:$C$1831,A46)</f>
        <v/>
      </c>
      <c r="N46" s="50">
        <f>SUMIFS('Cohort x age'!$M$2:$M$1831,'Cohort x age'!$C$2:$C$1831,A46)</f>
        <v/>
      </c>
      <c r="O46" s="50">
        <f>SUMIFS('Cohort x age'!$N$2:$N$1831,'Cohort x age'!$C$2:$C$1831,A46)</f>
        <v/>
      </c>
      <c r="P46" s="50">
        <f>SUMIFS('Cohort x age'!$T$2:$T$1831,'Cohort x age'!$C$2:$C$1831,A46)</f>
        <v/>
      </c>
      <c r="Q46" s="49">
        <f>SUMIFS('Cohort x age'!$U$2:$U$1831,'Cohort x age'!$C$2:$C$1831,A46)</f>
        <v/>
      </c>
      <c r="R46" s="49">
        <f>SUMIFS('Cohort x age'!$V$2:$V$1831,'Cohort x age'!$C$2:$C$1831,A46)</f>
        <v/>
      </c>
      <c r="S46" s="44">
        <f>SUMIFS('Cohort x age'!$P$2:$P$1831,'Cohort x age'!$C$2:$C$1831,A46)</f>
        <v/>
      </c>
      <c r="T46" s="44">
        <f>SUMIFS('Cohort x age'!$R$2:$R$1831,'Cohort x age'!$C$2:$C$1831,A46)</f>
        <v/>
      </c>
      <c r="U46" s="50">
        <f>SUMIFS('Cohort x age'!$X$2:$X$1831,'Cohort x age'!$C$2:$C$1831,A46)</f>
        <v/>
      </c>
      <c r="V46" s="50">
        <f>SUMIFS('Cohort x age'!$Y$2:$Y$1831,'Cohort x age'!$C$2:$C$1831,A46)</f>
        <v/>
      </c>
      <c r="W46" s="50">
        <f>SUMIFS('Cohort x age'!$Z$2:$Z$1831,'Cohort x age'!$C$2:$C$1831,A46)</f>
        <v/>
      </c>
      <c r="X46" s="49">
        <f>SUMPRODUCT('Sign-ups by age'!AT$2:AT$61,'Age profile'!Q$2:Q$61)</f>
        <v/>
      </c>
      <c r="Y46" s="49">
        <f>SUMIFS('Cohort x age'!$AA$2:$AA$1831,'Cohort x age'!$C$2:$C$1831,A46)</f>
        <v/>
      </c>
      <c r="Z46" s="49">
        <f>SUMIFS('Cohort x age'!$AB$2:$AB$1831,'Cohort x age'!$C$2:$C$1831,A46)</f>
        <v/>
      </c>
      <c r="AA46" s="49">
        <f>SUMIFS('Cohort x age'!$AC$2:$AC$1831,'Cohort x age'!$C$2:$C$1831,A46)</f>
        <v/>
      </c>
      <c r="AB46" s="49">
        <f>SUMIFS('Cohort x age'!$AD$2:$AD$1831,'Cohort x age'!$C$2:$C$1831,A46)</f>
        <v/>
      </c>
      <c r="AC46" s="49">
        <f>SUMIFS('Cohort x age'!$AG$2:$AG$1831,'Cohort x age'!$C$2:$C$1831,A46)</f>
        <v/>
      </c>
      <c r="AD46" s="49">
        <f>SUMIFS('Cohort x age'!$AJ$2:$AJ$1831,'Cohort x age'!$C$2:$C$1831,A46)</f>
        <v/>
      </c>
      <c r="AE46" s="49">
        <f>SUMIFS('Cohort x age'!$AM$2:$AM$1831,'Cohort x age'!$C$2:$C$1831,A46)</f>
        <v/>
      </c>
      <c r="AF46" s="49">
        <f>SUMIFS('Cohort x age'!$AP$2:$AP$1831,'Cohort x age'!$C$2:$C$1831,A46)</f>
        <v/>
      </c>
      <c r="AG46" s="49">
        <f>SUMIFS('Cohort x age'!$AS$2:$AS$1831,'Cohort x age'!$C$2:$C$1831,A46)</f>
        <v/>
      </c>
      <c r="AH46" s="49">
        <f>SUMIFS('Cohort x age'!$AU$2:$AU$1831,'Cohort x age'!$C$2:$C$1831,A46)</f>
        <v/>
      </c>
      <c r="AI46" s="49">
        <f>SUMIFS('Cohort x age'!$AX$2:$AX$1831,'Cohort x age'!$C$2:$C$1831,A46)</f>
        <v/>
      </c>
      <c r="AJ46" s="49">
        <f>SUMIFS('Cohort x age'!$BB$2:$BB$1831,'Cohort x age'!$C$2:$C$1831,A46)</f>
        <v/>
      </c>
      <c r="AK46" s="49">
        <f>SUMIFS('Cohort x age'!$BE$2:$BE$1831,'Cohort x age'!$C$2:$C$1831,A46)</f>
        <v/>
      </c>
      <c r="AL46" s="49">
        <f>SUMIFS('Cohort x age'!$BG$2:$BG$1831,'Cohort x age'!$C$2:$C$1831,A46)</f>
        <v/>
      </c>
      <c r="AM46" s="49">
        <f>SUMIFS('Cohort x age'!$BJ$2:$BJ$1831,'Cohort x age'!$C$2:$C$1831,A46)</f>
        <v/>
      </c>
      <c r="AN46" s="49">
        <f>SUMIFS('Cohort x age'!$BL$2:$BL$1831,'Cohort x age'!$C$2:$C$1831,A46)</f>
        <v/>
      </c>
      <c r="AO46" s="49">
        <f>SUMIFS('Cohort x age'!$BO$2:$BO$1831,'Cohort x age'!$C$2:$C$1831,A46)</f>
        <v/>
      </c>
      <c r="AP46" s="49">
        <f>SUMIFS('Cohort x age'!$BR$2:$BR$1831,'Cohort x age'!$C$2:$C$1831,A46)</f>
        <v/>
      </c>
      <c r="AQ46" s="49">
        <f>SUMIFS('Cohort x age'!$BT$2:$BT$1831,'Cohort x age'!$C$2:$C$1831,A46)</f>
        <v/>
      </c>
      <c r="AR46" s="49">
        <f>SUMIFS('Cohort x age'!$BV$2:$BV$1831,'Cohort x age'!$C$2:$C$1831,A46)</f>
        <v/>
      </c>
      <c r="AS46" s="49">
        <f>SUMIFS('Cohort x age'!$BX$2:$BX$1831,'Cohort x age'!$C$2:$C$1831,A46)</f>
        <v/>
      </c>
      <c r="AT46" s="49">
        <f>SUMIFS('Cohort x age'!$CA$2:$CA$1831,'Cohort x age'!$C$2:$C$1831,A46)</f>
        <v/>
      </c>
      <c r="AU46" s="49">
        <f>SUMIFS('Cohort x age'!$CD$2:$CD$1831,'Cohort x age'!$C$2:$C$1831,A46)</f>
        <v/>
      </c>
      <c r="AV46" s="9">
        <f>SUM(X46:AS46)</f>
        <v/>
      </c>
      <c r="AW46" s="9">
        <f>in_salary</f>
        <v/>
      </c>
      <c r="AX46" s="9">
        <f>MAX(0,G46-in_capacity)*in_extra_capacity_cost/in_helper_visits</f>
        <v/>
      </c>
      <c r="AY46" s="49">
        <f>SUMPRODUCT('Sign-ups by age'!AT$2:AT$61,'Age profile'!R$2:R$61)</f>
        <v/>
      </c>
      <c r="AZ46" s="49">
        <f>SUMPRODUCT('Sign-ups by age'!AT$2:AT$61,'Age profile'!S$2:S$61)</f>
        <v/>
      </c>
      <c r="BA46" s="9">
        <f>in_cash_cover</f>
        <v/>
      </c>
      <c r="BB46" s="9">
        <f>IF(A46&lt;=in_growth_months,in_agent_balance_pay,in_agent_pay_after)/12*K46</f>
        <v/>
      </c>
      <c r="BC46" s="9">
        <f>AW46+AX46+AY46+AZ46+BA46+BB46</f>
        <v/>
      </c>
      <c r="BD46" s="9">
        <f>AV46-BC46</f>
        <v/>
      </c>
      <c r="BE46" s="40">
        <f>1/(1+d_dm)^A46</f>
        <v/>
      </c>
      <c r="BF46" s="9">
        <f>BD46*BE46</f>
        <v/>
      </c>
      <c r="BG46" s="9">
        <f>IF(A46=1,BF46,BG45+BF46)</f>
        <v/>
      </c>
      <c r="BH46" s="9">
        <f>IF(A46=1,BD46,BH45+BD46)</f>
        <v/>
      </c>
      <c r="BI46" s="39">
        <f>IF(AND(BH46&gt;=0,BI47=1),1,0)</f>
        <v/>
      </c>
      <c r="BJ46" s="39">
        <f>IF(BI46=1,A46,999)</f>
        <v/>
      </c>
      <c r="BK46" s="40">
        <f>1/(1+d_dm20)^A46</f>
        <v/>
      </c>
    </row>
    <row r="47">
      <c r="A47" s="39" t="n">
        <v>46</v>
      </c>
      <c r="B47" s="48">
        <f>MIN(in_signup_cap,in_signups_run*IF(in_ramp_months&gt;0,MIN(1,0.5+0.5*(A47-1)/in_ramp_months),1)*(1+in_signup_growth)^INT((A47-1)/12))</f>
        <v/>
      </c>
      <c r="C47" s="44">
        <f>SUMPRODUCT('Sign-ups by age'!AU$2:AU$61,'Age profile'!B$2:B$61)</f>
        <v/>
      </c>
      <c r="D47" s="44">
        <f>SUMPRODUCT('Sign-ups by age'!AU$2:AU$61,'Age profile'!C$2:C$61)</f>
        <v/>
      </c>
      <c r="E47" s="44">
        <f>SUMPRODUCT('Sign-ups by age'!AU$2:AU$61,'Age profile'!M$2:M$61)</f>
        <v/>
      </c>
      <c r="F47" s="44">
        <f>SUMPRODUCT('Sign-ups by age'!AU$2:AU$61,'Age profile'!K$2:K$61)</f>
        <v/>
      </c>
      <c r="G47" s="44">
        <f>SUMPRODUCT('Sign-ups by age'!AU$2:AU$61,'Age profile'!L$2:L$61)</f>
        <v/>
      </c>
      <c r="H47" s="11">
        <f>IF(C47&gt;0,1-F47/C47,0)</f>
        <v/>
      </c>
      <c r="I47" s="11">
        <f>IF(C47&gt;0,MAX(0,1-in_capacity*in_visit_every/C47),0)</f>
        <v/>
      </c>
      <c r="J47" s="49">
        <f>SUMPRODUCT('Sign-ups by age'!AU$2:AU$61,'Age profile'!E$2:E$61)</f>
        <v/>
      </c>
      <c r="K47" s="49">
        <f>SUMPRODUCT('Sign-ups by age'!AU$2:AU$61,'Age profile'!H$2:H$61)</f>
        <v/>
      </c>
      <c r="L47" s="44">
        <f>SUMIFS('Cohort x age'!$Q$2:$Q$1831,'Cohort x age'!$C$2:$C$1831,A47)</f>
        <v/>
      </c>
      <c r="M47" s="50">
        <f>SUMIFS('Cohort x age'!$L$2:$L$1831,'Cohort x age'!$C$2:$C$1831,A47)</f>
        <v/>
      </c>
      <c r="N47" s="50">
        <f>SUMIFS('Cohort x age'!$M$2:$M$1831,'Cohort x age'!$C$2:$C$1831,A47)</f>
        <v/>
      </c>
      <c r="O47" s="50">
        <f>SUMIFS('Cohort x age'!$N$2:$N$1831,'Cohort x age'!$C$2:$C$1831,A47)</f>
        <v/>
      </c>
      <c r="P47" s="50">
        <f>SUMIFS('Cohort x age'!$T$2:$T$1831,'Cohort x age'!$C$2:$C$1831,A47)</f>
        <v/>
      </c>
      <c r="Q47" s="49">
        <f>SUMIFS('Cohort x age'!$U$2:$U$1831,'Cohort x age'!$C$2:$C$1831,A47)</f>
        <v/>
      </c>
      <c r="R47" s="49">
        <f>SUMIFS('Cohort x age'!$V$2:$V$1831,'Cohort x age'!$C$2:$C$1831,A47)</f>
        <v/>
      </c>
      <c r="S47" s="44">
        <f>SUMIFS('Cohort x age'!$P$2:$P$1831,'Cohort x age'!$C$2:$C$1831,A47)</f>
        <v/>
      </c>
      <c r="T47" s="44">
        <f>SUMIFS('Cohort x age'!$R$2:$R$1831,'Cohort x age'!$C$2:$C$1831,A47)</f>
        <v/>
      </c>
      <c r="U47" s="50">
        <f>SUMIFS('Cohort x age'!$X$2:$X$1831,'Cohort x age'!$C$2:$C$1831,A47)</f>
        <v/>
      </c>
      <c r="V47" s="50">
        <f>SUMIFS('Cohort x age'!$Y$2:$Y$1831,'Cohort x age'!$C$2:$C$1831,A47)</f>
        <v/>
      </c>
      <c r="W47" s="50">
        <f>SUMIFS('Cohort x age'!$Z$2:$Z$1831,'Cohort x age'!$C$2:$C$1831,A47)</f>
        <v/>
      </c>
      <c r="X47" s="49">
        <f>SUMPRODUCT('Sign-ups by age'!AU$2:AU$61,'Age profile'!Q$2:Q$61)</f>
        <v/>
      </c>
      <c r="Y47" s="49">
        <f>SUMIFS('Cohort x age'!$AA$2:$AA$1831,'Cohort x age'!$C$2:$C$1831,A47)</f>
        <v/>
      </c>
      <c r="Z47" s="49">
        <f>SUMIFS('Cohort x age'!$AB$2:$AB$1831,'Cohort x age'!$C$2:$C$1831,A47)</f>
        <v/>
      </c>
      <c r="AA47" s="49">
        <f>SUMIFS('Cohort x age'!$AC$2:$AC$1831,'Cohort x age'!$C$2:$C$1831,A47)</f>
        <v/>
      </c>
      <c r="AB47" s="49">
        <f>SUMIFS('Cohort x age'!$AD$2:$AD$1831,'Cohort x age'!$C$2:$C$1831,A47)</f>
        <v/>
      </c>
      <c r="AC47" s="49">
        <f>SUMIFS('Cohort x age'!$AG$2:$AG$1831,'Cohort x age'!$C$2:$C$1831,A47)</f>
        <v/>
      </c>
      <c r="AD47" s="49">
        <f>SUMIFS('Cohort x age'!$AJ$2:$AJ$1831,'Cohort x age'!$C$2:$C$1831,A47)</f>
        <v/>
      </c>
      <c r="AE47" s="49">
        <f>SUMIFS('Cohort x age'!$AM$2:$AM$1831,'Cohort x age'!$C$2:$C$1831,A47)</f>
        <v/>
      </c>
      <c r="AF47" s="49">
        <f>SUMIFS('Cohort x age'!$AP$2:$AP$1831,'Cohort x age'!$C$2:$C$1831,A47)</f>
        <v/>
      </c>
      <c r="AG47" s="49">
        <f>SUMIFS('Cohort x age'!$AS$2:$AS$1831,'Cohort x age'!$C$2:$C$1831,A47)</f>
        <v/>
      </c>
      <c r="AH47" s="49">
        <f>SUMIFS('Cohort x age'!$AU$2:$AU$1831,'Cohort x age'!$C$2:$C$1831,A47)</f>
        <v/>
      </c>
      <c r="AI47" s="49">
        <f>SUMIFS('Cohort x age'!$AX$2:$AX$1831,'Cohort x age'!$C$2:$C$1831,A47)</f>
        <v/>
      </c>
      <c r="AJ47" s="49">
        <f>SUMIFS('Cohort x age'!$BB$2:$BB$1831,'Cohort x age'!$C$2:$C$1831,A47)</f>
        <v/>
      </c>
      <c r="AK47" s="49">
        <f>SUMIFS('Cohort x age'!$BE$2:$BE$1831,'Cohort x age'!$C$2:$C$1831,A47)</f>
        <v/>
      </c>
      <c r="AL47" s="49">
        <f>SUMIFS('Cohort x age'!$BG$2:$BG$1831,'Cohort x age'!$C$2:$C$1831,A47)</f>
        <v/>
      </c>
      <c r="AM47" s="49">
        <f>SUMIFS('Cohort x age'!$BJ$2:$BJ$1831,'Cohort x age'!$C$2:$C$1831,A47)</f>
        <v/>
      </c>
      <c r="AN47" s="49">
        <f>SUMIFS('Cohort x age'!$BL$2:$BL$1831,'Cohort x age'!$C$2:$C$1831,A47)</f>
        <v/>
      </c>
      <c r="AO47" s="49">
        <f>SUMIFS('Cohort x age'!$BO$2:$BO$1831,'Cohort x age'!$C$2:$C$1831,A47)</f>
        <v/>
      </c>
      <c r="AP47" s="49">
        <f>SUMIFS('Cohort x age'!$BR$2:$BR$1831,'Cohort x age'!$C$2:$C$1831,A47)</f>
        <v/>
      </c>
      <c r="AQ47" s="49">
        <f>SUMIFS('Cohort x age'!$BT$2:$BT$1831,'Cohort x age'!$C$2:$C$1831,A47)</f>
        <v/>
      </c>
      <c r="AR47" s="49">
        <f>SUMIFS('Cohort x age'!$BV$2:$BV$1831,'Cohort x age'!$C$2:$C$1831,A47)</f>
        <v/>
      </c>
      <c r="AS47" s="49">
        <f>SUMIFS('Cohort x age'!$BX$2:$BX$1831,'Cohort x age'!$C$2:$C$1831,A47)</f>
        <v/>
      </c>
      <c r="AT47" s="49">
        <f>SUMIFS('Cohort x age'!$CA$2:$CA$1831,'Cohort x age'!$C$2:$C$1831,A47)</f>
        <v/>
      </c>
      <c r="AU47" s="49">
        <f>SUMIFS('Cohort x age'!$CD$2:$CD$1831,'Cohort x age'!$C$2:$C$1831,A47)</f>
        <v/>
      </c>
      <c r="AV47" s="9">
        <f>SUM(X47:AS47)</f>
        <v/>
      </c>
      <c r="AW47" s="9">
        <f>in_salary</f>
        <v/>
      </c>
      <c r="AX47" s="9">
        <f>MAX(0,G47-in_capacity)*in_extra_capacity_cost/in_helper_visits</f>
        <v/>
      </c>
      <c r="AY47" s="49">
        <f>SUMPRODUCT('Sign-ups by age'!AU$2:AU$61,'Age profile'!R$2:R$61)</f>
        <v/>
      </c>
      <c r="AZ47" s="49">
        <f>SUMPRODUCT('Sign-ups by age'!AU$2:AU$61,'Age profile'!S$2:S$61)</f>
        <v/>
      </c>
      <c r="BA47" s="9">
        <f>in_cash_cover</f>
        <v/>
      </c>
      <c r="BB47" s="9">
        <f>IF(A47&lt;=in_growth_months,in_agent_balance_pay,in_agent_pay_after)/12*K47</f>
        <v/>
      </c>
      <c r="BC47" s="9">
        <f>AW47+AX47+AY47+AZ47+BA47+BB47</f>
        <v/>
      </c>
      <c r="BD47" s="9">
        <f>AV47-BC47</f>
        <v/>
      </c>
      <c r="BE47" s="40">
        <f>1/(1+d_dm)^A47</f>
        <v/>
      </c>
      <c r="BF47" s="9">
        <f>BD47*BE47</f>
        <v/>
      </c>
      <c r="BG47" s="9">
        <f>IF(A47=1,BF47,BG46+BF47)</f>
        <v/>
      </c>
      <c r="BH47" s="9">
        <f>IF(A47=1,BD47,BH46+BD47)</f>
        <v/>
      </c>
      <c r="BI47" s="39">
        <f>IF(AND(BH47&gt;=0,BI48=1),1,0)</f>
        <v/>
      </c>
      <c r="BJ47" s="39">
        <f>IF(BI47=1,A47,999)</f>
        <v/>
      </c>
      <c r="BK47" s="40">
        <f>1/(1+d_dm20)^A47</f>
        <v/>
      </c>
    </row>
    <row r="48">
      <c r="A48" s="39" t="n">
        <v>47</v>
      </c>
      <c r="B48" s="48">
        <f>MIN(in_signup_cap,in_signups_run*IF(in_ramp_months&gt;0,MIN(1,0.5+0.5*(A48-1)/in_ramp_months),1)*(1+in_signup_growth)^INT((A48-1)/12))</f>
        <v/>
      </c>
      <c r="C48" s="44">
        <f>SUMPRODUCT('Sign-ups by age'!AV$2:AV$61,'Age profile'!B$2:B$61)</f>
        <v/>
      </c>
      <c r="D48" s="44">
        <f>SUMPRODUCT('Sign-ups by age'!AV$2:AV$61,'Age profile'!C$2:C$61)</f>
        <v/>
      </c>
      <c r="E48" s="44">
        <f>SUMPRODUCT('Sign-ups by age'!AV$2:AV$61,'Age profile'!M$2:M$61)</f>
        <v/>
      </c>
      <c r="F48" s="44">
        <f>SUMPRODUCT('Sign-ups by age'!AV$2:AV$61,'Age profile'!K$2:K$61)</f>
        <v/>
      </c>
      <c r="G48" s="44">
        <f>SUMPRODUCT('Sign-ups by age'!AV$2:AV$61,'Age profile'!L$2:L$61)</f>
        <v/>
      </c>
      <c r="H48" s="11">
        <f>IF(C48&gt;0,1-F48/C48,0)</f>
        <v/>
      </c>
      <c r="I48" s="11">
        <f>IF(C48&gt;0,MAX(0,1-in_capacity*in_visit_every/C48),0)</f>
        <v/>
      </c>
      <c r="J48" s="49">
        <f>SUMPRODUCT('Sign-ups by age'!AV$2:AV$61,'Age profile'!E$2:E$61)</f>
        <v/>
      </c>
      <c r="K48" s="49">
        <f>SUMPRODUCT('Sign-ups by age'!AV$2:AV$61,'Age profile'!H$2:H$61)</f>
        <v/>
      </c>
      <c r="L48" s="44">
        <f>SUMIFS('Cohort x age'!$Q$2:$Q$1831,'Cohort x age'!$C$2:$C$1831,A48)</f>
        <v/>
      </c>
      <c r="M48" s="50">
        <f>SUMIFS('Cohort x age'!$L$2:$L$1831,'Cohort x age'!$C$2:$C$1831,A48)</f>
        <v/>
      </c>
      <c r="N48" s="50">
        <f>SUMIFS('Cohort x age'!$M$2:$M$1831,'Cohort x age'!$C$2:$C$1831,A48)</f>
        <v/>
      </c>
      <c r="O48" s="50">
        <f>SUMIFS('Cohort x age'!$N$2:$N$1831,'Cohort x age'!$C$2:$C$1831,A48)</f>
        <v/>
      </c>
      <c r="P48" s="50">
        <f>SUMIFS('Cohort x age'!$T$2:$T$1831,'Cohort x age'!$C$2:$C$1831,A48)</f>
        <v/>
      </c>
      <c r="Q48" s="49">
        <f>SUMIFS('Cohort x age'!$U$2:$U$1831,'Cohort x age'!$C$2:$C$1831,A48)</f>
        <v/>
      </c>
      <c r="R48" s="49">
        <f>SUMIFS('Cohort x age'!$V$2:$V$1831,'Cohort x age'!$C$2:$C$1831,A48)</f>
        <v/>
      </c>
      <c r="S48" s="44">
        <f>SUMIFS('Cohort x age'!$P$2:$P$1831,'Cohort x age'!$C$2:$C$1831,A48)</f>
        <v/>
      </c>
      <c r="T48" s="44">
        <f>SUMIFS('Cohort x age'!$R$2:$R$1831,'Cohort x age'!$C$2:$C$1831,A48)</f>
        <v/>
      </c>
      <c r="U48" s="50">
        <f>SUMIFS('Cohort x age'!$X$2:$X$1831,'Cohort x age'!$C$2:$C$1831,A48)</f>
        <v/>
      </c>
      <c r="V48" s="50">
        <f>SUMIFS('Cohort x age'!$Y$2:$Y$1831,'Cohort x age'!$C$2:$C$1831,A48)</f>
        <v/>
      </c>
      <c r="W48" s="50">
        <f>SUMIFS('Cohort x age'!$Z$2:$Z$1831,'Cohort x age'!$C$2:$C$1831,A48)</f>
        <v/>
      </c>
      <c r="X48" s="49">
        <f>SUMPRODUCT('Sign-ups by age'!AV$2:AV$61,'Age profile'!Q$2:Q$61)</f>
        <v/>
      </c>
      <c r="Y48" s="49">
        <f>SUMIFS('Cohort x age'!$AA$2:$AA$1831,'Cohort x age'!$C$2:$C$1831,A48)</f>
        <v/>
      </c>
      <c r="Z48" s="49">
        <f>SUMIFS('Cohort x age'!$AB$2:$AB$1831,'Cohort x age'!$C$2:$C$1831,A48)</f>
        <v/>
      </c>
      <c r="AA48" s="49">
        <f>SUMIFS('Cohort x age'!$AC$2:$AC$1831,'Cohort x age'!$C$2:$C$1831,A48)</f>
        <v/>
      </c>
      <c r="AB48" s="49">
        <f>SUMIFS('Cohort x age'!$AD$2:$AD$1831,'Cohort x age'!$C$2:$C$1831,A48)</f>
        <v/>
      </c>
      <c r="AC48" s="49">
        <f>SUMIFS('Cohort x age'!$AG$2:$AG$1831,'Cohort x age'!$C$2:$C$1831,A48)</f>
        <v/>
      </c>
      <c r="AD48" s="49">
        <f>SUMIFS('Cohort x age'!$AJ$2:$AJ$1831,'Cohort x age'!$C$2:$C$1831,A48)</f>
        <v/>
      </c>
      <c r="AE48" s="49">
        <f>SUMIFS('Cohort x age'!$AM$2:$AM$1831,'Cohort x age'!$C$2:$C$1831,A48)</f>
        <v/>
      </c>
      <c r="AF48" s="49">
        <f>SUMIFS('Cohort x age'!$AP$2:$AP$1831,'Cohort x age'!$C$2:$C$1831,A48)</f>
        <v/>
      </c>
      <c r="AG48" s="49">
        <f>SUMIFS('Cohort x age'!$AS$2:$AS$1831,'Cohort x age'!$C$2:$C$1831,A48)</f>
        <v/>
      </c>
      <c r="AH48" s="49">
        <f>SUMIFS('Cohort x age'!$AU$2:$AU$1831,'Cohort x age'!$C$2:$C$1831,A48)</f>
        <v/>
      </c>
      <c r="AI48" s="49">
        <f>SUMIFS('Cohort x age'!$AX$2:$AX$1831,'Cohort x age'!$C$2:$C$1831,A48)</f>
        <v/>
      </c>
      <c r="AJ48" s="49">
        <f>SUMIFS('Cohort x age'!$BB$2:$BB$1831,'Cohort x age'!$C$2:$C$1831,A48)</f>
        <v/>
      </c>
      <c r="AK48" s="49">
        <f>SUMIFS('Cohort x age'!$BE$2:$BE$1831,'Cohort x age'!$C$2:$C$1831,A48)</f>
        <v/>
      </c>
      <c r="AL48" s="49">
        <f>SUMIFS('Cohort x age'!$BG$2:$BG$1831,'Cohort x age'!$C$2:$C$1831,A48)</f>
        <v/>
      </c>
      <c r="AM48" s="49">
        <f>SUMIFS('Cohort x age'!$BJ$2:$BJ$1831,'Cohort x age'!$C$2:$C$1831,A48)</f>
        <v/>
      </c>
      <c r="AN48" s="49">
        <f>SUMIFS('Cohort x age'!$BL$2:$BL$1831,'Cohort x age'!$C$2:$C$1831,A48)</f>
        <v/>
      </c>
      <c r="AO48" s="49">
        <f>SUMIFS('Cohort x age'!$BO$2:$BO$1831,'Cohort x age'!$C$2:$C$1831,A48)</f>
        <v/>
      </c>
      <c r="AP48" s="49">
        <f>SUMIFS('Cohort x age'!$BR$2:$BR$1831,'Cohort x age'!$C$2:$C$1831,A48)</f>
        <v/>
      </c>
      <c r="AQ48" s="49">
        <f>SUMIFS('Cohort x age'!$BT$2:$BT$1831,'Cohort x age'!$C$2:$C$1831,A48)</f>
        <v/>
      </c>
      <c r="AR48" s="49">
        <f>SUMIFS('Cohort x age'!$BV$2:$BV$1831,'Cohort x age'!$C$2:$C$1831,A48)</f>
        <v/>
      </c>
      <c r="AS48" s="49">
        <f>SUMIFS('Cohort x age'!$BX$2:$BX$1831,'Cohort x age'!$C$2:$C$1831,A48)</f>
        <v/>
      </c>
      <c r="AT48" s="49">
        <f>SUMIFS('Cohort x age'!$CA$2:$CA$1831,'Cohort x age'!$C$2:$C$1831,A48)</f>
        <v/>
      </c>
      <c r="AU48" s="49">
        <f>SUMIFS('Cohort x age'!$CD$2:$CD$1831,'Cohort x age'!$C$2:$C$1831,A48)</f>
        <v/>
      </c>
      <c r="AV48" s="9">
        <f>SUM(X48:AS48)</f>
        <v/>
      </c>
      <c r="AW48" s="9">
        <f>in_salary</f>
        <v/>
      </c>
      <c r="AX48" s="9">
        <f>MAX(0,G48-in_capacity)*in_extra_capacity_cost/in_helper_visits</f>
        <v/>
      </c>
      <c r="AY48" s="49">
        <f>SUMPRODUCT('Sign-ups by age'!AV$2:AV$61,'Age profile'!R$2:R$61)</f>
        <v/>
      </c>
      <c r="AZ48" s="49">
        <f>SUMPRODUCT('Sign-ups by age'!AV$2:AV$61,'Age profile'!S$2:S$61)</f>
        <v/>
      </c>
      <c r="BA48" s="9">
        <f>in_cash_cover</f>
        <v/>
      </c>
      <c r="BB48" s="9">
        <f>IF(A48&lt;=in_growth_months,in_agent_balance_pay,in_agent_pay_after)/12*K48</f>
        <v/>
      </c>
      <c r="BC48" s="9">
        <f>AW48+AX48+AY48+AZ48+BA48+BB48</f>
        <v/>
      </c>
      <c r="BD48" s="9">
        <f>AV48-BC48</f>
        <v/>
      </c>
      <c r="BE48" s="40">
        <f>1/(1+d_dm)^A48</f>
        <v/>
      </c>
      <c r="BF48" s="9">
        <f>BD48*BE48</f>
        <v/>
      </c>
      <c r="BG48" s="9">
        <f>IF(A48=1,BF48,BG47+BF48)</f>
        <v/>
      </c>
      <c r="BH48" s="9">
        <f>IF(A48=1,BD48,BH47+BD48)</f>
        <v/>
      </c>
      <c r="BI48" s="39">
        <f>IF(AND(BH48&gt;=0,BI49=1),1,0)</f>
        <v/>
      </c>
      <c r="BJ48" s="39">
        <f>IF(BI48=1,A48,999)</f>
        <v/>
      </c>
      <c r="BK48" s="40">
        <f>1/(1+d_dm20)^A48</f>
        <v/>
      </c>
    </row>
    <row r="49">
      <c r="A49" s="39" t="n">
        <v>48</v>
      </c>
      <c r="B49" s="48">
        <f>MIN(in_signup_cap,in_signups_run*IF(in_ramp_months&gt;0,MIN(1,0.5+0.5*(A49-1)/in_ramp_months),1)*(1+in_signup_growth)^INT((A49-1)/12))</f>
        <v/>
      </c>
      <c r="C49" s="44">
        <f>SUMPRODUCT('Sign-ups by age'!AW$2:AW$61,'Age profile'!B$2:B$61)</f>
        <v/>
      </c>
      <c r="D49" s="44">
        <f>SUMPRODUCT('Sign-ups by age'!AW$2:AW$61,'Age profile'!C$2:C$61)</f>
        <v/>
      </c>
      <c r="E49" s="44">
        <f>SUMPRODUCT('Sign-ups by age'!AW$2:AW$61,'Age profile'!M$2:M$61)</f>
        <v/>
      </c>
      <c r="F49" s="44">
        <f>SUMPRODUCT('Sign-ups by age'!AW$2:AW$61,'Age profile'!K$2:K$61)</f>
        <v/>
      </c>
      <c r="G49" s="44">
        <f>SUMPRODUCT('Sign-ups by age'!AW$2:AW$61,'Age profile'!L$2:L$61)</f>
        <v/>
      </c>
      <c r="H49" s="11">
        <f>IF(C49&gt;0,1-F49/C49,0)</f>
        <v/>
      </c>
      <c r="I49" s="11">
        <f>IF(C49&gt;0,MAX(0,1-in_capacity*in_visit_every/C49),0)</f>
        <v/>
      </c>
      <c r="J49" s="49">
        <f>SUMPRODUCT('Sign-ups by age'!AW$2:AW$61,'Age profile'!E$2:E$61)</f>
        <v/>
      </c>
      <c r="K49" s="49">
        <f>SUMPRODUCT('Sign-ups by age'!AW$2:AW$61,'Age profile'!H$2:H$61)</f>
        <v/>
      </c>
      <c r="L49" s="44">
        <f>SUMIFS('Cohort x age'!$Q$2:$Q$1831,'Cohort x age'!$C$2:$C$1831,A49)</f>
        <v/>
      </c>
      <c r="M49" s="50">
        <f>SUMIFS('Cohort x age'!$L$2:$L$1831,'Cohort x age'!$C$2:$C$1831,A49)</f>
        <v/>
      </c>
      <c r="N49" s="50">
        <f>SUMIFS('Cohort x age'!$M$2:$M$1831,'Cohort x age'!$C$2:$C$1831,A49)</f>
        <v/>
      </c>
      <c r="O49" s="50">
        <f>SUMIFS('Cohort x age'!$N$2:$N$1831,'Cohort x age'!$C$2:$C$1831,A49)</f>
        <v/>
      </c>
      <c r="P49" s="50">
        <f>SUMIFS('Cohort x age'!$T$2:$T$1831,'Cohort x age'!$C$2:$C$1831,A49)</f>
        <v/>
      </c>
      <c r="Q49" s="49">
        <f>SUMIFS('Cohort x age'!$U$2:$U$1831,'Cohort x age'!$C$2:$C$1831,A49)</f>
        <v/>
      </c>
      <c r="R49" s="49">
        <f>SUMIFS('Cohort x age'!$V$2:$V$1831,'Cohort x age'!$C$2:$C$1831,A49)</f>
        <v/>
      </c>
      <c r="S49" s="44">
        <f>SUMIFS('Cohort x age'!$P$2:$P$1831,'Cohort x age'!$C$2:$C$1831,A49)</f>
        <v/>
      </c>
      <c r="T49" s="44">
        <f>SUMIFS('Cohort x age'!$R$2:$R$1831,'Cohort x age'!$C$2:$C$1831,A49)</f>
        <v/>
      </c>
      <c r="U49" s="50">
        <f>SUMIFS('Cohort x age'!$X$2:$X$1831,'Cohort x age'!$C$2:$C$1831,A49)</f>
        <v/>
      </c>
      <c r="V49" s="50">
        <f>SUMIFS('Cohort x age'!$Y$2:$Y$1831,'Cohort x age'!$C$2:$C$1831,A49)</f>
        <v/>
      </c>
      <c r="W49" s="50">
        <f>SUMIFS('Cohort x age'!$Z$2:$Z$1831,'Cohort x age'!$C$2:$C$1831,A49)</f>
        <v/>
      </c>
      <c r="X49" s="49">
        <f>SUMPRODUCT('Sign-ups by age'!AW$2:AW$61,'Age profile'!Q$2:Q$61)</f>
        <v/>
      </c>
      <c r="Y49" s="49">
        <f>SUMIFS('Cohort x age'!$AA$2:$AA$1831,'Cohort x age'!$C$2:$C$1831,A49)</f>
        <v/>
      </c>
      <c r="Z49" s="49">
        <f>SUMIFS('Cohort x age'!$AB$2:$AB$1831,'Cohort x age'!$C$2:$C$1831,A49)</f>
        <v/>
      </c>
      <c r="AA49" s="49">
        <f>SUMIFS('Cohort x age'!$AC$2:$AC$1831,'Cohort x age'!$C$2:$C$1831,A49)</f>
        <v/>
      </c>
      <c r="AB49" s="49">
        <f>SUMIFS('Cohort x age'!$AD$2:$AD$1831,'Cohort x age'!$C$2:$C$1831,A49)</f>
        <v/>
      </c>
      <c r="AC49" s="49">
        <f>SUMIFS('Cohort x age'!$AG$2:$AG$1831,'Cohort x age'!$C$2:$C$1831,A49)</f>
        <v/>
      </c>
      <c r="AD49" s="49">
        <f>SUMIFS('Cohort x age'!$AJ$2:$AJ$1831,'Cohort x age'!$C$2:$C$1831,A49)</f>
        <v/>
      </c>
      <c r="AE49" s="49">
        <f>SUMIFS('Cohort x age'!$AM$2:$AM$1831,'Cohort x age'!$C$2:$C$1831,A49)</f>
        <v/>
      </c>
      <c r="AF49" s="49">
        <f>SUMIFS('Cohort x age'!$AP$2:$AP$1831,'Cohort x age'!$C$2:$C$1831,A49)</f>
        <v/>
      </c>
      <c r="AG49" s="49">
        <f>SUMIFS('Cohort x age'!$AS$2:$AS$1831,'Cohort x age'!$C$2:$C$1831,A49)</f>
        <v/>
      </c>
      <c r="AH49" s="49">
        <f>SUMIFS('Cohort x age'!$AU$2:$AU$1831,'Cohort x age'!$C$2:$C$1831,A49)</f>
        <v/>
      </c>
      <c r="AI49" s="49">
        <f>SUMIFS('Cohort x age'!$AX$2:$AX$1831,'Cohort x age'!$C$2:$C$1831,A49)</f>
        <v/>
      </c>
      <c r="AJ49" s="49">
        <f>SUMIFS('Cohort x age'!$BB$2:$BB$1831,'Cohort x age'!$C$2:$C$1831,A49)</f>
        <v/>
      </c>
      <c r="AK49" s="49">
        <f>SUMIFS('Cohort x age'!$BE$2:$BE$1831,'Cohort x age'!$C$2:$C$1831,A49)</f>
        <v/>
      </c>
      <c r="AL49" s="49">
        <f>SUMIFS('Cohort x age'!$BG$2:$BG$1831,'Cohort x age'!$C$2:$C$1831,A49)</f>
        <v/>
      </c>
      <c r="AM49" s="49">
        <f>SUMIFS('Cohort x age'!$BJ$2:$BJ$1831,'Cohort x age'!$C$2:$C$1831,A49)</f>
        <v/>
      </c>
      <c r="AN49" s="49">
        <f>SUMIFS('Cohort x age'!$BL$2:$BL$1831,'Cohort x age'!$C$2:$C$1831,A49)</f>
        <v/>
      </c>
      <c r="AO49" s="49">
        <f>SUMIFS('Cohort x age'!$BO$2:$BO$1831,'Cohort x age'!$C$2:$C$1831,A49)</f>
        <v/>
      </c>
      <c r="AP49" s="49">
        <f>SUMIFS('Cohort x age'!$BR$2:$BR$1831,'Cohort x age'!$C$2:$C$1831,A49)</f>
        <v/>
      </c>
      <c r="AQ49" s="49">
        <f>SUMIFS('Cohort x age'!$BT$2:$BT$1831,'Cohort x age'!$C$2:$C$1831,A49)</f>
        <v/>
      </c>
      <c r="AR49" s="49">
        <f>SUMIFS('Cohort x age'!$BV$2:$BV$1831,'Cohort x age'!$C$2:$C$1831,A49)</f>
        <v/>
      </c>
      <c r="AS49" s="49">
        <f>SUMIFS('Cohort x age'!$BX$2:$BX$1831,'Cohort x age'!$C$2:$C$1831,A49)</f>
        <v/>
      </c>
      <c r="AT49" s="49">
        <f>SUMIFS('Cohort x age'!$CA$2:$CA$1831,'Cohort x age'!$C$2:$C$1831,A49)</f>
        <v/>
      </c>
      <c r="AU49" s="49">
        <f>SUMIFS('Cohort x age'!$CD$2:$CD$1831,'Cohort x age'!$C$2:$C$1831,A49)</f>
        <v/>
      </c>
      <c r="AV49" s="9">
        <f>SUM(X49:AS49)</f>
        <v/>
      </c>
      <c r="AW49" s="9">
        <f>in_salary</f>
        <v/>
      </c>
      <c r="AX49" s="9">
        <f>MAX(0,G49-in_capacity)*in_extra_capacity_cost/in_helper_visits</f>
        <v/>
      </c>
      <c r="AY49" s="49">
        <f>SUMPRODUCT('Sign-ups by age'!AW$2:AW$61,'Age profile'!R$2:R$61)</f>
        <v/>
      </c>
      <c r="AZ49" s="49">
        <f>SUMPRODUCT('Sign-ups by age'!AW$2:AW$61,'Age profile'!S$2:S$61)</f>
        <v/>
      </c>
      <c r="BA49" s="9">
        <f>in_cash_cover</f>
        <v/>
      </c>
      <c r="BB49" s="9">
        <f>IF(A49&lt;=in_growth_months,in_agent_balance_pay,in_agent_pay_after)/12*K49</f>
        <v/>
      </c>
      <c r="BC49" s="9">
        <f>AW49+AX49+AY49+AZ49+BA49+BB49</f>
        <v/>
      </c>
      <c r="BD49" s="9">
        <f>AV49-BC49</f>
        <v/>
      </c>
      <c r="BE49" s="40">
        <f>1/(1+d_dm)^A49</f>
        <v/>
      </c>
      <c r="BF49" s="9">
        <f>BD49*BE49</f>
        <v/>
      </c>
      <c r="BG49" s="9">
        <f>IF(A49=1,BF49,BG48+BF49)</f>
        <v/>
      </c>
      <c r="BH49" s="9">
        <f>IF(A49=1,BD49,BH48+BD49)</f>
        <v/>
      </c>
      <c r="BI49" s="39">
        <f>IF(AND(BH49&gt;=0,BI50=1),1,0)</f>
        <v/>
      </c>
      <c r="BJ49" s="39">
        <f>IF(BI49=1,A49,999)</f>
        <v/>
      </c>
      <c r="BK49" s="40">
        <f>1/(1+d_dm20)^A49</f>
        <v/>
      </c>
    </row>
    <row r="50">
      <c r="A50" s="39" t="n">
        <v>49</v>
      </c>
      <c r="B50" s="48">
        <f>MIN(in_signup_cap,in_signups_run*IF(in_ramp_months&gt;0,MIN(1,0.5+0.5*(A50-1)/in_ramp_months),1)*(1+in_signup_growth)^INT((A50-1)/12))</f>
        <v/>
      </c>
      <c r="C50" s="44">
        <f>SUMPRODUCT('Sign-ups by age'!AX$2:AX$61,'Age profile'!B$2:B$61)</f>
        <v/>
      </c>
      <c r="D50" s="44">
        <f>SUMPRODUCT('Sign-ups by age'!AX$2:AX$61,'Age profile'!C$2:C$61)</f>
        <v/>
      </c>
      <c r="E50" s="44">
        <f>SUMPRODUCT('Sign-ups by age'!AX$2:AX$61,'Age profile'!M$2:M$61)</f>
        <v/>
      </c>
      <c r="F50" s="44">
        <f>SUMPRODUCT('Sign-ups by age'!AX$2:AX$61,'Age profile'!K$2:K$61)</f>
        <v/>
      </c>
      <c r="G50" s="44">
        <f>SUMPRODUCT('Sign-ups by age'!AX$2:AX$61,'Age profile'!L$2:L$61)</f>
        <v/>
      </c>
      <c r="H50" s="11">
        <f>IF(C50&gt;0,1-F50/C50,0)</f>
        <v/>
      </c>
      <c r="I50" s="11">
        <f>IF(C50&gt;0,MAX(0,1-in_capacity*in_visit_every/C50),0)</f>
        <v/>
      </c>
      <c r="J50" s="49">
        <f>SUMPRODUCT('Sign-ups by age'!AX$2:AX$61,'Age profile'!E$2:E$61)</f>
        <v/>
      </c>
      <c r="K50" s="49">
        <f>SUMPRODUCT('Sign-ups by age'!AX$2:AX$61,'Age profile'!H$2:H$61)</f>
        <v/>
      </c>
      <c r="L50" s="44">
        <f>SUMIFS('Cohort x age'!$Q$2:$Q$1831,'Cohort x age'!$C$2:$C$1831,A50)</f>
        <v/>
      </c>
      <c r="M50" s="50">
        <f>SUMIFS('Cohort x age'!$L$2:$L$1831,'Cohort x age'!$C$2:$C$1831,A50)</f>
        <v/>
      </c>
      <c r="N50" s="50">
        <f>SUMIFS('Cohort x age'!$M$2:$M$1831,'Cohort x age'!$C$2:$C$1831,A50)</f>
        <v/>
      </c>
      <c r="O50" s="50">
        <f>SUMIFS('Cohort x age'!$N$2:$N$1831,'Cohort x age'!$C$2:$C$1831,A50)</f>
        <v/>
      </c>
      <c r="P50" s="50">
        <f>SUMIFS('Cohort x age'!$T$2:$T$1831,'Cohort x age'!$C$2:$C$1831,A50)</f>
        <v/>
      </c>
      <c r="Q50" s="49">
        <f>SUMIFS('Cohort x age'!$U$2:$U$1831,'Cohort x age'!$C$2:$C$1831,A50)</f>
        <v/>
      </c>
      <c r="R50" s="49">
        <f>SUMIFS('Cohort x age'!$V$2:$V$1831,'Cohort x age'!$C$2:$C$1831,A50)</f>
        <v/>
      </c>
      <c r="S50" s="44">
        <f>SUMIFS('Cohort x age'!$P$2:$P$1831,'Cohort x age'!$C$2:$C$1831,A50)</f>
        <v/>
      </c>
      <c r="T50" s="44">
        <f>SUMIFS('Cohort x age'!$R$2:$R$1831,'Cohort x age'!$C$2:$C$1831,A50)</f>
        <v/>
      </c>
      <c r="U50" s="50">
        <f>SUMIFS('Cohort x age'!$X$2:$X$1831,'Cohort x age'!$C$2:$C$1831,A50)</f>
        <v/>
      </c>
      <c r="V50" s="50">
        <f>SUMIFS('Cohort x age'!$Y$2:$Y$1831,'Cohort x age'!$C$2:$C$1831,A50)</f>
        <v/>
      </c>
      <c r="W50" s="50">
        <f>SUMIFS('Cohort x age'!$Z$2:$Z$1831,'Cohort x age'!$C$2:$C$1831,A50)</f>
        <v/>
      </c>
      <c r="X50" s="49">
        <f>SUMPRODUCT('Sign-ups by age'!AX$2:AX$61,'Age profile'!Q$2:Q$61)</f>
        <v/>
      </c>
      <c r="Y50" s="49">
        <f>SUMIFS('Cohort x age'!$AA$2:$AA$1831,'Cohort x age'!$C$2:$C$1831,A50)</f>
        <v/>
      </c>
      <c r="Z50" s="49">
        <f>SUMIFS('Cohort x age'!$AB$2:$AB$1831,'Cohort x age'!$C$2:$C$1831,A50)</f>
        <v/>
      </c>
      <c r="AA50" s="49">
        <f>SUMIFS('Cohort x age'!$AC$2:$AC$1831,'Cohort x age'!$C$2:$C$1831,A50)</f>
        <v/>
      </c>
      <c r="AB50" s="49">
        <f>SUMIFS('Cohort x age'!$AD$2:$AD$1831,'Cohort x age'!$C$2:$C$1831,A50)</f>
        <v/>
      </c>
      <c r="AC50" s="49">
        <f>SUMIFS('Cohort x age'!$AG$2:$AG$1831,'Cohort x age'!$C$2:$C$1831,A50)</f>
        <v/>
      </c>
      <c r="AD50" s="49">
        <f>SUMIFS('Cohort x age'!$AJ$2:$AJ$1831,'Cohort x age'!$C$2:$C$1831,A50)</f>
        <v/>
      </c>
      <c r="AE50" s="49">
        <f>SUMIFS('Cohort x age'!$AM$2:$AM$1831,'Cohort x age'!$C$2:$C$1831,A50)</f>
        <v/>
      </c>
      <c r="AF50" s="49">
        <f>SUMIFS('Cohort x age'!$AP$2:$AP$1831,'Cohort x age'!$C$2:$C$1831,A50)</f>
        <v/>
      </c>
      <c r="AG50" s="49">
        <f>SUMIFS('Cohort x age'!$AS$2:$AS$1831,'Cohort x age'!$C$2:$C$1831,A50)</f>
        <v/>
      </c>
      <c r="AH50" s="49">
        <f>SUMIFS('Cohort x age'!$AU$2:$AU$1831,'Cohort x age'!$C$2:$C$1831,A50)</f>
        <v/>
      </c>
      <c r="AI50" s="49">
        <f>SUMIFS('Cohort x age'!$AX$2:$AX$1831,'Cohort x age'!$C$2:$C$1831,A50)</f>
        <v/>
      </c>
      <c r="AJ50" s="49">
        <f>SUMIFS('Cohort x age'!$BB$2:$BB$1831,'Cohort x age'!$C$2:$C$1831,A50)</f>
        <v/>
      </c>
      <c r="AK50" s="49">
        <f>SUMIFS('Cohort x age'!$BE$2:$BE$1831,'Cohort x age'!$C$2:$C$1831,A50)</f>
        <v/>
      </c>
      <c r="AL50" s="49">
        <f>SUMIFS('Cohort x age'!$BG$2:$BG$1831,'Cohort x age'!$C$2:$C$1831,A50)</f>
        <v/>
      </c>
      <c r="AM50" s="49">
        <f>SUMIFS('Cohort x age'!$BJ$2:$BJ$1831,'Cohort x age'!$C$2:$C$1831,A50)</f>
        <v/>
      </c>
      <c r="AN50" s="49">
        <f>SUMIFS('Cohort x age'!$BL$2:$BL$1831,'Cohort x age'!$C$2:$C$1831,A50)</f>
        <v/>
      </c>
      <c r="AO50" s="49">
        <f>SUMIFS('Cohort x age'!$BO$2:$BO$1831,'Cohort x age'!$C$2:$C$1831,A50)</f>
        <v/>
      </c>
      <c r="AP50" s="49">
        <f>SUMIFS('Cohort x age'!$BR$2:$BR$1831,'Cohort x age'!$C$2:$C$1831,A50)</f>
        <v/>
      </c>
      <c r="AQ50" s="49">
        <f>SUMIFS('Cohort x age'!$BT$2:$BT$1831,'Cohort x age'!$C$2:$C$1831,A50)</f>
        <v/>
      </c>
      <c r="AR50" s="49">
        <f>SUMIFS('Cohort x age'!$BV$2:$BV$1831,'Cohort x age'!$C$2:$C$1831,A50)</f>
        <v/>
      </c>
      <c r="AS50" s="49">
        <f>SUMIFS('Cohort x age'!$BX$2:$BX$1831,'Cohort x age'!$C$2:$C$1831,A50)</f>
        <v/>
      </c>
      <c r="AT50" s="49">
        <f>SUMIFS('Cohort x age'!$CA$2:$CA$1831,'Cohort x age'!$C$2:$C$1831,A50)</f>
        <v/>
      </c>
      <c r="AU50" s="49">
        <f>SUMIFS('Cohort x age'!$CD$2:$CD$1831,'Cohort x age'!$C$2:$C$1831,A50)</f>
        <v/>
      </c>
      <c r="AV50" s="9">
        <f>SUM(X50:AS50)</f>
        <v/>
      </c>
      <c r="AW50" s="9">
        <f>in_salary</f>
        <v/>
      </c>
      <c r="AX50" s="9">
        <f>MAX(0,G50-in_capacity)*in_extra_capacity_cost/in_helper_visits</f>
        <v/>
      </c>
      <c r="AY50" s="49">
        <f>SUMPRODUCT('Sign-ups by age'!AX$2:AX$61,'Age profile'!R$2:R$61)</f>
        <v/>
      </c>
      <c r="AZ50" s="49">
        <f>SUMPRODUCT('Sign-ups by age'!AX$2:AX$61,'Age profile'!S$2:S$61)</f>
        <v/>
      </c>
      <c r="BA50" s="9">
        <f>in_cash_cover</f>
        <v/>
      </c>
      <c r="BB50" s="9">
        <f>IF(A50&lt;=in_growth_months,in_agent_balance_pay,in_agent_pay_after)/12*K50</f>
        <v/>
      </c>
      <c r="BC50" s="9">
        <f>AW50+AX50+AY50+AZ50+BA50+BB50</f>
        <v/>
      </c>
      <c r="BD50" s="9">
        <f>AV50-BC50</f>
        <v/>
      </c>
      <c r="BE50" s="40">
        <f>1/(1+d_dm)^A50</f>
        <v/>
      </c>
      <c r="BF50" s="9">
        <f>BD50*BE50</f>
        <v/>
      </c>
      <c r="BG50" s="9">
        <f>IF(A50=1,BF50,BG49+BF50)</f>
        <v/>
      </c>
      <c r="BH50" s="9">
        <f>IF(A50=1,BD50,BH49+BD50)</f>
        <v/>
      </c>
      <c r="BI50" s="39">
        <f>IF(AND(BH50&gt;=0,BI51=1),1,0)</f>
        <v/>
      </c>
      <c r="BJ50" s="39">
        <f>IF(BI50=1,A50,999)</f>
        <v/>
      </c>
      <c r="BK50" s="40">
        <f>1/(1+d_dm20)^A50</f>
        <v/>
      </c>
    </row>
    <row r="51">
      <c r="A51" s="39" t="n">
        <v>50</v>
      </c>
      <c r="B51" s="48">
        <f>MIN(in_signup_cap,in_signups_run*IF(in_ramp_months&gt;0,MIN(1,0.5+0.5*(A51-1)/in_ramp_months),1)*(1+in_signup_growth)^INT((A51-1)/12))</f>
        <v/>
      </c>
      <c r="C51" s="44">
        <f>SUMPRODUCT('Sign-ups by age'!AY$2:AY$61,'Age profile'!B$2:B$61)</f>
        <v/>
      </c>
      <c r="D51" s="44">
        <f>SUMPRODUCT('Sign-ups by age'!AY$2:AY$61,'Age profile'!C$2:C$61)</f>
        <v/>
      </c>
      <c r="E51" s="44">
        <f>SUMPRODUCT('Sign-ups by age'!AY$2:AY$61,'Age profile'!M$2:M$61)</f>
        <v/>
      </c>
      <c r="F51" s="44">
        <f>SUMPRODUCT('Sign-ups by age'!AY$2:AY$61,'Age profile'!K$2:K$61)</f>
        <v/>
      </c>
      <c r="G51" s="44">
        <f>SUMPRODUCT('Sign-ups by age'!AY$2:AY$61,'Age profile'!L$2:L$61)</f>
        <v/>
      </c>
      <c r="H51" s="11">
        <f>IF(C51&gt;0,1-F51/C51,0)</f>
        <v/>
      </c>
      <c r="I51" s="11">
        <f>IF(C51&gt;0,MAX(0,1-in_capacity*in_visit_every/C51),0)</f>
        <v/>
      </c>
      <c r="J51" s="49">
        <f>SUMPRODUCT('Sign-ups by age'!AY$2:AY$61,'Age profile'!E$2:E$61)</f>
        <v/>
      </c>
      <c r="K51" s="49">
        <f>SUMPRODUCT('Sign-ups by age'!AY$2:AY$61,'Age profile'!H$2:H$61)</f>
        <v/>
      </c>
      <c r="L51" s="44">
        <f>SUMIFS('Cohort x age'!$Q$2:$Q$1831,'Cohort x age'!$C$2:$C$1831,A51)</f>
        <v/>
      </c>
      <c r="M51" s="50">
        <f>SUMIFS('Cohort x age'!$L$2:$L$1831,'Cohort x age'!$C$2:$C$1831,A51)</f>
        <v/>
      </c>
      <c r="N51" s="50">
        <f>SUMIFS('Cohort x age'!$M$2:$M$1831,'Cohort x age'!$C$2:$C$1831,A51)</f>
        <v/>
      </c>
      <c r="O51" s="50">
        <f>SUMIFS('Cohort x age'!$N$2:$N$1831,'Cohort x age'!$C$2:$C$1831,A51)</f>
        <v/>
      </c>
      <c r="P51" s="50">
        <f>SUMIFS('Cohort x age'!$T$2:$T$1831,'Cohort x age'!$C$2:$C$1831,A51)</f>
        <v/>
      </c>
      <c r="Q51" s="49">
        <f>SUMIFS('Cohort x age'!$U$2:$U$1831,'Cohort x age'!$C$2:$C$1831,A51)</f>
        <v/>
      </c>
      <c r="R51" s="49">
        <f>SUMIFS('Cohort x age'!$V$2:$V$1831,'Cohort x age'!$C$2:$C$1831,A51)</f>
        <v/>
      </c>
      <c r="S51" s="44">
        <f>SUMIFS('Cohort x age'!$P$2:$P$1831,'Cohort x age'!$C$2:$C$1831,A51)</f>
        <v/>
      </c>
      <c r="T51" s="44">
        <f>SUMIFS('Cohort x age'!$R$2:$R$1831,'Cohort x age'!$C$2:$C$1831,A51)</f>
        <v/>
      </c>
      <c r="U51" s="50">
        <f>SUMIFS('Cohort x age'!$X$2:$X$1831,'Cohort x age'!$C$2:$C$1831,A51)</f>
        <v/>
      </c>
      <c r="V51" s="50">
        <f>SUMIFS('Cohort x age'!$Y$2:$Y$1831,'Cohort x age'!$C$2:$C$1831,A51)</f>
        <v/>
      </c>
      <c r="W51" s="50">
        <f>SUMIFS('Cohort x age'!$Z$2:$Z$1831,'Cohort x age'!$C$2:$C$1831,A51)</f>
        <v/>
      </c>
      <c r="X51" s="49">
        <f>SUMPRODUCT('Sign-ups by age'!AY$2:AY$61,'Age profile'!Q$2:Q$61)</f>
        <v/>
      </c>
      <c r="Y51" s="49">
        <f>SUMIFS('Cohort x age'!$AA$2:$AA$1831,'Cohort x age'!$C$2:$C$1831,A51)</f>
        <v/>
      </c>
      <c r="Z51" s="49">
        <f>SUMIFS('Cohort x age'!$AB$2:$AB$1831,'Cohort x age'!$C$2:$C$1831,A51)</f>
        <v/>
      </c>
      <c r="AA51" s="49">
        <f>SUMIFS('Cohort x age'!$AC$2:$AC$1831,'Cohort x age'!$C$2:$C$1831,A51)</f>
        <v/>
      </c>
      <c r="AB51" s="49">
        <f>SUMIFS('Cohort x age'!$AD$2:$AD$1831,'Cohort x age'!$C$2:$C$1831,A51)</f>
        <v/>
      </c>
      <c r="AC51" s="49">
        <f>SUMIFS('Cohort x age'!$AG$2:$AG$1831,'Cohort x age'!$C$2:$C$1831,A51)</f>
        <v/>
      </c>
      <c r="AD51" s="49">
        <f>SUMIFS('Cohort x age'!$AJ$2:$AJ$1831,'Cohort x age'!$C$2:$C$1831,A51)</f>
        <v/>
      </c>
      <c r="AE51" s="49">
        <f>SUMIFS('Cohort x age'!$AM$2:$AM$1831,'Cohort x age'!$C$2:$C$1831,A51)</f>
        <v/>
      </c>
      <c r="AF51" s="49">
        <f>SUMIFS('Cohort x age'!$AP$2:$AP$1831,'Cohort x age'!$C$2:$C$1831,A51)</f>
        <v/>
      </c>
      <c r="AG51" s="49">
        <f>SUMIFS('Cohort x age'!$AS$2:$AS$1831,'Cohort x age'!$C$2:$C$1831,A51)</f>
        <v/>
      </c>
      <c r="AH51" s="49">
        <f>SUMIFS('Cohort x age'!$AU$2:$AU$1831,'Cohort x age'!$C$2:$C$1831,A51)</f>
        <v/>
      </c>
      <c r="AI51" s="49">
        <f>SUMIFS('Cohort x age'!$AX$2:$AX$1831,'Cohort x age'!$C$2:$C$1831,A51)</f>
        <v/>
      </c>
      <c r="AJ51" s="49">
        <f>SUMIFS('Cohort x age'!$BB$2:$BB$1831,'Cohort x age'!$C$2:$C$1831,A51)</f>
        <v/>
      </c>
      <c r="AK51" s="49">
        <f>SUMIFS('Cohort x age'!$BE$2:$BE$1831,'Cohort x age'!$C$2:$C$1831,A51)</f>
        <v/>
      </c>
      <c r="AL51" s="49">
        <f>SUMIFS('Cohort x age'!$BG$2:$BG$1831,'Cohort x age'!$C$2:$C$1831,A51)</f>
        <v/>
      </c>
      <c r="AM51" s="49">
        <f>SUMIFS('Cohort x age'!$BJ$2:$BJ$1831,'Cohort x age'!$C$2:$C$1831,A51)</f>
        <v/>
      </c>
      <c r="AN51" s="49">
        <f>SUMIFS('Cohort x age'!$BL$2:$BL$1831,'Cohort x age'!$C$2:$C$1831,A51)</f>
        <v/>
      </c>
      <c r="AO51" s="49">
        <f>SUMIFS('Cohort x age'!$BO$2:$BO$1831,'Cohort x age'!$C$2:$C$1831,A51)</f>
        <v/>
      </c>
      <c r="AP51" s="49">
        <f>SUMIFS('Cohort x age'!$BR$2:$BR$1831,'Cohort x age'!$C$2:$C$1831,A51)</f>
        <v/>
      </c>
      <c r="AQ51" s="49">
        <f>SUMIFS('Cohort x age'!$BT$2:$BT$1831,'Cohort x age'!$C$2:$C$1831,A51)</f>
        <v/>
      </c>
      <c r="AR51" s="49">
        <f>SUMIFS('Cohort x age'!$BV$2:$BV$1831,'Cohort x age'!$C$2:$C$1831,A51)</f>
        <v/>
      </c>
      <c r="AS51" s="49">
        <f>SUMIFS('Cohort x age'!$BX$2:$BX$1831,'Cohort x age'!$C$2:$C$1831,A51)</f>
        <v/>
      </c>
      <c r="AT51" s="49">
        <f>SUMIFS('Cohort x age'!$CA$2:$CA$1831,'Cohort x age'!$C$2:$C$1831,A51)</f>
        <v/>
      </c>
      <c r="AU51" s="49">
        <f>SUMIFS('Cohort x age'!$CD$2:$CD$1831,'Cohort x age'!$C$2:$C$1831,A51)</f>
        <v/>
      </c>
      <c r="AV51" s="9">
        <f>SUM(X51:AS51)</f>
        <v/>
      </c>
      <c r="AW51" s="9">
        <f>in_salary</f>
        <v/>
      </c>
      <c r="AX51" s="9">
        <f>MAX(0,G51-in_capacity)*in_extra_capacity_cost/in_helper_visits</f>
        <v/>
      </c>
      <c r="AY51" s="49">
        <f>SUMPRODUCT('Sign-ups by age'!AY$2:AY$61,'Age profile'!R$2:R$61)</f>
        <v/>
      </c>
      <c r="AZ51" s="49">
        <f>SUMPRODUCT('Sign-ups by age'!AY$2:AY$61,'Age profile'!S$2:S$61)</f>
        <v/>
      </c>
      <c r="BA51" s="9">
        <f>in_cash_cover</f>
        <v/>
      </c>
      <c r="BB51" s="9">
        <f>IF(A51&lt;=in_growth_months,in_agent_balance_pay,in_agent_pay_after)/12*K51</f>
        <v/>
      </c>
      <c r="BC51" s="9">
        <f>AW51+AX51+AY51+AZ51+BA51+BB51</f>
        <v/>
      </c>
      <c r="BD51" s="9">
        <f>AV51-BC51</f>
        <v/>
      </c>
      <c r="BE51" s="40">
        <f>1/(1+d_dm)^A51</f>
        <v/>
      </c>
      <c r="BF51" s="9">
        <f>BD51*BE51</f>
        <v/>
      </c>
      <c r="BG51" s="9">
        <f>IF(A51=1,BF51,BG50+BF51)</f>
        <v/>
      </c>
      <c r="BH51" s="9">
        <f>IF(A51=1,BD51,BH50+BD51)</f>
        <v/>
      </c>
      <c r="BI51" s="39">
        <f>IF(AND(BH51&gt;=0,BI52=1),1,0)</f>
        <v/>
      </c>
      <c r="BJ51" s="39">
        <f>IF(BI51=1,A51,999)</f>
        <v/>
      </c>
      <c r="BK51" s="40">
        <f>1/(1+d_dm20)^A51</f>
        <v/>
      </c>
    </row>
    <row r="52">
      <c r="A52" s="39" t="n">
        <v>51</v>
      </c>
      <c r="B52" s="48">
        <f>MIN(in_signup_cap,in_signups_run*IF(in_ramp_months&gt;0,MIN(1,0.5+0.5*(A52-1)/in_ramp_months),1)*(1+in_signup_growth)^INT((A52-1)/12))</f>
        <v/>
      </c>
      <c r="C52" s="44">
        <f>SUMPRODUCT('Sign-ups by age'!AZ$2:AZ$61,'Age profile'!B$2:B$61)</f>
        <v/>
      </c>
      <c r="D52" s="44">
        <f>SUMPRODUCT('Sign-ups by age'!AZ$2:AZ$61,'Age profile'!C$2:C$61)</f>
        <v/>
      </c>
      <c r="E52" s="44">
        <f>SUMPRODUCT('Sign-ups by age'!AZ$2:AZ$61,'Age profile'!M$2:M$61)</f>
        <v/>
      </c>
      <c r="F52" s="44">
        <f>SUMPRODUCT('Sign-ups by age'!AZ$2:AZ$61,'Age profile'!K$2:K$61)</f>
        <v/>
      </c>
      <c r="G52" s="44">
        <f>SUMPRODUCT('Sign-ups by age'!AZ$2:AZ$61,'Age profile'!L$2:L$61)</f>
        <v/>
      </c>
      <c r="H52" s="11">
        <f>IF(C52&gt;0,1-F52/C52,0)</f>
        <v/>
      </c>
      <c r="I52" s="11">
        <f>IF(C52&gt;0,MAX(0,1-in_capacity*in_visit_every/C52),0)</f>
        <v/>
      </c>
      <c r="J52" s="49">
        <f>SUMPRODUCT('Sign-ups by age'!AZ$2:AZ$61,'Age profile'!E$2:E$61)</f>
        <v/>
      </c>
      <c r="K52" s="49">
        <f>SUMPRODUCT('Sign-ups by age'!AZ$2:AZ$61,'Age profile'!H$2:H$61)</f>
        <v/>
      </c>
      <c r="L52" s="44">
        <f>SUMIFS('Cohort x age'!$Q$2:$Q$1831,'Cohort x age'!$C$2:$C$1831,A52)</f>
        <v/>
      </c>
      <c r="M52" s="50">
        <f>SUMIFS('Cohort x age'!$L$2:$L$1831,'Cohort x age'!$C$2:$C$1831,A52)</f>
        <v/>
      </c>
      <c r="N52" s="50">
        <f>SUMIFS('Cohort x age'!$M$2:$M$1831,'Cohort x age'!$C$2:$C$1831,A52)</f>
        <v/>
      </c>
      <c r="O52" s="50">
        <f>SUMIFS('Cohort x age'!$N$2:$N$1831,'Cohort x age'!$C$2:$C$1831,A52)</f>
        <v/>
      </c>
      <c r="P52" s="50">
        <f>SUMIFS('Cohort x age'!$T$2:$T$1831,'Cohort x age'!$C$2:$C$1831,A52)</f>
        <v/>
      </c>
      <c r="Q52" s="49">
        <f>SUMIFS('Cohort x age'!$U$2:$U$1831,'Cohort x age'!$C$2:$C$1831,A52)</f>
        <v/>
      </c>
      <c r="R52" s="49">
        <f>SUMIFS('Cohort x age'!$V$2:$V$1831,'Cohort x age'!$C$2:$C$1831,A52)</f>
        <v/>
      </c>
      <c r="S52" s="44">
        <f>SUMIFS('Cohort x age'!$P$2:$P$1831,'Cohort x age'!$C$2:$C$1831,A52)</f>
        <v/>
      </c>
      <c r="T52" s="44">
        <f>SUMIFS('Cohort x age'!$R$2:$R$1831,'Cohort x age'!$C$2:$C$1831,A52)</f>
        <v/>
      </c>
      <c r="U52" s="50">
        <f>SUMIFS('Cohort x age'!$X$2:$X$1831,'Cohort x age'!$C$2:$C$1831,A52)</f>
        <v/>
      </c>
      <c r="V52" s="50">
        <f>SUMIFS('Cohort x age'!$Y$2:$Y$1831,'Cohort x age'!$C$2:$C$1831,A52)</f>
        <v/>
      </c>
      <c r="W52" s="50">
        <f>SUMIFS('Cohort x age'!$Z$2:$Z$1831,'Cohort x age'!$C$2:$C$1831,A52)</f>
        <v/>
      </c>
      <c r="X52" s="49">
        <f>SUMPRODUCT('Sign-ups by age'!AZ$2:AZ$61,'Age profile'!Q$2:Q$61)</f>
        <v/>
      </c>
      <c r="Y52" s="49">
        <f>SUMIFS('Cohort x age'!$AA$2:$AA$1831,'Cohort x age'!$C$2:$C$1831,A52)</f>
        <v/>
      </c>
      <c r="Z52" s="49">
        <f>SUMIFS('Cohort x age'!$AB$2:$AB$1831,'Cohort x age'!$C$2:$C$1831,A52)</f>
        <v/>
      </c>
      <c r="AA52" s="49">
        <f>SUMIFS('Cohort x age'!$AC$2:$AC$1831,'Cohort x age'!$C$2:$C$1831,A52)</f>
        <v/>
      </c>
      <c r="AB52" s="49">
        <f>SUMIFS('Cohort x age'!$AD$2:$AD$1831,'Cohort x age'!$C$2:$C$1831,A52)</f>
        <v/>
      </c>
      <c r="AC52" s="49">
        <f>SUMIFS('Cohort x age'!$AG$2:$AG$1831,'Cohort x age'!$C$2:$C$1831,A52)</f>
        <v/>
      </c>
      <c r="AD52" s="49">
        <f>SUMIFS('Cohort x age'!$AJ$2:$AJ$1831,'Cohort x age'!$C$2:$C$1831,A52)</f>
        <v/>
      </c>
      <c r="AE52" s="49">
        <f>SUMIFS('Cohort x age'!$AM$2:$AM$1831,'Cohort x age'!$C$2:$C$1831,A52)</f>
        <v/>
      </c>
      <c r="AF52" s="49">
        <f>SUMIFS('Cohort x age'!$AP$2:$AP$1831,'Cohort x age'!$C$2:$C$1831,A52)</f>
        <v/>
      </c>
      <c r="AG52" s="49">
        <f>SUMIFS('Cohort x age'!$AS$2:$AS$1831,'Cohort x age'!$C$2:$C$1831,A52)</f>
        <v/>
      </c>
      <c r="AH52" s="49">
        <f>SUMIFS('Cohort x age'!$AU$2:$AU$1831,'Cohort x age'!$C$2:$C$1831,A52)</f>
        <v/>
      </c>
      <c r="AI52" s="49">
        <f>SUMIFS('Cohort x age'!$AX$2:$AX$1831,'Cohort x age'!$C$2:$C$1831,A52)</f>
        <v/>
      </c>
      <c r="AJ52" s="49">
        <f>SUMIFS('Cohort x age'!$BB$2:$BB$1831,'Cohort x age'!$C$2:$C$1831,A52)</f>
        <v/>
      </c>
      <c r="AK52" s="49">
        <f>SUMIFS('Cohort x age'!$BE$2:$BE$1831,'Cohort x age'!$C$2:$C$1831,A52)</f>
        <v/>
      </c>
      <c r="AL52" s="49">
        <f>SUMIFS('Cohort x age'!$BG$2:$BG$1831,'Cohort x age'!$C$2:$C$1831,A52)</f>
        <v/>
      </c>
      <c r="AM52" s="49">
        <f>SUMIFS('Cohort x age'!$BJ$2:$BJ$1831,'Cohort x age'!$C$2:$C$1831,A52)</f>
        <v/>
      </c>
      <c r="AN52" s="49">
        <f>SUMIFS('Cohort x age'!$BL$2:$BL$1831,'Cohort x age'!$C$2:$C$1831,A52)</f>
        <v/>
      </c>
      <c r="AO52" s="49">
        <f>SUMIFS('Cohort x age'!$BO$2:$BO$1831,'Cohort x age'!$C$2:$C$1831,A52)</f>
        <v/>
      </c>
      <c r="AP52" s="49">
        <f>SUMIFS('Cohort x age'!$BR$2:$BR$1831,'Cohort x age'!$C$2:$C$1831,A52)</f>
        <v/>
      </c>
      <c r="AQ52" s="49">
        <f>SUMIFS('Cohort x age'!$BT$2:$BT$1831,'Cohort x age'!$C$2:$C$1831,A52)</f>
        <v/>
      </c>
      <c r="AR52" s="49">
        <f>SUMIFS('Cohort x age'!$BV$2:$BV$1831,'Cohort x age'!$C$2:$C$1831,A52)</f>
        <v/>
      </c>
      <c r="AS52" s="49">
        <f>SUMIFS('Cohort x age'!$BX$2:$BX$1831,'Cohort x age'!$C$2:$C$1831,A52)</f>
        <v/>
      </c>
      <c r="AT52" s="49">
        <f>SUMIFS('Cohort x age'!$CA$2:$CA$1831,'Cohort x age'!$C$2:$C$1831,A52)</f>
        <v/>
      </c>
      <c r="AU52" s="49">
        <f>SUMIFS('Cohort x age'!$CD$2:$CD$1831,'Cohort x age'!$C$2:$C$1831,A52)</f>
        <v/>
      </c>
      <c r="AV52" s="9">
        <f>SUM(X52:AS52)</f>
        <v/>
      </c>
      <c r="AW52" s="9">
        <f>in_salary</f>
        <v/>
      </c>
      <c r="AX52" s="9">
        <f>MAX(0,G52-in_capacity)*in_extra_capacity_cost/in_helper_visits</f>
        <v/>
      </c>
      <c r="AY52" s="49">
        <f>SUMPRODUCT('Sign-ups by age'!AZ$2:AZ$61,'Age profile'!R$2:R$61)</f>
        <v/>
      </c>
      <c r="AZ52" s="49">
        <f>SUMPRODUCT('Sign-ups by age'!AZ$2:AZ$61,'Age profile'!S$2:S$61)</f>
        <v/>
      </c>
      <c r="BA52" s="9">
        <f>in_cash_cover</f>
        <v/>
      </c>
      <c r="BB52" s="9">
        <f>IF(A52&lt;=in_growth_months,in_agent_balance_pay,in_agent_pay_after)/12*K52</f>
        <v/>
      </c>
      <c r="BC52" s="9">
        <f>AW52+AX52+AY52+AZ52+BA52+BB52</f>
        <v/>
      </c>
      <c r="BD52" s="9">
        <f>AV52-BC52</f>
        <v/>
      </c>
      <c r="BE52" s="40">
        <f>1/(1+d_dm)^A52</f>
        <v/>
      </c>
      <c r="BF52" s="9">
        <f>BD52*BE52</f>
        <v/>
      </c>
      <c r="BG52" s="9">
        <f>IF(A52=1,BF52,BG51+BF52)</f>
        <v/>
      </c>
      <c r="BH52" s="9">
        <f>IF(A52=1,BD52,BH51+BD52)</f>
        <v/>
      </c>
      <c r="BI52" s="39">
        <f>IF(AND(BH52&gt;=0,BI53=1),1,0)</f>
        <v/>
      </c>
      <c r="BJ52" s="39">
        <f>IF(BI52=1,A52,999)</f>
        <v/>
      </c>
      <c r="BK52" s="40">
        <f>1/(1+d_dm20)^A52</f>
        <v/>
      </c>
    </row>
    <row r="53">
      <c r="A53" s="39" t="n">
        <v>52</v>
      </c>
      <c r="B53" s="48">
        <f>MIN(in_signup_cap,in_signups_run*IF(in_ramp_months&gt;0,MIN(1,0.5+0.5*(A53-1)/in_ramp_months),1)*(1+in_signup_growth)^INT((A53-1)/12))</f>
        <v/>
      </c>
      <c r="C53" s="44">
        <f>SUMPRODUCT('Sign-ups by age'!BA$2:BA$61,'Age profile'!B$2:B$61)</f>
        <v/>
      </c>
      <c r="D53" s="44">
        <f>SUMPRODUCT('Sign-ups by age'!BA$2:BA$61,'Age profile'!C$2:C$61)</f>
        <v/>
      </c>
      <c r="E53" s="44">
        <f>SUMPRODUCT('Sign-ups by age'!BA$2:BA$61,'Age profile'!M$2:M$61)</f>
        <v/>
      </c>
      <c r="F53" s="44">
        <f>SUMPRODUCT('Sign-ups by age'!BA$2:BA$61,'Age profile'!K$2:K$61)</f>
        <v/>
      </c>
      <c r="G53" s="44">
        <f>SUMPRODUCT('Sign-ups by age'!BA$2:BA$61,'Age profile'!L$2:L$61)</f>
        <v/>
      </c>
      <c r="H53" s="11">
        <f>IF(C53&gt;0,1-F53/C53,0)</f>
        <v/>
      </c>
      <c r="I53" s="11">
        <f>IF(C53&gt;0,MAX(0,1-in_capacity*in_visit_every/C53),0)</f>
        <v/>
      </c>
      <c r="J53" s="49">
        <f>SUMPRODUCT('Sign-ups by age'!BA$2:BA$61,'Age profile'!E$2:E$61)</f>
        <v/>
      </c>
      <c r="K53" s="49">
        <f>SUMPRODUCT('Sign-ups by age'!BA$2:BA$61,'Age profile'!H$2:H$61)</f>
        <v/>
      </c>
      <c r="L53" s="44">
        <f>SUMIFS('Cohort x age'!$Q$2:$Q$1831,'Cohort x age'!$C$2:$C$1831,A53)</f>
        <v/>
      </c>
      <c r="M53" s="50">
        <f>SUMIFS('Cohort x age'!$L$2:$L$1831,'Cohort x age'!$C$2:$C$1831,A53)</f>
        <v/>
      </c>
      <c r="N53" s="50">
        <f>SUMIFS('Cohort x age'!$M$2:$M$1831,'Cohort x age'!$C$2:$C$1831,A53)</f>
        <v/>
      </c>
      <c r="O53" s="50">
        <f>SUMIFS('Cohort x age'!$N$2:$N$1831,'Cohort x age'!$C$2:$C$1831,A53)</f>
        <v/>
      </c>
      <c r="P53" s="50">
        <f>SUMIFS('Cohort x age'!$T$2:$T$1831,'Cohort x age'!$C$2:$C$1831,A53)</f>
        <v/>
      </c>
      <c r="Q53" s="49">
        <f>SUMIFS('Cohort x age'!$U$2:$U$1831,'Cohort x age'!$C$2:$C$1831,A53)</f>
        <v/>
      </c>
      <c r="R53" s="49">
        <f>SUMIFS('Cohort x age'!$V$2:$V$1831,'Cohort x age'!$C$2:$C$1831,A53)</f>
        <v/>
      </c>
      <c r="S53" s="44">
        <f>SUMIFS('Cohort x age'!$P$2:$P$1831,'Cohort x age'!$C$2:$C$1831,A53)</f>
        <v/>
      </c>
      <c r="T53" s="44">
        <f>SUMIFS('Cohort x age'!$R$2:$R$1831,'Cohort x age'!$C$2:$C$1831,A53)</f>
        <v/>
      </c>
      <c r="U53" s="50">
        <f>SUMIFS('Cohort x age'!$X$2:$X$1831,'Cohort x age'!$C$2:$C$1831,A53)</f>
        <v/>
      </c>
      <c r="V53" s="50">
        <f>SUMIFS('Cohort x age'!$Y$2:$Y$1831,'Cohort x age'!$C$2:$C$1831,A53)</f>
        <v/>
      </c>
      <c r="W53" s="50">
        <f>SUMIFS('Cohort x age'!$Z$2:$Z$1831,'Cohort x age'!$C$2:$C$1831,A53)</f>
        <v/>
      </c>
      <c r="X53" s="49">
        <f>SUMPRODUCT('Sign-ups by age'!BA$2:BA$61,'Age profile'!Q$2:Q$61)</f>
        <v/>
      </c>
      <c r="Y53" s="49">
        <f>SUMIFS('Cohort x age'!$AA$2:$AA$1831,'Cohort x age'!$C$2:$C$1831,A53)</f>
        <v/>
      </c>
      <c r="Z53" s="49">
        <f>SUMIFS('Cohort x age'!$AB$2:$AB$1831,'Cohort x age'!$C$2:$C$1831,A53)</f>
        <v/>
      </c>
      <c r="AA53" s="49">
        <f>SUMIFS('Cohort x age'!$AC$2:$AC$1831,'Cohort x age'!$C$2:$C$1831,A53)</f>
        <v/>
      </c>
      <c r="AB53" s="49">
        <f>SUMIFS('Cohort x age'!$AD$2:$AD$1831,'Cohort x age'!$C$2:$C$1831,A53)</f>
        <v/>
      </c>
      <c r="AC53" s="49">
        <f>SUMIFS('Cohort x age'!$AG$2:$AG$1831,'Cohort x age'!$C$2:$C$1831,A53)</f>
        <v/>
      </c>
      <c r="AD53" s="49">
        <f>SUMIFS('Cohort x age'!$AJ$2:$AJ$1831,'Cohort x age'!$C$2:$C$1831,A53)</f>
        <v/>
      </c>
      <c r="AE53" s="49">
        <f>SUMIFS('Cohort x age'!$AM$2:$AM$1831,'Cohort x age'!$C$2:$C$1831,A53)</f>
        <v/>
      </c>
      <c r="AF53" s="49">
        <f>SUMIFS('Cohort x age'!$AP$2:$AP$1831,'Cohort x age'!$C$2:$C$1831,A53)</f>
        <v/>
      </c>
      <c r="AG53" s="49">
        <f>SUMIFS('Cohort x age'!$AS$2:$AS$1831,'Cohort x age'!$C$2:$C$1831,A53)</f>
        <v/>
      </c>
      <c r="AH53" s="49">
        <f>SUMIFS('Cohort x age'!$AU$2:$AU$1831,'Cohort x age'!$C$2:$C$1831,A53)</f>
        <v/>
      </c>
      <c r="AI53" s="49">
        <f>SUMIFS('Cohort x age'!$AX$2:$AX$1831,'Cohort x age'!$C$2:$C$1831,A53)</f>
        <v/>
      </c>
      <c r="AJ53" s="49">
        <f>SUMIFS('Cohort x age'!$BB$2:$BB$1831,'Cohort x age'!$C$2:$C$1831,A53)</f>
        <v/>
      </c>
      <c r="AK53" s="49">
        <f>SUMIFS('Cohort x age'!$BE$2:$BE$1831,'Cohort x age'!$C$2:$C$1831,A53)</f>
        <v/>
      </c>
      <c r="AL53" s="49">
        <f>SUMIFS('Cohort x age'!$BG$2:$BG$1831,'Cohort x age'!$C$2:$C$1831,A53)</f>
        <v/>
      </c>
      <c r="AM53" s="49">
        <f>SUMIFS('Cohort x age'!$BJ$2:$BJ$1831,'Cohort x age'!$C$2:$C$1831,A53)</f>
        <v/>
      </c>
      <c r="AN53" s="49">
        <f>SUMIFS('Cohort x age'!$BL$2:$BL$1831,'Cohort x age'!$C$2:$C$1831,A53)</f>
        <v/>
      </c>
      <c r="AO53" s="49">
        <f>SUMIFS('Cohort x age'!$BO$2:$BO$1831,'Cohort x age'!$C$2:$C$1831,A53)</f>
        <v/>
      </c>
      <c r="AP53" s="49">
        <f>SUMIFS('Cohort x age'!$BR$2:$BR$1831,'Cohort x age'!$C$2:$C$1831,A53)</f>
        <v/>
      </c>
      <c r="AQ53" s="49">
        <f>SUMIFS('Cohort x age'!$BT$2:$BT$1831,'Cohort x age'!$C$2:$C$1831,A53)</f>
        <v/>
      </c>
      <c r="AR53" s="49">
        <f>SUMIFS('Cohort x age'!$BV$2:$BV$1831,'Cohort x age'!$C$2:$C$1831,A53)</f>
        <v/>
      </c>
      <c r="AS53" s="49">
        <f>SUMIFS('Cohort x age'!$BX$2:$BX$1831,'Cohort x age'!$C$2:$C$1831,A53)</f>
        <v/>
      </c>
      <c r="AT53" s="49">
        <f>SUMIFS('Cohort x age'!$CA$2:$CA$1831,'Cohort x age'!$C$2:$C$1831,A53)</f>
        <v/>
      </c>
      <c r="AU53" s="49">
        <f>SUMIFS('Cohort x age'!$CD$2:$CD$1831,'Cohort x age'!$C$2:$C$1831,A53)</f>
        <v/>
      </c>
      <c r="AV53" s="9">
        <f>SUM(X53:AS53)</f>
        <v/>
      </c>
      <c r="AW53" s="9">
        <f>in_salary</f>
        <v/>
      </c>
      <c r="AX53" s="9">
        <f>MAX(0,G53-in_capacity)*in_extra_capacity_cost/in_helper_visits</f>
        <v/>
      </c>
      <c r="AY53" s="49">
        <f>SUMPRODUCT('Sign-ups by age'!BA$2:BA$61,'Age profile'!R$2:R$61)</f>
        <v/>
      </c>
      <c r="AZ53" s="49">
        <f>SUMPRODUCT('Sign-ups by age'!BA$2:BA$61,'Age profile'!S$2:S$61)</f>
        <v/>
      </c>
      <c r="BA53" s="9">
        <f>in_cash_cover</f>
        <v/>
      </c>
      <c r="BB53" s="9">
        <f>IF(A53&lt;=in_growth_months,in_agent_balance_pay,in_agent_pay_after)/12*K53</f>
        <v/>
      </c>
      <c r="BC53" s="9">
        <f>AW53+AX53+AY53+AZ53+BA53+BB53</f>
        <v/>
      </c>
      <c r="BD53" s="9">
        <f>AV53-BC53</f>
        <v/>
      </c>
      <c r="BE53" s="40">
        <f>1/(1+d_dm)^A53</f>
        <v/>
      </c>
      <c r="BF53" s="9">
        <f>BD53*BE53</f>
        <v/>
      </c>
      <c r="BG53" s="9">
        <f>IF(A53=1,BF53,BG52+BF53)</f>
        <v/>
      </c>
      <c r="BH53" s="9">
        <f>IF(A53=1,BD53,BH52+BD53)</f>
        <v/>
      </c>
      <c r="BI53" s="39">
        <f>IF(AND(BH53&gt;=0,BI54=1),1,0)</f>
        <v/>
      </c>
      <c r="BJ53" s="39">
        <f>IF(BI53=1,A53,999)</f>
        <v/>
      </c>
      <c r="BK53" s="40">
        <f>1/(1+d_dm20)^A53</f>
        <v/>
      </c>
    </row>
    <row r="54">
      <c r="A54" s="39" t="n">
        <v>53</v>
      </c>
      <c r="B54" s="48">
        <f>MIN(in_signup_cap,in_signups_run*IF(in_ramp_months&gt;0,MIN(1,0.5+0.5*(A54-1)/in_ramp_months),1)*(1+in_signup_growth)^INT((A54-1)/12))</f>
        <v/>
      </c>
      <c r="C54" s="44">
        <f>SUMPRODUCT('Sign-ups by age'!BB$2:BB$61,'Age profile'!B$2:B$61)</f>
        <v/>
      </c>
      <c r="D54" s="44">
        <f>SUMPRODUCT('Sign-ups by age'!BB$2:BB$61,'Age profile'!C$2:C$61)</f>
        <v/>
      </c>
      <c r="E54" s="44">
        <f>SUMPRODUCT('Sign-ups by age'!BB$2:BB$61,'Age profile'!M$2:M$61)</f>
        <v/>
      </c>
      <c r="F54" s="44">
        <f>SUMPRODUCT('Sign-ups by age'!BB$2:BB$61,'Age profile'!K$2:K$61)</f>
        <v/>
      </c>
      <c r="G54" s="44">
        <f>SUMPRODUCT('Sign-ups by age'!BB$2:BB$61,'Age profile'!L$2:L$61)</f>
        <v/>
      </c>
      <c r="H54" s="11">
        <f>IF(C54&gt;0,1-F54/C54,0)</f>
        <v/>
      </c>
      <c r="I54" s="11">
        <f>IF(C54&gt;0,MAX(0,1-in_capacity*in_visit_every/C54),0)</f>
        <v/>
      </c>
      <c r="J54" s="49">
        <f>SUMPRODUCT('Sign-ups by age'!BB$2:BB$61,'Age profile'!E$2:E$61)</f>
        <v/>
      </c>
      <c r="K54" s="49">
        <f>SUMPRODUCT('Sign-ups by age'!BB$2:BB$61,'Age profile'!H$2:H$61)</f>
        <v/>
      </c>
      <c r="L54" s="44">
        <f>SUMIFS('Cohort x age'!$Q$2:$Q$1831,'Cohort x age'!$C$2:$C$1831,A54)</f>
        <v/>
      </c>
      <c r="M54" s="50">
        <f>SUMIFS('Cohort x age'!$L$2:$L$1831,'Cohort x age'!$C$2:$C$1831,A54)</f>
        <v/>
      </c>
      <c r="N54" s="50">
        <f>SUMIFS('Cohort x age'!$M$2:$M$1831,'Cohort x age'!$C$2:$C$1831,A54)</f>
        <v/>
      </c>
      <c r="O54" s="50">
        <f>SUMIFS('Cohort x age'!$N$2:$N$1831,'Cohort x age'!$C$2:$C$1831,A54)</f>
        <v/>
      </c>
      <c r="P54" s="50">
        <f>SUMIFS('Cohort x age'!$T$2:$T$1831,'Cohort x age'!$C$2:$C$1831,A54)</f>
        <v/>
      </c>
      <c r="Q54" s="49">
        <f>SUMIFS('Cohort x age'!$U$2:$U$1831,'Cohort x age'!$C$2:$C$1831,A54)</f>
        <v/>
      </c>
      <c r="R54" s="49">
        <f>SUMIFS('Cohort x age'!$V$2:$V$1831,'Cohort x age'!$C$2:$C$1831,A54)</f>
        <v/>
      </c>
      <c r="S54" s="44">
        <f>SUMIFS('Cohort x age'!$P$2:$P$1831,'Cohort x age'!$C$2:$C$1831,A54)</f>
        <v/>
      </c>
      <c r="T54" s="44">
        <f>SUMIFS('Cohort x age'!$R$2:$R$1831,'Cohort x age'!$C$2:$C$1831,A54)</f>
        <v/>
      </c>
      <c r="U54" s="50">
        <f>SUMIFS('Cohort x age'!$X$2:$X$1831,'Cohort x age'!$C$2:$C$1831,A54)</f>
        <v/>
      </c>
      <c r="V54" s="50">
        <f>SUMIFS('Cohort x age'!$Y$2:$Y$1831,'Cohort x age'!$C$2:$C$1831,A54)</f>
        <v/>
      </c>
      <c r="W54" s="50">
        <f>SUMIFS('Cohort x age'!$Z$2:$Z$1831,'Cohort x age'!$C$2:$C$1831,A54)</f>
        <v/>
      </c>
      <c r="X54" s="49">
        <f>SUMPRODUCT('Sign-ups by age'!BB$2:BB$61,'Age profile'!Q$2:Q$61)</f>
        <v/>
      </c>
      <c r="Y54" s="49">
        <f>SUMIFS('Cohort x age'!$AA$2:$AA$1831,'Cohort x age'!$C$2:$C$1831,A54)</f>
        <v/>
      </c>
      <c r="Z54" s="49">
        <f>SUMIFS('Cohort x age'!$AB$2:$AB$1831,'Cohort x age'!$C$2:$C$1831,A54)</f>
        <v/>
      </c>
      <c r="AA54" s="49">
        <f>SUMIFS('Cohort x age'!$AC$2:$AC$1831,'Cohort x age'!$C$2:$C$1831,A54)</f>
        <v/>
      </c>
      <c r="AB54" s="49">
        <f>SUMIFS('Cohort x age'!$AD$2:$AD$1831,'Cohort x age'!$C$2:$C$1831,A54)</f>
        <v/>
      </c>
      <c r="AC54" s="49">
        <f>SUMIFS('Cohort x age'!$AG$2:$AG$1831,'Cohort x age'!$C$2:$C$1831,A54)</f>
        <v/>
      </c>
      <c r="AD54" s="49">
        <f>SUMIFS('Cohort x age'!$AJ$2:$AJ$1831,'Cohort x age'!$C$2:$C$1831,A54)</f>
        <v/>
      </c>
      <c r="AE54" s="49">
        <f>SUMIFS('Cohort x age'!$AM$2:$AM$1831,'Cohort x age'!$C$2:$C$1831,A54)</f>
        <v/>
      </c>
      <c r="AF54" s="49">
        <f>SUMIFS('Cohort x age'!$AP$2:$AP$1831,'Cohort x age'!$C$2:$C$1831,A54)</f>
        <v/>
      </c>
      <c r="AG54" s="49">
        <f>SUMIFS('Cohort x age'!$AS$2:$AS$1831,'Cohort x age'!$C$2:$C$1831,A54)</f>
        <v/>
      </c>
      <c r="AH54" s="49">
        <f>SUMIFS('Cohort x age'!$AU$2:$AU$1831,'Cohort x age'!$C$2:$C$1831,A54)</f>
        <v/>
      </c>
      <c r="AI54" s="49">
        <f>SUMIFS('Cohort x age'!$AX$2:$AX$1831,'Cohort x age'!$C$2:$C$1831,A54)</f>
        <v/>
      </c>
      <c r="AJ54" s="49">
        <f>SUMIFS('Cohort x age'!$BB$2:$BB$1831,'Cohort x age'!$C$2:$C$1831,A54)</f>
        <v/>
      </c>
      <c r="AK54" s="49">
        <f>SUMIFS('Cohort x age'!$BE$2:$BE$1831,'Cohort x age'!$C$2:$C$1831,A54)</f>
        <v/>
      </c>
      <c r="AL54" s="49">
        <f>SUMIFS('Cohort x age'!$BG$2:$BG$1831,'Cohort x age'!$C$2:$C$1831,A54)</f>
        <v/>
      </c>
      <c r="AM54" s="49">
        <f>SUMIFS('Cohort x age'!$BJ$2:$BJ$1831,'Cohort x age'!$C$2:$C$1831,A54)</f>
        <v/>
      </c>
      <c r="AN54" s="49">
        <f>SUMIFS('Cohort x age'!$BL$2:$BL$1831,'Cohort x age'!$C$2:$C$1831,A54)</f>
        <v/>
      </c>
      <c r="AO54" s="49">
        <f>SUMIFS('Cohort x age'!$BO$2:$BO$1831,'Cohort x age'!$C$2:$C$1831,A54)</f>
        <v/>
      </c>
      <c r="AP54" s="49">
        <f>SUMIFS('Cohort x age'!$BR$2:$BR$1831,'Cohort x age'!$C$2:$C$1831,A54)</f>
        <v/>
      </c>
      <c r="AQ54" s="49">
        <f>SUMIFS('Cohort x age'!$BT$2:$BT$1831,'Cohort x age'!$C$2:$C$1831,A54)</f>
        <v/>
      </c>
      <c r="AR54" s="49">
        <f>SUMIFS('Cohort x age'!$BV$2:$BV$1831,'Cohort x age'!$C$2:$C$1831,A54)</f>
        <v/>
      </c>
      <c r="AS54" s="49">
        <f>SUMIFS('Cohort x age'!$BX$2:$BX$1831,'Cohort x age'!$C$2:$C$1831,A54)</f>
        <v/>
      </c>
      <c r="AT54" s="49">
        <f>SUMIFS('Cohort x age'!$CA$2:$CA$1831,'Cohort x age'!$C$2:$C$1831,A54)</f>
        <v/>
      </c>
      <c r="AU54" s="49">
        <f>SUMIFS('Cohort x age'!$CD$2:$CD$1831,'Cohort x age'!$C$2:$C$1831,A54)</f>
        <v/>
      </c>
      <c r="AV54" s="9">
        <f>SUM(X54:AS54)</f>
        <v/>
      </c>
      <c r="AW54" s="9">
        <f>in_salary</f>
        <v/>
      </c>
      <c r="AX54" s="9">
        <f>MAX(0,G54-in_capacity)*in_extra_capacity_cost/in_helper_visits</f>
        <v/>
      </c>
      <c r="AY54" s="49">
        <f>SUMPRODUCT('Sign-ups by age'!BB$2:BB$61,'Age profile'!R$2:R$61)</f>
        <v/>
      </c>
      <c r="AZ54" s="49">
        <f>SUMPRODUCT('Sign-ups by age'!BB$2:BB$61,'Age profile'!S$2:S$61)</f>
        <v/>
      </c>
      <c r="BA54" s="9">
        <f>in_cash_cover</f>
        <v/>
      </c>
      <c r="BB54" s="9">
        <f>IF(A54&lt;=in_growth_months,in_agent_balance_pay,in_agent_pay_after)/12*K54</f>
        <v/>
      </c>
      <c r="BC54" s="9">
        <f>AW54+AX54+AY54+AZ54+BA54+BB54</f>
        <v/>
      </c>
      <c r="BD54" s="9">
        <f>AV54-BC54</f>
        <v/>
      </c>
      <c r="BE54" s="40">
        <f>1/(1+d_dm)^A54</f>
        <v/>
      </c>
      <c r="BF54" s="9">
        <f>BD54*BE54</f>
        <v/>
      </c>
      <c r="BG54" s="9">
        <f>IF(A54=1,BF54,BG53+BF54)</f>
        <v/>
      </c>
      <c r="BH54" s="9">
        <f>IF(A54=1,BD54,BH53+BD54)</f>
        <v/>
      </c>
      <c r="BI54" s="39">
        <f>IF(AND(BH54&gt;=0,BI55=1),1,0)</f>
        <v/>
      </c>
      <c r="BJ54" s="39">
        <f>IF(BI54=1,A54,999)</f>
        <v/>
      </c>
      <c r="BK54" s="40">
        <f>1/(1+d_dm20)^A54</f>
        <v/>
      </c>
    </row>
    <row r="55">
      <c r="A55" s="39" t="n">
        <v>54</v>
      </c>
      <c r="B55" s="48">
        <f>MIN(in_signup_cap,in_signups_run*IF(in_ramp_months&gt;0,MIN(1,0.5+0.5*(A55-1)/in_ramp_months),1)*(1+in_signup_growth)^INT((A55-1)/12))</f>
        <v/>
      </c>
      <c r="C55" s="44">
        <f>SUMPRODUCT('Sign-ups by age'!BC$2:BC$61,'Age profile'!B$2:B$61)</f>
        <v/>
      </c>
      <c r="D55" s="44">
        <f>SUMPRODUCT('Sign-ups by age'!BC$2:BC$61,'Age profile'!C$2:C$61)</f>
        <v/>
      </c>
      <c r="E55" s="44">
        <f>SUMPRODUCT('Sign-ups by age'!BC$2:BC$61,'Age profile'!M$2:M$61)</f>
        <v/>
      </c>
      <c r="F55" s="44">
        <f>SUMPRODUCT('Sign-ups by age'!BC$2:BC$61,'Age profile'!K$2:K$61)</f>
        <v/>
      </c>
      <c r="G55" s="44">
        <f>SUMPRODUCT('Sign-ups by age'!BC$2:BC$61,'Age profile'!L$2:L$61)</f>
        <v/>
      </c>
      <c r="H55" s="11">
        <f>IF(C55&gt;0,1-F55/C55,0)</f>
        <v/>
      </c>
      <c r="I55" s="11">
        <f>IF(C55&gt;0,MAX(0,1-in_capacity*in_visit_every/C55),0)</f>
        <v/>
      </c>
      <c r="J55" s="49">
        <f>SUMPRODUCT('Sign-ups by age'!BC$2:BC$61,'Age profile'!E$2:E$61)</f>
        <v/>
      </c>
      <c r="K55" s="49">
        <f>SUMPRODUCT('Sign-ups by age'!BC$2:BC$61,'Age profile'!H$2:H$61)</f>
        <v/>
      </c>
      <c r="L55" s="44">
        <f>SUMIFS('Cohort x age'!$Q$2:$Q$1831,'Cohort x age'!$C$2:$C$1831,A55)</f>
        <v/>
      </c>
      <c r="M55" s="50">
        <f>SUMIFS('Cohort x age'!$L$2:$L$1831,'Cohort x age'!$C$2:$C$1831,A55)</f>
        <v/>
      </c>
      <c r="N55" s="50">
        <f>SUMIFS('Cohort x age'!$M$2:$M$1831,'Cohort x age'!$C$2:$C$1831,A55)</f>
        <v/>
      </c>
      <c r="O55" s="50">
        <f>SUMIFS('Cohort x age'!$N$2:$N$1831,'Cohort x age'!$C$2:$C$1831,A55)</f>
        <v/>
      </c>
      <c r="P55" s="50">
        <f>SUMIFS('Cohort x age'!$T$2:$T$1831,'Cohort x age'!$C$2:$C$1831,A55)</f>
        <v/>
      </c>
      <c r="Q55" s="49">
        <f>SUMIFS('Cohort x age'!$U$2:$U$1831,'Cohort x age'!$C$2:$C$1831,A55)</f>
        <v/>
      </c>
      <c r="R55" s="49">
        <f>SUMIFS('Cohort x age'!$V$2:$V$1831,'Cohort x age'!$C$2:$C$1831,A55)</f>
        <v/>
      </c>
      <c r="S55" s="44">
        <f>SUMIFS('Cohort x age'!$P$2:$P$1831,'Cohort x age'!$C$2:$C$1831,A55)</f>
        <v/>
      </c>
      <c r="T55" s="44">
        <f>SUMIFS('Cohort x age'!$R$2:$R$1831,'Cohort x age'!$C$2:$C$1831,A55)</f>
        <v/>
      </c>
      <c r="U55" s="50">
        <f>SUMIFS('Cohort x age'!$X$2:$X$1831,'Cohort x age'!$C$2:$C$1831,A55)</f>
        <v/>
      </c>
      <c r="V55" s="50">
        <f>SUMIFS('Cohort x age'!$Y$2:$Y$1831,'Cohort x age'!$C$2:$C$1831,A55)</f>
        <v/>
      </c>
      <c r="W55" s="50">
        <f>SUMIFS('Cohort x age'!$Z$2:$Z$1831,'Cohort x age'!$C$2:$C$1831,A55)</f>
        <v/>
      </c>
      <c r="X55" s="49">
        <f>SUMPRODUCT('Sign-ups by age'!BC$2:BC$61,'Age profile'!Q$2:Q$61)</f>
        <v/>
      </c>
      <c r="Y55" s="49">
        <f>SUMIFS('Cohort x age'!$AA$2:$AA$1831,'Cohort x age'!$C$2:$C$1831,A55)</f>
        <v/>
      </c>
      <c r="Z55" s="49">
        <f>SUMIFS('Cohort x age'!$AB$2:$AB$1831,'Cohort x age'!$C$2:$C$1831,A55)</f>
        <v/>
      </c>
      <c r="AA55" s="49">
        <f>SUMIFS('Cohort x age'!$AC$2:$AC$1831,'Cohort x age'!$C$2:$C$1831,A55)</f>
        <v/>
      </c>
      <c r="AB55" s="49">
        <f>SUMIFS('Cohort x age'!$AD$2:$AD$1831,'Cohort x age'!$C$2:$C$1831,A55)</f>
        <v/>
      </c>
      <c r="AC55" s="49">
        <f>SUMIFS('Cohort x age'!$AG$2:$AG$1831,'Cohort x age'!$C$2:$C$1831,A55)</f>
        <v/>
      </c>
      <c r="AD55" s="49">
        <f>SUMIFS('Cohort x age'!$AJ$2:$AJ$1831,'Cohort x age'!$C$2:$C$1831,A55)</f>
        <v/>
      </c>
      <c r="AE55" s="49">
        <f>SUMIFS('Cohort x age'!$AM$2:$AM$1831,'Cohort x age'!$C$2:$C$1831,A55)</f>
        <v/>
      </c>
      <c r="AF55" s="49">
        <f>SUMIFS('Cohort x age'!$AP$2:$AP$1831,'Cohort x age'!$C$2:$C$1831,A55)</f>
        <v/>
      </c>
      <c r="AG55" s="49">
        <f>SUMIFS('Cohort x age'!$AS$2:$AS$1831,'Cohort x age'!$C$2:$C$1831,A55)</f>
        <v/>
      </c>
      <c r="AH55" s="49">
        <f>SUMIFS('Cohort x age'!$AU$2:$AU$1831,'Cohort x age'!$C$2:$C$1831,A55)</f>
        <v/>
      </c>
      <c r="AI55" s="49">
        <f>SUMIFS('Cohort x age'!$AX$2:$AX$1831,'Cohort x age'!$C$2:$C$1831,A55)</f>
        <v/>
      </c>
      <c r="AJ55" s="49">
        <f>SUMIFS('Cohort x age'!$BB$2:$BB$1831,'Cohort x age'!$C$2:$C$1831,A55)</f>
        <v/>
      </c>
      <c r="AK55" s="49">
        <f>SUMIFS('Cohort x age'!$BE$2:$BE$1831,'Cohort x age'!$C$2:$C$1831,A55)</f>
        <v/>
      </c>
      <c r="AL55" s="49">
        <f>SUMIFS('Cohort x age'!$BG$2:$BG$1831,'Cohort x age'!$C$2:$C$1831,A55)</f>
        <v/>
      </c>
      <c r="AM55" s="49">
        <f>SUMIFS('Cohort x age'!$BJ$2:$BJ$1831,'Cohort x age'!$C$2:$C$1831,A55)</f>
        <v/>
      </c>
      <c r="AN55" s="49">
        <f>SUMIFS('Cohort x age'!$BL$2:$BL$1831,'Cohort x age'!$C$2:$C$1831,A55)</f>
        <v/>
      </c>
      <c r="AO55" s="49">
        <f>SUMIFS('Cohort x age'!$BO$2:$BO$1831,'Cohort x age'!$C$2:$C$1831,A55)</f>
        <v/>
      </c>
      <c r="AP55" s="49">
        <f>SUMIFS('Cohort x age'!$BR$2:$BR$1831,'Cohort x age'!$C$2:$C$1831,A55)</f>
        <v/>
      </c>
      <c r="AQ55" s="49">
        <f>SUMIFS('Cohort x age'!$BT$2:$BT$1831,'Cohort x age'!$C$2:$C$1831,A55)</f>
        <v/>
      </c>
      <c r="AR55" s="49">
        <f>SUMIFS('Cohort x age'!$BV$2:$BV$1831,'Cohort x age'!$C$2:$C$1831,A55)</f>
        <v/>
      </c>
      <c r="AS55" s="49">
        <f>SUMIFS('Cohort x age'!$BX$2:$BX$1831,'Cohort x age'!$C$2:$C$1831,A55)</f>
        <v/>
      </c>
      <c r="AT55" s="49">
        <f>SUMIFS('Cohort x age'!$CA$2:$CA$1831,'Cohort x age'!$C$2:$C$1831,A55)</f>
        <v/>
      </c>
      <c r="AU55" s="49">
        <f>SUMIFS('Cohort x age'!$CD$2:$CD$1831,'Cohort x age'!$C$2:$C$1831,A55)</f>
        <v/>
      </c>
      <c r="AV55" s="9">
        <f>SUM(X55:AS55)</f>
        <v/>
      </c>
      <c r="AW55" s="9">
        <f>in_salary</f>
        <v/>
      </c>
      <c r="AX55" s="9">
        <f>MAX(0,G55-in_capacity)*in_extra_capacity_cost/in_helper_visits</f>
        <v/>
      </c>
      <c r="AY55" s="49">
        <f>SUMPRODUCT('Sign-ups by age'!BC$2:BC$61,'Age profile'!R$2:R$61)</f>
        <v/>
      </c>
      <c r="AZ55" s="49">
        <f>SUMPRODUCT('Sign-ups by age'!BC$2:BC$61,'Age profile'!S$2:S$61)</f>
        <v/>
      </c>
      <c r="BA55" s="9">
        <f>in_cash_cover</f>
        <v/>
      </c>
      <c r="BB55" s="9">
        <f>IF(A55&lt;=in_growth_months,in_agent_balance_pay,in_agent_pay_after)/12*K55</f>
        <v/>
      </c>
      <c r="BC55" s="9">
        <f>AW55+AX55+AY55+AZ55+BA55+BB55</f>
        <v/>
      </c>
      <c r="BD55" s="9">
        <f>AV55-BC55</f>
        <v/>
      </c>
      <c r="BE55" s="40">
        <f>1/(1+d_dm)^A55</f>
        <v/>
      </c>
      <c r="BF55" s="9">
        <f>BD55*BE55</f>
        <v/>
      </c>
      <c r="BG55" s="9">
        <f>IF(A55=1,BF55,BG54+BF55)</f>
        <v/>
      </c>
      <c r="BH55" s="9">
        <f>IF(A55=1,BD55,BH54+BD55)</f>
        <v/>
      </c>
      <c r="BI55" s="39">
        <f>IF(AND(BH55&gt;=0,BI56=1),1,0)</f>
        <v/>
      </c>
      <c r="BJ55" s="39">
        <f>IF(BI55=1,A55,999)</f>
        <v/>
      </c>
      <c r="BK55" s="40">
        <f>1/(1+d_dm20)^A55</f>
        <v/>
      </c>
    </row>
    <row r="56">
      <c r="A56" s="39" t="n">
        <v>55</v>
      </c>
      <c r="B56" s="48">
        <f>MIN(in_signup_cap,in_signups_run*IF(in_ramp_months&gt;0,MIN(1,0.5+0.5*(A56-1)/in_ramp_months),1)*(1+in_signup_growth)^INT((A56-1)/12))</f>
        <v/>
      </c>
      <c r="C56" s="44">
        <f>SUMPRODUCT('Sign-ups by age'!BD$2:BD$61,'Age profile'!B$2:B$61)</f>
        <v/>
      </c>
      <c r="D56" s="44">
        <f>SUMPRODUCT('Sign-ups by age'!BD$2:BD$61,'Age profile'!C$2:C$61)</f>
        <v/>
      </c>
      <c r="E56" s="44">
        <f>SUMPRODUCT('Sign-ups by age'!BD$2:BD$61,'Age profile'!M$2:M$61)</f>
        <v/>
      </c>
      <c r="F56" s="44">
        <f>SUMPRODUCT('Sign-ups by age'!BD$2:BD$61,'Age profile'!K$2:K$61)</f>
        <v/>
      </c>
      <c r="G56" s="44">
        <f>SUMPRODUCT('Sign-ups by age'!BD$2:BD$61,'Age profile'!L$2:L$61)</f>
        <v/>
      </c>
      <c r="H56" s="11">
        <f>IF(C56&gt;0,1-F56/C56,0)</f>
        <v/>
      </c>
      <c r="I56" s="11">
        <f>IF(C56&gt;0,MAX(0,1-in_capacity*in_visit_every/C56),0)</f>
        <v/>
      </c>
      <c r="J56" s="49">
        <f>SUMPRODUCT('Sign-ups by age'!BD$2:BD$61,'Age profile'!E$2:E$61)</f>
        <v/>
      </c>
      <c r="K56" s="49">
        <f>SUMPRODUCT('Sign-ups by age'!BD$2:BD$61,'Age profile'!H$2:H$61)</f>
        <v/>
      </c>
      <c r="L56" s="44">
        <f>SUMIFS('Cohort x age'!$Q$2:$Q$1831,'Cohort x age'!$C$2:$C$1831,A56)</f>
        <v/>
      </c>
      <c r="M56" s="50">
        <f>SUMIFS('Cohort x age'!$L$2:$L$1831,'Cohort x age'!$C$2:$C$1831,A56)</f>
        <v/>
      </c>
      <c r="N56" s="50">
        <f>SUMIFS('Cohort x age'!$M$2:$M$1831,'Cohort x age'!$C$2:$C$1831,A56)</f>
        <v/>
      </c>
      <c r="O56" s="50">
        <f>SUMIFS('Cohort x age'!$N$2:$N$1831,'Cohort x age'!$C$2:$C$1831,A56)</f>
        <v/>
      </c>
      <c r="P56" s="50">
        <f>SUMIFS('Cohort x age'!$T$2:$T$1831,'Cohort x age'!$C$2:$C$1831,A56)</f>
        <v/>
      </c>
      <c r="Q56" s="49">
        <f>SUMIFS('Cohort x age'!$U$2:$U$1831,'Cohort x age'!$C$2:$C$1831,A56)</f>
        <v/>
      </c>
      <c r="R56" s="49">
        <f>SUMIFS('Cohort x age'!$V$2:$V$1831,'Cohort x age'!$C$2:$C$1831,A56)</f>
        <v/>
      </c>
      <c r="S56" s="44">
        <f>SUMIFS('Cohort x age'!$P$2:$P$1831,'Cohort x age'!$C$2:$C$1831,A56)</f>
        <v/>
      </c>
      <c r="T56" s="44">
        <f>SUMIFS('Cohort x age'!$R$2:$R$1831,'Cohort x age'!$C$2:$C$1831,A56)</f>
        <v/>
      </c>
      <c r="U56" s="50">
        <f>SUMIFS('Cohort x age'!$X$2:$X$1831,'Cohort x age'!$C$2:$C$1831,A56)</f>
        <v/>
      </c>
      <c r="V56" s="50">
        <f>SUMIFS('Cohort x age'!$Y$2:$Y$1831,'Cohort x age'!$C$2:$C$1831,A56)</f>
        <v/>
      </c>
      <c r="W56" s="50">
        <f>SUMIFS('Cohort x age'!$Z$2:$Z$1831,'Cohort x age'!$C$2:$C$1831,A56)</f>
        <v/>
      </c>
      <c r="X56" s="49">
        <f>SUMPRODUCT('Sign-ups by age'!BD$2:BD$61,'Age profile'!Q$2:Q$61)</f>
        <v/>
      </c>
      <c r="Y56" s="49">
        <f>SUMIFS('Cohort x age'!$AA$2:$AA$1831,'Cohort x age'!$C$2:$C$1831,A56)</f>
        <v/>
      </c>
      <c r="Z56" s="49">
        <f>SUMIFS('Cohort x age'!$AB$2:$AB$1831,'Cohort x age'!$C$2:$C$1831,A56)</f>
        <v/>
      </c>
      <c r="AA56" s="49">
        <f>SUMIFS('Cohort x age'!$AC$2:$AC$1831,'Cohort x age'!$C$2:$C$1831,A56)</f>
        <v/>
      </c>
      <c r="AB56" s="49">
        <f>SUMIFS('Cohort x age'!$AD$2:$AD$1831,'Cohort x age'!$C$2:$C$1831,A56)</f>
        <v/>
      </c>
      <c r="AC56" s="49">
        <f>SUMIFS('Cohort x age'!$AG$2:$AG$1831,'Cohort x age'!$C$2:$C$1831,A56)</f>
        <v/>
      </c>
      <c r="AD56" s="49">
        <f>SUMIFS('Cohort x age'!$AJ$2:$AJ$1831,'Cohort x age'!$C$2:$C$1831,A56)</f>
        <v/>
      </c>
      <c r="AE56" s="49">
        <f>SUMIFS('Cohort x age'!$AM$2:$AM$1831,'Cohort x age'!$C$2:$C$1831,A56)</f>
        <v/>
      </c>
      <c r="AF56" s="49">
        <f>SUMIFS('Cohort x age'!$AP$2:$AP$1831,'Cohort x age'!$C$2:$C$1831,A56)</f>
        <v/>
      </c>
      <c r="AG56" s="49">
        <f>SUMIFS('Cohort x age'!$AS$2:$AS$1831,'Cohort x age'!$C$2:$C$1831,A56)</f>
        <v/>
      </c>
      <c r="AH56" s="49">
        <f>SUMIFS('Cohort x age'!$AU$2:$AU$1831,'Cohort x age'!$C$2:$C$1831,A56)</f>
        <v/>
      </c>
      <c r="AI56" s="49">
        <f>SUMIFS('Cohort x age'!$AX$2:$AX$1831,'Cohort x age'!$C$2:$C$1831,A56)</f>
        <v/>
      </c>
      <c r="AJ56" s="49">
        <f>SUMIFS('Cohort x age'!$BB$2:$BB$1831,'Cohort x age'!$C$2:$C$1831,A56)</f>
        <v/>
      </c>
      <c r="AK56" s="49">
        <f>SUMIFS('Cohort x age'!$BE$2:$BE$1831,'Cohort x age'!$C$2:$C$1831,A56)</f>
        <v/>
      </c>
      <c r="AL56" s="49">
        <f>SUMIFS('Cohort x age'!$BG$2:$BG$1831,'Cohort x age'!$C$2:$C$1831,A56)</f>
        <v/>
      </c>
      <c r="AM56" s="49">
        <f>SUMIFS('Cohort x age'!$BJ$2:$BJ$1831,'Cohort x age'!$C$2:$C$1831,A56)</f>
        <v/>
      </c>
      <c r="AN56" s="49">
        <f>SUMIFS('Cohort x age'!$BL$2:$BL$1831,'Cohort x age'!$C$2:$C$1831,A56)</f>
        <v/>
      </c>
      <c r="AO56" s="49">
        <f>SUMIFS('Cohort x age'!$BO$2:$BO$1831,'Cohort x age'!$C$2:$C$1831,A56)</f>
        <v/>
      </c>
      <c r="AP56" s="49">
        <f>SUMIFS('Cohort x age'!$BR$2:$BR$1831,'Cohort x age'!$C$2:$C$1831,A56)</f>
        <v/>
      </c>
      <c r="AQ56" s="49">
        <f>SUMIFS('Cohort x age'!$BT$2:$BT$1831,'Cohort x age'!$C$2:$C$1831,A56)</f>
        <v/>
      </c>
      <c r="AR56" s="49">
        <f>SUMIFS('Cohort x age'!$BV$2:$BV$1831,'Cohort x age'!$C$2:$C$1831,A56)</f>
        <v/>
      </c>
      <c r="AS56" s="49">
        <f>SUMIFS('Cohort x age'!$BX$2:$BX$1831,'Cohort x age'!$C$2:$C$1831,A56)</f>
        <v/>
      </c>
      <c r="AT56" s="49">
        <f>SUMIFS('Cohort x age'!$CA$2:$CA$1831,'Cohort x age'!$C$2:$C$1831,A56)</f>
        <v/>
      </c>
      <c r="AU56" s="49">
        <f>SUMIFS('Cohort x age'!$CD$2:$CD$1831,'Cohort x age'!$C$2:$C$1831,A56)</f>
        <v/>
      </c>
      <c r="AV56" s="9">
        <f>SUM(X56:AS56)</f>
        <v/>
      </c>
      <c r="AW56" s="9">
        <f>in_salary</f>
        <v/>
      </c>
      <c r="AX56" s="9">
        <f>MAX(0,G56-in_capacity)*in_extra_capacity_cost/in_helper_visits</f>
        <v/>
      </c>
      <c r="AY56" s="49">
        <f>SUMPRODUCT('Sign-ups by age'!BD$2:BD$61,'Age profile'!R$2:R$61)</f>
        <v/>
      </c>
      <c r="AZ56" s="49">
        <f>SUMPRODUCT('Sign-ups by age'!BD$2:BD$61,'Age profile'!S$2:S$61)</f>
        <v/>
      </c>
      <c r="BA56" s="9">
        <f>in_cash_cover</f>
        <v/>
      </c>
      <c r="BB56" s="9">
        <f>IF(A56&lt;=in_growth_months,in_agent_balance_pay,in_agent_pay_after)/12*K56</f>
        <v/>
      </c>
      <c r="BC56" s="9">
        <f>AW56+AX56+AY56+AZ56+BA56+BB56</f>
        <v/>
      </c>
      <c r="BD56" s="9">
        <f>AV56-BC56</f>
        <v/>
      </c>
      <c r="BE56" s="40">
        <f>1/(1+d_dm)^A56</f>
        <v/>
      </c>
      <c r="BF56" s="9">
        <f>BD56*BE56</f>
        <v/>
      </c>
      <c r="BG56" s="9">
        <f>IF(A56=1,BF56,BG55+BF56)</f>
        <v/>
      </c>
      <c r="BH56" s="9">
        <f>IF(A56=1,BD56,BH55+BD56)</f>
        <v/>
      </c>
      <c r="BI56" s="39">
        <f>IF(AND(BH56&gt;=0,BI57=1),1,0)</f>
        <v/>
      </c>
      <c r="BJ56" s="39">
        <f>IF(BI56=1,A56,999)</f>
        <v/>
      </c>
      <c r="BK56" s="40">
        <f>1/(1+d_dm20)^A56</f>
        <v/>
      </c>
    </row>
    <row r="57">
      <c r="A57" s="39" t="n">
        <v>56</v>
      </c>
      <c r="B57" s="48">
        <f>MIN(in_signup_cap,in_signups_run*IF(in_ramp_months&gt;0,MIN(1,0.5+0.5*(A57-1)/in_ramp_months),1)*(1+in_signup_growth)^INT((A57-1)/12))</f>
        <v/>
      </c>
      <c r="C57" s="44">
        <f>SUMPRODUCT('Sign-ups by age'!BE$2:BE$61,'Age profile'!B$2:B$61)</f>
        <v/>
      </c>
      <c r="D57" s="44">
        <f>SUMPRODUCT('Sign-ups by age'!BE$2:BE$61,'Age profile'!C$2:C$61)</f>
        <v/>
      </c>
      <c r="E57" s="44">
        <f>SUMPRODUCT('Sign-ups by age'!BE$2:BE$61,'Age profile'!M$2:M$61)</f>
        <v/>
      </c>
      <c r="F57" s="44">
        <f>SUMPRODUCT('Sign-ups by age'!BE$2:BE$61,'Age profile'!K$2:K$61)</f>
        <v/>
      </c>
      <c r="G57" s="44">
        <f>SUMPRODUCT('Sign-ups by age'!BE$2:BE$61,'Age profile'!L$2:L$61)</f>
        <v/>
      </c>
      <c r="H57" s="11">
        <f>IF(C57&gt;0,1-F57/C57,0)</f>
        <v/>
      </c>
      <c r="I57" s="11">
        <f>IF(C57&gt;0,MAX(0,1-in_capacity*in_visit_every/C57),0)</f>
        <v/>
      </c>
      <c r="J57" s="49">
        <f>SUMPRODUCT('Sign-ups by age'!BE$2:BE$61,'Age profile'!E$2:E$61)</f>
        <v/>
      </c>
      <c r="K57" s="49">
        <f>SUMPRODUCT('Sign-ups by age'!BE$2:BE$61,'Age profile'!H$2:H$61)</f>
        <v/>
      </c>
      <c r="L57" s="44">
        <f>SUMIFS('Cohort x age'!$Q$2:$Q$1831,'Cohort x age'!$C$2:$C$1831,A57)</f>
        <v/>
      </c>
      <c r="M57" s="50">
        <f>SUMIFS('Cohort x age'!$L$2:$L$1831,'Cohort x age'!$C$2:$C$1831,A57)</f>
        <v/>
      </c>
      <c r="N57" s="50">
        <f>SUMIFS('Cohort x age'!$M$2:$M$1831,'Cohort x age'!$C$2:$C$1831,A57)</f>
        <v/>
      </c>
      <c r="O57" s="50">
        <f>SUMIFS('Cohort x age'!$N$2:$N$1831,'Cohort x age'!$C$2:$C$1831,A57)</f>
        <v/>
      </c>
      <c r="P57" s="50">
        <f>SUMIFS('Cohort x age'!$T$2:$T$1831,'Cohort x age'!$C$2:$C$1831,A57)</f>
        <v/>
      </c>
      <c r="Q57" s="49">
        <f>SUMIFS('Cohort x age'!$U$2:$U$1831,'Cohort x age'!$C$2:$C$1831,A57)</f>
        <v/>
      </c>
      <c r="R57" s="49">
        <f>SUMIFS('Cohort x age'!$V$2:$V$1831,'Cohort x age'!$C$2:$C$1831,A57)</f>
        <v/>
      </c>
      <c r="S57" s="44">
        <f>SUMIFS('Cohort x age'!$P$2:$P$1831,'Cohort x age'!$C$2:$C$1831,A57)</f>
        <v/>
      </c>
      <c r="T57" s="44">
        <f>SUMIFS('Cohort x age'!$R$2:$R$1831,'Cohort x age'!$C$2:$C$1831,A57)</f>
        <v/>
      </c>
      <c r="U57" s="50">
        <f>SUMIFS('Cohort x age'!$X$2:$X$1831,'Cohort x age'!$C$2:$C$1831,A57)</f>
        <v/>
      </c>
      <c r="V57" s="50">
        <f>SUMIFS('Cohort x age'!$Y$2:$Y$1831,'Cohort x age'!$C$2:$C$1831,A57)</f>
        <v/>
      </c>
      <c r="W57" s="50">
        <f>SUMIFS('Cohort x age'!$Z$2:$Z$1831,'Cohort x age'!$C$2:$C$1831,A57)</f>
        <v/>
      </c>
      <c r="X57" s="49">
        <f>SUMPRODUCT('Sign-ups by age'!BE$2:BE$61,'Age profile'!Q$2:Q$61)</f>
        <v/>
      </c>
      <c r="Y57" s="49">
        <f>SUMIFS('Cohort x age'!$AA$2:$AA$1831,'Cohort x age'!$C$2:$C$1831,A57)</f>
        <v/>
      </c>
      <c r="Z57" s="49">
        <f>SUMIFS('Cohort x age'!$AB$2:$AB$1831,'Cohort x age'!$C$2:$C$1831,A57)</f>
        <v/>
      </c>
      <c r="AA57" s="49">
        <f>SUMIFS('Cohort x age'!$AC$2:$AC$1831,'Cohort x age'!$C$2:$C$1831,A57)</f>
        <v/>
      </c>
      <c r="AB57" s="49">
        <f>SUMIFS('Cohort x age'!$AD$2:$AD$1831,'Cohort x age'!$C$2:$C$1831,A57)</f>
        <v/>
      </c>
      <c r="AC57" s="49">
        <f>SUMIFS('Cohort x age'!$AG$2:$AG$1831,'Cohort x age'!$C$2:$C$1831,A57)</f>
        <v/>
      </c>
      <c r="AD57" s="49">
        <f>SUMIFS('Cohort x age'!$AJ$2:$AJ$1831,'Cohort x age'!$C$2:$C$1831,A57)</f>
        <v/>
      </c>
      <c r="AE57" s="49">
        <f>SUMIFS('Cohort x age'!$AM$2:$AM$1831,'Cohort x age'!$C$2:$C$1831,A57)</f>
        <v/>
      </c>
      <c r="AF57" s="49">
        <f>SUMIFS('Cohort x age'!$AP$2:$AP$1831,'Cohort x age'!$C$2:$C$1831,A57)</f>
        <v/>
      </c>
      <c r="AG57" s="49">
        <f>SUMIFS('Cohort x age'!$AS$2:$AS$1831,'Cohort x age'!$C$2:$C$1831,A57)</f>
        <v/>
      </c>
      <c r="AH57" s="49">
        <f>SUMIFS('Cohort x age'!$AU$2:$AU$1831,'Cohort x age'!$C$2:$C$1831,A57)</f>
        <v/>
      </c>
      <c r="AI57" s="49">
        <f>SUMIFS('Cohort x age'!$AX$2:$AX$1831,'Cohort x age'!$C$2:$C$1831,A57)</f>
        <v/>
      </c>
      <c r="AJ57" s="49">
        <f>SUMIFS('Cohort x age'!$BB$2:$BB$1831,'Cohort x age'!$C$2:$C$1831,A57)</f>
        <v/>
      </c>
      <c r="AK57" s="49">
        <f>SUMIFS('Cohort x age'!$BE$2:$BE$1831,'Cohort x age'!$C$2:$C$1831,A57)</f>
        <v/>
      </c>
      <c r="AL57" s="49">
        <f>SUMIFS('Cohort x age'!$BG$2:$BG$1831,'Cohort x age'!$C$2:$C$1831,A57)</f>
        <v/>
      </c>
      <c r="AM57" s="49">
        <f>SUMIFS('Cohort x age'!$BJ$2:$BJ$1831,'Cohort x age'!$C$2:$C$1831,A57)</f>
        <v/>
      </c>
      <c r="AN57" s="49">
        <f>SUMIFS('Cohort x age'!$BL$2:$BL$1831,'Cohort x age'!$C$2:$C$1831,A57)</f>
        <v/>
      </c>
      <c r="AO57" s="49">
        <f>SUMIFS('Cohort x age'!$BO$2:$BO$1831,'Cohort x age'!$C$2:$C$1831,A57)</f>
        <v/>
      </c>
      <c r="AP57" s="49">
        <f>SUMIFS('Cohort x age'!$BR$2:$BR$1831,'Cohort x age'!$C$2:$C$1831,A57)</f>
        <v/>
      </c>
      <c r="AQ57" s="49">
        <f>SUMIFS('Cohort x age'!$BT$2:$BT$1831,'Cohort x age'!$C$2:$C$1831,A57)</f>
        <v/>
      </c>
      <c r="AR57" s="49">
        <f>SUMIFS('Cohort x age'!$BV$2:$BV$1831,'Cohort x age'!$C$2:$C$1831,A57)</f>
        <v/>
      </c>
      <c r="AS57" s="49">
        <f>SUMIFS('Cohort x age'!$BX$2:$BX$1831,'Cohort x age'!$C$2:$C$1831,A57)</f>
        <v/>
      </c>
      <c r="AT57" s="49">
        <f>SUMIFS('Cohort x age'!$CA$2:$CA$1831,'Cohort x age'!$C$2:$C$1831,A57)</f>
        <v/>
      </c>
      <c r="AU57" s="49">
        <f>SUMIFS('Cohort x age'!$CD$2:$CD$1831,'Cohort x age'!$C$2:$C$1831,A57)</f>
        <v/>
      </c>
      <c r="AV57" s="9">
        <f>SUM(X57:AS57)</f>
        <v/>
      </c>
      <c r="AW57" s="9">
        <f>in_salary</f>
        <v/>
      </c>
      <c r="AX57" s="9">
        <f>MAX(0,G57-in_capacity)*in_extra_capacity_cost/in_helper_visits</f>
        <v/>
      </c>
      <c r="AY57" s="49">
        <f>SUMPRODUCT('Sign-ups by age'!BE$2:BE$61,'Age profile'!R$2:R$61)</f>
        <v/>
      </c>
      <c r="AZ57" s="49">
        <f>SUMPRODUCT('Sign-ups by age'!BE$2:BE$61,'Age profile'!S$2:S$61)</f>
        <v/>
      </c>
      <c r="BA57" s="9">
        <f>in_cash_cover</f>
        <v/>
      </c>
      <c r="BB57" s="9">
        <f>IF(A57&lt;=in_growth_months,in_agent_balance_pay,in_agent_pay_after)/12*K57</f>
        <v/>
      </c>
      <c r="BC57" s="9">
        <f>AW57+AX57+AY57+AZ57+BA57+BB57</f>
        <v/>
      </c>
      <c r="BD57" s="9">
        <f>AV57-BC57</f>
        <v/>
      </c>
      <c r="BE57" s="40">
        <f>1/(1+d_dm)^A57</f>
        <v/>
      </c>
      <c r="BF57" s="9">
        <f>BD57*BE57</f>
        <v/>
      </c>
      <c r="BG57" s="9">
        <f>IF(A57=1,BF57,BG56+BF57)</f>
        <v/>
      </c>
      <c r="BH57" s="9">
        <f>IF(A57=1,BD57,BH56+BD57)</f>
        <v/>
      </c>
      <c r="BI57" s="39">
        <f>IF(AND(BH57&gt;=0,BI58=1),1,0)</f>
        <v/>
      </c>
      <c r="BJ57" s="39">
        <f>IF(BI57=1,A57,999)</f>
        <v/>
      </c>
      <c r="BK57" s="40">
        <f>1/(1+d_dm20)^A57</f>
        <v/>
      </c>
    </row>
    <row r="58">
      <c r="A58" s="39" t="n">
        <v>57</v>
      </c>
      <c r="B58" s="48">
        <f>MIN(in_signup_cap,in_signups_run*IF(in_ramp_months&gt;0,MIN(1,0.5+0.5*(A58-1)/in_ramp_months),1)*(1+in_signup_growth)^INT((A58-1)/12))</f>
        <v/>
      </c>
      <c r="C58" s="44">
        <f>SUMPRODUCT('Sign-ups by age'!BF$2:BF$61,'Age profile'!B$2:B$61)</f>
        <v/>
      </c>
      <c r="D58" s="44">
        <f>SUMPRODUCT('Sign-ups by age'!BF$2:BF$61,'Age profile'!C$2:C$61)</f>
        <v/>
      </c>
      <c r="E58" s="44">
        <f>SUMPRODUCT('Sign-ups by age'!BF$2:BF$61,'Age profile'!M$2:M$61)</f>
        <v/>
      </c>
      <c r="F58" s="44">
        <f>SUMPRODUCT('Sign-ups by age'!BF$2:BF$61,'Age profile'!K$2:K$61)</f>
        <v/>
      </c>
      <c r="G58" s="44">
        <f>SUMPRODUCT('Sign-ups by age'!BF$2:BF$61,'Age profile'!L$2:L$61)</f>
        <v/>
      </c>
      <c r="H58" s="11">
        <f>IF(C58&gt;0,1-F58/C58,0)</f>
        <v/>
      </c>
      <c r="I58" s="11">
        <f>IF(C58&gt;0,MAX(0,1-in_capacity*in_visit_every/C58),0)</f>
        <v/>
      </c>
      <c r="J58" s="49">
        <f>SUMPRODUCT('Sign-ups by age'!BF$2:BF$61,'Age profile'!E$2:E$61)</f>
        <v/>
      </c>
      <c r="K58" s="49">
        <f>SUMPRODUCT('Sign-ups by age'!BF$2:BF$61,'Age profile'!H$2:H$61)</f>
        <v/>
      </c>
      <c r="L58" s="44">
        <f>SUMIFS('Cohort x age'!$Q$2:$Q$1831,'Cohort x age'!$C$2:$C$1831,A58)</f>
        <v/>
      </c>
      <c r="M58" s="50">
        <f>SUMIFS('Cohort x age'!$L$2:$L$1831,'Cohort x age'!$C$2:$C$1831,A58)</f>
        <v/>
      </c>
      <c r="N58" s="50">
        <f>SUMIFS('Cohort x age'!$M$2:$M$1831,'Cohort x age'!$C$2:$C$1831,A58)</f>
        <v/>
      </c>
      <c r="O58" s="50">
        <f>SUMIFS('Cohort x age'!$N$2:$N$1831,'Cohort x age'!$C$2:$C$1831,A58)</f>
        <v/>
      </c>
      <c r="P58" s="50">
        <f>SUMIFS('Cohort x age'!$T$2:$T$1831,'Cohort x age'!$C$2:$C$1831,A58)</f>
        <v/>
      </c>
      <c r="Q58" s="49">
        <f>SUMIFS('Cohort x age'!$U$2:$U$1831,'Cohort x age'!$C$2:$C$1831,A58)</f>
        <v/>
      </c>
      <c r="R58" s="49">
        <f>SUMIFS('Cohort x age'!$V$2:$V$1831,'Cohort x age'!$C$2:$C$1831,A58)</f>
        <v/>
      </c>
      <c r="S58" s="44">
        <f>SUMIFS('Cohort x age'!$P$2:$P$1831,'Cohort x age'!$C$2:$C$1831,A58)</f>
        <v/>
      </c>
      <c r="T58" s="44">
        <f>SUMIFS('Cohort x age'!$R$2:$R$1831,'Cohort x age'!$C$2:$C$1831,A58)</f>
        <v/>
      </c>
      <c r="U58" s="50">
        <f>SUMIFS('Cohort x age'!$X$2:$X$1831,'Cohort x age'!$C$2:$C$1831,A58)</f>
        <v/>
      </c>
      <c r="V58" s="50">
        <f>SUMIFS('Cohort x age'!$Y$2:$Y$1831,'Cohort x age'!$C$2:$C$1831,A58)</f>
        <v/>
      </c>
      <c r="W58" s="50">
        <f>SUMIFS('Cohort x age'!$Z$2:$Z$1831,'Cohort x age'!$C$2:$C$1831,A58)</f>
        <v/>
      </c>
      <c r="X58" s="49">
        <f>SUMPRODUCT('Sign-ups by age'!BF$2:BF$61,'Age profile'!Q$2:Q$61)</f>
        <v/>
      </c>
      <c r="Y58" s="49">
        <f>SUMIFS('Cohort x age'!$AA$2:$AA$1831,'Cohort x age'!$C$2:$C$1831,A58)</f>
        <v/>
      </c>
      <c r="Z58" s="49">
        <f>SUMIFS('Cohort x age'!$AB$2:$AB$1831,'Cohort x age'!$C$2:$C$1831,A58)</f>
        <v/>
      </c>
      <c r="AA58" s="49">
        <f>SUMIFS('Cohort x age'!$AC$2:$AC$1831,'Cohort x age'!$C$2:$C$1831,A58)</f>
        <v/>
      </c>
      <c r="AB58" s="49">
        <f>SUMIFS('Cohort x age'!$AD$2:$AD$1831,'Cohort x age'!$C$2:$C$1831,A58)</f>
        <v/>
      </c>
      <c r="AC58" s="49">
        <f>SUMIFS('Cohort x age'!$AG$2:$AG$1831,'Cohort x age'!$C$2:$C$1831,A58)</f>
        <v/>
      </c>
      <c r="AD58" s="49">
        <f>SUMIFS('Cohort x age'!$AJ$2:$AJ$1831,'Cohort x age'!$C$2:$C$1831,A58)</f>
        <v/>
      </c>
      <c r="AE58" s="49">
        <f>SUMIFS('Cohort x age'!$AM$2:$AM$1831,'Cohort x age'!$C$2:$C$1831,A58)</f>
        <v/>
      </c>
      <c r="AF58" s="49">
        <f>SUMIFS('Cohort x age'!$AP$2:$AP$1831,'Cohort x age'!$C$2:$C$1831,A58)</f>
        <v/>
      </c>
      <c r="AG58" s="49">
        <f>SUMIFS('Cohort x age'!$AS$2:$AS$1831,'Cohort x age'!$C$2:$C$1831,A58)</f>
        <v/>
      </c>
      <c r="AH58" s="49">
        <f>SUMIFS('Cohort x age'!$AU$2:$AU$1831,'Cohort x age'!$C$2:$C$1831,A58)</f>
        <v/>
      </c>
      <c r="AI58" s="49">
        <f>SUMIFS('Cohort x age'!$AX$2:$AX$1831,'Cohort x age'!$C$2:$C$1831,A58)</f>
        <v/>
      </c>
      <c r="AJ58" s="49">
        <f>SUMIFS('Cohort x age'!$BB$2:$BB$1831,'Cohort x age'!$C$2:$C$1831,A58)</f>
        <v/>
      </c>
      <c r="AK58" s="49">
        <f>SUMIFS('Cohort x age'!$BE$2:$BE$1831,'Cohort x age'!$C$2:$C$1831,A58)</f>
        <v/>
      </c>
      <c r="AL58" s="49">
        <f>SUMIFS('Cohort x age'!$BG$2:$BG$1831,'Cohort x age'!$C$2:$C$1831,A58)</f>
        <v/>
      </c>
      <c r="AM58" s="49">
        <f>SUMIFS('Cohort x age'!$BJ$2:$BJ$1831,'Cohort x age'!$C$2:$C$1831,A58)</f>
        <v/>
      </c>
      <c r="AN58" s="49">
        <f>SUMIFS('Cohort x age'!$BL$2:$BL$1831,'Cohort x age'!$C$2:$C$1831,A58)</f>
        <v/>
      </c>
      <c r="AO58" s="49">
        <f>SUMIFS('Cohort x age'!$BO$2:$BO$1831,'Cohort x age'!$C$2:$C$1831,A58)</f>
        <v/>
      </c>
      <c r="AP58" s="49">
        <f>SUMIFS('Cohort x age'!$BR$2:$BR$1831,'Cohort x age'!$C$2:$C$1831,A58)</f>
        <v/>
      </c>
      <c r="AQ58" s="49">
        <f>SUMIFS('Cohort x age'!$BT$2:$BT$1831,'Cohort x age'!$C$2:$C$1831,A58)</f>
        <v/>
      </c>
      <c r="AR58" s="49">
        <f>SUMIFS('Cohort x age'!$BV$2:$BV$1831,'Cohort x age'!$C$2:$C$1831,A58)</f>
        <v/>
      </c>
      <c r="AS58" s="49">
        <f>SUMIFS('Cohort x age'!$BX$2:$BX$1831,'Cohort x age'!$C$2:$C$1831,A58)</f>
        <v/>
      </c>
      <c r="AT58" s="49">
        <f>SUMIFS('Cohort x age'!$CA$2:$CA$1831,'Cohort x age'!$C$2:$C$1831,A58)</f>
        <v/>
      </c>
      <c r="AU58" s="49">
        <f>SUMIFS('Cohort x age'!$CD$2:$CD$1831,'Cohort x age'!$C$2:$C$1831,A58)</f>
        <v/>
      </c>
      <c r="AV58" s="9">
        <f>SUM(X58:AS58)</f>
        <v/>
      </c>
      <c r="AW58" s="9">
        <f>in_salary</f>
        <v/>
      </c>
      <c r="AX58" s="9">
        <f>MAX(0,G58-in_capacity)*in_extra_capacity_cost/in_helper_visits</f>
        <v/>
      </c>
      <c r="AY58" s="49">
        <f>SUMPRODUCT('Sign-ups by age'!BF$2:BF$61,'Age profile'!R$2:R$61)</f>
        <v/>
      </c>
      <c r="AZ58" s="49">
        <f>SUMPRODUCT('Sign-ups by age'!BF$2:BF$61,'Age profile'!S$2:S$61)</f>
        <v/>
      </c>
      <c r="BA58" s="9">
        <f>in_cash_cover</f>
        <v/>
      </c>
      <c r="BB58" s="9">
        <f>IF(A58&lt;=in_growth_months,in_agent_balance_pay,in_agent_pay_after)/12*K58</f>
        <v/>
      </c>
      <c r="BC58" s="9">
        <f>AW58+AX58+AY58+AZ58+BA58+BB58</f>
        <v/>
      </c>
      <c r="BD58" s="9">
        <f>AV58-BC58</f>
        <v/>
      </c>
      <c r="BE58" s="40">
        <f>1/(1+d_dm)^A58</f>
        <v/>
      </c>
      <c r="BF58" s="9">
        <f>BD58*BE58</f>
        <v/>
      </c>
      <c r="BG58" s="9">
        <f>IF(A58=1,BF58,BG57+BF58)</f>
        <v/>
      </c>
      <c r="BH58" s="9">
        <f>IF(A58=1,BD58,BH57+BD58)</f>
        <v/>
      </c>
      <c r="BI58" s="39">
        <f>IF(AND(BH58&gt;=0,BI59=1),1,0)</f>
        <v/>
      </c>
      <c r="BJ58" s="39">
        <f>IF(BI58=1,A58,999)</f>
        <v/>
      </c>
      <c r="BK58" s="40">
        <f>1/(1+d_dm20)^A58</f>
        <v/>
      </c>
    </row>
    <row r="59">
      <c r="A59" s="39" t="n">
        <v>58</v>
      </c>
      <c r="B59" s="48">
        <f>MIN(in_signup_cap,in_signups_run*IF(in_ramp_months&gt;0,MIN(1,0.5+0.5*(A59-1)/in_ramp_months),1)*(1+in_signup_growth)^INT((A59-1)/12))</f>
        <v/>
      </c>
      <c r="C59" s="44">
        <f>SUMPRODUCT('Sign-ups by age'!BG$2:BG$61,'Age profile'!B$2:B$61)</f>
        <v/>
      </c>
      <c r="D59" s="44">
        <f>SUMPRODUCT('Sign-ups by age'!BG$2:BG$61,'Age profile'!C$2:C$61)</f>
        <v/>
      </c>
      <c r="E59" s="44">
        <f>SUMPRODUCT('Sign-ups by age'!BG$2:BG$61,'Age profile'!M$2:M$61)</f>
        <v/>
      </c>
      <c r="F59" s="44">
        <f>SUMPRODUCT('Sign-ups by age'!BG$2:BG$61,'Age profile'!K$2:K$61)</f>
        <v/>
      </c>
      <c r="G59" s="44">
        <f>SUMPRODUCT('Sign-ups by age'!BG$2:BG$61,'Age profile'!L$2:L$61)</f>
        <v/>
      </c>
      <c r="H59" s="11">
        <f>IF(C59&gt;0,1-F59/C59,0)</f>
        <v/>
      </c>
      <c r="I59" s="11">
        <f>IF(C59&gt;0,MAX(0,1-in_capacity*in_visit_every/C59),0)</f>
        <v/>
      </c>
      <c r="J59" s="49">
        <f>SUMPRODUCT('Sign-ups by age'!BG$2:BG$61,'Age profile'!E$2:E$61)</f>
        <v/>
      </c>
      <c r="K59" s="49">
        <f>SUMPRODUCT('Sign-ups by age'!BG$2:BG$61,'Age profile'!H$2:H$61)</f>
        <v/>
      </c>
      <c r="L59" s="44">
        <f>SUMIFS('Cohort x age'!$Q$2:$Q$1831,'Cohort x age'!$C$2:$C$1831,A59)</f>
        <v/>
      </c>
      <c r="M59" s="50">
        <f>SUMIFS('Cohort x age'!$L$2:$L$1831,'Cohort x age'!$C$2:$C$1831,A59)</f>
        <v/>
      </c>
      <c r="N59" s="50">
        <f>SUMIFS('Cohort x age'!$M$2:$M$1831,'Cohort x age'!$C$2:$C$1831,A59)</f>
        <v/>
      </c>
      <c r="O59" s="50">
        <f>SUMIFS('Cohort x age'!$N$2:$N$1831,'Cohort x age'!$C$2:$C$1831,A59)</f>
        <v/>
      </c>
      <c r="P59" s="50">
        <f>SUMIFS('Cohort x age'!$T$2:$T$1831,'Cohort x age'!$C$2:$C$1831,A59)</f>
        <v/>
      </c>
      <c r="Q59" s="49">
        <f>SUMIFS('Cohort x age'!$U$2:$U$1831,'Cohort x age'!$C$2:$C$1831,A59)</f>
        <v/>
      </c>
      <c r="R59" s="49">
        <f>SUMIFS('Cohort x age'!$V$2:$V$1831,'Cohort x age'!$C$2:$C$1831,A59)</f>
        <v/>
      </c>
      <c r="S59" s="44">
        <f>SUMIFS('Cohort x age'!$P$2:$P$1831,'Cohort x age'!$C$2:$C$1831,A59)</f>
        <v/>
      </c>
      <c r="T59" s="44">
        <f>SUMIFS('Cohort x age'!$R$2:$R$1831,'Cohort x age'!$C$2:$C$1831,A59)</f>
        <v/>
      </c>
      <c r="U59" s="50">
        <f>SUMIFS('Cohort x age'!$X$2:$X$1831,'Cohort x age'!$C$2:$C$1831,A59)</f>
        <v/>
      </c>
      <c r="V59" s="50">
        <f>SUMIFS('Cohort x age'!$Y$2:$Y$1831,'Cohort x age'!$C$2:$C$1831,A59)</f>
        <v/>
      </c>
      <c r="W59" s="50">
        <f>SUMIFS('Cohort x age'!$Z$2:$Z$1831,'Cohort x age'!$C$2:$C$1831,A59)</f>
        <v/>
      </c>
      <c r="X59" s="49">
        <f>SUMPRODUCT('Sign-ups by age'!BG$2:BG$61,'Age profile'!Q$2:Q$61)</f>
        <v/>
      </c>
      <c r="Y59" s="49">
        <f>SUMIFS('Cohort x age'!$AA$2:$AA$1831,'Cohort x age'!$C$2:$C$1831,A59)</f>
        <v/>
      </c>
      <c r="Z59" s="49">
        <f>SUMIFS('Cohort x age'!$AB$2:$AB$1831,'Cohort x age'!$C$2:$C$1831,A59)</f>
        <v/>
      </c>
      <c r="AA59" s="49">
        <f>SUMIFS('Cohort x age'!$AC$2:$AC$1831,'Cohort x age'!$C$2:$C$1831,A59)</f>
        <v/>
      </c>
      <c r="AB59" s="49">
        <f>SUMIFS('Cohort x age'!$AD$2:$AD$1831,'Cohort x age'!$C$2:$C$1831,A59)</f>
        <v/>
      </c>
      <c r="AC59" s="49">
        <f>SUMIFS('Cohort x age'!$AG$2:$AG$1831,'Cohort x age'!$C$2:$C$1831,A59)</f>
        <v/>
      </c>
      <c r="AD59" s="49">
        <f>SUMIFS('Cohort x age'!$AJ$2:$AJ$1831,'Cohort x age'!$C$2:$C$1831,A59)</f>
        <v/>
      </c>
      <c r="AE59" s="49">
        <f>SUMIFS('Cohort x age'!$AM$2:$AM$1831,'Cohort x age'!$C$2:$C$1831,A59)</f>
        <v/>
      </c>
      <c r="AF59" s="49">
        <f>SUMIFS('Cohort x age'!$AP$2:$AP$1831,'Cohort x age'!$C$2:$C$1831,A59)</f>
        <v/>
      </c>
      <c r="AG59" s="49">
        <f>SUMIFS('Cohort x age'!$AS$2:$AS$1831,'Cohort x age'!$C$2:$C$1831,A59)</f>
        <v/>
      </c>
      <c r="AH59" s="49">
        <f>SUMIFS('Cohort x age'!$AU$2:$AU$1831,'Cohort x age'!$C$2:$C$1831,A59)</f>
        <v/>
      </c>
      <c r="AI59" s="49">
        <f>SUMIFS('Cohort x age'!$AX$2:$AX$1831,'Cohort x age'!$C$2:$C$1831,A59)</f>
        <v/>
      </c>
      <c r="AJ59" s="49">
        <f>SUMIFS('Cohort x age'!$BB$2:$BB$1831,'Cohort x age'!$C$2:$C$1831,A59)</f>
        <v/>
      </c>
      <c r="AK59" s="49">
        <f>SUMIFS('Cohort x age'!$BE$2:$BE$1831,'Cohort x age'!$C$2:$C$1831,A59)</f>
        <v/>
      </c>
      <c r="AL59" s="49">
        <f>SUMIFS('Cohort x age'!$BG$2:$BG$1831,'Cohort x age'!$C$2:$C$1831,A59)</f>
        <v/>
      </c>
      <c r="AM59" s="49">
        <f>SUMIFS('Cohort x age'!$BJ$2:$BJ$1831,'Cohort x age'!$C$2:$C$1831,A59)</f>
        <v/>
      </c>
      <c r="AN59" s="49">
        <f>SUMIFS('Cohort x age'!$BL$2:$BL$1831,'Cohort x age'!$C$2:$C$1831,A59)</f>
        <v/>
      </c>
      <c r="AO59" s="49">
        <f>SUMIFS('Cohort x age'!$BO$2:$BO$1831,'Cohort x age'!$C$2:$C$1831,A59)</f>
        <v/>
      </c>
      <c r="AP59" s="49">
        <f>SUMIFS('Cohort x age'!$BR$2:$BR$1831,'Cohort x age'!$C$2:$C$1831,A59)</f>
        <v/>
      </c>
      <c r="AQ59" s="49">
        <f>SUMIFS('Cohort x age'!$BT$2:$BT$1831,'Cohort x age'!$C$2:$C$1831,A59)</f>
        <v/>
      </c>
      <c r="AR59" s="49">
        <f>SUMIFS('Cohort x age'!$BV$2:$BV$1831,'Cohort x age'!$C$2:$C$1831,A59)</f>
        <v/>
      </c>
      <c r="AS59" s="49">
        <f>SUMIFS('Cohort x age'!$BX$2:$BX$1831,'Cohort x age'!$C$2:$C$1831,A59)</f>
        <v/>
      </c>
      <c r="AT59" s="49">
        <f>SUMIFS('Cohort x age'!$CA$2:$CA$1831,'Cohort x age'!$C$2:$C$1831,A59)</f>
        <v/>
      </c>
      <c r="AU59" s="49">
        <f>SUMIFS('Cohort x age'!$CD$2:$CD$1831,'Cohort x age'!$C$2:$C$1831,A59)</f>
        <v/>
      </c>
      <c r="AV59" s="9">
        <f>SUM(X59:AS59)</f>
        <v/>
      </c>
      <c r="AW59" s="9">
        <f>in_salary</f>
        <v/>
      </c>
      <c r="AX59" s="9">
        <f>MAX(0,G59-in_capacity)*in_extra_capacity_cost/in_helper_visits</f>
        <v/>
      </c>
      <c r="AY59" s="49">
        <f>SUMPRODUCT('Sign-ups by age'!BG$2:BG$61,'Age profile'!R$2:R$61)</f>
        <v/>
      </c>
      <c r="AZ59" s="49">
        <f>SUMPRODUCT('Sign-ups by age'!BG$2:BG$61,'Age profile'!S$2:S$61)</f>
        <v/>
      </c>
      <c r="BA59" s="9">
        <f>in_cash_cover</f>
        <v/>
      </c>
      <c r="BB59" s="9">
        <f>IF(A59&lt;=in_growth_months,in_agent_balance_pay,in_agent_pay_after)/12*K59</f>
        <v/>
      </c>
      <c r="BC59" s="9">
        <f>AW59+AX59+AY59+AZ59+BA59+BB59</f>
        <v/>
      </c>
      <c r="BD59" s="9">
        <f>AV59-BC59</f>
        <v/>
      </c>
      <c r="BE59" s="40">
        <f>1/(1+d_dm)^A59</f>
        <v/>
      </c>
      <c r="BF59" s="9">
        <f>BD59*BE59</f>
        <v/>
      </c>
      <c r="BG59" s="9">
        <f>IF(A59=1,BF59,BG58+BF59)</f>
        <v/>
      </c>
      <c r="BH59" s="9">
        <f>IF(A59=1,BD59,BH58+BD59)</f>
        <v/>
      </c>
      <c r="BI59" s="39">
        <f>IF(AND(BH59&gt;=0,BI60=1),1,0)</f>
        <v/>
      </c>
      <c r="BJ59" s="39">
        <f>IF(BI59=1,A59,999)</f>
        <v/>
      </c>
      <c r="BK59" s="40">
        <f>1/(1+d_dm20)^A59</f>
        <v/>
      </c>
    </row>
    <row r="60">
      <c r="A60" s="39" t="n">
        <v>59</v>
      </c>
      <c r="B60" s="48">
        <f>MIN(in_signup_cap,in_signups_run*IF(in_ramp_months&gt;0,MIN(1,0.5+0.5*(A60-1)/in_ramp_months),1)*(1+in_signup_growth)^INT((A60-1)/12))</f>
        <v/>
      </c>
      <c r="C60" s="44">
        <f>SUMPRODUCT('Sign-ups by age'!BH$2:BH$61,'Age profile'!B$2:B$61)</f>
        <v/>
      </c>
      <c r="D60" s="44">
        <f>SUMPRODUCT('Sign-ups by age'!BH$2:BH$61,'Age profile'!C$2:C$61)</f>
        <v/>
      </c>
      <c r="E60" s="44">
        <f>SUMPRODUCT('Sign-ups by age'!BH$2:BH$61,'Age profile'!M$2:M$61)</f>
        <v/>
      </c>
      <c r="F60" s="44">
        <f>SUMPRODUCT('Sign-ups by age'!BH$2:BH$61,'Age profile'!K$2:K$61)</f>
        <v/>
      </c>
      <c r="G60" s="44">
        <f>SUMPRODUCT('Sign-ups by age'!BH$2:BH$61,'Age profile'!L$2:L$61)</f>
        <v/>
      </c>
      <c r="H60" s="11">
        <f>IF(C60&gt;0,1-F60/C60,0)</f>
        <v/>
      </c>
      <c r="I60" s="11">
        <f>IF(C60&gt;0,MAX(0,1-in_capacity*in_visit_every/C60),0)</f>
        <v/>
      </c>
      <c r="J60" s="49">
        <f>SUMPRODUCT('Sign-ups by age'!BH$2:BH$61,'Age profile'!E$2:E$61)</f>
        <v/>
      </c>
      <c r="K60" s="49">
        <f>SUMPRODUCT('Sign-ups by age'!BH$2:BH$61,'Age profile'!H$2:H$61)</f>
        <v/>
      </c>
      <c r="L60" s="44">
        <f>SUMIFS('Cohort x age'!$Q$2:$Q$1831,'Cohort x age'!$C$2:$C$1831,A60)</f>
        <v/>
      </c>
      <c r="M60" s="50">
        <f>SUMIFS('Cohort x age'!$L$2:$L$1831,'Cohort x age'!$C$2:$C$1831,A60)</f>
        <v/>
      </c>
      <c r="N60" s="50">
        <f>SUMIFS('Cohort x age'!$M$2:$M$1831,'Cohort x age'!$C$2:$C$1831,A60)</f>
        <v/>
      </c>
      <c r="O60" s="50">
        <f>SUMIFS('Cohort x age'!$N$2:$N$1831,'Cohort x age'!$C$2:$C$1831,A60)</f>
        <v/>
      </c>
      <c r="P60" s="50">
        <f>SUMIFS('Cohort x age'!$T$2:$T$1831,'Cohort x age'!$C$2:$C$1831,A60)</f>
        <v/>
      </c>
      <c r="Q60" s="49">
        <f>SUMIFS('Cohort x age'!$U$2:$U$1831,'Cohort x age'!$C$2:$C$1831,A60)</f>
        <v/>
      </c>
      <c r="R60" s="49">
        <f>SUMIFS('Cohort x age'!$V$2:$V$1831,'Cohort x age'!$C$2:$C$1831,A60)</f>
        <v/>
      </c>
      <c r="S60" s="44">
        <f>SUMIFS('Cohort x age'!$P$2:$P$1831,'Cohort x age'!$C$2:$C$1831,A60)</f>
        <v/>
      </c>
      <c r="T60" s="44">
        <f>SUMIFS('Cohort x age'!$R$2:$R$1831,'Cohort x age'!$C$2:$C$1831,A60)</f>
        <v/>
      </c>
      <c r="U60" s="50">
        <f>SUMIFS('Cohort x age'!$X$2:$X$1831,'Cohort x age'!$C$2:$C$1831,A60)</f>
        <v/>
      </c>
      <c r="V60" s="50">
        <f>SUMIFS('Cohort x age'!$Y$2:$Y$1831,'Cohort x age'!$C$2:$C$1831,A60)</f>
        <v/>
      </c>
      <c r="W60" s="50">
        <f>SUMIFS('Cohort x age'!$Z$2:$Z$1831,'Cohort x age'!$C$2:$C$1831,A60)</f>
        <v/>
      </c>
      <c r="X60" s="49">
        <f>SUMPRODUCT('Sign-ups by age'!BH$2:BH$61,'Age profile'!Q$2:Q$61)</f>
        <v/>
      </c>
      <c r="Y60" s="49">
        <f>SUMIFS('Cohort x age'!$AA$2:$AA$1831,'Cohort x age'!$C$2:$C$1831,A60)</f>
        <v/>
      </c>
      <c r="Z60" s="49">
        <f>SUMIFS('Cohort x age'!$AB$2:$AB$1831,'Cohort x age'!$C$2:$C$1831,A60)</f>
        <v/>
      </c>
      <c r="AA60" s="49">
        <f>SUMIFS('Cohort x age'!$AC$2:$AC$1831,'Cohort x age'!$C$2:$C$1831,A60)</f>
        <v/>
      </c>
      <c r="AB60" s="49">
        <f>SUMIFS('Cohort x age'!$AD$2:$AD$1831,'Cohort x age'!$C$2:$C$1831,A60)</f>
        <v/>
      </c>
      <c r="AC60" s="49">
        <f>SUMIFS('Cohort x age'!$AG$2:$AG$1831,'Cohort x age'!$C$2:$C$1831,A60)</f>
        <v/>
      </c>
      <c r="AD60" s="49">
        <f>SUMIFS('Cohort x age'!$AJ$2:$AJ$1831,'Cohort x age'!$C$2:$C$1831,A60)</f>
        <v/>
      </c>
      <c r="AE60" s="49">
        <f>SUMIFS('Cohort x age'!$AM$2:$AM$1831,'Cohort x age'!$C$2:$C$1831,A60)</f>
        <v/>
      </c>
      <c r="AF60" s="49">
        <f>SUMIFS('Cohort x age'!$AP$2:$AP$1831,'Cohort x age'!$C$2:$C$1831,A60)</f>
        <v/>
      </c>
      <c r="AG60" s="49">
        <f>SUMIFS('Cohort x age'!$AS$2:$AS$1831,'Cohort x age'!$C$2:$C$1831,A60)</f>
        <v/>
      </c>
      <c r="AH60" s="49">
        <f>SUMIFS('Cohort x age'!$AU$2:$AU$1831,'Cohort x age'!$C$2:$C$1831,A60)</f>
        <v/>
      </c>
      <c r="AI60" s="49">
        <f>SUMIFS('Cohort x age'!$AX$2:$AX$1831,'Cohort x age'!$C$2:$C$1831,A60)</f>
        <v/>
      </c>
      <c r="AJ60" s="49">
        <f>SUMIFS('Cohort x age'!$BB$2:$BB$1831,'Cohort x age'!$C$2:$C$1831,A60)</f>
        <v/>
      </c>
      <c r="AK60" s="49">
        <f>SUMIFS('Cohort x age'!$BE$2:$BE$1831,'Cohort x age'!$C$2:$C$1831,A60)</f>
        <v/>
      </c>
      <c r="AL60" s="49">
        <f>SUMIFS('Cohort x age'!$BG$2:$BG$1831,'Cohort x age'!$C$2:$C$1831,A60)</f>
        <v/>
      </c>
      <c r="AM60" s="49">
        <f>SUMIFS('Cohort x age'!$BJ$2:$BJ$1831,'Cohort x age'!$C$2:$C$1831,A60)</f>
        <v/>
      </c>
      <c r="AN60" s="49">
        <f>SUMIFS('Cohort x age'!$BL$2:$BL$1831,'Cohort x age'!$C$2:$C$1831,A60)</f>
        <v/>
      </c>
      <c r="AO60" s="49">
        <f>SUMIFS('Cohort x age'!$BO$2:$BO$1831,'Cohort x age'!$C$2:$C$1831,A60)</f>
        <v/>
      </c>
      <c r="AP60" s="49">
        <f>SUMIFS('Cohort x age'!$BR$2:$BR$1831,'Cohort x age'!$C$2:$C$1831,A60)</f>
        <v/>
      </c>
      <c r="AQ60" s="49">
        <f>SUMIFS('Cohort x age'!$BT$2:$BT$1831,'Cohort x age'!$C$2:$C$1831,A60)</f>
        <v/>
      </c>
      <c r="AR60" s="49">
        <f>SUMIFS('Cohort x age'!$BV$2:$BV$1831,'Cohort x age'!$C$2:$C$1831,A60)</f>
        <v/>
      </c>
      <c r="AS60" s="49">
        <f>SUMIFS('Cohort x age'!$BX$2:$BX$1831,'Cohort x age'!$C$2:$C$1831,A60)</f>
        <v/>
      </c>
      <c r="AT60" s="49">
        <f>SUMIFS('Cohort x age'!$CA$2:$CA$1831,'Cohort x age'!$C$2:$C$1831,A60)</f>
        <v/>
      </c>
      <c r="AU60" s="49">
        <f>SUMIFS('Cohort x age'!$CD$2:$CD$1831,'Cohort x age'!$C$2:$C$1831,A60)</f>
        <v/>
      </c>
      <c r="AV60" s="9">
        <f>SUM(X60:AS60)</f>
        <v/>
      </c>
      <c r="AW60" s="9">
        <f>in_salary</f>
        <v/>
      </c>
      <c r="AX60" s="9">
        <f>MAX(0,G60-in_capacity)*in_extra_capacity_cost/in_helper_visits</f>
        <v/>
      </c>
      <c r="AY60" s="49">
        <f>SUMPRODUCT('Sign-ups by age'!BH$2:BH$61,'Age profile'!R$2:R$61)</f>
        <v/>
      </c>
      <c r="AZ60" s="49">
        <f>SUMPRODUCT('Sign-ups by age'!BH$2:BH$61,'Age profile'!S$2:S$61)</f>
        <v/>
      </c>
      <c r="BA60" s="9">
        <f>in_cash_cover</f>
        <v/>
      </c>
      <c r="BB60" s="9">
        <f>IF(A60&lt;=in_growth_months,in_agent_balance_pay,in_agent_pay_after)/12*K60</f>
        <v/>
      </c>
      <c r="BC60" s="9">
        <f>AW60+AX60+AY60+AZ60+BA60+BB60</f>
        <v/>
      </c>
      <c r="BD60" s="9">
        <f>AV60-BC60</f>
        <v/>
      </c>
      <c r="BE60" s="40">
        <f>1/(1+d_dm)^A60</f>
        <v/>
      </c>
      <c r="BF60" s="9">
        <f>BD60*BE60</f>
        <v/>
      </c>
      <c r="BG60" s="9">
        <f>IF(A60=1,BF60,BG59+BF60)</f>
        <v/>
      </c>
      <c r="BH60" s="9">
        <f>IF(A60=1,BD60,BH59+BD60)</f>
        <v/>
      </c>
      <c r="BI60" s="39">
        <f>IF(AND(BH60&gt;=0,BI61=1),1,0)</f>
        <v/>
      </c>
      <c r="BJ60" s="39">
        <f>IF(BI60=1,A60,999)</f>
        <v/>
      </c>
      <c r="BK60" s="40">
        <f>1/(1+d_dm20)^A60</f>
        <v/>
      </c>
    </row>
    <row r="61">
      <c r="A61" s="39" t="n">
        <v>60</v>
      </c>
      <c r="B61" s="48">
        <f>MIN(in_signup_cap,in_signups_run*IF(in_ramp_months&gt;0,MIN(1,0.5+0.5*(A61-1)/in_ramp_months),1)*(1+in_signup_growth)^INT((A61-1)/12))</f>
        <v/>
      </c>
      <c r="C61" s="44">
        <f>SUMPRODUCT('Sign-ups by age'!BI$2:BI$61,'Age profile'!B$2:B$61)</f>
        <v/>
      </c>
      <c r="D61" s="44">
        <f>SUMPRODUCT('Sign-ups by age'!BI$2:BI$61,'Age profile'!C$2:C$61)</f>
        <v/>
      </c>
      <c r="E61" s="44">
        <f>SUMPRODUCT('Sign-ups by age'!BI$2:BI$61,'Age profile'!M$2:M$61)</f>
        <v/>
      </c>
      <c r="F61" s="44">
        <f>SUMPRODUCT('Sign-ups by age'!BI$2:BI$61,'Age profile'!K$2:K$61)</f>
        <v/>
      </c>
      <c r="G61" s="44">
        <f>SUMPRODUCT('Sign-ups by age'!BI$2:BI$61,'Age profile'!L$2:L$61)</f>
        <v/>
      </c>
      <c r="H61" s="11">
        <f>IF(C61&gt;0,1-F61/C61,0)</f>
        <v/>
      </c>
      <c r="I61" s="11">
        <f>IF(C61&gt;0,MAX(0,1-in_capacity*in_visit_every/C61),0)</f>
        <v/>
      </c>
      <c r="J61" s="49">
        <f>SUMPRODUCT('Sign-ups by age'!BI$2:BI$61,'Age profile'!E$2:E$61)</f>
        <v/>
      </c>
      <c r="K61" s="49">
        <f>SUMPRODUCT('Sign-ups by age'!BI$2:BI$61,'Age profile'!H$2:H$61)</f>
        <v/>
      </c>
      <c r="L61" s="44">
        <f>SUMIFS('Cohort x age'!$Q$2:$Q$1831,'Cohort x age'!$C$2:$C$1831,A61)</f>
        <v/>
      </c>
      <c r="M61" s="50">
        <f>SUMIFS('Cohort x age'!$L$2:$L$1831,'Cohort x age'!$C$2:$C$1831,A61)</f>
        <v/>
      </c>
      <c r="N61" s="50">
        <f>SUMIFS('Cohort x age'!$M$2:$M$1831,'Cohort x age'!$C$2:$C$1831,A61)</f>
        <v/>
      </c>
      <c r="O61" s="50">
        <f>SUMIFS('Cohort x age'!$N$2:$N$1831,'Cohort x age'!$C$2:$C$1831,A61)</f>
        <v/>
      </c>
      <c r="P61" s="50">
        <f>SUMIFS('Cohort x age'!$T$2:$T$1831,'Cohort x age'!$C$2:$C$1831,A61)</f>
        <v/>
      </c>
      <c r="Q61" s="49">
        <f>SUMIFS('Cohort x age'!$U$2:$U$1831,'Cohort x age'!$C$2:$C$1831,A61)</f>
        <v/>
      </c>
      <c r="R61" s="49">
        <f>SUMIFS('Cohort x age'!$V$2:$V$1831,'Cohort x age'!$C$2:$C$1831,A61)</f>
        <v/>
      </c>
      <c r="S61" s="44">
        <f>SUMIFS('Cohort x age'!$P$2:$P$1831,'Cohort x age'!$C$2:$C$1831,A61)</f>
        <v/>
      </c>
      <c r="T61" s="44">
        <f>SUMIFS('Cohort x age'!$R$2:$R$1831,'Cohort x age'!$C$2:$C$1831,A61)</f>
        <v/>
      </c>
      <c r="U61" s="50">
        <f>SUMIFS('Cohort x age'!$X$2:$X$1831,'Cohort x age'!$C$2:$C$1831,A61)</f>
        <v/>
      </c>
      <c r="V61" s="50">
        <f>SUMIFS('Cohort x age'!$Y$2:$Y$1831,'Cohort x age'!$C$2:$C$1831,A61)</f>
        <v/>
      </c>
      <c r="W61" s="50">
        <f>SUMIFS('Cohort x age'!$Z$2:$Z$1831,'Cohort x age'!$C$2:$C$1831,A61)</f>
        <v/>
      </c>
      <c r="X61" s="49">
        <f>SUMPRODUCT('Sign-ups by age'!BI$2:BI$61,'Age profile'!Q$2:Q$61)</f>
        <v/>
      </c>
      <c r="Y61" s="49">
        <f>SUMIFS('Cohort x age'!$AA$2:$AA$1831,'Cohort x age'!$C$2:$C$1831,A61)</f>
        <v/>
      </c>
      <c r="Z61" s="49">
        <f>SUMIFS('Cohort x age'!$AB$2:$AB$1831,'Cohort x age'!$C$2:$C$1831,A61)</f>
        <v/>
      </c>
      <c r="AA61" s="49">
        <f>SUMIFS('Cohort x age'!$AC$2:$AC$1831,'Cohort x age'!$C$2:$C$1831,A61)</f>
        <v/>
      </c>
      <c r="AB61" s="49">
        <f>SUMIFS('Cohort x age'!$AD$2:$AD$1831,'Cohort x age'!$C$2:$C$1831,A61)</f>
        <v/>
      </c>
      <c r="AC61" s="49">
        <f>SUMIFS('Cohort x age'!$AG$2:$AG$1831,'Cohort x age'!$C$2:$C$1831,A61)</f>
        <v/>
      </c>
      <c r="AD61" s="49">
        <f>SUMIFS('Cohort x age'!$AJ$2:$AJ$1831,'Cohort x age'!$C$2:$C$1831,A61)</f>
        <v/>
      </c>
      <c r="AE61" s="49">
        <f>SUMIFS('Cohort x age'!$AM$2:$AM$1831,'Cohort x age'!$C$2:$C$1831,A61)</f>
        <v/>
      </c>
      <c r="AF61" s="49">
        <f>SUMIFS('Cohort x age'!$AP$2:$AP$1831,'Cohort x age'!$C$2:$C$1831,A61)</f>
        <v/>
      </c>
      <c r="AG61" s="49">
        <f>SUMIFS('Cohort x age'!$AS$2:$AS$1831,'Cohort x age'!$C$2:$C$1831,A61)</f>
        <v/>
      </c>
      <c r="AH61" s="49">
        <f>SUMIFS('Cohort x age'!$AU$2:$AU$1831,'Cohort x age'!$C$2:$C$1831,A61)</f>
        <v/>
      </c>
      <c r="AI61" s="49">
        <f>SUMIFS('Cohort x age'!$AX$2:$AX$1831,'Cohort x age'!$C$2:$C$1831,A61)</f>
        <v/>
      </c>
      <c r="AJ61" s="49">
        <f>SUMIFS('Cohort x age'!$BB$2:$BB$1831,'Cohort x age'!$C$2:$C$1831,A61)</f>
        <v/>
      </c>
      <c r="AK61" s="49">
        <f>SUMIFS('Cohort x age'!$BE$2:$BE$1831,'Cohort x age'!$C$2:$C$1831,A61)</f>
        <v/>
      </c>
      <c r="AL61" s="49">
        <f>SUMIFS('Cohort x age'!$BG$2:$BG$1831,'Cohort x age'!$C$2:$C$1831,A61)</f>
        <v/>
      </c>
      <c r="AM61" s="49">
        <f>SUMIFS('Cohort x age'!$BJ$2:$BJ$1831,'Cohort x age'!$C$2:$C$1831,A61)</f>
        <v/>
      </c>
      <c r="AN61" s="49">
        <f>SUMIFS('Cohort x age'!$BL$2:$BL$1831,'Cohort x age'!$C$2:$C$1831,A61)</f>
        <v/>
      </c>
      <c r="AO61" s="49">
        <f>SUMIFS('Cohort x age'!$BO$2:$BO$1831,'Cohort x age'!$C$2:$C$1831,A61)</f>
        <v/>
      </c>
      <c r="AP61" s="49">
        <f>SUMIFS('Cohort x age'!$BR$2:$BR$1831,'Cohort x age'!$C$2:$C$1831,A61)</f>
        <v/>
      </c>
      <c r="AQ61" s="49">
        <f>SUMIFS('Cohort x age'!$BT$2:$BT$1831,'Cohort x age'!$C$2:$C$1831,A61)</f>
        <v/>
      </c>
      <c r="AR61" s="49">
        <f>SUMIFS('Cohort x age'!$BV$2:$BV$1831,'Cohort x age'!$C$2:$C$1831,A61)</f>
        <v/>
      </c>
      <c r="AS61" s="49">
        <f>SUMIFS('Cohort x age'!$BX$2:$BX$1831,'Cohort x age'!$C$2:$C$1831,A61)</f>
        <v/>
      </c>
      <c r="AT61" s="49">
        <f>SUMIFS('Cohort x age'!$CA$2:$CA$1831,'Cohort x age'!$C$2:$C$1831,A61)</f>
        <v/>
      </c>
      <c r="AU61" s="49">
        <f>SUMIFS('Cohort x age'!$CD$2:$CD$1831,'Cohort x age'!$C$2:$C$1831,A61)</f>
        <v/>
      </c>
      <c r="AV61" s="9">
        <f>SUM(X61:AS61)</f>
        <v/>
      </c>
      <c r="AW61" s="9">
        <f>in_salary</f>
        <v/>
      </c>
      <c r="AX61" s="9">
        <f>MAX(0,G61-in_capacity)*in_extra_capacity_cost/in_helper_visits</f>
        <v/>
      </c>
      <c r="AY61" s="49">
        <f>SUMPRODUCT('Sign-ups by age'!BI$2:BI$61,'Age profile'!R$2:R$61)</f>
        <v/>
      </c>
      <c r="AZ61" s="49">
        <f>SUMPRODUCT('Sign-ups by age'!BI$2:BI$61,'Age profile'!S$2:S$61)</f>
        <v/>
      </c>
      <c r="BA61" s="9">
        <f>in_cash_cover</f>
        <v/>
      </c>
      <c r="BB61" s="9">
        <f>IF(A61&lt;=in_growth_months,in_agent_balance_pay,in_agent_pay_after)/12*K61</f>
        <v/>
      </c>
      <c r="BC61" s="9">
        <f>AW61+AX61+AY61+AZ61+BA61+BB61</f>
        <v/>
      </c>
      <c r="BD61" s="9">
        <f>AV61-BC61</f>
        <v/>
      </c>
      <c r="BE61" s="40">
        <f>1/(1+d_dm)^A61</f>
        <v/>
      </c>
      <c r="BF61" s="9">
        <f>BD61*BE61</f>
        <v/>
      </c>
      <c r="BG61" s="9">
        <f>IF(A61=1,BF61,BG60+BF61)</f>
        <v/>
      </c>
      <c r="BH61" s="9">
        <f>IF(A61=1,BD61,BH60+BD61)</f>
        <v/>
      </c>
      <c r="BI61" s="39">
        <f>IF(BH61&gt;=0,1,0)</f>
        <v/>
      </c>
      <c r="BJ61" s="39">
        <f>IF(BI61=1,A61,999)</f>
        <v/>
      </c>
      <c r="BK61" s="40">
        <f>1/(1+d_dm20)^A61</f>
        <v/>
      </c>
    </row>
    <row r="62">
      <c r="A62" s="3" t="inlineStr">
        <is>
          <t>Total</t>
        </is>
      </c>
      <c r="B62" s="51">
        <f>SUM(B2:B61)</f>
        <v/>
      </c>
      <c r="D62" s="51">
        <f>SUM(D2:D61)</f>
        <v/>
      </c>
      <c r="J62" s="7">
        <f>SUM(J2:J61)</f>
        <v/>
      </c>
      <c r="L62" s="51">
        <f>SUM(L2:L61)</f>
        <v/>
      </c>
      <c r="M62" s="52">
        <f>SUM(M2:M61)</f>
        <v/>
      </c>
      <c r="N62" s="52">
        <f>SUM(N2:N61)</f>
        <v/>
      </c>
      <c r="O62" s="52">
        <f>SUM(O2:O61)</f>
        <v/>
      </c>
      <c r="P62" s="52">
        <f>SUM(P2:P61)</f>
        <v/>
      </c>
      <c r="Q62" s="7">
        <f>SUM(Q2:Q61)</f>
        <v/>
      </c>
      <c r="R62" s="7">
        <f>SUM(R2:R61)</f>
        <v/>
      </c>
      <c r="U62" s="52">
        <f>SUM(U2:U61)</f>
        <v/>
      </c>
      <c r="V62" s="52">
        <f>SUM(V2:V61)</f>
        <v/>
      </c>
      <c r="W62" s="52">
        <f>SUM(W2:W61)</f>
        <v/>
      </c>
      <c r="X62" s="7">
        <f>SUM(X2:X61)</f>
        <v/>
      </c>
      <c r="Y62" s="7">
        <f>SUM(Y2:Y61)</f>
        <v/>
      </c>
      <c r="Z62" s="7">
        <f>SUM(Z2:Z61)</f>
        <v/>
      </c>
      <c r="AA62" s="7">
        <f>SUM(AA2:AA61)</f>
        <v/>
      </c>
      <c r="AB62" s="7">
        <f>SUM(AB2:AB61)</f>
        <v/>
      </c>
      <c r="AC62" s="7">
        <f>SUM(AC2:AC61)</f>
        <v/>
      </c>
      <c r="AD62" s="7">
        <f>SUM(AD2:AD61)</f>
        <v/>
      </c>
      <c r="AE62" s="7">
        <f>SUM(AE2:AE61)</f>
        <v/>
      </c>
      <c r="AF62" s="7">
        <f>SUM(AF2:AF61)</f>
        <v/>
      </c>
      <c r="AG62" s="7">
        <f>SUM(AG2:AG61)</f>
        <v/>
      </c>
      <c r="AH62" s="7">
        <f>SUM(AH2:AH61)</f>
        <v/>
      </c>
      <c r="AI62" s="7">
        <f>SUM(AI2:AI61)</f>
        <v/>
      </c>
      <c r="AJ62" s="7">
        <f>SUM(AJ2:AJ61)</f>
        <v/>
      </c>
      <c r="AK62" s="7">
        <f>SUM(AK2:AK61)</f>
        <v/>
      </c>
      <c r="AL62" s="7">
        <f>SUM(AL2:AL61)</f>
        <v/>
      </c>
      <c r="AM62" s="7">
        <f>SUM(AM2:AM61)</f>
        <v/>
      </c>
      <c r="AN62" s="7">
        <f>SUM(AN2:AN61)</f>
        <v/>
      </c>
      <c r="AO62" s="7">
        <f>SUM(AO2:AO61)</f>
        <v/>
      </c>
      <c r="AP62" s="7">
        <f>SUM(AP2:AP61)</f>
        <v/>
      </c>
      <c r="AQ62" s="7">
        <f>SUM(AQ2:AQ61)</f>
        <v/>
      </c>
      <c r="AR62" s="7">
        <f>SUM(AR2:AR61)</f>
        <v/>
      </c>
      <c r="AS62" s="7">
        <f>SUM(AS2:AS61)</f>
        <v/>
      </c>
      <c r="AT62" s="7">
        <f>SUM(AT2:AT61)</f>
        <v/>
      </c>
      <c r="AU62" s="7">
        <f>SUM(AU2:AU61)</f>
        <v/>
      </c>
      <c r="AV62" s="7">
        <f>SUM(AV2:AV61)</f>
        <v/>
      </c>
      <c r="AW62" s="7">
        <f>SUM(AW2:AW61)</f>
        <v/>
      </c>
      <c r="AX62" s="7">
        <f>SUM(AX2:AX61)</f>
        <v/>
      </c>
      <c r="AY62" s="7">
        <f>SUM(AY2:AY61)</f>
        <v/>
      </c>
      <c r="AZ62" s="7">
        <f>SUM(AZ2:AZ61)</f>
        <v/>
      </c>
      <c r="BA62" s="7">
        <f>SUM(BA2:BA61)</f>
        <v/>
      </c>
      <c r="BB62" s="7">
        <f>SUM(BB2:BB61)</f>
        <v/>
      </c>
      <c r="BC62" s="7">
        <f>SUM(BC2:BC61)</f>
        <v/>
      </c>
      <c r="BD62" s="7">
        <f>SUM(BD2:BD61)</f>
        <v/>
      </c>
      <c r="BF62" s="7">
        <f>SUM(BF2:BF61)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I65"/>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6" customWidth="1" min="52" max="52"/>
    <col width="6" customWidth="1" min="53" max="53"/>
    <col width="6" customWidth="1" min="54" max="54"/>
    <col width="6" customWidth="1" min="55" max="55"/>
    <col width="6" customWidth="1" min="56" max="56"/>
    <col width="6" customWidth="1" min="57" max="57"/>
    <col width="6" customWidth="1" min="58" max="58"/>
    <col width="6" customWidth="1" min="59" max="59"/>
    <col width="6" customWidth="1" min="60" max="60"/>
    <col width="6" customWidth="1" min="61" max="61"/>
  </cols>
  <sheetData>
    <row r="1">
      <c r="A1" s="6" t="inlineStr">
        <is>
          <t>Sign-up month \ calendar month</t>
        </is>
      </c>
      <c r="B1" s="6" t="n">
        <v>1</v>
      </c>
      <c r="C1" s="6" t="n">
        <v>2</v>
      </c>
      <c r="D1" s="6" t="n">
        <v>3</v>
      </c>
      <c r="E1" s="6" t="n">
        <v>4</v>
      </c>
      <c r="F1" s="6" t="n">
        <v>5</v>
      </c>
      <c r="G1" s="6" t="n">
        <v>6</v>
      </c>
      <c r="H1" s="6" t="n">
        <v>7</v>
      </c>
      <c r="I1" s="6" t="n">
        <v>8</v>
      </c>
      <c r="J1" s="6" t="n">
        <v>9</v>
      </c>
      <c r="K1" s="6" t="n">
        <v>10</v>
      </c>
      <c r="L1" s="6" t="n">
        <v>11</v>
      </c>
      <c r="M1" s="6" t="n">
        <v>12</v>
      </c>
      <c r="N1" s="6" t="n">
        <v>13</v>
      </c>
      <c r="O1" s="6" t="n">
        <v>14</v>
      </c>
      <c r="P1" s="6" t="n">
        <v>15</v>
      </c>
      <c r="Q1" s="6" t="n">
        <v>16</v>
      </c>
      <c r="R1" s="6" t="n">
        <v>17</v>
      </c>
      <c r="S1" s="6" t="n">
        <v>18</v>
      </c>
      <c r="T1" s="6" t="n">
        <v>19</v>
      </c>
      <c r="U1" s="6" t="n">
        <v>20</v>
      </c>
      <c r="V1" s="6" t="n">
        <v>21</v>
      </c>
      <c r="W1" s="6" t="n">
        <v>22</v>
      </c>
      <c r="X1" s="6" t="n">
        <v>23</v>
      </c>
      <c r="Y1" s="6" t="n">
        <v>24</v>
      </c>
      <c r="Z1" s="6" t="n">
        <v>25</v>
      </c>
      <c r="AA1" s="6" t="n">
        <v>26</v>
      </c>
      <c r="AB1" s="6" t="n">
        <v>27</v>
      </c>
      <c r="AC1" s="6" t="n">
        <v>28</v>
      </c>
      <c r="AD1" s="6" t="n">
        <v>29</v>
      </c>
      <c r="AE1" s="6" t="n">
        <v>30</v>
      </c>
      <c r="AF1" s="6" t="n">
        <v>31</v>
      </c>
      <c r="AG1" s="6" t="n">
        <v>32</v>
      </c>
      <c r="AH1" s="6" t="n">
        <v>33</v>
      </c>
      <c r="AI1" s="6" t="n">
        <v>34</v>
      </c>
      <c r="AJ1" s="6" t="n">
        <v>35</v>
      </c>
      <c r="AK1" s="6" t="n">
        <v>36</v>
      </c>
      <c r="AL1" s="6" t="n">
        <v>37</v>
      </c>
      <c r="AM1" s="6" t="n">
        <v>38</v>
      </c>
      <c r="AN1" s="6" t="n">
        <v>39</v>
      </c>
      <c r="AO1" s="6" t="n">
        <v>40</v>
      </c>
      <c r="AP1" s="6" t="n">
        <v>41</v>
      </c>
      <c r="AQ1" s="6" t="n">
        <v>42</v>
      </c>
      <c r="AR1" s="6" t="n">
        <v>43</v>
      </c>
      <c r="AS1" s="6" t="n">
        <v>44</v>
      </c>
      <c r="AT1" s="6" t="n">
        <v>45</v>
      </c>
      <c r="AU1" s="6" t="n">
        <v>46</v>
      </c>
      <c r="AV1" s="6" t="n">
        <v>47</v>
      </c>
      <c r="AW1" s="6" t="n">
        <v>48</v>
      </c>
      <c r="AX1" s="6" t="n">
        <v>49</v>
      </c>
      <c r="AY1" s="6" t="n">
        <v>50</v>
      </c>
      <c r="AZ1" s="6" t="n">
        <v>51</v>
      </c>
      <c r="BA1" s="6" t="n">
        <v>52</v>
      </c>
      <c r="BB1" s="6" t="n">
        <v>53</v>
      </c>
      <c r="BC1" s="6" t="n">
        <v>54</v>
      </c>
      <c r="BD1" s="6" t="n">
        <v>55</v>
      </c>
      <c r="BE1" s="6" t="n">
        <v>56</v>
      </c>
      <c r="BF1" s="6" t="n">
        <v>57</v>
      </c>
      <c r="BG1" s="6" t="n">
        <v>58</v>
      </c>
      <c r="BH1" s="6" t="n">
        <v>59</v>
      </c>
      <c r="BI1" s="6" t="n">
        <v>60</v>
      </c>
    </row>
    <row r="2">
      <c r="A2" s="3" t="n">
        <v>1</v>
      </c>
      <c r="B2" s="53">
        <f>IF(B$1&gt;=$A2,INDEX(Monthly!$B$2:$B$61,$A2)*INDEX('Age profile'!$B$2:$B$61,B$1-$A2+1),"")</f>
        <v/>
      </c>
      <c r="C2" s="53">
        <f>IF(C$1&gt;=$A2,INDEX(Monthly!$B$2:$B$61,$A2)*INDEX('Age profile'!$B$2:$B$61,C$1-$A2+1),"")</f>
        <v/>
      </c>
      <c r="D2" s="53">
        <f>IF(D$1&gt;=$A2,INDEX(Monthly!$B$2:$B$61,$A2)*INDEX('Age profile'!$B$2:$B$61,D$1-$A2+1),"")</f>
        <v/>
      </c>
      <c r="E2" s="53">
        <f>IF(E$1&gt;=$A2,INDEX(Monthly!$B$2:$B$61,$A2)*INDEX('Age profile'!$B$2:$B$61,E$1-$A2+1),"")</f>
        <v/>
      </c>
      <c r="F2" s="53">
        <f>IF(F$1&gt;=$A2,INDEX(Monthly!$B$2:$B$61,$A2)*INDEX('Age profile'!$B$2:$B$61,F$1-$A2+1),"")</f>
        <v/>
      </c>
      <c r="G2" s="53">
        <f>IF(G$1&gt;=$A2,INDEX(Monthly!$B$2:$B$61,$A2)*INDEX('Age profile'!$B$2:$B$61,G$1-$A2+1),"")</f>
        <v/>
      </c>
      <c r="H2" s="53">
        <f>IF(H$1&gt;=$A2,INDEX(Monthly!$B$2:$B$61,$A2)*INDEX('Age profile'!$B$2:$B$61,H$1-$A2+1),"")</f>
        <v/>
      </c>
      <c r="I2" s="53">
        <f>IF(I$1&gt;=$A2,INDEX(Monthly!$B$2:$B$61,$A2)*INDEX('Age profile'!$B$2:$B$61,I$1-$A2+1),"")</f>
        <v/>
      </c>
      <c r="J2" s="53">
        <f>IF(J$1&gt;=$A2,INDEX(Monthly!$B$2:$B$61,$A2)*INDEX('Age profile'!$B$2:$B$61,J$1-$A2+1),"")</f>
        <v/>
      </c>
      <c r="K2" s="53">
        <f>IF(K$1&gt;=$A2,INDEX(Monthly!$B$2:$B$61,$A2)*INDEX('Age profile'!$B$2:$B$61,K$1-$A2+1),"")</f>
        <v/>
      </c>
      <c r="L2" s="53">
        <f>IF(L$1&gt;=$A2,INDEX(Monthly!$B$2:$B$61,$A2)*INDEX('Age profile'!$B$2:$B$61,L$1-$A2+1),"")</f>
        <v/>
      </c>
      <c r="M2" s="53">
        <f>IF(M$1&gt;=$A2,INDEX(Monthly!$B$2:$B$61,$A2)*INDEX('Age profile'!$B$2:$B$61,M$1-$A2+1),"")</f>
        <v/>
      </c>
      <c r="N2" s="53">
        <f>IF(N$1&gt;=$A2,INDEX(Monthly!$B$2:$B$61,$A2)*INDEX('Age profile'!$B$2:$B$61,N$1-$A2+1),"")</f>
        <v/>
      </c>
      <c r="O2" s="53">
        <f>IF(O$1&gt;=$A2,INDEX(Monthly!$B$2:$B$61,$A2)*INDEX('Age profile'!$B$2:$B$61,O$1-$A2+1),"")</f>
        <v/>
      </c>
      <c r="P2" s="53">
        <f>IF(P$1&gt;=$A2,INDEX(Monthly!$B$2:$B$61,$A2)*INDEX('Age profile'!$B$2:$B$61,P$1-$A2+1),"")</f>
        <v/>
      </c>
      <c r="Q2" s="53">
        <f>IF(Q$1&gt;=$A2,INDEX(Monthly!$B$2:$B$61,$A2)*INDEX('Age profile'!$B$2:$B$61,Q$1-$A2+1),"")</f>
        <v/>
      </c>
      <c r="R2" s="53">
        <f>IF(R$1&gt;=$A2,INDEX(Monthly!$B$2:$B$61,$A2)*INDEX('Age profile'!$B$2:$B$61,R$1-$A2+1),"")</f>
        <v/>
      </c>
      <c r="S2" s="53">
        <f>IF(S$1&gt;=$A2,INDEX(Monthly!$B$2:$B$61,$A2)*INDEX('Age profile'!$B$2:$B$61,S$1-$A2+1),"")</f>
        <v/>
      </c>
      <c r="T2" s="53">
        <f>IF(T$1&gt;=$A2,INDEX(Monthly!$B$2:$B$61,$A2)*INDEX('Age profile'!$B$2:$B$61,T$1-$A2+1),"")</f>
        <v/>
      </c>
      <c r="U2" s="53">
        <f>IF(U$1&gt;=$A2,INDEX(Monthly!$B$2:$B$61,$A2)*INDEX('Age profile'!$B$2:$B$61,U$1-$A2+1),"")</f>
        <v/>
      </c>
      <c r="V2" s="53">
        <f>IF(V$1&gt;=$A2,INDEX(Monthly!$B$2:$B$61,$A2)*INDEX('Age profile'!$B$2:$B$61,V$1-$A2+1),"")</f>
        <v/>
      </c>
      <c r="W2" s="53">
        <f>IF(W$1&gt;=$A2,INDEX(Monthly!$B$2:$B$61,$A2)*INDEX('Age profile'!$B$2:$B$61,W$1-$A2+1),"")</f>
        <v/>
      </c>
      <c r="X2" s="53">
        <f>IF(X$1&gt;=$A2,INDEX(Monthly!$B$2:$B$61,$A2)*INDEX('Age profile'!$B$2:$B$61,X$1-$A2+1),"")</f>
        <v/>
      </c>
      <c r="Y2" s="53">
        <f>IF(Y$1&gt;=$A2,INDEX(Monthly!$B$2:$B$61,$A2)*INDEX('Age profile'!$B$2:$B$61,Y$1-$A2+1),"")</f>
        <v/>
      </c>
      <c r="Z2" s="53">
        <f>IF(Z$1&gt;=$A2,INDEX(Monthly!$B$2:$B$61,$A2)*INDEX('Age profile'!$B$2:$B$61,Z$1-$A2+1),"")</f>
        <v/>
      </c>
      <c r="AA2" s="53">
        <f>IF(AA$1&gt;=$A2,INDEX(Monthly!$B$2:$B$61,$A2)*INDEX('Age profile'!$B$2:$B$61,AA$1-$A2+1),"")</f>
        <v/>
      </c>
      <c r="AB2" s="53">
        <f>IF(AB$1&gt;=$A2,INDEX(Monthly!$B$2:$B$61,$A2)*INDEX('Age profile'!$B$2:$B$61,AB$1-$A2+1),"")</f>
        <v/>
      </c>
      <c r="AC2" s="53">
        <f>IF(AC$1&gt;=$A2,INDEX(Monthly!$B$2:$B$61,$A2)*INDEX('Age profile'!$B$2:$B$61,AC$1-$A2+1),"")</f>
        <v/>
      </c>
      <c r="AD2" s="53">
        <f>IF(AD$1&gt;=$A2,INDEX(Monthly!$B$2:$B$61,$A2)*INDEX('Age profile'!$B$2:$B$61,AD$1-$A2+1),"")</f>
        <v/>
      </c>
      <c r="AE2" s="53">
        <f>IF(AE$1&gt;=$A2,INDEX(Monthly!$B$2:$B$61,$A2)*INDEX('Age profile'!$B$2:$B$61,AE$1-$A2+1),"")</f>
        <v/>
      </c>
      <c r="AF2" s="53">
        <f>IF(AF$1&gt;=$A2,INDEX(Monthly!$B$2:$B$61,$A2)*INDEX('Age profile'!$B$2:$B$61,AF$1-$A2+1),"")</f>
        <v/>
      </c>
      <c r="AG2" s="53">
        <f>IF(AG$1&gt;=$A2,INDEX(Monthly!$B$2:$B$61,$A2)*INDEX('Age profile'!$B$2:$B$61,AG$1-$A2+1),"")</f>
        <v/>
      </c>
      <c r="AH2" s="53">
        <f>IF(AH$1&gt;=$A2,INDEX(Monthly!$B$2:$B$61,$A2)*INDEX('Age profile'!$B$2:$B$61,AH$1-$A2+1),"")</f>
        <v/>
      </c>
      <c r="AI2" s="53">
        <f>IF(AI$1&gt;=$A2,INDEX(Monthly!$B$2:$B$61,$A2)*INDEX('Age profile'!$B$2:$B$61,AI$1-$A2+1),"")</f>
        <v/>
      </c>
      <c r="AJ2" s="53">
        <f>IF(AJ$1&gt;=$A2,INDEX(Monthly!$B$2:$B$61,$A2)*INDEX('Age profile'!$B$2:$B$61,AJ$1-$A2+1),"")</f>
        <v/>
      </c>
      <c r="AK2" s="53">
        <f>IF(AK$1&gt;=$A2,INDEX(Monthly!$B$2:$B$61,$A2)*INDEX('Age profile'!$B$2:$B$61,AK$1-$A2+1),"")</f>
        <v/>
      </c>
      <c r="AL2" s="53">
        <f>IF(AL$1&gt;=$A2,INDEX(Monthly!$B$2:$B$61,$A2)*INDEX('Age profile'!$B$2:$B$61,AL$1-$A2+1),"")</f>
        <v/>
      </c>
      <c r="AM2" s="53">
        <f>IF(AM$1&gt;=$A2,INDEX(Monthly!$B$2:$B$61,$A2)*INDEX('Age profile'!$B$2:$B$61,AM$1-$A2+1),"")</f>
        <v/>
      </c>
      <c r="AN2" s="53">
        <f>IF(AN$1&gt;=$A2,INDEX(Monthly!$B$2:$B$61,$A2)*INDEX('Age profile'!$B$2:$B$61,AN$1-$A2+1),"")</f>
        <v/>
      </c>
      <c r="AO2" s="53">
        <f>IF(AO$1&gt;=$A2,INDEX(Monthly!$B$2:$B$61,$A2)*INDEX('Age profile'!$B$2:$B$61,AO$1-$A2+1),"")</f>
        <v/>
      </c>
      <c r="AP2" s="53">
        <f>IF(AP$1&gt;=$A2,INDEX(Monthly!$B$2:$B$61,$A2)*INDEX('Age profile'!$B$2:$B$61,AP$1-$A2+1),"")</f>
        <v/>
      </c>
      <c r="AQ2" s="53">
        <f>IF(AQ$1&gt;=$A2,INDEX(Monthly!$B$2:$B$61,$A2)*INDEX('Age profile'!$B$2:$B$61,AQ$1-$A2+1),"")</f>
        <v/>
      </c>
      <c r="AR2" s="53">
        <f>IF(AR$1&gt;=$A2,INDEX(Monthly!$B$2:$B$61,$A2)*INDEX('Age profile'!$B$2:$B$61,AR$1-$A2+1),"")</f>
        <v/>
      </c>
      <c r="AS2" s="53">
        <f>IF(AS$1&gt;=$A2,INDEX(Monthly!$B$2:$B$61,$A2)*INDEX('Age profile'!$B$2:$B$61,AS$1-$A2+1),"")</f>
        <v/>
      </c>
      <c r="AT2" s="53">
        <f>IF(AT$1&gt;=$A2,INDEX(Monthly!$B$2:$B$61,$A2)*INDEX('Age profile'!$B$2:$B$61,AT$1-$A2+1),"")</f>
        <v/>
      </c>
      <c r="AU2" s="53">
        <f>IF(AU$1&gt;=$A2,INDEX(Monthly!$B$2:$B$61,$A2)*INDEX('Age profile'!$B$2:$B$61,AU$1-$A2+1),"")</f>
        <v/>
      </c>
      <c r="AV2" s="53">
        <f>IF(AV$1&gt;=$A2,INDEX(Monthly!$B$2:$B$61,$A2)*INDEX('Age profile'!$B$2:$B$61,AV$1-$A2+1),"")</f>
        <v/>
      </c>
      <c r="AW2" s="53">
        <f>IF(AW$1&gt;=$A2,INDEX(Monthly!$B$2:$B$61,$A2)*INDEX('Age profile'!$B$2:$B$61,AW$1-$A2+1),"")</f>
        <v/>
      </c>
      <c r="AX2" s="53">
        <f>IF(AX$1&gt;=$A2,INDEX(Monthly!$B$2:$B$61,$A2)*INDEX('Age profile'!$B$2:$B$61,AX$1-$A2+1),"")</f>
        <v/>
      </c>
      <c r="AY2" s="53">
        <f>IF(AY$1&gt;=$A2,INDEX(Monthly!$B$2:$B$61,$A2)*INDEX('Age profile'!$B$2:$B$61,AY$1-$A2+1),"")</f>
        <v/>
      </c>
      <c r="AZ2" s="53">
        <f>IF(AZ$1&gt;=$A2,INDEX(Monthly!$B$2:$B$61,$A2)*INDEX('Age profile'!$B$2:$B$61,AZ$1-$A2+1),"")</f>
        <v/>
      </c>
      <c r="BA2" s="53">
        <f>IF(BA$1&gt;=$A2,INDEX(Monthly!$B$2:$B$61,$A2)*INDEX('Age profile'!$B$2:$B$61,BA$1-$A2+1),"")</f>
        <v/>
      </c>
      <c r="BB2" s="53">
        <f>IF(BB$1&gt;=$A2,INDEX(Monthly!$B$2:$B$61,$A2)*INDEX('Age profile'!$B$2:$B$61,BB$1-$A2+1),"")</f>
        <v/>
      </c>
      <c r="BC2" s="53">
        <f>IF(BC$1&gt;=$A2,INDEX(Monthly!$B$2:$B$61,$A2)*INDEX('Age profile'!$B$2:$B$61,BC$1-$A2+1),"")</f>
        <v/>
      </c>
      <c r="BD2" s="53">
        <f>IF(BD$1&gt;=$A2,INDEX(Monthly!$B$2:$B$61,$A2)*INDEX('Age profile'!$B$2:$B$61,BD$1-$A2+1),"")</f>
        <v/>
      </c>
      <c r="BE2" s="53">
        <f>IF(BE$1&gt;=$A2,INDEX(Monthly!$B$2:$B$61,$A2)*INDEX('Age profile'!$B$2:$B$61,BE$1-$A2+1),"")</f>
        <v/>
      </c>
      <c r="BF2" s="53">
        <f>IF(BF$1&gt;=$A2,INDEX(Monthly!$B$2:$B$61,$A2)*INDEX('Age profile'!$B$2:$B$61,BF$1-$A2+1),"")</f>
        <v/>
      </c>
      <c r="BG2" s="53">
        <f>IF(BG$1&gt;=$A2,INDEX(Monthly!$B$2:$B$61,$A2)*INDEX('Age profile'!$B$2:$B$61,BG$1-$A2+1),"")</f>
        <v/>
      </c>
      <c r="BH2" s="53">
        <f>IF(BH$1&gt;=$A2,INDEX(Monthly!$B$2:$B$61,$A2)*INDEX('Age profile'!$B$2:$B$61,BH$1-$A2+1),"")</f>
        <v/>
      </c>
      <c r="BI2" s="53">
        <f>IF(BI$1&gt;=$A2,INDEX(Monthly!$B$2:$B$61,$A2)*INDEX('Age profile'!$B$2:$B$61,BI$1-$A2+1),"")</f>
        <v/>
      </c>
    </row>
    <row r="3">
      <c r="A3" s="3" t="n">
        <v>2</v>
      </c>
      <c r="B3" s="53">
        <f>IF(B$1&gt;=$A3,INDEX(Monthly!$B$2:$B$61,$A3)*INDEX('Age profile'!$B$2:$B$61,B$1-$A3+1),"")</f>
        <v/>
      </c>
      <c r="C3" s="53">
        <f>IF(C$1&gt;=$A3,INDEX(Monthly!$B$2:$B$61,$A3)*INDEX('Age profile'!$B$2:$B$61,C$1-$A3+1),"")</f>
        <v/>
      </c>
      <c r="D3" s="53">
        <f>IF(D$1&gt;=$A3,INDEX(Monthly!$B$2:$B$61,$A3)*INDEX('Age profile'!$B$2:$B$61,D$1-$A3+1),"")</f>
        <v/>
      </c>
      <c r="E3" s="53">
        <f>IF(E$1&gt;=$A3,INDEX(Monthly!$B$2:$B$61,$A3)*INDEX('Age profile'!$B$2:$B$61,E$1-$A3+1),"")</f>
        <v/>
      </c>
      <c r="F3" s="53">
        <f>IF(F$1&gt;=$A3,INDEX(Monthly!$B$2:$B$61,$A3)*INDEX('Age profile'!$B$2:$B$61,F$1-$A3+1),"")</f>
        <v/>
      </c>
      <c r="G3" s="53">
        <f>IF(G$1&gt;=$A3,INDEX(Monthly!$B$2:$B$61,$A3)*INDEX('Age profile'!$B$2:$B$61,G$1-$A3+1),"")</f>
        <v/>
      </c>
      <c r="H3" s="53">
        <f>IF(H$1&gt;=$A3,INDEX(Monthly!$B$2:$B$61,$A3)*INDEX('Age profile'!$B$2:$B$61,H$1-$A3+1),"")</f>
        <v/>
      </c>
      <c r="I3" s="53">
        <f>IF(I$1&gt;=$A3,INDEX(Monthly!$B$2:$B$61,$A3)*INDEX('Age profile'!$B$2:$B$61,I$1-$A3+1),"")</f>
        <v/>
      </c>
      <c r="J3" s="53">
        <f>IF(J$1&gt;=$A3,INDEX(Monthly!$B$2:$B$61,$A3)*INDEX('Age profile'!$B$2:$B$61,J$1-$A3+1),"")</f>
        <v/>
      </c>
      <c r="K3" s="53">
        <f>IF(K$1&gt;=$A3,INDEX(Monthly!$B$2:$B$61,$A3)*INDEX('Age profile'!$B$2:$B$61,K$1-$A3+1),"")</f>
        <v/>
      </c>
      <c r="L3" s="53">
        <f>IF(L$1&gt;=$A3,INDEX(Monthly!$B$2:$B$61,$A3)*INDEX('Age profile'!$B$2:$B$61,L$1-$A3+1),"")</f>
        <v/>
      </c>
      <c r="M3" s="53">
        <f>IF(M$1&gt;=$A3,INDEX(Monthly!$B$2:$B$61,$A3)*INDEX('Age profile'!$B$2:$B$61,M$1-$A3+1),"")</f>
        <v/>
      </c>
      <c r="N3" s="53">
        <f>IF(N$1&gt;=$A3,INDEX(Monthly!$B$2:$B$61,$A3)*INDEX('Age profile'!$B$2:$B$61,N$1-$A3+1),"")</f>
        <v/>
      </c>
      <c r="O3" s="53">
        <f>IF(O$1&gt;=$A3,INDEX(Monthly!$B$2:$B$61,$A3)*INDEX('Age profile'!$B$2:$B$61,O$1-$A3+1),"")</f>
        <v/>
      </c>
      <c r="P3" s="53">
        <f>IF(P$1&gt;=$A3,INDEX(Monthly!$B$2:$B$61,$A3)*INDEX('Age profile'!$B$2:$B$61,P$1-$A3+1),"")</f>
        <v/>
      </c>
      <c r="Q3" s="53">
        <f>IF(Q$1&gt;=$A3,INDEX(Monthly!$B$2:$B$61,$A3)*INDEX('Age profile'!$B$2:$B$61,Q$1-$A3+1),"")</f>
        <v/>
      </c>
      <c r="R3" s="53">
        <f>IF(R$1&gt;=$A3,INDEX(Monthly!$B$2:$B$61,$A3)*INDEX('Age profile'!$B$2:$B$61,R$1-$A3+1),"")</f>
        <v/>
      </c>
      <c r="S3" s="53">
        <f>IF(S$1&gt;=$A3,INDEX(Monthly!$B$2:$B$61,$A3)*INDEX('Age profile'!$B$2:$B$61,S$1-$A3+1),"")</f>
        <v/>
      </c>
      <c r="T3" s="53">
        <f>IF(T$1&gt;=$A3,INDEX(Monthly!$B$2:$B$61,$A3)*INDEX('Age profile'!$B$2:$B$61,T$1-$A3+1),"")</f>
        <v/>
      </c>
      <c r="U3" s="53">
        <f>IF(U$1&gt;=$A3,INDEX(Monthly!$B$2:$B$61,$A3)*INDEX('Age profile'!$B$2:$B$61,U$1-$A3+1),"")</f>
        <v/>
      </c>
      <c r="V3" s="53">
        <f>IF(V$1&gt;=$A3,INDEX(Monthly!$B$2:$B$61,$A3)*INDEX('Age profile'!$B$2:$B$61,V$1-$A3+1),"")</f>
        <v/>
      </c>
      <c r="W3" s="53">
        <f>IF(W$1&gt;=$A3,INDEX(Monthly!$B$2:$B$61,$A3)*INDEX('Age profile'!$B$2:$B$61,W$1-$A3+1),"")</f>
        <v/>
      </c>
      <c r="X3" s="53">
        <f>IF(X$1&gt;=$A3,INDEX(Monthly!$B$2:$B$61,$A3)*INDEX('Age profile'!$B$2:$B$61,X$1-$A3+1),"")</f>
        <v/>
      </c>
      <c r="Y3" s="53">
        <f>IF(Y$1&gt;=$A3,INDEX(Monthly!$B$2:$B$61,$A3)*INDEX('Age profile'!$B$2:$B$61,Y$1-$A3+1),"")</f>
        <v/>
      </c>
      <c r="Z3" s="53">
        <f>IF(Z$1&gt;=$A3,INDEX(Monthly!$B$2:$B$61,$A3)*INDEX('Age profile'!$B$2:$B$61,Z$1-$A3+1),"")</f>
        <v/>
      </c>
      <c r="AA3" s="53">
        <f>IF(AA$1&gt;=$A3,INDEX(Monthly!$B$2:$B$61,$A3)*INDEX('Age profile'!$B$2:$B$61,AA$1-$A3+1),"")</f>
        <v/>
      </c>
      <c r="AB3" s="53">
        <f>IF(AB$1&gt;=$A3,INDEX(Monthly!$B$2:$B$61,$A3)*INDEX('Age profile'!$B$2:$B$61,AB$1-$A3+1),"")</f>
        <v/>
      </c>
      <c r="AC3" s="53">
        <f>IF(AC$1&gt;=$A3,INDEX(Monthly!$B$2:$B$61,$A3)*INDEX('Age profile'!$B$2:$B$61,AC$1-$A3+1),"")</f>
        <v/>
      </c>
      <c r="AD3" s="53">
        <f>IF(AD$1&gt;=$A3,INDEX(Monthly!$B$2:$B$61,$A3)*INDEX('Age profile'!$B$2:$B$61,AD$1-$A3+1),"")</f>
        <v/>
      </c>
      <c r="AE3" s="53">
        <f>IF(AE$1&gt;=$A3,INDEX(Monthly!$B$2:$B$61,$A3)*INDEX('Age profile'!$B$2:$B$61,AE$1-$A3+1),"")</f>
        <v/>
      </c>
      <c r="AF3" s="53">
        <f>IF(AF$1&gt;=$A3,INDEX(Monthly!$B$2:$B$61,$A3)*INDEX('Age profile'!$B$2:$B$61,AF$1-$A3+1),"")</f>
        <v/>
      </c>
      <c r="AG3" s="53">
        <f>IF(AG$1&gt;=$A3,INDEX(Monthly!$B$2:$B$61,$A3)*INDEX('Age profile'!$B$2:$B$61,AG$1-$A3+1),"")</f>
        <v/>
      </c>
      <c r="AH3" s="53">
        <f>IF(AH$1&gt;=$A3,INDEX(Monthly!$B$2:$B$61,$A3)*INDEX('Age profile'!$B$2:$B$61,AH$1-$A3+1),"")</f>
        <v/>
      </c>
      <c r="AI3" s="53">
        <f>IF(AI$1&gt;=$A3,INDEX(Monthly!$B$2:$B$61,$A3)*INDEX('Age profile'!$B$2:$B$61,AI$1-$A3+1),"")</f>
        <v/>
      </c>
      <c r="AJ3" s="53">
        <f>IF(AJ$1&gt;=$A3,INDEX(Monthly!$B$2:$B$61,$A3)*INDEX('Age profile'!$B$2:$B$61,AJ$1-$A3+1),"")</f>
        <v/>
      </c>
      <c r="AK3" s="53">
        <f>IF(AK$1&gt;=$A3,INDEX(Monthly!$B$2:$B$61,$A3)*INDEX('Age profile'!$B$2:$B$61,AK$1-$A3+1),"")</f>
        <v/>
      </c>
      <c r="AL3" s="53">
        <f>IF(AL$1&gt;=$A3,INDEX(Monthly!$B$2:$B$61,$A3)*INDEX('Age profile'!$B$2:$B$61,AL$1-$A3+1),"")</f>
        <v/>
      </c>
      <c r="AM3" s="53">
        <f>IF(AM$1&gt;=$A3,INDEX(Monthly!$B$2:$B$61,$A3)*INDEX('Age profile'!$B$2:$B$61,AM$1-$A3+1),"")</f>
        <v/>
      </c>
      <c r="AN3" s="53">
        <f>IF(AN$1&gt;=$A3,INDEX(Monthly!$B$2:$B$61,$A3)*INDEX('Age profile'!$B$2:$B$61,AN$1-$A3+1),"")</f>
        <v/>
      </c>
      <c r="AO3" s="53">
        <f>IF(AO$1&gt;=$A3,INDEX(Monthly!$B$2:$B$61,$A3)*INDEX('Age profile'!$B$2:$B$61,AO$1-$A3+1),"")</f>
        <v/>
      </c>
      <c r="AP3" s="53">
        <f>IF(AP$1&gt;=$A3,INDEX(Monthly!$B$2:$B$61,$A3)*INDEX('Age profile'!$B$2:$B$61,AP$1-$A3+1),"")</f>
        <v/>
      </c>
      <c r="AQ3" s="53">
        <f>IF(AQ$1&gt;=$A3,INDEX(Monthly!$B$2:$B$61,$A3)*INDEX('Age profile'!$B$2:$B$61,AQ$1-$A3+1),"")</f>
        <v/>
      </c>
      <c r="AR3" s="53">
        <f>IF(AR$1&gt;=$A3,INDEX(Monthly!$B$2:$B$61,$A3)*INDEX('Age profile'!$B$2:$B$61,AR$1-$A3+1),"")</f>
        <v/>
      </c>
      <c r="AS3" s="53">
        <f>IF(AS$1&gt;=$A3,INDEX(Monthly!$B$2:$B$61,$A3)*INDEX('Age profile'!$B$2:$B$61,AS$1-$A3+1),"")</f>
        <v/>
      </c>
      <c r="AT3" s="53">
        <f>IF(AT$1&gt;=$A3,INDEX(Monthly!$B$2:$B$61,$A3)*INDEX('Age profile'!$B$2:$B$61,AT$1-$A3+1),"")</f>
        <v/>
      </c>
      <c r="AU3" s="53">
        <f>IF(AU$1&gt;=$A3,INDEX(Monthly!$B$2:$B$61,$A3)*INDEX('Age profile'!$B$2:$B$61,AU$1-$A3+1),"")</f>
        <v/>
      </c>
      <c r="AV3" s="53">
        <f>IF(AV$1&gt;=$A3,INDEX(Monthly!$B$2:$B$61,$A3)*INDEX('Age profile'!$B$2:$B$61,AV$1-$A3+1),"")</f>
        <v/>
      </c>
      <c r="AW3" s="53">
        <f>IF(AW$1&gt;=$A3,INDEX(Monthly!$B$2:$B$61,$A3)*INDEX('Age profile'!$B$2:$B$61,AW$1-$A3+1),"")</f>
        <v/>
      </c>
      <c r="AX3" s="53">
        <f>IF(AX$1&gt;=$A3,INDEX(Monthly!$B$2:$B$61,$A3)*INDEX('Age profile'!$B$2:$B$61,AX$1-$A3+1),"")</f>
        <v/>
      </c>
      <c r="AY3" s="53">
        <f>IF(AY$1&gt;=$A3,INDEX(Monthly!$B$2:$B$61,$A3)*INDEX('Age profile'!$B$2:$B$61,AY$1-$A3+1),"")</f>
        <v/>
      </c>
      <c r="AZ3" s="53">
        <f>IF(AZ$1&gt;=$A3,INDEX(Monthly!$B$2:$B$61,$A3)*INDEX('Age profile'!$B$2:$B$61,AZ$1-$A3+1),"")</f>
        <v/>
      </c>
      <c r="BA3" s="53">
        <f>IF(BA$1&gt;=$A3,INDEX(Monthly!$B$2:$B$61,$A3)*INDEX('Age profile'!$B$2:$B$61,BA$1-$A3+1),"")</f>
        <v/>
      </c>
      <c r="BB3" s="53">
        <f>IF(BB$1&gt;=$A3,INDEX(Monthly!$B$2:$B$61,$A3)*INDEX('Age profile'!$B$2:$B$61,BB$1-$A3+1),"")</f>
        <v/>
      </c>
      <c r="BC3" s="53">
        <f>IF(BC$1&gt;=$A3,INDEX(Monthly!$B$2:$B$61,$A3)*INDEX('Age profile'!$B$2:$B$61,BC$1-$A3+1),"")</f>
        <v/>
      </c>
      <c r="BD3" s="53">
        <f>IF(BD$1&gt;=$A3,INDEX(Monthly!$B$2:$B$61,$A3)*INDEX('Age profile'!$B$2:$B$61,BD$1-$A3+1),"")</f>
        <v/>
      </c>
      <c r="BE3" s="53">
        <f>IF(BE$1&gt;=$A3,INDEX(Monthly!$B$2:$B$61,$A3)*INDEX('Age profile'!$B$2:$B$61,BE$1-$A3+1),"")</f>
        <v/>
      </c>
      <c r="BF3" s="53">
        <f>IF(BF$1&gt;=$A3,INDEX(Monthly!$B$2:$B$61,$A3)*INDEX('Age profile'!$B$2:$B$61,BF$1-$A3+1),"")</f>
        <v/>
      </c>
      <c r="BG3" s="53">
        <f>IF(BG$1&gt;=$A3,INDEX(Monthly!$B$2:$B$61,$A3)*INDEX('Age profile'!$B$2:$B$61,BG$1-$A3+1),"")</f>
        <v/>
      </c>
      <c r="BH3" s="53">
        <f>IF(BH$1&gt;=$A3,INDEX(Monthly!$B$2:$B$61,$A3)*INDEX('Age profile'!$B$2:$B$61,BH$1-$A3+1),"")</f>
        <v/>
      </c>
      <c r="BI3" s="53">
        <f>IF(BI$1&gt;=$A3,INDEX(Monthly!$B$2:$B$61,$A3)*INDEX('Age profile'!$B$2:$B$61,BI$1-$A3+1),"")</f>
        <v/>
      </c>
    </row>
    <row r="4">
      <c r="A4" s="3" t="n">
        <v>3</v>
      </c>
      <c r="B4" s="53">
        <f>IF(B$1&gt;=$A4,INDEX(Monthly!$B$2:$B$61,$A4)*INDEX('Age profile'!$B$2:$B$61,B$1-$A4+1),"")</f>
        <v/>
      </c>
      <c r="C4" s="53">
        <f>IF(C$1&gt;=$A4,INDEX(Monthly!$B$2:$B$61,$A4)*INDEX('Age profile'!$B$2:$B$61,C$1-$A4+1),"")</f>
        <v/>
      </c>
      <c r="D4" s="53">
        <f>IF(D$1&gt;=$A4,INDEX(Monthly!$B$2:$B$61,$A4)*INDEX('Age profile'!$B$2:$B$61,D$1-$A4+1),"")</f>
        <v/>
      </c>
      <c r="E4" s="53">
        <f>IF(E$1&gt;=$A4,INDEX(Monthly!$B$2:$B$61,$A4)*INDEX('Age profile'!$B$2:$B$61,E$1-$A4+1),"")</f>
        <v/>
      </c>
      <c r="F4" s="53">
        <f>IF(F$1&gt;=$A4,INDEX(Monthly!$B$2:$B$61,$A4)*INDEX('Age profile'!$B$2:$B$61,F$1-$A4+1),"")</f>
        <v/>
      </c>
      <c r="G4" s="53">
        <f>IF(G$1&gt;=$A4,INDEX(Monthly!$B$2:$B$61,$A4)*INDEX('Age profile'!$B$2:$B$61,G$1-$A4+1),"")</f>
        <v/>
      </c>
      <c r="H4" s="53">
        <f>IF(H$1&gt;=$A4,INDEX(Monthly!$B$2:$B$61,$A4)*INDEX('Age profile'!$B$2:$B$61,H$1-$A4+1),"")</f>
        <v/>
      </c>
      <c r="I4" s="53">
        <f>IF(I$1&gt;=$A4,INDEX(Monthly!$B$2:$B$61,$A4)*INDEX('Age profile'!$B$2:$B$61,I$1-$A4+1),"")</f>
        <v/>
      </c>
      <c r="J4" s="53">
        <f>IF(J$1&gt;=$A4,INDEX(Monthly!$B$2:$B$61,$A4)*INDEX('Age profile'!$B$2:$B$61,J$1-$A4+1),"")</f>
        <v/>
      </c>
      <c r="K4" s="53">
        <f>IF(K$1&gt;=$A4,INDEX(Monthly!$B$2:$B$61,$A4)*INDEX('Age profile'!$B$2:$B$61,K$1-$A4+1),"")</f>
        <v/>
      </c>
      <c r="L4" s="53">
        <f>IF(L$1&gt;=$A4,INDEX(Monthly!$B$2:$B$61,$A4)*INDEX('Age profile'!$B$2:$B$61,L$1-$A4+1),"")</f>
        <v/>
      </c>
      <c r="M4" s="53">
        <f>IF(M$1&gt;=$A4,INDEX(Monthly!$B$2:$B$61,$A4)*INDEX('Age profile'!$B$2:$B$61,M$1-$A4+1),"")</f>
        <v/>
      </c>
      <c r="N4" s="53">
        <f>IF(N$1&gt;=$A4,INDEX(Monthly!$B$2:$B$61,$A4)*INDEX('Age profile'!$B$2:$B$61,N$1-$A4+1),"")</f>
        <v/>
      </c>
      <c r="O4" s="53">
        <f>IF(O$1&gt;=$A4,INDEX(Monthly!$B$2:$B$61,$A4)*INDEX('Age profile'!$B$2:$B$61,O$1-$A4+1),"")</f>
        <v/>
      </c>
      <c r="P4" s="53">
        <f>IF(P$1&gt;=$A4,INDEX(Monthly!$B$2:$B$61,$A4)*INDEX('Age profile'!$B$2:$B$61,P$1-$A4+1),"")</f>
        <v/>
      </c>
      <c r="Q4" s="53">
        <f>IF(Q$1&gt;=$A4,INDEX(Monthly!$B$2:$B$61,$A4)*INDEX('Age profile'!$B$2:$B$61,Q$1-$A4+1),"")</f>
        <v/>
      </c>
      <c r="R4" s="53">
        <f>IF(R$1&gt;=$A4,INDEX(Monthly!$B$2:$B$61,$A4)*INDEX('Age profile'!$B$2:$B$61,R$1-$A4+1),"")</f>
        <v/>
      </c>
      <c r="S4" s="53">
        <f>IF(S$1&gt;=$A4,INDEX(Monthly!$B$2:$B$61,$A4)*INDEX('Age profile'!$B$2:$B$61,S$1-$A4+1),"")</f>
        <v/>
      </c>
      <c r="T4" s="53">
        <f>IF(T$1&gt;=$A4,INDEX(Monthly!$B$2:$B$61,$A4)*INDEX('Age profile'!$B$2:$B$61,T$1-$A4+1),"")</f>
        <v/>
      </c>
      <c r="U4" s="53">
        <f>IF(U$1&gt;=$A4,INDEX(Monthly!$B$2:$B$61,$A4)*INDEX('Age profile'!$B$2:$B$61,U$1-$A4+1),"")</f>
        <v/>
      </c>
      <c r="V4" s="53">
        <f>IF(V$1&gt;=$A4,INDEX(Monthly!$B$2:$B$61,$A4)*INDEX('Age profile'!$B$2:$B$61,V$1-$A4+1),"")</f>
        <v/>
      </c>
      <c r="W4" s="53">
        <f>IF(W$1&gt;=$A4,INDEX(Monthly!$B$2:$B$61,$A4)*INDEX('Age profile'!$B$2:$B$61,W$1-$A4+1),"")</f>
        <v/>
      </c>
      <c r="X4" s="53">
        <f>IF(X$1&gt;=$A4,INDEX(Monthly!$B$2:$B$61,$A4)*INDEX('Age profile'!$B$2:$B$61,X$1-$A4+1),"")</f>
        <v/>
      </c>
      <c r="Y4" s="53">
        <f>IF(Y$1&gt;=$A4,INDEX(Monthly!$B$2:$B$61,$A4)*INDEX('Age profile'!$B$2:$B$61,Y$1-$A4+1),"")</f>
        <v/>
      </c>
      <c r="Z4" s="53">
        <f>IF(Z$1&gt;=$A4,INDEX(Monthly!$B$2:$B$61,$A4)*INDEX('Age profile'!$B$2:$B$61,Z$1-$A4+1),"")</f>
        <v/>
      </c>
      <c r="AA4" s="53">
        <f>IF(AA$1&gt;=$A4,INDEX(Monthly!$B$2:$B$61,$A4)*INDEX('Age profile'!$B$2:$B$61,AA$1-$A4+1),"")</f>
        <v/>
      </c>
      <c r="AB4" s="53">
        <f>IF(AB$1&gt;=$A4,INDEX(Monthly!$B$2:$B$61,$A4)*INDEX('Age profile'!$B$2:$B$61,AB$1-$A4+1),"")</f>
        <v/>
      </c>
      <c r="AC4" s="53">
        <f>IF(AC$1&gt;=$A4,INDEX(Monthly!$B$2:$B$61,$A4)*INDEX('Age profile'!$B$2:$B$61,AC$1-$A4+1),"")</f>
        <v/>
      </c>
      <c r="AD4" s="53">
        <f>IF(AD$1&gt;=$A4,INDEX(Monthly!$B$2:$B$61,$A4)*INDEX('Age profile'!$B$2:$B$61,AD$1-$A4+1),"")</f>
        <v/>
      </c>
      <c r="AE4" s="53">
        <f>IF(AE$1&gt;=$A4,INDEX(Monthly!$B$2:$B$61,$A4)*INDEX('Age profile'!$B$2:$B$61,AE$1-$A4+1),"")</f>
        <v/>
      </c>
      <c r="AF4" s="53">
        <f>IF(AF$1&gt;=$A4,INDEX(Monthly!$B$2:$B$61,$A4)*INDEX('Age profile'!$B$2:$B$61,AF$1-$A4+1),"")</f>
        <v/>
      </c>
      <c r="AG4" s="53">
        <f>IF(AG$1&gt;=$A4,INDEX(Monthly!$B$2:$B$61,$A4)*INDEX('Age profile'!$B$2:$B$61,AG$1-$A4+1),"")</f>
        <v/>
      </c>
      <c r="AH4" s="53">
        <f>IF(AH$1&gt;=$A4,INDEX(Monthly!$B$2:$B$61,$A4)*INDEX('Age profile'!$B$2:$B$61,AH$1-$A4+1),"")</f>
        <v/>
      </c>
      <c r="AI4" s="53">
        <f>IF(AI$1&gt;=$A4,INDEX(Monthly!$B$2:$B$61,$A4)*INDEX('Age profile'!$B$2:$B$61,AI$1-$A4+1),"")</f>
        <v/>
      </c>
      <c r="AJ4" s="53">
        <f>IF(AJ$1&gt;=$A4,INDEX(Monthly!$B$2:$B$61,$A4)*INDEX('Age profile'!$B$2:$B$61,AJ$1-$A4+1),"")</f>
        <v/>
      </c>
      <c r="AK4" s="53">
        <f>IF(AK$1&gt;=$A4,INDEX(Monthly!$B$2:$B$61,$A4)*INDEX('Age profile'!$B$2:$B$61,AK$1-$A4+1),"")</f>
        <v/>
      </c>
      <c r="AL4" s="53">
        <f>IF(AL$1&gt;=$A4,INDEX(Monthly!$B$2:$B$61,$A4)*INDEX('Age profile'!$B$2:$B$61,AL$1-$A4+1),"")</f>
        <v/>
      </c>
      <c r="AM4" s="53">
        <f>IF(AM$1&gt;=$A4,INDEX(Monthly!$B$2:$B$61,$A4)*INDEX('Age profile'!$B$2:$B$61,AM$1-$A4+1),"")</f>
        <v/>
      </c>
      <c r="AN4" s="53">
        <f>IF(AN$1&gt;=$A4,INDEX(Monthly!$B$2:$B$61,$A4)*INDEX('Age profile'!$B$2:$B$61,AN$1-$A4+1),"")</f>
        <v/>
      </c>
      <c r="AO4" s="53">
        <f>IF(AO$1&gt;=$A4,INDEX(Monthly!$B$2:$B$61,$A4)*INDEX('Age profile'!$B$2:$B$61,AO$1-$A4+1),"")</f>
        <v/>
      </c>
      <c r="AP4" s="53">
        <f>IF(AP$1&gt;=$A4,INDEX(Monthly!$B$2:$B$61,$A4)*INDEX('Age profile'!$B$2:$B$61,AP$1-$A4+1),"")</f>
        <v/>
      </c>
      <c r="AQ4" s="53">
        <f>IF(AQ$1&gt;=$A4,INDEX(Monthly!$B$2:$B$61,$A4)*INDEX('Age profile'!$B$2:$B$61,AQ$1-$A4+1),"")</f>
        <v/>
      </c>
      <c r="AR4" s="53">
        <f>IF(AR$1&gt;=$A4,INDEX(Monthly!$B$2:$B$61,$A4)*INDEX('Age profile'!$B$2:$B$61,AR$1-$A4+1),"")</f>
        <v/>
      </c>
      <c r="AS4" s="53">
        <f>IF(AS$1&gt;=$A4,INDEX(Monthly!$B$2:$B$61,$A4)*INDEX('Age profile'!$B$2:$B$61,AS$1-$A4+1),"")</f>
        <v/>
      </c>
      <c r="AT4" s="53">
        <f>IF(AT$1&gt;=$A4,INDEX(Monthly!$B$2:$B$61,$A4)*INDEX('Age profile'!$B$2:$B$61,AT$1-$A4+1),"")</f>
        <v/>
      </c>
      <c r="AU4" s="53">
        <f>IF(AU$1&gt;=$A4,INDEX(Monthly!$B$2:$B$61,$A4)*INDEX('Age profile'!$B$2:$B$61,AU$1-$A4+1),"")</f>
        <v/>
      </c>
      <c r="AV4" s="53">
        <f>IF(AV$1&gt;=$A4,INDEX(Monthly!$B$2:$B$61,$A4)*INDEX('Age profile'!$B$2:$B$61,AV$1-$A4+1),"")</f>
        <v/>
      </c>
      <c r="AW4" s="53">
        <f>IF(AW$1&gt;=$A4,INDEX(Monthly!$B$2:$B$61,$A4)*INDEX('Age profile'!$B$2:$B$61,AW$1-$A4+1),"")</f>
        <v/>
      </c>
      <c r="AX4" s="53">
        <f>IF(AX$1&gt;=$A4,INDEX(Monthly!$B$2:$B$61,$A4)*INDEX('Age profile'!$B$2:$B$61,AX$1-$A4+1),"")</f>
        <v/>
      </c>
      <c r="AY4" s="53">
        <f>IF(AY$1&gt;=$A4,INDEX(Monthly!$B$2:$B$61,$A4)*INDEX('Age profile'!$B$2:$B$61,AY$1-$A4+1),"")</f>
        <v/>
      </c>
      <c r="AZ4" s="53">
        <f>IF(AZ$1&gt;=$A4,INDEX(Monthly!$B$2:$B$61,$A4)*INDEX('Age profile'!$B$2:$B$61,AZ$1-$A4+1),"")</f>
        <v/>
      </c>
      <c r="BA4" s="53">
        <f>IF(BA$1&gt;=$A4,INDEX(Monthly!$B$2:$B$61,$A4)*INDEX('Age profile'!$B$2:$B$61,BA$1-$A4+1),"")</f>
        <v/>
      </c>
      <c r="BB4" s="53">
        <f>IF(BB$1&gt;=$A4,INDEX(Monthly!$B$2:$B$61,$A4)*INDEX('Age profile'!$B$2:$B$61,BB$1-$A4+1),"")</f>
        <v/>
      </c>
      <c r="BC4" s="53">
        <f>IF(BC$1&gt;=$A4,INDEX(Monthly!$B$2:$B$61,$A4)*INDEX('Age profile'!$B$2:$B$61,BC$1-$A4+1),"")</f>
        <v/>
      </c>
      <c r="BD4" s="53">
        <f>IF(BD$1&gt;=$A4,INDEX(Monthly!$B$2:$B$61,$A4)*INDEX('Age profile'!$B$2:$B$61,BD$1-$A4+1),"")</f>
        <v/>
      </c>
      <c r="BE4" s="53">
        <f>IF(BE$1&gt;=$A4,INDEX(Monthly!$B$2:$B$61,$A4)*INDEX('Age profile'!$B$2:$B$61,BE$1-$A4+1),"")</f>
        <v/>
      </c>
      <c r="BF4" s="53">
        <f>IF(BF$1&gt;=$A4,INDEX(Monthly!$B$2:$B$61,$A4)*INDEX('Age profile'!$B$2:$B$61,BF$1-$A4+1),"")</f>
        <v/>
      </c>
      <c r="BG4" s="53">
        <f>IF(BG$1&gt;=$A4,INDEX(Monthly!$B$2:$B$61,$A4)*INDEX('Age profile'!$B$2:$B$61,BG$1-$A4+1),"")</f>
        <v/>
      </c>
      <c r="BH4" s="53">
        <f>IF(BH$1&gt;=$A4,INDEX(Monthly!$B$2:$B$61,$A4)*INDEX('Age profile'!$B$2:$B$61,BH$1-$A4+1),"")</f>
        <v/>
      </c>
      <c r="BI4" s="53">
        <f>IF(BI$1&gt;=$A4,INDEX(Monthly!$B$2:$B$61,$A4)*INDEX('Age profile'!$B$2:$B$61,BI$1-$A4+1),"")</f>
        <v/>
      </c>
    </row>
    <row r="5">
      <c r="A5" s="3" t="n">
        <v>4</v>
      </c>
      <c r="B5" s="53">
        <f>IF(B$1&gt;=$A5,INDEX(Monthly!$B$2:$B$61,$A5)*INDEX('Age profile'!$B$2:$B$61,B$1-$A5+1),"")</f>
        <v/>
      </c>
      <c r="C5" s="53">
        <f>IF(C$1&gt;=$A5,INDEX(Monthly!$B$2:$B$61,$A5)*INDEX('Age profile'!$B$2:$B$61,C$1-$A5+1),"")</f>
        <v/>
      </c>
      <c r="D5" s="53">
        <f>IF(D$1&gt;=$A5,INDEX(Monthly!$B$2:$B$61,$A5)*INDEX('Age profile'!$B$2:$B$61,D$1-$A5+1),"")</f>
        <v/>
      </c>
      <c r="E5" s="53">
        <f>IF(E$1&gt;=$A5,INDEX(Monthly!$B$2:$B$61,$A5)*INDEX('Age profile'!$B$2:$B$61,E$1-$A5+1),"")</f>
        <v/>
      </c>
      <c r="F5" s="53">
        <f>IF(F$1&gt;=$A5,INDEX(Monthly!$B$2:$B$61,$A5)*INDEX('Age profile'!$B$2:$B$61,F$1-$A5+1),"")</f>
        <v/>
      </c>
      <c r="G5" s="53">
        <f>IF(G$1&gt;=$A5,INDEX(Monthly!$B$2:$B$61,$A5)*INDEX('Age profile'!$B$2:$B$61,G$1-$A5+1),"")</f>
        <v/>
      </c>
      <c r="H5" s="53">
        <f>IF(H$1&gt;=$A5,INDEX(Monthly!$B$2:$B$61,$A5)*INDEX('Age profile'!$B$2:$B$61,H$1-$A5+1),"")</f>
        <v/>
      </c>
      <c r="I5" s="53">
        <f>IF(I$1&gt;=$A5,INDEX(Monthly!$B$2:$B$61,$A5)*INDEX('Age profile'!$B$2:$B$61,I$1-$A5+1),"")</f>
        <v/>
      </c>
      <c r="J5" s="53">
        <f>IF(J$1&gt;=$A5,INDEX(Monthly!$B$2:$B$61,$A5)*INDEX('Age profile'!$B$2:$B$61,J$1-$A5+1),"")</f>
        <v/>
      </c>
      <c r="K5" s="53">
        <f>IF(K$1&gt;=$A5,INDEX(Monthly!$B$2:$B$61,$A5)*INDEX('Age profile'!$B$2:$B$61,K$1-$A5+1),"")</f>
        <v/>
      </c>
      <c r="L5" s="53">
        <f>IF(L$1&gt;=$A5,INDEX(Monthly!$B$2:$B$61,$A5)*INDEX('Age profile'!$B$2:$B$61,L$1-$A5+1),"")</f>
        <v/>
      </c>
      <c r="M5" s="53">
        <f>IF(M$1&gt;=$A5,INDEX(Monthly!$B$2:$B$61,$A5)*INDEX('Age profile'!$B$2:$B$61,M$1-$A5+1),"")</f>
        <v/>
      </c>
      <c r="N5" s="53">
        <f>IF(N$1&gt;=$A5,INDEX(Monthly!$B$2:$B$61,$A5)*INDEX('Age profile'!$B$2:$B$61,N$1-$A5+1),"")</f>
        <v/>
      </c>
      <c r="O5" s="53">
        <f>IF(O$1&gt;=$A5,INDEX(Monthly!$B$2:$B$61,$A5)*INDEX('Age profile'!$B$2:$B$61,O$1-$A5+1),"")</f>
        <v/>
      </c>
      <c r="P5" s="53">
        <f>IF(P$1&gt;=$A5,INDEX(Monthly!$B$2:$B$61,$A5)*INDEX('Age profile'!$B$2:$B$61,P$1-$A5+1),"")</f>
        <v/>
      </c>
      <c r="Q5" s="53">
        <f>IF(Q$1&gt;=$A5,INDEX(Monthly!$B$2:$B$61,$A5)*INDEX('Age profile'!$B$2:$B$61,Q$1-$A5+1),"")</f>
        <v/>
      </c>
      <c r="R5" s="53">
        <f>IF(R$1&gt;=$A5,INDEX(Monthly!$B$2:$B$61,$A5)*INDEX('Age profile'!$B$2:$B$61,R$1-$A5+1),"")</f>
        <v/>
      </c>
      <c r="S5" s="53">
        <f>IF(S$1&gt;=$A5,INDEX(Monthly!$B$2:$B$61,$A5)*INDEX('Age profile'!$B$2:$B$61,S$1-$A5+1),"")</f>
        <v/>
      </c>
      <c r="T5" s="53">
        <f>IF(T$1&gt;=$A5,INDEX(Monthly!$B$2:$B$61,$A5)*INDEX('Age profile'!$B$2:$B$61,T$1-$A5+1),"")</f>
        <v/>
      </c>
      <c r="U5" s="53">
        <f>IF(U$1&gt;=$A5,INDEX(Monthly!$B$2:$B$61,$A5)*INDEX('Age profile'!$B$2:$B$61,U$1-$A5+1),"")</f>
        <v/>
      </c>
      <c r="V5" s="53">
        <f>IF(V$1&gt;=$A5,INDEX(Monthly!$B$2:$B$61,$A5)*INDEX('Age profile'!$B$2:$B$61,V$1-$A5+1),"")</f>
        <v/>
      </c>
      <c r="W5" s="53">
        <f>IF(W$1&gt;=$A5,INDEX(Monthly!$B$2:$B$61,$A5)*INDEX('Age profile'!$B$2:$B$61,W$1-$A5+1),"")</f>
        <v/>
      </c>
      <c r="X5" s="53">
        <f>IF(X$1&gt;=$A5,INDEX(Monthly!$B$2:$B$61,$A5)*INDEX('Age profile'!$B$2:$B$61,X$1-$A5+1),"")</f>
        <v/>
      </c>
      <c r="Y5" s="53">
        <f>IF(Y$1&gt;=$A5,INDEX(Monthly!$B$2:$B$61,$A5)*INDEX('Age profile'!$B$2:$B$61,Y$1-$A5+1),"")</f>
        <v/>
      </c>
      <c r="Z5" s="53">
        <f>IF(Z$1&gt;=$A5,INDEX(Monthly!$B$2:$B$61,$A5)*INDEX('Age profile'!$B$2:$B$61,Z$1-$A5+1),"")</f>
        <v/>
      </c>
      <c r="AA5" s="53">
        <f>IF(AA$1&gt;=$A5,INDEX(Monthly!$B$2:$B$61,$A5)*INDEX('Age profile'!$B$2:$B$61,AA$1-$A5+1),"")</f>
        <v/>
      </c>
      <c r="AB5" s="53">
        <f>IF(AB$1&gt;=$A5,INDEX(Monthly!$B$2:$B$61,$A5)*INDEX('Age profile'!$B$2:$B$61,AB$1-$A5+1),"")</f>
        <v/>
      </c>
      <c r="AC5" s="53">
        <f>IF(AC$1&gt;=$A5,INDEX(Monthly!$B$2:$B$61,$A5)*INDEX('Age profile'!$B$2:$B$61,AC$1-$A5+1),"")</f>
        <v/>
      </c>
      <c r="AD5" s="53">
        <f>IF(AD$1&gt;=$A5,INDEX(Monthly!$B$2:$B$61,$A5)*INDEX('Age profile'!$B$2:$B$61,AD$1-$A5+1),"")</f>
        <v/>
      </c>
      <c r="AE5" s="53">
        <f>IF(AE$1&gt;=$A5,INDEX(Monthly!$B$2:$B$61,$A5)*INDEX('Age profile'!$B$2:$B$61,AE$1-$A5+1),"")</f>
        <v/>
      </c>
      <c r="AF5" s="53">
        <f>IF(AF$1&gt;=$A5,INDEX(Monthly!$B$2:$B$61,$A5)*INDEX('Age profile'!$B$2:$B$61,AF$1-$A5+1),"")</f>
        <v/>
      </c>
      <c r="AG5" s="53">
        <f>IF(AG$1&gt;=$A5,INDEX(Monthly!$B$2:$B$61,$A5)*INDEX('Age profile'!$B$2:$B$61,AG$1-$A5+1),"")</f>
        <v/>
      </c>
      <c r="AH5" s="53">
        <f>IF(AH$1&gt;=$A5,INDEX(Monthly!$B$2:$B$61,$A5)*INDEX('Age profile'!$B$2:$B$61,AH$1-$A5+1),"")</f>
        <v/>
      </c>
      <c r="AI5" s="53">
        <f>IF(AI$1&gt;=$A5,INDEX(Monthly!$B$2:$B$61,$A5)*INDEX('Age profile'!$B$2:$B$61,AI$1-$A5+1),"")</f>
        <v/>
      </c>
      <c r="AJ5" s="53">
        <f>IF(AJ$1&gt;=$A5,INDEX(Monthly!$B$2:$B$61,$A5)*INDEX('Age profile'!$B$2:$B$61,AJ$1-$A5+1),"")</f>
        <v/>
      </c>
      <c r="AK5" s="53">
        <f>IF(AK$1&gt;=$A5,INDEX(Monthly!$B$2:$B$61,$A5)*INDEX('Age profile'!$B$2:$B$61,AK$1-$A5+1),"")</f>
        <v/>
      </c>
      <c r="AL5" s="53">
        <f>IF(AL$1&gt;=$A5,INDEX(Monthly!$B$2:$B$61,$A5)*INDEX('Age profile'!$B$2:$B$61,AL$1-$A5+1),"")</f>
        <v/>
      </c>
      <c r="AM5" s="53">
        <f>IF(AM$1&gt;=$A5,INDEX(Monthly!$B$2:$B$61,$A5)*INDEX('Age profile'!$B$2:$B$61,AM$1-$A5+1),"")</f>
        <v/>
      </c>
      <c r="AN5" s="53">
        <f>IF(AN$1&gt;=$A5,INDEX(Monthly!$B$2:$B$61,$A5)*INDEX('Age profile'!$B$2:$B$61,AN$1-$A5+1),"")</f>
        <v/>
      </c>
      <c r="AO5" s="53">
        <f>IF(AO$1&gt;=$A5,INDEX(Monthly!$B$2:$B$61,$A5)*INDEX('Age profile'!$B$2:$B$61,AO$1-$A5+1),"")</f>
        <v/>
      </c>
      <c r="AP5" s="53">
        <f>IF(AP$1&gt;=$A5,INDEX(Monthly!$B$2:$B$61,$A5)*INDEX('Age profile'!$B$2:$B$61,AP$1-$A5+1),"")</f>
        <v/>
      </c>
      <c r="AQ5" s="53">
        <f>IF(AQ$1&gt;=$A5,INDEX(Monthly!$B$2:$B$61,$A5)*INDEX('Age profile'!$B$2:$B$61,AQ$1-$A5+1),"")</f>
        <v/>
      </c>
      <c r="AR5" s="53">
        <f>IF(AR$1&gt;=$A5,INDEX(Monthly!$B$2:$B$61,$A5)*INDEX('Age profile'!$B$2:$B$61,AR$1-$A5+1),"")</f>
        <v/>
      </c>
      <c r="AS5" s="53">
        <f>IF(AS$1&gt;=$A5,INDEX(Monthly!$B$2:$B$61,$A5)*INDEX('Age profile'!$B$2:$B$61,AS$1-$A5+1),"")</f>
        <v/>
      </c>
      <c r="AT5" s="53">
        <f>IF(AT$1&gt;=$A5,INDEX(Monthly!$B$2:$B$61,$A5)*INDEX('Age profile'!$B$2:$B$61,AT$1-$A5+1),"")</f>
        <v/>
      </c>
      <c r="AU5" s="53">
        <f>IF(AU$1&gt;=$A5,INDEX(Monthly!$B$2:$B$61,$A5)*INDEX('Age profile'!$B$2:$B$61,AU$1-$A5+1),"")</f>
        <v/>
      </c>
      <c r="AV5" s="53">
        <f>IF(AV$1&gt;=$A5,INDEX(Monthly!$B$2:$B$61,$A5)*INDEX('Age profile'!$B$2:$B$61,AV$1-$A5+1),"")</f>
        <v/>
      </c>
      <c r="AW5" s="53">
        <f>IF(AW$1&gt;=$A5,INDEX(Monthly!$B$2:$B$61,$A5)*INDEX('Age profile'!$B$2:$B$61,AW$1-$A5+1),"")</f>
        <v/>
      </c>
      <c r="AX5" s="53">
        <f>IF(AX$1&gt;=$A5,INDEX(Monthly!$B$2:$B$61,$A5)*INDEX('Age profile'!$B$2:$B$61,AX$1-$A5+1),"")</f>
        <v/>
      </c>
      <c r="AY5" s="53">
        <f>IF(AY$1&gt;=$A5,INDEX(Monthly!$B$2:$B$61,$A5)*INDEX('Age profile'!$B$2:$B$61,AY$1-$A5+1),"")</f>
        <v/>
      </c>
      <c r="AZ5" s="53">
        <f>IF(AZ$1&gt;=$A5,INDEX(Monthly!$B$2:$B$61,$A5)*INDEX('Age profile'!$B$2:$B$61,AZ$1-$A5+1),"")</f>
        <v/>
      </c>
      <c r="BA5" s="53">
        <f>IF(BA$1&gt;=$A5,INDEX(Monthly!$B$2:$B$61,$A5)*INDEX('Age profile'!$B$2:$B$61,BA$1-$A5+1),"")</f>
        <v/>
      </c>
      <c r="BB5" s="53">
        <f>IF(BB$1&gt;=$A5,INDEX(Monthly!$B$2:$B$61,$A5)*INDEX('Age profile'!$B$2:$B$61,BB$1-$A5+1),"")</f>
        <v/>
      </c>
      <c r="BC5" s="53">
        <f>IF(BC$1&gt;=$A5,INDEX(Monthly!$B$2:$B$61,$A5)*INDEX('Age profile'!$B$2:$B$61,BC$1-$A5+1),"")</f>
        <v/>
      </c>
      <c r="BD5" s="53">
        <f>IF(BD$1&gt;=$A5,INDEX(Monthly!$B$2:$B$61,$A5)*INDEX('Age profile'!$B$2:$B$61,BD$1-$A5+1),"")</f>
        <v/>
      </c>
      <c r="BE5" s="53">
        <f>IF(BE$1&gt;=$A5,INDEX(Monthly!$B$2:$B$61,$A5)*INDEX('Age profile'!$B$2:$B$61,BE$1-$A5+1),"")</f>
        <v/>
      </c>
      <c r="BF5" s="53">
        <f>IF(BF$1&gt;=$A5,INDEX(Monthly!$B$2:$B$61,$A5)*INDEX('Age profile'!$B$2:$B$61,BF$1-$A5+1),"")</f>
        <v/>
      </c>
      <c r="BG5" s="53">
        <f>IF(BG$1&gt;=$A5,INDEX(Monthly!$B$2:$B$61,$A5)*INDEX('Age profile'!$B$2:$B$61,BG$1-$A5+1),"")</f>
        <v/>
      </c>
      <c r="BH5" s="53">
        <f>IF(BH$1&gt;=$A5,INDEX(Monthly!$B$2:$B$61,$A5)*INDEX('Age profile'!$B$2:$B$61,BH$1-$A5+1),"")</f>
        <v/>
      </c>
      <c r="BI5" s="53">
        <f>IF(BI$1&gt;=$A5,INDEX(Monthly!$B$2:$B$61,$A5)*INDEX('Age profile'!$B$2:$B$61,BI$1-$A5+1),"")</f>
        <v/>
      </c>
    </row>
    <row r="6">
      <c r="A6" s="3" t="n">
        <v>5</v>
      </c>
      <c r="B6" s="53">
        <f>IF(B$1&gt;=$A6,INDEX(Monthly!$B$2:$B$61,$A6)*INDEX('Age profile'!$B$2:$B$61,B$1-$A6+1),"")</f>
        <v/>
      </c>
      <c r="C6" s="53">
        <f>IF(C$1&gt;=$A6,INDEX(Monthly!$B$2:$B$61,$A6)*INDEX('Age profile'!$B$2:$B$61,C$1-$A6+1),"")</f>
        <v/>
      </c>
      <c r="D6" s="53">
        <f>IF(D$1&gt;=$A6,INDEX(Monthly!$B$2:$B$61,$A6)*INDEX('Age profile'!$B$2:$B$61,D$1-$A6+1),"")</f>
        <v/>
      </c>
      <c r="E6" s="53">
        <f>IF(E$1&gt;=$A6,INDEX(Monthly!$B$2:$B$61,$A6)*INDEX('Age profile'!$B$2:$B$61,E$1-$A6+1),"")</f>
        <v/>
      </c>
      <c r="F6" s="53">
        <f>IF(F$1&gt;=$A6,INDEX(Monthly!$B$2:$B$61,$A6)*INDEX('Age profile'!$B$2:$B$61,F$1-$A6+1),"")</f>
        <v/>
      </c>
      <c r="G6" s="53">
        <f>IF(G$1&gt;=$A6,INDEX(Monthly!$B$2:$B$61,$A6)*INDEX('Age profile'!$B$2:$B$61,G$1-$A6+1),"")</f>
        <v/>
      </c>
      <c r="H6" s="53">
        <f>IF(H$1&gt;=$A6,INDEX(Monthly!$B$2:$B$61,$A6)*INDEX('Age profile'!$B$2:$B$61,H$1-$A6+1),"")</f>
        <v/>
      </c>
      <c r="I6" s="53">
        <f>IF(I$1&gt;=$A6,INDEX(Monthly!$B$2:$B$61,$A6)*INDEX('Age profile'!$B$2:$B$61,I$1-$A6+1),"")</f>
        <v/>
      </c>
      <c r="J6" s="53">
        <f>IF(J$1&gt;=$A6,INDEX(Monthly!$B$2:$B$61,$A6)*INDEX('Age profile'!$B$2:$B$61,J$1-$A6+1),"")</f>
        <v/>
      </c>
      <c r="K6" s="53">
        <f>IF(K$1&gt;=$A6,INDEX(Monthly!$B$2:$B$61,$A6)*INDEX('Age profile'!$B$2:$B$61,K$1-$A6+1),"")</f>
        <v/>
      </c>
      <c r="L6" s="53">
        <f>IF(L$1&gt;=$A6,INDEX(Monthly!$B$2:$B$61,$A6)*INDEX('Age profile'!$B$2:$B$61,L$1-$A6+1),"")</f>
        <v/>
      </c>
      <c r="M6" s="53">
        <f>IF(M$1&gt;=$A6,INDEX(Monthly!$B$2:$B$61,$A6)*INDEX('Age profile'!$B$2:$B$61,M$1-$A6+1),"")</f>
        <v/>
      </c>
      <c r="N6" s="53">
        <f>IF(N$1&gt;=$A6,INDEX(Monthly!$B$2:$B$61,$A6)*INDEX('Age profile'!$B$2:$B$61,N$1-$A6+1),"")</f>
        <v/>
      </c>
      <c r="O6" s="53">
        <f>IF(O$1&gt;=$A6,INDEX(Monthly!$B$2:$B$61,$A6)*INDEX('Age profile'!$B$2:$B$61,O$1-$A6+1),"")</f>
        <v/>
      </c>
      <c r="P6" s="53">
        <f>IF(P$1&gt;=$A6,INDEX(Monthly!$B$2:$B$61,$A6)*INDEX('Age profile'!$B$2:$B$61,P$1-$A6+1),"")</f>
        <v/>
      </c>
      <c r="Q6" s="53">
        <f>IF(Q$1&gt;=$A6,INDEX(Monthly!$B$2:$B$61,$A6)*INDEX('Age profile'!$B$2:$B$61,Q$1-$A6+1),"")</f>
        <v/>
      </c>
      <c r="R6" s="53">
        <f>IF(R$1&gt;=$A6,INDEX(Monthly!$B$2:$B$61,$A6)*INDEX('Age profile'!$B$2:$B$61,R$1-$A6+1),"")</f>
        <v/>
      </c>
      <c r="S6" s="53">
        <f>IF(S$1&gt;=$A6,INDEX(Monthly!$B$2:$B$61,$A6)*INDEX('Age profile'!$B$2:$B$61,S$1-$A6+1),"")</f>
        <v/>
      </c>
      <c r="T6" s="53">
        <f>IF(T$1&gt;=$A6,INDEX(Monthly!$B$2:$B$61,$A6)*INDEX('Age profile'!$B$2:$B$61,T$1-$A6+1),"")</f>
        <v/>
      </c>
      <c r="U6" s="53">
        <f>IF(U$1&gt;=$A6,INDEX(Monthly!$B$2:$B$61,$A6)*INDEX('Age profile'!$B$2:$B$61,U$1-$A6+1),"")</f>
        <v/>
      </c>
      <c r="V6" s="53">
        <f>IF(V$1&gt;=$A6,INDEX(Monthly!$B$2:$B$61,$A6)*INDEX('Age profile'!$B$2:$B$61,V$1-$A6+1),"")</f>
        <v/>
      </c>
      <c r="W6" s="53">
        <f>IF(W$1&gt;=$A6,INDEX(Monthly!$B$2:$B$61,$A6)*INDEX('Age profile'!$B$2:$B$61,W$1-$A6+1),"")</f>
        <v/>
      </c>
      <c r="X6" s="53">
        <f>IF(X$1&gt;=$A6,INDEX(Monthly!$B$2:$B$61,$A6)*INDEX('Age profile'!$B$2:$B$61,X$1-$A6+1),"")</f>
        <v/>
      </c>
      <c r="Y6" s="53">
        <f>IF(Y$1&gt;=$A6,INDEX(Monthly!$B$2:$B$61,$A6)*INDEX('Age profile'!$B$2:$B$61,Y$1-$A6+1),"")</f>
        <v/>
      </c>
      <c r="Z6" s="53">
        <f>IF(Z$1&gt;=$A6,INDEX(Monthly!$B$2:$B$61,$A6)*INDEX('Age profile'!$B$2:$B$61,Z$1-$A6+1),"")</f>
        <v/>
      </c>
      <c r="AA6" s="53">
        <f>IF(AA$1&gt;=$A6,INDEX(Monthly!$B$2:$B$61,$A6)*INDEX('Age profile'!$B$2:$B$61,AA$1-$A6+1),"")</f>
        <v/>
      </c>
      <c r="AB6" s="53">
        <f>IF(AB$1&gt;=$A6,INDEX(Monthly!$B$2:$B$61,$A6)*INDEX('Age profile'!$B$2:$B$61,AB$1-$A6+1),"")</f>
        <v/>
      </c>
      <c r="AC6" s="53">
        <f>IF(AC$1&gt;=$A6,INDEX(Monthly!$B$2:$B$61,$A6)*INDEX('Age profile'!$B$2:$B$61,AC$1-$A6+1),"")</f>
        <v/>
      </c>
      <c r="AD6" s="53">
        <f>IF(AD$1&gt;=$A6,INDEX(Monthly!$B$2:$B$61,$A6)*INDEX('Age profile'!$B$2:$B$61,AD$1-$A6+1),"")</f>
        <v/>
      </c>
      <c r="AE6" s="53">
        <f>IF(AE$1&gt;=$A6,INDEX(Monthly!$B$2:$B$61,$A6)*INDEX('Age profile'!$B$2:$B$61,AE$1-$A6+1),"")</f>
        <v/>
      </c>
      <c r="AF6" s="53">
        <f>IF(AF$1&gt;=$A6,INDEX(Monthly!$B$2:$B$61,$A6)*INDEX('Age profile'!$B$2:$B$61,AF$1-$A6+1),"")</f>
        <v/>
      </c>
      <c r="AG6" s="53">
        <f>IF(AG$1&gt;=$A6,INDEX(Monthly!$B$2:$B$61,$A6)*INDEX('Age profile'!$B$2:$B$61,AG$1-$A6+1),"")</f>
        <v/>
      </c>
      <c r="AH6" s="53">
        <f>IF(AH$1&gt;=$A6,INDEX(Monthly!$B$2:$B$61,$A6)*INDEX('Age profile'!$B$2:$B$61,AH$1-$A6+1),"")</f>
        <v/>
      </c>
      <c r="AI6" s="53">
        <f>IF(AI$1&gt;=$A6,INDEX(Monthly!$B$2:$B$61,$A6)*INDEX('Age profile'!$B$2:$B$61,AI$1-$A6+1),"")</f>
        <v/>
      </c>
      <c r="AJ6" s="53">
        <f>IF(AJ$1&gt;=$A6,INDEX(Monthly!$B$2:$B$61,$A6)*INDEX('Age profile'!$B$2:$B$61,AJ$1-$A6+1),"")</f>
        <v/>
      </c>
      <c r="AK6" s="53">
        <f>IF(AK$1&gt;=$A6,INDEX(Monthly!$B$2:$B$61,$A6)*INDEX('Age profile'!$B$2:$B$61,AK$1-$A6+1),"")</f>
        <v/>
      </c>
      <c r="AL6" s="53">
        <f>IF(AL$1&gt;=$A6,INDEX(Monthly!$B$2:$B$61,$A6)*INDEX('Age profile'!$B$2:$B$61,AL$1-$A6+1),"")</f>
        <v/>
      </c>
      <c r="AM6" s="53">
        <f>IF(AM$1&gt;=$A6,INDEX(Monthly!$B$2:$B$61,$A6)*INDEX('Age profile'!$B$2:$B$61,AM$1-$A6+1),"")</f>
        <v/>
      </c>
      <c r="AN6" s="53">
        <f>IF(AN$1&gt;=$A6,INDEX(Monthly!$B$2:$B$61,$A6)*INDEX('Age profile'!$B$2:$B$61,AN$1-$A6+1),"")</f>
        <v/>
      </c>
      <c r="AO6" s="53">
        <f>IF(AO$1&gt;=$A6,INDEX(Monthly!$B$2:$B$61,$A6)*INDEX('Age profile'!$B$2:$B$61,AO$1-$A6+1),"")</f>
        <v/>
      </c>
      <c r="AP6" s="53">
        <f>IF(AP$1&gt;=$A6,INDEX(Monthly!$B$2:$B$61,$A6)*INDEX('Age profile'!$B$2:$B$61,AP$1-$A6+1),"")</f>
        <v/>
      </c>
      <c r="AQ6" s="53">
        <f>IF(AQ$1&gt;=$A6,INDEX(Monthly!$B$2:$B$61,$A6)*INDEX('Age profile'!$B$2:$B$61,AQ$1-$A6+1),"")</f>
        <v/>
      </c>
      <c r="AR6" s="53">
        <f>IF(AR$1&gt;=$A6,INDEX(Monthly!$B$2:$B$61,$A6)*INDEX('Age profile'!$B$2:$B$61,AR$1-$A6+1),"")</f>
        <v/>
      </c>
      <c r="AS6" s="53">
        <f>IF(AS$1&gt;=$A6,INDEX(Monthly!$B$2:$B$61,$A6)*INDEX('Age profile'!$B$2:$B$61,AS$1-$A6+1),"")</f>
        <v/>
      </c>
      <c r="AT6" s="53">
        <f>IF(AT$1&gt;=$A6,INDEX(Monthly!$B$2:$B$61,$A6)*INDEX('Age profile'!$B$2:$B$61,AT$1-$A6+1),"")</f>
        <v/>
      </c>
      <c r="AU6" s="53">
        <f>IF(AU$1&gt;=$A6,INDEX(Monthly!$B$2:$B$61,$A6)*INDEX('Age profile'!$B$2:$B$61,AU$1-$A6+1),"")</f>
        <v/>
      </c>
      <c r="AV6" s="53">
        <f>IF(AV$1&gt;=$A6,INDEX(Monthly!$B$2:$B$61,$A6)*INDEX('Age profile'!$B$2:$B$61,AV$1-$A6+1),"")</f>
        <v/>
      </c>
      <c r="AW6" s="53">
        <f>IF(AW$1&gt;=$A6,INDEX(Monthly!$B$2:$B$61,$A6)*INDEX('Age profile'!$B$2:$B$61,AW$1-$A6+1),"")</f>
        <v/>
      </c>
      <c r="AX6" s="53">
        <f>IF(AX$1&gt;=$A6,INDEX(Monthly!$B$2:$B$61,$A6)*INDEX('Age profile'!$B$2:$B$61,AX$1-$A6+1),"")</f>
        <v/>
      </c>
      <c r="AY6" s="53">
        <f>IF(AY$1&gt;=$A6,INDEX(Monthly!$B$2:$B$61,$A6)*INDEX('Age profile'!$B$2:$B$61,AY$1-$A6+1),"")</f>
        <v/>
      </c>
      <c r="AZ6" s="53">
        <f>IF(AZ$1&gt;=$A6,INDEX(Monthly!$B$2:$B$61,$A6)*INDEX('Age profile'!$B$2:$B$61,AZ$1-$A6+1),"")</f>
        <v/>
      </c>
      <c r="BA6" s="53">
        <f>IF(BA$1&gt;=$A6,INDEX(Monthly!$B$2:$B$61,$A6)*INDEX('Age profile'!$B$2:$B$61,BA$1-$A6+1),"")</f>
        <v/>
      </c>
      <c r="BB6" s="53">
        <f>IF(BB$1&gt;=$A6,INDEX(Monthly!$B$2:$B$61,$A6)*INDEX('Age profile'!$B$2:$B$61,BB$1-$A6+1),"")</f>
        <v/>
      </c>
      <c r="BC6" s="53">
        <f>IF(BC$1&gt;=$A6,INDEX(Monthly!$B$2:$B$61,$A6)*INDEX('Age profile'!$B$2:$B$61,BC$1-$A6+1),"")</f>
        <v/>
      </c>
      <c r="BD6" s="53">
        <f>IF(BD$1&gt;=$A6,INDEX(Monthly!$B$2:$B$61,$A6)*INDEX('Age profile'!$B$2:$B$61,BD$1-$A6+1),"")</f>
        <v/>
      </c>
      <c r="BE6" s="53">
        <f>IF(BE$1&gt;=$A6,INDEX(Monthly!$B$2:$B$61,$A6)*INDEX('Age profile'!$B$2:$B$61,BE$1-$A6+1),"")</f>
        <v/>
      </c>
      <c r="BF6" s="53">
        <f>IF(BF$1&gt;=$A6,INDEX(Monthly!$B$2:$B$61,$A6)*INDEX('Age profile'!$B$2:$B$61,BF$1-$A6+1),"")</f>
        <v/>
      </c>
      <c r="BG6" s="53">
        <f>IF(BG$1&gt;=$A6,INDEX(Monthly!$B$2:$B$61,$A6)*INDEX('Age profile'!$B$2:$B$61,BG$1-$A6+1),"")</f>
        <v/>
      </c>
      <c r="BH6" s="53">
        <f>IF(BH$1&gt;=$A6,INDEX(Monthly!$B$2:$B$61,$A6)*INDEX('Age profile'!$B$2:$B$61,BH$1-$A6+1),"")</f>
        <v/>
      </c>
      <c r="BI6" s="53">
        <f>IF(BI$1&gt;=$A6,INDEX(Monthly!$B$2:$B$61,$A6)*INDEX('Age profile'!$B$2:$B$61,BI$1-$A6+1),"")</f>
        <v/>
      </c>
    </row>
    <row r="7">
      <c r="A7" s="3" t="n">
        <v>6</v>
      </c>
      <c r="B7" s="53">
        <f>IF(B$1&gt;=$A7,INDEX(Monthly!$B$2:$B$61,$A7)*INDEX('Age profile'!$B$2:$B$61,B$1-$A7+1),"")</f>
        <v/>
      </c>
      <c r="C7" s="53">
        <f>IF(C$1&gt;=$A7,INDEX(Monthly!$B$2:$B$61,$A7)*INDEX('Age profile'!$B$2:$B$61,C$1-$A7+1),"")</f>
        <v/>
      </c>
      <c r="D7" s="53">
        <f>IF(D$1&gt;=$A7,INDEX(Monthly!$B$2:$B$61,$A7)*INDEX('Age profile'!$B$2:$B$61,D$1-$A7+1),"")</f>
        <v/>
      </c>
      <c r="E7" s="53">
        <f>IF(E$1&gt;=$A7,INDEX(Monthly!$B$2:$B$61,$A7)*INDEX('Age profile'!$B$2:$B$61,E$1-$A7+1),"")</f>
        <v/>
      </c>
      <c r="F7" s="53">
        <f>IF(F$1&gt;=$A7,INDEX(Monthly!$B$2:$B$61,$A7)*INDEX('Age profile'!$B$2:$B$61,F$1-$A7+1),"")</f>
        <v/>
      </c>
      <c r="G7" s="53">
        <f>IF(G$1&gt;=$A7,INDEX(Monthly!$B$2:$B$61,$A7)*INDEX('Age profile'!$B$2:$B$61,G$1-$A7+1),"")</f>
        <v/>
      </c>
      <c r="H7" s="53">
        <f>IF(H$1&gt;=$A7,INDEX(Monthly!$B$2:$B$61,$A7)*INDEX('Age profile'!$B$2:$B$61,H$1-$A7+1),"")</f>
        <v/>
      </c>
      <c r="I7" s="53">
        <f>IF(I$1&gt;=$A7,INDEX(Monthly!$B$2:$B$61,$A7)*INDEX('Age profile'!$B$2:$B$61,I$1-$A7+1),"")</f>
        <v/>
      </c>
      <c r="J7" s="53">
        <f>IF(J$1&gt;=$A7,INDEX(Monthly!$B$2:$B$61,$A7)*INDEX('Age profile'!$B$2:$B$61,J$1-$A7+1),"")</f>
        <v/>
      </c>
      <c r="K7" s="53">
        <f>IF(K$1&gt;=$A7,INDEX(Monthly!$B$2:$B$61,$A7)*INDEX('Age profile'!$B$2:$B$61,K$1-$A7+1),"")</f>
        <v/>
      </c>
      <c r="L7" s="53">
        <f>IF(L$1&gt;=$A7,INDEX(Monthly!$B$2:$B$61,$A7)*INDEX('Age profile'!$B$2:$B$61,L$1-$A7+1),"")</f>
        <v/>
      </c>
      <c r="M7" s="53">
        <f>IF(M$1&gt;=$A7,INDEX(Monthly!$B$2:$B$61,$A7)*INDEX('Age profile'!$B$2:$B$61,M$1-$A7+1),"")</f>
        <v/>
      </c>
      <c r="N7" s="53">
        <f>IF(N$1&gt;=$A7,INDEX(Monthly!$B$2:$B$61,$A7)*INDEX('Age profile'!$B$2:$B$61,N$1-$A7+1),"")</f>
        <v/>
      </c>
      <c r="O7" s="53">
        <f>IF(O$1&gt;=$A7,INDEX(Monthly!$B$2:$B$61,$A7)*INDEX('Age profile'!$B$2:$B$61,O$1-$A7+1),"")</f>
        <v/>
      </c>
      <c r="P7" s="53">
        <f>IF(P$1&gt;=$A7,INDEX(Monthly!$B$2:$B$61,$A7)*INDEX('Age profile'!$B$2:$B$61,P$1-$A7+1),"")</f>
        <v/>
      </c>
      <c r="Q7" s="53">
        <f>IF(Q$1&gt;=$A7,INDEX(Monthly!$B$2:$B$61,$A7)*INDEX('Age profile'!$B$2:$B$61,Q$1-$A7+1),"")</f>
        <v/>
      </c>
      <c r="R7" s="53">
        <f>IF(R$1&gt;=$A7,INDEX(Monthly!$B$2:$B$61,$A7)*INDEX('Age profile'!$B$2:$B$61,R$1-$A7+1),"")</f>
        <v/>
      </c>
      <c r="S7" s="53">
        <f>IF(S$1&gt;=$A7,INDEX(Monthly!$B$2:$B$61,$A7)*INDEX('Age profile'!$B$2:$B$61,S$1-$A7+1),"")</f>
        <v/>
      </c>
      <c r="T7" s="53">
        <f>IF(T$1&gt;=$A7,INDEX(Monthly!$B$2:$B$61,$A7)*INDEX('Age profile'!$B$2:$B$61,T$1-$A7+1),"")</f>
        <v/>
      </c>
      <c r="U7" s="53">
        <f>IF(U$1&gt;=$A7,INDEX(Monthly!$B$2:$B$61,$A7)*INDEX('Age profile'!$B$2:$B$61,U$1-$A7+1),"")</f>
        <v/>
      </c>
      <c r="V7" s="53">
        <f>IF(V$1&gt;=$A7,INDEX(Monthly!$B$2:$B$61,$A7)*INDEX('Age profile'!$B$2:$B$61,V$1-$A7+1),"")</f>
        <v/>
      </c>
      <c r="W7" s="53">
        <f>IF(W$1&gt;=$A7,INDEX(Monthly!$B$2:$B$61,$A7)*INDEX('Age profile'!$B$2:$B$61,W$1-$A7+1),"")</f>
        <v/>
      </c>
      <c r="X7" s="53">
        <f>IF(X$1&gt;=$A7,INDEX(Monthly!$B$2:$B$61,$A7)*INDEX('Age profile'!$B$2:$B$61,X$1-$A7+1),"")</f>
        <v/>
      </c>
      <c r="Y7" s="53">
        <f>IF(Y$1&gt;=$A7,INDEX(Monthly!$B$2:$B$61,$A7)*INDEX('Age profile'!$B$2:$B$61,Y$1-$A7+1),"")</f>
        <v/>
      </c>
      <c r="Z7" s="53">
        <f>IF(Z$1&gt;=$A7,INDEX(Monthly!$B$2:$B$61,$A7)*INDEX('Age profile'!$B$2:$B$61,Z$1-$A7+1),"")</f>
        <v/>
      </c>
      <c r="AA7" s="53">
        <f>IF(AA$1&gt;=$A7,INDEX(Monthly!$B$2:$B$61,$A7)*INDEX('Age profile'!$B$2:$B$61,AA$1-$A7+1),"")</f>
        <v/>
      </c>
      <c r="AB7" s="53">
        <f>IF(AB$1&gt;=$A7,INDEX(Monthly!$B$2:$B$61,$A7)*INDEX('Age profile'!$B$2:$B$61,AB$1-$A7+1),"")</f>
        <v/>
      </c>
      <c r="AC7" s="53">
        <f>IF(AC$1&gt;=$A7,INDEX(Monthly!$B$2:$B$61,$A7)*INDEX('Age profile'!$B$2:$B$61,AC$1-$A7+1),"")</f>
        <v/>
      </c>
      <c r="AD7" s="53">
        <f>IF(AD$1&gt;=$A7,INDEX(Monthly!$B$2:$B$61,$A7)*INDEX('Age profile'!$B$2:$B$61,AD$1-$A7+1),"")</f>
        <v/>
      </c>
      <c r="AE7" s="53">
        <f>IF(AE$1&gt;=$A7,INDEX(Monthly!$B$2:$B$61,$A7)*INDEX('Age profile'!$B$2:$B$61,AE$1-$A7+1),"")</f>
        <v/>
      </c>
      <c r="AF7" s="53">
        <f>IF(AF$1&gt;=$A7,INDEX(Monthly!$B$2:$B$61,$A7)*INDEX('Age profile'!$B$2:$B$61,AF$1-$A7+1),"")</f>
        <v/>
      </c>
      <c r="AG7" s="53">
        <f>IF(AG$1&gt;=$A7,INDEX(Monthly!$B$2:$B$61,$A7)*INDEX('Age profile'!$B$2:$B$61,AG$1-$A7+1),"")</f>
        <v/>
      </c>
      <c r="AH7" s="53">
        <f>IF(AH$1&gt;=$A7,INDEX(Monthly!$B$2:$B$61,$A7)*INDEX('Age profile'!$B$2:$B$61,AH$1-$A7+1),"")</f>
        <v/>
      </c>
      <c r="AI7" s="53">
        <f>IF(AI$1&gt;=$A7,INDEX(Monthly!$B$2:$B$61,$A7)*INDEX('Age profile'!$B$2:$B$61,AI$1-$A7+1),"")</f>
        <v/>
      </c>
      <c r="AJ7" s="53">
        <f>IF(AJ$1&gt;=$A7,INDEX(Monthly!$B$2:$B$61,$A7)*INDEX('Age profile'!$B$2:$B$61,AJ$1-$A7+1),"")</f>
        <v/>
      </c>
      <c r="AK7" s="53">
        <f>IF(AK$1&gt;=$A7,INDEX(Monthly!$B$2:$B$61,$A7)*INDEX('Age profile'!$B$2:$B$61,AK$1-$A7+1),"")</f>
        <v/>
      </c>
      <c r="AL7" s="53">
        <f>IF(AL$1&gt;=$A7,INDEX(Monthly!$B$2:$B$61,$A7)*INDEX('Age profile'!$B$2:$B$61,AL$1-$A7+1),"")</f>
        <v/>
      </c>
      <c r="AM7" s="53">
        <f>IF(AM$1&gt;=$A7,INDEX(Monthly!$B$2:$B$61,$A7)*INDEX('Age profile'!$B$2:$B$61,AM$1-$A7+1),"")</f>
        <v/>
      </c>
      <c r="AN7" s="53">
        <f>IF(AN$1&gt;=$A7,INDEX(Monthly!$B$2:$B$61,$A7)*INDEX('Age profile'!$B$2:$B$61,AN$1-$A7+1),"")</f>
        <v/>
      </c>
      <c r="AO7" s="53">
        <f>IF(AO$1&gt;=$A7,INDEX(Monthly!$B$2:$B$61,$A7)*INDEX('Age profile'!$B$2:$B$61,AO$1-$A7+1),"")</f>
        <v/>
      </c>
      <c r="AP7" s="53">
        <f>IF(AP$1&gt;=$A7,INDEX(Monthly!$B$2:$B$61,$A7)*INDEX('Age profile'!$B$2:$B$61,AP$1-$A7+1),"")</f>
        <v/>
      </c>
      <c r="AQ7" s="53">
        <f>IF(AQ$1&gt;=$A7,INDEX(Monthly!$B$2:$B$61,$A7)*INDEX('Age profile'!$B$2:$B$61,AQ$1-$A7+1),"")</f>
        <v/>
      </c>
      <c r="AR7" s="53">
        <f>IF(AR$1&gt;=$A7,INDEX(Monthly!$B$2:$B$61,$A7)*INDEX('Age profile'!$B$2:$B$61,AR$1-$A7+1),"")</f>
        <v/>
      </c>
      <c r="AS7" s="53">
        <f>IF(AS$1&gt;=$A7,INDEX(Monthly!$B$2:$B$61,$A7)*INDEX('Age profile'!$B$2:$B$61,AS$1-$A7+1),"")</f>
        <v/>
      </c>
      <c r="AT7" s="53">
        <f>IF(AT$1&gt;=$A7,INDEX(Monthly!$B$2:$B$61,$A7)*INDEX('Age profile'!$B$2:$B$61,AT$1-$A7+1),"")</f>
        <v/>
      </c>
      <c r="AU7" s="53">
        <f>IF(AU$1&gt;=$A7,INDEX(Monthly!$B$2:$B$61,$A7)*INDEX('Age profile'!$B$2:$B$61,AU$1-$A7+1),"")</f>
        <v/>
      </c>
      <c r="AV7" s="53">
        <f>IF(AV$1&gt;=$A7,INDEX(Monthly!$B$2:$B$61,$A7)*INDEX('Age profile'!$B$2:$B$61,AV$1-$A7+1),"")</f>
        <v/>
      </c>
      <c r="AW7" s="53">
        <f>IF(AW$1&gt;=$A7,INDEX(Monthly!$B$2:$B$61,$A7)*INDEX('Age profile'!$B$2:$B$61,AW$1-$A7+1),"")</f>
        <v/>
      </c>
      <c r="AX7" s="53">
        <f>IF(AX$1&gt;=$A7,INDEX(Monthly!$B$2:$B$61,$A7)*INDEX('Age profile'!$B$2:$B$61,AX$1-$A7+1),"")</f>
        <v/>
      </c>
      <c r="AY7" s="53">
        <f>IF(AY$1&gt;=$A7,INDEX(Monthly!$B$2:$B$61,$A7)*INDEX('Age profile'!$B$2:$B$61,AY$1-$A7+1),"")</f>
        <v/>
      </c>
      <c r="AZ7" s="53">
        <f>IF(AZ$1&gt;=$A7,INDEX(Monthly!$B$2:$B$61,$A7)*INDEX('Age profile'!$B$2:$B$61,AZ$1-$A7+1),"")</f>
        <v/>
      </c>
      <c r="BA7" s="53">
        <f>IF(BA$1&gt;=$A7,INDEX(Monthly!$B$2:$B$61,$A7)*INDEX('Age profile'!$B$2:$B$61,BA$1-$A7+1),"")</f>
        <v/>
      </c>
      <c r="BB7" s="53">
        <f>IF(BB$1&gt;=$A7,INDEX(Monthly!$B$2:$B$61,$A7)*INDEX('Age profile'!$B$2:$B$61,BB$1-$A7+1),"")</f>
        <v/>
      </c>
      <c r="BC7" s="53">
        <f>IF(BC$1&gt;=$A7,INDEX(Monthly!$B$2:$B$61,$A7)*INDEX('Age profile'!$B$2:$B$61,BC$1-$A7+1),"")</f>
        <v/>
      </c>
      <c r="BD7" s="53">
        <f>IF(BD$1&gt;=$A7,INDEX(Monthly!$B$2:$B$61,$A7)*INDEX('Age profile'!$B$2:$B$61,BD$1-$A7+1),"")</f>
        <v/>
      </c>
      <c r="BE7" s="53">
        <f>IF(BE$1&gt;=$A7,INDEX(Monthly!$B$2:$B$61,$A7)*INDEX('Age profile'!$B$2:$B$61,BE$1-$A7+1),"")</f>
        <v/>
      </c>
      <c r="BF7" s="53">
        <f>IF(BF$1&gt;=$A7,INDEX(Monthly!$B$2:$B$61,$A7)*INDEX('Age profile'!$B$2:$B$61,BF$1-$A7+1),"")</f>
        <v/>
      </c>
      <c r="BG7" s="53">
        <f>IF(BG$1&gt;=$A7,INDEX(Monthly!$B$2:$B$61,$A7)*INDEX('Age profile'!$B$2:$B$61,BG$1-$A7+1),"")</f>
        <v/>
      </c>
      <c r="BH7" s="53">
        <f>IF(BH$1&gt;=$A7,INDEX(Monthly!$B$2:$B$61,$A7)*INDEX('Age profile'!$B$2:$B$61,BH$1-$A7+1),"")</f>
        <v/>
      </c>
      <c r="BI7" s="53">
        <f>IF(BI$1&gt;=$A7,INDEX(Monthly!$B$2:$B$61,$A7)*INDEX('Age profile'!$B$2:$B$61,BI$1-$A7+1),"")</f>
        <v/>
      </c>
    </row>
    <row r="8">
      <c r="A8" s="3" t="n">
        <v>7</v>
      </c>
      <c r="B8" s="53">
        <f>IF(B$1&gt;=$A8,INDEX(Monthly!$B$2:$B$61,$A8)*INDEX('Age profile'!$B$2:$B$61,B$1-$A8+1),"")</f>
        <v/>
      </c>
      <c r="C8" s="53">
        <f>IF(C$1&gt;=$A8,INDEX(Monthly!$B$2:$B$61,$A8)*INDEX('Age profile'!$B$2:$B$61,C$1-$A8+1),"")</f>
        <v/>
      </c>
      <c r="D8" s="53">
        <f>IF(D$1&gt;=$A8,INDEX(Monthly!$B$2:$B$61,$A8)*INDEX('Age profile'!$B$2:$B$61,D$1-$A8+1),"")</f>
        <v/>
      </c>
      <c r="E8" s="53">
        <f>IF(E$1&gt;=$A8,INDEX(Monthly!$B$2:$B$61,$A8)*INDEX('Age profile'!$B$2:$B$61,E$1-$A8+1),"")</f>
        <v/>
      </c>
      <c r="F8" s="53">
        <f>IF(F$1&gt;=$A8,INDEX(Monthly!$B$2:$B$61,$A8)*INDEX('Age profile'!$B$2:$B$61,F$1-$A8+1),"")</f>
        <v/>
      </c>
      <c r="G8" s="53">
        <f>IF(G$1&gt;=$A8,INDEX(Monthly!$B$2:$B$61,$A8)*INDEX('Age profile'!$B$2:$B$61,G$1-$A8+1),"")</f>
        <v/>
      </c>
      <c r="H8" s="53">
        <f>IF(H$1&gt;=$A8,INDEX(Monthly!$B$2:$B$61,$A8)*INDEX('Age profile'!$B$2:$B$61,H$1-$A8+1),"")</f>
        <v/>
      </c>
      <c r="I8" s="53">
        <f>IF(I$1&gt;=$A8,INDEX(Monthly!$B$2:$B$61,$A8)*INDEX('Age profile'!$B$2:$B$61,I$1-$A8+1),"")</f>
        <v/>
      </c>
      <c r="J8" s="53">
        <f>IF(J$1&gt;=$A8,INDEX(Monthly!$B$2:$B$61,$A8)*INDEX('Age profile'!$B$2:$B$61,J$1-$A8+1),"")</f>
        <v/>
      </c>
      <c r="K8" s="53">
        <f>IF(K$1&gt;=$A8,INDEX(Monthly!$B$2:$B$61,$A8)*INDEX('Age profile'!$B$2:$B$61,K$1-$A8+1),"")</f>
        <v/>
      </c>
      <c r="L8" s="53">
        <f>IF(L$1&gt;=$A8,INDEX(Monthly!$B$2:$B$61,$A8)*INDEX('Age profile'!$B$2:$B$61,L$1-$A8+1),"")</f>
        <v/>
      </c>
      <c r="M8" s="53">
        <f>IF(M$1&gt;=$A8,INDEX(Monthly!$B$2:$B$61,$A8)*INDEX('Age profile'!$B$2:$B$61,M$1-$A8+1),"")</f>
        <v/>
      </c>
      <c r="N8" s="53">
        <f>IF(N$1&gt;=$A8,INDEX(Monthly!$B$2:$B$61,$A8)*INDEX('Age profile'!$B$2:$B$61,N$1-$A8+1),"")</f>
        <v/>
      </c>
      <c r="O8" s="53">
        <f>IF(O$1&gt;=$A8,INDEX(Monthly!$B$2:$B$61,$A8)*INDEX('Age profile'!$B$2:$B$61,O$1-$A8+1),"")</f>
        <v/>
      </c>
      <c r="P8" s="53">
        <f>IF(P$1&gt;=$A8,INDEX(Monthly!$B$2:$B$61,$A8)*INDEX('Age profile'!$B$2:$B$61,P$1-$A8+1),"")</f>
        <v/>
      </c>
      <c r="Q8" s="53">
        <f>IF(Q$1&gt;=$A8,INDEX(Monthly!$B$2:$B$61,$A8)*INDEX('Age profile'!$B$2:$B$61,Q$1-$A8+1),"")</f>
        <v/>
      </c>
      <c r="R8" s="53">
        <f>IF(R$1&gt;=$A8,INDEX(Monthly!$B$2:$B$61,$A8)*INDEX('Age profile'!$B$2:$B$61,R$1-$A8+1),"")</f>
        <v/>
      </c>
      <c r="S8" s="53">
        <f>IF(S$1&gt;=$A8,INDEX(Monthly!$B$2:$B$61,$A8)*INDEX('Age profile'!$B$2:$B$61,S$1-$A8+1),"")</f>
        <v/>
      </c>
      <c r="T8" s="53">
        <f>IF(T$1&gt;=$A8,INDEX(Monthly!$B$2:$B$61,$A8)*INDEX('Age profile'!$B$2:$B$61,T$1-$A8+1),"")</f>
        <v/>
      </c>
      <c r="U8" s="53">
        <f>IF(U$1&gt;=$A8,INDEX(Monthly!$B$2:$B$61,$A8)*INDEX('Age profile'!$B$2:$B$61,U$1-$A8+1),"")</f>
        <v/>
      </c>
      <c r="V8" s="53">
        <f>IF(V$1&gt;=$A8,INDEX(Monthly!$B$2:$B$61,$A8)*INDEX('Age profile'!$B$2:$B$61,V$1-$A8+1),"")</f>
        <v/>
      </c>
      <c r="W8" s="53">
        <f>IF(W$1&gt;=$A8,INDEX(Monthly!$B$2:$B$61,$A8)*INDEX('Age profile'!$B$2:$B$61,W$1-$A8+1),"")</f>
        <v/>
      </c>
      <c r="X8" s="53">
        <f>IF(X$1&gt;=$A8,INDEX(Monthly!$B$2:$B$61,$A8)*INDEX('Age profile'!$B$2:$B$61,X$1-$A8+1),"")</f>
        <v/>
      </c>
      <c r="Y8" s="53">
        <f>IF(Y$1&gt;=$A8,INDEX(Monthly!$B$2:$B$61,$A8)*INDEX('Age profile'!$B$2:$B$61,Y$1-$A8+1),"")</f>
        <v/>
      </c>
      <c r="Z8" s="53">
        <f>IF(Z$1&gt;=$A8,INDEX(Monthly!$B$2:$B$61,$A8)*INDEX('Age profile'!$B$2:$B$61,Z$1-$A8+1),"")</f>
        <v/>
      </c>
      <c r="AA8" s="53">
        <f>IF(AA$1&gt;=$A8,INDEX(Monthly!$B$2:$B$61,$A8)*INDEX('Age profile'!$B$2:$B$61,AA$1-$A8+1),"")</f>
        <v/>
      </c>
      <c r="AB8" s="53">
        <f>IF(AB$1&gt;=$A8,INDEX(Monthly!$B$2:$B$61,$A8)*INDEX('Age profile'!$B$2:$B$61,AB$1-$A8+1),"")</f>
        <v/>
      </c>
      <c r="AC8" s="53">
        <f>IF(AC$1&gt;=$A8,INDEX(Monthly!$B$2:$B$61,$A8)*INDEX('Age profile'!$B$2:$B$61,AC$1-$A8+1),"")</f>
        <v/>
      </c>
      <c r="AD8" s="53">
        <f>IF(AD$1&gt;=$A8,INDEX(Monthly!$B$2:$B$61,$A8)*INDEX('Age profile'!$B$2:$B$61,AD$1-$A8+1),"")</f>
        <v/>
      </c>
      <c r="AE8" s="53">
        <f>IF(AE$1&gt;=$A8,INDEX(Monthly!$B$2:$B$61,$A8)*INDEX('Age profile'!$B$2:$B$61,AE$1-$A8+1),"")</f>
        <v/>
      </c>
      <c r="AF8" s="53">
        <f>IF(AF$1&gt;=$A8,INDEX(Monthly!$B$2:$B$61,$A8)*INDEX('Age profile'!$B$2:$B$61,AF$1-$A8+1),"")</f>
        <v/>
      </c>
      <c r="AG8" s="53">
        <f>IF(AG$1&gt;=$A8,INDEX(Monthly!$B$2:$B$61,$A8)*INDEX('Age profile'!$B$2:$B$61,AG$1-$A8+1),"")</f>
        <v/>
      </c>
      <c r="AH8" s="53">
        <f>IF(AH$1&gt;=$A8,INDEX(Monthly!$B$2:$B$61,$A8)*INDEX('Age profile'!$B$2:$B$61,AH$1-$A8+1),"")</f>
        <v/>
      </c>
      <c r="AI8" s="53">
        <f>IF(AI$1&gt;=$A8,INDEX(Monthly!$B$2:$B$61,$A8)*INDEX('Age profile'!$B$2:$B$61,AI$1-$A8+1),"")</f>
        <v/>
      </c>
      <c r="AJ8" s="53">
        <f>IF(AJ$1&gt;=$A8,INDEX(Monthly!$B$2:$B$61,$A8)*INDEX('Age profile'!$B$2:$B$61,AJ$1-$A8+1),"")</f>
        <v/>
      </c>
      <c r="AK8" s="53">
        <f>IF(AK$1&gt;=$A8,INDEX(Monthly!$B$2:$B$61,$A8)*INDEX('Age profile'!$B$2:$B$61,AK$1-$A8+1),"")</f>
        <v/>
      </c>
      <c r="AL8" s="53">
        <f>IF(AL$1&gt;=$A8,INDEX(Monthly!$B$2:$B$61,$A8)*INDEX('Age profile'!$B$2:$B$61,AL$1-$A8+1),"")</f>
        <v/>
      </c>
      <c r="AM8" s="53">
        <f>IF(AM$1&gt;=$A8,INDEX(Monthly!$B$2:$B$61,$A8)*INDEX('Age profile'!$B$2:$B$61,AM$1-$A8+1),"")</f>
        <v/>
      </c>
      <c r="AN8" s="53">
        <f>IF(AN$1&gt;=$A8,INDEX(Monthly!$B$2:$B$61,$A8)*INDEX('Age profile'!$B$2:$B$61,AN$1-$A8+1),"")</f>
        <v/>
      </c>
      <c r="AO8" s="53">
        <f>IF(AO$1&gt;=$A8,INDEX(Monthly!$B$2:$B$61,$A8)*INDEX('Age profile'!$B$2:$B$61,AO$1-$A8+1),"")</f>
        <v/>
      </c>
      <c r="AP8" s="53">
        <f>IF(AP$1&gt;=$A8,INDEX(Monthly!$B$2:$B$61,$A8)*INDEX('Age profile'!$B$2:$B$61,AP$1-$A8+1),"")</f>
        <v/>
      </c>
      <c r="AQ8" s="53">
        <f>IF(AQ$1&gt;=$A8,INDEX(Monthly!$B$2:$B$61,$A8)*INDEX('Age profile'!$B$2:$B$61,AQ$1-$A8+1),"")</f>
        <v/>
      </c>
      <c r="AR8" s="53">
        <f>IF(AR$1&gt;=$A8,INDEX(Monthly!$B$2:$B$61,$A8)*INDEX('Age profile'!$B$2:$B$61,AR$1-$A8+1),"")</f>
        <v/>
      </c>
      <c r="AS8" s="53">
        <f>IF(AS$1&gt;=$A8,INDEX(Monthly!$B$2:$B$61,$A8)*INDEX('Age profile'!$B$2:$B$61,AS$1-$A8+1),"")</f>
        <v/>
      </c>
      <c r="AT8" s="53">
        <f>IF(AT$1&gt;=$A8,INDEX(Monthly!$B$2:$B$61,$A8)*INDEX('Age profile'!$B$2:$B$61,AT$1-$A8+1),"")</f>
        <v/>
      </c>
      <c r="AU8" s="53">
        <f>IF(AU$1&gt;=$A8,INDEX(Monthly!$B$2:$B$61,$A8)*INDEX('Age profile'!$B$2:$B$61,AU$1-$A8+1),"")</f>
        <v/>
      </c>
      <c r="AV8" s="53">
        <f>IF(AV$1&gt;=$A8,INDEX(Monthly!$B$2:$B$61,$A8)*INDEX('Age profile'!$B$2:$B$61,AV$1-$A8+1),"")</f>
        <v/>
      </c>
      <c r="AW8" s="53">
        <f>IF(AW$1&gt;=$A8,INDEX(Monthly!$B$2:$B$61,$A8)*INDEX('Age profile'!$B$2:$B$61,AW$1-$A8+1),"")</f>
        <v/>
      </c>
      <c r="AX8" s="53">
        <f>IF(AX$1&gt;=$A8,INDEX(Monthly!$B$2:$B$61,$A8)*INDEX('Age profile'!$B$2:$B$61,AX$1-$A8+1),"")</f>
        <v/>
      </c>
      <c r="AY8" s="53">
        <f>IF(AY$1&gt;=$A8,INDEX(Monthly!$B$2:$B$61,$A8)*INDEX('Age profile'!$B$2:$B$61,AY$1-$A8+1),"")</f>
        <v/>
      </c>
      <c r="AZ8" s="53">
        <f>IF(AZ$1&gt;=$A8,INDEX(Monthly!$B$2:$B$61,$A8)*INDEX('Age profile'!$B$2:$B$61,AZ$1-$A8+1),"")</f>
        <v/>
      </c>
      <c r="BA8" s="53">
        <f>IF(BA$1&gt;=$A8,INDEX(Monthly!$B$2:$B$61,$A8)*INDEX('Age profile'!$B$2:$B$61,BA$1-$A8+1),"")</f>
        <v/>
      </c>
      <c r="BB8" s="53">
        <f>IF(BB$1&gt;=$A8,INDEX(Monthly!$B$2:$B$61,$A8)*INDEX('Age profile'!$B$2:$B$61,BB$1-$A8+1),"")</f>
        <v/>
      </c>
      <c r="BC8" s="53">
        <f>IF(BC$1&gt;=$A8,INDEX(Monthly!$B$2:$B$61,$A8)*INDEX('Age profile'!$B$2:$B$61,BC$1-$A8+1),"")</f>
        <v/>
      </c>
      <c r="BD8" s="53">
        <f>IF(BD$1&gt;=$A8,INDEX(Monthly!$B$2:$B$61,$A8)*INDEX('Age profile'!$B$2:$B$61,BD$1-$A8+1),"")</f>
        <v/>
      </c>
      <c r="BE8" s="53">
        <f>IF(BE$1&gt;=$A8,INDEX(Monthly!$B$2:$B$61,$A8)*INDEX('Age profile'!$B$2:$B$61,BE$1-$A8+1),"")</f>
        <v/>
      </c>
      <c r="BF8" s="53">
        <f>IF(BF$1&gt;=$A8,INDEX(Monthly!$B$2:$B$61,$A8)*INDEX('Age profile'!$B$2:$B$61,BF$1-$A8+1),"")</f>
        <v/>
      </c>
      <c r="BG8" s="53">
        <f>IF(BG$1&gt;=$A8,INDEX(Monthly!$B$2:$B$61,$A8)*INDEX('Age profile'!$B$2:$B$61,BG$1-$A8+1),"")</f>
        <v/>
      </c>
      <c r="BH8" s="53">
        <f>IF(BH$1&gt;=$A8,INDEX(Monthly!$B$2:$B$61,$A8)*INDEX('Age profile'!$B$2:$B$61,BH$1-$A8+1),"")</f>
        <v/>
      </c>
      <c r="BI8" s="53">
        <f>IF(BI$1&gt;=$A8,INDEX(Monthly!$B$2:$B$61,$A8)*INDEX('Age profile'!$B$2:$B$61,BI$1-$A8+1),"")</f>
        <v/>
      </c>
    </row>
    <row r="9">
      <c r="A9" s="3" t="n">
        <v>8</v>
      </c>
      <c r="B9" s="53">
        <f>IF(B$1&gt;=$A9,INDEX(Monthly!$B$2:$B$61,$A9)*INDEX('Age profile'!$B$2:$B$61,B$1-$A9+1),"")</f>
        <v/>
      </c>
      <c r="C9" s="53">
        <f>IF(C$1&gt;=$A9,INDEX(Monthly!$B$2:$B$61,$A9)*INDEX('Age profile'!$B$2:$B$61,C$1-$A9+1),"")</f>
        <v/>
      </c>
      <c r="D9" s="53">
        <f>IF(D$1&gt;=$A9,INDEX(Monthly!$B$2:$B$61,$A9)*INDEX('Age profile'!$B$2:$B$61,D$1-$A9+1),"")</f>
        <v/>
      </c>
      <c r="E9" s="53">
        <f>IF(E$1&gt;=$A9,INDEX(Monthly!$B$2:$B$61,$A9)*INDEX('Age profile'!$B$2:$B$61,E$1-$A9+1),"")</f>
        <v/>
      </c>
      <c r="F9" s="53">
        <f>IF(F$1&gt;=$A9,INDEX(Monthly!$B$2:$B$61,$A9)*INDEX('Age profile'!$B$2:$B$61,F$1-$A9+1),"")</f>
        <v/>
      </c>
      <c r="G9" s="53">
        <f>IF(G$1&gt;=$A9,INDEX(Monthly!$B$2:$B$61,$A9)*INDEX('Age profile'!$B$2:$B$61,G$1-$A9+1),"")</f>
        <v/>
      </c>
      <c r="H9" s="53">
        <f>IF(H$1&gt;=$A9,INDEX(Monthly!$B$2:$B$61,$A9)*INDEX('Age profile'!$B$2:$B$61,H$1-$A9+1),"")</f>
        <v/>
      </c>
      <c r="I9" s="53">
        <f>IF(I$1&gt;=$A9,INDEX(Monthly!$B$2:$B$61,$A9)*INDEX('Age profile'!$B$2:$B$61,I$1-$A9+1),"")</f>
        <v/>
      </c>
      <c r="J9" s="53">
        <f>IF(J$1&gt;=$A9,INDEX(Monthly!$B$2:$B$61,$A9)*INDEX('Age profile'!$B$2:$B$61,J$1-$A9+1),"")</f>
        <v/>
      </c>
      <c r="K9" s="53">
        <f>IF(K$1&gt;=$A9,INDEX(Monthly!$B$2:$B$61,$A9)*INDEX('Age profile'!$B$2:$B$61,K$1-$A9+1),"")</f>
        <v/>
      </c>
      <c r="L9" s="53">
        <f>IF(L$1&gt;=$A9,INDEX(Monthly!$B$2:$B$61,$A9)*INDEX('Age profile'!$B$2:$B$61,L$1-$A9+1),"")</f>
        <v/>
      </c>
      <c r="M9" s="53">
        <f>IF(M$1&gt;=$A9,INDEX(Monthly!$B$2:$B$61,$A9)*INDEX('Age profile'!$B$2:$B$61,M$1-$A9+1),"")</f>
        <v/>
      </c>
      <c r="N9" s="53">
        <f>IF(N$1&gt;=$A9,INDEX(Monthly!$B$2:$B$61,$A9)*INDEX('Age profile'!$B$2:$B$61,N$1-$A9+1),"")</f>
        <v/>
      </c>
      <c r="O9" s="53">
        <f>IF(O$1&gt;=$A9,INDEX(Monthly!$B$2:$B$61,$A9)*INDEX('Age profile'!$B$2:$B$61,O$1-$A9+1),"")</f>
        <v/>
      </c>
      <c r="P9" s="53">
        <f>IF(P$1&gt;=$A9,INDEX(Monthly!$B$2:$B$61,$A9)*INDEX('Age profile'!$B$2:$B$61,P$1-$A9+1),"")</f>
        <v/>
      </c>
      <c r="Q9" s="53">
        <f>IF(Q$1&gt;=$A9,INDEX(Monthly!$B$2:$B$61,$A9)*INDEX('Age profile'!$B$2:$B$61,Q$1-$A9+1),"")</f>
        <v/>
      </c>
      <c r="R9" s="53">
        <f>IF(R$1&gt;=$A9,INDEX(Monthly!$B$2:$B$61,$A9)*INDEX('Age profile'!$B$2:$B$61,R$1-$A9+1),"")</f>
        <v/>
      </c>
      <c r="S9" s="53">
        <f>IF(S$1&gt;=$A9,INDEX(Monthly!$B$2:$B$61,$A9)*INDEX('Age profile'!$B$2:$B$61,S$1-$A9+1),"")</f>
        <v/>
      </c>
      <c r="T9" s="53">
        <f>IF(T$1&gt;=$A9,INDEX(Monthly!$B$2:$B$61,$A9)*INDEX('Age profile'!$B$2:$B$61,T$1-$A9+1),"")</f>
        <v/>
      </c>
      <c r="U9" s="53">
        <f>IF(U$1&gt;=$A9,INDEX(Monthly!$B$2:$B$61,$A9)*INDEX('Age profile'!$B$2:$B$61,U$1-$A9+1),"")</f>
        <v/>
      </c>
      <c r="V9" s="53">
        <f>IF(V$1&gt;=$A9,INDEX(Monthly!$B$2:$B$61,$A9)*INDEX('Age profile'!$B$2:$B$61,V$1-$A9+1),"")</f>
        <v/>
      </c>
      <c r="W9" s="53">
        <f>IF(W$1&gt;=$A9,INDEX(Monthly!$B$2:$B$61,$A9)*INDEX('Age profile'!$B$2:$B$61,W$1-$A9+1),"")</f>
        <v/>
      </c>
      <c r="X9" s="53">
        <f>IF(X$1&gt;=$A9,INDEX(Monthly!$B$2:$B$61,$A9)*INDEX('Age profile'!$B$2:$B$61,X$1-$A9+1),"")</f>
        <v/>
      </c>
      <c r="Y9" s="53">
        <f>IF(Y$1&gt;=$A9,INDEX(Monthly!$B$2:$B$61,$A9)*INDEX('Age profile'!$B$2:$B$61,Y$1-$A9+1),"")</f>
        <v/>
      </c>
      <c r="Z9" s="53">
        <f>IF(Z$1&gt;=$A9,INDEX(Monthly!$B$2:$B$61,$A9)*INDEX('Age profile'!$B$2:$B$61,Z$1-$A9+1),"")</f>
        <v/>
      </c>
      <c r="AA9" s="53">
        <f>IF(AA$1&gt;=$A9,INDEX(Monthly!$B$2:$B$61,$A9)*INDEX('Age profile'!$B$2:$B$61,AA$1-$A9+1),"")</f>
        <v/>
      </c>
      <c r="AB9" s="53">
        <f>IF(AB$1&gt;=$A9,INDEX(Monthly!$B$2:$B$61,$A9)*INDEX('Age profile'!$B$2:$B$61,AB$1-$A9+1),"")</f>
        <v/>
      </c>
      <c r="AC9" s="53">
        <f>IF(AC$1&gt;=$A9,INDEX(Monthly!$B$2:$B$61,$A9)*INDEX('Age profile'!$B$2:$B$61,AC$1-$A9+1),"")</f>
        <v/>
      </c>
      <c r="AD9" s="53">
        <f>IF(AD$1&gt;=$A9,INDEX(Monthly!$B$2:$B$61,$A9)*INDEX('Age profile'!$B$2:$B$61,AD$1-$A9+1),"")</f>
        <v/>
      </c>
      <c r="AE9" s="53">
        <f>IF(AE$1&gt;=$A9,INDEX(Monthly!$B$2:$B$61,$A9)*INDEX('Age profile'!$B$2:$B$61,AE$1-$A9+1),"")</f>
        <v/>
      </c>
      <c r="AF9" s="53">
        <f>IF(AF$1&gt;=$A9,INDEX(Monthly!$B$2:$B$61,$A9)*INDEX('Age profile'!$B$2:$B$61,AF$1-$A9+1),"")</f>
        <v/>
      </c>
      <c r="AG9" s="53">
        <f>IF(AG$1&gt;=$A9,INDEX(Monthly!$B$2:$B$61,$A9)*INDEX('Age profile'!$B$2:$B$61,AG$1-$A9+1),"")</f>
        <v/>
      </c>
      <c r="AH9" s="53">
        <f>IF(AH$1&gt;=$A9,INDEX(Monthly!$B$2:$B$61,$A9)*INDEX('Age profile'!$B$2:$B$61,AH$1-$A9+1),"")</f>
        <v/>
      </c>
      <c r="AI9" s="53">
        <f>IF(AI$1&gt;=$A9,INDEX(Monthly!$B$2:$B$61,$A9)*INDEX('Age profile'!$B$2:$B$61,AI$1-$A9+1),"")</f>
        <v/>
      </c>
      <c r="AJ9" s="53">
        <f>IF(AJ$1&gt;=$A9,INDEX(Monthly!$B$2:$B$61,$A9)*INDEX('Age profile'!$B$2:$B$61,AJ$1-$A9+1),"")</f>
        <v/>
      </c>
      <c r="AK9" s="53">
        <f>IF(AK$1&gt;=$A9,INDEX(Monthly!$B$2:$B$61,$A9)*INDEX('Age profile'!$B$2:$B$61,AK$1-$A9+1),"")</f>
        <v/>
      </c>
      <c r="AL9" s="53">
        <f>IF(AL$1&gt;=$A9,INDEX(Monthly!$B$2:$B$61,$A9)*INDEX('Age profile'!$B$2:$B$61,AL$1-$A9+1),"")</f>
        <v/>
      </c>
      <c r="AM9" s="53">
        <f>IF(AM$1&gt;=$A9,INDEX(Monthly!$B$2:$B$61,$A9)*INDEX('Age profile'!$B$2:$B$61,AM$1-$A9+1),"")</f>
        <v/>
      </c>
      <c r="AN9" s="53">
        <f>IF(AN$1&gt;=$A9,INDEX(Monthly!$B$2:$B$61,$A9)*INDEX('Age profile'!$B$2:$B$61,AN$1-$A9+1),"")</f>
        <v/>
      </c>
      <c r="AO9" s="53">
        <f>IF(AO$1&gt;=$A9,INDEX(Monthly!$B$2:$B$61,$A9)*INDEX('Age profile'!$B$2:$B$61,AO$1-$A9+1),"")</f>
        <v/>
      </c>
      <c r="AP9" s="53">
        <f>IF(AP$1&gt;=$A9,INDEX(Monthly!$B$2:$B$61,$A9)*INDEX('Age profile'!$B$2:$B$61,AP$1-$A9+1),"")</f>
        <v/>
      </c>
      <c r="AQ9" s="53">
        <f>IF(AQ$1&gt;=$A9,INDEX(Monthly!$B$2:$B$61,$A9)*INDEX('Age profile'!$B$2:$B$61,AQ$1-$A9+1),"")</f>
        <v/>
      </c>
      <c r="AR9" s="53">
        <f>IF(AR$1&gt;=$A9,INDEX(Monthly!$B$2:$B$61,$A9)*INDEX('Age profile'!$B$2:$B$61,AR$1-$A9+1),"")</f>
        <v/>
      </c>
      <c r="AS9" s="53">
        <f>IF(AS$1&gt;=$A9,INDEX(Monthly!$B$2:$B$61,$A9)*INDEX('Age profile'!$B$2:$B$61,AS$1-$A9+1),"")</f>
        <v/>
      </c>
      <c r="AT9" s="53">
        <f>IF(AT$1&gt;=$A9,INDEX(Monthly!$B$2:$B$61,$A9)*INDEX('Age profile'!$B$2:$B$61,AT$1-$A9+1),"")</f>
        <v/>
      </c>
      <c r="AU9" s="53">
        <f>IF(AU$1&gt;=$A9,INDEX(Monthly!$B$2:$B$61,$A9)*INDEX('Age profile'!$B$2:$B$61,AU$1-$A9+1),"")</f>
        <v/>
      </c>
      <c r="AV9" s="53">
        <f>IF(AV$1&gt;=$A9,INDEX(Monthly!$B$2:$B$61,$A9)*INDEX('Age profile'!$B$2:$B$61,AV$1-$A9+1),"")</f>
        <v/>
      </c>
      <c r="AW9" s="53">
        <f>IF(AW$1&gt;=$A9,INDEX(Monthly!$B$2:$B$61,$A9)*INDEX('Age profile'!$B$2:$B$61,AW$1-$A9+1),"")</f>
        <v/>
      </c>
      <c r="AX9" s="53">
        <f>IF(AX$1&gt;=$A9,INDEX(Monthly!$B$2:$B$61,$A9)*INDEX('Age profile'!$B$2:$B$61,AX$1-$A9+1),"")</f>
        <v/>
      </c>
      <c r="AY9" s="53">
        <f>IF(AY$1&gt;=$A9,INDEX(Monthly!$B$2:$B$61,$A9)*INDEX('Age profile'!$B$2:$B$61,AY$1-$A9+1),"")</f>
        <v/>
      </c>
      <c r="AZ9" s="53">
        <f>IF(AZ$1&gt;=$A9,INDEX(Monthly!$B$2:$B$61,$A9)*INDEX('Age profile'!$B$2:$B$61,AZ$1-$A9+1),"")</f>
        <v/>
      </c>
      <c r="BA9" s="53">
        <f>IF(BA$1&gt;=$A9,INDEX(Monthly!$B$2:$B$61,$A9)*INDEX('Age profile'!$B$2:$B$61,BA$1-$A9+1),"")</f>
        <v/>
      </c>
      <c r="BB9" s="53">
        <f>IF(BB$1&gt;=$A9,INDEX(Monthly!$B$2:$B$61,$A9)*INDEX('Age profile'!$B$2:$B$61,BB$1-$A9+1),"")</f>
        <v/>
      </c>
      <c r="BC9" s="53">
        <f>IF(BC$1&gt;=$A9,INDEX(Monthly!$B$2:$B$61,$A9)*INDEX('Age profile'!$B$2:$B$61,BC$1-$A9+1),"")</f>
        <v/>
      </c>
      <c r="BD9" s="53">
        <f>IF(BD$1&gt;=$A9,INDEX(Monthly!$B$2:$B$61,$A9)*INDEX('Age profile'!$B$2:$B$61,BD$1-$A9+1),"")</f>
        <v/>
      </c>
      <c r="BE9" s="53">
        <f>IF(BE$1&gt;=$A9,INDEX(Monthly!$B$2:$B$61,$A9)*INDEX('Age profile'!$B$2:$B$61,BE$1-$A9+1),"")</f>
        <v/>
      </c>
      <c r="BF9" s="53">
        <f>IF(BF$1&gt;=$A9,INDEX(Monthly!$B$2:$B$61,$A9)*INDEX('Age profile'!$B$2:$B$61,BF$1-$A9+1),"")</f>
        <v/>
      </c>
      <c r="BG9" s="53">
        <f>IF(BG$1&gt;=$A9,INDEX(Monthly!$B$2:$B$61,$A9)*INDEX('Age profile'!$B$2:$B$61,BG$1-$A9+1),"")</f>
        <v/>
      </c>
      <c r="BH9" s="53">
        <f>IF(BH$1&gt;=$A9,INDEX(Monthly!$B$2:$B$61,$A9)*INDEX('Age profile'!$B$2:$B$61,BH$1-$A9+1),"")</f>
        <v/>
      </c>
      <c r="BI9" s="53">
        <f>IF(BI$1&gt;=$A9,INDEX(Monthly!$B$2:$B$61,$A9)*INDEX('Age profile'!$B$2:$B$61,BI$1-$A9+1),"")</f>
        <v/>
      </c>
    </row>
    <row r="10">
      <c r="A10" s="3" t="n">
        <v>9</v>
      </c>
      <c r="B10" s="53">
        <f>IF(B$1&gt;=$A10,INDEX(Monthly!$B$2:$B$61,$A10)*INDEX('Age profile'!$B$2:$B$61,B$1-$A10+1),"")</f>
        <v/>
      </c>
      <c r="C10" s="53">
        <f>IF(C$1&gt;=$A10,INDEX(Monthly!$B$2:$B$61,$A10)*INDEX('Age profile'!$B$2:$B$61,C$1-$A10+1),"")</f>
        <v/>
      </c>
      <c r="D10" s="53">
        <f>IF(D$1&gt;=$A10,INDEX(Monthly!$B$2:$B$61,$A10)*INDEX('Age profile'!$B$2:$B$61,D$1-$A10+1),"")</f>
        <v/>
      </c>
      <c r="E10" s="53">
        <f>IF(E$1&gt;=$A10,INDEX(Monthly!$B$2:$B$61,$A10)*INDEX('Age profile'!$B$2:$B$61,E$1-$A10+1),"")</f>
        <v/>
      </c>
      <c r="F10" s="53">
        <f>IF(F$1&gt;=$A10,INDEX(Monthly!$B$2:$B$61,$A10)*INDEX('Age profile'!$B$2:$B$61,F$1-$A10+1),"")</f>
        <v/>
      </c>
      <c r="G10" s="53">
        <f>IF(G$1&gt;=$A10,INDEX(Monthly!$B$2:$B$61,$A10)*INDEX('Age profile'!$B$2:$B$61,G$1-$A10+1),"")</f>
        <v/>
      </c>
      <c r="H10" s="53">
        <f>IF(H$1&gt;=$A10,INDEX(Monthly!$B$2:$B$61,$A10)*INDEX('Age profile'!$B$2:$B$61,H$1-$A10+1),"")</f>
        <v/>
      </c>
      <c r="I10" s="53">
        <f>IF(I$1&gt;=$A10,INDEX(Monthly!$B$2:$B$61,$A10)*INDEX('Age profile'!$B$2:$B$61,I$1-$A10+1),"")</f>
        <v/>
      </c>
      <c r="J10" s="53">
        <f>IF(J$1&gt;=$A10,INDEX(Monthly!$B$2:$B$61,$A10)*INDEX('Age profile'!$B$2:$B$61,J$1-$A10+1),"")</f>
        <v/>
      </c>
      <c r="K10" s="53">
        <f>IF(K$1&gt;=$A10,INDEX(Monthly!$B$2:$B$61,$A10)*INDEX('Age profile'!$B$2:$B$61,K$1-$A10+1),"")</f>
        <v/>
      </c>
      <c r="L10" s="53">
        <f>IF(L$1&gt;=$A10,INDEX(Monthly!$B$2:$B$61,$A10)*INDEX('Age profile'!$B$2:$B$61,L$1-$A10+1),"")</f>
        <v/>
      </c>
      <c r="M10" s="53">
        <f>IF(M$1&gt;=$A10,INDEX(Monthly!$B$2:$B$61,$A10)*INDEX('Age profile'!$B$2:$B$61,M$1-$A10+1),"")</f>
        <v/>
      </c>
      <c r="N10" s="53">
        <f>IF(N$1&gt;=$A10,INDEX(Monthly!$B$2:$B$61,$A10)*INDEX('Age profile'!$B$2:$B$61,N$1-$A10+1),"")</f>
        <v/>
      </c>
      <c r="O10" s="53">
        <f>IF(O$1&gt;=$A10,INDEX(Monthly!$B$2:$B$61,$A10)*INDEX('Age profile'!$B$2:$B$61,O$1-$A10+1),"")</f>
        <v/>
      </c>
      <c r="P10" s="53">
        <f>IF(P$1&gt;=$A10,INDEX(Monthly!$B$2:$B$61,$A10)*INDEX('Age profile'!$B$2:$B$61,P$1-$A10+1),"")</f>
        <v/>
      </c>
      <c r="Q10" s="53">
        <f>IF(Q$1&gt;=$A10,INDEX(Monthly!$B$2:$B$61,$A10)*INDEX('Age profile'!$B$2:$B$61,Q$1-$A10+1),"")</f>
        <v/>
      </c>
      <c r="R10" s="53">
        <f>IF(R$1&gt;=$A10,INDEX(Monthly!$B$2:$B$61,$A10)*INDEX('Age profile'!$B$2:$B$61,R$1-$A10+1),"")</f>
        <v/>
      </c>
      <c r="S10" s="53">
        <f>IF(S$1&gt;=$A10,INDEX(Monthly!$B$2:$B$61,$A10)*INDEX('Age profile'!$B$2:$B$61,S$1-$A10+1),"")</f>
        <v/>
      </c>
      <c r="T10" s="53">
        <f>IF(T$1&gt;=$A10,INDEX(Monthly!$B$2:$B$61,$A10)*INDEX('Age profile'!$B$2:$B$61,T$1-$A10+1),"")</f>
        <v/>
      </c>
      <c r="U10" s="53">
        <f>IF(U$1&gt;=$A10,INDEX(Monthly!$B$2:$B$61,$A10)*INDEX('Age profile'!$B$2:$B$61,U$1-$A10+1),"")</f>
        <v/>
      </c>
      <c r="V10" s="53">
        <f>IF(V$1&gt;=$A10,INDEX(Monthly!$B$2:$B$61,$A10)*INDEX('Age profile'!$B$2:$B$61,V$1-$A10+1),"")</f>
        <v/>
      </c>
      <c r="W10" s="53">
        <f>IF(W$1&gt;=$A10,INDEX(Monthly!$B$2:$B$61,$A10)*INDEX('Age profile'!$B$2:$B$61,W$1-$A10+1),"")</f>
        <v/>
      </c>
      <c r="X10" s="53">
        <f>IF(X$1&gt;=$A10,INDEX(Monthly!$B$2:$B$61,$A10)*INDEX('Age profile'!$B$2:$B$61,X$1-$A10+1),"")</f>
        <v/>
      </c>
      <c r="Y10" s="53">
        <f>IF(Y$1&gt;=$A10,INDEX(Monthly!$B$2:$B$61,$A10)*INDEX('Age profile'!$B$2:$B$61,Y$1-$A10+1),"")</f>
        <v/>
      </c>
      <c r="Z10" s="53">
        <f>IF(Z$1&gt;=$A10,INDEX(Monthly!$B$2:$B$61,$A10)*INDEX('Age profile'!$B$2:$B$61,Z$1-$A10+1),"")</f>
        <v/>
      </c>
      <c r="AA10" s="53">
        <f>IF(AA$1&gt;=$A10,INDEX(Monthly!$B$2:$B$61,$A10)*INDEX('Age profile'!$B$2:$B$61,AA$1-$A10+1),"")</f>
        <v/>
      </c>
      <c r="AB10" s="53">
        <f>IF(AB$1&gt;=$A10,INDEX(Monthly!$B$2:$B$61,$A10)*INDEX('Age profile'!$B$2:$B$61,AB$1-$A10+1),"")</f>
        <v/>
      </c>
      <c r="AC10" s="53">
        <f>IF(AC$1&gt;=$A10,INDEX(Monthly!$B$2:$B$61,$A10)*INDEX('Age profile'!$B$2:$B$61,AC$1-$A10+1),"")</f>
        <v/>
      </c>
      <c r="AD10" s="53">
        <f>IF(AD$1&gt;=$A10,INDEX(Monthly!$B$2:$B$61,$A10)*INDEX('Age profile'!$B$2:$B$61,AD$1-$A10+1),"")</f>
        <v/>
      </c>
      <c r="AE10" s="53">
        <f>IF(AE$1&gt;=$A10,INDEX(Monthly!$B$2:$B$61,$A10)*INDEX('Age profile'!$B$2:$B$61,AE$1-$A10+1),"")</f>
        <v/>
      </c>
      <c r="AF10" s="53">
        <f>IF(AF$1&gt;=$A10,INDEX(Monthly!$B$2:$B$61,$A10)*INDEX('Age profile'!$B$2:$B$61,AF$1-$A10+1),"")</f>
        <v/>
      </c>
      <c r="AG10" s="53">
        <f>IF(AG$1&gt;=$A10,INDEX(Monthly!$B$2:$B$61,$A10)*INDEX('Age profile'!$B$2:$B$61,AG$1-$A10+1),"")</f>
        <v/>
      </c>
      <c r="AH10" s="53">
        <f>IF(AH$1&gt;=$A10,INDEX(Monthly!$B$2:$B$61,$A10)*INDEX('Age profile'!$B$2:$B$61,AH$1-$A10+1),"")</f>
        <v/>
      </c>
      <c r="AI10" s="53">
        <f>IF(AI$1&gt;=$A10,INDEX(Monthly!$B$2:$B$61,$A10)*INDEX('Age profile'!$B$2:$B$61,AI$1-$A10+1),"")</f>
        <v/>
      </c>
      <c r="AJ10" s="53">
        <f>IF(AJ$1&gt;=$A10,INDEX(Monthly!$B$2:$B$61,$A10)*INDEX('Age profile'!$B$2:$B$61,AJ$1-$A10+1),"")</f>
        <v/>
      </c>
      <c r="AK10" s="53">
        <f>IF(AK$1&gt;=$A10,INDEX(Monthly!$B$2:$B$61,$A10)*INDEX('Age profile'!$B$2:$B$61,AK$1-$A10+1),"")</f>
        <v/>
      </c>
      <c r="AL10" s="53">
        <f>IF(AL$1&gt;=$A10,INDEX(Monthly!$B$2:$B$61,$A10)*INDEX('Age profile'!$B$2:$B$61,AL$1-$A10+1),"")</f>
        <v/>
      </c>
      <c r="AM10" s="53">
        <f>IF(AM$1&gt;=$A10,INDEX(Monthly!$B$2:$B$61,$A10)*INDEX('Age profile'!$B$2:$B$61,AM$1-$A10+1),"")</f>
        <v/>
      </c>
      <c r="AN10" s="53">
        <f>IF(AN$1&gt;=$A10,INDEX(Monthly!$B$2:$B$61,$A10)*INDEX('Age profile'!$B$2:$B$61,AN$1-$A10+1),"")</f>
        <v/>
      </c>
      <c r="AO10" s="53">
        <f>IF(AO$1&gt;=$A10,INDEX(Monthly!$B$2:$B$61,$A10)*INDEX('Age profile'!$B$2:$B$61,AO$1-$A10+1),"")</f>
        <v/>
      </c>
      <c r="AP10" s="53">
        <f>IF(AP$1&gt;=$A10,INDEX(Monthly!$B$2:$B$61,$A10)*INDEX('Age profile'!$B$2:$B$61,AP$1-$A10+1),"")</f>
        <v/>
      </c>
      <c r="AQ10" s="53">
        <f>IF(AQ$1&gt;=$A10,INDEX(Monthly!$B$2:$B$61,$A10)*INDEX('Age profile'!$B$2:$B$61,AQ$1-$A10+1),"")</f>
        <v/>
      </c>
      <c r="AR10" s="53">
        <f>IF(AR$1&gt;=$A10,INDEX(Monthly!$B$2:$B$61,$A10)*INDEX('Age profile'!$B$2:$B$61,AR$1-$A10+1),"")</f>
        <v/>
      </c>
      <c r="AS10" s="53">
        <f>IF(AS$1&gt;=$A10,INDEX(Monthly!$B$2:$B$61,$A10)*INDEX('Age profile'!$B$2:$B$61,AS$1-$A10+1),"")</f>
        <v/>
      </c>
      <c r="AT10" s="53">
        <f>IF(AT$1&gt;=$A10,INDEX(Monthly!$B$2:$B$61,$A10)*INDEX('Age profile'!$B$2:$B$61,AT$1-$A10+1),"")</f>
        <v/>
      </c>
      <c r="AU10" s="53">
        <f>IF(AU$1&gt;=$A10,INDEX(Monthly!$B$2:$B$61,$A10)*INDEX('Age profile'!$B$2:$B$61,AU$1-$A10+1),"")</f>
        <v/>
      </c>
      <c r="AV10" s="53">
        <f>IF(AV$1&gt;=$A10,INDEX(Monthly!$B$2:$B$61,$A10)*INDEX('Age profile'!$B$2:$B$61,AV$1-$A10+1),"")</f>
        <v/>
      </c>
      <c r="AW10" s="53">
        <f>IF(AW$1&gt;=$A10,INDEX(Monthly!$B$2:$B$61,$A10)*INDEX('Age profile'!$B$2:$B$61,AW$1-$A10+1),"")</f>
        <v/>
      </c>
      <c r="AX10" s="53">
        <f>IF(AX$1&gt;=$A10,INDEX(Monthly!$B$2:$B$61,$A10)*INDEX('Age profile'!$B$2:$B$61,AX$1-$A10+1),"")</f>
        <v/>
      </c>
      <c r="AY10" s="53">
        <f>IF(AY$1&gt;=$A10,INDEX(Monthly!$B$2:$B$61,$A10)*INDEX('Age profile'!$B$2:$B$61,AY$1-$A10+1),"")</f>
        <v/>
      </c>
      <c r="AZ10" s="53">
        <f>IF(AZ$1&gt;=$A10,INDEX(Monthly!$B$2:$B$61,$A10)*INDEX('Age profile'!$B$2:$B$61,AZ$1-$A10+1),"")</f>
        <v/>
      </c>
      <c r="BA10" s="53">
        <f>IF(BA$1&gt;=$A10,INDEX(Monthly!$B$2:$B$61,$A10)*INDEX('Age profile'!$B$2:$B$61,BA$1-$A10+1),"")</f>
        <v/>
      </c>
      <c r="BB10" s="53">
        <f>IF(BB$1&gt;=$A10,INDEX(Monthly!$B$2:$B$61,$A10)*INDEX('Age profile'!$B$2:$B$61,BB$1-$A10+1),"")</f>
        <v/>
      </c>
      <c r="BC10" s="53">
        <f>IF(BC$1&gt;=$A10,INDEX(Monthly!$B$2:$B$61,$A10)*INDEX('Age profile'!$B$2:$B$61,BC$1-$A10+1),"")</f>
        <v/>
      </c>
      <c r="BD10" s="53">
        <f>IF(BD$1&gt;=$A10,INDEX(Monthly!$B$2:$B$61,$A10)*INDEX('Age profile'!$B$2:$B$61,BD$1-$A10+1),"")</f>
        <v/>
      </c>
      <c r="BE10" s="53">
        <f>IF(BE$1&gt;=$A10,INDEX(Monthly!$B$2:$B$61,$A10)*INDEX('Age profile'!$B$2:$B$61,BE$1-$A10+1),"")</f>
        <v/>
      </c>
      <c r="BF10" s="53">
        <f>IF(BF$1&gt;=$A10,INDEX(Monthly!$B$2:$B$61,$A10)*INDEX('Age profile'!$B$2:$B$61,BF$1-$A10+1),"")</f>
        <v/>
      </c>
      <c r="BG10" s="53">
        <f>IF(BG$1&gt;=$A10,INDEX(Monthly!$B$2:$B$61,$A10)*INDEX('Age profile'!$B$2:$B$61,BG$1-$A10+1),"")</f>
        <v/>
      </c>
      <c r="BH10" s="53">
        <f>IF(BH$1&gt;=$A10,INDEX(Monthly!$B$2:$B$61,$A10)*INDEX('Age profile'!$B$2:$B$61,BH$1-$A10+1),"")</f>
        <v/>
      </c>
      <c r="BI10" s="53">
        <f>IF(BI$1&gt;=$A10,INDEX(Monthly!$B$2:$B$61,$A10)*INDEX('Age profile'!$B$2:$B$61,BI$1-$A10+1),"")</f>
        <v/>
      </c>
    </row>
    <row r="11">
      <c r="A11" s="3" t="n">
        <v>10</v>
      </c>
      <c r="B11" s="53">
        <f>IF(B$1&gt;=$A11,INDEX(Monthly!$B$2:$B$61,$A11)*INDEX('Age profile'!$B$2:$B$61,B$1-$A11+1),"")</f>
        <v/>
      </c>
      <c r="C11" s="53">
        <f>IF(C$1&gt;=$A11,INDEX(Monthly!$B$2:$B$61,$A11)*INDEX('Age profile'!$B$2:$B$61,C$1-$A11+1),"")</f>
        <v/>
      </c>
      <c r="D11" s="53">
        <f>IF(D$1&gt;=$A11,INDEX(Monthly!$B$2:$B$61,$A11)*INDEX('Age profile'!$B$2:$B$61,D$1-$A11+1),"")</f>
        <v/>
      </c>
      <c r="E11" s="53">
        <f>IF(E$1&gt;=$A11,INDEX(Monthly!$B$2:$B$61,$A11)*INDEX('Age profile'!$B$2:$B$61,E$1-$A11+1),"")</f>
        <v/>
      </c>
      <c r="F11" s="53">
        <f>IF(F$1&gt;=$A11,INDEX(Monthly!$B$2:$B$61,$A11)*INDEX('Age profile'!$B$2:$B$61,F$1-$A11+1),"")</f>
        <v/>
      </c>
      <c r="G11" s="53">
        <f>IF(G$1&gt;=$A11,INDEX(Monthly!$B$2:$B$61,$A11)*INDEX('Age profile'!$B$2:$B$61,G$1-$A11+1),"")</f>
        <v/>
      </c>
      <c r="H11" s="53">
        <f>IF(H$1&gt;=$A11,INDEX(Monthly!$B$2:$B$61,$A11)*INDEX('Age profile'!$B$2:$B$61,H$1-$A11+1),"")</f>
        <v/>
      </c>
      <c r="I11" s="53">
        <f>IF(I$1&gt;=$A11,INDEX(Monthly!$B$2:$B$61,$A11)*INDEX('Age profile'!$B$2:$B$61,I$1-$A11+1),"")</f>
        <v/>
      </c>
      <c r="J11" s="53">
        <f>IF(J$1&gt;=$A11,INDEX(Monthly!$B$2:$B$61,$A11)*INDEX('Age profile'!$B$2:$B$61,J$1-$A11+1),"")</f>
        <v/>
      </c>
      <c r="K11" s="53">
        <f>IF(K$1&gt;=$A11,INDEX(Monthly!$B$2:$B$61,$A11)*INDEX('Age profile'!$B$2:$B$61,K$1-$A11+1),"")</f>
        <v/>
      </c>
      <c r="L11" s="53">
        <f>IF(L$1&gt;=$A11,INDEX(Monthly!$B$2:$B$61,$A11)*INDEX('Age profile'!$B$2:$B$61,L$1-$A11+1),"")</f>
        <v/>
      </c>
      <c r="M11" s="53">
        <f>IF(M$1&gt;=$A11,INDEX(Monthly!$B$2:$B$61,$A11)*INDEX('Age profile'!$B$2:$B$61,M$1-$A11+1),"")</f>
        <v/>
      </c>
      <c r="N11" s="53">
        <f>IF(N$1&gt;=$A11,INDEX(Monthly!$B$2:$B$61,$A11)*INDEX('Age profile'!$B$2:$B$61,N$1-$A11+1),"")</f>
        <v/>
      </c>
      <c r="O11" s="53">
        <f>IF(O$1&gt;=$A11,INDEX(Monthly!$B$2:$B$61,$A11)*INDEX('Age profile'!$B$2:$B$61,O$1-$A11+1),"")</f>
        <v/>
      </c>
      <c r="P11" s="53">
        <f>IF(P$1&gt;=$A11,INDEX(Monthly!$B$2:$B$61,$A11)*INDEX('Age profile'!$B$2:$B$61,P$1-$A11+1),"")</f>
        <v/>
      </c>
      <c r="Q11" s="53">
        <f>IF(Q$1&gt;=$A11,INDEX(Monthly!$B$2:$B$61,$A11)*INDEX('Age profile'!$B$2:$B$61,Q$1-$A11+1),"")</f>
        <v/>
      </c>
      <c r="R11" s="53">
        <f>IF(R$1&gt;=$A11,INDEX(Monthly!$B$2:$B$61,$A11)*INDEX('Age profile'!$B$2:$B$61,R$1-$A11+1),"")</f>
        <v/>
      </c>
      <c r="S11" s="53">
        <f>IF(S$1&gt;=$A11,INDEX(Monthly!$B$2:$B$61,$A11)*INDEX('Age profile'!$B$2:$B$61,S$1-$A11+1),"")</f>
        <v/>
      </c>
      <c r="T11" s="53">
        <f>IF(T$1&gt;=$A11,INDEX(Monthly!$B$2:$B$61,$A11)*INDEX('Age profile'!$B$2:$B$61,T$1-$A11+1),"")</f>
        <v/>
      </c>
      <c r="U11" s="53">
        <f>IF(U$1&gt;=$A11,INDEX(Monthly!$B$2:$B$61,$A11)*INDEX('Age profile'!$B$2:$B$61,U$1-$A11+1),"")</f>
        <v/>
      </c>
      <c r="V11" s="53">
        <f>IF(V$1&gt;=$A11,INDEX(Monthly!$B$2:$B$61,$A11)*INDEX('Age profile'!$B$2:$B$61,V$1-$A11+1),"")</f>
        <v/>
      </c>
      <c r="W11" s="53">
        <f>IF(W$1&gt;=$A11,INDEX(Monthly!$B$2:$B$61,$A11)*INDEX('Age profile'!$B$2:$B$61,W$1-$A11+1),"")</f>
        <v/>
      </c>
      <c r="X11" s="53">
        <f>IF(X$1&gt;=$A11,INDEX(Monthly!$B$2:$B$61,$A11)*INDEX('Age profile'!$B$2:$B$61,X$1-$A11+1),"")</f>
        <v/>
      </c>
      <c r="Y11" s="53">
        <f>IF(Y$1&gt;=$A11,INDEX(Monthly!$B$2:$B$61,$A11)*INDEX('Age profile'!$B$2:$B$61,Y$1-$A11+1),"")</f>
        <v/>
      </c>
      <c r="Z11" s="53">
        <f>IF(Z$1&gt;=$A11,INDEX(Monthly!$B$2:$B$61,$A11)*INDEX('Age profile'!$B$2:$B$61,Z$1-$A11+1),"")</f>
        <v/>
      </c>
      <c r="AA11" s="53">
        <f>IF(AA$1&gt;=$A11,INDEX(Monthly!$B$2:$B$61,$A11)*INDEX('Age profile'!$B$2:$B$61,AA$1-$A11+1),"")</f>
        <v/>
      </c>
      <c r="AB11" s="53">
        <f>IF(AB$1&gt;=$A11,INDEX(Monthly!$B$2:$B$61,$A11)*INDEX('Age profile'!$B$2:$B$61,AB$1-$A11+1),"")</f>
        <v/>
      </c>
      <c r="AC11" s="53">
        <f>IF(AC$1&gt;=$A11,INDEX(Monthly!$B$2:$B$61,$A11)*INDEX('Age profile'!$B$2:$B$61,AC$1-$A11+1),"")</f>
        <v/>
      </c>
      <c r="AD11" s="53">
        <f>IF(AD$1&gt;=$A11,INDEX(Monthly!$B$2:$B$61,$A11)*INDEX('Age profile'!$B$2:$B$61,AD$1-$A11+1),"")</f>
        <v/>
      </c>
      <c r="AE11" s="53">
        <f>IF(AE$1&gt;=$A11,INDEX(Monthly!$B$2:$B$61,$A11)*INDEX('Age profile'!$B$2:$B$61,AE$1-$A11+1),"")</f>
        <v/>
      </c>
      <c r="AF11" s="53">
        <f>IF(AF$1&gt;=$A11,INDEX(Monthly!$B$2:$B$61,$A11)*INDEX('Age profile'!$B$2:$B$61,AF$1-$A11+1),"")</f>
        <v/>
      </c>
      <c r="AG11" s="53">
        <f>IF(AG$1&gt;=$A11,INDEX(Monthly!$B$2:$B$61,$A11)*INDEX('Age profile'!$B$2:$B$61,AG$1-$A11+1),"")</f>
        <v/>
      </c>
      <c r="AH11" s="53">
        <f>IF(AH$1&gt;=$A11,INDEX(Monthly!$B$2:$B$61,$A11)*INDEX('Age profile'!$B$2:$B$61,AH$1-$A11+1),"")</f>
        <v/>
      </c>
      <c r="AI11" s="53">
        <f>IF(AI$1&gt;=$A11,INDEX(Monthly!$B$2:$B$61,$A11)*INDEX('Age profile'!$B$2:$B$61,AI$1-$A11+1),"")</f>
        <v/>
      </c>
      <c r="AJ11" s="53">
        <f>IF(AJ$1&gt;=$A11,INDEX(Monthly!$B$2:$B$61,$A11)*INDEX('Age profile'!$B$2:$B$61,AJ$1-$A11+1),"")</f>
        <v/>
      </c>
      <c r="AK11" s="53">
        <f>IF(AK$1&gt;=$A11,INDEX(Monthly!$B$2:$B$61,$A11)*INDEX('Age profile'!$B$2:$B$61,AK$1-$A11+1),"")</f>
        <v/>
      </c>
      <c r="AL11" s="53">
        <f>IF(AL$1&gt;=$A11,INDEX(Monthly!$B$2:$B$61,$A11)*INDEX('Age profile'!$B$2:$B$61,AL$1-$A11+1),"")</f>
        <v/>
      </c>
      <c r="AM11" s="53">
        <f>IF(AM$1&gt;=$A11,INDEX(Monthly!$B$2:$B$61,$A11)*INDEX('Age profile'!$B$2:$B$61,AM$1-$A11+1),"")</f>
        <v/>
      </c>
      <c r="AN11" s="53">
        <f>IF(AN$1&gt;=$A11,INDEX(Monthly!$B$2:$B$61,$A11)*INDEX('Age profile'!$B$2:$B$61,AN$1-$A11+1),"")</f>
        <v/>
      </c>
      <c r="AO11" s="53">
        <f>IF(AO$1&gt;=$A11,INDEX(Monthly!$B$2:$B$61,$A11)*INDEX('Age profile'!$B$2:$B$61,AO$1-$A11+1),"")</f>
        <v/>
      </c>
      <c r="AP11" s="53">
        <f>IF(AP$1&gt;=$A11,INDEX(Monthly!$B$2:$B$61,$A11)*INDEX('Age profile'!$B$2:$B$61,AP$1-$A11+1),"")</f>
        <v/>
      </c>
      <c r="AQ11" s="53">
        <f>IF(AQ$1&gt;=$A11,INDEX(Monthly!$B$2:$B$61,$A11)*INDEX('Age profile'!$B$2:$B$61,AQ$1-$A11+1),"")</f>
        <v/>
      </c>
      <c r="AR11" s="53">
        <f>IF(AR$1&gt;=$A11,INDEX(Monthly!$B$2:$B$61,$A11)*INDEX('Age profile'!$B$2:$B$61,AR$1-$A11+1),"")</f>
        <v/>
      </c>
      <c r="AS11" s="53">
        <f>IF(AS$1&gt;=$A11,INDEX(Monthly!$B$2:$B$61,$A11)*INDEX('Age profile'!$B$2:$B$61,AS$1-$A11+1),"")</f>
        <v/>
      </c>
      <c r="AT11" s="53">
        <f>IF(AT$1&gt;=$A11,INDEX(Monthly!$B$2:$B$61,$A11)*INDEX('Age profile'!$B$2:$B$61,AT$1-$A11+1),"")</f>
        <v/>
      </c>
      <c r="AU11" s="53">
        <f>IF(AU$1&gt;=$A11,INDEX(Monthly!$B$2:$B$61,$A11)*INDEX('Age profile'!$B$2:$B$61,AU$1-$A11+1),"")</f>
        <v/>
      </c>
      <c r="AV11" s="53">
        <f>IF(AV$1&gt;=$A11,INDEX(Monthly!$B$2:$B$61,$A11)*INDEX('Age profile'!$B$2:$B$61,AV$1-$A11+1),"")</f>
        <v/>
      </c>
      <c r="AW11" s="53">
        <f>IF(AW$1&gt;=$A11,INDEX(Monthly!$B$2:$B$61,$A11)*INDEX('Age profile'!$B$2:$B$61,AW$1-$A11+1),"")</f>
        <v/>
      </c>
      <c r="AX11" s="53">
        <f>IF(AX$1&gt;=$A11,INDEX(Monthly!$B$2:$B$61,$A11)*INDEX('Age profile'!$B$2:$B$61,AX$1-$A11+1),"")</f>
        <v/>
      </c>
      <c r="AY11" s="53">
        <f>IF(AY$1&gt;=$A11,INDEX(Monthly!$B$2:$B$61,$A11)*INDEX('Age profile'!$B$2:$B$61,AY$1-$A11+1),"")</f>
        <v/>
      </c>
      <c r="AZ11" s="53">
        <f>IF(AZ$1&gt;=$A11,INDEX(Monthly!$B$2:$B$61,$A11)*INDEX('Age profile'!$B$2:$B$61,AZ$1-$A11+1),"")</f>
        <v/>
      </c>
      <c r="BA11" s="53">
        <f>IF(BA$1&gt;=$A11,INDEX(Monthly!$B$2:$B$61,$A11)*INDEX('Age profile'!$B$2:$B$61,BA$1-$A11+1),"")</f>
        <v/>
      </c>
      <c r="BB11" s="53">
        <f>IF(BB$1&gt;=$A11,INDEX(Monthly!$B$2:$B$61,$A11)*INDEX('Age profile'!$B$2:$B$61,BB$1-$A11+1),"")</f>
        <v/>
      </c>
      <c r="BC11" s="53">
        <f>IF(BC$1&gt;=$A11,INDEX(Monthly!$B$2:$B$61,$A11)*INDEX('Age profile'!$B$2:$B$61,BC$1-$A11+1),"")</f>
        <v/>
      </c>
      <c r="BD11" s="53">
        <f>IF(BD$1&gt;=$A11,INDEX(Monthly!$B$2:$B$61,$A11)*INDEX('Age profile'!$B$2:$B$61,BD$1-$A11+1),"")</f>
        <v/>
      </c>
      <c r="BE11" s="53">
        <f>IF(BE$1&gt;=$A11,INDEX(Monthly!$B$2:$B$61,$A11)*INDEX('Age profile'!$B$2:$B$61,BE$1-$A11+1),"")</f>
        <v/>
      </c>
      <c r="BF11" s="53">
        <f>IF(BF$1&gt;=$A11,INDEX(Monthly!$B$2:$B$61,$A11)*INDEX('Age profile'!$B$2:$B$61,BF$1-$A11+1),"")</f>
        <v/>
      </c>
      <c r="BG11" s="53">
        <f>IF(BG$1&gt;=$A11,INDEX(Monthly!$B$2:$B$61,$A11)*INDEX('Age profile'!$B$2:$B$61,BG$1-$A11+1),"")</f>
        <v/>
      </c>
      <c r="BH11" s="53">
        <f>IF(BH$1&gt;=$A11,INDEX(Monthly!$B$2:$B$61,$A11)*INDEX('Age profile'!$B$2:$B$61,BH$1-$A11+1),"")</f>
        <v/>
      </c>
      <c r="BI11" s="53">
        <f>IF(BI$1&gt;=$A11,INDEX(Monthly!$B$2:$B$61,$A11)*INDEX('Age profile'!$B$2:$B$61,BI$1-$A11+1),"")</f>
        <v/>
      </c>
    </row>
    <row r="12">
      <c r="A12" s="3" t="n">
        <v>11</v>
      </c>
      <c r="B12" s="53">
        <f>IF(B$1&gt;=$A12,INDEX(Monthly!$B$2:$B$61,$A12)*INDEX('Age profile'!$B$2:$B$61,B$1-$A12+1),"")</f>
        <v/>
      </c>
      <c r="C12" s="53">
        <f>IF(C$1&gt;=$A12,INDEX(Monthly!$B$2:$B$61,$A12)*INDEX('Age profile'!$B$2:$B$61,C$1-$A12+1),"")</f>
        <v/>
      </c>
      <c r="D12" s="53">
        <f>IF(D$1&gt;=$A12,INDEX(Monthly!$B$2:$B$61,$A12)*INDEX('Age profile'!$B$2:$B$61,D$1-$A12+1),"")</f>
        <v/>
      </c>
      <c r="E12" s="53">
        <f>IF(E$1&gt;=$A12,INDEX(Monthly!$B$2:$B$61,$A12)*INDEX('Age profile'!$B$2:$B$61,E$1-$A12+1),"")</f>
        <v/>
      </c>
      <c r="F12" s="53">
        <f>IF(F$1&gt;=$A12,INDEX(Monthly!$B$2:$B$61,$A12)*INDEX('Age profile'!$B$2:$B$61,F$1-$A12+1),"")</f>
        <v/>
      </c>
      <c r="G12" s="53">
        <f>IF(G$1&gt;=$A12,INDEX(Monthly!$B$2:$B$61,$A12)*INDEX('Age profile'!$B$2:$B$61,G$1-$A12+1),"")</f>
        <v/>
      </c>
      <c r="H12" s="53">
        <f>IF(H$1&gt;=$A12,INDEX(Monthly!$B$2:$B$61,$A12)*INDEX('Age profile'!$B$2:$B$61,H$1-$A12+1),"")</f>
        <v/>
      </c>
      <c r="I12" s="53">
        <f>IF(I$1&gt;=$A12,INDEX(Monthly!$B$2:$B$61,$A12)*INDEX('Age profile'!$B$2:$B$61,I$1-$A12+1),"")</f>
        <v/>
      </c>
      <c r="J12" s="53">
        <f>IF(J$1&gt;=$A12,INDEX(Monthly!$B$2:$B$61,$A12)*INDEX('Age profile'!$B$2:$B$61,J$1-$A12+1),"")</f>
        <v/>
      </c>
      <c r="K12" s="53">
        <f>IF(K$1&gt;=$A12,INDEX(Monthly!$B$2:$B$61,$A12)*INDEX('Age profile'!$B$2:$B$61,K$1-$A12+1),"")</f>
        <v/>
      </c>
      <c r="L12" s="53">
        <f>IF(L$1&gt;=$A12,INDEX(Monthly!$B$2:$B$61,$A12)*INDEX('Age profile'!$B$2:$B$61,L$1-$A12+1),"")</f>
        <v/>
      </c>
      <c r="M12" s="53">
        <f>IF(M$1&gt;=$A12,INDEX(Monthly!$B$2:$B$61,$A12)*INDEX('Age profile'!$B$2:$B$61,M$1-$A12+1),"")</f>
        <v/>
      </c>
      <c r="N12" s="53">
        <f>IF(N$1&gt;=$A12,INDEX(Monthly!$B$2:$B$61,$A12)*INDEX('Age profile'!$B$2:$B$61,N$1-$A12+1),"")</f>
        <v/>
      </c>
      <c r="O12" s="53">
        <f>IF(O$1&gt;=$A12,INDEX(Monthly!$B$2:$B$61,$A12)*INDEX('Age profile'!$B$2:$B$61,O$1-$A12+1),"")</f>
        <v/>
      </c>
      <c r="P12" s="53">
        <f>IF(P$1&gt;=$A12,INDEX(Monthly!$B$2:$B$61,$A12)*INDEX('Age profile'!$B$2:$B$61,P$1-$A12+1),"")</f>
        <v/>
      </c>
      <c r="Q12" s="53">
        <f>IF(Q$1&gt;=$A12,INDEX(Monthly!$B$2:$B$61,$A12)*INDEX('Age profile'!$B$2:$B$61,Q$1-$A12+1),"")</f>
        <v/>
      </c>
      <c r="R12" s="53">
        <f>IF(R$1&gt;=$A12,INDEX(Monthly!$B$2:$B$61,$A12)*INDEX('Age profile'!$B$2:$B$61,R$1-$A12+1),"")</f>
        <v/>
      </c>
      <c r="S12" s="53">
        <f>IF(S$1&gt;=$A12,INDEX(Monthly!$B$2:$B$61,$A12)*INDEX('Age profile'!$B$2:$B$61,S$1-$A12+1),"")</f>
        <v/>
      </c>
      <c r="T12" s="53">
        <f>IF(T$1&gt;=$A12,INDEX(Monthly!$B$2:$B$61,$A12)*INDEX('Age profile'!$B$2:$B$61,T$1-$A12+1),"")</f>
        <v/>
      </c>
      <c r="U12" s="53">
        <f>IF(U$1&gt;=$A12,INDEX(Monthly!$B$2:$B$61,$A12)*INDEX('Age profile'!$B$2:$B$61,U$1-$A12+1),"")</f>
        <v/>
      </c>
      <c r="V12" s="53">
        <f>IF(V$1&gt;=$A12,INDEX(Monthly!$B$2:$B$61,$A12)*INDEX('Age profile'!$B$2:$B$61,V$1-$A12+1),"")</f>
        <v/>
      </c>
      <c r="W12" s="53">
        <f>IF(W$1&gt;=$A12,INDEX(Monthly!$B$2:$B$61,$A12)*INDEX('Age profile'!$B$2:$B$61,W$1-$A12+1),"")</f>
        <v/>
      </c>
      <c r="X12" s="53">
        <f>IF(X$1&gt;=$A12,INDEX(Monthly!$B$2:$B$61,$A12)*INDEX('Age profile'!$B$2:$B$61,X$1-$A12+1),"")</f>
        <v/>
      </c>
      <c r="Y12" s="53">
        <f>IF(Y$1&gt;=$A12,INDEX(Monthly!$B$2:$B$61,$A12)*INDEX('Age profile'!$B$2:$B$61,Y$1-$A12+1),"")</f>
        <v/>
      </c>
      <c r="Z12" s="53">
        <f>IF(Z$1&gt;=$A12,INDEX(Monthly!$B$2:$B$61,$A12)*INDEX('Age profile'!$B$2:$B$61,Z$1-$A12+1),"")</f>
        <v/>
      </c>
      <c r="AA12" s="53">
        <f>IF(AA$1&gt;=$A12,INDEX(Monthly!$B$2:$B$61,$A12)*INDEX('Age profile'!$B$2:$B$61,AA$1-$A12+1),"")</f>
        <v/>
      </c>
      <c r="AB12" s="53">
        <f>IF(AB$1&gt;=$A12,INDEX(Monthly!$B$2:$B$61,$A12)*INDEX('Age profile'!$B$2:$B$61,AB$1-$A12+1),"")</f>
        <v/>
      </c>
      <c r="AC12" s="53">
        <f>IF(AC$1&gt;=$A12,INDEX(Monthly!$B$2:$B$61,$A12)*INDEX('Age profile'!$B$2:$B$61,AC$1-$A12+1),"")</f>
        <v/>
      </c>
      <c r="AD12" s="53">
        <f>IF(AD$1&gt;=$A12,INDEX(Monthly!$B$2:$B$61,$A12)*INDEX('Age profile'!$B$2:$B$61,AD$1-$A12+1),"")</f>
        <v/>
      </c>
      <c r="AE12" s="53">
        <f>IF(AE$1&gt;=$A12,INDEX(Monthly!$B$2:$B$61,$A12)*INDEX('Age profile'!$B$2:$B$61,AE$1-$A12+1),"")</f>
        <v/>
      </c>
      <c r="AF12" s="53">
        <f>IF(AF$1&gt;=$A12,INDEX(Monthly!$B$2:$B$61,$A12)*INDEX('Age profile'!$B$2:$B$61,AF$1-$A12+1),"")</f>
        <v/>
      </c>
      <c r="AG12" s="53">
        <f>IF(AG$1&gt;=$A12,INDEX(Monthly!$B$2:$B$61,$A12)*INDEX('Age profile'!$B$2:$B$61,AG$1-$A12+1),"")</f>
        <v/>
      </c>
      <c r="AH12" s="53">
        <f>IF(AH$1&gt;=$A12,INDEX(Monthly!$B$2:$B$61,$A12)*INDEX('Age profile'!$B$2:$B$61,AH$1-$A12+1),"")</f>
        <v/>
      </c>
      <c r="AI12" s="53">
        <f>IF(AI$1&gt;=$A12,INDEX(Monthly!$B$2:$B$61,$A12)*INDEX('Age profile'!$B$2:$B$61,AI$1-$A12+1),"")</f>
        <v/>
      </c>
      <c r="AJ12" s="53">
        <f>IF(AJ$1&gt;=$A12,INDEX(Monthly!$B$2:$B$61,$A12)*INDEX('Age profile'!$B$2:$B$61,AJ$1-$A12+1),"")</f>
        <v/>
      </c>
      <c r="AK12" s="53">
        <f>IF(AK$1&gt;=$A12,INDEX(Monthly!$B$2:$B$61,$A12)*INDEX('Age profile'!$B$2:$B$61,AK$1-$A12+1),"")</f>
        <v/>
      </c>
      <c r="AL12" s="53">
        <f>IF(AL$1&gt;=$A12,INDEX(Monthly!$B$2:$B$61,$A12)*INDEX('Age profile'!$B$2:$B$61,AL$1-$A12+1),"")</f>
        <v/>
      </c>
      <c r="AM12" s="53">
        <f>IF(AM$1&gt;=$A12,INDEX(Monthly!$B$2:$B$61,$A12)*INDEX('Age profile'!$B$2:$B$61,AM$1-$A12+1),"")</f>
        <v/>
      </c>
      <c r="AN12" s="53">
        <f>IF(AN$1&gt;=$A12,INDEX(Monthly!$B$2:$B$61,$A12)*INDEX('Age profile'!$B$2:$B$61,AN$1-$A12+1),"")</f>
        <v/>
      </c>
      <c r="AO12" s="53">
        <f>IF(AO$1&gt;=$A12,INDEX(Monthly!$B$2:$B$61,$A12)*INDEX('Age profile'!$B$2:$B$61,AO$1-$A12+1),"")</f>
        <v/>
      </c>
      <c r="AP12" s="53">
        <f>IF(AP$1&gt;=$A12,INDEX(Monthly!$B$2:$B$61,$A12)*INDEX('Age profile'!$B$2:$B$61,AP$1-$A12+1),"")</f>
        <v/>
      </c>
      <c r="AQ12" s="53">
        <f>IF(AQ$1&gt;=$A12,INDEX(Monthly!$B$2:$B$61,$A12)*INDEX('Age profile'!$B$2:$B$61,AQ$1-$A12+1),"")</f>
        <v/>
      </c>
      <c r="AR12" s="53">
        <f>IF(AR$1&gt;=$A12,INDEX(Monthly!$B$2:$B$61,$A12)*INDEX('Age profile'!$B$2:$B$61,AR$1-$A12+1),"")</f>
        <v/>
      </c>
      <c r="AS12" s="53">
        <f>IF(AS$1&gt;=$A12,INDEX(Monthly!$B$2:$B$61,$A12)*INDEX('Age profile'!$B$2:$B$61,AS$1-$A12+1),"")</f>
        <v/>
      </c>
      <c r="AT12" s="53">
        <f>IF(AT$1&gt;=$A12,INDEX(Monthly!$B$2:$B$61,$A12)*INDEX('Age profile'!$B$2:$B$61,AT$1-$A12+1),"")</f>
        <v/>
      </c>
      <c r="AU12" s="53">
        <f>IF(AU$1&gt;=$A12,INDEX(Monthly!$B$2:$B$61,$A12)*INDEX('Age profile'!$B$2:$B$61,AU$1-$A12+1),"")</f>
        <v/>
      </c>
      <c r="AV12" s="53">
        <f>IF(AV$1&gt;=$A12,INDEX(Monthly!$B$2:$B$61,$A12)*INDEX('Age profile'!$B$2:$B$61,AV$1-$A12+1),"")</f>
        <v/>
      </c>
      <c r="AW12" s="53">
        <f>IF(AW$1&gt;=$A12,INDEX(Monthly!$B$2:$B$61,$A12)*INDEX('Age profile'!$B$2:$B$61,AW$1-$A12+1),"")</f>
        <v/>
      </c>
      <c r="AX12" s="53">
        <f>IF(AX$1&gt;=$A12,INDEX(Monthly!$B$2:$B$61,$A12)*INDEX('Age profile'!$B$2:$B$61,AX$1-$A12+1),"")</f>
        <v/>
      </c>
      <c r="AY12" s="53">
        <f>IF(AY$1&gt;=$A12,INDEX(Monthly!$B$2:$B$61,$A12)*INDEX('Age profile'!$B$2:$B$61,AY$1-$A12+1),"")</f>
        <v/>
      </c>
      <c r="AZ12" s="53">
        <f>IF(AZ$1&gt;=$A12,INDEX(Monthly!$B$2:$B$61,$A12)*INDEX('Age profile'!$B$2:$B$61,AZ$1-$A12+1),"")</f>
        <v/>
      </c>
      <c r="BA12" s="53">
        <f>IF(BA$1&gt;=$A12,INDEX(Monthly!$B$2:$B$61,$A12)*INDEX('Age profile'!$B$2:$B$61,BA$1-$A12+1),"")</f>
        <v/>
      </c>
      <c r="BB12" s="53">
        <f>IF(BB$1&gt;=$A12,INDEX(Monthly!$B$2:$B$61,$A12)*INDEX('Age profile'!$B$2:$B$61,BB$1-$A12+1),"")</f>
        <v/>
      </c>
      <c r="BC12" s="53">
        <f>IF(BC$1&gt;=$A12,INDEX(Monthly!$B$2:$B$61,$A12)*INDEX('Age profile'!$B$2:$B$61,BC$1-$A12+1),"")</f>
        <v/>
      </c>
      <c r="BD12" s="53">
        <f>IF(BD$1&gt;=$A12,INDEX(Monthly!$B$2:$B$61,$A12)*INDEX('Age profile'!$B$2:$B$61,BD$1-$A12+1),"")</f>
        <v/>
      </c>
      <c r="BE12" s="53">
        <f>IF(BE$1&gt;=$A12,INDEX(Monthly!$B$2:$B$61,$A12)*INDEX('Age profile'!$B$2:$B$61,BE$1-$A12+1),"")</f>
        <v/>
      </c>
      <c r="BF12" s="53">
        <f>IF(BF$1&gt;=$A12,INDEX(Monthly!$B$2:$B$61,$A12)*INDEX('Age profile'!$B$2:$B$61,BF$1-$A12+1),"")</f>
        <v/>
      </c>
      <c r="BG12" s="53">
        <f>IF(BG$1&gt;=$A12,INDEX(Monthly!$B$2:$B$61,$A12)*INDEX('Age profile'!$B$2:$B$61,BG$1-$A12+1),"")</f>
        <v/>
      </c>
      <c r="BH12" s="53">
        <f>IF(BH$1&gt;=$A12,INDEX(Monthly!$B$2:$B$61,$A12)*INDEX('Age profile'!$B$2:$B$61,BH$1-$A12+1),"")</f>
        <v/>
      </c>
      <c r="BI12" s="53">
        <f>IF(BI$1&gt;=$A12,INDEX(Monthly!$B$2:$B$61,$A12)*INDEX('Age profile'!$B$2:$B$61,BI$1-$A12+1),"")</f>
        <v/>
      </c>
    </row>
    <row r="13">
      <c r="A13" s="3" t="n">
        <v>12</v>
      </c>
      <c r="B13" s="53">
        <f>IF(B$1&gt;=$A13,INDEX(Monthly!$B$2:$B$61,$A13)*INDEX('Age profile'!$B$2:$B$61,B$1-$A13+1),"")</f>
        <v/>
      </c>
      <c r="C13" s="53">
        <f>IF(C$1&gt;=$A13,INDEX(Monthly!$B$2:$B$61,$A13)*INDEX('Age profile'!$B$2:$B$61,C$1-$A13+1),"")</f>
        <v/>
      </c>
      <c r="D13" s="53">
        <f>IF(D$1&gt;=$A13,INDEX(Monthly!$B$2:$B$61,$A13)*INDEX('Age profile'!$B$2:$B$61,D$1-$A13+1),"")</f>
        <v/>
      </c>
      <c r="E13" s="53">
        <f>IF(E$1&gt;=$A13,INDEX(Monthly!$B$2:$B$61,$A13)*INDEX('Age profile'!$B$2:$B$61,E$1-$A13+1),"")</f>
        <v/>
      </c>
      <c r="F13" s="53">
        <f>IF(F$1&gt;=$A13,INDEX(Monthly!$B$2:$B$61,$A13)*INDEX('Age profile'!$B$2:$B$61,F$1-$A13+1),"")</f>
        <v/>
      </c>
      <c r="G13" s="53">
        <f>IF(G$1&gt;=$A13,INDEX(Monthly!$B$2:$B$61,$A13)*INDEX('Age profile'!$B$2:$B$61,G$1-$A13+1),"")</f>
        <v/>
      </c>
      <c r="H13" s="53">
        <f>IF(H$1&gt;=$A13,INDEX(Monthly!$B$2:$B$61,$A13)*INDEX('Age profile'!$B$2:$B$61,H$1-$A13+1),"")</f>
        <v/>
      </c>
      <c r="I13" s="53">
        <f>IF(I$1&gt;=$A13,INDEX(Monthly!$B$2:$B$61,$A13)*INDEX('Age profile'!$B$2:$B$61,I$1-$A13+1),"")</f>
        <v/>
      </c>
      <c r="J13" s="53">
        <f>IF(J$1&gt;=$A13,INDEX(Monthly!$B$2:$B$61,$A13)*INDEX('Age profile'!$B$2:$B$61,J$1-$A13+1),"")</f>
        <v/>
      </c>
      <c r="K13" s="53">
        <f>IF(K$1&gt;=$A13,INDEX(Monthly!$B$2:$B$61,$A13)*INDEX('Age profile'!$B$2:$B$61,K$1-$A13+1),"")</f>
        <v/>
      </c>
      <c r="L13" s="53">
        <f>IF(L$1&gt;=$A13,INDEX(Monthly!$B$2:$B$61,$A13)*INDEX('Age profile'!$B$2:$B$61,L$1-$A13+1),"")</f>
        <v/>
      </c>
      <c r="M13" s="53">
        <f>IF(M$1&gt;=$A13,INDEX(Monthly!$B$2:$B$61,$A13)*INDEX('Age profile'!$B$2:$B$61,M$1-$A13+1),"")</f>
        <v/>
      </c>
      <c r="N13" s="53">
        <f>IF(N$1&gt;=$A13,INDEX(Monthly!$B$2:$B$61,$A13)*INDEX('Age profile'!$B$2:$B$61,N$1-$A13+1),"")</f>
        <v/>
      </c>
      <c r="O13" s="53">
        <f>IF(O$1&gt;=$A13,INDEX(Monthly!$B$2:$B$61,$A13)*INDEX('Age profile'!$B$2:$B$61,O$1-$A13+1),"")</f>
        <v/>
      </c>
      <c r="P13" s="53">
        <f>IF(P$1&gt;=$A13,INDEX(Monthly!$B$2:$B$61,$A13)*INDEX('Age profile'!$B$2:$B$61,P$1-$A13+1),"")</f>
        <v/>
      </c>
      <c r="Q13" s="53">
        <f>IF(Q$1&gt;=$A13,INDEX(Monthly!$B$2:$B$61,$A13)*INDEX('Age profile'!$B$2:$B$61,Q$1-$A13+1),"")</f>
        <v/>
      </c>
      <c r="R13" s="53">
        <f>IF(R$1&gt;=$A13,INDEX(Monthly!$B$2:$B$61,$A13)*INDEX('Age profile'!$B$2:$B$61,R$1-$A13+1),"")</f>
        <v/>
      </c>
      <c r="S13" s="53">
        <f>IF(S$1&gt;=$A13,INDEX(Monthly!$B$2:$B$61,$A13)*INDEX('Age profile'!$B$2:$B$61,S$1-$A13+1),"")</f>
        <v/>
      </c>
      <c r="T13" s="53">
        <f>IF(T$1&gt;=$A13,INDEX(Monthly!$B$2:$B$61,$A13)*INDEX('Age profile'!$B$2:$B$61,T$1-$A13+1),"")</f>
        <v/>
      </c>
      <c r="U13" s="53">
        <f>IF(U$1&gt;=$A13,INDEX(Monthly!$B$2:$B$61,$A13)*INDEX('Age profile'!$B$2:$B$61,U$1-$A13+1),"")</f>
        <v/>
      </c>
      <c r="V13" s="53">
        <f>IF(V$1&gt;=$A13,INDEX(Monthly!$B$2:$B$61,$A13)*INDEX('Age profile'!$B$2:$B$61,V$1-$A13+1),"")</f>
        <v/>
      </c>
      <c r="W13" s="53">
        <f>IF(W$1&gt;=$A13,INDEX(Monthly!$B$2:$B$61,$A13)*INDEX('Age profile'!$B$2:$B$61,W$1-$A13+1),"")</f>
        <v/>
      </c>
      <c r="X13" s="53">
        <f>IF(X$1&gt;=$A13,INDEX(Monthly!$B$2:$B$61,$A13)*INDEX('Age profile'!$B$2:$B$61,X$1-$A13+1),"")</f>
        <v/>
      </c>
      <c r="Y13" s="53">
        <f>IF(Y$1&gt;=$A13,INDEX(Monthly!$B$2:$B$61,$A13)*INDEX('Age profile'!$B$2:$B$61,Y$1-$A13+1),"")</f>
        <v/>
      </c>
      <c r="Z13" s="53">
        <f>IF(Z$1&gt;=$A13,INDEX(Monthly!$B$2:$B$61,$A13)*INDEX('Age profile'!$B$2:$B$61,Z$1-$A13+1),"")</f>
        <v/>
      </c>
      <c r="AA13" s="53">
        <f>IF(AA$1&gt;=$A13,INDEX(Monthly!$B$2:$B$61,$A13)*INDEX('Age profile'!$B$2:$B$61,AA$1-$A13+1),"")</f>
        <v/>
      </c>
      <c r="AB13" s="53">
        <f>IF(AB$1&gt;=$A13,INDEX(Monthly!$B$2:$B$61,$A13)*INDEX('Age profile'!$B$2:$B$61,AB$1-$A13+1),"")</f>
        <v/>
      </c>
      <c r="AC13" s="53">
        <f>IF(AC$1&gt;=$A13,INDEX(Monthly!$B$2:$B$61,$A13)*INDEX('Age profile'!$B$2:$B$61,AC$1-$A13+1),"")</f>
        <v/>
      </c>
      <c r="AD13" s="53">
        <f>IF(AD$1&gt;=$A13,INDEX(Monthly!$B$2:$B$61,$A13)*INDEX('Age profile'!$B$2:$B$61,AD$1-$A13+1),"")</f>
        <v/>
      </c>
      <c r="AE13" s="53">
        <f>IF(AE$1&gt;=$A13,INDEX(Monthly!$B$2:$B$61,$A13)*INDEX('Age profile'!$B$2:$B$61,AE$1-$A13+1),"")</f>
        <v/>
      </c>
      <c r="AF13" s="53">
        <f>IF(AF$1&gt;=$A13,INDEX(Monthly!$B$2:$B$61,$A13)*INDEX('Age profile'!$B$2:$B$61,AF$1-$A13+1),"")</f>
        <v/>
      </c>
      <c r="AG13" s="53">
        <f>IF(AG$1&gt;=$A13,INDEX(Monthly!$B$2:$B$61,$A13)*INDEX('Age profile'!$B$2:$B$61,AG$1-$A13+1),"")</f>
        <v/>
      </c>
      <c r="AH13" s="53">
        <f>IF(AH$1&gt;=$A13,INDEX(Monthly!$B$2:$B$61,$A13)*INDEX('Age profile'!$B$2:$B$61,AH$1-$A13+1),"")</f>
        <v/>
      </c>
      <c r="AI13" s="53">
        <f>IF(AI$1&gt;=$A13,INDEX(Monthly!$B$2:$B$61,$A13)*INDEX('Age profile'!$B$2:$B$61,AI$1-$A13+1),"")</f>
        <v/>
      </c>
      <c r="AJ13" s="53">
        <f>IF(AJ$1&gt;=$A13,INDEX(Monthly!$B$2:$B$61,$A13)*INDEX('Age profile'!$B$2:$B$61,AJ$1-$A13+1),"")</f>
        <v/>
      </c>
      <c r="AK13" s="53">
        <f>IF(AK$1&gt;=$A13,INDEX(Monthly!$B$2:$B$61,$A13)*INDEX('Age profile'!$B$2:$B$61,AK$1-$A13+1),"")</f>
        <v/>
      </c>
      <c r="AL13" s="53">
        <f>IF(AL$1&gt;=$A13,INDEX(Monthly!$B$2:$B$61,$A13)*INDEX('Age profile'!$B$2:$B$61,AL$1-$A13+1),"")</f>
        <v/>
      </c>
      <c r="AM13" s="53">
        <f>IF(AM$1&gt;=$A13,INDEX(Monthly!$B$2:$B$61,$A13)*INDEX('Age profile'!$B$2:$B$61,AM$1-$A13+1),"")</f>
        <v/>
      </c>
      <c r="AN13" s="53">
        <f>IF(AN$1&gt;=$A13,INDEX(Monthly!$B$2:$B$61,$A13)*INDEX('Age profile'!$B$2:$B$61,AN$1-$A13+1),"")</f>
        <v/>
      </c>
      <c r="AO13" s="53">
        <f>IF(AO$1&gt;=$A13,INDEX(Monthly!$B$2:$B$61,$A13)*INDEX('Age profile'!$B$2:$B$61,AO$1-$A13+1),"")</f>
        <v/>
      </c>
      <c r="AP13" s="53">
        <f>IF(AP$1&gt;=$A13,INDEX(Monthly!$B$2:$B$61,$A13)*INDEX('Age profile'!$B$2:$B$61,AP$1-$A13+1),"")</f>
        <v/>
      </c>
      <c r="AQ13" s="53">
        <f>IF(AQ$1&gt;=$A13,INDEX(Monthly!$B$2:$B$61,$A13)*INDEX('Age profile'!$B$2:$B$61,AQ$1-$A13+1),"")</f>
        <v/>
      </c>
      <c r="AR13" s="53">
        <f>IF(AR$1&gt;=$A13,INDEX(Monthly!$B$2:$B$61,$A13)*INDEX('Age profile'!$B$2:$B$61,AR$1-$A13+1),"")</f>
        <v/>
      </c>
      <c r="AS13" s="53">
        <f>IF(AS$1&gt;=$A13,INDEX(Monthly!$B$2:$B$61,$A13)*INDEX('Age profile'!$B$2:$B$61,AS$1-$A13+1),"")</f>
        <v/>
      </c>
      <c r="AT13" s="53">
        <f>IF(AT$1&gt;=$A13,INDEX(Monthly!$B$2:$B$61,$A13)*INDEX('Age profile'!$B$2:$B$61,AT$1-$A13+1),"")</f>
        <v/>
      </c>
      <c r="AU13" s="53">
        <f>IF(AU$1&gt;=$A13,INDEX(Monthly!$B$2:$B$61,$A13)*INDEX('Age profile'!$B$2:$B$61,AU$1-$A13+1),"")</f>
        <v/>
      </c>
      <c r="AV13" s="53">
        <f>IF(AV$1&gt;=$A13,INDEX(Monthly!$B$2:$B$61,$A13)*INDEX('Age profile'!$B$2:$B$61,AV$1-$A13+1),"")</f>
        <v/>
      </c>
      <c r="AW13" s="53">
        <f>IF(AW$1&gt;=$A13,INDEX(Monthly!$B$2:$B$61,$A13)*INDEX('Age profile'!$B$2:$B$61,AW$1-$A13+1),"")</f>
        <v/>
      </c>
      <c r="AX13" s="53">
        <f>IF(AX$1&gt;=$A13,INDEX(Monthly!$B$2:$B$61,$A13)*INDEX('Age profile'!$B$2:$B$61,AX$1-$A13+1),"")</f>
        <v/>
      </c>
      <c r="AY13" s="53">
        <f>IF(AY$1&gt;=$A13,INDEX(Monthly!$B$2:$B$61,$A13)*INDEX('Age profile'!$B$2:$B$61,AY$1-$A13+1),"")</f>
        <v/>
      </c>
      <c r="AZ13" s="53">
        <f>IF(AZ$1&gt;=$A13,INDEX(Monthly!$B$2:$B$61,$A13)*INDEX('Age profile'!$B$2:$B$61,AZ$1-$A13+1),"")</f>
        <v/>
      </c>
      <c r="BA13" s="53">
        <f>IF(BA$1&gt;=$A13,INDEX(Monthly!$B$2:$B$61,$A13)*INDEX('Age profile'!$B$2:$B$61,BA$1-$A13+1),"")</f>
        <v/>
      </c>
      <c r="BB13" s="53">
        <f>IF(BB$1&gt;=$A13,INDEX(Monthly!$B$2:$B$61,$A13)*INDEX('Age profile'!$B$2:$B$61,BB$1-$A13+1),"")</f>
        <v/>
      </c>
      <c r="BC13" s="53">
        <f>IF(BC$1&gt;=$A13,INDEX(Monthly!$B$2:$B$61,$A13)*INDEX('Age profile'!$B$2:$B$61,BC$1-$A13+1),"")</f>
        <v/>
      </c>
      <c r="BD13" s="53">
        <f>IF(BD$1&gt;=$A13,INDEX(Monthly!$B$2:$B$61,$A13)*INDEX('Age profile'!$B$2:$B$61,BD$1-$A13+1),"")</f>
        <v/>
      </c>
      <c r="BE13" s="53">
        <f>IF(BE$1&gt;=$A13,INDEX(Monthly!$B$2:$B$61,$A13)*INDEX('Age profile'!$B$2:$B$61,BE$1-$A13+1),"")</f>
        <v/>
      </c>
      <c r="BF13" s="53">
        <f>IF(BF$1&gt;=$A13,INDEX(Monthly!$B$2:$B$61,$A13)*INDEX('Age profile'!$B$2:$B$61,BF$1-$A13+1),"")</f>
        <v/>
      </c>
      <c r="BG13" s="53">
        <f>IF(BG$1&gt;=$A13,INDEX(Monthly!$B$2:$B$61,$A13)*INDEX('Age profile'!$B$2:$B$61,BG$1-$A13+1),"")</f>
        <v/>
      </c>
      <c r="BH13" s="53">
        <f>IF(BH$1&gt;=$A13,INDEX(Monthly!$B$2:$B$61,$A13)*INDEX('Age profile'!$B$2:$B$61,BH$1-$A13+1),"")</f>
        <v/>
      </c>
      <c r="BI13" s="53">
        <f>IF(BI$1&gt;=$A13,INDEX(Monthly!$B$2:$B$61,$A13)*INDEX('Age profile'!$B$2:$B$61,BI$1-$A13+1),"")</f>
        <v/>
      </c>
    </row>
    <row r="14">
      <c r="A14" s="3" t="n">
        <v>13</v>
      </c>
      <c r="B14" s="53">
        <f>IF(B$1&gt;=$A14,INDEX(Monthly!$B$2:$B$61,$A14)*INDEX('Age profile'!$B$2:$B$61,B$1-$A14+1),"")</f>
        <v/>
      </c>
      <c r="C14" s="53">
        <f>IF(C$1&gt;=$A14,INDEX(Monthly!$B$2:$B$61,$A14)*INDEX('Age profile'!$B$2:$B$61,C$1-$A14+1),"")</f>
        <v/>
      </c>
      <c r="D14" s="53">
        <f>IF(D$1&gt;=$A14,INDEX(Monthly!$B$2:$B$61,$A14)*INDEX('Age profile'!$B$2:$B$61,D$1-$A14+1),"")</f>
        <v/>
      </c>
      <c r="E14" s="53">
        <f>IF(E$1&gt;=$A14,INDEX(Monthly!$B$2:$B$61,$A14)*INDEX('Age profile'!$B$2:$B$61,E$1-$A14+1),"")</f>
        <v/>
      </c>
      <c r="F14" s="53">
        <f>IF(F$1&gt;=$A14,INDEX(Monthly!$B$2:$B$61,$A14)*INDEX('Age profile'!$B$2:$B$61,F$1-$A14+1),"")</f>
        <v/>
      </c>
      <c r="G14" s="53">
        <f>IF(G$1&gt;=$A14,INDEX(Monthly!$B$2:$B$61,$A14)*INDEX('Age profile'!$B$2:$B$61,G$1-$A14+1),"")</f>
        <v/>
      </c>
      <c r="H14" s="53">
        <f>IF(H$1&gt;=$A14,INDEX(Monthly!$B$2:$B$61,$A14)*INDEX('Age profile'!$B$2:$B$61,H$1-$A14+1),"")</f>
        <v/>
      </c>
      <c r="I14" s="53">
        <f>IF(I$1&gt;=$A14,INDEX(Monthly!$B$2:$B$61,$A14)*INDEX('Age profile'!$B$2:$B$61,I$1-$A14+1),"")</f>
        <v/>
      </c>
      <c r="J14" s="53">
        <f>IF(J$1&gt;=$A14,INDEX(Monthly!$B$2:$B$61,$A14)*INDEX('Age profile'!$B$2:$B$61,J$1-$A14+1),"")</f>
        <v/>
      </c>
      <c r="K14" s="53">
        <f>IF(K$1&gt;=$A14,INDEX(Monthly!$B$2:$B$61,$A14)*INDEX('Age profile'!$B$2:$B$61,K$1-$A14+1),"")</f>
        <v/>
      </c>
      <c r="L14" s="53">
        <f>IF(L$1&gt;=$A14,INDEX(Monthly!$B$2:$B$61,$A14)*INDEX('Age profile'!$B$2:$B$61,L$1-$A14+1),"")</f>
        <v/>
      </c>
      <c r="M14" s="53">
        <f>IF(M$1&gt;=$A14,INDEX(Monthly!$B$2:$B$61,$A14)*INDEX('Age profile'!$B$2:$B$61,M$1-$A14+1),"")</f>
        <v/>
      </c>
      <c r="N14" s="53">
        <f>IF(N$1&gt;=$A14,INDEX(Monthly!$B$2:$B$61,$A14)*INDEX('Age profile'!$B$2:$B$61,N$1-$A14+1),"")</f>
        <v/>
      </c>
      <c r="O14" s="53">
        <f>IF(O$1&gt;=$A14,INDEX(Monthly!$B$2:$B$61,$A14)*INDEX('Age profile'!$B$2:$B$61,O$1-$A14+1),"")</f>
        <v/>
      </c>
      <c r="P14" s="53">
        <f>IF(P$1&gt;=$A14,INDEX(Monthly!$B$2:$B$61,$A14)*INDEX('Age profile'!$B$2:$B$61,P$1-$A14+1),"")</f>
        <v/>
      </c>
      <c r="Q14" s="53">
        <f>IF(Q$1&gt;=$A14,INDEX(Monthly!$B$2:$B$61,$A14)*INDEX('Age profile'!$B$2:$B$61,Q$1-$A14+1),"")</f>
        <v/>
      </c>
      <c r="R14" s="53">
        <f>IF(R$1&gt;=$A14,INDEX(Monthly!$B$2:$B$61,$A14)*INDEX('Age profile'!$B$2:$B$61,R$1-$A14+1),"")</f>
        <v/>
      </c>
      <c r="S14" s="53">
        <f>IF(S$1&gt;=$A14,INDEX(Monthly!$B$2:$B$61,$A14)*INDEX('Age profile'!$B$2:$B$61,S$1-$A14+1),"")</f>
        <v/>
      </c>
      <c r="T14" s="53">
        <f>IF(T$1&gt;=$A14,INDEX(Monthly!$B$2:$B$61,$A14)*INDEX('Age profile'!$B$2:$B$61,T$1-$A14+1),"")</f>
        <v/>
      </c>
      <c r="U14" s="53">
        <f>IF(U$1&gt;=$A14,INDEX(Monthly!$B$2:$B$61,$A14)*INDEX('Age profile'!$B$2:$B$61,U$1-$A14+1),"")</f>
        <v/>
      </c>
      <c r="V14" s="53">
        <f>IF(V$1&gt;=$A14,INDEX(Monthly!$B$2:$B$61,$A14)*INDEX('Age profile'!$B$2:$B$61,V$1-$A14+1),"")</f>
        <v/>
      </c>
      <c r="W14" s="53">
        <f>IF(W$1&gt;=$A14,INDEX(Monthly!$B$2:$B$61,$A14)*INDEX('Age profile'!$B$2:$B$61,W$1-$A14+1),"")</f>
        <v/>
      </c>
      <c r="X14" s="53">
        <f>IF(X$1&gt;=$A14,INDEX(Monthly!$B$2:$B$61,$A14)*INDEX('Age profile'!$B$2:$B$61,X$1-$A14+1),"")</f>
        <v/>
      </c>
      <c r="Y14" s="53">
        <f>IF(Y$1&gt;=$A14,INDEX(Monthly!$B$2:$B$61,$A14)*INDEX('Age profile'!$B$2:$B$61,Y$1-$A14+1),"")</f>
        <v/>
      </c>
      <c r="Z14" s="53">
        <f>IF(Z$1&gt;=$A14,INDEX(Monthly!$B$2:$B$61,$A14)*INDEX('Age profile'!$B$2:$B$61,Z$1-$A14+1),"")</f>
        <v/>
      </c>
      <c r="AA14" s="53">
        <f>IF(AA$1&gt;=$A14,INDEX(Monthly!$B$2:$B$61,$A14)*INDEX('Age profile'!$B$2:$B$61,AA$1-$A14+1),"")</f>
        <v/>
      </c>
      <c r="AB14" s="53">
        <f>IF(AB$1&gt;=$A14,INDEX(Monthly!$B$2:$B$61,$A14)*INDEX('Age profile'!$B$2:$B$61,AB$1-$A14+1),"")</f>
        <v/>
      </c>
      <c r="AC14" s="53">
        <f>IF(AC$1&gt;=$A14,INDEX(Monthly!$B$2:$B$61,$A14)*INDEX('Age profile'!$B$2:$B$61,AC$1-$A14+1),"")</f>
        <v/>
      </c>
      <c r="AD14" s="53">
        <f>IF(AD$1&gt;=$A14,INDEX(Monthly!$B$2:$B$61,$A14)*INDEX('Age profile'!$B$2:$B$61,AD$1-$A14+1),"")</f>
        <v/>
      </c>
      <c r="AE14" s="53">
        <f>IF(AE$1&gt;=$A14,INDEX(Monthly!$B$2:$B$61,$A14)*INDEX('Age profile'!$B$2:$B$61,AE$1-$A14+1),"")</f>
        <v/>
      </c>
      <c r="AF14" s="53">
        <f>IF(AF$1&gt;=$A14,INDEX(Monthly!$B$2:$B$61,$A14)*INDEX('Age profile'!$B$2:$B$61,AF$1-$A14+1),"")</f>
        <v/>
      </c>
      <c r="AG14" s="53">
        <f>IF(AG$1&gt;=$A14,INDEX(Monthly!$B$2:$B$61,$A14)*INDEX('Age profile'!$B$2:$B$61,AG$1-$A14+1),"")</f>
        <v/>
      </c>
      <c r="AH14" s="53">
        <f>IF(AH$1&gt;=$A14,INDEX(Monthly!$B$2:$B$61,$A14)*INDEX('Age profile'!$B$2:$B$61,AH$1-$A14+1),"")</f>
        <v/>
      </c>
      <c r="AI14" s="53">
        <f>IF(AI$1&gt;=$A14,INDEX(Monthly!$B$2:$B$61,$A14)*INDEX('Age profile'!$B$2:$B$61,AI$1-$A14+1),"")</f>
        <v/>
      </c>
      <c r="AJ14" s="53">
        <f>IF(AJ$1&gt;=$A14,INDEX(Monthly!$B$2:$B$61,$A14)*INDEX('Age profile'!$B$2:$B$61,AJ$1-$A14+1),"")</f>
        <v/>
      </c>
      <c r="AK14" s="53">
        <f>IF(AK$1&gt;=$A14,INDEX(Monthly!$B$2:$B$61,$A14)*INDEX('Age profile'!$B$2:$B$61,AK$1-$A14+1),"")</f>
        <v/>
      </c>
      <c r="AL14" s="53">
        <f>IF(AL$1&gt;=$A14,INDEX(Monthly!$B$2:$B$61,$A14)*INDEX('Age profile'!$B$2:$B$61,AL$1-$A14+1),"")</f>
        <v/>
      </c>
      <c r="AM14" s="53">
        <f>IF(AM$1&gt;=$A14,INDEX(Monthly!$B$2:$B$61,$A14)*INDEX('Age profile'!$B$2:$B$61,AM$1-$A14+1),"")</f>
        <v/>
      </c>
      <c r="AN14" s="53">
        <f>IF(AN$1&gt;=$A14,INDEX(Monthly!$B$2:$B$61,$A14)*INDEX('Age profile'!$B$2:$B$61,AN$1-$A14+1),"")</f>
        <v/>
      </c>
      <c r="AO14" s="53">
        <f>IF(AO$1&gt;=$A14,INDEX(Monthly!$B$2:$B$61,$A14)*INDEX('Age profile'!$B$2:$B$61,AO$1-$A14+1),"")</f>
        <v/>
      </c>
      <c r="AP14" s="53">
        <f>IF(AP$1&gt;=$A14,INDEX(Monthly!$B$2:$B$61,$A14)*INDEX('Age profile'!$B$2:$B$61,AP$1-$A14+1),"")</f>
        <v/>
      </c>
      <c r="AQ14" s="53">
        <f>IF(AQ$1&gt;=$A14,INDEX(Monthly!$B$2:$B$61,$A14)*INDEX('Age profile'!$B$2:$B$61,AQ$1-$A14+1),"")</f>
        <v/>
      </c>
      <c r="AR14" s="53">
        <f>IF(AR$1&gt;=$A14,INDEX(Monthly!$B$2:$B$61,$A14)*INDEX('Age profile'!$B$2:$B$61,AR$1-$A14+1),"")</f>
        <v/>
      </c>
      <c r="AS14" s="53">
        <f>IF(AS$1&gt;=$A14,INDEX(Monthly!$B$2:$B$61,$A14)*INDEX('Age profile'!$B$2:$B$61,AS$1-$A14+1),"")</f>
        <v/>
      </c>
      <c r="AT14" s="53">
        <f>IF(AT$1&gt;=$A14,INDEX(Monthly!$B$2:$B$61,$A14)*INDEX('Age profile'!$B$2:$B$61,AT$1-$A14+1),"")</f>
        <v/>
      </c>
      <c r="AU14" s="53">
        <f>IF(AU$1&gt;=$A14,INDEX(Monthly!$B$2:$B$61,$A14)*INDEX('Age profile'!$B$2:$B$61,AU$1-$A14+1),"")</f>
        <v/>
      </c>
      <c r="AV14" s="53">
        <f>IF(AV$1&gt;=$A14,INDEX(Monthly!$B$2:$B$61,$A14)*INDEX('Age profile'!$B$2:$B$61,AV$1-$A14+1),"")</f>
        <v/>
      </c>
      <c r="AW14" s="53">
        <f>IF(AW$1&gt;=$A14,INDEX(Monthly!$B$2:$B$61,$A14)*INDEX('Age profile'!$B$2:$B$61,AW$1-$A14+1),"")</f>
        <v/>
      </c>
      <c r="AX14" s="53">
        <f>IF(AX$1&gt;=$A14,INDEX(Monthly!$B$2:$B$61,$A14)*INDEX('Age profile'!$B$2:$B$61,AX$1-$A14+1),"")</f>
        <v/>
      </c>
      <c r="AY14" s="53">
        <f>IF(AY$1&gt;=$A14,INDEX(Monthly!$B$2:$B$61,$A14)*INDEX('Age profile'!$B$2:$B$61,AY$1-$A14+1),"")</f>
        <v/>
      </c>
      <c r="AZ14" s="53">
        <f>IF(AZ$1&gt;=$A14,INDEX(Monthly!$B$2:$B$61,$A14)*INDEX('Age profile'!$B$2:$B$61,AZ$1-$A14+1),"")</f>
        <v/>
      </c>
      <c r="BA14" s="53">
        <f>IF(BA$1&gt;=$A14,INDEX(Monthly!$B$2:$B$61,$A14)*INDEX('Age profile'!$B$2:$B$61,BA$1-$A14+1),"")</f>
        <v/>
      </c>
      <c r="BB14" s="53">
        <f>IF(BB$1&gt;=$A14,INDEX(Monthly!$B$2:$B$61,$A14)*INDEX('Age profile'!$B$2:$B$61,BB$1-$A14+1),"")</f>
        <v/>
      </c>
      <c r="BC14" s="53">
        <f>IF(BC$1&gt;=$A14,INDEX(Monthly!$B$2:$B$61,$A14)*INDEX('Age profile'!$B$2:$B$61,BC$1-$A14+1),"")</f>
        <v/>
      </c>
      <c r="BD14" s="53">
        <f>IF(BD$1&gt;=$A14,INDEX(Monthly!$B$2:$B$61,$A14)*INDEX('Age profile'!$B$2:$B$61,BD$1-$A14+1),"")</f>
        <v/>
      </c>
      <c r="BE14" s="53">
        <f>IF(BE$1&gt;=$A14,INDEX(Monthly!$B$2:$B$61,$A14)*INDEX('Age profile'!$B$2:$B$61,BE$1-$A14+1),"")</f>
        <v/>
      </c>
      <c r="BF14" s="53">
        <f>IF(BF$1&gt;=$A14,INDEX(Monthly!$B$2:$B$61,$A14)*INDEX('Age profile'!$B$2:$B$61,BF$1-$A14+1),"")</f>
        <v/>
      </c>
      <c r="BG14" s="53">
        <f>IF(BG$1&gt;=$A14,INDEX(Monthly!$B$2:$B$61,$A14)*INDEX('Age profile'!$B$2:$B$61,BG$1-$A14+1),"")</f>
        <v/>
      </c>
      <c r="BH14" s="53">
        <f>IF(BH$1&gt;=$A14,INDEX(Monthly!$B$2:$B$61,$A14)*INDEX('Age profile'!$B$2:$B$61,BH$1-$A14+1),"")</f>
        <v/>
      </c>
      <c r="BI14" s="53">
        <f>IF(BI$1&gt;=$A14,INDEX(Monthly!$B$2:$B$61,$A14)*INDEX('Age profile'!$B$2:$B$61,BI$1-$A14+1),"")</f>
        <v/>
      </c>
    </row>
    <row r="15">
      <c r="A15" s="3" t="n">
        <v>14</v>
      </c>
      <c r="B15" s="53">
        <f>IF(B$1&gt;=$A15,INDEX(Monthly!$B$2:$B$61,$A15)*INDEX('Age profile'!$B$2:$B$61,B$1-$A15+1),"")</f>
        <v/>
      </c>
      <c r="C15" s="53">
        <f>IF(C$1&gt;=$A15,INDEX(Monthly!$B$2:$B$61,$A15)*INDEX('Age profile'!$B$2:$B$61,C$1-$A15+1),"")</f>
        <v/>
      </c>
      <c r="D15" s="53">
        <f>IF(D$1&gt;=$A15,INDEX(Monthly!$B$2:$B$61,$A15)*INDEX('Age profile'!$B$2:$B$61,D$1-$A15+1),"")</f>
        <v/>
      </c>
      <c r="E15" s="53">
        <f>IF(E$1&gt;=$A15,INDEX(Monthly!$B$2:$B$61,$A15)*INDEX('Age profile'!$B$2:$B$61,E$1-$A15+1),"")</f>
        <v/>
      </c>
      <c r="F15" s="53">
        <f>IF(F$1&gt;=$A15,INDEX(Monthly!$B$2:$B$61,$A15)*INDEX('Age profile'!$B$2:$B$61,F$1-$A15+1),"")</f>
        <v/>
      </c>
      <c r="G15" s="53">
        <f>IF(G$1&gt;=$A15,INDEX(Monthly!$B$2:$B$61,$A15)*INDEX('Age profile'!$B$2:$B$61,G$1-$A15+1),"")</f>
        <v/>
      </c>
      <c r="H15" s="53">
        <f>IF(H$1&gt;=$A15,INDEX(Monthly!$B$2:$B$61,$A15)*INDEX('Age profile'!$B$2:$B$61,H$1-$A15+1),"")</f>
        <v/>
      </c>
      <c r="I15" s="53">
        <f>IF(I$1&gt;=$A15,INDEX(Monthly!$B$2:$B$61,$A15)*INDEX('Age profile'!$B$2:$B$61,I$1-$A15+1),"")</f>
        <v/>
      </c>
      <c r="J15" s="53">
        <f>IF(J$1&gt;=$A15,INDEX(Monthly!$B$2:$B$61,$A15)*INDEX('Age profile'!$B$2:$B$61,J$1-$A15+1),"")</f>
        <v/>
      </c>
      <c r="K15" s="53">
        <f>IF(K$1&gt;=$A15,INDEX(Monthly!$B$2:$B$61,$A15)*INDEX('Age profile'!$B$2:$B$61,K$1-$A15+1),"")</f>
        <v/>
      </c>
      <c r="L15" s="53">
        <f>IF(L$1&gt;=$A15,INDEX(Monthly!$B$2:$B$61,$A15)*INDEX('Age profile'!$B$2:$B$61,L$1-$A15+1),"")</f>
        <v/>
      </c>
      <c r="M15" s="53">
        <f>IF(M$1&gt;=$A15,INDEX(Monthly!$B$2:$B$61,$A15)*INDEX('Age profile'!$B$2:$B$61,M$1-$A15+1),"")</f>
        <v/>
      </c>
      <c r="N15" s="53">
        <f>IF(N$1&gt;=$A15,INDEX(Monthly!$B$2:$B$61,$A15)*INDEX('Age profile'!$B$2:$B$61,N$1-$A15+1),"")</f>
        <v/>
      </c>
      <c r="O15" s="53">
        <f>IF(O$1&gt;=$A15,INDEX(Monthly!$B$2:$B$61,$A15)*INDEX('Age profile'!$B$2:$B$61,O$1-$A15+1),"")</f>
        <v/>
      </c>
      <c r="P15" s="53">
        <f>IF(P$1&gt;=$A15,INDEX(Monthly!$B$2:$B$61,$A15)*INDEX('Age profile'!$B$2:$B$61,P$1-$A15+1),"")</f>
        <v/>
      </c>
      <c r="Q15" s="53">
        <f>IF(Q$1&gt;=$A15,INDEX(Monthly!$B$2:$B$61,$A15)*INDEX('Age profile'!$B$2:$B$61,Q$1-$A15+1),"")</f>
        <v/>
      </c>
      <c r="R15" s="53">
        <f>IF(R$1&gt;=$A15,INDEX(Monthly!$B$2:$B$61,$A15)*INDEX('Age profile'!$B$2:$B$61,R$1-$A15+1),"")</f>
        <v/>
      </c>
      <c r="S15" s="53">
        <f>IF(S$1&gt;=$A15,INDEX(Monthly!$B$2:$B$61,$A15)*INDEX('Age profile'!$B$2:$B$61,S$1-$A15+1),"")</f>
        <v/>
      </c>
      <c r="T15" s="53">
        <f>IF(T$1&gt;=$A15,INDEX(Monthly!$B$2:$B$61,$A15)*INDEX('Age profile'!$B$2:$B$61,T$1-$A15+1),"")</f>
        <v/>
      </c>
      <c r="U15" s="53">
        <f>IF(U$1&gt;=$A15,INDEX(Monthly!$B$2:$B$61,$A15)*INDEX('Age profile'!$B$2:$B$61,U$1-$A15+1),"")</f>
        <v/>
      </c>
      <c r="V15" s="53">
        <f>IF(V$1&gt;=$A15,INDEX(Monthly!$B$2:$B$61,$A15)*INDEX('Age profile'!$B$2:$B$61,V$1-$A15+1),"")</f>
        <v/>
      </c>
      <c r="W15" s="53">
        <f>IF(W$1&gt;=$A15,INDEX(Monthly!$B$2:$B$61,$A15)*INDEX('Age profile'!$B$2:$B$61,W$1-$A15+1),"")</f>
        <v/>
      </c>
      <c r="X15" s="53">
        <f>IF(X$1&gt;=$A15,INDEX(Monthly!$B$2:$B$61,$A15)*INDEX('Age profile'!$B$2:$B$61,X$1-$A15+1),"")</f>
        <v/>
      </c>
      <c r="Y15" s="53">
        <f>IF(Y$1&gt;=$A15,INDEX(Monthly!$B$2:$B$61,$A15)*INDEX('Age profile'!$B$2:$B$61,Y$1-$A15+1),"")</f>
        <v/>
      </c>
      <c r="Z15" s="53">
        <f>IF(Z$1&gt;=$A15,INDEX(Monthly!$B$2:$B$61,$A15)*INDEX('Age profile'!$B$2:$B$61,Z$1-$A15+1),"")</f>
        <v/>
      </c>
      <c r="AA15" s="53">
        <f>IF(AA$1&gt;=$A15,INDEX(Monthly!$B$2:$B$61,$A15)*INDEX('Age profile'!$B$2:$B$61,AA$1-$A15+1),"")</f>
        <v/>
      </c>
      <c r="AB15" s="53">
        <f>IF(AB$1&gt;=$A15,INDEX(Monthly!$B$2:$B$61,$A15)*INDEX('Age profile'!$B$2:$B$61,AB$1-$A15+1),"")</f>
        <v/>
      </c>
      <c r="AC15" s="53">
        <f>IF(AC$1&gt;=$A15,INDEX(Monthly!$B$2:$B$61,$A15)*INDEX('Age profile'!$B$2:$B$61,AC$1-$A15+1),"")</f>
        <v/>
      </c>
      <c r="AD15" s="53">
        <f>IF(AD$1&gt;=$A15,INDEX(Monthly!$B$2:$B$61,$A15)*INDEX('Age profile'!$B$2:$B$61,AD$1-$A15+1),"")</f>
        <v/>
      </c>
      <c r="AE15" s="53">
        <f>IF(AE$1&gt;=$A15,INDEX(Monthly!$B$2:$B$61,$A15)*INDEX('Age profile'!$B$2:$B$61,AE$1-$A15+1),"")</f>
        <v/>
      </c>
      <c r="AF15" s="53">
        <f>IF(AF$1&gt;=$A15,INDEX(Monthly!$B$2:$B$61,$A15)*INDEX('Age profile'!$B$2:$B$61,AF$1-$A15+1),"")</f>
        <v/>
      </c>
      <c r="AG15" s="53">
        <f>IF(AG$1&gt;=$A15,INDEX(Monthly!$B$2:$B$61,$A15)*INDEX('Age profile'!$B$2:$B$61,AG$1-$A15+1),"")</f>
        <v/>
      </c>
      <c r="AH15" s="53">
        <f>IF(AH$1&gt;=$A15,INDEX(Monthly!$B$2:$B$61,$A15)*INDEX('Age profile'!$B$2:$B$61,AH$1-$A15+1),"")</f>
        <v/>
      </c>
      <c r="AI15" s="53">
        <f>IF(AI$1&gt;=$A15,INDEX(Monthly!$B$2:$B$61,$A15)*INDEX('Age profile'!$B$2:$B$61,AI$1-$A15+1),"")</f>
        <v/>
      </c>
      <c r="AJ15" s="53">
        <f>IF(AJ$1&gt;=$A15,INDEX(Monthly!$B$2:$B$61,$A15)*INDEX('Age profile'!$B$2:$B$61,AJ$1-$A15+1),"")</f>
        <v/>
      </c>
      <c r="AK15" s="53">
        <f>IF(AK$1&gt;=$A15,INDEX(Monthly!$B$2:$B$61,$A15)*INDEX('Age profile'!$B$2:$B$61,AK$1-$A15+1),"")</f>
        <v/>
      </c>
      <c r="AL15" s="53">
        <f>IF(AL$1&gt;=$A15,INDEX(Monthly!$B$2:$B$61,$A15)*INDEX('Age profile'!$B$2:$B$61,AL$1-$A15+1),"")</f>
        <v/>
      </c>
      <c r="AM15" s="53">
        <f>IF(AM$1&gt;=$A15,INDEX(Monthly!$B$2:$B$61,$A15)*INDEX('Age profile'!$B$2:$B$61,AM$1-$A15+1),"")</f>
        <v/>
      </c>
      <c r="AN15" s="53">
        <f>IF(AN$1&gt;=$A15,INDEX(Monthly!$B$2:$B$61,$A15)*INDEX('Age profile'!$B$2:$B$61,AN$1-$A15+1),"")</f>
        <v/>
      </c>
      <c r="AO15" s="53">
        <f>IF(AO$1&gt;=$A15,INDEX(Monthly!$B$2:$B$61,$A15)*INDEX('Age profile'!$B$2:$B$61,AO$1-$A15+1),"")</f>
        <v/>
      </c>
      <c r="AP15" s="53">
        <f>IF(AP$1&gt;=$A15,INDEX(Monthly!$B$2:$B$61,$A15)*INDEX('Age profile'!$B$2:$B$61,AP$1-$A15+1),"")</f>
        <v/>
      </c>
      <c r="AQ15" s="53">
        <f>IF(AQ$1&gt;=$A15,INDEX(Monthly!$B$2:$B$61,$A15)*INDEX('Age profile'!$B$2:$B$61,AQ$1-$A15+1),"")</f>
        <v/>
      </c>
      <c r="AR15" s="53">
        <f>IF(AR$1&gt;=$A15,INDEX(Monthly!$B$2:$B$61,$A15)*INDEX('Age profile'!$B$2:$B$61,AR$1-$A15+1),"")</f>
        <v/>
      </c>
      <c r="AS15" s="53">
        <f>IF(AS$1&gt;=$A15,INDEX(Monthly!$B$2:$B$61,$A15)*INDEX('Age profile'!$B$2:$B$61,AS$1-$A15+1),"")</f>
        <v/>
      </c>
      <c r="AT15" s="53">
        <f>IF(AT$1&gt;=$A15,INDEX(Monthly!$B$2:$B$61,$A15)*INDEX('Age profile'!$B$2:$B$61,AT$1-$A15+1),"")</f>
        <v/>
      </c>
      <c r="AU15" s="53">
        <f>IF(AU$1&gt;=$A15,INDEX(Monthly!$B$2:$B$61,$A15)*INDEX('Age profile'!$B$2:$B$61,AU$1-$A15+1),"")</f>
        <v/>
      </c>
      <c r="AV15" s="53">
        <f>IF(AV$1&gt;=$A15,INDEX(Monthly!$B$2:$B$61,$A15)*INDEX('Age profile'!$B$2:$B$61,AV$1-$A15+1),"")</f>
        <v/>
      </c>
      <c r="AW15" s="53">
        <f>IF(AW$1&gt;=$A15,INDEX(Monthly!$B$2:$B$61,$A15)*INDEX('Age profile'!$B$2:$B$61,AW$1-$A15+1),"")</f>
        <v/>
      </c>
      <c r="AX15" s="53">
        <f>IF(AX$1&gt;=$A15,INDEX(Monthly!$B$2:$B$61,$A15)*INDEX('Age profile'!$B$2:$B$61,AX$1-$A15+1),"")</f>
        <v/>
      </c>
      <c r="AY15" s="53">
        <f>IF(AY$1&gt;=$A15,INDEX(Monthly!$B$2:$B$61,$A15)*INDEX('Age profile'!$B$2:$B$61,AY$1-$A15+1),"")</f>
        <v/>
      </c>
      <c r="AZ15" s="53">
        <f>IF(AZ$1&gt;=$A15,INDEX(Monthly!$B$2:$B$61,$A15)*INDEX('Age profile'!$B$2:$B$61,AZ$1-$A15+1),"")</f>
        <v/>
      </c>
      <c r="BA15" s="53">
        <f>IF(BA$1&gt;=$A15,INDEX(Monthly!$B$2:$B$61,$A15)*INDEX('Age profile'!$B$2:$B$61,BA$1-$A15+1),"")</f>
        <v/>
      </c>
      <c r="BB15" s="53">
        <f>IF(BB$1&gt;=$A15,INDEX(Monthly!$B$2:$B$61,$A15)*INDEX('Age profile'!$B$2:$B$61,BB$1-$A15+1),"")</f>
        <v/>
      </c>
      <c r="BC15" s="53">
        <f>IF(BC$1&gt;=$A15,INDEX(Monthly!$B$2:$B$61,$A15)*INDEX('Age profile'!$B$2:$B$61,BC$1-$A15+1),"")</f>
        <v/>
      </c>
      <c r="BD15" s="53">
        <f>IF(BD$1&gt;=$A15,INDEX(Monthly!$B$2:$B$61,$A15)*INDEX('Age profile'!$B$2:$B$61,BD$1-$A15+1),"")</f>
        <v/>
      </c>
      <c r="BE15" s="53">
        <f>IF(BE$1&gt;=$A15,INDEX(Monthly!$B$2:$B$61,$A15)*INDEX('Age profile'!$B$2:$B$61,BE$1-$A15+1),"")</f>
        <v/>
      </c>
      <c r="BF15" s="53">
        <f>IF(BF$1&gt;=$A15,INDEX(Monthly!$B$2:$B$61,$A15)*INDEX('Age profile'!$B$2:$B$61,BF$1-$A15+1),"")</f>
        <v/>
      </c>
      <c r="BG15" s="53">
        <f>IF(BG$1&gt;=$A15,INDEX(Monthly!$B$2:$B$61,$A15)*INDEX('Age profile'!$B$2:$B$61,BG$1-$A15+1),"")</f>
        <v/>
      </c>
      <c r="BH15" s="53">
        <f>IF(BH$1&gt;=$A15,INDEX(Monthly!$B$2:$B$61,$A15)*INDEX('Age profile'!$B$2:$B$61,BH$1-$A15+1),"")</f>
        <v/>
      </c>
      <c r="BI15" s="53">
        <f>IF(BI$1&gt;=$A15,INDEX(Monthly!$B$2:$B$61,$A15)*INDEX('Age profile'!$B$2:$B$61,BI$1-$A15+1),"")</f>
        <v/>
      </c>
    </row>
    <row r="16">
      <c r="A16" s="3" t="n">
        <v>15</v>
      </c>
      <c r="B16" s="53">
        <f>IF(B$1&gt;=$A16,INDEX(Monthly!$B$2:$B$61,$A16)*INDEX('Age profile'!$B$2:$B$61,B$1-$A16+1),"")</f>
        <v/>
      </c>
      <c r="C16" s="53">
        <f>IF(C$1&gt;=$A16,INDEX(Monthly!$B$2:$B$61,$A16)*INDEX('Age profile'!$B$2:$B$61,C$1-$A16+1),"")</f>
        <v/>
      </c>
      <c r="D16" s="53">
        <f>IF(D$1&gt;=$A16,INDEX(Monthly!$B$2:$B$61,$A16)*INDEX('Age profile'!$B$2:$B$61,D$1-$A16+1),"")</f>
        <v/>
      </c>
      <c r="E16" s="53">
        <f>IF(E$1&gt;=$A16,INDEX(Monthly!$B$2:$B$61,$A16)*INDEX('Age profile'!$B$2:$B$61,E$1-$A16+1),"")</f>
        <v/>
      </c>
      <c r="F16" s="53">
        <f>IF(F$1&gt;=$A16,INDEX(Monthly!$B$2:$B$61,$A16)*INDEX('Age profile'!$B$2:$B$61,F$1-$A16+1),"")</f>
        <v/>
      </c>
      <c r="G16" s="53">
        <f>IF(G$1&gt;=$A16,INDEX(Monthly!$B$2:$B$61,$A16)*INDEX('Age profile'!$B$2:$B$61,G$1-$A16+1),"")</f>
        <v/>
      </c>
      <c r="H16" s="53">
        <f>IF(H$1&gt;=$A16,INDEX(Monthly!$B$2:$B$61,$A16)*INDEX('Age profile'!$B$2:$B$61,H$1-$A16+1),"")</f>
        <v/>
      </c>
      <c r="I16" s="53">
        <f>IF(I$1&gt;=$A16,INDEX(Monthly!$B$2:$B$61,$A16)*INDEX('Age profile'!$B$2:$B$61,I$1-$A16+1),"")</f>
        <v/>
      </c>
      <c r="J16" s="53">
        <f>IF(J$1&gt;=$A16,INDEX(Monthly!$B$2:$B$61,$A16)*INDEX('Age profile'!$B$2:$B$61,J$1-$A16+1),"")</f>
        <v/>
      </c>
      <c r="K16" s="53">
        <f>IF(K$1&gt;=$A16,INDEX(Monthly!$B$2:$B$61,$A16)*INDEX('Age profile'!$B$2:$B$61,K$1-$A16+1),"")</f>
        <v/>
      </c>
      <c r="L16" s="53">
        <f>IF(L$1&gt;=$A16,INDEX(Monthly!$B$2:$B$61,$A16)*INDEX('Age profile'!$B$2:$B$61,L$1-$A16+1),"")</f>
        <v/>
      </c>
      <c r="M16" s="53">
        <f>IF(M$1&gt;=$A16,INDEX(Monthly!$B$2:$B$61,$A16)*INDEX('Age profile'!$B$2:$B$61,M$1-$A16+1),"")</f>
        <v/>
      </c>
      <c r="N16" s="53">
        <f>IF(N$1&gt;=$A16,INDEX(Monthly!$B$2:$B$61,$A16)*INDEX('Age profile'!$B$2:$B$61,N$1-$A16+1),"")</f>
        <v/>
      </c>
      <c r="O16" s="53">
        <f>IF(O$1&gt;=$A16,INDEX(Monthly!$B$2:$B$61,$A16)*INDEX('Age profile'!$B$2:$B$61,O$1-$A16+1),"")</f>
        <v/>
      </c>
      <c r="P16" s="53">
        <f>IF(P$1&gt;=$A16,INDEX(Monthly!$B$2:$B$61,$A16)*INDEX('Age profile'!$B$2:$B$61,P$1-$A16+1),"")</f>
        <v/>
      </c>
      <c r="Q16" s="53">
        <f>IF(Q$1&gt;=$A16,INDEX(Monthly!$B$2:$B$61,$A16)*INDEX('Age profile'!$B$2:$B$61,Q$1-$A16+1),"")</f>
        <v/>
      </c>
      <c r="R16" s="53">
        <f>IF(R$1&gt;=$A16,INDEX(Monthly!$B$2:$B$61,$A16)*INDEX('Age profile'!$B$2:$B$61,R$1-$A16+1),"")</f>
        <v/>
      </c>
      <c r="S16" s="53">
        <f>IF(S$1&gt;=$A16,INDEX(Monthly!$B$2:$B$61,$A16)*INDEX('Age profile'!$B$2:$B$61,S$1-$A16+1),"")</f>
        <v/>
      </c>
      <c r="T16" s="53">
        <f>IF(T$1&gt;=$A16,INDEX(Monthly!$B$2:$B$61,$A16)*INDEX('Age profile'!$B$2:$B$61,T$1-$A16+1),"")</f>
        <v/>
      </c>
      <c r="U16" s="53">
        <f>IF(U$1&gt;=$A16,INDEX(Monthly!$B$2:$B$61,$A16)*INDEX('Age profile'!$B$2:$B$61,U$1-$A16+1),"")</f>
        <v/>
      </c>
      <c r="V16" s="53">
        <f>IF(V$1&gt;=$A16,INDEX(Monthly!$B$2:$B$61,$A16)*INDEX('Age profile'!$B$2:$B$61,V$1-$A16+1),"")</f>
        <v/>
      </c>
      <c r="W16" s="53">
        <f>IF(W$1&gt;=$A16,INDEX(Monthly!$B$2:$B$61,$A16)*INDEX('Age profile'!$B$2:$B$61,W$1-$A16+1),"")</f>
        <v/>
      </c>
      <c r="X16" s="53">
        <f>IF(X$1&gt;=$A16,INDEX(Monthly!$B$2:$B$61,$A16)*INDEX('Age profile'!$B$2:$B$61,X$1-$A16+1),"")</f>
        <v/>
      </c>
      <c r="Y16" s="53">
        <f>IF(Y$1&gt;=$A16,INDEX(Monthly!$B$2:$B$61,$A16)*INDEX('Age profile'!$B$2:$B$61,Y$1-$A16+1),"")</f>
        <v/>
      </c>
      <c r="Z16" s="53">
        <f>IF(Z$1&gt;=$A16,INDEX(Monthly!$B$2:$B$61,$A16)*INDEX('Age profile'!$B$2:$B$61,Z$1-$A16+1),"")</f>
        <v/>
      </c>
      <c r="AA16" s="53">
        <f>IF(AA$1&gt;=$A16,INDEX(Monthly!$B$2:$B$61,$A16)*INDEX('Age profile'!$B$2:$B$61,AA$1-$A16+1),"")</f>
        <v/>
      </c>
      <c r="AB16" s="53">
        <f>IF(AB$1&gt;=$A16,INDEX(Monthly!$B$2:$B$61,$A16)*INDEX('Age profile'!$B$2:$B$61,AB$1-$A16+1),"")</f>
        <v/>
      </c>
      <c r="AC16" s="53">
        <f>IF(AC$1&gt;=$A16,INDEX(Monthly!$B$2:$B$61,$A16)*INDEX('Age profile'!$B$2:$B$61,AC$1-$A16+1),"")</f>
        <v/>
      </c>
      <c r="AD16" s="53">
        <f>IF(AD$1&gt;=$A16,INDEX(Monthly!$B$2:$B$61,$A16)*INDEX('Age profile'!$B$2:$B$61,AD$1-$A16+1),"")</f>
        <v/>
      </c>
      <c r="AE16" s="53">
        <f>IF(AE$1&gt;=$A16,INDEX(Monthly!$B$2:$B$61,$A16)*INDEX('Age profile'!$B$2:$B$61,AE$1-$A16+1),"")</f>
        <v/>
      </c>
      <c r="AF16" s="53">
        <f>IF(AF$1&gt;=$A16,INDEX(Monthly!$B$2:$B$61,$A16)*INDEX('Age profile'!$B$2:$B$61,AF$1-$A16+1),"")</f>
        <v/>
      </c>
      <c r="AG16" s="53">
        <f>IF(AG$1&gt;=$A16,INDEX(Monthly!$B$2:$B$61,$A16)*INDEX('Age profile'!$B$2:$B$61,AG$1-$A16+1),"")</f>
        <v/>
      </c>
      <c r="AH16" s="53">
        <f>IF(AH$1&gt;=$A16,INDEX(Monthly!$B$2:$B$61,$A16)*INDEX('Age profile'!$B$2:$B$61,AH$1-$A16+1),"")</f>
        <v/>
      </c>
      <c r="AI16" s="53">
        <f>IF(AI$1&gt;=$A16,INDEX(Monthly!$B$2:$B$61,$A16)*INDEX('Age profile'!$B$2:$B$61,AI$1-$A16+1),"")</f>
        <v/>
      </c>
      <c r="AJ16" s="53">
        <f>IF(AJ$1&gt;=$A16,INDEX(Monthly!$B$2:$B$61,$A16)*INDEX('Age profile'!$B$2:$B$61,AJ$1-$A16+1),"")</f>
        <v/>
      </c>
      <c r="AK16" s="53">
        <f>IF(AK$1&gt;=$A16,INDEX(Monthly!$B$2:$B$61,$A16)*INDEX('Age profile'!$B$2:$B$61,AK$1-$A16+1),"")</f>
        <v/>
      </c>
      <c r="AL16" s="53">
        <f>IF(AL$1&gt;=$A16,INDEX(Monthly!$B$2:$B$61,$A16)*INDEX('Age profile'!$B$2:$B$61,AL$1-$A16+1),"")</f>
        <v/>
      </c>
      <c r="AM16" s="53">
        <f>IF(AM$1&gt;=$A16,INDEX(Monthly!$B$2:$B$61,$A16)*INDEX('Age profile'!$B$2:$B$61,AM$1-$A16+1),"")</f>
        <v/>
      </c>
      <c r="AN16" s="53">
        <f>IF(AN$1&gt;=$A16,INDEX(Monthly!$B$2:$B$61,$A16)*INDEX('Age profile'!$B$2:$B$61,AN$1-$A16+1),"")</f>
        <v/>
      </c>
      <c r="AO16" s="53">
        <f>IF(AO$1&gt;=$A16,INDEX(Monthly!$B$2:$B$61,$A16)*INDEX('Age profile'!$B$2:$B$61,AO$1-$A16+1),"")</f>
        <v/>
      </c>
      <c r="AP16" s="53">
        <f>IF(AP$1&gt;=$A16,INDEX(Monthly!$B$2:$B$61,$A16)*INDEX('Age profile'!$B$2:$B$61,AP$1-$A16+1),"")</f>
        <v/>
      </c>
      <c r="AQ16" s="53">
        <f>IF(AQ$1&gt;=$A16,INDEX(Monthly!$B$2:$B$61,$A16)*INDEX('Age profile'!$B$2:$B$61,AQ$1-$A16+1),"")</f>
        <v/>
      </c>
      <c r="AR16" s="53">
        <f>IF(AR$1&gt;=$A16,INDEX(Monthly!$B$2:$B$61,$A16)*INDEX('Age profile'!$B$2:$B$61,AR$1-$A16+1),"")</f>
        <v/>
      </c>
      <c r="AS16" s="53">
        <f>IF(AS$1&gt;=$A16,INDEX(Monthly!$B$2:$B$61,$A16)*INDEX('Age profile'!$B$2:$B$61,AS$1-$A16+1),"")</f>
        <v/>
      </c>
      <c r="AT16" s="53">
        <f>IF(AT$1&gt;=$A16,INDEX(Monthly!$B$2:$B$61,$A16)*INDEX('Age profile'!$B$2:$B$61,AT$1-$A16+1),"")</f>
        <v/>
      </c>
      <c r="AU16" s="53">
        <f>IF(AU$1&gt;=$A16,INDEX(Monthly!$B$2:$B$61,$A16)*INDEX('Age profile'!$B$2:$B$61,AU$1-$A16+1),"")</f>
        <v/>
      </c>
      <c r="AV16" s="53">
        <f>IF(AV$1&gt;=$A16,INDEX(Monthly!$B$2:$B$61,$A16)*INDEX('Age profile'!$B$2:$B$61,AV$1-$A16+1),"")</f>
        <v/>
      </c>
      <c r="AW16" s="53">
        <f>IF(AW$1&gt;=$A16,INDEX(Monthly!$B$2:$B$61,$A16)*INDEX('Age profile'!$B$2:$B$61,AW$1-$A16+1),"")</f>
        <v/>
      </c>
      <c r="AX16" s="53">
        <f>IF(AX$1&gt;=$A16,INDEX(Monthly!$B$2:$B$61,$A16)*INDEX('Age profile'!$B$2:$B$61,AX$1-$A16+1),"")</f>
        <v/>
      </c>
      <c r="AY16" s="53">
        <f>IF(AY$1&gt;=$A16,INDEX(Monthly!$B$2:$B$61,$A16)*INDEX('Age profile'!$B$2:$B$61,AY$1-$A16+1),"")</f>
        <v/>
      </c>
      <c r="AZ16" s="53">
        <f>IF(AZ$1&gt;=$A16,INDEX(Monthly!$B$2:$B$61,$A16)*INDEX('Age profile'!$B$2:$B$61,AZ$1-$A16+1),"")</f>
        <v/>
      </c>
      <c r="BA16" s="53">
        <f>IF(BA$1&gt;=$A16,INDEX(Monthly!$B$2:$B$61,$A16)*INDEX('Age profile'!$B$2:$B$61,BA$1-$A16+1),"")</f>
        <v/>
      </c>
      <c r="BB16" s="53">
        <f>IF(BB$1&gt;=$A16,INDEX(Monthly!$B$2:$B$61,$A16)*INDEX('Age profile'!$B$2:$B$61,BB$1-$A16+1),"")</f>
        <v/>
      </c>
      <c r="BC16" s="53">
        <f>IF(BC$1&gt;=$A16,INDEX(Monthly!$B$2:$B$61,$A16)*INDEX('Age profile'!$B$2:$B$61,BC$1-$A16+1),"")</f>
        <v/>
      </c>
      <c r="BD16" s="53">
        <f>IF(BD$1&gt;=$A16,INDEX(Monthly!$B$2:$B$61,$A16)*INDEX('Age profile'!$B$2:$B$61,BD$1-$A16+1),"")</f>
        <v/>
      </c>
      <c r="BE16" s="53">
        <f>IF(BE$1&gt;=$A16,INDEX(Monthly!$B$2:$B$61,$A16)*INDEX('Age profile'!$B$2:$B$61,BE$1-$A16+1),"")</f>
        <v/>
      </c>
      <c r="BF16" s="53">
        <f>IF(BF$1&gt;=$A16,INDEX(Monthly!$B$2:$B$61,$A16)*INDEX('Age profile'!$B$2:$B$61,BF$1-$A16+1),"")</f>
        <v/>
      </c>
      <c r="BG16" s="53">
        <f>IF(BG$1&gt;=$A16,INDEX(Monthly!$B$2:$B$61,$A16)*INDEX('Age profile'!$B$2:$B$61,BG$1-$A16+1),"")</f>
        <v/>
      </c>
      <c r="BH16" s="53">
        <f>IF(BH$1&gt;=$A16,INDEX(Monthly!$B$2:$B$61,$A16)*INDEX('Age profile'!$B$2:$B$61,BH$1-$A16+1),"")</f>
        <v/>
      </c>
      <c r="BI16" s="53">
        <f>IF(BI$1&gt;=$A16,INDEX(Monthly!$B$2:$B$61,$A16)*INDEX('Age profile'!$B$2:$B$61,BI$1-$A16+1),"")</f>
        <v/>
      </c>
    </row>
    <row r="17">
      <c r="A17" s="3" t="n">
        <v>16</v>
      </c>
      <c r="B17" s="53">
        <f>IF(B$1&gt;=$A17,INDEX(Monthly!$B$2:$B$61,$A17)*INDEX('Age profile'!$B$2:$B$61,B$1-$A17+1),"")</f>
        <v/>
      </c>
      <c r="C17" s="53">
        <f>IF(C$1&gt;=$A17,INDEX(Monthly!$B$2:$B$61,$A17)*INDEX('Age profile'!$B$2:$B$61,C$1-$A17+1),"")</f>
        <v/>
      </c>
      <c r="D17" s="53">
        <f>IF(D$1&gt;=$A17,INDEX(Monthly!$B$2:$B$61,$A17)*INDEX('Age profile'!$B$2:$B$61,D$1-$A17+1),"")</f>
        <v/>
      </c>
      <c r="E17" s="53">
        <f>IF(E$1&gt;=$A17,INDEX(Monthly!$B$2:$B$61,$A17)*INDEX('Age profile'!$B$2:$B$61,E$1-$A17+1),"")</f>
        <v/>
      </c>
      <c r="F17" s="53">
        <f>IF(F$1&gt;=$A17,INDEX(Monthly!$B$2:$B$61,$A17)*INDEX('Age profile'!$B$2:$B$61,F$1-$A17+1),"")</f>
        <v/>
      </c>
      <c r="G17" s="53">
        <f>IF(G$1&gt;=$A17,INDEX(Monthly!$B$2:$B$61,$A17)*INDEX('Age profile'!$B$2:$B$61,G$1-$A17+1),"")</f>
        <v/>
      </c>
      <c r="H17" s="53">
        <f>IF(H$1&gt;=$A17,INDEX(Monthly!$B$2:$B$61,$A17)*INDEX('Age profile'!$B$2:$B$61,H$1-$A17+1),"")</f>
        <v/>
      </c>
      <c r="I17" s="53">
        <f>IF(I$1&gt;=$A17,INDEX(Monthly!$B$2:$B$61,$A17)*INDEX('Age profile'!$B$2:$B$61,I$1-$A17+1),"")</f>
        <v/>
      </c>
      <c r="J17" s="53">
        <f>IF(J$1&gt;=$A17,INDEX(Monthly!$B$2:$B$61,$A17)*INDEX('Age profile'!$B$2:$B$61,J$1-$A17+1),"")</f>
        <v/>
      </c>
      <c r="K17" s="53">
        <f>IF(K$1&gt;=$A17,INDEX(Monthly!$B$2:$B$61,$A17)*INDEX('Age profile'!$B$2:$B$61,K$1-$A17+1),"")</f>
        <v/>
      </c>
      <c r="L17" s="53">
        <f>IF(L$1&gt;=$A17,INDEX(Monthly!$B$2:$B$61,$A17)*INDEX('Age profile'!$B$2:$B$61,L$1-$A17+1),"")</f>
        <v/>
      </c>
      <c r="M17" s="53">
        <f>IF(M$1&gt;=$A17,INDEX(Monthly!$B$2:$B$61,$A17)*INDEX('Age profile'!$B$2:$B$61,M$1-$A17+1),"")</f>
        <v/>
      </c>
      <c r="N17" s="53">
        <f>IF(N$1&gt;=$A17,INDEX(Monthly!$B$2:$B$61,$A17)*INDEX('Age profile'!$B$2:$B$61,N$1-$A17+1),"")</f>
        <v/>
      </c>
      <c r="O17" s="53">
        <f>IF(O$1&gt;=$A17,INDEX(Monthly!$B$2:$B$61,$A17)*INDEX('Age profile'!$B$2:$B$61,O$1-$A17+1),"")</f>
        <v/>
      </c>
      <c r="P17" s="53">
        <f>IF(P$1&gt;=$A17,INDEX(Monthly!$B$2:$B$61,$A17)*INDEX('Age profile'!$B$2:$B$61,P$1-$A17+1),"")</f>
        <v/>
      </c>
      <c r="Q17" s="53">
        <f>IF(Q$1&gt;=$A17,INDEX(Monthly!$B$2:$B$61,$A17)*INDEX('Age profile'!$B$2:$B$61,Q$1-$A17+1),"")</f>
        <v/>
      </c>
      <c r="R17" s="53">
        <f>IF(R$1&gt;=$A17,INDEX(Monthly!$B$2:$B$61,$A17)*INDEX('Age profile'!$B$2:$B$61,R$1-$A17+1),"")</f>
        <v/>
      </c>
      <c r="S17" s="53">
        <f>IF(S$1&gt;=$A17,INDEX(Monthly!$B$2:$B$61,$A17)*INDEX('Age profile'!$B$2:$B$61,S$1-$A17+1),"")</f>
        <v/>
      </c>
      <c r="T17" s="53">
        <f>IF(T$1&gt;=$A17,INDEX(Monthly!$B$2:$B$61,$A17)*INDEX('Age profile'!$B$2:$B$61,T$1-$A17+1),"")</f>
        <v/>
      </c>
      <c r="U17" s="53">
        <f>IF(U$1&gt;=$A17,INDEX(Monthly!$B$2:$B$61,$A17)*INDEX('Age profile'!$B$2:$B$61,U$1-$A17+1),"")</f>
        <v/>
      </c>
      <c r="V17" s="53">
        <f>IF(V$1&gt;=$A17,INDEX(Monthly!$B$2:$B$61,$A17)*INDEX('Age profile'!$B$2:$B$61,V$1-$A17+1),"")</f>
        <v/>
      </c>
      <c r="W17" s="53">
        <f>IF(W$1&gt;=$A17,INDEX(Monthly!$B$2:$B$61,$A17)*INDEX('Age profile'!$B$2:$B$61,W$1-$A17+1),"")</f>
        <v/>
      </c>
      <c r="X17" s="53">
        <f>IF(X$1&gt;=$A17,INDEX(Monthly!$B$2:$B$61,$A17)*INDEX('Age profile'!$B$2:$B$61,X$1-$A17+1),"")</f>
        <v/>
      </c>
      <c r="Y17" s="53">
        <f>IF(Y$1&gt;=$A17,INDEX(Monthly!$B$2:$B$61,$A17)*INDEX('Age profile'!$B$2:$B$61,Y$1-$A17+1),"")</f>
        <v/>
      </c>
      <c r="Z17" s="53">
        <f>IF(Z$1&gt;=$A17,INDEX(Monthly!$B$2:$B$61,$A17)*INDEX('Age profile'!$B$2:$B$61,Z$1-$A17+1),"")</f>
        <v/>
      </c>
      <c r="AA17" s="53">
        <f>IF(AA$1&gt;=$A17,INDEX(Monthly!$B$2:$B$61,$A17)*INDEX('Age profile'!$B$2:$B$61,AA$1-$A17+1),"")</f>
        <v/>
      </c>
      <c r="AB17" s="53">
        <f>IF(AB$1&gt;=$A17,INDEX(Monthly!$B$2:$B$61,$A17)*INDEX('Age profile'!$B$2:$B$61,AB$1-$A17+1),"")</f>
        <v/>
      </c>
      <c r="AC17" s="53">
        <f>IF(AC$1&gt;=$A17,INDEX(Monthly!$B$2:$B$61,$A17)*INDEX('Age profile'!$B$2:$B$61,AC$1-$A17+1),"")</f>
        <v/>
      </c>
      <c r="AD17" s="53">
        <f>IF(AD$1&gt;=$A17,INDEX(Monthly!$B$2:$B$61,$A17)*INDEX('Age profile'!$B$2:$B$61,AD$1-$A17+1),"")</f>
        <v/>
      </c>
      <c r="AE17" s="53">
        <f>IF(AE$1&gt;=$A17,INDEX(Monthly!$B$2:$B$61,$A17)*INDEX('Age profile'!$B$2:$B$61,AE$1-$A17+1),"")</f>
        <v/>
      </c>
      <c r="AF17" s="53">
        <f>IF(AF$1&gt;=$A17,INDEX(Monthly!$B$2:$B$61,$A17)*INDEX('Age profile'!$B$2:$B$61,AF$1-$A17+1),"")</f>
        <v/>
      </c>
      <c r="AG17" s="53">
        <f>IF(AG$1&gt;=$A17,INDEX(Monthly!$B$2:$B$61,$A17)*INDEX('Age profile'!$B$2:$B$61,AG$1-$A17+1),"")</f>
        <v/>
      </c>
      <c r="AH17" s="53">
        <f>IF(AH$1&gt;=$A17,INDEX(Monthly!$B$2:$B$61,$A17)*INDEX('Age profile'!$B$2:$B$61,AH$1-$A17+1),"")</f>
        <v/>
      </c>
      <c r="AI17" s="53">
        <f>IF(AI$1&gt;=$A17,INDEX(Monthly!$B$2:$B$61,$A17)*INDEX('Age profile'!$B$2:$B$61,AI$1-$A17+1),"")</f>
        <v/>
      </c>
      <c r="AJ17" s="53">
        <f>IF(AJ$1&gt;=$A17,INDEX(Monthly!$B$2:$B$61,$A17)*INDEX('Age profile'!$B$2:$B$61,AJ$1-$A17+1),"")</f>
        <v/>
      </c>
      <c r="AK17" s="53">
        <f>IF(AK$1&gt;=$A17,INDEX(Monthly!$B$2:$B$61,$A17)*INDEX('Age profile'!$B$2:$B$61,AK$1-$A17+1),"")</f>
        <v/>
      </c>
      <c r="AL17" s="53">
        <f>IF(AL$1&gt;=$A17,INDEX(Monthly!$B$2:$B$61,$A17)*INDEX('Age profile'!$B$2:$B$61,AL$1-$A17+1),"")</f>
        <v/>
      </c>
      <c r="AM17" s="53">
        <f>IF(AM$1&gt;=$A17,INDEX(Monthly!$B$2:$B$61,$A17)*INDEX('Age profile'!$B$2:$B$61,AM$1-$A17+1),"")</f>
        <v/>
      </c>
      <c r="AN17" s="53">
        <f>IF(AN$1&gt;=$A17,INDEX(Monthly!$B$2:$B$61,$A17)*INDEX('Age profile'!$B$2:$B$61,AN$1-$A17+1),"")</f>
        <v/>
      </c>
      <c r="AO17" s="53">
        <f>IF(AO$1&gt;=$A17,INDEX(Monthly!$B$2:$B$61,$A17)*INDEX('Age profile'!$B$2:$B$61,AO$1-$A17+1),"")</f>
        <v/>
      </c>
      <c r="AP17" s="53">
        <f>IF(AP$1&gt;=$A17,INDEX(Monthly!$B$2:$B$61,$A17)*INDEX('Age profile'!$B$2:$B$61,AP$1-$A17+1),"")</f>
        <v/>
      </c>
      <c r="AQ17" s="53">
        <f>IF(AQ$1&gt;=$A17,INDEX(Monthly!$B$2:$B$61,$A17)*INDEX('Age profile'!$B$2:$B$61,AQ$1-$A17+1),"")</f>
        <v/>
      </c>
      <c r="AR17" s="53">
        <f>IF(AR$1&gt;=$A17,INDEX(Monthly!$B$2:$B$61,$A17)*INDEX('Age profile'!$B$2:$B$61,AR$1-$A17+1),"")</f>
        <v/>
      </c>
      <c r="AS17" s="53">
        <f>IF(AS$1&gt;=$A17,INDEX(Monthly!$B$2:$B$61,$A17)*INDEX('Age profile'!$B$2:$B$61,AS$1-$A17+1),"")</f>
        <v/>
      </c>
      <c r="AT17" s="53">
        <f>IF(AT$1&gt;=$A17,INDEX(Monthly!$B$2:$B$61,$A17)*INDEX('Age profile'!$B$2:$B$61,AT$1-$A17+1),"")</f>
        <v/>
      </c>
      <c r="AU17" s="53">
        <f>IF(AU$1&gt;=$A17,INDEX(Monthly!$B$2:$B$61,$A17)*INDEX('Age profile'!$B$2:$B$61,AU$1-$A17+1),"")</f>
        <v/>
      </c>
      <c r="AV17" s="53">
        <f>IF(AV$1&gt;=$A17,INDEX(Monthly!$B$2:$B$61,$A17)*INDEX('Age profile'!$B$2:$B$61,AV$1-$A17+1),"")</f>
        <v/>
      </c>
      <c r="AW17" s="53">
        <f>IF(AW$1&gt;=$A17,INDEX(Monthly!$B$2:$B$61,$A17)*INDEX('Age profile'!$B$2:$B$61,AW$1-$A17+1),"")</f>
        <v/>
      </c>
      <c r="AX17" s="53">
        <f>IF(AX$1&gt;=$A17,INDEX(Monthly!$B$2:$B$61,$A17)*INDEX('Age profile'!$B$2:$B$61,AX$1-$A17+1),"")</f>
        <v/>
      </c>
      <c r="AY17" s="53">
        <f>IF(AY$1&gt;=$A17,INDEX(Monthly!$B$2:$B$61,$A17)*INDEX('Age profile'!$B$2:$B$61,AY$1-$A17+1),"")</f>
        <v/>
      </c>
      <c r="AZ17" s="53">
        <f>IF(AZ$1&gt;=$A17,INDEX(Monthly!$B$2:$B$61,$A17)*INDEX('Age profile'!$B$2:$B$61,AZ$1-$A17+1),"")</f>
        <v/>
      </c>
      <c r="BA17" s="53">
        <f>IF(BA$1&gt;=$A17,INDEX(Monthly!$B$2:$B$61,$A17)*INDEX('Age profile'!$B$2:$B$61,BA$1-$A17+1),"")</f>
        <v/>
      </c>
      <c r="BB17" s="53">
        <f>IF(BB$1&gt;=$A17,INDEX(Monthly!$B$2:$B$61,$A17)*INDEX('Age profile'!$B$2:$B$61,BB$1-$A17+1),"")</f>
        <v/>
      </c>
      <c r="BC17" s="53">
        <f>IF(BC$1&gt;=$A17,INDEX(Monthly!$B$2:$B$61,$A17)*INDEX('Age profile'!$B$2:$B$61,BC$1-$A17+1),"")</f>
        <v/>
      </c>
      <c r="BD17" s="53">
        <f>IF(BD$1&gt;=$A17,INDEX(Monthly!$B$2:$B$61,$A17)*INDEX('Age profile'!$B$2:$B$61,BD$1-$A17+1),"")</f>
        <v/>
      </c>
      <c r="BE17" s="53">
        <f>IF(BE$1&gt;=$A17,INDEX(Monthly!$B$2:$B$61,$A17)*INDEX('Age profile'!$B$2:$B$61,BE$1-$A17+1),"")</f>
        <v/>
      </c>
      <c r="BF17" s="53">
        <f>IF(BF$1&gt;=$A17,INDEX(Monthly!$B$2:$B$61,$A17)*INDEX('Age profile'!$B$2:$B$61,BF$1-$A17+1),"")</f>
        <v/>
      </c>
      <c r="BG17" s="53">
        <f>IF(BG$1&gt;=$A17,INDEX(Monthly!$B$2:$B$61,$A17)*INDEX('Age profile'!$B$2:$B$61,BG$1-$A17+1),"")</f>
        <v/>
      </c>
      <c r="BH17" s="53">
        <f>IF(BH$1&gt;=$A17,INDEX(Monthly!$B$2:$B$61,$A17)*INDEX('Age profile'!$B$2:$B$61,BH$1-$A17+1),"")</f>
        <v/>
      </c>
      <c r="BI17" s="53">
        <f>IF(BI$1&gt;=$A17,INDEX(Monthly!$B$2:$B$61,$A17)*INDEX('Age profile'!$B$2:$B$61,BI$1-$A17+1),"")</f>
        <v/>
      </c>
    </row>
    <row r="18">
      <c r="A18" s="3" t="n">
        <v>17</v>
      </c>
      <c r="B18" s="53">
        <f>IF(B$1&gt;=$A18,INDEX(Monthly!$B$2:$B$61,$A18)*INDEX('Age profile'!$B$2:$B$61,B$1-$A18+1),"")</f>
        <v/>
      </c>
      <c r="C18" s="53">
        <f>IF(C$1&gt;=$A18,INDEX(Monthly!$B$2:$B$61,$A18)*INDEX('Age profile'!$B$2:$B$61,C$1-$A18+1),"")</f>
        <v/>
      </c>
      <c r="D18" s="53">
        <f>IF(D$1&gt;=$A18,INDEX(Monthly!$B$2:$B$61,$A18)*INDEX('Age profile'!$B$2:$B$61,D$1-$A18+1),"")</f>
        <v/>
      </c>
      <c r="E18" s="53">
        <f>IF(E$1&gt;=$A18,INDEX(Monthly!$B$2:$B$61,$A18)*INDEX('Age profile'!$B$2:$B$61,E$1-$A18+1),"")</f>
        <v/>
      </c>
      <c r="F18" s="53">
        <f>IF(F$1&gt;=$A18,INDEX(Monthly!$B$2:$B$61,$A18)*INDEX('Age profile'!$B$2:$B$61,F$1-$A18+1),"")</f>
        <v/>
      </c>
      <c r="G18" s="53">
        <f>IF(G$1&gt;=$A18,INDEX(Monthly!$B$2:$B$61,$A18)*INDEX('Age profile'!$B$2:$B$61,G$1-$A18+1),"")</f>
        <v/>
      </c>
      <c r="H18" s="53">
        <f>IF(H$1&gt;=$A18,INDEX(Monthly!$B$2:$B$61,$A18)*INDEX('Age profile'!$B$2:$B$61,H$1-$A18+1),"")</f>
        <v/>
      </c>
      <c r="I18" s="53">
        <f>IF(I$1&gt;=$A18,INDEX(Monthly!$B$2:$B$61,$A18)*INDEX('Age profile'!$B$2:$B$61,I$1-$A18+1),"")</f>
        <v/>
      </c>
      <c r="J18" s="53">
        <f>IF(J$1&gt;=$A18,INDEX(Monthly!$B$2:$B$61,$A18)*INDEX('Age profile'!$B$2:$B$61,J$1-$A18+1),"")</f>
        <v/>
      </c>
      <c r="K18" s="53">
        <f>IF(K$1&gt;=$A18,INDEX(Monthly!$B$2:$B$61,$A18)*INDEX('Age profile'!$B$2:$B$61,K$1-$A18+1),"")</f>
        <v/>
      </c>
      <c r="L18" s="53">
        <f>IF(L$1&gt;=$A18,INDEX(Monthly!$B$2:$B$61,$A18)*INDEX('Age profile'!$B$2:$B$61,L$1-$A18+1),"")</f>
        <v/>
      </c>
      <c r="M18" s="53">
        <f>IF(M$1&gt;=$A18,INDEX(Monthly!$B$2:$B$61,$A18)*INDEX('Age profile'!$B$2:$B$61,M$1-$A18+1),"")</f>
        <v/>
      </c>
      <c r="N18" s="53">
        <f>IF(N$1&gt;=$A18,INDEX(Monthly!$B$2:$B$61,$A18)*INDEX('Age profile'!$B$2:$B$61,N$1-$A18+1),"")</f>
        <v/>
      </c>
      <c r="O18" s="53">
        <f>IF(O$1&gt;=$A18,INDEX(Monthly!$B$2:$B$61,$A18)*INDEX('Age profile'!$B$2:$B$61,O$1-$A18+1),"")</f>
        <v/>
      </c>
      <c r="P18" s="53">
        <f>IF(P$1&gt;=$A18,INDEX(Monthly!$B$2:$B$61,$A18)*INDEX('Age profile'!$B$2:$B$61,P$1-$A18+1),"")</f>
        <v/>
      </c>
      <c r="Q18" s="53">
        <f>IF(Q$1&gt;=$A18,INDEX(Monthly!$B$2:$B$61,$A18)*INDEX('Age profile'!$B$2:$B$61,Q$1-$A18+1),"")</f>
        <v/>
      </c>
      <c r="R18" s="53">
        <f>IF(R$1&gt;=$A18,INDEX(Monthly!$B$2:$B$61,$A18)*INDEX('Age profile'!$B$2:$B$61,R$1-$A18+1),"")</f>
        <v/>
      </c>
      <c r="S18" s="53">
        <f>IF(S$1&gt;=$A18,INDEX(Monthly!$B$2:$B$61,$A18)*INDEX('Age profile'!$B$2:$B$61,S$1-$A18+1),"")</f>
        <v/>
      </c>
      <c r="T18" s="53">
        <f>IF(T$1&gt;=$A18,INDEX(Monthly!$B$2:$B$61,$A18)*INDEX('Age profile'!$B$2:$B$61,T$1-$A18+1),"")</f>
        <v/>
      </c>
      <c r="U18" s="53">
        <f>IF(U$1&gt;=$A18,INDEX(Monthly!$B$2:$B$61,$A18)*INDEX('Age profile'!$B$2:$B$61,U$1-$A18+1),"")</f>
        <v/>
      </c>
      <c r="V18" s="53">
        <f>IF(V$1&gt;=$A18,INDEX(Monthly!$B$2:$B$61,$A18)*INDEX('Age profile'!$B$2:$B$61,V$1-$A18+1),"")</f>
        <v/>
      </c>
      <c r="W18" s="53">
        <f>IF(W$1&gt;=$A18,INDEX(Monthly!$B$2:$B$61,$A18)*INDEX('Age profile'!$B$2:$B$61,W$1-$A18+1),"")</f>
        <v/>
      </c>
      <c r="X18" s="53">
        <f>IF(X$1&gt;=$A18,INDEX(Monthly!$B$2:$B$61,$A18)*INDEX('Age profile'!$B$2:$B$61,X$1-$A18+1),"")</f>
        <v/>
      </c>
      <c r="Y18" s="53">
        <f>IF(Y$1&gt;=$A18,INDEX(Monthly!$B$2:$B$61,$A18)*INDEX('Age profile'!$B$2:$B$61,Y$1-$A18+1),"")</f>
        <v/>
      </c>
      <c r="Z18" s="53">
        <f>IF(Z$1&gt;=$A18,INDEX(Monthly!$B$2:$B$61,$A18)*INDEX('Age profile'!$B$2:$B$61,Z$1-$A18+1),"")</f>
        <v/>
      </c>
      <c r="AA18" s="53">
        <f>IF(AA$1&gt;=$A18,INDEX(Monthly!$B$2:$B$61,$A18)*INDEX('Age profile'!$B$2:$B$61,AA$1-$A18+1),"")</f>
        <v/>
      </c>
      <c r="AB18" s="53">
        <f>IF(AB$1&gt;=$A18,INDEX(Monthly!$B$2:$B$61,$A18)*INDEX('Age profile'!$B$2:$B$61,AB$1-$A18+1),"")</f>
        <v/>
      </c>
      <c r="AC18" s="53">
        <f>IF(AC$1&gt;=$A18,INDEX(Monthly!$B$2:$B$61,$A18)*INDEX('Age profile'!$B$2:$B$61,AC$1-$A18+1),"")</f>
        <v/>
      </c>
      <c r="AD18" s="53">
        <f>IF(AD$1&gt;=$A18,INDEX(Monthly!$B$2:$B$61,$A18)*INDEX('Age profile'!$B$2:$B$61,AD$1-$A18+1),"")</f>
        <v/>
      </c>
      <c r="AE18" s="53">
        <f>IF(AE$1&gt;=$A18,INDEX(Monthly!$B$2:$B$61,$A18)*INDEX('Age profile'!$B$2:$B$61,AE$1-$A18+1),"")</f>
        <v/>
      </c>
      <c r="AF18" s="53">
        <f>IF(AF$1&gt;=$A18,INDEX(Monthly!$B$2:$B$61,$A18)*INDEX('Age profile'!$B$2:$B$61,AF$1-$A18+1),"")</f>
        <v/>
      </c>
      <c r="AG18" s="53">
        <f>IF(AG$1&gt;=$A18,INDEX(Monthly!$B$2:$B$61,$A18)*INDEX('Age profile'!$B$2:$B$61,AG$1-$A18+1),"")</f>
        <v/>
      </c>
      <c r="AH18" s="53">
        <f>IF(AH$1&gt;=$A18,INDEX(Monthly!$B$2:$B$61,$A18)*INDEX('Age profile'!$B$2:$B$61,AH$1-$A18+1),"")</f>
        <v/>
      </c>
      <c r="AI18" s="53">
        <f>IF(AI$1&gt;=$A18,INDEX(Monthly!$B$2:$B$61,$A18)*INDEX('Age profile'!$B$2:$B$61,AI$1-$A18+1),"")</f>
        <v/>
      </c>
      <c r="AJ18" s="53">
        <f>IF(AJ$1&gt;=$A18,INDEX(Monthly!$B$2:$B$61,$A18)*INDEX('Age profile'!$B$2:$B$61,AJ$1-$A18+1),"")</f>
        <v/>
      </c>
      <c r="AK18" s="53">
        <f>IF(AK$1&gt;=$A18,INDEX(Monthly!$B$2:$B$61,$A18)*INDEX('Age profile'!$B$2:$B$61,AK$1-$A18+1),"")</f>
        <v/>
      </c>
      <c r="AL18" s="53">
        <f>IF(AL$1&gt;=$A18,INDEX(Monthly!$B$2:$B$61,$A18)*INDEX('Age profile'!$B$2:$B$61,AL$1-$A18+1),"")</f>
        <v/>
      </c>
      <c r="AM18" s="53">
        <f>IF(AM$1&gt;=$A18,INDEX(Monthly!$B$2:$B$61,$A18)*INDEX('Age profile'!$B$2:$B$61,AM$1-$A18+1),"")</f>
        <v/>
      </c>
      <c r="AN18" s="53">
        <f>IF(AN$1&gt;=$A18,INDEX(Monthly!$B$2:$B$61,$A18)*INDEX('Age profile'!$B$2:$B$61,AN$1-$A18+1),"")</f>
        <v/>
      </c>
      <c r="AO18" s="53">
        <f>IF(AO$1&gt;=$A18,INDEX(Monthly!$B$2:$B$61,$A18)*INDEX('Age profile'!$B$2:$B$61,AO$1-$A18+1),"")</f>
        <v/>
      </c>
      <c r="AP18" s="53">
        <f>IF(AP$1&gt;=$A18,INDEX(Monthly!$B$2:$B$61,$A18)*INDEX('Age profile'!$B$2:$B$61,AP$1-$A18+1),"")</f>
        <v/>
      </c>
      <c r="AQ18" s="53">
        <f>IF(AQ$1&gt;=$A18,INDEX(Monthly!$B$2:$B$61,$A18)*INDEX('Age profile'!$B$2:$B$61,AQ$1-$A18+1),"")</f>
        <v/>
      </c>
      <c r="AR18" s="53">
        <f>IF(AR$1&gt;=$A18,INDEX(Monthly!$B$2:$B$61,$A18)*INDEX('Age profile'!$B$2:$B$61,AR$1-$A18+1),"")</f>
        <v/>
      </c>
      <c r="AS18" s="53">
        <f>IF(AS$1&gt;=$A18,INDEX(Monthly!$B$2:$B$61,$A18)*INDEX('Age profile'!$B$2:$B$61,AS$1-$A18+1),"")</f>
        <v/>
      </c>
      <c r="AT18" s="53">
        <f>IF(AT$1&gt;=$A18,INDEX(Monthly!$B$2:$B$61,$A18)*INDEX('Age profile'!$B$2:$B$61,AT$1-$A18+1),"")</f>
        <v/>
      </c>
      <c r="AU18" s="53">
        <f>IF(AU$1&gt;=$A18,INDEX(Monthly!$B$2:$B$61,$A18)*INDEX('Age profile'!$B$2:$B$61,AU$1-$A18+1),"")</f>
        <v/>
      </c>
      <c r="AV18" s="53">
        <f>IF(AV$1&gt;=$A18,INDEX(Monthly!$B$2:$B$61,$A18)*INDEX('Age profile'!$B$2:$B$61,AV$1-$A18+1),"")</f>
        <v/>
      </c>
      <c r="AW18" s="53">
        <f>IF(AW$1&gt;=$A18,INDEX(Monthly!$B$2:$B$61,$A18)*INDEX('Age profile'!$B$2:$B$61,AW$1-$A18+1),"")</f>
        <v/>
      </c>
      <c r="AX18" s="53">
        <f>IF(AX$1&gt;=$A18,INDEX(Monthly!$B$2:$B$61,$A18)*INDEX('Age profile'!$B$2:$B$61,AX$1-$A18+1),"")</f>
        <v/>
      </c>
      <c r="AY18" s="53">
        <f>IF(AY$1&gt;=$A18,INDEX(Monthly!$B$2:$B$61,$A18)*INDEX('Age profile'!$B$2:$B$61,AY$1-$A18+1),"")</f>
        <v/>
      </c>
      <c r="AZ18" s="53">
        <f>IF(AZ$1&gt;=$A18,INDEX(Monthly!$B$2:$B$61,$A18)*INDEX('Age profile'!$B$2:$B$61,AZ$1-$A18+1),"")</f>
        <v/>
      </c>
      <c r="BA18" s="53">
        <f>IF(BA$1&gt;=$A18,INDEX(Monthly!$B$2:$B$61,$A18)*INDEX('Age profile'!$B$2:$B$61,BA$1-$A18+1),"")</f>
        <v/>
      </c>
      <c r="BB18" s="53">
        <f>IF(BB$1&gt;=$A18,INDEX(Monthly!$B$2:$B$61,$A18)*INDEX('Age profile'!$B$2:$B$61,BB$1-$A18+1),"")</f>
        <v/>
      </c>
      <c r="BC18" s="53">
        <f>IF(BC$1&gt;=$A18,INDEX(Monthly!$B$2:$B$61,$A18)*INDEX('Age profile'!$B$2:$B$61,BC$1-$A18+1),"")</f>
        <v/>
      </c>
      <c r="BD18" s="53">
        <f>IF(BD$1&gt;=$A18,INDEX(Monthly!$B$2:$B$61,$A18)*INDEX('Age profile'!$B$2:$B$61,BD$1-$A18+1),"")</f>
        <v/>
      </c>
      <c r="BE18" s="53">
        <f>IF(BE$1&gt;=$A18,INDEX(Monthly!$B$2:$B$61,$A18)*INDEX('Age profile'!$B$2:$B$61,BE$1-$A18+1),"")</f>
        <v/>
      </c>
      <c r="BF18" s="53">
        <f>IF(BF$1&gt;=$A18,INDEX(Monthly!$B$2:$B$61,$A18)*INDEX('Age profile'!$B$2:$B$61,BF$1-$A18+1),"")</f>
        <v/>
      </c>
      <c r="BG18" s="53">
        <f>IF(BG$1&gt;=$A18,INDEX(Monthly!$B$2:$B$61,$A18)*INDEX('Age profile'!$B$2:$B$61,BG$1-$A18+1),"")</f>
        <v/>
      </c>
      <c r="BH18" s="53">
        <f>IF(BH$1&gt;=$A18,INDEX(Monthly!$B$2:$B$61,$A18)*INDEX('Age profile'!$B$2:$B$61,BH$1-$A18+1),"")</f>
        <v/>
      </c>
      <c r="BI18" s="53">
        <f>IF(BI$1&gt;=$A18,INDEX(Monthly!$B$2:$B$61,$A18)*INDEX('Age profile'!$B$2:$B$61,BI$1-$A18+1),"")</f>
        <v/>
      </c>
    </row>
    <row r="19">
      <c r="A19" s="3" t="n">
        <v>18</v>
      </c>
      <c r="B19" s="53">
        <f>IF(B$1&gt;=$A19,INDEX(Monthly!$B$2:$B$61,$A19)*INDEX('Age profile'!$B$2:$B$61,B$1-$A19+1),"")</f>
        <v/>
      </c>
      <c r="C19" s="53">
        <f>IF(C$1&gt;=$A19,INDEX(Monthly!$B$2:$B$61,$A19)*INDEX('Age profile'!$B$2:$B$61,C$1-$A19+1),"")</f>
        <v/>
      </c>
      <c r="D19" s="53">
        <f>IF(D$1&gt;=$A19,INDEX(Monthly!$B$2:$B$61,$A19)*INDEX('Age profile'!$B$2:$B$61,D$1-$A19+1),"")</f>
        <v/>
      </c>
      <c r="E19" s="53">
        <f>IF(E$1&gt;=$A19,INDEX(Monthly!$B$2:$B$61,$A19)*INDEX('Age profile'!$B$2:$B$61,E$1-$A19+1),"")</f>
        <v/>
      </c>
      <c r="F19" s="53">
        <f>IF(F$1&gt;=$A19,INDEX(Monthly!$B$2:$B$61,$A19)*INDEX('Age profile'!$B$2:$B$61,F$1-$A19+1),"")</f>
        <v/>
      </c>
      <c r="G19" s="53">
        <f>IF(G$1&gt;=$A19,INDEX(Monthly!$B$2:$B$61,$A19)*INDEX('Age profile'!$B$2:$B$61,G$1-$A19+1),"")</f>
        <v/>
      </c>
      <c r="H19" s="53">
        <f>IF(H$1&gt;=$A19,INDEX(Monthly!$B$2:$B$61,$A19)*INDEX('Age profile'!$B$2:$B$61,H$1-$A19+1),"")</f>
        <v/>
      </c>
      <c r="I19" s="53">
        <f>IF(I$1&gt;=$A19,INDEX(Monthly!$B$2:$B$61,$A19)*INDEX('Age profile'!$B$2:$B$61,I$1-$A19+1),"")</f>
        <v/>
      </c>
      <c r="J19" s="53">
        <f>IF(J$1&gt;=$A19,INDEX(Monthly!$B$2:$B$61,$A19)*INDEX('Age profile'!$B$2:$B$61,J$1-$A19+1),"")</f>
        <v/>
      </c>
      <c r="K19" s="53">
        <f>IF(K$1&gt;=$A19,INDEX(Monthly!$B$2:$B$61,$A19)*INDEX('Age profile'!$B$2:$B$61,K$1-$A19+1),"")</f>
        <v/>
      </c>
      <c r="L19" s="53">
        <f>IF(L$1&gt;=$A19,INDEX(Monthly!$B$2:$B$61,$A19)*INDEX('Age profile'!$B$2:$B$61,L$1-$A19+1),"")</f>
        <v/>
      </c>
      <c r="M19" s="53">
        <f>IF(M$1&gt;=$A19,INDEX(Monthly!$B$2:$B$61,$A19)*INDEX('Age profile'!$B$2:$B$61,M$1-$A19+1),"")</f>
        <v/>
      </c>
      <c r="N19" s="53">
        <f>IF(N$1&gt;=$A19,INDEX(Monthly!$B$2:$B$61,$A19)*INDEX('Age profile'!$B$2:$B$61,N$1-$A19+1),"")</f>
        <v/>
      </c>
      <c r="O19" s="53">
        <f>IF(O$1&gt;=$A19,INDEX(Monthly!$B$2:$B$61,$A19)*INDEX('Age profile'!$B$2:$B$61,O$1-$A19+1),"")</f>
        <v/>
      </c>
      <c r="P19" s="53">
        <f>IF(P$1&gt;=$A19,INDEX(Monthly!$B$2:$B$61,$A19)*INDEX('Age profile'!$B$2:$B$61,P$1-$A19+1),"")</f>
        <v/>
      </c>
      <c r="Q19" s="53">
        <f>IF(Q$1&gt;=$A19,INDEX(Monthly!$B$2:$B$61,$A19)*INDEX('Age profile'!$B$2:$B$61,Q$1-$A19+1),"")</f>
        <v/>
      </c>
      <c r="R19" s="53">
        <f>IF(R$1&gt;=$A19,INDEX(Monthly!$B$2:$B$61,$A19)*INDEX('Age profile'!$B$2:$B$61,R$1-$A19+1),"")</f>
        <v/>
      </c>
      <c r="S19" s="53">
        <f>IF(S$1&gt;=$A19,INDEX(Monthly!$B$2:$B$61,$A19)*INDEX('Age profile'!$B$2:$B$61,S$1-$A19+1),"")</f>
        <v/>
      </c>
      <c r="T19" s="53">
        <f>IF(T$1&gt;=$A19,INDEX(Monthly!$B$2:$B$61,$A19)*INDEX('Age profile'!$B$2:$B$61,T$1-$A19+1),"")</f>
        <v/>
      </c>
      <c r="U19" s="53">
        <f>IF(U$1&gt;=$A19,INDEX(Monthly!$B$2:$B$61,$A19)*INDEX('Age profile'!$B$2:$B$61,U$1-$A19+1),"")</f>
        <v/>
      </c>
      <c r="V19" s="53">
        <f>IF(V$1&gt;=$A19,INDEX(Monthly!$B$2:$B$61,$A19)*INDEX('Age profile'!$B$2:$B$61,V$1-$A19+1),"")</f>
        <v/>
      </c>
      <c r="W19" s="53">
        <f>IF(W$1&gt;=$A19,INDEX(Monthly!$B$2:$B$61,$A19)*INDEX('Age profile'!$B$2:$B$61,W$1-$A19+1),"")</f>
        <v/>
      </c>
      <c r="X19" s="53">
        <f>IF(X$1&gt;=$A19,INDEX(Monthly!$B$2:$B$61,$A19)*INDEX('Age profile'!$B$2:$B$61,X$1-$A19+1),"")</f>
        <v/>
      </c>
      <c r="Y19" s="53">
        <f>IF(Y$1&gt;=$A19,INDEX(Monthly!$B$2:$B$61,$A19)*INDEX('Age profile'!$B$2:$B$61,Y$1-$A19+1),"")</f>
        <v/>
      </c>
      <c r="Z19" s="53">
        <f>IF(Z$1&gt;=$A19,INDEX(Monthly!$B$2:$B$61,$A19)*INDEX('Age profile'!$B$2:$B$61,Z$1-$A19+1),"")</f>
        <v/>
      </c>
      <c r="AA19" s="53">
        <f>IF(AA$1&gt;=$A19,INDEX(Monthly!$B$2:$B$61,$A19)*INDEX('Age profile'!$B$2:$B$61,AA$1-$A19+1),"")</f>
        <v/>
      </c>
      <c r="AB19" s="53">
        <f>IF(AB$1&gt;=$A19,INDEX(Monthly!$B$2:$B$61,$A19)*INDEX('Age profile'!$B$2:$B$61,AB$1-$A19+1),"")</f>
        <v/>
      </c>
      <c r="AC19" s="53">
        <f>IF(AC$1&gt;=$A19,INDEX(Monthly!$B$2:$B$61,$A19)*INDEX('Age profile'!$B$2:$B$61,AC$1-$A19+1),"")</f>
        <v/>
      </c>
      <c r="AD19" s="53">
        <f>IF(AD$1&gt;=$A19,INDEX(Monthly!$B$2:$B$61,$A19)*INDEX('Age profile'!$B$2:$B$61,AD$1-$A19+1),"")</f>
        <v/>
      </c>
      <c r="AE19" s="53">
        <f>IF(AE$1&gt;=$A19,INDEX(Monthly!$B$2:$B$61,$A19)*INDEX('Age profile'!$B$2:$B$61,AE$1-$A19+1),"")</f>
        <v/>
      </c>
      <c r="AF19" s="53">
        <f>IF(AF$1&gt;=$A19,INDEX(Monthly!$B$2:$B$61,$A19)*INDEX('Age profile'!$B$2:$B$61,AF$1-$A19+1),"")</f>
        <v/>
      </c>
      <c r="AG19" s="53">
        <f>IF(AG$1&gt;=$A19,INDEX(Monthly!$B$2:$B$61,$A19)*INDEX('Age profile'!$B$2:$B$61,AG$1-$A19+1),"")</f>
        <v/>
      </c>
      <c r="AH19" s="53">
        <f>IF(AH$1&gt;=$A19,INDEX(Monthly!$B$2:$B$61,$A19)*INDEX('Age profile'!$B$2:$B$61,AH$1-$A19+1),"")</f>
        <v/>
      </c>
      <c r="AI19" s="53">
        <f>IF(AI$1&gt;=$A19,INDEX(Monthly!$B$2:$B$61,$A19)*INDEX('Age profile'!$B$2:$B$61,AI$1-$A19+1),"")</f>
        <v/>
      </c>
      <c r="AJ19" s="53">
        <f>IF(AJ$1&gt;=$A19,INDEX(Monthly!$B$2:$B$61,$A19)*INDEX('Age profile'!$B$2:$B$61,AJ$1-$A19+1),"")</f>
        <v/>
      </c>
      <c r="AK19" s="53">
        <f>IF(AK$1&gt;=$A19,INDEX(Monthly!$B$2:$B$61,$A19)*INDEX('Age profile'!$B$2:$B$61,AK$1-$A19+1),"")</f>
        <v/>
      </c>
      <c r="AL19" s="53">
        <f>IF(AL$1&gt;=$A19,INDEX(Monthly!$B$2:$B$61,$A19)*INDEX('Age profile'!$B$2:$B$61,AL$1-$A19+1),"")</f>
        <v/>
      </c>
      <c r="AM19" s="53">
        <f>IF(AM$1&gt;=$A19,INDEX(Monthly!$B$2:$B$61,$A19)*INDEX('Age profile'!$B$2:$B$61,AM$1-$A19+1),"")</f>
        <v/>
      </c>
      <c r="AN19" s="53">
        <f>IF(AN$1&gt;=$A19,INDEX(Monthly!$B$2:$B$61,$A19)*INDEX('Age profile'!$B$2:$B$61,AN$1-$A19+1),"")</f>
        <v/>
      </c>
      <c r="AO19" s="53">
        <f>IF(AO$1&gt;=$A19,INDEX(Monthly!$B$2:$B$61,$A19)*INDEX('Age profile'!$B$2:$B$61,AO$1-$A19+1),"")</f>
        <v/>
      </c>
      <c r="AP19" s="53">
        <f>IF(AP$1&gt;=$A19,INDEX(Monthly!$B$2:$B$61,$A19)*INDEX('Age profile'!$B$2:$B$61,AP$1-$A19+1),"")</f>
        <v/>
      </c>
      <c r="AQ19" s="53">
        <f>IF(AQ$1&gt;=$A19,INDEX(Monthly!$B$2:$B$61,$A19)*INDEX('Age profile'!$B$2:$B$61,AQ$1-$A19+1),"")</f>
        <v/>
      </c>
      <c r="AR19" s="53">
        <f>IF(AR$1&gt;=$A19,INDEX(Monthly!$B$2:$B$61,$A19)*INDEX('Age profile'!$B$2:$B$61,AR$1-$A19+1),"")</f>
        <v/>
      </c>
      <c r="AS19" s="53">
        <f>IF(AS$1&gt;=$A19,INDEX(Monthly!$B$2:$B$61,$A19)*INDEX('Age profile'!$B$2:$B$61,AS$1-$A19+1),"")</f>
        <v/>
      </c>
      <c r="AT19" s="53">
        <f>IF(AT$1&gt;=$A19,INDEX(Monthly!$B$2:$B$61,$A19)*INDEX('Age profile'!$B$2:$B$61,AT$1-$A19+1),"")</f>
        <v/>
      </c>
      <c r="AU19" s="53">
        <f>IF(AU$1&gt;=$A19,INDEX(Monthly!$B$2:$B$61,$A19)*INDEX('Age profile'!$B$2:$B$61,AU$1-$A19+1),"")</f>
        <v/>
      </c>
      <c r="AV19" s="53">
        <f>IF(AV$1&gt;=$A19,INDEX(Monthly!$B$2:$B$61,$A19)*INDEX('Age profile'!$B$2:$B$61,AV$1-$A19+1),"")</f>
        <v/>
      </c>
      <c r="AW19" s="53">
        <f>IF(AW$1&gt;=$A19,INDEX(Monthly!$B$2:$B$61,$A19)*INDEX('Age profile'!$B$2:$B$61,AW$1-$A19+1),"")</f>
        <v/>
      </c>
      <c r="AX19" s="53">
        <f>IF(AX$1&gt;=$A19,INDEX(Monthly!$B$2:$B$61,$A19)*INDEX('Age profile'!$B$2:$B$61,AX$1-$A19+1),"")</f>
        <v/>
      </c>
      <c r="AY19" s="53">
        <f>IF(AY$1&gt;=$A19,INDEX(Monthly!$B$2:$B$61,$A19)*INDEX('Age profile'!$B$2:$B$61,AY$1-$A19+1),"")</f>
        <v/>
      </c>
      <c r="AZ19" s="53">
        <f>IF(AZ$1&gt;=$A19,INDEX(Monthly!$B$2:$B$61,$A19)*INDEX('Age profile'!$B$2:$B$61,AZ$1-$A19+1),"")</f>
        <v/>
      </c>
      <c r="BA19" s="53">
        <f>IF(BA$1&gt;=$A19,INDEX(Monthly!$B$2:$B$61,$A19)*INDEX('Age profile'!$B$2:$B$61,BA$1-$A19+1),"")</f>
        <v/>
      </c>
      <c r="BB19" s="53">
        <f>IF(BB$1&gt;=$A19,INDEX(Monthly!$B$2:$B$61,$A19)*INDEX('Age profile'!$B$2:$B$61,BB$1-$A19+1),"")</f>
        <v/>
      </c>
      <c r="BC19" s="53">
        <f>IF(BC$1&gt;=$A19,INDEX(Monthly!$B$2:$B$61,$A19)*INDEX('Age profile'!$B$2:$B$61,BC$1-$A19+1),"")</f>
        <v/>
      </c>
      <c r="BD19" s="53">
        <f>IF(BD$1&gt;=$A19,INDEX(Monthly!$B$2:$B$61,$A19)*INDEX('Age profile'!$B$2:$B$61,BD$1-$A19+1),"")</f>
        <v/>
      </c>
      <c r="BE19" s="53">
        <f>IF(BE$1&gt;=$A19,INDEX(Monthly!$B$2:$B$61,$A19)*INDEX('Age profile'!$B$2:$B$61,BE$1-$A19+1),"")</f>
        <v/>
      </c>
      <c r="BF19" s="53">
        <f>IF(BF$1&gt;=$A19,INDEX(Monthly!$B$2:$B$61,$A19)*INDEX('Age profile'!$B$2:$B$61,BF$1-$A19+1),"")</f>
        <v/>
      </c>
      <c r="BG19" s="53">
        <f>IF(BG$1&gt;=$A19,INDEX(Monthly!$B$2:$B$61,$A19)*INDEX('Age profile'!$B$2:$B$61,BG$1-$A19+1),"")</f>
        <v/>
      </c>
      <c r="BH19" s="53">
        <f>IF(BH$1&gt;=$A19,INDEX(Monthly!$B$2:$B$61,$A19)*INDEX('Age profile'!$B$2:$B$61,BH$1-$A19+1),"")</f>
        <v/>
      </c>
      <c r="BI19" s="53">
        <f>IF(BI$1&gt;=$A19,INDEX(Monthly!$B$2:$B$61,$A19)*INDEX('Age profile'!$B$2:$B$61,BI$1-$A19+1),"")</f>
        <v/>
      </c>
    </row>
    <row r="20">
      <c r="A20" s="3" t="n">
        <v>19</v>
      </c>
      <c r="B20" s="53">
        <f>IF(B$1&gt;=$A20,INDEX(Monthly!$B$2:$B$61,$A20)*INDEX('Age profile'!$B$2:$B$61,B$1-$A20+1),"")</f>
        <v/>
      </c>
      <c r="C20" s="53">
        <f>IF(C$1&gt;=$A20,INDEX(Monthly!$B$2:$B$61,$A20)*INDEX('Age profile'!$B$2:$B$61,C$1-$A20+1),"")</f>
        <v/>
      </c>
      <c r="D20" s="53">
        <f>IF(D$1&gt;=$A20,INDEX(Monthly!$B$2:$B$61,$A20)*INDEX('Age profile'!$B$2:$B$61,D$1-$A20+1),"")</f>
        <v/>
      </c>
      <c r="E20" s="53">
        <f>IF(E$1&gt;=$A20,INDEX(Monthly!$B$2:$B$61,$A20)*INDEX('Age profile'!$B$2:$B$61,E$1-$A20+1),"")</f>
        <v/>
      </c>
      <c r="F20" s="53">
        <f>IF(F$1&gt;=$A20,INDEX(Monthly!$B$2:$B$61,$A20)*INDEX('Age profile'!$B$2:$B$61,F$1-$A20+1),"")</f>
        <v/>
      </c>
      <c r="G20" s="53">
        <f>IF(G$1&gt;=$A20,INDEX(Monthly!$B$2:$B$61,$A20)*INDEX('Age profile'!$B$2:$B$61,G$1-$A20+1),"")</f>
        <v/>
      </c>
      <c r="H20" s="53">
        <f>IF(H$1&gt;=$A20,INDEX(Monthly!$B$2:$B$61,$A20)*INDEX('Age profile'!$B$2:$B$61,H$1-$A20+1),"")</f>
        <v/>
      </c>
      <c r="I20" s="53">
        <f>IF(I$1&gt;=$A20,INDEX(Monthly!$B$2:$B$61,$A20)*INDEX('Age profile'!$B$2:$B$61,I$1-$A20+1),"")</f>
        <v/>
      </c>
      <c r="J20" s="53">
        <f>IF(J$1&gt;=$A20,INDEX(Monthly!$B$2:$B$61,$A20)*INDEX('Age profile'!$B$2:$B$61,J$1-$A20+1),"")</f>
        <v/>
      </c>
      <c r="K20" s="53">
        <f>IF(K$1&gt;=$A20,INDEX(Monthly!$B$2:$B$61,$A20)*INDEX('Age profile'!$B$2:$B$61,K$1-$A20+1),"")</f>
        <v/>
      </c>
      <c r="L20" s="53">
        <f>IF(L$1&gt;=$A20,INDEX(Monthly!$B$2:$B$61,$A20)*INDEX('Age profile'!$B$2:$B$61,L$1-$A20+1),"")</f>
        <v/>
      </c>
      <c r="M20" s="53">
        <f>IF(M$1&gt;=$A20,INDEX(Monthly!$B$2:$B$61,$A20)*INDEX('Age profile'!$B$2:$B$61,M$1-$A20+1),"")</f>
        <v/>
      </c>
      <c r="N20" s="53">
        <f>IF(N$1&gt;=$A20,INDEX(Monthly!$B$2:$B$61,$A20)*INDEX('Age profile'!$B$2:$B$61,N$1-$A20+1),"")</f>
        <v/>
      </c>
      <c r="O20" s="53">
        <f>IF(O$1&gt;=$A20,INDEX(Monthly!$B$2:$B$61,$A20)*INDEX('Age profile'!$B$2:$B$61,O$1-$A20+1),"")</f>
        <v/>
      </c>
      <c r="P20" s="53">
        <f>IF(P$1&gt;=$A20,INDEX(Monthly!$B$2:$B$61,$A20)*INDEX('Age profile'!$B$2:$B$61,P$1-$A20+1),"")</f>
        <v/>
      </c>
      <c r="Q20" s="53">
        <f>IF(Q$1&gt;=$A20,INDEX(Monthly!$B$2:$B$61,$A20)*INDEX('Age profile'!$B$2:$B$61,Q$1-$A20+1),"")</f>
        <v/>
      </c>
      <c r="R20" s="53">
        <f>IF(R$1&gt;=$A20,INDEX(Monthly!$B$2:$B$61,$A20)*INDEX('Age profile'!$B$2:$B$61,R$1-$A20+1),"")</f>
        <v/>
      </c>
      <c r="S20" s="53">
        <f>IF(S$1&gt;=$A20,INDEX(Monthly!$B$2:$B$61,$A20)*INDEX('Age profile'!$B$2:$B$61,S$1-$A20+1),"")</f>
        <v/>
      </c>
      <c r="T20" s="53">
        <f>IF(T$1&gt;=$A20,INDEX(Monthly!$B$2:$B$61,$A20)*INDEX('Age profile'!$B$2:$B$61,T$1-$A20+1),"")</f>
        <v/>
      </c>
      <c r="U20" s="53">
        <f>IF(U$1&gt;=$A20,INDEX(Monthly!$B$2:$B$61,$A20)*INDEX('Age profile'!$B$2:$B$61,U$1-$A20+1),"")</f>
        <v/>
      </c>
      <c r="V20" s="53">
        <f>IF(V$1&gt;=$A20,INDEX(Monthly!$B$2:$B$61,$A20)*INDEX('Age profile'!$B$2:$B$61,V$1-$A20+1),"")</f>
        <v/>
      </c>
      <c r="W20" s="53">
        <f>IF(W$1&gt;=$A20,INDEX(Monthly!$B$2:$B$61,$A20)*INDEX('Age profile'!$B$2:$B$61,W$1-$A20+1),"")</f>
        <v/>
      </c>
      <c r="X20" s="53">
        <f>IF(X$1&gt;=$A20,INDEX(Monthly!$B$2:$B$61,$A20)*INDEX('Age profile'!$B$2:$B$61,X$1-$A20+1),"")</f>
        <v/>
      </c>
      <c r="Y20" s="53">
        <f>IF(Y$1&gt;=$A20,INDEX(Monthly!$B$2:$B$61,$A20)*INDEX('Age profile'!$B$2:$B$61,Y$1-$A20+1),"")</f>
        <v/>
      </c>
      <c r="Z20" s="53">
        <f>IF(Z$1&gt;=$A20,INDEX(Monthly!$B$2:$B$61,$A20)*INDEX('Age profile'!$B$2:$B$61,Z$1-$A20+1),"")</f>
        <v/>
      </c>
      <c r="AA20" s="53">
        <f>IF(AA$1&gt;=$A20,INDEX(Monthly!$B$2:$B$61,$A20)*INDEX('Age profile'!$B$2:$B$61,AA$1-$A20+1),"")</f>
        <v/>
      </c>
      <c r="AB20" s="53">
        <f>IF(AB$1&gt;=$A20,INDEX(Monthly!$B$2:$B$61,$A20)*INDEX('Age profile'!$B$2:$B$61,AB$1-$A20+1),"")</f>
        <v/>
      </c>
      <c r="AC20" s="53">
        <f>IF(AC$1&gt;=$A20,INDEX(Monthly!$B$2:$B$61,$A20)*INDEX('Age profile'!$B$2:$B$61,AC$1-$A20+1),"")</f>
        <v/>
      </c>
      <c r="AD20" s="53">
        <f>IF(AD$1&gt;=$A20,INDEX(Monthly!$B$2:$B$61,$A20)*INDEX('Age profile'!$B$2:$B$61,AD$1-$A20+1),"")</f>
        <v/>
      </c>
      <c r="AE20" s="53">
        <f>IF(AE$1&gt;=$A20,INDEX(Monthly!$B$2:$B$61,$A20)*INDEX('Age profile'!$B$2:$B$61,AE$1-$A20+1),"")</f>
        <v/>
      </c>
      <c r="AF20" s="53">
        <f>IF(AF$1&gt;=$A20,INDEX(Monthly!$B$2:$B$61,$A20)*INDEX('Age profile'!$B$2:$B$61,AF$1-$A20+1),"")</f>
        <v/>
      </c>
      <c r="AG20" s="53">
        <f>IF(AG$1&gt;=$A20,INDEX(Monthly!$B$2:$B$61,$A20)*INDEX('Age profile'!$B$2:$B$61,AG$1-$A20+1),"")</f>
        <v/>
      </c>
      <c r="AH20" s="53">
        <f>IF(AH$1&gt;=$A20,INDEX(Monthly!$B$2:$B$61,$A20)*INDEX('Age profile'!$B$2:$B$61,AH$1-$A20+1),"")</f>
        <v/>
      </c>
      <c r="AI20" s="53">
        <f>IF(AI$1&gt;=$A20,INDEX(Monthly!$B$2:$B$61,$A20)*INDEX('Age profile'!$B$2:$B$61,AI$1-$A20+1),"")</f>
        <v/>
      </c>
      <c r="AJ20" s="53">
        <f>IF(AJ$1&gt;=$A20,INDEX(Monthly!$B$2:$B$61,$A20)*INDEX('Age profile'!$B$2:$B$61,AJ$1-$A20+1),"")</f>
        <v/>
      </c>
      <c r="AK20" s="53">
        <f>IF(AK$1&gt;=$A20,INDEX(Monthly!$B$2:$B$61,$A20)*INDEX('Age profile'!$B$2:$B$61,AK$1-$A20+1),"")</f>
        <v/>
      </c>
      <c r="AL20" s="53">
        <f>IF(AL$1&gt;=$A20,INDEX(Monthly!$B$2:$B$61,$A20)*INDEX('Age profile'!$B$2:$B$61,AL$1-$A20+1),"")</f>
        <v/>
      </c>
      <c r="AM20" s="53">
        <f>IF(AM$1&gt;=$A20,INDEX(Monthly!$B$2:$B$61,$A20)*INDEX('Age profile'!$B$2:$B$61,AM$1-$A20+1),"")</f>
        <v/>
      </c>
      <c r="AN20" s="53">
        <f>IF(AN$1&gt;=$A20,INDEX(Monthly!$B$2:$B$61,$A20)*INDEX('Age profile'!$B$2:$B$61,AN$1-$A20+1),"")</f>
        <v/>
      </c>
      <c r="AO20" s="53">
        <f>IF(AO$1&gt;=$A20,INDEX(Monthly!$B$2:$B$61,$A20)*INDEX('Age profile'!$B$2:$B$61,AO$1-$A20+1),"")</f>
        <v/>
      </c>
      <c r="AP20" s="53">
        <f>IF(AP$1&gt;=$A20,INDEX(Monthly!$B$2:$B$61,$A20)*INDEX('Age profile'!$B$2:$B$61,AP$1-$A20+1),"")</f>
        <v/>
      </c>
      <c r="AQ20" s="53">
        <f>IF(AQ$1&gt;=$A20,INDEX(Monthly!$B$2:$B$61,$A20)*INDEX('Age profile'!$B$2:$B$61,AQ$1-$A20+1),"")</f>
        <v/>
      </c>
      <c r="AR20" s="53">
        <f>IF(AR$1&gt;=$A20,INDEX(Monthly!$B$2:$B$61,$A20)*INDEX('Age profile'!$B$2:$B$61,AR$1-$A20+1),"")</f>
        <v/>
      </c>
      <c r="AS20" s="53">
        <f>IF(AS$1&gt;=$A20,INDEX(Monthly!$B$2:$B$61,$A20)*INDEX('Age profile'!$B$2:$B$61,AS$1-$A20+1),"")</f>
        <v/>
      </c>
      <c r="AT20" s="53">
        <f>IF(AT$1&gt;=$A20,INDEX(Monthly!$B$2:$B$61,$A20)*INDEX('Age profile'!$B$2:$B$61,AT$1-$A20+1),"")</f>
        <v/>
      </c>
      <c r="AU20" s="53">
        <f>IF(AU$1&gt;=$A20,INDEX(Monthly!$B$2:$B$61,$A20)*INDEX('Age profile'!$B$2:$B$61,AU$1-$A20+1),"")</f>
        <v/>
      </c>
      <c r="AV20" s="53">
        <f>IF(AV$1&gt;=$A20,INDEX(Monthly!$B$2:$B$61,$A20)*INDEX('Age profile'!$B$2:$B$61,AV$1-$A20+1),"")</f>
        <v/>
      </c>
      <c r="AW20" s="53">
        <f>IF(AW$1&gt;=$A20,INDEX(Monthly!$B$2:$B$61,$A20)*INDEX('Age profile'!$B$2:$B$61,AW$1-$A20+1),"")</f>
        <v/>
      </c>
      <c r="AX20" s="53">
        <f>IF(AX$1&gt;=$A20,INDEX(Monthly!$B$2:$B$61,$A20)*INDEX('Age profile'!$B$2:$B$61,AX$1-$A20+1),"")</f>
        <v/>
      </c>
      <c r="AY20" s="53">
        <f>IF(AY$1&gt;=$A20,INDEX(Monthly!$B$2:$B$61,$A20)*INDEX('Age profile'!$B$2:$B$61,AY$1-$A20+1),"")</f>
        <v/>
      </c>
      <c r="AZ20" s="53">
        <f>IF(AZ$1&gt;=$A20,INDEX(Monthly!$B$2:$B$61,$A20)*INDEX('Age profile'!$B$2:$B$61,AZ$1-$A20+1),"")</f>
        <v/>
      </c>
      <c r="BA20" s="53">
        <f>IF(BA$1&gt;=$A20,INDEX(Monthly!$B$2:$B$61,$A20)*INDEX('Age profile'!$B$2:$B$61,BA$1-$A20+1),"")</f>
        <v/>
      </c>
      <c r="BB20" s="53">
        <f>IF(BB$1&gt;=$A20,INDEX(Monthly!$B$2:$B$61,$A20)*INDEX('Age profile'!$B$2:$B$61,BB$1-$A20+1),"")</f>
        <v/>
      </c>
      <c r="BC20" s="53">
        <f>IF(BC$1&gt;=$A20,INDEX(Monthly!$B$2:$B$61,$A20)*INDEX('Age profile'!$B$2:$B$61,BC$1-$A20+1),"")</f>
        <v/>
      </c>
      <c r="BD20" s="53">
        <f>IF(BD$1&gt;=$A20,INDEX(Monthly!$B$2:$B$61,$A20)*INDEX('Age profile'!$B$2:$B$61,BD$1-$A20+1),"")</f>
        <v/>
      </c>
      <c r="BE20" s="53">
        <f>IF(BE$1&gt;=$A20,INDEX(Monthly!$B$2:$B$61,$A20)*INDEX('Age profile'!$B$2:$B$61,BE$1-$A20+1),"")</f>
        <v/>
      </c>
      <c r="BF20" s="53">
        <f>IF(BF$1&gt;=$A20,INDEX(Monthly!$B$2:$B$61,$A20)*INDEX('Age profile'!$B$2:$B$61,BF$1-$A20+1),"")</f>
        <v/>
      </c>
      <c r="BG20" s="53">
        <f>IF(BG$1&gt;=$A20,INDEX(Monthly!$B$2:$B$61,$A20)*INDEX('Age profile'!$B$2:$B$61,BG$1-$A20+1),"")</f>
        <v/>
      </c>
      <c r="BH20" s="53">
        <f>IF(BH$1&gt;=$A20,INDEX(Monthly!$B$2:$B$61,$A20)*INDEX('Age profile'!$B$2:$B$61,BH$1-$A20+1),"")</f>
        <v/>
      </c>
      <c r="BI20" s="53">
        <f>IF(BI$1&gt;=$A20,INDEX(Monthly!$B$2:$B$61,$A20)*INDEX('Age profile'!$B$2:$B$61,BI$1-$A20+1),"")</f>
        <v/>
      </c>
    </row>
    <row r="21">
      <c r="A21" s="3" t="n">
        <v>20</v>
      </c>
      <c r="B21" s="53">
        <f>IF(B$1&gt;=$A21,INDEX(Monthly!$B$2:$B$61,$A21)*INDEX('Age profile'!$B$2:$B$61,B$1-$A21+1),"")</f>
        <v/>
      </c>
      <c r="C21" s="53">
        <f>IF(C$1&gt;=$A21,INDEX(Monthly!$B$2:$B$61,$A21)*INDEX('Age profile'!$B$2:$B$61,C$1-$A21+1),"")</f>
        <v/>
      </c>
      <c r="D21" s="53">
        <f>IF(D$1&gt;=$A21,INDEX(Monthly!$B$2:$B$61,$A21)*INDEX('Age profile'!$B$2:$B$61,D$1-$A21+1),"")</f>
        <v/>
      </c>
      <c r="E21" s="53">
        <f>IF(E$1&gt;=$A21,INDEX(Monthly!$B$2:$B$61,$A21)*INDEX('Age profile'!$B$2:$B$61,E$1-$A21+1),"")</f>
        <v/>
      </c>
      <c r="F21" s="53">
        <f>IF(F$1&gt;=$A21,INDEX(Monthly!$B$2:$B$61,$A21)*INDEX('Age profile'!$B$2:$B$61,F$1-$A21+1),"")</f>
        <v/>
      </c>
      <c r="G21" s="53">
        <f>IF(G$1&gt;=$A21,INDEX(Monthly!$B$2:$B$61,$A21)*INDEX('Age profile'!$B$2:$B$61,G$1-$A21+1),"")</f>
        <v/>
      </c>
      <c r="H21" s="53">
        <f>IF(H$1&gt;=$A21,INDEX(Monthly!$B$2:$B$61,$A21)*INDEX('Age profile'!$B$2:$B$61,H$1-$A21+1),"")</f>
        <v/>
      </c>
      <c r="I21" s="53">
        <f>IF(I$1&gt;=$A21,INDEX(Monthly!$B$2:$B$61,$A21)*INDEX('Age profile'!$B$2:$B$61,I$1-$A21+1),"")</f>
        <v/>
      </c>
      <c r="J21" s="53">
        <f>IF(J$1&gt;=$A21,INDEX(Monthly!$B$2:$B$61,$A21)*INDEX('Age profile'!$B$2:$B$61,J$1-$A21+1),"")</f>
        <v/>
      </c>
      <c r="K21" s="53">
        <f>IF(K$1&gt;=$A21,INDEX(Monthly!$B$2:$B$61,$A21)*INDEX('Age profile'!$B$2:$B$61,K$1-$A21+1),"")</f>
        <v/>
      </c>
      <c r="L21" s="53">
        <f>IF(L$1&gt;=$A21,INDEX(Monthly!$B$2:$B$61,$A21)*INDEX('Age profile'!$B$2:$B$61,L$1-$A21+1),"")</f>
        <v/>
      </c>
      <c r="M21" s="53">
        <f>IF(M$1&gt;=$A21,INDEX(Monthly!$B$2:$B$61,$A21)*INDEX('Age profile'!$B$2:$B$61,M$1-$A21+1),"")</f>
        <v/>
      </c>
      <c r="N21" s="53">
        <f>IF(N$1&gt;=$A21,INDEX(Monthly!$B$2:$B$61,$A21)*INDEX('Age profile'!$B$2:$B$61,N$1-$A21+1),"")</f>
        <v/>
      </c>
      <c r="O21" s="53">
        <f>IF(O$1&gt;=$A21,INDEX(Monthly!$B$2:$B$61,$A21)*INDEX('Age profile'!$B$2:$B$61,O$1-$A21+1),"")</f>
        <v/>
      </c>
      <c r="P21" s="53">
        <f>IF(P$1&gt;=$A21,INDEX(Monthly!$B$2:$B$61,$A21)*INDEX('Age profile'!$B$2:$B$61,P$1-$A21+1),"")</f>
        <v/>
      </c>
      <c r="Q21" s="53">
        <f>IF(Q$1&gt;=$A21,INDEX(Monthly!$B$2:$B$61,$A21)*INDEX('Age profile'!$B$2:$B$61,Q$1-$A21+1),"")</f>
        <v/>
      </c>
      <c r="R21" s="53">
        <f>IF(R$1&gt;=$A21,INDEX(Monthly!$B$2:$B$61,$A21)*INDEX('Age profile'!$B$2:$B$61,R$1-$A21+1),"")</f>
        <v/>
      </c>
      <c r="S21" s="53">
        <f>IF(S$1&gt;=$A21,INDEX(Monthly!$B$2:$B$61,$A21)*INDEX('Age profile'!$B$2:$B$61,S$1-$A21+1),"")</f>
        <v/>
      </c>
      <c r="T21" s="53">
        <f>IF(T$1&gt;=$A21,INDEX(Monthly!$B$2:$B$61,$A21)*INDEX('Age profile'!$B$2:$B$61,T$1-$A21+1),"")</f>
        <v/>
      </c>
      <c r="U21" s="53">
        <f>IF(U$1&gt;=$A21,INDEX(Monthly!$B$2:$B$61,$A21)*INDEX('Age profile'!$B$2:$B$61,U$1-$A21+1),"")</f>
        <v/>
      </c>
      <c r="V21" s="53">
        <f>IF(V$1&gt;=$A21,INDEX(Monthly!$B$2:$B$61,$A21)*INDEX('Age profile'!$B$2:$B$61,V$1-$A21+1),"")</f>
        <v/>
      </c>
      <c r="W21" s="53">
        <f>IF(W$1&gt;=$A21,INDEX(Monthly!$B$2:$B$61,$A21)*INDEX('Age profile'!$B$2:$B$61,W$1-$A21+1),"")</f>
        <v/>
      </c>
      <c r="X21" s="53">
        <f>IF(X$1&gt;=$A21,INDEX(Monthly!$B$2:$B$61,$A21)*INDEX('Age profile'!$B$2:$B$61,X$1-$A21+1),"")</f>
        <v/>
      </c>
      <c r="Y21" s="53">
        <f>IF(Y$1&gt;=$A21,INDEX(Monthly!$B$2:$B$61,$A21)*INDEX('Age profile'!$B$2:$B$61,Y$1-$A21+1),"")</f>
        <v/>
      </c>
      <c r="Z21" s="53">
        <f>IF(Z$1&gt;=$A21,INDEX(Monthly!$B$2:$B$61,$A21)*INDEX('Age profile'!$B$2:$B$61,Z$1-$A21+1),"")</f>
        <v/>
      </c>
      <c r="AA21" s="53">
        <f>IF(AA$1&gt;=$A21,INDEX(Monthly!$B$2:$B$61,$A21)*INDEX('Age profile'!$B$2:$B$61,AA$1-$A21+1),"")</f>
        <v/>
      </c>
      <c r="AB21" s="53">
        <f>IF(AB$1&gt;=$A21,INDEX(Monthly!$B$2:$B$61,$A21)*INDEX('Age profile'!$B$2:$B$61,AB$1-$A21+1),"")</f>
        <v/>
      </c>
      <c r="AC21" s="53">
        <f>IF(AC$1&gt;=$A21,INDEX(Monthly!$B$2:$B$61,$A21)*INDEX('Age profile'!$B$2:$B$61,AC$1-$A21+1),"")</f>
        <v/>
      </c>
      <c r="AD21" s="53">
        <f>IF(AD$1&gt;=$A21,INDEX(Monthly!$B$2:$B$61,$A21)*INDEX('Age profile'!$B$2:$B$61,AD$1-$A21+1),"")</f>
        <v/>
      </c>
      <c r="AE21" s="53">
        <f>IF(AE$1&gt;=$A21,INDEX(Monthly!$B$2:$B$61,$A21)*INDEX('Age profile'!$B$2:$B$61,AE$1-$A21+1),"")</f>
        <v/>
      </c>
      <c r="AF21" s="53">
        <f>IF(AF$1&gt;=$A21,INDEX(Monthly!$B$2:$B$61,$A21)*INDEX('Age profile'!$B$2:$B$61,AF$1-$A21+1),"")</f>
        <v/>
      </c>
      <c r="AG21" s="53">
        <f>IF(AG$1&gt;=$A21,INDEX(Monthly!$B$2:$B$61,$A21)*INDEX('Age profile'!$B$2:$B$61,AG$1-$A21+1),"")</f>
        <v/>
      </c>
      <c r="AH21" s="53">
        <f>IF(AH$1&gt;=$A21,INDEX(Monthly!$B$2:$B$61,$A21)*INDEX('Age profile'!$B$2:$B$61,AH$1-$A21+1),"")</f>
        <v/>
      </c>
      <c r="AI21" s="53">
        <f>IF(AI$1&gt;=$A21,INDEX(Monthly!$B$2:$B$61,$A21)*INDEX('Age profile'!$B$2:$B$61,AI$1-$A21+1),"")</f>
        <v/>
      </c>
      <c r="AJ21" s="53">
        <f>IF(AJ$1&gt;=$A21,INDEX(Monthly!$B$2:$B$61,$A21)*INDEX('Age profile'!$B$2:$B$61,AJ$1-$A21+1),"")</f>
        <v/>
      </c>
      <c r="AK21" s="53">
        <f>IF(AK$1&gt;=$A21,INDEX(Monthly!$B$2:$B$61,$A21)*INDEX('Age profile'!$B$2:$B$61,AK$1-$A21+1),"")</f>
        <v/>
      </c>
      <c r="AL21" s="53">
        <f>IF(AL$1&gt;=$A21,INDEX(Monthly!$B$2:$B$61,$A21)*INDEX('Age profile'!$B$2:$B$61,AL$1-$A21+1),"")</f>
        <v/>
      </c>
      <c r="AM21" s="53">
        <f>IF(AM$1&gt;=$A21,INDEX(Monthly!$B$2:$B$61,$A21)*INDEX('Age profile'!$B$2:$B$61,AM$1-$A21+1),"")</f>
        <v/>
      </c>
      <c r="AN21" s="53">
        <f>IF(AN$1&gt;=$A21,INDEX(Monthly!$B$2:$B$61,$A21)*INDEX('Age profile'!$B$2:$B$61,AN$1-$A21+1),"")</f>
        <v/>
      </c>
      <c r="AO21" s="53">
        <f>IF(AO$1&gt;=$A21,INDEX(Monthly!$B$2:$B$61,$A21)*INDEX('Age profile'!$B$2:$B$61,AO$1-$A21+1),"")</f>
        <v/>
      </c>
      <c r="AP21" s="53">
        <f>IF(AP$1&gt;=$A21,INDEX(Monthly!$B$2:$B$61,$A21)*INDEX('Age profile'!$B$2:$B$61,AP$1-$A21+1),"")</f>
        <v/>
      </c>
      <c r="AQ21" s="53">
        <f>IF(AQ$1&gt;=$A21,INDEX(Monthly!$B$2:$B$61,$A21)*INDEX('Age profile'!$B$2:$B$61,AQ$1-$A21+1),"")</f>
        <v/>
      </c>
      <c r="AR21" s="53">
        <f>IF(AR$1&gt;=$A21,INDEX(Monthly!$B$2:$B$61,$A21)*INDEX('Age profile'!$B$2:$B$61,AR$1-$A21+1),"")</f>
        <v/>
      </c>
      <c r="AS21" s="53">
        <f>IF(AS$1&gt;=$A21,INDEX(Monthly!$B$2:$B$61,$A21)*INDEX('Age profile'!$B$2:$B$61,AS$1-$A21+1),"")</f>
        <v/>
      </c>
      <c r="AT21" s="53">
        <f>IF(AT$1&gt;=$A21,INDEX(Monthly!$B$2:$B$61,$A21)*INDEX('Age profile'!$B$2:$B$61,AT$1-$A21+1),"")</f>
        <v/>
      </c>
      <c r="AU21" s="53">
        <f>IF(AU$1&gt;=$A21,INDEX(Monthly!$B$2:$B$61,$A21)*INDEX('Age profile'!$B$2:$B$61,AU$1-$A21+1),"")</f>
        <v/>
      </c>
      <c r="AV21" s="53">
        <f>IF(AV$1&gt;=$A21,INDEX(Monthly!$B$2:$B$61,$A21)*INDEX('Age profile'!$B$2:$B$61,AV$1-$A21+1),"")</f>
        <v/>
      </c>
      <c r="AW21" s="53">
        <f>IF(AW$1&gt;=$A21,INDEX(Monthly!$B$2:$B$61,$A21)*INDEX('Age profile'!$B$2:$B$61,AW$1-$A21+1),"")</f>
        <v/>
      </c>
      <c r="AX21" s="53">
        <f>IF(AX$1&gt;=$A21,INDEX(Monthly!$B$2:$B$61,$A21)*INDEX('Age profile'!$B$2:$B$61,AX$1-$A21+1),"")</f>
        <v/>
      </c>
      <c r="AY21" s="53">
        <f>IF(AY$1&gt;=$A21,INDEX(Monthly!$B$2:$B$61,$A21)*INDEX('Age profile'!$B$2:$B$61,AY$1-$A21+1),"")</f>
        <v/>
      </c>
      <c r="AZ21" s="53">
        <f>IF(AZ$1&gt;=$A21,INDEX(Monthly!$B$2:$B$61,$A21)*INDEX('Age profile'!$B$2:$B$61,AZ$1-$A21+1),"")</f>
        <v/>
      </c>
      <c r="BA21" s="53">
        <f>IF(BA$1&gt;=$A21,INDEX(Monthly!$B$2:$B$61,$A21)*INDEX('Age profile'!$B$2:$B$61,BA$1-$A21+1),"")</f>
        <v/>
      </c>
      <c r="BB21" s="53">
        <f>IF(BB$1&gt;=$A21,INDEX(Monthly!$B$2:$B$61,$A21)*INDEX('Age profile'!$B$2:$B$61,BB$1-$A21+1),"")</f>
        <v/>
      </c>
      <c r="BC21" s="53">
        <f>IF(BC$1&gt;=$A21,INDEX(Monthly!$B$2:$B$61,$A21)*INDEX('Age profile'!$B$2:$B$61,BC$1-$A21+1),"")</f>
        <v/>
      </c>
      <c r="BD21" s="53">
        <f>IF(BD$1&gt;=$A21,INDEX(Monthly!$B$2:$B$61,$A21)*INDEX('Age profile'!$B$2:$B$61,BD$1-$A21+1),"")</f>
        <v/>
      </c>
      <c r="BE21" s="53">
        <f>IF(BE$1&gt;=$A21,INDEX(Monthly!$B$2:$B$61,$A21)*INDEX('Age profile'!$B$2:$B$61,BE$1-$A21+1),"")</f>
        <v/>
      </c>
      <c r="BF21" s="53">
        <f>IF(BF$1&gt;=$A21,INDEX(Monthly!$B$2:$B$61,$A21)*INDEX('Age profile'!$B$2:$B$61,BF$1-$A21+1),"")</f>
        <v/>
      </c>
      <c r="BG21" s="53">
        <f>IF(BG$1&gt;=$A21,INDEX(Monthly!$B$2:$B$61,$A21)*INDEX('Age profile'!$B$2:$B$61,BG$1-$A21+1),"")</f>
        <v/>
      </c>
      <c r="BH21" s="53">
        <f>IF(BH$1&gt;=$A21,INDEX(Monthly!$B$2:$B$61,$A21)*INDEX('Age profile'!$B$2:$B$61,BH$1-$A21+1),"")</f>
        <v/>
      </c>
      <c r="BI21" s="53">
        <f>IF(BI$1&gt;=$A21,INDEX(Monthly!$B$2:$B$61,$A21)*INDEX('Age profile'!$B$2:$B$61,BI$1-$A21+1),"")</f>
        <v/>
      </c>
    </row>
    <row r="22">
      <c r="A22" s="3" t="n">
        <v>21</v>
      </c>
      <c r="B22" s="53">
        <f>IF(B$1&gt;=$A22,INDEX(Monthly!$B$2:$B$61,$A22)*INDEX('Age profile'!$B$2:$B$61,B$1-$A22+1),"")</f>
        <v/>
      </c>
      <c r="C22" s="53">
        <f>IF(C$1&gt;=$A22,INDEX(Monthly!$B$2:$B$61,$A22)*INDEX('Age profile'!$B$2:$B$61,C$1-$A22+1),"")</f>
        <v/>
      </c>
      <c r="D22" s="53">
        <f>IF(D$1&gt;=$A22,INDEX(Monthly!$B$2:$B$61,$A22)*INDEX('Age profile'!$B$2:$B$61,D$1-$A22+1),"")</f>
        <v/>
      </c>
      <c r="E22" s="53">
        <f>IF(E$1&gt;=$A22,INDEX(Monthly!$B$2:$B$61,$A22)*INDEX('Age profile'!$B$2:$B$61,E$1-$A22+1),"")</f>
        <v/>
      </c>
      <c r="F22" s="53">
        <f>IF(F$1&gt;=$A22,INDEX(Monthly!$B$2:$B$61,$A22)*INDEX('Age profile'!$B$2:$B$61,F$1-$A22+1),"")</f>
        <v/>
      </c>
      <c r="G22" s="53">
        <f>IF(G$1&gt;=$A22,INDEX(Monthly!$B$2:$B$61,$A22)*INDEX('Age profile'!$B$2:$B$61,G$1-$A22+1),"")</f>
        <v/>
      </c>
      <c r="H22" s="53">
        <f>IF(H$1&gt;=$A22,INDEX(Monthly!$B$2:$B$61,$A22)*INDEX('Age profile'!$B$2:$B$61,H$1-$A22+1),"")</f>
        <v/>
      </c>
      <c r="I22" s="53">
        <f>IF(I$1&gt;=$A22,INDEX(Monthly!$B$2:$B$61,$A22)*INDEX('Age profile'!$B$2:$B$61,I$1-$A22+1),"")</f>
        <v/>
      </c>
      <c r="J22" s="53">
        <f>IF(J$1&gt;=$A22,INDEX(Monthly!$B$2:$B$61,$A22)*INDEX('Age profile'!$B$2:$B$61,J$1-$A22+1),"")</f>
        <v/>
      </c>
      <c r="K22" s="53">
        <f>IF(K$1&gt;=$A22,INDEX(Monthly!$B$2:$B$61,$A22)*INDEX('Age profile'!$B$2:$B$61,K$1-$A22+1),"")</f>
        <v/>
      </c>
      <c r="L22" s="53">
        <f>IF(L$1&gt;=$A22,INDEX(Monthly!$B$2:$B$61,$A22)*INDEX('Age profile'!$B$2:$B$61,L$1-$A22+1),"")</f>
        <v/>
      </c>
      <c r="M22" s="53">
        <f>IF(M$1&gt;=$A22,INDEX(Monthly!$B$2:$B$61,$A22)*INDEX('Age profile'!$B$2:$B$61,M$1-$A22+1),"")</f>
        <v/>
      </c>
      <c r="N22" s="53">
        <f>IF(N$1&gt;=$A22,INDEX(Monthly!$B$2:$B$61,$A22)*INDEX('Age profile'!$B$2:$B$61,N$1-$A22+1),"")</f>
        <v/>
      </c>
      <c r="O22" s="53">
        <f>IF(O$1&gt;=$A22,INDEX(Monthly!$B$2:$B$61,$A22)*INDEX('Age profile'!$B$2:$B$61,O$1-$A22+1),"")</f>
        <v/>
      </c>
      <c r="P22" s="53">
        <f>IF(P$1&gt;=$A22,INDEX(Monthly!$B$2:$B$61,$A22)*INDEX('Age profile'!$B$2:$B$61,P$1-$A22+1),"")</f>
        <v/>
      </c>
      <c r="Q22" s="53">
        <f>IF(Q$1&gt;=$A22,INDEX(Monthly!$B$2:$B$61,$A22)*INDEX('Age profile'!$B$2:$B$61,Q$1-$A22+1),"")</f>
        <v/>
      </c>
      <c r="R22" s="53">
        <f>IF(R$1&gt;=$A22,INDEX(Monthly!$B$2:$B$61,$A22)*INDEX('Age profile'!$B$2:$B$61,R$1-$A22+1),"")</f>
        <v/>
      </c>
      <c r="S22" s="53">
        <f>IF(S$1&gt;=$A22,INDEX(Monthly!$B$2:$B$61,$A22)*INDEX('Age profile'!$B$2:$B$61,S$1-$A22+1),"")</f>
        <v/>
      </c>
      <c r="T22" s="53">
        <f>IF(T$1&gt;=$A22,INDEX(Monthly!$B$2:$B$61,$A22)*INDEX('Age profile'!$B$2:$B$61,T$1-$A22+1),"")</f>
        <v/>
      </c>
      <c r="U22" s="53">
        <f>IF(U$1&gt;=$A22,INDEX(Monthly!$B$2:$B$61,$A22)*INDEX('Age profile'!$B$2:$B$61,U$1-$A22+1),"")</f>
        <v/>
      </c>
      <c r="V22" s="53">
        <f>IF(V$1&gt;=$A22,INDEX(Monthly!$B$2:$B$61,$A22)*INDEX('Age profile'!$B$2:$B$61,V$1-$A22+1),"")</f>
        <v/>
      </c>
      <c r="W22" s="53">
        <f>IF(W$1&gt;=$A22,INDEX(Monthly!$B$2:$B$61,$A22)*INDEX('Age profile'!$B$2:$B$61,W$1-$A22+1),"")</f>
        <v/>
      </c>
      <c r="X22" s="53">
        <f>IF(X$1&gt;=$A22,INDEX(Monthly!$B$2:$B$61,$A22)*INDEX('Age profile'!$B$2:$B$61,X$1-$A22+1),"")</f>
        <v/>
      </c>
      <c r="Y22" s="53">
        <f>IF(Y$1&gt;=$A22,INDEX(Monthly!$B$2:$B$61,$A22)*INDEX('Age profile'!$B$2:$B$61,Y$1-$A22+1),"")</f>
        <v/>
      </c>
      <c r="Z22" s="53">
        <f>IF(Z$1&gt;=$A22,INDEX(Monthly!$B$2:$B$61,$A22)*INDEX('Age profile'!$B$2:$B$61,Z$1-$A22+1),"")</f>
        <v/>
      </c>
      <c r="AA22" s="53">
        <f>IF(AA$1&gt;=$A22,INDEX(Monthly!$B$2:$B$61,$A22)*INDEX('Age profile'!$B$2:$B$61,AA$1-$A22+1),"")</f>
        <v/>
      </c>
      <c r="AB22" s="53">
        <f>IF(AB$1&gt;=$A22,INDEX(Monthly!$B$2:$B$61,$A22)*INDEX('Age profile'!$B$2:$B$61,AB$1-$A22+1),"")</f>
        <v/>
      </c>
      <c r="AC22" s="53">
        <f>IF(AC$1&gt;=$A22,INDEX(Monthly!$B$2:$B$61,$A22)*INDEX('Age profile'!$B$2:$B$61,AC$1-$A22+1),"")</f>
        <v/>
      </c>
      <c r="AD22" s="53">
        <f>IF(AD$1&gt;=$A22,INDEX(Monthly!$B$2:$B$61,$A22)*INDEX('Age profile'!$B$2:$B$61,AD$1-$A22+1),"")</f>
        <v/>
      </c>
      <c r="AE22" s="53">
        <f>IF(AE$1&gt;=$A22,INDEX(Monthly!$B$2:$B$61,$A22)*INDEX('Age profile'!$B$2:$B$61,AE$1-$A22+1),"")</f>
        <v/>
      </c>
      <c r="AF22" s="53">
        <f>IF(AF$1&gt;=$A22,INDEX(Monthly!$B$2:$B$61,$A22)*INDEX('Age profile'!$B$2:$B$61,AF$1-$A22+1),"")</f>
        <v/>
      </c>
      <c r="AG22" s="53">
        <f>IF(AG$1&gt;=$A22,INDEX(Monthly!$B$2:$B$61,$A22)*INDEX('Age profile'!$B$2:$B$61,AG$1-$A22+1),"")</f>
        <v/>
      </c>
      <c r="AH22" s="53">
        <f>IF(AH$1&gt;=$A22,INDEX(Monthly!$B$2:$B$61,$A22)*INDEX('Age profile'!$B$2:$B$61,AH$1-$A22+1),"")</f>
        <v/>
      </c>
      <c r="AI22" s="53">
        <f>IF(AI$1&gt;=$A22,INDEX(Monthly!$B$2:$B$61,$A22)*INDEX('Age profile'!$B$2:$B$61,AI$1-$A22+1),"")</f>
        <v/>
      </c>
      <c r="AJ22" s="53">
        <f>IF(AJ$1&gt;=$A22,INDEX(Monthly!$B$2:$B$61,$A22)*INDEX('Age profile'!$B$2:$B$61,AJ$1-$A22+1),"")</f>
        <v/>
      </c>
      <c r="AK22" s="53">
        <f>IF(AK$1&gt;=$A22,INDEX(Monthly!$B$2:$B$61,$A22)*INDEX('Age profile'!$B$2:$B$61,AK$1-$A22+1),"")</f>
        <v/>
      </c>
      <c r="AL22" s="53">
        <f>IF(AL$1&gt;=$A22,INDEX(Monthly!$B$2:$B$61,$A22)*INDEX('Age profile'!$B$2:$B$61,AL$1-$A22+1),"")</f>
        <v/>
      </c>
      <c r="AM22" s="53">
        <f>IF(AM$1&gt;=$A22,INDEX(Monthly!$B$2:$B$61,$A22)*INDEX('Age profile'!$B$2:$B$61,AM$1-$A22+1),"")</f>
        <v/>
      </c>
      <c r="AN22" s="53">
        <f>IF(AN$1&gt;=$A22,INDEX(Monthly!$B$2:$B$61,$A22)*INDEX('Age profile'!$B$2:$B$61,AN$1-$A22+1),"")</f>
        <v/>
      </c>
      <c r="AO22" s="53">
        <f>IF(AO$1&gt;=$A22,INDEX(Monthly!$B$2:$B$61,$A22)*INDEX('Age profile'!$B$2:$B$61,AO$1-$A22+1),"")</f>
        <v/>
      </c>
      <c r="AP22" s="53">
        <f>IF(AP$1&gt;=$A22,INDEX(Monthly!$B$2:$B$61,$A22)*INDEX('Age profile'!$B$2:$B$61,AP$1-$A22+1),"")</f>
        <v/>
      </c>
      <c r="AQ22" s="53">
        <f>IF(AQ$1&gt;=$A22,INDEX(Monthly!$B$2:$B$61,$A22)*INDEX('Age profile'!$B$2:$B$61,AQ$1-$A22+1),"")</f>
        <v/>
      </c>
      <c r="AR22" s="53">
        <f>IF(AR$1&gt;=$A22,INDEX(Monthly!$B$2:$B$61,$A22)*INDEX('Age profile'!$B$2:$B$61,AR$1-$A22+1),"")</f>
        <v/>
      </c>
      <c r="AS22" s="53">
        <f>IF(AS$1&gt;=$A22,INDEX(Monthly!$B$2:$B$61,$A22)*INDEX('Age profile'!$B$2:$B$61,AS$1-$A22+1),"")</f>
        <v/>
      </c>
      <c r="AT22" s="53">
        <f>IF(AT$1&gt;=$A22,INDEX(Monthly!$B$2:$B$61,$A22)*INDEX('Age profile'!$B$2:$B$61,AT$1-$A22+1),"")</f>
        <v/>
      </c>
      <c r="AU22" s="53">
        <f>IF(AU$1&gt;=$A22,INDEX(Monthly!$B$2:$B$61,$A22)*INDEX('Age profile'!$B$2:$B$61,AU$1-$A22+1),"")</f>
        <v/>
      </c>
      <c r="AV22" s="53">
        <f>IF(AV$1&gt;=$A22,INDEX(Monthly!$B$2:$B$61,$A22)*INDEX('Age profile'!$B$2:$B$61,AV$1-$A22+1),"")</f>
        <v/>
      </c>
      <c r="AW22" s="53">
        <f>IF(AW$1&gt;=$A22,INDEX(Monthly!$B$2:$B$61,$A22)*INDEX('Age profile'!$B$2:$B$61,AW$1-$A22+1),"")</f>
        <v/>
      </c>
      <c r="AX22" s="53">
        <f>IF(AX$1&gt;=$A22,INDEX(Monthly!$B$2:$B$61,$A22)*INDEX('Age profile'!$B$2:$B$61,AX$1-$A22+1),"")</f>
        <v/>
      </c>
      <c r="AY22" s="53">
        <f>IF(AY$1&gt;=$A22,INDEX(Monthly!$B$2:$B$61,$A22)*INDEX('Age profile'!$B$2:$B$61,AY$1-$A22+1),"")</f>
        <v/>
      </c>
      <c r="AZ22" s="53">
        <f>IF(AZ$1&gt;=$A22,INDEX(Monthly!$B$2:$B$61,$A22)*INDEX('Age profile'!$B$2:$B$61,AZ$1-$A22+1),"")</f>
        <v/>
      </c>
      <c r="BA22" s="53">
        <f>IF(BA$1&gt;=$A22,INDEX(Monthly!$B$2:$B$61,$A22)*INDEX('Age profile'!$B$2:$B$61,BA$1-$A22+1),"")</f>
        <v/>
      </c>
      <c r="BB22" s="53">
        <f>IF(BB$1&gt;=$A22,INDEX(Monthly!$B$2:$B$61,$A22)*INDEX('Age profile'!$B$2:$B$61,BB$1-$A22+1),"")</f>
        <v/>
      </c>
      <c r="BC22" s="53">
        <f>IF(BC$1&gt;=$A22,INDEX(Monthly!$B$2:$B$61,$A22)*INDEX('Age profile'!$B$2:$B$61,BC$1-$A22+1),"")</f>
        <v/>
      </c>
      <c r="BD22" s="53">
        <f>IF(BD$1&gt;=$A22,INDEX(Monthly!$B$2:$B$61,$A22)*INDEX('Age profile'!$B$2:$B$61,BD$1-$A22+1),"")</f>
        <v/>
      </c>
      <c r="BE22" s="53">
        <f>IF(BE$1&gt;=$A22,INDEX(Monthly!$B$2:$B$61,$A22)*INDEX('Age profile'!$B$2:$B$61,BE$1-$A22+1),"")</f>
        <v/>
      </c>
      <c r="BF22" s="53">
        <f>IF(BF$1&gt;=$A22,INDEX(Monthly!$B$2:$B$61,$A22)*INDEX('Age profile'!$B$2:$B$61,BF$1-$A22+1),"")</f>
        <v/>
      </c>
      <c r="BG22" s="53">
        <f>IF(BG$1&gt;=$A22,INDEX(Monthly!$B$2:$B$61,$A22)*INDEX('Age profile'!$B$2:$B$61,BG$1-$A22+1),"")</f>
        <v/>
      </c>
      <c r="BH22" s="53">
        <f>IF(BH$1&gt;=$A22,INDEX(Monthly!$B$2:$B$61,$A22)*INDEX('Age profile'!$B$2:$B$61,BH$1-$A22+1),"")</f>
        <v/>
      </c>
      <c r="BI22" s="53">
        <f>IF(BI$1&gt;=$A22,INDEX(Monthly!$B$2:$B$61,$A22)*INDEX('Age profile'!$B$2:$B$61,BI$1-$A22+1),"")</f>
        <v/>
      </c>
    </row>
    <row r="23">
      <c r="A23" s="3" t="n">
        <v>22</v>
      </c>
      <c r="B23" s="53">
        <f>IF(B$1&gt;=$A23,INDEX(Monthly!$B$2:$B$61,$A23)*INDEX('Age profile'!$B$2:$B$61,B$1-$A23+1),"")</f>
        <v/>
      </c>
      <c r="C23" s="53">
        <f>IF(C$1&gt;=$A23,INDEX(Monthly!$B$2:$B$61,$A23)*INDEX('Age profile'!$B$2:$B$61,C$1-$A23+1),"")</f>
        <v/>
      </c>
      <c r="D23" s="53">
        <f>IF(D$1&gt;=$A23,INDEX(Monthly!$B$2:$B$61,$A23)*INDEX('Age profile'!$B$2:$B$61,D$1-$A23+1),"")</f>
        <v/>
      </c>
      <c r="E23" s="53">
        <f>IF(E$1&gt;=$A23,INDEX(Monthly!$B$2:$B$61,$A23)*INDEX('Age profile'!$B$2:$B$61,E$1-$A23+1),"")</f>
        <v/>
      </c>
      <c r="F23" s="53">
        <f>IF(F$1&gt;=$A23,INDEX(Monthly!$B$2:$B$61,$A23)*INDEX('Age profile'!$B$2:$B$61,F$1-$A23+1),"")</f>
        <v/>
      </c>
      <c r="G23" s="53">
        <f>IF(G$1&gt;=$A23,INDEX(Monthly!$B$2:$B$61,$A23)*INDEX('Age profile'!$B$2:$B$61,G$1-$A23+1),"")</f>
        <v/>
      </c>
      <c r="H23" s="53">
        <f>IF(H$1&gt;=$A23,INDEX(Monthly!$B$2:$B$61,$A23)*INDEX('Age profile'!$B$2:$B$61,H$1-$A23+1),"")</f>
        <v/>
      </c>
      <c r="I23" s="53">
        <f>IF(I$1&gt;=$A23,INDEX(Monthly!$B$2:$B$61,$A23)*INDEX('Age profile'!$B$2:$B$61,I$1-$A23+1),"")</f>
        <v/>
      </c>
      <c r="J23" s="53">
        <f>IF(J$1&gt;=$A23,INDEX(Monthly!$B$2:$B$61,$A23)*INDEX('Age profile'!$B$2:$B$61,J$1-$A23+1),"")</f>
        <v/>
      </c>
      <c r="K23" s="53">
        <f>IF(K$1&gt;=$A23,INDEX(Monthly!$B$2:$B$61,$A23)*INDEX('Age profile'!$B$2:$B$61,K$1-$A23+1),"")</f>
        <v/>
      </c>
      <c r="L23" s="53">
        <f>IF(L$1&gt;=$A23,INDEX(Monthly!$B$2:$B$61,$A23)*INDEX('Age profile'!$B$2:$B$61,L$1-$A23+1),"")</f>
        <v/>
      </c>
      <c r="M23" s="53">
        <f>IF(M$1&gt;=$A23,INDEX(Monthly!$B$2:$B$61,$A23)*INDEX('Age profile'!$B$2:$B$61,M$1-$A23+1),"")</f>
        <v/>
      </c>
      <c r="N23" s="53">
        <f>IF(N$1&gt;=$A23,INDEX(Monthly!$B$2:$B$61,$A23)*INDEX('Age profile'!$B$2:$B$61,N$1-$A23+1),"")</f>
        <v/>
      </c>
      <c r="O23" s="53">
        <f>IF(O$1&gt;=$A23,INDEX(Monthly!$B$2:$B$61,$A23)*INDEX('Age profile'!$B$2:$B$61,O$1-$A23+1),"")</f>
        <v/>
      </c>
      <c r="P23" s="53">
        <f>IF(P$1&gt;=$A23,INDEX(Monthly!$B$2:$B$61,$A23)*INDEX('Age profile'!$B$2:$B$61,P$1-$A23+1),"")</f>
        <v/>
      </c>
      <c r="Q23" s="53">
        <f>IF(Q$1&gt;=$A23,INDEX(Monthly!$B$2:$B$61,$A23)*INDEX('Age profile'!$B$2:$B$61,Q$1-$A23+1),"")</f>
        <v/>
      </c>
      <c r="R23" s="53">
        <f>IF(R$1&gt;=$A23,INDEX(Monthly!$B$2:$B$61,$A23)*INDEX('Age profile'!$B$2:$B$61,R$1-$A23+1),"")</f>
        <v/>
      </c>
      <c r="S23" s="53">
        <f>IF(S$1&gt;=$A23,INDEX(Monthly!$B$2:$B$61,$A23)*INDEX('Age profile'!$B$2:$B$61,S$1-$A23+1),"")</f>
        <v/>
      </c>
      <c r="T23" s="53">
        <f>IF(T$1&gt;=$A23,INDEX(Monthly!$B$2:$B$61,$A23)*INDEX('Age profile'!$B$2:$B$61,T$1-$A23+1),"")</f>
        <v/>
      </c>
      <c r="U23" s="53">
        <f>IF(U$1&gt;=$A23,INDEX(Monthly!$B$2:$B$61,$A23)*INDEX('Age profile'!$B$2:$B$61,U$1-$A23+1),"")</f>
        <v/>
      </c>
      <c r="V23" s="53">
        <f>IF(V$1&gt;=$A23,INDEX(Monthly!$B$2:$B$61,$A23)*INDEX('Age profile'!$B$2:$B$61,V$1-$A23+1),"")</f>
        <v/>
      </c>
      <c r="W23" s="53">
        <f>IF(W$1&gt;=$A23,INDEX(Monthly!$B$2:$B$61,$A23)*INDEX('Age profile'!$B$2:$B$61,W$1-$A23+1),"")</f>
        <v/>
      </c>
      <c r="X23" s="53">
        <f>IF(X$1&gt;=$A23,INDEX(Monthly!$B$2:$B$61,$A23)*INDEX('Age profile'!$B$2:$B$61,X$1-$A23+1),"")</f>
        <v/>
      </c>
      <c r="Y23" s="53">
        <f>IF(Y$1&gt;=$A23,INDEX(Monthly!$B$2:$B$61,$A23)*INDEX('Age profile'!$B$2:$B$61,Y$1-$A23+1),"")</f>
        <v/>
      </c>
      <c r="Z23" s="53">
        <f>IF(Z$1&gt;=$A23,INDEX(Monthly!$B$2:$B$61,$A23)*INDEX('Age profile'!$B$2:$B$61,Z$1-$A23+1),"")</f>
        <v/>
      </c>
      <c r="AA23" s="53">
        <f>IF(AA$1&gt;=$A23,INDEX(Monthly!$B$2:$B$61,$A23)*INDEX('Age profile'!$B$2:$B$61,AA$1-$A23+1),"")</f>
        <v/>
      </c>
      <c r="AB23" s="53">
        <f>IF(AB$1&gt;=$A23,INDEX(Monthly!$B$2:$B$61,$A23)*INDEX('Age profile'!$B$2:$B$61,AB$1-$A23+1),"")</f>
        <v/>
      </c>
      <c r="AC23" s="53">
        <f>IF(AC$1&gt;=$A23,INDEX(Monthly!$B$2:$B$61,$A23)*INDEX('Age profile'!$B$2:$B$61,AC$1-$A23+1),"")</f>
        <v/>
      </c>
      <c r="AD23" s="53">
        <f>IF(AD$1&gt;=$A23,INDEX(Monthly!$B$2:$B$61,$A23)*INDEX('Age profile'!$B$2:$B$61,AD$1-$A23+1),"")</f>
        <v/>
      </c>
      <c r="AE23" s="53">
        <f>IF(AE$1&gt;=$A23,INDEX(Monthly!$B$2:$B$61,$A23)*INDEX('Age profile'!$B$2:$B$61,AE$1-$A23+1),"")</f>
        <v/>
      </c>
      <c r="AF23" s="53">
        <f>IF(AF$1&gt;=$A23,INDEX(Monthly!$B$2:$B$61,$A23)*INDEX('Age profile'!$B$2:$B$61,AF$1-$A23+1),"")</f>
        <v/>
      </c>
      <c r="AG23" s="53">
        <f>IF(AG$1&gt;=$A23,INDEX(Monthly!$B$2:$B$61,$A23)*INDEX('Age profile'!$B$2:$B$61,AG$1-$A23+1),"")</f>
        <v/>
      </c>
      <c r="AH23" s="53">
        <f>IF(AH$1&gt;=$A23,INDEX(Monthly!$B$2:$B$61,$A23)*INDEX('Age profile'!$B$2:$B$61,AH$1-$A23+1),"")</f>
        <v/>
      </c>
      <c r="AI23" s="53">
        <f>IF(AI$1&gt;=$A23,INDEX(Monthly!$B$2:$B$61,$A23)*INDEX('Age profile'!$B$2:$B$61,AI$1-$A23+1),"")</f>
        <v/>
      </c>
      <c r="AJ23" s="53">
        <f>IF(AJ$1&gt;=$A23,INDEX(Monthly!$B$2:$B$61,$A23)*INDEX('Age profile'!$B$2:$B$61,AJ$1-$A23+1),"")</f>
        <v/>
      </c>
      <c r="AK23" s="53">
        <f>IF(AK$1&gt;=$A23,INDEX(Monthly!$B$2:$B$61,$A23)*INDEX('Age profile'!$B$2:$B$61,AK$1-$A23+1),"")</f>
        <v/>
      </c>
      <c r="AL23" s="53">
        <f>IF(AL$1&gt;=$A23,INDEX(Monthly!$B$2:$B$61,$A23)*INDEX('Age profile'!$B$2:$B$61,AL$1-$A23+1),"")</f>
        <v/>
      </c>
      <c r="AM23" s="53">
        <f>IF(AM$1&gt;=$A23,INDEX(Monthly!$B$2:$B$61,$A23)*INDEX('Age profile'!$B$2:$B$61,AM$1-$A23+1),"")</f>
        <v/>
      </c>
      <c r="AN23" s="53">
        <f>IF(AN$1&gt;=$A23,INDEX(Monthly!$B$2:$B$61,$A23)*INDEX('Age profile'!$B$2:$B$61,AN$1-$A23+1),"")</f>
        <v/>
      </c>
      <c r="AO23" s="53">
        <f>IF(AO$1&gt;=$A23,INDEX(Monthly!$B$2:$B$61,$A23)*INDEX('Age profile'!$B$2:$B$61,AO$1-$A23+1),"")</f>
        <v/>
      </c>
      <c r="AP23" s="53">
        <f>IF(AP$1&gt;=$A23,INDEX(Monthly!$B$2:$B$61,$A23)*INDEX('Age profile'!$B$2:$B$61,AP$1-$A23+1),"")</f>
        <v/>
      </c>
      <c r="AQ23" s="53">
        <f>IF(AQ$1&gt;=$A23,INDEX(Monthly!$B$2:$B$61,$A23)*INDEX('Age profile'!$B$2:$B$61,AQ$1-$A23+1),"")</f>
        <v/>
      </c>
      <c r="AR23" s="53">
        <f>IF(AR$1&gt;=$A23,INDEX(Monthly!$B$2:$B$61,$A23)*INDEX('Age profile'!$B$2:$B$61,AR$1-$A23+1),"")</f>
        <v/>
      </c>
      <c r="AS23" s="53">
        <f>IF(AS$1&gt;=$A23,INDEX(Monthly!$B$2:$B$61,$A23)*INDEX('Age profile'!$B$2:$B$61,AS$1-$A23+1),"")</f>
        <v/>
      </c>
      <c r="AT23" s="53">
        <f>IF(AT$1&gt;=$A23,INDEX(Monthly!$B$2:$B$61,$A23)*INDEX('Age profile'!$B$2:$B$61,AT$1-$A23+1),"")</f>
        <v/>
      </c>
      <c r="AU23" s="53">
        <f>IF(AU$1&gt;=$A23,INDEX(Monthly!$B$2:$B$61,$A23)*INDEX('Age profile'!$B$2:$B$61,AU$1-$A23+1),"")</f>
        <v/>
      </c>
      <c r="AV23" s="53">
        <f>IF(AV$1&gt;=$A23,INDEX(Monthly!$B$2:$B$61,$A23)*INDEX('Age profile'!$B$2:$B$61,AV$1-$A23+1),"")</f>
        <v/>
      </c>
      <c r="AW23" s="53">
        <f>IF(AW$1&gt;=$A23,INDEX(Monthly!$B$2:$B$61,$A23)*INDEX('Age profile'!$B$2:$B$61,AW$1-$A23+1),"")</f>
        <v/>
      </c>
      <c r="AX23" s="53">
        <f>IF(AX$1&gt;=$A23,INDEX(Monthly!$B$2:$B$61,$A23)*INDEX('Age profile'!$B$2:$B$61,AX$1-$A23+1),"")</f>
        <v/>
      </c>
      <c r="AY23" s="53">
        <f>IF(AY$1&gt;=$A23,INDEX(Monthly!$B$2:$B$61,$A23)*INDEX('Age profile'!$B$2:$B$61,AY$1-$A23+1),"")</f>
        <v/>
      </c>
      <c r="AZ23" s="53">
        <f>IF(AZ$1&gt;=$A23,INDEX(Monthly!$B$2:$B$61,$A23)*INDEX('Age profile'!$B$2:$B$61,AZ$1-$A23+1),"")</f>
        <v/>
      </c>
      <c r="BA23" s="53">
        <f>IF(BA$1&gt;=$A23,INDEX(Monthly!$B$2:$B$61,$A23)*INDEX('Age profile'!$B$2:$B$61,BA$1-$A23+1),"")</f>
        <v/>
      </c>
      <c r="BB23" s="53">
        <f>IF(BB$1&gt;=$A23,INDEX(Monthly!$B$2:$B$61,$A23)*INDEX('Age profile'!$B$2:$B$61,BB$1-$A23+1),"")</f>
        <v/>
      </c>
      <c r="BC23" s="53">
        <f>IF(BC$1&gt;=$A23,INDEX(Monthly!$B$2:$B$61,$A23)*INDEX('Age profile'!$B$2:$B$61,BC$1-$A23+1),"")</f>
        <v/>
      </c>
      <c r="BD23" s="53">
        <f>IF(BD$1&gt;=$A23,INDEX(Monthly!$B$2:$B$61,$A23)*INDEX('Age profile'!$B$2:$B$61,BD$1-$A23+1),"")</f>
        <v/>
      </c>
      <c r="BE23" s="53">
        <f>IF(BE$1&gt;=$A23,INDEX(Monthly!$B$2:$B$61,$A23)*INDEX('Age profile'!$B$2:$B$61,BE$1-$A23+1),"")</f>
        <v/>
      </c>
      <c r="BF23" s="53">
        <f>IF(BF$1&gt;=$A23,INDEX(Monthly!$B$2:$B$61,$A23)*INDEX('Age profile'!$B$2:$B$61,BF$1-$A23+1),"")</f>
        <v/>
      </c>
      <c r="BG23" s="53">
        <f>IF(BG$1&gt;=$A23,INDEX(Monthly!$B$2:$B$61,$A23)*INDEX('Age profile'!$B$2:$B$61,BG$1-$A23+1),"")</f>
        <v/>
      </c>
      <c r="BH23" s="53">
        <f>IF(BH$1&gt;=$A23,INDEX(Monthly!$B$2:$B$61,$A23)*INDEX('Age profile'!$B$2:$B$61,BH$1-$A23+1),"")</f>
        <v/>
      </c>
      <c r="BI23" s="53">
        <f>IF(BI$1&gt;=$A23,INDEX(Monthly!$B$2:$B$61,$A23)*INDEX('Age profile'!$B$2:$B$61,BI$1-$A23+1),"")</f>
        <v/>
      </c>
    </row>
    <row r="24">
      <c r="A24" s="3" t="n">
        <v>23</v>
      </c>
      <c r="B24" s="53">
        <f>IF(B$1&gt;=$A24,INDEX(Monthly!$B$2:$B$61,$A24)*INDEX('Age profile'!$B$2:$B$61,B$1-$A24+1),"")</f>
        <v/>
      </c>
      <c r="C24" s="53">
        <f>IF(C$1&gt;=$A24,INDEX(Monthly!$B$2:$B$61,$A24)*INDEX('Age profile'!$B$2:$B$61,C$1-$A24+1),"")</f>
        <v/>
      </c>
      <c r="D24" s="53">
        <f>IF(D$1&gt;=$A24,INDEX(Monthly!$B$2:$B$61,$A24)*INDEX('Age profile'!$B$2:$B$61,D$1-$A24+1),"")</f>
        <v/>
      </c>
      <c r="E24" s="53">
        <f>IF(E$1&gt;=$A24,INDEX(Monthly!$B$2:$B$61,$A24)*INDEX('Age profile'!$B$2:$B$61,E$1-$A24+1),"")</f>
        <v/>
      </c>
      <c r="F24" s="53">
        <f>IF(F$1&gt;=$A24,INDEX(Monthly!$B$2:$B$61,$A24)*INDEX('Age profile'!$B$2:$B$61,F$1-$A24+1),"")</f>
        <v/>
      </c>
      <c r="G24" s="53">
        <f>IF(G$1&gt;=$A24,INDEX(Monthly!$B$2:$B$61,$A24)*INDEX('Age profile'!$B$2:$B$61,G$1-$A24+1),"")</f>
        <v/>
      </c>
      <c r="H24" s="53">
        <f>IF(H$1&gt;=$A24,INDEX(Monthly!$B$2:$B$61,$A24)*INDEX('Age profile'!$B$2:$B$61,H$1-$A24+1),"")</f>
        <v/>
      </c>
      <c r="I24" s="53">
        <f>IF(I$1&gt;=$A24,INDEX(Monthly!$B$2:$B$61,$A24)*INDEX('Age profile'!$B$2:$B$61,I$1-$A24+1),"")</f>
        <v/>
      </c>
      <c r="J24" s="53">
        <f>IF(J$1&gt;=$A24,INDEX(Monthly!$B$2:$B$61,$A24)*INDEX('Age profile'!$B$2:$B$61,J$1-$A24+1),"")</f>
        <v/>
      </c>
      <c r="K24" s="53">
        <f>IF(K$1&gt;=$A24,INDEX(Monthly!$B$2:$B$61,$A24)*INDEX('Age profile'!$B$2:$B$61,K$1-$A24+1),"")</f>
        <v/>
      </c>
      <c r="L24" s="53">
        <f>IF(L$1&gt;=$A24,INDEX(Monthly!$B$2:$B$61,$A24)*INDEX('Age profile'!$B$2:$B$61,L$1-$A24+1),"")</f>
        <v/>
      </c>
      <c r="M24" s="53">
        <f>IF(M$1&gt;=$A24,INDEX(Monthly!$B$2:$B$61,$A24)*INDEX('Age profile'!$B$2:$B$61,M$1-$A24+1),"")</f>
        <v/>
      </c>
      <c r="N24" s="53">
        <f>IF(N$1&gt;=$A24,INDEX(Monthly!$B$2:$B$61,$A24)*INDEX('Age profile'!$B$2:$B$61,N$1-$A24+1),"")</f>
        <v/>
      </c>
      <c r="O24" s="53">
        <f>IF(O$1&gt;=$A24,INDEX(Monthly!$B$2:$B$61,$A24)*INDEX('Age profile'!$B$2:$B$61,O$1-$A24+1),"")</f>
        <v/>
      </c>
      <c r="P24" s="53">
        <f>IF(P$1&gt;=$A24,INDEX(Monthly!$B$2:$B$61,$A24)*INDEX('Age profile'!$B$2:$B$61,P$1-$A24+1),"")</f>
        <v/>
      </c>
      <c r="Q24" s="53">
        <f>IF(Q$1&gt;=$A24,INDEX(Monthly!$B$2:$B$61,$A24)*INDEX('Age profile'!$B$2:$B$61,Q$1-$A24+1),"")</f>
        <v/>
      </c>
      <c r="R24" s="53">
        <f>IF(R$1&gt;=$A24,INDEX(Monthly!$B$2:$B$61,$A24)*INDEX('Age profile'!$B$2:$B$61,R$1-$A24+1),"")</f>
        <v/>
      </c>
      <c r="S24" s="53">
        <f>IF(S$1&gt;=$A24,INDEX(Monthly!$B$2:$B$61,$A24)*INDEX('Age profile'!$B$2:$B$61,S$1-$A24+1),"")</f>
        <v/>
      </c>
      <c r="T24" s="53">
        <f>IF(T$1&gt;=$A24,INDEX(Monthly!$B$2:$B$61,$A24)*INDEX('Age profile'!$B$2:$B$61,T$1-$A24+1),"")</f>
        <v/>
      </c>
      <c r="U24" s="53">
        <f>IF(U$1&gt;=$A24,INDEX(Monthly!$B$2:$B$61,$A24)*INDEX('Age profile'!$B$2:$B$61,U$1-$A24+1),"")</f>
        <v/>
      </c>
      <c r="V24" s="53">
        <f>IF(V$1&gt;=$A24,INDEX(Monthly!$B$2:$B$61,$A24)*INDEX('Age profile'!$B$2:$B$61,V$1-$A24+1),"")</f>
        <v/>
      </c>
      <c r="W24" s="53">
        <f>IF(W$1&gt;=$A24,INDEX(Monthly!$B$2:$B$61,$A24)*INDEX('Age profile'!$B$2:$B$61,W$1-$A24+1),"")</f>
        <v/>
      </c>
      <c r="X24" s="53">
        <f>IF(X$1&gt;=$A24,INDEX(Monthly!$B$2:$B$61,$A24)*INDEX('Age profile'!$B$2:$B$61,X$1-$A24+1),"")</f>
        <v/>
      </c>
      <c r="Y24" s="53">
        <f>IF(Y$1&gt;=$A24,INDEX(Monthly!$B$2:$B$61,$A24)*INDEX('Age profile'!$B$2:$B$61,Y$1-$A24+1),"")</f>
        <v/>
      </c>
      <c r="Z24" s="53">
        <f>IF(Z$1&gt;=$A24,INDEX(Monthly!$B$2:$B$61,$A24)*INDEX('Age profile'!$B$2:$B$61,Z$1-$A24+1),"")</f>
        <v/>
      </c>
      <c r="AA24" s="53">
        <f>IF(AA$1&gt;=$A24,INDEX(Monthly!$B$2:$B$61,$A24)*INDEX('Age profile'!$B$2:$B$61,AA$1-$A24+1),"")</f>
        <v/>
      </c>
      <c r="AB24" s="53">
        <f>IF(AB$1&gt;=$A24,INDEX(Monthly!$B$2:$B$61,$A24)*INDEX('Age profile'!$B$2:$B$61,AB$1-$A24+1),"")</f>
        <v/>
      </c>
      <c r="AC24" s="53">
        <f>IF(AC$1&gt;=$A24,INDEX(Monthly!$B$2:$B$61,$A24)*INDEX('Age profile'!$B$2:$B$61,AC$1-$A24+1),"")</f>
        <v/>
      </c>
      <c r="AD24" s="53">
        <f>IF(AD$1&gt;=$A24,INDEX(Monthly!$B$2:$B$61,$A24)*INDEX('Age profile'!$B$2:$B$61,AD$1-$A24+1),"")</f>
        <v/>
      </c>
      <c r="AE24" s="53">
        <f>IF(AE$1&gt;=$A24,INDEX(Monthly!$B$2:$B$61,$A24)*INDEX('Age profile'!$B$2:$B$61,AE$1-$A24+1),"")</f>
        <v/>
      </c>
      <c r="AF24" s="53">
        <f>IF(AF$1&gt;=$A24,INDEX(Monthly!$B$2:$B$61,$A24)*INDEX('Age profile'!$B$2:$B$61,AF$1-$A24+1),"")</f>
        <v/>
      </c>
      <c r="AG24" s="53">
        <f>IF(AG$1&gt;=$A24,INDEX(Monthly!$B$2:$B$61,$A24)*INDEX('Age profile'!$B$2:$B$61,AG$1-$A24+1),"")</f>
        <v/>
      </c>
      <c r="AH24" s="53">
        <f>IF(AH$1&gt;=$A24,INDEX(Monthly!$B$2:$B$61,$A24)*INDEX('Age profile'!$B$2:$B$61,AH$1-$A24+1),"")</f>
        <v/>
      </c>
      <c r="AI24" s="53">
        <f>IF(AI$1&gt;=$A24,INDEX(Monthly!$B$2:$B$61,$A24)*INDEX('Age profile'!$B$2:$B$61,AI$1-$A24+1),"")</f>
        <v/>
      </c>
      <c r="AJ24" s="53">
        <f>IF(AJ$1&gt;=$A24,INDEX(Monthly!$B$2:$B$61,$A24)*INDEX('Age profile'!$B$2:$B$61,AJ$1-$A24+1),"")</f>
        <v/>
      </c>
      <c r="AK24" s="53">
        <f>IF(AK$1&gt;=$A24,INDEX(Monthly!$B$2:$B$61,$A24)*INDEX('Age profile'!$B$2:$B$61,AK$1-$A24+1),"")</f>
        <v/>
      </c>
      <c r="AL24" s="53">
        <f>IF(AL$1&gt;=$A24,INDEX(Monthly!$B$2:$B$61,$A24)*INDEX('Age profile'!$B$2:$B$61,AL$1-$A24+1),"")</f>
        <v/>
      </c>
      <c r="AM24" s="53">
        <f>IF(AM$1&gt;=$A24,INDEX(Monthly!$B$2:$B$61,$A24)*INDEX('Age profile'!$B$2:$B$61,AM$1-$A24+1),"")</f>
        <v/>
      </c>
      <c r="AN24" s="53">
        <f>IF(AN$1&gt;=$A24,INDEX(Monthly!$B$2:$B$61,$A24)*INDEX('Age profile'!$B$2:$B$61,AN$1-$A24+1),"")</f>
        <v/>
      </c>
      <c r="AO24" s="53">
        <f>IF(AO$1&gt;=$A24,INDEX(Monthly!$B$2:$B$61,$A24)*INDEX('Age profile'!$B$2:$B$61,AO$1-$A24+1),"")</f>
        <v/>
      </c>
      <c r="AP24" s="53">
        <f>IF(AP$1&gt;=$A24,INDEX(Monthly!$B$2:$B$61,$A24)*INDEX('Age profile'!$B$2:$B$61,AP$1-$A24+1),"")</f>
        <v/>
      </c>
      <c r="AQ24" s="53">
        <f>IF(AQ$1&gt;=$A24,INDEX(Monthly!$B$2:$B$61,$A24)*INDEX('Age profile'!$B$2:$B$61,AQ$1-$A24+1),"")</f>
        <v/>
      </c>
      <c r="AR24" s="53">
        <f>IF(AR$1&gt;=$A24,INDEX(Monthly!$B$2:$B$61,$A24)*INDEX('Age profile'!$B$2:$B$61,AR$1-$A24+1),"")</f>
        <v/>
      </c>
      <c r="AS24" s="53">
        <f>IF(AS$1&gt;=$A24,INDEX(Monthly!$B$2:$B$61,$A24)*INDEX('Age profile'!$B$2:$B$61,AS$1-$A24+1),"")</f>
        <v/>
      </c>
      <c r="AT24" s="53">
        <f>IF(AT$1&gt;=$A24,INDEX(Monthly!$B$2:$B$61,$A24)*INDEX('Age profile'!$B$2:$B$61,AT$1-$A24+1),"")</f>
        <v/>
      </c>
      <c r="AU24" s="53">
        <f>IF(AU$1&gt;=$A24,INDEX(Monthly!$B$2:$B$61,$A24)*INDEX('Age profile'!$B$2:$B$61,AU$1-$A24+1),"")</f>
        <v/>
      </c>
      <c r="AV24" s="53">
        <f>IF(AV$1&gt;=$A24,INDEX(Monthly!$B$2:$B$61,$A24)*INDEX('Age profile'!$B$2:$B$61,AV$1-$A24+1),"")</f>
        <v/>
      </c>
      <c r="AW24" s="53">
        <f>IF(AW$1&gt;=$A24,INDEX(Monthly!$B$2:$B$61,$A24)*INDEX('Age profile'!$B$2:$B$61,AW$1-$A24+1),"")</f>
        <v/>
      </c>
      <c r="AX24" s="53">
        <f>IF(AX$1&gt;=$A24,INDEX(Monthly!$B$2:$B$61,$A24)*INDEX('Age profile'!$B$2:$B$61,AX$1-$A24+1),"")</f>
        <v/>
      </c>
      <c r="AY24" s="53">
        <f>IF(AY$1&gt;=$A24,INDEX(Monthly!$B$2:$B$61,$A24)*INDEX('Age profile'!$B$2:$B$61,AY$1-$A24+1),"")</f>
        <v/>
      </c>
      <c r="AZ24" s="53">
        <f>IF(AZ$1&gt;=$A24,INDEX(Monthly!$B$2:$B$61,$A24)*INDEX('Age profile'!$B$2:$B$61,AZ$1-$A24+1),"")</f>
        <v/>
      </c>
      <c r="BA24" s="53">
        <f>IF(BA$1&gt;=$A24,INDEX(Monthly!$B$2:$B$61,$A24)*INDEX('Age profile'!$B$2:$B$61,BA$1-$A24+1),"")</f>
        <v/>
      </c>
      <c r="BB24" s="53">
        <f>IF(BB$1&gt;=$A24,INDEX(Monthly!$B$2:$B$61,$A24)*INDEX('Age profile'!$B$2:$B$61,BB$1-$A24+1),"")</f>
        <v/>
      </c>
      <c r="BC24" s="53">
        <f>IF(BC$1&gt;=$A24,INDEX(Monthly!$B$2:$B$61,$A24)*INDEX('Age profile'!$B$2:$B$61,BC$1-$A24+1),"")</f>
        <v/>
      </c>
      <c r="BD24" s="53">
        <f>IF(BD$1&gt;=$A24,INDEX(Monthly!$B$2:$B$61,$A24)*INDEX('Age profile'!$B$2:$B$61,BD$1-$A24+1),"")</f>
        <v/>
      </c>
      <c r="BE24" s="53">
        <f>IF(BE$1&gt;=$A24,INDEX(Monthly!$B$2:$B$61,$A24)*INDEX('Age profile'!$B$2:$B$61,BE$1-$A24+1),"")</f>
        <v/>
      </c>
      <c r="BF24" s="53">
        <f>IF(BF$1&gt;=$A24,INDEX(Monthly!$B$2:$B$61,$A24)*INDEX('Age profile'!$B$2:$B$61,BF$1-$A24+1),"")</f>
        <v/>
      </c>
      <c r="BG24" s="53">
        <f>IF(BG$1&gt;=$A24,INDEX(Monthly!$B$2:$B$61,$A24)*INDEX('Age profile'!$B$2:$B$61,BG$1-$A24+1),"")</f>
        <v/>
      </c>
      <c r="BH24" s="53">
        <f>IF(BH$1&gt;=$A24,INDEX(Monthly!$B$2:$B$61,$A24)*INDEX('Age profile'!$B$2:$B$61,BH$1-$A24+1),"")</f>
        <v/>
      </c>
      <c r="BI24" s="53">
        <f>IF(BI$1&gt;=$A24,INDEX(Monthly!$B$2:$B$61,$A24)*INDEX('Age profile'!$B$2:$B$61,BI$1-$A24+1),"")</f>
        <v/>
      </c>
    </row>
    <row r="25">
      <c r="A25" s="3" t="n">
        <v>24</v>
      </c>
      <c r="B25" s="53">
        <f>IF(B$1&gt;=$A25,INDEX(Monthly!$B$2:$B$61,$A25)*INDEX('Age profile'!$B$2:$B$61,B$1-$A25+1),"")</f>
        <v/>
      </c>
      <c r="C25" s="53">
        <f>IF(C$1&gt;=$A25,INDEX(Monthly!$B$2:$B$61,$A25)*INDEX('Age profile'!$B$2:$B$61,C$1-$A25+1),"")</f>
        <v/>
      </c>
      <c r="D25" s="53">
        <f>IF(D$1&gt;=$A25,INDEX(Monthly!$B$2:$B$61,$A25)*INDEX('Age profile'!$B$2:$B$61,D$1-$A25+1),"")</f>
        <v/>
      </c>
      <c r="E25" s="53">
        <f>IF(E$1&gt;=$A25,INDEX(Monthly!$B$2:$B$61,$A25)*INDEX('Age profile'!$B$2:$B$61,E$1-$A25+1),"")</f>
        <v/>
      </c>
      <c r="F25" s="53">
        <f>IF(F$1&gt;=$A25,INDEX(Monthly!$B$2:$B$61,$A25)*INDEX('Age profile'!$B$2:$B$61,F$1-$A25+1),"")</f>
        <v/>
      </c>
      <c r="G25" s="53">
        <f>IF(G$1&gt;=$A25,INDEX(Monthly!$B$2:$B$61,$A25)*INDEX('Age profile'!$B$2:$B$61,G$1-$A25+1),"")</f>
        <v/>
      </c>
      <c r="H25" s="53">
        <f>IF(H$1&gt;=$A25,INDEX(Monthly!$B$2:$B$61,$A25)*INDEX('Age profile'!$B$2:$B$61,H$1-$A25+1),"")</f>
        <v/>
      </c>
      <c r="I25" s="53">
        <f>IF(I$1&gt;=$A25,INDEX(Monthly!$B$2:$B$61,$A25)*INDEX('Age profile'!$B$2:$B$61,I$1-$A25+1),"")</f>
        <v/>
      </c>
      <c r="J25" s="53">
        <f>IF(J$1&gt;=$A25,INDEX(Monthly!$B$2:$B$61,$A25)*INDEX('Age profile'!$B$2:$B$61,J$1-$A25+1),"")</f>
        <v/>
      </c>
      <c r="K25" s="53">
        <f>IF(K$1&gt;=$A25,INDEX(Monthly!$B$2:$B$61,$A25)*INDEX('Age profile'!$B$2:$B$61,K$1-$A25+1),"")</f>
        <v/>
      </c>
      <c r="L25" s="53">
        <f>IF(L$1&gt;=$A25,INDEX(Monthly!$B$2:$B$61,$A25)*INDEX('Age profile'!$B$2:$B$61,L$1-$A25+1),"")</f>
        <v/>
      </c>
      <c r="M25" s="53">
        <f>IF(M$1&gt;=$A25,INDEX(Monthly!$B$2:$B$61,$A25)*INDEX('Age profile'!$B$2:$B$61,M$1-$A25+1),"")</f>
        <v/>
      </c>
      <c r="N25" s="53">
        <f>IF(N$1&gt;=$A25,INDEX(Monthly!$B$2:$B$61,$A25)*INDEX('Age profile'!$B$2:$B$61,N$1-$A25+1),"")</f>
        <v/>
      </c>
      <c r="O25" s="53">
        <f>IF(O$1&gt;=$A25,INDEX(Monthly!$B$2:$B$61,$A25)*INDEX('Age profile'!$B$2:$B$61,O$1-$A25+1),"")</f>
        <v/>
      </c>
      <c r="P25" s="53">
        <f>IF(P$1&gt;=$A25,INDEX(Monthly!$B$2:$B$61,$A25)*INDEX('Age profile'!$B$2:$B$61,P$1-$A25+1),"")</f>
        <v/>
      </c>
      <c r="Q25" s="53">
        <f>IF(Q$1&gt;=$A25,INDEX(Monthly!$B$2:$B$61,$A25)*INDEX('Age profile'!$B$2:$B$61,Q$1-$A25+1),"")</f>
        <v/>
      </c>
      <c r="R25" s="53">
        <f>IF(R$1&gt;=$A25,INDEX(Monthly!$B$2:$B$61,$A25)*INDEX('Age profile'!$B$2:$B$61,R$1-$A25+1),"")</f>
        <v/>
      </c>
      <c r="S25" s="53">
        <f>IF(S$1&gt;=$A25,INDEX(Monthly!$B$2:$B$61,$A25)*INDEX('Age profile'!$B$2:$B$61,S$1-$A25+1),"")</f>
        <v/>
      </c>
      <c r="T25" s="53">
        <f>IF(T$1&gt;=$A25,INDEX(Monthly!$B$2:$B$61,$A25)*INDEX('Age profile'!$B$2:$B$61,T$1-$A25+1),"")</f>
        <v/>
      </c>
      <c r="U25" s="53">
        <f>IF(U$1&gt;=$A25,INDEX(Monthly!$B$2:$B$61,$A25)*INDEX('Age profile'!$B$2:$B$61,U$1-$A25+1),"")</f>
        <v/>
      </c>
      <c r="V25" s="53">
        <f>IF(V$1&gt;=$A25,INDEX(Monthly!$B$2:$B$61,$A25)*INDEX('Age profile'!$B$2:$B$61,V$1-$A25+1),"")</f>
        <v/>
      </c>
      <c r="W25" s="53">
        <f>IF(W$1&gt;=$A25,INDEX(Monthly!$B$2:$B$61,$A25)*INDEX('Age profile'!$B$2:$B$61,W$1-$A25+1),"")</f>
        <v/>
      </c>
      <c r="X25" s="53">
        <f>IF(X$1&gt;=$A25,INDEX(Monthly!$B$2:$B$61,$A25)*INDEX('Age profile'!$B$2:$B$61,X$1-$A25+1),"")</f>
        <v/>
      </c>
      <c r="Y25" s="53">
        <f>IF(Y$1&gt;=$A25,INDEX(Monthly!$B$2:$B$61,$A25)*INDEX('Age profile'!$B$2:$B$61,Y$1-$A25+1),"")</f>
        <v/>
      </c>
      <c r="Z25" s="53">
        <f>IF(Z$1&gt;=$A25,INDEX(Monthly!$B$2:$B$61,$A25)*INDEX('Age profile'!$B$2:$B$61,Z$1-$A25+1),"")</f>
        <v/>
      </c>
      <c r="AA25" s="53">
        <f>IF(AA$1&gt;=$A25,INDEX(Monthly!$B$2:$B$61,$A25)*INDEX('Age profile'!$B$2:$B$61,AA$1-$A25+1),"")</f>
        <v/>
      </c>
      <c r="AB25" s="53">
        <f>IF(AB$1&gt;=$A25,INDEX(Monthly!$B$2:$B$61,$A25)*INDEX('Age profile'!$B$2:$B$61,AB$1-$A25+1),"")</f>
        <v/>
      </c>
      <c r="AC25" s="53">
        <f>IF(AC$1&gt;=$A25,INDEX(Monthly!$B$2:$B$61,$A25)*INDEX('Age profile'!$B$2:$B$61,AC$1-$A25+1),"")</f>
        <v/>
      </c>
      <c r="AD25" s="53">
        <f>IF(AD$1&gt;=$A25,INDEX(Monthly!$B$2:$B$61,$A25)*INDEX('Age profile'!$B$2:$B$61,AD$1-$A25+1),"")</f>
        <v/>
      </c>
      <c r="AE25" s="53">
        <f>IF(AE$1&gt;=$A25,INDEX(Monthly!$B$2:$B$61,$A25)*INDEX('Age profile'!$B$2:$B$61,AE$1-$A25+1),"")</f>
        <v/>
      </c>
      <c r="AF25" s="53">
        <f>IF(AF$1&gt;=$A25,INDEX(Monthly!$B$2:$B$61,$A25)*INDEX('Age profile'!$B$2:$B$61,AF$1-$A25+1),"")</f>
        <v/>
      </c>
      <c r="AG25" s="53">
        <f>IF(AG$1&gt;=$A25,INDEX(Monthly!$B$2:$B$61,$A25)*INDEX('Age profile'!$B$2:$B$61,AG$1-$A25+1),"")</f>
        <v/>
      </c>
      <c r="AH25" s="53">
        <f>IF(AH$1&gt;=$A25,INDEX(Monthly!$B$2:$B$61,$A25)*INDEX('Age profile'!$B$2:$B$61,AH$1-$A25+1),"")</f>
        <v/>
      </c>
      <c r="AI25" s="53">
        <f>IF(AI$1&gt;=$A25,INDEX(Monthly!$B$2:$B$61,$A25)*INDEX('Age profile'!$B$2:$B$61,AI$1-$A25+1),"")</f>
        <v/>
      </c>
      <c r="AJ25" s="53">
        <f>IF(AJ$1&gt;=$A25,INDEX(Monthly!$B$2:$B$61,$A25)*INDEX('Age profile'!$B$2:$B$61,AJ$1-$A25+1),"")</f>
        <v/>
      </c>
      <c r="AK25" s="53">
        <f>IF(AK$1&gt;=$A25,INDEX(Monthly!$B$2:$B$61,$A25)*INDEX('Age profile'!$B$2:$B$61,AK$1-$A25+1),"")</f>
        <v/>
      </c>
      <c r="AL25" s="53">
        <f>IF(AL$1&gt;=$A25,INDEX(Monthly!$B$2:$B$61,$A25)*INDEX('Age profile'!$B$2:$B$61,AL$1-$A25+1),"")</f>
        <v/>
      </c>
      <c r="AM25" s="53">
        <f>IF(AM$1&gt;=$A25,INDEX(Monthly!$B$2:$B$61,$A25)*INDEX('Age profile'!$B$2:$B$61,AM$1-$A25+1),"")</f>
        <v/>
      </c>
      <c r="AN25" s="53">
        <f>IF(AN$1&gt;=$A25,INDEX(Monthly!$B$2:$B$61,$A25)*INDEX('Age profile'!$B$2:$B$61,AN$1-$A25+1),"")</f>
        <v/>
      </c>
      <c r="AO25" s="53">
        <f>IF(AO$1&gt;=$A25,INDEX(Monthly!$B$2:$B$61,$A25)*INDEX('Age profile'!$B$2:$B$61,AO$1-$A25+1),"")</f>
        <v/>
      </c>
      <c r="AP25" s="53">
        <f>IF(AP$1&gt;=$A25,INDEX(Monthly!$B$2:$B$61,$A25)*INDEX('Age profile'!$B$2:$B$61,AP$1-$A25+1),"")</f>
        <v/>
      </c>
      <c r="AQ25" s="53">
        <f>IF(AQ$1&gt;=$A25,INDEX(Monthly!$B$2:$B$61,$A25)*INDEX('Age profile'!$B$2:$B$61,AQ$1-$A25+1),"")</f>
        <v/>
      </c>
      <c r="AR25" s="53">
        <f>IF(AR$1&gt;=$A25,INDEX(Monthly!$B$2:$B$61,$A25)*INDEX('Age profile'!$B$2:$B$61,AR$1-$A25+1),"")</f>
        <v/>
      </c>
      <c r="AS25" s="53">
        <f>IF(AS$1&gt;=$A25,INDEX(Monthly!$B$2:$B$61,$A25)*INDEX('Age profile'!$B$2:$B$61,AS$1-$A25+1),"")</f>
        <v/>
      </c>
      <c r="AT25" s="53">
        <f>IF(AT$1&gt;=$A25,INDEX(Monthly!$B$2:$B$61,$A25)*INDEX('Age profile'!$B$2:$B$61,AT$1-$A25+1),"")</f>
        <v/>
      </c>
      <c r="AU25" s="53">
        <f>IF(AU$1&gt;=$A25,INDEX(Monthly!$B$2:$B$61,$A25)*INDEX('Age profile'!$B$2:$B$61,AU$1-$A25+1),"")</f>
        <v/>
      </c>
      <c r="AV25" s="53">
        <f>IF(AV$1&gt;=$A25,INDEX(Monthly!$B$2:$B$61,$A25)*INDEX('Age profile'!$B$2:$B$61,AV$1-$A25+1),"")</f>
        <v/>
      </c>
      <c r="AW25" s="53">
        <f>IF(AW$1&gt;=$A25,INDEX(Monthly!$B$2:$B$61,$A25)*INDEX('Age profile'!$B$2:$B$61,AW$1-$A25+1),"")</f>
        <v/>
      </c>
      <c r="AX25" s="53">
        <f>IF(AX$1&gt;=$A25,INDEX(Monthly!$B$2:$B$61,$A25)*INDEX('Age profile'!$B$2:$B$61,AX$1-$A25+1),"")</f>
        <v/>
      </c>
      <c r="AY25" s="53">
        <f>IF(AY$1&gt;=$A25,INDEX(Monthly!$B$2:$B$61,$A25)*INDEX('Age profile'!$B$2:$B$61,AY$1-$A25+1),"")</f>
        <v/>
      </c>
      <c r="AZ25" s="53">
        <f>IF(AZ$1&gt;=$A25,INDEX(Monthly!$B$2:$B$61,$A25)*INDEX('Age profile'!$B$2:$B$61,AZ$1-$A25+1),"")</f>
        <v/>
      </c>
      <c r="BA25" s="53">
        <f>IF(BA$1&gt;=$A25,INDEX(Monthly!$B$2:$B$61,$A25)*INDEX('Age profile'!$B$2:$B$61,BA$1-$A25+1),"")</f>
        <v/>
      </c>
      <c r="BB25" s="53">
        <f>IF(BB$1&gt;=$A25,INDEX(Monthly!$B$2:$B$61,$A25)*INDEX('Age profile'!$B$2:$B$61,BB$1-$A25+1),"")</f>
        <v/>
      </c>
      <c r="BC25" s="53">
        <f>IF(BC$1&gt;=$A25,INDEX(Monthly!$B$2:$B$61,$A25)*INDEX('Age profile'!$B$2:$B$61,BC$1-$A25+1),"")</f>
        <v/>
      </c>
      <c r="BD25" s="53">
        <f>IF(BD$1&gt;=$A25,INDEX(Monthly!$B$2:$B$61,$A25)*INDEX('Age profile'!$B$2:$B$61,BD$1-$A25+1),"")</f>
        <v/>
      </c>
      <c r="BE25" s="53">
        <f>IF(BE$1&gt;=$A25,INDEX(Monthly!$B$2:$B$61,$A25)*INDEX('Age profile'!$B$2:$B$61,BE$1-$A25+1),"")</f>
        <v/>
      </c>
      <c r="BF25" s="53">
        <f>IF(BF$1&gt;=$A25,INDEX(Monthly!$B$2:$B$61,$A25)*INDEX('Age profile'!$B$2:$B$61,BF$1-$A25+1),"")</f>
        <v/>
      </c>
      <c r="BG25" s="53">
        <f>IF(BG$1&gt;=$A25,INDEX(Monthly!$B$2:$B$61,$A25)*INDEX('Age profile'!$B$2:$B$61,BG$1-$A25+1),"")</f>
        <v/>
      </c>
      <c r="BH25" s="53">
        <f>IF(BH$1&gt;=$A25,INDEX(Monthly!$B$2:$B$61,$A25)*INDEX('Age profile'!$B$2:$B$61,BH$1-$A25+1),"")</f>
        <v/>
      </c>
      <c r="BI25" s="53">
        <f>IF(BI$1&gt;=$A25,INDEX(Monthly!$B$2:$B$61,$A25)*INDEX('Age profile'!$B$2:$B$61,BI$1-$A25+1),"")</f>
        <v/>
      </c>
    </row>
    <row r="26">
      <c r="A26" s="3" t="n">
        <v>25</v>
      </c>
      <c r="B26" s="53">
        <f>IF(B$1&gt;=$A26,INDEX(Monthly!$B$2:$B$61,$A26)*INDEX('Age profile'!$B$2:$B$61,B$1-$A26+1),"")</f>
        <v/>
      </c>
      <c r="C26" s="53">
        <f>IF(C$1&gt;=$A26,INDEX(Monthly!$B$2:$B$61,$A26)*INDEX('Age profile'!$B$2:$B$61,C$1-$A26+1),"")</f>
        <v/>
      </c>
      <c r="D26" s="53">
        <f>IF(D$1&gt;=$A26,INDEX(Monthly!$B$2:$B$61,$A26)*INDEX('Age profile'!$B$2:$B$61,D$1-$A26+1),"")</f>
        <v/>
      </c>
      <c r="E26" s="53">
        <f>IF(E$1&gt;=$A26,INDEX(Monthly!$B$2:$B$61,$A26)*INDEX('Age profile'!$B$2:$B$61,E$1-$A26+1),"")</f>
        <v/>
      </c>
      <c r="F26" s="53">
        <f>IF(F$1&gt;=$A26,INDEX(Monthly!$B$2:$B$61,$A26)*INDEX('Age profile'!$B$2:$B$61,F$1-$A26+1),"")</f>
        <v/>
      </c>
      <c r="G26" s="53">
        <f>IF(G$1&gt;=$A26,INDEX(Monthly!$B$2:$B$61,$A26)*INDEX('Age profile'!$B$2:$B$61,G$1-$A26+1),"")</f>
        <v/>
      </c>
      <c r="H26" s="53">
        <f>IF(H$1&gt;=$A26,INDEX(Monthly!$B$2:$B$61,$A26)*INDEX('Age profile'!$B$2:$B$61,H$1-$A26+1),"")</f>
        <v/>
      </c>
      <c r="I26" s="53">
        <f>IF(I$1&gt;=$A26,INDEX(Monthly!$B$2:$B$61,$A26)*INDEX('Age profile'!$B$2:$B$61,I$1-$A26+1),"")</f>
        <v/>
      </c>
      <c r="J26" s="53">
        <f>IF(J$1&gt;=$A26,INDEX(Monthly!$B$2:$B$61,$A26)*INDEX('Age profile'!$B$2:$B$61,J$1-$A26+1),"")</f>
        <v/>
      </c>
      <c r="K26" s="53">
        <f>IF(K$1&gt;=$A26,INDEX(Monthly!$B$2:$B$61,$A26)*INDEX('Age profile'!$B$2:$B$61,K$1-$A26+1),"")</f>
        <v/>
      </c>
      <c r="L26" s="53">
        <f>IF(L$1&gt;=$A26,INDEX(Monthly!$B$2:$B$61,$A26)*INDEX('Age profile'!$B$2:$B$61,L$1-$A26+1),"")</f>
        <v/>
      </c>
      <c r="M26" s="53">
        <f>IF(M$1&gt;=$A26,INDEX(Monthly!$B$2:$B$61,$A26)*INDEX('Age profile'!$B$2:$B$61,M$1-$A26+1),"")</f>
        <v/>
      </c>
      <c r="N26" s="53">
        <f>IF(N$1&gt;=$A26,INDEX(Monthly!$B$2:$B$61,$A26)*INDEX('Age profile'!$B$2:$B$61,N$1-$A26+1),"")</f>
        <v/>
      </c>
      <c r="O26" s="53">
        <f>IF(O$1&gt;=$A26,INDEX(Monthly!$B$2:$B$61,$A26)*INDEX('Age profile'!$B$2:$B$61,O$1-$A26+1),"")</f>
        <v/>
      </c>
      <c r="P26" s="53">
        <f>IF(P$1&gt;=$A26,INDEX(Monthly!$B$2:$B$61,$A26)*INDEX('Age profile'!$B$2:$B$61,P$1-$A26+1),"")</f>
        <v/>
      </c>
      <c r="Q26" s="53">
        <f>IF(Q$1&gt;=$A26,INDEX(Monthly!$B$2:$B$61,$A26)*INDEX('Age profile'!$B$2:$B$61,Q$1-$A26+1),"")</f>
        <v/>
      </c>
      <c r="R26" s="53">
        <f>IF(R$1&gt;=$A26,INDEX(Monthly!$B$2:$B$61,$A26)*INDEX('Age profile'!$B$2:$B$61,R$1-$A26+1),"")</f>
        <v/>
      </c>
      <c r="S26" s="53">
        <f>IF(S$1&gt;=$A26,INDEX(Monthly!$B$2:$B$61,$A26)*INDEX('Age profile'!$B$2:$B$61,S$1-$A26+1),"")</f>
        <v/>
      </c>
      <c r="T26" s="53">
        <f>IF(T$1&gt;=$A26,INDEX(Monthly!$B$2:$B$61,$A26)*INDEX('Age profile'!$B$2:$B$61,T$1-$A26+1),"")</f>
        <v/>
      </c>
      <c r="U26" s="53">
        <f>IF(U$1&gt;=$A26,INDEX(Monthly!$B$2:$B$61,$A26)*INDEX('Age profile'!$B$2:$B$61,U$1-$A26+1),"")</f>
        <v/>
      </c>
      <c r="V26" s="53">
        <f>IF(V$1&gt;=$A26,INDEX(Monthly!$B$2:$B$61,$A26)*INDEX('Age profile'!$B$2:$B$61,V$1-$A26+1),"")</f>
        <v/>
      </c>
      <c r="W26" s="53">
        <f>IF(W$1&gt;=$A26,INDEX(Monthly!$B$2:$B$61,$A26)*INDEX('Age profile'!$B$2:$B$61,W$1-$A26+1),"")</f>
        <v/>
      </c>
      <c r="X26" s="53">
        <f>IF(X$1&gt;=$A26,INDEX(Monthly!$B$2:$B$61,$A26)*INDEX('Age profile'!$B$2:$B$61,X$1-$A26+1),"")</f>
        <v/>
      </c>
      <c r="Y26" s="53">
        <f>IF(Y$1&gt;=$A26,INDEX(Monthly!$B$2:$B$61,$A26)*INDEX('Age profile'!$B$2:$B$61,Y$1-$A26+1),"")</f>
        <v/>
      </c>
      <c r="Z26" s="53">
        <f>IF(Z$1&gt;=$A26,INDEX(Monthly!$B$2:$B$61,$A26)*INDEX('Age profile'!$B$2:$B$61,Z$1-$A26+1),"")</f>
        <v/>
      </c>
      <c r="AA26" s="53">
        <f>IF(AA$1&gt;=$A26,INDEX(Monthly!$B$2:$B$61,$A26)*INDEX('Age profile'!$B$2:$B$61,AA$1-$A26+1),"")</f>
        <v/>
      </c>
      <c r="AB26" s="53">
        <f>IF(AB$1&gt;=$A26,INDEX(Monthly!$B$2:$B$61,$A26)*INDEX('Age profile'!$B$2:$B$61,AB$1-$A26+1),"")</f>
        <v/>
      </c>
      <c r="AC26" s="53">
        <f>IF(AC$1&gt;=$A26,INDEX(Monthly!$B$2:$B$61,$A26)*INDEX('Age profile'!$B$2:$B$61,AC$1-$A26+1),"")</f>
        <v/>
      </c>
      <c r="AD26" s="53">
        <f>IF(AD$1&gt;=$A26,INDEX(Monthly!$B$2:$B$61,$A26)*INDEX('Age profile'!$B$2:$B$61,AD$1-$A26+1),"")</f>
        <v/>
      </c>
      <c r="AE26" s="53">
        <f>IF(AE$1&gt;=$A26,INDEX(Monthly!$B$2:$B$61,$A26)*INDEX('Age profile'!$B$2:$B$61,AE$1-$A26+1),"")</f>
        <v/>
      </c>
      <c r="AF26" s="53">
        <f>IF(AF$1&gt;=$A26,INDEX(Monthly!$B$2:$B$61,$A26)*INDEX('Age profile'!$B$2:$B$61,AF$1-$A26+1),"")</f>
        <v/>
      </c>
      <c r="AG26" s="53">
        <f>IF(AG$1&gt;=$A26,INDEX(Monthly!$B$2:$B$61,$A26)*INDEX('Age profile'!$B$2:$B$61,AG$1-$A26+1),"")</f>
        <v/>
      </c>
      <c r="AH26" s="53">
        <f>IF(AH$1&gt;=$A26,INDEX(Monthly!$B$2:$B$61,$A26)*INDEX('Age profile'!$B$2:$B$61,AH$1-$A26+1),"")</f>
        <v/>
      </c>
      <c r="AI26" s="53">
        <f>IF(AI$1&gt;=$A26,INDEX(Monthly!$B$2:$B$61,$A26)*INDEX('Age profile'!$B$2:$B$61,AI$1-$A26+1),"")</f>
        <v/>
      </c>
      <c r="AJ26" s="53">
        <f>IF(AJ$1&gt;=$A26,INDEX(Monthly!$B$2:$B$61,$A26)*INDEX('Age profile'!$B$2:$B$61,AJ$1-$A26+1),"")</f>
        <v/>
      </c>
      <c r="AK26" s="53">
        <f>IF(AK$1&gt;=$A26,INDEX(Monthly!$B$2:$B$61,$A26)*INDEX('Age profile'!$B$2:$B$61,AK$1-$A26+1),"")</f>
        <v/>
      </c>
      <c r="AL26" s="53">
        <f>IF(AL$1&gt;=$A26,INDEX(Monthly!$B$2:$B$61,$A26)*INDEX('Age profile'!$B$2:$B$61,AL$1-$A26+1),"")</f>
        <v/>
      </c>
      <c r="AM26" s="53">
        <f>IF(AM$1&gt;=$A26,INDEX(Monthly!$B$2:$B$61,$A26)*INDEX('Age profile'!$B$2:$B$61,AM$1-$A26+1),"")</f>
        <v/>
      </c>
      <c r="AN26" s="53">
        <f>IF(AN$1&gt;=$A26,INDEX(Monthly!$B$2:$B$61,$A26)*INDEX('Age profile'!$B$2:$B$61,AN$1-$A26+1),"")</f>
        <v/>
      </c>
      <c r="AO26" s="53">
        <f>IF(AO$1&gt;=$A26,INDEX(Monthly!$B$2:$B$61,$A26)*INDEX('Age profile'!$B$2:$B$61,AO$1-$A26+1),"")</f>
        <v/>
      </c>
      <c r="AP26" s="53">
        <f>IF(AP$1&gt;=$A26,INDEX(Monthly!$B$2:$B$61,$A26)*INDEX('Age profile'!$B$2:$B$61,AP$1-$A26+1),"")</f>
        <v/>
      </c>
      <c r="AQ26" s="53">
        <f>IF(AQ$1&gt;=$A26,INDEX(Monthly!$B$2:$B$61,$A26)*INDEX('Age profile'!$B$2:$B$61,AQ$1-$A26+1),"")</f>
        <v/>
      </c>
      <c r="AR26" s="53">
        <f>IF(AR$1&gt;=$A26,INDEX(Monthly!$B$2:$B$61,$A26)*INDEX('Age profile'!$B$2:$B$61,AR$1-$A26+1),"")</f>
        <v/>
      </c>
      <c r="AS26" s="53">
        <f>IF(AS$1&gt;=$A26,INDEX(Monthly!$B$2:$B$61,$A26)*INDEX('Age profile'!$B$2:$B$61,AS$1-$A26+1),"")</f>
        <v/>
      </c>
      <c r="AT26" s="53">
        <f>IF(AT$1&gt;=$A26,INDEX(Monthly!$B$2:$B$61,$A26)*INDEX('Age profile'!$B$2:$B$61,AT$1-$A26+1),"")</f>
        <v/>
      </c>
      <c r="AU26" s="53">
        <f>IF(AU$1&gt;=$A26,INDEX(Monthly!$B$2:$B$61,$A26)*INDEX('Age profile'!$B$2:$B$61,AU$1-$A26+1),"")</f>
        <v/>
      </c>
      <c r="AV26" s="53">
        <f>IF(AV$1&gt;=$A26,INDEX(Monthly!$B$2:$B$61,$A26)*INDEX('Age profile'!$B$2:$B$61,AV$1-$A26+1),"")</f>
        <v/>
      </c>
      <c r="AW26" s="53">
        <f>IF(AW$1&gt;=$A26,INDEX(Monthly!$B$2:$B$61,$A26)*INDEX('Age profile'!$B$2:$B$61,AW$1-$A26+1),"")</f>
        <v/>
      </c>
      <c r="AX26" s="53">
        <f>IF(AX$1&gt;=$A26,INDEX(Monthly!$B$2:$B$61,$A26)*INDEX('Age profile'!$B$2:$B$61,AX$1-$A26+1),"")</f>
        <v/>
      </c>
      <c r="AY26" s="53">
        <f>IF(AY$1&gt;=$A26,INDEX(Monthly!$B$2:$B$61,$A26)*INDEX('Age profile'!$B$2:$B$61,AY$1-$A26+1),"")</f>
        <v/>
      </c>
      <c r="AZ26" s="53">
        <f>IF(AZ$1&gt;=$A26,INDEX(Monthly!$B$2:$B$61,$A26)*INDEX('Age profile'!$B$2:$B$61,AZ$1-$A26+1),"")</f>
        <v/>
      </c>
      <c r="BA26" s="53">
        <f>IF(BA$1&gt;=$A26,INDEX(Monthly!$B$2:$B$61,$A26)*INDEX('Age profile'!$B$2:$B$61,BA$1-$A26+1),"")</f>
        <v/>
      </c>
      <c r="BB26" s="53">
        <f>IF(BB$1&gt;=$A26,INDEX(Monthly!$B$2:$B$61,$A26)*INDEX('Age profile'!$B$2:$B$61,BB$1-$A26+1),"")</f>
        <v/>
      </c>
      <c r="BC26" s="53">
        <f>IF(BC$1&gt;=$A26,INDEX(Monthly!$B$2:$B$61,$A26)*INDEX('Age profile'!$B$2:$B$61,BC$1-$A26+1),"")</f>
        <v/>
      </c>
      <c r="BD26" s="53">
        <f>IF(BD$1&gt;=$A26,INDEX(Monthly!$B$2:$B$61,$A26)*INDEX('Age profile'!$B$2:$B$61,BD$1-$A26+1),"")</f>
        <v/>
      </c>
      <c r="BE26" s="53">
        <f>IF(BE$1&gt;=$A26,INDEX(Monthly!$B$2:$B$61,$A26)*INDEX('Age profile'!$B$2:$B$61,BE$1-$A26+1),"")</f>
        <v/>
      </c>
      <c r="BF26" s="53">
        <f>IF(BF$1&gt;=$A26,INDEX(Monthly!$B$2:$B$61,$A26)*INDEX('Age profile'!$B$2:$B$61,BF$1-$A26+1),"")</f>
        <v/>
      </c>
      <c r="BG26" s="53">
        <f>IF(BG$1&gt;=$A26,INDEX(Monthly!$B$2:$B$61,$A26)*INDEX('Age profile'!$B$2:$B$61,BG$1-$A26+1),"")</f>
        <v/>
      </c>
      <c r="BH26" s="53">
        <f>IF(BH$1&gt;=$A26,INDEX(Monthly!$B$2:$B$61,$A26)*INDEX('Age profile'!$B$2:$B$61,BH$1-$A26+1),"")</f>
        <v/>
      </c>
      <c r="BI26" s="53">
        <f>IF(BI$1&gt;=$A26,INDEX(Monthly!$B$2:$B$61,$A26)*INDEX('Age profile'!$B$2:$B$61,BI$1-$A26+1),"")</f>
        <v/>
      </c>
    </row>
    <row r="27">
      <c r="A27" s="3" t="n">
        <v>26</v>
      </c>
      <c r="B27" s="53">
        <f>IF(B$1&gt;=$A27,INDEX(Monthly!$B$2:$B$61,$A27)*INDEX('Age profile'!$B$2:$B$61,B$1-$A27+1),"")</f>
        <v/>
      </c>
      <c r="C27" s="53">
        <f>IF(C$1&gt;=$A27,INDEX(Monthly!$B$2:$B$61,$A27)*INDEX('Age profile'!$B$2:$B$61,C$1-$A27+1),"")</f>
        <v/>
      </c>
      <c r="D27" s="53">
        <f>IF(D$1&gt;=$A27,INDEX(Monthly!$B$2:$B$61,$A27)*INDEX('Age profile'!$B$2:$B$61,D$1-$A27+1),"")</f>
        <v/>
      </c>
      <c r="E27" s="53">
        <f>IF(E$1&gt;=$A27,INDEX(Monthly!$B$2:$B$61,$A27)*INDEX('Age profile'!$B$2:$B$61,E$1-$A27+1),"")</f>
        <v/>
      </c>
      <c r="F27" s="53">
        <f>IF(F$1&gt;=$A27,INDEX(Monthly!$B$2:$B$61,$A27)*INDEX('Age profile'!$B$2:$B$61,F$1-$A27+1),"")</f>
        <v/>
      </c>
      <c r="G27" s="53">
        <f>IF(G$1&gt;=$A27,INDEX(Monthly!$B$2:$B$61,$A27)*INDEX('Age profile'!$B$2:$B$61,G$1-$A27+1),"")</f>
        <v/>
      </c>
      <c r="H27" s="53">
        <f>IF(H$1&gt;=$A27,INDEX(Monthly!$B$2:$B$61,$A27)*INDEX('Age profile'!$B$2:$B$61,H$1-$A27+1),"")</f>
        <v/>
      </c>
      <c r="I27" s="53">
        <f>IF(I$1&gt;=$A27,INDEX(Monthly!$B$2:$B$61,$A27)*INDEX('Age profile'!$B$2:$B$61,I$1-$A27+1),"")</f>
        <v/>
      </c>
      <c r="J27" s="53">
        <f>IF(J$1&gt;=$A27,INDEX(Monthly!$B$2:$B$61,$A27)*INDEX('Age profile'!$B$2:$B$61,J$1-$A27+1),"")</f>
        <v/>
      </c>
      <c r="K27" s="53">
        <f>IF(K$1&gt;=$A27,INDEX(Monthly!$B$2:$B$61,$A27)*INDEX('Age profile'!$B$2:$B$61,K$1-$A27+1),"")</f>
        <v/>
      </c>
      <c r="L27" s="53">
        <f>IF(L$1&gt;=$A27,INDEX(Monthly!$B$2:$B$61,$A27)*INDEX('Age profile'!$B$2:$B$61,L$1-$A27+1),"")</f>
        <v/>
      </c>
      <c r="M27" s="53">
        <f>IF(M$1&gt;=$A27,INDEX(Monthly!$B$2:$B$61,$A27)*INDEX('Age profile'!$B$2:$B$61,M$1-$A27+1),"")</f>
        <v/>
      </c>
      <c r="N27" s="53">
        <f>IF(N$1&gt;=$A27,INDEX(Monthly!$B$2:$B$61,$A27)*INDEX('Age profile'!$B$2:$B$61,N$1-$A27+1),"")</f>
        <v/>
      </c>
      <c r="O27" s="53">
        <f>IF(O$1&gt;=$A27,INDEX(Monthly!$B$2:$B$61,$A27)*INDEX('Age profile'!$B$2:$B$61,O$1-$A27+1),"")</f>
        <v/>
      </c>
      <c r="P27" s="53">
        <f>IF(P$1&gt;=$A27,INDEX(Monthly!$B$2:$B$61,$A27)*INDEX('Age profile'!$B$2:$B$61,P$1-$A27+1),"")</f>
        <v/>
      </c>
      <c r="Q27" s="53">
        <f>IF(Q$1&gt;=$A27,INDEX(Monthly!$B$2:$B$61,$A27)*INDEX('Age profile'!$B$2:$B$61,Q$1-$A27+1),"")</f>
        <v/>
      </c>
      <c r="R27" s="53">
        <f>IF(R$1&gt;=$A27,INDEX(Monthly!$B$2:$B$61,$A27)*INDEX('Age profile'!$B$2:$B$61,R$1-$A27+1),"")</f>
        <v/>
      </c>
      <c r="S27" s="53">
        <f>IF(S$1&gt;=$A27,INDEX(Monthly!$B$2:$B$61,$A27)*INDEX('Age profile'!$B$2:$B$61,S$1-$A27+1),"")</f>
        <v/>
      </c>
      <c r="T27" s="53">
        <f>IF(T$1&gt;=$A27,INDEX(Monthly!$B$2:$B$61,$A27)*INDEX('Age profile'!$B$2:$B$61,T$1-$A27+1),"")</f>
        <v/>
      </c>
      <c r="U27" s="53">
        <f>IF(U$1&gt;=$A27,INDEX(Monthly!$B$2:$B$61,$A27)*INDEX('Age profile'!$B$2:$B$61,U$1-$A27+1),"")</f>
        <v/>
      </c>
      <c r="V27" s="53">
        <f>IF(V$1&gt;=$A27,INDEX(Monthly!$B$2:$B$61,$A27)*INDEX('Age profile'!$B$2:$B$61,V$1-$A27+1),"")</f>
        <v/>
      </c>
      <c r="W27" s="53">
        <f>IF(W$1&gt;=$A27,INDEX(Monthly!$B$2:$B$61,$A27)*INDEX('Age profile'!$B$2:$B$61,W$1-$A27+1),"")</f>
        <v/>
      </c>
      <c r="X27" s="53">
        <f>IF(X$1&gt;=$A27,INDEX(Monthly!$B$2:$B$61,$A27)*INDEX('Age profile'!$B$2:$B$61,X$1-$A27+1),"")</f>
        <v/>
      </c>
      <c r="Y27" s="53">
        <f>IF(Y$1&gt;=$A27,INDEX(Monthly!$B$2:$B$61,$A27)*INDEX('Age profile'!$B$2:$B$61,Y$1-$A27+1),"")</f>
        <v/>
      </c>
      <c r="Z27" s="53">
        <f>IF(Z$1&gt;=$A27,INDEX(Monthly!$B$2:$B$61,$A27)*INDEX('Age profile'!$B$2:$B$61,Z$1-$A27+1),"")</f>
        <v/>
      </c>
      <c r="AA27" s="53">
        <f>IF(AA$1&gt;=$A27,INDEX(Monthly!$B$2:$B$61,$A27)*INDEX('Age profile'!$B$2:$B$61,AA$1-$A27+1),"")</f>
        <v/>
      </c>
      <c r="AB27" s="53">
        <f>IF(AB$1&gt;=$A27,INDEX(Monthly!$B$2:$B$61,$A27)*INDEX('Age profile'!$B$2:$B$61,AB$1-$A27+1),"")</f>
        <v/>
      </c>
      <c r="AC27" s="53">
        <f>IF(AC$1&gt;=$A27,INDEX(Monthly!$B$2:$B$61,$A27)*INDEX('Age profile'!$B$2:$B$61,AC$1-$A27+1),"")</f>
        <v/>
      </c>
      <c r="AD27" s="53">
        <f>IF(AD$1&gt;=$A27,INDEX(Monthly!$B$2:$B$61,$A27)*INDEX('Age profile'!$B$2:$B$61,AD$1-$A27+1),"")</f>
        <v/>
      </c>
      <c r="AE27" s="53">
        <f>IF(AE$1&gt;=$A27,INDEX(Monthly!$B$2:$B$61,$A27)*INDEX('Age profile'!$B$2:$B$61,AE$1-$A27+1),"")</f>
        <v/>
      </c>
      <c r="AF27" s="53">
        <f>IF(AF$1&gt;=$A27,INDEX(Monthly!$B$2:$B$61,$A27)*INDEX('Age profile'!$B$2:$B$61,AF$1-$A27+1),"")</f>
        <v/>
      </c>
      <c r="AG27" s="53">
        <f>IF(AG$1&gt;=$A27,INDEX(Monthly!$B$2:$B$61,$A27)*INDEX('Age profile'!$B$2:$B$61,AG$1-$A27+1),"")</f>
        <v/>
      </c>
      <c r="AH27" s="53">
        <f>IF(AH$1&gt;=$A27,INDEX(Monthly!$B$2:$B$61,$A27)*INDEX('Age profile'!$B$2:$B$61,AH$1-$A27+1),"")</f>
        <v/>
      </c>
      <c r="AI27" s="53">
        <f>IF(AI$1&gt;=$A27,INDEX(Monthly!$B$2:$B$61,$A27)*INDEX('Age profile'!$B$2:$B$61,AI$1-$A27+1),"")</f>
        <v/>
      </c>
      <c r="AJ27" s="53">
        <f>IF(AJ$1&gt;=$A27,INDEX(Monthly!$B$2:$B$61,$A27)*INDEX('Age profile'!$B$2:$B$61,AJ$1-$A27+1),"")</f>
        <v/>
      </c>
      <c r="AK27" s="53">
        <f>IF(AK$1&gt;=$A27,INDEX(Monthly!$B$2:$B$61,$A27)*INDEX('Age profile'!$B$2:$B$61,AK$1-$A27+1),"")</f>
        <v/>
      </c>
      <c r="AL27" s="53">
        <f>IF(AL$1&gt;=$A27,INDEX(Monthly!$B$2:$B$61,$A27)*INDEX('Age profile'!$B$2:$B$61,AL$1-$A27+1),"")</f>
        <v/>
      </c>
      <c r="AM27" s="53">
        <f>IF(AM$1&gt;=$A27,INDEX(Monthly!$B$2:$B$61,$A27)*INDEX('Age profile'!$B$2:$B$61,AM$1-$A27+1),"")</f>
        <v/>
      </c>
      <c r="AN27" s="53">
        <f>IF(AN$1&gt;=$A27,INDEX(Monthly!$B$2:$B$61,$A27)*INDEX('Age profile'!$B$2:$B$61,AN$1-$A27+1),"")</f>
        <v/>
      </c>
      <c r="AO27" s="53">
        <f>IF(AO$1&gt;=$A27,INDEX(Monthly!$B$2:$B$61,$A27)*INDEX('Age profile'!$B$2:$B$61,AO$1-$A27+1),"")</f>
        <v/>
      </c>
      <c r="AP27" s="53">
        <f>IF(AP$1&gt;=$A27,INDEX(Monthly!$B$2:$B$61,$A27)*INDEX('Age profile'!$B$2:$B$61,AP$1-$A27+1),"")</f>
        <v/>
      </c>
      <c r="AQ27" s="53">
        <f>IF(AQ$1&gt;=$A27,INDEX(Monthly!$B$2:$B$61,$A27)*INDEX('Age profile'!$B$2:$B$61,AQ$1-$A27+1),"")</f>
        <v/>
      </c>
      <c r="AR27" s="53">
        <f>IF(AR$1&gt;=$A27,INDEX(Monthly!$B$2:$B$61,$A27)*INDEX('Age profile'!$B$2:$B$61,AR$1-$A27+1),"")</f>
        <v/>
      </c>
      <c r="AS27" s="53">
        <f>IF(AS$1&gt;=$A27,INDEX(Monthly!$B$2:$B$61,$A27)*INDEX('Age profile'!$B$2:$B$61,AS$1-$A27+1),"")</f>
        <v/>
      </c>
      <c r="AT27" s="53">
        <f>IF(AT$1&gt;=$A27,INDEX(Monthly!$B$2:$B$61,$A27)*INDEX('Age profile'!$B$2:$B$61,AT$1-$A27+1),"")</f>
        <v/>
      </c>
      <c r="AU27" s="53">
        <f>IF(AU$1&gt;=$A27,INDEX(Monthly!$B$2:$B$61,$A27)*INDEX('Age profile'!$B$2:$B$61,AU$1-$A27+1),"")</f>
        <v/>
      </c>
      <c r="AV27" s="53">
        <f>IF(AV$1&gt;=$A27,INDEX(Monthly!$B$2:$B$61,$A27)*INDEX('Age profile'!$B$2:$B$61,AV$1-$A27+1),"")</f>
        <v/>
      </c>
      <c r="AW27" s="53">
        <f>IF(AW$1&gt;=$A27,INDEX(Monthly!$B$2:$B$61,$A27)*INDEX('Age profile'!$B$2:$B$61,AW$1-$A27+1),"")</f>
        <v/>
      </c>
      <c r="AX27" s="53">
        <f>IF(AX$1&gt;=$A27,INDEX(Monthly!$B$2:$B$61,$A27)*INDEX('Age profile'!$B$2:$B$61,AX$1-$A27+1),"")</f>
        <v/>
      </c>
      <c r="AY27" s="53">
        <f>IF(AY$1&gt;=$A27,INDEX(Monthly!$B$2:$B$61,$A27)*INDEX('Age profile'!$B$2:$B$61,AY$1-$A27+1),"")</f>
        <v/>
      </c>
      <c r="AZ27" s="53">
        <f>IF(AZ$1&gt;=$A27,INDEX(Monthly!$B$2:$B$61,$A27)*INDEX('Age profile'!$B$2:$B$61,AZ$1-$A27+1),"")</f>
        <v/>
      </c>
      <c r="BA27" s="53">
        <f>IF(BA$1&gt;=$A27,INDEX(Monthly!$B$2:$B$61,$A27)*INDEX('Age profile'!$B$2:$B$61,BA$1-$A27+1),"")</f>
        <v/>
      </c>
      <c r="BB27" s="53">
        <f>IF(BB$1&gt;=$A27,INDEX(Monthly!$B$2:$B$61,$A27)*INDEX('Age profile'!$B$2:$B$61,BB$1-$A27+1),"")</f>
        <v/>
      </c>
      <c r="BC27" s="53">
        <f>IF(BC$1&gt;=$A27,INDEX(Monthly!$B$2:$B$61,$A27)*INDEX('Age profile'!$B$2:$B$61,BC$1-$A27+1),"")</f>
        <v/>
      </c>
      <c r="BD27" s="53">
        <f>IF(BD$1&gt;=$A27,INDEX(Monthly!$B$2:$B$61,$A27)*INDEX('Age profile'!$B$2:$B$61,BD$1-$A27+1),"")</f>
        <v/>
      </c>
      <c r="BE27" s="53">
        <f>IF(BE$1&gt;=$A27,INDEX(Monthly!$B$2:$B$61,$A27)*INDEX('Age profile'!$B$2:$B$61,BE$1-$A27+1),"")</f>
        <v/>
      </c>
      <c r="BF27" s="53">
        <f>IF(BF$1&gt;=$A27,INDEX(Monthly!$B$2:$B$61,$A27)*INDEX('Age profile'!$B$2:$B$61,BF$1-$A27+1),"")</f>
        <v/>
      </c>
      <c r="BG27" s="53">
        <f>IF(BG$1&gt;=$A27,INDEX(Monthly!$B$2:$B$61,$A27)*INDEX('Age profile'!$B$2:$B$61,BG$1-$A27+1),"")</f>
        <v/>
      </c>
      <c r="BH27" s="53">
        <f>IF(BH$1&gt;=$A27,INDEX(Monthly!$B$2:$B$61,$A27)*INDEX('Age profile'!$B$2:$B$61,BH$1-$A27+1),"")</f>
        <v/>
      </c>
      <c r="BI27" s="53">
        <f>IF(BI$1&gt;=$A27,INDEX(Monthly!$B$2:$B$61,$A27)*INDEX('Age profile'!$B$2:$B$61,BI$1-$A27+1),"")</f>
        <v/>
      </c>
    </row>
    <row r="28">
      <c r="A28" s="3" t="n">
        <v>27</v>
      </c>
      <c r="B28" s="53">
        <f>IF(B$1&gt;=$A28,INDEX(Monthly!$B$2:$B$61,$A28)*INDEX('Age profile'!$B$2:$B$61,B$1-$A28+1),"")</f>
        <v/>
      </c>
      <c r="C28" s="53">
        <f>IF(C$1&gt;=$A28,INDEX(Monthly!$B$2:$B$61,$A28)*INDEX('Age profile'!$B$2:$B$61,C$1-$A28+1),"")</f>
        <v/>
      </c>
      <c r="D28" s="53">
        <f>IF(D$1&gt;=$A28,INDEX(Monthly!$B$2:$B$61,$A28)*INDEX('Age profile'!$B$2:$B$61,D$1-$A28+1),"")</f>
        <v/>
      </c>
      <c r="E28" s="53">
        <f>IF(E$1&gt;=$A28,INDEX(Monthly!$B$2:$B$61,$A28)*INDEX('Age profile'!$B$2:$B$61,E$1-$A28+1),"")</f>
        <v/>
      </c>
      <c r="F28" s="53">
        <f>IF(F$1&gt;=$A28,INDEX(Monthly!$B$2:$B$61,$A28)*INDEX('Age profile'!$B$2:$B$61,F$1-$A28+1),"")</f>
        <v/>
      </c>
      <c r="G28" s="53">
        <f>IF(G$1&gt;=$A28,INDEX(Monthly!$B$2:$B$61,$A28)*INDEX('Age profile'!$B$2:$B$61,G$1-$A28+1),"")</f>
        <v/>
      </c>
      <c r="H28" s="53">
        <f>IF(H$1&gt;=$A28,INDEX(Monthly!$B$2:$B$61,$A28)*INDEX('Age profile'!$B$2:$B$61,H$1-$A28+1),"")</f>
        <v/>
      </c>
      <c r="I28" s="53">
        <f>IF(I$1&gt;=$A28,INDEX(Monthly!$B$2:$B$61,$A28)*INDEX('Age profile'!$B$2:$B$61,I$1-$A28+1),"")</f>
        <v/>
      </c>
      <c r="J28" s="53">
        <f>IF(J$1&gt;=$A28,INDEX(Monthly!$B$2:$B$61,$A28)*INDEX('Age profile'!$B$2:$B$61,J$1-$A28+1),"")</f>
        <v/>
      </c>
      <c r="K28" s="53">
        <f>IF(K$1&gt;=$A28,INDEX(Monthly!$B$2:$B$61,$A28)*INDEX('Age profile'!$B$2:$B$61,K$1-$A28+1),"")</f>
        <v/>
      </c>
      <c r="L28" s="53">
        <f>IF(L$1&gt;=$A28,INDEX(Monthly!$B$2:$B$61,$A28)*INDEX('Age profile'!$B$2:$B$61,L$1-$A28+1),"")</f>
        <v/>
      </c>
      <c r="M28" s="53">
        <f>IF(M$1&gt;=$A28,INDEX(Monthly!$B$2:$B$61,$A28)*INDEX('Age profile'!$B$2:$B$61,M$1-$A28+1),"")</f>
        <v/>
      </c>
      <c r="N28" s="53">
        <f>IF(N$1&gt;=$A28,INDEX(Monthly!$B$2:$B$61,$A28)*INDEX('Age profile'!$B$2:$B$61,N$1-$A28+1),"")</f>
        <v/>
      </c>
      <c r="O28" s="53">
        <f>IF(O$1&gt;=$A28,INDEX(Monthly!$B$2:$B$61,$A28)*INDEX('Age profile'!$B$2:$B$61,O$1-$A28+1),"")</f>
        <v/>
      </c>
      <c r="P28" s="53">
        <f>IF(P$1&gt;=$A28,INDEX(Monthly!$B$2:$B$61,$A28)*INDEX('Age profile'!$B$2:$B$61,P$1-$A28+1),"")</f>
        <v/>
      </c>
      <c r="Q28" s="53">
        <f>IF(Q$1&gt;=$A28,INDEX(Monthly!$B$2:$B$61,$A28)*INDEX('Age profile'!$B$2:$B$61,Q$1-$A28+1),"")</f>
        <v/>
      </c>
      <c r="R28" s="53">
        <f>IF(R$1&gt;=$A28,INDEX(Monthly!$B$2:$B$61,$A28)*INDEX('Age profile'!$B$2:$B$61,R$1-$A28+1),"")</f>
        <v/>
      </c>
      <c r="S28" s="53">
        <f>IF(S$1&gt;=$A28,INDEX(Monthly!$B$2:$B$61,$A28)*INDEX('Age profile'!$B$2:$B$61,S$1-$A28+1),"")</f>
        <v/>
      </c>
      <c r="T28" s="53">
        <f>IF(T$1&gt;=$A28,INDEX(Monthly!$B$2:$B$61,$A28)*INDEX('Age profile'!$B$2:$B$61,T$1-$A28+1),"")</f>
        <v/>
      </c>
      <c r="U28" s="53">
        <f>IF(U$1&gt;=$A28,INDEX(Monthly!$B$2:$B$61,$A28)*INDEX('Age profile'!$B$2:$B$61,U$1-$A28+1),"")</f>
        <v/>
      </c>
      <c r="V28" s="53">
        <f>IF(V$1&gt;=$A28,INDEX(Monthly!$B$2:$B$61,$A28)*INDEX('Age profile'!$B$2:$B$61,V$1-$A28+1),"")</f>
        <v/>
      </c>
      <c r="W28" s="53">
        <f>IF(W$1&gt;=$A28,INDEX(Monthly!$B$2:$B$61,$A28)*INDEX('Age profile'!$B$2:$B$61,W$1-$A28+1),"")</f>
        <v/>
      </c>
      <c r="X28" s="53">
        <f>IF(X$1&gt;=$A28,INDEX(Monthly!$B$2:$B$61,$A28)*INDEX('Age profile'!$B$2:$B$61,X$1-$A28+1),"")</f>
        <v/>
      </c>
      <c r="Y28" s="53">
        <f>IF(Y$1&gt;=$A28,INDEX(Monthly!$B$2:$B$61,$A28)*INDEX('Age profile'!$B$2:$B$61,Y$1-$A28+1),"")</f>
        <v/>
      </c>
      <c r="Z28" s="53">
        <f>IF(Z$1&gt;=$A28,INDEX(Monthly!$B$2:$B$61,$A28)*INDEX('Age profile'!$B$2:$B$61,Z$1-$A28+1),"")</f>
        <v/>
      </c>
      <c r="AA28" s="53">
        <f>IF(AA$1&gt;=$A28,INDEX(Monthly!$B$2:$B$61,$A28)*INDEX('Age profile'!$B$2:$B$61,AA$1-$A28+1),"")</f>
        <v/>
      </c>
      <c r="AB28" s="53">
        <f>IF(AB$1&gt;=$A28,INDEX(Monthly!$B$2:$B$61,$A28)*INDEX('Age profile'!$B$2:$B$61,AB$1-$A28+1),"")</f>
        <v/>
      </c>
      <c r="AC28" s="53">
        <f>IF(AC$1&gt;=$A28,INDEX(Monthly!$B$2:$B$61,$A28)*INDEX('Age profile'!$B$2:$B$61,AC$1-$A28+1),"")</f>
        <v/>
      </c>
      <c r="AD28" s="53">
        <f>IF(AD$1&gt;=$A28,INDEX(Monthly!$B$2:$B$61,$A28)*INDEX('Age profile'!$B$2:$B$61,AD$1-$A28+1),"")</f>
        <v/>
      </c>
      <c r="AE28" s="53">
        <f>IF(AE$1&gt;=$A28,INDEX(Monthly!$B$2:$B$61,$A28)*INDEX('Age profile'!$B$2:$B$61,AE$1-$A28+1),"")</f>
        <v/>
      </c>
      <c r="AF28" s="53">
        <f>IF(AF$1&gt;=$A28,INDEX(Monthly!$B$2:$B$61,$A28)*INDEX('Age profile'!$B$2:$B$61,AF$1-$A28+1),"")</f>
        <v/>
      </c>
      <c r="AG28" s="53">
        <f>IF(AG$1&gt;=$A28,INDEX(Monthly!$B$2:$B$61,$A28)*INDEX('Age profile'!$B$2:$B$61,AG$1-$A28+1),"")</f>
        <v/>
      </c>
      <c r="AH28" s="53">
        <f>IF(AH$1&gt;=$A28,INDEX(Monthly!$B$2:$B$61,$A28)*INDEX('Age profile'!$B$2:$B$61,AH$1-$A28+1),"")</f>
        <v/>
      </c>
      <c r="AI28" s="53">
        <f>IF(AI$1&gt;=$A28,INDEX(Monthly!$B$2:$B$61,$A28)*INDEX('Age profile'!$B$2:$B$61,AI$1-$A28+1),"")</f>
        <v/>
      </c>
      <c r="AJ28" s="53">
        <f>IF(AJ$1&gt;=$A28,INDEX(Monthly!$B$2:$B$61,$A28)*INDEX('Age profile'!$B$2:$B$61,AJ$1-$A28+1),"")</f>
        <v/>
      </c>
      <c r="AK28" s="53">
        <f>IF(AK$1&gt;=$A28,INDEX(Monthly!$B$2:$B$61,$A28)*INDEX('Age profile'!$B$2:$B$61,AK$1-$A28+1),"")</f>
        <v/>
      </c>
      <c r="AL28" s="53">
        <f>IF(AL$1&gt;=$A28,INDEX(Monthly!$B$2:$B$61,$A28)*INDEX('Age profile'!$B$2:$B$61,AL$1-$A28+1),"")</f>
        <v/>
      </c>
      <c r="AM28" s="53">
        <f>IF(AM$1&gt;=$A28,INDEX(Monthly!$B$2:$B$61,$A28)*INDEX('Age profile'!$B$2:$B$61,AM$1-$A28+1),"")</f>
        <v/>
      </c>
      <c r="AN28" s="53">
        <f>IF(AN$1&gt;=$A28,INDEX(Monthly!$B$2:$B$61,$A28)*INDEX('Age profile'!$B$2:$B$61,AN$1-$A28+1),"")</f>
        <v/>
      </c>
      <c r="AO28" s="53">
        <f>IF(AO$1&gt;=$A28,INDEX(Monthly!$B$2:$B$61,$A28)*INDEX('Age profile'!$B$2:$B$61,AO$1-$A28+1),"")</f>
        <v/>
      </c>
      <c r="AP28" s="53">
        <f>IF(AP$1&gt;=$A28,INDEX(Monthly!$B$2:$B$61,$A28)*INDEX('Age profile'!$B$2:$B$61,AP$1-$A28+1),"")</f>
        <v/>
      </c>
      <c r="AQ28" s="53">
        <f>IF(AQ$1&gt;=$A28,INDEX(Monthly!$B$2:$B$61,$A28)*INDEX('Age profile'!$B$2:$B$61,AQ$1-$A28+1),"")</f>
        <v/>
      </c>
      <c r="AR28" s="53">
        <f>IF(AR$1&gt;=$A28,INDEX(Monthly!$B$2:$B$61,$A28)*INDEX('Age profile'!$B$2:$B$61,AR$1-$A28+1),"")</f>
        <v/>
      </c>
      <c r="AS28" s="53">
        <f>IF(AS$1&gt;=$A28,INDEX(Monthly!$B$2:$B$61,$A28)*INDEX('Age profile'!$B$2:$B$61,AS$1-$A28+1),"")</f>
        <v/>
      </c>
      <c r="AT28" s="53">
        <f>IF(AT$1&gt;=$A28,INDEX(Monthly!$B$2:$B$61,$A28)*INDEX('Age profile'!$B$2:$B$61,AT$1-$A28+1),"")</f>
        <v/>
      </c>
      <c r="AU28" s="53">
        <f>IF(AU$1&gt;=$A28,INDEX(Monthly!$B$2:$B$61,$A28)*INDEX('Age profile'!$B$2:$B$61,AU$1-$A28+1),"")</f>
        <v/>
      </c>
      <c r="AV28" s="53">
        <f>IF(AV$1&gt;=$A28,INDEX(Monthly!$B$2:$B$61,$A28)*INDEX('Age profile'!$B$2:$B$61,AV$1-$A28+1),"")</f>
        <v/>
      </c>
      <c r="AW28" s="53">
        <f>IF(AW$1&gt;=$A28,INDEX(Monthly!$B$2:$B$61,$A28)*INDEX('Age profile'!$B$2:$B$61,AW$1-$A28+1),"")</f>
        <v/>
      </c>
      <c r="AX28" s="53">
        <f>IF(AX$1&gt;=$A28,INDEX(Monthly!$B$2:$B$61,$A28)*INDEX('Age profile'!$B$2:$B$61,AX$1-$A28+1),"")</f>
        <v/>
      </c>
      <c r="AY28" s="53">
        <f>IF(AY$1&gt;=$A28,INDEX(Monthly!$B$2:$B$61,$A28)*INDEX('Age profile'!$B$2:$B$61,AY$1-$A28+1),"")</f>
        <v/>
      </c>
      <c r="AZ28" s="53">
        <f>IF(AZ$1&gt;=$A28,INDEX(Monthly!$B$2:$B$61,$A28)*INDEX('Age profile'!$B$2:$B$61,AZ$1-$A28+1),"")</f>
        <v/>
      </c>
      <c r="BA28" s="53">
        <f>IF(BA$1&gt;=$A28,INDEX(Monthly!$B$2:$B$61,$A28)*INDEX('Age profile'!$B$2:$B$61,BA$1-$A28+1),"")</f>
        <v/>
      </c>
      <c r="BB28" s="53">
        <f>IF(BB$1&gt;=$A28,INDEX(Monthly!$B$2:$B$61,$A28)*INDEX('Age profile'!$B$2:$B$61,BB$1-$A28+1),"")</f>
        <v/>
      </c>
      <c r="BC28" s="53">
        <f>IF(BC$1&gt;=$A28,INDEX(Monthly!$B$2:$B$61,$A28)*INDEX('Age profile'!$B$2:$B$61,BC$1-$A28+1),"")</f>
        <v/>
      </c>
      <c r="BD28" s="53">
        <f>IF(BD$1&gt;=$A28,INDEX(Monthly!$B$2:$B$61,$A28)*INDEX('Age profile'!$B$2:$B$61,BD$1-$A28+1),"")</f>
        <v/>
      </c>
      <c r="BE28" s="53">
        <f>IF(BE$1&gt;=$A28,INDEX(Monthly!$B$2:$B$61,$A28)*INDEX('Age profile'!$B$2:$B$61,BE$1-$A28+1),"")</f>
        <v/>
      </c>
      <c r="BF28" s="53">
        <f>IF(BF$1&gt;=$A28,INDEX(Monthly!$B$2:$B$61,$A28)*INDEX('Age profile'!$B$2:$B$61,BF$1-$A28+1),"")</f>
        <v/>
      </c>
      <c r="BG28" s="53">
        <f>IF(BG$1&gt;=$A28,INDEX(Monthly!$B$2:$B$61,$A28)*INDEX('Age profile'!$B$2:$B$61,BG$1-$A28+1),"")</f>
        <v/>
      </c>
      <c r="BH28" s="53">
        <f>IF(BH$1&gt;=$A28,INDEX(Monthly!$B$2:$B$61,$A28)*INDEX('Age profile'!$B$2:$B$61,BH$1-$A28+1),"")</f>
        <v/>
      </c>
      <c r="BI28" s="53">
        <f>IF(BI$1&gt;=$A28,INDEX(Monthly!$B$2:$B$61,$A28)*INDEX('Age profile'!$B$2:$B$61,BI$1-$A28+1),"")</f>
        <v/>
      </c>
    </row>
    <row r="29">
      <c r="A29" s="3" t="n">
        <v>28</v>
      </c>
      <c r="B29" s="53">
        <f>IF(B$1&gt;=$A29,INDEX(Monthly!$B$2:$B$61,$A29)*INDEX('Age profile'!$B$2:$B$61,B$1-$A29+1),"")</f>
        <v/>
      </c>
      <c r="C29" s="53">
        <f>IF(C$1&gt;=$A29,INDEX(Monthly!$B$2:$B$61,$A29)*INDEX('Age profile'!$B$2:$B$61,C$1-$A29+1),"")</f>
        <v/>
      </c>
      <c r="D29" s="53">
        <f>IF(D$1&gt;=$A29,INDEX(Monthly!$B$2:$B$61,$A29)*INDEX('Age profile'!$B$2:$B$61,D$1-$A29+1),"")</f>
        <v/>
      </c>
      <c r="E29" s="53">
        <f>IF(E$1&gt;=$A29,INDEX(Monthly!$B$2:$B$61,$A29)*INDEX('Age profile'!$B$2:$B$61,E$1-$A29+1),"")</f>
        <v/>
      </c>
      <c r="F29" s="53">
        <f>IF(F$1&gt;=$A29,INDEX(Monthly!$B$2:$B$61,$A29)*INDEX('Age profile'!$B$2:$B$61,F$1-$A29+1),"")</f>
        <v/>
      </c>
      <c r="G29" s="53">
        <f>IF(G$1&gt;=$A29,INDEX(Monthly!$B$2:$B$61,$A29)*INDEX('Age profile'!$B$2:$B$61,G$1-$A29+1),"")</f>
        <v/>
      </c>
      <c r="H29" s="53">
        <f>IF(H$1&gt;=$A29,INDEX(Monthly!$B$2:$B$61,$A29)*INDEX('Age profile'!$B$2:$B$61,H$1-$A29+1),"")</f>
        <v/>
      </c>
      <c r="I29" s="53">
        <f>IF(I$1&gt;=$A29,INDEX(Monthly!$B$2:$B$61,$A29)*INDEX('Age profile'!$B$2:$B$61,I$1-$A29+1),"")</f>
        <v/>
      </c>
      <c r="J29" s="53">
        <f>IF(J$1&gt;=$A29,INDEX(Monthly!$B$2:$B$61,$A29)*INDEX('Age profile'!$B$2:$B$61,J$1-$A29+1),"")</f>
        <v/>
      </c>
      <c r="K29" s="53">
        <f>IF(K$1&gt;=$A29,INDEX(Monthly!$B$2:$B$61,$A29)*INDEX('Age profile'!$B$2:$B$61,K$1-$A29+1),"")</f>
        <v/>
      </c>
      <c r="L29" s="53">
        <f>IF(L$1&gt;=$A29,INDEX(Monthly!$B$2:$B$61,$A29)*INDEX('Age profile'!$B$2:$B$61,L$1-$A29+1),"")</f>
        <v/>
      </c>
      <c r="M29" s="53">
        <f>IF(M$1&gt;=$A29,INDEX(Monthly!$B$2:$B$61,$A29)*INDEX('Age profile'!$B$2:$B$61,M$1-$A29+1),"")</f>
        <v/>
      </c>
      <c r="N29" s="53">
        <f>IF(N$1&gt;=$A29,INDEX(Monthly!$B$2:$B$61,$A29)*INDEX('Age profile'!$B$2:$B$61,N$1-$A29+1),"")</f>
        <v/>
      </c>
      <c r="O29" s="53">
        <f>IF(O$1&gt;=$A29,INDEX(Monthly!$B$2:$B$61,$A29)*INDEX('Age profile'!$B$2:$B$61,O$1-$A29+1),"")</f>
        <v/>
      </c>
      <c r="P29" s="53">
        <f>IF(P$1&gt;=$A29,INDEX(Monthly!$B$2:$B$61,$A29)*INDEX('Age profile'!$B$2:$B$61,P$1-$A29+1),"")</f>
        <v/>
      </c>
      <c r="Q29" s="53">
        <f>IF(Q$1&gt;=$A29,INDEX(Monthly!$B$2:$B$61,$A29)*INDEX('Age profile'!$B$2:$B$61,Q$1-$A29+1),"")</f>
        <v/>
      </c>
      <c r="R29" s="53">
        <f>IF(R$1&gt;=$A29,INDEX(Monthly!$B$2:$B$61,$A29)*INDEX('Age profile'!$B$2:$B$61,R$1-$A29+1),"")</f>
        <v/>
      </c>
      <c r="S29" s="53">
        <f>IF(S$1&gt;=$A29,INDEX(Monthly!$B$2:$B$61,$A29)*INDEX('Age profile'!$B$2:$B$61,S$1-$A29+1),"")</f>
        <v/>
      </c>
      <c r="T29" s="53">
        <f>IF(T$1&gt;=$A29,INDEX(Monthly!$B$2:$B$61,$A29)*INDEX('Age profile'!$B$2:$B$61,T$1-$A29+1),"")</f>
        <v/>
      </c>
      <c r="U29" s="53">
        <f>IF(U$1&gt;=$A29,INDEX(Monthly!$B$2:$B$61,$A29)*INDEX('Age profile'!$B$2:$B$61,U$1-$A29+1),"")</f>
        <v/>
      </c>
      <c r="V29" s="53">
        <f>IF(V$1&gt;=$A29,INDEX(Monthly!$B$2:$B$61,$A29)*INDEX('Age profile'!$B$2:$B$61,V$1-$A29+1),"")</f>
        <v/>
      </c>
      <c r="W29" s="53">
        <f>IF(W$1&gt;=$A29,INDEX(Monthly!$B$2:$B$61,$A29)*INDEX('Age profile'!$B$2:$B$61,W$1-$A29+1),"")</f>
        <v/>
      </c>
      <c r="X29" s="53">
        <f>IF(X$1&gt;=$A29,INDEX(Monthly!$B$2:$B$61,$A29)*INDEX('Age profile'!$B$2:$B$61,X$1-$A29+1),"")</f>
        <v/>
      </c>
      <c r="Y29" s="53">
        <f>IF(Y$1&gt;=$A29,INDEX(Monthly!$B$2:$B$61,$A29)*INDEX('Age profile'!$B$2:$B$61,Y$1-$A29+1),"")</f>
        <v/>
      </c>
      <c r="Z29" s="53">
        <f>IF(Z$1&gt;=$A29,INDEX(Monthly!$B$2:$B$61,$A29)*INDEX('Age profile'!$B$2:$B$61,Z$1-$A29+1),"")</f>
        <v/>
      </c>
      <c r="AA29" s="53">
        <f>IF(AA$1&gt;=$A29,INDEX(Monthly!$B$2:$B$61,$A29)*INDEX('Age profile'!$B$2:$B$61,AA$1-$A29+1),"")</f>
        <v/>
      </c>
      <c r="AB29" s="53">
        <f>IF(AB$1&gt;=$A29,INDEX(Monthly!$B$2:$B$61,$A29)*INDEX('Age profile'!$B$2:$B$61,AB$1-$A29+1),"")</f>
        <v/>
      </c>
      <c r="AC29" s="53">
        <f>IF(AC$1&gt;=$A29,INDEX(Monthly!$B$2:$B$61,$A29)*INDEX('Age profile'!$B$2:$B$61,AC$1-$A29+1),"")</f>
        <v/>
      </c>
      <c r="AD29" s="53">
        <f>IF(AD$1&gt;=$A29,INDEX(Monthly!$B$2:$B$61,$A29)*INDEX('Age profile'!$B$2:$B$61,AD$1-$A29+1),"")</f>
        <v/>
      </c>
      <c r="AE29" s="53">
        <f>IF(AE$1&gt;=$A29,INDEX(Monthly!$B$2:$B$61,$A29)*INDEX('Age profile'!$B$2:$B$61,AE$1-$A29+1),"")</f>
        <v/>
      </c>
      <c r="AF29" s="53">
        <f>IF(AF$1&gt;=$A29,INDEX(Monthly!$B$2:$B$61,$A29)*INDEX('Age profile'!$B$2:$B$61,AF$1-$A29+1),"")</f>
        <v/>
      </c>
      <c r="AG29" s="53">
        <f>IF(AG$1&gt;=$A29,INDEX(Monthly!$B$2:$B$61,$A29)*INDEX('Age profile'!$B$2:$B$61,AG$1-$A29+1),"")</f>
        <v/>
      </c>
      <c r="AH29" s="53">
        <f>IF(AH$1&gt;=$A29,INDEX(Monthly!$B$2:$B$61,$A29)*INDEX('Age profile'!$B$2:$B$61,AH$1-$A29+1),"")</f>
        <v/>
      </c>
      <c r="AI29" s="53">
        <f>IF(AI$1&gt;=$A29,INDEX(Monthly!$B$2:$B$61,$A29)*INDEX('Age profile'!$B$2:$B$61,AI$1-$A29+1),"")</f>
        <v/>
      </c>
      <c r="AJ29" s="53">
        <f>IF(AJ$1&gt;=$A29,INDEX(Monthly!$B$2:$B$61,$A29)*INDEX('Age profile'!$B$2:$B$61,AJ$1-$A29+1),"")</f>
        <v/>
      </c>
      <c r="AK29" s="53">
        <f>IF(AK$1&gt;=$A29,INDEX(Monthly!$B$2:$B$61,$A29)*INDEX('Age profile'!$B$2:$B$61,AK$1-$A29+1),"")</f>
        <v/>
      </c>
      <c r="AL29" s="53">
        <f>IF(AL$1&gt;=$A29,INDEX(Monthly!$B$2:$B$61,$A29)*INDEX('Age profile'!$B$2:$B$61,AL$1-$A29+1),"")</f>
        <v/>
      </c>
      <c r="AM29" s="53">
        <f>IF(AM$1&gt;=$A29,INDEX(Monthly!$B$2:$B$61,$A29)*INDEX('Age profile'!$B$2:$B$61,AM$1-$A29+1),"")</f>
        <v/>
      </c>
      <c r="AN29" s="53">
        <f>IF(AN$1&gt;=$A29,INDEX(Monthly!$B$2:$B$61,$A29)*INDEX('Age profile'!$B$2:$B$61,AN$1-$A29+1),"")</f>
        <v/>
      </c>
      <c r="AO29" s="53">
        <f>IF(AO$1&gt;=$A29,INDEX(Monthly!$B$2:$B$61,$A29)*INDEX('Age profile'!$B$2:$B$61,AO$1-$A29+1),"")</f>
        <v/>
      </c>
      <c r="AP29" s="53">
        <f>IF(AP$1&gt;=$A29,INDEX(Monthly!$B$2:$B$61,$A29)*INDEX('Age profile'!$B$2:$B$61,AP$1-$A29+1),"")</f>
        <v/>
      </c>
      <c r="AQ29" s="53">
        <f>IF(AQ$1&gt;=$A29,INDEX(Monthly!$B$2:$B$61,$A29)*INDEX('Age profile'!$B$2:$B$61,AQ$1-$A29+1),"")</f>
        <v/>
      </c>
      <c r="AR29" s="53">
        <f>IF(AR$1&gt;=$A29,INDEX(Monthly!$B$2:$B$61,$A29)*INDEX('Age profile'!$B$2:$B$61,AR$1-$A29+1),"")</f>
        <v/>
      </c>
      <c r="AS29" s="53">
        <f>IF(AS$1&gt;=$A29,INDEX(Monthly!$B$2:$B$61,$A29)*INDEX('Age profile'!$B$2:$B$61,AS$1-$A29+1),"")</f>
        <v/>
      </c>
      <c r="AT29" s="53">
        <f>IF(AT$1&gt;=$A29,INDEX(Monthly!$B$2:$B$61,$A29)*INDEX('Age profile'!$B$2:$B$61,AT$1-$A29+1),"")</f>
        <v/>
      </c>
      <c r="AU29" s="53">
        <f>IF(AU$1&gt;=$A29,INDEX(Monthly!$B$2:$B$61,$A29)*INDEX('Age profile'!$B$2:$B$61,AU$1-$A29+1),"")</f>
        <v/>
      </c>
      <c r="AV29" s="53">
        <f>IF(AV$1&gt;=$A29,INDEX(Monthly!$B$2:$B$61,$A29)*INDEX('Age profile'!$B$2:$B$61,AV$1-$A29+1),"")</f>
        <v/>
      </c>
      <c r="AW29" s="53">
        <f>IF(AW$1&gt;=$A29,INDEX(Monthly!$B$2:$B$61,$A29)*INDEX('Age profile'!$B$2:$B$61,AW$1-$A29+1),"")</f>
        <v/>
      </c>
      <c r="AX29" s="53">
        <f>IF(AX$1&gt;=$A29,INDEX(Monthly!$B$2:$B$61,$A29)*INDEX('Age profile'!$B$2:$B$61,AX$1-$A29+1),"")</f>
        <v/>
      </c>
      <c r="AY29" s="53">
        <f>IF(AY$1&gt;=$A29,INDEX(Monthly!$B$2:$B$61,$A29)*INDEX('Age profile'!$B$2:$B$61,AY$1-$A29+1),"")</f>
        <v/>
      </c>
      <c r="AZ29" s="53">
        <f>IF(AZ$1&gt;=$A29,INDEX(Monthly!$B$2:$B$61,$A29)*INDEX('Age profile'!$B$2:$B$61,AZ$1-$A29+1),"")</f>
        <v/>
      </c>
      <c r="BA29" s="53">
        <f>IF(BA$1&gt;=$A29,INDEX(Monthly!$B$2:$B$61,$A29)*INDEX('Age profile'!$B$2:$B$61,BA$1-$A29+1),"")</f>
        <v/>
      </c>
      <c r="BB29" s="53">
        <f>IF(BB$1&gt;=$A29,INDEX(Monthly!$B$2:$B$61,$A29)*INDEX('Age profile'!$B$2:$B$61,BB$1-$A29+1),"")</f>
        <v/>
      </c>
      <c r="BC29" s="53">
        <f>IF(BC$1&gt;=$A29,INDEX(Monthly!$B$2:$B$61,$A29)*INDEX('Age profile'!$B$2:$B$61,BC$1-$A29+1),"")</f>
        <v/>
      </c>
      <c r="BD29" s="53">
        <f>IF(BD$1&gt;=$A29,INDEX(Monthly!$B$2:$B$61,$A29)*INDEX('Age profile'!$B$2:$B$61,BD$1-$A29+1),"")</f>
        <v/>
      </c>
      <c r="BE29" s="53">
        <f>IF(BE$1&gt;=$A29,INDEX(Monthly!$B$2:$B$61,$A29)*INDEX('Age profile'!$B$2:$B$61,BE$1-$A29+1),"")</f>
        <v/>
      </c>
      <c r="BF29" s="53">
        <f>IF(BF$1&gt;=$A29,INDEX(Monthly!$B$2:$B$61,$A29)*INDEX('Age profile'!$B$2:$B$61,BF$1-$A29+1),"")</f>
        <v/>
      </c>
      <c r="BG29" s="53">
        <f>IF(BG$1&gt;=$A29,INDEX(Monthly!$B$2:$B$61,$A29)*INDEX('Age profile'!$B$2:$B$61,BG$1-$A29+1),"")</f>
        <v/>
      </c>
      <c r="BH29" s="53">
        <f>IF(BH$1&gt;=$A29,INDEX(Monthly!$B$2:$B$61,$A29)*INDEX('Age profile'!$B$2:$B$61,BH$1-$A29+1),"")</f>
        <v/>
      </c>
      <c r="BI29" s="53">
        <f>IF(BI$1&gt;=$A29,INDEX(Monthly!$B$2:$B$61,$A29)*INDEX('Age profile'!$B$2:$B$61,BI$1-$A29+1),"")</f>
        <v/>
      </c>
    </row>
    <row r="30">
      <c r="A30" s="3" t="n">
        <v>29</v>
      </c>
      <c r="B30" s="53">
        <f>IF(B$1&gt;=$A30,INDEX(Monthly!$B$2:$B$61,$A30)*INDEX('Age profile'!$B$2:$B$61,B$1-$A30+1),"")</f>
        <v/>
      </c>
      <c r="C30" s="53">
        <f>IF(C$1&gt;=$A30,INDEX(Monthly!$B$2:$B$61,$A30)*INDEX('Age profile'!$B$2:$B$61,C$1-$A30+1),"")</f>
        <v/>
      </c>
      <c r="D30" s="53">
        <f>IF(D$1&gt;=$A30,INDEX(Monthly!$B$2:$B$61,$A30)*INDEX('Age profile'!$B$2:$B$61,D$1-$A30+1),"")</f>
        <v/>
      </c>
      <c r="E30" s="53">
        <f>IF(E$1&gt;=$A30,INDEX(Monthly!$B$2:$B$61,$A30)*INDEX('Age profile'!$B$2:$B$61,E$1-$A30+1),"")</f>
        <v/>
      </c>
      <c r="F30" s="53">
        <f>IF(F$1&gt;=$A30,INDEX(Monthly!$B$2:$B$61,$A30)*INDEX('Age profile'!$B$2:$B$61,F$1-$A30+1),"")</f>
        <v/>
      </c>
      <c r="G30" s="53">
        <f>IF(G$1&gt;=$A30,INDEX(Monthly!$B$2:$B$61,$A30)*INDEX('Age profile'!$B$2:$B$61,G$1-$A30+1),"")</f>
        <v/>
      </c>
      <c r="H30" s="53">
        <f>IF(H$1&gt;=$A30,INDEX(Monthly!$B$2:$B$61,$A30)*INDEX('Age profile'!$B$2:$B$61,H$1-$A30+1),"")</f>
        <v/>
      </c>
      <c r="I30" s="53">
        <f>IF(I$1&gt;=$A30,INDEX(Monthly!$B$2:$B$61,$A30)*INDEX('Age profile'!$B$2:$B$61,I$1-$A30+1),"")</f>
        <v/>
      </c>
      <c r="J30" s="53">
        <f>IF(J$1&gt;=$A30,INDEX(Monthly!$B$2:$B$61,$A30)*INDEX('Age profile'!$B$2:$B$61,J$1-$A30+1),"")</f>
        <v/>
      </c>
      <c r="K30" s="53">
        <f>IF(K$1&gt;=$A30,INDEX(Monthly!$B$2:$B$61,$A30)*INDEX('Age profile'!$B$2:$B$61,K$1-$A30+1),"")</f>
        <v/>
      </c>
      <c r="L30" s="53">
        <f>IF(L$1&gt;=$A30,INDEX(Monthly!$B$2:$B$61,$A30)*INDEX('Age profile'!$B$2:$B$61,L$1-$A30+1),"")</f>
        <v/>
      </c>
      <c r="M30" s="53">
        <f>IF(M$1&gt;=$A30,INDEX(Monthly!$B$2:$B$61,$A30)*INDEX('Age profile'!$B$2:$B$61,M$1-$A30+1),"")</f>
        <v/>
      </c>
      <c r="N30" s="53">
        <f>IF(N$1&gt;=$A30,INDEX(Monthly!$B$2:$B$61,$A30)*INDEX('Age profile'!$B$2:$B$61,N$1-$A30+1),"")</f>
        <v/>
      </c>
      <c r="O30" s="53">
        <f>IF(O$1&gt;=$A30,INDEX(Monthly!$B$2:$B$61,$A30)*INDEX('Age profile'!$B$2:$B$61,O$1-$A30+1),"")</f>
        <v/>
      </c>
      <c r="P30" s="53">
        <f>IF(P$1&gt;=$A30,INDEX(Monthly!$B$2:$B$61,$A30)*INDEX('Age profile'!$B$2:$B$61,P$1-$A30+1),"")</f>
        <v/>
      </c>
      <c r="Q30" s="53">
        <f>IF(Q$1&gt;=$A30,INDEX(Monthly!$B$2:$B$61,$A30)*INDEX('Age profile'!$B$2:$B$61,Q$1-$A30+1),"")</f>
        <v/>
      </c>
      <c r="R30" s="53">
        <f>IF(R$1&gt;=$A30,INDEX(Monthly!$B$2:$B$61,$A30)*INDEX('Age profile'!$B$2:$B$61,R$1-$A30+1),"")</f>
        <v/>
      </c>
      <c r="S30" s="53">
        <f>IF(S$1&gt;=$A30,INDEX(Monthly!$B$2:$B$61,$A30)*INDEX('Age profile'!$B$2:$B$61,S$1-$A30+1),"")</f>
        <v/>
      </c>
      <c r="T30" s="53">
        <f>IF(T$1&gt;=$A30,INDEX(Monthly!$B$2:$B$61,$A30)*INDEX('Age profile'!$B$2:$B$61,T$1-$A30+1),"")</f>
        <v/>
      </c>
      <c r="U30" s="53">
        <f>IF(U$1&gt;=$A30,INDEX(Monthly!$B$2:$B$61,$A30)*INDEX('Age profile'!$B$2:$B$61,U$1-$A30+1),"")</f>
        <v/>
      </c>
      <c r="V30" s="53">
        <f>IF(V$1&gt;=$A30,INDEX(Monthly!$B$2:$B$61,$A30)*INDEX('Age profile'!$B$2:$B$61,V$1-$A30+1),"")</f>
        <v/>
      </c>
      <c r="W30" s="53">
        <f>IF(W$1&gt;=$A30,INDEX(Monthly!$B$2:$B$61,$A30)*INDEX('Age profile'!$B$2:$B$61,W$1-$A30+1),"")</f>
        <v/>
      </c>
      <c r="X30" s="53">
        <f>IF(X$1&gt;=$A30,INDEX(Monthly!$B$2:$B$61,$A30)*INDEX('Age profile'!$B$2:$B$61,X$1-$A30+1),"")</f>
        <v/>
      </c>
      <c r="Y30" s="53">
        <f>IF(Y$1&gt;=$A30,INDEX(Monthly!$B$2:$B$61,$A30)*INDEX('Age profile'!$B$2:$B$61,Y$1-$A30+1),"")</f>
        <v/>
      </c>
      <c r="Z30" s="53">
        <f>IF(Z$1&gt;=$A30,INDEX(Monthly!$B$2:$B$61,$A30)*INDEX('Age profile'!$B$2:$B$61,Z$1-$A30+1),"")</f>
        <v/>
      </c>
      <c r="AA30" s="53">
        <f>IF(AA$1&gt;=$A30,INDEX(Monthly!$B$2:$B$61,$A30)*INDEX('Age profile'!$B$2:$B$61,AA$1-$A30+1),"")</f>
        <v/>
      </c>
      <c r="AB30" s="53">
        <f>IF(AB$1&gt;=$A30,INDEX(Monthly!$B$2:$B$61,$A30)*INDEX('Age profile'!$B$2:$B$61,AB$1-$A30+1),"")</f>
        <v/>
      </c>
      <c r="AC30" s="53">
        <f>IF(AC$1&gt;=$A30,INDEX(Monthly!$B$2:$B$61,$A30)*INDEX('Age profile'!$B$2:$B$61,AC$1-$A30+1),"")</f>
        <v/>
      </c>
      <c r="AD30" s="53">
        <f>IF(AD$1&gt;=$A30,INDEX(Monthly!$B$2:$B$61,$A30)*INDEX('Age profile'!$B$2:$B$61,AD$1-$A30+1),"")</f>
        <v/>
      </c>
      <c r="AE30" s="53">
        <f>IF(AE$1&gt;=$A30,INDEX(Monthly!$B$2:$B$61,$A30)*INDEX('Age profile'!$B$2:$B$61,AE$1-$A30+1),"")</f>
        <v/>
      </c>
      <c r="AF30" s="53">
        <f>IF(AF$1&gt;=$A30,INDEX(Monthly!$B$2:$B$61,$A30)*INDEX('Age profile'!$B$2:$B$61,AF$1-$A30+1),"")</f>
        <v/>
      </c>
      <c r="AG30" s="53">
        <f>IF(AG$1&gt;=$A30,INDEX(Monthly!$B$2:$B$61,$A30)*INDEX('Age profile'!$B$2:$B$61,AG$1-$A30+1),"")</f>
        <v/>
      </c>
      <c r="AH30" s="53">
        <f>IF(AH$1&gt;=$A30,INDEX(Monthly!$B$2:$B$61,$A30)*INDEX('Age profile'!$B$2:$B$61,AH$1-$A30+1),"")</f>
        <v/>
      </c>
      <c r="AI30" s="53">
        <f>IF(AI$1&gt;=$A30,INDEX(Monthly!$B$2:$B$61,$A30)*INDEX('Age profile'!$B$2:$B$61,AI$1-$A30+1),"")</f>
        <v/>
      </c>
      <c r="AJ30" s="53">
        <f>IF(AJ$1&gt;=$A30,INDEX(Monthly!$B$2:$B$61,$A30)*INDEX('Age profile'!$B$2:$B$61,AJ$1-$A30+1),"")</f>
        <v/>
      </c>
      <c r="AK30" s="53">
        <f>IF(AK$1&gt;=$A30,INDEX(Monthly!$B$2:$B$61,$A30)*INDEX('Age profile'!$B$2:$B$61,AK$1-$A30+1),"")</f>
        <v/>
      </c>
      <c r="AL30" s="53">
        <f>IF(AL$1&gt;=$A30,INDEX(Monthly!$B$2:$B$61,$A30)*INDEX('Age profile'!$B$2:$B$61,AL$1-$A30+1),"")</f>
        <v/>
      </c>
      <c r="AM30" s="53">
        <f>IF(AM$1&gt;=$A30,INDEX(Monthly!$B$2:$B$61,$A30)*INDEX('Age profile'!$B$2:$B$61,AM$1-$A30+1),"")</f>
        <v/>
      </c>
      <c r="AN30" s="53">
        <f>IF(AN$1&gt;=$A30,INDEX(Monthly!$B$2:$B$61,$A30)*INDEX('Age profile'!$B$2:$B$61,AN$1-$A30+1),"")</f>
        <v/>
      </c>
      <c r="AO30" s="53">
        <f>IF(AO$1&gt;=$A30,INDEX(Monthly!$B$2:$B$61,$A30)*INDEX('Age profile'!$B$2:$B$61,AO$1-$A30+1),"")</f>
        <v/>
      </c>
      <c r="AP30" s="53">
        <f>IF(AP$1&gt;=$A30,INDEX(Monthly!$B$2:$B$61,$A30)*INDEX('Age profile'!$B$2:$B$61,AP$1-$A30+1),"")</f>
        <v/>
      </c>
      <c r="AQ30" s="53">
        <f>IF(AQ$1&gt;=$A30,INDEX(Monthly!$B$2:$B$61,$A30)*INDEX('Age profile'!$B$2:$B$61,AQ$1-$A30+1),"")</f>
        <v/>
      </c>
      <c r="AR30" s="53">
        <f>IF(AR$1&gt;=$A30,INDEX(Monthly!$B$2:$B$61,$A30)*INDEX('Age profile'!$B$2:$B$61,AR$1-$A30+1),"")</f>
        <v/>
      </c>
      <c r="AS30" s="53">
        <f>IF(AS$1&gt;=$A30,INDEX(Monthly!$B$2:$B$61,$A30)*INDEX('Age profile'!$B$2:$B$61,AS$1-$A30+1),"")</f>
        <v/>
      </c>
      <c r="AT30" s="53">
        <f>IF(AT$1&gt;=$A30,INDEX(Monthly!$B$2:$B$61,$A30)*INDEX('Age profile'!$B$2:$B$61,AT$1-$A30+1),"")</f>
        <v/>
      </c>
      <c r="AU30" s="53">
        <f>IF(AU$1&gt;=$A30,INDEX(Monthly!$B$2:$B$61,$A30)*INDEX('Age profile'!$B$2:$B$61,AU$1-$A30+1),"")</f>
        <v/>
      </c>
      <c r="AV30" s="53">
        <f>IF(AV$1&gt;=$A30,INDEX(Monthly!$B$2:$B$61,$A30)*INDEX('Age profile'!$B$2:$B$61,AV$1-$A30+1),"")</f>
        <v/>
      </c>
      <c r="AW30" s="53">
        <f>IF(AW$1&gt;=$A30,INDEX(Monthly!$B$2:$B$61,$A30)*INDEX('Age profile'!$B$2:$B$61,AW$1-$A30+1),"")</f>
        <v/>
      </c>
      <c r="AX30" s="53">
        <f>IF(AX$1&gt;=$A30,INDEX(Monthly!$B$2:$B$61,$A30)*INDEX('Age profile'!$B$2:$B$61,AX$1-$A30+1),"")</f>
        <v/>
      </c>
      <c r="AY30" s="53">
        <f>IF(AY$1&gt;=$A30,INDEX(Monthly!$B$2:$B$61,$A30)*INDEX('Age profile'!$B$2:$B$61,AY$1-$A30+1),"")</f>
        <v/>
      </c>
      <c r="AZ30" s="53">
        <f>IF(AZ$1&gt;=$A30,INDEX(Monthly!$B$2:$B$61,$A30)*INDEX('Age profile'!$B$2:$B$61,AZ$1-$A30+1),"")</f>
        <v/>
      </c>
      <c r="BA30" s="53">
        <f>IF(BA$1&gt;=$A30,INDEX(Monthly!$B$2:$B$61,$A30)*INDEX('Age profile'!$B$2:$B$61,BA$1-$A30+1),"")</f>
        <v/>
      </c>
      <c r="BB30" s="53">
        <f>IF(BB$1&gt;=$A30,INDEX(Monthly!$B$2:$B$61,$A30)*INDEX('Age profile'!$B$2:$B$61,BB$1-$A30+1),"")</f>
        <v/>
      </c>
      <c r="BC30" s="53">
        <f>IF(BC$1&gt;=$A30,INDEX(Monthly!$B$2:$B$61,$A30)*INDEX('Age profile'!$B$2:$B$61,BC$1-$A30+1),"")</f>
        <v/>
      </c>
      <c r="BD30" s="53">
        <f>IF(BD$1&gt;=$A30,INDEX(Monthly!$B$2:$B$61,$A30)*INDEX('Age profile'!$B$2:$B$61,BD$1-$A30+1),"")</f>
        <v/>
      </c>
      <c r="BE30" s="53">
        <f>IF(BE$1&gt;=$A30,INDEX(Monthly!$B$2:$B$61,$A30)*INDEX('Age profile'!$B$2:$B$61,BE$1-$A30+1),"")</f>
        <v/>
      </c>
      <c r="BF30" s="53">
        <f>IF(BF$1&gt;=$A30,INDEX(Monthly!$B$2:$B$61,$A30)*INDEX('Age profile'!$B$2:$B$61,BF$1-$A30+1),"")</f>
        <v/>
      </c>
      <c r="BG30" s="53">
        <f>IF(BG$1&gt;=$A30,INDEX(Monthly!$B$2:$B$61,$A30)*INDEX('Age profile'!$B$2:$B$61,BG$1-$A30+1),"")</f>
        <v/>
      </c>
      <c r="BH30" s="53">
        <f>IF(BH$1&gt;=$A30,INDEX(Monthly!$B$2:$B$61,$A30)*INDEX('Age profile'!$B$2:$B$61,BH$1-$A30+1),"")</f>
        <v/>
      </c>
      <c r="BI30" s="53">
        <f>IF(BI$1&gt;=$A30,INDEX(Monthly!$B$2:$B$61,$A30)*INDEX('Age profile'!$B$2:$B$61,BI$1-$A30+1),"")</f>
        <v/>
      </c>
    </row>
    <row r="31">
      <c r="A31" s="3" t="n">
        <v>30</v>
      </c>
      <c r="B31" s="53">
        <f>IF(B$1&gt;=$A31,INDEX(Monthly!$B$2:$B$61,$A31)*INDEX('Age profile'!$B$2:$B$61,B$1-$A31+1),"")</f>
        <v/>
      </c>
      <c r="C31" s="53">
        <f>IF(C$1&gt;=$A31,INDEX(Monthly!$B$2:$B$61,$A31)*INDEX('Age profile'!$B$2:$B$61,C$1-$A31+1),"")</f>
        <v/>
      </c>
      <c r="D31" s="53">
        <f>IF(D$1&gt;=$A31,INDEX(Monthly!$B$2:$B$61,$A31)*INDEX('Age profile'!$B$2:$B$61,D$1-$A31+1),"")</f>
        <v/>
      </c>
      <c r="E31" s="53">
        <f>IF(E$1&gt;=$A31,INDEX(Monthly!$B$2:$B$61,$A31)*INDEX('Age profile'!$B$2:$B$61,E$1-$A31+1),"")</f>
        <v/>
      </c>
      <c r="F31" s="53">
        <f>IF(F$1&gt;=$A31,INDEX(Monthly!$B$2:$B$61,$A31)*INDEX('Age profile'!$B$2:$B$61,F$1-$A31+1),"")</f>
        <v/>
      </c>
      <c r="G31" s="53">
        <f>IF(G$1&gt;=$A31,INDEX(Monthly!$B$2:$B$61,$A31)*INDEX('Age profile'!$B$2:$B$61,G$1-$A31+1),"")</f>
        <v/>
      </c>
      <c r="H31" s="53">
        <f>IF(H$1&gt;=$A31,INDEX(Monthly!$B$2:$B$61,$A31)*INDEX('Age profile'!$B$2:$B$61,H$1-$A31+1),"")</f>
        <v/>
      </c>
      <c r="I31" s="53">
        <f>IF(I$1&gt;=$A31,INDEX(Monthly!$B$2:$B$61,$A31)*INDEX('Age profile'!$B$2:$B$61,I$1-$A31+1),"")</f>
        <v/>
      </c>
      <c r="J31" s="53">
        <f>IF(J$1&gt;=$A31,INDEX(Monthly!$B$2:$B$61,$A31)*INDEX('Age profile'!$B$2:$B$61,J$1-$A31+1),"")</f>
        <v/>
      </c>
      <c r="K31" s="53">
        <f>IF(K$1&gt;=$A31,INDEX(Monthly!$B$2:$B$61,$A31)*INDEX('Age profile'!$B$2:$B$61,K$1-$A31+1),"")</f>
        <v/>
      </c>
      <c r="L31" s="53">
        <f>IF(L$1&gt;=$A31,INDEX(Monthly!$B$2:$B$61,$A31)*INDEX('Age profile'!$B$2:$B$61,L$1-$A31+1),"")</f>
        <v/>
      </c>
      <c r="M31" s="53">
        <f>IF(M$1&gt;=$A31,INDEX(Monthly!$B$2:$B$61,$A31)*INDEX('Age profile'!$B$2:$B$61,M$1-$A31+1),"")</f>
        <v/>
      </c>
      <c r="N31" s="53">
        <f>IF(N$1&gt;=$A31,INDEX(Monthly!$B$2:$B$61,$A31)*INDEX('Age profile'!$B$2:$B$61,N$1-$A31+1),"")</f>
        <v/>
      </c>
      <c r="O31" s="53">
        <f>IF(O$1&gt;=$A31,INDEX(Monthly!$B$2:$B$61,$A31)*INDEX('Age profile'!$B$2:$B$61,O$1-$A31+1),"")</f>
        <v/>
      </c>
      <c r="P31" s="53">
        <f>IF(P$1&gt;=$A31,INDEX(Monthly!$B$2:$B$61,$A31)*INDEX('Age profile'!$B$2:$B$61,P$1-$A31+1),"")</f>
        <v/>
      </c>
      <c r="Q31" s="53">
        <f>IF(Q$1&gt;=$A31,INDEX(Monthly!$B$2:$B$61,$A31)*INDEX('Age profile'!$B$2:$B$61,Q$1-$A31+1),"")</f>
        <v/>
      </c>
      <c r="R31" s="53">
        <f>IF(R$1&gt;=$A31,INDEX(Monthly!$B$2:$B$61,$A31)*INDEX('Age profile'!$B$2:$B$61,R$1-$A31+1),"")</f>
        <v/>
      </c>
      <c r="S31" s="53">
        <f>IF(S$1&gt;=$A31,INDEX(Monthly!$B$2:$B$61,$A31)*INDEX('Age profile'!$B$2:$B$61,S$1-$A31+1),"")</f>
        <v/>
      </c>
      <c r="T31" s="53">
        <f>IF(T$1&gt;=$A31,INDEX(Monthly!$B$2:$B$61,$A31)*INDEX('Age profile'!$B$2:$B$61,T$1-$A31+1),"")</f>
        <v/>
      </c>
      <c r="U31" s="53">
        <f>IF(U$1&gt;=$A31,INDEX(Monthly!$B$2:$B$61,$A31)*INDEX('Age profile'!$B$2:$B$61,U$1-$A31+1),"")</f>
        <v/>
      </c>
      <c r="V31" s="53">
        <f>IF(V$1&gt;=$A31,INDEX(Monthly!$B$2:$B$61,$A31)*INDEX('Age profile'!$B$2:$B$61,V$1-$A31+1),"")</f>
        <v/>
      </c>
      <c r="W31" s="53">
        <f>IF(W$1&gt;=$A31,INDEX(Monthly!$B$2:$B$61,$A31)*INDEX('Age profile'!$B$2:$B$61,W$1-$A31+1),"")</f>
        <v/>
      </c>
      <c r="X31" s="53">
        <f>IF(X$1&gt;=$A31,INDEX(Monthly!$B$2:$B$61,$A31)*INDEX('Age profile'!$B$2:$B$61,X$1-$A31+1),"")</f>
        <v/>
      </c>
      <c r="Y31" s="53">
        <f>IF(Y$1&gt;=$A31,INDEX(Monthly!$B$2:$B$61,$A31)*INDEX('Age profile'!$B$2:$B$61,Y$1-$A31+1),"")</f>
        <v/>
      </c>
      <c r="Z31" s="53">
        <f>IF(Z$1&gt;=$A31,INDEX(Monthly!$B$2:$B$61,$A31)*INDEX('Age profile'!$B$2:$B$61,Z$1-$A31+1),"")</f>
        <v/>
      </c>
      <c r="AA31" s="53">
        <f>IF(AA$1&gt;=$A31,INDEX(Monthly!$B$2:$B$61,$A31)*INDEX('Age profile'!$B$2:$B$61,AA$1-$A31+1),"")</f>
        <v/>
      </c>
      <c r="AB31" s="53">
        <f>IF(AB$1&gt;=$A31,INDEX(Monthly!$B$2:$B$61,$A31)*INDEX('Age profile'!$B$2:$B$61,AB$1-$A31+1),"")</f>
        <v/>
      </c>
      <c r="AC31" s="53">
        <f>IF(AC$1&gt;=$A31,INDEX(Monthly!$B$2:$B$61,$A31)*INDEX('Age profile'!$B$2:$B$61,AC$1-$A31+1),"")</f>
        <v/>
      </c>
      <c r="AD31" s="53">
        <f>IF(AD$1&gt;=$A31,INDEX(Monthly!$B$2:$B$61,$A31)*INDEX('Age profile'!$B$2:$B$61,AD$1-$A31+1),"")</f>
        <v/>
      </c>
      <c r="AE31" s="53">
        <f>IF(AE$1&gt;=$A31,INDEX(Monthly!$B$2:$B$61,$A31)*INDEX('Age profile'!$B$2:$B$61,AE$1-$A31+1),"")</f>
        <v/>
      </c>
      <c r="AF31" s="53">
        <f>IF(AF$1&gt;=$A31,INDEX(Monthly!$B$2:$B$61,$A31)*INDEX('Age profile'!$B$2:$B$61,AF$1-$A31+1),"")</f>
        <v/>
      </c>
      <c r="AG31" s="53">
        <f>IF(AG$1&gt;=$A31,INDEX(Monthly!$B$2:$B$61,$A31)*INDEX('Age profile'!$B$2:$B$61,AG$1-$A31+1),"")</f>
        <v/>
      </c>
      <c r="AH31" s="53">
        <f>IF(AH$1&gt;=$A31,INDEX(Monthly!$B$2:$B$61,$A31)*INDEX('Age profile'!$B$2:$B$61,AH$1-$A31+1),"")</f>
        <v/>
      </c>
      <c r="AI31" s="53">
        <f>IF(AI$1&gt;=$A31,INDEX(Monthly!$B$2:$B$61,$A31)*INDEX('Age profile'!$B$2:$B$61,AI$1-$A31+1),"")</f>
        <v/>
      </c>
      <c r="AJ31" s="53">
        <f>IF(AJ$1&gt;=$A31,INDEX(Monthly!$B$2:$B$61,$A31)*INDEX('Age profile'!$B$2:$B$61,AJ$1-$A31+1),"")</f>
        <v/>
      </c>
      <c r="AK31" s="53">
        <f>IF(AK$1&gt;=$A31,INDEX(Monthly!$B$2:$B$61,$A31)*INDEX('Age profile'!$B$2:$B$61,AK$1-$A31+1),"")</f>
        <v/>
      </c>
      <c r="AL31" s="53">
        <f>IF(AL$1&gt;=$A31,INDEX(Monthly!$B$2:$B$61,$A31)*INDEX('Age profile'!$B$2:$B$61,AL$1-$A31+1),"")</f>
        <v/>
      </c>
      <c r="AM31" s="53">
        <f>IF(AM$1&gt;=$A31,INDEX(Monthly!$B$2:$B$61,$A31)*INDEX('Age profile'!$B$2:$B$61,AM$1-$A31+1),"")</f>
        <v/>
      </c>
      <c r="AN31" s="53">
        <f>IF(AN$1&gt;=$A31,INDEX(Monthly!$B$2:$B$61,$A31)*INDEX('Age profile'!$B$2:$B$61,AN$1-$A31+1),"")</f>
        <v/>
      </c>
      <c r="AO31" s="53">
        <f>IF(AO$1&gt;=$A31,INDEX(Monthly!$B$2:$B$61,$A31)*INDEX('Age profile'!$B$2:$B$61,AO$1-$A31+1),"")</f>
        <v/>
      </c>
      <c r="AP31" s="53">
        <f>IF(AP$1&gt;=$A31,INDEX(Monthly!$B$2:$B$61,$A31)*INDEX('Age profile'!$B$2:$B$61,AP$1-$A31+1),"")</f>
        <v/>
      </c>
      <c r="AQ31" s="53">
        <f>IF(AQ$1&gt;=$A31,INDEX(Monthly!$B$2:$B$61,$A31)*INDEX('Age profile'!$B$2:$B$61,AQ$1-$A31+1),"")</f>
        <v/>
      </c>
      <c r="AR31" s="53">
        <f>IF(AR$1&gt;=$A31,INDEX(Monthly!$B$2:$B$61,$A31)*INDEX('Age profile'!$B$2:$B$61,AR$1-$A31+1),"")</f>
        <v/>
      </c>
      <c r="AS31" s="53">
        <f>IF(AS$1&gt;=$A31,INDEX(Monthly!$B$2:$B$61,$A31)*INDEX('Age profile'!$B$2:$B$61,AS$1-$A31+1),"")</f>
        <v/>
      </c>
      <c r="AT31" s="53">
        <f>IF(AT$1&gt;=$A31,INDEX(Monthly!$B$2:$B$61,$A31)*INDEX('Age profile'!$B$2:$B$61,AT$1-$A31+1),"")</f>
        <v/>
      </c>
      <c r="AU31" s="53">
        <f>IF(AU$1&gt;=$A31,INDEX(Monthly!$B$2:$B$61,$A31)*INDEX('Age profile'!$B$2:$B$61,AU$1-$A31+1),"")</f>
        <v/>
      </c>
      <c r="AV31" s="53">
        <f>IF(AV$1&gt;=$A31,INDEX(Monthly!$B$2:$B$61,$A31)*INDEX('Age profile'!$B$2:$B$61,AV$1-$A31+1),"")</f>
        <v/>
      </c>
      <c r="AW31" s="53">
        <f>IF(AW$1&gt;=$A31,INDEX(Monthly!$B$2:$B$61,$A31)*INDEX('Age profile'!$B$2:$B$61,AW$1-$A31+1),"")</f>
        <v/>
      </c>
      <c r="AX31" s="53">
        <f>IF(AX$1&gt;=$A31,INDEX(Monthly!$B$2:$B$61,$A31)*INDEX('Age profile'!$B$2:$B$61,AX$1-$A31+1),"")</f>
        <v/>
      </c>
      <c r="AY31" s="53">
        <f>IF(AY$1&gt;=$A31,INDEX(Monthly!$B$2:$B$61,$A31)*INDEX('Age profile'!$B$2:$B$61,AY$1-$A31+1),"")</f>
        <v/>
      </c>
      <c r="AZ31" s="53">
        <f>IF(AZ$1&gt;=$A31,INDEX(Monthly!$B$2:$B$61,$A31)*INDEX('Age profile'!$B$2:$B$61,AZ$1-$A31+1),"")</f>
        <v/>
      </c>
      <c r="BA31" s="53">
        <f>IF(BA$1&gt;=$A31,INDEX(Monthly!$B$2:$B$61,$A31)*INDEX('Age profile'!$B$2:$B$61,BA$1-$A31+1),"")</f>
        <v/>
      </c>
      <c r="BB31" s="53">
        <f>IF(BB$1&gt;=$A31,INDEX(Monthly!$B$2:$B$61,$A31)*INDEX('Age profile'!$B$2:$B$61,BB$1-$A31+1),"")</f>
        <v/>
      </c>
      <c r="BC31" s="53">
        <f>IF(BC$1&gt;=$A31,INDEX(Monthly!$B$2:$B$61,$A31)*INDEX('Age profile'!$B$2:$B$61,BC$1-$A31+1),"")</f>
        <v/>
      </c>
      <c r="BD31" s="53">
        <f>IF(BD$1&gt;=$A31,INDEX(Monthly!$B$2:$B$61,$A31)*INDEX('Age profile'!$B$2:$B$61,BD$1-$A31+1),"")</f>
        <v/>
      </c>
      <c r="BE31" s="53">
        <f>IF(BE$1&gt;=$A31,INDEX(Monthly!$B$2:$B$61,$A31)*INDEX('Age profile'!$B$2:$B$61,BE$1-$A31+1),"")</f>
        <v/>
      </c>
      <c r="BF31" s="53">
        <f>IF(BF$1&gt;=$A31,INDEX(Monthly!$B$2:$B$61,$A31)*INDEX('Age profile'!$B$2:$B$61,BF$1-$A31+1),"")</f>
        <v/>
      </c>
      <c r="BG31" s="53">
        <f>IF(BG$1&gt;=$A31,INDEX(Monthly!$B$2:$B$61,$A31)*INDEX('Age profile'!$B$2:$B$61,BG$1-$A31+1),"")</f>
        <v/>
      </c>
      <c r="BH31" s="53">
        <f>IF(BH$1&gt;=$A31,INDEX(Monthly!$B$2:$B$61,$A31)*INDEX('Age profile'!$B$2:$B$61,BH$1-$A31+1),"")</f>
        <v/>
      </c>
      <c r="BI31" s="53">
        <f>IF(BI$1&gt;=$A31,INDEX(Monthly!$B$2:$B$61,$A31)*INDEX('Age profile'!$B$2:$B$61,BI$1-$A31+1),"")</f>
        <v/>
      </c>
    </row>
    <row r="32">
      <c r="A32" s="3" t="n">
        <v>31</v>
      </c>
      <c r="B32" s="53">
        <f>IF(B$1&gt;=$A32,INDEX(Monthly!$B$2:$B$61,$A32)*INDEX('Age profile'!$B$2:$B$61,B$1-$A32+1),"")</f>
        <v/>
      </c>
      <c r="C32" s="53">
        <f>IF(C$1&gt;=$A32,INDEX(Monthly!$B$2:$B$61,$A32)*INDEX('Age profile'!$B$2:$B$61,C$1-$A32+1),"")</f>
        <v/>
      </c>
      <c r="D32" s="53">
        <f>IF(D$1&gt;=$A32,INDEX(Monthly!$B$2:$B$61,$A32)*INDEX('Age profile'!$B$2:$B$61,D$1-$A32+1),"")</f>
        <v/>
      </c>
      <c r="E32" s="53">
        <f>IF(E$1&gt;=$A32,INDEX(Monthly!$B$2:$B$61,$A32)*INDEX('Age profile'!$B$2:$B$61,E$1-$A32+1),"")</f>
        <v/>
      </c>
      <c r="F32" s="53">
        <f>IF(F$1&gt;=$A32,INDEX(Monthly!$B$2:$B$61,$A32)*INDEX('Age profile'!$B$2:$B$61,F$1-$A32+1),"")</f>
        <v/>
      </c>
      <c r="G32" s="53">
        <f>IF(G$1&gt;=$A32,INDEX(Monthly!$B$2:$B$61,$A32)*INDEX('Age profile'!$B$2:$B$61,G$1-$A32+1),"")</f>
        <v/>
      </c>
      <c r="H32" s="53">
        <f>IF(H$1&gt;=$A32,INDEX(Monthly!$B$2:$B$61,$A32)*INDEX('Age profile'!$B$2:$B$61,H$1-$A32+1),"")</f>
        <v/>
      </c>
      <c r="I32" s="53">
        <f>IF(I$1&gt;=$A32,INDEX(Monthly!$B$2:$B$61,$A32)*INDEX('Age profile'!$B$2:$B$61,I$1-$A32+1),"")</f>
        <v/>
      </c>
      <c r="J32" s="53">
        <f>IF(J$1&gt;=$A32,INDEX(Monthly!$B$2:$B$61,$A32)*INDEX('Age profile'!$B$2:$B$61,J$1-$A32+1),"")</f>
        <v/>
      </c>
      <c r="K32" s="53">
        <f>IF(K$1&gt;=$A32,INDEX(Monthly!$B$2:$B$61,$A32)*INDEX('Age profile'!$B$2:$B$61,K$1-$A32+1),"")</f>
        <v/>
      </c>
      <c r="L32" s="53">
        <f>IF(L$1&gt;=$A32,INDEX(Monthly!$B$2:$B$61,$A32)*INDEX('Age profile'!$B$2:$B$61,L$1-$A32+1),"")</f>
        <v/>
      </c>
      <c r="M32" s="53">
        <f>IF(M$1&gt;=$A32,INDEX(Monthly!$B$2:$B$61,$A32)*INDEX('Age profile'!$B$2:$B$61,M$1-$A32+1),"")</f>
        <v/>
      </c>
      <c r="N32" s="53">
        <f>IF(N$1&gt;=$A32,INDEX(Monthly!$B$2:$B$61,$A32)*INDEX('Age profile'!$B$2:$B$61,N$1-$A32+1),"")</f>
        <v/>
      </c>
      <c r="O32" s="53">
        <f>IF(O$1&gt;=$A32,INDEX(Monthly!$B$2:$B$61,$A32)*INDEX('Age profile'!$B$2:$B$61,O$1-$A32+1),"")</f>
        <v/>
      </c>
      <c r="P32" s="53">
        <f>IF(P$1&gt;=$A32,INDEX(Monthly!$B$2:$B$61,$A32)*INDEX('Age profile'!$B$2:$B$61,P$1-$A32+1),"")</f>
        <v/>
      </c>
      <c r="Q32" s="53">
        <f>IF(Q$1&gt;=$A32,INDEX(Monthly!$B$2:$B$61,$A32)*INDEX('Age profile'!$B$2:$B$61,Q$1-$A32+1),"")</f>
        <v/>
      </c>
      <c r="R32" s="53">
        <f>IF(R$1&gt;=$A32,INDEX(Monthly!$B$2:$B$61,$A32)*INDEX('Age profile'!$B$2:$B$61,R$1-$A32+1),"")</f>
        <v/>
      </c>
      <c r="S32" s="53">
        <f>IF(S$1&gt;=$A32,INDEX(Monthly!$B$2:$B$61,$A32)*INDEX('Age profile'!$B$2:$B$61,S$1-$A32+1),"")</f>
        <v/>
      </c>
      <c r="T32" s="53">
        <f>IF(T$1&gt;=$A32,INDEX(Monthly!$B$2:$B$61,$A32)*INDEX('Age profile'!$B$2:$B$61,T$1-$A32+1),"")</f>
        <v/>
      </c>
      <c r="U32" s="53">
        <f>IF(U$1&gt;=$A32,INDEX(Monthly!$B$2:$B$61,$A32)*INDEX('Age profile'!$B$2:$B$61,U$1-$A32+1),"")</f>
        <v/>
      </c>
      <c r="V32" s="53">
        <f>IF(V$1&gt;=$A32,INDEX(Monthly!$B$2:$B$61,$A32)*INDEX('Age profile'!$B$2:$B$61,V$1-$A32+1),"")</f>
        <v/>
      </c>
      <c r="W32" s="53">
        <f>IF(W$1&gt;=$A32,INDEX(Monthly!$B$2:$B$61,$A32)*INDEX('Age profile'!$B$2:$B$61,W$1-$A32+1),"")</f>
        <v/>
      </c>
      <c r="X32" s="53">
        <f>IF(X$1&gt;=$A32,INDEX(Monthly!$B$2:$B$61,$A32)*INDEX('Age profile'!$B$2:$B$61,X$1-$A32+1),"")</f>
        <v/>
      </c>
      <c r="Y32" s="53">
        <f>IF(Y$1&gt;=$A32,INDEX(Monthly!$B$2:$B$61,$A32)*INDEX('Age profile'!$B$2:$B$61,Y$1-$A32+1),"")</f>
        <v/>
      </c>
      <c r="Z32" s="53">
        <f>IF(Z$1&gt;=$A32,INDEX(Monthly!$B$2:$B$61,$A32)*INDEX('Age profile'!$B$2:$B$61,Z$1-$A32+1),"")</f>
        <v/>
      </c>
      <c r="AA32" s="53">
        <f>IF(AA$1&gt;=$A32,INDEX(Monthly!$B$2:$B$61,$A32)*INDEX('Age profile'!$B$2:$B$61,AA$1-$A32+1),"")</f>
        <v/>
      </c>
      <c r="AB32" s="53">
        <f>IF(AB$1&gt;=$A32,INDEX(Monthly!$B$2:$B$61,$A32)*INDEX('Age profile'!$B$2:$B$61,AB$1-$A32+1),"")</f>
        <v/>
      </c>
      <c r="AC32" s="53">
        <f>IF(AC$1&gt;=$A32,INDEX(Monthly!$B$2:$B$61,$A32)*INDEX('Age profile'!$B$2:$B$61,AC$1-$A32+1),"")</f>
        <v/>
      </c>
      <c r="AD32" s="53">
        <f>IF(AD$1&gt;=$A32,INDEX(Monthly!$B$2:$B$61,$A32)*INDEX('Age profile'!$B$2:$B$61,AD$1-$A32+1),"")</f>
        <v/>
      </c>
      <c r="AE32" s="53">
        <f>IF(AE$1&gt;=$A32,INDEX(Monthly!$B$2:$B$61,$A32)*INDEX('Age profile'!$B$2:$B$61,AE$1-$A32+1),"")</f>
        <v/>
      </c>
      <c r="AF32" s="53">
        <f>IF(AF$1&gt;=$A32,INDEX(Monthly!$B$2:$B$61,$A32)*INDEX('Age profile'!$B$2:$B$61,AF$1-$A32+1),"")</f>
        <v/>
      </c>
      <c r="AG32" s="53">
        <f>IF(AG$1&gt;=$A32,INDEX(Monthly!$B$2:$B$61,$A32)*INDEX('Age profile'!$B$2:$B$61,AG$1-$A32+1),"")</f>
        <v/>
      </c>
      <c r="AH32" s="53">
        <f>IF(AH$1&gt;=$A32,INDEX(Monthly!$B$2:$B$61,$A32)*INDEX('Age profile'!$B$2:$B$61,AH$1-$A32+1),"")</f>
        <v/>
      </c>
      <c r="AI32" s="53">
        <f>IF(AI$1&gt;=$A32,INDEX(Monthly!$B$2:$B$61,$A32)*INDEX('Age profile'!$B$2:$B$61,AI$1-$A32+1),"")</f>
        <v/>
      </c>
      <c r="AJ32" s="53">
        <f>IF(AJ$1&gt;=$A32,INDEX(Monthly!$B$2:$B$61,$A32)*INDEX('Age profile'!$B$2:$B$61,AJ$1-$A32+1),"")</f>
        <v/>
      </c>
      <c r="AK32" s="53">
        <f>IF(AK$1&gt;=$A32,INDEX(Monthly!$B$2:$B$61,$A32)*INDEX('Age profile'!$B$2:$B$61,AK$1-$A32+1),"")</f>
        <v/>
      </c>
      <c r="AL32" s="53">
        <f>IF(AL$1&gt;=$A32,INDEX(Monthly!$B$2:$B$61,$A32)*INDEX('Age profile'!$B$2:$B$61,AL$1-$A32+1),"")</f>
        <v/>
      </c>
      <c r="AM32" s="53">
        <f>IF(AM$1&gt;=$A32,INDEX(Monthly!$B$2:$B$61,$A32)*INDEX('Age profile'!$B$2:$B$61,AM$1-$A32+1),"")</f>
        <v/>
      </c>
      <c r="AN32" s="53">
        <f>IF(AN$1&gt;=$A32,INDEX(Monthly!$B$2:$B$61,$A32)*INDEX('Age profile'!$B$2:$B$61,AN$1-$A32+1),"")</f>
        <v/>
      </c>
      <c r="AO32" s="53">
        <f>IF(AO$1&gt;=$A32,INDEX(Monthly!$B$2:$B$61,$A32)*INDEX('Age profile'!$B$2:$B$61,AO$1-$A32+1),"")</f>
        <v/>
      </c>
      <c r="AP32" s="53">
        <f>IF(AP$1&gt;=$A32,INDEX(Monthly!$B$2:$B$61,$A32)*INDEX('Age profile'!$B$2:$B$61,AP$1-$A32+1),"")</f>
        <v/>
      </c>
      <c r="AQ32" s="53">
        <f>IF(AQ$1&gt;=$A32,INDEX(Monthly!$B$2:$B$61,$A32)*INDEX('Age profile'!$B$2:$B$61,AQ$1-$A32+1),"")</f>
        <v/>
      </c>
      <c r="AR32" s="53">
        <f>IF(AR$1&gt;=$A32,INDEX(Monthly!$B$2:$B$61,$A32)*INDEX('Age profile'!$B$2:$B$61,AR$1-$A32+1),"")</f>
        <v/>
      </c>
      <c r="AS32" s="53">
        <f>IF(AS$1&gt;=$A32,INDEX(Monthly!$B$2:$B$61,$A32)*INDEX('Age profile'!$B$2:$B$61,AS$1-$A32+1),"")</f>
        <v/>
      </c>
      <c r="AT32" s="53">
        <f>IF(AT$1&gt;=$A32,INDEX(Monthly!$B$2:$B$61,$A32)*INDEX('Age profile'!$B$2:$B$61,AT$1-$A32+1),"")</f>
        <v/>
      </c>
      <c r="AU32" s="53">
        <f>IF(AU$1&gt;=$A32,INDEX(Monthly!$B$2:$B$61,$A32)*INDEX('Age profile'!$B$2:$B$61,AU$1-$A32+1),"")</f>
        <v/>
      </c>
      <c r="AV32" s="53">
        <f>IF(AV$1&gt;=$A32,INDEX(Monthly!$B$2:$B$61,$A32)*INDEX('Age profile'!$B$2:$B$61,AV$1-$A32+1),"")</f>
        <v/>
      </c>
      <c r="AW32" s="53">
        <f>IF(AW$1&gt;=$A32,INDEX(Monthly!$B$2:$B$61,$A32)*INDEX('Age profile'!$B$2:$B$61,AW$1-$A32+1),"")</f>
        <v/>
      </c>
      <c r="AX32" s="53">
        <f>IF(AX$1&gt;=$A32,INDEX(Monthly!$B$2:$B$61,$A32)*INDEX('Age profile'!$B$2:$B$61,AX$1-$A32+1),"")</f>
        <v/>
      </c>
      <c r="AY32" s="53">
        <f>IF(AY$1&gt;=$A32,INDEX(Monthly!$B$2:$B$61,$A32)*INDEX('Age profile'!$B$2:$B$61,AY$1-$A32+1),"")</f>
        <v/>
      </c>
      <c r="AZ32" s="53">
        <f>IF(AZ$1&gt;=$A32,INDEX(Monthly!$B$2:$B$61,$A32)*INDEX('Age profile'!$B$2:$B$61,AZ$1-$A32+1),"")</f>
        <v/>
      </c>
      <c r="BA32" s="53">
        <f>IF(BA$1&gt;=$A32,INDEX(Monthly!$B$2:$B$61,$A32)*INDEX('Age profile'!$B$2:$B$61,BA$1-$A32+1),"")</f>
        <v/>
      </c>
      <c r="BB32" s="53">
        <f>IF(BB$1&gt;=$A32,INDEX(Monthly!$B$2:$B$61,$A32)*INDEX('Age profile'!$B$2:$B$61,BB$1-$A32+1),"")</f>
        <v/>
      </c>
      <c r="BC32" s="53">
        <f>IF(BC$1&gt;=$A32,INDEX(Monthly!$B$2:$B$61,$A32)*INDEX('Age profile'!$B$2:$B$61,BC$1-$A32+1),"")</f>
        <v/>
      </c>
      <c r="BD32" s="53">
        <f>IF(BD$1&gt;=$A32,INDEX(Monthly!$B$2:$B$61,$A32)*INDEX('Age profile'!$B$2:$B$61,BD$1-$A32+1),"")</f>
        <v/>
      </c>
      <c r="BE32" s="53">
        <f>IF(BE$1&gt;=$A32,INDEX(Monthly!$B$2:$B$61,$A32)*INDEX('Age profile'!$B$2:$B$61,BE$1-$A32+1),"")</f>
        <v/>
      </c>
      <c r="BF32" s="53">
        <f>IF(BF$1&gt;=$A32,INDEX(Monthly!$B$2:$B$61,$A32)*INDEX('Age profile'!$B$2:$B$61,BF$1-$A32+1),"")</f>
        <v/>
      </c>
      <c r="BG32" s="53">
        <f>IF(BG$1&gt;=$A32,INDEX(Monthly!$B$2:$B$61,$A32)*INDEX('Age profile'!$B$2:$B$61,BG$1-$A32+1),"")</f>
        <v/>
      </c>
      <c r="BH32" s="53">
        <f>IF(BH$1&gt;=$A32,INDEX(Monthly!$B$2:$B$61,$A32)*INDEX('Age profile'!$B$2:$B$61,BH$1-$A32+1),"")</f>
        <v/>
      </c>
      <c r="BI32" s="53">
        <f>IF(BI$1&gt;=$A32,INDEX(Monthly!$B$2:$B$61,$A32)*INDEX('Age profile'!$B$2:$B$61,BI$1-$A32+1),"")</f>
        <v/>
      </c>
    </row>
    <row r="33">
      <c r="A33" s="3" t="n">
        <v>32</v>
      </c>
      <c r="B33" s="53">
        <f>IF(B$1&gt;=$A33,INDEX(Monthly!$B$2:$B$61,$A33)*INDEX('Age profile'!$B$2:$B$61,B$1-$A33+1),"")</f>
        <v/>
      </c>
      <c r="C33" s="53">
        <f>IF(C$1&gt;=$A33,INDEX(Monthly!$B$2:$B$61,$A33)*INDEX('Age profile'!$B$2:$B$61,C$1-$A33+1),"")</f>
        <v/>
      </c>
      <c r="D33" s="53">
        <f>IF(D$1&gt;=$A33,INDEX(Monthly!$B$2:$B$61,$A33)*INDEX('Age profile'!$B$2:$B$61,D$1-$A33+1),"")</f>
        <v/>
      </c>
      <c r="E33" s="53">
        <f>IF(E$1&gt;=$A33,INDEX(Monthly!$B$2:$B$61,$A33)*INDEX('Age profile'!$B$2:$B$61,E$1-$A33+1),"")</f>
        <v/>
      </c>
      <c r="F33" s="53">
        <f>IF(F$1&gt;=$A33,INDEX(Monthly!$B$2:$B$61,$A33)*INDEX('Age profile'!$B$2:$B$61,F$1-$A33+1),"")</f>
        <v/>
      </c>
      <c r="G33" s="53">
        <f>IF(G$1&gt;=$A33,INDEX(Monthly!$B$2:$B$61,$A33)*INDEX('Age profile'!$B$2:$B$61,G$1-$A33+1),"")</f>
        <v/>
      </c>
      <c r="H33" s="53">
        <f>IF(H$1&gt;=$A33,INDEX(Monthly!$B$2:$B$61,$A33)*INDEX('Age profile'!$B$2:$B$61,H$1-$A33+1),"")</f>
        <v/>
      </c>
      <c r="I33" s="53">
        <f>IF(I$1&gt;=$A33,INDEX(Monthly!$B$2:$B$61,$A33)*INDEX('Age profile'!$B$2:$B$61,I$1-$A33+1),"")</f>
        <v/>
      </c>
      <c r="J33" s="53">
        <f>IF(J$1&gt;=$A33,INDEX(Monthly!$B$2:$B$61,$A33)*INDEX('Age profile'!$B$2:$B$61,J$1-$A33+1),"")</f>
        <v/>
      </c>
      <c r="K33" s="53">
        <f>IF(K$1&gt;=$A33,INDEX(Monthly!$B$2:$B$61,$A33)*INDEX('Age profile'!$B$2:$B$61,K$1-$A33+1),"")</f>
        <v/>
      </c>
      <c r="L33" s="53">
        <f>IF(L$1&gt;=$A33,INDEX(Monthly!$B$2:$B$61,$A33)*INDEX('Age profile'!$B$2:$B$61,L$1-$A33+1),"")</f>
        <v/>
      </c>
      <c r="M33" s="53">
        <f>IF(M$1&gt;=$A33,INDEX(Monthly!$B$2:$B$61,$A33)*INDEX('Age profile'!$B$2:$B$61,M$1-$A33+1),"")</f>
        <v/>
      </c>
      <c r="N33" s="53">
        <f>IF(N$1&gt;=$A33,INDEX(Monthly!$B$2:$B$61,$A33)*INDEX('Age profile'!$B$2:$B$61,N$1-$A33+1),"")</f>
        <v/>
      </c>
      <c r="O33" s="53">
        <f>IF(O$1&gt;=$A33,INDEX(Monthly!$B$2:$B$61,$A33)*INDEX('Age profile'!$B$2:$B$61,O$1-$A33+1),"")</f>
        <v/>
      </c>
      <c r="P33" s="53">
        <f>IF(P$1&gt;=$A33,INDEX(Monthly!$B$2:$B$61,$A33)*INDEX('Age profile'!$B$2:$B$61,P$1-$A33+1),"")</f>
        <v/>
      </c>
      <c r="Q33" s="53">
        <f>IF(Q$1&gt;=$A33,INDEX(Monthly!$B$2:$B$61,$A33)*INDEX('Age profile'!$B$2:$B$61,Q$1-$A33+1),"")</f>
        <v/>
      </c>
      <c r="R33" s="53">
        <f>IF(R$1&gt;=$A33,INDEX(Monthly!$B$2:$B$61,$A33)*INDEX('Age profile'!$B$2:$B$61,R$1-$A33+1),"")</f>
        <v/>
      </c>
      <c r="S33" s="53">
        <f>IF(S$1&gt;=$A33,INDEX(Monthly!$B$2:$B$61,$A33)*INDEX('Age profile'!$B$2:$B$61,S$1-$A33+1),"")</f>
        <v/>
      </c>
      <c r="T33" s="53">
        <f>IF(T$1&gt;=$A33,INDEX(Monthly!$B$2:$B$61,$A33)*INDEX('Age profile'!$B$2:$B$61,T$1-$A33+1),"")</f>
        <v/>
      </c>
      <c r="U33" s="53">
        <f>IF(U$1&gt;=$A33,INDEX(Monthly!$B$2:$B$61,$A33)*INDEX('Age profile'!$B$2:$B$61,U$1-$A33+1),"")</f>
        <v/>
      </c>
      <c r="V33" s="53">
        <f>IF(V$1&gt;=$A33,INDEX(Monthly!$B$2:$B$61,$A33)*INDEX('Age profile'!$B$2:$B$61,V$1-$A33+1),"")</f>
        <v/>
      </c>
      <c r="W33" s="53">
        <f>IF(W$1&gt;=$A33,INDEX(Monthly!$B$2:$B$61,$A33)*INDEX('Age profile'!$B$2:$B$61,W$1-$A33+1),"")</f>
        <v/>
      </c>
      <c r="X33" s="53">
        <f>IF(X$1&gt;=$A33,INDEX(Monthly!$B$2:$B$61,$A33)*INDEX('Age profile'!$B$2:$B$61,X$1-$A33+1),"")</f>
        <v/>
      </c>
      <c r="Y33" s="53">
        <f>IF(Y$1&gt;=$A33,INDEX(Monthly!$B$2:$B$61,$A33)*INDEX('Age profile'!$B$2:$B$61,Y$1-$A33+1),"")</f>
        <v/>
      </c>
      <c r="Z33" s="53">
        <f>IF(Z$1&gt;=$A33,INDEX(Monthly!$B$2:$B$61,$A33)*INDEX('Age profile'!$B$2:$B$61,Z$1-$A33+1),"")</f>
        <v/>
      </c>
      <c r="AA33" s="53">
        <f>IF(AA$1&gt;=$A33,INDEX(Monthly!$B$2:$B$61,$A33)*INDEX('Age profile'!$B$2:$B$61,AA$1-$A33+1),"")</f>
        <v/>
      </c>
      <c r="AB33" s="53">
        <f>IF(AB$1&gt;=$A33,INDEX(Monthly!$B$2:$B$61,$A33)*INDEX('Age profile'!$B$2:$B$61,AB$1-$A33+1),"")</f>
        <v/>
      </c>
      <c r="AC33" s="53">
        <f>IF(AC$1&gt;=$A33,INDEX(Monthly!$B$2:$B$61,$A33)*INDEX('Age profile'!$B$2:$B$61,AC$1-$A33+1),"")</f>
        <v/>
      </c>
      <c r="AD33" s="53">
        <f>IF(AD$1&gt;=$A33,INDEX(Monthly!$B$2:$B$61,$A33)*INDEX('Age profile'!$B$2:$B$61,AD$1-$A33+1),"")</f>
        <v/>
      </c>
      <c r="AE33" s="53">
        <f>IF(AE$1&gt;=$A33,INDEX(Monthly!$B$2:$B$61,$A33)*INDEX('Age profile'!$B$2:$B$61,AE$1-$A33+1),"")</f>
        <v/>
      </c>
      <c r="AF33" s="53">
        <f>IF(AF$1&gt;=$A33,INDEX(Monthly!$B$2:$B$61,$A33)*INDEX('Age profile'!$B$2:$B$61,AF$1-$A33+1),"")</f>
        <v/>
      </c>
      <c r="AG33" s="53">
        <f>IF(AG$1&gt;=$A33,INDEX(Monthly!$B$2:$B$61,$A33)*INDEX('Age profile'!$B$2:$B$61,AG$1-$A33+1),"")</f>
        <v/>
      </c>
      <c r="AH33" s="53">
        <f>IF(AH$1&gt;=$A33,INDEX(Monthly!$B$2:$B$61,$A33)*INDEX('Age profile'!$B$2:$B$61,AH$1-$A33+1),"")</f>
        <v/>
      </c>
      <c r="AI33" s="53">
        <f>IF(AI$1&gt;=$A33,INDEX(Monthly!$B$2:$B$61,$A33)*INDEX('Age profile'!$B$2:$B$61,AI$1-$A33+1),"")</f>
        <v/>
      </c>
      <c r="AJ33" s="53">
        <f>IF(AJ$1&gt;=$A33,INDEX(Monthly!$B$2:$B$61,$A33)*INDEX('Age profile'!$B$2:$B$61,AJ$1-$A33+1),"")</f>
        <v/>
      </c>
      <c r="AK33" s="53">
        <f>IF(AK$1&gt;=$A33,INDEX(Monthly!$B$2:$B$61,$A33)*INDEX('Age profile'!$B$2:$B$61,AK$1-$A33+1),"")</f>
        <v/>
      </c>
      <c r="AL33" s="53">
        <f>IF(AL$1&gt;=$A33,INDEX(Monthly!$B$2:$B$61,$A33)*INDEX('Age profile'!$B$2:$B$61,AL$1-$A33+1),"")</f>
        <v/>
      </c>
      <c r="AM33" s="53">
        <f>IF(AM$1&gt;=$A33,INDEX(Monthly!$B$2:$B$61,$A33)*INDEX('Age profile'!$B$2:$B$61,AM$1-$A33+1),"")</f>
        <v/>
      </c>
      <c r="AN33" s="53">
        <f>IF(AN$1&gt;=$A33,INDEX(Monthly!$B$2:$B$61,$A33)*INDEX('Age profile'!$B$2:$B$61,AN$1-$A33+1),"")</f>
        <v/>
      </c>
      <c r="AO33" s="53">
        <f>IF(AO$1&gt;=$A33,INDEX(Monthly!$B$2:$B$61,$A33)*INDEX('Age profile'!$B$2:$B$61,AO$1-$A33+1),"")</f>
        <v/>
      </c>
      <c r="AP33" s="53">
        <f>IF(AP$1&gt;=$A33,INDEX(Monthly!$B$2:$B$61,$A33)*INDEX('Age profile'!$B$2:$B$61,AP$1-$A33+1),"")</f>
        <v/>
      </c>
      <c r="AQ33" s="53">
        <f>IF(AQ$1&gt;=$A33,INDEX(Monthly!$B$2:$B$61,$A33)*INDEX('Age profile'!$B$2:$B$61,AQ$1-$A33+1),"")</f>
        <v/>
      </c>
      <c r="AR33" s="53">
        <f>IF(AR$1&gt;=$A33,INDEX(Monthly!$B$2:$B$61,$A33)*INDEX('Age profile'!$B$2:$B$61,AR$1-$A33+1),"")</f>
        <v/>
      </c>
      <c r="AS33" s="53">
        <f>IF(AS$1&gt;=$A33,INDEX(Monthly!$B$2:$B$61,$A33)*INDEX('Age profile'!$B$2:$B$61,AS$1-$A33+1),"")</f>
        <v/>
      </c>
      <c r="AT33" s="53">
        <f>IF(AT$1&gt;=$A33,INDEX(Monthly!$B$2:$B$61,$A33)*INDEX('Age profile'!$B$2:$B$61,AT$1-$A33+1),"")</f>
        <v/>
      </c>
      <c r="AU33" s="53">
        <f>IF(AU$1&gt;=$A33,INDEX(Monthly!$B$2:$B$61,$A33)*INDEX('Age profile'!$B$2:$B$61,AU$1-$A33+1),"")</f>
        <v/>
      </c>
      <c r="AV33" s="53">
        <f>IF(AV$1&gt;=$A33,INDEX(Monthly!$B$2:$B$61,$A33)*INDEX('Age profile'!$B$2:$B$61,AV$1-$A33+1),"")</f>
        <v/>
      </c>
      <c r="AW33" s="53">
        <f>IF(AW$1&gt;=$A33,INDEX(Monthly!$B$2:$B$61,$A33)*INDEX('Age profile'!$B$2:$B$61,AW$1-$A33+1),"")</f>
        <v/>
      </c>
      <c r="AX33" s="53">
        <f>IF(AX$1&gt;=$A33,INDEX(Monthly!$B$2:$B$61,$A33)*INDEX('Age profile'!$B$2:$B$61,AX$1-$A33+1),"")</f>
        <v/>
      </c>
      <c r="AY33" s="53">
        <f>IF(AY$1&gt;=$A33,INDEX(Monthly!$B$2:$B$61,$A33)*INDEX('Age profile'!$B$2:$B$61,AY$1-$A33+1),"")</f>
        <v/>
      </c>
      <c r="AZ33" s="53">
        <f>IF(AZ$1&gt;=$A33,INDEX(Monthly!$B$2:$B$61,$A33)*INDEX('Age profile'!$B$2:$B$61,AZ$1-$A33+1),"")</f>
        <v/>
      </c>
      <c r="BA33" s="53">
        <f>IF(BA$1&gt;=$A33,INDEX(Monthly!$B$2:$B$61,$A33)*INDEX('Age profile'!$B$2:$B$61,BA$1-$A33+1),"")</f>
        <v/>
      </c>
      <c r="BB33" s="53">
        <f>IF(BB$1&gt;=$A33,INDEX(Monthly!$B$2:$B$61,$A33)*INDEX('Age profile'!$B$2:$B$61,BB$1-$A33+1),"")</f>
        <v/>
      </c>
      <c r="BC33" s="53">
        <f>IF(BC$1&gt;=$A33,INDEX(Monthly!$B$2:$B$61,$A33)*INDEX('Age profile'!$B$2:$B$61,BC$1-$A33+1),"")</f>
        <v/>
      </c>
      <c r="BD33" s="53">
        <f>IF(BD$1&gt;=$A33,INDEX(Monthly!$B$2:$B$61,$A33)*INDEX('Age profile'!$B$2:$B$61,BD$1-$A33+1),"")</f>
        <v/>
      </c>
      <c r="BE33" s="53">
        <f>IF(BE$1&gt;=$A33,INDEX(Monthly!$B$2:$B$61,$A33)*INDEX('Age profile'!$B$2:$B$61,BE$1-$A33+1),"")</f>
        <v/>
      </c>
      <c r="BF33" s="53">
        <f>IF(BF$1&gt;=$A33,INDEX(Monthly!$B$2:$B$61,$A33)*INDEX('Age profile'!$B$2:$B$61,BF$1-$A33+1),"")</f>
        <v/>
      </c>
      <c r="BG33" s="53">
        <f>IF(BG$1&gt;=$A33,INDEX(Monthly!$B$2:$B$61,$A33)*INDEX('Age profile'!$B$2:$B$61,BG$1-$A33+1),"")</f>
        <v/>
      </c>
      <c r="BH33" s="53">
        <f>IF(BH$1&gt;=$A33,INDEX(Monthly!$B$2:$B$61,$A33)*INDEX('Age profile'!$B$2:$B$61,BH$1-$A33+1),"")</f>
        <v/>
      </c>
      <c r="BI33" s="53">
        <f>IF(BI$1&gt;=$A33,INDEX(Monthly!$B$2:$B$61,$A33)*INDEX('Age profile'!$B$2:$B$61,BI$1-$A33+1),"")</f>
        <v/>
      </c>
    </row>
    <row r="34">
      <c r="A34" s="3" t="n">
        <v>33</v>
      </c>
      <c r="B34" s="53">
        <f>IF(B$1&gt;=$A34,INDEX(Monthly!$B$2:$B$61,$A34)*INDEX('Age profile'!$B$2:$B$61,B$1-$A34+1),"")</f>
        <v/>
      </c>
      <c r="C34" s="53">
        <f>IF(C$1&gt;=$A34,INDEX(Monthly!$B$2:$B$61,$A34)*INDEX('Age profile'!$B$2:$B$61,C$1-$A34+1),"")</f>
        <v/>
      </c>
      <c r="D34" s="53">
        <f>IF(D$1&gt;=$A34,INDEX(Monthly!$B$2:$B$61,$A34)*INDEX('Age profile'!$B$2:$B$61,D$1-$A34+1),"")</f>
        <v/>
      </c>
      <c r="E34" s="53">
        <f>IF(E$1&gt;=$A34,INDEX(Monthly!$B$2:$B$61,$A34)*INDEX('Age profile'!$B$2:$B$61,E$1-$A34+1),"")</f>
        <v/>
      </c>
      <c r="F34" s="53">
        <f>IF(F$1&gt;=$A34,INDEX(Monthly!$B$2:$B$61,$A34)*INDEX('Age profile'!$B$2:$B$61,F$1-$A34+1),"")</f>
        <v/>
      </c>
      <c r="G34" s="53">
        <f>IF(G$1&gt;=$A34,INDEX(Monthly!$B$2:$B$61,$A34)*INDEX('Age profile'!$B$2:$B$61,G$1-$A34+1),"")</f>
        <v/>
      </c>
      <c r="H34" s="53">
        <f>IF(H$1&gt;=$A34,INDEX(Monthly!$B$2:$B$61,$A34)*INDEX('Age profile'!$B$2:$B$61,H$1-$A34+1),"")</f>
        <v/>
      </c>
      <c r="I34" s="53">
        <f>IF(I$1&gt;=$A34,INDEX(Monthly!$B$2:$B$61,$A34)*INDEX('Age profile'!$B$2:$B$61,I$1-$A34+1),"")</f>
        <v/>
      </c>
      <c r="J34" s="53">
        <f>IF(J$1&gt;=$A34,INDEX(Monthly!$B$2:$B$61,$A34)*INDEX('Age profile'!$B$2:$B$61,J$1-$A34+1),"")</f>
        <v/>
      </c>
      <c r="K34" s="53">
        <f>IF(K$1&gt;=$A34,INDEX(Monthly!$B$2:$B$61,$A34)*INDEX('Age profile'!$B$2:$B$61,K$1-$A34+1),"")</f>
        <v/>
      </c>
      <c r="L34" s="53">
        <f>IF(L$1&gt;=$A34,INDEX(Monthly!$B$2:$B$61,$A34)*INDEX('Age profile'!$B$2:$B$61,L$1-$A34+1),"")</f>
        <v/>
      </c>
      <c r="M34" s="53">
        <f>IF(M$1&gt;=$A34,INDEX(Monthly!$B$2:$B$61,$A34)*INDEX('Age profile'!$B$2:$B$61,M$1-$A34+1),"")</f>
        <v/>
      </c>
      <c r="N34" s="53">
        <f>IF(N$1&gt;=$A34,INDEX(Monthly!$B$2:$B$61,$A34)*INDEX('Age profile'!$B$2:$B$61,N$1-$A34+1),"")</f>
        <v/>
      </c>
      <c r="O34" s="53">
        <f>IF(O$1&gt;=$A34,INDEX(Monthly!$B$2:$B$61,$A34)*INDEX('Age profile'!$B$2:$B$61,O$1-$A34+1),"")</f>
        <v/>
      </c>
      <c r="P34" s="53">
        <f>IF(P$1&gt;=$A34,INDEX(Monthly!$B$2:$B$61,$A34)*INDEX('Age profile'!$B$2:$B$61,P$1-$A34+1),"")</f>
        <v/>
      </c>
      <c r="Q34" s="53">
        <f>IF(Q$1&gt;=$A34,INDEX(Monthly!$B$2:$B$61,$A34)*INDEX('Age profile'!$B$2:$B$61,Q$1-$A34+1),"")</f>
        <v/>
      </c>
      <c r="R34" s="53">
        <f>IF(R$1&gt;=$A34,INDEX(Monthly!$B$2:$B$61,$A34)*INDEX('Age profile'!$B$2:$B$61,R$1-$A34+1),"")</f>
        <v/>
      </c>
      <c r="S34" s="53">
        <f>IF(S$1&gt;=$A34,INDEX(Monthly!$B$2:$B$61,$A34)*INDEX('Age profile'!$B$2:$B$61,S$1-$A34+1),"")</f>
        <v/>
      </c>
      <c r="T34" s="53">
        <f>IF(T$1&gt;=$A34,INDEX(Monthly!$B$2:$B$61,$A34)*INDEX('Age profile'!$B$2:$B$61,T$1-$A34+1),"")</f>
        <v/>
      </c>
      <c r="U34" s="53">
        <f>IF(U$1&gt;=$A34,INDEX(Monthly!$B$2:$B$61,$A34)*INDEX('Age profile'!$B$2:$B$61,U$1-$A34+1),"")</f>
        <v/>
      </c>
      <c r="V34" s="53">
        <f>IF(V$1&gt;=$A34,INDEX(Monthly!$B$2:$B$61,$A34)*INDEX('Age profile'!$B$2:$B$61,V$1-$A34+1),"")</f>
        <v/>
      </c>
      <c r="W34" s="53">
        <f>IF(W$1&gt;=$A34,INDEX(Monthly!$B$2:$B$61,$A34)*INDEX('Age profile'!$B$2:$B$61,W$1-$A34+1),"")</f>
        <v/>
      </c>
      <c r="X34" s="53">
        <f>IF(X$1&gt;=$A34,INDEX(Monthly!$B$2:$B$61,$A34)*INDEX('Age profile'!$B$2:$B$61,X$1-$A34+1),"")</f>
        <v/>
      </c>
      <c r="Y34" s="53">
        <f>IF(Y$1&gt;=$A34,INDEX(Monthly!$B$2:$B$61,$A34)*INDEX('Age profile'!$B$2:$B$61,Y$1-$A34+1),"")</f>
        <v/>
      </c>
      <c r="Z34" s="53">
        <f>IF(Z$1&gt;=$A34,INDEX(Monthly!$B$2:$B$61,$A34)*INDEX('Age profile'!$B$2:$B$61,Z$1-$A34+1),"")</f>
        <v/>
      </c>
      <c r="AA34" s="53">
        <f>IF(AA$1&gt;=$A34,INDEX(Monthly!$B$2:$B$61,$A34)*INDEX('Age profile'!$B$2:$B$61,AA$1-$A34+1),"")</f>
        <v/>
      </c>
      <c r="AB34" s="53">
        <f>IF(AB$1&gt;=$A34,INDEX(Monthly!$B$2:$B$61,$A34)*INDEX('Age profile'!$B$2:$B$61,AB$1-$A34+1),"")</f>
        <v/>
      </c>
      <c r="AC34" s="53">
        <f>IF(AC$1&gt;=$A34,INDEX(Monthly!$B$2:$B$61,$A34)*INDEX('Age profile'!$B$2:$B$61,AC$1-$A34+1),"")</f>
        <v/>
      </c>
      <c r="AD34" s="53">
        <f>IF(AD$1&gt;=$A34,INDEX(Monthly!$B$2:$B$61,$A34)*INDEX('Age profile'!$B$2:$B$61,AD$1-$A34+1),"")</f>
        <v/>
      </c>
      <c r="AE34" s="53">
        <f>IF(AE$1&gt;=$A34,INDEX(Monthly!$B$2:$B$61,$A34)*INDEX('Age profile'!$B$2:$B$61,AE$1-$A34+1),"")</f>
        <v/>
      </c>
      <c r="AF34" s="53">
        <f>IF(AF$1&gt;=$A34,INDEX(Monthly!$B$2:$B$61,$A34)*INDEX('Age profile'!$B$2:$B$61,AF$1-$A34+1),"")</f>
        <v/>
      </c>
      <c r="AG34" s="53">
        <f>IF(AG$1&gt;=$A34,INDEX(Monthly!$B$2:$B$61,$A34)*INDEX('Age profile'!$B$2:$B$61,AG$1-$A34+1),"")</f>
        <v/>
      </c>
      <c r="AH34" s="53">
        <f>IF(AH$1&gt;=$A34,INDEX(Monthly!$B$2:$B$61,$A34)*INDEX('Age profile'!$B$2:$B$61,AH$1-$A34+1),"")</f>
        <v/>
      </c>
      <c r="AI34" s="53">
        <f>IF(AI$1&gt;=$A34,INDEX(Monthly!$B$2:$B$61,$A34)*INDEX('Age profile'!$B$2:$B$61,AI$1-$A34+1),"")</f>
        <v/>
      </c>
      <c r="AJ34" s="53">
        <f>IF(AJ$1&gt;=$A34,INDEX(Monthly!$B$2:$B$61,$A34)*INDEX('Age profile'!$B$2:$B$61,AJ$1-$A34+1),"")</f>
        <v/>
      </c>
      <c r="AK34" s="53">
        <f>IF(AK$1&gt;=$A34,INDEX(Monthly!$B$2:$B$61,$A34)*INDEX('Age profile'!$B$2:$B$61,AK$1-$A34+1),"")</f>
        <v/>
      </c>
      <c r="AL34" s="53">
        <f>IF(AL$1&gt;=$A34,INDEX(Monthly!$B$2:$B$61,$A34)*INDEX('Age profile'!$B$2:$B$61,AL$1-$A34+1),"")</f>
        <v/>
      </c>
      <c r="AM34" s="53">
        <f>IF(AM$1&gt;=$A34,INDEX(Monthly!$B$2:$B$61,$A34)*INDEX('Age profile'!$B$2:$B$61,AM$1-$A34+1),"")</f>
        <v/>
      </c>
      <c r="AN34" s="53">
        <f>IF(AN$1&gt;=$A34,INDEX(Monthly!$B$2:$B$61,$A34)*INDEX('Age profile'!$B$2:$B$61,AN$1-$A34+1),"")</f>
        <v/>
      </c>
      <c r="AO34" s="53">
        <f>IF(AO$1&gt;=$A34,INDEX(Monthly!$B$2:$B$61,$A34)*INDEX('Age profile'!$B$2:$B$61,AO$1-$A34+1),"")</f>
        <v/>
      </c>
      <c r="AP34" s="53">
        <f>IF(AP$1&gt;=$A34,INDEX(Monthly!$B$2:$B$61,$A34)*INDEX('Age profile'!$B$2:$B$61,AP$1-$A34+1),"")</f>
        <v/>
      </c>
      <c r="AQ34" s="53">
        <f>IF(AQ$1&gt;=$A34,INDEX(Monthly!$B$2:$B$61,$A34)*INDEX('Age profile'!$B$2:$B$61,AQ$1-$A34+1),"")</f>
        <v/>
      </c>
      <c r="AR34" s="53">
        <f>IF(AR$1&gt;=$A34,INDEX(Monthly!$B$2:$B$61,$A34)*INDEX('Age profile'!$B$2:$B$61,AR$1-$A34+1),"")</f>
        <v/>
      </c>
      <c r="AS34" s="53">
        <f>IF(AS$1&gt;=$A34,INDEX(Monthly!$B$2:$B$61,$A34)*INDEX('Age profile'!$B$2:$B$61,AS$1-$A34+1),"")</f>
        <v/>
      </c>
      <c r="AT34" s="53">
        <f>IF(AT$1&gt;=$A34,INDEX(Monthly!$B$2:$B$61,$A34)*INDEX('Age profile'!$B$2:$B$61,AT$1-$A34+1),"")</f>
        <v/>
      </c>
      <c r="AU34" s="53">
        <f>IF(AU$1&gt;=$A34,INDEX(Monthly!$B$2:$B$61,$A34)*INDEX('Age profile'!$B$2:$B$61,AU$1-$A34+1),"")</f>
        <v/>
      </c>
      <c r="AV34" s="53">
        <f>IF(AV$1&gt;=$A34,INDEX(Monthly!$B$2:$B$61,$A34)*INDEX('Age profile'!$B$2:$B$61,AV$1-$A34+1),"")</f>
        <v/>
      </c>
      <c r="AW34" s="53">
        <f>IF(AW$1&gt;=$A34,INDEX(Monthly!$B$2:$B$61,$A34)*INDEX('Age profile'!$B$2:$B$61,AW$1-$A34+1),"")</f>
        <v/>
      </c>
      <c r="AX34" s="53">
        <f>IF(AX$1&gt;=$A34,INDEX(Monthly!$B$2:$B$61,$A34)*INDEX('Age profile'!$B$2:$B$61,AX$1-$A34+1),"")</f>
        <v/>
      </c>
      <c r="AY34" s="53">
        <f>IF(AY$1&gt;=$A34,INDEX(Monthly!$B$2:$B$61,$A34)*INDEX('Age profile'!$B$2:$B$61,AY$1-$A34+1),"")</f>
        <v/>
      </c>
      <c r="AZ34" s="53">
        <f>IF(AZ$1&gt;=$A34,INDEX(Monthly!$B$2:$B$61,$A34)*INDEX('Age profile'!$B$2:$B$61,AZ$1-$A34+1),"")</f>
        <v/>
      </c>
      <c r="BA34" s="53">
        <f>IF(BA$1&gt;=$A34,INDEX(Monthly!$B$2:$B$61,$A34)*INDEX('Age profile'!$B$2:$B$61,BA$1-$A34+1),"")</f>
        <v/>
      </c>
      <c r="BB34" s="53">
        <f>IF(BB$1&gt;=$A34,INDEX(Monthly!$B$2:$B$61,$A34)*INDEX('Age profile'!$B$2:$B$61,BB$1-$A34+1),"")</f>
        <v/>
      </c>
      <c r="BC34" s="53">
        <f>IF(BC$1&gt;=$A34,INDEX(Monthly!$B$2:$B$61,$A34)*INDEX('Age profile'!$B$2:$B$61,BC$1-$A34+1),"")</f>
        <v/>
      </c>
      <c r="BD34" s="53">
        <f>IF(BD$1&gt;=$A34,INDEX(Monthly!$B$2:$B$61,$A34)*INDEX('Age profile'!$B$2:$B$61,BD$1-$A34+1),"")</f>
        <v/>
      </c>
      <c r="BE34" s="53">
        <f>IF(BE$1&gt;=$A34,INDEX(Monthly!$B$2:$B$61,$A34)*INDEX('Age profile'!$B$2:$B$61,BE$1-$A34+1),"")</f>
        <v/>
      </c>
      <c r="BF34" s="53">
        <f>IF(BF$1&gt;=$A34,INDEX(Monthly!$B$2:$B$61,$A34)*INDEX('Age profile'!$B$2:$B$61,BF$1-$A34+1),"")</f>
        <v/>
      </c>
      <c r="BG34" s="53">
        <f>IF(BG$1&gt;=$A34,INDEX(Monthly!$B$2:$B$61,$A34)*INDEX('Age profile'!$B$2:$B$61,BG$1-$A34+1),"")</f>
        <v/>
      </c>
      <c r="BH34" s="53">
        <f>IF(BH$1&gt;=$A34,INDEX(Monthly!$B$2:$B$61,$A34)*INDEX('Age profile'!$B$2:$B$61,BH$1-$A34+1),"")</f>
        <v/>
      </c>
      <c r="BI34" s="53">
        <f>IF(BI$1&gt;=$A34,INDEX(Monthly!$B$2:$B$61,$A34)*INDEX('Age profile'!$B$2:$B$61,BI$1-$A34+1),"")</f>
        <v/>
      </c>
    </row>
    <row r="35">
      <c r="A35" s="3" t="n">
        <v>34</v>
      </c>
      <c r="B35" s="53">
        <f>IF(B$1&gt;=$A35,INDEX(Monthly!$B$2:$B$61,$A35)*INDEX('Age profile'!$B$2:$B$61,B$1-$A35+1),"")</f>
        <v/>
      </c>
      <c r="C35" s="53">
        <f>IF(C$1&gt;=$A35,INDEX(Monthly!$B$2:$B$61,$A35)*INDEX('Age profile'!$B$2:$B$61,C$1-$A35+1),"")</f>
        <v/>
      </c>
      <c r="D35" s="53">
        <f>IF(D$1&gt;=$A35,INDEX(Monthly!$B$2:$B$61,$A35)*INDEX('Age profile'!$B$2:$B$61,D$1-$A35+1),"")</f>
        <v/>
      </c>
      <c r="E35" s="53">
        <f>IF(E$1&gt;=$A35,INDEX(Monthly!$B$2:$B$61,$A35)*INDEX('Age profile'!$B$2:$B$61,E$1-$A35+1),"")</f>
        <v/>
      </c>
      <c r="F35" s="53">
        <f>IF(F$1&gt;=$A35,INDEX(Monthly!$B$2:$B$61,$A35)*INDEX('Age profile'!$B$2:$B$61,F$1-$A35+1),"")</f>
        <v/>
      </c>
      <c r="G35" s="53">
        <f>IF(G$1&gt;=$A35,INDEX(Monthly!$B$2:$B$61,$A35)*INDEX('Age profile'!$B$2:$B$61,G$1-$A35+1),"")</f>
        <v/>
      </c>
      <c r="H35" s="53">
        <f>IF(H$1&gt;=$A35,INDEX(Monthly!$B$2:$B$61,$A35)*INDEX('Age profile'!$B$2:$B$61,H$1-$A35+1),"")</f>
        <v/>
      </c>
      <c r="I35" s="53">
        <f>IF(I$1&gt;=$A35,INDEX(Monthly!$B$2:$B$61,$A35)*INDEX('Age profile'!$B$2:$B$61,I$1-$A35+1),"")</f>
        <v/>
      </c>
      <c r="J35" s="53">
        <f>IF(J$1&gt;=$A35,INDEX(Monthly!$B$2:$B$61,$A35)*INDEX('Age profile'!$B$2:$B$61,J$1-$A35+1),"")</f>
        <v/>
      </c>
      <c r="K35" s="53">
        <f>IF(K$1&gt;=$A35,INDEX(Monthly!$B$2:$B$61,$A35)*INDEX('Age profile'!$B$2:$B$61,K$1-$A35+1),"")</f>
        <v/>
      </c>
      <c r="L35" s="53">
        <f>IF(L$1&gt;=$A35,INDEX(Monthly!$B$2:$B$61,$A35)*INDEX('Age profile'!$B$2:$B$61,L$1-$A35+1),"")</f>
        <v/>
      </c>
      <c r="M35" s="53">
        <f>IF(M$1&gt;=$A35,INDEX(Monthly!$B$2:$B$61,$A35)*INDEX('Age profile'!$B$2:$B$61,M$1-$A35+1),"")</f>
        <v/>
      </c>
      <c r="N35" s="53">
        <f>IF(N$1&gt;=$A35,INDEX(Monthly!$B$2:$B$61,$A35)*INDEX('Age profile'!$B$2:$B$61,N$1-$A35+1),"")</f>
        <v/>
      </c>
      <c r="O35" s="53">
        <f>IF(O$1&gt;=$A35,INDEX(Monthly!$B$2:$B$61,$A35)*INDEX('Age profile'!$B$2:$B$61,O$1-$A35+1),"")</f>
        <v/>
      </c>
      <c r="P35" s="53">
        <f>IF(P$1&gt;=$A35,INDEX(Monthly!$B$2:$B$61,$A35)*INDEX('Age profile'!$B$2:$B$61,P$1-$A35+1),"")</f>
        <v/>
      </c>
      <c r="Q35" s="53">
        <f>IF(Q$1&gt;=$A35,INDEX(Monthly!$B$2:$B$61,$A35)*INDEX('Age profile'!$B$2:$B$61,Q$1-$A35+1),"")</f>
        <v/>
      </c>
      <c r="R35" s="53">
        <f>IF(R$1&gt;=$A35,INDEX(Monthly!$B$2:$B$61,$A35)*INDEX('Age profile'!$B$2:$B$61,R$1-$A35+1),"")</f>
        <v/>
      </c>
      <c r="S35" s="53">
        <f>IF(S$1&gt;=$A35,INDEX(Monthly!$B$2:$B$61,$A35)*INDEX('Age profile'!$B$2:$B$61,S$1-$A35+1),"")</f>
        <v/>
      </c>
      <c r="T35" s="53">
        <f>IF(T$1&gt;=$A35,INDEX(Monthly!$B$2:$B$61,$A35)*INDEX('Age profile'!$B$2:$B$61,T$1-$A35+1),"")</f>
        <v/>
      </c>
      <c r="U35" s="53">
        <f>IF(U$1&gt;=$A35,INDEX(Monthly!$B$2:$B$61,$A35)*INDEX('Age profile'!$B$2:$B$61,U$1-$A35+1),"")</f>
        <v/>
      </c>
      <c r="V35" s="53">
        <f>IF(V$1&gt;=$A35,INDEX(Monthly!$B$2:$B$61,$A35)*INDEX('Age profile'!$B$2:$B$61,V$1-$A35+1),"")</f>
        <v/>
      </c>
      <c r="W35" s="53">
        <f>IF(W$1&gt;=$A35,INDEX(Monthly!$B$2:$B$61,$A35)*INDEX('Age profile'!$B$2:$B$61,W$1-$A35+1),"")</f>
        <v/>
      </c>
      <c r="X35" s="53">
        <f>IF(X$1&gt;=$A35,INDEX(Monthly!$B$2:$B$61,$A35)*INDEX('Age profile'!$B$2:$B$61,X$1-$A35+1),"")</f>
        <v/>
      </c>
      <c r="Y35" s="53">
        <f>IF(Y$1&gt;=$A35,INDEX(Monthly!$B$2:$B$61,$A35)*INDEX('Age profile'!$B$2:$B$61,Y$1-$A35+1),"")</f>
        <v/>
      </c>
      <c r="Z35" s="53">
        <f>IF(Z$1&gt;=$A35,INDEX(Monthly!$B$2:$B$61,$A35)*INDEX('Age profile'!$B$2:$B$61,Z$1-$A35+1),"")</f>
        <v/>
      </c>
      <c r="AA35" s="53">
        <f>IF(AA$1&gt;=$A35,INDEX(Monthly!$B$2:$B$61,$A35)*INDEX('Age profile'!$B$2:$B$61,AA$1-$A35+1),"")</f>
        <v/>
      </c>
      <c r="AB35" s="53">
        <f>IF(AB$1&gt;=$A35,INDEX(Monthly!$B$2:$B$61,$A35)*INDEX('Age profile'!$B$2:$B$61,AB$1-$A35+1),"")</f>
        <v/>
      </c>
      <c r="AC35" s="53">
        <f>IF(AC$1&gt;=$A35,INDEX(Monthly!$B$2:$B$61,$A35)*INDEX('Age profile'!$B$2:$B$61,AC$1-$A35+1),"")</f>
        <v/>
      </c>
      <c r="AD35" s="53">
        <f>IF(AD$1&gt;=$A35,INDEX(Monthly!$B$2:$B$61,$A35)*INDEX('Age profile'!$B$2:$B$61,AD$1-$A35+1),"")</f>
        <v/>
      </c>
      <c r="AE35" s="53">
        <f>IF(AE$1&gt;=$A35,INDEX(Monthly!$B$2:$B$61,$A35)*INDEX('Age profile'!$B$2:$B$61,AE$1-$A35+1),"")</f>
        <v/>
      </c>
      <c r="AF35" s="53">
        <f>IF(AF$1&gt;=$A35,INDEX(Monthly!$B$2:$B$61,$A35)*INDEX('Age profile'!$B$2:$B$61,AF$1-$A35+1),"")</f>
        <v/>
      </c>
      <c r="AG35" s="53">
        <f>IF(AG$1&gt;=$A35,INDEX(Monthly!$B$2:$B$61,$A35)*INDEX('Age profile'!$B$2:$B$61,AG$1-$A35+1),"")</f>
        <v/>
      </c>
      <c r="AH35" s="53">
        <f>IF(AH$1&gt;=$A35,INDEX(Monthly!$B$2:$B$61,$A35)*INDEX('Age profile'!$B$2:$B$61,AH$1-$A35+1),"")</f>
        <v/>
      </c>
      <c r="AI35" s="53">
        <f>IF(AI$1&gt;=$A35,INDEX(Monthly!$B$2:$B$61,$A35)*INDEX('Age profile'!$B$2:$B$61,AI$1-$A35+1),"")</f>
        <v/>
      </c>
      <c r="AJ35" s="53">
        <f>IF(AJ$1&gt;=$A35,INDEX(Monthly!$B$2:$B$61,$A35)*INDEX('Age profile'!$B$2:$B$61,AJ$1-$A35+1),"")</f>
        <v/>
      </c>
      <c r="AK35" s="53">
        <f>IF(AK$1&gt;=$A35,INDEX(Monthly!$B$2:$B$61,$A35)*INDEX('Age profile'!$B$2:$B$61,AK$1-$A35+1),"")</f>
        <v/>
      </c>
      <c r="AL35" s="53">
        <f>IF(AL$1&gt;=$A35,INDEX(Monthly!$B$2:$B$61,$A35)*INDEX('Age profile'!$B$2:$B$61,AL$1-$A35+1),"")</f>
        <v/>
      </c>
      <c r="AM35" s="53">
        <f>IF(AM$1&gt;=$A35,INDEX(Monthly!$B$2:$B$61,$A35)*INDEX('Age profile'!$B$2:$B$61,AM$1-$A35+1),"")</f>
        <v/>
      </c>
      <c r="AN35" s="53">
        <f>IF(AN$1&gt;=$A35,INDEX(Monthly!$B$2:$B$61,$A35)*INDEX('Age profile'!$B$2:$B$61,AN$1-$A35+1),"")</f>
        <v/>
      </c>
      <c r="AO35" s="53">
        <f>IF(AO$1&gt;=$A35,INDEX(Monthly!$B$2:$B$61,$A35)*INDEX('Age profile'!$B$2:$B$61,AO$1-$A35+1),"")</f>
        <v/>
      </c>
      <c r="AP35" s="53">
        <f>IF(AP$1&gt;=$A35,INDEX(Monthly!$B$2:$B$61,$A35)*INDEX('Age profile'!$B$2:$B$61,AP$1-$A35+1),"")</f>
        <v/>
      </c>
      <c r="AQ35" s="53">
        <f>IF(AQ$1&gt;=$A35,INDEX(Monthly!$B$2:$B$61,$A35)*INDEX('Age profile'!$B$2:$B$61,AQ$1-$A35+1),"")</f>
        <v/>
      </c>
      <c r="AR35" s="53">
        <f>IF(AR$1&gt;=$A35,INDEX(Monthly!$B$2:$B$61,$A35)*INDEX('Age profile'!$B$2:$B$61,AR$1-$A35+1),"")</f>
        <v/>
      </c>
      <c r="AS35" s="53">
        <f>IF(AS$1&gt;=$A35,INDEX(Monthly!$B$2:$B$61,$A35)*INDEX('Age profile'!$B$2:$B$61,AS$1-$A35+1),"")</f>
        <v/>
      </c>
      <c r="AT35" s="53">
        <f>IF(AT$1&gt;=$A35,INDEX(Monthly!$B$2:$B$61,$A35)*INDEX('Age profile'!$B$2:$B$61,AT$1-$A35+1),"")</f>
        <v/>
      </c>
      <c r="AU35" s="53">
        <f>IF(AU$1&gt;=$A35,INDEX(Monthly!$B$2:$B$61,$A35)*INDEX('Age profile'!$B$2:$B$61,AU$1-$A35+1),"")</f>
        <v/>
      </c>
      <c r="AV35" s="53">
        <f>IF(AV$1&gt;=$A35,INDEX(Monthly!$B$2:$B$61,$A35)*INDEX('Age profile'!$B$2:$B$61,AV$1-$A35+1),"")</f>
        <v/>
      </c>
      <c r="AW35" s="53">
        <f>IF(AW$1&gt;=$A35,INDEX(Monthly!$B$2:$B$61,$A35)*INDEX('Age profile'!$B$2:$B$61,AW$1-$A35+1),"")</f>
        <v/>
      </c>
      <c r="AX35" s="53">
        <f>IF(AX$1&gt;=$A35,INDEX(Monthly!$B$2:$B$61,$A35)*INDEX('Age profile'!$B$2:$B$61,AX$1-$A35+1),"")</f>
        <v/>
      </c>
      <c r="AY35" s="53">
        <f>IF(AY$1&gt;=$A35,INDEX(Monthly!$B$2:$B$61,$A35)*INDEX('Age profile'!$B$2:$B$61,AY$1-$A35+1),"")</f>
        <v/>
      </c>
      <c r="AZ35" s="53">
        <f>IF(AZ$1&gt;=$A35,INDEX(Monthly!$B$2:$B$61,$A35)*INDEX('Age profile'!$B$2:$B$61,AZ$1-$A35+1),"")</f>
        <v/>
      </c>
      <c r="BA35" s="53">
        <f>IF(BA$1&gt;=$A35,INDEX(Monthly!$B$2:$B$61,$A35)*INDEX('Age profile'!$B$2:$B$61,BA$1-$A35+1),"")</f>
        <v/>
      </c>
      <c r="BB35" s="53">
        <f>IF(BB$1&gt;=$A35,INDEX(Monthly!$B$2:$B$61,$A35)*INDEX('Age profile'!$B$2:$B$61,BB$1-$A35+1),"")</f>
        <v/>
      </c>
      <c r="BC35" s="53">
        <f>IF(BC$1&gt;=$A35,INDEX(Monthly!$B$2:$B$61,$A35)*INDEX('Age profile'!$B$2:$B$61,BC$1-$A35+1),"")</f>
        <v/>
      </c>
      <c r="BD35" s="53">
        <f>IF(BD$1&gt;=$A35,INDEX(Monthly!$B$2:$B$61,$A35)*INDEX('Age profile'!$B$2:$B$61,BD$1-$A35+1),"")</f>
        <v/>
      </c>
      <c r="BE35" s="53">
        <f>IF(BE$1&gt;=$A35,INDEX(Monthly!$B$2:$B$61,$A35)*INDEX('Age profile'!$B$2:$B$61,BE$1-$A35+1),"")</f>
        <v/>
      </c>
      <c r="BF35" s="53">
        <f>IF(BF$1&gt;=$A35,INDEX(Monthly!$B$2:$B$61,$A35)*INDEX('Age profile'!$B$2:$B$61,BF$1-$A35+1),"")</f>
        <v/>
      </c>
      <c r="BG35" s="53">
        <f>IF(BG$1&gt;=$A35,INDEX(Monthly!$B$2:$B$61,$A35)*INDEX('Age profile'!$B$2:$B$61,BG$1-$A35+1),"")</f>
        <v/>
      </c>
      <c r="BH35" s="53">
        <f>IF(BH$1&gt;=$A35,INDEX(Monthly!$B$2:$B$61,$A35)*INDEX('Age profile'!$B$2:$B$61,BH$1-$A35+1),"")</f>
        <v/>
      </c>
      <c r="BI35" s="53">
        <f>IF(BI$1&gt;=$A35,INDEX(Monthly!$B$2:$B$61,$A35)*INDEX('Age profile'!$B$2:$B$61,BI$1-$A35+1),"")</f>
        <v/>
      </c>
    </row>
    <row r="36">
      <c r="A36" s="3" t="n">
        <v>35</v>
      </c>
      <c r="B36" s="53">
        <f>IF(B$1&gt;=$A36,INDEX(Monthly!$B$2:$B$61,$A36)*INDEX('Age profile'!$B$2:$B$61,B$1-$A36+1),"")</f>
        <v/>
      </c>
      <c r="C36" s="53">
        <f>IF(C$1&gt;=$A36,INDEX(Monthly!$B$2:$B$61,$A36)*INDEX('Age profile'!$B$2:$B$61,C$1-$A36+1),"")</f>
        <v/>
      </c>
      <c r="D36" s="53">
        <f>IF(D$1&gt;=$A36,INDEX(Monthly!$B$2:$B$61,$A36)*INDEX('Age profile'!$B$2:$B$61,D$1-$A36+1),"")</f>
        <v/>
      </c>
      <c r="E36" s="53">
        <f>IF(E$1&gt;=$A36,INDEX(Monthly!$B$2:$B$61,$A36)*INDEX('Age profile'!$B$2:$B$61,E$1-$A36+1),"")</f>
        <v/>
      </c>
      <c r="F36" s="53">
        <f>IF(F$1&gt;=$A36,INDEX(Monthly!$B$2:$B$61,$A36)*INDEX('Age profile'!$B$2:$B$61,F$1-$A36+1),"")</f>
        <v/>
      </c>
      <c r="G36" s="53">
        <f>IF(G$1&gt;=$A36,INDEX(Monthly!$B$2:$B$61,$A36)*INDEX('Age profile'!$B$2:$B$61,G$1-$A36+1),"")</f>
        <v/>
      </c>
      <c r="H36" s="53">
        <f>IF(H$1&gt;=$A36,INDEX(Monthly!$B$2:$B$61,$A36)*INDEX('Age profile'!$B$2:$B$61,H$1-$A36+1),"")</f>
        <v/>
      </c>
      <c r="I36" s="53">
        <f>IF(I$1&gt;=$A36,INDEX(Monthly!$B$2:$B$61,$A36)*INDEX('Age profile'!$B$2:$B$61,I$1-$A36+1),"")</f>
        <v/>
      </c>
      <c r="J36" s="53">
        <f>IF(J$1&gt;=$A36,INDEX(Monthly!$B$2:$B$61,$A36)*INDEX('Age profile'!$B$2:$B$61,J$1-$A36+1),"")</f>
        <v/>
      </c>
      <c r="K36" s="53">
        <f>IF(K$1&gt;=$A36,INDEX(Monthly!$B$2:$B$61,$A36)*INDEX('Age profile'!$B$2:$B$61,K$1-$A36+1),"")</f>
        <v/>
      </c>
      <c r="L36" s="53">
        <f>IF(L$1&gt;=$A36,INDEX(Monthly!$B$2:$B$61,$A36)*INDEX('Age profile'!$B$2:$B$61,L$1-$A36+1),"")</f>
        <v/>
      </c>
      <c r="M36" s="53">
        <f>IF(M$1&gt;=$A36,INDEX(Monthly!$B$2:$B$61,$A36)*INDEX('Age profile'!$B$2:$B$61,M$1-$A36+1),"")</f>
        <v/>
      </c>
      <c r="N36" s="53">
        <f>IF(N$1&gt;=$A36,INDEX(Monthly!$B$2:$B$61,$A36)*INDEX('Age profile'!$B$2:$B$61,N$1-$A36+1),"")</f>
        <v/>
      </c>
      <c r="O36" s="53">
        <f>IF(O$1&gt;=$A36,INDEX(Monthly!$B$2:$B$61,$A36)*INDEX('Age profile'!$B$2:$B$61,O$1-$A36+1),"")</f>
        <v/>
      </c>
      <c r="P36" s="53">
        <f>IF(P$1&gt;=$A36,INDEX(Monthly!$B$2:$B$61,$A36)*INDEX('Age profile'!$B$2:$B$61,P$1-$A36+1),"")</f>
        <v/>
      </c>
      <c r="Q36" s="53">
        <f>IF(Q$1&gt;=$A36,INDEX(Monthly!$B$2:$B$61,$A36)*INDEX('Age profile'!$B$2:$B$61,Q$1-$A36+1),"")</f>
        <v/>
      </c>
      <c r="R36" s="53">
        <f>IF(R$1&gt;=$A36,INDEX(Monthly!$B$2:$B$61,$A36)*INDEX('Age profile'!$B$2:$B$61,R$1-$A36+1),"")</f>
        <v/>
      </c>
      <c r="S36" s="53">
        <f>IF(S$1&gt;=$A36,INDEX(Monthly!$B$2:$B$61,$A36)*INDEX('Age profile'!$B$2:$B$61,S$1-$A36+1),"")</f>
        <v/>
      </c>
      <c r="T36" s="53">
        <f>IF(T$1&gt;=$A36,INDEX(Monthly!$B$2:$B$61,$A36)*INDEX('Age profile'!$B$2:$B$61,T$1-$A36+1),"")</f>
        <v/>
      </c>
      <c r="U36" s="53">
        <f>IF(U$1&gt;=$A36,INDEX(Monthly!$B$2:$B$61,$A36)*INDEX('Age profile'!$B$2:$B$61,U$1-$A36+1),"")</f>
        <v/>
      </c>
      <c r="V36" s="53">
        <f>IF(V$1&gt;=$A36,INDEX(Monthly!$B$2:$B$61,$A36)*INDEX('Age profile'!$B$2:$B$61,V$1-$A36+1),"")</f>
        <v/>
      </c>
      <c r="W36" s="53">
        <f>IF(W$1&gt;=$A36,INDEX(Monthly!$B$2:$B$61,$A36)*INDEX('Age profile'!$B$2:$B$61,W$1-$A36+1),"")</f>
        <v/>
      </c>
      <c r="X36" s="53">
        <f>IF(X$1&gt;=$A36,INDEX(Monthly!$B$2:$B$61,$A36)*INDEX('Age profile'!$B$2:$B$61,X$1-$A36+1),"")</f>
        <v/>
      </c>
      <c r="Y36" s="53">
        <f>IF(Y$1&gt;=$A36,INDEX(Monthly!$B$2:$B$61,$A36)*INDEX('Age profile'!$B$2:$B$61,Y$1-$A36+1),"")</f>
        <v/>
      </c>
      <c r="Z36" s="53">
        <f>IF(Z$1&gt;=$A36,INDEX(Monthly!$B$2:$B$61,$A36)*INDEX('Age profile'!$B$2:$B$61,Z$1-$A36+1),"")</f>
        <v/>
      </c>
      <c r="AA36" s="53">
        <f>IF(AA$1&gt;=$A36,INDEX(Monthly!$B$2:$B$61,$A36)*INDEX('Age profile'!$B$2:$B$61,AA$1-$A36+1),"")</f>
        <v/>
      </c>
      <c r="AB36" s="53">
        <f>IF(AB$1&gt;=$A36,INDEX(Monthly!$B$2:$B$61,$A36)*INDEX('Age profile'!$B$2:$B$61,AB$1-$A36+1),"")</f>
        <v/>
      </c>
      <c r="AC36" s="53">
        <f>IF(AC$1&gt;=$A36,INDEX(Monthly!$B$2:$B$61,$A36)*INDEX('Age profile'!$B$2:$B$61,AC$1-$A36+1),"")</f>
        <v/>
      </c>
      <c r="AD36" s="53">
        <f>IF(AD$1&gt;=$A36,INDEX(Monthly!$B$2:$B$61,$A36)*INDEX('Age profile'!$B$2:$B$61,AD$1-$A36+1),"")</f>
        <v/>
      </c>
      <c r="AE36" s="53">
        <f>IF(AE$1&gt;=$A36,INDEX(Monthly!$B$2:$B$61,$A36)*INDEX('Age profile'!$B$2:$B$61,AE$1-$A36+1),"")</f>
        <v/>
      </c>
      <c r="AF36" s="53">
        <f>IF(AF$1&gt;=$A36,INDEX(Monthly!$B$2:$B$61,$A36)*INDEX('Age profile'!$B$2:$B$61,AF$1-$A36+1),"")</f>
        <v/>
      </c>
      <c r="AG36" s="53">
        <f>IF(AG$1&gt;=$A36,INDEX(Monthly!$B$2:$B$61,$A36)*INDEX('Age profile'!$B$2:$B$61,AG$1-$A36+1),"")</f>
        <v/>
      </c>
      <c r="AH36" s="53">
        <f>IF(AH$1&gt;=$A36,INDEX(Monthly!$B$2:$B$61,$A36)*INDEX('Age profile'!$B$2:$B$61,AH$1-$A36+1),"")</f>
        <v/>
      </c>
      <c r="AI36" s="53">
        <f>IF(AI$1&gt;=$A36,INDEX(Monthly!$B$2:$B$61,$A36)*INDEX('Age profile'!$B$2:$B$61,AI$1-$A36+1),"")</f>
        <v/>
      </c>
      <c r="AJ36" s="53">
        <f>IF(AJ$1&gt;=$A36,INDEX(Monthly!$B$2:$B$61,$A36)*INDEX('Age profile'!$B$2:$B$61,AJ$1-$A36+1),"")</f>
        <v/>
      </c>
      <c r="AK36" s="53">
        <f>IF(AK$1&gt;=$A36,INDEX(Monthly!$B$2:$B$61,$A36)*INDEX('Age profile'!$B$2:$B$61,AK$1-$A36+1),"")</f>
        <v/>
      </c>
      <c r="AL36" s="53">
        <f>IF(AL$1&gt;=$A36,INDEX(Monthly!$B$2:$B$61,$A36)*INDEX('Age profile'!$B$2:$B$61,AL$1-$A36+1),"")</f>
        <v/>
      </c>
      <c r="AM36" s="53">
        <f>IF(AM$1&gt;=$A36,INDEX(Monthly!$B$2:$B$61,$A36)*INDEX('Age profile'!$B$2:$B$61,AM$1-$A36+1),"")</f>
        <v/>
      </c>
      <c r="AN36" s="53">
        <f>IF(AN$1&gt;=$A36,INDEX(Monthly!$B$2:$B$61,$A36)*INDEX('Age profile'!$B$2:$B$61,AN$1-$A36+1),"")</f>
        <v/>
      </c>
      <c r="AO36" s="53">
        <f>IF(AO$1&gt;=$A36,INDEX(Monthly!$B$2:$B$61,$A36)*INDEX('Age profile'!$B$2:$B$61,AO$1-$A36+1),"")</f>
        <v/>
      </c>
      <c r="AP36" s="53">
        <f>IF(AP$1&gt;=$A36,INDEX(Monthly!$B$2:$B$61,$A36)*INDEX('Age profile'!$B$2:$B$61,AP$1-$A36+1),"")</f>
        <v/>
      </c>
      <c r="AQ36" s="53">
        <f>IF(AQ$1&gt;=$A36,INDEX(Monthly!$B$2:$B$61,$A36)*INDEX('Age profile'!$B$2:$B$61,AQ$1-$A36+1),"")</f>
        <v/>
      </c>
      <c r="AR36" s="53">
        <f>IF(AR$1&gt;=$A36,INDEX(Monthly!$B$2:$B$61,$A36)*INDEX('Age profile'!$B$2:$B$61,AR$1-$A36+1),"")</f>
        <v/>
      </c>
      <c r="AS36" s="53">
        <f>IF(AS$1&gt;=$A36,INDEX(Monthly!$B$2:$B$61,$A36)*INDEX('Age profile'!$B$2:$B$61,AS$1-$A36+1),"")</f>
        <v/>
      </c>
      <c r="AT36" s="53">
        <f>IF(AT$1&gt;=$A36,INDEX(Monthly!$B$2:$B$61,$A36)*INDEX('Age profile'!$B$2:$B$61,AT$1-$A36+1),"")</f>
        <v/>
      </c>
      <c r="AU36" s="53">
        <f>IF(AU$1&gt;=$A36,INDEX(Monthly!$B$2:$B$61,$A36)*INDEX('Age profile'!$B$2:$B$61,AU$1-$A36+1),"")</f>
        <v/>
      </c>
      <c r="AV36" s="53">
        <f>IF(AV$1&gt;=$A36,INDEX(Monthly!$B$2:$B$61,$A36)*INDEX('Age profile'!$B$2:$B$61,AV$1-$A36+1),"")</f>
        <v/>
      </c>
      <c r="AW36" s="53">
        <f>IF(AW$1&gt;=$A36,INDEX(Monthly!$B$2:$B$61,$A36)*INDEX('Age profile'!$B$2:$B$61,AW$1-$A36+1),"")</f>
        <v/>
      </c>
      <c r="AX36" s="53">
        <f>IF(AX$1&gt;=$A36,INDEX(Monthly!$B$2:$B$61,$A36)*INDEX('Age profile'!$B$2:$B$61,AX$1-$A36+1),"")</f>
        <v/>
      </c>
      <c r="AY36" s="53">
        <f>IF(AY$1&gt;=$A36,INDEX(Monthly!$B$2:$B$61,$A36)*INDEX('Age profile'!$B$2:$B$61,AY$1-$A36+1),"")</f>
        <v/>
      </c>
      <c r="AZ36" s="53">
        <f>IF(AZ$1&gt;=$A36,INDEX(Monthly!$B$2:$B$61,$A36)*INDEX('Age profile'!$B$2:$B$61,AZ$1-$A36+1),"")</f>
        <v/>
      </c>
      <c r="BA36" s="53">
        <f>IF(BA$1&gt;=$A36,INDEX(Monthly!$B$2:$B$61,$A36)*INDEX('Age profile'!$B$2:$B$61,BA$1-$A36+1),"")</f>
        <v/>
      </c>
      <c r="BB36" s="53">
        <f>IF(BB$1&gt;=$A36,INDEX(Monthly!$B$2:$B$61,$A36)*INDEX('Age profile'!$B$2:$B$61,BB$1-$A36+1),"")</f>
        <v/>
      </c>
      <c r="BC36" s="53">
        <f>IF(BC$1&gt;=$A36,INDEX(Monthly!$B$2:$B$61,$A36)*INDEX('Age profile'!$B$2:$B$61,BC$1-$A36+1),"")</f>
        <v/>
      </c>
      <c r="BD36" s="53">
        <f>IF(BD$1&gt;=$A36,INDEX(Monthly!$B$2:$B$61,$A36)*INDEX('Age profile'!$B$2:$B$61,BD$1-$A36+1),"")</f>
        <v/>
      </c>
      <c r="BE36" s="53">
        <f>IF(BE$1&gt;=$A36,INDEX(Monthly!$B$2:$B$61,$A36)*INDEX('Age profile'!$B$2:$B$61,BE$1-$A36+1),"")</f>
        <v/>
      </c>
      <c r="BF36" s="53">
        <f>IF(BF$1&gt;=$A36,INDEX(Monthly!$B$2:$B$61,$A36)*INDEX('Age profile'!$B$2:$B$61,BF$1-$A36+1),"")</f>
        <v/>
      </c>
      <c r="BG36" s="53">
        <f>IF(BG$1&gt;=$A36,INDEX(Monthly!$B$2:$B$61,$A36)*INDEX('Age profile'!$B$2:$B$61,BG$1-$A36+1),"")</f>
        <v/>
      </c>
      <c r="BH36" s="53">
        <f>IF(BH$1&gt;=$A36,INDEX(Monthly!$B$2:$B$61,$A36)*INDEX('Age profile'!$B$2:$B$61,BH$1-$A36+1),"")</f>
        <v/>
      </c>
      <c r="BI36" s="53">
        <f>IF(BI$1&gt;=$A36,INDEX(Monthly!$B$2:$B$61,$A36)*INDEX('Age profile'!$B$2:$B$61,BI$1-$A36+1),"")</f>
        <v/>
      </c>
    </row>
    <row r="37">
      <c r="A37" s="3" t="n">
        <v>36</v>
      </c>
      <c r="B37" s="53">
        <f>IF(B$1&gt;=$A37,INDEX(Monthly!$B$2:$B$61,$A37)*INDEX('Age profile'!$B$2:$B$61,B$1-$A37+1),"")</f>
        <v/>
      </c>
      <c r="C37" s="53">
        <f>IF(C$1&gt;=$A37,INDEX(Monthly!$B$2:$B$61,$A37)*INDEX('Age profile'!$B$2:$B$61,C$1-$A37+1),"")</f>
        <v/>
      </c>
      <c r="D37" s="53">
        <f>IF(D$1&gt;=$A37,INDEX(Monthly!$B$2:$B$61,$A37)*INDEX('Age profile'!$B$2:$B$61,D$1-$A37+1),"")</f>
        <v/>
      </c>
      <c r="E37" s="53">
        <f>IF(E$1&gt;=$A37,INDEX(Monthly!$B$2:$B$61,$A37)*INDEX('Age profile'!$B$2:$B$61,E$1-$A37+1),"")</f>
        <v/>
      </c>
      <c r="F37" s="53">
        <f>IF(F$1&gt;=$A37,INDEX(Monthly!$B$2:$B$61,$A37)*INDEX('Age profile'!$B$2:$B$61,F$1-$A37+1),"")</f>
        <v/>
      </c>
      <c r="G37" s="53">
        <f>IF(G$1&gt;=$A37,INDEX(Monthly!$B$2:$B$61,$A37)*INDEX('Age profile'!$B$2:$B$61,G$1-$A37+1),"")</f>
        <v/>
      </c>
      <c r="H37" s="53">
        <f>IF(H$1&gt;=$A37,INDEX(Monthly!$B$2:$B$61,$A37)*INDEX('Age profile'!$B$2:$B$61,H$1-$A37+1),"")</f>
        <v/>
      </c>
      <c r="I37" s="53">
        <f>IF(I$1&gt;=$A37,INDEX(Monthly!$B$2:$B$61,$A37)*INDEX('Age profile'!$B$2:$B$61,I$1-$A37+1),"")</f>
        <v/>
      </c>
      <c r="J37" s="53">
        <f>IF(J$1&gt;=$A37,INDEX(Monthly!$B$2:$B$61,$A37)*INDEX('Age profile'!$B$2:$B$61,J$1-$A37+1),"")</f>
        <v/>
      </c>
      <c r="K37" s="53">
        <f>IF(K$1&gt;=$A37,INDEX(Monthly!$B$2:$B$61,$A37)*INDEX('Age profile'!$B$2:$B$61,K$1-$A37+1),"")</f>
        <v/>
      </c>
      <c r="L37" s="53">
        <f>IF(L$1&gt;=$A37,INDEX(Monthly!$B$2:$B$61,$A37)*INDEX('Age profile'!$B$2:$B$61,L$1-$A37+1),"")</f>
        <v/>
      </c>
      <c r="M37" s="53">
        <f>IF(M$1&gt;=$A37,INDEX(Monthly!$B$2:$B$61,$A37)*INDEX('Age profile'!$B$2:$B$61,M$1-$A37+1),"")</f>
        <v/>
      </c>
      <c r="N37" s="53">
        <f>IF(N$1&gt;=$A37,INDEX(Monthly!$B$2:$B$61,$A37)*INDEX('Age profile'!$B$2:$B$61,N$1-$A37+1),"")</f>
        <v/>
      </c>
      <c r="O37" s="53">
        <f>IF(O$1&gt;=$A37,INDEX(Monthly!$B$2:$B$61,$A37)*INDEX('Age profile'!$B$2:$B$61,O$1-$A37+1),"")</f>
        <v/>
      </c>
      <c r="P37" s="53">
        <f>IF(P$1&gt;=$A37,INDEX(Monthly!$B$2:$B$61,$A37)*INDEX('Age profile'!$B$2:$B$61,P$1-$A37+1),"")</f>
        <v/>
      </c>
      <c r="Q37" s="53">
        <f>IF(Q$1&gt;=$A37,INDEX(Monthly!$B$2:$B$61,$A37)*INDEX('Age profile'!$B$2:$B$61,Q$1-$A37+1),"")</f>
        <v/>
      </c>
      <c r="R37" s="53">
        <f>IF(R$1&gt;=$A37,INDEX(Monthly!$B$2:$B$61,$A37)*INDEX('Age profile'!$B$2:$B$61,R$1-$A37+1),"")</f>
        <v/>
      </c>
      <c r="S37" s="53">
        <f>IF(S$1&gt;=$A37,INDEX(Monthly!$B$2:$B$61,$A37)*INDEX('Age profile'!$B$2:$B$61,S$1-$A37+1),"")</f>
        <v/>
      </c>
      <c r="T37" s="53">
        <f>IF(T$1&gt;=$A37,INDEX(Monthly!$B$2:$B$61,$A37)*INDEX('Age profile'!$B$2:$B$61,T$1-$A37+1),"")</f>
        <v/>
      </c>
      <c r="U37" s="53">
        <f>IF(U$1&gt;=$A37,INDEX(Monthly!$B$2:$B$61,$A37)*INDEX('Age profile'!$B$2:$B$61,U$1-$A37+1),"")</f>
        <v/>
      </c>
      <c r="V37" s="53">
        <f>IF(V$1&gt;=$A37,INDEX(Monthly!$B$2:$B$61,$A37)*INDEX('Age profile'!$B$2:$B$61,V$1-$A37+1),"")</f>
        <v/>
      </c>
      <c r="W37" s="53">
        <f>IF(W$1&gt;=$A37,INDEX(Monthly!$B$2:$B$61,$A37)*INDEX('Age profile'!$B$2:$B$61,W$1-$A37+1),"")</f>
        <v/>
      </c>
      <c r="X37" s="53">
        <f>IF(X$1&gt;=$A37,INDEX(Monthly!$B$2:$B$61,$A37)*INDEX('Age profile'!$B$2:$B$61,X$1-$A37+1),"")</f>
        <v/>
      </c>
      <c r="Y37" s="53">
        <f>IF(Y$1&gt;=$A37,INDEX(Monthly!$B$2:$B$61,$A37)*INDEX('Age profile'!$B$2:$B$61,Y$1-$A37+1),"")</f>
        <v/>
      </c>
      <c r="Z37" s="53">
        <f>IF(Z$1&gt;=$A37,INDEX(Monthly!$B$2:$B$61,$A37)*INDEX('Age profile'!$B$2:$B$61,Z$1-$A37+1),"")</f>
        <v/>
      </c>
      <c r="AA37" s="53">
        <f>IF(AA$1&gt;=$A37,INDEX(Monthly!$B$2:$B$61,$A37)*INDEX('Age profile'!$B$2:$B$61,AA$1-$A37+1),"")</f>
        <v/>
      </c>
      <c r="AB37" s="53">
        <f>IF(AB$1&gt;=$A37,INDEX(Monthly!$B$2:$B$61,$A37)*INDEX('Age profile'!$B$2:$B$61,AB$1-$A37+1),"")</f>
        <v/>
      </c>
      <c r="AC37" s="53">
        <f>IF(AC$1&gt;=$A37,INDEX(Monthly!$B$2:$B$61,$A37)*INDEX('Age profile'!$B$2:$B$61,AC$1-$A37+1),"")</f>
        <v/>
      </c>
      <c r="AD37" s="53">
        <f>IF(AD$1&gt;=$A37,INDEX(Monthly!$B$2:$B$61,$A37)*INDEX('Age profile'!$B$2:$B$61,AD$1-$A37+1),"")</f>
        <v/>
      </c>
      <c r="AE37" s="53">
        <f>IF(AE$1&gt;=$A37,INDEX(Monthly!$B$2:$B$61,$A37)*INDEX('Age profile'!$B$2:$B$61,AE$1-$A37+1),"")</f>
        <v/>
      </c>
      <c r="AF37" s="53">
        <f>IF(AF$1&gt;=$A37,INDEX(Monthly!$B$2:$B$61,$A37)*INDEX('Age profile'!$B$2:$B$61,AF$1-$A37+1),"")</f>
        <v/>
      </c>
      <c r="AG37" s="53">
        <f>IF(AG$1&gt;=$A37,INDEX(Monthly!$B$2:$B$61,$A37)*INDEX('Age profile'!$B$2:$B$61,AG$1-$A37+1),"")</f>
        <v/>
      </c>
      <c r="AH37" s="53">
        <f>IF(AH$1&gt;=$A37,INDEX(Monthly!$B$2:$B$61,$A37)*INDEX('Age profile'!$B$2:$B$61,AH$1-$A37+1),"")</f>
        <v/>
      </c>
      <c r="AI37" s="53">
        <f>IF(AI$1&gt;=$A37,INDEX(Monthly!$B$2:$B$61,$A37)*INDEX('Age profile'!$B$2:$B$61,AI$1-$A37+1),"")</f>
        <v/>
      </c>
      <c r="AJ37" s="53">
        <f>IF(AJ$1&gt;=$A37,INDEX(Monthly!$B$2:$B$61,$A37)*INDEX('Age profile'!$B$2:$B$61,AJ$1-$A37+1),"")</f>
        <v/>
      </c>
      <c r="AK37" s="53">
        <f>IF(AK$1&gt;=$A37,INDEX(Monthly!$B$2:$B$61,$A37)*INDEX('Age profile'!$B$2:$B$61,AK$1-$A37+1),"")</f>
        <v/>
      </c>
      <c r="AL37" s="53">
        <f>IF(AL$1&gt;=$A37,INDEX(Monthly!$B$2:$B$61,$A37)*INDEX('Age profile'!$B$2:$B$61,AL$1-$A37+1),"")</f>
        <v/>
      </c>
      <c r="AM37" s="53">
        <f>IF(AM$1&gt;=$A37,INDEX(Monthly!$B$2:$B$61,$A37)*INDEX('Age profile'!$B$2:$B$61,AM$1-$A37+1),"")</f>
        <v/>
      </c>
      <c r="AN37" s="53">
        <f>IF(AN$1&gt;=$A37,INDEX(Monthly!$B$2:$B$61,$A37)*INDEX('Age profile'!$B$2:$B$61,AN$1-$A37+1),"")</f>
        <v/>
      </c>
      <c r="AO37" s="53">
        <f>IF(AO$1&gt;=$A37,INDEX(Monthly!$B$2:$B$61,$A37)*INDEX('Age profile'!$B$2:$B$61,AO$1-$A37+1),"")</f>
        <v/>
      </c>
      <c r="AP37" s="53">
        <f>IF(AP$1&gt;=$A37,INDEX(Monthly!$B$2:$B$61,$A37)*INDEX('Age profile'!$B$2:$B$61,AP$1-$A37+1),"")</f>
        <v/>
      </c>
      <c r="AQ37" s="53">
        <f>IF(AQ$1&gt;=$A37,INDEX(Monthly!$B$2:$B$61,$A37)*INDEX('Age profile'!$B$2:$B$61,AQ$1-$A37+1),"")</f>
        <v/>
      </c>
      <c r="AR37" s="53">
        <f>IF(AR$1&gt;=$A37,INDEX(Monthly!$B$2:$B$61,$A37)*INDEX('Age profile'!$B$2:$B$61,AR$1-$A37+1),"")</f>
        <v/>
      </c>
      <c r="AS37" s="53">
        <f>IF(AS$1&gt;=$A37,INDEX(Monthly!$B$2:$B$61,$A37)*INDEX('Age profile'!$B$2:$B$61,AS$1-$A37+1),"")</f>
        <v/>
      </c>
      <c r="AT37" s="53">
        <f>IF(AT$1&gt;=$A37,INDEX(Monthly!$B$2:$B$61,$A37)*INDEX('Age profile'!$B$2:$B$61,AT$1-$A37+1),"")</f>
        <v/>
      </c>
      <c r="AU37" s="53">
        <f>IF(AU$1&gt;=$A37,INDEX(Monthly!$B$2:$B$61,$A37)*INDEX('Age profile'!$B$2:$B$61,AU$1-$A37+1),"")</f>
        <v/>
      </c>
      <c r="AV37" s="53">
        <f>IF(AV$1&gt;=$A37,INDEX(Monthly!$B$2:$B$61,$A37)*INDEX('Age profile'!$B$2:$B$61,AV$1-$A37+1),"")</f>
        <v/>
      </c>
      <c r="AW37" s="53">
        <f>IF(AW$1&gt;=$A37,INDEX(Monthly!$B$2:$B$61,$A37)*INDEX('Age profile'!$B$2:$B$61,AW$1-$A37+1),"")</f>
        <v/>
      </c>
      <c r="AX37" s="53">
        <f>IF(AX$1&gt;=$A37,INDEX(Monthly!$B$2:$B$61,$A37)*INDEX('Age profile'!$B$2:$B$61,AX$1-$A37+1),"")</f>
        <v/>
      </c>
      <c r="AY37" s="53">
        <f>IF(AY$1&gt;=$A37,INDEX(Monthly!$B$2:$B$61,$A37)*INDEX('Age profile'!$B$2:$B$61,AY$1-$A37+1),"")</f>
        <v/>
      </c>
      <c r="AZ37" s="53">
        <f>IF(AZ$1&gt;=$A37,INDEX(Monthly!$B$2:$B$61,$A37)*INDEX('Age profile'!$B$2:$B$61,AZ$1-$A37+1),"")</f>
        <v/>
      </c>
      <c r="BA37" s="53">
        <f>IF(BA$1&gt;=$A37,INDEX(Monthly!$B$2:$B$61,$A37)*INDEX('Age profile'!$B$2:$B$61,BA$1-$A37+1),"")</f>
        <v/>
      </c>
      <c r="BB37" s="53">
        <f>IF(BB$1&gt;=$A37,INDEX(Monthly!$B$2:$B$61,$A37)*INDEX('Age profile'!$B$2:$B$61,BB$1-$A37+1),"")</f>
        <v/>
      </c>
      <c r="BC37" s="53">
        <f>IF(BC$1&gt;=$A37,INDEX(Monthly!$B$2:$B$61,$A37)*INDEX('Age profile'!$B$2:$B$61,BC$1-$A37+1),"")</f>
        <v/>
      </c>
      <c r="BD37" s="53">
        <f>IF(BD$1&gt;=$A37,INDEX(Monthly!$B$2:$B$61,$A37)*INDEX('Age profile'!$B$2:$B$61,BD$1-$A37+1),"")</f>
        <v/>
      </c>
      <c r="BE37" s="53">
        <f>IF(BE$1&gt;=$A37,INDEX(Monthly!$B$2:$B$61,$A37)*INDEX('Age profile'!$B$2:$B$61,BE$1-$A37+1),"")</f>
        <v/>
      </c>
      <c r="BF37" s="53">
        <f>IF(BF$1&gt;=$A37,INDEX(Monthly!$B$2:$B$61,$A37)*INDEX('Age profile'!$B$2:$B$61,BF$1-$A37+1),"")</f>
        <v/>
      </c>
      <c r="BG37" s="53">
        <f>IF(BG$1&gt;=$A37,INDEX(Monthly!$B$2:$B$61,$A37)*INDEX('Age profile'!$B$2:$B$61,BG$1-$A37+1),"")</f>
        <v/>
      </c>
      <c r="BH37" s="53">
        <f>IF(BH$1&gt;=$A37,INDEX(Monthly!$B$2:$B$61,$A37)*INDEX('Age profile'!$B$2:$B$61,BH$1-$A37+1),"")</f>
        <v/>
      </c>
      <c r="BI37" s="53">
        <f>IF(BI$1&gt;=$A37,INDEX(Monthly!$B$2:$B$61,$A37)*INDEX('Age profile'!$B$2:$B$61,BI$1-$A37+1),"")</f>
        <v/>
      </c>
    </row>
    <row r="38">
      <c r="A38" s="3" t="n">
        <v>37</v>
      </c>
      <c r="B38" s="53">
        <f>IF(B$1&gt;=$A38,INDEX(Monthly!$B$2:$B$61,$A38)*INDEX('Age profile'!$B$2:$B$61,B$1-$A38+1),"")</f>
        <v/>
      </c>
      <c r="C38" s="53">
        <f>IF(C$1&gt;=$A38,INDEX(Monthly!$B$2:$B$61,$A38)*INDEX('Age profile'!$B$2:$B$61,C$1-$A38+1),"")</f>
        <v/>
      </c>
      <c r="D38" s="53">
        <f>IF(D$1&gt;=$A38,INDEX(Monthly!$B$2:$B$61,$A38)*INDEX('Age profile'!$B$2:$B$61,D$1-$A38+1),"")</f>
        <v/>
      </c>
      <c r="E38" s="53">
        <f>IF(E$1&gt;=$A38,INDEX(Monthly!$B$2:$B$61,$A38)*INDEX('Age profile'!$B$2:$B$61,E$1-$A38+1),"")</f>
        <v/>
      </c>
      <c r="F38" s="53">
        <f>IF(F$1&gt;=$A38,INDEX(Monthly!$B$2:$B$61,$A38)*INDEX('Age profile'!$B$2:$B$61,F$1-$A38+1),"")</f>
        <v/>
      </c>
      <c r="G38" s="53">
        <f>IF(G$1&gt;=$A38,INDEX(Monthly!$B$2:$B$61,$A38)*INDEX('Age profile'!$B$2:$B$61,G$1-$A38+1),"")</f>
        <v/>
      </c>
      <c r="H38" s="53">
        <f>IF(H$1&gt;=$A38,INDEX(Monthly!$B$2:$B$61,$A38)*INDEX('Age profile'!$B$2:$B$61,H$1-$A38+1),"")</f>
        <v/>
      </c>
      <c r="I38" s="53">
        <f>IF(I$1&gt;=$A38,INDEX(Monthly!$B$2:$B$61,$A38)*INDEX('Age profile'!$B$2:$B$61,I$1-$A38+1),"")</f>
        <v/>
      </c>
      <c r="J38" s="53">
        <f>IF(J$1&gt;=$A38,INDEX(Monthly!$B$2:$B$61,$A38)*INDEX('Age profile'!$B$2:$B$61,J$1-$A38+1),"")</f>
        <v/>
      </c>
      <c r="K38" s="53">
        <f>IF(K$1&gt;=$A38,INDEX(Monthly!$B$2:$B$61,$A38)*INDEX('Age profile'!$B$2:$B$61,K$1-$A38+1),"")</f>
        <v/>
      </c>
      <c r="L38" s="53">
        <f>IF(L$1&gt;=$A38,INDEX(Monthly!$B$2:$B$61,$A38)*INDEX('Age profile'!$B$2:$B$61,L$1-$A38+1),"")</f>
        <v/>
      </c>
      <c r="M38" s="53">
        <f>IF(M$1&gt;=$A38,INDEX(Monthly!$B$2:$B$61,$A38)*INDEX('Age profile'!$B$2:$B$61,M$1-$A38+1),"")</f>
        <v/>
      </c>
      <c r="N38" s="53">
        <f>IF(N$1&gt;=$A38,INDEX(Monthly!$B$2:$B$61,$A38)*INDEX('Age profile'!$B$2:$B$61,N$1-$A38+1),"")</f>
        <v/>
      </c>
      <c r="O38" s="53">
        <f>IF(O$1&gt;=$A38,INDEX(Monthly!$B$2:$B$61,$A38)*INDEX('Age profile'!$B$2:$B$61,O$1-$A38+1),"")</f>
        <v/>
      </c>
      <c r="P38" s="53">
        <f>IF(P$1&gt;=$A38,INDEX(Monthly!$B$2:$B$61,$A38)*INDEX('Age profile'!$B$2:$B$61,P$1-$A38+1),"")</f>
        <v/>
      </c>
      <c r="Q38" s="53">
        <f>IF(Q$1&gt;=$A38,INDEX(Monthly!$B$2:$B$61,$A38)*INDEX('Age profile'!$B$2:$B$61,Q$1-$A38+1),"")</f>
        <v/>
      </c>
      <c r="R38" s="53">
        <f>IF(R$1&gt;=$A38,INDEX(Monthly!$B$2:$B$61,$A38)*INDEX('Age profile'!$B$2:$B$61,R$1-$A38+1),"")</f>
        <v/>
      </c>
      <c r="S38" s="53">
        <f>IF(S$1&gt;=$A38,INDEX(Monthly!$B$2:$B$61,$A38)*INDEX('Age profile'!$B$2:$B$61,S$1-$A38+1),"")</f>
        <v/>
      </c>
      <c r="T38" s="53">
        <f>IF(T$1&gt;=$A38,INDEX(Monthly!$B$2:$B$61,$A38)*INDEX('Age profile'!$B$2:$B$61,T$1-$A38+1),"")</f>
        <v/>
      </c>
      <c r="U38" s="53">
        <f>IF(U$1&gt;=$A38,INDEX(Monthly!$B$2:$B$61,$A38)*INDEX('Age profile'!$B$2:$B$61,U$1-$A38+1),"")</f>
        <v/>
      </c>
      <c r="V38" s="53">
        <f>IF(V$1&gt;=$A38,INDEX(Monthly!$B$2:$B$61,$A38)*INDEX('Age profile'!$B$2:$B$61,V$1-$A38+1),"")</f>
        <v/>
      </c>
      <c r="W38" s="53">
        <f>IF(W$1&gt;=$A38,INDEX(Monthly!$B$2:$B$61,$A38)*INDEX('Age profile'!$B$2:$B$61,W$1-$A38+1),"")</f>
        <v/>
      </c>
      <c r="X38" s="53">
        <f>IF(X$1&gt;=$A38,INDEX(Monthly!$B$2:$B$61,$A38)*INDEX('Age profile'!$B$2:$B$61,X$1-$A38+1),"")</f>
        <v/>
      </c>
      <c r="Y38" s="53">
        <f>IF(Y$1&gt;=$A38,INDEX(Monthly!$B$2:$B$61,$A38)*INDEX('Age profile'!$B$2:$B$61,Y$1-$A38+1),"")</f>
        <v/>
      </c>
      <c r="Z38" s="53">
        <f>IF(Z$1&gt;=$A38,INDEX(Monthly!$B$2:$B$61,$A38)*INDEX('Age profile'!$B$2:$B$61,Z$1-$A38+1),"")</f>
        <v/>
      </c>
      <c r="AA38" s="53">
        <f>IF(AA$1&gt;=$A38,INDEX(Monthly!$B$2:$B$61,$A38)*INDEX('Age profile'!$B$2:$B$61,AA$1-$A38+1),"")</f>
        <v/>
      </c>
      <c r="AB38" s="53">
        <f>IF(AB$1&gt;=$A38,INDEX(Monthly!$B$2:$B$61,$A38)*INDEX('Age profile'!$B$2:$B$61,AB$1-$A38+1),"")</f>
        <v/>
      </c>
      <c r="AC38" s="53">
        <f>IF(AC$1&gt;=$A38,INDEX(Monthly!$B$2:$B$61,$A38)*INDEX('Age profile'!$B$2:$B$61,AC$1-$A38+1),"")</f>
        <v/>
      </c>
      <c r="AD38" s="53">
        <f>IF(AD$1&gt;=$A38,INDEX(Monthly!$B$2:$B$61,$A38)*INDEX('Age profile'!$B$2:$B$61,AD$1-$A38+1),"")</f>
        <v/>
      </c>
      <c r="AE38" s="53">
        <f>IF(AE$1&gt;=$A38,INDEX(Monthly!$B$2:$B$61,$A38)*INDEX('Age profile'!$B$2:$B$61,AE$1-$A38+1),"")</f>
        <v/>
      </c>
      <c r="AF38" s="53">
        <f>IF(AF$1&gt;=$A38,INDEX(Monthly!$B$2:$B$61,$A38)*INDEX('Age profile'!$B$2:$B$61,AF$1-$A38+1),"")</f>
        <v/>
      </c>
      <c r="AG38" s="53">
        <f>IF(AG$1&gt;=$A38,INDEX(Monthly!$B$2:$B$61,$A38)*INDEX('Age profile'!$B$2:$B$61,AG$1-$A38+1),"")</f>
        <v/>
      </c>
      <c r="AH38" s="53">
        <f>IF(AH$1&gt;=$A38,INDEX(Monthly!$B$2:$B$61,$A38)*INDEX('Age profile'!$B$2:$B$61,AH$1-$A38+1),"")</f>
        <v/>
      </c>
      <c r="AI38" s="53">
        <f>IF(AI$1&gt;=$A38,INDEX(Monthly!$B$2:$B$61,$A38)*INDEX('Age profile'!$B$2:$B$61,AI$1-$A38+1),"")</f>
        <v/>
      </c>
      <c r="AJ38" s="53">
        <f>IF(AJ$1&gt;=$A38,INDEX(Monthly!$B$2:$B$61,$A38)*INDEX('Age profile'!$B$2:$B$61,AJ$1-$A38+1),"")</f>
        <v/>
      </c>
      <c r="AK38" s="53">
        <f>IF(AK$1&gt;=$A38,INDEX(Monthly!$B$2:$B$61,$A38)*INDEX('Age profile'!$B$2:$B$61,AK$1-$A38+1),"")</f>
        <v/>
      </c>
      <c r="AL38" s="53">
        <f>IF(AL$1&gt;=$A38,INDEX(Monthly!$B$2:$B$61,$A38)*INDEX('Age profile'!$B$2:$B$61,AL$1-$A38+1),"")</f>
        <v/>
      </c>
      <c r="AM38" s="53">
        <f>IF(AM$1&gt;=$A38,INDEX(Monthly!$B$2:$B$61,$A38)*INDEX('Age profile'!$B$2:$B$61,AM$1-$A38+1),"")</f>
        <v/>
      </c>
      <c r="AN38" s="53">
        <f>IF(AN$1&gt;=$A38,INDEX(Monthly!$B$2:$B$61,$A38)*INDEX('Age profile'!$B$2:$B$61,AN$1-$A38+1),"")</f>
        <v/>
      </c>
      <c r="AO38" s="53">
        <f>IF(AO$1&gt;=$A38,INDEX(Monthly!$B$2:$B$61,$A38)*INDEX('Age profile'!$B$2:$B$61,AO$1-$A38+1),"")</f>
        <v/>
      </c>
      <c r="AP38" s="53">
        <f>IF(AP$1&gt;=$A38,INDEX(Monthly!$B$2:$B$61,$A38)*INDEX('Age profile'!$B$2:$B$61,AP$1-$A38+1),"")</f>
        <v/>
      </c>
      <c r="AQ38" s="53">
        <f>IF(AQ$1&gt;=$A38,INDEX(Monthly!$B$2:$B$61,$A38)*INDEX('Age profile'!$B$2:$B$61,AQ$1-$A38+1),"")</f>
        <v/>
      </c>
      <c r="AR38" s="53">
        <f>IF(AR$1&gt;=$A38,INDEX(Monthly!$B$2:$B$61,$A38)*INDEX('Age profile'!$B$2:$B$61,AR$1-$A38+1),"")</f>
        <v/>
      </c>
      <c r="AS38" s="53">
        <f>IF(AS$1&gt;=$A38,INDEX(Monthly!$B$2:$B$61,$A38)*INDEX('Age profile'!$B$2:$B$61,AS$1-$A38+1),"")</f>
        <v/>
      </c>
      <c r="AT38" s="53">
        <f>IF(AT$1&gt;=$A38,INDEX(Monthly!$B$2:$B$61,$A38)*INDEX('Age profile'!$B$2:$B$61,AT$1-$A38+1),"")</f>
        <v/>
      </c>
      <c r="AU38" s="53">
        <f>IF(AU$1&gt;=$A38,INDEX(Monthly!$B$2:$B$61,$A38)*INDEX('Age profile'!$B$2:$B$61,AU$1-$A38+1),"")</f>
        <v/>
      </c>
      <c r="AV38" s="53">
        <f>IF(AV$1&gt;=$A38,INDEX(Monthly!$B$2:$B$61,$A38)*INDEX('Age profile'!$B$2:$B$61,AV$1-$A38+1),"")</f>
        <v/>
      </c>
      <c r="AW38" s="53">
        <f>IF(AW$1&gt;=$A38,INDEX(Monthly!$B$2:$B$61,$A38)*INDEX('Age profile'!$B$2:$B$61,AW$1-$A38+1),"")</f>
        <v/>
      </c>
      <c r="AX38" s="53">
        <f>IF(AX$1&gt;=$A38,INDEX(Monthly!$B$2:$B$61,$A38)*INDEX('Age profile'!$B$2:$B$61,AX$1-$A38+1),"")</f>
        <v/>
      </c>
      <c r="AY38" s="53">
        <f>IF(AY$1&gt;=$A38,INDEX(Monthly!$B$2:$B$61,$A38)*INDEX('Age profile'!$B$2:$B$61,AY$1-$A38+1),"")</f>
        <v/>
      </c>
      <c r="AZ38" s="53">
        <f>IF(AZ$1&gt;=$A38,INDEX(Monthly!$B$2:$B$61,$A38)*INDEX('Age profile'!$B$2:$B$61,AZ$1-$A38+1),"")</f>
        <v/>
      </c>
      <c r="BA38" s="53">
        <f>IF(BA$1&gt;=$A38,INDEX(Monthly!$B$2:$B$61,$A38)*INDEX('Age profile'!$B$2:$B$61,BA$1-$A38+1),"")</f>
        <v/>
      </c>
      <c r="BB38" s="53">
        <f>IF(BB$1&gt;=$A38,INDEX(Monthly!$B$2:$B$61,$A38)*INDEX('Age profile'!$B$2:$B$61,BB$1-$A38+1),"")</f>
        <v/>
      </c>
      <c r="BC38" s="53">
        <f>IF(BC$1&gt;=$A38,INDEX(Monthly!$B$2:$B$61,$A38)*INDEX('Age profile'!$B$2:$B$61,BC$1-$A38+1),"")</f>
        <v/>
      </c>
      <c r="BD38" s="53">
        <f>IF(BD$1&gt;=$A38,INDEX(Monthly!$B$2:$B$61,$A38)*INDEX('Age profile'!$B$2:$B$61,BD$1-$A38+1),"")</f>
        <v/>
      </c>
      <c r="BE38" s="53">
        <f>IF(BE$1&gt;=$A38,INDEX(Monthly!$B$2:$B$61,$A38)*INDEX('Age profile'!$B$2:$B$61,BE$1-$A38+1),"")</f>
        <v/>
      </c>
      <c r="BF38" s="53">
        <f>IF(BF$1&gt;=$A38,INDEX(Monthly!$B$2:$B$61,$A38)*INDEX('Age profile'!$B$2:$B$61,BF$1-$A38+1),"")</f>
        <v/>
      </c>
      <c r="BG38" s="53">
        <f>IF(BG$1&gt;=$A38,INDEX(Monthly!$B$2:$B$61,$A38)*INDEX('Age profile'!$B$2:$B$61,BG$1-$A38+1),"")</f>
        <v/>
      </c>
      <c r="BH38" s="53">
        <f>IF(BH$1&gt;=$A38,INDEX(Monthly!$B$2:$B$61,$A38)*INDEX('Age profile'!$B$2:$B$61,BH$1-$A38+1),"")</f>
        <v/>
      </c>
      <c r="BI38" s="53">
        <f>IF(BI$1&gt;=$A38,INDEX(Monthly!$B$2:$B$61,$A38)*INDEX('Age profile'!$B$2:$B$61,BI$1-$A38+1),"")</f>
        <v/>
      </c>
    </row>
    <row r="39">
      <c r="A39" s="3" t="n">
        <v>38</v>
      </c>
      <c r="B39" s="53">
        <f>IF(B$1&gt;=$A39,INDEX(Monthly!$B$2:$B$61,$A39)*INDEX('Age profile'!$B$2:$B$61,B$1-$A39+1),"")</f>
        <v/>
      </c>
      <c r="C39" s="53">
        <f>IF(C$1&gt;=$A39,INDEX(Monthly!$B$2:$B$61,$A39)*INDEX('Age profile'!$B$2:$B$61,C$1-$A39+1),"")</f>
        <v/>
      </c>
      <c r="D39" s="53">
        <f>IF(D$1&gt;=$A39,INDEX(Monthly!$B$2:$B$61,$A39)*INDEX('Age profile'!$B$2:$B$61,D$1-$A39+1),"")</f>
        <v/>
      </c>
      <c r="E39" s="53">
        <f>IF(E$1&gt;=$A39,INDEX(Monthly!$B$2:$B$61,$A39)*INDEX('Age profile'!$B$2:$B$61,E$1-$A39+1),"")</f>
        <v/>
      </c>
      <c r="F39" s="53">
        <f>IF(F$1&gt;=$A39,INDEX(Monthly!$B$2:$B$61,$A39)*INDEX('Age profile'!$B$2:$B$61,F$1-$A39+1),"")</f>
        <v/>
      </c>
      <c r="G39" s="53">
        <f>IF(G$1&gt;=$A39,INDEX(Monthly!$B$2:$B$61,$A39)*INDEX('Age profile'!$B$2:$B$61,G$1-$A39+1),"")</f>
        <v/>
      </c>
      <c r="H39" s="53">
        <f>IF(H$1&gt;=$A39,INDEX(Monthly!$B$2:$B$61,$A39)*INDEX('Age profile'!$B$2:$B$61,H$1-$A39+1),"")</f>
        <v/>
      </c>
      <c r="I39" s="53">
        <f>IF(I$1&gt;=$A39,INDEX(Monthly!$B$2:$B$61,$A39)*INDEX('Age profile'!$B$2:$B$61,I$1-$A39+1),"")</f>
        <v/>
      </c>
      <c r="J39" s="53">
        <f>IF(J$1&gt;=$A39,INDEX(Monthly!$B$2:$B$61,$A39)*INDEX('Age profile'!$B$2:$B$61,J$1-$A39+1),"")</f>
        <v/>
      </c>
      <c r="K39" s="53">
        <f>IF(K$1&gt;=$A39,INDEX(Monthly!$B$2:$B$61,$A39)*INDEX('Age profile'!$B$2:$B$61,K$1-$A39+1),"")</f>
        <v/>
      </c>
      <c r="L39" s="53">
        <f>IF(L$1&gt;=$A39,INDEX(Monthly!$B$2:$B$61,$A39)*INDEX('Age profile'!$B$2:$B$61,L$1-$A39+1),"")</f>
        <v/>
      </c>
      <c r="M39" s="53">
        <f>IF(M$1&gt;=$A39,INDEX(Monthly!$B$2:$B$61,$A39)*INDEX('Age profile'!$B$2:$B$61,M$1-$A39+1),"")</f>
        <v/>
      </c>
      <c r="N39" s="53">
        <f>IF(N$1&gt;=$A39,INDEX(Monthly!$B$2:$B$61,$A39)*INDEX('Age profile'!$B$2:$B$61,N$1-$A39+1),"")</f>
        <v/>
      </c>
      <c r="O39" s="53">
        <f>IF(O$1&gt;=$A39,INDEX(Monthly!$B$2:$B$61,$A39)*INDEX('Age profile'!$B$2:$B$61,O$1-$A39+1),"")</f>
        <v/>
      </c>
      <c r="P39" s="53">
        <f>IF(P$1&gt;=$A39,INDEX(Monthly!$B$2:$B$61,$A39)*INDEX('Age profile'!$B$2:$B$61,P$1-$A39+1),"")</f>
        <v/>
      </c>
      <c r="Q39" s="53">
        <f>IF(Q$1&gt;=$A39,INDEX(Monthly!$B$2:$B$61,$A39)*INDEX('Age profile'!$B$2:$B$61,Q$1-$A39+1),"")</f>
        <v/>
      </c>
      <c r="R39" s="53">
        <f>IF(R$1&gt;=$A39,INDEX(Monthly!$B$2:$B$61,$A39)*INDEX('Age profile'!$B$2:$B$61,R$1-$A39+1),"")</f>
        <v/>
      </c>
      <c r="S39" s="53">
        <f>IF(S$1&gt;=$A39,INDEX(Monthly!$B$2:$B$61,$A39)*INDEX('Age profile'!$B$2:$B$61,S$1-$A39+1),"")</f>
        <v/>
      </c>
      <c r="T39" s="53">
        <f>IF(T$1&gt;=$A39,INDEX(Monthly!$B$2:$B$61,$A39)*INDEX('Age profile'!$B$2:$B$61,T$1-$A39+1),"")</f>
        <v/>
      </c>
      <c r="U39" s="53">
        <f>IF(U$1&gt;=$A39,INDEX(Monthly!$B$2:$B$61,$A39)*INDEX('Age profile'!$B$2:$B$61,U$1-$A39+1),"")</f>
        <v/>
      </c>
      <c r="V39" s="53">
        <f>IF(V$1&gt;=$A39,INDEX(Monthly!$B$2:$B$61,$A39)*INDEX('Age profile'!$B$2:$B$61,V$1-$A39+1),"")</f>
        <v/>
      </c>
      <c r="W39" s="53">
        <f>IF(W$1&gt;=$A39,INDEX(Monthly!$B$2:$B$61,$A39)*INDEX('Age profile'!$B$2:$B$61,W$1-$A39+1),"")</f>
        <v/>
      </c>
      <c r="X39" s="53">
        <f>IF(X$1&gt;=$A39,INDEX(Monthly!$B$2:$B$61,$A39)*INDEX('Age profile'!$B$2:$B$61,X$1-$A39+1),"")</f>
        <v/>
      </c>
      <c r="Y39" s="53">
        <f>IF(Y$1&gt;=$A39,INDEX(Monthly!$B$2:$B$61,$A39)*INDEX('Age profile'!$B$2:$B$61,Y$1-$A39+1),"")</f>
        <v/>
      </c>
      <c r="Z39" s="53">
        <f>IF(Z$1&gt;=$A39,INDEX(Monthly!$B$2:$B$61,$A39)*INDEX('Age profile'!$B$2:$B$61,Z$1-$A39+1),"")</f>
        <v/>
      </c>
      <c r="AA39" s="53">
        <f>IF(AA$1&gt;=$A39,INDEX(Monthly!$B$2:$B$61,$A39)*INDEX('Age profile'!$B$2:$B$61,AA$1-$A39+1),"")</f>
        <v/>
      </c>
      <c r="AB39" s="53">
        <f>IF(AB$1&gt;=$A39,INDEX(Monthly!$B$2:$B$61,$A39)*INDEX('Age profile'!$B$2:$B$61,AB$1-$A39+1),"")</f>
        <v/>
      </c>
      <c r="AC39" s="53">
        <f>IF(AC$1&gt;=$A39,INDEX(Monthly!$B$2:$B$61,$A39)*INDEX('Age profile'!$B$2:$B$61,AC$1-$A39+1),"")</f>
        <v/>
      </c>
      <c r="AD39" s="53">
        <f>IF(AD$1&gt;=$A39,INDEX(Monthly!$B$2:$B$61,$A39)*INDEX('Age profile'!$B$2:$B$61,AD$1-$A39+1),"")</f>
        <v/>
      </c>
      <c r="AE39" s="53">
        <f>IF(AE$1&gt;=$A39,INDEX(Monthly!$B$2:$B$61,$A39)*INDEX('Age profile'!$B$2:$B$61,AE$1-$A39+1),"")</f>
        <v/>
      </c>
      <c r="AF39" s="53">
        <f>IF(AF$1&gt;=$A39,INDEX(Monthly!$B$2:$B$61,$A39)*INDEX('Age profile'!$B$2:$B$61,AF$1-$A39+1),"")</f>
        <v/>
      </c>
      <c r="AG39" s="53">
        <f>IF(AG$1&gt;=$A39,INDEX(Monthly!$B$2:$B$61,$A39)*INDEX('Age profile'!$B$2:$B$61,AG$1-$A39+1),"")</f>
        <v/>
      </c>
      <c r="AH39" s="53">
        <f>IF(AH$1&gt;=$A39,INDEX(Monthly!$B$2:$B$61,$A39)*INDEX('Age profile'!$B$2:$B$61,AH$1-$A39+1),"")</f>
        <v/>
      </c>
      <c r="AI39" s="53">
        <f>IF(AI$1&gt;=$A39,INDEX(Monthly!$B$2:$B$61,$A39)*INDEX('Age profile'!$B$2:$B$61,AI$1-$A39+1),"")</f>
        <v/>
      </c>
      <c r="AJ39" s="53">
        <f>IF(AJ$1&gt;=$A39,INDEX(Monthly!$B$2:$B$61,$A39)*INDEX('Age profile'!$B$2:$B$61,AJ$1-$A39+1),"")</f>
        <v/>
      </c>
      <c r="AK39" s="53">
        <f>IF(AK$1&gt;=$A39,INDEX(Monthly!$B$2:$B$61,$A39)*INDEX('Age profile'!$B$2:$B$61,AK$1-$A39+1),"")</f>
        <v/>
      </c>
      <c r="AL39" s="53">
        <f>IF(AL$1&gt;=$A39,INDEX(Monthly!$B$2:$B$61,$A39)*INDEX('Age profile'!$B$2:$B$61,AL$1-$A39+1),"")</f>
        <v/>
      </c>
      <c r="AM39" s="53">
        <f>IF(AM$1&gt;=$A39,INDEX(Monthly!$B$2:$B$61,$A39)*INDEX('Age profile'!$B$2:$B$61,AM$1-$A39+1),"")</f>
        <v/>
      </c>
      <c r="AN39" s="53">
        <f>IF(AN$1&gt;=$A39,INDEX(Monthly!$B$2:$B$61,$A39)*INDEX('Age profile'!$B$2:$B$61,AN$1-$A39+1),"")</f>
        <v/>
      </c>
      <c r="AO39" s="53">
        <f>IF(AO$1&gt;=$A39,INDEX(Monthly!$B$2:$B$61,$A39)*INDEX('Age profile'!$B$2:$B$61,AO$1-$A39+1),"")</f>
        <v/>
      </c>
      <c r="AP39" s="53">
        <f>IF(AP$1&gt;=$A39,INDEX(Monthly!$B$2:$B$61,$A39)*INDEX('Age profile'!$B$2:$B$61,AP$1-$A39+1),"")</f>
        <v/>
      </c>
      <c r="AQ39" s="53">
        <f>IF(AQ$1&gt;=$A39,INDEX(Monthly!$B$2:$B$61,$A39)*INDEX('Age profile'!$B$2:$B$61,AQ$1-$A39+1),"")</f>
        <v/>
      </c>
      <c r="AR39" s="53">
        <f>IF(AR$1&gt;=$A39,INDEX(Monthly!$B$2:$B$61,$A39)*INDEX('Age profile'!$B$2:$B$61,AR$1-$A39+1),"")</f>
        <v/>
      </c>
      <c r="AS39" s="53">
        <f>IF(AS$1&gt;=$A39,INDEX(Monthly!$B$2:$B$61,$A39)*INDEX('Age profile'!$B$2:$B$61,AS$1-$A39+1),"")</f>
        <v/>
      </c>
      <c r="AT39" s="53">
        <f>IF(AT$1&gt;=$A39,INDEX(Monthly!$B$2:$B$61,$A39)*INDEX('Age profile'!$B$2:$B$61,AT$1-$A39+1),"")</f>
        <v/>
      </c>
      <c r="AU39" s="53">
        <f>IF(AU$1&gt;=$A39,INDEX(Monthly!$B$2:$B$61,$A39)*INDEX('Age profile'!$B$2:$B$61,AU$1-$A39+1),"")</f>
        <v/>
      </c>
      <c r="AV39" s="53">
        <f>IF(AV$1&gt;=$A39,INDEX(Monthly!$B$2:$B$61,$A39)*INDEX('Age profile'!$B$2:$B$61,AV$1-$A39+1),"")</f>
        <v/>
      </c>
      <c r="AW39" s="53">
        <f>IF(AW$1&gt;=$A39,INDEX(Monthly!$B$2:$B$61,$A39)*INDEX('Age profile'!$B$2:$B$61,AW$1-$A39+1),"")</f>
        <v/>
      </c>
      <c r="AX39" s="53">
        <f>IF(AX$1&gt;=$A39,INDEX(Monthly!$B$2:$B$61,$A39)*INDEX('Age profile'!$B$2:$B$61,AX$1-$A39+1),"")</f>
        <v/>
      </c>
      <c r="AY39" s="53">
        <f>IF(AY$1&gt;=$A39,INDEX(Monthly!$B$2:$B$61,$A39)*INDEX('Age profile'!$B$2:$B$61,AY$1-$A39+1),"")</f>
        <v/>
      </c>
      <c r="AZ39" s="53">
        <f>IF(AZ$1&gt;=$A39,INDEX(Monthly!$B$2:$B$61,$A39)*INDEX('Age profile'!$B$2:$B$61,AZ$1-$A39+1),"")</f>
        <v/>
      </c>
      <c r="BA39" s="53">
        <f>IF(BA$1&gt;=$A39,INDEX(Monthly!$B$2:$B$61,$A39)*INDEX('Age profile'!$B$2:$B$61,BA$1-$A39+1),"")</f>
        <v/>
      </c>
      <c r="BB39" s="53">
        <f>IF(BB$1&gt;=$A39,INDEX(Monthly!$B$2:$B$61,$A39)*INDEX('Age profile'!$B$2:$B$61,BB$1-$A39+1),"")</f>
        <v/>
      </c>
      <c r="BC39" s="53">
        <f>IF(BC$1&gt;=$A39,INDEX(Monthly!$B$2:$B$61,$A39)*INDEX('Age profile'!$B$2:$B$61,BC$1-$A39+1),"")</f>
        <v/>
      </c>
      <c r="BD39" s="53">
        <f>IF(BD$1&gt;=$A39,INDEX(Monthly!$B$2:$B$61,$A39)*INDEX('Age profile'!$B$2:$B$61,BD$1-$A39+1),"")</f>
        <v/>
      </c>
      <c r="BE39" s="53">
        <f>IF(BE$1&gt;=$A39,INDEX(Monthly!$B$2:$B$61,$A39)*INDEX('Age profile'!$B$2:$B$61,BE$1-$A39+1),"")</f>
        <v/>
      </c>
      <c r="BF39" s="53">
        <f>IF(BF$1&gt;=$A39,INDEX(Monthly!$B$2:$B$61,$A39)*INDEX('Age profile'!$B$2:$B$61,BF$1-$A39+1),"")</f>
        <v/>
      </c>
      <c r="BG39" s="53">
        <f>IF(BG$1&gt;=$A39,INDEX(Monthly!$B$2:$B$61,$A39)*INDEX('Age profile'!$B$2:$B$61,BG$1-$A39+1),"")</f>
        <v/>
      </c>
      <c r="BH39" s="53">
        <f>IF(BH$1&gt;=$A39,INDEX(Monthly!$B$2:$B$61,$A39)*INDEX('Age profile'!$B$2:$B$61,BH$1-$A39+1),"")</f>
        <v/>
      </c>
      <c r="BI39" s="53">
        <f>IF(BI$1&gt;=$A39,INDEX(Monthly!$B$2:$B$61,$A39)*INDEX('Age profile'!$B$2:$B$61,BI$1-$A39+1),"")</f>
        <v/>
      </c>
    </row>
    <row r="40">
      <c r="A40" s="3" t="n">
        <v>39</v>
      </c>
      <c r="B40" s="53">
        <f>IF(B$1&gt;=$A40,INDEX(Monthly!$B$2:$B$61,$A40)*INDEX('Age profile'!$B$2:$B$61,B$1-$A40+1),"")</f>
        <v/>
      </c>
      <c r="C40" s="53">
        <f>IF(C$1&gt;=$A40,INDEX(Monthly!$B$2:$B$61,$A40)*INDEX('Age profile'!$B$2:$B$61,C$1-$A40+1),"")</f>
        <v/>
      </c>
      <c r="D40" s="53">
        <f>IF(D$1&gt;=$A40,INDEX(Monthly!$B$2:$B$61,$A40)*INDEX('Age profile'!$B$2:$B$61,D$1-$A40+1),"")</f>
        <v/>
      </c>
      <c r="E40" s="53">
        <f>IF(E$1&gt;=$A40,INDEX(Monthly!$B$2:$B$61,$A40)*INDEX('Age profile'!$B$2:$B$61,E$1-$A40+1),"")</f>
        <v/>
      </c>
      <c r="F40" s="53">
        <f>IF(F$1&gt;=$A40,INDEX(Monthly!$B$2:$B$61,$A40)*INDEX('Age profile'!$B$2:$B$61,F$1-$A40+1),"")</f>
        <v/>
      </c>
      <c r="G40" s="53">
        <f>IF(G$1&gt;=$A40,INDEX(Monthly!$B$2:$B$61,$A40)*INDEX('Age profile'!$B$2:$B$61,G$1-$A40+1),"")</f>
        <v/>
      </c>
      <c r="H40" s="53">
        <f>IF(H$1&gt;=$A40,INDEX(Monthly!$B$2:$B$61,$A40)*INDEX('Age profile'!$B$2:$B$61,H$1-$A40+1),"")</f>
        <v/>
      </c>
      <c r="I40" s="53">
        <f>IF(I$1&gt;=$A40,INDEX(Monthly!$B$2:$B$61,$A40)*INDEX('Age profile'!$B$2:$B$61,I$1-$A40+1),"")</f>
        <v/>
      </c>
      <c r="J40" s="53">
        <f>IF(J$1&gt;=$A40,INDEX(Monthly!$B$2:$B$61,$A40)*INDEX('Age profile'!$B$2:$B$61,J$1-$A40+1),"")</f>
        <v/>
      </c>
      <c r="K40" s="53">
        <f>IF(K$1&gt;=$A40,INDEX(Monthly!$B$2:$B$61,$A40)*INDEX('Age profile'!$B$2:$B$61,K$1-$A40+1),"")</f>
        <v/>
      </c>
      <c r="L40" s="53">
        <f>IF(L$1&gt;=$A40,INDEX(Monthly!$B$2:$B$61,$A40)*INDEX('Age profile'!$B$2:$B$61,L$1-$A40+1),"")</f>
        <v/>
      </c>
      <c r="M40" s="53">
        <f>IF(M$1&gt;=$A40,INDEX(Monthly!$B$2:$B$61,$A40)*INDEX('Age profile'!$B$2:$B$61,M$1-$A40+1),"")</f>
        <v/>
      </c>
      <c r="N40" s="53">
        <f>IF(N$1&gt;=$A40,INDEX(Monthly!$B$2:$B$61,$A40)*INDEX('Age profile'!$B$2:$B$61,N$1-$A40+1),"")</f>
        <v/>
      </c>
      <c r="O40" s="53">
        <f>IF(O$1&gt;=$A40,INDEX(Monthly!$B$2:$B$61,$A40)*INDEX('Age profile'!$B$2:$B$61,O$1-$A40+1),"")</f>
        <v/>
      </c>
      <c r="P40" s="53">
        <f>IF(P$1&gt;=$A40,INDEX(Monthly!$B$2:$B$61,$A40)*INDEX('Age profile'!$B$2:$B$61,P$1-$A40+1),"")</f>
        <v/>
      </c>
      <c r="Q40" s="53">
        <f>IF(Q$1&gt;=$A40,INDEX(Monthly!$B$2:$B$61,$A40)*INDEX('Age profile'!$B$2:$B$61,Q$1-$A40+1),"")</f>
        <v/>
      </c>
      <c r="R40" s="53">
        <f>IF(R$1&gt;=$A40,INDEX(Monthly!$B$2:$B$61,$A40)*INDEX('Age profile'!$B$2:$B$61,R$1-$A40+1),"")</f>
        <v/>
      </c>
      <c r="S40" s="53">
        <f>IF(S$1&gt;=$A40,INDEX(Monthly!$B$2:$B$61,$A40)*INDEX('Age profile'!$B$2:$B$61,S$1-$A40+1),"")</f>
        <v/>
      </c>
      <c r="T40" s="53">
        <f>IF(T$1&gt;=$A40,INDEX(Monthly!$B$2:$B$61,$A40)*INDEX('Age profile'!$B$2:$B$61,T$1-$A40+1),"")</f>
        <v/>
      </c>
      <c r="U40" s="53">
        <f>IF(U$1&gt;=$A40,INDEX(Monthly!$B$2:$B$61,$A40)*INDEX('Age profile'!$B$2:$B$61,U$1-$A40+1),"")</f>
        <v/>
      </c>
      <c r="V40" s="53">
        <f>IF(V$1&gt;=$A40,INDEX(Monthly!$B$2:$B$61,$A40)*INDEX('Age profile'!$B$2:$B$61,V$1-$A40+1),"")</f>
        <v/>
      </c>
      <c r="W40" s="53">
        <f>IF(W$1&gt;=$A40,INDEX(Monthly!$B$2:$B$61,$A40)*INDEX('Age profile'!$B$2:$B$61,W$1-$A40+1),"")</f>
        <v/>
      </c>
      <c r="X40" s="53">
        <f>IF(X$1&gt;=$A40,INDEX(Monthly!$B$2:$B$61,$A40)*INDEX('Age profile'!$B$2:$B$61,X$1-$A40+1),"")</f>
        <v/>
      </c>
      <c r="Y40" s="53">
        <f>IF(Y$1&gt;=$A40,INDEX(Monthly!$B$2:$B$61,$A40)*INDEX('Age profile'!$B$2:$B$61,Y$1-$A40+1),"")</f>
        <v/>
      </c>
      <c r="Z40" s="53">
        <f>IF(Z$1&gt;=$A40,INDEX(Monthly!$B$2:$B$61,$A40)*INDEX('Age profile'!$B$2:$B$61,Z$1-$A40+1),"")</f>
        <v/>
      </c>
      <c r="AA40" s="53">
        <f>IF(AA$1&gt;=$A40,INDEX(Monthly!$B$2:$B$61,$A40)*INDEX('Age profile'!$B$2:$B$61,AA$1-$A40+1),"")</f>
        <v/>
      </c>
      <c r="AB40" s="53">
        <f>IF(AB$1&gt;=$A40,INDEX(Monthly!$B$2:$B$61,$A40)*INDEX('Age profile'!$B$2:$B$61,AB$1-$A40+1),"")</f>
        <v/>
      </c>
      <c r="AC40" s="53">
        <f>IF(AC$1&gt;=$A40,INDEX(Monthly!$B$2:$B$61,$A40)*INDEX('Age profile'!$B$2:$B$61,AC$1-$A40+1),"")</f>
        <v/>
      </c>
      <c r="AD40" s="53">
        <f>IF(AD$1&gt;=$A40,INDEX(Monthly!$B$2:$B$61,$A40)*INDEX('Age profile'!$B$2:$B$61,AD$1-$A40+1),"")</f>
        <v/>
      </c>
      <c r="AE40" s="53">
        <f>IF(AE$1&gt;=$A40,INDEX(Monthly!$B$2:$B$61,$A40)*INDEX('Age profile'!$B$2:$B$61,AE$1-$A40+1),"")</f>
        <v/>
      </c>
      <c r="AF40" s="53">
        <f>IF(AF$1&gt;=$A40,INDEX(Monthly!$B$2:$B$61,$A40)*INDEX('Age profile'!$B$2:$B$61,AF$1-$A40+1),"")</f>
        <v/>
      </c>
      <c r="AG40" s="53">
        <f>IF(AG$1&gt;=$A40,INDEX(Monthly!$B$2:$B$61,$A40)*INDEX('Age profile'!$B$2:$B$61,AG$1-$A40+1),"")</f>
        <v/>
      </c>
      <c r="AH40" s="53">
        <f>IF(AH$1&gt;=$A40,INDEX(Monthly!$B$2:$B$61,$A40)*INDEX('Age profile'!$B$2:$B$61,AH$1-$A40+1),"")</f>
        <v/>
      </c>
      <c r="AI40" s="53">
        <f>IF(AI$1&gt;=$A40,INDEX(Monthly!$B$2:$B$61,$A40)*INDEX('Age profile'!$B$2:$B$61,AI$1-$A40+1),"")</f>
        <v/>
      </c>
      <c r="AJ40" s="53">
        <f>IF(AJ$1&gt;=$A40,INDEX(Monthly!$B$2:$B$61,$A40)*INDEX('Age profile'!$B$2:$B$61,AJ$1-$A40+1),"")</f>
        <v/>
      </c>
      <c r="AK40" s="53">
        <f>IF(AK$1&gt;=$A40,INDEX(Monthly!$B$2:$B$61,$A40)*INDEX('Age profile'!$B$2:$B$61,AK$1-$A40+1),"")</f>
        <v/>
      </c>
      <c r="AL40" s="53">
        <f>IF(AL$1&gt;=$A40,INDEX(Monthly!$B$2:$B$61,$A40)*INDEX('Age profile'!$B$2:$B$61,AL$1-$A40+1),"")</f>
        <v/>
      </c>
      <c r="AM40" s="53">
        <f>IF(AM$1&gt;=$A40,INDEX(Monthly!$B$2:$B$61,$A40)*INDEX('Age profile'!$B$2:$B$61,AM$1-$A40+1),"")</f>
        <v/>
      </c>
      <c r="AN40" s="53">
        <f>IF(AN$1&gt;=$A40,INDEX(Monthly!$B$2:$B$61,$A40)*INDEX('Age profile'!$B$2:$B$61,AN$1-$A40+1),"")</f>
        <v/>
      </c>
      <c r="AO40" s="53">
        <f>IF(AO$1&gt;=$A40,INDEX(Monthly!$B$2:$B$61,$A40)*INDEX('Age profile'!$B$2:$B$61,AO$1-$A40+1),"")</f>
        <v/>
      </c>
      <c r="AP40" s="53">
        <f>IF(AP$1&gt;=$A40,INDEX(Monthly!$B$2:$B$61,$A40)*INDEX('Age profile'!$B$2:$B$61,AP$1-$A40+1),"")</f>
        <v/>
      </c>
      <c r="AQ40" s="53">
        <f>IF(AQ$1&gt;=$A40,INDEX(Monthly!$B$2:$B$61,$A40)*INDEX('Age profile'!$B$2:$B$61,AQ$1-$A40+1),"")</f>
        <v/>
      </c>
      <c r="AR40" s="53">
        <f>IF(AR$1&gt;=$A40,INDEX(Monthly!$B$2:$B$61,$A40)*INDEX('Age profile'!$B$2:$B$61,AR$1-$A40+1),"")</f>
        <v/>
      </c>
      <c r="AS40" s="53">
        <f>IF(AS$1&gt;=$A40,INDEX(Monthly!$B$2:$B$61,$A40)*INDEX('Age profile'!$B$2:$B$61,AS$1-$A40+1),"")</f>
        <v/>
      </c>
      <c r="AT40" s="53">
        <f>IF(AT$1&gt;=$A40,INDEX(Monthly!$B$2:$B$61,$A40)*INDEX('Age profile'!$B$2:$B$61,AT$1-$A40+1),"")</f>
        <v/>
      </c>
      <c r="AU40" s="53">
        <f>IF(AU$1&gt;=$A40,INDEX(Monthly!$B$2:$B$61,$A40)*INDEX('Age profile'!$B$2:$B$61,AU$1-$A40+1),"")</f>
        <v/>
      </c>
      <c r="AV40" s="53">
        <f>IF(AV$1&gt;=$A40,INDEX(Monthly!$B$2:$B$61,$A40)*INDEX('Age profile'!$B$2:$B$61,AV$1-$A40+1),"")</f>
        <v/>
      </c>
      <c r="AW40" s="53">
        <f>IF(AW$1&gt;=$A40,INDEX(Monthly!$B$2:$B$61,$A40)*INDEX('Age profile'!$B$2:$B$61,AW$1-$A40+1),"")</f>
        <v/>
      </c>
      <c r="AX40" s="53">
        <f>IF(AX$1&gt;=$A40,INDEX(Monthly!$B$2:$B$61,$A40)*INDEX('Age profile'!$B$2:$B$61,AX$1-$A40+1),"")</f>
        <v/>
      </c>
      <c r="AY40" s="53">
        <f>IF(AY$1&gt;=$A40,INDEX(Monthly!$B$2:$B$61,$A40)*INDEX('Age profile'!$B$2:$B$61,AY$1-$A40+1),"")</f>
        <v/>
      </c>
      <c r="AZ40" s="53">
        <f>IF(AZ$1&gt;=$A40,INDEX(Monthly!$B$2:$B$61,$A40)*INDEX('Age profile'!$B$2:$B$61,AZ$1-$A40+1),"")</f>
        <v/>
      </c>
      <c r="BA40" s="53">
        <f>IF(BA$1&gt;=$A40,INDEX(Monthly!$B$2:$B$61,$A40)*INDEX('Age profile'!$B$2:$B$61,BA$1-$A40+1),"")</f>
        <v/>
      </c>
      <c r="BB40" s="53">
        <f>IF(BB$1&gt;=$A40,INDEX(Monthly!$B$2:$B$61,$A40)*INDEX('Age profile'!$B$2:$B$61,BB$1-$A40+1),"")</f>
        <v/>
      </c>
      <c r="BC40" s="53">
        <f>IF(BC$1&gt;=$A40,INDEX(Monthly!$B$2:$B$61,$A40)*INDEX('Age profile'!$B$2:$B$61,BC$1-$A40+1),"")</f>
        <v/>
      </c>
      <c r="BD40" s="53">
        <f>IF(BD$1&gt;=$A40,INDEX(Monthly!$B$2:$B$61,$A40)*INDEX('Age profile'!$B$2:$B$61,BD$1-$A40+1),"")</f>
        <v/>
      </c>
      <c r="BE40" s="53">
        <f>IF(BE$1&gt;=$A40,INDEX(Monthly!$B$2:$B$61,$A40)*INDEX('Age profile'!$B$2:$B$61,BE$1-$A40+1),"")</f>
        <v/>
      </c>
      <c r="BF40" s="53">
        <f>IF(BF$1&gt;=$A40,INDEX(Monthly!$B$2:$B$61,$A40)*INDEX('Age profile'!$B$2:$B$61,BF$1-$A40+1),"")</f>
        <v/>
      </c>
      <c r="BG40" s="53">
        <f>IF(BG$1&gt;=$A40,INDEX(Monthly!$B$2:$B$61,$A40)*INDEX('Age profile'!$B$2:$B$61,BG$1-$A40+1),"")</f>
        <v/>
      </c>
      <c r="BH40" s="53">
        <f>IF(BH$1&gt;=$A40,INDEX(Monthly!$B$2:$B$61,$A40)*INDEX('Age profile'!$B$2:$B$61,BH$1-$A40+1),"")</f>
        <v/>
      </c>
      <c r="BI40" s="53">
        <f>IF(BI$1&gt;=$A40,INDEX(Monthly!$B$2:$B$61,$A40)*INDEX('Age profile'!$B$2:$B$61,BI$1-$A40+1),"")</f>
        <v/>
      </c>
    </row>
    <row r="41">
      <c r="A41" s="3" t="n">
        <v>40</v>
      </c>
      <c r="B41" s="53">
        <f>IF(B$1&gt;=$A41,INDEX(Monthly!$B$2:$B$61,$A41)*INDEX('Age profile'!$B$2:$B$61,B$1-$A41+1),"")</f>
        <v/>
      </c>
      <c r="C41" s="53">
        <f>IF(C$1&gt;=$A41,INDEX(Monthly!$B$2:$B$61,$A41)*INDEX('Age profile'!$B$2:$B$61,C$1-$A41+1),"")</f>
        <v/>
      </c>
      <c r="D41" s="53">
        <f>IF(D$1&gt;=$A41,INDEX(Monthly!$B$2:$B$61,$A41)*INDEX('Age profile'!$B$2:$B$61,D$1-$A41+1),"")</f>
        <v/>
      </c>
      <c r="E41" s="53">
        <f>IF(E$1&gt;=$A41,INDEX(Monthly!$B$2:$B$61,$A41)*INDEX('Age profile'!$B$2:$B$61,E$1-$A41+1),"")</f>
        <v/>
      </c>
      <c r="F41" s="53">
        <f>IF(F$1&gt;=$A41,INDEX(Monthly!$B$2:$B$61,$A41)*INDEX('Age profile'!$B$2:$B$61,F$1-$A41+1),"")</f>
        <v/>
      </c>
      <c r="G41" s="53">
        <f>IF(G$1&gt;=$A41,INDEX(Monthly!$B$2:$B$61,$A41)*INDEX('Age profile'!$B$2:$B$61,G$1-$A41+1),"")</f>
        <v/>
      </c>
      <c r="H41" s="53">
        <f>IF(H$1&gt;=$A41,INDEX(Monthly!$B$2:$B$61,$A41)*INDEX('Age profile'!$B$2:$B$61,H$1-$A41+1),"")</f>
        <v/>
      </c>
      <c r="I41" s="53">
        <f>IF(I$1&gt;=$A41,INDEX(Monthly!$B$2:$B$61,$A41)*INDEX('Age profile'!$B$2:$B$61,I$1-$A41+1),"")</f>
        <v/>
      </c>
      <c r="J41" s="53">
        <f>IF(J$1&gt;=$A41,INDEX(Monthly!$B$2:$B$61,$A41)*INDEX('Age profile'!$B$2:$B$61,J$1-$A41+1),"")</f>
        <v/>
      </c>
      <c r="K41" s="53">
        <f>IF(K$1&gt;=$A41,INDEX(Monthly!$B$2:$B$61,$A41)*INDEX('Age profile'!$B$2:$B$61,K$1-$A41+1),"")</f>
        <v/>
      </c>
      <c r="L41" s="53">
        <f>IF(L$1&gt;=$A41,INDEX(Monthly!$B$2:$B$61,$A41)*INDEX('Age profile'!$B$2:$B$61,L$1-$A41+1),"")</f>
        <v/>
      </c>
      <c r="M41" s="53">
        <f>IF(M$1&gt;=$A41,INDEX(Monthly!$B$2:$B$61,$A41)*INDEX('Age profile'!$B$2:$B$61,M$1-$A41+1),"")</f>
        <v/>
      </c>
      <c r="N41" s="53">
        <f>IF(N$1&gt;=$A41,INDEX(Monthly!$B$2:$B$61,$A41)*INDEX('Age profile'!$B$2:$B$61,N$1-$A41+1),"")</f>
        <v/>
      </c>
      <c r="O41" s="53">
        <f>IF(O$1&gt;=$A41,INDEX(Monthly!$B$2:$B$61,$A41)*INDEX('Age profile'!$B$2:$B$61,O$1-$A41+1),"")</f>
        <v/>
      </c>
      <c r="P41" s="53">
        <f>IF(P$1&gt;=$A41,INDEX(Monthly!$B$2:$B$61,$A41)*INDEX('Age profile'!$B$2:$B$61,P$1-$A41+1),"")</f>
        <v/>
      </c>
      <c r="Q41" s="53">
        <f>IF(Q$1&gt;=$A41,INDEX(Monthly!$B$2:$B$61,$A41)*INDEX('Age profile'!$B$2:$B$61,Q$1-$A41+1),"")</f>
        <v/>
      </c>
      <c r="R41" s="53">
        <f>IF(R$1&gt;=$A41,INDEX(Monthly!$B$2:$B$61,$A41)*INDEX('Age profile'!$B$2:$B$61,R$1-$A41+1),"")</f>
        <v/>
      </c>
      <c r="S41" s="53">
        <f>IF(S$1&gt;=$A41,INDEX(Monthly!$B$2:$B$61,$A41)*INDEX('Age profile'!$B$2:$B$61,S$1-$A41+1),"")</f>
        <v/>
      </c>
      <c r="T41" s="53">
        <f>IF(T$1&gt;=$A41,INDEX(Monthly!$B$2:$B$61,$A41)*INDEX('Age profile'!$B$2:$B$61,T$1-$A41+1),"")</f>
        <v/>
      </c>
      <c r="U41" s="53">
        <f>IF(U$1&gt;=$A41,INDEX(Monthly!$B$2:$B$61,$A41)*INDEX('Age profile'!$B$2:$B$61,U$1-$A41+1),"")</f>
        <v/>
      </c>
      <c r="V41" s="53">
        <f>IF(V$1&gt;=$A41,INDEX(Monthly!$B$2:$B$61,$A41)*INDEX('Age profile'!$B$2:$B$61,V$1-$A41+1),"")</f>
        <v/>
      </c>
      <c r="W41" s="53">
        <f>IF(W$1&gt;=$A41,INDEX(Monthly!$B$2:$B$61,$A41)*INDEX('Age profile'!$B$2:$B$61,W$1-$A41+1),"")</f>
        <v/>
      </c>
      <c r="X41" s="53">
        <f>IF(X$1&gt;=$A41,INDEX(Monthly!$B$2:$B$61,$A41)*INDEX('Age profile'!$B$2:$B$61,X$1-$A41+1),"")</f>
        <v/>
      </c>
      <c r="Y41" s="53">
        <f>IF(Y$1&gt;=$A41,INDEX(Monthly!$B$2:$B$61,$A41)*INDEX('Age profile'!$B$2:$B$61,Y$1-$A41+1),"")</f>
        <v/>
      </c>
      <c r="Z41" s="53">
        <f>IF(Z$1&gt;=$A41,INDEX(Monthly!$B$2:$B$61,$A41)*INDEX('Age profile'!$B$2:$B$61,Z$1-$A41+1),"")</f>
        <v/>
      </c>
      <c r="AA41" s="53">
        <f>IF(AA$1&gt;=$A41,INDEX(Monthly!$B$2:$B$61,$A41)*INDEX('Age profile'!$B$2:$B$61,AA$1-$A41+1),"")</f>
        <v/>
      </c>
      <c r="AB41" s="53">
        <f>IF(AB$1&gt;=$A41,INDEX(Monthly!$B$2:$B$61,$A41)*INDEX('Age profile'!$B$2:$B$61,AB$1-$A41+1),"")</f>
        <v/>
      </c>
      <c r="AC41" s="53">
        <f>IF(AC$1&gt;=$A41,INDEX(Monthly!$B$2:$B$61,$A41)*INDEX('Age profile'!$B$2:$B$61,AC$1-$A41+1),"")</f>
        <v/>
      </c>
      <c r="AD41" s="53">
        <f>IF(AD$1&gt;=$A41,INDEX(Monthly!$B$2:$B$61,$A41)*INDEX('Age profile'!$B$2:$B$61,AD$1-$A41+1),"")</f>
        <v/>
      </c>
      <c r="AE41" s="53">
        <f>IF(AE$1&gt;=$A41,INDEX(Monthly!$B$2:$B$61,$A41)*INDEX('Age profile'!$B$2:$B$61,AE$1-$A41+1),"")</f>
        <v/>
      </c>
      <c r="AF41" s="53">
        <f>IF(AF$1&gt;=$A41,INDEX(Monthly!$B$2:$B$61,$A41)*INDEX('Age profile'!$B$2:$B$61,AF$1-$A41+1),"")</f>
        <v/>
      </c>
      <c r="AG41" s="53">
        <f>IF(AG$1&gt;=$A41,INDEX(Monthly!$B$2:$B$61,$A41)*INDEX('Age profile'!$B$2:$B$61,AG$1-$A41+1),"")</f>
        <v/>
      </c>
      <c r="AH41" s="53">
        <f>IF(AH$1&gt;=$A41,INDEX(Monthly!$B$2:$B$61,$A41)*INDEX('Age profile'!$B$2:$B$61,AH$1-$A41+1),"")</f>
        <v/>
      </c>
      <c r="AI41" s="53">
        <f>IF(AI$1&gt;=$A41,INDEX(Monthly!$B$2:$B$61,$A41)*INDEX('Age profile'!$B$2:$B$61,AI$1-$A41+1),"")</f>
        <v/>
      </c>
      <c r="AJ41" s="53">
        <f>IF(AJ$1&gt;=$A41,INDEX(Monthly!$B$2:$B$61,$A41)*INDEX('Age profile'!$B$2:$B$61,AJ$1-$A41+1),"")</f>
        <v/>
      </c>
      <c r="AK41" s="53">
        <f>IF(AK$1&gt;=$A41,INDEX(Monthly!$B$2:$B$61,$A41)*INDEX('Age profile'!$B$2:$B$61,AK$1-$A41+1),"")</f>
        <v/>
      </c>
      <c r="AL41" s="53">
        <f>IF(AL$1&gt;=$A41,INDEX(Monthly!$B$2:$B$61,$A41)*INDEX('Age profile'!$B$2:$B$61,AL$1-$A41+1),"")</f>
        <v/>
      </c>
      <c r="AM41" s="53">
        <f>IF(AM$1&gt;=$A41,INDEX(Monthly!$B$2:$B$61,$A41)*INDEX('Age profile'!$B$2:$B$61,AM$1-$A41+1),"")</f>
        <v/>
      </c>
      <c r="AN41" s="53">
        <f>IF(AN$1&gt;=$A41,INDEX(Monthly!$B$2:$B$61,$A41)*INDEX('Age profile'!$B$2:$B$61,AN$1-$A41+1),"")</f>
        <v/>
      </c>
      <c r="AO41" s="53">
        <f>IF(AO$1&gt;=$A41,INDEX(Monthly!$B$2:$B$61,$A41)*INDEX('Age profile'!$B$2:$B$61,AO$1-$A41+1),"")</f>
        <v/>
      </c>
      <c r="AP41" s="53">
        <f>IF(AP$1&gt;=$A41,INDEX(Monthly!$B$2:$B$61,$A41)*INDEX('Age profile'!$B$2:$B$61,AP$1-$A41+1),"")</f>
        <v/>
      </c>
      <c r="AQ41" s="53">
        <f>IF(AQ$1&gt;=$A41,INDEX(Monthly!$B$2:$B$61,$A41)*INDEX('Age profile'!$B$2:$B$61,AQ$1-$A41+1),"")</f>
        <v/>
      </c>
      <c r="AR41" s="53">
        <f>IF(AR$1&gt;=$A41,INDEX(Monthly!$B$2:$B$61,$A41)*INDEX('Age profile'!$B$2:$B$61,AR$1-$A41+1),"")</f>
        <v/>
      </c>
      <c r="AS41" s="53">
        <f>IF(AS$1&gt;=$A41,INDEX(Monthly!$B$2:$B$61,$A41)*INDEX('Age profile'!$B$2:$B$61,AS$1-$A41+1),"")</f>
        <v/>
      </c>
      <c r="AT41" s="53">
        <f>IF(AT$1&gt;=$A41,INDEX(Monthly!$B$2:$B$61,$A41)*INDEX('Age profile'!$B$2:$B$61,AT$1-$A41+1),"")</f>
        <v/>
      </c>
      <c r="AU41" s="53">
        <f>IF(AU$1&gt;=$A41,INDEX(Monthly!$B$2:$B$61,$A41)*INDEX('Age profile'!$B$2:$B$61,AU$1-$A41+1),"")</f>
        <v/>
      </c>
      <c r="AV41" s="53">
        <f>IF(AV$1&gt;=$A41,INDEX(Monthly!$B$2:$B$61,$A41)*INDEX('Age profile'!$B$2:$B$61,AV$1-$A41+1),"")</f>
        <v/>
      </c>
      <c r="AW41" s="53">
        <f>IF(AW$1&gt;=$A41,INDEX(Monthly!$B$2:$B$61,$A41)*INDEX('Age profile'!$B$2:$B$61,AW$1-$A41+1),"")</f>
        <v/>
      </c>
      <c r="AX41" s="53">
        <f>IF(AX$1&gt;=$A41,INDEX(Monthly!$B$2:$B$61,$A41)*INDEX('Age profile'!$B$2:$B$61,AX$1-$A41+1),"")</f>
        <v/>
      </c>
      <c r="AY41" s="53">
        <f>IF(AY$1&gt;=$A41,INDEX(Monthly!$B$2:$B$61,$A41)*INDEX('Age profile'!$B$2:$B$61,AY$1-$A41+1),"")</f>
        <v/>
      </c>
      <c r="AZ41" s="53">
        <f>IF(AZ$1&gt;=$A41,INDEX(Monthly!$B$2:$B$61,$A41)*INDEX('Age profile'!$B$2:$B$61,AZ$1-$A41+1),"")</f>
        <v/>
      </c>
      <c r="BA41" s="53">
        <f>IF(BA$1&gt;=$A41,INDEX(Monthly!$B$2:$B$61,$A41)*INDEX('Age profile'!$B$2:$B$61,BA$1-$A41+1),"")</f>
        <v/>
      </c>
      <c r="BB41" s="53">
        <f>IF(BB$1&gt;=$A41,INDEX(Monthly!$B$2:$B$61,$A41)*INDEX('Age profile'!$B$2:$B$61,BB$1-$A41+1),"")</f>
        <v/>
      </c>
      <c r="BC41" s="53">
        <f>IF(BC$1&gt;=$A41,INDEX(Monthly!$B$2:$B$61,$A41)*INDEX('Age profile'!$B$2:$B$61,BC$1-$A41+1),"")</f>
        <v/>
      </c>
      <c r="BD41" s="53">
        <f>IF(BD$1&gt;=$A41,INDEX(Monthly!$B$2:$B$61,$A41)*INDEX('Age profile'!$B$2:$B$61,BD$1-$A41+1),"")</f>
        <v/>
      </c>
      <c r="BE41" s="53">
        <f>IF(BE$1&gt;=$A41,INDEX(Monthly!$B$2:$B$61,$A41)*INDEX('Age profile'!$B$2:$B$61,BE$1-$A41+1),"")</f>
        <v/>
      </c>
      <c r="BF41" s="53">
        <f>IF(BF$1&gt;=$A41,INDEX(Monthly!$B$2:$B$61,$A41)*INDEX('Age profile'!$B$2:$B$61,BF$1-$A41+1),"")</f>
        <v/>
      </c>
      <c r="BG41" s="53">
        <f>IF(BG$1&gt;=$A41,INDEX(Monthly!$B$2:$B$61,$A41)*INDEX('Age profile'!$B$2:$B$61,BG$1-$A41+1),"")</f>
        <v/>
      </c>
      <c r="BH41" s="53">
        <f>IF(BH$1&gt;=$A41,INDEX(Monthly!$B$2:$B$61,$A41)*INDEX('Age profile'!$B$2:$B$61,BH$1-$A41+1),"")</f>
        <v/>
      </c>
      <c r="BI41" s="53">
        <f>IF(BI$1&gt;=$A41,INDEX(Monthly!$B$2:$B$61,$A41)*INDEX('Age profile'!$B$2:$B$61,BI$1-$A41+1),"")</f>
        <v/>
      </c>
    </row>
    <row r="42">
      <c r="A42" s="3" t="n">
        <v>41</v>
      </c>
      <c r="B42" s="53">
        <f>IF(B$1&gt;=$A42,INDEX(Monthly!$B$2:$B$61,$A42)*INDEX('Age profile'!$B$2:$B$61,B$1-$A42+1),"")</f>
        <v/>
      </c>
      <c r="C42" s="53">
        <f>IF(C$1&gt;=$A42,INDEX(Monthly!$B$2:$B$61,$A42)*INDEX('Age profile'!$B$2:$B$61,C$1-$A42+1),"")</f>
        <v/>
      </c>
      <c r="D42" s="53">
        <f>IF(D$1&gt;=$A42,INDEX(Monthly!$B$2:$B$61,$A42)*INDEX('Age profile'!$B$2:$B$61,D$1-$A42+1),"")</f>
        <v/>
      </c>
      <c r="E42" s="53">
        <f>IF(E$1&gt;=$A42,INDEX(Monthly!$B$2:$B$61,$A42)*INDEX('Age profile'!$B$2:$B$61,E$1-$A42+1),"")</f>
        <v/>
      </c>
      <c r="F42" s="53">
        <f>IF(F$1&gt;=$A42,INDEX(Monthly!$B$2:$B$61,$A42)*INDEX('Age profile'!$B$2:$B$61,F$1-$A42+1),"")</f>
        <v/>
      </c>
      <c r="G42" s="53">
        <f>IF(G$1&gt;=$A42,INDEX(Monthly!$B$2:$B$61,$A42)*INDEX('Age profile'!$B$2:$B$61,G$1-$A42+1),"")</f>
        <v/>
      </c>
      <c r="H42" s="53">
        <f>IF(H$1&gt;=$A42,INDEX(Monthly!$B$2:$B$61,$A42)*INDEX('Age profile'!$B$2:$B$61,H$1-$A42+1),"")</f>
        <v/>
      </c>
      <c r="I42" s="53">
        <f>IF(I$1&gt;=$A42,INDEX(Monthly!$B$2:$B$61,$A42)*INDEX('Age profile'!$B$2:$B$61,I$1-$A42+1),"")</f>
        <v/>
      </c>
      <c r="J42" s="53">
        <f>IF(J$1&gt;=$A42,INDEX(Monthly!$B$2:$B$61,$A42)*INDEX('Age profile'!$B$2:$B$61,J$1-$A42+1),"")</f>
        <v/>
      </c>
      <c r="K42" s="53">
        <f>IF(K$1&gt;=$A42,INDEX(Monthly!$B$2:$B$61,$A42)*INDEX('Age profile'!$B$2:$B$61,K$1-$A42+1),"")</f>
        <v/>
      </c>
      <c r="L42" s="53">
        <f>IF(L$1&gt;=$A42,INDEX(Monthly!$B$2:$B$61,$A42)*INDEX('Age profile'!$B$2:$B$61,L$1-$A42+1),"")</f>
        <v/>
      </c>
      <c r="M42" s="53">
        <f>IF(M$1&gt;=$A42,INDEX(Monthly!$B$2:$B$61,$A42)*INDEX('Age profile'!$B$2:$B$61,M$1-$A42+1),"")</f>
        <v/>
      </c>
      <c r="N42" s="53">
        <f>IF(N$1&gt;=$A42,INDEX(Monthly!$B$2:$B$61,$A42)*INDEX('Age profile'!$B$2:$B$61,N$1-$A42+1),"")</f>
        <v/>
      </c>
      <c r="O42" s="53">
        <f>IF(O$1&gt;=$A42,INDEX(Monthly!$B$2:$B$61,$A42)*INDEX('Age profile'!$B$2:$B$61,O$1-$A42+1),"")</f>
        <v/>
      </c>
      <c r="P42" s="53">
        <f>IF(P$1&gt;=$A42,INDEX(Monthly!$B$2:$B$61,$A42)*INDEX('Age profile'!$B$2:$B$61,P$1-$A42+1),"")</f>
        <v/>
      </c>
      <c r="Q42" s="53">
        <f>IF(Q$1&gt;=$A42,INDEX(Monthly!$B$2:$B$61,$A42)*INDEX('Age profile'!$B$2:$B$61,Q$1-$A42+1),"")</f>
        <v/>
      </c>
      <c r="R42" s="53">
        <f>IF(R$1&gt;=$A42,INDEX(Monthly!$B$2:$B$61,$A42)*INDEX('Age profile'!$B$2:$B$61,R$1-$A42+1),"")</f>
        <v/>
      </c>
      <c r="S42" s="53">
        <f>IF(S$1&gt;=$A42,INDEX(Monthly!$B$2:$B$61,$A42)*INDEX('Age profile'!$B$2:$B$61,S$1-$A42+1),"")</f>
        <v/>
      </c>
      <c r="T42" s="53">
        <f>IF(T$1&gt;=$A42,INDEX(Monthly!$B$2:$B$61,$A42)*INDEX('Age profile'!$B$2:$B$61,T$1-$A42+1),"")</f>
        <v/>
      </c>
      <c r="U42" s="53">
        <f>IF(U$1&gt;=$A42,INDEX(Monthly!$B$2:$B$61,$A42)*INDEX('Age profile'!$B$2:$B$61,U$1-$A42+1),"")</f>
        <v/>
      </c>
      <c r="V42" s="53">
        <f>IF(V$1&gt;=$A42,INDEX(Monthly!$B$2:$B$61,$A42)*INDEX('Age profile'!$B$2:$B$61,V$1-$A42+1),"")</f>
        <v/>
      </c>
      <c r="W42" s="53">
        <f>IF(W$1&gt;=$A42,INDEX(Monthly!$B$2:$B$61,$A42)*INDEX('Age profile'!$B$2:$B$61,W$1-$A42+1),"")</f>
        <v/>
      </c>
      <c r="X42" s="53">
        <f>IF(X$1&gt;=$A42,INDEX(Monthly!$B$2:$B$61,$A42)*INDEX('Age profile'!$B$2:$B$61,X$1-$A42+1),"")</f>
        <v/>
      </c>
      <c r="Y42" s="53">
        <f>IF(Y$1&gt;=$A42,INDEX(Monthly!$B$2:$B$61,$A42)*INDEX('Age profile'!$B$2:$B$61,Y$1-$A42+1),"")</f>
        <v/>
      </c>
      <c r="Z42" s="53">
        <f>IF(Z$1&gt;=$A42,INDEX(Monthly!$B$2:$B$61,$A42)*INDEX('Age profile'!$B$2:$B$61,Z$1-$A42+1),"")</f>
        <v/>
      </c>
      <c r="AA42" s="53">
        <f>IF(AA$1&gt;=$A42,INDEX(Monthly!$B$2:$B$61,$A42)*INDEX('Age profile'!$B$2:$B$61,AA$1-$A42+1),"")</f>
        <v/>
      </c>
      <c r="AB42" s="53">
        <f>IF(AB$1&gt;=$A42,INDEX(Monthly!$B$2:$B$61,$A42)*INDEX('Age profile'!$B$2:$B$61,AB$1-$A42+1),"")</f>
        <v/>
      </c>
      <c r="AC42" s="53">
        <f>IF(AC$1&gt;=$A42,INDEX(Monthly!$B$2:$B$61,$A42)*INDEX('Age profile'!$B$2:$B$61,AC$1-$A42+1),"")</f>
        <v/>
      </c>
      <c r="AD42" s="53">
        <f>IF(AD$1&gt;=$A42,INDEX(Monthly!$B$2:$B$61,$A42)*INDEX('Age profile'!$B$2:$B$61,AD$1-$A42+1),"")</f>
        <v/>
      </c>
      <c r="AE42" s="53">
        <f>IF(AE$1&gt;=$A42,INDEX(Monthly!$B$2:$B$61,$A42)*INDEX('Age profile'!$B$2:$B$61,AE$1-$A42+1),"")</f>
        <v/>
      </c>
      <c r="AF42" s="53">
        <f>IF(AF$1&gt;=$A42,INDEX(Monthly!$B$2:$B$61,$A42)*INDEX('Age profile'!$B$2:$B$61,AF$1-$A42+1),"")</f>
        <v/>
      </c>
      <c r="AG42" s="53">
        <f>IF(AG$1&gt;=$A42,INDEX(Monthly!$B$2:$B$61,$A42)*INDEX('Age profile'!$B$2:$B$61,AG$1-$A42+1),"")</f>
        <v/>
      </c>
      <c r="AH42" s="53">
        <f>IF(AH$1&gt;=$A42,INDEX(Monthly!$B$2:$B$61,$A42)*INDEX('Age profile'!$B$2:$B$61,AH$1-$A42+1),"")</f>
        <v/>
      </c>
      <c r="AI42" s="53">
        <f>IF(AI$1&gt;=$A42,INDEX(Monthly!$B$2:$B$61,$A42)*INDEX('Age profile'!$B$2:$B$61,AI$1-$A42+1),"")</f>
        <v/>
      </c>
      <c r="AJ42" s="53">
        <f>IF(AJ$1&gt;=$A42,INDEX(Monthly!$B$2:$B$61,$A42)*INDEX('Age profile'!$B$2:$B$61,AJ$1-$A42+1),"")</f>
        <v/>
      </c>
      <c r="AK42" s="53">
        <f>IF(AK$1&gt;=$A42,INDEX(Monthly!$B$2:$B$61,$A42)*INDEX('Age profile'!$B$2:$B$61,AK$1-$A42+1),"")</f>
        <v/>
      </c>
      <c r="AL42" s="53">
        <f>IF(AL$1&gt;=$A42,INDEX(Monthly!$B$2:$B$61,$A42)*INDEX('Age profile'!$B$2:$B$61,AL$1-$A42+1),"")</f>
        <v/>
      </c>
      <c r="AM42" s="53">
        <f>IF(AM$1&gt;=$A42,INDEX(Monthly!$B$2:$B$61,$A42)*INDEX('Age profile'!$B$2:$B$61,AM$1-$A42+1),"")</f>
        <v/>
      </c>
      <c r="AN42" s="53">
        <f>IF(AN$1&gt;=$A42,INDEX(Monthly!$B$2:$B$61,$A42)*INDEX('Age profile'!$B$2:$B$61,AN$1-$A42+1),"")</f>
        <v/>
      </c>
      <c r="AO42" s="53">
        <f>IF(AO$1&gt;=$A42,INDEX(Monthly!$B$2:$B$61,$A42)*INDEX('Age profile'!$B$2:$B$61,AO$1-$A42+1),"")</f>
        <v/>
      </c>
      <c r="AP42" s="53">
        <f>IF(AP$1&gt;=$A42,INDEX(Monthly!$B$2:$B$61,$A42)*INDEX('Age profile'!$B$2:$B$61,AP$1-$A42+1),"")</f>
        <v/>
      </c>
      <c r="AQ42" s="53">
        <f>IF(AQ$1&gt;=$A42,INDEX(Monthly!$B$2:$B$61,$A42)*INDEX('Age profile'!$B$2:$B$61,AQ$1-$A42+1),"")</f>
        <v/>
      </c>
      <c r="AR42" s="53">
        <f>IF(AR$1&gt;=$A42,INDEX(Monthly!$B$2:$B$61,$A42)*INDEX('Age profile'!$B$2:$B$61,AR$1-$A42+1),"")</f>
        <v/>
      </c>
      <c r="AS42" s="53">
        <f>IF(AS$1&gt;=$A42,INDEX(Monthly!$B$2:$B$61,$A42)*INDEX('Age profile'!$B$2:$B$61,AS$1-$A42+1),"")</f>
        <v/>
      </c>
      <c r="AT42" s="53">
        <f>IF(AT$1&gt;=$A42,INDEX(Monthly!$B$2:$B$61,$A42)*INDEX('Age profile'!$B$2:$B$61,AT$1-$A42+1),"")</f>
        <v/>
      </c>
      <c r="AU42" s="53">
        <f>IF(AU$1&gt;=$A42,INDEX(Monthly!$B$2:$B$61,$A42)*INDEX('Age profile'!$B$2:$B$61,AU$1-$A42+1),"")</f>
        <v/>
      </c>
      <c r="AV42" s="53">
        <f>IF(AV$1&gt;=$A42,INDEX(Monthly!$B$2:$B$61,$A42)*INDEX('Age profile'!$B$2:$B$61,AV$1-$A42+1),"")</f>
        <v/>
      </c>
      <c r="AW42" s="53">
        <f>IF(AW$1&gt;=$A42,INDEX(Monthly!$B$2:$B$61,$A42)*INDEX('Age profile'!$B$2:$B$61,AW$1-$A42+1),"")</f>
        <v/>
      </c>
      <c r="AX42" s="53">
        <f>IF(AX$1&gt;=$A42,INDEX(Monthly!$B$2:$B$61,$A42)*INDEX('Age profile'!$B$2:$B$61,AX$1-$A42+1),"")</f>
        <v/>
      </c>
      <c r="AY42" s="53">
        <f>IF(AY$1&gt;=$A42,INDEX(Monthly!$B$2:$B$61,$A42)*INDEX('Age profile'!$B$2:$B$61,AY$1-$A42+1),"")</f>
        <v/>
      </c>
      <c r="AZ42" s="53">
        <f>IF(AZ$1&gt;=$A42,INDEX(Monthly!$B$2:$B$61,$A42)*INDEX('Age profile'!$B$2:$B$61,AZ$1-$A42+1),"")</f>
        <v/>
      </c>
      <c r="BA42" s="53">
        <f>IF(BA$1&gt;=$A42,INDEX(Monthly!$B$2:$B$61,$A42)*INDEX('Age profile'!$B$2:$B$61,BA$1-$A42+1),"")</f>
        <v/>
      </c>
      <c r="BB42" s="53">
        <f>IF(BB$1&gt;=$A42,INDEX(Monthly!$B$2:$B$61,$A42)*INDEX('Age profile'!$B$2:$B$61,BB$1-$A42+1),"")</f>
        <v/>
      </c>
      <c r="BC42" s="53">
        <f>IF(BC$1&gt;=$A42,INDEX(Monthly!$B$2:$B$61,$A42)*INDEX('Age profile'!$B$2:$B$61,BC$1-$A42+1),"")</f>
        <v/>
      </c>
      <c r="BD42" s="53">
        <f>IF(BD$1&gt;=$A42,INDEX(Monthly!$B$2:$B$61,$A42)*INDEX('Age profile'!$B$2:$B$61,BD$1-$A42+1),"")</f>
        <v/>
      </c>
      <c r="BE42" s="53">
        <f>IF(BE$1&gt;=$A42,INDEX(Monthly!$B$2:$B$61,$A42)*INDEX('Age profile'!$B$2:$B$61,BE$1-$A42+1),"")</f>
        <v/>
      </c>
      <c r="BF42" s="53">
        <f>IF(BF$1&gt;=$A42,INDEX(Monthly!$B$2:$B$61,$A42)*INDEX('Age profile'!$B$2:$B$61,BF$1-$A42+1),"")</f>
        <v/>
      </c>
      <c r="BG42" s="53">
        <f>IF(BG$1&gt;=$A42,INDEX(Monthly!$B$2:$B$61,$A42)*INDEX('Age profile'!$B$2:$B$61,BG$1-$A42+1),"")</f>
        <v/>
      </c>
      <c r="BH42" s="53">
        <f>IF(BH$1&gt;=$A42,INDEX(Monthly!$B$2:$B$61,$A42)*INDEX('Age profile'!$B$2:$B$61,BH$1-$A42+1),"")</f>
        <v/>
      </c>
      <c r="BI42" s="53">
        <f>IF(BI$1&gt;=$A42,INDEX(Monthly!$B$2:$B$61,$A42)*INDEX('Age profile'!$B$2:$B$61,BI$1-$A42+1),"")</f>
        <v/>
      </c>
    </row>
    <row r="43">
      <c r="A43" s="3" t="n">
        <v>42</v>
      </c>
      <c r="B43" s="53">
        <f>IF(B$1&gt;=$A43,INDEX(Monthly!$B$2:$B$61,$A43)*INDEX('Age profile'!$B$2:$B$61,B$1-$A43+1),"")</f>
        <v/>
      </c>
      <c r="C43" s="53">
        <f>IF(C$1&gt;=$A43,INDEX(Monthly!$B$2:$B$61,$A43)*INDEX('Age profile'!$B$2:$B$61,C$1-$A43+1),"")</f>
        <v/>
      </c>
      <c r="D43" s="53">
        <f>IF(D$1&gt;=$A43,INDEX(Monthly!$B$2:$B$61,$A43)*INDEX('Age profile'!$B$2:$B$61,D$1-$A43+1),"")</f>
        <v/>
      </c>
      <c r="E43" s="53">
        <f>IF(E$1&gt;=$A43,INDEX(Monthly!$B$2:$B$61,$A43)*INDEX('Age profile'!$B$2:$B$61,E$1-$A43+1),"")</f>
        <v/>
      </c>
      <c r="F43" s="53">
        <f>IF(F$1&gt;=$A43,INDEX(Monthly!$B$2:$B$61,$A43)*INDEX('Age profile'!$B$2:$B$61,F$1-$A43+1),"")</f>
        <v/>
      </c>
      <c r="G43" s="53">
        <f>IF(G$1&gt;=$A43,INDEX(Monthly!$B$2:$B$61,$A43)*INDEX('Age profile'!$B$2:$B$61,G$1-$A43+1),"")</f>
        <v/>
      </c>
      <c r="H43" s="53">
        <f>IF(H$1&gt;=$A43,INDEX(Monthly!$B$2:$B$61,$A43)*INDEX('Age profile'!$B$2:$B$61,H$1-$A43+1),"")</f>
        <v/>
      </c>
      <c r="I43" s="53">
        <f>IF(I$1&gt;=$A43,INDEX(Monthly!$B$2:$B$61,$A43)*INDEX('Age profile'!$B$2:$B$61,I$1-$A43+1),"")</f>
        <v/>
      </c>
      <c r="J43" s="53">
        <f>IF(J$1&gt;=$A43,INDEX(Monthly!$B$2:$B$61,$A43)*INDEX('Age profile'!$B$2:$B$61,J$1-$A43+1),"")</f>
        <v/>
      </c>
      <c r="K43" s="53">
        <f>IF(K$1&gt;=$A43,INDEX(Monthly!$B$2:$B$61,$A43)*INDEX('Age profile'!$B$2:$B$61,K$1-$A43+1),"")</f>
        <v/>
      </c>
      <c r="L43" s="53">
        <f>IF(L$1&gt;=$A43,INDEX(Monthly!$B$2:$B$61,$A43)*INDEX('Age profile'!$B$2:$B$61,L$1-$A43+1),"")</f>
        <v/>
      </c>
      <c r="M43" s="53">
        <f>IF(M$1&gt;=$A43,INDEX(Monthly!$B$2:$B$61,$A43)*INDEX('Age profile'!$B$2:$B$61,M$1-$A43+1),"")</f>
        <v/>
      </c>
      <c r="N43" s="53">
        <f>IF(N$1&gt;=$A43,INDEX(Monthly!$B$2:$B$61,$A43)*INDEX('Age profile'!$B$2:$B$61,N$1-$A43+1),"")</f>
        <v/>
      </c>
      <c r="O43" s="53">
        <f>IF(O$1&gt;=$A43,INDEX(Monthly!$B$2:$B$61,$A43)*INDEX('Age profile'!$B$2:$B$61,O$1-$A43+1),"")</f>
        <v/>
      </c>
      <c r="P43" s="53">
        <f>IF(P$1&gt;=$A43,INDEX(Monthly!$B$2:$B$61,$A43)*INDEX('Age profile'!$B$2:$B$61,P$1-$A43+1),"")</f>
        <v/>
      </c>
      <c r="Q43" s="53">
        <f>IF(Q$1&gt;=$A43,INDEX(Monthly!$B$2:$B$61,$A43)*INDEX('Age profile'!$B$2:$B$61,Q$1-$A43+1),"")</f>
        <v/>
      </c>
      <c r="R43" s="53">
        <f>IF(R$1&gt;=$A43,INDEX(Monthly!$B$2:$B$61,$A43)*INDEX('Age profile'!$B$2:$B$61,R$1-$A43+1),"")</f>
        <v/>
      </c>
      <c r="S43" s="53">
        <f>IF(S$1&gt;=$A43,INDEX(Monthly!$B$2:$B$61,$A43)*INDEX('Age profile'!$B$2:$B$61,S$1-$A43+1),"")</f>
        <v/>
      </c>
      <c r="T43" s="53">
        <f>IF(T$1&gt;=$A43,INDEX(Monthly!$B$2:$B$61,$A43)*INDEX('Age profile'!$B$2:$B$61,T$1-$A43+1),"")</f>
        <v/>
      </c>
      <c r="U43" s="53">
        <f>IF(U$1&gt;=$A43,INDEX(Monthly!$B$2:$B$61,$A43)*INDEX('Age profile'!$B$2:$B$61,U$1-$A43+1),"")</f>
        <v/>
      </c>
      <c r="V43" s="53">
        <f>IF(V$1&gt;=$A43,INDEX(Monthly!$B$2:$B$61,$A43)*INDEX('Age profile'!$B$2:$B$61,V$1-$A43+1),"")</f>
        <v/>
      </c>
      <c r="W43" s="53">
        <f>IF(W$1&gt;=$A43,INDEX(Monthly!$B$2:$B$61,$A43)*INDEX('Age profile'!$B$2:$B$61,W$1-$A43+1),"")</f>
        <v/>
      </c>
      <c r="X43" s="53">
        <f>IF(X$1&gt;=$A43,INDEX(Monthly!$B$2:$B$61,$A43)*INDEX('Age profile'!$B$2:$B$61,X$1-$A43+1),"")</f>
        <v/>
      </c>
      <c r="Y43" s="53">
        <f>IF(Y$1&gt;=$A43,INDEX(Monthly!$B$2:$B$61,$A43)*INDEX('Age profile'!$B$2:$B$61,Y$1-$A43+1),"")</f>
        <v/>
      </c>
      <c r="Z43" s="53">
        <f>IF(Z$1&gt;=$A43,INDEX(Monthly!$B$2:$B$61,$A43)*INDEX('Age profile'!$B$2:$B$61,Z$1-$A43+1),"")</f>
        <v/>
      </c>
      <c r="AA43" s="53">
        <f>IF(AA$1&gt;=$A43,INDEX(Monthly!$B$2:$B$61,$A43)*INDEX('Age profile'!$B$2:$B$61,AA$1-$A43+1),"")</f>
        <v/>
      </c>
      <c r="AB43" s="53">
        <f>IF(AB$1&gt;=$A43,INDEX(Monthly!$B$2:$B$61,$A43)*INDEX('Age profile'!$B$2:$B$61,AB$1-$A43+1),"")</f>
        <v/>
      </c>
      <c r="AC43" s="53">
        <f>IF(AC$1&gt;=$A43,INDEX(Monthly!$B$2:$B$61,$A43)*INDEX('Age profile'!$B$2:$B$61,AC$1-$A43+1),"")</f>
        <v/>
      </c>
      <c r="AD43" s="53">
        <f>IF(AD$1&gt;=$A43,INDEX(Monthly!$B$2:$B$61,$A43)*INDEX('Age profile'!$B$2:$B$61,AD$1-$A43+1),"")</f>
        <v/>
      </c>
      <c r="AE43" s="53">
        <f>IF(AE$1&gt;=$A43,INDEX(Monthly!$B$2:$B$61,$A43)*INDEX('Age profile'!$B$2:$B$61,AE$1-$A43+1),"")</f>
        <v/>
      </c>
      <c r="AF43" s="53">
        <f>IF(AF$1&gt;=$A43,INDEX(Monthly!$B$2:$B$61,$A43)*INDEX('Age profile'!$B$2:$B$61,AF$1-$A43+1),"")</f>
        <v/>
      </c>
      <c r="AG43" s="53">
        <f>IF(AG$1&gt;=$A43,INDEX(Monthly!$B$2:$B$61,$A43)*INDEX('Age profile'!$B$2:$B$61,AG$1-$A43+1),"")</f>
        <v/>
      </c>
      <c r="AH43" s="53">
        <f>IF(AH$1&gt;=$A43,INDEX(Monthly!$B$2:$B$61,$A43)*INDEX('Age profile'!$B$2:$B$61,AH$1-$A43+1),"")</f>
        <v/>
      </c>
      <c r="AI43" s="53">
        <f>IF(AI$1&gt;=$A43,INDEX(Monthly!$B$2:$B$61,$A43)*INDEX('Age profile'!$B$2:$B$61,AI$1-$A43+1),"")</f>
        <v/>
      </c>
      <c r="AJ43" s="53">
        <f>IF(AJ$1&gt;=$A43,INDEX(Monthly!$B$2:$B$61,$A43)*INDEX('Age profile'!$B$2:$B$61,AJ$1-$A43+1),"")</f>
        <v/>
      </c>
      <c r="AK43" s="53">
        <f>IF(AK$1&gt;=$A43,INDEX(Monthly!$B$2:$B$61,$A43)*INDEX('Age profile'!$B$2:$B$61,AK$1-$A43+1),"")</f>
        <v/>
      </c>
      <c r="AL43" s="53">
        <f>IF(AL$1&gt;=$A43,INDEX(Monthly!$B$2:$B$61,$A43)*INDEX('Age profile'!$B$2:$B$61,AL$1-$A43+1),"")</f>
        <v/>
      </c>
      <c r="AM43" s="53">
        <f>IF(AM$1&gt;=$A43,INDEX(Monthly!$B$2:$B$61,$A43)*INDEX('Age profile'!$B$2:$B$61,AM$1-$A43+1),"")</f>
        <v/>
      </c>
      <c r="AN43" s="53">
        <f>IF(AN$1&gt;=$A43,INDEX(Monthly!$B$2:$B$61,$A43)*INDEX('Age profile'!$B$2:$B$61,AN$1-$A43+1),"")</f>
        <v/>
      </c>
      <c r="AO43" s="53">
        <f>IF(AO$1&gt;=$A43,INDEX(Monthly!$B$2:$B$61,$A43)*INDEX('Age profile'!$B$2:$B$61,AO$1-$A43+1),"")</f>
        <v/>
      </c>
      <c r="AP43" s="53">
        <f>IF(AP$1&gt;=$A43,INDEX(Monthly!$B$2:$B$61,$A43)*INDEX('Age profile'!$B$2:$B$61,AP$1-$A43+1),"")</f>
        <v/>
      </c>
      <c r="AQ43" s="53">
        <f>IF(AQ$1&gt;=$A43,INDEX(Monthly!$B$2:$B$61,$A43)*INDEX('Age profile'!$B$2:$B$61,AQ$1-$A43+1),"")</f>
        <v/>
      </c>
      <c r="AR43" s="53">
        <f>IF(AR$1&gt;=$A43,INDEX(Monthly!$B$2:$B$61,$A43)*INDEX('Age profile'!$B$2:$B$61,AR$1-$A43+1),"")</f>
        <v/>
      </c>
      <c r="AS43" s="53">
        <f>IF(AS$1&gt;=$A43,INDEX(Monthly!$B$2:$B$61,$A43)*INDEX('Age profile'!$B$2:$B$61,AS$1-$A43+1),"")</f>
        <v/>
      </c>
      <c r="AT43" s="53">
        <f>IF(AT$1&gt;=$A43,INDEX(Monthly!$B$2:$B$61,$A43)*INDEX('Age profile'!$B$2:$B$61,AT$1-$A43+1),"")</f>
        <v/>
      </c>
      <c r="AU43" s="53">
        <f>IF(AU$1&gt;=$A43,INDEX(Monthly!$B$2:$B$61,$A43)*INDEX('Age profile'!$B$2:$B$61,AU$1-$A43+1),"")</f>
        <v/>
      </c>
      <c r="AV43" s="53">
        <f>IF(AV$1&gt;=$A43,INDEX(Monthly!$B$2:$B$61,$A43)*INDEX('Age profile'!$B$2:$B$61,AV$1-$A43+1),"")</f>
        <v/>
      </c>
      <c r="AW43" s="53">
        <f>IF(AW$1&gt;=$A43,INDEX(Monthly!$B$2:$B$61,$A43)*INDEX('Age profile'!$B$2:$B$61,AW$1-$A43+1),"")</f>
        <v/>
      </c>
      <c r="AX43" s="53">
        <f>IF(AX$1&gt;=$A43,INDEX(Monthly!$B$2:$B$61,$A43)*INDEX('Age profile'!$B$2:$B$61,AX$1-$A43+1),"")</f>
        <v/>
      </c>
      <c r="AY43" s="53">
        <f>IF(AY$1&gt;=$A43,INDEX(Monthly!$B$2:$B$61,$A43)*INDEX('Age profile'!$B$2:$B$61,AY$1-$A43+1),"")</f>
        <v/>
      </c>
      <c r="AZ43" s="53">
        <f>IF(AZ$1&gt;=$A43,INDEX(Monthly!$B$2:$B$61,$A43)*INDEX('Age profile'!$B$2:$B$61,AZ$1-$A43+1),"")</f>
        <v/>
      </c>
      <c r="BA43" s="53">
        <f>IF(BA$1&gt;=$A43,INDEX(Monthly!$B$2:$B$61,$A43)*INDEX('Age profile'!$B$2:$B$61,BA$1-$A43+1),"")</f>
        <v/>
      </c>
      <c r="BB43" s="53">
        <f>IF(BB$1&gt;=$A43,INDEX(Monthly!$B$2:$B$61,$A43)*INDEX('Age profile'!$B$2:$B$61,BB$1-$A43+1),"")</f>
        <v/>
      </c>
      <c r="BC43" s="53">
        <f>IF(BC$1&gt;=$A43,INDEX(Monthly!$B$2:$B$61,$A43)*INDEX('Age profile'!$B$2:$B$61,BC$1-$A43+1),"")</f>
        <v/>
      </c>
      <c r="BD43" s="53">
        <f>IF(BD$1&gt;=$A43,INDEX(Monthly!$B$2:$B$61,$A43)*INDEX('Age profile'!$B$2:$B$61,BD$1-$A43+1),"")</f>
        <v/>
      </c>
      <c r="BE43" s="53">
        <f>IF(BE$1&gt;=$A43,INDEX(Monthly!$B$2:$B$61,$A43)*INDEX('Age profile'!$B$2:$B$61,BE$1-$A43+1),"")</f>
        <v/>
      </c>
      <c r="BF43" s="53">
        <f>IF(BF$1&gt;=$A43,INDEX(Monthly!$B$2:$B$61,$A43)*INDEX('Age profile'!$B$2:$B$61,BF$1-$A43+1),"")</f>
        <v/>
      </c>
      <c r="BG43" s="53">
        <f>IF(BG$1&gt;=$A43,INDEX(Monthly!$B$2:$B$61,$A43)*INDEX('Age profile'!$B$2:$B$61,BG$1-$A43+1),"")</f>
        <v/>
      </c>
      <c r="BH43" s="53">
        <f>IF(BH$1&gt;=$A43,INDEX(Monthly!$B$2:$B$61,$A43)*INDEX('Age profile'!$B$2:$B$61,BH$1-$A43+1),"")</f>
        <v/>
      </c>
      <c r="BI43" s="53">
        <f>IF(BI$1&gt;=$A43,INDEX(Monthly!$B$2:$B$61,$A43)*INDEX('Age profile'!$B$2:$B$61,BI$1-$A43+1),"")</f>
        <v/>
      </c>
    </row>
    <row r="44">
      <c r="A44" s="3" t="n">
        <v>43</v>
      </c>
      <c r="B44" s="53">
        <f>IF(B$1&gt;=$A44,INDEX(Monthly!$B$2:$B$61,$A44)*INDEX('Age profile'!$B$2:$B$61,B$1-$A44+1),"")</f>
        <v/>
      </c>
      <c r="C44" s="53">
        <f>IF(C$1&gt;=$A44,INDEX(Monthly!$B$2:$B$61,$A44)*INDEX('Age profile'!$B$2:$B$61,C$1-$A44+1),"")</f>
        <v/>
      </c>
      <c r="D44" s="53">
        <f>IF(D$1&gt;=$A44,INDEX(Monthly!$B$2:$B$61,$A44)*INDEX('Age profile'!$B$2:$B$61,D$1-$A44+1),"")</f>
        <v/>
      </c>
      <c r="E44" s="53">
        <f>IF(E$1&gt;=$A44,INDEX(Monthly!$B$2:$B$61,$A44)*INDEX('Age profile'!$B$2:$B$61,E$1-$A44+1),"")</f>
        <v/>
      </c>
      <c r="F44" s="53">
        <f>IF(F$1&gt;=$A44,INDEX(Monthly!$B$2:$B$61,$A44)*INDEX('Age profile'!$B$2:$B$61,F$1-$A44+1),"")</f>
        <v/>
      </c>
      <c r="G44" s="53">
        <f>IF(G$1&gt;=$A44,INDEX(Monthly!$B$2:$B$61,$A44)*INDEX('Age profile'!$B$2:$B$61,G$1-$A44+1),"")</f>
        <v/>
      </c>
      <c r="H44" s="53">
        <f>IF(H$1&gt;=$A44,INDEX(Monthly!$B$2:$B$61,$A44)*INDEX('Age profile'!$B$2:$B$61,H$1-$A44+1),"")</f>
        <v/>
      </c>
      <c r="I44" s="53">
        <f>IF(I$1&gt;=$A44,INDEX(Monthly!$B$2:$B$61,$A44)*INDEX('Age profile'!$B$2:$B$61,I$1-$A44+1),"")</f>
        <v/>
      </c>
      <c r="J44" s="53">
        <f>IF(J$1&gt;=$A44,INDEX(Monthly!$B$2:$B$61,$A44)*INDEX('Age profile'!$B$2:$B$61,J$1-$A44+1),"")</f>
        <v/>
      </c>
      <c r="K44" s="53">
        <f>IF(K$1&gt;=$A44,INDEX(Monthly!$B$2:$B$61,$A44)*INDEX('Age profile'!$B$2:$B$61,K$1-$A44+1),"")</f>
        <v/>
      </c>
      <c r="L44" s="53">
        <f>IF(L$1&gt;=$A44,INDEX(Monthly!$B$2:$B$61,$A44)*INDEX('Age profile'!$B$2:$B$61,L$1-$A44+1),"")</f>
        <v/>
      </c>
      <c r="M44" s="53">
        <f>IF(M$1&gt;=$A44,INDEX(Monthly!$B$2:$B$61,$A44)*INDEX('Age profile'!$B$2:$B$61,M$1-$A44+1),"")</f>
        <v/>
      </c>
      <c r="N44" s="53">
        <f>IF(N$1&gt;=$A44,INDEX(Monthly!$B$2:$B$61,$A44)*INDEX('Age profile'!$B$2:$B$61,N$1-$A44+1),"")</f>
        <v/>
      </c>
      <c r="O44" s="53">
        <f>IF(O$1&gt;=$A44,INDEX(Monthly!$B$2:$B$61,$A44)*INDEX('Age profile'!$B$2:$B$61,O$1-$A44+1),"")</f>
        <v/>
      </c>
      <c r="P44" s="53">
        <f>IF(P$1&gt;=$A44,INDEX(Monthly!$B$2:$B$61,$A44)*INDEX('Age profile'!$B$2:$B$61,P$1-$A44+1),"")</f>
        <v/>
      </c>
      <c r="Q44" s="53">
        <f>IF(Q$1&gt;=$A44,INDEX(Monthly!$B$2:$B$61,$A44)*INDEX('Age profile'!$B$2:$B$61,Q$1-$A44+1),"")</f>
        <v/>
      </c>
      <c r="R44" s="53">
        <f>IF(R$1&gt;=$A44,INDEX(Monthly!$B$2:$B$61,$A44)*INDEX('Age profile'!$B$2:$B$61,R$1-$A44+1),"")</f>
        <v/>
      </c>
      <c r="S44" s="53">
        <f>IF(S$1&gt;=$A44,INDEX(Monthly!$B$2:$B$61,$A44)*INDEX('Age profile'!$B$2:$B$61,S$1-$A44+1),"")</f>
        <v/>
      </c>
      <c r="T44" s="53">
        <f>IF(T$1&gt;=$A44,INDEX(Monthly!$B$2:$B$61,$A44)*INDEX('Age profile'!$B$2:$B$61,T$1-$A44+1),"")</f>
        <v/>
      </c>
      <c r="U44" s="53">
        <f>IF(U$1&gt;=$A44,INDEX(Monthly!$B$2:$B$61,$A44)*INDEX('Age profile'!$B$2:$B$61,U$1-$A44+1),"")</f>
        <v/>
      </c>
      <c r="V44" s="53">
        <f>IF(V$1&gt;=$A44,INDEX(Monthly!$B$2:$B$61,$A44)*INDEX('Age profile'!$B$2:$B$61,V$1-$A44+1),"")</f>
        <v/>
      </c>
      <c r="W44" s="53">
        <f>IF(W$1&gt;=$A44,INDEX(Monthly!$B$2:$B$61,$A44)*INDEX('Age profile'!$B$2:$B$61,W$1-$A44+1),"")</f>
        <v/>
      </c>
      <c r="X44" s="53">
        <f>IF(X$1&gt;=$A44,INDEX(Monthly!$B$2:$B$61,$A44)*INDEX('Age profile'!$B$2:$B$61,X$1-$A44+1),"")</f>
        <v/>
      </c>
      <c r="Y44" s="53">
        <f>IF(Y$1&gt;=$A44,INDEX(Monthly!$B$2:$B$61,$A44)*INDEX('Age profile'!$B$2:$B$61,Y$1-$A44+1),"")</f>
        <v/>
      </c>
      <c r="Z44" s="53">
        <f>IF(Z$1&gt;=$A44,INDEX(Monthly!$B$2:$B$61,$A44)*INDEX('Age profile'!$B$2:$B$61,Z$1-$A44+1),"")</f>
        <v/>
      </c>
      <c r="AA44" s="53">
        <f>IF(AA$1&gt;=$A44,INDEX(Monthly!$B$2:$B$61,$A44)*INDEX('Age profile'!$B$2:$B$61,AA$1-$A44+1),"")</f>
        <v/>
      </c>
      <c r="AB44" s="53">
        <f>IF(AB$1&gt;=$A44,INDEX(Monthly!$B$2:$B$61,$A44)*INDEX('Age profile'!$B$2:$B$61,AB$1-$A44+1),"")</f>
        <v/>
      </c>
      <c r="AC44" s="53">
        <f>IF(AC$1&gt;=$A44,INDEX(Monthly!$B$2:$B$61,$A44)*INDEX('Age profile'!$B$2:$B$61,AC$1-$A44+1),"")</f>
        <v/>
      </c>
      <c r="AD44" s="53">
        <f>IF(AD$1&gt;=$A44,INDEX(Monthly!$B$2:$B$61,$A44)*INDEX('Age profile'!$B$2:$B$61,AD$1-$A44+1),"")</f>
        <v/>
      </c>
      <c r="AE44" s="53">
        <f>IF(AE$1&gt;=$A44,INDEX(Monthly!$B$2:$B$61,$A44)*INDEX('Age profile'!$B$2:$B$61,AE$1-$A44+1),"")</f>
        <v/>
      </c>
      <c r="AF44" s="53">
        <f>IF(AF$1&gt;=$A44,INDEX(Monthly!$B$2:$B$61,$A44)*INDEX('Age profile'!$B$2:$B$61,AF$1-$A44+1),"")</f>
        <v/>
      </c>
      <c r="AG44" s="53">
        <f>IF(AG$1&gt;=$A44,INDEX(Monthly!$B$2:$B$61,$A44)*INDEX('Age profile'!$B$2:$B$61,AG$1-$A44+1),"")</f>
        <v/>
      </c>
      <c r="AH44" s="53">
        <f>IF(AH$1&gt;=$A44,INDEX(Monthly!$B$2:$B$61,$A44)*INDEX('Age profile'!$B$2:$B$61,AH$1-$A44+1),"")</f>
        <v/>
      </c>
      <c r="AI44" s="53">
        <f>IF(AI$1&gt;=$A44,INDEX(Monthly!$B$2:$B$61,$A44)*INDEX('Age profile'!$B$2:$B$61,AI$1-$A44+1),"")</f>
        <v/>
      </c>
      <c r="AJ44" s="53">
        <f>IF(AJ$1&gt;=$A44,INDEX(Monthly!$B$2:$B$61,$A44)*INDEX('Age profile'!$B$2:$B$61,AJ$1-$A44+1),"")</f>
        <v/>
      </c>
      <c r="AK44" s="53">
        <f>IF(AK$1&gt;=$A44,INDEX(Monthly!$B$2:$B$61,$A44)*INDEX('Age profile'!$B$2:$B$61,AK$1-$A44+1),"")</f>
        <v/>
      </c>
      <c r="AL44" s="53">
        <f>IF(AL$1&gt;=$A44,INDEX(Monthly!$B$2:$B$61,$A44)*INDEX('Age profile'!$B$2:$B$61,AL$1-$A44+1),"")</f>
        <v/>
      </c>
      <c r="AM44" s="53">
        <f>IF(AM$1&gt;=$A44,INDEX(Monthly!$B$2:$B$61,$A44)*INDEX('Age profile'!$B$2:$B$61,AM$1-$A44+1),"")</f>
        <v/>
      </c>
      <c r="AN44" s="53">
        <f>IF(AN$1&gt;=$A44,INDEX(Monthly!$B$2:$B$61,$A44)*INDEX('Age profile'!$B$2:$B$61,AN$1-$A44+1),"")</f>
        <v/>
      </c>
      <c r="AO44" s="53">
        <f>IF(AO$1&gt;=$A44,INDEX(Monthly!$B$2:$B$61,$A44)*INDEX('Age profile'!$B$2:$B$61,AO$1-$A44+1),"")</f>
        <v/>
      </c>
      <c r="AP44" s="53">
        <f>IF(AP$1&gt;=$A44,INDEX(Monthly!$B$2:$B$61,$A44)*INDEX('Age profile'!$B$2:$B$61,AP$1-$A44+1),"")</f>
        <v/>
      </c>
      <c r="AQ44" s="53">
        <f>IF(AQ$1&gt;=$A44,INDEX(Monthly!$B$2:$B$61,$A44)*INDEX('Age profile'!$B$2:$B$61,AQ$1-$A44+1),"")</f>
        <v/>
      </c>
      <c r="AR44" s="53">
        <f>IF(AR$1&gt;=$A44,INDEX(Monthly!$B$2:$B$61,$A44)*INDEX('Age profile'!$B$2:$B$61,AR$1-$A44+1),"")</f>
        <v/>
      </c>
      <c r="AS44" s="53">
        <f>IF(AS$1&gt;=$A44,INDEX(Monthly!$B$2:$B$61,$A44)*INDEX('Age profile'!$B$2:$B$61,AS$1-$A44+1),"")</f>
        <v/>
      </c>
      <c r="AT44" s="53">
        <f>IF(AT$1&gt;=$A44,INDEX(Monthly!$B$2:$B$61,$A44)*INDEX('Age profile'!$B$2:$B$61,AT$1-$A44+1),"")</f>
        <v/>
      </c>
      <c r="AU44" s="53">
        <f>IF(AU$1&gt;=$A44,INDEX(Monthly!$B$2:$B$61,$A44)*INDEX('Age profile'!$B$2:$B$61,AU$1-$A44+1),"")</f>
        <v/>
      </c>
      <c r="AV44" s="53">
        <f>IF(AV$1&gt;=$A44,INDEX(Monthly!$B$2:$B$61,$A44)*INDEX('Age profile'!$B$2:$B$61,AV$1-$A44+1),"")</f>
        <v/>
      </c>
      <c r="AW44" s="53">
        <f>IF(AW$1&gt;=$A44,INDEX(Monthly!$B$2:$B$61,$A44)*INDEX('Age profile'!$B$2:$B$61,AW$1-$A44+1),"")</f>
        <v/>
      </c>
      <c r="AX44" s="53">
        <f>IF(AX$1&gt;=$A44,INDEX(Monthly!$B$2:$B$61,$A44)*INDEX('Age profile'!$B$2:$B$61,AX$1-$A44+1),"")</f>
        <v/>
      </c>
      <c r="AY44" s="53">
        <f>IF(AY$1&gt;=$A44,INDEX(Monthly!$B$2:$B$61,$A44)*INDEX('Age profile'!$B$2:$B$61,AY$1-$A44+1),"")</f>
        <v/>
      </c>
      <c r="AZ44" s="53">
        <f>IF(AZ$1&gt;=$A44,INDEX(Monthly!$B$2:$B$61,$A44)*INDEX('Age profile'!$B$2:$B$61,AZ$1-$A44+1),"")</f>
        <v/>
      </c>
      <c r="BA44" s="53">
        <f>IF(BA$1&gt;=$A44,INDEX(Monthly!$B$2:$B$61,$A44)*INDEX('Age profile'!$B$2:$B$61,BA$1-$A44+1),"")</f>
        <v/>
      </c>
      <c r="BB44" s="53">
        <f>IF(BB$1&gt;=$A44,INDEX(Monthly!$B$2:$B$61,$A44)*INDEX('Age profile'!$B$2:$B$61,BB$1-$A44+1),"")</f>
        <v/>
      </c>
      <c r="BC44" s="53">
        <f>IF(BC$1&gt;=$A44,INDEX(Monthly!$B$2:$B$61,$A44)*INDEX('Age profile'!$B$2:$B$61,BC$1-$A44+1),"")</f>
        <v/>
      </c>
      <c r="BD44" s="53">
        <f>IF(BD$1&gt;=$A44,INDEX(Monthly!$B$2:$B$61,$A44)*INDEX('Age profile'!$B$2:$B$61,BD$1-$A44+1),"")</f>
        <v/>
      </c>
      <c r="BE44" s="53">
        <f>IF(BE$1&gt;=$A44,INDEX(Monthly!$B$2:$B$61,$A44)*INDEX('Age profile'!$B$2:$B$61,BE$1-$A44+1),"")</f>
        <v/>
      </c>
      <c r="BF44" s="53">
        <f>IF(BF$1&gt;=$A44,INDEX(Monthly!$B$2:$B$61,$A44)*INDEX('Age profile'!$B$2:$B$61,BF$1-$A44+1),"")</f>
        <v/>
      </c>
      <c r="BG44" s="53">
        <f>IF(BG$1&gt;=$A44,INDEX(Monthly!$B$2:$B$61,$A44)*INDEX('Age profile'!$B$2:$B$61,BG$1-$A44+1),"")</f>
        <v/>
      </c>
      <c r="BH44" s="53">
        <f>IF(BH$1&gt;=$A44,INDEX(Monthly!$B$2:$B$61,$A44)*INDEX('Age profile'!$B$2:$B$61,BH$1-$A44+1),"")</f>
        <v/>
      </c>
      <c r="BI44" s="53">
        <f>IF(BI$1&gt;=$A44,INDEX(Monthly!$B$2:$B$61,$A44)*INDEX('Age profile'!$B$2:$B$61,BI$1-$A44+1),"")</f>
        <v/>
      </c>
    </row>
    <row r="45">
      <c r="A45" s="3" t="n">
        <v>44</v>
      </c>
      <c r="B45" s="53">
        <f>IF(B$1&gt;=$A45,INDEX(Monthly!$B$2:$B$61,$A45)*INDEX('Age profile'!$B$2:$B$61,B$1-$A45+1),"")</f>
        <v/>
      </c>
      <c r="C45" s="53">
        <f>IF(C$1&gt;=$A45,INDEX(Monthly!$B$2:$B$61,$A45)*INDEX('Age profile'!$B$2:$B$61,C$1-$A45+1),"")</f>
        <v/>
      </c>
      <c r="D45" s="53">
        <f>IF(D$1&gt;=$A45,INDEX(Monthly!$B$2:$B$61,$A45)*INDEX('Age profile'!$B$2:$B$61,D$1-$A45+1),"")</f>
        <v/>
      </c>
      <c r="E45" s="53">
        <f>IF(E$1&gt;=$A45,INDEX(Monthly!$B$2:$B$61,$A45)*INDEX('Age profile'!$B$2:$B$61,E$1-$A45+1),"")</f>
        <v/>
      </c>
      <c r="F45" s="53">
        <f>IF(F$1&gt;=$A45,INDEX(Monthly!$B$2:$B$61,$A45)*INDEX('Age profile'!$B$2:$B$61,F$1-$A45+1),"")</f>
        <v/>
      </c>
      <c r="G45" s="53">
        <f>IF(G$1&gt;=$A45,INDEX(Monthly!$B$2:$B$61,$A45)*INDEX('Age profile'!$B$2:$B$61,G$1-$A45+1),"")</f>
        <v/>
      </c>
      <c r="H45" s="53">
        <f>IF(H$1&gt;=$A45,INDEX(Monthly!$B$2:$B$61,$A45)*INDEX('Age profile'!$B$2:$B$61,H$1-$A45+1),"")</f>
        <v/>
      </c>
      <c r="I45" s="53">
        <f>IF(I$1&gt;=$A45,INDEX(Monthly!$B$2:$B$61,$A45)*INDEX('Age profile'!$B$2:$B$61,I$1-$A45+1),"")</f>
        <v/>
      </c>
      <c r="J45" s="53">
        <f>IF(J$1&gt;=$A45,INDEX(Monthly!$B$2:$B$61,$A45)*INDEX('Age profile'!$B$2:$B$61,J$1-$A45+1),"")</f>
        <v/>
      </c>
      <c r="K45" s="53">
        <f>IF(K$1&gt;=$A45,INDEX(Monthly!$B$2:$B$61,$A45)*INDEX('Age profile'!$B$2:$B$61,K$1-$A45+1),"")</f>
        <v/>
      </c>
      <c r="L45" s="53">
        <f>IF(L$1&gt;=$A45,INDEX(Monthly!$B$2:$B$61,$A45)*INDEX('Age profile'!$B$2:$B$61,L$1-$A45+1),"")</f>
        <v/>
      </c>
      <c r="M45" s="53">
        <f>IF(M$1&gt;=$A45,INDEX(Monthly!$B$2:$B$61,$A45)*INDEX('Age profile'!$B$2:$B$61,M$1-$A45+1),"")</f>
        <v/>
      </c>
      <c r="N45" s="53">
        <f>IF(N$1&gt;=$A45,INDEX(Monthly!$B$2:$B$61,$A45)*INDEX('Age profile'!$B$2:$B$61,N$1-$A45+1),"")</f>
        <v/>
      </c>
      <c r="O45" s="53">
        <f>IF(O$1&gt;=$A45,INDEX(Monthly!$B$2:$B$61,$A45)*INDEX('Age profile'!$B$2:$B$61,O$1-$A45+1),"")</f>
        <v/>
      </c>
      <c r="P45" s="53">
        <f>IF(P$1&gt;=$A45,INDEX(Monthly!$B$2:$B$61,$A45)*INDEX('Age profile'!$B$2:$B$61,P$1-$A45+1),"")</f>
        <v/>
      </c>
      <c r="Q45" s="53">
        <f>IF(Q$1&gt;=$A45,INDEX(Monthly!$B$2:$B$61,$A45)*INDEX('Age profile'!$B$2:$B$61,Q$1-$A45+1),"")</f>
        <v/>
      </c>
      <c r="R45" s="53">
        <f>IF(R$1&gt;=$A45,INDEX(Monthly!$B$2:$B$61,$A45)*INDEX('Age profile'!$B$2:$B$61,R$1-$A45+1),"")</f>
        <v/>
      </c>
      <c r="S45" s="53">
        <f>IF(S$1&gt;=$A45,INDEX(Monthly!$B$2:$B$61,$A45)*INDEX('Age profile'!$B$2:$B$61,S$1-$A45+1),"")</f>
        <v/>
      </c>
      <c r="T45" s="53">
        <f>IF(T$1&gt;=$A45,INDEX(Monthly!$B$2:$B$61,$A45)*INDEX('Age profile'!$B$2:$B$61,T$1-$A45+1),"")</f>
        <v/>
      </c>
      <c r="U45" s="53">
        <f>IF(U$1&gt;=$A45,INDEX(Monthly!$B$2:$B$61,$A45)*INDEX('Age profile'!$B$2:$B$61,U$1-$A45+1),"")</f>
        <v/>
      </c>
      <c r="V45" s="53">
        <f>IF(V$1&gt;=$A45,INDEX(Monthly!$B$2:$B$61,$A45)*INDEX('Age profile'!$B$2:$B$61,V$1-$A45+1),"")</f>
        <v/>
      </c>
      <c r="W45" s="53">
        <f>IF(W$1&gt;=$A45,INDEX(Monthly!$B$2:$B$61,$A45)*INDEX('Age profile'!$B$2:$B$61,W$1-$A45+1),"")</f>
        <v/>
      </c>
      <c r="X45" s="53">
        <f>IF(X$1&gt;=$A45,INDEX(Monthly!$B$2:$B$61,$A45)*INDEX('Age profile'!$B$2:$B$61,X$1-$A45+1),"")</f>
        <v/>
      </c>
      <c r="Y45" s="53">
        <f>IF(Y$1&gt;=$A45,INDEX(Monthly!$B$2:$B$61,$A45)*INDEX('Age profile'!$B$2:$B$61,Y$1-$A45+1),"")</f>
        <v/>
      </c>
      <c r="Z45" s="53">
        <f>IF(Z$1&gt;=$A45,INDEX(Monthly!$B$2:$B$61,$A45)*INDEX('Age profile'!$B$2:$B$61,Z$1-$A45+1),"")</f>
        <v/>
      </c>
      <c r="AA45" s="53">
        <f>IF(AA$1&gt;=$A45,INDEX(Monthly!$B$2:$B$61,$A45)*INDEX('Age profile'!$B$2:$B$61,AA$1-$A45+1),"")</f>
        <v/>
      </c>
      <c r="AB45" s="53">
        <f>IF(AB$1&gt;=$A45,INDEX(Monthly!$B$2:$B$61,$A45)*INDEX('Age profile'!$B$2:$B$61,AB$1-$A45+1),"")</f>
        <v/>
      </c>
      <c r="AC45" s="53">
        <f>IF(AC$1&gt;=$A45,INDEX(Monthly!$B$2:$B$61,$A45)*INDEX('Age profile'!$B$2:$B$61,AC$1-$A45+1),"")</f>
        <v/>
      </c>
      <c r="AD45" s="53">
        <f>IF(AD$1&gt;=$A45,INDEX(Monthly!$B$2:$B$61,$A45)*INDEX('Age profile'!$B$2:$B$61,AD$1-$A45+1),"")</f>
        <v/>
      </c>
      <c r="AE45" s="53">
        <f>IF(AE$1&gt;=$A45,INDEX(Monthly!$B$2:$B$61,$A45)*INDEX('Age profile'!$B$2:$B$61,AE$1-$A45+1),"")</f>
        <v/>
      </c>
      <c r="AF45" s="53">
        <f>IF(AF$1&gt;=$A45,INDEX(Monthly!$B$2:$B$61,$A45)*INDEX('Age profile'!$B$2:$B$61,AF$1-$A45+1),"")</f>
        <v/>
      </c>
      <c r="AG45" s="53">
        <f>IF(AG$1&gt;=$A45,INDEX(Monthly!$B$2:$B$61,$A45)*INDEX('Age profile'!$B$2:$B$61,AG$1-$A45+1),"")</f>
        <v/>
      </c>
      <c r="AH45" s="53">
        <f>IF(AH$1&gt;=$A45,INDEX(Monthly!$B$2:$B$61,$A45)*INDEX('Age profile'!$B$2:$B$61,AH$1-$A45+1),"")</f>
        <v/>
      </c>
      <c r="AI45" s="53">
        <f>IF(AI$1&gt;=$A45,INDEX(Monthly!$B$2:$B$61,$A45)*INDEX('Age profile'!$B$2:$B$61,AI$1-$A45+1),"")</f>
        <v/>
      </c>
      <c r="AJ45" s="53">
        <f>IF(AJ$1&gt;=$A45,INDEX(Monthly!$B$2:$B$61,$A45)*INDEX('Age profile'!$B$2:$B$61,AJ$1-$A45+1),"")</f>
        <v/>
      </c>
      <c r="AK45" s="53">
        <f>IF(AK$1&gt;=$A45,INDEX(Monthly!$B$2:$B$61,$A45)*INDEX('Age profile'!$B$2:$B$61,AK$1-$A45+1),"")</f>
        <v/>
      </c>
      <c r="AL45" s="53">
        <f>IF(AL$1&gt;=$A45,INDEX(Monthly!$B$2:$B$61,$A45)*INDEX('Age profile'!$B$2:$B$61,AL$1-$A45+1),"")</f>
        <v/>
      </c>
      <c r="AM45" s="53">
        <f>IF(AM$1&gt;=$A45,INDEX(Monthly!$B$2:$B$61,$A45)*INDEX('Age profile'!$B$2:$B$61,AM$1-$A45+1),"")</f>
        <v/>
      </c>
      <c r="AN45" s="53">
        <f>IF(AN$1&gt;=$A45,INDEX(Monthly!$B$2:$B$61,$A45)*INDEX('Age profile'!$B$2:$B$61,AN$1-$A45+1),"")</f>
        <v/>
      </c>
      <c r="AO45" s="53">
        <f>IF(AO$1&gt;=$A45,INDEX(Monthly!$B$2:$B$61,$A45)*INDEX('Age profile'!$B$2:$B$61,AO$1-$A45+1),"")</f>
        <v/>
      </c>
      <c r="AP45" s="53">
        <f>IF(AP$1&gt;=$A45,INDEX(Monthly!$B$2:$B$61,$A45)*INDEX('Age profile'!$B$2:$B$61,AP$1-$A45+1),"")</f>
        <v/>
      </c>
      <c r="AQ45" s="53">
        <f>IF(AQ$1&gt;=$A45,INDEX(Monthly!$B$2:$B$61,$A45)*INDEX('Age profile'!$B$2:$B$61,AQ$1-$A45+1),"")</f>
        <v/>
      </c>
      <c r="AR45" s="53">
        <f>IF(AR$1&gt;=$A45,INDEX(Monthly!$B$2:$B$61,$A45)*INDEX('Age profile'!$B$2:$B$61,AR$1-$A45+1),"")</f>
        <v/>
      </c>
      <c r="AS45" s="53">
        <f>IF(AS$1&gt;=$A45,INDEX(Monthly!$B$2:$B$61,$A45)*INDEX('Age profile'!$B$2:$B$61,AS$1-$A45+1),"")</f>
        <v/>
      </c>
      <c r="AT45" s="53">
        <f>IF(AT$1&gt;=$A45,INDEX(Monthly!$B$2:$B$61,$A45)*INDEX('Age profile'!$B$2:$B$61,AT$1-$A45+1),"")</f>
        <v/>
      </c>
      <c r="AU45" s="53">
        <f>IF(AU$1&gt;=$A45,INDEX(Monthly!$B$2:$B$61,$A45)*INDEX('Age profile'!$B$2:$B$61,AU$1-$A45+1),"")</f>
        <v/>
      </c>
      <c r="AV45" s="53">
        <f>IF(AV$1&gt;=$A45,INDEX(Monthly!$B$2:$B$61,$A45)*INDEX('Age profile'!$B$2:$B$61,AV$1-$A45+1),"")</f>
        <v/>
      </c>
      <c r="AW45" s="53">
        <f>IF(AW$1&gt;=$A45,INDEX(Monthly!$B$2:$B$61,$A45)*INDEX('Age profile'!$B$2:$B$61,AW$1-$A45+1),"")</f>
        <v/>
      </c>
      <c r="AX45" s="53">
        <f>IF(AX$1&gt;=$A45,INDEX(Monthly!$B$2:$B$61,$A45)*INDEX('Age profile'!$B$2:$B$61,AX$1-$A45+1),"")</f>
        <v/>
      </c>
      <c r="AY45" s="53">
        <f>IF(AY$1&gt;=$A45,INDEX(Monthly!$B$2:$B$61,$A45)*INDEX('Age profile'!$B$2:$B$61,AY$1-$A45+1),"")</f>
        <v/>
      </c>
      <c r="AZ45" s="53">
        <f>IF(AZ$1&gt;=$A45,INDEX(Monthly!$B$2:$B$61,$A45)*INDEX('Age profile'!$B$2:$B$61,AZ$1-$A45+1),"")</f>
        <v/>
      </c>
      <c r="BA45" s="53">
        <f>IF(BA$1&gt;=$A45,INDEX(Monthly!$B$2:$B$61,$A45)*INDEX('Age profile'!$B$2:$B$61,BA$1-$A45+1),"")</f>
        <v/>
      </c>
      <c r="BB45" s="53">
        <f>IF(BB$1&gt;=$A45,INDEX(Monthly!$B$2:$B$61,$A45)*INDEX('Age profile'!$B$2:$B$61,BB$1-$A45+1),"")</f>
        <v/>
      </c>
      <c r="BC45" s="53">
        <f>IF(BC$1&gt;=$A45,INDEX(Monthly!$B$2:$B$61,$A45)*INDEX('Age profile'!$B$2:$B$61,BC$1-$A45+1),"")</f>
        <v/>
      </c>
      <c r="BD45" s="53">
        <f>IF(BD$1&gt;=$A45,INDEX(Monthly!$B$2:$B$61,$A45)*INDEX('Age profile'!$B$2:$B$61,BD$1-$A45+1),"")</f>
        <v/>
      </c>
      <c r="BE45" s="53">
        <f>IF(BE$1&gt;=$A45,INDEX(Monthly!$B$2:$B$61,$A45)*INDEX('Age profile'!$B$2:$B$61,BE$1-$A45+1),"")</f>
        <v/>
      </c>
      <c r="BF45" s="53">
        <f>IF(BF$1&gt;=$A45,INDEX(Monthly!$B$2:$B$61,$A45)*INDEX('Age profile'!$B$2:$B$61,BF$1-$A45+1),"")</f>
        <v/>
      </c>
      <c r="BG45" s="53">
        <f>IF(BG$1&gt;=$A45,INDEX(Monthly!$B$2:$B$61,$A45)*INDEX('Age profile'!$B$2:$B$61,BG$1-$A45+1),"")</f>
        <v/>
      </c>
      <c r="BH45" s="53">
        <f>IF(BH$1&gt;=$A45,INDEX(Monthly!$B$2:$B$61,$A45)*INDEX('Age profile'!$B$2:$B$61,BH$1-$A45+1),"")</f>
        <v/>
      </c>
      <c r="BI45" s="53">
        <f>IF(BI$1&gt;=$A45,INDEX(Monthly!$B$2:$B$61,$A45)*INDEX('Age profile'!$B$2:$B$61,BI$1-$A45+1),"")</f>
        <v/>
      </c>
    </row>
    <row r="46">
      <c r="A46" s="3" t="n">
        <v>45</v>
      </c>
      <c r="B46" s="53">
        <f>IF(B$1&gt;=$A46,INDEX(Monthly!$B$2:$B$61,$A46)*INDEX('Age profile'!$B$2:$B$61,B$1-$A46+1),"")</f>
        <v/>
      </c>
      <c r="C46" s="53">
        <f>IF(C$1&gt;=$A46,INDEX(Monthly!$B$2:$B$61,$A46)*INDEX('Age profile'!$B$2:$B$61,C$1-$A46+1),"")</f>
        <v/>
      </c>
      <c r="D46" s="53">
        <f>IF(D$1&gt;=$A46,INDEX(Monthly!$B$2:$B$61,$A46)*INDEX('Age profile'!$B$2:$B$61,D$1-$A46+1),"")</f>
        <v/>
      </c>
      <c r="E46" s="53">
        <f>IF(E$1&gt;=$A46,INDEX(Monthly!$B$2:$B$61,$A46)*INDEX('Age profile'!$B$2:$B$61,E$1-$A46+1),"")</f>
        <v/>
      </c>
      <c r="F46" s="53">
        <f>IF(F$1&gt;=$A46,INDEX(Monthly!$B$2:$B$61,$A46)*INDEX('Age profile'!$B$2:$B$61,F$1-$A46+1),"")</f>
        <v/>
      </c>
      <c r="G46" s="53">
        <f>IF(G$1&gt;=$A46,INDEX(Monthly!$B$2:$B$61,$A46)*INDEX('Age profile'!$B$2:$B$61,G$1-$A46+1),"")</f>
        <v/>
      </c>
      <c r="H46" s="53">
        <f>IF(H$1&gt;=$A46,INDEX(Monthly!$B$2:$B$61,$A46)*INDEX('Age profile'!$B$2:$B$61,H$1-$A46+1),"")</f>
        <v/>
      </c>
      <c r="I46" s="53">
        <f>IF(I$1&gt;=$A46,INDEX(Monthly!$B$2:$B$61,$A46)*INDEX('Age profile'!$B$2:$B$61,I$1-$A46+1),"")</f>
        <v/>
      </c>
      <c r="J46" s="53">
        <f>IF(J$1&gt;=$A46,INDEX(Monthly!$B$2:$B$61,$A46)*INDEX('Age profile'!$B$2:$B$61,J$1-$A46+1),"")</f>
        <v/>
      </c>
      <c r="K46" s="53">
        <f>IF(K$1&gt;=$A46,INDEX(Monthly!$B$2:$B$61,$A46)*INDEX('Age profile'!$B$2:$B$61,K$1-$A46+1),"")</f>
        <v/>
      </c>
      <c r="L46" s="53">
        <f>IF(L$1&gt;=$A46,INDEX(Monthly!$B$2:$B$61,$A46)*INDEX('Age profile'!$B$2:$B$61,L$1-$A46+1),"")</f>
        <v/>
      </c>
      <c r="M46" s="53">
        <f>IF(M$1&gt;=$A46,INDEX(Monthly!$B$2:$B$61,$A46)*INDEX('Age profile'!$B$2:$B$61,M$1-$A46+1),"")</f>
        <v/>
      </c>
      <c r="N46" s="53">
        <f>IF(N$1&gt;=$A46,INDEX(Monthly!$B$2:$B$61,$A46)*INDEX('Age profile'!$B$2:$B$61,N$1-$A46+1),"")</f>
        <v/>
      </c>
      <c r="O46" s="53">
        <f>IF(O$1&gt;=$A46,INDEX(Monthly!$B$2:$B$61,$A46)*INDEX('Age profile'!$B$2:$B$61,O$1-$A46+1),"")</f>
        <v/>
      </c>
      <c r="P46" s="53">
        <f>IF(P$1&gt;=$A46,INDEX(Monthly!$B$2:$B$61,$A46)*INDEX('Age profile'!$B$2:$B$61,P$1-$A46+1),"")</f>
        <v/>
      </c>
      <c r="Q46" s="53">
        <f>IF(Q$1&gt;=$A46,INDEX(Monthly!$B$2:$B$61,$A46)*INDEX('Age profile'!$B$2:$B$61,Q$1-$A46+1),"")</f>
        <v/>
      </c>
      <c r="R46" s="53">
        <f>IF(R$1&gt;=$A46,INDEX(Monthly!$B$2:$B$61,$A46)*INDEX('Age profile'!$B$2:$B$61,R$1-$A46+1),"")</f>
        <v/>
      </c>
      <c r="S46" s="53">
        <f>IF(S$1&gt;=$A46,INDEX(Monthly!$B$2:$B$61,$A46)*INDEX('Age profile'!$B$2:$B$61,S$1-$A46+1),"")</f>
        <v/>
      </c>
      <c r="T46" s="53">
        <f>IF(T$1&gt;=$A46,INDEX(Monthly!$B$2:$B$61,$A46)*INDEX('Age profile'!$B$2:$B$61,T$1-$A46+1),"")</f>
        <v/>
      </c>
      <c r="U46" s="53">
        <f>IF(U$1&gt;=$A46,INDEX(Monthly!$B$2:$B$61,$A46)*INDEX('Age profile'!$B$2:$B$61,U$1-$A46+1),"")</f>
        <v/>
      </c>
      <c r="V46" s="53">
        <f>IF(V$1&gt;=$A46,INDEX(Monthly!$B$2:$B$61,$A46)*INDEX('Age profile'!$B$2:$B$61,V$1-$A46+1),"")</f>
        <v/>
      </c>
      <c r="W46" s="53">
        <f>IF(W$1&gt;=$A46,INDEX(Monthly!$B$2:$B$61,$A46)*INDEX('Age profile'!$B$2:$B$61,W$1-$A46+1),"")</f>
        <v/>
      </c>
      <c r="X46" s="53">
        <f>IF(X$1&gt;=$A46,INDEX(Monthly!$B$2:$B$61,$A46)*INDEX('Age profile'!$B$2:$B$61,X$1-$A46+1),"")</f>
        <v/>
      </c>
      <c r="Y46" s="53">
        <f>IF(Y$1&gt;=$A46,INDEX(Monthly!$B$2:$B$61,$A46)*INDEX('Age profile'!$B$2:$B$61,Y$1-$A46+1),"")</f>
        <v/>
      </c>
      <c r="Z46" s="53">
        <f>IF(Z$1&gt;=$A46,INDEX(Monthly!$B$2:$B$61,$A46)*INDEX('Age profile'!$B$2:$B$61,Z$1-$A46+1),"")</f>
        <v/>
      </c>
      <c r="AA46" s="53">
        <f>IF(AA$1&gt;=$A46,INDEX(Monthly!$B$2:$B$61,$A46)*INDEX('Age profile'!$B$2:$B$61,AA$1-$A46+1),"")</f>
        <v/>
      </c>
      <c r="AB46" s="53">
        <f>IF(AB$1&gt;=$A46,INDEX(Monthly!$B$2:$B$61,$A46)*INDEX('Age profile'!$B$2:$B$61,AB$1-$A46+1),"")</f>
        <v/>
      </c>
      <c r="AC46" s="53">
        <f>IF(AC$1&gt;=$A46,INDEX(Monthly!$B$2:$B$61,$A46)*INDEX('Age profile'!$B$2:$B$61,AC$1-$A46+1),"")</f>
        <v/>
      </c>
      <c r="AD46" s="53">
        <f>IF(AD$1&gt;=$A46,INDEX(Monthly!$B$2:$B$61,$A46)*INDEX('Age profile'!$B$2:$B$61,AD$1-$A46+1),"")</f>
        <v/>
      </c>
      <c r="AE46" s="53">
        <f>IF(AE$1&gt;=$A46,INDEX(Monthly!$B$2:$B$61,$A46)*INDEX('Age profile'!$B$2:$B$61,AE$1-$A46+1),"")</f>
        <v/>
      </c>
      <c r="AF46" s="53">
        <f>IF(AF$1&gt;=$A46,INDEX(Monthly!$B$2:$B$61,$A46)*INDEX('Age profile'!$B$2:$B$61,AF$1-$A46+1),"")</f>
        <v/>
      </c>
      <c r="AG46" s="53">
        <f>IF(AG$1&gt;=$A46,INDEX(Monthly!$B$2:$B$61,$A46)*INDEX('Age profile'!$B$2:$B$61,AG$1-$A46+1),"")</f>
        <v/>
      </c>
      <c r="AH46" s="53">
        <f>IF(AH$1&gt;=$A46,INDEX(Monthly!$B$2:$B$61,$A46)*INDEX('Age profile'!$B$2:$B$61,AH$1-$A46+1),"")</f>
        <v/>
      </c>
      <c r="AI46" s="53">
        <f>IF(AI$1&gt;=$A46,INDEX(Monthly!$B$2:$B$61,$A46)*INDEX('Age profile'!$B$2:$B$61,AI$1-$A46+1),"")</f>
        <v/>
      </c>
      <c r="AJ46" s="53">
        <f>IF(AJ$1&gt;=$A46,INDEX(Monthly!$B$2:$B$61,$A46)*INDEX('Age profile'!$B$2:$B$61,AJ$1-$A46+1),"")</f>
        <v/>
      </c>
      <c r="AK46" s="53">
        <f>IF(AK$1&gt;=$A46,INDEX(Monthly!$B$2:$B$61,$A46)*INDEX('Age profile'!$B$2:$B$61,AK$1-$A46+1),"")</f>
        <v/>
      </c>
      <c r="AL46" s="53">
        <f>IF(AL$1&gt;=$A46,INDEX(Monthly!$B$2:$B$61,$A46)*INDEX('Age profile'!$B$2:$B$61,AL$1-$A46+1),"")</f>
        <v/>
      </c>
      <c r="AM46" s="53">
        <f>IF(AM$1&gt;=$A46,INDEX(Monthly!$B$2:$B$61,$A46)*INDEX('Age profile'!$B$2:$B$61,AM$1-$A46+1),"")</f>
        <v/>
      </c>
      <c r="AN46" s="53">
        <f>IF(AN$1&gt;=$A46,INDEX(Monthly!$B$2:$B$61,$A46)*INDEX('Age profile'!$B$2:$B$61,AN$1-$A46+1),"")</f>
        <v/>
      </c>
      <c r="AO46" s="53">
        <f>IF(AO$1&gt;=$A46,INDEX(Monthly!$B$2:$B$61,$A46)*INDEX('Age profile'!$B$2:$B$61,AO$1-$A46+1),"")</f>
        <v/>
      </c>
      <c r="AP46" s="53">
        <f>IF(AP$1&gt;=$A46,INDEX(Monthly!$B$2:$B$61,$A46)*INDEX('Age profile'!$B$2:$B$61,AP$1-$A46+1),"")</f>
        <v/>
      </c>
      <c r="AQ46" s="53">
        <f>IF(AQ$1&gt;=$A46,INDEX(Monthly!$B$2:$B$61,$A46)*INDEX('Age profile'!$B$2:$B$61,AQ$1-$A46+1),"")</f>
        <v/>
      </c>
      <c r="AR46" s="53">
        <f>IF(AR$1&gt;=$A46,INDEX(Monthly!$B$2:$B$61,$A46)*INDEX('Age profile'!$B$2:$B$61,AR$1-$A46+1),"")</f>
        <v/>
      </c>
      <c r="AS46" s="53">
        <f>IF(AS$1&gt;=$A46,INDEX(Monthly!$B$2:$B$61,$A46)*INDEX('Age profile'!$B$2:$B$61,AS$1-$A46+1),"")</f>
        <v/>
      </c>
      <c r="AT46" s="53">
        <f>IF(AT$1&gt;=$A46,INDEX(Monthly!$B$2:$B$61,$A46)*INDEX('Age profile'!$B$2:$B$61,AT$1-$A46+1),"")</f>
        <v/>
      </c>
      <c r="AU46" s="53">
        <f>IF(AU$1&gt;=$A46,INDEX(Monthly!$B$2:$B$61,$A46)*INDEX('Age profile'!$B$2:$B$61,AU$1-$A46+1),"")</f>
        <v/>
      </c>
      <c r="AV46" s="53">
        <f>IF(AV$1&gt;=$A46,INDEX(Monthly!$B$2:$B$61,$A46)*INDEX('Age profile'!$B$2:$B$61,AV$1-$A46+1),"")</f>
        <v/>
      </c>
      <c r="AW46" s="53">
        <f>IF(AW$1&gt;=$A46,INDEX(Monthly!$B$2:$B$61,$A46)*INDEX('Age profile'!$B$2:$B$61,AW$1-$A46+1),"")</f>
        <v/>
      </c>
      <c r="AX46" s="53">
        <f>IF(AX$1&gt;=$A46,INDEX(Monthly!$B$2:$B$61,$A46)*INDEX('Age profile'!$B$2:$B$61,AX$1-$A46+1),"")</f>
        <v/>
      </c>
      <c r="AY46" s="53">
        <f>IF(AY$1&gt;=$A46,INDEX(Monthly!$B$2:$B$61,$A46)*INDEX('Age profile'!$B$2:$B$61,AY$1-$A46+1),"")</f>
        <v/>
      </c>
      <c r="AZ46" s="53">
        <f>IF(AZ$1&gt;=$A46,INDEX(Monthly!$B$2:$B$61,$A46)*INDEX('Age profile'!$B$2:$B$61,AZ$1-$A46+1),"")</f>
        <v/>
      </c>
      <c r="BA46" s="53">
        <f>IF(BA$1&gt;=$A46,INDEX(Monthly!$B$2:$B$61,$A46)*INDEX('Age profile'!$B$2:$B$61,BA$1-$A46+1),"")</f>
        <v/>
      </c>
      <c r="BB46" s="53">
        <f>IF(BB$1&gt;=$A46,INDEX(Monthly!$B$2:$B$61,$A46)*INDEX('Age profile'!$B$2:$B$61,BB$1-$A46+1),"")</f>
        <v/>
      </c>
      <c r="BC46" s="53">
        <f>IF(BC$1&gt;=$A46,INDEX(Monthly!$B$2:$B$61,$A46)*INDEX('Age profile'!$B$2:$B$61,BC$1-$A46+1),"")</f>
        <v/>
      </c>
      <c r="BD46" s="53">
        <f>IF(BD$1&gt;=$A46,INDEX(Monthly!$B$2:$B$61,$A46)*INDEX('Age profile'!$B$2:$B$61,BD$1-$A46+1),"")</f>
        <v/>
      </c>
      <c r="BE46" s="53">
        <f>IF(BE$1&gt;=$A46,INDEX(Monthly!$B$2:$B$61,$A46)*INDEX('Age profile'!$B$2:$B$61,BE$1-$A46+1),"")</f>
        <v/>
      </c>
      <c r="BF46" s="53">
        <f>IF(BF$1&gt;=$A46,INDEX(Monthly!$B$2:$B$61,$A46)*INDEX('Age profile'!$B$2:$B$61,BF$1-$A46+1),"")</f>
        <v/>
      </c>
      <c r="BG46" s="53">
        <f>IF(BG$1&gt;=$A46,INDEX(Monthly!$B$2:$B$61,$A46)*INDEX('Age profile'!$B$2:$B$61,BG$1-$A46+1),"")</f>
        <v/>
      </c>
      <c r="BH46" s="53">
        <f>IF(BH$1&gt;=$A46,INDEX(Monthly!$B$2:$B$61,$A46)*INDEX('Age profile'!$B$2:$B$61,BH$1-$A46+1),"")</f>
        <v/>
      </c>
      <c r="BI46" s="53">
        <f>IF(BI$1&gt;=$A46,INDEX(Monthly!$B$2:$B$61,$A46)*INDEX('Age profile'!$B$2:$B$61,BI$1-$A46+1),"")</f>
        <v/>
      </c>
    </row>
    <row r="47">
      <c r="A47" s="3" t="n">
        <v>46</v>
      </c>
      <c r="B47" s="53">
        <f>IF(B$1&gt;=$A47,INDEX(Monthly!$B$2:$B$61,$A47)*INDEX('Age profile'!$B$2:$B$61,B$1-$A47+1),"")</f>
        <v/>
      </c>
      <c r="C47" s="53">
        <f>IF(C$1&gt;=$A47,INDEX(Monthly!$B$2:$B$61,$A47)*INDEX('Age profile'!$B$2:$B$61,C$1-$A47+1),"")</f>
        <v/>
      </c>
      <c r="D47" s="53">
        <f>IF(D$1&gt;=$A47,INDEX(Monthly!$B$2:$B$61,$A47)*INDEX('Age profile'!$B$2:$B$61,D$1-$A47+1),"")</f>
        <v/>
      </c>
      <c r="E47" s="53">
        <f>IF(E$1&gt;=$A47,INDEX(Monthly!$B$2:$B$61,$A47)*INDEX('Age profile'!$B$2:$B$61,E$1-$A47+1),"")</f>
        <v/>
      </c>
      <c r="F47" s="53">
        <f>IF(F$1&gt;=$A47,INDEX(Monthly!$B$2:$B$61,$A47)*INDEX('Age profile'!$B$2:$B$61,F$1-$A47+1),"")</f>
        <v/>
      </c>
      <c r="G47" s="53">
        <f>IF(G$1&gt;=$A47,INDEX(Monthly!$B$2:$B$61,$A47)*INDEX('Age profile'!$B$2:$B$61,G$1-$A47+1),"")</f>
        <v/>
      </c>
      <c r="H47" s="53">
        <f>IF(H$1&gt;=$A47,INDEX(Monthly!$B$2:$B$61,$A47)*INDEX('Age profile'!$B$2:$B$61,H$1-$A47+1),"")</f>
        <v/>
      </c>
      <c r="I47" s="53">
        <f>IF(I$1&gt;=$A47,INDEX(Monthly!$B$2:$B$61,$A47)*INDEX('Age profile'!$B$2:$B$61,I$1-$A47+1),"")</f>
        <v/>
      </c>
      <c r="J47" s="53">
        <f>IF(J$1&gt;=$A47,INDEX(Monthly!$B$2:$B$61,$A47)*INDEX('Age profile'!$B$2:$B$61,J$1-$A47+1),"")</f>
        <v/>
      </c>
      <c r="K47" s="53">
        <f>IF(K$1&gt;=$A47,INDEX(Monthly!$B$2:$B$61,$A47)*INDEX('Age profile'!$B$2:$B$61,K$1-$A47+1),"")</f>
        <v/>
      </c>
      <c r="L47" s="53">
        <f>IF(L$1&gt;=$A47,INDEX(Monthly!$B$2:$B$61,$A47)*INDEX('Age profile'!$B$2:$B$61,L$1-$A47+1),"")</f>
        <v/>
      </c>
      <c r="M47" s="53">
        <f>IF(M$1&gt;=$A47,INDEX(Monthly!$B$2:$B$61,$A47)*INDEX('Age profile'!$B$2:$B$61,M$1-$A47+1),"")</f>
        <v/>
      </c>
      <c r="N47" s="53">
        <f>IF(N$1&gt;=$A47,INDEX(Monthly!$B$2:$B$61,$A47)*INDEX('Age profile'!$B$2:$B$61,N$1-$A47+1),"")</f>
        <v/>
      </c>
      <c r="O47" s="53">
        <f>IF(O$1&gt;=$A47,INDEX(Monthly!$B$2:$B$61,$A47)*INDEX('Age profile'!$B$2:$B$61,O$1-$A47+1),"")</f>
        <v/>
      </c>
      <c r="P47" s="53">
        <f>IF(P$1&gt;=$A47,INDEX(Monthly!$B$2:$B$61,$A47)*INDEX('Age profile'!$B$2:$B$61,P$1-$A47+1),"")</f>
        <v/>
      </c>
      <c r="Q47" s="53">
        <f>IF(Q$1&gt;=$A47,INDEX(Monthly!$B$2:$B$61,$A47)*INDEX('Age profile'!$B$2:$B$61,Q$1-$A47+1),"")</f>
        <v/>
      </c>
      <c r="R47" s="53">
        <f>IF(R$1&gt;=$A47,INDEX(Monthly!$B$2:$B$61,$A47)*INDEX('Age profile'!$B$2:$B$61,R$1-$A47+1),"")</f>
        <v/>
      </c>
      <c r="S47" s="53">
        <f>IF(S$1&gt;=$A47,INDEX(Monthly!$B$2:$B$61,$A47)*INDEX('Age profile'!$B$2:$B$61,S$1-$A47+1),"")</f>
        <v/>
      </c>
      <c r="T47" s="53">
        <f>IF(T$1&gt;=$A47,INDEX(Monthly!$B$2:$B$61,$A47)*INDEX('Age profile'!$B$2:$B$61,T$1-$A47+1),"")</f>
        <v/>
      </c>
      <c r="U47" s="53">
        <f>IF(U$1&gt;=$A47,INDEX(Monthly!$B$2:$B$61,$A47)*INDEX('Age profile'!$B$2:$B$61,U$1-$A47+1),"")</f>
        <v/>
      </c>
      <c r="V47" s="53">
        <f>IF(V$1&gt;=$A47,INDEX(Monthly!$B$2:$B$61,$A47)*INDEX('Age profile'!$B$2:$B$61,V$1-$A47+1),"")</f>
        <v/>
      </c>
      <c r="W47" s="53">
        <f>IF(W$1&gt;=$A47,INDEX(Monthly!$B$2:$B$61,$A47)*INDEX('Age profile'!$B$2:$B$61,W$1-$A47+1),"")</f>
        <v/>
      </c>
      <c r="X47" s="53">
        <f>IF(X$1&gt;=$A47,INDEX(Monthly!$B$2:$B$61,$A47)*INDEX('Age profile'!$B$2:$B$61,X$1-$A47+1),"")</f>
        <v/>
      </c>
      <c r="Y47" s="53">
        <f>IF(Y$1&gt;=$A47,INDEX(Monthly!$B$2:$B$61,$A47)*INDEX('Age profile'!$B$2:$B$61,Y$1-$A47+1),"")</f>
        <v/>
      </c>
      <c r="Z47" s="53">
        <f>IF(Z$1&gt;=$A47,INDEX(Monthly!$B$2:$B$61,$A47)*INDEX('Age profile'!$B$2:$B$61,Z$1-$A47+1),"")</f>
        <v/>
      </c>
      <c r="AA47" s="53">
        <f>IF(AA$1&gt;=$A47,INDEX(Monthly!$B$2:$B$61,$A47)*INDEX('Age profile'!$B$2:$B$61,AA$1-$A47+1),"")</f>
        <v/>
      </c>
      <c r="AB47" s="53">
        <f>IF(AB$1&gt;=$A47,INDEX(Monthly!$B$2:$B$61,$A47)*INDEX('Age profile'!$B$2:$B$61,AB$1-$A47+1),"")</f>
        <v/>
      </c>
      <c r="AC47" s="53">
        <f>IF(AC$1&gt;=$A47,INDEX(Monthly!$B$2:$B$61,$A47)*INDEX('Age profile'!$B$2:$B$61,AC$1-$A47+1),"")</f>
        <v/>
      </c>
      <c r="AD47" s="53">
        <f>IF(AD$1&gt;=$A47,INDEX(Monthly!$B$2:$B$61,$A47)*INDEX('Age profile'!$B$2:$B$61,AD$1-$A47+1),"")</f>
        <v/>
      </c>
      <c r="AE47" s="53">
        <f>IF(AE$1&gt;=$A47,INDEX(Monthly!$B$2:$B$61,$A47)*INDEX('Age profile'!$B$2:$B$61,AE$1-$A47+1),"")</f>
        <v/>
      </c>
      <c r="AF47" s="53">
        <f>IF(AF$1&gt;=$A47,INDEX(Monthly!$B$2:$B$61,$A47)*INDEX('Age profile'!$B$2:$B$61,AF$1-$A47+1),"")</f>
        <v/>
      </c>
      <c r="AG47" s="53">
        <f>IF(AG$1&gt;=$A47,INDEX(Monthly!$B$2:$B$61,$A47)*INDEX('Age profile'!$B$2:$B$61,AG$1-$A47+1),"")</f>
        <v/>
      </c>
      <c r="AH47" s="53">
        <f>IF(AH$1&gt;=$A47,INDEX(Monthly!$B$2:$B$61,$A47)*INDEX('Age profile'!$B$2:$B$61,AH$1-$A47+1),"")</f>
        <v/>
      </c>
      <c r="AI47" s="53">
        <f>IF(AI$1&gt;=$A47,INDEX(Monthly!$B$2:$B$61,$A47)*INDEX('Age profile'!$B$2:$B$61,AI$1-$A47+1),"")</f>
        <v/>
      </c>
      <c r="AJ47" s="53">
        <f>IF(AJ$1&gt;=$A47,INDEX(Monthly!$B$2:$B$61,$A47)*INDEX('Age profile'!$B$2:$B$61,AJ$1-$A47+1),"")</f>
        <v/>
      </c>
      <c r="AK47" s="53">
        <f>IF(AK$1&gt;=$A47,INDEX(Monthly!$B$2:$B$61,$A47)*INDEX('Age profile'!$B$2:$B$61,AK$1-$A47+1),"")</f>
        <v/>
      </c>
      <c r="AL47" s="53">
        <f>IF(AL$1&gt;=$A47,INDEX(Monthly!$B$2:$B$61,$A47)*INDEX('Age profile'!$B$2:$B$61,AL$1-$A47+1),"")</f>
        <v/>
      </c>
      <c r="AM47" s="53">
        <f>IF(AM$1&gt;=$A47,INDEX(Monthly!$B$2:$B$61,$A47)*INDEX('Age profile'!$B$2:$B$61,AM$1-$A47+1),"")</f>
        <v/>
      </c>
      <c r="AN47" s="53">
        <f>IF(AN$1&gt;=$A47,INDEX(Monthly!$B$2:$B$61,$A47)*INDEX('Age profile'!$B$2:$B$61,AN$1-$A47+1),"")</f>
        <v/>
      </c>
      <c r="AO47" s="53">
        <f>IF(AO$1&gt;=$A47,INDEX(Monthly!$B$2:$B$61,$A47)*INDEX('Age profile'!$B$2:$B$61,AO$1-$A47+1),"")</f>
        <v/>
      </c>
      <c r="AP47" s="53">
        <f>IF(AP$1&gt;=$A47,INDEX(Monthly!$B$2:$B$61,$A47)*INDEX('Age profile'!$B$2:$B$61,AP$1-$A47+1),"")</f>
        <v/>
      </c>
      <c r="AQ47" s="53">
        <f>IF(AQ$1&gt;=$A47,INDEX(Monthly!$B$2:$B$61,$A47)*INDEX('Age profile'!$B$2:$B$61,AQ$1-$A47+1),"")</f>
        <v/>
      </c>
      <c r="AR47" s="53">
        <f>IF(AR$1&gt;=$A47,INDEX(Monthly!$B$2:$B$61,$A47)*INDEX('Age profile'!$B$2:$B$61,AR$1-$A47+1),"")</f>
        <v/>
      </c>
      <c r="AS47" s="53">
        <f>IF(AS$1&gt;=$A47,INDEX(Monthly!$B$2:$B$61,$A47)*INDEX('Age profile'!$B$2:$B$61,AS$1-$A47+1),"")</f>
        <v/>
      </c>
      <c r="AT47" s="53">
        <f>IF(AT$1&gt;=$A47,INDEX(Monthly!$B$2:$B$61,$A47)*INDEX('Age profile'!$B$2:$B$61,AT$1-$A47+1),"")</f>
        <v/>
      </c>
      <c r="AU47" s="53">
        <f>IF(AU$1&gt;=$A47,INDEX(Monthly!$B$2:$B$61,$A47)*INDEX('Age profile'!$B$2:$B$61,AU$1-$A47+1),"")</f>
        <v/>
      </c>
      <c r="AV47" s="53">
        <f>IF(AV$1&gt;=$A47,INDEX(Monthly!$B$2:$B$61,$A47)*INDEX('Age profile'!$B$2:$B$61,AV$1-$A47+1),"")</f>
        <v/>
      </c>
      <c r="AW47" s="53">
        <f>IF(AW$1&gt;=$A47,INDEX(Monthly!$B$2:$B$61,$A47)*INDEX('Age profile'!$B$2:$B$61,AW$1-$A47+1),"")</f>
        <v/>
      </c>
      <c r="AX47" s="53">
        <f>IF(AX$1&gt;=$A47,INDEX(Monthly!$B$2:$B$61,$A47)*INDEX('Age profile'!$B$2:$B$61,AX$1-$A47+1),"")</f>
        <v/>
      </c>
      <c r="AY47" s="53">
        <f>IF(AY$1&gt;=$A47,INDEX(Monthly!$B$2:$B$61,$A47)*INDEX('Age profile'!$B$2:$B$61,AY$1-$A47+1),"")</f>
        <v/>
      </c>
      <c r="AZ47" s="53">
        <f>IF(AZ$1&gt;=$A47,INDEX(Monthly!$B$2:$B$61,$A47)*INDEX('Age profile'!$B$2:$B$61,AZ$1-$A47+1),"")</f>
        <v/>
      </c>
      <c r="BA47" s="53">
        <f>IF(BA$1&gt;=$A47,INDEX(Monthly!$B$2:$B$61,$A47)*INDEX('Age profile'!$B$2:$B$61,BA$1-$A47+1),"")</f>
        <v/>
      </c>
      <c r="BB47" s="53">
        <f>IF(BB$1&gt;=$A47,INDEX(Monthly!$B$2:$B$61,$A47)*INDEX('Age profile'!$B$2:$B$61,BB$1-$A47+1),"")</f>
        <v/>
      </c>
      <c r="BC47" s="53">
        <f>IF(BC$1&gt;=$A47,INDEX(Monthly!$B$2:$B$61,$A47)*INDEX('Age profile'!$B$2:$B$61,BC$1-$A47+1),"")</f>
        <v/>
      </c>
      <c r="BD47" s="53">
        <f>IF(BD$1&gt;=$A47,INDEX(Monthly!$B$2:$B$61,$A47)*INDEX('Age profile'!$B$2:$B$61,BD$1-$A47+1),"")</f>
        <v/>
      </c>
      <c r="BE47" s="53">
        <f>IF(BE$1&gt;=$A47,INDEX(Monthly!$B$2:$B$61,$A47)*INDEX('Age profile'!$B$2:$B$61,BE$1-$A47+1),"")</f>
        <v/>
      </c>
      <c r="BF47" s="53">
        <f>IF(BF$1&gt;=$A47,INDEX(Monthly!$B$2:$B$61,$A47)*INDEX('Age profile'!$B$2:$B$61,BF$1-$A47+1),"")</f>
        <v/>
      </c>
      <c r="BG47" s="53">
        <f>IF(BG$1&gt;=$A47,INDEX(Monthly!$B$2:$B$61,$A47)*INDEX('Age profile'!$B$2:$B$61,BG$1-$A47+1),"")</f>
        <v/>
      </c>
      <c r="BH47" s="53">
        <f>IF(BH$1&gt;=$A47,INDEX(Monthly!$B$2:$B$61,$A47)*INDEX('Age profile'!$B$2:$B$61,BH$1-$A47+1),"")</f>
        <v/>
      </c>
      <c r="BI47" s="53">
        <f>IF(BI$1&gt;=$A47,INDEX(Monthly!$B$2:$B$61,$A47)*INDEX('Age profile'!$B$2:$B$61,BI$1-$A47+1),"")</f>
        <v/>
      </c>
    </row>
    <row r="48">
      <c r="A48" s="3" t="n">
        <v>47</v>
      </c>
      <c r="B48" s="53">
        <f>IF(B$1&gt;=$A48,INDEX(Monthly!$B$2:$B$61,$A48)*INDEX('Age profile'!$B$2:$B$61,B$1-$A48+1),"")</f>
        <v/>
      </c>
      <c r="C48" s="53">
        <f>IF(C$1&gt;=$A48,INDEX(Monthly!$B$2:$B$61,$A48)*INDEX('Age profile'!$B$2:$B$61,C$1-$A48+1),"")</f>
        <v/>
      </c>
      <c r="D48" s="53">
        <f>IF(D$1&gt;=$A48,INDEX(Monthly!$B$2:$B$61,$A48)*INDEX('Age profile'!$B$2:$B$61,D$1-$A48+1),"")</f>
        <v/>
      </c>
      <c r="E48" s="53">
        <f>IF(E$1&gt;=$A48,INDEX(Monthly!$B$2:$B$61,$A48)*INDEX('Age profile'!$B$2:$B$61,E$1-$A48+1),"")</f>
        <v/>
      </c>
      <c r="F48" s="53">
        <f>IF(F$1&gt;=$A48,INDEX(Monthly!$B$2:$B$61,$A48)*INDEX('Age profile'!$B$2:$B$61,F$1-$A48+1),"")</f>
        <v/>
      </c>
      <c r="G48" s="53">
        <f>IF(G$1&gt;=$A48,INDEX(Monthly!$B$2:$B$61,$A48)*INDEX('Age profile'!$B$2:$B$61,G$1-$A48+1),"")</f>
        <v/>
      </c>
      <c r="H48" s="53">
        <f>IF(H$1&gt;=$A48,INDEX(Monthly!$B$2:$B$61,$A48)*INDEX('Age profile'!$B$2:$B$61,H$1-$A48+1),"")</f>
        <v/>
      </c>
      <c r="I48" s="53">
        <f>IF(I$1&gt;=$A48,INDEX(Monthly!$B$2:$B$61,$A48)*INDEX('Age profile'!$B$2:$B$61,I$1-$A48+1),"")</f>
        <v/>
      </c>
      <c r="J48" s="53">
        <f>IF(J$1&gt;=$A48,INDEX(Monthly!$B$2:$B$61,$A48)*INDEX('Age profile'!$B$2:$B$61,J$1-$A48+1),"")</f>
        <v/>
      </c>
      <c r="K48" s="53">
        <f>IF(K$1&gt;=$A48,INDEX(Monthly!$B$2:$B$61,$A48)*INDEX('Age profile'!$B$2:$B$61,K$1-$A48+1),"")</f>
        <v/>
      </c>
      <c r="L48" s="53">
        <f>IF(L$1&gt;=$A48,INDEX(Monthly!$B$2:$B$61,$A48)*INDEX('Age profile'!$B$2:$B$61,L$1-$A48+1),"")</f>
        <v/>
      </c>
      <c r="M48" s="53">
        <f>IF(M$1&gt;=$A48,INDEX(Monthly!$B$2:$B$61,$A48)*INDEX('Age profile'!$B$2:$B$61,M$1-$A48+1),"")</f>
        <v/>
      </c>
      <c r="N48" s="53">
        <f>IF(N$1&gt;=$A48,INDEX(Monthly!$B$2:$B$61,$A48)*INDEX('Age profile'!$B$2:$B$61,N$1-$A48+1),"")</f>
        <v/>
      </c>
      <c r="O48" s="53">
        <f>IF(O$1&gt;=$A48,INDEX(Monthly!$B$2:$B$61,$A48)*INDEX('Age profile'!$B$2:$B$61,O$1-$A48+1),"")</f>
        <v/>
      </c>
      <c r="P48" s="53">
        <f>IF(P$1&gt;=$A48,INDEX(Monthly!$B$2:$B$61,$A48)*INDEX('Age profile'!$B$2:$B$61,P$1-$A48+1),"")</f>
        <v/>
      </c>
      <c r="Q48" s="53">
        <f>IF(Q$1&gt;=$A48,INDEX(Monthly!$B$2:$B$61,$A48)*INDEX('Age profile'!$B$2:$B$61,Q$1-$A48+1),"")</f>
        <v/>
      </c>
      <c r="R48" s="53">
        <f>IF(R$1&gt;=$A48,INDEX(Monthly!$B$2:$B$61,$A48)*INDEX('Age profile'!$B$2:$B$61,R$1-$A48+1),"")</f>
        <v/>
      </c>
      <c r="S48" s="53">
        <f>IF(S$1&gt;=$A48,INDEX(Monthly!$B$2:$B$61,$A48)*INDEX('Age profile'!$B$2:$B$61,S$1-$A48+1),"")</f>
        <v/>
      </c>
      <c r="T48" s="53">
        <f>IF(T$1&gt;=$A48,INDEX(Monthly!$B$2:$B$61,$A48)*INDEX('Age profile'!$B$2:$B$61,T$1-$A48+1),"")</f>
        <v/>
      </c>
      <c r="U48" s="53">
        <f>IF(U$1&gt;=$A48,INDEX(Monthly!$B$2:$B$61,$A48)*INDEX('Age profile'!$B$2:$B$61,U$1-$A48+1),"")</f>
        <v/>
      </c>
      <c r="V48" s="53">
        <f>IF(V$1&gt;=$A48,INDEX(Monthly!$B$2:$B$61,$A48)*INDEX('Age profile'!$B$2:$B$61,V$1-$A48+1),"")</f>
        <v/>
      </c>
      <c r="W48" s="53">
        <f>IF(W$1&gt;=$A48,INDEX(Monthly!$B$2:$B$61,$A48)*INDEX('Age profile'!$B$2:$B$61,W$1-$A48+1),"")</f>
        <v/>
      </c>
      <c r="X48" s="53">
        <f>IF(X$1&gt;=$A48,INDEX(Monthly!$B$2:$B$61,$A48)*INDEX('Age profile'!$B$2:$B$61,X$1-$A48+1),"")</f>
        <v/>
      </c>
      <c r="Y48" s="53">
        <f>IF(Y$1&gt;=$A48,INDEX(Monthly!$B$2:$B$61,$A48)*INDEX('Age profile'!$B$2:$B$61,Y$1-$A48+1),"")</f>
        <v/>
      </c>
      <c r="Z48" s="53">
        <f>IF(Z$1&gt;=$A48,INDEX(Monthly!$B$2:$B$61,$A48)*INDEX('Age profile'!$B$2:$B$61,Z$1-$A48+1),"")</f>
        <v/>
      </c>
      <c r="AA48" s="53">
        <f>IF(AA$1&gt;=$A48,INDEX(Monthly!$B$2:$B$61,$A48)*INDEX('Age profile'!$B$2:$B$61,AA$1-$A48+1),"")</f>
        <v/>
      </c>
      <c r="AB48" s="53">
        <f>IF(AB$1&gt;=$A48,INDEX(Monthly!$B$2:$B$61,$A48)*INDEX('Age profile'!$B$2:$B$61,AB$1-$A48+1),"")</f>
        <v/>
      </c>
      <c r="AC48" s="53">
        <f>IF(AC$1&gt;=$A48,INDEX(Monthly!$B$2:$B$61,$A48)*INDEX('Age profile'!$B$2:$B$61,AC$1-$A48+1),"")</f>
        <v/>
      </c>
      <c r="AD48" s="53">
        <f>IF(AD$1&gt;=$A48,INDEX(Monthly!$B$2:$B$61,$A48)*INDEX('Age profile'!$B$2:$B$61,AD$1-$A48+1),"")</f>
        <v/>
      </c>
      <c r="AE48" s="53">
        <f>IF(AE$1&gt;=$A48,INDEX(Monthly!$B$2:$B$61,$A48)*INDEX('Age profile'!$B$2:$B$61,AE$1-$A48+1),"")</f>
        <v/>
      </c>
      <c r="AF48" s="53">
        <f>IF(AF$1&gt;=$A48,INDEX(Monthly!$B$2:$B$61,$A48)*INDEX('Age profile'!$B$2:$B$61,AF$1-$A48+1),"")</f>
        <v/>
      </c>
      <c r="AG48" s="53">
        <f>IF(AG$1&gt;=$A48,INDEX(Monthly!$B$2:$B$61,$A48)*INDEX('Age profile'!$B$2:$B$61,AG$1-$A48+1),"")</f>
        <v/>
      </c>
      <c r="AH48" s="53">
        <f>IF(AH$1&gt;=$A48,INDEX(Monthly!$B$2:$B$61,$A48)*INDEX('Age profile'!$B$2:$B$61,AH$1-$A48+1),"")</f>
        <v/>
      </c>
      <c r="AI48" s="53">
        <f>IF(AI$1&gt;=$A48,INDEX(Monthly!$B$2:$B$61,$A48)*INDEX('Age profile'!$B$2:$B$61,AI$1-$A48+1),"")</f>
        <v/>
      </c>
      <c r="AJ48" s="53">
        <f>IF(AJ$1&gt;=$A48,INDEX(Monthly!$B$2:$B$61,$A48)*INDEX('Age profile'!$B$2:$B$61,AJ$1-$A48+1),"")</f>
        <v/>
      </c>
      <c r="AK48" s="53">
        <f>IF(AK$1&gt;=$A48,INDEX(Monthly!$B$2:$B$61,$A48)*INDEX('Age profile'!$B$2:$B$61,AK$1-$A48+1),"")</f>
        <v/>
      </c>
      <c r="AL48" s="53">
        <f>IF(AL$1&gt;=$A48,INDEX(Monthly!$B$2:$B$61,$A48)*INDEX('Age profile'!$B$2:$B$61,AL$1-$A48+1),"")</f>
        <v/>
      </c>
      <c r="AM48" s="53">
        <f>IF(AM$1&gt;=$A48,INDEX(Monthly!$B$2:$B$61,$A48)*INDEX('Age profile'!$B$2:$B$61,AM$1-$A48+1),"")</f>
        <v/>
      </c>
      <c r="AN48" s="53">
        <f>IF(AN$1&gt;=$A48,INDEX(Monthly!$B$2:$B$61,$A48)*INDEX('Age profile'!$B$2:$B$61,AN$1-$A48+1),"")</f>
        <v/>
      </c>
      <c r="AO48" s="53">
        <f>IF(AO$1&gt;=$A48,INDEX(Monthly!$B$2:$B$61,$A48)*INDEX('Age profile'!$B$2:$B$61,AO$1-$A48+1),"")</f>
        <v/>
      </c>
      <c r="AP48" s="53">
        <f>IF(AP$1&gt;=$A48,INDEX(Monthly!$B$2:$B$61,$A48)*INDEX('Age profile'!$B$2:$B$61,AP$1-$A48+1),"")</f>
        <v/>
      </c>
      <c r="AQ48" s="53">
        <f>IF(AQ$1&gt;=$A48,INDEX(Monthly!$B$2:$B$61,$A48)*INDEX('Age profile'!$B$2:$B$61,AQ$1-$A48+1),"")</f>
        <v/>
      </c>
      <c r="AR48" s="53">
        <f>IF(AR$1&gt;=$A48,INDEX(Monthly!$B$2:$B$61,$A48)*INDEX('Age profile'!$B$2:$B$61,AR$1-$A48+1),"")</f>
        <v/>
      </c>
      <c r="AS48" s="53">
        <f>IF(AS$1&gt;=$A48,INDEX(Monthly!$B$2:$B$61,$A48)*INDEX('Age profile'!$B$2:$B$61,AS$1-$A48+1),"")</f>
        <v/>
      </c>
      <c r="AT48" s="53">
        <f>IF(AT$1&gt;=$A48,INDEX(Monthly!$B$2:$B$61,$A48)*INDEX('Age profile'!$B$2:$B$61,AT$1-$A48+1),"")</f>
        <v/>
      </c>
      <c r="AU48" s="53">
        <f>IF(AU$1&gt;=$A48,INDEX(Monthly!$B$2:$B$61,$A48)*INDEX('Age profile'!$B$2:$B$61,AU$1-$A48+1),"")</f>
        <v/>
      </c>
      <c r="AV48" s="53">
        <f>IF(AV$1&gt;=$A48,INDEX(Monthly!$B$2:$B$61,$A48)*INDEX('Age profile'!$B$2:$B$61,AV$1-$A48+1),"")</f>
        <v/>
      </c>
      <c r="AW48" s="53">
        <f>IF(AW$1&gt;=$A48,INDEX(Monthly!$B$2:$B$61,$A48)*INDEX('Age profile'!$B$2:$B$61,AW$1-$A48+1),"")</f>
        <v/>
      </c>
      <c r="AX48" s="53">
        <f>IF(AX$1&gt;=$A48,INDEX(Monthly!$B$2:$B$61,$A48)*INDEX('Age profile'!$B$2:$B$61,AX$1-$A48+1),"")</f>
        <v/>
      </c>
      <c r="AY48" s="53">
        <f>IF(AY$1&gt;=$A48,INDEX(Monthly!$B$2:$B$61,$A48)*INDEX('Age profile'!$B$2:$B$61,AY$1-$A48+1),"")</f>
        <v/>
      </c>
      <c r="AZ48" s="53">
        <f>IF(AZ$1&gt;=$A48,INDEX(Monthly!$B$2:$B$61,$A48)*INDEX('Age profile'!$B$2:$B$61,AZ$1-$A48+1),"")</f>
        <v/>
      </c>
      <c r="BA48" s="53">
        <f>IF(BA$1&gt;=$A48,INDEX(Monthly!$B$2:$B$61,$A48)*INDEX('Age profile'!$B$2:$B$61,BA$1-$A48+1),"")</f>
        <v/>
      </c>
      <c r="BB48" s="53">
        <f>IF(BB$1&gt;=$A48,INDEX(Monthly!$B$2:$B$61,$A48)*INDEX('Age profile'!$B$2:$B$61,BB$1-$A48+1),"")</f>
        <v/>
      </c>
      <c r="BC48" s="53">
        <f>IF(BC$1&gt;=$A48,INDEX(Monthly!$B$2:$B$61,$A48)*INDEX('Age profile'!$B$2:$B$61,BC$1-$A48+1),"")</f>
        <v/>
      </c>
      <c r="BD48" s="53">
        <f>IF(BD$1&gt;=$A48,INDEX(Monthly!$B$2:$B$61,$A48)*INDEX('Age profile'!$B$2:$B$61,BD$1-$A48+1),"")</f>
        <v/>
      </c>
      <c r="BE48" s="53">
        <f>IF(BE$1&gt;=$A48,INDEX(Monthly!$B$2:$B$61,$A48)*INDEX('Age profile'!$B$2:$B$61,BE$1-$A48+1),"")</f>
        <v/>
      </c>
      <c r="BF48" s="53">
        <f>IF(BF$1&gt;=$A48,INDEX(Monthly!$B$2:$B$61,$A48)*INDEX('Age profile'!$B$2:$B$61,BF$1-$A48+1),"")</f>
        <v/>
      </c>
      <c r="BG48" s="53">
        <f>IF(BG$1&gt;=$A48,INDEX(Monthly!$B$2:$B$61,$A48)*INDEX('Age profile'!$B$2:$B$61,BG$1-$A48+1),"")</f>
        <v/>
      </c>
      <c r="BH48" s="53">
        <f>IF(BH$1&gt;=$A48,INDEX(Monthly!$B$2:$B$61,$A48)*INDEX('Age profile'!$B$2:$B$61,BH$1-$A48+1),"")</f>
        <v/>
      </c>
      <c r="BI48" s="53">
        <f>IF(BI$1&gt;=$A48,INDEX(Monthly!$B$2:$B$61,$A48)*INDEX('Age profile'!$B$2:$B$61,BI$1-$A48+1),"")</f>
        <v/>
      </c>
    </row>
    <row r="49">
      <c r="A49" s="3" t="n">
        <v>48</v>
      </c>
      <c r="B49" s="53">
        <f>IF(B$1&gt;=$A49,INDEX(Monthly!$B$2:$B$61,$A49)*INDEX('Age profile'!$B$2:$B$61,B$1-$A49+1),"")</f>
        <v/>
      </c>
      <c r="C49" s="53">
        <f>IF(C$1&gt;=$A49,INDEX(Monthly!$B$2:$B$61,$A49)*INDEX('Age profile'!$B$2:$B$61,C$1-$A49+1),"")</f>
        <v/>
      </c>
      <c r="D49" s="53">
        <f>IF(D$1&gt;=$A49,INDEX(Monthly!$B$2:$B$61,$A49)*INDEX('Age profile'!$B$2:$B$61,D$1-$A49+1),"")</f>
        <v/>
      </c>
      <c r="E49" s="53">
        <f>IF(E$1&gt;=$A49,INDEX(Monthly!$B$2:$B$61,$A49)*INDEX('Age profile'!$B$2:$B$61,E$1-$A49+1),"")</f>
        <v/>
      </c>
      <c r="F49" s="53">
        <f>IF(F$1&gt;=$A49,INDEX(Monthly!$B$2:$B$61,$A49)*INDEX('Age profile'!$B$2:$B$61,F$1-$A49+1),"")</f>
        <v/>
      </c>
      <c r="G49" s="53">
        <f>IF(G$1&gt;=$A49,INDEX(Monthly!$B$2:$B$61,$A49)*INDEX('Age profile'!$B$2:$B$61,G$1-$A49+1),"")</f>
        <v/>
      </c>
      <c r="H49" s="53">
        <f>IF(H$1&gt;=$A49,INDEX(Monthly!$B$2:$B$61,$A49)*INDEX('Age profile'!$B$2:$B$61,H$1-$A49+1),"")</f>
        <v/>
      </c>
      <c r="I49" s="53">
        <f>IF(I$1&gt;=$A49,INDEX(Monthly!$B$2:$B$61,$A49)*INDEX('Age profile'!$B$2:$B$61,I$1-$A49+1),"")</f>
        <v/>
      </c>
      <c r="J49" s="53">
        <f>IF(J$1&gt;=$A49,INDEX(Monthly!$B$2:$B$61,$A49)*INDEX('Age profile'!$B$2:$B$61,J$1-$A49+1),"")</f>
        <v/>
      </c>
      <c r="K49" s="53">
        <f>IF(K$1&gt;=$A49,INDEX(Monthly!$B$2:$B$61,$A49)*INDEX('Age profile'!$B$2:$B$61,K$1-$A49+1),"")</f>
        <v/>
      </c>
      <c r="L49" s="53">
        <f>IF(L$1&gt;=$A49,INDEX(Monthly!$B$2:$B$61,$A49)*INDEX('Age profile'!$B$2:$B$61,L$1-$A49+1),"")</f>
        <v/>
      </c>
      <c r="M49" s="53">
        <f>IF(M$1&gt;=$A49,INDEX(Monthly!$B$2:$B$61,$A49)*INDEX('Age profile'!$B$2:$B$61,M$1-$A49+1),"")</f>
        <v/>
      </c>
      <c r="N49" s="53">
        <f>IF(N$1&gt;=$A49,INDEX(Monthly!$B$2:$B$61,$A49)*INDEX('Age profile'!$B$2:$B$61,N$1-$A49+1),"")</f>
        <v/>
      </c>
      <c r="O49" s="53">
        <f>IF(O$1&gt;=$A49,INDEX(Monthly!$B$2:$B$61,$A49)*INDEX('Age profile'!$B$2:$B$61,O$1-$A49+1),"")</f>
        <v/>
      </c>
      <c r="P49" s="53">
        <f>IF(P$1&gt;=$A49,INDEX(Monthly!$B$2:$B$61,$A49)*INDEX('Age profile'!$B$2:$B$61,P$1-$A49+1),"")</f>
        <v/>
      </c>
      <c r="Q49" s="53">
        <f>IF(Q$1&gt;=$A49,INDEX(Monthly!$B$2:$B$61,$A49)*INDEX('Age profile'!$B$2:$B$61,Q$1-$A49+1),"")</f>
        <v/>
      </c>
      <c r="R49" s="53">
        <f>IF(R$1&gt;=$A49,INDEX(Monthly!$B$2:$B$61,$A49)*INDEX('Age profile'!$B$2:$B$61,R$1-$A49+1),"")</f>
        <v/>
      </c>
      <c r="S49" s="53">
        <f>IF(S$1&gt;=$A49,INDEX(Monthly!$B$2:$B$61,$A49)*INDEX('Age profile'!$B$2:$B$61,S$1-$A49+1),"")</f>
        <v/>
      </c>
      <c r="T49" s="53">
        <f>IF(T$1&gt;=$A49,INDEX(Monthly!$B$2:$B$61,$A49)*INDEX('Age profile'!$B$2:$B$61,T$1-$A49+1),"")</f>
        <v/>
      </c>
      <c r="U49" s="53">
        <f>IF(U$1&gt;=$A49,INDEX(Monthly!$B$2:$B$61,$A49)*INDEX('Age profile'!$B$2:$B$61,U$1-$A49+1),"")</f>
        <v/>
      </c>
      <c r="V49" s="53">
        <f>IF(V$1&gt;=$A49,INDEX(Monthly!$B$2:$B$61,$A49)*INDEX('Age profile'!$B$2:$B$61,V$1-$A49+1),"")</f>
        <v/>
      </c>
      <c r="W49" s="53">
        <f>IF(W$1&gt;=$A49,INDEX(Monthly!$B$2:$B$61,$A49)*INDEX('Age profile'!$B$2:$B$61,W$1-$A49+1),"")</f>
        <v/>
      </c>
      <c r="X49" s="53">
        <f>IF(X$1&gt;=$A49,INDEX(Monthly!$B$2:$B$61,$A49)*INDEX('Age profile'!$B$2:$B$61,X$1-$A49+1),"")</f>
        <v/>
      </c>
      <c r="Y49" s="53">
        <f>IF(Y$1&gt;=$A49,INDEX(Monthly!$B$2:$B$61,$A49)*INDEX('Age profile'!$B$2:$B$61,Y$1-$A49+1),"")</f>
        <v/>
      </c>
      <c r="Z49" s="53">
        <f>IF(Z$1&gt;=$A49,INDEX(Monthly!$B$2:$B$61,$A49)*INDEX('Age profile'!$B$2:$B$61,Z$1-$A49+1),"")</f>
        <v/>
      </c>
      <c r="AA49" s="53">
        <f>IF(AA$1&gt;=$A49,INDEX(Monthly!$B$2:$B$61,$A49)*INDEX('Age profile'!$B$2:$B$61,AA$1-$A49+1),"")</f>
        <v/>
      </c>
      <c r="AB49" s="53">
        <f>IF(AB$1&gt;=$A49,INDEX(Monthly!$B$2:$B$61,$A49)*INDEX('Age profile'!$B$2:$B$61,AB$1-$A49+1),"")</f>
        <v/>
      </c>
      <c r="AC49" s="53">
        <f>IF(AC$1&gt;=$A49,INDEX(Monthly!$B$2:$B$61,$A49)*INDEX('Age profile'!$B$2:$B$61,AC$1-$A49+1),"")</f>
        <v/>
      </c>
      <c r="AD49" s="53">
        <f>IF(AD$1&gt;=$A49,INDEX(Monthly!$B$2:$B$61,$A49)*INDEX('Age profile'!$B$2:$B$61,AD$1-$A49+1),"")</f>
        <v/>
      </c>
      <c r="AE49" s="53">
        <f>IF(AE$1&gt;=$A49,INDEX(Monthly!$B$2:$B$61,$A49)*INDEX('Age profile'!$B$2:$B$61,AE$1-$A49+1),"")</f>
        <v/>
      </c>
      <c r="AF49" s="53">
        <f>IF(AF$1&gt;=$A49,INDEX(Monthly!$B$2:$B$61,$A49)*INDEX('Age profile'!$B$2:$B$61,AF$1-$A49+1),"")</f>
        <v/>
      </c>
      <c r="AG49" s="53">
        <f>IF(AG$1&gt;=$A49,INDEX(Monthly!$B$2:$B$61,$A49)*INDEX('Age profile'!$B$2:$B$61,AG$1-$A49+1),"")</f>
        <v/>
      </c>
      <c r="AH49" s="53">
        <f>IF(AH$1&gt;=$A49,INDEX(Monthly!$B$2:$B$61,$A49)*INDEX('Age profile'!$B$2:$B$61,AH$1-$A49+1),"")</f>
        <v/>
      </c>
      <c r="AI49" s="53">
        <f>IF(AI$1&gt;=$A49,INDEX(Monthly!$B$2:$B$61,$A49)*INDEX('Age profile'!$B$2:$B$61,AI$1-$A49+1),"")</f>
        <v/>
      </c>
      <c r="AJ49" s="53">
        <f>IF(AJ$1&gt;=$A49,INDEX(Monthly!$B$2:$B$61,$A49)*INDEX('Age profile'!$B$2:$B$61,AJ$1-$A49+1),"")</f>
        <v/>
      </c>
      <c r="AK49" s="53">
        <f>IF(AK$1&gt;=$A49,INDEX(Monthly!$B$2:$B$61,$A49)*INDEX('Age profile'!$B$2:$B$61,AK$1-$A49+1),"")</f>
        <v/>
      </c>
      <c r="AL49" s="53">
        <f>IF(AL$1&gt;=$A49,INDEX(Monthly!$B$2:$B$61,$A49)*INDEX('Age profile'!$B$2:$B$61,AL$1-$A49+1),"")</f>
        <v/>
      </c>
      <c r="AM49" s="53">
        <f>IF(AM$1&gt;=$A49,INDEX(Monthly!$B$2:$B$61,$A49)*INDEX('Age profile'!$B$2:$B$61,AM$1-$A49+1),"")</f>
        <v/>
      </c>
      <c r="AN49" s="53">
        <f>IF(AN$1&gt;=$A49,INDEX(Monthly!$B$2:$B$61,$A49)*INDEX('Age profile'!$B$2:$B$61,AN$1-$A49+1),"")</f>
        <v/>
      </c>
      <c r="AO49" s="53">
        <f>IF(AO$1&gt;=$A49,INDEX(Monthly!$B$2:$B$61,$A49)*INDEX('Age profile'!$B$2:$B$61,AO$1-$A49+1),"")</f>
        <v/>
      </c>
      <c r="AP49" s="53">
        <f>IF(AP$1&gt;=$A49,INDEX(Monthly!$B$2:$B$61,$A49)*INDEX('Age profile'!$B$2:$B$61,AP$1-$A49+1),"")</f>
        <v/>
      </c>
      <c r="AQ49" s="53">
        <f>IF(AQ$1&gt;=$A49,INDEX(Monthly!$B$2:$B$61,$A49)*INDEX('Age profile'!$B$2:$B$61,AQ$1-$A49+1),"")</f>
        <v/>
      </c>
      <c r="AR49" s="53">
        <f>IF(AR$1&gt;=$A49,INDEX(Monthly!$B$2:$B$61,$A49)*INDEX('Age profile'!$B$2:$B$61,AR$1-$A49+1),"")</f>
        <v/>
      </c>
      <c r="AS49" s="53">
        <f>IF(AS$1&gt;=$A49,INDEX(Monthly!$B$2:$B$61,$A49)*INDEX('Age profile'!$B$2:$B$61,AS$1-$A49+1),"")</f>
        <v/>
      </c>
      <c r="AT49" s="53">
        <f>IF(AT$1&gt;=$A49,INDEX(Monthly!$B$2:$B$61,$A49)*INDEX('Age profile'!$B$2:$B$61,AT$1-$A49+1),"")</f>
        <v/>
      </c>
      <c r="AU49" s="53">
        <f>IF(AU$1&gt;=$A49,INDEX(Monthly!$B$2:$B$61,$A49)*INDEX('Age profile'!$B$2:$B$61,AU$1-$A49+1),"")</f>
        <v/>
      </c>
      <c r="AV49" s="53">
        <f>IF(AV$1&gt;=$A49,INDEX(Monthly!$B$2:$B$61,$A49)*INDEX('Age profile'!$B$2:$B$61,AV$1-$A49+1),"")</f>
        <v/>
      </c>
      <c r="AW49" s="53">
        <f>IF(AW$1&gt;=$A49,INDEX(Monthly!$B$2:$B$61,$A49)*INDEX('Age profile'!$B$2:$B$61,AW$1-$A49+1),"")</f>
        <v/>
      </c>
      <c r="AX49" s="53">
        <f>IF(AX$1&gt;=$A49,INDEX(Monthly!$B$2:$B$61,$A49)*INDEX('Age profile'!$B$2:$B$61,AX$1-$A49+1),"")</f>
        <v/>
      </c>
      <c r="AY49" s="53">
        <f>IF(AY$1&gt;=$A49,INDEX(Monthly!$B$2:$B$61,$A49)*INDEX('Age profile'!$B$2:$B$61,AY$1-$A49+1),"")</f>
        <v/>
      </c>
      <c r="AZ49" s="53">
        <f>IF(AZ$1&gt;=$A49,INDEX(Monthly!$B$2:$B$61,$A49)*INDEX('Age profile'!$B$2:$B$61,AZ$1-$A49+1),"")</f>
        <v/>
      </c>
      <c r="BA49" s="53">
        <f>IF(BA$1&gt;=$A49,INDEX(Monthly!$B$2:$B$61,$A49)*INDEX('Age profile'!$B$2:$B$61,BA$1-$A49+1),"")</f>
        <v/>
      </c>
      <c r="BB49" s="53">
        <f>IF(BB$1&gt;=$A49,INDEX(Monthly!$B$2:$B$61,$A49)*INDEX('Age profile'!$B$2:$B$61,BB$1-$A49+1),"")</f>
        <v/>
      </c>
      <c r="BC49" s="53">
        <f>IF(BC$1&gt;=$A49,INDEX(Monthly!$B$2:$B$61,$A49)*INDEX('Age profile'!$B$2:$B$61,BC$1-$A49+1),"")</f>
        <v/>
      </c>
      <c r="BD49" s="53">
        <f>IF(BD$1&gt;=$A49,INDEX(Monthly!$B$2:$B$61,$A49)*INDEX('Age profile'!$B$2:$B$61,BD$1-$A49+1),"")</f>
        <v/>
      </c>
      <c r="BE49" s="53">
        <f>IF(BE$1&gt;=$A49,INDEX(Monthly!$B$2:$B$61,$A49)*INDEX('Age profile'!$B$2:$B$61,BE$1-$A49+1),"")</f>
        <v/>
      </c>
      <c r="BF49" s="53">
        <f>IF(BF$1&gt;=$A49,INDEX(Monthly!$B$2:$B$61,$A49)*INDEX('Age profile'!$B$2:$B$61,BF$1-$A49+1),"")</f>
        <v/>
      </c>
      <c r="BG49" s="53">
        <f>IF(BG$1&gt;=$A49,INDEX(Monthly!$B$2:$B$61,$A49)*INDEX('Age profile'!$B$2:$B$61,BG$1-$A49+1),"")</f>
        <v/>
      </c>
      <c r="BH49" s="53">
        <f>IF(BH$1&gt;=$A49,INDEX(Monthly!$B$2:$B$61,$A49)*INDEX('Age profile'!$B$2:$B$61,BH$1-$A49+1),"")</f>
        <v/>
      </c>
      <c r="BI49" s="53">
        <f>IF(BI$1&gt;=$A49,INDEX(Monthly!$B$2:$B$61,$A49)*INDEX('Age profile'!$B$2:$B$61,BI$1-$A49+1),"")</f>
        <v/>
      </c>
    </row>
    <row r="50">
      <c r="A50" s="3" t="n">
        <v>49</v>
      </c>
      <c r="B50" s="53">
        <f>IF(B$1&gt;=$A50,INDEX(Monthly!$B$2:$B$61,$A50)*INDEX('Age profile'!$B$2:$B$61,B$1-$A50+1),"")</f>
        <v/>
      </c>
      <c r="C50" s="53">
        <f>IF(C$1&gt;=$A50,INDEX(Monthly!$B$2:$B$61,$A50)*INDEX('Age profile'!$B$2:$B$61,C$1-$A50+1),"")</f>
        <v/>
      </c>
      <c r="D50" s="53">
        <f>IF(D$1&gt;=$A50,INDEX(Monthly!$B$2:$B$61,$A50)*INDEX('Age profile'!$B$2:$B$61,D$1-$A50+1),"")</f>
        <v/>
      </c>
      <c r="E50" s="53">
        <f>IF(E$1&gt;=$A50,INDEX(Monthly!$B$2:$B$61,$A50)*INDEX('Age profile'!$B$2:$B$61,E$1-$A50+1),"")</f>
        <v/>
      </c>
      <c r="F50" s="53">
        <f>IF(F$1&gt;=$A50,INDEX(Monthly!$B$2:$B$61,$A50)*INDEX('Age profile'!$B$2:$B$61,F$1-$A50+1),"")</f>
        <v/>
      </c>
      <c r="G50" s="53">
        <f>IF(G$1&gt;=$A50,INDEX(Monthly!$B$2:$B$61,$A50)*INDEX('Age profile'!$B$2:$B$61,G$1-$A50+1),"")</f>
        <v/>
      </c>
      <c r="H50" s="53">
        <f>IF(H$1&gt;=$A50,INDEX(Monthly!$B$2:$B$61,$A50)*INDEX('Age profile'!$B$2:$B$61,H$1-$A50+1),"")</f>
        <v/>
      </c>
      <c r="I50" s="53">
        <f>IF(I$1&gt;=$A50,INDEX(Monthly!$B$2:$B$61,$A50)*INDEX('Age profile'!$B$2:$B$61,I$1-$A50+1),"")</f>
        <v/>
      </c>
      <c r="J50" s="53">
        <f>IF(J$1&gt;=$A50,INDEX(Monthly!$B$2:$B$61,$A50)*INDEX('Age profile'!$B$2:$B$61,J$1-$A50+1),"")</f>
        <v/>
      </c>
      <c r="K50" s="53">
        <f>IF(K$1&gt;=$A50,INDEX(Monthly!$B$2:$B$61,$A50)*INDEX('Age profile'!$B$2:$B$61,K$1-$A50+1),"")</f>
        <v/>
      </c>
      <c r="L50" s="53">
        <f>IF(L$1&gt;=$A50,INDEX(Monthly!$B$2:$B$61,$A50)*INDEX('Age profile'!$B$2:$B$61,L$1-$A50+1),"")</f>
        <v/>
      </c>
      <c r="M50" s="53">
        <f>IF(M$1&gt;=$A50,INDEX(Monthly!$B$2:$B$61,$A50)*INDEX('Age profile'!$B$2:$B$61,M$1-$A50+1),"")</f>
        <v/>
      </c>
      <c r="N50" s="53">
        <f>IF(N$1&gt;=$A50,INDEX(Monthly!$B$2:$B$61,$A50)*INDEX('Age profile'!$B$2:$B$61,N$1-$A50+1),"")</f>
        <v/>
      </c>
      <c r="O50" s="53">
        <f>IF(O$1&gt;=$A50,INDEX(Monthly!$B$2:$B$61,$A50)*INDEX('Age profile'!$B$2:$B$61,O$1-$A50+1),"")</f>
        <v/>
      </c>
      <c r="P50" s="53">
        <f>IF(P$1&gt;=$A50,INDEX(Monthly!$B$2:$B$61,$A50)*INDEX('Age profile'!$B$2:$B$61,P$1-$A50+1),"")</f>
        <v/>
      </c>
      <c r="Q50" s="53">
        <f>IF(Q$1&gt;=$A50,INDEX(Monthly!$B$2:$B$61,$A50)*INDEX('Age profile'!$B$2:$B$61,Q$1-$A50+1),"")</f>
        <v/>
      </c>
      <c r="R50" s="53">
        <f>IF(R$1&gt;=$A50,INDEX(Monthly!$B$2:$B$61,$A50)*INDEX('Age profile'!$B$2:$B$61,R$1-$A50+1),"")</f>
        <v/>
      </c>
      <c r="S50" s="53">
        <f>IF(S$1&gt;=$A50,INDEX(Monthly!$B$2:$B$61,$A50)*INDEX('Age profile'!$B$2:$B$61,S$1-$A50+1),"")</f>
        <v/>
      </c>
      <c r="T50" s="53">
        <f>IF(T$1&gt;=$A50,INDEX(Monthly!$B$2:$B$61,$A50)*INDEX('Age profile'!$B$2:$B$61,T$1-$A50+1),"")</f>
        <v/>
      </c>
      <c r="U50" s="53">
        <f>IF(U$1&gt;=$A50,INDEX(Monthly!$B$2:$B$61,$A50)*INDEX('Age profile'!$B$2:$B$61,U$1-$A50+1),"")</f>
        <v/>
      </c>
      <c r="V50" s="53">
        <f>IF(V$1&gt;=$A50,INDEX(Monthly!$B$2:$B$61,$A50)*INDEX('Age profile'!$B$2:$B$61,V$1-$A50+1),"")</f>
        <v/>
      </c>
      <c r="W50" s="53">
        <f>IF(W$1&gt;=$A50,INDEX(Monthly!$B$2:$B$61,$A50)*INDEX('Age profile'!$B$2:$B$61,W$1-$A50+1),"")</f>
        <v/>
      </c>
      <c r="X50" s="53">
        <f>IF(X$1&gt;=$A50,INDEX(Monthly!$B$2:$B$61,$A50)*INDEX('Age profile'!$B$2:$B$61,X$1-$A50+1),"")</f>
        <v/>
      </c>
      <c r="Y50" s="53">
        <f>IF(Y$1&gt;=$A50,INDEX(Monthly!$B$2:$B$61,$A50)*INDEX('Age profile'!$B$2:$B$61,Y$1-$A50+1),"")</f>
        <v/>
      </c>
      <c r="Z50" s="53">
        <f>IF(Z$1&gt;=$A50,INDEX(Monthly!$B$2:$B$61,$A50)*INDEX('Age profile'!$B$2:$B$61,Z$1-$A50+1),"")</f>
        <v/>
      </c>
      <c r="AA50" s="53">
        <f>IF(AA$1&gt;=$A50,INDEX(Monthly!$B$2:$B$61,$A50)*INDEX('Age profile'!$B$2:$B$61,AA$1-$A50+1),"")</f>
        <v/>
      </c>
      <c r="AB50" s="53">
        <f>IF(AB$1&gt;=$A50,INDEX(Monthly!$B$2:$B$61,$A50)*INDEX('Age profile'!$B$2:$B$61,AB$1-$A50+1),"")</f>
        <v/>
      </c>
      <c r="AC50" s="53">
        <f>IF(AC$1&gt;=$A50,INDEX(Monthly!$B$2:$B$61,$A50)*INDEX('Age profile'!$B$2:$B$61,AC$1-$A50+1),"")</f>
        <v/>
      </c>
      <c r="AD50" s="53">
        <f>IF(AD$1&gt;=$A50,INDEX(Monthly!$B$2:$B$61,$A50)*INDEX('Age profile'!$B$2:$B$61,AD$1-$A50+1),"")</f>
        <v/>
      </c>
      <c r="AE50" s="53">
        <f>IF(AE$1&gt;=$A50,INDEX(Monthly!$B$2:$B$61,$A50)*INDEX('Age profile'!$B$2:$B$61,AE$1-$A50+1),"")</f>
        <v/>
      </c>
      <c r="AF50" s="53">
        <f>IF(AF$1&gt;=$A50,INDEX(Monthly!$B$2:$B$61,$A50)*INDEX('Age profile'!$B$2:$B$61,AF$1-$A50+1),"")</f>
        <v/>
      </c>
      <c r="AG50" s="53">
        <f>IF(AG$1&gt;=$A50,INDEX(Monthly!$B$2:$B$61,$A50)*INDEX('Age profile'!$B$2:$B$61,AG$1-$A50+1),"")</f>
        <v/>
      </c>
      <c r="AH50" s="53">
        <f>IF(AH$1&gt;=$A50,INDEX(Monthly!$B$2:$B$61,$A50)*INDEX('Age profile'!$B$2:$B$61,AH$1-$A50+1),"")</f>
        <v/>
      </c>
      <c r="AI50" s="53">
        <f>IF(AI$1&gt;=$A50,INDEX(Monthly!$B$2:$B$61,$A50)*INDEX('Age profile'!$B$2:$B$61,AI$1-$A50+1),"")</f>
        <v/>
      </c>
      <c r="AJ50" s="53">
        <f>IF(AJ$1&gt;=$A50,INDEX(Monthly!$B$2:$B$61,$A50)*INDEX('Age profile'!$B$2:$B$61,AJ$1-$A50+1),"")</f>
        <v/>
      </c>
      <c r="AK50" s="53">
        <f>IF(AK$1&gt;=$A50,INDEX(Monthly!$B$2:$B$61,$A50)*INDEX('Age profile'!$B$2:$B$61,AK$1-$A50+1),"")</f>
        <v/>
      </c>
      <c r="AL50" s="53">
        <f>IF(AL$1&gt;=$A50,INDEX(Monthly!$B$2:$B$61,$A50)*INDEX('Age profile'!$B$2:$B$61,AL$1-$A50+1),"")</f>
        <v/>
      </c>
      <c r="AM50" s="53">
        <f>IF(AM$1&gt;=$A50,INDEX(Monthly!$B$2:$B$61,$A50)*INDEX('Age profile'!$B$2:$B$61,AM$1-$A50+1),"")</f>
        <v/>
      </c>
      <c r="AN50" s="53">
        <f>IF(AN$1&gt;=$A50,INDEX(Monthly!$B$2:$B$61,$A50)*INDEX('Age profile'!$B$2:$B$61,AN$1-$A50+1),"")</f>
        <v/>
      </c>
      <c r="AO50" s="53">
        <f>IF(AO$1&gt;=$A50,INDEX(Monthly!$B$2:$B$61,$A50)*INDEX('Age profile'!$B$2:$B$61,AO$1-$A50+1),"")</f>
        <v/>
      </c>
      <c r="AP50" s="53">
        <f>IF(AP$1&gt;=$A50,INDEX(Monthly!$B$2:$B$61,$A50)*INDEX('Age profile'!$B$2:$B$61,AP$1-$A50+1),"")</f>
        <v/>
      </c>
      <c r="AQ50" s="53">
        <f>IF(AQ$1&gt;=$A50,INDEX(Monthly!$B$2:$B$61,$A50)*INDEX('Age profile'!$B$2:$B$61,AQ$1-$A50+1),"")</f>
        <v/>
      </c>
      <c r="AR50" s="53">
        <f>IF(AR$1&gt;=$A50,INDEX(Monthly!$B$2:$B$61,$A50)*INDEX('Age profile'!$B$2:$B$61,AR$1-$A50+1),"")</f>
        <v/>
      </c>
      <c r="AS50" s="53">
        <f>IF(AS$1&gt;=$A50,INDEX(Monthly!$B$2:$B$61,$A50)*INDEX('Age profile'!$B$2:$B$61,AS$1-$A50+1),"")</f>
        <v/>
      </c>
      <c r="AT50" s="53">
        <f>IF(AT$1&gt;=$A50,INDEX(Monthly!$B$2:$B$61,$A50)*INDEX('Age profile'!$B$2:$B$61,AT$1-$A50+1),"")</f>
        <v/>
      </c>
      <c r="AU50" s="53">
        <f>IF(AU$1&gt;=$A50,INDEX(Monthly!$B$2:$B$61,$A50)*INDEX('Age profile'!$B$2:$B$61,AU$1-$A50+1),"")</f>
        <v/>
      </c>
      <c r="AV50" s="53">
        <f>IF(AV$1&gt;=$A50,INDEX(Monthly!$B$2:$B$61,$A50)*INDEX('Age profile'!$B$2:$B$61,AV$1-$A50+1),"")</f>
        <v/>
      </c>
      <c r="AW50" s="53">
        <f>IF(AW$1&gt;=$A50,INDEX(Monthly!$B$2:$B$61,$A50)*INDEX('Age profile'!$B$2:$B$61,AW$1-$A50+1),"")</f>
        <v/>
      </c>
      <c r="AX50" s="53">
        <f>IF(AX$1&gt;=$A50,INDEX(Monthly!$B$2:$B$61,$A50)*INDEX('Age profile'!$B$2:$B$61,AX$1-$A50+1),"")</f>
        <v/>
      </c>
      <c r="AY50" s="53">
        <f>IF(AY$1&gt;=$A50,INDEX(Monthly!$B$2:$B$61,$A50)*INDEX('Age profile'!$B$2:$B$61,AY$1-$A50+1),"")</f>
        <v/>
      </c>
      <c r="AZ50" s="53">
        <f>IF(AZ$1&gt;=$A50,INDEX(Monthly!$B$2:$B$61,$A50)*INDEX('Age profile'!$B$2:$B$61,AZ$1-$A50+1),"")</f>
        <v/>
      </c>
      <c r="BA50" s="53">
        <f>IF(BA$1&gt;=$A50,INDEX(Monthly!$B$2:$B$61,$A50)*INDEX('Age profile'!$B$2:$B$61,BA$1-$A50+1),"")</f>
        <v/>
      </c>
      <c r="BB50" s="53">
        <f>IF(BB$1&gt;=$A50,INDEX(Monthly!$B$2:$B$61,$A50)*INDEX('Age profile'!$B$2:$B$61,BB$1-$A50+1),"")</f>
        <v/>
      </c>
      <c r="BC50" s="53">
        <f>IF(BC$1&gt;=$A50,INDEX(Monthly!$B$2:$B$61,$A50)*INDEX('Age profile'!$B$2:$B$61,BC$1-$A50+1),"")</f>
        <v/>
      </c>
      <c r="BD50" s="53">
        <f>IF(BD$1&gt;=$A50,INDEX(Monthly!$B$2:$B$61,$A50)*INDEX('Age profile'!$B$2:$B$61,BD$1-$A50+1),"")</f>
        <v/>
      </c>
      <c r="BE50" s="53">
        <f>IF(BE$1&gt;=$A50,INDEX(Monthly!$B$2:$B$61,$A50)*INDEX('Age profile'!$B$2:$B$61,BE$1-$A50+1),"")</f>
        <v/>
      </c>
      <c r="BF50" s="53">
        <f>IF(BF$1&gt;=$A50,INDEX(Monthly!$B$2:$B$61,$A50)*INDEX('Age profile'!$B$2:$B$61,BF$1-$A50+1),"")</f>
        <v/>
      </c>
      <c r="BG50" s="53">
        <f>IF(BG$1&gt;=$A50,INDEX(Monthly!$B$2:$B$61,$A50)*INDEX('Age profile'!$B$2:$B$61,BG$1-$A50+1),"")</f>
        <v/>
      </c>
      <c r="BH50" s="53">
        <f>IF(BH$1&gt;=$A50,INDEX(Monthly!$B$2:$B$61,$A50)*INDEX('Age profile'!$B$2:$B$61,BH$1-$A50+1),"")</f>
        <v/>
      </c>
      <c r="BI50" s="53">
        <f>IF(BI$1&gt;=$A50,INDEX(Monthly!$B$2:$B$61,$A50)*INDEX('Age profile'!$B$2:$B$61,BI$1-$A50+1),"")</f>
        <v/>
      </c>
    </row>
    <row r="51">
      <c r="A51" s="3" t="n">
        <v>50</v>
      </c>
      <c r="B51" s="53">
        <f>IF(B$1&gt;=$A51,INDEX(Monthly!$B$2:$B$61,$A51)*INDEX('Age profile'!$B$2:$B$61,B$1-$A51+1),"")</f>
        <v/>
      </c>
      <c r="C51" s="53">
        <f>IF(C$1&gt;=$A51,INDEX(Monthly!$B$2:$B$61,$A51)*INDEX('Age profile'!$B$2:$B$61,C$1-$A51+1),"")</f>
        <v/>
      </c>
      <c r="D51" s="53">
        <f>IF(D$1&gt;=$A51,INDEX(Monthly!$B$2:$B$61,$A51)*INDEX('Age profile'!$B$2:$B$61,D$1-$A51+1),"")</f>
        <v/>
      </c>
      <c r="E51" s="53">
        <f>IF(E$1&gt;=$A51,INDEX(Monthly!$B$2:$B$61,$A51)*INDEX('Age profile'!$B$2:$B$61,E$1-$A51+1),"")</f>
        <v/>
      </c>
      <c r="F51" s="53">
        <f>IF(F$1&gt;=$A51,INDEX(Monthly!$B$2:$B$61,$A51)*INDEX('Age profile'!$B$2:$B$61,F$1-$A51+1),"")</f>
        <v/>
      </c>
      <c r="G51" s="53">
        <f>IF(G$1&gt;=$A51,INDEX(Monthly!$B$2:$B$61,$A51)*INDEX('Age profile'!$B$2:$B$61,G$1-$A51+1),"")</f>
        <v/>
      </c>
      <c r="H51" s="53">
        <f>IF(H$1&gt;=$A51,INDEX(Monthly!$B$2:$B$61,$A51)*INDEX('Age profile'!$B$2:$B$61,H$1-$A51+1),"")</f>
        <v/>
      </c>
      <c r="I51" s="53">
        <f>IF(I$1&gt;=$A51,INDEX(Monthly!$B$2:$B$61,$A51)*INDEX('Age profile'!$B$2:$B$61,I$1-$A51+1),"")</f>
        <v/>
      </c>
      <c r="J51" s="53">
        <f>IF(J$1&gt;=$A51,INDEX(Monthly!$B$2:$B$61,$A51)*INDEX('Age profile'!$B$2:$B$61,J$1-$A51+1),"")</f>
        <v/>
      </c>
      <c r="K51" s="53">
        <f>IF(K$1&gt;=$A51,INDEX(Monthly!$B$2:$B$61,$A51)*INDEX('Age profile'!$B$2:$B$61,K$1-$A51+1),"")</f>
        <v/>
      </c>
      <c r="L51" s="53">
        <f>IF(L$1&gt;=$A51,INDEX(Monthly!$B$2:$B$61,$A51)*INDEX('Age profile'!$B$2:$B$61,L$1-$A51+1),"")</f>
        <v/>
      </c>
      <c r="M51" s="53">
        <f>IF(M$1&gt;=$A51,INDEX(Monthly!$B$2:$B$61,$A51)*INDEX('Age profile'!$B$2:$B$61,M$1-$A51+1),"")</f>
        <v/>
      </c>
      <c r="N51" s="53">
        <f>IF(N$1&gt;=$A51,INDEX(Monthly!$B$2:$B$61,$A51)*INDEX('Age profile'!$B$2:$B$61,N$1-$A51+1),"")</f>
        <v/>
      </c>
      <c r="O51" s="53">
        <f>IF(O$1&gt;=$A51,INDEX(Monthly!$B$2:$B$61,$A51)*INDEX('Age profile'!$B$2:$B$61,O$1-$A51+1),"")</f>
        <v/>
      </c>
      <c r="P51" s="53">
        <f>IF(P$1&gt;=$A51,INDEX(Monthly!$B$2:$B$61,$A51)*INDEX('Age profile'!$B$2:$B$61,P$1-$A51+1),"")</f>
        <v/>
      </c>
      <c r="Q51" s="53">
        <f>IF(Q$1&gt;=$A51,INDEX(Monthly!$B$2:$B$61,$A51)*INDEX('Age profile'!$B$2:$B$61,Q$1-$A51+1),"")</f>
        <v/>
      </c>
      <c r="R51" s="53">
        <f>IF(R$1&gt;=$A51,INDEX(Monthly!$B$2:$B$61,$A51)*INDEX('Age profile'!$B$2:$B$61,R$1-$A51+1),"")</f>
        <v/>
      </c>
      <c r="S51" s="53">
        <f>IF(S$1&gt;=$A51,INDEX(Monthly!$B$2:$B$61,$A51)*INDEX('Age profile'!$B$2:$B$61,S$1-$A51+1),"")</f>
        <v/>
      </c>
      <c r="T51" s="53">
        <f>IF(T$1&gt;=$A51,INDEX(Monthly!$B$2:$B$61,$A51)*INDEX('Age profile'!$B$2:$B$61,T$1-$A51+1),"")</f>
        <v/>
      </c>
      <c r="U51" s="53">
        <f>IF(U$1&gt;=$A51,INDEX(Monthly!$B$2:$B$61,$A51)*INDEX('Age profile'!$B$2:$B$61,U$1-$A51+1),"")</f>
        <v/>
      </c>
      <c r="V51" s="53">
        <f>IF(V$1&gt;=$A51,INDEX(Monthly!$B$2:$B$61,$A51)*INDEX('Age profile'!$B$2:$B$61,V$1-$A51+1),"")</f>
        <v/>
      </c>
      <c r="W51" s="53">
        <f>IF(W$1&gt;=$A51,INDEX(Monthly!$B$2:$B$61,$A51)*INDEX('Age profile'!$B$2:$B$61,W$1-$A51+1),"")</f>
        <v/>
      </c>
      <c r="X51" s="53">
        <f>IF(X$1&gt;=$A51,INDEX(Monthly!$B$2:$B$61,$A51)*INDEX('Age profile'!$B$2:$B$61,X$1-$A51+1),"")</f>
        <v/>
      </c>
      <c r="Y51" s="53">
        <f>IF(Y$1&gt;=$A51,INDEX(Monthly!$B$2:$B$61,$A51)*INDEX('Age profile'!$B$2:$B$61,Y$1-$A51+1),"")</f>
        <v/>
      </c>
      <c r="Z51" s="53">
        <f>IF(Z$1&gt;=$A51,INDEX(Monthly!$B$2:$B$61,$A51)*INDEX('Age profile'!$B$2:$B$61,Z$1-$A51+1),"")</f>
        <v/>
      </c>
      <c r="AA51" s="53">
        <f>IF(AA$1&gt;=$A51,INDEX(Monthly!$B$2:$B$61,$A51)*INDEX('Age profile'!$B$2:$B$61,AA$1-$A51+1),"")</f>
        <v/>
      </c>
      <c r="AB51" s="53">
        <f>IF(AB$1&gt;=$A51,INDEX(Monthly!$B$2:$B$61,$A51)*INDEX('Age profile'!$B$2:$B$61,AB$1-$A51+1),"")</f>
        <v/>
      </c>
      <c r="AC51" s="53">
        <f>IF(AC$1&gt;=$A51,INDEX(Monthly!$B$2:$B$61,$A51)*INDEX('Age profile'!$B$2:$B$61,AC$1-$A51+1),"")</f>
        <v/>
      </c>
      <c r="AD51" s="53">
        <f>IF(AD$1&gt;=$A51,INDEX(Monthly!$B$2:$B$61,$A51)*INDEX('Age profile'!$B$2:$B$61,AD$1-$A51+1),"")</f>
        <v/>
      </c>
      <c r="AE51" s="53">
        <f>IF(AE$1&gt;=$A51,INDEX(Monthly!$B$2:$B$61,$A51)*INDEX('Age profile'!$B$2:$B$61,AE$1-$A51+1),"")</f>
        <v/>
      </c>
      <c r="AF51" s="53">
        <f>IF(AF$1&gt;=$A51,INDEX(Monthly!$B$2:$B$61,$A51)*INDEX('Age profile'!$B$2:$B$61,AF$1-$A51+1),"")</f>
        <v/>
      </c>
      <c r="AG51" s="53">
        <f>IF(AG$1&gt;=$A51,INDEX(Monthly!$B$2:$B$61,$A51)*INDEX('Age profile'!$B$2:$B$61,AG$1-$A51+1),"")</f>
        <v/>
      </c>
      <c r="AH51" s="53">
        <f>IF(AH$1&gt;=$A51,INDEX(Monthly!$B$2:$B$61,$A51)*INDEX('Age profile'!$B$2:$B$61,AH$1-$A51+1),"")</f>
        <v/>
      </c>
      <c r="AI51" s="53">
        <f>IF(AI$1&gt;=$A51,INDEX(Monthly!$B$2:$B$61,$A51)*INDEX('Age profile'!$B$2:$B$61,AI$1-$A51+1),"")</f>
        <v/>
      </c>
      <c r="AJ51" s="53">
        <f>IF(AJ$1&gt;=$A51,INDEX(Monthly!$B$2:$B$61,$A51)*INDEX('Age profile'!$B$2:$B$61,AJ$1-$A51+1),"")</f>
        <v/>
      </c>
      <c r="AK51" s="53">
        <f>IF(AK$1&gt;=$A51,INDEX(Monthly!$B$2:$B$61,$A51)*INDEX('Age profile'!$B$2:$B$61,AK$1-$A51+1),"")</f>
        <v/>
      </c>
      <c r="AL51" s="53">
        <f>IF(AL$1&gt;=$A51,INDEX(Monthly!$B$2:$B$61,$A51)*INDEX('Age profile'!$B$2:$B$61,AL$1-$A51+1),"")</f>
        <v/>
      </c>
      <c r="AM51" s="53">
        <f>IF(AM$1&gt;=$A51,INDEX(Monthly!$B$2:$B$61,$A51)*INDEX('Age profile'!$B$2:$B$61,AM$1-$A51+1),"")</f>
        <v/>
      </c>
      <c r="AN51" s="53">
        <f>IF(AN$1&gt;=$A51,INDEX(Monthly!$B$2:$B$61,$A51)*INDEX('Age profile'!$B$2:$B$61,AN$1-$A51+1),"")</f>
        <v/>
      </c>
      <c r="AO51" s="53">
        <f>IF(AO$1&gt;=$A51,INDEX(Monthly!$B$2:$B$61,$A51)*INDEX('Age profile'!$B$2:$B$61,AO$1-$A51+1),"")</f>
        <v/>
      </c>
      <c r="AP51" s="53">
        <f>IF(AP$1&gt;=$A51,INDEX(Monthly!$B$2:$B$61,$A51)*INDEX('Age profile'!$B$2:$B$61,AP$1-$A51+1),"")</f>
        <v/>
      </c>
      <c r="AQ51" s="53">
        <f>IF(AQ$1&gt;=$A51,INDEX(Monthly!$B$2:$B$61,$A51)*INDEX('Age profile'!$B$2:$B$61,AQ$1-$A51+1),"")</f>
        <v/>
      </c>
      <c r="AR51" s="53">
        <f>IF(AR$1&gt;=$A51,INDEX(Monthly!$B$2:$B$61,$A51)*INDEX('Age profile'!$B$2:$B$61,AR$1-$A51+1),"")</f>
        <v/>
      </c>
      <c r="AS51" s="53">
        <f>IF(AS$1&gt;=$A51,INDEX(Monthly!$B$2:$B$61,$A51)*INDEX('Age profile'!$B$2:$B$61,AS$1-$A51+1),"")</f>
        <v/>
      </c>
      <c r="AT51" s="53">
        <f>IF(AT$1&gt;=$A51,INDEX(Monthly!$B$2:$B$61,$A51)*INDEX('Age profile'!$B$2:$B$61,AT$1-$A51+1),"")</f>
        <v/>
      </c>
      <c r="AU51" s="53">
        <f>IF(AU$1&gt;=$A51,INDEX(Monthly!$B$2:$B$61,$A51)*INDEX('Age profile'!$B$2:$B$61,AU$1-$A51+1),"")</f>
        <v/>
      </c>
      <c r="AV51" s="53">
        <f>IF(AV$1&gt;=$A51,INDEX(Monthly!$B$2:$B$61,$A51)*INDEX('Age profile'!$B$2:$B$61,AV$1-$A51+1),"")</f>
        <v/>
      </c>
      <c r="AW51" s="53">
        <f>IF(AW$1&gt;=$A51,INDEX(Monthly!$B$2:$B$61,$A51)*INDEX('Age profile'!$B$2:$B$61,AW$1-$A51+1),"")</f>
        <v/>
      </c>
      <c r="AX51" s="53">
        <f>IF(AX$1&gt;=$A51,INDEX(Monthly!$B$2:$B$61,$A51)*INDEX('Age profile'!$B$2:$B$61,AX$1-$A51+1),"")</f>
        <v/>
      </c>
      <c r="AY51" s="53">
        <f>IF(AY$1&gt;=$A51,INDEX(Monthly!$B$2:$B$61,$A51)*INDEX('Age profile'!$B$2:$B$61,AY$1-$A51+1),"")</f>
        <v/>
      </c>
      <c r="AZ51" s="53">
        <f>IF(AZ$1&gt;=$A51,INDEX(Monthly!$B$2:$B$61,$A51)*INDEX('Age profile'!$B$2:$B$61,AZ$1-$A51+1),"")</f>
        <v/>
      </c>
      <c r="BA51" s="53">
        <f>IF(BA$1&gt;=$A51,INDEX(Monthly!$B$2:$B$61,$A51)*INDEX('Age profile'!$B$2:$B$61,BA$1-$A51+1),"")</f>
        <v/>
      </c>
      <c r="BB51" s="53">
        <f>IF(BB$1&gt;=$A51,INDEX(Monthly!$B$2:$B$61,$A51)*INDEX('Age profile'!$B$2:$B$61,BB$1-$A51+1),"")</f>
        <v/>
      </c>
      <c r="BC51" s="53">
        <f>IF(BC$1&gt;=$A51,INDEX(Monthly!$B$2:$B$61,$A51)*INDEX('Age profile'!$B$2:$B$61,BC$1-$A51+1),"")</f>
        <v/>
      </c>
      <c r="BD51" s="53">
        <f>IF(BD$1&gt;=$A51,INDEX(Monthly!$B$2:$B$61,$A51)*INDEX('Age profile'!$B$2:$B$61,BD$1-$A51+1),"")</f>
        <v/>
      </c>
      <c r="BE51" s="53">
        <f>IF(BE$1&gt;=$A51,INDEX(Monthly!$B$2:$B$61,$A51)*INDEX('Age profile'!$B$2:$B$61,BE$1-$A51+1),"")</f>
        <v/>
      </c>
      <c r="BF51" s="53">
        <f>IF(BF$1&gt;=$A51,INDEX(Monthly!$B$2:$B$61,$A51)*INDEX('Age profile'!$B$2:$B$61,BF$1-$A51+1),"")</f>
        <v/>
      </c>
      <c r="BG51" s="53">
        <f>IF(BG$1&gt;=$A51,INDEX(Monthly!$B$2:$B$61,$A51)*INDEX('Age profile'!$B$2:$B$61,BG$1-$A51+1),"")</f>
        <v/>
      </c>
      <c r="BH51" s="53">
        <f>IF(BH$1&gt;=$A51,INDEX(Monthly!$B$2:$B$61,$A51)*INDEX('Age profile'!$B$2:$B$61,BH$1-$A51+1),"")</f>
        <v/>
      </c>
      <c r="BI51" s="53">
        <f>IF(BI$1&gt;=$A51,INDEX(Monthly!$B$2:$B$61,$A51)*INDEX('Age profile'!$B$2:$B$61,BI$1-$A51+1),"")</f>
        <v/>
      </c>
    </row>
    <row r="52">
      <c r="A52" s="3" t="n">
        <v>51</v>
      </c>
      <c r="B52" s="53">
        <f>IF(B$1&gt;=$A52,INDEX(Monthly!$B$2:$B$61,$A52)*INDEX('Age profile'!$B$2:$B$61,B$1-$A52+1),"")</f>
        <v/>
      </c>
      <c r="C52" s="53">
        <f>IF(C$1&gt;=$A52,INDEX(Monthly!$B$2:$B$61,$A52)*INDEX('Age profile'!$B$2:$B$61,C$1-$A52+1),"")</f>
        <v/>
      </c>
      <c r="D52" s="53">
        <f>IF(D$1&gt;=$A52,INDEX(Monthly!$B$2:$B$61,$A52)*INDEX('Age profile'!$B$2:$B$61,D$1-$A52+1),"")</f>
        <v/>
      </c>
      <c r="E52" s="53">
        <f>IF(E$1&gt;=$A52,INDEX(Monthly!$B$2:$B$61,$A52)*INDEX('Age profile'!$B$2:$B$61,E$1-$A52+1),"")</f>
        <v/>
      </c>
      <c r="F52" s="53">
        <f>IF(F$1&gt;=$A52,INDEX(Monthly!$B$2:$B$61,$A52)*INDEX('Age profile'!$B$2:$B$61,F$1-$A52+1),"")</f>
        <v/>
      </c>
      <c r="G52" s="53">
        <f>IF(G$1&gt;=$A52,INDEX(Monthly!$B$2:$B$61,$A52)*INDEX('Age profile'!$B$2:$B$61,G$1-$A52+1),"")</f>
        <v/>
      </c>
      <c r="H52" s="53">
        <f>IF(H$1&gt;=$A52,INDEX(Monthly!$B$2:$B$61,$A52)*INDEX('Age profile'!$B$2:$B$61,H$1-$A52+1),"")</f>
        <v/>
      </c>
      <c r="I52" s="53">
        <f>IF(I$1&gt;=$A52,INDEX(Monthly!$B$2:$B$61,$A52)*INDEX('Age profile'!$B$2:$B$61,I$1-$A52+1),"")</f>
        <v/>
      </c>
      <c r="J52" s="53">
        <f>IF(J$1&gt;=$A52,INDEX(Monthly!$B$2:$B$61,$A52)*INDEX('Age profile'!$B$2:$B$61,J$1-$A52+1),"")</f>
        <v/>
      </c>
      <c r="K52" s="53">
        <f>IF(K$1&gt;=$A52,INDEX(Monthly!$B$2:$B$61,$A52)*INDEX('Age profile'!$B$2:$B$61,K$1-$A52+1),"")</f>
        <v/>
      </c>
      <c r="L52" s="53">
        <f>IF(L$1&gt;=$A52,INDEX(Monthly!$B$2:$B$61,$A52)*INDEX('Age profile'!$B$2:$B$61,L$1-$A52+1),"")</f>
        <v/>
      </c>
      <c r="M52" s="53">
        <f>IF(M$1&gt;=$A52,INDEX(Monthly!$B$2:$B$61,$A52)*INDEX('Age profile'!$B$2:$B$61,M$1-$A52+1),"")</f>
        <v/>
      </c>
      <c r="N52" s="53">
        <f>IF(N$1&gt;=$A52,INDEX(Monthly!$B$2:$B$61,$A52)*INDEX('Age profile'!$B$2:$B$61,N$1-$A52+1),"")</f>
        <v/>
      </c>
      <c r="O52" s="53">
        <f>IF(O$1&gt;=$A52,INDEX(Monthly!$B$2:$B$61,$A52)*INDEX('Age profile'!$B$2:$B$61,O$1-$A52+1),"")</f>
        <v/>
      </c>
      <c r="P52" s="53">
        <f>IF(P$1&gt;=$A52,INDEX(Monthly!$B$2:$B$61,$A52)*INDEX('Age profile'!$B$2:$B$61,P$1-$A52+1),"")</f>
        <v/>
      </c>
      <c r="Q52" s="53">
        <f>IF(Q$1&gt;=$A52,INDEX(Monthly!$B$2:$B$61,$A52)*INDEX('Age profile'!$B$2:$B$61,Q$1-$A52+1),"")</f>
        <v/>
      </c>
      <c r="R52" s="53">
        <f>IF(R$1&gt;=$A52,INDEX(Monthly!$B$2:$B$61,$A52)*INDEX('Age profile'!$B$2:$B$61,R$1-$A52+1),"")</f>
        <v/>
      </c>
      <c r="S52" s="53">
        <f>IF(S$1&gt;=$A52,INDEX(Monthly!$B$2:$B$61,$A52)*INDEX('Age profile'!$B$2:$B$61,S$1-$A52+1),"")</f>
        <v/>
      </c>
      <c r="T52" s="53">
        <f>IF(T$1&gt;=$A52,INDEX(Monthly!$B$2:$B$61,$A52)*INDEX('Age profile'!$B$2:$B$61,T$1-$A52+1),"")</f>
        <v/>
      </c>
      <c r="U52" s="53">
        <f>IF(U$1&gt;=$A52,INDEX(Monthly!$B$2:$B$61,$A52)*INDEX('Age profile'!$B$2:$B$61,U$1-$A52+1),"")</f>
        <v/>
      </c>
      <c r="V52" s="53">
        <f>IF(V$1&gt;=$A52,INDEX(Monthly!$B$2:$B$61,$A52)*INDEX('Age profile'!$B$2:$B$61,V$1-$A52+1),"")</f>
        <v/>
      </c>
      <c r="W52" s="53">
        <f>IF(W$1&gt;=$A52,INDEX(Monthly!$B$2:$B$61,$A52)*INDEX('Age profile'!$B$2:$B$61,W$1-$A52+1),"")</f>
        <v/>
      </c>
      <c r="X52" s="53">
        <f>IF(X$1&gt;=$A52,INDEX(Monthly!$B$2:$B$61,$A52)*INDEX('Age profile'!$B$2:$B$61,X$1-$A52+1),"")</f>
        <v/>
      </c>
      <c r="Y52" s="53">
        <f>IF(Y$1&gt;=$A52,INDEX(Monthly!$B$2:$B$61,$A52)*INDEX('Age profile'!$B$2:$B$61,Y$1-$A52+1),"")</f>
        <v/>
      </c>
      <c r="Z52" s="53">
        <f>IF(Z$1&gt;=$A52,INDEX(Monthly!$B$2:$B$61,$A52)*INDEX('Age profile'!$B$2:$B$61,Z$1-$A52+1),"")</f>
        <v/>
      </c>
      <c r="AA52" s="53">
        <f>IF(AA$1&gt;=$A52,INDEX(Monthly!$B$2:$B$61,$A52)*INDEX('Age profile'!$B$2:$B$61,AA$1-$A52+1),"")</f>
        <v/>
      </c>
      <c r="AB52" s="53">
        <f>IF(AB$1&gt;=$A52,INDEX(Monthly!$B$2:$B$61,$A52)*INDEX('Age profile'!$B$2:$B$61,AB$1-$A52+1),"")</f>
        <v/>
      </c>
      <c r="AC52" s="53">
        <f>IF(AC$1&gt;=$A52,INDEX(Monthly!$B$2:$B$61,$A52)*INDEX('Age profile'!$B$2:$B$61,AC$1-$A52+1),"")</f>
        <v/>
      </c>
      <c r="AD52" s="53">
        <f>IF(AD$1&gt;=$A52,INDEX(Monthly!$B$2:$B$61,$A52)*INDEX('Age profile'!$B$2:$B$61,AD$1-$A52+1),"")</f>
        <v/>
      </c>
      <c r="AE52" s="53">
        <f>IF(AE$1&gt;=$A52,INDEX(Monthly!$B$2:$B$61,$A52)*INDEX('Age profile'!$B$2:$B$61,AE$1-$A52+1),"")</f>
        <v/>
      </c>
      <c r="AF52" s="53">
        <f>IF(AF$1&gt;=$A52,INDEX(Monthly!$B$2:$B$61,$A52)*INDEX('Age profile'!$B$2:$B$61,AF$1-$A52+1),"")</f>
        <v/>
      </c>
      <c r="AG52" s="53">
        <f>IF(AG$1&gt;=$A52,INDEX(Monthly!$B$2:$B$61,$A52)*INDEX('Age profile'!$B$2:$B$61,AG$1-$A52+1),"")</f>
        <v/>
      </c>
      <c r="AH52" s="53">
        <f>IF(AH$1&gt;=$A52,INDEX(Monthly!$B$2:$B$61,$A52)*INDEX('Age profile'!$B$2:$B$61,AH$1-$A52+1),"")</f>
        <v/>
      </c>
      <c r="AI52" s="53">
        <f>IF(AI$1&gt;=$A52,INDEX(Monthly!$B$2:$B$61,$A52)*INDEX('Age profile'!$B$2:$B$61,AI$1-$A52+1),"")</f>
        <v/>
      </c>
      <c r="AJ52" s="53">
        <f>IF(AJ$1&gt;=$A52,INDEX(Monthly!$B$2:$B$61,$A52)*INDEX('Age profile'!$B$2:$B$61,AJ$1-$A52+1),"")</f>
        <v/>
      </c>
      <c r="AK52" s="53">
        <f>IF(AK$1&gt;=$A52,INDEX(Monthly!$B$2:$B$61,$A52)*INDEX('Age profile'!$B$2:$B$61,AK$1-$A52+1),"")</f>
        <v/>
      </c>
      <c r="AL52" s="53">
        <f>IF(AL$1&gt;=$A52,INDEX(Monthly!$B$2:$B$61,$A52)*INDEX('Age profile'!$B$2:$B$61,AL$1-$A52+1),"")</f>
        <v/>
      </c>
      <c r="AM52" s="53">
        <f>IF(AM$1&gt;=$A52,INDEX(Monthly!$B$2:$B$61,$A52)*INDEX('Age profile'!$B$2:$B$61,AM$1-$A52+1),"")</f>
        <v/>
      </c>
      <c r="AN52" s="53">
        <f>IF(AN$1&gt;=$A52,INDEX(Monthly!$B$2:$B$61,$A52)*INDEX('Age profile'!$B$2:$B$61,AN$1-$A52+1),"")</f>
        <v/>
      </c>
      <c r="AO52" s="53">
        <f>IF(AO$1&gt;=$A52,INDEX(Monthly!$B$2:$B$61,$A52)*INDEX('Age profile'!$B$2:$B$61,AO$1-$A52+1),"")</f>
        <v/>
      </c>
      <c r="AP52" s="53">
        <f>IF(AP$1&gt;=$A52,INDEX(Monthly!$B$2:$B$61,$A52)*INDEX('Age profile'!$B$2:$B$61,AP$1-$A52+1),"")</f>
        <v/>
      </c>
      <c r="AQ52" s="53">
        <f>IF(AQ$1&gt;=$A52,INDEX(Monthly!$B$2:$B$61,$A52)*INDEX('Age profile'!$B$2:$B$61,AQ$1-$A52+1),"")</f>
        <v/>
      </c>
      <c r="AR52" s="53">
        <f>IF(AR$1&gt;=$A52,INDEX(Monthly!$B$2:$B$61,$A52)*INDEX('Age profile'!$B$2:$B$61,AR$1-$A52+1),"")</f>
        <v/>
      </c>
      <c r="AS52" s="53">
        <f>IF(AS$1&gt;=$A52,INDEX(Monthly!$B$2:$B$61,$A52)*INDEX('Age profile'!$B$2:$B$61,AS$1-$A52+1),"")</f>
        <v/>
      </c>
      <c r="AT52" s="53">
        <f>IF(AT$1&gt;=$A52,INDEX(Monthly!$B$2:$B$61,$A52)*INDEX('Age profile'!$B$2:$B$61,AT$1-$A52+1),"")</f>
        <v/>
      </c>
      <c r="AU52" s="53">
        <f>IF(AU$1&gt;=$A52,INDEX(Monthly!$B$2:$B$61,$A52)*INDEX('Age profile'!$B$2:$B$61,AU$1-$A52+1),"")</f>
        <v/>
      </c>
      <c r="AV52" s="53">
        <f>IF(AV$1&gt;=$A52,INDEX(Monthly!$B$2:$B$61,$A52)*INDEX('Age profile'!$B$2:$B$61,AV$1-$A52+1),"")</f>
        <v/>
      </c>
      <c r="AW52" s="53">
        <f>IF(AW$1&gt;=$A52,INDEX(Monthly!$B$2:$B$61,$A52)*INDEX('Age profile'!$B$2:$B$61,AW$1-$A52+1),"")</f>
        <v/>
      </c>
      <c r="AX52" s="53">
        <f>IF(AX$1&gt;=$A52,INDEX(Monthly!$B$2:$B$61,$A52)*INDEX('Age profile'!$B$2:$B$61,AX$1-$A52+1),"")</f>
        <v/>
      </c>
      <c r="AY52" s="53">
        <f>IF(AY$1&gt;=$A52,INDEX(Monthly!$B$2:$B$61,$A52)*INDEX('Age profile'!$B$2:$B$61,AY$1-$A52+1),"")</f>
        <v/>
      </c>
      <c r="AZ52" s="53">
        <f>IF(AZ$1&gt;=$A52,INDEX(Monthly!$B$2:$B$61,$A52)*INDEX('Age profile'!$B$2:$B$61,AZ$1-$A52+1),"")</f>
        <v/>
      </c>
      <c r="BA52" s="53">
        <f>IF(BA$1&gt;=$A52,INDEX(Monthly!$B$2:$B$61,$A52)*INDEX('Age profile'!$B$2:$B$61,BA$1-$A52+1),"")</f>
        <v/>
      </c>
      <c r="BB52" s="53">
        <f>IF(BB$1&gt;=$A52,INDEX(Monthly!$B$2:$B$61,$A52)*INDEX('Age profile'!$B$2:$B$61,BB$1-$A52+1),"")</f>
        <v/>
      </c>
      <c r="BC52" s="53">
        <f>IF(BC$1&gt;=$A52,INDEX(Monthly!$B$2:$B$61,$A52)*INDEX('Age profile'!$B$2:$B$61,BC$1-$A52+1),"")</f>
        <v/>
      </c>
      <c r="BD52" s="53">
        <f>IF(BD$1&gt;=$A52,INDEX(Monthly!$B$2:$B$61,$A52)*INDEX('Age profile'!$B$2:$B$61,BD$1-$A52+1),"")</f>
        <v/>
      </c>
      <c r="BE52" s="53">
        <f>IF(BE$1&gt;=$A52,INDEX(Monthly!$B$2:$B$61,$A52)*INDEX('Age profile'!$B$2:$B$61,BE$1-$A52+1),"")</f>
        <v/>
      </c>
      <c r="BF52" s="53">
        <f>IF(BF$1&gt;=$A52,INDEX(Monthly!$B$2:$B$61,$A52)*INDEX('Age profile'!$B$2:$B$61,BF$1-$A52+1),"")</f>
        <v/>
      </c>
      <c r="BG52" s="53">
        <f>IF(BG$1&gt;=$A52,INDEX(Monthly!$B$2:$B$61,$A52)*INDEX('Age profile'!$B$2:$B$61,BG$1-$A52+1),"")</f>
        <v/>
      </c>
      <c r="BH52" s="53">
        <f>IF(BH$1&gt;=$A52,INDEX(Monthly!$B$2:$B$61,$A52)*INDEX('Age profile'!$B$2:$B$61,BH$1-$A52+1),"")</f>
        <v/>
      </c>
      <c r="BI52" s="53">
        <f>IF(BI$1&gt;=$A52,INDEX(Monthly!$B$2:$B$61,$A52)*INDEX('Age profile'!$B$2:$B$61,BI$1-$A52+1),"")</f>
        <v/>
      </c>
    </row>
    <row r="53">
      <c r="A53" s="3" t="n">
        <v>52</v>
      </c>
      <c r="B53" s="53">
        <f>IF(B$1&gt;=$A53,INDEX(Monthly!$B$2:$B$61,$A53)*INDEX('Age profile'!$B$2:$B$61,B$1-$A53+1),"")</f>
        <v/>
      </c>
      <c r="C53" s="53">
        <f>IF(C$1&gt;=$A53,INDEX(Monthly!$B$2:$B$61,$A53)*INDEX('Age profile'!$B$2:$B$61,C$1-$A53+1),"")</f>
        <v/>
      </c>
      <c r="D53" s="53">
        <f>IF(D$1&gt;=$A53,INDEX(Monthly!$B$2:$B$61,$A53)*INDEX('Age profile'!$B$2:$B$61,D$1-$A53+1),"")</f>
        <v/>
      </c>
      <c r="E53" s="53">
        <f>IF(E$1&gt;=$A53,INDEX(Monthly!$B$2:$B$61,$A53)*INDEX('Age profile'!$B$2:$B$61,E$1-$A53+1),"")</f>
        <v/>
      </c>
      <c r="F53" s="53">
        <f>IF(F$1&gt;=$A53,INDEX(Monthly!$B$2:$B$61,$A53)*INDEX('Age profile'!$B$2:$B$61,F$1-$A53+1),"")</f>
        <v/>
      </c>
      <c r="G53" s="53">
        <f>IF(G$1&gt;=$A53,INDEX(Monthly!$B$2:$B$61,$A53)*INDEX('Age profile'!$B$2:$B$61,G$1-$A53+1),"")</f>
        <v/>
      </c>
      <c r="H53" s="53">
        <f>IF(H$1&gt;=$A53,INDEX(Monthly!$B$2:$B$61,$A53)*INDEX('Age profile'!$B$2:$B$61,H$1-$A53+1),"")</f>
        <v/>
      </c>
      <c r="I53" s="53">
        <f>IF(I$1&gt;=$A53,INDEX(Monthly!$B$2:$B$61,$A53)*INDEX('Age profile'!$B$2:$B$61,I$1-$A53+1),"")</f>
        <v/>
      </c>
      <c r="J53" s="53">
        <f>IF(J$1&gt;=$A53,INDEX(Monthly!$B$2:$B$61,$A53)*INDEX('Age profile'!$B$2:$B$61,J$1-$A53+1),"")</f>
        <v/>
      </c>
      <c r="K53" s="53">
        <f>IF(K$1&gt;=$A53,INDEX(Monthly!$B$2:$B$61,$A53)*INDEX('Age profile'!$B$2:$B$61,K$1-$A53+1),"")</f>
        <v/>
      </c>
      <c r="L53" s="53">
        <f>IF(L$1&gt;=$A53,INDEX(Monthly!$B$2:$B$61,$A53)*INDEX('Age profile'!$B$2:$B$61,L$1-$A53+1),"")</f>
        <v/>
      </c>
      <c r="M53" s="53">
        <f>IF(M$1&gt;=$A53,INDEX(Monthly!$B$2:$B$61,$A53)*INDEX('Age profile'!$B$2:$B$61,M$1-$A53+1),"")</f>
        <v/>
      </c>
      <c r="N53" s="53">
        <f>IF(N$1&gt;=$A53,INDEX(Monthly!$B$2:$B$61,$A53)*INDEX('Age profile'!$B$2:$B$61,N$1-$A53+1),"")</f>
        <v/>
      </c>
      <c r="O53" s="53">
        <f>IF(O$1&gt;=$A53,INDEX(Monthly!$B$2:$B$61,$A53)*INDEX('Age profile'!$B$2:$B$61,O$1-$A53+1),"")</f>
        <v/>
      </c>
      <c r="P53" s="53">
        <f>IF(P$1&gt;=$A53,INDEX(Monthly!$B$2:$B$61,$A53)*INDEX('Age profile'!$B$2:$B$61,P$1-$A53+1),"")</f>
        <v/>
      </c>
      <c r="Q53" s="53">
        <f>IF(Q$1&gt;=$A53,INDEX(Monthly!$B$2:$B$61,$A53)*INDEX('Age profile'!$B$2:$B$61,Q$1-$A53+1),"")</f>
        <v/>
      </c>
      <c r="R53" s="53">
        <f>IF(R$1&gt;=$A53,INDEX(Monthly!$B$2:$B$61,$A53)*INDEX('Age profile'!$B$2:$B$61,R$1-$A53+1),"")</f>
        <v/>
      </c>
      <c r="S53" s="53">
        <f>IF(S$1&gt;=$A53,INDEX(Monthly!$B$2:$B$61,$A53)*INDEX('Age profile'!$B$2:$B$61,S$1-$A53+1),"")</f>
        <v/>
      </c>
      <c r="T53" s="53">
        <f>IF(T$1&gt;=$A53,INDEX(Monthly!$B$2:$B$61,$A53)*INDEX('Age profile'!$B$2:$B$61,T$1-$A53+1),"")</f>
        <v/>
      </c>
      <c r="U53" s="53">
        <f>IF(U$1&gt;=$A53,INDEX(Monthly!$B$2:$B$61,$A53)*INDEX('Age profile'!$B$2:$B$61,U$1-$A53+1),"")</f>
        <v/>
      </c>
      <c r="V53" s="53">
        <f>IF(V$1&gt;=$A53,INDEX(Monthly!$B$2:$B$61,$A53)*INDEX('Age profile'!$B$2:$B$61,V$1-$A53+1),"")</f>
        <v/>
      </c>
      <c r="W53" s="53">
        <f>IF(W$1&gt;=$A53,INDEX(Monthly!$B$2:$B$61,$A53)*INDEX('Age profile'!$B$2:$B$61,W$1-$A53+1),"")</f>
        <v/>
      </c>
      <c r="X53" s="53">
        <f>IF(X$1&gt;=$A53,INDEX(Monthly!$B$2:$B$61,$A53)*INDEX('Age profile'!$B$2:$B$61,X$1-$A53+1),"")</f>
        <v/>
      </c>
      <c r="Y53" s="53">
        <f>IF(Y$1&gt;=$A53,INDEX(Monthly!$B$2:$B$61,$A53)*INDEX('Age profile'!$B$2:$B$61,Y$1-$A53+1),"")</f>
        <v/>
      </c>
      <c r="Z53" s="53">
        <f>IF(Z$1&gt;=$A53,INDEX(Monthly!$B$2:$B$61,$A53)*INDEX('Age profile'!$B$2:$B$61,Z$1-$A53+1),"")</f>
        <v/>
      </c>
      <c r="AA53" s="53">
        <f>IF(AA$1&gt;=$A53,INDEX(Monthly!$B$2:$B$61,$A53)*INDEX('Age profile'!$B$2:$B$61,AA$1-$A53+1),"")</f>
        <v/>
      </c>
      <c r="AB53" s="53">
        <f>IF(AB$1&gt;=$A53,INDEX(Monthly!$B$2:$B$61,$A53)*INDEX('Age profile'!$B$2:$B$61,AB$1-$A53+1),"")</f>
        <v/>
      </c>
      <c r="AC53" s="53">
        <f>IF(AC$1&gt;=$A53,INDEX(Monthly!$B$2:$B$61,$A53)*INDEX('Age profile'!$B$2:$B$61,AC$1-$A53+1),"")</f>
        <v/>
      </c>
      <c r="AD53" s="53">
        <f>IF(AD$1&gt;=$A53,INDEX(Monthly!$B$2:$B$61,$A53)*INDEX('Age profile'!$B$2:$B$61,AD$1-$A53+1),"")</f>
        <v/>
      </c>
      <c r="AE53" s="53">
        <f>IF(AE$1&gt;=$A53,INDEX(Monthly!$B$2:$B$61,$A53)*INDEX('Age profile'!$B$2:$B$61,AE$1-$A53+1),"")</f>
        <v/>
      </c>
      <c r="AF53" s="53">
        <f>IF(AF$1&gt;=$A53,INDEX(Monthly!$B$2:$B$61,$A53)*INDEX('Age profile'!$B$2:$B$61,AF$1-$A53+1),"")</f>
        <v/>
      </c>
      <c r="AG53" s="53">
        <f>IF(AG$1&gt;=$A53,INDEX(Monthly!$B$2:$B$61,$A53)*INDEX('Age profile'!$B$2:$B$61,AG$1-$A53+1),"")</f>
        <v/>
      </c>
      <c r="AH53" s="53">
        <f>IF(AH$1&gt;=$A53,INDEX(Monthly!$B$2:$B$61,$A53)*INDEX('Age profile'!$B$2:$B$61,AH$1-$A53+1),"")</f>
        <v/>
      </c>
      <c r="AI53" s="53">
        <f>IF(AI$1&gt;=$A53,INDEX(Monthly!$B$2:$B$61,$A53)*INDEX('Age profile'!$B$2:$B$61,AI$1-$A53+1),"")</f>
        <v/>
      </c>
      <c r="AJ53" s="53">
        <f>IF(AJ$1&gt;=$A53,INDEX(Monthly!$B$2:$B$61,$A53)*INDEX('Age profile'!$B$2:$B$61,AJ$1-$A53+1),"")</f>
        <v/>
      </c>
      <c r="AK53" s="53">
        <f>IF(AK$1&gt;=$A53,INDEX(Monthly!$B$2:$B$61,$A53)*INDEX('Age profile'!$B$2:$B$61,AK$1-$A53+1),"")</f>
        <v/>
      </c>
      <c r="AL53" s="53">
        <f>IF(AL$1&gt;=$A53,INDEX(Monthly!$B$2:$B$61,$A53)*INDEX('Age profile'!$B$2:$B$61,AL$1-$A53+1),"")</f>
        <v/>
      </c>
      <c r="AM53" s="53">
        <f>IF(AM$1&gt;=$A53,INDEX(Monthly!$B$2:$B$61,$A53)*INDEX('Age profile'!$B$2:$B$61,AM$1-$A53+1),"")</f>
        <v/>
      </c>
      <c r="AN53" s="53">
        <f>IF(AN$1&gt;=$A53,INDEX(Monthly!$B$2:$B$61,$A53)*INDEX('Age profile'!$B$2:$B$61,AN$1-$A53+1),"")</f>
        <v/>
      </c>
      <c r="AO53" s="53">
        <f>IF(AO$1&gt;=$A53,INDEX(Monthly!$B$2:$B$61,$A53)*INDEX('Age profile'!$B$2:$B$61,AO$1-$A53+1),"")</f>
        <v/>
      </c>
      <c r="AP53" s="53">
        <f>IF(AP$1&gt;=$A53,INDEX(Monthly!$B$2:$B$61,$A53)*INDEX('Age profile'!$B$2:$B$61,AP$1-$A53+1),"")</f>
        <v/>
      </c>
      <c r="AQ53" s="53">
        <f>IF(AQ$1&gt;=$A53,INDEX(Monthly!$B$2:$B$61,$A53)*INDEX('Age profile'!$B$2:$B$61,AQ$1-$A53+1),"")</f>
        <v/>
      </c>
      <c r="AR53" s="53">
        <f>IF(AR$1&gt;=$A53,INDEX(Monthly!$B$2:$B$61,$A53)*INDEX('Age profile'!$B$2:$B$61,AR$1-$A53+1),"")</f>
        <v/>
      </c>
      <c r="AS53" s="53">
        <f>IF(AS$1&gt;=$A53,INDEX(Monthly!$B$2:$B$61,$A53)*INDEX('Age profile'!$B$2:$B$61,AS$1-$A53+1),"")</f>
        <v/>
      </c>
      <c r="AT53" s="53">
        <f>IF(AT$1&gt;=$A53,INDEX(Monthly!$B$2:$B$61,$A53)*INDEX('Age profile'!$B$2:$B$61,AT$1-$A53+1),"")</f>
        <v/>
      </c>
      <c r="AU53" s="53">
        <f>IF(AU$1&gt;=$A53,INDEX(Monthly!$B$2:$B$61,$A53)*INDEX('Age profile'!$B$2:$B$61,AU$1-$A53+1),"")</f>
        <v/>
      </c>
      <c r="AV53" s="53">
        <f>IF(AV$1&gt;=$A53,INDEX(Monthly!$B$2:$B$61,$A53)*INDEX('Age profile'!$B$2:$B$61,AV$1-$A53+1),"")</f>
        <v/>
      </c>
      <c r="AW53" s="53">
        <f>IF(AW$1&gt;=$A53,INDEX(Monthly!$B$2:$B$61,$A53)*INDEX('Age profile'!$B$2:$B$61,AW$1-$A53+1),"")</f>
        <v/>
      </c>
      <c r="AX53" s="53">
        <f>IF(AX$1&gt;=$A53,INDEX(Monthly!$B$2:$B$61,$A53)*INDEX('Age profile'!$B$2:$B$61,AX$1-$A53+1),"")</f>
        <v/>
      </c>
      <c r="AY53" s="53">
        <f>IF(AY$1&gt;=$A53,INDEX(Monthly!$B$2:$B$61,$A53)*INDEX('Age profile'!$B$2:$B$61,AY$1-$A53+1),"")</f>
        <v/>
      </c>
      <c r="AZ53" s="53">
        <f>IF(AZ$1&gt;=$A53,INDEX(Monthly!$B$2:$B$61,$A53)*INDEX('Age profile'!$B$2:$B$61,AZ$1-$A53+1),"")</f>
        <v/>
      </c>
      <c r="BA53" s="53">
        <f>IF(BA$1&gt;=$A53,INDEX(Monthly!$B$2:$B$61,$A53)*INDEX('Age profile'!$B$2:$B$61,BA$1-$A53+1),"")</f>
        <v/>
      </c>
      <c r="BB53" s="53">
        <f>IF(BB$1&gt;=$A53,INDEX(Monthly!$B$2:$B$61,$A53)*INDEX('Age profile'!$B$2:$B$61,BB$1-$A53+1),"")</f>
        <v/>
      </c>
      <c r="BC53" s="53">
        <f>IF(BC$1&gt;=$A53,INDEX(Monthly!$B$2:$B$61,$A53)*INDEX('Age profile'!$B$2:$B$61,BC$1-$A53+1),"")</f>
        <v/>
      </c>
      <c r="BD53" s="53">
        <f>IF(BD$1&gt;=$A53,INDEX(Monthly!$B$2:$B$61,$A53)*INDEX('Age profile'!$B$2:$B$61,BD$1-$A53+1),"")</f>
        <v/>
      </c>
      <c r="BE53" s="53">
        <f>IF(BE$1&gt;=$A53,INDEX(Monthly!$B$2:$B$61,$A53)*INDEX('Age profile'!$B$2:$B$61,BE$1-$A53+1),"")</f>
        <v/>
      </c>
      <c r="BF53" s="53">
        <f>IF(BF$1&gt;=$A53,INDEX(Monthly!$B$2:$B$61,$A53)*INDEX('Age profile'!$B$2:$B$61,BF$1-$A53+1),"")</f>
        <v/>
      </c>
      <c r="BG53" s="53">
        <f>IF(BG$1&gt;=$A53,INDEX(Monthly!$B$2:$B$61,$A53)*INDEX('Age profile'!$B$2:$B$61,BG$1-$A53+1),"")</f>
        <v/>
      </c>
      <c r="BH53" s="53">
        <f>IF(BH$1&gt;=$A53,INDEX(Monthly!$B$2:$B$61,$A53)*INDEX('Age profile'!$B$2:$B$61,BH$1-$A53+1),"")</f>
        <v/>
      </c>
      <c r="BI53" s="53">
        <f>IF(BI$1&gt;=$A53,INDEX(Monthly!$B$2:$B$61,$A53)*INDEX('Age profile'!$B$2:$B$61,BI$1-$A53+1),"")</f>
        <v/>
      </c>
    </row>
    <row r="54">
      <c r="A54" s="3" t="n">
        <v>53</v>
      </c>
      <c r="B54" s="53">
        <f>IF(B$1&gt;=$A54,INDEX(Monthly!$B$2:$B$61,$A54)*INDEX('Age profile'!$B$2:$B$61,B$1-$A54+1),"")</f>
        <v/>
      </c>
      <c r="C54" s="53">
        <f>IF(C$1&gt;=$A54,INDEX(Monthly!$B$2:$B$61,$A54)*INDEX('Age profile'!$B$2:$B$61,C$1-$A54+1),"")</f>
        <v/>
      </c>
      <c r="D54" s="53">
        <f>IF(D$1&gt;=$A54,INDEX(Monthly!$B$2:$B$61,$A54)*INDEX('Age profile'!$B$2:$B$61,D$1-$A54+1),"")</f>
        <v/>
      </c>
      <c r="E54" s="53">
        <f>IF(E$1&gt;=$A54,INDEX(Monthly!$B$2:$B$61,$A54)*INDEX('Age profile'!$B$2:$B$61,E$1-$A54+1),"")</f>
        <v/>
      </c>
      <c r="F54" s="53">
        <f>IF(F$1&gt;=$A54,INDEX(Monthly!$B$2:$B$61,$A54)*INDEX('Age profile'!$B$2:$B$61,F$1-$A54+1),"")</f>
        <v/>
      </c>
      <c r="G54" s="53">
        <f>IF(G$1&gt;=$A54,INDEX(Monthly!$B$2:$B$61,$A54)*INDEX('Age profile'!$B$2:$B$61,G$1-$A54+1),"")</f>
        <v/>
      </c>
      <c r="H54" s="53">
        <f>IF(H$1&gt;=$A54,INDEX(Monthly!$B$2:$B$61,$A54)*INDEX('Age profile'!$B$2:$B$61,H$1-$A54+1),"")</f>
        <v/>
      </c>
      <c r="I54" s="53">
        <f>IF(I$1&gt;=$A54,INDEX(Monthly!$B$2:$B$61,$A54)*INDEX('Age profile'!$B$2:$B$61,I$1-$A54+1),"")</f>
        <v/>
      </c>
      <c r="J54" s="53">
        <f>IF(J$1&gt;=$A54,INDEX(Monthly!$B$2:$B$61,$A54)*INDEX('Age profile'!$B$2:$B$61,J$1-$A54+1),"")</f>
        <v/>
      </c>
      <c r="K54" s="53">
        <f>IF(K$1&gt;=$A54,INDEX(Monthly!$B$2:$B$61,$A54)*INDEX('Age profile'!$B$2:$B$61,K$1-$A54+1),"")</f>
        <v/>
      </c>
      <c r="L54" s="53">
        <f>IF(L$1&gt;=$A54,INDEX(Monthly!$B$2:$B$61,$A54)*INDEX('Age profile'!$B$2:$B$61,L$1-$A54+1),"")</f>
        <v/>
      </c>
      <c r="M54" s="53">
        <f>IF(M$1&gt;=$A54,INDEX(Monthly!$B$2:$B$61,$A54)*INDEX('Age profile'!$B$2:$B$61,M$1-$A54+1),"")</f>
        <v/>
      </c>
      <c r="N54" s="53">
        <f>IF(N$1&gt;=$A54,INDEX(Monthly!$B$2:$B$61,$A54)*INDEX('Age profile'!$B$2:$B$61,N$1-$A54+1),"")</f>
        <v/>
      </c>
      <c r="O54" s="53">
        <f>IF(O$1&gt;=$A54,INDEX(Monthly!$B$2:$B$61,$A54)*INDEX('Age profile'!$B$2:$B$61,O$1-$A54+1),"")</f>
        <v/>
      </c>
      <c r="P54" s="53">
        <f>IF(P$1&gt;=$A54,INDEX(Monthly!$B$2:$B$61,$A54)*INDEX('Age profile'!$B$2:$B$61,P$1-$A54+1),"")</f>
        <v/>
      </c>
      <c r="Q54" s="53">
        <f>IF(Q$1&gt;=$A54,INDEX(Monthly!$B$2:$B$61,$A54)*INDEX('Age profile'!$B$2:$B$61,Q$1-$A54+1),"")</f>
        <v/>
      </c>
      <c r="R54" s="53">
        <f>IF(R$1&gt;=$A54,INDEX(Monthly!$B$2:$B$61,$A54)*INDEX('Age profile'!$B$2:$B$61,R$1-$A54+1),"")</f>
        <v/>
      </c>
      <c r="S54" s="53">
        <f>IF(S$1&gt;=$A54,INDEX(Monthly!$B$2:$B$61,$A54)*INDEX('Age profile'!$B$2:$B$61,S$1-$A54+1),"")</f>
        <v/>
      </c>
      <c r="T54" s="53">
        <f>IF(T$1&gt;=$A54,INDEX(Monthly!$B$2:$B$61,$A54)*INDEX('Age profile'!$B$2:$B$61,T$1-$A54+1),"")</f>
        <v/>
      </c>
      <c r="U54" s="53">
        <f>IF(U$1&gt;=$A54,INDEX(Monthly!$B$2:$B$61,$A54)*INDEX('Age profile'!$B$2:$B$61,U$1-$A54+1),"")</f>
        <v/>
      </c>
      <c r="V54" s="53">
        <f>IF(V$1&gt;=$A54,INDEX(Monthly!$B$2:$B$61,$A54)*INDEX('Age profile'!$B$2:$B$61,V$1-$A54+1),"")</f>
        <v/>
      </c>
      <c r="W54" s="53">
        <f>IF(W$1&gt;=$A54,INDEX(Monthly!$B$2:$B$61,$A54)*INDEX('Age profile'!$B$2:$B$61,W$1-$A54+1),"")</f>
        <v/>
      </c>
      <c r="X54" s="53">
        <f>IF(X$1&gt;=$A54,INDEX(Monthly!$B$2:$B$61,$A54)*INDEX('Age profile'!$B$2:$B$61,X$1-$A54+1),"")</f>
        <v/>
      </c>
      <c r="Y54" s="53">
        <f>IF(Y$1&gt;=$A54,INDEX(Monthly!$B$2:$B$61,$A54)*INDEX('Age profile'!$B$2:$B$61,Y$1-$A54+1),"")</f>
        <v/>
      </c>
      <c r="Z54" s="53">
        <f>IF(Z$1&gt;=$A54,INDEX(Monthly!$B$2:$B$61,$A54)*INDEX('Age profile'!$B$2:$B$61,Z$1-$A54+1),"")</f>
        <v/>
      </c>
      <c r="AA54" s="53">
        <f>IF(AA$1&gt;=$A54,INDEX(Monthly!$B$2:$B$61,$A54)*INDEX('Age profile'!$B$2:$B$61,AA$1-$A54+1),"")</f>
        <v/>
      </c>
      <c r="AB54" s="53">
        <f>IF(AB$1&gt;=$A54,INDEX(Monthly!$B$2:$B$61,$A54)*INDEX('Age profile'!$B$2:$B$61,AB$1-$A54+1),"")</f>
        <v/>
      </c>
      <c r="AC54" s="53">
        <f>IF(AC$1&gt;=$A54,INDEX(Monthly!$B$2:$B$61,$A54)*INDEX('Age profile'!$B$2:$B$61,AC$1-$A54+1),"")</f>
        <v/>
      </c>
      <c r="AD54" s="53">
        <f>IF(AD$1&gt;=$A54,INDEX(Monthly!$B$2:$B$61,$A54)*INDEX('Age profile'!$B$2:$B$61,AD$1-$A54+1),"")</f>
        <v/>
      </c>
      <c r="AE54" s="53">
        <f>IF(AE$1&gt;=$A54,INDEX(Monthly!$B$2:$B$61,$A54)*INDEX('Age profile'!$B$2:$B$61,AE$1-$A54+1),"")</f>
        <v/>
      </c>
      <c r="AF54" s="53">
        <f>IF(AF$1&gt;=$A54,INDEX(Monthly!$B$2:$B$61,$A54)*INDEX('Age profile'!$B$2:$B$61,AF$1-$A54+1),"")</f>
        <v/>
      </c>
      <c r="AG54" s="53">
        <f>IF(AG$1&gt;=$A54,INDEX(Monthly!$B$2:$B$61,$A54)*INDEX('Age profile'!$B$2:$B$61,AG$1-$A54+1),"")</f>
        <v/>
      </c>
      <c r="AH54" s="53">
        <f>IF(AH$1&gt;=$A54,INDEX(Monthly!$B$2:$B$61,$A54)*INDEX('Age profile'!$B$2:$B$61,AH$1-$A54+1),"")</f>
        <v/>
      </c>
      <c r="AI54" s="53">
        <f>IF(AI$1&gt;=$A54,INDEX(Monthly!$B$2:$B$61,$A54)*INDEX('Age profile'!$B$2:$B$61,AI$1-$A54+1),"")</f>
        <v/>
      </c>
      <c r="AJ54" s="53">
        <f>IF(AJ$1&gt;=$A54,INDEX(Monthly!$B$2:$B$61,$A54)*INDEX('Age profile'!$B$2:$B$61,AJ$1-$A54+1),"")</f>
        <v/>
      </c>
      <c r="AK54" s="53">
        <f>IF(AK$1&gt;=$A54,INDEX(Monthly!$B$2:$B$61,$A54)*INDEX('Age profile'!$B$2:$B$61,AK$1-$A54+1),"")</f>
        <v/>
      </c>
      <c r="AL54" s="53">
        <f>IF(AL$1&gt;=$A54,INDEX(Monthly!$B$2:$B$61,$A54)*INDEX('Age profile'!$B$2:$B$61,AL$1-$A54+1),"")</f>
        <v/>
      </c>
      <c r="AM54" s="53">
        <f>IF(AM$1&gt;=$A54,INDEX(Monthly!$B$2:$B$61,$A54)*INDEX('Age profile'!$B$2:$B$61,AM$1-$A54+1),"")</f>
        <v/>
      </c>
      <c r="AN54" s="53">
        <f>IF(AN$1&gt;=$A54,INDEX(Monthly!$B$2:$B$61,$A54)*INDEX('Age profile'!$B$2:$B$61,AN$1-$A54+1),"")</f>
        <v/>
      </c>
      <c r="AO54" s="53">
        <f>IF(AO$1&gt;=$A54,INDEX(Monthly!$B$2:$B$61,$A54)*INDEX('Age profile'!$B$2:$B$61,AO$1-$A54+1),"")</f>
        <v/>
      </c>
      <c r="AP54" s="53">
        <f>IF(AP$1&gt;=$A54,INDEX(Monthly!$B$2:$B$61,$A54)*INDEX('Age profile'!$B$2:$B$61,AP$1-$A54+1),"")</f>
        <v/>
      </c>
      <c r="AQ54" s="53">
        <f>IF(AQ$1&gt;=$A54,INDEX(Monthly!$B$2:$B$61,$A54)*INDEX('Age profile'!$B$2:$B$61,AQ$1-$A54+1),"")</f>
        <v/>
      </c>
      <c r="AR54" s="53">
        <f>IF(AR$1&gt;=$A54,INDEX(Monthly!$B$2:$B$61,$A54)*INDEX('Age profile'!$B$2:$B$61,AR$1-$A54+1),"")</f>
        <v/>
      </c>
      <c r="AS54" s="53">
        <f>IF(AS$1&gt;=$A54,INDEX(Monthly!$B$2:$B$61,$A54)*INDEX('Age profile'!$B$2:$B$61,AS$1-$A54+1),"")</f>
        <v/>
      </c>
      <c r="AT54" s="53">
        <f>IF(AT$1&gt;=$A54,INDEX(Monthly!$B$2:$B$61,$A54)*INDEX('Age profile'!$B$2:$B$61,AT$1-$A54+1),"")</f>
        <v/>
      </c>
      <c r="AU54" s="53">
        <f>IF(AU$1&gt;=$A54,INDEX(Monthly!$B$2:$B$61,$A54)*INDEX('Age profile'!$B$2:$B$61,AU$1-$A54+1),"")</f>
        <v/>
      </c>
      <c r="AV54" s="53">
        <f>IF(AV$1&gt;=$A54,INDEX(Monthly!$B$2:$B$61,$A54)*INDEX('Age profile'!$B$2:$B$61,AV$1-$A54+1),"")</f>
        <v/>
      </c>
      <c r="AW54" s="53">
        <f>IF(AW$1&gt;=$A54,INDEX(Monthly!$B$2:$B$61,$A54)*INDEX('Age profile'!$B$2:$B$61,AW$1-$A54+1),"")</f>
        <v/>
      </c>
      <c r="AX54" s="53">
        <f>IF(AX$1&gt;=$A54,INDEX(Monthly!$B$2:$B$61,$A54)*INDEX('Age profile'!$B$2:$B$61,AX$1-$A54+1),"")</f>
        <v/>
      </c>
      <c r="AY54" s="53">
        <f>IF(AY$1&gt;=$A54,INDEX(Monthly!$B$2:$B$61,$A54)*INDEX('Age profile'!$B$2:$B$61,AY$1-$A54+1),"")</f>
        <v/>
      </c>
      <c r="AZ54" s="53">
        <f>IF(AZ$1&gt;=$A54,INDEX(Monthly!$B$2:$B$61,$A54)*INDEX('Age profile'!$B$2:$B$61,AZ$1-$A54+1),"")</f>
        <v/>
      </c>
      <c r="BA54" s="53">
        <f>IF(BA$1&gt;=$A54,INDEX(Monthly!$B$2:$B$61,$A54)*INDEX('Age profile'!$B$2:$B$61,BA$1-$A54+1),"")</f>
        <v/>
      </c>
      <c r="BB54" s="53">
        <f>IF(BB$1&gt;=$A54,INDEX(Monthly!$B$2:$B$61,$A54)*INDEX('Age profile'!$B$2:$B$61,BB$1-$A54+1),"")</f>
        <v/>
      </c>
      <c r="BC54" s="53">
        <f>IF(BC$1&gt;=$A54,INDEX(Monthly!$B$2:$B$61,$A54)*INDEX('Age profile'!$B$2:$B$61,BC$1-$A54+1),"")</f>
        <v/>
      </c>
      <c r="BD54" s="53">
        <f>IF(BD$1&gt;=$A54,INDEX(Monthly!$B$2:$B$61,$A54)*INDEX('Age profile'!$B$2:$B$61,BD$1-$A54+1),"")</f>
        <v/>
      </c>
      <c r="BE54" s="53">
        <f>IF(BE$1&gt;=$A54,INDEX(Monthly!$B$2:$B$61,$A54)*INDEX('Age profile'!$B$2:$B$61,BE$1-$A54+1),"")</f>
        <v/>
      </c>
      <c r="BF54" s="53">
        <f>IF(BF$1&gt;=$A54,INDEX(Monthly!$B$2:$B$61,$A54)*INDEX('Age profile'!$B$2:$B$61,BF$1-$A54+1),"")</f>
        <v/>
      </c>
      <c r="BG54" s="53">
        <f>IF(BG$1&gt;=$A54,INDEX(Monthly!$B$2:$B$61,$A54)*INDEX('Age profile'!$B$2:$B$61,BG$1-$A54+1),"")</f>
        <v/>
      </c>
      <c r="BH54" s="53">
        <f>IF(BH$1&gt;=$A54,INDEX(Monthly!$B$2:$B$61,$A54)*INDEX('Age profile'!$B$2:$B$61,BH$1-$A54+1),"")</f>
        <v/>
      </c>
      <c r="BI54" s="53">
        <f>IF(BI$1&gt;=$A54,INDEX(Monthly!$B$2:$B$61,$A54)*INDEX('Age profile'!$B$2:$B$61,BI$1-$A54+1),"")</f>
        <v/>
      </c>
    </row>
    <row r="55">
      <c r="A55" s="3" t="n">
        <v>54</v>
      </c>
      <c r="B55" s="53">
        <f>IF(B$1&gt;=$A55,INDEX(Monthly!$B$2:$B$61,$A55)*INDEX('Age profile'!$B$2:$B$61,B$1-$A55+1),"")</f>
        <v/>
      </c>
      <c r="C55" s="53">
        <f>IF(C$1&gt;=$A55,INDEX(Monthly!$B$2:$B$61,$A55)*INDEX('Age profile'!$B$2:$B$61,C$1-$A55+1),"")</f>
        <v/>
      </c>
      <c r="D55" s="53">
        <f>IF(D$1&gt;=$A55,INDEX(Monthly!$B$2:$B$61,$A55)*INDEX('Age profile'!$B$2:$B$61,D$1-$A55+1),"")</f>
        <v/>
      </c>
      <c r="E55" s="53">
        <f>IF(E$1&gt;=$A55,INDEX(Monthly!$B$2:$B$61,$A55)*INDEX('Age profile'!$B$2:$B$61,E$1-$A55+1),"")</f>
        <v/>
      </c>
      <c r="F55" s="53">
        <f>IF(F$1&gt;=$A55,INDEX(Monthly!$B$2:$B$61,$A55)*INDEX('Age profile'!$B$2:$B$61,F$1-$A55+1),"")</f>
        <v/>
      </c>
      <c r="G55" s="53">
        <f>IF(G$1&gt;=$A55,INDEX(Monthly!$B$2:$B$61,$A55)*INDEX('Age profile'!$B$2:$B$61,G$1-$A55+1),"")</f>
        <v/>
      </c>
      <c r="H55" s="53">
        <f>IF(H$1&gt;=$A55,INDEX(Monthly!$B$2:$B$61,$A55)*INDEX('Age profile'!$B$2:$B$61,H$1-$A55+1),"")</f>
        <v/>
      </c>
      <c r="I55" s="53">
        <f>IF(I$1&gt;=$A55,INDEX(Monthly!$B$2:$B$61,$A55)*INDEX('Age profile'!$B$2:$B$61,I$1-$A55+1),"")</f>
        <v/>
      </c>
      <c r="J55" s="53">
        <f>IF(J$1&gt;=$A55,INDEX(Monthly!$B$2:$B$61,$A55)*INDEX('Age profile'!$B$2:$B$61,J$1-$A55+1),"")</f>
        <v/>
      </c>
      <c r="K55" s="53">
        <f>IF(K$1&gt;=$A55,INDEX(Monthly!$B$2:$B$61,$A55)*INDEX('Age profile'!$B$2:$B$61,K$1-$A55+1),"")</f>
        <v/>
      </c>
      <c r="L55" s="53">
        <f>IF(L$1&gt;=$A55,INDEX(Monthly!$B$2:$B$61,$A55)*INDEX('Age profile'!$B$2:$B$61,L$1-$A55+1),"")</f>
        <v/>
      </c>
      <c r="M55" s="53">
        <f>IF(M$1&gt;=$A55,INDEX(Monthly!$B$2:$B$61,$A55)*INDEX('Age profile'!$B$2:$B$61,M$1-$A55+1),"")</f>
        <v/>
      </c>
      <c r="N55" s="53">
        <f>IF(N$1&gt;=$A55,INDEX(Monthly!$B$2:$B$61,$A55)*INDEX('Age profile'!$B$2:$B$61,N$1-$A55+1),"")</f>
        <v/>
      </c>
      <c r="O55" s="53">
        <f>IF(O$1&gt;=$A55,INDEX(Monthly!$B$2:$B$61,$A55)*INDEX('Age profile'!$B$2:$B$61,O$1-$A55+1),"")</f>
        <v/>
      </c>
      <c r="P55" s="53">
        <f>IF(P$1&gt;=$A55,INDEX(Monthly!$B$2:$B$61,$A55)*INDEX('Age profile'!$B$2:$B$61,P$1-$A55+1),"")</f>
        <v/>
      </c>
      <c r="Q55" s="53">
        <f>IF(Q$1&gt;=$A55,INDEX(Monthly!$B$2:$B$61,$A55)*INDEX('Age profile'!$B$2:$B$61,Q$1-$A55+1),"")</f>
        <v/>
      </c>
      <c r="R55" s="53">
        <f>IF(R$1&gt;=$A55,INDEX(Monthly!$B$2:$B$61,$A55)*INDEX('Age profile'!$B$2:$B$61,R$1-$A55+1),"")</f>
        <v/>
      </c>
      <c r="S55" s="53">
        <f>IF(S$1&gt;=$A55,INDEX(Monthly!$B$2:$B$61,$A55)*INDEX('Age profile'!$B$2:$B$61,S$1-$A55+1),"")</f>
        <v/>
      </c>
      <c r="T55" s="53">
        <f>IF(T$1&gt;=$A55,INDEX(Monthly!$B$2:$B$61,$A55)*INDEX('Age profile'!$B$2:$B$61,T$1-$A55+1),"")</f>
        <v/>
      </c>
      <c r="U55" s="53">
        <f>IF(U$1&gt;=$A55,INDEX(Monthly!$B$2:$B$61,$A55)*INDEX('Age profile'!$B$2:$B$61,U$1-$A55+1),"")</f>
        <v/>
      </c>
      <c r="V55" s="53">
        <f>IF(V$1&gt;=$A55,INDEX(Monthly!$B$2:$B$61,$A55)*INDEX('Age profile'!$B$2:$B$61,V$1-$A55+1),"")</f>
        <v/>
      </c>
      <c r="W55" s="53">
        <f>IF(W$1&gt;=$A55,INDEX(Monthly!$B$2:$B$61,$A55)*INDEX('Age profile'!$B$2:$B$61,W$1-$A55+1),"")</f>
        <v/>
      </c>
      <c r="X55" s="53">
        <f>IF(X$1&gt;=$A55,INDEX(Monthly!$B$2:$B$61,$A55)*INDEX('Age profile'!$B$2:$B$61,X$1-$A55+1),"")</f>
        <v/>
      </c>
      <c r="Y55" s="53">
        <f>IF(Y$1&gt;=$A55,INDEX(Monthly!$B$2:$B$61,$A55)*INDEX('Age profile'!$B$2:$B$61,Y$1-$A55+1),"")</f>
        <v/>
      </c>
      <c r="Z55" s="53">
        <f>IF(Z$1&gt;=$A55,INDEX(Monthly!$B$2:$B$61,$A55)*INDEX('Age profile'!$B$2:$B$61,Z$1-$A55+1),"")</f>
        <v/>
      </c>
      <c r="AA55" s="53">
        <f>IF(AA$1&gt;=$A55,INDEX(Monthly!$B$2:$B$61,$A55)*INDEX('Age profile'!$B$2:$B$61,AA$1-$A55+1),"")</f>
        <v/>
      </c>
      <c r="AB55" s="53">
        <f>IF(AB$1&gt;=$A55,INDEX(Monthly!$B$2:$B$61,$A55)*INDEX('Age profile'!$B$2:$B$61,AB$1-$A55+1),"")</f>
        <v/>
      </c>
      <c r="AC55" s="53">
        <f>IF(AC$1&gt;=$A55,INDEX(Monthly!$B$2:$B$61,$A55)*INDEX('Age profile'!$B$2:$B$61,AC$1-$A55+1),"")</f>
        <v/>
      </c>
      <c r="AD55" s="53">
        <f>IF(AD$1&gt;=$A55,INDEX(Monthly!$B$2:$B$61,$A55)*INDEX('Age profile'!$B$2:$B$61,AD$1-$A55+1),"")</f>
        <v/>
      </c>
      <c r="AE55" s="53">
        <f>IF(AE$1&gt;=$A55,INDEX(Monthly!$B$2:$B$61,$A55)*INDEX('Age profile'!$B$2:$B$61,AE$1-$A55+1),"")</f>
        <v/>
      </c>
      <c r="AF55" s="53">
        <f>IF(AF$1&gt;=$A55,INDEX(Monthly!$B$2:$B$61,$A55)*INDEX('Age profile'!$B$2:$B$61,AF$1-$A55+1),"")</f>
        <v/>
      </c>
      <c r="AG55" s="53">
        <f>IF(AG$1&gt;=$A55,INDEX(Monthly!$B$2:$B$61,$A55)*INDEX('Age profile'!$B$2:$B$61,AG$1-$A55+1),"")</f>
        <v/>
      </c>
      <c r="AH55" s="53">
        <f>IF(AH$1&gt;=$A55,INDEX(Monthly!$B$2:$B$61,$A55)*INDEX('Age profile'!$B$2:$B$61,AH$1-$A55+1),"")</f>
        <v/>
      </c>
      <c r="AI55" s="53">
        <f>IF(AI$1&gt;=$A55,INDEX(Monthly!$B$2:$B$61,$A55)*INDEX('Age profile'!$B$2:$B$61,AI$1-$A55+1),"")</f>
        <v/>
      </c>
      <c r="AJ55" s="53">
        <f>IF(AJ$1&gt;=$A55,INDEX(Monthly!$B$2:$B$61,$A55)*INDEX('Age profile'!$B$2:$B$61,AJ$1-$A55+1),"")</f>
        <v/>
      </c>
      <c r="AK55" s="53">
        <f>IF(AK$1&gt;=$A55,INDEX(Monthly!$B$2:$B$61,$A55)*INDEX('Age profile'!$B$2:$B$61,AK$1-$A55+1),"")</f>
        <v/>
      </c>
      <c r="AL55" s="53">
        <f>IF(AL$1&gt;=$A55,INDEX(Monthly!$B$2:$B$61,$A55)*INDEX('Age profile'!$B$2:$B$61,AL$1-$A55+1),"")</f>
        <v/>
      </c>
      <c r="AM55" s="53">
        <f>IF(AM$1&gt;=$A55,INDEX(Monthly!$B$2:$B$61,$A55)*INDEX('Age profile'!$B$2:$B$61,AM$1-$A55+1),"")</f>
        <v/>
      </c>
      <c r="AN55" s="53">
        <f>IF(AN$1&gt;=$A55,INDEX(Monthly!$B$2:$B$61,$A55)*INDEX('Age profile'!$B$2:$B$61,AN$1-$A55+1),"")</f>
        <v/>
      </c>
      <c r="AO55" s="53">
        <f>IF(AO$1&gt;=$A55,INDEX(Monthly!$B$2:$B$61,$A55)*INDEX('Age profile'!$B$2:$B$61,AO$1-$A55+1),"")</f>
        <v/>
      </c>
      <c r="AP55" s="53">
        <f>IF(AP$1&gt;=$A55,INDEX(Monthly!$B$2:$B$61,$A55)*INDEX('Age profile'!$B$2:$B$61,AP$1-$A55+1),"")</f>
        <v/>
      </c>
      <c r="AQ55" s="53">
        <f>IF(AQ$1&gt;=$A55,INDEX(Monthly!$B$2:$B$61,$A55)*INDEX('Age profile'!$B$2:$B$61,AQ$1-$A55+1),"")</f>
        <v/>
      </c>
      <c r="AR55" s="53">
        <f>IF(AR$1&gt;=$A55,INDEX(Monthly!$B$2:$B$61,$A55)*INDEX('Age profile'!$B$2:$B$61,AR$1-$A55+1),"")</f>
        <v/>
      </c>
      <c r="AS55" s="53">
        <f>IF(AS$1&gt;=$A55,INDEX(Monthly!$B$2:$B$61,$A55)*INDEX('Age profile'!$B$2:$B$61,AS$1-$A55+1),"")</f>
        <v/>
      </c>
      <c r="AT55" s="53">
        <f>IF(AT$1&gt;=$A55,INDEX(Monthly!$B$2:$B$61,$A55)*INDEX('Age profile'!$B$2:$B$61,AT$1-$A55+1),"")</f>
        <v/>
      </c>
      <c r="AU55" s="53">
        <f>IF(AU$1&gt;=$A55,INDEX(Monthly!$B$2:$B$61,$A55)*INDEX('Age profile'!$B$2:$B$61,AU$1-$A55+1),"")</f>
        <v/>
      </c>
      <c r="AV55" s="53">
        <f>IF(AV$1&gt;=$A55,INDEX(Monthly!$B$2:$B$61,$A55)*INDEX('Age profile'!$B$2:$B$61,AV$1-$A55+1),"")</f>
        <v/>
      </c>
      <c r="AW55" s="53">
        <f>IF(AW$1&gt;=$A55,INDEX(Monthly!$B$2:$B$61,$A55)*INDEX('Age profile'!$B$2:$B$61,AW$1-$A55+1),"")</f>
        <v/>
      </c>
      <c r="AX55" s="53">
        <f>IF(AX$1&gt;=$A55,INDEX(Monthly!$B$2:$B$61,$A55)*INDEX('Age profile'!$B$2:$B$61,AX$1-$A55+1),"")</f>
        <v/>
      </c>
      <c r="AY55" s="53">
        <f>IF(AY$1&gt;=$A55,INDEX(Monthly!$B$2:$B$61,$A55)*INDEX('Age profile'!$B$2:$B$61,AY$1-$A55+1),"")</f>
        <v/>
      </c>
      <c r="AZ55" s="53">
        <f>IF(AZ$1&gt;=$A55,INDEX(Monthly!$B$2:$B$61,$A55)*INDEX('Age profile'!$B$2:$B$61,AZ$1-$A55+1),"")</f>
        <v/>
      </c>
      <c r="BA55" s="53">
        <f>IF(BA$1&gt;=$A55,INDEX(Monthly!$B$2:$B$61,$A55)*INDEX('Age profile'!$B$2:$B$61,BA$1-$A55+1),"")</f>
        <v/>
      </c>
      <c r="BB55" s="53">
        <f>IF(BB$1&gt;=$A55,INDEX(Monthly!$B$2:$B$61,$A55)*INDEX('Age profile'!$B$2:$B$61,BB$1-$A55+1),"")</f>
        <v/>
      </c>
      <c r="BC55" s="53">
        <f>IF(BC$1&gt;=$A55,INDEX(Monthly!$B$2:$B$61,$A55)*INDEX('Age profile'!$B$2:$B$61,BC$1-$A55+1),"")</f>
        <v/>
      </c>
      <c r="BD55" s="53">
        <f>IF(BD$1&gt;=$A55,INDEX(Monthly!$B$2:$B$61,$A55)*INDEX('Age profile'!$B$2:$B$61,BD$1-$A55+1),"")</f>
        <v/>
      </c>
      <c r="BE55" s="53">
        <f>IF(BE$1&gt;=$A55,INDEX(Monthly!$B$2:$B$61,$A55)*INDEX('Age profile'!$B$2:$B$61,BE$1-$A55+1),"")</f>
        <v/>
      </c>
      <c r="BF55" s="53">
        <f>IF(BF$1&gt;=$A55,INDEX(Monthly!$B$2:$B$61,$A55)*INDEX('Age profile'!$B$2:$B$61,BF$1-$A55+1),"")</f>
        <v/>
      </c>
      <c r="BG55" s="53">
        <f>IF(BG$1&gt;=$A55,INDEX(Monthly!$B$2:$B$61,$A55)*INDEX('Age profile'!$B$2:$B$61,BG$1-$A55+1),"")</f>
        <v/>
      </c>
      <c r="BH55" s="53">
        <f>IF(BH$1&gt;=$A55,INDEX(Monthly!$B$2:$B$61,$A55)*INDEX('Age profile'!$B$2:$B$61,BH$1-$A55+1),"")</f>
        <v/>
      </c>
      <c r="BI55" s="53">
        <f>IF(BI$1&gt;=$A55,INDEX(Monthly!$B$2:$B$61,$A55)*INDEX('Age profile'!$B$2:$B$61,BI$1-$A55+1),"")</f>
        <v/>
      </c>
    </row>
    <row r="56">
      <c r="A56" s="3" t="n">
        <v>55</v>
      </c>
      <c r="B56" s="53">
        <f>IF(B$1&gt;=$A56,INDEX(Monthly!$B$2:$B$61,$A56)*INDEX('Age profile'!$B$2:$B$61,B$1-$A56+1),"")</f>
        <v/>
      </c>
      <c r="C56" s="53">
        <f>IF(C$1&gt;=$A56,INDEX(Monthly!$B$2:$B$61,$A56)*INDEX('Age profile'!$B$2:$B$61,C$1-$A56+1),"")</f>
        <v/>
      </c>
      <c r="D56" s="53">
        <f>IF(D$1&gt;=$A56,INDEX(Monthly!$B$2:$B$61,$A56)*INDEX('Age profile'!$B$2:$B$61,D$1-$A56+1),"")</f>
        <v/>
      </c>
      <c r="E56" s="53">
        <f>IF(E$1&gt;=$A56,INDEX(Monthly!$B$2:$B$61,$A56)*INDEX('Age profile'!$B$2:$B$61,E$1-$A56+1),"")</f>
        <v/>
      </c>
      <c r="F56" s="53">
        <f>IF(F$1&gt;=$A56,INDEX(Monthly!$B$2:$B$61,$A56)*INDEX('Age profile'!$B$2:$B$61,F$1-$A56+1),"")</f>
        <v/>
      </c>
      <c r="G56" s="53">
        <f>IF(G$1&gt;=$A56,INDEX(Monthly!$B$2:$B$61,$A56)*INDEX('Age profile'!$B$2:$B$61,G$1-$A56+1),"")</f>
        <v/>
      </c>
      <c r="H56" s="53">
        <f>IF(H$1&gt;=$A56,INDEX(Monthly!$B$2:$B$61,$A56)*INDEX('Age profile'!$B$2:$B$61,H$1-$A56+1),"")</f>
        <v/>
      </c>
      <c r="I56" s="53">
        <f>IF(I$1&gt;=$A56,INDEX(Monthly!$B$2:$B$61,$A56)*INDEX('Age profile'!$B$2:$B$61,I$1-$A56+1),"")</f>
        <v/>
      </c>
      <c r="J56" s="53">
        <f>IF(J$1&gt;=$A56,INDEX(Monthly!$B$2:$B$61,$A56)*INDEX('Age profile'!$B$2:$B$61,J$1-$A56+1),"")</f>
        <v/>
      </c>
      <c r="K56" s="53">
        <f>IF(K$1&gt;=$A56,INDEX(Monthly!$B$2:$B$61,$A56)*INDEX('Age profile'!$B$2:$B$61,K$1-$A56+1),"")</f>
        <v/>
      </c>
      <c r="L56" s="53">
        <f>IF(L$1&gt;=$A56,INDEX(Monthly!$B$2:$B$61,$A56)*INDEX('Age profile'!$B$2:$B$61,L$1-$A56+1),"")</f>
        <v/>
      </c>
      <c r="M56" s="53">
        <f>IF(M$1&gt;=$A56,INDEX(Monthly!$B$2:$B$61,$A56)*INDEX('Age profile'!$B$2:$B$61,M$1-$A56+1),"")</f>
        <v/>
      </c>
      <c r="N56" s="53">
        <f>IF(N$1&gt;=$A56,INDEX(Monthly!$B$2:$B$61,$A56)*INDEX('Age profile'!$B$2:$B$61,N$1-$A56+1),"")</f>
        <v/>
      </c>
      <c r="O56" s="53">
        <f>IF(O$1&gt;=$A56,INDEX(Monthly!$B$2:$B$61,$A56)*INDEX('Age profile'!$B$2:$B$61,O$1-$A56+1),"")</f>
        <v/>
      </c>
      <c r="P56" s="53">
        <f>IF(P$1&gt;=$A56,INDEX(Monthly!$B$2:$B$61,$A56)*INDEX('Age profile'!$B$2:$B$61,P$1-$A56+1),"")</f>
        <v/>
      </c>
      <c r="Q56" s="53">
        <f>IF(Q$1&gt;=$A56,INDEX(Monthly!$B$2:$B$61,$A56)*INDEX('Age profile'!$B$2:$B$61,Q$1-$A56+1),"")</f>
        <v/>
      </c>
      <c r="R56" s="53">
        <f>IF(R$1&gt;=$A56,INDEX(Monthly!$B$2:$B$61,$A56)*INDEX('Age profile'!$B$2:$B$61,R$1-$A56+1),"")</f>
        <v/>
      </c>
      <c r="S56" s="53">
        <f>IF(S$1&gt;=$A56,INDEX(Monthly!$B$2:$B$61,$A56)*INDEX('Age profile'!$B$2:$B$61,S$1-$A56+1),"")</f>
        <v/>
      </c>
      <c r="T56" s="53">
        <f>IF(T$1&gt;=$A56,INDEX(Monthly!$B$2:$B$61,$A56)*INDEX('Age profile'!$B$2:$B$61,T$1-$A56+1),"")</f>
        <v/>
      </c>
      <c r="U56" s="53">
        <f>IF(U$1&gt;=$A56,INDEX(Monthly!$B$2:$B$61,$A56)*INDEX('Age profile'!$B$2:$B$61,U$1-$A56+1),"")</f>
        <v/>
      </c>
      <c r="V56" s="53">
        <f>IF(V$1&gt;=$A56,INDEX(Monthly!$B$2:$B$61,$A56)*INDEX('Age profile'!$B$2:$B$61,V$1-$A56+1),"")</f>
        <v/>
      </c>
      <c r="W56" s="53">
        <f>IF(W$1&gt;=$A56,INDEX(Monthly!$B$2:$B$61,$A56)*INDEX('Age profile'!$B$2:$B$61,W$1-$A56+1),"")</f>
        <v/>
      </c>
      <c r="X56" s="53">
        <f>IF(X$1&gt;=$A56,INDEX(Monthly!$B$2:$B$61,$A56)*INDEX('Age profile'!$B$2:$B$61,X$1-$A56+1),"")</f>
        <v/>
      </c>
      <c r="Y56" s="53">
        <f>IF(Y$1&gt;=$A56,INDEX(Monthly!$B$2:$B$61,$A56)*INDEX('Age profile'!$B$2:$B$61,Y$1-$A56+1),"")</f>
        <v/>
      </c>
      <c r="Z56" s="53">
        <f>IF(Z$1&gt;=$A56,INDEX(Monthly!$B$2:$B$61,$A56)*INDEX('Age profile'!$B$2:$B$61,Z$1-$A56+1),"")</f>
        <v/>
      </c>
      <c r="AA56" s="53">
        <f>IF(AA$1&gt;=$A56,INDEX(Monthly!$B$2:$B$61,$A56)*INDEX('Age profile'!$B$2:$B$61,AA$1-$A56+1),"")</f>
        <v/>
      </c>
      <c r="AB56" s="53">
        <f>IF(AB$1&gt;=$A56,INDEX(Monthly!$B$2:$B$61,$A56)*INDEX('Age profile'!$B$2:$B$61,AB$1-$A56+1),"")</f>
        <v/>
      </c>
      <c r="AC56" s="53">
        <f>IF(AC$1&gt;=$A56,INDEX(Monthly!$B$2:$B$61,$A56)*INDEX('Age profile'!$B$2:$B$61,AC$1-$A56+1),"")</f>
        <v/>
      </c>
      <c r="AD56" s="53">
        <f>IF(AD$1&gt;=$A56,INDEX(Monthly!$B$2:$B$61,$A56)*INDEX('Age profile'!$B$2:$B$61,AD$1-$A56+1),"")</f>
        <v/>
      </c>
      <c r="AE56" s="53">
        <f>IF(AE$1&gt;=$A56,INDEX(Monthly!$B$2:$B$61,$A56)*INDEX('Age profile'!$B$2:$B$61,AE$1-$A56+1),"")</f>
        <v/>
      </c>
      <c r="AF56" s="53">
        <f>IF(AF$1&gt;=$A56,INDEX(Monthly!$B$2:$B$61,$A56)*INDEX('Age profile'!$B$2:$B$61,AF$1-$A56+1),"")</f>
        <v/>
      </c>
      <c r="AG56" s="53">
        <f>IF(AG$1&gt;=$A56,INDEX(Monthly!$B$2:$B$61,$A56)*INDEX('Age profile'!$B$2:$B$61,AG$1-$A56+1),"")</f>
        <v/>
      </c>
      <c r="AH56" s="53">
        <f>IF(AH$1&gt;=$A56,INDEX(Monthly!$B$2:$B$61,$A56)*INDEX('Age profile'!$B$2:$B$61,AH$1-$A56+1),"")</f>
        <v/>
      </c>
      <c r="AI56" s="53">
        <f>IF(AI$1&gt;=$A56,INDEX(Monthly!$B$2:$B$61,$A56)*INDEX('Age profile'!$B$2:$B$61,AI$1-$A56+1),"")</f>
        <v/>
      </c>
      <c r="AJ56" s="53">
        <f>IF(AJ$1&gt;=$A56,INDEX(Monthly!$B$2:$B$61,$A56)*INDEX('Age profile'!$B$2:$B$61,AJ$1-$A56+1),"")</f>
        <v/>
      </c>
      <c r="AK56" s="53">
        <f>IF(AK$1&gt;=$A56,INDEX(Monthly!$B$2:$B$61,$A56)*INDEX('Age profile'!$B$2:$B$61,AK$1-$A56+1),"")</f>
        <v/>
      </c>
      <c r="AL56" s="53">
        <f>IF(AL$1&gt;=$A56,INDEX(Monthly!$B$2:$B$61,$A56)*INDEX('Age profile'!$B$2:$B$61,AL$1-$A56+1),"")</f>
        <v/>
      </c>
      <c r="AM56" s="53">
        <f>IF(AM$1&gt;=$A56,INDEX(Monthly!$B$2:$B$61,$A56)*INDEX('Age profile'!$B$2:$B$61,AM$1-$A56+1),"")</f>
        <v/>
      </c>
      <c r="AN56" s="53">
        <f>IF(AN$1&gt;=$A56,INDEX(Monthly!$B$2:$B$61,$A56)*INDEX('Age profile'!$B$2:$B$61,AN$1-$A56+1),"")</f>
        <v/>
      </c>
      <c r="AO56" s="53">
        <f>IF(AO$1&gt;=$A56,INDEX(Monthly!$B$2:$B$61,$A56)*INDEX('Age profile'!$B$2:$B$61,AO$1-$A56+1),"")</f>
        <v/>
      </c>
      <c r="AP56" s="53">
        <f>IF(AP$1&gt;=$A56,INDEX(Monthly!$B$2:$B$61,$A56)*INDEX('Age profile'!$B$2:$B$61,AP$1-$A56+1),"")</f>
        <v/>
      </c>
      <c r="AQ56" s="53">
        <f>IF(AQ$1&gt;=$A56,INDEX(Monthly!$B$2:$B$61,$A56)*INDEX('Age profile'!$B$2:$B$61,AQ$1-$A56+1),"")</f>
        <v/>
      </c>
      <c r="AR56" s="53">
        <f>IF(AR$1&gt;=$A56,INDEX(Monthly!$B$2:$B$61,$A56)*INDEX('Age profile'!$B$2:$B$61,AR$1-$A56+1),"")</f>
        <v/>
      </c>
      <c r="AS56" s="53">
        <f>IF(AS$1&gt;=$A56,INDEX(Monthly!$B$2:$B$61,$A56)*INDEX('Age profile'!$B$2:$B$61,AS$1-$A56+1),"")</f>
        <v/>
      </c>
      <c r="AT56" s="53">
        <f>IF(AT$1&gt;=$A56,INDEX(Monthly!$B$2:$B$61,$A56)*INDEX('Age profile'!$B$2:$B$61,AT$1-$A56+1),"")</f>
        <v/>
      </c>
      <c r="AU56" s="53">
        <f>IF(AU$1&gt;=$A56,INDEX(Monthly!$B$2:$B$61,$A56)*INDEX('Age profile'!$B$2:$B$61,AU$1-$A56+1),"")</f>
        <v/>
      </c>
      <c r="AV56" s="53">
        <f>IF(AV$1&gt;=$A56,INDEX(Monthly!$B$2:$B$61,$A56)*INDEX('Age profile'!$B$2:$B$61,AV$1-$A56+1),"")</f>
        <v/>
      </c>
      <c r="AW56" s="53">
        <f>IF(AW$1&gt;=$A56,INDEX(Monthly!$B$2:$B$61,$A56)*INDEX('Age profile'!$B$2:$B$61,AW$1-$A56+1),"")</f>
        <v/>
      </c>
      <c r="AX56" s="53">
        <f>IF(AX$1&gt;=$A56,INDEX(Monthly!$B$2:$B$61,$A56)*INDEX('Age profile'!$B$2:$B$61,AX$1-$A56+1),"")</f>
        <v/>
      </c>
      <c r="AY56" s="53">
        <f>IF(AY$1&gt;=$A56,INDEX(Monthly!$B$2:$B$61,$A56)*INDEX('Age profile'!$B$2:$B$61,AY$1-$A56+1),"")</f>
        <v/>
      </c>
      <c r="AZ56" s="53">
        <f>IF(AZ$1&gt;=$A56,INDEX(Monthly!$B$2:$B$61,$A56)*INDEX('Age profile'!$B$2:$B$61,AZ$1-$A56+1),"")</f>
        <v/>
      </c>
      <c r="BA56" s="53">
        <f>IF(BA$1&gt;=$A56,INDEX(Monthly!$B$2:$B$61,$A56)*INDEX('Age profile'!$B$2:$B$61,BA$1-$A56+1),"")</f>
        <v/>
      </c>
      <c r="BB56" s="53">
        <f>IF(BB$1&gt;=$A56,INDEX(Monthly!$B$2:$B$61,$A56)*INDEX('Age profile'!$B$2:$B$61,BB$1-$A56+1),"")</f>
        <v/>
      </c>
      <c r="BC56" s="53">
        <f>IF(BC$1&gt;=$A56,INDEX(Monthly!$B$2:$B$61,$A56)*INDEX('Age profile'!$B$2:$B$61,BC$1-$A56+1),"")</f>
        <v/>
      </c>
      <c r="BD56" s="53">
        <f>IF(BD$1&gt;=$A56,INDEX(Monthly!$B$2:$B$61,$A56)*INDEX('Age profile'!$B$2:$B$61,BD$1-$A56+1),"")</f>
        <v/>
      </c>
      <c r="BE56" s="53">
        <f>IF(BE$1&gt;=$A56,INDEX(Monthly!$B$2:$B$61,$A56)*INDEX('Age profile'!$B$2:$B$61,BE$1-$A56+1),"")</f>
        <v/>
      </c>
      <c r="BF56" s="53">
        <f>IF(BF$1&gt;=$A56,INDEX(Monthly!$B$2:$B$61,$A56)*INDEX('Age profile'!$B$2:$B$61,BF$1-$A56+1),"")</f>
        <v/>
      </c>
      <c r="BG56" s="53">
        <f>IF(BG$1&gt;=$A56,INDEX(Monthly!$B$2:$B$61,$A56)*INDEX('Age profile'!$B$2:$B$61,BG$1-$A56+1),"")</f>
        <v/>
      </c>
      <c r="BH56" s="53">
        <f>IF(BH$1&gt;=$A56,INDEX(Monthly!$B$2:$B$61,$A56)*INDEX('Age profile'!$B$2:$B$61,BH$1-$A56+1),"")</f>
        <v/>
      </c>
      <c r="BI56" s="53">
        <f>IF(BI$1&gt;=$A56,INDEX(Monthly!$B$2:$B$61,$A56)*INDEX('Age profile'!$B$2:$B$61,BI$1-$A56+1),"")</f>
        <v/>
      </c>
    </row>
    <row r="57">
      <c r="A57" s="3" t="n">
        <v>56</v>
      </c>
      <c r="B57" s="53">
        <f>IF(B$1&gt;=$A57,INDEX(Monthly!$B$2:$B$61,$A57)*INDEX('Age profile'!$B$2:$B$61,B$1-$A57+1),"")</f>
        <v/>
      </c>
      <c r="C57" s="53">
        <f>IF(C$1&gt;=$A57,INDEX(Monthly!$B$2:$B$61,$A57)*INDEX('Age profile'!$B$2:$B$61,C$1-$A57+1),"")</f>
        <v/>
      </c>
      <c r="D57" s="53">
        <f>IF(D$1&gt;=$A57,INDEX(Monthly!$B$2:$B$61,$A57)*INDEX('Age profile'!$B$2:$B$61,D$1-$A57+1),"")</f>
        <v/>
      </c>
      <c r="E57" s="53">
        <f>IF(E$1&gt;=$A57,INDEX(Monthly!$B$2:$B$61,$A57)*INDEX('Age profile'!$B$2:$B$61,E$1-$A57+1),"")</f>
        <v/>
      </c>
      <c r="F57" s="53">
        <f>IF(F$1&gt;=$A57,INDEX(Monthly!$B$2:$B$61,$A57)*INDEX('Age profile'!$B$2:$B$61,F$1-$A57+1),"")</f>
        <v/>
      </c>
      <c r="G57" s="53">
        <f>IF(G$1&gt;=$A57,INDEX(Monthly!$B$2:$B$61,$A57)*INDEX('Age profile'!$B$2:$B$61,G$1-$A57+1),"")</f>
        <v/>
      </c>
      <c r="H57" s="53">
        <f>IF(H$1&gt;=$A57,INDEX(Monthly!$B$2:$B$61,$A57)*INDEX('Age profile'!$B$2:$B$61,H$1-$A57+1),"")</f>
        <v/>
      </c>
      <c r="I57" s="53">
        <f>IF(I$1&gt;=$A57,INDEX(Monthly!$B$2:$B$61,$A57)*INDEX('Age profile'!$B$2:$B$61,I$1-$A57+1),"")</f>
        <v/>
      </c>
      <c r="J57" s="53">
        <f>IF(J$1&gt;=$A57,INDEX(Monthly!$B$2:$B$61,$A57)*INDEX('Age profile'!$B$2:$B$61,J$1-$A57+1),"")</f>
        <v/>
      </c>
      <c r="K57" s="53">
        <f>IF(K$1&gt;=$A57,INDEX(Monthly!$B$2:$B$61,$A57)*INDEX('Age profile'!$B$2:$B$61,K$1-$A57+1),"")</f>
        <v/>
      </c>
      <c r="L57" s="53">
        <f>IF(L$1&gt;=$A57,INDEX(Monthly!$B$2:$B$61,$A57)*INDEX('Age profile'!$B$2:$B$61,L$1-$A57+1),"")</f>
        <v/>
      </c>
      <c r="M57" s="53">
        <f>IF(M$1&gt;=$A57,INDEX(Monthly!$B$2:$B$61,$A57)*INDEX('Age profile'!$B$2:$B$61,M$1-$A57+1),"")</f>
        <v/>
      </c>
      <c r="N57" s="53">
        <f>IF(N$1&gt;=$A57,INDEX(Monthly!$B$2:$B$61,$A57)*INDEX('Age profile'!$B$2:$B$61,N$1-$A57+1),"")</f>
        <v/>
      </c>
      <c r="O57" s="53">
        <f>IF(O$1&gt;=$A57,INDEX(Monthly!$B$2:$B$61,$A57)*INDEX('Age profile'!$B$2:$B$61,O$1-$A57+1),"")</f>
        <v/>
      </c>
      <c r="P57" s="53">
        <f>IF(P$1&gt;=$A57,INDEX(Monthly!$B$2:$B$61,$A57)*INDEX('Age profile'!$B$2:$B$61,P$1-$A57+1),"")</f>
        <v/>
      </c>
      <c r="Q57" s="53">
        <f>IF(Q$1&gt;=$A57,INDEX(Monthly!$B$2:$B$61,$A57)*INDEX('Age profile'!$B$2:$B$61,Q$1-$A57+1),"")</f>
        <v/>
      </c>
      <c r="R57" s="53">
        <f>IF(R$1&gt;=$A57,INDEX(Monthly!$B$2:$B$61,$A57)*INDEX('Age profile'!$B$2:$B$61,R$1-$A57+1),"")</f>
        <v/>
      </c>
      <c r="S57" s="53">
        <f>IF(S$1&gt;=$A57,INDEX(Monthly!$B$2:$B$61,$A57)*INDEX('Age profile'!$B$2:$B$61,S$1-$A57+1),"")</f>
        <v/>
      </c>
      <c r="T57" s="53">
        <f>IF(T$1&gt;=$A57,INDEX(Monthly!$B$2:$B$61,$A57)*INDEX('Age profile'!$B$2:$B$61,T$1-$A57+1),"")</f>
        <v/>
      </c>
      <c r="U57" s="53">
        <f>IF(U$1&gt;=$A57,INDEX(Monthly!$B$2:$B$61,$A57)*INDEX('Age profile'!$B$2:$B$61,U$1-$A57+1),"")</f>
        <v/>
      </c>
      <c r="V57" s="53">
        <f>IF(V$1&gt;=$A57,INDEX(Monthly!$B$2:$B$61,$A57)*INDEX('Age profile'!$B$2:$B$61,V$1-$A57+1),"")</f>
        <v/>
      </c>
      <c r="W57" s="53">
        <f>IF(W$1&gt;=$A57,INDEX(Monthly!$B$2:$B$61,$A57)*INDEX('Age profile'!$B$2:$B$61,W$1-$A57+1),"")</f>
        <v/>
      </c>
      <c r="X57" s="53">
        <f>IF(X$1&gt;=$A57,INDEX(Monthly!$B$2:$B$61,$A57)*INDEX('Age profile'!$B$2:$B$61,X$1-$A57+1),"")</f>
        <v/>
      </c>
      <c r="Y57" s="53">
        <f>IF(Y$1&gt;=$A57,INDEX(Monthly!$B$2:$B$61,$A57)*INDEX('Age profile'!$B$2:$B$61,Y$1-$A57+1),"")</f>
        <v/>
      </c>
      <c r="Z57" s="53">
        <f>IF(Z$1&gt;=$A57,INDEX(Monthly!$B$2:$B$61,$A57)*INDEX('Age profile'!$B$2:$B$61,Z$1-$A57+1),"")</f>
        <v/>
      </c>
      <c r="AA57" s="53">
        <f>IF(AA$1&gt;=$A57,INDEX(Monthly!$B$2:$B$61,$A57)*INDEX('Age profile'!$B$2:$B$61,AA$1-$A57+1),"")</f>
        <v/>
      </c>
      <c r="AB57" s="53">
        <f>IF(AB$1&gt;=$A57,INDEX(Monthly!$B$2:$B$61,$A57)*INDEX('Age profile'!$B$2:$B$61,AB$1-$A57+1),"")</f>
        <v/>
      </c>
      <c r="AC57" s="53">
        <f>IF(AC$1&gt;=$A57,INDEX(Monthly!$B$2:$B$61,$A57)*INDEX('Age profile'!$B$2:$B$61,AC$1-$A57+1),"")</f>
        <v/>
      </c>
      <c r="AD57" s="53">
        <f>IF(AD$1&gt;=$A57,INDEX(Monthly!$B$2:$B$61,$A57)*INDEX('Age profile'!$B$2:$B$61,AD$1-$A57+1),"")</f>
        <v/>
      </c>
      <c r="AE57" s="53">
        <f>IF(AE$1&gt;=$A57,INDEX(Monthly!$B$2:$B$61,$A57)*INDEX('Age profile'!$B$2:$B$61,AE$1-$A57+1),"")</f>
        <v/>
      </c>
      <c r="AF57" s="53">
        <f>IF(AF$1&gt;=$A57,INDEX(Monthly!$B$2:$B$61,$A57)*INDEX('Age profile'!$B$2:$B$61,AF$1-$A57+1),"")</f>
        <v/>
      </c>
      <c r="AG57" s="53">
        <f>IF(AG$1&gt;=$A57,INDEX(Monthly!$B$2:$B$61,$A57)*INDEX('Age profile'!$B$2:$B$61,AG$1-$A57+1),"")</f>
        <v/>
      </c>
      <c r="AH57" s="53">
        <f>IF(AH$1&gt;=$A57,INDEX(Monthly!$B$2:$B$61,$A57)*INDEX('Age profile'!$B$2:$B$61,AH$1-$A57+1),"")</f>
        <v/>
      </c>
      <c r="AI57" s="53">
        <f>IF(AI$1&gt;=$A57,INDEX(Monthly!$B$2:$B$61,$A57)*INDEX('Age profile'!$B$2:$B$61,AI$1-$A57+1),"")</f>
        <v/>
      </c>
      <c r="AJ57" s="53">
        <f>IF(AJ$1&gt;=$A57,INDEX(Monthly!$B$2:$B$61,$A57)*INDEX('Age profile'!$B$2:$B$61,AJ$1-$A57+1),"")</f>
        <v/>
      </c>
      <c r="AK57" s="53">
        <f>IF(AK$1&gt;=$A57,INDEX(Monthly!$B$2:$B$61,$A57)*INDEX('Age profile'!$B$2:$B$61,AK$1-$A57+1),"")</f>
        <v/>
      </c>
      <c r="AL57" s="53">
        <f>IF(AL$1&gt;=$A57,INDEX(Monthly!$B$2:$B$61,$A57)*INDEX('Age profile'!$B$2:$B$61,AL$1-$A57+1),"")</f>
        <v/>
      </c>
      <c r="AM57" s="53">
        <f>IF(AM$1&gt;=$A57,INDEX(Monthly!$B$2:$B$61,$A57)*INDEX('Age profile'!$B$2:$B$61,AM$1-$A57+1),"")</f>
        <v/>
      </c>
      <c r="AN57" s="53">
        <f>IF(AN$1&gt;=$A57,INDEX(Monthly!$B$2:$B$61,$A57)*INDEX('Age profile'!$B$2:$B$61,AN$1-$A57+1),"")</f>
        <v/>
      </c>
      <c r="AO57" s="53">
        <f>IF(AO$1&gt;=$A57,INDEX(Monthly!$B$2:$B$61,$A57)*INDEX('Age profile'!$B$2:$B$61,AO$1-$A57+1),"")</f>
        <v/>
      </c>
      <c r="AP57" s="53">
        <f>IF(AP$1&gt;=$A57,INDEX(Monthly!$B$2:$B$61,$A57)*INDEX('Age profile'!$B$2:$B$61,AP$1-$A57+1),"")</f>
        <v/>
      </c>
      <c r="AQ57" s="53">
        <f>IF(AQ$1&gt;=$A57,INDEX(Monthly!$B$2:$B$61,$A57)*INDEX('Age profile'!$B$2:$B$61,AQ$1-$A57+1),"")</f>
        <v/>
      </c>
      <c r="AR57" s="53">
        <f>IF(AR$1&gt;=$A57,INDEX(Monthly!$B$2:$B$61,$A57)*INDEX('Age profile'!$B$2:$B$61,AR$1-$A57+1),"")</f>
        <v/>
      </c>
      <c r="AS57" s="53">
        <f>IF(AS$1&gt;=$A57,INDEX(Monthly!$B$2:$B$61,$A57)*INDEX('Age profile'!$B$2:$B$61,AS$1-$A57+1),"")</f>
        <v/>
      </c>
      <c r="AT57" s="53">
        <f>IF(AT$1&gt;=$A57,INDEX(Monthly!$B$2:$B$61,$A57)*INDEX('Age profile'!$B$2:$B$61,AT$1-$A57+1),"")</f>
        <v/>
      </c>
      <c r="AU57" s="53">
        <f>IF(AU$1&gt;=$A57,INDEX(Monthly!$B$2:$B$61,$A57)*INDEX('Age profile'!$B$2:$B$61,AU$1-$A57+1),"")</f>
        <v/>
      </c>
      <c r="AV57" s="53">
        <f>IF(AV$1&gt;=$A57,INDEX(Monthly!$B$2:$B$61,$A57)*INDEX('Age profile'!$B$2:$B$61,AV$1-$A57+1),"")</f>
        <v/>
      </c>
      <c r="AW57" s="53">
        <f>IF(AW$1&gt;=$A57,INDEX(Monthly!$B$2:$B$61,$A57)*INDEX('Age profile'!$B$2:$B$61,AW$1-$A57+1),"")</f>
        <v/>
      </c>
      <c r="AX57" s="53">
        <f>IF(AX$1&gt;=$A57,INDEX(Monthly!$B$2:$B$61,$A57)*INDEX('Age profile'!$B$2:$B$61,AX$1-$A57+1),"")</f>
        <v/>
      </c>
      <c r="AY57" s="53">
        <f>IF(AY$1&gt;=$A57,INDEX(Monthly!$B$2:$B$61,$A57)*INDEX('Age profile'!$B$2:$B$61,AY$1-$A57+1),"")</f>
        <v/>
      </c>
      <c r="AZ57" s="53">
        <f>IF(AZ$1&gt;=$A57,INDEX(Monthly!$B$2:$B$61,$A57)*INDEX('Age profile'!$B$2:$B$61,AZ$1-$A57+1),"")</f>
        <v/>
      </c>
      <c r="BA57" s="53">
        <f>IF(BA$1&gt;=$A57,INDEX(Monthly!$B$2:$B$61,$A57)*INDEX('Age profile'!$B$2:$B$61,BA$1-$A57+1),"")</f>
        <v/>
      </c>
      <c r="BB57" s="53">
        <f>IF(BB$1&gt;=$A57,INDEX(Monthly!$B$2:$B$61,$A57)*INDEX('Age profile'!$B$2:$B$61,BB$1-$A57+1),"")</f>
        <v/>
      </c>
      <c r="BC57" s="53">
        <f>IF(BC$1&gt;=$A57,INDEX(Monthly!$B$2:$B$61,$A57)*INDEX('Age profile'!$B$2:$B$61,BC$1-$A57+1),"")</f>
        <v/>
      </c>
      <c r="BD57" s="53">
        <f>IF(BD$1&gt;=$A57,INDEX(Monthly!$B$2:$B$61,$A57)*INDEX('Age profile'!$B$2:$B$61,BD$1-$A57+1),"")</f>
        <v/>
      </c>
      <c r="BE57" s="53">
        <f>IF(BE$1&gt;=$A57,INDEX(Monthly!$B$2:$B$61,$A57)*INDEX('Age profile'!$B$2:$B$61,BE$1-$A57+1),"")</f>
        <v/>
      </c>
      <c r="BF57" s="53">
        <f>IF(BF$1&gt;=$A57,INDEX(Monthly!$B$2:$B$61,$A57)*INDEX('Age profile'!$B$2:$B$61,BF$1-$A57+1),"")</f>
        <v/>
      </c>
      <c r="BG57" s="53">
        <f>IF(BG$1&gt;=$A57,INDEX(Monthly!$B$2:$B$61,$A57)*INDEX('Age profile'!$B$2:$B$61,BG$1-$A57+1),"")</f>
        <v/>
      </c>
      <c r="BH57" s="53">
        <f>IF(BH$1&gt;=$A57,INDEX(Monthly!$B$2:$B$61,$A57)*INDEX('Age profile'!$B$2:$B$61,BH$1-$A57+1),"")</f>
        <v/>
      </c>
      <c r="BI57" s="53">
        <f>IF(BI$1&gt;=$A57,INDEX(Monthly!$B$2:$B$61,$A57)*INDEX('Age profile'!$B$2:$B$61,BI$1-$A57+1),"")</f>
        <v/>
      </c>
    </row>
    <row r="58">
      <c r="A58" s="3" t="n">
        <v>57</v>
      </c>
      <c r="B58" s="53">
        <f>IF(B$1&gt;=$A58,INDEX(Monthly!$B$2:$B$61,$A58)*INDEX('Age profile'!$B$2:$B$61,B$1-$A58+1),"")</f>
        <v/>
      </c>
      <c r="C58" s="53">
        <f>IF(C$1&gt;=$A58,INDEX(Monthly!$B$2:$B$61,$A58)*INDEX('Age profile'!$B$2:$B$61,C$1-$A58+1),"")</f>
        <v/>
      </c>
      <c r="D58" s="53">
        <f>IF(D$1&gt;=$A58,INDEX(Monthly!$B$2:$B$61,$A58)*INDEX('Age profile'!$B$2:$B$61,D$1-$A58+1),"")</f>
        <v/>
      </c>
      <c r="E58" s="53">
        <f>IF(E$1&gt;=$A58,INDEX(Monthly!$B$2:$B$61,$A58)*INDEX('Age profile'!$B$2:$B$61,E$1-$A58+1),"")</f>
        <v/>
      </c>
      <c r="F58" s="53">
        <f>IF(F$1&gt;=$A58,INDEX(Monthly!$B$2:$B$61,$A58)*INDEX('Age profile'!$B$2:$B$61,F$1-$A58+1),"")</f>
        <v/>
      </c>
      <c r="G58" s="53">
        <f>IF(G$1&gt;=$A58,INDEX(Monthly!$B$2:$B$61,$A58)*INDEX('Age profile'!$B$2:$B$61,G$1-$A58+1),"")</f>
        <v/>
      </c>
      <c r="H58" s="53">
        <f>IF(H$1&gt;=$A58,INDEX(Monthly!$B$2:$B$61,$A58)*INDEX('Age profile'!$B$2:$B$61,H$1-$A58+1),"")</f>
        <v/>
      </c>
      <c r="I58" s="53">
        <f>IF(I$1&gt;=$A58,INDEX(Monthly!$B$2:$B$61,$A58)*INDEX('Age profile'!$B$2:$B$61,I$1-$A58+1),"")</f>
        <v/>
      </c>
      <c r="J58" s="53">
        <f>IF(J$1&gt;=$A58,INDEX(Monthly!$B$2:$B$61,$A58)*INDEX('Age profile'!$B$2:$B$61,J$1-$A58+1),"")</f>
        <v/>
      </c>
      <c r="K58" s="53">
        <f>IF(K$1&gt;=$A58,INDEX(Monthly!$B$2:$B$61,$A58)*INDEX('Age profile'!$B$2:$B$61,K$1-$A58+1),"")</f>
        <v/>
      </c>
      <c r="L58" s="53">
        <f>IF(L$1&gt;=$A58,INDEX(Monthly!$B$2:$B$61,$A58)*INDEX('Age profile'!$B$2:$B$61,L$1-$A58+1),"")</f>
        <v/>
      </c>
      <c r="M58" s="53">
        <f>IF(M$1&gt;=$A58,INDEX(Monthly!$B$2:$B$61,$A58)*INDEX('Age profile'!$B$2:$B$61,M$1-$A58+1),"")</f>
        <v/>
      </c>
      <c r="N58" s="53">
        <f>IF(N$1&gt;=$A58,INDEX(Monthly!$B$2:$B$61,$A58)*INDEX('Age profile'!$B$2:$B$61,N$1-$A58+1),"")</f>
        <v/>
      </c>
      <c r="O58" s="53">
        <f>IF(O$1&gt;=$A58,INDEX(Monthly!$B$2:$B$61,$A58)*INDEX('Age profile'!$B$2:$B$61,O$1-$A58+1),"")</f>
        <v/>
      </c>
      <c r="P58" s="53">
        <f>IF(P$1&gt;=$A58,INDEX(Monthly!$B$2:$B$61,$A58)*INDEX('Age profile'!$B$2:$B$61,P$1-$A58+1),"")</f>
        <v/>
      </c>
      <c r="Q58" s="53">
        <f>IF(Q$1&gt;=$A58,INDEX(Monthly!$B$2:$B$61,$A58)*INDEX('Age profile'!$B$2:$B$61,Q$1-$A58+1),"")</f>
        <v/>
      </c>
      <c r="R58" s="53">
        <f>IF(R$1&gt;=$A58,INDEX(Monthly!$B$2:$B$61,$A58)*INDEX('Age profile'!$B$2:$B$61,R$1-$A58+1),"")</f>
        <v/>
      </c>
      <c r="S58" s="53">
        <f>IF(S$1&gt;=$A58,INDEX(Monthly!$B$2:$B$61,$A58)*INDEX('Age profile'!$B$2:$B$61,S$1-$A58+1),"")</f>
        <v/>
      </c>
      <c r="T58" s="53">
        <f>IF(T$1&gt;=$A58,INDEX(Monthly!$B$2:$B$61,$A58)*INDEX('Age profile'!$B$2:$B$61,T$1-$A58+1),"")</f>
        <v/>
      </c>
      <c r="U58" s="53">
        <f>IF(U$1&gt;=$A58,INDEX(Monthly!$B$2:$B$61,$A58)*INDEX('Age profile'!$B$2:$B$61,U$1-$A58+1),"")</f>
        <v/>
      </c>
      <c r="V58" s="53">
        <f>IF(V$1&gt;=$A58,INDEX(Monthly!$B$2:$B$61,$A58)*INDEX('Age profile'!$B$2:$B$61,V$1-$A58+1),"")</f>
        <v/>
      </c>
      <c r="W58" s="53">
        <f>IF(W$1&gt;=$A58,INDEX(Monthly!$B$2:$B$61,$A58)*INDEX('Age profile'!$B$2:$B$61,W$1-$A58+1),"")</f>
        <v/>
      </c>
      <c r="X58" s="53">
        <f>IF(X$1&gt;=$A58,INDEX(Monthly!$B$2:$B$61,$A58)*INDEX('Age profile'!$B$2:$B$61,X$1-$A58+1),"")</f>
        <v/>
      </c>
      <c r="Y58" s="53">
        <f>IF(Y$1&gt;=$A58,INDEX(Monthly!$B$2:$B$61,$A58)*INDEX('Age profile'!$B$2:$B$61,Y$1-$A58+1),"")</f>
        <v/>
      </c>
      <c r="Z58" s="53">
        <f>IF(Z$1&gt;=$A58,INDEX(Monthly!$B$2:$B$61,$A58)*INDEX('Age profile'!$B$2:$B$61,Z$1-$A58+1),"")</f>
        <v/>
      </c>
      <c r="AA58" s="53">
        <f>IF(AA$1&gt;=$A58,INDEX(Monthly!$B$2:$B$61,$A58)*INDEX('Age profile'!$B$2:$B$61,AA$1-$A58+1),"")</f>
        <v/>
      </c>
      <c r="AB58" s="53">
        <f>IF(AB$1&gt;=$A58,INDEX(Monthly!$B$2:$B$61,$A58)*INDEX('Age profile'!$B$2:$B$61,AB$1-$A58+1),"")</f>
        <v/>
      </c>
      <c r="AC58" s="53">
        <f>IF(AC$1&gt;=$A58,INDEX(Monthly!$B$2:$B$61,$A58)*INDEX('Age profile'!$B$2:$B$61,AC$1-$A58+1),"")</f>
        <v/>
      </c>
      <c r="AD58" s="53">
        <f>IF(AD$1&gt;=$A58,INDEX(Monthly!$B$2:$B$61,$A58)*INDEX('Age profile'!$B$2:$B$61,AD$1-$A58+1),"")</f>
        <v/>
      </c>
      <c r="AE58" s="53">
        <f>IF(AE$1&gt;=$A58,INDEX(Monthly!$B$2:$B$61,$A58)*INDEX('Age profile'!$B$2:$B$61,AE$1-$A58+1),"")</f>
        <v/>
      </c>
      <c r="AF58" s="53">
        <f>IF(AF$1&gt;=$A58,INDEX(Monthly!$B$2:$B$61,$A58)*INDEX('Age profile'!$B$2:$B$61,AF$1-$A58+1),"")</f>
        <v/>
      </c>
      <c r="AG58" s="53">
        <f>IF(AG$1&gt;=$A58,INDEX(Monthly!$B$2:$B$61,$A58)*INDEX('Age profile'!$B$2:$B$61,AG$1-$A58+1),"")</f>
        <v/>
      </c>
      <c r="AH58" s="53">
        <f>IF(AH$1&gt;=$A58,INDEX(Monthly!$B$2:$B$61,$A58)*INDEX('Age profile'!$B$2:$B$61,AH$1-$A58+1),"")</f>
        <v/>
      </c>
      <c r="AI58" s="53">
        <f>IF(AI$1&gt;=$A58,INDEX(Monthly!$B$2:$B$61,$A58)*INDEX('Age profile'!$B$2:$B$61,AI$1-$A58+1),"")</f>
        <v/>
      </c>
      <c r="AJ58" s="53">
        <f>IF(AJ$1&gt;=$A58,INDEX(Monthly!$B$2:$B$61,$A58)*INDEX('Age profile'!$B$2:$B$61,AJ$1-$A58+1),"")</f>
        <v/>
      </c>
      <c r="AK58" s="53">
        <f>IF(AK$1&gt;=$A58,INDEX(Monthly!$B$2:$B$61,$A58)*INDEX('Age profile'!$B$2:$B$61,AK$1-$A58+1),"")</f>
        <v/>
      </c>
      <c r="AL58" s="53">
        <f>IF(AL$1&gt;=$A58,INDEX(Monthly!$B$2:$B$61,$A58)*INDEX('Age profile'!$B$2:$B$61,AL$1-$A58+1),"")</f>
        <v/>
      </c>
      <c r="AM58" s="53">
        <f>IF(AM$1&gt;=$A58,INDEX(Monthly!$B$2:$B$61,$A58)*INDEX('Age profile'!$B$2:$B$61,AM$1-$A58+1),"")</f>
        <v/>
      </c>
      <c r="AN58" s="53">
        <f>IF(AN$1&gt;=$A58,INDEX(Monthly!$B$2:$B$61,$A58)*INDEX('Age profile'!$B$2:$B$61,AN$1-$A58+1),"")</f>
        <v/>
      </c>
      <c r="AO58" s="53">
        <f>IF(AO$1&gt;=$A58,INDEX(Monthly!$B$2:$B$61,$A58)*INDEX('Age profile'!$B$2:$B$61,AO$1-$A58+1),"")</f>
        <v/>
      </c>
      <c r="AP58" s="53">
        <f>IF(AP$1&gt;=$A58,INDEX(Monthly!$B$2:$B$61,$A58)*INDEX('Age profile'!$B$2:$B$61,AP$1-$A58+1),"")</f>
        <v/>
      </c>
      <c r="AQ58" s="53">
        <f>IF(AQ$1&gt;=$A58,INDEX(Monthly!$B$2:$B$61,$A58)*INDEX('Age profile'!$B$2:$B$61,AQ$1-$A58+1),"")</f>
        <v/>
      </c>
      <c r="AR58" s="53">
        <f>IF(AR$1&gt;=$A58,INDEX(Monthly!$B$2:$B$61,$A58)*INDEX('Age profile'!$B$2:$B$61,AR$1-$A58+1),"")</f>
        <v/>
      </c>
      <c r="AS58" s="53">
        <f>IF(AS$1&gt;=$A58,INDEX(Monthly!$B$2:$B$61,$A58)*INDEX('Age profile'!$B$2:$B$61,AS$1-$A58+1),"")</f>
        <v/>
      </c>
      <c r="AT58" s="53">
        <f>IF(AT$1&gt;=$A58,INDEX(Monthly!$B$2:$B$61,$A58)*INDEX('Age profile'!$B$2:$B$61,AT$1-$A58+1),"")</f>
        <v/>
      </c>
      <c r="AU58" s="53">
        <f>IF(AU$1&gt;=$A58,INDEX(Monthly!$B$2:$B$61,$A58)*INDEX('Age profile'!$B$2:$B$61,AU$1-$A58+1),"")</f>
        <v/>
      </c>
      <c r="AV58" s="53">
        <f>IF(AV$1&gt;=$A58,INDEX(Monthly!$B$2:$B$61,$A58)*INDEX('Age profile'!$B$2:$B$61,AV$1-$A58+1),"")</f>
        <v/>
      </c>
      <c r="AW58" s="53">
        <f>IF(AW$1&gt;=$A58,INDEX(Monthly!$B$2:$B$61,$A58)*INDEX('Age profile'!$B$2:$B$61,AW$1-$A58+1),"")</f>
        <v/>
      </c>
      <c r="AX58" s="53">
        <f>IF(AX$1&gt;=$A58,INDEX(Monthly!$B$2:$B$61,$A58)*INDEX('Age profile'!$B$2:$B$61,AX$1-$A58+1),"")</f>
        <v/>
      </c>
      <c r="AY58" s="53">
        <f>IF(AY$1&gt;=$A58,INDEX(Monthly!$B$2:$B$61,$A58)*INDEX('Age profile'!$B$2:$B$61,AY$1-$A58+1),"")</f>
        <v/>
      </c>
      <c r="AZ58" s="53">
        <f>IF(AZ$1&gt;=$A58,INDEX(Monthly!$B$2:$B$61,$A58)*INDEX('Age profile'!$B$2:$B$61,AZ$1-$A58+1),"")</f>
        <v/>
      </c>
      <c r="BA58" s="53">
        <f>IF(BA$1&gt;=$A58,INDEX(Monthly!$B$2:$B$61,$A58)*INDEX('Age profile'!$B$2:$B$61,BA$1-$A58+1),"")</f>
        <v/>
      </c>
      <c r="BB58" s="53">
        <f>IF(BB$1&gt;=$A58,INDEX(Monthly!$B$2:$B$61,$A58)*INDEX('Age profile'!$B$2:$B$61,BB$1-$A58+1),"")</f>
        <v/>
      </c>
      <c r="BC58" s="53">
        <f>IF(BC$1&gt;=$A58,INDEX(Monthly!$B$2:$B$61,$A58)*INDEX('Age profile'!$B$2:$B$61,BC$1-$A58+1),"")</f>
        <v/>
      </c>
      <c r="BD58" s="53">
        <f>IF(BD$1&gt;=$A58,INDEX(Monthly!$B$2:$B$61,$A58)*INDEX('Age profile'!$B$2:$B$61,BD$1-$A58+1),"")</f>
        <v/>
      </c>
      <c r="BE58" s="53">
        <f>IF(BE$1&gt;=$A58,INDEX(Monthly!$B$2:$B$61,$A58)*INDEX('Age profile'!$B$2:$B$61,BE$1-$A58+1),"")</f>
        <v/>
      </c>
      <c r="BF58" s="53">
        <f>IF(BF$1&gt;=$A58,INDEX(Monthly!$B$2:$B$61,$A58)*INDEX('Age profile'!$B$2:$B$61,BF$1-$A58+1),"")</f>
        <v/>
      </c>
      <c r="BG58" s="53">
        <f>IF(BG$1&gt;=$A58,INDEX(Monthly!$B$2:$B$61,$A58)*INDEX('Age profile'!$B$2:$B$61,BG$1-$A58+1),"")</f>
        <v/>
      </c>
      <c r="BH58" s="53">
        <f>IF(BH$1&gt;=$A58,INDEX(Monthly!$B$2:$B$61,$A58)*INDEX('Age profile'!$B$2:$B$61,BH$1-$A58+1),"")</f>
        <v/>
      </c>
      <c r="BI58" s="53">
        <f>IF(BI$1&gt;=$A58,INDEX(Monthly!$B$2:$B$61,$A58)*INDEX('Age profile'!$B$2:$B$61,BI$1-$A58+1),"")</f>
        <v/>
      </c>
    </row>
    <row r="59">
      <c r="A59" s="3" t="n">
        <v>58</v>
      </c>
      <c r="B59" s="53">
        <f>IF(B$1&gt;=$A59,INDEX(Monthly!$B$2:$B$61,$A59)*INDEX('Age profile'!$B$2:$B$61,B$1-$A59+1),"")</f>
        <v/>
      </c>
      <c r="C59" s="53">
        <f>IF(C$1&gt;=$A59,INDEX(Monthly!$B$2:$B$61,$A59)*INDEX('Age profile'!$B$2:$B$61,C$1-$A59+1),"")</f>
        <v/>
      </c>
      <c r="D59" s="53">
        <f>IF(D$1&gt;=$A59,INDEX(Monthly!$B$2:$B$61,$A59)*INDEX('Age profile'!$B$2:$B$61,D$1-$A59+1),"")</f>
        <v/>
      </c>
      <c r="E59" s="53">
        <f>IF(E$1&gt;=$A59,INDEX(Monthly!$B$2:$B$61,$A59)*INDEX('Age profile'!$B$2:$B$61,E$1-$A59+1),"")</f>
        <v/>
      </c>
      <c r="F59" s="53">
        <f>IF(F$1&gt;=$A59,INDEX(Monthly!$B$2:$B$61,$A59)*INDEX('Age profile'!$B$2:$B$61,F$1-$A59+1),"")</f>
        <v/>
      </c>
      <c r="G59" s="53">
        <f>IF(G$1&gt;=$A59,INDEX(Monthly!$B$2:$B$61,$A59)*INDEX('Age profile'!$B$2:$B$61,G$1-$A59+1),"")</f>
        <v/>
      </c>
      <c r="H59" s="53">
        <f>IF(H$1&gt;=$A59,INDEX(Monthly!$B$2:$B$61,$A59)*INDEX('Age profile'!$B$2:$B$61,H$1-$A59+1),"")</f>
        <v/>
      </c>
      <c r="I59" s="53">
        <f>IF(I$1&gt;=$A59,INDEX(Monthly!$B$2:$B$61,$A59)*INDEX('Age profile'!$B$2:$B$61,I$1-$A59+1),"")</f>
        <v/>
      </c>
      <c r="J59" s="53">
        <f>IF(J$1&gt;=$A59,INDEX(Monthly!$B$2:$B$61,$A59)*INDEX('Age profile'!$B$2:$B$61,J$1-$A59+1),"")</f>
        <v/>
      </c>
      <c r="K59" s="53">
        <f>IF(K$1&gt;=$A59,INDEX(Monthly!$B$2:$B$61,$A59)*INDEX('Age profile'!$B$2:$B$61,K$1-$A59+1),"")</f>
        <v/>
      </c>
      <c r="L59" s="53">
        <f>IF(L$1&gt;=$A59,INDEX(Monthly!$B$2:$B$61,$A59)*INDEX('Age profile'!$B$2:$B$61,L$1-$A59+1),"")</f>
        <v/>
      </c>
      <c r="M59" s="53">
        <f>IF(M$1&gt;=$A59,INDEX(Monthly!$B$2:$B$61,$A59)*INDEX('Age profile'!$B$2:$B$61,M$1-$A59+1),"")</f>
        <v/>
      </c>
      <c r="N59" s="53">
        <f>IF(N$1&gt;=$A59,INDEX(Monthly!$B$2:$B$61,$A59)*INDEX('Age profile'!$B$2:$B$61,N$1-$A59+1),"")</f>
        <v/>
      </c>
      <c r="O59" s="53">
        <f>IF(O$1&gt;=$A59,INDEX(Monthly!$B$2:$B$61,$A59)*INDEX('Age profile'!$B$2:$B$61,O$1-$A59+1),"")</f>
        <v/>
      </c>
      <c r="P59" s="53">
        <f>IF(P$1&gt;=$A59,INDEX(Monthly!$B$2:$B$61,$A59)*INDEX('Age profile'!$B$2:$B$61,P$1-$A59+1),"")</f>
        <v/>
      </c>
      <c r="Q59" s="53">
        <f>IF(Q$1&gt;=$A59,INDEX(Monthly!$B$2:$B$61,$A59)*INDEX('Age profile'!$B$2:$B$61,Q$1-$A59+1),"")</f>
        <v/>
      </c>
      <c r="R59" s="53">
        <f>IF(R$1&gt;=$A59,INDEX(Monthly!$B$2:$B$61,$A59)*INDEX('Age profile'!$B$2:$B$61,R$1-$A59+1),"")</f>
        <v/>
      </c>
      <c r="S59" s="53">
        <f>IF(S$1&gt;=$A59,INDEX(Monthly!$B$2:$B$61,$A59)*INDEX('Age profile'!$B$2:$B$61,S$1-$A59+1),"")</f>
        <v/>
      </c>
      <c r="T59" s="53">
        <f>IF(T$1&gt;=$A59,INDEX(Monthly!$B$2:$B$61,$A59)*INDEX('Age profile'!$B$2:$B$61,T$1-$A59+1),"")</f>
        <v/>
      </c>
      <c r="U59" s="53">
        <f>IF(U$1&gt;=$A59,INDEX(Monthly!$B$2:$B$61,$A59)*INDEX('Age profile'!$B$2:$B$61,U$1-$A59+1),"")</f>
        <v/>
      </c>
      <c r="V59" s="53">
        <f>IF(V$1&gt;=$A59,INDEX(Monthly!$B$2:$B$61,$A59)*INDEX('Age profile'!$B$2:$B$61,V$1-$A59+1),"")</f>
        <v/>
      </c>
      <c r="W59" s="53">
        <f>IF(W$1&gt;=$A59,INDEX(Monthly!$B$2:$B$61,$A59)*INDEX('Age profile'!$B$2:$B$61,W$1-$A59+1),"")</f>
        <v/>
      </c>
      <c r="X59" s="53">
        <f>IF(X$1&gt;=$A59,INDEX(Monthly!$B$2:$B$61,$A59)*INDEX('Age profile'!$B$2:$B$61,X$1-$A59+1),"")</f>
        <v/>
      </c>
      <c r="Y59" s="53">
        <f>IF(Y$1&gt;=$A59,INDEX(Monthly!$B$2:$B$61,$A59)*INDEX('Age profile'!$B$2:$B$61,Y$1-$A59+1),"")</f>
        <v/>
      </c>
      <c r="Z59" s="53">
        <f>IF(Z$1&gt;=$A59,INDEX(Monthly!$B$2:$B$61,$A59)*INDEX('Age profile'!$B$2:$B$61,Z$1-$A59+1),"")</f>
        <v/>
      </c>
      <c r="AA59" s="53">
        <f>IF(AA$1&gt;=$A59,INDEX(Monthly!$B$2:$B$61,$A59)*INDEX('Age profile'!$B$2:$B$61,AA$1-$A59+1),"")</f>
        <v/>
      </c>
      <c r="AB59" s="53">
        <f>IF(AB$1&gt;=$A59,INDEX(Monthly!$B$2:$B$61,$A59)*INDEX('Age profile'!$B$2:$B$61,AB$1-$A59+1),"")</f>
        <v/>
      </c>
      <c r="AC59" s="53">
        <f>IF(AC$1&gt;=$A59,INDEX(Monthly!$B$2:$B$61,$A59)*INDEX('Age profile'!$B$2:$B$61,AC$1-$A59+1),"")</f>
        <v/>
      </c>
      <c r="AD59" s="53">
        <f>IF(AD$1&gt;=$A59,INDEX(Monthly!$B$2:$B$61,$A59)*INDEX('Age profile'!$B$2:$B$61,AD$1-$A59+1),"")</f>
        <v/>
      </c>
      <c r="AE59" s="53">
        <f>IF(AE$1&gt;=$A59,INDEX(Monthly!$B$2:$B$61,$A59)*INDEX('Age profile'!$B$2:$B$61,AE$1-$A59+1),"")</f>
        <v/>
      </c>
      <c r="AF59" s="53">
        <f>IF(AF$1&gt;=$A59,INDEX(Monthly!$B$2:$B$61,$A59)*INDEX('Age profile'!$B$2:$B$61,AF$1-$A59+1),"")</f>
        <v/>
      </c>
      <c r="AG59" s="53">
        <f>IF(AG$1&gt;=$A59,INDEX(Monthly!$B$2:$B$61,$A59)*INDEX('Age profile'!$B$2:$B$61,AG$1-$A59+1),"")</f>
        <v/>
      </c>
      <c r="AH59" s="53">
        <f>IF(AH$1&gt;=$A59,INDEX(Monthly!$B$2:$B$61,$A59)*INDEX('Age profile'!$B$2:$B$61,AH$1-$A59+1),"")</f>
        <v/>
      </c>
      <c r="AI59" s="53">
        <f>IF(AI$1&gt;=$A59,INDEX(Monthly!$B$2:$B$61,$A59)*INDEX('Age profile'!$B$2:$B$61,AI$1-$A59+1),"")</f>
        <v/>
      </c>
      <c r="AJ59" s="53">
        <f>IF(AJ$1&gt;=$A59,INDEX(Monthly!$B$2:$B$61,$A59)*INDEX('Age profile'!$B$2:$B$61,AJ$1-$A59+1),"")</f>
        <v/>
      </c>
      <c r="AK59" s="53">
        <f>IF(AK$1&gt;=$A59,INDEX(Monthly!$B$2:$B$61,$A59)*INDEX('Age profile'!$B$2:$B$61,AK$1-$A59+1),"")</f>
        <v/>
      </c>
      <c r="AL59" s="53">
        <f>IF(AL$1&gt;=$A59,INDEX(Monthly!$B$2:$B$61,$A59)*INDEX('Age profile'!$B$2:$B$61,AL$1-$A59+1),"")</f>
        <v/>
      </c>
      <c r="AM59" s="53">
        <f>IF(AM$1&gt;=$A59,INDEX(Monthly!$B$2:$B$61,$A59)*INDEX('Age profile'!$B$2:$B$61,AM$1-$A59+1),"")</f>
        <v/>
      </c>
      <c r="AN59" s="53">
        <f>IF(AN$1&gt;=$A59,INDEX(Monthly!$B$2:$B$61,$A59)*INDEX('Age profile'!$B$2:$B$61,AN$1-$A59+1),"")</f>
        <v/>
      </c>
      <c r="AO59" s="53">
        <f>IF(AO$1&gt;=$A59,INDEX(Monthly!$B$2:$B$61,$A59)*INDEX('Age profile'!$B$2:$B$61,AO$1-$A59+1),"")</f>
        <v/>
      </c>
      <c r="AP59" s="53">
        <f>IF(AP$1&gt;=$A59,INDEX(Monthly!$B$2:$B$61,$A59)*INDEX('Age profile'!$B$2:$B$61,AP$1-$A59+1),"")</f>
        <v/>
      </c>
      <c r="AQ59" s="53">
        <f>IF(AQ$1&gt;=$A59,INDEX(Monthly!$B$2:$B$61,$A59)*INDEX('Age profile'!$B$2:$B$61,AQ$1-$A59+1),"")</f>
        <v/>
      </c>
      <c r="AR59" s="53">
        <f>IF(AR$1&gt;=$A59,INDEX(Monthly!$B$2:$B$61,$A59)*INDEX('Age profile'!$B$2:$B$61,AR$1-$A59+1),"")</f>
        <v/>
      </c>
      <c r="AS59" s="53">
        <f>IF(AS$1&gt;=$A59,INDEX(Monthly!$B$2:$B$61,$A59)*INDEX('Age profile'!$B$2:$B$61,AS$1-$A59+1),"")</f>
        <v/>
      </c>
      <c r="AT59" s="53">
        <f>IF(AT$1&gt;=$A59,INDEX(Monthly!$B$2:$B$61,$A59)*INDEX('Age profile'!$B$2:$B$61,AT$1-$A59+1),"")</f>
        <v/>
      </c>
      <c r="AU59" s="53">
        <f>IF(AU$1&gt;=$A59,INDEX(Monthly!$B$2:$B$61,$A59)*INDEX('Age profile'!$B$2:$B$61,AU$1-$A59+1),"")</f>
        <v/>
      </c>
      <c r="AV59" s="53">
        <f>IF(AV$1&gt;=$A59,INDEX(Monthly!$B$2:$B$61,$A59)*INDEX('Age profile'!$B$2:$B$61,AV$1-$A59+1),"")</f>
        <v/>
      </c>
      <c r="AW59" s="53">
        <f>IF(AW$1&gt;=$A59,INDEX(Monthly!$B$2:$B$61,$A59)*INDEX('Age profile'!$B$2:$B$61,AW$1-$A59+1),"")</f>
        <v/>
      </c>
      <c r="AX59" s="53">
        <f>IF(AX$1&gt;=$A59,INDEX(Monthly!$B$2:$B$61,$A59)*INDEX('Age profile'!$B$2:$B$61,AX$1-$A59+1),"")</f>
        <v/>
      </c>
      <c r="AY59" s="53">
        <f>IF(AY$1&gt;=$A59,INDEX(Monthly!$B$2:$B$61,$A59)*INDEX('Age profile'!$B$2:$B$61,AY$1-$A59+1),"")</f>
        <v/>
      </c>
      <c r="AZ59" s="53">
        <f>IF(AZ$1&gt;=$A59,INDEX(Monthly!$B$2:$B$61,$A59)*INDEX('Age profile'!$B$2:$B$61,AZ$1-$A59+1),"")</f>
        <v/>
      </c>
      <c r="BA59" s="53">
        <f>IF(BA$1&gt;=$A59,INDEX(Monthly!$B$2:$B$61,$A59)*INDEX('Age profile'!$B$2:$B$61,BA$1-$A59+1),"")</f>
        <v/>
      </c>
      <c r="BB59" s="53">
        <f>IF(BB$1&gt;=$A59,INDEX(Monthly!$B$2:$B$61,$A59)*INDEX('Age profile'!$B$2:$B$61,BB$1-$A59+1),"")</f>
        <v/>
      </c>
      <c r="BC59" s="53">
        <f>IF(BC$1&gt;=$A59,INDEX(Monthly!$B$2:$B$61,$A59)*INDEX('Age profile'!$B$2:$B$61,BC$1-$A59+1),"")</f>
        <v/>
      </c>
      <c r="BD59" s="53">
        <f>IF(BD$1&gt;=$A59,INDEX(Monthly!$B$2:$B$61,$A59)*INDEX('Age profile'!$B$2:$B$61,BD$1-$A59+1),"")</f>
        <v/>
      </c>
      <c r="BE59" s="53">
        <f>IF(BE$1&gt;=$A59,INDEX(Monthly!$B$2:$B$61,$A59)*INDEX('Age profile'!$B$2:$B$61,BE$1-$A59+1),"")</f>
        <v/>
      </c>
      <c r="BF59" s="53">
        <f>IF(BF$1&gt;=$A59,INDEX(Monthly!$B$2:$B$61,$A59)*INDEX('Age profile'!$B$2:$B$61,BF$1-$A59+1),"")</f>
        <v/>
      </c>
      <c r="BG59" s="53">
        <f>IF(BG$1&gt;=$A59,INDEX(Monthly!$B$2:$B$61,$A59)*INDEX('Age profile'!$B$2:$B$61,BG$1-$A59+1),"")</f>
        <v/>
      </c>
      <c r="BH59" s="53">
        <f>IF(BH$1&gt;=$A59,INDEX(Monthly!$B$2:$B$61,$A59)*INDEX('Age profile'!$B$2:$B$61,BH$1-$A59+1),"")</f>
        <v/>
      </c>
      <c r="BI59" s="53">
        <f>IF(BI$1&gt;=$A59,INDEX(Monthly!$B$2:$B$61,$A59)*INDEX('Age profile'!$B$2:$B$61,BI$1-$A59+1),"")</f>
        <v/>
      </c>
    </row>
    <row r="60">
      <c r="A60" s="3" t="n">
        <v>59</v>
      </c>
      <c r="B60" s="53">
        <f>IF(B$1&gt;=$A60,INDEX(Monthly!$B$2:$B$61,$A60)*INDEX('Age profile'!$B$2:$B$61,B$1-$A60+1),"")</f>
        <v/>
      </c>
      <c r="C60" s="53">
        <f>IF(C$1&gt;=$A60,INDEX(Monthly!$B$2:$B$61,$A60)*INDEX('Age profile'!$B$2:$B$61,C$1-$A60+1),"")</f>
        <v/>
      </c>
      <c r="D60" s="53">
        <f>IF(D$1&gt;=$A60,INDEX(Monthly!$B$2:$B$61,$A60)*INDEX('Age profile'!$B$2:$B$61,D$1-$A60+1),"")</f>
        <v/>
      </c>
      <c r="E60" s="53">
        <f>IF(E$1&gt;=$A60,INDEX(Monthly!$B$2:$B$61,$A60)*INDEX('Age profile'!$B$2:$B$61,E$1-$A60+1),"")</f>
        <v/>
      </c>
      <c r="F60" s="53">
        <f>IF(F$1&gt;=$A60,INDEX(Monthly!$B$2:$B$61,$A60)*INDEX('Age profile'!$B$2:$B$61,F$1-$A60+1),"")</f>
        <v/>
      </c>
      <c r="G60" s="53">
        <f>IF(G$1&gt;=$A60,INDEX(Monthly!$B$2:$B$61,$A60)*INDEX('Age profile'!$B$2:$B$61,G$1-$A60+1),"")</f>
        <v/>
      </c>
      <c r="H60" s="53">
        <f>IF(H$1&gt;=$A60,INDEX(Monthly!$B$2:$B$61,$A60)*INDEX('Age profile'!$B$2:$B$61,H$1-$A60+1),"")</f>
        <v/>
      </c>
      <c r="I60" s="53">
        <f>IF(I$1&gt;=$A60,INDEX(Monthly!$B$2:$B$61,$A60)*INDEX('Age profile'!$B$2:$B$61,I$1-$A60+1),"")</f>
        <v/>
      </c>
      <c r="J60" s="53">
        <f>IF(J$1&gt;=$A60,INDEX(Monthly!$B$2:$B$61,$A60)*INDEX('Age profile'!$B$2:$B$61,J$1-$A60+1),"")</f>
        <v/>
      </c>
      <c r="K60" s="53">
        <f>IF(K$1&gt;=$A60,INDEX(Monthly!$B$2:$B$61,$A60)*INDEX('Age profile'!$B$2:$B$61,K$1-$A60+1),"")</f>
        <v/>
      </c>
      <c r="L60" s="53">
        <f>IF(L$1&gt;=$A60,INDEX(Monthly!$B$2:$B$61,$A60)*INDEX('Age profile'!$B$2:$B$61,L$1-$A60+1),"")</f>
        <v/>
      </c>
      <c r="M60" s="53">
        <f>IF(M$1&gt;=$A60,INDEX(Monthly!$B$2:$B$61,$A60)*INDEX('Age profile'!$B$2:$B$61,M$1-$A60+1),"")</f>
        <v/>
      </c>
      <c r="N60" s="53">
        <f>IF(N$1&gt;=$A60,INDEX(Monthly!$B$2:$B$61,$A60)*INDEX('Age profile'!$B$2:$B$61,N$1-$A60+1),"")</f>
        <v/>
      </c>
      <c r="O60" s="53">
        <f>IF(O$1&gt;=$A60,INDEX(Monthly!$B$2:$B$61,$A60)*INDEX('Age profile'!$B$2:$B$61,O$1-$A60+1),"")</f>
        <v/>
      </c>
      <c r="P60" s="53">
        <f>IF(P$1&gt;=$A60,INDEX(Monthly!$B$2:$B$61,$A60)*INDEX('Age profile'!$B$2:$B$61,P$1-$A60+1),"")</f>
        <v/>
      </c>
      <c r="Q60" s="53">
        <f>IF(Q$1&gt;=$A60,INDEX(Monthly!$B$2:$B$61,$A60)*INDEX('Age profile'!$B$2:$B$61,Q$1-$A60+1),"")</f>
        <v/>
      </c>
      <c r="R60" s="53">
        <f>IF(R$1&gt;=$A60,INDEX(Monthly!$B$2:$B$61,$A60)*INDEX('Age profile'!$B$2:$B$61,R$1-$A60+1),"")</f>
        <v/>
      </c>
      <c r="S60" s="53">
        <f>IF(S$1&gt;=$A60,INDEX(Monthly!$B$2:$B$61,$A60)*INDEX('Age profile'!$B$2:$B$61,S$1-$A60+1),"")</f>
        <v/>
      </c>
      <c r="T60" s="53">
        <f>IF(T$1&gt;=$A60,INDEX(Monthly!$B$2:$B$61,$A60)*INDEX('Age profile'!$B$2:$B$61,T$1-$A60+1),"")</f>
        <v/>
      </c>
      <c r="U60" s="53">
        <f>IF(U$1&gt;=$A60,INDEX(Monthly!$B$2:$B$61,$A60)*INDEX('Age profile'!$B$2:$B$61,U$1-$A60+1),"")</f>
        <v/>
      </c>
      <c r="V60" s="53">
        <f>IF(V$1&gt;=$A60,INDEX(Monthly!$B$2:$B$61,$A60)*INDEX('Age profile'!$B$2:$B$61,V$1-$A60+1),"")</f>
        <v/>
      </c>
      <c r="W60" s="53">
        <f>IF(W$1&gt;=$A60,INDEX(Monthly!$B$2:$B$61,$A60)*INDEX('Age profile'!$B$2:$B$61,W$1-$A60+1),"")</f>
        <v/>
      </c>
      <c r="X60" s="53">
        <f>IF(X$1&gt;=$A60,INDEX(Monthly!$B$2:$B$61,$A60)*INDEX('Age profile'!$B$2:$B$61,X$1-$A60+1),"")</f>
        <v/>
      </c>
      <c r="Y60" s="53">
        <f>IF(Y$1&gt;=$A60,INDEX(Monthly!$B$2:$B$61,$A60)*INDEX('Age profile'!$B$2:$B$61,Y$1-$A60+1),"")</f>
        <v/>
      </c>
      <c r="Z60" s="53">
        <f>IF(Z$1&gt;=$A60,INDEX(Monthly!$B$2:$B$61,$A60)*INDEX('Age profile'!$B$2:$B$61,Z$1-$A60+1),"")</f>
        <v/>
      </c>
      <c r="AA60" s="53">
        <f>IF(AA$1&gt;=$A60,INDEX(Monthly!$B$2:$B$61,$A60)*INDEX('Age profile'!$B$2:$B$61,AA$1-$A60+1),"")</f>
        <v/>
      </c>
      <c r="AB60" s="53">
        <f>IF(AB$1&gt;=$A60,INDEX(Monthly!$B$2:$B$61,$A60)*INDEX('Age profile'!$B$2:$B$61,AB$1-$A60+1),"")</f>
        <v/>
      </c>
      <c r="AC60" s="53">
        <f>IF(AC$1&gt;=$A60,INDEX(Monthly!$B$2:$B$61,$A60)*INDEX('Age profile'!$B$2:$B$61,AC$1-$A60+1),"")</f>
        <v/>
      </c>
      <c r="AD60" s="53">
        <f>IF(AD$1&gt;=$A60,INDEX(Monthly!$B$2:$B$61,$A60)*INDEX('Age profile'!$B$2:$B$61,AD$1-$A60+1),"")</f>
        <v/>
      </c>
      <c r="AE60" s="53">
        <f>IF(AE$1&gt;=$A60,INDEX(Monthly!$B$2:$B$61,$A60)*INDEX('Age profile'!$B$2:$B$61,AE$1-$A60+1),"")</f>
        <v/>
      </c>
      <c r="AF60" s="53">
        <f>IF(AF$1&gt;=$A60,INDEX(Monthly!$B$2:$B$61,$A60)*INDEX('Age profile'!$B$2:$B$61,AF$1-$A60+1),"")</f>
        <v/>
      </c>
      <c r="AG60" s="53">
        <f>IF(AG$1&gt;=$A60,INDEX(Monthly!$B$2:$B$61,$A60)*INDEX('Age profile'!$B$2:$B$61,AG$1-$A60+1),"")</f>
        <v/>
      </c>
      <c r="AH60" s="53">
        <f>IF(AH$1&gt;=$A60,INDEX(Monthly!$B$2:$B$61,$A60)*INDEX('Age profile'!$B$2:$B$61,AH$1-$A60+1),"")</f>
        <v/>
      </c>
      <c r="AI60" s="53">
        <f>IF(AI$1&gt;=$A60,INDEX(Monthly!$B$2:$B$61,$A60)*INDEX('Age profile'!$B$2:$B$61,AI$1-$A60+1),"")</f>
        <v/>
      </c>
      <c r="AJ60" s="53">
        <f>IF(AJ$1&gt;=$A60,INDEX(Monthly!$B$2:$B$61,$A60)*INDEX('Age profile'!$B$2:$B$61,AJ$1-$A60+1),"")</f>
        <v/>
      </c>
      <c r="AK60" s="53">
        <f>IF(AK$1&gt;=$A60,INDEX(Monthly!$B$2:$B$61,$A60)*INDEX('Age profile'!$B$2:$B$61,AK$1-$A60+1),"")</f>
        <v/>
      </c>
      <c r="AL60" s="53">
        <f>IF(AL$1&gt;=$A60,INDEX(Monthly!$B$2:$B$61,$A60)*INDEX('Age profile'!$B$2:$B$61,AL$1-$A60+1),"")</f>
        <v/>
      </c>
      <c r="AM60" s="53">
        <f>IF(AM$1&gt;=$A60,INDEX(Monthly!$B$2:$B$61,$A60)*INDEX('Age profile'!$B$2:$B$61,AM$1-$A60+1),"")</f>
        <v/>
      </c>
      <c r="AN60" s="53">
        <f>IF(AN$1&gt;=$A60,INDEX(Monthly!$B$2:$B$61,$A60)*INDEX('Age profile'!$B$2:$B$61,AN$1-$A60+1),"")</f>
        <v/>
      </c>
      <c r="AO60" s="53">
        <f>IF(AO$1&gt;=$A60,INDEX(Monthly!$B$2:$B$61,$A60)*INDEX('Age profile'!$B$2:$B$61,AO$1-$A60+1),"")</f>
        <v/>
      </c>
      <c r="AP60" s="53">
        <f>IF(AP$1&gt;=$A60,INDEX(Monthly!$B$2:$B$61,$A60)*INDEX('Age profile'!$B$2:$B$61,AP$1-$A60+1),"")</f>
        <v/>
      </c>
      <c r="AQ60" s="53">
        <f>IF(AQ$1&gt;=$A60,INDEX(Monthly!$B$2:$B$61,$A60)*INDEX('Age profile'!$B$2:$B$61,AQ$1-$A60+1),"")</f>
        <v/>
      </c>
      <c r="AR60" s="53">
        <f>IF(AR$1&gt;=$A60,INDEX(Monthly!$B$2:$B$61,$A60)*INDEX('Age profile'!$B$2:$B$61,AR$1-$A60+1),"")</f>
        <v/>
      </c>
      <c r="AS60" s="53">
        <f>IF(AS$1&gt;=$A60,INDEX(Monthly!$B$2:$B$61,$A60)*INDEX('Age profile'!$B$2:$B$61,AS$1-$A60+1),"")</f>
        <v/>
      </c>
      <c r="AT60" s="53">
        <f>IF(AT$1&gt;=$A60,INDEX(Monthly!$B$2:$B$61,$A60)*INDEX('Age profile'!$B$2:$B$61,AT$1-$A60+1),"")</f>
        <v/>
      </c>
      <c r="AU60" s="53">
        <f>IF(AU$1&gt;=$A60,INDEX(Monthly!$B$2:$B$61,$A60)*INDEX('Age profile'!$B$2:$B$61,AU$1-$A60+1),"")</f>
        <v/>
      </c>
      <c r="AV60" s="53">
        <f>IF(AV$1&gt;=$A60,INDEX(Monthly!$B$2:$B$61,$A60)*INDEX('Age profile'!$B$2:$B$61,AV$1-$A60+1),"")</f>
        <v/>
      </c>
      <c r="AW60" s="53">
        <f>IF(AW$1&gt;=$A60,INDEX(Monthly!$B$2:$B$61,$A60)*INDEX('Age profile'!$B$2:$B$61,AW$1-$A60+1),"")</f>
        <v/>
      </c>
      <c r="AX60" s="53">
        <f>IF(AX$1&gt;=$A60,INDEX(Monthly!$B$2:$B$61,$A60)*INDEX('Age profile'!$B$2:$B$61,AX$1-$A60+1),"")</f>
        <v/>
      </c>
      <c r="AY60" s="53">
        <f>IF(AY$1&gt;=$A60,INDEX(Monthly!$B$2:$B$61,$A60)*INDEX('Age profile'!$B$2:$B$61,AY$1-$A60+1),"")</f>
        <v/>
      </c>
      <c r="AZ60" s="53">
        <f>IF(AZ$1&gt;=$A60,INDEX(Monthly!$B$2:$B$61,$A60)*INDEX('Age profile'!$B$2:$B$61,AZ$1-$A60+1),"")</f>
        <v/>
      </c>
      <c r="BA60" s="53">
        <f>IF(BA$1&gt;=$A60,INDEX(Monthly!$B$2:$B$61,$A60)*INDEX('Age profile'!$B$2:$B$61,BA$1-$A60+1),"")</f>
        <v/>
      </c>
      <c r="BB60" s="53">
        <f>IF(BB$1&gt;=$A60,INDEX(Monthly!$B$2:$B$61,$A60)*INDEX('Age profile'!$B$2:$B$61,BB$1-$A60+1),"")</f>
        <v/>
      </c>
      <c r="BC60" s="53">
        <f>IF(BC$1&gt;=$A60,INDEX(Monthly!$B$2:$B$61,$A60)*INDEX('Age profile'!$B$2:$B$61,BC$1-$A60+1),"")</f>
        <v/>
      </c>
      <c r="BD60" s="53">
        <f>IF(BD$1&gt;=$A60,INDEX(Monthly!$B$2:$B$61,$A60)*INDEX('Age profile'!$B$2:$B$61,BD$1-$A60+1),"")</f>
        <v/>
      </c>
      <c r="BE60" s="53">
        <f>IF(BE$1&gt;=$A60,INDEX(Monthly!$B$2:$B$61,$A60)*INDEX('Age profile'!$B$2:$B$61,BE$1-$A60+1),"")</f>
        <v/>
      </c>
      <c r="BF60" s="53">
        <f>IF(BF$1&gt;=$A60,INDEX(Monthly!$B$2:$B$61,$A60)*INDEX('Age profile'!$B$2:$B$61,BF$1-$A60+1),"")</f>
        <v/>
      </c>
      <c r="BG60" s="53">
        <f>IF(BG$1&gt;=$A60,INDEX(Monthly!$B$2:$B$61,$A60)*INDEX('Age profile'!$B$2:$B$61,BG$1-$A60+1),"")</f>
        <v/>
      </c>
      <c r="BH60" s="53">
        <f>IF(BH$1&gt;=$A60,INDEX(Monthly!$B$2:$B$61,$A60)*INDEX('Age profile'!$B$2:$B$61,BH$1-$A60+1),"")</f>
        <v/>
      </c>
      <c r="BI60" s="53">
        <f>IF(BI$1&gt;=$A60,INDEX(Monthly!$B$2:$B$61,$A60)*INDEX('Age profile'!$B$2:$B$61,BI$1-$A60+1),"")</f>
        <v/>
      </c>
    </row>
    <row r="61">
      <c r="A61" s="3" t="n">
        <v>60</v>
      </c>
      <c r="B61" s="53">
        <f>IF(B$1&gt;=$A61,INDEX(Monthly!$B$2:$B$61,$A61)*INDEX('Age profile'!$B$2:$B$61,B$1-$A61+1),"")</f>
        <v/>
      </c>
      <c r="C61" s="53">
        <f>IF(C$1&gt;=$A61,INDEX(Monthly!$B$2:$B$61,$A61)*INDEX('Age profile'!$B$2:$B$61,C$1-$A61+1),"")</f>
        <v/>
      </c>
      <c r="D61" s="53">
        <f>IF(D$1&gt;=$A61,INDEX(Monthly!$B$2:$B$61,$A61)*INDEX('Age profile'!$B$2:$B$61,D$1-$A61+1),"")</f>
        <v/>
      </c>
      <c r="E61" s="53">
        <f>IF(E$1&gt;=$A61,INDEX(Monthly!$B$2:$B$61,$A61)*INDEX('Age profile'!$B$2:$B$61,E$1-$A61+1),"")</f>
        <v/>
      </c>
      <c r="F61" s="53">
        <f>IF(F$1&gt;=$A61,INDEX(Monthly!$B$2:$B$61,$A61)*INDEX('Age profile'!$B$2:$B$61,F$1-$A61+1),"")</f>
        <v/>
      </c>
      <c r="G61" s="53">
        <f>IF(G$1&gt;=$A61,INDEX(Monthly!$B$2:$B$61,$A61)*INDEX('Age profile'!$B$2:$B$61,G$1-$A61+1),"")</f>
        <v/>
      </c>
      <c r="H61" s="53">
        <f>IF(H$1&gt;=$A61,INDEX(Monthly!$B$2:$B$61,$A61)*INDEX('Age profile'!$B$2:$B$61,H$1-$A61+1),"")</f>
        <v/>
      </c>
      <c r="I61" s="53">
        <f>IF(I$1&gt;=$A61,INDEX(Monthly!$B$2:$B$61,$A61)*INDEX('Age profile'!$B$2:$B$61,I$1-$A61+1),"")</f>
        <v/>
      </c>
      <c r="J61" s="53">
        <f>IF(J$1&gt;=$A61,INDEX(Monthly!$B$2:$B$61,$A61)*INDEX('Age profile'!$B$2:$B$61,J$1-$A61+1),"")</f>
        <v/>
      </c>
      <c r="K61" s="53">
        <f>IF(K$1&gt;=$A61,INDEX(Monthly!$B$2:$B$61,$A61)*INDEX('Age profile'!$B$2:$B$61,K$1-$A61+1),"")</f>
        <v/>
      </c>
      <c r="L61" s="53">
        <f>IF(L$1&gt;=$A61,INDEX(Monthly!$B$2:$B$61,$A61)*INDEX('Age profile'!$B$2:$B$61,L$1-$A61+1),"")</f>
        <v/>
      </c>
      <c r="M61" s="53">
        <f>IF(M$1&gt;=$A61,INDEX(Monthly!$B$2:$B$61,$A61)*INDEX('Age profile'!$B$2:$B$61,M$1-$A61+1),"")</f>
        <v/>
      </c>
      <c r="N61" s="53">
        <f>IF(N$1&gt;=$A61,INDEX(Monthly!$B$2:$B$61,$A61)*INDEX('Age profile'!$B$2:$B$61,N$1-$A61+1),"")</f>
        <v/>
      </c>
      <c r="O61" s="53">
        <f>IF(O$1&gt;=$A61,INDEX(Monthly!$B$2:$B$61,$A61)*INDEX('Age profile'!$B$2:$B$61,O$1-$A61+1),"")</f>
        <v/>
      </c>
      <c r="P61" s="53">
        <f>IF(P$1&gt;=$A61,INDEX(Monthly!$B$2:$B$61,$A61)*INDEX('Age profile'!$B$2:$B$61,P$1-$A61+1),"")</f>
        <v/>
      </c>
      <c r="Q61" s="53">
        <f>IF(Q$1&gt;=$A61,INDEX(Monthly!$B$2:$B$61,$A61)*INDEX('Age profile'!$B$2:$B$61,Q$1-$A61+1),"")</f>
        <v/>
      </c>
      <c r="R61" s="53">
        <f>IF(R$1&gt;=$A61,INDEX(Monthly!$B$2:$B$61,$A61)*INDEX('Age profile'!$B$2:$B$61,R$1-$A61+1),"")</f>
        <v/>
      </c>
      <c r="S61" s="53">
        <f>IF(S$1&gt;=$A61,INDEX(Monthly!$B$2:$B$61,$A61)*INDEX('Age profile'!$B$2:$B$61,S$1-$A61+1),"")</f>
        <v/>
      </c>
      <c r="T61" s="53">
        <f>IF(T$1&gt;=$A61,INDEX(Monthly!$B$2:$B$61,$A61)*INDEX('Age profile'!$B$2:$B$61,T$1-$A61+1),"")</f>
        <v/>
      </c>
      <c r="U61" s="53">
        <f>IF(U$1&gt;=$A61,INDEX(Monthly!$B$2:$B$61,$A61)*INDEX('Age profile'!$B$2:$B$61,U$1-$A61+1),"")</f>
        <v/>
      </c>
      <c r="V61" s="53">
        <f>IF(V$1&gt;=$A61,INDEX(Monthly!$B$2:$B$61,$A61)*INDEX('Age profile'!$B$2:$B$61,V$1-$A61+1),"")</f>
        <v/>
      </c>
      <c r="W61" s="53">
        <f>IF(W$1&gt;=$A61,INDEX(Monthly!$B$2:$B$61,$A61)*INDEX('Age profile'!$B$2:$B$61,W$1-$A61+1),"")</f>
        <v/>
      </c>
      <c r="X61" s="53">
        <f>IF(X$1&gt;=$A61,INDEX(Monthly!$B$2:$B$61,$A61)*INDEX('Age profile'!$B$2:$B$61,X$1-$A61+1),"")</f>
        <v/>
      </c>
      <c r="Y61" s="53">
        <f>IF(Y$1&gt;=$A61,INDEX(Monthly!$B$2:$B$61,$A61)*INDEX('Age profile'!$B$2:$B$61,Y$1-$A61+1),"")</f>
        <v/>
      </c>
      <c r="Z61" s="53">
        <f>IF(Z$1&gt;=$A61,INDEX(Monthly!$B$2:$B$61,$A61)*INDEX('Age profile'!$B$2:$B$61,Z$1-$A61+1),"")</f>
        <v/>
      </c>
      <c r="AA61" s="53">
        <f>IF(AA$1&gt;=$A61,INDEX(Monthly!$B$2:$B$61,$A61)*INDEX('Age profile'!$B$2:$B$61,AA$1-$A61+1),"")</f>
        <v/>
      </c>
      <c r="AB61" s="53">
        <f>IF(AB$1&gt;=$A61,INDEX(Monthly!$B$2:$B$61,$A61)*INDEX('Age profile'!$B$2:$B$61,AB$1-$A61+1),"")</f>
        <v/>
      </c>
      <c r="AC61" s="53">
        <f>IF(AC$1&gt;=$A61,INDEX(Monthly!$B$2:$B$61,$A61)*INDEX('Age profile'!$B$2:$B$61,AC$1-$A61+1),"")</f>
        <v/>
      </c>
      <c r="AD61" s="53">
        <f>IF(AD$1&gt;=$A61,INDEX(Monthly!$B$2:$B$61,$A61)*INDEX('Age profile'!$B$2:$B$61,AD$1-$A61+1),"")</f>
        <v/>
      </c>
      <c r="AE61" s="53">
        <f>IF(AE$1&gt;=$A61,INDEX(Monthly!$B$2:$B$61,$A61)*INDEX('Age profile'!$B$2:$B$61,AE$1-$A61+1),"")</f>
        <v/>
      </c>
      <c r="AF61" s="53">
        <f>IF(AF$1&gt;=$A61,INDEX(Monthly!$B$2:$B$61,$A61)*INDEX('Age profile'!$B$2:$B$61,AF$1-$A61+1),"")</f>
        <v/>
      </c>
      <c r="AG61" s="53">
        <f>IF(AG$1&gt;=$A61,INDEX(Monthly!$B$2:$B$61,$A61)*INDEX('Age profile'!$B$2:$B$61,AG$1-$A61+1),"")</f>
        <v/>
      </c>
      <c r="AH61" s="53">
        <f>IF(AH$1&gt;=$A61,INDEX(Monthly!$B$2:$B$61,$A61)*INDEX('Age profile'!$B$2:$B$61,AH$1-$A61+1),"")</f>
        <v/>
      </c>
      <c r="AI61" s="53">
        <f>IF(AI$1&gt;=$A61,INDEX(Monthly!$B$2:$B$61,$A61)*INDEX('Age profile'!$B$2:$B$61,AI$1-$A61+1),"")</f>
        <v/>
      </c>
      <c r="AJ61" s="53">
        <f>IF(AJ$1&gt;=$A61,INDEX(Monthly!$B$2:$B$61,$A61)*INDEX('Age profile'!$B$2:$B$61,AJ$1-$A61+1),"")</f>
        <v/>
      </c>
      <c r="AK61" s="53">
        <f>IF(AK$1&gt;=$A61,INDEX(Monthly!$B$2:$B$61,$A61)*INDEX('Age profile'!$B$2:$B$61,AK$1-$A61+1),"")</f>
        <v/>
      </c>
      <c r="AL61" s="53">
        <f>IF(AL$1&gt;=$A61,INDEX(Monthly!$B$2:$B$61,$A61)*INDEX('Age profile'!$B$2:$B$61,AL$1-$A61+1),"")</f>
        <v/>
      </c>
      <c r="AM61" s="53">
        <f>IF(AM$1&gt;=$A61,INDEX(Monthly!$B$2:$B$61,$A61)*INDEX('Age profile'!$B$2:$B$61,AM$1-$A61+1),"")</f>
        <v/>
      </c>
      <c r="AN61" s="53">
        <f>IF(AN$1&gt;=$A61,INDEX(Monthly!$B$2:$B$61,$A61)*INDEX('Age profile'!$B$2:$B$61,AN$1-$A61+1),"")</f>
        <v/>
      </c>
      <c r="AO61" s="53">
        <f>IF(AO$1&gt;=$A61,INDEX(Monthly!$B$2:$B$61,$A61)*INDEX('Age profile'!$B$2:$B$61,AO$1-$A61+1),"")</f>
        <v/>
      </c>
      <c r="AP61" s="53">
        <f>IF(AP$1&gt;=$A61,INDEX(Monthly!$B$2:$B$61,$A61)*INDEX('Age profile'!$B$2:$B$61,AP$1-$A61+1),"")</f>
        <v/>
      </c>
      <c r="AQ61" s="53">
        <f>IF(AQ$1&gt;=$A61,INDEX(Monthly!$B$2:$B$61,$A61)*INDEX('Age profile'!$B$2:$B$61,AQ$1-$A61+1),"")</f>
        <v/>
      </c>
      <c r="AR61" s="53">
        <f>IF(AR$1&gt;=$A61,INDEX(Monthly!$B$2:$B$61,$A61)*INDEX('Age profile'!$B$2:$B$61,AR$1-$A61+1),"")</f>
        <v/>
      </c>
      <c r="AS61" s="53">
        <f>IF(AS$1&gt;=$A61,INDEX(Monthly!$B$2:$B$61,$A61)*INDEX('Age profile'!$B$2:$B$61,AS$1-$A61+1),"")</f>
        <v/>
      </c>
      <c r="AT61" s="53">
        <f>IF(AT$1&gt;=$A61,INDEX(Monthly!$B$2:$B$61,$A61)*INDEX('Age profile'!$B$2:$B$61,AT$1-$A61+1),"")</f>
        <v/>
      </c>
      <c r="AU61" s="53">
        <f>IF(AU$1&gt;=$A61,INDEX(Monthly!$B$2:$B$61,$A61)*INDEX('Age profile'!$B$2:$B$61,AU$1-$A61+1),"")</f>
        <v/>
      </c>
      <c r="AV61" s="53">
        <f>IF(AV$1&gt;=$A61,INDEX(Monthly!$B$2:$B$61,$A61)*INDEX('Age profile'!$B$2:$B$61,AV$1-$A61+1),"")</f>
        <v/>
      </c>
      <c r="AW61" s="53">
        <f>IF(AW$1&gt;=$A61,INDEX(Monthly!$B$2:$B$61,$A61)*INDEX('Age profile'!$B$2:$B$61,AW$1-$A61+1),"")</f>
        <v/>
      </c>
      <c r="AX61" s="53">
        <f>IF(AX$1&gt;=$A61,INDEX(Monthly!$B$2:$B$61,$A61)*INDEX('Age profile'!$B$2:$B$61,AX$1-$A61+1),"")</f>
        <v/>
      </c>
      <c r="AY61" s="53">
        <f>IF(AY$1&gt;=$A61,INDEX(Monthly!$B$2:$B$61,$A61)*INDEX('Age profile'!$B$2:$B$61,AY$1-$A61+1),"")</f>
        <v/>
      </c>
      <c r="AZ61" s="53">
        <f>IF(AZ$1&gt;=$A61,INDEX(Monthly!$B$2:$B$61,$A61)*INDEX('Age profile'!$B$2:$B$61,AZ$1-$A61+1),"")</f>
        <v/>
      </c>
      <c r="BA61" s="53">
        <f>IF(BA$1&gt;=$A61,INDEX(Monthly!$B$2:$B$61,$A61)*INDEX('Age profile'!$B$2:$B$61,BA$1-$A61+1),"")</f>
        <v/>
      </c>
      <c r="BB61" s="53">
        <f>IF(BB$1&gt;=$A61,INDEX(Monthly!$B$2:$B$61,$A61)*INDEX('Age profile'!$B$2:$B$61,BB$1-$A61+1),"")</f>
        <v/>
      </c>
      <c r="BC61" s="53">
        <f>IF(BC$1&gt;=$A61,INDEX(Monthly!$B$2:$B$61,$A61)*INDEX('Age profile'!$B$2:$B$61,BC$1-$A61+1),"")</f>
        <v/>
      </c>
      <c r="BD61" s="53">
        <f>IF(BD$1&gt;=$A61,INDEX(Monthly!$B$2:$B$61,$A61)*INDEX('Age profile'!$B$2:$B$61,BD$1-$A61+1),"")</f>
        <v/>
      </c>
      <c r="BE61" s="53">
        <f>IF(BE$1&gt;=$A61,INDEX(Monthly!$B$2:$B$61,$A61)*INDEX('Age profile'!$B$2:$B$61,BE$1-$A61+1),"")</f>
        <v/>
      </c>
      <c r="BF61" s="53">
        <f>IF(BF$1&gt;=$A61,INDEX(Monthly!$B$2:$B$61,$A61)*INDEX('Age profile'!$B$2:$B$61,BF$1-$A61+1),"")</f>
        <v/>
      </c>
      <c r="BG61" s="53">
        <f>IF(BG$1&gt;=$A61,INDEX(Monthly!$B$2:$B$61,$A61)*INDEX('Age profile'!$B$2:$B$61,BG$1-$A61+1),"")</f>
        <v/>
      </c>
      <c r="BH61" s="53">
        <f>IF(BH$1&gt;=$A61,INDEX(Monthly!$B$2:$B$61,$A61)*INDEX('Age profile'!$B$2:$B$61,BH$1-$A61+1),"")</f>
        <v/>
      </c>
      <c r="BI61" s="53">
        <f>IF(BI$1&gt;=$A61,INDEX(Monthly!$B$2:$B$61,$A61)*INDEX('Age profile'!$B$2:$B$61,BI$1-$A61+1),"")</f>
        <v/>
      </c>
    </row>
    <row r="62">
      <c r="A62" s="3" t="inlineStr">
        <is>
          <t>Total savers</t>
        </is>
      </c>
      <c r="B62" s="54">
        <f>SUM(B2:B61)</f>
        <v/>
      </c>
      <c r="C62" s="54">
        <f>SUM(C2:C61)</f>
        <v/>
      </c>
      <c r="D62" s="54">
        <f>SUM(D2:D61)</f>
        <v/>
      </c>
      <c r="E62" s="54">
        <f>SUM(E2:E61)</f>
        <v/>
      </c>
      <c r="F62" s="54">
        <f>SUM(F2:F61)</f>
        <v/>
      </c>
      <c r="G62" s="54">
        <f>SUM(G2:G61)</f>
        <v/>
      </c>
      <c r="H62" s="54">
        <f>SUM(H2:H61)</f>
        <v/>
      </c>
      <c r="I62" s="54">
        <f>SUM(I2:I61)</f>
        <v/>
      </c>
      <c r="J62" s="54">
        <f>SUM(J2:J61)</f>
        <v/>
      </c>
      <c r="K62" s="54">
        <f>SUM(K2:K61)</f>
        <v/>
      </c>
      <c r="L62" s="54">
        <f>SUM(L2:L61)</f>
        <v/>
      </c>
      <c r="M62" s="54">
        <f>SUM(M2:M61)</f>
        <v/>
      </c>
      <c r="N62" s="54">
        <f>SUM(N2:N61)</f>
        <v/>
      </c>
      <c r="O62" s="54">
        <f>SUM(O2:O61)</f>
        <v/>
      </c>
      <c r="P62" s="54">
        <f>SUM(P2:P61)</f>
        <v/>
      </c>
      <c r="Q62" s="54">
        <f>SUM(Q2:Q61)</f>
        <v/>
      </c>
      <c r="R62" s="54">
        <f>SUM(R2:R61)</f>
        <v/>
      </c>
      <c r="S62" s="54">
        <f>SUM(S2:S61)</f>
        <v/>
      </c>
      <c r="T62" s="54">
        <f>SUM(T2:T61)</f>
        <v/>
      </c>
      <c r="U62" s="54">
        <f>SUM(U2:U61)</f>
        <v/>
      </c>
      <c r="V62" s="54">
        <f>SUM(V2:V61)</f>
        <v/>
      </c>
      <c r="W62" s="54">
        <f>SUM(W2:W61)</f>
        <v/>
      </c>
      <c r="X62" s="54">
        <f>SUM(X2:X61)</f>
        <v/>
      </c>
      <c r="Y62" s="54">
        <f>SUM(Y2:Y61)</f>
        <v/>
      </c>
      <c r="Z62" s="54">
        <f>SUM(Z2:Z61)</f>
        <v/>
      </c>
      <c r="AA62" s="54">
        <f>SUM(AA2:AA61)</f>
        <v/>
      </c>
      <c r="AB62" s="54">
        <f>SUM(AB2:AB61)</f>
        <v/>
      </c>
      <c r="AC62" s="54">
        <f>SUM(AC2:AC61)</f>
        <v/>
      </c>
      <c r="AD62" s="54">
        <f>SUM(AD2:AD61)</f>
        <v/>
      </c>
      <c r="AE62" s="54">
        <f>SUM(AE2:AE61)</f>
        <v/>
      </c>
      <c r="AF62" s="54">
        <f>SUM(AF2:AF61)</f>
        <v/>
      </c>
      <c r="AG62" s="54">
        <f>SUM(AG2:AG61)</f>
        <v/>
      </c>
      <c r="AH62" s="54">
        <f>SUM(AH2:AH61)</f>
        <v/>
      </c>
      <c r="AI62" s="54">
        <f>SUM(AI2:AI61)</f>
        <v/>
      </c>
      <c r="AJ62" s="54">
        <f>SUM(AJ2:AJ61)</f>
        <v/>
      </c>
      <c r="AK62" s="54">
        <f>SUM(AK2:AK61)</f>
        <v/>
      </c>
      <c r="AL62" s="54">
        <f>SUM(AL2:AL61)</f>
        <v/>
      </c>
      <c r="AM62" s="54">
        <f>SUM(AM2:AM61)</f>
        <v/>
      </c>
      <c r="AN62" s="54">
        <f>SUM(AN2:AN61)</f>
        <v/>
      </c>
      <c r="AO62" s="54">
        <f>SUM(AO2:AO61)</f>
        <v/>
      </c>
      <c r="AP62" s="54">
        <f>SUM(AP2:AP61)</f>
        <v/>
      </c>
      <c r="AQ62" s="54">
        <f>SUM(AQ2:AQ61)</f>
        <v/>
      </c>
      <c r="AR62" s="54">
        <f>SUM(AR2:AR61)</f>
        <v/>
      </c>
      <c r="AS62" s="54">
        <f>SUM(AS2:AS61)</f>
        <v/>
      </c>
      <c r="AT62" s="54">
        <f>SUM(AT2:AT61)</f>
        <v/>
      </c>
      <c r="AU62" s="54">
        <f>SUM(AU2:AU61)</f>
        <v/>
      </c>
      <c r="AV62" s="54">
        <f>SUM(AV2:AV61)</f>
        <v/>
      </c>
      <c r="AW62" s="54">
        <f>SUM(AW2:AW61)</f>
        <v/>
      </c>
      <c r="AX62" s="54">
        <f>SUM(AX2:AX61)</f>
        <v/>
      </c>
      <c r="AY62" s="54">
        <f>SUM(AY2:AY61)</f>
        <v/>
      </c>
      <c r="AZ62" s="54">
        <f>SUM(AZ2:AZ61)</f>
        <v/>
      </c>
      <c r="BA62" s="54">
        <f>SUM(BA2:BA61)</f>
        <v/>
      </c>
      <c r="BB62" s="54">
        <f>SUM(BB2:BB61)</f>
        <v/>
      </c>
      <c r="BC62" s="54">
        <f>SUM(BC2:BC61)</f>
        <v/>
      </c>
      <c r="BD62" s="54">
        <f>SUM(BD2:BD61)</f>
        <v/>
      </c>
      <c r="BE62" s="54">
        <f>SUM(BE2:BE61)</f>
        <v/>
      </c>
      <c r="BF62" s="54">
        <f>SUM(BF2:BF61)</f>
        <v/>
      </c>
      <c r="BG62" s="54">
        <f>SUM(BG2:BG61)</f>
        <v/>
      </c>
      <c r="BH62" s="54">
        <f>SUM(BH2:BH61)</f>
        <v/>
      </c>
      <c r="BI62" s="54">
        <f>SUM(BI2:BI61)</f>
        <v/>
      </c>
    </row>
    <row r="63">
      <c r="A63" s="5" t="inlineStr">
        <is>
          <t>Check: Monthly</t>
        </is>
      </c>
      <c r="B63" s="55">
        <f>Monthly!C2-B62</f>
        <v/>
      </c>
      <c r="C63" s="55">
        <f>Monthly!C3-C62</f>
        <v/>
      </c>
      <c r="D63" s="55">
        <f>Monthly!C4-D62</f>
        <v/>
      </c>
      <c r="E63" s="55">
        <f>Monthly!C5-E62</f>
        <v/>
      </c>
      <c r="F63" s="55">
        <f>Monthly!C6-F62</f>
        <v/>
      </c>
      <c r="G63" s="55">
        <f>Monthly!C7-G62</f>
        <v/>
      </c>
      <c r="H63" s="55">
        <f>Monthly!C8-H62</f>
        <v/>
      </c>
      <c r="I63" s="55">
        <f>Monthly!C9-I62</f>
        <v/>
      </c>
      <c r="J63" s="55">
        <f>Monthly!C10-J62</f>
        <v/>
      </c>
      <c r="K63" s="55">
        <f>Monthly!C11-K62</f>
        <v/>
      </c>
      <c r="L63" s="55">
        <f>Monthly!C12-L62</f>
        <v/>
      </c>
      <c r="M63" s="55">
        <f>Monthly!C13-M62</f>
        <v/>
      </c>
      <c r="N63" s="55">
        <f>Monthly!C14-N62</f>
        <v/>
      </c>
      <c r="O63" s="55">
        <f>Monthly!C15-O62</f>
        <v/>
      </c>
      <c r="P63" s="55">
        <f>Monthly!C16-P62</f>
        <v/>
      </c>
      <c r="Q63" s="55">
        <f>Monthly!C17-Q62</f>
        <v/>
      </c>
      <c r="R63" s="55">
        <f>Monthly!C18-R62</f>
        <v/>
      </c>
      <c r="S63" s="55">
        <f>Monthly!C19-S62</f>
        <v/>
      </c>
      <c r="T63" s="55">
        <f>Monthly!C20-T62</f>
        <v/>
      </c>
      <c r="U63" s="55">
        <f>Monthly!C21-U62</f>
        <v/>
      </c>
      <c r="V63" s="55">
        <f>Monthly!C22-V62</f>
        <v/>
      </c>
      <c r="W63" s="55">
        <f>Monthly!C23-W62</f>
        <v/>
      </c>
      <c r="X63" s="55">
        <f>Monthly!C24-X62</f>
        <v/>
      </c>
      <c r="Y63" s="55">
        <f>Monthly!C25-Y62</f>
        <v/>
      </c>
      <c r="Z63" s="55">
        <f>Monthly!C26-Z62</f>
        <v/>
      </c>
      <c r="AA63" s="55">
        <f>Monthly!C27-AA62</f>
        <v/>
      </c>
      <c r="AB63" s="55">
        <f>Monthly!C28-AB62</f>
        <v/>
      </c>
      <c r="AC63" s="55">
        <f>Monthly!C29-AC62</f>
        <v/>
      </c>
      <c r="AD63" s="55">
        <f>Monthly!C30-AD62</f>
        <v/>
      </c>
      <c r="AE63" s="55">
        <f>Monthly!C31-AE62</f>
        <v/>
      </c>
      <c r="AF63" s="55">
        <f>Monthly!C32-AF62</f>
        <v/>
      </c>
      <c r="AG63" s="55">
        <f>Monthly!C33-AG62</f>
        <v/>
      </c>
      <c r="AH63" s="55">
        <f>Monthly!C34-AH62</f>
        <v/>
      </c>
      <c r="AI63" s="55">
        <f>Monthly!C35-AI62</f>
        <v/>
      </c>
      <c r="AJ63" s="55">
        <f>Monthly!C36-AJ62</f>
        <v/>
      </c>
      <c r="AK63" s="55">
        <f>Monthly!C37-AK62</f>
        <v/>
      </c>
      <c r="AL63" s="55">
        <f>Monthly!C38-AL62</f>
        <v/>
      </c>
      <c r="AM63" s="55">
        <f>Monthly!C39-AM62</f>
        <v/>
      </c>
      <c r="AN63" s="55">
        <f>Monthly!C40-AN62</f>
        <v/>
      </c>
      <c r="AO63" s="55">
        <f>Monthly!C41-AO62</f>
        <v/>
      </c>
      <c r="AP63" s="55">
        <f>Monthly!C42-AP62</f>
        <v/>
      </c>
      <c r="AQ63" s="55">
        <f>Monthly!C43-AQ62</f>
        <v/>
      </c>
      <c r="AR63" s="55">
        <f>Monthly!C44-AR62</f>
        <v/>
      </c>
      <c r="AS63" s="55">
        <f>Monthly!C45-AS62</f>
        <v/>
      </c>
      <c r="AT63" s="55">
        <f>Monthly!C46-AT62</f>
        <v/>
      </c>
      <c r="AU63" s="55">
        <f>Monthly!C47-AU62</f>
        <v/>
      </c>
      <c r="AV63" s="55">
        <f>Monthly!C48-AV62</f>
        <v/>
      </c>
      <c r="AW63" s="55">
        <f>Monthly!C49-AW62</f>
        <v/>
      </c>
      <c r="AX63" s="55">
        <f>Monthly!C50-AX62</f>
        <v/>
      </c>
      <c r="AY63" s="55">
        <f>Monthly!C51-AY62</f>
        <v/>
      </c>
      <c r="AZ63" s="55">
        <f>Monthly!C52-AZ62</f>
        <v/>
      </c>
      <c r="BA63" s="55">
        <f>Monthly!C53-BA62</f>
        <v/>
      </c>
      <c r="BB63" s="55">
        <f>Monthly!C54-BB62</f>
        <v/>
      </c>
      <c r="BC63" s="55">
        <f>Monthly!C55-BC62</f>
        <v/>
      </c>
      <c r="BD63" s="55">
        <f>Monthly!C56-BD62</f>
        <v/>
      </c>
      <c r="BE63" s="55">
        <f>Monthly!C57-BE62</f>
        <v/>
      </c>
      <c r="BF63" s="55">
        <f>Monthly!C58-BF62</f>
        <v/>
      </c>
      <c r="BG63" s="55">
        <f>Monthly!C59-BG62</f>
        <v/>
      </c>
      <c r="BH63" s="55">
        <f>Monthly!C60-BH62</f>
        <v/>
      </c>
      <c r="BI63" s="55">
        <f>Monthly!C61-BI62</f>
        <v/>
      </c>
    </row>
    <row r="65">
      <c r="A65" s="5" t="inlineStr">
        <is>
          <t>Each row is one month's sign-ups; each cell is how many of them are still saving in that calendar month. Row 1 = the agent's first month. Read down a column for that month's book, across a row for one cohort's decay.</t>
        </is>
      </c>
    </row>
  </sheetData>
  <conditionalFormatting sqref="B2:BI61">
    <cfRule type="colorScale" priority="1">
      <colorScale>
        <cfvo type="min"/>
        <cfvo type="max"/>
        <color rgb="00FFFFFF"/>
        <color rgb="005B9BD5"/>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2026-10-16T15:28:07Z</dcterms:created>
  <dcterms:modified xsi:type="dcterms:W3CDTF">2026-10-16T15:28:08Z</dcterms:modified>
</cp:coreProperties>
</file>